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C:\GitHub\ThreeME\data\shocks\"/>
    </mc:Choice>
  </mc:AlternateContent>
  <xr:revisionPtr revIDLastSave="0" documentId="13_ncr:1_{EEA98A05-84EE-4475-8DBD-950EAC9FBE72}" xr6:coauthVersionLast="47" xr6:coauthVersionMax="47" xr10:uidLastSave="{00000000-0000-0000-0000-000000000000}"/>
  <bookViews>
    <workbookView xWindow="-120" yWindow="-120" windowWidth="29040" windowHeight="15840" firstSheet="3" activeTab="3" xr2:uid="{538D2391-1E1B-400C-8C06-DF9B8316C377}"/>
  </bookViews>
  <sheets>
    <sheet name="Cibles THREEME" sheetId="52" r:id="rId1"/>
    <sheet name="Cibles ThreeME v2 " sheetId="115" r:id="rId2"/>
    <sheet name=" fonds chaleur" sheetId="165" r:id="rId3"/>
    <sheet name="Cibles THREEME AMS" sheetId="108" r:id="rId4"/>
    <sheet name="Cibles ThreeME v2 AMS" sheetId="113" r:id="rId5"/>
    <sheet name="Cibles ThreeME v2 AMS FC" sheetId="168" r:id="rId6"/>
    <sheet name="Cibles ThreeME v3" sheetId="107" r:id="rId7"/>
    <sheet name="Cibles ThreeME v3 AMS" sheetId="109" r:id="rId8"/>
    <sheet name="brouillon" sheetId="104" r:id="rId9"/>
    <sheet name="Bilan_enerdata_2015" sheetId="110" r:id="rId10"/>
    <sheet name="Bilan 2015" sheetId="111" r:id="rId11"/>
    <sheet name="Bilan 2020" sheetId="106" r:id="rId12"/>
    <sheet name="Bilan 2020 test" sheetId="157" r:id="rId13"/>
    <sheet name="Bilan 2022 réel" sheetId="163" r:id="rId14"/>
    <sheet name="Bilan 2023 réel" sheetId="164" r:id="rId15"/>
    <sheet name="Bilan 2023" sheetId="93" r:id="rId16"/>
    <sheet name="Bilan 2025" sheetId="92" r:id="rId17"/>
    <sheet name="Bilan 2028" sheetId="91" r:id="rId18"/>
    <sheet name="Bilan 2030" sheetId="90" r:id="rId19"/>
    <sheet name="Bilan 2033" sheetId="89" r:id="rId20"/>
    <sheet name="Bilan 2035" sheetId="88" r:id="rId21"/>
    <sheet name="Bilan 2038" sheetId="87" r:id="rId22"/>
    <sheet name="Bilan 2040" sheetId="86" r:id="rId23"/>
    <sheet name="Bilan 2045" sheetId="85" r:id="rId24"/>
    <sheet name="Bilan 2050" sheetId="70" r:id="rId25"/>
    <sheet name="Bilan 2023 AMS" sheetId="102" r:id="rId26"/>
    <sheet name="Bilan 2025 AMS" sheetId="101" r:id="rId27"/>
    <sheet name="Bilan 2028 AMS" sheetId="100" r:id="rId28"/>
    <sheet name="Bilan 2030 AMS" sheetId="99" r:id="rId29"/>
    <sheet name="Bilan 2033 AMS" sheetId="98" r:id="rId30"/>
    <sheet name="Bilan 2035 AMS" sheetId="97" r:id="rId31"/>
    <sheet name="Bilan 2038 AMS" sheetId="96" r:id="rId32"/>
    <sheet name="Bilan 2040 AMS" sheetId="95" r:id="rId33"/>
    <sheet name="Bilan 2045 AMS" sheetId="177" r:id="rId34"/>
    <sheet name="Bilan 2050 AMS" sheetId="118" r:id="rId35"/>
    <sheet name="Bilan_E_KP_réel_2022" sheetId="161" r:id="rId36"/>
    <sheet name="Bilan_E_KP_réel_2023" sheetId="162" r:id="rId37"/>
    <sheet name="Bilan_E_AME_Met_2020" sheetId="158" r:id="rId38"/>
    <sheet name="Bilan_E_KP_AME_2020" sheetId="121" r:id="rId39"/>
    <sheet name="Bilan_E_KP_AME_2023" sheetId="122" r:id="rId40"/>
    <sheet name="Bilan_E_KP_AME_2025" sheetId="123" r:id="rId41"/>
    <sheet name="Bilan_E_KP_AME_2028" sheetId="124" r:id="rId42"/>
    <sheet name="Bilan_E_KP_AME_2030" sheetId="125" r:id="rId43"/>
    <sheet name="Bilan_E_KP_AME_2033" sheetId="126" r:id="rId44"/>
    <sheet name="Bilan_E_KP_AME_2035" sheetId="127" r:id="rId45"/>
    <sheet name="Bilan_E_KP_AME_2038" sheetId="128" r:id="rId46"/>
    <sheet name="Bilan_E_KP_AME_2040" sheetId="129" r:id="rId47"/>
    <sheet name="Bilan_E_KP_AME_2043" sheetId="130" r:id="rId48"/>
    <sheet name="Bilan_E_KP_AME_2045" sheetId="131" r:id="rId49"/>
    <sheet name="Bilan_E_KP_AME_2050" sheetId="132" r:id="rId50"/>
    <sheet name="Bilan_E_KP_AME" sheetId="120" r:id="rId51"/>
    <sheet name="Bilans_E_AMS_KP" sheetId="159" r:id="rId52"/>
    <sheet name="Bilans_E_AMS_KP_2023" sheetId="146" r:id="rId53"/>
    <sheet name="Bilans_E_AMS_KP_2025" sheetId="147" r:id="rId54"/>
    <sheet name="Bilans_E_AMS_KP_2028" sheetId="148" r:id="rId55"/>
    <sheet name="Bilans_E_AMS_KP_2030" sheetId="149" r:id="rId56"/>
    <sheet name="Bilans_E_AMS_KP_2033" sheetId="150" r:id="rId57"/>
    <sheet name="Bilans_E_AMS_KP_2035" sheetId="151" r:id="rId58"/>
    <sheet name="Bilans_E_AMS_KP_2038" sheetId="152" r:id="rId59"/>
    <sheet name="Bilans_E_AMS_KP_2040" sheetId="153" r:id="rId60"/>
    <sheet name="Bilans_E_AMS_KP_2043" sheetId="154" r:id="rId61"/>
    <sheet name="Bilans_E_AMS_KP_2045" sheetId="155" r:id="rId62"/>
    <sheet name="Bilans_E_AMS_KP_2050" sheetId="156" r:id="rId63"/>
    <sheet name="Bilan_E_KP_AMS" sheetId="133" r:id="rId64"/>
    <sheet name="Bilans_E_AMS_Kyoto_run3_2023" sheetId="188" r:id="rId65"/>
    <sheet name="Bilans_E_AMS_Kyoto_run3_2025" sheetId="189" r:id="rId66"/>
    <sheet name="Bilans_E_AMS_Kyoto_run3_2028" sheetId="190" r:id="rId67"/>
    <sheet name="Bilans_E_AMS_Kyoto_run3_2030" sheetId="191" r:id="rId68"/>
    <sheet name="Bilans_E_AMS_Kyoto_run3_2033" sheetId="192" r:id="rId69"/>
    <sheet name="Bilans_E_AMS_Kyoto_run3_2035" sheetId="193" r:id="rId70"/>
    <sheet name="Bilans_E_AMS_Kyoto_run3_2038" sheetId="194" r:id="rId71"/>
    <sheet name="Bilans_E_AMS_Kyoto_run3_2040" sheetId="195" r:id="rId72"/>
    <sheet name="Bilans_E_AMS_Kyoto_run3_2045" sheetId="196" r:id="rId73"/>
    <sheet name="Bilans_E_AMS_Kyoto_run3_2050" sheetId="197" r:id="rId74"/>
    <sheet name="Bilans_E_AMS_Kyoto_run3" sheetId="169" r:id="rId75"/>
    <sheet name="Bilans_E_AMS_Kyoto_run3_MTE" sheetId="187" r:id="rId76"/>
    <sheet name="Bilans_E_AMS_Kyoto_run3_MTE_anc" sheetId="174" r:id="rId77"/>
    <sheet name="P1_G4-G5" sheetId="49" r:id="rId78"/>
    <sheet name="P1_G6" sheetId="50" r:id="rId79"/>
    <sheet name="bilan énergie format SDS" sheetId="44" r:id="rId80"/>
    <sheet name="Demande Format Medpro" sheetId="43" r:id="rId81"/>
    <sheet name="Format demande MedPro_2015" sheetId="7" r:id="rId82"/>
    <sheet name="Corrections Bilan enerdata" sheetId="10" r:id="rId83"/>
    <sheet name="Modèle tertiaire_2015" sheetId="8" r:id="rId84"/>
    <sheet name="Modèle tertiaire_2020" sheetId="22" r:id="rId85"/>
    <sheet name="Modèle tertiaire_2025" sheetId="23" r:id="rId86"/>
    <sheet name="Modèle tertiaire_2030" sheetId="24" r:id="rId87"/>
    <sheet name="Modèle tertiaire_2050" sheetId="25" r:id="rId88"/>
    <sheet name="Modèle résidentiel ch_2015" sheetId="11" r:id="rId89"/>
    <sheet name="Modèle résidentiel ch_2020" sheetId="30" r:id="rId90"/>
    <sheet name="Modèle résidentiel ch_2025" sheetId="29" r:id="rId91"/>
    <sheet name="Modèle résidentiel ch_2030" sheetId="28" r:id="rId92"/>
    <sheet name="Modèle résidentiel ch_2050" sheetId="27" r:id="rId93"/>
    <sheet name="Modèle résidentiel hch_2015" sheetId="26" r:id="rId94"/>
    <sheet name="Modèle résidentiel hch_2020" sheetId="34" r:id="rId95"/>
    <sheet name="Modèle résidentiel hch_2025" sheetId="33" r:id="rId96"/>
    <sheet name="Modèle résidentiel hch_2030" sheetId="32" r:id="rId97"/>
    <sheet name="Modèle résidentiel hch_2050" sheetId="31" r:id="rId98"/>
    <sheet name="Mix énergie_2015" sheetId="12" r:id="rId99"/>
    <sheet name="Bilans_E_AMS_Kyoto_2050" sheetId="117" r:id="rId100"/>
    <sheet name="Bilan 2050 AMS_ancien" sheetId="65" r:id="rId101"/>
    <sheet name="Bilans_E_AMS_Kyoto" sheetId="116" r:id="rId102"/>
  </sheets>
  <externalReferences>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s>
  <definedNames>
    <definedName name="__123Graph_A" localSheetId="37">[1]Base_série!#REF!</definedName>
    <definedName name="__123Graph_A" localSheetId="0">[1]Base_série!#REF!</definedName>
    <definedName name="__123Graph_A" localSheetId="3">[1]Base_série!#REF!</definedName>
    <definedName name="__123Graph_A" localSheetId="78">[1]Base_série!#REF!</definedName>
    <definedName name="__123Graph_A">[1]Base_série!#REF!</definedName>
    <definedName name="__123Graph_AFacture" localSheetId="0">[1]Base_série!#REF!</definedName>
    <definedName name="__123Graph_AFacture" localSheetId="3">[1]Base_série!#REF!</definedName>
    <definedName name="__123Graph_AFacture" localSheetId="78">[1]Base_série!#REF!</definedName>
    <definedName name="__123Graph_AFacture">[1]Base_série!#REF!</definedName>
    <definedName name="__123Graph_APrix" localSheetId="78">[1]Base_série!#REF!</definedName>
    <definedName name="__123Graph_APrix">[1]Base_série!#REF!</definedName>
    <definedName name="__123Graph_APrix_brut" localSheetId="78">[1]Base_série!#REF!</definedName>
    <definedName name="__123Graph_APrix_brut">[1]Base_série!#REF!</definedName>
    <definedName name="__123Graph_B" localSheetId="78">[1]Base_série!#REF!</definedName>
    <definedName name="__123Graph_B">[1]Base_série!#REF!</definedName>
    <definedName name="__123Graph_BFacture" localSheetId="78">[1]Base_série!#REF!</definedName>
    <definedName name="__123Graph_BFacture">[1]Base_série!#REF!</definedName>
    <definedName name="__123Graph_BPrix" localSheetId="78">[1]Base_série!#REF!</definedName>
    <definedName name="__123Graph_BPrix">[1]Base_série!#REF!</definedName>
    <definedName name="__123Graph_BPrix_brut" localSheetId="78">[1]Base_série!#REF!</definedName>
    <definedName name="__123Graph_BPrix_brut">[1]Base_série!#REF!</definedName>
    <definedName name="__123Graph_C" localSheetId="78">[1]Base_série!#REF!</definedName>
    <definedName name="__123Graph_C">[1]Base_série!#REF!</definedName>
    <definedName name="__123Graph_CFacture" localSheetId="78">[1]Base_série!#REF!</definedName>
    <definedName name="__123Graph_CFacture">[1]Base_série!#REF!</definedName>
    <definedName name="__123Graph_CPrix" localSheetId="78">[1]Base_série!#REF!</definedName>
    <definedName name="__123Graph_CPrix">[1]Base_série!#REF!</definedName>
    <definedName name="__123Graph_CPrix_brut" localSheetId="78">[1]Base_série!#REF!</definedName>
    <definedName name="__123Graph_CPrix_brut">[1]Base_série!#REF!</definedName>
    <definedName name="__123Graph_DFacture" localSheetId="78">[1]Base_série!#REF!</definedName>
    <definedName name="__123Graph_DFacture">[1]Base_série!#REF!</definedName>
    <definedName name="__123Graph_DPrix" localSheetId="78">[1]Base_série!#REF!</definedName>
    <definedName name="__123Graph_DPrix">[1]Base_série!#REF!</definedName>
    <definedName name="__123Graph_EFacture" localSheetId="78">[1]Base_série!#REF!</definedName>
    <definedName name="__123Graph_EFacture">[1]Base_série!#REF!</definedName>
    <definedName name="__123Graph_FFacture" localSheetId="78">[1]Base_série!#REF!</definedName>
    <definedName name="__123Graph_FFacture">[1]Base_série!#REF!</definedName>
    <definedName name="__123Graph_X" localSheetId="78">[1]Base_série!#REF!</definedName>
    <definedName name="__123Graph_X">[1]Base_série!#REF!</definedName>
    <definedName name="__123Graph_XFacture" localSheetId="78">[1]Base_série!#REF!</definedName>
    <definedName name="__123Graph_XFacture">[1]Base_série!#REF!</definedName>
    <definedName name="__123Graph_XPrix" localSheetId="78">[1]Base_série!#REF!</definedName>
    <definedName name="__123Graph_XPrix">[1]Base_série!#REF!</definedName>
    <definedName name="__123Graph_XPrix_brut" localSheetId="78">[1]Base_série!#REF!</definedName>
    <definedName name="__123Graph_XPrix_brut">[1]Base_série!#REF!</definedName>
    <definedName name="_Order1" hidden="1">255</definedName>
    <definedName name="_Order2" hidden="1">255</definedName>
    <definedName name="a" localSheetId="77">#REF!</definedName>
    <definedName name="a" localSheetId="78">#REF!</definedName>
    <definedName name="a">#REF!</definedName>
    <definedName name="Annees">#REF!</definedName>
    <definedName name="_xlnm.Database">#REF!</definedName>
    <definedName name="Branche_usage" localSheetId="35">#REF!</definedName>
    <definedName name="Branche_usage" localSheetId="36">#REF!</definedName>
    <definedName name="Branche_usage">#REF!</definedName>
    <definedName name="Brut_imp_qu" localSheetId="77">#REF!</definedName>
    <definedName name="Brut_imp_qu" localSheetId="78">#REF!</definedName>
    <definedName name="Brut_imp_qu">#REF!</definedName>
    <definedName name="CMS_imp_qu" localSheetId="77">#REF!</definedName>
    <definedName name="CMS_imp_qu" localSheetId="78">#REF!</definedName>
    <definedName name="CMS_imp_qu">#REF!</definedName>
    <definedName name="Code_série">#REF!</definedName>
    <definedName name="communes" localSheetId="78">#REF!</definedName>
    <definedName name="communes">#REF!</definedName>
    <definedName name="d">[2]dép_loi2000!$A$1:$E$347</definedName>
    <definedName name="ddlBaseYears">#REF!</definedName>
    <definedName name="ddlMSList">#REF!</definedName>
    <definedName name="dép_loi2000">[3]dép_loi2000!$A$1:$E$347</definedName>
    <definedName name="El" localSheetId="77">#REF!</definedName>
    <definedName name="El" localSheetId="78">#REF!</definedName>
    <definedName name="El">#REF!</definedName>
    <definedName name="Elec_exp_qu" localSheetId="77">#REF!</definedName>
    <definedName name="Elec_exp_qu" localSheetId="78">#REF!</definedName>
    <definedName name="Elec_exp_qu">#REF!</definedName>
    <definedName name="Elec_imp_qu" localSheetId="77">#REF!</definedName>
    <definedName name="Elec_imp_qu" localSheetId="78">#REF!</definedName>
    <definedName name="Elec_imp_qu">#REF!</definedName>
    <definedName name="energies" localSheetId="35">#REF!</definedName>
    <definedName name="energies" localSheetId="36">#REF!</definedName>
    <definedName name="energies" localSheetId="51">[4]Parametres!$B$130:$C$163</definedName>
    <definedName name="energies" localSheetId="74">[5]Parametres!$B$130:$C$163</definedName>
    <definedName name="energies" localSheetId="64">[5]Parametres!$B$130:$C$163</definedName>
    <definedName name="energies" localSheetId="65">[5]Parametres!$B$130:$C$163</definedName>
    <definedName name="energies" localSheetId="66">[5]Parametres!$B$130:$C$163</definedName>
    <definedName name="energies" localSheetId="67">[5]Parametres!$B$130:$C$163</definedName>
    <definedName name="energies" localSheetId="68">[5]Parametres!$B$130:$C$163</definedName>
    <definedName name="energies" localSheetId="69">[5]Parametres!$B$130:$C$163</definedName>
    <definedName name="energies" localSheetId="70">[5]Parametres!$B$130:$C$163</definedName>
    <definedName name="energies" localSheetId="71">[5]Parametres!$B$130:$C$163</definedName>
    <definedName name="energies" localSheetId="72">[5]Parametres!$B$130:$C$163</definedName>
    <definedName name="energies" localSheetId="73">[5]Parametres!$B$130:$C$163</definedName>
    <definedName name="energies">#REF!</definedName>
    <definedName name="fe_comb" localSheetId="35">#REF!</definedName>
    <definedName name="fe_comb" localSheetId="36">#REF!</definedName>
    <definedName name="fe_comb" localSheetId="51">[4]FE!$H$8:$I$34</definedName>
    <definedName name="fe_comb" localSheetId="74">[5]FE!$H$8:$I$34</definedName>
    <definedName name="fe_comb" localSheetId="64">[5]FE!$H$8:$I$34</definedName>
    <definedName name="fe_comb" localSheetId="65">[5]FE!$H$8:$I$34</definedName>
    <definedName name="fe_comb" localSheetId="66">[5]FE!$H$8:$I$34</definedName>
    <definedName name="fe_comb" localSheetId="67">[5]FE!$H$8:$I$34</definedName>
    <definedName name="fe_comb" localSheetId="68">[5]FE!$H$8:$I$34</definedName>
    <definedName name="fe_comb" localSheetId="69">[5]FE!$H$8:$I$34</definedName>
    <definedName name="fe_comb" localSheetId="70">[5]FE!$H$8:$I$34</definedName>
    <definedName name="fe_comb" localSheetId="71">[5]FE!$H$8:$I$34</definedName>
    <definedName name="fe_comb" localSheetId="72">[5]FE!$H$8:$I$34</definedName>
    <definedName name="fe_comb" localSheetId="73">[5]FE!$H$8:$I$34</definedName>
    <definedName name="fe_comb">#REF!</definedName>
    <definedName name="ff" localSheetId="77">[1]Base_série!#REF!</definedName>
    <definedName name="ff" localSheetId="78">[1]Base_série!#REF!</definedName>
    <definedName name="ff">[1]Base_série!#REF!</definedName>
    <definedName name="g" localSheetId="77">#REF!</definedName>
    <definedName name="g" localSheetId="78">#REF!</definedName>
    <definedName name="g">#REF!</definedName>
    <definedName name="g5bis" localSheetId="78">#REF!</definedName>
    <definedName name="g5bis">#REF!</definedName>
    <definedName name="Gaz_imp_qu" localSheetId="77">#REF!</definedName>
    <definedName name="Gaz_imp_qu" localSheetId="78">#REF!</definedName>
    <definedName name="Gaz_imp_qu">#REF!</definedName>
    <definedName name="m" localSheetId="78">[1]Base_série!#REF!</definedName>
    <definedName name="m">[1]Base_série!#REF!</definedName>
    <definedName name="mm" localSheetId="77">[1]Base_série!#REF!</definedName>
    <definedName name="mm" localSheetId="78">[1]Base_série!#REF!</definedName>
    <definedName name="mm">[1]Base_série!#REF!</definedName>
    <definedName name="n">#REF!</definedName>
    <definedName name="Perimetre_geo">#REF!</definedName>
    <definedName name="pp" localSheetId="77">#REF!</definedName>
    <definedName name="pp" localSheetId="78">#REF!</definedName>
    <definedName name="pp">#REF!</definedName>
    <definedName name="prev_2023">#REF!</definedName>
    <definedName name="Raff_exp_qu" localSheetId="77">#REF!</definedName>
    <definedName name="Raff_exp_qu" localSheetId="78">#REF!</definedName>
    <definedName name="Raff_exp_qu">#REF!</definedName>
    <definedName name="Raff_imp_qu" localSheetId="77">#REF!</definedName>
    <definedName name="Raff_imp_qu" localSheetId="78">#REF!</definedName>
    <definedName name="Raff_imp_qu">#REF!</definedName>
    <definedName name="Secteur" localSheetId="35">#REF!</definedName>
    <definedName name="Secteur" localSheetId="36">#REF!</definedName>
    <definedName name="Secteur" localSheetId="51">[4]Parametres!$B$11:$C$22</definedName>
    <definedName name="Secteur" localSheetId="74">[5]Parametres!$B$11:$C$22</definedName>
    <definedName name="Secteur" localSheetId="64">[5]Parametres!$B$11:$C$22</definedName>
    <definedName name="Secteur" localSheetId="65">[5]Parametres!$B$11:$C$22</definedName>
    <definedName name="Secteur" localSheetId="66">[5]Parametres!$B$11:$C$22</definedName>
    <definedName name="Secteur" localSheetId="67">[5]Parametres!$B$11:$C$22</definedName>
    <definedName name="Secteur" localSheetId="68">[5]Parametres!$B$11:$C$22</definedName>
    <definedName name="Secteur" localSheetId="69">[5]Parametres!$B$11:$C$22</definedName>
    <definedName name="Secteur" localSheetId="70">[5]Parametres!$B$11:$C$22</definedName>
    <definedName name="Secteur" localSheetId="71">[5]Parametres!$B$11:$C$22</definedName>
    <definedName name="Secteur" localSheetId="72">[5]Parametres!$B$11:$C$22</definedName>
    <definedName name="Secteur" localSheetId="73">[5]Parametres!$B$11:$C$22</definedName>
    <definedName name="Secteur">#REF!</definedName>
    <definedName name="Tab_climat">[6]Feuil1!$A$1:$P$445</definedName>
    <definedName name="Tab_fact">'[7]chiffres pour fig8'!$A$7:$AE$49</definedName>
    <definedName name="TXchuteEolien">'[8]Ecarts à la trajectoire'!$N$8</definedName>
    <definedName name="TXChuteEolienTarif">'[8]Ecarts à la trajectoire'!$N$11</definedName>
    <definedName name="TXchuteSolaire">'[8]Ecarts à la trajectoire'!$N$9</definedName>
    <definedName name="TXChuteSolaireTarif">'[8]Ecarts à la trajectoire'!$N$12</definedName>
    <definedName name="TypeVariable" localSheetId="35">#REF!</definedName>
    <definedName name="TypeVariable" localSheetId="36">#REF!</definedName>
    <definedName name="TypeVariable">#REF!</definedName>
    <definedName name="uu" localSheetId="77">#REF!</definedName>
    <definedName name="uu" localSheetId="78">#REF!</definedName>
    <definedName name="uu">#REF!</definedName>
    <definedName name="_xlnm.Print_Area" localSheetId="77">'P1_G4-G5'!$A$4:$J$24</definedName>
    <definedName name="_xlnm.Print_Area" localSheetId="78">P1_G6!#REF!</definedName>
    <definedName name="zze" localSheetId="78">#REF!</definedName>
    <definedName name="zz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E27" i="108" l="1"/>
  <c r="BE13" i="108"/>
  <c r="BD13" i="108"/>
  <c r="BC13" i="108"/>
  <c r="BE11" i="108"/>
  <c r="BD11" i="108"/>
  <c r="BC11" i="108"/>
  <c r="CV25" i="108" l="1"/>
  <c r="CU25" i="108"/>
  <c r="CT25" i="108"/>
  <c r="CS25" i="108"/>
  <c r="CR25" i="108"/>
  <c r="CQ25" i="108"/>
  <c r="CP25" i="108"/>
  <c r="CO25" i="108"/>
  <c r="CN25" i="108"/>
  <c r="CM25" i="108"/>
  <c r="CL25" i="108"/>
  <c r="CK25" i="108"/>
  <c r="C44" i="70" l="1"/>
  <c r="U44" i="70"/>
  <c r="C27" i="70"/>
  <c r="U30" i="70"/>
  <c r="C44" i="85"/>
  <c r="U44" i="85"/>
  <c r="C27" i="85"/>
  <c r="U30" i="85"/>
  <c r="C44" i="86"/>
  <c r="U44" i="86"/>
  <c r="C27" i="86"/>
  <c r="U30" i="86"/>
  <c r="C44" i="87"/>
  <c r="U44" i="87"/>
  <c r="C27" i="87"/>
  <c r="U30" i="87"/>
  <c r="C44" i="88"/>
  <c r="U44" i="88"/>
  <c r="C27" i="88"/>
  <c r="U30" i="88"/>
  <c r="C44" i="89"/>
  <c r="U44" i="89"/>
  <c r="C27" i="89"/>
  <c r="U30" i="89"/>
  <c r="C44" i="90"/>
  <c r="U44" i="90"/>
  <c r="C27" i="90"/>
  <c r="U30" i="90"/>
  <c r="C44" i="91"/>
  <c r="U44" i="91"/>
  <c r="C27" i="91"/>
  <c r="U30" i="91"/>
  <c r="C44" i="92"/>
  <c r="U44" i="92"/>
  <c r="C27" i="92"/>
  <c r="U30" i="92"/>
  <c r="C44" i="93"/>
  <c r="U44" i="93"/>
  <c r="C27" i="93"/>
  <c r="U30" i="93"/>
  <c r="U44" i="164"/>
  <c r="C27" i="164"/>
  <c r="U30" i="164"/>
  <c r="U44" i="163"/>
  <c r="C27" i="163"/>
  <c r="U30" i="163"/>
  <c r="C44" i="111"/>
  <c r="U44" i="111"/>
  <c r="C27" i="111"/>
  <c r="U30" i="111"/>
  <c r="U44" i="106"/>
  <c r="C27" i="106"/>
  <c r="U30" i="106"/>
  <c r="C44" i="106"/>
  <c r="C9" i="118"/>
  <c r="C8" i="118"/>
  <c r="C7" i="118"/>
  <c r="C9" i="177"/>
  <c r="C8" i="177"/>
  <c r="C7" i="177"/>
  <c r="C9" i="95"/>
  <c r="C8" i="95"/>
  <c r="C7" i="95"/>
  <c r="C9" i="96"/>
  <c r="C8" i="96"/>
  <c r="C7" i="96"/>
  <c r="C9" i="97"/>
  <c r="C8" i="97"/>
  <c r="C7" i="97"/>
  <c r="C9" i="98"/>
  <c r="C8" i="98"/>
  <c r="C7" i="98"/>
  <c r="C9" i="99"/>
  <c r="C8" i="99"/>
  <c r="C7" i="99"/>
  <c r="C9" i="100"/>
  <c r="C8" i="100"/>
  <c r="C7" i="100"/>
  <c r="C9" i="101"/>
  <c r="C8" i="101"/>
  <c r="C7" i="101"/>
  <c r="C9" i="102" l="1"/>
  <c r="C8" i="102"/>
  <c r="C7" i="102"/>
  <c r="E58" i="102" l="1"/>
  <c r="E57" i="102"/>
  <c r="C47" i="102" s="1"/>
  <c r="E56" i="102"/>
  <c r="E55" i="102"/>
  <c r="E54" i="102"/>
  <c r="E53" i="102"/>
  <c r="C45" i="102" s="1"/>
  <c r="E52" i="102"/>
  <c r="X46" i="102"/>
  <c r="W46" i="102"/>
  <c r="V46" i="102"/>
  <c r="U46" i="102"/>
  <c r="T46" i="102"/>
  <c r="Y46" i="102" s="1"/>
  <c r="X44" i="102"/>
  <c r="W44" i="102"/>
  <c r="V44" i="102"/>
  <c r="V5" i="102" s="1"/>
  <c r="U44" i="102"/>
  <c r="C44" i="102" s="1"/>
  <c r="G44" i="102" s="1"/>
  <c r="Q44" i="102" s="1"/>
  <c r="T44" i="102"/>
  <c r="W43" i="102"/>
  <c r="V43" i="102"/>
  <c r="U43" i="102"/>
  <c r="C43" i="102" s="1"/>
  <c r="G43" i="102" s="1"/>
  <c r="T43" i="102"/>
  <c r="X42" i="102"/>
  <c r="E42" i="102"/>
  <c r="C42" i="102"/>
  <c r="X41" i="102"/>
  <c r="Y41" i="102" s="1"/>
  <c r="W41" i="102"/>
  <c r="V41" i="102"/>
  <c r="U41" i="102"/>
  <c r="T41" i="102"/>
  <c r="L41" i="102"/>
  <c r="E41" i="102"/>
  <c r="C41" i="102"/>
  <c r="G41" i="102" s="1"/>
  <c r="X40" i="102"/>
  <c r="W40" i="102"/>
  <c r="V40" i="102"/>
  <c r="U40" i="102"/>
  <c r="U5" i="102" s="1"/>
  <c r="T40" i="102"/>
  <c r="Y40" i="102" s="1"/>
  <c r="Z40" i="102" s="1"/>
  <c r="C40" i="102"/>
  <c r="X39" i="102"/>
  <c r="W39" i="102"/>
  <c r="V39" i="102"/>
  <c r="U39" i="102"/>
  <c r="T39" i="102"/>
  <c r="X37" i="102"/>
  <c r="W37" i="102"/>
  <c r="V37" i="102"/>
  <c r="U37" i="102"/>
  <c r="T37" i="102"/>
  <c r="Y37" i="102" s="1"/>
  <c r="C34" i="102"/>
  <c r="C46" i="102" s="1"/>
  <c r="G46" i="102" s="1"/>
  <c r="C33" i="102"/>
  <c r="C32" i="102"/>
  <c r="C31" i="102"/>
  <c r="X30" i="102"/>
  <c r="W30" i="102"/>
  <c r="V30" i="102"/>
  <c r="U30" i="102"/>
  <c r="T30" i="102"/>
  <c r="S30" i="102" s="1"/>
  <c r="M30" i="102"/>
  <c r="K30" i="102"/>
  <c r="F30" i="102"/>
  <c r="C30" i="102"/>
  <c r="D30" i="102" s="1"/>
  <c r="F35" i="102" s="1"/>
  <c r="E28" i="102" s="1"/>
  <c r="C29" i="102"/>
  <c r="C28" i="102"/>
  <c r="C27" i="102"/>
  <c r="C26" i="102"/>
  <c r="O24" i="102"/>
  <c r="N24" i="102"/>
  <c r="M24" i="102"/>
  <c r="K24" i="102"/>
  <c r="E24" i="102"/>
  <c r="P23" i="102"/>
  <c r="O23" i="102"/>
  <c r="N23" i="102"/>
  <c r="M23" i="102"/>
  <c r="L23" i="102"/>
  <c r="K23" i="102"/>
  <c r="E23" i="102"/>
  <c r="X22" i="102"/>
  <c r="W22" i="102"/>
  <c r="V22" i="102"/>
  <c r="U22" i="102"/>
  <c r="T22" i="102"/>
  <c r="S22" i="102" s="1"/>
  <c r="N22" i="102"/>
  <c r="L22" i="102"/>
  <c r="K22" i="102"/>
  <c r="E22" i="102"/>
  <c r="C22" i="102"/>
  <c r="G22" i="102" s="1"/>
  <c r="O21" i="102"/>
  <c r="N21" i="102"/>
  <c r="M21" i="102"/>
  <c r="L21" i="102"/>
  <c r="K21" i="102"/>
  <c r="E21" i="102"/>
  <c r="C21" i="102"/>
  <c r="C19" i="102"/>
  <c r="C18" i="102"/>
  <c r="C17" i="102"/>
  <c r="C16" i="102"/>
  <c r="E16" i="102" s="1"/>
  <c r="G16" i="102" s="1"/>
  <c r="C14" i="102"/>
  <c r="X13" i="102"/>
  <c r="X5" i="102" s="1"/>
  <c r="W13" i="102"/>
  <c r="V13" i="102"/>
  <c r="U13" i="102"/>
  <c r="S13" i="102" s="1"/>
  <c r="T13" i="102"/>
  <c r="M13" i="102"/>
  <c r="L13" i="102"/>
  <c r="K13" i="102"/>
  <c r="I13" i="102"/>
  <c r="F13" i="102"/>
  <c r="C13" i="102"/>
  <c r="C12" i="102"/>
  <c r="C11" i="102"/>
  <c r="E11" i="102" s="1"/>
  <c r="C10" i="102"/>
  <c r="G9" i="102"/>
  <c r="G8" i="102"/>
  <c r="G7" i="102"/>
  <c r="G42" i="102"/>
  <c r="Q42" i="102" s="1"/>
  <c r="Z42" i="102" s="1"/>
  <c r="Y47" i="102"/>
  <c r="Y45" i="102"/>
  <c r="Y43" i="102"/>
  <c r="Y42" i="102"/>
  <c r="F41" i="102"/>
  <c r="G40" i="102"/>
  <c r="Y39" i="102"/>
  <c r="C39" i="102"/>
  <c r="G39" i="102" s="1"/>
  <c r="Z39" i="102" s="1"/>
  <c r="Y38" i="102"/>
  <c r="C38" i="102"/>
  <c r="G38" i="102" s="1"/>
  <c r="Z38" i="102" s="1"/>
  <c r="Y36" i="102"/>
  <c r="C36" i="102"/>
  <c r="G36" i="102" s="1"/>
  <c r="F22" i="102"/>
  <c r="E19" i="102"/>
  <c r="G19" i="102" s="1"/>
  <c r="E18" i="102"/>
  <c r="G18" i="102" s="1"/>
  <c r="G15" i="102"/>
  <c r="G14" i="102"/>
  <c r="W5" i="102"/>
  <c r="E12" i="102"/>
  <c r="G12" i="102" s="1"/>
  <c r="E58" i="101"/>
  <c r="E57" i="101"/>
  <c r="E56" i="101"/>
  <c r="E55" i="101"/>
  <c r="E54" i="101"/>
  <c r="E53" i="101"/>
  <c r="E52" i="101"/>
  <c r="X46" i="101"/>
  <c r="W46" i="101"/>
  <c r="V46" i="101"/>
  <c r="U46" i="101"/>
  <c r="T46" i="101"/>
  <c r="X44" i="101"/>
  <c r="W44" i="101"/>
  <c r="V44" i="101"/>
  <c r="C44" i="101" s="1"/>
  <c r="G44" i="101" s="1"/>
  <c r="Q44" i="101" s="1"/>
  <c r="U44" i="101"/>
  <c r="T44" i="101"/>
  <c r="W43" i="101"/>
  <c r="V43" i="101"/>
  <c r="U43" i="101"/>
  <c r="T43" i="101"/>
  <c r="C43" i="101"/>
  <c r="G43" i="101" s="1"/>
  <c r="X42" i="101"/>
  <c r="E42" i="101"/>
  <c r="C42" i="101"/>
  <c r="G42" i="101" s="1"/>
  <c r="Q42" i="101" s="1"/>
  <c r="Z42" i="101" s="1"/>
  <c r="X41" i="101"/>
  <c r="W41" i="101"/>
  <c r="V41" i="101"/>
  <c r="U41" i="101"/>
  <c r="T41" i="101"/>
  <c r="L41" i="101"/>
  <c r="E41" i="101"/>
  <c r="C41" i="101"/>
  <c r="X40" i="101"/>
  <c r="W40" i="101"/>
  <c r="V40" i="101"/>
  <c r="U40" i="101"/>
  <c r="U5" i="101" s="1"/>
  <c r="T40" i="101"/>
  <c r="C40" i="101"/>
  <c r="X39" i="101"/>
  <c r="W39" i="101"/>
  <c r="V39" i="101"/>
  <c r="U39" i="101"/>
  <c r="T39" i="101"/>
  <c r="X37" i="101"/>
  <c r="W37" i="101"/>
  <c r="V37" i="101"/>
  <c r="U37" i="101"/>
  <c r="T37" i="101"/>
  <c r="S41" i="101" s="1"/>
  <c r="C34" i="101"/>
  <c r="C33" i="101"/>
  <c r="C32" i="101"/>
  <c r="C31" i="101"/>
  <c r="X30" i="101"/>
  <c r="W30" i="101"/>
  <c r="V30" i="101"/>
  <c r="U30" i="101"/>
  <c r="T30" i="101"/>
  <c r="M30" i="101"/>
  <c r="K30" i="101"/>
  <c r="F30" i="101"/>
  <c r="C30" i="101"/>
  <c r="C29" i="101"/>
  <c r="C28" i="101"/>
  <c r="C27" i="101"/>
  <c r="C26" i="101"/>
  <c r="O24" i="101"/>
  <c r="N24" i="101"/>
  <c r="M24" i="101"/>
  <c r="K24" i="101"/>
  <c r="E24" i="101"/>
  <c r="P23" i="101"/>
  <c r="O23" i="101"/>
  <c r="N23" i="101"/>
  <c r="M23" i="101"/>
  <c r="L23" i="101"/>
  <c r="K23" i="101"/>
  <c r="E23" i="101"/>
  <c r="X22" i="101"/>
  <c r="W22" i="101"/>
  <c r="V22" i="101"/>
  <c r="U22" i="101"/>
  <c r="T22" i="101"/>
  <c r="S22" i="101" s="1"/>
  <c r="N22" i="101"/>
  <c r="L22" i="101"/>
  <c r="K22" i="101"/>
  <c r="E22" i="101"/>
  <c r="C22" i="101"/>
  <c r="O21" i="101"/>
  <c r="N21" i="101"/>
  <c r="M21" i="101"/>
  <c r="L21" i="101"/>
  <c r="K21" i="101"/>
  <c r="E21" i="101"/>
  <c r="C21" i="101"/>
  <c r="C19" i="101"/>
  <c r="C18" i="101"/>
  <c r="C46" i="101" s="1"/>
  <c r="G46" i="101" s="1"/>
  <c r="Q46" i="101" s="1"/>
  <c r="C17" i="101"/>
  <c r="C16" i="101"/>
  <c r="C14" i="101"/>
  <c r="X13" i="101"/>
  <c r="W13" i="101"/>
  <c r="V13" i="101"/>
  <c r="U13" i="101"/>
  <c r="T13" i="101"/>
  <c r="M13" i="101"/>
  <c r="L13" i="101"/>
  <c r="K13" i="101"/>
  <c r="I13" i="101"/>
  <c r="F13" i="101"/>
  <c r="C13" i="101"/>
  <c r="C12" i="101"/>
  <c r="C11" i="101"/>
  <c r="C10" i="101"/>
  <c r="G9" i="101"/>
  <c r="G8" i="101"/>
  <c r="G7" i="101"/>
  <c r="Y47" i="101"/>
  <c r="C47" i="101"/>
  <c r="G47" i="101" s="1"/>
  <c r="Y46" i="101"/>
  <c r="Y45" i="101"/>
  <c r="G45" i="101"/>
  <c r="Q45" i="101" s="1"/>
  <c r="C45" i="101"/>
  <c r="C24" i="101" s="1"/>
  <c r="G24" i="101" s="1"/>
  <c r="Y42" i="101"/>
  <c r="Y41" i="101"/>
  <c r="F41" i="101"/>
  <c r="G41" i="101"/>
  <c r="G40" i="101"/>
  <c r="Y39" i="101"/>
  <c r="C39" i="101"/>
  <c r="G39" i="101" s="1"/>
  <c r="Z39" i="101" s="1"/>
  <c r="Y38" i="101"/>
  <c r="C38" i="101"/>
  <c r="G38" i="101" s="1"/>
  <c r="Z38" i="101" s="1"/>
  <c r="Y36" i="101"/>
  <c r="C36" i="101"/>
  <c r="P21" i="101" s="1"/>
  <c r="S30" i="101"/>
  <c r="X5" i="101"/>
  <c r="W5" i="101"/>
  <c r="G22" i="101"/>
  <c r="F22" i="101"/>
  <c r="E19" i="101"/>
  <c r="G19" i="101" s="1"/>
  <c r="E16" i="101"/>
  <c r="G16" i="101" s="1"/>
  <c r="G15" i="101"/>
  <c r="G14" i="101"/>
  <c r="S13" i="101"/>
  <c r="E11" i="101"/>
  <c r="G11" i="101" s="1"/>
  <c r="E58" i="100"/>
  <c r="E57" i="100"/>
  <c r="C47" i="100" s="1"/>
  <c r="C23" i="100" s="1"/>
  <c r="E56" i="100"/>
  <c r="E55" i="100"/>
  <c r="E54" i="100"/>
  <c r="C42" i="100" s="1"/>
  <c r="G42" i="100" s="1"/>
  <c r="Q42" i="100" s="1"/>
  <c r="Z42" i="100" s="1"/>
  <c r="E53" i="100"/>
  <c r="E52" i="100"/>
  <c r="X46" i="100"/>
  <c r="W46" i="100"/>
  <c r="W5" i="100" s="1"/>
  <c r="V46" i="100"/>
  <c r="U46" i="100"/>
  <c r="T46" i="100"/>
  <c r="C46" i="100"/>
  <c r="G46" i="100" s="1"/>
  <c r="X44" i="100"/>
  <c r="W44" i="100"/>
  <c r="V44" i="100"/>
  <c r="U44" i="100"/>
  <c r="T44" i="100"/>
  <c r="Q44" i="100"/>
  <c r="W43" i="100"/>
  <c r="V43" i="100"/>
  <c r="U43" i="100"/>
  <c r="T43" i="100"/>
  <c r="C43" i="100" s="1"/>
  <c r="G43" i="100" s="1"/>
  <c r="X42" i="100"/>
  <c r="Y42" i="100" s="1"/>
  <c r="E42" i="100"/>
  <c r="X41" i="100"/>
  <c r="W41" i="100"/>
  <c r="V41" i="100"/>
  <c r="U41" i="100"/>
  <c r="T41" i="100"/>
  <c r="Y41" i="100" s="1"/>
  <c r="L41" i="100"/>
  <c r="E41" i="100"/>
  <c r="F41" i="100" s="1"/>
  <c r="C41" i="100"/>
  <c r="G41" i="100" s="1"/>
  <c r="Z41" i="100" s="1"/>
  <c r="X40" i="100"/>
  <c r="W40" i="100"/>
  <c r="V40" i="100"/>
  <c r="U40" i="100"/>
  <c r="T40" i="100"/>
  <c r="C40" i="100"/>
  <c r="G40" i="100" s="1"/>
  <c r="X39" i="100"/>
  <c r="W39" i="100"/>
  <c r="V39" i="100"/>
  <c r="U39" i="100"/>
  <c r="T39" i="100"/>
  <c r="C39" i="100" s="1"/>
  <c r="G39" i="100" s="1"/>
  <c r="X37" i="100"/>
  <c r="W37" i="100"/>
  <c r="V37" i="100"/>
  <c r="C37" i="100" s="1"/>
  <c r="G37" i="100" s="1"/>
  <c r="U37" i="100"/>
  <c r="T37" i="100"/>
  <c r="C34" i="100"/>
  <c r="C33" i="100"/>
  <c r="C32" i="100"/>
  <c r="C31" i="100"/>
  <c r="X30" i="100"/>
  <c r="W30" i="100"/>
  <c r="V30" i="100"/>
  <c r="U30" i="100"/>
  <c r="S30" i="100" s="1"/>
  <c r="T30" i="100"/>
  <c r="M30" i="100"/>
  <c r="K30" i="100"/>
  <c r="F30" i="100"/>
  <c r="C30" i="100"/>
  <c r="C29" i="100"/>
  <c r="C28" i="100"/>
  <c r="C27" i="100"/>
  <c r="C26" i="100"/>
  <c r="O24" i="100"/>
  <c r="N24" i="100"/>
  <c r="M24" i="100"/>
  <c r="K24" i="100"/>
  <c r="E24" i="100"/>
  <c r="P23" i="100"/>
  <c r="O23" i="100"/>
  <c r="N23" i="100"/>
  <c r="M23" i="100"/>
  <c r="L23" i="100"/>
  <c r="K23" i="100"/>
  <c r="E23" i="100"/>
  <c r="F22" i="100" s="1"/>
  <c r="X22" i="100"/>
  <c r="W22" i="100"/>
  <c r="V22" i="100"/>
  <c r="S22" i="100" s="1"/>
  <c r="U22" i="100"/>
  <c r="T22" i="100"/>
  <c r="N22" i="100"/>
  <c r="L22" i="100"/>
  <c r="K22" i="100"/>
  <c r="E22" i="100"/>
  <c r="C22" i="100"/>
  <c r="G22" i="100" s="1"/>
  <c r="O21" i="100"/>
  <c r="N21" i="100"/>
  <c r="M21" i="100"/>
  <c r="L21" i="100"/>
  <c r="K21" i="100"/>
  <c r="E21" i="100"/>
  <c r="C21" i="100"/>
  <c r="C19" i="100"/>
  <c r="C18" i="100"/>
  <c r="E18" i="100" s="1"/>
  <c r="G18" i="100" s="1"/>
  <c r="C17" i="100"/>
  <c r="C16" i="100"/>
  <c r="C14" i="100"/>
  <c r="X13" i="100"/>
  <c r="X5" i="100" s="1"/>
  <c r="W13" i="100"/>
  <c r="V13" i="100"/>
  <c r="V5" i="100" s="1"/>
  <c r="U13" i="100"/>
  <c r="T13" i="100"/>
  <c r="S13" i="100" s="1"/>
  <c r="M13" i="100"/>
  <c r="L13" i="100"/>
  <c r="K13" i="100"/>
  <c r="I13" i="100"/>
  <c r="F13" i="100"/>
  <c r="C13" i="100"/>
  <c r="C12" i="100"/>
  <c r="E12" i="100" s="1"/>
  <c r="C11" i="100"/>
  <c r="C10" i="100"/>
  <c r="G9" i="100"/>
  <c r="G7" i="100"/>
  <c r="Y47" i="100"/>
  <c r="Y46" i="100"/>
  <c r="Y45" i="100"/>
  <c r="C45" i="100"/>
  <c r="C24" i="100" s="1"/>
  <c r="C44" i="100"/>
  <c r="G44" i="100" s="1"/>
  <c r="Y44" i="100"/>
  <c r="Y40" i="100"/>
  <c r="Y38" i="100"/>
  <c r="C38" i="100"/>
  <c r="G38" i="100" s="1"/>
  <c r="Z38" i="100" s="1"/>
  <c r="Y37" i="100"/>
  <c r="Y36" i="100"/>
  <c r="C36" i="100"/>
  <c r="P21" i="100" s="1"/>
  <c r="E16" i="100"/>
  <c r="G16" i="100" s="1"/>
  <c r="G15" i="100"/>
  <c r="G14" i="100"/>
  <c r="G8" i="100"/>
  <c r="E58" i="99"/>
  <c r="E57" i="99"/>
  <c r="E56" i="99"/>
  <c r="E55" i="99"/>
  <c r="E54" i="99"/>
  <c r="C42" i="99" s="1"/>
  <c r="G42" i="99" s="1"/>
  <c r="Q42" i="99" s="1"/>
  <c r="Z42" i="99" s="1"/>
  <c r="E53" i="99"/>
  <c r="C45" i="99" s="1"/>
  <c r="E52" i="99"/>
  <c r="X46" i="99"/>
  <c r="W46" i="99"/>
  <c r="Y46" i="99" s="1"/>
  <c r="V46" i="99"/>
  <c r="U46" i="99"/>
  <c r="T46" i="99"/>
  <c r="X44" i="99"/>
  <c r="W44" i="99"/>
  <c r="V44" i="99"/>
  <c r="U44" i="99"/>
  <c r="T44" i="99"/>
  <c r="C44" i="99" s="1"/>
  <c r="G44" i="99" s="1"/>
  <c r="Q44" i="99" s="1"/>
  <c r="W43" i="99"/>
  <c r="V43" i="99"/>
  <c r="U43" i="99"/>
  <c r="T43" i="99"/>
  <c r="C43" i="99" s="1"/>
  <c r="G43" i="99" s="1"/>
  <c r="X42" i="99"/>
  <c r="E42" i="99"/>
  <c r="X41" i="99"/>
  <c r="W41" i="99"/>
  <c r="V41" i="99"/>
  <c r="V5" i="99" s="1"/>
  <c r="U41" i="99"/>
  <c r="T41" i="99"/>
  <c r="Y41" i="99" s="1"/>
  <c r="L41" i="99"/>
  <c r="E41" i="99"/>
  <c r="F41" i="99" s="1"/>
  <c r="C41" i="99"/>
  <c r="G41" i="99" s="1"/>
  <c r="X40" i="99"/>
  <c r="W40" i="99"/>
  <c r="V40" i="99"/>
  <c r="U40" i="99"/>
  <c r="T40" i="99"/>
  <c r="C40" i="99"/>
  <c r="X39" i="99"/>
  <c r="X5" i="99" s="1"/>
  <c r="W39" i="99"/>
  <c r="V39" i="99"/>
  <c r="U39" i="99"/>
  <c r="T39" i="99"/>
  <c r="C39" i="99" s="1"/>
  <c r="G39" i="99" s="1"/>
  <c r="X37" i="99"/>
  <c r="W37" i="99"/>
  <c r="V37" i="99"/>
  <c r="U37" i="99"/>
  <c r="T37" i="99"/>
  <c r="C34" i="99"/>
  <c r="C33" i="99"/>
  <c r="C32" i="99"/>
  <c r="C31" i="99"/>
  <c r="X30" i="99"/>
  <c r="W30" i="99"/>
  <c r="V30" i="99"/>
  <c r="U30" i="99"/>
  <c r="T30" i="99"/>
  <c r="S30" i="99" s="1"/>
  <c r="M30" i="99"/>
  <c r="K30" i="99"/>
  <c r="F30" i="99"/>
  <c r="C30" i="99"/>
  <c r="C29" i="99"/>
  <c r="C28" i="99"/>
  <c r="C27" i="99"/>
  <c r="C26" i="99"/>
  <c r="O24" i="99"/>
  <c r="N24" i="99"/>
  <c r="M24" i="99"/>
  <c r="K24" i="99"/>
  <c r="E24" i="99"/>
  <c r="P23" i="99"/>
  <c r="O23" i="99"/>
  <c r="N23" i="99"/>
  <c r="M23" i="99"/>
  <c r="L23" i="99"/>
  <c r="K23" i="99"/>
  <c r="E23" i="99"/>
  <c r="C23" i="99"/>
  <c r="X22" i="99"/>
  <c r="W22" i="99"/>
  <c r="S22" i="99" s="1"/>
  <c r="V22" i="99"/>
  <c r="U22" i="99"/>
  <c r="T22" i="99"/>
  <c r="N22" i="99"/>
  <c r="L22" i="99"/>
  <c r="K22" i="99"/>
  <c r="E22" i="99"/>
  <c r="C22" i="99"/>
  <c r="O21" i="99"/>
  <c r="N21" i="99"/>
  <c r="M21" i="99"/>
  <c r="L21" i="99"/>
  <c r="K21" i="99"/>
  <c r="E21" i="99"/>
  <c r="C21" i="99"/>
  <c r="C19" i="99"/>
  <c r="E19" i="99" s="1"/>
  <c r="G19" i="99" s="1"/>
  <c r="C18" i="99"/>
  <c r="C46" i="99" s="1"/>
  <c r="G46" i="99" s="1"/>
  <c r="C17" i="99"/>
  <c r="C16" i="99"/>
  <c r="C14" i="99"/>
  <c r="X13" i="99"/>
  <c r="W13" i="99"/>
  <c r="W5" i="99" s="1"/>
  <c r="V13" i="99"/>
  <c r="U13" i="99"/>
  <c r="U5" i="99" s="1"/>
  <c r="T13" i="99"/>
  <c r="M13" i="99"/>
  <c r="L13" i="99"/>
  <c r="K13" i="99"/>
  <c r="I13" i="99"/>
  <c r="F13" i="99"/>
  <c r="C13" i="99"/>
  <c r="C12" i="99"/>
  <c r="C11" i="99"/>
  <c r="C10" i="99"/>
  <c r="G9" i="99"/>
  <c r="G7" i="99"/>
  <c r="Y47" i="99"/>
  <c r="C47" i="99"/>
  <c r="G47" i="99" s="1"/>
  <c r="Y45" i="99"/>
  <c r="Y42" i="99"/>
  <c r="Y40" i="99"/>
  <c r="G40" i="99"/>
  <c r="Y38" i="99"/>
  <c r="C38" i="99"/>
  <c r="G38" i="99" s="1"/>
  <c r="Z38" i="99" s="1"/>
  <c r="Y37" i="99"/>
  <c r="Y36" i="99"/>
  <c r="C36" i="99"/>
  <c r="P21" i="99" s="1"/>
  <c r="G22" i="99"/>
  <c r="F22" i="99"/>
  <c r="E16" i="99"/>
  <c r="G16" i="99" s="1"/>
  <c r="G15" i="99"/>
  <c r="G14" i="99"/>
  <c r="G8" i="99"/>
  <c r="E58" i="98"/>
  <c r="E57" i="98"/>
  <c r="E56" i="98"/>
  <c r="E55" i="98"/>
  <c r="C36" i="98" s="1"/>
  <c r="P21" i="98" s="1"/>
  <c r="E54" i="98"/>
  <c r="C42" i="98" s="1"/>
  <c r="G42" i="98" s="1"/>
  <c r="Q42" i="98" s="1"/>
  <c r="Z42" i="98" s="1"/>
  <c r="E53" i="98"/>
  <c r="E52" i="98"/>
  <c r="X46" i="98"/>
  <c r="W46" i="98"/>
  <c r="V46" i="98"/>
  <c r="U46" i="98"/>
  <c r="T46" i="98"/>
  <c r="X44" i="98"/>
  <c r="W44" i="98"/>
  <c r="V44" i="98"/>
  <c r="U44" i="98"/>
  <c r="T44" i="98"/>
  <c r="C44" i="98" s="1"/>
  <c r="G44" i="98" s="1"/>
  <c r="Q44" i="98" s="1"/>
  <c r="W43" i="98"/>
  <c r="V43" i="98"/>
  <c r="U43" i="98"/>
  <c r="T43" i="98"/>
  <c r="C43" i="98" s="1"/>
  <c r="G43" i="98" s="1"/>
  <c r="X42" i="98"/>
  <c r="E42" i="98"/>
  <c r="X41" i="98"/>
  <c r="W41" i="98"/>
  <c r="V41" i="98"/>
  <c r="U41" i="98"/>
  <c r="T41" i="98"/>
  <c r="Y41" i="98" s="1"/>
  <c r="L41" i="98"/>
  <c r="E41" i="98"/>
  <c r="F41" i="98" s="1"/>
  <c r="C41" i="98"/>
  <c r="G41" i="98" s="1"/>
  <c r="X40" i="98"/>
  <c r="W40" i="98"/>
  <c r="V40" i="98"/>
  <c r="U40" i="98"/>
  <c r="T40" i="98"/>
  <c r="C40" i="98"/>
  <c r="X39" i="98"/>
  <c r="W39" i="98"/>
  <c r="V39" i="98"/>
  <c r="U39" i="98"/>
  <c r="C39" i="98" s="1"/>
  <c r="G39" i="98" s="1"/>
  <c r="Z39" i="98" s="1"/>
  <c r="T39" i="98"/>
  <c r="Y39" i="98" s="1"/>
  <c r="X37" i="98"/>
  <c r="W37" i="98"/>
  <c r="C37" i="98" s="1"/>
  <c r="G37" i="98" s="1"/>
  <c r="Z37" i="98" s="1"/>
  <c r="V37" i="98"/>
  <c r="U37" i="98"/>
  <c r="T37" i="98"/>
  <c r="C34" i="98"/>
  <c r="C33" i="98"/>
  <c r="C32" i="98"/>
  <c r="C31" i="98"/>
  <c r="X30" i="98"/>
  <c r="W30" i="98"/>
  <c r="V30" i="98"/>
  <c r="U30" i="98"/>
  <c r="T30" i="98"/>
  <c r="S30" i="98" s="1"/>
  <c r="M30" i="98"/>
  <c r="K30" i="98"/>
  <c r="F30" i="98"/>
  <c r="C30" i="98"/>
  <c r="C29" i="98"/>
  <c r="C28" i="98"/>
  <c r="C27" i="98"/>
  <c r="C26" i="98"/>
  <c r="D30" i="98" s="1"/>
  <c r="O24" i="98"/>
  <c r="N24" i="98"/>
  <c r="M24" i="98"/>
  <c r="K24" i="98"/>
  <c r="E24" i="98"/>
  <c r="P23" i="98"/>
  <c r="O23" i="98"/>
  <c r="N23" i="98"/>
  <c r="M23" i="98"/>
  <c r="L23" i="98"/>
  <c r="K23" i="98"/>
  <c r="E23" i="98"/>
  <c r="F22" i="98" s="1"/>
  <c r="X22" i="98"/>
  <c r="W22" i="98"/>
  <c r="V22" i="98"/>
  <c r="U22" i="98"/>
  <c r="T22" i="98"/>
  <c r="N22" i="98"/>
  <c r="L22" i="98"/>
  <c r="K22" i="98"/>
  <c r="E22" i="98"/>
  <c r="C22" i="98"/>
  <c r="O21" i="98"/>
  <c r="N21" i="98"/>
  <c r="M21" i="98"/>
  <c r="L21" i="98"/>
  <c r="K21" i="98"/>
  <c r="E21" i="98"/>
  <c r="C21" i="98"/>
  <c r="C19" i="98"/>
  <c r="C18" i="98"/>
  <c r="C46" i="98" s="1"/>
  <c r="G46" i="98" s="1"/>
  <c r="C17" i="98"/>
  <c r="C16" i="98"/>
  <c r="C14" i="98"/>
  <c r="X13" i="98"/>
  <c r="W13" i="98"/>
  <c r="V13" i="98"/>
  <c r="V5" i="98" s="1"/>
  <c r="U13" i="98"/>
  <c r="S13" i="98" s="1"/>
  <c r="T13" i="98"/>
  <c r="M13" i="98"/>
  <c r="L13" i="98"/>
  <c r="K13" i="98"/>
  <c r="I13" i="98"/>
  <c r="F13" i="98"/>
  <c r="C13" i="98"/>
  <c r="C12" i="98"/>
  <c r="C11" i="98"/>
  <c r="C10" i="98"/>
  <c r="G8" i="98"/>
  <c r="G7" i="98"/>
  <c r="Y47" i="98"/>
  <c r="C47" i="98"/>
  <c r="G47" i="98" s="1"/>
  <c r="Q47" i="98" s="1"/>
  <c r="Y46" i="98"/>
  <c r="Y45" i="98"/>
  <c r="C45" i="98"/>
  <c r="G45" i="98" s="1"/>
  <c r="Q45" i="98" s="1"/>
  <c r="Y43" i="98"/>
  <c r="Y42" i="98"/>
  <c r="Y40" i="98"/>
  <c r="G40" i="98"/>
  <c r="Y38" i="98"/>
  <c r="C38" i="98"/>
  <c r="G38" i="98" s="1"/>
  <c r="Z38" i="98" s="1"/>
  <c r="Y37" i="98"/>
  <c r="Y36" i="98"/>
  <c r="X5" i="98"/>
  <c r="U5" i="98"/>
  <c r="S22" i="98"/>
  <c r="G22" i="98"/>
  <c r="E19" i="98"/>
  <c r="G19" i="98" s="1"/>
  <c r="E16" i="98"/>
  <c r="G16" i="98" s="1"/>
  <c r="G15" i="98"/>
  <c r="G14" i="98"/>
  <c r="W5" i="98"/>
  <c r="E12" i="98"/>
  <c r="G12" i="98" s="1"/>
  <c r="E11" i="98"/>
  <c r="G9" i="98"/>
  <c r="E58" i="97"/>
  <c r="E57" i="97"/>
  <c r="C47" i="97" s="1"/>
  <c r="E56" i="97"/>
  <c r="E55" i="97"/>
  <c r="C36" i="97" s="1"/>
  <c r="P21" i="97" s="1"/>
  <c r="E54" i="97"/>
  <c r="E53" i="97"/>
  <c r="E52" i="97"/>
  <c r="X46" i="97"/>
  <c r="W46" i="97"/>
  <c r="V46" i="97"/>
  <c r="U46" i="97"/>
  <c r="T46" i="97"/>
  <c r="X44" i="97"/>
  <c r="W44" i="97"/>
  <c r="V44" i="97"/>
  <c r="U44" i="97"/>
  <c r="C44" i="97" s="1"/>
  <c r="G44" i="97" s="1"/>
  <c r="Q44" i="97" s="1"/>
  <c r="T44" i="97"/>
  <c r="W43" i="97"/>
  <c r="V43" i="97"/>
  <c r="U43" i="97"/>
  <c r="T43" i="97"/>
  <c r="C43" i="97" s="1"/>
  <c r="G43" i="97" s="1"/>
  <c r="X42" i="97"/>
  <c r="E42" i="97"/>
  <c r="X41" i="97"/>
  <c r="W41" i="97"/>
  <c r="V41" i="97"/>
  <c r="U41" i="97"/>
  <c r="T41" i="97"/>
  <c r="Y41" i="97" s="1"/>
  <c r="L41" i="97"/>
  <c r="E41" i="97"/>
  <c r="F41" i="97" s="1"/>
  <c r="C41" i="97"/>
  <c r="X40" i="97"/>
  <c r="W40" i="97"/>
  <c r="V40" i="97"/>
  <c r="U40" i="97"/>
  <c r="T40" i="97"/>
  <c r="Y40" i="97" s="1"/>
  <c r="C40" i="97"/>
  <c r="X39" i="97"/>
  <c r="W39" i="97"/>
  <c r="V39" i="97"/>
  <c r="U39" i="97"/>
  <c r="T39" i="97"/>
  <c r="T5" i="97" s="1"/>
  <c r="X37" i="97"/>
  <c r="W37" i="97"/>
  <c r="V37" i="97"/>
  <c r="U37" i="97"/>
  <c r="T37" i="97"/>
  <c r="C34" i="97"/>
  <c r="C33" i="97"/>
  <c r="C32" i="97"/>
  <c r="C31" i="97"/>
  <c r="X30" i="97"/>
  <c r="W30" i="97"/>
  <c r="V30" i="97"/>
  <c r="S30" i="97" s="1"/>
  <c r="U30" i="97"/>
  <c r="T30" i="97"/>
  <c r="M30" i="97"/>
  <c r="K30" i="97"/>
  <c r="F30" i="97"/>
  <c r="C30" i="97"/>
  <c r="C29" i="97"/>
  <c r="C28" i="97"/>
  <c r="C27" i="97"/>
  <c r="C26" i="97"/>
  <c r="D30" i="97" s="1"/>
  <c r="O24" i="97"/>
  <c r="N24" i="97"/>
  <c r="M24" i="97"/>
  <c r="K24" i="97"/>
  <c r="E24" i="97"/>
  <c r="P23" i="97"/>
  <c r="O23" i="97"/>
  <c r="N23" i="97"/>
  <c r="M23" i="97"/>
  <c r="L23" i="97"/>
  <c r="K23" i="97"/>
  <c r="E23" i="97"/>
  <c r="X22" i="97"/>
  <c r="W22" i="97"/>
  <c r="V22" i="97"/>
  <c r="U22" i="97"/>
  <c r="T22" i="97"/>
  <c r="S22" i="97" s="1"/>
  <c r="N22" i="97"/>
  <c r="L22" i="97"/>
  <c r="K22" i="97"/>
  <c r="E22" i="97"/>
  <c r="C22" i="97"/>
  <c r="O21" i="97"/>
  <c r="N21" i="97"/>
  <c r="M21" i="97"/>
  <c r="L21" i="97"/>
  <c r="K21" i="97"/>
  <c r="E21" i="97"/>
  <c r="C21" i="97"/>
  <c r="C19" i="97"/>
  <c r="E19" i="97" s="1"/>
  <c r="G19" i="97" s="1"/>
  <c r="C18" i="97"/>
  <c r="C46" i="97" s="1"/>
  <c r="G46" i="97" s="1"/>
  <c r="C17" i="97"/>
  <c r="C16" i="97"/>
  <c r="C14" i="97"/>
  <c r="X13" i="97"/>
  <c r="X5" i="97" s="1"/>
  <c r="W13" i="97"/>
  <c r="S13" i="97" s="1"/>
  <c r="V13" i="97"/>
  <c r="U13" i="97"/>
  <c r="T13" i="97"/>
  <c r="M13" i="97"/>
  <c r="L13" i="97"/>
  <c r="K13" i="97"/>
  <c r="I13" i="97"/>
  <c r="F13" i="97"/>
  <c r="C13" i="97"/>
  <c r="C12" i="97"/>
  <c r="C11" i="97"/>
  <c r="C10" i="97"/>
  <c r="G8" i="97"/>
  <c r="G7" i="97"/>
  <c r="Y47" i="97"/>
  <c r="Y46" i="97"/>
  <c r="Y45" i="97"/>
  <c r="C45" i="97"/>
  <c r="G45" i="97" s="1"/>
  <c r="Q45" i="97" s="1"/>
  <c r="Z45" i="97" s="1"/>
  <c r="Y42" i="97"/>
  <c r="G40" i="97"/>
  <c r="Y38" i="97"/>
  <c r="C38" i="97"/>
  <c r="G38" i="97" s="1"/>
  <c r="Z38" i="97" s="1"/>
  <c r="Y37" i="97"/>
  <c r="G37" i="97"/>
  <c r="C37" i="97"/>
  <c r="Y36" i="97"/>
  <c r="G22" i="97"/>
  <c r="F22" i="97"/>
  <c r="E18" i="97"/>
  <c r="E16" i="97"/>
  <c r="G16" i="97" s="1"/>
  <c r="G15" i="97"/>
  <c r="G14" i="97"/>
  <c r="E12" i="97"/>
  <c r="G12" i="97" s="1"/>
  <c r="E11" i="97"/>
  <c r="E58" i="96"/>
  <c r="E57" i="96"/>
  <c r="E56" i="96"/>
  <c r="E55" i="96"/>
  <c r="E54" i="96"/>
  <c r="E53" i="96"/>
  <c r="E52" i="96"/>
  <c r="X46" i="96"/>
  <c r="W46" i="96"/>
  <c r="V46" i="96"/>
  <c r="U46" i="96"/>
  <c r="T46" i="96"/>
  <c r="X44" i="96"/>
  <c r="W44" i="96"/>
  <c r="V44" i="96"/>
  <c r="U44" i="96"/>
  <c r="Y44" i="96" s="1"/>
  <c r="T44" i="96"/>
  <c r="W43" i="96"/>
  <c r="V43" i="96"/>
  <c r="U43" i="96"/>
  <c r="T43" i="96"/>
  <c r="C43" i="96"/>
  <c r="G43" i="96" s="1"/>
  <c r="X42" i="96"/>
  <c r="Y42" i="96" s="1"/>
  <c r="E42" i="96"/>
  <c r="C42" i="96"/>
  <c r="X41" i="96"/>
  <c r="W41" i="96"/>
  <c r="V41" i="96"/>
  <c r="Y41" i="96" s="1"/>
  <c r="U41" i="96"/>
  <c r="T41" i="96"/>
  <c r="L41" i="96"/>
  <c r="E41" i="96"/>
  <c r="C41" i="96"/>
  <c r="X40" i="96"/>
  <c r="W40" i="96"/>
  <c r="V40" i="96"/>
  <c r="U40" i="96"/>
  <c r="T40" i="96"/>
  <c r="Y40" i="96" s="1"/>
  <c r="C40" i="96"/>
  <c r="X39" i="96"/>
  <c r="X5" i="96" s="1"/>
  <c r="W39" i="96"/>
  <c r="V39" i="96"/>
  <c r="U39" i="96"/>
  <c r="T39" i="96"/>
  <c r="X37" i="96"/>
  <c r="W37" i="96"/>
  <c r="V37" i="96"/>
  <c r="U37" i="96"/>
  <c r="T37" i="96"/>
  <c r="Y37" i="96" s="1"/>
  <c r="C34" i="96"/>
  <c r="C46" i="96" s="1"/>
  <c r="G46" i="96" s="1"/>
  <c r="C33" i="96"/>
  <c r="C32" i="96"/>
  <c r="C31" i="96"/>
  <c r="X30" i="96"/>
  <c r="W30" i="96"/>
  <c r="V30" i="96"/>
  <c r="U30" i="96"/>
  <c r="T30" i="96"/>
  <c r="M30" i="96"/>
  <c r="K30" i="96"/>
  <c r="F30" i="96"/>
  <c r="C30" i="96"/>
  <c r="C29" i="96"/>
  <c r="C28" i="96"/>
  <c r="C27" i="96"/>
  <c r="C26" i="96"/>
  <c r="O24" i="96"/>
  <c r="N24" i="96"/>
  <c r="M24" i="96"/>
  <c r="K24" i="96"/>
  <c r="E24" i="96"/>
  <c r="C24" i="96"/>
  <c r="P23" i="96"/>
  <c r="O23" i="96"/>
  <c r="N23" i="96"/>
  <c r="M23" i="96"/>
  <c r="L23" i="96"/>
  <c r="K23" i="96"/>
  <c r="E23" i="96"/>
  <c r="X22" i="96"/>
  <c r="W22" i="96"/>
  <c r="W5" i="96" s="1"/>
  <c r="V22" i="96"/>
  <c r="V5" i="96" s="1"/>
  <c r="U22" i="96"/>
  <c r="U5" i="96" s="1"/>
  <c r="T22" i="96"/>
  <c r="T5" i="96" s="1"/>
  <c r="N22" i="96"/>
  <c r="L22" i="96"/>
  <c r="K22" i="96"/>
  <c r="E22" i="96"/>
  <c r="C22" i="96"/>
  <c r="O21" i="96"/>
  <c r="N21" i="96"/>
  <c r="M21" i="96"/>
  <c r="L21" i="96"/>
  <c r="K21" i="96"/>
  <c r="E21" i="96"/>
  <c r="C21" i="96"/>
  <c r="C19" i="96"/>
  <c r="C18" i="96"/>
  <c r="C17" i="96"/>
  <c r="E17" i="96" s="1"/>
  <c r="G17" i="96" s="1"/>
  <c r="C16" i="96"/>
  <c r="C14" i="96"/>
  <c r="X13" i="96"/>
  <c r="W13" i="96"/>
  <c r="V13" i="96"/>
  <c r="U13" i="96"/>
  <c r="T13" i="96"/>
  <c r="M13" i="96"/>
  <c r="L13" i="96"/>
  <c r="K13" i="96"/>
  <c r="I13" i="96"/>
  <c r="F13" i="96"/>
  <c r="C13" i="96"/>
  <c r="C12" i="96"/>
  <c r="C11" i="96"/>
  <c r="C10" i="96"/>
  <c r="G9" i="96"/>
  <c r="G8" i="96"/>
  <c r="D13" i="96"/>
  <c r="C47" i="96"/>
  <c r="C23" i="96" s="1"/>
  <c r="Y47" i="96"/>
  <c r="Y46" i="96"/>
  <c r="Y45" i="96"/>
  <c r="C45" i="96"/>
  <c r="G41" i="96"/>
  <c r="G40" i="96"/>
  <c r="C39" i="96"/>
  <c r="G39" i="96" s="1"/>
  <c r="Y39" i="96"/>
  <c r="Y38" i="96"/>
  <c r="G38" i="96"/>
  <c r="Z38" i="96" s="1"/>
  <c r="C38" i="96"/>
  <c r="Y36" i="96"/>
  <c r="C36" i="96"/>
  <c r="P21" i="96" s="1"/>
  <c r="S30" i="96"/>
  <c r="G22" i="96"/>
  <c r="F22" i="96"/>
  <c r="E16" i="96"/>
  <c r="G16" i="96" s="1"/>
  <c r="G15" i="96"/>
  <c r="G14" i="96"/>
  <c r="E13" i="96"/>
  <c r="G13" i="96" s="1"/>
  <c r="E12" i="96"/>
  <c r="G12" i="96" s="1"/>
  <c r="C27" i="95"/>
  <c r="C27" i="177"/>
  <c r="C27" i="118"/>
  <c r="E58" i="95"/>
  <c r="E57" i="95"/>
  <c r="E56" i="95"/>
  <c r="E55" i="95"/>
  <c r="C36" i="95" s="1"/>
  <c r="P21" i="95" s="1"/>
  <c r="E54" i="95"/>
  <c r="E53" i="95"/>
  <c r="E52" i="95"/>
  <c r="Q47" i="95"/>
  <c r="X46" i="95"/>
  <c r="W46" i="95"/>
  <c r="V46" i="95"/>
  <c r="U46" i="95"/>
  <c r="T46" i="95"/>
  <c r="X44" i="95"/>
  <c r="W44" i="95"/>
  <c r="V44" i="95"/>
  <c r="U44" i="95"/>
  <c r="T44" i="95"/>
  <c r="Y44" i="95" s="1"/>
  <c r="W43" i="95"/>
  <c r="V43" i="95"/>
  <c r="U43" i="95"/>
  <c r="T43" i="95"/>
  <c r="C43" i="95" s="1"/>
  <c r="G43" i="95" s="1"/>
  <c r="X42" i="95"/>
  <c r="Y42" i="95" s="1"/>
  <c r="E42" i="95"/>
  <c r="F41" i="95" s="1"/>
  <c r="C42" i="95"/>
  <c r="X41" i="95"/>
  <c r="X5" i="95" s="1"/>
  <c r="W41" i="95"/>
  <c r="V41" i="95"/>
  <c r="U41" i="95"/>
  <c r="T41" i="95"/>
  <c r="Y41" i="95" s="1"/>
  <c r="L41" i="95"/>
  <c r="E41" i="95"/>
  <c r="C41" i="95"/>
  <c r="X40" i="95"/>
  <c r="W40" i="95"/>
  <c r="V40" i="95"/>
  <c r="U40" i="95"/>
  <c r="T40" i="95"/>
  <c r="Y40" i="95" s="1"/>
  <c r="C40" i="95"/>
  <c r="X39" i="95"/>
  <c r="Y39" i="95" s="1"/>
  <c r="W39" i="95"/>
  <c r="V39" i="95"/>
  <c r="U39" i="95"/>
  <c r="T39" i="95"/>
  <c r="X37" i="95"/>
  <c r="W37" i="95"/>
  <c r="V37" i="95"/>
  <c r="U37" i="95"/>
  <c r="T37" i="95"/>
  <c r="Y37" i="95" s="1"/>
  <c r="C34" i="95"/>
  <c r="C33" i="95"/>
  <c r="C32" i="95"/>
  <c r="C31" i="95"/>
  <c r="X30" i="95"/>
  <c r="W30" i="95"/>
  <c r="V30" i="95"/>
  <c r="U30" i="95"/>
  <c r="T30" i="95"/>
  <c r="M30" i="95"/>
  <c r="K30" i="95"/>
  <c r="F30" i="95"/>
  <c r="C30" i="95"/>
  <c r="C29" i="95"/>
  <c r="C28" i="95"/>
  <c r="C26" i="95"/>
  <c r="O24" i="95"/>
  <c r="N24" i="95"/>
  <c r="M24" i="95"/>
  <c r="K24" i="95"/>
  <c r="E24" i="95"/>
  <c r="C24" i="95"/>
  <c r="G24" i="95" s="1"/>
  <c r="P23" i="95"/>
  <c r="O23" i="95"/>
  <c r="N23" i="95"/>
  <c r="M23" i="95"/>
  <c r="L23" i="95"/>
  <c r="K23" i="95"/>
  <c r="E23" i="95"/>
  <c r="X22" i="95"/>
  <c r="W22" i="95"/>
  <c r="V22" i="95"/>
  <c r="U22" i="95"/>
  <c r="U5" i="95" s="1"/>
  <c r="T22" i="95"/>
  <c r="T5" i="95" s="1"/>
  <c r="N22" i="95"/>
  <c r="L22" i="95"/>
  <c r="K22" i="95"/>
  <c r="E22" i="95"/>
  <c r="C22" i="95"/>
  <c r="O21" i="95"/>
  <c r="N21" i="95"/>
  <c r="M21" i="95"/>
  <c r="L21" i="95"/>
  <c r="K21" i="95"/>
  <c r="E21" i="95"/>
  <c r="F22" i="95" s="1"/>
  <c r="C21" i="95"/>
  <c r="G21" i="95" s="1"/>
  <c r="C19" i="95"/>
  <c r="E19" i="95" s="1"/>
  <c r="G19" i="95" s="1"/>
  <c r="C18" i="95"/>
  <c r="C46" i="95" s="1"/>
  <c r="G46" i="95" s="1"/>
  <c r="C17" i="95"/>
  <c r="E17" i="95" s="1"/>
  <c r="G17" i="95" s="1"/>
  <c r="C16" i="95"/>
  <c r="C14" i="95"/>
  <c r="X13" i="95"/>
  <c r="W13" i="95"/>
  <c r="V13" i="95"/>
  <c r="U13" i="95"/>
  <c r="T13" i="95"/>
  <c r="M13" i="95"/>
  <c r="L13" i="95"/>
  <c r="K13" i="95"/>
  <c r="I13" i="95"/>
  <c r="F13" i="95"/>
  <c r="C13" i="95"/>
  <c r="C12" i="95"/>
  <c r="C11" i="95"/>
  <c r="E11" i="95" s="1"/>
  <c r="G11" i="95" s="1"/>
  <c r="C10" i="95"/>
  <c r="G9" i="95"/>
  <c r="G8" i="95"/>
  <c r="G7" i="95"/>
  <c r="Y47" i="95"/>
  <c r="C47" i="95"/>
  <c r="G47" i="95" s="1"/>
  <c r="Y46" i="95"/>
  <c r="Y45" i="95"/>
  <c r="G45" i="95"/>
  <c r="C45" i="95"/>
  <c r="G40" i="95"/>
  <c r="C39" i="95"/>
  <c r="G39" i="95" s="1"/>
  <c r="Y38" i="95"/>
  <c r="G38" i="95"/>
  <c r="Z38" i="95" s="1"/>
  <c r="C38" i="95"/>
  <c r="Y36" i="95"/>
  <c r="S30" i="95"/>
  <c r="S22" i="95"/>
  <c r="G22" i="95"/>
  <c r="E16" i="95"/>
  <c r="G16" i="95" s="1"/>
  <c r="G15" i="95"/>
  <c r="G14" i="95"/>
  <c r="W5" i="95"/>
  <c r="V5" i="95"/>
  <c r="E13" i="95"/>
  <c r="G13" i="95" s="1"/>
  <c r="E58" i="177"/>
  <c r="E57" i="177"/>
  <c r="C47" i="177" s="1"/>
  <c r="E56" i="177"/>
  <c r="E55" i="177"/>
  <c r="E54" i="177"/>
  <c r="E53" i="177"/>
  <c r="E52" i="177"/>
  <c r="X46" i="177"/>
  <c r="W46" i="177"/>
  <c r="V46" i="177"/>
  <c r="U46" i="177"/>
  <c r="T46" i="177"/>
  <c r="X44" i="177"/>
  <c r="W44" i="177"/>
  <c r="V44" i="177"/>
  <c r="U44" i="177"/>
  <c r="T44" i="177"/>
  <c r="W43" i="177"/>
  <c r="V43" i="177"/>
  <c r="U43" i="177"/>
  <c r="T43" i="177"/>
  <c r="X42" i="177"/>
  <c r="Y42" i="177" s="1"/>
  <c r="E42" i="177"/>
  <c r="C42" i="177"/>
  <c r="G42" i="177" s="1"/>
  <c r="Q42" i="177" s="1"/>
  <c r="Z42" i="177" s="1"/>
  <c r="X41" i="177"/>
  <c r="X5" i="177" s="1"/>
  <c r="W41" i="177"/>
  <c r="V41" i="177"/>
  <c r="U41" i="177"/>
  <c r="Y41" i="177" s="1"/>
  <c r="T41" i="177"/>
  <c r="L41" i="177"/>
  <c r="E41" i="177"/>
  <c r="F41" i="177" s="1"/>
  <c r="C41" i="177"/>
  <c r="X40" i="177"/>
  <c r="W40" i="177"/>
  <c r="V40" i="177"/>
  <c r="U40" i="177"/>
  <c r="T40" i="177"/>
  <c r="Y40" i="177" s="1"/>
  <c r="C40" i="177"/>
  <c r="G40" i="177" s="1"/>
  <c r="X39" i="177"/>
  <c r="W39" i="177"/>
  <c r="V39" i="177"/>
  <c r="U39" i="177"/>
  <c r="T39" i="177"/>
  <c r="X37" i="177"/>
  <c r="W37" i="177"/>
  <c r="V37" i="177"/>
  <c r="U37" i="177"/>
  <c r="T37" i="177"/>
  <c r="Y37" i="177" s="1"/>
  <c r="C34" i="177"/>
  <c r="C33" i="177"/>
  <c r="C32" i="177"/>
  <c r="C31" i="177"/>
  <c r="X30" i="177"/>
  <c r="W30" i="177"/>
  <c r="V30" i="177"/>
  <c r="U30" i="177"/>
  <c r="S30" i="177" s="1"/>
  <c r="T30" i="177"/>
  <c r="M30" i="177"/>
  <c r="K30" i="177"/>
  <c r="F30" i="177"/>
  <c r="C30" i="177"/>
  <c r="C29" i="177"/>
  <c r="C28" i="177"/>
  <c r="C26" i="177"/>
  <c r="O24" i="177"/>
  <c r="N24" i="177"/>
  <c r="M24" i="177"/>
  <c r="K24" i="177"/>
  <c r="E24" i="177"/>
  <c r="P23" i="177"/>
  <c r="O23" i="177"/>
  <c r="N23" i="177"/>
  <c r="M23" i="177"/>
  <c r="L23" i="177"/>
  <c r="K23" i="177"/>
  <c r="E23" i="177"/>
  <c r="X22" i="177"/>
  <c r="W22" i="177"/>
  <c r="V22" i="177"/>
  <c r="U22" i="177"/>
  <c r="T22" i="177"/>
  <c r="S22" i="177" s="1"/>
  <c r="N22" i="177"/>
  <c r="L22" i="177"/>
  <c r="K22" i="177"/>
  <c r="E22" i="177"/>
  <c r="C22" i="177"/>
  <c r="O21" i="177"/>
  <c r="N21" i="177"/>
  <c r="M21" i="177"/>
  <c r="L21" i="177"/>
  <c r="K21" i="177"/>
  <c r="E21" i="177"/>
  <c r="C21" i="177"/>
  <c r="C19" i="177"/>
  <c r="C18" i="177"/>
  <c r="E18" i="177" s="1"/>
  <c r="G18" i="177" s="1"/>
  <c r="C17" i="177"/>
  <c r="C16" i="177"/>
  <c r="C14" i="177"/>
  <c r="X13" i="177"/>
  <c r="W13" i="177"/>
  <c r="V13" i="177"/>
  <c r="U13" i="177"/>
  <c r="T13" i="177"/>
  <c r="M13" i="177"/>
  <c r="L13" i="177"/>
  <c r="K13" i="177"/>
  <c r="I13" i="177"/>
  <c r="F13" i="177"/>
  <c r="C13" i="177"/>
  <c r="C12" i="177"/>
  <c r="C11" i="177"/>
  <c r="C10" i="177"/>
  <c r="G8" i="177"/>
  <c r="Y47" i="177"/>
  <c r="Y46" i="177"/>
  <c r="Y45" i="177"/>
  <c r="C45" i="177"/>
  <c r="G45" i="177" s="1"/>
  <c r="Q45" i="177" s="1"/>
  <c r="Z45" i="177" s="1"/>
  <c r="G41" i="177"/>
  <c r="Y38" i="177"/>
  <c r="C38" i="177"/>
  <c r="G38" i="177" s="1"/>
  <c r="Z38" i="177" s="1"/>
  <c r="Y36" i="177"/>
  <c r="C36" i="177"/>
  <c r="P21" i="177" s="1"/>
  <c r="T5" i="177"/>
  <c r="G22" i="177"/>
  <c r="E16" i="177"/>
  <c r="G16" i="177" s="1"/>
  <c r="G15" i="177"/>
  <c r="G14" i="177"/>
  <c r="E12" i="177"/>
  <c r="G12" i="177" s="1"/>
  <c r="E11" i="177"/>
  <c r="C41" i="118"/>
  <c r="U30" i="118"/>
  <c r="W44" i="118"/>
  <c r="U44" i="118"/>
  <c r="M30" i="118"/>
  <c r="E23" i="118"/>
  <c r="C21" i="118"/>
  <c r="E58" i="118"/>
  <c r="E57" i="118"/>
  <c r="E56" i="118"/>
  <c r="E55" i="118"/>
  <c r="E54" i="118"/>
  <c r="E53" i="118"/>
  <c r="E52" i="118"/>
  <c r="X46" i="118"/>
  <c r="W46" i="118"/>
  <c r="V46" i="118"/>
  <c r="U46" i="118"/>
  <c r="T46" i="118"/>
  <c r="X44" i="118"/>
  <c r="V44" i="118"/>
  <c r="T44" i="118"/>
  <c r="W43" i="118"/>
  <c r="V43" i="118"/>
  <c r="C43" i="118" s="1"/>
  <c r="U43" i="118"/>
  <c r="T43" i="118"/>
  <c r="X42" i="118"/>
  <c r="E42" i="118"/>
  <c r="C42" i="118"/>
  <c r="X41" i="118"/>
  <c r="W41" i="118"/>
  <c r="V41" i="118"/>
  <c r="U41" i="118"/>
  <c r="T41" i="118"/>
  <c r="L41" i="118"/>
  <c r="E41" i="118"/>
  <c r="X40" i="118"/>
  <c r="W40" i="118"/>
  <c r="V40" i="118"/>
  <c r="U40" i="118"/>
  <c r="T40" i="118"/>
  <c r="C40" i="118"/>
  <c r="X39" i="118"/>
  <c r="W39" i="118"/>
  <c r="V39" i="118"/>
  <c r="U39" i="118"/>
  <c r="T39" i="118"/>
  <c r="X37" i="118"/>
  <c r="W37" i="118"/>
  <c r="V37" i="118"/>
  <c r="U37" i="118"/>
  <c r="T37" i="118"/>
  <c r="C34" i="118"/>
  <c r="C33" i="118"/>
  <c r="C32" i="118"/>
  <c r="C31" i="118"/>
  <c r="X30" i="118"/>
  <c r="W30" i="118"/>
  <c r="V30" i="118"/>
  <c r="T30" i="118"/>
  <c r="K30" i="118"/>
  <c r="F30" i="118"/>
  <c r="C30" i="118"/>
  <c r="C29" i="118"/>
  <c r="C28" i="118"/>
  <c r="C26" i="118"/>
  <c r="O24" i="118"/>
  <c r="N24" i="118"/>
  <c r="M24" i="118"/>
  <c r="K24" i="118"/>
  <c r="E24" i="118"/>
  <c r="P23" i="118"/>
  <c r="O23" i="118"/>
  <c r="N23" i="118"/>
  <c r="M23" i="118"/>
  <c r="L23" i="118"/>
  <c r="K23" i="118"/>
  <c r="X22" i="118"/>
  <c r="W22" i="118"/>
  <c r="V22" i="118"/>
  <c r="U22" i="118"/>
  <c r="T22" i="118"/>
  <c r="N22" i="118"/>
  <c r="L22" i="118"/>
  <c r="K22" i="118"/>
  <c r="E22" i="118"/>
  <c r="C22" i="118"/>
  <c r="O21" i="118"/>
  <c r="N21" i="118"/>
  <c r="M21" i="118"/>
  <c r="L21" i="118"/>
  <c r="K21" i="118"/>
  <c r="E21" i="118"/>
  <c r="C19" i="118"/>
  <c r="C18" i="118"/>
  <c r="C46" i="118" s="1"/>
  <c r="C17" i="118"/>
  <c r="C16" i="118"/>
  <c r="C14" i="118"/>
  <c r="X13" i="118"/>
  <c r="W13" i="118"/>
  <c r="V13" i="118"/>
  <c r="U13" i="118"/>
  <c r="T13" i="118"/>
  <c r="M13" i="118"/>
  <c r="L13" i="118"/>
  <c r="K13" i="118"/>
  <c r="I13" i="118"/>
  <c r="F13" i="118"/>
  <c r="C13" i="118"/>
  <c r="C12" i="118"/>
  <c r="C11" i="118"/>
  <c r="C10" i="118"/>
  <c r="U43" i="197"/>
  <c r="T43" i="197"/>
  <c r="S43" i="197"/>
  <c r="R43" i="197"/>
  <c r="Q43" i="197"/>
  <c r="P43" i="197"/>
  <c r="O43" i="197"/>
  <c r="N43" i="197"/>
  <c r="M43" i="197"/>
  <c r="L43" i="197"/>
  <c r="K43" i="197"/>
  <c r="J43" i="197"/>
  <c r="I43" i="197"/>
  <c r="H43" i="197"/>
  <c r="G43" i="197"/>
  <c r="F43" i="197"/>
  <c r="E43" i="197"/>
  <c r="D43" i="197"/>
  <c r="U42" i="197"/>
  <c r="T42" i="197"/>
  <c r="S42" i="197"/>
  <c r="R42" i="197"/>
  <c r="Q42" i="197"/>
  <c r="P42" i="197"/>
  <c r="O42" i="197"/>
  <c r="N42" i="197"/>
  <c r="M42" i="197"/>
  <c r="L42" i="197"/>
  <c r="K42" i="197"/>
  <c r="J42" i="197"/>
  <c r="I42" i="197"/>
  <c r="H42" i="197"/>
  <c r="G42" i="197"/>
  <c r="F42" i="197"/>
  <c r="E42" i="197"/>
  <c r="D42" i="197"/>
  <c r="U41" i="197"/>
  <c r="T41" i="197"/>
  <c r="S41" i="197"/>
  <c r="R41" i="197"/>
  <c r="Q41" i="197"/>
  <c r="P41" i="197"/>
  <c r="O41" i="197"/>
  <c r="N41" i="197"/>
  <c r="M41" i="197"/>
  <c r="L41" i="197"/>
  <c r="K41" i="197"/>
  <c r="J41" i="197"/>
  <c r="I41" i="197"/>
  <c r="H41" i="197"/>
  <c r="G41" i="197"/>
  <c r="F41" i="197"/>
  <c r="E41" i="197"/>
  <c r="D41" i="197"/>
  <c r="U40" i="197"/>
  <c r="T40" i="197"/>
  <c r="S40" i="197"/>
  <c r="R40" i="197"/>
  <c r="Q40" i="197"/>
  <c r="P40" i="197"/>
  <c r="O40" i="197"/>
  <c r="N40" i="197"/>
  <c r="M40" i="197"/>
  <c r="L40" i="197"/>
  <c r="K40" i="197"/>
  <c r="J40" i="197"/>
  <c r="I40" i="197"/>
  <c r="H40" i="197"/>
  <c r="G40" i="197"/>
  <c r="F40" i="197"/>
  <c r="E40" i="197"/>
  <c r="D40" i="197"/>
  <c r="U39" i="197"/>
  <c r="T39" i="197"/>
  <c r="S39" i="197"/>
  <c r="R39" i="197"/>
  <c r="Q39" i="197"/>
  <c r="P39" i="197"/>
  <c r="O39" i="197"/>
  <c r="N39" i="197"/>
  <c r="M39" i="197"/>
  <c r="L39" i="197"/>
  <c r="K39" i="197"/>
  <c r="J39" i="197"/>
  <c r="I39" i="197"/>
  <c r="H39" i="197"/>
  <c r="G39" i="197"/>
  <c r="F39" i="197"/>
  <c r="E39" i="197"/>
  <c r="D39" i="197"/>
  <c r="U38" i="197"/>
  <c r="T38" i="197"/>
  <c r="S38" i="197"/>
  <c r="R38" i="197"/>
  <c r="Q38" i="197"/>
  <c r="P38" i="197"/>
  <c r="O38" i="197"/>
  <c r="N38" i="197"/>
  <c r="M38" i="197"/>
  <c r="L38" i="197"/>
  <c r="K38" i="197"/>
  <c r="J38" i="197"/>
  <c r="I38" i="197"/>
  <c r="H38" i="197"/>
  <c r="G38" i="197"/>
  <c r="F38" i="197"/>
  <c r="E38" i="197"/>
  <c r="D38" i="197"/>
  <c r="U37" i="197"/>
  <c r="T37" i="197"/>
  <c r="S37" i="197"/>
  <c r="R37" i="197"/>
  <c r="Q37" i="197"/>
  <c r="P37" i="197"/>
  <c r="O37" i="197"/>
  <c r="N37" i="197"/>
  <c r="M37" i="197"/>
  <c r="L37" i="197"/>
  <c r="K37" i="197"/>
  <c r="J37" i="197"/>
  <c r="I37" i="197"/>
  <c r="H37" i="197"/>
  <c r="G37" i="197"/>
  <c r="F37" i="197"/>
  <c r="E37" i="197"/>
  <c r="D37" i="197"/>
  <c r="U36" i="197"/>
  <c r="T36" i="197"/>
  <c r="S36" i="197"/>
  <c r="R36" i="197"/>
  <c r="Q36" i="197"/>
  <c r="P36" i="197"/>
  <c r="O36" i="197"/>
  <c r="N36" i="197"/>
  <c r="M36" i="197"/>
  <c r="L36" i="197"/>
  <c r="K36" i="197"/>
  <c r="J36" i="197"/>
  <c r="I36" i="197"/>
  <c r="H36" i="197"/>
  <c r="G36" i="197"/>
  <c r="F36" i="197"/>
  <c r="E36" i="197"/>
  <c r="D36" i="197"/>
  <c r="U35" i="197"/>
  <c r="T35" i="197"/>
  <c r="S35" i="197"/>
  <c r="R35" i="197"/>
  <c r="Q35" i="197"/>
  <c r="P35" i="197"/>
  <c r="O35" i="197"/>
  <c r="N35" i="197"/>
  <c r="M35" i="197"/>
  <c r="L35" i="197"/>
  <c r="K35" i="197"/>
  <c r="J35" i="197"/>
  <c r="I35" i="197"/>
  <c r="H35" i="197"/>
  <c r="G35" i="197"/>
  <c r="F35" i="197"/>
  <c r="E35" i="197"/>
  <c r="D35" i="197"/>
  <c r="U34" i="197"/>
  <c r="T34" i="197"/>
  <c r="S34" i="197"/>
  <c r="R34" i="197"/>
  <c r="Q34" i="197"/>
  <c r="P34" i="197"/>
  <c r="O34" i="197"/>
  <c r="N34" i="197"/>
  <c r="M34" i="197"/>
  <c r="L34" i="197"/>
  <c r="K34" i="197"/>
  <c r="J34" i="197"/>
  <c r="I34" i="197"/>
  <c r="H34" i="197"/>
  <c r="G34" i="197"/>
  <c r="F34" i="197"/>
  <c r="E34" i="197"/>
  <c r="D34" i="197"/>
  <c r="P33" i="197"/>
  <c r="U32" i="197"/>
  <c r="T32" i="197"/>
  <c r="S32" i="197"/>
  <c r="R32" i="197"/>
  <c r="Q32" i="197"/>
  <c r="P32" i="197"/>
  <c r="O32" i="197"/>
  <c r="N32" i="197"/>
  <c r="M32" i="197"/>
  <c r="L32" i="197"/>
  <c r="K32" i="197"/>
  <c r="J32" i="197"/>
  <c r="I32" i="197"/>
  <c r="H32" i="197"/>
  <c r="G32" i="197"/>
  <c r="F32" i="197"/>
  <c r="E32" i="197"/>
  <c r="D32" i="197"/>
  <c r="U31" i="197"/>
  <c r="T31" i="197"/>
  <c r="S31" i="197"/>
  <c r="R31" i="197"/>
  <c r="Q31" i="197"/>
  <c r="P31" i="197"/>
  <c r="O31" i="197"/>
  <c r="N31" i="197"/>
  <c r="M31" i="197"/>
  <c r="L31" i="197"/>
  <c r="K31" i="197"/>
  <c r="J31" i="197"/>
  <c r="I31" i="197"/>
  <c r="H31" i="197"/>
  <c r="G31" i="197"/>
  <c r="F31" i="197"/>
  <c r="E31" i="197"/>
  <c r="D31" i="197"/>
  <c r="U30" i="197"/>
  <c r="T30" i="197"/>
  <c r="S30" i="197"/>
  <c r="R30" i="197"/>
  <c r="Q30" i="197"/>
  <c r="P30" i="197"/>
  <c r="O30" i="197"/>
  <c r="N30" i="197"/>
  <c r="M30" i="197"/>
  <c r="L30" i="197"/>
  <c r="K30" i="197"/>
  <c r="J30" i="197"/>
  <c r="I30" i="197"/>
  <c r="H30" i="197"/>
  <c r="G30" i="197"/>
  <c r="F30" i="197"/>
  <c r="E30" i="197"/>
  <c r="D30" i="197"/>
  <c r="U29" i="197"/>
  <c r="T29" i="197"/>
  <c r="S29" i="197"/>
  <c r="R29" i="197"/>
  <c r="Q29" i="197"/>
  <c r="P29" i="197"/>
  <c r="O29" i="197"/>
  <c r="N29" i="197"/>
  <c r="M29" i="197"/>
  <c r="L29" i="197"/>
  <c r="K29" i="197"/>
  <c r="J29" i="197"/>
  <c r="I29" i="197"/>
  <c r="H29" i="197"/>
  <c r="G29" i="197"/>
  <c r="F29" i="197"/>
  <c r="E29" i="197"/>
  <c r="D29" i="197"/>
  <c r="U28" i="197"/>
  <c r="T28" i="197"/>
  <c r="S28" i="197"/>
  <c r="R28" i="197"/>
  <c r="Q28" i="197"/>
  <c r="P28" i="197"/>
  <c r="O28" i="197"/>
  <c r="N28" i="197"/>
  <c r="M28" i="197"/>
  <c r="L28" i="197"/>
  <c r="K28" i="197"/>
  <c r="J28" i="197"/>
  <c r="I28" i="197"/>
  <c r="H28" i="197"/>
  <c r="G28" i="197"/>
  <c r="F28" i="197"/>
  <c r="E28" i="197"/>
  <c r="D28" i="197"/>
  <c r="U27" i="197"/>
  <c r="T27" i="197"/>
  <c r="S27" i="197"/>
  <c r="R27" i="197"/>
  <c r="Q27" i="197"/>
  <c r="P27" i="197"/>
  <c r="O27" i="197"/>
  <c r="N27" i="197"/>
  <c r="M27" i="197"/>
  <c r="L27" i="197"/>
  <c r="K27" i="197"/>
  <c r="J27" i="197"/>
  <c r="I27" i="197"/>
  <c r="H27" i="197"/>
  <c r="G27" i="197"/>
  <c r="F27" i="197"/>
  <c r="E27" i="197"/>
  <c r="D27" i="197"/>
  <c r="U26" i="197"/>
  <c r="T26" i="197"/>
  <c r="S26" i="197"/>
  <c r="R26" i="197"/>
  <c r="Q26" i="197"/>
  <c r="P26" i="197"/>
  <c r="O26" i="197"/>
  <c r="N26" i="197"/>
  <c r="M26" i="197"/>
  <c r="L26" i="197"/>
  <c r="K26" i="197"/>
  <c r="J26" i="197"/>
  <c r="I26" i="197"/>
  <c r="H26" i="197"/>
  <c r="G26" i="197"/>
  <c r="F26" i="197"/>
  <c r="E26" i="197"/>
  <c r="D26" i="197"/>
  <c r="U25" i="197"/>
  <c r="T25" i="197"/>
  <c r="S25" i="197"/>
  <c r="R25" i="197"/>
  <c r="Q25" i="197"/>
  <c r="P25" i="197"/>
  <c r="O25" i="197"/>
  <c r="N25" i="197"/>
  <c r="M25" i="197"/>
  <c r="L25" i="197"/>
  <c r="K25" i="197"/>
  <c r="J25" i="197"/>
  <c r="I25" i="197"/>
  <c r="H25" i="197"/>
  <c r="G25" i="197"/>
  <c r="F25" i="197"/>
  <c r="E25" i="197"/>
  <c r="D25" i="197"/>
  <c r="U24" i="197"/>
  <c r="T24" i="197"/>
  <c r="S24" i="197"/>
  <c r="R24" i="197"/>
  <c r="Q24" i="197"/>
  <c r="P24" i="197"/>
  <c r="O24" i="197"/>
  <c r="N24" i="197"/>
  <c r="M24" i="197"/>
  <c r="L24" i="197"/>
  <c r="K24" i="197"/>
  <c r="J24" i="197"/>
  <c r="I24" i="197"/>
  <c r="H24" i="197"/>
  <c r="G24" i="197"/>
  <c r="F24" i="197"/>
  <c r="E24" i="197"/>
  <c r="D24" i="197"/>
  <c r="U23" i="197"/>
  <c r="T23" i="197"/>
  <c r="S23" i="197"/>
  <c r="R23" i="197"/>
  <c r="Q23" i="197"/>
  <c r="P23" i="197"/>
  <c r="O23" i="197"/>
  <c r="N23" i="197"/>
  <c r="M23" i="197"/>
  <c r="L23" i="197"/>
  <c r="K23" i="197"/>
  <c r="J23" i="197"/>
  <c r="I23" i="197"/>
  <c r="H23" i="197"/>
  <c r="G23" i="197"/>
  <c r="F23" i="197"/>
  <c r="E23" i="197"/>
  <c r="D23" i="197"/>
  <c r="U22" i="197"/>
  <c r="T22" i="197"/>
  <c r="S22" i="197"/>
  <c r="R22" i="197"/>
  <c r="Q22" i="197"/>
  <c r="P22" i="197"/>
  <c r="O22" i="197"/>
  <c r="N22" i="197"/>
  <c r="M22" i="197"/>
  <c r="L22" i="197"/>
  <c r="K22" i="197"/>
  <c r="J22" i="197"/>
  <c r="I22" i="197"/>
  <c r="H22" i="197"/>
  <c r="G22" i="197"/>
  <c r="F22" i="197"/>
  <c r="E22" i="197"/>
  <c r="D22" i="197"/>
  <c r="U21" i="197"/>
  <c r="T21" i="197"/>
  <c r="S21" i="197"/>
  <c r="R21" i="197"/>
  <c r="Q21" i="197"/>
  <c r="P21" i="197"/>
  <c r="O21" i="197"/>
  <c r="N21" i="197"/>
  <c r="M21" i="197"/>
  <c r="L21" i="197"/>
  <c r="K21" i="197"/>
  <c r="J21" i="197"/>
  <c r="I21" i="197"/>
  <c r="H21" i="197"/>
  <c r="G21" i="197"/>
  <c r="F21" i="197"/>
  <c r="E21" i="197"/>
  <c r="D21" i="197"/>
  <c r="U20" i="197"/>
  <c r="T20" i="197"/>
  <c r="S20" i="197"/>
  <c r="R20" i="197"/>
  <c r="Q20" i="197"/>
  <c r="P20" i="197"/>
  <c r="O20" i="197"/>
  <c r="N20" i="197"/>
  <c r="M20" i="197"/>
  <c r="L20" i="197"/>
  <c r="K20" i="197"/>
  <c r="J20" i="197"/>
  <c r="I20" i="197"/>
  <c r="H20" i="197"/>
  <c r="G20" i="197"/>
  <c r="F20" i="197"/>
  <c r="E20" i="197"/>
  <c r="D20" i="197"/>
  <c r="P19" i="197"/>
  <c r="U18" i="197"/>
  <c r="T18" i="197"/>
  <c r="S18" i="197"/>
  <c r="R18" i="197"/>
  <c r="Q18" i="197"/>
  <c r="P18" i="197"/>
  <c r="O18" i="197"/>
  <c r="N18" i="197"/>
  <c r="M18" i="197"/>
  <c r="L18" i="197"/>
  <c r="K18" i="197"/>
  <c r="J18" i="197"/>
  <c r="I18" i="197"/>
  <c r="H18" i="197"/>
  <c r="G18" i="197"/>
  <c r="F18" i="197"/>
  <c r="E18" i="197"/>
  <c r="D18" i="197"/>
  <c r="U17" i="197"/>
  <c r="T17" i="197"/>
  <c r="S17" i="197"/>
  <c r="R17" i="197"/>
  <c r="Q17" i="197"/>
  <c r="P17" i="197"/>
  <c r="O17" i="197"/>
  <c r="N17" i="197"/>
  <c r="M17" i="197"/>
  <c r="L17" i="197"/>
  <c r="K17" i="197"/>
  <c r="J17" i="197"/>
  <c r="I17" i="197"/>
  <c r="H17" i="197"/>
  <c r="G17" i="197"/>
  <c r="F17" i="197"/>
  <c r="E17" i="197"/>
  <c r="D17" i="197"/>
  <c r="U16" i="197"/>
  <c r="T16" i="197"/>
  <c r="S16" i="197"/>
  <c r="R16" i="197"/>
  <c r="Q16" i="197"/>
  <c r="P16" i="197"/>
  <c r="O16" i="197"/>
  <c r="N16" i="197"/>
  <c r="M16" i="197"/>
  <c r="L16" i="197"/>
  <c r="K16" i="197"/>
  <c r="J16" i="197"/>
  <c r="I16" i="197"/>
  <c r="H16" i="197"/>
  <c r="G16" i="197"/>
  <c r="F16" i="197"/>
  <c r="E16" i="197"/>
  <c r="D16" i="197"/>
  <c r="U15" i="197"/>
  <c r="T15" i="197"/>
  <c r="S15" i="197"/>
  <c r="R15" i="197"/>
  <c r="Q15" i="197"/>
  <c r="P15" i="197"/>
  <c r="O15" i="197"/>
  <c r="N15" i="197"/>
  <c r="M15" i="197"/>
  <c r="L15" i="197"/>
  <c r="K15" i="197"/>
  <c r="J15" i="197"/>
  <c r="I15" i="197"/>
  <c r="H15" i="197"/>
  <c r="G15" i="197"/>
  <c r="F15" i="197"/>
  <c r="E15" i="197"/>
  <c r="D15" i="197"/>
  <c r="U14" i="197"/>
  <c r="T14" i="197"/>
  <c r="S14" i="197"/>
  <c r="R14" i="197"/>
  <c r="Q14" i="197"/>
  <c r="P14" i="197"/>
  <c r="O14" i="197"/>
  <c r="N14" i="197"/>
  <c r="M14" i="197"/>
  <c r="L14" i="197"/>
  <c r="K14" i="197"/>
  <c r="J14" i="197"/>
  <c r="I14" i="197"/>
  <c r="H14" i="197"/>
  <c r="G14" i="197"/>
  <c r="F14" i="197"/>
  <c r="E14" i="197"/>
  <c r="D14" i="197"/>
  <c r="U13" i="197"/>
  <c r="T13" i="197"/>
  <c r="S13" i="197"/>
  <c r="R13" i="197"/>
  <c r="Q13" i="197"/>
  <c r="P13" i="197"/>
  <c r="O13" i="197"/>
  <c r="N13" i="197"/>
  <c r="M13" i="197"/>
  <c r="L13" i="197"/>
  <c r="K13" i="197"/>
  <c r="J13" i="197"/>
  <c r="I13" i="197"/>
  <c r="H13" i="197"/>
  <c r="G13" i="197"/>
  <c r="F13" i="197"/>
  <c r="E13" i="197"/>
  <c r="D13" i="197"/>
  <c r="U12" i="197"/>
  <c r="T12" i="197"/>
  <c r="S12" i="197"/>
  <c r="R12" i="197"/>
  <c r="Q12" i="197"/>
  <c r="P12" i="197"/>
  <c r="O12" i="197"/>
  <c r="N12" i="197"/>
  <c r="M12" i="197"/>
  <c r="L12" i="197"/>
  <c r="K12" i="197"/>
  <c r="J12" i="197"/>
  <c r="I12" i="197"/>
  <c r="H12" i="197"/>
  <c r="G12" i="197"/>
  <c r="F12" i="197"/>
  <c r="E12" i="197"/>
  <c r="D12" i="197"/>
  <c r="U80" i="196"/>
  <c r="T80" i="196"/>
  <c r="S80" i="196"/>
  <c r="R80" i="196"/>
  <c r="Q80" i="196"/>
  <c r="P80" i="196"/>
  <c r="O80" i="196"/>
  <c r="N80" i="196"/>
  <c r="M80" i="196"/>
  <c r="L80" i="196"/>
  <c r="K80" i="196"/>
  <c r="J80" i="196"/>
  <c r="I80" i="196"/>
  <c r="H80" i="196"/>
  <c r="G80" i="196"/>
  <c r="F80" i="196"/>
  <c r="E80" i="196"/>
  <c r="D80" i="196"/>
  <c r="U79" i="196"/>
  <c r="T79" i="196"/>
  <c r="S79" i="196"/>
  <c r="R79" i="196"/>
  <c r="Q79" i="196"/>
  <c r="P79" i="196"/>
  <c r="O79" i="196"/>
  <c r="N79" i="196"/>
  <c r="M79" i="196"/>
  <c r="L79" i="196"/>
  <c r="K79" i="196"/>
  <c r="J79" i="196"/>
  <c r="I79" i="196"/>
  <c r="H79" i="196"/>
  <c r="G79" i="196"/>
  <c r="F79" i="196"/>
  <c r="E79" i="196"/>
  <c r="D79" i="196"/>
  <c r="U78" i="196"/>
  <c r="T78" i="196"/>
  <c r="S78" i="196"/>
  <c r="R78" i="196"/>
  <c r="Q78" i="196"/>
  <c r="P78" i="196"/>
  <c r="O78" i="196"/>
  <c r="N78" i="196"/>
  <c r="M78" i="196"/>
  <c r="L78" i="196"/>
  <c r="K78" i="196"/>
  <c r="J78" i="196"/>
  <c r="I78" i="196"/>
  <c r="H78" i="196"/>
  <c r="G78" i="196"/>
  <c r="F78" i="196"/>
  <c r="E78" i="196"/>
  <c r="D78" i="196"/>
  <c r="U77" i="196"/>
  <c r="T77" i="196"/>
  <c r="S77" i="196"/>
  <c r="R77" i="196"/>
  <c r="Q77" i="196"/>
  <c r="P77" i="196"/>
  <c r="O77" i="196"/>
  <c r="N77" i="196"/>
  <c r="M77" i="196"/>
  <c r="L77" i="196"/>
  <c r="K77" i="196"/>
  <c r="J77" i="196"/>
  <c r="I77" i="196"/>
  <c r="H77" i="196"/>
  <c r="G77" i="196"/>
  <c r="F77" i="196"/>
  <c r="E77" i="196"/>
  <c r="D77" i="196"/>
  <c r="U76" i="196"/>
  <c r="T76" i="196"/>
  <c r="S76" i="196"/>
  <c r="R76" i="196"/>
  <c r="Q76" i="196"/>
  <c r="P76" i="196"/>
  <c r="O76" i="196"/>
  <c r="N76" i="196"/>
  <c r="M76" i="196"/>
  <c r="L76" i="196"/>
  <c r="K76" i="196"/>
  <c r="J76" i="196"/>
  <c r="I76" i="196"/>
  <c r="H76" i="196"/>
  <c r="G76" i="196"/>
  <c r="F76" i="196"/>
  <c r="E76" i="196"/>
  <c r="D76" i="196"/>
  <c r="U75" i="196"/>
  <c r="T75" i="196"/>
  <c r="S75" i="196"/>
  <c r="R75" i="196"/>
  <c r="Q75" i="196"/>
  <c r="P75" i="196"/>
  <c r="O75" i="196"/>
  <c r="N75" i="196"/>
  <c r="M75" i="196"/>
  <c r="L75" i="196"/>
  <c r="K75" i="196"/>
  <c r="J75" i="196"/>
  <c r="I75" i="196"/>
  <c r="H75" i="196"/>
  <c r="G75" i="196"/>
  <c r="F75" i="196"/>
  <c r="E75" i="196"/>
  <c r="D75" i="196"/>
  <c r="U74" i="196"/>
  <c r="T74" i="196"/>
  <c r="S74" i="196"/>
  <c r="R74" i="196"/>
  <c r="Q74" i="196"/>
  <c r="P74" i="196"/>
  <c r="O74" i="196"/>
  <c r="N74" i="196"/>
  <c r="M74" i="196"/>
  <c r="L74" i="196"/>
  <c r="K74" i="196"/>
  <c r="J74" i="196"/>
  <c r="I74" i="196"/>
  <c r="H74" i="196"/>
  <c r="G74" i="196"/>
  <c r="F74" i="196"/>
  <c r="E74" i="196"/>
  <c r="D74" i="196"/>
  <c r="U73" i="196"/>
  <c r="T73" i="196"/>
  <c r="S73" i="196"/>
  <c r="R73" i="196"/>
  <c r="Q73" i="196"/>
  <c r="P73" i="196"/>
  <c r="O73" i="196"/>
  <c r="N73" i="196"/>
  <c r="M73" i="196"/>
  <c r="L73" i="196"/>
  <c r="K73" i="196"/>
  <c r="J73" i="196"/>
  <c r="I73" i="196"/>
  <c r="H73" i="196"/>
  <c r="G73" i="196"/>
  <c r="F73" i="196"/>
  <c r="E73" i="196"/>
  <c r="D73" i="196"/>
  <c r="U72" i="196"/>
  <c r="T72" i="196"/>
  <c r="S72" i="196"/>
  <c r="R72" i="196"/>
  <c r="Q72" i="196"/>
  <c r="P72" i="196"/>
  <c r="O72" i="196"/>
  <c r="N72" i="196"/>
  <c r="M72" i="196"/>
  <c r="L72" i="196"/>
  <c r="K72" i="196"/>
  <c r="J72" i="196"/>
  <c r="I72" i="196"/>
  <c r="H72" i="196"/>
  <c r="G72" i="196"/>
  <c r="F72" i="196"/>
  <c r="E72" i="196"/>
  <c r="D72" i="196"/>
  <c r="U71" i="196"/>
  <c r="T71" i="196"/>
  <c r="S71" i="196"/>
  <c r="R71" i="196"/>
  <c r="Q71" i="196"/>
  <c r="P71" i="196"/>
  <c r="O71" i="196"/>
  <c r="N71" i="196"/>
  <c r="M71" i="196"/>
  <c r="L71" i="196"/>
  <c r="K71" i="196"/>
  <c r="J71" i="196"/>
  <c r="I71" i="196"/>
  <c r="H71" i="196"/>
  <c r="G71" i="196"/>
  <c r="F71" i="196"/>
  <c r="E71" i="196"/>
  <c r="D71" i="196"/>
  <c r="P70" i="196"/>
  <c r="U69" i="196"/>
  <c r="T69" i="196"/>
  <c r="S69" i="196"/>
  <c r="R69" i="196"/>
  <c r="Q69" i="196"/>
  <c r="P69" i="196"/>
  <c r="O69" i="196"/>
  <c r="N69" i="196"/>
  <c r="M69" i="196"/>
  <c r="L69" i="196"/>
  <c r="K69" i="196"/>
  <c r="J69" i="196"/>
  <c r="I69" i="196"/>
  <c r="H69" i="196"/>
  <c r="G69" i="196"/>
  <c r="F69" i="196"/>
  <c r="E69" i="196"/>
  <c r="D69" i="196"/>
  <c r="U68" i="196"/>
  <c r="T68" i="196"/>
  <c r="S68" i="196"/>
  <c r="R68" i="196"/>
  <c r="Q68" i="196"/>
  <c r="P68" i="196"/>
  <c r="O68" i="196"/>
  <c r="N68" i="196"/>
  <c r="M68" i="196"/>
  <c r="L68" i="196"/>
  <c r="K68" i="196"/>
  <c r="J68" i="196"/>
  <c r="I68" i="196"/>
  <c r="H68" i="196"/>
  <c r="G68" i="196"/>
  <c r="F68" i="196"/>
  <c r="E68" i="196"/>
  <c r="D68" i="196"/>
  <c r="U67" i="196"/>
  <c r="T67" i="196"/>
  <c r="S67" i="196"/>
  <c r="R67" i="196"/>
  <c r="Q67" i="196"/>
  <c r="P67" i="196"/>
  <c r="O67" i="196"/>
  <c r="N67" i="196"/>
  <c r="M67" i="196"/>
  <c r="L67" i="196"/>
  <c r="K67" i="196"/>
  <c r="J67" i="196"/>
  <c r="I67" i="196"/>
  <c r="H67" i="196"/>
  <c r="G67" i="196"/>
  <c r="F67" i="196"/>
  <c r="E67" i="196"/>
  <c r="D67" i="196"/>
  <c r="U66" i="196"/>
  <c r="T66" i="196"/>
  <c r="S66" i="196"/>
  <c r="R66" i="196"/>
  <c r="Q66" i="196"/>
  <c r="P66" i="196"/>
  <c r="O66" i="196"/>
  <c r="N66" i="196"/>
  <c r="M66" i="196"/>
  <c r="L66" i="196"/>
  <c r="K66" i="196"/>
  <c r="J66" i="196"/>
  <c r="I66" i="196"/>
  <c r="H66" i="196"/>
  <c r="G66" i="196"/>
  <c r="F66" i="196"/>
  <c r="E66" i="196"/>
  <c r="D66" i="196"/>
  <c r="U65" i="196"/>
  <c r="T65" i="196"/>
  <c r="S65" i="196"/>
  <c r="R65" i="196"/>
  <c r="Q65" i="196"/>
  <c r="P65" i="196"/>
  <c r="O65" i="196"/>
  <c r="N65" i="196"/>
  <c r="M65" i="196"/>
  <c r="L65" i="196"/>
  <c r="K65" i="196"/>
  <c r="J65" i="196"/>
  <c r="I65" i="196"/>
  <c r="H65" i="196"/>
  <c r="G65" i="196"/>
  <c r="F65" i="196"/>
  <c r="E65" i="196"/>
  <c r="D65" i="196"/>
  <c r="U64" i="196"/>
  <c r="T64" i="196"/>
  <c r="S64" i="196"/>
  <c r="R64" i="196"/>
  <c r="Q64" i="196"/>
  <c r="P64" i="196"/>
  <c r="O64" i="196"/>
  <c r="N64" i="196"/>
  <c r="M64" i="196"/>
  <c r="L64" i="196"/>
  <c r="K64" i="196"/>
  <c r="J64" i="196"/>
  <c r="I64" i="196"/>
  <c r="H64" i="196"/>
  <c r="G64" i="196"/>
  <c r="F64" i="196"/>
  <c r="E64" i="196"/>
  <c r="D64" i="196"/>
  <c r="U63" i="196"/>
  <c r="T63" i="196"/>
  <c r="S63" i="196"/>
  <c r="R63" i="196"/>
  <c r="Q63" i="196"/>
  <c r="P63" i="196"/>
  <c r="O63" i="196"/>
  <c r="N63" i="196"/>
  <c r="M63" i="196"/>
  <c r="L63" i="196"/>
  <c r="K63" i="196"/>
  <c r="J63" i="196"/>
  <c r="I63" i="196"/>
  <c r="H63" i="196"/>
  <c r="G63" i="196"/>
  <c r="F63" i="196"/>
  <c r="E63" i="196"/>
  <c r="D63" i="196"/>
  <c r="U62" i="196"/>
  <c r="T62" i="196"/>
  <c r="S62" i="196"/>
  <c r="R62" i="196"/>
  <c r="Q62" i="196"/>
  <c r="P62" i="196"/>
  <c r="O62" i="196"/>
  <c r="N62" i="196"/>
  <c r="M62" i="196"/>
  <c r="L62" i="196"/>
  <c r="K62" i="196"/>
  <c r="J62" i="196"/>
  <c r="I62" i="196"/>
  <c r="H62" i="196"/>
  <c r="G62" i="196"/>
  <c r="F62" i="196"/>
  <c r="E62" i="196"/>
  <c r="D62" i="196"/>
  <c r="U61" i="196"/>
  <c r="T61" i="196"/>
  <c r="S61" i="196"/>
  <c r="R61" i="196"/>
  <c r="Q61" i="196"/>
  <c r="P61" i="196"/>
  <c r="O61" i="196"/>
  <c r="N61" i="196"/>
  <c r="M61" i="196"/>
  <c r="L61" i="196"/>
  <c r="K61" i="196"/>
  <c r="J61" i="196"/>
  <c r="I61" i="196"/>
  <c r="H61" i="196"/>
  <c r="G61" i="196"/>
  <c r="F61" i="196"/>
  <c r="E61" i="196"/>
  <c r="D61" i="196"/>
  <c r="U60" i="196"/>
  <c r="T60" i="196"/>
  <c r="S60" i="196"/>
  <c r="R60" i="196"/>
  <c r="Q60" i="196"/>
  <c r="P60" i="196"/>
  <c r="O60" i="196"/>
  <c r="N60" i="196"/>
  <c r="M60" i="196"/>
  <c r="L60" i="196"/>
  <c r="K60" i="196"/>
  <c r="J60" i="196"/>
  <c r="I60" i="196"/>
  <c r="H60" i="196"/>
  <c r="G60" i="196"/>
  <c r="F60" i="196"/>
  <c r="E60" i="196"/>
  <c r="D60" i="196"/>
  <c r="U59" i="196"/>
  <c r="T59" i="196"/>
  <c r="S59" i="196"/>
  <c r="R59" i="196"/>
  <c r="Q59" i="196"/>
  <c r="P59" i="196"/>
  <c r="O59" i="196"/>
  <c r="N59" i="196"/>
  <c r="M59" i="196"/>
  <c r="L59" i="196"/>
  <c r="K59" i="196"/>
  <c r="J59" i="196"/>
  <c r="I59" i="196"/>
  <c r="H59" i="196"/>
  <c r="G59" i="196"/>
  <c r="F59" i="196"/>
  <c r="E59" i="196"/>
  <c r="D59" i="196"/>
  <c r="U58" i="196"/>
  <c r="T58" i="196"/>
  <c r="S58" i="196"/>
  <c r="R58" i="196"/>
  <c r="Q58" i="196"/>
  <c r="P58" i="196"/>
  <c r="O58" i="196"/>
  <c r="N58" i="196"/>
  <c r="M58" i="196"/>
  <c r="L58" i="196"/>
  <c r="K58" i="196"/>
  <c r="J58" i="196"/>
  <c r="I58" i="196"/>
  <c r="H58" i="196"/>
  <c r="G58" i="196"/>
  <c r="F58" i="196"/>
  <c r="E58" i="196"/>
  <c r="D58" i="196"/>
  <c r="U57" i="196"/>
  <c r="T57" i="196"/>
  <c r="S57" i="196"/>
  <c r="R57" i="196"/>
  <c r="Q57" i="196"/>
  <c r="P57" i="196"/>
  <c r="O57" i="196"/>
  <c r="N57" i="196"/>
  <c r="M57" i="196"/>
  <c r="L57" i="196"/>
  <c r="K57" i="196"/>
  <c r="J57" i="196"/>
  <c r="I57" i="196"/>
  <c r="H57" i="196"/>
  <c r="G57" i="196"/>
  <c r="F57" i="196"/>
  <c r="E57" i="196"/>
  <c r="D57" i="196"/>
  <c r="P56" i="196"/>
  <c r="U55" i="196"/>
  <c r="T55" i="196"/>
  <c r="S55" i="196"/>
  <c r="R55" i="196"/>
  <c r="Q55" i="196"/>
  <c r="P55" i="196"/>
  <c r="O55" i="196"/>
  <c r="N55" i="196"/>
  <c r="M55" i="196"/>
  <c r="L55" i="196"/>
  <c r="K55" i="196"/>
  <c r="J55" i="196"/>
  <c r="I55" i="196"/>
  <c r="H55" i="196"/>
  <c r="G55" i="196"/>
  <c r="F55" i="196"/>
  <c r="E55" i="196"/>
  <c r="D55" i="196"/>
  <c r="U54" i="196"/>
  <c r="T54" i="196"/>
  <c r="S54" i="196"/>
  <c r="R54" i="196"/>
  <c r="Q54" i="196"/>
  <c r="P54" i="196"/>
  <c r="O54" i="196"/>
  <c r="N54" i="196"/>
  <c r="M54" i="196"/>
  <c r="L54" i="196"/>
  <c r="K54" i="196"/>
  <c r="J54" i="196"/>
  <c r="I54" i="196"/>
  <c r="H54" i="196"/>
  <c r="G54" i="196"/>
  <c r="F54" i="196"/>
  <c r="E54" i="196"/>
  <c r="D54" i="196"/>
  <c r="U53" i="196"/>
  <c r="T53" i="196"/>
  <c r="S53" i="196"/>
  <c r="R53" i="196"/>
  <c r="Q53" i="196"/>
  <c r="P53" i="196"/>
  <c r="O53" i="196"/>
  <c r="N53" i="196"/>
  <c r="M53" i="196"/>
  <c r="L53" i="196"/>
  <c r="K53" i="196"/>
  <c r="J53" i="196"/>
  <c r="I53" i="196"/>
  <c r="H53" i="196"/>
  <c r="G53" i="196"/>
  <c r="F53" i="196"/>
  <c r="E53" i="196"/>
  <c r="D53" i="196"/>
  <c r="U52" i="196"/>
  <c r="T52" i="196"/>
  <c r="S52" i="196"/>
  <c r="R52" i="196"/>
  <c r="Q52" i="196"/>
  <c r="P52" i="196"/>
  <c r="O52" i="196"/>
  <c r="N52" i="196"/>
  <c r="M52" i="196"/>
  <c r="L52" i="196"/>
  <c r="K52" i="196"/>
  <c r="J52" i="196"/>
  <c r="I52" i="196"/>
  <c r="H52" i="196"/>
  <c r="G52" i="196"/>
  <c r="F52" i="196"/>
  <c r="E52" i="196"/>
  <c r="D52" i="196"/>
  <c r="U51" i="196"/>
  <c r="T51" i="196"/>
  <c r="S51" i="196"/>
  <c r="R51" i="196"/>
  <c r="Q51" i="196"/>
  <c r="P51" i="196"/>
  <c r="O51" i="196"/>
  <c r="N51" i="196"/>
  <c r="M51" i="196"/>
  <c r="L51" i="196"/>
  <c r="K51" i="196"/>
  <c r="J51" i="196"/>
  <c r="I51" i="196"/>
  <c r="H51" i="196"/>
  <c r="G51" i="196"/>
  <c r="F51" i="196"/>
  <c r="E51" i="196"/>
  <c r="D51" i="196"/>
  <c r="U50" i="196"/>
  <c r="T50" i="196"/>
  <c r="S50" i="196"/>
  <c r="R50" i="196"/>
  <c r="Q50" i="196"/>
  <c r="P50" i="196"/>
  <c r="O50" i="196"/>
  <c r="N50" i="196"/>
  <c r="M50" i="196"/>
  <c r="L50" i="196"/>
  <c r="K50" i="196"/>
  <c r="J50" i="196"/>
  <c r="I50" i="196"/>
  <c r="H50" i="196"/>
  <c r="G50" i="196"/>
  <c r="F50" i="196"/>
  <c r="E50" i="196"/>
  <c r="D50" i="196"/>
  <c r="U49" i="196"/>
  <c r="T49" i="196"/>
  <c r="S49" i="196"/>
  <c r="R49" i="196"/>
  <c r="Q49" i="196"/>
  <c r="P49" i="196"/>
  <c r="O49" i="196"/>
  <c r="N49" i="196"/>
  <c r="M49" i="196"/>
  <c r="L49" i="196"/>
  <c r="K49" i="196"/>
  <c r="J49" i="196"/>
  <c r="I49" i="196"/>
  <c r="H49" i="196"/>
  <c r="G49" i="196"/>
  <c r="F49" i="196"/>
  <c r="E49" i="196"/>
  <c r="D49" i="196"/>
  <c r="U43" i="196"/>
  <c r="T43" i="196"/>
  <c r="S43" i="196"/>
  <c r="R43" i="196"/>
  <c r="Q43" i="196"/>
  <c r="P43" i="196"/>
  <c r="O43" i="196"/>
  <c r="N43" i="196"/>
  <c r="M43" i="196"/>
  <c r="L43" i="196"/>
  <c r="K43" i="196"/>
  <c r="J43" i="196"/>
  <c r="I43" i="196"/>
  <c r="H43" i="196"/>
  <c r="G43" i="196"/>
  <c r="F43" i="196"/>
  <c r="E43" i="196"/>
  <c r="D43" i="196"/>
  <c r="U42" i="196"/>
  <c r="T42" i="196"/>
  <c r="S42" i="196"/>
  <c r="R42" i="196"/>
  <c r="Q42" i="196"/>
  <c r="P42" i="196"/>
  <c r="O42" i="196"/>
  <c r="N42" i="196"/>
  <c r="M42" i="196"/>
  <c r="L42" i="196"/>
  <c r="K42" i="196"/>
  <c r="J42" i="196"/>
  <c r="I42" i="196"/>
  <c r="H42" i="196"/>
  <c r="G42" i="196"/>
  <c r="F42" i="196"/>
  <c r="E42" i="196"/>
  <c r="D42" i="196"/>
  <c r="U41" i="196"/>
  <c r="T41" i="196"/>
  <c r="S41" i="196"/>
  <c r="R41" i="196"/>
  <c r="Q41" i="196"/>
  <c r="P41" i="196"/>
  <c r="O41" i="196"/>
  <c r="N41" i="196"/>
  <c r="M41" i="196"/>
  <c r="L41" i="196"/>
  <c r="K41" i="196"/>
  <c r="J41" i="196"/>
  <c r="I41" i="196"/>
  <c r="H41" i="196"/>
  <c r="G41" i="196"/>
  <c r="F41" i="196"/>
  <c r="E41" i="196"/>
  <c r="D41" i="196"/>
  <c r="U40" i="196"/>
  <c r="T40" i="196"/>
  <c r="S40" i="196"/>
  <c r="R40" i="196"/>
  <c r="Q40" i="196"/>
  <c r="P40" i="196"/>
  <c r="O40" i="196"/>
  <c r="N40" i="196"/>
  <c r="M40" i="196"/>
  <c r="L40" i="196"/>
  <c r="K40" i="196"/>
  <c r="J40" i="196"/>
  <c r="I40" i="196"/>
  <c r="H40" i="196"/>
  <c r="G40" i="196"/>
  <c r="F40" i="196"/>
  <c r="E40" i="196"/>
  <c r="D40" i="196"/>
  <c r="U39" i="196"/>
  <c r="T39" i="196"/>
  <c r="S39" i="196"/>
  <c r="R39" i="196"/>
  <c r="Q39" i="196"/>
  <c r="P39" i="196"/>
  <c r="O39" i="196"/>
  <c r="N39" i="196"/>
  <c r="M39" i="196"/>
  <c r="L39" i="196"/>
  <c r="K39" i="196"/>
  <c r="J39" i="196"/>
  <c r="I39" i="196"/>
  <c r="H39" i="196"/>
  <c r="G39" i="196"/>
  <c r="F39" i="196"/>
  <c r="E39" i="196"/>
  <c r="D39" i="196"/>
  <c r="U38" i="196"/>
  <c r="T38" i="196"/>
  <c r="S38" i="196"/>
  <c r="R38" i="196"/>
  <c r="Q38" i="196"/>
  <c r="P38" i="196"/>
  <c r="O38" i="196"/>
  <c r="N38" i="196"/>
  <c r="M38" i="196"/>
  <c r="L38" i="196"/>
  <c r="K38" i="196"/>
  <c r="J38" i="196"/>
  <c r="I38" i="196"/>
  <c r="H38" i="196"/>
  <c r="G38" i="196"/>
  <c r="F38" i="196"/>
  <c r="E38" i="196"/>
  <c r="D38" i="196"/>
  <c r="U37" i="196"/>
  <c r="T37" i="196"/>
  <c r="S37" i="196"/>
  <c r="R37" i="196"/>
  <c r="Q37" i="196"/>
  <c r="P37" i="196"/>
  <c r="O37" i="196"/>
  <c r="N37" i="196"/>
  <c r="M37" i="196"/>
  <c r="L37" i="196"/>
  <c r="K37" i="196"/>
  <c r="J37" i="196"/>
  <c r="I37" i="196"/>
  <c r="H37" i="196"/>
  <c r="G37" i="196"/>
  <c r="F37" i="196"/>
  <c r="E37" i="196"/>
  <c r="D37" i="196"/>
  <c r="U36" i="196"/>
  <c r="T36" i="196"/>
  <c r="S36" i="196"/>
  <c r="R36" i="196"/>
  <c r="Q36" i="196"/>
  <c r="P36" i="196"/>
  <c r="O36" i="196"/>
  <c r="N36" i="196"/>
  <c r="M36" i="196"/>
  <c r="L36" i="196"/>
  <c r="K36" i="196"/>
  <c r="J36" i="196"/>
  <c r="I36" i="196"/>
  <c r="H36" i="196"/>
  <c r="G36" i="196"/>
  <c r="F36" i="196"/>
  <c r="E36" i="196"/>
  <c r="D36" i="196"/>
  <c r="U35" i="196"/>
  <c r="T35" i="196"/>
  <c r="S35" i="196"/>
  <c r="R35" i="196"/>
  <c r="Q35" i="196"/>
  <c r="P35" i="196"/>
  <c r="O35" i="196"/>
  <c r="N35" i="196"/>
  <c r="M35" i="196"/>
  <c r="L35" i="196"/>
  <c r="K35" i="196"/>
  <c r="J35" i="196"/>
  <c r="I35" i="196"/>
  <c r="H35" i="196"/>
  <c r="G35" i="196"/>
  <c r="F35" i="196"/>
  <c r="E35" i="196"/>
  <c r="D35" i="196"/>
  <c r="U34" i="196"/>
  <c r="T34" i="196"/>
  <c r="S34" i="196"/>
  <c r="R34" i="196"/>
  <c r="Q34" i="196"/>
  <c r="P34" i="196"/>
  <c r="O34" i="196"/>
  <c r="N34" i="196"/>
  <c r="M34" i="196"/>
  <c r="L34" i="196"/>
  <c r="K34" i="196"/>
  <c r="J34" i="196"/>
  <c r="I34" i="196"/>
  <c r="H34" i="196"/>
  <c r="G34" i="196"/>
  <c r="F34" i="196"/>
  <c r="E34" i="196"/>
  <c r="D34" i="196"/>
  <c r="P33" i="196"/>
  <c r="U32" i="196"/>
  <c r="T32" i="196"/>
  <c r="S32" i="196"/>
  <c r="R32" i="196"/>
  <c r="Q32" i="196"/>
  <c r="P32" i="196"/>
  <c r="O32" i="196"/>
  <c r="N32" i="196"/>
  <c r="M32" i="196"/>
  <c r="L32" i="196"/>
  <c r="K32" i="196"/>
  <c r="J32" i="196"/>
  <c r="I32" i="196"/>
  <c r="H32" i="196"/>
  <c r="G32" i="196"/>
  <c r="F32" i="196"/>
  <c r="E32" i="196"/>
  <c r="D32" i="196"/>
  <c r="U31" i="196"/>
  <c r="T31" i="196"/>
  <c r="S31" i="196"/>
  <c r="R31" i="196"/>
  <c r="Q31" i="196"/>
  <c r="P31" i="196"/>
  <c r="O31" i="196"/>
  <c r="N31" i="196"/>
  <c r="M31" i="196"/>
  <c r="L31" i="196"/>
  <c r="K31" i="196"/>
  <c r="J31" i="196"/>
  <c r="I31" i="196"/>
  <c r="H31" i="196"/>
  <c r="G31" i="196"/>
  <c r="F31" i="196"/>
  <c r="E31" i="196"/>
  <c r="D31" i="196"/>
  <c r="U30" i="196"/>
  <c r="T30" i="196"/>
  <c r="S30" i="196"/>
  <c r="R30" i="196"/>
  <c r="Q30" i="196"/>
  <c r="P30" i="196"/>
  <c r="O30" i="196"/>
  <c r="N30" i="196"/>
  <c r="M30" i="196"/>
  <c r="L30" i="196"/>
  <c r="K30" i="196"/>
  <c r="J30" i="196"/>
  <c r="I30" i="196"/>
  <c r="H30" i="196"/>
  <c r="G30" i="196"/>
  <c r="F30" i="196"/>
  <c r="E30" i="196"/>
  <c r="D30" i="196"/>
  <c r="U29" i="196"/>
  <c r="T29" i="196"/>
  <c r="S29" i="196"/>
  <c r="R29" i="196"/>
  <c r="Q29" i="196"/>
  <c r="P29" i="196"/>
  <c r="O29" i="196"/>
  <c r="N29" i="196"/>
  <c r="M29" i="196"/>
  <c r="L29" i="196"/>
  <c r="K29" i="196"/>
  <c r="J29" i="196"/>
  <c r="I29" i="196"/>
  <c r="H29" i="196"/>
  <c r="G29" i="196"/>
  <c r="F29" i="196"/>
  <c r="E29" i="196"/>
  <c r="D29" i="196"/>
  <c r="U28" i="196"/>
  <c r="T28" i="196"/>
  <c r="S28" i="196"/>
  <c r="R28" i="196"/>
  <c r="Q28" i="196"/>
  <c r="P28" i="196"/>
  <c r="O28" i="196"/>
  <c r="N28" i="196"/>
  <c r="M28" i="196"/>
  <c r="L28" i="196"/>
  <c r="K28" i="196"/>
  <c r="J28" i="196"/>
  <c r="I28" i="196"/>
  <c r="H28" i="196"/>
  <c r="G28" i="196"/>
  <c r="F28" i="196"/>
  <c r="E28" i="196"/>
  <c r="D28" i="196"/>
  <c r="U27" i="196"/>
  <c r="T27" i="196"/>
  <c r="S27" i="196"/>
  <c r="R27" i="196"/>
  <c r="Q27" i="196"/>
  <c r="P27" i="196"/>
  <c r="O27" i="196"/>
  <c r="N27" i="196"/>
  <c r="M27" i="196"/>
  <c r="L27" i="196"/>
  <c r="K27" i="196"/>
  <c r="J27" i="196"/>
  <c r="I27" i="196"/>
  <c r="H27" i="196"/>
  <c r="G27" i="196"/>
  <c r="F27" i="196"/>
  <c r="E27" i="196"/>
  <c r="D27" i="196"/>
  <c r="U26" i="196"/>
  <c r="T26" i="196"/>
  <c r="S26" i="196"/>
  <c r="R26" i="196"/>
  <c r="Q26" i="196"/>
  <c r="P26" i="196"/>
  <c r="O26" i="196"/>
  <c r="N26" i="196"/>
  <c r="M26" i="196"/>
  <c r="L26" i="196"/>
  <c r="K26" i="196"/>
  <c r="J26" i="196"/>
  <c r="I26" i="196"/>
  <c r="H26" i="196"/>
  <c r="G26" i="196"/>
  <c r="F26" i="196"/>
  <c r="E26" i="196"/>
  <c r="D26" i="196"/>
  <c r="U25" i="196"/>
  <c r="T25" i="196"/>
  <c r="S25" i="196"/>
  <c r="R25" i="196"/>
  <c r="Q25" i="196"/>
  <c r="P25" i="196"/>
  <c r="O25" i="196"/>
  <c r="N25" i="196"/>
  <c r="M25" i="196"/>
  <c r="L25" i="196"/>
  <c r="K25" i="196"/>
  <c r="J25" i="196"/>
  <c r="I25" i="196"/>
  <c r="H25" i="196"/>
  <c r="G25" i="196"/>
  <c r="F25" i="196"/>
  <c r="E25" i="196"/>
  <c r="D25" i="196"/>
  <c r="U24" i="196"/>
  <c r="T24" i="196"/>
  <c r="S24" i="196"/>
  <c r="R24" i="196"/>
  <c r="Q24" i="196"/>
  <c r="P24" i="196"/>
  <c r="O24" i="196"/>
  <c r="N24" i="196"/>
  <c r="M24" i="196"/>
  <c r="L24" i="196"/>
  <c r="K24" i="196"/>
  <c r="J24" i="196"/>
  <c r="I24" i="196"/>
  <c r="H24" i="196"/>
  <c r="G24" i="196"/>
  <c r="F24" i="196"/>
  <c r="E24" i="196"/>
  <c r="D24" i="196"/>
  <c r="U23" i="196"/>
  <c r="T23" i="196"/>
  <c r="S23" i="196"/>
  <c r="R23" i="196"/>
  <c r="Q23" i="196"/>
  <c r="P23" i="196"/>
  <c r="O23" i="196"/>
  <c r="N23" i="196"/>
  <c r="M23" i="196"/>
  <c r="L23" i="196"/>
  <c r="K23" i="196"/>
  <c r="J23" i="196"/>
  <c r="I23" i="196"/>
  <c r="H23" i="196"/>
  <c r="G23" i="196"/>
  <c r="F23" i="196"/>
  <c r="E23" i="196"/>
  <c r="D23" i="196"/>
  <c r="U22" i="196"/>
  <c r="T22" i="196"/>
  <c r="S22" i="196"/>
  <c r="R22" i="196"/>
  <c r="Q22" i="196"/>
  <c r="P22" i="196"/>
  <c r="O22" i="196"/>
  <c r="N22" i="196"/>
  <c r="M22" i="196"/>
  <c r="L22" i="196"/>
  <c r="K22" i="196"/>
  <c r="J22" i="196"/>
  <c r="I22" i="196"/>
  <c r="H22" i="196"/>
  <c r="G22" i="196"/>
  <c r="F22" i="196"/>
  <c r="E22" i="196"/>
  <c r="D22" i="196"/>
  <c r="U21" i="196"/>
  <c r="T21" i="196"/>
  <c r="S21" i="196"/>
  <c r="R21" i="196"/>
  <c r="Q21" i="196"/>
  <c r="P21" i="196"/>
  <c r="O21" i="196"/>
  <c r="N21" i="196"/>
  <c r="M21" i="196"/>
  <c r="L21" i="196"/>
  <c r="K21" i="196"/>
  <c r="J21" i="196"/>
  <c r="I21" i="196"/>
  <c r="H21" i="196"/>
  <c r="G21" i="196"/>
  <c r="F21" i="196"/>
  <c r="E21" i="196"/>
  <c r="D21" i="196"/>
  <c r="U20" i="196"/>
  <c r="T20" i="196"/>
  <c r="S20" i="196"/>
  <c r="R20" i="196"/>
  <c r="Q20" i="196"/>
  <c r="P20" i="196"/>
  <c r="O20" i="196"/>
  <c r="N20" i="196"/>
  <c r="M20" i="196"/>
  <c r="L20" i="196"/>
  <c r="K20" i="196"/>
  <c r="J20" i="196"/>
  <c r="I20" i="196"/>
  <c r="H20" i="196"/>
  <c r="G20" i="196"/>
  <c r="F20" i="196"/>
  <c r="E20" i="196"/>
  <c r="D20" i="196"/>
  <c r="P19" i="196"/>
  <c r="U18" i="196"/>
  <c r="T18" i="196"/>
  <c r="S18" i="196"/>
  <c r="R18" i="196"/>
  <c r="Q18" i="196"/>
  <c r="P18" i="196"/>
  <c r="O18" i="196"/>
  <c r="N18" i="196"/>
  <c r="M18" i="196"/>
  <c r="L18" i="196"/>
  <c r="K18" i="196"/>
  <c r="J18" i="196"/>
  <c r="I18" i="196"/>
  <c r="H18" i="196"/>
  <c r="G18" i="196"/>
  <c r="F18" i="196"/>
  <c r="E18" i="196"/>
  <c r="D18" i="196"/>
  <c r="U17" i="196"/>
  <c r="T17" i="196"/>
  <c r="S17" i="196"/>
  <c r="R17" i="196"/>
  <c r="Q17" i="196"/>
  <c r="P17" i="196"/>
  <c r="O17" i="196"/>
  <c r="N17" i="196"/>
  <c r="M17" i="196"/>
  <c r="L17" i="196"/>
  <c r="K17" i="196"/>
  <c r="J17" i="196"/>
  <c r="I17" i="196"/>
  <c r="H17" i="196"/>
  <c r="G17" i="196"/>
  <c r="F17" i="196"/>
  <c r="E17" i="196"/>
  <c r="D17" i="196"/>
  <c r="U16" i="196"/>
  <c r="T16" i="196"/>
  <c r="S16" i="196"/>
  <c r="R16" i="196"/>
  <c r="Q16" i="196"/>
  <c r="P16" i="196"/>
  <c r="O16" i="196"/>
  <c r="N16" i="196"/>
  <c r="M16" i="196"/>
  <c r="L16" i="196"/>
  <c r="K16" i="196"/>
  <c r="J16" i="196"/>
  <c r="I16" i="196"/>
  <c r="H16" i="196"/>
  <c r="G16" i="196"/>
  <c r="F16" i="196"/>
  <c r="E16" i="196"/>
  <c r="D16" i="196"/>
  <c r="U15" i="196"/>
  <c r="T15" i="196"/>
  <c r="S15" i="196"/>
  <c r="R15" i="196"/>
  <c r="Q15" i="196"/>
  <c r="P15" i="196"/>
  <c r="O15" i="196"/>
  <c r="N15" i="196"/>
  <c r="M15" i="196"/>
  <c r="L15" i="196"/>
  <c r="K15" i="196"/>
  <c r="J15" i="196"/>
  <c r="I15" i="196"/>
  <c r="H15" i="196"/>
  <c r="G15" i="196"/>
  <c r="F15" i="196"/>
  <c r="E15" i="196"/>
  <c r="D15" i="196"/>
  <c r="U14" i="196"/>
  <c r="T14" i="196"/>
  <c r="S14" i="196"/>
  <c r="R14" i="196"/>
  <c r="Q14" i="196"/>
  <c r="P14" i="196"/>
  <c r="O14" i="196"/>
  <c r="N14" i="196"/>
  <c r="M14" i="196"/>
  <c r="L14" i="196"/>
  <c r="K14" i="196"/>
  <c r="J14" i="196"/>
  <c r="I14" i="196"/>
  <c r="H14" i="196"/>
  <c r="G14" i="196"/>
  <c r="F14" i="196"/>
  <c r="E14" i="196"/>
  <c r="D14" i="196"/>
  <c r="U13" i="196"/>
  <c r="T13" i="196"/>
  <c r="S13" i="196"/>
  <c r="R13" i="196"/>
  <c r="Q13" i="196"/>
  <c r="P13" i="196"/>
  <c r="O13" i="196"/>
  <c r="N13" i="196"/>
  <c r="M13" i="196"/>
  <c r="L13" i="196"/>
  <c r="K13" i="196"/>
  <c r="J13" i="196"/>
  <c r="I13" i="196"/>
  <c r="H13" i="196"/>
  <c r="G13" i="196"/>
  <c r="F13" i="196"/>
  <c r="E13" i="196"/>
  <c r="D13" i="196"/>
  <c r="U12" i="196"/>
  <c r="T12" i="196"/>
  <c r="S12" i="196"/>
  <c r="R12" i="196"/>
  <c r="Q12" i="196"/>
  <c r="P12" i="196"/>
  <c r="O12" i="196"/>
  <c r="N12" i="196"/>
  <c r="M12" i="196"/>
  <c r="L12" i="196"/>
  <c r="K12" i="196"/>
  <c r="J12" i="196"/>
  <c r="I12" i="196"/>
  <c r="H12" i="196"/>
  <c r="G12" i="196"/>
  <c r="F12" i="196"/>
  <c r="E12" i="196"/>
  <c r="D12" i="196"/>
  <c r="U154" i="195"/>
  <c r="T154" i="195"/>
  <c r="S154" i="195"/>
  <c r="R154" i="195"/>
  <c r="Q154" i="195"/>
  <c r="P154" i="195"/>
  <c r="O154" i="195"/>
  <c r="N154" i="195"/>
  <c r="M154" i="195"/>
  <c r="L154" i="195"/>
  <c r="K154" i="195"/>
  <c r="J154" i="195"/>
  <c r="I154" i="195"/>
  <c r="H154" i="195"/>
  <c r="G154" i="195"/>
  <c r="F154" i="195"/>
  <c r="E154" i="195"/>
  <c r="D154" i="195"/>
  <c r="U153" i="195"/>
  <c r="T153" i="195"/>
  <c r="S153" i="195"/>
  <c r="R153" i="195"/>
  <c r="Q153" i="195"/>
  <c r="P153" i="195"/>
  <c r="O153" i="195"/>
  <c r="N153" i="195"/>
  <c r="M153" i="195"/>
  <c r="L153" i="195"/>
  <c r="K153" i="195"/>
  <c r="J153" i="195"/>
  <c r="I153" i="195"/>
  <c r="H153" i="195"/>
  <c r="G153" i="195"/>
  <c r="F153" i="195"/>
  <c r="E153" i="195"/>
  <c r="D153" i="195"/>
  <c r="U152" i="195"/>
  <c r="T152" i="195"/>
  <c r="S152" i="195"/>
  <c r="R152" i="195"/>
  <c r="Q152" i="195"/>
  <c r="P152" i="195"/>
  <c r="O152" i="195"/>
  <c r="N152" i="195"/>
  <c r="M152" i="195"/>
  <c r="L152" i="195"/>
  <c r="K152" i="195"/>
  <c r="J152" i="195"/>
  <c r="I152" i="195"/>
  <c r="H152" i="195"/>
  <c r="G152" i="195"/>
  <c r="F152" i="195"/>
  <c r="E152" i="195"/>
  <c r="D152" i="195"/>
  <c r="U151" i="195"/>
  <c r="T151" i="195"/>
  <c r="S151" i="195"/>
  <c r="R151" i="195"/>
  <c r="Q151" i="195"/>
  <c r="P151" i="195"/>
  <c r="O151" i="195"/>
  <c r="N151" i="195"/>
  <c r="M151" i="195"/>
  <c r="L151" i="195"/>
  <c r="K151" i="195"/>
  <c r="J151" i="195"/>
  <c r="I151" i="195"/>
  <c r="H151" i="195"/>
  <c r="G151" i="195"/>
  <c r="F151" i="195"/>
  <c r="E151" i="195"/>
  <c r="D151" i="195"/>
  <c r="U150" i="195"/>
  <c r="T150" i="195"/>
  <c r="S150" i="195"/>
  <c r="R150" i="195"/>
  <c r="Q150" i="195"/>
  <c r="P150" i="195"/>
  <c r="O150" i="195"/>
  <c r="N150" i="195"/>
  <c r="M150" i="195"/>
  <c r="L150" i="195"/>
  <c r="K150" i="195"/>
  <c r="J150" i="195"/>
  <c r="I150" i="195"/>
  <c r="H150" i="195"/>
  <c r="G150" i="195"/>
  <c r="F150" i="195"/>
  <c r="E150" i="195"/>
  <c r="D150" i="195"/>
  <c r="U149" i="195"/>
  <c r="T149" i="195"/>
  <c r="S149" i="195"/>
  <c r="R149" i="195"/>
  <c r="Q149" i="195"/>
  <c r="P149" i="195"/>
  <c r="O149" i="195"/>
  <c r="N149" i="195"/>
  <c r="M149" i="195"/>
  <c r="L149" i="195"/>
  <c r="K149" i="195"/>
  <c r="J149" i="195"/>
  <c r="I149" i="195"/>
  <c r="H149" i="195"/>
  <c r="G149" i="195"/>
  <c r="F149" i="195"/>
  <c r="E149" i="195"/>
  <c r="D149" i="195"/>
  <c r="U148" i="195"/>
  <c r="T148" i="195"/>
  <c r="S148" i="195"/>
  <c r="R148" i="195"/>
  <c r="Q148" i="195"/>
  <c r="P148" i="195"/>
  <c r="O148" i="195"/>
  <c r="N148" i="195"/>
  <c r="M148" i="195"/>
  <c r="L148" i="195"/>
  <c r="K148" i="195"/>
  <c r="J148" i="195"/>
  <c r="I148" i="195"/>
  <c r="H148" i="195"/>
  <c r="G148" i="195"/>
  <c r="F148" i="195"/>
  <c r="E148" i="195"/>
  <c r="D148" i="195"/>
  <c r="U147" i="195"/>
  <c r="T147" i="195"/>
  <c r="S147" i="195"/>
  <c r="R147" i="195"/>
  <c r="Q147" i="195"/>
  <c r="P147" i="195"/>
  <c r="O147" i="195"/>
  <c r="N147" i="195"/>
  <c r="M147" i="195"/>
  <c r="L147" i="195"/>
  <c r="K147" i="195"/>
  <c r="J147" i="195"/>
  <c r="I147" i="195"/>
  <c r="H147" i="195"/>
  <c r="G147" i="195"/>
  <c r="F147" i="195"/>
  <c r="E147" i="195"/>
  <c r="D147" i="195"/>
  <c r="U146" i="195"/>
  <c r="T146" i="195"/>
  <c r="S146" i="195"/>
  <c r="R146" i="195"/>
  <c r="Q146" i="195"/>
  <c r="P146" i="195"/>
  <c r="O146" i="195"/>
  <c r="N146" i="195"/>
  <c r="M146" i="195"/>
  <c r="L146" i="195"/>
  <c r="K146" i="195"/>
  <c r="J146" i="195"/>
  <c r="I146" i="195"/>
  <c r="H146" i="195"/>
  <c r="G146" i="195"/>
  <c r="F146" i="195"/>
  <c r="E146" i="195"/>
  <c r="D146" i="195"/>
  <c r="U145" i="195"/>
  <c r="T145" i="195"/>
  <c r="S145" i="195"/>
  <c r="R145" i="195"/>
  <c r="Q145" i="195"/>
  <c r="P145" i="195"/>
  <c r="O145" i="195"/>
  <c r="N145" i="195"/>
  <c r="M145" i="195"/>
  <c r="L145" i="195"/>
  <c r="K145" i="195"/>
  <c r="J145" i="195"/>
  <c r="I145" i="195"/>
  <c r="H145" i="195"/>
  <c r="G145" i="195"/>
  <c r="F145" i="195"/>
  <c r="E145" i="195"/>
  <c r="D145" i="195"/>
  <c r="P144" i="195"/>
  <c r="U143" i="195"/>
  <c r="T143" i="195"/>
  <c r="S143" i="195"/>
  <c r="R143" i="195"/>
  <c r="Q143" i="195"/>
  <c r="P143" i="195"/>
  <c r="O143" i="195"/>
  <c r="N143" i="195"/>
  <c r="M143" i="195"/>
  <c r="L143" i="195"/>
  <c r="K143" i="195"/>
  <c r="J143" i="195"/>
  <c r="I143" i="195"/>
  <c r="H143" i="195"/>
  <c r="G143" i="195"/>
  <c r="F143" i="195"/>
  <c r="E143" i="195"/>
  <c r="D143" i="195"/>
  <c r="U142" i="195"/>
  <c r="T142" i="195"/>
  <c r="S142" i="195"/>
  <c r="R142" i="195"/>
  <c r="Q142" i="195"/>
  <c r="P142" i="195"/>
  <c r="O142" i="195"/>
  <c r="N142" i="195"/>
  <c r="M142" i="195"/>
  <c r="L142" i="195"/>
  <c r="K142" i="195"/>
  <c r="J142" i="195"/>
  <c r="I142" i="195"/>
  <c r="H142" i="195"/>
  <c r="G142" i="195"/>
  <c r="F142" i="195"/>
  <c r="E142" i="195"/>
  <c r="D142" i="195"/>
  <c r="U141" i="195"/>
  <c r="T141" i="195"/>
  <c r="S141" i="195"/>
  <c r="R141" i="195"/>
  <c r="Q141" i="195"/>
  <c r="P141" i="195"/>
  <c r="O141" i="195"/>
  <c r="N141" i="195"/>
  <c r="M141" i="195"/>
  <c r="L141" i="195"/>
  <c r="K141" i="195"/>
  <c r="J141" i="195"/>
  <c r="I141" i="195"/>
  <c r="H141" i="195"/>
  <c r="G141" i="195"/>
  <c r="F141" i="195"/>
  <c r="E141" i="195"/>
  <c r="D141" i="195"/>
  <c r="U140" i="195"/>
  <c r="T140" i="195"/>
  <c r="S140" i="195"/>
  <c r="R140" i="195"/>
  <c r="Q140" i="195"/>
  <c r="P140" i="195"/>
  <c r="O140" i="195"/>
  <c r="N140" i="195"/>
  <c r="M140" i="195"/>
  <c r="L140" i="195"/>
  <c r="K140" i="195"/>
  <c r="J140" i="195"/>
  <c r="I140" i="195"/>
  <c r="H140" i="195"/>
  <c r="G140" i="195"/>
  <c r="F140" i="195"/>
  <c r="E140" i="195"/>
  <c r="D140" i="195"/>
  <c r="U139" i="195"/>
  <c r="T139" i="195"/>
  <c r="S139" i="195"/>
  <c r="R139" i="195"/>
  <c r="Q139" i="195"/>
  <c r="P139" i="195"/>
  <c r="O139" i="195"/>
  <c r="N139" i="195"/>
  <c r="M139" i="195"/>
  <c r="L139" i="195"/>
  <c r="K139" i="195"/>
  <c r="J139" i="195"/>
  <c r="I139" i="195"/>
  <c r="H139" i="195"/>
  <c r="G139" i="195"/>
  <c r="F139" i="195"/>
  <c r="E139" i="195"/>
  <c r="D139" i="195"/>
  <c r="U138" i="195"/>
  <c r="T138" i="195"/>
  <c r="S138" i="195"/>
  <c r="R138" i="195"/>
  <c r="Q138" i="195"/>
  <c r="P138" i="195"/>
  <c r="O138" i="195"/>
  <c r="N138" i="195"/>
  <c r="M138" i="195"/>
  <c r="L138" i="195"/>
  <c r="K138" i="195"/>
  <c r="J138" i="195"/>
  <c r="I138" i="195"/>
  <c r="H138" i="195"/>
  <c r="G138" i="195"/>
  <c r="F138" i="195"/>
  <c r="E138" i="195"/>
  <c r="D138" i="195"/>
  <c r="U137" i="195"/>
  <c r="T137" i="195"/>
  <c r="S137" i="195"/>
  <c r="R137" i="195"/>
  <c r="Q137" i="195"/>
  <c r="P137" i="195"/>
  <c r="O137" i="195"/>
  <c r="N137" i="195"/>
  <c r="M137" i="195"/>
  <c r="L137" i="195"/>
  <c r="K137" i="195"/>
  <c r="J137" i="195"/>
  <c r="I137" i="195"/>
  <c r="H137" i="195"/>
  <c r="G137" i="195"/>
  <c r="F137" i="195"/>
  <c r="E137" i="195"/>
  <c r="D137" i="195"/>
  <c r="U136" i="195"/>
  <c r="T136" i="195"/>
  <c r="S136" i="195"/>
  <c r="R136" i="195"/>
  <c r="Q136" i="195"/>
  <c r="P136" i="195"/>
  <c r="O136" i="195"/>
  <c r="N136" i="195"/>
  <c r="M136" i="195"/>
  <c r="L136" i="195"/>
  <c r="K136" i="195"/>
  <c r="J136" i="195"/>
  <c r="I136" i="195"/>
  <c r="H136" i="195"/>
  <c r="G136" i="195"/>
  <c r="F136" i="195"/>
  <c r="E136" i="195"/>
  <c r="D136" i="195"/>
  <c r="U135" i="195"/>
  <c r="T135" i="195"/>
  <c r="S135" i="195"/>
  <c r="R135" i="195"/>
  <c r="Q135" i="195"/>
  <c r="P135" i="195"/>
  <c r="O135" i="195"/>
  <c r="N135" i="195"/>
  <c r="M135" i="195"/>
  <c r="L135" i="195"/>
  <c r="K135" i="195"/>
  <c r="J135" i="195"/>
  <c r="I135" i="195"/>
  <c r="H135" i="195"/>
  <c r="G135" i="195"/>
  <c r="F135" i="195"/>
  <c r="E135" i="195"/>
  <c r="D135" i="195"/>
  <c r="U134" i="195"/>
  <c r="T134" i="195"/>
  <c r="S134" i="195"/>
  <c r="R134" i="195"/>
  <c r="Q134" i="195"/>
  <c r="P134" i="195"/>
  <c r="O134" i="195"/>
  <c r="N134" i="195"/>
  <c r="M134" i="195"/>
  <c r="L134" i="195"/>
  <c r="K134" i="195"/>
  <c r="J134" i="195"/>
  <c r="I134" i="195"/>
  <c r="H134" i="195"/>
  <c r="G134" i="195"/>
  <c r="F134" i="195"/>
  <c r="E134" i="195"/>
  <c r="D134" i="195"/>
  <c r="U133" i="195"/>
  <c r="T133" i="195"/>
  <c r="S133" i="195"/>
  <c r="R133" i="195"/>
  <c r="Q133" i="195"/>
  <c r="P133" i="195"/>
  <c r="O133" i="195"/>
  <c r="N133" i="195"/>
  <c r="M133" i="195"/>
  <c r="L133" i="195"/>
  <c r="K133" i="195"/>
  <c r="J133" i="195"/>
  <c r="I133" i="195"/>
  <c r="H133" i="195"/>
  <c r="G133" i="195"/>
  <c r="F133" i="195"/>
  <c r="E133" i="195"/>
  <c r="D133" i="195"/>
  <c r="U132" i="195"/>
  <c r="T132" i="195"/>
  <c r="S132" i="195"/>
  <c r="R132" i="195"/>
  <c r="Q132" i="195"/>
  <c r="P132" i="195"/>
  <c r="O132" i="195"/>
  <c r="N132" i="195"/>
  <c r="M132" i="195"/>
  <c r="L132" i="195"/>
  <c r="K132" i="195"/>
  <c r="J132" i="195"/>
  <c r="I132" i="195"/>
  <c r="H132" i="195"/>
  <c r="G132" i="195"/>
  <c r="F132" i="195"/>
  <c r="E132" i="195"/>
  <c r="D132" i="195"/>
  <c r="U131" i="195"/>
  <c r="T131" i="195"/>
  <c r="S131" i="195"/>
  <c r="R131" i="195"/>
  <c r="Q131" i="195"/>
  <c r="P131" i="195"/>
  <c r="O131" i="195"/>
  <c r="N131" i="195"/>
  <c r="M131" i="195"/>
  <c r="L131" i="195"/>
  <c r="K131" i="195"/>
  <c r="J131" i="195"/>
  <c r="I131" i="195"/>
  <c r="H131" i="195"/>
  <c r="G131" i="195"/>
  <c r="F131" i="195"/>
  <c r="E131" i="195"/>
  <c r="D131" i="195"/>
  <c r="P130" i="195"/>
  <c r="U129" i="195"/>
  <c r="T129" i="195"/>
  <c r="S129" i="195"/>
  <c r="R129" i="195"/>
  <c r="Q129" i="195"/>
  <c r="P129" i="195"/>
  <c r="O129" i="195"/>
  <c r="N129" i="195"/>
  <c r="M129" i="195"/>
  <c r="L129" i="195"/>
  <c r="K129" i="195"/>
  <c r="J129" i="195"/>
  <c r="I129" i="195"/>
  <c r="H129" i="195"/>
  <c r="G129" i="195"/>
  <c r="F129" i="195"/>
  <c r="E129" i="195"/>
  <c r="D129" i="195"/>
  <c r="U128" i="195"/>
  <c r="T128" i="195"/>
  <c r="S128" i="195"/>
  <c r="R128" i="195"/>
  <c r="Q128" i="195"/>
  <c r="P128" i="195"/>
  <c r="O128" i="195"/>
  <c r="N128" i="195"/>
  <c r="M128" i="195"/>
  <c r="L128" i="195"/>
  <c r="K128" i="195"/>
  <c r="J128" i="195"/>
  <c r="I128" i="195"/>
  <c r="H128" i="195"/>
  <c r="G128" i="195"/>
  <c r="F128" i="195"/>
  <c r="E128" i="195"/>
  <c r="D128" i="195"/>
  <c r="U127" i="195"/>
  <c r="T127" i="195"/>
  <c r="S127" i="195"/>
  <c r="R127" i="195"/>
  <c r="Q127" i="195"/>
  <c r="P127" i="195"/>
  <c r="O127" i="195"/>
  <c r="N127" i="195"/>
  <c r="M127" i="195"/>
  <c r="L127" i="195"/>
  <c r="K127" i="195"/>
  <c r="J127" i="195"/>
  <c r="I127" i="195"/>
  <c r="H127" i="195"/>
  <c r="G127" i="195"/>
  <c r="F127" i="195"/>
  <c r="E127" i="195"/>
  <c r="D127" i="195"/>
  <c r="U126" i="195"/>
  <c r="T126" i="195"/>
  <c r="S126" i="195"/>
  <c r="R126" i="195"/>
  <c r="Q126" i="195"/>
  <c r="P126" i="195"/>
  <c r="O126" i="195"/>
  <c r="N126" i="195"/>
  <c r="M126" i="195"/>
  <c r="L126" i="195"/>
  <c r="K126" i="195"/>
  <c r="J126" i="195"/>
  <c r="I126" i="195"/>
  <c r="H126" i="195"/>
  <c r="G126" i="195"/>
  <c r="F126" i="195"/>
  <c r="E126" i="195"/>
  <c r="D126" i="195"/>
  <c r="U125" i="195"/>
  <c r="T125" i="195"/>
  <c r="S125" i="195"/>
  <c r="R125" i="195"/>
  <c r="Q125" i="195"/>
  <c r="P125" i="195"/>
  <c r="O125" i="195"/>
  <c r="N125" i="195"/>
  <c r="M125" i="195"/>
  <c r="L125" i="195"/>
  <c r="K125" i="195"/>
  <c r="J125" i="195"/>
  <c r="I125" i="195"/>
  <c r="H125" i="195"/>
  <c r="G125" i="195"/>
  <c r="F125" i="195"/>
  <c r="E125" i="195"/>
  <c r="D125" i="195"/>
  <c r="U124" i="195"/>
  <c r="T124" i="195"/>
  <c r="S124" i="195"/>
  <c r="R124" i="195"/>
  <c r="Q124" i="195"/>
  <c r="P124" i="195"/>
  <c r="O124" i="195"/>
  <c r="N124" i="195"/>
  <c r="M124" i="195"/>
  <c r="L124" i="195"/>
  <c r="K124" i="195"/>
  <c r="J124" i="195"/>
  <c r="I124" i="195"/>
  <c r="H124" i="195"/>
  <c r="G124" i="195"/>
  <c r="F124" i="195"/>
  <c r="E124" i="195"/>
  <c r="D124" i="195"/>
  <c r="U123" i="195"/>
  <c r="T123" i="195"/>
  <c r="S123" i="195"/>
  <c r="R123" i="195"/>
  <c r="Q123" i="195"/>
  <c r="P123" i="195"/>
  <c r="O123" i="195"/>
  <c r="N123" i="195"/>
  <c r="M123" i="195"/>
  <c r="L123" i="195"/>
  <c r="K123" i="195"/>
  <c r="J123" i="195"/>
  <c r="I123" i="195"/>
  <c r="H123" i="195"/>
  <c r="G123" i="195"/>
  <c r="F123" i="195"/>
  <c r="E123" i="195"/>
  <c r="D123" i="195"/>
  <c r="U117" i="195"/>
  <c r="T117" i="195"/>
  <c r="S117" i="195"/>
  <c r="R117" i="195"/>
  <c r="Q117" i="195"/>
  <c r="P117" i="195"/>
  <c r="O117" i="195"/>
  <c r="N117" i="195"/>
  <c r="M117" i="195"/>
  <c r="L117" i="195"/>
  <c r="K117" i="195"/>
  <c r="J117" i="195"/>
  <c r="I117" i="195"/>
  <c r="H117" i="195"/>
  <c r="G117" i="195"/>
  <c r="F117" i="195"/>
  <c r="E117" i="195"/>
  <c r="D117" i="195"/>
  <c r="U116" i="195"/>
  <c r="T116" i="195"/>
  <c r="S116" i="195"/>
  <c r="R116" i="195"/>
  <c r="Q116" i="195"/>
  <c r="P116" i="195"/>
  <c r="O116" i="195"/>
  <c r="N116" i="195"/>
  <c r="M116" i="195"/>
  <c r="L116" i="195"/>
  <c r="K116" i="195"/>
  <c r="J116" i="195"/>
  <c r="I116" i="195"/>
  <c r="H116" i="195"/>
  <c r="G116" i="195"/>
  <c r="F116" i="195"/>
  <c r="E116" i="195"/>
  <c r="D116" i="195"/>
  <c r="U115" i="195"/>
  <c r="T115" i="195"/>
  <c r="S115" i="195"/>
  <c r="R115" i="195"/>
  <c r="Q115" i="195"/>
  <c r="P115" i="195"/>
  <c r="O115" i="195"/>
  <c r="N115" i="195"/>
  <c r="M115" i="195"/>
  <c r="L115" i="195"/>
  <c r="K115" i="195"/>
  <c r="J115" i="195"/>
  <c r="I115" i="195"/>
  <c r="H115" i="195"/>
  <c r="G115" i="195"/>
  <c r="F115" i="195"/>
  <c r="E115" i="195"/>
  <c r="D115" i="195"/>
  <c r="U114" i="195"/>
  <c r="T114" i="195"/>
  <c r="S114" i="195"/>
  <c r="R114" i="195"/>
  <c r="Q114" i="195"/>
  <c r="P114" i="195"/>
  <c r="O114" i="195"/>
  <c r="N114" i="195"/>
  <c r="M114" i="195"/>
  <c r="L114" i="195"/>
  <c r="K114" i="195"/>
  <c r="J114" i="195"/>
  <c r="I114" i="195"/>
  <c r="H114" i="195"/>
  <c r="G114" i="195"/>
  <c r="F114" i="195"/>
  <c r="E114" i="195"/>
  <c r="D114" i="195"/>
  <c r="U113" i="195"/>
  <c r="T113" i="195"/>
  <c r="S113" i="195"/>
  <c r="R113" i="195"/>
  <c r="Q113" i="195"/>
  <c r="P113" i="195"/>
  <c r="O113" i="195"/>
  <c r="N113" i="195"/>
  <c r="M113" i="195"/>
  <c r="L113" i="195"/>
  <c r="K113" i="195"/>
  <c r="J113" i="195"/>
  <c r="I113" i="195"/>
  <c r="H113" i="195"/>
  <c r="G113" i="195"/>
  <c r="F113" i="195"/>
  <c r="E113" i="195"/>
  <c r="D113" i="195"/>
  <c r="U112" i="195"/>
  <c r="T112" i="195"/>
  <c r="S112" i="195"/>
  <c r="R112" i="195"/>
  <c r="Q112" i="195"/>
  <c r="P112" i="195"/>
  <c r="O112" i="195"/>
  <c r="N112" i="195"/>
  <c r="M112" i="195"/>
  <c r="L112" i="195"/>
  <c r="K112" i="195"/>
  <c r="J112" i="195"/>
  <c r="I112" i="195"/>
  <c r="H112" i="195"/>
  <c r="G112" i="195"/>
  <c r="F112" i="195"/>
  <c r="E112" i="195"/>
  <c r="D112" i="195"/>
  <c r="U111" i="195"/>
  <c r="T111" i="195"/>
  <c r="S111" i="195"/>
  <c r="R111" i="195"/>
  <c r="Q111" i="195"/>
  <c r="P111" i="195"/>
  <c r="O111" i="195"/>
  <c r="N111" i="195"/>
  <c r="M111" i="195"/>
  <c r="L111" i="195"/>
  <c r="K111" i="195"/>
  <c r="J111" i="195"/>
  <c r="I111" i="195"/>
  <c r="H111" i="195"/>
  <c r="G111" i="195"/>
  <c r="F111" i="195"/>
  <c r="E111" i="195"/>
  <c r="D111" i="195"/>
  <c r="U110" i="195"/>
  <c r="T110" i="195"/>
  <c r="S110" i="195"/>
  <c r="R110" i="195"/>
  <c r="Q110" i="195"/>
  <c r="P110" i="195"/>
  <c r="O110" i="195"/>
  <c r="N110" i="195"/>
  <c r="M110" i="195"/>
  <c r="L110" i="195"/>
  <c r="K110" i="195"/>
  <c r="J110" i="195"/>
  <c r="I110" i="195"/>
  <c r="H110" i="195"/>
  <c r="G110" i="195"/>
  <c r="F110" i="195"/>
  <c r="E110" i="195"/>
  <c r="D110" i="195"/>
  <c r="U109" i="195"/>
  <c r="T109" i="195"/>
  <c r="S109" i="195"/>
  <c r="R109" i="195"/>
  <c r="Q109" i="195"/>
  <c r="P109" i="195"/>
  <c r="O109" i="195"/>
  <c r="N109" i="195"/>
  <c r="M109" i="195"/>
  <c r="L109" i="195"/>
  <c r="K109" i="195"/>
  <c r="J109" i="195"/>
  <c r="I109" i="195"/>
  <c r="H109" i="195"/>
  <c r="G109" i="195"/>
  <c r="F109" i="195"/>
  <c r="E109" i="195"/>
  <c r="D109" i="195"/>
  <c r="U108" i="195"/>
  <c r="T108" i="195"/>
  <c r="S108" i="195"/>
  <c r="R108" i="195"/>
  <c r="Q108" i="195"/>
  <c r="P108" i="195"/>
  <c r="O108" i="195"/>
  <c r="N108" i="195"/>
  <c r="M108" i="195"/>
  <c r="L108" i="195"/>
  <c r="K108" i="195"/>
  <c r="J108" i="195"/>
  <c r="I108" i="195"/>
  <c r="H108" i="195"/>
  <c r="G108" i="195"/>
  <c r="F108" i="195"/>
  <c r="E108" i="195"/>
  <c r="D108" i="195"/>
  <c r="P107" i="195"/>
  <c r="U106" i="195"/>
  <c r="T106" i="195"/>
  <c r="S106" i="195"/>
  <c r="R106" i="195"/>
  <c r="Q106" i="195"/>
  <c r="P106" i="195"/>
  <c r="O106" i="195"/>
  <c r="N106" i="195"/>
  <c r="M106" i="195"/>
  <c r="L106" i="195"/>
  <c r="K106" i="195"/>
  <c r="J106" i="195"/>
  <c r="I106" i="195"/>
  <c r="H106" i="195"/>
  <c r="G106" i="195"/>
  <c r="F106" i="195"/>
  <c r="E106" i="195"/>
  <c r="D106" i="195"/>
  <c r="U105" i="195"/>
  <c r="T105" i="195"/>
  <c r="S105" i="195"/>
  <c r="R105" i="195"/>
  <c r="Q105" i="195"/>
  <c r="P105" i="195"/>
  <c r="O105" i="195"/>
  <c r="N105" i="195"/>
  <c r="M105" i="195"/>
  <c r="L105" i="195"/>
  <c r="K105" i="195"/>
  <c r="J105" i="195"/>
  <c r="I105" i="195"/>
  <c r="H105" i="195"/>
  <c r="G105" i="195"/>
  <c r="F105" i="195"/>
  <c r="E105" i="195"/>
  <c r="D105" i="195"/>
  <c r="U104" i="195"/>
  <c r="T104" i="195"/>
  <c r="S104" i="195"/>
  <c r="R104" i="195"/>
  <c r="Q104" i="195"/>
  <c r="P104" i="195"/>
  <c r="O104" i="195"/>
  <c r="N104" i="195"/>
  <c r="M104" i="195"/>
  <c r="L104" i="195"/>
  <c r="K104" i="195"/>
  <c r="J104" i="195"/>
  <c r="I104" i="195"/>
  <c r="H104" i="195"/>
  <c r="G104" i="195"/>
  <c r="F104" i="195"/>
  <c r="E104" i="195"/>
  <c r="D104" i="195"/>
  <c r="U103" i="195"/>
  <c r="T103" i="195"/>
  <c r="S103" i="195"/>
  <c r="R103" i="195"/>
  <c r="Q103" i="195"/>
  <c r="P103" i="195"/>
  <c r="O103" i="195"/>
  <c r="N103" i="195"/>
  <c r="M103" i="195"/>
  <c r="L103" i="195"/>
  <c r="K103" i="195"/>
  <c r="J103" i="195"/>
  <c r="I103" i="195"/>
  <c r="H103" i="195"/>
  <c r="G103" i="195"/>
  <c r="F103" i="195"/>
  <c r="E103" i="195"/>
  <c r="D103" i="195"/>
  <c r="U102" i="195"/>
  <c r="T102" i="195"/>
  <c r="S102" i="195"/>
  <c r="R102" i="195"/>
  <c r="Q102" i="195"/>
  <c r="P102" i="195"/>
  <c r="O102" i="195"/>
  <c r="N102" i="195"/>
  <c r="M102" i="195"/>
  <c r="L102" i="195"/>
  <c r="K102" i="195"/>
  <c r="J102" i="195"/>
  <c r="I102" i="195"/>
  <c r="H102" i="195"/>
  <c r="G102" i="195"/>
  <c r="F102" i="195"/>
  <c r="E102" i="195"/>
  <c r="D102" i="195"/>
  <c r="U101" i="195"/>
  <c r="T101" i="195"/>
  <c r="S101" i="195"/>
  <c r="R101" i="195"/>
  <c r="Q101" i="195"/>
  <c r="P101" i="195"/>
  <c r="O101" i="195"/>
  <c r="N101" i="195"/>
  <c r="M101" i="195"/>
  <c r="L101" i="195"/>
  <c r="K101" i="195"/>
  <c r="J101" i="195"/>
  <c r="I101" i="195"/>
  <c r="H101" i="195"/>
  <c r="G101" i="195"/>
  <c r="F101" i="195"/>
  <c r="E101" i="195"/>
  <c r="D101" i="195"/>
  <c r="U100" i="195"/>
  <c r="T100" i="195"/>
  <c r="S100" i="195"/>
  <c r="R100" i="195"/>
  <c r="Q100" i="195"/>
  <c r="P100" i="195"/>
  <c r="O100" i="195"/>
  <c r="N100" i="195"/>
  <c r="M100" i="195"/>
  <c r="L100" i="195"/>
  <c r="K100" i="195"/>
  <c r="J100" i="195"/>
  <c r="I100" i="195"/>
  <c r="H100" i="195"/>
  <c r="G100" i="195"/>
  <c r="F100" i="195"/>
  <c r="E100" i="195"/>
  <c r="D100" i="195"/>
  <c r="U99" i="195"/>
  <c r="T99" i="195"/>
  <c r="S99" i="195"/>
  <c r="R99" i="195"/>
  <c r="Q99" i="195"/>
  <c r="P99" i="195"/>
  <c r="O99" i="195"/>
  <c r="N99" i="195"/>
  <c r="M99" i="195"/>
  <c r="L99" i="195"/>
  <c r="K99" i="195"/>
  <c r="J99" i="195"/>
  <c r="I99" i="195"/>
  <c r="H99" i="195"/>
  <c r="G99" i="195"/>
  <c r="F99" i="195"/>
  <c r="E99" i="195"/>
  <c r="D99" i="195"/>
  <c r="U98" i="195"/>
  <c r="T98" i="195"/>
  <c r="S98" i="195"/>
  <c r="R98" i="195"/>
  <c r="Q98" i="195"/>
  <c r="P98" i="195"/>
  <c r="O98" i="195"/>
  <c r="N98" i="195"/>
  <c r="M98" i="195"/>
  <c r="L98" i="195"/>
  <c r="K98" i="195"/>
  <c r="J98" i="195"/>
  <c r="I98" i="195"/>
  <c r="H98" i="195"/>
  <c r="G98" i="195"/>
  <c r="F98" i="195"/>
  <c r="E98" i="195"/>
  <c r="D98" i="195"/>
  <c r="U97" i="195"/>
  <c r="T97" i="195"/>
  <c r="S97" i="195"/>
  <c r="R97" i="195"/>
  <c r="Q97" i="195"/>
  <c r="P97" i="195"/>
  <c r="O97" i="195"/>
  <c r="N97" i="195"/>
  <c r="M97" i="195"/>
  <c r="L97" i="195"/>
  <c r="K97" i="195"/>
  <c r="J97" i="195"/>
  <c r="I97" i="195"/>
  <c r="H97" i="195"/>
  <c r="G97" i="195"/>
  <c r="F97" i="195"/>
  <c r="E97" i="195"/>
  <c r="D97" i="195"/>
  <c r="U96" i="195"/>
  <c r="T96" i="195"/>
  <c r="S96" i="195"/>
  <c r="R96" i="195"/>
  <c r="Q96" i="195"/>
  <c r="P96" i="195"/>
  <c r="O96" i="195"/>
  <c r="N96" i="195"/>
  <c r="M96" i="195"/>
  <c r="L96" i="195"/>
  <c r="K96" i="195"/>
  <c r="J96" i="195"/>
  <c r="I96" i="195"/>
  <c r="H96" i="195"/>
  <c r="G96" i="195"/>
  <c r="F96" i="195"/>
  <c r="E96" i="195"/>
  <c r="D96" i="195"/>
  <c r="U95" i="195"/>
  <c r="T95" i="195"/>
  <c r="S95" i="195"/>
  <c r="R95" i="195"/>
  <c r="Q95" i="195"/>
  <c r="P95" i="195"/>
  <c r="O95" i="195"/>
  <c r="N95" i="195"/>
  <c r="M95" i="195"/>
  <c r="L95" i="195"/>
  <c r="K95" i="195"/>
  <c r="J95" i="195"/>
  <c r="I95" i="195"/>
  <c r="H95" i="195"/>
  <c r="G95" i="195"/>
  <c r="F95" i="195"/>
  <c r="E95" i="195"/>
  <c r="D95" i="195"/>
  <c r="U94" i="195"/>
  <c r="T94" i="195"/>
  <c r="S94" i="195"/>
  <c r="R94" i="195"/>
  <c r="Q94" i="195"/>
  <c r="P94" i="195"/>
  <c r="O94" i="195"/>
  <c r="N94" i="195"/>
  <c r="M94" i="195"/>
  <c r="L94" i="195"/>
  <c r="K94" i="195"/>
  <c r="J94" i="195"/>
  <c r="I94" i="195"/>
  <c r="H94" i="195"/>
  <c r="G94" i="195"/>
  <c r="F94" i="195"/>
  <c r="E94" i="195"/>
  <c r="D94" i="195"/>
  <c r="P93" i="195"/>
  <c r="U92" i="195"/>
  <c r="T92" i="195"/>
  <c r="S92" i="195"/>
  <c r="R92" i="195"/>
  <c r="Q92" i="195"/>
  <c r="P92" i="195"/>
  <c r="O92" i="195"/>
  <c r="N92" i="195"/>
  <c r="M92" i="195"/>
  <c r="L92" i="195"/>
  <c r="K92" i="195"/>
  <c r="J92" i="195"/>
  <c r="I92" i="195"/>
  <c r="H92" i="195"/>
  <c r="G92" i="195"/>
  <c r="F92" i="195"/>
  <c r="E92" i="195"/>
  <c r="D92" i="195"/>
  <c r="U91" i="195"/>
  <c r="T91" i="195"/>
  <c r="S91" i="195"/>
  <c r="R91" i="195"/>
  <c r="Q91" i="195"/>
  <c r="P91" i="195"/>
  <c r="O91" i="195"/>
  <c r="N91" i="195"/>
  <c r="M91" i="195"/>
  <c r="L91" i="195"/>
  <c r="K91" i="195"/>
  <c r="J91" i="195"/>
  <c r="I91" i="195"/>
  <c r="H91" i="195"/>
  <c r="G91" i="195"/>
  <c r="F91" i="195"/>
  <c r="E91" i="195"/>
  <c r="D91" i="195"/>
  <c r="U90" i="195"/>
  <c r="T90" i="195"/>
  <c r="S90" i="195"/>
  <c r="R90" i="195"/>
  <c r="Q90" i="195"/>
  <c r="P90" i="195"/>
  <c r="O90" i="195"/>
  <c r="N90" i="195"/>
  <c r="M90" i="195"/>
  <c r="L90" i="195"/>
  <c r="K90" i="195"/>
  <c r="J90" i="195"/>
  <c r="I90" i="195"/>
  <c r="H90" i="195"/>
  <c r="G90" i="195"/>
  <c r="F90" i="195"/>
  <c r="E90" i="195"/>
  <c r="D90" i="195"/>
  <c r="U89" i="195"/>
  <c r="T89" i="195"/>
  <c r="S89" i="195"/>
  <c r="R89" i="195"/>
  <c r="Q89" i="195"/>
  <c r="P89" i="195"/>
  <c r="O89" i="195"/>
  <c r="N89" i="195"/>
  <c r="M89" i="195"/>
  <c r="L89" i="195"/>
  <c r="K89" i="195"/>
  <c r="J89" i="195"/>
  <c r="I89" i="195"/>
  <c r="H89" i="195"/>
  <c r="G89" i="195"/>
  <c r="F89" i="195"/>
  <c r="E89" i="195"/>
  <c r="D89" i="195"/>
  <c r="U88" i="195"/>
  <c r="T88" i="195"/>
  <c r="S88" i="195"/>
  <c r="R88" i="195"/>
  <c r="Q88" i="195"/>
  <c r="P88" i="195"/>
  <c r="O88" i="195"/>
  <c r="N88" i="195"/>
  <c r="M88" i="195"/>
  <c r="L88" i="195"/>
  <c r="K88" i="195"/>
  <c r="J88" i="195"/>
  <c r="I88" i="195"/>
  <c r="H88" i="195"/>
  <c r="G88" i="195"/>
  <c r="F88" i="195"/>
  <c r="E88" i="195"/>
  <c r="D88" i="195"/>
  <c r="U87" i="195"/>
  <c r="T87" i="195"/>
  <c r="S87" i="195"/>
  <c r="R87" i="195"/>
  <c r="Q87" i="195"/>
  <c r="P87" i="195"/>
  <c r="O87" i="195"/>
  <c r="N87" i="195"/>
  <c r="M87" i="195"/>
  <c r="L87" i="195"/>
  <c r="K87" i="195"/>
  <c r="J87" i="195"/>
  <c r="I87" i="195"/>
  <c r="H87" i="195"/>
  <c r="G87" i="195"/>
  <c r="F87" i="195"/>
  <c r="E87" i="195"/>
  <c r="D87" i="195"/>
  <c r="U86" i="195"/>
  <c r="T86" i="195"/>
  <c r="S86" i="195"/>
  <c r="R86" i="195"/>
  <c r="Q86" i="195"/>
  <c r="P86" i="195"/>
  <c r="O86" i="195"/>
  <c r="N86" i="195"/>
  <c r="M86" i="195"/>
  <c r="L86" i="195"/>
  <c r="K86" i="195"/>
  <c r="J86" i="195"/>
  <c r="I86" i="195"/>
  <c r="H86" i="195"/>
  <c r="G86" i="195"/>
  <c r="F86" i="195"/>
  <c r="E86" i="195"/>
  <c r="D86" i="195"/>
  <c r="U80" i="195"/>
  <c r="T80" i="195"/>
  <c r="S80" i="195"/>
  <c r="R80" i="195"/>
  <c r="Q80" i="195"/>
  <c r="P80" i="195"/>
  <c r="O80" i="195"/>
  <c r="N80" i="195"/>
  <c r="M80" i="195"/>
  <c r="L80" i="195"/>
  <c r="K80" i="195"/>
  <c r="J80" i="195"/>
  <c r="I80" i="195"/>
  <c r="H80" i="195"/>
  <c r="G80" i="195"/>
  <c r="F80" i="195"/>
  <c r="E80" i="195"/>
  <c r="D80" i="195"/>
  <c r="U79" i="195"/>
  <c r="T79" i="195"/>
  <c r="S79" i="195"/>
  <c r="R79" i="195"/>
  <c r="Q79" i="195"/>
  <c r="P79" i="195"/>
  <c r="O79" i="195"/>
  <c r="N79" i="195"/>
  <c r="M79" i="195"/>
  <c r="L79" i="195"/>
  <c r="K79" i="195"/>
  <c r="J79" i="195"/>
  <c r="I79" i="195"/>
  <c r="H79" i="195"/>
  <c r="G79" i="195"/>
  <c r="F79" i="195"/>
  <c r="E79" i="195"/>
  <c r="D79" i="195"/>
  <c r="U78" i="195"/>
  <c r="T78" i="195"/>
  <c r="S78" i="195"/>
  <c r="R78" i="195"/>
  <c r="Q78" i="195"/>
  <c r="P78" i="195"/>
  <c r="O78" i="195"/>
  <c r="N78" i="195"/>
  <c r="M78" i="195"/>
  <c r="L78" i="195"/>
  <c r="K78" i="195"/>
  <c r="J78" i="195"/>
  <c r="I78" i="195"/>
  <c r="H78" i="195"/>
  <c r="G78" i="195"/>
  <c r="F78" i="195"/>
  <c r="E78" i="195"/>
  <c r="D78" i="195"/>
  <c r="U77" i="195"/>
  <c r="T77" i="195"/>
  <c r="S77" i="195"/>
  <c r="R77" i="195"/>
  <c r="Q77" i="195"/>
  <c r="P77" i="195"/>
  <c r="O77" i="195"/>
  <c r="N77" i="195"/>
  <c r="M77" i="195"/>
  <c r="L77" i="195"/>
  <c r="K77" i="195"/>
  <c r="J77" i="195"/>
  <c r="I77" i="195"/>
  <c r="H77" i="195"/>
  <c r="G77" i="195"/>
  <c r="F77" i="195"/>
  <c r="E77" i="195"/>
  <c r="D77" i="195"/>
  <c r="U76" i="195"/>
  <c r="T76" i="195"/>
  <c r="S76" i="195"/>
  <c r="R76" i="195"/>
  <c r="Q76" i="195"/>
  <c r="P76" i="195"/>
  <c r="O76" i="195"/>
  <c r="N76" i="195"/>
  <c r="M76" i="195"/>
  <c r="L76" i="195"/>
  <c r="K76" i="195"/>
  <c r="J76" i="195"/>
  <c r="I76" i="195"/>
  <c r="H76" i="195"/>
  <c r="G76" i="195"/>
  <c r="F76" i="195"/>
  <c r="E76" i="195"/>
  <c r="D76" i="195"/>
  <c r="U75" i="195"/>
  <c r="T75" i="195"/>
  <c r="S75" i="195"/>
  <c r="R75" i="195"/>
  <c r="Q75" i="195"/>
  <c r="P75" i="195"/>
  <c r="O75" i="195"/>
  <c r="N75" i="195"/>
  <c r="M75" i="195"/>
  <c r="L75" i="195"/>
  <c r="K75" i="195"/>
  <c r="J75" i="195"/>
  <c r="I75" i="195"/>
  <c r="H75" i="195"/>
  <c r="G75" i="195"/>
  <c r="F75" i="195"/>
  <c r="E75" i="195"/>
  <c r="D75" i="195"/>
  <c r="U74" i="195"/>
  <c r="T74" i="195"/>
  <c r="S74" i="195"/>
  <c r="R74" i="195"/>
  <c r="Q74" i="195"/>
  <c r="P74" i="195"/>
  <c r="O74" i="195"/>
  <c r="N74" i="195"/>
  <c r="M74" i="195"/>
  <c r="L74" i="195"/>
  <c r="K74" i="195"/>
  <c r="J74" i="195"/>
  <c r="I74" i="195"/>
  <c r="H74" i="195"/>
  <c r="G74" i="195"/>
  <c r="F74" i="195"/>
  <c r="E74" i="195"/>
  <c r="D74" i="195"/>
  <c r="U73" i="195"/>
  <c r="T73" i="195"/>
  <c r="S73" i="195"/>
  <c r="R73" i="195"/>
  <c r="Q73" i="195"/>
  <c r="P73" i="195"/>
  <c r="O73" i="195"/>
  <c r="N73" i="195"/>
  <c r="M73" i="195"/>
  <c r="L73" i="195"/>
  <c r="K73" i="195"/>
  <c r="J73" i="195"/>
  <c r="I73" i="195"/>
  <c r="H73" i="195"/>
  <c r="G73" i="195"/>
  <c r="F73" i="195"/>
  <c r="E73" i="195"/>
  <c r="D73" i="195"/>
  <c r="U72" i="195"/>
  <c r="T72" i="195"/>
  <c r="S72" i="195"/>
  <c r="R72" i="195"/>
  <c r="Q72" i="195"/>
  <c r="P72" i="195"/>
  <c r="O72" i="195"/>
  <c r="N72" i="195"/>
  <c r="M72" i="195"/>
  <c r="L72" i="195"/>
  <c r="K72" i="195"/>
  <c r="J72" i="195"/>
  <c r="I72" i="195"/>
  <c r="H72" i="195"/>
  <c r="G72" i="195"/>
  <c r="F72" i="195"/>
  <c r="E72" i="195"/>
  <c r="D72" i="195"/>
  <c r="U71" i="195"/>
  <c r="T71" i="195"/>
  <c r="S71" i="195"/>
  <c r="R71" i="195"/>
  <c r="Q71" i="195"/>
  <c r="P71" i="195"/>
  <c r="O71" i="195"/>
  <c r="N71" i="195"/>
  <c r="M71" i="195"/>
  <c r="L71" i="195"/>
  <c r="K71" i="195"/>
  <c r="J71" i="195"/>
  <c r="I71" i="195"/>
  <c r="H71" i="195"/>
  <c r="G71" i="195"/>
  <c r="F71" i="195"/>
  <c r="E71" i="195"/>
  <c r="D71" i="195"/>
  <c r="P70" i="195"/>
  <c r="U69" i="195"/>
  <c r="T69" i="195"/>
  <c r="S69" i="195"/>
  <c r="R69" i="195"/>
  <c r="Q69" i="195"/>
  <c r="P69" i="195"/>
  <c r="O69" i="195"/>
  <c r="N69" i="195"/>
  <c r="M69" i="195"/>
  <c r="L69" i="195"/>
  <c r="K69" i="195"/>
  <c r="J69" i="195"/>
  <c r="I69" i="195"/>
  <c r="H69" i="195"/>
  <c r="G69" i="195"/>
  <c r="F69" i="195"/>
  <c r="E69" i="195"/>
  <c r="D69" i="195"/>
  <c r="U68" i="195"/>
  <c r="T68" i="195"/>
  <c r="S68" i="195"/>
  <c r="R68" i="195"/>
  <c r="Q68" i="195"/>
  <c r="P68" i="195"/>
  <c r="O68" i="195"/>
  <c r="N68" i="195"/>
  <c r="M68" i="195"/>
  <c r="L68" i="195"/>
  <c r="K68" i="195"/>
  <c r="J68" i="195"/>
  <c r="I68" i="195"/>
  <c r="H68" i="195"/>
  <c r="G68" i="195"/>
  <c r="F68" i="195"/>
  <c r="E68" i="195"/>
  <c r="D68" i="195"/>
  <c r="U67" i="195"/>
  <c r="T67" i="195"/>
  <c r="S67" i="195"/>
  <c r="R67" i="195"/>
  <c r="Q67" i="195"/>
  <c r="P67" i="195"/>
  <c r="O67" i="195"/>
  <c r="N67" i="195"/>
  <c r="M67" i="195"/>
  <c r="L67" i="195"/>
  <c r="K67" i="195"/>
  <c r="J67" i="195"/>
  <c r="I67" i="195"/>
  <c r="H67" i="195"/>
  <c r="G67" i="195"/>
  <c r="F67" i="195"/>
  <c r="E67" i="195"/>
  <c r="D67" i="195"/>
  <c r="U66" i="195"/>
  <c r="T66" i="195"/>
  <c r="S66" i="195"/>
  <c r="R66" i="195"/>
  <c r="Q66" i="195"/>
  <c r="P66" i="195"/>
  <c r="O66" i="195"/>
  <c r="N66" i="195"/>
  <c r="M66" i="195"/>
  <c r="L66" i="195"/>
  <c r="K66" i="195"/>
  <c r="J66" i="195"/>
  <c r="I66" i="195"/>
  <c r="H66" i="195"/>
  <c r="G66" i="195"/>
  <c r="F66" i="195"/>
  <c r="E66" i="195"/>
  <c r="D66" i="195"/>
  <c r="U65" i="195"/>
  <c r="T65" i="195"/>
  <c r="S65" i="195"/>
  <c r="R65" i="195"/>
  <c r="Q65" i="195"/>
  <c r="P65" i="195"/>
  <c r="O65" i="195"/>
  <c r="N65" i="195"/>
  <c r="M65" i="195"/>
  <c r="L65" i="195"/>
  <c r="K65" i="195"/>
  <c r="J65" i="195"/>
  <c r="I65" i="195"/>
  <c r="H65" i="195"/>
  <c r="G65" i="195"/>
  <c r="F65" i="195"/>
  <c r="E65" i="195"/>
  <c r="D65" i="195"/>
  <c r="U64" i="195"/>
  <c r="T64" i="195"/>
  <c r="S64" i="195"/>
  <c r="R64" i="195"/>
  <c r="Q64" i="195"/>
  <c r="P64" i="195"/>
  <c r="O64" i="195"/>
  <c r="N64" i="195"/>
  <c r="M64" i="195"/>
  <c r="L64" i="195"/>
  <c r="K64" i="195"/>
  <c r="J64" i="195"/>
  <c r="I64" i="195"/>
  <c r="H64" i="195"/>
  <c r="G64" i="195"/>
  <c r="F64" i="195"/>
  <c r="E64" i="195"/>
  <c r="D64" i="195"/>
  <c r="U63" i="195"/>
  <c r="T63" i="195"/>
  <c r="S63" i="195"/>
  <c r="R63" i="195"/>
  <c r="Q63" i="195"/>
  <c r="P63" i="195"/>
  <c r="O63" i="195"/>
  <c r="N63" i="195"/>
  <c r="M63" i="195"/>
  <c r="L63" i="195"/>
  <c r="K63" i="195"/>
  <c r="J63" i="195"/>
  <c r="I63" i="195"/>
  <c r="H63" i="195"/>
  <c r="G63" i="195"/>
  <c r="F63" i="195"/>
  <c r="E63" i="195"/>
  <c r="D63" i="195"/>
  <c r="U62" i="195"/>
  <c r="T62" i="195"/>
  <c r="S62" i="195"/>
  <c r="R62" i="195"/>
  <c r="Q62" i="195"/>
  <c r="P62" i="195"/>
  <c r="O62" i="195"/>
  <c r="N62" i="195"/>
  <c r="M62" i="195"/>
  <c r="L62" i="195"/>
  <c r="K62" i="195"/>
  <c r="J62" i="195"/>
  <c r="I62" i="195"/>
  <c r="H62" i="195"/>
  <c r="G62" i="195"/>
  <c r="F62" i="195"/>
  <c r="E62" i="195"/>
  <c r="D62" i="195"/>
  <c r="U61" i="195"/>
  <c r="T61" i="195"/>
  <c r="S61" i="195"/>
  <c r="R61" i="195"/>
  <c r="Q61" i="195"/>
  <c r="P61" i="195"/>
  <c r="O61" i="195"/>
  <c r="N61" i="195"/>
  <c r="M61" i="195"/>
  <c r="L61" i="195"/>
  <c r="K61" i="195"/>
  <c r="J61" i="195"/>
  <c r="I61" i="195"/>
  <c r="H61" i="195"/>
  <c r="G61" i="195"/>
  <c r="F61" i="195"/>
  <c r="E61" i="195"/>
  <c r="D61" i="195"/>
  <c r="U60" i="195"/>
  <c r="T60" i="195"/>
  <c r="S60" i="195"/>
  <c r="R60" i="195"/>
  <c r="Q60" i="195"/>
  <c r="P60" i="195"/>
  <c r="O60" i="195"/>
  <c r="N60" i="195"/>
  <c r="M60" i="195"/>
  <c r="L60" i="195"/>
  <c r="K60" i="195"/>
  <c r="J60" i="195"/>
  <c r="I60" i="195"/>
  <c r="H60" i="195"/>
  <c r="G60" i="195"/>
  <c r="F60" i="195"/>
  <c r="E60" i="195"/>
  <c r="D60" i="195"/>
  <c r="U59" i="195"/>
  <c r="T59" i="195"/>
  <c r="S59" i="195"/>
  <c r="R59" i="195"/>
  <c r="Q59" i="195"/>
  <c r="P59" i="195"/>
  <c r="O59" i="195"/>
  <c r="N59" i="195"/>
  <c r="M59" i="195"/>
  <c r="L59" i="195"/>
  <c r="K59" i="195"/>
  <c r="J59" i="195"/>
  <c r="I59" i="195"/>
  <c r="H59" i="195"/>
  <c r="G59" i="195"/>
  <c r="F59" i="195"/>
  <c r="E59" i="195"/>
  <c r="D59" i="195"/>
  <c r="U58" i="195"/>
  <c r="T58" i="195"/>
  <c r="S58" i="195"/>
  <c r="R58" i="195"/>
  <c r="Q58" i="195"/>
  <c r="P58" i="195"/>
  <c r="O58" i="195"/>
  <c r="N58" i="195"/>
  <c r="M58" i="195"/>
  <c r="L58" i="195"/>
  <c r="K58" i="195"/>
  <c r="J58" i="195"/>
  <c r="I58" i="195"/>
  <c r="H58" i="195"/>
  <c r="G58" i="195"/>
  <c r="F58" i="195"/>
  <c r="E58" i="195"/>
  <c r="D58" i="195"/>
  <c r="U57" i="195"/>
  <c r="T57" i="195"/>
  <c r="S57" i="195"/>
  <c r="R57" i="195"/>
  <c r="Q57" i="195"/>
  <c r="P57" i="195"/>
  <c r="O57" i="195"/>
  <c r="N57" i="195"/>
  <c r="M57" i="195"/>
  <c r="L57" i="195"/>
  <c r="K57" i="195"/>
  <c r="J57" i="195"/>
  <c r="I57" i="195"/>
  <c r="H57" i="195"/>
  <c r="G57" i="195"/>
  <c r="F57" i="195"/>
  <c r="E57" i="195"/>
  <c r="D57" i="195"/>
  <c r="P56" i="195"/>
  <c r="U55" i="195"/>
  <c r="T55" i="195"/>
  <c r="S55" i="195"/>
  <c r="R55" i="195"/>
  <c r="Q55" i="195"/>
  <c r="P55" i="195"/>
  <c r="O55" i="195"/>
  <c r="N55" i="195"/>
  <c r="M55" i="195"/>
  <c r="L55" i="195"/>
  <c r="K55" i="195"/>
  <c r="J55" i="195"/>
  <c r="I55" i="195"/>
  <c r="H55" i="195"/>
  <c r="G55" i="195"/>
  <c r="F55" i="195"/>
  <c r="E55" i="195"/>
  <c r="D55" i="195"/>
  <c r="U54" i="195"/>
  <c r="T54" i="195"/>
  <c r="S54" i="195"/>
  <c r="R54" i="195"/>
  <c r="Q54" i="195"/>
  <c r="P54" i="195"/>
  <c r="O54" i="195"/>
  <c r="N54" i="195"/>
  <c r="M54" i="195"/>
  <c r="L54" i="195"/>
  <c r="K54" i="195"/>
  <c r="J54" i="195"/>
  <c r="I54" i="195"/>
  <c r="H54" i="195"/>
  <c r="G54" i="195"/>
  <c r="F54" i="195"/>
  <c r="E54" i="195"/>
  <c r="D54" i="195"/>
  <c r="U53" i="195"/>
  <c r="T53" i="195"/>
  <c r="S53" i="195"/>
  <c r="R53" i="195"/>
  <c r="Q53" i="195"/>
  <c r="P53" i="195"/>
  <c r="O53" i="195"/>
  <c r="N53" i="195"/>
  <c r="M53" i="195"/>
  <c r="L53" i="195"/>
  <c r="K53" i="195"/>
  <c r="J53" i="195"/>
  <c r="I53" i="195"/>
  <c r="H53" i="195"/>
  <c r="G53" i="195"/>
  <c r="F53" i="195"/>
  <c r="E53" i="195"/>
  <c r="D53" i="195"/>
  <c r="U52" i="195"/>
  <c r="T52" i="195"/>
  <c r="S52" i="195"/>
  <c r="R52" i="195"/>
  <c r="Q52" i="195"/>
  <c r="P52" i="195"/>
  <c r="O52" i="195"/>
  <c r="N52" i="195"/>
  <c r="M52" i="195"/>
  <c r="L52" i="195"/>
  <c r="K52" i="195"/>
  <c r="J52" i="195"/>
  <c r="I52" i="195"/>
  <c r="H52" i="195"/>
  <c r="G52" i="195"/>
  <c r="F52" i="195"/>
  <c r="E52" i="195"/>
  <c r="D52" i="195"/>
  <c r="U51" i="195"/>
  <c r="T51" i="195"/>
  <c r="S51" i="195"/>
  <c r="R51" i="195"/>
  <c r="Q51" i="195"/>
  <c r="P51" i="195"/>
  <c r="O51" i="195"/>
  <c r="N51" i="195"/>
  <c r="M51" i="195"/>
  <c r="L51" i="195"/>
  <c r="K51" i="195"/>
  <c r="J51" i="195"/>
  <c r="I51" i="195"/>
  <c r="H51" i="195"/>
  <c r="G51" i="195"/>
  <c r="F51" i="195"/>
  <c r="E51" i="195"/>
  <c r="D51" i="195"/>
  <c r="U50" i="195"/>
  <c r="T50" i="195"/>
  <c r="S50" i="195"/>
  <c r="R50" i="195"/>
  <c r="Q50" i="195"/>
  <c r="P50" i="195"/>
  <c r="O50" i="195"/>
  <c r="N50" i="195"/>
  <c r="M50" i="195"/>
  <c r="L50" i="195"/>
  <c r="K50" i="195"/>
  <c r="J50" i="195"/>
  <c r="I50" i="195"/>
  <c r="H50" i="195"/>
  <c r="G50" i="195"/>
  <c r="F50" i="195"/>
  <c r="E50" i="195"/>
  <c r="D50" i="195"/>
  <c r="U49" i="195"/>
  <c r="T49" i="195"/>
  <c r="S49" i="195"/>
  <c r="R49" i="195"/>
  <c r="Q49" i="195"/>
  <c r="P49" i="195"/>
  <c r="O49" i="195"/>
  <c r="N49" i="195"/>
  <c r="M49" i="195"/>
  <c r="L49" i="195"/>
  <c r="K49" i="195"/>
  <c r="J49" i="195"/>
  <c r="I49" i="195"/>
  <c r="H49" i="195"/>
  <c r="G49" i="195"/>
  <c r="F49" i="195"/>
  <c r="E49" i="195"/>
  <c r="D49" i="195"/>
  <c r="U43" i="195"/>
  <c r="T43" i="195"/>
  <c r="S43" i="195"/>
  <c r="R43" i="195"/>
  <c r="Q43" i="195"/>
  <c r="P43" i="195"/>
  <c r="O43" i="195"/>
  <c r="N43" i="195"/>
  <c r="M43" i="195"/>
  <c r="L43" i="195"/>
  <c r="K43" i="195"/>
  <c r="J43" i="195"/>
  <c r="I43" i="195"/>
  <c r="H43" i="195"/>
  <c r="G43" i="195"/>
  <c r="F43" i="195"/>
  <c r="E43" i="195"/>
  <c r="D43" i="195"/>
  <c r="U42" i="195"/>
  <c r="T42" i="195"/>
  <c r="S42" i="195"/>
  <c r="R42" i="195"/>
  <c r="Q42" i="195"/>
  <c r="P42" i="195"/>
  <c r="O42" i="195"/>
  <c r="N42" i="195"/>
  <c r="M42" i="195"/>
  <c r="L42" i="195"/>
  <c r="K42" i="195"/>
  <c r="J42" i="195"/>
  <c r="I42" i="195"/>
  <c r="H42" i="195"/>
  <c r="G42" i="195"/>
  <c r="F42" i="195"/>
  <c r="E42" i="195"/>
  <c r="D42" i="195"/>
  <c r="U41" i="195"/>
  <c r="T41" i="195"/>
  <c r="S41" i="195"/>
  <c r="R41" i="195"/>
  <c r="Q41" i="195"/>
  <c r="P41" i="195"/>
  <c r="O41" i="195"/>
  <c r="N41" i="195"/>
  <c r="M41" i="195"/>
  <c r="L41" i="195"/>
  <c r="K41" i="195"/>
  <c r="J41" i="195"/>
  <c r="I41" i="195"/>
  <c r="H41" i="195"/>
  <c r="G41" i="195"/>
  <c r="F41" i="195"/>
  <c r="E41" i="195"/>
  <c r="D41" i="195"/>
  <c r="U40" i="195"/>
  <c r="T40" i="195"/>
  <c r="S40" i="195"/>
  <c r="R40" i="195"/>
  <c r="Q40" i="195"/>
  <c r="P40" i="195"/>
  <c r="O40" i="195"/>
  <c r="N40" i="195"/>
  <c r="M40" i="195"/>
  <c r="L40" i="195"/>
  <c r="K40" i="195"/>
  <c r="J40" i="195"/>
  <c r="I40" i="195"/>
  <c r="H40" i="195"/>
  <c r="G40" i="195"/>
  <c r="F40" i="195"/>
  <c r="E40" i="195"/>
  <c r="D40" i="195"/>
  <c r="U39" i="195"/>
  <c r="T39" i="195"/>
  <c r="S39" i="195"/>
  <c r="R39" i="195"/>
  <c r="Q39" i="195"/>
  <c r="P39" i="195"/>
  <c r="O39" i="195"/>
  <c r="N39" i="195"/>
  <c r="M39" i="195"/>
  <c r="L39" i="195"/>
  <c r="K39" i="195"/>
  <c r="J39" i="195"/>
  <c r="I39" i="195"/>
  <c r="H39" i="195"/>
  <c r="G39" i="195"/>
  <c r="F39" i="195"/>
  <c r="E39" i="195"/>
  <c r="D39" i="195"/>
  <c r="U38" i="195"/>
  <c r="T38" i="195"/>
  <c r="S38" i="195"/>
  <c r="R38" i="195"/>
  <c r="Q38" i="195"/>
  <c r="P38" i="195"/>
  <c r="O38" i="195"/>
  <c r="N38" i="195"/>
  <c r="M38" i="195"/>
  <c r="L38" i="195"/>
  <c r="K38" i="195"/>
  <c r="J38" i="195"/>
  <c r="I38" i="195"/>
  <c r="H38" i="195"/>
  <c r="G38" i="195"/>
  <c r="F38" i="195"/>
  <c r="E38" i="195"/>
  <c r="D38" i="195"/>
  <c r="U37" i="195"/>
  <c r="T37" i="195"/>
  <c r="S37" i="195"/>
  <c r="R37" i="195"/>
  <c r="Q37" i="195"/>
  <c r="P37" i="195"/>
  <c r="O37" i="195"/>
  <c r="N37" i="195"/>
  <c r="M37" i="195"/>
  <c r="L37" i="195"/>
  <c r="K37" i="195"/>
  <c r="J37" i="195"/>
  <c r="I37" i="195"/>
  <c r="H37" i="195"/>
  <c r="G37" i="195"/>
  <c r="F37" i="195"/>
  <c r="E37" i="195"/>
  <c r="D37" i="195"/>
  <c r="U36" i="195"/>
  <c r="T36" i="195"/>
  <c r="S36" i="195"/>
  <c r="R36" i="195"/>
  <c r="Q36" i="195"/>
  <c r="P36" i="195"/>
  <c r="O36" i="195"/>
  <c r="N36" i="195"/>
  <c r="M36" i="195"/>
  <c r="L36" i="195"/>
  <c r="K36" i="195"/>
  <c r="J36" i="195"/>
  <c r="I36" i="195"/>
  <c r="H36" i="195"/>
  <c r="G36" i="195"/>
  <c r="F36" i="195"/>
  <c r="E36" i="195"/>
  <c r="D36" i="195"/>
  <c r="U35" i="195"/>
  <c r="T35" i="195"/>
  <c r="S35" i="195"/>
  <c r="R35" i="195"/>
  <c r="Q35" i="195"/>
  <c r="P35" i="195"/>
  <c r="O35" i="195"/>
  <c r="N35" i="195"/>
  <c r="M35" i="195"/>
  <c r="L35" i="195"/>
  <c r="K35" i="195"/>
  <c r="J35" i="195"/>
  <c r="I35" i="195"/>
  <c r="H35" i="195"/>
  <c r="G35" i="195"/>
  <c r="F35" i="195"/>
  <c r="E35" i="195"/>
  <c r="D35" i="195"/>
  <c r="U34" i="195"/>
  <c r="T34" i="195"/>
  <c r="S34" i="195"/>
  <c r="R34" i="195"/>
  <c r="Q34" i="195"/>
  <c r="P34" i="195"/>
  <c r="O34" i="195"/>
  <c r="N34" i="195"/>
  <c r="M34" i="195"/>
  <c r="L34" i="195"/>
  <c r="K34" i="195"/>
  <c r="J34" i="195"/>
  <c r="I34" i="195"/>
  <c r="H34" i="195"/>
  <c r="G34" i="195"/>
  <c r="F34" i="195"/>
  <c r="E34" i="195"/>
  <c r="D34" i="195"/>
  <c r="P33" i="195"/>
  <c r="U32" i="195"/>
  <c r="T32" i="195"/>
  <c r="S32" i="195"/>
  <c r="R32" i="195"/>
  <c r="Q32" i="195"/>
  <c r="P32" i="195"/>
  <c r="O32" i="195"/>
  <c r="N32" i="195"/>
  <c r="M32" i="195"/>
  <c r="L32" i="195"/>
  <c r="K32" i="195"/>
  <c r="J32" i="195"/>
  <c r="I32" i="195"/>
  <c r="H32" i="195"/>
  <c r="G32" i="195"/>
  <c r="F32" i="195"/>
  <c r="E32" i="195"/>
  <c r="D32" i="195"/>
  <c r="U31" i="195"/>
  <c r="T31" i="195"/>
  <c r="S31" i="195"/>
  <c r="R31" i="195"/>
  <c r="Q31" i="195"/>
  <c r="P31" i="195"/>
  <c r="O31" i="195"/>
  <c r="N31" i="195"/>
  <c r="M31" i="195"/>
  <c r="L31" i="195"/>
  <c r="K31" i="195"/>
  <c r="J31" i="195"/>
  <c r="I31" i="195"/>
  <c r="H31" i="195"/>
  <c r="G31" i="195"/>
  <c r="F31" i="195"/>
  <c r="E31" i="195"/>
  <c r="D31" i="195"/>
  <c r="U30" i="195"/>
  <c r="T30" i="195"/>
  <c r="S30" i="195"/>
  <c r="R30" i="195"/>
  <c r="Q30" i="195"/>
  <c r="P30" i="195"/>
  <c r="O30" i="195"/>
  <c r="N30" i="195"/>
  <c r="M30" i="195"/>
  <c r="L30" i="195"/>
  <c r="K30" i="195"/>
  <c r="J30" i="195"/>
  <c r="I30" i="195"/>
  <c r="H30" i="195"/>
  <c r="G30" i="195"/>
  <c r="F30" i="195"/>
  <c r="E30" i="195"/>
  <c r="D30" i="195"/>
  <c r="U29" i="195"/>
  <c r="T29" i="195"/>
  <c r="S29" i="195"/>
  <c r="R29" i="195"/>
  <c r="Q29" i="195"/>
  <c r="P29" i="195"/>
  <c r="O29" i="195"/>
  <c r="N29" i="195"/>
  <c r="M29" i="195"/>
  <c r="L29" i="195"/>
  <c r="K29" i="195"/>
  <c r="J29" i="195"/>
  <c r="I29" i="195"/>
  <c r="H29" i="195"/>
  <c r="G29" i="195"/>
  <c r="F29" i="195"/>
  <c r="E29" i="195"/>
  <c r="D29" i="195"/>
  <c r="U28" i="195"/>
  <c r="T28" i="195"/>
  <c r="S28" i="195"/>
  <c r="R28" i="195"/>
  <c r="Q28" i="195"/>
  <c r="P28" i="195"/>
  <c r="O28" i="195"/>
  <c r="N28" i="195"/>
  <c r="M28" i="195"/>
  <c r="L28" i="195"/>
  <c r="K28" i="195"/>
  <c r="J28" i="195"/>
  <c r="I28" i="195"/>
  <c r="H28" i="195"/>
  <c r="G28" i="195"/>
  <c r="F28" i="195"/>
  <c r="E28" i="195"/>
  <c r="D28" i="195"/>
  <c r="U27" i="195"/>
  <c r="T27" i="195"/>
  <c r="S27" i="195"/>
  <c r="R27" i="195"/>
  <c r="Q27" i="195"/>
  <c r="P27" i="195"/>
  <c r="O27" i="195"/>
  <c r="N27" i="195"/>
  <c r="M27" i="195"/>
  <c r="L27" i="195"/>
  <c r="K27" i="195"/>
  <c r="J27" i="195"/>
  <c r="I27" i="195"/>
  <c r="H27" i="195"/>
  <c r="G27" i="195"/>
  <c r="F27" i="195"/>
  <c r="E27" i="195"/>
  <c r="D27" i="195"/>
  <c r="U26" i="195"/>
  <c r="T26" i="195"/>
  <c r="S26" i="195"/>
  <c r="R26" i="195"/>
  <c r="Q26" i="195"/>
  <c r="P26" i="195"/>
  <c r="O26" i="195"/>
  <c r="N26" i="195"/>
  <c r="M26" i="195"/>
  <c r="L26" i="195"/>
  <c r="K26" i="195"/>
  <c r="J26" i="195"/>
  <c r="I26" i="195"/>
  <c r="H26" i="195"/>
  <c r="G26" i="195"/>
  <c r="F26" i="195"/>
  <c r="E26" i="195"/>
  <c r="D26" i="195"/>
  <c r="U25" i="195"/>
  <c r="T25" i="195"/>
  <c r="S25" i="195"/>
  <c r="R25" i="195"/>
  <c r="Q25" i="195"/>
  <c r="P25" i="195"/>
  <c r="O25" i="195"/>
  <c r="N25" i="195"/>
  <c r="M25" i="195"/>
  <c r="L25" i="195"/>
  <c r="K25" i="195"/>
  <c r="J25" i="195"/>
  <c r="I25" i="195"/>
  <c r="H25" i="195"/>
  <c r="G25" i="195"/>
  <c r="F25" i="195"/>
  <c r="E25" i="195"/>
  <c r="D25" i="195"/>
  <c r="U24" i="195"/>
  <c r="T24" i="195"/>
  <c r="S24" i="195"/>
  <c r="R24" i="195"/>
  <c r="Q24" i="195"/>
  <c r="P24" i="195"/>
  <c r="O24" i="195"/>
  <c r="N24" i="195"/>
  <c r="M24" i="195"/>
  <c r="L24" i="195"/>
  <c r="K24" i="195"/>
  <c r="J24" i="195"/>
  <c r="I24" i="195"/>
  <c r="H24" i="195"/>
  <c r="G24" i="195"/>
  <c r="F24" i="195"/>
  <c r="E24" i="195"/>
  <c r="D24" i="195"/>
  <c r="U23" i="195"/>
  <c r="T23" i="195"/>
  <c r="S23" i="195"/>
  <c r="R23" i="195"/>
  <c r="Q23" i="195"/>
  <c r="P23" i="195"/>
  <c r="O23" i="195"/>
  <c r="N23" i="195"/>
  <c r="M23" i="195"/>
  <c r="L23" i="195"/>
  <c r="K23" i="195"/>
  <c r="J23" i="195"/>
  <c r="I23" i="195"/>
  <c r="H23" i="195"/>
  <c r="G23" i="195"/>
  <c r="F23" i="195"/>
  <c r="E23" i="195"/>
  <c r="D23" i="195"/>
  <c r="U22" i="195"/>
  <c r="T22" i="195"/>
  <c r="S22" i="195"/>
  <c r="R22" i="195"/>
  <c r="Q22" i="195"/>
  <c r="P22" i="195"/>
  <c r="O22" i="195"/>
  <c r="N22" i="195"/>
  <c r="M22" i="195"/>
  <c r="L22" i="195"/>
  <c r="K22" i="195"/>
  <c r="J22" i="195"/>
  <c r="I22" i="195"/>
  <c r="H22" i="195"/>
  <c r="G22" i="195"/>
  <c r="F22" i="195"/>
  <c r="E22" i="195"/>
  <c r="D22" i="195"/>
  <c r="U21" i="195"/>
  <c r="T21" i="195"/>
  <c r="S21" i="195"/>
  <c r="R21" i="195"/>
  <c r="Q21" i="195"/>
  <c r="P21" i="195"/>
  <c r="O21" i="195"/>
  <c r="N21" i="195"/>
  <c r="M21" i="195"/>
  <c r="L21" i="195"/>
  <c r="K21" i="195"/>
  <c r="J21" i="195"/>
  <c r="I21" i="195"/>
  <c r="H21" i="195"/>
  <c r="G21" i="195"/>
  <c r="F21" i="195"/>
  <c r="E21" i="195"/>
  <c r="D21" i="195"/>
  <c r="U20" i="195"/>
  <c r="T20" i="195"/>
  <c r="S20" i="195"/>
  <c r="R20" i="195"/>
  <c r="Q20" i="195"/>
  <c r="P20" i="195"/>
  <c r="O20" i="195"/>
  <c r="N20" i="195"/>
  <c r="M20" i="195"/>
  <c r="L20" i="195"/>
  <c r="K20" i="195"/>
  <c r="J20" i="195"/>
  <c r="I20" i="195"/>
  <c r="H20" i="195"/>
  <c r="G20" i="195"/>
  <c r="F20" i="195"/>
  <c r="E20" i="195"/>
  <c r="D20" i="195"/>
  <c r="P19" i="195"/>
  <c r="U18" i="195"/>
  <c r="T18" i="195"/>
  <c r="S18" i="195"/>
  <c r="R18" i="195"/>
  <c r="Q18" i="195"/>
  <c r="P18" i="195"/>
  <c r="O18" i="195"/>
  <c r="N18" i="195"/>
  <c r="M18" i="195"/>
  <c r="L18" i="195"/>
  <c r="K18" i="195"/>
  <c r="J18" i="195"/>
  <c r="I18" i="195"/>
  <c r="H18" i="195"/>
  <c r="G18" i="195"/>
  <c r="F18" i="195"/>
  <c r="E18" i="195"/>
  <c r="D18" i="195"/>
  <c r="U17" i="195"/>
  <c r="T17" i="195"/>
  <c r="S17" i="195"/>
  <c r="R17" i="195"/>
  <c r="Q17" i="195"/>
  <c r="P17" i="195"/>
  <c r="O17" i="195"/>
  <c r="N17" i="195"/>
  <c r="M17" i="195"/>
  <c r="L17" i="195"/>
  <c r="K17" i="195"/>
  <c r="J17" i="195"/>
  <c r="I17" i="195"/>
  <c r="H17" i="195"/>
  <c r="G17" i="195"/>
  <c r="F17" i="195"/>
  <c r="E17" i="195"/>
  <c r="D17" i="195"/>
  <c r="U16" i="195"/>
  <c r="T16" i="195"/>
  <c r="S16" i="195"/>
  <c r="R16" i="195"/>
  <c r="Q16" i="195"/>
  <c r="P16" i="195"/>
  <c r="O16" i="195"/>
  <c r="N16" i="195"/>
  <c r="M16" i="195"/>
  <c r="L16" i="195"/>
  <c r="K16" i="195"/>
  <c r="J16" i="195"/>
  <c r="I16" i="195"/>
  <c r="H16" i="195"/>
  <c r="G16" i="195"/>
  <c r="F16" i="195"/>
  <c r="E16" i="195"/>
  <c r="D16" i="195"/>
  <c r="U15" i="195"/>
  <c r="T15" i="195"/>
  <c r="S15" i="195"/>
  <c r="R15" i="195"/>
  <c r="Q15" i="195"/>
  <c r="P15" i="195"/>
  <c r="O15" i="195"/>
  <c r="N15" i="195"/>
  <c r="M15" i="195"/>
  <c r="L15" i="195"/>
  <c r="K15" i="195"/>
  <c r="J15" i="195"/>
  <c r="I15" i="195"/>
  <c r="H15" i="195"/>
  <c r="G15" i="195"/>
  <c r="F15" i="195"/>
  <c r="E15" i="195"/>
  <c r="D15" i="195"/>
  <c r="U14" i="195"/>
  <c r="T14" i="195"/>
  <c r="S14" i="195"/>
  <c r="R14" i="195"/>
  <c r="Q14" i="195"/>
  <c r="P14" i="195"/>
  <c r="O14" i="195"/>
  <c r="N14" i="195"/>
  <c r="M14" i="195"/>
  <c r="L14" i="195"/>
  <c r="K14" i="195"/>
  <c r="J14" i="195"/>
  <c r="I14" i="195"/>
  <c r="H14" i="195"/>
  <c r="G14" i="195"/>
  <c r="F14" i="195"/>
  <c r="E14" i="195"/>
  <c r="D14" i="195"/>
  <c r="U13" i="195"/>
  <c r="T13" i="195"/>
  <c r="S13" i="195"/>
  <c r="R13" i="195"/>
  <c r="Q13" i="195"/>
  <c r="P13" i="195"/>
  <c r="O13" i="195"/>
  <c r="N13" i="195"/>
  <c r="M13" i="195"/>
  <c r="L13" i="195"/>
  <c r="K13" i="195"/>
  <c r="J13" i="195"/>
  <c r="I13" i="195"/>
  <c r="H13" i="195"/>
  <c r="G13" i="195"/>
  <c r="F13" i="195"/>
  <c r="E13" i="195"/>
  <c r="D13" i="195"/>
  <c r="U12" i="195"/>
  <c r="T12" i="195"/>
  <c r="S12" i="195"/>
  <c r="R12" i="195"/>
  <c r="Q12" i="195"/>
  <c r="P12" i="195"/>
  <c r="O12" i="195"/>
  <c r="N12" i="195"/>
  <c r="M12" i="195"/>
  <c r="L12" i="195"/>
  <c r="K12" i="195"/>
  <c r="J12" i="195"/>
  <c r="I12" i="195"/>
  <c r="H12" i="195"/>
  <c r="G12" i="195"/>
  <c r="F12" i="195"/>
  <c r="E12" i="195"/>
  <c r="D12" i="195"/>
  <c r="U191" i="194"/>
  <c r="T191" i="194"/>
  <c r="S191" i="194"/>
  <c r="R191" i="194"/>
  <c r="Q191" i="194"/>
  <c r="P191" i="194"/>
  <c r="O191" i="194"/>
  <c r="N191" i="194"/>
  <c r="M191" i="194"/>
  <c r="L191" i="194"/>
  <c r="K191" i="194"/>
  <c r="J191" i="194"/>
  <c r="I191" i="194"/>
  <c r="H191" i="194"/>
  <c r="G191" i="194"/>
  <c r="F191" i="194"/>
  <c r="E191" i="194"/>
  <c r="D191" i="194"/>
  <c r="U190" i="194"/>
  <c r="T190" i="194"/>
  <c r="S190" i="194"/>
  <c r="R190" i="194"/>
  <c r="Q190" i="194"/>
  <c r="P190" i="194"/>
  <c r="O190" i="194"/>
  <c r="N190" i="194"/>
  <c r="M190" i="194"/>
  <c r="L190" i="194"/>
  <c r="K190" i="194"/>
  <c r="J190" i="194"/>
  <c r="I190" i="194"/>
  <c r="H190" i="194"/>
  <c r="G190" i="194"/>
  <c r="F190" i="194"/>
  <c r="E190" i="194"/>
  <c r="D190" i="194"/>
  <c r="U189" i="194"/>
  <c r="T189" i="194"/>
  <c r="S189" i="194"/>
  <c r="R189" i="194"/>
  <c r="Q189" i="194"/>
  <c r="P189" i="194"/>
  <c r="O189" i="194"/>
  <c r="N189" i="194"/>
  <c r="M189" i="194"/>
  <c r="L189" i="194"/>
  <c r="K189" i="194"/>
  <c r="J189" i="194"/>
  <c r="I189" i="194"/>
  <c r="H189" i="194"/>
  <c r="G189" i="194"/>
  <c r="F189" i="194"/>
  <c r="E189" i="194"/>
  <c r="D189" i="194"/>
  <c r="U188" i="194"/>
  <c r="T188" i="194"/>
  <c r="S188" i="194"/>
  <c r="R188" i="194"/>
  <c r="Q188" i="194"/>
  <c r="P188" i="194"/>
  <c r="O188" i="194"/>
  <c r="N188" i="194"/>
  <c r="M188" i="194"/>
  <c r="L188" i="194"/>
  <c r="K188" i="194"/>
  <c r="J188" i="194"/>
  <c r="I188" i="194"/>
  <c r="H188" i="194"/>
  <c r="G188" i="194"/>
  <c r="F188" i="194"/>
  <c r="E188" i="194"/>
  <c r="D188" i="194"/>
  <c r="U187" i="194"/>
  <c r="T187" i="194"/>
  <c r="S187" i="194"/>
  <c r="R187" i="194"/>
  <c r="Q187" i="194"/>
  <c r="P187" i="194"/>
  <c r="O187" i="194"/>
  <c r="N187" i="194"/>
  <c r="M187" i="194"/>
  <c r="L187" i="194"/>
  <c r="K187" i="194"/>
  <c r="J187" i="194"/>
  <c r="I187" i="194"/>
  <c r="H187" i="194"/>
  <c r="G187" i="194"/>
  <c r="F187" i="194"/>
  <c r="E187" i="194"/>
  <c r="D187" i="194"/>
  <c r="U186" i="194"/>
  <c r="T186" i="194"/>
  <c r="S186" i="194"/>
  <c r="R186" i="194"/>
  <c r="Q186" i="194"/>
  <c r="P186" i="194"/>
  <c r="O186" i="194"/>
  <c r="N186" i="194"/>
  <c r="M186" i="194"/>
  <c r="L186" i="194"/>
  <c r="K186" i="194"/>
  <c r="J186" i="194"/>
  <c r="I186" i="194"/>
  <c r="H186" i="194"/>
  <c r="G186" i="194"/>
  <c r="F186" i="194"/>
  <c r="E186" i="194"/>
  <c r="D186" i="194"/>
  <c r="U185" i="194"/>
  <c r="T185" i="194"/>
  <c r="S185" i="194"/>
  <c r="R185" i="194"/>
  <c r="Q185" i="194"/>
  <c r="P185" i="194"/>
  <c r="O185" i="194"/>
  <c r="N185" i="194"/>
  <c r="M185" i="194"/>
  <c r="L185" i="194"/>
  <c r="K185" i="194"/>
  <c r="J185" i="194"/>
  <c r="I185" i="194"/>
  <c r="H185" i="194"/>
  <c r="G185" i="194"/>
  <c r="F185" i="194"/>
  <c r="E185" i="194"/>
  <c r="D185" i="194"/>
  <c r="U184" i="194"/>
  <c r="T184" i="194"/>
  <c r="S184" i="194"/>
  <c r="R184" i="194"/>
  <c r="Q184" i="194"/>
  <c r="P184" i="194"/>
  <c r="O184" i="194"/>
  <c r="N184" i="194"/>
  <c r="M184" i="194"/>
  <c r="L184" i="194"/>
  <c r="K184" i="194"/>
  <c r="J184" i="194"/>
  <c r="I184" i="194"/>
  <c r="H184" i="194"/>
  <c r="G184" i="194"/>
  <c r="F184" i="194"/>
  <c r="E184" i="194"/>
  <c r="D184" i="194"/>
  <c r="U183" i="194"/>
  <c r="T183" i="194"/>
  <c r="S183" i="194"/>
  <c r="R183" i="194"/>
  <c r="Q183" i="194"/>
  <c r="P183" i="194"/>
  <c r="O183" i="194"/>
  <c r="N183" i="194"/>
  <c r="M183" i="194"/>
  <c r="L183" i="194"/>
  <c r="K183" i="194"/>
  <c r="J183" i="194"/>
  <c r="I183" i="194"/>
  <c r="H183" i="194"/>
  <c r="G183" i="194"/>
  <c r="F183" i="194"/>
  <c r="E183" i="194"/>
  <c r="D183" i="194"/>
  <c r="U182" i="194"/>
  <c r="T182" i="194"/>
  <c r="S182" i="194"/>
  <c r="R182" i="194"/>
  <c r="Q182" i="194"/>
  <c r="P182" i="194"/>
  <c r="O182" i="194"/>
  <c r="N182" i="194"/>
  <c r="M182" i="194"/>
  <c r="L182" i="194"/>
  <c r="K182" i="194"/>
  <c r="J182" i="194"/>
  <c r="I182" i="194"/>
  <c r="H182" i="194"/>
  <c r="G182" i="194"/>
  <c r="F182" i="194"/>
  <c r="E182" i="194"/>
  <c r="D182" i="194"/>
  <c r="P181" i="194"/>
  <c r="U180" i="194"/>
  <c r="T180" i="194"/>
  <c r="S180" i="194"/>
  <c r="R180" i="194"/>
  <c r="Q180" i="194"/>
  <c r="P180" i="194"/>
  <c r="O180" i="194"/>
  <c r="N180" i="194"/>
  <c r="M180" i="194"/>
  <c r="L180" i="194"/>
  <c r="K180" i="194"/>
  <c r="J180" i="194"/>
  <c r="I180" i="194"/>
  <c r="H180" i="194"/>
  <c r="G180" i="194"/>
  <c r="F180" i="194"/>
  <c r="E180" i="194"/>
  <c r="D180" i="194"/>
  <c r="U179" i="194"/>
  <c r="T179" i="194"/>
  <c r="S179" i="194"/>
  <c r="R179" i="194"/>
  <c r="Q179" i="194"/>
  <c r="P179" i="194"/>
  <c r="O179" i="194"/>
  <c r="N179" i="194"/>
  <c r="M179" i="194"/>
  <c r="L179" i="194"/>
  <c r="K179" i="194"/>
  <c r="J179" i="194"/>
  <c r="I179" i="194"/>
  <c r="H179" i="194"/>
  <c r="G179" i="194"/>
  <c r="F179" i="194"/>
  <c r="E179" i="194"/>
  <c r="D179" i="194"/>
  <c r="U178" i="194"/>
  <c r="T178" i="194"/>
  <c r="S178" i="194"/>
  <c r="R178" i="194"/>
  <c r="Q178" i="194"/>
  <c r="P178" i="194"/>
  <c r="O178" i="194"/>
  <c r="N178" i="194"/>
  <c r="M178" i="194"/>
  <c r="L178" i="194"/>
  <c r="K178" i="194"/>
  <c r="J178" i="194"/>
  <c r="I178" i="194"/>
  <c r="H178" i="194"/>
  <c r="G178" i="194"/>
  <c r="F178" i="194"/>
  <c r="E178" i="194"/>
  <c r="D178" i="194"/>
  <c r="U177" i="194"/>
  <c r="T177" i="194"/>
  <c r="S177" i="194"/>
  <c r="R177" i="194"/>
  <c r="Q177" i="194"/>
  <c r="P177" i="194"/>
  <c r="O177" i="194"/>
  <c r="N177" i="194"/>
  <c r="M177" i="194"/>
  <c r="L177" i="194"/>
  <c r="K177" i="194"/>
  <c r="J177" i="194"/>
  <c r="I177" i="194"/>
  <c r="H177" i="194"/>
  <c r="G177" i="194"/>
  <c r="F177" i="194"/>
  <c r="E177" i="194"/>
  <c r="D177" i="194"/>
  <c r="U176" i="194"/>
  <c r="T176" i="194"/>
  <c r="S176" i="194"/>
  <c r="R176" i="194"/>
  <c r="Q176" i="194"/>
  <c r="P176" i="194"/>
  <c r="O176" i="194"/>
  <c r="N176" i="194"/>
  <c r="M176" i="194"/>
  <c r="L176" i="194"/>
  <c r="K176" i="194"/>
  <c r="J176" i="194"/>
  <c r="I176" i="194"/>
  <c r="H176" i="194"/>
  <c r="G176" i="194"/>
  <c r="F176" i="194"/>
  <c r="E176" i="194"/>
  <c r="D176" i="194"/>
  <c r="U175" i="194"/>
  <c r="T175" i="194"/>
  <c r="S175" i="194"/>
  <c r="R175" i="194"/>
  <c r="Q175" i="194"/>
  <c r="P175" i="194"/>
  <c r="O175" i="194"/>
  <c r="N175" i="194"/>
  <c r="M175" i="194"/>
  <c r="L175" i="194"/>
  <c r="K175" i="194"/>
  <c r="J175" i="194"/>
  <c r="I175" i="194"/>
  <c r="H175" i="194"/>
  <c r="G175" i="194"/>
  <c r="F175" i="194"/>
  <c r="E175" i="194"/>
  <c r="D175" i="194"/>
  <c r="U174" i="194"/>
  <c r="T174" i="194"/>
  <c r="S174" i="194"/>
  <c r="R174" i="194"/>
  <c r="Q174" i="194"/>
  <c r="P174" i="194"/>
  <c r="O174" i="194"/>
  <c r="N174" i="194"/>
  <c r="M174" i="194"/>
  <c r="L174" i="194"/>
  <c r="K174" i="194"/>
  <c r="J174" i="194"/>
  <c r="I174" i="194"/>
  <c r="H174" i="194"/>
  <c r="G174" i="194"/>
  <c r="F174" i="194"/>
  <c r="E174" i="194"/>
  <c r="D174" i="194"/>
  <c r="U173" i="194"/>
  <c r="T173" i="194"/>
  <c r="S173" i="194"/>
  <c r="R173" i="194"/>
  <c r="Q173" i="194"/>
  <c r="P173" i="194"/>
  <c r="O173" i="194"/>
  <c r="N173" i="194"/>
  <c r="M173" i="194"/>
  <c r="L173" i="194"/>
  <c r="K173" i="194"/>
  <c r="J173" i="194"/>
  <c r="I173" i="194"/>
  <c r="H173" i="194"/>
  <c r="G173" i="194"/>
  <c r="F173" i="194"/>
  <c r="E173" i="194"/>
  <c r="D173" i="194"/>
  <c r="U172" i="194"/>
  <c r="T172" i="194"/>
  <c r="S172" i="194"/>
  <c r="R172" i="194"/>
  <c r="Q172" i="194"/>
  <c r="P172" i="194"/>
  <c r="O172" i="194"/>
  <c r="N172" i="194"/>
  <c r="M172" i="194"/>
  <c r="L172" i="194"/>
  <c r="K172" i="194"/>
  <c r="J172" i="194"/>
  <c r="I172" i="194"/>
  <c r="H172" i="194"/>
  <c r="G172" i="194"/>
  <c r="F172" i="194"/>
  <c r="E172" i="194"/>
  <c r="D172" i="194"/>
  <c r="U171" i="194"/>
  <c r="T171" i="194"/>
  <c r="S171" i="194"/>
  <c r="R171" i="194"/>
  <c r="Q171" i="194"/>
  <c r="P171" i="194"/>
  <c r="O171" i="194"/>
  <c r="N171" i="194"/>
  <c r="M171" i="194"/>
  <c r="L171" i="194"/>
  <c r="K171" i="194"/>
  <c r="J171" i="194"/>
  <c r="I171" i="194"/>
  <c r="H171" i="194"/>
  <c r="G171" i="194"/>
  <c r="F171" i="194"/>
  <c r="E171" i="194"/>
  <c r="D171" i="194"/>
  <c r="U170" i="194"/>
  <c r="T170" i="194"/>
  <c r="S170" i="194"/>
  <c r="R170" i="194"/>
  <c r="Q170" i="194"/>
  <c r="P170" i="194"/>
  <c r="O170" i="194"/>
  <c r="N170" i="194"/>
  <c r="M170" i="194"/>
  <c r="L170" i="194"/>
  <c r="K170" i="194"/>
  <c r="J170" i="194"/>
  <c r="I170" i="194"/>
  <c r="H170" i="194"/>
  <c r="G170" i="194"/>
  <c r="F170" i="194"/>
  <c r="E170" i="194"/>
  <c r="D170" i="194"/>
  <c r="U169" i="194"/>
  <c r="T169" i="194"/>
  <c r="S169" i="194"/>
  <c r="R169" i="194"/>
  <c r="Q169" i="194"/>
  <c r="P169" i="194"/>
  <c r="O169" i="194"/>
  <c r="N169" i="194"/>
  <c r="M169" i="194"/>
  <c r="L169" i="194"/>
  <c r="K169" i="194"/>
  <c r="J169" i="194"/>
  <c r="I169" i="194"/>
  <c r="H169" i="194"/>
  <c r="G169" i="194"/>
  <c r="F169" i="194"/>
  <c r="E169" i="194"/>
  <c r="D169" i="194"/>
  <c r="U168" i="194"/>
  <c r="T168" i="194"/>
  <c r="S168" i="194"/>
  <c r="R168" i="194"/>
  <c r="Q168" i="194"/>
  <c r="P168" i="194"/>
  <c r="O168" i="194"/>
  <c r="N168" i="194"/>
  <c r="M168" i="194"/>
  <c r="L168" i="194"/>
  <c r="K168" i="194"/>
  <c r="J168" i="194"/>
  <c r="I168" i="194"/>
  <c r="H168" i="194"/>
  <c r="G168" i="194"/>
  <c r="F168" i="194"/>
  <c r="E168" i="194"/>
  <c r="D168" i="194"/>
  <c r="P167" i="194"/>
  <c r="U166" i="194"/>
  <c r="T166" i="194"/>
  <c r="S166" i="194"/>
  <c r="R166" i="194"/>
  <c r="Q166" i="194"/>
  <c r="P166" i="194"/>
  <c r="O166" i="194"/>
  <c r="N166" i="194"/>
  <c r="M166" i="194"/>
  <c r="L166" i="194"/>
  <c r="K166" i="194"/>
  <c r="J166" i="194"/>
  <c r="I166" i="194"/>
  <c r="H166" i="194"/>
  <c r="G166" i="194"/>
  <c r="F166" i="194"/>
  <c r="E166" i="194"/>
  <c r="D166" i="194"/>
  <c r="U165" i="194"/>
  <c r="T165" i="194"/>
  <c r="S165" i="194"/>
  <c r="R165" i="194"/>
  <c r="Q165" i="194"/>
  <c r="P165" i="194"/>
  <c r="O165" i="194"/>
  <c r="N165" i="194"/>
  <c r="M165" i="194"/>
  <c r="L165" i="194"/>
  <c r="K165" i="194"/>
  <c r="J165" i="194"/>
  <c r="I165" i="194"/>
  <c r="H165" i="194"/>
  <c r="G165" i="194"/>
  <c r="F165" i="194"/>
  <c r="E165" i="194"/>
  <c r="D165" i="194"/>
  <c r="U164" i="194"/>
  <c r="T164" i="194"/>
  <c r="S164" i="194"/>
  <c r="R164" i="194"/>
  <c r="Q164" i="194"/>
  <c r="P164" i="194"/>
  <c r="O164" i="194"/>
  <c r="N164" i="194"/>
  <c r="M164" i="194"/>
  <c r="L164" i="194"/>
  <c r="K164" i="194"/>
  <c r="J164" i="194"/>
  <c r="I164" i="194"/>
  <c r="H164" i="194"/>
  <c r="G164" i="194"/>
  <c r="F164" i="194"/>
  <c r="E164" i="194"/>
  <c r="D164" i="194"/>
  <c r="U163" i="194"/>
  <c r="T163" i="194"/>
  <c r="S163" i="194"/>
  <c r="R163" i="194"/>
  <c r="Q163" i="194"/>
  <c r="P163" i="194"/>
  <c r="O163" i="194"/>
  <c r="N163" i="194"/>
  <c r="M163" i="194"/>
  <c r="L163" i="194"/>
  <c r="K163" i="194"/>
  <c r="J163" i="194"/>
  <c r="I163" i="194"/>
  <c r="H163" i="194"/>
  <c r="G163" i="194"/>
  <c r="F163" i="194"/>
  <c r="E163" i="194"/>
  <c r="D163" i="194"/>
  <c r="U162" i="194"/>
  <c r="T162" i="194"/>
  <c r="S162" i="194"/>
  <c r="R162" i="194"/>
  <c r="Q162" i="194"/>
  <c r="P162" i="194"/>
  <c r="O162" i="194"/>
  <c r="N162" i="194"/>
  <c r="M162" i="194"/>
  <c r="L162" i="194"/>
  <c r="K162" i="194"/>
  <c r="J162" i="194"/>
  <c r="I162" i="194"/>
  <c r="H162" i="194"/>
  <c r="G162" i="194"/>
  <c r="F162" i="194"/>
  <c r="E162" i="194"/>
  <c r="D162" i="194"/>
  <c r="U161" i="194"/>
  <c r="T161" i="194"/>
  <c r="S161" i="194"/>
  <c r="R161" i="194"/>
  <c r="Q161" i="194"/>
  <c r="P161" i="194"/>
  <c r="O161" i="194"/>
  <c r="N161" i="194"/>
  <c r="M161" i="194"/>
  <c r="L161" i="194"/>
  <c r="K161" i="194"/>
  <c r="J161" i="194"/>
  <c r="I161" i="194"/>
  <c r="H161" i="194"/>
  <c r="G161" i="194"/>
  <c r="F161" i="194"/>
  <c r="E161" i="194"/>
  <c r="D161" i="194"/>
  <c r="U160" i="194"/>
  <c r="T160" i="194"/>
  <c r="S160" i="194"/>
  <c r="R160" i="194"/>
  <c r="Q160" i="194"/>
  <c r="P160" i="194"/>
  <c r="O160" i="194"/>
  <c r="N160" i="194"/>
  <c r="M160" i="194"/>
  <c r="L160" i="194"/>
  <c r="K160" i="194"/>
  <c r="J160" i="194"/>
  <c r="I160" i="194"/>
  <c r="H160" i="194"/>
  <c r="G160" i="194"/>
  <c r="F160" i="194"/>
  <c r="E160" i="194"/>
  <c r="D160" i="194"/>
  <c r="U154" i="194"/>
  <c r="T154" i="194"/>
  <c r="S154" i="194"/>
  <c r="R154" i="194"/>
  <c r="Q154" i="194"/>
  <c r="P154" i="194"/>
  <c r="O154" i="194"/>
  <c r="N154" i="194"/>
  <c r="M154" i="194"/>
  <c r="L154" i="194"/>
  <c r="K154" i="194"/>
  <c r="J154" i="194"/>
  <c r="I154" i="194"/>
  <c r="H154" i="194"/>
  <c r="G154" i="194"/>
  <c r="F154" i="194"/>
  <c r="E154" i="194"/>
  <c r="D154" i="194"/>
  <c r="U153" i="194"/>
  <c r="T153" i="194"/>
  <c r="S153" i="194"/>
  <c r="R153" i="194"/>
  <c r="Q153" i="194"/>
  <c r="P153" i="194"/>
  <c r="O153" i="194"/>
  <c r="N153" i="194"/>
  <c r="M153" i="194"/>
  <c r="L153" i="194"/>
  <c r="K153" i="194"/>
  <c r="J153" i="194"/>
  <c r="I153" i="194"/>
  <c r="H153" i="194"/>
  <c r="G153" i="194"/>
  <c r="F153" i="194"/>
  <c r="E153" i="194"/>
  <c r="D153" i="194"/>
  <c r="U152" i="194"/>
  <c r="T152" i="194"/>
  <c r="S152" i="194"/>
  <c r="R152" i="194"/>
  <c r="Q152" i="194"/>
  <c r="P152" i="194"/>
  <c r="O152" i="194"/>
  <c r="N152" i="194"/>
  <c r="M152" i="194"/>
  <c r="L152" i="194"/>
  <c r="K152" i="194"/>
  <c r="J152" i="194"/>
  <c r="I152" i="194"/>
  <c r="H152" i="194"/>
  <c r="G152" i="194"/>
  <c r="F152" i="194"/>
  <c r="E152" i="194"/>
  <c r="D152" i="194"/>
  <c r="U151" i="194"/>
  <c r="T151" i="194"/>
  <c r="S151" i="194"/>
  <c r="R151" i="194"/>
  <c r="Q151" i="194"/>
  <c r="P151" i="194"/>
  <c r="O151" i="194"/>
  <c r="N151" i="194"/>
  <c r="M151" i="194"/>
  <c r="L151" i="194"/>
  <c r="K151" i="194"/>
  <c r="J151" i="194"/>
  <c r="I151" i="194"/>
  <c r="H151" i="194"/>
  <c r="G151" i="194"/>
  <c r="F151" i="194"/>
  <c r="E151" i="194"/>
  <c r="D151" i="194"/>
  <c r="U150" i="194"/>
  <c r="T150" i="194"/>
  <c r="S150" i="194"/>
  <c r="R150" i="194"/>
  <c r="Q150" i="194"/>
  <c r="P150" i="194"/>
  <c r="O150" i="194"/>
  <c r="N150" i="194"/>
  <c r="M150" i="194"/>
  <c r="L150" i="194"/>
  <c r="K150" i="194"/>
  <c r="J150" i="194"/>
  <c r="I150" i="194"/>
  <c r="H150" i="194"/>
  <c r="G150" i="194"/>
  <c r="F150" i="194"/>
  <c r="E150" i="194"/>
  <c r="D150" i="194"/>
  <c r="U149" i="194"/>
  <c r="T149" i="194"/>
  <c r="S149" i="194"/>
  <c r="R149" i="194"/>
  <c r="Q149" i="194"/>
  <c r="P149" i="194"/>
  <c r="O149" i="194"/>
  <c r="N149" i="194"/>
  <c r="M149" i="194"/>
  <c r="L149" i="194"/>
  <c r="K149" i="194"/>
  <c r="J149" i="194"/>
  <c r="I149" i="194"/>
  <c r="H149" i="194"/>
  <c r="G149" i="194"/>
  <c r="F149" i="194"/>
  <c r="E149" i="194"/>
  <c r="D149" i="194"/>
  <c r="U148" i="194"/>
  <c r="T148" i="194"/>
  <c r="S148" i="194"/>
  <c r="R148" i="194"/>
  <c r="Q148" i="194"/>
  <c r="P148" i="194"/>
  <c r="O148" i="194"/>
  <c r="N148" i="194"/>
  <c r="M148" i="194"/>
  <c r="L148" i="194"/>
  <c r="K148" i="194"/>
  <c r="J148" i="194"/>
  <c r="I148" i="194"/>
  <c r="H148" i="194"/>
  <c r="G148" i="194"/>
  <c r="F148" i="194"/>
  <c r="E148" i="194"/>
  <c r="D148" i="194"/>
  <c r="U147" i="194"/>
  <c r="T147" i="194"/>
  <c r="S147" i="194"/>
  <c r="R147" i="194"/>
  <c r="Q147" i="194"/>
  <c r="P147" i="194"/>
  <c r="O147" i="194"/>
  <c r="N147" i="194"/>
  <c r="M147" i="194"/>
  <c r="L147" i="194"/>
  <c r="K147" i="194"/>
  <c r="J147" i="194"/>
  <c r="I147" i="194"/>
  <c r="H147" i="194"/>
  <c r="G147" i="194"/>
  <c r="F147" i="194"/>
  <c r="E147" i="194"/>
  <c r="D147" i="194"/>
  <c r="U146" i="194"/>
  <c r="T146" i="194"/>
  <c r="S146" i="194"/>
  <c r="R146" i="194"/>
  <c r="Q146" i="194"/>
  <c r="P146" i="194"/>
  <c r="O146" i="194"/>
  <c r="N146" i="194"/>
  <c r="M146" i="194"/>
  <c r="L146" i="194"/>
  <c r="K146" i="194"/>
  <c r="J146" i="194"/>
  <c r="I146" i="194"/>
  <c r="H146" i="194"/>
  <c r="G146" i="194"/>
  <c r="F146" i="194"/>
  <c r="E146" i="194"/>
  <c r="D146" i="194"/>
  <c r="U145" i="194"/>
  <c r="T145" i="194"/>
  <c r="S145" i="194"/>
  <c r="R145" i="194"/>
  <c r="Q145" i="194"/>
  <c r="P145" i="194"/>
  <c r="O145" i="194"/>
  <c r="N145" i="194"/>
  <c r="M145" i="194"/>
  <c r="L145" i="194"/>
  <c r="K145" i="194"/>
  <c r="J145" i="194"/>
  <c r="I145" i="194"/>
  <c r="H145" i="194"/>
  <c r="G145" i="194"/>
  <c r="F145" i="194"/>
  <c r="E145" i="194"/>
  <c r="D145" i="194"/>
  <c r="P144" i="194"/>
  <c r="U143" i="194"/>
  <c r="T143" i="194"/>
  <c r="S143" i="194"/>
  <c r="R143" i="194"/>
  <c r="Q143" i="194"/>
  <c r="P143" i="194"/>
  <c r="O143" i="194"/>
  <c r="N143" i="194"/>
  <c r="M143" i="194"/>
  <c r="L143" i="194"/>
  <c r="K143" i="194"/>
  <c r="J143" i="194"/>
  <c r="I143" i="194"/>
  <c r="H143" i="194"/>
  <c r="G143" i="194"/>
  <c r="F143" i="194"/>
  <c r="E143" i="194"/>
  <c r="D143" i="194"/>
  <c r="U142" i="194"/>
  <c r="T142" i="194"/>
  <c r="S142" i="194"/>
  <c r="R142" i="194"/>
  <c r="Q142" i="194"/>
  <c r="P142" i="194"/>
  <c r="O142" i="194"/>
  <c r="N142" i="194"/>
  <c r="M142" i="194"/>
  <c r="L142" i="194"/>
  <c r="K142" i="194"/>
  <c r="J142" i="194"/>
  <c r="I142" i="194"/>
  <c r="H142" i="194"/>
  <c r="G142" i="194"/>
  <c r="F142" i="194"/>
  <c r="E142" i="194"/>
  <c r="D142" i="194"/>
  <c r="U141" i="194"/>
  <c r="T141" i="194"/>
  <c r="S141" i="194"/>
  <c r="R141" i="194"/>
  <c r="Q141" i="194"/>
  <c r="P141" i="194"/>
  <c r="O141" i="194"/>
  <c r="N141" i="194"/>
  <c r="M141" i="194"/>
  <c r="L141" i="194"/>
  <c r="K141" i="194"/>
  <c r="J141" i="194"/>
  <c r="I141" i="194"/>
  <c r="H141" i="194"/>
  <c r="G141" i="194"/>
  <c r="F141" i="194"/>
  <c r="E141" i="194"/>
  <c r="D141" i="194"/>
  <c r="U140" i="194"/>
  <c r="T140" i="194"/>
  <c r="S140" i="194"/>
  <c r="R140" i="194"/>
  <c r="Q140" i="194"/>
  <c r="P140" i="194"/>
  <c r="O140" i="194"/>
  <c r="N140" i="194"/>
  <c r="M140" i="194"/>
  <c r="L140" i="194"/>
  <c r="K140" i="194"/>
  <c r="J140" i="194"/>
  <c r="I140" i="194"/>
  <c r="H140" i="194"/>
  <c r="G140" i="194"/>
  <c r="F140" i="194"/>
  <c r="E140" i="194"/>
  <c r="D140" i="194"/>
  <c r="U139" i="194"/>
  <c r="T139" i="194"/>
  <c r="S139" i="194"/>
  <c r="R139" i="194"/>
  <c r="Q139" i="194"/>
  <c r="P139" i="194"/>
  <c r="O139" i="194"/>
  <c r="N139" i="194"/>
  <c r="M139" i="194"/>
  <c r="L139" i="194"/>
  <c r="K139" i="194"/>
  <c r="J139" i="194"/>
  <c r="I139" i="194"/>
  <c r="H139" i="194"/>
  <c r="G139" i="194"/>
  <c r="F139" i="194"/>
  <c r="E139" i="194"/>
  <c r="D139" i="194"/>
  <c r="U138" i="194"/>
  <c r="T138" i="194"/>
  <c r="S138" i="194"/>
  <c r="R138" i="194"/>
  <c r="Q138" i="194"/>
  <c r="P138" i="194"/>
  <c r="O138" i="194"/>
  <c r="N138" i="194"/>
  <c r="M138" i="194"/>
  <c r="L138" i="194"/>
  <c r="K138" i="194"/>
  <c r="J138" i="194"/>
  <c r="I138" i="194"/>
  <c r="H138" i="194"/>
  <c r="G138" i="194"/>
  <c r="F138" i="194"/>
  <c r="E138" i="194"/>
  <c r="D138" i="194"/>
  <c r="U137" i="194"/>
  <c r="T137" i="194"/>
  <c r="S137" i="194"/>
  <c r="R137" i="194"/>
  <c r="Q137" i="194"/>
  <c r="P137" i="194"/>
  <c r="O137" i="194"/>
  <c r="N137" i="194"/>
  <c r="M137" i="194"/>
  <c r="L137" i="194"/>
  <c r="K137" i="194"/>
  <c r="J137" i="194"/>
  <c r="I137" i="194"/>
  <c r="H137" i="194"/>
  <c r="G137" i="194"/>
  <c r="F137" i="194"/>
  <c r="E137" i="194"/>
  <c r="D137" i="194"/>
  <c r="U136" i="194"/>
  <c r="T136" i="194"/>
  <c r="S136" i="194"/>
  <c r="R136" i="194"/>
  <c r="Q136" i="194"/>
  <c r="P136" i="194"/>
  <c r="O136" i="194"/>
  <c r="N136" i="194"/>
  <c r="M136" i="194"/>
  <c r="L136" i="194"/>
  <c r="K136" i="194"/>
  <c r="J136" i="194"/>
  <c r="I136" i="194"/>
  <c r="H136" i="194"/>
  <c r="G136" i="194"/>
  <c r="F136" i="194"/>
  <c r="E136" i="194"/>
  <c r="D136" i="194"/>
  <c r="U135" i="194"/>
  <c r="T135" i="194"/>
  <c r="S135" i="194"/>
  <c r="R135" i="194"/>
  <c r="Q135" i="194"/>
  <c r="P135" i="194"/>
  <c r="O135" i="194"/>
  <c r="N135" i="194"/>
  <c r="M135" i="194"/>
  <c r="L135" i="194"/>
  <c r="K135" i="194"/>
  <c r="J135" i="194"/>
  <c r="I135" i="194"/>
  <c r="H135" i="194"/>
  <c r="G135" i="194"/>
  <c r="F135" i="194"/>
  <c r="E135" i="194"/>
  <c r="D135" i="194"/>
  <c r="U134" i="194"/>
  <c r="T134" i="194"/>
  <c r="S134" i="194"/>
  <c r="R134" i="194"/>
  <c r="Q134" i="194"/>
  <c r="P134" i="194"/>
  <c r="O134" i="194"/>
  <c r="N134" i="194"/>
  <c r="M134" i="194"/>
  <c r="L134" i="194"/>
  <c r="K134" i="194"/>
  <c r="J134" i="194"/>
  <c r="I134" i="194"/>
  <c r="H134" i="194"/>
  <c r="G134" i="194"/>
  <c r="F134" i="194"/>
  <c r="E134" i="194"/>
  <c r="D134" i="194"/>
  <c r="U133" i="194"/>
  <c r="T133" i="194"/>
  <c r="S133" i="194"/>
  <c r="R133" i="194"/>
  <c r="Q133" i="194"/>
  <c r="P133" i="194"/>
  <c r="O133" i="194"/>
  <c r="N133" i="194"/>
  <c r="M133" i="194"/>
  <c r="L133" i="194"/>
  <c r="K133" i="194"/>
  <c r="J133" i="194"/>
  <c r="I133" i="194"/>
  <c r="H133" i="194"/>
  <c r="G133" i="194"/>
  <c r="F133" i="194"/>
  <c r="E133" i="194"/>
  <c r="D133" i="194"/>
  <c r="U132" i="194"/>
  <c r="T132" i="194"/>
  <c r="S132" i="194"/>
  <c r="R132" i="194"/>
  <c r="Q132" i="194"/>
  <c r="P132" i="194"/>
  <c r="O132" i="194"/>
  <c r="N132" i="194"/>
  <c r="M132" i="194"/>
  <c r="L132" i="194"/>
  <c r="K132" i="194"/>
  <c r="J132" i="194"/>
  <c r="I132" i="194"/>
  <c r="H132" i="194"/>
  <c r="G132" i="194"/>
  <c r="F132" i="194"/>
  <c r="E132" i="194"/>
  <c r="D132" i="194"/>
  <c r="U131" i="194"/>
  <c r="T131" i="194"/>
  <c r="S131" i="194"/>
  <c r="R131" i="194"/>
  <c r="Q131" i="194"/>
  <c r="P131" i="194"/>
  <c r="O131" i="194"/>
  <c r="N131" i="194"/>
  <c r="M131" i="194"/>
  <c r="L131" i="194"/>
  <c r="K131" i="194"/>
  <c r="J131" i="194"/>
  <c r="I131" i="194"/>
  <c r="H131" i="194"/>
  <c r="G131" i="194"/>
  <c r="F131" i="194"/>
  <c r="E131" i="194"/>
  <c r="D131" i="194"/>
  <c r="P130" i="194"/>
  <c r="U129" i="194"/>
  <c r="T129" i="194"/>
  <c r="S129" i="194"/>
  <c r="R129" i="194"/>
  <c r="Q129" i="194"/>
  <c r="P129" i="194"/>
  <c r="O129" i="194"/>
  <c r="N129" i="194"/>
  <c r="M129" i="194"/>
  <c r="L129" i="194"/>
  <c r="K129" i="194"/>
  <c r="J129" i="194"/>
  <c r="I129" i="194"/>
  <c r="H129" i="194"/>
  <c r="G129" i="194"/>
  <c r="F129" i="194"/>
  <c r="E129" i="194"/>
  <c r="D129" i="194"/>
  <c r="U128" i="194"/>
  <c r="T128" i="194"/>
  <c r="S128" i="194"/>
  <c r="R128" i="194"/>
  <c r="Q128" i="194"/>
  <c r="P128" i="194"/>
  <c r="O128" i="194"/>
  <c r="N128" i="194"/>
  <c r="M128" i="194"/>
  <c r="L128" i="194"/>
  <c r="K128" i="194"/>
  <c r="J128" i="194"/>
  <c r="I128" i="194"/>
  <c r="H128" i="194"/>
  <c r="G128" i="194"/>
  <c r="F128" i="194"/>
  <c r="E128" i="194"/>
  <c r="D128" i="194"/>
  <c r="U127" i="194"/>
  <c r="T127" i="194"/>
  <c r="S127" i="194"/>
  <c r="R127" i="194"/>
  <c r="Q127" i="194"/>
  <c r="P127" i="194"/>
  <c r="O127" i="194"/>
  <c r="N127" i="194"/>
  <c r="M127" i="194"/>
  <c r="L127" i="194"/>
  <c r="K127" i="194"/>
  <c r="J127" i="194"/>
  <c r="I127" i="194"/>
  <c r="H127" i="194"/>
  <c r="G127" i="194"/>
  <c r="F127" i="194"/>
  <c r="E127" i="194"/>
  <c r="D127" i="194"/>
  <c r="U126" i="194"/>
  <c r="T126" i="194"/>
  <c r="S126" i="194"/>
  <c r="R126" i="194"/>
  <c r="Q126" i="194"/>
  <c r="P126" i="194"/>
  <c r="O126" i="194"/>
  <c r="N126" i="194"/>
  <c r="M126" i="194"/>
  <c r="L126" i="194"/>
  <c r="K126" i="194"/>
  <c r="J126" i="194"/>
  <c r="I126" i="194"/>
  <c r="H126" i="194"/>
  <c r="G126" i="194"/>
  <c r="F126" i="194"/>
  <c r="E126" i="194"/>
  <c r="D126" i="194"/>
  <c r="U125" i="194"/>
  <c r="T125" i="194"/>
  <c r="S125" i="194"/>
  <c r="R125" i="194"/>
  <c r="Q125" i="194"/>
  <c r="P125" i="194"/>
  <c r="O125" i="194"/>
  <c r="N125" i="194"/>
  <c r="M125" i="194"/>
  <c r="L125" i="194"/>
  <c r="K125" i="194"/>
  <c r="J125" i="194"/>
  <c r="I125" i="194"/>
  <c r="H125" i="194"/>
  <c r="G125" i="194"/>
  <c r="F125" i="194"/>
  <c r="E125" i="194"/>
  <c r="D125" i="194"/>
  <c r="U124" i="194"/>
  <c r="T124" i="194"/>
  <c r="S124" i="194"/>
  <c r="R124" i="194"/>
  <c r="Q124" i="194"/>
  <c r="P124" i="194"/>
  <c r="O124" i="194"/>
  <c r="N124" i="194"/>
  <c r="M124" i="194"/>
  <c r="L124" i="194"/>
  <c r="K124" i="194"/>
  <c r="J124" i="194"/>
  <c r="I124" i="194"/>
  <c r="H124" i="194"/>
  <c r="G124" i="194"/>
  <c r="F124" i="194"/>
  <c r="E124" i="194"/>
  <c r="D124" i="194"/>
  <c r="U123" i="194"/>
  <c r="T123" i="194"/>
  <c r="S123" i="194"/>
  <c r="R123" i="194"/>
  <c r="Q123" i="194"/>
  <c r="P123" i="194"/>
  <c r="O123" i="194"/>
  <c r="N123" i="194"/>
  <c r="M123" i="194"/>
  <c r="L123" i="194"/>
  <c r="K123" i="194"/>
  <c r="J123" i="194"/>
  <c r="I123" i="194"/>
  <c r="H123" i="194"/>
  <c r="G123" i="194"/>
  <c r="F123" i="194"/>
  <c r="E123" i="194"/>
  <c r="D123" i="194"/>
  <c r="U117" i="194"/>
  <c r="T117" i="194"/>
  <c r="S117" i="194"/>
  <c r="R117" i="194"/>
  <c r="Q117" i="194"/>
  <c r="P117" i="194"/>
  <c r="O117" i="194"/>
  <c r="N117" i="194"/>
  <c r="M117" i="194"/>
  <c r="L117" i="194"/>
  <c r="K117" i="194"/>
  <c r="J117" i="194"/>
  <c r="I117" i="194"/>
  <c r="H117" i="194"/>
  <c r="G117" i="194"/>
  <c r="F117" i="194"/>
  <c r="E117" i="194"/>
  <c r="D117" i="194"/>
  <c r="U116" i="194"/>
  <c r="T116" i="194"/>
  <c r="S116" i="194"/>
  <c r="R116" i="194"/>
  <c r="Q116" i="194"/>
  <c r="P116" i="194"/>
  <c r="O116" i="194"/>
  <c r="N116" i="194"/>
  <c r="M116" i="194"/>
  <c r="L116" i="194"/>
  <c r="K116" i="194"/>
  <c r="J116" i="194"/>
  <c r="I116" i="194"/>
  <c r="H116" i="194"/>
  <c r="G116" i="194"/>
  <c r="F116" i="194"/>
  <c r="E116" i="194"/>
  <c r="D116" i="194"/>
  <c r="U115" i="194"/>
  <c r="T115" i="194"/>
  <c r="S115" i="194"/>
  <c r="R115" i="194"/>
  <c r="Q115" i="194"/>
  <c r="P115" i="194"/>
  <c r="O115" i="194"/>
  <c r="N115" i="194"/>
  <c r="M115" i="194"/>
  <c r="L115" i="194"/>
  <c r="K115" i="194"/>
  <c r="J115" i="194"/>
  <c r="I115" i="194"/>
  <c r="H115" i="194"/>
  <c r="G115" i="194"/>
  <c r="F115" i="194"/>
  <c r="E115" i="194"/>
  <c r="D115" i="194"/>
  <c r="U114" i="194"/>
  <c r="T114" i="194"/>
  <c r="S114" i="194"/>
  <c r="R114" i="194"/>
  <c r="Q114" i="194"/>
  <c r="P114" i="194"/>
  <c r="O114" i="194"/>
  <c r="N114" i="194"/>
  <c r="M114" i="194"/>
  <c r="L114" i="194"/>
  <c r="K114" i="194"/>
  <c r="J114" i="194"/>
  <c r="I114" i="194"/>
  <c r="H114" i="194"/>
  <c r="G114" i="194"/>
  <c r="F114" i="194"/>
  <c r="E114" i="194"/>
  <c r="D114" i="194"/>
  <c r="U113" i="194"/>
  <c r="T113" i="194"/>
  <c r="S113" i="194"/>
  <c r="R113" i="194"/>
  <c r="Q113" i="194"/>
  <c r="P113" i="194"/>
  <c r="O113" i="194"/>
  <c r="N113" i="194"/>
  <c r="M113" i="194"/>
  <c r="L113" i="194"/>
  <c r="K113" i="194"/>
  <c r="J113" i="194"/>
  <c r="I113" i="194"/>
  <c r="H113" i="194"/>
  <c r="G113" i="194"/>
  <c r="F113" i="194"/>
  <c r="E113" i="194"/>
  <c r="D113" i="194"/>
  <c r="U112" i="194"/>
  <c r="T112" i="194"/>
  <c r="S112" i="194"/>
  <c r="R112" i="194"/>
  <c r="Q112" i="194"/>
  <c r="P112" i="194"/>
  <c r="O112" i="194"/>
  <c r="N112" i="194"/>
  <c r="M112" i="194"/>
  <c r="L112" i="194"/>
  <c r="K112" i="194"/>
  <c r="J112" i="194"/>
  <c r="I112" i="194"/>
  <c r="H112" i="194"/>
  <c r="G112" i="194"/>
  <c r="F112" i="194"/>
  <c r="E112" i="194"/>
  <c r="D112" i="194"/>
  <c r="U111" i="194"/>
  <c r="T111" i="194"/>
  <c r="S111" i="194"/>
  <c r="R111" i="194"/>
  <c r="Q111" i="194"/>
  <c r="P111" i="194"/>
  <c r="O111" i="194"/>
  <c r="N111" i="194"/>
  <c r="M111" i="194"/>
  <c r="L111" i="194"/>
  <c r="K111" i="194"/>
  <c r="J111" i="194"/>
  <c r="I111" i="194"/>
  <c r="H111" i="194"/>
  <c r="G111" i="194"/>
  <c r="F111" i="194"/>
  <c r="E111" i="194"/>
  <c r="D111" i="194"/>
  <c r="U110" i="194"/>
  <c r="T110" i="194"/>
  <c r="S110" i="194"/>
  <c r="R110" i="194"/>
  <c r="Q110" i="194"/>
  <c r="P110" i="194"/>
  <c r="O110" i="194"/>
  <c r="N110" i="194"/>
  <c r="M110" i="194"/>
  <c r="L110" i="194"/>
  <c r="K110" i="194"/>
  <c r="J110" i="194"/>
  <c r="I110" i="194"/>
  <c r="H110" i="194"/>
  <c r="G110" i="194"/>
  <c r="F110" i="194"/>
  <c r="E110" i="194"/>
  <c r="D110" i="194"/>
  <c r="U109" i="194"/>
  <c r="T109" i="194"/>
  <c r="S109" i="194"/>
  <c r="R109" i="194"/>
  <c r="Q109" i="194"/>
  <c r="P109" i="194"/>
  <c r="O109" i="194"/>
  <c r="N109" i="194"/>
  <c r="M109" i="194"/>
  <c r="L109" i="194"/>
  <c r="K109" i="194"/>
  <c r="J109" i="194"/>
  <c r="I109" i="194"/>
  <c r="H109" i="194"/>
  <c r="G109" i="194"/>
  <c r="F109" i="194"/>
  <c r="E109" i="194"/>
  <c r="D109" i="194"/>
  <c r="U108" i="194"/>
  <c r="T108" i="194"/>
  <c r="S108" i="194"/>
  <c r="R108" i="194"/>
  <c r="Q108" i="194"/>
  <c r="P108" i="194"/>
  <c r="O108" i="194"/>
  <c r="N108" i="194"/>
  <c r="M108" i="194"/>
  <c r="L108" i="194"/>
  <c r="K108" i="194"/>
  <c r="J108" i="194"/>
  <c r="I108" i="194"/>
  <c r="H108" i="194"/>
  <c r="G108" i="194"/>
  <c r="F108" i="194"/>
  <c r="E108" i="194"/>
  <c r="D108" i="194"/>
  <c r="P107" i="194"/>
  <c r="U106" i="194"/>
  <c r="T106" i="194"/>
  <c r="S106" i="194"/>
  <c r="R106" i="194"/>
  <c r="Q106" i="194"/>
  <c r="P106" i="194"/>
  <c r="O106" i="194"/>
  <c r="N106" i="194"/>
  <c r="M106" i="194"/>
  <c r="L106" i="194"/>
  <c r="K106" i="194"/>
  <c r="J106" i="194"/>
  <c r="I106" i="194"/>
  <c r="H106" i="194"/>
  <c r="G106" i="194"/>
  <c r="F106" i="194"/>
  <c r="E106" i="194"/>
  <c r="D106" i="194"/>
  <c r="U105" i="194"/>
  <c r="T105" i="194"/>
  <c r="S105" i="194"/>
  <c r="R105" i="194"/>
  <c r="Q105" i="194"/>
  <c r="P105" i="194"/>
  <c r="O105" i="194"/>
  <c r="N105" i="194"/>
  <c r="M105" i="194"/>
  <c r="L105" i="194"/>
  <c r="K105" i="194"/>
  <c r="J105" i="194"/>
  <c r="I105" i="194"/>
  <c r="H105" i="194"/>
  <c r="G105" i="194"/>
  <c r="F105" i="194"/>
  <c r="E105" i="194"/>
  <c r="D105" i="194"/>
  <c r="U104" i="194"/>
  <c r="T104" i="194"/>
  <c r="S104" i="194"/>
  <c r="R104" i="194"/>
  <c r="Q104" i="194"/>
  <c r="P104" i="194"/>
  <c r="O104" i="194"/>
  <c r="N104" i="194"/>
  <c r="M104" i="194"/>
  <c r="L104" i="194"/>
  <c r="K104" i="194"/>
  <c r="J104" i="194"/>
  <c r="I104" i="194"/>
  <c r="H104" i="194"/>
  <c r="G104" i="194"/>
  <c r="F104" i="194"/>
  <c r="E104" i="194"/>
  <c r="D104" i="194"/>
  <c r="U103" i="194"/>
  <c r="T103" i="194"/>
  <c r="S103" i="194"/>
  <c r="R103" i="194"/>
  <c r="Q103" i="194"/>
  <c r="P103" i="194"/>
  <c r="O103" i="194"/>
  <c r="N103" i="194"/>
  <c r="M103" i="194"/>
  <c r="L103" i="194"/>
  <c r="K103" i="194"/>
  <c r="J103" i="194"/>
  <c r="I103" i="194"/>
  <c r="H103" i="194"/>
  <c r="G103" i="194"/>
  <c r="F103" i="194"/>
  <c r="E103" i="194"/>
  <c r="D103" i="194"/>
  <c r="U102" i="194"/>
  <c r="T102" i="194"/>
  <c r="S102" i="194"/>
  <c r="R102" i="194"/>
  <c r="Q102" i="194"/>
  <c r="P102" i="194"/>
  <c r="O102" i="194"/>
  <c r="N102" i="194"/>
  <c r="M102" i="194"/>
  <c r="L102" i="194"/>
  <c r="K102" i="194"/>
  <c r="J102" i="194"/>
  <c r="I102" i="194"/>
  <c r="H102" i="194"/>
  <c r="G102" i="194"/>
  <c r="F102" i="194"/>
  <c r="E102" i="194"/>
  <c r="D102" i="194"/>
  <c r="U101" i="194"/>
  <c r="T101" i="194"/>
  <c r="S101" i="194"/>
  <c r="R101" i="194"/>
  <c r="Q101" i="194"/>
  <c r="P101" i="194"/>
  <c r="O101" i="194"/>
  <c r="N101" i="194"/>
  <c r="M101" i="194"/>
  <c r="L101" i="194"/>
  <c r="K101" i="194"/>
  <c r="J101" i="194"/>
  <c r="I101" i="194"/>
  <c r="H101" i="194"/>
  <c r="G101" i="194"/>
  <c r="F101" i="194"/>
  <c r="E101" i="194"/>
  <c r="D101" i="194"/>
  <c r="U100" i="194"/>
  <c r="T100" i="194"/>
  <c r="S100" i="194"/>
  <c r="R100" i="194"/>
  <c r="Q100" i="194"/>
  <c r="P100" i="194"/>
  <c r="O100" i="194"/>
  <c r="N100" i="194"/>
  <c r="M100" i="194"/>
  <c r="L100" i="194"/>
  <c r="K100" i="194"/>
  <c r="J100" i="194"/>
  <c r="I100" i="194"/>
  <c r="H100" i="194"/>
  <c r="G100" i="194"/>
  <c r="F100" i="194"/>
  <c r="E100" i="194"/>
  <c r="D100" i="194"/>
  <c r="U99" i="194"/>
  <c r="T99" i="194"/>
  <c r="S99" i="194"/>
  <c r="R99" i="194"/>
  <c r="Q99" i="194"/>
  <c r="P99" i="194"/>
  <c r="O99" i="194"/>
  <c r="N99" i="194"/>
  <c r="M99" i="194"/>
  <c r="L99" i="194"/>
  <c r="K99" i="194"/>
  <c r="J99" i="194"/>
  <c r="I99" i="194"/>
  <c r="H99" i="194"/>
  <c r="G99" i="194"/>
  <c r="F99" i="194"/>
  <c r="E99" i="194"/>
  <c r="D99" i="194"/>
  <c r="U98" i="194"/>
  <c r="T98" i="194"/>
  <c r="S98" i="194"/>
  <c r="R98" i="194"/>
  <c r="Q98" i="194"/>
  <c r="P98" i="194"/>
  <c r="O98" i="194"/>
  <c r="N98" i="194"/>
  <c r="M98" i="194"/>
  <c r="L98" i="194"/>
  <c r="K98" i="194"/>
  <c r="J98" i="194"/>
  <c r="I98" i="194"/>
  <c r="H98" i="194"/>
  <c r="G98" i="194"/>
  <c r="F98" i="194"/>
  <c r="E98" i="194"/>
  <c r="D98" i="194"/>
  <c r="U97" i="194"/>
  <c r="T97" i="194"/>
  <c r="S97" i="194"/>
  <c r="R97" i="194"/>
  <c r="Q97" i="194"/>
  <c r="P97" i="194"/>
  <c r="O97" i="194"/>
  <c r="N97" i="194"/>
  <c r="M97" i="194"/>
  <c r="L97" i="194"/>
  <c r="K97" i="194"/>
  <c r="J97" i="194"/>
  <c r="I97" i="194"/>
  <c r="H97" i="194"/>
  <c r="G97" i="194"/>
  <c r="F97" i="194"/>
  <c r="E97" i="194"/>
  <c r="D97" i="194"/>
  <c r="U96" i="194"/>
  <c r="T96" i="194"/>
  <c r="S96" i="194"/>
  <c r="R96" i="194"/>
  <c r="Q96" i="194"/>
  <c r="P96" i="194"/>
  <c r="O96" i="194"/>
  <c r="N96" i="194"/>
  <c r="M96" i="194"/>
  <c r="L96" i="194"/>
  <c r="K96" i="194"/>
  <c r="J96" i="194"/>
  <c r="I96" i="194"/>
  <c r="H96" i="194"/>
  <c r="G96" i="194"/>
  <c r="F96" i="194"/>
  <c r="E96" i="194"/>
  <c r="D96" i="194"/>
  <c r="U95" i="194"/>
  <c r="T95" i="194"/>
  <c r="S95" i="194"/>
  <c r="R95" i="194"/>
  <c r="Q95" i="194"/>
  <c r="P95" i="194"/>
  <c r="O95" i="194"/>
  <c r="N95" i="194"/>
  <c r="M95" i="194"/>
  <c r="L95" i="194"/>
  <c r="K95" i="194"/>
  <c r="J95" i="194"/>
  <c r="I95" i="194"/>
  <c r="H95" i="194"/>
  <c r="G95" i="194"/>
  <c r="F95" i="194"/>
  <c r="E95" i="194"/>
  <c r="D95" i="194"/>
  <c r="U94" i="194"/>
  <c r="T94" i="194"/>
  <c r="S94" i="194"/>
  <c r="R94" i="194"/>
  <c r="Q94" i="194"/>
  <c r="P94" i="194"/>
  <c r="O94" i="194"/>
  <c r="N94" i="194"/>
  <c r="M94" i="194"/>
  <c r="L94" i="194"/>
  <c r="K94" i="194"/>
  <c r="J94" i="194"/>
  <c r="I94" i="194"/>
  <c r="H94" i="194"/>
  <c r="G94" i="194"/>
  <c r="F94" i="194"/>
  <c r="E94" i="194"/>
  <c r="D94" i="194"/>
  <c r="P93" i="194"/>
  <c r="U92" i="194"/>
  <c r="T92" i="194"/>
  <c r="S92" i="194"/>
  <c r="R92" i="194"/>
  <c r="Q92" i="194"/>
  <c r="P92" i="194"/>
  <c r="O92" i="194"/>
  <c r="N92" i="194"/>
  <c r="M92" i="194"/>
  <c r="L92" i="194"/>
  <c r="K92" i="194"/>
  <c r="J92" i="194"/>
  <c r="I92" i="194"/>
  <c r="H92" i="194"/>
  <c r="G92" i="194"/>
  <c r="F92" i="194"/>
  <c r="E92" i="194"/>
  <c r="D92" i="194"/>
  <c r="U91" i="194"/>
  <c r="T91" i="194"/>
  <c r="S91" i="194"/>
  <c r="R91" i="194"/>
  <c r="Q91" i="194"/>
  <c r="P91" i="194"/>
  <c r="O91" i="194"/>
  <c r="N91" i="194"/>
  <c r="M91" i="194"/>
  <c r="L91" i="194"/>
  <c r="K91" i="194"/>
  <c r="J91" i="194"/>
  <c r="I91" i="194"/>
  <c r="H91" i="194"/>
  <c r="G91" i="194"/>
  <c r="F91" i="194"/>
  <c r="E91" i="194"/>
  <c r="D91" i="194"/>
  <c r="U90" i="194"/>
  <c r="T90" i="194"/>
  <c r="S90" i="194"/>
  <c r="R90" i="194"/>
  <c r="Q90" i="194"/>
  <c r="P90" i="194"/>
  <c r="O90" i="194"/>
  <c r="N90" i="194"/>
  <c r="M90" i="194"/>
  <c r="L90" i="194"/>
  <c r="K90" i="194"/>
  <c r="J90" i="194"/>
  <c r="I90" i="194"/>
  <c r="H90" i="194"/>
  <c r="G90" i="194"/>
  <c r="F90" i="194"/>
  <c r="E90" i="194"/>
  <c r="D90" i="194"/>
  <c r="U89" i="194"/>
  <c r="T89" i="194"/>
  <c r="S89" i="194"/>
  <c r="R89" i="194"/>
  <c r="Q89" i="194"/>
  <c r="P89" i="194"/>
  <c r="O89" i="194"/>
  <c r="N89" i="194"/>
  <c r="M89" i="194"/>
  <c r="L89" i="194"/>
  <c r="K89" i="194"/>
  <c r="J89" i="194"/>
  <c r="I89" i="194"/>
  <c r="H89" i="194"/>
  <c r="G89" i="194"/>
  <c r="F89" i="194"/>
  <c r="E89" i="194"/>
  <c r="D89" i="194"/>
  <c r="U88" i="194"/>
  <c r="T88" i="194"/>
  <c r="S88" i="194"/>
  <c r="R88" i="194"/>
  <c r="Q88" i="194"/>
  <c r="P88" i="194"/>
  <c r="O88" i="194"/>
  <c r="N88" i="194"/>
  <c r="M88" i="194"/>
  <c r="L88" i="194"/>
  <c r="K88" i="194"/>
  <c r="J88" i="194"/>
  <c r="I88" i="194"/>
  <c r="H88" i="194"/>
  <c r="G88" i="194"/>
  <c r="F88" i="194"/>
  <c r="E88" i="194"/>
  <c r="D88" i="194"/>
  <c r="U87" i="194"/>
  <c r="T87" i="194"/>
  <c r="S87" i="194"/>
  <c r="R87" i="194"/>
  <c r="Q87" i="194"/>
  <c r="P87" i="194"/>
  <c r="O87" i="194"/>
  <c r="N87" i="194"/>
  <c r="M87" i="194"/>
  <c r="L87" i="194"/>
  <c r="K87" i="194"/>
  <c r="J87" i="194"/>
  <c r="I87" i="194"/>
  <c r="H87" i="194"/>
  <c r="G87" i="194"/>
  <c r="F87" i="194"/>
  <c r="E87" i="194"/>
  <c r="D87" i="194"/>
  <c r="U86" i="194"/>
  <c r="T86" i="194"/>
  <c r="S86" i="194"/>
  <c r="R86" i="194"/>
  <c r="Q86" i="194"/>
  <c r="P86" i="194"/>
  <c r="O86" i="194"/>
  <c r="N86" i="194"/>
  <c r="M86" i="194"/>
  <c r="L86" i="194"/>
  <c r="K86" i="194"/>
  <c r="J86" i="194"/>
  <c r="I86" i="194"/>
  <c r="H86" i="194"/>
  <c r="G86" i="194"/>
  <c r="F86" i="194"/>
  <c r="E86" i="194"/>
  <c r="D86" i="194"/>
  <c r="U80" i="194"/>
  <c r="T80" i="194"/>
  <c r="S80" i="194"/>
  <c r="R80" i="194"/>
  <c r="Q80" i="194"/>
  <c r="P80" i="194"/>
  <c r="O80" i="194"/>
  <c r="N80" i="194"/>
  <c r="M80" i="194"/>
  <c r="L80" i="194"/>
  <c r="K80" i="194"/>
  <c r="J80" i="194"/>
  <c r="I80" i="194"/>
  <c r="H80" i="194"/>
  <c r="G80" i="194"/>
  <c r="F80" i="194"/>
  <c r="E80" i="194"/>
  <c r="D80" i="194"/>
  <c r="U79" i="194"/>
  <c r="T79" i="194"/>
  <c r="S79" i="194"/>
  <c r="R79" i="194"/>
  <c r="Q79" i="194"/>
  <c r="P79" i="194"/>
  <c r="O79" i="194"/>
  <c r="N79" i="194"/>
  <c r="M79" i="194"/>
  <c r="L79" i="194"/>
  <c r="K79" i="194"/>
  <c r="J79" i="194"/>
  <c r="I79" i="194"/>
  <c r="H79" i="194"/>
  <c r="G79" i="194"/>
  <c r="F79" i="194"/>
  <c r="E79" i="194"/>
  <c r="D79" i="194"/>
  <c r="U78" i="194"/>
  <c r="T78" i="194"/>
  <c r="S78" i="194"/>
  <c r="R78" i="194"/>
  <c r="Q78" i="194"/>
  <c r="P78" i="194"/>
  <c r="O78" i="194"/>
  <c r="N78" i="194"/>
  <c r="M78" i="194"/>
  <c r="L78" i="194"/>
  <c r="K78" i="194"/>
  <c r="J78" i="194"/>
  <c r="I78" i="194"/>
  <c r="H78" i="194"/>
  <c r="G78" i="194"/>
  <c r="F78" i="194"/>
  <c r="E78" i="194"/>
  <c r="D78" i="194"/>
  <c r="U77" i="194"/>
  <c r="T77" i="194"/>
  <c r="S77" i="194"/>
  <c r="R77" i="194"/>
  <c r="Q77" i="194"/>
  <c r="P77" i="194"/>
  <c r="O77" i="194"/>
  <c r="N77" i="194"/>
  <c r="M77" i="194"/>
  <c r="L77" i="194"/>
  <c r="K77" i="194"/>
  <c r="J77" i="194"/>
  <c r="I77" i="194"/>
  <c r="H77" i="194"/>
  <c r="G77" i="194"/>
  <c r="F77" i="194"/>
  <c r="E77" i="194"/>
  <c r="D77" i="194"/>
  <c r="U76" i="194"/>
  <c r="T76" i="194"/>
  <c r="S76" i="194"/>
  <c r="R76" i="194"/>
  <c r="Q76" i="194"/>
  <c r="P76" i="194"/>
  <c r="O76" i="194"/>
  <c r="N76" i="194"/>
  <c r="M76" i="194"/>
  <c r="L76" i="194"/>
  <c r="K76" i="194"/>
  <c r="J76" i="194"/>
  <c r="I76" i="194"/>
  <c r="H76" i="194"/>
  <c r="G76" i="194"/>
  <c r="F76" i="194"/>
  <c r="E76" i="194"/>
  <c r="D76" i="194"/>
  <c r="U75" i="194"/>
  <c r="T75" i="194"/>
  <c r="S75" i="194"/>
  <c r="R75" i="194"/>
  <c r="Q75" i="194"/>
  <c r="P75" i="194"/>
  <c r="O75" i="194"/>
  <c r="N75" i="194"/>
  <c r="M75" i="194"/>
  <c r="L75" i="194"/>
  <c r="K75" i="194"/>
  <c r="J75" i="194"/>
  <c r="I75" i="194"/>
  <c r="H75" i="194"/>
  <c r="G75" i="194"/>
  <c r="F75" i="194"/>
  <c r="E75" i="194"/>
  <c r="D75" i="194"/>
  <c r="U74" i="194"/>
  <c r="T74" i="194"/>
  <c r="S74" i="194"/>
  <c r="R74" i="194"/>
  <c r="Q74" i="194"/>
  <c r="P74" i="194"/>
  <c r="O74" i="194"/>
  <c r="N74" i="194"/>
  <c r="M74" i="194"/>
  <c r="L74" i="194"/>
  <c r="K74" i="194"/>
  <c r="J74" i="194"/>
  <c r="I74" i="194"/>
  <c r="H74" i="194"/>
  <c r="G74" i="194"/>
  <c r="F74" i="194"/>
  <c r="E74" i="194"/>
  <c r="D74" i="194"/>
  <c r="U73" i="194"/>
  <c r="T73" i="194"/>
  <c r="S73" i="194"/>
  <c r="R73" i="194"/>
  <c r="Q73" i="194"/>
  <c r="P73" i="194"/>
  <c r="O73" i="194"/>
  <c r="N73" i="194"/>
  <c r="M73" i="194"/>
  <c r="L73" i="194"/>
  <c r="K73" i="194"/>
  <c r="J73" i="194"/>
  <c r="I73" i="194"/>
  <c r="H73" i="194"/>
  <c r="G73" i="194"/>
  <c r="F73" i="194"/>
  <c r="E73" i="194"/>
  <c r="D73" i="194"/>
  <c r="U72" i="194"/>
  <c r="T72" i="194"/>
  <c r="S72" i="194"/>
  <c r="R72" i="194"/>
  <c r="Q72" i="194"/>
  <c r="P72" i="194"/>
  <c r="O72" i="194"/>
  <c r="N72" i="194"/>
  <c r="M72" i="194"/>
  <c r="L72" i="194"/>
  <c r="K72" i="194"/>
  <c r="J72" i="194"/>
  <c r="I72" i="194"/>
  <c r="H72" i="194"/>
  <c r="G72" i="194"/>
  <c r="F72" i="194"/>
  <c r="E72" i="194"/>
  <c r="D72" i="194"/>
  <c r="U71" i="194"/>
  <c r="T71" i="194"/>
  <c r="S71" i="194"/>
  <c r="R71" i="194"/>
  <c r="Q71" i="194"/>
  <c r="P71" i="194"/>
  <c r="O71" i="194"/>
  <c r="N71" i="194"/>
  <c r="M71" i="194"/>
  <c r="L71" i="194"/>
  <c r="K71" i="194"/>
  <c r="J71" i="194"/>
  <c r="I71" i="194"/>
  <c r="H71" i="194"/>
  <c r="G71" i="194"/>
  <c r="F71" i="194"/>
  <c r="E71" i="194"/>
  <c r="D71" i="194"/>
  <c r="P70" i="194"/>
  <c r="U69" i="194"/>
  <c r="T69" i="194"/>
  <c r="S69" i="194"/>
  <c r="R69" i="194"/>
  <c r="Q69" i="194"/>
  <c r="P69" i="194"/>
  <c r="O69" i="194"/>
  <c r="N69" i="194"/>
  <c r="M69" i="194"/>
  <c r="L69" i="194"/>
  <c r="K69" i="194"/>
  <c r="J69" i="194"/>
  <c r="I69" i="194"/>
  <c r="H69" i="194"/>
  <c r="G69" i="194"/>
  <c r="F69" i="194"/>
  <c r="E69" i="194"/>
  <c r="D69" i="194"/>
  <c r="U68" i="194"/>
  <c r="T68" i="194"/>
  <c r="S68" i="194"/>
  <c r="R68" i="194"/>
  <c r="Q68" i="194"/>
  <c r="P68" i="194"/>
  <c r="O68" i="194"/>
  <c r="N68" i="194"/>
  <c r="M68" i="194"/>
  <c r="L68" i="194"/>
  <c r="K68" i="194"/>
  <c r="J68" i="194"/>
  <c r="I68" i="194"/>
  <c r="H68" i="194"/>
  <c r="G68" i="194"/>
  <c r="F68" i="194"/>
  <c r="E68" i="194"/>
  <c r="D68" i="194"/>
  <c r="U67" i="194"/>
  <c r="T67" i="194"/>
  <c r="S67" i="194"/>
  <c r="R67" i="194"/>
  <c r="Q67" i="194"/>
  <c r="P67" i="194"/>
  <c r="O67" i="194"/>
  <c r="N67" i="194"/>
  <c r="M67" i="194"/>
  <c r="L67" i="194"/>
  <c r="K67" i="194"/>
  <c r="J67" i="194"/>
  <c r="I67" i="194"/>
  <c r="H67" i="194"/>
  <c r="G67" i="194"/>
  <c r="F67" i="194"/>
  <c r="E67" i="194"/>
  <c r="D67" i="194"/>
  <c r="U66" i="194"/>
  <c r="T66" i="194"/>
  <c r="S66" i="194"/>
  <c r="R66" i="194"/>
  <c r="Q66" i="194"/>
  <c r="P66" i="194"/>
  <c r="O66" i="194"/>
  <c r="N66" i="194"/>
  <c r="M66" i="194"/>
  <c r="L66" i="194"/>
  <c r="K66" i="194"/>
  <c r="J66" i="194"/>
  <c r="I66" i="194"/>
  <c r="H66" i="194"/>
  <c r="G66" i="194"/>
  <c r="F66" i="194"/>
  <c r="E66" i="194"/>
  <c r="D66" i="194"/>
  <c r="U65" i="194"/>
  <c r="T65" i="194"/>
  <c r="S65" i="194"/>
  <c r="R65" i="194"/>
  <c r="Q65" i="194"/>
  <c r="P65" i="194"/>
  <c r="O65" i="194"/>
  <c r="N65" i="194"/>
  <c r="M65" i="194"/>
  <c r="L65" i="194"/>
  <c r="K65" i="194"/>
  <c r="J65" i="194"/>
  <c r="I65" i="194"/>
  <c r="H65" i="194"/>
  <c r="G65" i="194"/>
  <c r="F65" i="194"/>
  <c r="E65" i="194"/>
  <c r="D65" i="194"/>
  <c r="U64" i="194"/>
  <c r="T64" i="194"/>
  <c r="S64" i="194"/>
  <c r="R64" i="194"/>
  <c r="Q64" i="194"/>
  <c r="P64" i="194"/>
  <c r="O64" i="194"/>
  <c r="N64" i="194"/>
  <c r="M64" i="194"/>
  <c r="L64" i="194"/>
  <c r="K64" i="194"/>
  <c r="J64" i="194"/>
  <c r="I64" i="194"/>
  <c r="H64" i="194"/>
  <c r="G64" i="194"/>
  <c r="F64" i="194"/>
  <c r="E64" i="194"/>
  <c r="D64" i="194"/>
  <c r="U63" i="194"/>
  <c r="T63" i="194"/>
  <c r="S63" i="194"/>
  <c r="R63" i="194"/>
  <c r="Q63" i="194"/>
  <c r="P63" i="194"/>
  <c r="O63" i="194"/>
  <c r="N63" i="194"/>
  <c r="M63" i="194"/>
  <c r="L63" i="194"/>
  <c r="K63" i="194"/>
  <c r="J63" i="194"/>
  <c r="I63" i="194"/>
  <c r="H63" i="194"/>
  <c r="G63" i="194"/>
  <c r="F63" i="194"/>
  <c r="E63" i="194"/>
  <c r="D63" i="194"/>
  <c r="U62" i="194"/>
  <c r="T62" i="194"/>
  <c r="S62" i="194"/>
  <c r="R62" i="194"/>
  <c r="Q62" i="194"/>
  <c r="P62" i="194"/>
  <c r="O62" i="194"/>
  <c r="N62" i="194"/>
  <c r="M62" i="194"/>
  <c r="L62" i="194"/>
  <c r="K62" i="194"/>
  <c r="J62" i="194"/>
  <c r="I62" i="194"/>
  <c r="H62" i="194"/>
  <c r="G62" i="194"/>
  <c r="F62" i="194"/>
  <c r="E62" i="194"/>
  <c r="D62" i="194"/>
  <c r="U61" i="194"/>
  <c r="T61" i="194"/>
  <c r="S61" i="194"/>
  <c r="R61" i="194"/>
  <c r="Q61" i="194"/>
  <c r="P61" i="194"/>
  <c r="O61" i="194"/>
  <c r="N61" i="194"/>
  <c r="M61" i="194"/>
  <c r="L61" i="194"/>
  <c r="K61" i="194"/>
  <c r="J61" i="194"/>
  <c r="I61" i="194"/>
  <c r="H61" i="194"/>
  <c r="G61" i="194"/>
  <c r="F61" i="194"/>
  <c r="E61" i="194"/>
  <c r="D61" i="194"/>
  <c r="U60" i="194"/>
  <c r="T60" i="194"/>
  <c r="S60" i="194"/>
  <c r="R60" i="194"/>
  <c r="Q60" i="194"/>
  <c r="P60" i="194"/>
  <c r="O60" i="194"/>
  <c r="N60" i="194"/>
  <c r="M60" i="194"/>
  <c r="L60" i="194"/>
  <c r="K60" i="194"/>
  <c r="J60" i="194"/>
  <c r="I60" i="194"/>
  <c r="H60" i="194"/>
  <c r="G60" i="194"/>
  <c r="F60" i="194"/>
  <c r="E60" i="194"/>
  <c r="D60" i="194"/>
  <c r="U59" i="194"/>
  <c r="T59" i="194"/>
  <c r="S59" i="194"/>
  <c r="R59" i="194"/>
  <c r="Q59" i="194"/>
  <c r="P59" i="194"/>
  <c r="O59" i="194"/>
  <c r="N59" i="194"/>
  <c r="M59" i="194"/>
  <c r="L59" i="194"/>
  <c r="K59" i="194"/>
  <c r="J59" i="194"/>
  <c r="I59" i="194"/>
  <c r="H59" i="194"/>
  <c r="G59" i="194"/>
  <c r="F59" i="194"/>
  <c r="E59" i="194"/>
  <c r="D59" i="194"/>
  <c r="U58" i="194"/>
  <c r="T58" i="194"/>
  <c r="S58" i="194"/>
  <c r="R58" i="194"/>
  <c r="Q58" i="194"/>
  <c r="P58" i="194"/>
  <c r="O58" i="194"/>
  <c r="N58" i="194"/>
  <c r="M58" i="194"/>
  <c r="L58" i="194"/>
  <c r="K58" i="194"/>
  <c r="J58" i="194"/>
  <c r="I58" i="194"/>
  <c r="H58" i="194"/>
  <c r="G58" i="194"/>
  <c r="F58" i="194"/>
  <c r="E58" i="194"/>
  <c r="D58" i="194"/>
  <c r="U57" i="194"/>
  <c r="T57" i="194"/>
  <c r="S57" i="194"/>
  <c r="R57" i="194"/>
  <c r="Q57" i="194"/>
  <c r="P57" i="194"/>
  <c r="O57" i="194"/>
  <c r="N57" i="194"/>
  <c r="M57" i="194"/>
  <c r="L57" i="194"/>
  <c r="K57" i="194"/>
  <c r="J57" i="194"/>
  <c r="I57" i="194"/>
  <c r="H57" i="194"/>
  <c r="G57" i="194"/>
  <c r="F57" i="194"/>
  <c r="E57" i="194"/>
  <c r="D57" i="194"/>
  <c r="P56" i="194"/>
  <c r="U55" i="194"/>
  <c r="T55" i="194"/>
  <c r="S55" i="194"/>
  <c r="R55" i="194"/>
  <c r="Q55" i="194"/>
  <c r="P55" i="194"/>
  <c r="O55" i="194"/>
  <c r="N55" i="194"/>
  <c r="M55" i="194"/>
  <c r="L55" i="194"/>
  <c r="K55" i="194"/>
  <c r="J55" i="194"/>
  <c r="I55" i="194"/>
  <c r="H55" i="194"/>
  <c r="G55" i="194"/>
  <c r="F55" i="194"/>
  <c r="E55" i="194"/>
  <c r="D55" i="194"/>
  <c r="U54" i="194"/>
  <c r="T54" i="194"/>
  <c r="S54" i="194"/>
  <c r="R54" i="194"/>
  <c r="Q54" i="194"/>
  <c r="P54" i="194"/>
  <c r="O54" i="194"/>
  <c r="N54" i="194"/>
  <c r="M54" i="194"/>
  <c r="L54" i="194"/>
  <c r="K54" i="194"/>
  <c r="J54" i="194"/>
  <c r="I54" i="194"/>
  <c r="H54" i="194"/>
  <c r="G54" i="194"/>
  <c r="F54" i="194"/>
  <c r="E54" i="194"/>
  <c r="D54" i="194"/>
  <c r="U53" i="194"/>
  <c r="T53" i="194"/>
  <c r="S53" i="194"/>
  <c r="R53" i="194"/>
  <c r="Q53" i="194"/>
  <c r="P53" i="194"/>
  <c r="O53" i="194"/>
  <c r="N53" i="194"/>
  <c r="M53" i="194"/>
  <c r="L53" i="194"/>
  <c r="K53" i="194"/>
  <c r="J53" i="194"/>
  <c r="I53" i="194"/>
  <c r="H53" i="194"/>
  <c r="G53" i="194"/>
  <c r="F53" i="194"/>
  <c r="E53" i="194"/>
  <c r="D53" i="194"/>
  <c r="U52" i="194"/>
  <c r="T52" i="194"/>
  <c r="S52" i="194"/>
  <c r="R52" i="194"/>
  <c r="Q52" i="194"/>
  <c r="P52" i="194"/>
  <c r="O52" i="194"/>
  <c r="N52" i="194"/>
  <c r="M52" i="194"/>
  <c r="L52" i="194"/>
  <c r="K52" i="194"/>
  <c r="J52" i="194"/>
  <c r="I52" i="194"/>
  <c r="H52" i="194"/>
  <c r="G52" i="194"/>
  <c r="F52" i="194"/>
  <c r="E52" i="194"/>
  <c r="D52" i="194"/>
  <c r="U51" i="194"/>
  <c r="T51" i="194"/>
  <c r="S51" i="194"/>
  <c r="R51" i="194"/>
  <c r="Q51" i="194"/>
  <c r="P51" i="194"/>
  <c r="O51" i="194"/>
  <c r="N51" i="194"/>
  <c r="M51" i="194"/>
  <c r="L51" i="194"/>
  <c r="K51" i="194"/>
  <c r="J51" i="194"/>
  <c r="I51" i="194"/>
  <c r="H51" i="194"/>
  <c r="G51" i="194"/>
  <c r="F51" i="194"/>
  <c r="E51" i="194"/>
  <c r="D51" i="194"/>
  <c r="U50" i="194"/>
  <c r="T50" i="194"/>
  <c r="S50" i="194"/>
  <c r="R50" i="194"/>
  <c r="Q50" i="194"/>
  <c r="P50" i="194"/>
  <c r="O50" i="194"/>
  <c r="N50" i="194"/>
  <c r="M50" i="194"/>
  <c r="L50" i="194"/>
  <c r="K50" i="194"/>
  <c r="J50" i="194"/>
  <c r="I50" i="194"/>
  <c r="H50" i="194"/>
  <c r="G50" i="194"/>
  <c r="F50" i="194"/>
  <c r="E50" i="194"/>
  <c r="D50" i="194"/>
  <c r="U49" i="194"/>
  <c r="T49" i="194"/>
  <c r="S49" i="194"/>
  <c r="R49" i="194"/>
  <c r="Q49" i="194"/>
  <c r="P49" i="194"/>
  <c r="O49" i="194"/>
  <c r="N49" i="194"/>
  <c r="M49" i="194"/>
  <c r="L49" i="194"/>
  <c r="K49" i="194"/>
  <c r="J49" i="194"/>
  <c r="I49" i="194"/>
  <c r="H49" i="194"/>
  <c r="G49" i="194"/>
  <c r="F49" i="194"/>
  <c r="E49" i="194"/>
  <c r="D49" i="194"/>
  <c r="U43" i="194"/>
  <c r="T43" i="194"/>
  <c r="S43" i="194"/>
  <c r="R43" i="194"/>
  <c r="Q43" i="194"/>
  <c r="P43" i="194"/>
  <c r="O43" i="194"/>
  <c r="N43" i="194"/>
  <c r="M43" i="194"/>
  <c r="L43" i="194"/>
  <c r="K43" i="194"/>
  <c r="J43" i="194"/>
  <c r="I43" i="194"/>
  <c r="H43" i="194"/>
  <c r="G43" i="194"/>
  <c r="F43" i="194"/>
  <c r="E43" i="194"/>
  <c r="D43" i="194"/>
  <c r="U42" i="194"/>
  <c r="T42" i="194"/>
  <c r="S42" i="194"/>
  <c r="R42" i="194"/>
  <c r="Q42" i="194"/>
  <c r="P42" i="194"/>
  <c r="O42" i="194"/>
  <c r="N42" i="194"/>
  <c r="M42" i="194"/>
  <c r="L42" i="194"/>
  <c r="K42" i="194"/>
  <c r="J42" i="194"/>
  <c r="I42" i="194"/>
  <c r="H42" i="194"/>
  <c r="G42" i="194"/>
  <c r="F42" i="194"/>
  <c r="E42" i="194"/>
  <c r="D42" i="194"/>
  <c r="U41" i="194"/>
  <c r="T41" i="194"/>
  <c r="S41" i="194"/>
  <c r="R41" i="194"/>
  <c r="Q41" i="194"/>
  <c r="P41" i="194"/>
  <c r="O41" i="194"/>
  <c r="N41" i="194"/>
  <c r="M41" i="194"/>
  <c r="L41" i="194"/>
  <c r="K41" i="194"/>
  <c r="J41" i="194"/>
  <c r="I41" i="194"/>
  <c r="H41" i="194"/>
  <c r="G41" i="194"/>
  <c r="F41" i="194"/>
  <c r="E41" i="194"/>
  <c r="D41" i="194"/>
  <c r="U40" i="194"/>
  <c r="T40" i="194"/>
  <c r="S40" i="194"/>
  <c r="R40" i="194"/>
  <c r="Q40" i="194"/>
  <c r="P40" i="194"/>
  <c r="O40" i="194"/>
  <c r="N40" i="194"/>
  <c r="M40" i="194"/>
  <c r="L40" i="194"/>
  <c r="K40" i="194"/>
  <c r="J40" i="194"/>
  <c r="I40" i="194"/>
  <c r="H40" i="194"/>
  <c r="G40" i="194"/>
  <c r="F40" i="194"/>
  <c r="E40" i="194"/>
  <c r="D40" i="194"/>
  <c r="U39" i="194"/>
  <c r="T39" i="194"/>
  <c r="S39" i="194"/>
  <c r="R39" i="194"/>
  <c r="Q39" i="194"/>
  <c r="P39" i="194"/>
  <c r="O39" i="194"/>
  <c r="N39" i="194"/>
  <c r="M39" i="194"/>
  <c r="L39" i="194"/>
  <c r="K39" i="194"/>
  <c r="J39" i="194"/>
  <c r="I39" i="194"/>
  <c r="H39" i="194"/>
  <c r="G39" i="194"/>
  <c r="F39" i="194"/>
  <c r="E39" i="194"/>
  <c r="D39" i="194"/>
  <c r="U38" i="194"/>
  <c r="T38" i="194"/>
  <c r="S38" i="194"/>
  <c r="R38" i="194"/>
  <c r="Q38" i="194"/>
  <c r="P38" i="194"/>
  <c r="O38" i="194"/>
  <c r="N38" i="194"/>
  <c r="M38" i="194"/>
  <c r="L38" i="194"/>
  <c r="K38" i="194"/>
  <c r="J38" i="194"/>
  <c r="I38" i="194"/>
  <c r="H38" i="194"/>
  <c r="G38" i="194"/>
  <c r="F38" i="194"/>
  <c r="E38" i="194"/>
  <c r="D38" i="194"/>
  <c r="U37" i="194"/>
  <c r="T37" i="194"/>
  <c r="S37" i="194"/>
  <c r="R37" i="194"/>
  <c r="Q37" i="194"/>
  <c r="P37" i="194"/>
  <c r="O37" i="194"/>
  <c r="N37" i="194"/>
  <c r="M37" i="194"/>
  <c r="L37" i="194"/>
  <c r="K37" i="194"/>
  <c r="J37" i="194"/>
  <c r="I37" i="194"/>
  <c r="H37" i="194"/>
  <c r="G37" i="194"/>
  <c r="F37" i="194"/>
  <c r="E37" i="194"/>
  <c r="D37" i="194"/>
  <c r="U36" i="194"/>
  <c r="T36" i="194"/>
  <c r="S36" i="194"/>
  <c r="R36" i="194"/>
  <c r="Q36" i="194"/>
  <c r="P36" i="194"/>
  <c r="O36" i="194"/>
  <c r="N36" i="194"/>
  <c r="M36" i="194"/>
  <c r="L36" i="194"/>
  <c r="K36" i="194"/>
  <c r="J36" i="194"/>
  <c r="I36" i="194"/>
  <c r="H36" i="194"/>
  <c r="G36" i="194"/>
  <c r="F36" i="194"/>
  <c r="E36" i="194"/>
  <c r="D36" i="194"/>
  <c r="U35" i="194"/>
  <c r="T35" i="194"/>
  <c r="S35" i="194"/>
  <c r="R35" i="194"/>
  <c r="Q35" i="194"/>
  <c r="P35" i="194"/>
  <c r="O35" i="194"/>
  <c r="N35" i="194"/>
  <c r="M35" i="194"/>
  <c r="L35" i="194"/>
  <c r="K35" i="194"/>
  <c r="J35" i="194"/>
  <c r="I35" i="194"/>
  <c r="H35" i="194"/>
  <c r="G35" i="194"/>
  <c r="F35" i="194"/>
  <c r="E35" i="194"/>
  <c r="D35" i="194"/>
  <c r="U34" i="194"/>
  <c r="T34" i="194"/>
  <c r="S34" i="194"/>
  <c r="R34" i="194"/>
  <c r="Q34" i="194"/>
  <c r="P34" i="194"/>
  <c r="O34" i="194"/>
  <c r="N34" i="194"/>
  <c r="M34" i="194"/>
  <c r="L34" i="194"/>
  <c r="K34" i="194"/>
  <c r="J34" i="194"/>
  <c r="I34" i="194"/>
  <c r="H34" i="194"/>
  <c r="G34" i="194"/>
  <c r="F34" i="194"/>
  <c r="E34" i="194"/>
  <c r="D34" i="194"/>
  <c r="P33" i="194"/>
  <c r="U32" i="194"/>
  <c r="T32" i="194"/>
  <c r="S32" i="194"/>
  <c r="R32" i="194"/>
  <c r="Q32" i="194"/>
  <c r="P32" i="194"/>
  <c r="O32" i="194"/>
  <c r="N32" i="194"/>
  <c r="M32" i="194"/>
  <c r="L32" i="194"/>
  <c r="K32" i="194"/>
  <c r="J32" i="194"/>
  <c r="I32" i="194"/>
  <c r="H32" i="194"/>
  <c r="G32" i="194"/>
  <c r="F32" i="194"/>
  <c r="E32" i="194"/>
  <c r="D32" i="194"/>
  <c r="U31" i="194"/>
  <c r="T31" i="194"/>
  <c r="S31" i="194"/>
  <c r="R31" i="194"/>
  <c r="Q31" i="194"/>
  <c r="P31" i="194"/>
  <c r="O31" i="194"/>
  <c r="N31" i="194"/>
  <c r="M31" i="194"/>
  <c r="L31" i="194"/>
  <c r="K31" i="194"/>
  <c r="J31" i="194"/>
  <c r="I31" i="194"/>
  <c r="H31" i="194"/>
  <c r="G31" i="194"/>
  <c r="F31" i="194"/>
  <c r="E31" i="194"/>
  <c r="D31" i="194"/>
  <c r="U30" i="194"/>
  <c r="T30" i="194"/>
  <c r="S30" i="194"/>
  <c r="R30" i="194"/>
  <c r="Q30" i="194"/>
  <c r="P30" i="194"/>
  <c r="O30" i="194"/>
  <c r="N30" i="194"/>
  <c r="M30" i="194"/>
  <c r="L30" i="194"/>
  <c r="K30" i="194"/>
  <c r="J30" i="194"/>
  <c r="I30" i="194"/>
  <c r="H30" i="194"/>
  <c r="G30" i="194"/>
  <c r="F30" i="194"/>
  <c r="E30" i="194"/>
  <c r="D30" i="194"/>
  <c r="U29" i="194"/>
  <c r="T29" i="194"/>
  <c r="S29" i="194"/>
  <c r="R29" i="194"/>
  <c r="Q29" i="194"/>
  <c r="P29" i="194"/>
  <c r="O29" i="194"/>
  <c r="N29" i="194"/>
  <c r="M29" i="194"/>
  <c r="L29" i="194"/>
  <c r="K29" i="194"/>
  <c r="J29" i="194"/>
  <c r="I29" i="194"/>
  <c r="H29" i="194"/>
  <c r="G29" i="194"/>
  <c r="F29" i="194"/>
  <c r="E29" i="194"/>
  <c r="D29" i="194"/>
  <c r="U28" i="194"/>
  <c r="T28" i="194"/>
  <c r="S28" i="194"/>
  <c r="R28" i="194"/>
  <c r="Q28" i="194"/>
  <c r="P28" i="194"/>
  <c r="O28" i="194"/>
  <c r="N28" i="194"/>
  <c r="M28" i="194"/>
  <c r="L28" i="194"/>
  <c r="K28" i="194"/>
  <c r="J28" i="194"/>
  <c r="I28" i="194"/>
  <c r="H28" i="194"/>
  <c r="G28" i="194"/>
  <c r="F28" i="194"/>
  <c r="E28" i="194"/>
  <c r="D28" i="194"/>
  <c r="U27" i="194"/>
  <c r="T27" i="194"/>
  <c r="S27" i="194"/>
  <c r="R27" i="194"/>
  <c r="Q27" i="194"/>
  <c r="P27" i="194"/>
  <c r="O27" i="194"/>
  <c r="N27" i="194"/>
  <c r="M27" i="194"/>
  <c r="L27" i="194"/>
  <c r="K27" i="194"/>
  <c r="J27" i="194"/>
  <c r="I27" i="194"/>
  <c r="H27" i="194"/>
  <c r="G27" i="194"/>
  <c r="F27" i="194"/>
  <c r="E27" i="194"/>
  <c r="D27" i="194"/>
  <c r="U26" i="194"/>
  <c r="T26" i="194"/>
  <c r="S26" i="194"/>
  <c r="R26" i="194"/>
  <c r="Q26" i="194"/>
  <c r="P26" i="194"/>
  <c r="O26" i="194"/>
  <c r="N26" i="194"/>
  <c r="M26" i="194"/>
  <c r="L26" i="194"/>
  <c r="K26" i="194"/>
  <c r="J26" i="194"/>
  <c r="I26" i="194"/>
  <c r="H26" i="194"/>
  <c r="G26" i="194"/>
  <c r="F26" i="194"/>
  <c r="E26" i="194"/>
  <c r="D26" i="194"/>
  <c r="U25" i="194"/>
  <c r="T25" i="194"/>
  <c r="S25" i="194"/>
  <c r="R25" i="194"/>
  <c r="Q25" i="194"/>
  <c r="P25" i="194"/>
  <c r="O25" i="194"/>
  <c r="N25" i="194"/>
  <c r="M25" i="194"/>
  <c r="L25" i="194"/>
  <c r="K25" i="194"/>
  <c r="J25" i="194"/>
  <c r="I25" i="194"/>
  <c r="H25" i="194"/>
  <c r="G25" i="194"/>
  <c r="F25" i="194"/>
  <c r="E25" i="194"/>
  <c r="D25" i="194"/>
  <c r="U24" i="194"/>
  <c r="T24" i="194"/>
  <c r="S24" i="194"/>
  <c r="R24" i="194"/>
  <c r="Q24" i="194"/>
  <c r="P24" i="194"/>
  <c r="O24" i="194"/>
  <c r="N24" i="194"/>
  <c r="M24" i="194"/>
  <c r="L24" i="194"/>
  <c r="K24" i="194"/>
  <c r="J24" i="194"/>
  <c r="I24" i="194"/>
  <c r="H24" i="194"/>
  <c r="G24" i="194"/>
  <c r="F24" i="194"/>
  <c r="E24" i="194"/>
  <c r="D24" i="194"/>
  <c r="U23" i="194"/>
  <c r="T23" i="194"/>
  <c r="S23" i="194"/>
  <c r="R23" i="194"/>
  <c r="Q23" i="194"/>
  <c r="P23" i="194"/>
  <c r="O23" i="194"/>
  <c r="N23" i="194"/>
  <c r="M23" i="194"/>
  <c r="L23" i="194"/>
  <c r="K23" i="194"/>
  <c r="J23" i="194"/>
  <c r="I23" i="194"/>
  <c r="H23" i="194"/>
  <c r="G23" i="194"/>
  <c r="F23" i="194"/>
  <c r="E23" i="194"/>
  <c r="D23" i="194"/>
  <c r="U22" i="194"/>
  <c r="T22" i="194"/>
  <c r="S22" i="194"/>
  <c r="R22" i="194"/>
  <c r="Q22" i="194"/>
  <c r="P22" i="194"/>
  <c r="O22" i="194"/>
  <c r="N22" i="194"/>
  <c r="M22" i="194"/>
  <c r="L22" i="194"/>
  <c r="K22" i="194"/>
  <c r="J22" i="194"/>
  <c r="I22" i="194"/>
  <c r="H22" i="194"/>
  <c r="G22" i="194"/>
  <c r="F22" i="194"/>
  <c r="E22" i="194"/>
  <c r="D22" i="194"/>
  <c r="U21" i="194"/>
  <c r="T21" i="194"/>
  <c r="S21" i="194"/>
  <c r="R21" i="194"/>
  <c r="Q21" i="194"/>
  <c r="P21" i="194"/>
  <c r="O21" i="194"/>
  <c r="N21" i="194"/>
  <c r="M21" i="194"/>
  <c r="L21" i="194"/>
  <c r="K21" i="194"/>
  <c r="J21" i="194"/>
  <c r="I21" i="194"/>
  <c r="H21" i="194"/>
  <c r="G21" i="194"/>
  <c r="F21" i="194"/>
  <c r="E21" i="194"/>
  <c r="D21" i="194"/>
  <c r="U20" i="194"/>
  <c r="T20" i="194"/>
  <c r="S20" i="194"/>
  <c r="R20" i="194"/>
  <c r="Q20" i="194"/>
  <c r="P20" i="194"/>
  <c r="O20" i="194"/>
  <c r="N20" i="194"/>
  <c r="M20" i="194"/>
  <c r="L20" i="194"/>
  <c r="K20" i="194"/>
  <c r="J20" i="194"/>
  <c r="I20" i="194"/>
  <c r="H20" i="194"/>
  <c r="G20" i="194"/>
  <c r="F20" i="194"/>
  <c r="E20" i="194"/>
  <c r="D20" i="194"/>
  <c r="P19" i="194"/>
  <c r="U18" i="194"/>
  <c r="T18" i="194"/>
  <c r="S18" i="194"/>
  <c r="R18" i="194"/>
  <c r="Q18" i="194"/>
  <c r="P18" i="194"/>
  <c r="O18" i="194"/>
  <c r="N18" i="194"/>
  <c r="M18" i="194"/>
  <c r="L18" i="194"/>
  <c r="K18" i="194"/>
  <c r="J18" i="194"/>
  <c r="I18" i="194"/>
  <c r="H18" i="194"/>
  <c r="G18" i="194"/>
  <c r="F18" i="194"/>
  <c r="E18" i="194"/>
  <c r="D18" i="194"/>
  <c r="U17" i="194"/>
  <c r="T17" i="194"/>
  <c r="S17" i="194"/>
  <c r="R17" i="194"/>
  <c r="Q17" i="194"/>
  <c r="P17" i="194"/>
  <c r="O17" i="194"/>
  <c r="N17" i="194"/>
  <c r="M17" i="194"/>
  <c r="L17" i="194"/>
  <c r="K17" i="194"/>
  <c r="J17" i="194"/>
  <c r="I17" i="194"/>
  <c r="H17" i="194"/>
  <c r="G17" i="194"/>
  <c r="F17" i="194"/>
  <c r="E17" i="194"/>
  <c r="D17" i="194"/>
  <c r="U16" i="194"/>
  <c r="T16" i="194"/>
  <c r="S16" i="194"/>
  <c r="R16" i="194"/>
  <c r="Q16" i="194"/>
  <c r="P16" i="194"/>
  <c r="O16" i="194"/>
  <c r="N16" i="194"/>
  <c r="M16" i="194"/>
  <c r="L16" i="194"/>
  <c r="K16" i="194"/>
  <c r="J16" i="194"/>
  <c r="I16" i="194"/>
  <c r="H16" i="194"/>
  <c r="G16" i="194"/>
  <c r="F16" i="194"/>
  <c r="E16" i="194"/>
  <c r="D16" i="194"/>
  <c r="U15" i="194"/>
  <c r="T15" i="194"/>
  <c r="S15" i="194"/>
  <c r="R15" i="194"/>
  <c r="Q15" i="194"/>
  <c r="P15" i="194"/>
  <c r="O15" i="194"/>
  <c r="N15" i="194"/>
  <c r="M15" i="194"/>
  <c r="L15" i="194"/>
  <c r="K15" i="194"/>
  <c r="J15" i="194"/>
  <c r="I15" i="194"/>
  <c r="H15" i="194"/>
  <c r="G15" i="194"/>
  <c r="F15" i="194"/>
  <c r="E15" i="194"/>
  <c r="D15" i="194"/>
  <c r="U14" i="194"/>
  <c r="T14" i="194"/>
  <c r="S14" i="194"/>
  <c r="R14" i="194"/>
  <c r="Q14" i="194"/>
  <c r="P14" i="194"/>
  <c r="O14" i="194"/>
  <c r="N14" i="194"/>
  <c r="M14" i="194"/>
  <c r="L14" i="194"/>
  <c r="K14" i="194"/>
  <c r="J14" i="194"/>
  <c r="I14" i="194"/>
  <c r="H14" i="194"/>
  <c r="G14" i="194"/>
  <c r="F14" i="194"/>
  <c r="E14" i="194"/>
  <c r="D14" i="194"/>
  <c r="U13" i="194"/>
  <c r="T13" i="194"/>
  <c r="S13" i="194"/>
  <c r="R13" i="194"/>
  <c r="Q13" i="194"/>
  <c r="P13" i="194"/>
  <c r="O13" i="194"/>
  <c r="N13" i="194"/>
  <c r="M13" i="194"/>
  <c r="L13" i="194"/>
  <c r="K13" i="194"/>
  <c r="J13" i="194"/>
  <c r="I13" i="194"/>
  <c r="H13" i="194"/>
  <c r="G13" i="194"/>
  <c r="F13" i="194"/>
  <c r="E13" i="194"/>
  <c r="D13" i="194"/>
  <c r="U12" i="194"/>
  <c r="T12" i="194"/>
  <c r="S12" i="194"/>
  <c r="R12" i="194"/>
  <c r="Q12" i="194"/>
  <c r="P12" i="194"/>
  <c r="O12" i="194"/>
  <c r="N12" i="194"/>
  <c r="M12" i="194"/>
  <c r="L12" i="194"/>
  <c r="K12" i="194"/>
  <c r="J12" i="194"/>
  <c r="I12" i="194"/>
  <c r="H12" i="194"/>
  <c r="G12" i="194"/>
  <c r="F12" i="194"/>
  <c r="E12" i="194"/>
  <c r="D12" i="194"/>
  <c r="U228" i="193"/>
  <c r="T228" i="193"/>
  <c r="S228" i="193"/>
  <c r="R228" i="193"/>
  <c r="Q228" i="193"/>
  <c r="P228" i="193"/>
  <c r="O228" i="193"/>
  <c r="N228" i="193"/>
  <c r="M228" i="193"/>
  <c r="L228" i="193"/>
  <c r="K228" i="193"/>
  <c r="J228" i="193"/>
  <c r="I228" i="193"/>
  <c r="H228" i="193"/>
  <c r="G228" i="193"/>
  <c r="F228" i="193"/>
  <c r="E228" i="193"/>
  <c r="D228" i="193"/>
  <c r="U227" i="193"/>
  <c r="T227" i="193"/>
  <c r="S227" i="193"/>
  <c r="R227" i="193"/>
  <c r="Q227" i="193"/>
  <c r="P227" i="193"/>
  <c r="O227" i="193"/>
  <c r="N227" i="193"/>
  <c r="M227" i="193"/>
  <c r="L227" i="193"/>
  <c r="K227" i="193"/>
  <c r="J227" i="193"/>
  <c r="I227" i="193"/>
  <c r="H227" i="193"/>
  <c r="G227" i="193"/>
  <c r="F227" i="193"/>
  <c r="E227" i="193"/>
  <c r="D227" i="193"/>
  <c r="U226" i="193"/>
  <c r="T226" i="193"/>
  <c r="S226" i="193"/>
  <c r="R226" i="193"/>
  <c r="Q226" i="193"/>
  <c r="P226" i="193"/>
  <c r="O226" i="193"/>
  <c r="N226" i="193"/>
  <c r="M226" i="193"/>
  <c r="L226" i="193"/>
  <c r="K226" i="193"/>
  <c r="J226" i="193"/>
  <c r="I226" i="193"/>
  <c r="H226" i="193"/>
  <c r="G226" i="193"/>
  <c r="F226" i="193"/>
  <c r="E226" i="193"/>
  <c r="D226" i="193"/>
  <c r="U225" i="193"/>
  <c r="T225" i="193"/>
  <c r="S225" i="193"/>
  <c r="R225" i="193"/>
  <c r="Q225" i="193"/>
  <c r="P225" i="193"/>
  <c r="O225" i="193"/>
  <c r="N225" i="193"/>
  <c r="M225" i="193"/>
  <c r="L225" i="193"/>
  <c r="K225" i="193"/>
  <c r="J225" i="193"/>
  <c r="I225" i="193"/>
  <c r="H225" i="193"/>
  <c r="G225" i="193"/>
  <c r="F225" i="193"/>
  <c r="E225" i="193"/>
  <c r="D225" i="193"/>
  <c r="U224" i="193"/>
  <c r="T224" i="193"/>
  <c r="S224" i="193"/>
  <c r="R224" i="193"/>
  <c r="Q224" i="193"/>
  <c r="P224" i="193"/>
  <c r="O224" i="193"/>
  <c r="N224" i="193"/>
  <c r="M224" i="193"/>
  <c r="L224" i="193"/>
  <c r="K224" i="193"/>
  <c r="J224" i="193"/>
  <c r="I224" i="193"/>
  <c r="H224" i="193"/>
  <c r="G224" i="193"/>
  <c r="F224" i="193"/>
  <c r="E224" i="193"/>
  <c r="D224" i="193"/>
  <c r="U223" i="193"/>
  <c r="T223" i="193"/>
  <c r="S223" i="193"/>
  <c r="R223" i="193"/>
  <c r="Q223" i="193"/>
  <c r="P223" i="193"/>
  <c r="O223" i="193"/>
  <c r="N223" i="193"/>
  <c r="M223" i="193"/>
  <c r="L223" i="193"/>
  <c r="K223" i="193"/>
  <c r="J223" i="193"/>
  <c r="I223" i="193"/>
  <c r="H223" i="193"/>
  <c r="G223" i="193"/>
  <c r="F223" i="193"/>
  <c r="E223" i="193"/>
  <c r="D223" i="193"/>
  <c r="U222" i="193"/>
  <c r="T222" i="193"/>
  <c r="S222" i="193"/>
  <c r="R222" i="193"/>
  <c r="Q222" i="193"/>
  <c r="P222" i="193"/>
  <c r="O222" i="193"/>
  <c r="N222" i="193"/>
  <c r="M222" i="193"/>
  <c r="L222" i="193"/>
  <c r="K222" i="193"/>
  <c r="J222" i="193"/>
  <c r="I222" i="193"/>
  <c r="H222" i="193"/>
  <c r="G222" i="193"/>
  <c r="F222" i="193"/>
  <c r="E222" i="193"/>
  <c r="D222" i="193"/>
  <c r="U221" i="193"/>
  <c r="T221" i="193"/>
  <c r="S221" i="193"/>
  <c r="R221" i="193"/>
  <c r="Q221" i="193"/>
  <c r="P221" i="193"/>
  <c r="O221" i="193"/>
  <c r="N221" i="193"/>
  <c r="M221" i="193"/>
  <c r="L221" i="193"/>
  <c r="K221" i="193"/>
  <c r="J221" i="193"/>
  <c r="I221" i="193"/>
  <c r="H221" i="193"/>
  <c r="G221" i="193"/>
  <c r="F221" i="193"/>
  <c r="E221" i="193"/>
  <c r="D221" i="193"/>
  <c r="U220" i="193"/>
  <c r="T220" i="193"/>
  <c r="S220" i="193"/>
  <c r="R220" i="193"/>
  <c r="Q220" i="193"/>
  <c r="P220" i="193"/>
  <c r="O220" i="193"/>
  <c r="N220" i="193"/>
  <c r="M220" i="193"/>
  <c r="L220" i="193"/>
  <c r="K220" i="193"/>
  <c r="J220" i="193"/>
  <c r="I220" i="193"/>
  <c r="H220" i="193"/>
  <c r="G220" i="193"/>
  <c r="F220" i="193"/>
  <c r="E220" i="193"/>
  <c r="D220" i="193"/>
  <c r="U219" i="193"/>
  <c r="T219" i="193"/>
  <c r="S219" i="193"/>
  <c r="R219" i="193"/>
  <c r="Q219" i="193"/>
  <c r="P219" i="193"/>
  <c r="O219" i="193"/>
  <c r="N219" i="193"/>
  <c r="M219" i="193"/>
  <c r="L219" i="193"/>
  <c r="K219" i="193"/>
  <c r="J219" i="193"/>
  <c r="I219" i="193"/>
  <c r="H219" i="193"/>
  <c r="G219" i="193"/>
  <c r="F219" i="193"/>
  <c r="E219" i="193"/>
  <c r="D219" i="193"/>
  <c r="P218" i="193"/>
  <c r="U217" i="193"/>
  <c r="T217" i="193"/>
  <c r="S217" i="193"/>
  <c r="R217" i="193"/>
  <c r="Q217" i="193"/>
  <c r="P217" i="193"/>
  <c r="O217" i="193"/>
  <c r="N217" i="193"/>
  <c r="M217" i="193"/>
  <c r="L217" i="193"/>
  <c r="K217" i="193"/>
  <c r="J217" i="193"/>
  <c r="I217" i="193"/>
  <c r="H217" i="193"/>
  <c r="G217" i="193"/>
  <c r="F217" i="193"/>
  <c r="E217" i="193"/>
  <c r="D217" i="193"/>
  <c r="U216" i="193"/>
  <c r="T216" i="193"/>
  <c r="S216" i="193"/>
  <c r="R216" i="193"/>
  <c r="Q216" i="193"/>
  <c r="P216" i="193"/>
  <c r="O216" i="193"/>
  <c r="N216" i="193"/>
  <c r="M216" i="193"/>
  <c r="L216" i="193"/>
  <c r="K216" i="193"/>
  <c r="J216" i="193"/>
  <c r="I216" i="193"/>
  <c r="H216" i="193"/>
  <c r="G216" i="193"/>
  <c r="F216" i="193"/>
  <c r="E216" i="193"/>
  <c r="D216" i="193"/>
  <c r="U215" i="193"/>
  <c r="T215" i="193"/>
  <c r="S215" i="193"/>
  <c r="R215" i="193"/>
  <c r="Q215" i="193"/>
  <c r="P215" i="193"/>
  <c r="O215" i="193"/>
  <c r="N215" i="193"/>
  <c r="M215" i="193"/>
  <c r="L215" i="193"/>
  <c r="K215" i="193"/>
  <c r="J215" i="193"/>
  <c r="I215" i="193"/>
  <c r="H215" i="193"/>
  <c r="G215" i="193"/>
  <c r="F215" i="193"/>
  <c r="E215" i="193"/>
  <c r="D215" i="193"/>
  <c r="U214" i="193"/>
  <c r="T214" i="193"/>
  <c r="S214" i="193"/>
  <c r="R214" i="193"/>
  <c r="Q214" i="193"/>
  <c r="P214" i="193"/>
  <c r="O214" i="193"/>
  <c r="N214" i="193"/>
  <c r="M214" i="193"/>
  <c r="L214" i="193"/>
  <c r="K214" i="193"/>
  <c r="J214" i="193"/>
  <c r="I214" i="193"/>
  <c r="H214" i="193"/>
  <c r="G214" i="193"/>
  <c r="F214" i="193"/>
  <c r="E214" i="193"/>
  <c r="D214" i="193"/>
  <c r="U213" i="193"/>
  <c r="T213" i="193"/>
  <c r="S213" i="193"/>
  <c r="R213" i="193"/>
  <c r="Q213" i="193"/>
  <c r="P213" i="193"/>
  <c r="O213" i="193"/>
  <c r="N213" i="193"/>
  <c r="M213" i="193"/>
  <c r="L213" i="193"/>
  <c r="K213" i="193"/>
  <c r="J213" i="193"/>
  <c r="I213" i="193"/>
  <c r="H213" i="193"/>
  <c r="G213" i="193"/>
  <c r="F213" i="193"/>
  <c r="E213" i="193"/>
  <c r="D213" i="193"/>
  <c r="U212" i="193"/>
  <c r="T212" i="193"/>
  <c r="S212" i="193"/>
  <c r="R212" i="193"/>
  <c r="Q212" i="193"/>
  <c r="P212" i="193"/>
  <c r="O212" i="193"/>
  <c r="N212" i="193"/>
  <c r="M212" i="193"/>
  <c r="L212" i="193"/>
  <c r="K212" i="193"/>
  <c r="J212" i="193"/>
  <c r="I212" i="193"/>
  <c r="H212" i="193"/>
  <c r="G212" i="193"/>
  <c r="F212" i="193"/>
  <c r="E212" i="193"/>
  <c r="D212" i="193"/>
  <c r="U211" i="193"/>
  <c r="T211" i="193"/>
  <c r="S211" i="193"/>
  <c r="R211" i="193"/>
  <c r="Q211" i="193"/>
  <c r="P211" i="193"/>
  <c r="O211" i="193"/>
  <c r="N211" i="193"/>
  <c r="M211" i="193"/>
  <c r="L211" i="193"/>
  <c r="K211" i="193"/>
  <c r="J211" i="193"/>
  <c r="I211" i="193"/>
  <c r="H211" i="193"/>
  <c r="G211" i="193"/>
  <c r="F211" i="193"/>
  <c r="E211" i="193"/>
  <c r="D211" i="193"/>
  <c r="U210" i="193"/>
  <c r="T210" i="193"/>
  <c r="S210" i="193"/>
  <c r="R210" i="193"/>
  <c r="Q210" i="193"/>
  <c r="P210" i="193"/>
  <c r="O210" i="193"/>
  <c r="N210" i="193"/>
  <c r="M210" i="193"/>
  <c r="L210" i="193"/>
  <c r="K210" i="193"/>
  <c r="J210" i="193"/>
  <c r="I210" i="193"/>
  <c r="H210" i="193"/>
  <c r="G210" i="193"/>
  <c r="F210" i="193"/>
  <c r="E210" i="193"/>
  <c r="D210" i="193"/>
  <c r="U209" i="193"/>
  <c r="T209" i="193"/>
  <c r="S209" i="193"/>
  <c r="R209" i="193"/>
  <c r="Q209" i="193"/>
  <c r="P209" i="193"/>
  <c r="O209" i="193"/>
  <c r="N209" i="193"/>
  <c r="M209" i="193"/>
  <c r="L209" i="193"/>
  <c r="K209" i="193"/>
  <c r="J209" i="193"/>
  <c r="I209" i="193"/>
  <c r="H209" i="193"/>
  <c r="G209" i="193"/>
  <c r="F209" i="193"/>
  <c r="E209" i="193"/>
  <c r="D209" i="193"/>
  <c r="U208" i="193"/>
  <c r="T208" i="193"/>
  <c r="S208" i="193"/>
  <c r="R208" i="193"/>
  <c r="Q208" i="193"/>
  <c r="P208" i="193"/>
  <c r="O208" i="193"/>
  <c r="N208" i="193"/>
  <c r="M208" i="193"/>
  <c r="L208" i="193"/>
  <c r="K208" i="193"/>
  <c r="J208" i="193"/>
  <c r="I208" i="193"/>
  <c r="H208" i="193"/>
  <c r="G208" i="193"/>
  <c r="F208" i="193"/>
  <c r="E208" i="193"/>
  <c r="D208" i="193"/>
  <c r="U207" i="193"/>
  <c r="T207" i="193"/>
  <c r="S207" i="193"/>
  <c r="R207" i="193"/>
  <c r="Q207" i="193"/>
  <c r="P207" i="193"/>
  <c r="O207" i="193"/>
  <c r="N207" i="193"/>
  <c r="M207" i="193"/>
  <c r="L207" i="193"/>
  <c r="K207" i="193"/>
  <c r="J207" i="193"/>
  <c r="I207" i="193"/>
  <c r="H207" i="193"/>
  <c r="G207" i="193"/>
  <c r="F207" i="193"/>
  <c r="E207" i="193"/>
  <c r="D207" i="193"/>
  <c r="U206" i="193"/>
  <c r="T206" i="193"/>
  <c r="S206" i="193"/>
  <c r="R206" i="193"/>
  <c r="Q206" i="193"/>
  <c r="P206" i="193"/>
  <c r="O206" i="193"/>
  <c r="N206" i="193"/>
  <c r="M206" i="193"/>
  <c r="L206" i="193"/>
  <c r="K206" i="193"/>
  <c r="J206" i="193"/>
  <c r="I206" i="193"/>
  <c r="H206" i="193"/>
  <c r="G206" i="193"/>
  <c r="F206" i="193"/>
  <c r="E206" i="193"/>
  <c r="D206" i="193"/>
  <c r="U205" i="193"/>
  <c r="T205" i="193"/>
  <c r="S205" i="193"/>
  <c r="R205" i="193"/>
  <c r="Q205" i="193"/>
  <c r="P205" i="193"/>
  <c r="O205" i="193"/>
  <c r="N205" i="193"/>
  <c r="M205" i="193"/>
  <c r="L205" i="193"/>
  <c r="K205" i="193"/>
  <c r="J205" i="193"/>
  <c r="I205" i="193"/>
  <c r="H205" i="193"/>
  <c r="G205" i="193"/>
  <c r="F205" i="193"/>
  <c r="E205" i="193"/>
  <c r="D205" i="193"/>
  <c r="P204" i="193"/>
  <c r="U203" i="193"/>
  <c r="T203" i="193"/>
  <c r="S203" i="193"/>
  <c r="R203" i="193"/>
  <c r="Q203" i="193"/>
  <c r="P203" i="193"/>
  <c r="O203" i="193"/>
  <c r="N203" i="193"/>
  <c r="M203" i="193"/>
  <c r="L203" i="193"/>
  <c r="K203" i="193"/>
  <c r="J203" i="193"/>
  <c r="I203" i="193"/>
  <c r="H203" i="193"/>
  <c r="G203" i="193"/>
  <c r="F203" i="193"/>
  <c r="E203" i="193"/>
  <c r="D203" i="193"/>
  <c r="U202" i="193"/>
  <c r="T202" i="193"/>
  <c r="S202" i="193"/>
  <c r="R202" i="193"/>
  <c r="Q202" i="193"/>
  <c r="P202" i="193"/>
  <c r="O202" i="193"/>
  <c r="N202" i="193"/>
  <c r="M202" i="193"/>
  <c r="L202" i="193"/>
  <c r="K202" i="193"/>
  <c r="J202" i="193"/>
  <c r="I202" i="193"/>
  <c r="H202" i="193"/>
  <c r="G202" i="193"/>
  <c r="F202" i="193"/>
  <c r="E202" i="193"/>
  <c r="D202" i="193"/>
  <c r="U201" i="193"/>
  <c r="T201" i="193"/>
  <c r="S201" i="193"/>
  <c r="R201" i="193"/>
  <c r="Q201" i="193"/>
  <c r="P201" i="193"/>
  <c r="O201" i="193"/>
  <c r="N201" i="193"/>
  <c r="M201" i="193"/>
  <c r="L201" i="193"/>
  <c r="K201" i="193"/>
  <c r="J201" i="193"/>
  <c r="I201" i="193"/>
  <c r="H201" i="193"/>
  <c r="G201" i="193"/>
  <c r="F201" i="193"/>
  <c r="E201" i="193"/>
  <c r="D201" i="193"/>
  <c r="U200" i="193"/>
  <c r="T200" i="193"/>
  <c r="S200" i="193"/>
  <c r="R200" i="193"/>
  <c r="Q200" i="193"/>
  <c r="P200" i="193"/>
  <c r="O200" i="193"/>
  <c r="N200" i="193"/>
  <c r="M200" i="193"/>
  <c r="L200" i="193"/>
  <c r="K200" i="193"/>
  <c r="J200" i="193"/>
  <c r="I200" i="193"/>
  <c r="H200" i="193"/>
  <c r="G200" i="193"/>
  <c r="F200" i="193"/>
  <c r="E200" i="193"/>
  <c r="D200" i="193"/>
  <c r="U199" i="193"/>
  <c r="T199" i="193"/>
  <c r="S199" i="193"/>
  <c r="R199" i="193"/>
  <c r="Q199" i="193"/>
  <c r="P199" i="193"/>
  <c r="O199" i="193"/>
  <c r="N199" i="193"/>
  <c r="M199" i="193"/>
  <c r="L199" i="193"/>
  <c r="K199" i="193"/>
  <c r="J199" i="193"/>
  <c r="I199" i="193"/>
  <c r="H199" i="193"/>
  <c r="G199" i="193"/>
  <c r="F199" i="193"/>
  <c r="E199" i="193"/>
  <c r="D199" i="193"/>
  <c r="U198" i="193"/>
  <c r="T198" i="193"/>
  <c r="S198" i="193"/>
  <c r="R198" i="193"/>
  <c r="Q198" i="193"/>
  <c r="P198" i="193"/>
  <c r="O198" i="193"/>
  <c r="N198" i="193"/>
  <c r="M198" i="193"/>
  <c r="L198" i="193"/>
  <c r="K198" i="193"/>
  <c r="J198" i="193"/>
  <c r="I198" i="193"/>
  <c r="H198" i="193"/>
  <c r="G198" i="193"/>
  <c r="F198" i="193"/>
  <c r="E198" i="193"/>
  <c r="D198" i="193"/>
  <c r="U197" i="193"/>
  <c r="T197" i="193"/>
  <c r="S197" i="193"/>
  <c r="R197" i="193"/>
  <c r="Q197" i="193"/>
  <c r="P197" i="193"/>
  <c r="O197" i="193"/>
  <c r="N197" i="193"/>
  <c r="M197" i="193"/>
  <c r="L197" i="193"/>
  <c r="K197" i="193"/>
  <c r="J197" i="193"/>
  <c r="I197" i="193"/>
  <c r="H197" i="193"/>
  <c r="G197" i="193"/>
  <c r="F197" i="193"/>
  <c r="E197" i="193"/>
  <c r="D197" i="193"/>
  <c r="U191" i="193"/>
  <c r="T191" i="193"/>
  <c r="S191" i="193"/>
  <c r="R191" i="193"/>
  <c r="Q191" i="193"/>
  <c r="P191" i="193"/>
  <c r="O191" i="193"/>
  <c r="N191" i="193"/>
  <c r="M191" i="193"/>
  <c r="L191" i="193"/>
  <c r="K191" i="193"/>
  <c r="J191" i="193"/>
  <c r="I191" i="193"/>
  <c r="H191" i="193"/>
  <c r="G191" i="193"/>
  <c r="F191" i="193"/>
  <c r="E191" i="193"/>
  <c r="D191" i="193"/>
  <c r="U190" i="193"/>
  <c r="T190" i="193"/>
  <c r="S190" i="193"/>
  <c r="R190" i="193"/>
  <c r="Q190" i="193"/>
  <c r="P190" i="193"/>
  <c r="O190" i="193"/>
  <c r="N190" i="193"/>
  <c r="M190" i="193"/>
  <c r="L190" i="193"/>
  <c r="K190" i="193"/>
  <c r="J190" i="193"/>
  <c r="I190" i="193"/>
  <c r="H190" i="193"/>
  <c r="G190" i="193"/>
  <c r="F190" i="193"/>
  <c r="E190" i="193"/>
  <c r="D190" i="193"/>
  <c r="U189" i="193"/>
  <c r="T189" i="193"/>
  <c r="S189" i="193"/>
  <c r="R189" i="193"/>
  <c r="Q189" i="193"/>
  <c r="P189" i="193"/>
  <c r="O189" i="193"/>
  <c r="N189" i="193"/>
  <c r="M189" i="193"/>
  <c r="L189" i="193"/>
  <c r="K189" i="193"/>
  <c r="J189" i="193"/>
  <c r="I189" i="193"/>
  <c r="H189" i="193"/>
  <c r="G189" i="193"/>
  <c r="F189" i="193"/>
  <c r="E189" i="193"/>
  <c r="D189" i="193"/>
  <c r="U188" i="193"/>
  <c r="T188" i="193"/>
  <c r="S188" i="193"/>
  <c r="R188" i="193"/>
  <c r="Q188" i="193"/>
  <c r="P188" i="193"/>
  <c r="O188" i="193"/>
  <c r="N188" i="193"/>
  <c r="M188" i="193"/>
  <c r="L188" i="193"/>
  <c r="K188" i="193"/>
  <c r="J188" i="193"/>
  <c r="I188" i="193"/>
  <c r="H188" i="193"/>
  <c r="G188" i="193"/>
  <c r="F188" i="193"/>
  <c r="E188" i="193"/>
  <c r="D188" i="193"/>
  <c r="U187" i="193"/>
  <c r="T187" i="193"/>
  <c r="S187" i="193"/>
  <c r="R187" i="193"/>
  <c r="Q187" i="193"/>
  <c r="P187" i="193"/>
  <c r="O187" i="193"/>
  <c r="N187" i="193"/>
  <c r="M187" i="193"/>
  <c r="L187" i="193"/>
  <c r="K187" i="193"/>
  <c r="J187" i="193"/>
  <c r="I187" i="193"/>
  <c r="H187" i="193"/>
  <c r="G187" i="193"/>
  <c r="F187" i="193"/>
  <c r="E187" i="193"/>
  <c r="D187" i="193"/>
  <c r="U186" i="193"/>
  <c r="T186" i="193"/>
  <c r="S186" i="193"/>
  <c r="R186" i="193"/>
  <c r="Q186" i="193"/>
  <c r="P186" i="193"/>
  <c r="O186" i="193"/>
  <c r="N186" i="193"/>
  <c r="M186" i="193"/>
  <c r="L186" i="193"/>
  <c r="K186" i="193"/>
  <c r="J186" i="193"/>
  <c r="I186" i="193"/>
  <c r="H186" i="193"/>
  <c r="G186" i="193"/>
  <c r="F186" i="193"/>
  <c r="E186" i="193"/>
  <c r="D186" i="193"/>
  <c r="U185" i="193"/>
  <c r="T185" i="193"/>
  <c r="S185" i="193"/>
  <c r="R185" i="193"/>
  <c r="Q185" i="193"/>
  <c r="P185" i="193"/>
  <c r="O185" i="193"/>
  <c r="N185" i="193"/>
  <c r="M185" i="193"/>
  <c r="L185" i="193"/>
  <c r="K185" i="193"/>
  <c r="J185" i="193"/>
  <c r="I185" i="193"/>
  <c r="H185" i="193"/>
  <c r="G185" i="193"/>
  <c r="F185" i="193"/>
  <c r="E185" i="193"/>
  <c r="D185" i="193"/>
  <c r="U184" i="193"/>
  <c r="T184" i="193"/>
  <c r="S184" i="193"/>
  <c r="R184" i="193"/>
  <c r="Q184" i="193"/>
  <c r="P184" i="193"/>
  <c r="O184" i="193"/>
  <c r="N184" i="193"/>
  <c r="M184" i="193"/>
  <c r="L184" i="193"/>
  <c r="K184" i="193"/>
  <c r="J184" i="193"/>
  <c r="I184" i="193"/>
  <c r="H184" i="193"/>
  <c r="G184" i="193"/>
  <c r="F184" i="193"/>
  <c r="E184" i="193"/>
  <c r="D184" i="193"/>
  <c r="U183" i="193"/>
  <c r="T183" i="193"/>
  <c r="S183" i="193"/>
  <c r="R183" i="193"/>
  <c r="Q183" i="193"/>
  <c r="P183" i="193"/>
  <c r="O183" i="193"/>
  <c r="N183" i="193"/>
  <c r="M183" i="193"/>
  <c r="L183" i="193"/>
  <c r="K183" i="193"/>
  <c r="J183" i="193"/>
  <c r="I183" i="193"/>
  <c r="H183" i="193"/>
  <c r="G183" i="193"/>
  <c r="F183" i="193"/>
  <c r="E183" i="193"/>
  <c r="D183" i="193"/>
  <c r="U182" i="193"/>
  <c r="T182" i="193"/>
  <c r="S182" i="193"/>
  <c r="R182" i="193"/>
  <c r="Q182" i="193"/>
  <c r="P182" i="193"/>
  <c r="O182" i="193"/>
  <c r="N182" i="193"/>
  <c r="M182" i="193"/>
  <c r="L182" i="193"/>
  <c r="K182" i="193"/>
  <c r="J182" i="193"/>
  <c r="I182" i="193"/>
  <c r="H182" i="193"/>
  <c r="G182" i="193"/>
  <c r="F182" i="193"/>
  <c r="E182" i="193"/>
  <c r="D182" i="193"/>
  <c r="P181" i="193"/>
  <c r="U180" i="193"/>
  <c r="T180" i="193"/>
  <c r="S180" i="193"/>
  <c r="R180" i="193"/>
  <c r="Q180" i="193"/>
  <c r="P180" i="193"/>
  <c r="O180" i="193"/>
  <c r="N180" i="193"/>
  <c r="M180" i="193"/>
  <c r="L180" i="193"/>
  <c r="K180" i="193"/>
  <c r="J180" i="193"/>
  <c r="I180" i="193"/>
  <c r="H180" i="193"/>
  <c r="G180" i="193"/>
  <c r="F180" i="193"/>
  <c r="E180" i="193"/>
  <c r="D180" i="193"/>
  <c r="U179" i="193"/>
  <c r="T179" i="193"/>
  <c r="S179" i="193"/>
  <c r="R179" i="193"/>
  <c r="Q179" i="193"/>
  <c r="P179" i="193"/>
  <c r="O179" i="193"/>
  <c r="N179" i="193"/>
  <c r="M179" i="193"/>
  <c r="L179" i="193"/>
  <c r="K179" i="193"/>
  <c r="J179" i="193"/>
  <c r="I179" i="193"/>
  <c r="H179" i="193"/>
  <c r="G179" i="193"/>
  <c r="F179" i="193"/>
  <c r="E179" i="193"/>
  <c r="D179" i="193"/>
  <c r="U178" i="193"/>
  <c r="T178" i="193"/>
  <c r="S178" i="193"/>
  <c r="R178" i="193"/>
  <c r="Q178" i="193"/>
  <c r="P178" i="193"/>
  <c r="O178" i="193"/>
  <c r="N178" i="193"/>
  <c r="M178" i="193"/>
  <c r="L178" i="193"/>
  <c r="K178" i="193"/>
  <c r="J178" i="193"/>
  <c r="I178" i="193"/>
  <c r="H178" i="193"/>
  <c r="G178" i="193"/>
  <c r="F178" i="193"/>
  <c r="E178" i="193"/>
  <c r="D178" i="193"/>
  <c r="U177" i="193"/>
  <c r="T177" i="193"/>
  <c r="S177" i="193"/>
  <c r="R177" i="193"/>
  <c r="Q177" i="193"/>
  <c r="P177" i="193"/>
  <c r="O177" i="193"/>
  <c r="N177" i="193"/>
  <c r="M177" i="193"/>
  <c r="L177" i="193"/>
  <c r="K177" i="193"/>
  <c r="J177" i="193"/>
  <c r="I177" i="193"/>
  <c r="H177" i="193"/>
  <c r="G177" i="193"/>
  <c r="F177" i="193"/>
  <c r="E177" i="193"/>
  <c r="D177" i="193"/>
  <c r="U176" i="193"/>
  <c r="T176" i="193"/>
  <c r="S176" i="193"/>
  <c r="R176" i="193"/>
  <c r="Q176" i="193"/>
  <c r="P176" i="193"/>
  <c r="O176" i="193"/>
  <c r="N176" i="193"/>
  <c r="M176" i="193"/>
  <c r="L176" i="193"/>
  <c r="K176" i="193"/>
  <c r="J176" i="193"/>
  <c r="I176" i="193"/>
  <c r="H176" i="193"/>
  <c r="G176" i="193"/>
  <c r="F176" i="193"/>
  <c r="E176" i="193"/>
  <c r="D176" i="193"/>
  <c r="U175" i="193"/>
  <c r="T175" i="193"/>
  <c r="S175" i="193"/>
  <c r="R175" i="193"/>
  <c r="Q175" i="193"/>
  <c r="P175" i="193"/>
  <c r="O175" i="193"/>
  <c r="N175" i="193"/>
  <c r="M175" i="193"/>
  <c r="L175" i="193"/>
  <c r="K175" i="193"/>
  <c r="J175" i="193"/>
  <c r="I175" i="193"/>
  <c r="H175" i="193"/>
  <c r="G175" i="193"/>
  <c r="F175" i="193"/>
  <c r="E175" i="193"/>
  <c r="D175" i="193"/>
  <c r="U174" i="193"/>
  <c r="T174" i="193"/>
  <c r="S174" i="193"/>
  <c r="R174" i="193"/>
  <c r="Q174" i="193"/>
  <c r="P174" i="193"/>
  <c r="O174" i="193"/>
  <c r="N174" i="193"/>
  <c r="M174" i="193"/>
  <c r="L174" i="193"/>
  <c r="K174" i="193"/>
  <c r="J174" i="193"/>
  <c r="I174" i="193"/>
  <c r="H174" i="193"/>
  <c r="G174" i="193"/>
  <c r="F174" i="193"/>
  <c r="E174" i="193"/>
  <c r="D174" i="193"/>
  <c r="U173" i="193"/>
  <c r="T173" i="193"/>
  <c r="S173" i="193"/>
  <c r="R173" i="193"/>
  <c r="Q173" i="193"/>
  <c r="P173" i="193"/>
  <c r="O173" i="193"/>
  <c r="N173" i="193"/>
  <c r="M173" i="193"/>
  <c r="L173" i="193"/>
  <c r="K173" i="193"/>
  <c r="J173" i="193"/>
  <c r="I173" i="193"/>
  <c r="H173" i="193"/>
  <c r="G173" i="193"/>
  <c r="F173" i="193"/>
  <c r="E173" i="193"/>
  <c r="D173" i="193"/>
  <c r="U172" i="193"/>
  <c r="T172" i="193"/>
  <c r="S172" i="193"/>
  <c r="R172" i="193"/>
  <c r="Q172" i="193"/>
  <c r="P172" i="193"/>
  <c r="O172" i="193"/>
  <c r="N172" i="193"/>
  <c r="M172" i="193"/>
  <c r="L172" i="193"/>
  <c r="K172" i="193"/>
  <c r="J172" i="193"/>
  <c r="I172" i="193"/>
  <c r="H172" i="193"/>
  <c r="G172" i="193"/>
  <c r="F172" i="193"/>
  <c r="E172" i="193"/>
  <c r="D172" i="193"/>
  <c r="U171" i="193"/>
  <c r="T171" i="193"/>
  <c r="S171" i="193"/>
  <c r="R171" i="193"/>
  <c r="Q171" i="193"/>
  <c r="P171" i="193"/>
  <c r="O171" i="193"/>
  <c r="N171" i="193"/>
  <c r="M171" i="193"/>
  <c r="L171" i="193"/>
  <c r="K171" i="193"/>
  <c r="J171" i="193"/>
  <c r="I171" i="193"/>
  <c r="H171" i="193"/>
  <c r="G171" i="193"/>
  <c r="F171" i="193"/>
  <c r="E171" i="193"/>
  <c r="D171" i="193"/>
  <c r="U170" i="193"/>
  <c r="T170" i="193"/>
  <c r="S170" i="193"/>
  <c r="R170" i="193"/>
  <c r="Q170" i="193"/>
  <c r="P170" i="193"/>
  <c r="O170" i="193"/>
  <c r="N170" i="193"/>
  <c r="M170" i="193"/>
  <c r="L170" i="193"/>
  <c r="K170" i="193"/>
  <c r="J170" i="193"/>
  <c r="I170" i="193"/>
  <c r="H170" i="193"/>
  <c r="G170" i="193"/>
  <c r="F170" i="193"/>
  <c r="E170" i="193"/>
  <c r="D170" i="193"/>
  <c r="U169" i="193"/>
  <c r="T169" i="193"/>
  <c r="S169" i="193"/>
  <c r="R169" i="193"/>
  <c r="Q169" i="193"/>
  <c r="P169" i="193"/>
  <c r="O169" i="193"/>
  <c r="N169" i="193"/>
  <c r="M169" i="193"/>
  <c r="L169" i="193"/>
  <c r="K169" i="193"/>
  <c r="J169" i="193"/>
  <c r="I169" i="193"/>
  <c r="H169" i="193"/>
  <c r="G169" i="193"/>
  <c r="F169" i="193"/>
  <c r="E169" i="193"/>
  <c r="D169" i="193"/>
  <c r="U168" i="193"/>
  <c r="T168" i="193"/>
  <c r="S168" i="193"/>
  <c r="R168" i="193"/>
  <c r="Q168" i="193"/>
  <c r="P168" i="193"/>
  <c r="O168" i="193"/>
  <c r="N168" i="193"/>
  <c r="M168" i="193"/>
  <c r="L168" i="193"/>
  <c r="K168" i="193"/>
  <c r="J168" i="193"/>
  <c r="I168" i="193"/>
  <c r="H168" i="193"/>
  <c r="G168" i="193"/>
  <c r="F168" i="193"/>
  <c r="E168" i="193"/>
  <c r="D168" i="193"/>
  <c r="P167" i="193"/>
  <c r="U166" i="193"/>
  <c r="T166" i="193"/>
  <c r="S166" i="193"/>
  <c r="R166" i="193"/>
  <c r="Q166" i="193"/>
  <c r="P166" i="193"/>
  <c r="O166" i="193"/>
  <c r="N166" i="193"/>
  <c r="M166" i="193"/>
  <c r="L166" i="193"/>
  <c r="K166" i="193"/>
  <c r="J166" i="193"/>
  <c r="I166" i="193"/>
  <c r="H166" i="193"/>
  <c r="G166" i="193"/>
  <c r="F166" i="193"/>
  <c r="E166" i="193"/>
  <c r="D166" i="193"/>
  <c r="U165" i="193"/>
  <c r="T165" i="193"/>
  <c r="S165" i="193"/>
  <c r="R165" i="193"/>
  <c r="Q165" i="193"/>
  <c r="P165" i="193"/>
  <c r="O165" i="193"/>
  <c r="N165" i="193"/>
  <c r="M165" i="193"/>
  <c r="L165" i="193"/>
  <c r="K165" i="193"/>
  <c r="J165" i="193"/>
  <c r="I165" i="193"/>
  <c r="H165" i="193"/>
  <c r="G165" i="193"/>
  <c r="F165" i="193"/>
  <c r="E165" i="193"/>
  <c r="D165" i="193"/>
  <c r="U164" i="193"/>
  <c r="T164" i="193"/>
  <c r="S164" i="193"/>
  <c r="R164" i="193"/>
  <c r="Q164" i="193"/>
  <c r="P164" i="193"/>
  <c r="O164" i="193"/>
  <c r="N164" i="193"/>
  <c r="M164" i="193"/>
  <c r="L164" i="193"/>
  <c r="K164" i="193"/>
  <c r="J164" i="193"/>
  <c r="I164" i="193"/>
  <c r="H164" i="193"/>
  <c r="G164" i="193"/>
  <c r="F164" i="193"/>
  <c r="E164" i="193"/>
  <c r="D164" i="193"/>
  <c r="U163" i="193"/>
  <c r="T163" i="193"/>
  <c r="S163" i="193"/>
  <c r="R163" i="193"/>
  <c r="Q163" i="193"/>
  <c r="P163" i="193"/>
  <c r="O163" i="193"/>
  <c r="N163" i="193"/>
  <c r="M163" i="193"/>
  <c r="L163" i="193"/>
  <c r="K163" i="193"/>
  <c r="J163" i="193"/>
  <c r="I163" i="193"/>
  <c r="H163" i="193"/>
  <c r="G163" i="193"/>
  <c r="F163" i="193"/>
  <c r="E163" i="193"/>
  <c r="D163" i="193"/>
  <c r="U162" i="193"/>
  <c r="T162" i="193"/>
  <c r="S162" i="193"/>
  <c r="R162" i="193"/>
  <c r="Q162" i="193"/>
  <c r="P162" i="193"/>
  <c r="O162" i="193"/>
  <c r="N162" i="193"/>
  <c r="M162" i="193"/>
  <c r="L162" i="193"/>
  <c r="K162" i="193"/>
  <c r="J162" i="193"/>
  <c r="I162" i="193"/>
  <c r="H162" i="193"/>
  <c r="G162" i="193"/>
  <c r="F162" i="193"/>
  <c r="E162" i="193"/>
  <c r="D162" i="193"/>
  <c r="U161" i="193"/>
  <c r="T161" i="193"/>
  <c r="S161" i="193"/>
  <c r="R161" i="193"/>
  <c r="Q161" i="193"/>
  <c r="P161" i="193"/>
  <c r="O161" i="193"/>
  <c r="N161" i="193"/>
  <c r="M161" i="193"/>
  <c r="L161" i="193"/>
  <c r="K161" i="193"/>
  <c r="J161" i="193"/>
  <c r="I161" i="193"/>
  <c r="H161" i="193"/>
  <c r="G161" i="193"/>
  <c r="F161" i="193"/>
  <c r="E161" i="193"/>
  <c r="D161" i="193"/>
  <c r="U160" i="193"/>
  <c r="T160" i="193"/>
  <c r="S160" i="193"/>
  <c r="R160" i="193"/>
  <c r="Q160" i="193"/>
  <c r="P160" i="193"/>
  <c r="O160" i="193"/>
  <c r="N160" i="193"/>
  <c r="M160" i="193"/>
  <c r="L160" i="193"/>
  <c r="K160" i="193"/>
  <c r="J160" i="193"/>
  <c r="I160" i="193"/>
  <c r="H160" i="193"/>
  <c r="G160" i="193"/>
  <c r="F160" i="193"/>
  <c r="E160" i="193"/>
  <c r="D160" i="193"/>
  <c r="U154" i="193"/>
  <c r="T154" i="193"/>
  <c r="S154" i="193"/>
  <c r="R154" i="193"/>
  <c r="Q154" i="193"/>
  <c r="P154" i="193"/>
  <c r="O154" i="193"/>
  <c r="N154" i="193"/>
  <c r="M154" i="193"/>
  <c r="L154" i="193"/>
  <c r="K154" i="193"/>
  <c r="J154" i="193"/>
  <c r="I154" i="193"/>
  <c r="H154" i="193"/>
  <c r="G154" i="193"/>
  <c r="F154" i="193"/>
  <c r="E154" i="193"/>
  <c r="D154" i="193"/>
  <c r="U153" i="193"/>
  <c r="T153" i="193"/>
  <c r="S153" i="193"/>
  <c r="R153" i="193"/>
  <c r="Q153" i="193"/>
  <c r="P153" i="193"/>
  <c r="O153" i="193"/>
  <c r="N153" i="193"/>
  <c r="M153" i="193"/>
  <c r="L153" i="193"/>
  <c r="K153" i="193"/>
  <c r="J153" i="193"/>
  <c r="I153" i="193"/>
  <c r="H153" i="193"/>
  <c r="G153" i="193"/>
  <c r="F153" i="193"/>
  <c r="E153" i="193"/>
  <c r="D153" i="193"/>
  <c r="U152" i="193"/>
  <c r="T152" i="193"/>
  <c r="S152" i="193"/>
  <c r="R152" i="193"/>
  <c r="Q152" i="193"/>
  <c r="P152" i="193"/>
  <c r="O152" i="193"/>
  <c r="N152" i="193"/>
  <c r="M152" i="193"/>
  <c r="L152" i="193"/>
  <c r="K152" i="193"/>
  <c r="J152" i="193"/>
  <c r="I152" i="193"/>
  <c r="H152" i="193"/>
  <c r="G152" i="193"/>
  <c r="F152" i="193"/>
  <c r="E152" i="193"/>
  <c r="D152" i="193"/>
  <c r="U151" i="193"/>
  <c r="T151" i="193"/>
  <c r="S151" i="193"/>
  <c r="R151" i="193"/>
  <c r="Q151" i="193"/>
  <c r="P151" i="193"/>
  <c r="O151" i="193"/>
  <c r="N151" i="193"/>
  <c r="M151" i="193"/>
  <c r="L151" i="193"/>
  <c r="K151" i="193"/>
  <c r="J151" i="193"/>
  <c r="I151" i="193"/>
  <c r="H151" i="193"/>
  <c r="G151" i="193"/>
  <c r="F151" i="193"/>
  <c r="E151" i="193"/>
  <c r="D151" i="193"/>
  <c r="U150" i="193"/>
  <c r="T150" i="193"/>
  <c r="S150" i="193"/>
  <c r="R150" i="193"/>
  <c r="Q150" i="193"/>
  <c r="P150" i="193"/>
  <c r="O150" i="193"/>
  <c r="N150" i="193"/>
  <c r="M150" i="193"/>
  <c r="L150" i="193"/>
  <c r="K150" i="193"/>
  <c r="J150" i="193"/>
  <c r="I150" i="193"/>
  <c r="H150" i="193"/>
  <c r="G150" i="193"/>
  <c r="F150" i="193"/>
  <c r="E150" i="193"/>
  <c r="D150" i="193"/>
  <c r="U149" i="193"/>
  <c r="T149" i="193"/>
  <c r="S149" i="193"/>
  <c r="R149" i="193"/>
  <c r="Q149" i="193"/>
  <c r="P149" i="193"/>
  <c r="O149" i="193"/>
  <c r="N149" i="193"/>
  <c r="M149" i="193"/>
  <c r="L149" i="193"/>
  <c r="K149" i="193"/>
  <c r="J149" i="193"/>
  <c r="I149" i="193"/>
  <c r="H149" i="193"/>
  <c r="G149" i="193"/>
  <c r="F149" i="193"/>
  <c r="E149" i="193"/>
  <c r="D149" i="193"/>
  <c r="U148" i="193"/>
  <c r="T148" i="193"/>
  <c r="S148" i="193"/>
  <c r="R148" i="193"/>
  <c r="Q148" i="193"/>
  <c r="P148" i="193"/>
  <c r="O148" i="193"/>
  <c r="N148" i="193"/>
  <c r="M148" i="193"/>
  <c r="L148" i="193"/>
  <c r="K148" i="193"/>
  <c r="J148" i="193"/>
  <c r="I148" i="193"/>
  <c r="H148" i="193"/>
  <c r="G148" i="193"/>
  <c r="F148" i="193"/>
  <c r="E148" i="193"/>
  <c r="D148" i="193"/>
  <c r="U147" i="193"/>
  <c r="T147" i="193"/>
  <c r="S147" i="193"/>
  <c r="R147" i="193"/>
  <c r="Q147" i="193"/>
  <c r="P147" i="193"/>
  <c r="O147" i="193"/>
  <c r="N147" i="193"/>
  <c r="M147" i="193"/>
  <c r="L147" i="193"/>
  <c r="K147" i="193"/>
  <c r="J147" i="193"/>
  <c r="I147" i="193"/>
  <c r="H147" i="193"/>
  <c r="G147" i="193"/>
  <c r="F147" i="193"/>
  <c r="E147" i="193"/>
  <c r="D147" i="193"/>
  <c r="U146" i="193"/>
  <c r="T146" i="193"/>
  <c r="S146" i="193"/>
  <c r="R146" i="193"/>
  <c r="Q146" i="193"/>
  <c r="P146" i="193"/>
  <c r="O146" i="193"/>
  <c r="N146" i="193"/>
  <c r="M146" i="193"/>
  <c r="L146" i="193"/>
  <c r="K146" i="193"/>
  <c r="J146" i="193"/>
  <c r="I146" i="193"/>
  <c r="H146" i="193"/>
  <c r="G146" i="193"/>
  <c r="F146" i="193"/>
  <c r="E146" i="193"/>
  <c r="D146" i="193"/>
  <c r="U145" i="193"/>
  <c r="T145" i="193"/>
  <c r="S145" i="193"/>
  <c r="R145" i="193"/>
  <c r="Q145" i="193"/>
  <c r="P145" i="193"/>
  <c r="O145" i="193"/>
  <c r="N145" i="193"/>
  <c r="M145" i="193"/>
  <c r="L145" i="193"/>
  <c r="K145" i="193"/>
  <c r="J145" i="193"/>
  <c r="I145" i="193"/>
  <c r="H145" i="193"/>
  <c r="G145" i="193"/>
  <c r="F145" i="193"/>
  <c r="E145" i="193"/>
  <c r="D145" i="193"/>
  <c r="P144" i="193"/>
  <c r="U143" i="193"/>
  <c r="T143" i="193"/>
  <c r="S143" i="193"/>
  <c r="R143" i="193"/>
  <c r="Q143" i="193"/>
  <c r="P143" i="193"/>
  <c r="O143" i="193"/>
  <c r="N143" i="193"/>
  <c r="M143" i="193"/>
  <c r="L143" i="193"/>
  <c r="K143" i="193"/>
  <c r="J143" i="193"/>
  <c r="I143" i="193"/>
  <c r="H143" i="193"/>
  <c r="G143" i="193"/>
  <c r="F143" i="193"/>
  <c r="E143" i="193"/>
  <c r="D143" i="193"/>
  <c r="U142" i="193"/>
  <c r="T142" i="193"/>
  <c r="S142" i="193"/>
  <c r="R142" i="193"/>
  <c r="Q142" i="193"/>
  <c r="P142" i="193"/>
  <c r="O142" i="193"/>
  <c r="N142" i="193"/>
  <c r="M142" i="193"/>
  <c r="L142" i="193"/>
  <c r="K142" i="193"/>
  <c r="J142" i="193"/>
  <c r="I142" i="193"/>
  <c r="H142" i="193"/>
  <c r="G142" i="193"/>
  <c r="F142" i="193"/>
  <c r="E142" i="193"/>
  <c r="D142" i="193"/>
  <c r="U141" i="193"/>
  <c r="T141" i="193"/>
  <c r="S141" i="193"/>
  <c r="R141" i="193"/>
  <c r="Q141" i="193"/>
  <c r="P141" i="193"/>
  <c r="O141" i="193"/>
  <c r="N141" i="193"/>
  <c r="M141" i="193"/>
  <c r="L141" i="193"/>
  <c r="K141" i="193"/>
  <c r="J141" i="193"/>
  <c r="I141" i="193"/>
  <c r="H141" i="193"/>
  <c r="G141" i="193"/>
  <c r="F141" i="193"/>
  <c r="E141" i="193"/>
  <c r="D141" i="193"/>
  <c r="U140" i="193"/>
  <c r="T140" i="193"/>
  <c r="S140" i="193"/>
  <c r="R140" i="193"/>
  <c r="Q140" i="193"/>
  <c r="P140" i="193"/>
  <c r="O140" i="193"/>
  <c r="N140" i="193"/>
  <c r="M140" i="193"/>
  <c r="L140" i="193"/>
  <c r="K140" i="193"/>
  <c r="J140" i="193"/>
  <c r="I140" i="193"/>
  <c r="H140" i="193"/>
  <c r="G140" i="193"/>
  <c r="F140" i="193"/>
  <c r="E140" i="193"/>
  <c r="D140" i="193"/>
  <c r="U139" i="193"/>
  <c r="T139" i="193"/>
  <c r="S139" i="193"/>
  <c r="R139" i="193"/>
  <c r="Q139" i="193"/>
  <c r="P139" i="193"/>
  <c r="O139" i="193"/>
  <c r="N139" i="193"/>
  <c r="M139" i="193"/>
  <c r="L139" i="193"/>
  <c r="K139" i="193"/>
  <c r="J139" i="193"/>
  <c r="I139" i="193"/>
  <c r="H139" i="193"/>
  <c r="G139" i="193"/>
  <c r="F139" i="193"/>
  <c r="E139" i="193"/>
  <c r="D139" i="193"/>
  <c r="U138" i="193"/>
  <c r="T138" i="193"/>
  <c r="S138" i="193"/>
  <c r="R138" i="193"/>
  <c r="Q138" i="193"/>
  <c r="P138" i="193"/>
  <c r="O138" i="193"/>
  <c r="N138" i="193"/>
  <c r="M138" i="193"/>
  <c r="L138" i="193"/>
  <c r="K138" i="193"/>
  <c r="J138" i="193"/>
  <c r="I138" i="193"/>
  <c r="H138" i="193"/>
  <c r="G138" i="193"/>
  <c r="F138" i="193"/>
  <c r="E138" i="193"/>
  <c r="D138" i="193"/>
  <c r="U137" i="193"/>
  <c r="T137" i="193"/>
  <c r="S137" i="193"/>
  <c r="R137" i="193"/>
  <c r="Q137" i="193"/>
  <c r="P137" i="193"/>
  <c r="O137" i="193"/>
  <c r="N137" i="193"/>
  <c r="M137" i="193"/>
  <c r="L137" i="193"/>
  <c r="K137" i="193"/>
  <c r="J137" i="193"/>
  <c r="I137" i="193"/>
  <c r="H137" i="193"/>
  <c r="G137" i="193"/>
  <c r="F137" i="193"/>
  <c r="E137" i="193"/>
  <c r="D137" i="193"/>
  <c r="U136" i="193"/>
  <c r="T136" i="193"/>
  <c r="S136" i="193"/>
  <c r="R136" i="193"/>
  <c r="Q136" i="193"/>
  <c r="P136" i="193"/>
  <c r="O136" i="193"/>
  <c r="N136" i="193"/>
  <c r="M136" i="193"/>
  <c r="L136" i="193"/>
  <c r="K136" i="193"/>
  <c r="J136" i="193"/>
  <c r="I136" i="193"/>
  <c r="H136" i="193"/>
  <c r="G136" i="193"/>
  <c r="F136" i="193"/>
  <c r="E136" i="193"/>
  <c r="D136" i="193"/>
  <c r="U135" i="193"/>
  <c r="T135" i="193"/>
  <c r="S135" i="193"/>
  <c r="R135" i="193"/>
  <c r="Q135" i="193"/>
  <c r="P135" i="193"/>
  <c r="O135" i="193"/>
  <c r="N135" i="193"/>
  <c r="M135" i="193"/>
  <c r="L135" i="193"/>
  <c r="K135" i="193"/>
  <c r="J135" i="193"/>
  <c r="I135" i="193"/>
  <c r="H135" i="193"/>
  <c r="G135" i="193"/>
  <c r="F135" i="193"/>
  <c r="E135" i="193"/>
  <c r="D135" i="193"/>
  <c r="U134" i="193"/>
  <c r="T134" i="193"/>
  <c r="S134" i="193"/>
  <c r="R134" i="193"/>
  <c r="Q134" i="193"/>
  <c r="P134" i="193"/>
  <c r="O134" i="193"/>
  <c r="N134" i="193"/>
  <c r="M134" i="193"/>
  <c r="L134" i="193"/>
  <c r="K134" i="193"/>
  <c r="J134" i="193"/>
  <c r="I134" i="193"/>
  <c r="H134" i="193"/>
  <c r="G134" i="193"/>
  <c r="F134" i="193"/>
  <c r="E134" i="193"/>
  <c r="D134" i="193"/>
  <c r="U133" i="193"/>
  <c r="T133" i="193"/>
  <c r="S133" i="193"/>
  <c r="R133" i="193"/>
  <c r="Q133" i="193"/>
  <c r="P133" i="193"/>
  <c r="O133" i="193"/>
  <c r="N133" i="193"/>
  <c r="M133" i="193"/>
  <c r="L133" i="193"/>
  <c r="K133" i="193"/>
  <c r="J133" i="193"/>
  <c r="I133" i="193"/>
  <c r="H133" i="193"/>
  <c r="G133" i="193"/>
  <c r="F133" i="193"/>
  <c r="E133" i="193"/>
  <c r="D133" i="193"/>
  <c r="U132" i="193"/>
  <c r="T132" i="193"/>
  <c r="S132" i="193"/>
  <c r="R132" i="193"/>
  <c r="Q132" i="193"/>
  <c r="P132" i="193"/>
  <c r="O132" i="193"/>
  <c r="N132" i="193"/>
  <c r="M132" i="193"/>
  <c r="L132" i="193"/>
  <c r="K132" i="193"/>
  <c r="J132" i="193"/>
  <c r="I132" i="193"/>
  <c r="H132" i="193"/>
  <c r="G132" i="193"/>
  <c r="F132" i="193"/>
  <c r="E132" i="193"/>
  <c r="D132" i="193"/>
  <c r="U131" i="193"/>
  <c r="T131" i="193"/>
  <c r="S131" i="193"/>
  <c r="R131" i="193"/>
  <c r="Q131" i="193"/>
  <c r="P131" i="193"/>
  <c r="O131" i="193"/>
  <c r="N131" i="193"/>
  <c r="M131" i="193"/>
  <c r="L131" i="193"/>
  <c r="K131" i="193"/>
  <c r="J131" i="193"/>
  <c r="I131" i="193"/>
  <c r="H131" i="193"/>
  <c r="G131" i="193"/>
  <c r="F131" i="193"/>
  <c r="E131" i="193"/>
  <c r="D131" i="193"/>
  <c r="P130" i="193"/>
  <c r="U129" i="193"/>
  <c r="T129" i="193"/>
  <c r="S129" i="193"/>
  <c r="R129" i="193"/>
  <c r="Q129" i="193"/>
  <c r="P129" i="193"/>
  <c r="O129" i="193"/>
  <c r="N129" i="193"/>
  <c r="M129" i="193"/>
  <c r="L129" i="193"/>
  <c r="K129" i="193"/>
  <c r="J129" i="193"/>
  <c r="I129" i="193"/>
  <c r="H129" i="193"/>
  <c r="G129" i="193"/>
  <c r="F129" i="193"/>
  <c r="E129" i="193"/>
  <c r="D129" i="193"/>
  <c r="U128" i="193"/>
  <c r="T128" i="193"/>
  <c r="S128" i="193"/>
  <c r="R128" i="193"/>
  <c r="Q128" i="193"/>
  <c r="P128" i="193"/>
  <c r="O128" i="193"/>
  <c r="N128" i="193"/>
  <c r="M128" i="193"/>
  <c r="L128" i="193"/>
  <c r="K128" i="193"/>
  <c r="J128" i="193"/>
  <c r="I128" i="193"/>
  <c r="H128" i="193"/>
  <c r="G128" i="193"/>
  <c r="F128" i="193"/>
  <c r="E128" i="193"/>
  <c r="D128" i="193"/>
  <c r="U127" i="193"/>
  <c r="T127" i="193"/>
  <c r="S127" i="193"/>
  <c r="R127" i="193"/>
  <c r="Q127" i="193"/>
  <c r="P127" i="193"/>
  <c r="O127" i="193"/>
  <c r="N127" i="193"/>
  <c r="M127" i="193"/>
  <c r="L127" i="193"/>
  <c r="K127" i="193"/>
  <c r="J127" i="193"/>
  <c r="I127" i="193"/>
  <c r="H127" i="193"/>
  <c r="G127" i="193"/>
  <c r="F127" i="193"/>
  <c r="E127" i="193"/>
  <c r="D127" i="193"/>
  <c r="U126" i="193"/>
  <c r="T126" i="193"/>
  <c r="S126" i="193"/>
  <c r="R126" i="193"/>
  <c r="Q126" i="193"/>
  <c r="P126" i="193"/>
  <c r="O126" i="193"/>
  <c r="N126" i="193"/>
  <c r="M126" i="193"/>
  <c r="L126" i="193"/>
  <c r="K126" i="193"/>
  <c r="J126" i="193"/>
  <c r="I126" i="193"/>
  <c r="H126" i="193"/>
  <c r="G126" i="193"/>
  <c r="F126" i="193"/>
  <c r="E126" i="193"/>
  <c r="D126" i="193"/>
  <c r="U125" i="193"/>
  <c r="T125" i="193"/>
  <c r="S125" i="193"/>
  <c r="R125" i="193"/>
  <c r="Q125" i="193"/>
  <c r="P125" i="193"/>
  <c r="O125" i="193"/>
  <c r="N125" i="193"/>
  <c r="M125" i="193"/>
  <c r="L125" i="193"/>
  <c r="K125" i="193"/>
  <c r="J125" i="193"/>
  <c r="I125" i="193"/>
  <c r="H125" i="193"/>
  <c r="G125" i="193"/>
  <c r="F125" i="193"/>
  <c r="E125" i="193"/>
  <c r="D125" i="193"/>
  <c r="U124" i="193"/>
  <c r="T124" i="193"/>
  <c r="S124" i="193"/>
  <c r="R124" i="193"/>
  <c r="Q124" i="193"/>
  <c r="P124" i="193"/>
  <c r="O124" i="193"/>
  <c r="N124" i="193"/>
  <c r="M124" i="193"/>
  <c r="L124" i="193"/>
  <c r="K124" i="193"/>
  <c r="J124" i="193"/>
  <c r="I124" i="193"/>
  <c r="H124" i="193"/>
  <c r="G124" i="193"/>
  <c r="F124" i="193"/>
  <c r="E124" i="193"/>
  <c r="D124" i="193"/>
  <c r="U123" i="193"/>
  <c r="T123" i="193"/>
  <c r="S123" i="193"/>
  <c r="R123" i="193"/>
  <c r="Q123" i="193"/>
  <c r="P123" i="193"/>
  <c r="O123" i="193"/>
  <c r="N123" i="193"/>
  <c r="M123" i="193"/>
  <c r="L123" i="193"/>
  <c r="K123" i="193"/>
  <c r="J123" i="193"/>
  <c r="I123" i="193"/>
  <c r="H123" i="193"/>
  <c r="G123" i="193"/>
  <c r="F123" i="193"/>
  <c r="E123" i="193"/>
  <c r="D123" i="193"/>
  <c r="U117" i="193"/>
  <c r="T117" i="193"/>
  <c r="S117" i="193"/>
  <c r="R117" i="193"/>
  <c r="Q117" i="193"/>
  <c r="P117" i="193"/>
  <c r="O117" i="193"/>
  <c r="N117" i="193"/>
  <c r="M117" i="193"/>
  <c r="L117" i="193"/>
  <c r="K117" i="193"/>
  <c r="J117" i="193"/>
  <c r="I117" i="193"/>
  <c r="H117" i="193"/>
  <c r="G117" i="193"/>
  <c r="F117" i="193"/>
  <c r="E117" i="193"/>
  <c r="D117" i="193"/>
  <c r="U116" i="193"/>
  <c r="T116" i="193"/>
  <c r="S116" i="193"/>
  <c r="R116" i="193"/>
  <c r="Q116" i="193"/>
  <c r="P116" i="193"/>
  <c r="O116" i="193"/>
  <c r="N116" i="193"/>
  <c r="M116" i="193"/>
  <c r="L116" i="193"/>
  <c r="K116" i="193"/>
  <c r="J116" i="193"/>
  <c r="I116" i="193"/>
  <c r="H116" i="193"/>
  <c r="G116" i="193"/>
  <c r="F116" i="193"/>
  <c r="E116" i="193"/>
  <c r="D116" i="193"/>
  <c r="U115" i="193"/>
  <c r="T115" i="193"/>
  <c r="S115" i="193"/>
  <c r="R115" i="193"/>
  <c r="Q115" i="193"/>
  <c r="P115" i="193"/>
  <c r="O115" i="193"/>
  <c r="N115" i="193"/>
  <c r="M115" i="193"/>
  <c r="L115" i="193"/>
  <c r="K115" i="193"/>
  <c r="J115" i="193"/>
  <c r="I115" i="193"/>
  <c r="H115" i="193"/>
  <c r="G115" i="193"/>
  <c r="F115" i="193"/>
  <c r="E115" i="193"/>
  <c r="D115" i="193"/>
  <c r="U114" i="193"/>
  <c r="T114" i="193"/>
  <c r="S114" i="193"/>
  <c r="R114" i="193"/>
  <c r="Q114" i="193"/>
  <c r="P114" i="193"/>
  <c r="O114" i="193"/>
  <c r="N114" i="193"/>
  <c r="M114" i="193"/>
  <c r="L114" i="193"/>
  <c r="K114" i="193"/>
  <c r="J114" i="193"/>
  <c r="I114" i="193"/>
  <c r="H114" i="193"/>
  <c r="G114" i="193"/>
  <c r="F114" i="193"/>
  <c r="E114" i="193"/>
  <c r="D114" i="193"/>
  <c r="U113" i="193"/>
  <c r="T113" i="193"/>
  <c r="S113" i="193"/>
  <c r="R113" i="193"/>
  <c r="Q113" i="193"/>
  <c r="P113" i="193"/>
  <c r="O113" i="193"/>
  <c r="N113" i="193"/>
  <c r="M113" i="193"/>
  <c r="L113" i="193"/>
  <c r="K113" i="193"/>
  <c r="J113" i="193"/>
  <c r="I113" i="193"/>
  <c r="H113" i="193"/>
  <c r="G113" i="193"/>
  <c r="F113" i="193"/>
  <c r="E113" i="193"/>
  <c r="D113" i="193"/>
  <c r="U112" i="193"/>
  <c r="T112" i="193"/>
  <c r="S112" i="193"/>
  <c r="R112" i="193"/>
  <c r="Q112" i="193"/>
  <c r="P112" i="193"/>
  <c r="O112" i="193"/>
  <c r="N112" i="193"/>
  <c r="M112" i="193"/>
  <c r="L112" i="193"/>
  <c r="K112" i="193"/>
  <c r="J112" i="193"/>
  <c r="I112" i="193"/>
  <c r="H112" i="193"/>
  <c r="G112" i="193"/>
  <c r="F112" i="193"/>
  <c r="E112" i="193"/>
  <c r="D112" i="193"/>
  <c r="U111" i="193"/>
  <c r="T111" i="193"/>
  <c r="S111" i="193"/>
  <c r="R111" i="193"/>
  <c r="Q111" i="193"/>
  <c r="P111" i="193"/>
  <c r="O111" i="193"/>
  <c r="N111" i="193"/>
  <c r="M111" i="193"/>
  <c r="L111" i="193"/>
  <c r="K111" i="193"/>
  <c r="J111" i="193"/>
  <c r="I111" i="193"/>
  <c r="H111" i="193"/>
  <c r="G111" i="193"/>
  <c r="F111" i="193"/>
  <c r="E111" i="193"/>
  <c r="D111" i="193"/>
  <c r="U110" i="193"/>
  <c r="T110" i="193"/>
  <c r="S110" i="193"/>
  <c r="R110" i="193"/>
  <c r="Q110" i="193"/>
  <c r="P110" i="193"/>
  <c r="O110" i="193"/>
  <c r="N110" i="193"/>
  <c r="M110" i="193"/>
  <c r="L110" i="193"/>
  <c r="K110" i="193"/>
  <c r="J110" i="193"/>
  <c r="I110" i="193"/>
  <c r="H110" i="193"/>
  <c r="G110" i="193"/>
  <c r="F110" i="193"/>
  <c r="E110" i="193"/>
  <c r="D110" i="193"/>
  <c r="U109" i="193"/>
  <c r="T109" i="193"/>
  <c r="S109" i="193"/>
  <c r="R109" i="193"/>
  <c r="Q109" i="193"/>
  <c r="P109" i="193"/>
  <c r="O109" i="193"/>
  <c r="N109" i="193"/>
  <c r="M109" i="193"/>
  <c r="L109" i="193"/>
  <c r="K109" i="193"/>
  <c r="J109" i="193"/>
  <c r="I109" i="193"/>
  <c r="H109" i="193"/>
  <c r="G109" i="193"/>
  <c r="F109" i="193"/>
  <c r="E109" i="193"/>
  <c r="D109" i="193"/>
  <c r="U108" i="193"/>
  <c r="T108" i="193"/>
  <c r="S108" i="193"/>
  <c r="R108" i="193"/>
  <c r="Q108" i="193"/>
  <c r="P108" i="193"/>
  <c r="O108" i="193"/>
  <c r="N108" i="193"/>
  <c r="M108" i="193"/>
  <c r="L108" i="193"/>
  <c r="K108" i="193"/>
  <c r="J108" i="193"/>
  <c r="I108" i="193"/>
  <c r="H108" i="193"/>
  <c r="G108" i="193"/>
  <c r="F108" i="193"/>
  <c r="E108" i="193"/>
  <c r="D108" i="193"/>
  <c r="P107" i="193"/>
  <c r="U106" i="193"/>
  <c r="T106" i="193"/>
  <c r="S106" i="193"/>
  <c r="R106" i="193"/>
  <c r="Q106" i="193"/>
  <c r="P106" i="193"/>
  <c r="O106" i="193"/>
  <c r="N106" i="193"/>
  <c r="M106" i="193"/>
  <c r="L106" i="193"/>
  <c r="K106" i="193"/>
  <c r="J106" i="193"/>
  <c r="I106" i="193"/>
  <c r="H106" i="193"/>
  <c r="G106" i="193"/>
  <c r="F106" i="193"/>
  <c r="E106" i="193"/>
  <c r="D106" i="193"/>
  <c r="U105" i="193"/>
  <c r="T105" i="193"/>
  <c r="S105" i="193"/>
  <c r="R105" i="193"/>
  <c r="Q105" i="193"/>
  <c r="P105" i="193"/>
  <c r="O105" i="193"/>
  <c r="N105" i="193"/>
  <c r="M105" i="193"/>
  <c r="L105" i="193"/>
  <c r="K105" i="193"/>
  <c r="J105" i="193"/>
  <c r="I105" i="193"/>
  <c r="H105" i="193"/>
  <c r="G105" i="193"/>
  <c r="F105" i="193"/>
  <c r="E105" i="193"/>
  <c r="D105" i="193"/>
  <c r="U104" i="193"/>
  <c r="T104" i="193"/>
  <c r="S104" i="193"/>
  <c r="R104" i="193"/>
  <c r="Q104" i="193"/>
  <c r="P104" i="193"/>
  <c r="O104" i="193"/>
  <c r="N104" i="193"/>
  <c r="M104" i="193"/>
  <c r="L104" i="193"/>
  <c r="K104" i="193"/>
  <c r="J104" i="193"/>
  <c r="I104" i="193"/>
  <c r="H104" i="193"/>
  <c r="G104" i="193"/>
  <c r="F104" i="193"/>
  <c r="E104" i="193"/>
  <c r="D104" i="193"/>
  <c r="U103" i="193"/>
  <c r="T103" i="193"/>
  <c r="S103" i="193"/>
  <c r="R103" i="193"/>
  <c r="Q103" i="193"/>
  <c r="P103" i="193"/>
  <c r="O103" i="193"/>
  <c r="N103" i="193"/>
  <c r="M103" i="193"/>
  <c r="L103" i="193"/>
  <c r="K103" i="193"/>
  <c r="J103" i="193"/>
  <c r="I103" i="193"/>
  <c r="H103" i="193"/>
  <c r="G103" i="193"/>
  <c r="F103" i="193"/>
  <c r="E103" i="193"/>
  <c r="D103" i="193"/>
  <c r="U102" i="193"/>
  <c r="T102" i="193"/>
  <c r="S102" i="193"/>
  <c r="R102" i="193"/>
  <c r="Q102" i="193"/>
  <c r="P102" i="193"/>
  <c r="O102" i="193"/>
  <c r="N102" i="193"/>
  <c r="M102" i="193"/>
  <c r="L102" i="193"/>
  <c r="K102" i="193"/>
  <c r="J102" i="193"/>
  <c r="I102" i="193"/>
  <c r="H102" i="193"/>
  <c r="G102" i="193"/>
  <c r="F102" i="193"/>
  <c r="E102" i="193"/>
  <c r="D102" i="193"/>
  <c r="U101" i="193"/>
  <c r="T101" i="193"/>
  <c r="S101" i="193"/>
  <c r="R101" i="193"/>
  <c r="Q101" i="193"/>
  <c r="P101" i="193"/>
  <c r="O101" i="193"/>
  <c r="N101" i="193"/>
  <c r="M101" i="193"/>
  <c r="L101" i="193"/>
  <c r="K101" i="193"/>
  <c r="J101" i="193"/>
  <c r="I101" i="193"/>
  <c r="H101" i="193"/>
  <c r="G101" i="193"/>
  <c r="F101" i="193"/>
  <c r="E101" i="193"/>
  <c r="D101" i="193"/>
  <c r="U100" i="193"/>
  <c r="T100" i="193"/>
  <c r="S100" i="193"/>
  <c r="R100" i="193"/>
  <c r="Q100" i="193"/>
  <c r="P100" i="193"/>
  <c r="O100" i="193"/>
  <c r="N100" i="193"/>
  <c r="M100" i="193"/>
  <c r="L100" i="193"/>
  <c r="K100" i="193"/>
  <c r="J100" i="193"/>
  <c r="I100" i="193"/>
  <c r="H100" i="193"/>
  <c r="G100" i="193"/>
  <c r="F100" i="193"/>
  <c r="E100" i="193"/>
  <c r="D100" i="193"/>
  <c r="U99" i="193"/>
  <c r="T99" i="193"/>
  <c r="S99" i="193"/>
  <c r="R99" i="193"/>
  <c r="Q99" i="193"/>
  <c r="P99" i="193"/>
  <c r="O99" i="193"/>
  <c r="N99" i="193"/>
  <c r="M99" i="193"/>
  <c r="L99" i="193"/>
  <c r="K99" i="193"/>
  <c r="J99" i="193"/>
  <c r="I99" i="193"/>
  <c r="H99" i="193"/>
  <c r="G99" i="193"/>
  <c r="F99" i="193"/>
  <c r="E99" i="193"/>
  <c r="D99" i="193"/>
  <c r="U98" i="193"/>
  <c r="T98" i="193"/>
  <c r="S98" i="193"/>
  <c r="R98" i="193"/>
  <c r="Q98" i="193"/>
  <c r="P98" i="193"/>
  <c r="O98" i="193"/>
  <c r="N98" i="193"/>
  <c r="M98" i="193"/>
  <c r="L98" i="193"/>
  <c r="K98" i="193"/>
  <c r="J98" i="193"/>
  <c r="I98" i="193"/>
  <c r="H98" i="193"/>
  <c r="G98" i="193"/>
  <c r="F98" i="193"/>
  <c r="E98" i="193"/>
  <c r="D98" i="193"/>
  <c r="U97" i="193"/>
  <c r="T97" i="193"/>
  <c r="S97" i="193"/>
  <c r="R97" i="193"/>
  <c r="Q97" i="193"/>
  <c r="P97" i="193"/>
  <c r="O97" i="193"/>
  <c r="N97" i="193"/>
  <c r="M97" i="193"/>
  <c r="L97" i="193"/>
  <c r="K97" i="193"/>
  <c r="J97" i="193"/>
  <c r="I97" i="193"/>
  <c r="H97" i="193"/>
  <c r="G97" i="193"/>
  <c r="F97" i="193"/>
  <c r="E97" i="193"/>
  <c r="D97" i="193"/>
  <c r="U96" i="193"/>
  <c r="T96" i="193"/>
  <c r="S96" i="193"/>
  <c r="R96" i="193"/>
  <c r="Q96" i="193"/>
  <c r="P96" i="193"/>
  <c r="O96" i="193"/>
  <c r="N96" i="193"/>
  <c r="M96" i="193"/>
  <c r="L96" i="193"/>
  <c r="K96" i="193"/>
  <c r="J96" i="193"/>
  <c r="I96" i="193"/>
  <c r="H96" i="193"/>
  <c r="G96" i="193"/>
  <c r="F96" i="193"/>
  <c r="E96" i="193"/>
  <c r="D96" i="193"/>
  <c r="U95" i="193"/>
  <c r="T95" i="193"/>
  <c r="S95" i="193"/>
  <c r="R95" i="193"/>
  <c r="Q95" i="193"/>
  <c r="P95" i="193"/>
  <c r="O95" i="193"/>
  <c r="N95" i="193"/>
  <c r="M95" i="193"/>
  <c r="L95" i="193"/>
  <c r="K95" i="193"/>
  <c r="J95" i="193"/>
  <c r="I95" i="193"/>
  <c r="H95" i="193"/>
  <c r="G95" i="193"/>
  <c r="F95" i="193"/>
  <c r="E95" i="193"/>
  <c r="D95" i="193"/>
  <c r="U94" i="193"/>
  <c r="T94" i="193"/>
  <c r="S94" i="193"/>
  <c r="R94" i="193"/>
  <c r="Q94" i="193"/>
  <c r="P94" i="193"/>
  <c r="O94" i="193"/>
  <c r="N94" i="193"/>
  <c r="M94" i="193"/>
  <c r="L94" i="193"/>
  <c r="K94" i="193"/>
  <c r="J94" i="193"/>
  <c r="I94" i="193"/>
  <c r="H94" i="193"/>
  <c r="G94" i="193"/>
  <c r="F94" i="193"/>
  <c r="E94" i="193"/>
  <c r="D94" i="193"/>
  <c r="P93" i="193"/>
  <c r="U92" i="193"/>
  <c r="T92" i="193"/>
  <c r="S92" i="193"/>
  <c r="R92" i="193"/>
  <c r="Q92" i="193"/>
  <c r="P92" i="193"/>
  <c r="O92" i="193"/>
  <c r="N92" i="193"/>
  <c r="M92" i="193"/>
  <c r="L92" i="193"/>
  <c r="K92" i="193"/>
  <c r="J92" i="193"/>
  <c r="I92" i="193"/>
  <c r="H92" i="193"/>
  <c r="G92" i="193"/>
  <c r="F92" i="193"/>
  <c r="E92" i="193"/>
  <c r="D92" i="193"/>
  <c r="U91" i="193"/>
  <c r="T91" i="193"/>
  <c r="S91" i="193"/>
  <c r="R91" i="193"/>
  <c r="Q91" i="193"/>
  <c r="P91" i="193"/>
  <c r="O91" i="193"/>
  <c r="N91" i="193"/>
  <c r="M91" i="193"/>
  <c r="L91" i="193"/>
  <c r="K91" i="193"/>
  <c r="J91" i="193"/>
  <c r="I91" i="193"/>
  <c r="H91" i="193"/>
  <c r="G91" i="193"/>
  <c r="F91" i="193"/>
  <c r="E91" i="193"/>
  <c r="D91" i="193"/>
  <c r="U90" i="193"/>
  <c r="T90" i="193"/>
  <c r="S90" i="193"/>
  <c r="R90" i="193"/>
  <c r="Q90" i="193"/>
  <c r="P90" i="193"/>
  <c r="O90" i="193"/>
  <c r="N90" i="193"/>
  <c r="M90" i="193"/>
  <c r="L90" i="193"/>
  <c r="K90" i="193"/>
  <c r="J90" i="193"/>
  <c r="I90" i="193"/>
  <c r="H90" i="193"/>
  <c r="G90" i="193"/>
  <c r="F90" i="193"/>
  <c r="E90" i="193"/>
  <c r="D90" i="193"/>
  <c r="U89" i="193"/>
  <c r="T89" i="193"/>
  <c r="S89" i="193"/>
  <c r="R89" i="193"/>
  <c r="Q89" i="193"/>
  <c r="P89" i="193"/>
  <c r="O89" i="193"/>
  <c r="N89" i="193"/>
  <c r="M89" i="193"/>
  <c r="L89" i="193"/>
  <c r="K89" i="193"/>
  <c r="J89" i="193"/>
  <c r="I89" i="193"/>
  <c r="H89" i="193"/>
  <c r="G89" i="193"/>
  <c r="F89" i="193"/>
  <c r="E89" i="193"/>
  <c r="D89" i="193"/>
  <c r="U88" i="193"/>
  <c r="T88" i="193"/>
  <c r="S88" i="193"/>
  <c r="R88" i="193"/>
  <c r="Q88" i="193"/>
  <c r="P88" i="193"/>
  <c r="O88" i="193"/>
  <c r="N88" i="193"/>
  <c r="M88" i="193"/>
  <c r="L88" i="193"/>
  <c r="K88" i="193"/>
  <c r="J88" i="193"/>
  <c r="I88" i="193"/>
  <c r="H88" i="193"/>
  <c r="G88" i="193"/>
  <c r="F88" i="193"/>
  <c r="E88" i="193"/>
  <c r="D88" i="193"/>
  <c r="U87" i="193"/>
  <c r="T87" i="193"/>
  <c r="S87" i="193"/>
  <c r="R87" i="193"/>
  <c r="Q87" i="193"/>
  <c r="P87" i="193"/>
  <c r="O87" i="193"/>
  <c r="N87" i="193"/>
  <c r="M87" i="193"/>
  <c r="L87" i="193"/>
  <c r="K87" i="193"/>
  <c r="J87" i="193"/>
  <c r="I87" i="193"/>
  <c r="H87" i="193"/>
  <c r="G87" i="193"/>
  <c r="F87" i="193"/>
  <c r="E87" i="193"/>
  <c r="D87" i="193"/>
  <c r="U86" i="193"/>
  <c r="T86" i="193"/>
  <c r="S86" i="193"/>
  <c r="R86" i="193"/>
  <c r="Q86" i="193"/>
  <c r="P86" i="193"/>
  <c r="O86" i="193"/>
  <c r="N86" i="193"/>
  <c r="M86" i="193"/>
  <c r="L86" i="193"/>
  <c r="K86" i="193"/>
  <c r="J86" i="193"/>
  <c r="I86" i="193"/>
  <c r="H86" i="193"/>
  <c r="G86" i="193"/>
  <c r="F86" i="193"/>
  <c r="E86" i="193"/>
  <c r="D86" i="193"/>
  <c r="U80" i="193"/>
  <c r="T80" i="193"/>
  <c r="S80" i="193"/>
  <c r="R80" i="193"/>
  <c r="Q80" i="193"/>
  <c r="P80" i="193"/>
  <c r="O80" i="193"/>
  <c r="N80" i="193"/>
  <c r="M80" i="193"/>
  <c r="L80" i="193"/>
  <c r="K80" i="193"/>
  <c r="J80" i="193"/>
  <c r="I80" i="193"/>
  <c r="H80" i="193"/>
  <c r="G80" i="193"/>
  <c r="F80" i="193"/>
  <c r="E80" i="193"/>
  <c r="D80" i="193"/>
  <c r="U79" i="193"/>
  <c r="T79" i="193"/>
  <c r="S79" i="193"/>
  <c r="R79" i="193"/>
  <c r="Q79" i="193"/>
  <c r="P79" i="193"/>
  <c r="O79" i="193"/>
  <c r="N79" i="193"/>
  <c r="M79" i="193"/>
  <c r="L79" i="193"/>
  <c r="K79" i="193"/>
  <c r="J79" i="193"/>
  <c r="I79" i="193"/>
  <c r="H79" i="193"/>
  <c r="G79" i="193"/>
  <c r="F79" i="193"/>
  <c r="E79" i="193"/>
  <c r="D79" i="193"/>
  <c r="U78" i="193"/>
  <c r="T78" i="193"/>
  <c r="S78" i="193"/>
  <c r="R78" i="193"/>
  <c r="Q78" i="193"/>
  <c r="P78" i="193"/>
  <c r="O78" i="193"/>
  <c r="N78" i="193"/>
  <c r="M78" i="193"/>
  <c r="L78" i="193"/>
  <c r="K78" i="193"/>
  <c r="J78" i="193"/>
  <c r="I78" i="193"/>
  <c r="H78" i="193"/>
  <c r="G78" i="193"/>
  <c r="F78" i="193"/>
  <c r="E78" i="193"/>
  <c r="D78" i="193"/>
  <c r="U77" i="193"/>
  <c r="T77" i="193"/>
  <c r="S77" i="193"/>
  <c r="R77" i="193"/>
  <c r="Q77" i="193"/>
  <c r="P77" i="193"/>
  <c r="O77" i="193"/>
  <c r="N77" i="193"/>
  <c r="M77" i="193"/>
  <c r="L77" i="193"/>
  <c r="K77" i="193"/>
  <c r="J77" i="193"/>
  <c r="I77" i="193"/>
  <c r="H77" i="193"/>
  <c r="G77" i="193"/>
  <c r="F77" i="193"/>
  <c r="E77" i="193"/>
  <c r="D77" i="193"/>
  <c r="U76" i="193"/>
  <c r="T76" i="193"/>
  <c r="S76" i="193"/>
  <c r="R76" i="193"/>
  <c r="Q76" i="193"/>
  <c r="P76" i="193"/>
  <c r="O76" i="193"/>
  <c r="N76" i="193"/>
  <c r="M76" i="193"/>
  <c r="L76" i="193"/>
  <c r="K76" i="193"/>
  <c r="J76" i="193"/>
  <c r="I76" i="193"/>
  <c r="H76" i="193"/>
  <c r="G76" i="193"/>
  <c r="F76" i="193"/>
  <c r="E76" i="193"/>
  <c r="D76" i="193"/>
  <c r="U75" i="193"/>
  <c r="T75" i="193"/>
  <c r="S75" i="193"/>
  <c r="R75" i="193"/>
  <c r="Q75" i="193"/>
  <c r="P75" i="193"/>
  <c r="O75" i="193"/>
  <c r="N75" i="193"/>
  <c r="M75" i="193"/>
  <c r="L75" i="193"/>
  <c r="K75" i="193"/>
  <c r="J75" i="193"/>
  <c r="I75" i="193"/>
  <c r="H75" i="193"/>
  <c r="G75" i="193"/>
  <c r="F75" i="193"/>
  <c r="E75" i="193"/>
  <c r="D75" i="193"/>
  <c r="U74" i="193"/>
  <c r="T74" i="193"/>
  <c r="S74" i="193"/>
  <c r="R74" i="193"/>
  <c r="Q74" i="193"/>
  <c r="P74" i="193"/>
  <c r="O74" i="193"/>
  <c r="N74" i="193"/>
  <c r="M74" i="193"/>
  <c r="L74" i="193"/>
  <c r="K74" i="193"/>
  <c r="J74" i="193"/>
  <c r="I74" i="193"/>
  <c r="H74" i="193"/>
  <c r="G74" i="193"/>
  <c r="F74" i="193"/>
  <c r="E74" i="193"/>
  <c r="D74" i="193"/>
  <c r="U73" i="193"/>
  <c r="T73" i="193"/>
  <c r="S73" i="193"/>
  <c r="R73" i="193"/>
  <c r="Q73" i="193"/>
  <c r="P73" i="193"/>
  <c r="O73" i="193"/>
  <c r="N73" i="193"/>
  <c r="M73" i="193"/>
  <c r="L73" i="193"/>
  <c r="K73" i="193"/>
  <c r="J73" i="193"/>
  <c r="I73" i="193"/>
  <c r="H73" i="193"/>
  <c r="G73" i="193"/>
  <c r="F73" i="193"/>
  <c r="E73" i="193"/>
  <c r="D73" i="193"/>
  <c r="U72" i="193"/>
  <c r="T72" i="193"/>
  <c r="S72" i="193"/>
  <c r="R72" i="193"/>
  <c r="Q72" i="193"/>
  <c r="P72" i="193"/>
  <c r="O72" i="193"/>
  <c r="N72" i="193"/>
  <c r="M72" i="193"/>
  <c r="L72" i="193"/>
  <c r="K72" i="193"/>
  <c r="J72" i="193"/>
  <c r="I72" i="193"/>
  <c r="H72" i="193"/>
  <c r="G72" i="193"/>
  <c r="F72" i="193"/>
  <c r="E72" i="193"/>
  <c r="D72" i="193"/>
  <c r="U71" i="193"/>
  <c r="T71" i="193"/>
  <c r="S71" i="193"/>
  <c r="R71" i="193"/>
  <c r="Q71" i="193"/>
  <c r="P71" i="193"/>
  <c r="O71" i="193"/>
  <c r="N71" i="193"/>
  <c r="M71" i="193"/>
  <c r="L71" i="193"/>
  <c r="K71" i="193"/>
  <c r="J71" i="193"/>
  <c r="I71" i="193"/>
  <c r="H71" i="193"/>
  <c r="G71" i="193"/>
  <c r="F71" i="193"/>
  <c r="E71" i="193"/>
  <c r="D71" i="193"/>
  <c r="P70" i="193"/>
  <c r="U69" i="193"/>
  <c r="T69" i="193"/>
  <c r="S69" i="193"/>
  <c r="R69" i="193"/>
  <c r="Q69" i="193"/>
  <c r="P69" i="193"/>
  <c r="O69" i="193"/>
  <c r="N69" i="193"/>
  <c r="M69" i="193"/>
  <c r="L69" i="193"/>
  <c r="K69" i="193"/>
  <c r="J69" i="193"/>
  <c r="I69" i="193"/>
  <c r="H69" i="193"/>
  <c r="G69" i="193"/>
  <c r="F69" i="193"/>
  <c r="E69" i="193"/>
  <c r="D69" i="193"/>
  <c r="U68" i="193"/>
  <c r="T68" i="193"/>
  <c r="S68" i="193"/>
  <c r="R68" i="193"/>
  <c r="Q68" i="193"/>
  <c r="P68" i="193"/>
  <c r="O68" i="193"/>
  <c r="N68" i="193"/>
  <c r="M68" i="193"/>
  <c r="L68" i="193"/>
  <c r="K68" i="193"/>
  <c r="J68" i="193"/>
  <c r="I68" i="193"/>
  <c r="H68" i="193"/>
  <c r="G68" i="193"/>
  <c r="F68" i="193"/>
  <c r="E68" i="193"/>
  <c r="D68" i="193"/>
  <c r="U67" i="193"/>
  <c r="T67" i="193"/>
  <c r="S67" i="193"/>
  <c r="R67" i="193"/>
  <c r="Q67" i="193"/>
  <c r="P67" i="193"/>
  <c r="O67" i="193"/>
  <c r="N67" i="193"/>
  <c r="M67" i="193"/>
  <c r="L67" i="193"/>
  <c r="K67" i="193"/>
  <c r="J67" i="193"/>
  <c r="I67" i="193"/>
  <c r="H67" i="193"/>
  <c r="G67" i="193"/>
  <c r="F67" i="193"/>
  <c r="E67" i="193"/>
  <c r="D67" i="193"/>
  <c r="U66" i="193"/>
  <c r="T66" i="193"/>
  <c r="S66" i="193"/>
  <c r="R66" i="193"/>
  <c r="Q66" i="193"/>
  <c r="P66" i="193"/>
  <c r="O66" i="193"/>
  <c r="N66" i="193"/>
  <c r="M66" i="193"/>
  <c r="L66" i="193"/>
  <c r="K66" i="193"/>
  <c r="J66" i="193"/>
  <c r="I66" i="193"/>
  <c r="H66" i="193"/>
  <c r="G66" i="193"/>
  <c r="F66" i="193"/>
  <c r="E66" i="193"/>
  <c r="D66" i="193"/>
  <c r="U65" i="193"/>
  <c r="T65" i="193"/>
  <c r="S65" i="193"/>
  <c r="R65" i="193"/>
  <c r="Q65" i="193"/>
  <c r="P65" i="193"/>
  <c r="O65" i="193"/>
  <c r="N65" i="193"/>
  <c r="M65" i="193"/>
  <c r="L65" i="193"/>
  <c r="K65" i="193"/>
  <c r="J65" i="193"/>
  <c r="I65" i="193"/>
  <c r="H65" i="193"/>
  <c r="G65" i="193"/>
  <c r="F65" i="193"/>
  <c r="E65" i="193"/>
  <c r="D65" i="193"/>
  <c r="U64" i="193"/>
  <c r="T64" i="193"/>
  <c r="S64" i="193"/>
  <c r="R64" i="193"/>
  <c r="Q64" i="193"/>
  <c r="P64" i="193"/>
  <c r="O64" i="193"/>
  <c r="N64" i="193"/>
  <c r="M64" i="193"/>
  <c r="L64" i="193"/>
  <c r="K64" i="193"/>
  <c r="J64" i="193"/>
  <c r="I64" i="193"/>
  <c r="H64" i="193"/>
  <c r="G64" i="193"/>
  <c r="F64" i="193"/>
  <c r="E64" i="193"/>
  <c r="D64" i="193"/>
  <c r="U63" i="193"/>
  <c r="T63" i="193"/>
  <c r="S63" i="193"/>
  <c r="R63" i="193"/>
  <c r="Q63" i="193"/>
  <c r="P63" i="193"/>
  <c r="O63" i="193"/>
  <c r="N63" i="193"/>
  <c r="M63" i="193"/>
  <c r="L63" i="193"/>
  <c r="K63" i="193"/>
  <c r="J63" i="193"/>
  <c r="I63" i="193"/>
  <c r="H63" i="193"/>
  <c r="G63" i="193"/>
  <c r="F63" i="193"/>
  <c r="E63" i="193"/>
  <c r="D63" i="193"/>
  <c r="U62" i="193"/>
  <c r="T62" i="193"/>
  <c r="S62" i="193"/>
  <c r="R62" i="193"/>
  <c r="Q62" i="193"/>
  <c r="P62" i="193"/>
  <c r="O62" i="193"/>
  <c r="N62" i="193"/>
  <c r="M62" i="193"/>
  <c r="L62" i="193"/>
  <c r="K62" i="193"/>
  <c r="J62" i="193"/>
  <c r="I62" i="193"/>
  <c r="H62" i="193"/>
  <c r="G62" i="193"/>
  <c r="F62" i="193"/>
  <c r="E62" i="193"/>
  <c r="D62" i="193"/>
  <c r="U61" i="193"/>
  <c r="T61" i="193"/>
  <c r="S61" i="193"/>
  <c r="R61" i="193"/>
  <c r="Q61" i="193"/>
  <c r="P61" i="193"/>
  <c r="O61" i="193"/>
  <c r="N61" i="193"/>
  <c r="M61" i="193"/>
  <c r="L61" i="193"/>
  <c r="K61" i="193"/>
  <c r="J61" i="193"/>
  <c r="I61" i="193"/>
  <c r="H61" i="193"/>
  <c r="G61" i="193"/>
  <c r="F61" i="193"/>
  <c r="E61" i="193"/>
  <c r="D61" i="193"/>
  <c r="U60" i="193"/>
  <c r="T60" i="193"/>
  <c r="S60" i="193"/>
  <c r="R60" i="193"/>
  <c r="Q60" i="193"/>
  <c r="P60" i="193"/>
  <c r="O60" i="193"/>
  <c r="N60" i="193"/>
  <c r="M60" i="193"/>
  <c r="L60" i="193"/>
  <c r="K60" i="193"/>
  <c r="J60" i="193"/>
  <c r="I60" i="193"/>
  <c r="H60" i="193"/>
  <c r="G60" i="193"/>
  <c r="F60" i="193"/>
  <c r="E60" i="193"/>
  <c r="D60" i="193"/>
  <c r="U59" i="193"/>
  <c r="T59" i="193"/>
  <c r="S59" i="193"/>
  <c r="R59" i="193"/>
  <c r="Q59" i="193"/>
  <c r="P59" i="193"/>
  <c r="O59" i="193"/>
  <c r="N59" i="193"/>
  <c r="M59" i="193"/>
  <c r="L59" i="193"/>
  <c r="K59" i="193"/>
  <c r="J59" i="193"/>
  <c r="I59" i="193"/>
  <c r="H59" i="193"/>
  <c r="G59" i="193"/>
  <c r="F59" i="193"/>
  <c r="E59" i="193"/>
  <c r="D59" i="193"/>
  <c r="U58" i="193"/>
  <c r="T58" i="193"/>
  <c r="S58" i="193"/>
  <c r="R58" i="193"/>
  <c r="Q58" i="193"/>
  <c r="P58" i="193"/>
  <c r="O58" i="193"/>
  <c r="N58" i="193"/>
  <c r="M58" i="193"/>
  <c r="L58" i="193"/>
  <c r="K58" i="193"/>
  <c r="J58" i="193"/>
  <c r="I58" i="193"/>
  <c r="H58" i="193"/>
  <c r="G58" i="193"/>
  <c r="F58" i="193"/>
  <c r="E58" i="193"/>
  <c r="D58" i="193"/>
  <c r="U57" i="193"/>
  <c r="T57" i="193"/>
  <c r="S57" i="193"/>
  <c r="R57" i="193"/>
  <c r="Q57" i="193"/>
  <c r="P57" i="193"/>
  <c r="O57" i="193"/>
  <c r="N57" i="193"/>
  <c r="M57" i="193"/>
  <c r="L57" i="193"/>
  <c r="K57" i="193"/>
  <c r="J57" i="193"/>
  <c r="I57" i="193"/>
  <c r="H57" i="193"/>
  <c r="G57" i="193"/>
  <c r="F57" i="193"/>
  <c r="E57" i="193"/>
  <c r="D57" i="193"/>
  <c r="P56" i="193"/>
  <c r="U55" i="193"/>
  <c r="T55" i="193"/>
  <c r="S55" i="193"/>
  <c r="R55" i="193"/>
  <c r="Q55" i="193"/>
  <c r="P55" i="193"/>
  <c r="O55" i="193"/>
  <c r="N55" i="193"/>
  <c r="M55" i="193"/>
  <c r="L55" i="193"/>
  <c r="K55" i="193"/>
  <c r="J55" i="193"/>
  <c r="I55" i="193"/>
  <c r="H55" i="193"/>
  <c r="G55" i="193"/>
  <c r="F55" i="193"/>
  <c r="E55" i="193"/>
  <c r="D55" i="193"/>
  <c r="U54" i="193"/>
  <c r="T54" i="193"/>
  <c r="S54" i="193"/>
  <c r="R54" i="193"/>
  <c r="Q54" i="193"/>
  <c r="P54" i="193"/>
  <c r="O54" i="193"/>
  <c r="N54" i="193"/>
  <c r="M54" i="193"/>
  <c r="L54" i="193"/>
  <c r="K54" i="193"/>
  <c r="J54" i="193"/>
  <c r="I54" i="193"/>
  <c r="H54" i="193"/>
  <c r="G54" i="193"/>
  <c r="F54" i="193"/>
  <c r="E54" i="193"/>
  <c r="D54" i="193"/>
  <c r="U53" i="193"/>
  <c r="T53" i="193"/>
  <c r="S53" i="193"/>
  <c r="R53" i="193"/>
  <c r="Q53" i="193"/>
  <c r="P53" i="193"/>
  <c r="O53" i="193"/>
  <c r="N53" i="193"/>
  <c r="M53" i="193"/>
  <c r="L53" i="193"/>
  <c r="K53" i="193"/>
  <c r="J53" i="193"/>
  <c r="I53" i="193"/>
  <c r="H53" i="193"/>
  <c r="G53" i="193"/>
  <c r="F53" i="193"/>
  <c r="E53" i="193"/>
  <c r="D53" i="193"/>
  <c r="U52" i="193"/>
  <c r="T52" i="193"/>
  <c r="S52" i="193"/>
  <c r="R52" i="193"/>
  <c r="Q52" i="193"/>
  <c r="P52" i="193"/>
  <c r="O52" i="193"/>
  <c r="N52" i="193"/>
  <c r="M52" i="193"/>
  <c r="L52" i="193"/>
  <c r="K52" i="193"/>
  <c r="J52" i="193"/>
  <c r="I52" i="193"/>
  <c r="H52" i="193"/>
  <c r="G52" i="193"/>
  <c r="F52" i="193"/>
  <c r="E52" i="193"/>
  <c r="D52" i="193"/>
  <c r="U51" i="193"/>
  <c r="T51" i="193"/>
  <c r="S51" i="193"/>
  <c r="R51" i="193"/>
  <c r="Q51" i="193"/>
  <c r="P51" i="193"/>
  <c r="O51" i="193"/>
  <c r="N51" i="193"/>
  <c r="M51" i="193"/>
  <c r="L51" i="193"/>
  <c r="K51" i="193"/>
  <c r="J51" i="193"/>
  <c r="I51" i="193"/>
  <c r="H51" i="193"/>
  <c r="G51" i="193"/>
  <c r="F51" i="193"/>
  <c r="E51" i="193"/>
  <c r="D51" i="193"/>
  <c r="U50" i="193"/>
  <c r="T50" i="193"/>
  <c r="S50" i="193"/>
  <c r="R50" i="193"/>
  <c r="Q50" i="193"/>
  <c r="P50" i="193"/>
  <c r="O50" i="193"/>
  <c r="N50" i="193"/>
  <c r="M50" i="193"/>
  <c r="L50" i="193"/>
  <c r="K50" i="193"/>
  <c r="J50" i="193"/>
  <c r="I50" i="193"/>
  <c r="H50" i="193"/>
  <c r="G50" i="193"/>
  <c r="F50" i="193"/>
  <c r="E50" i="193"/>
  <c r="D50" i="193"/>
  <c r="U49" i="193"/>
  <c r="T49" i="193"/>
  <c r="S49" i="193"/>
  <c r="R49" i="193"/>
  <c r="Q49" i="193"/>
  <c r="P49" i="193"/>
  <c r="O49" i="193"/>
  <c r="N49" i="193"/>
  <c r="M49" i="193"/>
  <c r="L49" i="193"/>
  <c r="K49" i="193"/>
  <c r="J49" i="193"/>
  <c r="I49" i="193"/>
  <c r="H49" i="193"/>
  <c r="G49" i="193"/>
  <c r="F49" i="193"/>
  <c r="E49" i="193"/>
  <c r="D49" i="193"/>
  <c r="U43" i="193"/>
  <c r="T43" i="193"/>
  <c r="S43" i="193"/>
  <c r="R43" i="193"/>
  <c r="Q43" i="193"/>
  <c r="P43" i="193"/>
  <c r="O43" i="193"/>
  <c r="N43" i="193"/>
  <c r="M43" i="193"/>
  <c r="L43" i="193"/>
  <c r="K43" i="193"/>
  <c r="J43" i="193"/>
  <c r="I43" i="193"/>
  <c r="H43" i="193"/>
  <c r="G43" i="193"/>
  <c r="F43" i="193"/>
  <c r="E43" i="193"/>
  <c r="D43" i="193"/>
  <c r="U42" i="193"/>
  <c r="T42" i="193"/>
  <c r="S42" i="193"/>
  <c r="R42" i="193"/>
  <c r="Q42" i="193"/>
  <c r="P42" i="193"/>
  <c r="O42" i="193"/>
  <c r="N42" i="193"/>
  <c r="M42" i="193"/>
  <c r="L42" i="193"/>
  <c r="K42" i="193"/>
  <c r="J42" i="193"/>
  <c r="I42" i="193"/>
  <c r="H42" i="193"/>
  <c r="G42" i="193"/>
  <c r="F42" i="193"/>
  <c r="E42" i="193"/>
  <c r="D42" i="193"/>
  <c r="U41" i="193"/>
  <c r="T41" i="193"/>
  <c r="S41" i="193"/>
  <c r="R41" i="193"/>
  <c r="Q41" i="193"/>
  <c r="P41" i="193"/>
  <c r="O41" i="193"/>
  <c r="N41" i="193"/>
  <c r="M41" i="193"/>
  <c r="L41" i="193"/>
  <c r="K41" i="193"/>
  <c r="J41" i="193"/>
  <c r="I41" i="193"/>
  <c r="H41" i="193"/>
  <c r="G41" i="193"/>
  <c r="F41" i="193"/>
  <c r="E41" i="193"/>
  <c r="D41" i="193"/>
  <c r="U40" i="193"/>
  <c r="T40" i="193"/>
  <c r="S40" i="193"/>
  <c r="R40" i="193"/>
  <c r="Q40" i="193"/>
  <c r="P40" i="193"/>
  <c r="O40" i="193"/>
  <c r="N40" i="193"/>
  <c r="M40" i="193"/>
  <c r="L40" i="193"/>
  <c r="K40" i="193"/>
  <c r="J40" i="193"/>
  <c r="I40" i="193"/>
  <c r="H40" i="193"/>
  <c r="G40" i="193"/>
  <c r="F40" i="193"/>
  <c r="E40" i="193"/>
  <c r="D40" i="193"/>
  <c r="U39" i="193"/>
  <c r="T39" i="193"/>
  <c r="S39" i="193"/>
  <c r="R39" i="193"/>
  <c r="Q39" i="193"/>
  <c r="P39" i="193"/>
  <c r="O39" i="193"/>
  <c r="N39" i="193"/>
  <c r="M39" i="193"/>
  <c r="L39" i="193"/>
  <c r="K39" i="193"/>
  <c r="J39" i="193"/>
  <c r="I39" i="193"/>
  <c r="H39" i="193"/>
  <c r="G39" i="193"/>
  <c r="F39" i="193"/>
  <c r="E39" i="193"/>
  <c r="D39" i="193"/>
  <c r="U38" i="193"/>
  <c r="T38" i="193"/>
  <c r="S38" i="193"/>
  <c r="R38" i="193"/>
  <c r="Q38" i="193"/>
  <c r="P38" i="193"/>
  <c r="O38" i="193"/>
  <c r="N38" i="193"/>
  <c r="M38" i="193"/>
  <c r="L38" i="193"/>
  <c r="K38" i="193"/>
  <c r="J38" i="193"/>
  <c r="I38" i="193"/>
  <c r="H38" i="193"/>
  <c r="G38" i="193"/>
  <c r="F38" i="193"/>
  <c r="E38" i="193"/>
  <c r="D38" i="193"/>
  <c r="U37" i="193"/>
  <c r="T37" i="193"/>
  <c r="S37" i="193"/>
  <c r="R37" i="193"/>
  <c r="Q37" i="193"/>
  <c r="P37" i="193"/>
  <c r="O37" i="193"/>
  <c r="N37" i="193"/>
  <c r="M37" i="193"/>
  <c r="L37" i="193"/>
  <c r="K37" i="193"/>
  <c r="J37" i="193"/>
  <c r="I37" i="193"/>
  <c r="H37" i="193"/>
  <c r="G37" i="193"/>
  <c r="F37" i="193"/>
  <c r="E37" i="193"/>
  <c r="D37" i="193"/>
  <c r="U36" i="193"/>
  <c r="T36" i="193"/>
  <c r="S36" i="193"/>
  <c r="R36" i="193"/>
  <c r="Q36" i="193"/>
  <c r="P36" i="193"/>
  <c r="O36" i="193"/>
  <c r="N36" i="193"/>
  <c r="M36" i="193"/>
  <c r="L36" i="193"/>
  <c r="K36" i="193"/>
  <c r="J36" i="193"/>
  <c r="I36" i="193"/>
  <c r="H36" i="193"/>
  <c r="G36" i="193"/>
  <c r="F36" i="193"/>
  <c r="E36" i="193"/>
  <c r="D36" i="193"/>
  <c r="U35" i="193"/>
  <c r="T35" i="193"/>
  <c r="S35" i="193"/>
  <c r="R35" i="193"/>
  <c r="Q35" i="193"/>
  <c r="P35" i="193"/>
  <c r="O35" i="193"/>
  <c r="N35" i="193"/>
  <c r="M35" i="193"/>
  <c r="L35" i="193"/>
  <c r="K35" i="193"/>
  <c r="J35" i="193"/>
  <c r="I35" i="193"/>
  <c r="H35" i="193"/>
  <c r="G35" i="193"/>
  <c r="F35" i="193"/>
  <c r="E35" i="193"/>
  <c r="D35" i="193"/>
  <c r="U34" i="193"/>
  <c r="T34" i="193"/>
  <c r="S34" i="193"/>
  <c r="R34" i="193"/>
  <c r="Q34" i="193"/>
  <c r="P34" i="193"/>
  <c r="O34" i="193"/>
  <c r="N34" i="193"/>
  <c r="M34" i="193"/>
  <c r="L34" i="193"/>
  <c r="K34" i="193"/>
  <c r="J34" i="193"/>
  <c r="I34" i="193"/>
  <c r="H34" i="193"/>
  <c r="G34" i="193"/>
  <c r="F34" i="193"/>
  <c r="E34" i="193"/>
  <c r="D34" i="193"/>
  <c r="P33" i="193"/>
  <c r="U32" i="193"/>
  <c r="T32" i="193"/>
  <c r="S32" i="193"/>
  <c r="R32" i="193"/>
  <c r="Q32" i="193"/>
  <c r="P32" i="193"/>
  <c r="O32" i="193"/>
  <c r="N32" i="193"/>
  <c r="M32" i="193"/>
  <c r="L32" i="193"/>
  <c r="K32" i="193"/>
  <c r="J32" i="193"/>
  <c r="I32" i="193"/>
  <c r="H32" i="193"/>
  <c r="G32" i="193"/>
  <c r="F32" i="193"/>
  <c r="E32" i="193"/>
  <c r="D32" i="193"/>
  <c r="U31" i="193"/>
  <c r="T31" i="193"/>
  <c r="S31" i="193"/>
  <c r="R31" i="193"/>
  <c r="Q31" i="193"/>
  <c r="P31" i="193"/>
  <c r="O31" i="193"/>
  <c r="N31" i="193"/>
  <c r="M31" i="193"/>
  <c r="L31" i="193"/>
  <c r="K31" i="193"/>
  <c r="J31" i="193"/>
  <c r="I31" i="193"/>
  <c r="H31" i="193"/>
  <c r="G31" i="193"/>
  <c r="F31" i="193"/>
  <c r="E31" i="193"/>
  <c r="D31" i="193"/>
  <c r="U30" i="193"/>
  <c r="T30" i="193"/>
  <c r="S30" i="193"/>
  <c r="R30" i="193"/>
  <c r="Q30" i="193"/>
  <c r="P30" i="193"/>
  <c r="O30" i="193"/>
  <c r="N30" i="193"/>
  <c r="M30" i="193"/>
  <c r="L30" i="193"/>
  <c r="K30" i="193"/>
  <c r="J30" i="193"/>
  <c r="I30" i="193"/>
  <c r="H30" i="193"/>
  <c r="G30" i="193"/>
  <c r="F30" i="193"/>
  <c r="E30" i="193"/>
  <c r="D30" i="193"/>
  <c r="U29" i="193"/>
  <c r="T29" i="193"/>
  <c r="S29" i="193"/>
  <c r="R29" i="193"/>
  <c r="Q29" i="193"/>
  <c r="P29" i="193"/>
  <c r="O29" i="193"/>
  <c r="N29" i="193"/>
  <c r="M29" i="193"/>
  <c r="L29" i="193"/>
  <c r="K29" i="193"/>
  <c r="J29" i="193"/>
  <c r="I29" i="193"/>
  <c r="H29" i="193"/>
  <c r="G29" i="193"/>
  <c r="F29" i="193"/>
  <c r="E29" i="193"/>
  <c r="D29" i="193"/>
  <c r="U28" i="193"/>
  <c r="T28" i="193"/>
  <c r="S28" i="193"/>
  <c r="R28" i="193"/>
  <c r="Q28" i="193"/>
  <c r="P28" i="193"/>
  <c r="O28" i="193"/>
  <c r="N28" i="193"/>
  <c r="M28" i="193"/>
  <c r="L28" i="193"/>
  <c r="K28" i="193"/>
  <c r="J28" i="193"/>
  <c r="I28" i="193"/>
  <c r="H28" i="193"/>
  <c r="G28" i="193"/>
  <c r="F28" i="193"/>
  <c r="E28" i="193"/>
  <c r="D28" i="193"/>
  <c r="U27" i="193"/>
  <c r="T27" i="193"/>
  <c r="S27" i="193"/>
  <c r="R27" i="193"/>
  <c r="Q27" i="193"/>
  <c r="P27" i="193"/>
  <c r="O27" i="193"/>
  <c r="N27" i="193"/>
  <c r="M27" i="193"/>
  <c r="L27" i="193"/>
  <c r="K27" i="193"/>
  <c r="J27" i="193"/>
  <c r="I27" i="193"/>
  <c r="H27" i="193"/>
  <c r="G27" i="193"/>
  <c r="F27" i="193"/>
  <c r="E27" i="193"/>
  <c r="D27" i="193"/>
  <c r="U26" i="193"/>
  <c r="T26" i="193"/>
  <c r="S26" i="193"/>
  <c r="R26" i="193"/>
  <c r="Q26" i="193"/>
  <c r="P26" i="193"/>
  <c r="O26" i="193"/>
  <c r="N26" i="193"/>
  <c r="M26" i="193"/>
  <c r="L26" i="193"/>
  <c r="K26" i="193"/>
  <c r="J26" i="193"/>
  <c r="I26" i="193"/>
  <c r="H26" i="193"/>
  <c r="G26" i="193"/>
  <c r="F26" i="193"/>
  <c r="E26" i="193"/>
  <c r="D26" i="193"/>
  <c r="U25" i="193"/>
  <c r="T25" i="193"/>
  <c r="S25" i="193"/>
  <c r="R25" i="193"/>
  <c r="Q25" i="193"/>
  <c r="P25" i="193"/>
  <c r="O25" i="193"/>
  <c r="N25" i="193"/>
  <c r="M25" i="193"/>
  <c r="L25" i="193"/>
  <c r="K25" i="193"/>
  <c r="J25" i="193"/>
  <c r="I25" i="193"/>
  <c r="H25" i="193"/>
  <c r="G25" i="193"/>
  <c r="F25" i="193"/>
  <c r="E25" i="193"/>
  <c r="D25" i="193"/>
  <c r="U24" i="193"/>
  <c r="T24" i="193"/>
  <c r="S24" i="193"/>
  <c r="R24" i="193"/>
  <c r="Q24" i="193"/>
  <c r="P24" i="193"/>
  <c r="O24" i="193"/>
  <c r="N24" i="193"/>
  <c r="M24" i="193"/>
  <c r="L24" i="193"/>
  <c r="K24" i="193"/>
  <c r="J24" i="193"/>
  <c r="I24" i="193"/>
  <c r="H24" i="193"/>
  <c r="G24" i="193"/>
  <c r="F24" i="193"/>
  <c r="E24" i="193"/>
  <c r="D24" i="193"/>
  <c r="U23" i="193"/>
  <c r="T23" i="193"/>
  <c r="S23" i="193"/>
  <c r="R23" i="193"/>
  <c r="Q23" i="193"/>
  <c r="P23" i="193"/>
  <c r="O23" i="193"/>
  <c r="N23" i="193"/>
  <c r="M23" i="193"/>
  <c r="L23" i="193"/>
  <c r="K23" i="193"/>
  <c r="J23" i="193"/>
  <c r="I23" i="193"/>
  <c r="H23" i="193"/>
  <c r="G23" i="193"/>
  <c r="F23" i="193"/>
  <c r="E23" i="193"/>
  <c r="D23" i="193"/>
  <c r="U22" i="193"/>
  <c r="T22" i="193"/>
  <c r="S22" i="193"/>
  <c r="R22" i="193"/>
  <c r="Q22" i="193"/>
  <c r="P22" i="193"/>
  <c r="O22" i="193"/>
  <c r="N22" i="193"/>
  <c r="M22" i="193"/>
  <c r="L22" i="193"/>
  <c r="K22" i="193"/>
  <c r="J22" i="193"/>
  <c r="I22" i="193"/>
  <c r="H22" i="193"/>
  <c r="G22" i="193"/>
  <c r="F22" i="193"/>
  <c r="E22" i="193"/>
  <c r="D22" i="193"/>
  <c r="U21" i="193"/>
  <c r="T21" i="193"/>
  <c r="S21" i="193"/>
  <c r="R21" i="193"/>
  <c r="Q21" i="193"/>
  <c r="P21" i="193"/>
  <c r="O21" i="193"/>
  <c r="N21" i="193"/>
  <c r="M21" i="193"/>
  <c r="L21" i="193"/>
  <c r="K21" i="193"/>
  <c r="J21" i="193"/>
  <c r="I21" i="193"/>
  <c r="H21" i="193"/>
  <c r="G21" i="193"/>
  <c r="F21" i="193"/>
  <c r="E21" i="193"/>
  <c r="D21" i="193"/>
  <c r="U20" i="193"/>
  <c r="T20" i="193"/>
  <c r="S20" i="193"/>
  <c r="R20" i="193"/>
  <c r="Q20" i="193"/>
  <c r="P20" i="193"/>
  <c r="O20" i="193"/>
  <c r="N20" i="193"/>
  <c r="M20" i="193"/>
  <c r="L20" i="193"/>
  <c r="K20" i="193"/>
  <c r="J20" i="193"/>
  <c r="I20" i="193"/>
  <c r="H20" i="193"/>
  <c r="G20" i="193"/>
  <c r="F20" i="193"/>
  <c r="E20" i="193"/>
  <c r="D20" i="193"/>
  <c r="P19" i="193"/>
  <c r="U18" i="193"/>
  <c r="T18" i="193"/>
  <c r="S18" i="193"/>
  <c r="R18" i="193"/>
  <c r="Q18" i="193"/>
  <c r="P18" i="193"/>
  <c r="O18" i="193"/>
  <c r="N18" i="193"/>
  <c r="M18" i="193"/>
  <c r="L18" i="193"/>
  <c r="K18" i="193"/>
  <c r="J18" i="193"/>
  <c r="I18" i="193"/>
  <c r="H18" i="193"/>
  <c r="G18" i="193"/>
  <c r="F18" i="193"/>
  <c r="E18" i="193"/>
  <c r="D18" i="193"/>
  <c r="U17" i="193"/>
  <c r="T17" i="193"/>
  <c r="S17" i="193"/>
  <c r="R17" i="193"/>
  <c r="Q17" i="193"/>
  <c r="P17" i="193"/>
  <c r="O17" i="193"/>
  <c r="N17" i="193"/>
  <c r="M17" i="193"/>
  <c r="L17" i="193"/>
  <c r="K17" i="193"/>
  <c r="J17" i="193"/>
  <c r="I17" i="193"/>
  <c r="H17" i="193"/>
  <c r="G17" i="193"/>
  <c r="F17" i="193"/>
  <c r="E17" i="193"/>
  <c r="D17" i="193"/>
  <c r="U16" i="193"/>
  <c r="T16" i="193"/>
  <c r="S16" i="193"/>
  <c r="R16" i="193"/>
  <c r="Q16" i="193"/>
  <c r="P16" i="193"/>
  <c r="O16" i="193"/>
  <c r="N16" i="193"/>
  <c r="M16" i="193"/>
  <c r="L16" i="193"/>
  <c r="K16" i="193"/>
  <c r="J16" i="193"/>
  <c r="I16" i="193"/>
  <c r="H16" i="193"/>
  <c r="G16" i="193"/>
  <c r="F16" i="193"/>
  <c r="E16" i="193"/>
  <c r="D16" i="193"/>
  <c r="U15" i="193"/>
  <c r="T15" i="193"/>
  <c r="S15" i="193"/>
  <c r="R15" i="193"/>
  <c r="Q15" i="193"/>
  <c r="P15" i="193"/>
  <c r="O15" i="193"/>
  <c r="N15" i="193"/>
  <c r="M15" i="193"/>
  <c r="L15" i="193"/>
  <c r="K15" i="193"/>
  <c r="J15" i="193"/>
  <c r="I15" i="193"/>
  <c r="H15" i="193"/>
  <c r="G15" i="193"/>
  <c r="F15" i="193"/>
  <c r="E15" i="193"/>
  <c r="D15" i="193"/>
  <c r="U14" i="193"/>
  <c r="T14" i="193"/>
  <c r="S14" i="193"/>
  <c r="R14" i="193"/>
  <c r="Q14" i="193"/>
  <c r="P14" i="193"/>
  <c r="O14" i="193"/>
  <c r="N14" i="193"/>
  <c r="M14" i="193"/>
  <c r="L14" i="193"/>
  <c r="K14" i="193"/>
  <c r="J14" i="193"/>
  <c r="I14" i="193"/>
  <c r="H14" i="193"/>
  <c r="G14" i="193"/>
  <c r="F14" i="193"/>
  <c r="E14" i="193"/>
  <c r="D14" i="193"/>
  <c r="U13" i="193"/>
  <c r="T13" i="193"/>
  <c r="S13" i="193"/>
  <c r="R13" i="193"/>
  <c r="Q13" i="193"/>
  <c r="P13" i="193"/>
  <c r="O13" i="193"/>
  <c r="N13" i="193"/>
  <c r="M13" i="193"/>
  <c r="L13" i="193"/>
  <c r="K13" i="193"/>
  <c r="J13" i="193"/>
  <c r="I13" i="193"/>
  <c r="H13" i="193"/>
  <c r="G13" i="193"/>
  <c r="F13" i="193"/>
  <c r="E13" i="193"/>
  <c r="D13" i="193"/>
  <c r="U12" i="193"/>
  <c r="T12" i="193"/>
  <c r="S12" i="193"/>
  <c r="R12" i="193"/>
  <c r="Q12" i="193"/>
  <c r="P12" i="193"/>
  <c r="O12" i="193"/>
  <c r="N12" i="193"/>
  <c r="M12" i="193"/>
  <c r="L12" i="193"/>
  <c r="K12" i="193"/>
  <c r="J12" i="193"/>
  <c r="I12" i="193"/>
  <c r="H12" i="193"/>
  <c r="G12" i="193"/>
  <c r="F12" i="193"/>
  <c r="E12" i="193"/>
  <c r="D12" i="193"/>
  <c r="U265" i="192"/>
  <c r="T265" i="192"/>
  <c r="S265" i="192"/>
  <c r="R265" i="192"/>
  <c r="Q265" i="192"/>
  <c r="P265" i="192"/>
  <c r="O265" i="192"/>
  <c r="N265" i="192"/>
  <c r="M265" i="192"/>
  <c r="L265" i="192"/>
  <c r="K265" i="192"/>
  <c r="J265" i="192"/>
  <c r="I265" i="192"/>
  <c r="H265" i="192"/>
  <c r="G265" i="192"/>
  <c r="F265" i="192"/>
  <c r="E265" i="192"/>
  <c r="D265" i="192"/>
  <c r="U264" i="192"/>
  <c r="T264" i="192"/>
  <c r="S264" i="192"/>
  <c r="R264" i="192"/>
  <c r="Q264" i="192"/>
  <c r="P264" i="192"/>
  <c r="O264" i="192"/>
  <c r="N264" i="192"/>
  <c r="M264" i="192"/>
  <c r="L264" i="192"/>
  <c r="K264" i="192"/>
  <c r="J264" i="192"/>
  <c r="I264" i="192"/>
  <c r="H264" i="192"/>
  <c r="G264" i="192"/>
  <c r="F264" i="192"/>
  <c r="E264" i="192"/>
  <c r="D264" i="192"/>
  <c r="U263" i="192"/>
  <c r="T263" i="192"/>
  <c r="S263" i="192"/>
  <c r="R263" i="192"/>
  <c r="Q263" i="192"/>
  <c r="P263" i="192"/>
  <c r="O263" i="192"/>
  <c r="N263" i="192"/>
  <c r="M263" i="192"/>
  <c r="L263" i="192"/>
  <c r="K263" i="192"/>
  <c r="J263" i="192"/>
  <c r="I263" i="192"/>
  <c r="H263" i="192"/>
  <c r="G263" i="192"/>
  <c r="F263" i="192"/>
  <c r="E263" i="192"/>
  <c r="D263" i="192"/>
  <c r="U262" i="192"/>
  <c r="T262" i="192"/>
  <c r="S262" i="192"/>
  <c r="R262" i="192"/>
  <c r="Q262" i="192"/>
  <c r="P262" i="192"/>
  <c r="O262" i="192"/>
  <c r="N262" i="192"/>
  <c r="M262" i="192"/>
  <c r="L262" i="192"/>
  <c r="K262" i="192"/>
  <c r="J262" i="192"/>
  <c r="I262" i="192"/>
  <c r="H262" i="192"/>
  <c r="G262" i="192"/>
  <c r="F262" i="192"/>
  <c r="E262" i="192"/>
  <c r="D262" i="192"/>
  <c r="U261" i="192"/>
  <c r="T261" i="192"/>
  <c r="S261" i="192"/>
  <c r="R261" i="192"/>
  <c r="Q261" i="192"/>
  <c r="P261" i="192"/>
  <c r="O261" i="192"/>
  <c r="N261" i="192"/>
  <c r="M261" i="192"/>
  <c r="L261" i="192"/>
  <c r="K261" i="192"/>
  <c r="J261" i="192"/>
  <c r="I261" i="192"/>
  <c r="H261" i="192"/>
  <c r="G261" i="192"/>
  <c r="F261" i="192"/>
  <c r="E261" i="192"/>
  <c r="D261" i="192"/>
  <c r="U260" i="192"/>
  <c r="T260" i="192"/>
  <c r="S260" i="192"/>
  <c r="R260" i="192"/>
  <c r="Q260" i="192"/>
  <c r="P260" i="192"/>
  <c r="O260" i="192"/>
  <c r="N260" i="192"/>
  <c r="M260" i="192"/>
  <c r="L260" i="192"/>
  <c r="K260" i="192"/>
  <c r="J260" i="192"/>
  <c r="I260" i="192"/>
  <c r="H260" i="192"/>
  <c r="G260" i="192"/>
  <c r="F260" i="192"/>
  <c r="E260" i="192"/>
  <c r="D260" i="192"/>
  <c r="U259" i="192"/>
  <c r="T259" i="192"/>
  <c r="S259" i="192"/>
  <c r="R259" i="192"/>
  <c r="Q259" i="192"/>
  <c r="P259" i="192"/>
  <c r="O259" i="192"/>
  <c r="N259" i="192"/>
  <c r="M259" i="192"/>
  <c r="L259" i="192"/>
  <c r="K259" i="192"/>
  <c r="J259" i="192"/>
  <c r="I259" i="192"/>
  <c r="H259" i="192"/>
  <c r="G259" i="192"/>
  <c r="F259" i="192"/>
  <c r="E259" i="192"/>
  <c r="D259" i="192"/>
  <c r="U258" i="192"/>
  <c r="T258" i="192"/>
  <c r="S258" i="192"/>
  <c r="R258" i="192"/>
  <c r="Q258" i="192"/>
  <c r="P258" i="192"/>
  <c r="O258" i="192"/>
  <c r="N258" i="192"/>
  <c r="M258" i="192"/>
  <c r="L258" i="192"/>
  <c r="K258" i="192"/>
  <c r="J258" i="192"/>
  <c r="I258" i="192"/>
  <c r="H258" i="192"/>
  <c r="G258" i="192"/>
  <c r="F258" i="192"/>
  <c r="E258" i="192"/>
  <c r="D258" i="192"/>
  <c r="U257" i="192"/>
  <c r="T257" i="192"/>
  <c r="S257" i="192"/>
  <c r="R257" i="192"/>
  <c r="Q257" i="192"/>
  <c r="P257" i="192"/>
  <c r="O257" i="192"/>
  <c r="N257" i="192"/>
  <c r="M257" i="192"/>
  <c r="L257" i="192"/>
  <c r="K257" i="192"/>
  <c r="J257" i="192"/>
  <c r="I257" i="192"/>
  <c r="H257" i="192"/>
  <c r="G257" i="192"/>
  <c r="F257" i="192"/>
  <c r="E257" i="192"/>
  <c r="D257" i="192"/>
  <c r="U256" i="192"/>
  <c r="T256" i="192"/>
  <c r="S256" i="192"/>
  <c r="R256" i="192"/>
  <c r="Q256" i="192"/>
  <c r="P256" i="192"/>
  <c r="O256" i="192"/>
  <c r="N256" i="192"/>
  <c r="M256" i="192"/>
  <c r="L256" i="192"/>
  <c r="K256" i="192"/>
  <c r="J256" i="192"/>
  <c r="I256" i="192"/>
  <c r="H256" i="192"/>
  <c r="G256" i="192"/>
  <c r="F256" i="192"/>
  <c r="E256" i="192"/>
  <c r="D256" i="192"/>
  <c r="P255" i="192"/>
  <c r="U254" i="192"/>
  <c r="T254" i="192"/>
  <c r="S254" i="192"/>
  <c r="R254" i="192"/>
  <c r="Q254" i="192"/>
  <c r="P254" i="192"/>
  <c r="O254" i="192"/>
  <c r="N254" i="192"/>
  <c r="M254" i="192"/>
  <c r="L254" i="192"/>
  <c r="K254" i="192"/>
  <c r="J254" i="192"/>
  <c r="I254" i="192"/>
  <c r="H254" i="192"/>
  <c r="G254" i="192"/>
  <c r="F254" i="192"/>
  <c r="E254" i="192"/>
  <c r="D254" i="192"/>
  <c r="U253" i="192"/>
  <c r="T253" i="192"/>
  <c r="S253" i="192"/>
  <c r="R253" i="192"/>
  <c r="Q253" i="192"/>
  <c r="P253" i="192"/>
  <c r="O253" i="192"/>
  <c r="N253" i="192"/>
  <c r="M253" i="192"/>
  <c r="L253" i="192"/>
  <c r="K253" i="192"/>
  <c r="J253" i="192"/>
  <c r="I253" i="192"/>
  <c r="H253" i="192"/>
  <c r="G253" i="192"/>
  <c r="F253" i="192"/>
  <c r="E253" i="192"/>
  <c r="D253" i="192"/>
  <c r="U252" i="192"/>
  <c r="T252" i="192"/>
  <c r="S252" i="192"/>
  <c r="R252" i="192"/>
  <c r="Q252" i="192"/>
  <c r="P252" i="192"/>
  <c r="O252" i="192"/>
  <c r="N252" i="192"/>
  <c r="M252" i="192"/>
  <c r="L252" i="192"/>
  <c r="K252" i="192"/>
  <c r="J252" i="192"/>
  <c r="I252" i="192"/>
  <c r="H252" i="192"/>
  <c r="G252" i="192"/>
  <c r="F252" i="192"/>
  <c r="E252" i="192"/>
  <c r="D252" i="192"/>
  <c r="U251" i="192"/>
  <c r="T251" i="192"/>
  <c r="S251" i="192"/>
  <c r="R251" i="192"/>
  <c r="Q251" i="192"/>
  <c r="P251" i="192"/>
  <c r="O251" i="192"/>
  <c r="N251" i="192"/>
  <c r="M251" i="192"/>
  <c r="L251" i="192"/>
  <c r="K251" i="192"/>
  <c r="J251" i="192"/>
  <c r="I251" i="192"/>
  <c r="H251" i="192"/>
  <c r="G251" i="192"/>
  <c r="F251" i="192"/>
  <c r="E251" i="192"/>
  <c r="D251" i="192"/>
  <c r="U250" i="192"/>
  <c r="T250" i="192"/>
  <c r="S250" i="192"/>
  <c r="R250" i="192"/>
  <c r="Q250" i="192"/>
  <c r="P250" i="192"/>
  <c r="O250" i="192"/>
  <c r="N250" i="192"/>
  <c r="M250" i="192"/>
  <c r="L250" i="192"/>
  <c r="K250" i="192"/>
  <c r="J250" i="192"/>
  <c r="I250" i="192"/>
  <c r="H250" i="192"/>
  <c r="G250" i="192"/>
  <c r="F250" i="192"/>
  <c r="E250" i="192"/>
  <c r="D250" i="192"/>
  <c r="U249" i="192"/>
  <c r="T249" i="192"/>
  <c r="S249" i="192"/>
  <c r="R249" i="192"/>
  <c r="Q249" i="192"/>
  <c r="P249" i="192"/>
  <c r="O249" i="192"/>
  <c r="N249" i="192"/>
  <c r="M249" i="192"/>
  <c r="L249" i="192"/>
  <c r="K249" i="192"/>
  <c r="J249" i="192"/>
  <c r="I249" i="192"/>
  <c r="H249" i="192"/>
  <c r="G249" i="192"/>
  <c r="F249" i="192"/>
  <c r="E249" i="192"/>
  <c r="D249" i="192"/>
  <c r="U248" i="192"/>
  <c r="T248" i="192"/>
  <c r="S248" i="192"/>
  <c r="R248" i="192"/>
  <c r="Q248" i="192"/>
  <c r="P248" i="192"/>
  <c r="O248" i="192"/>
  <c r="N248" i="192"/>
  <c r="M248" i="192"/>
  <c r="L248" i="192"/>
  <c r="K248" i="192"/>
  <c r="J248" i="192"/>
  <c r="I248" i="192"/>
  <c r="H248" i="192"/>
  <c r="G248" i="192"/>
  <c r="F248" i="192"/>
  <c r="E248" i="192"/>
  <c r="D248" i="192"/>
  <c r="U247" i="192"/>
  <c r="T247" i="192"/>
  <c r="S247" i="192"/>
  <c r="R247" i="192"/>
  <c r="Q247" i="192"/>
  <c r="P247" i="192"/>
  <c r="O247" i="192"/>
  <c r="N247" i="192"/>
  <c r="M247" i="192"/>
  <c r="L247" i="192"/>
  <c r="K247" i="192"/>
  <c r="J247" i="192"/>
  <c r="I247" i="192"/>
  <c r="H247" i="192"/>
  <c r="G247" i="192"/>
  <c r="F247" i="192"/>
  <c r="E247" i="192"/>
  <c r="D247" i="192"/>
  <c r="U246" i="192"/>
  <c r="T246" i="192"/>
  <c r="S246" i="192"/>
  <c r="R246" i="192"/>
  <c r="Q246" i="192"/>
  <c r="P246" i="192"/>
  <c r="O246" i="192"/>
  <c r="N246" i="192"/>
  <c r="M246" i="192"/>
  <c r="L246" i="192"/>
  <c r="K246" i="192"/>
  <c r="J246" i="192"/>
  <c r="I246" i="192"/>
  <c r="H246" i="192"/>
  <c r="G246" i="192"/>
  <c r="F246" i="192"/>
  <c r="E246" i="192"/>
  <c r="D246" i="192"/>
  <c r="U245" i="192"/>
  <c r="T245" i="192"/>
  <c r="S245" i="192"/>
  <c r="R245" i="192"/>
  <c r="Q245" i="192"/>
  <c r="P245" i="192"/>
  <c r="O245" i="192"/>
  <c r="N245" i="192"/>
  <c r="M245" i="192"/>
  <c r="L245" i="192"/>
  <c r="K245" i="192"/>
  <c r="J245" i="192"/>
  <c r="I245" i="192"/>
  <c r="H245" i="192"/>
  <c r="G245" i="192"/>
  <c r="F245" i="192"/>
  <c r="E245" i="192"/>
  <c r="D245" i="192"/>
  <c r="U244" i="192"/>
  <c r="T244" i="192"/>
  <c r="S244" i="192"/>
  <c r="R244" i="192"/>
  <c r="Q244" i="192"/>
  <c r="P244" i="192"/>
  <c r="O244" i="192"/>
  <c r="N244" i="192"/>
  <c r="M244" i="192"/>
  <c r="L244" i="192"/>
  <c r="K244" i="192"/>
  <c r="J244" i="192"/>
  <c r="I244" i="192"/>
  <c r="H244" i="192"/>
  <c r="G244" i="192"/>
  <c r="F244" i="192"/>
  <c r="E244" i="192"/>
  <c r="D244" i="192"/>
  <c r="U243" i="192"/>
  <c r="T243" i="192"/>
  <c r="S243" i="192"/>
  <c r="R243" i="192"/>
  <c r="Q243" i="192"/>
  <c r="P243" i="192"/>
  <c r="O243" i="192"/>
  <c r="N243" i="192"/>
  <c r="M243" i="192"/>
  <c r="L243" i="192"/>
  <c r="K243" i="192"/>
  <c r="J243" i="192"/>
  <c r="I243" i="192"/>
  <c r="H243" i="192"/>
  <c r="G243" i="192"/>
  <c r="F243" i="192"/>
  <c r="E243" i="192"/>
  <c r="D243" i="192"/>
  <c r="U242" i="192"/>
  <c r="T242" i="192"/>
  <c r="S242" i="192"/>
  <c r="R242" i="192"/>
  <c r="Q242" i="192"/>
  <c r="P242" i="192"/>
  <c r="O242" i="192"/>
  <c r="N242" i="192"/>
  <c r="M242" i="192"/>
  <c r="L242" i="192"/>
  <c r="K242" i="192"/>
  <c r="J242" i="192"/>
  <c r="I242" i="192"/>
  <c r="H242" i="192"/>
  <c r="G242" i="192"/>
  <c r="F242" i="192"/>
  <c r="E242" i="192"/>
  <c r="D242" i="192"/>
  <c r="P241" i="192"/>
  <c r="U240" i="192"/>
  <c r="T240" i="192"/>
  <c r="S240" i="192"/>
  <c r="R240" i="192"/>
  <c r="Q240" i="192"/>
  <c r="P240" i="192"/>
  <c r="O240" i="192"/>
  <c r="N240" i="192"/>
  <c r="M240" i="192"/>
  <c r="L240" i="192"/>
  <c r="K240" i="192"/>
  <c r="J240" i="192"/>
  <c r="I240" i="192"/>
  <c r="H240" i="192"/>
  <c r="G240" i="192"/>
  <c r="F240" i="192"/>
  <c r="E240" i="192"/>
  <c r="D240" i="192"/>
  <c r="U239" i="192"/>
  <c r="T239" i="192"/>
  <c r="S239" i="192"/>
  <c r="R239" i="192"/>
  <c r="Q239" i="192"/>
  <c r="P239" i="192"/>
  <c r="O239" i="192"/>
  <c r="N239" i="192"/>
  <c r="M239" i="192"/>
  <c r="L239" i="192"/>
  <c r="K239" i="192"/>
  <c r="J239" i="192"/>
  <c r="I239" i="192"/>
  <c r="H239" i="192"/>
  <c r="G239" i="192"/>
  <c r="F239" i="192"/>
  <c r="E239" i="192"/>
  <c r="D239" i="192"/>
  <c r="U238" i="192"/>
  <c r="T238" i="192"/>
  <c r="S238" i="192"/>
  <c r="R238" i="192"/>
  <c r="Q238" i="192"/>
  <c r="P238" i="192"/>
  <c r="O238" i="192"/>
  <c r="N238" i="192"/>
  <c r="M238" i="192"/>
  <c r="L238" i="192"/>
  <c r="K238" i="192"/>
  <c r="J238" i="192"/>
  <c r="I238" i="192"/>
  <c r="H238" i="192"/>
  <c r="G238" i="192"/>
  <c r="F238" i="192"/>
  <c r="E238" i="192"/>
  <c r="D238" i="192"/>
  <c r="U237" i="192"/>
  <c r="T237" i="192"/>
  <c r="S237" i="192"/>
  <c r="R237" i="192"/>
  <c r="Q237" i="192"/>
  <c r="P237" i="192"/>
  <c r="O237" i="192"/>
  <c r="N237" i="192"/>
  <c r="M237" i="192"/>
  <c r="L237" i="192"/>
  <c r="K237" i="192"/>
  <c r="J237" i="192"/>
  <c r="I237" i="192"/>
  <c r="H237" i="192"/>
  <c r="G237" i="192"/>
  <c r="F237" i="192"/>
  <c r="E237" i="192"/>
  <c r="D237" i="192"/>
  <c r="U236" i="192"/>
  <c r="T236" i="192"/>
  <c r="S236" i="192"/>
  <c r="R236" i="192"/>
  <c r="Q236" i="192"/>
  <c r="P236" i="192"/>
  <c r="O236" i="192"/>
  <c r="N236" i="192"/>
  <c r="M236" i="192"/>
  <c r="L236" i="192"/>
  <c r="K236" i="192"/>
  <c r="J236" i="192"/>
  <c r="I236" i="192"/>
  <c r="H236" i="192"/>
  <c r="G236" i="192"/>
  <c r="F236" i="192"/>
  <c r="E236" i="192"/>
  <c r="D236" i="192"/>
  <c r="U235" i="192"/>
  <c r="T235" i="192"/>
  <c r="S235" i="192"/>
  <c r="R235" i="192"/>
  <c r="Q235" i="192"/>
  <c r="P235" i="192"/>
  <c r="O235" i="192"/>
  <c r="N235" i="192"/>
  <c r="M235" i="192"/>
  <c r="L235" i="192"/>
  <c r="K235" i="192"/>
  <c r="J235" i="192"/>
  <c r="I235" i="192"/>
  <c r="H235" i="192"/>
  <c r="G235" i="192"/>
  <c r="F235" i="192"/>
  <c r="E235" i="192"/>
  <c r="D235" i="192"/>
  <c r="U234" i="192"/>
  <c r="T234" i="192"/>
  <c r="S234" i="192"/>
  <c r="R234" i="192"/>
  <c r="Q234" i="192"/>
  <c r="P234" i="192"/>
  <c r="O234" i="192"/>
  <c r="N234" i="192"/>
  <c r="M234" i="192"/>
  <c r="L234" i="192"/>
  <c r="K234" i="192"/>
  <c r="J234" i="192"/>
  <c r="I234" i="192"/>
  <c r="H234" i="192"/>
  <c r="G234" i="192"/>
  <c r="F234" i="192"/>
  <c r="E234" i="192"/>
  <c r="D234" i="192"/>
  <c r="U228" i="192"/>
  <c r="T228" i="192"/>
  <c r="S228" i="192"/>
  <c r="R228" i="192"/>
  <c r="Q228" i="192"/>
  <c r="P228" i="192"/>
  <c r="O228" i="192"/>
  <c r="N228" i="192"/>
  <c r="M228" i="192"/>
  <c r="L228" i="192"/>
  <c r="K228" i="192"/>
  <c r="J228" i="192"/>
  <c r="I228" i="192"/>
  <c r="H228" i="192"/>
  <c r="G228" i="192"/>
  <c r="F228" i="192"/>
  <c r="E228" i="192"/>
  <c r="D228" i="192"/>
  <c r="U227" i="192"/>
  <c r="T227" i="192"/>
  <c r="S227" i="192"/>
  <c r="R227" i="192"/>
  <c r="Q227" i="192"/>
  <c r="P227" i="192"/>
  <c r="O227" i="192"/>
  <c r="N227" i="192"/>
  <c r="M227" i="192"/>
  <c r="L227" i="192"/>
  <c r="K227" i="192"/>
  <c r="J227" i="192"/>
  <c r="I227" i="192"/>
  <c r="H227" i="192"/>
  <c r="G227" i="192"/>
  <c r="F227" i="192"/>
  <c r="E227" i="192"/>
  <c r="D227" i="192"/>
  <c r="U226" i="192"/>
  <c r="T226" i="192"/>
  <c r="S226" i="192"/>
  <c r="R226" i="192"/>
  <c r="Q226" i="192"/>
  <c r="P226" i="192"/>
  <c r="O226" i="192"/>
  <c r="N226" i="192"/>
  <c r="M226" i="192"/>
  <c r="L226" i="192"/>
  <c r="K226" i="192"/>
  <c r="J226" i="192"/>
  <c r="I226" i="192"/>
  <c r="H226" i="192"/>
  <c r="G226" i="192"/>
  <c r="F226" i="192"/>
  <c r="E226" i="192"/>
  <c r="D226" i="192"/>
  <c r="U225" i="192"/>
  <c r="T225" i="192"/>
  <c r="S225" i="192"/>
  <c r="R225" i="192"/>
  <c r="Q225" i="192"/>
  <c r="P225" i="192"/>
  <c r="O225" i="192"/>
  <c r="N225" i="192"/>
  <c r="M225" i="192"/>
  <c r="L225" i="192"/>
  <c r="K225" i="192"/>
  <c r="J225" i="192"/>
  <c r="I225" i="192"/>
  <c r="H225" i="192"/>
  <c r="G225" i="192"/>
  <c r="F225" i="192"/>
  <c r="E225" i="192"/>
  <c r="D225" i="192"/>
  <c r="U224" i="192"/>
  <c r="T224" i="192"/>
  <c r="S224" i="192"/>
  <c r="R224" i="192"/>
  <c r="Q224" i="192"/>
  <c r="P224" i="192"/>
  <c r="O224" i="192"/>
  <c r="N224" i="192"/>
  <c r="M224" i="192"/>
  <c r="L224" i="192"/>
  <c r="K224" i="192"/>
  <c r="J224" i="192"/>
  <c r="I224" i="192"/>
  <c r="H224" i="192"/>
  <c r="G224" i="192"/>
  <c r="F224" i="192"/>
  <c r="E224" i="192"/>
  <c r="D224" i="192"/>
  <c r="U223" i="192"/>
  <c r="T223" i="192"/>
  <c r="S223" i="192"/>
  <c r="R223" i="192"/>
  <c r="Q223" i="192"/>
  <c r="P223" i="192"/>
  <c r="O223" i="192"/>
  <c r="N223" i="192"/>
  <c r="M223" i="192"/>
  <c r="L223" i="192"/>
  <c r="K223" i="192"/>
  <c r="J223" i="192"/>
  <c r="I223" i="192"/>
  <c r="H223" i="192"/>
  <c r="G223" i="192"/>
  <c r="F223" i="192"/>
  <c r="E223" i="192"/>
  <c r="D223" i="192"/>
  <c r="U222" i="192"/>
  <c r="T222" i="192"/>
  <c r="S222" i="192"/>
  <c r="R222" i="192"/>
  <c r="Q222" i="192"/>
  <c r="P222" i="192"/>
  <c r="O222" i="192"/>
  <c r="N222" i="192"/>
  <c r="M222" i="192"/>
  <c r="L222" i="192"/>
  <c r="K222" i="192"/>
  <c r="J222" i="192"/>
  <c r="I222" i="192"/>
  <c r="H222" i="192"/>
  <c r="G222" i="192"/>
  <c r="F222" i="192"/>
  <c r="E222" i="192"/>
  <c r="D222" i="192"/>
  <c r="U221" i="192"/>
  <c r="T221" i="192"/>
  <c r="S221" i="192"/>
  <c r="R221" i="192"/>
  <c r="Q221" i="192"/>
  <c r="P221" i="192"/>
  <c r="O221" i="192"/>
  <c r="N221" i="192"/>
  <c r="M221" i="192"/>
  <c r="L221" i="192"/>
  <c r="K221" i="192"/>
  <c r="J221" i="192"/>
  <c r="I221" i="192"/>
  <c r="H221" i="192"/>
  <c r="G221" i="192"/>
  <c r="F221" i="192"/>
  <c r="E221" i="192"/>
  <c r="D221" i="192"/>
  <c r="U220" i="192"/>
  <c r="T220" i="192"/>
  <c r="S220" i="192"/>
  <c r="R220" i="192"/>
  <c r="Q220" i="192"/>
  <c r="P220" i="192"/>
  <c r="O220" i="192"/>
  <c r="N220" i="192"/>
  <c r="M220" i="192"/>
  <c r="L220" i="192"/>
  <c r="K220" i="192"/>
  <c r="J220" i="192"/>
  <c r="I220" i="192"/>
  <c r="H220" i="192"/>
  <c r="G220" i="192"/>
  <c r="F220" i="192"/>
  <c r="E220" i="192"/>
  <c r="D220" i="192"/>
  <c r="U219" i="192"/>
  <c r="T219" i="192"/>
  <c r="S219" i="192"/>
  <c r="R219" i="192"/>
  <c r="Q219" i="192"/>
  <c r="P219" i="192"/>
  <c r="O219" i="192"/>
  <c r="N219" i="192"/>
  <c r="M219" i="192"/>
  <c r="L219" i="192"/>
  <c r="K219" i="192"/>
  <c r="J219" i="192"/>
  <c r="I219" i="192"/>
  <c r="H219" i="192"/>
  <c r="G219" i="192"/>
  <c r="F219" i="192"/>
  <c r="E219" i="192"/>
  <c r="D219" i="192"/>
  <c r="P218" i="192"/>
  <c r="U217" i="192"/>
  <c r="T217" i="192"/>
  <c r="S217" i="192"/>
  <c r="R217" i="192"/>
  <c r="Q217" i="192"/>
  <c r="P217" i="192"/>
  <c r="O217" i="192"/>
  <c r="N217" i="192"/>
  <c r="M217" i="192"/>
  <c r="L217" i="192"/>
  <c r="K217" i="192"/>
  <c r="J217" i="192"/>
  <c r="I217" i="192"/>
  <c r="H217" i="192"/>
  <c r="G217" i="192"/>
  <c r="F217" i="192"/>
  <c r="E217" i="192"/>
  <c r="D217" i="192"/>
  <c r="U216" i="192"/>
  <c r="T216" i="192"/>
  <c r="S216" i="192"/>
  <c r="R216" i="192"/>
  <c r="Q216" i="192"/>
  <c r="P216" i="192"/>
  <c r="O216" i="192"/>
  <c r="N216" i="192"/>
  <c r="M216" i="192"/>
  <c r="L216" i="192"/>
  <c r="K216" i="192"/>
  <c r="J216" i="192"/>
  <c r="I216" i="192"/>
  <c r="H216" i="192"/>
  <c r="G216" i="192"/>
  <c r="F216" i="192"/>
  <c r="E216" i="192"/>
  <c r="D216" i="192"/>
  <c r="U215" i="192"/>
  <c r="T215" i="192"/>
  <c r="S215" i="192"/>
  <c r="R215" i="192"/>
  <c r="Q215" i="192"/>
  <c r="P215" i="192"/>
  <c r="O215" i="192"/>
  <c r="N215" i="192"/>
  <c r="M215" i="192"/>
  <c r="L215" i="192"/>
  <c r="K215" i="192"/>
  <c r="J215" i="192"/>
  <c r="I215" i="192"/>
  <c r="H215" i="192"/>
  <c r="G215" i="192"/>
  <c r="F215" i="192"/>
  <c r="E215" i="192"/>
  <c r="D215" i="192"/>
  <c r="U214" i="192"/>
  <c r="T214" i="192"/>
  <c r="S214" i="192"/>
  <c r="R214" i="192"/>
  <c r="Q214" i="192"/>
  <c r="P214" i="192"/>
  <c r="O214" i="192"/>
  <c r="N214" i="192"/>
  <c r="M214" i="192"/>
  <c r="L214" i="192"/>
  <c r="K214" i="192"/>
  <c r="J214" i="192"/>
  <c r="I214" i="192"/>
  <c r="H214" i="192"/>
  <c r="G214" i="192"/>
  <c r="F214" i="192"/>
  <c r="E214" i="192"/>
  <c r="D214" i="192"/>
  <c r="U213" i="192"/>
  <c r="T213" i="192"/>
  <c r="S213" i="192"/>
  <c r="R213" i="192"/>
  <c r="Q213" i="192"/>
  <c r="P213" i="192"/>
  <c r="O213" i="192"/>
  <c r="N213" i="192"/>
  <c r="M213" i="192"/>
  <c r="L213" i="192"/>
  <c r="K213" i="192"/>
  <c r="J213" i="192"/>
  <c r="I213" i="192"/>
  <c r="H213" i="192"/>
  <c r="G213" i="192"/>
  <c r="F213" i="192"/>
  <c r="E213" i="192"/>
  <c r="D213" i="192"/>
  <c r="U212" i="192"/>
  <c r="T212" i="192"/>
  <c r="S212" i="192"/>
  <c r="R212" i="192"/>
  <c r="Q212" i="192"/>
  <c r="P212" i="192"/>
  <c r="O212" i="192"/>
  <c r="N212" i="192"/>
  <c r="M212" i="192"/>
  <c r="L212" i="192"/>
  <c r="K212" i="192"/>
  <c r="J212" i="192"/>
  <c r="I212" i="192"/>
  <c r="H212" i="192"/>
  <c r="G212" i="192"/>
  <c r="F212" i="192"/>
  <c r="E212" i="192"/>
  <c r="D212" i="192"/>
  <c r="U211" i="192"/>
  <c r="T211" i="192"/>
  <c r="S211" i="192"/>
  <c r="R211" i="192"/>
  <c r="Q211" i="192"/>
  <c r="P211" i="192"/>
  <c r="O211" i="192"/>
  <c r="N211" i="192"/>
  <c r="M211" i="192"/>
  <c r="L211" i="192"/>
  <c r="K211" i="192"/>
  <c r="J211" i="192"/>
  <c r="I211" i="192"/>
  <c r="H211" i="192"/>
  <c r="G211" i="192"/>
  <c r="F211" i="192"/>
  <c r="E211" i="192"/>
  <c r="D211" i="192"/>
  <c r="U210" i="192"/>
  <c r="T210" i="192"/>
  <c r="S210" i="192"/>
  <c r="R210" i="192"/>
  <c r="Q210" i="192"/>
  <c r="P210" i="192"/>
  <c r="O210" i="192"/>
  <c r="N210" i="192"/>
  <c r="M210" i="192"/>
  <c r="L210" i="192"/>
  <c r="K210" i="192"/>
  <c r="J210" i="192"/>
  <c r="I210" i="192"/>
  <c r="H210" i="192"/>
  <c r="G210" i="192"/>
  <c r="F210" i="192"/>
  <c r="E210" i="192"/>
  <c r="D210" i="192"/>
  <c r="U209" i="192"/>
  <c r="T209" i="192"/>
  <c r="S209" i="192"/>
  <c r="R209" i="192"/>
  <c r="Q209" i="192"/>
  <c r="P209" i="192"/>
  <c r="O209" i="192"/>
  <c r="N209" i="192"/>
  <c r="M209" i="192"/>
  <c r="L209" i="192"/>
  <c r="K209" i="192"/>
  <c r="J209" i="192"/>
  <c r="I209" i="192"/>
  <c r="H209" i="192"/>
  <c r="G209" i="192"/>
  <c r="F209" i="192"/>
  <c r="E209" i="192"/>
  <c r="D209" i="192"/>
  <c r="U208" i="192"/>
  <c r="T208" i="192"/>
  <c r="S208" i="192"/>
  <c r="R208" i="192"/>
  <c r="Q208" i="192"/>
  <c r="P208" i="192"/>
  <c r="O208" i="192"/>
  <c r="N208" i="192"/>
  <c r="M208" i="192"/>
  <c r="L208" i="192"/>
  <c r="K208" i="192"/>
  <c r="J208" i="192"/>
  <c r="I208" i="192"/>
  <c r="H208" i="192"/>
  <c r="G208" i="192"/>
  <c r="F208" i="192"/>
  <c r="E208" i="192"/>
  <c r="D208" i="192"/>
  <c r="U207" i="192"/>
  <c r="T207" i="192"/>
  <c r="S207" i="192"/>
  <c r="R207" i="192"/>
  <c r="Q207" i="192"/>
  <c r="P207" i="192"/>
  <c r="O207" i="192"/>
  <c r="N207" i="192"/>
  <c r="M207" i="192"/>
  <c r="L207" i="192"/>
  <c r="K207" i="192"/>
  <c r="J207" i="192"/>
  <c r="I207" i="192"/>
  <c r="H207" i="192"/>
  <c r="G207" i="192"/>
  <c r="F207" i="192"/>
  <c r="E207" i="192"/>
  <c r="D207" i="192"/>
  <c r="U206" i="192"/>
  <c r="T206" i="192"/>
  <c r="S206" i="192"/>
  <c r="R206" i="192"/>
  <c r="Q206" i="192"/>
  <c r="P206" i="192"/>
  <c r="O206" i="192"/>
  <c r="N206" i="192"/>
  <c r="M206" i="192"/>
  <c r="L206" i="192"/>
  <c r="K206" i="192"/>
  <c r="J206" i="192"/>
  <c r="I206" i="192"/>
  <c r="H206" i="192"/>
  <c r="G206" i="192"/>
  <c r="F206" i="192"/>
  <c r="E206" i="192"/>
  <c r="D206" i="192"/>
  <c r="U205" i="192"/>
  <c r="T205" i="192"/>
  <c r="S205" i="192"/>
  <c r="R205" i="192"/>
  <c r="Q205" i="192"/>
  <c r="P205" i="192"/>
  <c r="O205" i="192"/>
  <c r="N205" i="192"/>
  <c r="M205" i="192"/>
  <c r="L205" i="192"/>
  <c r="K205" i="192"/>
  <c r="J205" i="192"/>
  <c r="I205" i="192"/>
  <c r="H205" i="192"/>
  <c r="G205" i="192"/>
  <c r="F205" i="192"/>
  <c r="E205" i="192"/>
  <c r="D205" i="192"/>
  <c r="P204" i="192"/>
  <c r="U203" i="192"/>
  <c r="T203" i="192"/>
  <c r="S203" i="192"/>
  <c r="R203" i="192"/>
  <c r="Q203" i="192"/>
  <c r="P203" i="192"/>
  <c r="O203" i="192"/>
  <c r="N203" i="192"/>
  <c r="M203" i="192"/>
  <c r="L203" i="192"/>
  <c r="K203" i="192"/>
  <c r="J203" i="192"/>
  <c r="I203" i="192"/>
  <c r="H203" i="192"/>
  <c r="G203" i="192"/>
  <c r="F203" i="192"/>
  <c r="E203" i="192"/>
  <c r="D203" i="192"/>
  <c r="U202" i="192"/>
  <c r="T202" i="192"/>
  <c r="S202" i="192"/>
  <c r="R202" i="192"/>
  <c r="Q202" i="192"/>
  <c r="P202" i="192"/>
  <c r="O202" i="192"/>
  <c r="N202" i="192"/>
  <c r="M202" i="192"/>
  <c r="L202" i="192"/>
  <c r="K202" i="192"/>
  <c r="J202" i="192"/>
  <c r="I202" i="192"/>
  <c r="H202" i="192"/>
  <c r="G202" i="192"/>
  <c r="F202" i="192"/>
  <c r="E202" i="192"/>
  <c r="D202" i="192"/>
  <c r="U201" i="192"/>
  <c r="T201" i="192"/>
  <c r="S201" i="192"/>
  <c r="R201" i="192"/>
  <c r="Q201" i="192"/>
  <c r="P201" i="192"/>
  <c r="O201" i="192"/>
  <c r="N201" i="192"/>
  <c r="M201" i="192"/>
  <c r="L201" i="192"/>
  <c r="K201" i="192"/>
  <c r="J201" i="192"/>
  <c r="I201" i="192"/>
  <c r="H201" i="192"/>
  <c r="G201" i="192"/>
  <c r="F201" i="192"/>
  <c r="E201" i="192"/>
  <c r="D201" i="192"/>
  <c r="U200" i="192"/>
  <c r="T200" i="192"/>
  <c r="S200" i="192"/>
  <c r="R200" i="192"/>
  <c r="Q200" i="192"/>
  <c r="P200" i="192"/>
  <c r="O200" i="192"/>
  <c r="N200" i="192"/>
  <c r="M200" i="192"/>
  <c r="L200" i="192"/>
  <c r="K200" i="192"/>
  <c r="J200" i="192"/>
  <c r="I200" i="192"/>
  <c r="H200" i="192"/>
  <c r="G200" i="192"/>
  <c r="F200" i="192"/>
  <c r="E200" i="192"/>
  <c r="D200" i="192"/>
  <c r="U199" i="192"/>
  <c r="T199" i="192"/>
  <c r="S199" i="192"/>
  <c r="R199" i="192"/>
  <c r="Q199" i="192"/>
  <c r="P199" i="192"/>
  <c r="O199" i="192"/>
  <c r="N199" i="192"/>
  <c r="M199" i="192"/>
  <c r="L199" i="192"/>
  <c r="K199" i="192"/>
  <c r="J199" i="192"/>
  <c r="I199" i="192"/>
  <c r="H199" i="192"/>
  <c r="G199" i="192"/>
  <c r="F199" i="192"/>
  <c r="E199" i="192"/>
  <c r="D199" i="192"/>
  <c r="U198" i="192"/>
  <c r="T198" i="192"/>
  <c r="S198" i="192"/>
  <c r="R198" i="192"/>
  <c r="Q198" i="192"/>
  <c r="P198" i="192"/>
  <c r="O198" i="192"/>
  <c r="N198" i="192"/>
  <c r="M198" i="192"/>
  <c r="L198" i="192"/>
  <c r="K198" i="192"/>
  <c r="J198" i="192"/>
  <c r="I198" i="192"/>
  <c r="H198" i="192"/>
  <c r="G198" i="192"/>
  <c r="F198" i="192"/>
  <c r="E198" i="192"/>
  <c r="D198" i="192"/>
  <c r="U197" i="192"/>
  <c r="T197" i="192"/>
  <c r="S197" i="192"/>
  <c r="R197" i="192"/>
  <c r="Q197" i="192"/>
  <c r="P197" i="192"/>
  <c r="O197" i="192"/>
  <c r="N197" i="192"/>
  <c r="M197" i="192"/>
  <c r="L197" i="192"/>
  <c r="K197" i="192"/>
  <c r="J197" i="192"/>
  <c r="I197" i="192"/>
  <c r="H197" i="192"/>
  <c r="G197" i="192"/>
  <c r="F197" i="192"/>
  <c r="E197" i="192"/>
  <c r="D197" i="192"/>
  <c r="U191" i="192"/>
  <c r="T191" i="192"/>
  <c r="S191" i="192"/>
  <c r="R191" i="192"/>
  <c r="Q191" i="192"/>
  <c r="P191" i="192"/>
  <c r="O191" i="192"/>
  <c r="N191" i="192"/>
  <c r="M191" i="192"/>
  <c r="L191" i="192"/>
  <c r="K191" i="192"/>
  <c r="J191" i="192"/>
  <c r="I191" i="192"/>
  <c r="H191" i="192"/>
  <c r="G191" i="192"/>
  <c r="F191" i="192"/>
  <c r="E191" i="192"/>
  <c r="D191" i="192"/>
  <c r="U190" i="192"/>
  <c r="T190" i="192"/>
  <c r="S190" i="192"/>
  <c r="R190" i="192"/>
  <c r="Q190" i="192"/>
  <c r="P190" i="192"/>
  <c r="O190" i="192"/>
  <c r="N190" i="192"/>
  <c r="M190" i="192"/>
  <c r="L190" i="192"/>
  <c r="K190" i="192"/>
  <c r="J190" i="192"/>
  <c r="I190" i="192"/>
  <c r="H190" i="192"/>
  <c r="G190" i="192"/>
  <c r="F190" i="192"/>
  <c r="E190" i="192"/>
  <c r="D190" i="192"/>
  <c r="U189" i="192"/>
  <c r="T189" i="192"/>
  <c r="S189" i="192"/>
  <c r="R189" i="192"/>
  <c r="Q189" i="192"/>
  <c r="P189" i="192"/>
  <c r="O189" i="192"/>
  <c r="N189" i="192"/>
  <c r="M189" i="192"/>
  <c r="L189" i="192"/>
  <c r="K189" i="192"/>
  <c r="J189" i="192"/>
  <c r="I189" i="192"/>
  <c r="H189" i="192"/>
  <c r="G189" i="192"/>
  <c r="F189" i="192"/>
  <c r="E189" i="192"/>
  <c r="D189" i="192"/>
  <c r="U188" i="192"/>
  <c r="T188" i="192"/>
  <c r="S188" i="192"/>
  <c r="R188" i="192"/>
  <c r="Q188" i="192"/>
  <c r="P188" i="192"/>
  <c r="O188" i="192"/>
  <c r="N188" i="192"/>
  <c r="M188" i="192"/>
  <c r="L188" i="192"/>
  <c r="K188" i="192"/>
  <c r="J188" i="192"/>
  <c r="I188" i="192"/>
  <c r="H188" i="192"/>
  <c r="G188" i="192"/>
  <c r="F188" i="192"/>
  <c r="E188" i="192"/>
  <c r="D188" i="192"/>
  <c r="U187" i="192"/>
  <c r="T187" i="192"/>
  <c r="S187" i="192"/>
  <c r="R187" i="192"/>
  <c r="Q187" i="192"/>
  <c r="P187" i="192"/>
  <c r="O187" i="192"/>
  <c r="N187" i="192"/>
  <c r="M187" i="192"/>
  <c r="L187" i="192"/>
  <c r="K187" i="192"/>
  <c r="J187" i="192"/>
  <c r="I187" i="192"/>
  <c r="H187" i="192"/>
  <c r="G187" i="192"/>
  <c r="F187" i="192"/>
  <c r="E187" i="192"/>
  <c r="D187" i="192"/>
  <c r="U186" i="192"/>
  <c r="T186" i="192"/>
  <c r="S186" i="192"/>
  <c r="R186" i="192"/>
  <c r="Q186" i="192"/>
  <c r="P186" i="192"/>
  <c r="O186" i="192"/>
  <c r="N186" i="192"/>
  <c r="M186" i="192"/>
  <c r="L186" i="192"/>
  <c r="K186" i="192"/>
  <c r="J186" i="192"/>
  <c r="I186" i="192"/>
  <c r="H186" i="192"/>
  <c r="G186" i="192"/>
  <c r="F186" i="192"/>
  <c r="E186" i="192"/>
  <c r="D186" i="192"/>
  <c r="U185" i="192"/>
  <c r="T185" i="192"/>
  <c r="S185" i="192"/>
  <c r="R185" i="192"/>
  <c r="Q185" i="192"/>
  <c r="P185" i="192"/>
  <c r="O185" i="192"/>
  <c r="N185" i="192"/>
  <c r="M185" i="192"/>
  <c r="L185" i="192"/>
  <c r="K185" i="192"/>
  <c r="J185" i="192"/>
  <c r="I185" i="192"/>
  <c r="H185" i="192"/>
  <c r="G185" i="192"/>
  <c r="F185" i="192"/>
  <c r="E185" i="192"/>
  <c r="D185" i="192"/>
  <c r="U184" i="192"/>
  <c r="T184" i="192"/>
  <c r="S184" i="192"/>
  <c r="R184" i="192"/>
  <c r="Q184" i="192"/>
  <c r="P184" i="192"/>
  <c r="O184" i="192"/>
  <c r="N184" i="192"/>
  <c r="M184" i="192"/>
  <c r="L184" i="192"/>
  <c r="K184" i="192"/>
  <c r="J184" i="192"/>
  <c r="I184" i="192"/>
  <c r="H184" i="192"/>
  <c r="G184" i="192"/>
  <c r="F184" i="192"/>
  <c r="E184" i="192"/>
  <c r="D184" i="192"/>
  <c r="U183" i="192"/>
  <c r="T183" i="192"/>
  <c r="S183" i="192"/>
  <c r="R183" i="192"/>
  <c r="Q183" i="192"/>
  <c r="P183" i="192"/>
  <c r="O183" i="192"/>
  <c r="N183" i="192"/>
  <c r="M183" i="192"/>
  <c r="L183" i="192"/>
  <c r="K183" i="192"/>
  <c r="J183" i="192"/>
  <c r="I183" i="192"/>
  <c r="H183" i="192"/>
  <c r="G183" i="192"/>
  <c r="F183" i="192"/>
  <c r="E183" i="192"/>
  <c r="D183" i="192"/>
  <c r="U182" i="192"/>
  <c r="T182" i="192"/>
  <c r="S182" i="192"/>
  <c r="R182" i="192"/>
  <c r="Q182" i="192"/>
  <c r="P182" i="192"/>
  <c r="O182" i="192"/>
  <c r="N182" i="192"/>
  <c r="M182" i="192"/>
  <c r="L182" i="192"/>
  <c r="K182" i="192"/>
  <c r="J182" i="192"/>
  <c r="I182" i="192"/>
  <c r="H182" i="192"/>
  <c r="G182" i="192"/>
  <c r="F182" i="192"/>
  <c r="E182" i="192"/>
  <c r="D182" i="192"/>
  <c r="P181" i="192"/>
  <c r="U180" i="192"/>
  <c r="T180" i="192"/>
  <c r="S180" i="192"/>
  <c r="R180" i="192"/>
  <c r="Q180" i="192"/>
  <c r="P180" i="192"/>
  <c r="O180" i="192"/>
  <c r="N180" i="192"/>
  <c r="M180" i="192"/>
  <c r="L180" i="192"/>
  <c r="K180" i="192"/>
  <c r="J180" i="192"/>
  <c r="I180" i="192"/>
  <c r="H180" i="192"/>
  <c r="G180" i="192"/>
  <c r="F180" i="192"/>
  <c r="E180" i="192"/>
  <c r="D180" i="192"/>
  <c r="U179" i="192"/>
  <c r="T179" i="192"/>
  <c r="S179" i="192"/>
  <c r="R179" i="192"/>
  <c r="Q179" i="192"/>
  <c r="P179" i="192"/>
  <c r="O179" i="192"/>
  <c r="N179" i="192"/>
  <c r="M179" i="192"/>
  <c r="L179" i="192"/>
  <c r="K179" i="192"/>
  <c r="J179" i="192"/>
  <c r="I179" i="192"/>
  <c r="H179" i="192"/>
  <c r="G179" i="192"/>
  <c r="F179" i="192"/>
  <c r="E179" i="192"/>
  <c r="D179" i="192"/>
  <c r="U178" i="192"/>
  <c r="T178" i="192"/>
  <c r="S178" i="192"/>
  <c r="R178" i="192"/>
  <c r="Q178" i="192"/>
  <c r="P178" i="192"/>
  <c r="O178" i="192"/>
  <c r="N178" i="192"/>
  <c r="M178" i="192"/>
  <c r="L178" i="192"/>
  <c r="K178" i="192"/>
  <c r="J178" i="192"/>
  <c r="I178" i="192"/>
  <c r="H178" i="192"/>
  <c r="G178" i="192"/>
  <c r="F178" i="192"/>
  <c r="E178" i="192"/>
  <c r="D178" i="192"/>
  <c r="U177" i="192"/>
  <c r="T177" i="192"/>
  <c r="S177" i="192"/>
  <c r="R177" i="192"/>
  <c r="Q177" i="192"/>
  <c r="P177" i="192"/>
  <c r="O177" i="192"/>
  <c r="N177" i="192"/>
  <c r="M177" i="192"/>
  <c r="L177" i="192"/>
  <c r="K177" i="192"/>
  <c r="J177" i="192"/>
  <c r="I177" i="192"/>
  <c r="H177" i="192"/>
  <c r="G177" i="192"/>
  <c r="F177" i="192"/>
  <c r="E177" i="192"/>
  <c r="D177" i="192"/>
  <c r="U176" i="192"/>
  <c r="T176" i="192"/>
  <c r="S176" i="192"/>
  <c r="R176" i="192"/>
  <c r="Q176" i="192"/>
  <c r="P176" i="192"/>
  <c r="O176" i="192"/>
  <c r="N176" i="192"/>
  <c r="M176" i="192"/>
  <c r="L176" i="192"/>
  <c r="K176" i="192"/>
  <c r="J176" i="192"/>
  <c r="I176" i="192"/>
  <c r="H176" i="192"/>
  <c r="G176" i="192"/>
  <c r="F176" i="192"/>
  <c r="E176" i="192"/>
  <c r="D176" i="192"/>
  <c r="U175" i="192"/>
  <c r="T175" i="192"/>
  <c r="S175" i="192"/>
  <c r="R175" i="192"/>
  <c r="Q175" i="192"/>
  <c r="P175" i="192"/>
  <c r="O175" i="192"/>
  <c r="N175" i="192"/>
  <c r="M175" i="192"/>
  <c r="L175" i="192"/>
  <c r="K175" i="192"/>
  <c r="J175" i="192"/>
  <c r="I175" i="192"/>
  <c r="H175" i="192"/>
  <c r="G175" i="192"/>
  <c r="F175" i="192"/>
  <c r="E175" i="192"/>
  <c r="D175" i="192"/>
  <c r="U174" i="192"/>
  <c r="T174" i="192"/>
  <c r="S174" i="192"/>
  <c r="R174" i="192"/>
  <c r="Q174" i="192"/>
  <c r="P174" i="192"/>
  <c r="O174" i="192"/>
  <c r="N174" i="192"/>
  <c r="M174" i="192"/>
  <c r="L174" i="192"/>
  <c r="K174" i="192"/>
  <c r="J174" i="192"/>
  <c r="I174" i="192"/>
  <c r="H174" i="192"/>
  <c r="G174" i="192"/>
  <c r="F174" i="192"/>
  <c r="E174" i="192"/>
  <c r="D174" i="192"/>
  <c r="U173" i="192"/>
  <c r="T173" i="192"/>
  <c r="S173" i="192"/>
  <c r="R173" i="192"/>
  <c r="Q173" i="192"/>
  <c r="P173" i="192"/>
  <c r="O173" i="192"/>
  <c r="N173" i="192"/>
  <c r="M173" i="192"/>
  <c r="L173" i="192"/>
  <c r="K173" i="192"/>
  <c r="J173" i="192"/>
  <c r="I173" i="192"/>
  <c r="H173" i="192"/>
  <c r="G173" i="192"/>
  <c r="F173" i="192"/>
  <c r="E173" i="192"/>
  <c r="D173" i="192"/>
  <c r="U172" i="192"/>
  <c r="T172" i="192"/>
  <c r="S172" i="192"/>
  <c r="R172" i="192"/>
  <c r="Q172" i="192"/>
  <c r="P172" i="192"/>
  <c r="O172" i="192"/>
  <c r="N172" i="192"/>
  <c r="M172" i="192"/>
  <c r="L172" i="192"/>
  <c r="K172" i="192"/>
  <c r="J172" i="192"/>
  <c r="I172" i="192"/>
  <c r="H172" i="192"/>
  <c r="G172" i="192"/>
  <c r="F172" i="192"/>
  <c r="E172" i="192"/>
  <c r="D172" i="192"/>
  <c r="U171" i="192"/>
  <c r="T171" i="192"/>
  <c r="S171" i="192"/>
  <c r="R171" i="192"/>
  <c r="Q171" i="192"/>
  <c r="P171" i="192"/>
  <c r="O171" i="192"/>
  <c r="N171" i="192"/>
  <c r="M171" i="192"/>
  <c r="L171" i="192"/>
  <c r="K171" i="192"/>
  <c r="J171" i="192"/>
  <c r="I171" i="192"/>
  <c r="H171" i="192"/>
  <c r="G171" i="192"/>
  <c r="F171" i="192"/>
  <c r="E171" i="192"/>
  <c r="D171" i="192"/>
  <c r="U170" i="192"/>
  <c r="T170" i="192"/>
  <c r="S170" i="192"/>
  <c r="R170" i="192"/>
  <c r="Q170" i="192"/>
  <c r="P170" i="192"/>
  <c r="O170" i="192"/>
  <c r="N170" i="192"/>
  <c r="M170" i="192"/>
  <c r="L170" i="192"/>
  <c r="K170" i="192"/>
  <c r="J170" i="192"/>
  <c r="I170" i="192"/>
  <c r="H170" i="192"/>
  <c r="G170" i="192"/>
  <c r="F170" i="192"/>
  <c r="E170" i="192"/>
  <c r="D170" i="192"/>
  <c r="U169" i="192"/>
  <c r="T169" i="192"/>
  <c r="S169" i="192"/>
  <c r="R169" i="192"/>
  <c r="Q169" i="192"/>
  <c r="P169" i="192"/>
  <c r="O169" i="192"/>
  <c r="N169" i="192"/>
  <c r="M169" i="192"/>
  <c r="L169" i="192"/>
  <c r="K169" i="192"/>
  <c r="J169" i="192"/>
  <c r="I169" i="192"/>
  <c r="H169" i="192"/>
  <c r="G169" i="192"/>
  <c r="F169" i="192"/>
  <c r="E169" i="192"/>
  <c r="D169" i="192"/>
  <c r="U168" i="192"/>
  <c r="T168" i="192"/>
  <c r="S168" i="192"/>
  <c r="R168" i="192"/>
  <c r="Q168" i="192"/>
  <c r="P168" i="192"/>
  <c r="O168" i="192"/>
  <c r="N168" i="192"/>
  <c r="M168" i="192"/>
  <c r="L168" i="192"/>
  <c r="K168" i="192"/>
  <c r="J168" i="192"/>
  <c r="I168" i="192"/>
  <c r="H168" i="192"/>
  <c r="G168" i="192"/>
  <c r="F168" i="192"/>
  <c r="E168" i="192"/>
  <c r="D168" i="192"/>
  <c r="P167" i="192"/>
  <c r="U166" i="192"/>
  <c r="T166" i="192"/>
  <c r="S166" i="192"/>
  <c r="R166" i="192"/>
  <c r="Q166" i="192"/>
  <c r="P166" i="192"/>
  <c r="O166" i="192"/>
  <c r="N166" i="192"/>
  <c r="M166" i="192"/>
  <c r="L166" i="192"/>
  <c r="K166" i="192"/>
  <c r="J166" i="192"/>
  <c r="I166" i="192"/>
  <c r="H166" i="192"/>
  <c r="G166" i="192"/>
  <c r="F166" i="192"/>
  <c r="E166" i="192"/>
  <c r="D166" i="192"/>
  <c r="U165" i="192"/>
  <c r="T165" i="192"/>
  <c r="S165" i="192"/>
  <c r="R165" i="192"/>
  <c r="Q165" i="192"/>
  <c r="P165" i="192"/>
  <c r="O165" i="192"/>
  <c r="N165" i="192"/>
  <c r="M165" i="192"/>
  <c r="L165" i="192"/>
  <c r="K165" i="192"/>
  <c r="J165" i="192"/>
  <c r="I165" i="192"/>
  <c r="H165" i="192"/>
  <c r="G165" i="192"/>
  <c r="F165" i="192"/>
  <c r="E165" i="192"/>
  <c r="D165" i="192"/>
  <c r="U164" i="192"/>
  <c r="T164" i="192"/>
  <c r="S164" i="192"/>
  <c r="R164" i="192"/>
  <c r="Q164" i="192"/>
  <c r="P164" i="192"/>
  <c r="O164" i="192"/>
  <c r="N164" i="192"/>
  <c r="M164" i="192"/>
  <c r="L164" i="192"/>
  <c r="K164" i="192"/>
  <c r="J164" i="192"/>
  <c r="I164" i="192"/>
  <c r="H164" i="192"/>
  <c r="G164" i="192"/>
  <c r="F164" i="192"/>
  <c r="E164" i="192"/>
  <c r="D164" i="192"/>
  <c r="U163" i="192"/>
  <c r="T163" i="192"/>
  <c r="S163" i="192"/>
  <c r="R163" i="192"/>
  <c r="Q163" i="192"/>
  <c r="P163" i="192"/>
  <c r="O163" i="192"/>
  <c r="N163" i="192"/>
  <c r="M163" i="192"/>
  <c r="L163" i="192"/>
  <c r="K163" i="192"/>
  <c r="J163" i="192"/>
  <c r="I163" i="192"/>
  <c r="H163" i="192"/>
  <c r="G163" i="192"/>
  <c r="F163" i="192"/>
  <c r="E163" i="192"/>
  <c r="D163" i="192"/>
  <c r="U162" i="192"/>
  <c r="T162" i="192"/>
  <c r="S162" i="192"/>
  <c r="R162" i="192"/>
  <c r="Q162" i="192"/>
  <c r="P162" i="192"/>
  <c r="O162" i="192"/>
  <c r="N162" i="192"/>
  <c r="M162" i="192"/>
  <c r="L162" i="192"/>
  <c r="K162" i="192"/>
  <c r="J162" i="192"/>
  <c r="I162" i="192"/>
  <c r="H162" i="192"/>
  <c r="G162" i="192"/>
  <c r="F162" i="192"/>
  <c r="E162" i="192"/>
  <c r="D162" i="192"/>
  <c r="U161" i="192"/>
  <c r="T161" i="192"/>
  <c r="S161" i="192"/>
  <c r="R161" i="192"/>
  <c r="Q161" i="192"/>
  <c r="P161" i="192"/>
  <c r="O161" i="192"/>
  <c r="N161" i="192"/>
  <c r="M161" i="192"/>
  <c r="L161" i="192"/>
  <c r="K161" i="192"/>
  <c r="J161" i="192"/>
  <c r="I161" i="192"/>
  <c r="H161" i="192"/>
  <c r="G161" i="192"/>
  <c r="F161" i="192"/>
  <c r="E161" i="192"/>
  <c r="D161" i="192"/>
  <c r="U160" i="192"/>
  <c r="T160" i="192"/>
  <c r="S160" i="192"/>
  <c r="R160" i="192"/>
  <c r="Q160" i="192"/>
  <c r="P160" i="192"/>
  <c r="O160" i="192"/>
  <c r="N160" i="192"/>
  <c r="M160" i="192"/>
  <c r="L160" i="192"/>
  <c r="K160" i="192"/>
  <c r="J160" i="192"/>
  <c r="I160" i="192"/>
  <c r="H160" i="192"/>
  <c r="G160" i="192"/>
  <c r="F160" i="192"/>
  <c r="E160" i="192"/>
  <c r="D160" i="192"/>
  <c r="U154" i="192"/>
  <c r="T154" i="192"/>
  <c r="S154" i="192"/>
  <c r="R154" i="192"/>
  <c r="Q154" i="192"/>
  <c r="P154" i="192"/>
  <c r="O154" i="192"/>
  <c r="N154" i="192"/>
  <c r="M154" i="192"/>
  <c r="L154" i="192"/>
  <c r="K154" i="192"/>
  <c r="J154" i="192"/>
  <c r="I154" i="192"/>
  <c r="H154" i="192"/>
  <c r="G154" i="192"/>
  <c r="F154" i="192"/>
  <c r="E154" i="192"/>
  <c r="D154" i="192"/>
  <c r="U153" i="192"/>
  <c r="T153" i="192"/>
  <c r="S153" i="192"/>
  <c r="R153" i="192"/>
  <c r="Q153" i="192"/>
  <c r="P153" i="192"/>
  <c r="O153" i="192"/>
  <c r="N153" i="192"/>
  <c r="M153" i="192"/>
  <c r="L153" i="192"/>
  <c r="K153" i="192"/>
  <c r="J153" i="192"/>
  <c r="I153" i="192"/>
  <c r="H153" i="192"/>
  <c r="G153" i="192"/>
  <c r="F153" i="192"/>
  <c r="E153" i="192"/>
  <c r="D153" i="192"/>
  <c r="U152" i="192"/>
  <c r="T152" i="192"/>
  <c r="S152" i="192"/>
  <c r="R152" i="192"/>
  <c r="Q152" i="192"/>
  <c r="P152" i="192"/>
  <c r="O152" i="192"/>
  <c r="N152" i="192"/>
  <c r="M152" i="192"/>
  <c r="L152" i="192"/>
  <c r="K152" i="192"/>
  <c r="J152" i="192"/>
  <c r="I152" i="192"/>
  <c r="H152" i="192"/>
  <c r="G152" i="192"/>
  <c r="F152" i="192"/>
  <c r="E152" i="192"/>
  <c r="D152" i="192"/>
  <c r="U151" i="192"/>
  <c r="T151" i="192"/>
  <c r="S151" i="192"/>
  <c r="R151" i="192"/>
  <c r="Q151" i="192"/>
  <c r="P151" i="192"/>
  <c r="O151" i="192"/>
  <c r="N151" i="192"/>
  <c r="M151" i="192"/>
  <c r="L151" i="192"/>
  <c r="K151" i="192"/>
  <c r="J151" i="192"/>
  <c r="I151" i="192"/>
  <c r="H151" i="192"/>
  <c r="G151" i="192"/>
  <c r="F151" i="192"/>
  <c r="E151" i="192"/>
  <c r="D151" i="192"/>
  <c r="U150" i="192"/>
  <c r="T150" i="192"/>
  <c r="S150" i="192"/>
  <c r="R150" i="192"/>
  <c r="Q150" i="192"/>
  <c r="P150" i="192"/>
  <c r="O150" i="192"/>
  <c r="N150" i="192"/>
  <c r="M150" i="192"/>
  <c r="L150" i="192"/>
  <c r="K150" i="192"/>
  <c r="J150" i="192"/>
  <c r="I150" i="192"/>
  <c r="H150" i="192"/>
  <c r="G150" i="192"/>
  <c r="F150" i="192"/>
  <c r="E150" i="192"/>
  <c r="D150" i="192"/>
  <c r="U149" i="192"/>
  <c r="T149" i="192"/>
  <c r="S149" i="192"/>
  <c r="R149" i="192"/>
  <c r="Q149" i="192"/>
  <c r="P149" i="192"/>
  <c r="O149" i="192"/>
  <c r="N149" i="192"/>
  <c r="M149" i="192"/>
  <c r="L149" i="192"/>
  <c r="K149" i="192"/>
  <c r="J149" i="192"/>
  <c r="I149" i="192"/>
  <c r="H149" i="192"/>
  <c r="G149" i="192"/>
  <c r="F149" i="192"/>
  <c r="E149" i="192"/>
  <c r="D149" i="192"/>
  <c r="U148" i="192"/>
  <c r="T148" i="192"/>
  <c r="S148" i="192"/>
  <c r="R148" i="192"/>
  <c r="Q148" i="192"/>
  <c r="P148" i="192"/>
  <c r="O148" i="192"/>
  <c r="N148" i="192"/>
  <c r="M148" i="192"/>
  <c r="L148" i="192"/>
  <c r="K148" i="192"/>
  <c r="J148" i="192"/>
  <c r="I148" i="192"/>
  <c r="H148" i="192"/>
  <c r="G148" i="192"/>
  <c r="F148" i="192"/>
  <c r="E148" i="192"/>
  <c r="D148" i="192"/>
  <c r="U147" i="192"/>
  <c r="T147" i="192"/>
  <c r="S147" i="192"/>
  <c r="R147" i="192"/>
  <c r="Q147" i="192"/>
  <c r="P147" i="192"/>
  <c r="O147" i="192"/>
  <c r="N147" i="192"/>
  <c r="M147" i="192"/>
  <c r="L147" i="192"/>
  <c r="K147" i="192"/>
  <c r="J147" i="192"/>
  <c r="I147" i="192"/>
  <c r="H147" i="192"/>
  <c r="G147" i="192"/>
  <c r="F147" i="192"/>
  <c r="E147" i="192"/>
  <c r="D147" i="192"/>
  <c r="U146" i="192"/>
  <c r="T146" i="192"/>
  <c r="S146" i="192"/>
  <c r="R146" i="192"/>
  <c r="Q146" i="192"/>
  <c r="P146" i="192"/>
  <c r="O146" i="192"/>
  <c r="N146" i="192"/>
  <c r="M146" i="192"/>
  <c r="L146" i="192"/>
  <c r="K146" i="192"/>
  <c r="J146" i="192"/>
  <c r="I146" i="192"/>
  <c r="H146" i="192"/>
  <c r="G146" i="192"/>
  <c r="F146" i="192"/>
  <c r="E146" i="192"/>
  <c r="D146" i="192"/>
  <c r="U145" i="192"/>
  <c r="T145" i="192"/>
  <c r="S145" i="192"/>
  <c r="R145" i="192"/>
  <c r="Q145" i="192"/>
  <c r="P145" i="192"/>
  <c r="O145" i="192"/>
  <c r="N145" i="192"/>
  <c r="M145" i="192"/>
  <c r="L145" i="192"/>
  <c r="K145" i="192"/>
  <c r="J145" i="192"/>
  <c r="I145" i="192"/>
  <c r="H145" i="192"/>
  <c r="G145" i="192"/>
  <c r="F145" i="192"/>
  <c r="E145" i="192"/>
  <c r="D145" i="192"/>
  <c r="P144" i="192"/>
  <c r="U143" i="192"/>
  <c r="T143" i="192"/>
  <c r="S143" i="192"/>
  <c r="R143" i="192"/>
  <c r="Q143" i="192"/>
  <c r="P143" i="192"/>
  <c r="O143" i="192"/>
  <c r="N143" i="192"/>
  <c r="M143" i="192"/>
  <c r="L143" i="192"/>
  <c r="K143" i="192"/>
  <c r="J143" i="192"/>
  <c r="I143" i="192"/>
  <c r="H143" i="192"/>
  <c r="G143" i="192"/>
  <c r="F143" i="192"/>
  <c r="E143" i="192"/>
  <c r="D143" i="192"/>
  <c r="U142" i="192"/>
  <c r="T142" i="192"/>
  <c r="S142" i="192"/>
  <c r="R142" i="192"/>
  <c r="Q142" i="192"/>
  <c r="P142" i="192"/>
  <c r="O142" i="192"/>
  <c r="N142" i="192"/>
  <c r="M142" i="192"/>
  <c r="L142" i="192"/>
  <c r="K142" i="192"/>
  <c r="J142" i="192"/>
  <c r="I142" i="192"/>
  <c r="H142" i="192"/>
  <c r="G142" i="192"/>
  <c r="F142" i="192"/>
  <c r="E142" i="192"/>
  <c r="D142" i="192"/>
  <c r="U141" i="192"/>
  <c r="T141" i="192"/>
  <c r="S141" i="192"/>
  <c r="R141" i="192"/>
  <c r="Q141" i="192"/>
  <c r="P141" i="192"/>
  <c r="O141" i="192"/>
  <c r="N141" i="192"/>
  <c r="M141" i="192"/>
  <c r="L141" i="192"/>
  <c r="K141" i="192"/>
  <c r="J141" i="192"/>
  <c r="I141" i="192"/>
  <c r="H141" i="192"/>
  <c r="G141" i="192"/>
  <c r="F141" i="192"/>
  <c r="E141" i="192"/>
  <c r="D141" i="192"/>
  <c r="U140" i="192"/>
  <c r="T140" i="192"/>
  <c r="S140" i="192"/>
  <c r="R140" i="192"/>
  <c r="Q140" i="192"/>
  <c r="P140" i="192"/>
  <c r="O140" i="192"/>
  <c r="N140" i="192"/>
  <c r="M140" i="192"/>
  <c r="L140" i="192"/>
  <c r="K140" i="192"/>
  <c r="J140" i="192"/>
  <c r="I140" i="192"/>
  <c r="H140" i="192"/>
  <c r="G140" i="192"/>
  <c r="F140" i="192"/>
  <c r="E140" i="192"/>
  <c r="D140" i="192"/>
  <c r="U139" i="192"/>
  <c r="T139" i="192"/>
  <c r="S139" i="192"/>
  <c r="R139" i="192"/>
  <c r="Q139" i="192"/>
  <c r="P139" i="192"/>
  <c r="O139" i="192"/>
  <c r="N139" i="192"/>
  <c r="M139" i="192"/>
  <c r="L139" i="192"/>
  <c r="K139" i="192"/>
  <c r="J139" i="192"/>
  <c r="I139" i="192"/>
  <c r="H139" i="192"/>
  <c r="G139" i="192"/>
  <c r="F139" i="192"/>
  <c r="E139" i="192"/>
  <c r="D139" i="192"/>
  <c r="U138" i="192"/>
  <c r="T138" i="192"/>
  <c r="S138" i="192"/>
  <c r="R138" i="192"/>
  <c r="Q138" i="192"/>
  <c r="P138" i="192"/>
  <c r="O138" i="192"/>
  <c r="N138" i="192"/>
  <c r="M138" i="192"/>
  <c r="L138" i="192"/>
  <c r="K138" i="192"/>
  <c r="J138" i="192"/>
  <c r="I138" i="192"/>
  <c r="H138" i="192"/>
  <c r="G138" i="192"/>
  <c r="F138" i="192"/>
  <c r="E138" i="192"/>
  <c r="D138" i="192"/>
  <c r="U137" i="192"/>
  <c r="T137" i="192"/>
  <c r="S137" i="192"/>
  <c r="R137" i="192"/>
  <c r="Q137" i="192"/>
  <c r="P137" i="192"/>
  <c r="O137" i="192"/>
  <c r="N137" i="192"/>
  <c r="M137" i="192"/>
  <c r="L137" i="192"/>
  <c r="K137" i="192"/>
  <c r="J137" i="192"/>
  <c r="I137" i="192"/>
  <c r="H137" i="192"/>
  <c r="G137" i="192"/>
  <c r="F137" i="192"/>
  <c r="E137" i="192"/>
  <c r="D137" i="192"/>
  <c r="U136" i="192"/>
  <c r="T136" i="192"/>
  <c r="S136" i="192"/>
  <c r="R136" i="192"/>
  <c r="Q136" i="192"/>
  <c r="P136" i="192"/>
  <c r="O136" i="192"/>
  <c r="N136" i="192"/>
  <c r="M136" i="192"/>
  <c r="L136" i="192"/>
  <c r="K136" i="192"/>
  <c r="J136" i="192"/>
  <c r="I136" i="192"/>
  <c r="H136" i="192"/>
  <c r="G136" i="192"/>
  <c r="F136" i="192"/>
  <c r="E136" i="192"/>
  <c r="D136" i="192"/>
  <c r="U135" i="192"/>
  <c r="T135" i="192"/>
  <c r="S135" i="192"/>
  <c r="R135" i="192"/>
  <c r="Q135" i="192"/>
  <c r="P135" i="192"/>
  <c r="O135" i="192"/>
  <c r="N135" i="192"/>
  <c r="M135" i="192"/>
  <c r="L135" i="192"/>
  <c r="K135" i="192"/>
  <c r="J135" i="192"/>
  <c r="I135" i="192"/>
  <c r="H135" i="192"/>
  <c r="G135" i="192"/>
  <c r="F135" i="192"/>
  <c r="E135" i="192"/>
  <c r="D135" i="192"/>
  <c r="U134" i="192"/>
  <c r="T134" i="192"/>
  <c r="S134" i="192"/>
  <c r="R134" i="192"/>
  <c r="Q134" i="192"/>
  <c r="P134" i="192"/>
  <c r="O134" i="192"/>
  <c r="N134" i="192"/>
  <c r="M134" i="192"/>
  <c r="L134" i="192"/>
  <c r="K134" i="192"/>
  <c r="J134" i="192"/>
  <c r="I134" i="192"/>
  <c r="H134" i="192"/>
  <c r="G134" i="192"/>
  <c r="F134" i="192"/>
  <c r="E134" i="192"/>
  <c r="D134" i="192"/>
  <c r="U133" i="192"/>
  <c r="T133" i="192"/>
  <c r="S133" i="192"/>
  <c r="R133" i="192"/>
  <c r="Q133" i="192"/>
  <c r="P133" i="192"/>
  <c r="O133" i="192"/>
  <c r="N133" i="192"/>
  <c r="M133" i="192"/>
  <c r="L133" i="192"/>
  <c r="K133" i="192"/>
  <c r="J133" i="192"/>
  <c r="I133" i="192"/>
  <c r="H133" i="192"/>
  <c r="G133" i="192"/>
  <c r="F133" i="192"/>
  <c r="E133" i="192"/>
  <c r="D133" i="192"/>
  <c r="U132" i="192"/>
  <c r="T132" i="192"/>
  <c r="S132" i="192"/>
  <c r="R132" i="192"/>
  <c r="Q132" i="192"/>
  <c r="P132" i="192"/>
  <c r="O132" i="192"/>
  <c r="N132" i="192"/>
  <c r="M132" i="192"/>
  <c r="L132" i="192"/>
  <c r="K132" i="192"/>
  <c r="J132" i="192"/>
  <c r="I132" i="192"/>
  <c r="H132" i="192"/>
  <c r="G132" i="192"/>
  <c r="F132" i="192"/>
  <c r="E132" i="192"/>
  <c r="D132" i="192"/>
  <c r="U131" i="192"/>
  <c r="T131" i="192"/>
  <c r="S131" i="192"/>
  <c r="R131" i="192"/>
  <c r="Q131" i="192"/>
  <c r="P131" i="192"/>
  <c r="O131" i="192"/>
  <c r="N131" i="192"/>
  <c r="M131" i="192"/>
  <c r="L131" i="192"/>
  <c r="K131" i="192"/>
  <c r="J131" i="192"/>
  <c r="I131" i="192"/>
  <c r="H131" i="192"/>
  <c r="G131" i="192"/>
  <c r="F131" i="192"/>
  <c r="E131" i="192"/>
  <c r="D131" i="192"/>
  <c r="P130" i="192"/>
  <c r="U129" i="192"/>
  <c r="T129" i="192"/>
  <c r="S129" i="192"/>
  <c r="R129" i="192"/>
  <c r="Q129" i="192"/>
  <c r="P129" i="192"/>
  <c r="O129" i="192"/>
  <c r="N129" i="192"/>
  <c r="M129" i="192"/>
  <c r="L129" i="192"/>
  <c r="K129" i="192"/>
  <c r="J129" i="192"/>
  <c r="I129" i="192"/>
  <c r="H129" i="192"/>
  <c r="G129" i="192"/>
  <c r="F129" i="192"/>
  <c r="E129" i="192"/>
  <c r="D129" i="192"/>
  <c r="U128" i="192"/>
  <c r="T128" i="192"/>
  <c r="S128" i="192"/>
  <c r="R128" i="192"/>
  <c r="Q128" i="192"/>
  <c r="P128" i="192"/>
  <c r="O128" i="192"/>
  <c r="N128" i="192"/>
  <c r="M128" i="192"/>
  <c r="L128" i="192"/>
  <c r="K128" i="192"/>
  <c r="J128" i="192"/>
  <c r="I128" i="192"/>
  <c r="H128" i="192"/>
  <c r="G128" i="192"/>
  <c r="F128" i="192"/>
  <c r="E128" i="192"/>
  <c r="D128" i="192"/>
  <c r="U127" i="192"/>
  <c r="T127" i="192"/>
  <c r="S127" i="192"/>
  <c r="R127" i="192"/>
  <c r="Q127" i="192"/>
  <c r="P127" i="192"/>
  <c r="O127" i="192"/>
  <c r="N127" i="192"/>
  <c r="M127" i="192"/>
  <c r="L127" i="192"/>
  <c r="K127" i="192"/>
  <c r="J127" i="192"/>
  <c r="I127" i="192"/>
  <c r="H127" i="192"/>
  <c r="G127" i="192"/>
  <c r="F127" i="192"/>
  <c r="E127" i="192"/>
  <c r="D127" i="192"/>
  <c r="U126" i="192"/>
  <c r="T126" i="192"/>
  <c r="S126" i="192"/>
  <c r="R126" i="192"/>
  <c r="Q126" i="192"/>
  <c r="P126" i="192"/>
  <c r="O126" i="192"/>
  <c r="N126" i="192"/>
  <c r="M126" i="192"/>
  <c r="L126" i="192"/>
  <c r="K126" i="192"/>
  <c r="J126" i="192"/>
  <c r="I126" i="192"/>
  <c r="H126" i="192"/>
  <c r="G126" i="192"/>
  <c r="F126" i="192"/>
  <c r="E126" i="192"/>
  <c r="D126" i="192"/>
  <c r="U125" i="192"/>
  <c r="T125" i="192"/>
  <c r="S125" i="192"/>
  <c r="R125" i="192"/>
  <c r="Q125" i="192"/>
  <c r="P125" i="192"/>
  <c r="O125" i="192"/>
  <c r="N125" i="192"/>
  <c r="M125" i="192"/>
  <c r="L125" i="192"/>
  <c r="K125" i="192"/>
  <c r="J125" i="192"/>
  <c r="I125" i="192"/>
  <c r="H125" i="192"/>
  <c r="G125" i="192"/>
  <c r="F125" i="192"/>
  <c r="E125" i="192"/>
  <c r="D125" i="192"/>
  <c r="U124" i="192"/>
  <c r="T124" i="192"/>
  <c r="S124" i="192"/>
  <c r="R124" i="192"/>
  <c r="Q124" i="192"/>
  <c r="P124" i="192"/>
  <c r="O124" i="192"/>
  <c r="N124" i="192"/>
  <c r="M124" i="192"/>
  <c r="L124" i="192"/>
  <c r="K124" i="192"/>
  <c r="J124" i="192"/>
  <c r="I124" i="192"/>
  <c r="H124" i="192"/>
  <c r="G124" i="192"/>
  <c r="F124" i="192"/>
  <c r="E124" i="192"/>
  <c r="D124" i="192"/>
  <c r="U123" i="192"/>
  <c r="T123" i="192"/>
  <c r="S123" i="192"/>
  <c r="R123" i="192"/>
  <c r="Q123" i="192"/>
  <c r="P123" i="192"/>
  <c r="O123" i="192"/>
  <c r="N123" i="192"/>
  <c r="M123" i="192"/>
  <c r="L123" i="192"/>
  <c r="K123" i="192"/>
  <c r="J123" i="192"/>
  <c r="I123" i="192"/>
  <c r="H123" i="192"/>
  <c r="G123" i="192"/>
  <c r="F123" i="192"/>
  <c r="E123" i="192"/>
  <c r="D123" i="192"/>
  <c r="U117" i="192"/>
  <c r="T117" i="192"/>
  <c r="S117" i="192"/>
  <c r="R117" i="192"/>
  <c r="Q117" i="192"/>
  <c r="P117" i="192"/>
  <c r="O117" i="192"/>
  <c r="N117" i="192"/>
  <c r="M117" i="192"/>
  <c r="L117" i="192"/>
  <c r="K117" i="192"/>
  <c r="J117" i="192"/>
  <c r="I117" i="192"/>
  <c r="H117" i="192"/>
  <c r="G117" i="192"/>
  <c r="F117" i="192"/>
  <c r="E117" i="192"/>
  <c r="D117" i="192"/>
  <c r="U116" i="192"/>
  <c r="T116" i="192"/>
  <c r="S116" i="192"/>
  <c r="R116" i="192"/>
  <c r="Q116" i="192"/>
  <c r="P116" i="192"/>
  <c r="O116" i="192"/>
  <c r="N116" i="192"/>
  <c r="M116" i="192"/>
  <c r="L116" i="192"/>
  <c r="K116" i="192"/>
  <c r="J116" i="192"/>
  <c r="I116" i="192"/>
  <c r="H116" i="192"/>
  <c r="G116" i="192"/>
  <c r="F116" i="192"/>
  <c r="E116" i="192"/>
  <c r="D116" i="192"/>
  <c r="U115" i="192"/>
  <c r="T115" i="192"/>
  <c r="S115" i="192"/>
  <c r="R115" i="192"/>
  <c r="Q115" i="192"/>
  <c r="P115" i="192"/>
  <c r="O115" i="192"/>
  <c r="N115" i="192"/>
  <c r="M115" i="192"/>
  <c r="L115" i="192"/>
  <c r="K115" i="192"/>
  <c r="J115" i="192"/>
  <c r="I115" i="192"/>
  <c r="H115" i="192"/>
  <c r="G115" i="192"/>
  <c r="F115" i="192"/>
  <c r="E115" i="192"/>
  <c r="D115" i="192"/>
  <c r="U114" i="192"/>
  <c r="T114" i="192"/>
  <c r="S114" i="192"/>
  <c r="R114" i="192"/>
  <c r="Q114" i="192"/>
  <c r="P114" i="192"/>
  <c r="O114" i="192"/>
  <c r="N114" i="192"/>
  <c r="M114" i="192"/>
  <c r="L114" i="192"/>
  <c r="K114" i="192"/>
  <c r="J114" i="192"/>
  <c r="I114" i="192"/>
  <c r="H114" i="192"/>
  <c r="G114" i="192"/>
  <c r="F114" i="192"/>
  <c r="E114" i="192"/>
  <c r="D114" i="192"/>
  <c r="U113" i="192"/>
  <c r="T113" i="192"/>
  <c r="S113" i="192"/>
  <c r="R113" i="192"/>
  <c r="Q113" i="192"/>
  <c r="P113" i="192"/>
  <c r="O113" i="192"/>
  <c r="N113" i="192"/>
  <c r="M113" i="192"/>
  <c r="L113" i="192"/>
  <c r="K113" i="192"/>
  <c r="J113" i="192"/>
  <c r="I113" i="192"/>
  <c r="H113" i="192"/>
  <c r="G113" i="192"/>
  <c r="F113" i="192"/>
  <c r="E113" i="192"/>
  <c r="D113" i="192"/>
  <c r="U112" i="192"/>
  <c r="T112" i="192"/>
  <c r="S112" i="192"/>
  <c r="R112" i="192"/>
  <c r="Q112" i="192"/>
  <c r="P112" i="192"/>
  <c r="O112" i="192"/>
  <c r="N112" i="192"/>
  <c r="M112" i="192"/>
  <c r="L112" i="192"/>
  <c r="K112" i="192"/>
  <c r="J112" i="192"/>
  <c r="I112" i="192"/>
  <c r="H112" i="192"/>
  <c r="G112" i="192"/>
  <c r="F112" i="192"/>
  <c r="E112" i="192"/>
  <c r="D112" i="192"/>
  <c r="U111" i="192"/>
  <c r="T111" i="192"/>
  <c r="S111" i="192"/>
  <c r="R111" i="192"/>
  <c r="Q111" i="192"/>
  <c r="P111" i="192"/>
  <c r="O111" i="192"/>
  <c r="N111" i="192"/>
  <c r="M111" i="192"/>
  <c r="L111" i="192"/>
  <c r="K111" i="192"/>
  <c r="J111" i="192"/>
  <c r="I111" i="192"/>
  <c r="H111" i="192"/>
  <c r="G111" i="192"/>
  <c r="F111" i="192"/>
  <c r="E111" i="192"/>
  <c r="D111" i="192"/>
  <c r="U110" i="192"/>
  <c r="T110" i="192"/>
  <c r="S110" i="192"/>
  <c r="R110" i="192"/>
  <c r="Q110" i="192"/>
  <c r="P110" i="192"/>
  <c r="O110" i="192"/>
  <c r="N110" i="192"/>
  <c r="M110" i="192"/>
  <c r="L110" i="192"/>
  <c r="K110" i="192"/>
  <c r="J110" i="192"/>
  <c r="I110" i="192"/>
  <c r="H110" i="192"/>
  <c r="G110" i="192"/>
  <c r="F110" i="192"/>
  <c r="E110" i="192"/>
  <c r="D110" i="192"/>
  <c r="U109" i="192"/>
  <c r="T109" i="192"/>
  <c r="S109" i="192"/>
  <c r="R109" i="192"/>
  <c r="Q109" i="192"/>
  <c r="P109" i="192"/>
  <c r="O109" i="192"/>
  <c r="N109" i="192"/>
  <c r="M109" i="192"/>
  <c r="L109" i="192"/>
  <c r="K109" i="192"/>
  <c r="J109" i="192"/>
  <c r="I109" i="192"/>
  <c r="H109" i="192"/>
  <c r="G109" i="192"/>
  <c r="F109" i="192"/>
  <c r="E109" i="192"/>
  <c r="D109" i="192"/>
  <c r="U108" i="192"/>
  <c r="T108" i="192"/>
  <c r="S108" i="192"/>
  <c r="R108" i="192"/>
  <c r="Q108" i="192"/>
  <c r="P108" i="192"/>
  <c r="O108" i="192"/>
  <c r="N108" i="192"/>
  <c r="M108" i="192"/>
  <c r="L108" i="192"/>
  <c r="K108" i="192"/>
  <c r="J108" i="192"/>
  <c r="I108" i="192"/>
  <c r="H108" i="192"/>
  <c r="G108" i="192"/>
  <c r="F108" i="192"/>
  <c r="E108" i="192"/>
  <c r="D108" i="192"/>
  <c r="P107" i="192"/>
  <c r="U106" i="192"/>
  <c r="T106" i="192"/>
  <c r="S106" i="192"/>
  <c r="R106" i="192"/>
  <c r="Q106" i="192"/>
  <c r="P106" i="192"/>
  <c r="O106" i="192"/>
  <c r="N106" i="192"/>
  <c r="M106" i="192"/>
  <c r="L106" i="192"/>
  <c r="K106" i="192"/>
  <c r="J106" i="192"/>
  <c r="I106" i="192"/>
  <c r="H106" i="192"/>
  <c r="G106" i="192"/>
  <c r="F106" i="192"/>
  <c r="E106" i="192"/>
  <c r="D106" i="192"/>
  <c r="U105" i="192"/>
  <c r="T105" i="192"/>
  <c r="S105" i="192"/>
  <c r="R105" i="192"/>
  <c r="Q105" i="192"/>
  <c r="P105" i="192"/>
  <c r="O105" i="192"/>
  <c r="N105" i="192"/>
  <c r="M105" i="192"/>
  <c r="L105" i="192"/>
  <c r="K105" i="192"/>
  <c r="J105" i="192"/>
  <c r="I105" i="192"/>
  <c r="H105" i="192"/>
  <c r="G105" i="192"/>
  <c r="F105" i="192"/>
  <c r="E105" i="192"/>
  <c r="D105" i="192"/>
  <c r="U104" i="192"/>
  <c r="T104" i="192"/>
  <c r="S104" i="192"/>
  <c r="R104" i="192"/>
  <c r="Q104" i="192"/>
  <c r="P104" i="192"/>
  <c r="O104" i="192"/>
  <c r="N104" i="192"/>
  <c r="M104" i="192"/>
  <c r="L104" i="192"/>
  <c r="K104" i="192"/>
  <c r="J104" i="192"/>
  <c r="I104" i="192"/>
  <c r="H104" i="192"/>
  <c r="G104" i="192"/>
  <c r="F104" i="192"/>
  <c r="E104" i="192"/>
  <c r="D104" i="192"/>
  <c r="U103" i="192"/>
  <c r="T103" i="192"/>
  <c r="S103" i="192"/>
  <c r="R103" i="192"/>
  <c r="Q103" i="192"/>
  <c r="P103" i="192"/>
  <c r="O103" i="192"/>
  <c r="N103" i="192"/>
  <c r="M103" i="192"/>
  <c r="L103" i="192"/>
  <c r="K103" i="192"/>
  <c r="J103" i="192"/>
  <c r="I103" i="192"/>
  <c r="H103" i="192"/>
  <c r="G103" i="192"/>
  <c r="F103" i="192"/>
  <c r="E103" i="192"/>
  <c r="D103" i="192"/>
  <c r="U102" i="192"/>
  <c r="T102" i="192"/>
  <c r="S102" i="192"/>
  <c r="R102" i="192"/>
  <c r="Q102" i="192"/>
  <c r="P102" i="192"/>
  <c r="O102" i="192"/>
  <c r="N102" i="192"/>
  <c r="M102" i="192"/>
  <c r="L102" i="192"/>
  <c r="K102" i="192"/>
  <c r="J102" i="192"/>
  <c r="I102" i="192"/>
  <c r="H102" i="192"/>
  <c r="G102" i="192"/>
  <c r="F102" i="192"/>
  <c r="E102" i="192"/>
  <c r="D102" i="192"/>
  <c r="U101" i="192"/>
  <c r="T101" i="192"/>
  <c r="S101" i="192"/>
  <c r="R101" i="192"/>
  <c r="Q101" i="192"/>
  <c r="P101" i="192"/>
  <c r="O101" i="192"/>
  <c r="N101" i="192"/>
  <c r="M101" i="192"/>
  <c r="L101" i="192"/>
  <c r="K101" i="192"/>
  <c r="J101" i="192"/>
  <c r="I101" i="192"/>
  <c r="H101" i="192"/>
  <c r="G101" i="192"/>
  <c r="F101" i="192"/>
  <c r="E101" i="192"/>
  <c r="D101" i="192"/>
  <c r="U100" i="192"/>
  <c r="T100" i="192"/>
  <c r="S100" i="192"/>
  <c r="R100" i="192"/>
  <c r="Q100" i="192"/>
  <c r="P100" i="192"/>
  <c r="O100" i="192"/>
  <c r="N100" i="192"/>
  <c r="M100" i="192"/>
  <c r="L100" i="192"/>
  <c r="K100" i="192"/>
  <c r="J100" i="192"/>
  <c r="I100" i="192"/>
  <c r="H100" i="192"/>
  <c r="G100" i="192"/>
  <c r="F100" i="192"/>
  <c r="E100" i="192"/>
  <c r="D100" i="192"/>
  <c r="U99" i="192"/>
  <c r="T99" i="192"/>
  <c r="S99" i="192"/>
  <c r="R99" i="192"/>
  <c r="Q99" i="192"/>
  <c r="P99" i="192"/>
  <c r="O99" i="192"/>
  <c r="N99" i="192"/>
  <c r="M99" i="192"/>
  <c r="L99" i="192"/>
  <c r="K99" i="192"/>
  <c r="J99" i="192"/>
  <c r="I99" i="192"/>
  <c r="H99" i="192"/>
  <c r="G99" i="192"/>
  <c r="F99" i="192"/>
  <c r="E99" i="192"/>
  <c r="D99" i="192"/>
  <c r="U98" i="192"/>
  <c r="T98" i="192"/>
  <c r="S98" i="192"/>
  <c r="R98" i="192"/>
  <c r="Q98" i="192"/>
  <c r="P98" i="192"/>
  <c r="O98" i="192"/>
  <c r="N98" i="192"/>
  <c r="M98" i="192"/>
  <c r="L98" i="192"/>
  <c r="K98" i="192"/>
  <c r="J98" i="192"/>
  <c r="I98" i="192"/>
  <c r="H98" i="192"/>
  <c r="G98" i="192"/>
  <c r="F98" i="192"/>
  <c r="E98" i="192"/>
  <c r="D98" i="192"/>
  <c r="U97" i="192"/>
  <c r="T97" i="192"/>
  <c r="S97" i="192"/>
  <c r="R97" i="192"/>
  <c r="Q97" i="192"/>
  <c r="P97" i="192"/>
  <c r="O97" i="192"/>
  <c r="N97" i="192"/>
  <c r="M97" i="192"/>
  <c r="L97" i="192"/>
  <c r="K97" i="192"/>
  <c r="J97" i="192"/>
  <c r="I97" i="192"/>
  <c r="H97" i="192"/>
  <c r="G97" i="192"/>
  <c r="F97" i="192"/>
  <c r="E97" i="192"/>
  <c r="D97" i="192"/>
  <c r="U96" i="192"/>
  <c r="T96" i="192"/>
  <c r="S96" i="192"/>
  <c r="R96" i="192"/>
  <c r="Q96" i="192"/>
  <c r="P96" i="192"/>
  <c r="O96" i="192"/>
  <c r="N96" i="192"/>
  <c r="M96" i="192"/>
  <c r="L96" i="192"/>
  <c r="K96" i="192"/>
  <c r="J96" i="192"/>
  <c r="I96" i="192"/>
  <c r="H96" i="192"/>
  <c r="G96" i="192"/>
  <c r="F96" i="192"/>
  <c r="E96" i="192"/>
  <c r="D96" i="192"/>
  <c r="U95" i="192"/>
  <c r="T95" i="192"/>
  <c r="S95" i="192"/>
  <c r="R95" i="192"/>
  <c r="Q95" i="192"/>
  <c r="P95" i="192"/>
  <c r="O95" i="192"/>
  <c r="N95" i="192"/>
  <c r="M95" i="192"/>
  <c r="L95" i="192"/>
  <c r="K95" i="192"/>
  <c r="J95" i="192"/>
  <c r="I95" i="192"/>
  <c r="H95" i="192"/>
  <c r="G95" i="192"/>
  <c r="F95" i="192"/>
  <c r="E95" i="192"/>
  <c r="D95" i="192"/>
  <c r="U94" i="192"/>
  <c r="T94" i="192"/>
  <c r="S94" i="192"/>
  <c r="R94" i="192"/>
  <c r="Q94" i="192"/>
  <c r="P94" i="192"/>
  <c r="O94" i="192"/>
  <c r="N94" i="192"/>
  <c r="M94" i="192"/>
  <c r="L94" i="192"/>
  <c r="K94" i="192"/>
  <c r="J94" i="192"/>
  <c r="I94" i="192"/>
  <c r="H94" i="192"/>
  <c r="G94" i="192"/>
  <c r="F94" i="192"/>
  <c r="E94" i="192"/>
  <c r="D94" i="192"/>
  <c r="P93" i="192"/>
  <c r="U92" i="192"/>
  <c r="T92" i="192"/>
  <c r="S92" i="192"/>
  <c r="R92" i="192"/>
  <c r="Q92" i="192"/>
  <c r="P92" i="192"/>
  <c r="O92" i="192"/>
  <c r="N92" i="192"/>
  <c r="M92" i="192"/>
  <c r="L92" i="192"/>
  <c r="K92" i="192"/>
  <c r="J92" i="192"/>
  <c r="I92" i="192"/>
  <c r="H92" i="192"/>
  <c r="G92" i="192"/>
  <c r="F92" i="192"/>
  <c r="E92" i="192"/>
  <c r="D92" i="192"/>
  <c r="U91" i="192"/>
  <c r="T91" i="192"/>
  <c r="S91" i="192"/>
  <c r="R91" i="192"/>
  <c r="Q91" i="192"/>
  <c r="P91" i="192"/>
  <c r="O91" i="192"/>
  <c r="N91" i="192"/>
  <c r="M91" i="192"/>
  <c r="L91" i="192"/>
  <c r="K91" i="192"/>
  <c r="J91" i="192"/>
  <c r="I91" i="192"/>
  <c r="H91" i="192"/>
  <c r="G91" i="192"/>
  <c r="F91" i="192"/>
  <c r="E91" i="192"/>
  <c r="D91" i="192"/>
  <c r="U90" i="192"/>
  <c r="T90" i="192"/>
  <c r="S90" i="192"/>
  <c r="R90" i="192"/>
  <c r="Q90" i="192"/>
  <c r="P90" i="192"/>
  <c r="O90" i="192"/>
  <c r="N90" i="192"/>
  <c r="M90" i="192"/>
  <c r="L90" i="192"/>
  <c r="K90" i="192"/>
  <c r="J90" i="192"/>
  <c r="I90" i="192"/>
  <c r="H90" i="192"/>
  <c r="G90" i="192"/>
  <c r="F90" i="192"/>
  <c r="E90" i="192"/>
  <c r="D90" i="192"/>
  <c r="U89" i="192"/>
  <c r="T89" i="192"/>
  <c r="S89" i="192"/>
  <c r="R89" i="192"/>
  <c r="Q89" i="192"/>
  <c r="P89" i="192"/>
  <c r="O89" i="192"/>
  <c r="N89" i="192"/>
  <c r="M89" i="192"/>
  <c r="L89" i="192"/>
  <c r="K89" i="192"/>
  <c r="J89" i="192"/>
  <c r="I89" i="192"/>
  <c r="H89" i="192"/>
  <c r="G89" i="192"/>
  <c r="F89" i="192"/>
  <c r="E89" i="192"/>
  <c r="D89" i="192"/>
  <c r="U88" i="192"/>
  <c r="T88" i="192"/>
  <c r="S88" i="192"/>
  <c r="R88" i="192"/>
  <c r="Q88" i="192"/>
  <c r="P88" i="192"/>
  <c r="O88" i="192"/>
  <c r="N88" i="192"/>
  <c r="M88" i="192"/>
  <c r="L88" i="192"/>
  <c r="K88" i="192"/>
  <c r="J88" i="192"/>
  <c r="I88" i="192"/>
  <c r="H88" i="192"/>
  <c r="G88" i="192"/>
  <c r="F88" i="192"/>
  <c r="E88" i="192"/>
  <c r="D88" i="192"/>
  <c r="U87" i="192"/>
  <c r="T87" i="192"/>
  <c r="S87" i="192"/>
  <c r="R87" i="192"/>
  <c r="Q87" i="192"/>
  <c r="P87" i="192"/>
  <c r="O87" i="192"/>
  <c r="N87" i="192"/>
  <c r="M87" i="192"/>
  <c r="L87" i="192"/>
  <c r="K87" i="192"/>
  <c r="J87" i="192"/>
  <c r="I87" i="192"/>
  <c r="H87" i="192"/>
  <c r="G87" i="192"/>
  <c r="F87" i="192"/>
  <c r="E87" i="192"/>
  <c r="D87" i="192"/>
  <c r="U86" i="192"/>
  <c r="T86" i="192"/>
  <c r="S86" i="192"/>
  <c r="R86" i="192"/>
  <c r="Q86" i="192"/>
  <c r="P86" i="192"/>
  <c r="O86" i="192"/>
  <c r="N86" i="192"/>
  <c r="M86" i="192"/>
  <c r="L86" i="192"/>
  <c r="K86" i="192"/>
  <c r="J86" i="192"/>
  <c r="I86" i="192"/>
  <c r="H86" i="192"/>
  <c r="G86" i="192"/>
  <c r="F86" i="192"/>
  <c r="E86" i="192"/>
  <c r="D86" i="192"/>
  <c r="U80" i="192"/>
  <c r="T80" i="192"/>
  <c r="S80" i="192"/>
  <c r="R80" i="192"/>
  <c r="Q80" i="192"/>
  <c r="P80" i="192"/>
  <c r="O80" i="192"/>
  <c r="N80" i="192"/>
  <c r="M80" i="192"/>
  <c r="L80" i="192"/>
  <c r="K80" i="192"/>
  <c r="J80" i="192"/>
  <c r="I80" i="192"/>
  <c r="H80" i="192"/>
  <c r="G80" i="192"/>
  <c r="F80" i="192"/>
  <c r="E80" i="192"/>
  <c r="D80" i="192"/>
  <c r="U79" i="192"/>
  <c r="T79" i="192"/>
  <c r="S79" i="192"/>
  <c r="R79" i="192"/>
  <c r="Q79" i="192"/>
  <c r="P79" i="192"/>
  <c r="O79" i="192"/>
  <c r="N79" i="192"/>
  <c r="M79" i="192"/>
  <c r="L79" i="192"/>
  <c r="K79" i="192"/>
  <c r="J79" i="192"/>
  <c r="I79" i="192"/>
  <c r="H79" i="192"/>
  <c r="G79" i="192"/>
  <c r="F79" i="192"/>
  <c r="E79" i="192"/>
  <c r="D79" i="192"/>
  <c r="U78" i="192"/>
  <c r="T78" i="192"/>
  <c r="S78" i="192"/>
  <c r="R78" i="192"/>
  <c r="Q78" i="192"/>
  <c r="P78" i="192"/>
  <c r="O78" i="192"/>
  <c r="N78" i="192"/>
  <c r="M78" i="192"/>
  <c r="L78" i="192"/>
  <c r="K78" i="192"/>
  <c r="J78" i="192"/>
  <c r="I78" i="192"/>
  <c r="H78" i="192"/>
  <c r="G78" i="192"/>
  <c r="F78" i="192"/>
  <c r="E78" i="192"/>
  <c r="D78" i="192"/>
  <c r="U77" i="192"/>
  <c r="T77" i="192"/>
  <c r="S77" i="192"/>
  <c r="R77" i="192"/>
  <c r="Q77" i="192"/>
  <c r="P77" i="192"/>
  <c r="O77" i="192"/>
  <c r="N77" i="192"/>
  <c r="M77" i="192"/>
  <c r="L77" i="192"/>
  <c r="K77" i="192"/>
  <c r="J77" i="192"/>
  <c r="I77" i="192"/>
  <c r="H77" i="192"/>
  <c r="G77" i="192"/>
  <c r="F77" i="192"/>
  <c r="E77" i="192"/>
  <c r="D77" i="192"/>
  <c r="U76" i="192"/>
  <c r="T76" i="192"/>
  <c r="S76" i="192"/>
  <c r="R76" i="192"/>
  <c r="Q76" i="192"/>
  <c r="P76" i="192"/>
  <c r="O76" i="192"/>
  <c r="N76" i="192"/>
  <c r="M76" i="192"/>
  <c r="L76" i="192"/>
  <c r="K76" i="192"/>
  <c r="J76" i="192"/>
  <c r="I76" i="192"/>
  <c r="H76" i="192"/>
  <c r="G76" i="192"/>
  <c r="F76" i="192"/>
  <c r="E76" i="192"/>
  <c r="D76" i="192"/>
  <c r="U75" i="192"/>
  <c r="T75" i="192"/>
  <c r="S75" i="192"/>
  <c r="R75" i="192"/>
  <c r="Q75" i="192"/>
  <c r="P75" i="192"/>
  <c r="O75" i="192"/>
  <c r="N75" i="192"/>
  <c r="M75" i="192"/>
  <c r="L75" i="192"/>
  <c r="K75" i="192"/>
  <c r="J75" i="192"/>
  <c r="I75" i="192"/>
  <c r="H75" i="192"/>
  <c r="G75" i="192"/>
  <c r="F75" i="192"/>
  <c r="E75" i="192"/>
  <c r="D75" i="192"/>
  <c r="U74" i="192"/>
  <c r="T74" i="192"/>
  <c r="S74" i="192"/>
  <c r="R74" i="192"/>
  <c r="Q74" i="192"/>
  <c r="P74" i="192"/>
  <c r="O74" i="192"/>
  <c r="N74" i="192"/>
  <c r="M74" i="192"/>
  <c r="L74" i="192"/>
  <c r="K74" i="192"/>
  <c r="J74" i="192"/>
  <c r="I74" i="192"/>
  <c r="H74" i="192"/>
  <c r="G74" i="192"/>
  <c r="F74" i="192"/>
  <c r="E74" i="192"/>
  <c r="D74" i="192"/>
  <c r="U73" i="192"/>
  <c r="T73" i="192"/>
  <c r="S73" i="192"/>
  <c r="R73" i="192"/>
  <c r="Q73" i="192"/>
  <c r="P73" i="192"/>
  <c r="O73" i="192"/>
  <c r="N73" i="192"/>
  <c r="M73" i="192"/>
  <c r="L73" i="192"/>
  <c r="K73" i="192"/>
  <c r="J73" i="192"/>
  <c r="I73" i="192"/>
  <c r="H73" i="192"/>
  <c r="G73" i="192"/>
  <c r="F73" i="192"/>
  <c r="E73" i="192"/>
  <c r="D73" i="192"/>
  <c r="U72" i="192"/>
  <c r="T72" i="192"/>
  <c r="S72" i="192"/>
  <c r="R72" i="192"/>
  <c r="Q72" i="192"/>
  <c r="P72" i="192"/>
  <c r="O72" i="192"/>
  <c r="N72" i="192"/>
  <c r="M72" i="192"/>
  <c r="L72" i="192"/>
  <c r="K72" i="192"/>
  <c r="J72" i="192"/>
  <c r="I72" i="192"/>
  <c r="H72" i="192"/>
  <c r="G72" i="192"/>
  <c r="F72" i="192"/>
  <c r="E72" i="192"/>
  <c r="D72" i="192"/>
  <c r="U71" i="192"/>
  <c r="T71" i="192"/>
  <c r="S71" i="192"/>
  <c r="R71" i="192"/>
  <c r="Q71" i="192"/>
  <c r="P71" i="192"/>
  <c r="O71" i="192"/>
  <c r="N71" i="192"/>
  <c r="M71" i="192"/>
  <c r="L71" i="192"/>
  <c r="K71" i="192"/>
  <c r="J71" i="192"/>
  <c r="I71" i="192"/>
  <c r="H71" i="192"/>
  <c r="G71" i="192"/>
  <c r="F71" i="192"/>
  <c r="E71" i="192"/>
  <c r="D71" i="192"/>
  <c r="P70" i="192"/>
  <c r="U69" i="192"/>
  <c r="T69" i="192"/>
  <c r="S69" i="192"/>
  <c r="R69" i="192"/>
  <c r="Q69" i="192"/>
  <c r="P69" i="192"/>
  <c r="O69" i="192"/>
  <c r="N69" i="192"/>
  <c r="M69" i="192"/>
  <c r="L69" i="192"/>
  <c r="K69" i="192"/>
  <c r="J69" i="192"/>
  <c r="I69" i="192"/>
  <c r="H69" i="192"/>
  <c r="G69" i="192"/>
  <c r="F69" i="192"/>
  <c r="E69" i="192"/>
  <c r="D69" i="192"/>
  <c r="U68" i="192"/>
  <c r="T68" i="192"/>
  <c r="S68" i="192"/>
  <c r="R68" i="192"/>
  <c r="Q68" i="192"/>
  <c r="P68" i="192"/>
  <c r="O68" i="192"/>
  <c r="N68" i="192"/>
  <c r="M68" i="192"/>
  <c r="L68" i="192"/>
  <c r="K68" i="192"/>
  <c r="J68" i="192"/>
  <c r="I68" i="192"/>
  <c r="H68" i="192"/>
  <c r="G68" i="192"/>
  <c r="F68" i="192"/>
  <c r="E68" i="192"/>
  <c r="D68" i="192"/>
  <c r="U67" i="192"/>
  <c r="T67" i="192"/>
  <c r="S67" i="192"/>
  <c r="R67" i="192"/>
  <c r="Q67" i="192"/>
  <c r="P67" i="192"/>
  <c r="O67" i="192"/>
  <c r="N67" i="192"/>
  <c r="M67" i="192"/>
  <c r="L67" i="192"/>
  <c r="K67" i="192"/>
  <c r="J67" i="192"/>
  <c r="I67" i="192"/>
  <c r="H67" i="192"/>
  <c r="G67" i="192"/>
  <c r="F67" i="192"/>
  <c r="E67" i="192"/>
  <c r="D67" i="192"/>
  <c r="U66" i="192"/>
  <c r="T66" i="192"/>
  <c r="S66" i="192"/>
  <c r="R66" i="192"/>
  <c r="Q66" i="192"/>
  <c r="P66" i="192"/>
  <c r="O66" i="192"/>
  <c r="N66" i="192"/>
  <c r="M66" i="192"/>
  <c r="L66" i="192"/>
  <c r="K66" i="192"/>
  <c r="J66" i="192"/>
  <c r="I66" i="192"/>
  <c r="H66" i="192"/>
  <c r="G66" i="192"/>
  <c r="F66" i="192"/>
  <c r="E66" i="192"/>
  <c r="D66" i="192"/>
  <c r="U65" i="192"/>
  <c r="T65" i="192"/>
  <c r="S65" i="192"/>
  <c r="R65" i="192"/>
  <c r="Q65" i="192"/>
  <c r="P65" i="192"/>
  <c r="O65" i="192"/>
  <c r="N65" i="192"/>
  <c r="M65" i="192"/>
  <c r="L65" i="192"/>
  <c r="K65" i="192"/>
  <c r="J65" i="192"/>
  <c r="I65" i="192"/>
  <c r="H65" i="192"/>
  <c r="G65" i="192"/>
  <c r="F65" i="192"/>
  <c r="E65" i="192"/>
  <c r="D65" i="192"/>
  <c r="U64" i="192"/>
  <c r="T64" i="192"/>
  <c r="S64" i="192"/>
  <c r="R64" i="192"/>
  <c r="Q64" i="192"/>
  <c r="P64" i="192"/>
  <c r="O64" i="192"/>
  <c r="N64" i="192"/>
  <c r="M64" i="192"/>
  <c r="L64" i="192"/>
  <c r="K64" i="192"/>
  <c r="J64" i="192"/>
  <c r="I64" i="192"/>
  <c r="H64" i="192"/>
  <c r="G64" i="192"/>
  <c r="F64" i="192"/>
  <c r="E64" i="192"/>
  <c r="D64" i="192"/>
  <c r="U63" i="192"/>
  <c r="T63" i="192"/>
  <c r="S63" i="192"/>
  <c r="R63" i="192"/>
  <c r="Q63" i="192"/>
  <c r="P63" i="192"/>
  <c r="O63" i="192"/>
  <c r="N63" i="192"/>
  <c r="M63" i="192"/>
  <c r="L63" i="192"/>
  <c r="K63" i="192"/>
  <c r="J63" i="192"/>
  <c r="I63" i="192"/>
  <c r="H63" i="192"/>
  <c r="G63" i="192"/>
  <c r="F63" i="192"/>
  <c r="E63" i="192"/>
  <c r="D63" i="192"/>
  <c r="U62" i="192"/>
  <c r="T62" i="192"/>
  <c r="S62" i="192"/>
  <c r="R62" i="192"/>
  <c r="Q62" i="192"/>
  <c r="P62" i="192"/>
  <c r="O62" i="192"/>
  <c r="N62" i="192"/>
  <c r="M62" i="192"/>
  <c r="L62" i="192"/>
  <c r="K62" i="192"/>
  <c r="J62" i="192"/>
  <c r="I62" i="192"/>
  <c r="H62" i="192"/>
  <c r="G62" i="192"/>
  <c r="F62" i="192"/>
  <c r="E62" i="192"/>
  <c r="D62" i="192"/>
  <c r="U61" i="192"/>
  <c r="T61" i="192"/>
  <c r="S61" i="192"/>
  <c r="R61" i="192"/>
  <c r="Q61" i="192"/>
  <c r="P61" i="192"/>
  <c r="O61" i="192"/>
  <c r="N61" i="192"/>
  <c r="M61" i="192"/>
  <c r="L61" i="192"/>
  <c r="K61" i="192"/>
  <c r="J61" i="192"/>
  <c r="I61" i="192"/>
  <c r="H61" i="192"/>
  <c r="G61" i="192"/>
  <c r="F61" i="192"/>
  <c r="E61" i="192"/>
  <c r="D61" i="192"/>
  <c r="U60" i="192"/>
  <c r="T60" i="192"/>
  <c r="S60" i="192"/>
  <c r="R60" i="192"/>
  <c r="Q60" i="192"/>
  <c r="P60" i="192"/>
  <c r="O60" i="192"/>
  <c r="N60" i="192"/>
  <c r="M60" i="192"/>
  <c r="L60" i="192"/>
  <c r="K60" i="192"/>
  <c r="J60" i="192"/>
  <c r="I60" i="192"/>
  <c r="H60" i="192"/>
  <c r="G60" i="192"/>
  <c r="F60" i="192"/>
  <c r="E60" i="192"/>
  <c r="D60" i="192"/>
  <c r="U59" i="192"/>
  <c r="T59" i="192"/>
  <c r="S59" i="192"/>
  <c r="R59" i="192"/>
  <c r="Q59" i="192"/>
  <c r="P59" i="192"/>
  <c r="O59" i="192"/>
  <c r="N59" i="192"/>
  <c r="M59" i="192"/>
  <c r="L59" i="192"/>
  <c r="K59" i="192"/>
  <c r="J59" i="192"/>
  <c r="I59" i="192"/>
  <c r="H59" i="192"/>
  <c r="G59" i="192"/>
  <c r="F59" i="192"/>
  <c r="E59" i="192"/>
  <c r="D59" i="192"/>
  <c r="U58" i="192"/>
  <c r="T58" i="192"/>
  <c r="S58" i="192"/>
  <c r="R58" i="192"/>
  <c r="Q58" i="192"/>
  <c r="P58" i="192"/>
  <c r="O58" i="192"/>
  <c r="N58" i="192"/>
  <c r="M58" i="192"/>
  <c r="L58" i="192"/>
  <c r="K58" i="192"/>
  <c r="J58" i="192"/>
  <c r="I58" i="192"/>
  <c r="H58" i="192"/>
  <c r="G58" i="192"/>
  <c r="F58" i="192"/>
  <c r="E58" i="192"/>
  <c r="D58" i="192"/>
  <c r="U57" i="192"/>
  <c r="T57" i="192"/>
  <c r="S57" i="192"/>
  <c r="R57" i="192"/>
  <c r="Q57" i="192"/>
  <c r="P57" i="192"/>
  <c r="O57" i="192"/>
  <c r="N57" i="192"/>
  <c r="M57" i="192"/>
  <c r="L57" i="192"/>
  <c r="K57" i="192"/>
  <c r="J57" i="192"/>
  <c r="I57" i="192"/>
  <c r="H57" i="192"/>
  <c r="G57" i="192"/>
  <c r="F57" i="192"/>
  <c r="E57" i="192"/>
  <c r="D57" i="192"/>
  <c r="P56" i="192"/>
  <c r="U55" i="192"/>
  <c r="T55" i="192"/>
  <c r="S55" i="192"/>
  <c r="R55" i="192"/>
  <c r="Q55" i="192"/>
  <c r="P55" i="192"/>
  <c r="O55" i="192"/>
  <c r="N55" i="192"/>
  <c r="M55" i="192"/>
  <c r="L55" i="192"/>
  <c r="K55" i="192"/>
  <c r="J55" i="192"/>
  <c r="I55" i="192"/>
  <c r="H55" i="192"/>
  <c r="G55" i="192"/>
  <c r="F55" i="192"/>
  <c r="E55" i="192"/>
  <c r="D55" i="192"/>
  <c r="U54" i="192"/>
  <c r="T54" i="192"/>
  <c r="S54" i="192"/>
  <c r="R54" i="192"/>
  <c r="Q54" i="192"/>
  <c r="P54" i="192"/>
  <c r="O54" i="192"/>
  <c r="N54" i="192"/>
  <c r="M54" i="192"/>
  <c r="L54" i="192"/>
  <c r="K54" i="192"/>
  <c r="J54" i="192"/>
  <c r="I54" i="192"/>
  <c r="H54" i="192"/>
  <c r="G54" i="192"/>
  <c r="F54" i="192"/>
  <c r="E54" i="192"/>
  <c r="D54" i="192"/>
  <c r="U53" i="192"/>
  <c r="T53" i="192"/>
  <c r="S53" i="192"/>
  <c r="R53" i="192"/>
  <c r="Q53" i="192"/>
  <c r="P53" i="192"/>
  <c r="O53" i="192"/>
  <c r="N53" i="192"/>
  <c r="M53" i="192"/>
  <c r="L53" i="192"/>
  <c r="K53" i="192"/>
  <c r="J53" i="192"/>
  <c r="I53" i="192"/>
  <c r="H53" i="192"/>
  <c r="G53" i="192"/>
  <c r="F53" i="192"/>
  <c r="E53" i="192"/>
  <c r="D53" i="192"/>
  <c r="U52" i="192"/>
  <c r="T52" i="192"/>
  <c r="S52" i="192"/>
  <c r="R52" i="192"/>
  <c r="Q52" i="192"/>
  <c r="P52" i="192"/>
  <c r="O52" i="192"/>
  <c r="N52" i="192"/>
  <c r="M52" i="192"/>
  <c r="L52" i="192"/>
  <c r="K52" i="192"/>
  <c r="J52" i="192"/>
  <c r="I52" i="192"/>
  <c r="H52" i="192"/>
  <c r="G52" i="192"/>
  <c r="F52" i="192"/>
  <c r="E52" i="192"/>
  <c r="D52" i="192"/>
  <c r="U51" i="192"/>
  <c r="T51" i="192"/>
  <c r="S51" i="192"/>
  <c r="R51" i="192"/>
  <c r="Q51" i="192"/>
  <c r="P51" i="192"/>
  <c r="O51" i="192"/>
  <c r="N51" i="192"/>
  <c r="M51" i="192"/>
  <c r="L51" i="192"/>
  <c r="K51" i="192"/>
  <c r="J51" i="192"/>
  <c r="I51" i="192"/>
  <c r="H51" i="192"/>
  <c r="G51" i="192"/>
  <c r="F51" i="192"/>
  <c r="E51" i="192"/>
  <c r="D51" i="192"/>
  <c r="U50" i="192"/>
  <c r="T50" i="192"/>
  <c r="S50" i="192"/>
  <c r="R50" i="192"/>
  <c r="Q50" i="192"/>
  <c r="P50" i="192"/>
  <c r="O50" i="192"/>
  <c r="N50" i="192"/>
  <c r="M50" i="192"/>
  <c r="L50" i="192"/>
  <c r="K50" i="192"/>
  <c r="J50" i="192"/>
  <c r="I50" i="192"/>
  <c r="H50" i="192"/>
  <c r="G50" i="192"/>
  <c r="F50" i="192"/>
  <c r="E50" i="192"/>
  <c r="D50" i="192"/>
  <c r="U49" i="192"/>
  <c r="T49" i="192"/>
  <c r="S49" i="192"/>
  <c r="R49" i="192"/>
  <c r="Q49" i="192"/>
  <c r="P49" i="192"/>
  <c r="O49" i="192"/>
  <c r="N49" i="192"/>
  <c r="M49" i="192"/>
  <c r="L49" i="192"/>
  <c r="K49" i="192"/>
  <c r="J49" i="192"/>
  <c r="I49" i="192"/>
  <c r="H49" i="192"/>
  <c r="G49" i="192"/>
  <c r="F49" i="192"/>
  <c r="E49" i="192"/>
  <c r="D49" i="192"/>
  <c r="U43" i="192"/>
  <c r="T43" i="192"/>
  <c r="S43" i="192"/>
  <c r="R43" i="192"/>
  <c r="Q43" i="192"/>
  <c r="P43" i="192"/>
  <c r="O43" i="192"/>
  <c r="N43" i="192"/>
  <c r="M43" i="192"/>
  <c r="L43" i="192"/>
  <c r="K43" i="192"/>
  <c r="J43" i="192"/>
  <c r="I43" i="192"/>
  <c r="H43" i="192"/>
  <c r="G43" i="192"/>
  <c r="F43" i="192"/>
  <c r="E43" i="192"/>
  <c r="D43" i="192"/>
  <c r="U42" i="192"/>
  <c r="T42" i="192"/>
  <c r="S42" i="192"/>
  <c r="R42" i="192"/>
  <c r="Q42" i="192"/>
  <c r="P42" i="192"/>
  <c r="O42" i="192"/>
  <c r="N42" i="192"/>
  <c r="M42" i="192"/>
  <c r="L42" i="192"/>
  <c r="K42" i="192"/>
  <c r="J42" i="192"/>
  <c r="I42" i="192"/>
  <c r="H42" i="192"/>
  <c r="G42" i="192"/>
  <c r="F42" i="192"/>
  <c r="E42" i="192"/>
  <c r="D42" i="192"/>
  <c r="U41" i="192"/>
  <c r="T41" i="192"/>
  <c r="S41" i="192"/>
  <c r="R41" i="192"/>
  <c r="Q41" i="192"/>
  <c r="P41" i="192"/>
  <c r="O41" i="192"/>
  <c r="N41" i="192"/>
  <c r="M41" i="192"/>
  <c r="L41" i="192"/>
  <c r="K41" i="192"/>
  <c r="J41" i="192"/>
  <c r="I41" i="192"/>
  <c r="H41" i="192"/>
  <c r="G41" i="192"/>
  <c r="F41" i="192"/>
  <c r="E41" i="192"/>
  <c r="D41" i="192"/>
  <c r="U40" i="192"/>
  <c r="T40" i="192"/>
  <c r="S40" i="192"/>
  <c r="R40" i="192"/>
  <c r="Q40" i="192"/>
  <c r="P40" i="192"/>
  <c r="O40" i="192"/>
  <c r="N40" i="192"/>
  <c r="M40" i="192"/>
  <c r="L40" i="192"/>
  <c r="K40" i="192"/>
  <c r="J40" i="192"/>
  <c r="I40" i="192"/>
  <c r="H40" i="192"/>
  <c r="G40" i="192"/>
  <c r="F40" i="192"/>
  <c r="E40" i="192"/>
  <c r="D40" i="192"/>
  <c r="U39" i="192"/>
  <c r="T39" i="192"/>
  <c r="S39" i="192"/>
  <c r="R39" i="192"/>
  <c r="Q39" i="192"/>
  <c r="P39" i="192"/>
  <c r="O39" i="192"/>
  <c r="N39" i="192"/>
  <c r="M39" i="192"/>
  <c r="L39" i="192"/>
  <c r="K39" i="192"/>
  <c r="J39" i="192"/>
  <c r="I39" i="192"/>
  <c r="H39" i="192"/>
  <c r="G39" i="192"/>
  <c r="F39" i="192"/>
  <c r="E39" i="192"/>
  <c r="D39" i="192"/>
  <c r="U38" i="192"/>
  <c r="T38" i="192"/>
  <c r="S38" i="192"/>
  <c r="R38" i="192"/>
  <c r="Q38" i="192"/>
  <c r="P38" i="192"/>
  <c r="O38" i="192"/>
  <c r="N38" i="192"/>
  <c r="M38" i="192"/>
  <c r="L38" i="192"/>
  <c r="K38" i="192"/>
  <c r="J38" i="192"/>
  <c r="I38" i="192"/>
  <c r="H38" i="192"/>
  <c r="G38" i="192"/>
  <c r="F38" i="192"/>
  <c r="E38" i="192"/>
  <c r="D38" i="192"/>
  <c r="U37" i="192"/>
  <c r="T37" i="192"/>
  <c r="S37" i="192"/>
  <c r="R37" i="192"/>
  <c r="Q37" i="192"/>
  <c r="P37" i="192"/>
  <c r="O37" i="192"/>
  <c r="N37" i="192"/>
  <c r="M37" i="192"/>
  <c r="L37" i="192"/>
  <c r="K37" i="192"/>
  <c r="J37" i="192"/>
  <c r="I37" i="192"/>
  <c r="H37" i="192"/>
  <c r="G37" i="192"/>
  <c r="F37" i="192"/>
  <c r="E37" i="192"/>
  <c r="D37" i="192"/>
  <c r="U36" i="192"/>
  <c r="T36" i="192"/>
  <c r="S36" i="192"/>
  <c r="R36" i="192"/>
  <c r="Q36" i="192"/>
  <c r="P36" i="192"/>
  <c r="O36" i="192"/>
  <c r="N36" i="192"/>
  <c r="M36" i="192"/>
  <c r="L36" i="192"/>
  <c r="K36" i="192"/>
  <c r="J36" i="192"/>
  <c r="I36" i="192"/>
  <c r="H36" i="192"/>
  <c r="G36" i="192"/>
  <c r="F36" i="192"/>
  <c r="E36" i="192"/>
  <c r="D36" i="192"/>
  <c r="U35" i="192"/>
  <c r="T35" i="192"/>
  <c r="S35" i="192"/>
  <c r="R35" i="192"/>
  <c r="Q35" i="192"/>
  <c r="P35" i="192"/>
  <c r="O35" i="192"/>
  <c r="N35" i="192"/>
  <c r="M35" i="192"/>
  <c r="L35" i="192"/>
  <c r="K35" i="192"/>
  <c r="J35" i="192"/>
  <c r="I35" i="192"/>
  <c r="H35" i="192"/>
  <c r="G35" i="192"/>
  <c r="F35" i="192"/>
  <c r="E35" i="192"/>
  <c r="D35" i="192"/>
  <c r="U34" i="192"/>
  <c r="T34" i="192"/>
  <c r="S34" i="192"/>
  <c r="R34" i="192"/>
  <c r="Q34" i="192"/>
  <c r="P34" i="192"/>
  <c r="O34" i="192"/>
  <c r="N34" i="192"/>
  <c r="M34" i="192"/>
  <c r="L34" i="192"/>
  <c r="K34" i="192"/>
  <c r="J34" i="192"/>
  <c r="I34" i="192"/>
  <c r="H34" i="192"/>
  <c r="G34" i="192"/>
  <c r="F34" i="192"/>
  <c r="E34" i="192"/>
  <c r="D34" i="192"/>
  <c r="P33" i="192"/>
  <c r="U32" i="192"/>
  <c r="T32" i="192"/>
  <c r="S32" i="192"/>
  <c r="R32" i="192"/>
  <c r="Q32" i="192"/>
  <c r="P32" i="192"/>
  <c r="O32" i="192"/>
  <c r="N32" i="192"/>
  <c r="M32" i="192"/>
  <c r="L32" i="192"/>
  <c r="K32" i="192"/>
  <c r="J32" i="192"/>
  <c r="I32" i="192"/>
  <c r="H32" i="192"/>
  <c r="G32" i="192"/>
  <c r="F32" i="192"/>
  <c r="E32" i="192"/>
  <c r="D32" i="192"/>
  <c r="U31" i="192"/>
  <c r="T31" i="192"/>
  <c r="S31" i="192"/>
  <c r="R31" i="192"/>
  <c r="Q31" i="192"/>
  <c r="P31" i="192"/>
  <c r="O31" i="192"/>
  <c r="N31" i="192"/>
  <c r="M31" i="192"/>
  <c r="L31" i="192"/>
  <c r="K31" i="192"/>
  <c r="J31" i="192"/>
  <c r="I31" i="192"/>
  <c r="H31" i="192"/>
  <c r="G31" i="192"/>
  <c r="F31" i="192"/>
  <c r="E31" i="192"/>
  <c r="D31" i="192"/>
  <c r="U30" i="192"/>
  <c r="T30" i="192"/>
  <c r="S30" i="192"/>
  <c r="R30" i="192"/>
  <c r="Q30" i="192"/>
  <c r="P30" i="192"/>
  <c r="O30" i="192"/>
  <c r="N30" i="192"/>
  <c r="M30" i="192"/>
  <c r="L30" i="192"/>
  <c r="K30" i="192"/>
  <c r="J30" i="192"/>
  <c r="I30" i="192"/>
  <c r="H30" i="192"/>
  <c r="G30" i="192"/>
  <c r="F30" i="192"/>
  <c r="E30" i="192"/>
  <c r="D30" i="192"/>
  <c r="U29" i="192"/>
  <c r="T29" i="192"/>
  <c r="S29" i="192"/>
  <c r="R29" i="192"/>
  <c r="Q29" i="192"/>
  <c r="P29" i="192"/>
  <c r="O29" i="192"/>
  <c r="N29" i="192"/>
  <c r="M29" i="192"/>
  <c r="L29" i="192"/>
  <c r="K29" i="192"/>
  <c r="J29" i="192"/>
  <c r="I29" i="192"/>
  <c r="H29" i="192"/>
  <c r="G29" i="192"/>
  <c r="F29" i="192"/>
  <c r="E29" i="192"/>
  <c r="D29" i="192"/>
  <c r="U28" i="192"/>
  <c r="T28" i="192"/>
  <c r="S28" i="192"/>
  <c r="R28" i="192"/>
  <c r="Q28" i="192"/>
  <c r="P28" i="192"/>
  <c r="O28" i="192"/>
  <c r="N28" i="192"/>
  <c r="M28" i="192"/>
  <c r="L28" i="192"/>
  <c r="K28" i="192"/>
  <c r="J28" i="192"/>
  <c r="I28" i="192"/>
  <c r="H28" i="192"/>
  <c r="G28" i="192"/>
  <c r="F28" i="192"/>
  <c r="E28" i="192"/>
  <c r="D28" i="192"/>
  <c r="U27" i="192"/>
  <c r="T27" i="192"/>
  <c r="S27" i="192"/>
  <c r="R27" i="192"/>
  <c r="Q27" i="192"/>
  <c r="P27" i="192"/>
  <c r="O27" i="192"/>
  <c r="N27" i="192"/>
  <c r="M27" i="192"/>
  <c r="L27" i="192"/>
  <c r="K27" i="192"/>
  <c r="J27" i="192"/>
  <c r="I27" i="192"/>
  <c r="H27" i="192"/>
  <c r="G27" i="192"/>
  <c r="F27" i="192"/>
  <c r="E27" i="192"/>
  <c r="D27" i="192"/>
  <c r="U26" i="192"/>
  <c r="T26" i="192"/>
  <c r="S26" i="192"/>
  <c r="R26" i="192"/>
  <c r="Q26" i="192"/>
  <c r="P26" i="192"/>
  <c r="O26" i="192"/>
  <c r="N26" i="192"/>
  <c r="M26" i="192"/>
  <c r="L26" i="192"/>
  <c r="K26" i="192"/>
  <c r="J26" i="192"/>
  <c r="I26" i="192"/>
  <c r="H26" i="192"/>
  <c r="G26" i="192"/>
  <c r="F26" i="192"/>
  <c r="E26" i="192"/>
  <c r="D26" i="192"/>
  <c r="U25" i="192"/>
  <c r="T25" i="192"/>
  <c r="S25" i="192"/>
  <c r="R25" i="192"/>
  <c r="Q25" i="192"/>
  <c r="P25" i="192"/>
  <c r="O25" i="192"/>
  <c r="N25" i="192"/>
  <c r="M25" i="192"/>
  <c r="L25" i="192"/>
  <c r="K25" i="192"/>
  <c r="J25" i="192"/>
  <c r="I25" i="192"/>
  <c r="H25" i="192"/>
  <c r="G25" i="192"/>
  <c r="F25" i="192"/>
  <c r="E25" i="192"/>
  <c r="D25" i="192"/>
  <c r="U24" i="192"/>
  <c r="T24" i="192"/>
  <c r="S24" i="192"/>
  <c r="R24" i="192"/>
  <c r="Q24" i="192"/>
  <c r="P24" i="192"/>
  <c r="O24" i="192"/>
  <c r="N24" i="192"/>
  <c r="M24" i="192"/>
  <c r="L24" i="192"/>
  <c r="K24" i="192"/>
  <c r="J24" i="192"/>
  <c r="I24" i="192"/>
  <c r="H24" i="192"/>
  <c r="G24" i="192"/>
  <c r="F24" i="192"/>
  <c r="E24" i="192"/>
  <c r="D24" i="192"/>
  <c r="U23" i="192"/>
  <c r="T23" i="192"/>
  <c r="S23" i="192"/>
  <c r="R23" i="192"/>
  <c r="Q23" i="192"/>
  <c r="P23" i="192"/>
  <c r="O23" i="192"/>
  <c r="N23" i="192"/>
  <c r="M23" i="192"/>
  <c r="L23" i="192"/>
  <c r="K23" i="192"/>
  <c r="J23" i="192"/>
  <c r="I23" i="192"/>
  <c r="H23" i="192"/>
  <c r="G23" i="192"/>
  <c r="F23" i="192"/>
  <c r="E23" i="192"/>
  <c r="D23" i="192"/>
  <c r="U22" i="192"/>
  <c r="T22" i="192"/>
  <c r="S22" i="192"/>
  <c r="R22" i="192"/>
  <c r="Q22" i="192"/>
  <c r="P22" i="192"/>
  <c r="O22" i="192"/>
  <c r="N22" i="192"/>
  <c r="M22" i="192"/>
  <c r="L22" i="192"/>
  <c r="K22" i="192"/>
  <c r="J22" i="192"/>
  <c r="I22" i="192"/>
  <c r="H22" i="192"/>
  <c r="G22" i="192"/>
  <c r="F22" i="192"/>
  <c r="E22" i="192"/>
  <c r="D22" i="192"/>
  <c r="U21" i="192"/>
  <c r="T21" i="192"/>
  <c r="S21" i="192"/>
  <c r="R21" i="192"/>
  <c r="Q21" i="192"/>
  <c r="P21" i="192"/>
  <c r="O21" i="192"/>
  <c r="N21" i="192"/>
  <c r="M21" i="192"/>
  <c r="L21" i="192"/>
  <c r="K21" i="192"/>
  <c r="J21" i="192"/>
  <c r="I21" i="192"/>
  <c r="H21" i="192"/>
  <c r="G21" i="192"/>
  <c r="F21" i="192"/>
  <c r="E21" i="192"/>
  <c r="D21" i="192"/>
  <c r="U20" i="192"/>
  <c r="T20" i="192"/>
  <c r="S20" i="192"/>
  <c r="R20" i="192"/>
  <c r="Q20" i="192"/>
  <c r="P20" i="192"/>
  <c r="O20" i="192"/>
  <c r="N20" i="192"/>
  <c r="M20" i="192"/>
  <c r="L20" i="192"/>
  <c r="K20" i="192"/>
  <c r="J20" i="192"/>
  <c r="I20" i="192"/>
  <c r="H20" i="192"/>
  <c r="G20" i="192"/>
  <c r="F20" i="192"/>
  <c r="E20" i="192"/>
  <c r="D20" i="192"/>
  <c r="P19" i="192"/>
  <c r="U18" i="192"/>
  <c r="T18" i="192"/>
  <c r="S18" i="192"/>
  <c r="R18" i="192"/>
  <c r="Q18" i="192"/>
  <c r="P18" i="192"/>
  <c r="O18" i="192"/>
  <c r="N18" i="192"/>
  <c r="M18" i="192"/>
  <c r="L18" i="192"/>
  <c r="K18" i="192"/>
  <c r="J18" i="192"/>
  <c r="I18" i="192"/>
  <c r="H18" i="192"/>
  <c r="G18" i="192"/>
  <c r="F18" i="192"/>
  <c r="E18" i="192"/>
  <c r="D18" i="192"/>
  <c r="U17" i="192"/>
  <c r="T17" i="192"/>
  <c r="S17" i="192"/>
  <c r="R17" i="192"/>
  <c r="Q17" i="192"/>
  <c r="P17" i="192"/>
  <c r="O17" i="192"/>
  <c r="N17" i="192"/>
  <c r="M17" i="192"/>
  <c r="L17" i="192"/>
  <c r="K17" i="192"/>
  <c r="J17" i="192"/>
  <c r="I17" i="192"/>
  <c r="H17" i="192"/>
  <c r="G17" i="192"/>
  <c r="F17" i="192"/>
  <c r="E17" i="192"/>
  <c r="D17" i="192"/>
  <c r="U16" i="192"/>
  <c r="T16" i="192"/>
  <c r="S16" i="192"/>
  <c r="R16" i="192"/>
  <c r="Q16" i="192"/>
  <c r="P16" i="192"/>
  <c r="O16" i="192"/>
  <c r="N16" i="192"/>
  <c r="M16" i="192"/>
  <c r="L16" i="192"/>
  <c r="K16" i="192"/>
  <c r="J16" i="192"/>
  <c r="I16" i="192"/>
  <c r="H16" i="192"/>
  <c r="G16" i="192"/>
  <c r="F16" i="192"/>
  <c r="E16" i="192"/>
  <c r="D16" i="192"/>
  <c r="U15" i="192"/>
  <c r="T15" i="192"/>
  <c r="S15" i="192"/>
  <c r="R15" i="192"/>
  <c r="Q15" i="192"/>
  <c r="P15" i="192"/>
  <c r="O15" i="192"/>
  <c r="N15" i="192"/>
  <c r="M15" i="192"/>
  <c r="L15" i="192"/>
  <c r="K15" i="192"/>
  <c r="J15" i="192"/>
  <c r="I15" i="192"/>
  <c r="H15" i="192"/>
  <c r="G15" i="192"/>
  <c r="F15" i="192"/>
  <c r="E15" i="192"/>
  <c r="D15" i="192"/>
  <c r="U14" i="192"/>
  <c r="T14" i="192"/>
  <c r="S14" i="192"/>
  <c r="R14" i="192"/>
  <c r="Q14" i="192"/>
  <c r="P14" i="192"/>
  <c r="O14" i="192"/>
  <c r="N14" i="192"/>
  <c r="M14" i="192"/>
  <c r="L14" i="192"/>
  <c r="K14" i="192"/>
  <c r="J14" i="192"/>
  <c r="I14" i="192"/>
  <c r="H14" i="192"/>
  <c r="G14" i="192"/>
  <c r="F14" i="192"/>
  <c r="E14" i="192"/>
  <c r="D14" i="192"/>
  <c r="U13" i="192"/>
  <c r="T13" i="192"/>
  <c r="S13" i="192"/>
  <c r="R13" i="192"/>
  <c r="Q13" i="192"/>
  <c r="P13" i="192"/>
  <c r="O13" i="192"/>
  <c r="N13" i="192"/>
  <c r="M13" i="192"/>
  <c r="L13" i="192"/>
  <c r="K13" i="192"/>
  <c r="J13" i="192"/>
  <c r="I13" i="192"/>
  <c r="H13" i="192"/>
  <c r="G13" i="192"/>
  <c r="F13" i="192"/>
  <c r="E13" i="192"/>
  <c r="D13" i="192"/>
  <c r="U12" i="192"/>
  <c r="T12" i="192"/>
  <c r="S12" i="192"/>
  <c r="R12" i="192"/>
  <c r="Q12" i="192"/>
  <c r="P12" i="192"/>
  <c r="O12" i="192"/>
  <c r="N12" i="192"/>
  <c r="M12" i="192"/>
  <c r="L12" i="192"/>
  <c r="K12" i="192"/>
  <c r="J12" i="192"/>
  <c r="I12" i="192"/>
  <c r="H12" i="192"/>
  <c r="G12" i="192"/>
  <c r="F12" i="192"/>
  <c r="E12" i="192"/>
  <c r="D12" i="192"/>
  <c r="U302" i="191"/>
  <c r="T302" i="191"/>
  <c r="S302" i="191"/>
  <c r="R302" i="191"/>
  <c r="Q302" i="191"/>
  <c r="P302" i="191"/>
  <c r="O302" i="191"/>
  <c r="N302" i="191"/>
  <c r="M302" i="191"/>
  <c r="L302" i="191"/>
  <c r="K302" i="191"/>
  <c r="J302" i="191"/>
  <c r="I302" i="191"/>
  <c r="H302" i="191"/>
  <c r="G302" i="191"/>
  <c r="F302" i="191"/>
  <c r="E302" i="191"/>
  <c r="D302" i="191"/>
  <c r="U301" i="191"/>
  <c r="T301" i="191"/>
  <c r="S301" i="191"/>
  <c r="R301" i="191"/>
  <c r="Q301" i="191"/>
  <c r="P301" i="191"/>
  <c r="O301" i="191"/>
  <c r="N301" i="191"/>
  <c r="M301" i="191"/>
  <c r="L301" i="191"/>
  <c r="K301" i="191"/>
  <c r="J301" i="191"/>
  <c r="I301" i="191"/>
  <c r="H301" i="191"/>
  <c r="G301" i="191"/>
  <c r="F301" i="191"/>
  <c r="E301" i="191"/>
  <c r="D301" i="191"/>
  <c r="U300" i="191"/>
  <c r="T300" i="191"/>
  <c r="S300" i="191"/>
  <c r="R300" i="191"/>
  <c r="Q300" i="191"/>
  <c r="P300" i="191"/>
  <c r="O300" i="191"/>
  <c r="N300" i="191"/>
  <c r="M300" i="191"/>
  <c r="L300" i="191"/>
  <c r="K300" i="191"/>
  <c r="J300" i="191"/>
  <c r="I300" i="191"/>
  <c r="H300" i="191"/>
  <c r="G300" i="191"/>
  <c r="F300" i="191"/>
  <c r="E300" i="191"/>
  <c r="D300" i="191"/>
  <c r="U299" i="191"/>
  <c r="T299" i="191"/>
  <c r="S299" i="191"/>
  <c r="R299" i="191"/>
  <c r="Q299" i="191"/>
  <c r="P299" i="191"/>
  <c r="O299" i="191"/>
  <c r="N299" i="191"/>
  <c r="M299" i="191"/>
  <c r="L299" i="191"/>
  <c r="K299" i="191"/>
  <c r="J299" i="191"/>
  <c r="I299" i="191"/>
  <c r="H299" i="191"/>
  <c r="G299" i="191"/>
  <c r="F299" i="191"/>
  <c r="E299" i="191"/>
  <c r="D299" i="191"/>
  <c r="U298" i="191"/>
  <c r="T298" i="191"/>
  <c r="S298" i="191"/>
  <c r="R298" i="191"/>
  <c r="Q298" i="191"/>
  <c r="P298" i="191"/>
  <c r="O298" i="191"/>
  <c r="N298" i="191"/>
  <c r="M298" i="191"/>
  <c r="L298" i="191"/>
  <c r="K298" i="191"/>
  <c r="J298" i="191"/>
  <c r="I298" i="191"/>
  <c r="H298" i="191"/>
  <c r="G298" i="191"/>
  <c r="F298" i="191"/>
  <c r="E298" i="191"/>
  <c r="D298" i="191"/>
  <c r="U297" i="191"/>
  <c r="T297" i="191"/>
  <c r="S297" i="191"/>
  <c r="R297" i="191"/>
  <c r="Q297" i="191"/>
  <c r="P297" i="191"/>
  <c r="O297" i="191"/>
  <c r="N297" i="191"/>
  <c r="M297" i="191"/>
  <c r="L297" i="191"/>
  <c r="K297" i="191"/>
  <c r="J297" i="191"/>
  <c r="I297" i="191"/>
  <c r="H297" i="191"/>
  <c r="G297" i="191"/>
  <c r="F297" i="191"/>
  <c r="E297" i="191"/>
  <c r="D297" i="191"/>
  <c r="U296" i="191"/>
  <c r="T296" i="191"/>
  <c r="S296" i="191"/>
  <c r="R296" i="191"/>
  <c r="Q296" i="191"/>
  <c r="P296" i="191"/>
  <c r="O296" i="191"/>
  <c r="N296" i="191"/>
  <c r="M296" i="191"/>
  <c r="L296" i="191"/>
  <c r="K296" i="191"/>
  <c r="J296" i="191"/>
  <c r="I296" i="191"/>
  <c r="H296" i="191"/>
  <c r="G296" i="191"/>
  <c r="F296" i="191"/>
  <c r="E296" i="191"/>
  <c r="D296" i="191"/>
  <c r="U295" i="191"/>
  <c r="T295" i="191"/>
  <c r="S295" i="191"/>
  <c r="R295" i="191"/>
  <c r="Q295" i="191"/>
  <c r="P295" i="191"/>
  <c r="O295" i="191"/>
  <c r="N295" i="191"/>
  <c r="M295" i="191"/>
  <c r="L295" i="191"/>
  <c r="K295" i="191"/>
  <c r="J295" i="191"/>
  <c r="I295" i="191"/>
  <c r="H295" i="191"/>
  <c r="G295" i="191"/>
  <c r="F295" i="191"/>
  <c r="E295" i="191"/>
  <c r="D295" i="191"/>
  <c r="U294" i="191"/>
  <c r="T294" i="191"/>
  <c r="S294" i="191"/>
  <c r="R294" i="191"/>
  <c r="Q294" i="191"/>
  <c r="P294" i="191"/>
  <c r="O294" i="191"/>
  <c r="N294" i="191"/>
  <c r="M294" i="191"/>
  <c r="L294" i="191"/>
  <c r="K294" i="191"/>
  <c r="J294" i="191"/>
  <c r="I294" i="191"/>
  <c r="H294" i="191"/>
  <c r="G294" i="191"/>
  <c r="F294" i="191"/>
  <c r="E294" i="191"/>
  <c r="D294" i="191"/>
  <c r="U293" i="191"/>
  <c r="T293" i="191"/>
  <c r="S293" i="191"/>
  <c r="R293" i="191"/>
  <c r="Q293" i="191"/>
  <c r="P293" i="191"/>
  <c r="O293" i="191"/>
  <c r="N293" i="191"/>
  <c r="M293" i="191"/>
  <c r="L293" i="191"/>
  <c r="K293" i="191"/>
  <c r="J293" i="191"/>
  <c r="I293" i="191"/>
  <c r="H293" i="191"/>
  <c r="G293" i="191"/>
  <c r="F293" i="191"/>
  <c r="E293" i="191"/>
  <c r="D293" i="191"/>
  <c r="P292" i="191"/>
  <c r="U291" i="191"/>
  <c r="T291" i="191"/>
  <c r="S291" i="191"/>
  <c r="R291" i="191"/>
  <c r="Q291" i="191"/>
  <c r="P291" i="191"/>
  <c r="O291" i="191"/>
  <c r="N291" i="191"/>
  <c r="M291" i="191"/>
  <c r="L291" i="191"/>
  <c r="K291" i="191"/>
  <c r="J291" i="191"/>
  <c r="I291" i="191"/>
  <c r="H291" i="191"/>
  <c r="G291" i="191"/>
  <c r="F291" i="191"/>
  <c r="E291" i="191"/>
  <c r="D291" i="191"/>
  <c r="U290" i="191"/>
  <c r="T290" i="191"/>
  <c r="S290" i="191"/>
  <c r="R290" i="191"/>
  <c r="Q290" i="191"/>
  <c r="P290" i="191"/>
  <c r="O290" i="191"/>
  <c r="N290" i="191"/>
  <c r="M290" i="191"/>
  <c r="L290" i="191"/>
  <c r="K290" i="191"/>
  <c r="J290" i="191"/>
  <c r="I290" i="191"/>
  <c r="H290" i="191"/>
  <c r="G290" i="191"/>
  <c r="F290" i="191"/>
  <c r="E290" i="191"/>
  <c r="D290" i="191"/>
  <c r="U289" i="191"/>
  <c r="T289" i="191"/>
  <c r="S289" i="191"/>
  <c r="R289" i="191"/>
  <c r="Q289" i="191"/>
  <c r="P289" i="191"/>
  <c r="O289" i="191"/>
  <c r="N289" i="191"/>
  <c r="M289" i="191"/>
  <c r="L289" i="191"/>
  <c r="K289" i="191"/>
  <c r="J289" i="191"/>
  <c r="I289" i="191"/>
  <c r="H289" i="191"/>
  <c r="G289" i="191"/>
  <c r="F289" i="191"/>
  <c r="E289" i="191"/>
  <c r="D289" i="191"/>
  <c r="U288" i="191"/>
  <c r="T288" i="191"/>
  <c r="S288" i="191"/>
  <c r="R288" i="191"/>
  <c r="Q288" i="191"/>
  <c r="P288" i="191"/>
  <c r="O288" i="191"/>
  <c r="N288" i="191"/>
  <c r="M288" i="191"/>
  <c r="L288" i="191"/>
  <c r="K288" i="191"/>
  <c r="J288" i="191"/>
  <c r="I288" i="191"/>
  <c r="H288" i="191"/>
  <c r="G288" i="191"/>
  <c r="F288" i="191"/>
  <c r="E288" i="191"/>
  <c r="D288" i="191"/>
  <c r="U287" i="191"/>
  <c r="T287" i="191"/>
  <c r="S287" i="191"/>
  <c r="R287" i="191"/>
  <c r="Q287" i="191"/>
  <c r="P287" i="191"/>
  <c r="O287" i="191"/>
  <c r="N287" i="191"/>
  <c r="M287" i="191"/>
  <c r="L287" i="191"/>
  <c r="K287" i="191"/>
  <c r="J287" i="191"/>
  <c r="I287" i="191"/>
  <c r="H287" i="191"/>
  <c r="G287" i="191"/>
  <c r="F287" i="191"/>
  <c r="E287" i="191"/>
  <c r="D287" i="191"/>
  <c r="U286" i="191"/>
  <c r="T286" i="191"/>
  <c r="S286" i="191"/>
  <c r="R286" i="191"/>
  <c r="Q286" i="191"/>
  <c r="P286" i="191"/>
  <c r="O286" i="191"/>
  <c r="N286" i="191"/>
  <c r="M286" i="191"/>
  <c r="L286" i="191"/>
  <c r="K286" i="191"/>
  <c r="J286" i="191"/>
  <c r="I286" i="191"/>
  <c r="H286" i="191"/>
  <c r="G286" i="191"/>
  <c r="F286" i="191"/>
  <c r="E286" i="191"/>
  <c r="D286" i="191"/>
  <c r="U285" i="191"/>
  <c r="T285" i="191"/>
  <c r="S285" i="191"/>
  <c r="R285" i="191"/>
  <c r="Q285" i="191"/>
  <c r="P285" i="191"/>
  <c r="O285" i="191"/>
  <c r="N285" i="191"/>
  <c r="M285" i="191"/>
  <c r="L285" i="191"/>
  <c r="K285" i="191"/>
  <c r="J285" i="191"/>
  <c r="I285" i="191"/>
  <c r="H285" i="191"/>
  <c r="G285" i="191"/>
  <c r="F285" i="191"/>
  <c r="E285" i="191"/>
  <c r="D285" i="191"/>
  <c r="U284" i="191"/>
  <c r="T284" i="191"/>
  <c r="S284" i="191"/>
  <c r="R284" i="191"/>
  <c r="Q284" i="191"/>
  <c r="P284" i="191"/>
  <c r="O284" i="191"/>
  <c r="N284" i="191"/>
  <c r="M284" i="191"/>
  <c r="L284" i="191"/>
  <c r="K284" i="191"/>
  <c r="J284" i="191"/>
  <c r="I284" i="191"/>
  <c r="H284" i="191"/>
  <c r="G284" i="191"/>
  <c r="F284" i="191"/>
  <c r="E284" i="191"/>
  <c r="D284" i="191"/>
  <c r="U283" i="191"/>
  <c r="T283" i="191"/>
  <c r="S283" i="191"/>
  <c r="R283" i="191"/>
  <c r="Q283" i="191"/>
  <c r="P283" i="191"/>
  <c r="O283" i="191"/>
  <c r="N283" i="191"/>
  <c r="M283" i="191"/>
  <c r="L283" i="191"/>
  <c r="K283" i="191"/>
  <c r="J283" i="191"/>
  <c r="I283" i="191"/>
  <c r="H283" i="191"/>
  <c r="G283" i="191"/>
  <c r="F283" i="191"/>
  <c r="E283" i="191"/>
  <c r="D283" i="191"/>
  <c r="U282" i="191"/>
  <c r="T282" i="191"/>
  <c r="S282" i="191"/>
  <c r="R282" i="191"/>
  <c r="Q282" i="191"/>
  <c r="P282" i="191"/>
  <c r="O282" i="191"/>
  <c r="N282" i="191"/>
  <c r="M282" i="191"/>
  <c r="L282" i="191"/>
  <c r="K282" i="191"/>
  <c r="J282" i="191"/>
  <c r="I282" i="191"/>
  <c r="H282" i="191"/>
  <c r="G282" i="191"/>
  <c r="F282" i="191"/>
  <c r="E282" i="191"/>
  <c r="D282" i="191"/>
  <c r="U281" i="191"/>
  <c r="T281" i="191"/>
  <c r="S281" i="191"/>
  <c r="R281" i="191"/>
  <c r="Q281" i="191"/>
  <c r="P281" i="191"/>
  <c r="O281" i="191"/>
  <c r="N281" i="191"/>
  <c r="M281" i="191"/>
  <c r="L281" i="191"/>
  <c r="K281" i="191"/>
  <c r="J281" i="191"/>
  <c r="I281" i="191"/>
  <c r="H281" i="191"/>
  <c r="G281" i="191"/>
  <c r="F281" i="191"/>
  <c r="E281" i="191"/>
  <c r="D281" i="191"/>
  <c r="U280" i="191"/>
  <c r="T280" i="191"/>
  <c r="S280" i="191"/>
  <c r="R280" i="191"/>
  <c r="Q280" i="191"/>
  <c r="P280" i="191"/>
  <c r="O280" i="191"/>
  <c r="N280" i="191"/>
  <c r="M280" i="191"/>
  <c r="L280" i="191"/>
  <c r="K280" i="191"/>
  <c r="J280" i="191"/>
  <c r="I280" i="191"/>
  <c r="H280" i="191"/>
  <c r="G280" i="191"/>
  <c r="F280" i="191"/>
  <c r="E280" i="191"/>
  <c r="D280" i="191"/>
  <c r="U279" i="191"/>
  <c r="T279" i="191"/>
  <c r="S279" i="191"/>
  <c r="R279" i="191"/>
  <c r="Q279" i="191"/>
  <c r="P279" i="191"/>
  <c r="O279" i="191"/>
  <c r="N279" i="191"/>
  <c r="M279" i="191"/>
  <c r="L279" i="191"/>
  <c r="K279" i="191"/>
  <c r="J279" i="191"/>
  <c r="I279" i="191"/>
  <c r="H279" i="191"/>
  <c r="G279" i="191"/>
  <c r="F279" i="191"/>
  <c r="E279" i="191"/>
  <c r="D279" i="191"/>
  <c r="P278" i="191"/>
  <c r="U277" i="191"/>
  <c r="T277" i="191"/>
  <c r="S277" i="191"/>
  <c r="R277" i="191"/>
  <c r="Q277" i="191"/>
  <c r="P277" i="191"/>
  <c r="O277" i="191"/>
  <c r="N277" i="191"/>
  <c r="M277" i="191"/>
  <c r="L277" i="191"/>
  <c r="K277" i="191"/>
  <c r="J277" i="191"/>
  <c r="I277" i="191"/>
  <c r="H277" i="191"/>
  <c r="G277" i="191"/>
  <c r="F277" i="191"/>
  <c r="E277" i="191"/>
  <c r="D277" i="191"/>
  <c r="U276" i="191"/>
  <c r="T276" i="191"/>
  <c r="S276" i="191"/>
  <c r="R276" i="191"/>
  <c r="Q276" i="191"/>
  <c r="P276" i="191"/>
  <c r="O276" i="191"/>
  <c r="N276" i="191"/>
  <c r="M276" i="191"/>
  <c r="L276" i="191"/>
  <c r="K276" i="191"/>
  <c r="J276" i="191"/>
  <c r="I276" i="191"/>
  <c r="H276" i="191"/>
  <c r="G276" i="191"/>
  <c r="F276" i="191"/>
  <c r="E276" i="191"/>
  <c r="D276" i="191"/>
  <c r="U275" i="191"/>
  <c r="T275" i="191"/>
  <c r="S275" i="191"/>
  <c r="R275" i="191"/>
  <c r="Q275" i="191"/>
  <c r="P275" i="191"/>
  <c r="O275" i="191"/>
  <c r="N275" i="191"/>
  <c r="M275" i="191"/>
  <c r="L275" i="191"/>
  <c r="K275" i="191"/>
  <c r="J275" i="191"/>
  <c r="I275" i="191"/>
  <c r="H275" i="191"/>
  <c r="G275" i="191"/>
  <c r="F275" i="191"/>
  <c r="E275" i="191"/>
  <c r="D275" i="191"/>
  <c r="U274" i="191"/>
  <c r="T274" i="191"/>
  <c r="S274" i="191"/>
  <c r="R274" i="191"/>
  <c r="Q274" i="191"/>
  <c r="P274" i="191"/>
  <c r="O274" i="191"/>
  <c r="N274" i="191"/>
  <c r="M274" i="191"/>
  <c r="L274" i="191"/>
  <c r="K274" i="191"/>
  <c r="J274" i="191"/>
  <c r="I274" i="191"/>
  <c r="H274" i="191"/>
  <c r="G274" i="191"/>
  <c r="F274" i="191"/>
  <c r="E274" i="191"/>
  <c r="D274" i="191"/>
  <c r="U273" i="191"/>
  <c r="T273" i="191"/>
  <c r="S273" i="191"/>
  <c r="R273" i="191"/>
  <c r="Q273" i="191"/>
  <c r="P273" i="191"/>
  <c r="O273" i="191"/>
  <c r="N273" i="191"/>
  <c r="M273" i="191"/>
  <c r="L273" i="191"/>
  <c r="K273" i="191"/>
  <c r="J273" i="191"/>
  <c r="I273" i="191"/>
  <c r="H273" i="191"/>
  <c r="G273" i="191"/>
  <c r="F273" i="191"/>
  <c r="E273" i="191"/>
  <c r="D273" i="191"/>
  <c r="U272" i="191"/>
  <c r="T272" i="191"/>
  <c r="S272" i="191"/>
  <c r="R272" i="191"/>
  <c r="Q272" i="191"/>
  <c r="P272" i="191"/>
  <c r="O272" i="191"/>
  <c r="N272" i="191"/>
  <c r="M272" i="191"/>
  <c r="L272" i="191"/>
  <c r="K272" i="191"/>
  <c r="J272" i="191"/>
  <c r="I272" i="191"/>
  <c r="H272" i="191"/>
  <c r="G272" i="191"/>
  <c r="F272" i="191"/>
  <c r="E272" i="191"/>
  <c r="D272" i="191"/>
  <c r="U271" i="191"/>
  <c r="T271" i="191"/>
  <c r="S271" i="191"/>
  <c r="R271" i="191"/>
  <c r="Q271" i="191"/>
  <c r="P271" i="191"/>
  <c r="O271" i="191"/>
  <c r="N271" i="191"/>
  <c r="M271" i="191"/>
  <c r="L271" i="191"/>
  <c r="K271" i="191"/>
  <c r="J271" i="191"/>
  <c r="I271" i="191"/>
  <c r="H271" i="191"/>
  <c r="G271" i="191"/>
  <c r="F271" i="191"/>
  <c r="E271" i="191"/>
  <c r="D271" i="191"/>
  <c r="U265" i="191"/>
  <c r="T265" i="191"/>
  <c r="S265" i="191"/>
  <c r="R265" i="191"/>
  <c r="Q265" i="191"/>
  <c r="P265" i="191"/>
  <c r="O265" i="191"/>
  <c r="N265" i="191"/>
  <c r="M265" i="191"/>
  <c r="L265" i="191"/>
  <c r="K265" i="191"/>
  <c r="J265" i="191"/>
  <c r="I265" i="191"/>
  <c r="H265" i="191"/>
  <c r="G265" i="191"/>
  <c r="F265" i="191"/>
  <c r="E265" i="191"/>
  <c r="D265" i="191"/>
  <c r="U264" i="191"/>
  <c r="T264" i="191"/>
  <c r="S264" i="191"/>
  <c r="R264" i="191"/>
  <c r="Q264" i="191"/>
  <c r="P264" i="191"/>
  <c r="O264" i="191"/>
  <c r="N264" i="191"/>
  <c r="M264" i="191"/>
  <c r="L264" i="191"/>
  <c r="K264" i="191"/>
  <c r="J264" i="191"/>
  <c r="I264" i="191"/>
  <c r="H264" i="191"/>
  <c r="G264" i="191"/>
  <c r="F264" i="191"/>
  <c r="E264" i="191"/>
  <c r="D264" i="191"/>
  <c r="U263" i="191"/>
  <c r="T263" i="191"/>
  <c r="S263" i="191"/>
  <c r="R263" i="191"/>
  <c r="Q263" i="191"/>
  <c r="P263" i="191"/>
  <c r="O263" i="191"/>
  <c r="N263" i="191"/>
  <c r="M263" i="191"/>
  <c r="L263" i="191"/>
  <c r="K263" i="191"/>
  <c r="J263" i="191"/>
  <c r="I263" i="191"/>
  <c r="H263" i="191"/>
  <c r="G263" i="191"/>
  <c r="F263" i="191"/>
  <c r="E263" i="191"/>
  <c r="D263" i="191"/>
  <c r="U262" i="191"/>
  <c r="T262" i="191"/>
  <c r="S262" i="191"/>
  <c r="R262" i="191"/>
  <c r="Q262" i="191"/>
  <c r="P262" i="191"/>
  <c r="O262" i="191"/>
  <c r="N262" i="191"/>
  <c r="M262" i="191"/>
  <c r="L262" i="191"/>
  <c r="K262" i="191"/>
  <c r="J262" i="191"/>
  <c r="I262" i="191"/>
  <c r="H262" i="191"/>
  <c r="G262" i="191"/>
  <c r="F262" i="191"/>
  <c r="E262" i="191"/>
  <c r="D262" i="191"/>
  <c r="U261" i="191"/>
  <c r="T261" i="191"/>
  <c r="S261" i="191"/>
  <c r="R261" i="191"/>
  <c r="Q261" i="191"/>
  <c r="P261" i="191"/>
  <c r="O261" i="191"/>
  <c r="N261" i="191"/>
  <c r="M261" i="191"/>
  <c r="L261" i="191"/>
  <c r="K261" i="191"/>
  <c r="J261" i="191"/>
  <c r="I261" i="191"/>
  <c r="H261" i="191"/>
  <c r="G261" i="191"/>
  <c r="F261" i="191"/>
  <c r="E261" i="191"/>
  <c r="D261" i="191"/>
  <c r="U260" i="191"/>
  <c r="T260" i="191"/>
  <c r="S260" i="191"/>
  <c r="R260" i="191"/>
  <c r="Q260" i="191"/>
  <c r="P260" i="191"/>
  <c r="O260" i="191"/>
  <c r="N260" i="191"/>
  <c r="M260" i="191"/>
  <c r="L260" i="191"/>
  <c r="K260" i="191"/>
  <c r="J260" i="191"/>
  <c r="I260" i="191"/>
  <c r="H260" i="191"/>
  <c r="G260" i="191"/>
  <c r="F260" i="191"/>
  <c r="E260" i="191"/>
  <c r="D260" i="191"/>
  <c r="U259" i="191"/>
  <c r="T259" i="191"/>
  <c r="S259" i="191"/>
  <c r="R259" i="191"/>
  <c r="Q259" i="191"/>
  <c r="P259" i="191"/>
  <c r="O259" i="191"/>
  <c r="N259" i="191"/>
  <c r="M259" i="191"/>
  <c r="L259" i="191"/>
  <c r="K259" i="191"/>
  <c r="J259" i="191"/>
  <c r="I259" i="191"/>
  <c r="H259" i="191"/>
  <c r="G259" i="191"/>
  <c r="F259" i="191"/>
  <c r="E259" i="191"/>
  <c r="D259" i="191"/>
  <c r="U258" i="191"/>
  <c r="T258" i="191"/>
  <c r="S258" i="191"/>
  <c r="R258" i="191"/>
  <c r="Q258" i="191"/>
  <c r="P258" i="191"/>
  <c r="O258" i="191"/>
  <c r="N258" i="191"/>
  <c r="M258" i="191"/>
  <c r="L258" i="191"/>
  <c r="K258" i="191"/>
  <c r="J258" i="191"/>
  <c r="I258" i="191"/>
  <c r="H258" i="191"/>
  <c r="G258" i="191"/>
  <c r="F258" i="191"/>
  <c r="E258" i="191"/>
  <c r="D258" i="191"/>
  <c r="U257" i="191"/>
  <c r="T257" i="191"/>
  <c r="S257" i="191"/>
  <c r="R257" i="191"/>
  <c r="Q257" i="191"/>
  <c r="P257" i="191"/>
  <c r="O257" i="191"/>
  <c r="N257" i="191"/>
  <c r="M257" i="191"/>
  <c r="L257" i="191"/>
  <c r="K257" i="191"/>
  <c r="J257" i="191"/>
  <c r="I257" i="191"/>
  <c r="H257" i="191"/>
  <c r="G257" i="191"/>
  <c r="F257" i="191"/>
  <c r="E257" i="191"/>
  <c r="D257" i="191"/>
  <c r="U256" i="191"/>
  <c r="T256" i="191"/>
  <c r="S256" i="191"/>
  <c r="R256" i="191"/>
  <c r="Q256" i="191"/>
  <c r="P256" i="191"/>
  <c r="O256" i="191"/>
  <c r="N256" i="191"/>
  <c r="M256" i="191"/>
  <c r="L256" i="191"/>
  <c r="K256" i="191"/>
  <c r="J256" i="191"/>
  <c r="I256" i="191"/>
  <c r="H256" i="191"/>
  <c r="G256" i="191"/>
  <c r="F256" i="191"/>
  <c r="E256" i="191"/>
  <c r="D256" i="191"/>
  <c r="P255" i="191"/>
  <c r="U254" i="191"/>
  <c r="T254" i="191"/>
  <c r="S254" i="191"/>
  <c r="R254" i="191"/>
  <c r="Q254" i="191"/>
  <c r="P254" i="191"/>
  <c r="O254" i="191"/>
  <c r="N254" i="191"/>
  <c r="M254" i="191"/>
  <c r="L254" i="191"/>
  <c r="K254" i="191"/>
  <c r="J254" i="191"/>
  <c r="I254" i="191"/>
  <c r="H254" i="191"/>
  <c r="G254" i="191"/>
  <c r="F254" i="191"/>
  <c r="E254" i="191"/>
  <c r="D254" i="191"/>
  <c r="U253" i="191"/>
  <c r="T253" i="191"/>
  <c r="S253" i="191"/>
  <c r="R253" i="191"/>
  <c r="Q253" i="191"/>
  <c r="P253" i="191"/>
  <c r="O253" i="191"/>
  <c r="N253" i="191"/>
  <c r="M253" i="191"/>
  <c r="L253" i="191"/>
  <c r="K253" i="191"/>
  <c r="J253" i="191"/>
  <c r="I253" i="191"/>
  <c r="H253" i="191"/>
  <c r="G253" i="191"/>
  <c r="F253" i="191"/>
  <c r="E253" i="191"/>
  <c r="D253" i="191"/>
  <c r="U252" i="191"/>
  <c r="T252" i="191"/>
  <c r="S252" i="191"/>
  <c r="R252" i="191"/>
  <c r="Q252" i="191"/>
  <c r="P252" i="191"/>
  <c r="O252" i="191"/>
  <c r="N252" i="191"/>
  <c r="M252" i="191"/>
  <c r="L252" i="191"/>
  <c r="K252" i="191"/>
  <c r="J252" i="191"/>
  <c r="I252" i="191"/>
  <c r="H252" i="191"/>
  <c r="G252" i="191"/>
  <c r="F252" i="191"/>
  <c r="E252" i="191"/>
  <c r="D252" i="191"/>
  <c r="U251" i="191"/>
  <c r="T251" i="191"/>
  <c r="S251" i="191"/>
  <c r="R251" i="191"/>
  <c r="Q251" i="191"/>
  <c r="P251" i="191"/>
  <c r="O251" i="191"/>
  <c r="N251" i="191"/>
  <c r="M251" i="191"/>
  <c r="L251" i="191"/>
  <c r="K251" i="191"/>
  <c r="J251" i="191"/>
  <c r="I251" i="191"/>
  <c r="H251" i="191"/>
  <c r="G251" i="191"/>
  <c r="F251" i="191"/>
  <c r="E251" i="191"/>
  <c r="D251" i="191"/>
  <c r="U250" i="191"/>
  <c r="T250" i="191"/>
  <c r="S250" i="191"/>
  <c r="R250" i="191"/>
  <c r="Q250" i="191"/>
  <c r="P250" i="191"/>
  <c r="O250" i="191"/>
  <c r="N250" i="191"/>
  <c r="M250" i="191"/>
  <c r="L250" i="191"/>
  <c r="K250" i="191"/>
  <c r="J250" i="191"/>
  <c r="I250" i="191"/>
  <c r="H250" i="191"/>
  <c r="G250" i="191"/>
  <c r="F250" i="191"/>
  <c r="E250" i="191"/>
  <c r="D250" i="191"/>
  <c r="U249" i="191"/>
  <c r="T249" i="191"/>
  <c r="S249" i="191"/>
  <c r="R249" i="191"/>
  <c r="Q249" i="191"/>
  <c r="P249" i="191"/>
  <c r="O249" i="191"/>
  <c r="N249" i="191"/>
  <c r="M249" i="191"/>
  <c r="L249" i="191"/>
  <c r="K249" i="191"/>
  <c r="J249" i="191"/>
  <c r="I249" i="191"/>
  <c r="H249" i="191"/>
  <c r="G249" i="191"/>
  <c r="F249" i="191"/>
  <c r="E249" i="191"/>
  <c r="D249" i="191"/>
  <c r="U248" i="191"/>
  <c r="T248" i="191"/>
  <c r="S248" i="191"/>
  <c r="R248" i="191"/>
  <c r="Q248" i="191"/>
  <c r="P248" i="191"/>
  <c r="O248" i="191"/>
  <c r="N248" i="191"/>
  <c r="M248" i="191"/>
  <c r="L248" i="191"/>
  <c r="K248" i="191"/>
  <c r="J248" i="191"/>
  <c r="I248" i="191"/>
  <c r="H248" i="191"/>
  <c r="G248" i="191"/>
  <c r="F248" i="191"/>
  <c r="E248" i="191"/>
  <c r="D248" i="191"/>
  <c r="U247" i="191"/>
  <c r="T247" i="191"/>
  <c r="S247" i="191"/>
  <c r="R247" i="191"/>
  <c r="Q247" i="191"/>
  <c r="P247" i="191"/>
  <c r="O247" i="191"/>
  <c r="N247" i="191"/>
  <c r="M247" i="191"/>
  <c r="L247" i="191"/>
  <c r="K247" i="191"/>
  <c r="J247" i="191"/>
  <c r="I247" i="191"/>
  <c r="H247" i="191"/>
  <c r="G247" i="191"/>
  <c r="F247" i="191"/>
  <c r="E247" i="191"/>
  <c r="D247" i="191"/>
  <c r="U246" i="191"/>
  <c r="T246" i="191"/>
  <c r="S246" i="191"/>
  <c r="R246" i="191"/>
  <c r="Q246" i="191"/>
  <c r="P246" i="191"/>
  <c r="O246" i="191"/>
  <c r="N246" i="191"/>
  <c r="M246" i="191"/>
  <c r="L246" i="191"/>
  <c r="K246" i="191"/>
  <c r="J246" i="191"/>
  <c r="I246" i="191"/>
  <c r="H246" i="191"/>
  <c r="G246" i="191"/>
  <c r="F246" i="191"/>
  <c r="E246" i="191"/>
  <c r="D246" i="191"/>
  <c r="U245" i="191"/>
  <c r="T245" i="191"/>
  <c r="S245" i="191"/>
  <c r="R245" i="191"/>
  <c r="Q245" i="191"/>
  <c r="P245" i="191"/>
  <c r="O245" i="191"/>
  <c r="N245" i="191"/>
  <c r="M245" i="191"/>
  <c r="L245" i="191"/>
  <c r="K245" i="191"/>
  <c r="J245" i="191"/>
  <c r="I245" i="191"/>
  <c r="H245" i="191"/>
  <c r="G245" i="191"/>
  <c r="F245" i="191"/>
  <c r="E245" i="191"/>
  <c r="D245" i="191"/>
  <c r="U244" i="191"/>
  <c r="T244" i="191"/>
  <c r="S244" i="191"/>
  <c r="R244" i="191"/>
  <c r="Q244" i="191"/>
  <c r="P244" i="191"/>
  <c r="O244" i="191"/>
  <c r="N244" i="191"/>
  <c r="M244" i="191"/>
  <c r="L244" i="191"/>
  <c r="K244" i="191"/>
  <c r="J244" i="191"/>
  <c r="I244" i="191"/>
  <c r="H244" i="191"/>
  <c r="G244" i="191"/>
  <c r="F244" i="191"/>
  <c r="E244" i="191"/>
  <c r="D244" i="191"/>
  <c r="U243" i="191"/>
  <c r="T243" i="191"/>
  <c r="S243" i="191"/>
  <c r="R243" i="191"/>
  <c r="Q243" i="191"/>
  <c r="P243" i="191"/>
  <c r="O243" i="191"/>
  <c r="N243" i="191"/>
  <c r="M243" i="191"/>
  <c r="L243" i="191"/>
  <c r="K243" i="191"/>
  <c r="J243" i="191"/>
  <c r="I243" i="191"/>
  <c r="H243" i="191"/>
  <c r="G243" i="191"/>
  <c r="F243" i="191"/>
  <c r="E243" i="191"/>
  <c r="D243" i="191"/>
  <c r="U242" i="191"/>
  <c r="T242" i="191"/>
  <c r="S242" i="191"/>
  <c r="R242" i="191"/>
  <c r="Q242" i="191"/>
  <c r="P242" i="191"/>
  <c r="O242" i="191"/>
  <c r="N242" i="191"/>
  <c r="M242" i="191"/>
  <c r="L242" i="191"/>
  <c r="K242" i="191"/>
  <c r="J242" i="191"/>
  <c r="I242" i="191"/>
  <c r="H242" i="191"/>
  <c r="G242" i="191"/>
  <c r="F242" i="191"/>
  <c r="E242" i="191"/>
  <c r="D242" i="191"/>
  <c r="P241" i="191"/>
  <c r="U240" i="191"/>
  <c r="T240" i="191"/>
  <c r="S240" i="191"/>
  <c r="R240" i="191"/>
  <c r="Q240" i="191"/>
  <c r="P240" i="191"/>
  <c r="O240" i="191"/>
  <c r="N240" i="191"/>
  <c r="M240" i="191"/>
  <c r="L240" i="191"/>
  <c r="K240" i="191"/>
  <c r="J240" i="191"/>
  <c r="I240" i="191"/>
  <c r="H240" i="191"/>
  <c r="G240" i="191"/>
  <c r="F240" i="191"/>
  <c r="E240" i="191"/>
  <c r="D240" i="191"/>
  <c r="U239" i="191"/>
  <c r="T239" i="191"/>
  <c r="S239" i="191"/>
  <c r="R239" i="191"/>
  <c r="Q239" i="191"/>
  <c r="P239" i="191"/>
  <c r="O239" i="191"/>
  <c r="N239" i="191"/>
  <c r="M239" i="191"/>
  <c r="L239" i="191"/>
  <c r="K239" i="191"/>
  <c r="J239" i="191"/>
  <c r="I239" i="191"/>
  <c r="H239" i="191"/>
  <c r="G239" i="191"/>
  <c r="F239" i="191"/>
  <c r="E239" i="191"/>
  <c r="D239" i="191"/>
  <c r="U238" i="191"/>
  <c r="T238" i="191"/>
  <c r="S238" i="191"/>
  <c r="R238" i="191"/>
  <c r="Q238" i="191"/>
  <c r="P238" i="191"/>
  <c r="O238" i="191"/>
  <c r="N238" i="191"/>
  <c r="M238" i="191"/>
  <c r="L238" i="191"/>
  <c r="K238" i="191"/>
  <c r="J238" i="191"/>
  <c r="I238" i="191"/>
  <c r="H238" i="191"/>
  <c r="G238" i="191"/>
  <c r="F238" i="191"/>
  <c r="E238" i="191"/>
  <c r="D238" i="191"/>
  <c r="U237" i="191"/>
  <c r="T237" i="191"/>
  <c r="S237" i="191"/>
  <c r="R237" i="191"/>
  <c r="Q237" i="191"/>
  <c r="P237" i="191"/>
  <c r="O237" i="191"/>
  <c r="N237" i="191"/>
  <c r="M237" i="191"/>
  <c r="L237" i="191"/>
  <c r="K237" i="191"/>
  <c r="J237" i="191"/>
  <c r="I237" i="191"/>
  <c r="H237" i="191"/>
  <c r="G237" i="191"/>
  <c r="F237" i="191"/>
  <c r="E237" i="191"/>
  <c r="D237" i="191"/>
  <c r="U236" i="191"/>
  <c r="T236" i="191"/>
  <c r="S236" i="191"/>
  <c r="R236" i="191"/>
  <c r="Q236" i="191"/>
  <c r="P236" i="191"/>
  <c r="O236" i="191"/>
  <c r="N236" i="191"/>
  <c r="M236" i="191"/>
  <c r="L236" i="191"/>
  <c r="K236" i="191"/>
  <c r="J236" i="191"/>
  <c r="I236" i="191"/>
  <c r="H236" i="191"/>
  <c r="G236" i="191"/>
  <c r="F236" i="191"/>
  <c r="E236" i="191"/>
  <c r="D236" i="191"/>
  <c r="U235" i="191"/>
  <c r="T235" i="191"/>
  <c r="S235" i="191"/>
  <c r="R235" i="191"/>
  <c r="Q235" i="191"/>
  <c r="P235" i="191"/>
  <c r="O235" i="191"/>
  <c r="N235" i="191"/>
  <c r="M235" i="191"/>
  <c r="L235" i="191"/>
  <c r="K235" i="191"/>
  <c r="J235" i="191"/>
  <c r="I235" i="191"/>
  <c r="H235" i="191"/>
  <c r="G235" i="191"/>
  <c r="F235" i="191"/>
  <c r="E235" i="191"/>
  <c r="D235" i="191"/>
  <c r="U234" i="191"/>
  <c r="T234" i="191"/>
  <c r="S234" i="191"/>
  <c r="R234" i="191"/>
  <c r="Q234" i="191"/>
  <c r="P234" i="191"/>
  <c r="O234" i="191"/>
  <c r="N234" i="191"/>
  <c r="M234" i="191"/>
  <c r="L234" i="191"/>
  <c r="K234" i="191"/>
  <c r="J234" i="191"/>
  <c r="I234" i="191"/>
  <c r="H234" i="191"/>
  <c r="G234" i="191"/>
  <c r="F234" i="191"/>
  <c r="E234" i="191"/>
  <c r="D234" i="191"/>
  <c r="U228" i="191"/>
  <c r="T228" i="191"/>
  <c r="S228" i="191"/>
  <c r="R228" i="191"/>
  <c r="Q228" i="191"/>
  <c r="P228" i="191"/>
  <c r="O228" i="191"/>
  <c r="N228" i="191"/>
  <c r="M228" i="191"/>
  <c r="L228" i="191"/>
  <c r="K228" i="191"/>
  <c r="J228" i="191"/>
  <c r="I228" i="191"/>
  <c r="H228" i="191"/>
  <c r="G228" i="191"/>
  <c r="F228" i="191"/>
  <c r="E228" i="191"/>
  <c r="D228" i="191"/>
  <c r="U227" i="191"/>
  <c r="T227" i="191"/>
  <c r="S227" i="191"/>
  <c r="R227" i="191"/>
  <c r="Q227" i="191"/>
  <c r="P227" i="191"/>
  <c r="O227" i="191"/>
  <c r="N227" i="191"/>
  <c r="M227" i="191"/>
  <c r="L227" i="191"/>
  <c r="K227" i="191"/>
  <c r="J227" i="191"/>
  <c r="I227" i="191"/>
  <c r="H227" i="191"/>
  <c r="G227" i="191"/>
  <c r="F227" i="191"/>
  <c r="E227" i="191"/>
  <c r="D227" i="191"/>
  <c r="U226" i="191"/>
  <c r="T226" i="191"/>
  <c r="S226" i="191"/>
  <c r="R226" i="191"/>
  <c r="Q226" i="191"/>
  <c r="P226" i="191"/>
  <c r="O226" i="191"/>
  <c r="N226" i="191"/>
  <c r="M226" i="191"/>
  <c r="L226" i="191"/>
  <c r="K226" i="191"/>
  <c r="J226" i="191"/>
  <c r="I226" i="191"/>
  <c r="H226" i="191"/>
  <c r="G226" i="191"/>
  <c r="F226" i="191"/>
  <c r="E226" i="191"/>
  <c r="D226" i="191"/>
  <c r="U225" i="191"/>
  <c r="T225" i="191"/>
  <c r="S225" i="191"/>
  <c r="R225" i="191"/>
  <c r="Q225" i="191"/>
  <c r="P225" i="191"/>
  <c r="O225" i="191"/>
  <c r="N225" i="191"/>
  <c r="M225" i="191"/>
  <c r="L225" i="191"/>
  <c r="K225" i="191"/>
  <c r="J225" i="191"/>
  <c r="I225" i="191"/>
  <c r="H225" i="191"/>
  <c r="G225" i="191"/>
  <c r="F225" i="191"/>
  <c r="E225" i="191"/>
  <c r="D225" i="191"/>
  <c r="U224" i="191"/>
  <c r="T224" i="191"/>
  <c r="S224" i="191"/>
  <c r="R224" i="191"/>
  <c r="Q224" i="191"/>
  <c r="P224" i="191"/>
  <c r="O224" i="191"/>
  <c r="N224" i="191"/>
  <c r="M224" i="191"/>
  <c r="L224" i="191"/>
  <c r="K224" i="191"/>
  <c r="J224" i="191"/>
  <c r="I224" i="191"/>
  <c r="H224" i="191"/>
  <c r="G224" i="191"/>
  <c r="F224" i="191"/>
  <c r="E224" i="191"/>
  <c r="D224" i="191"/>
  <c r="U223" i="191"/>
  <c r="T223" i="191"/>
  <c r="S223" i="191"/>
  <c r="R223" i="191"/>
  <c r="Q223" i="191"/>
  <c r="P223" i="191"/>
  <c r="O223" i="191"/>
  <c r="N223" i="191"/>
  <c r="M223" i="191"/>
  <c r="L223" i="191"/>
  <c r="K223" i="191"/>
  <c r="J223" i="191"/>
  <c r="I223" i="191"/>
  <c r="H223" i="191"/>
  <c r="G223" i="191"/>
  <c r="F223" i="191"/>
  <c r="E223" i="191"/>
  <c r="D223" i="191"/>
  <c r="U222" i="191"/>
  <c r="T222" i="191"/>
  <c r="S222" i="191"/>
  <c r="R222" i="191"/>
  <c r="Q222" i="191"/>
  <c r="P222" i="191"/>
  <c r="O222" i="191"/>
  <c r="N222" i="191"/>
  <c r="M222" i="191"/>
  <c r="L222" i="191"/>
  <c r="K222" i="191"/>
  <c r="J222" i="191"/>
  <c r="I222" i="191"/>
  <c r="H222" i="191"/>
  <c r="G222" i="191"/>
  <c r="F222" i="191"/>
  <c r="E222" i="191"/>
  <c r="D222" i="191"/>
  <c r="U221" i="191"/>
  <c r="T221" i="191"/>
  <c r="S221" i="191"/>
  <c r="R221" i="191"/>
  <c r="Q221" i="191"/>
  <c r="P221" i="191"/>
  <c r="O221" i="191"/>
  <c r="N221" i="191"/>
  <c r="M221" i="191"/>
  <c r="L221" i="191"/>
  <c r="K221" i="191"/>
  <c r="J221" i="191"/>
  <c r="I221" i="191"/>
  <c r="H221" i="191"/>
  <c r="G221" i="191"/>
  <c r="F221" i="191"/>
  <c r="E221" i="191"/>
  <c r="D221" i="191"/>
  <c r="U220" i="191"/>
  <c r="T220" i="191"/>
  <c r="S220" i="191"/>
  <c r="R220" i="191"/>
  <c r="Q220" i="191"/>
  <c r="P220" i="191"/>
  <c r="O220" i="191"/>
  <c r="N220" i="191"/>
  <c r="M220" i="191"/>
  <c r="L220" i="191"/>
  <c r="K220" i="191"/>
  <c r="J220" i="191"/>
  <c r="I220" i="191"/>
  <c r="H220" i="191"/>
  <c r="G220" i="191"/>
  <c r="F220" i="191"/>
  <c r="E220" i="191"/>
  <c r="D220" i="191"/>
  <c r="U219" i="191"/>
  <c r="T219" i="191"/>
  <c r="S219" i="191"/>
  <c r="R219" i="191"/>
  <c r="Q219" i="191"/>
  <c r="P219" i="191"/>
  <c r="O219" i="191"/>
  <c r="N219" i="191"/>
  <c r="M219" i="191"/>
  <c r="L219" i="191"/>
  <c r="K219" i="191"/>
  <c r="J219" i="191"/>
  <c r="I219" i="191"/>
  <c r="H219" i="191"/>
  <c r="G219" i="191"/>
  <c r="F219" i="191"/>
  <c r="E219" i="191"/>
  <c r="D219" i="191"/>
  <c r="P218" i="191"/>
  <c r="U217" i="191"/>
  <c r="T217" i="191"/>
  <c r="S217" i="191"/>
  <c r="R217" i="191"/>
  <c r="Q217" i="191"/>
  <c r="P217" i="191"/>
  <c r="O217" i="191"/>
  <c r="N217" i="191"/>
  <c r="M217" i="191"/>
  <c r="L217" i="191"/>
  <c r="K217" i="191"/>
  <c r="J217" i="191"/>
  <c r="I217" i="191"/>
  <c r="H217" i="191"/>
  <c r="G217" i="191"/>
  <c r="F217" i="191"/>
  <c r="E217" i="191"/>
  <c r="D217" i="191"/>
  <c r="U216" i="191"/>
  <c r="T216" i="191"/>
  <c r="S216" i="191"/>
  <c r="R216" i="191"/>
  <c r="Q216" i="191"/>
  <c r="P216" i="191"/>
  <c r="O216" i="191"/>
  <c r="N216" i="191"/>
  <c r="M216" i="191"/>
  <c r="L216" i="191"/>
  <c r="K216" i="191"/>
  <c r="J216" i="191"/>
  <c r="I216" i="191"/>
  <c r="H216" i="191"/>
  <c r="G216" i="191"/>
  <c r="F216" i="191"/>
  <c r="E216" i="191"/>
  <c r="D216" i="191"/>
  <c r="U215" i="191"/>
  <c r="T215" i="191"/>
  <c r="S215" i="191"/>
  <c r="R215" i="191"/>
  <c r="Q215" i="191"/>
  <c r="P215" i="191"/>
  <c r="O215" i="191"/>
  <c r="N215" i="191"/>
  <c r="M215" i="191"/>
  <c r="L215" i="191"/>
  <c r="K215" i="191"/>
  <c r="J215" i="191"/>
  <c r="I215" i="191"/>
  <c r="H215" i="191"/>
  <c r="G215" i="191"/>
  <c r="F215" i="191"/>
  <c r="E215" i="191"/>
  <c r="D215" i="191"/>
  <c r="U214" i="191"/>
  <c r="T214" i="191"/>
  <c r="S214" i="191"/>
  <c r="R214" i="191"/>
  <c r="Q214" i="191"/>
  <c r="P214" i="191"/>
  <c r="O214" i="191"/>
  <c r="N214" i="191"/>
  <c r="M214" i="191"/>
  <c r="L214" i="191"/>
  <c r="K214" i="191"/>
  <c r="J214" i="191"/>
  <c r="I214" i="191"/>
  <c r="H214" i="191"/>
  <c r="G214" i="191"/>
  <c r="F214" i="191"/>
  <c r="E214" i="191"/>
  <c r="D214" i="191"/>
  <c r="U213" i="191"/>
  <c r="T213" i="191"/>
  <c r="S213" i="191"/>
  <c r="R213" i="191"/>
  <c r="Q213" i="191"/>
  <c r="P213" i="191"/>
  <c r="O213" i="191"/>
  <c r="N213" i="191"/>
  <c r="M213" i="191"/>
  <c r="L213" i="191"/>
  <c r="K213" i="191"/>
  <c r="J213" i="191"/>
  <c r="I213" i="191"/>
  <c r="H213" i="191"/>
  <c r="G213" i="191"/>
  <c r="F213" i="191"/>
  <c r="E213" i="191"/>
  <c r="D213" i="191"/>
  <c r="U212" i="191"/>
  <c r="T212" i="191"/>
  <c r="S212" i="191"/>
  <c r="R212" i="191"/>
  <c r="Q212" i="191"/>
  <c r="P212" i="191"/>
  <c r="O212" i="191"/>
  <c r="N212" i="191"/>
  <c r="M212" i="191"/>
  <c r="L212" i="191"/>
  <c r="K212" i="191"/>
  <c r="J212" i="191"/>
  <c r="I212" i="191"/>
  <c r="H212" i="191"/>
  <c r="G212" i="191"/>
  <c r="F212" i="191"/>
  <c r="E212" i="191"/>
  <c r="D212" i="191"/>
  <c r="U211" i="191"/>
  <c r="T211" i="191"/>
  <c r="S211" i="191"/>
  <c r="R211" i="191"/>
  <c r="Q211" i="191"/>
  <c r="P211" i="191"/>
  <c r="O211" i="191"/>
  <c r="N211" i="191"/>
  <c r="M211" i="191"/>
  <c r="L211" i="191"/>
  <c r="K211" i="191"/>
  <c r="J211" i="191"/>
  <c r="I211" i="191"/>
  <c r="H211" i="191"/>
  <c r="G211" i="191"/>
  <c r="F211" i="191"/>
  <c r="E211" i="191"/>
  <c r="D211" i="191"/>
  <c r="U210" i="191"/>
  <c r="T210" i="191"/>
  <c r="S210" i="191"/>
  <c r="R210" i="191"/>
  <c r="Q210" i="191"/>
  <c r="P210" i="191"/>
  <c r="O210" i="191"/>
  <c r="N210" i="191"/>
  <c r="M210" i="191"/>
  <c r="L210" i="191"/>
  <c r="K210" i="191"/>
  <c r="J210" i="191"/>
  <c r="I210" i="191"/>
  <c r="H210" i="191"/>
  <c r="G210" i="191"/>
  <c r="F210" i="191"/>
  <c r="E210" i="191"/>
  <c r="D210" i="191"/>
  <c r="U209" i="191"/>
  <c r="T209" i="191"/>
  <c r="S209" i="191"/>
  <c r="R209" i="191"/>
  <c r="Q209" i="191"/>
  <c r="P209" i="191"/>
  <c r="O209" i="191"/>
  <c r="N209" i="191"/>
  <c r="M209" i="191"/>
  <c r="L209" i="191"/>
  <c r="K209" i="191"/>
  <c r="J209" i="191"/>
  <c r="I209" i="191"/>
  <c r="H209" i="191"/>
  <c r="G209" i="191"/>
  <c r="F209" i="191"/>
  <c r="E209" i="191"/>
  <c r="D209" i="191"/>
  <c r="U208" i="191"/>
  <c r="T208" i="191"/>
  <c r="S208" i="191"/>
  <c r="R208" i="191"/>
  <c r="Q208" i="191"/>
  <c r="P208" i="191"/>
  <c r="O208" i="191"/>
  <c r="N208" i="191"/>
  <c r="M208" i="191"/>
  <c r="L208" i="191"/>
  <c r="K208" i="191"/>
  <c r="J208" i="191"/>
  <c r="I208" i="191"/>
  <c r="H208" i="191"/>
  <c r="G208" i="191"/>
  <c r="F208" i="191"/>
  <c r="E208" i="191"/>
  <c r="D208" i="191"/>
  <c r="U207" i="191"/>
  <c r="T207" i="191"/>
  <c r="S207" i="191"/>
  <c r="R207" i="191"/>
  <c r="Q207" i="191"/>
  <c r="P207" i="191"/>
  <c r="O207" i="191"/>
  <c r="N207" i="191"/>
  <c r="M207" i="191"/>
  <c r="L207" i="191"/>
  <c r="K207" i="191"/>
  <c r="J207" i="191"/>
  <c r="I207" i="191"/>
  <c r="H207" i="191"/>
  <c r="G207" i="191"/>
  <c r="F207" i="191"/>
  <c r="E207" i="191"/>
  <c r="D207" i="191"/>
  <c r="U206" i="191"/>
  <c r="T206" i="191"/>
  <c r="S206" i="191"/>
  <c r="R206" i="191"/>
  <c r="Q206" i="191"/>
  <c r="P206" i="191"/>
  <c r="O206" i="191"/>
  <c r="N206" i="191"/>
  <c r="M206" i="191"/>
  <c r="L206" i="191"/>
  <c r="K206" i="191"/>
  <c r="J206" i="191"/>
  <c r="I206" i="191"/>
  <c r="H206" i="191"/>
  <c r="G206" i="191"/>
  <c r="F206" i="191"/>
  <c r="E206" i="191"/>
  <c r="D206" i="191"/>
  <c r="U205" i="191"/>
  <c r="T205" i="191"/>
  <c r="S205" i="191"/>
  <c r="R205" i="191"/>
  <c r="Q205" i="191"/>
  <c r="P205" i="191"/>
  <c r="O205" i="191"/>
  <c r="N205" i="191"/>
  <c r="M205" i="191"/>
  <c r="L205" i="191"/>
  <c r="K205" i="191"/>
  <c r="J205" i="191"/>
  <c r="I205" i="191"/>
  <c r="H205" i="191"/>
  <c r="G205" i="191"/>
  <c r="F205" i="191"/>
  <c r="E205" i="191"/>
  <c r="D205" i="191"/>
  <c r="P204" i="191"/>
  <c r="U203" i="191"/>
  <c r="T203" i="191"/>
  <c r="S203" i="191"/>
  <c r="R203" i="191"/>
  <c r="Q203" i="191"/>
  <c r="P203" i="191"/>
  <c r="O203" i="191"/>
  <c r="N203" i="191"/>
  <c r="M203" i="191"/>
  <c r="L203" i="191"/>
  <c r="K203" i="191"/>
  <c r="J203" i="191"/>
  <c r="I203" i="191"/>
  <c r="H203" i="191"/>
  <c r="G203" i="191"/>
  <c r="F203" i="191"/>
  <c r="E203" i="191"/>
  <c r="D203" i="191"/>
  <c r="U202" i="191"/>
  <c r="T202" i="191"/>
  <c r="S202" i="191"/>
  <c r="R202" i="191"/>
  <c r="Q202" i="191"/>
  <c r="P202" i="191"/>
  <c r="O202" i="191"/>
  <c r="N202" i="191"/>
  <c r="M202" i="191"/>
  <c r="L202" i="191"/>
  <c r="K202" i="191"/>
  <c r="J202" i="191"/>
  <c r="I202" i="191"/>
  <c r="H202" i="191"/>
  <c r="G202" i="191"/>
  <c r="F202" i="191"/>
  <c r="E202" i="191"/>
  <c r="D202" i="191"/>
  <c r="U201" i="191"/>
  <c r="T201" i="191"/>
  <c r="S201" i="191"/>
  <c r="R201" i="191"/>
  <c r="Q201" i="191"/>
  <c r="P201" i="191"/>
  <c r="O201" i="191"/>
  <c r="N201" i="191"/>
  <c r="M201" i="191"/>
  <c r="L201" i="191"/>
  <c r="K201" i="191"/>
  <c r="J201" i="191"/>
  <c r="I201" i="191"/>
  <c r="H201" i="191"/>
  <c r="G201" i="191"/>
  <c r="F201" i="191"/>
  <c r="E201" i="191"/>
  <c r="D201" i="191"/>
  <c r="U200" i="191"/>
  <c r="T200" i="191"/>
  <c r="S200" i="191"/>
  <c r="R200" i="191"/>
  <c r="Q200" i="191"/>
  <c r="P200" i="191"/>
  <c r="O200" i="191"/>
  <c r="N200" i="191"/>
  <c r="M200" i="191"/>
  <c r="L200" i="191"/>
  <c r="K200" i="191"/>
  <c r="J200" i="191"/>
  <c r="I200" i="191"/>
  <c r="H200" i="191"/>
  <c r="G200" i="191"/>
  <c r="F200" i="191"/>
  <c r="E200" i="191"/>
  <c r="D200" i="191"/>
  <c r="U199" i="191"/>
  <c r="T199" i="191"/>
  <c r="S199" i="191"/>
  <c r="R199" i="191"/>
  <c r="Q199" i="191"/>
  <c r="P199" i="191"/>
  <c r="O199" i="191"/>
  <c r="N199" i="191"/>
  <c r="M199" i="191"/>
  <c r="L199" i="191"/>
  <c r="K199" i="191"/>
  <c r="J199" i="191"/>
  <c r="I199" i="191"/>
  <c r="H199" i="191"/>
  <c r="G199" i="191"/>
  <c r="F199" i="191"/>
  <c r="E199" i="191"/>
  <c r="D199" i="191"/>
  <c r="U198" i="191"/>
  <c r="T198" i="191"/>
  <c r="S198" i="191"/>
  <c r="R198" i="191"/>
  <c r="Q198" i="191"/>
  <c r="P198" i="191"/>
  <c r="O198" i="191"/>
  <c r="N198" i="191"/>
  <c r="M198" i="191"/>
  <c r="L198" i="191"/>
  <c r="K198" i="191"/>
  <c r="J198" i="191"/>
  <c r="I198" i="191"/>
  <c r="H198" i="191"/>
  <c r="G198" i="191"/>
  <c r="F198" i="191"/>
  <c r="E198" i="191"/>
  <c r="D198" i="191"/>
  <c r="U197" i="191"/>
  <c r="T197" i="191"/>
  <c r="S197" i="191"/>
  <c r="R197" i="191"/>
  <c r="Q197" i="191"/>
  <c r="P197" i="191"/>
  <c r="O197" i="191"/>
  <c r="N197" i="191"/>
  <c r="M197" i="191"/>
  <c r="L197" i="191"/>
  <c r="K197" i="191"/>
  <c r="J197" i="191"/>
  <c r="I197" i="191"/>
  <c r="H197" i="191"/>
  <c r="G197" i="191"/>
  <c r="F197" i="191"/>
  <c r="E197" i="191"/>
  <c r="D197" i="191"/>
  <c r="U191" i="191"/>
  <c r="T191" i="191"/>
  <c r="S191" i="191"/>
  <c r="R191" i="191"/>
  <c r="Q191" i="191"/>
  <c r="P191" i="191"/>
  <c r="O191" i="191"/>
  <c r="N191" i="191"/>
  <c r="M191" i="191"/>
  <c r="L191" i="191"/>
  <c r="K191" i="191"/>
  <c r="J191" i="191"/>
  <c r="I191" i="191"/>
  <c r="H191" i="191"/>
  <c r="G191" i="191"/>
  <c r="F191" i="191"/>
  <c r="E191" i="191"/>
  <c r="D191" i="191"/>
  <c r="U190" i="191"/>
  <c r="T190" i="191"/>
  <c r="S190" i="191"/>
  <c r="R190" i="191"/>
  <c r="Q190" i="191"/>
  <c r="P190" i="191"/>
  <c r="O190" i="191"/>
  <c r="N190" i="191"/>
  <c r="M190" i="191"/>
  <c r="L190" i="191"/>
  <c r="K190" i="191"/>
  <c r="J190" i="191"/>
  <c r="I190" i="191"/>
  <c r="H190" i="191"/>
  <c r="G190" i="191"/>
  <c r="F190" i="191"/>
  <c r="E190" i="191"/>
  <c r="D190" i="191"/>
  <c r="U189" i="191"/>
  <c r="T189" i="191"/>
  <c r="S189" i="191"/>
  <c r="R189" i="191"/>
  <c r="Q189" i="191"/>
  <c r="P189" i="191"/>
  <c r="O189" i="191"/>
  <c r="N189" i="191"/>
  <c r="M189" i="191"/>
  <c r="L189" i="191"/>
  <c r="K189" i="191"/>
  <c r="J189" i="191"/>
  <c r="I189" i="191"/>
  <c r="H189" i="191"/>
  <c r="G189" i="191"/>
  <c r="F189" i="191"/>
  <c r="E189" i="191"/>
  <c r="D189" i="191"/>
  <c r="U188" i="191"/>
  <c r="T188" i="191"/>
  <c r="S188" i="191"/>
  <c r="R188" i="191"/>
  <c r="Q188" i="191"/>
  <c r="P188" i="191"/>
  <c r="O188" i="191"/>
  <c r="N188" i="191"/>
  <c r="M188" i="191"/>
  <c r="L188" i="191"/>
  <c r="K188" i="191"/>
  <c r="J188" i="191"/>
  <c r="I188" i="191"/>
  <c r="H188" i="191"/>
  <c r="G188" i="191"/>
  <c r="F188" i="191"/>
  <c r="E188" i="191"/>
  <c r="D188" i="191"/>
  <c r="U187" i="191"/>
  <c r="T187" i="191"/>
  <c r="S187" i="191"/>
  <c r="R187" i="191"/>
  <c r="Q187" i="191"/>
  <c r="P187" i="191"/>
  <c r="O187" i="191"/>
  <c r="N187" i="191"/>
  <c r="M187" i="191"/>
  <c r="L187" i="191"/>
  <c r="K187" i="191"/>
  <c r="J187" i="191"/>
  <c r="I187" i="191"/>
  <c r="H187" i="191"/>
  <c r="G187" i="191"/>
  <c r="F187" i="191"/>
  <c r="E187" i="191"/>
  <c r="D187" i="191"/>
  <c r="U186" i="191"/>
  <c r="T186" i="191"/>
  <c r="S186" i="191"/>
  <c r="R186" i="191"/>
  <c r="Q186" i="191"/>
  <c r="P186" i="191"/>
  <c r="O186" i="191"/>
  <c r="N186" i="191"/>
  <c r="M186" i="191"/>
  <c r="L186" i="191"/>
  <c r="K186" i="191"/>
  <c r="J186" i="191"/>
  <c r="I186" i="191"/>
  <c r="H186" i="191"/>
  <c r="G186" i="191"/>
  <c r="F186" i="191"/>
  <c r="E186" i="191"/>
  <c r="D186" i="191"/>
  <c r="U185" i="191"/>
  <c r="T185" i="191"/>
  <c r="S185" i="191"/>
  <c r="R185" i="191"/>
  <c r="Q185" i="191"/>
  <c r="P185" i="191"/>
  <c r="O185" i="191"/>
  <c r="N185" i="191"/>
  <c r="M185" i="191"/>
  <c r="L185" i="191"/>
  <c r="K185" i="191"/>
  <c r="J185" i="191"/>
  <c r="I185" i="191"/>
  <c r="H185" i="191"/>
  <c r="G185" i="191"/>
  <c r="F185" i="191"/>
  <c r="E185" i="191"/>
  <c r="D185" i="191"/>
  <c r="U184" i="191"/>
  <c r="T184" i="191"/>
  <c r="S184" i="191"/>
  <c r="R184" i="191"/>
  <c r="Q184" i="191"/>
  <c r="P184" i="191"/>
  <c r="O184" i="191"/>
  <c r="N184" i="191"/>
  <c r="M184" i="191"/>
  <c r="L184" i="191"/>
  <c r="K184" i="191"/>
  <c r="J184" i="191"/>
  <c r="I184" i="191"/>
  <c r="H184" i="191"/>
  <c r="G184" i="191"/>
  <c r="F184" i="191"/>
  <c r="E184" i="191"/>
  <c r="D184" i="191"/>
  <c r="U183" i="191"/>
  <c r="T183" i="191"/>
  <c r="S183" i="191"/>
  <c r="R183" i="191"/>
  <c r="Q183" i="191"/>
  <c r="P183" i="191"/>
  <c r="O183" i="191"/>
  <c r="N183" i="191"/>
  <c r="M183" i="191"/>
  <c r="L183" i="191"/>
  <c r="K183" i="191"/>
  <c r="J183" i="191"/>
  <c r="I183" i="191"/>
  <c r="H183" i="191"/>
  <c r="G183" i="191"/>
  <c r="F183" i="191"/>
  <c r="E183" i="191"/>
  <c r="D183" i="191"/>
  <c r="U182" i="191"/>
  <c r="T182" i="191"/>
  <c r="S182" i="191"/>
  <c r="R182" i="191"/>
  <c r="Q182" i="191"/>
  <c r="P182" i="191"/>
  <c r="O182" i="191"/>
  <c r="N182" i="191"/>
  <c r="M182" i="191"/>
  <c r="L182" i="191"/>
  <c r="K182" i="191"/>
  <c r="J182" i="191"/>
  <c r="I182" i="191"/>
  <c r="H182" i="191"/>
  <c r="G182" i="191"/>
  <c r="F182" i="191"/>
  <c r="E182" i="191"/>
  <c r="D182" i="191"/>
  <c r="P181" i="191"/>
  <c r="U180" i="191"/>
  <c r="T180" i="191"/>
  <c r="S180" i="191"/>
  <c r="R180" i="191"/>
  <c r="Q180" i="191"/>
  <c r="P180" i="191"/>
  <c r="O180" i="191"/>
  <c r="N180" i="191"/>
  <c r="M180" i="191"/>
  <c r="L180" i="191"/>
  <c r="K180" i="191"/>
  <c r="J180" i="191"/>
  <c r="I180" i="191"/>
  <c r="H180" i="191"/>
  <c r="G180" i="191"/>
  <c r="F180" i="191"/>
  <c r="E180" i="191"/>
  <c r="D180" i="191"/>
  <c r="U179" i="191"/>
  <c r="T179" i="191"/>
  <c r="S179" i="191"/>
  <c r="R179" i="191"/>
  <c r="Q179" i="191"/>
  <c r="P179" i="191"/>
  <c r="O179" i="191"/>
  <c r="N179" i="191"/>
  <c r="M179" i="191"/>
  <c r="L179" i="191"/>
  <c r="K179" i="191"/>
  <c r="J179" i="191"/>
  <c r="I179" i="191"/>
  <c r="H179" i="191"/>
  <c r="G179" i="191"/>
  <c r="F179" i="191"/>
  <c r="E179" i="191"/>
  <c r="D179" i="191"/>
  <c r="U178" i="191"/>
  <c r="T178" i="191"/>
  <c r="S178" i="191"/>
  <c r="R178" i="191"/>
  <c r="Q178" i="191"/>
  <c r="P178" i="191"/>
  <c r="O178" i="191"/>
  <c r="N178" i="191"/>
  <c r="M178" i="191"/>
  <c r="L178" i="191"/>
  <c r="K178" i="191"/>
  <c r="J178" i="191"/>
  <c r="I178" i="191"/>
  <c r="H178" i="191"/>
  <c r="G178" i="191"/>
  <c r="F178" i="191"/>
  <c r="E178" i="191"/>
  <c r="D178" i="191"/>
  <c r="U177" i="191"/>
  <c r="T177" i="191"/>
  <c r="S177" i="191"/>
  <c r="R177" i="191"/>
  <c r="Q177" i="191"/>
  <c r="P177" i="191"/>
  <c r="O177" i="191"/>
  <c r="N177" i="191"/>
  <c r="M177" i="191"/>
  <c r="L177" i="191"/>
  <c r="K177" i="191"/>
  <c r="J177" i="191"/>
  <c r="I177" i="191"/>
  <c r="H177" i="191"/>
  <c r="G177" i="191"/>
  <c r="F177" i="191"/>
  <c r="E177" i="191"/>
  <c r="D177" i="191"/>
  <c r="U176" i="191"/>
  <c r="T176" i="191"/>
  <c r="S176" i="191"/>
  <c r="R176" i="191"/>
  <c r="Q176" i="191"/>
  <c r="P176" i="191"/>
  <c r="O176" i="191"/>
  <c r="N176" i="191"/>
  <c r="M176" i="191"/>
  <c r="L176" i="191"/>
  <c r="K176" i="191"/>
  <c r="J176" i="191"/>
  <c r="I176" i="191"/>
  <c r="H176" i="191"/>
  <c r="G176" i="191"/>
  <c r="F176" i="191"/>
  <c r="E176" i="191"/>
  <c r="D176" i="191"/>
  <c r="U175" i="191"/>
  <c r="T175" i="191"/>
  <c r="S175" i="191"/>
  <c r="R175" i="191"/>
  <c r="Q175" i="191"/>
  <c r="P175" i="191"/>
  <c r="O175" i="191"/>
  <c r="N175" i="191"/>
  <c r="M175" i="191"/>
  <c r="L175" i="191"/>
  <c r="K175" i="191"/>
  <c r="J175" i="191"/>
  <c r="I175" i="191"/>
  <c r="H175" i="191"/>
  <c r="G175" i="191"/>
  <c r="F175" i="191"/>
  <c r="E175" i="191"/>
  <c r="D175" i="191"/>
  <c r="U174" i="191"/>
  <c r="T174" i="191"/>
  <c r="S174" i="191"/>
  <c r="R174" i="191"/>
  <c r="Q174" i="191"/>
  <c r="P174" i="191"/>
  <c r="O174" i="191"/>
  <c r="N174" i="191"/>
  <c r="M174" i="191"/>
  <c r="L174" i="191"/>
  <c r="K174" i="191"/>
  <c r="J174" i="191"/>
  <c r="I174" i="191"/>
  <c r="H174" i="191"/>
  <c r="G174" i="191"/>
  <c r="F174" i="191"/>
  <c r="E174" i="191"/>
  <c r="D174" i="191"/>
  <c r="U173" i="191"/>
  <c r="T173" i="191"/>
  <c r="S173" i="191"/>
  <c r="R173" i="191"/>
  <c r="Q173" i="191"/>
  <c r="P173" i="191"/>
  <c r="O173" i="191"/>
  <c r="N173" i="191"/>
  <c r="M173" i="191"/>
  <c r="L173" i="191"/>
  <c r="K173" i="191"/>
  <c r="J173" i="191"/>
  <c r="I173" i="191"/>
  <c r="H173" i="191"/>
  <c r="G173" i="191"/>
  <c r="F173" i="191"/>
  <c r="E173" i="191"/>
  <c r="D173" i="191"/>
  <c r="U172" i="191"/>
  <c r="T172" i="191"/>
  <c r="S172" i="191"/>
  <c r="R172" i="191"/>
  <c r="Q172" i="191"/>
  <c r="P172" i="191"/>
  <c r="O172" i="191"/>
  <c r="N172" i="191"/>
  <c r="M172" i="191"/>
  <c r="L172" i="191"/>
  <c r="K172" i="191"/>
  <c r="J172" i="191"/>
  <c r="I172" i="191"/>
  <c r="H172" i="191"/>
  <c r="G172" i="191"/>
  <c r="F172" i="191"/>
  <c r="E172" i="191"/>
  <c r="D172" i="191"/>
  <c r="U171" i="191"/>
  <c r="T171" i="191"/>
  <c r="S171" i="191"/>
  <c r="R171" i="191"/>
  <c r="Q171" i="191"/>
  <c r="P171" i="191"/>
  <c r="O171" i="191"/>
  <c r="N171" i="191"/>
  <c r="M171" i="191"/>
  <c r="L171" i="191"/>
  <c r="K171" i="191"/>
  <c r="J171" i="191"/>
  <c r="I171" i="191"/>
  <c r="H171" i="191"/>
  <c r="G171" i="191"/>
  <c r="F171" i="191"/>
  <c r="E171" i="191"/>
  <c r="D171" i="191"/>
  <c r="U170" i="191"/>
  <c r="T170" i="191"/>
  <c r="S170" i="191"/>
  <c r="R170" i="191"/>
  <c r="Q170" i="191"/>
  <c r="P170" i="191"/>
  <c r="O170" i="191"/>
  <c r="N170" i="191"/>
  <c r="M170" i="191"/>
  <c r="L170" i="191"/>
  <c r="K170" i="191"/>
  <c r="J170" i="191"/>
  <c r="I170" i="191"/>
  <c r="H170" i="191"/>
  <c r="G170" i="191"/>
  <c r="F170" i="191"/>
  <c r="E170" i="191"/>
  <c r="D170" i="191"/>
  <c r="U169" i="191"/>
  <c r="T169" i="191"/>
  <c r="S169" i="191"/>
  <c r="R169" i="191"/>
  <c r="Q169" i="191"/>
  <c r="P169" i="191"/>
  <c r="O169" i="191"/>
  <c r="N169" i="191"/>
  <c r="M169" i="191"/>
  <c r="L169" i="191"/>
  <c r="K169" i="191"/>
  <c r="J169" i="191"/>
  <c r="I169" i="191"/>
  <c r="H169" i="191"/>
  <c r="G169" i="191"/>
  <c r="F169" i="191"/>
  <c r="E169" i="191"/>
  <c r="D169" i="191"/>
  <c r="U168" i="191"/>
  <c r="T168" i="191"/>
  <c r="S168" i="191"/>
  <c r="R168" i="191"/>
  <c r="Q168" i="191"/>
  <c r="P168" i="191"/>
  <c r="O168" i="191"/>
  <c r="N168" i="191"/>
  <c r="M168" i="191"/>
  <c r="L168" i="191"/>
  <c r="K168" i="191"/>
  <c r="J168" i="191"/>
  <c r="I168" i="191"/>
  <c r="H168" i="191"/>
  <c r="G168" i="191"/>
  <c r="F168" i="191"/>
  <c r="E168" i="191"/>
  <c r="D168" i="191"/>
  <c r="P167" i="191"/>
  <c r="U166" i="191"/>
  <c r="T166" i="191"/>
  <c r="S166" i="191"/>
  <c r="R166" i="191"/>
  <c r="Q166" i="191"/>
  <c r="P166" i="191"/>
  <c r="O166" i="191"/>
  <c r="N166" i="191"/>
  <c r="M166" i="191"/>
  <c r="L166" i="191"/>
  <c r="K166" i="191"/>
  <c r="J166" i="191"/>
  <c r="I166" i="191"/>
  <c r="H166" i="191"/>
  <c r="G166" i="191"/>
  <c r="F166" i="191"/>
  <c r="E166" i="191"/>
  <c r="D166" i="191"/>
  <c r="U165" i="191"/>
  <c r="T165" i="191"/>
  <c r="S165" i="191"/>
  <c r="R165" i="191"/>
  <c r="Q165" i="191"/>
  <c r="P165" i="191"/>
  <c r="O165" i="191"/>
  <c r="N165" i="191"/>
  <c r="M165" i="191"/>
  <c r="L165" i="191"/>
  <c r="K165" i="191"/>
  <c r="J165" i="191"/>
  <c r="I165" i="191"/>
  <c r="H165" i="191"/>
  <c r="G165" i="191"/>
  <c r="F165" i="191"/>
  <c r="E165" i="191"/>
  <c r="D165" i="191"/>
  <c r="U164" i="191"/>
  <c r="T164" i="191"/>
  <c r="S164" i="191"/>
  <c r="R164" i="191"/>
  <c r="Q164" i="191"/>
  <c r="P164" i="191"/>
  <c r="O164" i="191"/>
  <c r="N164" i="191"/>
  <c r="M164" i="191"/>
  <c r="L164" i="191"/>
  <c r="K164" i="191"/>
  <c r="J164" i="191"/>
  <c r="I164" i="191"/>
  <c r="H164" i="191"/>
  <c r="G164" i="191"/>
  <c r="F164" i="191"/>
  <c r="E164" i="191"/>
  <c r="D164" i="191"/>
  <c r="U163" i="191"/>
  <c r="T163" i="191"/>
  <c r="S163" i="191"/>
  <c r="R163" i="191"/>
  <c r="Q163" i="191"/>
  <c r="P163" i="191"/>
  <c r="O163" i="191"/>
  <c r="N163" i="191"/>
  <c r="M163" i="191"/>
  <c r="L163" i="191"/>
  <c r="K163" i="191"/>
  <c r="J163" i="191"/>
  <c r="I163" i="191"/>
  <c r="H163" i="191"/>
  <c r="G163" i="191"/>
  <c r="F163" i="191"/>
  <c r="E163" i="191"/>
  <c r="D163" i="191"/>
  <c r="U162" i="191"/>
  <c r="T162" i="191"/>
  <c r="S162" i="191"/>
  <c r="R162" i="191"/>
  <c r="Q162" i="191"/>
  <c r="P162" i="191"/>
  <c r="O162" i="191"/>
  <c r="N162" i="191"/>
  <c r="M162" i="191"/>
  <c r="L162" i="191"/>
  <c r="K162" i="191"/>
  <c r="J162" i="191"/>
  <c r="I162" i="191"/>
  <c r="H162" i="191"/>
  <c r="G162" i="191"/>
  <c r="F162" i="191"/>
  <c r="E162" i="191"/>
  <c r="D162" i="191"/>
  <c r="U161" i="191"/>
  <c r="T161" i="191"/>
  <c r="S161" i="191"/>
  <c r="R161" i="191"/>
  <c r="Q161" i="191"/>
  <c r="P161" i="191"/>
  <c r="O161" i="191"/>
  <c r="N161" i="191"/>
  <c r="M161" i="191"/>
  <c r="L161" i="191"/>
  <c r="K161" i="191"/>
  <c r="J161" i="191"/>
  <c r="I161" i="191"/>
  <c r="H161" i="191"/>
  <c r="G161" i="191"/>
  <c r="F161" i="191"/>
  <c r="E161" i="191"/>
  <c r="D161" i="191"/>
  <c r="U160" i="191"/>
  <c r="T160" i="191"/>
  <c r="S160" i="191"/>
  <c r="R160" i="191"/>
  <c r="Q160" i="191"/>
  <c r="P160" i="191"/>
  <c r="O160" i="191"/>
  <c r="N160" i="191"/>
  <c r="M160" i="191"/>
  <c r="L160" i="191"/>
  <c r="K160" i="191"/>
  <c r="J160" i="191"/>
  <c r="I160" i="191"/>
  <c r="H160" i="191"/>
  <c r="G160" i="191"/>
  <c r="F160" i="191"/>
  <c r="E160" i="191"/>
  <c r="D160" i="191"/>
  <c r="U154" i="191"/>
  <c r="T154" i="191"/>
  <c r="S154" i="191"/>
  <c r="R154" i="191"/>
  <c r="Q154" i="191"/>
  <c r="P154" i="191"/>
  <c r="O154" i="191"/>
  <c r="N154" i="191"/>
  <c r="M154" i="191"/>
  <c r="L154" i="191"/>
  <c r="K154" i="191"/>
  <c r="J154" i="191"/>
  <c r="I154" i="191"/>
  <c r="H154" i="191"/>
  <c r="G154" i="191"/>
  <c r="F154" i="191"/>
  <c r="E154" i="191"/>
  <c r="D154" i="191"/>
  <c r="U153" i="191"/>
  <c r="T153" i="191"/>
  <c r="S153" i="191"/>
  <c r="R153" i="191"/>
  <c r="Q153" i="191"/>
  <c r="P153" i="191"/>
  <c r="O153" i="191"/>
  <c r="N153" i="191"/>
  <c r="M153" i="191"/>
  <c r="L153" i="191"/>
  <c r="K153" i="191"/>
  <c r="J153" i="191"/>
  <c r="I153" i="191"/>
  <c r="H153" i="191"/>
  <c r="G153" i="191"/>
  <c r="F153" i="191"/>
  <c r="E153" i="191"/>
  <c r="D153" i="191"/>
  <c r="U152" i="191"/>
  <c r="T152" i="191"/>
  <c r="S152" i="191"/>
  <c r="R152" i="191"/>
  <c r="Q152" i="191"/>
  <c r="P152" i="191"/>
  <c r="O152" i="191"/>
  <c r="N152" i="191"/>
  <c r="M152" i="191"/>
  <c r="L152" i="191"/>
  <c r="K152" i="191"/>
  <c r="J152" i="191"/>
  <c r="I152" i="191"/>
  <c r="H152" i="191"/>
  <c r="G152" i="191"/>
  <c r="F152" i="191"/>
  <c r="E152" i="191"/>
  <c r="D152" i="191"/>
  <c r="U151" i="191"/>
  <c r="T151" i="191"/>
  <c r="S151" i="191"/>
  <c r="R151" i="191"/>
  <c r="Q151" i="191"/>
  <c r="P151" i="191"/>
  <c r="O151" i="191"/>
  <c r="N151" i="191"/>
  <c r="M151" i="191"/>
  <c r="L151" i="191"/>
  <c r="K151" i="191"/>
  <c r="J151" i="191"/>
  <c r="I151" i="191"/>
  <c r="H151" i="191"/>
  <c r="G151" i="191"/>
  <c r="F151" i="191"/>
  <c r="E151" i="191"/>
  <c r="D151" i="191"/>
  <c r="U150" i="191"/>
  <c r="T150" i="191"/>
  <c r="S150" i="191"/>
  <c r="R150" i="191"/>
  <c r="Q150" i="191"/>
  <c r="P150" i="191"/>
  <c r="O150" i="191"/>
  <c r="N150" i="191"/>
  <c r="M150" i="191"/>
  <c r="L150" i="191"/>
  <c r="K150" i="191"/>
  <c r="J150" i="191"/>
  <c r="I150" i="191"/>
  <c r="H150" i="191"/>
  <c r="G150" i="191"/>
  <c r="F150" i="191"/>
  <c r="E150" i="191"/>
  <c r="D150" i="191"/>
  <c r="U149" i="191"/>
  <c r="T149" i="191"/>
  <c r="S149" i="191"/>
  <c r="R149" i="191"/>
  <c r="Q149" i="191"/>
  <c r="P149" i="191"/>
  <c r="O149" i="191"/>
  <c r="N149" i="191"/>
  <c r="M149" i="191"/>
  <c r="L149" i="191"/>
  <c r="K149" i="191"/>
  <c r="J149" i="191"/>
  <c r="I149" i="191"/>
  <c r="H149" i="191"/>
  <c r="G149" i="191"/>
  <c r="F149" i="191"/>
  <c r="E149" i="191"/>
  <c r="D149" i="191"/>
  <c r="U148" i="191"/>
  <c r="T148" i="191"/>
  <c r="S148" i="191"/>
  <c r="R148" i="191"/>
  <c r="Q148" i="191"/>
  <c r="P148" i="191"/>
  <c r="O148" i="191"/>
  <c r="N148" i="191"/>
  <c r="M148" i="191"/>
  <c r="L148" i="191"/>
  <c r="K148" i="191"/>
  <c r="J148" i="191"/>
  <c r="I148" i="191"/>
  <c r="H148" i="191"/>
  <c r="G148" i="191"/>
  <c r="F148" i="191"/>
  <c r="E148" i="191"/>
  <c r="D148" i="191"/>
  <c r="U147" i="191"/>
  <c r="T147" i="191"/>
  <c r="S147" i="191"/>
  <c r="R147" i="191"/>
  <c r="Q147" i="191"/>
  <c r="P147" i="191"/>
  <c r="O147" i="191"/>
  <c r="N147" i="191"/>
  <c r="M147" i="191"/>
  <c r="L147" i="191"/>
  <c r="K147" i="191"/>
  <c r="J147" i="191"/>
  <c r="I147" i="191"/>
  <c r="H147" i="191"/>
  <c r="G147" i="191"/>
  <c r="F147" i="191"/>
  <c r="E147" i="191"/>
  <c r="D147" i="191"/>
  <c r="U146" i="191"/>
  <c r="T146" i="191"/>
  <c r="S146" i="191"/>
  <c r="R146" i="191"/>
  <c r="Q146" i="191"/>
  <c r="P146" i="191"/>
  <c r="O146" i="191"/>
  <c r="N146" i="191"/>
  <c r="M146" i="191"/>
  <c r="L146" i="191"/>
  <c r="K146" i="191"/>
  <c r="J146" i="191"/>
  <c r="I146" i="191"/>
  <c r="H146" i="191"/>
  <c r="G146" i="191"/>
  <c r="F146" i="191"/>
  <c r="E146" i="191"/>
  <c r="D146" i="191"/>
  <c r="U145" i="191"/>
  <c r="T145" i="191"/>
  <c r="S145" i="191"/>
  <c r="R145" i="191"/>
  <c r="Q145" i="191"/>
  <c r="P145" i="191"/>
  <c r="O145" i="191"/>
  <c r="N145" i="191"/>
  <c r="M145" i="191"/>
  <c r="L145" i="191"/>
  <c r="K145" i="191"/>
  <c r="J145" i="191"/>
  <c r="I145" i="191"/>
  <c r="H145" i="191"/>
  <c r="G145" i="191"/>
  <c r="F145" i="191"/>
  <c r="E145" i="191"/>
  <c r="D145" i="191"/>
  <c r="P144" i="191"/>
  <c r="U143" i="191"/>
  <c r="T143" i="191"/>
  <c r="S143" i="191"/>
  <c r="R143" i="191"/>
  <c r="Q143" i="191"/>
  <c r="P143" i="191"/>
  <c r="O143" i="191"/>
  <c r="N143" i="191"/>
  <c r="M143" i="191"/>
  <c r="L143" i="191"/>
  <c r="K143" i="191"/>
  <c r="J143" i="191"/>
  <c r="I143" i="191"/>
  <c r="H143" i="191"/>
  <c r="G143" i="191"/>
  <c r="F143" i="191"/>
  <c r="E143" i="191"/>
  <c r="D143" i="191"/>
  <c r="U142" i="191"/>
  <c r="T142" i="191"/>
  <c r="S142" i="191"/>
  <c r="R142" i="191"/>
  <c r="Q142" i="191"/>
  <c r="P142" i="191"/>
  <c r="O142" i="191"/>
  <c r="N142" i="191"/>
  <c r="M142" i="191"/>
  <c r="L142" i="191"/>
  <c r="K142" i="191"/>
  <c r="J142" i="191"/>
  <c r="I142" i="191"/>
  <c r="H142" i="191"/>
  <c r="G142" i="191"/>
  <c r="F142" i="191"/>
  <c r="E142" i="191"/>
  <c r="D142" i="191"/>
  <c r="U141" i="191"/>
  <c r="T141" i="191"/>
  <c r="S141" i="191"/>
  <c r="R141" i="191"/>
  <c r="Q141" i="191"/>
  <c r="P141" i="191"/>
  <c r="O141" i="191"/>
  <c r="N141" i="191"/>
  <c r="M141" i="191"/>
  <c r="L141" i="191"/>
  <c r="K141" i="191"/>
  <c r="J141" i="191"/>
  <c r="I141" i="191"/>
  <c r="H141" i="191"/>
  <c r="G141" i="191"/>
  <c r="F141" i="191"/>
  <c r="E141" i="191"/>
  <c r="D141" i="191"/>
  <c r="U140" i="191"/>
  <c r="T140" i="191"/>
  <c r="S140" i="191"/>
  <c r="R140" i="191"/>
  <c r="Q140" i="191"/>
  <c r="P140" i="191"/>
  <c r="O140" i="191"/>
  <c r="N140" i="191"/>
  <c r="M140" i="191"/>
  <c r="L140" i="191"/>
  <c r="K140" i="191"/>
  <c r="J140" i="191"/>
  <c r="I140" i="191"/>
  <c r="H140" i="191"/>
  <c r="G140" i="191"/>
  <c r="F140" i="191"/>
  <c r="E140" i="191"/>
  <c r="D140" i="191"/>
  <c r="U139" i="191"/>
  <c r="T139" i="191"/>
  <c r="S139" i="191"/>
  <c r="R139" i="191"/>
  <c r="Q139" i="191"/>
  <c r="P139" i="191"/>
  <c r="O139" i="191"/>
  <c r="N139" i="191"/>
  <c r="M139" i="191"/>
  <c r="L139" i="191"/>
  <c r="K139" i="191"/>
  <c r="J139" i="191"/>
  <c r="I139" i="191"/>
  <c r="H139" i="191"/>
  <c r="G139" i="191"/>
  <c r="F139" i="191"/>
  <c r="E139" i="191"/>
  <c r="D139" i="191"/>
  <c r="U138" i="191"/>
  <c r="T138" i="191"/>
  <c r="S138" i="191"/>
  <c r="R138" i="191"/>
  <c r="Q138" i="191"/>
  <c r="P138" i="191"/>
  <c r="O138" i="191"/>
  <c r="N138" i="191"/>
  <c r="M138" i="191"/>
  <c r="L138" i="191"/>
  <c r="K138" i="191"/>
  <c r="J138" i="191"/>
  <c r="I138" i="191"/>
  <c r="H138" i="191"/>
  <c r="G138" i="191"/>
  <c r="F138" i="191"/>
  <c r="E138" i="191"/>
  <c r="D138" i="191"/>
  <c r="U137" i="191"/>
  <c r="T137" i="191"/>
  <c r="S137" i="191"/>
  <c r="R137" i="191"/>
  <c r="Q137" i="191"/>
  <c r="P137" i="191"/>
  <c r="O137" i="191"/>
  <c r="N137" i="191"/>
  <c r="M137" i="191"/>
  <c r="L137" i="191"/>
  <c r="K137" i="191"/>
  <c r="J137" i="191"/>
  <c r="I137" i="191"/>
  <c r="H137" i="191"/>
  <c r="G137" i="191"/>
  <c r="F137" i="191"/>
  <c r="E137" i="191"/>
  <c r="D137" i="191"/>
  <c r="U136" i="191"/>
  <c r="T136" i="191"/>
  <c r="S136" i="191"/>
  <c r="R136" i="191"/>
  <c r="Q136" i="191"/>
  <c r="P136" i="191"/>
  <c r="O136" i="191"/>
  <c r="N136" i="191"/>
  <c r="M136" i="191"/>
  <c r="L136" i="191"/>
  <c r="K136" i="191"/>
  <c r="J136" i="191"/>
  <c r="I136" i="191"/>
  <c r="H136" i="191"/>
  <c r="G136" i="191"/>
  <c r="F136" i="191"/>
  <c r="E136" i="191"/>
  <c r="D136" i="191"/>
  <c r="U135" i="191"/>
  <c r="T135" i="191"/>
  <c r="S135" i="191"/>
  <c r="R135" i="191"/>
  <c r="Q135" i="191"/>
  <c r="P135" i="191"/>
  <c r="O135" i="191"/>
  <c r="N135" i="191"/>
  <c r="M135" i="191"/>
  <c r="L135" i="191"/>
  <c r="K135" i="191"/>
  <c r="J135" i="191"/>
  <c r="I135" i="191"/>
  <c r="H135" i="191"/>
  <c r="G135" i="191"/>
  <c r="F135" i="191"/>
  <c r="E135" i="191"/>
  <c r="D135" i="191"/>
  <c r="U134" i="191"/>
  <c r="T134" i="191"/>
  <c r="S134" i="191"/>
  <c r="R134" i="191"/>
  <c r="Q134" i="191"/>
  <c r="P134" i="191"/>
  <c r="O134" i="191"/>
  <c r="N134" i="191"/>
  <c r="M134" i="191"/>
  <c r="L134" i="191"/>
  <c r="K134" i="191"/>
  <c r="J134" i="191"/>
  <c r="I134" i="191"/>
  <c r="H134" i="191"/>
  <c r="G134" i="191"/>
  <c r="F134" i="191"/>
  <c r="E134" i="191"/>
  <c r="D134" i="191"/>
  <c r="U133" i="191"/>
  <c r="T133" i="191"/>
  <c r="S133" i="191"/>
  <c r="R133" i="191"/>
  <c r="Q133" i="191"/>
  <c r="P133" i="191"/>
  <c r="O133" i="191"/>
  <c r="N133" i="191"/>
  <c r="M133" i="191"/>
  <c r="L133" i="191"/>
  <c r="K133" i="191"/>
  <c r="J133" i="191"/>
  <c r="I133" i="191"/>
  <c r="H133" i="191"/>
  <c r="G133" i="191"/>
  <c r="F133" i="191"/>
  <c r="E133" i="191"/>
  <c r="D133" i="191"/>
  <c r="U132" i="191"/>
  <c r="T132" i="191"/>
  <c r="S132" i="191"/>
  <c r="R132" i="191"/>
  <c r="Q132" i="191"/>
  <c r="P132" i="191"/>
  <c r="O132" i="191"/>
  <c r="N132" i="191"/>
  <c r="M132" i="191"/>
  <c r="L132" i="191"/>
  <c r="K132" i="191"/>
  <c r="J132" i="191"/>
  <c r="I132" i="191"/>
  <c r="H132" i="191"/>
  <c r="G132" i="191"/>
  <c r="F132" i="191"/>
  <c r="E132" i="191"/>
  <c r="D132" i="191"/>
  <c r="U131" i="191"/>
  <c r="T131" i="191"/>
  <c r="S131" i="191"/>
  <c r="R131" i="191"/>
  <c r="Q131" i="191"/>
  <c r="P131" i="191"/>
  <c r="O131" i="191"/>
  <c r="N131" i="191"/>
  <c r="M131" i="191"/>
  <c r="L131" i="191"/>
  <c r="K131" i="191"/>
  <c r="J131" i="191"/>
  <c r="I131" i="191"/>
  <c r="H131" i="191"/>
  <c r="G131" i="191"/>
  <c r="F131" i="191"/>
  <c r="E131" i="191"/>
  <c r="D131" i="191"/>
  <c r="P130" i="191"/>
  <c r="U129" i="191"/>
  <c r="T129" i="191"/>
  <c r="S129" i="191"/>
  <c r="R129" i="191"/>
  <c r="Q129" i="191"/>
  <c r="P129" i="191"/>
  <c r="O129" i="191"/>
  <c r="N129" i="191"/>
  <c r="M129" i="191"/>
  <c r="L129" i="191"/>
  <c r="K129" i="191"/>
  <c r="J129" i="191"/>
  <c r="I129" i="191"/>
  <c r="H129" i="191"/>
  <c r="G129" i="191"/>
  <c r="F129" i="191"/>
  <c r="E129" i="191"/>
  <c r="D129" i="191"/>
  <c r="U128" i="191"/>
  <c r="T128" i="191"/>
  <c r="S128" i="191"/>
  <c r="R128" i="191"/>
  <c r="Q128" i="191"/>
  <c r="P128" i="191"/>
  <c r="O128" i="191"/>
  <c r="N128" i="191"/>
  <c r="M128" i="191"/>
  <c r="L128" i="191"/>
  <c r="K128" i="191"/>
  <c r="J128" i="191"/>
  <c r="I128" i="191"/>
  <c r="H128" i="191"/>
  <c r="G128" i="191"/>
  <c r="F128" i="191"/>
  <c r="E128" i="191"/>
  <c r="D128" i="191"/>
  <c r="U127" i="191"/>
  <c r="T127" i="191"/>
  <c r="S127" i="191"/>
  <c r="R127" i="191"/>
  <c r="Q127" i="191"/>
  <c r="P127" i="191"/>
  <c r="O127" i="191"/>
  <c r="N127" i="191"/>
  <c r="M127" i="191"/>
  <c r="L127" i="191"/>
  <c r="K127" i="191"/>
  <c r="J127" i="191"/>
  <c r="I127" i="191"/>
  <c r="H127" i="191"/>
  <c r="G127" i="191"/>
  <c r="F127" i="191"/>
  <c r="E127" i="191"/>
  <c r="D127" i="191"/>
  <c r="U126" i="191"/>
  <c r="T126" i="191"/>
  <c r="S126" i="191"/>
  <c r="R126" i="191"/>
  <c r="Q126" i="191"/>
  <c r="P126" i="191"/>
  <c r="O126" i="191"/>
  <c r="N126" i="191"/>
  <c r="M126" i="191"/>
  <c r="L126" i="191"/>
  <c r="K126" i="191"/>
  <c r="J126" i="191"/>
  <c r="I126" i="191"/>
  <c r="H126" i="191"/>
  <c r="G126" i="191"/>
  <c r="F126" i="191"/>
  <c r="E126" i="191"/>
  <c r="D126" i="191"/>
  <c r="U125" i="191"/>
  <c r="T125" i="191"/>
  <c r="S125" i="191"/>
  <c r="R125" i="191"/>
  <c r="Q125" i="191"/>
  <c r="P125" i="191"/>
  <c r="O125" i="191"/>
  <c r="N125" i="191"/>
  <c r="M125" i="191"/>
  <c r="L125" i="191"/>
  <c r="K125" i="191"/>
  <c r="J125" i="191"/>
  <c r="I125" i="191"/>
  <c r="H125" i="191"/>
  <c r="G125" i="191"/>
  <c r="F125" i="191"/>
  <c r="E125" i="191"/>
  <c r="D125" i="191"/>
  <c r="U124" i="191"/>
  <c r="T124" i="191"/>
  <c r="S124" i="191"/>
  <c r="R124" i="191"/>
  <c r="Q124" i="191"/>
  <c r="P124" i="191"/>
  <c r="O124" i="191"/>
  <c r="N124" i="191"/>
  <c r="M124" i="191"/>
  <c r="L124" i="191"/>
  <c r="K124" i="191"/>
  <c r="J124" i="191"/>
  <c r="I124" i="191"/>
  <c r="H124" i="191"/>
  <c r="G124" i="191"/>
  <c r="F124" i="191"/>
  <c r="E124" i="191"/>
  <c r="D124" i="191"/>
  <c r="U123" i="191"/>
  <c r="T123" i="191"/>
  <c r="S123" i="191"/>
  <c r="R123" i="191"/>
  <c r="Q123" i="191"/>
  <c r="P123" i="191"/>
  <c r="O123" i="191"/>
  <c r="N123" i="191"/>
  <c r="M123" i="191"/>
  <c r="L123" i="191"/>
  <c r="K123" i="191"/>
  <c r="J123" i="191"/>
  <c r="I123" i="191"/>
  <c r="H123" i="191"/>
  <c r="G123" i="191"/>
  <c r="F123" i="191"/>
  <c r="E123" i="191"/>
  <c r="D123" i="191"/>
  <c r="U117" i="191"/>
  <c r="T117" i="191"/>
  <c r="S117" i="191"/>
  <c r="R117" i="191"/>
  <c r="Q117" i="191"/>
  <c r="P117" i="191"/>
  <c r="O117" i="191"/>
  <c r="N117" i="191"/>
  <c r="M117" i="191"/>
  <c r="L117" i="191"/>
  <c r="K117" i="191"/>
  <c r="J117" i="191"/>
  <c r="I117" i="191"/>
  <c r="H117" i="191"/>
  <c r="G117" i="191"/>
  <c r="F117" i="191"/>
  <c r="E117" i="191"/>
  <c r="D117" i="191"/>
  <c r="U116" i="191"/>
  <c r="T116" i="191"/>
  <c r="S116" i="191"/>
  <c r="R116" i="191"/>
  <c r="Q116" i="191"/>
  <c r="P116" i="191"/>
  <c r="O116" i="191"/>
  <c r="N116" i="191"/>
  <c r="M116" i="191"/>
  <c r="L116" i="191"/>
  <c r="K116" i="191"/>
  <c r="J116" i="191"/>
  <c r="I116" i="191"/>
  <c r="H116" i="191"/>
  <c r="G116" i="191"/>
  <c r="F116" i="191"/>
  <c r="E116" i="191"/>
  <c r="D116" i="191"/>
  <c r="U115" i="191"/>
  <c r="T115" i="191"/>
  <c r="S115" i="191"/>
  <c r="R115" i="191"/>
  <c r="Q115" i="191"/>
  <c r="P115" i="191"/>
  <c r="O115" i="191"/>
  <c r="N115" i="191"/>
  <c r="M115" i="191"/>
  <c r="L115" i="191"/>
  <c r="K115" i="191"/>
  <c r="J115" i="191"/>
  <c r="I115" i="191"/>
  <c r="H115" i="191"/>
  <c r="G115" i="191"/>
  <c r="F115" i="191"/>
  <c r="E115" i="191"/>
  <c r="D115" i="191"/>
  <c r="U114" i="191"/>
  <c r="T114" i="191"/>
  <c r="S114" i="191"/>
  <c r="R114" i="191"/>
  <c r="Q114" i="191"/>
  <c r="P114" i="191"/>
  <c r="O114" i="191"/>
  <c r="N114" i="191"/>
  <c r="M114" i="191"/>
  <c r="L114" i="191"/>
  <c r="K114" i="191"/>
  <c r="J114" i="191"/>
  <c r="I114" i="191"/>
  <c r="H114" i="191"/>
  <c r="G114" i="191"/>
  <c r="F114" i="191"/>
  <c r="E114" i="191"/>
  <c r="D114" i="191"/>
  <c r="U113" i="191"/>
  <c r="T113" i="191"/>
  <c r="S113" i="191"/>
  <c r="R113" i="191"/>
  <c r="Q113" i="191"/>
  <c r="P113" i="191"/>
  <c r="O113" i="191"/>
  <c r="N113" i="191"/>
  <c r="M113" i="191"/>
  <c r="L113" i="191"/>
  <c r="K113" i="191"/>
  <c r="J113" i="191"/>
  <c r="I113" i="191"/>
  <c r="H113" i="191"/>
  <c r="G113" i="191"/>
  <c r="F113" i="191"/>
  <c r="E113" i="191"/>
  <c r="D113" i="191"/>
  <c r="U112" i="191"/>
  <c r="T112" i="191"/>
  <c r="S112" i="191"/>
  <c r="R112" i="191"/>
  <c r="Q112" i="191"/>
  <c r="P112" i="191"/>
  <c r="O112" i="191"/>
  <c r="N112" i="191"/>
  <c r="M112" i="191"/>
  <c r="L112" i="191"/>
  <c r="K112" i="191"/>
  <c r="J112" i="191"/>
  <c r="I112" i="191"/>
  <c r="H112" i="191"/>
  <c r="G112" i="191"/>
  <c r="F112" i="191"/>
  <c r="E112" i="191"/>
  <c r="D112" i="191"/>
  <c r="U111" i="191"/>
  <c r="T111" i="191"/>
  <c r="S111" i="191"/>
  <c r="R111" i="191"/>
  <c r="Q111" i="191"/>
  <c r="P111" i="191"/>
  <c r="O111" i="191"/>
  <c r="N111" i="191"/>
  <c r="M111" i="191"/>
  <c r="L111" i="191"/>
  <c r="K111" i="191"/>
  <c r="J111" i="191"/>
  <c r="I111" i="191"/>
  <c r="H111" i="191"/>
  <c r="G111" i="191"/>
  <c r="F111" i="191"/>
  <c r="E111" i="191"/>
  <c r="D111" i="191"/>
  <c r="U110" i="191"/>
  <c r="T110" i="191"/>
  <c r="S110" i="191"/>
  <c r="R110" i="191"/>
  <c r="Q110" i="191"/>
  <c r="P110" i="191"/>
  <c r="O110" i="191"/>
  <c r="N110" i="191"/>
  <c r="M110" i="191"/>
  <c r="L110" i="191"/>
  <c r="K110" i="191"/>
  <c r="J110" i="191"/>
  <c r="I110" i="191"/>
  <c r="H110" i="191"/>
  <c r="G110" i="191"/>
  <c r="F110" i="191"/>
  <c r="E110" i="191"/>
  <c r="D110" i="191"/>
  <c r="U109" i="191"/>
  <c r="T109" i="191"/>
  <c r="S109" i="191"/>
  <c r="R109" i="191"/>
  <c r="Q109" i="191"/>
  <c r="P109" i="191"/>
  <c r="O109" i="191"/>
  <c r="N109" i="191"/>
  <c r="M109" i="191"/>
  <c r="L109" i="191"/>
  <c r="K109" i="191"/>
  <c r="J109" i="191"/>
  <c r="I109" i="191"/>
  <c r="H109" i="191"/>
  <c r="G109" i="191"/>
  <c r="F109" i="191"/>
  <c r="E109" i="191"/>
  <c r="D109" i="191"/>
  <c r="U108" i="191"/>
  <c r="T108" i="191"/>
  <c r="S108" i="191"/>
  <c r="R108" i="191"/>
  <c r="Q108" i="191"/>
  <c r="P108" i="191"/>
  <c r="O108" i="191"/>
  <c r="N108" i="191"/>
  <c r="M108" i="191"/>
  <c r="L108" i="191"/>
  <c r="K108" i="191"/>
  <c r="J108" i="191"/>
  <c r="I108" i="191"/>
  <c r="H108" i="191"/>
  <c r="G108" i="191"/>
  <c r="F108" i="191"/>
  <c r="E108" i="191"/>
  <c r="D108" i="191"/>
  <c r="P107" i="191"/>
  <c r="U106" i="191"/>
  <c r="T106" i="191"/>
  <c r="S106" i="191"/>
  <c r="R106" i="191"/>
  <c r="Q106" i="191"/>
  <c r="P106" i="191"/>
  <c r="O106" i="191"/>
  <c r="N106" i="191"/>
  <c r="M106" i="191"/>
  <c r="L106" i="191"/>
  <c r="K106" i="191"/>
  <c r="J106" i="191"/>
  <c r="I106" i="191"/>
  <c r="H106" i="191"/>
  <c r="G106" i="191"/>
  <c r="F106" i="191"/>
  <c r="E106" i="191"/>
  <c r="D106" i="191"/>
  <c r="U105" i="191"/>
  <c r="T105" i="191"/>
  <c r="S105" i="191"/>
  <c r="R105" i="191"/>
  <c r="Q105" i="191"/>
  <c r="P105" i="191"/>
  <c r="O105" i="191"/>
  <c r="N105" i="191"/>
  <c r="M105" i="191"/>
  <c r="L105" i="191"/>
  <c r="K105" i="191"/>
  <c r="J105" i="191"/>
  <c r="I105" i="191"/>
  <c r="H105" i="191"/>
  <c r="G105" i="191"/>
  <c r="F105" i="191"/>
  <c r="E105" i="191"/>
  <c r="D105" i="191"/>
  <c r="U104" i="191"/>
  <c r="T104" i="191"/>
  <c r="S104" i="191"/>
  <c r="R104" i="191"/>
  <c r="Q104" i="191"/>
  <c r="P104" i="191"/>
  <c r="O104" i="191"/>
  <c r="N104" i="191"/>
  <c r="M104" i="191"/>
  <c r="L104" i="191"/>
  <c r="K104" i="191"/>
  <c r="J104" i="191"/>
  <c r="I104" i="191"/>
  <c r="H104" i="191"/>
  <c r="G104" i="191"/>
  <c r="F104" i="191"/>
  <c r="E104" i="191"/>
  <c r="D104" i="191"/>
  <c r="U103" i="191"/>
  <c r="T103" i="191"/>
  <c r="S103" i="191"/>
  <c r="R103" i="191"/>
  <c r="Q103" i="191"/>
  <c r="P103" i="191"/>
  <c r="O103" i="191"/>
  <c r="N103" i="191"/>
  <c r="M103" i="191"/>
  <c r="L103" i="191"/>
  <c r="K103" i="191"/>
  <c r="J103" i="191"/>
  <c r="I103" i="191"/>
  <c r="H103" i="191"/>
  <c r="G103" i="191"/>
  <c r="F103" i="191"/>
  <c r="E103" i="191"/>
  <c r="D103" i="191"/>
  <c r="U102" i="191"/>
  <c r="T102" i="191"/>
  <c r="S102" i="191"/>
  <c r="R102" i="191"/>
  <c r="Q102" i="191"/>
  <c r="P102" i="191"/>
  <c r="O102" i="191"/>
  <c r="N102" i="191"/>
  <c r="M102" i="191"/>
  <c r="L102" i="191"/>
  <c r="K102" i="191"/>
  <c r="J102" i="191"/>
  <c r="I102" i="191"/>
  <c r="H102" i="191"/>
  <c r="G102" i="191"/>
  <c r="F102" i="191"/>
  <c r="E102" i="191"/>
  <c r="D102" i="191"/>
  <c r="U101" i="191"/>
  <c r="T101" i="191"/>
  <c r="S101" i="191"/>
  <c r="R101" i="191"/>
  <c r="Q101" i="191"/>
  <c r="P101" i="191"/>
  <c r="O101" i="191"/>
  <c r="N101" i="191"/>
  <c r="M101" i="191"/>
  <c r="L101" i="191"/>
  <c r="K101" i="191"/>
  <c r="J101" i="191"/>
  <c r="I101" i="191"/>
  <c r="H101" i="191"/>
  <c r="G101" i="191"/>
  <c r="F101" i="191"/>
  <c r="E101" i="191"/>
  <c r="D101" i="191"/>
  <c r="U100" i="191"/>
  <c r="T100" i="191"/>
  <c r="S100" i="191"/>
  <c r="R100" i="191"/>
  <c r="Q100" i="191"/>
  <c r="P100" i="191"/>
  <c r="O100" i="191"/>
  <c r="N100" i="191"/>
  <c r="M100" i="191"/>
  <c r="L100" i="191"/>
  <c r="K100" i="191"/>
  <c r="J100" i="191"/>
  <c r="I100" i="191"/>
  <c r="H100" i="191"/>
  <c r="G100" i="191"/>
  <c r="F100" i="191"/>
  <c r="E100" i="191"/>
  <c r="D100" i="191"/>
  <c r="U99" i="191"/>
  <c r="T99" i="191"/>
  <c r="S99" i="191"/>
  <c r="R99" i="191"/>
  <c r="Q99" i="191"/>
  <c r="P99" i="191"/>
  <c r="O99" i="191"/>
  <c r="N99" i="191"/>
  <c r="M99" i="191"/>
  <c r="L99" i="191"/>
  <c r="K99" i="191"/>
  <c r="J99" i="191"/>
  <c r="I99" i="191"/>
  <c r="H99" i="191"/>
  <c r="G99" i="191"/>
  <c r="F99" i="191"/>
  <c r="E99" i="191"/>
  <c r="D99" i="191"/>
  <c r="U98" i="191"/>
  <c r="T98" i="191"/>
  <c r="S98" i="191"/>
  <c r="R98" i="191"/>
  <c r="Q98" i="191"/>
  <c r="P98" i="191"/>
  <c r="O98" i="191"/>
  <c r="N98" i="191"/>
  <c r="M98" i="191"/>
  <c r="L98" i="191"/>
  <c r="K98" i="191"/>
  <c r="J98" i="191"/>
  <c r="I98" i="191"/>
  <c r="H98" i="191"/>
  <c r="G98" i="191"/>
  <c r="F98" i="191"/>
  <c r="E98" i="191"/>
  <c r="D98" i="191"/>
  <c r="U97" i="191"/>
  <c r="T97" i="191"/>
  <c r="S97" i="191"/>
  <c r="R97" i="191"/>
  <c r="Q97" i="191"/>
  <c r="P97" i="191"/>
  <c r="O97" i="191"/>
  <c r="N97" i="191"/>
  <c r="M97" i="191"/>
  <c r="L97" i="191"/>
  <c r="K97" i="191"/>
  <c r="J97" i="191"/>
  <c r="I97" i="191"/>
  <c r="H97" i="191"/>
  <c r="G97" i="191"/>
  <c r="F97" i="191"/>
  <c r="E97" i="191"/>
  <c r="D97" i="191"/>
  <c r="U96" i="191"/>
  <c r="T96" i="191"/>
  <c r="S96" i="191"/>
  <c r="R96" i="191"/>
  <c r="Q96" i="191"/>
  <c r="P96" i="191"/>
  <c r="O96" i="191"/>
  <c r="N96" i="191"/>
  <c r="M96" i="191"/>
  <c r="L96" i="191"/>
  <c r="K96" i="191"/>
  <c r="J96" i="191"/>
  <c r="I96" i="191"/>
  <c r="H96" i="191"/>
  <c r="G96" i="191"/>
  <c r="F96" i="191"/>
  <c r="E96" i="191"/>
  <c r="D96" i="191"/>
  <c r="U95" i="191"/>
  <c r="T95" i="191"/>
  <c r="S95" i="191"/>
  <c r="R95" i="191"/>
  <c r="Q95" i="191"/>
  <c r="P95" i="191"/>
  <c r="O95" i="191"/>
  <c r="N95" i="191"/>
  <c r="M95" i="191"/>
  <c r="L95" i="191"/>
  <c r="K95" i="191"/>
  <c r="J95" i="191"/>
  <c r="I95" i="191"/>
  <c r="H95" i="191"/>
  <c r="G95" i="191"/>
  <c r="F95" i="191"/>
  <c r="E95" i="191"/>
  <c r="D95" i="191"/>
  <c r="U94" i="191"/>
  <c r="T94" i="191"/>
  <c r="S94" i="191"/>
  <c r="R94" i="191"/>
  <c r="Q94" i="191"/>
  <c r="P94" i="191"/>
  <c r="O94" i="191"/>
  <c r="N94" i="191"/>
  <c r="M94" i="191"/>
  <c r="L94" i="191"/>
  <c r="K94" i="191"/>
  <c r="J94" i="191"/>
  <c r="I94" i="191"/>
  <c r="H94" i="191"/>
  <c r="G94" i="191"/>
  <c r="F94" i="191"/>
  <c r="E94" i="191"/>
  <c r="D94" i="191"/>
  <c r="P93" i="191"/>
  <c r="U92" i="191"/>
  <c r="T92" i="191"/>
  <c r="S92" i="191"/>
  <c r="R92" i="191"/>
  <c r="Q92" i="191"/>
  <c r="P92" i="191"/>
  <c r="O92" i="191"/>
  <c r="N92" i="191"/>
  <c r="M92" i="191"/>
  <c r="L92" i="191"/>
  <c r="K92" i="191"/>
  <c r="J92" i="191"/>
  <c r="I92" i="191"/>
  <c r="H92" i="191"/>
  <c r="G92" i="191"/>
  <c r="F92" i="191"/>
  <c r="E92" i="191"/>
  <c r="D92" i="191"/>
  <c r="U91" i="191"/>
  <c r="T91" i="191"/>
  <c r="S91" i="191"/>
  <c r="R91" i="191"/>
  <c r="Q91" i="191"/>
  <c r="P91" i="191"/>
  <c r="O91" i="191"/>
  <c r="N91" i="191"/>
  <c r="M91" i="191"/>
  <c r="L91" i="191"/>
  <c r="K91" i="191"/>
  <c r="J91" i="191"/>
  <c r="I91" i="191"/>
  <c r="H91" i="191"/>
  <c r="G91" i="191"/>
  <c r="F91" i="191"/>
  <c r="E91" i="191"/>
  <c r="D91" i="191"/>
  <c r="U90" i="191"/>
  <c r="T90" i="191"/>
  <c r="S90" i="191"/>
  <c r="R90" i="191"/>
  <c r="Q90" i="191"/>
  <c r="P90" i="191"/>
  <c r="O90" i="191"/>
  <c r="N90" i="191"/>
  <c r="M90" i="191"/>
  <c r="L90" i="191"/>
  <c r="K90" i="191"/>
  <c r="J90" i="191"/>
  <c r="I90" i="191"/>
  <c r="H90" i="191"/>
  <c r="G90" i="191"/>
  <c r="F90" i="191"/>
  <c r="E90" i="191"/>
  <c r="D90" i="191"/>
  <c r="U89" i="191"/>
  <c r="T89" i="191"/>
  <c r="S89" i="191"/>
  <c r="R89" i="191"/>
  <c r="Q89" i="191"/>
  <c r="P89" i="191"/>
  <c r="O89" i="191"/>
  <c r="N89" i="191"/>
  <c r="M89" i="191"/>
  <c r="L89" i="191"/>
  <c r="K89" i="191"/>
  <c r="J89" i="191"/>
  <c r="I89" i="191"/>
  <c r="H89" i="191"/>
  <c r="G89" i="191"/>
  <c r="F89" i="191"/>
  <c r="E89" i="191"/>
  <c r="D89" i="191"/>
  <c r="U88" i="191"/>
  <c r="T88" i="191"/>
  <c r="S88" i="191"/>
  <c r="R88" i="191"/>
  <c r="Q88" i="191"/>
  <c r="P88" i="191"/>
  <c r="O88" i="191"/>
  <c r="N88" i="191"/>
  <c r="M88" i="191"/>
  <c r="L88" i="191"/>
  <c r="K88" i="191"/>
  <c r="J88" i="191"/>
  <c r="I88" i="191"/>
  <c r="H88" i="191"/>
  <c r="G88" i="191"/>
  <c r="F88" i="191"/>
  <c r="E88" i="191"/>
  <c r="D88" i="191"/>
  <c r="U87" i="191"/>
  <c r="T87" i="191"/>
  <c r="S87" i="191"/>
  <c r="R87" i="191"/>
  <c r="Q87" i="191"/>
  <c r="P87" i="191"/>
  <c r="O87" i="191"/>
  <c r="N87" i="191"/>
  <c r="M87" i="191"/>
  <c r="L87" i="191"/>
  <c r="K87" i="191"/>
  <c r="J87" i="191"/>
  <c r="I87" i="191"/>
  <c r="H87" i="191"/>
  <c r="G87" i="191"/>
  <c r="F87" i="191"/>
  <c r="E87" i="191"/>
  <c r="D87" i="191"/>
  <c r="U86" i="191"/>
  <c r="T86" i="191"/>
  <c r="S86" i="191"/>
  <c r="R86" i="191"/>
  <c r="Q86" i="191"/>
  <c r="P86" i="191"/>
  <c r="O86" i="191"/>
  <c r="N86" i="191"/>
  <c r="M86" i="191"/>
  <c r="L86" i="191"/>
  <c r="K86" i="191"/>
  <c r="J86" i="191"/>
  <c r="I86" i="191"/>
  <c r="H86" i="191"/>
  <c r="G86" i="191"/>
  <c r="F86" i="191"/>
  <c r="E86" i="191"/>
  <c r="D86" i="191"/>
  <c r="U80" i="191"/>
  <c r="T80" i="191"/>
  <c r="S80" i="191"/>
  <c r="R80" i="191"/>
  <c r="Q80" i="191"/>
  <c r="P80" i="191"/>
  <c r="O80" i="191"/>
  <c r="N80" i="191"/>
  <c r="M80" i="191"/>
  <c r="L80" i="191"/>
  <c r="K80" i="191"/>
  <c r="J80" i="191"/>
  <c r="I80" i="191"/>
  <c r="H80" i="191"/>
  <c r="G80" i="191"/>
  <c r="F80" i="191"/>
  <c r="E80" i="191"/>
  <c r="D80" i="191"/>
  <c r="U79" i="191"/>
  <c r="T79" i="191"/>
  <c r="S79" i="191"/>
  <c r="R79" i="191"/>
  <c r="Q79" i="191"/>
  <c r="P79" i="191"/>
  <c r="O79" i="191"/>
  <c r="N79" i="191"/>
  <c r="M79" i="191"/>
  <c r="L79" i="191"/>
  <c r="K79" i="191"/>
  <c r="J79" i="191"/>
  <c r="I79" i="191"/>
  <c r="H79" i="191"/>
  <c r="G79" i="191"/>
  <c r="F79" i="191"/>
  <c r="E79" i="191"/>
  <c r="D79" i="191"/>
  <c r="U78" i="191"/>
  <c r="T78" i="191"/>
  <c r="S78" i="191"/>
  <c r="R78" i="191"/>
  <c r="Q78" i="191"/>
  <c r="P78" i="191"/>
  <c r="O78" i="191"/>
  <c r="N78" i="191"/>
  <c r="M78" i="191"/>
  <c r="L78" i="191"/>
  <c r="K78" i="191"/>
  <c r="J78" i="191"/>
  <c r="I78" i="191"/>
  <c r="H78" i="191"/>
  <c r="G78" i="191"/>
  <c r="F78" i="191"/>
  <c r="E78" i="191"/>
  <c r="D78" i="191"/>
  <c r="U77" i="191"/>
  <c r="T77" i="191"/>
  <c r="S77" i="191"/>
  <c r="R77" i="191"/>
  <c r="Q77" i="191"/>
  <c r="P77" i="191"/>
  <c r="O77" i="191"/>
  <c r="N77" i="191"/>
  <c r="M77" i="191"/>
  <c r="L77" i="191"/>
  <c r="K77" i="191"/>
  <c r="J77" i="191"/>
  <c r="I77" i="191"/>
  <c r="H77" i="191"/>
  <c r="G77" i="191"/>
  <c r="F77" i="191"/>
  <c r="E77" i="191"/>
  <c r="D77" i="191"/>
  <c r="U76" i="191"/>
  <c r="T76" i="191"/>
  <c r="S76" i="191"/>
  <c r="R76" i="191"/>
  <c r="Q76" i="191"/>
  <c r="P76" i="191"/>
  <c r="O76" i="191"/>
  <c r="N76" i="191"/>
  <c r="M76" i="191"/>
  <c r="L76" i="191"/>
  <c r="K76" i="191"/>
  <c r="J76" i="191"/>
  <c r="I76" i="191"/>
  <c r="H76" i="191"/>
  <c r="G76" i="191"/>
  <c r="F76" i="191"/>
  <c r="E76" i="191"/>
  <c r="D76" i="191"/>
  <c r="U75" i="191"/>
  <c r="T75" i="191"/>
  <c r="S75" i="191"/>
  <c r="R75" i="191"/>
  <c r="Q75" i="191"/>
  <c r="P75" i="191"/>
  <c r="O75" i="191"/>
  <c r="N75" i="191"/>
  <c r="M75" i="191"/>
  <c r="L75" i="191"/>
  <c r="K75" i="191"/>
  <c r="J75" i="191"/>
  <c r="I75" i="191"/>
  <c r="H75" i="191"/>
  <c r="G75" i="191"/>
  <c r="F75" i="191"/>
  <c r="E75" i="191"/>
  <c r="D75" i="191"/>
  <c r="U74" i="191"/>
  <c r="T74" i="191"/>
  <c r="S74" i="191"/>
  <c r="R74" i="191"/>
  <c r="Q74" i="191"/>
  <c r="P74" i="191"/>
  <c r="O74" i="191"/>
  <c r="N74" i="191"/>
  <c r="M74" i="191"/>
  <c r="L74" i="191"/>
  <c r="K74" i="191"/>
  <c r="J74" i="191"/>
  <c r="I74" i="191"/>
  <c r="H74" i="191"/>
  <c r="G74" i="191"/>
  <c r="F74" i="191"/>
  <c r="E74" i="191"/>
  <c r="D74" i="191"/>
  <c r="U73" i="191"/>
  <c r="T73" i="191"/>
  <c r="S73" i="191"/>
  <c r="R73" i="191"/>
  <c r="Q73" i="191"/>
  <c r="P73" i="191"/>
  <c r="O73" i="191"/>
  <c r="N73" i="191"/>
  <c r="M73" i="191"/>
  <c r="L73" i="191"/>
  <c r="K73" i="191"/>
  <c r="J73" i="191"/>
  <c r="I73" i="191"/>
  <c r="H73" i="191"/>
  <c r="G73" i="191"/>
  <c r="F73" i="191"/>
  <c r="E73" i="191"/>
  <c r="D73" i="191"/>
  <c r="U72" i="191"/>
  <c r="T72" i="191"/>
  <c r="S72" i="191"/>
  <c r="R72" i="191"/>
  <c r="Q72" i="191"/>
  <c r="P72" i="191"/>
  <c r="O72" i="191"/>
  <c r="N72" i="191"/>
  <c r="M72" i="191"/>
  <c r="L72" i="191"/>
  <c r="K72" i="191"/>
  <c r="J72" i="191"/>
  <c r="I72" i="191"/>
  <c r="H72" i="191"/>
  <c r="G72" i="191"/>
  <c r="F72" i="191"/>
  <c r="E72" i="191"/>
  <c r="D72" i="191"/>
  <c r="U71" i="191"/>
  <c r="T71" i="191"/>
  <c r="S71" i="191"/>
  <c r="R71" i="191"/>
  <c r="Q71" i="191"/>
  <c r="P71" i="191"/>
  <c r="O71" i="191"/>
  <c r="N71" i="191"/>
  <c r="M71" i="191"/>
  <c r="L71" i="191"/>
  <c r="K71" i="191"/>
  <c r="J71" i="191"/>
  <c r="I71" i="191"/>
  <c r="H71" i="191"/>
  <c r="G71" i="191"/>
  <c r="F71" i="191"/>
  <c r="E71" i="191"/>
  <c r="D71" i="191"/>
  <c r="P70" i="191"/>
  <c r="U69" i="191"/>
  <c r="T69" i="191"/>
  <c r="S69" i="191"/>
  <c r="R69" i="191"/>
  <c r="Q69" i="191"/>
  <c r="P69" i="191"/>
  <c r="O69" i="191"/>
  <c r="N69" i="191"/>
  <c r="M69" i="191"/>
  <c r="L69" i="191"/>
  <c r="K69" i="191"/>
  <c r="J69" i="191"/>
  <c r="I69" i="191"/>
  <c r="H69" i="191"/>
  <c r="G69" i="191"/>
  <c r="F69" i="191"/>
  <c r="E69" i="191"/>
  <c r="D69" i="191"/>
  <c r="U68" i="191"/>
  <c r="T68" i="191"/>
  <c r="S68" i="191"/>
  <c r="R68" i="191"/>
  <c r="Q68" i="191"/>
  <c r="P68" i="191"/>
  <c r="O68" i="191"/>
  <c r="N68" i="191"/>
  <c r="M68" i="191"/>
  <c r="L68" i="191"/>
  <c r="K68" i="191"/>
  <c r="J68" i="191"/>
  <c r="I68" i="191"/>
  <c r="H68" i="191"/>
  <c r="G68" i="191"/>
  <c r="F68" i="191"/>
  <c r="E68" i="191"/>
  <c r="D68" i="191"/>
  <c r="U67" i="191"/>
  <c r="T67" i="191"/>
  <c r="S67" i="191"/>
  <c r="R67" i="191"/>
  <c r="Q67" i="191"/>
  <c r="P67" i="191"/>
  <c r="O67" i="191"/>
  <c r="N67" i="191"/>
  <c r="M67" i="191"/>
  <c r="L67" i="191"/>
  <c r="K67" i="191"/>
  <c r="J67" i="191"/>
  <c r="I67" i="191"/>
  <c r="H67" i="191"/>
  <c r="G67" i="191"/>
  <c r="F67" i="191"/>
  <c r="E67" i="191"/>
  <c r="D67" i="191"/>
  <c r="U66" i="191"/>
  <c r="T66" i="191"/>
  <c r="S66" i="191"/>
  <c r="R66" i="191"/>
  <c r="Q66" i="191"/>
  <c r="P66" i="191"/>
  <c r="O66" i="191"/>
  <c r="N66" i="191"/>
  <c r="M66" i="191"/>
  <c r="L66" i="191"/>
  <c r="K66" i="191"/>
  <c r="J66" i="191"/>
  <c r="I66" i="191"/>
  <c r="H66" i="191"/>
  <c r="G66" i="191"/>
  <c r="F66" i="191"/>
  <c r="E66" i="191"/>
  <c r="D66" i="191"/>
  <c r="U65" i="191"/>
  <c r="T65" i="191"/>
  <c r="S65" i="191"/>
  <c r="R65" i="191"/>
  <c r="Q65" i="191"/>
  <c r="P65" i="191"/>
  <c r="O65" i="191"/>
  <c r="N65" i="191"/>
  <c r="M65" i="191"/>
  <c r="L65" i="191"/>
  <c r="K65" i="191"/>
  <c r="J65" i="191"/>
  <c r="I65" i="191"/>
  <c r="H65" i="191"/>
  <c r="G65" i="191"/>
  <c r="F65" i="191"/>
  <c r="E65" i="191"/>
  <c r="D65" i="191"/>
  <c r="U64" i="191"/>
  <c r="T64" i="191"/>
  <c r="S64" i="191"/>
  <c r="R64" i="191"/>
  <c r="Q64" i="191"/>
  <c r="P64" i="191"/>
  <c r="O64" i="191"/>
  <c r="N64" i="191"/>
  <c r="M64" i="191"/>
  <c r="L64" i="191"/>
  <c r="K64" i="191"/>
  <c r="J64" i="191"/>
  <c r="I64" i="191"/>
  <c r="H64" i="191"/>
  <c r="G64" i="191"/>
  <c r="F64" i="191"/>
  <c r="E64" i="191"/>
  <c r="D64" i="191"/>
  <c r="U63" i="191"/>
  <c r="T63" i="191"/>
  <c r="S63" i="191"/>
  <c r="R63" i="191"/>
  <c r="Q63" i="191"/>
  <c r="P63" i="191"/>
  <c r="O63" i="191"/>
  <c r="N63" i="191"/>
  <c r="M63" i="191"/>
  <c r="L63" i="191"/>
  <c r="K63" i="191"/>
  <c r="J63" i="191"/>
  <c r="I63" i="191"/>
  <c r="H63" i="191"/>
  <c r="G63" i="191"/>
  <c r="F63" i="191"/>
  <c r="E63" i="191"/>
  <c r="D63" i="191"/>
  <c r="U62" i="191"/>
  <c r="T62" i="191"/>
  <c r="S62" i="191"/>
  <c r="R62" i="191"/>
  <c r="Q62" i="191"/>
  <c r="P62" i="191"/>
  <c r="O62" i="191"/>
  <c r="N62" i="191"/>
  <c r="M62" i="191"/>
  <c r="L62" i="191"/>
  <c r="K62" i="191"/>
  <c r="J62" i="191"/>
  <c r="I62" i="191"/>
  <c r="H62" i="191"/>
  <c r="G62" i="191"/>
  <c r="F62" i="191"/>
  <c r="E62" i="191"/>
  <c r="D62" i="191"/>
  <c r="U61" i="191"/>
  <c r="T61" i="191"/>
  <c r="S61" i="191"/>
  <c r="R61" i="191"/>
  <c r="Q61" i="191"/>
  <c r="P61" i="191"/>
  <c r="O61" i="191"/>
  <c r="N61" i="191"/>
  <c r="M61" i="191"/>
  <c r="L61" i="191"/>
  <c r="K61" i="191"/>
  <c r="J61" i="191"/>
  <c r="I61" i="191"/>
  <c r="H61" i="191"/>
  <c r="G61" i="191"/>
  <c r="F61" i="191"/>
  <c r="E61" i="191"/>
  <c r="D61" i="191"/>
  <c r="U60" i="191"/>
  <c r="T60" i="191"/>
  <c r="S60" i="191"/>
  <c r="R60" i="191"/>
  <c r="Q60" i="191"/>
  <c r="P60" i="191"/>
  <c r="O60" i="191"/>
  <c r="N60" i="191"/>
  <c r="M60" i="191"/>
  <c r="L60" i="191"/>
  <c r="K60" i="191"/>
  <c r="J60" i="191"/>
  <c r="I60" i="191"/>
  <c r="H60" i="191"/>
  <c r="G60" i="191"/>
  <c r="F60" i="191"/>
  <c r="E60" i="191"/>
  <c r="D60" i="191"/>
  <c r="U59" i="191"/>
  <c r="T59" i="191"/>
  <c r="S59" i="191"/>
  <c r="R59" i="191"/>
  <c r="Q59" i="191"/>
  <c r="P59" i="191"/>
  <c r="O59" i="191"/>
  <c r="N59" i="191"/>
  <c r="M59" i="191"/>
  <c r="L59" i="191"/>
  <c r="K59" i="191"/>
  <c r="J59" i="191"/>
  <c r="I59" i="191"/>
  <c r="H59" i="191"/>
  <c r="G59" i="191"/>
  <c r="F59" i="191"/>
  <c r="E59" i="191"/>
  <c r="D59" i="191"/>
  <c r="U58" i="191"/>
  <c r="T58" i="191"/>
  <c r="S58" i="191"/>
  <c r="R58" i="191"/>
  <c r="Q58" i="191"/>
  <c r="P58" i="191"/>
  <c r="O58" i="191"/>
  <c r="N58" i="191"/>
  <c r="M58" i="191"/>
  <c r="L58" i="191"/>
  <c r="K58" i="191"/>
  <c r="J58" i="191"/>
  <c r="I58" i="191"/>
  <c r="H58" i="191"/>
  <c r="G58" i="191"/>
  <c r="F58" i="191"/>
  <c r="E58" i="191"/>
  <c r="D58" i="191"/>
  <c r="U57" i="191"/>
  <c r="T57" i="191"/>
  <c r="S57" i="191"/>
  <c r="R57" i="191"/>
  <c r="Q57" i="191"/>
  <c r="P57" i="191"/>
  <c r="O57" i="191"/>
  <c r="N57" i="191"/>
  <c r="M57" i="191"/>
  <c r="L57" i="191"/>
  <c r="K57" i="191"/>
  <c r="J57" i="191"/>
  <c r="I57" i="191"/>
  <c r="H57" i="191"/>
  <c r="G57" i="191"/>
  <c r="F57" i="191"/>
  <c r="E57" i="191"/>
  <c r="D57" i="191"/>
  <c r="P56" i="191"/>
  <c r="U55" i="191"/>
  <c r="T55" i="191"/>
  <c r="S55" i="191"/>
  <c r="R55" i="191"/>
  <c r="Q55" i="191"/>
  <c r="P55" i="191"/>
  <c r="O55" i="191"/>
  <c r="N55" i="191"/>
  <c r="M55" i="191"/>
  <c r="L55" i="191"/>
  <c r="K55" i="191"/>
  <c r="J55" i="191"/>
  <c r="I55" i="191"/>
  <c r="H55" i="191"/>
  <c r="G55" i="191"/>
  <c r="F55" i="191"/>
  <c r="E55" i="191"/>
  <c r="D55" i="191"/>
  <c r="U54" i="191"/>
  <c r="T54" i="191"/>
  <c r="S54" i="191"/>
  <c r="R54" i="191"/>
  <c r="Q54" i="191"/>
  <c r="P54" i="191"/>
  <c r="O54" i="191"/>
  <c r="N54" i="191"/>
  <c r="M54" i="191"/>
  <c r="L54" i="191"/>
  <c r="K54" i="191"/>
  <c r="J54" i="191"/>
  <c r="I54" i="191"/>
  <c r="H54" i="191"/>
  <c r="G54" i="191"/>
  <c r="F54" i="191"/>
  <c r="E54" i="191"/>
  <c r="D54" i="191"/>
  <c r="U53" i="191"/>
  <c r="T53" i="191"/>
  <c r="S53" i="191"/>
  <c r="R53" i="191"/>
  <c r="Q53" i="191"/>
  <c r="P53" i="191"/>
  <c r="O53" i="191"/>
  <c r="N53" i="191"/>
  <c r="M53" i="191"/>
  <c r="L53" i="191"/>
  <c r="K53" i="191"/>
  <c r="J53" i="191"/>
  <c r="I53" i="191"/>
  <c r="H53" i="191"/>
  <c r="G53" i="191"/>
  <c r="F53" i="191"/>
  <c r="E53" i="191"/>
  <c r="D53" i="191"/>
  <c r="U52" i="191"/>
  <c r="T52" i="191"/>
  <c r="S52" i="191"/>
  <c r="R52" i="191"/>
  <c r="Q52" i="191"/>
  <c r="P52" i="191"/>
  <c r="O52" i="191"/>
  <c r="N52" i="191"/>
  <c r="M52" i="191"/>
  <c r="L52" i="191"/>
  <c r="K52" i="191"/>
  <c r="J52" i="191"/>
  <c r="I52" i="191"/>
  <c r="H52" i="191"/>
  <c r="G52" i="191"/>
  <c r="F52" i="191"/>
  <c r="E52" i="191"/>
  <c r="D52" i="191"/>
  <c r="U51" i="191"/>
  <c r="T51" i="191"/>
  <c r="S51" i="191"/>
  <c r="R51" i="191"/>
  <c r="Q51" i="191"/>
  <c r="P51" i="191"/>
  <c r="O51" i="191"/>
  <c r="N51" i="191"/>
  <c r="M51" i="191"/>
  <c r="L51" i="191"/>
  <c r="K51" i="191"/>
  <c r="J51" i="191"/>
  <c r="I51" i="191"/>
  <c r="H51" i="191"/>
  <c r="G51" i="191"/>
  <c r="F51" i="191"/>
  <c r="E51" i="191"/>
  <c r="D51" i="191"/>
  <c r="U50" i="191"/>
  <c r="T50" i="191"/>
  <c r="S50" i="191"/>
  <c r="R50" i="191"/>
  <c r="Q50" i="191"/>
  <c r="P50" i="191"/>
  <c r="O50" i="191"/>
  <c r="N50" i="191"/>
  <c r="M50" i="191"/>
  <c r="L50" i="191"/>
  <c r="K50" i="191"/>
  <c r="J50" i="191"/>
  <c r="I50" i="191"/>
  <c r="H50" i="191"/>
  <c r="G50" i="191"/>
  <c r="F50" i="191"/>
  <c r="E50" i="191"/>
  <c r="D50" i="191"/>
  <c r="U49" i="191"/>
  <c r="T49" i="191"/>
  <c r="S49" i="191"/>
  <c r="R49" i="191"/>
  <c r="Q49" i="191"/>
  <c r="P49" i="191"/>
  <c r="O49" i="191"/>
  <c r="N49" i="191"/>
  <c r="M49" i="191"/>
  <c r="L49" i="191"/>
  <c r="K49" i="191"/>
  <c r="J49" i="191"/>
  <c r="I49" i="191"/>
  <c r="H49" i="191"/>
  <c r="G49" i="191"/>
  <c r="F49" i="191"/>
  <c r="E49" i="191"/>
  <c r="D49" i="191"/>
  <c r="U43" i="191"/>
  <c r="T43" i="191"/>
  <c r="S43" i="191"/>
  <c r="R43" i="191"/>
  <c r="Q43" i="191"/>
  <c r="P43" i="191"/>
  <c r="O43" i="191"/>
  <c r="N43" i="191"/>
  <c r="M43" i="191"/>
  <c r="L43" i="191"/>
  <c r="K43" i="191"/>
  <c r="J43" i="191"/>
  <c r="I43" i="191"/>
  <c r="H43" i="191"/>
  <c r="G43" i="191"/>
  <c r="F43" i="191"/>
  <c r="E43" i="191"/>
  <c r="D43" i="191"/>
  <c r="U42" i="191"/>
  <c r="T42" i="191"/>
  <c r="S42" i="191"/>
  <c r="R42" i="191"/>
  <c r="Q42" i="191"/>
  <c r="P42" i="191"/>
  <c r="O42" i="191"/>
  <c r="N42" i="191"/>
  <c r="M42" i="191"/>
  <c r="L42" i="191"/>
  <c r="K42" i="191"/>
  <c r="J42" i="191"/>
  <c r="I42" i="191"/>
  <c r="H42" i="191"/>
  <c r="G42" i="191"/>
  <c r="F42" i="191"/>
  <c r="E42" i="191"/>
  <c r="D42" i="191"/>
  <c r="U41" i="191"/>
  <c r="T41" i="191"/>
  <c r="S41" i="191"/>
  <c r="R41" i="191"/>
  <c r="Q41" i="191"/>
  <c r="P41" i="191"/>
  <c r="O41" i="191"/>
  <c r="N41" i="191"/>
  <c r="M41" i="191"/>
  <c r="L41" i="191"/>
  <c r="K41" i="191"/>
  <c r="J41" i="191"/>
  <c r="I41" i="191"/>
  <c r="H41" i="191"/>
  <c r="G41" i="191"/>
  <c r="F41" i="191"/>
  <c r="E41" i="191"/>
  <c r="D41" i="191"/>
  <c r="U40" i="191"/>
  <c r="T40" i="191"/>
  <c r="S40" i="191"/>
  <c r="R40" i="191"/>
  <c r="Q40" i="191"/>
  <c r="P40" i="191"/>
  <c r="O40" i="191"/>
  <c r="N40" i="191"/>
  <c r="M40" i="191"/>
  <c r="L40" i="191"/>
  <c r="K40" i="191"/>
  <c r="J40" i="191"/>
  <c r="I40" i="191"/>
  <c r="H40" i="191"/>
  <c r="G40" i="191"/>
  <c r="F40" i="191"/>
  <c r="E40" i="191"/>
  <c r="D40" i="191"/>
  <c r="U39" i="191"/>
  <c r="T39" i="191"/>
  <c r="S39" i="191"/>
  <c r="R39" i="191"/>
  <c r="Q39" i="191"/>
  <c r="P39" i="191"/>
  <c r="O39" i="191"/>
  <c r="N39" i="191"/>
  <c r="M39" i="191"/>
  <c r="L39" i="191"/>
  <c r="K39" i="191"/>
  <c r="J39" i="191"/>
  <c r="I39" i="191"/>
  <c r="H39" i="191"/>
  <c r="G39" i="191"/>
  <c r="F39" i="191"/>
  <c r="E39" i="191"/>
  <c r="D39" i="191"/>
  <c r="U38" i="191"/>
  <c r="T38" i="191"/>
  <c r="S38" i="191"/>
  <c r="R38" i="191"/>
  <c r="Q38" i="191"/>
  <c r="P38" i="191"/>
  <c r="O38" i="191"/>
  <c r="N38" i="191"/>
  <c r="M38" i="191"/>
  <c r="L38" i="191"/>
  <c r="K38" i="191"/>
  <c r="J38" i="191"/>
  <c r="I38" i="191"/>
  <c r="H38" i="191"/>
  <c r="G38" i="191"/>
  <c r="F38" i="191"/>
  <c r="E38" i="191"/>
  <c r="D38" i="191"/>
  <c r="U37" i="191"/>
  <c r="T37" i="191"/>
  <c r="S37" i="191"/>
  <c r="R37" i="191"/>
  <c r="Q37" i="191"/>
  <c r="P37" i="191"/>
  <c r="O37" i="191"/>
  <c r="N37" i="191"/>
  <c r="M37" i="191"/>
  <c r="L37" i="191"/>
  <c r="K37" i="191"/>
  <c r="J37" i="191"/>
  <c r="I37" i="191"/>
  <c r="H37" i="191"/>
  <c r="G37" i="191"/>
  <c r="F37" i="191"/>
  <c r="E37" i="191"/>
  <c r="D37" i="191"/>
  <c r="U36" i="191"/>
  <c r="T36" i="191"/>
  <c r="S36" i="191"/>
  <c r="R36" i="191"/>
  <c r="Q36" i="191"/>
  <c r="P36" i="191"/>
  <c r="O36" i="191"/>
  <c r="N36" i="191"/>
  <c r="M36" i="191"/>
  <c r="L36" i="191"/>
  <c r="K36" i="191"/>
  <c r="J36" i="191"/>
  <c r="I36" i="191"/>
  <c r="H36" i="191"/>
  <c r="G36" i="191"/>
  <c r="F36" i="191"/>
  <c r="E36" i="191"/>
  <c r="D36" i="191"/>
  <c r="U35" i="191"/>
  <c r="T35" i="191"/>
  <c r="S35" i="191"/>
  <c r="R35" i="191"/>
  <c r="Q35" i="191"/>
  <c r="P35" i="191"/>
  <c r="O35" i="191"/>
  <c r="N35" i="191"/>
  <c r="M35" i="191"/>
  <c r="L35" i="191"/>
  <c r="K35" i="191"/>
  <c r="J35" i="191"/>
  <c r="I35" i="191"/>
  <c r="H35" i="191"/>
  <c r="G35" i="191"/>
  <c r="F35" i="191"/>
  <c r="E35" i="191"/>
  <c r="D35" i="191"/>
  <c r="U34" i="191"/>
  <c r="T34" i="191"/>
  <c r="S34" i="191"/>
  <c r="R34" i="191"/>
  <c r="Q34" i="191"/>
  <c r="P34" i="191"/>
  <c r="O34" i="191"/>
  <c r="N34" i="191"/>
  <c r="M34" i="191"/>
  <c r="L34" i="191"/>
  <c r="K34" i="191"/>
  <c r="J34" i="191"/>
  <c r="I34" i="191"/>
  <c r="H34" i="191"/>
  <c r="G34" i="191"/>
  <c r="F34" i="191"/>
  <c r="E34" i="191"/>
  <c r="D34" i="191"/>
  <c r="P33" i="191"/>
  <c r="U32" i="191"/>
  <c r="T32" i="191"/>
  <c r="S32" i="191"/>
  <c r="R32" i="191"/>
  <c r="Q32" i="191"/>
  <c r="P32" i="191"/>
  <c r="O32" i="191"/>
  <c r="N32" i="191"/>
  <c r="M32" i="191"/>
  <c r="L32" i="191"/>
  <c r="K32" i="191"/>
  <c r="J32" i="191"/>
  <c r="I32" i="191"/>
  <c r="H32" i="191"/>
  <c r="G32" i="191"/>
  <c r="F32" i="191"/>
  <c r="E32" i="191"/>
  <c r="D32" i="191"/>
  <c r="U31" i="191"/>
  <c r="T31" i="191"/>
  <c r="S31" i="191"/>
  <c r="R31" i="191"/>
  <c r="Q31" i="191"/>
  <c r="P31" i="191"/>
  <c r="O31" i="191"/>
  <c r="N31" i="191"/>
  <c r="M31" i="191"/>
  <c r="L31" i="191"/>
  <c r="K31" i="191"/>
  <c r="J31" i="191"/>
  <c r="I31" i="191"/>
  <c r="H31" i="191"/>
  <c r="G31" i="191"/>
  <c r="F31" i="191"/>
  <c r="E31" i="191"/>
  <c r="D31" i="191"/>
  <c r="U30" i="191"/>
  <c r="T30" i="191"/>
  <c r="S30" i="191"/>
  <c r="R30" i="191"/>
  <c r="Q30" i="191"/>
  <c r="P30" i="191"/>
  <c r="O30" i="191"/>
  <c r="N30" i="191"/>
  <c r="M30" i="191"/>
  <c r="L30" i="191"/>
  <c r="K30" i="191"/>
  <c r="J30" i="191"/>
  <c r="I30" i="191"/>
  <c r="H30" i="191"/>
  <c r="G30" i="191"/>
  <c r="F30" i="191"/>
  <c r="E30" i="191"/>
  <c r="D30" i="191"/>
  <c r="U29" i="191"/>
  <c r="T29" i="191"/>
  <c r="S29" i="191"/>
  <c r="R29" i="191"/>
  <c r="Q29" i="191"/>
  <c r="P29" i="191"/>
  <c r="O29" i="191"/>
  <c r="N29" i="191"/>
  <c r="M29" i="191"/>
  <c r="L29" i="191"/>
  <c r="K29" i="191"/>
  <c r="J29" i="191"/>
  <c r="I29" i="191"/>
  <c r="H29" i="191"/>
  <c r="G29" i="191"/>
  <c r="F29" i="191"/>
  <c r="E29" i="191"/>
  <c r="D29" i="191"/>
  <c r="U28" i="191"/>
  <c r="T28" i="191"/>
  <c r="S28" i="191"/>
  <c r="R28" i="191"/>
  <c r="Q28" i="191"/>
  <c r="P28" i="191"/>
  <c r="O28" i="191"/>
  <c r="N28" i="191"/>
  <c r="M28" i="191"/>
  <c r="L28" i="191"/>
  <c r="K28" i="191"/>
  <c r="J28" i="191"/>
  <c r="I28" i="191"/>
  <c r="H28" i="191"/>
  <c r="G28" i="191"/>
  <c r="F28" i="191"/>
  <c r="E28" i="191"/>
  <c r="D28" i="191"/>
  <c r="U27" i="191"/>
  <c r="T27" i="191"/>
  <c r="S27" i="191"/>
  <c r="R27" i="191"/>
  <c r="Q27" i="191"/>
  <c r="P27" i="191"/>
  <c r="O27" i="191"/>
  <c r="N27" i="191"/>
  <c r="M27" i="191"/>
  <c r="L27" i="191"/>
  <c r="K27" i="191"/>
  <c r="J27" i="191"/>
  <c r="I27" i="191"/>
  <c r="H27" i="191"/>
  <c r="G27" i="191"/>
  <c r="F27" i="191"/>
  <c r="E27" i="191"/>
  <c r="D27" i="191"/>
  <c r="U26" i="191"/>
  <c r="T26" i="191"/>
  <c r="S26" i="191"/>
  <c r="R26" i="191"/>
  <c r="Q26" i="191"/>
  <c r="P26" i="191"/>
  <c r="O26" i="191"/>
  <c r="N26" i="191"/>
  <c r="M26" i="191"/>
  <c r="L26" i="191"/>
  <c r="K26" i="191"/>
  <c r="J26" i="191"/>
  <c r="I26" i="191"/>
  <c r="H26" i="191"/>
  <c r="G26" i="191"/>
  <c r="F26" i="191"/>
  <c r="E26" i="191"/>
  <c r="D26" i="191"/>
  <c r="U25" i="191"/>
  <c r="T25" i="191"/>
  <c r="S25" i="191"/>
  <c r="R25" i="191"/>
  <c r="Q25" i="191"/>
  <c r="P25" i="191"/>
  <c r="O25" i="191"/>
  <c r="N25" i="191"/>
  <c r="M25" i="191"/>
  <c r="L25" i="191"/>
  <c r="K25" i="191"/>
  <c r="J25" i="191"/>
  <c r="I25" i="191"/>
  <c r="H25" i="191"/>
  <c r="G25" i="191"/>
  <c r="F25" i="191"/>
  <c r="E25" i="191"/>
  <c r="D25" i="191"/>
  <c r="U24" i="191"/>
  <c r="T24" i="191"/>
  <c r="S24" i="191"/>
  <c r="R24" i="191"/>
  <c r="Q24" i="191"/>
  <c r="P24" i="191"/>
  <c r="O24" i="191"/>
  <c r="N24" i="191"/>
  <c r="M24" i="191"/>
  <c r="L24" i="191"/>
  <c r="K24" i="191"/>
  <c r="J24" i="191"/>
  <c r="I24" i="191"/>
  <c r="H24" i="191"/>
  <c r="G24" i="191"/>
  <c r="F24" i="191"/>
  <c r="E24" i="191"/>
  <c r="D24" i="191"/>
  <c r="U23" i="191"/>
  <c r="T23" i="191"/>
  <c r="S23" i="191"/>
  <c r="R23" i="191"/>
  <c r="Q23" i="191"/>
  <c r="P23" i="191"/>
  <c r="O23" i="191"/>
  <c r="N23" i="191"/>
  <c r="M23" i="191"/>
  <c r="L23" i="191"/>
  <c r="K23" i="191"/>
  <c r="J23" i="191"/>
  <c r="I23" i="191"/>
  <c r="H23" i="191"/>
  <c r="G23" i="191"/>
  <c r="F23" i="191"/>
  <c r="E23" i="191"/>
  <c r="D23" i="191"/>
  <c r="U22" i="191"/>
  <c r="T22" i="191"/>
  <c r="S22" i="191"/>
  <c r="R22" i="191"/>
  <c r="Q22" i="191"/>
  <c r="P22" i="191"/>
  <c r="O22" i="191"/>
  <c r="N22" i="191"/>
  <c r="M22" i="191"/>
  <c r="L22" i="191"/>
  <c r="K22" i="191"/>
  <c r="J22" i="191"/>
  <c r="I22" i="191"/>
  <c r="H22" i="191"/>
  <c r="G22" i="191"/>
  <c r="F22" i="191"/>
  <c r="E22" i="191"/>
  <c r="D22" i="191"/>
  <c r="U21" i="191"/>
  <c r="T21" i="191"/>
  <c r="S21" i="191"/>
  <c r="R21" i="191"/>
  <c r="Q21" i="191"/>
  <c r="P21" i="191"/>
  <c r="O21" i="191"/>
  <c r="N21" i="191"/>
  <c r="M21" i="191"/>
  <c r="L21" i="191"/>
  <c r="K21" i="191"/>
  <c r="J21" i="191"/>
  <c r="I21" i="191"/>
  <c r="H21" i="191"/>
  <c r="G21" i="191"/>
  <c r="F21" i="191"/>
  <c r="E21" i="191"/>
  <c r="D21" i="191"/>
  <c r="U20" i="191"/>
  <c r="T20" i="191"/>
  <c r="S20" i="191"/>
  <c r="R20" i="191"/>
  <c r="Q20" i="191"/>
  <c r="P20" i="191"/>
  <c r="O20" i="191"/>
  <c r="N20" i="191"/>
  <c r="M20" i="191"/>
  <c r="L20" i="191"/>
  <c r="K20" i="191"/>
  <c r="J20" i="191"/>
  <c r="I20" i="191"/>
  <c r="H20" i="191"/>
  <c r="G20" i="191"/>
  <c r="F20" i="191"/>
  <c r="E20" i="191"/>
  <c r="D20" i="191"/>
  <c r="P19" i="191"/>
  <c r="U18" i="191"/>
  <c r="T18" i="191"/>
  <c r="S18" i="191"/>
  <c r="R18" i="191"/>
  <c r="Q18" i="191"/>
  <c r="P18" i="191"/>
  <c r="O18" i="191"/>
  <c r="N18" i="191"/>
  <c r="M18" i="191"/>
  <c r="L18" i="191"/>
  <c r="K18" i="191"/>
  <c r="J18" i="191"/>
  <c r="I18" i="191"/>
  <c r="H18" i="191"/>
  <c r="G18" i="191"/>
  <c r="F18" i="191"/>
  <c r="E18" i="191"/>
  <c r="D18" i="191"/>
  <c r="U17" i="191"/>
  <c r="T17" i="191"/>
  <c r="S17" i="191"/>
  <c r="R17" i="191"/>
  <c r="Q17" i="191"/>
  <c r="P17" i="191"/>
  <c r="O17" i="191"/>
  <c r="N17" i="191"/>
  <c r="M17" i="191"/>
  <c r="L17" i="191"/>
  <c r="K17" i="191"/>
  <c r="J17" i="191"/>
  <c r="I17" i="191"/>
  <c r="H17" i="191"/>
  <c r="G17" i="191"/>
  <c r="F17" i="191"/>
  <c r="E17" i="191"/>
  <c r="D17" i="191"/>
  <c r="U16" i="191"/>
  <c r="T16" i="191"/>
  <c r="S16" i="191"/>
  <c r="R16" i="191"/>
  <c r="Q16" i="191"/>
  <c r="P16" i="191"/>
  <c r="O16" i="191"/>
  <c r="N16" i="191"/>
  <c r="M16" i="191"/>
  <c r="L16" i="191"/>
  <c r="K16" i="191"/>
  <c r="J16" i="191"/>
  <c r="I16" i="191"/>
  <c r="H16" i="191"/>
  <c r="G16" i="191"/>
  <c r="F16" i="191"/>
  <c r="E16" i="191"/>
  <c r="D16" i="191"/>
  <c r="U15" i="191"/>
  <c r="T15" i="191"/>
  <c r="S15" i="191"/>
  <c r="R15" i="191"/>
  <c r="Q15" i="191"/>
  <c r="P15" i="191"/>
  <c r="O15" i="191"/>
  <c r="N15" i="191"/>
  <c r="M15" i="191"/>
  <c r="L15" i="191"/>
  <c r="K15" i="191"/>
  <c r="J15" i="191"/>
  <c r="I15" i="191"/>
  <c r="H15" i="191"/>
  <c r="G15" i="191"/>
  <c r="F15" i="191"/>
  <c r="E15" i="191"/>
  <c r="D15" i="191"/>
  <c r="U14" i="191"/>
  <c r="T14" i="191"/>
  <c r="S14" i="191"/>
  <c r="R14" i="191"/>
  <c r="Q14" i="191"/>
  <c r="P14" i="191"/>
  <c r="O14" i="191"/>
  <c r="N14" i="191"/>
  <c r="M14" i="191"/>
  <c r="L14" i="191"/>
  <c r="K14" i="191"/>
  <c r="J14" i="191"/>
  <c r="I14" i="191"/>
  <c r="H14" i="191"/>
  <c r="G14" i="191"/>
  <c r="F14" i="191"/>
  <c r="E14" i="191"/>
  <c r="D14" i="191"/>
  <c r="U13" i="191"/>
  <c r="T13" i="191"/>
  <c r="S13" i="191"/>
  <c r="R13" i="191"/>
  <c r="Q13" i="191"/>
  <c r="P13" i="191"/>
  <c r="O13" i="191"/>
  <c r="N13" i="191"/>
  <c r="M13" i="191"/>
  <c r="L13" i="191"/>
  <c r="K13" i="191"/>
  <c r="J13" i="191"/>
  <c r="I13" i="191"/>
  <c r="H13" i="191"/>
  <c r="G13" i="191"/>
  <c r="F13" i="191"/>
  <c r="E13" i="191"/>
  <c r="D13" i="191"/>
  <c r="U12" i="191"/>
  <c r="T12" i="191"/>
  <c r="S12" i="191"/>
  <c r="R12" i="191"/>
  <c r="Q12" i="191"/>
  <c r="P12" i="191"/>
  <c r="O12" i="191"/>
  <c r="N12" i="191"/>
  <c r="M12" i="191"/>
  <c r="L12" i="191"/>
  <c r="K12" i="191"/>
  <c r="J12" i="191"/>
  <c r="I12" i="191"/>
  <c r="H12" i="191"/>
  <c r="G12" i="191"/>
  <c r="F12" i="191"/>
  <c r="E12" i="191"/>
  <c r="D12" i="191"/>
  <c r="U339" i="190"/>
  <c r="T339" i="190"/>
  <c r="S339" i="190"/>
  <c r="R339" i="190"/>
  <c r="Q339" i="190"/>
  <c r="P339" i="190"/>
  <c r="O339" i="190"/>
  <c r="N339" i="190"/>
  <c r="M339" i="190"/>
  <c r="L339" i="190"/>
  <c r="K339" i="190"/>
  <c r="J339" i="190"/>
  <c r="I339" i="190"/>
  <c r="H339" i="190"/>
  <c r="G339" i="190"/>
  <c r="F339" i="190"/>
  <c r="E339" i="190"/>
  <c r="D339" i="190"/>
  <c r="U338" i="190"/>
  <c r="T338" i="190"/>
  <c r="S338" i="190"/>
  <c r="R338" i="190"/>
  <c r="Q338" i="190"/>
  <c r="P338" i="190"/>
  <c r="O338" i="190"/>
  <c r="N338" i="190"/>
  <c r="M338" i="190"/>
  <c r="L338" i="190"/>
  <c r="K338" i="190"/>
  <c r="J338" i="190"/>
  <c r="I338" i="190"/>
  <c r="H338" i="190"/>
  <c r="G338" i="190"/>
  <c r="F338" i="190"/>
  <c r="E338" i="190"/>
  <c r="D338" i="190"/>
  <c r="U337" i="190"/>
  <c r="T337" i="190"/>
  <c r="S337" i="190"/>
  <c r="R337" i="190"/>
  <c r="Q337" i="190"/>
  <c r="P337" i="190"/>
  <c r="O337" i="190"/>
  <c r="N337" i="190"/>
  <c r="M337" i="190"/>
  <c r="L337" i="190"/>
  <c r="K337" i="190"/>
  <c r="J337" i="190"/>
  <c r="I337" i="190"/>
  <c r="H337" i="190"/>
  <c r="G337" i="190"/>
  <c r="F337" i="190"/>
  <c r="E337" i="190"/>
  <c r="D337" i="190"/>
  <c r="U336" i="190"/>
  <c r="T336" i="190"/>
  <c r="S336" i="190"/>
  <c r="R336" i="190"/>
  <c r="Q336" i="190"/>
  <c r="P336" i="190"/>
  <c r="O336" i="190"/>
  <c r="N336" i="190"/>
  <c r="M336" i="190"/>
  <c r="L336" i="190"/>
  <c r="K336" i="190"/>
  <c r="J336" i="190"/>
  <c r="I336" i="190"/>
  <c r="H336" i="190"/>
  <c r="G336" i="190"/>
  <c r="F336" i="190"/>
  <c r="E336" i="190"/>
  <c r="D336" i="190"/>
  <c r="U335" i="190"/>
  <c r="T335" i="190"/>
  <c r="S335" i="190"/>
  <c r="R335" i="190"/>
  <c r="Q335" i="190"/>
  <c r="P335" i="190"/>
  <c r="O335" i="190"/>
  <c r="N335" i="190"/>
  <c r="M335" i="190"/>
  <c r="L335" i="190"/>
  <c r="K335" i="190"/>
  <c r="J335" i="190"/>
  <c r="I335" i="190"/>
  <c r="H335" i="190"/>
  <c r="G335" i="190"/>
  <c r="F335" i="190"/>
  <c r="E335" i="190"/>
  <c r="D335" i="190"/>
  <c r="U334" i="190"/>
  <c r="T334" i="190"/>
  <c r="S334" i="190"/>
  <c r="R334" i="190"/>
  <c r="Q334" i="190"/>
  <c r="P334" i="190"/>
  <c r="O334" i="190"/>
  <c r="N334" i="190"/>
  <c r="M334" i="190"/>
  <c r="L334" i="190"/>
  <c r="K334" i="190"/>
  <c r="J334" i="190"/>
  <c r="I334" i="190"/>
  <c r="H334" i="190"/>
  <c r="G334" i="190"/>
  <c r="F334" i="190"/>
  <c r="E334" i="190"/>
  <c r="D334" i="190"/>
  <c r="U333" i="190"/>
  <c r="T333" i="190"/>
  <c r="S333" i="190"/>
  <c r="R333" i="190"/>
  <c r="Q333" i="190"/>
  <c r="P333" i="190"/>
  <c r="O333" i="190"/>
  <c r="N333" i="190"/>
  <c r="M333" i="190"/>
  <c r="L333" i="190"/>
  <c r="K333" i="190"/>
  <c r="J333" i="190"/>
  <c r="I333" i="190"/>
  <c r="H333" i="190"/>
  <c r="G333" i="190"/>
  <c r="F333" i="190"/>
  <c r="E333" i="190"/>
  <c r="D333" i="190"/>
  <c r="U332" i="190"/>
  <c r="T332" i="190"/>
  <c r="S332" i="190"/>
  <c r="R332" i="190"/>
  <c r="Q332" i="190"/>
  <c r="P332" i="190"/>
  <c r="O332" i="190"/>
  <c r="N332" i="190"/>
  <c r="M332" i="190"/>
  <c r="L332" i="190"/>
  <c r="K332" i="190"/>
  <c r="J332" i="190"/>
  <c r="I332" i="190"/>
  <c r="H332" i="190"/>
  <c r="G332" i="190"/>
  <c r="F332" i="190"/>
  <c r="E332" i="190"/>
  <c r="D332" i="190"/>
  <c r="U331" i="190"/>
  <c r="T331" i="190"/>
  <c r="S331" i="190"/>
  <c r="R331" i="190"/>
  <c r="Q331" i="190"/>
  <c r="P331" i="190"/>
  <c r="O331" i="190"/>
  <c r="N331" i="190"/>
  <c r="M331" i="190"/>
  <c r="L331" i="190"/>
  <c r="K331" i="190"/>
  <c r="J331" i="190"/>
  <c r="I331" i="190"/>
  <c r="H331" i="190"/>
  <c r="G331" i="190"/>
  <c r="F331" i="190"/>
  <c r="E331" i="190"/>
  <c r="D331" i="190"/>
  <c r="U330" i="190"/>
  <c r="T330" i="190"/>
  <c r="S330" i="190"/>
  <c r="R330" i="190"/>
  <c r="Q330" i="190"/>
  <c r="P330" i="190"/>
  <c r="O330" i="190"/>
  <c r="N330" i="190"/>
  <c r="M330" i="190"/>
  <c r="L330" i="190"/>
  <c r="K330" i="190"/>
  <c r="J330" i="190"/>
  <c r="I330" i="190"/>
  <c r="H330" i="190"/>
  <c r="G330" i="190"/>
  <c r="F330" i="190"/>
  <c r="E330" i="190"/>
  <c r="D330" i="190"/>
  <c r="P329" i="190"/>
  <c r="U328" i="190"/>
  <c r="T328" i="190"/>
  <c r="S328" i="190"/>
  <c r="R328" i="190"/>
  <c r="Q328" i="190"/>
  <c r="P328" i="190"/>
  <c r="O328" i="190"/>
  <c r="N328" i="190"/>
  <c r="M328" i="190"/>
  <c r="L328" i="190"/>
  <c r="K328" i="190"/>
  <c r="J328" i="190"/>
  <c r="I328" i="190"/>
  <c r="H328" i="190"/>
  <c r="G328" i="190"/>
  <c r="F328" i="190"/>
  <c r="E328" i="190"/>
  <c r="D328" i="190"/>
  <c r="U327" i="190"/>
  <c r="T327" i="190"/>
  <c r="S327" i="190"/>
  <c r="R327" i="190"/>
  <c r="Q327" i="190"/>
  <c r="P327" i="190"/>
  <c r="O327" i="190"/>
  <c r="N327" i="190"/>
  <c r="M327" i="190"/>
  <c r="L327" i="190"/>
  <c r="K327" i="190"/>
  <c r="J327" i="190"/>
  <c r="I327" i="190"/>
  <c r="H327" i="190"/>
  <c r="G327" i="190"/>
  <c r="F327" i="190"/>
  <c r="E327" i="190"/>
  <c r="D327" i="190"/>
  <c r="U326" i="190"/>
  <c r="T326" i="190"/>
  <c r="S326" i="190"/>
  <c r="R326" i="190"/>
  <c r="Q326" i="190"/>
  <c r="P326" i="190"/>
  <c r="O326" i="190"/>
  <c r="N326" i="190"/>
  <c r="M326" i="190"/>
  <c r="L326" i="190"/>
  <c r="K326" i="190"/>
  <c r="J326" i="190"/>
  <c r="I326" i="190"/>
  <c r="H326" i="190"/>
  <c r="G326" i="190"/>
  <c r="F326" i="190"/>
  <c r="E326" i="190"/>
  <c r="D326" i="190"/>
  <c r="U325" i="190"/>
  <c r="T325" i="190"/>
  <c r="S325" i="190"/>
  <c r="R325" i="190"/>
  <c r="Q325" i="190"/>
  <c r="P325" i="190"/>
  <c r="O325" i="190"/>
  <c r="N325" i="190"/>
  <c r="M325" i="190"/>
  <c r="L325" i="190"/>
  <c r="K325" i="190"/>
  <c r="J325" i="190"/>
  <c r="I325" i="190"/>
  <c r="H325" i="190"/>
  <c r="G325" i="190"/>
  <c r="F325" i="190"/>
  <c r="E325" i="190"/>
  <c r="D325" i="190"/>
  <c r="U324" i="190"/>
  <c r="T324" i="190"/>
  <c r="S324" i="190"/>
  <c r="R324" i="190"/>
  <c r="Q324" i="190"/>
  <c r="P324" i="190"/>
  <c r="O324" i="190"/>
  <c r="N324" i="190"/>
  <c r="M324" i="190"/>
  <c r="L324" i="190"/>
  <c r="K324" i="190"/>
  <c r="J324" i="190"/>
  <c r="I324" i="190"/>
  <c r="H324" i="190"/>
  <c r="G324" i="190"/>
  <c r="F324" i="190"/>
  <c r="E324" i="190"/>
  <c r="D324" i="190"/>
  <c r="U323" i="190"/>
  <c r="T323" i="190"/>
  <c r="S323" i="190"/>
  <c r="R323" i="190"/>
  <c r="Q323" i="190"/>
  <c r="P323" i="190"/>
  <c r="O323" i="190"/>
  <c r="N323" i="190"/>
  <c r="M323" i="190"/>
  <c r="L323" i="190"/>
  <c r="K323" i="190"/>
  <c r="J323" i="190"/>
  <c r="I323" i="190"/>
  <c r="H323" i="190"/>
  <c r="G323" i="190"/>
  <c r="F323" i="190"/>
  <c r="E323" i="190"/>
  <c r="D323" i="190"/>
  <c r="U322" i="190"/>
  <c r="T322" i="190"/>
  <c r="S322" i="190"/>
  <c r="R322" i="190"/>
  <c r="Q322" i="190"/>
  <c r="P322" i="190"/>
  <c r="O322" i="190"/>
  <c r="N322" i="190"/>
  <c r="M322" i="190"/>
  <c r="L322" i="190"/>
  <c r="K322" i="190"/>
  <c r="J322" i="190"/>
  <c r="I322" i="190"/>
  <c r="H322" i="190"/>
  <c r="G322" i="190"/>
  <c r="F322" i="190"/>
  <c r="E322" i="190"/>
  <c r="D322" i="190"/>
  <c r="U321" i="190"/>
  <c r="T321" i="190"/>
  <c r="S321" i="190"/>
  <c r="R321" i="190"/>
  <c r="Q321" i="190"/>
  <c r="P321" i="190"/>
  <c r="O321" i="190"/>
  <c r="N321" i="190"/>
  <c r="M321" i="190"/>
  <c r="L321" i="190"/>
  <c r="K321" i="190"/>
  <c r="J321" i="190"/>
  <c r="I321" i="190"/>
  <c r="H321" i="190"/>
  <c r="G321" i="190"/>
  <c r="F321" i="190"/>
  <c r="E321" i="190"/>
  <c r="D321" i="190"/>
  <c r="U320" i="190"/>
  <c r="T320" i="190"/>
  <c r="S320" i="190"/>
  <c r="R320" i="190"/>
  <c r="Q320" i="190"/>
  <c r="P320" i="190"/>
  <c r="O320" i="190"/>
  <c r="N320" i="190"/>
  <c r="M320" i="190"/>
  <c r="L320" i="190"/>
  <c r="K320" i="190"/>
  <c r="J320" i="190"/>
  <c r="I320" i="190"/>
  <c r="H320" i="190"/>
  <c r="G320" i="190"/>
  <c r="F320" i="190"/>
  <c r="E320" i="190"/>
  <c r="D320" i="190"/>
  <c r="U319" i="190"/>
  <c r="T319" i="190"/>
  <c r="S319" i="190"/>
  <c r="R319" i="190"/>
  <c r="Q319" i="190"/>
  <c r="P319" i="190"/>
  <c r="O319" i="190"/>
  <c r="N319" i="190"/>
  <c r="M319" i="190"/>
  <c r="L319" i="190"/>
  <c r="K319" i="190"/>
  <c r="J319" i="190"/>
  <c r="I319" i="190"/>
  <c r="H319" i="190"/>
  <c r="G319" i="190"/>
  <c r="F319" i="190"/>
  <c r="E319" i="190"/>
  <c r="D319" i="190"/>
  <c r="U318" i="190"/>
  <c r="T318" i="190"/>
  <c r="S318" i="190"/>
  <c r="R318" i="190"/>
  <c r="Q318" i="190"/>
  <c r="P318" i="190"/>
  <c r="O318" i="190"/>
  <c r="N318" i="190"/>
  <c r="M318" i="190"/>
  <c r="L318" i="190"/>
  <c r="K318" i="190"/>
  <c r="J318" i="190"/>
  <c r="I318" i="190"/>
  <c r="H318" i="190"/>
  <c r="G318" i="190"/>
  <c r="F318" i="190"/>
  <c r="E318" i="190"/>
  <c r="D318" i="190"/>
  <c r="U317" i="190"/>
  <c r="T317" i="190"/>
  <c r="S317" i="190"/>
  <c r="R317" i="190"/>
  <c r="Q317" i="190"/>
  <c r="P317" i="190"/>
  <c r="O317" i="190"/>
  <c r="N317" i="190"/>
  <c r="M317" i="190"/>
  <c r="L317" i="190"/>
  <c r="K317" i="190"/>
  <c r="J317" i="190"/>
  <c r="I317" i="190"/>
  <c r="H317" i="190"/>
  <c r="G317" i="190"/>
  <c r="F317" i="190"/>
  <c r="E317" i="190"/>
  <c r="D317" i="190"/>
  <c r="U316" i="190"/>
  <c r="T316" i="190"/>
  <c r="S316" i="190"/>
  <c r="R316" i="190"/>
  <c r="Q316" i="190"/>
  <c r="P316" i="190"/>
  <c r="O316" i="190"/>
  <c r="N316" i="190"/>
  <c r="M316" i="190"/>
  <c r="L316" i="190"/>
  <c r="K316" i="190"/>
  <c r="J316" i="190"/>
  <c r="I316" i="190"/>
  <c r="H316" i="190"/>
  <c r="G316" i="190"/>
  <c r="F316" i="190"/>
  <c r="E316" i="190"/>
  <c r="D316" i="190"/>
  <c r="P315" i="190"/>
  <c r="U314" i="190"/>
  <c r="T314" i="190"/>
  <c r="S314" i="190"/>
  <c r="R314" i="190"/>
  <c r="Q314" i="190"/>
  <c r="P314" i="190"/>
  <c r="O314" i="190"/>
  <c r="N314" i="190"/>
  <c r="M314" i="190"/>
  <c r="L314" i="190"/>
  <c r="K314" i="190"/>
  <c r="J314" i="190"/>
  <c r="I314" i="190"/>
  <c r="H314" i="190"/>
  <c r="G314" i="190"/>
  <c r="F314" i="190"/>
  <c r="E314" i="190"/>
  <c r="D314" i="190"/>
  <c r="U313" i="190"/>
  <c r="T313" i="190"/>
  <c r="S313" i="190"/>
  <c r="R313" i="190"/>
  <c r="Q313" i="190"/>
  <c r="P313" i="190"/>
  <c r="O313" i="190"/>
  <c r="N313" i="190"/>
  <c r="M313" i="190"/>
  <c r="L313" i="190"/>
  <c r="K313" i="190"/>
  <c r="J313" i="190"/>
  <c r="I313" i="190"/>
  <c r="H313" i="190"/>
  <c r="G313" i="190"/>
  <c r="F313" i="190"/>
  <c r="E313" i="190"/>
  <c r="D313" i="190"/>
  <c r="U312" i="190"/>
  <c r="T312" i="190"/>
  <c r="S312" i="190"/>
  <c r="R312" i="190"/>
  <c r="Q312" i="190"/>
  <c r="P312" i="190"/>
  <c r="O312" i="190"/>
  <c r="N312" i="190"/>
  <c r="M312" i="190"/>
  <c r="L312" i="190"/>
  <c r="K312" i="190"/>
  <c r="J312" i="190"/>
  <c r="I312" i="190"/>
  <c r="H312" i="190"/>
  <c r="G312" i="190"/>
  <c r="F312" i="190"/>
  <c r="E312" i="190"/>
  <c r="D312" i="190"/>
  <c r="U311" i="190"/>
  <c r="T311" i="190"/>
  <c r="S311" i="190"/>
  <c r="R311" i="190"/>
  <c r="Q311" i="190"/>
  <c r="P311" i="190"/>
  <c r="O311" i="190"/>
  <c r="N311" i="190"/>
  <c r="M311" i="190"/>
  <c r="L311" i="190"/>
  <c r="K311" i="190"/>
  <c r="J311" i="190"/>
  <c r="I311" i="190"/>
  <c r="H311" i="190"/>
  <c r="G311" i="190"/>
  <c r="F311" i="190"/>
  <c r="E311" i="190"/>
  <c r="D311" i="190"/>
  <c r="U310" i="190"/>
  <c r="T310" i="190"/>
  <c r="S310" i="190"/>
  <c r="R310" i="190"/>
  <c r="Q310" i="190"/>
  <c r="P310" i="190"/>
  <c r="O310" i="190"/>
  <c r="N310" i="190"/>
  <c r="M310" i="190"/>
  <c r="L310" i="190"/>
  <c r="K310" i="190"/>
  <c r="J310" i="190"/>
  <c r="I310" i="190"/>
  <c r="H310" i="190"/>
  <c r="G310" i="190"/>
  <c r="F310" i="190"/>
  <c r="E310" i="190"/>
  <c r="D310" i="190"/>
  <c r="U309" i="190"/>
  <c r="T309" i="190"/>
  <c r="S309" i="190"/>
  <c r="R309" i="190"/>
  <c r="Q309" i="190"/>
  <c r="P309" i="190"/>
  <c r="O309" i="190"/>
  <c r="N309" i="190"/>
  <c r="M309" i="190"/>
  <c r="L309" i="190"/>
  <c r="K309" i="190"/>
  <c r="J309" i="190"/>
  <c r="I309" i="190"/>
  <c r="H309" i="190"/>
  <c r="G309" i="190"/>
  <c r="F309" i="190"/>
  <c r="E309" i="190"/>
  <c r="D309" i="190"/>
  <c r="U308" i="190"/>
  <c r="T308" i="190"/>
  <c r="S308" i="190"/>
  <c r="R308" i="190"/>
  <c r="Q308" i="190"/>
  <c r="P308" i="190"/>
  <c r="O308" i="190"/>
  <c r="N308" i="190"/>
  <c r="M308" i="190"/>
  <c r="L308" i="190"/>
  <c r="K308" i="190"/>
  <c r="J308" i="190"/>
  <c r="I308" i="190"/>
  <c r="H308" i="190"/>
  <c r="G308" i="190"/>
  <c r="F308" i="190"/>
  <c r="E308" i="190"/>
  <c r="D308" i="190"/>
  <c r="U302" i="190"/>
  <c r="T302" i="190"/>
  <c r="S302" i="190"/>
  <c r="R302" i="190"/>
  <c r="Q302" i="190"/>
  <c r="P302" i="190"/>
  <c r="O302" i="190"/>
  <c r="N302" i="190"/>
  <c r="M302" i="190"/>
  <c r="L302" i="190"/>
  <c r="K302" i="190"/>
  <c r="J302" i="190"/>
  <c r="I302" i="190"/>
  <c r="H302" i="190"/>
  <c r="G302" i="190"/>
  <c r="F302" i="190"/>
  <c r="E302" i="190"/>
  <c r="D302" i="190"/>
  <c r="U301" i="190"/>
  <c r="T301" i="190"/>
  <c r="S301" i="190"/>
  <c r="R301" i="190"/>
  <c r="Q301" i="190"/>
  <c r="P301" i="190"/>
  <c r="O301" i="190"/>
  <c r="N301" i="190"/>
  <c r="M301" i="190"/>
  <c r="L301" i="190"/>
  <c r="K301" i="190"/>
  <c r="J301" i="190"/>
  <c r="I301" i="190"/>
  <c r="H301" i="190"/>
  <c r="G301" i="190"/>
  <c r="F301" i="190"/>
  <c r="E301" i="190"/>
  <c r="D301" i="190"/>
  <c r="U300" i="190"/>
  <c r="T300" i="190"/>
  <c r="S300" i="190"/>
  <c r="R300" i="190"/>
  <c r="Q300" i="190"/>
  <c r="P300" i="190"/>
  <c r="O300" i="190"/>
  <c r="N300" i="190"/>
  <c r="M300" i="190"/>
  <c r="L300" i="190"/>
  <c r="K300" i="190"/>
  <c r="J300" i="190"/>
  <c r="I300" i="190"/>
  <c r="H300" i="190"/>
  <c r="G300" i="190"/>
  <c r="F300" i="190"/>
  <c r="E300" i="190"/>
  <c r="D300" i="190"/>
  <c r="U299" i="190"/>
  <c r="T299" i="190"/>
  <c r="S299" i="190"/>
  <c r="R299" i="190"/>
  <c r="Q299" i="190"/>
  <c r="P299" i="190"/>
  <c r="O299" i="190"/>
  <c r="N299" i="190"/>
  <c r="M299" i="190"/>
  <c r="L299" i="190"/>
  <c r="K299" i="190"/>
  <c r="J299" i="190"/>
  <c r="I299" i="190"/>
  <c r="H299" i="190"/>
  <c r="G299" i="190"/>
  <c r="F299" i="190"/>
  <c r="E299" i="190"/>
  <c r="D299" i="190"/>
  <c r="U298" i="190"/>
  <c r="T298" i="190"/>
  <c r="S298" i="190"/>
  <c r="R298" i="190"/>
  <c r="Q298" i="190"/>
  <c r="P298" i="190"/>
  <c r="O298" i="190"/>
  <c r="N298" i="190"/>
  <c r="M298" i="190"/>
  <c r="L298" i="190"/>
  <c r="K298" i="190"/>
  <c r="J298" i="190"/>
  <c r="I298" i="190"/>
  <c r="H298" i="190"/>
  <c r="G298" i="190"/>
  <c r="F298" i="190"/>
  <c r="E298" i="190"/>
  <c r="D298" i="190"/>
  <c r="U297" i="190"/>
  <c r="T297" i="190"/>
  <c r="S297" i="190"/>
  <c r="R297" i="190"/>
  <c r="Q297" i="190"/>
  <c r="P297" i="190"/>
  <c r="O297" i="190"/>
  <c r="N297" i="190"/>
  <c r="M297" i="190"/>
  <c r="L297" i="190"/>
  <c r="K297" i="190"/>
  <c r="J297" i="190"/>
  <c r="I297" i="190"/>
  <c r="H297" i="190"/>
  <c r="G297" i="190"/>
  <c r="F297" i="190"/>
  <c r="E297" i="190"/>
  <c r="D297" i="190"/>
  <c r="U296" i="190"/>
  <c r="T296" i="190"/>
  <c r="S296" i="190"/>
  <c r="R296" i="190"/>
  <c r="Q296" i="190"/>
  <c r="P296" i="190"/>
  <c r="O296" i="190"/>
  <c r="N296" i="190"/>
  <c r="M296" i="190"/>
  <c r="L296" i="190"/>
  <c r="K296" i="190"/>
  <c r="J296" i="190"/>
  <c r="I296" i="190"/>
  <c r="H296" i="190"/>
  <c r="G296" i="190"/>
  <c r="F296" i="190"/>
  <c r="E296" i="190"/>
  <c r="D296" i="190"/>
  <c r="U295" i="190"/>
  <c r="T295" i="190"/>
  <c r="S295" i="190"/>
  <c r="R295" i="190"/>
  <c r="Q295" i="190"/>
  <c r="P295" i="190"/>
  <c r="O295" i="190"/>
  <c r="N295" i="190"/>
  <c r="M295" i="190"/>
  <c r="L295" i="190"/>
  <c r="K295" i="190"/>
  <c r="J295" i="190"/>
  <c r="I295" i="190"/>
  <c r="H295" i="190"/>
  <c r="G295" i="190"/>
  <c r="F295" i="190"/>
  <c r="E295" i="190"/>
  <c r="D295" i="190"/>
  <c r="U294" i="190"/>
  <c r="T294" i="190"/>
  <c r="S294" i="190"/>
  <c r="R294" i="190"/>
  <c r="Q294" i="190"/>
  <c r="P294" i="190"/>
  <c r="O294" i="190"/>
  <c r="N294" i="190"/>
  <c r="M294" i="190"/>
  <c r="L294" i="190"/>
  <c r="K294" i="190"/>
  <c r="J294" i="190"/>
  <c r="I294" i="190"/>
  <c r="H294" i="190"/>
  <c r="G294" i="190"/>
  <c r="F294" i="190"/>
  <c r="E294" i="190"/>
  <c r="D294" i="190"/>
  <c r="U293" i="190"/>
  <c r="T293" i="190"/>
  <c r="S293" i="190"/>
  <c r="R293" i="190"/>
  <c r="Q293" i="190"/>
  <c r="P293" i="190"/>
  <c r="O293" i="190"/>
  <c r="N293" i="190"/>
  <c r="M293" i="190"/>
  <c r="L293" i="190"/>
  <c r="K293" i="190"/>
  <c r="J293" i="190"/>
  <c r="I293" i="190"/>
  <c r="H293" i="190"/>
  <c r="G293" i="190"/>
  <c r="F293" i="190"/>
  <c r="E293" i="190"/>
  <c r="D293" i="190"/>
  <c r="P292" i="190"/>
  <c r="U291" i="190"/>
  <c r="T291" i="190"/>
  <c r="S291" i="190"/>
  <c r="R291" i="190"/>
  <c r="Q291" i="190"/>
  <c r="P291" i="190"/>
  <c r="O291" i="190"/>
  <c r="N291" i="190"/>
  <c r="M291" i="190"/>
  <c r="L291" i="190"/>
  <c r="K291" i="190"/>
  <c r="J291" i="190"/>
  <c r="I291" i="190"/>
  <c r="H291" i="190"/>
  <c r="G291" i="190"/>
  <c r="F291" i="190"/>
  <c r="E291" i="190"/>
  <c r="D291" i="190"/>
  <c r="U290" i="190"/>
  <c r="T290" i="190"/>
  <c r="S290" i="190"/>
  <c r="R290" i="190"/>
  <c r="Q290" i="190"/>
  <c r="P290" i="190"/>
  <c r="O290" i="190"/>
  <c r="N290" i="190"/>
  <c r="M290" i="190"/>
  <c r="L290" i="190"/>
  <c r="K290" i="190"/>
  <c r="J290" i="190"/>
  <c r="I290" i="190"/>
  <c r="H290" i="190"/>
  <c r="G290" i="190"/>
  <c r="F290" i="190"/>
  <c r="E290" i="190"/>
  <c r="D290" i="190"/>
  <c r="U289" i="190"/>
  <c r="T289" i="190"/>
  <c r="S289" i="190"/>
  <c r="R289" i="190"/>
  <c r="Q289" i="190"/>
  <c r="P289" i="190"/>
  <c r="O289" i="190"/>
  <c r="N289" i="190"/>
  <c r="M289" i="190"/>
  <c r="L289" i="190"/>
  <c r="K289" i="190"/>
  <c r="J289" i="190"/>
  <c r="I289" i="190"/>
  <c r="H289" i="190"/>
  <c r="G289" i="190"/>
  <c r="F289" i="190"/>
  <c r="E289" i="190"/>
  <c r="D289" i="190"/>
  <c r="U288" i="190"/>
  <c r="T288" i="190"/>
  <c r="S288" i="190"/>
  <c r="R288" i="190"/>
  <c r="Q288" i="190"/>
  <c r="P288" i="190"/>
  <c r="O288" i="190"/>
  <c r="N288" i="190"/>
  <c r="M288" i="190"/>
  <c r="L288" i="190"/>
  <c r="K288" i="190"/>
  <c r="J288" i="190"/>
  <c r="I288" i="190"/>
  <c r="H288" i="190"/>
  <c r="G288" i="190"/>
  <c r="F288" i="190"/>
  <c r="E288" i="190"/>
  <c r="D288" i="190"/>
  <c r="U287" i="190"/>
  <c r="T287" i="190"/>
  <c r="S287" i="190"/>
  <c r="R287" i="190"/>
  <c r="Q287" i="190"/>
  <c r="P287" i="190"/>
  <c r="O287" i="190"/>
  <c r="N287" i="190"/>
  <c r="M287" i="190"/>
  <c r="L287" i="190"/>
  <c r="K287" i="190"/>
  <c r="J287" i="190"/>
  <c r="I287" i="190"/>
  <c r="H287" i="190"/>
  <c r="G287" i="190"/>
  <c r="F287" i="190"/>
  <c r="E287" i="190"/>
  <c r="D287" i="190"/>
  <c r="U286" i="190"/>
  <c r="T286" i="190"/>
  <c r="S286" i="190"/>
  <c r="R286" i="190"/>
  <c r="Q286" i="190"/>
  <c r="P286" i="190"/>
  <c r="O286" i="190"/>
  <c r="N286" i="190"/>
  <c r="M286" i="190"/>
  <c r="L286" i="190"/>
  <c r="K286" i="190"/>
  <c r="J286" i="190"/>
  <c r="I286" i="190"/>
  <c r="H286" i="190"/>
  <c r="G286" i="190"/>
  <c r="F286" i="190"/>
  <c r="E286" i="190"/>
  <c r="D286" i="190"/>
  <c r="U285" i="190"/>
  <c r="T285" i="190"/>
  <c r="S285" i="190"/>
  <c r="R285" i="190"/>
  <c r="Q285" i="190"/>
  <c r="P285" i="190"/>
  <c r="O285" i="190"/>
  <c r="N285" i="190"/>
  <c r="M285" i="190"/>
  <c r="L285" i="190"/>
  <c r="K285" i="190"/>
  <c r="J285" i="190"/>
  <c r="I285" i="190"/>
  <c r="H285" i="190"/>
  <c r="G285" i="190"/>
  <c r="F285" i="190"/>
  <c r="E285" i="190"/>
  <c r="D285" i="190"/>
  <c r="U284" i="190"/>
  <c r="T284" i="190"/>
  <c r="S284" i="190"/>
  <c r="R284" i="190"/>
  <c r="Q284" i="190"/>
  <c r="P284" i="190"/>
  <c r="O284" i="190"/>
  <c r="N284" i="190"/>
  <c r="M284" i="190"/>
  <c r="L284" i="190"/>
  <c r="K284" i="190"/>
  <c r="J284" i="190"/>
  <c r="I284" i="190"/>
  <c r="H284" i="190"/>
  <c r="G284" i="190"/>
  <c r="F284" i="190"/>
  <c r="E284" i="190"/>
  <c r="D284" i="190"/>
  <c r="U283" i="190"/>
  <c r="T283" i="190"/>
  <c r="S283" i="190"/>
  <c r="R283" i="190"/>
  <c r="Q283" i="190"/>
  <c r="P283" i="190"/>
  <c r="O283" i="190"/>
  <c r="N283" i="190"/>
  <c r="M283" i="190"/>
  <c r="L283" i="190"/>
  <c r="K283" i="190"/>
  <c r="J283" i="190"/>
  <c r="I283" i="190"/>
  <c r="H283" i="190"/>
  <c r="G283" i="190"/>
  <c r="F283" i="190"/>
  <c r="E283" i="190"/>
  <c r="D283" i="190"/>
  <c r="U282" i="190"/>
  <c r="T282" i="190"/>
  <c r="S282" i="190"/>
  <c r="R282" i="190"/>
  <c r="Q282" i="190"/>
  <c r="P282" i="190"/>
  <c r="O282" i="190"/>
  <c r="N282" i="190"/>
  <c r="M282" i="190"/>
  <c r="L282" i="190"/>
  <c r="K282" i="190"/>
  <c r="J282" i="190"/>
  <c r="I282" i="190"/>
  <c r="H282" i="190"/>
  <c r="G282" i="190"/>
  <c r="F282" i="190"/>
  <c r="E282" i="190"/>
  <c r="D282" i="190"/>
  <c r="U281" i="190"/>
  <c r="T281" i="190"/>
  <c r="S281" i="190"/>
  <c r="R281" i="190"/>
  <c r="Q281" i="190"/>
  <c r="P281" i="190"/>
  <c r="O281" i="190"/>
  <c r="N281" i="190"/>
  <c r="M281" i="190"/>
  <c r="L281" i="190"/>
  <c r="K281" i="190"/>
  <c r="J281" i="190"/>
  <c r="I281" i="190"/>
  <c r="H281" i="190"/>
  <c r="G281" i="190"/>
  <c r="F281" i="190"/>
  <c r="E281" i="190"/>
  <c r="D281" i="190"/>
  <c r="U280" i="190"/>
  <c r="T280" i="190"/>
  <c r="S280" i="190"/>
  <c r="R280" i="190"/>
  <c r="Q280" i="190"/>
  <c r="P280" i="190"/>
  <c r="O280" i="190"/>
  <c r="N280" i="190"/>
  <c r="M280" i="190"/>
  <c r="L280" i="190"/>
  <c r="K280" i="190"/>
  <c r="J280" i="190"/>
  <c r="I280" i="190"/>
  <c r="H280" i="190"/>
  <c r="G280" i="190"/>
  <c r="F280" i="190"/>
  <c r="E280" i="190"/>
  <c r="D280" i="190"/>
  <c r="U279" i="190"/>
  <c r="T279" i="190"/>
  <c r="S279" i="190"/>
  <c r="R279" i="190"/>
  <c r="Q279" i="190"/>
  <c r="P279" i="190"/>
  <c r="O279" i="190"/>
  <c r="N279" i="190"/>
  <c r="M279" i="190"/>
  <c r="L279" i="190"/>
  <c r="K279" i="190"/>
  <c r="J279" i="190"/>
  <c r="I279" i="190"/>
  <c r="H279" i="190"/>
  <c r="G279" i="190"/>
  <c r="F279" i="190"/>
  <c r="E279" i="190"/>
  <c r="D279" i="190"/>
  <c r="P278" i="190"/>
  <c r="U277" i="190"/>
  <c r="T277" i="190"/>
  <c r="S277" i="190"/>
  <c r="R277" i="190"/>
  <c r="Q277" i="190"/>
  <c r="P277" i="190"/>
  <c r="O277" i="190"/>
  <c r="N277" i="190"/>
  <c r="M277" i="190"/>
  <c r="L277" i="190"/>
  <c r="K277" i="190"/>
  <c r="J277" i="190"/>
  <c r="I277" i="190"/>
  <c r="H277" i="190"/>
  <c r="G277" i="190"/>
  <c r="F277" i="190"/>
  <c r="E277" i="190"/>
  <c r="D277" i="190"/>
  <c r="U276" i="190"/>
  <c r="T276" i="190"/>
  <c r="S276" i="190"/>
  <c r="R276" i="190"/>
  <c r="Q276" i="190"/>
  <c r="P276" i="190"/>
  <c r="O276" i="190"/>
  <c r="N276" i="190"/>
  <c r="M276" i="190"/>
  <c r="L276" i="190"/>
  <c r="K276" i="190"/>
  <c r="J276" i="190"/>
  <c r="I276" i="190"/>
  <c r="H276" i="190"/>
  <c r="G276" i="190"/>
  <c r="F276" i="190"/>
  <c r="E276" i="190"/>
  <c r="D276" i="190"/>
  <c r="U275" i="190"/>
  <c r="T275" i="190"/>
  <c r="S275" i="190"/>
  <c r="R275" i="190"/>
  <c r="Q275" i="190"/>
  <c r="P275" i="190"/>
  <c r="O275" i="190"/>
  <c r="N275" i="190"/>
  <c r="M275" i="190"/>
  <c r="L275" i="190"/>
  <c r="K275" i="190"/>
  <c r="J275" i="190"/>
  <c r="I275" i="190"/>
  <c r="H275" i="190"/>
  <c r="G275" i="190"/>
  <c r="F275" i="190"/>
  <c r="E275" i="190"/>
  <c r="D275" i="190"/>
  <c r="U274" i="190"/>
  <c r="T274" i="190"/>
  <c r="S274" i="190"/>
  <c r="R274" i="190"/>
  <c r="Q274" i="190"/>
  <c r="P274" i="190"/>
  <c r="O274" i="190"/>
  <c r="N274" i="190"/>
  <c r="M274" i="190"/>
  <c r="L274" i="190"/>
  <c r="K274" i="190"/>
  <c r="J274" i="190"/>
  <c r="I274" i="190"/>
  <c r="H274" i="190"/>
  <c r="G274" i="190"/>
  <c r="F274" i="190"/>
  <c r="E274" i="190"/>
  <c r="D274" i="190"/>
  <c r="U273" i="190"/>
  <c r="T273" i="190"/>
  <c r="S273" i="190"/>
  <c r="R273" i="190"/>
  <c r="Q273" i="190"/>
  <c r="P273" i="190"/>
  <c r="O273" i="190"/>
  <c r="N273" i="190"/>
  <c r="M273" i="190"/>
  <c r="L273" i="190"/>
  <c r="K273" i="190"/>
  <c r="J273" i="190"/>
  <c r="I273" i="190"/>
  <c r="H273" i="190"/>
  <c r="G273" i="190"/>
  <c r="F273" i="190"/>
  <c r="E273" i="190"/>
  <c r="D273" i="190"/>
  <c r="U272" i="190"/>
  <c r="T272" i="190"/>
  <c r="S272" i="190"/>
  <c r="R272" i="190"/>
  <c r="Q272" i="190"/>
  <c r="P272" i="190"/>
  <c r="O272" i="190"/>
  <c r="N272" i="190"/>
  <c r="M272" i="190"/>
  <c r="L272" i="190"/>
  <c r="K272" i="190"/>
  <c r="J272" i="190"/>
  <c r="I272" i="190"/>
  <c r="H272" i="190"/>
  <c r="G272" i="190"/>
  <c r="F272" i="190"/>
  <c r="E272" i="190"/>
  <c r="D272" i="190"/>
  <c r="U271" i="190"/>
  <c r="T271" i="190"/>
  <c r="S271" i="190"/>
  <c r="R271" i="190"/>
  <c r="Q271" i="190"/>
  <c r="P271" i="190"/>
  <c r="O271" i="190"/>
  <c r="N271" i="190"/>
  <c r="M271" i="190"/>
  <c r="L271" i="190"/>
  <c r="K271" i="190"/>
  <c r="J271" i="190"/>
  <c r="I271" i="190"/>
  <c r="H271" i="190"/>
  <c r="G271" i="190"/>
  <c r="F271" i="190"/>
  <c r="E271" i="190"/>
  <c r="D271" i="190"/>
  <c r="U265" i="190"/>
  <c r="T265" i="190"/>
  <c r="S265" i="190"/>
  <c r="R265" i="190"/>
  <c r="Q265" i="190"/>
  <c r="P265" i="190"/>
  <c r="O265" i="190"/>
  <c r="N265" i="190"/>
  <c r="M265" i="190"/>
  <c r="L265" i="190"/>
  <c r="K265" i="190"/>
  <c r="J265" i="190"/>
  <c r="I265" i="190"/>
  <c r="H265" i="190"/>
  <c r="G265" i="190"/>
  <c r="F265" i="190"/>
  <c r="E265" i="190"/>
  <c r="D265" i="190"/>
  <c r="U264" i="190"/>
  <c r="T264" i="190"/>
  <c r="S264" i="190"/>
  <c r="R264" i="190"/>
  <c r="Q264" i="190"/>
  <c r="P264" i="190"/>
  <c r="O264" i="190"/>
  <c r="N264" i="190"/>
  <c r="M264" i="190"/>
  <c r="L264" i="190"/>
  <c r="K264" i="190"/>
  <c r="J264" i="190"/>
  <c r="I264" i="190"/>
  <c r="H264" i="190"/>
  <c r="G264" i="190"/>
  <c r="F264" i="190"/>
  <c r="E264" i="190"/>
  <c r="D264" i="190"/>
  <c r="U263" i="190"/>
  <c r="T263" i="190"/>
  <c r="S263" i="190"/>
  <c r="R263" i="190"/>
  <c r="Q263" i="190"/>
  <c r="P263" i="190"/>
  <c r="O263" i="190"/>
  <c r="N263" i="190"/>
  <c r="M263" i="190"/>
  <c r="L263" i="190"/>
  <c r="K263" i="190"/>
  <c r="J263" i="190"/>
  <c r="I263" i="190"/>
  <c r="H263" i="190"/>
  <c r="G263" i="190"/>
  <c r="F263" i="190"/>
  <c r="E263" i="190"/>
  <c r="D263" i="190"/>
  <c r="U262" i="190"/>
  <c r="T262" i="190"/>
  <c r="S262" i="190"/>
  <c r="R262" i="190"/>
  <c r="Q262" i="190"/>
  <c r="P262" i="190"/>
  <c r="O262" i="190"/>
  <c r="N262" i="190"/>
  <c r="M262" i="190"/>
  <c r="L262" i="190"/>
  <c r="K262" i="190"/>
  <c r="J262" i="190"/>
  <c r="I262" i="190"/>
  <c r="H262" i="190"/>
  <c r="G262" i="190"/>
  <c r="F262" i="190"/>
  <c r="E262" i="190"/>
  <c r="D262" i="190"/>
  <c r="U261" i="190"/>
  <c r="T261" i="190"/>
  <c r="S261" i="190"/>
  <c r="R261" i="190"/>
  <c r="Q261" i="190"/>
  <c r="P261" i="190"/>
  <c r="O261" i="190"/>
  <c r="N261" i="190"/>
  <c r="M261" i="190"/>
  <c r="L261" i="190"/>
  <c r="K261" i="190"/>
  <c r="J261" i="190"/>
  <c r="I261" i="190"/>
  <c r="H261" i="190"/>
  <c r="G261" i="190"/>
  <c r="F261" i="190"/>
  <c r="E261" i="190"/>
  <c r="D261" i="190"/>
  <c r="U260" i="190"/>
  <c r="T260" i="190"/>
  <c r="S260" i="190"/>
  <c r="R260" i="190"/>
  <c r="Q260" i="190"/>
  <c r="P260" i="190"/>
  <c r="O260" i="190"/>
  <c r="N260" i="190"/>
  <c r="M260" i="190"/>
  <c r="L260" i="190"/>
  <c r="K260" i="190"/>
  <c r="J260" i="190"/>
  <c r="I260" i="190"/>
  <c r="H260" i="190"/>
  <c r="G260" i="190"/>
  <c r="F260" i="190"/>
  <c r="E260" i="190"/>
  <c r="D260" i="190"/>
  <c r="U259" i="190"/>
  <c r="T259" i="190"/>
  <c r="S259" i="190"/>
  <c r="R259" i="190"/>
  <c r="Q259" i="190"/>
  <c r="P259" i="190"/>
  <c r="O259" i="190"/>
  <c r="N259" i="190"/>
  <c r="M259" i="190"/>
  <c r="L259" i="190"/>
  <c r="K259" i="190"/>
  <c r="J259" i="190"/>
  <c r="I259" i="190"/>
  <c r="H259" i="190"/>
  <c r="G259" i="190"/>
  <c r="F259" i="190"/>
  <c r="E259" i="190"/>
  <c r="D259" i="190"/>
  <c r="U258" i="190"/>
  <c r="T258" i="190"/>
  <c r="S258" i="190"/>
  <c r="R258" i="190"/>
  <c r="Q258" i="190"/>
  <c r="P258" i="190"/>
  <c r="O258" i="190"/>
  <c r="N258" i="190"/>
  <c r="M258" i="190"/>
  <c r="L258" i="190"/>
  <c r="K258" i="190"/>
  <c r="J258" i="190"/>
  <c r="I258" i="190"/>
  <c r="H258" i="190"/>
  <c r="G258" i="190"/>
  <c r="F258" i="190"/>
  <c r="E258" i="190"/>
  <c r="D258" i="190"/>
  <c r="U257" i="190"/>
  <c r="T257" i="190"/>
  <c r="S257" i="190"/>
  <c r="R257" i="190"/>
  <c r="Q257" i="190"/>
  <c r="P257" i="190"/>
  <c r="O257" i="190"/>
  <c r="N257" i="190"/>
  <c r="M257" i="190"/>
  <c r="L257" i="190"/>
  <c r="K257" i="190"/>
  <c r="J257" i="190"/>
  <c r="I257" i="190"/>
  <c r="H257" i="190"/>
  <c r="G257" i="190"/>
  <c r="F257" i="190"/>
  <c r="E257" i="190"/>
  <c r="D257" i="190"/>
  <c r="U256" i="190"/>
  <c r="T256" i="190"/>
  <c r="S256" i="190"/>
  <c r="R256" i="190"/>
  <c r="Q256" i="190"/>
  <c r="P256" i="190"/>
  <c r="O256" i="190"/>
  <c r="N256" i="190"/>
  <c r="M256" i="190"/>
  <c r="L256" i="190"/>
  <c r="K256" i="190"/>
  <c r="J256" i="190"/>
  <c r="I256" i="190"/>
  <c r="H256" i="190"/>
  <c r="G256" i="190"/>
  <c r="F256" i="190"/>
  <c r="E256" i="190"/>
  <c r="D256" i="190"/>
  <c r="P255" i="190"/>
  <c r="U254" i="190"/>
  <c r="T254" i="190"/>
  <c r="S254" i="190"/>
  <c r="R254" i="190"/>
  <c r="Q254" i="190"/>
  <c r="P254" i="190"/>
  <c r="O254" i="190"/>
  <c r="N254" i="190"/>
  <c r="M254" i="190"/>
  <c r="L254" i="190"/>
  <c r="K254" i="190"/>
  <c r="J254" i="190"/>
  <c r="I254" i="190"/>
  <c r="H254" i="190"/>
  <c r="G254" i="190"/>
  <c r="F254" i="190"/>
  <c r="E254" i="190"/>
  <c r="D254" i="190"/>
  <c r="U253" i="190"/>
  <c r="T253" i="190"/>
  <c r="S253" i="190"/>
  <c r="R253" i="190"/>
  <c r="Q253" i="190"/>
  <c r="P253" i="190"/>
  <c r="O253" i="190"/>
  <c r="N253" i="190"/>
  <c r="M253" i="190"/>
  <c r="L253" i="190"/>
  <c r="K253" i="190"/>
  <c r="J253" i="190"/>
  <c r="I253" i="190"/>
  <c r="H253" i="190"/>
  <c r="G253" i="190"/>
  <c r="F253" i="190"/>
  <c r="E253" i="190"/>
  <c r="D253" i="190"/>
  <c r="U252" i="190"/>
  <c r="T252" i="190"/>
  <c r="S252" i="190"/>
  <c r="R252" i="190"/>
  <c r="Q252" i="190"/>
  <c r="P252" i="190"/>
  <c r="O252" i="190"/>
  <c r="N252" i="190"/>
  <c r="M252" i="190"/>
  <c r="L252" i="190"/>
  <c r="K252" i="190"/>
  <c r="J252" i="190"/>
  <c r="I252" i="190"/>
  <c r="H252" i="190"/>
  <c r="G252" i="190"/>
  <c r="F252" i="190"/>
  <c r="E252" i="190"/>
  <c r="D252" i="190"/>
  <c r="U251" i="190"/>
  <c r="T251" i="190"/>
  <c r="S251" i="190"/>
  <c r="R251" i="190"/>
  <c r="Q251" i="190"/>
  <c r="P251" i="190"/>
  <c r="O251" i="190"/>
  <c r="N251" i="190"/>
  <c r="M251" i="190"/>
  <c r="L251" i="190"/>
  <c r="K251" i="190"/>
  <c r="J251" i="190"/>
  <c r="I251" i="190"/>
  <c r="H251" i="190"/>
  <c r="G251" i="190"/>
  <c r="F251" i="190"/>
  <c r="E251" i="190"/>
  <c r="D251" i="190"/>
  <c r="U250" i="190"/>
  <c r="T250" i="190"/>
  <c r="S250" i="190"/>
  <c r="R250" i="190"/>
  <c r="Q250" i="190"/>
  <c r="P250" i="190"/>
  <c r="O250" i="190"/>
  <c r="N250" i="190"/>
  <c r="M250" i="190"/>
  <c r="L250" i="190"/>
  <c r="K250" i="190"/>
  <c r="J250" i="190"/>
  <c r="I250" i="190"/>
  <c r="H250" i="190"/>
  <c r="G250" i="190"/>
  <c r="F250" i="190"/>
  <c r="E250" i="190"/>
  <c r="D250" i="190"/>
  <c r="U249" i="190"/>
  <c r="T249" i="190"/>
  <c r="S249" i="190"/>
  <c r="R249" i="190"/>
  <c r="Q249" i="190"/>
  <c r="P249" i="190"/>
  <c r="O249" i="190"/>
  <c r="N249" i="190"/>
  <c r="M249" i="190"/>
  <c r="L249" i="190"/>
  <c r="K249" i="190"/>
  <c r="J249" i="190"/>
  <c r="I249" i="190"/>
  <c r="H249" i="190"/>
  <c r="G249" i="190"/>
  <c r="F249" i="190"/>
  <c r="E249" i="190"/>
  <c r="D249" i="190"/>
  <c r="U248" i="190"/>
  <c r="T248" i="190"/>
  <c r="S248" i="190"/>
  <c r="R248" i="190"/>
  <c r="Q248" i="190"/>
  <c r="P248" i="190"/>
  <c r="O248" i="190"/>
  <c r="N248" i="190"/>
  <c r="M248" i="190"/>
  <c r="L248" i="190"/>
  <c r="K248" i="190"/>
  <c r="J248" i="190"/>
  <c r="I248" i="190"/>
  <c r="H248" i="190"/>
  <c r="G248" i="190"/>
  <c r="F248" i="190"/>
  <c r="E248" i="190"/>
  <c r="D248" i="190"/>
  <c r="U247" i="190"/>
  <c r="T247" i="190"/>
  <c r="S247" i="190"/>
  <c r="R247" i="190"/>
  <c r="Q247" i="190"/>
  <c r="P247" i="190"/>
  <c r="O247" i="190"/>
  <c r="N247" i="190"/>
  <c r="M247" i="190"/>
  <c r="L247" i="190"/>
  <c r="K247" i="190"/>
  <c r="J247" i="190"/>
  <c r="I247" i="190"/>
  <c r="H247" i="190"/>
  <c r="G247" i="190"/>
  <c r="F247" i="190"/>
  <c r="E247" i="190"/>
  <c r="D247" i="190"/>
  <c r="U246" i="190"/>
  <c r="T246" i="190"/>
  <c r="S246" i="190"/>
  <c r="R246" i="190"/>
  <c r="Q246" i="190"/>
  <c r="P246" i="190"/>
  <c r="O246" i="190"/>
  <c r="N246" i="190"/>
  <c r="M246" i="190"/>
  <c r="L246" i="190"/>
  <c r="K246" i="190"/>
  <c r="J246" i="190"/>
  <c r="I246" i="190"/>
  <c r="H246" i="190"/>
  <c r="G246" i="190"/>
  <c r="F246" i="190"/>
  <c r="E246" i="190"/>
  <c r="D246" i="190"/>
  <c r="U245" i="190"/>
  <c r="T245" i="190"/>
  <c r="S245" i="190"/>
  <c r="R245" i="190"/>
  <c r="Q245" i="190"/>
  <c r="P245" i="190"/>
  <c r="O245" i="190"/>
  <c r="N245" i="190"/>
  <c r="M245" i="190"/>
  <c r="L245" i="190"/>
  <c r="K245" i="190"/>
  <c r="J245" i="190"/>
  <c r="I245" i="190"/>
  <c r="H245" i="190"/>
  <c r="G245" i="190"/>
  <c r="F245" i="190"/>
  <c r="E245" i="190"/>
  <c r="D245" i="190"/>
  <c r="U244" i="190"/>
  <c r="T244" i="190"/>
  <c r="S244" i="190"/>
  <c r="R244" i="190"/>
  <c r="Q244" i="190"/>
  <c r="P244" i="190"/>
  <c r="O244" i="190"/>
  <c r="N244" i="190"/>
  <c r="M244" i="190"/>
  <c r="L244" i="190"/>
  <c r="K244" i="190"/>
  <c r="J244" i="190"/>
  <c r="I244" i="190"/>
  <c r="H244" i="190"/>
  <c r="G244" i="190"/>
  <c r="F244" i="190"/>
  <c r="E244" i="190"/>
  <c r="D244" i="190"/>
  <c r="U243" i="190"/>
  <c r="T243" i="190"/>
  <c r="S243" i="190"/>
  <c r="R243" i="190"/>
  <c r="Q243" i="190"/>
  <c r="P243" i="190"/>
  <c r="O243" i="190"/>
  <c r="N243" i="190"/>
  <c r="M243" i="190"/>
  <c r="L243" i="190"/>
  <c r="K243" i="190"/>
  <c r="J243" i="190"/>
  <c r="I243" i="190"/>
  <c r="H243" i="190"/>
  <c r="G243" i="190"/>
  <c r="F243" i="190"/>
  <c r="E243" i="190"/>
  <c r="D243" i="190"/>
  <c r="U242" i="190"/>
  <c r="T242" i="190"/>
  <c r="S242" i="190"/>
  <c r="R242" i="190"/>
  <c r="Q242" i="190"/>
  <c r="P242" i="190"/>
  <c r="O242" i="190"/>
  <c r="N242" i="190"/>
  <c r="M242" i="190"/>
  <c r="L242" i="190"/>
  <c r="K242" i="190"/>
  <c r="J242" i="190"/>
  <c r="I242" i="190"/>
  <c r="H242" i="190"/>
  <c r="G242" i="190"/>
  <c r="F242" i="190"/>
  <c r="E242" i="190"/>
  <c r="D242" i="190"/>
  <c r="P241" i="190"/>
  <c r="U240" i="190"/>
  <c r="T240" i="190"/>
  <c r="S240" i="190"/>
  <c r="R240" i="190"/>
  <c r="Q240" i="190"/>
  <c r="P240" i="190"/>
  <c r="O240" i="190"/>
  <c r="N240" i="190"/>
  <c r="M240" i="190"/>
  <c r="L240" i="190"/>
  <c r="K240" i="190"/>
  <c r="J240" i="190"/>
  <c r="I240" i="190"/>
  <c r="H240" i="190"/>
  <c r="G240" i="190"/>
  <c r="F240" i="190"/>
  <c r="E240" i="190"/>
  <c r="D240" i="190"/>
  <c r="U239" i="190"/>
  <c r="T239" i="190"/>
  <c r="S239" i="190"/>
  <c r="R239" i="190"/>
  <c r="Q239" i="190"/>
  <c r="P239" i="190"/>
  <c r="O239" i="190"/>
  <c r="N239" i="190"/>
  <c r="M239" i="190"/>
  <c r="L239" i="190"/>
  <c r="K239" i="190"/>
  <c r="J239" i="190"/>
  <c r="I239" i="190"/>
  <c r="H239" i="190"/>
  <c r="G239" i="190"/>
  <c r="F239" i="190"/>
  <c r="E239" i="190"/>
  <c r="D239" i="190"/>
  <c r="U238" i="190"/>
  <c r="T238" i="190"/>
  <c r="S238" i="190"/>
  <c r="R238" i="190"/>
  <c r="Q238" i="190"/>
  <c r="P238" i="190"/>
  <c r="O238" i="190"/>
  <c r="N238" i="190"/>
  <c r="M238" i="190"/>
  <c r="L238" i="190"/>
  <c r="K238" i="190"/>
  <c r="J238" i="190"/>
  <c r="I238" i="190"/>
  <c r="H238" i="190"/>
  <c r="G238" i="190"/>
  <c r="F238" i="190"/>
  <c r="E238" i="190"/>
  <c r="D238" i="190"/>
  <c r="U237" i="190"/>
  <c r="T237" i="190"/>
  <c r="S237" i="190"/>
  <c r="R237" i="190"/>
  <c r="Q237" i="190"/>
  <c r="P237" i="190"/>
  <c r="O237" i="190"/>
  <c r="N237" i="190"/>
  <c r="M237" i="190"/>
  <c r="L237" i="190"/>
  <c r="K237" i="190"/>
  <c r="J237" i="190"/>
  <c r="I237" i="190"/>
  <c r="H237" i="190"/>
  <c r="G237" i="190"/>
  <c r="F237" i="190"/>
  <c r="E237" i="190"/>
  <c r="D237" i="190"/>
  <c r="U236" i="190"/>
  <c r="T236" i="190"/>
  <c r="S236" i="190"/>
  <c r="R236" i="190"/>
  <c r="Q236" i="190"/>
  <c r="P236" i="190"/>
  <c r="O236" i="190"/>
  <c r="N236" i="190"/>
  <c r="M236" i="190"/>
  <c r="L236" i="190"/>
  <c r="K236" i="190"/>
  <c r="J236" i="190"/>
  <c r="I236" i="190"/>
  <c r="H236" i="190"/>
  <c r="G236" i="190"/>
  <c r="F236" i="190"/>
  <c r="E236" i="190"/>
  <c r="D236" i="190"/>
  <c r="U235" i="190"/>
  <c r="T235" i="190"/>
  <c r="S235" i="190"/>
  <c r="R235" i="190"/>
  <c r="Q235" i="190"/>
  <c r="P235" i="190"/>
  <c r="O235" i="190"/>
  <c r="N235" i="190"/>
  <c r="M235" i="190"/>
  <c r="L235" i="190"/>
  <c r="K235" i="190"/>
  <c r="J235" i="190"/>
  <c r="I235" i="190"/>
  <c r="H235" i="190"/>
  <c r="G235" i="190"/>
  <c r="F235" i="190"/>
  <c r="E235" i="190"/>
  <c r="D235" i="190"/>
  <c r="U234" i="190"/>
  <c r="T234" i="190"/>
  <c r="S234" i="190"/>
  <c r="R234" i="190"/>
  <c r="Q234" i="190"/>
  <c r="P234" i="190"/>
  <c r="O234" i="190"/>
  <c r="N234" i="190"/>
  <c r="M234" i="190"/>
  <c r="L234" i="190"/>
  <c r="K234" i="190"/>
  <c r="J234" i="190"/>
  <c r="I234" i="190"/>
  <c r="H234" i="190"/>
  <c r="G234" i="190"/>
  <c r="F234" i="190"/>
  <c r="E234" i="190"/>
  <c r="D234" i="190"/>
  <c r="U228" i="190"/>
  <c r="T228" i="190"/>
  <c r="S228" i="190"/>
  <c r="R228" i="190"/>
  <c r="Q228" i="190"/>
  <c r="P228" i="190"/>
  <c r="O228" i="190"/>
  <c r="N228" i="190"/>
  <c r="M228" i="190"/>
  <c r="L228" i="190"/>
  <c r="K228" i="190"/>
  <c r="J228" i="190"/>
  <c r="I228" i="190"/>
  <c r="H228" i="190"/>
  <c r="G228" i="190"/>
  <c r="F228" i="190"/>
  <c r="E228" i="190"/>
  <c r="D228" i="190"/>
  <c r="U227" i="190"/>
  <c r="T227" i="190"/>
  <c r="S227" i="190"/>
  <c r="R227" i="190"/>
  <c r="Q227" i="190"/>
  <c r="P227" i="190"/>
  <c r="O227" i="190"/>
  <c r="N227" i="190"/>
  <c r="M227" i="190"/>
  <c r="L227" i="190"/>
  <c r="K227" i="190"/>
  <c r="J227" i="190"/>
  <c r="I227" i="190"/>
  <c r="H227" i="190"/>
  <c r="G227" i="190"/>
  <c r="F227" i="190"/>
  <c r="E227" i="190"/>
  <c r="D227" i="190"/>
  <c r="U226" i="190"/>
  <c r="T226" i="190"/>
  <c r="S226" i="190"/>
  <c r="R226" i="190"/>
  <c r="Q226" i="190"/>
  <c r="P226" i="190"/>
  <c r="O226" i="190"/>
  <c r="N226" i="190"/>
  <c r="M226" i="190"/>
  <c r="L226" i="190"/>
  <c r="K226" i="190"/>
  <c r="J226" i="190"/>
  <c r="I226" i="190"/>
  <c r="H226" i="190"/>
  <c r="G226" i="190"/>
  <c r="F226" i="190"/>
  <c r="E226" i="190"/>
  <c r="D226" i="190"/>
  <c r="U225" i="190"/>
  <c r="T225" i="190"/>
  <c r="S225" i="190"/>
  <c r="R225" i="190"/>
  <c r="Q225" i="190"/>
  <c r="P225" i="190"/>
  <c r="O225" i="190"/>
  <c r="N225" i="190"/>
  <c r="M225" i="190"/>
  <c r="L225" i="190"/>
  <c r="K225" i="190"/>
  <c r="J225" i="190"/>
  <c r="I225" i="190"/>
  <c r="H225" i="190"/>
  <c r="G225" i="190"/>
  <c r="F225" i="190"/>
  <c r="E225" i="190"/>
  <c r="D225" i="190"/>
  <c r="U224" i="190"/>
  <c r="T224" i="190"/>
  <c r="S224" i="190"/>
  <c r="R224" i="190"/>
  <c r="Q224" i="190"/>
  <c r="P224" i="190"/>
  <c r="O224" i="190"/>
  <c r="N224" i="190"/>
  <c r="M224" i="190"/>
  <c r="L224" i="190"/>
  <c r="K224" i="190"/>
  <c r="J224" i="190"/>
  <c r="I224" i="190"/>
  <c r="H224" i="190"/>
  <c r="G224" i="190"/>
  <c r="F224" i="190"/>
  <c r="E224" i="190"/>
  <c r="D224" i="190"/>
  <c r="U223" i="190"/>
  <c r="T223" i="190"/>
  <c r="S223" i="190"/>
  <c r="R223" i="190"/>
  <c r="Q223" i="190"/>
  <c r="P223" i="190"/>
  <c r="O223" i="190"/>
  <c r="N223" i="190"/>
  <c r="M223" i="190"/>
  <c r="L223" i="190"/>
  <c r="K223" i="190"/>
  <c r="J223" i="190"/>
  <c r="I223" i="190"/>
  <c r="H223" i="190"/>
  <c r="G223" i="190"/>
  <c r="F223" i="190"/>
  <c r="E223" i="190"/>
  <c r="D223" i="190"/>
  <c r="U222" i="190"/>
  <c r="T222" i="190"/>
  <c r="S222" i="190"/>
  <c r="R222" i="190"/>
  <c r="Q222" i="190"/>
  <c r="P222" i="190"/>
  <c r="O222" i="190"/>
  <c r="N222" i="190"/>
  <c r="M222" i="190"/>
  <c r="L222" i="190"/>
  <c r="K222" i="190"/>
  <c r="J222" i="190"/>
  <c r="I222" i="190"/>
  <c r="H222" i="190"/>
  <c r="G222" i="190"/>
  <c r="F222" i="190"/>
  <c r="E222" i="190"/>
  <c r="D222" i="190"/>
  <c r="U221" i="190"/>
  <c r="T221" i="190"/>
  <c r="S221" i="190"/>
  <c r="R221" i="190"/>
  <c r="Q221" i="190"/>
  <c r="P221" i="190"/>
  <c r="O221" i="190"/>
  <c r="N221" i="190"/>
  <c r="M221" i="190"/>
  <c r="L221" i="190"/>
  <c r="K221" i="190"/>
  <c r="J221" i="190"/>
  <c r="I221" i="190"/>
  <c r="H221" i="190"/>
  <c r="G221" i="190"/>
  <c r="F221" i="190"/>
  <c r="E221" i="190"/>
  <c r="D221" i="190"/>
  <c r="U220" i="190"/>
  <c r="T220" i="190"/>
  <c r="S220" i="190"/>
  <c r="R220" i="190"/>
  <c r="Q220" i="190"/>
  <c r="P220" i="190"/>
  <c r="O220" i="190"/>
  <c r="N220" i="190"/>
  <c r="M220" i="190"/>
  <c r="L220" i="190"/>
  <c r="K220" i="190"/>
  <c r="J220" i="190"/>
  <c r="I220" i="190"/>
  <c r="H220" i="190"/>
  <c r="G220" i="190"/>
  <c r="F220" i="190"/>
  <c r="E220" i="190"/>
  <c r="D220" i="190"/>
  <c r="U219" i="190"/>
  <c r="T219" i="190"/>
  <c r="S219" i="190"/>
  <c r="R219" i="190"/>
  <c r="Q219" i="190"/>
  <c r="P219" i="190"/>
  <c r="O219" i="190"/>
  <c r="N219" i="190"/>
  <c r="M219" i="190"/>
  <c r="L219" i="190"/>
  <c r="K219" i="190"/>
  <c r="J219" i="190"/>
  <c r="I219" i="190"/>
  <c r="H219" i="190"/>
  <c r="G219" i="190"/>
  <c r="F219" i="190"/>
  <c r="E219" i="190"/>
  <c r="D219" i="190"/>
  <c r="P218" i="190"/>
  <c r="U217" i="190"/>
  <c r="T217" i="190"/>
  <c r="S217" i="190"/>
  <c r="R217" i="190"/>
  <c r="Q217" i="190"/>
  <c r="P217" i="190"/>
  <c r="O217" i="190"/>
  <c r="N217" i="190"/>
  <c r="M217" i="190"/>
  <c r="L217" i="190"/>
  <c r="K217" i="190"/>
  <c r="J217" i="190"/>
  <c r="I217" i="190"/>
  <c r="H217" i="190"/>
  <c r="G217" i="190"/>
  <c r="F217" i="190"/>
  <c r="E217" i="190"/>
  <c r="D217" i="190"/>
  <c r="U216" i="190"/>
  <c r="T216" i="190"/>
  <c r="S216" i="190"/>
  <c r="R216" i="190"/>
  <c r="Q216" i="190"/>
  <c r="P216" i="190"/>
  <c r="O216" i="190"/>
  <c r="N216" i="190"/>
  <c r="M216" i="190"/>
  <c r="L216" i="190"/>
  <c r="K216" i="190"/>
  <c r="J216" i="190"/>
  <c r="I216" i="190"/>
  <c r="H216" i="190"/>
  <c r="G216" i="190"/>
  <c r="F216" i="190"/>
  <c r="E216" i="190"/>
  <c r="D216" i="190"/>
  <c r="U215" i="190"/>
  <c r="T215" i="190"/>
  <c r="S215" i="190"/>
  <c r="R215" i="190"/>
  <c r="Q215" i="190"/>
  <c r="P215" i="190"/>
  <c r="O215" i="190"/>
  <c r="N215" i="190"/>
  <c r="M215" i="190"/>
  <c r="L215" i="190"/>
  <c r="K215" i="190"/>
  <c r="J215" i="190"/>
  <c r="I215" i="190"/>
  <c r="H215" i="190"/>
  <c r="G215" i="190"/>
  <c r="F215" i="190"/>
  <c r="E215" i="190"/>
  <c r="D215" i="190"/>
  <c r="U214" i="190"/>
  <c r="T214" i="190"/>
  <c r="S214" i="190"/>
  <c r="R214" i="190"/>
  <c r="Q214" i="190"/>
  <c r="P214" i="190"/>
  <c r="O214" i="190"/>
  <c r="N214" i="190"/>
  <c r="M214" i="190"/>
  <c r="L214" i="190"/>
  <c r="K214" i="190"/>
  <c r="J214" i="190"/>
  <c r="I214" i="190"/>
  <c r="H214" i="190"/>
  <c r="G214" i="190"/>
  <c r="F214" i="190"/>
  <c r="E214" i="190"/>
  <c r="D214" i="190"/>
  <c r="U213" i="190"/>
  <c r="T213" i="190"/>
  <c r="S213" i="190"/>
  <c r="R213" i="190"/>
  <c r="Q213" i="190"/>
  <c r="P213" i="190"/>
  <c r="O213" i="190"/>
  <c r="N213" i="190"/>
  <c r="M213" i="190"/>
  <c r="L213" i="190"/>
  <c r="K213" i="190"/>
  <c r="J213" i="190"/>
  <c r="I213" i="190"/>
  <c r="H213" i="190"/>
  <c r="G213" i="190"/>
  <c r="F213" i="190"/>
  <c r="E213" i="190"/>
  <c r="D213" i="190"/>
  <c r="U212" i="190"/>
  <c r="T212" i="190"/>
  <c r="S212" i="190"/>
  <c r="R212" i="190"/>
  <c r="Q212" i="190"/>
  <c r="P212" i="190"/>
  <c r="O212" i="190"/>
  <c r="N212" i="190"/>
  <c r="M212" i="190"/>
  <c r="L212" i="190"/>
  <c r="K212" i="190"/>
  <c r="J212" i="190"/>
  <c r="I212" i="190"/>
  <c r="H212" i="190"/>
  <c r="G212" i="190"/>
  <c r="F212" i="190"/>
  <c r="E212" i="190"/>
  <c r="D212" i="190"/>
  <c r="U211" i="190"/>
  <c r="T211" i="190"/>
  <c r="S211" i="190"/>
  <c r="R211" i="190"/>
  <c r="Q211" i="190"/>
  <c r="P211" i="190"/>
  <c r="O211" i="190"/>
  <c r="N211" i="190"/>
  <c r="M211" i="190"/>
  <c r="L211" i="190"/>
  <c r="K211" i="190"/>
  <c r="J211" i="190"/>
  <c r="I211" i="190"/>
  <c r="H211" i="190"/>
  <c r="G211" i="190"/>
  <c r="F211" i="190"/>
  <c r="E211" i="190"/>
  <c r="D211" i="190"/>
  <c r="U210" i="190"/>
  <c r="T210" i="190"/>
  <c r="S210" i="190"/>
  <c r="R210" i="190"/>
  <c r="Q210" i="190"/>
  <c r="P210" i="190"/>
  <c r="O210" i="190"/>
  <c r="N210" i="190"/>
  <c r="M210" i="190"/>
  <c r="L210" i="190"/>
  <c r="K210" i="190"/>
  <c r="J210" i="190"/>
  <c r="I210" i="190"/>
  <c r="H210" i="190"/>
  <c r="G210" i="190"/>
  <c r="F210" i="190"/>
  <c r="E210" i="190"/>
  <c r="D210" i="190"/>
  <c r="U209" i="190"/>
  <c r="T209" i="190"/>
  <c r="S209" i="190"/>
  <c r="R209" i="190"/>
  <c r="Q209" i="190"/>
  <c r="P209" i="190"/>
  <c r="O209" i="190"/>
  <c r="N209" i="190"/>
  <c r="M209" i="190"/>
  <c r="L209" i="190"/>
  <c r="K209" i="190"/>
  <c r="J209" i="190"/>
  <c r="I209" i="190"/>
  <c r="H209" i="190"/>
  <c r="G209" i="190"/>
  <c r="F209" i="190"/>
  <c r="E209" i="190"/>
  <c r="D209" i="190"/>
  <c r="U208" i="190"/>
  <c r="T208" i="190"/>
  <c r="S208" i="190"/>
  <c r="R208" i="190"/>
  <c r="Q208" i="190"/>
  <c r="P208" i="190"/>
  <c r="O208" i="190"/>
  <c r="N208" i="190"/>
  <c r="M208" i="190"/>
  <c r="L208" i="190"/>
  <c r="K208" i="190"/>
  <c r="J208" i="190"/>
  <c r="I208" i="190"/>
  <c r="H208" i="190"/>
  <c r="G208" i="190"/>
  <c r="F208" i="190"/>
  <c r="E208" i="190"/>
  <c r="D208" i="190"/>
  <c r="U207" i="190"/>
  <c r="T207" i="190"/>
  <c r="S207" i="190"/>
  <c r="R207" i="190"/>
  <c r="Q207" i="190"/>
  <c r="P207" i="190"/>
  <c r="O207" i="190"/>
  <c r="N207" i="190"/>
  <c r="M207" i="190"/>
  <c r="L207" i="190"/>
  <c r="K207" i="190"/>
  <c r="J207" i="190"/>
  <c r="I207" i="190"/>
  <c r="H207" i="190"/>
  <c r="G207" i="190"/>
  <c r="F207" i="190"/>
  <c r="E207" i="190"/>
  <c r="D207" i="190"/>
  <c r="U206" i="190"/>
  <c r="T206" i="190"/>
  <c r="S206" i="190"/>
  <c r="R206" i="190"/>
  <c r="Q206" i="190"/>
  <c r="P206" i="190"/>
  <c r="O206" i="190"/>
  <c r="N206" i="190"/>
  <c r="M206" i="190"/>
  <c r="L206" i="190"/>
  <c r="K206" i="190"/>
  <c r="J206" i="190"/>
  <c r="I206" i="190"/>
  <c r="H206" i="190"/>
  <c r="G206" i="190"/>
  <c r="F206" i="190"/>
  <c r="E206" i="190"/>
  <c r="D206" i="190"/>
  <c r="U205" i="190"/>
  <c r="T205" i="190"/>
  <c r="S205" i="190"/>
  <c r="R205" i="190"/>
  <c r="Q205" i="190"/>
  <c r="P205" i="190"/>
  <c r="O205" i="190"/>
  <c r="N205" i="190"/>
  <c r="M205" i="190"/>
  <c r="L205" i="190"/>
  <c r="K205" i="190"/>
  <c r="J205" i="190"/>
  <c r="I205" i="190"/>
  <c r="H205" i="190"/>
  <c r="G205" i="190"/>
  <c r="F205" i="190"/>
  <c r="E205" i="190"/>
  <c r="D205" i="190"/>
  <c r="P204" i="190"/>
  <c r="U203" i="190"/>
  <c r="T203" i="190"/>
  <c r="S203" i="190"/>
  <c r="R203" i="190"/>
  <c r="Q203" i="190"/>
  <c r="P203" i="190"/>
  <c r="O203" i="190"/>
  <c r="N203" i="190"/>
  <c r="M203" i="190"/>
  <c r="L203" i="190"/>
  <c r="K203" i="190"/>
  <c r="J203" i="190"/>
  <c r="I203" i="190"/>
  <c r="H203" i="190"/>
  <c r="G203" i="190"/>
  <c r="F203" i="190"/>
  <c r="E203" i="190"/>
  <c r="D203" i="190"/>
  <c r="U202" i="190"/>
  <c r="T202" i="190"/>
  <c r="S202" i="190"/>
  <c r="R202" i="190"/>
  <c r="Q202" i="190"/>
  <c r="P202" i="190"/>
  <c r="O202" i="190"/>
  <c r="N202" i="190"/>
  <c r="M202" i="190"/>
  <c r="L202" i="190"/>
  <c r="K202" i="190"/>
  <c r="J202" i="190"/>
  <c r="I202" i="190"/>
  <c r="H202" i="190"/>
  <c r="G202" i="190"/>
  <c r="F202" i="190"/>
  <c r="E202" i="190"/>
  <c r="D202" i="190"/>
  <c r="U201" i="190"/>
  <c r="T201" i="190"/>
  <c r="S201" i="190"/>
  <c r="R201" i="190"/>
  <c r="Q201" i="190"/>
  <c r="P201" i="190"/>
  <c r="O201" i="190"/>
  <c r="N201" i="190"/>
  <c r="M201" i="190"/>
  <c r="L201" i="190"/>
  <c r="K201" i="190"/>
  <c r="J201" i="190"/>
  <c r="I201" i="190"/>
  <c r="H201" i="190"/>
  <c r="G201" i="190"/>
  <c r="F201" i="190"/>
  <c r="E201" i="190"/>
  <c r="D201" i="190"/>
  <c r="U200" i="190"/>
  <c r="T200" i="190"/>
  <c r="S200" i="190"/>
  <c r="R200" i="190"/>
  <c r="Q200" i="190"/>
  <c r="P200" i="190"/>
  <c r="O200" i="190"/>
  <c r="N200" i="190"/>
  <c r="M200" i="190"/>
  <c r="L200" i="190"/>
  <c r="K200" i="190"/>
  <c r="J200" i="190"/>
  <c r="I200" i="190"/>
  <c r="H200" i="190"/>
  <c r="G200" i="190"/>
  <c r="F200" i="190"/>
  <c r="E200" i="190"/>
  <c r="D200" i="190"/>
  <c r="U199" i="190"/>
  <c r="T199" i="190"/>
  <c r="S199" i="190"/>
  <c r="R199" i="190"/>
  <c r="Q199" i="190"/>
  <c r="P199" i="190"/>
  <c r="O199" i="190"/>
  <c r="N199" i="190"/>
  <c r="M199" i="190"/>
  <c r="L199" i="190"/>
  <c r="K199" i="190"/>
  <c r="J199" i="190"/>
  <c r="I199" i="190"/>
  <c r="H199" i="190"/>
  <c r="G199" i="190"/>
  <c r="F199" i="190"/>
  <c r="E199" i="190"/>
  <c r="D199" i="190"/>
  <c r="U198" i="190"/>
  <c r="T198" i="190"/>
  <c r="S198" i="190"/>
  <c r="R198" i="190"/>
  <c r="Q198" i="190"/>
  <c r="P198" i="190"/>
  <c r="O198" i="190"/>
  <c r="N198" i="190"/>
  <c r="M198" i="190"/>
  <c r="L198" i="190"/>
  <c r="K198" i="190"/>
  <c r="J198" i="190"/>
  <c r="I198" i="190"/>
  <c r="H198" i="190"/>
  <c r="G198" i="190"/>
  <c r="F198" i="190"/>
  <c r="E198" i="190"/>
  <c r="D198" i="190"/>
  <c r="U197" i="190"/>
  <c r="T197" i="190"/>
  <c r="S197" i="190"/>
  <c r="R197" i="190"/>
  <c r="Q197" i="190"/>
  <c r="P197" i="190"/>
  <c r="O197" i="190"/>
  <c r="N197" i="190"/>
  <c r="M197" i="190"/>
  <c r="L197" i="190"/>
  <c r="K197" i="190"/>
  <c r="J197" i="190"/>
  <c r="I197" i="190"/>
  <c r="H197" i="190"/>
  <c r="G197" i="190"/>
  <c r="F197" i="190"/>
  <c r="E197" i="190"/>
  <c r="D197" i="190"/>
  <c r="U191" i="190"/>
  <c r="T191" i="190"/>
  <c r="S191" i="190"/>
  <c r="R191" i="190"/>
  <c r="Q191" i="190"/>
  <c r="P191" i="190"/>
  <c r="O191" i="190"/>
  <c r="N191" i="190"/>
  <c r="M191" i="190"/>
  <c r="L191" i="190"/>
  <c r="K191" i="190"/>
  <c r="J191" i="190"/>
  <c r="I191" i="190"/>
  <c r="H191" i="190"/>
  <c r="G191" i="190"/>
  <c r="F191" i="190"/>
  <c r="E191" i="190"/>
  <c r="D191" i="190"/>
  <c r="U190" i="190"/>
  <c r="T190" i="190"/>
  <c r="S190" i="190"/>
  <c r="R190" i="190"/>
  <c r="Q190" i="190"/>
  <c r="P190" i="190"/>
  <c r="O190" i="190"/>
  <c r="N190" i="190"/>
  <c r="M190" i="190"/>
  <c r="L190" i="190"/>
  <c r="K190" i="190"/>
  <c r="J190" i="190"/>
  <c r="I190" i="190"/>
  <c r="H190" i="190"/>
  <c r="G190" i="190"/>
  <c r="F190" i="190"/>
  <c r="E190" i="190"/>
  <c r="D190" i="190"/>
  <c r="U189" i="190"/>
  <c r="T189" i="190"/>
  <c r="S189" i="190"/>
  <c r="R189" i="190"/>
  <c r="Q189" i="190"/>
  <c r="P189" i="190"/>
  <c r="O189" i="190"/>
  <c r="N189" i="190"/>
  <c r="M189" i="190"/>
  <c r="L189" i="190"/>
  <c r="K189" i="190"/>
  <c r="J189" i="190"/>
  <c r="I189" i="190"/>
  <c r="H189" i="190"/>
  <c r="G189" i="190"/>
  <c r="F189" i="190"/>
  <c r="E189" i="190"/>
  <c r="D189" i="190"/>
  <c r="U188" i="190"/>
  <c r="T188" i="190"/>
  <c r="S188" i="190"/>
  <c r="R188" i="190"/>
  <c r="Q188" i="190"/>
  <c r="P188" i="190"/>
  <c r="O188" i="190"/>
  <c r="N188" i="190"/>
  <c r="M188" i="190"/>
  <c r="L188" i="190"/>
  <c r="K188" i="190"/>
  <c r="J188" i="190"/>
  <c r="I188" i="190"/>
  <c r="H188" i="190"/>
  <c r="G188" i="190"/>
  <c r="F188" i="190"/>
  <c r="E188" i="190"/>
  <c r="D188" i="190"/>
  <c r="U187" i="190"/>
  <c r="T187" i="190"/>
  <c r="S187" i="190"/>
  <c r="R187" i="190"/>
  <c r="Q187" i="190"/>
  <c r="P187" i="190"/>
  <c r="O187" i="190"/>
  <c r="N187" i="190"/>
  <c r="M187" i="190"/>
  <c r="L187" i="190"/>
  <c r="K187" i="190"/>
  <c r="J187" i="190"/>
  <c r="I187" i="190"/>
  <c r="H187" i="190"/>
  <c r="G187" i="190"/>
  <c r="F187" i="190"/>
  <c r="E187" i="190"/>
  <c r="D187" i="190"/>
  <c r="U186" i="190"/>
  <c r="T186" i="190"/>
  <c r="S186" i="190"/>
  <c r="R186" i="190"/>
  <c r="Q186" i="190"/>
  <c r="P186" i="190"/>
  <c r="O186" i="190"/>
  <c r="N186" i="190"/>
  <c r="M186" i="190"/>
  <c r="L186" i="190"/>
  <c r="K186" i="190"/>
  <c r="J186" i="190"/>
  <c r="I186" i="190"/>
  <c r="H186" i="190"/>
  <c r="G186" i="190"/>
  <c r="F186" i="190"/>
  <c r="E186" i="190"/>
  <c r="D186" i="190"/>
  <c r="U185" i="190"/>
  <c r="T185" i="190"/>
  <c r="S185" i="190"/>
  <c r="R185" i="190"/>
  <c r="Q185" i="190"/>
  <c r="P185" i="190"/>
  <c r="O185" i="190"/>
  <c r="N185" i="190"/>
  <c r="M185" i="190"/>
  <c r="L185" i="190"/>
  <c r="K185" i="190"/>
  <c r="J185" i="190"/>
  <c r="I185" i="190"/>
  <c r="H185" i="190"/>
  <c r="G185" i="190"/>
  <c r="F185" i="190"/>
  <c r="E185" i="190"/>
  <c r="D185" i="190"/>
  <c r="U184" i="190"/>
  <c r="T184" i="190"/>
  <c r="S184" i="190"/>
  <c r="R184" i="190"/>
  <c r="Q184" i="190"/>
  <c r="P184" i="190"/>
  <c r="O184" i="190"/>
  <c r="N184" i="190"/>
  <c r="M184" i="190"/>
  <c r="L184" i="190"/>
  <c r="K184" i="190"/>
  <c r="J184" i="190"/>
  <c r="I184" i="190"/>
  <c r="H184" i="190"/>
  <c r="G184" i="190"/>
  <c r="F184" i="190"/>
  <c r="E184" i="190"/>
  <c r="D184" i="190"/>
  <c r="U183" i="190"/>
  <c r="T183" i="190"/>
  <c r="S183" i="190"/>
  <c r="R183" i="190"/>
  <c r="Q183" i="190"/>
  <c r="P183" i="190"/>
  <c r="O183" i="190"/>
  <c r="N183" i="190"/>
  <c r="M183" i="190"/>
  <c r="L183" i="190"/>
  <c r="K183" i="190"/>
  <c r="J183" i="190"/>
  <c r="I183" i="190"/>
  <c r="H183" i="190"/>
  <c r="G183" i="190"/>
  <c r="F183" i="190"/>
  <c r="E183" i="190"/>
  <c r="D183" i="190"/>
  <c r="U182" i="190"/>
  <c r="T182" i="190"/>
  <c r="S182" i="190"/>
  <c r="R182" i="190"/>
  <c r="Q182" i="190"/>
  <c r="P182" i="190"/>
  <c r="O182" i="190"/>
  <c r="N182" i="190"/>
  <c r="M182" i="190"/>
  <c r="L182" i="190"/>
  <c r="K182" i="190"/>
  <c r="J182" i="190"/>
  <c r="I182" i="190"/>
  <c r="H182" i="190"/>
  <c r="G182" i="190"/>
  <c r="F182" i="190"/>
  <c r="E182" i="190"/>
  <c r="D182" i="190"/>
  <c r="P181" i="190"/>
  <c r="U180" i="190"/>
  <c r="T180" i="190"/>
  <c r="S180" i="190"/>
  <c r="R180" i="190"/>
  <c r="Q180" i="190"/>
  <c r="P180" i="190"/>
  <c r="O180" i="190"/>
  <c r="N180" i="190"/>
  <c r="M180" i="190"/>
  <c r="L180" i="190"/>
  <c r="K180" i="190"/>
  <c r="J180" i="190"/>
  <c r="I180" i="190"/>
  <c r="H180" i="190"/>
  <c r="G180" i="190"/>
  <c r="F180" i="190"/>
  <c r="E180" i="190"/>
  <c r="D180" i="190"/>
  <c r="U179" i="190"/>
  <c r="T179" i="190"/>
  <c r="S179" i="190"/>
  <c r="R179" i="190"/>
  <c r="Q179" i="190"/>
  <c r="P179" i="190"/>
  <c r="O179" i="190"/>
  <c r="N179" i="190"/>
  <c r="M179" i="190"/>
  <c r="L179" i="190"/>
  <c r="K179" i="190"/>
  <c r="J179" i="190"/>
  <c r="I179" i="190"/>
  <c r="H179" i="190"/>
  <c r="G179" i="190"/>
  <c r="F179" i="190"/>
  <c r="E179" i="190"/>
  <c r="D179" i="190"/>
  <c r="U178" i="190"/>
  <c r="T178" i="190"/>
  <c r="S178" i="190"/>
  <c r="R178" i="190"/>
  <c r="Q178" i="190"/>
  <c r="P178" i="190"/>
  <c r="O178" i="190"/>
  <c r="N178" i="190"/>
  <c r="M178" i="190"/>
  <c r="L178" i="190"/>
  <c r="K178" i="190"/>
  <c r="J178" i="190"/>
  <c r="I178" i="190"/>
  <c r="H178" i="190"/>
  <c r="G178" i="190"/>
  <c r="F178" i="190"/>
  <c r="E178" i="190"/>
  <c r="D178" i="190"/>
  <c r="U177" i="190"/>
  <c r="T177" i="190"/>
  <c r="S177" i="190"/>
  <c r="R177" i="190"/>
  <c r="Q177" i="190"/>
  <c r="P177" i="190"/>
  <c r="O177" i="190"/>
  <c r="N177" i="190"/>
  <c r="M177" i="190"/>
  <c r="L177" i="190"/>
  <c r="K177" i="190"/>
  <c r="J177" i="190"/>
  <c r="I177" i="190"/>
  <c r="H177" i="190"/>
  <c r="G177" i="190"/>
  <c r="F177" i="190"/>
  <c r="E177" i="190"/>
  <c r="D177" i="190"/>
  <c r="U176" i="190"/>
  <c r="T176" i="190"/>
  <c r="S176" i="190"/>
  <c r="R176" i="190"/>
  <c r="Q176" i="190"/>
  <c r="P176" i="190"/>
  <c r="O176" i="190"/>
  <c r="N176" i="190"/>
  <c r="M176" i="190"/>
  <c r="L176" i="190"/>
  <c r="K176" i="190"/>
  <c r="J176" i="190"/>
  <c r="I176" i="190"/>
  <c r="H176" i="190"/>
  <c r="G176" i="190"/>
  <c r="F176" i="190"/>
  <c r="E176" i="190"/>
  <c r="D176" i="190"/>
  <c r="U175" i="190"/>
  <c r="T175" i="190"/>
  <c r="S175" i="190"/>
  <c r="R175" i="190"/>
  <c r="Q175" i="190"/>
  <c r="P175" i="190"/>
  <c r="O175" i="190"/>
  <c r="N175" i="190"/>
  <c r="M175" i="190"/>
  <c r="L175" i="190"/>
  <c r="K175" i="190"/>
  <c r="J175" i="190"/>
  <c r="I175" i="190"/>
  <c r="H175" i="190"/>
  <c r="G175" i="190"/>
  <c r="F175" i="190"/>
  <c r="E175" i="190"/>
  <c r="D175" i="190"/>
  <c r="U174" i="190"/>
  <c r="T174" i="190"/>
  <c r="S174" i="190"/>
  <c r="R174" i="190"/>
  <c r="Q174" i="190"/>
  <c r="P174" i="190"/>
  <c r="O174" i="190"/>
  <c r="N174" i="190"/>
  <c r="M174" i="190"/>
  <c r="L174" i="190"/>
  <c r="K174" i="190"/>
  <c r="J174" i="190"/>
  <c r="I174" i="190"/>
  <c r="H174" i="190"/>
  <c r="G174" i="190"/>
  <c r="F174" i="190"/>
  <c r="E174" i="190"/>
  <c r="D174" i="190"/>
  <c r="U173" i="190"/>
  <c r="T173" i="190"/>
  <c r="S173" i="190"/>
  <c r="R173" i="190"/>
  <c r="Q173" i="190"/>
  <c r="P173" i="190"/>
  <c r="O173" i="190"/>
  <c r="N173" i="190"/>
  <c r="M173" i="190"/>
  <c r="L173" i="190"/>
  <c r="K173" i="190"/>
  <c r="J173" i="190"/>
  <c r="I173" i="190"/>
  <c r="H173" i="190"/>
  <c r="G173" i="190"/>
  <c r="F173" i="190"/>
  <c r="E173" i="190"/>
  <c r="D173" i="190"/>
  <c r="U172" i="190"/>
  <c r="T172" i="190"/>
  <c r="S172" i="190"/>
  <c r="R172" i="190"/>
  <c r="Q172" i="190"/>
  <c r="P172" i="190"/>
  <c r="O172" i="190"/>
  <c r="N172" i="190"/>
  <c r="M172" i="190"/>
  <c r="L172" i="190"/>
  <c r="K172" i="190"/>
  <c r="J172" i="190"/>
  <c r="I172" i="190"/>
  <c r="H172" i="190"/>
  <c r="G172" i="190"/>
  <c r="F172" i="190"/>
  <c r="E172" i="190"/>
  <c r="D172" i="190"/>
  <c r="U171" i="190"/>
  <c r="T171" i="190"/>
  <c r="S171" i="190"/>
  <c r="R171" i="190"/>
  <c r="Q171" i="190"/>
  <c r="P171" i="190"/>
  <c r="O171" i="190"/>
  <c r="N171" i="190"/>
  <c r="M171" i="190"/>
  <c r="L171" i="190"/>
  <c r="K171" i="190"/>
  <c r="J171" i="190"/>
  <c r="I171" i="190"/>
  <c r="H171" i="190"/>
  <c r="G171" i="190"/>
  <c r="F171" i="190"/>
  <c r="E171" i="190"/>
  <c r="D171" i="190"/>
  <c r="U170" i="190"/>
  <c r="T170" i="190"/>
  <c r="S170" i="190"/>
  <c r="R170" i="190"/>
  <c r="Q170" i="190"/>
  <c r="P170" i="190"/>
  <c r="O170" i="190"/>
  <c r="N170" i="190"/>
  <c r="M170" i="190"/>
  <c r="L170" i="190"/>
  <c r="K170" i="190"/>
  <c r="J170" i="190"/>
  <c r="I170" i="190"/>
  <c r="H170" i="190"/>
  <c r="G170" i="190"/>
  <c r="F170" i="190"/>
  <c r="E170" i="190"/>
  <c r="D170" i="190"/>
  <c r="U169" i="190"/>
  <c r="T169" i="190"/>
  <c r="S169" i="190"/>
  <c r="R169" i="190"/>
  <c r="Q169" i="190"/>
  <c r="P169" i="190"/>
  <c r="O169" i="190"/>
  <c r="N169" i="190"/>
  <c r="M169" i="190"/>
  <c r="L169" i="190"/>
  <c r="K169" i="190"/>
  <c r="J169" i="190"/>
  <c r="I169" i="190"/>
  <c r="H169" i="190"/>
  <c r="G169" i="190"/>
  <c r="F169" i="190"/>
  <c r="E169" i="190"/>
  <c r="D169" i="190"/>
  <c r="U168" i="190"/>
  <c r="T168" i="190"/>
  <c r="S168" i="190"/>
  <c r="R168" i="190"/>
  <c r="Q168" i="190"/>
  <c r="P168" i="190"/>
  <c r="O168" i="190"/>
  <c r="N168" i="190"/>
  <c r="M168" i="190"/>
  <c r="L168" i="190"/>
  <c r="K168" i="190"/>
  <c r="J168" i="190"/>
  <c r="I168" i="190"/>
  <c r="H168" i="190"/>
  <c r="G168" i="190"/>
  <c r="F168" i="190"/>
  <c r="E168" i="190"/>
  <c r="D168" i="190"/>
  <c r="P167" i="190"/>
  <c r="U166" i="190"/>
  <c r="T166" i="190"/>
  <c r="S166" i="190"/>
  <c r="R166" i="190"/>
  <c r="Q166" i="190"/>
  <c r="P166" i="190"/>
  <c r="O166" i="190"/>
  <c r="N166" i="190"/>
  <c r="M166" i="190"/>
  <c r="L166" i="190"/>
  <c r="K166" i="190"/>
  <c r="J166" i="190"/>
  <c r="I166" i="190"/>
  <c r="H166" i="190"/>
  <c r="G166" i="190"/>
  <c r="F166" i="190"/>
  <c r="E166" i="190"/>
  <c r="D166" i="190"/>
  <c r="U165" i="190"/>
  <c r="T165" i="190"/>
  <c r="S165" i="190"/>
  <c r="R165" i="190"/>
  <c r="Q165" i="190"/>
  <c r="P165" i="190"/>
  <c r="O165" i="190"/>
  <c r="N165" i="190"/>
  <c r="M165" i="190"/>
  <c r="L165" i="190"/>
  <c r="K165" i="190"/>
  <c r="J165" i="190"/>
  <c r="I165" i="190"/>
  <c r="H165" i="190"/>
  <c r="G165" i="190"/>
  <c r="F165" i="190"/>
  <c r="E165" i="190"/>
  <c r="D165" i="190"/>
  <c r="U164" i="190"/>
  <c r="T164" i="190"/>
  <c r="S164" i="190"/>
  <c r="R164" i="190"/>
  <c r="Q164" i="190"/>
  <c r="P164" i="190"/>
  <c r="O164" i="190"/>
  <c r="N164" i="190"/>
  <c r="M164" i="190"/>
  <c r="L164" i="190"/>
  <c r="K164" i="190"/>
  <c r="J164" i="190"/>
  <c r="I164" i="190"/>
  <c r="H164" i="190"/>
  <c r="G164" i="190"/>
  <c r="F164" i="190"/>
  <c r="E164" i="190"/>
  <c r="D164" i="190"/>
  <c r="U163" i="190"/>
  <c r="T163" i="190"/>
  <c r="S163" i="190"/>
  <c r="R163" i="190"/>
  <c r="Q163" i="190"/>
  <c r="P163" i="190"/>
  <c r="O163" i="190"/>
  <c r="N163" i="190"/>
  <c r="M163" i="190"/>
  <c r="L163" i="190"/>
  <c r="K163" i="190"/>
  <c r="J163" i="190"/>
  <c r="I163" i="190"/>
  <c r="H163" i="190"/>
  <c r="G163" i="190"/>
  <c r="F163" i="190"/>
  <c r="E163" i="190"/>
  <c r="D163" i="190"/>
  <c r="U162" i="190"/>
  <c r="T162" i="190"/>
  <c r="S162" i="190"/>
  <c r="R162" i="190"/>
  <c r="Q162" i="190"/>
  <c r="P162" i="190"/>
  <c r="O162" i="190"/>
  <c r="N162" i="190"/>
  <c r="M162" i="190"/>
  <c r="L162" i="190"/>
  <c r="K162" i="190"/>
  <c r="J162" i="190"/>
  <c r="I162" i="190"/>
  <c r="H162" i="190"/>
  <c r="G162" i="190"/>
  <c r="F162" i="190"/>
  <c r="E162" i="190"/>
  <c r="D162" i="190"/>
  <c r="U161" i="190"/>
  <c r="T161" i="190"/>
  <c r="S161" i="190"/>
  <c r="R161" i="190"/>
  <c r="Q161" i="190"/>
  <c r="P161" i="190"/>
  <c r="O161" i="190"/>
  <c r="N161" i="190"/>
  <c r="M161" i="190"/>
  <c r="L161" i="190"/>
  <c r="K161" i="190"/>
  <c r="J161" i="190"/>
  <c r="I161" i="190"/>
  <c r="H161" i="190"/>
  <c r="G161" i="190"/>
  <c r="F161" i="190"/>
  <c r="E161" i="190"/>
  <c r="D161" i="190"/>
  <c r="U160" i="190"/>
  <c r="T160" i="190"/>
  <c r="S160" i="190"/>
  <c r="R160" i="190"/>
  <c r="Q160" i="190"/>
  <c r="P160" i="190"/>
  <c r="O160" i="190"/>
  <c r="N160" i="190"/>
  <c r="M160" i="190"/>
  <c r="L160" i="190"/>
  <c r="K160" i="190"/>
  <c r="J160" i="190"/>
  <c r="I160" i="190"/>
  <c r="H160" i="190"/>
  <c r="G160" i="190"/>
  <c r="F160" i="190"/>
  <c r="E160" i="190"/>
  <c r="D160" i="190"/>
  <c r="U154" i="190"/>
  <c r="T154" i="190"/>
  <c r="S154" i="190"/>
  <c r="R154" i="190"/>
  <c r="Q154" i="190"/>
  <c r="P154" i="190"/>
  <c r="O154" i="190"/>
  <c r="N154" i="190"/>
  <c r="M154" i="190"/>
  <c r="L154" i="190"/>
  <c r="K154" i="190"/>
  <c r="J154" i="190"/>
  <c r="I154" i="190"/>
  <c r="H154" i="190"/>
  <c r="G154" i="190"/>
  <c r="F154" i="190"/>
  <c r="E154" i="190"/>
  <c r="D154" i="190"/>
  <c r="U153" i="190"/>
  <c r="T153" i="190"/>
  <c r="S153" i="190"/>
  <c r="R153" i="190"/>
  <c r="Q153" i="190"/>
  <c r="P153" i="190"/>
  <c r="O153" i="190"/>
  <c r="N153" i="190"/>
  <c r="M153" i="190"/>
  <c r="L153" i="190"/>
  <c r="K153" i="190"/>
  <c r="J153" i="190"/>
  <c r="I153" i="190"/>
  <c r="H153" i="190"/>
  <c r="G153" i="190"/>
  <c r="F153" i="190"/>
  <c r="E153" i="190"/>
  <c r="D153" i="190"/>
  <c r="U152" i="190"/>
  <c r="T152" i="190"/>
  <c r="S152" i="190"/>
  <c r="R152" i="190"/>
  <c r="Q152" i="190"/>
  <c r="P152" i="190"/>
  <c r="O152" i="190"/>
  <c r="N152" i="190"/>
  <c r="M152" i="190"/>
  <c r="L152" i="190"/>
  <c r="K152" i="190"/>
  <c r="J152" i="190"/>
  <c r="I152" i="190"/>
  <c r="H152" i="190"/>
  <c r="G152" i="190"/>
  <c r="F152" i="190"/>
  <c r="E152" i="190"/>
  <c r="D152" i="190"/>
  <c r="U151" i="190"/>
  <c r="T151" i="190"/>
  <c r="S151" i="190"/>
  <c r="R151" i="190"/>
  <c r="Q151" i="190"/>
  <c r="P151" i="190"/>
  <c r="O151" i="190"/>
  <c r="N151" i="190"/>
  <c r="M151" i="190"/>
  <c r="L151" i="190"/>
  <c r="K151" i="190"/>
  <c r="J151" i="190"/>
  <c r="I151" i="190"/>
  <c r="H151" i="190"/>
  <c r="G151" i="190"/>
  <c r="F151" i="190"/>
  <c r="E151" i="190"/>
  <c r="D151" i="190"/>
  <c r="U150" i="190"/>
  <c r="T150" i="190"/>
  <c r="S150" i="190"/>
  <c r="R150" i="190"/>
  <c r="Q150" i="190"/>
  <c r="P150" i="190"/>
  <c r="O150" i="190"/>
  <c r="N150" i="190"/>
  <c r="M150" i="190"/>
  <c r="L150" i="190"/>
  <c r="K150" i="190"/>
  <c r="J150" i="190"/>
  <c r="I150" i="190"/>
  <c r="H150" i="190"/>
  <c r="G150" i="190"/>
  <c r="F150" i="190"/>
  <c r="E150" i="190"/>
  <c r="D150" i="190"/>
  <c r="U149" i="190"/>
  <c r="T149" i="190"/>
  <c r="S149" i="190"/>
  <c r="R149" i="190"/>
  <c r="Q149" i="190"/>
  <c r="P149" i="190"/>
  <c r="O149" i="190"/>
  <c r="N149" i="190"/>
  <c r="M149" i="190"/>
  <c r="L149" i="190"/>
  <c r="K149" i="190"/>
  <c r="J149" i="190"/>
  <c r="I149" i="190"/>
  <c r="H149" i="190"/>
  <c r="G149" i="190"/>
  <c r="F149" i="190"/>
  <c r="E149" i="190"/>
  <c r="D149" i="190"/>
  <c r="U148" i="190"/>
  <c r="T148" i="190"/>
  <c r="S148" i="190"/>
  <c r="R148" i="190"/>
  <c r="Q148" i="190"/>
  <c r="P148" i="190"/>
  <c r="O148" i="190"/>
  <c r="N148" i="190"/>
  <c r="M148" i="190"/>
  <c r="L148" i="190"/>
  <c r="K148" i="190"/>
  <c r="J148" i="190"/>
  <c r="I148" i="190"/>
  <c r="H148" i="190"/>
  <c r="G148" i="190"/>
  <c r="F148" i="190"/>
  <c r="E148" i="190"/>
  <c r="D148" i="190"/>
  <c r="U147" i="190"/>
  <c r="T147" i="190"/>
  <c r="S147" i="190"/>
  <c r="R147" i="190"/>
  <c r="Q147" i="190"/>
  <c r="P147" i="190"/>
  <c r="O147" i="190"/>
  <c r="N147" i="190"/>
  <c r="M147" i="190"/>
  <c r="L147" i="190"/>
  <c r="K147" i="190"/>
  <c r="J147" i="190"/>
  <c r="I147" i="190"/>
  <c r="H147" i="190"/>
  <c r="G147" i="190"/>
  <c r="F147" i="190"/>
  <c r="E147" i="190"/>
  <c r="D147" i="190"/>
  <c r="U146" i="190"/>
  <c r="T146" i="190"/>
  <c r="S146" i="190"/>
  <c r="R146" i="190"/>
  <c r="Q146" i="190"/>
  <c r="P146" i="190"/>
  <c r="O146" i="190"/>
  <c r="N146" i="190"/>
  <c r="M146" i="190"/>
  <c r="L146" i="190"/>
  <c r="K146" i="190"/>
  <c r="J146" i="190"/>
  <c r="I146" i="190"/>
  <c r="H146" i="190"/>
  <c r="G146" i="190"/>
  <c r="F146" i="190"/>
  <c r="E146" i="190"/>
  <c r="D146" i="190"/>
  <c r="U145" i="190"/>
  <c r="T145" i="190"/>
  <c r="S145" i="190"/>
  <c r="R145" i="190"/>
  <c r="Q145" i="190"/>
  <c r="P145" i="190"/>
  <c r="O145" i="190"/>
  <c r="N145" i="190"/>
  <c r="M145" i="190"/>
  <c r="L145" i="190"/>
  <c r="K145" i="190"/>
  <c r="J145" i="190"/>
  <c r="I145" i="190"/>
  <c r="H145" i="190"/>
  <c r="G145" i="190"/>
  <c r="F145" i="190"/>
  <c r="E145" i="190"/>
  <c r="D145" i="190"/>
  <c r="P144" i="190"/>
  <c r="U143" i="190"/>
  <c r="T143" i="190"/>
  <c r="S143" i="190"/>
  <c r="R143" i="190"/>
  <c r="Q143" i="190"/>
  <c r="P143" i="190"/>
  <c r="O143" i="190"/>
  <c r="N143" i="190"/>
  <c r="M143" i="190"/>
  <c r="L143" i="190"/>
  <c r="K143" i="190"/>
  <c r="J143" i="190"/>
  <c r="I143" i="190"/>
  <c r="H143" i="190"/>
  <c r="G143" i="190"/>
  <c r="F143" i="190"/>
  <c r="E143" i="190"/>
  <c r="D143" i="190"/>
  <c r="U142" i="190"/>
  <c r="T142" i="190"/>
  <c r="S142" i="190"/>
  <c r="R142" i="190"/>
  <c r="Q142" i="190"/>
  <c r="P142" i="190"/>
  <c r="O142" i="190"/>
  <c r="N142" i="190"/>
  <c r="M142" i="190"/>
  <c r="L142" i="190"/>
  <c r="K142" i="190"/>
  <c r="J142" i="190"/>
  <c r="I142" i="190"/>
  <c r="H142" i="190"/>
  <c r="G142" i="190"/>
  <c r="F142" i="190"/>
  <c r="E142" i="190"/>
  <c r="D142" i="190"/>
  <c r="U141" i="190"/>
  <c r="T141" i="190"/>
  <c r="S141" i="190"/>
  <c r="R141" i="190"/>
  <c r="Q141" i="190"/>
  <c r="P141" i="190"/>
  <c r="O141" i="190"/>
  <c r="N141" i="190"/>
  <c r="M141" i="190"/>
  <c r="L141" i="190"/>
  <c r="K141" i="190"/>
  <c r="J141" i="190"/>
  <c r="I141" i="190"/>
  <c r="H141" i="190"/>
  <c r="G141" i="190"/>
  <c r="F141" i="190"/>
  <c r="E141" i="190"/>
  <c r="D141" i="190"/>
  <c r="U140" i="190"/>
  <c r="T140" i="190"/>
  <c r="S140" i="190"/>
  <c r="R140" i="190"/>
  <c r="Q140" i="190"/>
  <c r="P140" i="190"/>
  <c r="O140" i="190"/>
  <c r="N140" i="190"/>
  <c r="M140" i="190"/>
  <c r="L140" i="190"/>
  <c r="K140" i="190"/>
  <c r="J140" i="190"/>
  <c r="I140" i="190"/>
  <c r="H140" i="190"/>
  <c r="G140" i="190"/>
  <c r="F140" i="190"/>
  <c r="E140" i="190"/>
  <c r="D140" i="190"/>
  <c r="U139" i="190"/>
  <c r="T139" i="190"/>
  <c r="S139" i="190"/>
  <c r="R139" i="190"/>
  <c r="Q139" i="190"/>
  <c r="P139" i="190"/>
  <c r="O139" i="190"/>
  <c r="N139" i="190"/>
  <c r="M139" i="190"/>
  <c r="L139" i="190"/>
  <c r="K139" i="190"/>
  <c r="J139" i="190"/>
  <c r="I139" i="190"/>
  <c r="H139" i="190"/>
  <c r="G139" i="190"/>
  <c r="F139" i="190"/>
  <c r="E139" i="190"/>
  <c r="D139" i="190"/>
  <c r="U138" i="190"/>
  <c r="T138" i="190"/>
  <c r="S138" i="190"/>
  <c r="R138" i="190"/>
  <c r="Q138" i="190"/>
  <c r="P138" i="190"/>
  <c r="O138" i="190"/>
  <c r="N138" i="190"/>
  <c r="M138" i="190"/>
  <c r="L138" i="190"/>
  <c r="K138" i="190"/>
  <c r="J138" i="190"/>
  <c r="I138" i="190"/>
  <c r="H138" i="190"/>
  <c r="G138" i="190"/>
  <c r="F138" i="190"/>
  <c r="E138" i="190"/>
  <c r="D138" i="190"/>
  <c r="U137" i="190"/>
  <c r="T137" i="190"/>
  <c r="S137" i="190"/>
  <c r="R137" i="190"/>
  <c r="Q137" i="190"/>
  <c r="P137" i="190"/>
  <c r="O137" i="190"/>
  <c r="N137" i="190"/>
  <c r="M137" i="190"/>
  <c r="L137" i="190"/>
  <c r="K137" i="190"/>
  <c r="J137" i="190"/>
  <c r="I137" i="190"/>
  <c r="H137" i="190"/>
  <c r="G137" i="190"/>
  <c r="F137" i="190"/>
  <c r="E137" i="190"/>
  <c r="D137" i="190"/>
  <c r="U136" i="190"/>
  <c r="T136" i="190"/>
  <c r="S136" i="190"/>
  <c r="R136" i="190"/>
  <c r="Q136" i="190"/>
  <c r="P136" i="190"/>
  <c r="O136" i="190"/>
  <c r="N136" i="190"/>
  <c r="M136" i="190"/>
  <c r="L136" i="190"/>
  <c r="K136" i="190"/>
  <c r="J136" i="190"/>
  <c r="I136" i="190"/>
  <c r="H136" i="190"/>
  <c r="G136" i="190"/>
  <c r="F136" i="190"/>
  <c r="E136" i="190"/>
  <c r="D136" i="190"/>
  <c r="U135" i="190"/>
  <c r="T135" i="190"/>
  <c r="S135" i="190"/>
  <c r="R135" i="190"/>
  <c r="Q135" i="190"/>
  <c r="P135" i="190"/>
  <c r="O135" i="190"/>
  <c r="N135" i="190"/>
  <c r="M135" i="190"/>
  <c r="L135" i="190"/>
  <c r="K135" i="190"/>
  <c r="J135" i="190"/>
  <c r="I135" i="190"/>
  <c r="H135" i="190"/>
  <c r="G135" i="190"/>
  <c r="F135" i="190"/>
  <c r="E135" i="190"/>
  <c r="D135" i="190"/>
  <c r="U134" i="190"/>
  <c r="T134" i="190"/>
  <c r="S134" i="190"/>
  <c r="R134" i="190"/>
  <c r="Q134" i="190"/>
  <c r="P134" i="190"/>
  <c r="O134" i="190"/>
  <c r="N134" i="190"/>
  <c r="M134" i="190"/>
  <c r="L134" i="190"/>
  <c r="K134" i="190"/>
  <c r="J134" i="190"/>
  <c r="I134" i="190"/>
  <c r="H134" i="190"/>
  <c r="G134" i="190"/>
  <c r="F134" i="190"/>
  <c r="E134" i="190"/>
  <c r="D134" i="190"/>
  <c r="U133" i="190"/>
  <c r="T133" i="190"/>
  <c r="S133" i="190"/>
  <c r="R133" i="190"/>
  <c r="Q133" i="190"/>
  <c r="P133" i="190"/>
  <c r="O133" i="190"/>
  <c r="N133" i="190"/>
  <c r="M133" i="190"/>
  <c r="L133" i="190"/>
  <c r="K133" i="190"/>
  <c r="J133" i="190"/>
  <c r="I133" i="190"/>
  <c r="H133" i="190"/>
  <c r="G133" i="190"/>
  <c r="F133" i="190"/>
  <c r="E133" i="190"/>
  <c r="D133" i="190"/>
  <c r="U132" i="190"/>
  <c r="T132" i="190"/>
  <c r="S132" i="190"/>
  <c r="R132" i="190"/>
  <c r="Q132" i="190"/>
  <c r="P132" i="190"/>
  <c r="O132" i="190"/>
  <c r="N132" i="190"/>
  <c r="M132" i="190"/>
  <c r="L132" i="190"/>
  <c r="K132" i="190"/>
  <c r="J132" i="190"/>
  <c r="I132" i="190"/>
  <c r="H132" i="190"/>
  <c r="G132" i="190"/>
  <c r="F132" i="190"/>
  <c r="E132" i="190"/>
  <c r="D132" i="190"/>
  <c r="U131" i="190"/>
  <c r="T131" i="190"/>
  <c r="S131" i="190"/>
  <c r="R131" i="190"/>
  <c r="Q131" i="190"/>
  <c r="P131" i="190"/>
  <c r="O131" i="190"/>
  <c r="N131" i="190"/>
  <c r="M131" i="190"/>
  <c r="L131" i="190"/>
  <c r="K131" i="190"/>
  <c r="J131" i="190"/>
  <c r="I131" i="190"/>
  <c r="H131" i="190"/>
  <c r="G131" i="190"/>
  <c r="F131" i="190"/>
  <c r="E131" i="190"/>
  <c r="D131" i="190"/>
  <c r="P130" i="190"/>
  <c r="U129" i="190"/>
  <c r="T129" i="190"/>
  <c r="S129" i="190"/>
  <c r="R129" i="190"/>
  <c r="Q129" i="190"/>
  <c r="P129" i="190"/>
  <c r="O129" i="190"/>
  <c r="N129" i="190"/>
  <c r="M129" i="190"/>
  <c r="L129" i="190"/>
  <c r="K129" i="190"/>
  <c r="J129" i="190"/>
  <c r="I129" i="190"/>
  <c r="H129" i="190"/>
  <c r="G129" i="190"/>
  <c r="F129" i="190"/>
  <c r="E129" i="190"/>
  <c r="D129" i="190"/>
  <c r="U128" i="190"/>
  <c r="T128" i="190"/>
  <c r="S128" i="190"/>
  <c r="R128" i="190"/>
  <c r="Q128" i="190"/>
  <c r="P128" i="190"/>
  <c r="O128" i="190"/>
  <c r="N128" i="190"/>
  <c r="M128" i="190"/>
  <c r="L128" i="190"/>
  <c r="K128" i="190"/>
  <c r="J128" i="190"/>
  <c r="I128" i="190"/>
  <c r="H128" i="190"/>
  <c r="G128" i="190"/>
  <c r="F128" i="190"/>
  <c r="E128" i="190"/>
  <c r="D128" i="190"/>
  <c r="U127" i="190"/>
  <c r="T127" i="190"/>
  <c r="S127" i="190"/>
  <c r="R127" i="190"/>
  <c r="Q127" i="190"/>
  <c r="P127" i="190"/>
  <c r="O127" i="190"/>
  <c r="N127" i="190"/>
  <c r="M127" i="190"/>
  <c r="L127" i="190"/>
  <c r="K127" i="190"/>
  <c r="J127" i="190"/>
  <c r="I127" i="190"/>
  <c r="H127" i="190"/>
  <c r="G127" i="190"/>
  <c r="F127" i="190"/>
  <c r="E127" i="190"/>
  <c r="D127" i="190"/>
  <c r="U126" i="190"/>
  <c r="T126" i="190"/>
  <c r="S126" i="190"/>
  <c r="R126" i="190"/>
  <c r="Q126" i="190"/>
  <c r="P126" i="190"/>
  <c r="O126" i="190"/>
  <c r="N126" i="190"/>
  <c r="M126" i="190"/>
  <c r="L126" i="190"/>
  <c r="K126" i="190"/>
  <c r="J126" i="190"/>
  <c r="I126" i="190"/>
  <c r="H126" i="190"/>
  <c r="G126" i="190"/>
  <c r="F126" i="190"/>
  <c r="E126" i="190"/>
  <c r="D126" i="190"/>
  <c r="U125" i="190"/>
  <c r="T125" i="190"/>
  <c r="S125" i="190"/>
  <c r="R125" i="190"/>
  <c r="Q125" i="190"/>
  <c r="P125" i="190"/>
  <c r="O125" i="190"/>
  <c r="N125" i="190"/>
  <c r="M125" i="190"/>
  <c r="L125" i="190"/>
  <c r="K125" i="190"/>
  <c r="J125" i="190"/>
  <c r="I125" i="190"/>
  <c r="H125" i="190"/>
  <c r="G125" i="190"/>
  <c r="F125" i="190"/>
  <c r="E125" i="190"/>
  <c r="D125" i="190"/>
  <c r="U124" i="190"/>
  <c r="T124" i="190"/>
  <c r="S124" i="190"/>
  <c r="R124" i="190"/>
  <c r="Q124" i="190"/>
  <c r="P124" i="190"/>
  <c r="O124" i="190"/>
  <c r="N124" i="190"/>
  <c r="M124" i="190"/>
  <c r="L124" i="190"/>
  <c r="K124" i="190"/>
  <c r="J124" i="190"/>
  <c r="I124" i="190"/>
  <c r="H124" i="190"/>
  <c r="G124" i="190"/>
  <c r="F124" i="190"/>
  <c r="E124" i="190"/>
  <c r="D124" i="190"/>
  <c r="U123" i="190"/>
  <c r="T123" i="190"/>
  <c r="S123" i="190"/>
  <c r="R123" i="190"/>
  <c r="Q123" i="190"/>
  <c r="P123" i="190"/>
  <c r="O123" i="190"/>
  <c r="N123" i="190"/>
  <c r="M123" i="190"/>
  <c r="L123" i="190"/>
  <c r="K123" i="190"/>
  <c r="J123" i="190"/>
  <c r="I123" i="190"/>
  <c r="H123" i="190"/>
  <c r="G123" i="190"/>
  <c r="F123" i="190"/>
  <c r="E123" i="190"/>
  <c r="D123" i="190"/>
  <c r="U117" i="190"/>
  <c r="T117" i="190"/>
  <c r="S117" i="190"/>
  <c r="R117" i="190"/>
  <c r="Q117" i="190"/>
  <c r="P117" i="190"/>
  <c r="O117" i="190"/>
  <c r="N117" i="190"/>
  <c r="M117" i="190"/>
  <c r="L117" i="190"/>
  <c r="K117" i="190"/>
  <c r="J117" i="190"/>
  <c r="I117" i="190"/>
  <c r="H117" i="190"/>
  <c r="G117" i="190"/>
  <c r="F117" i="190"/>
  <c r="E117" i="190"/>
  <c r="D117" i="190"/>
  <c r="U116" i="190"/>
  <c r="T116" i="190"/>
  <c r="S116" i="190"/>
  <c r="R116" i="190"/>
  <c r="Q116" i="190"/>
  <c r="P116" i="190"/>
  <c r="O116" i="190"/>
  <c r="N116" i="190"/>
  <c r="M116" i="190"/>
  <c r="L116" i="190"/>
  <c r="K116" i="190"/>
  <c r="J116" i="190"/>
  <c r="I116" i="190"/>
  <c r="H116" i="190"/>
  <c r="G116" i="190"/>
  <c r="F116" i="190"/>
  <c r="E116" i="190"/>
  <c r="D116" i="190"/>
  <c r="U115" i="190"/>
  <c r="T115" i="190"/>
  <c r="S115" i="190"/>
  <c r="R115" i="190"/>
  <c r="Q115" i="190"/>
  <c r="P115" i="190"/>
  <c r="O115" i="190"/>
  <c r="N115" i="190"/>
  <c r="M115" i="190"/>
  <c r="L115" i="190"/>
  <c r="K115" i="190"/>
  <c r="J115" i="190"/>
  <c r="I115" i="190"/>
  <c r="H115" i="190"/>
  <c r="G115" i="190"/>
  <c r="F115" i="190"/>
  <c r="E115" i="190"/>
  <c r="D115" i="190"/>
  <c r="U114" i="190"/>
  <c r="T114" i="190"/>
  <c r="S114" i="190"/>
  <c r="R114" i="190"/>
  <c r="Q114" i="190"/>
  <c r="P114" i="190"/>
  <c r="O114" i="190"/>
  <c r="N114" i="190"/>
  <c r="M114" i="190"/>
  <c r="L114" i="190"/>
  <c r="K114" i="190"/>
  <c r="J114" i="190"/>
  <c r="I114" i="190"/>
  <c r="H114" i="190"/>
  <c r="G114" i="190"/>
  <c r="F114" i="190"/>
  <c r="E114" i="190"/>
  <c r="D114" i="190"/>
  <c r="U113" i="190"/>
  <c r="T113" i="190"/>
  <c r="S113" i="190"/>
  <c r="R113" i="190"/>
  <c r="Q113" i="190"/>
  <c r="P113" i="190"/>
  <c r="O113" i="190"/>
  <c r="N113" i="190"/>
  <c r="M113" i="190"/>
  <c r="L113" i="190"/>
  <c r="K113" i="190"/>
  <c r="J113" i="190"/>
  <c r="I113" i="190"/>
  <c r="H113" i="190"/>
  <c r="G113" i="190"/>
  <c r="F113" i="190"/>
  <c r="E113" i="190"/>
  <c r="D113" i="190"/>
  <c r="U112" i="190"/>
  <c r="T112" i="190"/>
  <c r="S112" i="190"/>
  <c r="R112" i="190"/>
  <c r="Q112" i="190"/>
  <c r="P112" i="190"/>
  <c r="O112" i="190"/>
  <c r="N112" i="190"/>
  <c r="M112" i="190"/>
  <c r="L112" i="190"/>
  <c r="K112" i="190"/>
  <c r="J112" i="190"/>
  <c r="I112" i="190"/>
  <c r="H112" i="190"/>
  <c r="G112" i="190"/>
  <c r="F112" i="190"/>
  <c r="E112" i="190"/>
  <c r="D112" i="190"/>
  <c r="U111" i="190"/>
  <c r="T111" i="190"/>
  <c r="S111" i="190"/>
  <c r="R111" i="190"/>
  <c r="Q111" i="190"/>
  <c r="P111" i="190"/>
  <c r="O111" i="190"/>
  <c r="N111" i="190"/>
  <c r="M111" i="190"/>
  <c r="L111" i="190"/>
  <c r="K111" i="190"/>
  <c r="J111" i="190"/>
  <c r="I111" i="190"/>
  <c r="H111" i="190"/>
  <c r="G111" i="190"/>
  <c r="F111" i="190"/>
  <c r="E111" i="190"/>
  <c r="D111" i="190"/>
  <c r="U110" i="190"/>
  <c r="T110" i="190"/>
  <c r="S110" i="190"/>
  <c r="R110" i="190"/>
  <c r="Q110" i="190"/>
  <c r="P110" i="190"/>
  <c r="O110" i="190"/>
  <c r="N110" i="190"/>
  <c r="M110" i="190"/>
  <c r="L110" i="190"/>
  <c r="K110" i="190"/>
  <c r="J110" i="190"/>
  <c r="I110" i="190"/>
  <c r="H110" i="190"/>
  <c r="G110" i="190"/>
  <c r="F110" i="190"/>
  <c r="E110" i="190"/>
  <c r="D110" i="190"/>
  <c r="U109" i="190"/>
  <c r="T109" i="190"/>
  <c r="S109" i="190"/>
  <c r="R109" i="190"/>
  <c r="Q109" i="190"/>
  <c r="P109" i="190"/>
  <c r="O109" i="190"/>
  <c r="N109" i="190"/>
  <c r="M109" i="190"/>
  <c r="L109" i="190"/>
  <c r="K109" i="190"/>
  <c r="J109" i="190"/>
  <c r="I109" i="190"/>
  <c r="H109" i="190"/>
  <c r="G109" i="190"/>
  <c r="F109" i="190"/>
  <c r="E109" i="190"/>
  <c r="D109" i="190"/>
  <c r="U108" i="190"/>
  <c r="T108" i="190"/>
  <c r="S108" i="190"/>
  <c r="R108" i="190"/>
  <c r="Q108" i="190"/>
  <c r="P108" i="190"/>
  <c r="O108" i="190"/>
  <c r="N108" i="190"/>
  <c r="M108" i="190"/>
  <c r="L108" i="190"/>
  <c r="K108" i="190"/>
  <c r="J108" i="190"/>
  <c r="I108" i="190"/>
  <c r="H108" i="190"/>
  <c r="G108" i="190"/>
  <c r="F108" i="190"/>
  <c r="E108" i="190"/>
  <c r="D108" i="190"/>
  <c r="P107" i="190"/>
  <c r="U106" i="190"/>
  <c r="T106" i="190"/>
  <c r="S106" i="190"/>
  <c r="R106" i="190"/>
  <c r="Q106" i="190"/>
  <c r="P106" i="190"/>
  <c r="O106" i="190"/>
  <c r="N106" i="190"/>
  <c r="M106" i="190"/>
  <c r="L106" i="190"/>
  <c r="K106" i="190"/>
  <c r="J106" i="190"/>
  <c r="I106" i="190"/>
  <c r="H106" i="190"/>
  <c r="G106" i="190"/>
  <c r="F106" i="190"/>
  <c r="E106" i="190"/>
  <c r="D106" i="190"/>
  <c r="U105" i="190"/>
  <c r="T105" i="190"/>
  <c r="S105" i="190"/>
  <c r="R105" i="190"/>
  <c r="Q105" i="190"/>
  <c r="P105" i="190"/>
  <c r="O105" i="190"/>
  <c r="N105" i="190"/>
  <c r="M105" i="190"/>
  <c r="L105" i="190"/>
  <c r="K105" i="190"/>
  <c r="J105" i="190"/>
  <c r="I105" i="190"/>
  <c r="H105" i="190"/>
  <c r="G105" i="190"/>
  <c r="F105" i="190"/>
  <c r="E105" i="190"/>
  <c r="D105" i="190"/>
  <c r="U104" i="190"/>
  <c r="T104" i="190"/>
  <c r="S104" i="190"/>
  <c r="R104" i="190"/>
  <c r="Q104" i="190"/>
  <c r="P104" i="190"/>
  <c r="O104" i="190"/>
  <c r="N104" i="190"/>
  <c r="M104" i="190"/>
  <c r="L104" i="190"/>
  <c r="K104" i="190"/>
  <c r="J104" i="190"/>
  <c r="I104" i="190"/>
  <c r="H104" i="190"/>
  <c r="G104" i="190"/>
  <c r="F104" i="190"/>
  <c r="E104" i="190"/>
  <c r="D104" i="190"/>
  <c r="U103" i="190"/>
  <c r="T103" i="190"/>
  <c r="S103" i="190"/>
  <c r="R103" i="190"/>
  <c r="Q103" i="190"/>
  <c r="P103" i="190"/>
  <c r="O103" i="190"/>
  <c r="N103" i="190"/>
  <c r="M103" i="190"/>
  <c r="L103" i="190"/>
  <c r="K103" i="190"/>
  <c r="J103" i="190"/>
  <c r="I103" i="190"/>
  <c r="H103" i="190"/>
  <c r="G103" i="190"/>
  <c r="F103" i="190"/>
  <c r="E103" i="190"/>
  <c r="D103" i="190"/>
  <c r="U102" i="190"/>
  <c r="T102" i="190"/>
  <c r="S102" i="190"/>
  <c r="R102" i="190"/>
  <c r="Q102" i="190"/>
  <c r="P102" i="190"/>
  <c r="O102" i="190"/>
  <c r="N102" i="190"/>
  <c r="M102" i="190"/>
  <c r="L102" i="190"/>
  <c r="K102" i="190"/>
  <c r="J102" i="190"/>
  <c r="I102" i="190"/>
  <c r="H102" i="190"/>
  <c r="G102" i="190"/>
  <c r="F102" i="190"/>
  <c r="E102" i="190"/>
  <c r="D102" i="190"/>
  <c r="U101" i="190"/>
  <c r="T101" i="190"/>
  <c r="S101" i="190"/>
  <c r="R101" i="190"/>
  <c r="Q101" i="190"/>
  <c r="P101" i="190"/>
  <c r="O101" i="190"/>
  <c r="N101" i="190"/>
  <c r="M101" i="190"/>
  <c r="L101" i="190"/>
  <c r="K101" i="190"/>
  <c r="J101" i="190"/>
  <c r="I101" i="190"/>
  <c r="H101" i="190"/>
  <c r="G101" i="190"/>
  <c r="F101" i="190"/>
  <c r="E101" i="190"/>
  <c r="D101" i="190"/>
  <c r="U100" i="190"/>
  <c r="T100" i="190"/>
  <c r="S100" i="190"/>
  <c r="R100" i="190"/>
  <c r="Q100" i="190"/>
  <c r="P100" i="190"/>
  <c r="O100" i="190"/>
  <c r="N100" i="190"/>
  <c r="M100" i="190"/>
  <c r="L100" i="190"/>
  <c r="K100" i="190"/>
  <c r="J100" i="190"/>
  <c r="I100" i="190"/>
  <c r="H100" i="190"/>
  <c r="G100" i="190"/>
  <c r="F100" i="190"/>
  <c r="E100" i="190"/>
  <c r="D100" i="190"/>
  <c r="U99" i="190"/>
  <c r="T99" i="190"/>
  <c r="S99" i="190"/>
  <c r="R99" i="190"/>
  <c r="Q99" i="190"/>
  <c r="P99" i="190"/>
  <c r="O99" i="190"/>
  <c r="N99" i="190"/>
  <c r="M99" i="190"/>
  <c r="L99" i="190"/>
  <c r="K99" i="190"/>
  <c r="J99" i="190"/>
  <c r="I99" i="190"/>
  <c r="H99" i="190"/>
  <c r="G99" i="190"/>
  <c r="F99" i="190"/>
  <c r="E99" i="190"/>
  <c r="D99" i="190"/>
  <c r="U98" i="190"/>
  <c r="T98" i="190"/>
  <c r="S98" i="190"/>
  <c r="R98" i="190"/>
  <c r="Q98" i="190"/>
  <c r="P98" i="190"/>
  <c r="O98" i="190"/>
  <c r="N98" i="190"/>
  <c r="M98" i="190"/>
  <c r="L98" i="190"/>
  <c r="K98" i="190"/>
  <c r="J98" i="190"/>
  <c r="I98" i="190"/>
  <c r="H98" i="190"/>
  <c r="G98" i="190"/>
  <c r="F98" i="190"/>
  <c r="E98" i="190"/>
  <c r="D98" i="190"/>
  <c r="U97" i="190"/>
  <c r="T97" i="190"/>
  <c r="S97" i="190"/>
  <c r="R97" i="190"/>
  <c r="Q97" i="190"/>
  <c r="P97" i="190"/>
  <c r="O97" i="190"/>
  <c r="N97" i="190"/>
  <c r="M97" i="190"/>
  <c r="L97" i="190"/>
  <c r="K97" i="190"/>
  <c r="J97" i="190"/>
  <c r="I97" i="190"/>
  <c r="H97" i="190"/>
  <c r="G97" i="190"/>
  <c r="F97" i="190"/>
  <c r="E97" i="190"/>
  <c r="D97" i="190"/>
  <c r="U96" i="190"/>
  <c r="T96" i="190"/>
  <c r="S96" i="190"/>
  <c r="R96" i="190"/>
  <c r="Q96" i="190"/>
  <c r="P96" i="190"/>
  <c r="O96" i="190"/>
  <c r="N96" i="190"/>
  <c r="M96" i="190"/>
  <c r="L96" i="190"/>
  <c r="K96" i="190"/>
  <c r="J96" i="190"/>
  <c r="I96" i="190"/>
  <c r="H96" i="190"/>
  <c r="G96" i="190"/>
  <c r="F96" i="190"/>
  <c r="E96" i="190"/>
  <c r="D96" i="190"/>
  <c r="U95" i="190"/>
  <c r="T95" i="190"/>
  <c r="S95" i="190"/>
  <c r="R95" i="190"/>
  <c r="Q95" i="190"/>
  <c r="P95" i="190"/>
  <c r="O95" i="190"/>
  <c r="N95" i="190"/>
  <c r="M95" i="190"/>
  <c r="L95" i="190"/>
  <c r="K95" i="190"/>
  <c r="J95" i="190"/>
  <c r="I95" i="190"/>
  <c r="H95" i="190"/>
  <c r="G95" i="190"/>
  <c r="F95" i="190"/>
  <c r="E95" i="190"/>
  <c r="D95" i="190"/>
  <c r="U94" i="190"/>
  <c r="T94" i="190"/>
  <c r="S94" i="190"/>
  <c r="R94" i="190"/>
  <c r="Q94" i="190"/>
  <c r="P94" i="190"/>
  <c r="O94" i="190"/>
  <c r="N94" i="190"/>
  <c r="M94" i="190"/>
  <c r="L94" i="190"/>
  <c r="K94" i="190"/>
  <c r="J94" i="190"/>
  <c r="I94" i="190"/>
  <c r="H94" i="190"/>
  <c r="G94" i="190"/>
  <c r="F94" i="190"/>
  <c r="E94" i="190"/>
  <c r="D94" i="190"/>
  <c r="P93" i="190"/>
  <c r="U92" i="190"/>
  <c r="T92" i="190"/>
  <c r="S92" i="190"/>
  <c r="R92" i="190"/>
  <c r="Q92" i="190"/>
  <c r="P92" i="190"/>
  <c r="O92" i="190"/>
  <c r="N92" i="190"/>
  <c r="M92" i="190"/>
  <c r="L92" i="190"/>
  <c r="K92" i="190"/>
  <c r="J92" i="190"/>
  <c r="I92" i="190"/>
  <c r="H92" i="190"/>
  <c r="G92" i="190"/>
  <c r="F92" i="190"/>
  <c r="E92" i="190"/>
  <c r="D92" i="190"/>
  <c r="U91" i="190"/>
  <c r="T91" i="190"/>
  <c r="S91" i="190"/>
  <c r="R91" i="190"/>
  <c r="Q91" i="190"/>
  <c r="P91" i="190"/>
  <c r="O91" i="190"/>
  <c r="N91" i="190"/>
  <c r="M91" i="190"/>
  <c r="L91" i="190"/>
  <c r="K91" i="190"/>
  <c r="J91" i="190"/>
  <c r="I91" i="190"/>
  <c r="H91" i="190"/>
  <c r="G91" i="190"/>
  <c r="F91" i="190"/>
  <c r="E91" i="190"/>
  <c r="D91" i="190"/>
  <c r="U90" i="190"/>
  <c r="T90" i="190"/>
  <c r="S90" i="190"/>
  <c r="R90" i="190"/>
  <c r="Q90" i="190"/>
  <c r="P90" i="190"/>
  <c r="O90" i="190"/>
  <c r="N90" i="190"/>
  <c r="M90" i="190"/>
  <c r="L90" i="190"/>
  <c r="K90" i="190"/>
  <c r="J90" i="190"/>
  <c r="I90" i="190"/>
  <c r="H90" i="190"/>
  <c r="G90" i="190"/>
  <c r="F90" i="190"/>
  <c r="E90" i="190"/>
  <c r="D90" i="190"/>
  <c r="U89" i="190"/>
  <c r="T89" i="190"/>
  <c r="S89" i="190"/>
  <c r="R89" i="190"/>
  <c r="Q89" i="190"/>
  <c r="P89" i="190"/>
  <c r="O89" i="190"/>
  <c r="N89" i="190"/>
  <c r="M89" i="190"/>
  <c r="L89" i="190"/>
  <c r="K89" i="190"/>
  <c r="J89" i="190"/>
  <c r="I89" i="190"/>
  <c r="H89" i="190"/>
  <c r="G89" i="190"/>
  <c r="F89" i="190"/>
  <c r="E89" i="190"/>
  <c r="D89" i="190"/>
  <c r="U88" i="190"/>
  <c r="T88" i="190"/>
  <c r="S88" i="190"/>
  <c r="R88" i="190"/>
  <c r="Q88" i="190"/>
  <c r="P88" i="190"/>
  <c r="O88" i="190"/>
  <c r="N88" i="190"/>
  <c r="M88" i="190"/>
  <c r="L88" i="190"/>
  <c r="K88" i="190"/>
  <c r="J88" i="190"/>
  <c r="I88" i="190"/>
  <c r="H88" i="190"/>
  <c r="G88" i="190"/>
  <c r="F88" i="190"/>
  <c r="E88" i="190"/>
  <c r="D88" i="190"/>
  <c r="U87" i="190"/>
  <c r="T87" i="190"/>
  <c r="S87" i="190"/>
  <c r="R87" i="190"/>
  <c r="Q87" i="190"/>
  <c r="P87" i="190"/>
  <c r="O87" i="190"/>
  <c r="N87" i="190"/>
  <c r="M87" i="190"/>
  <c r="L87" i="190"/>
  <c r="K87" i="190"/>
  <c r="J87" i="190"/>
  <c r="I87" i="190"/>
  <c r="H87" i="190"/>
  <c r="G87" i="190"/>
  <c r="F87" i="190"/>
  <c r="E87" i="190"/>
  <c r="D87" i="190"/>
  <c r="U86" i="190"/>
  <c r="T86" i="190"/>
  <c r="S86" i="190"/>
  <c r="R86" i="190"/>
  <c r="Q86" i="190"/>
  <c r="P86" i="190"/>
  <c r="O86" i="190"/>
  <c r="N86" i="190"/>
  <c r="M86" i="190"/>
  <c r="L86" i="190"/>
  <c r="K86" i="190"/>
  <c r="J86" i="190"/>
  <c r="I86" i="190"/>
  <c r="H86" i="190"/>
  <c r="G86" i="190"/>
  <c r="F86" i="190"/>
  <c r="E86" i="190"/>
  <c r="D86" i="190"/>
  <c r="U80" i="190"/>
  <c r="T80" i="190"/>
  <c r="S80" i="190"/>
  <c r="R80" i="190"/>
  <c r="Q80" i="190"/>
  <c r="P80" i="190"/>
  <c r="O80" i="190"/>
  <c r="N80" i="190"/>
  <c r="M80" i="190"/>
  <c r="L80" i="190"/>
  <c r="K80" i="190"/>
  <c r="J80" i="190"/>
  <c r="I80" i="190"/>
  <c r="H80" i="190"/>
  <c r="G80" i="190"/>
  <c r="F80" i="190"/>
  <c r="E80" i="190"/>
  <c r="D80" i="190"/>
  <c r="U79" i="190"/>
  <c r="T79" i="190"/>
  <c r="S79" i="190"/>
  <c r="R79" i="190"/>
  <c r="Q79" i="190"/>
  <c r="P79" i="190"/>
  <c r="O79" i="190"/>
  <c r="N79" i="190"/>
  <c r="M79" i="190"/>
  <c r="L79" i="190"/>
  <c r="K79" i="190"/>
  <c r="J79" i="190"/>
  <c r="I79" i="190"/>
  <c r="H79" i="190"/>
  <c r="G79" i="190"/>
  <c r="F79" i="190"/>
  <c r="E79" i="190"/>
  <c r="D79" i="190"/>
  <c r="U78" i="190"/>
  <c r="T78" i="190"/>
  <c r="S78" i="190"/>
  <c r="R78" i="190"/>
  <c r="Q78" i="190"/>
  <c r="P78" i="190"/>
  <c r="O78" i="190"/>
  <c r="N78" i="190"/>
  <c r="M78" i="190"/>
  <c r="L78" i="190"/>
  <c r="K78" i="190"/>
  <c r="J78" i="190"/>
  <c r="I78" i="190"/>
  <c r="H78" i="190"/>
  <c r="G78" i="190"/>
  <c r="F78" i="190"/>
  <c r="E78" i="190"/>
  <c r="D78" i="190"/>
  <c r="U77" i="190"/>
  <c r="T77" i="190"/>
  <c r="S77" i="190"/>
  <c r="R77" i="190"/>
  <c r="Q77" i="190"/>
  <c r="P77" i="190"/>
  <c r="O77" i="190"/>
  <c r="N77" i="190"/>
  <c r="M77" i="190"/>
  <c r="L77" i="190"/>
  <c r="K77" i="190"/>
  <c r="J77" i="190"/>
  <c r="I77" i="190"/>
  <c r="H77" i="190"/>
  <c r="G77" i="190"/>
  <c r="F77" i="190"/>
  <c r="E77" i="190"/>
  <c r="D77" i="190"/>
  <c r="U76" i="190"/>
  <c r="T76" i="190"/>
  <c r="S76" i="190"/>
  <c r="R76" i="190"/>
  <c r="Q76" i="190"/>
  <c r="P76" i="190"/>
  <c r="O76" i="190"/>
  <c r="N76" i="190"/>
  <c r="M76" i="190"/>
  <c r="L76" i="190"/>
  <c r="K76" i="190"/>
  <c r="J76" i="190"/>
  <c r="I76" i="190"/>
  <c r="H76" i="190"/>
  <c r="G76" i="190"/>
  <c r="F76" i="190"/>
  <c r="E76" i="190"/>
  <c r="D76" i="190"/>
  <c r="U75" i="190"/>
  <c r="T75" i="190"/>
  <c r="S75" i="190"/>
  <c r="R75" i="190"/>
  <c r="Q75" i="190"/>
  <c r="P75" i="190"/>
  <c r="O75" i="190"/>
  <c r="N75" i="190"/>
  <c r="M75" i="190"/>
  <c r="L75" i="190"/>
  <c r="K75" i="190"/>
  <c r="J75" i="190"/>
  <c r="I75" i="190"/>
  <c r="H75" i="190"/>
  <c r="G75" i="190"/>
  <c r="F75" i="190"/>
  <c r="E75" i="190"/>
  <c r="D75" i="190"/>
  <c r="U74" i="190"/>
  <c r="T74" i="190"/>
  <c r="S74" i="190"/>
  <c r="R74" i="190"/>
  <c r="Q74" i="190"/>
  <c r="P74" i="190"/>
  <c r="O74" i="190"/>
  <c r="N74" i="190"/>
  <c r="M74" i="190"/>
  <c r="L74" i="190"/>
  <c r="K74" i="190"/>
  <c r="J74" i="190"/>
  <c r="I74" i="190"/>
  <c r="H74" i="190"/>
  <c r="G74" i="190"/>
  <c r="F74" i="190"/>
  <c r="E74" i="190"/>
  <c r="D74" i="190"/>
  <c r="U73" i="190"/>
  <c r="T73" i="190"/>
  <c r="S73" i="190"/>
  <c r="R73" i="190"/>
  <c r="Q73" i="190"/>
  <c r="P73" i="190"/>
  <c r="O73" i="190"/>
  <c r="N73" i="190"/>
  <c r="M73" i="190"/>
  <c r="L73" i="190"/>
  <c r="K73" i="190"/>
  <c r="J73" i="190"/>
  <c r="I73" i="190"/>
  <c r="H73" i="190"/>
  <c r="G73" i="190"/>
  <c r="F73" i="190"/>
  <c r="E73" i="190"/>
  <c r="D73" i="190"/>
  <c r="U72" i="190"/>
  <c r="T72" i="190"/>
  <c r="S72" i="190"/>
  <c r="R72" i="190"/>
  <c r="Q72" i="190"/>
  <c r="P72" i="190"/>
  <c r="O72" i="190"/>
  <c r="N72" i="190"/>
  <c r="M72" i="190"/>
  <c r="L72" i="190"/>
  <c r="K72" i="190"/>
  <c r="J72" i="190"/>
  <c r="I72" i="190"/>
  <c r="H72" i="190"/>
  <c r="G72" i="190"/>
  <c r="F72" i="190"/>
  <c r="E72" i="190"/>
  <c r="D72" i="190"/>
  <c r="U71" i="190"/>
  <c r="T71" i="190"/>
  <c r="S71" i="190"/>
  <c r="R71" i="190"/>
  <c r="Q71" i="190"/>
  <c r="P71" i="190"/>
  <c r="O71" i="190"/>
  <c r="N71" i="190"/>
  <c r="M71" i="190"/>
  <c r="L71" i="190"/>
  <c r="K71" i="190"/>
  <c r="J71" i="190"/>
  <c r="I71" i="190"/>
  <c r="H71" i="190"/>
  <c r="G71" i="190"/>
  <c r="F71" i="190"/>
  <c r="E71" i="190"/>
  <c r="D71" i="190"/>
  <c r="P70" i="190"/>
  <c r="U69" i="190"/>
  <c r="T69" i="190"/>
  <c r="S69" i="190"/>
  <c r="R69" i="190"/>
  <c r="Q69" i="190"/>
  <c r="P69" i="190"/>
  <c r="O69" i="190"/>
  <c r="N69" i="190"/>
  <c r="M69" i="190"/>
  <c r="L69" i="190"/>
  <c r="K69" i="190"/>
  <c r="J69" i="190"/>
  <c r="I69" i="190"/>
  <c r="H69" i="190"/>
  <c r="G69" i="190"/>
  <c r="F69" i="190"/>
  <c r="E69" i="190"/>
  <c r="D69" i="190"/>
  <c r="U68" i="190"/>
  <c r="T68" i="190"/>
  <c r="S68" i="190"/>
  <c r="R68" i="190"/>
  <c r="Q68" i="190"/>
  <c r="P68" i="190"/>
  <c r="O68" i="190"/>
  <c r="N68" i="190"/>
  <c r="M68" i="190"/>
  <c r="L68" i="190"/>
  <c r="K68" i="190"/>
  <c r="J68" i="190"/>
  <c r="I68" i="190"/>
  <c r="H68" i="190"/>
  <c r="G68" i="190"/>
  <c r="F68" i="190"/>
  <c r="E68" i="190"/>
  <c r="D68" i="190"/>
  <c r="U67" i="190"/>
  <c r="T67" i="190"/>
  <c r="S67" i="190"/>
  <c r="R67" i="190"/>
  <c r="Q67" i="190"/>
  <c r="P67" i="190"/>
  <c r="O67" i="190"/>
  <c r="N67" i="190"/>
  <c r="M67" i="190"/>
  <c r="L67" i="190"/>
  <c r="K67" i="190"/>
  <c r="J67" i="190"/>
  <c r="I67" i="190"/>
  <c r="H67" i="190"/>
  <c r="G67" i="190"/>
  <c r="F67" i="190"/>
  <c r="E67" i="190"/>
  <c r="D67" i="190"/>
  <c r="U66" i="190"/>
  <c r="T66" i="190"/>
  <c r="S66" i="190"/>
  <c r="R66" i="190"/>
  <c r="Q66" i="190"/>
  <c r="P66" i="190"/>
  <c r="O66" i="190"/>
  <c r="N66" i="190"/>
  <c r="M66" i="190"/>
  <c r="L66" i="190"/>
  <c r="K66" i="190"/>
  <c r="J66" i="190"/>
  <c r="I66" i="190"/>
  <c r="H66" i="190"/>
  <c r="G66" i="190"/>
  <c r="F66" i="190"/>
  <c r="E66" i="190"/>
  <c r="D66" i="190"/>
  <c r="U65" i="190"/>
  <c r="T65" i="190"/>
  <c r="S65" i="190"/>
  <c r="R65" i="190"/>
  <c r="Q65" i="190"/>
  <c r="P65" i="190"/>
  <c r="O65" i="190"/>
  <c r="N65" i="190"/>
  <c r="M65" i="190"/>
  <c r="L65" i="190"/>
  <c r="K65" i="190"/>
  <c r="J65" i="190"/>
  <c r="I65" i="190"/>
  <c r="H65" i="190"/>
  <c r="G65" i="190"/>
  <c r="F65" i="190"/>
  <c r="E65" i="190"/>
  <c r="D65" i="190"/>
  <c r="U64" i="190"/>
  <c r="T64" i="190"/>
  <c r="S64" i="190"/>
  <c r="R64" i="190"/>
  <c r="Q64" i="190"/>
  <c r="P64" i="190"/>
  <c r="O64" i="190"/>
  <c r="N64" i="190"/>
  <c r="M64" i="190"/>
  <c r="L64" i="190"/>
  <c r="K64" i="190"/>
  <c r="J64" i="190"/>
  <c r="I64" i="190"/>
  <c r="H64" i="190"/>
  <c r="G64" i="190"/>
  <c r="F64" i="190"/>
  <c r="E64" i="190"/>
  <c r="D64" i="190"/>
  <c r="U63" i="190"/>
  <c r="T63" i="190"/>
  <c r="S63" i="190"/>
  <c r="R63" i="190"/>
  <c r="Q63" i="190"/>
  <c r="P63" i="190"/>
  <c r="O63" i="190"/>
  <c r="N63" i="190"/>
  <c r="M63" i="190"/>
  <c r="L63" i="190"/>
  <c r="K63" i="190"/>
  <c r="J63" i="190"/>
  <c r="I63" i="190"/>
  <c r="H63" i="190"/>
  <c r="G63" i="190"/>
  <c r="F63" i="190"/>
  <c r="E63" i="190"/>
  <c r="D63" i="190"/>
  <c r="U62" i="190"/>
  <c r="T62" i="190"/>
  <c r="S62" i="190"/>
  <c r="R62" i="190"/>
  <c r="Q62" i="190"/>
  <c r="P62" i="190"/>
  <c r="O62" i="190"/>
  <c r="N62" i="190"/>
  <c r="M62" i="190"/>
  <c r="L62" i="190"/>
  <c r="K62" i="190"/>
  <c r="J62" i="190"/>
  <c r="I62" i="190"/>
  <c r="H62" i="190"/>
  <c r="G62" i="190"/>
  <c r="F62" i="190"/>
  <c r="E62" i="190"/>
  <c r="D62" i="190"/>
  <c r="U61" i="190"/>
  <c r="T61" i="190"/>
  <c r="S61" i="190"/>
  <c r="R61" i="190"/>
  <c r="Q61" i="190"/>
  <c r="P61" i="190"/>
  <c r="O61" i="190"/>
  <c r="N61" i="190"/>
  <c r="M61" i="190"/>
  <c r="L61" i="190"/>
  <c r="K61" i="190"/>
  <c r="J61" i="190"/>
  <c r="I61" i="190"/>
  <c r="H61" i="190"/>
  <c r="G61" i="190"/>
  <c r="F61" i="190"/>
  <c r="E61" i="190"/>
  <c r="D61" i="190"/>
  <c r="U60" i="190"/>
  <c r="T60" i="190"/>
  <c r="S60" i="190"/>
  <c r="R60" i="190"/>
  <c r="Q60" i="190"/>
  <c r="P60" i="190"/>
  <c r="O60" i="190"/>
  <c r="N60" i="190"/>
  <c r="M60" i="190"/>
  <c r="L60" i="190"/>
  <c r="K60" i="190"/>
  <c r="J60" i="190"/>
  <c r="I60" i="190"/>
  <c r="H60" i="190"/>
  <c r="G60" i="190"/>
  <c r="F60" i="190"/>
  <c r="E60" i="190"/>
  <c r="D60" i="190"/>
  <c r="U59" i="190"/>
  <c r="T59" i="190"/>
  <c r="S59" i="190"/>
  <c r="R59" i="190"/>
  <c r="Q59" i="190"/>
  <c r="P59" i="190"/>
  <c r="O59" i="190"/>
  <c r="N59" i="190"/>
  <c r="M59" i="190"/>
  <c r="L59" i="190"/>
  <c r="K59" i="190"/>
  <c r="J59" i="190"/>
  <c r="I59" i="190"/>
  <c r="H59" i="190"/>
  <c r="G59" i="190"/>
  <c r="F59" i="190"/>
  <c r="E59" i="190"/>
  <c r="D59" i="190"/>
  <c r="U58" i="190"/>
  <c r="T58" i="190"/>
  <c r="S58" i="190"/>
  <c r="R58" i="190"/>
  <c r="Q58" i="190"/>
  <c r="P58" i="190"/>
  <c r="O58" i="190"/>
  <c r="N58" i="190"/>
  <c r="M58" i="190"/>
  <c r="L58" i="190"/>
  <c r="K58" i="190"/>
  <c r="J58" i="190"/>
  <c r="I58" i="190"/>
  <c r="H58" i="190"/>
  <c r="G58" i="190"/>
  <c r="F58" i="190"/>
  <c r="E58" i="190"/>
  <c r="D58" i="190"/>
  <c r="U57" i="190"/>
  <c r="T57" i="190"/>
  <c r="S57" i="190"/>
  <c r="R57" i="190"/>
  <c r="Q57" i="190"/>
  <c r="P57" i="190"/>
  <c r="O57" i="190"/>
  <c r="N57" i="190"/>
  <c r="M57" i="190"/>
  <c r="L57" i="190"/>
  <c r="K57" i="190"/>
  <c r="J57" i="190"/>
  <c r="I57" i="190"/>
  <c r="H57" i="190"/>
  <c r="G57" i="190"/>
  <c r="F57" i="190"/>
  <c r="E57" i="190"/>
  <c r="D57" i="190"/>
  <c r="P56" i="190"/>
  <c r="U55" i="190"/>
  <c r="T55" i="190"/>
  <c r="S55" i="190"/>
  <c r="R55" i="190"/>
  <c r="Q55" i="190"/>
  <c r="P55" i="190"/>
  <c r="O55" i="190"/>
  <c r="N55" i="190"/>
  <c r="M55" i="190"/>
  <c r="L55" i="190"/>
  <c r="K55" i="190"/>
  <c r="J55" i="190"/>
  <c r="I55" i="190"/>
  <c r="H55" i="190"/>
  <c r="G55" i="190"/>
  <c r="F55" i="190"/>
  <c r="E55" i="190"/>
  <c r="D55" i="190"/>
  <c r="U54" i="190"/>
  <c r="T54" i="190"/>
  <c r="S54" i="190"/>
  <c r="R54" i="190"/>
  <c r="Q54" i="190"/>
  <c r="P54" i="190"/>
  <c r="O54" i="190"/>
  <c r="N54" i="190"/>
  <c r="M54" i="190"/>
  <c r="L54" i="190"/>
  <c r="K54" i="190"/>
  <c r="J54" i="190"/>
  <c r="I54" i="190"/>
  <c r="H54" i="190"/>
  <c r="G54" i="190"/>
  <c r="F54" i="190"/>
  <c r="E54" i="190"/>
  <c r="D54" i="190"/>
  <c r="U53" i="190"/>
  <c r="T53" i="190"/>
  <c r="S53" i="190"/>
  <c r="R53" i="190"/>
  <c r="Q53" i="190"/>
  <c r="P53" i="190"/>
  <c r="O53" i="190"/>
  <c r="N53" i="190"/>
  <c r="M53" i="190"/>
  <c r="L53" i="190"/>
  <c r="K53" i="190"/>
  <c r="J53" i="190"/>
  <c r="I53" i="190"/>
  <c r="H53" i="190"/>
  <c r="G53" i="190"/>
  <c r="F53" i="190"/>
  <c r="E53" i="190"/>
  <c r="D53" i="190"/>
  <c r="U52" i="190"/>
  <c r="T52" i="190"/>
  <c r="S52" i="190"/>
  <c r="R52" i="190"/>
  <c r="Q52" i="190"/>
  <c r="P52" i="190"/>
  <c r="O52" i="190"/>
  <c r="N52" i="190"/>
  <c r="M52" i="190"/>
  <c r="L52" i="190"/>
  <c r="K52" i="190"/>
  <c r="J52" i="190"/>
  <c r="I52" i="190"/>
  <c r="H52" i="190"/>
  <c r="G52" i="190"/>
  <c r="F52" i="190"/>
  <c r="E52" i="190"/>
  <c r="D52" i="190"/>
  <c r="U51" i="190"/>
  <c r="T51" i="190"/>
  <c r="S51" i="190"/>
  <c r="R51" i="190"/>
  <c r="Q51" i="190"/>
  <c r="P51" i="190"/>
  <c r="O51" i="190"/>
  <c r="N51" i="190"/>
  <c r="M51" i="190"/>
  <c r="L51" i="190"/>
  <c r="K51" i="190"/>
  <c r="J51" i="190"/>
  <c r="I51" i="190"/>
  <c r="H51" i="190"/>
  <c r="G51" i="190"/>
  <c r="F51" i="190"/>
  <c r="E51" i="190"/>
  <c r="D51" i="190"/>
  <c r="U50" i="190"/>
  <c r="T50" i="190"/>
  <c r="S50" i="190"/>
  <c r="R50" i="190"/>
  <c r="Q50" i="190"/>
  <c r="P50" i="190"/>
  <c r="O50" i="190"/>
  <c r="N50" i="190"/>
  <c r="M50" i="190"/>
  <c r="L50" i="190"/>
  <c r="K50" i="190"/>
  <c r="J50" i="190"/>
  <c r="I50" i="190"/>
  <c r="H50" i="190"/>
  <c r="G50" i="190"/>
  <c r="F50" i="190"/>
  <c r="E50" i="190"/>
  <c r="D50" i="190"/>
  <c r="U49" i="190"/>
  <c r="T49" i="190"/>
  <c r="S49" i="190"/>
  <c r="R49" i="190"/>
  <c r="Q49" i="190"/>
  <c r="P49" i="190"/>
  <c r="O49" i="190"/>
  <c r="N49" i="190"/>
  <c r="M49" i="190"/>
  <c r="L49" i="190"/>
  <c r="K49" i="190"/>
  <c r="J49" i="190"/>
  <c r="I49" i="190"/>
  <c r="H49" i="190"/>
  <c r="G49" i="190"/>
  <c r="F49" i="190"/>
  <c r="E49" i="190"/>
  <c r="D49" i="190"/>
  <c r="U43" i="190"/>
  <c r="T43" i="190"/>
  <c r="S43" i="190"/>
  <c r="R43" i="190"/>
  <c r="Q43" i="190"/>
  <c r="P43" i="190"/>
  <c r="O43" i="190"/>
  <c r="N43" i="190"/>
  <c r="M43" i="190"/>
  <c r="L43" i="190"/>
  <c r="K43" i="190"/>
  <c r="J43" i="190"/>
  <c r="I43" i="190"/>
  <c r="H43" i="190"/>
  <c r="G43" i="190"/>
  <c r="F43" i="190"/>
  <c r="E43" i="190"/>
  <c r="D43" i="190"/>
  <c r="U42" i="190"/>
  <c r="T42" i="190"/>
  <c r="S42" i="190"/>
  <c r="R42" i="190"/>
  <c r="Q42" i="190"/>
  <c r="P42" i="190"/>
  <c r="O42" i="190"/>
  <c r="N42" i="190"/>
  <c r="M42" i="190"/>
  <c r="L42" i="190"/>
  <c r="K42" i="190"/>
  <c r="J42" i="190"/>
  <c r="I42" i="190"/>
  <c r="H42" i="190"/>
  <c r="G42" i="190"/>
  <c r="F42" i="190"/>
  <c r="E42" i="190"/>
  <c r="D42" i="190"/>
  <c r="U41" i="190"/>
  <c r="T41" i="190"/>
  <c r="S41" i="190"/>
  <c r="R41" i="190"/>
  <c r="Q41" i="190"/>
  <c r="P41" i="190"/>
  <c r="O41" i="190"/>
  <c r="N41" i="190"/>
  <c r="M41" i="190"/>
  <c r="L41" i="190"/>
  <c r="K41" i="190"/>
  <c r="J41" i="190"/>
  <c r="I41" i="190"/>
  <c r="H41" i="190"/>
  <c r="G41" i="190"/>
  <c r="F41" i="190"/>
  <c r="E41" i="190"/>
  <c r="D41" i="190"/>
  <c r="U40" i="190"/>
  <c r="T40" i="190"/>
  <c r="S40" i="190"/>
  <c r="R40" i="190"/>
  <c r="Q40" i="190"/>
  <c r="P40" i="190"/>
  <c r="O40" i="190"/>
  <c r="N40" i="190"/>
  <c r="M40" i="190"/>
  <c r="L40" i="190"/>
  <c r="K40" i="190"/>
  <c r="J40" i="190"/>
  <c r="I40" i="190"/>
  <c r="H40" i="190"/>
  <c r="G40" i="190"/>
  <c r="F40" i="190"/>
  <c r="E40" i="190"/>
  <c r="D40" i="190"/>
  <c r="U39" i="190"/>
  <c r="T39" i="190"/>
  <c r="S39" i="190"/>
  <c r="R39" i="190"/>
  <c r="Q39" i="190"/>
  <c r="P39" i="190"/>
  <c r="O39" i="190"/>
  <c r="N39" i="190"/>
  <c r="M39" i="190"/>
  <c r="L39" i="190"/>
  <c r="K39" i="190"/>
  <c r="J39" i="190"/>
  <c r="I39" i="190"/>
  <c r="H39" i="190"/>
  <c r="G39" i="190"/>
  <c r="F39" i="190"/>
  <c r="E39" i="190"/>
  <c r="D39" i="190"/>
  <c r="U38" i="190"/>
  <c r="T38" i="190"/>
  <c r="S38" i="190"/>
  <c r="R38" i="190"/>
  <c r="Q38" i="190"/>
  <c r="P38" i="190"/>
  <c r="O38" i="190"/>
  <c r="N38" i="190"/>
  <c r="M38" i="190"/>
  <c r="L38" i="190"/>
  <c r="K38" i="190"/>
  <c r="J38" i="190"/>
  <c r="I38" i="190"/>
  <c r="H38" i="190"/>
  <c r="G38" i="190"/>
  <c r="F38" i="190"/>
  <c r="E38" i="190"/>
  <c r="D38" i="190"/>
  <c r="U37" i="190"/>
  <c r="T37" i="190"/>
  <c r="S37" i="190"/>
  <c r="R37" i="190"/>
  <c r="Q37" i="190"/>
  <c r="P37" i="190"/>
  <c r="O37" i="190"/>
  <c r="N37" i="190"/>
  <c r="M37" i="190"/>
  <c r="L37" i="190"/>
  <c r="K37" i="190"/>
  <c r="J37" i="190"/>
  <c r="I37" i="190"/>
  <c r="H37" i="190"/>
  <c r="G37" i="190"/>
  <c r="F37" i="190"/>
  <c r="E37" i="190"/>
  <c r="D37" i="190"/>
  <c r="U36" i="190"/>
  <c r="T36" i="190"/>
  <c r="S36" i="190"/>
  <c r="R36" i="190"/>
  <c r="Q36" i="190"/>
  <c r="P36" i="190"/>
  <c r="O36" i="190"/>
  <c r="N36" i="190"/>
  <c r="M36" i="190"/>
  <c r="L36" i="190"/>
  <c r="K36" i="190"/>
  <c r="J36" i="190"/>
  <c r="I36" i="190"/>
  <c r="H36" i="190"/>
  <c r="G36" i="190"/>
  <c r="F36" i="190"/>
  <c r="E36" i="190"/>
  <c r="D36" i="190"/>
  <c r="U35" i="190"/>
  <c r="T35" i="190"/>
  <c r="S35" i="190"/>
  <c r="R35" i="190"/>
  <c r="Q35" i="190"/>
  <c r="P35" i="190"/>
  <c r="O35" i="190"/>
  <c r="N35" i="190"/>
  <c r="M35" i="190"/>
  <c r="L35" i="190"/>
  <c r="K35" i="190"/>
  <c r="J35" i="190"/>
  <c r="I35" i="190"/>
  <c r="H35" i="190"/>
  <c r="G35" i="190"/>
  <c r="F35" i="190"/>
  <c r="E35" i="190"/>
  <c r="D35" i="190"/>
  <c r="U34" i="190"/>
  <c r="T34" i="190"/>
  <c r="S34" i="190"/>
  <c r="R34" i="190"/>
  <c r="Q34" i="190"/>
  <c r="P34" i="190"/>
  <c r="O34" i="190"/>
  <c r="N34" i="190"/>
  <c r="M34" i="190"/>
  <c r="L34" i="190"/>
  <c r="K34" i="190"/>
  <c r="J34" i="190"/>
  <c r="I34" i="190"/>
  <c r="H34" i="190"/>
  <c r="G34" i="190"/>
  <c r="F34" i="190"/>
  <c r="E34" i="190"/>
  <c r="D34" i="190"/>
  <c r="P33" i="190"/>
  <c r="U32" i="190"/>
  <c r="T32" i="190"/>
  <c r="S32" i="190"/>
  <c r="R32" i="190"/>
  <c r="Q32" i="190"/>
  <c r="P32" i="190"/>
  <c r="O32" i="190"/>
  <c r="N32" i="190"/>
  <c r="M32" i="190"/>
  <c r="L32" i="190"/>
  <c r="K32" i="190"/>
  <c r="J32" i="190"/>
  <c r="I32" i="190"/>
  <c r="H32" i="190"/>
  <c r="G32" i="190"/>
  <c r="F32" i="190"/>
  <c r="E32" i="190"/>
  <c r="D32" i="190"/>
  <c r="U31" i="190"/>
  <c r="T31" i="190"/>
  <c r="S31" i="190"/>
  <c r="R31" i="190"/>
  <c r="Q31" i="190"/>
  <c r="P31" i="190"/>
  <c r="O31" i="190"/>
  <c r="N31" i="190"/>
  <c r="M31" i="190"/>
  <c r="L31" i="190"/>
  <c r="K31" i="190"/>
  <c r="J31" i="190"/>
  <c r="I31" i="190"/>
  <c r="H31" i="190"/>
  <c r="G31" i="190"/>
  <c r="F31" i="190"/>
  <c r="E31" i="190"/>
  <c r="D31" i="190"/>
  <c r="U30" i="190"/>
  <c r="T30" i="190"/>
  <c r="S30" i="190"/>
  <c r="R30" i="190"/>
  <c r="Q30" i="190"/>
  <c r="P30" i="190"/>
  <c r="O30" i="190"/>
  <c r="N30" i="190"/>
  <c r="M30" i="190"/>
  <c r="L30" i="190"/>
  <c r="K30" i="190"/>
  <c r="J30" i="190"/>
  <c r="I30" i="190"/>
  <c r="H30" i="190"/>
  <c r="G30" i="190"/>
  <c r="F30" i="190"/>
  <c r="E30" i="190"/>
  <c r="D30" i="190"/>
  <c r="U29" i="190"/>
  <c r="T29" i="190"/>
  <c r="S29" i="190"/>
  <c r="R29" i="190"/>
  <c r="Q29" i="190"/>
  <c r="P29" i="190"/>
  <c r="O29" i="190"/>
  <c r="N29" i="190"/>
  <c r="M29" i="190"/>
  <c r="L29" i="190"/>
  <c r="K29" i="190"/>
  <c r="J29" i="190"/>
  <c r="I29" i="190"/>
  <c r="H29" i="190"/>
  <c r="G29" i="190"/>
  <c r="F29" i="190"/>
  <c r="E29" i="190"/>
  <c r="D29" i="190"/>
  <c r="U28" i="190"/>
  <c r="T28" i="190"/>
  <c r="S28" i="190"/>
  <c r="R28" i="190"/>
  <c r="Q28" i="190"/>
  <c r="P28" i="190"/>
  <c r="O28" i="190"/>
  <c r="N28" i="190"/>
  <c r="M28" i="190"/>
  <c r="L28" i="190"/>
  <c r="K28" i="190"/>
  <c r="J28" i="190"/>
  <c r="I28" i="190"/>
  <c r="H28" i="190"/>
  <c r="G28" i="190"/>
  <c r="F28" i="190"/>
  <c r="E28" i="190"/>
  <c r="D28" i="190"/>
  <c r="U27" i="190"/>
  <c r="T27" i="190"/>
  <c r="S27" i="190"/>
  <c r="R27" i="190"/>
  <c r="Q27" i="190"/>
  <c r="P27" i="190"/>
  <c r="O27" i="190"/>
  <c r="N27" i="190"/>
  <c r="M27" i="190"/>
  <c r="L27" i="190"/>
  <c r="K27" i="190"/>
  <c r="J27" i="190"/>
  <c r="I27" i="190"/>
  <c r="H27" i="190"/>
  <c r="G27" i="190"/>
  <c r="F27" i="190"/>
  <c r="E27" i="190"/>
  <c r="D27" i="190"/>
  <c r="U26" i="190"/>
  <c r="T26" i="190"/>
  <c r="S26" i="190"/>
  <c r="R26" i="190"/>
  <c r="Q26" i="190"/>
  <c r="P26" i="190"/>
  <c r="O26" i="190"/>
  <c r="N26" i="190"/>
  <c r="M26" i="190"/>
  <c r="L26" i="190"/>
  <c r="K26" i="190"/>
  <c r="J26" i="190"/>
  <c r="I26" i="190"/>
  <c r="H26" i="190"/>
  <c r="G26" i="190"/>
  <c r="F26" i="190"/>
  <c r="E26" i="190"/>
  <c r="D26" i="190"/>
  <c r="U25" i="190"/>
  <c r="T25" i="190"/>
  <c r="S25" i="190"/>
  <c r="R25" i="190"/>
  <c r="Q25" i="190"/>
  <c r="P25" i="190"/>
  <c r="O25" i="190"/>
  <c r="N25" i="190"/>
  <c r="M25" i="190"/>
  <c r="L25" i="190"/>
  <c r="K25" i="190"/>
  <c r="J25" i="190"/>
  <c r="I25" i="190"/>
  <c r="H25" i="190"/>
  <c r="G25" i="190"/>
  <c r="F25" i="190"/>
  <c r="E25" i="190"/>
  <c r="D25" i="190"/>
  <c r="U24" i="190"/>
  <c r="T24" i="190"/>
  <c r="S24" i="190"/>
  <c r="R24" i="190"/>
  <c r="Q24" i="190"/>
  <c r="P24" i="190"/>
  <c r="O24" i="190"/>
  <c r="N24" i="190"/>
  <c r="M24" i="190"/>
  <c r="L24" i="190"/>
  <c r="K24" i="190"/>
  <c r="J24" i="190"/>
  <c r="I24" i="190"/>
  <c r="H24" i="190"/>
  <c r="G24" i="190"/>
  <c r="F24" i="190"/>
  <c r="E24" i="190"/>
  <c r="D24" i="190"/>
  <c r="U23" i="190"/>
  <c r="T23" i="190"/>
  <c r="S23" i="190"/>
  <c r="R23" i="190"/>
  <c r="Q23" i="190"/>
  <c r="P23" i="190"/>
  <c r="O23" i="190"/>
  <c r="N23" i="190"/>
  <c r="M23" i="190"/>
  <c r="L23" i="190"/>
  <c r="K23" i="190"/>
  <c r="J23" i="190"/>
  <c r="I23" i="190"/>
  <c r="H23" i="190"/>
  <c r="G23" i="190"/>
  <c r="F23" i="190"/>
  <c r="E23" i="190"/>
  <c r="D23" i="190"/>
  <c r="U22" i="190"/>
  <c r="T22" i="190"/>
  <c r="S22" i="190"/>
  <c r="R22" i="190"/>
  <c r="Q22" i="190"/>
  <c r="P22" i="190"/>
  <c r="O22" i="190"/>
  <c r="N22" i="190"/>
  <c r="M22" i="190"/>
  <c r="L22" i="190"/>
  <c r="K22" i="190"/>
  <c r="J22" i="190"/>
  <c r="I22" i="190"/>
  <c r="H22" i="190"/>
  <c r="G22" i="190"/>
  <c r="F22" i="190"/>
  <c r="E22" i="190"/>
  <c r="D22" i="190"/>
  <c r="U21" i="190"/>
  <c r="T21" i="190"/>
  <c r="S21" i="190"/>
  <c r="R21" i="190"/>
  <c r="Q21" i="190"/>
  <c r="P21" i="190"/>
  <c r="O21" i="190"/>
  <c r="N21" i="190"/>
  <c r="M21" i="190"/>
  <c r="L21" i="190"/>
  <c r="K21" i="190"/>
  <c r="J21" i="190"/>
  <c r="I21" i="190"/>
  <c r="H21" i="190"/>
  <c r="G21" i="190"/>
  <c r="F21" i="190"/>
  <c r="E21" i="190"/>
  <c r="D21" i="190"/>
  <c r="U20" i="190"/>
  <c r="T20" i="190"/>
  <c r="S20" i="190"/>
  <c r="R20" i="190"/>
  <c r="Q20" i="190"/>
  <c r="P20" i="190"/>
  <c r="O20" i="190"/>
  <c r="N20" i="190"/>
  <c r="M20" i="190"/>
  <c r="L20" i="190"/>
  <c r="K20" i="190"/>
  <c r="J20" i="190"/>
  <c r="I20" i="190"/>
  <c r="H20" i="190"/>
  <c r="G20" i="190"/>
  <c r="F20" i="190"/>
  <c r="E20" i="190"/>
  <c r="D20" i="190"/>
  <c r="P19" i="190"/>
  <c r="U18" i="190"/>
  <c r="T18" i="190"/>
  <c r="S18" i="190"/>
  <c r="R18" i="190"/>
  <c r="Q18" i="190"/>
  <c r="P18" i="190"/>
  <c r="O18" i="190"/>
  <c r="N18" i="190"/>
  <c r="M18" i="190"/>
  <c r="L18" i="190"/>
  <c r="K18" i="190"/>
  <c r="J18" i="190"/>
  <c r="I18" i="190"/>
  <c r="H18" i="190"/>
  <c r="G18" i="190"/>
  <c r="F18" i="190"/>
  <c r="E18" i="190"/>
  <c r="D18" i="190"/>
  <c r="U17" i="190"/>
  <c r="T17" i="190"/>
  <c r="S17" i="190"/>
  <c r="R17" i="190"/>
  <c r="Q17" i="190"/>
  <c r="P17" i="190"/>
  <c r="O17" i="190"/>
  <c r="N17" i="190"/>
  <c r="M17" i="190"/>
  <c r="L17" i="190"/>
  <c r="K17" i="190"/>
  <c r="J17" i="190"/>
  <c r="I17" i="190"/>
  <c r="H17" i="190"/>
  <c r="G17" i="190"/>
  <c r="F17" i="190"/>
  <c r="E17" i="190"/>
  <c r="D17" i="190"/>
  <c r="U16" i="190"/>
  <c r="T16" i="190"/>
  <c r="S16" i="190"/>
  <c r="R16" i="190"/>
  <c r="Q16" i="190"/>
  <c r="P16" i="190"/>
  <c r="O16" i="190"/>
  <c r="N16" i="190"/>
  <c r="M16" i="190"/>
  <c r="L16" i="190"/>
  <c r="K16" i="190"/>
  <c r="J16" i="190"/>
  <c r="I16" i="190"/>
  <c r="H16" i="190"/>
  <c r="G16" i="190"/>
  <c r="F16" i="190"/>
  <c r="E16" i="190"/>
  <c r="D16" i="190"/>
  <c r="U15" i="190"/>
  <c r="T15" i="190"/>
  <c r="S15" i="190"/>
  <c r="R15" i="190"/>
  <c r="Q15" i="190"/>
  <c r="P15" i="190"/>
  <c r="O15" i="190"/>
  <c r="N15" i="190"/>
  <c r="M15" i="190"/>
  <c r="L15" i="190"/>
  <c r="K15" i="190"/>
  <c r="J15" i="190"/>
  <c r="I15" i="190"/>
  <c r="H15" i="190"/>
  <c r="G15" i="190"/>
  <c r="F15" i="190"/>
  <c r="E15" i="190"/>
  <c r="D15" i="190"/>
  <c r="U14" i="190"/>
  <c r="T14" i="190"/>
  <c r="S14" i="190"/>
  <c r="R14" i="190"/>
  <c r="Q14" i="190"/>
  <c r="P14" i="190"/>
  <c r="O14" i="190"/>
  <c r="N14" i="190"/>
  <c r="M14" i="190"/>
  <c r="L14" i="190"/>
  <c r="K14" i="190"/>
  <c r="J14" i="190"/>
  <c r="I14" i="190"/>
  <c r="H14" i="190"/>
  <c r="G14" i="190"/>
  <c r="F14" i="190"/>
  <c r="E14" i="190"/>
  <c r="D14" i="190"/>
  <c r="U13" i="190"/>
  <c r="T13" i="190"/>
  <c r="S13" i="190"/>
  <c r="R13" i="190"/>
  <c r="Q13" i="190"/>
  <c r="P13" i="190"/>
  <c r="O13" i="190"/>
  <c r="N13" i="190"/>
  <c r="M13" i="190"/>
  <c r="L13" i="190"/>
  <c r="K13" i="190"/>
  <c r="J13" i="190"/>
  <c r="I13" i="190"/>
  <c r="H13" i="190"/>
  <c r="G13" i="190"/>
  <c r="F13" i="190"/>
  <c r="E13" i="190"/>
  <c r="D13" i="190"/>
  <c r="U12" i="190"/>
  <c r="T12" i="190"/>
  <c r="S12" i="190"/>
  <c r="R12" i="190"/>
  <c r="Q12" i="190"/>
  <c r="P12" i="190"/>
  <c r="O12" i="190"/>
  <c r="N12" i="190"/>
  <c r="M12" i="190"/>
  <c r="L12" i="190"/>
  <c r="K12" i="190"/>
  <c r="J12" i="190"/>
  <c r="I12" i="190"/>
  <c r="H12" i="190"/>
  <c r="G12" i="190"/>
  <c r="F12" i="190"/>
  <c r="E12" i="190"/>
  <c r="D12" i="190"/>
  <c r="U376" i="189"/>
  <c r="T376" i="189"/>
  <c r="S376" i="189"/>
  <c r="R376" i="189"/>
  <c r="Q376" i="189"/>
  <c r="P376" i="189"/>
  <c r="O376" i="189"/>
  <c r="N376" i="189"/>
  <c r="M376" i="189"/>
  <c r="L376" i="189"/>
  <c r="K376" i="189"/>
  <c r="J376" i="189"/>
  <c r="I376" i="189"/>
  <c r="H376" i="189"/>
  <c r="G376" i="189"/>
  <c r="F376" i="189"/>
  <c r="E376" i="189"/>
  <c r="D376" i="189"/>
  <c r="U375" i="189"/>
  <c r="T375" i="189"/>
  <c r="S375" i="189"/>
  <c r="R375" i="189"/>
  <c r="Q375" i="189"/>
  <c r="P375" i="189"/>
  <c r="O375" i="189"/>
  <c r="N375" i="189"/>
  <c r="M375" i="189"/>
  <c r="L375" i="189"/>
  <c r="K375" i="189"/>
  <c r="J375" i="189"/>
  <c r="I375" i="189"/>
  <c r="H375" i="189"/>
  <c r="G375" i="189"/>
  <c r="F375" i="189"/>
  <c r="E375" i="189"/>
  <c r="D375" i="189"/>
  <c r="U374" i="189"/>
  <c r="T374" i="189"/>
  <c r="S374" i="189"/>
  <c r="R374" i="189"/>
  <c r="Q374" i="189"/>
  <c r="P374" i="189"/>
  <c r="O374" i="189"/>
  <c r="N374" i="189"/>
  <c r="M374" i="189"/>
  <c r="L374" i="189"/>
  <c r="K374" i="189"/>
  <c r="J374" i="189"/>
  <c r="I374" i="189"/>
  <c r="H374" i="189"/>
  <c r="G374" i="189"/>
  <c r="F374" i="189"/>
  <c r="E374" i="189"/>
  <c r="D374" i="189"/>
  <c r="U373" i="189"/>
  <c r="T373" i="189"/>
  <c r="S373" i="189"/>
  <c r="R373" i="189"/>
  <c r="Q373" i="189"/>
  <c r="P373" i="189"/>
  <c r="O373" i="189"/>
  <c r="N373" i="189"/>
  <c r="M373" i="189"/>
  <c r="L373" i="189"/>
  <c r="K373" i="189"/>
  <c r="J373" i="189"/>
  <c r="I373" i="189"/>
  <c r="H373" i="189"/>
  <c r="G373" i="189"/>
  <c r="F373" i="189"/>
  <c r="E373" i="189"/>
  <c r="D373" i="189"/>
  <c r="U372" i="189"/>
  <c r="T372" i="189"/>
  <c r="S372" i="189"/>
  <c r="R372" i="189"/>
  <c r="Q372" i="189"/>
  <c r="P372" i="189"/>
  <c r="O372" i="189"/>
  <c r="N372" i="189"/>
  <c r="M372" i="189"/>
  <c r="L372" i="189"/>
  <c r="K372" i="189"/>
  <c r="J372" i="189"/>
  <c r="I372" i="189"/>
  <c r="H372" i="189"/>
  <c r="G372" i="189"/>
  <c r="F372" i="189"/>
  <c r="E372" i="189"/>
  <c r="D372" i="189"/>
  <c r="U371" i="189"/>
  <c r="T371" i="189"/>
  <c r="S371" i="189"/>
  <c r="R371" i="189"/>
  <c r="Q371" i="189"/>
  <c r="P371" i="189"/>
  <c r="O371" i="189"/>
  <c r="N371" i="189"/>
  <c r="M371" i="189"/>
  <c r="L371" i="189"/>
  <c r="K371" i="189"/>
  <c r="J371" i="189"/>
  <c r="I371" i="189"/>
  <c r="H371" i="189"/>
  <c r="G371" i="189"/>
  <c r="F371" i="189"/>
  <c r="E371" i="189"/>
  <c r="D371" i="189"/>
  <c r="U370" i="189"/>
  <c r="T370" i="189"/>
  <c r="S370" i="189"/>
  <c r="R370" i="189"/>
  <c r="Q370" i="189"/>
  <c r="P370" i="189"/>
  <c r="O370" i="189"/>
  <c r="N370" i="189"/>
  <c r="M370" i="189"/>
  <c r="L370" i="189"/>
  <c r="K370" i="189"/>
  <c r="J370" i="189"/>
  <c r="I370" i="189"/>
  <c r="H370" i="189"/>
  <c r="G370" i="189"/>
  <c r="F370" i="189"/>
  <c r="E370" i="189"/>
  <c r="D370" i="189"/>
  <c r="U369" i="189"/>
  <c r="T369" i="189"/>
  <c r="S369" i="189"/>
  <c r="R369" i="189"/>
  <c r="Q369" i="189"/>
  <c r="P369" i="189"/>
  <c r="O369" i="189"/>
  <c r="N369" i="189"/>
  <c r="M369" i="189"/>
  <c r="L369" i="189"/>
  <c r="K369" i="189"/>
  <c r="J369" i="189"/>
  <c r="I369" i="189"/>
  <c r="H369" i="189"/>
  <c r="G369" i="189"/>
  <c r="F369" i="189"/>
  <c r="E369" i="189"/>
  <c r="D369" i="189"/>
  <c r="U368" i="189"/>
  <c r="T368" i="189"/>
  <c r="S368" i="189"/>
  <c r="R368" i="189"/>
  <c r="Q368" i="189"/>
  <c r="P368" i="189"/>
  <c r="O368" i="189"/>
  <c r="N368" i="189"/>
  <c r="M368" i="189"/>
  <c r="L368" i="189"/>
  <c r="K368" i="189"/>
  <c r="J368" i="189"/>
  <c r="I368" i="189"/>
  <c r="H368" i="189"/>
  <c r="G368" i="189"/>
  <c r="F368" i="189"/>
  <c r="E368" i="189"/>
  <c r="D368" i="189"/>
  <c r="U367" i="189"/>
  <c r="T367" i="189"/>
  <c r="S367" i="189"/>
  <c r="R367" i="189"/>
  <c r="Q367" i="189"/>
  <c r="P367" i="189"/>
  <c r="O367" i="189"/>
  <c r="N367" i="189"/>
  <c r="M367" i="189"/>
  <c r="L367" i="189"/>
  <c r="K367" i="189"/>
  <c r="J367" i="189"/>
  <c r="I367" i="189"/>
  <c r="H367" i="189"/>
  <c r="G367" i="189"/>
  <c r="F367" i="189"/>
  <c r="E367" i="189"/>
  <c r="D367" i="189"/>
  <c r="P366" i="189"/>
  <c r="U365" i="189"/>
  <c r="T365" i="189"/>
  <c r="S365" i="189"/>
  <c r="R365" i="189"/>
  <c r="Q365" i="189"/>
  <c r="P365" i="189"/>
  <c r="O365" i="189"/>
  <c r="N365" i="189"/>
  <c r="M365" i="189"/>
  <c r="L365" i="189"/>
  <c r="K365" i="189"/>
  <c r="J365" i="189"/>
  <c r="I365" i="189"/>
  <c r="H365" i="189"/>
  <c r="G365" i="189"/>
  <c r="F365" i="189"/>
  <c r="E365" i="189"/>
  <c r="D365" i="189"/>
  <c r="U364" i="189"/>
  <c r="T364" i="189"/>
  <c r="S364" i="189"/>
  <c r="R364" i="189"/>
  <c r="Q364" i="189"/>
  <c r="P364" i="189"/>
  <c r="O364" i="189"/>
  <c r="N364" i="189"/>
  <c r="M364" i="189"/>
  <c r="L364" i="189"/>
  <c r="K364" i="189"/>
  <c r="J364" i="189"/>
  <c r="I364" i="189"/>
  <c r="H364" i="189"/>
  <c r="G364" i="189"/>
  <c r="F364" i="189"/>
  <c r="E364" i="189"/>
  <c r="D364" i="189"/>
  <c r="U363" i="189"/>
  <c r="T363" i="189"/>
  <c r="S363" i="189"/>
  <c r="R363" i="189"/>
  <c r="Q363" i="189"/>
  <c r="P363" i="189"/>
  <c r="O363" i="189"/>
  <c r="N363" i="189"/>
  <c r="M363" i="189"/>
  <c r="L363" i="189"/>
  <c r="K363" i="189"/>
  <c r="J363" i="189"/>
  <c r="I363" i="189"/>
  <c r="H363" i="189"/>
  <c r="G363" i="189"/>
  <c r="F363" i="189"/>
  <c r="E363" i="189"/>
  <c r="D363" i="189"/>
  <c r="U362" i="189"/>
  <c r="T362" i="189"/>
  <c r="S362" i="189"/>
  <c r="R362" i="189"/>
  <c r="Q362" i="189"/>
  <c r="P362" i="189"/>
  <c r="O362" i="189"/>
  <c r="N362" i="189"/>
  <c r="M362" i="189"/>
  <c r="L362" i="189"/>
  <c r="K362" i="189"/>
  <c r="J362" i="189"/>
  <c r="I362" i="189"/>
  <c r="H362" i="189"/>
  <c r="G362" i="189"/>
  <c r="F362" i="189"/>
  <c r="E362" i="189"/>
  <c r="D362" i="189"/>
  <c r="U361" i="189"/>
  <c r="T361" i="189"/>
  <c r="S361" i="189"/>
  <c r="R361" i="189"/>
  <c r="Q361" i="189"/>
  <c r="P361" i="189"/>
  <c r="O361" i="189"/>
  <c r="N361" i="189"/>
  <c r="M361" i="189"/>
  <c r="L361" i="189"/>
  <c r="K361" i="189"/>
  <c r="J361" i="189"/>
  <c r="I361" i="189"/>
  <c r="H361" i="189"/>
  <c r="G361" i="189"/>
  <c r="F361" i="189"/>
  <c r="E361" i="189"/>
  <c r="D361" i="189"/>
  <c r="U360" i="189"/>
  <c r="T360" i="189"/>
  <c r="S360" i="189"/>
  <c r="R360" i="189"/>
  <c r="Q360" i="189"/>
  <c r="P360" i="189"/>
  <c r="O360" i="189"/>
  <c r="N360" i="189"/>
  <c r="M360" i="189"/>
  <c r="L360" i="189"/>
  <c r="K360" i="189"/>
  <c r="J360" i="189"/>
  <c r="I360" i="189"/>
  <c r="H360" i="189"/>
  <c r="G360" i="189"/>
  <c r="F360" i="189"/>
  <c r="E360" i="189"/>
  <c r="D360" i="189"/>
  <c r="U359" i="189"/>
  <c r="T359" i="189"/>
  <c r="S359" i="189"/>
  <c r="R359" i="189"/>
  <c r="Q359" i="189"/>
  <c r="P359" i="189"/>
  <c r="O359" i="189"/>
  <c r="N359" i="189"/>
  <c r="M359" i="189"/>
  <c r="L359" i="189"/>
  <c r="K359" i="189"/>
  <c r="J359" i="189"/>
  <c r="I359" i="189"/>
  <c r="H359" i="189"/>
  <c r="G359" i="189"/>
  <c r="F359" i="189"/>
  <c r="E359" i="189"/>
  <c r="D359" i="189"/>
  <c r="U358" i="189"/>
  <c r="T358" i="189"/>
  <c r="S358" i="189"/>
  <c r="R358" i="189"/>
  <c r="Q358" i="189"/>
  <c r="P358" i="189"/>
  <c r="O358" i="189"/>
  <c r="N358" i="189"/>
  <c r="M358" i="189"/>
  <c r="L358" i="189"/>
  <c r="K358" i="189"/>
  <c r="J358" i="189"/>
  <c r="I358" i="189"/>
  <c r="H358" i="189"/>
  <c r="G358" i="189"/>
  <c r="F358" i="189"/>
  <c r="E358" i="189"/>
  <c r="D358" i="189"/>
  <c r="U357" i="189"/>
  <c r="T357" i="189"/>
  <c r="S357" i="189"/>
  <c r="R357" i="189"/>
  <c r="Q357" i="189"/>
  <c r="P357" i="189"/>
  <c r="O357" i="189"/>
  <c r="N357" i="189"/>
  <c r="M357" i="189"/>
  <c r="L357" i="189"/>
  <c r="K357" i="189"/>
  <c r="J357" i="189"/>
  <c r="I357" i="189"/>
  <c r="H357" i="189"/>
  <c r="G357" i="189"/>
  <c r="F357" i="189"/>
  <c r="E357" i="189"/>
  <c r="D357" i="189"/>
  <c r="U356" i="189"/>
  <c r="T356" i="189"/>
  <c r="S356" i="189"/>
  <c r="R356" i="189"/>
  <c r="Q356" i="189"/>
  <c r="P356" i="189"/>
  <c r="O356" i="189"/>
  <c r="N356" i="189"/>
  <c r="M356" i="189"/>
  <c r="L356" i="189"/>
  <c r="K356" i="189"/>
  <c r="J356" i="189"/>
  <c r="I356" i="189"/>
  <c r="H356" i="189"/>
  <c r="G356" i="189"/>
  <c r="F356" i="189"/>
  <c r="E356" i="189"/>
  <c r="D356" i="189"/>
  <c r="U355" i="189"/>
  <c r="T355" i="189"/>
  <c r="S355" i="189"/>
  <c r="R355" i="189"/>
  <c r="Q355" i="189"/>
  <c r="P355" i="189"/>
  <c r="O355" i="189"/>
  <c r="N355" i="189"/>
  <c r="M355" i="189"/>
  <c r="L355" i="189"/>
  <c r="K355" i="189"/>
  <c r="J355" i="189"/>
  <c r="I355" i="189"/>
  <c r="H355" i="189"/>
  <c r="G355" i="189"/>
  <c r="F355" i="189"/>
  <c r="E355" i="189"/>
  <c r="D355" i="189"/>
  <c r="U354" i="189"/>
  <c r="T354" i="189"/>
  <c r="S354" i="189"/>
  <c r="R354" i="189"/>
  <c r="Q354" i="189"/>
  <c r="P354" i="189"/>
  <c r="O354" i="189"/>
  <c r="N354" i="189"/>
  <c r="M354" i="189"/>
  <c r="L354" i="189"/>
  <c r="K354" i="189"/>
  <c r="J354" i="189"/>
  <c r="I354" i="189"/>
  <c r="H354" i="189"/>
  <c r="G354" i="189"/>
  <c r="F354" i="189"/>
  <c r="E354" i="189"/>
  <c r="D354" i="189"/>
  <c r="U353" i="189"/>
  <c r="T353" i="189"/>
  <c r="S353" i="189"/>
  <c r="R353" i="189"/>
  <c r="Q353" i="189"/>
  <c r="P353" i="189"/>
  <c r="O353" i="189"/>
  <c r="N353" i="189"/>
  <c r="M353" i="189"/>
  <c r="L353" i="189"/>
  <c r="K353" i="189"/>
  <c r="J353" i="189"/>
  <c r="I353" i="189"/>
  <c r="H353" i="189"/>
  <c r="G353" i="189"/>
  <c r="F353" i="189"/>
  <c r="E353" i="189"/>
  <c r="D353" i="189"/>
  <c r="P352" i="189"/>
  <c r="U351" i="189"/>
  <c r="T351" i="189"/>
  <c r="S351" i="189"/>
  <c r="R351" i="189"/>
  <c r="Q351" i="189"/>
  <c r="P351" i="189"/>
  <c r="O351" i="189"/>
  <c r="N351" i="189"/>
  <c r="M351" i="189"/>
  <c r="L351" i="189"/>
  <c r="K351" i="189"/>
  <c r="J351" i="189"/>
  <c r="I351" i="189"/>
  <c r="H351" i="189"/>
  <c r="G351" i="189"/>
  <c r="F351" i="189"/>
  <c r="E351" i="189"/>
  <c r="D351" i="189"/>
  <c r="U350" i="189"/>
  <c r="T350" i="189"/>
  <c r="S350" i="189"/>
  <c r="R350" i="189"/>
  <c r="Q350" i="189"/>
  <c r="P350" i="189"/>
  <c r="O350" i="189"/>
  <c r="N350" i="189"/>
  <c r="M350" i="189"/>
  <c r="L350" i="189"/>
  <c r="K350" i="189"/>
  <c r="J350" i="189"/>
  <c r="I350" i="189"/>
  <c r="H350" i="189"/>
  <c r="G350" i="189"/>
  <c r="F350" i="189"/>
  <c r="E350" i="189"/>
  <c r="D350" i="189"/>
  <c r="U349" i="189"/>
  <c r="T349" i="189"/>
  <c r="S349" i="189"/>
  <c r="R349" i="189"/>
  <c r="Q349" i="189"/>
  <c r="P349" i="189"/>
  <c r="O349" i="189"/>
  <c r="N349" i="189"/>
  <c r="M349" i="189"/>
  <c r="L349" i="189"/>
  <c r="K349" i="189"/>
  <c r="J349" i="189"/>
  <c r="I349" i="189"/>
  <c r="H349" i="189"/>
  <c r="G349" i="189"/>
  <c r="F349" i="189"/>
  <c r="E349" i="189"/>
  <c r="D349" i="189"/>
  <c r="U348" i="189"/>
  <c r="T348" i="189"/>
  <c r="S348" i="189"/>
  <c r="R348" i="189"/>
  <c r="Q348" i="189"/>
  <c r="P348" i="189"/>
  <c r="O348" i="189"/>
  <c r="N348" i="189"/>
  <c r="M348" i="189"/>
  <c r="L348" i="189"/>
  <c r="K348" i="189"/>
  <c r="J348" i="189"/>
  <c r="I348" i="189"/>
  <c r="H348" i="189"/>
  <c r="G348" i="189"/>
  <c r="F348" i="189"/>
  <c r="E348" i="189"/>
  <c r="D348" i="189"/>
  <c r="U347" i="189"/>
  <c r="T347" i="189"/>
  <c r="S347" i="189"/>
  <c r="R347" i="189"/>
  <c r="Q347" i="189"/>
  <c r="P347" i="189"/>
  <c r="O347" i="189"/>
  <c r="N347" i="189"/>
  <c r="M347" i="189"/>
  <c r="L347" i="189"/>
  <c r="K347" i="189"/>
  <c r="J347" i="189"/>
  <c r="I347" i="189"/>
  <c r="H347" i="189"/>
  <c r="G347" i="189"/>
  <c r="F347" i="189"/>
  <c r="E347" i="189"/>
  <c r="D347" i="189"/>
  <c r="U346" i="189"/>
  <c r="T346" i="189"/>
  <c r="S346" i="189"/>
  <c r="R346" i="189"/>
  <c r="Q346" i="189"/>
  <c r="P346" i="189"/>
  <c r="O346" i="189"/>
  <c r="N346" i="189"/>
  <c r="M346" i="189"/>
  <c r="L346" i="189"/>
  <c r="K346" i="189"/>
  <c r="J346" i="189"/>
  <c r="I346" i="189"/>
  <c r="H346" i="189"/>
  <c r="G346" i="189"/>
  <c r="F346" i="189"/>
  <c r="E346" i="189"/>
  <c r="D346" i="189"/>
  <c r="U345" i="189"/>
  <c r="T345" i="189"/>
  <c r="S345" i="189"/>
  <c r="R345" i="189"/>
  <c r="Q345" i="189"/>
  <c r="P345" i="189"/>
  <c r="O345" i="189"/>
  <c r="N345" i="189"/>
  <c r="M345" i="189"/>
  <c r="L345" i="189"/>
  <c r="K345" i="189"/>
  <c r="J345" i="189"/>
  <c r="I345" i="189"/>
  <c r="H345" i="189"/>
  <c r="G345" i="189"/>
  <c r="F345" i="189"/>
  <c r="E345" i="189"/>
  <c r="D345" i="189"/>
  <c r="U339" i="189"/>
  <c r="T339" i="189"/>
  <c r="S339" i="189"/>
  <c r="R339" i="189"/>
  <c r="Q339" i="189"/>
  <c r="P339" i="189"/>
  <c r="O339" i="189"/>
  <c r="N339" i="189"/>
  <c r="M339" i="189"/>
  <c r="L339" i="189"/>
  <c r="K339" i="189"/>
  <c r="J339" i="189"/>
  <c r="I339" i="189"/>
  <c r="H339" i="189"/>
  <c r="G339" i="189"/>
  <c r="F339" i="189"/>
  <c r="E339" i="189"/>
  <c r="D339" i="189"/>
  <c r="U338" i="189"/>
  <c r="T338" i="189"/>
  <c r="S338" i="189"/>
  <c r="R338" i="189"/>
  <c r="Q338" i="189"/>
  <c r="P338" i="189"/>
  <c r="O338" i="189"/>
  <c r="N338" i="189"/>
  <c r="M338" i="189"/>
  <c r="L338" i="189"/>
  <c r="K338" i="189"/>
  <c r="J338" i="189"/>
  <c r="I338" i="189"/>
  <c r="H338" i="189"/>
  <c r="G338" i="189"/>
  <c r="F338" i="189"/>
  <c r="E338" i="189"/>
  <c r="D338" i="189"/>
  <c r="U337" i="189"/>
  <c r="T337" i="189"/>
  <c r="S337" i="189"/>
  <c r="R337" i="189"/>
  <c r="Q337" i="189"/>
  <c r="P337" i="189"/>
  <c r="O337" i="189"/>
  <c r="N337" i="189"/>
  <c r="M337" i="189"/>
  <c r="L337" i="189"/>
  <c r="K337" i="189"/>
  <c r="J337" i="189"/>
  <c r="I337" i="189"/>
  <c r="H337" i="189"/>
  <c r="G337" i="189"/>
  <c r="F337" i="189"/>
  <c r="E337" i="189"/>
  <c r="D337" i="189"/>
  <c r="U336" i="189"/>
  <c r="T336" i="189"/>
  <c r="S336" i="189"/>
  <c r="R336" i="189"/>
  <c r="Q336" i="189"/>
  <c r="P336" i="189"/>
  <c r="O336" i="189"/>
  <c r="N336" i="189"/>
  <c r="M336" i="189"/>
  <c r="L336" i="189"/>
  <c r="K336" i="189"/>
  <c r="J336" i="189"/>
  <c r="I336" i="189"/>
  <c r="H336" i="189"/>
  <c r="G336" i="189"/>
  <c r="F336" i="189"/>
  <c r="E336" i="189"/>
  <c r="D336" i="189"/>
  <c r="U335" i="189"/>
  <c r="T335" i="189"/>
  <c r="S335" i="189"/>
  <c r="R335" i="189"/>
  <c r="Q335" i="189"/>
  <c r="P335" i="189"/>
  <c r="O335" i="189"/>
  <c r="N335" i="189"/>
  <c r="M335" i="189"/>
  <c r="L335" i="189"/>
  <c r="K335" i="189"/>
  <c r="J335" i="189"/>
  <c r="I335" i="189"/>
  <c r="H335" i="189"/>
  <c r="G335" i="189"/>
  <c r="F335" i="189"/>
  <c r="E335" i="189"/>
  <c r="D335" i="189"/>
  <c r="U334" i="189"/>
  <c r="T334" i="189"/>
  <c r="S334" i="189"/>
  <c r="R334" i="189"/>
  <c r="Q334" i="189"/>
  <c r="P334" i="189"/>
  <c r="O334" i="189"/>
  <c r="N334" i="189"/>
  <c r="M334" i="189"/>
  <c r="L334" i="189"/>
  <c r="K334" i="189"/>
  <c r="J334" i="189"/>
  <c r="I334" i="189"/>
  <c r="H334" i="189"/>
  <c r="G334" i="189"/>
  <c r="F334" i="189"/>
  <c r="E334" i="189"/>
  <c r="D334" i="189"/>
  <c r="U333" i="189"/>
  <c r="T333" i="189"/>
  <c r="S333" i="189"/>
  <c r="R333" i="189"/>
  <c r="Q333" i="189"/>
  <c r="P333" i="189"/>
  <c r="O333" i="189"/>
  <c r="N333" i="189"/>
  <c r="M333" i="189"/>
  <c r="L333" i="189"/>
  <c r="K333" i="189"/>
  <c r="J333" i="189"/>
  <c r="I333" i="189"/>
  <c r="H333" i="189"/>
  <c r="G333" i="189"/>
  <c r="F333" i="189"/>
  <c r="E333" i="189"/>
  <c r="D333" i="189"/>
  <c r="U332" i="189"/>
  <c r="T332" i="189"/>
  <c r="S332" i="189"/>
  <c r="R332" i="189"/>
  <c r="Q332" i="189"/>
  <c r="P332" i="189"/>
  <c r="O332" i="189"/>
  <c r="N332" i="189"/>
  <c r="M332" i="189"/>
  <c r="L332" i="189"/>
  <c r="K332" i="189"/>
  <c r="J332" i="189"/>
  <c r="I332" i="189"/>
  <c r="H332" i="189"/>
  <c r="G332" i="189"/>
  <c r="F332" i="189"/>
  <c r="E332" i="189"/>
  <c r="D332" i="189"/>
  <c r="U331" i="189"/>
  <c r="T331" i="189"/>
  <c r="S331" i="189"/>
  <c r="R331" i="189"/>
  <c r="Q331" i="189"/>
  <c r="P331" i="189"/>
  <c r="O331" i="189"/>
  <c r="N331" i="189"/>
  <c r="M331" i="189"/>
  <c r="L331" i="189"/>
  <c r="K331" i="189"/>
  <c r="J331" i="189"/>
  <c r="I331" i="189"/>
  <c r="H331" i="189"/>
  <c r="G331" i="189"/>
  <c r="F331" i="189"/>
  <c r="E331" i="189"/>
  <c r="D331" i="189"/>
  <c r="U330" i="189"/>
  <c r="T330" i="189"/>
  <c r="S330" i="189"/>
  <c r="R330" i="189"/>
  <c r="Q330" i="189"/>
  <c r="P330" i="189"/>
  <c r="O330" i="189"/>
  <c r="N330" i="189"/>
  <c r="M330" i="189"/>
  <c r="L330" i="189"/>
  <c r="K330" i="189"/>
  <c r="J330" i="189"/>
  <c r="I330" i="189"/>
  <c r="H330" i="189"/>
  <c r="G330" i="189"/>
  <c r="F330" i="189"/>
  <c r="E330" i="189"/>
  <c r="D330" i="189"/>
  <c r="P329" i="189"/>
  <c r="U328" i="189"/>
  <c r="T328" i="189"/>
  <c r="S328" i="189"/>
  <c r="R328" i="189"/>
  <c r="Q328" i="189"/>
  <c r="P328" i="189"/>
  <c r="O328" i="189"/>
  <c r="N328" i="189"/>
  <c r="M328" i="189"/>
  <c r="L328" i="189"/>
  <c r="K328" i="189"/>
  <c r="J328" i="189"/>
  <c r="I328" i="189"/>
  <c r="H328" i="189"/>
  <c r="G328" i="189"/>
  <c r="F328" i="189"/>
  <c r="E328" i="189"/>
  <c r="D328" i="189"/>
  <c r="U327" i="189"/>
  <c r="T327" i="189"/>
  <c r="S327" i="189"/>
  <c r="R327" i="189"/>
  <c r="Q327" i="189"/>
  <c r="P327" i="189"/>
  <c r="O327" i="189"/>
  <c r="N327" i="189"/>
  <c r="M327" i="189"/>
  <c r="L327" i="189"/>
  <c r="K327" i="189"/>
  <c r="J327" i="189"/>
  <c r="I327" i="189"/>
  <c r="H327" i="189"/>
  <c r="G327" i="189"/>
  <c r="F327" i="189"/>
  <c r="E327" i="189"/>
  <c r="D327" i="189"/>
  <c r="U326" i="189"/>
  <c r="T326" i="189"/>
  <c r="S326" i="189"/>
  <c r="R326" i="189"/>
  <c r="Q326" i="189"/>
  <c r="P326" i="189"/>
  <c r="O326" i="189"/>
  <c r="N326" i="189"/>
  <c r="M326" i="189"/>
  <c r="L326" i="189"/>
  <c r="K326" i="189"/>
  <c r="J326" i="189"/>
  <c r="I326" i="189"/>
  <c r="H326" i="189"/>
  <c r="G326" i="189"/>
  <c r="F326" i="189"/>
  <c r="E326" i="189"/>
  <c r="D326" i="189"/>
  <c r="U325" i="189"/>
  <c r="T325" i="189"/>
  <c r="S325" i="189"/>
  <c r="R325" i="189"/>
  <c r="Q325" i="189"/>
  <c r="P325" i="189"/>
  <c r="O325" i="189"/>
  <c r="N325" i="189"/>
  <c r="M325" i="189"/>
  <c r="L325" i="189"/>
  <c r="K325" i="189"/>
  <c r="J325" i="189"/>
  <c r="I325" i="189"/>
  <c r="H325" i="189"/>
  <c r="G325" i="189"/>
  <c r="F325" i="189"/>
  <c r="E325" i="189"/>
  <c r="D325" i="189"/>
  <c r="U324" i="189"/>
  <c r="T324" i="189"/>
  <c r="S324" i="189"/>
  <c r="R324" i="189"/>
  <c r="Q324" i="189"/>
  <c r="P324" i="189"/>
  <c r="O324" i="189"/>
  <c r="N324" i="189"/>
  <c r="M324" i="189"/>
  <c r="L324" i="189"/>
  <c r="K324" i="189"/>
  <c r="J324" i="189"/>
  <c r="I324" i="189"/>
  <c r="H324" i="189"/>
  <c r="G324" i="189"/>
  <c r="F324" i="189"/>
  <c r="E324" i="189"/>
  <c r="D324" i="189"/>
  <c r="U323" i="189"/>
  <c r="T323" i="189"/>
  <c r="S323" i="189"/>
  <c r="R323" i="189"/>
  <c r="Q323" i="189"/>
  <c r="P323" i="189"/>
  <c r="O323" i="189"/>
  <c r="N323" i="189"/>
  <c r="M323" i="189"/>
  <c r="L323" i="189"/>
  <c r="K323" i="189"/>
  <c r="J323" i="189"/>
  <c r="I323" i="189"/>
  <c r="H323" i="189"/>
  <c r="G323" i="189"/>
  <c r="F323" i="189"/>
  <c r="E323" i="189"/>
  <c r="D323" i="189"/>
  <c r="U322" i="189"/>
  <c r="T322" i="189"/>
  <c r="S322" i="189"/>
  <c r="R322" i="189"/>
  <c r="Q322" i="189"/>
  <c r="P322" i="189"/>
  <c r="O322" i="189"/>
  <c r="N322" i="189"/>
  <c r="M322" i="189"/>
  <c r="L322" i="189"/>
  <c r="K322" i="189"/>
  <c r="J322" i="189"/>
  <c r="I322" i="189"/>
  <c r="H322" i="189"/>
  <c r="G322" i="189"/>
  <c r="F322" i="189"/>
  <c r="E322" i="189"/>
  <c r="D322" i="189"/>
  <c r="U321" i="189"/>
  <c r="T321" i="189"/>
  <c r="S321" i="189"/>
  <c r="R321" i="189"/>
  <c r="Q321" i="189"/>
  <c r="P321" i="189"/>
  <c r="O321" i="189"/>
  <c r="N321" i="189"/>
  <c r="M321" i="189"/>
  <c r="L321" i="189"/>
  <c r="K321" i="189"/>
  <c r="J321" i="189"/>
  <c r="I321" i="189"/>
  <c r="H321" i="189"/>
  <c r="G321" i="189"/>
  <c r="F321" i="189"/>
  <c r="E321" i="189"/>
  <c r="D321" i="189"/>
  <c r="U320" i="189"/>
  <c r="T320" i="189"/>
  <c r="S320" i="189"/>
  <c r="R320" i="189"/>
  <c r="Q320" i="189"/>
  <c r="P320" i="189"/>
  <c r="O320" i="189"/>
  <c r="N320" i="189"/>
  <c r="M320" i="189"/>
  <c r="L320" i="189"/>
  <c r="K320" i="189"/>
  <c r="J320" i="189"/>
  <c r="I320" i="189"/>
  <c r="H320" i="189"/>
  <c r="G320" i="189"/>
  <c r="F320" i="189"/>
  <c r="E320" i="189"/>
  <c r="D320" i="189"/>
  <c r="U319" i="189"/>
  <c r="T319" i="189"/>
  <c r="S319" i="189"/>
  <c r="R319" i="189"/>
  <c r="Q319" i="189"/>
  <c r="P319" i="189"/>
  <c r="O319" i="189"/>
  <c r="N319" i="189"/>
  <c r="M319" i="189"/>
  <c r="L319" i="189"/>
  <c r="K319" i="189"/>
  <c r="J319" i="189"/>
  <c r="I319" i="189"/>
  <c r="H319" i="189"/>
  <c r="G319" i="189"/>
  <c r="F319" i="189"/>
  <c r="E319" i="189"/>
  <c r="D319" i="189"/>
  <c r="U318" i="189"/>
  <c r="T318" i="189"/>
  <c r="S318" i="189"/>
  <c r="R318" i="189"/>
  <c r="Q318" i="189"/>
  <c r="P318" i="189"/>
  <c r="O318" i="189"/>
  <c r="N318" i="189"/>
  <c r="M318" i="189"/>
  <c r="L318" i="189"/>
  <c r="K318" i="189"/>
  <c r="J318" i="189"/>
  <c r="I318" i="189"/>
  <c r="H318" i="189"/>
  <c r="G318" i="189"/>
  <c r="F318" i="189"/>
  <c r="E318" i="189"/>
  <c r="D318" i="189"/>
  <c r="U317" i="189"/>
  <c r="T317" i="189"/>
  <c r="S317" i="189"/>
  <c r="R317" i="189"/>
  <c r="Q317" i="189"/>
  <c r="P317" i="189"/>
  <c r="O317" i="189"/>
  <c r="N317" i="189"/>
  <c r="M317" i="189"/>
  <c r="L317" i="189"/>
  <c r="K317" i="189"/>
  <c r="J317" i="189"/>
  <c r="I317" i="189"/>
  <c r="H317" i="189"/>
  <c r="G317" i="189"/>
  <c r="F317" i="189"/>
  <c r="E317" i="189"/>
  <c r="D317" i="189"/>
  <c r="U316" i="189"/>
  <c r="T316" i="189"/>
  <c r="S316" i="189"/>
  <c r="R316" i="189"/>
  <c r="Q316" i="189"/>
  <c r="P316" i="189"/>
  <c r="O316" i="189"/>
  <c r="N316" i="189"/>
  <c r="M316" i="189"/>
  <c r="L316" i="189"/>
  <c r="K316" i="189"/>
  <c r="J316" i="189"/>
  <c r="I316" i="189"/>
  <c r="H316" i="189"/>
  <c r="G316" i="189"/>
  <c r="F316" i="189"/>
  <c r="E316" i="189"/>
  <c r="D316" i="189"/>
  <c r="P315" i="189"/>
  <c r="U314" i="189"/>
  <c r="T314" i="189"/>
  <c r="S314" i="189"/>
  <c r="R314" i="189"/>
  <c r="Q314" i="189"/>
  <c r="P314" i="189"/>
  <c r="O314" i="189"/>
  <c r="N314" i="189"/>
  <c r="M314" i="189"/>
  <c r="L314" i="189"/>
  <c r="K314" i="189"/>
  <c r="J314" i="189"/>
  <c r="I314" i="189"/>
  <c r="H314" i="189"/>
  <c r="G314" i="189"/>
  <c r="F314" i="189"/>
  <c r="E314" i="189"/>
  <c r="D314" i="189"/>
  <c r="U313" i="189"/>
  <c r="T313" i="189"/>
  <c r="S313" i="189"/>
  <c r="R313" i="189"/>
  <c r="Q313" i="189"/>
  <c r="P313" i="189"/>
  <c r="O313" i="189"/>
  <c r="N313" i="189"/>
  <c r="M313" i="189"/>
  <c r="L313" i="189"/>
  <c r="K313" i="189"/>
  <c r="J313" i="189"/>
  <c r="I313" i="189"/>
  <c r="H313" i="189"/>
  <c r="G313" i="189"/>
  <c r="F313" i="189"/>
  <c r="E313" i="189"/>
  <c r="D313" i="189"/>
  <c r="U312" i="189"/>
  <c r="T312" i="189"/>
  <c r="S312" i="189"/>
  <c r="R312" i="189"/>
  <c r="Q312" i="189"/>
  <c r="P312" i="189"/>
  <c r="O312" i="189"/>
  <c r="N312" i="189"/>
  <c r="M312" i="189"/>
  <c r="L312" i="189"/>
  <c r="K312" i="189"/>
  <c r="J312" i="189"/>
  <c r="I312" i="189"/>
  <c r="H312" i="189"/>
  <c r="G312" i="189"/>
  <c r="F312" i="189"/>
  <c r="E312" i="189"/>
  <c r="D312" i="189"/>
  <c r="U311" i="189"/>
  <c r="T311" i="189"/>
  <c r="S311" i="189"/>
  <c r="R311" i="189"/>
  <c r="Q311" i="189"/>
  <c r="P311" i="189"/>
  <c r="O311" i="189"/>
  <c r="N311" i="189"/>
  <c r="M311" i="189"/>
  <c r="L311" i="189"/>
  <c r="K311" i="189"/>
  <c r="J311" i="189"/>
  <c r="I311" i="189"/>
  <c r="H311" i="189"/>
  <c r="G311" i="189"/>
  <c r="F311" i="189"/>
  <c r="E311" i="189"/>
  <c r="D311" i="189"/>
  <c r="U310" i="189"/>
  <c r="T310" i="189"/>
  <c r="S310" i="189"/>
  <c r="R310" i="189"/>
  <c r="Q310" i="189"/>
  <c r="P310" i="189"/>
  <c r="O310" i="189"/>
  <c r="N310" i="189"/>
  <c r="M310" i="189"/>
  <c r="L310" i="189"/>
  <c r="K310" i="189"/>
  <c r="J310" i="189"/>
  <c r="I310" i="189"/>
  <c r="H310" i="189"/>
  <c r="G310" i="189"/>
  <c r="F310" i="189"/>
  <c r="E310" i="189"/>
  <c r="D310" i="189"/>
  <c r="U309" i="189"/>
  <c r="T309" i="189"/>
  <c r="S309" i="189"/>
  <c r="R309" i="189"/>
  <c r="Q309" i="189"/>
  <c r="P309" i="189"/>
  <c r="O309" i="189"/>
  <c r="N309" i="189"/>
  <c r="M309" i="189"/>
  <c r="L309" i="189"/>
  <c r="K309" i="189"/>
  <c r="J309" i="189"/>
  <c r="I309" i="189"/>
  <c r="H309" i="189"/>
  <c r="G309" i="189"/>
  <c r="F309" i="189"/>
  <c r="E309" i="189"/>
  <c r="D309" i="189"/>
  <c r="U308" i="189"/>
  <c r="T308" i="189"/>
  <c r="S308" i="189"/>
  <c r="R308" i="189"/>
  <c r="Q308" i="189"/>
  <c r="P308" i="189"/>
  <c r="O308" i="189"/>
  <c r="N308" i="189"/>
  <c r="M308" i="189"/>
  <c r="L308" i="189"/>
  <c r="K308" i="189"/>
  <c r="J308" i="189"/>
  <c r="I308" i="189"/>
  <c r="H308" i="189"/>
  <c r="G308" i="189"/>
  <c r="F308" i="189"/>
  <c r="E308" i="189"/>
  <c r="D308" i="189"/>
  <c r="U302" i="189"/>
  <c r="T302" i="189"/>
  <c r="S302" i="189"/>
  <c r="R302" i="189"/>
  <c r="Q302" i="189"/>
  <c r="P302" i="189"/>
  <c r="O302" i="189"/>
  <c r="N302" i="189"/>
  <c r="M302" i="189"/>
  <c r="L302" i="189"/>
  <c r="K302" i="189"/>
  <c r="J302" i="189"/>
  <c r="I302" i="189"/>
  <c r="H302" i="189"/>
  <c r="G302" i="189"/>
  <c r="F302" i="189"/>
  <c r="E302" i="189"/>
  <c r="D302" i="189"/>
  <c r="U301" i="189"/>
  <c r="T301" i="189"/>
  <c r="S301" i="189"/>
  <c r="R301" i="189"/>
  <c r="Q301" i="189"/>
  <c r="P301" i="189"/>
  <c r="O301" i="189"/>
  <c r="N301" i="189"/>
  <c r="M301" i="189"/>
  <c r="L301" i="189"/>
  <c r="K301" i="189"/>
  <c r="J301" i="189"/>
  <c r="I301" i="189"/>
  <c r="H301" i="189"/>
  <c r="G301" i="189"/>
  <c r="F301" i="189"/>
  <c r="E301" i="189"/>
  <c r="D301" i="189"/>
  <c r="U300" i="189"/>
  <c r="T300" i="189"/>
  <c r="S300" i="189"/>
  <c r="R300" i="189"/>
  <c r="Q300" i="189"/>
  <c r="P300" i="189"/>
  <c r="O300" i="189"/>
  <c r="N300" i="189"/>
  <c r="M300" i="189"/>
  <c r="L300" i="189"/>
  <c r="K300" i="189"/>
  <c r="J300" i="189"/>
  <c r="I300" i="189"/>
  <c r="H300" i="189"/>
  <c r="G300" i="189"/>
  <c r="F300" i="189"/>
  <c r="E300" i="189"/>
  <c r="D300" i="189"/>
  <c r="U299" i="189"/>
  <c r="T299" i="189"/>
  <c r="S299" i="189"/>
  <c r="R299" i="189"/>
  <c r="Q299" i="189"/>
  <c r="P299" i="189"/>
  <c r="O299" i="189"/>
  <c r="N299" i="189"/>
  <c r="M299" i="189"/>
  <c r="L299" i="189"/>
  <c r="K299" i="189"/>
  <c r="J299" i="189"/>
  <c r="I299" i="189"/>
  <c r="H299" i="189"/>
  <c r="G299" i="189"/>
  <c r="F299" i="189"/>
  <c r="E299" i="189"/>
  <c r="D299" i="189"/>
  <c r="U298" i="189"/>
  <c r="T298" i="189"/>
  <c r="S298" i="189"/>
  <c r="R298" i="189"/>
  <c r="Q298" i="189"/>
  <c r="P298" i="189"/>
  <c r="O298" i="189"/>
  <c r="N298" i="189"/>
  <c r="M298" i="189"/>
  <c r="L298" i="189"/>
  <c r="K298" i="189"/>
  <c r="J298" i="189"/>
  <c r="I298" i="189"/>
  <c r="H298" i="189"/>
  <c r="G298" i="189"/>
  <c r="F298" i="189"/>
  <c r="E298" i="189"/>
  <c r="D298" i="189"/>
  <c r="U297" i="189"/>
  <c r="T297" i="189"/>
  <c r="S297" i="189"/>
  <c r="R297" i="189"/>
  <c r="Q297" i="189"/>
  <c r="P297" i="189"/>
  <c r="O297" i="189"/>
  <c r="N297" i="189"/>
  <c r="M297" i="189"/>
  <c r="L297" i="189"/>
  <c r="K297" i="189"/>
  <c r="J297" i="189"/>
  <c r="I297" i="189"/>
  <c r="H297" i="189"/>
  <c r="G297" i="189"/>
  <c r="F297" i="189"/>
  <c r="E297" i="189"/>
  <c r="D297" i="189"/>
  <c r="U296" i="189"/>
  <c r="T296" i="189"/>
  <c r="S296" i="189"/>
  <c r="R296" i="189"/>
  <c r="Q296" i="189"/>
  <c r="P296" i="189"/>
  <c r="O296" i="189"/>
  <c r="N296" i="189"/>
  <c r="M296" i="189"/>
  <c r="L296" i="189"/>
  <c r="K296" i="189"/>
  <c r="J296" i="189"/>
  <c r="I296" i="189"/>
  <c r="H296" i="189"/>
  <c r="G296" i="189"/>
  <c r="F296" i="189"/>
  <c r="E296" i="189"/>
  <c r="D296" i="189"/>
  <c r="U295" i="189"/>
  <c r="T295" i="189"/>
  <c r="S295" i="189"/>
  <c r="R295" i="189"/>
  <c r="Q295" i="189"/>
  <c r="P295" i="189"/>
  <c r="O295" i="189"/>
  <c r="N295" i="189"/>
  <c r="M295" i="189"/>
  <c r="L295" i="189"/>
  <c r="K295" i="189"/>
  <c r="J295" i="189"/>
  <c r="I295" i="189"/>
  <c r="H295" i="189"/>
  <c r="G295" i="189"/>
  <c r="F295" i="189"/>
  <c r="E295" i="189"/>
  <c r="D295" i="189"/>
  <c r="U294" i="189"/>
  <c r="T294" i="189"/>
  <c r="S294" i="189"/>
  <c r="R294" i="189"/>
  <c r="Q294" i="189"/>
  <c r="P294" i="189"/>
  <c r="O294" i="189"/>
  <c r="N294" i="189"/>
  <c r="M294" i="189"/>
  <c r="L294" i="189"/>
  <c r="K294" i="189"/>
  <c r="J294" i="189"/>
  <c r="I294" i="189"/>
  <c r="H294" i="189"/>
  <c r="G294" i="189"/>
  <c r="F294" i="189"/>
  <c r="E294" i="189"/>
  <c r="D294" i="189"/>
  <c r="U293" i="189"/>
  <c r="T293" i="189"/>
  <c r="S293" i="189"/>
  <c r="R293" i="189"/>
  <c r="Q293" i="189"/>
  <c r="P293" i="189"/>
  <c r="O293" i="189"/>
  <c r="N293" i="189"/>
  <c r="M293" i="189"/>
  <c r="L293" i="189"/>
  <c r="K293" i="189"/>
  <c r="J293" i="189"/>
  <c r="I293" i="189"/>
  <c r="H293" i="189"/>
  <c r="G293" i="189"/>
  <c r="F293" i="189"/>
  <c r="E293" i="189"/>
  <c r="D293" i="189"/>
  <c r="P292" i="189"/>
  <c r="U291" i="189"/>
  <c r="T291" i="189"/>
  <c r="S291" i="189"/>
  <c r="R291" i="189"/>
  <c r="Q291" i="189"/>
  <c r="P291" i="189"/>
  <c r="O291" i="189"/>
  <c r="N291" i="189"/>
  <c r="M291" i="189"/>
  <c r="L291" i="189"/>
  <c r="K291" i="189"/>
  <c r="J291" i="189"/>
  <c r="I291" i="189"/>
  <c r="H291" i="189"/>
  <c r="G291" i="189"/>
  <c r="F291" i="189"/>
  <c r="E291" i="189"/>
  <c r="D291" i="189"/>
  <c r="U290" i="189"/>
  <c r="T290" i="189"/>
  <c r="S290" i="189"/>
  <c r="R290" i="189"/>
  <c r="Q290" i="189"/>
  <c r="P290" i="189"/>
  <c r="O290" i="189"/>
  <c r="N290" i="189"/>
  <c r="M290" i="189"/>
  <c r="L290" i="189"/>
  <c r="K290" i="189"/>
  <c r="J290" i="189"/>
  <c r="I290" i="189"/>
  <c r="H290" i="189"/>
  <c r="G290" i="189"/>
  <c r="F290" i="189"/>
  <c r="E290" i="189"/>
  <c r="D290" i="189"/>
  <c r="U289" i="189"/>
  <c r="T289" i="189"/>
  <c r="S289" i="189"/>
  <c r="R289" i="189"/>
  <c r="Q289" i="189"/>
  <c r="P289" i="189"/>
  <c r="O289" i="189"/>
  <c r="N289" i="189"/>
  <c r="M289" i="189"/>
  <c r="L289" i="189"/>
  <c r="K289" i="189"/>
  <c r="J289" i="189"/>
  <c r="I289" i="189"/>
  <c r="H289" i="189"/>
  <c r="G289" i="189"/>
  <c r="F289" i="189"/>
  <c r="E289" i="189"/>
  <c r="D289" i="189"/>
  <c r="U288" i="189"/>
  <c r="T288" i="189"/>
  <c r="S288" i="189"/>
  <c r="R288" i="189"/>
  <c r="Q288" i="189"/>
  <c r="P288" i="189"/>
  <c r="O288" i="189"/>
  <c r="N288" i="189"/>
  <c r="M288" i="189"/>
  <c r="L288" i="189"/>
  <c r="K288" i="189"/>
  <c r="J288" i="189"/>
  <c r="I288" i="189"/>
  <c r="H288" i="189"/>
  <c r="G288" i="189"/>
  <c r="F288" i="189"/>
  <c r="E288" i="189"/>
  <c r="D288" i="189"/>
  <c r="U287" i="189"/>
  <c r="T287" i="189"/>
  <c r="S287" i="189"/>
  <c r="R287" i="189"/>
  <c r="Q287" i="189"/>
  <c r="P287" i="189"/>
  <c r="O287" i="189"/>
  <c r="N287" i="189"/>
  <c r="M287" i="189"/>
  <c r="L287" i="189"/>
  <c r="K287" i="189"/>
  <c r="J287" i="189"/>
  <c r="I287" i="189"/>
  <c r="H287" i="189"/>
  <c r="G287" i="189"/>
  <c r="F287" i="189"/>
  <c r="E287" i="189"/>
  <c r="D287" i="189"/>
  <c r="U286" i="189"/>
  <c r="T286" i="189"/>
  <c r="S286" i="189"/>
  <c r="R286" i="189"/>
  <c r="Q286" i="189"/>
  <c r="P286" i="189"/>
  <c r="O286" i="189"/>
  <c r="N286" i="189"/>
  <c r="M286" i="189"/>
  <c r="L286" i="189"/>
  <c r="K286" i="189"/>
  <c r="J286" i="189"/>
  <c r="I286" i="189"/>
  <c r="H286" i="189"/>
  <c r="G286" i="189"/>
  <c r="F286" i="189"/>
  <c r="E286" i="189"/>
  <c r="D286" i="189"/>
  <c r="U285" i="189"/>
  <c r="T285" i="189"/>
  <c r="S285" i="189"/>
  <c r="R285" i="189"/>
  <c r="Q285" i="189"/>
  <c r="P285" i="189"/>
  <c r="O285" i="189"/>
  <c r="N285" i="189"/>
  <c r="M285" i="189"/>
  <c r="L285" i="189"/>
  <c r="K285" i="189"/>
  <c r="J285" i="189"/>
  <c r="I285" i="189"/>
  <c r="H285" i="189"/>
  <c r="G285" i="189"/>
  <c r="F285" i="189"/>
  <c r="E285" i="189"/>
  <c r="D285" i="189"/>
  <c r="U284" i="189"/>
  <c r="T284" i="189"/>
  <c r="S284" i="189"/>
  <c r="R284" i="189"/>
  <c r="Q284" i="189"/>
  <c r="P284" i="189"/>
  <c r="O284" i="189"/>
  <c r="N284" i="189"/>
  <c r="M284" i="189"/>
  <c r="L284" i="189"/>
  <c r="K284" i="189"/>
  <c r="J284" i="189"/>
  <c r="I284" i="189"/>
  <c r="H284" i="189"/>
  <c r="G284" i="189"/>
  <c r="F284" i="189"/>
  <c r="E284" i="189"/>
  <c r="D284" i="189"/>
  <c r="U283" i="189"/>
  <c r="T283" i="189"/>
  <c r="S283" i="189"/>
  <c r="R283" i="189"/>
  <c r="Q283" i="189"/>
  <c r="P283" i="189"/>
  <c r="O283" i="189"/>
  <c r="N283" i="189"/>
  <c r="M283" i="189"/>
  <c r="L283" i="189"/>
  <c r="K283" i="189"/>
  <c r="J283" i="189"/>
  <c r="I283" i="189"/>
  <c r="H283" i="189"/>
  <c r="G283" i="189"/>
  <c r="F283" i="189"/>
  <c r="E283" i="189"/>
  <c r="D283" i="189"/>
  <c r="U282" i="189"/>
  <c r="T282" i="189"/>
  <c r="S282" i="189"/>
  <c r="R282" i="189"/>
  <c r="Q282" i="189"/>
  <c r="P282" i="189"/>
  <c r="O282" i="189"/>
  <c r="N282" i="189"/>
  <c r="M282" i="189"/>
  <c r="L282" i="189"/>
  <c r="K282" i="189"/>
  <c r="J282" i="189"/>
  <c r="I282" i="189"/>
  <c r="H282" i="189"/>
  <c r="G282" i="189"/>
  <c r="F282" i="189"/>
  <c r="E282" i="189"/>
  <c r="D282" i="189"/>
  <c r="U281" i="189"/>
  <c r="T281" i="189"/>
  <c r="S281" i="189"/>
  <c r="R281" i="189"/>
  <c r="Q281" i="189"/>
  <c r="P281" i="189"/>
  <c r="O281" i="189"/>
  <c r="N281" i="189"/>
  <c r="M281" i="189"/>
  <c r="L281" i="189"/>
  <c r="K281" i="189"/>
  <c r="J281" i="189"/>
  <c r="I281" i="189"/>
  <c r="H281" i="189"/>
  <c r="G281" i="189"/>
  <c r="F281" i="189"/>
  <c r="E281" i="189"/>
  <c r="D281" i="189"/>
  <c r="U280" i="189"/>
  <c r="T280" i="189"/>
  <c r="S280" i="189"/>
  <c r="R280" i="189"/>
  <c r="Q280" i="189"/>
  <c r="P280" i="189"/>
  <c r="O280" i="189"/>
  <c r="N280" i="189"/>
  <c r="M280" i="189"/>
  <c r="L280" i="189"/>
  <c r="K280" i="189"/>
  <c r="J280" i="189"/>
  <c r="I280" i="189"/>
  <c r="H280" i="189"/>
  <c r="G280" i="189"/>
  <c r="F280" i="189"/>
  <c r="E280" i="189"/>
  <c r="D280" i="189"/>
  <c r="U279" i="189"/>
  <c r="T279" i="189"/>
  <c r="S279" i="189"/>
  <c r="R279" i="189"/>
  <c r="Q279" i="189"/>
  <c r="P279" i="189"/>
  <c r="O279" i="189"/>
  <c r="N279" i="189"/>
  <c r="M279" i="189"/>
  <c r="L279" i="189"/>
  <c r="K279" i="189"/>
  <c r="J279" i="189"/>
  <c r="I279" i="189"/>
  <c r="H279" i="189"/>
  <c r="G279" i="189"/>
  <c r="F279" i="189"/>
  <c r="E279" i="189"/>
  <c r="D279" i="189"/>
  <c r="P278" i="189"/>
  <c r="U277" i="189"/>
  <c r="T277" i="189"/>
  <c r="S277" i="189"/>
  <c r="R277" i="189"/>
  <c r="Q277" i="189"/>
  <c r="P277" i="189"/>
  <c r="O277" i="189"/>
  <c r="N277" i="189"/>
  <c r="M277" i="189"/>
  <c r="L277" i="189"/>
  <c r="K277" i="189"/>
  <c r="J277" i="189"/>
  <c r="I277" i="189"/>
  <c r="H277" i="189"/>
  <c r="G277" i="189"/>
  <c r="F277" i="189"/>
  <c r="E277" i="189"/>
  <c r="D277" i="189"/>
  <c r="U276" i="189"/>
  <c r="T276" i="189"/>
  <c r="S276" i="189"/>
  <c r="R276" i="189"/>
  <c r="Q276" i="189"/>
  <c r="P276" i="189"/>
  <c r="O276" i="189"/>
  <c r="N276" i="189"/>
  <c r="M276" i="189"/>
  <c r="L276" i="189"/>
  <c r="K276" i="189"/>
  <c r="J276" i="189"/>
  <c r="I276" i="189"/>
  <c r="H276" i="189"/>
  <c r="G276" i="189"/>
  <c r="F276" i="189"/>
  <c r="E276" i="189"/>
  <c r="D276" i="189"/>
  <c r="U275" i="189"/>
  <c r="T275" i="189"/>
  <c r="S275" i="189"/>
  <c r="R275" i="189"/>
  <c r="Q275" i="189"/>
  <c r="P275" i="189"/>
  <c r="O275" i="189"/>
  <c r="N275" i="189"/>
  <c r="M275" i="189"/>
  <c r="L275" i="189"/>
  <c r="K275" i="189"/>
  <c r="J275" i="189"/>
  <c r="I275" i="189"/>
  <c r="H275" i="189"/>
  <c r="G275" i="189"/>
  <c r="F275" i="189"/>
  <c r="E275" i="189"/>
  <c r="D275" i="189"/>
  <c r="U274" i="189"/>
  <c r="T274" i="189"/>
  <c r="S274" i="189"/>
  <c r="R274" i="189"/>
  <c r="Q274" i="189"/>
  <c r="P274" i="189"/>
  <c r="O274" i="189"/>
  <c r="N274" i="189"/>
  <c r="M274" i="189"/>
  <c r="L274" i="189"/>
  <c r="K274" i="189"/>
  <c r="J274" i="189"/>
  <c r="I274" i="189"/>
  <c r="H274" i="189"/>
  <c r="G274" i="189"/>
  <c r="F274" i="189"/>
  <c r="E274" i="189"/>
  <c r="D274" i="189"/>
  <c r="U273" i="189"/>
  <c r="T273" i="189"/>
  <c r="S273" i="189"/>
  <c r="R273" i="189"/>
  <c r="Q273" i="189"/>
  <c r="P273" i="189"/>
  <c r="O273" i="189"/>
  <c r="N273" i="189"/>
  <c r="M273" i="189"/>
  <c r="L273" i="189"/>
  <c r="K273" i="189"/>
  <c r="J273" i="189"/>
  <c r="I273" i="189"/>
  <c r="H273" i="189"/>
  <c r="G273" i="189"/>
  <c r="F273" i="189"/>
  <c r="E273" i="189"/>
  <c r="D273" i="189"/>
  <c r="U272" i="189"/>
  <c r="T272" i="189"/>
  <c r="S272" i="189"/>
  <c r="R272" i="189"/>
  <c r="Q272" i="189"/>
  <c r="P272" i="189"/>
  <c r="O272" i="189"/>
  <c r="N272" i="189"/>
  <c r="M272" i="189"/>
  <c r="L272" i="189"/>
  <c r="K272" i="189"/>
  <c r="J272" i="189"/>
  <c r="I272" i="189"/>
  <c r="H272" i="189"/>
  <c r="G272" i="189"/>
  <c r="F272" i="189"/>
  <c r="E272" i="189"/>
  <c r="D272" i="189"/>
  <c r="U271" i="189"/>
  <c r="T271" i="189"/>
  <c r="S271" i="189"/>
  <c r="R271" i="189"/>
  <c r="Q271" i="189"/>
  <c r="P271" i="189"/>
  <c r="O271" i="189"/>
  <c r="N271" i="189"/>
  <c r="M271" i="189"/>
  <c r="L271" i="189"/>
  <c r="K271" i="189"/>
  <c r="J271" i="189"/>
  <c r="I271" i="189"/>
  <c r="H271" i="189"/>
  <c r="G271" i="189"/>
  <c r="F271" i="189"/>
  <c r="E271" i="189"/>
  <c r="D271" i="189"/>
  <c r="U265" i="189"/>
  <c r="T265" i="189"/>
  <c r="S265" i="189"/>
  <c r="R265" i="189"/>
  <c r="Q265" i="189"/>
  <c r="P265" i="189"/>
  <c r="O265" i="189"/>
  <c r="N265" i="189"/>
  <c r="M265" i="189"/>
  <c r="L265" i="189"/>
  <c r="K265" i="189"/>
  <c r="J265" i="189"/>
  <c r="I265" i="189"/>
  <c r="H265" i="189"/>
  <c r="G265" i="189"/>
  <c r="F265" i="189"/>
  <c r="E265" i="189"/>
  <c r="D265" i="189"/>
  <c r="U264" i="189"/>
  <c r="T264" i="189"/>
  <c r="S264" i="189"/>
  <c r="R264" i="189"/>
  <c r="Q264" i="189"/>
  <c r="P264" i="189"/>
  <c r="O264" i="189"/>
  <c r="N264" i="189"/>
  <c r="M264" i="189"/>
  <c r="L264" i="189"/>
  <c r="K264" i="189"/>
  <c r="J264" i="189"/>
  <c r="I264" i="189"/>
  <c r="H264" i="189"/>
  <c r="G264" i="189"/>
  <c r="F264" i="189"/>
  <c r="E264" i="189"/>
  <c r="D264" i="189"/>
  <c r="U263" i="189"/>
  <c r="T263" i="189"/>
  <c r="S263" i="189"/>
  <c r="R263" i="189"/>
  <c r="Q263" i="189"/>
  <c r="P263" i="189"/>
  <c r="O263" i="189"/>
  <c r="N263" i="189"/>
  <c r="M263" i="189"/>
  <c r="L263" i="189"/>
  <c r="K263" i="189"/>
  <c r="J263" i="189"/>
  <c r="I263" i="189"/>
  <c r="H263" i="189"/>
  <c r="G263" i="189"/>
  <c r="F263" i="189"/>
  <c r="E263" i="189"/>
  <c r="D263" i="189"/>
  <c r="U262" i="189"/>
  <c r="T262" i="189"/>
  <c r="S262" i="189"/>
  <c r="R262" i="189"/>
  <c r="Q262" i="189"/>
  <c r="P262" i="189"/>
  <c r="O262" i="189"/>
  <c r="N262" i="189"/>
  <c r="M262" i="189"/>
  <c r="L262" i="189"/>
  <c r="K262" i="189"/>
  <c r="J262" i="189"/>
  <c r="I262" i="189"/>
  <c r="H262" i="189"/>
  <c r="G262" i="189"/>
  <c r="F262" i="189"/>
  <c r="E262" i="189"/>
  <c r="D262" i="189"/>
  <c r="U261" i="189"/>
  <c r="T261" i="189"/>
  <c r="S261" i="189"/>
  <c r="R261" i="189"/>
  <c r="Q261" i="189"/>
  <c r="P261" i="189"/>
  <c r="O261" i="189"/>
  <c r="N261" i="189"/>
  <c r="M261" i="189"/>
  <c r="L261" i="189"/>
  <c r="K261" i="189"/>
  <c r="J261" i="189"/>
  <c r="I261" i="189"/>
  <c r="H261" i="189"/>
  <c r="G261" i="189"/>
  <c r="F261" i="189"/>
  <c r="E261" i="189"/>
  <c r="D261" i="189"/>
  <c r="U260" i="189"/>
  <c r="T260" i="189"/>
  <c r="S260" i="189"/>
  <c r="R260" i="189"/>
  <c r="Q260" i="189"/>
  <c r="P260" i="189"/>
  <c r="O260" i="189"/>
  <c r="N260" i="189"/>
  <c r="M260" i="189"/>
  <c r="L260" i="189"/>
  <c r="K260" i="189"/>
  <c r="J260" i="189"/>
  <c r="I260" i="189"/>
  <c r="H260" i="189"/>
  <c r="G260" i="189"/>
  <c r="F260" i="189"/>
  <c r="E260" i="189"/>
  <c r="D260" i="189"/>
  <c r="U259" i="189"/>
  <c r="T259" i="189"/>
  <c r="S259" i="189"/>
  <c r="R259" i="189"/>
  <c r="Q259" i="189"/>
  <c r="P259" i="189"/>
  <c r="O259" i="189"/>
  <c r="N259" i="189"/>
  <c r="M259" i="189"/>
  <c r="L259" i="189"/>
  <c r="K259" i="189"/>
  <c r="J259" i="189"/>
  <c r="I259" i="189"/>
  <c r="H259" i="189"/>
  <c r="G259" i="189"/>
  <c r="F259" i="189"/>
  <c r="E259" i="189"/>
  <c r="D259" i="189"/>
  <c r="U258" i="189"/>
  <c r="T258" i="189"/>
  <c r="S258" i="189"/>
  <c r="R258" i="189"/>
  <c r="Q258" i="189"/>
  <c r="P258" i="189"/>
  <c r="O258" i="189"/>
  <c r="N258" i="189"/>
  <c r="M258" i="189"/>
  <c r="L258" i="189"/>
  <c r="K258" i="189"/>
  <c r="J258" i="189"/>
  <c r="I258" i="189"/>
  <c r="H258" i="189"/>
  <c r="G258" i="189"/>
  <c r="F258" i="189"/>
  <c r="E258" i="189"/>
  <c r="D258" i="189"/>
  <c r="U257" i="189"/>
  <c r="T257" i="189"/>
  <c r="S257" i="189"/>
  <c r="R257" i="189"/>
  <c r="Q257" i="189"/>
  <c r="P257" i="189"/>
  <c r="O257" i="189"/>
  <c r="N257" i="189"/>
  <c r="M257" i="189"/>
  <c r="L257" i="189"/>
  <c r="K257" i="189"/>
  <c r="J257" i="189"/>
  <c r="I257" i="189"/>
  <c r="H257" i="189"/>
  <c r="G257" i="189"/>
  <c r="F257" i="189"/>
  <c r="E257" i="189"/>
  <c r="D257" i="189"/>
  <c r="U256" i="189"/>
  <c r="T256" i="189"/>
  <c r="S256" i="189"/>
  <c r="R256" i="189"/>
  <c r="Q256" i="189"/>
  <c r="P256" i="189"/>
  <c r="O256" i="189"/>
  <c r="N256" i="189"/>
  <c r="M256" i="189"/>
  <c r="L256" i="189"/>
  <c r="K256" i="189"/>
  <c r="J256" i="189"/>
  <c r="I256" i="189"/>
  <c r="H256" i="189"/>
  <c r="G256" i="189"/>
  <c r="F256" i="189"/>
  <c r="E256" i="189"/>
  <c r="D256" i="189"/>
  <c r="P255" i="189"/>
  <c r="U254" i="189"/>
  <c r="T254" i="189"/>
  <c r="S254" i="189"/>
  <c r="R254" i="189"/>
  <c r="Q254" i="189"/>
  <c r="P254" i="189"/>
  <c r="O254" i="189"/>
  <c r="N254" i="189"/>
  <c r="M254" i="189"/>
  <c r="L254" i="189"/>
  <c r="K254" i="189"/>
  <c r="J254" i="189"/>
  <c r="I254" i="189"/>
  <c r="H254" i="189"/>
  <c r="G254" i="189"/>
  <c r="F254" i="189"/>
  <c r="E254" i="189"/>
  <c r="D254" i="189"/>
  <c r="U253" i="189"/>
  <c r="T253" i="189"/>
  <c r="S253" i="189"/>
  <c r="R253" i="189"/>
  <c r="Q253" i="189"/>
  <c r="P253" i="189"/>
  <c r="O253" i="189"/>
  <c r="N253" i="189"/>
  <c r="M253" i="189"/>
  <c r="L253" i="189"/>
  <c r="K253" i="189"/>
  <c r="J253" i="189"/>
  <c r="I253" i="189"/>
  <c r="H253" i="189"/>
  <c r="G253" i="189"/>
  <c r="F253" i="189"/>
  <c r="E253" i="189"/>
  <c r="D253" i="189"/>
  <c r="U252" i="189"/>
  <c r="T252" i="189"/>
  <c r="S252" i="189"/>
  <c r="R252" i="189"/>
  <c r="Q252" i="189"/>
  <c r="P252" i="189"/>
  <c r="O252" i="189"/>
  <c r="N252" i="189"/>
  <c r="M252" i="189"/>
  <c r="L252" i="189"/>
  <c r="K252" i="189"/>
  <c r="J252" i="189"/>
  <c r="I252" i="189"/>
  <c r="H252" i="189"/>
  <c r="G252" i="189"/>
  <c r="F252" i="189"/>
  <c r="E252" i="189"/>
  <c r="D252" i="189"/>
  <c r="U251" i="189"/>
  <c r="T251" i="189"/>
  <c r="S251" i="189"/>
  <c r="R251" i="189"/>
  <c r="Q251" i="189"/>
  <c r="P251" i="189"/>
  <c r="O251" i="189"/>
  <c r="N251" i="189"/>
  <c r="M251" i="189"/>
  <c r="L251" i="189"/>
  <c r="K251" i="189"/>
  <c r="J251" i="189"/>
  <c r="I251" i="189"/>
  <c r="H251" i="189"/>
  <c r="G251" i="189"/>
  <c r="F251" i="189"/>
  <c r="E251" i="189"/>
  <c r="D251" i="189"/>
  <c r="U250" i="189"/>
  <c r="T250" i="189"/>
  <c r="S250" i="189"/>
  <c r="R250" i="189"/>
  <c r="Q250" i="189"/>
  <c r="P250" i="189"/>
  <c r="O250" i="189"/>
  <c r="N250" i="189"/>
  <c r="M250" i="189"/>
  <c r="L250" i="189"/>
  <c r="K250" i="189"/>
  <c r="J250" i="189"/>
  <c r="I250" i="189"/>
  <c r="H250" i="189"/>
  <c r="G250" i="189"/>
  <c r="F250" i="189"/>
  <c r="E250" i="189"/>
  <c r="D250" i="189"/>
  <c r="U249" i="189"/>
  <c r="T249" i="189"/>
  <c r="S249" i="189"/>
  <c r="R249" i="189"/>
  <c r="Q249" i="189"/>
  <c r="P249" i="189"/>
  <c r="O249" i="189"/>
  <c r="N249" i="189"/>
  <c r="M249" i="189"/>
  <c r="L249" i="189"/>
  <c r="K249" i="189"/>
  <c r="J249" i="189"/>
  <c r="I249" i="189"/>
  <c r="H249" i="189"/>
  <c r="G249" i="189"/>
  <c r="F249" i="189"/>
  <c r="E249" i="189"/>
  <c r="D249" i="189"/>
  <c r="U248" i="189"/>
  <c r="T248" i="189"/>
  <c r="S248" i="189"/>
  <c r="R248" i="189"/>
  <c r="Q248" i="189"/>
  <c r="P248" i="189"/>
  <c r="O248" i="189"/>
  <c r="N248" i="189"/>
  <c r="M248" i="189"/>
  <c r="L248" i="189"/>
  <c r="K248" i="189"/>
  <c r="J248" i="189"/>
  <c r="I248" i="189"/>
  <c r="H248" i="189"/>
  <c r="G248" i="189"/>
  <c r="F248" i="189"/>
  <c r="E248" i="189"/>
  <c r="D248" i="189"/>
  <c r="U247" i="189"/>
  <c r="T247" i="189"/>
  <c r="S247" i="189"/>
  <c r="R247" i="189"/>
  <c r="Q247" i="189"/>
  <c r="P247" i="189"/>
  <c r="O247" i="189"/>
  <c r="N247" i="189"/>
  <c r="M247" i="189"/>
  <c r="L247" i="189"/>
  <c r="K247" i="189"/>
  <c r="J247" i="189"/>
  <c r="I247" i="189"/>
  <c r="H247" i="189"/>
  <c r="G247" i="189"/>
  <c r="F247" i="189"/>
  <c r="E247" i="189"/>
  <c r="D247" i="189"/>
  <c r="U246" i="189"/>
  <c r="T246" i="189"/>
  <c r="S246" i="189"/>
  <c r="R246" i="189"/>
  <c r="Q246" i="189"/>
  <c r="P246" i="189"/>
  <c r="O246" i="189"/>
  <c r="N246" i="189"/>
  <c r="M246" i="189"/>
  <c r="L246" i="189"/>
  <c r="K246" i="189"/>
  <c r="J246" i="189"/>
  <c r="I246" i="189"/>
  <c r="H246" i="189"/>
  <c r="G246" i="189"/>
  <c r="F246" i="189"/>
  <c r="E246" i="189"/>
  <c r="D246" i="189"/>
  <c r="U245" i="189"/>
  <c r="T245" i="189"/>
  <c r="S245" i="189"/>
  <c r="R245" i="189"/>
  <c r="Q245" i="189"/>
  <c r="P245" i="189"/>
  <c r="O245" i="189"/>
  <c r="N245" i="189"/>
  <c r="M245" i="189"/>
  <c r="L245" i="189"/>
  <c r="K245" i="189"/>
  <c r="J245" i="189"/>
  <c r="I245" i="189"/>
  <c r="H245" i="189"/>
  <c r="G245" i="189"/>
  <c r="F245" i="189"/>
  <c r="E245" i="189"/>
  <c r="D245" i="189"/>
  <c r="U244" i="189"/>
  <c r="T244" i="189"/>
  <c r="S244" i="189"/>
  <c r="R244" i="189"/>
  <c r="Q244" i="189"/>
  <c r="P244" i="189"/>
  <c r="O244" i="189"/>
  <c r="N244" i="189"/>
  <c r="M244" i="189"/>
  <c r="L244" i="189"/>
  <c r="K244" i="189"/>
  <c r="J244" i="189"/>
  <c r="I244" i="189"/>
  <c r="H244" i="189"/>
  <c r="G244" i="189"/>
  <c r="F244" i="189"/>
  <c r="E244" i="189"/>
  <c r="D244" i="189"/>
  <c r="U243" i="189"/>
  <c r="T243" i="189"/>
  <c r="S243" i="189"/>
  <c r="R243" i="189"/>
  <c r="Q243" i="189"/>
  <c r="P243" i="189"/>
  <c r="O243" i="189"/>
  <c r="N243" i="189"/>
  <c r="M243" i="189"/>
  <c r="L243" i="189"/>
  <c r="K243" i="189"/>
  <c r="J243" i="189"/>
  <c r="I243" i="189"/>
  <c r="H243" i="189"/>
  <c r="G243" i="189"/>
  <c r="F243" i="189"/>
  <c r="E243" i="189"/>
  <c r="D243" i="189"/>
  <c r="U242" i="189"/>
  <c r="T242" i="189"/>
  <c r="S242" i="189"/>
  <c r="R242" i="189"/>
  <c r="Q242" i="189"/>
  <c r="P242" i="189"/>
  <c r="O242" i="189"/>
  <c r="N242" i="189"/>
  <c r="M242" i="189"/>
  <c r="L242" i="189"/>
  <c r="K242" i="189"/>
  <c r="J242" i="189"/>
  <c r="I242" i="189"/>
  <c r="H242" i="189"/>
  <c r="G242" i="189"/>
  <c r="F242" i="189"/>
  <c r="E242" i="189"/>
  <c r="D242" i="189"/>
  <c r="P241" i="189"/>
  <c r="U240" i="189"/>
  <c r="T240" i="189"/>
  <c r="S240" i="189"/>
  <c r="R240" i="189"/>
  <c r="Q240" i="189"/>
  <c r="P240" i="189"/>
  <c r="O240" i="189"/>
  <c r="N240" i="189"/>
  <c r="M240" i="189"/>
  <c r="L240" i="189"/>
  <c r="K240" i="189"/>
  <c r="J240" i="189"/>
  <c r="I240" i="189"/>
  <c r="H240" i="189"/>
  <c r="G240" i="189"/>
  <c r="F240" i="189"/>
  <c r="E240" i="189"/>
  <c r="D240" i="189"/>
  <c r="U239" i="189"/>
  <c r="T239" i="189"/>
  <c r="S239" i="189"/>
  <c r="R239" i="189"/>
  <c r="Q239" i="189"/>
  <c r="P239" i="189"/>
  <c r="O239" i="189"/>
  <c r="N239" i="189"/>
  <c r="M239" i="189"/>
  <c r="L239" i="189"/>
  <c r="K239" i="189"/>
  <c r="J239" i="189"/>
  <c r="I239" i="189"/>
  <c r="H239" i="189"/>
  <c r="G239" i="189"/>
  <c r="F239" i="189"/>
  <c r="E239" i="189"/>
  <c r="D239" i="189"/>
  <c r="U238" i="189"/>
  <c r="T238" i="189"/>
  <c r="S238" i="189"/>
  <c r="R238" i="189"/>
  <c r="Q238" i="189"/>
  <c r="P238" i="189"/>
  <c r="O238" i="189"/>
  <c r="N238" i="189"/>
  <c r="M238" i="189"/>
  <c r="L238" i="189"/>
  <c r="K238" i="189"/>
  <c r="J238" i="189"/>
  <c r="I238" i="189"/>
  <c r="H238" i="189"/>
  <c r="G238" i="189"/>
  <c r="F238" i="189"/>
  <c r="E238" i="189"/>
  <c r="D238" i="189"/>
  <c r="U237" i="189"/>
  <c r="T237" i="189"/>
  <c r="S237" i="189"/>
  <c r="R237" i="189"/>
  <c r="Q237" i="189"/>
  <c r="P237" i="189"/>
  <c r="O237" i="189"/>
  <c r="N237" i="189"/>
  <c r="M237" i="189"/>
  <c r="L237" i="189"/>
  <c r="K237" i="189"/>
  <c r="J237" i="189"/>
  <c r="I237" i="189"/>
  <c r="H237" i="189"/>
  <c r="G237" i="189"/>
  <c r="F237" i="189"/>
  <c r="E237" i="189"/>
  <c r="D237" i="189"/>
  <c r="U236" i="189"/>
  <c r="T236" i="189"/>
  <c r="S236" i="189"/>
  <c r="R236" i="189"/>
  <c r="Q236" i="189"/>
  <c r="P236" i="189"/>
  <c r="O236" i="189"/>
  <c r="N236" i="189"/>
  <c r="M236" i="189"/>
  <c r="L236" i="189"/>
  <c r="K236" i="189"/>
  <c r="J236" i="189"/>
  <c r="I236" i="189"/>
  <c r="H236" i="189"/>
  <c r="G236" i="189"/>
  <c r="F236" i="189"/>
  <c r="E236" i="189"/>
  <c r="D236" i="189"/>
  <c r="U235" i="189"/>
  <c r="T235" i="189"/>
  <c r="S235" i="189"/>
  <c r="R235" i="189"/>
  <c r="Q235" i="189"/>
  <c r="P235" i="189"/>
  <c r="O235" i="189"/>
  <c r="N235" i="189"/>
  <c r="M235" i="189"/>
  <c r="L235" i="189"/>
  <c r="K235" i="189"/>
  <c r="J235" i="189"/>
  <c r="I235" i="189"/>
  <c r="H235" i="189"/>
  <c r="G235" i="189"/>
  <c r="F235" i="189"/>
  <c r="E235" i="189"/>
  <c r="D235" i="189"/>
  <c r="U234" i="189"/>
  <c r="T234" i="189"/>
  <c r="S234" i="189"/>
  <c r="R234" i="189"/>
  <c r="Q234" i="189"/>
  <c r="P234" i="189"/>
  <c r="O234" i="189"/>
  <c r="N234" i="189"/>
  <c r="M234" i="189"/>
  <c r="L234" i="189"/>
  <c r="K234" i="189"/>
  <c r="J234" i="189"/>
  <c r="I234" i="189"/>
  <c r="H234" i="189"/>
  <c r="G234" i="189"/>
  <c r="F234" i="189"/>
  <c r="E234" i="189"/>
  <c r="D234" i="189"/>
  <c r="U228" i="189"/>
  <c r="T228" i="189"/>
  <c r="S228" i="189"/>
  <c r="R228" i="189"/>
  <c r="Q228" i="189"/>
  <c r="P228" i="189"/>
  <c r="O228" i="189"/>
  <c r="N228" i="189"/>
  <c r="M228" i="189"/>
  <c r="L228" i="189"/>
  <c r="K228" i="189"/>
  <c r="J228" i="189"/>
  <c r="I228" i="189"/>
  <c r="H228" i="189"/>
  <c r="G228" i="189"/>
  <c r="F228" i="189"/>
  <c r="E228" i="189"/>
  <c r="D228" i="189"/>
  <c r="U227" i="189"/>
  <c r="T227" i="189"/>
  <c r="S227" i="189"/>
  <c r="R227" i="189"/>
  <c r="Q227" i="189"/>
  <c r="P227" i="189"/>
  <c r="O227" i="189"/>
  <c r="N227" i="189"/>
  <c r="M227" i="189"/>
  <c r="L227" i="189"/>
  <c r="K227" i="189"/>
  <c r="J227" i="189"/>
  <c r="I227" i="189"/>
  <c r="H227" i="189"/>
  <c r="G227" i="189"/>
  <c r="F227" i="189"/>
  <c r="E227" i="189"/>
  <c r="D227" i="189"/>
  <c r="U226" i="189"/>
  <c r="T226" i="189"/>
  <c r="S226" i="189"/>
  <c r="R226" i="189"/>
  <c r="Q226" i="189"/>
  <c r="P226" i="189"/>
  <c r="O226" i="189"/>
  <c r="N226" i="189"/>
  <c r="M226" i="189"/>
  <c r="L226" i="189"/>
  <c r="K226" i="189"/>
  <c r="J226" i="189"/>
  <c r="I226" i="189"/>
  <c r="H226" i="189"/>
  <c r="G226" i="189"/>
  <c r="F226" i="189"/>
  <c r="E226" i="189"/>
  <c r="D226" i="189"/>
  <c r="U225" i="189"/>
  <c r="T225" i="189"/>
  <c r="S225" i="189"/>
  <c r="R225" i="189"/>
  <c r="Q225" i="189"/>
  <c r="P225" i="189"/>
  <c r="O225" i="189"/>
  <c r="N225" i="189"/>
  <c r="M225" i="189"/>
  <c r="L225" i="189"/>
  <c r="K225" i="189"/>
  <c r="J225" i="189"/>
  <c r="I225" i="189"/>
  <c r="H225" i="189"/>
  <c r="G225" i="189"/>
  <c r="F225" i="189"/>
  <c r="E225" i="189"/>
  <c r="D225" i="189"/>
  <c r="U224" i="189"/>
  <c r="T224" i="189"/>
  <c r="S224" i="189"/>
  <c r="R224" i="189"/>
  <c r="Q224" i="189"/>
  <c r="P224" i="189"/>
  <c r="O224" i="189"/>
  <c r="N224" i="189"/>
  <c r="M224" i="189"/>
  <c r="L224" i="189"/>
  <c r="K224" i="189"/>
  <c r="J224" i="189"/>
  <c r="I224" i="189"/>
  <c r="H224" i="189"/>
  <c r="G224" i="189"/>
  <c r="F224" i="189"/>
  <c r="E224" i="189"/>
  <c r="D224" i="189"/>
  <c r="U223" i="189"/>
  <c r="T223" i="189"/>
  <c r="S223" i="189"/>
  <c r="R223" i="189"/>
  <c r="Q223" i="189"/>
  <c r="P223" i="189"/>
  <c r="O223" i="189"/>
  <c r="N223" i="189"/>
  <c r="M223" i="189"/>
  <c r="L223" i="189"/>
  <c r="K223" i="189"/>
  <c r="J223" i="189"/>
  <c r="I223" i="189"/>
  <c r="H223" i="189"/>
  <c r="G223" i="189"/>
  <c r="F223" i="189"/>
  <c r="E223" i="189"/>
  <c r="D223" i="189"/>
  <c r="U222" i="189"/>
  <c r="T222" i="189"/>
  <c r="S222" i="189"/>
  <c r="R222" i="189"/>
  <c r="Q222" i="189"/>
  <c r="P222" i="189"/>
  <c r="O222" i="189"/>
  <c r="N222" i="189"/>
  <c r="M222" i="189"/>
  <c r="L222" i="189"/>
  <c r="K222" i="189"/>
  <c r="J222" i="189"/>
  <c r="I222" i="189"/>
  <c r="H222" i="189"/>
  <c r="G222" i="189"/>
  <c r="F222" i="189"/>
  <c r="E222" i="189"/>
  <c r="D222" i="189"/>
  <c r="U221" i="189"/>
  <c r="T221" i="189"/>
  <c r="S221" i="189"/>
  <c r="R221" i="189"/>
  <c r="Q221" i="189"/>
  <c r="P221" i="189"/>
  <c r="O221" i="189"/>
  <c r="N221" i="189"/>
  <c r="M221" i="189"/>
  <c r="L221" i="189"/>
  <c r="K221" i="189"/>
  <c r="J221" i="189"/>
  <c r="I221" i="189"/>
  <c r="H221" i="189"/>
  <c r="G221" i="189"/>
  <c r="F221" i="189"/>
  <c r="E221" i="189"/>
  <c r="D221" i="189"/>
  <c r="U220" i="189"/>
  <c r="T220" i="189"/>
  <c r="S220" i="189"/>
  <c r="R220" i="189"/>
  <c r="Q220" i="189"/>
  <c r="P220" i="189"/>
  <c r="O220" i="189"/>
  <c r="N220" i="189"/>
  <c r="M220" i="189"/>
  <c r="L220" i="189"/>
  <c r="K220" i="189"/>
  <c r="J220" i="189"/>
  <c r="I220" i="189"/>
  <c r="H220" i="189"/>
  <c r="G220" i="189"/>
  <c r="F220" i="189"/>
  <c r="E220" i="189"/>
  <c r="D220" i="189"/>
  <c r="U219" i="189"/>
  <c r="T219" i="189"/>
  <c r="S219" i="189"/>
  <c r="R219" i="189"/>
  <c r="Q219" i="189"/>
  <c r="P219" i="189"/>
  <c r="O219" i="189"/>
  <c r="N219" i="189"/>
  <c r="M219" i="189"/>
  <c r="L219" i="189"/>
  <c r="K219" i="189"/>
  <c r="J219" i="189"/>
  <c r="I219" i="189"/>
  <c r="H219" i="189"/>
  <c r="G219" i="189"/>
  <c r="F219" i="189"/>
  <c r="E219" i="189"/>
  <c r="D219" i="189"/>
  <c r="P218" i="189"/>
  <c r="U217" i="189"/>
  <c r="T217" i="189"/>
  <c r="S217" i="189"/>
  <c r="R217" i="189"/>
  <c r="Q217" i="189"/>
  <c r="P217" i="189"/>
  <c r="O217" i="189"/>
  <c r="N217" i="189"/>
  <c r="M217" i="189"/>
  <c r="L217" i="189"/>
  <c r="K217" i="189"/>
  <c r="J217" i="189"/>
  <c r="I217" i="189"/>
  <c r="H217" i="189"/>
  <c r="G217" i="189"/>
  <c r="F217" i="189"/>
  <c r="E217" i="189"/>
  <c r="D217" i="189"/>
  <c r="U216" i="189"/>
  <c r="T216" i="189"/>
  <c r="S216" i="189"/>
  <c r="R216" i="189"/>
  <c r="Q216" i="189"/>
  <c r="P216" i="189"/>
  <c r="O216" i="189"/>
  <c r="N216" i="189"/>
  <c r="M216" i="189"/>
  <c r="L216" i="189"/>
  <c r="K216" i="189"/>
  <c r="J216" i="189"/>
  <c r="I216" i="189"/>
  <c r="H216" i="189"/>
  <c r="G216" i="189"/>
  <c r="F216" i="189"/>
  <c r="E216" i="189"/>
  <c r="D216" i="189"/>
  <c r="U215" i="189"/>
  <c r="T215" i="189"/>
  <c r="S215" i="189"/>
  <c r="R215" i="189"/>
  <c r="Q215" i="189"/>
  <c r="P215" i="189"/>
  <c r="O215" i="189"/>
  <c r="N215" i="189"/>
  <c r="M215" i="189"/>
  <c r="L215" i="189"/>
  <c r="K215" i="189"/>
  <c r="J215" i="189"/>
  <c r="I215" i="189"/>
  <c r="H215" i="189"/>
  <c r="G215" i="189"/>
  <c r="F215" i="189"/>
  <c r="E215" i="189"/>
  <c r="D215" i="189"/>
  <c r="U214" i="189"/>
  <c r="T214" i="189"/>
  <c r="S214" i="189"/>
  <c r="R214" i="189"/>
  <c r="Q214" i="189"/>
  <c r="P214" i="189"/>
  <c r="O214" i="189"/>
  <c r="N214" i="189"/>
  <c r="M214" i="189"/>
  <c r="L214" i="189"/>
  <c r="K214" i="189"/>
  <c r="J214" i="189"/>
  <c r="I214" i="189"/>
  <c r="H214" i="189"/>
  <c r="G214" i="189"/>
  <c r="F214" i="189"/>
  <c r="E214" i="189"/>
  <c r="D214" i="189"/>
  <c r="U213" i="189"/>
  <c r="T213" i="189"/>
  <c r="S213" i="189"/>
  <c r="R213" i="189"/>
  <c r="Q213" i="189"/>
  <c r="P213" i="189"/>
  <c r="O213" i="189"/>
  <c r="N213" i="189"/>
  <c r="M213" i="189"/>
  <c r="L213" i="189"/>
  <c r="K213" i="189"/>
  <c r="J213" i="189"/>
  <c r="I213" i="189"/>
  <c r="H213" i="189"/>
  <c r="G213" i="189"/>
  <c r="F213" i="189"/>
  <c r="E213" i="189"/>
  <c r="D213" i="189"/>
  <c r="U212" i="189"/>
  <c r="T212" i="189"/>
  <c r="S212" i="189"/>
  <c r="R212" i="189"/>
  <c r="Q212" i="189"/>
  <c r="P212" i="189"/>
  <c r="O212" i="189"/>
  <c r="N212" i="189"/>
  <c r="M212" i="189"/>
  <c r="L212" i="189"/>
  <c r="K212" i="189"/>
  <c r="J212" i="189"/>
  <c r="I212" i="189"/>
  <c r="H212" i="189"/>
  <c r="G212" i="189"/>
  <c r="F212" i="189"/>
  <c r="E212" i="189"/>
  <c r="D212" i="189"/>
  <c r="U211" i="189"/>
  <c r="T211" i="189"/>
  <c r="S211" i="189"/>
  <c r="R211" i="189"/>
  <c r="Q211" i="189"/>
  <c r="P211" i="189"/>
  <c r="O211" i="189"/>
  <c r="N211" i="189"/>
  <c r="M211" i="189"/>
  <c r="L211" i="189"/>
  <c r="K211" i="189"/>
  <c r="J211" i="189"/>
  <c r="I211" i="189"/>
  <c r="H211" i="189"/>
  <c r="G211" i="189"/>
  <c r="F211" i="189"/>
  <c r="E211" i="189"/>
  <c r="D211" i="189"/>
  <c r="U210" i="189"/>
  <c r="T210" i="189"/>
  <c r="S210" i="189"/>
  <c r="R210" i="189"/>
  <c r="Q210" i="189"/>
  <c r="P210" i="189"/>
  <c r="O210" i="189"/>
  <c r="N210" i="189"/>
  <c r="M210" i="189"/>
  <c r="L210" i="189"/>
  <c r="K210" i="189"/>
  <c r="J210" i="189"/>
  <c r="I210" i="189"/>
  <c r="H210" i="189"/>
  <c r="G210" i="189"/>
  <c r="F210" i="189"/>
  <c r="E210" i="189"/>
  <c r="D210" i="189"/>
  <c r="U209" i="189"/>
  <c r="T209" i="189"/>
  <c r="S209" i="189"/>
  <c r="R209" i="189"/>
  <c r="Q209" i="189"/>
  <c r="P209" i="189"/>
  <c r="O209" i="189"/>
  <c r="N209" i="189"/>
  <c r="M209" i="189"/>
  <c r="L209" i="189"/>
  <c r="K209" i="189"/>
  <c r="J209" i="189"/>
  <c r="I209" i="189"/>
  <c r="H209" i="189"/>
  <c r="G209" i="189"/>
  <c r="F209" i="189"/>
  <c r="E209" i="189"/>
  <c r="D209" i="189"/>
  <c r="U208" i="189"/>
  <c r="T208" i="189"/>
  <c r="S208" i="189"/>
  <c r="R208" i="189"/>
  <c r="Q208" i="189"/>
  <c r="P208" i="189"/>
  <c r="O208" i="189"/>
  <c r="N208" i="189"/>
  <c r="M208" i="189"/>
  <c r="L208" i="189"/>
  <c r="K208" i="189"/>
  <c r="J208" i="189"/>
  <c r="I208" i="189"/>
  <c r="H208" i="189"/>
  <c r="G208" i="189"/>
  <c r="F208" i="189"/>
  <c r="E208" i="189"/>
  <c r="D208" i="189"/>
  <c r="U207" i="189"/>
  <c r="T207" i="189"/>
  <c r="S207" i="189"/>
  <c r="R207" i="189"/>
  <c r="Q207" i="189"/>
  <c r="P207" i="189"/>
  <c r="O207" i="189"/>
  <c r="N207" i="189"/>
  <c r="M207" i="189"/>
  <c r="L207" i="189"/>
  <c r="K207" i="189"/>
  <c r="J207" i="189"/>
  <c r="I207" i="189"/>
  <c r="H207" i="189"/>
  <c r="G207" i="189"/>
  <c r="F207" i="189"/>
  <c r="E207" i="189"/>
  <c r="D207" i="189"/>
  <c r="U206" i="189"/>
  <c r="T206" i="189"/>
  <c r="S206" i="189"/>
  <c r="R206" i="189"/>
  <c r="Q206" i="189"/>
  <c r="P206" i="189"/>
  <c r="O206" i="189"/>
  <c r="N206" i="189"/>
  <c r="M206" i="189"/>
  <c r="L206" i="189"/>
  <c r="K206" i="189"/>
  <c r="J206" i="189"/>
  <c r="I206" i="189"/>
  <c r="H206" i="189"/>
  <c r="G206" i="189"/>
  <c r="F206" i="189"/>
  <c r="E206" i="189"/>
  <c r="D206" i="189"/>
  <c r="U205" i="189"/>
  <c r="T205" i="189"/>
  <c r="S205" i="189"/>
  <c r="R205" i="189"/>
  <c r="Q205" i="189"/>
  <c r="P205" i="189"/>
  <c r="O205" i="189"/>
  <c r="N205" i="189"/>
  <c r="M205" i="189"/>
  <c r="L205" i="189"/>
  <c r="K205" i="189"/>
  <c r="J205" i="189"/>
  <c r="I205" i="189"/>
  <c r="H205" i="189"/>
  <c r="G205" i="189"/>
  <c r="F205" i="189"/>
  <c r="E205" i="189"/>
  <c r="D205" i="189"/>
  <c r="P204" i="189"/>
  <c r="U203" i="189"/>
  <c r="T203" i="189"/>
  <c r="S203" i="189"/>
  <c r="R203" i="189"/>
  <c r="Q203" i="189"/>
  <c r="P203" i="189"/>
  <c r="O203" i="189"/>
  <c r="N203" i="189"/>
  <c r="M203" i="189"/>
  <c r="L203" i="189"/>
  <c r="K203" i="189"/>
  <c r="J203" i="189"/>
  <c r="I203" i="189"/>
  <c r="H203" i="189"/>
  <c r="G203" i="189"/>
  <c r="F203" i="189"/>
  <c r="E203" i="189"/>
  <c r="D203" i="189"/>
  <c r="U202" i="189"/>
  <c r="T202" i="189"/>
  <c r="S202" i="189"/>
  <c r="R202" i="189"/>
  <c r="Q202" i="189"/>
  <c r="P202" i="189"/>
  <c r="O202" i="189"/>
  <c r="N202" i="189"/>
  <c r="M202" i="189"/>
  <c r="L202" i="189"/>
  <c r="K202" i="189"/>
  <c r="J202" i="189"/>
  <c r="I202" i="189"/>
  <c r="H202" i="189"/>
  <c r="G202" i="189"/>
  <c r="F202" i="189"/>
  <c r="E202" i="189"/>
  <c r="D202" i="189"/>
  <c r="U201" i="189"/>
  <c r="T201" i="189"/>
  <c r="S201" i="189"/>
  <c r="R201" i="189"/>
  <c r="Q201" i="189"/>
  <c r="P201" i="189"/>
  <c r="O201" i="189"/>
  <c r="N201" i="189"/>
  <c r="M201" i="189"/>
  <c r="L201" i="189"/>
  <c r="K201" i="189"/>
  <c r="J201" i="189"/>
  <c r="I201" i="189"/>
  <c r="H201" i="189"/>
  <c r="G201" i="189"/>
  <c r="F201" i="189"/>
  <c r="E201" i="189"/>
  <c r="D201" i="189"/>
  <c r="U200" i="189"/>
  <c r="T200" i="189"/>
  <c r="S200" i="189"/>
  <c r="R200" i="189"/>
  <c r="Q200" i="189"/>
  <c r="P200" i="189"/>
  <c r="O200" i="189"/>
  <c r="N200" i="189"/>
  <c r="M200" i="189"/>
  <c r="L200" i="189"/>
  <c r="K200" i="189"/>
  <c r="J200" i="189"/>
  <c r="I200" i="189"/>
  <c r="H200" i="189"/>
  <c r="G200" i="189"/>
  <c r="F200" i="189"/>
  <c r="E200" i="189"/>
  <c r="D200" i="189"/>
  <c r="U199" i="189"/>
  <c r="T199" i="189"/>
  <c r="S199" i="189"/>
  <c r="R199" i="189"/>
  <c r="Q199" i="189"/>
  <c r="P199" i="189"/>
  <c r="O199" i="189"/>
  <c r="N199" i="189"/>
  <c r="M199" i="189"/>
  <c r="L199" i="189"/>
  <c r="K199" i="189"/>
  <c r="J199" i="189"/>
  <c r="I199" i="189"/>
  <c r="H199" i="189"/>
  <c r="G199" i="189"/>
  <c r="F199" i="189"/>
  <c r="E199" i="189"/>
  <c r="D199" i="189"/>
  <c r="U198" i="189"/>
  <c r="T198" i="189"/>
  <c r="S198" i="189"/>
  <c r="R198" i="189"/>
  <c r="Q198" i="189"/>
  <c r="P198" i="189"/>
  <c r="O198" i="189"/>
  <c r="N198" i="189"/>
  <c r="M198" i="189"/>
  <c r="L198" i="189"/>
  <c r="K198" i="189"/>
  <c r="J198" i="189"/>
  <c r="I198" i="189"/>
  <c r="H198" i="189"/>
  <c r="G198" i="189"/>
  <c r="F198" i="189"/>
  <c r="E198" i="189"/>
  <c r="D198" i="189"/>
  <c r="U197" i="189"/>
  <c r="T197" i="189"/>
  <c r="S197" i="189"/>
  <c r="R197" i="189"/>
  <c r="Q197" i="189"/>
  <c r="P197" i="189"/>
  <c r="O197" i="189"/>
  <c r="N197" i="189"/>
  <c r="M197" i="189"/>
  <c r="L197" i="189"/>
  <c r="K197" i="189"/>
  <c r="J197" i="189"/>
  <c r="I197" i="189"/>
  <c r="H197" i="189"/>
  <c r="G197" i="189"/>
  <c r="F197" i="189"/>
  <c r="E197" i="189"/>
  <c r="D197" i="189"/>
  <c r="U191" i="189"/>
  <c r="T191" i="189"/>
  <c r="S191" i="189"/>
  <c r="R191" i="189"/>
  <c r="Q191" i="189"/>
  <c r="P191" i="189"/>
  <c r="O191" i="189"/>
  <c r="N191" i="189"/>
  <c r="M191" i="189"/>
  <c r="L191" i="189"/>
  <c r="K191" i="189"/>
  <c r="J191" i="189"/>
  <c r="I191" i="189"/>
  <c r="H191" i="189"/>
  <c r="G191" i="189"/>
  <c r="F191" i="189"/>
  <c r="E191" i="189"/>
  <c r="D191" i="189"/>
  <c r="U190" i="189"/>
  <c r="T190" i="189"/>
  <c r="S190" i="189"/>
  <c r="R190" i="189"/>
  <c r="Q190" i="189"/>
  <c r="P190" i="189"/>
  <c r="O190" i="189"/>
  <c r="N190" i="189"/>
  <c r="M190" i="189"/>
  <c r="L190" i="189"/>
  <c r="K190" i="189"/>
  <c r="J190" i="189"/>
  <c r="I190" i="189"/>
  <c r="H190" i="189"/>
  <c r="G190" i="189"/>
  <c r="F190" i="189"/>
  <c r="E190" i="189"/>
  <c r="D190" i="189"/>
  <c r="U189" i="189"/>
  <c r="T189" i="189"/>
  <c r="S189" i="189"/>
  <c r="R189" i="189"/>
  <c r="Q189" i="189"/>
  <c r="P189" i="189"/>
  <c r="O189" i="189"/>
  <c r="N189" i="189"/>
  <c r="M189" i="189"/>
  <c r="L189" i="189"/>
  <c r="K189" i="189"/>
  <c r="J189" i="189"/>
  <c r="I189" i="189"/>
  <c r="H189" i="189"/>
  <c r="G189" i="189"/>
  <c r="F189" i="189"/>
  <c r="E189" i="189"/>
  <c r="D189" i="189"/>
  <c r="U188" i="189"/>
  <c r="T188" i="189"/>
  <c r="S188" i="189"/>
  <c r="R188" i="189"/>
  <c r="Q188" i="189"/>
  <c r="P188" i="189"/>
  <c r="O188" i="189"/>
  <c r="N188" i="189"/>
  <c r="M188" i="189"/>
  <c r="L188" i="189"/>
  <c r="K188" i="189"/>
  <c r="J188" i="189"/>
  <c r="I188" i="189"/>
  <c r="H188" i="189"/>
  <c r="G188" i="189"/>
  <c r="F188" i="189"/>
  <c r="E188" i="189"/>
  <c r="D188" i="189"/>
  <c r="U187" i="189"/>
  <c r="T187" i="189"/>
  <c r="S187" i="189"/>
  <c r="R187" i="189"/>
  <c r="Q187" i="189"/>
  <c r="P187" i="189"/>
  <c r="O187" i="189"/>
  <c r="N187" i="189"/>
  <c r="M187" i="189"/>
  <c r="L187" i="189"/>
  <c r="K187" i="189"/>
  <c r="J187" i="189"/>
  <c r="I187" i="189"/>
  <c r="H187" i="189"/>
  <c r="G187" i="189"/>
  <c r="F187" i="189"/>
  <c r="E187" i="189"/>
  <c r="D187" i="189"/>
  <c r="U186" i="189"/>
  <c r="T186" i="189"/>
  <c r="S186" i="189"/>
  <c r="R186" i="189"/>
  <c r="Q186" i="189"/>
  <c r="P186" i="189"/>
  <c r="O186" i="189"/>
  <c r="N186" i="189"/>
  <c r="M186" i="189"/>
  <c r="L186" i="189"/>
  <c r="K186" i="189"/>
  <c r="J186" i="189"/>
  <c r="I186" i="189"/>
  <c r="H186" i="189"/>
  <c r="G186" i="189"/>
  <c r="F186" i="189"/>
  <c r="E186" i="189"/>
  <c r="D186" i="189"/>
  <c r="U185" i="189"/>
  <c r="T185" i="189"/>
  <c r="S185" i="189"/>
  <c r="R185" i="189"/>
  <c r="Q185" i="189"/>
  <c r="P185" i="189"/>
  <c r="O185" i="189"/>
  <c r="N185" i="189"/>
  <c r="M185" i="189"/>
  <c r="L185" i="189"/>
  <c r="K185" i="189"/>
  <c r="J185" i="189"/>
  <c r="I185" i="189"/>
  <c r="H185" i="189"/>
  <c r="G185" i="189"/>
  <c r="F185" i="189"/>
  <c r="E185" i="189"/>
  <c r="D185" i="189"/>
  <c r="U184" i="189"/>
  <c r="T184" i="189"/>
  <c r="S184" i="189"/>
  <c r="R184" i="189"/>
  <c r="Q184" i="189"/>
  <c r="P184" i="189"/>
  <c r="O184" i="189"/>
  <c r="N184" i="189"/>
  <c r="M184" i="189"/>
  <c r="L184" i="189"/>
  <c r="K184" i="189"/>
  <c r="J184" i="189"/>
  <c r="I184" i="189"/>
  <c r="H184" i="189"/>
  <c r="G184" i="189"/>
  <c r="F184" i="189"/>
  <c r="E184" i="189"/>
  <c r="D184" i="189"/>
  <c r="U183" i="189"/>
  <c r="T183" i="189"/>
  <c r="S183" i="189"/>
  <c r="R183" i="189"/>
  <c r="Q183" i="189"/>
  <c r="P183" i="189"/>
  <c r="O183" i="189"/>
  <c r="N183" i="189"/>
  <c r="M183" i="189"/>
  <c r="L183" i="189"/>
  <c r="K183" i="189"/>
  <c r="J183" i="189"/>
  <c r="I183" i="189"/>
  <c r="H183" i="189"/>
  <c r="G183" i="189"/>
  <c r="F183" i="189"/>
  <c r="E183" i="189"/>
  <c r="D183" i="189"/>
  <c r="U182" i="189"/>
  <c r="T182" i="189"/>
  <c r="S182" i="189"/>
  <c r="R182" i="189"/>
  <c r="Q182" i="189"/>
  <c r="P182" i="189"/>
  <c r="O182" i="189"/>
  <c r="N182" i="189"/>
  <c r="M182" i="189"/>
  <c r="L182" i="189"/>
  <c r="K182" i="189"/>
  <c r="J182" i="189"/>
  <c r="I182" i="189"/>
  <c r="H182" i="189"/>
  <c r="G182" i="189"/>
  <c r="F182" i="189"/>
  <c r="E182" i="189"/>
  <c r="D182" i="189"/>
  <c r="P181" i="189"/>
  <c r="U180" i="189"/>
  <c r="T180" i="189"/>
  <c r="S180" i="189"/>
  <c r="R180" i="189"/>
  <c r="Q180" i="189"/>
  <c r="P180" i="189"/>
  <c r="O180" i="189"/>
  <c r="N180" i="189"/>
  <c r="M180" i="189"/>
  <c r="L180" i="189"/>
  <c r="K180" i="189"/>
  <c r="J180" i="189"/>
  <c r="I180" i="189"/>
  <c r="H180" i="189"/>
  <c r="G180" i="189"/>
  <c r="F180" i="189"/>
  <c r="E180" i="189"/>
  <c r="D180" i="189"/>
  <c r="U179" i="189"/>
  <c r="T179" i="189"/>
  <c r="S179" i="189"/>
  <c r="R179" i="189"/>
  <c r="Q179" i="189"/>
  <c r="P179" i="189"/>
  <c r="O179" i="189"/>
  <c r="N179" i="189"/>
  <c r="M179" i="189"/>
  <c r="L179" i="189"/>
  <c r="K179" i="189"/>
  <c r="J179" i="189"/>
  <c r="I179" i="189"/>
  <c r="H179" i="189"/>
  <c r="G179" i="189"/>
  <c r="F179" i="189"/>
  <c r="E179" i="189"/>
  <c r="D179" i="189"/>
  <c r="U178" i="189"/>
  <c r="T178" i="189"/>
  <c r="S178" i="189"/>
  <c r="R178" i="189"/>
  <c r="Q178" i="189"/>
  <c r="P178" i="189"/>
  <c r="O178" i="189"/>
  <c r="N178" i="189"/>
  <c r="M178" i="189"/>
  <c r="L178" i="189"/>
  <c r="K178" i="189"/>
  <c r="J178" i="189"/>
  <c r="I178" i="189"/>
  <c r="H178" i="189"/>
  <c r="G178" i="189"/>
  <c r="F178" i="189"/>
  <c r="E178" i="189"/>
  <c r="D178" i="189"/>
  <c r="U177" i="189"/>
  <c r="T177" i="189"/>
  <c r="S177" i="189"/>
  <c r="R177" i="189"/>
  <c r="Q177" i="189"/>
  <c r="P177" i="189"/>
  <c r="O177" i="189"/>
  <c r="N177" i="189"/>
  <c r="M177" i="189"/>
  <c r="L177" i="189"/>
  <c r="K177" i="189"/>
  <c r="J177" i="189"/>
  <c r="I177" i="189"/>
  <c r="H177" i="189"/>
  <c r="G177" i="189"/>
  <c r="F177" i="189"/>
  <c r="E177" i="189"/>
  <c r="D177" i="189"/>
  <c r="U176" i="189"/>
  <c r="T176" i="189"/>
  <c r="S176" i="189"/>
  <c r="R176" i="189"/>
  <c r="Q176" i="189"/>
  <c r="P176" i="189"/>
  <c r="O176" i="189"/>
  <c r="N176" i="189"/>
  <c r="M176" i="189"/>
  <c r="L176" i="189"/>
  <c r="K176" i="189"/>
  <c r="J176" i="189"/>
  <c r="I176" i="189"/>
  <c r="H176" i="189"/>
  <c r="G176" i="189"/>
  <c r="F176" i="189"/>
  <c r="E176" i="189"/>
  <c r="D176" i="189"/>
  <c r="U175" i="189"/>
  <c r="T175" i="189"/>
  <c r="S175" i="189"/>
  <c r="R175" i="189"/>
  <c r="Q175" i="189"/>
  <c r="P175" i="189"/>
  <c r="O175" i="189"/>
  <c r="N175" i="189"/>
  <c r="M175" i="189"/>
  <c r="L175" i="189"/>
  <c r="K175" i="189"/>
  <c r="J175" i="189"/>
  <c r="I175" i="189"/>
  <c r="H175" i="189"/>
  <c r="G175" i="189"/>
  <c r="F175" i="189"/>
  <c r="E175" i="189"/>
  <c r="D175" i="189"/>
  <c r="U174" i="189"/>
  <c r="T174" i="189"/>
  <c r="S174" i="189"/>
  <c r="R174" i="189"/>
  <c r="Q174" i="189"/>
  <c r="P174" i="189"/>
  <c r="O174" i="189"/>
  <c r="N174" i="189"/>
  <c r="M174" i="189"/>
  <c r="L174" i="189"/>
  <c r="K174" i="189"/>
  <c r="J174" i="189"/>
  <c r="I174" i="189"/>
  <c r="H174" i="189"/>
  <c r="G174" i="189"/>
  <c r="F174" i="189"/>
  <c r="E174" i="189"/>
  <c r="D174" i="189"/>
  <c r="U173" i="189"/>
  <c r="T173" i="189"/>
  <c r="S173" i="189"/>
  <c r="R173" i="189"/>
  <c r="Q173" i="189"/>
  <c r="P173" i="189"/>
  <c r="O173" i="189"/>
  <c r="N173" i="189"/>
  <c r="M173" i="189"/>
  <c r="L173" i="189"/>
  <c r="K173" i="189"/>
  <c r="J173" i="189"/>
  <c r="I173" i="189"/>
  <c r="H173" i="189"/>
  <c r="G173" i="189"/>
  <c r="F173" i="189"/>
  <c r="E173" i="189"/>
  <c r="D173" i="189"/>
  <c r="U172" i="189"/>
  <c r="T172" i="189"/>
  <c r="S172" i="189"/>
  <c r="R172" i="189"/>
  <c r="Q172" i="189"/>
  <c r="P172" i="189"/>
  <c r="O172" i="189"/>
  <c r="N172" i="189"/>
  <c r="M172" i="189"/>
  <c r="L172" i="189"/>
  <c r="K172" i="189"/>
  <c r="J172" i="189"/>
  <c r="I172" i="189"/>
  <c r="H172" i="189"/>
  <c r="G172" i="189"/>
  <c r="F172" i="189"/>
  <c r="E172" i="189"/>
  <c r="D172" i="189"/>
  <c r="U171" i="189"/>
  <c r="T171" i="189"/>
  <c r="S171" i="189"/>
  <c r="R171" i="189"/>
  <c r="Q171" i="189"/>
  <c r="P171" i="189"/>
  <c r="O171" i="189"/>
  <c r="N171" i="189"/>
  <c r="M171" i="189"/>
  <c r="L171" i="189"/>
  <c r="K171" i="189"/>
  <c r="J171" i="189"/>
  <c r="I171" i="189"/>
  <c r="H171" i="189"/>
  <c r="G171" i="189"/>
  <c r="F171" i="189"/>
  <c r="E171" i="189"/>
  <c r="D171" i="189"/>
  <c r="U170" i="189"/>
  <c r="T170" i="189"/>
  <c r="S170" i="189"/>
  <c r="R170" i="189"/>
  <c r="Q170" i="189"/>
  <c r="P170" i="189"/>
  <c r="O170" i="189"/>
  <c r="N170" i="189"/>
  <c r="M170" i="189"/>
  <c r="L170" i="189"/>
  <c r="K170" i="189"/>
  <c r="J170" i="189"/>
  <c r="I170" i="189"/>
  <c r="H170" i="189"/>
  <c r="G170" i="189"/>
  <c r="F170" i="189"/>
  <c r="E170" i="189"/>
  <c r="D170" i="189"/>
  <c r="U169" i="189"/>
  <c r="T169" i="189"/>
  <c r="S169" i="189"/>
  <c r="R169" i="189"/>
  <c r="Q169" i="189"/>
  <c r="P169" i="189"/>
  <c r="O169" i="189"/>
  <c r="N169" i="189"/>
  <c r="M169" i="189"/>
  <c r="L169" i="189"/>
  <c r="K169" i="189"/>
  <c r="J169" i="189"/>
  <c r="I169" i="189"/>
  <c r="H169" i="189"/>
  <c r="G169" i="189"/>
  <c r="F169" i="189"/>
  <c r="E169" i="189"/>
  <c r="D169" i="189"/>
  <c r="U168" i="189"/>
  <c r="T168" i="189"/>
  <c r="S168" i="189"/>
  <c r="R168" i="189"/>
  <c r="Q168" i="189"/>
  <c r="P168" i="189"/>
  <c r="O168" i="189"/>
  <c r="N168" i="189"/>
  <c r="M168" i="189"/>
  <c r="L168" i="189"/>
  <c r="K168" i="189"/>
  <c r="J168" i="189"/>
  <c r="I168" i="189"/>
  <c r="H168" i="189"/>
  <c r="G168" i="189"/>
  <c r="F168" i="189"/>
  <c r="E168" i="189"/>
  <c r="D168" i="189"/>
  <c r="P167" i="189"/>
  <c r="U166" i="189"/>
  <c r="T166" i="189"/>
  <c r="S166" i="189"/>
  <c r="R166" i="189"/>
  <c r="Q166" i="189"/>
  <c r="P166" i="189"/>
  <c r="O166" i="189"/>
  <c r="N166" i="189"/>
  <c r="M166" i="189"/>
  <c r="L166" i="189"/>
  <c r="K166" i="189"/>
  <c r="J166" i="189"/>
  <c r="I166" i="189"/>
  <c r="H166" i="189"/>
  <c r="G166" i="189"/>
  <c r="F166" i="189"/>
  <c r="E166" i="189"/>
  <c r="D166" i="189"/>
  <c r="U165" i="189"/>
  <c r="T165" i="189"/>
  <c r="S165" i="189"/>
  <c r="R165" i="189"/>
  <c r="Q165" i="189"/>
  <c r="P165" i="189"/>
  <c r="O165" i="189"/>
  <c r="N165" i="189"/>
  <c r="M165" i="189"/>
  <c r="L165" i="189"/>
  <c r="K165" i="189"/>
  <c r="J165" i="189"/>
  <c r="I165" i="189"/>
  <c r="H165" i="189"/>
  <c r="G165" i="189"/>
  <c r="F165" i="189"/>
  <c r="E165" i="189"/>
  <c r="D165" i="189"/>
  <c r="U164" i="189"/>
  <c r="T164" i="189"/>
  <c r="S164" i="189"/>
  <c r="R164" i="189"/>
  <c r="Q164" i="189"/>
  <c r="P164" i="189"/>
  <c r="O164" i="189"/>
  <c r="N164" i="189"/>
  <c r="M164" i="189"/>
  <c r="L164" i="189"/>
  <c r="K164" i="189"/>
  <c r="J164" i="189"/>
  <c r="I164" i="189"/>
  <c r="H164" i="189"/>
  <c r="G164" i="189"/>
  <c r="F164" i="189"/>
  <c r="E164" i="189"/>
  <c r="D164" i="189"/>
  <c r="U163" i="189"/>
  <c r="T163" i="189"/>
  <c r="S163" i="189"/>
  <c r="R163" i="189"/>
  <c r="Q163" i="189"/>
  <c r="P163" i="189"/>
  <c r="O163" i="189"/>
  <c r="N163" i="189"/>
  <c r="M163" i="189"/>
  <c r="L163" i="189"/>
  <c r="K163" i="189"/>
  <c r="J163" i="189"/>
  <c r="I163" i="189"/>
  <c r="H163" i="189"/>
  <c r="G163" i="189"/>
  <c r="F163" i="189"/>
  <c r="E163" i="189"/>
  <c r="D163" i="189"/>
  <c r="U162" i="189"/>
  <c r="T162" i="189"/>
  <c r="S162" i="189"/>
  <c r="R162" i="189"/>
  <c r="Q162" i="189"/>
  <c r="P162" i="189"/>
  <c r="O162" i="189"/>
  <c r="N162" i="189"/>
  <c r="M162" i="189"/>
  <c r="L162" i="189"/>
  <c r="K162" i="189"/>
  <c r="J162" i="189"/>
  <c r="I162" i="189"/>
  <c r="H162" i="189"/>
  <c r="G162" i="189"/>
  <c r="F162" i="189"/>
  <c r="E162" i="189"/>
  <c r="D162" i="189"/>
  <c r="U161" i="189"/>
  <c r="T161" i="189"/>
  <c r="S161" i="189"/>
  <c r="R161" i="189"/>
  <c r="Q161" i="189"/>
  <c r="P161" i="189"/>
  <c r="O161" i="189"/>
  <c r="N161" i="189"/>
  <c r="M161" i="189"/>
  <c r="L161" i="189"/>
  <c r="K161" i="189"/>
  <c r="J161" i="189"/>
  <c r="I161" i="189"/>
  <c r="H161" i="189"/>
  <c r="G161" i="189"/>
  <c r="F161" i="189"/>
  <c r="E161" i="189"/>
  <c r="D161" i="189"/>
  <c r="U160" i="189"/>
  <c r="T160" i="189"/>
  <c r="S160" i="189"/>
  <c r="R160" i="189"/>
  <c r="Q160" i="189"/>
  <c r="P160" i="189"/>
  <c r="O160" i="189"/>
  <c r="N160" i="189"/>
  <c r="M160" i="189"/>
  <c r="L160" i="189"/>
  <c r="K160" i="189"/>
  <c r="J160" i="189"/>
  <c r="I160" i="189"/>
  <c r="H160" i="189"/>
  <c r="G160" i="189"/>
  <c r="F160" i="189"/>
  <c r="E160" i="189"/>
  <c r="D160" i="189"/>
  <c r="U154" i="189"/>
  <c r="T154" i="189"/>
  <c r="S154" i="189"/>
  <c r="R154" i="189"/>
  <c r="Q154" i="189"/>
  <c r="P154" i="189"/>
  <c r="O154" i="189"/>
  <c r="N154" i="189"/>
  <c r="M154" i="189"/>
  <c r="L154" i="189"/>
  <c r="K154" i="189"/>
  <c r="J154" i="189"/>
  <c r="I154" i="189"/>
  <c r="H154" i="189"/>
  <c r="G154" i="189"/>
  <c r="F154" i="189"/>
  <c r="E154" i="189"/>
  <c r="D154" i="189"/>
  <c r="U153" i="189"/>
  <c r="T153" i="189"/>
  <c r="S153" i="189"/>
  <c r="R153" i="189"/>
  <c r="Q153" i="189"/>
  <c r="P153" i="189"/>
  <c r="O153" i="189"/>
  <c r="N153" i="189"/>
  <c r="M153" i="189"/>
  <c r="L153" i="189"/>
  <c r="K153" i="189"/>
  <c r="J153" i="189"/>
  <c r="I153" i="189"/>
  <c r="H153" i="189"/>
  <c r="G153" i="189"/>
  <c r="F153" i="189"/>
  <c r="E153" i="189"/>
  <c r="D153" i="189"/>
  <c r="U152" i="189"/>
  <c r="T152" i="189"/>
  <c r="S152" i="189"/>
  <c r="R152" i="189"/>
  <c r="Q152" i="189"/>
  <c r="P152" i="189"/>
  <c r="O152" i="189"/>
  <c r="N152" i="189"/>
  <c r="M152" i="189"/>
  <c r="L152" i="189"/>
  <c r="K152" i="189"/>
  <c r="J152" i="189"/>
  <c r="I152" i="189"/>
  <c r="H152" i="189"/>
  <c r="G152" i="189"/>
  <c r="F152" i="189"/>
  <c r="E152" i="189"/>
  <c r="D152" i="189"/>
  <c r="U151" i="189"/>
  <c r="T151" i="189"/>
  <c r="S151" i="189"/>
  <c r="R151" i="189"/>
  <c r="Q151" i="189"/>
  <c r="P151" i="189"/>
  <c r="O151" i="189"/>
  <c r="N151" i="189"/>
  <c r="M151" i="189"/>
  <c r="L151" i="189"/>
  <c r="K151" i="189"/>
  <c r="J151" i="189"/>
  <c r="I151" i="189"/>
  <c r="H151" i="189"/>
  <c r="G151" i="189"/>
  <c r="F151" i="189"/>
  <c r="E151" i="189"/>
  <c r="D151" i="189"/>
  <c r="U150" i="189"/>
  <c r="T150" i="189"/>
  <c r="S150" i="189"/>
  <c r="R150" i="189"/>
  <c r="Q150" i="189"/>
  <c r="P150" i="189"/>
  <c r="O150" i="189"/>
  <c r="N150" i="189"/>
  <c r="M150" i="189"/>
  <c r="L150" i="189"/>
  <c r="K150" i="189"/>
  <c r="J150" i="189"/>
  <c r="I150" i="189"/>
  <c r="H150" i="189"/>
  <c r="G150" i="189"/>
  <c r="F150" i="189"/>
  <c r="E150" i="189"/>
  <c r="D150" i="189"/>
  <c r="U149" i="189"/>
  <c r="T149" i="189"/>
  <c r="S149" i="189"/>
  <c r="R149" i="189"/>
  <c r="Q149" i="189"/>
  <c r="P149" i="189"/>
  <c r="O149" i="189"/>
  <c r="N149" i="189"/>
  <c r="M149" i="189"/>
  <c r="L149" i="189"/>
  <c r="K149" i="189"/>
  <c r="J149" i="189"/>
  <c r="I149" i="189"/>
  <c r="H149" i="189"/>
  <c r="G149" i="189"/>
  <c r="F149" i="189"/>
  <c r="E149" i="189"/>
  <c r="D149" i="189"/>
  <c r="U148" i="189"/>
  <c r="T148" i="189"/>
  <c r="S148" i="189"/>
  <c r="R148" i="189"/>
  <c r="Q148" i="189"/>
  <c r="P148" i="189"/>
  <c r="O148" i="189"/>
  <c r="N148" i="189"/>
  <c r="M148" i="189"/>
  <c r="L148" i="189"/>
  <c r="K148" i="189"/>
  <c r="J148" i="189"/>
  <c r="I148" i="189"/>
  <c r="H148" i="189"/>
  <c r="G148" i="189"/>
  <c r="F148" i="189"/>
  <c r="E148" i="189"/>
  <c r="D148" i="189"/>
  <c r="U147" i="189"/>
  <c r="T147" i="189"/>
  <c r="S147" i="189"/>
  <c r="R147" i="189"/>
  <c r="Q147" i="189"/>
  <c r="P147" i="189"/>
  <c r="O147" i="189"/>
  <c r="N147" i="189"/>
  <c r="M147" i="189"/>
  <c r="L147" i="189"/>
  <c r="K147" i="189"/>
  <c r="J147" i="189"/>
  <c r="I147" i="189"/>
  <c r="H147" i="189"/>
  <c r="G147" i="189"/>
  <c r="F147" i="189"/>
  <c r="E147" i="189"/>
  <c r="D147" i="189"/>
  <c r="U146" i="189"/>
  <c r="T146" i="189"/>
  <c r="S146" i="189"/>
  <c r="R146" i="189"/>
  <c r="Q146" i="189"/>
  <c r="P146" i="189"/>
  <c r="O146" i="189"/>
  <c r="N146" i="189"/>
  <c r="M146" i="189"/>
  <c r="L146" i="189"/>
  <c r="K146" i="189"/>
  <c r="J146" i="189"/>
  <c r="I146" i="189"/>
  <c r="H146" i="189"/>
  <c r="G146" i="189"/>
  <c r="F146" i="189"/>
  <c r="E146" i="189"/>
  <c r="D146" i="189"/>
  <c r="U145" i="189"/>
  <c r="T145" i="189"/>
  <c r="S145" i="189"/>
  <c r="R145" i="189"/>
  <c r="Q145" i="189"/>
  <c r="P145" i="189"/>
  <c r="O145" i="189"/>
  <c r="N145" i="189"/>
  <c r="M145" i="189"/>
  <c r="L145" i="189"/>
  <c r="K145" i="189"/>
  <c r="J145" i="189"/>
  <c r="I145" i="189"/>
  <c r="H145" i="189"/>
  <c r="G145" i="189"/>
  <c r="F145" i="189"/>
  <c r="E145" i="189"/>
  <c r="D145" i="189"/>
  <c r="P144" i="189"/>
  <c r="U143" i="189"/>
  <c r="T143" i="189"/>
  <c r="S143" i="189"/>
  <c r="R143" i="189"/>
  <c r="Q143" i="189"/>
  <c r="P143" i="189"/>
  <c r="O143" i="189"/>
  <c r="N143" i="189"/>
  <c r="M143" i="189"/>
  <c r="L143" i="189"/>
  <c r="K143" i="189"/>
  <c r="J143" i="189"/>
  <c r="I143" i="189"/>
  <c r="H143" i="189"/>
  <c r="G143" i="189"/>
  <c r="F143" i="189"/>
  <c r="E143" i="189"/>
  <c r="D143" i="189"/>
  <c r="U142" i="189"/>
  <c r="T142" i="189"/>
  <c r="S142" i="189"/>
  <c r="R142" i="189"/>
  <c r="Q142" i="189"/>
  <c r="P142" i="189"/>
  <c r="O142" i="189"/>
  <c r="N142" i="189"/>
  <c r="M142" i="189"/>
  <c r="L142" i="189"/>
  <c r="K142" i="189"/>
  <c r="J142" i="189"/>
  <c r="I142" i="189"/>
  <c r="H142" i="189"/>
  <c r="G142" i="189"/>
  <c r="F142" i="189"/>
  <c r="E142" i="189"/>
  <c r="D142" i="189"/>
  <c r="U141" i="189"/>
  <c r="T141" i="189"/>
  <c r="S141" i="189"/>
  <c r="R141" i="189"/>
  <c r="Q141" i="189"/>
  <c r="P141" i="189"/>
  <c r="O141" i="189"/>
  <c r="N141" i="189"/>
  <c r="M141" i="189"/>
  <c r="L141" i="189"/>
  <c r="K141" i="189"/>
  <c r="J141" i="189"/>
  <c r="I141" i="189"/>
  <c r="H141" i="189"/>
  <c r="G141" i="189"/>
  <c r="F141" i="189"/>
  <c r="E141" i="189"/>
  <c r="D141" i="189"/>
  <c r="U140" i="189"/>
  <c r="T140" i="189"/>
  <c r="S140" i="189"/>
  <c r="R140" i="189"/>
  <c r="Q140" i="189"/>
  <c r="P140" i="189"/>
  <c r="O140" i="189"/>
  <c r="N140" i="189"/>
  <c r="M140" i="189"/>
  <c r="L140" i="189"/>
  <c r="K140" i="189"/>
  <c r="J140" i="189"/>
  <c r="I140" i="189"/>
  <c r="H140" i="189"/>
  <c r="G140" i="189"/>
  <c r="F140" i="189"/>
  <c r="E140" i="189"/>
  <c r="D140" i="189"/>
  <c r="U139" i="189"/>
  <c r="T139" i="189"/>
  <c r="S139" i="189"/>
  <c r="R139" i="189"/>
  <c r="Q139" i="189"/>
  <c r="P139" i="189"/>
  <c r="O139" i="189"/>
  <c r="N139" i="189"/>
  <c r="M139" i="189"/>
  <c r="L139" i="189"/>
  <c r="K139" i="189"/>
  <c r="J139" i="189"/>
  <c r="I139" i="189"/>
  <c r="H139" i="189"/>
  <c r="G139" i="189"/>
  <c r="F139" i="189"/>
  <c r="E139" i="189"/>
  <c r="D139" i="189"/>
  <c r="U138" i="189"/>
  <c r="T138" i="189"/>
  <c r="S138" i="189"/>
  <c r="R138" i="189"/>
  <c r="Q138" i="189"/>
  <c r="P138" i="189"/>
  <c r="O138" i="189"/>
  <c r="N138" i="189"/>
  <c r="M138" i="189"/>
  <c r="L138" i="189"/>
  <c r="K138" i="189"/>
  <c r="J138" i="189"/>
  <c r="I138" i="189"/>
  <c r="H138" i="189"/>
  <c r="G138" i="189"/>
  <c r="F138" i="189"/>
  <c r="E138" i="189"/>
  <c r="D138" i="189"/>
  <c r="U137" i="189"/>
  <c r="T137" i="189"/>
  <c r="S137" i="189"/>
  <c r="R137" i="189"/>
  <c r="Q137" i="189"/>
  <c r="P137" i="189"/>
  <c r="O137" i="189"/>
  <c r="N137" i="189"/>
  <c r="M137" i="189"/>
  <c r="L137" i="189"/>
  <c r="K137" i="189"/>
  <c r="J137" i="189"/>
  <c r="I137" i="189"/>
  <c r="H137" i="189"/>
  <c r="G137" i="189"/>
  <c r="F137" i="189"/>
  <c r="E137" i="189"/>
  <c r="D137" i="189"/>
  <c r="U136" i="189"/>
  <c r="T136" i="189"/>
  <c r="S136" i="189"/>
  <c r="R136" i="189"/>
  <c r="Q136" i="189"/>
  <c r="P136" i="189"/>
  <c r="O136" i="189"/>
  <c r="N136" i="189"/>
  <c r="M136" i="189"/>
  <c r="L136" i="189"/>
  <c r="K136" i="189"/>
  <c r="J136" i="189"/>
  <c r="I136" i="189"/>
  <c r="H136" i="189"/>
  <c r="G136" i="189"/>
  <c r="F136" i="189"/>
  <c r="E136" i="189"/>
  <c r="D136" i="189"/>
  <c r="U135" i="189"/>
  <c r="T135" i="189"/>
  <c r="S135" i="189"/>
  <c r="R135" i="189"/>
  <c r="Q135" i="189"/>
  <c r="P135" i="189"/>
  <c r="O135" i="189"/>
  <c r="N135" i="189"/>
  <c r="M135" i="189"/>
  <c r="L135" i="189"/>
  <c r="K135" i="189"/>
  <c r="J135" i="189"/>
  <c r="I135" i="189"/>
  <c r="H135" i="189"/>
  <c r="G135" i="189"/>
  <c r="F135" i="189"/>
  <c r="E135" i="189"/>
  <c r="D135" i="189"/>
  <c r="U134" i="189"/>
  <c r="T134" i="189"/>
  <c r="S134" i="189"/>
  <c r="R134" i="189"/>
  <c r="Q134" i="189"/>
  <c r="P134" i="189"/>
  <c r="O134" i="189"/>
  <c r="N134" i="189"/>
  <c r="M134" i="189"/>
  <c r="L134" i="189"/>
  <c r="K134" i="189"/>
  <c r="J134" i="189"/>
  <c r="I134" i="189"/>
  <c r="H134" i="189"/>
  <c r="G134" i="189"/>
  <c r="F134" i="189"/>
  <c r="E134" i="189"/>
  <c r="D134" i="189"/>
  <c r="U133" i="189"/>
  <c r="T133" i="189"/>
  <c r="S133" i="189"/>
  <c r="R133" i="189"/>
  <c r="Q133" i="189"/>
  <c r="P133" i="189"/>
  <c r="O133" i="189"/>
  <c r="N133" i="189"/>
  <c r="M133" i="189"/>
  <c r="L133" i="189"/>
  <c r="K133" i="189"/>
  <c r="J133" i="189"/>
  <c r="I133" i="189"/>
  <c r="H133" i="189"/>
  <c r="G133" i="189"/>
  <c r="F133" i="189"/>
  <c r="E133" i="189"/>
  <c r="D133" i="189"/>
  <c r="U132" i="189"/>
  <c r="T132" i="189"/>
  <c r="S132" i="189"/>
  <c r="R132" i="189"/>
  <c r="Q132" i="189"/>
  <c r="P132" i="189"/>
  <c r="O132" i="189"/>
  <c r="N132" i="189"/>
  <c r="M132" i="189"/>
  <c r="L132" i="189"/>
  <c r="K132" i="189"/>
  <c r="J132" i="189"/>
  <c r="I132" i="189"/>
  <c r="H132" i="189"/>
  <c r="G132" i="189"/>
  <c r="F132" i="189"/>
  <c r="E132" i="189"/>
  <c r="D132" i="189"/>
  <c r="U131" i="189"/>
  <c r="T131" i="189"/>
  <c r="S131" i="189"/>
  <c r="R131" i="189"/>
  <c r="Q131" i="189"/>
  <c r="P131" i="189"/>
  <c r="O131" i="189"/>
  <c r="N131" i="189"/>
  <c r="M131" i="189"/>
  <c r="L131" i="189"/>
  <c r="K131" i="189"/>
  <c r="J131" i="189"/>
  <c r="I131" i="189"/>
  <c r="H131" i="189"/>
  <c r="G131" i="189"/>
  <c r="F131" i="189"/>
  <c r="E131" i="189"/>
  <c r="D131" i="189"/>
  <c r="P130" i="189"/>
  <c r="U129" i="189"/>
  <c r="T129" i="189"/>
  <c r="S129" i="189"/>
  <c r="R129" i="189"/>
  <c r="Q129" i="189"/>
  <c r="P129" i="189"/>
  <c r="O129" i="189"/>
  <c r="N129" i="189"/>
  <c r="M129" i="189"/>
  <c r="L129" i="189"/>
  <c r="K129" i="189"/>
  <c r="J129" i="189"/>
  <c r="I129" i="189"/>
  <c r="H129" i="189"/>
  <c r="G129" i="189"/>
  <c r="F129" i="189"/>
  <c r="E129" i="189"/>
  <c r="D129" i="189"/>
  <c r="U128" i="189"/>
  <c r="T128" i="189"/>
  <c r="S128" i="189"/>
  <c r="R128" i="189"/>
  <c r="Q128" i="189"/>
  <c r="P128" i="189"/>
  <c r="O128" i="189"/>
  <c r="N128" i="189"/>
  <c r="M128" i="189"/>
  <c r="L128" i="189"/>
  <c r="K128" i="189"/>
  <c r="J128" i="189"/>
  <c r="I128" i="189"/>
  <c r="H128" i="189"/>
  <c r="G128" i="189"/>
  <c r="F128" i="189"/>
  <c r="E128" i="189"/>
  <c r="D128" i="189"/>
  <c r="U127" i="189"/>
  <c r="T127" i="189"/>
  <c r="S127" i="189"/>
  <c r="R127" i="189"/>
  <c r="Q127" i="189"/>
  <c r="P127" i="189"/>
  <c r="O127" i="189"/>
  <c r="N127" i="189"/>
  <c r="M127" i="189"/>
  <c r="L127" i="189"/>
  <c r="K127" i="189"/>
  <c r="J127" i="189"/>
  <c r="I127" i="189"/>
  <c r="H127" i="189"/>
  <c r="G127" i="189"/>
  <c r="F127" i="189"/>
  <c r="E127" i="189"/>
  <c r="D127" i="189"/>
  <c r="U126" i="189"/>
  <c r="T126" i="189"/>
  <c r="S126" i="189"/>
  <c r="R126" i="189"/>
  <c r="Q126" i="189"/>
  <c r="P126" i="189"/>
  <c r="O126" i="189"/>
  <c r="N126" i="189"/>
  <c r="M126" i="189"/>
  <c r="L126" i="189"/>
  <c r="K126" i="189"/>
  <c r="J126" i="189"/>
  <c r="I126" i="189"/>
  <c r="H126" i="189"/>
  <c r="G126" i="189"/>
  <c r="F126" i="189"/>
  <c r="E126" i="189"/>
  <c r="D126" i="189"/>
  <c r="U125" i="189"/>
  <c r="T125" i="189"/>
  <c r="S125" i="189"/>
  <c r="R125" i="189"/>
  <c r="Q125" i="189"/>
  <c r="P125" i="189"/>
  <c r="O125" i="189"/>
  <c r="N125" i="189"/>
  <c r="M125" i="189"/>
  <c r="L125" i="189"/>
  <c r="K125" i="189"/>
  <c r="J125" i="189"/>
  <c r="I125" i="189"/>
  <c r="H125" i="189"/>
  <c r="G125" i="189"/>
  <c r="F125" i="189"/>
  <c r="E125" i="189"/>
  <c r="D125" i="189"/>
  <c r="U124" i="189"/>
  <c r="T124" i="189"/>
  <c r="S124" i="189"/>
  <c r="R124" i="189"/>
  <c r="Q124" i="189"/>
  <c r="P124" i="189"/>
  <c r="O124" i="189"/>
  <c r="N124" i="189"/>
  <c r="M124" i="189"/>
  <c r="L124" i="189"/>
  <c r="K124" i="189"/>
  <c r="J124" i="189"/>
  <c r="I124" i="189"/>
  <c r="H124" i="189"/>
  <c r="G124" i="189"/>
  <c r="F124" i="189"/>
  <c r="E124" i="189"/>
  <c r="D124" i="189"/>
  <c r="U123" i="189"/>
  <c r="T123" i="189"/>
  <c r="S123" i="189"/>
  <c r="R123" i="189"/>
  <c r="Q123" i="189"/>
  <c r="P123" i="189"/>
  <c r="O123" i="189"/>
  <c r="N123" i="189"/>
  <c r="M123" i="189"/>
  <c r="L123" i="189"/>
  <c r="K123" i="189"/>
  <c r="J123" i="189"/>
  <c r="I123" i="189"/>
  <c r="H123" i="189"/>
  <c r="G123" i="189"/>
  <c r="F123" i="189"/>
  <c r="E123" i="189"/>
  <c r="D123" i="189"/>
  <c r="U117" i="189"/>
  <c r="T117" i="189"/>
  <c r="S117" i="189"/>
  <c r="R117" i="189"/>
  <c r="Q117" i="189"/>
  <c r="P117" i="189"/>
  <c r="O117" i="189"/>
  <c r="N117" i="189"/>
  <c r="M117" i="189"/>
  <c r="L117" i="189"/>
  <c r="K117" i="189"/>
  <c r="J117" i="189"/>
  <c r="I117" i="189"/>
  <c r="H117" i="189"/>
  <c r="G117" i="189"/>
  <c r="F117" i="189"/>
  <c r="E117" i="189"/>
  <c r="D117" i="189"/>
  <c r="U116" i="189"/>
  <c r="T116" i="189"/>
  <c r="S116" i="189"/>
  <c r="R116" i="189"/>
  <c r="Q116" i="189"/>
  <c r="P116" i="189"/>
  <c r="O116" i="189"/>
  <c r="N116" i="189"/>
  <c r="M116" i="189"/>
  <c r="L116" i="189"/>
  <c r="K116" i="189"/>
  <c r="J116" i="189"/>
  <c r="I116" i="189"/>
  <c r="H116" i="189"/>
  <c r="G116" i="189"/>
  <c r="F116" i="189"/>
  <c r="E116" i="189"/>
  <c r="D116" i="189"/>
  <c r="U115" i="189"/>
  <c r="T115" i="189"/>
  <c r="S115" i="189"/>
  <c r="R115" i="189"/>
  <c r="Q115" i="189"/>
  <c r="P115" i="189"/>
  <c r="O115" i="189"/>
  <c r="N115" i="189"/>
  <c r="M115" i="189"/>
  <c r="L115" i="189"/>
  <c r="K115" i="189"/>
  <c r="J115" i="189"/>
  <c r="I115" i="189"/>
  <c r="H115" i="189"/>
  <c r="G115" i="189"/>
  <c r="F115" i="189"/>
  <c r="E115" i="189"/>
  <c r="D115" i="189"/>
  <c r="U114" i="189"/>
  <c r="T114" i="189"/>
  <c r="S114" i="189"/>
  <c r="R114" i="189"/>
  <c r="Q114" i="189"/>
  <c r="P114" i="189"/>
  <c r="O114" i="189"/>
  <c r="N114" i="189"/>
  <c r="M114" i="189"/>
  <c r="L114" i="189"/>
  <c r="K114" i="189"/>
  <c r="J114" i="189"/>
  <c r="I114" i="189"/>
  <c r="H114" i="189"/>
  <c r="G114" i="189"/>
  <c r="F114" i="189"/>
  <c r="E114" i="189"/>
  <c r="D114" i="189"/>
  <c r="U113" i="189"/>
  <c r="T113" i="189"/>
  <c r="S113" i="189"/>
  <c r="R113" i="189"/>
  <c r="Q113" i="189"/>
  <c r="P113" i="189"/>
  <c r="O113" i="189"/>
  <c r="N113" i="189"/>
  <c r="M113" i="189"/>
  <c r="L113" i="189"/>
  <c r="K113" i="189"/>
  <c r="J113" i="189"/>
  <c r="I113" i="189"/>
  <c r="H113" i="189"/>
  <c r="G113" i="189"/>
  <c r="F113" i="189"/>
  <c r="E113" i="189"/>
  <c r="D113" i="189"/>
  <c r="U112" i="189"/>
  <c r="T112" i="189"/>
  <c r="S112" i="189"/>
  <c r="R112" i="189"/>
  <c r="Q112" i="189"/>
  <c r="P112" i="189"/>
  <c r="O112" i="189"/>
  <c r="N112" i="189"/>
  <c r="M112" i="189"/>
  <c r="L112" i="189"/>
  <c r="K112" i="189"/>
  <c r="J112" i="189"/>
  <c r="I112" i="189"/>
  <c r="H112" i="189"/>
  <c r="G112" i="189"/>
  <c r="F112" i="189"/>
  <c r="E112" i="189"/>
  <c r="D112" i="189"/>
  <c r="U111" i="189"/>
  <c r="T111" i="189"/>
  <c r="S111" i="189"/>
  <c r="R111" i="189"/>
  <c r="Q111" i="189"/>
  <c r="P111" i="189"/>
  <c r="O111" i="189"/>
  <c r="N111" i="189"/>
  <c r="M111" i="189"/>
  <c r="L111" i="189"/>
  <c r="K111" i="189"/>
  <c r="J111" i="189"/>
  <c r="I111" i="189"/>
  <c r="H111" i="189"/>
  <c r="G111" i="189"/>
  <c r="F111" i="189"/>
  <c r="E111" i="189"/>
  <c r="D111" i="189"/>
  <c r="U110" i="189"/>
  <c r="T110" i="189"/>
  <c r="S110" i="189"/>
  <c r="R110" i="189"/>
  <c r="Q110" i="189"/>
  <c r="P110" i="189"/>
  <c r="O110" i="189"/>
  <c r="N110" i="189"/>
  <c r="M110" i="189"/>
  <c r="L110" i="189"/>
  <c r="K110" i="189"/>
  <c r="J110" i="189"/>
  <c r="I110" i="189"/>
  <c r="H110" i="189"/>
  <c r="G110" i="189"/>
  <c r="F110" i="189"/>
  <c r="E110" i="189"/>
  <c r="D110" i="189"/>
  <c r="U109" i="189"/>
  <c r="T109" i="189"/>
  <c r="S109" i="189"/>
  <c r="R109" i="189"/>
  <c r="Q109" i="189"/>
  <c r="P109" i="189"/>
  <c r="O109" i="189"/>
  <c r="N109" i="189"/>
  <c r="M109" i="189"/>
  <c r="L109" i="189"/>
  <c r="K109" i="189"/>
  <c r="J109" i="189"/>
  <c r="I109" i="189"/>
  <c r="H109" i="189"/>
  <c r="G109" i="189"/>
  <c r="F109" i="189"/>
  <c r="E109" i="189"/>
  <c r="D109" i="189"/>
  <c r="U108" i="189"/>
  <c r="T108" i="189"/>
  <c r="S108" i="189"/>
  <c r="R108" i="189"/>
  <c r="Q108" i="189"/>
  <c r="P108" i="189"/>
  <c r="O108" i="189"/>
  <c r="N108" i="189"/>
  <c r="M108" i="189"/>
  <c r="L108" i="189"/>
  <c r="K108" i="189"/>
  <c r="J108" i="189"/>
  <c r="I108" i="189"/>
  <c r="H108" i="189"/>
  <c r="G108" i="189"/>
  <c r="F108" i="189"/>
  <c r="E108" i="189"/>
  <c r="D108" i="189"/>
  <c r="P107" i="189"/>
  <c r="U106" i="189"/>
  <c r="T106" i="189"/>
  <c r="S106" i="189"/>
  <c r="R106" i="189"/>
  <c r="Q106" i="189"/>
  <c r="P106" i="189"/>
  <c r="O106" i="189"/>
  <c r="N106" i="189"/>
  <c r="M106" i="189"/>
  <c r="L106" i="189"/>
  <c r="K106" i="189"/>
  <c r="J106" i="189"/>
  <c r="I106" i="189"/>
  <c r="H106" i="189"/>
  <c r="G106" i="189"/>
  <c r="F106" i="189"/>
  <c r="E106" i="189"/>
  <c r="D106" i="189"/>
  <c r="U105" i="189"/>
  <c r="T105" i="189"/>
  <c r="S105" i="189"/>
  <c r="R105" i="189"/>
  <c r="Q105" i="189"/>
  <c r="P105" i="189"/>
  <c r="O105" i="189"/>
  <c r="N105" i="189"/>
  <c r="M105" i="189"/>
  <c r="L105" i="189"/>
  <c r="K105" i="189"/>
  <c r="J105" i="189"/>
  <c r="I105" i="189"/>
  <c r="H105" i="189"/>
  <c r="G105" i="189"/>
  <c r="F105" i="189"/>
  <c r="E105" i="189"/>
  <c r="D105" i="189"/>
  <c r="U104" i="189"/>
  <c r="T104" i="189"/>
  <c r="S104" i="189"/>
  <c r="R104" i="189"/>
  <c r="Q104" i="189"/>
  <c r="P104" i="189"/>
  <c r="O104" i="189"/>
  <c r="N104" i="189"/>
  <c r="M104" i="189"/>
  <c r="L104" i="189"/>
  <c r="K104" i="189"/>
  <c r="J104" i="189"/>
  <c r="I104" i="189"/>
  <c r="H104" i="189"/>
  <c r="G104" i="189"/>
  <c r="F104" i="189"/>
  <c r="E104" i="189"/>
  <c r="D104" i="189"/>
  <c r="U103" i="189"/>
  <c r="T103" i="189"/>
  <c r="S103" i="189"/>
  <c r="R103" i="189"/>
  <c r="Q103" i="189"/>
  <c r="P103" i="189"/>
  <c r="O103" i="189"/>
  <c r="N103" i="189"/>
  <c r="M103" i="189"/>
  <c r="L103" i="189"/>
  <c r="K103" i="189"/>
  <c r="J103" i="189"/>
  <c r="I103" i="189"/>
  <c r="H103" i="189"/>
  <c r="G103" i="189"/>
  <c r="F103" i="189"/>
  <c r="E103" i="189"/>
  <c r="D103" i="189"/>
  <c r="U102" i="189"/>
  <c r="T102" i="189"/>
  <c r="S102" i="189"/>
  <c r="R102" i="189"/>
  <c r="Q102" i="189"/>
  <c r="P102" i="189"/>
  <c r="O102" i="189"/>
  <c r="N102" i="189"/>
  <c r="M102" i="189"/>
  <c r="L102" i="189"/>
  <c r="K102" i="189"/>
  <c r="J102" i="189"/>
  <c r="I102" i="189"/>
  <c r="H102" i="189"/>
  <c r="G102" i="189"/>
  <c r="F102" i="189"/>
  <c r="E102" i="189"/>
  <c r="D102" i="189"/>
  <c r="U101" i="189"/>
  <c r="T101" i="189"/>
  <c r="S101" i="189"/>
  <c r="R101" i="189"/>
  <c r="Q101" i="189"/>
  <c r="P101" i="189"/>
  <c r="O101" i="189"/>
  <c r="N101" i="189"/>
  <c r="M101" i="189"/>
  <c r="L101" i="189"/>
  <c r="K101" i="189"/>
  <c r="J101" i="189"/>
  <c r="I101" i="189"/>
  <c r="H101" i="189"/>
  <c r="G101" i="189"/>
  <c r="F101" i="189"/>
  <c r="E101" i="189"/>
  <c r="D101" i="189"/>
  <c r="U100" i="189"/>
  <c r="T100" i="189"/>
  <c r="S100" i="189"/>
  <c r="R100" i="189"/>
  <c r="Q100" i="189"/>
  <c r="P100" i="189"/>
  <c r="O100" i="189"/>
  <c r="N100" i="189"/>
  <c r="M100" i="189"/>
  <c r="L100" i="189"/>
  <c r="K100" i="189"/>
  <c r="J100" i="189"/>
  <c r="I100" i="189"/>
  <c r="H100" i="189"/>
  <c r="G100" i="189"/>
  <c r="F100" i="189"/>
  <c r="E100" i="189"/>
  <c r="D100" i="189"/>
  <c r="U99" i="189"/>
  <c r="T99" i="189"/>
  <c r="S99" i="189"/>
  <c r="R99" i="189"/>
  <c r="Q99" i="189"/>
  <c r="P99" i="189"/>
  <c r="O99" i="189"/>
  <c r="N99" i="189"/>
  <c r="M99" i="189"/>
  <c r="L99" i="189"/>
  <c r="K99" i="189"/>
  <c r="J99" i="189"/>
  <c r="I99" i="189"/>
  <c r="H99" i="189"/>
  <c r="G99" i="189"/>
  <c r="F99" i="189"/>
  <c r="E99" i="189"/>
  <c r="D99" i="189"/>
  <c r="U98" i="189"/>
  <c r="T98" i="189"/>
  <c r="S98" i="189"/>
  <c r="R98" i="189"/>
  <c r="Q98" i="189"/>
  <c r="P98" i="189"/>
  <c r="O98" i="189"/>
  <c r="N98" i="189"/>
  <c r="M98" i="189"/>
  <c r="L98" i="189"/>
  <c r="K98" i="189"/>
  <c r="J98" i="189"/>
  <c r="I98" i="189"/>
  <c r="H98" i="189"/>
  <c r="G98" i="189"/>
  <c r="F98" i="189"/>
  <c r="E98" i="189"/>
  <c r="D98" i="189"/>
  <c r="U97" i="189"/>
  <c r="T97" i="189"/>
  <c r="S97" i="189"/>
  <c r="R97" i="189"/>
  <c r="Q97" i="189"/>
  <c r="P97" i="189"/>
  <c r="O97" i="189"/>
  <c r="N97" i="189"/>
  <c r="M97" i="189"/>
  <c r="L97" i="189"/>
  <c r="K97" i="189"/>
  <c r="J97" i="189"/>
  <c r="I97" i="189"/>
  <c r="H97" i="189"/>
  <c r="G97" i="189"/>
  <c r="F97" i="189"/>
  <c r="E97" i="189"/>
  <c r="D97" i="189"/>
  <c r="U96" i="189"/>
  <c r="T96" i="189"/>
  <c r="S96" i="189"/>
  <c r="R96" i="189"/>
  <c r="Q96" i="189"/>
  <c r="P96" i="189"/>
  <c r="O96" i="189"/>
  <c r="N96" i="189"/>
  <c r="M96" i="189"/>
  <c r="L96" i="189"/>
  <c r="K96" i="189"/>
  <c r="J96" i="189"/>
  <c r="I96" i="189"/>
  <c r="H96" i="189"/>
  <c r="G96" i="189"/>
  <c r="F96" i="189"/>
  <c r="E96" i="189"/>
  <c r="D96" i="189"/>
  <c r="U95" i="189"/>
  <c r="T95" i="189"/>
  <c r="S95" i="189"/>
  <c r="R95" i="189"/>
  <c r="Q95" i="189"/>
  <c r="P95" i="189"/>
  <c r="O95" i="189"/>
  <c r="N95" i="189"/>
  <c r="M95" i="189"/>
  <c r="L95" i="189"/>
  <c r="K95" i="189"/>
  <c r="J95" i="189"/>
  <c r="I95" i="189"/>
  <c r="H95" i="189"/>
  <c r="G95" i="189"/>
  <c r="F95" i="189"/>
  <c r="E95" i="189"/>
  <c r="D95" i="189"/>
  <c r="U94" i="189"/>
  <c r="T94" i="189"/>
  <c r="S94" i="189"/>
  <c r="R94" i="189"/>
  <c r="Q94" i="189"/>
  <c r="P94" i="189"/>
  <c r="O94" i="189"/>
  <c r="N94" i="189"/>
  <c r="M94" i="189"/>
  <c r="L94" i="189"/>
  <c r="K94" i="189"/>
  <c r="J94" i="189"/>
  <c r="I94" i="189"/>
  <c r="H94" i="189"/>
  <c r="G94" i="189"/>
  <c r="F94" i="189"/>
  <c r="E94" i="189"/>
  <c r="D94" i="189"/>
  <c r="P93" i="189"/>
  <c r="U92" i="189"/>
  <c r="T92" i="189"/>
  <c r="S92" i="189"/>
  <c r="R92" i="189"/>
  <c r="Q92" i="189"/>
  <c r="P92" i="189"/>
  <c r="O92" i="189"/>
  <c r="N92" i="189"/>
  <c r="M92" i="189"/>
  <c r="L92" i="189"/>
  <c r="K92" i="189"/>
  <c r="J92" i="189"/>
  <c r="I92" i="189"/>
  <c r="H92" i="189"/>
  <c r="G92" i="189"/>
  <c r="F92" i="189"/>
  <c r="E92" i="189"/>
  <c r="D92" i="189"/>
  <c r="U91" i="189"/>
  <c r="T91" i="189"/>
  <c r="S91" i="189"/>
  <c r="R91" i="189"/>
  <c r="Q91" i="189"/>
  <c r="P91" i="189"/>
  <c r="O91" i="189"/>
  <c r="N91" i="189"/>
  <c r="M91" i="189"/>
  <c r="L91" i="189"/>
  <c r="K91" i="189"/>
  <c r="J91" i="189"/>
  <c r="I91" i="189"/>
  <c r="H91" i="189"/>
  <c r="G91" i="189"/>
  <c r="F91" i="189"/>
  <c r="E91" i="189"/>
  <c r="D91" i="189"/>
  <c r="U90" i="189"/>
  <c r="T90" i="189"/>
  <c r="S90" i="189"/>
  <c r="R90" i="189"/>
  <c r="Q90" i="189"/>
  <c r="P90" i="189"/>
  <c r="O90" i="189"/>
  <c r="N90" i="189"/>
  <c r="M90" i="189"/>
  <c r="L90" i="189"/>
  <c r="K90" i="189"/>
  <c r="J90" i="189"/>
  <c r="I90" i="189"/>
  <c r="H90" i="189"/>
  <c r="G90" i="189"/>
  <c r="F90" i="189"/>
  <c r="E90" i="189"/>
  <c r="D90" i="189"/>
  <c r="U89" i="189"/>
  <c r="T89" i="189"/>
  <c r="S89" i="189"/>
  <c r="R89" i="189"/>
  <c r="Q89" i="189"/>
  <c r="P89" i="189"/>
  <c r="O89" i="189"/>
  <c r="N89" i="189"/>
  <c r="M89" i="189"/>
  <c r="L89" i="189"/>
  <c r="K89" i="189"/>
  <c r="J89" i="189"/>
  <c r="I89" i="189"/>
  <c r="H89" i="189"/>
  <c r="G89" i="189"/>
  <c r="F89" i="189"/>
  <c r="E89" i="189"/>
  <c r="D89" i="189"/>
  <c r="U88" i="189"/>
  <c r="T88" i="189"/>
  <c r="S88" i="189"/>
  <c r="R88" i="189"/>
  <c r="Q88" i="189"/>
  <c r="P88" i="189"/>
  <c r="O88" i="189"/>
  <c r="N88" i="189"/>
  <c r="M88" i="189"/>
  <c r="L88" i="189"/>
  <c r="K88" i="189"/>
  <c r="J88" i="189"/>
  <c r="I88" i="189"/>
  <c r="H88" i="189"/>
  <c r="G88" i="189"/>
  <c r="F88" i="189"/>
  <c r="E88" i="189"/>
  <c r="D88" i="189"/>
  <c r="U87" i="189"/>
  <c r="T87" i="189"/>
  <c r="S87" i="189"/>
  <c r="R87" i="189"/>
  <c r="Q87" i="189"/>
  <c r="P87" i="189"/>
  <c r="O87" i="189"/>
  <c r="N87" i="189"/>
  <c r="M87" i="189"/>
  <c r="L87" i="189"/>
  <c r="K87" i="189"/>
  <c r="J87" i="189"/>
  <c r="I87" i="189"/>
  <c r="H87" i="189"/>
  <c r="G87" i="189"/>
  <c r="F87" i="189"/>
  <c r="E87" i="189"/>
  <c r="D87" i="189"/>
  <c r="U86" i="189"/>
  <c r="T86" i="189"/>
  <c r="S86" i="189"/>
  <c r="R86" i="189"/>
  <c r="Q86" i="189"/>
  <c r="P86" i="189"/>
  <c r="O86" i="189"/>
  <c r="N86" i="189"/>
  <c r="M86" i="189"/>
  <c r="L86" i="189"/>
  <c r="K86" i="189"/>
  <c r="J86" i="189"/>
  <c r="I86" i="189"/>
  <c r="H86" i="189"/>
  <c r="G86" i="189"/>
  <c r="F86" i="189"/>
  <c r="E86" i="189"/>
  <c r="D86" i="189"/>
  <c r="U80" i="189"/>
  <c r="T80" i="189"/>
  <c r="S80" i="189"/>
  <c r="R80" i="189"/>
  <c r="Q80" i="189"/>
  <c r="P80" i="189"/>
  <c r="O80" i="189"/>
  <c r="N80" i="189"/>
  <c r="M80" i="189"/>
  <c r="L80" i="189"/>
  <c r="K80" i="189"/>
  <c r="J80" i="189"/>
  <c r="I80" i="189"/>
  <c r="H80" i="189"/>
  <c r="G80" i="189"/>
  <c r="F80" i="189"/>
  <c r="E80" i="189"/>
  <c r="D80" i="189"/>
  <c r="U79" i="189"/>
  <c r="T79" i="189"/>
  <c r="S79" i="189"/>
  <c r="R79" i="189"/>
  <c r="Q79" i="189"/>
  <c r="P79" i="189"/>
  <c r="O79" i="189"/>
  <c r="N79" i="189"/>
  <c r="M79" i="189"/>
  <c r="L79" i="189"/>
  <c r="K79" i="189"/>
  <c r="J79" i="189"/>
  <c r="I79" i="189"/>
  <c r="H79" i="189"/>
  <c r="G79" i="189"/>
  <c r="F79" i="189"/>
  <c r="E79" i="189"/>
  <c r="D79" i="189"/>
  <c r="U78" i="189"/>
  <c r="T78" i="189"/>
  <c r="S78" i="189"/>
  <c r="R78" i="189"/>
  <c r="Q78" i="189"/>
  <c r="P78" i="189"/>
  <c r="O78" i="189"/>
  <c r="N78" i="189"/>
  <c r="M78" i="189"/>
  <c r="L78" i="189"/>
  <c r="K78" i="189"/>
  <c r="J78" i="189"/>
  <c r="I78" i="189"/>
  <c r="H78" i="189"/>
  <c r="G78" i="189"/>
  <c r="F78" i="189"/>
  <c r="E78" i="189"/>
  <c r="D78" i="189"/>
  <c r="U77" i="189"/>
  <c r="T77" i="189"/>
  <c r="S77" i="189"/>
  <c r="R77" i="189"/>
  <c r="Q77" i="189"/>
  <c r="P77" i="189"/>
  <c r="O77" i="189"/>
  <c r="N77" i="189"/>
  <c r="M77" i="189"/>
  <c r="L77" i="189"/>
  <c r="K77" i="189"/>
  <c r="J77" i="189"/>
  <c r="I77" i="189"/>
  <c r="H77" i="189"/>
  <c r="G77" i="189"/>
  <c r="F77" i="189"/>
  <c r="E77" i="189"/>
  <c r="D77" i="189"/>
  <c r="U76" i="189"/>
  <c r="T76" i="189"/>
  <c r="S76" i="189"/>
  <c r="R76" i="189"/>
  <c r="Q76" i="189"/>
  <c r="P76" i="189"/>
  <c r="O76" i="189"/>
  <c r="N76" i="189"/>
  <c r="M76" i="189"/>
  <c r="L76" i="189"/>
  <c r="K76" i="189"/>
  <c r="J76" i="189"/>
  <c r="I76" i="189"/>
  <c r="H76" i="189"/>
  <c r="G76" i="189"/>
  <c r="F76" i="189"/>
  <c r="E76" i="189"/>
  <c r="D76" i="189"/>
  <c r="U75" i="189"/>
  <c r="T75" i="189"/>
  <c r="S75" i="189"/>
  <c r="R75" i="189"/>
  <c r="Q75" i="189"/>
  <c r="P75" i="189"/>
  <c r="O75" i="189"/>
  <c r="N75" i="189"/>
  <c r="M75" i="189"/>
  <c r="L75" i="189"/>
  <c r="K75" i="189"/>
  <c r="J75" i="189"/>
  <c r="I75" i="189"/>
  <c r="H75" i="189"/>
  <c r="G75" i="189"/>
  <c r="F75" i="189"/>
  <c r="E75" i="189"/>
  <c r="D75" i="189"/>
  <c r="U74" i="189"/>
  <c r="T74" i="189"/>
  <c r="S74" i="189"/>
  <c r="R74" i="189"/>
  <c r="Q74" i="189"/>
  <c r="P74" i="189"/>
  <c r="O74" i="189"/>
  <c r="N74" i="189"/>
  <c r="M74" i="189"/>
  <c r="L74" i="189"/>
  <c r="K74" i="189"/>
  <c r="J74" i="189"/>
  <c r="I74" i="189"/>
  <c r="H74" i="189"/>
  <c r="G74" i="189"/>
  <c r="F74" i="189"/>
  <c r="E74" i="189"/>
  <c r="D74" i="189"/>
  <c r="U73" i="189"/>
  <c r="T73" i="189"/>
  <c r="S73" i="189"/>
  <c r="R73" i="189"/>
  <c r="Q73" i="189"/>
  <c r="P73" i="189"/>
  <c r="O73" i="189"/>
  <c r="N73" i="189"/>
  <c r="M73" i="189"/>
  <c r="L73" i="189"/>
  <c r="K73" i="189"/>
  <c r="J73" i="189"/>
  <c r="I73" i="189"/>
  <c r="H73" i="189"/>
  <c r="G73" i="189"/>
  <c r="F73" i="189"/>
  <c r="E73" i="189"/>
  <c r="D73" i="189"/>
  <c r="U72" i="189"/>
  <c r="T72" i="189"/>
  <c r="S72" i="189"/>
  <c r="R72" i="189"/>
  <c r="Q72" i="189"/>
  <c r="P72" i="189"/>
  <c r="O72" i="189"/>
  <c r="N72" i="189"/>
  <c r="M72" i="189"/>
  <c r="L72" i="189"/>
  <c r="K72" i="189"/>
  <c r="J72" i="189"/>
  <c r="I72" i="189"/>
  <c r="H72" i="189"/>
  <c r="G72" i="189"/>
  <c r="F72" i="189"/>
  <c r="E72" i="189"/>
  <c r="D72" i="189"/>
  <c r="U71" i="189"/>
  <c r="T71" i="189"/>
  <c r="S71" i="189"/>
  <c r="R71" i="189"/>
  <c r="Q71" i="189"/>
  <c r="P71" i="189"/>
  <c r="O71" i="189"/>
  <c r="N71" i="189"/>
  <c r="M71" i="189"/>
  <c r="L71" i="189"/>
  <c r="K71" i="189"/>
  <c r="J71" i="189"/>
  <c r="I71" i="189"/>
  <c r="H71" i="189"/>
  <c r="G71" i="189"/>
  <c r="F71" i="189"/>
  <c r="E71" i="189"/>
  <c r="D71" i="189"/>
  <c r="P70" i="189"/>
  <c r="U69" i="189"/>
  <c r="T69" i="189"/>
  <c r="S69" i="189"/>
  <c r="R69" i="189"/>
  <c r="Q69" i="189"/>
  <c r="P69" i="189"/>
  <c r="O69" i="189"/>
  <c r="N69" i="189"/>
  <c r="M69" i="189"/>
  <c r="L69" i="189"/>
  <c r="K69" i="189"/>
  <c r="J69" i="189"/>
  <c r="I69" i="189"/>
  <c r="H69" i="189"/>
  <c r="G69" i="189"/>
  <c r="F69" i="189"/>
  <c r="E69" i="189"/>
  <c r="D69" i="189"/>
  <c r="U68" i="189"/>
  <c r="T68" i="189"/>
  <c r="S68" i="189"/>
  <c r="R68" i="189"/>
  <c r="Q68" i="189"/>
  <c r="P68" i="189"/>
  <c r="O68" i="189"/>
  <c r="N68" i="189"/>
  <c r="M68" i="189"/>
  <c r="L68" i="189"/>
  <c r="K68" i="189"/>
  <c r="J68" i="189"/>
  <c r="I68" i="189"/>
  <c r="H68" i="189"/>
  <c r="G68" i="189"/>
  <c r="F68" i="189"/>
  <c r="E68" i="189"/>
  <c r="D68" i="189"/>
  <c r="U67" i="189"/>
  <c r="T67" i="189"/>
  <c r="S67" i="189"/>
  <c r="R67" i="189"/>
  <c r="Q67" i="189"/>
  <c r="P67" i="189"/>
  <c r="O67" i="189"/>
  <c r="N67" i="189"/>
  <c r="M67" i="189"/>
  <c r="L67" i="189"/>
  <c r="K67" i="189"/>
  <c r="J67" i="189"/>
  <c r="I67" i="189"/>
  <c r="H67" i="189"/>
  <c r="G67" i="189"/>
  <c r="F67" i="189"/>
  <c r="E67" i="189"/>
  <c r="D67" i="189"/>
  <c r="U66" i="189"/>
  <c r="T66" i="189"/>
  <c r="S66" i="189"/>
  <c r="R66" i="189"/>
  <c r="Q66" i="189"/>
  <c r="P66" i="189"/>
  <c r="O66" i="189"/>
  <c r="N66" i="189"/>
  <c r="M66" i="189"/>
  <c r="L66" i="189"/>
  <c r="K66" i="189"/>
  <c r="J66" i="189"/>
  <c r="I66" i="189"/>
  <c r="H66" i="189"/>
  <c r="G66" i="189"/>
  <c r="F66" i="189"/>
  <c r="E66" i="189"/>
  <c r="D66" i="189"/>
  <c r="U65" i="189"/>
  <c r="T65" i="189"/>
  <c r="S65" i="189"/>
  <c r="R65" i="189"/>
  <c r="Q65" i="189"/>
  <c r="P65" i="189"/>
  <c r="O65" i="189"/>
  <c r="N65" i="189"/>
  <c r="M65" i="189"/>
  <c r="L65" i="189"/>
  <c r="K65" i="189"/>
  <c r="J65" i="189"/>
  <c r="I65" i="189"/>
  <c r="H65" i="189"/>
  <c r="G65" i="189"/>
  <c r="F65" i="189"/>
  <c r="E65" i="189"/>
  <c r="D65" i="189"/>
  <c r="U64" i="189"/>
  <c r="T64" i="189"/>
  <c r="S64" i="189"/>
  <c r="R64" i="189"/>
  <c r="Q64" i="189"/>
  <c r="P64" i="189"/>
  <c r="O64" i="189"/>
  <c r="N64" i="189"/>
  <c r="M64" i="189"/>
  <c r="L64" i="189"/>
  <c r="K64" i="189"/>
  <c r="J64" i="189"/>
  <c r="I64" i="189"/>
  <c r="H64" i="189"/>
  <c r="G64" i="189"/>
  <c r="F64" i="189"/>
  <c r="E64" i="189"/>
  <c r="D64" i="189"/>
  <c r="U63" i="189"/>
  <c r="T63" i="189"/>
  <c r="S63" i="189"/>
  <c r="R63" i="189"/>
  <c r="Q63" i="189"/>
  <c r="P63" i="189"/>
  <c r="O63" i="189"/>
  <c r="N63" i="189"/>
  <c r="M63" i="189"/>
  <c r="L63" i="189"/>
  <c r="K63" i="189"/>
  <c r="J63" i="189"/>
  <c r="I63" i="189"/>
  <c r="H63" i="189"/>
  <c r="G63" i="189"/>
  <c r="F63" i="189"/>
  <c r="E63" i="189"/>
  <c r="D63" i="189"/>
  <c r="U62" i="189"/>
  <c r="T62" i="189"/>
  <c r="S62" i="189"/>
  <c r="R62" i="189"/>
  <c r="Q62" i="189"/>
  <c r="P62" i="189"/>
  <c r="O62" i="189"/>
  <c r="N62" i="189"/>
  <c r="M62" i="189"/>
  <c r="L62" i="189"/>
  <c r="K62" i="189"/>
  <c r="J62" i="189"/>
  <c r="I62" i="189"/>
  <c r="H62" i="189"/>
  <c r="G62" i="189"/>
  <c r="F62" i="189"/>
  <c r="E62" i="189"/>
  <c r="D62" i="189"/>
  <c r="U61" i="189"/>
  <c r="T61" i="189"/>
  <c r="S61" i="189"/>
  <c r="R61" i="189"/>
  <c r="Q61" i="189"/>
  <c r="P61" i="189"/>
  <c r="O61" i="189"/>
  <c r="N61" i="189"/>
  <c r="M61" i="189"/>
  <c r="L61" i="189"/>
  <c r="K61" i="189"/>
  <c r="J61" i="189"/>
  <c r="I61" i="189"/>
  <c r="H61" i="189"/>
  <c r="G61" i="189"/>
  <c r="F61" i="189"/>
  <c r="E61" i="189"/>
  <c r="D61" i="189"/>
  <c r="U60" i="189"/>
  <c r="T60" i="189"/>
  <c r="S60" i="189"/>
  <c r="R60" i="189"/>
  <c r="Q60" i="189"/>
  <c r="P60" i="189"/>
  <c r="O60" i="189"/>
  <c r="N60" i="189"/>
  <c r="M60" i="189"/>
  <c r="L60" i="189"/>
  <c r="K60" i="189"/>
  <c r="J60" i="189"/>
  <c r="I60" i="189"/>
  <c r="H60" i="189"/>
  <c r="G60" i="189"/>
  <c r="F60" i="189"/>
  <c r="E60" i="189"/>
  <c r="D60" i="189"/>
  <c r="U59" i="189"/>
  <c r="T59" i="189"/>
  <c r="S59" i="189"/>
  <c r="R59" i="189"/>
  <c r="Q59" i="189"/>
  <c r="P59" i="189"/>
  <c r="O59" i="189"/>
  <c r="N59" i="189"/>
  <c r="M59" i="189"/>
  <c r="L59" i="189"/>
  <c r="K59" i="189"/>
  <c r="J59" i="189"/>
  <c r="I59" i="189"/>
  <c r="H59" i="189"/>
  <c r="G59" i="189"/>
  <c r="F59" i="189"/>
  <c r="E59" i="189"/>
  <c r="D59" i="189"/>
  <c r="U58" i="189"/>
  <c r="T58" i="189"/>
  <c r="S58" i="189"/>
  <c r="R58" i="189"/>
  <c r="Q58" i="189"/>
  <c r="P58" i="189"/>
  <c r="O58" i="189"/>
  <c r="N58" i="189"/>
  <c r="M58" i="189"/>
  <c r="L58" i="189"/>
  <c r="K58" i="189"/>
  <c r="J58" i="189"/>
  <c r="I58" i="189"/>
  <c r="H58" i="189"/>
  <c r="G58" i="189"/>
  <c r="F58" i="189"/>
  <c r="E58" i="189"/>
  <c r="D58" i="189"/>
  <c r="U57" i="189"/>
  <c r="T57" i="189"/>
  <c r="S57" i="189"/>
  <c r="R57" i="189"/>
  <c r="Q57" i="189"/>
  <c r="P57" i="189"/>
  <c r="O57" i="189"/>
  <c r="N57" i="189"/>
  <c r="M57" i="189"/>
  <c r="L57" i="189"/>
  <c r="K57" i="189"/>
  <c r="J57" i="189"/>
  <c r="I57" i="189"/>
  <c r="H57" i="189"/>
  <c r="G57" i="189"/>
  <c r="F57" i="189"/>
  <c r="E57" i="189"/>
  <c r="D57" i="189"/>
  <c r="P56" i="189"/>
  <c r="U55" i="189"/>
  <c r="T55" i="189"/>
  <c r="S55" i="189"/>
  <c r="R55" i="189"/>
  <c r="Q55" i="189"/>
  <c r="P55" i="189"/>
  <c r="O55" i="189"/>
  <c r="N55" i="189"/>
  <c r="M55" i="189"/>
  <c r="L55" i="189"/>
  <c r="K55" i="189"/>
  <c r="J55" i="189"/>
  <c r="I55" i="189"/>
  <c r="H55" i="189"/>
  <c r="G55" i="189"/>
  <c r="F55" i="189"/>
  <c r="E55" i="189"/>
  <c r="D55" i="189"/>
  <c r="U54" i="189"/>
  <c r="T54" i="189"/>
  <c r="S54" i="189"/>
  <c r="R54" i="189"/>
  <c r="Q54" i="189"/>
  <c r="P54" i="189"/>
  <c r="O54" i="189"/>
  <c r="N54" i="189"/>
  <c r="M54" i="189"/>
  <c r="L54" i="189"/>
  <c r="K54" i="189"/>
  <c r="J54" i="189"/>
  <c r="I54" i="189"/>
  <c r="H54" i="189"/>
  <c r="G54" i="189"/>
  <c r="F54" i="189"/>
  <c r="E54" i="189"/>
  <c r="D54" i="189"/>
  <c r="U53" i="189"/>
  <c r="T53" i="189"/>
  <c r="S53" i="189"/>
  <c r="R53" i="189"/>
  <c r="Q53" i="189"/>
  <c r="P53" i="189"/>
  <c r="O53" i="189"/>
  <c r="N53" i="189"/>
  <c r="M53" i="189"/>
  <c r="L53" i="189"/>
  <c r="K53" i="189"/>
  <c r="J53" i="189"/>
  <c r="I53" i="189"/>
  <c r="H53" i="189"/>
  <c r="G53" i="189"/>
  <c r="F53" i="189"/>
  <c r="E53" i="189"/>
  <c r="D53" i="189"/>
  <c r="U52" i="189"/>
  <c r="T52" i="189"/>
  <c r="S52" i="189"/>
  <c r="R52" i="189"/>
  <c r="Q52" i="189"/>
  <c r="P52" i="189"/>
  <c r="O52" i="189"/>
  <c r="N52" i="189"/>
  <c r="M52" i="189"/>
  <c r="L52" i="189"/>
  <c r="K52" i="189"/>
  <c r="J52" i="189"/>
  <c r="I52" i="189"/>
  <c r="H52" i="189"/>
  <c r="G52" i="189"/>
  <c r="F52" i="189"/>
  <c r="E52" i="189"/>
  <c r="D52" i="189"/>
  <c r="U51" i="189"/>
  <c r="T51" i="189"/>
  <c r="S51" i="189"/>
  <c r="R51" i="189"/>
  <c r="Q51" i="189"/>
  <c r="P51" i="189"/>
  <c r="O51" i="189"/>
  <c r="N51" i="189"/>
  <c r="M51" i="189"/>
  <c r="L51" i="189"/>
  <c r="K51" i="189"/>
  <c r="J51" i="189"/>
  <c r="I51" i="189"/>
  <c r="H51" i="189"/>
  <c r="G51" i="189"/>
  <c r="F51" i="189"/>
  <c r="E51" i="189"/>
  <c r="D51" i="189"/>
  <c r="U50" i="189"/>
  <c r="T50" i="189"/>
  <c r="S50" i="189"/>
  <c r="R50" i="189"/>
  <c r="Q50" i="189"/>
  <c r="P50" i="189"/>
  <c r="O50" i="189"/>
  <c r="N50" i="189"/>
  <c r="M50" i="189"/>
  <c r="L50" i="189"/>
  <c r="K50" i="189"/>
  <c r="J50" i="189"/>
  <c r="I50" i="189"/>
  <c r="H50" i="189"/>
  <c r="G50" i="189"/>
  <c r="F50" i="189"/>
  <c r="E50" i="189"/>
  <c r="D50" i="189"/>
  <c r="U49" i="189"/>
  <c r="T49" i="189"/>
  <c r="S49" i="189"/>
  <c r="R49" i="189"/>
  <c r="Q49" i="189"/>
  <c r="P49" i="189"/>
  <c r="O49" i="189"/>
  <c r="N49" i="189"/>
  <c r="M49" i="189"/>
  <c r="L49" i="189"/>
  <c r="K49" i="189"/>
  <c r="J49" i="189"/>
  <c r="I49" i="189"/>
  <c r="H49" i="189"/>
  <c r="G49" i="189"/>
  <c r="F49" i="189"/>
  <c r="E49" i="189"/>
  <c r="D49" i="189"/>
  <c r="U43" i="189"/>
  <c r="T43" i="189"/>
  <c r="S43" i="189"/>
  <c r="R43" i="189"/>
  <c r="Q43" i="189"/>
  <c r="P43" i="189"/>
  <c r="O43" i="189"/>
  <c r="N43" i="189"/>
  <c r="M43" i="189"/>
  <c r="L43" i="189"/>
  <c r="K43" i="189"/>
  <c r="J43" i="189"/>
  <c r="I43" i="189"/>
  <c r="H43" i="189"/>
  <c r="G43" i="189"/>
  <c r="F43" i="189"/>
  <c r="E43" i="189"/>
  <c r="D43" i="189"/>
  <c r="U42" i="189"/>
  <c r="T42" i="189"/>
  <c r="S42" i="189"/>
  <c r="R42" i="189"/>
  <c r="Q42" i="189"/>
  <c r="P42" i="189"/>
  <c r="O42" i="189"/>
  <c r="N42" i="189"/>
  <c r="M42" i="189"/>
  <c r="L42" i="189"/>
  <c r="K42" i="189"/>
  <c r="J42" i="189"/>
  <c r="I42" i="189"/>
  <c r="H42" i="189"/>
  <c r="G42" i="189"/>
  <c r="F42" i="189"/>
  <c r="E42" i="189"/>
  <c r="D42" i="189"/>
  <c r="U41" i="189"/>
  <c r="T41" i="189"/>
  <c r="S41" i="189"/>
  <c r="R41" i="189"/>
  <c r="Q41" i="189"/>
  <c r="P41" i="189"/>
  <c r="O41" i="189"/>
  <c r="N41" i="189"/>
  <c r="M41" i="189"/>
  <c r="L41" i="189"/>
  <c r="K41" i="189"/>
  <c r="J41" i="189"/>
  <c r="I41" i="189"/>
  <c r="H41" i="189"/>
  <c r="G41" i="189"/>
  <c r="F41" i="189"/>
  <c r="E41" i="189"/>
  <c r="D41" i="189"/>
  <c r="U40" i="189"/>
  <c r="T40" i="189"/>
  <c r="S40" i="189"/>
  <c r="R40" i="189"/>
  <c r="Q40" i="189"/>
  <c r="P40" i="189"/>
  <c r="O40" i="189"/>
  <c r="N40" i="189"/>
  <c r="M40" i="189"/>
  <c r="L40" i="189"/>
  <c r="K40" i="189"/>
  <c r="J40" i="189"/>
  <c r="I40" i="189"/>
  <c r="H40" i="189"/>
  <c r="G40" i="189"/>
  <c r="F40" i="189"/>
  <c r="E40" i="189"/>
  <c r="D40" i="189"/>
  <c r="U39" i="189"/>
  <c r="T39" i="189"/>
  <c r="S39" i="189"/>
  <c r="R39" i="189"/>
  <c r="Q39" i="189"/>
  <c r="P39" i="189"/>
  <c r="O39" i="189"/>
  <c r="N39" i="189"/>
  <c r="M39" i="189"/>
  <c r="L39" i="189"/>
  <c r="K39" i="189"/>
  <c r="J39" i="189"/>
  <c r="I39" i="189"/>
  <c r="H39" i="189"/>
  <c r="G39" i="189"/>
  <c r="F39" i="189"/>
  <c r="E39" i="189"/>
  <c r="D39" i="189"/>
  <c r="U38" i="189"/>
  <c r="T38" i="189"/>
  <c r="S38" i="189"/>
  <c r="R38" i="189"/>
  <c r="Q38" i="189"/>
  <c r="P38" i="189"/>
  <c r="O38" i="189"/>
  <c r="N38" i="189"/>
  <c r="M38" i="189"/>
  <c r="L38" i="189"/>
  <c r="K38" i="189"/>
  <c r="J38" i="189"/>
  <c r="I38" i="189"/>
  <c r="H38" i="189"/>
  <c r="G38" i="189"/>
  <c r="F38" i="189"/>
  <c r="E38" i="189"/>
  <c r="D38" i="189"/>
  <c r="U37" i="189"/>
  <c r="T37" i="189"/>
  <c r="S37" i="189"/>
  <c r="R37" i="189"/>
  <c r="Q37" i="189"/>
  <c r="P37" i="189"/>
  <c r="O37" i="189"/>
  <c r="N37" i="189"/>
  <c r="M37" i="189"/>
  <c r="L37" i="189"/>
  <c r="K37" i="189"/>
  <c r="J37" i="189"/>
  <c r="I37" i="189"/>
  <c r="H37" i="189"/>
  <c r="G37" i="189"/>
  <c r="F37" i="189"/>
  <c r="E37" i="189"/>
  <c r="D37" i="189"/>
  <c r="U36" i="189"/>
  <c r="T36" i="189"/>
  <c r="S36" i="189"/>
  <c r="R36" i="189"/>
  <c r="Q36" i="189"/>
  <c r="P36" i="189"/>
  <c r="O36" i="189"/>
  <c r="N36" i="189"/>
  <c r="M36" i="189"/>
  <c r="L36" i="189"/>
  <c r="K36" i="189"/>
  <c r="J36" i="189"/>
  <c r="I36" i="189"/>
  <c r="H36" i="189"/>
  <c r="G36" i="189"/>
  <c r="F36" i="189"/>
  <c r="E36" i="189"/>
  <c r="D36" i="189"/>
  <c r="U35" i="189"/>
  <c r="T35" i="189"/>
  <c r="S35" i="189"/>
  <c r="R35" i="189"/>
  <c r="Q35" i="189"/>
  <c r="P35" i="189"/>
  <c r="O35" i="189"/>
  <c r="N35" i="189"/>
  <c r="M35" i="189"/>
  <c r="L35" i="189"/>
  <c r="K35" i="189"/>
  <c r="J35" i="189"/>
  <c r="I35" i="189"/>
  <c r="H35" i="189"/>
  <c r="G35" i="189"/>
  <c r="F35" i="189"/>
  <c r="E35" i="189"/>
  <c r="D35" i="189"/>
  <c r="U34" i="189"/>
  <c r="T34" i="189"/>
  <c r="S34" i="189"/>
  <c r="R34" i="189"/>
  <c r="Q34" i="189"/>
  <c r="P34" i="189"/>
  <c r="O34" i="189"/>
  <c r="N34" i="189"/>
  <c r="M34" i="189"/>
  <c r="L34" i="189"/>
  <c r="K34" i="189"/>
  <c r="J34" i="189"/>
  <c r="I34" i="189"/>
  <c r="H34" i="189"/>
  <c r="G34" i="189"/>
  <c r="F34" i="189"/>
  <c r="E34" i="189"/>
  <c r="D34" i="189"/>
  <c r="P33" i="189"/>
  <c r="U32" i="189"/>
  <c r="T32" i="189"/>
  <c r="S32" i="189"/>
  <c r="R32" i="189"/>
  <c r="Q32" i="189"/>
  <c r="P32" i="189"/>
  <c r="O32" i="189"/>
  <c r="N32" i="189"/>
  <c r="M32" i="189"/>
  <c r="L32" i="189"/>
  <c r="K32" i="189"/>
  <c r="J32" i="189"/>
  <c r="I32" i="189"/>
  <c r="H32" i="189"/>
  <c r="G32" i="189"/>
  <c r="F32" i="189"/>
  <c r="E32" i="189"/>
  <c r="D32" i="189"/>
  <c r="U31" i="189"/>
  <c r="T31" i="189"/>
  <c r="S31" i="189"/>
  <c r="R31" i="189"/>
  <c r="Q31" i="189"/>
  <c r="P31" i="189"/>
  <c r="O31" i="189"/>
  <c r="N31" i="189"/>
  <c r="M31" i="189"/>
  <c r="L31" i="189"/>
  <c r="K31" i="189"/>
  <c r="J31" i="189"/>
  <c r="I31" i="189"/>
  <c r="H31" i="189"/>
  <c r="G31" i="189"/>
  <c r="F31" i="189"/>
  <c r="E31" i="189"/>
  <c r="D31" i="189"/>
  <c r="U30" i="189"/>
  <c r="T30" i="189"/>
  <c r="S30" i="189"/>
  <c r="R30" i="189"/>
  <c r="Q30" i="189"/>
  <c r="P30" i="189"/>
  <c r="O30" i="189"/>
  <c r="N30" i="189"/>
  <c r="M30" i="189"/>
  <c r="L30" i="189"/>
  <c r="K30" i="189"/>
  <c r="J30" i="189"/>
  <c r="I30" i="189"/>
  <c r="H30" i="189"/>
  <c r="G30" i="189"/>
  <c r="F30" i="189"/>
  <c r="E30" i="189"/>
  <c r="D30" i="189"/>
  <c r="U29" i="189"/>
  <c r="T29" i="189"/>
  <c r="S29" i="189"/>
  <c r="R29" i="189"/>
  <c r="Q29" i="189"/>
  <c r="P29" i="189"/>
  <c r="O29" i="189"/>
  <c r="N29" i="189"/>
  <c r="M29" i="189"/>
  <c r="L29" i="189"/>
  <c r="K29" i="189"/>
  <c r="J29" i="189"/>
  <c r="I29" i="189"/>
  <c r="H29" i="189"/>
  <c r="G29" i="189"/>
  <c r="F29" i="189"/>
  <c r="E29" i="189"/>
  <c r="D29" i="189"/>
  <c r="U28" i="189"/>
  <c r="T28" i="189"/>
  <c r="S28" i="189"/>
  <c r="R28" i="189"/>
  <c r="Q28" i="189"/>
  <c r="P28" i="189"/>
  <c r="O28" i="189"/>
  <c r="N28" i="189"/>
  <c r="M28" i="189"/>
  <c r="L28" i="189"/>
  <c r="K28" i="189"/>
  <c r="J28" i="189"/>
  <c r="I28" i="189"/>
  <c r="H28" i="189"/>
  <c r="G28" i="189"/>
  <c r="F28" i="189"/>
  <c r="E28" i="189"/>
  <c r="D28" i="189"/>
  <c r="U27" i="189"/>
  <c r="T27" i="189"/>
  <c r="S27" i="189"/>
  <c r="R27" i="189"/>
  <c r="Q27" i="189"/>
  <c r="P27" i="189"/>
  <c r="O27" i="189"/>
  <c r="N27" i="189"/>
  <c r="M27" i="189"/>
  <c r="L27" i="189"/>
  <c r="K27" i="189"/>
  <c r="J27" i="189"/>
  <c r="I27" i="189"/>
  <c r="H27" i="189"/>
  <c r="G27" i="189"/>
  <c r="F27" i="189"/>
  <c r="E27" i="189"/>
  <c r="D27" i="189"/>
  <c r="U26" i="189"/>
  <c r="T26" i="189"/>
  <c r="S26" i="189"/>
  <c r="R26" i="189"/>
  <c r="Q26" i="189"/>
  <c r="P26" i="189"/>
  <c r="O26" i="189"/>
  <c r="N26" i="189"/>
  <c r="M26" i="189"/>
  <c r="L26" i="189"/>
  <c r="K26" i="189"/>
  <c r="J26" i="189"/>
  <c r="I26" i="189"/>
  <c r="H26" i="189"/>
  <c r="G26" i="189"/>
  <c r="F26" i="189"/>
  <c r="E26" i="189"/>
  <c r="D26" i="189"/>
  <c r="U25" i="189"/>
  <c r="T25" i="189"/>
  <c r="S25" i="189"/>
  <c r="R25" i="189"/>
  <c r="Q25" i="189"/>
  <c r="P25" i="189"/>
  <c r="O25" i="189"/>
  <c r="N25" i="189"/>
  <c r="M25" i="189"/>
  <c r="L25" i="189"/>
  <c r="K25" i="189"/>
  <c r="J25" i="189"/>
  <c r="I25" i="189"/>
  <c r="H25" i="189"/>
  <c r="G25" i="189"/>
  <c r="F25" i="189"/>
  <c r="E25" i="189"/>
  <c r="D25" i="189"/>
  <c r="U24" i="189"/>
  <c r="T24" i="189"/>
  <c r="S24" i="189"/>
  <c r="R24" i="189"/>
  <c r="Q24" i="189"/>
  <c r="P24" i="189"/>
  <c r="O24" i="189"/>
  <c r="N24" i="189"/>
  <c r="M24" i="189"/>
  <c r="L24" i="189"/>
  <c r="K24" i="189"/>
  <c r="J24" i="189"/>
  <c r="I24" i="189"/>
  <c r="H24" i="189"/>
  <c r="G24" i="189"/>
  <c r="F24" i="189"/>
  <c r="E24" i="189"/>
  <c r="D24" i="189"/>
  <c r="U23" i="189"/>
  <c r="T23" i="189"/>
  <c r="S23" i="189"/>
  <c r="R23" i="189"/>
  <c r="Q23" i="189"/>
  <c r="P23" i="189"/>
  <c r="O23" i="189"/>
  <c r="N23" i="189"/>
  <c r="M23" i="189"/>
  <c r="L23" i="189"/>
  <c r="K23" i="189"/>
  <c r="J23" i="189"/>
  <c r="I23" i="189"/>
  <c r="H23" i="189"/>
  <c r="G23" i="189"/>
  <c r="F23" i="189"/>
  <c r="E23" i="189"/>
  <c r="D23" i="189"/>
  <c r="U22" i="189"/>
  <c r="T22" i="189"/>
  <c r="S22" i="189"/>
  <c r="R22" i="189"/>
  <c r="Q22" i="189"/>
  <c r="P22" i="189"/>
  <c r="O22" i="189"/>
  <c r="N22" i="189"/>
  <c r="M22" i="189"/>
  <c r="L22" i="189"/>
  <c r="K22" i="189"/>
  <c r="J22" i="189"/>
  <c r="I22" i="189"/>
  <c r="H22" i="189"/>
  <c r="G22" i="189"/>
  <c r="F22" i="189"/>
  <c r="E22" i="189"/>
  <c r="D22" i="189"/>
  <c r="U21" i="189"/>
  <c r="T21" i="189"/>
  <c r="S21" i="189"/>
  <c r="R21" i="189"/>
  <c r="Q21" i="189"/>
  <c r="P21" i="189"/>
  <c r="O21" i="189"/>
  <c r="N21" i="189"/>
  <c r="M21" i="189"/>
  <c r="L21" i="189"/>
  <c r="K21" i="189"/>
  <c r="J21" i="189"/>
  <c r="I21" i="189"/>
  <c r="H21" i="189"/>
  <c r="G21" i="189"/>
  <c r="F21" i="189"/>
  <c r="E21" i="189"/>
  <c r="D21" i="189"/>
  <c r="U20" i="189"/>
  <c r="T20" i="189"/>
  <c r="S20" i="189"/>
  <c r="R20" i="189"/>
  <c r="Q20" i="189"/>
  <c r="P20" i="189"/>
  <c r="O20" i="189"/>
  <c r="N20" i="189"/>
  <c r="M20" i="189"/>
  <c r="L20" i="189"/>
  <c r="K20" i="189"/>
  <c r="J20" i="189"/>
  <c r="I20" i="189"/>
  <c r="H20" i="189"/>
  <c r="G20" i="189"/>
  <c r="F20" i="189"/>
  <c r="E20" i="189"/>
  <c r="D20" i="189"/>
  <c r="P19" i="189"/>
  <c r="U18" i="189"/>
  <c r="T18" i="189"/>
  <c r="S18" i="189"/>
  <c r="R18" i="189"/>
  <c r="Q18" i="189"/>
  <c r="P18" i="189"/>
  <c r="O18" i="189"/>
  <c r="N18" i="189"/>
  <c r="M18" i="189"/>
  <c r="L18" i="189"/>
  <c r="K18" i="189"/>
  <c r="J18" i="189"/>
  <c r="I18" i="189"/>
  <c r="H18" i="189"/>
  <c r="G18" i="189"/>
  <c r="F18" i="189"/>
  <c r="E18" i="189"/>
  <c r="D18" i="189"/>
  <c r="U17" i="189"/>
  <c r="T17" i="189"/>
  <c r="S17" i="189"/>
  <c r="R17" i="189"/>
  <c r="Q17" i="189"/>
  <c r="P17" i="189"/>
  <c r="O17" i="189"/>
  <c r="N17" i="189"/>
  <c r="M17" i="189"/>
  <c r="L17" i="189"/>
  <c r="K17" i="189"/>
  <c r="J17" i="189"/>
  <c r="I17" i="189"/>
  <c r="H17" i="189"/>
  <c r="G17" i="189"/>
  <c r="F17" i="189"/>
  <c r="E17" i="189"/>
  <c r="D17" i="189"/>
  <c r="U16" i="189"/>
  <c r="T16" i="189"/>
  <c r="S16" i="189"/>
  <c r="R16" i="189"/>
  <c r="Q16" i="189"/>
  <c r="P16" i="189"/>
  <c r="O16" i="189"/>
  <c r="N16" i="189"/>
  <c r="M16" i="189"/>
  <c r="L16" i="189"/>
  <c r="K16" i="189"/>
  <c r="J16" i="189"/>
  <c r="I16" i="189"/>
  <c r="H16" i="189"/>
  <c r="G16" i="189"/>
  <c r="F16" i="189"/>
  <c r="E16" i="189"/>
  <c r="D16" i="189"/>
  <c r="U15" i="189"/>
  <c r="T15" i="189"/>
  <c r="S15" i="189"/>
  <c r="R15" i="189"/>
  <c r="Q15" i="189"/>
  <c r="P15" i="189"/>
  <c r="O15" i="189"/>
  <c r="N15" i="189"/>
  <c r="M15" i="189"/>
  <c r="L15" i="189"/>
  <c r="K15" i="189"/>
  <c r="J15" i="189"/>
  <c r="I15" i="189"/>
  <c r="H15" i="189"/>
  <c r="G15" i="189"/>
  <c r="F15" i="189"/>
  <c r="E15" i="189"/>
  <c r="D15" i="189"/>
  <c r="U14" i="189"/>
  <c r="T14" i="189"/>
  <c r="S14" i="189"/>
  <c r="R14" i="189"/>
  <c r="Q14" i="189"/>
  <c r="P14" i="189"/>
  <c r="O14" i="189"/>
  <c r="N14" i="189"/>
  <c r="M14" i="189"/>
  <c r="L14" i="189"/>
  <c r="K14" i="189"/>
  <c r="J14" i="189"/>
  <c r="I14" i="189"/>
  <c r="H14" i="189"/>
  <c r="G14" i="189"/>
  <c r="F14" i="189"/>
  <c r="E14" i="189"/>
  <c r="D14" i="189"/>
  <c r="U13" i="189"/>
  <c r="T13" i="189"/>
  <c r="S13" i="189"/>
  <c r="R13" i="189"/>
  <c r="Q13" i="189"/>
  <c r="P13" i="189"/>
  <c r="O13" i="189"/>
  <c r="N13" i="189"/>
  <c r="M13" i="189"/>
  <c r="L13" i="189"/>
  <c r="K13" i="189"/>
  <c r="J13" i="189"/>
  <c r="I13" i="189"/>
  <c r="H13" i="189"/>
  <c r="G13" i="189"/>
  <c r="F13" i="189"/>
  <c r="E13" i="189"/>
  <c r="D13" i="189"/>
  <c r="U12" i="189"/>
  <c r="T12" i="189"/>
  <c r="S12" i="189"/>
  <c r="R12" i="189"/>
  <c r="Q12" i="189"/>
  <c r="P12" i="189"/>
  <c r="O12" i="189"/>
  <c r="N12" i="189"/>
  <c r="M12" i="189"/>
  <c r="L12" i="189"/>
  <c r="K12" i="189"/>
  <c r="J12" i="189"/>
  <c r="I12" i="189"/>
  <c r="H12" i="189"/>
  <c r="G12" i="189"/>
  <c r="F12" i="189"/>
  <c r="E12" i="189"/>
  <c r="D12" i="189"/>
  <c r="U413" i="188"/>
  <c r="T413" i="188"/>
  <c r="S413" i="188"/>
  <c r="R413" i="188"/>
  <c r="Q413" i="188"/>
  <c r="P413" i="188"/>
  <c r="O413" i="188"/>
  <c r="N413" i="188"/>
  <c r="M413" i="188"/>
  <c r="L413" i="188"/>
  <c r="K413" i="188"/>
  <c r="J413" i="188"/>
  <c r="I413" i="188"/>
  <c r="H413" i="188"/>
  <c r="G413" i="188"/>
  <c r="F413" i="188"/>
  <c r="E413" i="188"/>
  <c r="D413" i="188"/>
  <c r="U412" i="188"/>
  <c r="T412" i="188"/>
  <c r="S412" i="188"/>
  <c r="R412" i="188"/>
  <c r="Q412" i="188"/>
  <c r="P412" i="188"/>
  <c r="O412" i="188"/>
  <c r="N412" i="188"/>
  <c r="M412" i="188"/>
  <c r="L412" i="188"/>
  <c r="K412" i="188"/>
  <c r="J412" i="188"/>
  <c r="I412" i="188"/>
  <c r="H412" i="188"/>
  <c r="G412" i="188"/>
  <c r="F412" i="188"/>
  <c r="E412" i="188"/>
  <c r="D412" i="188"/>
  <c r="U411" i="188"/>
  <c r="T411" i="188"/>
  <c r="S411" i="188"/>
  <c r="R411" i="188"/>
  <c r="Q411" i="188"/>
  <c r="P411" i="188"/>
  <c r="O411" i="188"/>
  <c r="N411" i="188"/>
  <c r="M411" i="188"/>
  <c r="L411" i="188"/>
  <c r="K411" i="188"/>
  <c r="J411" i="188"/>
  <c r="I411" i="188"/>
  <c r="H411" i="188"/>
  <c r="G411" i="188"/>
  <c r="F411" i="188"/>
  <c r="E411" i="188"/>
  <c r="D411" i="188"/>
  <c r="U410" i="188"/>
  <c r="T410" i="188"/>
  <c r="S410" i="188"/>
  <c r="R410" i="188"/>
  <c r="Q410" i="188"/>
  <c r="P410" i="188"/>
  <c r="O410" i="188"/>
  <c r="N410" i="188"/>
  <c r="M410" i="188"/>
  <c r="L410" i="188"/>
  <c r="K410" i="188"/>
  <c r="J410" i="188"/>
  <c r="I410" i="188"/>
  <c r="H410" i="188"/>
  <c r="G410" i="188"/>
  <c r="F410" i="188"/>
  <c r="E410" i="188"/>
  <c r="D410" i="188"/>
  <c r="U409" i="188"/>
  <c r="T409" i="188"/>
  <c r="S409" i="188"/>
  <c r="R409" i="188"/>
  <c r="Q409" i="188"/>
  <c r="P409" i="188"/>
  <c r="O409" i="188"/>
  <c r="N409" i="188"/>
  <c r="M409" i="188"/>
  <c r="L409" i="188"/>
  <c r="K409" i="188"/>
  <c r="J409" i="188"/>
  <c r="I409" i="188"/>
  <c r="H409" i="188"/>
  <c r="G409" i="188"/>
  <c r="F409" i="188"/>
  <c r="E409" i="188"/>
  <c r="D409" i="188"/>
  <c r="U408" i="188"/>
  <c r="T408" i="188"/>
  <c r="S408" i="188"/>
  <c r="R408" i="188"/>
  <c r="Q408" i="188"/>
  <c r="P408" i="188"/>
  <c r="O408" i="188"/>
  <c r="N408" i="188"/>
  <c r="M408" i="188"/>
  <c r="L408" i="188"/>
  <c r="K408" i="188"/>
  <c r="J408" i="188"/>
  <c r="I408" i="188"/>
  <c r="H408" i="188"/>
  <c r="G408" i="188"/>
  <c r="F408" i="188"/>
  <c r="E408" i="188"/>
  <c r="D408" i="188"/>
  <c r="U407" i="188"/>
  <c r="T407" i="188"/>
  <c r="S407" i="188"/>
  <c r="R407" i="188"/>
  <c r="Q407" i="188"/>
  <c r="P407" i="188"/>
  <c r="O407" i="188"/>
  <c r="N407" i="188"/>
  <c r="M407" i="188"/>
  <c r="L407" i="188"/>
  <c r="K407" i="188"/>
  <c r="J407" i="188"/>
  <c r="I407" i="188"/>
  <c r="H407" i="188"/>
  <c r="G407" i="188"/>
  <c r="F407" i="188"/>
  <c r="E407" i="188"/>
  <c r="D407" i="188"/>
  <c r="U406" i="188"/>
  <c r="T406" i="188"/>
  <c r="S406" i="188"/>
  <c r="R406" i="188"/>
  <c r="Q406" i="188"/>
  <c r="P406" i="188"/>
  <c r="O406" i="188"/>
  <c r="N406" i="188"/>
  <c r="M406" i="188"/>
  <c r="L406" i="188"/>
  <c r="K406" i="188"/>
  <c r="J406" i="188"/>
  <c r="I406" i="188"/>
  <c r="H406" i="188"/>
  <c r="G406" i="188"/>
  <c r="F406" i="188"/>
  <c r="E406" i="188"/>
  <c r="D406" i="188"/>
  <c r="U405" i="188"/>
  <c r="T405" i="188"/>
  <c r="S405" i="188"/>
  <c r="R405" i="188"/>
  <c r="Q405" i="188"/>
  <c r="P405" i="188"/>
  <c r="O405" i="188"/>
  <c r="N405" i="188"/>
  <c r="M405" i="188"/>
  <c r="L405" i="188"/>
  <c r="K405" i="188"/>
  <c r="J405" i="188"/>
  <c r="I405" i="188"/>
  <c r="H405" i="188"/>
  <c r="G405" i="188"/>
  <c r="F405" i="188"/>
  <c r="E405" i="188"/>
  <c r="D405" i="188"/>
  <c r="U404" i="188"/>
  <c r="T404" i="188"/>
  <c r="S404" i="188"/>
  <c r="R404" i="188"/>
  <c r="Q404" i="188"/>
  <c r="P404" i="188"/>
  <c r="O404" i="188"/>
  <c r="N404" i="188"/>
  <c r="M404" i="188"/>
  <c r="L404" i="188"/>
  <c r="K404" i="188"/>
  <c r="J404" i="188"/>
  <c r="I404" i="188"/>
  <c r="H404" i="188"/>
  <c r="G404" i="188"/>
  <c r="F404" i="188"/>
  <c r="E404" i="188"/>
  <c r="D404" i="188"/>
  <c r="P403" i="188"/>
  <c r="U402" i="188"/>
  <c r="T402" i="188"/>
  <c r="S402" i="188"/>
  <c r="R402" i="188"/>
  <c r="Q402" i="188"/>
  <c r="P402" i="188"/>
  <c r="O402" i="188"/>
  <c r="N402" i="188"/>
  <c r="M402" i="188"/>
  <c r="L402" i="188"/>
  <c r="K402" i="188"/>
  <c r="J402" i="188"/>
  <c r="I402" i="188"/>
  <c r="H402" i="188"/>
  <c r="G402" i="188"/>
  <c r="F402" i="188"/>
  <c r="E402" i="188"/>
  <c r="D402" i="188"/>
  <c r="U401" i="188"/>
  <c r="T401" i="188"/>
  <c r="S401" i="188"/>
  <c r="R401" i="188"/>
  <c r="Q401" i="188"/>
  <c r="P401" i="188"/>
  <c r="O401" i="188"/>
  <c r="N401" i="188"/>
  <c r="M401" i="188"/>
  <c r="L401" i="188"/>
  <c r="K401" i="188"/>
  <c r="J401" i="188"/>
  <c r="I401" i="188"/>
  <c r="H401" i="188"/>
  <c r="G401" i="188"/>
  <c r="F401" i="188"/>
  <c r="E401" i="188"/>
  <c r="D401" i="188"/>
  <c r="U400" i="188"/>
  <c r="T400" i="188"/>
  <c r="S400" i="188"/>
  <c r="R400" i="188"/>
  <c r="Q400" i="188"/>
  <c r="P400" i="188"/>
  <c r="O400" i="188"/>
  <c r="N400" i="188"/>
  <c r="M400" i="188"/>
  <c r="L400" i="188"/>
  <c r="K400" i="188"/>
  <c r="J400" i="188"/>
  <c r="I400" i="188"/>
  <c r="H400" i="188"/>
  <c r="G400" i="188"/>
  <c r="F400" i="188"/>
  <c r="E400" i="188"/>
  <c r="D400" i="188"/>
  <c r="U399" i="188"/>
  <c r="T399" i="188"/>
  <c r="S399" i="188"/>
  <c r="R399" i="188"/>
  <c r="Q399" i="188"/>
  <c r="P399" i="188"/>
  <c r="O399" i="188"/>
  <c r="N399" i="188"/>
  <c r="M399" i="188"/>
  <c r="L399" i="188"/>
  <c r="K399" i="188"/>
  <c r="J399" i="188"/>
  <c r="I399" i="188"/>
  <c r="H399" i="188"/>
  <c r="G399" i="188"/>
  <c r="F399" i="188"/>
  <c r="E399" i="188"/>
  <c r="D399" i="188"/>
  <c r="U398" i="188"/>
  <c r="T398" i="188"/>
  <c r="S398" i="188"/>
  <c r="R398" i="188"/>
  <c r="Q398" i="188"/>
  <c r="P398" i="188"/>
  <c r="O398" i="188"/>
  <c r="N398" i="188"/>
  <c r="M398" i="188"/>
  <c r="L398" i="188"/>
  <c r="K398" i="188"/>
  <c r="J398" i="188"/>
  <c r="I398" i="188"/>
  <c r="H398" i="188"/>
  <c r="G398" i="188"/>
  <c r="F398" i="188"/>
  <c r="E398" i="188"/>
  <c r="D398" i="188"/>
  <c r="U397" i="188"/>
  <c r="T397" i="188"/>
  <c r="S397" i="188"/>
  <c r="R397" i="188"/>
  <c r="Q397" i="188"/>
  <c r="P397" i="188"/>
  <c r="O397" i="188"/>
  <c r="N397" i="188"/>
  <c r="M397" i="188"/>
  <c r="L397" i="188"/>
  <c r="K397" i="188"/>
  <c r="J397" i="188"/>
  <c r="I397" i="188"/>
  <c r="H397" i="188"/>
  <c r="G397" i="188"/>
  <c r="F397" i="188"/>
  <c r="E397" i="188"/>
  <c r="D397" i="188"/>
  <c r="U396" i="188"/>
  <c r="T396" i="188"/>
  <c r="S396" i="188"/>
  <c r="R396" i="188"/>
  <c r="Q396" i="188"/>
  <c r="P396" i="188"/>
  <c r="O396" i="188"/>
  <c r="N396" i="188"/>
  <c r="M396" i="188"/>
  <c r="L396" i="188"/>
  <c r="K396" i="188"/>
  <c r="J396" i="188"/>
  <c r="I396" i="188"/>
  <c r="H396" i="188"/>
  <c r="G396" i="188"/>
  <c r="F396" i="188"/>
  <c r="E396" i="188"/>
  <c r="D396" i="188"/>
  <c r="U395" i="188"/>
  <c r="T395" i="188"/>
  <c r="S395" i="188"/>
  <c r="R395" i="188"/>
  <c r="Q395" i="188"/>
  <c r="P395" i="188"/>
  <c r="O395" i="188"/>
  <c r="N395" i="188"/>
  <c r="M395" i="188"/>
  <c r="L395" i="188"/>
  <c r="K395" i="188"/>
  <c r="J395" i="188"/>
  <c r="I395" i="188"/>
  <c r="H395" i="188"/>
  <c r="G395" i="188"/>
  <c r="F395" i="188"/>
  <c r="E395" i="188"/>
  <c r="D395" i="188"/>
  <c r="U394" i="188"/>
  <c r="T394" i="188"/>
  <c r="S394" i="188"/>
  <c r="R394" i="188"/>
  <c r="Q394" i="188"/>
  <c r="P394" i="188"/>
  <c r="O394" i="188"/>
  <c r="N394" i="188"/>
  <c r="M394" i="188"/>
  <c r="L394" i="188"/>
  <c r="K394" i="188"/>
  <c r="J394" i="188"/>
  <c r="I394" i="188"/>
  <c r="H394" i="188"/>
  <c r="G394" i="188"/>
  <c r="F394" i="188"/>
  <c r="E394" i="188"/>
  <c r="D394" i="188"/>
  <c r="U393" i="188"/>
  <c r="T393" i="188"/>
  <c r="S393" i="188"/>
  <c r="R393" i="188"/>
  <c r="Q393" i="188"/>
  <c r="P393" i="188"/>
  <c r="O393" i="188"/>
  <c r="N393" i="188"/>
  <c r="M393" i="188"/>
  <c r="L393" i="188"/>
  <c r="K393" i="188"/>
  <c r="J393" i="188"/>
  <c r="I393" i="188"/>
  <c r="H393" i="188"/>
  <c r="G393" i="188"/>
  <c r="F393" i="188"/>
  <c r="E393" i="188"/>
  <c r="D393" i="188"/>
  <c r="U392" i="188"/>
  <c r="T392" i="188"/>
  <c r="S392" i="188"/>
  <c r="R392" i="188"/>
  <c r="Q392" i="188"/>
  <c r="P392" i="188"/>
  <c r="O392" i="188"/>
  <c r="N392" i="188"/>
  <c r="M392" i="188"/>
  <c r="L392" i="188"/>
  <c r="K392" i="188"/>
  <c r="J392" i="188"/>
  <c r="I392" i="188"/>
  <c r="H392" i="188"/>
  <c r="G392" i="188"/>
  <c r="F392" i="188"/>
  <c r="E392" i="188"/>
  <c r="D392" i="188"/>
  <c r="U391" i="188"/>
  <c r="T391" i="188"/>
  <c r="S391" i="188"/>
  <c r="R391" i="188"/>
  <c r="Q391" i="188"/>
  <c r="P391" i="188"/>
  <c r="O391" i="188"/>
  <c r="N391" i="188"/>
  <c r="M391" i="188"/>
  <c r="L391" i="188"/>
  <c r="K391" i="188"/>
  <c r="J391" i="188"/>
  <c r="I391" i="188"/>
  <c r="H391" i="188"/>
  <c r="G391" i="188"/>
  <c r="F391" i="188"/>
  <c r="E391" i="188"/>
  <c r="D391" i="188"/>
  <c r="U390" i="188"/>
  <c r="T390" i="188"/>
  <c r="S390" i="188"/>
  <c r="R390" i="188"/>
  <c r="Q390" i="188"/>
  <c r="P390" i="188"/>
  <c r="O390" i="188"/>
  <c r="N390" i="188"/>
  <c r="M390" i="188"/>
  <c r="L390" i="188"/>
  <c r="K390" i="188"/>
  <c r="J390" i="188"/>
  <c r="I390" i="188"/>
  <c r="H390" i="188"/>
  <c r="G390" i="188"/>
  <c r="F390" i="188"/>
  <c r="E390" i="188"/>
  <c r="D390" i="188"/>
  <c r="P389" i="188"/>
  <c r="U388" i="188"/>
  <c r="T388" i="188"/>
  <c r="S388" i="188"/>
  <c r="R388" i="188"/>
  <c r="Q388" i="188"/>
  <c r="P388" i="188"/>
  <c r="O388" i="188"/>
  <c r="N388" i="188"/>
  <c r="M388" i="188"/>
  <c r="L388" i="188"/>
  <c r="K388" i="188"/>
  <c r="J388" i="188"/>
  <c r="I388" i="188"/>
  <c r="H388" i="188"/>
  <c r="G388" i="188"/>
  <c r="F388" i="188"/>
  <c r="E388" i="188"/>
  <c r="D388" i="188"/>
  <c r="U387" i="188"/>
  <c r="T387" i="188"/>
  <c r="S387" i="188"/>
  <c r="R387" i="188"/>
  <c r="Q387" i="188"/>
  <c r="P387" i="188"/>
  <c r="O387" i="188"/>
  <c r="N387" i="188"/>
  <c r="M387" i="188"/>
  <c r="L387" i="188"/>
  <c r="K387" i="188"/>
  <c r="J387" i="188"/>
  <c r="I387" i="188"/>
  <c r="H387" i="188"/>
  <c r="G387" i="188"/>
  <c r="F387" i="188"/>
  <c r="E387" i="188"/>
  <c r="D387" i="188"/>
  <c r="U386" i="188"/>
  <c r="T386" i="188"/>
  <c r="S386" i="188"/>
  <c r="R386" i="188"/>
  <c r="Q386" i="188"/>
  <c r="P386" i="188"/>
  <c r="O386" i="188"/>
  <c r="N386" i="188"/>
  <c r="M386" i="188"/>
  <c r="L386" i="188"/>
  <c r="K386" i="188"/>
  <c r="J386" i="188"/>
  <c r="I386" i="188"/>
  <c r="H386" i="188"/>
  <c r="G386" i="188"/>
  <c r="F386" i="188"/>
  <c r="E386" i="188"/>
  <c r="D386" i="188"/>
  <c r="U385" i="188"/>
  <c r="T385" i="188"/>
  <c r="S385" i="188"/>
  <c r="R385" i="188"/>
  <c r="Q385" i="188"/>
  <c r="P385" i="188"/>
  <c r="O385" i="188"/>
  <c r="N385" i="188"/>
  <c r="M385" i="188"/>
  <c r="L385" i="188"/>
  <c r="K385" i="188"/>
  <c r="J385" i="188"/>
  <c r="I385" i="188"/>
  <c r="H385" i="188"/>
  <c r="G385" i="188"/>
  <c r="F385" i="188"/>
  <c r="E385" i="188"/>
  <c r="D385" i="188"/>
  <c r="U384" i="188"/>
  <c r="T384" i="188"/>
  <c r="S384" i="188"/>
  <c r="R384" i="188"/>
  <c r="Q384" i="188"/>
  <c r="P384" i="188"/>
  <c r="O384" i="188"/>
  <c r="N384" i="188"/>
  <c r="M384" i="188"/>
  <c r="L384" i="188"/>
  <c r="K384" i="188"/>
  <c r="J384" i="188"/>
  <c r="I384" i="188"/>
  <c r="H384" i="188"/>
  <c r="G384" i="188"/>
  <c r="F384" i="188"/>
  <c r="E384" i="188"/>
  <c r="D384" i="188"/>
  <c r="U383" i="188"/>
  <c r="T383" i="188"/>
  <c r="S383" i="188"/>
  <c r="R383" i="188"/>
  <c r="Q383" i="188"/>
  <c r="P383" i="188"/>
  <c r="O383" i="188"/>
  <c r="N383" i="188"/>
  <c r="M383" i="188"/>
  <c r="L383" i="188"/>
  <c r="K383" i="188"/>
  <c r="J383" i="188"/>
  <c r="I383" i="188"/>
  <c r="H383" i="188"/>
  <c r="G383" i="188"/>
  <c r="F383" i="188"/>
  <c r="E383" i="188"/>
  <c r="D383" i="188"/>
  <c r="U382" i="188"/>
  <c r="T382" i="188"/>
  <c r="S382" i="188"/>
  <c r="R382" i="188"/>
  <c r="Q382" i="188"/>
  <c r="P382" i="188"/>
  <c r="O382" i="188"/>
  <c r="N382" i="188"/>
  <c r="M382" i="188"/>
  <c r="L382" i="188"/>
  <c r="K382" i="188"/>
  <c r="J382" i="188"/>
  <c r="I382" i="188"/>
  <c r="H382" i="188"/>
  <c r="G382" i="188"/>
  <c r="F382" i="188"/>
  <c r="E382" i="188"/>
  <c r="D382" i="188"/>
  <c r="U376" i="188"/>
  <c r="T376" i="188"/>
  <c r="S376" i="188"/>
  <c r="R376" i="188"/>
  <c r="Q376" i="188"/>
  <c r="P376" i="188"/>
  <c r="O376" i="188"/>
  <c r="N376" i="188"/>
  <c r="M376" i="188"/>
  <c r="L376" i="188"/>
  <c r="K376" i="188"/>
  <c r="J376" i="188"/>
  <c r="I376" i="188"/>
  <c r="H376" i="188"/>
  <c r="G376" i="188"/>
  <c r="F376" i="188"/>
  <c r="E376" i="188"/>
  <c r="D376" i="188"/>
  <c r="U375" i="188"/>
  <c r="T375" i="188"/>
  <c r="S375" i="188"/>
  <c r="R375" i="188"/>
  <c r="Q375" i="188"/>
  <c r="P375" i="188"/>
  <c r="O375" i="188"/>
  <c r="N375" i="188"/>
  <c r="M375" i="188"/>
  <c r="L375" i="188"/>
  <c r="K375" i="188"/>
  <c r="J375" i="188"/>
  <c r="I375" i="188"/>
  <c r="H375" i="188"/>
  <c r="G375" i="188"/>
  <c r="F375" i="188"/>
  <c r="E375" i="188"/>
  <c r="D375" i="188"/>
  <c r="U374" i="188"/>
  <c r="T374" i="188"/>
  <c r="S374" i="188"/>
  <c r="R374" i="188"/>
  <c r="Q374" i="188"/>
  <c r="P374" i="188"/>
  <c r="O374" i="188"/>
  <c r="N374" i="188"/>
  <c r="M374" i="188"/>
  <c r="L374" i="188"/>
  <c r="K374" i="188"/>
  <c r="J374" i="188"/>
  <c r="I374" i="188"/>
  <c r="H374" i="188"/>
  <c r="G374" i="188"/>
  <c r="F374" i="188"/>
  <c r="E374" i="188"/>
  <c r="D374" i="188"/>
  <c r="U373" i="188"/>
  <c r="T373" i="188"/>
  <c r="S373" i="188"/>
  <c r="R373" i="188"/>
  <c r="Q373" i="188"/>
  <c r="P373" i="188"/>
  <c r="O373" i="188"/>
  <c r="N373" i="188"/>
  <c r="M373" i="188"/>
  <c r="L373" i="188"/>
  <c r="K373" i="188"/>
  <c r="J373" i="188"/>
  <c r="I373" i="188"/>
  <c r="H373" i="188"/>
  <c r="G373" i="188"/>
  <c r="F373" i="188"/>
  <c r="E373" i="188"/>
  <c r="D373" i="188"/>
  <c r="U372" i="188"/>
  <c r="T372" i="188"/>
  <c r="S372" i="188"/>
  <c r="R372" i="188"/>
  <c r="Q372" i="188"/>
  <c r="P372" i="188"/>
  <c r="O372" i="188"/>
  <c r="N372" i="188"/>
  <c r="M372" i="188"/>
  <c r="L372" i="188"/>
  <c r="K372" i="188"/>
  <c r="J372" i="188"/>
  <c r="I372" i="188"/>
  <c r="H372" i="188"/>
  <c r="G372" i="188"/>
  <c r="F372" i="188"/>
  <c r="E372" i="188"/>
  <c r="D372" i="188"/>
  <c r="U371" i="188"/>
  <c r="T371" i="188"/>
  <c r="S371" i="188"/>
  <c r="R371" i="188"/>
  <c r="Q371" i="188"/>
  <c r="P371" i="188"/>
  <c r="O371" i="188"/>
  <c r="N371" i="188"/>
  <c r="M371" i="188"/>
  <c r="L371" i="188"/>
  <c r="K371" i="188"/>
  <c r="J371" i="188"/>
  <c r="I371" i="188"/>
  <c r="H371" i="188"/>
  <c r="G371" i="188"/>
  <c r="F371" i="188"/>
  <c r="E371" i="188"/>
  <c r="D371" i="188"/>
  <c r="U370" i="188"/>
  <c r="T370" i="188"/>
  <c r="S370" i="188"/>
  <c r="R370" i="188"/>
  <c r="Q370" i="188"/>
  <c r="P370" i="188"/>
  <c r="O370" i="188"/>
  <c r="N370" i="188"/>
  <c r="M370" i="188"/>
  <c r="L370" i="188"/>
  <c r="K370" i="188"/>
  <c r="J370" i="188"/>
  <c r="I370" i="188"/>
  <c r="H370" i="188"/>
  <c r="G370" i="188"/>
  <c r="F370" i="188"/>
  <c r="E370" i="188"/>
  <c r="D370" i="188"/>
  <c r="U369" i="188"/>
  <c r="T369" i="188"/>
  <c r="S369" i="188"/>
  <c r="R369" i="188"/>
  <c r="Q369" i="188"/>
  <c r="P369" i="188"/>
  <c r="O369" i="188"/>
  <c r="N369" i="188"/>
  <c r="M369" i="188"/>
  <c r="L369" i="188"/>
  <c r="K369" i="188"/>
  <c r="J369" i="188"/>
  <c r="I369" i="188"/>
  <c r="H369" i="188"/>
  <c r="G369" i="188"/>
  <c r="F369" i="188"/>
  <c r="E369" i="188"/>
  <c r="D369" i="188"/>
  <c r="U368" i="188"/>
  <c r="T368" i="188"/>
  <c r="S368" i="188"/>
  <c r="R368" i="188"/>
  <c r="Q368" i="188"/>
  <c r="P368" i="188"/>
  <c r="O368" i="188"/>
  <c r="N368" i="188"/>
  <c r="M368" i="188"/>
  <c r="L368" i="188"/>
  <c r="K368" i="188"/>
  <c r="J368" i="188"/>
  <c r="I368" i="188"/>
  <c r="H368" i="188"/>
  <c r="G368" i="188"/>
  <c r="F368" i="188"/>
  <c r="E368" i="188"/>
  <c r="D368" i="188"/>
  <c r="U367" i="188"/>
  <c r="T367" i="188"/>
  <c r="S367" i="188"/>
  <c r="R367" i="188"/>
  <c r="Q367" i="188"/>
  <c r="P367" i="188"/>
  <c r="O367" i="188"/>
  <c r="N367" i="188"/>
  <c r="M367" i="188"/>
  <c r="L367" i="188"/>
  <c r="K367" i="188"/>
  <c r="J367" i="188"/>
  <c r="I367" i="188"/>
  <c r="H367" i="188"/>
  <c r="G367" i="188"/>
  <c r="F367" i="188"/>
  <c r="E367" i="188"/>
  <c r="D367" i="188"/>
  <c r="P366" i="188"/>
  <c r="U365" i="188"/>
  <c r="T365" i="188"/>
  <c r="S365" i="188"/>
  <c r="R365" i="188"/>
  <c r="Q365" i="188"/>
  <c r="P365" i="188"/>
  <c r="O365" i="188"/>
  <c r="N365" i="188"/>
  <c r="M365" i="188"/>
  <c r="L365" i="188"/>
  <c r="K365" i="188"/>
  <c r="J365" i="188"/>
  <c r="I365" i="188"/>
  <c r="H365" i="188"/>
  <c r="G365" i="188"/>
  <c r="F365" i="188"/>
  <c r="E365" i="188"/>
  <c r="D365" i="188"/>
  <c r="U364" i="188"/>
  <c r="T364" i="188"/>
  <c r="S364" i="188"/>
  <c r="R364" i="188"/>
  <c r="Q364" i="188"/>
  <c r="P364" i="188"/>
  <c r="O364" i="188"/>
  <c r="N364" i="188"/>
  <c r="M364" i="188"/>
  <c r="L364" i="188"/>
  <c r="K364" i="188"/>
  <c r="J364" i="188"/>
  <c r="I364" i="188"/>
  <c r="H364" i="188"/>
  <c r="G364" i="188"/>
  <c r="F364" i="188"/>
  <c r="E364" i="188"/>
  <c r="D364" i="188"/>
  <c r="U363" i="188"/>
  <c r="T363" i="188"/>
  <c r="S363" i="188"/>
  <c r="R363" i="188"/>
  <c r="Q363" i="188"/>
  <c r="P363" i="188"/>
  <c r="O363" i="188"/>
  <c r="N363" i="188"/>
  <c r="M363" i="188"/>
  <c r="L363" i="188"/>
  <c r="K363" i="188"/>
  <c r="J363" i="188"/>
  <c r="I363" i="188"/>
  <c r="H363" i="188"/>
  <c r="G363" i="188"/>
  <c r="F363" i="188"/>
  <c r="E363" i="188"/>
  <c r="D363" i="188"/>
  <c r="U362" i="188"/>
  <c r="T362" i="188"/>
  <c r="S362" i="188"/>
  <c r="R362" i="188"/>
  <c r="Q362" i="188"/>
  <c r="P362" i="188"/>
  <c r="O362" i="188"/>
  <c r="N362" i="188"/>
  <c r="M362" i="188"/>
  <c r="L362" i="188"/>
  <c r="K362" i="188"/>
  <c r="J362" i="188"/>
  <c r="I362" i="188"/>
  <c r="H362" i="188"/>
  <c r="G362" i="188"/>
  <c r="F362" i="188"/>
  <c r="E362" i="188"/>
  <c r="D362" i="188"/>
  <c r="U361" i="188"/>
  <c r="T361" i="188"/>
  <c r="S361" i="188"/>
  <c r="R361" i="188"/>
  <c r="Q361" i="188"/>
  <c r="P361" i="188"/>
  <c r="O361" i="188"/>
  <c r="N361" i="188"/>
  <c r="M361" i="188"/>
  <c r="L361" i="188"/>
  <c r="K361" i="188"/>
  <c r="J361" i="188"/>
  <c r="I361" i="188"/>
  <c r="H361" i="188"/>
  <c r="G361" i="188"/>
  <c r="F361" i="188"/>
  <c r="E361" i="188"/>
  <c r="D361" i="188"/>
  <c r="U360" i="188"/>
  <c r="T360" i="188"/>
  <c r="S360" i="188"/>
  <c r="R360" i="188"/>
  <c r="Q360" i="188"/>
  <c r="P360" i="188"/>
  <c r="O360" i="188"/>
  <c r="N360" i="188"/>
  <c r="M360" i="188"/>
  <c r="L360" i="188"/>
  <c r="K360" i="188"/>
  <c r="J360" i="188"/>
  <c r="I360" i="188"/>
  <c r="H360" i="188"/>
  <c r="G360" i="188"/>
  <c r="F360" i="188"/>
  <c r="E360" i="188"/>
  <c r="D360" i="188"/>
  <c r="U359" i="188"/>
  <c r="T359" i="188"/>
  <c r="S359" i="188"/>
  <c r="R359" i="188"/>
  <c r="Q359" i="188"/>
  <c r="P359" i="188"/>
  <c r="O359" i="188"/>
  <c r="N359" i="188"/>
  <c r="M359" i="188"/>
  <c r="L359" i="188"/>
  <c r="K359" i="188"/>
  <c r="J359" i="188"/>
  <c r="I359" i="188"/>
  <c r="H359" i="188"/>
  <c r="G359" i="188"/>
  <c r="F359" i="188"/>
  <c r="E359" i="188"/>
  <c r="D359" i="188"/>
  <c r="U358" i="188"/>
  <c r="T358" i="188"/>
  <c r="S358" i="188"/>
  <c r="R358" i="188"/>
  <c r="Q358" i="188"/>
  <c r="P358" i="188"/>
  <c r="O358" i="188"/>
  <c r="N358" i="188"/>
  <c r="M358" i="188"/>
  <c r="L358" i="188"/>
  <c r="K358" i="188"/>
  <c r="J358" i="188"/>
  <c r="I358" i="188"/>
  <c r="H358" i="188"/>
  <c r="G358" i="188"/>
  <c r="F358" i="188"/>
  <c r="E358" i="188"/>
  <c r="D358" i="188"/>
  <c r="U357" i="188"/>
  <c r="T357" i="188"/>
  <c r="S357" i="188"/>
  <c r="R357" i="188"/>
  <c r="Q357" i="188"/>
  <c r="P357" i="188"/>
  <c r="O357" i="188"/>
  <c r="N357" i="188"/>
  <c r="M357" i="188"/>
  <c r="L357" i="188"/>
  <c r="K357" i="188"/>
  <c r="J357" i="188"/>
  <c r="I357" i="188"/>
  <c r="H357" i="188"/>
  <c r="G357" i="188"/>
  <c r="F357" i="188"/>
  <c r="E357" i="188"/>
  <c r="D357" i="188"/>
  <c r="U356" i="188"/>
  <c r="T356" i="188"/>
  <c r="S356" i="188"/>
  <c r="R356" i="188"/>
  <c r="Q356" i="188"/>
  <c r="P356" i="188"/>
  <c r="O356" i="188"/>
  <c r="N356" i="188"/>
  <c r="M356" i="188"/>
  <c r="L356" i="188"/>
  <c r="K356" i="188"/>
  <c r="J356" i="188"/>
  <c r="I356" i="188"/>
  <c r="H356" i="188"/>
  <c r="G356" i="188"/>
  <c r="F356" i="188"/>
  <c r="E356" i="188"/>
  <c r="D356" i="188"/>
  <c r="U355" i="188"/>
  <c r="T355" i="188"/>
  <c r="S355" i="188"/>
  <c r="R355" i="188"/>
  <c r="Q355" i="188"/>
  <c r="P355" i="188"/>
  <c r="O355" i="188"/>
  <c r="N355" i="188"/>
  <c r="M355" i="188"/>
  <c r="L355" i="188"/>
  <c r="K355" i="188"/>
  <c r="J355" i="188"/>
  <c r="I355" i="188"/>
  <c r="H355" i="188"/>
  <c r="G355" i="188"/>
  <c r="F355" i="188"/>
  <c r="E355" i="188"/>
  <c r="D355" i="188"/>
  <c r="U354" i="188"/>
  <c r="T354" i="188"/>
  <c r="S354" i="188"/>
  <c r="R354" i="188"/>
  <c r="Q354" i="188"/>
  <c r="P354" i="188"/>
  <c r="O354" i="188"/>
  <c r="N354" i="188"/>
  <c r="M354" i="188"/>
  <c r="L354" i="188"/>
  <c r="K354" i="188"/>
  <c r="J354" i="188"/>
  <c r="I354" i="188"/>
  <c r="H354" i="188"/>
  <c r="G354" i="188"/>
  <c r="F354" i="188"/>
  <c r="E354" i="188"/>
  <c r="D354" i="188"/>
  <c r="U353" i="188"/>
  <c r="T353" i="188"/>
  <c r="S353" i="188"/>
  <c r="R353" i="188"/>
  <c r="Q353" i="188"/>
  <c r="P353" i="188"/>
  <c r="O353" i="188"/>
  <c r="N353" i="188"/>
  <c r="M353" i="188"/>
  <c r="L353" i="188"/>
  <c r="K353" i="188"/>
  <c r="J353" i="188"/>
  <c r="I353" i="188"/>
  <c r="H353" i="188"/>
  <c r="G353" i="188"/>
  <c r="F353" i="188"/>
  <c r="E353" i="188"/>
  <c r="D353" i="188"/>
  <c r="P352" i="188"/>
  <c r="U351" i="188"/>
  <c r="T351" i="188"/>
  <c r="S351" i="188"/>
  <c r="R351" i="188"/>
  <c r="Q351" i="188"/>
  <c r="P351" i="188"/>
  <c r="O351" i="188"/>
  <c r="N351" i="188"/>
  <c r="M351" i="188"/>
  <c r="L351" i="188"/>
  <c r="K351" i="188"/>
  <c r="J351" i="188"/>
  <c r="I351" i="188"/>
  <c r="H351" i="188"/>
  <c r="G351" i="188"/>
  <c r="F351" i="188"/>
  <c r="E351" i="188"/>
  <c r="D351" i="188"/>
  <c r="U350" i="188"/>
  <c r="T350" i="188"/>
  <c r="S350" i="188"/>
  <c r="R350" i="188"/>
  <c r="Q350" i="188"/>
  <c r="P350" i="188"/>
  <c r="O350" i="188"/>
  <c r="N350" i="188"/>
  <c r="M350" i="188"/>
  <c r="L350" i="188"/>
  <c r="K350" i="188"/>
  <c r="J350" i="188"/>
  <c r="I350" i="188"/>
  <c r="H350" i="188"/>
  <c r="G350" i="188"/>
  <c r="F350" i="188"/>
  <c r="E350" i="188"/>
  <c r="D350" i="188"/>
  <c r="U349" i="188"/>
  <c r="T349" i="188"/>
  <c r="S349" i="188"/>
  <c r="R349" i="188"/>
  <c r="Q349" i="188"/>
  <c r="P349" i="188"/>
  <c r="O349" i="188"/>
  <c r="N349" i="188"/>
  <c r="M349" i="188"/>
  <c r="L349" i="188"/>
  <c r="K349" i="188"/>
  <c r="J349" i="188"/>
  <c r="I349" i="188"/>
  <c r="H349" i="188"/>
  <c r="G349" i="188"/>
  <c r="F349" i="188"/>
  <c r="E349" i="188"/>
  <c r="D349" i="188"/>
  <c r="U348" i="188"/>
  <c r="T348" i="188"/>
  <c r="S348" i="188"/>
  <c r="R348" i="188"/>
  <c r="Q348" i="188"/>
  <c r="P348" i="188"/>
  <c r="O348" i="188"/>
  <c r="N348" i="188"/>
  <c r="M348" i="188"/>
  <c r="L348" i="188"/>
  <c r="K348" i="188"/>
  <c r="J348" i="188"/>
  <c r="I348" i="188"/>
  <c r="H348" i="188"/>
  <c r="G348" i="188"/>
  <c r="F348" i="188"/>
  <c r="E348" i="188"/>
  <c r="D348" i="188"/>
  <c r="U347" i="188"/>
  <c r="T347" i="188"/>
  <c r="S347" i="188"/>
  <c r="R347" i="188"/>
  <c r="Q347" i="188"/>
  <c r="P347" i="188"/>
  <c r="O347" i="188"/>
  <c r="N347" i="188"/>
  <c r="M347" i="188"/>
  <c r="L347" i="188"/>
  <c r="K347" i="188"/>
  <c r="J347" i="188"/>
  <c r="I347" i="188"/>
  <c r="H347" i="188"/>
  <c r="G347" i="188"/>
  <c r="F347" i="188"/>
  <c r="E347" i="188"/>
  <c r="D347" i="188"/>
  <c r="U346" i="188"/>
  <c r="T346" i="188"/>
  <c r="S346" i="188"/>
  <c r="R346" i="188"/>
  <c r="Q346" i="188"/>
  <c r="P346" i="188"/>
  <c r="O346" i="188"/>
  <c r="N346" i="188"/>
  <c r="M346" i="188"/>
  <c r="L346" i="188"/>
  <c r="K346" i="188"/>
  <c r="J346" i="188"/>
  <c r="I346" i="188"/>
  <c r="H346" i="188"/>
  <c r="G346" i="188"/>
  <c r="F346" i="188"/>
  <c r="E346" i="188"/>
  <c r="D346" i="188"/>
  <c r="U345" i="188"/>
  <c r="T345" i="188"/>
  <c r="S345" i="188"/>
  <c r="R345" i="188"/>
  <c r="Q345" i="188"/>
  <c r="P345" i="188"/>
  <c r="O345" i="188"/>
  <c r="N345" i="188"/>
  <c r="M345" i="188"/>
  <c r="L345" i="188"/>
  <c r="K345" i="188"/>
  <c r="J345" i="188"/>
  <c r="I345" i="188"/>
  <c r="H345" i="188"/>
  <c r="G345" i="188"/>
  <c r="F345" i="188"/>
  <c r="E345" i="188"/>
  <c r="D345" i="188"/>
  <c r="U339" i="188"/>
  <c r="T339" i="188"/>
  <c r="S339" i="188"/>
  <c r="R339" i="188"/>
  <c r="Q339" i="188"/>
  <c r="P339" i="188"/>
  <c r="O339" i="188"/>
  <c r="N339" i="188"/>
  <c r="M339" i="188"/>
  <c r="L339" i="188"/>
  <c r="K339" i="188"/>
  <c r="J339" i="188"/>
  <c r="I339" i="188"/>
  <c r="H339" i="188"/>
  <c r="G339" i="188"/>
  <c r="F339" i="188"/>
  <c r="E339" i="188"/>
  <c r="D339" i="188"/>
  <c r="U338" i="188"/>
  <c r="T338" i="188"/>
  <c r="S338" i="188"/>
  <c r="R338" i="188"/>
  <c r="Q338" i="188"/>
  <c r="P338" i="188"/>
  <c r="O338" i="188"/>
  <c r="N338" i="188"/>
  <c r="M338" i="188"/>
  <c r="L338" i="188"/>
  <c r="K338" i="188"/>
  <c r="J338" i="188"/>
  <c r="I338" i="188"/>
  <c r="H338" i="188"/>
  <c r="G338" i="188"/>
  <c r="F338" i="188"/>
  <c r="E338" i="188"/>
  <c r="D338" i="188"/>
  <c r="U337" i="188"/>
  <c r="T337" i="188"/>
  <c r="S337" i="188"/>
  <c r="R337" i="188"/>
  <c r="Q337" i="188"/>
  <c r="P337" i="188"/>
  <c r="O337" i="188"/>
  <c r="N337" i="188"/>
  <c r="M337" i="188"/>
  <c r="L337" i="188"/>
  <c r="K337" i="188"/>
  <c r="J337" i="188"/>
  <c r="I337" i="188"/>
  <c r="H337" i="188"/>
  <c r="G337" i="188"/>
  <c r="F337" i="188"/>
  <c r="E337" i="188"/>
  <c r="D337" i="188"/>
  <c r="U336" i="188"/>
  <c r="T336" i="188"/>
  <c r="S336" i="188"/>
  <c r="R336" i="188"/>
  <c r="Q336" i="188"/>
  <c r="P336" i="188"/>
  <c r="O336" i="188"/>
  <c r="N336" i="188"/>
  <c r="M336" i="188"/>
  <c r="L336" i="188"/>
  <c r="K336" i="188"/>
  <c r="J336" i="188"/>
  <c r="I336" i="188"/>
  <c r="H336" i="188"/>
  <c r="G336" i="188"/>
  <c r="F336" i="188"/>
  <c r="E336" i="188"/>
  <c r="D336" i="188"/>
  <c r="U335" i="188"/>
  <c r="T335" i="188"/>
  <c r="S335" i="188"/>
  <c r="R335" i="188"/>
  <c r="Q335" i="188"/>
  <c r="P335" i="188"/>
  <c r="O335" i="188"/>
  <c r="N335" i="188"/>
  <c r="M335" i="188"/>
  <c r="L335" i="188"/>
  <c r="K335" i="188"/>
  <c r="J335" i="188"/>
  <c r="I335" i="188"/>
  <c r="H335" i="188"/>
  <c r="G335" i="188"/>
  <c r="F335" i="188"/>
  <c r="E335" i="188"/>
  <c r="D335" i="188"/>
  <c r="U334" i="188"/>
  <c r="T334" i="188"/>
  <c r="S334" i="188"/>
  <c r="R334" i="188"/>
  <c r="Q334" i="188"/>
  <c r="P334" i="188"/>
  <c r="O334" i="188"/>
  <c r="N334" i="188"/>
  <c r="M334" i="188"/>
  <c r="L334" i="188"/>
  <c r="K334" i="188"/>
  <c r="J334" i="188"/>
  <c r="I334" i="188"/>
  <c r="H334" i="188"/>
  <c r="G334" i="188"/>
  <c r="F334" i="188"/>
  <c r="E334" i="188"/>
  <c r="D334" i="188"/>
  <c r="U333" i="188"/>
  <c r="T333" i="188"/>
  <c r="S333" i="188"/>
  <c r="R333" i="188"/>
  <c r="Q333" i="188"/>
  <c r="P333" i="188"/>
  <c r="O333" i="188"/>
  <c r="N333" i="188"/>
  <c r="M333" i="188"/>
  <c r="L333" i="188"/>
  <c r="K333" i="188"/>
  <c r="J333" i="188"/>
  <c r="I333" i="188"/>
  <c r="H333" i="188"/>
  <c r="G333" i="188"/>
  <c r="F333" i="188"/>
  <c r="E333" i="188"/>
  <c r="D333" i="188"/>
  <c r="U332" i="188"/>
  <c r="T332" i="188"/>
  <c r="S332" i="188"/>
  <c r="R332" i="188"/>
  <c r="Q332" i="188"/>
  <c r="P332" i="188"/>
  <c r="O332" i="188"/>
  <c r="N332" i="188"/>
  <c r="M332" i="188"/>
  <c r="L332" i="188"/>
  <c r="K332" i="188"/>
  <c r="J332" i="188"/>
  <c r="I332" i="188"/>
  <c r="H332" i="188"/>
  <c r="G332" i="188"/>
  <c r="F332" i="188"/>
  <c r="E332" i="188"/>
  <c r="D332" i="188"/>
  <c r="U331" i="188"/>
  <c r="T331" i="188"/>
  <c r="S331" i="188"/>
  <c r="R331" i="188"/>
  <c r="Q331" i="188"/>
  <c r="P331" i="188"/>
  <c r="O331" i="188"/>
  <c r="N331" i="188"/>
  <c r="M331" i="188"/>
  <c r="L331" i="188"/>
  <c r="K331" i="188"/>
  <c r="J331" i="188"/>
  <c r="I331" i="188"/>
  <c r="H331" i="188"/>
  <c r="G331" i="188"/>
  <c r="F331" i="188"/>
  <c r="E331" i="188"/>
  <c r="D331" i="188"/>
  <c r="U330" i="188"/>
  <c r="T330" i="188"/>
  <c r="S330" i="188"/>
  <c r="R330" i="188"/>
  <c r="Q330" i="188"/>
  <c r="P330" i="188"/>
  <c r="O330" i="188"/>
  <c r="N330" i="188"/>
  <c r="M330" i="188"/>
  <c r="L330" i="188"/>
  <c r="K330" i="188"/>
  <c r="J330" i="188"/>
  <c r="I330" i="188"/>
  <c r="H330" i="188"/>
  <c r="G330" i="188"/>
  <c r="F330" i="188"/>
  <c r="E330" i="188"/>
  <c r="D330" i="188"/>
  <c r="P329" i="188"/>
  <c r="U328" i="188"/>
  <c r="T328" i="188"/>
  <c r="S328" i="188"/>
  <c r="R328" i="188"/>
  <c r="Q328" i="188"/>
  <c r="P328" i="188"/>
  <c r="O328" i="188"/>
  <c r="N328" i="188"/>
  <c r="M328" i="188"/>
  <c r="L328" i="188"/>
  <c r="K328" i="188"/>
  <c r="J328" i="188"/>
  <c r="I328" i="188"/>
  <c r="H328" i="188"/>
  <c r="G328" i="188"/>
  <c r="F328" i="188"/>
  <c r="E328" i="188"/>
  <c r="D328" i="188"/>
  <c r="U327" i="188"/>
  <c r="T327" i="188"/>
  <c r="S327" i="188"/>
  <c r="R327" i="188"/>
  <c r="Q327" i="188"/>
  <c r="P327" i="188"/>
  <c r="O327" i="188"/>
  <c r="N327" i="188"/>
  <c r="M327" i="188"/>
  <c r="L327" i="188"/>
  <c r="K327" i="188"/>
  <c r="J327" i="188"/>
  <c r="I327" i="188"/>
  <c r="H327" i="188"/>
  <c r="G327" i="188"/>
  <c r="F327" i="188"/>
  <c r="E327" i="188"/>
  <c r="D327" i="188"/>
  <c r="U326" i="188"/>
  <c r="T326" i="188"/>
  <c r="S326" i="188"/>
  <c r="R326" i="188"/>
  <c r="Q326" i="188"/>
  <c r="P326" i="188"/>
  <c r="O326" i="188"/>
  <c r="N326" i="188"/>
  <c r="M326" i="188"/>
  <c r="L326" i="188"/>
  <c r="K326" i="188"/>
  <c r="J326" i="188"/>
  <c r="I326" i="188"/>
  <c r="H326" i="188"/>
  <c r="G326" i="188"/>
  <c r="F326" i="188"/>
  <c r="E326" i="188"/>
  <c r="D326" i="188"/>
  <c r="U325" i="188"/>
  <c r="T325" i="188"/>
  <c r="S325" i="188"/>
  <c r="R325" i="188"/>
  <c r="Q325" i="188"/>
  <c r="P325" i="188"/>
  <c r="O325" i="188"/>
  <c r="N325" i="188"/>
  <c r="M325" i="188"/>
  <c r="L325" i="188"/>
  <c r="K325" i="188"/>
  <c r="J325" i="188"/>
  <c r="I325" i="188"/>
  <c r="H325" i="188"/>
  <c r="G325" i="188"/>
  <c r="F325" i="188"/>
  <c r="E325" i="188"/>
  <c r="D325" i="188"/>
  <c r="U324" i="188"/>
  <c r="T324" i="188"/>
  <c r="S324" i="188"/>
  <c r="R324" i="188"/>
  <c r="Q324" i="188"/>
  <c r="P324" i="188"/>
  <c r="O324" i="188"/>
  <c r="N324" i="188"/>
  <c r="M324" i="188"/>
  <c r="L324" i="188"/>
  <c r="K324" i="188"/>
  <c r="J324" i="188"/>
  <c r="I324" i="188"/>
  <c r="H324" i="188"/>
  <c r="G324" i="188"/>
  <c r="F324" i="188"/>
  <c r="E324" i="188"/>
  <c r="D324" i="188"/>
  <c r="U323" i="188"/>
  <c r="T323" i="188"/>
  <c r="S323" i="188"/>
  <c r="R323" i="188"/>
  <c r="Q323" i="188"/>
  <c r="P323" i="188"/>
  <c r="O323" i="188"/>
  <c r="N323" i="188"/>
  <c r="M323" i="188"/>
  <c r="L323" i="188"/>
  <c r="K323" i="188"/>
  <c r="J323" i="188"/>
  <c r="I323" i="188"/>
  <c r="H323" i="188"/>
  <c r="G323" i="188"/>
  <c r="F323" i="188"/>
  <c r="E323" i="188"/>
  <c r="D323" i="188"/>
  <c r="U322" i="188"/>
  <c r="T322" i="188"/>
  <c r="S322" i="188"/>
  <c r="R322" i="188"/>
  <c r="Q322" i="188"/>
  <c r="P322" i="188"/>
  <c r="O322" i="188"/>
  <c r="N322" i="188"/>
  <c r="M322" i="188"/>
  <c r="L322" i="188"/>
  <c r="K322" i="188"/>
  <c r="J322" i="188"/>
  <c r="I322" i="188"/>
  <c r="H322" i="188"/>
  <c r="G322" i="188"/>
  <c r="F322" i="188"/>
  <c r="E322" i="188"/>
  <c r="D322" i="188"/>
  <c r="U321" i="188"/>
  <c r="T321" i="188"/>
  <c r="S321" i="188"/>
  <c r="R321" i="188"/>
  <c r="Q321" i="188"/>
  <c r="P321" i="188"/>
  <c r="O321" i="188"/>
  <c r="N321" i="188"/>
  <c r="M321" i="188"/>
  <c r="L321" i="188"/>
  <c r="K321" i="188"/>
  <c r="J321" i="188"/>
  <c r="I321" i="188"/>
  <c r="H321" i="188"/>
  <c r="G321" i="188"/>
  <c r="F321" i="188"/>
  <c r="E321" i="188"/>
  <c r="D321" i="188"/>
  <c r="U320" i="188"/>
  <c r="T320" i="188"/>
  <c r="S320" i="188"/>
  <c r="R320" i="188"/>
  <c r="Q320" i="188"/>
  <c r="P320" i="188"/>
  <c r="O320" i="188"/>
  <c r="N320" i="188"/>
  <c r="M320" i="188"/>
  <c r="L320" i="188"/>
  <c r="K320" i="188"/>
  <c r="J320" i="188"/>
  <c r="I320" i="188"/>
  <c r="H320" i="188"/>
  <c r="G320" i="188"/>
  <c r="F320" i="188"/>
  <c r="E320" i="188"/>
  <c r="D320" i="188"/>
  <c r="U319" i="188"/>
  <c r="T319" i="188"/>
  <c r="S319" i="188"/>
  <c r="R319" i="188"/>
  <c r="Q319" i="188"/>
  <c r="P319" i="188"/>
  <c r="O319" i="188"/>
  <c r="N319" i="188"/>
  <c r="M319" i="188"/>
  <c r="L319" i="188"/>
  <c r="K319" i="188"/>
  <c r="J319" i="188"/>
  <c r="I319" i="188"/>
  <c r="H319" i="188"/>
  <c r="G319" i="188"/>
  <c r="F319" i="188"/>
  <c r="E319" i="188"/>
  <c r="D319" i="188"/>
  <c r="U318" i="188"/>
  <c r="T318" i="188"/>
  <c r="S318" i="188"/>
  <c r="R318" i="188"/>
  <c r="Q318" i="188"/>
  <c r="P318" i="188"/>
  <c r="O318" i="188"/>
  <c r="N318" i="188"/>
  <c r="M318" i="188"/>
  <c r="L318" i="188"/>
  <c r="K318" i="188"/>
  <c r="J318" i="188"/>
  <c r="I318" i="188"/>
  <c r="H318" i="188"/>
  <c r="G318" i="188"/>
  <c r="F318" i="188"/>
  <c r="E318" i="188"/>
  <c r="D318" i="188"/>
  <c r="U317" i="188"/>
  <c r="T317" i="188"/>
  <c r="S317" i="188"/>
  <c r="R317" i="188"/>
  <c r="Q317" i="188"/>
  <c r="P317" i="188"/>
  <c r="O317" i="188"/>
  <c r="N317" i="188"/>
  <c r="M317" i="188"/>
  <c r="L317" i="188"/>
  <c r="K317" i="188"/>
  <c r="J317" i="188"/>
  <c r="I317" i="188"/>
  <c r="H317" i="188"/>
  <c r="G317" i="188"/>
  <c r="F317" i="188"/>
  <c r="E317" i="188"/>
  <c r="D317" i="188"/>
  <c r="U316" i="188"/>
  <c r="T316" i="188"/>
  <c r="S316" i="188"/>
  <c r="R316" i="188"/>
  <c r="Q316" i="188"/>
  <c r="P316" i="188"/>
  <c r="O316" i="188"/>
  <c r="N316" i="188"/>
  <c r="M316" i="188"/>
  <c r="L316" i="188"/>
  <c r="K316" i="188"/>
  <c r="J316" i="188"/>
  <c r="I316" i="188"/>
  <c r="H316" i="188"/>
  <c r="G316" i="188"/>
  <c r="F316" i="188"/>
  <c r="E316" i="188"/>
  <c r="D316" i="188"/>
  <c r="P315" i="188"/>
  <c r="U314" i="188"/>
  <c r="T314" i="188"/>
  <c r="S314" i="188"/>
  <c r="R314" i="188"/>
  <c r="Q314" i="188"/>
  <c r="P314" i="188"/>
  <c r="O314" i="188"/>
  <c r="N314" i="188"/>
  <c r="M314" i="188"/>
  <c r="L314" i="188"/>
  <c r="K314" i="188"/>
  <c r="J314" i="188"/>
  <c r="I314" i="188"/>
  <c r="H314" i="188"/>
  <c r="G314" i="188"/>
  <c r="F314" i="188"/>
  <c r="E314" i="188"/>
  <c r="D314" i="188"/>
  <c r="U313" i="188"/>
  <c r="T313" i="188"/>
  <c r="S313" i="188"/>
  <c r="R313" i="188"/>
  <c r="Q313" i="188"/>
  <c r="P313" i="188"/>
  <c r="O313" i="188"/>
  <c r="N313" i="188"/>
  <c r="M313" i="188"/>
  <c r="L313" i="188"/>
  <c r="K313" i="188"/>
  <c r="J313" i="188"/>
  <c r="I313" i="188"/>
  <c r="H313" i="188"/>
  <c r="G313" i="188"/>
  <c r="F313" i="188"/>
  <c r="E313" i="188"/>
  <c r="D313" i="188"/>
  <c r="U312" i="188"/>
  <c r="T312" i="188"/>
  <c r="S312" i="188"/>
  <c r="R312" i="188"/>
  <c r="Q312" i="188"/>
  <c r="P312" i="188"/>
  <c r="O312" i="188"/>
  <c r="N312" i="188"/>
  <c r="M312" i="188"/>
  <c r="L312" i="188"/>
  <c r="K312" i="188"/>
  <c r="J312" i="188"/>
  <c r="I312" i="188"/>
  <c r="H312" i="188"/>
  <c r="G312" i="188"/>
  <c r="F312" i="188"/>
  <c r="E312" i="188"/>
  <c r="D312" i="188"/>
  <c r="U311" i="188"/>
  <c r="T311" i="188"/>
  <c r="S311" i="188"/>
  <c r="R311" i="188"/>
  <c r="Q311" i="188"/>
  <c r="P311" i="188"/>
  <c r="O311" i="188"/>
  <c r="N311" i="188"/>
  <c r="M311" i="188"/>
  <c r="L311" i="188"/>
  <c r="K311" i="188"/>
  <c r="J311" i="188"/>
  <c r="I311" i="188"/>
  <c r="H311" i="188"/>
  <c r="G311" i="188"/>
  <c r="F311" i="188"/>
  <c r="E311" i="188"/>
  <c r="D311" i="188"/>
  <c r="U310" i="188"/>
  <c r="T310" i="188"/>
  <c r="S310" i="188"/>
  <c r="R310" i="188"/>
  <c r="Q310" i="188"/>
  <c r="P310" i="188"/>
  <c r="O310" i="188"/>
  <c r="N310" i="188"/>
  <c r="M310" i="188"/>
  <c r="L310" i="188"/>
  <c r="K310" i="188"/>
  <c r="J310" i="188"/>
  <c r="I310" i="188"/>
  <c r="H310" i="188"/>
  <c r="G310" i="188"/>
  <c r="F310" i="188"/>
  <c r="E310" i="188"/>
  <c r="D310" i="188"/>
  <c r="U309" i="188"/>
  <c r="T309" i="188"/>
  <c r="S309" i="188"/>
  <c r="R309" i="188"/>
  <c r="Q309" i="188"/>
  <c r="P309" i="188"/>
  <c r="O309" i="188"/>
  <c r="N309" i="188"/>
  <c r="M309" i="188"/>
  <c r="L309" i="188"/>
  <c r="K309" i="188"/>
  <c r="J309" i="188"/>
  <c r="I309" i="188"/>
  <c r="H309" i="188"/>
  <c r="G309" i="188"/>
  <c r="F309" i="188"/>
  <c r="E309" i="188"/>
  <c r="D309" i="188"/>
  <c r="U308" i="188"/>
  <c r="T308" i="188"/>
  <c r="S308" i="188"/>
  <c r="R308" i="188"/>
  <c r="Q308" i="188"/>
  <c r="P308" i="188"/>
  <c r="O308" i="188"/>
  <c r="N308" i="188"/>
  <c r="M308" i="188"/>
  <c r="L308" i="188"/>
  <c r="K308" i="188"/>
  <c r="J308" i="188"/>
  <c r="I308" i="188"/>
  <c r="H308" i="188"/>
  <c r="G308" i="188"/>
  <c r="F308" i="188"/>
  <c r="E308" i="188"/>
  <c r="D308" i="188"/>
  <c r="U302" i="188"/>
  <c r="T302" i="188"/>
  <c r="S302" i="188"/>
  <c r="R302" i="188"/>
  <c r="Q302" i="188"/>
  <c r="P302" i="188"/>
  <c r="O302" i="188"/>
  <c r="N302" i="188"/>
  <c r="M302" i="188"/>
  <c r="L302" i="188"/>
  <c r="K302" i="188"/>
  <c r="J302" i="188"/>
  <c r="I302" i="188"/>
  <c r="H302" i="188"/>
  <c r="G302" i="188"/>
  <c r="F302" i="188"/>
  <c r="E302" i="188"/>
  <c r="D302" i="188"/>
  <c r="U301" i="188"/>
  <c r="T301" i="188"/>
  <c r="S301" i="188"/>
  <c r="R301" i="188"/>
  <c r="Q301" i="188"/>
  <c r="P301" i="188"/>
  <c r="O301" i="188"/>
  <c r="N301" i="188"/>
  <c r="M301" i="188"/>
  <c r="L301" i="188"/>
  <c r="K301" i="188"/>
  <c r="J301" i="188"/>
  <c r="I301" i="188"/>
  <c r="H301" i="188"/>
  <c r="G301" i="188"/>
  <c r="F301" i="188"/>
  <c r="E301" i="188"/>
  <c r="D301" i="188"/>
  <c r="U300" i="188"/>
  <c r="T300" i="188"/>
  <c r="S300" i="188"/>
  <c r="R300" i="188"/>
  <c r="Q300" i="188"/>
  <c r="P300" i="188"/>
  <c r="O300" i="188"/>
  <c r="N300" i="188"/>
  <c r="M300" i="188"/>
  <c r="L300" i="188"/>
  <c r="K300" i="188"/>
  <c r="J300" i="188"/>
  <c r="I300" i="188"/>
  <c r="H300" i="188"/>
  <c r="G300" i="188"/>
  <c r="F300" i="188"/>
  <c r="E300" i="188"/>
  <c r="D300" i="188"/>
  <c r="U299" i="188"/>
  <c r="T299" i="188"/>
  <c r="S299" i="188"/>
  <c r="R299" i="188"/>
  <c r="Q299" i="188"/>
  <c r="P299" i="188"/>
  <c r="O299" i="188"/>
  <c r="N299" i="188"/>
  <c r="M299" i="188"/>
  <c r="L299" i="188"/>
  <c r="K299" i="188"/>
  <c r="J299" i="188"/>
  <c r="I299" i="188"/>
  <c r="H299" i="188"/>
  <c r="G299" i="188"/>
  <c r="F299" i="188"/>
  <c r="E299" i="188"/>
  <c r="D299" i="188"/>
  <c r="U298" i="188"/>
  <c r="T298" i="188"/>
  <c r="S298" i="188"/>
  <c r="R298" i="188"/>
  <c r="Q298" i="188"/>
  <c r="P298" i="188"/>
  <c r="O298" i="188"/>
  <c r="N298" i="188"/>
  <c r="M298" i="188"/>
  <c r="L298" i="188"/>
  <c r="K298" i="188"/>
  <c r="J298" i="188"/>
  <c r="I298" i="188"/>
  <c r="H298" i="188"/>
  <c r="G298" i="188"/>
  <c r="F298" i="188"/>
  <c r="E298" i="188"/>
  <c r="D298" i="188"/>
  <c r="U297" i="188"/>
  <c r="T297" i="188"/>
  <c r="S297" i="188"/>
  <c r="R297" i="188"/>
  <c r="Q297" i="188"/>
  <c r="P297" i="188"/>
  <c r="O297" i="188"/>
  <c r="N297" i="188"/>
  <c r="M297" i="188"/>
  <c r="L297" i="188"/>
  <c r="K297" i="188"/>
  <c r="J297" i="188"/>
  <c r="I297" i="188"/>
  <c r="H297" i="188"/>
  <c r="G297" i="188"/>
  <c r="F297" i="188"/>
  <c r="E297" i="188"/>
  <c r="D297" i="188"/>
  <c r="U296" i="188"/>
  <c r="T296" i="188"/>
  <c r="S296" i="188"/>
  <c r="R296" i="188"/>
  <c r="Q296" i="188"/>
  <c r="P296" i="188"/>
  <c r="O296" i="188"/>
  <c r="N296" i="188"/>
  <c r="M296" i="188"/>
  <c r="L296" i="188"/>
  <c r="K296" i="188"/>
  <c r="J296" i="188"/>
  <c r="I296" i="188"/>
  <c r="H296" i="188"/>
  <c r="G296" i="188"/>
  <c r="F296" i="188"/>
  <c r="E296" i="188"/>
  <c r="D296" i="188"/>
  <c r="U295" i="188"/>
  <c r="T295" i="188"/>
  <c r="S295" i="188"/>
  <c r="R295" i="188"/>
  <c r="Q295" i="188"/>
  <c r="P295" i="188"/>
  <c r="O295" i="188"/>
  <c r="N295" i="188"/>
  <c r="M295" i="188"/>
  <c r="L295" i="188"/>
  <c r="K295" i="188"/>
  <c r="J295" i="188"/>
  <c r="I295" i="188"/>
  <c r="H295" i="188"/>
  <c r="G295" i="188"/>
  <c r="F295" i="188"/>
  <c r="E295" i="188"/>
  <c r="D295" i="188"/>
  <c r="U294" i="188"/>
  <c r="T294" i="188"/>
  <c r="S294" i="188"/>
  <c r="R294" i="188"/>
  <c r="Q294" i="188"/>
  <c r="P294" i="188"/>
  <c r="O294" i="188"/>
  <c r="N294" i="188"/>
  <c r="M294" i="188"/>
  <c r="L294" i="188"/>
  <c r="K294" i="188"/>
  <c r="J294" i="188"/>
  <c r="I294" i="188"/>
  <c r="H294" i="188"/>
  <c r="G294" i="188"/>
  <c r="F294" i="188"/>
  <c r="E294" i="188"/>
  <c r="D294" i="188"/>
  <c r="U293" i="188"/>
  <c r="T293" i="188"/>
  <c r="S293" i="188"/>
  <c r="R293" i="188"/>
  <c r="Q293" i="188"/>
  <c r="P293" i="188"/>
  <c r="O293" i="188"/>
  <c r="N293" i="188"/>
  <c r="M293" i="188"/>
  <c r="L293" i="188"/>
  <c r="K293" i="188"/>
  <c r="J293" i="188"/>
  <c r="I293" i="188"/>
  <c r="H293" i="188"/>
  <c r="G293" i="188"/>
  <c r="F293" i="188"/>
  <c r="E293" i="188"/>
  <c r="D293" i="188"/>
  <c r="P292" i="188"/>
  <c r="U291" i="188"/>
  <c r="T291" i="188"/>
  <c r="S291" i="188"/>
  <c r="R291" i="188"/>
  <c r="Q291" i="188"/>
  <c r="P291" i="188"/>
  <c r="O291" i="188"/>
  <c r="N291" i="188"/>
  <c r="M291" i="188"/>
  <c r="L291" i="188"/>
  <c r="K291" i="188"/>
  <c r="J291" i="188"/>
  <c r="I291" i="188"/>
  <c r="H291" i="188"/>
  <c r="G291" i="188"/>
  <c r="F291" i="188"/>
  <c r="E291" i="188"/>
  <c r="D291" i="188"/>
  <c r="U290" i="188"/>
  <c r="T290" i="188"/>
  <c r="S290" i="188"/>
  <c r="R290" i="188"/>
  <c r="Q290" i="188"/>
  <c r="P290" i="188"/>
  <c r="O290" i="188"/>
  <c r="N290" i="188"/>
  <c r="M290" i="188"/>
  <c r="L290" i="188"/>
  <c r="K290" i="188"/>
  <c r="J290" i="188"/>
  <c r="I290" i="188"/>
  <c r="H290" i="188"/>
  <c r="G290" i="188"/>
  <c r="F290" i="188"/>
  <c r="E290" i="188"/>
  <c r="D290" i="188"/>
  <c r="U289" i="188"/>
  <c r="T289" i="188"/>
  <c r="S289" i="188"/>
  <c r="R289" i="188"/>
  <c r="Q289" i="188"/>
  <c r="P289" i="188"/>
  <c r="O289" i="188"/>
  <c r="N289" i="188"/>
  <c r="M289" i="188"/>
  <c r="L289" i="188"/>
  <c r="K289" i="188"/>
  <c r="J289" i="188"/>
  <c r="I289" i="188"/>
  <c r="H289" i="188"/>
  <c r="G289" i="188"/>
  <c r="F289" i="188"/>
  <c r="E289" i="188"/>
  <c r="D289" i="188"/>
  <c r="U288" i="188"/>
  <c r="T288" i="188"/>
  <c r="S288" i="188"/>
  <c r="R288" i="188"/>
  <c r="Q288" i="188"/>
  <c r="P288" i="188"/>
  <c r="O288" i="188"/>
  <c r="N288" i="188"/>
  <c r="M288" i="188"/>
  <c r="L288" i="188"/>
  <c r="K288" i="188"/>
  <c r="J288" i="188"/>
  <c r="I288" i="188"/>
  <c r="H288" i="188"/>
  <c r="G288" i="188"/>
  <c r="F288" i="188"/>
  <c r="E288" i="188"/>
  <c r="D288" i="188"/>
  <c r="U287" i="188"/>
  <c r="T287" i="188"/>
  <c r="S287" i="188"/>
  <c r="R287" i="188"/>
  <c r="Q287" i="188"/>
  <c r="P287" i="188"/>
  <c r="O287" i="188"/>
  <c r="N287" i="188"/>
  <c r="M287" i="188"/>
  <c r="L287" i="188"/>
  <c r="K287" i="188"/>
  <c r="J287" i="188"/>
  <c r="I287" i="188"/>
  <c r="H287" i="188"/>
  <c r="G287" i="188"/>
  <c r="F287" i="188"/>
  <c r="E287" i="188"/>
  <c r="D287" i="188"/>
  <c r="U286" i="188"/>
  <c r="T286" i="188"/>
  <c r="S286" i="188"/>
  <c r="R286" i="188"/>
  <c r="Q286" i="188"/>
  <c r="P286" i="188"/>
  <c r="O286" i="188"/>
  <c r="N286" i="188"/>
  <c r="M286" i="188"/>
  <c r="L286" i="188"/>
  <c r="K286" i="188"/>
  <c r="J286" i="188"/>
  <c r="I286" i="188"/>
  <c r="H286" i="188"/>
  <c r="G286" i="188"/>
  <c r="F286" i="188"/>
  <c r="E286" i="188"/>
  <c r="D286" i="188"/>
  <c r="U285" i="188"/>
  <c r="T285" i="188"/>
  <c r="S285" i="188"/>
  <c r="R285" i="188"/>
  <c r="Q285" i="188"/>
  <c r="P285" i="188"/>
  <c r="O285" i="188"/>
  <c r="N285" i="188"/>
  <c r="M285" i="188"/>
  <c r="L285" i="188"/>
  <c r="K285" i="188"/>
  <c r="J285" i="188"/>
  <c r="I285" i="188"/>
  <c r="H285" i="188"/>
  <c r="G285" i="188"/>
  <c r="F285" i="188"/>
  <c r="E285" i="188"/>
  <c r="D285" i="188"/>
  <c r="U284" i="188"/>
  <c r="T284" i="188"/>
  <c r="S284" i="188"/>
  <c r="R284" i="188"/>
  <c r="Q284" i="188"/>
  <c r="P284" i="188"/>
  <c r="O284" i="188"/>
  <c r="N284" i="188"/>
  <c r="M284" i="188"/>
  <c r="L284" i="188"/>
  <c r="K284" i="188"/>
  <c r="J284" i="188"/>
  <c r="I284" i="188"/>
  <c r="H284" i="188"/>
  <c r="G284" i="188"/>
  <c r="F284" i="188"/>
  <c r="E284" i="188"/>
  <c r="D284" i="188"/>
  <c r="U283" i="188"/>
  <c r="T283" i="188"/>
  <c r="S283" i="188"/>
  <c r="R283" i="188"/>
  <c r="Q283" i="188"/>
  <c r="P283" i="188"/>
  <c r="O283" i="188"/>
  <c r="N283" i="188"/>
  <c r="M283" i="188"/>
  <c r="L283" i="188"/>
  <c r="K283" i="188"/>
  <c r="J283" i="188"/>
  <c r="I283" i="188"/>
  <c r="H283" i="188"/>
  <c r="G283" i="188"/>
  <c r="F283" i="188"/>
  <c r="E283" i="188"/>
  <c r="D283" i="188"/>
  <c r="U282" i="188"/>
  <c r="T282" i="188"/>
  <c r="S282" i="188"/>
  <c r="R282" i="188"/>
  <c r="Q282" i="188"/>
  <c r="P282" i="188"/>
  <c r="O282" i="188"/>
  <c r="N282" i="188"/>
  <c r="M282" i="188"/>
  <c r="L282" i="188"/>
  <c r="K282" i="188"/>
  <c r="J282" i="188"/>
  <c r="I282" i="188"/>
  <c r="H282" i="188"/>
  <c r="G282" i="188"/>
  <c r="F282" i="188"/>
  <c r="E282" i="188"/>
  <c r="D282" i="188"/>
  <c r="U281" i="188"/>
  <c r="T281" i="188"/>
  <c r="S281" i="188"/>
  <c r="R281" i="188"/>
  <c r="Q281" i="188"/>
  <c r="P281" i="188"/>
  <c r="O281" i="188"/>
  <c r="N281" i="188"/>
  <c r="M281" i="188"/>
  <c r="L281" i="188"/>
  <c r="K281" i="188"/>
  <c r="J281" i="188"/>
  <c r="I281" i="188"/>
  <c r="H281" i="188"/>
  <c r="G281" i="188"/>
  <c r="F281" i="188"/>
  <c r="E281" i="188"/>
  <c r="D281" i="188"/>
  <c r="U280" i="188"/>
  <c r="T280" i="188"/>
  <c r="S280" i="188"/>
  <c r="R280" i="188"/>
  <c r="Q280" i="188"/>
  <c r="P280" i="188"/>
  <c r="O280" i="188"/>
  <c r="N280" i="188"/>
  <c r="M280" i="188"/>
  <c r="L280" i="188"/>
  <c r="K280" i="188"/>
  <c r="J280" i="188"/>
  <c r="I280" i="188"/>
  <c r="H280" i="188"/>
  <c r="G280" i="188"/>
  <c r="F280" i="188"/>
  <c r="E280" i="188"/>
  <c r="D280" i="188"/>
  <c r="U279" i="188"/>
  <c r="T279" i="188"/>
  <c r="S279" i="188"/>
  <c r="R279" i="188"/>
  <c r="Q279" i="188"/>
  <c r="P279" i="188"/>
  <c r="O279" i="188"/>
  <c r="N279" i="188"/>
  <c r="M279" i="188"/>
  <c r="L279" i="188"/>
  <c r="K279" i="188"/>
  <c r="J279" i="188"/>
  <c r="I279" i="188"/>
  <c r="H279" i="188"/>
  <c r="G279" i="188"/>
  <c r="F279" i="188"/>
  <c r="E279" i="188"/>
  <c r="D279" i="188"/>
  <c r="P278" i="188"/>
  <c r="U277" i="188"/>
  <c r="T277" i="188"/>
  <c r="S277" i="188"/>
  <c r="R277" i="188"/>
  <c r="Q277" i="188"/>
  <c r="P277" i="188"/>
  <c r="O277" i="188"/>
  <c r="N277" i="188"/>
  <c r="M277" i="188"/>
  <c r="L277" i="188"/>
  <c r="K277" i="188"/>
  <c r="J277" i="188"/>
  <c r="I277" i="188"/>
  <c r="H277" i="188"/>
  <c r="G277" i="188"/>
  <c r="F277" i="188"/>
  <c r="E277" i="188"/>
  <c r="D277" i="188"/>
  <c r="U276" i="188"/>
  <c r="T276" i="188"/>
  <c r="S276" i="188"/>
  <c r="R276" i="188"/>
  <c r="Q276" i="188"/>
  <c r="P276" i="188"/>
  <c r="O276" i="188"/>
  <c r="N276" i="188"/>
  <c r="M276" i="188"/>
  <c r="L276" i="188"/>
  <c r="K276" i="188"/>
  <c r="J276" i="188"/>
  <c r="I276" i="188"/>
  <c r="H276" i="188"/>
  <c r="G276" i="188"/>
  <c r="F276" i="188"/>
  <c r="E276" i="188"/>
  <c r="D276" i="188"/>
  <c r="U275" i="188"/>
  <c r="T275" i="188"/>
  <c r="S275" i="188"/>
  <c r="R275" i="188"/>
  <c r="Q275" i="188"/>
  <c r="P275" i="188"/>
  <c r="O275" i="188"/>
  <c r="N275" i="188"/>
  <c r="M275" i="188"/>
  <c r="L275" i="188"/>
  <c r="K275" i="188"/>
  <c r="J275" i="188"/>
  <c r="I275" i="188"/>
  <c r="H275" i="188"/>
  <c r="G275" i="188"/>
  <c r="F275" i="188"/>
  <c r="E275" i="188"/>
  <c r="D275" i="188"/>
  <c r="U274" i="188"/>
  <c r="T274" i="188"/>
  <c r="S274" i="188"/>
  <c r="R274" i="188"/>
  <c r="Q274" i="188"/>
  <c r="P274" i="188"/>
  <c r="O274" i="188"/>
  <c r="N274" i="188"/>
  <c r="M274" i="188"/>
  <c r="L274" i="188"/>
  <c r="K274" i="188"/>
  <c r="J274" i="188"/>
  <c r="I274" i="188"/>
  <c r="H274" i="188"/>
  <c r="G274" i="188"/>
  <c r="F274" i="188"/>
  <c r="E274" i="188"/>
  <c r="D274" i="188"/>
  <c r="U273" i="188"/>
  <c r="T273" i="188"/>
  <c r="S273" i="188"/>
  <c r="R273" i="188"/>
  <c r="Q273" i="188"/>
  <c r="P273" i="188"/>
  <c r="O273" i="188"/>
  <c r="N273" i="188"/>
  <c r="M273" i="188"/>
  <c r="L273" i="188"/>
  <c r="K273" i="188"/>
  <c r="J273" i="188"/>
  <c r="I273" i="188"/>
  <c r="H273" i="188"/>
  <c r="G273" i="188"/>
  <c r="F273" i="188"/>
  <c r="E273" i="188"/>
  <c r="D273" i="188"/>
  <c r="U272" i="188"/>
  <c r="T272" i="188"/>
  <c r="S272" i="188"/>
  <c r="R272" i="188"/>
  <c r="Q272" i="188"/>
  <c r="P272" i="188"/>
  <c r="O272" i="188"/>
  <c r="N272" i="188"/>
  <c r="M272" i="188"/>
  <c r="L272" i="188"/>
  <c r="K272" i="188"/>
  <c r="J272" i="188"/>
  <c r="I272" i="188"/>
  <c r="H272" i="188"/>
  <c r="G272" i="188"/>
  <c r="F272" i="188"/>
  <c r="E272" i="188"/>
  <c r="D272" i="188"/>
  <c r="U271" i="188"/>
  <c r="T271" i="188"/>
  <c r="S271" i="188"/>
  <c r="R271" i="188"/>
  <c r="Q271" i="188"/>
  <c r="P271" i="188"/>
  <c r="O271" i="188"/>
  <c r="N271" i="188"/>
  <c r="M271" i="188"/>
  <c r="L271" i="188"/>
  <c r="K271" i="188"/>
  <c r="J271" i="188"/>
  <c r="I271" i="188"/>
  <c r="H271" i="188"/>
  <c r="G271" i="188"/>
  <c r="F271" i="188"/>
  <c r="E271" i="188"/>
  <c r="D271" i="188"/>
  <c r="U265" i="188"/>
  <c r="T265" i="188"/>
  <c r="S265" i="188"/>
  <c r="R265" i="188"/>
  <c r="Q265" i="188"/>
  <c r="P265" i="188"/>
  <c r="O265" i="188"/>
  <c r="N265" i="188"/>
  <c r="M265" i="188"/>
  <c r="L265" i="188"/>
  <c r="K265" i="188"/>
  <c r="J265" i="188"/>
  <c r="I265" i="188"/>
  <c r="H265" i="188"/>
  <c r="G265" i="188"/>
  <c r="F265" i="188"/>
  <c r="E265" i="188"/>
  <c r="D265" i="188"/>
  <c r="U264" i="188"/>
  <c r="T264" i="188"/>
  <c r="S264" i="188"/>
  <c r="R264" i="188"/>
  <c r="Q264" i="188"/>
  <c r="P264" i="188"/>
  <c r="O264" i="188"/>
  <c r="N264" i="188"/>
  <c r="M264" i="188"/>
  <c r="L264" i="188"/>
  <c r="K264" i="188"/>
  <c r="J264" i="188"/>
  <c r="I264" i="188"/>
  <c r="H264" i="188"/>
  <c r="G264" i="188"/>
  <c r="F264" i="188"/>
  <c r="E264" i="188"/>
  <c r="D264" i="188"/>
  <c r="U263" i="188"/>
  <c r="T263" i="188"/>
  <c r="S263" i="188"/>
  <c r="R263" i="188"/>
  <c r="Q263" i="188"/>
  <c r="P263" i="188"/>
  <c r="O263" i="188"/>
  <c r="N263" i="188"/>
  <c r="M263" i="188"/>
  <c r="L263" i="188"/>
  <c r="K263" i="188"/>
  <c r="J263" i="188"/>
  <c r="I263" i="188"/>
  <c r="H263" i="188"/>
  <c r="G263" i="188"/>
  <c r="F263" i="188"/>
  <c r="E263" i="188"/>
  <c r="D263" i="188"/>
  <c r="U262" i="188"/>
  <c r="T262" i="188"/>
  <c r="S262" i="188"/>
  <c r="R262" i="188"/>
  <c r="Q262" i="188"/>
  <c r="P262" i="188"/>
  <c r="O262" i="188"/>
  <c r="N262" i="188"/>
  <c r="M262" i="188"/>
  <c r="L262" i="188"/>
  <c r="K262" i="188"/>
  <c r="J262" i="188"/>
  <c r="I262" i="188"/>
  <c r="H262" i="188"/>
  <c r="G262" i="188"/>
  <c r="F262" i="188"/>
  <c r="E262" i="188"/>
  <c r="D262" i="188"/>
  <c r="U261" i="188"/>
  <c r="T261" i="188"/>
  <c r="S261" i="188"/>
  <c r="R261" i="188"/>
  <c r="Q261" i="188"/>
  <c r="P261" i="188"/>
  <c r="O261" i="188"/>
  <c r="N261" i="188"/>
  <c r="M261" i="188"/>
  <c r="L261" i="188"/>
  <c r="K261" i="188"/>
  <c r="J261" i="188"/>
  <c r="I261" i="188"/>
  <c r="H261" i="188"/>
  <c r="G261" i="188"/>
  <c r="F261" i="188"/>
  <c r="E261" i="188"/>
  <c r="D261" i="188"/>
  <c r="U260" i="188"/>
  <c r="T260" i="188"/>
  <c r="S260" i="188"/>
  <c r="R260" i="188"/>
  <c r="Q260" i="188"/>
  <c r="P260" i="188"/>
  <c r="O260" i="188"/>
  <c r="N260" i="188"/>
  <c r="M260" i="188"/>
  <c r="L260" i="188"/>
  <c r="K260" i="188"/>
  <c r="J260" i="188"/>
  <c r="I260" i="188"/>
  <c r="H260" i="188"/>
  <c r="G260" i="188"/>
  <c r="F260" i="188"/>
  <c r="E260" i="188"/>
  <c r="D260" i="188"/>
  <c r="U259" i="188"/>
  <c r="T259" i="188"/>
  <c r="S259" i="188"/>
  <c r="R259" i="188"/>
  <c r="Q259" i="188"/>
  <c r="P259" i="188"/>
  <c r="O259" i="188"/>
  <c r="N259" i="188"/>
  <c r="M259" i="188"/>
  <c r="L259" i="188"/>
  <c r="K259" i="188"/>
  <c r="J259" i="188"/>
  <c r="I259" i="188"/>
  <c r="H259" i="188"/>
  <c r="G259" i="188"/>
  <c r="F259" i="188"/>
  <c r="E259" i="188"/>
  <c r="D259" i="188"/>
  <c r="U258" i="188"/>
  <c r="T258" i="188"/>
  <c r="S258" i="188"/>
  <c r="R258" i="188"/>
  <c r="Q258" i="188"/>
  <c r="P258" i="188"/>
  <c r="O258" i="188"/>
  <c r="N258" i="188"/>
  <c r="M258" i="188"/>
  <c r="L258" i="188"/>
  <c r="K258" i="188"/>
  <c r="J258" i="188"/>
  <c r="I258" i="188"/>
  <c r="H258" i="188"/>
  <c r="G258" i="188"/>
  <c r="F258" i="188"/>
  <c r="E258" i="188"/>
  <c r="D258" i="188"/>
  <c r="U257" i="188"/>
  <c r="T257" i="188"/>
  <c r="S257" i="188"/>
  <c r="R257" i="188"/>
  <c r="Q257" i="188"/>
  <c r="P257" i="188"/>
  <c r="O257" i="188"/>
  <c r="N257" i="188"/>
  <c r="M257" i="188"/>
  <c r="L257" i="188"/>
  <c r="K257" i="188"/>
  <c r="J257" i="188"/>
  <c r="I257" i="188"/>
  <c r="H257" i="188"/>
  <c r="G257" i="188"/>
  <c r="F257" i="188"/>
  <c r="E257" i="188"/>
  <c r="D257" i="188"/>
  <c r="U256" i="188"/>
  <c r="T256" i="188"/>
  <c r="S256" i="188"/>
  <c r="R256" i="188"/>
  <c r="Q256" i="188"/>
  <c r="P256" i="188"/>
  <c r="O256" i="188"/>
  <c r="N256" i="188"/>
  <c r="M256" i="188"/>
  <c r="L256" i="188"/>
  <c r="K256" i="188"/>
  <c r="J256" i="188"/>
  <c r="I256" i="188"/>
  <c r="H256" i="188"/>
  <c r="G256" i="188"/>
  <c r="F256" i="188"/>
  <c r="E256" i="188"/>
  <c r="D256" i="188"/>
  <c r="P255" i="188"/>
  <c r="U254" i="188"/>
  <c r="T254" i="188"/>
  <c r="S254" i="188"/>
  <c r="R254" i="188"/>
  <c r="Q254" i="188"/>
  <c r="P254" i="188"/>
  <c r="O254" i="188"/>
  <c r="N254" i="188"/>
  <c r="M254" i="188"/>
  <c r="L254" i="188"/>
  <c r="K254" i="188"/>
  <c r="J254" i="188"/>
  <c r="I254" i="188"/>
  <c r="H254" i="188"/>
  <c r="G254" i="188"/>
  <c r="F254" i="188"/>
  <c r="E254" i="188"/>
  <c r="D254" i="188"/>
  <c r="U253" i="188"/>
  <c r="T253" i="188"/>
  <c r="S253" i="188"/>
  <c r="R253" i="188"/>
  <c r="Q253" i="188"/>
  <c r="P253" i="188"/>
  <c r="O253" i="188"/>
  <c r="N253" i="188"/>
  <c r="M253" i="188"/>
  <c r="L253" i="188"/>
  <c r="K253" i="188"/>
  <c r="J253" i="188"/>
  <c r="I253" i="188"/>
  <c r="H253" i="188"/>
  <c r="G253" i="188"/>
  <c r="F253" i="188"/>
  <c r="E253" i="188"/>
  <c r="D253" i="188"/>
  <c r="U252" i="188"/>
  <c r="T252" i="188"/>
  <c r="S252" i="188"/>
  <c r="R252" i="188"/>
  <c r="Q252" i="188"/>
  <c r="P252" i="188"/>
  <c r="O252" i="188"/>
  <c r="N252" i="188"/>
  <c r="M252" i="188"/>
  <c r="L252" i="188"/>
  <c r="K252" i="188"/>
  <c r="J252" i="188"/>
  <c r="I252" i="188"/>
  <c r="H252" i="188"/>
  <c r="G252" i="188"/>
  <c r="F252" i="188"/>
  <c r="E252" i="188"/>
  <c r="D252" i="188"/>
  <c r="U251" i="188"/>
  <c r="T251" i="188"/>
  <c r="S251" i="188"/>
  <c r="R251" i="188"/>
  <c r="Q251" i="188"/>
  <c r="P251" i="188"/>
  <c r="O251" i="188"/>
  <c r="N251" i="188"/>
  <c r="M251" i="188"/>
  <c r="L251" i="188"/>
  <c r="K251" i="188"/>
  <c r="J251" i="188"/>
  <c r="I251" i="188"/>
  <c r="H251" i="188"/>
  <c r="G251" i="188"/>
  <c r="F251" i="188"/>
  <c r="E251" i="188"/>
  <c r="D251" i="188"/>
  <c r="U250" i="188"/>
  <c r="T250" i="188"/>
  <c r="S250" i="188"/>
  <c r="R250" i="188"/>
  <c r="Q250" i="188"/>
  <c r="P250" i="188"/>
  <c r="O250" i="188"/>
  <c r="N250" i="188"/>
  <c r="M250" i="188"/>
  <c r="L250" i="188"/>
  <c r="K250" i="188"/>
  <c r="J250" i="188"/>
  <c r="I250" i="188"/>
  <c r="H250" i="188"/>
  <c r="G250" i="188"/>
  <c r="F250" i="188"/>
  <c r="E250" i="188"/>
  <c r="D250" i="188"/>
  <c r="U249" i="188"/>
  <c r="T249" i="188"/>
  <c r="S249" i="188"/>
  <c r="R249" i="188"/>
  <c r="Q249" i="188"/>
  <c r="P249" i="188"/>
  <c r="O249" i="188"/>
  <c r="N249" i="188"/>
  <c r="M249" i="188"/>
  <c r="L249" i="188"/>
  <c r="K249" i="188"/>
  <c r="J249" i="188"/>
  <c r="I249" i="188"/>
  <c r="H249" i="188"/>
  <c r="G249" i="188"/>
  <c r="F249" i="188"/>
  <c r="E249" i="188"/>
  <c r="D249" i="188"/>
  <c r="U248" i="188"/>
  <c r="T248" i="188"/>
  <c r="S248" i="188"/>
  <c r="R248" i="188"/>
  <c r="Q248" i="188"/>
  <c r="P248" i="188"/>
  <c r="O248" i="188"/>
  <c r="N248" i="188"/>
  <c r="M248" i="188"/>
  <c r="L248" i="188"/>
  <c r="K248" i="188"/>
  <c r="J248" i="188"/>
  <c r="I248" i="188"/>
  <c r="H248" i="188"/>
  <c r="G248" i="188"/>
  <c r="F248" i="188"/>
  <c r="E248" i="188"/>
  <c r="D248" i="188"/>
  <c r="U247" i="188"/>
  <c r="T247" i="188"/>
  <c r="S247" i="188"/>
  <c r="R247" i="188"/>
  <c r="Q247" i="188"/>
  <c r="P247" i="188"/>
  <c r="O247" i="188"/>
  <c r="N247" i="188"/>
  <c r="M247" i="188"/>
  <c r="L247" i="188"/>
  <c r="K247" i="188"/>
  <c r="J247" i="188"/>
  <c r="I247" i="188"/>
  <c r="H247" i="188"/>
  <c r="G247" i="188"/>
  <c r="F247" i="188"/>
  <c r="E247" i="188"/>
  <c r="D247" i="188"/>
  <c r="U246" i="188"/>
  <c r="T246" i="188"/>
  <c r="S246" i="188"/>
  <c r="R246" i="188"/>
  <c r="Q246" i="188"/>
  <c r="P246" i="188"/>
  <c r="O246" i="188"/>
  <c r="N246" i="188"/>
  <c r="M246" i="188"/>
  <c r="L246" i="188"/>
  <c r="K246" i="188"/>
  <c r="J246" i="188"/>
  <c r="I246" i="188"/>
  <c r="H246" i="188"/>
  <c r="G246" i="188"/>
  <c r="F246" i="188"/>
  <c r="E246" i="188"/>
  <c r="D246" i="188"/>
  <c r="U245" i="188"/>
  <c r="T245" i="188"/>
  <c r="S245" i="188"/>
  <c r="R245" i="188"/>
  <c r="Q245" i="188"/>
  <c r="P245" i="188"/>
  <c r="O245" i="188"/>
  <c r="N245" i="188"/>
  <c r="M245" i="188"/>
  <c r="L245" i="188"/>
  <c r="K245" i="188"/>
  <c r="J245" i="188"/>
  <c r="I245" i="188"/>
  <c r="H245" i="188"/>
  <c r="G245" i="188"/>
  <c r="F245" i="188"/>
  <c r="E245" i="188"/>
  <c r="D245" i="188"/>
  <c r="U244" i="188"/>
  <c r="T244" i="188"/>
  <c r="S244" i="188"/>
  <c r="R244" i="188"/>
  <c r="Q244" i="188"/>
  <c r="P244" i="188"/>
  <c r="O244" i="188"/>
  <c r="N244" i="188"/>
  <c r="M244" i="188"/>
  <c r="L244" i="188"/>
  <c r="K244" i="188"/>
  <c r="J244" i="188"/>
  <c r="I244" i="188"/>
  <c r="H244" i="188"/>
  <c r="G244" i="188"/>
  <c r="F244" i="188"/>
  <c r="E244" i="188"/>
  <c r="D244" i="188"/>
  <c r="U243" i="188"/>
  <c r="T243" i="188"/>
  <c r="S243" i="188"/>
  <c r="R243" i="188"/>
  <c r="Q243" i="188"/>
  <c r="P243" i="188"/>
  <c r="O243" i="188"/>
  <c r="N243" i="188"/>
  <c r="M243" i="188"/>
  <c r="L243" i="188"/>
  <c r="K243" i="188"/>
  <c r="J243" i="188"/>
  <c r="I243" i="188"/>
  <c r="H243" i="188"/>
  <c r="G243" i="188"/>
  <c r="F243" i="188"/>
  <c r="E243" i="188"/>
  <c r="D243" i="188"/>
  <c r="U242" i="188"/>
  <c r="T242" i="188"/>
  <c r="S242" i="188"/>
  <c r="R242" i="188"/>
  <c r="Q242" i="188"/>
  <c r="P242" i="188"/>
  <c r="O242" i="188"/>
  <c r="N242" i="188"/>
  <c r="M242" i="188"/>
  <c r="L242" i="188"/>
  <c r="K242" i="188"/>
  <c r="J242" i="188"/>
  <c r="I242" i="188"/>
  <c r="H242" i="188"/>
  <c r="G242" i="188"/>
  <c r="F242" i="188"/>
  <c r="E242" i="188"/>
  <c r="D242" i="188"/>
  <c r="P241" i="188"/>
  <c r="U240" i="188"/>
  <c r="T240" i="188"/>
  <c r="S240" i="188"/>
  <c r="R240" i="188"/>
  <c r="Q240" i="188"/>
  <c r="P240" i="188"/>
  <c r="O240" i="188"/>
  <c r="N240" i="188"/>
  <c r="M240" i="188"/>
  <c r="L240" i="188"/>
  <c r="K240" i="188"/>
  <c r="J240" i="188"/>
  <c r="I240" i="188"/>
  <c r="H240" i="188"/>
  <c r="G240" i="188"/>
  <c r="F240" i="188"/>
  <c r="E240" i="188"/>
  <c r="D240" i="188"/>
  <c r="U239" i="188"/>
  <c r="T239" i="188"/>
  <c r="S239" i="188"/>
  <c r="R239" i="188"/>
  <c r="Q239" i="188"/>
  <c r="P239" i="188"/>
  <c r="O239" i="188"/>
  <c r="N239" i="188"/>
  <c r="M239" i="188"/>
  <c r="L239" i="188"/>
  <c r="K239" i="188"/>
  <c r="J239" i="188"/>
  <c r="I239" i="188"/>
  <c r="H239" i="188"/>
  <c r="G239" i="188"/>
  <c r="F239" i="188"/>
  <c r="E239" i="188"/>
  <c r="D239" i="188"/>
  <c r="U238" i="188"/>
  <c r="T238" i="188"/>
  <c r="S238" i="188"/>
  <c r="R238" i="188"/>
  <c r="Q238" i="188"/>
  <c r="P238" i="188"/>
  <c r="O238" i="188"/>
  <c r="N238" i="188"/>
  <c r="M238" i="188"/>
  <c r="L238" i="188"/>
  <c r="K238" i="188"/>
  <c r="J238" i="188"/>
  <c r="I238" i="188"/>
  <c r="H238" i="188"/>
  <c r="G238" i="188"/>
  <c r="F238" i="188"/>
  <c r="E238" i="188"/>
  <c r="D238" i="188"/>
  <c r="U237" i="188"/>
  <c r="T237" i="188"/>
  <c r="S237" i="188"/>
  <c r="R237" i="188"/>
  <c r="Q237" i="188"/>
  <c r="P237" i="188"/>
  <c r="O237" i="188"/>
  <c r="N237" i="188"/>
  <c r="M237" i="188"/>
  <c r="L237" i="188"/>
  <c r="K237" i="188"/>
  <c r="J237" i="188"/>
  <c r="I237" i="188"/>
  <c r="H237" i="188"/>
  <c r="G237" i="188"/>
  <c r="F237" i="188"/>
  <c r="E237" i="188"/>
  <c r="D237" i="188"/>
  <c r="U236" i="188"/>
  <c r="T236" i="188"/>
  <c r="S236" i="188"/>
  <c r="R236" i="188"/>
  <c r="Q236" i="188"/>
  <c r="P236" i="188"/>
  <c r="O236" i="188"/>
  <c r="N236" i="188"/>
  <c r="M236" i="188"/>
  <c r="L236" i="188"/>
  <c r="K236" i="188"/>
  <c r="J236" i="188"/>
  <c r="I236" i="188"/>
  <c r="H236" i="188"/>
  <c r="G236" i="188"/>
  <c r="F236" i="188"/>
  <c r="E236" i="188"/>
  <c r="D236" i="188"/>
  <c r="U235" i="188"/>
  <c r="T235" i="188"/>
  <c r="S235" i="188"/>
  <c r="R235" i="188"/>
  <c r="Q235" i="188"/>
  <c r="P235" i="188"/>
  <c r="O235" i="188"/>
  <c r="N235" i="188"/>
  <c r="M235" i="188"/>
  <c r="L235" i="188"/>
  <c r="K235" i="188"/>
  <c r="J235" i="188"/>
  <c r="I235" i="188"/>
  <c r="H235" i="188"/>
  <c r="G235" i="188"/>
  <c r="F235" i="188"/>
  <c r="E235" i="188"/>
  <c r="D235" i="188"/>
  <c r="U234" i="188"/>
  <c r="T234" i="188"/>
  <c r="S234" i="188"/>
  <c r="R234" i="188"/>
  <c r="Q234" i="188"/>
  <c r="P234" i="188"/>
  <c r="O234" i="188"/>
  <c r="N234" i="188"/>
  <c r="M234" i="188"/>
  <c r="L234" i="188"/>
  <c r="K234" i="188"/>
  <c r="J234" i="188"/>
  <c r="I234" i="188"/>
  <c r="H234" i="188"/>
  <c r="G234" i="188"/>
  <c r="F234" i="188"/>
  <c r="E234" i="188"/>
  <c r="D234" i="188"/>
  <c r="U228" i="188"/>
  <c r="T228" i="188"/>
  <c r="S228" i="188"/>
  <c r="R228" i="188"/>
  <c r="Q228" i="188"/>
  <c r="P228" i="188"/>
  <c r="O228" i="188"/>
  <c r="N228" i="188"/>
  <c r="M228" i="188"/>
  <c r="L228" i="188"/>
  <c r="K228" i="188"/>
  <c r="J228" i="188"/>
  <c r="I228" i="188"/>
  <c r="H228" i="188"/>
  <c r="G228" i="188"/>
  <c r="F228" i="188"/>
  <c r="E228" i="188"/>
  <c r="D228" i="188"/>
  <c r="U227" i="188"/>
  <c r="T227" i="188"/>
  <c r="S227" i="188"/>
  <c r="R227" i="188"/>
  <c r="Q227" i="188"/>
  <c r="P227" i="188"/>
  <c r="O227" i="188"/>
  <c r="N227" i="188"/>
  <c r="M227" i="188"/>
  <c r="L227" i="188"/>
  <c r="K227" i="188"/>
  <c r="J227" i="188"/>
  <c r="I227" i="188"/>
  <c r="H227" i="188"/>
  <c r="G227" i="188"/>
  <c r="F227" i="188"/>
  <c r="E227" i="188"/>
  <c r="D227" i="188"/>
  <c r="U226" i="188"/>
  <c r="T226" i="188"/>
  <c r="S226" i="188"/>
  <c r="R226" i="188"/>
  <c r="Q226" i="188"/>
  <c r="P226" i="188"/>
  <c r="O226" i="188"/>
  <c r="N226" i="188"/>
  <c r="M226" i="188"/>
  <c r="L226" i="188"/>
  <c r="K226" i="188"/>
  <c r="J226" i="188"/>
  <c r="I226" i="188"/>
  <c r="H226" i="188"/>
  <c r="G226" i="188"/>
  <c r="F226" i="188"/>
  <c r="E226" i="188"/>
  <c r="D226" i="188"/>
  <c r="U225" i="188"/>
  <c r="T225" i="188"/>
  <c r="S225" i="188"/>
  <c r="R225" i="188"/>
  <c r="Q225" i="188"/>
  <c r="P225" i="188"/>
  <c r="O225" i="188"/>
  <c r="N225" i="188"/>
  <c r="M225" i="188"/>
  <c r="L225" i="188"/>
  <c r="K225" i="188"/>
  <c r="J225" i="188"/>
  <c r="I225" i="188"/>
  <c r="H225" i="188"/>
  <c r="G225" i="188"/>
  <c r="F225" i="188"/>
  <c r="E225" i="188"/>
  <c r="D225" i="188"/>
  <c r="U224" i="188"/>
  <c r="T224" i="188"/>
  <c r="S224" i="188"/>
  <c r="R224" i="188"/>
  <c r="Q224" i="188"/>
  <c r="P224" i="188"/>
  <c r="O224" i="188"/>
  <c r="N224" i="188"/>
  <c r="M224" i="188"/>
  <c r="L224" i="188"/>
  <c r="K224" i="188"/>
  <c r="J224" i="188"/>
  <c r="I224" i="188"/>
  <c r="H224" i="188"/>
  <c r="G224" i="188"/>
  <c r="F224" i="188"/>
  <c r="E224" i="188"/>
  <c r="D224" i="188"/>
  <c r="U223" i="188"/>
  <c r="T223" i="188"/>
  <c r="S223" i="188"/>
  <c r="R223" i="188"/>
  <c r="Q223" i="188"/>
  <c r="P223" i="188"/>
  <c r="O223" i="188"/>
  <c r="N223" i="188"/>
  <c r="M223" i="188"/>
  <c r="L223" i="188"/>
  <c r="K223" i="188"/>
  <c r="J223" i="188"/>
  <c r="I223" i="188"/>
  <c r="H223" i="188"/>
  <c r="G223" i="188"/>
  <c r="F223" i="188"/>
  <c r="E223" i="188"/>
  <c r="D223" i="188"/>
  <c r="U222" i="188"/>
  <c r="T222" i="188"/>
  <c r="S222" i="188"/>
  <c r="R222" i="188"/>
  <c r="Q222" i="188"/>
  <c r="P222" i="188"/>
  <c r="O222" i="188"/>
  <c r="N222" i="188"/>
  <c r="M222" i="188"/>
  <c r="L222" i="188"/>
  <c r="K222" i="188"/>
  <c r="J222" i="188"/>
  <c r="I222" i="188"/>
  <c r="H222" i="188"/>
  <c r="G222" i="188"/>
  <c r="F222" i="188"/>
  <c r="E222" i="188"/>
  <c r="D222" i="188"/>
  <c r="U221" i="188"/>
  <c r="T221" i="188"/>
  <c r="S221" i="188"/>
  <c r="R221" i="188"/>
  <c r="Q221" i="188"/>
  <c r="P221" i="188"/>
  <c r="O221" i="188"/>
  <c r="N221" i="188"/>
  <c r="M221" i="188"/>
  <c r="L221" i="188"/>
  <c r="K221" i="188"/>
  <c r="J221" i="188"/>
  <c r="I221" i="188"/>
  <c r="H221" i="188"/>
  <c r="G221" i="188"/>
  <c r="F221" i="188"/>
  <c r="E221" i="188"/>
  <c r="D221" i="188"/>
  <c r="U220" i="188"/>
  <c r="T220" i="188"/>
  <c r="S220" i="188"/>
  <c r="R220" i="188"/>
  <c r="Q220" i="188"/>
  <c r="P220" i="188"/>
  <c r="O220" i="188"/>
  <c r="N220" i="188"/>
  <c r="M220" i="188"/>
  <c r="L220" i="188"/>
  <c r="K220" i="188"/>
  <c r="J220" i="188"/>
  <c r="I220" i="188"/>
  <c r="H220" i="188"/>
  <c r="G220" i="188"/>
  <c r="F220" i="188"/>
  <c r="E220" i="188"/>
  <c r="D220" i="188"/>
  <c r="U219" i="188"/>
  <c r="T219" i="188"/>
  <c r="S219" i="188"/>
  <c r="R219" i="188"/>
  <c r="Q219" i="188"/>
  <c r="P219" i="188"/>
  <c r="O219" i="188"/>
  <c r="N219" i="188"/>
  <c r="M219" i="188"/>
  <c r="L219" i="188"/>
  <c r="K219" i="188"/>
  <c r="J219" i="188"/>
  <c r="I219" i="188"/>
  <c r="H219" i="188"/>
  <c r="G219" i="188"/>
  <c r="F219" i="188"/>
  <c r="E219" i="188"/>
  <c r="D219" i="188"/>
  <c r="P218" i="188"/>
  <c r="U217" i="188"/>
  <c r="T217" i="188"/>
  <c r="S217" i="188"/>
  <c r="R217" i="188"/>
  <c r="Q217" i="188"/>
  <c r="P217" i="188"/>
  <c r="O217" i="188"/>
  <c r="N217" i="188"/>
  <c r="M217" i="188"/>
  <c r="L217" i="188"/>
  <c r="K217" i="188"/>
  <c r="J217" i="188"/>
  <c r="I217" i="188"/>
  <c r="H217" i="188"/>
  <c r="G217" i="188"/>
  <c r="F217" i="188"/>
  <c r="E217" i="188"/>
  <c r="D217" i="188"/>
  <c r="U216" i="188"/>
  <c r="T216" i="188"/>
  <c r="S216" i="188"/>
  <c r="R216" i="188"/>
  <c r="Q216" i="188"/>
  <c r="P216" i="188"/>
  <c r="O216" i="188"/>
  <c r="N216" i="188"/>
  <c r="M216" i="188"/>
  <c r="L216" i="188"/>
  <c r="K216" i="188"/>
  <c r="J216" i="188"/>
  <c r="I216" i="188"/>
  <c r="H216" i="188"/>
  <c r="G216" i="188"/>
  <c r="F216" i="188"/>
  <c r="E216" i="188"/>
  <c r="D216" i="188"/>
  <c r="U215" i="188"/>
  <c r="T215" i="188"/>
  <c r="S215" i="188"/>
  <c r="R215" i="188"/>
  <c r="Q215" i="188"/>
  <c r="P215" i="188"/>
  <c r="O215" i="188"/>
  <c r="N215" i="188"/>
  <c r="M215" i="188"/>
  <c r="L215" i="188"/>
  <c r="K215" i="188"/>
  <c r="J215" i="188"/>
  <c r="I215" i="188"/>
  <c r="H215" i="188"/>
  <c r="G215" i="188"/>
  <c r="F215" i="188"/>
  <c r="E215" i="188"/>
  <c r="D215" i="188"/>
  <c r="U214" i="188"/>
  <c r="T214" i="188"/>
  <c r="S214" i="188"/>
  <c r="R214" i="188"/>
  <c r="Q214" i="188"/>
  <c r="P214" i="188"/>
  <c r="O214" i="188"/>
  <c r="N214" i="188"/>
  <c r="M214" i="188"/>
  <c r="L214" i="188"/>
  <c r="K214" i="188"/>
  <c r="J214" i="188"/>
  <c r="I214" i="188"/>
  <c r="H214" i="188"/>
  <c r="G214" i="188"/>
  <c r="F214" i="188"/>
  <c r="E214" i="188"/>
  <c r="D214" i="188"/>
  <c r="U213" i="188"/>
  <c r="T213" i="188"/>
  <c r="S213" i="188"/>
  <c r="R213" i="188"/>
  <c r="Q213" i="188"/>
  <c r="P213" i="188"/>
  <c r="O213" i="188"/>
  <c r="N213" i="188"/>
  <c r="M213" i="188"/>
  <c r="L213" i="188"/>
  <c r="K213" i="188"/>
  <c r="J213" i="188"/>
  <c r="I213" i="188"/>
  <c r="H213" i="188"/>
  <c r="G213" i="188"/>
  <c r="F213" i="188"/>
  <c r="E213" i="188"/>
  <c r="D213" i="188"/>
  <c r="U212" i="188"/>
  <c r="T212" i="188"/>
  <c r="S212" i="188"/>
  <c r="R212" i="188"/>
  <c r="Q212" i="188"/>
  <c r="P212" i="188"/>
  <c r="O212" i="188"/>
  <c r="N212" i="188"/>
  <c r="M212" i="188"/>
  <c r="L212" i="188"/>
  <c r="K212" i="188"/>
  <c r="J212" i="188"/>
  <c r="I212" i="188"/>
  <c r="H212" i="188"/>
  <c r="G212" i="188"/>
  <c r="F212" i="188"/>
  <c r="E212" i="188"/>
  <c r="D212" i="188"/>
  <c r="U211" i="188"/>
  <c r="T211" i="188"/>
  <c r="S211" i="188"/>
  <c r="R211" i="188"/>
  <c r="Q211" i="188"/>
  <c r="P211" i="188"/>
  <c r="O211" i="188"/>
  <c r="N211" i="188"/>
  <c r="M211" i="188"/>
  <c r="L211" i="188"/>
  <c r="K211" i="188"/>
  <c r="J211" i="188"/>
  <c r="I211" i="188"/>
  <c r="H211" i="188"/>
  <c r="G211" i="188"/>
  <c r="F211" i="188"/>
  <c r="E211" i="188"/>
  <c r="D211" i="188"/>
  <c r="U210" i="188"/>
  <c r="T210" i="188"/>
  <c r="S210" i="188"/>
  <c r="R210" i="188"/>
  <c r="Q210" i="188"/>
  <c r="P210" i="188"/>
  <c r="O210" i="188"/>
  <c r="N210" i="188"/>
  <c r="M210" i="188"/>
  <c r="L210" i="188"/>
  <c r="K210" i="188"/>
  <c r="J210" i="188"/>
  <c r="I210" i="188"/>
  <c r="H210" i="188"/>
  <c r="G210" i="188"/>
  <c r="F210" i="188"/>
  <c r="E210" i="188"/>
  <c r="D210" i="188"/>
  <c r="U209" i="188"/>
  <c r="T209" i="188"/>
  <c r="S209" i="188"/>
  <c r="R209" i="188"/>
  <c r="Q209" i="188"/>
  <c r="P209" i="188"/>
  <c r="O209" i="188"/>
  <c r="N209" i="188"/>
  <c r="M209" i="188"/>
  <c r="L209" i="188"/>
  <c r="K209" i="188"/>
  <c r="J209" i="188"/>
  <c r="I209" i="188"/>
  <c r="H209" i="188"/>
  <c r="G209" i="188"/>
  <c r="F209" i="188"/>
  <c r="E209" i="188"/>
  <c r="D209" i="188"/>
  <c r="U208" i="188"/>
  <c r="T208" i="188"/>
  <c r="S208" i="188"/>
  <c r="R208" i="188"/>
  <c r="Q208" i="188"/>
  <c r="P208" i="188"/>
  <c r="O208" i="188"/>
  <c r="N208" i="188"/>
  <c r="M208" i="188"/>
  <c r="L208" i="188"/>
  <c r="K208" i="188"/>
  <c r="J208" i="188"/>
  <c r="I208" i="188"/>
  <c r="H208" i="188"/>
  <c r="G208" i="188"/>
  <c r="F208" i="188"/>
  <c r="E208" i="188"/>
  <c r="D208" i="188"/>
  <c r="U207" i="188"/>
  <c r="T207" i="188"/>
  <c r="S207" i="188"/>
  <c r="R207" i="188"/>
  <c r="Q207" i="188"/>
  <c r="P207" i="188"/>
  <c r="O207" i="188"/>
  <c r="N207" i="188"/>
  <c r="M207" i="188"/>
  <c r="L207" i="188"/>
  <c r="K207" i="188"/>
  <c r="J207" i="188"/>
  <c r="I207" i="188"/>
  <c r="H207" i="188"/>
  <c r="G207" i="188"/>
  <c r="F207" i="188"/>
  <c r="E207" i="188"/>
  <c r="D207" i="188"/>
  <c r="U206" i="188"/>
  <c r="T206" i="188"/>
  <c r="S206" i="188"/>
  <c r="R206" i="188"/>
  <c r="Q206" i="188"/>
  <c r="P206" i="188"/>
  <c r="O206" i="188"/>
  <c r="N206" i="188"/>
  <c r="M206" i="188"/>
  <c r="L206" i="188"/>
  <c r="K206" i="188"/>
  <c r="J206" i="188"/>
  <c r="I206" i="188"/>
  <c r="H206" i="188"/>
  <c r="G206" i="188"/>
  <c r="F206" i="188"/>
  <c r="E206" i="188"/>
  <c r="D206" i="188"/>
  <c r="U205" i="188"/>
  <c r="T205" i="188"/>
  <c r="S205" i="188"/>
  <c r="R205" i="188"/>
  <c r="Q205" i="188"/>
  <c r="P205" i="188"/>
  <c r="O205" i="188"/>
  <c r="N205" i="188"/>
  <c r="M205" i="188"/>
  <c r="L205" i="188"/>
  <c r="K205" i="188"/>
  <c r="J205" i="188"/>
  <c r="I205" i="188"/>
  <c r="H205" i="188"/>
  <c r="G205" i="188"/>
  <c r="F205" i="188"/>
  <c r="E205" i="188"/>
  <c r="D205" i="188"/>
  <c r="P204" i="188"/>
  <c r="U203" i="188"/>
  <c r="T203" i="188"/>
  <c r="S203" i="188"/>
  <c r="R203" i="188"/>
  <c r="Q203" i="188"/>
  <c r="P203" i="188"/>
  <c r="O203" i="188"/>
  <c r="N203" i="188"/>
  <c r="M203" i="188"/>
  <c r="L203" i="188"/>
  <c r="K203" i="188"/>
  <c r="J203" i="188"/>
  <c r="I203" i="188"/>
  <c r="H203" i="188"/>
  <c r="G203" i="188"/>
  <c r="F203" i="188"/>
  <c r="E203" i="188"/>
  <c r="D203" i="188"/>
  <c r="U202" i="188"/>
  <c r="T202" i="188"/>
  <c r="S202" i="188"/>
  <c r="R202" i="188"/>
  <c r="Q202" i="188"/>
  <c r="P202" i="188"/>
  <c r="O202" i="188"/>
  <c r="N202" i="188"/>
  <c r="M202" i="188"/>
  <c r="L202" i="188"/>
  <c r="K202" i="188"/>
  <c r="J202" i="188"/>
  <c r="I202" i="188"/>
  <c r="H202" i="188"/>
  <c r="G202" i="188"/>
  <c r="F202" i="188"/>
  <c r="E202" i="188"/>
  <c r="D202" i="188"/>
  <c r="U201" i="188"/>
  <c r="T201" i="188"/>
  <c r="S201" i="188"/>
  <c r="R201" i="188"/>
  <c r="Q201" i="188"/>
  <c r="P201" i="188"/>
  <c r="O201" i="188"/>
  <c r="N201" i="188"/>
  <c r="M201" i="188"/>
  <c r="L201" i="188"/>
  <c r="K201" i="188"/>
  <c r="J201" i="188"/>
  <c r="I201" i="188"/>
  <c r="H201" i="188"/>
  <c r="G201" i="188"/>
  <c r="F201" i="188"/>
  <c r="E201" i="188"/>
  <c r="D201" i="188"/>
  <c r="U200" i="188"/>
  <c r="T200" i="188"/>
  <c r="S200" i="188"/>
  <c r="R200" i="188"/>
  <c r="Q200" i="188"/>
  <c r="P200" i="188"/>
  <c r="O200" i="188"/>
  <c r="N200" i="188"/>
  <c r="M200" i="188"/>
  <c r="L200" i="188"/>
  <c r="K200" i="188"/>
  <c r="J200" i="188"/>
  <c r="I200" i="188"/>
  <c r="H200" i="188"/>
  <c r="G200" i="188"/>
  <c r="F200" i="188"/>
  <c r="E200" i="188"/>
  <c r="D200" i="188"/>
  <c r="U199" i="188"/>
  <c r="T199" i="188"/>
  <c r="S199" i="188"/>
  <c r="R199" i="188"/>
  <c r="Q199" i="188"/>
  <c r="P199" i="188"/>
  <c r="O199" i="188"/>
  <c r="N199" i="188"/>
  <c r="M199" i="188"/>
  <c r="L199" i="188"/>
  <c r="K199" i="188"/>
  <c r="J199" i="188"/>
  <c r="I199" i="188"/>
  <c r="H199" i="188"/>
  <c r="G199" i="188"/>
  <c r="F199" i="188"/>
  <c r="E199" i="188"/>
  <c r="D199" i="188"/>
  <c r="U198" i="188"/>
  <c r="T198" i="188"/>
  <c r="S198" i="188"/>
  <c r="R198" i="188"/>
  <c r="Q198" i="188"/>
  <c r="P198" i="188"/>
  <c r="O198" i="188"/>
  <c r="N198" i="188"/>
  <c r="M198" i="188"/>
  <c r="L198" i="188"/>
  <c r="K198" i="188"/>
  <c r="J198" i="188"/>
  <c r="I198" i="188"/>
  <c r="H198" i="188"/>
  <c r="G198" i="188"/>
  <c r="F198" i="188"/>
  <c r="E198" i="188"/>
  <c r="D198" i="188"/>
  <c r="U197" i="188"/>
  <c r="T197" i="188"/>
  <c r="S197" i="188"/>
  <c r="R197" i="188"/>
  <c r="Q197" i="188"/>
  <c r="P197" i="188"/>
  <c r="O197" i="188"/>
  <c r="N197" i="188"/>
  <c r="M197" i="188"/>
  <c r="L197" i="188"/>
  <c r="K197" i="188"/>
  <c r="J197" i="188"/>
  <c r="I197" i="188"/>
  <c r="H197" i="188"/>
  <c r="G197" i="188"/>
  <c r="F197" i="188"/>
  <c r="E197" i="188"/>
  <c r="D197" i="188"/>
  <c r="U191" i="188"/>
  <c r="T191" i="188"/>
  <c r="S191" i="188"/>
  <c r="R191" i="188"/>
  <c r="Q191" i="188"/>
  <c r="P191" i="188"/>
  <c r="O191" i="188"/>
  <c r="N191" i="188"/>
  <c r="M191" i="188"/>
  <c r="L191" i="188"/>
  <c r="K191" i="188"/>
  <c r="J191" i="188"/>
  <c r="I191" i="188"/>
  <c r="H191" i="188"/>
  <c r="G191" i="188"/>
  <c r="F191" i="188"/>
  <c r="E191" i="188"/>
  <c r="D191" i="188"/>
  <c r="U190" i="188"/>
  <c r="T190" i="188"/>
  <c r="S190" i="188"/>
  <c r="R190" i="188"/>
  <c r="Q190" i="188"/>
  <c r="P190" i="188"/>
  <c r="O190" i="188"/>
  <c r="N190" i="188"/>
  <c r="M190" i="188"/>
  <c r="L190" i="188"/>
  <c r="K190" i="188"/>
  <c r="J190" i="188"/>
  <c r="I190" i="188"/>
  <c r="H190" i="188"/>
  <c r="G190" i="188"/>
  <c r="F190" i="188"/>
  <c r="E190" i="188"/>
  <c r="D190" i="188"/>
  <c r="U189" i="188"/>
  <c r="T189" i="188"/>
  <c r="S189" i="188"/>
  <c r="R189" i="188"/>
  <c r="Q189" i="188"/>
  <c r="P189" i="188"/>
  <c r="O189" i="188"/>
  <c r="N189" i="188"/>
  <c r="M189" i="188"/>
  <c r="L189" i="188"/>
  <c r="K189" i="188"/>
  <c r="J189" i="188"/>
  <c r="I189" i="188"/>
  <c r="H189" i="188"/>
  <c r="G189" i="188"/>
  <c r="F189" i="188"/>
  <c r="E189" i="188"/>
  <c r="D189" i="188"/>
  <c r="U188" i="188"/>
  <c r="T188" i="188"/>
  <c r="S188" i="188"/>
  <c r="R188" i="188"/>
  <c r="Q188" i="188"/>
  <c r="P188" i="188"/>
  <c r="O188" i="188"/>
  <c r="N188" i="188"/>
  <c r="M188" i="188"/>
  <c r="L188" i="188"/>
  <c r="K188" i="188"/>
  <c r="J188" i="188"/>
  <c r="I188" i="188"/>
  <c r="H188" i="188"/>
  <c r="G188" i="188"/>
  <c r="F188" i="188"/>
  <c r="E188" i="188"/>
  <c r="D188" i="188"/>
  <c r="U187" i="188"/>
  <c r="T187" i="188"/>
  <c r="S187" i="188"/>
  <c r="R187" i="188"/>
  <c r="Q187" i="188"/>
  <c r="P187" i="188"/>
  <c r="O187" i="188"/>
  <c r="N187" i="188"/>
  <c r="M187" i="188"/>
  <c r="L187" i="188"/>
  <c r="K187" i="188"/>
  <c r="J187" i="188"/>
  <c r="I187" i="188"/>
  <c r="H187" i="188"/>
  <c r="G187" i="188"/>
  <c r="F187" i="188"/>
  <c r="E187" i="188"/>
  <c r="D187" i="188"/>
  <c r="U186" i="188"/>
  <c r="T186" i="188"/>
  <c r="S186" i="188"/>
  <c r="R186" i="188"/>
  <c r="Q186" i="188"/>
  <c r="P186" i="188"/>
  <c r="O186" i="188"/>
  <c r="N186" i="188"/>
  <c r="M186" i="188"/>
  <c r="L186" i="188"/>
  <c r="K186" i="188"/>
  <c r="J186" i="188"/>
  <c r="I186" i="188"/>
  <c r="H186" i="188"/>
  <c r="G186" i="188"/>
  <c r="F186" i="188"/>
  <c r="E186" i="188"/>
  <c r="D186" i="188"/>
  <c r="U185" i="188"/>
  <c r="T185" i="188"/>
  <c r="S185" i="188"/>
  <c r="R185" i="188"/>
  <c r="Q185" i="188"/>
  <c r="P185" i="188"/>
  <c r="O185" i="188"/>
  <c r="N185" i="188"/>
  <c r="M185" i="188"/>
  <c r="L185" i="188"/>
  <c r="K185" i="188"/>
  <c r="J185" i="188"/>
  <c r="I185" i="188"/>
  <c r="H185" i="188"/>
  <c r="G185" i="188"/>
  <c r="F185" i="188"/>
  <c r="E185" i="188"/>
  <c r="D185" i="188"/>
  <c r="U184" i="188"/>
  <c r="T184" i="188"/>
  <c r="S184" i="188"/>
  <c r="R184" i="188"/>
  <c r="Q184" i="188"/>
  <c r="P184" i="188"/>
  <c r="O184" i="188"/>
  <c r="N184" i="188"/>
  <c r="M184" i="188"/>
  <c r="L184" i="188"/>
  <c r="K184" i="188"/>
  <c r="J184" i="188"/>
  <c r="I184" i="188"/>
  <c r="H184" i="188"/>
  <c r="G184" i="188"/>
  <c r="F184" i="188"/>
  <c r="E184" i="188"/>
  <c r="D184" i="188"/>
  <c r="U183" i="188"/>
  <c r="T183" i="188"/>
  <c r="S183" i="188"/>
  <c r="R183" i="188"/>
  <c r="Q183" i="188"/>
  <c r="P183" i="188"/>
  <c r="O183" i="188"/>
  <c r="N183" i="188"/>
  <c r="M183" i="188"/>
  <c r="L183" i="188"/>
  <c r="K183" i="188"/>
  <c r="J183" i="188"/>
  <c r="I183" i="188"/>
  <c r="H183" i="188"/>
  <c r="G183" i="188"/>
  <c r="F183" i="188"/>
  <c r="E183" i="188"/>
  <c r="D183" i="188"/>
  <c r="U182" i="188"/>
  <c r="T182" i="188"/>
  <c r="S182" i="188"/>
  <c r="R182" i="188"/>
  <c r="Q182" i="188"/>
  <c r="P182" i="188"/>
  <c r="O182" i="188"/>
  <c r="N182" i="188"/>
  <c r="M182" i="188"/>
  <c r="L182" i="188"/>
  <c r="K182" i="188"/>
  <c r="J182" i="188"/>
  <c r="I182" i="188"/>
  <c r="H182" i="188"/>
  <c r="G182" i="188"/>
  <c r="F182" i="188"/>
  <c r="E182" i="188"/>
  <c r="D182" i="188"/>
  <c r="P181" i="188"/>
  <c r="U180" i="188"/>
  <c r="T180" i="188"/>
  <c r="S180" i="188"/>
  <c r="R180" i="188"/>
  <c r="Q180" i="188"/>
  <c r="P180" i="188"/>
  <c r="O180" i="188"/>
  <c r="N180" i="188"/>
  <c r="M180" i="188"/>
  <c r="L180" i="188"/>
  <c r="K180" i="188"/>
  <c r="J180" i="188"/>
  <c r="I180" i="188"/>
  <c r="H180" i="188"/>
  <c r="G180" i="188"/>
  <c r="F180" i="188"/>
  <c r="E180" i="188"/>
  <c r="D180" i="188"/>
  <c r="U179" i="188"/>
  <c r="T179" i="188"/>
  <c r="S179" i="188"/>
  <c r="R179" i="188"/>
  <c r="Q179" i="188"/>
  <c r="P179" i="188"/>
  <c r="O179" i="188"/>
  <c r="N179" i="188"/>
  <c r="M179" i="188"/>
  <c r="L179" i="188"/>
  <c r="K179" i="188"/>
  <c r="J179" i="188"/>
  <c r="I179" i="188"/>
  <c r="H179" i="188"/>
  <c r="G179" i="188"/>
  <c r="F179" i="188"/>
  <c r="E179" i="188"/>
  <c r="D179" i="188"/>
  <c r="U178" i="188"/>
  <c r="T178" i="188"/>
  <c r="S178" i="188"/>
  <c r="R178" i="188"/>
  <c r="Q178" i="188"/>
  <c r="P178" i="188"/>
  <c r="O178" i="188"/>
  <c r="N178" i="188"/>
  <c r="M178" i="188"/>
  <c r="L178" i="188"/>
  <c r="K178" i="188"/>
  <c r="J178" i="188"/>
  <c r="I178" i="188"/>
  <c r="H178" i="188"/>
  <c r="G178" i="188"/>
  <c r="F178" i="188"/>
  <c r="E178" i="188"/>
  <c r="D178" i="188"/>
  <c r="U177" i="188"/>
  <c r="T177" i="188"/>
  <c r="S177" i="188"/>
  <c r="R177" i="188"/>
  <c r="Q177" i="188"/>
  <c r="P177" i="188"/>
  <c r="O177" i="188"/>
  <c r="N177" i="188"/>
  <c r="M177" i="188"/>
  <c r="L177" i="188"/>
  <c r="K177" i="188"/>
  <c r="J177" i="188"/>
  <c r="I177" i="188"/>
  <c r="H177" i="188"/>
  <c r="G177" i="188"/>
  <c r="F177" i="188"/>
  <c r="E177" i="188"/>
  <c r="D177" i="188"/>
  <c r="U176" i="188"/>
  <c r="T176" i="188"/>
  <c r="S176" i="188"/>
  <c r="R176" i="188"/>
  <c r="Q176" i="188"/>
  <c r="P176" i="188"/>
  <c r="O176" i="188"/>
  <c r="N176" i="188"/>
  <c r="M176" i="188"/>
  <c r="L176" i="188"/>
  <c r="K176" i="188"/>
  <c r="J176" i="188"/>
  <c r="I176" i="188"/>
  <c r="H176" i="188"/>
  <c r="G176" i="188"/>
  <c r="F176" i="188"/>
  <c r="E176" i="188"/>
  <c r="D176" i="188"/>
  <c r="U175" i="188"/>
  <c r="T175" i="188"/>
  <c r="S175" i="188"/>
  <c r="R175" i="188"/>
  <c r="Q175" i="188"/>
  <c r="P175" i="188"/>
  <c r="O175" i="188"/>
  <c r="N175" i="188"/>
  <c r="M175" i="188"/>
  <c r="L175" i="188"/>
  <c r="K175" i="188"/>
  <c r="J175" i="188"/>
  <c r="I175" i="188"/>
  <c r="H175" i="188"/>
  <c r="G175" i="188"/>
  <c r="F175" i="188"/>
  <c r="E175" i="188"/>
  <c r="D175" i="188"/>
  <c r="U174" i="188"/>
  <c r="T174" i="188"/>
  <c r="S174" i="188"/>
  <c r="R174" i="188"/>
  <c r="Q174" i="188"/>
  <c r="P174" i="188"/>
  <c r="O174" i="188"/>
  <c r="N174" i="188"/>
  <c r="M174" i="188"/>
  <c r="L174" i="188"/>
  <c r="K174" i="188"/>
  <c r="J174" i="188"/>
  <c r="I174" i="188"/>
  <c r="H174" i="188"/>
  <c r="G174" i="188"/>
  <c r="F174" i="188"/>
  <c r="E174" i="188"/>
  <c r="D174" i="188"/>
  <c r="U173" i="188"/>
  <c r="T173" i="188"/>
  <c r="S173" i="188"/>
  <c r="R173" i="188"/>
  <c r="Q173" i="188"/>
  <c r="P173" i="188"/>
  <c r="O173" i="188"/>
  <c r="N173" i="188"/>
  <c r="M173" i="188"/>
  <c r="L173" i="188"/>
  <c r="K173" i="188"/>
  <c r="J173" i="188"/>
  <c r="I173" i="188"/>
  <c r="H173" i="188"/>
  <c r="G173" i="188"/>
  <c r="F173" i="188"/>
  <c r="E173" i="188"/>
  <c r="D173" i="188"/>
  <c r="U172" i="188"/>
  <c r="T172" i="188"/>
  <c r="S172" i="188"/>
  <c r="R172" i="188"/>
  <c r="Q172" i="188"/>
  <c r="P172" i="188"/>
  <c r="O172" i="188"/>
  <c r="N172" i="188"/>
  <c r="M172" i="188"/>
  <c r="L172" i="188"/>
  <c r="K172" i="188"/>
  <c r="J172" i="188"/>
  <c r="I172" i="188"/>
  <c r="H172" i="188"/>
  <c r="G172" i="188"/>
  <c r="F172" i="188"/>
  <c r="E172" i="188"/>
  <c r="D172" i="188"/>
  <c r="U171" i="188"/>
  <c r="T171" i="188"/>
  <c r="S171" i="188"/>
  <c r="R171" i="188"/>
  <c r="Q171" i="188"/>
  <c r="P171" i="188"/>
  <c r="O171" i="188"/>
  <c r="N171" i="188"/>
  <c r="M171" i="188"/>
  <c r="L171" i="188"/>
  <c r="K171" i="188"/>
  <c r="J171" i="188"/>
  <c r="I171" i="188"/>
  <c r="H171" i="188"/>
  <c r="G171" i="188"/>
  <c r="F171" i="188"/>
  <c r="E171" i="188"/>
  <c r="D171" i="188"/>
  <c r="U170" i="188"/>
  <c r="T170" i="188"/>
  <c r="S170" i="188"/>
  <c r="R170" i="188"/>
  <c r="Q170" i="188"/>
  <c r="P170" i="188"/>
  <c r="O170" i="188"/>
  <c r="N170" i="188"/>
  <c r="M170" i="188"/>
  <c r="L170" i="188"/>
  <c r="K170" i="188"/>
  <c r="J170" i="188"/>
  <c r="I170" i="188"/>
  <c r="H170" i="188"/>
  <c r="G170" i="188"/>
  <c r="F170" i="188"/>
  <c r="E170" i="188"/>
  <c r="D170" i="188"/>
  <c r="U169" i="188"/>
  <c r="T169" i="188"/>
  <c r="S169" i="188"/>
  <c r="R169" i="188"/>
  <c r="Q169" i="188"/>
  <c r="P169" i="188"/>
  <c r="O169" i="188"/>
  <c r="N169" i="188"/>
  <c r="M169" i="188"/>
  <c r="L169" i="188"/>
  <c r="K169" i="188"/>
  <c r="J169" i="188"/>
  <c r="I169" i="188"/>
  <c r="H169" i="188"/>
  <c r="G169" i="188"/>
  <c r="F169" i="188"/>
  <c r="E169" i="188"/>
  <c r="D169" i="188"/>
  <c r="U168" i="188"/>
  <c r="T168" i="188"/>
  <c r="S168" i="188"/>
  <c r="R168" i="188"/>
  <c r="Q168" i="188"/>
  <c r="P168" i="188"/>
  <c r="O168" i="188"/>
  <c r="N168" i="188"/>
  <c r="M168" i="188"/>
  <c r="L168" i="188"/>
  <c r="K168" i="188"/>
  <c r="J168" i="188"/>
  <c r="I168" i="188"/>
  <c r="H168" i="188"/>
  <c r="G168" i="188"/>
  <c r="F168" i="188"/>
  <c r="E168" i="188"/>
  <c r="D168" i="188"/>
  <c r="P167" i="188"/>
  <c r="U166" i="188"/>
  <c r="T166" i="188"/>
  <c r="S166" i="188"/>
  <c r="R166" i="188"/>
  <c r="Q166" i="188"/>
  <c r="P166" i="188"/>
  <c r="O166" i="188"/>
  <c r="N166" i="188"/>
  <c r="M166" i="188"/>
  <c r="L166" i="188"/>
  <c r="K166" i="188"/>
  <c r="J166" i="188"/>
  <c r="I166" i="188"/>
  <c r="H166" i="188"/>
  <c r="G166" i="188"/>
  <c r="F166" i="188"/>
  <c r="E166" i="188"/>
  <c r="D166" i="188"/>
  <c r="U165" i="188"/>
  <c r="T165" i="188"/>
  <c r="S165" i="188"/>
  <c r="R165" i="188"/>
  <c r="Q165" i="188"/>
  <c r="P165" i="188"/>
  <c r="O165" i="188"/>
  <c r="N165" i="188"/>
  <c r="M165" i="188"/>
  <c r="L165" i="188"/>
  <c r="K165" i="188"/>
  <c r="J165" i="188"/>
  <c r="I165" i="188"/>
  <c r="H165" i="188"/>
  <c r="G165" i="188"/>
  <c r="F165" i="188"/>
  <c r="E165" i="188"/>
  <c r="D165" i="188"/>
  <c r="U164" i="188"/>
  <c r="T164" i="188"/>
  <c r="S164" i="188"/>
  <c r="R164" i="188"/>
  <c r="Q164" i="188"/>
  <c r="P164" i="188"/>
  <c r="O164" i="188"/>
  <c r="N164" i="188"/>
  <c r="M164" i="188"/>
  <c r="L164" i="188"/>
  <c r="K164" i="188"/>
  <c r="J164" i="188"/>
  <c r="I164" i="188"/>
  <c r="H164" i="188"/>
  <c r="G164" i="188"/>
  <c r="F164" i="188"/>
  <c r="E164" i="188"/>
  <c r="D164" i="188"/>
  <c r="U163" i="188"/>
  <c r="T163" i="188"/>
  <c r="S163" i="188"/>
  <c r="R163" i="188"/>
  <c r="Q163" i="188"/>
  <c r="P163" i="188"/>
  <c r="O163" i="188"/>
  <c r="N163" i="188"/>
  <c r="M163" i="188"/>
  <c r="L163" i="188"/>
  <c r="K163" i="188"/>
  <c r="J163" i="188"/>
  <c r="I163" i="188"/>
  <c r="H163" i="188"/>
  <c r="G163" i="188"/>
  <c r="F163" i="188"/>
  <c r="E163" i="188"/>
  <c r="D163" i="188"/>
  <c r="U162" i="188"/>
  <c r="T162" i="188"/>
  <c r="S162" i="188"/>
  <c r="R162" i="188"/>
  <c r="Q162" i="188"/>
  <c r="P162" i="188"/>
  <c r="O162" i="188"/>
  <c r="N162" i="188"/>
  <c r="M162" i="188"/>
  <c r="L162" i="188"/>
  <c r="K162" i="188"/>
  <c r="J162" i="188"/>
  <c r="I162" i="188"/>
  <c r="H162" i="188"/>
  <c r="G162" i="188"/>
  <c r="F162" i="188"/>
  <c r="E162" i="188"/>
  <c r="D162" i="188"/>
  <c r="U161" i="188"/>
  <c r="T161" i="188"/>
  <c r="S161" i="188"/>
  <c r="R161" i="188"/>
  <c r="Q161" i="188"/>
  <c r="P161" i="188"/>
  <c r="O161" i="188"/>
  <c r="N161" i="188"/>
  <c r="M161" i="188"/>
  <c r="L161" i="188"/>
  <c r="K161" i="188"/>
  <c r="J161" i="188"/>
  <c r="I161" i="188"/>
  <c r="H161" i="188"/>
  <c r="G161" i="188"/>
  <c r="F161" i="188"/>
  <c r="E161" i="188"/>
  <c r="D161" i="188"/>
  <c r="U160" i="188"/>
  <c r="T160" i="188"/>
  <c r="S160" i="188"/>
  <c r="R160" i="188"/>
  <c r="Q160" i="188"/>
  <c r="P160" i="188"/>
  <c r="O160" i="188"/>
  <c r="N160" i="188"/>
  <c r="M160" i="188"/>
  <c r="L160" i="188"/>
  <c r="K160" i="188"/>
  <c r="J160" i="188"/>
  <c r="I160" i="188"/>
  <c r="H160" i="188"/>
  <c r="G160" i="188"/>
  <c r="F160" i="188"/>
  <c r="E160" i="188"/>
  <c r="D160" i="188"/>
  <c r="U154" i="188"/>
  <c r="T154" i="188"/>
  <c r="S154" i="188"/>
  <c r="R154" i="188"/>
  <c r="Q154" i="188"/>
  <c r="P154" i="188"/>
  <c r="O154" i="188"/>
  <c r="N154" i="188"/>
  <c r="M154" i="188"/>
  <c r="L154" i="188"/>
  <c r="K154" i="188"/>
  <c r="J154" i="188"/>
  <c r="I154" i="188"/>
  <c r="H154" i="188"/>
  <c r="G154" i="188"/>
  <c r="F154" i="188"/>
  <c r="E154" i="188"/>
  <c r="D154" i="188"/>
  <c r="U153" i="188"/>
  <c r="T153" i="188"/>
  <c r="S153" i="188"/>
  <c r="R153" i="188"/>
  <c r="Q153" i="188"/>
  <c r="P153" i="188"/>
  <c r="O153" i="188"/>
  <c r="N153" i="188"/>
  <c r="M153" i="188"/>
  <c r="L153" i="188"/>
  <c r="K153" i="188"/>
  <c r="J153" i="188"/>
  <c r="I153" i="188"/>
  <c r="H153" i="188"/>
  <c r="G153" i="188"/>
  <c r="F153" i="188"/>
  <c r="E153" i="188"/>
  <c r="D153" i="188"/>
  <c r="U152" i="188"/>
  <c r="T152" i="188"/>
  <c r="S152" i="188"/>
  <c r="R152" i="188"/>
  <c r="Q152" i="188"/>
  <c r="P152" i="188"/>
  <c r="O152" i="188"/>
  <c r="N152" i="188"/>
  <c r="M152" i="188"/>
  <c r="L152" i="188"/>
  <c r="K152" i="188"/>
  <c r="J152" i="188"/>
  <c r="I152" i="188"/>
  <c r="H152" i="188"/>
  <c r="G152" i="188"/>
  <c r="F152" i="188"/>
  <c r="E152" i="188"/>
  <c r="D152" i="188"/>
  <c r="U151" i="188"/>
  <c r="T151" i="188"/>
  <c r="S151" i="188"/>
  <c r="R151" i="188"/>
  <c r="Q151" i="188"/>
  <c r="P151" i="188"/>
  <c r="O151" i="188"/>
  <c r="N151" i="188"/>
  <c r="M151" i="188"/>
  <c r="L151" i="188"/>
  <c r="K151" i="188"/>
  <c r="J151" i="188"/>
  <c r="I151" i="188"/>
  <c r="H151" i="188"/>
  <c r="G151" i="188"/>
  <c r="F151" i="188"/>
  <c r="E151" i="188"/>
  <c r="D151" i="188"/>
  <c r="U150" i="188"/>
  <c r="T150" i="188"/>
  <c r="S150" i="188"/>
  <c r="R150" i="188"/>
  <c r="Q150" i="188"/>
  <c r="P150" i="188"/>
  <c r="O150" i="188"/>
  <c r="N150" i="188"/>
  <c r="M150" i="188"/>
  <c r="L150" i="188"/>
  <c r="K150" i="188"/>
  <c r="J150" i="188"/>
  <c r="I150" i="188"/>
  <c r="H150" i="188"/>
  <c r="G150" i="188"/>
  <c r="F150" i="188"/>
  <c r="E150" i="188"/>
  <c r="D150" i="188"/>
  <c r="U149" i="188"/>
  <c r="T149" i="188"/>
  <c r="S149" i="188"/>
  <c r="R149" i="188"/>
  <c r="Q149" i="188"/>
  <c r="P149" i="188"/>
  <c r="O149" i="188"/>
  <c r="N149" i="188"/>
  <c r="M149" i="188"/>
  <c r="L149" i="188"/>
  <c r="K149" i="188"/>
  <c r="J149" i="188"/>
  <c r="I149" i="188"/>
  <c r="H149" i="188"/>
  <c r="G149" i="188"/>
  <c r="F149" i="188"/>
  <c r="E149" i="188"/>
  <c r="D149" i="188"/>
  <c r="U148" i="188"/>
  <c r="T148" i="188"/>
  <c r="S148" i="188"/>
  <c r="R148" i="188"/>
  <c r="Q148" i="188"/>
  <c r="P148" i="188"/>
  <c r="O148" i="188"/>
  <c r="N148" i="188"/>
  <c r="M148" i="188"/>
  <c r="L148" i="188"/>
  <c r="K148" i="188"/>
  <c r="J148" i="188"/>
  <c r="I148" i="188"/>
  <c r="H148" i="188"/>
  <c r="G148" i="188"/>
  <c r="F148" i="188"/>
  <c r="E148" i="188"/>
  <c r="D148" i="188"/>
  <c r="U147" i="188"/>
  <c r="T147" i="188"/>
  <c r="S147" i="188"/>
  <c r="R147" i="188"/>
  <c r="Q147" i="188"/>
  <c r="P147" i="188"/>
  <c r="O147" i="188"/>
  <c r="N147" i="188"/>
  <c r="M147" i="188"/>
  <c r="L147" i="188"/>
  <c r="K147" i="188"/>
  <c r="J147" i="188"/>
  <c r="I147" i="188"/>
  <c r="H147" i="188"/>
  <c r="G147" i="188"/>
  <c r="F147" i="188"/>
  <c r="E147" i="188"/>
  <c r="D147" i="188"/>
  <c r="U146" i="188"/>
  <c r="T146" i="188"/>
  <c r="S146" i="188"/>
  <c r="R146" i="188"/>
  <c r="Q146" i="188"/>
  <c r="P146" i="188"/>
  <c r="O146" i="188"/>
  <c r="N146" i="188"/>
  <c r="M146" i="188"/>
  <c r="L146" i="188"/>
  <c r="K146" i="188"/>
  <c r="J146" i="188"/>
  <c r="I146" i="188"/>
  <c r="H146" i="188"/>
  <c r="G146" i="188"/>
  <c r="F146" i="188"/>
  <c r="E146" i="188"/>
  <c r="D146" i="188"/>
  <c r="U145" i="188"/>
  <c r="T145" i="188"/>
  <c r="S145" i="188"/>
  <c r="R145" i="188"/>
  <c r="Q145" i="188"/>
  <c r="P145" i="188"/>
  <c r="O145" i="188"/>
  <c r="N145" i="188"/>
  <c r="M145" i="188"/>
  <c r="L145" i="188"/>
  <c r="K145" i="188"/>
  <c r="J145" i="188"/>
  <c r="I145" i="188"/>
  <c r="H145" i="188"/>
  <c r="G145" i="188"/>
  <c r="F145" i="188"/>
  <c r="E145" i="188"/>
  <c r="D145" i="188"/>
  <c r="P144" i="188"/>
  <c r="U143" i="188"/>
  <c r="T143" i="188"/>
  <c r="S143" i="188"/>
  <c r="R143" i="188"/>
  <c r="Q143" i="188"/>
  <c r="P143" i="188"/>
  <c r="O143" i="188"/>
  <c r="N143" i="188"/>
  <c r="M143" i="188"/>
  <c r="L143" i="188"/>
  <c r="K143" i="188"/>
  <c r="J143" i="188"/>
  <c r="I143" i="188"/>
  <c r="H143" i="188"/>
  <c r="G143" i="188"/>
  <c r="F143" i="188"/>
  <c r="E143" i="188"/>
  <c r="D143" i="188"/>
  <c r="U142" i="188"/>
  <c r="T142" i="188"/>
  <c r="S142" i="188"/>
  <c r="R142" i="188"/>
  <c r="Q142" i="188"/>
  <c r="P142" i="188"/>
  <c r="O142" i="188"/>
  <c r="N142" i="188"/>
  <c r="M142" i="188"/>
  <c r="L142" i="188"/>
  <c r="K142" i="188"/>
  <c r="J142" i="188"/>
  <c r="I142" i="188"/>
  <c r="H142" i="188"/>
  <c r="G142" i="188"/>
  <c r="F142" i="188"/>
  <c r="E142" i="188"/>
  <c r="D142" i="188"/>
  <c r="U141" i="188"/>
  <c r="T141" i="188"/>
  <c r="S141" i="188"/>
  <c r="R141" i="188"/>
  <c r="Q141" i="188"/>
  <c r="P141" i="188"/>
  <c r="O141" i="188"/>
  <c r="N141" i="188"/>
  <c r="M141" i="188"/>
  <c r="L141" i="188"/>
  <c r="K141" i="188"/>
  <c r="J141" i="188"/>
  <c r="I141" i="188"/>
  <c r="H141" i="188"/>
  <c r="G141" i="188"/>
  <c r="F141" i="188"/>
  <c r="E141" i="188"/>
  <c r="D141" i="188"/>
  <c r="U140" i="188"/>
  <c r="T140" i="188"/>
  <c r="S140" i="188"/>
  <c r="R140" i="188"/>
  <c r="Q140" i="188"/>
  <c r="P140" i="188"/>
  <c r="O140" i="188"/>
  <c r="N140" i="188"/>
  <c r="M140" i="188"/>
  <c r="L140" i="188"/>
  <c r="K140" i="188"/>
  <c r="J140" i="188"/>
  <c r="I140" i="188"/>
  <c r="H140" i="188"/>
  <c r="G140" i="188"/>
  <c r="F140" i="188"/>
  <c r="E140" i="188"/>
  <c r="D140" i="188"/>
  <c r="U139" i="188"/>
  <c r="T139" i="188"/>
  <c r="S139" i="188"/>
  <c r="R139" i="188"/>
  <c r="Q139" i="188"/>
  <c r="P139" i="188"/>
  <c r="O139" i="188"/>
  <c r="N139" i="188"/>
  <c r="M139" i="188"/>
  <c r="L139" i="188"/>
  <c r="K139" i="188"/>
  <c r="J139" i="188"/>
  <c r="I139" i="188"/>
  <c r="H139" i="188"/>
  <c r="G139" i="188"/>
  <c r="F139" i="188"/>
  <c r="E139" i="188"/>
  <c r="D139" i="188"/>
  <c r="U138" i="188"/>
  <c r="T138" i="188"/>
  <c r="S138" i="188"/>
  <c r="R138" i="188"/>
  <c r="Q138" i="188"/>
  <c r="P138" i="188"/>
  <c r="O138" i="188"/>
  <c r="N138" i="188"/>
  <c r="M138" i="188"/>
  <c r="L138" i="188"/>
  <c r="K138" i="188"/>
  <c r="J138" i="188"/>
  <c r="I138" i="188"/>
  <c r="H138" i="188"/>
  <c r="G138" i="188"/>
  <c r="F138" i="188"/>
  <c r="E138" i="188"/>
  <c r="D138" i="188"/>
  <c r="U137" i="188"/>
  <c r="T137" i="188"/>
  <c r="S137" i="188"/>
  <c r="R137" i="188"/>
  <c r="Q137" i="188"/>
  <c r="P137" i="188"/>
  <c r="O137" i="188"/>
  <c r="N137" i="188"/>
  <c r="M137" i="188"/>
  <c r="L137" i="188"/>
  <c r="K137" i="188"/>
  <c r="J137" i="188"/>
  <c r="I137" i="188"/>
  <c r="H137" i="188"/>
  <c r="G137" i="188"/>
  <c r="F137" i="188"/>
  <c r="E137" i="188"/>
  <c r="D137" i="188"/>
  <c r="U136" i="188"/>
  <c r="T136" i="188"/>
  <c r="S136" i="188"/>
  <c r="R136" i="188"/>
  <c r="Q136" i="188"/>
  <c r="P136" i="188"/>
  <c r="O136" i="188"/>
  <c r="N136" i="188"/>
  <c r="M136" i="188"/>
  <c r="L136" i="188"/>
  <c r="K136" i="188"/>
  <c r="J136" i="188"/>
  <c r="I136" i="188"/>
  <c r="H136" i="188"/>
  <c r="G136" i="188"/>
  <c r="F136" i="188"/>
  <c r="E136" i="188"/>
  <c r="D136" i="188"/>
  <c r="U135" i="188"/>
  <c r="T135" i="188"/>
  <c r="S135" i="188"/>
  <c r="R135" i="188"/>
  <c r="Q135" i="188"/>
  <c r="P135" i="188"/>
  <c r="O135" i="188"/>
  <c r="N135" i="188"/>
  <c r="M135" i="188"/>
  <c r="L135" i="188"/>
  <c r="K135" i="188"/>
  <c r="J135" i="188"/>
  <c r="I135" i="188"/>
  <c r="H135" i="188"/>
  <c r="G135" i="188"/>
  <c r="F135" i="188"/>
  <c r="E135" i="188"/>
  <c r="D135" i="188"/>
  <c r="U134" i="188"/>
  <c r="T134" i="188"/>
  <c r="S134" i="188"/>
  <c r="R134" i="188"/>
  <c r="Q134" i="188"/>
  <c r="P134" i="188"/>
  <c r="O134" i="188"/>
  <c r="N134" i="188"/>
  <c r="M134" i="188"/>
  <c r="L134" i="188"/>
  <c r="K134" i="188"/>
  <c r="J134" i="188"/>
  <c r="I134" i="188"/>
  <c r="H134" i="188"/>
  <c r="G134" i="188"/>
  <c r="F134" i="188"/>
  <c r="E134" i="188"/>
  <c r="D134" i="188"/>
  <c r="U133" i="188"/>
  <c r="T133" i="188"/>
  <c r="S133" i="188"/>
  <c r="R133" i="188"/>
  <c r="Q133" i="188"/>
  <c r="P133" i="188"/>
  <c r="O133" i="188"/>
  <c r="N133" i="188"/>
  <c r="M133" i="188"/>
  <c r="L133" i="188"/>
  <c r="K133" i="188"/>
  <c r="J133" i="188"/>
  <c r="I133" i="188"/>
  <c r="H133" i="188"/>
  <c r="G133" i="188"/>
  <c r="F133" i="188"/>
  <c r="E133" i="188"/>
  <c r="D133" i="188"/>
  <c r="U132" i="188"/>
  <c r="T132" i="188"/>
  <c r="S132" i="188"/>
  <c r="R132" i="188"/>
  <c r="Q132" i="188"/>
  <c r="P132" i="188"/>
  <c r="O132" i="188"/>
  <c r="N132" i="188"/>
  <c r="M132" i="188"/>
  <c r="L132" i="188"/>
  <c r="K132" i="188"/>
  <c r="J132" i="188"/>
  <c r="I132" i="188"/>
  <c r="H132" i="188"/>
  <c r="G132" i="188"/>
  <c r="F132" i="188"/>
  <c r="E132" i="188"/>
  <c r="D132" i="188"/>
  <c r="U131" i="188"/>
  <c r="T131" i="188"/>
  <c r="S131" i="188"/>
  <c r="R131" i="188"/>
  <c r="Q131" i="188"/>
  <c r="P131" i="188"/>
  <c r="O131" i="188"/>
  <c r="N131" i="188"/>
  <c r="M131" i="188"/>
  <c r="L131" i="188"/>
  <c r="K131" i="188"/>
  <c r="J131" i="188"/>
  <c r="I131" i="188"/>
  <c r="H131" i="188"/>
  <c r="G131" i="188"/>
  <c r="F131" i="188"/>
  <c r="E131" i="188"/>
  <c r="D131" i="188"/>
  <c r="P130" i="188"/>
  <c r="U129" i="188"/>
  <c r="T129" i="188"/>
  <c r="S129" i="188"/>
  <c r="R129" i="188"/>
  <c r="Q129" i="188"/>
  <c r="P129" i="188"/>
  <c r="O129" i="188"/>
  <c r="N129" i="188"/>
  <c r="M129" i="188"/>
  <c r="L129" i="188"/>
  <c r="K129" i="188"/>
  <c r="J129" i="188"/>
  <c r="I129" i="188"/>
  <c r="H129" i="188"/>
  <c r="G129" i="188"/>
  <c r="F129" i="188"/>
  <c r="E129" i="188"/>
  <c r="D129" i="188"/>
  <c r="U128" i="188"/>
  <c r="T128" i="188"/>
  <c r="S128" i="188"/>
  <c r="R128" i="188"/>
  <c r="Q128" i="188"/>
  <c r="P128" i="188"/>
  <c r="O128" i="188"/>
  <c r="N128" i="188"/>
  <c r="M128" i="188"/>
  <c r="L128" i="188"/>
  <c r="K128" i="188"/>
  <c r="J128" i="188"/>
  <c r="I128" i="188"/>
  <c r="H128" i="188"/>
  <c r="G128" i="188"/>
  <c r="F128" i="188"/>
  <c r="E128" i="188"/>
  <c r="D128" i="188"/>
  <c r="U127" i="188"/>
  <c r="T127" i="188"/>
  <c r="S127" i="188"/>
  <c r="R127" i="188"/>
  <c r="Q127" i="188"/>
  <c r="P127" i="188"/>
  <c r="O127" i="188"/>
  <c r="N127" i="188"/>
  <c r="M127" i="188"/>
  <c r="L127" i="188"/>
  <c r="K127" i="188"/>
  <c r="J127" i="188"/>
  <c r="I127" i="188"/>
  <c r="H127" i="188"/>
  <c r="G127" i="188"/>
  <c r="F127" i="188"/>
  <c r="E127" i="188"/>
  <c r="D127" i="188"/>
  <c r="U126" i="188"/>
  <c r="T126" i="188"/>
  <c r="S126" i="188"/>
  <c r="R126" i="188"/>
  <c r="Q126" i="188"/>
  <c r="P126" i="188"/>
  <c r="O126" i="188"/>
  <c r="N126" i="188"/>
  <c r="M126" i="188"/>
  <c r="L126" i="188"/>
  <c r="K126" i="188"/>
  <c r="J126" i="188"/>
  <c r="I126" i="188"/>
  <c r="H126" i="188"/>
  <c r="G126" i="188"/>
  <c r="F126" i="188"/>
  <c r="E126" i="188"/>
  <c r="D126" i="188"/>
  <c r="U125" i="188"/>
  <c r="T125" i="188"/>
  <c r="S125" i="188"/>
  <c r="R125" i="188"/>
  <c r="Q125" i="188"/>
  <c r="P125" i="188"/>
  <c r="O125" i="188"/>
  <c r="N125" i="188"/>
  <c r="M125" i="188"/>
  <c r="L125" i="188"/>
  <c r="K125" i="188"/>
  <c r="J125" i="188"/>
  <c r="I125" i="188"/>
  <c r="H125" i="188"/>
  <c r="G125" i="188"/>
  <c r="F125" i="188"/>
  <c r="E125" i="188"/>
  <c r="D125" i="188"/>
  <c r="U124" i="188"/>
  <c r="T124" i="188"/>
  <c r="S124" i="188"/>
  <c r="R124" i="188"/>
  <c r="Q124" i="188"/>
  <c r="P124" i="188"/>
  <c r="O124" i="188"/>
  <c r="N124" i="188"/>
  <c r="M124" i="188"/>
  <c r="L124" i="188"/>
  <c r="K124" i="188"/>
  <c r="J124" i="188"/>
  <c r="I124" i="188"/>
  <c r="H124" i="188"/>
  <c r="G124" i="188"/>
  <c r="F124" i="188"/>
  <c r="E124" i="188"/>
  <c r="D124" i="188"/>
  <c r="U123" i="188"/>
  <c r="T123" i="188"/>
  <c r="S123" i="188"/>
  <c r="R123" i="188"/>
  <c r="Q123" i="188"/>
  <c r="P123" i="188"/>
  <c r="O123" i="188"/>
  <c r="N123" i="188"/>
  <c r="M123" i="188"/>
  <c r="L123" i="188"/>
  <c r="K123" i="188"/>
  <c r="J123" i="188"/>
  <c r="I123" i="188"/>
  <c r="H123" i="188"/>
  <c r="G123" i="188"/>
  <c r="F123" i="188"/>
  <c r="E123" i="188"/>
  <c r="D123" i="188"/>
  <c r="U117" i="188"/>
  <c r="T117" i="188"/>
  <c r="S117" i="188"/>
  <c r="R117" i="188"/>
  <c r="Q117" i="188"/>
  <c r="P117" i="188"/>
  <c r="O117" i="188"/>
  <c r="N117" i="188"/>
  <c r="M117" i="188"/>
  <c r="L117" i="188"/>
  <c r="K117" i="188"/>
  <c r="J117" i="188"/>
  <c r="I117" i="188"/>
  <c r="H117" i="188"/>
  <c r="G117" i="188"/>
  <c r="F117" i="188"/>
  <c r="E117" i="188"/>
  <c r="D117" i="188"/>
  <c r="U116" i="188"/>
  <c r="T116" i="188"/>
  <c r="S116" i="188"/>
  <c r="R116" i="188"/>
  <c r="Q116" i="188"/>
  <c r="P116" i="188"/>
  <c r="O116" i="188"/>
  <c r="N116" i="188"/>
  <c r="M116" i="188"/>
  <c r="L116" i="188"/>
  <c r="K116" i="188"/>
  <c r="J116" i="188"/>
  <c r="I116" i="188"/>
  <c r="H116" i="188"/>
  <c r="G116" i="188"/>
  <c r="F116" i="188"/>
  <c r="E116" i="188"/>
  <c r="D116" i="188"/>
  <c r="U115" i="188"/>
  <c r="T115" i="188"/>
  <c r="S115" i="188"/>
  <c r="R115" i="188"/>
  <c r="Q115" i="188"/>
  <c r="P115" i="188"/>
  <c r="O115" i="188"/>
  <c r="N115" i="188"/>
  <c r="M115" i="188"/>
  <c r="L115" i="188"/>
  <c r="K115" i="188"/>
  <c r="J115" i="188"/>
  <c r="I115" i="188"/>
  <c r="H115" i="188"/>
  <c r="G115" i="188"/>
  <c r="F115" i="188"/>
  <c r="E115" i="188"/>
  <c r="D115" i="188"/>
  <c r="U114" i="188"/>
  <c r="T114" i="188"/>
  <c r="S114" i="188"/>
  <c r="R114" i="188"/>
  <c r="Q114" i="188"/>
  <c r="P114" i="188"/>
  <c r="O114" i="188"/>
  <c r="N114" i="188"/>
  <c r="M114" i="188"/>
  <c r="L114" i="188"/>
  <c r="K114" i="188"/>
  <c r="J114" i="188"/>
  <c r="I114" i="188"/>
  <c r="H114" i="188"/>
  <c r="G114" i="188"/>
  <c r="F114" i="188"/>
  <c r="E114" i="188"/>
  <c r="D114" i="188"/>
  <c r="U113" i="188"/>
  <c r="T113" i="188"/>
  <c r="S113" i="188"/>
  <c r="R113" i="188"/>
  <c r="Q113" i="188"/>
  <c r="P113" i="188"/>
  <c r="O113" i="188"/>
  <c r="N113" i="188"/>
  <c r="M113" i="188"/>
  <c r="L113" i="188"/>
  <c r="K113" i="188"/>
  <c r="J113" i="188"/>
  <c r="I113" i="188"/>
  <c r="H113" i="188"/>
  <c r="G113" i="188"/>
  <c r="F113" i="188"/>
  <c r="E113" i="188"/>
  <c r="D113" i="188"/>
  <c r="U112" i="188"/>
  <c r="T112" i="188"/>
  <c r="S112" i="188"/>
  <c r="R112" i="188"/>
  <c r="Q112" i="188"/>
  <c r="P112" i="188"/>
  <c r="O112" i="188"/>
  <c r="N112" i="188"/>
  <c r="M112" i="188"/>
  <c r="L112" i="188"/>
  <c r="K112" i="188"/>
  <c r="J112" i="188"/>
  <c r="I112" i="188"/>
  <c r="H112" i="188"/>
  <c r="G112" i="188"/>
  <c r="F112" i="188"/>
  <c r="E112" i="188"/>
  <c r="D112" i="188"/>
  <c r="U111" i="188"/>
  <c r="T111" i="188"/>
  <c r="S111" i="188"/>
  <c r="R111" i="188"/>
  <c r="Q111" i="188"/>
  <c r="P111" i="188"/>
  <c r="O111" i="188"/>
  <c r="N111" i="188"/>
  <c r="M111" i="188"/>
  <c r="L111" i="188"/>
  <c r="K111" i="188"/>
  <c r="J111" i="188"/>
  <c r="I111" i="188"/>
  <c r="H111" i="188"/>
  <c r="G111" i="188"/>
  <c r="F111" i="188"/>
  <c r="E111" i="188"/>
  <c r="D111" i="188"/>
  <c r="U110" i="188"/>
  <c r="T110" i="188"/>
  <c r="S110" i="188"/>
  <c r="R110" i="188"/>
  <c r="Q110" i="188"/>
  <c r="P110" i="188"/>
  <c r="O110" i="188"/>
  <c r="N110" i="188"/>
  <c r="M110" i="188"/>
  <c r="L110" i="188"/>
  <c r="K110" i="188"/>
  <c r="J110" i="188"/>
  <c r="I110" i="188"/>
  <c r="H110" i="188"/>
  <c r="G110" i="188"/>
  <c r="F110" i="188"/>
  <c r="E110" i="188"/>
  <c r="D110" i="188"/>
  <c r="U109" i="188"/>
  <c r="T109" i="188"/>
  <c r="S109" i="188"/>
  <c r="R109" i="188"/>
  <c r="Q109" i="188"/>
  <c r="P109" i="188"/>
  <c r="O109" i="188"/>
  <c r="N109" i="188"/>
  <c r="M109" i="188"/>
  <c r="L109" i="188"/>
  <c r="K109" i="188"/>
  <c r="J109" i="188"/>
  <c r="I109" i="188"/>
  <c r="H109" i="188"/>
  <c r="G109" i="188"/>
  <c r="F109" i="188"/>
  <c r="E109" i="188"/>
  <c r="D109" i="188"/>
  <c r="U108" i="188"/>
  <c r="T108" i="188"/>
  <c r="S108" i="188"/>
  <c r="R108" i="188"/>
  <c r="Q108" i="188"/>
  <c r="P108" i="188"/>
  <c r="O108" i="188"/>
  <c r="N108" i="188"/>
  <c r="M108" i="188"/>
  <c r="L108" i="188"/>
  <c r="K108" i="188"/>
  <c r="J108" i="188"/>
  <c r="I108" i="188"/>
  <c r="H108" i="188"/>
  <c r="G108" i="188"/>
  <c r="F108" i="188"/>
  <c r="E108" i="188"/>
  <c r="D108" i="188"/>
  <c r="P107" i="188"/>
  <c r="U106" i="188"/>
  <c r="T106" i="188"/>
  <c r="S106" i="188"/>
  <c r="R106" i="188"/>
  <c r="Q106" i="188"/>
  <c r="P106" i="188"/>
  <c r="O106" i="188"/>
  <c r="N106" i="188"/>
  <c r="M106" i="188"/>
  <c r="L106" i="188"/>
  <c r="K106" i="188"/>
  <c r="J106" i="188"/>
  <c r="I106" i="188"/>
  <c r="H106" i="188"/>
  <c r="G106" i="188"/>
  <c r="F106" i="188"/>
  <c r="E106" i="188"/>
  <c r="D106" i="188"/>
  <c r="U105" i="188"/>
  <c r="T105" i="188"/>
  <c r="S105" i="188"/>
  <c r="R105" i="188"/>
  <c r="Q105" i="188"/>
  <c r="P105" i="188"/>
  <c r="O105" i="188"/>
  <c r="N105" i="188"/>
  <c r="M105" i="188"/>
  <c r="L105" i="188"/>
  <c r="K105" i="188"/>
  <c r="J105" i="188"/>
  <c r="I105" i="188"/>
  <c r="H105" i="188"/>
  <c r="G105" i="188"/>
  <c r="F105" i="188"/>
  <c r="E105" i="188"/>
  <c r="D105" i="188"/>
  <c r="U104" i="188"/>
  <c r="T104" i="188"/>
  <c r="S104" i="188"/>
  <c r="R104" i="188"/>
  <c r="Q104" i="188"/>
  <c r="P104" i="188"/>
  <c r="O104" i="188"/>
  <c r="N104" i="188"/>
  <c r="M104" i="188"/>
  <c r="L104" i="188"/>
  <c r="K104" i="188"/>
  <c r="J104" i="188"/>
  <c r="I104" i="188"/>
  <c r="H104" i="188"/>
  <c r="G104" i="188"/>
  <c r="F104" i="188"/>
  <c r="E104" i="188"/>
  <c r="D104" i="188"/>
  <c r="U103" i="188"/>
  <c r="T103" i="188"/>
  <c r="S103" i="188"/>
  <c r="R103" i="188"/>
  <c r="Q103" i="188"/>
  <c r="P103" i="188"/>
  <c r="O103" i="188"/>
  <c r="N103" i="188"/>
  <c r="M103" i="188"/>
  <c r="L103" i="188"/>
  <c r="K103" i="188"/>
  <c r="J103" i="188"/>
  <c r="I103" i="188"/>
  <c r="H103" i="188"/>
  <c r="G103" i="188"/>
  <c r="F103" i="188"/>
  <c r="E103" i="188"/>
  <c r="D103" i="188"/>
  <c r="U102" i="188"/>
  <c r="T102" i="188"/>
  <c r="S102" i="188"/>
  <c r="R102" i="188"/>
  <c r="Q102" i="188"/>
  <c r="P102" i="188"/>
  <c r="O102" i="188"/>
  <c r="N102" i="188"/>
  <c r="M102" i="188"/>
  <c r="L102" i="188"/>
  <c r="K102" i="188"/>
  <c r="J102" i="188"/>
  <c r="I102" i="188"/>
  <c r="H102" i="188"/>
  <c r="G102" i="188"/>
  <c r="F102" i="188"/>
  <c r="E102" i="188"/>
  <c r="D102" i="188"/>
  <c r="U101" i="188"/>
  <c r="T101" i="188"/>
  <c r="S101" i="188"/>
  <c r="R101" i="188"/>
  <c r="Q101" i="188"/>
  <c r="P101" i="188"/>
  <c r="O101" i="188"/>
  <c r="N101" i="188"/>
  <c r="M101" i="188"/>
  <c r="L101" i="188"/>
  <c r="K101" i="188"/>
  <c r="J101" i="188"/>
  <c r="I101" i="188"/>
  <c r="H101" i="188"/>
  <c r="G101" i="188"/>
  <c r="F101" i="188"/>
  <c r="E101" i="188"/>
  <c r="D101" i="188"/>
  <c r="U100" i="188"/>
  <c r="T100" i="188"/>
  <c r="S100" i="188"/>
  <c r="R100" i="188"/>
  <c r="Q100" i="188"/>
  <c r="P100" i="188"/>
  <c r="O100" i="188"/>
  <c r="N100" i="188"/>
  <c r="M100" i="188"/>
  <c r="L100" i="188"/>
  <c r="K100" i="188"/>
  <c r="J100" i="188"/>
  <c r="I100" i="188"/>
  <c r="H100" i="188"/>
  <c r="G100" i="188"/>
  <c r="F100" i="188"/>
  <c r="E100" i="188"/>
  <c r="D100" i="188"/>
  <c r="U99" i="188"/>
  <c r="T99" i="188"/>
  <c r="S99" i="188"/>
  <c r="R99" i="188"/>
  <c r="Q99" i="188"/>
  <c r="P99" i="188"/>
  <c r="O99" i="188"/>
  <c r="N99" i="188"/>
  <c r="M99" i="188"/>
  <c r="L99" i="188"/>
  <c r="K99" i="188"/>
  <c r="J99" i="188"/>
  <c r="I99" i="188"/>
  <c r="H99" i="188"/>
  <c r="G99" i="188"/>
  <c r="F99" i="188"/>
  <c r="E99" i="188"/>
  <c r="D99" i="188"/>
  <c r="U98" i="188"/>
  <c r="T98" i="188"/>
  <c r="S98" i="188"/>
  <c r="R98" i="188"/>
  <c r="Q98" i="188"/>
  <c r="P98" i="188"/>
  <c r="O98" i="188"/>
  <c r="N98" i="188"/>
  <c r="M98" i="188"/>
  <c r="L98" i="188"/>
  <c r="K98" i="188"/>
  <c r="J98" i="188"/>
  <c r="I98" i="188"/>
  <c r="H98" i="188"/>
  <c r="G98" i="188"/>
  <c r="F98" i="188"/>
  <c r="E98" i="188"/>
  <c r="D98" i="188"/>
  <c r="U97" i="188"/>
  <c r="T97" i="188"/>
  <c r="S97" i="188"/>
  <c r="R97" i="188"/>
  <c r="Q97" i="188"/>
  <c r="P97" i="188"/>
  <c r="O97" i="188"/>
  <c r="N97" i="188"/>
  <c r="M97" i="188"/>
  <c r="L97" i="188"/>
  <c r="K97" i="188"/>
  <c r="J97" i="188"/>
  <c r="I97" i="188"/>
  <c r="H97" i="188"/>
  <c r="G97" i="188"/>
  <c r="F97" i="188"/>
  <c r="E97" i="188"/>
  <c r="D97" i="188"/>
  <c r="U96" i="188"/>
  <c r="T96" i="188"/>
  <c r="S96" i="188"/>
  <c r="R96" i="188"/>
  <c r="Q96" i="188"/>
  <c r="P96" i="188"/>
  <c r="O96" i="188"/>
  <c r="N96" i="188"/>
  <c r="M96" i="188"/>
  <c r="L96" i="188"/>
  <c r="K96" i="188"/>
  <c r="J96" i="188"/>
  <c r="I96" i="188"/>
  <c r="H96" i="188"/>
  <c r="G96" i="188"/>
  <c r="F96" i="188"/>
  <c r="E96" i="188"/>
  <c r="D96" i="188"/>
  <c r="U95" i="188"/>
  <c r="T95" i="188"/>
  <c r="S95" i="188"/>
  <c r="R95" i="188"/>
  <c r="Q95" i="188"/>
  <c r="P95" i="188"/>
  <c r="O95" i="188"/>
  <c r="N95" i="188"/>
  <c r="M95" i="188"/>
  <c r="L95" i="188"/>
  <c r="K95" i="188"/>
  <c r="J95" i="188"/>
  <c r="I95" i="188"/>
  <c r="H95" i="188"/>
  <c r="G95" i="188"/>
  <c r="F95" i="188"/>
  <c r="E95" i="188"/>
  <c r="D95" i="188"/>
  <c r="U94" i="188"/>
  <c r="T94" i="188"/>
  <c r="S94" i="188"/>
  <c r="R94" i="188"/>
  <c r="Q94" i="188"/>
  <c r="P94" i="188"/>
  <c r="O94" i="188"/>
  <c r="N94" i="188"/>
  <c r="M94" i="188"/>
  <c r="L94" i="188"/>
  <c r="K94" i="188"/>
  <c r="J94" i="188"/>
  <c r="I94" i="188"/>
  <c r="H94" i="188"/>
  <c r="G94" i="188"/>
  <c r="F94" i="188"/>
  <c r="E94" i="188"/>
  <c r="D94" i="188"/>
  <c r="P93" i="188"/>
  <c r="U92" i="188"/>
  <c r="T92" i="188"/>
  <c r="S92" i="188"/>
  <c r="R92" i="188"/>
  <c r="Q92" i="188"/>
  <c r="P92" i="188"/>
  <c r="O92" i="188"/>
  <c r="N92" i="188"/>
  <c r="M92" i="188"/>
  <c r="L92" i="188"/>
  <c r="K92" i="188"/>
  <c r="J92" i="188"/>
  <c r="I92" i="188"/>
  <c r="H92" i="188"/>
  <c r="G92" i="188"/>
  <c r="F92" i="188"/>
  <c r="E92" i="188"/>
  <c r="D92" i="188"/>
  <c r="U91" i="188"/>
  <c r="T91" i="188"/>
  <c r="S91" i="188"/>
  <c r="R91" i="188"/>
  <c r="Q91" i="188"/>
  <c r="P91" i="188"/>
  <c r="O91" i="188"/>
  <c r="N91" i="188"/>
  <c r="M91" i="188"/>
  <c r="L91" i="188"/>
  <c r="K91" i="188"/>
  <c r="J91" i="188"/>
  <c r="I91" i="188"/>
  <c r="H91" i="188"/>
  <c r="G91" i="188"/>
  <c r="F91" i="188"/>
  <c r="E91" i="188"/>
  <c r="D91" i="188"/>
  <c r="U90" i="188"/>
  <c r="T90" i="188"/>
  <c r="S90" i="188"/>
  <c r="R90" i="188"/>
  <c r="Q90" i="188"/>
  <c r="P90" i="188"/>
  <c r="O90" i="188"/>
  <c r="N90" i="188"/>
  <c r="M90" i="188"/>
  <c r="L90" i="188"/>
  <c r="K90" i="188"/>
  <c r="J90" i="188"/>
  <c r="I90" i="188"/>
  <c r="H90" i="188"/>
  <c r="G90" i="188"/>
  <c r="F90" i="188"/>
  <c r="E90" i="188"/>
  <c r="D90" i="188"/>
  <c r="U89" i="188"/>
  <c r="T89" i="188"/>
  <c r="S89" i="188"/>
  <c r="R89" i="188"/>
  <c r="Q89" i="188"/>
  <c r="P89" i="188"/>
  <c r="O89" i="188"/>
  <c r="N89" i="188"/>
  <c r="M89" i="188"/>
  <c r="L89" i="188"/>
  <c r="K89" i="188"/>
  <c r="J89" i="188"/>
  <c r="I89" i="188"/>
  <c r="H89" i="188"/>
  <c r="G89" i="188"/>
  <c r="F89" i="188"/>
  <c r="E89" i="188"/>
  <c r="D89" i="188"/>
  <c r="U88" i="188"/>
  <c r="T88" i="188"/>
  <c r="S88" i="188"/>
  <c r="R88" i="188"/>
  <c r="Q88" i="188"/>
  <c r="P88" i="188"/>
  <c r="O88" i="188"/>
  <c r="N88" i="188"/>
  <c r="M88" i="188"/>
  <c r="L88" i="188"/>
  <c r="K88" i="188"/>
  <c r="J88" i="188"/>
  <c r="I88" i="188"/>
  <c r="H88" i="188"/>
  <c r="G88" i="188"/>
  <c r="F88" i="188"/>
  <c r="E88" i="188"/>
  <c r="D88" i="188"/>
  <c r="U87" i="188"/>
  <c r="T87" i="188"/>
  <c r="S87" i="188"/>
  <c r="R87" i="188"/>
  <c r="Q87" i="188"/>
  <c r="P87" i="188"/>
  <c r="O87" i="188"/>
  <c r="N87" i="188"/>
  <c r="M87" i="188"/>
  <c r="L87" i="188"/>
  <c r="K87" i="188"/>
  <c r="J87" i="188"/>
  <c r="I87" i="188"/>
  <c r="H87" i="188"/>
  <c r="G87" i="188"/>
  <c r="F87" i="188"/>
  <c r="E87" i="188"/>
  <c r="D87" i="188"/>
  <c r="U86" i="188"/>
  <c r="T86" i="188"/>
  <c r="S86" i="188"/>
  <c r="R86" i="188"/>
  <c r="Q86" i="188"/>
  <c r="P86" i="188"/>
  <c r="O86" i="188"/>
  <c r="N86" i="188"/>
  <c r="M86" i="188"/>
  <c r="L86" i="188"/>
  <c r="K86" i="188"/>
  <c r="J86" i="188"/>
  <c r="I86" i="188"/>
  <c r="H86" i="188"/>
  <c r="G86" i="188"/>
  <c r="F86" i="188"/>
  <c r="E86" i="188"/>
  <c r="D86" i="188"/>
  <c r="U80" i="188"/>
  <c r="T80" i="188"/>
  <c r="S80" i="188"/>
  <c r="R80" i="188"/>
  <c r="Q80" i="188"/>
  <c r="P80" i="188"/>
  <c r="O80" i="188"/>
  <c r="N80" i="188"/>
  <c r="M80" i="188"/>
  <c r="L80" i="188"/>
  <c r="K80" i="188"/>
  <c r="J80" i="188"/>
  <c r="I80" i="188"/>
  <c r="H80" i="188"/>
  <c r="G80" i="188"/>
  <c r="F80" i="188"/>
  <c r="E80" i="188"/>
  <c r="D80" i="188"/>
  <c r="U79" i="188"/>
  <c r="T79" i="188"/>
  <c r="S79" i="188"/>
  <c r="R79" i="188"/>
  <c r="Q79" i="188"/>
  <c r="P79" i="188"/>
  <c r="O79" i="188"/>
  <c r="N79" i="188"/>
  <c r="M79" i="188"/>
  <c r="L79" i="188"/>
  <c r="K79" i="188"/>
  <c r="J79" i="188"/>
  <c r="I79" i="188"/>
  <c r="H79" i="188"/>
  <c r="G79" i="188"/>
  <c r="F79" i="188"/>
  <c r="E79" i="188"/>
  <c r="D79" i="188"/>
  <c r="U78" i="188"/>
  <c r="T78" i="188"/>
  <c r="S78" i="188"/>
  <c r="R78" i="188"/>
  <c r="Q78" i="188"/>
  <c r="P78" i="188"/>
  <c r="O78" i="188"/>
  <c r="N78" i="188"/>
  <c r="M78" i="188"/>
  <c r="L78" i="188"/>
  <c r="K78" i="188"/>
  <c r="J78" i="188"/>
  <c r="I78" i="188"/>
  <c r="H78" i="188"/>
  <c r="G78" i="188"/>
  <c r="F78" i="188"/>
  <c r="E78" i="188"/>
  <c r="D78" i="188"/>
  <c r="U77" i="188"/>
  <c r="T77" i="188"/>
  <c r="S77" i="188"/>
  <c r="R77" i="188"/>
  <c r="Q77" i="188"/>
  <c r="P77" i="188"/>
  <c r="O77" i="188"/>
  <c r="N77" i="188"/>
  <c r="M77" i="188"/>
  <c r="L77" i="188"/>
  <c r="K77" i="188"/>
  <c r="J77" i="188"/>
  <c r="I77" i="188"/>
  <c r="H77" i="188"/>
  <c r="G77" i="188"/>
  <c r="F77" i="188"/>
  <c r="E77" i="188"/>
  <c r="D77" i="188"/>
  <c r="U76" i="188"/>
  <c r="T76" i="188"/>
  <c r="S76" i="188"/>
  <c r="R76" i="188"/>
  <c r="Q76" i="188"/>
  <c r="P76" i="188"/>
  <c r="O76" i="188"/>
  <c r="N76" i="188"/>
  <c r="M76" i="188"/>
  <c r="L76" i="188"/>
  <c r="K76" i="188"/>
  <c r="J76" i="188"/>
  <c r="I76" i="188"/>
  <c r="H76" i="188"/>
  <c r="G76" i="188"/>
  <c r="F76" i="188"/>
  <c r="E76" i="188"/>
  <c r="D76" i="188"/>
  <c r="U75" i="188"/>
  <c r="T75" i="188"/>
  <c r="S75" i="188"/>
  <c r="R75" i="188"/>
  <c r="Q75" i="188"/>
  <c r="P75" i="188"/>
  <c r="O75" i="188"/>
  <c r="N75" i="188"/>
  <c r="M75" i="188"/>
  <c r="L75" i="188"/>
  <c r="K75" i="188"/>
  <c r="J75" i="188"/>
  <c r="I75" i="188"/>
  <c r="H75" i="188"/>
  <c r="G75" i="188"/>
  <c r="F75" i="188"/>
  <c r="E75" i="188"/>
  <c r="D75" i="188"/>
  <c r="U74" i="188"/>
  <c r="T74" i="188"/>
  <c r="S74" i="188"/>
  <c r="R74" i="188"/>
  <c r="Q74" i="188"/>
  <c r="P74" i="188"/>
  <c r="O74" i="188"/>
  <c r="N74" i="188"/>
  <c r="M74" i="188"/>
  <c r="L74" i="188"/>
  <c r="K74" i="188"/>
  <c r="J74" i="188"/>
  <c r="I74" i="188"/>
  <c r="H74" i="188"/>
  <c r="G74" i="188"/>
  <c r="F74" i="188"/>
  <c r="E74" i="188"/>
  <c r="D74" i="188"/>
  <c r="U73" i="188"/>
  <c r="T73" i="188"/>
  <c r="S73" i="188"/>
  <c r="R73" i="188"/>
  <c r="Q73" i="188"/>
  <c r="P73" i="188"/>
  <c r="O73" i="188"/>
  <c r="N73" i="188"/>
  <c r="M73" i="188"/>
  <c r="L73" i="188"/>
  <c r="K73" i="188"/>
  <c r="J73" i="188"/>
  <c r="I73" i="188"/>
  <c r="H73" i="188"/>
  <c r="G73" i="188"/>
  <c r="F73" i="188"/>
  <c r="E73" i="188"/>
  <c r="D73" i="188"/>
  <c r="U72" i="188"/>
  <c r="T72" i="188"/>
  <c r="S72" i="188"/>
  <c r="R72" i="188"/>
  <c r="Q72" i="188"/>
  <c r="P72" i="188"/>
  <c r="O72" i="188"/>
  <c r="N72" i="188"/>
  <c r="M72" i="188"/>
  <c r="L72" i="188"/>
  <c r="K72" i="188"/>
  <c r="J72" i="188"/>
  <c r="I72" i="188"/>
  <c r="H72" i="188"/>
  <c r="G72" i="188"/>
  <c r="F72" i="188"/>
  <c r="E72" i="188"/>
  <c r="D72" i="188"/>
  <c r="U71" i="188"/>
  <c r="T71" i="188"/>
  <c r="S71" i="188"/>
  <c r="R71" i="188"/>
  <c r="Q71" i="188"/>
  <c r="P71" i="188"/>
  <c r="O71" i="188"/>
  <c r="N71" i="188"/>
  <c r="M71" i="188"/>
  <c r="L71" i="188"/>
  <c r="K71" i="188"/>
  <c r="J71" i="188"/>
  <c r="I71" i="188"/>
  <c r="H71" i="188"/>
  <c r="G71" i="188"/>
  <c r="F71" i="188"/>
  <c r="E71" i="188"/>
  <c r="D71" i="188"/>
  <c r="P70" i="188"/>
  <c r="U69" i="188"/>
  <c r="T69" i="188"/>
  <c r="S69" i="188"/>
  <c r="R69" i="188"/>
  <c r="Q69" i="188"/>
  <c r="P69" i="188"/>
  <c r="O69" i="188"/>
  <c r="N69" i="188"/>
  <c r="M69" i="188"/>
  <c r="L69" i="188"/>
  <c r="K69" i="188"/>
  <c r="J69" i="188"/>
  <c r="I69" i="188"/>
  <c r="H69" i="188"/>
  <c r="G69" i="188"/>
  <c r="F69" i="188"/>
  <c r="E69" i="188"/>
  <c r="D69" i="188"/>
  <c r="U68" i="188"/>
  <c r="T68" i="188"/>
  <c r="S68" i="188"/>
  <c r="R68" i="188"/>
  <c r="Q68" i="188"/>
  <c r="P68" i="188"/>
  <c r="O68" i="188"/>
  <c r="N68" i="188"/>
  <c r="M68" i="188"/>
  <c r="L68" i="188"/>
  <c r="K68" i="188"/>
  <c r="J68" i="188"/>
  <c r="I68" i="188"/>
  <c r="H68" i="188"/>
  <c r="G68" i="188"/>
  <c r="F68" i="188"/>
  <c r="E68" i="188"/>
  <c r="D68" i="188"/>
  <c r="U67" i="188"/>
  <c r="T67" i="188"/>
  <c r="S67" i="188"/>
  <c r="R67" i="188"/>
  <c r="Q67" i="188"/>
  <c r="P67" i="188"/>
  <c r="O67" i="188"/>
  <c r="N67" i="188"/>
  <c r="M67" i="188"/>
  <c r="L67" i="188"/>
  <c r="K67" i="188"/>
  <c r="J67" i="188"/>
  <c r="I67" i="188"/>
  <c r="H67" i="188"/>
  <c r="G67" i="188"/>
  <c r="F67" i="188"/>
  <c r="E67" i="188"/>
  <c r="D67" i="188"/>
  <c r="U66" i="188"/>
  <c r="T66" i="188"/>
  <c r="S66" i="188"/>
  <c r="R66" i="188"/>
  <c r="Q66" i="188"/>
  <c r="P66" i="188"/>
  <c r="O66" i="188"/>
  <c r="N66" i="188"/>
  <c r="M66" i="188"/>
  <c r="L66" i="188"/>
  <c r="K66" i="188"/>
  <c r="J66" i="188"/>
  <c r="I66" i="188"/>
  <c r="H66" i="188"/>
  <c r="G66" i="188"/>
  <c r="F66" i="188"/>
  <c r="E66" i="188"/>
  <c r="D66" i="188"/>
  <c r="U65" i="188"/>
  <c r="T65" i="188"/>
  <c r="S65" i="188"/>
  <c r="R65" i="188"/>
  <c r="Q65" i="188"/>
  <c r="P65" i="188"/>
  <c r="O65" i="188"/>
  <c r="N65" i="188"/>
  <c r="M65" i="188"/>
  <c r="L65" i="188"/>
  <c r="K65" i="188"/>
  <c r="J65" i="188"/>
  <c r="I65" i="188"/>
  <c r="H65" i="188"/>
  <c r="G65" i="188"/>
  <c r="F65" i="188"/>
  <c r="E65" i="188"/>
  <c r="D65" i="188"/>
  <c r="U64" i="188"/>
  <c r="T64" i="188"/>
  <c r="S64" i="188"/>
  <c r="R64" i="188"/>
  <c r="Q64" i="188"/>
  <c r="P64" i="188"/>
  <c r="O64" i="188"/>
  <c r="N64" i="188"/>
  <c r="M64" i="188"/>
  <c r="L64" i="188"/>
  <c r="K64" i="188"/>
  <c r="J64" i="188"/>
  <c r="I64" i="188"/>
  <c r="H64" i="188"/>
  <c r="G64" i="188"/>
  <c r="F64" i="188"/>
  <c r="E64" i="188"/>
  <c r="D64" i="188"/>
  <c r="U63" i="188"/>
  <c r="T63" i="188"/>
  <c r="S63" i="188"/>
  <c r="R63" i="188"/>
  <c r="Q63" i="188"/>
  <c r="P63" i="188"/>
  <c r="O63" i="188"/>
  <c r="N63" i="188"/>
  <c r="M63" i="188"/>
  <c r="L63" i="188"/>
  <c r="K63" i="188"/>
  <c r="J63" i="188"/>
  <c r="I63" i="188"/>
  <c r="H63" i="188"/>
  <c r="G63" i="188"/>
  <c r="F63" i="188"/>
  <c r="E63" i="188"/>
  <c r="D63" i="188"/>
  <c r="U62" i="188"/>
  <c r="T62" i="188"/>
  <c r="S62" i="188"/>
  <c r="R62" i="188"/>
  <c r="Q62" i="188"/>
  <c r="P62" i="188"/>
  <c r="O62" i="188"/>
  <c r="N62" i="188"/>
  <c r="M62" i="188"/>
  <c r="L62" i="188"/>
  <c r="K62" i="188"/>
  <c r="J62" i="188"/>
  <c r="I62" i="188"/>
  <c r="H62" i="188"/>
  <c r="G62" i="188"/>
  <c r="F62" i="188"/>
  <c r="E62" i="188"/>
  <c r="D62" i="188"/>
  <c r="U61" i="188"/>
  <c r="T61" i="188"/>
  <c r="S61" i="188"/>
  <c r="R61" i="188"/>
  <c r="Q61" i="188"/>
  <c r="P61" i="188"/>
  <c r="O61" i="188"/>
  <c r="N61" i="188"/>
  <c r="M61" i="188"/>
  <c r="L61" i="188"/>
  <c r="K61" i="188"/>
  <c r="J61" i="188"/>
  <c r="I61" i="188"/>
  <c r="H61" i="188"/>
  <c r="G61" i="188"/>
  <c r="F61" i="188"/>
  <c r="E61" i="188"/>
  <c r="D61" i="188"/>
  <c r="U60" i="188"/>
  <c r="T60" i="188"/>
  <c r="S60" i="188"/>
  <c r="R60" i="188"/>
  <c r="Q60" i="188"/>
  <c r="P60" i="188"/>
  <c r="O60" i="188"/>
  <c r="N60" i="188"/>
  <c r="M60" i="188"/>
  <c r="L60" i="188"/>
  <c r="K60" i="188"/>
  <c r="J60" i="188"/>
  <c r="I60" i="188"/>
  <c r="H60" i="188"/>
  <c r="G60" i="188"/>
  <c r="F60" i="188"/>
  <c r="E60" i="188"/>
  <c r="D60" i="188"/>
  <c r="U59" i="188"/>
  <c r="T59" i="188"/>
  <c r="S59" i="188"/>
  <c r="R59" i="188"/>
  <c r="Q59" i="188"/>
  <c r="P59" i="188"/>
  <c r="O59" i="188"/>
  <c r="N59" i="188"/>
  <c r="M59" i="188"/>
  <c r="L59" i="188"/>
  <c r="K59" i="188"/>
  <c r="J59" i="188"/>
  <c r="I59" i="188"/>
  <c r="H59" i="188"/>
  <c r="G59" i="188"/>
  <c r="F59" i="188"/>
  <c r="E59" i="188"/>
  <c r="D59" i="188"/>
  <c r="U58" i="188"/>
  <c r="T58" i="188"/>
  <c r="S58" i="188"/>
  <c r="R58" i="188"/>
  <c r="Q58" i="188"/>
  <c r="P58" i="188"/>
  <c r="O58" i="188"/>
  <c r="N58" i="188"/>
  <c r="M58" i="188"/>
  <c r="L58" i="188"/>
  <c r="K58" i="188"/>
  <c r="J58" i="188"/>
  <c r="I58" i="188"/>
  <c r="H58" i="188"/>
  <c r="G58" i="188"/>
  <c r="F58" i="188"/>
  <c r="E58" i="188"/>
  <c r="D58" i="188"/>
  <c r="U57" i="188"/>
  <c r="T57" i="188"/>
  <c r="S57" i="188"/>
  <c r="R57" i="188"/>
  <c r="Q57" i="188"/>
  <c r="P57" i="188"/>
  <c r="O57" i="188"/>
  <c r="N57" i="188"/>
  <c r="M57" i="188"/>
  <c r="L57" i="188"/>
  <c r="K57" i="188"/>
  <c r="J57" i="188"/>
  <c r="I57" i="188"/>
  <c r="H57" i="188"/>
  <c r="G57" i="188"/>
  <c r="F57" i="188"/>
  <c r="E57" i="188"/>
  <c r="D57" i="188"/>
  <c r="P56" i="188"/>
  <c r="U55" i="188"/>
  <c r="T55" i="188"/>
  <c r="S55" i="188"/>
  <c r="R55" i="188"/>
  <c r="Q55" i="188"/>
  <c r="P55" i="188"/>
  <c r="O55" i="188"/>
  <c r="N55" i="188"/>
  <c r="M55" i="188"/>
  <c r="L55" i="188"/>
  <c r="K55" i="188"/>
  <c r="J55" i="188"/>
  <c r="I55" i="188"/>
  <c r="H55" i="188"/>
  <c r="G55" i="188"/>
  <c r="F55" i="188"/>
  <c r="E55" i="188"/>
  <c r="D55" i="188"/>
  <c r="U54" i="188"/>
  <c r="T54" i="188"/>
  <c r="S54" i="188"/>
  <c r="R54" i="188"/>
  <c r="Q54" i="188"/>
  <c r="P54" i="188"/>
  <c r="O54" i="188"/>
  <c r="N54" i="188"/>
  <c r="M54" i="188"/>
  <c r="L54" i="188"/>
  <c r="K54" i="188"/>
  <c r="J54" i="188"/>
  <c r="I54" i="188"/>
  <c r="H54" i="188"/>
  <c r="G54" i="188"/>
  <c r="F54" i="188"/>
  <c r="E54" i="188"/>
  <c r="D54" i="188"/>
  <c r="U53" i="188"/>
  <c r="T53" i="188"/>
  <c r="S53" i="188"/>
  <c r="R53" i="188"/>
  <c r="Q53" i="188"/>
  <c r="P53" i="188"/>
  <c r="O53" i="188"/>
  <c r="N53" i="188"/>
  <c r="M53" i="188"/>
  <c r="L53" i="188"/>
  <c r="K53" i="188"/>
  <c r="J53" i="188"/>
  <c r="I53" i="188"/>
  <c r="H53" i="188"/>
  <c r="G53" i="188"/>
  <c r="F53" i="188"/>
  <c r="E53" i="188"/>
  <c r="D53" i="188"/>
  <c r="U52" i="188"/>
  <c r="T52" i="188"/>
  <c r="S52" i="188"/>
  <c r="R52" i="188"/>
  <c r="Q52" i="188"/>
  <c r="P52" i="188"/>
  <c r="O52" i="188"/>
  <c r="N52" i="188"/>
  <c r="M52" i="188"/>
  <c r="L52" i="188"/>
  <c r="K52" i="188"/>
  <c r="J52" i="188"/>
  <c r="I52" i="188"/>
  <c r="H52" i="188"/>
  <c r="G52" i="188"/>
  <c r="F52" i="188"/>
  <c r="E52" i="188"/>
  <c r="D52" i="188"/>
  <c r="U51" i="188"/>
  <c r="T51" i="188"/>
  <c r="S51" i="188"/>
  <c r="R51" i="188"/>
  <c r="Q51" i="188"/>
  <c r="P51" i="188"/>
  <c r="O51" i="188"/>
  <c r="N51" i="188"/>
  <c r="M51" i="188"/>
  <c r="L51" i="188"/>
  <c r="K51" i="188"/>
  <c r="J51" i="188"/>
  <c r="I51" i="188"/>
  <c r="H51" i="188"/>
  <c r="G51" i="188"/>
  <c r="F51" i="188"/>
  <c r="E51" i="188"/>
  <c r="D51" i="188"/>
  <c r="U50" i="188"/>
  <c r="T50" i="188"/>
  <c r="S50" i="188"/>
  <c r="R50" i="188"/>
  <c r="Q50" i="188"/>
  <c r="P50" i="188"/>
  <c r="O50" i="188"/>
  <c r="N50" i="188"/>
  <c r="M50" i="188"/>
  <c r="L50" i="188"/>
  <c r="K50" i="188"/>
  <c r="J50" i="188"/>
  <c r="I50" i="188"/>
  <c r="H50" i="188"/>
  <c r="G50" i="188"/>
  <c r="F50" i="188"/>
  <c r="E50" i="188"/>
  <c r="D50" i="188"/>
  <c r="U49" i="188"/>
  <c r="T49" i="188"/>
  <c r="S49" i="188"/>
  <c r="R49" i="188"/>
  <c r="Q49" i="188"/>
  <c r="P49" i="188"/>
  <c r="O49" i="188"/>
  <c r="N49" i="188"/>
  <c r="M49" i="188"/>
  <c r="L49" i="188"/>
  <c r="K49" i="188"/>
  <c r="J49" i="188"/>
  <c r="I49" i="188"/>
  <c r="H49" i="188"/>
  <c r="G49" i="188"/>
  <c r="F49" i="188"/>
  <c r="E49" i="188"/>
  <c r="D49" i="188"/>
  <c r="U43" i="188"/>
  <c r="T43" i="188"/>
  <c r="S43" i="188"/>
  <c r="R43" i="188"/>
  <c r="Q43" i="188"/>
  <c r="P43" i="188"/>
  <c r="O43" i="188"/>
  <c r="N43" i="188"/>
  <c r="M43" i="188"/>
  <c r="L43" i="188"/>
  <c r="K43" i="188"/>
  <c r="J43" i="188"/>
  <c r="I43" i="188"/>
  <c r="H43" i="188"/>
  <c r="G43" i="188"/>
  <c r="F43" i="188"/>
  <c r="E43" i="188"/>
  <c r="D43" i="188"/>
  <c r="U42" i="188"/>
  <c r="T42" i="188"/>
  <c r="S42" i="188"/>
  <c r="R42" i="188"/>
  <c r="Q42" i="188"/>
  <c r="P42" i="188"/>
  <c r="O42" i="188"/>
  <c r="N42" i="188"/>
  <c r="M42" i="188"/>
  <c r="L42" i="188"/>
  <c r="K42" i="188"/>
  <c r="J42" i="188"/>
  <c r="I42" i="188"/>
  <c r="H42" i="188"/>
  <c r="G42" i="188"/>
  <c r="F42" i="188"/>
  <c r="E42" i="188"/>
  <c r="D42" i="188"/>
  <c r="U41" i="188"/>
  <c r="T41" i="188"/>
  <c r="S41" i="188"/>
  <c r="R41" i="188"/>
  <c r="Q41" i="188"/>
  <c r="P41" i="188"/>
  <c r="O41" i="188"/>
  <c r="N41" i="188"/>
  <c r="M41" i="188"/>
  <c r="L41" i="188"/>
  <c r="K41" i="188"/>
  <c r="J41" i="188"/>
  <c r="I41" i="188"/>
  <c r="H41" i="188"/>
  <c r="G41" i="188"/>
  <c r="F41" i="188"/>
  <c r="E41" i="188"/>
  <c r="D41" i="188"/>
  <c r="U40" i="188"/>
  <c r="T40" i="188"/>
  <c r="S40" i="188"/>
  <c r="R40" i="188"/>
  <c r="Q40" i="188"/>
  <c r="P40" i="188"/>
  <c r="O40" i="188"/>
  <c r="N40" i="188"/>
  <c r="M40" i="188"/>
  <c r="L40" i="188"/>
  <c r="K40" i="188"/>
  <c r="J40" i="188"/>
  <c r="I40" i="188"/>
  <c r="H40" i="188"/>
  <c r="G40" i="188"/>
  <c r="F40" i="188"/>
  <c r="E40" i="188"/>
  <c r="D40" i="188"/>
  <c r="U39" i="188"/>
  <c r="T39" i="188"/>
  <c r="S39" i="188"/>
  <c r="R39" i="188"/>
  <c r="Q39" i="188"/>
  <c r="P39" i="188"/>
  <c r="O39" i="188"/>
  <c r="N39" i="188"/>
  <c r="M39" i="188"/>
  <c r="L39" i="188"/>
  <c r="K39" i="188"/>
  <c r="J39" i="188"/>
  <c r="I39" i="188"/>
  <c r="H39" i="188"/>
  <c r="G39" i="188"/>
  <c r="F39" i="188"/>
  <c r="E39" i="188"/>
  <c r="D39" i="188"/>
  <c r="U38" i="188"/>
  <c r="T38" i="188"/>
  <c r="S38" i="188"/>
  <c r="R38" i="188"/>
  <c r="Q38" i="188"/>
  <c r="P38" i="188"/>
  <c r="O38" i="188"/>
  <c r="N38" i="188"/>
  <c r="M38" i="188"/>
  <c r="L38" i="188"/>
  <c r="K38" i="188"/>
  <c r="J38" i="188"/>
  <c r="I38" i="188"/>
  <c r="H38" i="188"/>
  <c r="G38" i="188"/>
  <c r="F38" i="188"/>
  <c r="E38" i="188"/>
  <c r="D38" i="188"/>
  <c r="U37" i="188"/>
  <c r="T37" i="188"/>
  <c r="S37" i="188"/>
  <c r="R37" i="188"/>
  <c r="Q37" i="188"/>
  <c r="P37" i="188"/>
  <c r="O37" i="188"/>
  <c r="N37" i="188"/>
  <c r="M37" i="188"/>
  <c r="L37" i="188"/>
  <c r="K37" i="188"/>
  <c r="J37" i="188"/>
  <c r="I37" i="188"/>
  <c r="H37" i="188"/>
  <c r="G37" i="188"/>
  <c r="F37" i="188"/>
  <c r="E37" i="188"/>
  <c r="D37" i="188"/>
  <c r="U36" i="188"/>
  <c r="T36" i="188"/>
  <c r="S36" i="188"/>
  <c r="R36" i="188"/>
  <c r="Q36" i="188"/>
  <c r="P36" i="188"/>
  <c r="O36" i="188"/>
  <c r="N36" i="188"/>
  <c r="M36" i="188"/>
  <c r="L36" i="188"/>
  <c r="K36" i="188"/>
  <c r="J36" i="188"/>
  <c r="I36" i="188"/>
  <c r="H36" i="188"/>
  <c r="G36" i="188"/>
  <c r="F36" i="188"/>
  <c r="E36" i="188"/>
  <c r="D36" i="188"/>
  <c r="U35" i="188"/>
  <c r="T35" i="188"/>
  <c r="S35" i="188"/>
  <c r="R35" i="188"/>
  <c r="Q35" i="188"/>
  <c r="P35" i="188"/>
  <c r="O35" i="188"/>
  <c r="N35" i="188"/>
  <c r="M35" i="188"/>
  <c r="L35" i="188"/>
  <c r="K35" i="188"/>
  <c r="J35" i="188"/>
  <c r="I35" i="188"/>
  <c r="H35" i="188"/>
  <c r="G35" i="188"/>
  <c r="F35" i="188"/>
  <c r="E35" i="188"/>
  <c r="D35" i="188"/>
  <c r="U34" i="188"/>
  <c r="T34" i="188"/>
  <c r="S34" i="188"/>
  <c r="R34" i="188"/>
  <c r="Q34" i="188"/>
  <c r="P34" i="188"/>
  <c r="O34" i="188"/>
  <c r="N34" i="188"/>
  <c r="M34" i="188"/>
  <c r="L34" i="188"/>
  <c r="K34" i="188"/>
  <c r="J34" i="188"/>
  <c r="I34" i="188"/>
  <c r="H34" i="188"/>
  <c r="G34" i="188"/>
  <c r="F34" i="188"/>
  <c r="E34" i="188"/>
  <c r="D34" i="188"/>
  <c r="P33" i="188"/>
  <c r="U32" i="188"/>
  <c r="T32" i="188"/>
  <c r="S32" i="188"/>
  <c r="R32" i="188"/>
  <c r="Q32" i="188"/>
  <c r="P32" i="188"/>
  <c r="O32" i="188"/>
  <c r="N32" i="188"/>
  <c r="M32" i="188"/>
  <c r="L32" i="188"/>
  <c r="K32" i="188"/>
  <c r="J32" i="188"/>
  <c r="I32" i="188"/>
  <c r="H32" i="188"/>
  <c r="G32" i="188"/>
  <c r="F32" i="188"/>
  <c r="E32" i="188"/>
  <c r="D32" i="188"/>
  <c r="U31" i="188"/>
  <c r="T31" i="188"/>
  <c r="S31" i="188"/>
  <c r="R31" i="188"/>
  <c r="Q31" i="188"/>
  <c r="P31" i="188"/>
  <c r="O31" i="188"/>
  <c r="N31" i="188"/>
  <c r="M31" i="188"/>
  <c r="L31" i="188"/>
  <c r="K31" i="188"/>
  <c r="J31" i="188"/>
  <c r="I31" i="188"/>
  <c r="H31" i="188"/>
  <c r="G31" i="188"/>
  <c r="F31" i="188"/>
  <c r="E31" i="188"/>
  <c r="D31" i="188"/>
  <c r="U30" i="188"/>
  <c r="T30" i="188"/>
  <c r="S30" i="188"/>
  <c r="R30" i="188"/>
  <c r="Q30" i="188"/>
  <c r="P30" i="188"/>
  <c r="O30" i="188"/>
  <c r="N30" i="188"/>
  <c r="M30" i="188"/>
  <c r="L30" i="188"/>
  <c r="K30" i="188"/>
  <c r="J30" i="188"/>
  <c r="I30" i="188"/>
  <c r="H30" i="188"/>
  <c r="G30" i="188"/>
  <c r="F30" i="188"/>
  <c r="E30" i="188"/>
  <c r="D30" i="188"/>
  <c r="U29" i="188"/>
  <c r="T29" i="188"/>
  <c r="S29" i="188"/>
  <c r="R29" i="188"/>
  <c r="Q29" i="188"/>
  <c r="P29" i="188"/>
  <c r="O29" i="188"/>
  <c r="N29" i="188"/>
  <c r="M29" i="188"/>
  <c r="L29" i="188"/>
  <c r="K29" i="188"/>
  <c r="J29" i="188"/>
  <c r="I29" i="188"/>
  <c r="H29" i="188"/>
  <c r="G29" i="188"/>
  <c r="F29" i="188"/>
  <c r="E29" i="188"/>
  <c r="D29" i="188"/>
  <c r="U28" i="188"/>
  <c r="T28" i="188"/>
  <c r="S28" i="188"/>
  <c r="R28" i="188"/>
  <c r="Q28" i="188"/>
  <c r="P28" i="188"/>
  <c r="O28" i="188"/>
  <c r="N28" i="188"/>
  <c r="M28" i="188"/>
  <c r="L28" i="188"/>
  <c r="K28" i="188"/>
  <c r="J28" i="188"/>
  <c r="I28" i="188"/>
  <c r="H28" i="188"/>
  <c r="G28" i="188"/>
  <c r="F28" i="188"/>
  <c r="E28" i="188"/>
  <c r="D28" i="188"/>
  <c r="U27" i="188"/>
  <c r="T27" i="188"/>
  <c r="S27" i="188"/>
  <c r="R27" i="188"/>
  <c r="Q27" i="188"/>
  <c r="P27" i="188"/>
  <c r="O27" i="188"/>
  <c r="N27" i="188"/>
  <c r="M27" i="188"/>
  <c r="L27" i="188"/>
  <c r="K27" i="188"/>
  <c r="J27" i="188"/>
  <c r="I27" i="188"/>
  <c r="H27" i="188"/>
  <c r="G27" i="188"/>
  <c r="F27" i="188"/>
  <c r="E27" i="188"/>
  <c r="D27" i="188"/>
  <c r="U26" i="188"/>
  <c r="T26" i="188"/>
  <c r="S26" i="188"/>
  <c r="R26" i="188"/>
  <c r="Q26" i="188"/>
  <c r="P26" i="188"/>
  <c r="O26" i="188"/>
  <c r="N26" i="188"/>
  <c r="M26" i="188"/>
  <c r="L26" i="188"/>
  <c r="K26" i="188"/>
  <c r="J26" i="188"/>
  <c r="I26" i="188"/>
  <c r="H26" i="188"/>
  <c r="G26" i="188"/>
  <c r="F26" i="188"/>
  <c r="E26" i="188"/>
  <c r="D26" i="188"/>
  <c r="U25" i="188"/>
  <c r="T25" i="188"/>
  <c r="S25" i="188"/>
  <c r="R25" i="188"/>
  <c r="Q25" i="188"/>
  <c r="P25" i="188"/>
  <c r="O25" i="188"/>
  <c r="N25" i="188"/>
  <c r="M25" i="188"/>
  <c r="L25" i="188"/>
  <c r="K25" i="188"/>
  <c r="J25" i="188"/>
  <c r="I25" i="188"/>
  <c r="H25" i="188"/>
  <c r="G25" i="188"/>
  <c r="F25" i="188"/>
  <c r="E25" i="188"/>
  <c r="D25" i="188"/>
  <c r="U24" i="188"/>
  <c r="T24" i="188"/>
  <c r="S24" i="188"/>
  <c r="R24" i="188"/>
  <c r="Q24" i="188"/>
  <c r="P24" i="188"/>
  <c r="O24" i="188"/>
  <c r="N24" i="188"/>
  <c r="M24" i="188"/>
  <c r="L24" i="188"/>
  <c r="K24" i="188"/>
  <c r="J24" i="188"/>
  <c r="I24" i="188"/>
  <c r="H24" i="188"/>
  <c r="G24" i="188"/>
  <c r="F24" i="188"/>
  <c r="E24" i="188"/>
  <c r="D24" i="188"/>
  <c r="U23" i="188"/>
  <c r="T23" i="188"/>
  <c r="S23" i="188"/>
  <c r="R23" i="188"/>
  <c r="Q23" i="188"/>
  <c r="P23" i="188"/>
  <c r="O23" i="188"/>
  <c r="N23" i="188"/>
  <c r="M23" i="188"/>
  <c r="L23" i="188"/>
  <c r="K23" i="188"/>
  <c r="J23" i="188"/>
  <c r="I23" i="188"/>
  <c r="H23" i="188"/>
  <c r="G23" i="188"/>
  <c r="F23" i="188"/>
  <c r="E23" i="188"/>
  <c r="D23" i="188"/>
  <c r="U22" i="188"/>
  <c r="T22" i="188"/>
  <c r="S22" i="188"/>
  <c r="R22" i="188"/>
  <c r="Q22" i="188"/>
  <c r="P22" i="188"/>
  <c r="O22" i="188"/>
  <c r="N22" i="188"/>
  <c r="M22" i="188"/>
  <c r="L22" i="188"/>
  <c r="K22" i="188"/>
  <c r="J22" i="188"/>
  <c r="I22" i="188"/>
  <c r="H22" i="188"/>
  <c r="G22" i="188"/>
  <c r="F22" i="188"/>
  <c r="E22" i="188"/>
  <c r="D22" i="188"/>
  <c r="U21" i="188"/>
  <c r="T21" i="188"/>
  <c r="S21" i="188"/>
  <c r="R21" i="188"/>
  <c r="Q21" i="188"/>
  <c r="P21" i="188"/>
  <c r="O21" i="188"/>
  <c r="N21" i="188"/>
  <c r="M21" i="188"/>
  <c r="L21" i="188"/>
  <c r="K21" i="188"/>
  <c r="J21" i="188"/>
  <c r="I21" i="188"/>
  <c r="H21" i="188"/>
  <c r="G21" i="188"/>
  <c r="F21" i="188"/>
  <c r="E21" i="188"/>
  <c r="D21" i="188"/>
  <c r="U20" i="188"/>
  <c r="T20" i="188"/>
  <c r="S20" i="188"/>
  <c r="R20" i="188"/>
  <c r="Q20" i="188"/>
  <c r="P20" i="188"/>
  <c r="O20" i="188"/>
  <c r="N20" i="188"/>
  <c r="M20" i="188"/>
  <c r="L20" i="188"/>
  <c r="K20" i="188"/>
  <c r="J20" i="188"/>
  <c r="I20" i="188"/>
  <c r="H20" i="188"/>
  <c r="G20" i="188"/>
  <c r="F20" i="188"/>
  <c r="E20" i="188"/>
  <c r="D20" i="188"/>
  <c r="P19" i="188"/>
  <c r="U18" i="188"/>
  <c r="T18" i="188"/>
  <c r="S18" i="188"/>
  <c r="R18" i="188"/>
  <c r="Q18" i="188"/>
  <c r="P18" i="188"/>
  <c r="O18" i="188"/>
  <c r="N18" i="188"/>
  <c r="M18" i="188"/>
  <c r="L18" i="188"/>
  <c r="K18" i="188"/>
  <c r="J18" i="188"/>
  <c r="I18" i="188"/>
  <c r="H18" i="188"/>
  <c r="G18" i="188"/>
  <c r="F18" i="188"/>
  <c r="E18" i="188"/>
  <c r="D18" i="188"/>
  <c r="U17" i="188"/>
  <c r="T17" i="188"/>
  <c r="S17" i="188"/>
  <c r="R17" i="188"/>
  <c r="Q17" i="188"/>
  <c r="P17" i="188"/>
  <c r="O17" i="188"/>
  <c r="N17" i="188"/>
  <c r="M17" i="188"/>
  <c r="L17" i="188"/>
  <c r="K17" i="188"/>
  <c r="J17" i="188"/>
  <c r="I17" i="188"/>
  <c r="H17" i="188"/>
  <c r="G17" i="188"/>
  <c r="F17" i="188"/>
  <c r="E17" i="188"/>
  <c r="D17" i="188"/>
  <c r="U16" i="188"/>
  <c r="T16" i="188"/>
  <c r="S16" i="188"/>
  <c r="R16" i="188"/>
  <c r="Q16" i="188"/>
  <c r="P16" i="188"/>
  <c r="O16" i="188"/>
  <c r="N16" i="188"/>
  <c r="M16" i="188"/>
  <c r="L16" i="188"/>
  <c r="K16" i="188"/>
  <c r="J16" i="188"/>
  <c r="I16" i="188"/>
  <c r="H16" i="188"/>
  <c r="G16" i="188"/>
  <c r="F16" i="188"/>
  <c r="E16" i="188"/>
  <c r="D16" i="188"/>
  <c r="U15" i="188"/>
  <c r="T15" i="188"/>
  <c r="S15" i="188"/>
  <c r="R15" i="188"/>
  <c r="Q15" i="188"/>
  <c r="P15" i="188"/>
  <c r="O15" i="188"/>
  <c r="N15" i="188"/>
  <c r="M15" i="188"/>
  <c r="L15" i="188"/>
  <c r="K15" i="188"/>
  <c r="J15" i="188"/>
  <c r="I15" i="188"/>
  <c r="H15" i="188"/>
  <c r="G15" i="188"/>
  <c r="F15" i="188"/>
  <c r="E15" i="188"/>
  <c r="D15" i="188"/>
  <c r="U14" i="188"/>
  <c r="T14" i="188"/>
  <c r="S14" i="188"/>
  <c r="R14" i="188"/>
  <c r="Q14" i="188"/>
  <c r="P14" i="188"/>
  <c r="O14" i="188"/>
  <c r="N14" i="188"/>
  <c r="M14" i="188"/>
  <c r="L14" i="188"/>
  <c r="K14" i="188"/>
  <c r="J14" i="188"/>
  <c r="I14" i="188"/>
  <c r="H14" i="188"/>
  <c r="G14" i="188"/>
  <c r="F14" i="188"/>
  <c r="E14" i="188"/>
  <c r="D14" i="188"/>
  <c r="U13" i="188"/>
  <c r="T13" i="188"/>
  <c r="S13" i="188"/>
  <c r="R13" i="188"/>
  <c r="Q13" i="188"/>
  <c r="P13" i="188"/>
  <c r="O13" i="188"/>
  <c r="N13" i="188"/>
  <c r="M13" i="188"/>
  <c r="L13" i="188"/>
  <c r="K13" i="188"/>
  <c r="J13" i="188"/>
  <c r="I13" i="188"/>
  <c r="H13" i="188"/>
  <c r="G13" i="188"/>
  <c r="F13" i="188"/>
  <c r="E13" i="188"/>
  <c r="D13" i="188"/>
  <c r="U12" i="188"/>
  <c r="T12" i="188"/>
  <c r="S12" i="188"/>
  <c r="R12" i="188"/>
  <c r="Q12" i="188"/>
  <c r="P12" i="188"/>
  <c r="O12" i="188"/>
  <c r="N12" i="188"/>
  <c r="M12" i="188"/>
  <c r="L12" i="188"/>
  <c r="K12" i="188"/>
  <c r="J12" i="188"/>
  <c r="I12" i="188"/>
  <c r="H12" i="188"/>
  <c r="G12" i="188"/>
  <c r="F12" i="188"/>
  <c r="E12" i="188"/>
  <c r="D12" i="188"/>
  <c r="U450" i="169"/>
  <c r="T450" i="169"/>
  <c r="S450" i="169"/>
  <c r="R450" i="169"/>
  <c r="Q450" i="169"/>
  <c r="P450" i="169"/>
  <c r="O450" i="169"/>
  <c r="N450" i="169"/>
  <c r="M450" i="169"/>
  <c r="L450" i="169"/>
  <c r="K450" i="169"/>
  <c r="J450" i="169"/>
  <c r="I450" i="169"/>
  <c r="H450" i="169"/>
  <c r="G450" i="169"/>
  <c r="F450" i="169"/>
  <c r="E450" i="169"/>
  <c r="D450" i="169"/>
  <c r="U449" i="169"/>
  <c r="T449" i="169"/>
  <c r="S449" i="169"/>
  <c r="R449" i="169"/>
  <c r="Q449" i="169"/>
  <c r="P449" i="169"/>
  <c r="O449" i="169"/>
  <c r="N449" i="169"/>
  <c r="M449" i="169"/>
  <c r="L449" i="169"/>
  <c r="K449" i="169"/>
  <c r="J449" i="169"/>
  <c r="I449" i="169"/>
  <c r="H449" i="169"/>
  <c r="G449" i="169"/>
  <c r="F449" i="169"/>
  <c r="E449" i="169"/>
  <c r="D449" i="169"/>
  <c r="U448" i="169"/>
  <c r="T448" i="169"/>
  <c r="S448" i="169"/>
  <c r="R448" i="169"/>
  <c r="Q448" i="169"/>
  <c r="P448" i="169"/>
  <c r="O448" i="169"/>
  <c r="N448" i="169"/>
  <c r="M448" i="169"/>
  <c r="L448" i="169"/>
  <c r="K448" i="169"/>
  <c r="J448" i="169"/>
  <c r="I448" i="169"/>
  <c r="H448" i="169"/>
  <c r="G448" i="169"/>
  <c r="F448" i="169"/>
  <c r="E448" i="169"/>
  <c r="D448" i="169"/>
  <c r="U447" i="169"/>
  <c r="T447" i="169"/>
  <c r="S447" i="169"/>
  <c r="R447" i="169"/>
  <c r="Q447" i="169"/>
  <c r="P447" i="169"/>
  <c r="O447" i="169"/>
  <c r="N447" i="169"/>
  <c r="M447" i="169"/>
  <c r="L447" i="169"/>
  <c r="K447" i="169"/>
  <c r="J447" i="169"/>
  <c r="I447" i="169"/>
  <c r="H447" i="169"/>
  <c r="G447" i="169"/>
  <c r="F447" i="169"/>
  <c r="E447" i="169"/>
  <c r="D447" i="169"/>
  <c r="U446" i="169"/>
  <c r="T446" i="169"/>
  <c r="S446" i="169"/>
  <c r="R446" i="169"/>
  <c r="Q446" i="169"/>
  <c r="P446" i="169"/>
  <c r="O446" i="169"/>
  <c r="N446" i="169"/>
  <c r="M446" i="169"/>
  <c r="L446" i="169"/>
  <c r="K446" i="169"/>
  <c r="J446" i="169"/>
  <c r="I446" i="169"/>
  <c r="H446" i="169"/>
  <c r="G446" i="169"/>
  <c r="F446" i="169"/>
  <c r="E446" i="169"/>
  <c r="D446" i="169"/>
  <c r="U445" i="169"/>
  <c r="T445" i="169"/>
  <c r="S445" i="169"/>
  <c r="R445" i="169"/>
  <c r="Q445" i="169"/>
  <c r="P445" i="169"/>
  <c r="O445" i="169"/>
  <c r="N445" i="169"/>
  <c r="M445" i="169"/>
  <c r="L445" i="169"/>
  <c r="K445" i="169"/>
  <c r="J445" i="169"/>
  <c r="I445" i="169"/>
  <c r="H445" i="169"/>
  <c r="G445" i="169"/>
  <c r="F445" i="169"/>
  <c r="E445" i="169"/>
  <c r="D445" i="169"/>
  <c r="U444" i="169"/>
  <c r="T444" i="169"/>
  <c r="S444" i="169"/>
  <c r="R444" i="169"/>
  <c r="Q444" i="169"/>
  <c r="P444" i="169"/>
  <c r="O444" i="169"/>
  <c r="N444" i="169"/>
  <c r="M444" i="169"/>
  <c r="L444" i="169"/>
  <c r="K444" i="169"/>
  <c r="J444" i="169"/>
  <c r="I444" i="169"/>
  <c r="H444" i="169"/>
  <c r="G444" i="169"/>
  <c r="F444" i="169"/>
  <c r="E444" i="169"/>
  <c r="D444" i="169"/>
  <c r="U443" i="169"/>
  <c r="T443" i="169"/>
  <c r="S443" i="169"/>
  <c r="R443" i="169"/>
  <c r="Q443" i="169"/>
  <c r="P443" i="169"/>
  <c r="O443" i="169"/>
  <c r="N443" i="169"/>
  <c r="M443" i="169"/>
  <c r="L443" i="169"/>
  <c r="K443" i="169"/>
  <c r="J443" i="169"/>
  <c r="I443" i="169"/>
  <c r="H443" i="169"/>
  <c r="G443" i="169"/>
  <c r="F443" i="169"/>
  <c r="E443" i="169"/>
  <c r="D443" i="169"/>
  <c r="U442" i="169"/>
  <c r="T442" i="169"/>
  <c r="S442" i="169"/>
  <c r="R442" i="169"/>
  <c r="Q442" i="169"/>
  <c r="P442" i="169"/>
  <c r="O442" i="169"/>
  <c r="N442" i="169"/>
  <c r="M442" i="169"/>
  <c r="L442" i="169"/>
  <c r="K442" i="169"/>
  <c r="J442" i="169"/>
  <c r="I442" i="169"/>
  <c r="H442" i="169"/>
  <c r="G442" i="169"/>
  <c r="F442" i="169"/>
  <c r="E442" i="169"/>
  <c r="D442" i="169"/>
  <c r="U441" i="169"/>
  <c r="T441" i="169"/>
  <c r="S441" i="169"/>
  <c r="R441" i="169"/>
  <c r="Q441" i="169"/>
  <c r="P441" i="169"/>
  <c r="O441" i="169"/>
  <c r="N441" i="169"/>
  <c r="M441" i="169"/>
  <c r="L441" i="169"/>
  <c r="K441" i="169"/>
  <c r="J441" i="169"/>
  <c r="I441" i="169"/>
  <c r="H441" i="169"/>
  <c r="G441" i="169"/>
  <c r="F441" i="169"/>
  <c r="E441" i="169"/>
  <c r="D441" i="169"/>
  <c r="P440" i="169"/>
  <c r="U439" i="169"/>
  <c r="T439" i="169"/>
  <c r="S439" i="169"/>
  <c r="R439" i="169"/>
  <c r="Q439" i="169"/>
  <c r="P439" i="169"/>
  <c r="O439" i="169"/>
  <c r="N439" i="169"/>
  <c r="M439" i="169"/>
  <c r="L439" i="169"/>
  <c r="K439" i="169"/>
  <c r="J439" i="169"/>
  <c r="I439" i="169"/>
  <c r="H439" i="169"/>
  <c r="G439" i="169"/>
  <c r="F439" i="169"/>
  <c r="E439" i="169"/>
  <c r="D439" i="169"/>
  <c r="U438" i="169"/>
  <c r="T438" i="169"/>
  <c r="S438" i="169"/>
  <c r="R438" i="169"/>
  <c r="Q438" i="169"/>
  <c r="P438" i="169"/>
  <c r="O438" i="169"/>
  <c r="N438" i="169"/>
  <c r="M438" i="169"/>
  <c r="L438" i="169"/>
  <c r="K438" i="169"/>
  <c r="J438" i="169"/>
  <c r="I438" i="169"/>
  <c r="H438" i="169"/>
  <c r="G438" i="169"/>
  <c r="F438" i="169"/>
  <c r="E438" i="169"/>
  <c r="D438" i="169"/>
  <c r="U437" i="169"/>
  <c r="T437" i="169"/>
  <c r="S437" i="169"/>
  <c r="R437" i="169"/>
  <c r="Q437" i="169"/>
  <c r="P437" i="169"/>
  <c r="O437" i="169"/>
  <c r="N437" i="169"/>
  <c r="M437" i="169"/>
  <c r="L437" i="169"/>
  <c r="K437" i="169"/>
  <c r="J437" i="169"/>
  <c r="I437" i="169"/>
  <c r="H437" i="169"/>
  <c r="G437" i="169"/>
  <c r="F437" i="169"/>
  <c r="E437" i="169"/>
  <c r="D437" i="169"/>
  <c r="U436" i="169"/>
  <c r="T436" i="169"/>
  <c r="S436" i="169"/>
  <c r="R436" i="169"/>
  <c r="Q436" i="169"/>
  <c r="P436" i="169"/>
  <c r="O436" i="169"/>
  <c r="N436" i="169"/>
  <c r="M436" i="169"/>
  <c r="L436" i="169"/>
  <c r="K436" i="169"/>
  <c r="J436" i="169"/>
  <c r="I436" i="169"/>
  <c r="H436" i="169"/>
  <c r="G436" i="169"/>
  <c r="F436" i="169"/>
  <c r="E436" i="169"/>
  <c r="D436" i="169"/>
  <c r="U435" i="169"/>
  <c r="T435" i="169"/>
  <c r="S435" i="169"/>
  <c r="R435" i="169"/>
  <c r="Q435" i="169"/>
  <c r="P435" i="169"/>
  <c r="O435" i="169"/>
  <c r="N435" i="169"/>
  <c r="M435" i="169"/>
  <c r="L435" i="169"/>
  <c r="K435" i="169"/>
  <c r="J435" i="169"/>
  <c r="I435" i="169"/>
  <c r="H435" i="169"/>
  <c r="G435" i="169"/>
  <c r="F435" i="169"/>
  <c r="E435" i="169"/>
  <c r="D435" i="169"/>
  <c r="U434" i="169"/>
  <c r="T434" i="169"/>
  <c r="S434" i="169"/>
  <c r="R434" i="169"/>
  <c r="Q434" i="169"/>
  <c r="P434" i="169"/>
  <c r="O434" i="169"/>
  <c r="N434" i="169"/>
  <c r="M434" i="169"/>
  <c r="L434" i="169"/>
  <c r="K434" i="169"/>
  <c r="J434" i="169"/>
  <c r="I434" i="169"/>
  <c r="H434" i="169"/>
  <c r="G434" i="169"/>
  <c r="F434" i="169"/>
  <c r="E434" i="169"/>
  <c r="D434" i="169"/>
  <c r="U433" i="169"/>
  <c r="T433" i="169"/>
  <c r="S433" i="169"/>
  <c r="R433" i="169"/>
  <c r="Q433" i="169"/>
  <c r="P433" i="169"/>
  <c r="O433" i="169"/>
  <c r="N433" i="169"/>
  <c r="M433" i="169"/>
  <c r="L433" i="169"/>
  <c r="K433" i="169"/>
  <c r="J433" i="169"/>
  <c r="I433" i="169"/>
  <c r="H433" i="169"/>
  <c r="G433" i="169"/>
  <c r="F433" i="169"/>
  <c r="E433" i="169"/>
  <c r="D433" i="169"/>
  <c r="U432" i="169"/>
  <c r="T432" i="169"/>
  <c r="S432" i="169"/>
  <c r="R432" i="169"/>
  <c r="Q432" i="169"/>
  <c r="P432" i="169"/>
  <c r="O432" i="169"/>
  <c r="N432" i="169"/>
  <c r="M432" i="169"/>
  <c r="L432" i="169"/>
  <c r="K432" i="169"/>
  <c r="J432" i="169"/>
  <c r="I432" i="169"/>
  <c r="H432" i="169"/>
  <c r="G432" i="169"/>
  <c r="F432" i="169"/>
  <c r="E432" i="169"/>
  <c r="D432" i="169"/>
  <c r="U431" i="169"/>
  <c r="T431" i="169"/>
  <c r="S431" i="169"/>
  <c r="R431" i="169"/>
  <c r="Q431" i="169"/>
  <c r="P431" i="169"/>
  <c r="O431" i="169"/>
  <c r="N431" i="169"/>
  <c r="M431" i="169"/>
  <c r="L431" i="169"/>
  <c r="K431" i="169"/>
  <c r="J431" i="169"/>
  <c r="I431" i="169"/>
  <c r="H431" i="169"/>
  <c r="G431" i="169"/>
  <c r="F431" i="169"/>
  <c r="E431" i="169"/>
  <c r="D431" i="169"/>
  <c r="U430" i="169"/>
  <c r="T430" i="169"/>
  <c r="S430" i="169"/>
  <c r="R430" i="169"/>
  <c r="Q430" i="169"/>
  <c r="P430" i="169"/>
  <c r="O430" i="169"/>
  <c r="N430" i="169"/>
  <c r="M430" i="169"/>
  <c r="L430" i="169"/>
  <c r="K430" i="169"/>
  <c r="J430" i="169"/>
  <c r="I430" i="169"/>
  <c r="H430" i="169"/>
  <c r="G430" i="169"/>
  <c r="F430" i="169"/>
  <c r="E430" i="169"/>
  <c r="D430" i="169"/>
  <c r="U429" i="169"/>
  <c r="T429" i="169"/>
  <c r="S429" i="169"/>
  <c r="R429" i="169"/>
  <c r="Q429" i="169"/>
  <c r="P429" i="169"/>
  <c r="O429" i="169"/>
  <c r="N429" i="169"/>
  <c r="M429" i="169"/>
  <c r="L429" i="169"/>
  <c r="K429" i="169"/>
  <c r="J429" i="169"/>
  <c r="I429" i="169"/>
  <c r="H429" i="169"/>
  <c r="G429" i="169"/>
  <c r="F429" i="169"/>
  <c r="E429" i="169"/>
  <c r="D429" i="169"/>
  <c r="U428" i="169"/>
  <c r="T428" i="169"/>
  <c r="S428" i="169"/>
  <c r="R428" i="169"/>
  <c r="Q428" i="169"/>
  <c r="P428" i="169"/>
  <c r="O428" i="169"/>
  <c r="N428" i="169"/>
  <c r="M428" i="169"/>
  <c r="L428" i="169"/>
  <c r="K428" i="169"/>
  <c r="J428" i="169"/>
  <c r="I428" i="169"/>
  <c r="H428" i="169"/>
  <c r="G428" i="169"/>
  <c r="F428" i="169"/>
  <c r="E428" i="169"/>
  <c r="D428" i="169"/>
  <c r="U427" i="169"/>
  <c r="T427" i="169"/>
  <c r="S427" i="169"/>
  <c r="R427" i="169"/>
  <c r="Q427" i="169"/>
  <c r="P427" i="169"/>
  <c r="O427" i="169"/>
  <c r="N427" i="169"/>
  <c r="M427" i="169"/>
  <c r="L427" i="169"/>
  <c r="K427" i="169"/>
  <c r="J427" i="169"/>
  <c r="I427" i="169"/>
  <c r="H427" i="169"/>
  <c r="G427" i="169"/>
  <c r="F427" i="169"/>
  <c r="E427" i="169"/>
  <c r="D427" i="169"/>
  <c r="P426" i="169"/>
  <c r="U425" i="169"/>
  <c r="T425" i="169"/>
  <c r="S425" i="169"/>
  <c r="R425" i="169"/>
  <c r="Q425" i="169"/>
  <c r="P425" i="169"/>
  <c r="O425" i="169"/>
  <c r="N425" i="169"/>
  <c r="M425" i="169"/>
  <c r="L425" i="169"/>
  <c r="K425" i="169"/>
  <c r="J425" i="169"/>
  <c r="I425" i="169"/>
  <c r="H425" i="169"/>
  <c r="G425" i="169"/>
  <c r="F425" i="169"/>
  <c r="E425" i="169"/>
  <c r="D425" i="169"/>
  <c r="U424" i="169"/>
  <c r="T424" i="169"/>
  <c r="S424" i="169"/>
  <c r="R424" i="169"/>
  <c r="Q424" i="169"/>
  <c r="P424" i="169"/>
  <c r="O424" i="169"/>
  <c r="N424" i="169"/>
  <c r="M424" i="169"/>
  <c r="L424" i="169"/>
  <c r="K424" i="169"/>
  <c r="J424" i="169"/>
  <c r="I424" i="169"/>
  <c r="H424" i="169"/>
  <c r="G424" i="169"/>
  <c r="F424" i="169"/>
  <c r="E424" i="169"/>
  <c r="D424" i="169"/>
  <c r="U423" i="169"/>
  <c r="T423" i="169"/>
  <c r="S423" i="169"/>
  <c r="R423" i="169"/>
  <c r="Q423" i="169"/>
  <c r="P423" i="169"/>
  <c r="O423" i="169"/>
  <c r="N423" i="169"/>
  <c r="M423" i="169"/>
  <c r="L423" i="169"/>
  <c r="K423" i="169"/>
  <c r="J423" i="169"/>
  <c r="I423" i="169"/>
  <c r="H423" i="169"/>
  <c r="G423" i="169"/>
  <c r="F423" i="169"/>
  <c r="E423" i="169"/>
  <c r="D423" i="169"/>
  <c r="U422" i="169"/>
  <c r="T422" i="169"/>
  <c r="S422" i="169"/>
  <c r="R422" i="169"/>
  <c r="Q422" i="169"/>
  <c r="P422" i="169"/>
  <c r="O422" i="169"/>
  <c r="N422" i="169"/>
  <c r="M422" i="169"/>
  <c r="L422" i="169"/>
  <c r="K422" i="169"/>
  <c r="J422" i="169"/>
  <c r="I422" i="169"/>
  <c r="H422" i="169"/>
  <c r="G422" i="169"/>
  <c r="F422" i="169"/>
  <c r="E422" i="169"/>
  <c r="D422" i="169"/>
  <c r="U421" i="169"/>
  <c r="T421" i="169"/>
  <c r="S421" i="169"/>
  <c r="R421" i="169"/>
  <c r="Q421" i="169"/>
  <c r="P421" i="169"/>
  <c r="O421" i="169"/>
  <c r="N421" i="169"/>
  <c r="M421" i="169"/>
  <c r="L421" i="169"/>
  <c r="K421" i="169"/>
  <c r="J421" i="169"/>
  <c r="I421" i="169"/>
  <c r="H421" i="169"/>
  <c r="G421" i="169"/>
  <c r="F421" i="169"/>
  <c r="E421" i="169"/>
  <c r="D421" i="169"/>
  <c r="U420" i="169"/>
  <c r="T420" i="169"/>
  <c r="S420" i="169"/>
  <c r="R420" i="169"/>
  <c r="Q420" i="169"/>
  <c r="P420" i="169"/>
  <c r="O420" i="169"/>
  <c r="N420" i="169"/>
  <c r="M420" i="169"/>
  <c r="L420" i="169"/>
  <c r="K420" i="169"/>
  <c r="J420" i="169"/>
  <c r="I420" i="169"/>
  <c r="H420" i="169"/>
  <c r="G420" i="169"/>
  <c r="F420" i="169"/>
  <c r="E420" i="169"/>
  <c r="D420" i="169"/>
  <c r="U419" i="169"/>
  <c r="T419" i="169"/>
  <c r="S419" i="169"/>
  <c r="R419" i="169"/>
  <c r="Q419" i="169"/>
  <c r="P419" i="169"/>
  <c r="O419" i="169"/>
  <c r="N419" i="169"/>
  <c r="M419" i="169"/>
  <c r="L419" i="169"/>
  <c r="K419" i="169"/>
  <c r="J419" i="169"/>
  <c r="I419" i="169"/>
  <c r="H419" i="169"/>
  <c r="G419" i="169"/>
  <c r="F419" i="169"/>
  <c r="E419" i="169"/>
  <c r="D419" i="169"/>
  <c r="U413" i="169"/>
  <c r="T413" i="169"/>
  <c r="S413" i="169"/>
  <c r="R413" i="169"/>
  <c r="Q413" i="169"/>
  <c r="P413" i="169"/>
  <c r="O413" i="169"/>
  <c r="N413" i="169"/>
  <c r="M413" i="169"/>
  <c r="L413" i="169"/>
  <c r="K413" i="169"/>
  <c r="J413" i="169"/>
  <c r="I413" i="169"/>
  <c r="H413" i="169"/>
  <c r="G413" i="169"/>
  <c r="F413" i="169"/>
  <c r="E413" i="169"/>
  <c r="D413" i="169"/>
  <c r="U412" i="169"/>
  <c r="T412" i="169"/>
  <c r="S412" i="169"/>
  <c r="R412" i="169"/>
  <c r="Q412" i="169"/>
  <c r="P412" i="169"/>
  <c r="O412" i="169"/>
  <c r="N412" i="169"/>
  <c r="M412" i="169"/>
  <c r="L412" i="169"/>
  <c r="K412" i="169"/>
  <c r="J412" i="169"/>
  <c r="I412" i="169"/>
  <c r="H412" i="169"/>
  <c r="G412" i="169"/>
  <c r="F412" i="169"/>
  <c r="E412" i="169"/>
  <c r="D412" i="169"/>
  <c r="U411" i="169"/>
  <c r="T411" i="169"/>
  <c r="S411" i="169"/>
  <c r="R411" i="169"/>
  <c r="Q411" i="169"/>
  <c r="P411" i="169"/>
  <c r="O411" i="169"/>
  <c r="N411" i="169"/>
  <c r="M411" i="169"/>
  <c r="L411" i="169"/>
  <c r="K411" i="169"/>
  <c r="J411" i="169"/>
  <c r="I411" i="169"/>
  <c r="H411" i="169"/>
  <c r="G411" i="169"/>
  <c r="F411" i="169"/>
  <c r="E411" i="169"/>
  <c r="D411" i="169"/>
  <c r="U410" i="169"/>
  <c r="T410" i="169"/>
  <c r="S410" i="169"/>
  <c r="R410" i="169"/>
  <c r="Q410" i="169"/>
  <c r="P410" i="169"/>
  <c r="O410" i="169"/>
  <c r="N410" i="169"/>
  <c r="M410" i="169"/>
  <c r="L410" i="169"/>
  <c r="K410" i="169"/>
  <c r="J410" i="169"/>
  <c r="I410" i="169"/>
  <c r="H410" i="169"/>
  <c r="G410" i="169"/>
  <c r="F410" i="169"/>
  <c r="E410" i="169"/>
  <c r="D410" i="169"/>
  <c r="U409" i="169"/>
  <c r="T409" i="169"/>
  <c r="S409" i="169"/>
  <c r="R409" i="169"/>
  <c r="Q409" i="169"/>
  <c r="P409" i="169"/>
  <c r="O409" i="169"/>
  <c r="N409" i="169"/>
  <c r="M409" i="169"/>
  <c r="L409" i="169"/>
  <c r="K409" i="169"/>
  <c r="J409" i="169"/>
  <c r="I409" i="169"/>
  <c r="H409" i="169"/>
  <c r="G409" i="169"/>
  <c r="F409" i="169"/>
  <c r="E409" i="169"/>
  <c r="D409" i="169"/>
  <c r="U408" i="169"/>
  <c r="T408" i="169"/>
  <c r="S408" i="169"/>
  <c r="R408" i="169"/>
  <c r="Q408" i="169"/>
  <c r="P408" i="169"/>
  <c r="O408" i="169"/>
  <c r="N408" i="169"/>
  <c r="M408" i="169"/>
  <c r="L408" i="169"/>
  <c r="K408" i="169"/>
  <c r="J408" i="169"/>
  <c r="I408" i="169"/>
  <c r="H408" i="169"/>
  <c r="G408" i="169"/>
  <c r="F408" i="169"/>
  <c r="E408" i="169"/>
  <c r="D408" i="169"/>
  <c r="U407" i="169"/>
  <c r="T407" i="169"/>
  <c r="S407" i="169"/>
  <c r="R407" i="169"/>
  <c r="Q407" i="169"/>
  <c r="P407" i="169"/>
  <c r="O407" i="169"/>
  <c r="N407" i="169"/>
  <c r="M407" i="169"/>
  <c r="L407" i="169"/>
  <c r="K407" i="169"/>
  <c r="J407" i="169"/>
  <c r="I407" i="169"/>
  <c r="H407" i="169"/>
  <c r="G407" i="169"/>
  <c r="F407" i="169"/>
  <c r="E407" i="169"/>
  <c r="D407" i="169"/>
  <c r="U406" i="169"/>
  <c r="T406" i="169"/>
  <c r="S406" i="169"/>
  <c r="R406" i="169"/>
  <c r="Q406" i="169"/>
  <c r="P406" i="169"/>
  <c r="O406" i="169"/>
  <c r="N406" i="169"/>
  <c r="M406" i="169"/>
  <c r="L406" i="169"/>
  <c r="K406" i="169"/>
  <c r="J406" i="169"/>
  <c r="I406" i="169"/>
  <c r="H406" i="169"/>
  <c r="G406" i="169"/>
  <c r="F406" i="169"/>
  <c r="E406" i="169"/>
  <c r="D406" i="169"/>
  <c r="U405" i="169"/>
  <c r="T405" i="169"/>
  <c r="S405" i="169"/>
  <c r="R405" i="169"/>
  <c r="Q405" i="169"/>
  <c r="P405" i="169"/>
  <c r="O405" i="169"/>
  <c r="N405" i="169"/>
  <c r="M405" i="169"/>
  <c r="L405" i="169"/>
  <c r="K405" i="169"/>
  <c r="J405" i="169"/>
  <c r="I405" i="169"/>
  <c r="H405" i="169"/>
  <c r="G405" i="169"/>
  <c r="F405" i="169"/>
  <c r="E405" i="169"/>
  <c r="D405" i="169"/>
  <c r="U404" i="169"/>
  <c r="T404" i="169"/>
  <c r="S404" i="169"/>
  <c r="R404" i="169"/>
  <c r="Q404" i="169"/>
  <c r="P404" i="169"/>
  <c r="O404" i="169"/>
  <c r="N404" i="169"/>
  <c r="M404" i="169"/>
  <c r="L404" i="169"/>
  <c r="K404" i="169"/>
  <c r="J404" i="169"/>
  <c r="I404" i="169"/>
  <c r="H404" i="169"/>
  <c r="G404" i="169"/>
  <c r="F404" i="169"/>
  <c r="E404" i="169"/>
  <c r="D404" i="169"/>
  <c r="P403" i="169"/>
  <c r="U402" i="169"/>
  <c r="T402" i="169"/>
  <c r="S402" i="169"/>
  <c r="R402" i="169"/>
  <c r="Q402" i="169"/>
  <c r="P402" i="169"/>
  <c r="O402" i="169"/>
  <c r="N402" i="169"/>
  <c r="M402" i="169"/>
  <c r="L402" i="169"/>
  <c r="K402" i="169"/>
  <c r="J402" i="169"/>
  <c r="I402" i="169"/>
  <c r="H402" i="169"/>
  <c r="G402" i="169"/>
  <c r="F402" i="169"/>
  <c r="E402" i="169"/>
  <c r="D402" i="169"/>
  <c r="U401" i="169"/>
  <c r="T401" i="169"/>
  <c r="S401" i="169"/>
  <c r="R401" i="169"/>
  <c r="Q401" i="169"/>
  <c r="P401" i="169"/>
  <c r="O401" i="169"/>
  <c r="N401" i="169"/>
  <c r="M401" i="169"/>
  <c r="L401" i="169"/>
  <c r="K401" i="169"/>
  <c r="J401" i="169"/>
  <c r="I401" i="169"/>
  <c r="H401" i="169"/>
  <c r="G401" i="169"/>
  <c r="F401" i="169"/>
  <c r="E401" i="169"/>
  <c r="D401" i="169"/>
  <c r="U400" i="169"/>
  <c r="T400" i="169"/>
  <c r="S400" i="169"/>
  <c r="R400" i="169"/>
  <c r="Q400" i="169"/>
  <c r="P400" i="169"/>
  <c r="O400" i="169"/>
  <c r="N400" i="169"/>
  <c r="M400" i="169"/>
  <c r="L400" i="169"/>
  <c r="K400" i="169"/>
  <c r="J400" i="169"/>
  <c r="I400" i="169"/>
  <c r="H400" i="169"/>
  <c r="G400" i="169"/>
  <c r="F400" i="169"/>
  <c r="E400" i="169"/>
  <c r="D400" i="169"/>
  <c r="U399" i="169"/>
  <c r="T399" i="169"/>
  <c r="S399" i="169"/>
  <c r="R399" i="169"/>
  <c r="Q399" i="169"/>
  <c r="P399" i="169"/>
  <c r="O399" i="169"/>
  <c r="N399" i="169"/>
  <c r="M399" i="169"/>
  <c r="L399" i="169"/>
  <c r="K399" i="169"/>
  <c r="J399" i="169"/>
  <c r="I399" i="169"/>
  <c r="H399" i="169"/>
  <c r="G399" i="169"/>
  <c r="F399" i="169"/>
  <c r="E399" i="169"/>
  <c r="D399" i="169"/>
  <c r="U398" i="169"/>
  <c r="T398" i="169"/>
  <c r="S398" i="169"/>
  <c r="R398" i="169"/>
  <c r="Q398" i="169"/>
  <c r="P398" i="169"/>
  <c r="O398" i="169"/>
  <c r="N398" i="169"/>
  <c r="M398" i="169"/>
  <c r="L398" i="169"/>
  <c r="K398" i="169"/>
  <c r="J398" i="169"/>
  <c r="I398" i="169"/>
  <c r="H398" i="169"/>
  <c r="G398" i="169"/>
  <c r="F398" i="169"/>
  <c r="E398" i="169"/>
  <c r="D398" i="169"/>
  <c r="U397" i="169"/>
  <c r="T397" i="169"/>
  <c r="S397" i="169"/>
  <c r="R397" i="169"/>
  <c r="Q397" i="169"/>
  <c r="P397" i="169"/>
  <c r="O397" i="169"/>
  <c r="N397" i="169"/>
  <c r="M397" i="169"/>
  <c r="L397" i="169"/>
  <c r="K397" i="169"/>
  <c r="J397" i="169"/>
  <c r="I397" i="169"/>
  <c r="H397" i="169"/>
  <c r="G397" i="169"/>
  <c r="F397" i="169"/>
  <c r="E397" i="169"/>
  <c r="D397" i="169"/>
  <c r="U396" i="169"/>
  <c r="T396" i="169"/>
  <c r="S396" i="169"/>
  <c r="R396" i="169"/>
  <c r="Q396" i="169"/>
  <c r="P396" i="169"/>
  <c r="O396" i="169"/>
  <c r="N396" i="169"/>
  <c r="M396" i="169"/>
  <c r="L396" i="169"/>
  <c r="K396" i="169"/>
  <c r="J396" i="169"/>
  <c r="I396" i="169"/>
  <c r="H396" i="169"/>
  <c r="G396" i="169"/>
  <c r="F396" i="169"/>
  <c r="E396" i="169"/>
  <c r="D396" i="169"/>
  <c r="U395" i="169"/>
  <c r="T395" i="169"/>
  <c r="S395" i="169"/>
  <c r="R395" i="169"/>
  <c r="Q395" i="169"/>
  <c r="P395" i="169"/>
  <c r="O395" i="169"/>
  <c r="N395" i="169"/>
  <c r="M395" i="169"/>
  <c r="L395" i="169"/>
  <c r="K395" i="169"/>
  <c r="J395" i="169"/>
  <c r="I395" i="169"/>
  <c r="H395" i="169"/>
  <c r="G395" i="169"/>
  <c r="F395" i="169"/>
  <c r="E395" i="169"/>
  <c r="D395" i="169"/>
  <c r="U394" i="169"/>
  <c r="T394" i="169"/>
  <c r="S394" i="169"/>
  <c r="R394" i="169"/>
  <c r="Q394" i="169"/>
  <c r="P394" i="169"/>
  <c r="O394" i="169"/>
  <c r="N394" i="169"/>
  <c r="M394" i="169"/>
  <c r="L394" i="169"/>
  <c r="K394" i="169"/>
  <c r="J394" i="169"/>
  <c r="I394" i="169"/>
  <c r="H394" i="169"/>
  <c r="G394" i="169"/>
  <c r="F394" i="169"/>
  <c r="E394" i="169"/>
  <c r="D394" i="169"/>
  <c r="U393" i="169"/>
  <c r="T393" i="169"/>
  <c r="S393" i="169"/>
  <c r="R393" i="169"/>
  <c r="Q393" i="169"/>
  <c r="P393" i="169"/>
  <c r="O393" i="169"/>
  <c r="N393" i="169"/>
  <c r="M393" i="169"/>
  <c r="L393" i="169"/>
  <c r="K393" i="169"/>
  <c r="J393" i="169"/>
  <c r="I393" i="169"/>
  <c r="H393" i="169"/>
  <c r="G393" i="169"/>
  <c r="F393" i="169"/>
  <c r="E393" i="169"/>
  <c r="D393" i="169"/>
  <c r="U392" i="169"/>
  <c r="T392" i="169"/>
  <c r="S392" i="169"/>
  <c r="R392" i="169"/>
  <c r="Q392" i="169"/>
  <c r="P392" i="169"/>
  <c r="O392" i="169"/>
  <c r="N392" i="169"/>
  <c r="M392" i="169"/>
  <c r="L392" i="169"/>
  <c r="K392" i="169"/>
  <c r="J392" i="169"/>
  <c r="I392" i="169"/>
  <c r="H392" i="169"/>
  <c r="G392" i="169"/>
  <c r="F392" i="169"/>
  <c r="E392" i="169"/>
  <c r="D392" i="169"/>
  <c r="U391" i="169"/>
  <c r="T391" i="169"/>
  <c r="S391" i="169"/>
  <c r="R391" i="169"/>
  <c r="Q391" i="169"/>
  <c r="P391" i="169"/>
  <c r="O391" i="169"/>
  <c r="N391" i="169"/>
  <c r="M391" i="169"/>
  <c r="L391" i="169"/>
  <c r="K391" i="169"/>
  <c r="J391" i="169"/>
  <c r="I391" i="169"/>
  <c r="H391" i="169"/>
  <c r="G391" i="169"/>
  <c r="F391" i="169"/>
  <c r="E391" i="169"/>
  <c r="D391" i="169"/>
  <c r="U390" i="169"/>
  <c r="T390" i="169"/>
  <c r="S390" i="169"/>
  <c r="R390" i="169"/>
  <c r="Q390" i="169"/>
  <c r="P390" i="169"/>
  <c r="O390" i="169"/>
  <c r="N390" i="169"/>
  <c r="M390" i="169"/>
  <c r="L390" i="169"/>
  <c r="K390" i="169"/>
  <c r="J390" i="169"/>
  <c r="I390" i="169"/>
  <c r="H390" i="169"/>
  <c r="G390" i="169"/>
  <c r="F390" i="169"/>
  <c r="E390" i="169"/>
  <c r="D390" i="169"/>
  <c r="P389" i="169"/>
  <c r="U388" i="169"/>
  <c r="T388" i="169"/>
  <c r="S388" i="169"/>
  <c r="R388" i="169"/>
  <c r="Q388" i="169"/>
  <c r="P388" i="169"/>
  <c r="O388" i="169"/>
  <c r="N388" i="169"/>
  <c r="M388" i="169"/>
  <c r="L388" i="169"/>
  <c r="K388" i="169"/>
  <c r="J388" i="169"/>
  <c r="I388" i="169"/>
  <c r="H388" i="169"/>
  <c r="G388" i="169"/>
  <c r="F388" i="169"/>
  <c r="E388" i="169"/>
  <c r="D388" i="169"/>
  <c r="U387" i="169"/>
  <c r="T387" i="169"/>
  <c r="S387" i="169"/>
  <c r="R387" i="169"/>
  <c r="Q387" i="169"/>
  <c r="P387" i="169"/>
  <c r="O387" i="169"/>
  <c r="N387" i="169"/>
  <c r="M387" i="169"/>
  <c r="L387" i="169"/>
  <c r="K387" i="169"/>
  <c r="J387" i="169"/>
  <c r="I387" i="169"/>
  <c r="H387" i="169"/>
  <c r="G387" i="169"/>
  <c r="F387" i="169"/>
  <c r="E387" i="169"/>
  <c r="D387" i="169"/>
  <c r="U386" i="169"/>
  <c r="T386" i="169"/>
  <c r="S386" i="169"/>
  <c r="R386" i="169"/>
  <c r="Q386" i="169"/>
  <c r="P386" i="169"/>
  <c r="O386" i="169"/>
  <c r="N386" i="169"/>
  <c r="M386" i="169"/>
  <c r="L386" i="169"/>
  <c r="K386" i="169"/>
  <c r="J386" i="169"/>
  <c r="I386" i="169"/>
  <c r="H386" i="169"/>
  <c r="G386" i="169"/>
  <c r="F386" i="169"/>
  <c r="E386" i="169"/>
  <c r="D386" i="169"/>
  <c r="U385" i="169"/>
  <c r="T385" i="169"/>
  <c r="S385" i="169"/>
  <c r="R385" i="169"/>
  <c r="Q385" i="169"/>
  <c r="P385" i="169"/>
  <c r="O385" i="169"/>
  <c r="N385" i="169"/>
  <c r="M385" i="169"/>
  <c r="L385" i="169"/>
  <c r="K385" i="169"/>
  <c r="J385" i="169"/>
  <c r="I385" i="169"/>
  <c r="H385" i="169"/>
  <c r="G385" i="169"/>
  <c r="F385" i="169"/>
  <c r="E385" i="169"/>
  <c r="D385" i="169"/>
  <c r="U384" i="169"/>
  <c r="T384" i="169"/>
  <c r="S384" i="169"/>
  <c r="R384" i="169"/>
  <c r="Q384" i="169"/>
  <c r="P384" i="169"/>
  <c r="O384" i="169"/>
  <c r="N384" i="169"/>
  <c r="M384" i="169"/>
  <c r="L384" i="169"/>
  <c r="K384" i="169"/>
  <c r="J384" i="169"/>
  <c r="I384" i="169"/>
  <c r="H384" i="169"/>
  <c r="G384" i="169"/>
  <c r="F384" i="169"/>
  <c r="E384" i="169"/>
  <c r="D384" i="169"/>
  <c r="U383" i="169"/>
  <c r="T383" i="169"/>
  <c r="S383" i="169"/>
  <c r="R383" i="169"/>
  <c r="Q383" i="169"/>
  <c r="P383" i="169"/>
  <c r="O383" i="169"/>
  <c r="N383" i="169"/>
  <c r="M383" i="169"/>
  <c r="L383" i="169"/>
  <c r="K383" i="169"/>
  <c r="J383" i="169"/>
  <c r="I383" i="169"/>
  <c r="H383" i="169"/>
  <c r="G383" i="169"/>
  <c r="F383" i="169"/>
  <c r="E383" i="169"/>
  <c r="D383" i="169"/>
  <c r="U382" i="169"/>
  <c r="T382" i="169"/>
  <c r="S382" i="169"/>
  <c r="R382" i="169"/>
  <c r="Q382" i="169"/>
  <c r="P382" i="169"/>
  <c r="O382" i="169"/>
  <c r="N382" i="169"/>
  <c r="M382" i="169"/>
  <c r="L382" i="169"/>
  <c r="K382" i="169"/>
  <c r="J382" i="169"/>
  <c r="I382" i="169"/>
  <c r="H382" i="169"/>
  <c r="G382" i="169"/>
  <c r="F382" i="169"/>
  <c r="E382" i="169"/>
  <c r="D382" i="169"/>
  <c r="U376" i="169"/>
  <c r="T376" i="169"/>
  <c r="S376" i="169"/>
  <c r="R376" i="169"/>
  <c r="Q376" i="169"/>
  <c r="P376" i="169"/>
  <c r="O376" i="169"/>
  <c r="N376" i="169"/>
  <c r="M376" i="169"/>
  <c r="L376" i="169"/>
  <c r="K376" i="169"/>
  <c r="J376" i="169"/>
  <c r="I376" i="169"/>
  <c r="H376" i="169"/>
  <c r="G376" i="169"/>
  <c r="F376" i="169"/>
  <c r="E376" i="169"/>
  <c r="D376" i="169"/>
  <c r="U375" i="169"/>
  <c r="T375" i="169"/>
  <c r="S375" i="169"/>
  <c r="R375" i="169"/>
  <c r="Q375" i="169"/>
  <c r="P375" i="169"/>
  <c r="O375" i="169"/>
  <c r="N375" i="169"/>
  <c r="M375" i="169"/>
  <c r="L375" i="169"/>
  <c r="K375" i="169"/>
  <c r="J375" i="169"/>
  <c r="I375" i="169"/>
  <c r="H375" i="169"/>
  <c r="G375" i="169"/>
  <c r="F375" i="169"/>
  <c r="E375" i="169"/>
  <c r="D375" i="169"/>
  <c r="U374" i="169"/>
  <c r="T374" i="169"/>
  <c r="S374" i="169"/>
  <c r="R374" i="169"/>
  <c r="Q374" i="169"/>
  <c r="P374" i="169"/>
  <c r="O374" i="169"/>
  <c r="N374" i="169"/>
  <c r="M374" i="169"/>
  <c r="L374" i="169"/>
  <c r="K374" i="169"/>
  <c r="J374" i="169"/>
  <c r="I374" i="169"/>
  <c r="H374" i="169"/>
  <c r="G374" i="169"/>
  <c r="F374" i="169"/>
  <c r="E374" i="169"/>
  <c r="D374" i="169"/>
  <c r="U373" i="169"/>
  <c r="T373" i="169"/>
  <c r="S373" i="169"/>
  <c r="R373" i="169"/>
  <c r="Q373" i="169"/>
  <c r="P373" i="169"/>
  <c r="O373" i="169"/>
  <c r="N373" i="169"/>
  <c r="M373" i="169"/>
  <c r="L373" i="169"/>
  <c r="K373" i="169"/>
  <c r="J373" i="169"/>
  <c r="I373" i="169"/>
  <c r="H373" i="169"/>
  <c r="G373" i="169"/>
  <c r="F373" i="169"/>
  <c r="E373" i="169"/>
  <c r="D373" i="169"/>
  <c r="U372" i="169"/>
  <c r="T372" i="169"/>
  <c r="S372" i="169"/>
  <c r="R372" i="169"/>
  <c r="Q372" i="169"/>
  <c r="P372" i="169"/>
  <c r="O372" i="169"/>
  <c r="N372" i="169"/>
  <c r="M372" i="169"/>
  <c r="L372" i="169"/>
  <c r="K372" i="169"/>
  <c r="J372" i="169"/>
  <c r="I372" i="169"/>
  <c r="H372" i="169"/>
  <c r="G372" i="169"/>
  <c r="F372" i="169"/>
  <c r="E372" i="169"/>
  <c r="D372" i="169"/>
  <c r="U371" i="169"/>
  <c r="T371" i="169"/>
  <c r="S371" i="169"/>
  <c r="R371" i="169"/>
  <c r="Q371" i="169"/>
  <c r="P371" i="169"/>
  <c r="O371" i="169"/>
  <c r="N371" i="169"/>
  <c r="M371" i="169"/>
  <c r="L371" i="169"/>
  <c r="K371" i="169"/>
  <c r="J371" i="169"/>
  <c r="I371" i="169"/>
  <c r="H371" i="169"/>
  <c r="G371" i="169"/>
  <c r="F371" i="169"/>
  <c r="E371" i="169"/>
  <c r="D371" i="169"/>
  <c r="U370" i="169"/>
  <c r="T370" i="169"/>
  <c r="S370" i="169"/>
  <c r="R370" i="169"/>
  <c r="Q370" i="169"/>
  <c r="P370" i="169"/>
  <c r="O370" i="169"/>
  <c r="N370" i="169"/>
  <c r="M370" i="169"/>
  <c r="L370" i="169"/>
  <c r="K370" i="169"/>
  <c r="J370" i="169"/>
  <c r="I370" i="169"/>
  <c r="H370" i="169"/>
  <c r="G370" i="169"/>
  <c r="F370" i="169"/>
  <c r="E370" i="169"/>
  <c r="D370" i="169"/>
  <c r="U369" i="169"/>
  <c r="T369" i="169"/>
  <c r="S369" i="169"/>
  <c r="R369" i="169"/>
  <c r="Q369" i="169"/>
  <c r="P369" i="169"/>
  <c r="O369" i="169"/>
  <c r="N369" i="169"/>
  <c r="M369" i="169"/>
  <c r="L369" i="169"/>
  <c r="K369" i="169"/>
  <c r="J369" i="169"/>
  <c r="I369" i="169"/>
  <c r="H369" i="169"/>
  <c r="G369" i="169"/>
  <c r="F369" i="169"/>
  <c r="E369" i="169"/>
  <c r="D369" i="169"/>
  <c r="U368" i="169"/>
  <c r="T368" i="169"/>
  <c r="S368" i="169"/>
  <c r="R368" i="169"/>
  <c r="Q368" i="169"/>
  <c r="P368" i="169"/>
  <c r="O368" i="169"/>
  <c r="N368" i="169"/>
  <c r="M368" i="169"/>
  <c r="L368" i="169"/>
  <c r="K368" i="169"/>
  <c r="J368" i="169"/>
  <c r="I368" i="169"/>
  <c r="H368" i="169"/>
  <c r="G368" i="169"/>
  <c r="F368" i="169"/>
  <c r="E368" i="169"/>
  <c r="D368" i="169"/>
  <c r="U367" i="169"/>
  <c r="T367" i="169"/>
  <c r="S367" i="169"/>
  <c r="R367" i="169"/>
  <c r="Q367" i="169"/>
  <c r="P367" i="169"/>
  <c r="O367" i="169"/>
  <c r="N367" i="169"/>
  <c r="M367" i="169"/>
  <c r="L367" i="169"/>
  <c r="K367" i="169"/>
  <c r="J367" i="169"/>
  <c r="I367" i="169"/>
  <c r="H367" i="169"/>
  <c r="G367" i="169"/>
  <c r="F367" i="169"/>
  <c r="E367" i="169"/>
  <c r="D367" i="169"/>
  <c r="P366" i="169"/>
  <c r="U365" i="169"/>
  <c r="T365" i="169"/>
  <c r="S365" i="169"/>
  <c r="R365" i="169"/>
  <c r="Q365" i="169"/>
  <c r="P365" i="169"/>
  <c r="O365" i="169"/>
  <c r="N365" i="169"/>
  <c r="M365" i="169"/>
  <c r="L365" i="169"/>
  <c r="K365" i="169"/>
  <c r="J365" i="169"/>
  <c r="I365" i="169"/>
  <c r="H365" i="169"/>
  <c r="G365" i="169"/>
  <c r="F365" i="169"/>
  <c r="E365" i="169"/>
  <c r="D365" i="169"/>
  <c r="U364" i="169"/>
  <c r="T364" i="169"/>
  <c r="S364" i="169"/>
  <c r="R364" i="169"/>
  <c r="Q364" i="169"/>
  <c r="P364" i="169"/>
  <c r="O364" i="169"/>
  <c r="N364" i="169"/>
  <c r="M364" i="169"/>
  <c r="L364" i="169"/>
  <c r="K364" i="169"/>
  <c r="J364" i="169"/>
  <c r="I364" i="169"/>
  <c r="H364" i="169"/>
  <c r="G364" i="169"/>
  <c r="F364" i="169"/>
  <c r="E364" i="169"/>
  <c r="D364" i="169"/>
  <c r="U363" i="169"/>
  <c r="T363" i="169"/>
  <c r="S363" i="169"/>
  <c r="R363" i="169"/>
  <c r="Q363" i="169"/>
  <c r="P363" i="169"/>
  <c r="O363" i="169"/>
  <c r="N363" i="169"/>
  <c r="M363" i="169"/>
  <c r="L363" i="169"/>
  <c r="K363" i="169"/>
  <c r="J363" i="169"/>
  <c r="I363" i="169"/>
  <c r="H363" i="169"/>
  <c r="G363" i="169"/>
  <c r="F363" i="169"/>
  <c r="E363" i="169"/>
  <c r="D363" i="169"/>
  <c r="U362" i="169"/>
  <c r="T362" i="169"/>
  <c r="S362" i="169"/>
  <c r="R362" i="169"/>
  <c r="Q362" i="169"/>
  <c r="P362" i="169"/>
  <c r="O362" i="169"/>
  <c r="N362" i="169"/>
  <c r="M362" i="169"/>
  <c r="L362" i="169"/>
  <c r="K362" i="169"/>
  <c r="J362" i="169"/>
  <c r="I362" i="169"/>
  <c r="H362" i="169"/>
  <c r="G362" i="169"/>
  <c r="F362" i="169"/>
  <c r="E362" i="169"/>
  <c r="D362" i="169"/>
  <c r="U361" i="169"/>
  <c r="T361" i="169"/>
  <c r="S361" i="169"/>
  <c r="R361" i="169"/>
  <c r="Q361" i="169"/>
  <c r="P361" i="169"/>
  <c r="O361" i="169"/>
  <c r="N361" i="169"/>
  <c r="M361" i="169"/>
  <c r="L361" i="169"/>
  <c r="K361" i="169"/>
  <c r="J361" i="169"/>
  <c r="I361" i="169"/>
  <c r="H361" i="169"/>
  <c r="G361" i="169"/>
  <c r="F361" i="169"/>
  <c r="E361" i="169"/>
  <c r="D361" i="169"/>
  <c r="U360" i="169"/>
  <c r="T360" i="169"/>
  <c r="S360" i="169"/>
  <c r="R360" i="169"/>
  <c r="Q360" i="169"/>
  <c r="P360" i="169"/>
  <c r="O360" i="169"/>
  <c r="N360" i="169"/>
  <c r="M360" i="169"/>
  <c r="L360" i="169"/>
  <c r="K360" i="169"/>
  <c r="J360" i="169"/>
  <c r="I360" i="169"/>
  <c r="H360" i="169"/>
  <c r="G360" i="169"/>
  <c r="F360" i="169"/>
  <c r="E360" i="169"/>
  <c r="D360" i="169"/>
  <c r="U359" i="169"/>
  <c r="T359" i="169"/>
  <c r="S359" i="169"/>
  <c r="R359" i="169"/>
  <c r="Q359" i="169"/>
  <c r="P359" i="169"/>
  <c r="O359" i="169"/>
  <c r="N359" i="169"/>
  <c r="M359" i="169"/>
  <c r="L359" i="169"/>
  <c r="K359" i="169"/>
  <c r="J359" i="169"/>
  <c r="I359" i="169"/>
  <c r="H359" i="169"/>
  <c r="G359" i="169"/>
  <c r="F359" i="169"/>
  <c r="E359" i="169"/>
  <c r="D359" i="169"/>
  <c r="U358" i="169"/>
  <c r="T358" i="169"/>
  <c r="S358" i="169"/>
  <c r="R358" i="169"/>
  <c r="Q358" i="169"/>
  <c r="P358" i="169"/>
  <c r="O358" i="169"/>
  <c r="N358" i="169"/>
  <c r="M358" i="169"/>
  <c r="L358" i="169"/>
  <c r="K358" i="169"/>
  <c r="J358" i="169"/>
  <c r="I358" i="169"/>
  <c r="H358" i="169"/>
  <c r="G358" i="169"/>
  <c r="F358" i="169"/>
  <c r="E358" i="169"/>
  <c r="D358" i="169"/>
  <c r="U357" i="169"/>
  <c r="T357" i="169"/>
  <c r="S357" i="169"/>
  <c r="R357" i="169"/>
  <c r="Q357" i="169"/>
  <c r="P357" i="169"/>
  <c r="O357" i="169"/>
  <c r="N357" i="169"/>
  <c r="M357" i="169"/>
  <c r="L357" i="169"/>
  <c r="K357" i="169"/>
  <c r="J357" i="169"/>
  <c r="I357" i="169"/>
  <c r="H357" i="169"/>
  <c r="G357" i="169"/>
  <c r="F357" i="169"/>
  <c r="E357" i="169"/>
  <c r="D357" i="169"/>
  <c r="U356" i="169"/>
  <c r="T356" i="169"/>
  <c r="S356" i="169"/>
  <c r="R356" i="169"/>
  <c r="Q356" i="169"/>
  <c r="P356" i="169"/>
  <c r="O356" i="169"/>
  <c r="N356" i="169"/>
  <c r="M356" i="169"/>
  <c r="L356" i="169"/>
  <c r="K356" i="169"/>
  <c r="J356" i="169"/>
  <c r="I356" i="169"/>
  <c r="H356" i="169"/>
  <c r="G356" i="169"/>
  <c r="F356" i="169"/>
  <c r="E356" i="169"/>
  <c r="D356" i="169"/>
  <c r="U355" i="169"/>
  <c r="T355" i="169"/>
  <c r="S355" i="169"/>
  <c r="R355" i="169"/>
  <c r="Q355" i="169"/>
  <c r="P355" i="169"/>
  <c r="O355" i="169"/>
  <c r="N355" i="169"/>
  <c r="M355" i="169"/>
  <c r="L355" i="169"/>
  <c r="K355" i="169"/>
  <c r="J355" i="169"/>
  <c r="I355" i="169"/>
  <c r="H355" i="169"/>
  <c r="G355" i="169"/>
  <c r="F355" i="169"/>
  <c r="E355" i="169"/>
  <c r="D355" i="169"/>
  <c r="U354" i="169"/>
  <c r="T354" i="169"/>
  <c r="S354" i="169"/>
  <c r="R354" i="169"/>
  <c r="Q354" i="169"/>
  <c r="P354" i="169"/>
  <c r="O354" i="169"/>
  <c r="N354" i="169"/>
  <c r="M354" i="169"/>
  <c r="L354" i="169"/>
  <c r="K354" i="169"/>
  <c r="J354" i="169"/>
  <c r="I354" i="169"/>
  <c r="H354" i="169"/>
  <c r="G354" i="169"/>
  <c r="F354" i="169"/>
  <c r="E354" i="169"/>
  <c r="D354" i="169"/>
  <c r="U353" i="169"/>
  <c r="T353" i="169"/>
  <c r="S353" i="169"/>
  <c r="R353" i="169"/>
  <c r="Q353" i="169"/>
  <c r="P353" i="169"/>
  <c r="O353" i="169"/>
  <c r="N353" i="169"/>
  <c r="M353" i="169"/>
  <c r="L353" i="169"/>
  <c r="K353" i="169"/>
  <c r="J353" i="169"/>
  <c r="I353" i="169"/>
  <c r="H353" i="169"/>
  <c r="G353" i="169"/>
  <c r="F353" i="169"/>
  <c r="E353" i="169"/>
  <c r="D353" i="169"/>
  <c r="P352" i="169"/>
  <c r="U351" i="169"/>
  <c r="T351" i="169"/>
  <c r="S351" i="169"/>
  <c r="R351" i="169"/>
  <c r="Q351" i="169"/>
  <c r="P351" i="169"/>
  <c r="O351" i="169"/>
  <c r="N351" i="169"/>
  <c r="M351" i="169"/>
  <c r="L351" i="169"/>
  <c r="K351" i="169"/>
  <c r="J351" i="169"/>
  <c r="I351" i="169"/>
  <c r="H351" i="169"/>
  <c r="G351" i="169"/>
  <c r="F351" i="169"/>
  <c r="E351" i="169"/>
  <c r="D351" i="169"/>
  <c r="U350" i="169"/>
  <c r="T350" i="169"/>
  <c r="S350" i="169"/>
  <c r="R350" i="169"/>
  <c r="Q350" i="169"/>
  <c r="P350" i="169"/>
  <c r="O350" i="169"/>
  <c r="N350" i="169"/>
  <c r="M350" i="169"/>
  <c r="L350" i="169"/>
  <c r="K350" i="169"/>
  <c r="J350" i="169"/>
  <c r="I350" i="169"/>
  <c r="H350" i="169"/>
  <c r="G350" i="169"/>
  <c r="F350" i="169"/>
  <c r="E350" i="169"/>
  <c r="D350" i="169"/>
  <c r="U349" i="169"/>
  <c r="T349" i="169"/>
  <c r="S349" i="169"/>
  <c r="R349" i="169"/>
  <c r="Q349" i="169"/>
  <c r="P349" i="169"/>
  <c r="O349" i="169"/>
  <c r="N349" i="169"/>
  <c r="M349" i="169"/>
  <c r="L349" i="169"/>
  <c r="K349" i="169"/>
  <c r="J349" i="169"/>
  <c r="I349" i="169"/>
  <c r="H349" i="169"/>
  <c r="G349" i="169"/>
  <c r="F349" i="169"/>
  <c r="E349" i="169"/>
  <c r="D349" i="169"/>
  <c r="U348" i="169"/>
  <c r="T348" i="169"/>
  <c r="S348" i="169"/>
  <c r="R348" i="169"/>
  <c r="Q348" i="169"/>
  <c r="P348" i="169"/>
  <c r="O348" i="169"/>
  <c r="N348" i="169"/>
  <c r="M348" i="169"/>
  <c r="L348" i="169"/>
  <c r="K348" i="169"/>
  <c r="J348" i="169"/>
  <c r="I348" i="169"/>
  <c r="H348" i="169"/>
  <c r="G348" i="169"/>
  <c r="F348" i="169"/>
  <c r="E348" i="169"/>
  <c r="D348" i="169"/>
  <c r="U347" i="169"/>
  <c r="T347" i="169"/>
  <c r="S347" i="169"/>
  <c r="R347" i="169"/>
  <c r="Q347" i="169"/>
  <c r="P347" i="169"/>
  <c r="O347" i="169"/>
  <c r="N347" i="169"/>
  <c r="M347" i="169"/>
  <c r="L347" i="169"/>
  <c r="K347" i="169"/>
  <c r="J347" i="169"/>
  <c r="I347" i="169"/>
  <c r="H347" i="169"/>
  <c r="G347" i="169"/>
  <c r="F347" i="169"/>
  <c r="E347" i="169"/>
  <c r="D347" i="169"/>
  <c r="U346" i="169"/>
  <c r="T346" i="169"/>
  <c r="S346" i="169"/>
  <c r="R346" i="169"/>
  <c r="Q346" i="169"/>
  <c r="P346" i="169"/>
  <c r="O346" i="169"/>
  <c r="N346" i="169"/>
  <c r="M346" i="169"/>
  <c r="L346" i="169"/>
  <c r="K346" i="169"/>
  <c r="J346" i="169"/>
  <c r="I346" i="169"/>
  <c r="H346" i="169"/>
  <c r="G346" i="169"/>
  <c r="F346" i="169"/>
  <c r="E346" i="169"/>
  <c r="D346" i="169"/>
  <c r="U345" i="169"/>
  <c r="T345" i="169"/>
  <c r="S345" i="169"/>
  <c r="R345" i="169"/>
  <c r="Q345" i="169"/>
  <c r="P345" i="169"/>
  <c r="O345" i="169"/>
  <c r="N345" i="169"/>
  <c r="M345" i="169"/>
  <c r="L345" i="169"/>
  <c r="K345" i="169"/>
  <c r="J345" i="169"/>
  <c r="I345" i="169"/>
  <c r="H345" i="169"/>
  <c r="G345" i="169"/>
  <c r="F345" i="169"/>
  <c r="E345" i="169"/>
  <c r="D345" i="169"/>
  <c r="U339" i="169"/>
  <c r="T339" i="169"/>
  <c r="S339" i="169"/>
  <c r="R339" i="169"/>
  <c r="Q339" i="169"/>
  <c r="P339" i="169"/>
  <c r="O339" i="169"/>
  <c r="N339" i="169"/>
  <c r="M339" i="169"/>
  <c r="L339" i="169"/>
  <c r="K339" i="169"/>
  <c r="J339" i="169"/>
  <c r="I339" i="169"/>
  <c r="H339" i="169"/>
  <c r="G339" i="169"/>
  <c r="F339" i="169"/>
  <c r="E339" i="169"/>
  <c r="D339" i="169"/>
  <c r="U338" i="169"/>
  <c r="T338" i="169"/>
  <c r="S338" i="169"/>
  <c r="R338" i="169"/>
  <c r="Q338" i="169"/>
  <c r="P338" i="169"/>
  <c r="O338" i="169"/>
  <c r="N338" i="169"/>
  <c r="M338" i="169"/>
  <c r="L338" i="169"/>
  <c r="K338" i="169"/>
  <c r="J338" i="169"/>
  <c r="I338" i="169"/>
  <c r="H338" i="169"/>
  <c r="G338" i="169"/>
  <c r="F338" i="169"/>
  <c r="E338" i="169"/>
  <c r="D338" i="169"/>
  <c r="U337" i="169"/>
  <c r="T337" i="169"/>
  <c r="S337" i="169"/>
  <c r="R337" i="169"/>
  <c r="Q337" i="169"/>
  <c r="P337" i="169"/>
  <c r="O337" i="169"/>
  <c r="N337" i="169"/>
  <c r="M337" i="169"/>
  <c r="L337" i="169"/>
  <c r="K337" i="169"/>
  <c r="J337" i="169"/>
  <c r="I337" i="169"/>
  <c r="H337" i="169"/>
  <c r="G337" i="169"/>
  <c r="F337" i="169"/>
  <c r="E337" i="169"/>
  <c r="D337" i="169"/>
  <c r="U336" i="169"/>
  <c r="T336" i="169"/>
  <c r="S336" i="169"/>
  <c r="R336" i="169"/>
  <c r="Q336" i="169"/>
  <c r="P336" i="169"/>
  <c r="O336" i="169"/>
  <c r="N336" i="169"/>
  <c r="M336" i="169"/>
  <c r="L336" i="169"/>
  <c r="K336" i="169"/>
  <c r="J336" i="169"/>
  <c r="I336" i="169"/>
  <c r="H336" i="169"/>
  <c r="G336" i="169"/>
  <c r="F336" i="169"/>
  <c r="E336" i="169"/>
  <c r="D336" i="169"/>
  <c r="U335" i="169"/>
  <c r="T335" i="169"/>
  <c r="S335" i="169"/>
  <c r="R335" i="169"/>
  <c r="Q335" i="169"/>
  <c r="P335" i="169"/>
  <c r="O335" i="169"/>
  <c r="N335" i="169"/>
  <c r="M335" i="169"/>
  <c r="L335" i="169"/>
  <c r="K335" i="169"/>
  <c r="J335" i="169"/>
  <c r="I335" i="169"/>
  <c r="H335" i="169"/>
  <c r="G335" i="169"/>
  <c r="F335" i="169"/>
  <c r="E335" i="169"/>
  <c r="D335" i="169"/>
  <c r="U334" i="169"/>
  <c r="T334" i="169"/>
  <c r="S334" i="169"/>
  <c r="R334" i="169"/>
  <c r="Q334" i="169"/>
  <c r="P334" i="169"/>
  <c r="O334" i="169"/>
  <c r="N334" i="169"/>
  <c r="M334" i="169"/>
  <c r="L334" i="169"/>
  <c r="K334" i="169"/>
  <c r="J334" i="169"/>
  <c r="I334" i="169"/>
  <c r="H334" i="169"/>
  <c r="G334" i="169"/>
  <c r="F334" i="169"/>
  <c r="E334" i="169"/>
  <c r="D334" i="169"/>
  <c r="U333" i="169"/>
  <c r="T333" i="169"/>
  <c r="S333" i="169"/>
  <c r="R333" i="169"/>
  <c r="Q333" i="169"/>
  <c r="P333" i="169"/>
  <c r="O333" i="169"/>
  <c r="N333" i="169"/>
  <c r="M333" i="169"/>
  <c r="L333" i="169"/>
  <c r="K333" i="169"/>
  <c r="J333" i="169"/>
  <c r="I333" i="169"/>
  <c r="H333" i="169"/>
  <c r="G333" i="169"/>
  <c r="F333" i="169"/>
  <c r="E333" i="169"/>
  <c r="D333" i="169"/>
  <c r="U332" i="169"/>
  <c r="T332" i="169"/>
  <c r="S332" i="169"/>
  <c r="R332" i="169"/>
  <c r="Q332" i="169"/>
  <c r="P332" i="169"/>
  <c r="O332" i="169"/>
  <c r="N332" i="169"/>
  <c r="M332" i="169"/>
  <c r="L332" i="169"/>
  <c r="K332" i="169"/>
  <c r="J332" i="169"/>
  <c r="I332" i="169"/>
  <c r="H332" i="169"/>
  <c r="G332" i="169"/>
  <c r="F332" i="169"/>
  <c r="E332" i="169"/>
  <c r="D332" i="169"/>
  <c r="U331" i="169"/>
  <c r="T331" i="169"/>
  <c r="S331" i="169"/>
  <c r="R331" i="169"/>
  <c r="Q331" i="169"/>
  <c r="P331" i="169"/>
  <c r="O331" i="169"/>
  <c r="N331" i="169"/>
  <c r="M331" i="169"/>
  <c r="L331" i="169"/>
  <c r="K331" i="169"/>
  <c r="J331" i="169"/>
  <c r="I331" i="169"/>
  <c r="H331" i="169"/>
  <c r="G331" i="169"/>
  <c r="F331" i="169"/>
  <c r="E331" i="169"/>
  <c r="D331" i="169"/>
  <c r="U330" i="169"/>
  <c r="T330" i="169"/>
  <c r="S330" i="169"/>
  <c r="R330" i="169"/>
  <c r="Q330" i="169"/>
  <c r="P330" i="169"/>
  <c r="O330" i="169"/>
  <c r="N330" i="169"/>
  <c r="M330" i="169"/>
  <c r="L330" i="169"/>
  <c r="K330" i="169"/>
  <c r="J330" i="169"/>
  <c r="I330" i="169"/>
  <c r="H330" i="169"/>
  <c r="G330" i="169"/>
  <c r="F330" i="169"/>
  <c r="E330" i="169"/>
  <c r="D330" i="169"/>
  <c r="P329" i="169"/>
  <c r="U328" i="169"/>
  <c r="T328" i="169"/>
  <c r="S328" i="169"/>
  <c r="R328" i="169"/>
  <c r="Q328" i="169"/>
  <c r="P328" i="169"/>
  <c r="O328" i="169"/>
  <c r="N328" i="169"/>
  <c r="M328" i="169"/>
  <c r="L328" i="169"/>
  <c r="K328" i="169"/>
  <c r="J328" i="169"/>
  <c r="I328" i="169"/>
  <c r="H328" i="169"/>
  <c r="G328" i="169"/>
  <c r="F328" i="169"/>
  <c r="E328" i="169"/>
  <c r="D328" i="169"/>
  <c r="U327" i="169"/>
  <c r="T327" i="169"/>
  <c r="S327" i="169"/>
  <c r="R327" i="169"/>
  <c r="Q327" i="169"/>
  <c r="P327" i="169"/>
  <c r="O327" i="169"/>
  <c r="N327" i="169"/>
  <c r="M327" i="169"/>
  <c r="L327" i="169"/>
  <c r="K327" i="169"/>
  <c r="J327" i="169"/>
  <c r="I327" i="169"/>
  <c r="H327" i="169"/>
  <c r="G327" i="169"/>
  <c r="F327" i="169"/>
  <c r="E327" i="169"/>
  <c r="D327" i="169"/>
  <c r="U326" i="169"/>
  <c r="T326" i="169"/>
  <c r="S326" i="169"/>
  <c r="R326" i="169"/>
  <c r="Q326" i="169"/>
  <c r="P326" i="169"/>
  <c r="O326" i="169"/>
  <c r="N326" i="169"/>
  <c r="M326" i="169"/>
  <c r="L326" i="169"/>
  <c r="K326" i="169"/>
  <c r="J326" i="169"/>
  <c r="I326" i="169"/>
  <c r="H326" i="169"/>
  <c r="G326" i="169"/>
  <c r="F326" i="169"/>
  <c r="E326" i="169"/>
  <c r="D326" i="169"/>
  <c r="U325" i="169"/>
  <c r="T325" i="169"/>
  <c r="S325" i="169"/>
  <c r="R325" i="169"/>
  <c r="Q325" i="169"/>
  <c r="P325" i="169"/>
  <c r="O325" i="169"/>
  <c r="N325" i="169"/>
  <c r="M325" i="169"/>
  <c r="L325" i="169"/>
  <c r="K325" i="169"/>
  <c r="J325" i="169"/>
  <c r="I325" i="169"/>
  <c r="H325" i="169"/>
  <c r="G325" i="169"/>
  <c r="F325" i="169"/>
  <c r="E325" i="169"/>
  <c r="D325" i="169"/>
  <c r="U324" i="169"/>
  <c r="T324" i="169"/>
  <c r="S324" i="169"/>
  <c r="R324" i="169"/>
  <c r="Q324" i="169"/>
  <c r="P324" i="169"/>
  <c r="O324" i="169"/>
  <c r="N324" i="169"/>
  <c r="M324" i="169"/>
  <c r="L324" i="169"/>
  <c r="K324" i="169"/>
  <c r="J324" i="169"/>
  <c r="I324" i="169"/>
  <c r="H324" i="169"/>
  <c r="G324" i="169"/>
  <c r="F324" i="169"/>
  <c r="E324" i="169"/>
  <c r="D324" i="169"/>
  <c r="U323" i="169"/>
  <c r="T323" i="169"/>
  <c r="S323" i="169"/>
  <c r="R323" i="169"/>
  <c r="Q323" i="169"/>
  <c r="P323" i="169"/>
  <c r="O323" i="169"/>
  <c r="N323" i="169"/>
  <c r="M323" i="169"/>
  <c r="L323" i="169"/>
  <c r="K323" i="169"/>
  <c r="J323" i="169"/>
  <c r="I323" i="169"/>
  <c r="H323" i="169"/>
  <c r="G323" i="169"/>
  <c r="F323" i="169"/>
  <c r="E323" i="169"/>
  <c r="D323" i="169"/>
  <c r="U322" i="169"/>
  <c r="T322" i="169"/>
  <c r="S322" i="169"/>
  <c r="R322" i="169"/>
  <c r="Q322" i="169"/>
  <c r="P322" i="169"/>
  <c r="O322" i="169"/>
  <c r="N322" i="169"/>
  <c r="M322" i="169"/>
  <c r="L322" i="169"/>
  <c r="K322" i="169"/>
  <c r="J322" i="169"/>
  <c r="I322" i="169"/>
  <c r="H322" i="169"/>
  <c r="G322" i="169"/>
  <c r="F322" i="169"/>
  <c r="E322" i="169"/>
  <c r="D322" i="169"/>
  <c r="U321" i="169"/>
  <c r="T321" i="169"/>
  <c r="S321" i="169"/>
  <c r="R321" i="169"/>
  <c r="Q321" i="169"/>
  <c r="P321" i="169"/>
  <c r="O321" i="169"/>
  <c r="N321" i="169"/>
  <c r="M321" i="169"/>
  <c r="L321" i="169"/>
  <c r="K321" i="169"/>
  <c r="J321" i="169"/>
  <c r="I321" i="169"/>
  <c r="H321" i="169"/>
  <c r="G321" i="169"/>
  <c r="F321" i="169"/>
  <c r="E321" i="169"/>
  <c r="D321" i="169"/>
  <c r="U320" i="169"/>
  <c r="T320" i="169"/>
  <c r="S320" i="169"/>
  <c r="R320" i="169"/>
  <c r="Q320" i="169"/>
  <c r="P320" i="169"/>
  <c r="O320" i="169"/>
  <c r="N320" i="169"/>
  <c r="M320" i="169"/>
  <c r="L320" i="169"/>
  <c r="K320" i="169"/>
  <c r="J320" i="169"/>
  <c r="I320" i="169"/>
  <c r="H320" i="169"/>
  <c r="G320" i="169"/>
  <c r="F320" i="169"/>
  <c r="E320" i="169"/>
  <c r="D320" i="169"/>
  <c r="U319" i="169"/>
  <c r="T319" i="169"/>
  <c r="S319" i="169"/>
  <c r="R319" i="169"/>
  <c r="Q319" i="169"/>
  <c r="P319" i="169"/>
  <c r="O319" i="169"/>
  <c r="N319" i="169"/>
  <c r="M319" i="169"/>
  <c r="L319" i="169"/>
  <c r="K319" i="169"/>
  <c r="J319" i="169"/>
  <c r="I319" i="169"/>
  <c r="H319" i="169"/>
  <c r="G319" i="169"/>
  <c r="F319" i="169"/>
  <c r="E319" i="169"/>
  <c r="D319" i="169"/>
  <c r="U318" i="169"/>
  <c r="T318" i="169"/>
  <c r="S318" i="169"/>
  <c r="R318" i="169"/>
  <c r="Q318" i="169"/>
  <c r="P318" i="169"/>
  <c r="O318" i="169"/>
  <c r="N318" i="169"/>
  <c r="M318" i="169"/>
  <c r="L318" i="169"/>
  <c r="K318" i="169"/>
  <c r="J318" i="169"/>
  <c r="I318" i="169"/>
  <c r="H318" i="169"/>
  <c r="G318" i="169"/>
  <c r="F318" i="169"/>
  <c r="E318" i="169"/>
  <c r="D318" i="169"/>
  <c r="U317" i="169"/>
  <c r="T317" i="169"/>
  <c r="S317" i="169"/>
  <c r="R317" i="169"/>
  <c r="Q317" i="169"/>
  <c r="P317" i="169"/>
  <c r="O317" i="169"/>
  <c r="N317" i="169"/>
  <c r="M317" i="169"/>
  <c r="L317" i="169"/>
  <c r="K317" i="169"/>
  <c r="J317" i="169"/>
  <c r="I317" i="169"/>
  <c r="H317" i="169"/>
  <c r="G317" i="169"/>
  <c r="F317" i="169"/>
  <c r="E317" i="169"/>
  <c r="D317" i="169"/>
  <c r="U316" i="169"/>
  <c r="T316" i="169"/>
  <c r="S316" i="169"/>
  <c r="R316" i="169"/>
  <c r="Q316" i="169"/>
  <c r="P316" i="169"/>
  <c r="O316" i="169"/>
  <c r="N316" i="169"/>
  <c r="M316" i="169"/>
  <c r="L316" i="169"/>
  <c r="K316" i="169"/>
  <c r="J316" i="169"/>
  <c r="I316" i="169"/>
  <c r="H316" i="169"/>
  <c r="G316" i="169"/>
  <c r="F316" i="169"/>
  <c r="E316" i="169"/>
  <c r="D316" i="169"/>
  <c r="P315" i="169"/>
  <c r="U314" i="169"/>
  <c r="T314" i="169"/>
  <c r="S314" i="169"/>
  <c r="R314" i="169"/>
  <c r="Q314" i="169"/>
  <c r="P314" i="169"/>
  <c r="O314" i="169"/>
  <c r="N314" i="169"/>
  <c r="M314" i="169"/>
  <c r="L314" i="169"/>
  <c r="K314" i="169"/>
  <c r="J314" i="169"/>
  <c r="I314" i="169"/>
  <c r="H314" i="169"/>
  <c r="G314" i="169"/>
  <c r="F314" i="169"/>
  <c r="E314" i="169"/>
  <c r="D314" i="169"/>
  <c r="U313" i="169"/>
  <c r="T313" i="169"/>
  <c r="S313" i="169"/>
  <c r="R313" i="169"/>
  <c r="Q313" i="169"/>
  <c r="P313" i="169"/>
  <c r="O313" i="169"/>
  <c r="N313" i="169"/>
  <c r="M313" i="169"/>
  <c r="L313" i="169"/>
  <c r="K313" i="169"/>
  <c r="J313" i="169"/>
  <c r="I313" i="169"/>
  <c r="H313" i="169"/>
  <c r="G313" i="169"/>
  <c r="F313" i="169"/>
  <c r="E313" i="169"/>
  <c r="D313" i="169"/>
  <c r="U312" i="169"/>
  <c r="T312" i="169"/>
  <c r="S312" i="169"/>
  <c r="R312" i="169"/>
  <c r="Q312" i="169"/>
  <c r="P312" i="169"/>
  <c r="O312" i="169"/>
  <c r="N312" i="169"/>
  <c r="M312" i="169"/>
  <c r="L312" i="169"/>
  <c r="K312" i="169"/>
  <c r="J312" i="169"/>
  <c r="I312" i="169"/>
  <c r="H312" i="169"/>
  <c r="G312" i="169"/>
  <c r="F312" i="169"/>
  <c r="E312" i="169"/>
  <c r="D312" i="169"/>
  <c r="U311" i="169"/>
  <c r="T311" i="169"/>
  <c r="S311" i="169"/>
  <c r="R311" i="169"/>
  <c r="Q311" i="169"/>
  <c r="P311" i="169"/>
  <c r="O311" i="169"/>
  <c r="N311" i="169"/>
  <c r="M311" i="169"/>
  <c r="L311" i="169"/>
  <c r="K311" i="169"/>
  <c r="J311" i="169"/>
  <c r="I311" i="169"/>
  <c r="H311" i="169"/>
  <c r="G311" i="169"/>
  <c r="F311" i="169"/>
  <c r="E311" i="169"/>
  <c r="D311" i="169"/>
  <c r="U310" i="169"/>
  <c r="T310" i="169"/>
  <c r="S310" i="169"/>
  <c r="R310" i="169"/>
  <c r="Q310" i="169"/>
  <c r="P310" i="169"/>
  <c r="O310" i="169"/>
  <c r="N310" i="169"/>
  <c r="M310" i="169"/>
  <c r="L310" i="169"/>
  <c r="K310" i="169"/>
  <c r="J310" i="169"/>
  <c r="I310" i="169"/>
  <c r="H310" i="169"/>
  <c r="G310" i="169"/>
  <c r="F310" i="169"/>
  <c r="E310" i="169"/>
  <c r="D310" i="169"/>
  <c r="U309" i="169"/>
  <c r="T309" i="169"/>
  <c r="S309" i="169"/>
  <c r="R309" i="169"/>
  <c r="Q309" i="169"/>
  <c r="P309" i="169"/>
  <c r="O309" i="169"/>
  <c r="N309" i="169"/>
  <c r="M309" i="169"/>
  <c r="L309" i="169"/>
  <c r="K309" i="169"/>
  <c r="J309" i="169"/>
  <c r="I309" i="169"/>
  <c r="H309" i="169"/>
  <c r="G309" i="169"/>
  <c r="F309" i="169"/>
  <c r="E309" i="169"/>
  <c r="D309" i="169"/>
  <c r="U308" i="169"/>
  <c r="T308" i="169"/>
  <c r="S308" i="169"/>
  <c r="R308" i="169"/>
  <c r="Q308" i="169"/>
  <c r="P308" i="169"/>
  <c r="O308" i="169"/>
  <c r="N308" i="169"/>
  <c r="M308" i="169"/>
  <c r="L308" i="169"/>
  <c r="K308" i="169"/>
  <c r="J308" i="169"/>
  <c r="I308" i="169"/>
  <c r="H308" i="169"/>
  <c r="G308" i="169"/>
  <c r="F308" i="169"/>
  <c r="E308" i="169"/>
  <c r="D308" i="169"/>
  <c r="U302" i="169"/>
  <c r="T302" i="169"/>
  <c r="S302" i="169"/>
  <c r="R302" i="169"/>
  <c r="Q302" i="169"/>
  <c r="P302" i="169"/>
  <c r="O302" i="169"/>
  <c r="N302" i="169"/>
  <c r="M302" i="169"/>
  <c r="L302" i="169"/>
  <c r="K302" i="169"/>
  <c r="J302" i="169"/>
  <c r="I302" i="169"/>
  <c r="H302" i="169"/>
  <c r="G302" i="169"/>
  <c r="F302" i="169"/>
  <c r="E302" i="169"/>
  <c r="D302" i="169"/>
  <c r="U301" i="169"/>
  <c r="T301" i="169"/>
  <c r="S301" i="169"/>
  <c r="R301" i="169"/>
  <c r="Q301" i="169"/>
  <c r="P301" i="169"/>
  <c r="O301" i="169"/>
  <c r="N301" i="169"/>
  <c r="M301" i="169"/>
  <c r="L301" i="169"/>
  <c r="K301" i="169"/>
  <c r="J301" i="169"/>
  <c r="I301" i="169"/>
  <c r="H301" i="169"/>
  <c r="G301" i="169"/>
  <c r="F301" i="169"/>
  <c r="E301" i="169"/>
  <c r="D301" i="169"/>
  <c r="U300" i="169"/>
  <c r="T300" i="169"/>
  <c r="S300" i="169"/>
  <c r="R300" i="169"/>
  <c r="Q300" i="169"/>
  <c r="P300" i="169"/>
  <c r="O300" i="169"/>
  <c r="N300" i="169"/>
  <c r="M300" i="169"/>
  <c r="L300" i="169"/>
  <c r="K300" i="169"/>
  <c r="J300" i="169"/>
  <c r="I300" i="169"/>
  <c r="H300" i="169"/>
  <c r="G300" i="169"/>
  <c r="F300" i="169"/>
  <c r="E300" i="169"/>
  <c r="D300" i="169"/>
  <c r="U299" i="169"/>
  <c r="T299" i="169"/>
  <c r="S299" i="169"/>
  <c r="R299" i="169"/>
  <c r="Q299" i="169"/>
  <c r="P299" i="169"/>
  <c r="O299" i="169"/>
  <c r="N299" i="169"/>
  <c r="M299" i="169"/>
  <c r="L299" i="169"/>
  <c r="K299" i="169"/>
  <c r="J299" i="169"/>
  <c r="I299" i="169"/>
  <c r="H299" i="169"/>
  <c r="G299" i="169"/>
  <c r="F299" i="169"/>
  <c r="E299" i="169"/>
  <c r="D299" i="169"/>
  <c r="U298" i="169"/>
  <c r="T298" i="169"/>
  <c r="S298" i="169"/>
  <c r="R298" i="169"/>
  <c r="Q298" i="169"/>
  <c r="P298" i="169"/>
  <c r="O298" i="169"/>
  <c r="N298" i="169"/>
  <c r="M298" i="169"/>
  <c r="L298" i="169"/>
  <c r="K298" i="169"/>
  <c r="J298" i="169"/>
  <c r="I298" i="169"/>
  <c r="H298" i="169"/>
  <c r="G298" i="169"/>
  <c r="F298" i="169"/>
  <c r="E298" i="169"/>
  <c r="D298" i="169"/>
  <c r="U297" i="169"/>
  <c r="T297" i="169"/>
  <c r="S297" i="169"/>
  <c r="R297" i="169"/>
  <c r="Q297" i="169"/>
  <c r="P297" i="169"/>
  <c r="O297" i="169"/>
  <c r="N297" i="169"/>
  <c r="M297" i="169"/>
  <c r="L297" i="169"/>
  <c r="K297" i="169"/>
  <c r="J297" i="169"/>
  <c r="I297" i="169"/>
  <c r="H297" i="169"/>
  <c r="G297" i="169"/>
  <c r="F297" i="169"/>
  <c r="E297" i="169"/>
  <c r="D297" i="169"/>
  <c r="U296" i="169"/>
  <c r="T296" i="169"/>
  <c r="S296" i="169"/>
  <c r="R296" i="169"/>
  <c r="Q296" i="169"/>
  <c r="P296" i="169"/>
  <c r="O296" i="169"/>
  <c r="N296" i="169"/>
  <c r="M296" i="169"/>
  <c r="L296" i="169"/>
  <c r="K296" i="169"/>
  <c r="J296" i="169"/>
  <c r="I296" i="169"/>
  <c r="H296" i="169"/>
  <c r="G296" i="169"/>
  <c r="F296" i="169"/>
  <c r="E296" i="169"/>
  <c r="D296" i="169"/>
  <c r="U295" i="169"/>
  <c r="T295" i="169"/>
  <c r="S295" i="169"/>
  <c r="R295" i="169"/>
  <c r="Q295" i="169"/>
  <c r="P295" i="169"/>
  <c r="O295" i="169"/>
  <c r="N295" i="169"/>
  <c r="M295" i="169"/>
  <c r="L295" i="169"/>
  <c r="K295" i="169"/>
  <c r="J295" i="169"/>
  <c r="I295" i="169"/>
  <c r="H295" i="169"/>
  <c r="G295" i="169"/>
  <c r="F295" i="169"/>
  <c r="E295" i="169"/>
  <c r="D295" i="169"/>
  <c r="U294" i="169"/>
  <c r="T294" i="169"/>
  <c r="S294" i="169"/>
  <c r="R294" i="169"/>
  <c r="Q294" i="169"/>
  <c r="P294" i="169"/>
  <c r="O294" i="169"/>
  <c r="N294" i="169"/>
  <c r="M294" i="169"/>
  <c r="L294" i="169"/>
  <c r="K294" i="169"/>
  <c r="J294" i="169"/>
  <c r="I294" i="169"/>
  <c r="H294" i="169"/>
  <c r="G294" i="169"/>
  <c r="F294" i="169"/>
  <c r="E294" i="169"/>
  <c r="D294" i="169"/>
  <c r="U293" i="169"/>
  <c r="T293" i="169"/>
  <c r="S293" i="169"/>
  <c r="R293" i="169"/>
  <c r="Q293" i="169"/>
  <c r="P293" i="169"/>
  <c r="O293" i="169"/>
  <c r="N293" i="169"/>
  <c r="M293" i="169"/>
  <c r="L293" i="169"/>
  <c r="K293" i="169"/>
  <c r="J293" i="169"/>
  <c r="I293" i="169"/>
  <c r="H293" i="169"/>
  <c r="G293" i="169"/>
  <c r="F293" i="169"/>
  <c r="E293" i="169"/>
  <c r="D293" i="169"/>
  <c r="P292" i="169"/>
  <c r="U291" i="169"/>
  <c r="T291" i="169"/>
  <c r="S291" i="169"/>
  <c r="R291" i="169"/>
  <c r="Q291" i="169"/>
  <c r="P291" i="169"/>
  <c r="O291" i="169"/>
  <c r="N291" i="169"/>
  <c r="M291" i="169"/>
  <c r="L291" i="169"/>
  <c r="K291" i="169"/>
  <c r="J291" i="169"/>
  <c r="I291" i="169"/>
  <c r="H291" i="169"/>
  <c r="G291" i="169"/>
  <c r="F291" i="169"/>
  <c r="E291" i="169"/>
  <c r="D291" i="169"/>
  <c r="U290" i="169"/>
  <c r="T290" i="169"/>
  <c r="S290" i="169"/>
  <c r="R290" i="169"/>
  <c r="Q290" i="169"/>
  <c r="P290" i="169"/>
  <c r="O290" i="169"/>
  <c r="N290" i="169"/>
  <c r="M290" i="169"/>
  <c r="L290" i="169"/>
  <c r="K290" i="169"/>
  <c r="J290" i="169"/>
  <c r="I290" i="169"/>
  <c r="H290" i="169"/>
  <c r="G290" i="169"/>
  <c r="F290" i="169"/>
  <c r="E290" i="169"/>
  <c r="D290" i="169"/>
  <c r="U289" i="169"/>
  <c r="T289" i="169"/>
  <c r="S289" i="169"/>
  <c r="R289" i="169"/>
  <c r="Q289" i="169"/>
  <c r="P289" i="169"/>
  <c r="O289" i="169"/>
  <c r="N289" i="169"/>
  <c r="M289" i="169"/>
  <c r="L289" i="169"/>
  <c r="K289" i="169"/>
  <c r="J289" i="169"/>
  <c r="I289" i="169"/>
  <c r="H289" i="169"/>
  <c r="G289" i="169"/>
  <c r="F289" i="169"/>
  <c r="E289" i="169"/>
  <c r="D289" i="169"/>
  <c r="U288" i="169"/>
  <c r="T288" i="169"/>
  <c r="S288" i="169"/>
  <c r="R288" i="169"/>
  <c r="Q288" i="169"/>
  <c r="P288" i="169"/>
  <c r="O288" i="169"/>
  <c r="N288" i="169"/>
  <c r="M288" i="169"/>
  <c r="L288" i="169"/>
  <c r="K288" i="169"/>
  <c r="J288" i="169"/>
  <c r="I288" i="169"/>
  <c r="H288" i="169"/>
  <c r="G288" i="169"/>
  <c r="F288" i="169"/>
  <c r="E288" i="169"/>
  <c r="D288" i="169"/>
  <c r="U287" i="169"/>
  <c r="T287" i="169"/>
  <c r="S287" i="169"/>
  <c r="R287" i="169"/>
  <c r="Q287" i="169"/>
  <c r="P287" i="169"/>
  <c r="O287" i="169"/>
  <c r="N287" i="169"/>
  <c r="M287" i="169"/>
  <c r="L287" i="169"/>
  <c r="K287" i="169"/>
  <c r="J287" i="169"/>
  <c r="I287" i="169"/>
  <c r="H287" i="169"/>
  <c r="G287" i="169"/>
  <c r="F287" i="169"/>
  <c r="E287" i="169"/>
  <c r="D287" i="169"/>
  <c r="U286" i="169"/>
  <c r="T286" i="169"/>
  <c r="S286" i="169"/>
  <c r="R286" i="169"/>
  <c r="Q286" i="169"/>
  <c r="P286" i="169"/>
  <c r="O286" i="169"/>
  <c r="N286" i="169"/>
  <c r="M286" i="169"/>
  <c r="L286" i="169"/>
  <c r="K286" i="169"/>
  <c r="J286" i="169"/>
  <c r="I286" i="169"/>
  <c r="H286" i="169"/>
  <c r="G286" i="169"/>
  <c r="F286" i="169"/>
  <c r="E286" i="169"/>
  <c r="D286" i="169"/>
  <c r="U285" i="169"/>
  <c r="T285" i="169"/>
  <c r="S285" i="169"/>
  <c r="R285" i="169"/>
  <c r="Q285" i="169"/>
  <c r="P285" i="169"/>
  <c r="O285" i="169"/>
  <c r="N285" i="169"/>
  <c r="M285" i="169"/>
  <c r="L285" i="169"/>
  <c r="K285" i="169"/>
  <c r="J285" i="169"/>
  <c r="I285" i="169"/>
  <c r="H285" i="169"/>
  <c r="G285" i="169"/>
  <c r="F285" i="169"/>
  <c r="E285" i="169"/>
  <c r="D285" i="169"/>
  <c r="U284" i="169"/>
  <c r="T284" i="169"/>
  <c r="S284" i="169"/>
  <c r="R284" i="169"/>
  <c r="Q284" i="169"/>
  <c r="P284" i="169"/>
  <c r="O284" i="169"/>
  <c r="N284" i="169"/>
  <c r="M284" i="169"/>
  <c r="L284" i="169"/>
  <c r="K284" i="169"/>
  <c r="J284" i="169"/>
  <c r="I284" i="169"/>
  <c r="H284" i="169"/>
  <c r="G284" i="169"/>
  <c r="F284" i="169"/>
  <c r="E284" i="169"/>
  <c r="D284" i="169"/>
  <c r="U283" i="169"/>
  <c r="T283" i="169"/>
  <c r="S283" i="169"/>
  <c r="R283" i="169"/>
  <c r="Q283" i="169"/>
  <c r="P283" i="169"/>
  <c r="O283" i="169"/>
  <c r="N283" i="169"/>
  <c r="M283" i="169"/>
  <c r="L283" i="169"/>
  <c r="K283" i="169"/>
  <c r="J283" i="169"/>
  <c r="I283" i="169"/>
  <c r="H283" i="169"/>
  <c r="G283" i="169"/>
  <c r="F283" i="169"/>
  <c r="E283" i="169"/>
  <c r="D283" i="169"/>
  <c r="U282" i="169"/>
  <c r="T282" i="169"/>
  <c r="S282" i="169"/>
  <c r="R282" i="169"/>
  <c r="Q282" i="169"/>
  <c r="P282" i="169"/>
  <c r="O282" i="169"/>
  <c r="N282" i="169"/>
  <c r="M282" i="169"/>
  <c r="L282" i="169"/>
  <c r="K282" i="169"/>
  <c r="J282" i="169"/>
  <c r="I282" i="169"/>
  <c r="H282" i="169"/>
  <c r="G282" i="169"/>
  <c r="F282" i="169"/>
  <c r="E282" i="169"/>
  <c r="D282" i="169"/>
  <c r="U281" i="169"/>
  <c r="T281" i="169"/>
  <c r="S281" i="169"/>
  <c r="R281" i="169"/>
  <c r="Q281" i="169"/>
  <c r="P281" i="169"/>
  <c r="O281" i="169"/>
  <c r="N281" i="169"/>
  <c r="M281" i="169"/>
  <c r="L281" i="169"/>
  <c r="K281" i="169"/>
  <c r="J281" i="169"/>
  <c r="I281" i="169"/>
  <c r="H281" i="169"/>
  <c r="G281" i="169"/>
  <c r="F281" i="169"/>
  <c r="E281" i="169"/>
  <c r="D281" i="169"/>
  <c r="U280" i="169"/>
  <c r="T280" i="169"/>
  <c r="S280" i="169"/>
  <c r="R280" i="169"/>
  <c r="Q280" i="169"/>
  <c r="P280" i="169"/>
  <c r="O280" i="169"/>
  <c r="N280" i="169"/>
  <c r="M280" i="169"/>
  <c r="L280" i="169"/>
  <c r="K280" i="169"/>
  <c r="J280" i="169"/>
  <c r="I280" i="169"/>
  <c r="H280" i="169"/>
  <c r="G280" i="169"/>
  <c r="F280" i="169"/>
  <c r="E280" i="169"/>
  <c r="D280" i="169"/>
  <c r="U279" i="169"/>
  <c r="T279" i="169"/>
  <c r="S279" i="169"/>
  <c r="R279" i="169"/>
  <c r="Q279" i="169"/>
  <c r="P279" i="169"/>
  <c r="O279" i="169"/>
  <c r="N279" i="169"/>
  <c r="M279" i="169"/>
  <c r="L279" i="169"/>
  <c r="K279" i="169"/>
  <c r="J279" i="169"/>
  <c r="I279" i="169"/>
  <c r="H279" i="169"/>
  <c r="G279" i="169"/>
  <c r="F279" i="169"/>
  <c r="E279" i="169"/>
  <c r="D279" i="169"/>
  <c r="P278" i="169"/>
  <c r="U277" i="169"/>
  <c r="T277" i="169"/>
  <c r="S277" i="169"/>
  <c r="R277" i="169"/>
  <c r="Q277" i="169"/>
  <c r="P277" i="169"/>
  <c r="O277" i="169"/>
  <c r="N277" i="169"/>
  <c r="M277" i="169"/>
  <c r="L277" i="169"/>
  <c r="K277" i="169"/>
  <c r="J277" i="169"/>
  <c r="I277" i="169"/>
  <c r="H277" i="169"/>
  <c r="G277" i="169"/>
  <c r="F277" i="169"/>
  <c r="E277" i="169"/>
  <c r="D277" i="169"/>
  <c r="U276" i="169"/>
  <c r="T276" i="169"/>
  <c r="S276" i="169"/>
  <c r="R276" i="169"/>
  <c r="Q276" i="169"/>
  <c r="P276" i="169"/>
  <c r="O276" i="169"/>
  <c r="N276" i="169"/>
  <c r="M276" i="169"/>
  <c r="L276" i="169"/>
  <c r="K276" i="169"/>
  <c r="J276" i="169"/>
  <c r="I276" i="169"/>
  <c r="H276" i="169"/>
  <c r="G276" i="169"/>
  <c r="F276" i="169"/>
  <c r="E276" i="169"/>
  <c r="D276" i="169"/>
  <c r="U275" i="169"/>
  <c r="T275" i="169"/>
  <c r="S275" i="169"/>
  <c r="R275" i="169"/>
  <c r="Q275" i="169"/>
  <c r="P275" i="169"/>
  <c r="O275" i="169"/>
  <c r="N275" i="169"/>
  <c r="M275" i="169"/>
  <c r="L275" i="169"/>
  <c r="K275" i="169"/>
  <c r="J275" i="169"/>
  <c r="I275" i="169"/>
  <c r="H275" i="169"/>
  <c r="G275" i="169"/>
  <c r="F275" i="169"/>
  <c r="E275" i="169"/>
  <c r="D275" i="169"/>
  <c r="U274" i="169"/>
  <c r="T274" i="169"/>
  <c r="S274" i="169"/>
  <c r="R274" i="169"/>
  <c r="Q274" i="169"/>
  <c r="P274" i="169"/>
  <c r="O274" i="169"/>
  <c r="N274" i="169"/>
  <c r="M274" i="169"/>
  <c r="L274" i="169"/>
  <c r="K274" i="169"/>
  <c r="J274" i="169"/>
  <c r="I274" i="169"/>
  <c r="H274" i="169"/>
  <c r="G274" i="169"/>
  <c r="F274" i="169"/>
  <c r="E274" i="169"/>
  <c r="D274" i="169"/>
  <c r="U273" i="169"/>
  <c r="T273" i="169"/>
  <c r="S273" i="169"/>
  <c r="R273" i="169"/>
  <c r="Q273" i="169"/>
  <c r="P273" i="169"/>
  <c r="O273" i="169"/>
  <c r="N273" i="169"/>
  <c r="M273" i="169"/>
  <c r="L273" i="169"/>
  <c r="K273" i="169"/>
  <c r="J273" i="169"/>
  <c r="I273" i="169"/>
  <c r="H273" i="169"/>
  <c r="G273" i="169"/>
  <c r="F273" i="169"/>
  <c r="E273" i="169"/>
  <c r="D273" i="169"/>
  <c r="U272" i="169"/>
  <c r="T272" i="169"/>
  <c r="S272" i="169"/>
  <c r="R272" i="169"/>
  <c r="Q272" i="169"/>
  <c r="P272" i="169"/>
  <c r="O272" i="169"/>
  <c r="N272" i="169"/>
  <c r="M272" i="169"/>
  <c r="L272" i="169"/>
  <c r="K272" i="169"/>
  <c r="J272" i="169"/>
  <c r="I272" i="169"/>
  <c r="H272" i="169"/>
  <c r="G272" i="169"/>
  <c r="F272" i="169"/>
  <c r="E272" i="169"/>
  <c r="D272" i="169"/>
  <c r="U271" i="169"/>
  <c r="T271" i="169"/>
  <c r="S271" i="169"/>
  <c r="R271" i="169"/>
  <c r="Q271" i="169"/>
  <c r="P271" i="169"/>
  <c r="O271" i="169"/>
  <c r="N271" i="169"/>
  <c r="M271" i="169"/>
  <c r="L271" i="169"/>
  <c r="K271" i="169"/>
  <c r="J271" i="169"/>
  <c r="I271" i="169"/>
  <c r="H271" i="169"/>
  <c r="G271" i="169"/>
  <c r="F271" i="169"/>
  <c r="E271" i="169"/>
  <c r="D271" i="169"/>
  <c r="U265" i="169"/>
  <c r="T265" i="169"/>
  <c r="S265" i="169"/>
  <c r="R265" i="169"/>
  <c r="Q265" i="169"/>
  <c r="P265" i="169"/>
  <c r="O265" i="169"/>
  <c r="N265" i="169"/>
  <c r="M265" i="169"/>
  <c r="L265" i="169"/>
  <c r="K265" i="169"/>
  <c r="J265" i="169"/>
  <c r="I265" i="169"/>
  <c r="H265" i="169"/>
  <c r="G265" i="169"/>
  <c r="F265" i="169"/>
  <c r="E265" i="169"/>
  <c r="D265" i="169"/>
  <c r="U264" i="169"/>
  <c r="T264" i="169"/>
  <c r="S264" i="169"/>
  <c r="R264" i="169"/>
  <c r="Q264" i="169"/>
  <c r="P264" i="169"/>
  <c r="O264" i="169"/>
  <c r="N264" i="169"/>
  <c r="M264" i="169"/>
  <c r="L264" i="169"/>
  <c r="K264" i="169"/>
  <c r="J264" i="169"/>
  <c r="I264" i="169"/>
  <c r="H264" i="169"/>
  <c r="G264" i="169"/>
  <c r="F264" i="169"/>
  <c r="E264" i="169"/>
  <c r="D264" i="169"/>
  <c r="U263" i="169"/>
  <c r="T263" i="169"/>
  <c r="S263" i="169"/>
  <c r="R263" i="169"/>
  <c r="Q263" i="169"/>
  <c r="P263" i="169"/>
  <c r="O263" i="169"/>
  <c r="N263" i="169"/>
  <c r="M263" i="169"/>
  <c r="L263" i="169"/>
  <c r="K263" i="169"/>
  <c r="J263" i="169"/>
  <c r="I263" i="169"/>
  <c r="H263" i="169"/>
  <c r="G263" i="169"/>
  <c r="F263" i="169"/>
  <c r="E263" i="169"/>
  <c r="D263" i="169"/>
  <c r="U262" i="169"/>
  <c r="T262" i="169"/>
  <c r="S262" i="169"/>
  <c r="R262" i="169"/>
  <c r="Q262" i="169"/>
  <c r="P262" i="169"/>
  <c r="O262" i="169"/>
  <c r="N262" i="169"/>
  <c r="M262" i="169"/>
  <c r="L262" i="169"/>
  <c r="K262" i="169"/>
  <c r="J262" i="169"/>
  <c r="I262" i="169"/>
  <c r="H262" i="169"/>
  <c r="G262" i="169"/>
  <c r="F262" i="169"/>
  <c r="E262" i="169"/>
  <c r="D262" i="169"/>
  <c r="U261" i="169"/>
  <c r="T261" i="169"/>
  <c r="S261" i="169"/>
  <c r="R261" i="169"/>
  <c r="Q261" i="169"/>
  <c r="P261" i="169"/>
  <c r="O261" i="169"/>
  <c r="N261" i="169"/>
  <c r="M261" i="169"/>
  <c r="L261" i="169"/>
  <c r="K261" i="169"/>
  <c r="J261" i="169"/>
  <c r="I261" i="169"/>
  <c r="H261" i="169"/>
  <c r="G261" i="169"/>
  <c r="F261" i="169"/>
  <c r="E261" i="169"/>
  <c r="D261" i="169"/>
  <c r="U260" i="169"/>
  <c r="T260" i="169"/>
  <c r="S260" i="169"/>
  <c r="R260" i="169"/>
  <c r="Q260" i="169"/>
  <c r="P260" i="169"/>
  <c r="O260" i="169"/>
  <c r="N260" i="169"/>
  <c r="M260" i="169"/>
  <c r="L260" i="169"/>
  <c r="K260" i="169"/>
  <c r="J260" i="169"/>
  <c r="I260" i="169"/>
  <c r="H260" i="169"/>
  <c r="G260" i="169"/>
  <c r="F260" i="169"/>
  <c r="E260" i="169"/>
  <c r="D260" i="169"/>
  <c r="U259" i="169"/>
  <c r="T259" i="169"/>
  <c r="S259" i="169"/>
  <c r="R259" i="169"/>
  <c r="Q259" i="169"/>
  <c r="P259" i="169"/>
  <c r="O259" i="169"/>
  <c r="N259" i="169"/>
  <c r="M259" i="169"/>
  <c r="L259" i="169"/>
  <c r="K259" i="169"/>
  <c r="J259" i="169"/>
  <c r="I259" i="169"/>
  <c r="H259" i="169"/>
  <c r="G259" i="169"/>
  <c r="F259" i="169"/>
  <c r="E259" i="169"/>
  <c r="D259" i="169"/>
  <c r="U258" i="169"/>
  <c r="T258" i="169"/>
  <c r="S258" i="169"/>
  <c r="R258" i="169"/>
  <c r="Q258" i="169"/>
  <c r="P258" i="169"/>
  <c r="O258" i="169"/>
  <c r="N258" i="169"/>
  <c r="M258" i="169"/>
  <c r="L258" i="169"/>
  <c r="K258" i="169"/>
  <c r="J258" i="169"/>
  <c r="I258" i="169"/>
  <c r="H258" i="169"/>
  <c r="G258" i="169"/>
  <c r="F258" i="169"/>
  <c r="E258" i="169"/>
  <c r="D258" i="169"/>
  <c r="U257" i="169"/>
  <c r="T257" i="169"/>
  <c r="S257" i="169"/>
  <c r="R257" i="169"/>
  <c r="Q257" i="169"/>
  <c r="P257" i="169"/>
  <c r="O257" i="169"/>
  <c r="N257" i="169"/>
  <c r="M257" i="169"/>
  <c r="L257" i="169"/>
  <c r="K257" i="169"/>
  <c r="J257" i="169"/>
  <c r="I257" i="169"/>
  <c r="H257" i="169"/>
  <c r="G257" i="169"/>
  <c r="F257" i="169"/>
  <c r="E257" i="169"/>
  <c r="D257" i="169"/>
  <c r="U256" i="169"/>
  <c r="T256" i="169"/>
  <c r="S256" i="169"/>
  <c r="R256" i="169"/>
  <c r="Q256" i="169"/>
  <c r="P256" i="169"/>
  <c r="O256" i="169"/>
  <c r="N256" i="169"/>
  <c r="M256" i="169"/>
  <c r="L256" i="169"/>
  <c r="K256" i="169"/>
  <c r="J256" i="169"/>
  <c r="I256" i="169"/>
  <c r="H256" i="169"/>
  <c r="G256" i="169"/>
  <c r="F256" i="169"/>
  <c r="E256" i="169"/>
  <c r="D256" i="169"/>
  <c r="P255" i="169"/>
  <c r="U254" i="169"/>
  <c r="T254" i="169"/>
  <c r="S254" i="169"/>
  <c r="R254" i="169"/>
  <c r="Q254" i="169"/>
  <c r="P254" i="169"/>
  <c r="O254" i="169"/>
  <c r="N254" i="169"/>
  <c r="M254" i="169"/>
  <c r="L254" i="169"/>
  <c r="K254" i="169"/>
  <c r="J254" i="169"/>
  <c r="I254" i="169"/>
  <c r="H254" i="169"/>
  <c r="G254" i="169"/>
  <c r="F254" i="169"/>
  <c r="E254" i="169"/>
  <c r="D254" i="169"/>
  <c r="U253" i="169"/>
  <c r="T253" i="169"/>
  <c r="S253" i="169"/>
  <c r="R253" i="169"/>
  <c r="Q253" i="169"/>
  <c r="P253" i="169"/>
  <c r="O253" i="169"/>
  <c r="N253" i="169"/>
  <c r="M253" i="169"/>
  <c r="L253" i="169"/>
  <c r="K253" i="169"/>
  <c r="J253" i="169"/>
  <c r="I253" i="169"/>
  <c r="H253" i="169"/>
  <c r="G253" i="169"/>
  <c r="F253" i="169"/>
  <c r="E253" i="169"/>
  <c r="D253" i="169"/>
  <c r="U252" i="169"/>
  <c r="T252" i="169"/>
  <c r="S252" i="169"/>
  <c r="R252" i="169"/>
  <c r="Q252" i="169"/>
  <c r="P252" i="169"/>
  <c r="O252" i="169"/>
  <c r="N252" i="169"/>
  <c r="M252" i="169"/>
  <c r="L252" i="169"/>
  <c r="K252" i="169"/>
  <c r="J252" i="169"/>
  <c r="I252" i="169"/>
  <c r="H252" i="169"/>
  <c r="G252" i="169"/>
  <c r="F252" i="169"/>
  <c r="E252" i="169"/>
  <c r="D252" i="169"/>
  <c r="U251" i="169"/>
  <c r="T251" i="169"/>
  <c r="S251" i="169"/>
  <c r="R251" i="169"/>
  <c r="Q251" i="169"/>
  <c r="P251" i="169"/>
  <c r="O251" i="169"/>
  <c r="N251" i="169"/>
  <c r="M251" i="169"/>
  <c r="L251" i="169"/>
  <c r="K251" i="169"/>
  <c r="J251" i="169"/>
  <c r="I251" i="169"/>
  <c r="H251" i="169"/>
  <c r="G251" i="169"/>
  <c r="F251" i="169"/>
  <c r="E251" i="169"/>
  <c r="D251" i="169"/>
  <c r="U250" i="169"/>
  <c r="T250" i="169"/>
  <c r="S250" i="169"/>
  <c r="R250" i="169"/>
  <c r="Q250" i="169"/>
  <c r="P250" i="169"/>
  <c r="O250" i="169"/>
  <c r="N250" i="169"/>
  <c r="M250" i="169"/>
  <c r="L250" i="169"/>
  <c r="K250" i="169"/>
  <c r="J250" i="169"/>
  <c r="I250" i="169"/>
  <c r="H250" i="169"/>
  <c r="G250" i="169"/>
  <c r="F250" i="169"/>
  <c r="E250" i="169"/>
  <c r="D250" i="169"/>
  <c r="U249" i="169"/>
  <c r="T249" i="169"/>
  <c r="S249" i="169"/>
  <c r="R249" i="169"/>
  <c r="Q249" i="169"/>
  <c r="P249" i="169"/>
  <c r="O249" i="169"/>
  <c r="N249" i="169"/>
  <c r="M249" i="169"/>
  <c r="L249" i="169"/>
  <c r="K249" i="169"/>
  <c r="J249" i="169"/>
  <c r="I249" i="169"/>
  <c r="H249" i="169"/>
  <c r="G249" i="169"/>
  <c r="F249" i="169"/>
  <c r="E249" i="169"/>
  <c r="D249" i="169"/>
  <c r="U248" i="169"/>
  <c r="T248" i="169"/>
  <c r="S248" i="169"/>
  <c r="R248" i="169"/>
  <c r="Q248" i="169"/>
  <c r="P248" i="169"/>
  <c r="O248" i="169"/>
  <c r="N248" i="169"/>
  <c r="M248" i="169"/>
  <c r="L248" i="169"/>
  <c r="K248" i="169"/>
  <c r="J248" i="169"/>
  <c r="I248" i="169"/>
  <c r="H248" i="169"/>
  <c r="G248" i="169"/>
  <c r="F248" i="169"/>
  <c r="E248" i="169"/>
  <c r="D248" i="169"/>
  <c r="U247" i="169"/>
  <c r="T247" i="169"/>
  <c r="S247" i="169"/>
  <c r="R247" i="169"/>
  <c r="Q247" i="169"/>
  <c r="P247" i="169"/>
  <c r="O247" i="169"/>
  <c r="N247" i="169"/>
  <c r="M247" i="169"/>
  <c r="L247" i="169"/>
  <c r="K247" i="169"/>
  <c r="J247" i="169"/>
  <c r="I247" i="169"/>
  <c r="H247" i="169"/>
  <c r="G247" i="169"/>
  <c r="F247" i="169"/>
  <c r="E247" i="169"/>
  <c r="D247" i="169"/>
  <c r="U246" i="169"/>
  <c r="T246" i="169"/>
  <c r="S246" i="169"/>
  <c r="R246" i="169"/>
  <c r="Q246" i="169"/>
  <c r="P246" i="169"/>
  <c r="O246" i="169"/>
  <c r="N246" i="169"/>
  <c r="M246" i="169"/>
  <c r="L246" i="169"/>
  <c r="K246" i="169"/>
  <c r="J246" i="169"/>
  <c r="I246" i="169"/>
  <c r="H246" i="169"/>
  <c r="G246" i="169"/>
  <c r="F246" i="169"/>
  <c r="E246" i="169"/>
  <c r="D246" i="169"/>
  <c r="U245" i="169"/>
  <c r="T245" i="169"/>
  <c r="S245" i="169"/>
  <c r="R245" i="169"/>
  <c r="Q245" i="169"/>
  <c r="P245" i="169"/>
  <c r="O245" i="169"/>
  <c r="N245" i="169"/>
  <c r="M245" i="169"/>
  <c r="L245" i="169"/>
  <c r="K245" i="169"/>
  <c r="J245" i="169"/>
  <c r="I245" i="169"/>
  <c r="H245" i="169"/>
  <c r="G245" i="169"/>
  <c r="F245" i="169"/>
  <c r="E245" i="169"/>
  <c r="D245" i="169"/>
  <c r="U244" i="169"/>
  <c r="T244" i="169"/>
  <c r="S244" i="169"/>
  <c r="R244" i="169"/>
  <c r="Q244" i="169"/>
  <c r="P244" i="169"/>
  <c r="O244" i="169"/>
  <c r="N244" i="169"/>
  <c r="M244" i="169"/>
  <c r="L244" i="169"/>
  <c r="K244" i="169"/>
  <c r="J244" i="169"/>
  <c r="I244" i="169"/>
  <c r="H244" i="169"/>
  <c r="G244" i="169"/>
  <c r="F244" i="169"/>
  <c r="E244" i="169"/>
  <c r="D244" i="169"/>
  <c r="U243" i="169"/>
  <c r="T243" i="169"/>
  <c r="S243" i="169"/>
  <c r="R243" i="169"/>
  <c r="Q243" i="169"/>
  <c r="P243" i="169"/>
  <c r="O243" i="169"/>
  <c r="N243" i="169"/>
  <c r="M243" i="169"/>
  <c r="L243" i="169"/>
  <c r="K243" i="169"/>
  <c r="J243" i="169"/>
  <c r="I243" i="169"/>
  <c r="H243" i="169"/>
  <c r="G243" i="169"/>
  <c r="F243" i="169"/>
  <c r="E243" i="169"/>
  <c r="D243" i="169"/>
  <c r="U242" i="169"/>
  <c r="T242" i="169"/>
  <c r="S242" i="169"/>
  <c r="R242" i="169"/>
  <c r="Q242" i="169"/>
  <c r="P242" i="169"/>
  <c r="O242" i="169"/>
  <c r="N242" i="169"/>
  <c r="M242" i="169"/>
  <c r="L242" i="169"/>
  <c r="K242" i="169"/>
  <c r="J242" i="169"/>
  <c r="I242" i="169"/>
  <c r="H242" i="169"/>
  <c r="G242" i="169"/>
  <c r="F242" i="169"/>
  <c r="E242" i="169"/>
  <c r="D242" i="169"/>
  <c r="P241" i="169"/>
  <c r="U240" i="169"/>
  <c r="T240" i="169"/>
  <c r="S240" i="169"/>
  <c r="R240" i="169"/>
  <c r="Q240" i="169"/>
  <c r="P240" i="169"/>
  <c r="O240" i="169"/>
  <c r="N240" i="169"/>
  <c r="M240" i="169"/>
  <c r="L240" i="169"/>
  <c r="K240" i="169"/>
  <c r="J240" i="169"/>
  <c r="I240" i="169"/>
  <c r="H240" i="169"/>
  <c r="G240" i="169"/>
  <c r="F240" i="169"/>
  <c r="E240" i="169"/>
  <c r="D240" i="169"/>
  <c r="U239" i="169"/>
  <c r="T239" i="169"/>
  <c r="S239" i="169"/>
  <c r="R239" i="169"/>
  <c r="Q239" i="169"/>
  <c r="P239" i="169"/>
  <c r="O239" i="169"/>
  <c r="N239" i="169"/>
  <c r="M239" i="169"/>
  <c r="L239" i="169"/>
  <c r="K239" i="169"/>
  <c r="J239" i="169"/>
  <c r="I239" i="169"/>
  <c r="H239" i="169"/>
  <c r="G239" i="169"/>
  <c r="F239" i="169"/>
  <c r="E239" i="169"/>
  <c r="D239" i="169"/>
  <c r="U238" i="169"/>
  <c r="T238" i="169"/>
  <c r="S238" i="169"/>
  <c r="R238" i="169"/>
  <c r="Q238" i="169"/>
  <c r="P238" i="169"/>
  <c r="O238" i="169"/>
  <c r="N238" i="169"/>
  <c r="M238" i="169"/>
  <c r="L238" i="169"/>
  <c r="K238" i="169"/>
  <c r="J238" i="169"/>
  <c r="I238" i="169"/>
  <c r="H238" i="169"/>
  <c r="G238" i="169"/>
  <c r="F238" i="169"/>
  <c r="E238" i="169"/>
  <c r="D238" i="169"/>
  <c r="U237" i="169"/>
  <c r="T237" i="169"/>
  <c r="S237" i="169"/>
  <c r="R237" i="169"/>
  <c r="Q237" i="169"/>
  <c r="P237" i="169"/>
  <c r="O237" i="169"/>
  <c r="N237" i="169"/>
  <c r="M237" i="169"/>
  <c r="L237" i="169"/>
  <c r="K237" i="169"/>
  <c r="J237" i="169"/>
  <c r="I237" i="169"/>
  <c r="H237" i="169"/>
  <c r="G237" i="169"/>
  <c r="F237" i="169"/>
  <c r="E237" i="169"/>
  <c r="D237" i="169"/>
  <c r="U236" i="169"/>
  <c r="T236" i="169"/>
  <c r="S236" i="169"/>
  <c r="R236" i="169"/>
  <c r="Q236" i="169"/>
  <c r="P236" i="169"/>
  <c r="O236" i="169"/>
  <c r="N236" i="169"/>
  <c r="M236" i="169"/>
  <c r="L236" i="169"/>
  <c r="K236" i="169"/>
  <c r="J236" i="169"/>
  <c r="I236" i="169"/>
  <c r="H236" i="169"/>
  <c r="G236" i="169"/>
  <c r="F236" i="169"/>
  <c r="E236" i="169"/>
  <c r="D236" i="169"/>
  <c r="U235" i="169"/>
  <c r="T235" i="169"/>
  <c r="S235" i="169"/>
  <c r="R235" i="169"/>
  <c r="Q235" i="169"/>
  <c r="P235" i="169"/>
  <c r="O235" i="169"/>
  <c r="N235" i="169"/>
  <c r="M235" i="169"/>
  <c r="L235" i="169"/>
  <c r="K235" i="169"/>
  <c r="J235" i="169"/>
  <c r="I235" i="169"/>
  <c r="H235" i="169"/>
  <c r="G235" i="169"/>
  <c r="F235" i="169"/>
  <c r="E235" i="169"/>
  <c r="D235" i="169"/>
  <c r="U234" i="169"/>
  <c r="T234" i="169"/>
  <c r="S234" i="169"/>
  <c r="R234" i="169"/>
  <c r="Q234" i="169"/>
  <c r="P234" i="169"/>
  <c r="O234" i="169"/>
  <c r="N234" i="169"/>
  <c r="M234" i="169"/>
  <c r="L234" i="169"/>
  <c r="K234" i="169"/>
  <c r="J234" i="169"/>
  <c r="I234" i="169"/>
  <c r="H234" i="169"/>
  <c r="G234" i="169"/>
  <c r="F234" i="169"/>
  <c r="E234" i="169"/>
  <c r="D234" i="169"/>
  <c r="U228" i="169"/>
  <c r="T228" i="169"/>
  <c r="S228" i="169"/>
  <c r="R228" i="169"/>
  <c r="Q228" i="169"/>
  <c r="P228" i="169"/>
  <c r="O228" i="169"/>
  <c r="N228" i="169"/>
  <c r="M228" i="169"/>
  <c r="L228" i="169"/>
  <c r="K228" i="169"/>
  <c r="J228" i="169"/>
  <c r="I228" i="169"/>
  <c r="H228" i="169"/>
  <c r="G228" i="169"/>
  <c r="F228" i="169"/>
  <c r="E228" i="169"/>
  <c r="D228" i="169"/>
  <c r="U227" i="169"/>
  <c r="T227" i="169"/>
  <c r="S227" i="169"/>
  <c r="R227" i="169"/>
  <c r="Q227" i="169"/>
  <c r="P227" i="169"/>
  <c r="O227" i="169"/>
  <c r="N227" i="169"/>
  <c r="M227" i="169"/>
  <c r="L227" i="169"/>
  <c r="K227" i="169"/>
  <c r="J227" i="169"/>
  <c r="I227" i="169"/>
  <c r="H227" i="169"/>
  <c r="G227" i="169"/>
  <c r="F227" i="169"/>
  <c r="E227" i="169"/>
  <c r="D227" i="169"/>
  <c r="U226" i="169"/>
  <c r="T226" i="169"/>
  <c r="S226" i="169"/>
  <c r="R226" i="169"/>
  <c r="Q226" i="169"/>
  <c r="P226" i="169"/>
  <c r="O226" i="169"/>
  <c r="N226" i="169"/>
  <c r="M226" i="169"/>
  <c r="L226" i="169"/>
  <c r="K226" i="169"/>
  <c r="J226" i="169"/>
  <c r="I226" i="169"/>
  <c r="H226" i="169"/>
  <c r="G226" i="169"/>
  <c r="F226" i="169"/>
  <c r="E226" i="169"/>
  <c r="D226" i="169"/>
  <c r="U225" i="169"/>
  <c r="T225" i="169"/>
  <c r="S225" i="169"/>
  <c r="R225" i="169"/>
  <c r="Q225" i="169"/>
  <c r="P225" i="169"/>
  <c r="O225" i="169"/>
  <c r="N225" i="169"/>
  <c r="M225" i="169"/>
  <c r="L225" i="169"/>
  <c r="K225" i="169"/>
  <c r="J225" i="169"/>
  <c r="I225" i="169"/>
  <c r="H225" i="169"/>
  <c r="G225" i="169"/>
  <c r="F225" i="169"/>
  <c r="E225" i="169"/>
  <c r="D225" i="169"/>
  <c r="U224" i="169"/>
  <c r="T224" i="169"/>
  <c r="S224" i="169"/>
  <c r="R224" i="169"/>
  <c r="Q224" i="169"/>
  <c r="P224" i="169"/>
  <c r="O224" i="169"/>
  <c r="N224" i="169"/>
  <c r="M224" i="169"/>
  <c r="L224" i="169"/>
  <c r="K224" i="169"/>
  <c r="J224" i="169"/>
  <c r="I224" i="169"/>
  <c r="H224" i="169"/>
  <c r="G224" i="169"/>
  <c r="F224" i="169"/>
  <c r="E224" i="169"/>
  <c r="D224" i="169"/>
  <c r="U223" i="169"/>
  <c r="T223" i="169"/>
  <c r="S223" i="169"/>
  <c r="R223" i="169"/>
  <c r="Q223" i="169"/>
  <c r="P223" i="169"/>
  <c r="O223" i="169"/>
  <c r="N223" i="169"/>
  <c r="M223" i="169"/>
  <c r="L223" i="169"/>
  <c r="K223" i="169"/>
  <c r="J223" i="169"/>
  <c r="I223" i="169"/>
  <c r="H223" i="169"/>
  <c r="G223" i="169"/>
  <c r="F223" i="169"/>
  <c r="E223" i="169"/>
  <c r="D223" i="169"/>
  <c r="U222" i="169"/>
  <c r="T222" i="169"/>
  <c r="S222" i="169"/>
  <c r="R222" i="169"/>
  <c r="Q222" i="169"/>
  <c r="P222" i="169"/>
  <c r="O222" i="169"/>
  <c r="N222" i="169"/>
  <c r="M222" i="169"/>
  <c r="L222" i="169"/>
  <c r="K222" i="169"/>
  <c r="J222" i="169"/>
  <c r="I222" i="169"/>
  <c r="H222" i="169"/>
  <c r="G222" i="169"/>
  <c r="F222" i="169"/>
  <c r="E222" i="169"/>
  <c r="D222" i="169"/>
  <c r="U221" i="169"/>
  <c r="T221" i="169"/>
  <c r="S221" i="169"/>
  <c r="R221" i="169"/>
  <c r="Q221" i="169"/>
  <c r="P221" i="169"/>
  <c r="O221" i="169"/>
  <c r="N221" i="169"/>
  <c r="M221" i="169"/>
  <c r="L221" i="169"/>
  <c r="K221" i="169"/>
  <c r="J221" i="169"/>
  <c r="I221" i="169"/>
  <c r="H221" i="169"/>
  <c r="G221" i="169"/>
  <c r="F221" i="169"/>
  <c r="E221" i="169"/>
  <c r="D221" i="169"/>
  <c r="U220" i="169"/>
  <c r="T220" i="169"/>
  <c r="S220" i="169"/>
  <c r="R220" i="169"/>
  <c r="Q220" i="169"/>
  <c r="P220" i="169"/>
  <c r="O220" i="169"/>
  <c r="N220" i="169"/>
  <c r="M220" i="169"/>
  <c r="L220" i="169"/>
  <c r="K220" i="169"/>
  <c r="J220" i="169"/>
  <c r="I220" i="169"/>
  <c r="H220" i="169"/>
  <c r="G220" i="169"/>
  <c r="F220" i="169"/>
  <c r="E220" i="169"/>
  <c r="D220" i="169"/>
  <c r="U219" i="169"/>
  <c r="T219" i="169"/>
  <c r="S219" i="169"/>
  <c r="R219" i="169"/>
  <c r="Q219" i="169"/>
  <c r="P219" i="169"/>
  <c r="O219" i="169"/>
  <c r="N219" i="169"/>
  <c r="M219" i="169"/>
  <c r="L219" i="169"/>
  <c r="K219" i="169"/>
  <c r="J219" i="169"/>
  <c r="I219" i="169"/>
  <c r="H219" i="169"/>
  <c r="G219" i="169"/>
  <c r="F219" i="169"/>
  <c r="E219" i="169"/>
  <c r="D219" i="169"/>
  <c r="P218" i="169"/>
  <c r="U217" i="169"/>
  <c r="T217" i="169"/>
  <c r="S217" i="169"/>
  <c r="R217" i="169"/>
  <c r="Q217" i="169"/>
  <c r="P217" i="169"/>
  <c r="O217" i="169"/>
  <c r="N217" i="169"/>
  <c r="M217" i="169"/>
  <c r="L217" i="169"/>
  <c r="K217" i="169"/>
  <c r="J217" i="169"/>
  <c r="I217" i="169"/>
  <c r="H217" i="169"/>
  <c r="G217" i="169"/>
  <c r="F217" i="169"/>
  <c r="E217" i="169"/>
  <c r="D217" i="169"/>
  <c r="U216" i="169"/>
  <c r="T216" i="169"/>
  <c r="S216" i="169"/>
  <c r="R216" i="169"/>
  <c r="Q216" i="169"/>
  <c r="P216" i="169"/>
  <c r="O216" i="169"/>
  <c r="N216" i="169"/>
  <c r="M216" i="169"/>
  <c r="L216" i="169"/>
  <c r="K216" i="169"/>
  <c r="J216" i="169"/>
  <c r="I216" i="169"/>
  <c r="H216" i="169"/>
  <c r="G216" i="169"/>
  <c r="F216" i="169"/>
  <c r="E216" i="169"/>
  <c r="D216" i="169"/>
  <c r="U215" i="169"/>
  <c r="T215" i="169"/>
  <c r="S215" i="169"/>
  <c r="R215" i="169"/>
  <c r="Q215" i="169"/>
  <c r="P215" i="169"/>
  <c r="O215" i="169"/>
  <c r="N215" i="169"/>
  <c r="M215" i="169"/>
  <c r="L215" i="169"/>
  <c r="K215" i="169"/>
  <c r="J215" i="169"/>
  <c r="I215" i="169"/>
  <c r="H215" i="169"/>
  <c r="G215" i="169"/>
  <c r="F215" i="169"/>
  <c r="E215" i="169"/>
  <c r="D215" i="169"/>
  <c r="U214" i="169"/>
  <c r="T214" i="169"/>
  <c r="S214" i="169"/>
  <c r="R214" i="169"/>
  <c r="Q214" i="169"/>
  <c r="P214" i="169"/>
  <c r="O214" i="169"/>
  <c r="N214" i="169"/>
  <c r="M214" i="169"/>
  <c r="L214" i="169"/>
  <c r="K214" i="169"/>
  <c r="J214" i="169"/>
  <c r="I214" i="169"/>
  <c r="H214" i="169"/>
  <c r="G214" i="169"/>
  <c r="F214" i="169"/>
  <c r="E214" i="169"/>
  <c r="D214" i="169"/>
  <c r="U213" i="169"/>
  <c r="T213" i="169"/>
  <c r="S213" i="169"/>
  <c r="R213" i="169"/>
  <c r="Q213" i="169"/>
  <c r="P213" i="169"/>
  <c r="O213" i="169"/>
  <c r="N213" i="169"/>
  <c r="M213" i="169"/>
  <c r="L213" i="169"/>
  <c r="K213" i="169"/>
  <c r="J213" i="169"/>
  <c r="I213" i="169"/>
  <c r="H213" i="169"/>
  <c r="G213" i="169"/>
  <c r="F213" i="169"/>
  <c r="E213" i="169"/>
  <c r="D213" i="169"/>
  <c r="U212" i="169"/>
  <c r="T212" i="169"/>
  <c r="S212" i="169"/>
  <c r="R212" i="169"/>
  <c r="Q212" i="169"/>
  <c r="P212" i="169"/>
  <c r="O212" i="169"/>
  <c r="N212" i="169"/>
  <c r="M212" i="169"/>
  <c r="L212" i="169"/>
  <c r="K212" i="169"/>
  <c r="J212" i="169"/>
  <c r="I212" i="169"/>
  <c r="H212" i="169"/>
  <c r="G212" i="169"/>
  <c r="F212" i="169"/>
  <c r="E212" i="169"/>
  <c r="D212" i="169"/>
  <c r="U211" i="169"/>
  <c r="T211" i="169"/>
  <c r="S211" i="169"/>
  <c r="R211" i="169"/>
  <c r="Q211" i="169"/>
  <c r="P211" i="169"/>
  <c r="O211" i="169"/>
  <c r="N211" i="169"/>
  <c r="M211" i="169"/>
  <c r="L211" i="169"/>
  <c r="K211" i="169"/>
  <c r="J211" i="169"/>
  <c r="I211" i="169"/>
  <c r="H211" i="169"/>
  <c r="G211" i="169"/>
  <c r="F211" i="169"/>
  <c r="E211" i="169"/>
  <c r="D211" i="169"/>
  <c r="U210" i="169"/>
  <c r="T210" i="169"/>
  <c r="S210" i="169"/>
  <c r="R210" i="169"/>
  <c r="Q210" i="169"/>
  <c r="P210" i="169"/>
  <c r="O210" i="169"/>
  <c r="N210" i="169"/>
  <c r="M210" i="169"/>
  <c r="L210" i="169"/>
  <c r="K210" i="169"/>
  <c r="J210" i="169"/>
  <c r="I210" i="169"/>
  <c r="H210" i="169"/>
  <c r="G210" i="169"/>
  <c r="F210" i="169"/>
  <c r="E210" i="169"/>
  <c r="D210" i="169"/>
  <c r="U209" i="169"/>
  <c r="T209" i="169"/>
  <c r="S209" i="169"/>
  <c r="R209" i="169"/>
  <c r="Q209" i="169"/>
  <c r="P209" i="169"/>
  <c r="O209" i="169"/>
  <c r="N209" i="169"/>
  <c r="M209" i="169"/>
  <c r="L209" i="169"/>
  <c r="K209" i="169"/>
  <c r="J209" i="169"/>
  <c r="I209" i="169"/>
  <c r="H209" i="169"/>
  <c r="G209" i="169"/>
  <c r="F209" i="169"/>
  <c r="E209" i="169"/>
  <c r="D209" i="169"/>
  <c r="U208" i="169"/>
  <c r="T208" i="169"/>
  <c r="S208" i="169"/>
  <c r="R208" i="169"/>
  <c r="Q208" i="169"/>
  <c r="P208" i="169"/>
  <c r="O208" i="169"/>
  <c r="N208" i="169"/>
  <c r="M208" i="169"/>
  <c r="L208" i="169"/>
  <c r="K208" i="169"/>
  <c r="J208" i="169"/>
  <c r="I208" i="169"/>
  <c r="H208" i="169"/>
  <c r="G208" i="169"/>
  <c r="F208" i="169"/>
  <c r="E208" i="169"/>
  <c r="D208" i="169"/>
  <c r="U207" i="169"/>
  <c r="T207" i="169"/>
  <c r="S207" i="169"/>
  <c r="R207" i="169"/>
  <c r="Q207" i="169"/>
  <c r="P207" i="169"/>
  <c r="O207" i="169"/>
  <c r="N207" i="169"/>
  <c r="M207" i="169"/>
  <c r="L207" i="169"/>
  <c r="K207" i="169"/>
  <c r="J207" i="169"/>
  <c r="I207" i="169"/>
  <c r="H207" i="169"/>
  <c r="G207" i="169"/>
  <c r="F207" i="169"/>
  <c r="E207" i="169"/>
  <c r="D207" i="169"/>
  <c r="U206" i="169"/>
  <c r="T206" i="169"/>
  <c r="S206" i="169"/>
  <c r="R206" i="169"/>
  <c r="Q206" i="169"/>
  <c r="P206" i="169"/>
  <c r="O206" i="169"/>
  <c r="N206" i="169"/>
  <c r="M206" i="169"/>
  <c r="L206" i="169"/>
  <c r="K206" i="169"/>
  <c r="J206" i="169"/>
  <c r="I206" i="169"/>
  <c r="H206" i="169"/>
  <c r="G206" i="169"/>
  <c r="F206" i="169"/>
  <c r="E206" i="169"/>
  <c r="D206" i="169"/>
  <c r="U205" i="169"/>
  <c r="T205" i="169"/>
  <c r="S205" i="169"/>
  <c r="R205" i="169"/>
  <c r="Q205" i="169"/>
  <c r="P205" i="169"/>
  <c r="O205" i="169"/>
  <c r="N205" i="169"/>
  <c r="M205" i="169"/>
  <c r="L205" i="169"/>
  <c r="K205" i="169"/>
  <c r="J205" i="169"/>
  <c r="I205" i="169"/>
  <c r="H205" i="169"/>
  <c r="G205" i="169"/>
  <c r="F205" i="169"/>
  <c r="E205" i="169"/>
  <c r="D205" i="169"/>
  <c r="P204" i="169"/>
  <c r="U203" i="169"/>
  <c r="T203" i="169"/>
  <c r="S203" i="169"/>
  <c r="R203" i="169"/>
  <c r="Q203" i="169"/>
  <c r="P203" i="169"/>
  <c r="O203" i="169"/>
  <c r="N203" i="169"/>
  <c r="M203" i="169"/>
  <c r="L203" i="169"/>
  <c r="K203" i="169"/>
  <c r="J203" i="169"/>
  <c r="I203" i="169"/>
  <c r="H203" i="169"/>
  <c r="G203" i="169"/>
  <c r="F203" i="169"/>
  <c r="E203" i="169"/>
  <c r="D203" i="169"/>
  <c r="U202" i="169"/>
  <c r="T202" i="169"/>
  <c r="S202" i="169"/>
  <c r="R202" i="169"/>
  <c r="Q202" i="169"/>
  <c r="P202" i="169"/>
  <c r="O202" i="169"/>
  <c r="N202" i="169"/>
  <c r="M202" i="169"/>
  <c r="L202" i="169"/>
  <c r="K202" i="169"/>
  <c r="J202" i="169"/>
  <c r="I202" i="169"/>
  <c r="H202" i="169"/>
  <c r="G202" i="169"/>
  <c r="F202" i="169"/>
  <c r="E202" i="169"/>
  <c r="D202" i="169"/>
  <c r="U201" i="169"/>
  <c r="T201" i="169"/>
  <c r="S201" i="169"/>
  <c r="R201" i="169"/>
  <c r="Q201" i="169"/>
  <c r="P201" i="169"/>
  <c r="O201" i="169"/>
  <c r="N201" i="169"/>
  <c r="M201" i="169"/>
  <c r="L201" i="169"/>
  <c r="K201" i="169"/>
  <c r="J201" i="169"/>
  <c r="I201" i="169"/>
  <c r="H201" i="169"/>
  <c r="G201" i="169"/>
  <c r="F201" i="169"/>
  <c r="E201" i="169"/>
  <c r="D201" i="169"/>
  <c r="U200" i="169"/>
  <c r="T200" i="169"/>
  <c r="S200" i="169"/>
  <c r="R200" i="169"/>
  <c r="Q200" i="169"/>
  <c r="P200" i="169"/>
  <c r="O200" i="169"/>
  <c r="N200" i="169"/>
  <c r="M200" i="169"/>
  <c r="L200" i="169"/>
  <c r="K200" i="169"/>
  <c r="J200" i="169"/>
  <c r="I200" i="169"/>
  <c r="H200" i="169"/>
  <c r="G200" i="169"/>
  <c r="F200" i="169"/>
  <c r="E200" i="169"/>
  <c r="D200" i="169"/>
  <c r="U199" i="169"/>
  <c r="T199" i="169"/>
  <c r="S199" i="169"/>
  <c r="R199" i="169"/>
  <c r="Q199" i="169"/>
  <c r="P199" i="169"/>
  <c r="O199" i="169"/>
  <c r="N199" i="169"/>
  <c r="M199" i="169"/>
  <c r="L199" i="169"/>
  <c r="K199" i="169"/>
  <c r="J199" i="169"/>
  <c r="I199" i="169"/>
  <c r="H199" i="169"/>
  <c r="G199" i="169"/>
  <c r="F199" i="169"/>
  <c r="E199" i="169"/>
  <c r="D199" i="169"/>
  <c r="U198" i="169"/>
  <c r="T198" i="169"/>
  <c r="S198" i="169"/>
  <c r="R198" i="169"/>
  <c r="Q198" i="169"/>
  <c r="P198" i="169"/>
  <c r="O198" i="169"/>
  <c r="N198" i="169"/>
  <c r="M198" i="169"/>
  <c r="L198" i="169"/>
  <c r="K198" i="169"/>
  <c r="J198" i="169"/>
  <c r="I198" i="169"/>
  <c r="H198" i="169"/>
  <c r="G198" i="169"/>
  <c r="F198" i="169"/>
  <c r="E198" i="169"/>
  <c r="D198" i="169"/>
  <c r="U197" i="169"/>
  <c r="T197" i="169"/>
  <c r="S197" i="169"/>
  <c r="R197" i="169"/>
  <c r="Q197" i="169"/>
  <c r="P197" i="169"/>
  <c r="O197" i="169"/>
  <c r="N197" i="169"/>
  <c r="M197" i="169"/>
  <c r="L197" i="169"/>
  <c r="K197" i="169"/>
  <c r="J197" i="169"/>
  <c r="I197" i="169"/>
  <c r="H197" i="169"/>
  <c r="G197" i="169"/>
  <c r="F197" i="169"/>
  <c r="E197" i="169"/>
  <c r="D197" i="169"/>
  <c r="U191" i="169"/>
  <c r="T191" i="169"/>
  <c r="S191" i="169"/>
  <c r="R191" i="169"/>
  <c r="Q191" i="169"/>
  <c r="P191" i="169"/>
  <c r="O191" i="169"/>
  <c r="N191" i="169"/>
  <c r="M191" i="169"/>
  <c r="L191" i="169"/>
  <c r="K191" i="169"/>
  <c r="J191" i="169"/>
  <c r="I191" i="169"/>
  <c r="H191" i="169"/>
  <c r="G191" i="169"/>
  <c r="F191" i="169"/>
  <c r="E191" i="169"/>
  <c r="D191" i="169"/>
  <c r="U190" i="169"/>
  <c r="T190" i="169"/>
  <c r="S190" i="169"/>
  <c r="R190" i="169"/>
  <c r="Q190" i="169"/>
  <c r="P190" i="169"/>
  <c r="O190" i="169"/>
  <c r="N190" i="169"/>
  <c r="M190" i="169"/>
  <c r="L190" i="169"/>
  <c r="K190" i="169"/>
  <c r="J190" i="169"/>
  <c r="I190" i="169"/>
  <c r="H190" i="169"/>
  <c r="G190" i="169"/>
  <c r="F190" i="169"/>
  <c r="E190" i="169"/>
  <c r="D190" i="169"/>
  <c r="U189" i="169"/>
  <c r="T189" i="169"/>
  <c r="S189" i="169"/>
  <c r="R189" i="169"/>
  <c r="Q189" i="169"/>
  <c r="P189" i="169"/>
  <c r="O189" i="169"/>
  <c r="N189" i="169"/>
  <c r="M189" i="169"/>
  <c r="L189" i="169"/>
  <c r="K189" i="169"/>
  <c r="J189" i="169"/>
  <c r="I189" i="169"/>
  <c r="H189" i="169"/>
  <c r="G189" i="169"/>
  <c r="F189" i="169"/>
  <c r="E189" i="169"/>
  <c r="D189" i="169"/>
  <c r="U188" i="169"/>
  <c r="T188" i="169"/>
  <c r="S188" i="169"/>
  <c r="R188" i="169"/>
  <c r="Q188" i="169"/>
  <c r="P188" i="169"/>
  <c r="O188" i="169"/>
  <c r="N188" i="169"/>
  <c r="M188" i="169"/>
  <c r="L188" i="169"/>
  <c r="K188" i="169"/>
  <c r="J188" i="169"/>
  <c r="I188" i="169"/>
  <c r="H188" i="169"/>
  <c r="G188" i="169"/>
  <c r="F188" i="169"/>
  <c r="E188" i="169"/>
  <c r="D188" i="169"/>
  <c r="U187" i="169"/>
  <c r="T187" i="169"/>
  <c r="S187" i="169"/>
  <c r="R187" i="169"/>
  <c r="Q187" i="169"/>
  <c r="P187" i="169"/>
  <c r="O187" i="169"/>
  <c r="N187" i="169"/>
  <c r="M187" i="169"/>
  <c r="L187" i="169"/>
  <c r="K187" i="169"/>
  <c r="J187" i="169"/>
  <c r="I187" i="169"/>
  <c r="H187" i="169"/>
  <c r="G187" i="169"/>
  <c r="F187" i="169"/>
  <c r="E187" i="169"/>
  <c r="D187" i="169"/>
  <c r="U186" i="169"/>
  <c r="T186" i="169"/>
  <c r="S186" i="169"/>
  <c r="R186" i="169"/>
  <c r="Q186" i="169"/>
  <c r="P186" i="169"/>
  <c r="O186" i="169"/>
  <c r="N186" i="169"/>
  <c r="M186" i="169"/>
  <c r="L186" i="169"/>
  <c r="K186" i="169"/>
  <c r="J186" i="169"/>
  <c r="I186" i="169"/>
  <c r="H186" i="169"/>
  <c r="G186" i="169"/>
  <c r="F186" i="169"/>
  <c r="E186" i="169"/>
  <c r="D186" i="169"/>
  <c r="U185" i="169"/>
  <c r="T185" i="169"/>
  <c r="S185" i="169"/>
  <c r="R185" i="169"/>
  <c r="Q185" i="169"/>
  <c r="P185" i="169"/>
  <c r="O185" i="169"/>
  <c r="N185" i="169"/>
  <c r="M185" i="169"/>
  <c r="L185" i="169"/>
  <c r="K185" i="169"/>
  <c r="J185" i="169"/>
  <c r="I185" i="169"/>
  <c r="H185" i="169"/>
  <c r="G185" i="169"/>
  <c r="F185" i="169"/>
  <c r="E185" i="169"/>
  <c r="D185" i="169"/>
  <c r="U184" i="169"/>
  <c r="T184" i="169"/>
  <c r="S184" i="169"/>
  <c r="R184" i="169"/>
  <c r="Q184" i="169"/>
  <c r="P184" i="169"/>
  <c r="O184" i="169"/>
  <c r="N184" i="169"/>
  <c r="M184" i="169"/>
  <c r="L184" i="169"/>
  <c r="K184" i="169"/>
  <c r="J184" i="169"/>
  <c r="I184" i="169"/>
  <c r="H184" i="169"/>
  <c r="G184" i="169"/>
  <c r="F184" i="169"/>
  <c r="E184" i="169"/>
  <c r="D184" i="169"/>
  <c r="U183" i="169"/>
  <c r="T183" i="169"/>
  <c r="S183" i="169"/>
  <c r="R183" i="169"/>
  <c r="Q183" i="169"/>
  <c r="P183" i="169"/>
  <c r="O183" i="169"/>
  <c r="N183" i="169"/>
  <c r="M183" i="169"/>
  <c r="L183" i="169"/>
  <c r="K183" i="169"/>
  <c r="J183" i="169"/>
  <c r="I183" i="169"/>
  <c r="H183" i="169"/>
  <c r="G183" i="169"/>
  <c r="F183" i="169"/>
  <c r="E183" i="169"/>
  <c r="D183" i="169"/>
  <c r="U182" i="169"/>
  <c r="T182" i="169"/>
  <c r="S182" i="169"/>
  <c r="R182" i="169"/>
  <c r="Q182" i="169"/>
  <c r="P182" i="169"/>
  <c r="O182" i="169"/>
  <c r="N182" i="169"/>
  <c r="M182" i="169"/>
  <c r="L182" i="169"/>
  <c r="K182" i="169"/>
  <c r="J182" i="169"/>
  <c r="I182" i="169"/>
  <c r="H182" i="169"/>
  <c r="G182" i="169"/>
  <c r="F182" i="169"/>
  <c r="E182" i="169"/>
  <c r="D182" i="169"/>
  <c r="P181" i="169"/>
  <c r="U180" i="169"/>
  <c r="T180" i="169"/>
  <c r="S180" i="169"/>
  <c r="R180" i="169"/>
  <c r="Q180" i="169"/>
  <c r="P180" i="169"/>
  <c r="O180" i="169"/>
  <c r="N180" i="169"/>
  <c r="M180" i="169"/>
  <c r="L180" i="169"/>
  <c r="K180" i="169"/>
  <c r="J180" i="169"/>
  <c r="I180" i="169"/>
  <c r="H180" i="169"/>
  <c r="G180" i="169"/>
  <c r="F180" i="169"/>
  <c r="E180" i="169"/>
  <c r="D180" i="169"/>
  <c r="U179" i="169"/>
  <c r="T179" i="169"/>
  <c r="S179" i="169"/>
  <c r="R179" i="169"/>
  <c r="Q179" i="169"/>
  <c r="P179" i="169"/>
  <c r="O179" i="169"/>
  <c r="N179" i="169"/>
  <c r="M179" i="169"/>
  <c r="L179" i="169"/>
  <c r="K179" i="169"/>
  <c r="J179" i="169"/>
  <c r="I179" i="169"/>
  <c r="H179" i="169"/>
  <c r="G179" i="169"/>
  <c r="F179" i="169"/>
  <c r="E179" i="169"/>
  <c r="D179" i="169"/>
  <c r="U178" i="169"/>
  <c r="T178" i="169"/>
  <c r="S178" i="169"/>
  <c r="R178" i="169"/>
  <c r="Q178" i="169"/>
  <c r="P178" i="169"/>
  <c r="O178" i="169"/>
  <c r="N178" i="169"/>
  <c r="M178" i="169"/>
  <c r="L178" i="169"/>
  <c r="K178" i="169"/>
  <c r="J178" i="169"/>
  <c r="I178" i="169"/>
  <c r="H178" i="169"/>
  <c r="G178" i="169"/>
  <c r="F178" i="169"/>
  <c r="E178" i="169"/>
  <c r="D178" i="169"/>
  <c r="U177" i="169"/>
  <c r="T177" i="169"/>
  <c r="S177" i="169"/>
  <c r="R177" i="169"/>
  <c r="Q177" i="169"/>
  <c r="P177" i="169"/>
  <c r="O177" i="169"/>
  <c r="N177" i="169"/>
  <c r="M177" i="169"/>
  <c r="L177" i="169"/>
  <c r="K177" i="169"/>
  <c r="J177" i="169"/>
  <c r="I177" i="169"/>
  <c r="H177" i="169"/>
  <c r="G177" i="169"/>
  <c r="F177" i="169"/>
  <c r="E177" i="169"/>
  <c r="D177" i="169"/>
  <c r="U176" i="169"/>
  <c r="T176" i="169"/>
  <c r="S176" i="169"/>
  <c r="R176" i="169"/>
  <c r="Q176" i="169"/>
  <c r="P176" i="169"/>
  <c r="O176" i="169"/>
  <c r="N176" i="169"/>
  <c r="M176" i="169"/>
  <c r="L176" i="169"/>
  <c r="K176" i="169"/>
  <c r="J176" i="169"/>
  <c r="I176" i="169"/>
  <c r="H176" i="169"/>
  <c r="G176" i="169"/>
  <c r="F176" i="169"/>
  <c r="E176" i="169"/>
  <c r="D176" i="169"/>
  <c r="U175" i="169"/>
  <c r="T175" i="169"/>
  <c r="S175" i="169"/>
  <c r="R175" i="169"/>
  <c r="Q175" i="169"/>
  <c r="P175" i="169"/>
  <c r="O175" i="169"/>
  <c r="N175" i="169"/>
  <c r="M175" i="169"/>
  <c r="L175" i="169"/>
  <c r="K175" i="169"/>
  <c r="J175" i="169"/>
  <c r="I175" i="169"/>
  <c r="H175" i="169"/>
  <c r="G175" i="169"/>
  <c r="F175" i="169"/>
  <c r="E175" i="169"/>
  <c r="D175" i="169"/>
  <c r="U174" i="169"/>
  <c r="T174" i="169"/>
  <c r="S174" i="169"/>
  <c r="R174" i="169"/>
  <c r="Q174" i="169"/>
  <c r="P174" i="169"/>
  <c r="O174" i="169"/>
  <c r="N174" i="169"/>
  <c r="M174" i="169"/>
  <c r="L174" i="169"/>
  <c r="K174" i="169"/>
  <c r="J174" i="169"/>
  <c r="I174" i="169"/>
  <c r="H174" i="169"/>
  <c r="G174" i="169"/>
  <c r="F174" i="169"/>
  <c r="E174" i="169"/>
  <c r="D174" i="169"/>
  <c r="U173" i="169"/>
  <c r="T173" i="169"/>
  <c r="S173" i="169"/>
  <c r="R173" i="169"/>
  <c r="Q173" i="169"/>
  <c r="P173" i="169"/>
  <c r="O173" i="169"/>
  <c r="N173" i="169"/>
  <c r="M173" i="169"/>
  <c r="L173" i="169"/>
  <c r="K173" i="169"/>
  <c r="J173" i="169"/>
  <c r="I173" i="169"/>
  <c r="H173" i="169"/>
  <c r="G173" i="169"/>
  <c r="F173" i="169"/>
  <c r="E173" i="169"/>
  <c r="D173" i="169"/>
  <c r="U172" i="169"/>
  <c r="T172" i="169"/>
  <c r="S172" i="169"/>
  <c r="R172" i="169"/>
  <c r="Q172" i="169"/>
  <c r="P172" i="169"/>
  <c r="O172" i="169"/>
  <c r="N172" i="169"/>
  <c r="M172" i="169"/>
  <c r="L172" i="169"/>
  <c r="K172" i="169"/>
  <c r="J172" i="169"/>
  <c r="I172" i="169"/>
  <c r="H172" i="169"/>
  <c r="G172" i="169"/>
  <c r="F172" i="169"/>
  <c r="E172" i="169"/>
  <c r="D172" i="169"/>
  <c r="U171" i="169"/>
  <c r="T171" i="169"/>
  <c r="S171" i="169"/>
  <c r="R171" i="169"/>
  <c r="Q171" i="169"/>
  <c r="P171" i="169"/>
  <c r="O171" i="169"/>
  <c r="N171" i="169"/>
  <c r="M171" i="169"/>
  <c r="L171" i="169"/>
  <c r="K171" i="169"/>
  <c r="J171" i="169"/>
  <c r="I171" i="169"/>
  <c r="H171" i="169"/>
  <c r="G171" i="169"/>
  <c r="F171" i="169"/>
  <c r="E171" i="169"/>
  <c r="D171" i="169"/>
  <c r="U170" i="169"/>
  <c r="T170" i="169"/>
  <c r="S170" i="169"/>
  <c r="R170" i="169"/>
  <c r="Q170" i="169"/>
  <c r="P170" i="169"/>
  <c r="O170" i="169"/>
  <c r="N170" i="169"/>
  <c r="M170" i="169"/>
  <c r="L170" i="169"/>
  <c r="K170" i="169"/>
  <c r="J170" i="169"/>
  <c r="I170" i="169"/>
  <c r="H170" i="169"/>
  <c r="G170" i="169"/>
  <c r="F170" i="169"/>
  <c r="E170" i="169"/>
  <c r="D170" i="169"/>
  <c r="U169" i="169"/>
  <c r="T169" i="169"/>
  <c r="S169" i="169"/>
  <c r="R169" i="169"/>
  <c r="Q169" i="169"/>
  <c r="P169" i="169"/>
  <c r="O169" i="169"/>
  <c r="N169" i="169"/>
  <c r="M169" i="169"/>
  <c r="L169" i="169"/>
  <c r="K169" i="169"/>
  <c r="J169" i="169"/>
  <c r="I169" i="169"/>
  <c r="H169" i="169"/>
  <c r="G169" i="169"/>
  <c r="F169" i="169"/>
  <c r="E169" i="169"/>
  <c r="D169" i="169"/>
  <c r="U168" i="169"/>
  <c r="T168" i="169"/>
  <c r="S168" i="169"/>
  <c r="R168" i="169"/>
  <c r="Q168" i="169"/>
  <c r="P168" i="169"/>
  <c r="O168" i="169"/>
  <c r="N168" i="169"/>
  <c r="M168" i="169"/>
  <c r="L168" i="169"/>
  <c r="K168" i="169"/>
  <c r="J168" i="169"/>
  <c r="I168" i="169"/>
  <c r="H168" i="169"/>
  <c r="G168" i="169"/>
  <c r="F168" i="169"/>
  <c r="E168" i="169"/>
  <c r="D168" i="169"/>
  <c r="P167" i="169"/>
  <c r="U166" i="169"/>
  <c r="T166" i="169"/>
  <c r="S166" i="169"/>
  <c r="R166" i="169"/>
  <c r="Q166" i="169"/>
  <c r="P166" i="169"/>
  <c r="O166" i="169"/>
  <c r="N166" i="169"/>
  <c r="M166" i="169"/>
  <c r="L166" i="169"/>
  <c r="K166" i="169"/>
  <c r="J166" i="169"/>
  <c r="I166" i="169"/>
  <c r="H166" i="169"/>
  <c r="G166" i="169"/>
  <c r="F166" i="169"/>
  <c r="E166" i="169"/>
  <c r="D166" i="169"/>
  <c r="U165" i="169"/>
  <c r="T165" i="169"/>
  <c r="S165" i="169"/>
  <c r="R165" i="169"/>
  <c r="Q165" i="169"/>
  <c r="P165" i="169"/>
  <c r="O165" i="169"/>
  <c r="N165" i="169"/>
  <c r="M165" i="169"/>
  <c r="L165" i="169"/>
  <c r="K165" i="169"/>
  <c r="J165" i="169"/>
  <c r="I165" i="169"/>
  <c r="H165" i="169"/>
  <c r="G165" i="169"/>
  <c r="F165" i="169"/>
  <c r="E165" i="169"/>
  <c r="D165" i="169"/>
  <c r="U164" i="169"/>
  <c r="T164" i="169"/>
  <c r="S164" i="169"/>
  <c r="R164" i="169"/>
  <c r="Q164" i="169"/>
  <c r="P164" i="169"/>
  <c r="O164" i="169"/>
  <c r="N164" i="169"/>
  <c r="M164" i="169"/>
  <c r="L164" i="169"/>
  <c r="K164" i="169"/>
  <c r="J164" i="169"/>
  <c r="I164" i="169"/>
  <c r="H164" i="169"/>
  <c r="G164" i="169"/>
  <c r="F164" i="169"/>
  <c r="E164" i="169"/>
  <c r="D164" i="169"/>
  <c r="U163" i="169"/>
  <c r="T163" i="169"/>
  <c r="S163" i="169"/>
  <c r="R163" i="169"/>
  <c r="Q163" i="169"/>
  <c r="P163" i="169"/>
  <c r="O163" i="169"/>
  <c r="N163" i="169"/>
  <c r="M163" i="169"/>
  <c r="L163" i="169"/>
  <c r="K163" i="169"/>
  <c r="J163" i="169"/>
  <c r="I163" i="169"/>
  <c r="H163" i="169"/>
  <c r="G163" i="169"/>
  <c r="F163" i="169"/>
  <c r="E163" i="169"/>
  <c r="D163" i="169"/>
  <c r="U162" i="169"/>
  <c r="T162" i="169"/>
  <c r="S162" i="169"/>
  <c r="R162" i="169"/>
  <c r="Q162" i="169"/>
  <c r="P162" i="169"/>
  <c r="O162" i="169"/>
  <c r="N162" i="169"/>
  <c r="M162" i="169"/>
  <c r="L162" i="169"/>
  <c r="K162" i="169"/>
  <c r="J162" i="169"/>
  <c r="I162" i="169"/>
  <c r="H162" i="169"/>
  <c r="G162" i="169"/>
  <c r="F162" i="169"/>
  <c r="E162" i="169"/>
  <c r="D162" i="169"/>
  <c r="U161" i="169"/>
  <c r="T161" i="169"/>
  <c r="S161" i="169"/>
  <c r="R161" i="169"/>
  <c r="Q161" i="169"/>
  <c r="P161" i="169"/>
  <c r="O161" i="169"/>
  <c r="N161" i="169"/>
  <c r="M161" i="169"/>
  <c r="L161" i="169"/>
  <c r="K161" i="169"/>
  <c r="J161" i="169"/>
  <c r="I161" i="169"/>
  <c r="H161" i="169"/>
  <c r="G161" i="169"/>
  <c r="F161" i="169"/>
  <c r="E161" i="169"/>
  <c r="D161" i="169"/>
  <c r="U160" i="169"/>
  <c r="T160" i="169"/>
  <c r="S160" i="169"/>
  <c r="R160" i="169"/>
  <c r="Q160" i="169"/>
  <c r="P160" i="169"/>
  <c r="O160" i="169"/>
  <c r="N160" i="169"/>
  <c r="M160" i="169"/>
  <c r="L160" i="169"/>
  <c r="K160" i="169"/>
  <c r="J160" i="169"/>
  <c r="I160" i="169"/>
  <c r="H160" i="169"/>
  <c r="G160" i="169"/>
  <c r="F160" i="169"/>
  <c r="E160" i="169"/>
  <c r="D160" i="169"/>
  <c r="U154" i="169"/>
  <c r="T154" i="169"/>
  <c r="S154" i="169"/>
  <c r="R154" i="169"/>
  <c r="Q154" i="169"/>
  <c r="P154" i="169"/>
  <c r="O154" i="169"/>
  <c r="N154" i="169"/>
  <c r="M154" i="169"/>
  <c r="L154" i="169"/>
  <c r="K154" i="169"/>
  <c r="J154" i="169"/>
  <c r="I154" i="169"/>
  <c r="H154" i="169"/>
  <c r="G154" i="169"/>
  <c r="F154" i="169"/>
  <c r="E154" i="169"/>
  <c r="D154" i="169"/>
  <c r="U153" i="169"/>
  <c r="T153" i="169"/>
  <c r="S153" i="169"/>
  <c r="R153" i="169"/>
  <c r="Q153" i="169"/>
  <c r="P153" i="169"/>
  <c r="O153" i="169"/>
  <c r="N153" i="169"/>
  <c r="M153" i="169"/>
  <c r="L153" i="169"/>
  <c r="K153" i="169"/>
  <c r="J153" i="169"/>
  <c r="I153" i="169"/>
  <c r="H153" i="169"/>
  <c r="G153" i="169"/>
  <c r="F153" i="169"/>
  <c r="E153" i="169"/>
  <c r="D153" i="169"/>
  <c r="U152" i="169"/>
  <c r="T152" i="169"/>
  <c r="S152" i="169"/>
  <c r="R152" i="169"/>
  <c r="Q152" i="169"/>
  <c r="P152" i="169"/>
  <c r="O152" i="169"/>
  <c r="N152" i="169"/>
  <c r="M152" i="169"/>
  <c r="L152" i="169"/>
  <c r="K152" i="169"/>
  <c r="J152" i="169"/>
  <c r="I152" i="169"/>
  <c r="H152" i="169"/>
  <c r="G152" i="169"/>
  <c r="F152" i="169"/>
  <c r="E152" i="169"/>
  <c r="D152" i="169"/>
  <c r="U151" i="169"/>
  <c r="T151" i="169"/>
  <c r="S151" i="169"/>
  <c r="R151" i="169"/>
  <c r="Q151" i="169"/>
  <c r="P151" i="169"/>
  <c r="O151" i="169"/>
  <c r="N151" i="169"/>
  <c r="M151" i="169"/>
  <c r="L151" i="169"/>
  <c r="K151" i="169"/>
  <c r="J151" i="169"/>
  <c r="I151" i="169"/>
  <c r="H151" i="169"/>
  <c r="G151" i="169"/>
  <c r="F151" i="169"/>
  <c r="E151" i="169"/>
  <c r="D151" i="169"/>
  <c r="U150" i="169"/>
  <c r="T150" i="169"/>
  <c r="S150" i="169"/>
  <c r="R150" i="169"/>
  <c r="Q150" i="169"/>
  <c r="P150" i="169"/>
  <c r="O150" i="169"/>
  <c r="N150" i="169"/>
  <c r="M150" i="169"/>
  <c r="L150" i="169"/>
  <c r="K150" i="169"/>
  <c r="J150" i="169"/>
  <c r="I150" i="169"/>
  <c r="H150" i="169"/>
  <c r="G150" i="169"/>
  <c r="F150" i="169"/>
  <c r="E150" i="169"/>
  <c r="D150" i="169"/>
  <c r="U149" i="169"/>
  <c r="T149" i="169"/>
  <c r="S149" i="169"/>
  <c r="R149" i="169"/>
  <c r="Q149" i="169"/>
  <c r="P149" i="169"/>
  <c r="O149" i="169"/>
  <c r="N149" i="169"/>
  <c r="M149" i="169"/>
  <c r="L149" i="169"/>
  <c r="K149" i="169"/>
  <c r="J149" i="169"/>
  <c r="I149" i="169"/>
  <c r="H149" i="169"/>
  <c r="G149" i="169"/>
  <c r="F149" i="169"/>
  <c r="E149" i="169"/>
  <c r="D149" i="169"/>
  <c r="U148" i="169"/>
  <c r="T148" i="169"/>
  <c r="S148" i="169"/>
  <c r="R148" i="169"/>
  <c r="Q148" i="169"/>
  <c r="P148" i="169"/>
  <c r="O148" i="169"/>
  <c r="N148" i="169"/>
  <c r="M148" i="169"/>
  <c r="L148" i="169"/>
  <c r="K148" i="169"/>
  <c r="J148" i="169"/>
  <c r="I148" i="169"/>
  <c r="H148" i="169"/>
  <c r="G148" i="169"/>
  <c r="F148" i="169"/>
  <c r="E148" i="169"/>
  <c r="D148" i="169"/>
  <c r="U147" i="169"/>
  <c r="T147" i="169"/>
  <c r="S147" i="169"/>
  <c r="R147" i="169"/>
  <c r="Q147" i="169"/>
  <c r="P147" i="169"/>
  <c r="O147" i="169"/>
  <c r="N147" i="169"/>
  <c r="M147" i="169"/>
  <c r="L147" i="169"/>
  <c r="K147" i="169"/>
  <c r="J147" i="169"/>
  <c r="I147" i="169"/>
  <c r="H147" i="169"/>
  <c r="G147" i="169"/>
  <c r="F147" i="169"/>
  <c r="E147" i="169"/>
  <c r="D147" i="169"/>
  <c r="U146" i="169"/>
  <c r="T146" i="169"/>
  <c r="S146" i="169"/>
  <c r="R146" i="169"/>
  <c r="Q146" i="169"/>
  <c r="P146" i="169"/>
  <c r="O146" i="169"/>
  <c r="N146" i="169"/>
  <c r="M146" i="169"/>
  <c r="L146" i="169"/>
  <c r="K146" i="169"/>
  <c r="J146" i="169"/>
  <c r="I146" i="169"/>
  <c r="H146" i="169"/>
  <c r="G146" i="169"/>
  <c r="F146" i="169"/>
  <c r="E146" i="169"/>
  <c r="D146" i="169"/>
  <c r="U145" i="169"/>
  <c r="T145" i="169"/>
  <c r="S145" i="169"/>
  <c r="R145" i="169"/>
  <c r="Q145" i="169"/>
  <c r="P145" i="169"/>
  <c r="O145" i="169"/>
  <c r="N145" i="169"/>
  <c r="M145" i="169"/>
  <c r="L145" i="169"/>
  <c r="K145" i="169"/>
  <c r="J145" i="169"/>
  <c r="I145" i="169"/>
  <c r="H145" i="169"/>
  <c r="G145" i="169"/>
  <c r="F145" i="169"/>
  <c r="E145" i="169"/>
  <c r="D145" i="169"/>
  <c r="P144" i="169"/>
  <c r="U143" i="169"/>
  <c r="T143" i="169"/>
  <c r="S143" i="169"/>
  <c r="R143" i="169"/>
  <c r="Q143" i="169"/>
  <c r="P143" i="169"/>
  <c r="O143" i="169"/>
  <c r="N143" i="169"/>
  <c r="M143" i="169"/>
  <c r="L143" i="169"/>
  <c r="K143" i="169"/>
  <c r="J143" i="169"/>
  <c r="I143" i="169"/>
  <c r="H143" i="169"/>
  <c r="G143" i="169"/>
  <c r="F143" i="169"/>
  <c r="E143" i="169"/>
  <c r="D143" i="169"/>
  <c r="U142" i="169"/>
  <c r="T142" i="169"/>
  <c r="S142" i="169"/>
  <c r="R142" i="169"/>
  <c r="Q142" i="169"/>
  <c r="P142" i="169"/>
  <c r="O142" i="169"/>
  <c r="N142" i="169"/>
  <c r="M142" i="169"/>
  <c r="L142" i="169"/>
  <c r="K142" i="169"/>
  <c r="J142" i="169"/>
  <c r="I142" i="169"/>
  <c r="H142" i="169"/>
  <c r="G142" i="169"/>
  <c r="F142" i="169"/>
  <c r="E142" i="169"/>
  <c r="D142" i="169"/>
  <c r="U141" i="169"/>
  <c r="T141" i="169"/>
  <c r="S141" i="169"/>
  <c r="R141" i="169"/>
  <c r="Q141" i="169"/>
  <c r="P141" i="169"/>
  <c r="O141" i="169"/>
  <c r="N141" i="169"/>
  <c r="M141" i="169"/>
  <c r="L141" i="169"/>
  <c r="K141" i="169"/>
  <c r="J141" i="169"/>
  <c r="I141" i="169"/>
  <c r="H141" i="169"/>
  <c r="G141" i="169"/>
  <c r="F141" i="169"/>
  <c r="E141" i="169"/>
  <c r="D141" i="169"/>
  <c r="U140" i="169"/>
  <c r="T140" i="169"/>
  <c r="S140" i="169"/>
  <c r="R140" i="169"/>
  <c r="Q140" i="169"/>
  <c r="P140" i="169"/>
  <c r="O140" i="169"/>
  <c r="N140" i="169"/>
  <c r="M140" i="169"/>
  <c r="L140" i="169"/>
  <c r="K140" i="169"/>
  <c r="J140" i="169"/>
  <c r="I140" i="169"/>
  <c r="H140" i="169"/>
  <c r="G140" i="169"/>
  <c r="F140" i="169"/>
  <c r="E140" i="169"/>
  <c r="D140" i="169"/>
  <c r="U139" i="169"/>
  <c r="T139" i="169"/>
  <c r="S139" i="169"/>
  <c r="R139" i="169"/>
  <c r="Q139" i="169"/>
  <c r="P139" i="169"/>
  <c r="O139" i="169"/>
  <c r="N139" i="169"/>
  <c r="M139" i="169"/>
  <c r="L139" i="169"/>
  <c r="K139" i="169"/>
  <c r="J139" i="169"/>
  <c r="I139" i="169"/>
  <c r="H139" i="169"/>
  <c r="G139" i="169"/>
  <c r="F139" i="169"/>
  <c r="E139" i="169"/>
  <c r="D139" i="169"/>
  <c r="U138" i="169"/>
  <c r="T138" i="169"/>
  <c r="S138" i="169"/>
  <c r="R138" i="169"/>
  <c r="Q138" i="169"/>
  <c r="P138" i="169"/>
  <c r="O138" i="169"/>
  <c r="N138" i="169"/>
  <c r="M138" i="169"/>
  <c r="L138" i="169"/>
  <c r="K138" i="169"/>
  <c r="J138" i="169"/>
  <c r="I138" i="169"/>
  <c r="H138" i="169"/>
  <c r="G138" i="169"/>
  <c r="F138" i="169"/>
  <c r="E138" i="169"/>
  <c r="D138" i="169"/>
  <c r="U137" i="169"/>
  <c r="T137" i="169"/>
  <c r="S137" i="169"/>
  <c r="R137" i="169"/>
  <c r="Q137" i="169"/>
  <c r="P137" i="169"/>
  <c r="O137" i="169"/>
  <c r="N137" i="169"/>
  <c r="M137" i="169"/>
  <c r="L137" i="169"/>
  <c r="K137" i="169"/>
  <c r="J137" i="169"/>
  <c r="I137" i="169"/>
  <c r="H137" i="169"/>
  <c r="G137" i="169"/>
  <c r="F137" i="169"/>
  <c r="E137" i="169"/>
  <c r="D137" i="169"/>
  <c r="U136" i="169"/>
  <c r="T136" i="169"/>
  <c r="S136" i="169"/>
  <c r="R136" i="169"/>
  <c r="Q136" i="169"/>
  <c r="P136" i="169"/>
  <c r="O136" i="169"/>
  <c r="N136" i="169"/>
  <c r="M136" i="169"/>
  <c r="L136" i="169"/>
  <c r="K136" i="169"/>
  <c r="J136" i="169"/>
  <c r="I136" i="169"/>
  <c r="H136" i="169"/>
  <c r="G136" i="169"/>
  <c r="F136" i="169"/>
  <c r="E136" i="169"/>
  <c r="D136" i="169"/>
  <c r="U135" i="169"/>
  <c r="T135" i="169"/>
  <c r="S135" i="169"/>
  <c r="R135" i="169"/>
  <c r="Q135" i="169"/>
  <c r="P135" i="169"/>
  <c r="O135" i="169"/>
  <c r="N135" i="169"/>
  <c r="M135" i="169"/>
  <c r="L135" i="169"/>
  <c r="K135" i="169"/>
  <c r="J135" i="169"/>
  <c r="I135" i="169"/>
  <c r="H135" i="169"/>
  <c r="G135" i="169"/>
  <c r="F135" i="169"/>
  <c r="E135" i="169"/>
  <c r="D135" i="169"/>
  <c r="U134" i="169"/>
  <c r="T134" i="169"/>
  <c r="S134" i="169"/>
  <c r="R134" i="169"/>
  <c r="Q134" i="169"/>
  <c r="P134" i="169"/>
  <c r="O134" i="169"/>
  <c r="N134" i="169"/>
  <c r="M134" i="169"/>
  <c r="L134" i="169"/>
  <c r="K134" i="169"/>
  <c r="J134" i="169"/>
  <c r="I134" i="169"/>
  <c r="H134" i="169"/>
  <c r="G134" i="169"/>
  <c r="F134" i="169"/>
  <c r="E134" i="169"/>
  <c r="D134" i="169"/>
  <c r="U133" i="169"/>
  <c r="T133" i="169"/>
  <c r="S133" i="169"/>
  <c r="R133" i="169"/>
  <c r="Q133" i="169"/>
  <c r="P133" i="169"/>
  <c r="O133" i="169"/>
  <c r="N133" i="169"/>
  <c r="M133" i="169"/>
  <c r="L133" i="169"/>
  <c r="K133" i="169"/>
  <c r="J133" i="169"/>
  <c r="I133" i="169"/>
  <c r="H133" i="169"/>
  <c r="G133" i="169"/>
  <c r="F133" i="169"/>
  <c r="E133" i="169"/>
  <c r="D133" i="169"/>
  <c r="U132" i="169"/>
  <c r="T132" i="169"/>
  <c r="S132" i="169"/>
  <c r="R132" i="169"/>
  <c r="Q132" i="169"/>
  <c r="P132" i="169"/>
  <c r="O132" i="169"/>
  <c r="N132" i="169"/>
  <c r="M132" i="169"/>
  <c r="L132" i="169"/>
  <c r="K132" i="169"/>
  <c r="J132" i="169"/>
  <c r="I132" i="169"/>
  <c r="H132" i="169"/>
  <c r="G132" i="169"/>
  <c r="F132" i="169"/>
  <c r="E132" i="169"/>
  <c r="D132" i="169"/>
  <c r="U131" i="169"/>
  <c r="T131" i="169"/>
  <c r="S131" i="169"/>
  <c r="R131" i="169"/>
  <c r="Q131" i="169"/>
  <c r="P131" i="169"/>
  <c r="O131" i="169"/>
  <c r="N131" i="169"/>
  <c r="M131" i="169"/>
  <c r="L131" i="169"/>
  <c r="K131" i="169"/>
  <c r="J131" i="169"/>
  <c r="I131" i="169"/>
  <c r="H131" i="169"/>
  <c r="G131" i="169"/>
  <c r="F131" i="169"/>
  <c r="E131" i="169"/>
  <c r="D131" i="169"/>
  <c r="P130" i="169"/>
  <c r="U129" i="169"/>
  <c r="T129" i="169"/>
  <c r="S129" i="169"/>
  <c r="R129" i="169"/>
  <c r="Q129" i="169"/>
  <c r="P129" i="169"/>
  <c r="O129" i="169"/>
  <c r="N129" i="169"/>
  <c r="M129" i="169"/>
  <c r="L129" i="169"/>
  <c r="K129" i="169"/>
  <c r="J129" i="169"/>
  <c r="I129" i="169"/>
  <c r="H129" i="169"/>
  <c r="G129" i="169"/>
  <c r="F129" i="169"/>
  <c r="E129" i="169"/>
  <c r="D129" i="169"/>
  <c r="U128" i="169"/>
  <c r="T128" i="169"/>
  <c r="S128" i="169"/>
  <c r="R128" i="169"/>
  <c r="Q128" i="169"/>
  <c r="P128" i="169"/>
  <c r="O128" i="169"/>
  <c r="N128" i="169"/>
  <c r="M128" i="169"/>
  <c r="L128" i="169"/>
  <c r="K128" i="169"/>
  <c r="J128" i="169"/>
  <c r="I128" i="169"/>
  <c r="H128" i="169"/>
  <c r="G128" i="169"/>
  <c r="F128" i="169"/>
  <c r="E128" i="169"/>
  <c r="D128" i="169"/>
  <c r="U127" i="169"/>
  <c r="T127" i="169"/>
  <c r="S127" i="169"/>
  <c r="R127" i="169"/>
  <c r="Q127" i="169"/>
  <c r="P127" i="169"/>
  <c r="O127" i="169"/>
  <c r="N127" i="169"/>
  <c r="M127" i="169"/>
  <c r="L127" i="169"/>
  <c r="K127" i="169"/>
  <c r="J127" i="169"/>
  <c r="I127" i="169"/>
  <c r="H127" i="169"/>
  <c r="G127" i="169"/>
  <c r="F127" i="169"/>
  <c r="E127" i="169"/>
  <c r="D127" i="169"/>
  <c r="U126" i="169"/>
  <c r="T126" i="169"/>
  <c r="S126" i="169"/>
  <c r="R126" i="169"/>
  <c r="Q126" i="169"/>
  <c r="P126" i="169"/>
  <c r="O126" i="169"/>
  <c r="N126" i="169"/>
  <c r="M126" i="169"/>
  <c r="L126" i="169"/>
  <c r="K126" i="169"/>
  <c r="J126" i="169"/>
  <c r="I126" i="169"/>
  <c r="H126" i="169"/>
  <c r="G126" i="169"/>
  <c r="F126" i="169"/>
  <c r="E126" i="169"/>
  <c r="D126" i="169"/>
  <c r="U125" i="169"/>
  <c r="T125" i="169"/>
  <c r="S125" i="169"/>
  <c r="R125" i="169"/>
  <c r="Q125" i="169"/>
  <c r="P125" i="169"/>
  <c r="O125" i="169"/>
  <c r="N125" i="169"/>
  <c r="M125" i="169"/>
  <c r="L125" i="169"/>
  <c r="K125" i="169"/>
  <c r="J125" i="169"/>
  <c r="I125" i="169"/>
  <c r="H125" i="169"/>
  <c r="G125" i="169"/>
  <c r="F125" i="169"/>
  <c r="E125" i="169"/>
  <c r="D125" i="169"/>
  <c r="U124" i="169"/>
  <c r="T124" i="169"/>
  <c r="S124" i="169"/>
  <c r="R124" i="169"/>
  <c r="Q124" i="169"/>
  <c r="P124" i="169"/>
  <c r="O124" i="169"/>
  <c r="N124" i="169"/>
  <c r="M124" i="169"/>
  <c r="L124" i="169"/>
  <c r="K124" i="169"/>
  <c r="J124" i="169"/>
  <c r="I124" i="169"/>
  <c r="H124" i="169"/>
  <c r="G124" i="169"/>
  <c r="F124" i="169"/>
  <c r="E124" i="169"/>
  <c r="D124" i="169"/>
  <c r="U123" i="169"/>
  <c r="T123" i="169"/>
  <c r="S123" i="169"/>
  <c r="R123" i="169"/>
  <c r="Q123" i="169"/>
  <c r="P123" i="169"/>
  <c r="O123" i="169"/>
  <c r="N123" i="169"/>
  <c r="M123" i="169"/>
  <c r="L123" i="169"/>
  <c r="K123" i="169"/>
  <c r="J123" i="169"/>
  <c r="I123" i="169"/>
  <c r="H123" i="169"/>
  <c r="G123" i="169"/>
  <c r="F123" i="169"/>
  <c r="E123" i="169"/>
  <c r="D123" i="169"/>
  <c r="U117" i="169"/>
  <c r="T117" i="169"/>
  <c r="S117" i="169"/>
  <c r="R117" i="169"/>
  <c r="Q117" i="169"/>
  <c r="P117" i="169"/>
  <c r="O117" i="169"/>
  <c r="N117" i="169"/>
  <c r="M117" i="169"/>
  <c r="L117" i="169"/>
  <c r="K117" i="169"/>
  <c r="J117" i="169"/>
  <c r="I117" i="169"/>
  <c r="H117" i="169"/>
  <c r="G117" i="169"/>
  <c r="F117" i="169"/>
  <c r="E117" i="169"/>
  <c r="D117" i="169"/>
  <c r="U116" i="169"/>
  <c r="T116" i="169"/>
  <c r="S116" i="169"/>
  <c r="R116" i="169"/>
  <c r="Q116" i="169"/>
  <c r="P116" i="169"/>
  <c r="O116" i="169"/>
  <c r="N116" i="169"/>
  <c r="M116" i="169"/>
  <c r="L116" i="169"/>
  <c r="K116" i="169"/>
  <c r="J116" i="169"/>
  <c r="I116" i="169"/>
  <c r="H116" i="169"/>
  <c r="G116" i="169"/>
  <c r="F116" i="169"/>
  <c r="E116" i="169"/>
  <c r="D116" i="169"/>
  <c r="U115" i="169"/>
  <c r="T115" i="169"/>
  <c r="S115" i="169"/>
  <c r="R115" i="169"/>
  <c r="Q115" i="169"/>
  <c r="P115" i="169"/>
  <c r="O115" i="169"/>
  <c r="N115" i="169"/>
  <c r="M115" i="169"/>
  <c r="L115" i="169"/>
  <c r="K115" i="169"/>
  <c r="J115" i="169"/>
  <c r="I115" i="169"/>
  <c r="H115" i="169"/>
  <c r="G115" i="169"/>
  <c r="F115" i="169"/>
  <c r="E115" i="169"/>
  <c r="D115" i="169"/>
  <c r="U114" i="169"/>
  <c r="T114" i="169"/>
  <c r="S114" i="169"/>
  <c r="R114" i="169"/>
  <c r="Q114" i="169"/>
  <c r="P114" i="169"/>
  <c r="O114" i="169"/>
  <c r="N114" i="169"/>
  <c r="M114" i="169"/>
  <c r="L114" i="169"/>
  <c r="K114" i="169"/>
  <c r="J114" i="169"/>
  <c r="I114" i="169"/>
  <c r="H114" i="169"/>
  <c r="G114" i="169"/>
  <c r="F114" i="169"/>
  <c r="E114" i="169"/>
  <c r="D114" i="169"/>
  <c r="U113" i="169"/>
  <c r="T113" i="169"/>
  <c r="S113" i="169"/>
  <c r="R113" i="169"/>
  <c r="Q113" i="169"/>
  <c r="P113" i="169"/>
  <c r="O113" i="169"/>
  <c r="N113" i="169"/>
  <c r="M113" i="169"/>
  <c r="L113" i="169"/>
  <c r="K113" i="169"/>
  <c r="J113" i="169"/>
  <c r="I113" i="169"/>
  <c r="H113" i="169"/>
  <c r="G113" i="169"/>
  <c r="F113" i="169"/>
  <c r="E113" i="169"/>
  <c r="D113" i="169"/>
  <c r="U112" i="169"/>
  <c r="T112" i="169"/>
  <c r="S112" i="169"/>
  <c r="R112" i="169"/>
  <c r="Q112" i="169"/>
  <c r="P112" i="169"/>
  <c r="O112" i="169"/>
  <c r="N112" i="169"/>
  <c r="M112" i="169"/>
  <c r="L112" i="169"/>
  <c r="K112" i="169"/>
  <c r="J112" i="169"/>
  <c r="I112" i="169"/>
  <c r="H112" i="169"/>
  <c r="G112" i="169"/>
  <c r="F112" i="169"/>
  <c r="E112" i="169"/>
  <c r="D112" i="169"/>
  <c r="U111" i="169"/>
  <c r="T111" i="169"/>
  <c r="S111" i="169"/>
  <c r="R111" i="169"/>
  <c r="Q111" i="169"/>
  <c r="P111" i="169"/>
  <c r="O111" i="169"/>
  <c r="N111" i="169"/>
  <c r="M111" i="169"/>
  <c r="L111" i="169"/>
  <c r="K111" i="169"/>
  <c r="J111" i="169"/>
  <c r="I111" i="169"/>
  <c r="H111" i="169"/>
  <c r="G111" i="169"/>
  <c r="F111" i="169"/>
  <c r="E111" i="169"/>
  <c r="D111" i="169"/>
  <c r="U110" i="169"/>
  <c r="T110" i="169"/>
  <c r="S110" i="169"/>
  <c r="R110" i="169"/>
  <c r="Q110" i="169"/>
  <c r="P110" i="169"/>
  <c r="O110" i="169"/>
  <c r="N110" i="169"/>
  <c r="M110" i="169"/>
  <c r="L110" i="169"/>
  <c r="K110" i="169"/>
  <c r="J110" i="169"/>
  <c r="I110" i="169"/>
  <c r="H110" i="169"/>
  <c r="G110" i="169"/>
  <c r="F110" i="169"/>
  <c r="E110" i="169"/>
  <c r="D110" i="169"/>
  <c r="U109" i="169"/>
  <c r="T109" i="169"/>
  <c r="S109" i="169"/>
  <c r="R109" i="169"/>
  <c r="Q109" i="169"/>
  <c r="P109" i="169"/>
  <c r="O109" i="169"/>
  <c r="N109" i="169"/>
  <c r="M109" i="169"/>
  <c r="L109" i="169"/>
  <c r="K109" i="169"/>
  <c r="J109" i="169"/>
  <c r="I109" i="169"/>
  <c r="H109" i="169"/>
  <c r="G109" i="169"/>
  <c r="F109" i="169"/>
  <c r="E109" i="169"/>
  <c r="D109" i="169"/>
  <c r="U108" i="169"/>
  <c r="T108" i="169"/>
  <c r="S108" i="169"/>
  <c r="R108" i="169"/>
  <c r="Q108" i="169"/>
  <c r="P108" i="169"/>
  <c r="O108" i="169"/>
  <c r="N108" i="169"/>
  <c r="M108" i="169"/>
  <c r="L108" i="169"/>
  <c r="K108" i="169"/>
  <c r="J108" i="169"/>
  <c r="I108" i="169"/>
  <c r="H108" i="169"/>
  <c r="G108" i="169"/>
  <c r="F108" i="169"/>
  <c r="E108" i="169"/>
  <c r="D108" i="169"/>
  <c r="P107" i="169"/>
  <c r="U106" i="169"/>
  <c r="T106" i="169"/>
  <c r="S106" i="169"/>
  <c r="R106" i="169"/>
  <c r="Q106" i="169"/>
  <c r="P106" i="169"/>
  <c r="O106" i="169"/>
  <c r="N106" i="169"/>
  <c r="M106" i="169"/>
  <c r="L106" i="169"/>
  <c r="K106" i="169"/>
  <c r="J106" i="169"/>
  <c r="I106" i="169"/>
  <c r="H106" i="169"/>
  <c r="G106" i="169"/>
  <c r="F106" i="169"/>
  <c r="E106" i="169"/>
  <c r="D106" i="169"/>
  <c r="U105" i="169"/>
  <c r="T105" i="169"/>
  <c r="S105" i="169"/>
  <c r="R105" i="169"/>
  <c r="Q105" i="169"/>
  <c r="P105" i="169"/>
  <c r="O105" i="169"/>
  <c r="N105" i="169"/>
  <c r="M105" i="169"/>
  <c r="L105" i="169"/>
  <c r="K105" i="169"/>
  <c r="J105" i="169"/>
  <c r="I105" i="169"/>
  <c r="H105" i="169"/>
  <c r="G105" i="169"/>
  <c r="F105" i="169"/>
  <c r="E105" i="169"/>
  <c r="D105" i="169"/>
  <c r="U104" i="169"/>
  <c r="T104" i="169"/>
  <c r="S104" i="169"/>
  <c r="R104" i="169"/>
  <c r="Q104" i="169"/>
  <c r="P104" i="169"/>
  <c r="O104" i="169"/>
  <c r="N104" i="169"/>
  <c r="M104" i="169"/>
  <c r="L104" i="169"/>
  <c r="K104" i="169"/>
  <c r="J104" i="169"/>
  <c r="I104" i="169"/>
  <c r="H104" i="169"/>
  <c r="G104" i="169"/>
  <c r="F104" i="169"/>
  <c r="E104" i="169"/>
  <c r="D104" i="169"/>
  <c r="U103" i="169"/>
  <c r="T103" i="169"/>
  <c r="S103" i="169"/>
  <c r="R103" i="169"/>
  <c r="Q103" i="169"/>
  <c r="P103" i="169"/>
  <c r="O103" i="169"/>
  <c r="N103" i="169"/>
  <c r="M103" i="169"/>
  <c r="L103" i="169"/>
  <c r="K103" i="169"/>
  <c r="J103" i="169"/>
  <c r="I103" i="169"/>
  <c r="H103" i="169"/>
  <c r="G103" i="169"/>
  <c r="F103" i="169"/>
  <c r="E103" i="169"/>
  <c r="D103" i="169"/>
  <c r="U102" i="169"/>
  <c r="T102" i="169"/>
  <c r="S102" i="169"/>
  <c r="R102" i="169"/>
  <c r="Q102" i="169"/>
  <c r="P102" i="169"/>
  <c r="O102" i="169"/>
  <c r="N102" i="169"/>
  <c r="M102" i="169"/>
  <c r="L102" i="169"/>
  <c r="K102" i="169"/>
  <c r="J102" i="169"/>
  <c r="I102" i="169"/>
  <c r="H102" i="169"/>
  <c r="G102" i="169"/>
  <c r="F102" i="169"/>
  <c r="E102" i="169"/>
  <c r="D102" i="169"/>
  <c r="U101" i="169"/>
  <c r="T101" i="169"/>
  <c r="S101" i="169"/>
  <c r="R101" i="169"/>
  <c r="Q101" i="169"/>
  <c r="P101" i="169"/>
  <c r="O101" i="169"/>
  <c r="N101" i="169"/>
  <c r="M101" i="169"/>
  <c r="L101" i="169"/>
  <c r="K101" i="169"/>
  <c r="J101" i="169"/>
  <c r="I101" i="169"/>
  <c r="H101" i="169"/>
  <c r="G101" i="169"/>
  <c r="F101" i="169"/>
  <c r="E101" i="169"/>
  <c r="D101" i="169"/>
  <c r="U100" i="169"/>
  <c r="T100" i="169"/>
  <c r="S100" i="169"/>
  <c r="R100" i="169"/>
  <c r="Q100" i="169"/>
  <c r="P100" i="169"/>
  <c r="O100" i="169"/>
  <c r="N100" i="169"/>
  <c r="M100" i="169"/>
  <c r="L100" i="169"/>
  <c r="K100" i="169"/>
  <c r="J100" i="169"/>
  <c r="I100" i="169"/>
  <c r="H100" i="169"/>
  <c r="G100" i="169"/>
  <c r="F100" i="169"/>
  <c r="E100" i="169"/>
  <c r="D100" i="169"/>
  <c r="U99" i="169"/>
  <c r="T99" i="169"/>
  <c r="S99" i="169"/>
  <c r="R99" i="169"/>
  <c r="Q99" i="169"/>
  <c r="P99" i="169"/>
  <c r="O99" i="169"/>
  <c r="N99" i="169"/>
  <c r="M99" i="169"/>
  <c r="L99" i="169"/>
  <c r="K99" i="169"/>
  <c r="J99" i="169"/>
  <c r="I99" i="169"/>
  <c r="H99" i="169"/>
  <c r="G99" i="169"/>
  <c r="F99" i="169"/>
  <c r="E99" i="169"/>
  <c r="D99" i="169"/>
  <c r="U98" i="169"/>
  <c r="T98" i="169"/>
  <c r="S98" i="169"/>
  <c r="R98" i="169"/>
  <c r="Q98" i="169"/>
  <c r="P98" i="169"/>
  <c r="O98" i="169"/>
  <c r="N98" i="169"/>
  <c r="M98" i="169"/>
  <c r="L98" i="169"/>
  <c r="K98" i="169"/>
  <c r="J98" i="169"/>
  <c r="I98" i="169"/>
  <c r="H98" i="169"/>
  <c r="G98" i="169"/>
  <c r="F98" i="169"/>
  <c r="E98" i="169"/>
  <c r="D98" i="169"/>
  <c r="U97" i="169"/>
  <c r="T97" i="169"/>
  <c r="S97" i="169"/>
  <c r="R97" i="169"/>
  <c r="Q97" i="169"/>
  <c r="P97" i="169"/>
  <c r="O97" i="169"/>
  <c r="N97" i="169"/>
  <c r="M97" i="169"/>
  <c r="L97" i="169"/>
  <c r="K97" i="169"/>
  <c r="J97" i="169"/>
  <c r="I97" i="169"/>
  <c r="H97" i="169"/>
  <c r="G97" i="169"/>
  <c r="F97" i="169"/>
  <c r="E97" i="169"/>
  <c r="D97" i="169"/>
  <c r="U96" i="169"/>
  <c r="T96" i="169"/>
  <c r="S96" i="169"/>
  <c r="R96" i="169"/>
  <c r="Q96" i="169"/>
  <c r="P96" i="169"/>
  <c r="O96" i="169"/>
  <c r="N96" i="169"/>
  <c r="M96" i="169"/>
  <c r="L96" i="169"/>
  <c r="K96" i="169"/>
  <c r="J96" i="169"/>
  <c r="I96" i="169"/>
  <c r="H96" i="169"/>
  <c r="G96" i="169"/>
  <c r="F96" i="169"/>
  <c r="E96" i="169"/>
  <c r="D96" i="169"/>
  <c r="U95" i="169"/>
  <c r="T95" i="169"/>
  <c r="S95" i="169"/>
  <c r="R95" i="169"/>
  <c r="Q95" i="169"/>
  <c r="P95" i="169"/>
  <c r="O95" i="169"/>
  <c r="N95" i="169"/>
  <c r="M95" i="169"/>
  <c r="L95" i="169"/>
  <c r="K95" i="169"/>
  <c r="J95" i="169"/>
  <c r="I95" i="169"/>
  <c r="H95" i="169"/>
  <c r="G95" i="169"/>
  <c r="F95" i="169"/>
  <c r="E95" i="169"/>
  <c r="D95" i="169"/>
  <c r="U94" i="169"/>
  <c r="T94" i="169"/>
  <c r="S94" i="169"/>
  <c r="R94" i="169"/>
  <c r="Q94" i="169"/>
  <c r="P94" i="169"/>
  <c r="O94" i="169"/>
  <c r="N94" i="169"/>
  <c r="M94" i="169"/>
  <c r="L94" i="169"/>
  <c r="K94" i="169"/>
  <c r="J94" i="169"/>
  <c r="I94" i="169"/>
  <c r="H94" i="169"/>
  <c r="G94" i="169"/>
  <c r="F94" i="169"/>
  <c r="E94" i="169"/>
  <c r="D94" i="169"/>
  <c r="P93" i="169"/>
  <c r="U92" i="169"/>
  <c r="T92" i="169"/>
  <c r="S92" i="169"/>
  <c r="R92" i="169"/>
  <c r="Q92" i="169"/>
  <c r="P92" i="169"/>
  <c r="O92" i="169"/>
  <c r="N92" i="169"/>
  <c r="M92" i="169"/>
  <c r="L92" i="169"/>
  <c r="K92" i="169"/>
  <c r="J92" i="169"/>
  <c r="I92" i="169"/>
  <c r="H92" i="169"/>
  <c r="G92" i="169"/>
  <c r="F92" i="169"/>
  <c r="E92" i="169"/>
  <c r="D92" i="169"/>
  <c r="U91" i="169"/>
  <c r="T91" i="169"/>
  <c r="S91" i="169"/>
  <c r="R91" i="169"/>
  <c r="Q91" i="169"/>
  <c r="P91" i="169"/>
  <c r="O91" i="169"/>
  <c r="N91" i="169"/>
  <c r="M91" i="169"/>
  <c r="L91" i="169"/>
  <c r="K91" i="169"/>
  <c r="J91" i="169"/>
  <c r="I91" i="169"/>
  <c r="H91" i="169"/>
  <c r="G91" i="169"/>
  <c r="F91" i="169"/>
  <c r="E91" i="169"/>
  <c r="D91" i="169"/>
  <c r="U90" i="169"/>
  <c r="T90" i="169"/>
  <c r="S90" i="169"/>
  <c r="R90" i="169"/>
  <c r="Q90" i="169"/>
  <c r="P90" i="169"/>
  <c r="O90" i="169"/>
  <c r="N90" i="169"/>
  <c r="M90" i="169"/>
  <c r="L90" i="169"/>
  <c r="K90" i="169"/>
  <c r="J90" i="169"/>
  <c r="I90" i="169"/>
  <c r="H90" i="169"/>
  <c r="G90" i="169"/>
  <c r="F90" i="169"/>
  <c r="E90" i="169"/>
  <c r="D90" i="169"/>
  <c r="U89" i="169"/>
  <c r="T89" i="169"/>
  <c r="S89" i="169"/>
  <c r="R89" i="169"/>
  <c r="Q89" i="169"/>
  <c r="P89" i="169"/>
  <c r="O89" i="169"/>
  <c r="N89" i="169"/>
  <c r="M89" i="169"/>
  <c r="L89" i="169"/>
  <c r="K89" i="169"/>
  <c r="J89" i="169"/>
  <c r="I89" i="169"/>
  <c r="H89" i="169"/>
  <c r="G89" i="169"/>
  <c r="F89" i="169"/>
  <c r="E89" i="169"/>
  <c r="D89" i="169"/>
  <c r="U88" i="169"/>
  <c r="T88" i="169"/>
  <c r="S88" i="169"/>
  <c r="R88" i="169"/>
  <c r="Q88" i="169"/>
  <c r="P88" i="169"/>
  <c r="O88" i="169"/>
  <c r="N88" i="169"/>
  <c r="M88" i="169"/>
  <c r="L88" i="169"/>
  <c r="K88" i="169"/>
  <c r="J88" i="169"/>
  <c r="I88" i="169"/>
  <c r="H88" i="169"/>
  <c r="G88" i="169"/>
  <c r="F88" i="169"/>
  <c r="E88" i="169"/>
  <c r="D88" i="169"/>
  <c r="U87" i="169"/>
  <c r="T87" i="169"/>
  <c r="S87" i="169"/>
  <c r="R87" i="169"/>
  <c r="Q87" i="169"/>
  <c r="P87" i="169"/>
  <c r="O87" i="169"/>
  <c r="N87" i="169"/>
  <c r="M87" i="169"/>
  <c r="L87" i="169"/>
  <c r="K87" i="169"/>
  <c r="J87" i="169"/>
  <c r="I87" i="169"/>
  <c r="H87" i="169"/>
  <c r="G87" i="169"/>
  <c r="F87" i="169"/>
  <c r="E87" i="169"/>
  <c r="D87" i="169"/>
  <c r="U86" i="169"/>
  <c r="T86" i="169"/>
  <c r="S86" i="169"/>
  <c r="R86" i="169"/>
  <c r="Q86" i="169"/>
  <c r="P86" i="169"/>
  <c r="O86" i="169"/>
  <c r="N86" i="169"/>
  <c r="M86" i="169"/>
  <c r="L86" i="169"/>
  <c r="K86" i="169"/>
  <c r="J86" i="169"/>
  <c r="I86" i="169"/>
  <c r="H86" i="169"/>
  <c r="G86" i="169"/>
  <c r="F86" i="169"/>
  <c r="E86" i="169"/>
  <c r="D86" i="169"/>
  <c r="U80" i="169"/>
  <c r="T80" i="169"/>
  <c r="S80" i="169"/>
  <c r="R80" i="169"/>
  <c r="Q80" i="169"/>
  <c r="P80" i="169"/>
  <c r="O80" i="169"/>
  <c r="N80" i="169"/>
  <c r="M80" i="169"/>
  <c r="L80" i="169"/>
  <c r="K80" i="169"/>
  <c r="J80" i="169"/>
  <c r="I80" i="169"/>
  <c r="H80" i="169"/>
  <c r="G80" i="169"/>
  <c r="F80" i="169"/>
  <c r="E80" i="169"/>
  <c r="D80" i="169"/>
  <c r="U79" i="169"/>
  <c r="T79" i="169"/>
  <c r="S79" i="169"/>
  <c r="R79" i="169"/>
  <c r="Q79" i="169"/>
  <c r="P79" i="169"/>
  <c r="O79" i="169"/>
  <c r="N79" i="169"/>
  <c r="M79" i="169"/>
  <c r="L79" i="169"/>
  <c r="K79" i="169"/>
  <c r="J79" i="169"/>
  <c r="I79" i="169"/>
  <c r="H79" i="169"/>
  <c r="G79" i="169"/>
  <c r="F79" i="169"/>
  <c r="E79" i="169"/>
  <c r="D79" i="169"/>
  <c r="U78" i="169"/>
  <c r="T78" i="169"/>
  <c r="S78" i="169"/>
  <c r="R78" i="169"/>
  <c r="Q78" i="169"/>
  <c r="P78" i="169"/>
  <c r="O78" i="169"/>
  <c r="N78" i="169"/>
  <c r="M78" i="169"/>
  <c r="L78" i="169"/>
  <c r="K78" i="169"/>
  <c r="J78" i="169"/>
  <c r="I78" i="169"/>
  <c r="H78" i="169"/>
  <c r="G78" i="169"/>
  <c r="F78" i="169"/>
  <c r="E78" i="169"/>
  <c r="D78" i="169"/>
  <c r="U77" i="169"/>
  <c r="T77" i="169"/>
  <c r="S77" i="169"/>
  <c r="R77" i="169"/>
  <c r="Q77" i="169"/>
  <c r="P77" i="169"/>
  <c r="O77" i="169"/>
  <c r="N77" i="169"/>
  <c r="M77" i="169"/>
  <c r="L77" i="169"/>
  <c r="K77" i="169"/>
  <c r="J77" i="169"/>
  <c r="I77" i="169"/>
  <c r="H77" i="169"/>
  <c r="G77" i="169"/>
  <c r="F77" i="169"/>
  <c r="E77" i="169"/>
  <c r="D77" i="169"/>
  <c r="U76" i="169"/>
  <c r="T76" i="169"/>
  <c r="S76" i="169"/>
  <c r="R76" i="169"/>
  <c r="Q76" i="169"/>
  <c r="P76" i="169"/>
  <c r="O76" i="169"/>
  <c r="N76" i="169"/>
  <c r="M76" i="169"/>
  <c r="L76" i="169"/>
  <c r="K76" i="169"/>
  <c r="J76" i="169"/>
  <c r="I76" i="169"/>
  <c r="H76" i="169"/>
  <c r="G76" i="169"/>
  <c r="F76" i="169"/>
  <c r="E76" i="169"/>
  <c r="D76" i="169"/>
  <c r="U75" i="169"/>
  <c r="T75" i="169"/>
  <c r="S75" i="169"/>
  <c r="R75" i="169"/>
  <c r="Q75" i="169"/>
  <c r="P75" i="169"/>
  <c r="O75" i="169"/>
  <c r="N75" i="169"/>
  <c r="M75" i="169"/>
  <c r="L75" i="169"/>
  <c r="K75" i="169"/>
  <c r="J75" i="169"/>
  <c r="I75" i="169"/>
  <c r="H75" i="169"/>
  <c r="G75" i="169"/>
  <c r="F75" i="169"/>
  <c r="E75" i="169"/>
  <c r="D75" i="169"/>
  <c r="U74" i="169"/>
  <c r="T74" i="169"/>
  <c r="S74" i="169"/>
  <c r="R74" i="169"/>
  <c r="Q74" i="169"/>
  <c r="P74" i="169"/>
  <c r="O74" i="169"/>
  <c r="N74" i="169"/>
  <c r="M74" i="169"/>
  <c r="L74" i="169"/>
  <c r="K74" i="169"/>
  <c r="J74" i="169"/>
  <c r="I74" i="169"/>
  <c r="H74" i="169"/>
  <c r="G74" i="169"/>
  <c r="F74" i="169"/>
  <c r="E74" i="169"/>
  <c r="D74" i="169"/>
  <c r="U73" i="169"/>
  <c r="T73" i="169"/>
  <c r="S73" i="169"/>
  <c r="R73" i="169"/>
  <c r="Q73" i="169"/>
  <c r="P73" i="169"/>
  <c r="O73" i="169"/>
  <c r="N73" i="169"/>
  <c r="M73" i="169"/>
  <c r="L73" i="169"/>
  <c r="K73" i="169"/>
  <c r="J73" i="169"/>
  <c r="I73" i="169"/>
  <c r="H73" i="169"/>
  <c r="G73" i="169"/>
  <c r="F73" i="169"/>
  <c r="E73" i="169"/>
  <c r="D73" i="169"/>
  <c r="U72" i="169"/>
  <c r="T72" i="169"/>
  <c r="S72" i="169"/>
  <c r="R72" i="169"/>
  <c r="Q72" i="169"/>
  <c r="P72" i="169"/>
  <c r="O72" i="169"/>
  <c r="N72" i="169"/>
  <c r="M72" i="169"/>
  <c r="L72" i="169"/>
  <c r="K72" i="169"/>
  <c r="J72" i="169"/>
  <c r="I72" i="169"/>
  <c r="H72" i="169"/>
  <c r="G72" i="169"/>
  <c r="F72" i="169"/>
  <c r="E72" i="169"/>
  <c r="D72" i="169"/>
  <c r="U71" i="169"/>
  <c r="T71" i="169"/>
  <c r="S71" i="169"/>
  <c r="R71" i="169"/>
  <c r="Q71" i="169"/>
  <c r="P71" i="169"/>
  <c r="O71" i="169"/>
  <c r="N71" i="169"/>
  <c r="M71" i="169"/>
  <c r="L71" i="169"/>
  <c r="K71" i="169"/>
  <c r="J71" i="169"/>
  <c r="I71" i="169"/>
  <c r="H71" i="169"/>
  <c r="G71" i="169"/>
  <c r="F71" i="169"/>
  <c r="E71" i="169"/>
  <c r="D71" i="169"/>
  <c r="P70" i="169"/>
  <c r="U69" i="169"/>
  <c r="T69" i="169"/>
  <c r="S69" i="169"/>
  <c r="R69" i="169"/>
  <c r="Q69" i="169"/>
  <c r="P69" i="169"/>
  <c r="O69" i="169"/>
  <c r="N69" i="169"/>
  <c r="M69" i="169"/>
  <c r="L69" i="169"/>
  <c r="K69" i="169"/>
  <c r="J69" i="169"/>
  <c r="I69" i="169"/>
  <c r="H69" i="169"/>
  <c r="G69" i="169"/>
  <c r="F69" i="169"/>
  <c r="E69" i="169"/>
  <c r="D69" i="169"/>
  <c r="U68" i="169"/>
  <c r="T68" i="169"/>
  <c r="S68" i="169"/>
  <c r="R68" i="169"/>
  <c r="Q68" i="169"/>
  <c r="P68" i="169"/>
  <c r="O68" i="169"/>
  <c r="N68" i="169"/>
  <c r="M68" i="169"/>
  <c r="L68" i="169"/>
  <c r="K68" i="169"/>
  <c r="J68" i="169"/>
  <c r="I68" i="169"/>
  <c r="H68" i="169"/>
  <c r="G68" i="169"/>
  <c r="F68" i="169"/>
  <c r="E68" i="169"/>
  <c r="D68" i="169"/>
  <c r="U67" i="169"/>
  <c r="T67" i="169"/>
  <c r="S67" i="169"/>
  <c r="R67" i="169"/>
  <c r="Q67" i="169"/>
  <c r="P67" i="169"/>
  <c r="O67" i="169"/>
  <c r="N67" i="169"/>
  <c r="M67" i="169"/>
  <c r="L67" i="169"/>
  <c r="K67" i="169"/>
  <c r="J67" i="169"/>
  <c r="I67" i="169"/>
  <c r="H67" i="169"/>
  <c r="G67" i="169"/>
  <c r="F67" i="169"/>
  <c r="E67" i="169"/>
  <c r="D67" i="169"/>
  <c r="U66" i="169"/>
  <c r="T66" i="169"/>
  <c r="S66" i="169"/>
  <c r="R66" i="169"/>
  <c r="Q66" i="169"/>
  <c r="P66" i="169"/>
  <c r="O66" i="169"/>
  <c r="N66" i="169"/>
  <c r="M66" i="169"/>
  <c r="L66" i="169"/>
  <c r="K66" i="169"/>
  <c r="J66" i="169"/>
  <c r="I66" i="169"/>
  <c r="H66" i="169"/>
  <c r="G66" i="169"/>
  <c r="F66" i="169"/>
  <c r="E66" i="169"/>
  <c r="D66" i="169"/>
  <c r="U65" i="169"/>
  <c r="T65" i="169"/>
  <c r="S65" i="169"/>
  <c r="R65" i="169"/>
  <c r="Q65" i="169"/>
  <c r="P65" i="169"/>
  <c r="O65" i="169"/>
  <c r="N65" i="169"/>
  <c r="M65" i="169"/>
  <c r="L65" i="169"/>
  <c r="K65" i="169"/>
  <c r="J65" i="169"/>
  <c r="I65" i="169"/>
  <c r="H65" i="169"/>
  <c r="G65" i="169"/>
  <c r="F65" i="169"/>
  <c r="E65" i="169"/>
  <c r="D65" i="169"/>
  <c r="U64" i="169"/>
  <c r="T64" i="169"/>
  <c r="S64" i="169"/>
  <c r="R64" i="169"/>
  <c r="Q64" i="169"/>
  <c r="P64" i="169"/>
  <c r="O64" i="169"/>
  <c r="N64" i="169"/>
  <c r="M64" i="169"/>
  <c r="L64" i="169"/>
  <c r="K64" i="169"/>
  <c r="J64" i="169"/>
  <c r="I64" i="169"/>
  <c r="H64" i="169"/>
  <c r="G64" i="169"/>
  <c r="F64" i="169"/>
  <c r="E64" i="169"/>
  <c r="D64" i="169"/>
  <c r="U63" i="169"/>
  <c r="T63" i="169"/>
  <c r="S63" i="169"/>
  <c r="R63" i="169"/>
  <c r="Q63" i="169"/>
  <c r="P63" i="169"/>
  <c r="O63" i="169"/>
  <c r="N63" i="169"/>
  <c r="M63" i="169"/>
  <c r="L63" i="169"/>
  <c r="K63" i="169"/>
  <c r="J63" i="169"/>
  <c r="I63" i="169"/>
  <c r="H63" i="169"/>
  <c r="G63" i="169"/>
  <c r="F63" i="169"/>
  <c r="E63" i="169"/>
  <c r="D63" i="169"/>
  <c r="U62" i="169"/>
  <c r="T62" i="169"/>
  <c r="S62" i="169"/>
  <c r="R62" i="169"/>
  <c r="Q62" i="169"/>
  <c r="P62" i="169"/>
  <c r="O62" i="169"/>
  <c r="N62" i="169"/>
  <c r="M62" i="169"/>
  <c r="L62" i="169"/>
  <c r="K62" i="169"/>
  <c r="J62" i="169"/>
  <c r="I62" i="169"/>
  <c r="H62" i="169"/>
  <c r="G62" i="169"/>
  <c r="F62" i="169"/>
  <c r="E62" i="169"/>
  <c r="D62" i="169"/>
  <c r="U61" i="169"/>
  <c r="T61" i="169"/>
  <c r="S61" i="169"/>
  <c r="R61" i="169"/>
  <c r="Q61" i="169"/>
  <c r="P61" i="169"/>
  <c r="O61" i="169"/>
  <c r="N61" i="169"/>
  <c r="M61" i="169"/>
  <c r="L61" i="169"/>
  <c r="K61" i="169"/>
  <c r="J61" i="169"/>
  <c r="I61" i="169"/>
  <c r="H61" i="169"/>
  <c r="G61" i="169"/>
  <c r="F61" i="169"/>
  <c r="E61" i="169"/>
  <c r="D61" i="169"/>
  <c r="U60" i="169"/>
  <c r="T60" i="169"/>
  <c r="S60" i="169"/>
  <c r="R60" i="169"/>
  <c r="Q60" i="169"/>
  <c r="P60" i="169"/>
  <c r="O60" i="169"/>
  <c r="N60" i="169"/>
  <c r="M60" i="169"/>
  <c r="L60" i="169"/>
  <c r="K60" i="169"/>
  <c r="J60" i="169"/>
  <c r="I60" i="169"/>
  <c r="H60" i="169"/>
  <c r="G60" i="169"/>
  <c r="F60" i="169"/>
  <c r="E60" i="169"/>
  <c r="D60" i="169"/>
  <c r="U59" i="169"/>
  <c r="T59" i="169"/>
  <c r="S59" i="169"/>
  <c r="R59" i="169"/>
  <c r="Q59" i="169"/>
  <c r="P59" i="169"/>
  <c r="O59" i="169"/>
  <c r="N59" i="169"/>
  <c r="M59" i="169"/>
  <c r="L59" i="169"/>
  <c r="K59" i="169"/>
  <c r="J59" i="169"/>
  <c r="I59" i="169"/>
  <c r="H59" i="169"/>
  <c r="G59" i="169"/>
  <c r="F59" i="169"/>
  <c r="E59" i="169"/>
  <c r="D59" i="169"/>
  <c r="U58" i="169"/>
  <c r="T58" i="169"/>
  <c r="S58" i="169"/>
  <c r="R58" i="169"/>
  <c r="Q58" i="169"/>
  <c r="P58" i="169"/>
  <c r="O58" i="169"/>
  <c r="N58" i="169"/>
  <c r="M58" i="169"/>
  <c r="L58" i="169"/>
  <c r="K58" i="169"/>
  <c r="J58" i="169"/>
  <c r="I58" i="169"/>
  <c r="H58" i="169"/>
  <c r="G58" i="169"/>
  <c r="F58" i="169"/>
  <c r="E58" i="169"/>
  <c r="D58" i="169"/>
  <c r="U57" i="169"/>
  <c r="T57" i="169"/>
  <c r="S57" i="169"/>
  <c r="R57" i="169"/>
  <c r="Q57" i="169"/>
  <c r="P57" i="169"/>
  <c r="O57" i="169"/>
  <c r="N57" i="169"/>
  <c r="M57" i="169"/>
  <c r="L57" i="169"/>
  <c r="K57" i="169"/>
  <c r="J57" i="169"/>
  <c r="I57" i="169"/>
  <c r="H57" i="169"/>
  <c r="G57" i="169"/>
  <c r="F57" i="169"/>
  <c r="E57" i="169"/>
  <c r="D57" i="169"/>
  <c r="P56" i="169"/>
  <c r="U55" i="169"/>
  <c r="T55" i="169"/>
  <c r="S55" i="169"/>
  <c r="R55" i="169"/>
  <c r="Q55" i="169"/>
  <c r="P55" i="169"/>
  <c r="O55" i="169"/>
  <c r="N55" i="169"/>
  <c r="M55" i="169"/>
  <c r="L55" i="169"/>
  <c r="K55" i="169"/>
  <c r="J55" i="169"/>
  <c r="I55" i="169"/>
  <c r="H55" i="169"/>
  <c r="G55" i="169"/>
  <c r="F55" i="169"/>
  <c r="E55" i="169"/>
  <c r="D55" i="169"/>
  <c r="U54" i="169"/>
  <c r="T54" i="169"/>
  <c r="S54" i="169"/>
  <c r="R54" i="169"/>
  <c r="Q54" i="169"/>
  <c r="P54" i="169"/>
  <c r="O54" i="169"/>
  <c r="N54" i="169"/>
  <c r="M54" i="169"/>
  <c r="L54" i="169"/>
  <c r="K54" i="169"/>
  <c r="J54" i="169"/>
  <c r="I54" i="169"/>
  <c r="H54" i="169"/>
  <c r="G54" i="169"/>
  <c r="F54" i="169"/>
  <c r="E54" i="169"/>
  <c r="D54" i="169"/>
  <c r="U53" i="169"/>
  <c r="T53" i="169"/>
  <c r="S53" i="169"/>
  <c r="R53" i="169"/>
  <c r="Q53" i="169"/>
  <c r="P53" i="169"/>
  <c r="O53" i="169"/>
  <c r="N53" i="169"/>
  <c r="M53" i="169"/>
  <c r="L53" i="169"/>
  <c r="K53" i="169"/>
  <c r="J53" i="169"/>
  <c r="I53" i="169"/>
  <c r="H53" i="169"/>
  <c r="G53" i="169"/>
  <c r="F53" i="169"/>
  <c r="E53" i="169"/>
  <c r="D53" i="169"/>
  <c r="U52" i="169"/>
  <c r="T52" i="169"/>
  <c r="S52" i="169"/>
  <c r="R52" i="169"/>
  <c r="Q52" i="169"/>
  <c r="P52" i="169"/>
  <c r="O52" i="169"/>
  <c r="N52" i="169"/>
  <c r="M52" i="169"/>
  <c r="L52" i="169"/>
  <c r="K52" i="169"/>
  <c r="J52" i="169"/>
  <c r="I52" i="169"/>
  <c r="H52" i="169"/>
  <c r="G52" i="169"/>
  <c r="F52" i="169"/>
  <c r="E52" i="169"/>
  <c r="D52" i="169"/>
  <c r="U51" i="169"/>
  <c r="T51" i="169"/>
  <c r="S51" i="169"/>
  <c r="R51" i="169"/>
  <c r="Q51" i="169"/>
  <c r="P51" i="169"/>
  <c r="O51" i="169"/>
  <c r="N51" i="169"/>
  <c r="M51" i="169"/>
  <c r="L51" i="169"/>
  <c r="K51" i="169"/>
  <c r="J51" i="169"/>
  <c r="I51" i="169"/>
  <c r="H51" i="169"/>
  <c r="G51" i="169"/>
  <c r="F51" i="169"/>
  <c r="E51" i="169"/>
  <c r="D51" i="169"/>
  <c r="U50" i="169"/>
  <c r="T50" i="169"/>
  <c r="S50" i="169"/>
  <c r="R50" i="169"/>
  <c r="Q50" i="169"/>
  <c r="P50" i="169"/>
  <c r="O50" i="169"/>
  <c r="N50" i="169"/>
  <c r="M50" i="169"/>
  <c r="L50" i="169"/>
  <c r="K50" i="169"/>
  <c r="J50" i="169"/>
  <c r="I50" i="169"/>
  <c r="H50" i="169"/>
  <c r="G50" i="169"/>
  <c r="F50" i="169"/>
  <c r="E50" i="169"/>
  <c r="D50" i="169"/>
  <c r="U49" i="169"/>
  <c r="T49" i="169"/>
  <c r="S49" i="169"/>
  <c r="R49" i="169"/>
  <c r="Q49" i="169"/>
  <c r="P49" i="169"/>
  <c r="O49" i="169"/>
  <c r="N49" i="169"/>
  <c r="M49" i="169"/>
  <c r="L49" i="169"/>
  <c r="K49" i="169"/>
  <c r="J49" i="169"/>
  <c r="I49" i="169"/>
  <c r="H49" i="169"/>
  <c r="G49" i="169"/>
  <c r="F49" i="169"/>
  <c r="E49" i="169"/>
  <c r="D49" i="169"/>
  <c r="U43" i="169"/>
  <c r="T43" i="169"/>
  <c r="S43" i="169"/>
  <c r="R43" i="169"/>
  <c r="Q43" i="169"/>
  <c r="P43" i="169"/>
  <c r="O43" i="169"/>
  <c r="N43" i="169"/>
  <c r="M43" i="169"/>
  <c r="L43" i="169"/>
  <c r="K43" i="169"/>
  <c r="J43" i="169"/>
  <c r="I43" i="169"/>
  <c r="H43" i="169"/>
  <c r="G43" i="169"/>
  <c r="F43" i="169"/>
  <c r="E43" i="169"/>
  <c r="D43" i="169"/>
  <c r="U42" i="169"/>
  <c r="T42" i="169"/>
  <c r="S42" i="169"/>
  <c r="R42" i="169"/>
  <c r="Q42" i="169"/>
  <c r="P42" i="169"/>
  <c r="O42" i="169"/>
  <c r="N42" i="169"/>
  <c r="M42" i="169"/>
  <c r="L42" i="169"/>
  <c r="K42" i="169"/>
  <c r="J42" i="169"/>
  <c r="I42" i="169"/>
  <c r="H42" i="169"/>
  <c r="G42" i="169"/>
  <c r="F42" i="169"/>
  <c r="E42" i="169"/>
  <c r="D42" i="169"/>
  <c r="U41" i="169"/>
  <c r="T41" i="169"/>
  <c r="S41" i="169"/>
  <c r="R41" i="169"/>
  <c r="Q41" i="169"/>
  <c r="P41" i="169"/>
  <c r="O41" i="169"/>
  <c r="N41" i="169"/>
  <c r="M41" i="169"/>
  <c r="L41" i="169"/>
  <c r="K41" i="169"/>
  <c r="J41" i="169"/>
  <c r="I41" i="169"/>
  <c r="H41" i="169"/>
  <c r="G41" i="169"/>
  <c r="F41" i="169"/>
  <c r="E41" i="169"/>
  <c r="D41" i="169"/>
  <c r="U40" i="169"/>
  <c r="T40" i="169"/>
  <c r="S40" i="169"/>
  <c r="R40" i="169"/>
  <c r="Q40" i="169"/>
  <c r="P40" i="169"/>
  <c r="O40" i="169"/>
  <c r="N40" i="169"/>
  <c r="M40" i="169"/>
  <c r="L40" i="169"/>
  <c r="K40" i="169"/>
  <c r="J40" i="169"/>
  <c r="I40" i="169"/>
  <c r="H40" i="169"/>
  <c r="G40" i="169"/>
  <c r="F40" i="169"/>
  <c r="E40" i="169"/>
  <c r="D40" i="169"/>
  <c r="U39" i="169"/>
  <c r="T39" i="169"/>
  <c r="S39" i="169"/>
  <c r="R39" i="169"/>
  <c r="Q39" i="169"/>
  <c r="P39" i="169"/>
  <c r="O39" i="169"/>
  <c r="N39" i="169"/>
  <c r="M39" i="169"/>
  <c r="L39" i="169"/>
  <c r="K39" i="169"/>
  <c r="J39" i="169"/>
  <c r="I39" i="169"/>
  <c r="H39" i="169"/>
  <c r="G39" i="169"/>
  <c r="F39" i="169"/>
  <c r="E39" i="169"/>
  <c r="D39" i="169"/>
  <c r="U38" i="169"/>
  <c r="T38" i="169"/>
  <c r="S38" i="169"/>
  <c r="R38" i="169"/>
  <c r="Q38" i="169"/>
  <c r="P38" i="169"/>
  <c r="O38" i="169"/>
  <c r="N38" i="169"/>
  <c r="M38" i="169"/>
  <c r="L38" i="169"/>
  <c r="K38" i="169"/>
  <c r="J38" i="169"/>
  <c r="I38" i="169"/>
  <c r="H38" i="169"/>
  <c r="G38" i="169"/>
  <c r="F38" i="169"/>
  <c r="E38" i="169"/>
  <c r="D38" i="169"/>
  <c r="U37" i="169"/>
  <c r="T37" i="169"/>
  <c r="S37" i="169"/>
  <c r="R37" i="169"/>
  <c r="Q37" i="169"/>
  <c r="P37" i="169"/>
  <c r="O37" i="169"/>
  <c r="N37" i="169"/>
  <c r="M37" i="169"/>
  <c r="L37" i="169"/>
  <c r="K37" i="169"/>
  <c r="J37" i="169"/>
  <c r="I37" i="169"/>
  <c r="H37" i="169"/>
  <c r="G37" i="169"/>
  <c r="F37" i="169"/>
  <c r="E37" i="169"/>
  <c r="D37" i="169"/>
  <c r="U36" i="169"/>
  <c r="T36" i="169"/>
  <c r="S36" i="169"/>
  <c r="R36" i="169"/>
  <c r="Q36" i="169"/>
  <c r="P36" i="169"/>
  <c r="O36" i="169"/>
  <c r="N36" i="169"/>
  <c r="M36" i="169"/>
  <c r="L36" i="169"/>
  <c r="K36" i="169"/>
  <c r="J36" i="169"/>
  <c r="I36" i="169"/>
  <c r="H36" i="169"/>
  <c r="G36" i="169"/>
  <c r="F36" i="169"/>
  <c r="E36" i="169"/>
  <c r="D36" i="169"/>
  <c r="U35" i="169"/>
  <c r="T35" i="169"/>
  <c r="S35" i="169"/>
  <c r="R35" i="169"/>
  <c r="Q35" i="169"/>
  <c r="P35" i="169"/>
  <c r="O35" i="169"/>
  <c r="N35" i="169"/>
  <c r="M35" i="169"/>
  <c r="L35" i="169"/>
  <c r="K35" i="169"/>
  <c r="J35" i="169"/>
  <c r="I35" i="169"/>
  <c r="H35" i="169"/>
  <c r="G35" i="169"/>
  <c r="F35" i="169"/>
  <c r="E35" i="169"/>
  <c r="D35" i="169"/>
  <c r="U34" i="169"/>
  <c r="T34" i="169"/>
  <c r="S34" i="169"/>
  <c r="R34" i="169"/>
  <c r="Q34" i="169"/>
  <c r="P34" i="169"/>
  <c r="O34" i="169"/>
  <c r="N34" i="169"/>
  <c r="M34" i="169"/>
  <c r="L34" i="169"/>
  <c r="K34" i="169"/>
  <c r="J34" i="169"/>
  <c r="I34" i="169"/>
  <c r="H34" i="169"/>
  <c r="G34" i="169"/>
  <c r="F34" i="169"/>
  <c r="E34" i="169"/>
  <c r="D34" i="169"/>
  <c r="P33" i="169"/>
  <c r="U32" i="169"/>
  <c r="T32" i="169"/>
  <c r="S32" i="169"/>
  <c r="R32" i="169"/>
  <c r="Q32" i="169"/>
  <c r="P32" i="169"/>
  <c r="O32" i="169"/>
  <c r="N32" i="169"/>
  <c r="M32" i="169"/>
  <c r="L32" i="169"/>
  <c r="K32" i="169"/>
  <c r="J32" i="169"/>
  <c r="I32" i="169"/>
  <c r="H32" i="169"/>
  <c r="G32" i="169"/>
  <c r="F32" i="169"/>
  <c r="E32" i="169"/>
  <c r="D32" i="169"/>
  <c r="U31" i="169"/>
  <c r="T31" i="169"/>
  <c r="S31" i="169"/>
  <c r="R31" i="169"/>
  <c r="Q31" i="169"/>
  <c r="P31" i="169"/>
  <c r="O31" i="169"/>
  <c r="N31" i="169"/>
  <c r="M31" i="169"/>
  <c r="L31" i="169"/>
  <c r="K31" i="169"/>
  <c r="J31" i="169"/>
  <c r="I31" i="169"/>
  <c r="H31" i="169"/>
  <c r="G31" i="169"/>
  <c r="F31" i="169"/>
  <c r="E31" i="169"/>
  <c r="D31" i="169"/>
  <c r="U30" i="169"/>
  <c r="T30" i="169"/>
  <c r="S30" i="169"/>
  <c r="R30" i="169"/>
  <c r="Q30" i="169"/>
  <c r="P30" i="169"/>
  <c r="O30" i="169"/>
  <c r="N30" i="169"/>
  <c r="M30" i="169"/>
  <c r="L30" i="169"/>
  <c r="K30" i="169"/>
  <c r="J30" i="169"/>
  <c r="I30" i="169"/>
  <c r="H30" i="169"/>
  <c r="G30" i="169"/>
  <c r="F30" i="169"/>
  <c r="E30" i="169"/>
  <c r="D30" i="169"/>
  <c r="U29" i="169"/>
  <c r="T29" i="169"/>
  <c r="S29" i="169"/>
  <c r="R29" i="169"/>
  <c r="Q29" i="169"/>
  <c r="P29" i="169"/>
  <c r="O29" i="169"/>
  <c r="N29" i="169"/>
  <c r="M29" i="169"/>
  <c r="L29" i="169"/>
  <c r="K29" i="169"/>
  <c r="J29" i="169"/>
  <c r="I29" i="169"/>
  <c r="H29" i="169"/>
  <c r="G29" i="169"/>
  <c r="F29" i="169"/>
  <c r="E29" i="169"/>
  <c r="D29" i="169"/>
  <c r="U28" i="169"/>
  <c r="T28" i="169"/>
  <c r="S28" i="169"/>
  <c r="R28" i="169"/>
  <c r="Q28" i="169"/>
  <c r="P28" i="169"/>
  <c r="O28" i="169"/>
  <c r="N28" i="169"/>
  <c r="M28" i="169"/>
  <c r="L28" i="169"/>
  <c r="K28" i="169"/>
  <c r="J28" i="169"/>
  <c r="I28" i="169"/>
  <c r="H28" i="169"/>
  <c r="G28" i="169"/>
  <c r="F28" i="169"/>
  <c r="E28" i="169"/>
  <c r="D28" i="169"/>
  <c r="U27" i="169"/>
  <c r="T27" i="169"/>
  <c r="S27" i="169"/>
  <c r="R27" i="169"/>
  <c r="Q27" i="169"/>
  <c r="P27" i="169"/>
  <c r="O27" i="169"/>
  <c r="N27" i="169"/>
  <c r="M27" i="169"/>
  <c r="L27" i="169"/>
  <c r="K27" i="169"/>
  <c r="J27" i="169"/>
  <c r="I27" i="169"/>
  <c r="H27" i="169"/>
  <c r="G27" i="169"/>
  <c r="F27" i="169"/>
  <c r="E27" i="169"/>
  <c r="D27" i="169"/>
  <c r="U26" i="169"/>
  <c r="T26" i="169"/>
  <c r="S26" i="169"/>
  <c r="R26" i="169"/>
  <c r="Q26" i="169"/>
  <c r="P26" i="169"/>
  <c r="O26" i="169"/>
  <c r="N26" i="169"/>
  <c r="M26" i="169"/>
  <c r="L26" i="169"/>
  <c r="K26" i="169"/>
  <c r="J26" i="169"/>
  <c r="I26" i="169"/>
  <c r="H26" i="169"/>
  <c r="G26" i="169"/>
  <c r="F26" i="169"/>
  <c r="E26" i="169"/>
  <c r="D26" i="169"/>
  <c r="U25" i="169"/>
  <c r="T25" i="169"/>
  <c r="S25" i="169"/>
  <c r="R25" i="169"/>
  <c r="Q25" i="169"/>
  <c r="P25" i="169"/>
  <c r="O25" i="169"/>
  <c r="N25" i="169"/>
  <c r="M25" i="169"/>
  <c r="L25" i="169"/>
  <c r="K25" i="169"/>
  <c r="J25" i="169"/>
  <c r="I25" i="169"/>
  <c r="H25" i="169"/>
  <c r="G25" i="169"/>
  <c r="F25" i="169"/>
  <c r="E25" i="169"/>
  <c r="D25" i="169"/>
  <c r="U24" i="169"/>
  <c r="T24" i="169"/>
  <c r="S24" i="169"/>
  <c r="R24" i="169"/>
  <c r="Q24" i="169"/>
  <c r="P24" i="169"/>
  <c r="O24" i="169"/>
  <c r="N24" i="169"/>
  <c r="M24" i="169"/>
  <c r="L24" i="169"/>
  <c r="K24" i="169"/>
  <c r="J24" i="169"/>
  <c r="I24" i="169"/>
  <c r="H24" i="169"/>
  <c r="G24" i="169"/>
  <c r="F24" i="169"/>
  <c r="E24" i="169"/>
  <c r="D24" i="169"/>
  <c r="U23" i="169"/>
  <c r="T23" i="169"/>
  <c r="S23" i="169"/>
  <c r="R23" i="169"/>
  <c r="Q23" i="169"/>
  <c r="P23" i="169"/>
  <c r="O23" i="169"/>
  <c r="N23" i="169"/>
  <c r="M23" i="169"/>
  <c r="L23" i="169"/>
  <c r="K23" i="169"/>
  <c r="J23" i="169"/>
  <c r="I23" i="169"/>
  <c r="H23" i="169"/>
  <c r="G23" i="169"/>
  <c r="F23" i="169"/>
  <c r="E23" i="169"/>
  <c r="D23" i="169"/>
  <c r="U22" i="169"/>
  <c r="T22" i="169"/>
  <c r="S22" i="169"/>
  <c r="R22" i="169"/>
  <c r="Q22" i="169"/>
  <c r="P22" i="169"/>
  <c r="O22" i="169"/>
  <c r="N22" i="169"/>
  <c r="M22" i="169"/>
  <c r="L22" i="169"/>
  <c r="K22" i="169"/>
  <c r="J22" i="169"/>
  <c r="I22" i="169"/>
  <c r="H22" i="169"/>
  <c r="G22" i="169"/>
  <c r="F22" i="169"/>
  <c r="E22" i="169"/>
  <c r="D22" i="169"/>
  <c r="U21" i="169"/>
  <c r="T21" i="169"/>
  <c r="S21" i="169"/>
  <c r="R21" i="169"/>
  <c r="Q21" i="169"/>
  <c r="P21" i="169"/>
  <c r="O21" i="169"/>
  <c r="N21" i="169"/>
  <c r="M21" i="169"/>
  <c r="L21" i="169"/>
  <c r="K21" i="169"/>
  <c r="J21" i="169"/>
  <c r="I21" i="169"/>
  <c r="H21" i="169"/>
  <c r="G21" i="169"/>
  <c r="F21" i="169"/>
  <c r="E21" i="169"/>
  <c r="D21" i="169"/>
  <c r="U20" i="169"/>
  <c r="T20" i="169"/>
  <c r="S20" i="169"/>
  <c r="R20" i="169"/>
  <c r="Q20" i="169"/>
  <c r="P20" i="169"/>
  <c r="O20" i="169"/>
  <c r="N20" i="169"/>
  <c r="M20" i="169"/>
  <c r="L20" i="169"/>
  <c r="K20" i="169"/>
  <c r="J20" i="169"/>
  <c r="I20" i="169"/>
  <c r="H20" i="169"/>
  <c r="G20" i="169"/>
  <c r="F20" i="169"/>
  <c r="E20" i="169"/>
  <c r="D20" i="169"/>
  <c r="P19" i="169"/>
  <c r="U18" i="169"/>
  <c r="T18" i="169"/>
  <c r="S18" i="169"/>
  <c r="R18" i="169"/>
  <c r="Q18" i="169"/>
  <c r="P18" i="169"/>
  <c r="O18" i="169"/>
  <c r="N18" i="169"/>
  <c r="M18" i="169"/>
  <c r="L18" i="169"/>
  <c r="K18" i="169"/>
  <c r="J18" i="169"/>
  <c r="I18" i="169"/>
  <c r="H18" i="169"/>
  <c r="G18" i="169"/>
  <c r="F18" i="169"/>
  <c r="E18" i="169"/>
  <c r="D18" i="169"/>
  <c r="U17" i="169"/>
  <c r="T17" i="169"/>
  <c r="S17" i="169"/>
  <c r="R17" i="169"/>
  <c r="Q17" i="169"/>
  <c r="P17" i="169"/>
  <c r="O17" i="169"/>
  <c r="N17" i="169"/>
  <c r="M17" i="169"/>
  <c r="L17" i="169"/>
  <c r="K17" i="169"/>
  <c r="J17" i="169"/>
  <c r="I17" i="169"/>
  <c r="H17" i="169"/>
  <c r="G17" i="169"/>
  <c r="F17" i="169"/>
  <c r="E17" i="169"/>
  <c r="D17" i="169"/>
  <c r="U16" i="169"/>
  <c r="T16" i="169"/>
  <c r="S16" i="169"/>
  <c r="R16" i="169"/>
  <c r="Q16" i="169"/>
  <c r="P16" i="169"/>
  <c r="O16" i="169"/>
  <c r="N16" i="169"/>
  <c r="M16" i="169"/>
  <c r="L16" i="169"/>
  <c r="K16" i="169"/>
  <c r="J16" i="169"/>
  <c r="I16" i="169"/>
  <c r="H16" i="169"/>
  <c r="G16" i="169"/>
  <c r="F16" i="169"/>
  <c r="E16" i="169"/>
  <c r="D16" i="169"/>
  <c r="U15" i="169"/>
  <c r="T15" i="169"/>
  <c r="S15" i="169"/>
  <c r="R15" i="169"/>
  <c r="Q15" i="169"/>
  <c r="P15" i="169"/>
  <c r="O15" i="169"/>
  <c r="N15" i="169"/>
  <c r="M15" i="169"/>
  <c r="L15" i="169"/>
  <c r="K15" i="169"/>
  <c r="J15" i="169"/>
  <c r="I15" i="169"/>
  <c r="H15" i="169"/>
  <c r="G15" i="169"/>
  <c r="F15" i="169"/>
  <c r="E15" i="169"/>
  <c r="D15" i="169"/>
  <c r="U14" i="169"/>
  <c r="T14" i="169"/>
  <c r="S14" i="169"/>
  <c r="R14" i="169"/>
  <c r="Q14" i="169"/>
  <c r="P14" i="169"/>
  <c r="O14" i="169"/>
  <c r="N14" i="169"/>
  <c r="M14" i="169"/>
  <c r="L14" i="169"/>
  <c r="K14" i="169"/>
  <c r="J14" i="169"/>
  <c r="I14" i="169"/>
  <c r="H14" i="169"/>
  <c r="G14" i="169"/>
  <c r="F14" i="169"/>
  <c r="E14" i="169"/>
  <c r="D14" i="169"/>
  <c r="U13" i="169"/>
  <c r="T13" i="169"/>
  <c r="S13" i="169"/>
  <c r="R13" i="169"/>
  <c r="Q13" i="169"/>
  <c r="P13" i="169"/>
  <c r="O13" i="169"/>
  <c r="N13" i="169"/>
  <c r="M13" i="169"/>
  <c r="L13" i="169"/>
  <c r="K13" i="169"/>
  <c r="J13" i="169"/>
  <c r="I13" i="169"/>
  <c r="H13" i="169"/>
  <c r="G13" i="169"/>
  <c r="F13" i="169"/>
  <c r="E13" i="169"/>
  <c r="D13" i="169"/>
  <c r="U12" i="169"/>
  <c r="T12" i="169"/>
  <c r="S12" i="169"/>
  <c r="R12" i="169"/>
  <c r="Q12" i="169"/>
  <c r="P12" i="169"/>
  <c r="O12" i="169"/>
  <c r="N12" i="169"/>
  <c r="M12" i="169"/>
  <c r="L12" i="169"/>
  <c r="K12" i="169"/>
  <c r="J12" i="169"/>
  <c r="I12" i="169"/>
  <c r="H12" i="169"/>
  <c r="G12" i="169"/>
  <c r="F12" i="169"/>
  <c r="E12" i="169"/>
  <c r="D12" i="169"/>
  <c r="D13" i="97" l="1"/>
  <c r="Z43" i="102"/>
  <c r="Q43" i="102"/>
  <c r="G45" i="102"/>
  <c r="Q45" i="102" s="1"/>
  <c r="Z45" i="102" s="1"/>
  <c r="C24" i="102"/>
  <c r="G24" i="102" s="1"/>
  <c r="E32" i="102"/>
  <c r="G32" i="102" s="1"/>
  <c r="G47" i="102"/>
  <c r="C23" i="102"/>
  <c r="Q46" i="102"/>
  <c r="Z46" i="102" s="1"/>
  <c r="C37" i="102"/>
  <c r="G37" i="102" s="1"/>
  <c r="Z37" i="102" s="1"/>
  <c r="S41" i="102"/>
  <c r="S5" i="102" s="1"/>
  <c r="E27" i="102"/>
  <c r="E30" i="102"/>
  <c r="G30" i="102" s="1"/>
  <c r="E29" i="102"/>
  <c r="G29" i="102" s="1"/>
  <c r="E31" i="102"/>
  <c r="G31" i="102" s="1"/>
  <c r="G27" i="102"/>
  <c r="Z41" i="102"/>
  <c r="G11" i="102"/>
  <c r="Z36" i="102"/>
  <c r="D13" i="102"/>
  <c r="G21" i="102"/>
  <c r="E13" i="102"/>
  <c r="G13" i="102" s="1"/>
  <c r="E17" i="102"/>
  <c r="G17" i="102" s="1"/>
  <c r="G23" i="102"/>
  <c r="G28" i="102"/>
  <c r="T5" i="102"/>
  <c r="Y44" i="102"/>
  <c r="Z44" i="102" s="1"/>
  <c r="E33" i="102"/>
  <c r="G33" i="102" s="1"/>
  <c r="P21" i="102"/>
  <c r="E26" i="102"/>
  <c r="G26" i="102" s="1"/>
  <c r="E34" i="102"/>
  <c r="G34" i="102" s="1"/>
  <c r="Q43" i="101"/>
  <c r="Z43" i="101" s="1"/>
  <c r="Y40" i="101"/>
  <c r="Z45" i="101"/>
  <c r="T5" i="101"/>
  <c r="Z40" i="101"/>
  <c r="Q47" i="101"/>
  <c r="Z47" i="101" s="1"/>
  <c r="V5" i="101"/>
  <c r="Y37" i="101"/>
  <c r="C23" i="101"/>
  <c r="D22" i="101" s="1"/>
  <c r="S5" i="101"/>
  <c r="G13" i="101"/>
  <c r="G17" i="101"/>
  <c r="Z41" i="101"/>
  <c r="Z46" i="101"/>
  <c r="C5" i="101"/>
  <c r="C49" i="101" s="1"/>
  <c r="D13" i="101"/>
  <c r="G21" i="101"/>
  <c r="G36" i="101"/>
  <c r="D41" i="101"/>
  <c r="E13" i="101"/>
  <c r="E17" i="101"/>
  <c r="G23" i="101"/>
  <c r="C37" i="101"/>
  <c r="G37" i="101" s="1"/>
  <c r="Y44" i="101"/>
  <c r="Z44" i="101" s="1"/>
  <c r="E18" i="101"/>
  <c r="G18" i="101" s="1"/>
  <c r="Y43" i="101"/>
  <c r="D30" i="101"/>
  <c r="F35" i="101" s="1"/>
  <c r="E12" i="101"/>
  <c r="G12" i="101" s="1"/>
  <c r="Q43" i="100"/>
  <c r="Z43" i="100" s="1"/>
  <c r="Q46" i="100"/>
  <c r="Z46" i="100" s="1"/>
  <c r="G12" i="100"/>
  <c r="Z40" i="100"/>
  <c r="Y43" i="100"/>
  <c r="G24" i="100"/>
  <c r="Z44" i="100"/>
  <c r="G47" i="100"/>
  <c r="Z37" i="100"/>
  <c r="C5" i="100"/>
  <c r="C49" i="100" s="1"/>
  <c r="D13" i="100"/>
  <c r="G21" i="100"/>
  <c r="G36" i="100"/>
  <c r="Q38" i="100" s="1"/>
  <c r="Y39" i="100"/>
  <c r="Z39" i="100" s="1"/>
  <c r="D41" i="100"/>
  <c r="E13" i="100"/>
  <c r="G13" i="100" s="1"/>
  <c r="E17" i="100"/>
  <c r="G17" i="100" s="1"/>
  <c r="T5" i="100"/>
  <c r="U5" i="100"/>
  <c r="E11" i="100"/>
  <c r="D30" i="100"/>
  <c r="F35" i="100" s="1"/>
  <c r="G45" i="100"/>
  <c r="E19" i="100"/>
  <c r="G19" i="100" s="1"/>
  <c r="S41" i="100"/>
  <c r="Z43" i="99"/>
  <c r="Q43" i="99"/>
  <c r="Z41" i="99"/>
  <c r="G24" i="99"/>
  <c r="G45" i="99"/>
  <c r="C24" i="99"/>
  <c r="D22" i="99"/>
  <c r="Q46" i="99"/>
  <c r="Z46" i="99" s="1"/>
  <c r="Q47" i="99"/>
  <c r="Z47" i="99" s="1"/>
  <c r="S13" i="99"/>
  <c r="Z40" i="99"/>
  <c r="T5" i="99"/>
  <c r="Y44" i="99"/>
  <c r="Z44" i="99" s="1"/>
  <c r="S5" i="99"/>
  <c r="D13" i="99"/>
  <c r="G21" i="99"/>
  <c r="G36" i="99"/>
  <c r="Y39" i="99"/>
  <c r="Z39" i="99" s="1"/>
  <c r="E13" i="99"/>
  <c r="G13" i="99" s="1"/>
  <c r="E17" i="99"/>
  <c r="G17" i="99" s="1"/>
  <c r="G23" i="99"/>
  <c r="C37" i="99"/>
  <c r="G37" i="99" s="1"/>
  <c r="Z37" i="99" s="1"/>
  <c r="E18" i="99"/>
  <c r="G18" i="99" s="1"/>
  <c r="Y43" i="99"/>
  <c r="E11" i="99"/>
  <c r="D30" i="99"/>
  <c r="F35" i="99" s="1"/>
  <c r="S41" i="99"/>
  <c r="E12" i="99"/>
  <c r="G12" i="99" s="1"/>
  <c r="Q46" i="98"/>
  <c r="Z46" i="98" s="1"/>
  <c r="Q43" i="98"/>
  <c r="Z43" i="98" s="1"/>
  <c r="Z41" i="98"/>
  <c r="Z40" i="98"/>
  <c r="Z47" i="98"/>
  <c r="C24" i="98"/>
  <c r="G24" i="98" s="1"/>
  <c r="E18" i="98"/>
  <c r="G18" i="98" s="1"/>
  <c r="Y44" i="98"/>
  <c r="Z44" i="98" s="1"/>
  <c r="C23" i="98"/>
  <c r="C5" i="98" s="1"/>
  <c r="C49" i="98" s="1"/>
  <c r="Z45" i="98"/>
  <c r="F35" i="98"/>
  <c r="E26" i="98" s="1"/>
  <c r="G26" i="98" s="1"/>
  <c r="G11" i="98"/>
  <c r="D13" i="98"/>
  <c r="G21" i="98"/>
  <c r="G36" i="98"/>
  <c r="Q38" i="98" s="1"/>
  <c r="D41" i="98"/>
  <c r="E13" i="98"/>
  <c r="E17" i="98"/>
  <c r="G17" i="98" s="1"/>
  <c r="T5" i="98"/>
  <c r="S41" i="98"/>
  <c r="Z46" i="97"/>
  <c r="Q46" i="97"/>
  <c r="Z43" i="97"/>
  <c r="Q43" i="97"/>
  <c r="G47" i="97"/>
  <c r="C23" i="97"/>
  <c r="D22" i="97" s="1"/>
  <c r="V5" i="97"/>
  <c r="C39" i="97"/>
  <c r="G39" i="97" s="1"/>
  <c r="Z39" i="97" s="1"/>
  <c r="W5" i="97"/>
  <c r="Y39" i="97"/>
  <c r="Z40" i="97"/>
  <c r="C42" i="97"/>
  <c r="G42" i="97" s="1"/>
  <c r="Q42" i="97" s="1"/>
  <c r="Z42" i="97" s="1"/>
  <c r="G41" i="97"/>
  <c r="Z41" i="97" s="1"/>
  <c r="C24" i="97"/>
  <c r="G24" i="97" s="1"/>
  <c r="Z37" i="97"/>
  <c r="G11" i="97"/>
  <c r="G27" i="97"/>
  <c r="F35" i="97"/>
  <c r="E32" i="97" s="1"/>
  <c r="G32" i="97" s="1"/>
  <c r="G9" i="97"/>
  <c r="E13" i="97"/>
  <c r="G13" i="97" s="1"/>
  <c r="E17" i="97"/>
  <c r="G17" i="97" s="1"/>
  <c r="G21" i="97"/>
  <c r="G36" i="97"/>
  <c r="Y44" i="97"/>
  <c r="Z44" i="97" s="1"/>
  <c r="U5" i="97"/>
  <c r="G18" i="97"/>
  <c r="Y43" i="97"/>
  <c r="S41" i="97"/>
  <c r="S5" i="97" s="1"/>
  <c r="E34" i="97"/>
  <c r="G34" i="97" s="1"/>
  <c r="E27" i="97"/>
  <c r="Q43" i="96"/>
  <c r="Z43" i="96" s="1"/>
  <c r="Z46" i="96"/>
  <c r="Q46" i="96"/>
  <c r="G7" i="96"/>
  <c r="G24" i="96"/>
  <c r="Z41" i="96"/>
  <c r="Z40" i="96"/>
  <c r="C37" i="96"/>
  <c r="G37" i="96" s="1"/>
  <c r="Z37" i="96" s="1"/>
  <c r="S22" i="96"/>
  <c r="C44" i="96"/>
  <c r="G44" i="96" s="1"/>
  <c r="Q44" i="96" s="1"/>
  <c r="Z39" i="96"/>
  <c r="Z44" i="96"/>
  <c r="G47" i="96"/>
  <c r="G23" i="96"/>
  <c r="S13" i="96"/>
  <c r="S5" i="96" s="1"/>
  <c r="G21" i="96"/>
  <c r="H22" i="96" s="1"/>
  <c r="J22" i="96" s="1"/>
  <c r="Q22" i="96" s="1"/>
  <c r="G36" i="96"/>
  <c r="E18" i="96"/>
  <c r="G18" i="96" s="1"/>
  <c r="Y43" i="96"/>
  <c r="G42" i="96"/>
  <c r="Q42" i="96" s="1"/>
  <c r="Z42" i="96" s="1"/>
  <c r="E11" i="96"/>
  <c r="G11" i="96" s="1"/>
  <c r="D30" i="96"/>
  <c r="F35" i="96" s="1"/>
  <c r="E29" i="96" s="1"/>
  <c r="G29" i="96" s="1"/>
  <c r="G45" i="96"/>
  <c r="E19" i="96"/>
  <c r="G19" i="96" s="1"/>
  <c r="S41" i="96"/>
  <c r="F41" i="96"/>
  <c r="C23" i="177"/>
  <c r="G23" i="177" s="1"/>
  <c r="G47" i="177"/>
  <c r="Q47" i="177" s="1"/>
  <c r="Z47" i="177" s="1"/>
  <c r="U5" i="177"/>
  <c r="C39" i="177"/>
  <c r="G39" i="177" s="1"/>
  <c r="Z39" i="177" s="1"/>
  <c r="V5" i="177"/>
  <c r="F22" i="177"/>
  <c r="C24" i="177"/>
  <c r="G24" i="177" s="1"/>
  <c r="C46" i="177"/>
  <c r="G46" i="177" s="1"/>
  <c r="D13" i="177"/>
  <c r="S13" i="177"/>
  <c r="S5" i="177" s="1"/>
  <c r="C43" i="177"/>
  <c r="G43" i="177" s="1"/>
  <c r="W5" i="177"/>
  <c r="Y39" i="177"/>
  <c r="D22" i="177"/>
  <c r="Q43" i="95"/>
  <c r="Z43" i="95" s="1"/>
  <c r="Q46" i="95"/>
  <c r="Z46" i="95" s="1"/>
  <c r="Q45" i="95"/>
  <c r="Z45" i="95" s="1"/>
  <c r="Z47" i="95"/>
  <c r="Z40" i="95"/>
  <c r="C37" i="95"/>
  <c r="G37" i="95" s="1"/>
  <c r="Z37" i="95" s="1"/>
  <c r="C23" i="95"/>
  <c r="G23" i="95" s="1"/>
  <c r="H22" i="95" s="1"/>
  <c r="J22" i="95" s="1"/>
  <c r="Q22" i="95" s="1"/>
  <c r="C44" i="95"/>
  <c r="G44" i="95" s="1"/>
  <c r="Q44" i="95" s="1"/>
  <c r="Z39" i="95"/>
  <c r="Z44" i="95"/>
  <c r="D13" i="95"/>
  <c r="S13" i="95"/>
  <c r="S5" i="95" s="1"/>
  <c r="G36" i="95"/>
  <c r="G41" i="95"/>
  <c r="Z41" i="95" s="1"/>
  <c r="Y43" i="95"/>
  <c r="E18" i="95"/>
  <c r="G18" i="95" s="1"/>
  <c r="D30" i="95"/>
  <c r="F35" i="95" s="1"/>
  <c r="S41" i="95"/>
  <c r="D22" i="95"/>
  <c r="G42" i="95"/>
  <c r="Q42" i="95" s="1"/>
  <c r="Z42" i="95" s="1"/>
  <c r="E12" i="95"/>
  <c r="E10" i="95" s="1"/>
  <c r="Q43" i="177"/>
  <c r="Z43" i="177" s="1"/>
  <c r="Q46" i="177"/>
  <c r="Z46" i="177" s="1"/>
  <c r="G7" i="177"/>
  <c r="C44" i="177"/>
  <c r="G44" i="177" s="1"/>
  <c r="Q44" i="177" s="1"/>
  <c r="Y44" i="177"/>
  <c r="Z40" i="177"/>
  <c r="Z41" i="177"/>
  <c r="G9" i="177"/>
  <c r="E13" i="177"/>
  <c r="G13" i="177" s="1"/>
  <c r="E17" i="177"/>
  <c r="G17" i="177" s="1"/>
  <c r="G21" i="177"/>
  <c r="H22" i="177" s="1"/>
  <c r="J22" i="177" s="1"/>
  <c r="Q22" i="177" s="1"/>
  <c r="G36" i="177"/>
  <c r="C37" i="177"/>
  <c r="G37" i="177" s="1"/>
  <c r="Z37" i="177" s="1"/>
  <c r="Y43" i="177"/>
  <c r="G11" i="177"/>
  <c r="E19" i="177"/>
  <c r="S41" i="177"/>
  <c r="D30" i="177"/>
  <c r="F35" i="177" s="1"/>
  <c r="E27" i="177" s="1"/>
  <c r="G27" i="177" s="1"/>
  <c r="E10" i="98" l="1"/>
  <c r="G10" i="98" s="1"/>
  <c r="G20" i="98" s="1"/>
  <c r="Q38" i="102"/>
  <c r="R41" i="102" s="1"/>
  <c r="H41" i="102"/>
  <c r="D41" i="102"/>
  <c r="Z47" i="102"/>
  <c r="Q47" i="102"/>
  <c r="E10" i="102"/>
  <c r="H22" i="102"/>
  <c r="J22" i="102" s="1"/>
  <c r="Q22" i="102" s="1"/>
  <c r="C5" i="102"/>
  <c r="C49" i="102" s="1"/>
  <c r="H30" i="102"/>
  <c r="J30" i="102" s="1"/>
  <c r="Q30" i="102" s="1"/>
  <c r="R30" i="102" s="1"/>
  <c r="D22" i="102"/>
  <c r="E28" i="101"/>
  <c r="G28" i="101" s="1"/>
  <c r="E27" i="101"/>
  <c r="G27" i="101" s="1"/>
  <c r="Z37" i="101"/>
  <c r="E10" i="101"/>
  <c r="H22" i="101"/>
  <c r="J22" i="101" s="1"/>
  <c r="Q22" i="101" s="1"/>
  <c r="H41" i="101"/>
  <c r="Q38" i="101"/>
  <c r="R41" i="101" s="1"/>
  <c r="Z36" i="101"/>
  <c r="E34" i="101"/>
  <c r="G34" i="101" s="1"/>
  <c r="E30" i="101"/>
  <c r="G30" i="101" s="1"/>
  <c r="E26" i="101"/>
  <c r="G26" i="101" s="1"/>
  <c r="E33" i="101"/>
  <c r="G33" i="101" s="1"/>
  <c r="E31" i="101"/>
  <c r="G31" i="101" s="1"/>
  <c r="E29" i="101"/>
  <c r="G29" i="101" s="1"/>
  <c r="E32" i="101"/>
  <c r="G32" i="101" s="1"/>
  <c r="E34" i="100"/>
  <c r="G34" i="100" s="1"/>
  <c r="E26" i="100"/>
  <c r="G26" i="100" s="1"/>
  <c r="Q45" i="100"/>
  <c r="R41" i="100" s="1"/>
  <c r="E10" i="100"/>
  <c r="Z47" i="100"/>
  <c r="Q47" i="100"/>
  <c r="D22" i="100"/>
  <c r="G23" i="100"/>
  <c r="H22" i="100" s="1"/>
  <c r="J22" i="100" s="1"/>
  <c r="Q22" i="100" s="1"/>
  <c r="E27" i="100"/>
  <c r="G27" i="100" s="1"/>
  <c r="E31" i="100"/>
  <c r="G31" i="100" s="1"/>
  <c r="E33" i="100"/>
  <c r="G33" i="100" s="1"/>
  <c r="E29" i="100"/>
  <c r="G29" i="100" s="1"/>
  <c r="S5" i="100"/>
  <c r="E30" i="100"/>
  <c r="G30" i="100" s="1"/>
  <c r="H41" i="100"/>
  <c r="Z36" i="100"/>
  <c r="G11" i="100"/>
  <c r="E32" i="100"/>
  <c r="G32" i="100" s="1"/>
  <c r="E28" i="100"/>
  <c r="G28" i="100" s="1"/>
  <c r="C5" i="99"/>
  <c r="C49" i="99" s="1"/>
  <c r="Q45" i="99"/>
  <c r="Z45" i="99" s="1"/>
  <c r="E34" i="99"/>
  <c r="G34" i="99" s="1"/>
  <c r="E33" i="99"/>
  <c r="G33" i="99" s="1"/>
  <c r="E29" i="99"/>
  <c r="G29" i="99" s="1"/>
  <c r="E31" i="99"/>
  <c r="G31" i="99" s="1"/>
  <c r="E30" i="99"/>
  <c r="G30" i="99" s="1"/>
  <c r="E27" i="99"/>
  <c r="G27" i="99" s="1"/>
  <c r="E32" i="99"/>
  <c r="G32" i="99" s="1"/>
  <c r="E28" i="99"/>
  <c r="G28" i="99" s="1"/>
  <c r="E26" i="99"/>
  <c r="G26" i="99" s="1"/>
  <c r="H41" i="99"/>
  <c r="Z36" i="99"/>
  <c r="E10" i="99"/>
  <c r="E49" i="99" s="1"/>
  <c r="H22" i="99"/>
  <c r="J22" i="99" s="1"/>
  <c r="Q22" i="99" s="1"/>
  <c r="G11" i="99"/>
  <c r="D41" i="99"/>
  <c r="Q38" i="99"/>
  <c r="E32" i="98"/>
  <c r="G32" i="98" s="1"/>
  <c r="E34" i="98"/>
  <c r="G34" i="98" s="1"/>
  <c r="G13" i="98"/>
  <c r="R41" i="98"/>
  <c r="E31" i="98"/>
  <c r="G31" i="98" s="1"/>
  <c r="E30" i="98"/>
  <c r="G30" i="98" s="1"/>
  <c r="E33" i="98"/>
  <c r="G33" i="98" s="1"/>
  <c r="E29" i="98"/>
  <c r="G29" i="98" s="1"/>
  <c r="D22" i="98"/>
  <c r="G23" i="98"/>
  <c r="H22" i="98" s="1"/>
  <c r="J22" i="98" s="1"/>
  <c r="Q22" i="98" s="1"/>
  <c r="S5" i="98"/>
  <c r="H41" i="98"/>
  <c r="Z36" i="98"/>
  <c r="E28" i="98"/>
  <c r="G28" i="98" s="1"/>
  <c r="E27" i="98"/>
  <c r="G27" i="98" s="1"/>
  <c r="E33" i="97"/>
  <c r="G33" i="97" s="1"/>
  <c r="G23" i="97"/>
  <c r="H22" i="97" s="1"/>
  <c r="J22" i="97" s="1"/>
  <c r="Q22" i="97" s="1"/>
  <c r="R22" i="97" s="1"/>
  <c r="E28" i="97"/>
  <c r="G28" i="97" s="1"/>
  <c r="Z47" i="97"/>
  <c r="Q47" i="97"/>
  <c r="E10" i="97"/>
  <c r="E26" i="97"/>
  <c r="G26" i="97" s="1"/>
  <c r="C5" i="97"/>
  <c r="C49" i="97" s="1"/>
  <c r="D41" i="97"/>
  <c r="E30" i="97"/>
  <c r="G30" i="97" s="1"/>
  <c r="E29" i="97"/>
  <c r="G29" i="97" s="1"/>
  <c r="E31" i="97"/>
  <c r="G31" i="97" s="1"/>
  <c r="H41" i="97"/>
  <c r="Q38" i="97"/>
  <c r="R41" i="97" s="1"/>
  <c r="Z36" i="97"/>
  <c r="Z45" i="96"/>
  <c r="Q45" i="96"/>
  <c r="Q47" i="96"/>
  <c r="Z47" i="96" s="1"/>
  <c r="C5" i="96"/>
  <c r="C49" i="96" s="1"/>
  <c r="E28" i="96"/>
  <c r="G28" i="96" s="1"/>
  <c r="E34" i="96"/>
  <c r="G34" i="96" s="1"/>
  <c r="E32" i="96"/>
  <c r="G32" i="96" s="1"/>
  <c r="E30" i="96"/>
  <c r="G30" i="96" s="1"/>
  <c r="E33" i="96"/>
  <c r="G33" i="96" s="1"/>
  <c r="E10" i="96"/>
  <c r="E49" i="96" s="1"/>
  <c r="R41" i="96"/>
  <c r="D41" i="96"/>
  <c r="D22" i="96"/>
  <c r="H41" i="96"/>
  <c r="Z36" i="96"/>
  <c r="Q38" i="96"/>
  <c r="E27" i="96"/>
  <c r="G27" i="96" s="1"/>
  <c r="E31" i="96"/>
  <c r="G31" i="96" s="1"/>
  <c r="E26" i="96"/>
  <c r="G26" i="96" s="1"/>
  <c r="R22" i="96"/>
  <c r="E28" i="177"/>
  <c r="G28" i="177" s="1"/>
  <c r="E30" i="177"/>
  <c r="G30" i="177" s="1"/>
  <c r="G10" i="95"/>
  <c r="E34" i="95"/>
  <c r="G34" i="95" s="1"/>
  <c r="E26" i="95"/>
  <c r="G26" i="95" s="1"/>
  <c r="E31" i="95"/>
  <c r="G31" i="95" s="1"/>
  <c r="E28" i="95"/>
  <c r="G28" i="95" s="1"/>
  <c r="E32" i="95"/>
  <c r="G32" i="95" s="1"/>
  <c r="E27" i="95"/>
  <c r="G27" i="95" s="1"/>
  <c r="E29" i="95"/>
  <c r="G29" i="95" s="1"/>
  <c r="E30" i="95"/>
  <c r="G30" i="95" s="1"/>
  <c r="E33" i="95"/>
  <c r="G33" i="95" s="1"/>
  <c r="G12" i="95"/>
  <c r="C5" i="95"/>
  <c r="C49" i="95" s="1"/>
  <c r="H41" i="95"/>
  <c r="Q38" i="95"/>
  <c r="Z36" i="95"/>
  <c r="R41" i="95"/>
  <c r="D41" i="95"/>
  <c r="R22" i="95"/>
  <c r="E32" i="177"/>
  <c r="G32" i="177" s="1"/>
  <c r="D41" i="177"/>
  <c r="E10" i="177"/>
  <c r="Z44" i="177"/>
  <c r="G10" i="177"/>
  <c r="G20" i="177" s="1"/>
  <c r="R41" i="177"/>
  <c r="R22" i="177"/>
  <c r="C5" i="177"/>
  <c r="C49" i="177" s="1"/>
  <c r="E26" i="177"/>
  <c r="G26" i="177" s="1"/>
  <c r="E34" i="177"/>
  <c r="G34" i="177" s="1"/>
  <c r="H41" i="177"/>
  <c r="Z36" i="177"/>
  <c r="Q38" i="177"/>
  <c r="G19" i="177"/>
  <c r="E29" i="177"/>
  <c r="G29" i="177" s="1"/>
  <c r="E31" i="177"/>
  <c r="G31" i="177" s="1"/>
  <c r="E33" i="177"/>
  <c r="G33" i="177" s="1"/>
  <c r="BC10" i="108" l="1"/>
  <c r="H13" i="177"/>
  <c r="J13" i="177" s="1"/>
  <c r="Q13" i="177" s="1"/>
  <c r="R13" i="177" s="1"/>
  <c r="G10" i="102"/>
  <c r="E49" i="102"/>
  <c r="R22" i="102"/>
  <c r="Q51" i="102"/>
  <c r="E49" i="101"/>
  <c r="H30" i="101"/>
  <c r="J30" i="101" s="1"/>
  <c r="Q30" i="101" s="1"/>
  <c r="R30" i="101" s="1"/>
  <c r="R22" i="101"/>
  <c r="Q51" i="101"/>
  <c r="G10" i="101"/>
  <c r="H30" i="100"/>
  <c r="J30" i="100" s="1"/>
  <c r="Q30" i="100" s="1"/>
  <c r="R30" i="100" s="1"/>
  <c r="G10" i="100"/>
  <c r="G20" i="100" s="1"/>
  <c r="E49" i="100"/>
  <c r="Z45" i="100"/>
  <c r="R22" i="100"/>
  <c r="Q51" i="100"/>
  <c r="R41" i="99"/>
  <c r="R22" i="99"/>
  <c r="G10" i="99"/>
  <c r="H30" i="99"/>
  <c r="J30" i="99" s="1"/>
  <c r="Q30" i="99" s="1"/>
  <c r="R30" i="99" s="1"/>
  <c r="H30" i="98"/>
  <c r="J30" i="98" s="1"/>
  <c r="Q30" i="98" s="1"/>
  <c r="R30" i="98" s="1"/>
  <c r="H13" i="98"/>
  <c r="J13" i="98" s="1"/>
  <c r="Q13" i="98" s="1"/>
  <c r="R13" i="98" s="1"/>
  <c r="E49" i="98"/>
  <c r="R22" i="98"/>
  <c r="G10" i="97"/>
  <c r="E49" i="97"/>
  <c r="H30" i="97"/>
  <c r="J30" i="97" s="1"/>
  <c r="Q30" i="97" s="1"/>
  <c r="G10" i="96"/>
  <c r="H30" i="96"/>
  <c r="J30" i="96" s="1"/>
  <c r="Q30" i="96" s="1"/>
  <c r="E49" i="95"/>
  <c r="G20" i="95"/>
  <c r="H13" i="95"/>
  <c r="H30" i="95"/>
  <c r="J30" i="95" s="1"/>
  <c r="Q30" i="95" s="1"/>
  <c r="E49" i="177"/>
  <c r="H30" i="177"/>
  <c r="J30" i="177" s="1"/>
  <c r="Q30" i="177" s="1"/>
  <c r="J13" i="95" l="1"/>
  <c r="Q13" i="95" s="1"/>
  <c r="H13" i="100"/>
  <c r="J13" i="100" s="1"/>
  <c r="Q13" i="100" s="1"/>
  <c r="G20" i="102"/>
  <c r="H13" i="102"/>
  <c r="J13" i="102" s="1"/>
  <c r="Q13" i="102" s="1"/>
  <c r="G20" i="101"/>
  <c r="H13" i="101"/>
  <c r="J13" i="101" s="1"/>
  <c r="Q13" i="101" s="1"/>
  <c r="Q51" i="99"/>
  <c r="G20" i="99"/>
  <c r="H13" i="99"/>
  <c r="J13" i="99" s="1"/>
  <c r="Q13" i="99" s="1"/>
  <c r="Q5" i="98"/>
  <c r="Q51" i="98"/>
  <c r="G20" i="97"/>
  <c r="H13" i="97"/>
  <c r="J13" i="97" s="1"/>
  <c r="Q13" i="97" s="1"/>
  <c r="R30" i="97"/>
  <c r="Q51" i="97"/>
  <c r="R30" i="96"/>
  <c r="Q51" i="96"/>
  <c r="G20" i="96"/>
  <c r="H13" i="96"/>
  <c r="J13" i="96" s="1"/>
  <c r="Q13" i="96" s="1"/>
  <c r="R30" i="95"/>
  <c r="Q51" i="95"/>
  <c r="Q5" i="95"/>
  <c r="R13" i="95"/>
  <c r="R30" i="177"/>
  <c r="Q51" i="177"/>
  <c r="Q5" i="177"/>
  <c r="R13" i="100" l="1"/>
  <c r="Q5" i="100"/>
  <c r="Q5" i="102"/>
  <c r="R13" i="102"/>
  <c r="Q5" i="101"/>
  <c r="R13" i="101"/>
  <c r="R13" i="99"/>
  <c r="Q5" i="99"/>
  <c r="R13" i="97"/>
  <c r="Q5" i="97"/>
  <c r="Q5" i="96"/>
  <c r="R13" i="96"/>
  <c r="DK7" i="108" l="1"/>
  <c r="DK5" i="108"/>
  <c r="DK4" i="108"/>
  <c r="CF24" i="108"/>
  <c r="CF20" i="108"/>
  <c r="L44" i="108"/>
  <c r="BD6" i="108"/>
  <c r="CF4" i="108"/>
  <c r="BD7" i="108"/>
  <c r="L5" i="108"/>
  <c r="AB5" i="108" s="1"/>
  <c r="DK20" i="108"/>
  <c r="L45" i="108"/>
  <c r="L42" i="108"/>
  <c r="AP6" i="108" l="1"/>
  <c r="CF5" i="108"/>
  <c r="CF7" i="108"/>
  <c r="BR7" i="108" s="1"/>
  <c r="AP7" i="108"/>
  <c r="L4" i="108"/>
  <c r="L3" i="108" l="1"/>
  <c r="AB4" i="108"/>
  <c r="BD5" i="108" l="1"/>
  <c r="BR5" i="108" s="1"/>
  <c r="AP5" i="108"/>
  <c r="AB3" i="108"/>
  <c r="AB31" i="108" s="1"/>
  <c r="L14" i="108"/>
  <c r="AB12" i="108" s="1"/>
  <c r="L18" i="108"/>
  <c r="AB14" i="108" s="1"/>
  <c r="L13" i="108"/>
  <c r="AB11" i="108" s="1"/>
  <c r="L12" i="108"/>
  <c r="AB10" i="108" s="1"/>
  <c r="L17" i="108"/>
  <c r="AB13" i="108" s="1"/>
  <c r="L11" i="108"/>
  <c r="AB9" i="108" s="1"/>
  <c r="L19" i="108"/>
  <c r="AB15" i="108" s="1"/>
  <c r="L10" i="108"/>
  <c r="C9" i="157"/>
  <c r="C8" i="157"/>
  <c r="C7" i="157"/>
  <c r="C9" i="106"/>
  <c r="C8" i="106"/>
  <c r="C7" i="106"/>
  <c r="C7" i="93"/>
  <c r="U22" i="165"/>
  <c r="U21" i="165"/>
  <c r="U20" i="165"/>
  <c r="U19" i="165"/>
  <c r="U18" i="165"/>
  <c r="U17" i="165"/>
  <c r="U16" i="165"/>
  <c r="U15" i="165"/>
  <c r="U14" i="165"/>
  <c r="U13" i="165"/>
  <c r="U12" i="165"/>
  <c r="U11" i="165"/>
  <c r="U10" i="165"/>
  <c r="U9" i="165"/>
  <c r="U8" i="165"/>
  <c r="U7" i="165"/>
  <c r="U6" i="165"/>
  <c r="U5" i="165"/>
  <c r="U4" i="165"/>
  <c r="BW7" i="108"/>
  <c r="BV7" i="108"/>
  <c r="BH7" i="108" s="1"/>
  <c r="BW5" i="108"/>
  <c r="BI5" i="108" s="1"/>
  <c r="BV5" i="108"/>
  <c r="BH5" i="108" s="1"/>
  <c r="CG7" i="52"/>
  <c r="CF7" i="52"/>
  <c r="CE7" i="52"/>
  <c r="CD7" i="52"/>
  <c r="CC7" i="52"/>
  <c r="CB7" i="52"/>
  <c r="CA7" i="52"/>
  <c r="BM7" i="52" s="1"/>
  <c r="BZ7" i="52"/>
  <c r="BL7" i="52" s="1"/>
  <c r="BY7" i="52"/>
  <c r="BK7" i="52" s="1"/>
  <c r="BW7" i="52"/>
  <c r="BI7" i="52" s="1"/>
  <c r="BV7" i="52"/>
  <c r="BH7" i="52" s="1"/>
  <c r="BW5" i="52"/>
  <c r="BI5" i="52" s="1"/>
  <c r="BV5" i="52"/>
  <c r="CG5" i="52"/>
  <c r="CF5" i="52"/>
  <c r="CE5" i="52"/>
  <c r="CD5" i="52"/>
  <c r="CC5" i="52"/>
  <c r="CB5" i="52"/>
  <c r="CA5" i="52"/>
  <c r="BM5" i="52" s="1"/>
  <c r="BZ5" i="52"/>
  <c r="BL5" i="52" s="1"/>
  <c r="BY5" i="52"/>
  <c r="BK5" i="52" s="1"/>
  <c r="T60" i="115"/>
  <c r="U60" i="115" s="1"/>
  <c r="DC4" i="108"/>
  <c r="DD4" i="108" s="1"/>
  <c r="DE4" i="108" s="1"/>
  <c r="DF4" i="108" s="1"/>
  <c r="DG4" i="108" s="1"/>
  <c r="DH4" i="108" s="1"/>
  <c r="DI4" i="108" s="1"/>
  <c r="DJ4" i="108" s="1"/>
  <c r="DL4" i="108" s="1"/>
  <c r="DB5" i="108"/>
  <c r="DC5" i="108" s="1"/>
  <c r="DD5" i="108" s="1"/>
  <c r="DE5" i="108" s="1"/>
  <c r="DF5" i="108" s="1"/>
  <c r="DG5" i="108" s="1"/>
  <c r="DH5" i="108" s="1"/>
  <c r="DI5" i="108" s="1"/>
  <c r="DJ5" i="108" s="1"/>
  <c r="DL5" i="108" s="1"/>
  <c r="DB4" i="108"/>
  <c r="DC4" i="52"/>
  <c r="DD4" i="52"/>
  <c r="DE4" i="52"/>
  <c r="DF4" i="52" s="1"/>
  <c r="DG4" i="52" s="1"/>
  <c r="DH4" i="52" s="1"/>
  <c r="DI4" i="52" s="1"/>
  <c r="DJ4" i="52" s="1"/>
  <c r="DK4" i="52" s="1"/>
  <c r="DL4" i="52" s="1"/>
  <c r="DC5" i="52"/>
  <c r="DD5" i="52"/>
  <c r="DE5" i="52"/>
  <c r="DF5" i="52"/>
  <c r="DG5" i="52"/>
  <c r="DH5" i="52" s="1"/>
  <c r="DI5" i="52" s="1"/>
  <c r="DJ5" i="52" s="1"/>
  <c r="DK5" i="52" s="1"/>
  <c r="DL5" i="52" s="1"/>
  <c r="DB5" i="52"/>
  <c r="DB4" i="52"/>
  <c r="BJ5" i="108"/>
  <c r="BI7" i="108"/>
  <c r="BJ7" i="108"/>
  <c r="BJ5" i="52"/>
  <c r="BN5" i="52"/>
  <c r="BO5" i="52"/>
  <c r="BP5" i="52"/>
  <c r="BQ5" i="52"/>
  <c r="BR5" i="52"/>
  <c r="BS5" i="52"/>
  <c r="BJ7" i="52"/>
  <c r="BN7" i="52"/>
  <c r="BO7" i="52"/>
  <c r="BP7" i="52"/>
  <c r="BQ7" i="52"/>
  <c r="BR7" i="52"/>
  <c r="BS7" i="52"/>
  <c r="BH5" i="52"/>
  <c r="AB30" i="108" l="1"/>
  <c r="L29" i="108"/>
  <c r="L33" i="108"/>
  <c r="AB21" i="108" s="1"/>
  <c r="L38" i="108"/>
  <c r="AB23" i="108" s="1"/>
  <c r="L30" i="108"/>
  <c r="AB18" i="108" s="1"/>
  <c r="L31" i="108"/>
  <c r="AB19" i="108" s="1"/>
  <c r="L32" i="108"/>
  <c r="AB20" i="108" s="1"/>
  <c r="L34" i="108"/>
  <c r="AB22" i="108" s="1"/>
  <c r="L9" i="108"/>
  <c r="AB8" i="108"/>
  <c r="C2" i="165"/>
  <c r="D2" i="165"/>
  <c r="E2" i="165"/>
  <c r="F2" i="165"/>
  <c r="G2" i="165"/>
  <c r="H2" i="165"/>
  <c r="I2" i="165"/>
  <c r="J2" i="165"/>
  <c r="K2" i="165"/>
  <c r="L2" i="165"/>
  <c r="M2" i="165"/>
  <c r="N2" i="165"/>
  <c r="O2" i="165"/>
  <c r="P2" i="165"/>
  <c r="Q2" i="165"/>
  <c r="R2" i="165"/>
  <c r="S2" i="165"/>
  <c r="T2" i="165"/>
  <c r="B2" i="165"/>
  <c r="H42" i="165"/>
  <c r="I42" i="165" s="1"/>
  <c r="J42" i="165" s="1"/>
  <c r="K42" i="165" s="1"/>
  <c r="L42" i="165" s="1"/>
  <c r="M42" i="165" s="1"/>
  <c r="N42" i="165" s="1"/>
  <c r="O42" i="165" s="1"/>
  <c r="P42" i="165" s="1"/>
  <c r="Q42" i="165" s="1"/>
  <c r="R42" i="165" s="1"/>
  <c r="S42" i="165" s="1"/>
  <c r="T42" i="165" s="1"/>
  <c r="E42" i="165"/>
  <c r="F42" i="165" s="1"/>
  <c r="G42" i="165" s="1"/>
  <c r="F41" i="165"/>
  <c r="G41" i="165" s="1"/>
  <c r="H41" i="165" s="1"/>
  <c r="I41" i="165" s="1"/>
  <c r="J41" i="165" s="1"/>
  <c r="K41" i="165" s="1"/>
  <c r="L41" i="165" s="1"/>
  <c r="M41" i="165" s="1"/>
  <c r="N41" i="165" s="1"/>
  <c r="O41" i="165" s="1"/>
  <c r="P41" i="165" s="1"/>
  <c r="Q41" i="165" s="1"/>
  <c r="R41" i="165" s="1"/>
  <c r="S41" i="165" s="1"/>
  <c r="T41" i="165" s="1"/>
  <c r="E41" i="165"/>
  <c r="F40" i="165"/>
  <c r="G40" i="165" s="1"/>
  <c r="H40" i="165" s="1"/>
  <c r="I40" i="165" s="1"/>
  <c r="J40" i="165" s="1"/>
  <c r="K40" i="165" s="1"/>
  <c r="L40" i="165" s="1"/>
  <c r="M40" i="165" s="1"/>
  <c r="N40" i="165" s="1"/>
  <c r="O40" i="165" s="1"/>
  <c r="P40" i="165" s="1"/>
  <c r="Q40" i="165" s="1"/>
  <c r="R40" i="165" s="1"/>
  <c r="S40" i="165" s="1"/>
  <c r="T40" i="165" s="1"/>
  <c r="E40" i="165"/>
  <c r="H39" i="165"/>
  <c r="I39" i="165" s="1"/>
  <c r="J39" i="165" s="1"/>
  <c r="K39" i="165" s="1"/>
  <c r="L39" i="165" s="1"/>
  <c r="M39" i="165" s="1"/>
  <c r="N39" i="165" s="1"/>
  <c r="O39" i="165" s="1"/>
  <c r="P39" i="165" s="1"/>
  <c r="Q39" i="165" s="1"/>
  <c r="R39" i="165" s="1"/>
  <c r="S39" i="165" s="1"/>
  <c r="T39" i="165" s="1"/>
  <c r="E39" i="165"/>
  <c r="F39" i="165" s="1"/>
  <c r="G39" i="165" s="1"/>
  <c r="E38" i="165"/>
  <c r="F38" i="165" s="1"/>
  <c r="G38" i="165" s="1"/>
  <c r="H38" i="165" s="1"/>
  <c r="I38" i="165" s="1"/>
  <c r="J38" i="165" s="1"/>
  <c r="K38" i="165" s="1"/>
  <c r="L38" i="165" s="1"/>
  <c r="M38" i="165" s="1"/>
  <c r="N38" i="165" s="1"/>
  <c r="O38" i="165" s="1"/>
  <c r="P38" i="165" s="1"/>
  <c r="Q38" i="165" s="1"/>
  <c r="R38" i="165" s="1"/>
  <c r="S38" i="165" s="1"/>
  <c r="T38" i="165" s="1"/>
  <c r="E37" i="165"/>
  <c r="F37" i="165" s="1"/>
  <c r="G37" i="165" s="1"/>
  <c r="H37" i="165" s="1"/>
  <c r="I37" i="165" s="1"/>
  <c r="J37" i="165" s="1"/>
  <c r="K37" i="165" s="1"/>
  <c r="L37" i="165" s="1"/>
  <c r="M37" i="165" s="1"/>
  <c r="N37" i="165" s="1"/>
  <c r="O37" i="165" s="1"/>
  <c r="P37" i="165" s="1"/>
  <c r="Q37" i="165" s="1"/>
  <c r="R37" i="165" s="1"/>
  <c r="S37" i="165" s="1"/>
  <c r="T37" i="165" s="1"/>
  <c r="H36" i="165"/>
  <c r="I36" i="165" s="1"/>
  <c r="J36" i="165" s="1"/>
  <c r="K36" i="165" s="1"/>
  <c r="L36" i="165" s="1"/>
  <c r="M36" i="165" s="1"/>
  <c r="N36" i="165" s="1"/>
  <c r="O36" i="165" s="1"/>
  <c r="P36" i="165" s="1"/>
  <c r="Q36" i="165" s="1"/>
  <c r="R36" i="165" s="1"/>
  <c r="S36" i="165" s="1"/>
  <c r="T36" i="165" s="1"/>
  <c r="E36" i="165"/>
  <c r="F36" i="165" s="1"/>
  <c r="G36" i="165" s="1"/>
  <c r="E35" i="165"/>
  <c r="F35" i="165" s="1"/>
  <c r="G35" i="165" s="1"/>
  <c r="H35" i="165" s="1"/>
  <c r="I35" i="165" s="1"/>
  <c r="J35" i="165" s="1"/>
  <c r="K35" i="165" s="1"/>
  <c r="L35" i="165" s="1"/>
  <c r="M35" i="165" s="1"/>
  <c r="N35" i="165" s="1"/>
  <c r="O35" i="165" s="1"/>
  <c r="P35" i="165" s="1"/>
  <c r="Q35" i="165" s="1"/>
  <c r="R35" i="165" s="1"/>
  <c r="S35" i="165" s="1"/>
  <c r="T35" i="165" s="1"/>
  <c r="E34" i="165"/>
  <c r="F34" i="165" s="1"/>
  <c r="G34" i="165" s="1"/>
  <c r="H34" i="165" s="1"/>
  <c r="I34" i="165" s="1"/>
  <c r="J34" i="165" s="1"/>
  <c r="K34" i="165" s="1"/>
  <c r="L34" i="165" s="1"/>
  <c r="M34" i="165" s="1"/>
  <c r="N34" i="165" s="1"/>
  <c r="O34" i="165" s="1"/>
  <c r="P34" i="165" s="1"/>
  <c r="Q34" i="165" s="1"/>
  <c r="R34" i="165" s="1"/>
  <c r="S34" i="165" s="1"/>
  <c r="T34" i="165" s="1"/>
  <c r="E33" i="165"/>
  <c r="F33" i="165" s="1"/>
  <c r="G33" i="165" s="1"/>
  <c r="H33" i="165" s="1"/>
  <c r="I33" i="165" s="1"/>
  <c r="J33" i="165" s="1"/>
  <c r="K33" i="165" s="1"/>
  <c r="L33" i="165" s="1"/>
  <c r="M33" i="165" s="1"/>
  <c r="N33" i="165" s="1"/>
  <c r="O33" i="165" s="1"/>
  <c r="P33" i="165" s="1"/>
  <c r="Q33" i="165" s="1"/>
  <c r="R33" i="165" s="1"/>
  <c r="S33" i="165" s="1"/>
  <c r="T33" i="165" s="1"/>
  <c r="G32" i="165"/>
  <c r="H32" i="165" s="1"/>
  <c r="I32" i="165" s="1"/>
  <c r="J32" i="165" s="1"/>
  <c r="K32" i="165" s="1"/>
  <c r="L32" i="165" s="1"/>
  <c r="M32" i="165" s="1"/>
  <c r="N32" i="165" s="1"/>
  <c r="O32" i="165" s="1"/>
  <c r="P32" i="165" s="1"/>
  <c r="Q32" i="165" s="1"/>
  <c r="R32" i="165" s="1"/>
  <c r="S32" i="165" s="1"/>
  <c r="T32" i="165" s="1"/>
  <c r="E32" i="165"/>
  <c r="F32" i="165" s="1"/>
  <c r="E31" i="165"/>
  <c r="F31" i="165" s="1"/>
  <c r="G31" i="165" s="1"/>
  <c r="H31" i="165" s="1"/>
  <c r="I31" i="165" s="1"/>
  <c r="J31" i="165" s="1"/>
  <c r="K31" i="165" s="1"/>
  <c r="L31" i="165" s="1"/>
  <c r="M31" i="165" s="1"/>
  <c r="N31" i="165" s="1"/>
  <c r="O31" i="165" s="1"/>
  <c r="P31" i="165" s="1"/>
  <c r="Q31" i="165" s="1"/>
  <c r="R31" i="165" s="1"/>
  <c r="S31" i="165" s="1"/>
  <c r="T31" i="165" s="1"/>
  <c r="H30" i="165"/>
  <c r="I30" i="165" s="1"/>
  <c r="J30" i="165" s="1"/>
  <c r="K30" i="165" s="1"/>
  <c r="L30" i="165" s="1"/>
  <c r="M30" i="165" s="1"/>
  <c r="N30" i="165" s="1"/>
  <c r="O30" i="165" s="1"/>
  <c r="P30" i="165" s="1"/>
  <c r="Q30" i="165" s="1"/>
  <c r="R30" i="165" s="1"/>
  <c r="S30" i="165" s="1"/>
  <c r="T30" i="165" s="1"/>
  <c r="E30" i="165"/>
  <c r="F30" i="165" s="1"/>
  <c r="G30" i="165" s="1"/>
  <c r="E29" i="165"/>
  <c r="F29" i="165" s="1"/>
  <c r="G29" i="165" s="1"/>
  <c r="H29" i="165" s="1"/>
  <c r="I29" i="165" s="1"/>
  <c r="J29" i="165" s="1"/>
  <c r="K29" i="165" s="1"/>
  <c r="L29" i="165" s="1"/>
  <c r="M29" i="165" s="1"/>
  <c r="N29" i="165" s="1"/>
  <c r="O29" i="165" s="1"/>
  <c r="P29" i="165" s="1"/>
  <c r="Q29" i="165" s="1"/>
  <c r="R29" i="165" s="1"/>
  <c r="S29" i="165" s="1"/>
  <c r="T29" i="165" s="1"/>
  <c r="E28" i="165"/>
  <c r="F28" i="165" s="1"/>
  <c r="G28" i="165" s="1"/>
  <c r="H28" i="165" s="1"/>
  <c r="I28" i="165" s="1"/>
  <c r="J28" i="165" s="1"/>
  <c r="K28" i="165" s="1"/>
  <c r="L28" i="165" s="1"/>
  <c r="M28" i="165" s="1"/>
  <c r="N28" i="165" s="1"/>
  <c r="O28" i="165" s="1"/>
  <c r="P28" i="165" s="1"/>
  <c r="Q28" i="165" s="1"/>
  <c r="R28" i="165" s="1"/>
  <c r="S28" i="165" s="1"/>
  <c r="T28" i="165" s="1"/>
  <c r="E27" i="165"/>
  <c r="F27" i="165" s="1"/>
  <c r="G27" i="165" s="1"/>
  <c r="H27" i="165" s="1"/>
  <c r="I27" i="165" s="1"/>
  <c r="J27" i="165" s="1"/>
  <c r="K27" i="165" s="1"/>
  <c r="L27" i="165" s="1"/>
  <c r="M27" i="165" s="1"/>
  <c r="N27" i="165" s="1"/>
  <c r="O27" i="165" s="1"/>
  <c r="P27" i="165" s="1"/>
  <c r="Q27" i="165" s="1"/>
  <c r="R27" i="165" s="1"/>
  <c r="S27" i="165" s="1"/>
  <c r="T27" i="165" s="1"/>
  <c r="U27" i="165" s="1"/>
  <c r="E26" i="165"/>
  <c r="F26" i="165" s="1"/>
  <c r="G26" i="165" s="1"/>
  <c r="H26" i="165" s="1"/>
  <c r="I26" i="165" s="1"/>
  <c r="J26" i="165" s="1"/>
  <c r="K26" i="165" s="1"/>
  <c r="L26" i="165" s="1"/>
  <c r="M26" i="165" s="1"/>
  <c r="N26" i="165" s="1"/>
  <c r="O26" i="165" s="1"/>
  <c r="P26" i="165" s="1"/>
  <c r="Q26" i="165" s="1"/>
  <c r="R26" i="165" s="1"/>
  <c r="S26" i="165" s="1"/>
  <c r="T26" i="165" s="1"/>
  <c r="E25" i="165"/>
  <c r="F25" i="165" s="1"/>
  <c r="G25" i="165" s="1"/>
  <c r="H25" i="165" s="1"/>
  <c r="I25" i="165" s="1"/>
  <c r="J25" i="165" s="1"/>
  <c r="K25" i="165" s="1"/>
  <c r="L25" i="165" s="1"/>
  <c r="M25" i="165" s="1"/>
  <c r="N25" i="165" s="1"/>
  <c r="O25" i="165" s="1"/>
  <c r="P25" i="165" s="1"/>
  <c r="Q25" i="165" s="1"/>
  <c r="R25" i="165" s="1"/>
  <c r="S25" i="165" s="1"/>
  <c r="T25" i="165" s="1"/>
  <c r="H24" i="165"/>
  <c r="I24" i="165" s="1"/>
  <c r="J24" i="165" s="1"/>
  <c r="K24" i="165" s="1"/>
  <c r="L24" i="165" s="1"/>
  <c r="M24" i="165" s="1"/>
  <c r="N24" i="165" s="1"/>
  <c r="O24" i="165" s="1"/>
  <c r="P24" i="165" s="1"/>
  <c r="Q24" i="165" s="1"/>
  <c r="R24" i="165" s="1"/>
  <c r="S24" i="165" s="1"/>
  <c r="T24" i="165" s="1"/>
  <c r="E24" i="165"/>
  <c r="F24" i="165" s="1"/>
  <c r="G24" i="165" s="1"/>
  <c r="E17" i="88"/>
  <c r="E16" i="88"/>
  <c r="E13" i="88"/>
  <c r="E12" i="88"/>
  <c r="E11" i="88"/>
  <c r="C9" i="88"/>
  <c r="C8" i="88"/>
  <c r="C7" i="88"/>
  <c r="Z43" i="89"/>
  <c r="Z42" i="89"/>
  <c r="X30" i="89"/>
  <c r="W30" i="89"/>
  <c r="V30" i="89"/>
  <c r="T30" i="89"/>
  <c r="K30" i="89"/>
  <c r="C23" i="89"/>
  <c r="Z43" i="90"/>
  <c r="Z42" i="90"/>
  <c r="X30" i="90"/>
  <c r="W30" i="90"/>
  <c r="V30" i="90"/>
  <c r="T30" i="90"/>
  <c r="K30" i="90"/>
  <c r="C23" i="90"/>
  <c r="Z43" i="91"/>
  <c r="Z42" i="91"/>
  <c r="X30" i="91"/>
  <c r="W30" i="91"/>
  <c r="V30" i="91"/>
  <c r="T30" i="91"/>
  <c r="K30" i="91"/>
  <c r="C23" i="91"/>
  <c r="Z43" i="92"/>
  <c r="Z42" i="92"/>
  <c r="X30" i="92"/>
  <c r="W30" i="92"/>
  <c r="V30" i="92"/>
  <c r="T30" i="92"/>
  <c r="K30" i="92"/>
  <c r="C23" i="92"/>
  <c r="Z43" i="93"/>
  <c r="Z42" i="93"/>
  <c r="X30" i="93"/>
  <c r="W30" i="93"/>
  <c r="V30" i="93"/>
  <c r="T30" i="93"/>
  <c r="K30" i="93"/>
  <c r="C23" i="93"/>
  <c r="Z45" i="164"/>
  <c r="Z43" i="164"/>
  <c r="Z42" i="164"/>
  <c r="X39" i="164"/>
  <c r="W39" i="164"/>
  <c r="V39" i="164"/>
  <c r="U39" i="164"/>
  <c r="T39" i="164"/>
  <c r="C30" i="164"/>
  <c r="R22" i="164"/>
  <c r="C14" i="164"/>
  <c r="Z45" i="163"/>
  <c r="Z43" i="163"/>
  <c r="Z42" i="163"/>
  <c r="X39" i="163"/>
  <c r="W39" i="163"/>
  <c r="V39" i="163"/>
  <c r="U39" i="163"/>
  <c r="T39" i="163"/>
  <c r="C30" i="163"/>
  <c r="R22" i="163"/>
  <c r="C14" i="163"/>
  <c r="Z43" i="157"/>
  <c r="Z42" i="157"/>
  <c r="R41" i="157"/>
  <c r="X30" i="157"/>
  <c r="W30" i="157"/>
  <c r="V30" i="157"/>
  <c r="U30" i="157"/>
  <c r="T30" i="157"/>
  <c r="K30" i="157"/>
  <c r="C27" i="157"/>
  <c r="C23" i="157"/>
  <c r="Z43" i="106"/>
  <c r="Z42" i="106"/>
  <c r="X30" i="106"/>
  <c r="W30" i="106"/>
  <c r="V30" i="106"/>
  <c r="T30" i="106"/>
  <c r="K30" i="106"/>
  <c r="C23" i="106"/>
  <c r="Z42" i="111"/>
  <c r="X30" i="111"/>
  <c r="W30" i="111"/>
  <c r="V30" i="111"/>
  <c r="T30" i="111"/>
  <c r="K30" i="111"/>
  <c r="C28" i="111"/>
  <c r="R41" i="110"/>
  <c r="Q40" i="110"/>
  <c r="R39" i="110"/>
  <c r="Q32" i="110"/>
  <c r="Q33" i="110" s="1"/>
  <c r="R17" i="110"/>
  <c r="R41" i="104"/>
  <c r="R30" i="104"/>
  <c r="R22" i="104"/>
  <c r="R13" i="104"/>
  <c r="Q5" i="104"/>
  <c r="Q23" i="107"/>
  <c r="R23" i="107" s="1"/>
  <c r="O23" i="107"/>
  <c r="P23" i="107" s="1"/>
  <c r="R22" i="107"/>
  <c r="Q22" i="107"/>
  <c r="O22" i="107"/>
  <c r="P22" i="107" s="1"/>
  <c r="R6" i="107"/>
  <c r="O6" i="107"/>
  <c r="P6" i="107" s="1"/>
  <c r="R5" i="107"/>
  <c r="P5" i="107"/>
  <c r="O5" i="107"/>
  <c r="R4" i="107"/>
  <c r="O4" i="107"/>
  <c r="P4" i="107" s="1"/>
  <c r="V22" i="165"/>
  <c r="W22" i="165" s="1"/>
  <c r="X22" i="165" s="1"/>
  <c r="Y22" i="165" s="1"/>
  <c r="Z22" i="165" s="1"/>
  <c r="AA22" i="165" s="1"/>
  <c r="AB22" i="165" s="1"/>
  <c r="AC22" i="165" s="1"/>
  <c r="AD22" i="165" s="1"/>
  <c r="AE22" i="165" s="1"/>
  <c r="AF22" i="165" s="1"/>
  <c r="AG22" i="165" s="1"/>
  <c r="AH22" i="165" s="1"/>
  <c r="AI22" i="165" s="1"/>
  <c r="AJ22" i="165" s="1"/>
  <c r="AK22" i="165" s="1"/>
  <c r="AL22" i="165" s="1"/>
  <c r="AM22" i="165" s="1"/>
  <c r="AN22" i="165" s="1"/>
  <c r="AO22" i="165" s="1"/>
  <c r="AP22" i="165" s="1"/>
  <c r="AQ22" i="165" s="1"/>
  <c r="AR22" i="165" s="1"/>
  <c r="V21" i="165"/>
  <c r="W21" i="165" s="1"/>
  <c r="X21" i="165" s="1"/>
  <c r="Y21" i="165" s="1"/>
  <c r="Z21" i="165" s="1"/>
  <c r="AA21" i="165" s="1"/>
  <c r="AB21" i="165" s="1"/>
  <c r="AC21" i="165" s="1"/>
  <c r="AD21" i="165" s="1"/>
  <c r="AE21" i="165" s="1"/>
  <c r="AF21" i="165" s="1"/>
  <c r="AG21" i="165" s="1"/>
  <c r="AH21" i="165" s="1"/>
  <c r="AI21" i="165" s="1"/>
  <c r="AJ21" i="165" s="1"/>
  <c r="AK21" i="165" s="1"/>
  <c r="AL21" i="165" s="1"/>
  <c r="AM21" i="165" s="1"/>
  <c r="AN21" i="165" s="1"/>
  <c r="AO21" i="165" s="1"/>
  <c r="AP21" i="165" s="1"/>
  <c r="AQ21" i="165" s="1"/>
  <c r="AR21" i="165" s="1"/>
  <c r="V18" i="165"/>
  <c r="W18" i="165" s="1"/>
  <c r="X18" i="165" s="1"/>
  <c r="Y18" i="165" s="1"/>
  <c r="Z18" i="165" s="1"/>
  <c r="AA18" i="165" s="1"/>
  <c r="AB18" i="165" s="1"/>
  <c r="AC18" i="165" s="1"/>
  <c r="AD18" i="165" s="1"/>
  <c r="AE18" i="165" s="1"/>
  <c r="AF18" i="165" s="1"/>
  <c r="AG18" i="165" s="1"/>
  <c r="AH18" i="165" s="1"/>
  <c r="AI18" i="165" s="1"/>
  <c r="AJ18" i="165" s="1"/>
  <c r="AK18" i="165" s="1"/>
  <c r="AL18" i="165" s="1"/>
  <c r="AM18" i="165" s="1"/>
  <c r="AN18" i="165" s="1"/>
  <c r="AO18" i="165" s="1"/>
  <c r="AP18" i="165" s="1"/>
  <c r="AQ18" i="165" s="1"/>
  <c r="AR18" i="165" s="1"/>
  <c r="V17" i="165"/>
  <c r="W17" i="165" s="1"/>
  <c r="X17" i="165" s="1"/>
  <c r="Y17" i="165" s="1"/>
  <c r="Z17" i="165" s="1"/>
  <c r="AA17" i="165" s="1"/>
  <c r="AB17" i="165" s="1"/>
  <c r="AC17" i="165" s="1"/>
  <c r="AD17" i="165" s="1"/>
  <c r="AE17" i="165" s="1"/>
  <c r="AF17" i="165" s="1"/>
  <c r="AG17" i="165" s="1"/>
  <c r="AH17" i="165" s="1"/>
  <c r="AI17" i="165" s="1"/>
  <c r="AJ17" i="165" s="1"/>
  <c r="AK17" i="165" s="1"/>
  <c r="AL17" i="165" s="1"/>
  <c r="AM17" i="165" s="1"/>
  <c r="AN17" i="165" s="1"/>
  <c r="AO17" i="165" s="1"/>
  <c r="AP17" i="165" s="1"/>
  <c r="AQ17" i="165" s="1"/>
  <c r="AR17" i="165" s="1"/>
  <c r="V16" i="165"/>
  <c r="W16" i="165" s="1"/>
  <c r="X16" i="165" s="1"/>
  <c r="Y16" i="165" s="1"/>
  <c r="Z16" i="165" s="1"/>
  <c r="AA16" i="165" s="1"/>
  <c r="AB16" i="165" s="1"/>
  <c r="AC16" i="165" s="1"/>
  <c r="AD16" i="165" s="1"/>
  <c r="AE16" i="165" s="1"/>
  <c r="AF16" i="165" s="1"/>
  <c r="AG16" i="165" s="1"/>
  <c r="AH16" i="165" s="1"/>
  <c r="AI16" i="165" s="1"/>
  <c r="AJ16" i="165" s="1"/>
  <c r="AK16" i="165" s="1"/>
  <c r="AL16" i="165" s="1"/>
  <c r="AM16" i="165" s="1"/>
  <c r="AN16" i="165" s="1"/>
  <c r="AO16" i="165" s="1"/>
  <c r="AP16" i="165" s="1"/>
  <c r="AQ16" i="165" s="1"/>
  <c r="AR16" i="165" s="1"/>
  <c r="V15" i="165"/>
  <c r="W15" i="165" s="1"/>
  <c r="X15" i="165" s="1"/>
  <c r="Y15" i="165" s="1"/>
  <c r="Z15" i="165" s="1"/>
  <c r="AA15" i="165" s="1"/>
  <c r="AB15" i="165" s="1"/>
  <c r="AC15" i="165" s="1"/>
  <c r="AD15" i="165" s="1"/>
  <c r="AE15" i="165" s="1"/>
  <c r="AF15" i="165" s="1"/>
  <c r="AG15" i="165" s="1"/>
  <c r="AH15" i="165" s="1"/>
  <c r="AI15" i="165" s="1"/>
  <c r="AJ15" i="165" s="1"/>
  <c r="AK15" i="165" s="1"/>
  <c r="AL15" i="165" s="1"/>
  <c r="AM15" i="165" s="1"/>
  <c r="AN15" i="165" s="1"/>
  <c r="AO15" i="165" s="1"/>
  <c r="AP15" i="165" s="1"/>
  <c r="AQ15" i="165" s="1"/>
  <c r="AR15" i="165" s="1"/>
  <c r="V14" i="165"/>
  <c r="W14" i="165" s="1"/>
  <c r="X14" i="165" s="1"/>
  <c r="Y14" i="165" s="1"/>
  <c r="Z14" i="165" s="1"/>
  <c r="AA14" i="165" s="1"/>
  <c r="AB14" i="165" s="1"/>
  <c r="AC14" i="165" s="1"/>
  <c r="AD14" i="165" s="1"/>
  <c r="AE14" i="165" s="1"/>
  <c r="AF14" i="165" s="1"/>
  <c r="AG14" i="165" s="1"/>
  <c r="AH14" i="165" s="1"/>
  <c r="AI14" i="165" s="1"/>
  <c r="AJ14" i="165" s="1"/>
  <c r="AK14" i="165" s="1"/>
  <c r="AL14" i="165" s="1"/>
  <c r="AM14" i="165" s="1"/>
  <c r="AN14" i="165" s="1"/>
  <c r="AO14" i="165" s="1"/>
  <c r="AP14" i="165" s="1"/>
  <c r="AQ14" i="165" s="1"/>
  <c r="AR14" i="165" s="1"/>
  <c r="V13" i="165"/>
  <c r="W13" i="165" s="1"/>
  <c r="X13" i="165" s="1"/>
  <c r="Y13" i="165" s="1"/>
  <c r="Z13" i="165" s="1"/>
  <c r="AA13" i="165" s="1"/>
  <c r="AB13" i="165" s="1"/>
  <c r="AC13" i="165" s="1"/>
  <c r="AD13" i="165" s="1"/>
  <c r="AE13" i="165" s="1"/>
  <c r="AF13" i="165" s="1"/>
  <c r="AG13" i="165" s="1"/>
  <c r="AH13" i="165" s="1"/>
  <c r="AI13" i="165" s="1"/>
  <c r="AJ13" i="165" s="1"/>
  <c r="AK13" i="165" s="1"/>
  <c r="AL13" i="165" s="1"/>
  <c r="AM13" i="165" s="1"/>
  <c r="AN13" i="165" s="1"/>
  <c r="AO13" i="165" s="1"/>
  <c r="AP13" i="165" s="1"/>
  <c r="AQ13" i="165" s="1"/>
  <c r="AR13" i="165" s="1"/>
  <c r="V12" i="165"/>
  <c r="W12" i="165" s="1"/>
  <c r="X12" i="165" s="1"/>
  <c r="Y12" i="165" s="1"/>
  <c r="Z12" i="165" s="1"/>
  <c r="AA12" i="165" s="1"/>
  <c r="AB12" i="165" s="1"/>
  <c r="AC12" i="165" s="1"/>
  <c r="AD12" i="165" s="1"/>
  <c r="AE12" i="165" s="1"/>
  <c r="AF12" i="165" s="1"/>
  <c r="AG12" i="165" s="1"/>
  <c r="AH12" i="165" s="1"/>
  <c r="AI12" i="165" s="1"/>
  <c r="AJ12" i="165" s="1"/>
  <c r="AK12" i="165" s="1"/>
  <c r="AL12" i="165" s="1"/>
  <c r="AM12" i="165" s="1"/>
  <c r="AN12" i="165" s="1"/>
  <c r="AO12" i="165" s="1"/>
  <c r="AP12" i="165" s="1"/>
  <c r="AQ12" i="165" s="1"/>
  <c r="AR12" i="165" s="1"/>
  <c r="V11" i="165"/>
  <c r="W11" i="165" s="1"/>
  <c r="X11" i="165" s="1"/>
  <c r="Y11" i="165" s="1"/>
  <c r="Z11" i="165" s="1"/>
  <c r="AA11" i="165" s="1"/>
  <c r="AB11" i="165" s="1"/>
  <c r="AC11" i="165" s="1"/>
  <c r="AD11" i="165" s="1"/>
  <c r="AE11" i="165" s="1"/>
  <c r="AF11" i="165" s="1"/>
  <c r="AG11" i="165" s="1"/>
  <c r="AH11" i="165" s="1"/>
  <c r="AI11" i="165" s="1"/>
  <c r="AJ11" i="165" s="1"/>
  <c r="AK11" i="165" s="1"/>
  <c r="AL11" i="165" s="1"/>
  <c r="AM11" i="165" s="1"/>
  <c r="AN11" i="165" s="1"/>
  <c r="AO11" i="165" s="1"/>
  <c r="AP11" i="165" s="1"/>
  <c r="AQ11" i="165" s="1"/>
  <c r="AR11" i="165" s="1"/>
  <c r="V10" i="165"/>
  <c r="W10" i="165" s="1"/>
  <c r="X10" i="165" s="1"/>
  <c r="Y10" i="165" s="1"/>
  <c r="Z10" i="165" s="1"/>
  <c r="AA10" i="165" s="1"/>
  <c r="AB10" i="165" s="1"/>
  <c r="AC10" i="165" s="1"/>
  <c r="AD10" i="165" s="1"/>
  <c r="AE10" i="165" s="1"/>
  <c r="AF10" i="165" s="1"/>
  <c r="AG10" i="165" s="1"/>
  <c r="AH10" i="165" s="1"/>
  <c r="AI10" i="165" s="1"/>
  <c r="AJ10" i="165" s="1"/>
  <c r="AK10" i="165" s="1"/>
  <c r="AL10" i="165" s="1"/>
  <c r="AM10" i="165" s="1"/>
  <c r="AN10" i="165" s="1"/>
  <c r="AO10" i="165" s="1"/>
  <c r="AP10" i="165" s="1"/>
  <c r="AQ10" i="165" s="1"/>
  <c r="AR10" i="165" s="1"/>
  <c r="V9" i="165"/>
  <c r="W9" i="165" s="1"/>
  <c r="X9" i="165" s="1"/>
  <c r="Y9" i="165" s="1"/>
  <c r="Z9" i="165" s="1"/>
  <c r="AA9" i="165" s="1"/>
  <c r="AB9" i="165" s="1"/>
  <c r="AC9" i="165" s="1"/>
  <c r="AD9" i="165" s="1"/>
  <c r="AE9" i="165" s="1"/>
  <c r="AF9" i="165" s="1"/>
  <c r="AG9" i="165" s="1"/>
  <c r="AH9" i="165" s="1"/>
  <c r="AI9" i="165" s="1"/>
  <c r="AJ9" i="165" s="1"/>
  <c r="AK9" i="165" s="1"/>
  <c r="AL9" i="165" s="1"/>
  <c r="AM9" i="165" s="1"/>
  <c r="AN9" i="165" s="1"/>
  <c r="AO9" i="165" s="1"/>
  <c r="AP9" i="165" s="1"/>
  <c r="AQ9" i="165" s="1"/>
  <c r="AR9" i="165" s="1"/>
  <c r="V8" i="165"/>
  <c r="W8" i="165" s="1"/>
  <c r="X8" i="165" s="1"/>
  <c r="Y8" i="165" s="1"/>
  <c r="Z8" i="165" s="1"/>
  <c r="AA8" i="165" s="1"/>
  <c r="AB8" i="165" s="1"/>
  <c r="AC8" i="165" s="1"/>
  <c r="AD8" i="165" s="1"/>
  <c r="AE8" i="165" s="1"/>
  <c r="AF8" i="165" s="1"/>
  <c r="AG8" i="165" s="1"/>
  <c r="AH8" i="165" s="1"/>
  <c r="AI8" i="165" s="1"/>
  <c r="AJ8" i="165" s="1"/>
  <c r="AK8" i="165" s="1"/>
  <c r="AL8" i="165" s="1"/>
  <c r="AM8" i="165" s="1"/>
  <c r="AN8" i="165" s="1"/>
  <c r="AO8" i="165" s="1"/>
  <c r="AP8" i="165" s="1"/>
  <c r="AQ8" i="165" s="1"/>
  <c r="AR8" i="165" s="1"/>
  <c r="V7" i="165"/>
  <c r="W7" i="165" s="1"/>
  <c r="X7" i="165" s="1"/>
  <c r="Y7" i="165" s="1"/>
  <c r="Z7" i="165" s="1"/>
  <c r="AA7" i="165" s="1"/>
  <c r="AB7" i="165" s="1"/>
  <c r="AC7" i="165" s="1"/>
  <c r="AD7" i="165" s="1"/>
  <c r="AE7" i="165" s="1"/>
  <c r="AF7" i="165" s="1"/>
  <c r="AG7" i="165" s="1"/>
  <c r="AH7" i="165" s="1"/>
  <c r="AI7" i="165" s="1"/>
  <c r="AJ7" i="165" s="1"/>
  <c r="AK7" i="165" s="1"/>
  <c r="AL7" i="165" s="1"/>
  <c r="AM7" i="165" s="1"/>
  <c r="AN7" i="165" s="1"/>
  <c r="AO7" i="165" s="1"/>
  <c r="AP7" i="165" s="1"/>
  <c r="AQ7" i="165" s="1"/>
  <c r="AR7" i="165" s="1"/>
  <c r="V6" i="165"/>
  <c r="W6" i="165" s="1"/>
  <c r="X6" i="165" s="1"/>
  <c r="Y6" i="165" s="1"/>
  <c r="Z6" i="165" s="1"/>
  <c r="AA6" i="165" s="1"/>
  <c r="AB6" i="165" s="1"/>
  <c r="AC6" i="165" s="1"/>
  <c r="AD6" i="165" s="1"/>
  <c r="AE6" i="165" s="1"/>
  <c r="AF6" i="165" s="1"/>
  <c r="AG6" i="165" s="1"/>
  <c r="AH6" i="165" s="1"/>
  <c r="AI6" i="165" s="1"/>
  <c r="AJ6" i="165" s="1"/>
  <c r="AK6" i="165" s="1"/>
  <c r="AL6" i="165" s="1"/>
  <c r="AM6" i="165" s="1"/>
  <c r="AN6" i="165" s="1"/>
  <c r="AO6" i="165" s="1"/>
  <c r="AP6" i="165" s="1"/>
  <c r="AQ6" i="165" s="1"/>
  <c r="AR6" i="165" s="1"/>
  <c r="V5" i="165"/>
  <c r="W5" i="165" s="1"/>
  <c r="X5" i="165" s="1"/>
  <c r="Y5" i="165" s="1"/>
  <c r="Z5" i="165" s="1"/>
  <c r="AA5" i="165" s="1"/>
  <c r="AB5" i="165" s="1"/>
  <c r="AC5" i="165" s="1"/>
  <c r="AD5" i="165" s="1"/>
  <c r="AE5" i="165" s="1"/>
  <c r="AF5" i="165" s="1"/>
  <c r="AG5" i="165" s="1"/>
  <c r="AH5" i="165" s="1"/>
  <c r="AI5" i="165" s="1"/>
  <c r="AJ5" i="165" s="1"/>
  <c r="AK5" i="165" s="1"/>
  <c r="AL5" i="165" s="1"/>
  <c r="AM5" i="165" s="1"/>
  <c r="AN5" i="165" s="1"/>
  <c r="AO5" i="165" s="1"/>
  <c r="AP5" i="165" s="1"/>
  <c r="AQ5" i="165" s="1"/>
  <c r="AR5" i="165" s="1"/>
  <c r="V4" i="165"/>
  <c r="W4" i="165" s="1"/>
  <c r="X4" i="165" s="1"/>
  <c r="Y4" i="165" s="1"/>
  <c r="Z4" i="165" s="1"/>
  <c r="AA4" i="165" s="1"/>
  <c r="AB4" i="165" s="1"/>
  <c r="AC4" i="165" s="1"/>
  <c r="AD4" i="165" s="1"/>
  <c r="AE4" i="165" s="1"/>
  <c r="AF4" i="165" s="1"/>
  <c r="AG4" i="165" s="1"/>
  <c r="AH4" i="165" s="1"/>
  <c r="AI4" i="165" s="1"/>
  <c r="AJ4" i="165" s="1"/>
  <c r="AK4" i="165" s="1"/>
  <c r="AL4" i="165" s="1"/>
  <c r="AM4" i="165" s="1"/>
  <c r="AN4" i="165" s="1"/>
  <c r="AO4" i="165" s="1"/>
  <c r="AP4" i="165" s="1"/>
  <c r="AQ4" i="165" s="1"/>
  <c r="AR4" i="165" s="1"/>
  <c r="Q60" i="115"/>
  <c r="R4" i="115"/>
  <c r="O4" i="115"/>
  <c r="P4" i="115" s="1"/>
  <c r="AQ5" i="52"/>
  <c r="Q51" i="104"/>
  <c r="Z47" i="104"/>
  <c r="Z46" i="104"/>
  <c r="Z45" i="104"/>
  <c r="Z43" i="104"/>
  <c r="Z42" i="104"/>
  <c r="Z46" i="111"/>
  <c r="Z45" i="111"/>
  <c r="Z43" i="111"/>
  <c r="Z47" i="106"/>
  <c r="Z46" i="106"/>
  <c r="Z45" i="106"/>
  <c r="Z47" i="157"/>
  <c r="Z46" i="157"/>
  <c r="Z45" i="157"/>
  <c r="Z47" i="163"/>
  <c r="Z46" i="163"/>
  <c r="Z47" i="164"/>
  <c r="Z46" i="164"/>
  <c r="Z47" i="93"/>
  <c r="Z46" i="93"/>
  <c r="Z45" i="93"/>
  <c r="Z47" i="92"/>
  <c r="Z46" i="92"/>
  <c r="Z45" i="92"/>
  <c r="Z47" i="91"/>
  <c r="Z46" i="91"/>
  <c r="Z45" i="91"/>
  <c r="Z47" i="90"/>
  <c r="Z46" i="90"/>
  <c r="Z45" i="90"/>
  <c r="Z47" i="89"/>
  <c r="Z46" i="89"/>
  <c r="Z45" i="89"/>
  <c r="V20" i="165"/>
  <c r="W20" i="165" s="1"/>
  <c r="X20" i="165" s="1"/>
  <c r="Y20" i="165" s="1"/>
  <c r="Z20" i="165" s="1"/>
  <c r="AA20" i="165" s="1"/>
  <c r="AB20" i="165" s="1"/>
  <c r="AC20" i="165" s="1"/>
  <c r="AD20" i="165" s="1"/>
  <c r="AE20" i="165" s="1"/>
  <c r="AF20" i="165" s="1"/>
  <c r="AG20" i="165" s="1"/>
  <c r="AH20" i="165" s="1"/>
  <c r="AI20" i="165" s="1"/>
  <c r="AJ20" i="165" s="1"/>
  <c r="AK20" i="165" s="1"/>
  <c r="AL20" i="165" s="1"/>
  <c r="AM20" i="165" s="1"/>
  <c r="AN20" i="165" s="1"/>
  <c r="AO20" i="165" s="1"/>
  <c r="AP20" i="165" s="1"/>
  <c r="AQ20" i="165" s="1"/>
  <c r="AR20" i="165" s="1"/>
  <c r="V19" i="165"/>
  <c r="W19" i="165" s="1"/>
  <c r="X19" i="165" s="1"/>
  <c r="Y19" i="165" s="1"/>
  <c r="Z19" i="165" s="1"/>
  <c r="AA19" i="165" s="1"/>
  <c r="AB19" i="165" s="1"/>
  <c r="AC19" i="165" s="1"/>
  <c r="AD19" i="165" s="1"/>
  <c r="AE19" i="165" s="1"/>
  <c r="AF19" i="165" s="1"/>
  <c r="AG19" i="165" s="1"/>
  <c r="AH19" i="165" s="1"/>
  <c r="AI19" i="165" s="1"/>
  <c r="AJ19" i="165" s="1"/>
  <c r="AK19" i="165" s="1"/>
  <c r="AL19" i="165" s="1"/>
  <c r="AM19" i="165" s="1"/>
  <c r="AN19" i="165" s="1"/>
  <c r="AO19" i="165" s="1"/>
  <c r="AP19" i="165" s="1"/>
  <c r="AQ19" i="165" s="1"/>
  <c r="AR19" i="165" s="1"/>
  <c r="D25" i="165"/>
  <c r="D26" i="165"/>
  <c r="D27" i="165"/>
  <c r="D28" i="165"/>
  <c r="D29" i="165"/>
  <c r="D30" i="165"/>
  <c r="D31" i="165"/>
  <c r="D32" i="165"/>
  <c r="D33" i="165"/>
  <c r="D34" i="165"/>
  <c r="D35" i="165"/>
  <c r="D36" i="165"/>
  <c r="D37" i="165"/>
  <c r="D38" i="165"/>
  <c r="D39" i="165"/>
  <c r="D40" i="165"/>
  <c r="D41" i="165"/>
  <c r="D42" i="165"/>
  <c r="D24" i="165"/>
  <c r="C25" i="165"/>
  <c r="C26" i="165"/>
  <c r="C27" i="165"/>
  <c r="C28" i="165"/>
  <c r="C29" i="165"/>
  <c r="C30" i="165"/>
  <c r="C31" i="165"/>
  <c r="C32" i="165"/>
  <c r="C33" i="165"/>
  <c r="C34" i="165"/>
  <c r="C35" i="165"/>
  <c r="C36" i="165"/>
  <c r="C37" i="165"/>
  <c r="C38" i="165"/>
  <c r="C39" i="165"/>
  <c r="C40" i="165"/>
  <c r="C41" i="165"/>
  <c r="C42" i="165"/>
  <c r="C24" i="165"/>
  <c r="T22" i="165"/>
  <c r="S22" i="165"/>
  <c r="R22" i="165"/>
  <c r="Q22" i="165"/>
  <c r="P22" i="165"/>
  <c r="O22" i="165"/>
  <c r="N22" i="165"/>
  <c r="M22" i="165"/>
  <c r="L22" i="165"/>
  <c r="K22" i="165"/>
  <c r="J22" i="165"/>
  <c r="I22" i="165"/>
  <c r="H22" i="165"/>
  <c r="G22" i="165"/>
  <c r="F22" i="165"/>
  <c r="E22" i="165"/>
  <c r="D22" i="165"/>
  <c r="C22" i="165"/>
  <c r="B22" i="165"/>
  <c r="T21" i="165"/>
  <c r="S21" i="165"/>
  <c r="R21" i="165"/>
  <c r="Q21" i="165"/>
  <c r="P21" i="165"/>
  <c r="O21" i="165"/>
  <c r="N21" i="165"/>
  <c r="M21" i="165"/>
  <c r="L21" i="165"/>
  <c r="K21" i="165"/>
  <c r="J21" i="165"/>
  <c r="I21" i="165"/>
  <c r="H21" i="165"/>
  <c r="G21" i="165"/>
  <c r="F21" i="165"/>
  <c r="E21" i="165"/>
  <c r="D21" i="165"/>
  <c r="C21" i="165"/>
  <c r="B21" i="165"/>
  <c r="T20" i="165"/>
  <c r="S20" i="165"/>
  <c r="R20" i="165"/>
  <c r="Q20" i="165"/>
  <c r="P20" i="165"/>
  <c r="O20" i="165"/>
  <c r="N20" i="165"/>
  <c r="M20" i="165"/>
  <c r="L20" i="165"/>
  <c r="K20" i="165"/>
  <c r="J20" i="165"/>
  <c r="I20" i="165"/>
  <c r="H20" i="165"/>
  <c r="G20" i="165"/>
  <c r="F20" i="165"/>
  <c r="E20" i="165"/>
  <c r="D20" i="165"/>
  <c r="C20" i="165"/>
  <c r="B20" i="165"/>
  <c r="T19" i="165"/>
  <c r="S19" i="165"/>
  <c r="R19" i="165"/>
  <c r="Q19" i="165"/>
  <c r="P19" i="165"/>
  <c r="O19" i="165"/>
  <c r="N19" i="165"/>
  <c r="M19" i="165"/>
  <c r="L19" i="165"/>
  <c r="K19" i="165"/>
  <c r="J19" i="165"/>
  <c r="I19" i="165"/>
  <c r="H19" i="165"/>
  <c r="G19" i="165"/>
  <c r="F19" i="165"/>
  <c r="E19" i="165"/>
  <c r="D19" i="165"/>
  <c r="C19" i="165"/>
  <c r="B19" i="165"/>
  <c r="T18" i="165"/>
  <c r="S18" i="165"/>
  <c r="R18" i="165"/>
  <c r="Q18" i="165"/>
  <c r="P18" i="165"/>
  <c r="O18" i="165"/>
  <c r="N18" i="165"/>
  <c r="M18" i="165"/>
  <c r="L18" i="165"/>
  <c r="K18" i="165"/>
  <c r="J18" i="165"/>
  <c r="I18" i="165"/>
  <c r="H18" i="165"/>
  <c r="G18" i="165"/>
  <c r="F18" i="165"/>
  <c r="E18" i="165"/>
  <c r="D18" i="165"/>
  <c r="C18" i="165"/>
  <c r="B18" i="165"/>
  <c r="T17" i="165"/>
  <c r="S17" i="165"/>
  <c r="R17" i="165"/>
  <c r="Q17" i="165"/>
  <c r="P17" i="165"/>
  <c r="O17" i="165"/>
  <c r="N17" i="165"/>
  <c r="M17" i="165"/>
  <c r="L17" i="165"/>
  <c r="K17" i="165"/>
  <c r="J17" i="165"/>
  <c r="I17" i="165"/>
  <c r="H17" i="165"/>
  <c r="G17" i="165"/>
  <c r="F17" i="165"/>
  <c r="E17" i="165"/>
  <c r="D17" i="165"/>
  <c r="C17" i="165"/>
  <c r="B17" i="165"/>
  <c r="T16" i="165"/>
  <c r="S16" i="165"/>
  <c r="R16" i="165"/>
  <c r="Q16" i="165"/>
  <c r="P16" i="165"/>
  <c r="O16" i="165"/>
  <c r="N16" i="165"/>
  <c r="M16" i="165"/>
  <c r="L16" i="165"/>
  <c r="K16" i="165"/>
  <c r="J16" i="165"/>
  <c r="I16" i="165"/>
  <c r="H16" i="165"/>
  <c r="G16" i="165"/>
  <c r="F16" i="165"/>
  <c r="E16" i="165"/>
  <c r="D16" i="165"/>
  <c r="C16" i="165"/>
  <c r="B16" i="165"/>
  <c r="T15" i="165"/>
  <c r="S15" i="165"/>
  <c r="R15" i="165"/>
  <c r="Q15" i="165"/>
  <c r="P15" i="165"/>
  <c r="O15" i="165"/>
  <c r="N15" i="165"/>
  <c r="M15" i="165"/>
  <c r="L15" i="165"/>
  <c r="K15" i="165"/>
  <c r="J15" i="165"/>
  <c r="I15" i="165"/>
  <c r="H15" i="165"/>
  <c r="G15" i="165"/>
  <c r="F15" i="165"/>
  <c r="E15" i="165"/>
  <c r="D15" i="165"/>
  <c r="C15" i="165"/>
  <c r="B15" i="165"/>
  <c r="T14" i="165"/>
  <c r="S14" i="165"/>
  <c r="R14" i="165"/>
  <c r="Q14" i="165"/>
  <c r="P14" i="165"/>
  <c r="O14" i="165"/>
  <c r="N14" i="165"/>
  <c r="M14" i="165"/>
  <c r="L14" i="165"/>
  <c r="K14" i="165"/>
  <c r="J14" i="165"/>
  <c r="I14" i="165"/>
  <c r="H14" i="165"/>
  <c r="G14" i="165"/>
  <c r="F14" i="165"/>
  <c r="E14" i="165"/>
  <c r="D14" i="165"/>
  <c r="C14" i="165"/>
  <c r="B14" i="165"/>
  <c r="T13" i="165"/>
  <c r="S13" i="165"/>
  <c r="R13" i="165"/>
  <c r="Q13" i="165"/>
  <c r="P13" i="165"/>
  <c r="O13" i="165"/>
  <c r="N13" i="165"/>
  <c r="M13" i="165"/>
  <c r="L13" i="165"/>
  <c r="K13" i="165"/>
  <c r="J13" i="165"/>
  <c r="I13" i="165"/>
  <c r="H13" i="165"/>
  <c r="G13" i="165"/>
  <c r="F13" i="165"/>
  <c r="E13" i="165"/>
  <c r="D13" i="165"/>
  <c r="C13" i="165"/>
  <c r="B13" i="165"/>
  <c r="T12" i="165"/>
  <c r="S12" i="165"/>
  <c r="R12" i="165"/>
  <c r="Q12" i="165"/>
  <c r="P12" i="165"/>
  <c r="O12" i="165"/>
  <c r="N12" i="165"/>
  <c r="M12" i="165"/>
  <c r="L12" i="165"/>
  <c r="K12" i="165"/>
  <c r="J12" i="165"/>
  <c r="I12" i="165"/>
  <c r="H12" i="165"/>
  <c r="G12" i="165"/>
  <c r="F12" i="165"/>
  <c r="E12" i="165"/>
  <c r="D12" i="165"/>
  <c r="C12" i="165"/>
  <c r="B12" i="165"/>
  <c r="T11" i="165"/>
  <c r="S11" i="165"/>
  <c r="R11" i="165"/>
  <c r="Q11" i="165"/>
  <c r="P11" i="165"/>
  <c r="O11" i="165"/>
  <c r="N11" i="165"/>
  <c r="M11" i="165"/>
  <c r="L11" i="165"/>
  <c r="K11" i="165"/>
  <c r="J11" i="165"/>
  <c r="I11" i="165"/>
  <c r="H11" i="165"/>
  <c r="G11" i="165"/>
  <c r="F11" i="165"/>
  <c r="E11" i="165"/>
  <c r="D11" i="165"/>
  <c r="C11" i="165"/>
  <c r="B11" i="165"/>
  <c r="T10" i="165"/>
  <c r="S10" i="165"/>
  <c r="R10" i="165"/>
  <c r="Q10" i="165"/>
  <c r="P10" i="165"/>
  <c r="O10" i="165"/>
  <c r="N10" i="165"/>
  <c r="M10" i="165"/>
  <c r="L10" i="165"/>
  <c r="K10" i="165"/>
  <c r="J10" i="165"/>
  <c r="I10" i="165"/>
  <c r="H10" i="165"/>
  <c r="G10" i="165"/>
  <c r="F10" i="165"/>
  <c r="E10" i="165"/>
  <c r="D10" i="165"/>
  <c r="C10" i="165"/>
  <c r="B10" i="165"/>
  <c r="T9" i="165"/>
  <c r="S9" i="165"/>
  <c r="R9" i="165"/>
  <c r="Q9" i="165"/>
  <c r="P9" i="165"/>
  <c r="O9" i="165"/>
  <c r="N9" i="165"/>
  <c r="M9" i="165"/>
  <c r="L9" i="165"/>
  <c r="K9" i="165"/>
  <c r="J9" i="165"/>
  <c r="I9" i="165"/>
  <c r="H9" i="165"/>
  <c r="G9" i="165"/>
  <c r="F9" i="165"/>
  <c r="E9" i="165"/>
  <c r="D9" i="165"/>
  <c r="C9" i="165"/>
  <c r="B9" i="165"/>
  <c r="T8" i="165"/>
  <c r="S8" i="165"/>
  <c r="R8" i="165"/>
  <c r="Q8" i="165"/>
  <c r="P8" i="165"/>
  <c r="O8" i="165"/>
  <c r="N8" i="165"/>
  <c r="M8" i="165"/>
  <c r="L8" i="165"/>
  <c r="K8" i="165"/>
  <c r="J8" i="165"/>
  <c r="I8" i="165"/>
  <c r="H8" i="165"/>
  <c r="G8" i="165"/>
  <c r="F8" i="165"/>
  <c r="E8" i="165"/>
  <c r="D8" i="165"/>
  <c r="C8" i="165"/>
  <c r="B8" i="165"/>
  <c r="T7" i="165"/>
  <c r="S7" i="165"/>
  <c r="R7" i="165"/>
  <c r="Q7" i="165"/>
  <c r="P7" i="165"/>
  <c r="O7" i="165"/>
  <c r="N7" i="165"/>
  <c r="M7" i="165"/>
  <c r="L7" i="165"/>
  <c r="K7" i="165"/>
  <c r="J7" i="165"/>
  <c r="I7" i="165"/>
  <c r="H7" i="165"/>
  <c r="G7" i="165"/>
  <c r="F7" i="165"/>
  <c r="E7" i="165"/>
  <c r="D7" i="165"/>
  <c r="C7" i="165"/>
  <c r="B7" i="165"/>
  <c r="T6" i="165"/>
  <c r="S6" i="165"/>
  <c r="R6" i="165"/>
  <c r="Q6" i="165"/>
  <c r="P6" i="165"/>
  <c r="O6" i="165"/>
  <c r="N6" i="165"/>
  <c r="M6" i="165"/>
  <c r="L6" i="165"/>
  <c r="K6" i="165"/>
  <c r="J6" i="165"/>
  <c r="I6" i="165"/>
  <c r="H6" i="165"/>
  <c r="G6" i="165"/>
  <c r="F6" i="165"/>
  <c r="E6" i="165"/>
  <c r="D6" i="165"/>
  <c r="C6" i="165"/>
  <c r="B6" i="165"/>
  <c r="T5" i="165"/>
  <c r="S5" i="165"/>
  <c r="R5" i="165"/>
  <c r="Q5" i="165"/>
  <c r="P5" i="165"/>
  <c r="O5" i="165"/>
  <c r="N5" i="165"/>
  <c r="M5" i="165"/>
  <c r="L5" i="165"/>
  <c r="K5" i="165"/>
  <c r="J5" i="165"/>
  <c r="I5" i="165"/>
  <c r="H5" i="165"/>
  <c r="G5" i="165"/>
  <c r="F5" i="165"/>
  <c r="E5" i="165"/>
  <c r="D5" i="165"/>
  <c r="C5" i="165"/>
  <c r="B5" i="165"/>
  <c r="T4" i="165"/>
  <c r="S4" i="165"/>
  <c r="R4" i="165"/>
  <c r="Q4" i="165"/>
  <c r="P4" i="165"/>
  <c r="O4" i="165"/>
  <c r="N4" i="165"/>
  <c r="M4" i="165"/>
  <c r="L4" i="165"/>
  <c r="K4" i="165"/>
  <c r="J4" i="165"/>
  <c r="I4" i="165"/>
  <c r="H4" i="165"/>
  <c r="G4" i="165"/>
  <c r="F4" i="165"/>
  <c r="E4" i="165"/>
  <c r="D4" i="165"/>
  <c r="C4" i="165"/>
  <c r="B4" i="165"/>
  <c r="CF21" i="108" l="1"/>
  <c r="CF19" i="108"/>
  <c r="CF17" i="108"/>
  <c r="CF23" i="108"/>
  <c r="CF18" i="108"/>
  <c r="CF6" i="108"/>
  <c r="BR6" i="108" s="1"/>
  <c r="AB17" i="108"/>
  <c r="L28" i="108"/>
  <c r="L2" i="108" s="1"/>
  <c r="AP22" i="108"/>
  <c r="BD22" i="108"/>
  <c r="BR20" i="108" s="1"/>
  <c r="CF22" i="108"/>
  <c r="CF25" i="108"/>
  <c r="AB7" i="108"/>
  <c r="L48" i="108"/>
  <c r="V27" i="165"/>
  <c r="W27" i="165" s="1"/>
  <c r="X27" i="165" s="1"/>
  <c r="Y27" i="165" s="1"/>
  <c r="Z27" i="165" s="1"/>
  <c r="AA27" i="165" s="1"/>
  <c r="AB27" i="165" s="1"/>
  <c r="AC27" i="165" s="1"/>
  <c r="AD27" i="165" s="1"/>
  <c r="AE27" i="165" s="1"/>
  <c r="AF27" i="165" s="1"/>
  <c r="AG27" i="165" s="1"/>
  <c r="AH27" i="165" s="1"/>
  <c r="AI27" i="165" s="1"/>
  <c r="AJ27" i="165" s="1"/>
  <c r="AK27" i="165" s="1"/>
  <c r="AL27" i="165" s="1"/>
  <c r="AM27" i="165" s="1"/>
  <c r="AN27" i="165" s="1"/>
  <c r="AO27" i="165" s="1"/>
  <c r="AP27" i="165" s="1"/>
  <c r="AQ27" i="165" s="1"/>
  <c r="AR27" i="165" s="1"/>
  <c r="U33" i="165"/>
  <c r="V33" i="165" s="1"/>
  <c r="W33" i="165" s="1"/>
  <c r="X33" i="165" s="1"/>
  <c r="Y33" i="165" s="1"/>
  <c r="Z33" i="165" s="1"/>
  <c r="AA33" i="165" s="1"/>
  <c r="AB33" i="165" s="1"/>
  <c r="AC33" i="165" s="1"/>
  <c r="AD33" i="165" s="1"/>
  <c r="AE33" i="165" s="1"/>
  <c r="AF33" i="165" s="1"/>
  <c r="AG33" i="165" s="1"/>
  <c r="AH33" i="165" s="1"/>
  <c r="AI33" i="165" s="1"/>
  <c r="AJ33" i="165" s="1"/>
  <c r="AK33" i="165" s="1"/>
  <c r="AL33" i="165" s="1"/>
  <c r="AM33" i="165" s="1"/>
  <c r="AN33" i="165" s="1"/>
  <c r="AO33" i="165" s="1"/>
  <c r="AP33" i="165" s="1"/>
  <c r="AQ33" i="165" s="1"/>
  <c r="AR33" i="165" s="1"/>
  <c r="U24" i="165"/>
  <c r="V24" i="165" s="1"/>
  <c r="W24" i="165" s="1"/>
  <c r="X24" i="165" s="1"/>
  <c r="Y24" i="165" s="1"/>
  <c r="Z24" i="165" s="1"/>
  <c r="AA24" i="165" s="1"/>
  <c r="AB24" i="165" s="1"/>
  <c r="AC24" i="165" s="1"/>
  <c r="AD24" i="165" s="1"/>
  <c r="AE24" i="165" s="1"/>
  <c r="AF24" i="165" s="1"/>
  <c r="AG24" i="165" s="1"/>
  <c r="AH24" i="165" s="1"/>
  <c r="AI24" i="165" s="1"/>
  <c r="AJ24" i="165" s="1"/>
  <c r="AK24" i="165" s="1"/>
  <c r="AL24" i="165" s="1"/>
  <c r="AM24" i="165" s="1"/>
  <c r="AN24" i="165" s="1"/>
  <c r="AO24" i="165" s="1"/>
  <c r="AP24" i="165" s="1"/>
  <c r="AQ24" i="165" s="1"/>
  <c r="AR24" i="165" s="1"/>
  <c r="U34" i="165"/>
  <c r="V34" i="165" s="1"/>
  <c r="W34" i="165" s="1"/>
  <c r="X34" i="165" s="1"/>
  <c r="Y34" i="165" s="1"/>
  <c r="Z34" i="165" s="1"/>
  <c r="AA34" i="165" s="1"/>
  <c r="AB34" i="165" s="1"/>
  <c r="AC34" i="165" s="1"/>
  <c r="AD34" i="165" s="1"/>
  <c r="AE34" i="165" s="1"/>
  <c r="AF34" i="165" s="1"/>
  <c r="AG34" i="165" s="1"/>
  <c r="AH34" i="165" s="1"/>
  <c r="AI34" i="165" s="1"/>
  <c r="AJ34" i="165" s="1"/>
  <c r="AK34" i="165" s="1"/>
  <c r="AL34" i="165" s="1"/>
  <c r="AM34" i="165" s="1"/>
  <c r="AN34" i="165" s="1"/>
  <c r="AO34" i="165" s="1"/>
  <c r="AP34" i="165" s="1"/>
  <c r="AQ34" i="165" s="1"/>
  <c r="AR34" i="165" s="1"/>
  <c r="U25" i="165"/>
  <c r="V25" i="165" s="1"/>
  <c r="W25" i="165" s="1"/>
  <c r="X25" i="165" s="1"/>
  <c r="Y25" i="165" s="1"/>
  <c r="Z25" i="165" s="1"/>
  <c r="AA25" i="165" s="1"/>
  <c r="AB25" i="165" s="1"/>
  <c r="AC25" i="165" s="1"/>
  <c r="AD25" i="165" s="1"/>
  <c r="AE25" i="165" s="1"/>
  <c r="AF25" i="165" s="1"/>
  <c r="AG25" i="165" s="1"/>
  <c r="AH25" i="165" s="1"/>
  <c r="AI25" i="165" s="1"/>
  <c r="AJ25" i="165" s="1"/>
  <c r="AK25" i="165" s="1"/>
  <c r="AL25" i="165" s="1"/>
  <c r="AM25" i="165" s="1"/>
  <c r="AN25" i="165" s="1"/>
  <c r="AO25" i="165" s="1"/>
  <c r="AP25" i="165" s="1"/>
  <c r="AQ25" i="165" s="1"/>
  <c r="AR25" i="165" s="1"/>
  <c r="U35" i="165"/>
  <c r="V35" i="165" s="1"/>
  <c r="W35" i="165" s="1"/>
  <c r="X35" i="165" s="1"/>
  <c r="Y35" i="165" s="1"/>
  <c r="Z35" i="165" s="1"/>
  <c r="AA35" i="165" s="1"/>
  <c r="AB35" i="165" s="1"/>
  <c r="AC35" i="165" s="1"/>
  <c r="AD35" i="165" s="1"/>
  <c r="AE35" i="165" s="1"/>
  <c r="AF35" i="165" s="1"/>
  <c r="AG35" i="165" s="1"/>
  <c r="AH35" i="165" s="1"/>
  <c r="AI35" i="165" s="1"/>
  <c r="AJ35" i="165" s="1"/>
  <c r="AK35" i="165" s="1"/>
  <c r="AL35" i="165" s="1"/>
  <c r="AM35" i="165" s="1"/>
  <c r="AN35" i="165" s="1"/>
  <c r="AO35" i="165" s="1"/>
  <c r="AP35" i="165" s="1"/>
  <c r="AQ35" i="165" s="1"/>
  <c r="AR35" i="165" s="1"/>
  <c r="U26" i="165"/>
  <c r="V26" i="165" s="1"/>
  <c r="W26" i="165" s="1"/>
  <c r="X26" i="165" s="1"/>
  <c r="Y26" i="165" s="1"/>
  <c r="Z26" i="165" s="1"/>
  <c r="AA26" i="165" s="1"/>
  <c r="AB26" i="165" s="1"/>
  <c r="AC26" i="165" s="1"/>
  <c r="AD26" i="165" s="1"/>
  <c r="AE26" i="165" s="1"/>
  <c r="AF26" i="165" s="1"/>
  <c r="AG26" i="165" s="1"/>
  <c r="AH26" i="165" s="1"/>
  <c r="AI26" i="165" s="1"/>
  <c r="AJ26" i="165" s="1"/>
  <c r="AK26" i="165" s="1"/>
  <c r="AL26" i="165" s="1"/>
  <c r="AM26" i="165" s="1"/>
  <c r="AN26" i="165" s="1"/>
  <c r="AO26" i="165" s="1"/>
  <c r="AP26" i="165" s="1"/>
  <c r="AQ26" i="165" s="1"/>
  <c r="AR26" i="165" s="1"/>
  <c r="U36" i="165"/>
  <c r="V36" i="165" s="1"/>
  <c r="W36" i="165" s="1"/>
  <c r="X36" i="165" s="1"/>
  <c r="Y36" i="165" s="1"/>
  <c r="Z36" i="165" s="1"/>
  <c r="AA36" i="165" s="1"/>
  <c r="AB36" i="165" s="1"/>
  <c r="AC36" i="165" s="1"/>
  <c r="AD36" i="165" s="1"/>
  <c r="AE36" i="165" s="1"/>
  <c r="AF36" i="165" s="1"/>
  <c r="AG36" i="165" s="1"/>
  <c r="AH36" i="165" s="1"/>
  <c r="AI36" i="165" s="1"/>
  <c r="AJ36" i="165" s="1"/>
  <c r="AK36" i="165" s="1"/>
  <c r="AL36" i="165" s="1"/>
  <c r="AM36" i="165" s="1"/>
  <c r="AN36" i="165" s="1"/>
  <c r="AO36" i="165" s="1"/>
  <c r="AP36" i="165" s="1"/>
  <c r="AQ36" i="165" s="1"/>
  <c r="AR36" i="165" s="1"/>
  <c r="AS36" i="165" s="1"/>
  <c r="AT36" i="165" s="1"/>
  <c r="AU36" i="165" s="1"/>
  <c r="AV36" i="165" s="1"/>
  <c r="U40" i="165"/>
  <c r="U32" i="165"/>
  <c r="V32" i="165" s="1"/>
  <c r="W32" i="165" s="1"/>
  <c r="X32" i="165" s="1"/>
  <c r="Y32" i="165" s="1"/>
  <c r="Z32" i="165" s="1"/>
  <c r="AA32" i="165" s="1"/>
  <c r="AB32" i="165" s="1"/>
  <c r="AC32" i="165" s="1"/>
  <c r="AD32" i="165" s="1"/>
  <c r="AE32" i="165" s="1"/>
  <c r="AF32" i="165" s="1"/>
  <c r="AG32" i="165" s="1"/>
  <c r="AH32" i="165" s="1"/>
  <c r="AI32" i="165" s="1"/>
  <c r="AJ32" i="165" s="1"/>
  <c r="AK32" i="165" s="1"/>
  <c r="AL32" i="165" s="1"/>
  <c r="AM32" i="165" s="1"/>
  <c r="AN32" i="165" s="1"/>
  <c r="AO32" i="165" s="1"/>
  <c r="AP32" i="165" s="1"/>
  <c r="AQ32" i="165" s="1"/>
  <c r="AR32" i="165" s="1"/>
  <c r="U41" i="165"/>
  <c r="U28" i="165"/>
  <c r="V28" i="165" s="1"/>
  <c r="W28" i="165" s="1"/>
  <c r="X28" i="165" s="1"/>
  <c r="Y28" i="165" s="1"/>
  <c r="Z28" i="165" s="1"/>
  <c r="AA28" i="165" s="1"/>
  <c r="AB28" i="165" s="1"/>
  <c r="U37" i="165"/>
  <c r="V37" i="165" s="1"/>
  <c r="W37" i="165" s="1"/>
  <c r="X37" i="165" s="1"/>
  <c r="Y37" i="165" s="1"/>
  <c r="Z37" i="165" s="1"/>
  <c r="AA37" i="165" s="1"/>
  <c r="AB37" i="165" s="1"/>
  <c r="AC37" i="165" s="1"/>
  <c r="AD37" i="165" s="1"/>
  <c r="AE37" i="165" s="1"/>
  <c r="AF37" i="165" s="1"/>
  <c r="AG37" i="165" s="1"/>
  <c r="AH37" i="165" s="1"/>
  <c r="AI37" i="165" s="1"/>
  <c r="AJ37" i="165" s="1"/>
  <c r="AK37" i="165" s="1"/>
  <c r="AL37" i="165" s="1"/>
  <c r="AM37" i="165" s="1"/>
  <c r="AN37" i="165" s="1"/>
  <c r="AO37" i="165" s="1"/>
  <c r="AP37" i="165" s="1"/>
  <c r="AQ37" i="165" s="1"/>
  <c r="AR37" i="165" s="1"/>
  <c r="U29" i="165"/>
  <c r="V29" i="165" s="1"/>
  <c r="W29" i="165" s="1"/>
  <c r="X29" i="165" s="1"/>
  <c r="Y29" i="165" s="1"/>
  <c r="Z29" i="165" s="1"/>
  <c r="AA29" i="165" s="1"/>
  <c r="AB29" i="165" s="1"/>
  <c r="AC29" i="165" s="1"/>
  <c r="AD29" i="165" s="1"/>
  <c r="AE29" i="165" s="1"/>
  <c r="AF29" i="165" s="1"/>
  <c r="AG29" i="165" s="1"/>
  <c r="AH29" i="165" s="1"/>
  <c r="AI29" i="165" s="1"/>
  <c r="AJ29" i="165" s="1"/>
  <c r="AK29" i="165" s="1"/>
  <c r="AL29" i="165" s="1"/>
  <c r="AM29" i="165" s="1"/>
  <c r="AN29" i="165" s="1"/>
  <c r="AO29" i="165" s="1"/>
  <c r="AP29" i="165" s="1"/>
  <c r="AQ29" i="165" s="1"/>
  <c r="AR29" i="165" s="1"/>
  <c r="U38" i="165"/>
  <c r="V38" i="165" s="1"/>
  <c r="W38" i="165" s="1"/>
  <c r="X38" i="165" s="1"/>
  <c r="Y38" i="165" s="1"/>
  <c r="Z38" i="165" s="1"/>
  <c r="AA38" i="165" s="1"/>
  <c r="AB38" i="165" s="1"/>
  <c r="AC38" i="165" s="1"/>
  <c r="AD38" i="165" s="1"/>
  <c r="AE38" i="165" s="1"/>
  <c r="AF38" i="165" s="1"/>
  <c r="AG38" i="165" s="1"/>
  <c r="AH38" i="165" s="1"/>
  <c r="AI38" i="165" s="1"/>
  <c r="AJ38" i="165" s="1"/>
  <c r="AK38" i="165" s="1"/>
  <c r="AL38" i="165" s="1"/>
  <c r="AM38" i="165" s="1"/>
  <c r="AN38" i="165" s="1"/>
  <c r="AO38" i="165" s="1"/>
  <c r="AP38" i="165" s="1"/>
  <c r="AQ38" i="165" s="1"/>
  <c r="AR38" i="165" s="1"/>
  <c r="U42" i="165"/>
  <c r="U30" i="165"/>
  <c r="V30" i="165" s="1"/>
  <c r="W30" i="165" s="1"/>
  <c r="X30" i="165" s="1"/>
  <c r="Y30" i="165" s="1"/>
  <c r="Z30" i="165" s="1"/>
  <c r="AA30" i="165" s="1"/>
  <c r="AB30" i="165" s="1"/>
  <c r="AC30" i="165" s="1"/>
  <c r="AD30" i="165" s="1"/>
  <c r="AE30" i="165" s="1"/>
  <c r="AF30" i="165" s="1"/>
  <c r="AG30" i="165" s="1"/>
  <c r="AH30" i="165" s="1"/>
  <c r="AI30" i="165" s="1"/>
  <c r="AJ30" i="165" s="1"/>
  <c r="AK30" i="165" s="1"/>
  <c r="AL30" i="165" s="1"/>
  <c r="AM30" i="165" s="1"/>
  <c r="AN30" i="165" s="1"/>
  <c r="AO30" i="165" s="1"/>
  <c r="AP30" i="165" s="1"/>
  <c r="AQ30" i="165" s="1"/>
  <c r="AR30" i="165" s="1"/>
  <c r="U39" i="165"/>
  <c r="U31" i="165"/>
  <c r="V31" i="165" s="1"/>
  <c r="W31" i="165" s="1"/>
  <c r="X31" i="165" s="1"/>
  <c r="Y31" i="165" s="1"/>
  <c r="Z31" i="165" s="1"/>
  <c r="AA31" i="165" s="1"/>
  <c r="AB31" i="165" s="1"/>
  <c r="AC31" i="165" s="1"/>
  <c r="AD31" i="165" s="1"/>
  <c r="AE31" i="165" s="1"/>
  <c r="AF31" i="165" s="1"/>
  <c r="AG31" i="165" s="1"/>
  <c r="AH31" i="165" s="1"/>
  <c r="AI31" i="165" s="1"/>
  <c r="AJ31" i="165" s="1"/>
  <c r="AK31" i="165" s="1"/>
  <c r="AL31" i="165" s="1"/>
  <c r="AM31" i="165" s="1"/>
  <c r="AN31" i="165" s="1"/>
  <c r="AO31" i="165" s="1"/>
  <c r="AP31" i="165" s="1"/>
  <c r="AQ31" i="165" s="1"/>
  <c r="AR31" i="165" s="1"/>
  <c r="AS11" i="165"/>
  <c r="AT11" i="165" s="1"/>
  <c r="AU11" i="165" s="1"/>
  <c r="AV11" i="165" s="1"/>
  <c r="AS7" i="165"/>
  <c r="AT7" i="165" s="1"/>
  <c r="AU7" i="165" s="1"/>
  <c r="AV7" i="165" s="1"/>
  <c r="AS21" i="165"/>
  <c r="AT21" i="165" s="1"/>
  <c r="AU21" i="165" s="1"/>
  <c r="AV21" i="165" s="1"/>
  <c r="AS12" i="165"/>
  <c r="AT12" i="165" s="1"/>
  <c r="AU12" i="165" s="1"/>
  <c r="AV12" i="165" s="1"/>
  <c r="AS14" i="165"/>
  <c r="AT14" i="165" s="1"/>
  <c r="AU14" i="165" s="1"/>
  <c r="AV14" i="165" s="1"/>
  <c r="AS9" i="165"/>
  <c r="AT9" i="165" s="1"/>
  <c r="AU9" i="165" s="1"/>
  <c r="AV9" i="165" s="1"/>
  <c r="AS15" i="165"/>
  <c r="AT15" i="165" s="1"/>
  <c r="AU15" i="165" s="1"/>
  <c r="AV15" i="165" s="1"/>
  <c r="AS8" i="165"/>
  <c r="AT8" i="165" s="1"/>
  <c r="AU8" i="165" s="1"/>
  <c r="AV8" i="165" s="1"/>
  <c r="AS20" i="165"/>
  <c r="AT20" i="165" s="1"/>
  <c r="AU20" i="165" s="1"/>
  <c r="AV20" i="165" s="1"/>
  <c r="AS19" i="165"/>
  <c r="AT19" i="165" s="1"/>
  <c r="AU19" i="165" s="1"/>
  <c r="AV19" i="165" s="1"/>
  <c r="AS13" i="165"/>
  <c r="AT13" i="165" s="1"/>
  <c r="AU13" i="165" s="1"/>
  <c r="AV13" i="165" s="1"/>
  <c r="AS16" i="165"/>
  <c r="AT16" i="165" s="1"/>
  <c r="AU16" i="165" s="1"/>
  <c r="AV16" i="165" s="1"/>
  <c r="AS10" i="165"/>
  <c r="AT10" i="165" s="1"/>
  <c r="AU10" i="165" s="1"/>
  <c r="AV10" i="165" s="1"/>
  <c r="AS5" i="165"/>
  <c r="AT5" i="165" s="1"/>
  <c r="AU5" i="165" s="1"/>
  <c r="AV5" i="165" s="1"/>
  <c r="AS4" i="165"/>
  <c r="AT4" i="165" s="1"/>
  <c r="AU4" i="165" s="1"/>
  <c r="AV4" i="165" s="1"/>
  <c r="AS22" i="165"/>
  <c r="AT22" i="165" s="1"/>
  <c r="AU22" i="165" s="1"/>
  <c r="AV22" i="165" s="1"/>
  <c r="AS17" i="165"/>
  <c r="AT17" i="165" s="1"/>
  <c r="AU17" i="165" s="1"/>
  <c r="AV17" i="165" s="1"/>
  <c r="AS6" i="165"/>
  <c r="AT6" i="165" s="1"/>
  <c r="AU6" i="165" s="1"/>
  <c r="AV6" i="165" s="1"/>
  <c r="AS18" i="165"/>
  <c r="AT18" i="165" s="1"/>
  <c r="AU18" i="165" s="1"/>
  <c r="AV18" i="165" s="1"/>
  <c r="CF28" i="108" l="1"/>
  <c r="L39" i="108"/>
  <c r="L47" i="108"/>
  <c r="L41" i="108"/>
  <c r="AB16" i="108"/>
  <c r="AB43" i="108" s="1"/>
  <c r="AP4" i="108"/>
  <c r="AP16" i="108"/>
  <c r="BD17" i="108"/>
  <c r="AP12" i="108"/>
  <c r="BD16" i="108"/>
  <c r="AP15" i="108"/>
  <c r="AP17" i="108"/>
  <c r="AP14" i="108"/>
  <c r="DK12" i="108"/>
  <c r="BD14" i="108"/>
  <c r="DK16" i="108"/>
  <c r="DK9" i="108"/>
  <c r="AP11" i="108"/>
  <c r="DK13" i="108"/>
  <c r="DK11" i="108"/>
  <c r="BD10" i="108"/>
  <c r="DK14" i="108"/>
  <c r="DK15" i="108"/>
  <c r="BD15" i="108"/>
  <c r="AP10" i="108"/>
  <c r="DK10" i="108"/>
  <c r="BD12" i="108"/>
  <c r="AP19" i="108"/>
  <c r="BD23" i="108"/>
  <c r="BR21" i="108" s="1"/>
  <c r="DK8" i="108"/>
  <c r="BD9" i="108"/>
  <c r="AP9" i="108"/>
  <c r="AB2" i="108"/>
  <c r="AB25" i="108" s="1"/>
  <c r="AB41" i="108"/>
  <c r="AB39" i="108"/>
  <c r="AB38" i="108"/>
  <c r="AB36" i="108"/>
  <c r="AB37" i="108"/>
  <c r="AB40" i="108"/>
  <c r="AB35" i="108"/>
  <c r="AB34" i="108"/>
  <c r="AS34" i="165"/>
  <c r="AT34" i="165" s="1"/>
  <c r="AU34" i="165" s="1"/>
  <c r="AV34" i="165" s="1"/>
  <c r="AS33" i="165"/>
  <c r="AT33" i="165" s="1"/>
  <c r="AU33" i="165" s="1"/>
  <c r="AV33" i="165" s="1"/>
  <c r="AS32" i="165"/>
  <c r="AT32" i="165" s="1"/>
  <c r="AU32" i="165" s="1"/>
  <c r="AV32" i="165" s="1"/>
  <c r="AS27" i="165"/>
  <c r="AT27" i="165" s="1"/>
  <c r="AU27" i="165" s="1"/>
  <c r="AV27" i="165" s="1"/>
  <c r="AS30" i="165"/>
  <c r="AT30" i="165" s="1"/>
  <c r="AU30" i="165" s="1"/>
  <c r="AV30" i="165" s="1"/>
  <c r="AS31" i="165"/>
  <c r="AT31" i="165" s="1"/>
  <c r="AU31" i="165" s="1"/>
  <c r="AV31" i="165" s="1"/>
  <c r="V39" i="165"/>
  <c r="W39" i="165" s="1"/>
  <c r="AS29" i="165"/>
  <c r="AT29" i="165" s="1"/>
  <c r="AU29" i="165" s="1"/>
  <c r="AV29" i="165" s="1"/>
  <c r="AS24" i="165"/>
  <c r="AS38" i="165"/>
  <c r="AT38" i="165" s="1"/>
  <c r="AU38" i="165" s="1"/>
  <c r="AV38" i="165" s="1"/>
  <c r="V41" i="165"/>
  <c r="W41" i="165" s="1"/>
  <c r="U2" i="165"/>
  <c r="AS25" i="165"/>
  <c r="AT25" i="165" s="1"/>
  <c r="AU25" i="165" s="1"/>
  <c r="AV25" i="165" s="1"/>
  <c r="AS35" i="165"/>
  <c r="AT35" i="165" s="1"/>
  <c r="AU35" i="165" s="1"/>
  <c r="AV35" i="165" s="1"/>
  <c r="AS37" i="165"/>
  <c r="AT37" i="165" s="1"/>
  <c r="AU37" i="165" s="1"/>
  <c r="AV37" i="165" s="1"/>
  <c r="V40" i="165"/>
  <c r="W40" i="165" s="1"/>
  <c r="V42" i="165"/>
  <c r="W42" i="165" s="1"/>
  <c r="AC28" i="165"/>
  <c r="AS26" i="165"/>
  <c r="AT26" i="165" s="1"/>
  <c r="AU26" i="165" s="1"/>
  <c r="AV26" i="165" s="1"/>
  <c r="DK17" i="108" l="1"/>
  <c r="DK18" i="108"/>
  <c r="BD19" i="108"/>
  <c r="AP20" i="108"/>
  <c r="DK21" i="108"/>
  <c r="BD20" i="108"/>
  <c r="BR18" i="108" s="1"/>
  <c r="AP21" i="108"/>
  <c r="AP25" i="108"/>
  <c r="BD25" i="108"/>
  <c r="BR23" i="108" s="1"/>
  <c r="DK23" i="108"/>
  <c r="AP3" i="108"/>
  <c r="AP34" i="108" s="1"/>
  <c r="BD21" i="108"/>
  <c r="BR19" i="108" s="1"/>
  <c r="DK19" i="108"/>
  <c r="DK22" i="108"/>
  <c r="DK24" i="108"/>
  <c r="BD24" i="108"/>
  <c r="BR22" i="108" s="1"/>
  <c r="BD26" i="108"/>
  <c r="BR24" i="108" s="1"/>
  <c r="AP24" i="108"/>
  <c r="AP26" i="108"/>
  <c r="BD4" i="108"/>
  <c r="BR17" i="108"/>
  <c r="AP23" i="108"/>
  <c r="DK6" i="108"/>
  <c r="AP27" i="108"/>
  <c r="DK25" i="108"/>
  <c r="AB44" i="108"/>
  <c r="AB48" i="108"/>
  <c r="AB47" i="108"/>
  <c r="AB46" i="108"/>
  <c r="AB45" i="108"/>
  <c r="BD27" i="108"/>
  <c r="BR25" i="108" s="1"/>
  <c r="CF12" i="108"/>
  <c r="BD8" i="108"/>
  <c r="BD37" i="108" s="1"/>
  <c r="CF11" i="108"/>
  <c r="BR11" i="108" s="1"/>
  <c r="CF15" i="108"/>
  <c r="BR15" i="108" s="1"/>
  <c r="CF10" i="108"/>
  <c r="BR10" i="108" s="1"/>
  <c r="CF9" i="108"/>
  <c r="BR9" i="108" s="1"/>
  <c r="CF16" i="108"/>
  <c r="BR16" i="108" s="1"/>
  <c r="CF14" i="108"/>
  <c r="BR14" i="108" s="1"/>
  <c r="CF8" i="108"/>
  <c r="BR8" i="108" s="1"/>
  <c r="AP13" i="108"/>
  <c r="AP8" i="108" s="1"/>
  <c r="AP37" i="108" s="1"/>
  <c r="CF13" i="108"/>
  <c r="BR13" i="108" s="1"/>
  <c r="AD28" i="165"/>
  <c r="V2" i="165"/>
  <c r="X39" i="165"/>
  <c r="X40" i="165"/>
  <c r="Y40" i="165" s="1"/>
  <c r="Z40" i="165" s="1"/>
  <c r="AT24" i="165"/>
  <c r="W2" i="165"/>
  <c r="X41" i="165"/>
  <c r="Y41" i="165" s="1"/>
  <c r="Z41" i="165" s="1"/>
  <c r="X42" i="165"/>
  <c r="Y42" i="165" s="1"/>
  <c r="Z42" i="165" s="1"/>
  <c r="C62" i="168"/>
  <c r="C63" i="168" s="1"/>
  <c r="C64" i="168" s="1"/>
  <c r="C65" i="168" s="1"/>
  <c r="C66" i="168" s="1"/>
  <c r="C67" i="168" s="1"/>
  <c r="C68" i="168" s="1"/>
  <c r="C44" i="168"/>
  <c r="C45" i="168" s="1"/>
  <c r="C46" i="168" s="1"/>
  <c r="C47" i="168" s="1"/>
  <c r="C48" i="168" s="1"/>
  <c r="C49" i="168" s="1"/>
  <c r="C43" i="168"/>
  <c r="C25" i="168"/>
  <c r="C26" i="168" s="1"/>
  <c r="C27" i="168" s="1"/>
  <c r="C28" i="168" s="1"/>
  <c r="C29" i="168" s="1"/>
  <c r="C30" i="168" s="1"/>
  <c r="C31" i="168" s="1"/>
  <c r="C6" i="168"/>
  <c r="C7" i="168" s="1"/>
  <c r="C8" i="168" s="1"/>
  <c r="C9" i="168" s="1"/>
  <c r="C10" i="168" s="1"/>
  <c r="C11" i="168" s="1"/>
  <c r="C12" i="168" s="1"/>
  <c r="L4" i="168"/>
  <c r="K4" i="168"/>
  <c r="J4" i="168"/>
  <c r="I4" i="168"/>
  <c r="I60" i="168" s="1"/>
  <c r="H4" i="168"/>
  <c r="G4" i="168"/>
  <c r="F4" i="168"/>
  <c r="E4" i="168"/>
  <c r="D4" i="168"/>
  <c r="DC20" i="52"/>
  <c r="DC9" i="52"/>
  <c r="DC7" i="52"/>
  <c r="BX24" i="52"/>
  <c r="BX20" i="52"/>
  <c r="BX9" i="52"/>
  <c r="BX7" i="52"/>
  <c r="BX5" i="52"/>
  <c r="BX4" i="52"/>
  <c r="AV22" i="52"/>
  <c r="AV10" i="52"/>
  <c r="AV7" i="52"/>
  <c r="AV6" i="52"/>
  <c r="AV5" i="52"/>
  <c r="AH22" i="52"/>
  <c r="AH10" i="52"/>
  <c r="AH7" i="52"/>
  <c r="AH6" i="52"/>
  <c r="AH5" i="52"/>
  <c r="D45" i="52"/>
  <c r="D44" i="52"/>
  <c r="D42" i="52"/>
  <c r="D11" i="52"/>
  <c r="D5" i="52"/>
  <c r="D4" i="52"/>
  <c r="D3" i="52"/>
  <c r="BX7" i="108"/>
  <c r="BX5" i="108"/>
  <c r="BX4" i="108"/>
  <c r="AV7" i="108"/>
  <c r="AV6" i="108"/>
  <c r="AV5" i="108"/>
  <c r="AH7" i="108"/>
  <c r="AH6" i="108"/>
  <c r="AH5" i="108"/>
  <c r="D5" i="108"/>
  <c r="D4" i="108"/>
  <c r="DC9" i="108"/>
  <c r="BX9" i="108"/>
  <c r="AV10" i="108"/>
  <c r="L6" i="168" s="1"/>
  <c r="L62" i="168" s="1"/>
  <c r="AH10" i="108"/>
  <c r="D11" i="108"/>
  <c r="AP33" i="108" l="1"/>
  <c r="DK27" i="108"/>
  <c r="AP18" i="108"/>
  <c r="AP51" i="108"/>
  <c r="BD18" i="108"/>
  <c r="BR4" i="108"/>
  <c r="BD3" i="108"/>
  <c r="BD2" i="108" s="1"/>
  <c r="BD28" i="108" s="1"/>
  <c r="AP41" i="108"/>
  <c r="BD38" i="108"/>
  <c r="BD39" i="108"/>
  <c r="AP39" i="108"/>
  <c r="AP44" i="108"/>
  <c r="AP42" i="108"/>
  <c r="AP2" i="108"/>
  <c r="AP28" i="108" s="1"/>
  <c r="AP45" i="108"/>
  <c r="AP40" i="108"/>
  <c r="AP43" i="108"/>
  <c r="AP38" i="108"/>
  <c r="BR12" i="108"/>
  <c r="CF29" i="108"/>
  <c r="CF26" i="108"/>
  <c r="AA41" i="165"/>
  <c r="AB41" i="165" s="1"/>
  <c r="AA40" i="165"/>
  <c r="AB40" i="165" s="1"/>
  <c r="Y39" i="165"/>
  <c r="X2" i="165"/>
  <c r="AU24" i="165"/>
  <c r="AA42" i="165"/>
  <c r="AB42" i="165" s="1"/>
  <c r="AE28" i="165"/>
  <c r="D60" i="168"/>
  <c r="E60" i="168" s="1"/>
  <c r="F60" i="168" s="1"/>
  <c r="G60" i="168" s="1"/>
  <c r="H60" i="168" s="1"/>
  <c r="L41" i="168"/>
  <c r="L60" i="168"/>
  <c r="J60" i="168" s="1"/>
  <c r="K60" i="168" s="1"/>
  <c r="L43" i="168"/>
  <c r="D45" i="108"/>
  <c r="D44" i="108"/>
  <c r="D42" i="108"/>
  <c r="BX24" i="108"/>
  <c r="AV22" i="108"/>
  <c r="AH22" i="108"/>
  <c r="DC20" i="108"/>
  <c r="BX20" i="108"/>
  <c r="E58" i="164"/>
  <c r="E57" i="164"/>
  <c r="C47" i="164" s="1"/>
  <c r="E56" i="164"/>
  <c r="E55" i="164"/>
  <c r="E54" i="164"/>
  <c r="E53" i="164"/>
  <c r="E52" i="164"/>
  <c r="X46" i="164"/>
  <c r="W46" i="164"/>
  <c r="Y46" i="164" s="1"/>
  <c r="V46" i="164"/>
  <c r="U46" i="164"/>
  <c r="T46" i="164"/>
  <c r="X44" i="164"/>
  <c r="V44" i="164"/>
  <c r="T44" i="164"/>
  <c r="Y44" i="164" s="1"/>
  <c r="W43" i="164"/>
  <c r="V43" i="164"/>
  <c r="C42" i="164" s="1"/>
  <c r="G42" i="164" s="1"/>
  <c r="Q42" i="164" s="1"/>
  <c r="U43" i="164"/>
  <c r="T43" i="164"/>
  <c r="C43" i="164" s="1"/>
  <c r="X42" i="164"/>
  <c r="E42" i="164"/>
  <c r="X41" i="164"/>
  <c r="W41" i="164"/>
  <c r="V41" i="164"/>
  <c r="U41" i="164"/>
  <c r="T41" i="164"/>
  <c r="L41" i="164"/>
  <c r="E41" i="164"/>
  <c r="F41" i="164" s="1"/>
  <c r="C41" i="164"/>
  <c r="X40" i="164"/>
  <c r="W40" i="164"/>
  <c r="V40" i="164"/>
  <c r="U40" i="164"/>
  <c r="T40" i="164"/>
  <c r="Y40" i="164" s="1"/>
  <c r="C40" i="164"/>
  <c r="G40" i="164" s="1"/>
  <c r="Z40" i="164" s="1"/>
  <c r="C39" i="164"/>
  <c r="G39" i="164" s="1"/>
  <c r="X37" i="164"/>
  <c r="W37" i="164"/>
  <c r="V37" i="164"/>
  <c r="U37" i="164"/>
  <c r="T37" i="164"/>
  <c r="T5" i="164" s="1"/>
  <c r="C34" i="164"/>
  <c r="C46" i="164" s="1"/>
  <c r="G46" i="164" s="1"/>
  <c r="C33" i="164"/>
  <c r="C32" i="164"/>
  <c r="X30" i="164"/>
  <c r="W30" i="164"/>
  <c r="V30" i="164"/>
  <c r="U5" i="164"/>
  <c r="T30" i="164"/>
  <c r="M30" i="164"/>
  <c r="K30" i="164"/>
  <c r="F30" i="164"/>
  <c r="C29" i="164"/>
  <c r="C26" i="164"/>
  <c r="D30" i="164" s="1"/>
  <c r="O24" i="164"/>
  <c r="N24" i="164"/>
  <c r="M24" i="164"/>
  <c r="K24" i="164"/>
  <c r="E24" i="164"/>
  <c r="P23" i="164"/>
  <c r="O23" i="164"/>
  <c r="N23" i="164"/>
  <c r="M23" i="164"/>
  <c r="L23" i="164"/>
  <c r="K23" i="164"/>
  <c r="E23" i="164"/>
  <c r="X22" i="164"/>
  <c r="W22" i="164"/>
  <c r="V22" i="164"/>
  <c r="U22" i="164"/>
  <c r="T22" i="164"/>
  <c r="S22" i="164" s="1"/>
  <c r="L22" i="164"/>
  <c r="K22" i="164"/>
  <c r="E22" i="164"/>
  <c r="C22" i="164"/>
  <c r="G22" i="164" s="1"/>
  <c r="O21" i="164"/>
  <c r="N21" i="164"/>
  <c r="M21" i="164"/>
  <c r="L21" i="164"/>
  <c r="K21" i="164"/>
  <c r="E21" i="164"/>
  <c r="C21" i="164"/>
  <c r="C19" i="164"/>
  <c r="C18" i="164"/>
  <c r="C17" i="164"/>
  <c r="C16" i="164"/>
  <c r="G14" i="164"/>
  <c r="X13" i="164"/>
  <c r="X5" i="164" s="1"/>
  <c r="W13" i="164"/>
  <c r="W5" i="164" s="1"/>
  <c r="V13" i="164"/>
  <c r="V5" i="164" s="1"/>
  <c r="U13" i="164"/>
  <c r="T13" i="164"/>
  <c r="S13" i="164" s="1"/>
  <c r="M13" i="164"/>
  <c r="L13" i="164"/>
  <c r="K13" i="164"/>
  <c r="I13" i="164"/>
  <c r="F13" i="164"/>
  <c r="C13" i="164"/>
  <c r="C12" i="164"/>
  <c r="C11" i="164"/>
  <c r="E11" i="164" s="1"/>
  <c r="G11" i="164" s="1"/>
  <c r="C10" i="164"/>
  <c r="C9" i="164"/>
  <c r="G9" i="164" s="1"/>
  <c r="C8" i="164"/>
  <c r="G8" i="164" s="1"/>
  <c r="C7" i="164"/>
  <c r="G7" i="164" s="1"/>
  <c r="Y47" i="164"/>
  <c r="Y45" i="164"/>
  <c r="C45" i="164"/>
  <c r="G45" i="164" s="1"/>
  <c r="Q45" i="164" s="1"/>
  <c r="C44" i="164"/>
  <c r="G44" i="164" s="1"/>
  <c r="Q44" i="164" s="1"/>
  <c r="Y42" i="164"/>
  <c r="Y41" i="164"/>
  <c r="G41" i="164"/>
  <c r="Y38" i="164"/>
  <c r="C38" i="164"/>
  <c r="G38" i="164" s="1"/>
  <c r="Z38" i="164" s="1"/>
  <c r="C37" i="164"/>
  <c r="G37" i="164" s="1"/>
  <c r="Y36" i="164"/>
  <c r="C36" i="164"/>
  <c r="G36" i="164" s="1"/>
  <c r="S30" i="164"/>
  <c r="G21" i="164"/>
  <c r="E19" i="164"/>
  <c r="G19" i="164" s="1"/>
  <c r="G15" i="164"/>
  <c r="E58" i="163"/>
  <c r="E57" i="163"/>
  <c r="E56" i="163"/>
  <c r="E55" i="163"/>
  <c r="E54" i="163"/>
  <c r="E53" i="163"/>
  <c r="E52" i="163"/>
  <c r="X46" i="163"/>
  <c r="W46" i="163"/>
  <c r="V46" i="163"/>
  <c r="U46" i="163"/>
  <c r="T46" i="163"/>
  <c r="X44" i="163"/>
  <c r="V44" i="163"/>
  <c r="T44" i="163"/>
  <c r="W43" i="163"/>
  <c r="V43" i="163"/>
  <c r="U43" i="163"/>
  <c r="C43" i="163" s="1"/>
  <c r="T43" i="163"/>
  <c r="X42" i="163"/>
  <c r="E42" i="163"/>
  <c r="F41" i="163" s="1"/>
  <c r="C42" i="163"/>
  <c r="X41" i="163"/>
  <c r="W41" i="163"/>
  <c r="V41" i="163"/>
  <c r="Y41" i="163" s="1"/>
  <c r="U41" i="163"/>
  <c r="T41" i="163"/>
  <c r="L41" i="163"/>
  <c r="E41" i="163"/>
  <c r="C41" i="163"/>
  <c r="X40" i="163"/>
  <c r="W40" i="163"/>
  <c r="V40" i="163"/>
  <c r="U40" i="163"/>
  <c r="T40" i="163"/>
  <c r="Y40" i="163" s="1"/>
  <c r="C40" i="163"/>
  <c r="G40" i="163" s="1"/>
  <c r="Z40" i="163" s="1"/>
  <c r="C39" i="163"/>
  <c r="G39" i="163" s="1"/>
  <c r="X37" i="163"/>
  <c r="W37" i="163"/>
  <c r="V37" i="163"/>
  <c r="U37" i="163"/>
  <c r="T37" i="163"/>
  <c r="S41" i="163" s="1"/>
  <c r="C34" i="163"/>
  <c r="C33" i="163"/>
  <c r="C32" i="163"/>
  <c r="X30" i="163"/>
  <c r="W30" i="163"/>
  <c r="V30" i="163"/>
  <c r="U5" i="163"/>
  <c r="T30" i="163"/>
  <c r="S30" i="163" s="1"/>
  <c r="M30" i="163"/>
  <c r="K30" i="163"/>
  <c r="F30" i="163"/>
  <c r="C29" i="163"/>
  <c r="C26" i="163"/>
  <c r="D30" i="163" s="1"/>
  <c r="F35" i="163" s="1"/>
  <c r="E30" i="163" s="1"/>
  <c r="G30" i="163" s="1"/>
  <c r="O24" i="163"/>
  <c r="N24" i="163"/>
  <c r="M24" i="163"/>
  <c r="K24" i="163"/>
  <c r="E24" i="163"/>
  <c r="P23" i="163"/>
  <c r="O23" i="163"/>
  <c r="N23" i="163"/>
  <c r="M23" i="163"/>
  <c r="L23" i="163"/>
  <c r="K23" i="163"/>
  <c r="E23" i="163"/>
  <c r="X22" i="163"/>
  <c r="W22" i="163"/>
  <c r="V22" i="163"/>
  <c r="U22" i="163"/>
  <c r="T22" i="163"/>
  <c r="L22" i="163"/>
  <c r="K22" i="163"/>
  <c r="E22" i="163"/>
  <c r="C22" i="163"/>
  <c r="G22" i="163" s="1"/>
  <c r="O21" i="163"/>
  <c r="N21" i="163"/>
  <c r="M21" i="163"/>
  <c r="L21" i="163"/>
  <c r="K21" i="163"/>
  <c r="E21" i="163"/>
  <c r="C21" i="163"/>
  <c r="C19" i="163"/>
  <c r="C18" i="163"/>
  <c r="E18" i="163" s="1"/>
  <c r="C17" i="163"/>
  <c r="C16" i="163"/>
  <c r="G14" i="163"/>
  <c r="X13" i="163"/>
  <c r="X5" i="163" s="1"/>
  <c r="W13" i="163"/>
  <c r="V13" i="163"/>
  <c r="U13" i="163"/>
  <c r="T13" i="163"/>
  <c r="T5" i="163" s="1"/>
  <c r="M13" i="163"/>
  <c r="L13" i="163"/>
  <c r="K13" i="163"/>
  <c r="I13" i="163"/>
  <c r="F13" i="163"/>
  <c r="C13" i="163"/>
  <c r="C12" i="163"/>
  <c r="C11" i="163"/>
  <c r="E11" i="163" s="1"/>
  <c r="G11" i="163" s="1"/>
  <c r="C10" i="163"/>
  <c r="C9" i="163"/>
  <c r="G9" i="163" s="1"/>
  <c r="C8" i="163"/>
  <c r="G8" i="163" s="1"/>
  <c r="C7" i="163"/>
  <c r="G7" i="163" s="1"/>
  <c r="Y47" i="163"/>
  <c r="C47" i="163"/>
  <c r="G47" i="163" s="1"/>
  <c r="Y46" i="163"/>
  <c r="Y45" i="163"/>
  <c r="C45" i="163"/>
  <c r="C24" i="163" s="1"/>
  <c r="G24" i="163" s="1"/>
  <c r="C44" i="163"/>
  <c r="G44" i="163" s="1"/>
  <c r="Q44" i="163" s="1"/>
  <c r="Y43" i="163"/>
  <c r="Y42" i="163"/>
  <c r="G41" i="163"/>
  <c r="Y38" i="163"/>
  <c r="C38" i="163"/>
  <c r="G38" i="163" s="1"/>
  <c r="Z38" i="163" s="1"/>
  <c r="Y36" i="163"/>
  <c r="G36" i="163"/>
  <c r="C36" i="163"/>
  <c r="P21" i="163" s="1"/>
  <c r="V5" i="163"/>
  <c r="S22" i="163"/>
  <c r="G21" i="163"/>
  <c r="E19" i="163"/>
  <c r="G19" i="163" s="1"/>
  <c r="G15" i="163"/>
  <c r="E12" i="163"/>
  <c r="G12" i="163" s="1"/>
  <c r="E4" i="113"/>
  <c r="F4" i="113"/>
  <c r="G4" i="113"/>
  <c r="H4" i="113"/>
  <c r="I4" i="113"/>
  <c r="D4" i="113"/>
  <c r="AP54" i="108" l="1"/>
  <c r="AP50" i="108"/>
  <c r="AP48" i="108"/>
  <c r="AP49" i="108"/>
  <c r="AP53" i="108"/>
  <c r="AP47" i="108"/>
  <c r="AP52" i="108"/>
  <c r="AF28" i="165"/>
  <c r="Z39" i="165"/>
  <c r="Y2" i="165"/>
  <c r="AC42" i="165"/>
  <c r="AD42" i="165" s="1"/>
  <c r="AE42" i="165" s="1"/>
  <c r="AF42" i="165" s="1"/>
  <c r="AG42" i="165" s="1"/>
  <c r="AH42" i="165" s="1"/>
  <c r="AI42" i="165" s="1"/>
  <c r="AJ42" i="165" s="1"/>
  <c r="AK42" i="165" s="1"/>
  <c r="AL42" i="165" s="1"/>
  <c r="AC41" i="165"/>
  <c r="AD41" i="165" s="1"/>
  <c r="AE41" i="165" s="1"/>
  <c r="AF41" i="165" s="1"/>
  <c r="AG41" i="165" s="1"/>
  <c r="AH41" i="165" s="1"/>
  <c r="AI41" i="165" s="1"/>
  <c r="AJ41" i="165" s="1"/>
  <c r="AK41" i="165" s="1"/>
  <c r="AL41" i="165" s="1"/>
  <c r="AC40" i="165"/>
  <c r="AD40" i="165" s="1"/>
  <c r="AE40" i="165" s="1"/>
  <c r="AF40" i="165" s="1"/>
  <c r="AG40" i="165" s="1"/>
  <c r="AH40" i="165" s="1"/>
  <c r="AI40" i="165" s="1"/>
  <c r="AJ40" i="165" s="1"/>
  <c r="AK40" i="165" s="1"/>
  <c r="AL40" i="165" s="1"/>
  <c r="AV24" i="165"/>
  <c r="D34" i="108"/>
  <c r="D29" i="108"/>
  <c r="D30" i="108"/>
  <c r="D31" i="108"/>
  <c r="D32" i="108"/>
  <c r="D33" i="108"/>
  <c r="D38" i="108"/>
  <c r="D33" i="52"/>
  <c r="D32" i="52"/>
  <c r="D38" i="52"/>
  <c r="D34" i="52"/>
  <c r="D31" i="52"/>
  <c r="D30" i="52"/>
  <c r="D29" i="52"/>
  <c r="G47" i="164"/>
  <c r="C23" i="164"/>
  <c r="G23" i="164" s="1"/>
  <c r="H22" i="164" s="1"/>
  <c r="J22" i="164" s="1"/>
  <c r="Q22" i="164" s="1"/>
  <c r="Q46" i="164"/>
  <c r="S41" i="164"/>
  <c r="C24" i="164"/>
  <c r="G24" i="164" s="1"/>
  <c r="Z41" i="164"/>
  <c r="F35" i="164"/>
  <c r="E29" i="164" s="1"/>
  <c r="Z44" i="164"/>
  <c r="Q38" i="164"/>
  <c r="Z36" i="164"/>
  <c r="E12" i="164"/>
  <c r="G12" i="164" s="1"/>
  <c r="D13" i="164"/>
  <c r="P21" i="164"/>
  <c r="Y39" i="164"/>
  <c r="Z39" i="164" s="1"/>
  <c r="E17" i="164"/>
  <c r="Y37" i="164"/>
  <c r="Z37" i="164" s="1"/>
  <c r="G43" i="164"/>
  <c r="F22" i="164"/>
  <c r="Y43" i="164"/>
  <c r="E16" i="164"/>
  <c r="G16" i="164" s="1"/>
  <c r="E13" i="164"/>
  <c r="G13" i="164" s="1"/>
  <c r="E18" i="164"/>
  <c r="Q47" i="163"/>
  <c r="G45" i="163"/>
  <c r="Q45" i="163" s="1"/>
  <c r="Y39" i="163"/>
  <c r="Z39" i="163" s="1"/>
  <c r="C23" i="163"/>
  <c r="G23" i="163" s="1"/>
  <c r="H22" i="163" s="1"/>
  <c r="J22" i="163" s="1"/>
  <c r="Q22" i="163" s="1"/>
  <c r="S13" i="163"/>
  <c r="S5" i="163" s="1"/>
  <c r="Z41" i="163"/>
  <c r="C46" i="163"/>
  <c r="G46" i="163" s="1"/>
  <c r="Q46" i="163" s="1"/>
  <c r="D13" i="163"/>
  <c r="E29" i="163"/>
  <c r="G29" i="163" s="1"/>
  <c r="E32" i="163"/>
  <c r="G32" i="163" s="1"/>
  <c r="E28" i="163"/>
  <c r="G28" i="163" s="1"/>
  <c r="E31" i="163"/>
  <c r="G31" i="163" s="1"/>
  <c r="E27" i="163"/>
  <c r="G27" i="163" s="1"/>
  <c r="E34" i="163"/>
  <c r="G34" i="163" s="1"/>
  <c r="E26" i="163"/>
  <c r="G26" i="163" s="1"/>
  <c r="Z36" i="163"/>
  <c r="W5" i="163"/>
  <c r="Y37" i="163"/>
  <c r="G43" i="163"/>
  <c r="E16" i="163"/>
  <c r="G16" i="163" s="1"/>
  <c r="F22" i="163"/>
  <c r="Y44" i="163"/>
  <c r="Z44" i="163" s="1"/>
  <c r="C37" i="163"/>
  <c r="G42" i="163"/>
  <c r="Q42" i="163" s="1"/>
  <c r="E13" i="163"/>
  <c r="G13" i="163" s="1"/>
  <c r="E17" i="163"/>
  <c r="G17" i="163" s="1"/>
  <c r="E33" i="163"/>
  <c r="G33" i="163" s="1"/>
  <c r="G18" i="163"/>
  <c r="E57" i="106"/>
  <c r="E56" i="106"/>
  <c r="E55" i="106"/>
  <c r="E54" i="106"/>
  <c r="E53" i="106"/>
  <c r="E52" i="106"/>
  <c r="X46" i="106"/>
  <c r="W46" i="106"/>
  <c r="V46" i="106"/>
  <c r="U46" i="106"/>
  <c r="Y46" i="106" s="1"/>
  <c r="T46" i="106"/>
  <c r="C46" i="106"/>
  <c r="G46" i="106" s="1"/>
  <c r="X44" i="106"/>
  <c r="V44" i="106"/>
  <c r="T44" i="106"/>
  <c r="W43" i="106"/>
  <c r="V43" i="106"/>
  <c r="U43" i="106"/>
  <c r="T43" i="106"/>
  <c r="Y43" i="106" s="1"/>
  <c r="C43" i="106"/>
  <c r="G43" i="106" s="1"/>
  <c r="X42" i="106"/>
  <c r="X5" i="106" s="1"/>
  <c r="E42" i="106"/>
  <c r="F41" i="106" s="1"/>
  <c r="X41" i="106"/>
  <c r="W41" i="106"/>
  <c r="V41" i="106"/>
  <c r="U41" i="106"/>
  <c r="T41" i="106"/>
  <c r="L41" i="106"/>
  <c r="X40" i="106"/>
  <c r="W40" i="106"/>
  <c r="V40" i="106"/>
  <c r="Y40" i="106" s="1"/>
  <c r="U40" i="106"/>
  <c r="T40" i="106"/>
  <c r="E40" i="106"/>
  <c r="C40" i="106"/>
  <c r="X39" i="106"/>
  <c r="W39" i="106"/>
  <c r="V39" i="106"/>
  <c r="U39" i="106"/>
  <c r="T39" i="106"/>
  <c r="C39" i="106" s="1"/>
  <c r="G39" i="106" s="1"/>
  <c r="Z39" i="106" s="1"/>
  <c r="X37" i="106"/>
  <c r="W37" i="106"/>
  <c r="V37" i="106"/>
  <c r="Y37" i="106" s="1"/>
  <c r="U37" i="106"/>
  <c r="T37" i="106"/>
  <c r="E36" i="106"/>
  <c r="C34" i="106"/>
  <c r="C33" i="106"/>
  <c r="S30" i="106"/>
  <c r="M30" i="106"/>
  <c r="C30" i="106"/>
  <c r="C29" i="106"/>
  <c r="C26" i="106"/>
  <c r="O24" i="106"/>
  <c r="N24" i="106"/>
  <c r="M24" i="106"/>
  <c r="K24" i="106"/>
  <c r="E24" i="106"/>
  <c r="P23" i="106"/>
  <c r="O23" i="106"/>
  <c r="N23" i="106"/>
  <c r="L23" i="106"/>
  <c r="K23" i="106"/>
  <c r="X22" i="106"/>
  <c r="W22" i="106"/>
  <c r="V22" i="106"/>
  <c r="U22" i="106"/>
  <c r="T22" i="106"/>
  <c r="S22" i="106" s="1"/>
  <c r="O21" i="106"/>
  <c r="N21" i="106"/>
  <c r="M21" i="106"/>
  <c r="L21" i="106"/>
  <c r="K21" i="106"/>
  <c r="C21" i="106"/>
  <c r="C19" i="106"/>
  <c r="C18" i="106"/>
  <c r="C17" i="106"/>
  <c r="X13" i="106"/>
  <c r="W13" i="106"/>
  <c r="W5" i="106" s="1"/>
  <c r="V13" i="106"/>
  <c r="V5" i="106" s="1"/>
  <c r="U13" i="106"/>
  <c r="U5" i="106" s="1"/>
  <c r="T13" i="106"/>
  <c r="M13" i="106"/>
  <c r="L13" i="106"/>
  <c r="K13" i="106"/>
  <c r="I13" i="106"/>
  <c r="C13" i="106"/>
  <c r="C12" i="106"/>
  <c r="C11" i="106"/>
  <c r="S413" i="158"/>
  <c r="R413" i="158"/>
  <c r="Q413" i="158"/>
  <c r="P413" i="158"/>
  <c r="O413" i="158"/>
  <c r="N413" i="158"/>
  <c r="M413" i="158"/>
  <c r="L413" i="158"/>
  <c r="K413" i="158"/>
  <c r="J413" i="158"/>
  <c r="I413" i="158"/>
  <c r="H413" i="158"/>
  <c r="G413" i="158"/>
  <c r="F413" i="158"/>
  <c r="E413" i="158"/>
  <c r="D413" i="158"/>
  <c r="S376" i="158"/>
  <c r="R376" i="158"/>
  <c r="Q376" i="158"/>
  <c r="P376" i="158"/>
  <c r="O376" i="158"/>
  <c r="N376" i="158"/>
  <c r="M376" i="158"/>
  <c r="L376" i="158"/>
  <c r="K376" i="158"/>
  <c r="J376" i="158"/>
  <c r="I376" i="158"/>
  <c r="H376" i="158"/>
  <c r="G376" i="158"/>
  <c r="F376" i="158"/>
  <c r="E376" i="158"/>
  <c r="D376" i="158"/>
  <c r="S339" i="158"/>
  <c r="R339" i="158"/>
  <c r="Q339" i="158"/>
  <c r="P339" i="158"/>
  <c r="O339" i="158"/>
  <c r="N339" i="158"/>
  <c r="M339" i="158"/>
  <c r="L339" i="158"/>
  <c r="K339" i="158"/>
  <c r="J339" i="158"/>
  <c r="I339" i="158"/>
  <c r="H339" i="158"/>
  <c r="G339" i="158"/>
  <c r="F339" i="158"/>
  <c r="E339" i="158"/>
  <c r="D339" i="158"/>
  <c r="S302" i="158"/>
  <c r="R302" i="158"/>
  <c r="Q302" i="158"/>
  <c r="P302" i="158"/>
  <c r="O302" i="158"/>
  <c r="N302" i="158"/>
  <c r="M302" i="158"/>
  <c r="L302" i="158"/>
  <c r="K302" i="158"/>
  <c r="J302" i="158"/>
  <c r="I302" i="158"/>
  <c r="H302" i="158"/>
  <c r="G302" i="158"/>
  <c r="F302" i="158"/>
  <c r="E302" i="158"/>
  <c r="D302" i="158"/>
  <c r="S265" i="158"/>
  <c r="R265" i="158"/>
  <c r="Q265" i="158"/>
  <c r="P265" i="158"/>
  <c r="O265" i="158"/>
  <c r="N265" i="158"/>
  <c r="M265" i="158"/>
  <c r="L265" i="158"/>
  <c r="K265" i="158"/>
  <c r="J265" i="158"/>
  <c r="I265" i="158"/>
  <c r="H265" i="158"/>
  <c r="G265" i="158"/>
  <c r="F265" i="158"/>
  <c r="E265" i="158"/>
  <c r="D265" i="158"/>
  <c r="S228" i="158"/>
  <c r="R228" i="158"/>
  <c r="Q228" i="158"/>
  <c r="P228" i="158"/>
  <c r="O228" i="158"/>
  <c r="N228" i="158"/>
  <c r="M228" i="158"/>
  <c r="L228" i="158"/>
  <c r="K228" i="158"/>
  <c r="J228" i="158"/>
  <c r="I228" i="158"/>
  <c r="H228" i="158"/>
  <c r="G228" i="158"/>
  <c r="F228" i="158"/>
  <c r="E228" i="158"/>
  <c r="D228" i="158"/>
  <c r="S191" i="158"/>
  <c r="R191" i="158"/>
  <c r="Q191" i="158"/>
  <c r="P191" i="158"/>
  <c r="O191" i="158"/>
  <c r="N191" i="158"/>
  <c r="M191" i="158"/>
  <c r="L191" i="158"/>
  <c r="K191" i="158"/>
  <c r="J191" i="158"/>
  <c r="I191" i="158"/>
  <c r="H191" i="158"/>
  <c r="G191" i="158"/>
  <c r="F191" i="158"/>
  <c r="E191" i="158"/>
  <c r="D191" i="158"/>
  <c r="S154" i="158"/>
  <c r="R154" i="158"/>
  <c r="Q154" i="158"/>
  <c r="P154" i="158"/>
  <c r="O154" i="158"/>
  <c r="N154" i="158"/>
  <c r="M154" i="158"/>
  <c r="L154" i="158"/>
  <c r="K154" i="158"/>
  <c r="J154" i="158"/>
  <c r="I154" i="158"/>
  <c r="H154" i="158"/>
  <c r="G154" i="158"/>
  <c r="F154" i="158"/>
  <c r="E154" i="158"/>
  <c r="D154" i="158"/>
  <c r="S117" i="158"/>
  <c r="R117" i="158"/>
  <c r="Q117" i="158"/>
  <c r="P117" i="158"/>
  <c r="O117" i="158"/>
  <c r="N117" i="158"/>
  <c r="M117" i="158"/>
  <c r="L117" i="158"/>
  <c r="K117" i="158"/>
  <c r="J117" i="158"/>
  <c r="I117" i="158"/>
  <c r="H117" i="158"/>
  <c r="G117" i="158"/>
  <c r="F117" i="158"/>
  <c r="E117" i="158"/>
  <c r="D117" i="158"/>
  <c r="S80" i="158"/>
  <c r="R80" i="158"/>
  <c r="Q80" i="158"/>
  <c r="P80" i="158"/>
  <c r="O80" i="158"/>
  <c r="N80" i="158"/>
  <c r="M80" i="158"/>
  <c r="L80" i="158"/>
  <c r="K80" i="158"/>
  <c r="J80" i="158"/>
  <c r="I80" i="158"/>
  <c r="H80" i="158"/>
  <c r="G80" i="158"/>
  <c r="F80" i="158"/>
  <c r="E80" i="158"/>
  <c r="D80" i="158"/>
  <c r="R42" i="158"/>
  <c r="N42" i="158"/>
  <c r="L42" i="158"/>
  <c r="K42" i="158"/>
  <c r="K19" i="158" s="1"/>
  <c r="J42" i="158"/>
  <c r="I42" i="158"/>
  <c r="H42" i="158"/>
  <c r="F42" i="158"/>
  <c r="S41" i="158"/>
  <c r="R40" i="158"/>
  <c r="Q40" i="158"/>
  <c r="Q42" i="158" s="1"/>
  <c r="P40" i="158"/>
  <c r="P42" i="158" s="1"/>
  <c r="P19" i="158" s="1"/>
  <c r="C10" i="106" s="1"/>
  <c r="O40" i="158"/>
  <c r="O42" i="158" s="1"/>
  <c r="N40" i="158"/>
  <c r="M40" i="158"/>
  <c r="M42" i="158" s="1"/>
  <c r="L40" i="158"/>
  <c r="K40" i="158"/>
  <c r="J40" i="158"/>
  <c r="I40" i="158"/>
  <c r="H40" i="158"/>
  <c r="G40" i="158"/>
  <c r="G42" i="158" s="1"/>
  <c r="G19" i="158" s="1"/>
  <c r="F40" i="158"/>
  <c r="E40" i="158"/>
  <c r="E42" i="158" s="1"/>
  <c r="D40" i="158"/>
  <c r="S40" i="158" s="1"/>
  <c r="S39" i="158"/>
  <c r="S38" i="158"/>
  <c r="S37" i="158"/>
  <c r="S36" i="158"/>
  <c r="S35" i="158"/>
  <c r="S34" i="158"/>
  <c r="R32" i="158"/>
  <c r="Q32" i="158"/>
  <c r="P32" i="158"/>
  <c r="O32" i="158"/>
  <c r="N32" i="158"/>
  <c r="M32" i="158"/>
  <c r="L32" i="158"/>
  <c r="K32" i="158"/>
  <c r="J32" i="158"/>
  <c r="I32" i="158"/>
  <c r="H32" i="158"/>
  <c r="G32" i="158"/>
  <c r="F32" i="158"/>
  <c r="E32" i="158"/>
  <c r="D32" i="158"/>
  <c r="S31" i="158"/>
  <c r="S30" i="158"/>
  <c r="S29" i="158"/>
  <c r="S28" i="158"/>
  <c r="E23" i="106" s="1"/>
  <c r="F22" i="106" s="1"/>
  <c r="S27" i="158"/>
  <c r="S26" i="158"/>
  <c r="S25" i="158"/>
  <c r="S24" i="158"/>
  <c r="S23" i="158"/>
  <c r="U22" i="158"/>
  <c r="S22" i="158"/>
  <c r="F30" i="106" s="1"/>
  <c r="S21" i="158"/>
  <c r="F13" i="106" s="1"/>
  <c r="S20" i="158"/>
  <c r="S32" i="158" s="1"/>
  <c r="R19" i="158"/>
  <c r="I19" i="158"/>
  <c r="H19" i="158"/>
  <c r="F19" i="158"/>
  <c r="R18" i="158"/>
  <c r="Q18" i="158"/>
  <c r="P18" i="158"/>
  <c r="O18" i="158"/>
  <c r="O19" i="158" s="1"/>
  <c r="N18" i="158"/>
  <c r="N19" i="158" s="1"/>
  <c r="M18" i="158"/>
  <c r="L18" i="158"/>
  <c r="U25" i="158" s="1"/>
  <c r="K18" i="158"/>
  <c r="J18" i="158"/>
  <c r="J19" i="158" s="1"/>
  <c r="I18" i="158"/>
  <c r="H18" i="158"/>
  <c r="G18" i="158"/>
  <c r="F18" i="158"/>
  <c r="E18" i="158"/>
  <c r="D18" i="158"/>
  <c r="S17" i="158"/>
  <c r="S16" i="158"/>
  <c r="S15" i="158"/>
  <c r="S14" i="158"/>
  <c r="S13" i="158"/>
  <c r="S12" i="158"/>
  <c r="S18" i="158" s="1"/>
  <c r="E57" i="157"/>
  <c r="C47" i="157" s="1"/>
  <c r="E56" i="157"/>
  <c r="E55" i="157"/>
  <c r="E54" i="157"/>
  <c r="C42" i="157" s="1"/>
  <c r="G42" i="157" s="1"/>
  <c r="Q42" i="157" s="1"/>
  <c r="E53" i="157"/>
  <c r="E52" i="157"/>
  <c r="X46" i="157"/>
  <c r="W46" i="157"/>
  <c r="V46" i="157"/>
  <c r="U46" i="157"/>
  <c r="T46" i="157"/>
  <c r="Y46" i="157" s="1"/>
  <c r="X44" i="157"/>
  <c r="V44" i="157"/>
  <c r="T44" i="157"/>
  <c r="W43" i="157"/>
  <c r="V43" i="157"/>
  <c r="U43" i="157"/>
  <c r="T43" i="157"/>
  <c r="Y43" i="157" s="1"/>
  <c r="C43" i="157"/>
  <c r="G43" i="157" s="1"/>
  <c r="Q43" i="157" s="1"/>
  <c r="X42" i="157"/>
  <c r="Y42" i="157" s="1"/>
  <c r="E42" i="157"/>
  <c r="F41" i="157" s="1"/>
  <c r="X41" i="157"/>
  <c r="W41" i="157"/>
  <c r="V41" i="157"/>
  <c r="Y41" i="157" s="1"/>
  <c r="U41" i="157"/>
  <c r="T41" i="157"/>
  <c r="L41" i="157"/>
  <c r="C41" i="157"/>
  <c r="G41" i="157" s="1"/>
  <c r="X40" i="157"/>
  <c r="W40" i="157"/>
  <c r="V40" i="157"/>
  <c r="U40" i="157"/>
  <c r="T40" i="157"/>
  <c r="Y40" i="157" s="1"/>
  <c r="C40" i="157"/>
  <c r="X39" i="157"/>
  <c r="W39" i="157"/>
  <c r="V39" i="157"/>
  <c r="U39" i="157"/>
  <c r="T39" i="157"/>
  <c r="X37" i="157"/>
  <c r="X5" i="157" s="1"/>
  <c r="W37" i="157"/>
  <c r="W5" i="157" s="1"/>
  <c r="V37" i="157"/>
  <c r="U37" i="157"/>
  <c r="Y37" i="157" s="1"/>
  <c r="T37" i="157"/>
  <c r="S41" i="157" s="1"/>
  <c r="C34" i="157"/>
  <c r="C33" i="157"/>
  <c r="C32" i="157"/>
  <c r="S30" i="157"/>
  <c r="M30" i="157"/>
  <c r="F30" i="157"/>
  <c r="C30" i="157"/>
  <c r="C29" i="157"/>
  <c r="C26" i="157"/>
  <c r="O24" i="157"/>
  <c r="N24" i="157"/>
  <c r="M24" i="157"/>
  <c r="K24" i="157"/>
  <c r="E24" i="157"/>
  <c r="F22" i="157" s="1"/>
  <c r="P23" i="157"/>
  <c r="O23" i="157"/>
  <c r="N23" i="157"/>
  <c r="L23" i="157"/>
  <c r="K23" i="157"/>
  <c r="E23" i="157"/>
  <c r="X22" i="157"/>
  <c r="W22" i="157"/>
  <c r="V22" i="157"/>
  <c r="U22" i="157"/>
  <c r="T22" i="157"/>
  <c r="S22" i="157" s="1"/>
  <c r="O21" i="157"/>
  <c r="N21" i="157"/>
  <c r="M21" i="157"/>
  <c r="L21" i="157"/>
  <c r="K21" i="157"/>
  <c r="E21" i="157"/>
  <c r="C21" i="157"/>
  <c r="C45" i="157"/>
  <c r="G45" i="157" s="1"/>
  <c r="Q45" i="157" s="1"/>
  <c r="G44" i="157"/>
  <c r="Q44" i="157" s="1"/>
  <c r="G40" i="157"/>
  <c r="G39" i="157"/>
  <c r="Z39" i="157" s="1"/>
  <c r="C39" i="157"/>
  <c r="C38" i="157"/>
  <c r="G38" i="157" s="1"/>
  <c r="Z38" i="157" s="1"/>
  <c r="D30" i="157"/>
  <c r="G21" i="157"/>
  <c r="Y47" i="157"/>
  <c r="Y45" i="157"/>
  <c r="Z44" i="157"/>
  <c r="Y44" i="157"/>
  <c r="Y39" i="157"/>
  <c r="Y38" i="157"/>
  <c r="Z36" i="157"/>
  <c r="Y36" i="157"/>
  <c r="C19" i="157"/>
  <c r="E19" i="157" s="1"/>
  <c r="G19" i="157" s="1"/>
  <c r="C18" i="157"/>
  <c r="C46" i="157" s="1"/>
  <c r="G46" i="157" s="1"/>
  <c r="Q46" i="157" s="1"/>
  <c r="C17" i="157"/>
  <c r="E17" i="157" s="1"/>
  <c r="G17" i="157" s="1"/>
  <c r="E16" i="157"/>
  <c r="G16" i="157" s="1"/>
  <c r="G15" i="157"/>
  <c r="G14" i="157"/>
  <c r="X13" i="157"/>
  <c r="W13" i="157"/>
  <c r="V13" i="157"/>
  <c r="V5" i="157" s="1"/>
  <c r="U13" i="157"/>
  <c r="U5" i="157" s="1"/>
  <c r="T13" i="157"/>
  <c r="S13" i="157" s="1"/>
  <c r="M13" i="157"/>
  <c r="L13" i="157"/>
  <c r="K13" i="157"/>
  <c r="I13" i="157"/>
  <c r="F13" i="157"/>
  <c r="E13" i="157"/>
  <c r="G13" i="157" s="1"/>
  <c r="C13" i="157"/>
  <c r="E12" i="157"/>
  <c r="G12" i="157" s="1"/>
  <c r="C12" i="157"/>
  <c r="E11" i="157"/>
  <c r="G11" i="157" s="1"/>
  <c r="C11" i="157"/>
  <c r="C10" i="157"/>
  <c r="G8" i="157"/>
  <c r="G7" i="157"/>
  <c r="C47" i="106"/>
  <c r="C45" i="106"/>
  <c r="G40" i="106"/>
  <c r="Y39" i="106"/>
  <c r="C37" i="106"/>
  <c r="Y47" i="106"/>
  <c r="Y45" i="106"/>
  <c r="Y44" i="106"/>
  <c r="G44" i="106"/>
  <c r="Q44" i="106" s="1"/>
  <c r="Y41" i="106"/>
  <c r="Y38" i="106"/>
  <c r="C38" i="106"/>
  <c r="G38" i="106" s="1"/>
  <c r="Z38" i="106" s="1"/>
  <c r="Y36" i="106"/>
  <c r="Z36" i="106" s="1"/>
  <c r="G21" i="106"/>
  <c r="E19" i="106"/>
  <c r="G19" i="106" s="1"/>
  <c r="E18" i="106"/>
  <c r="G18" i="106" s="1"/>
  <c r="E16" i="106"/>
  <c r="G16" i="106" s="1"/>
  <c r="G15" i="106"/>
  <c r="G14" i="106"/>
  <c r="E13" i="106"/>
  <c r="G13" i="106" s="1"/>
  <c r="E11" i="106"/>
  <c r="G9" i="106"/>
  <c r="G8" i="106"/>
  <c r="G7" i="106"/>
  <c r="O38" i="110"/>
  <c r="N38" i="110"/>
  <c r="M38" i="110"/>
  <c r="L38" i="110"/>
  <c r="K38" i="110"/>
  <c r="S38" i="110" s="1"/>
  <c r="J38" i="110"/>
  <c r="O37" i="110"/>
  <c r="N37" i="110"/>
  <c r="M37" i="110"/>
  <c r="L37" i="110"/>
  <c r="K37" i="110"/>
  <c r="J37" i="110"/>
  <c r="O36" i="110"/>
  <c r="N36" i="110"/>
  <c r="M36" i="110"/>
  <c r="L36" i="110"/>
  <c r="K36" i="110"/>
  <c r="S36" i="110" s="1"/>
  <c r="J36" i="110"/>
  <c r="O35" i="110"/>
  <c r="N35" i="110"/>
  <c r="M35" i="110"/>
  <c r="L35" i="110"/>
  <c r="K35" i="110"/>
  <c r="J35" i="110"/>
  <c r="S35" i="110" s="1"/>
  <c r="O34" i="110"/>
  <c r="N34" i="110"/>
  <c r="M34" i="110"/>
  <c r="L34" i="110"/>
  <c r="K34" i="110"/>
  <c r="S34" i="110" s="1"/>
  <c r="J34" i="110"/>
  <c r="J40" i="110" s="1"/>
  <c r="J42" i="110" s="1"/>
  <c r="O22" i="110"/>
  <c r="L22" i="110"/>
  <c r="K22" i="110"/>
  <c r="J22" i="110"/>
  <c r="O21" i="110"/>
  <c r="N21" i="110"/>
  <c r="M21" i="110"/>
  <c r="M32" i="110" s="1"/>
  <c r="L21" i="110"/>
  <c r="K21" i="110"/>
  <c r="K32" i="110" s="1"/>
  <c r="J21" i="110"/>
  <c r="S21" i="110" s="1"/>
  <c r="O16" i="110"/>
  <c r="S16" i="110" s="1"/>
  <c r="N16" i="110"/>
  <c r="M16" i="110"/>
  <c r="L16" i="110"/>
  <c r="K16" i="110"/>
  <c r="J16" i="110"/>
  <c r="O12" i="110"/>
  <c r="N12" i="110"/>
  <c r="M12" i="110"/>
  <c r="L12" i="110"/>
  <c r="K12" i="110"/>
  <c r="K18" i="110" s="1"/>
  <c r="J12" i="110"/>
  <c r="J18" i="110" s="1"/>
  <c r="H42" i="110"/>
  <c r="D42" i="110"/>
  <c r="K41" i="110"/>
  <c r="L41" i="110" s="1"/>
  <c r="M41" i="110" s="1"/>
  <c r="N41" i="110" s="1"/>
  <c r="O41" i="110" s="1"/>
  <c r="P41" i="110" s="1"/>
  <c r="Q41" i="110" s="1"/>
  <c r="J41" i="110"/>
  <c r="I40" i="110"/>
  <c r="I42" i="110" s="1"/>
  <c r="H40" i="110"/>
  <c r="G40" i="110"/>
  <c r="G42" i="110" s="1"/>
  <c r="F40" i="110"/>
  <c r="F42" i="110" s="1"/>
  <c r="E40" i="110"/>
  <c r="E42" i="110" s="1"/>
  <c r="D40" i="110"/>
  <c r="K39" i="110"/>
  <c r="L39" i="110" s="1"/>
  <c r="M39" i="110" s="1"/>
  <c r="N39" i="110" s="1"/>
  <c r="S37" i="110"/>
  <c r="R32" i="110"/>
  <c r="R33" i="110" s="1"/>
  <c r="P32" i="110"/>
  <c r="P33" i="110" s="1"/>
  <c r="O32" i="110"/>
  <c r="N32" i="110"/>
  <c r="I32" i="110"/>
  <c r="H32" i="110"/>
  <c r="G32" i="110"/>
  <c r="F32" i="110"/>
  <c r="E32" i="110"/>
  <c r="D32" i="110"/>
  <c r="S31" i="110"/>
  <c r="S30" i="110"/>
  <c r="J30" i="110"/>
  <c r="S29" i="110"/>
  <c r="S28" i="110"/>
  <c r="S27" i="110"/>
  <c r="S25" i="110"/>
  <c r="S24" i="110"/>
  <c r="S23" i="110"/>
  <c r="S22" i="110"/>
  <c r="S20" i="110"/>
  <c r="I18" i="110"/>
  <c r="I33" i="110" s="1"/>
  <c r="H18" i="110"/>
  <c r="H33" i="110" s="1"/>
  <c r="G18" i="110"/>
  <c r="F18" i="110"/>
  <c r="E18" i="110"/>
  <c r="D18" i="110"/>
  <c r="D33" i="110" s="1"/>
  <c r="K17" i="110"/>
  <c r="S15" i="110"/>
  <c r="S14" i="110"/>
  <c r="S13" i="110"/>
  <c r="E33" i="164" l="1"/>
  <c r="R41" i="164"/>
  <c r="Z44" i="106"/>
  <c r="AP57" i="108"/>
  <c r="AA39" i="165"/>
  <c r="Z2" i="165"/>
  <c r="AM41" i="165"/>
  <c r="AN41" i="165" s="1"/>
  <c r="AO41" i="165" s="1"/>
  <c r="AP41" i="165" s="1"/>
  <c r="AQ41" i="165" s="1"/>
  <c r="AR41" i="165" s="1"/>
  <c r="AS41" i="165" s="1"/>
  <c r="AT41" i="165" s="1"/>
  <c r="AU41" i="165" s="1"/>
  <c r="AV41" i="165" s="1"/>
  <c r="AM40" i="165"/>
  <c r="AN40" i="165" s="1"/>
  <c r="AO40" i="165" s="1"/>
  <c r="AP40" i="165" s="1"/>
  <c r="AQ40" i="165" s="1"/>
  <c r="AR40" i="165" s="1"/>
  <c r="AS40" i="165" s="1"/>
  <c r="AT40" i="165" s="1"/>
  <c r="AU40" i="165" s="1"/>
  <c r="AV40" i="165" s="1"/>
  <c r="AM42" i="165"/>
  <c r="AN42" i="165" s="1"/>
  <c r="AO42" i="165" s="1"/>
  <c r="AP42" i="165" s="1"/>
  <c r="AQ42" i="165" s="1"/>
  <c r="AR42" i="165" s="1"/>
  <c r="AS42" i="165" s="1"/>
  <c r="AT42" i="165" s="1"/>
  <c r="AU42" i="165" s="1"/>
  <c r="AV42" i="165" s="1"/>
  <c r="AG28" i="165"/>
  <c r="E30" i="164"/>
  <c r="G30" i="164" s="1"/>
  <c r="G29" i="164"/>
  <c r="BX18" i="52"/>
  <c r="BX18" i="108"/>
  <c r="F35" i="157"/>
  <c r="E33" i="157" s="1"/>
  <c r="G33" i="157" s="1"/>
  <c r="H30" i="163"/>
  <c r="J30" i="163" s="1"/>
  <c r="Q30" i="163" s="1"/>
  <c r="G33" i="164"/>
  <c r="BX6" i="52"/>
  <c r="BJ6" i="52" s="1"/>
  <c r="BX6" i="108"/>
  <c r="BJ6" i="108" s="1"/>
  <c r="D28" i="52"/>
  <c r="D14" i="52"/>
  <c r="D19" i="108"/>
  <c r="D13" i="52"/>
  <c r="D18" i="108"/>
  <c r="D12" i="52"/>
  <c r="D14" i="108"/>
  <c r="D10" i="52"/>
  <c r="D17" i="52"/>
  <c r="D17" i="108"/>
  <c r="D13" i="108"/>
  <c r="D12" i="108"/>
  <c r="D19" i="52"/>
  <c r="D18" i="52"/>
  <c r="D10" i="108"/>
  <c r="S5" i="164"/>
  <c r="G17" i="164"/>
  <c r="D13" i="157"/>
  <c r="G18" i="164"/>
  <c r="E10" i="164"/>
  <c r="D22" i="164"/>
  <c r="Q43" i="164"/>
  <c r="Q47" i="164"/>
  <c r="D41" i="164"/>
  <c r="E34" i="164"/>
  <c r="E26" i="164"/>
  <c r="E31" i="164"/>
  <c r="G31" i="164" s="1"/>
  <c r="E27" i="164"/>
  <c r="E28" i="164"/>
  <c r="H41" i="164"/>
  <c r="E32" i="164"/>
  <c r="C5" i="164"/>
  <c r="D48" i="52" s="1"/>
  <c r="E10" i="163"/>
  <c r="D22" i="163"/>
  <c r="Q43" i="163"/>
  <c r="G37" i="163"/>
  <c r="D41" i="163"/>
  <c r="C5" i="163"/>
  <c r="C49" i="163" s="1"/>
  <c r="G9" i="157"/>
  <c r="M19" i="158"/>
  <c r="E19" i="158"/>
  <c r="Q19" i="158"/>
  <c r="D30" i="106" s="1"/>
  <c r="F35" i="106" s="1"/>
  <c r="Q46" i="106"/>
  <c r="C32" i="106"/>
  <c r="C24" i="106"/>
  <c r="G24" i="106" s="1"/>
  <c r="Q43" i="106"/>
  <c r="C42" i="106"/>
  <c r="G42" i="106" s="1"/>
  <c r="Q42" i="106" s="1"/>
  <c r="S13" i="106"/>
  <c r="L19" i="158"/>
  <c r="C41" i="106" s="1"/>
  <c r="G41" i="106" s="1"/>
  <c r="Z41" i="106" s="1"/>
  <c r="D42" i="158"/>
  <c r="Z40" i="106"/>
  <c r="E32" i="157"/>
  <c r="G32" i="157" s="1"/>
  <c r="E29" i="157"/>
  <c r="G29" i="157" s="1"/>
  <c r="E31" i="157"/>
  <c r="G31" i="157" s="1"/>
  <c r="E28" i="157"/>
  <c r="G28" i="157" s="1"/>
  <c r="Z41" i="157"/>
  <c r="S5" i="157"/>
  <c r="Z40" i="157"/>
  <c r="G47" i="157"/>
  <c r="Q47" i="157" s="1"/>
  <c r="E18" i="157"/>
  <c r="G18" i="157" s="1"/>
  <c r="C24" i="157"/>
  <c r="G24" i="157" s="1"/>
  <c r="C37" i="157"/>
  <c r="G11" i="106"/>
  <c r="T5" i="157"/>
  <c r="G37" i="106"/>
  <c r="Q38" i="106" s="1"/>
  <c r="G45" i="106"/>
  <c r="G47" i="106"/>
  <c r="E12" i="106"/>
  <c r="G12" i="106" s="1"/>
  <c r="Y42" i="106"/>
  <c r="D13" i="106"/>
  <c r="E17" i="106"/>
  <c r="G17" i="106" s="1"/>
  <c r="S41" i="106"/>
  <c r="R41" i="106" s="1"/>
  <c r="T5" i="106"/>
  <c r="F33" i="110"/>
  <c r="G33" i="110"/>
  <c r="L40" i="110"/>
  <c r="L42" i="110" s="1"/>
  <c r="N40" i="110"/>
  <c r="N42" i="110" s="1"/>
  <c r="O39" i="110"/>
  <c r="P39" i="110" s="1"/>
  <c r="K33" i="110"/>
  <c r="M40" i="110"/>
  <c r="M42" i="110" s="1"/>
  <c r="E33" i="110"/>
  <c r="L26" i="110"/>
  <c r="K40" i="110"/>
  <c r="K42" i="110" s="1"/>
  <c r="S12" i="110"/>
  <c r="L17" i="110"/>
  <c r="M17" i="110" s="1"/>
  <c r="N17" i="110" s="1"/>
  <c r="O17" i="110" s="1"/>
  <c r="P17" i="110" s="1"/>
  <c r="Q17" i="110" s="1"/>
  <c r="O18" i="110"/>
  <c r="BX22" i="108" l="1"/>
  <c r="BX22" i="52"/>
  <c r="E10" i="157"/>
  <c r="G10" i="157" s="1"/>
  <c r="AH28" i="165"/>
  <c r="AB39" i="165"/>
  <c r="AA2" i="165"/>
  <c r="R30" i="163"/>
  <c r="Q51" i="163"/>
  <c r="E34" i="157"/>
  <c r="G34" i="157" s="1"/>
  <c r="G28" i="164"/>
  <c r="BX23" i="52"/>
  <c r="BX23" i="108"/>
  <c r="E27" i="157"/>
  <c r="G27" i="157" s="1"/>
  <c r="G27" i="164"/>
  <c r="BX21" i="52"/>
  <c r="BX21" i="108"/>
  <c r="D9" i="52"/>
  <c r="D2" i="52" s="1"/>
  <c r="G26" i="164"/>
  <c r="BX19" i="52"/>
  <c r="BX19" i="108"/>
  <c r="G32" i="164"/>
  <c r="BX17" i="52"/>
  <c r="BX17" i="108"/>
  <c r="E26" i="157"/>
  <c r="G26" i="157" s="1"/>
  <c r="E30" i="157"/>
  <c r="G30" i="157" s="1"/>
  <c r="G34" i="164"/>
  <c r="BX25" i="52"/>
  <c r="BX25" i="108"/>
  <c r="C49" i="164"/>
  <c r="D48" i="108"/>
  <c r="E49" i="164"/>
  <c r="G10" i="164"/>
  <c r="DC11" i="108" s="1"/>
  <c r="G10" i="163"/>
  <c r="E49" i="163"/>
  <c r="H41" i="163"/>
  <c r="Z37" i="163"/>
  <c r="Q38" i="163"/>
  <c r="R41" i="163" s="1"/>
  <c r="E32" i="106"/>
  <c r="G32" i="106" s="1"/>
  <c r="E27" i="106"/>
  <c r="G27" i="106" s="1"/>
  <c r="E26" i="106"/>
  <c r="G26" i="106" s="1"/>
  <c r="E28" i="106"/>
  <c r="G28" i="106" s="1"/>
  <c r="E31" i="106"/>
  <c r="G31" i="106" s="1"/>
  <c r="E29" i="106"/>
  <c r="G29" i="106" s="1"/>
  <c r="E33" i="106"/>
  <c r="G33" i="106" s="1"/>
  <c r="E34" i="106"/>
  <c r="G34" i="106" s="1"/>
  <c r="E30" i="106"/>
  <c r="G30" i="106" s="1"/>
  <c r="Q47" i="106"/>
  <c r="D41" i="106"/>
  <c r="S42" i="158"/>
  <c r="S19" i="158" s="1"/>
  <c r="D19" i="158"/>
  <c r="Q45" i="106"/>
  <c r="G20" i="157"/>
  <c r="H13" i="157"/>
  <c r="J13" i="157" s="1"/>
  <c r="Q13" i="157" s="1"/>
  <c r="R13" i="157" s="1"/>
  <c r="D22" i="157"/>
  <c r="G23" i="157"/>
  <c r="H22" i="157" s="1"/>
  <c r="J22" i="157" s="1"/>
  <c r="Q22" i="157" s="1"/>
  <c r="D41" i="157"/>
  <c r="G37" i="157"/>
  <c r="C5" i="157"/>
  <c r="C49" i="157" s="1"/>
  <c r="E10" i="106"/>
  <c r="C5" i="106"/>
  <c r="C49" i="106" s="1"/>
  <c r="G23" i="106"/>
  <c r="H22" i="106" s="1"/>
  <c r="J22" i="106" s="1"/>
  <c r="Q22" i="106" s="1"/>
  <c r="D22" i="106"/>
  <c r="S5" i="106"/>
  <c r="H41" i="106"/>
  <c r="Z37" i="106"/>
  <c r="J26" i="110"/>
  <c r="L32" i="110"/>
  <c r="O40" i="110"/>
  <c r="O42" i="110" s="1"/>
  <c r="P40" i="110"/>
  <c r="Q39" i="110"/>
  <c r="N18" i="110"/>
  <c r="N33" i="110" s="1"/>
  <c r="O33" i="110"/>
  <c r="L18" i="110"/>
  <c r="M18" i="110"/>
  <c r="M33" i="110" s="1"/>
  <c r="S17" i="110"/>
  <c r="S18" i="110" s="1"/>
  <c r="AH12" i="108" l="1"/>
  <c r="AV12" i="52"/>
  <c r="AH12" i="52"/>
  <c r="AV12" i="108"/>
  <c r="L8" i="168" s="1"/>
  <c r="L64" i="168" s="1"/>
  <c r="AH11" i="52"/>
  <c r="AH9" i="52"/>
  <c r="DC10" i="108"/>
  <c r="AV15" i="52"/>
  <c r="AV11" i="108"/>
  <c r="DC12" i="52"/>
  <c r="AH14" i="52"/>
  <c r="AV15" i="108"/>
  <c r="L10" i="168" s="1"/>
  <c r="AV9" i="108"/>
  <c r="L5" i="168" s="1"/>
  <c r="AV9" i="52"/>
  <c r="DC14" i="108"/>
  <c r="AH9" i="108"/>
  <c r="AH15" i="52"/>
  <c r="DC13" i="52"/>
  <c r="DC15" i="108"/>
  <c r="AH15" i="108"/>
  <c r="AV14" i="108"/>
  <c r="L9" i="168" s="1"/>
  <c r="AV11" i="52"/>
  <c r="AH16" i="108"/>
  <c r="DC10" i="52"/>
  <c r="DC8" i="108"/>
  <c r="L61" i="168" s="1"/>
  <c r="DC14" i="52"/>
  <c r="DC13" i="108"/>
  <c r="AH11" i="108"/>
  <c r="AH14" i="108"/>
  <c r="DC8" i="52"/>
  <c r="AV16" i="52"/>
  <c r="DC12" i="108"/>
  <c r="DC15" i="52"/>
  <c r="AV16" i="108"/>
  <c r="L11" i="168" s="1"/>
  <c r="AV14" i="52"/>
  <c r="AH16" i="52"/>
  <c r="DC16" i="108"/>
  <c r="AH17" i="108"/>
  <c r="AH17" i="52"/>
  <c r="DC16" i="52"/>
  <c r="AV17" i="52"/>
  <c r="AV17" i="108"/>
  <c r="L12" i="168" s="1"/>
  <c r="DC11" i="52"/>
  <c r="AI28" i="165"/>
  <c r="AC39" i="165"/>
  <c r="AB2" i="165"/>
  <c r="R22" i="157"/>
  <c r="R22" i="106"/>
  <c r="H30" i="157"/>
  <c r="J30" i="157" s="1"/>
  <c r="Q30" i="157" s="1"/>
  <c r="R30" i="157" s="1"/>
  <c r="E49" i="157"/>
  <c r="BX28" i="108"/>
  <c r="BX28" i="52"/>
  <c r="H30" i="164"/>
  <c r="AV21" i="52" s="1"/>
  <c r="D47" i="52"/>
  <c r="D41" i="52"/>
  <c r="D39" i="52"/>
  <c r="H30" i="106"/>
  <c r="J30" i="106" s="1"/>
  <c r="Q30" i="106" s="1"/>
  <c r="R30" i="106" s="1"/>
  <c r="G20" i="164"/>
  <c r="H13" i="164"/>
  <c r="G20" i="163"/>
  <c r="H13" i="163"/>
  <c r="J13" i="163" s="1"/>
  <c r="Q13" i="163" s="1"/>
  <c r="E49" i="106"/>
  <c r="Z37" i="157"/>
  <c r="H41" i="157"/>
  <c r="Q38" i="157"/>
  <c r="G10" i="106"/>
  <c r="L33" i="110"/>
  <c r="R40" i="110"/>
  <c r="S26" i="110"/>
  <c r="S32" i="110" s="1"/>
  <c r="J32" i="110"/>
  <c r="J33" i="110" s="1"/>
  <c r="Q51" i="106" l="1"/>
  <c r="L66" i="168"/>
  <c r="L67" i="168"/>
  <c r="L65" i="168"/>
  <c r="L68" i="168"/>
  <c r="AD39" i="165"/>
  <c r="AC2" i="165"/>
  <c r="AJ28" i="165"/>
  <c r="Q5" i="157"/>
  <c r="R13" i="163"/>
  <c r="Q5" i="163"/>
  <c r="Q51" i="157"/>
  <c r="AH21" i="108"/>
  <c r="DC17" i="52"/>
  <c r="AV23" i="52"/>
  <c r="DC23" i="108"/>
  <c r="AH25" i="108"/>
  <c r="AH23" i="52"/>
  <c r="AV25" i="108"/>
  <c r="AH27" i="52"/>
  <c r="DC23" i="52"/>
  <c r="AV27" i="52"/>
  <c r="BJ25" i="52" s="1"/>
  <c r="AV25" i="52"/>
  <c r="AH19" i="52"/>
  <c r="DC19" i="108"/>
  <c r="AH25" i="52"/>
  <c r="AV21" i="108"/>
  <c r="L15" i="168" s="1"/>
  <c r="AV27" i="108"/>
  <c r="BJ25" i="108" s="1"/>
  <c r="DC19" i="52"/>
  <c r="AH23" i="108"/>
  <c r="AH19" i="108"/>
  <c r="BX15" i="52"/>
  <c r="AH13" i="52"/>
  <c r="BX16" i="108"/>
  <c r="L49" i="168" s="1"/>
  <c r="AV13" i="108"/>
  <c r="L7" i="168" s="1"/>
  <c r="BX15" i="108"/>
  <c r="L48" i="168" s="1"/>
  <c r="BX13" i="52"/>
  <c r="BX12" i="52"/>
  <c r="BX13" i="108"/>
  <c r="L46" i="168" s="1"/>
  <c r="BX16" i="52"/>
  <c r="BX14" i="52"/>
  <c r="AV13" i="52"/>
  <c r="BX14" i="108"/>
  <c r="L47" i="168" s="1"/>
  <c r="BX11" i="52"/>
  <c r="BX12" i="108"/>
  <c r="BX10" i="52"/>
  <c r="BX11" i="108"/>
  <c r="L45" i="168" s="1"/>
  <c r="BX8" i="52"/>
  <c r="BX10" i="108"/>
  <c r="BX8" i="108"/>
  <c r="L42" i="168" s="1"/>
  <c r="AH13" i="108"/>
  <c r="J30" i="164"/>
  <c r="Q30" i="164" s="1"/>
  <c r="DC24" i="108"/>
  <c r="AH20" i="52"/>
  <c r="AV4" i="52"/>
  <c r="BJ4" i="52" s="1"/>
  <c r="AH24" i="52"/>
  <c r="AH20" i="108"/>
  <c r="AV24" i="108"/>
  <c r="L17" i="168" s="1"/>
  <c r="AH24" i="108"/>
  <c r="DC18" i="52"/>
  <c r="AV20" i="108"/>
  <c r="L14" i="168" s="1"/>
  <c r="AH4" i="108"/>
  <c r="AV4" i="108"/>
  <c r="AH26" i="108"/>
  <c r="DC18" i="108"/>
  <c r="AV24" i="52"/>
  <c r="DC6" i="52"/>
  <c r="DC22" i="52"/>
  <c r="DC22" i="108"/>
  <c r="AV26" i="52"/>
  <c r="AV20" i="52"/>
  <c r="AH4" i="52"/>
  <c r="AH26" i="52"/>
  <c r="DC6" i="108"/>
  <c r="DC24" i="52"/>
  <c r="AV26" i="108"/>
  <c r="AH27" i="108"/>
  <c r="AV23" i="108"/>
  <c r="L16" i="168" s="1"/>
  <c r="DC17" i="108"/>
  <c r="DC21" i="108"/>
  <c r="AV19" i="108"/>
  <c r="L13" i="168" s="1"/>
  <c r="DC25" i="108"/>
  <c r="DC25" i="52"/>
  <c r="DC21" i="52"/>
  <c r="AV19" i="52"/>
  <c r="AH21" i="52"/>
  <c r="J13" i="164"/>
  <c r="Q13" i="164" s="1"/>
  <c r="G20" i="106"/>
  <c r="H13" i="106"/>
  <c r="J13" i="106" s="1"/>
  <c r="Q13" i="106" s="1"/>
  <c r="S39" i="110"/>
  <c r="S40" i="110" s="1"/>
  <c r="S42" i="110" s="1"/>
  <c r="S33" i="110" s="1"/>
  <c r="L70" i="168" l="1"/>
  <c r="L18" i="168"/>
  <c r="L35" i="168" s="1"/>
  <c r="L3" i="168"/>
  <c r="BJ4" i="108"/>
  <c r="R13" i="106"/>
  <c r="Q5" i="106"/>
  <c r="AE39" i="165"/>
  <c r="AD2" i="165"/>
  <c r="AK28" i="165"/>
  <c r="R30" i="164"/>
  <c r="Q51" i="164"/>
  <c r="R13" i="164"/>
  <c r="Q5" i="164"/>
  <c r="L69" i="168"/>
  <c r="DC27" i="108"/>
  <c r="L44" i="168"/>
  <c r="L74" i="168"/>
  <c r="L37" i="168"/>
  <c r="L55" i="168"/>
  <c r="L72" i="168"/>
  <c r="L53" i="168"/>
  <c r="AV8" i="52"/>
  <c r="AV41" i="52" s="1"/>
  <c r="L34" i="168"/>
  <c r="L52" i="168"/>
  <c r="AH3" i="52"/>
  <c r="AH33" i="52" s="1"/>
  <c r="BX29" i="52"/>
  <c r="BX26" i="52"/>
  <c r="L33" i="168"/>
  <c r="L51" i="168"/>
  <c r="L71" i="168"/>
  <c r="L59" i="168"/>
  <c r="AV18" i="52"/>
  <c r="AV47" i="52" s="1"/>
  <c r="L26" i="168"/>
  <c r="L28" i="168"/>
  <c r="L30" i="168"/>
  <c r="L29" i="168"/>
  <c r="L24" i="168"/>
  <c r="L27" i="168"/>
  <c r="L31" i="168"/>
  <c r="L25" i="168"/>
  <c r="L63" i="168"/>
  <c r="L73" i="168"/>
  <c r="L36" i="168"/>
  <c r="L54" i="168"/>
  <c r="L32" i="168"/>
  <c r="L50" i="168"/>
  <c r="AH8" i="52"/>
  <c r="AH41" i="52" s="1"/>
  <c r="AH18" i="52"/>
  <c r="AH54" i="52" s="1"/>
  <c r="L40" i="168"/>
  <c r="L23" i="168"/>
  <c r="L22" i="168"/>
  <c r="DC27" i="52"/>
  <c r="AV3" i="52"/>
  <c r="BX29" i="108"/>
  <c r="BX26" i="108"/>
  <c r="AV54" i="52" l="1"/>
  <c r="AF39" i="165"/>
  <c r="AE2" i="165"/>
  <c r="AL28" i="165"/>
  <c r="AH53" i="52"/>
  <c r="AH48" i="52"/>
  <c r="AV48" i="52"/>
  <c r="AH52" i="52"/>
  <c r="AV34" i="52"/>
  <c r="AV2" i="52"/>
  <c r="AV28" i="52" s="1"/>
  <c r="L38" i="168"/>
  <c r="AH2" i="52"/>
  <c r="AH28" i="52" s="1"/>
  <c r="AH34" i="52"/>
  <c r="AV37" i="52"/>
  <c r="AV38" i="52"/>
  <c r="AV42" i="52"/>
  <c r="AV44" i="52"/>
  <c r="AV40" i="52"/>
  <c r="AV43" i="52"/>
  <c r="AV45" i="52"/>
  <c r="AV39" i="52"/>
  <c r="AH50" i="52"/>
  <c r="AH51" i="52"/>
  <c r="AH47" i="52"/>
  <c r="AH49" i="52"/>
  <c r="AV33" i="52"/>
  <c r="AH38" i="52"/>
  <c r="AH44" i="52"/>
  <c r="AH37" i="52"/>
  <c r="AH42" i="52"/>
  <c r="AH43" i="52"/>
  <c r="AH40" i="52"/>
  <c r="AH45" i="52"/>
  <c r="AH39" i="52"/>
  <c r="AV50" i="52"/>
  <c r="AV49" i="52"/>
  <c r="AV51" i="52"/>
  <c r="AV53" i="52"/>
  <c r="AV52" i="52"/>
  <c r="AM28" i="165" l="1"/>
  <c r="AG39" i="165"/>
  <c r="AF2" i="165"/>
  <c r="AH57" i="52"/>
  <c r="F4" i="108"/>
  <c r="C9" i="111"/>
  <c r="C8" i="111"/>
  <c r="C7" i="111"/>
  <c r="E16" i="111"/>
  <c r="C9" i="85"/>
  <c r="G9" i="85" s="1"/>
  <c r="C8" i="85"/>
  <c r="G8" i="85" s="1"/>
  <c r="C7" i="85"/>
  <c r="E11" i="86"/>
  <c r="C9" i="86"/>
  <c r="G9" i="86" s="1"/>
  <c r="C8" i="86"/>
  <c r="G8" i="86" s="1"/>
  <c r="C7" i="86"/>
  <c r="G7" i="86" s="1"/>
  <c r="E12" i="87"/>
  <c r="G12" i="87" s="1"/>
  <c r="E11" i="87"/>
  <c r="G11" i="87" s="1"/>
  <c r="C9" i="87"/>
  <c r="G9" i="87" s="1"/>
  <c r="C8" i="87"/>
  <c r="G8" i="87" s="1"/>
  <c r="C7" i="87"/>
  <c r="G7" i="87" s="1"/>
  <c r="G9" i="88"/>
  <c r="G8" i="88"/>
  <c r="G7" i="88"/>
  <c r="C9" i="89"/>
  <c r="C8" i="89"/>
  <c r="G8" i="89" s="1"/>
  <c r="C7" i="89"/>
  <c r="C9" i="90"/>
  <c r="G9" i="90" s="1"/>
  <c r="C8" i="90"/>
  <c r="G8" i="90" s="1"/>
  <c r="C7" i="90"/>
  <c r="G7" i="90" s="1"/>
  <c r="E19" i="91"/>
  <c r="G19" i="91" s="1"/>
  <c r="E18" i="91"/>
  <c r="E17" i="91"/>
  <c r="E16" i="91"/>
  <c r="C9" i="91"/>
  <c r="G9" i="91" s="1"/>
  <c r="C8" i="91"/>
  <c r="G8" i="91" s="1"/>
  <c r="C7" i="91"/>
  <c r="G7" i="91" s="1"/>
  <c r="E16" i="92"/>
  <c r="G16" i="92" s="1"/>
  <c r="E13" i="92"/>
  <c r="G13" i="92" s="1"/>
  <c r="E12" i="92"/>
  <c r="G12" i="92" s="1"/>
  <c r="C9" i="92"/>
  <c r="G9" i="92" s="1"/>
  <c r="C8" i="92"/>
  <c r="G8" i="92" s="1"/>
  <c r="C7" i="92"/>
  <c r="E19" i="93"/>
  <c r="C9" i="93"/>
  <c r="G9" i="93" s="1"/>
  <c r="C8" i="93"/>
  <c r="G8" i="93" s="1"/>
  <c r="G7" i="93"/>
  <c r="E57" i="85"/>
  <c r="C47" i="85" s="1"/>
  <c r="E56" i="85"/>
  <c r="E55" i="85"/>
  <c r="E54" i="85"/>
  <c r="E53" i="85"/>
  <c r="C45" i="85" s="1"/>
  <c r="E52" i="85"/>
  <c r="X46" i="85"/>
  <c r="W46" i="85"/>
  <c r="V46" i="85"/>
  <c r="U46" i="85"/>
  <c r="T46" i="85"/>
  <c r="X44" i="85"/>
  <c r="V44" i="85"/>
  <c r="T44" i="85"/>
  <c r="W43" i="85"/>
  <c r="V43" i="85"/>
  <c r="U43" i="85"/>
  <c r="T43" i="85"/>
  <c r="Y43" i="85" s="1"/>
  <c r="C43" i="85"/>
  <c r="G43" i="85" s="1"/>
  <c r="Q43" i="85" s="1"/>
  <c r="Z43" i="85" s="1"/>
  <c r="X42" i="85"/>
  <c r="X5" i="85" s="1"/>
  <c r="E42" i="85"/>
  <c r="F41" i="85" s="1"/>
  <c r="X41" i="85"/>
  <c r="W41" i="85"/>
  <c r="V41" i="85"/>
  <c r="U41" i="85"/>
  <c r="T41" i="85"/>
  <c r="L41" i="85"/>
  <c r="C41" i="85"/>
  <c r="X40" i="85"/>
  <c r="W40" i="85"/>
  <c r="V40" i="85"/>
  <c r="U40" i="85"/>
  <c r="T40" i="85"/>
  <c r="C40" i="85"/>
  <c r="X39" i="85"/>
  <c r="W39" i="85"/>
  <c r="V39" i="85"/>
  <c r="U39" i="85"/>
  <c r="T39" i="85"/>
  <c r="X37" i="85"/>
  <c r="W37" i="85"/>
  <c r="V37" i="85"/>
  <c r="U37" i="85"/>
  <c r="T37" i="85"/>
  <c r="C34" i="85"/>
  <c r="C46" i="85" s="1"/>
  <c r="G46" i="85" s="1"/>
  <c r="Q46" i="85" s="1"/>
  <c r="C33" i="85"/>
  <c r="C32" i="85"/>
  <c r="X30" i="85"/>
  <c r="W30" i="85"/>
  <c r="V30" i="85"/>
  <c r="T30" i="85"/>
  <c r="M30" i="85"/>
  <c r="K30" i="85"/>
  <c r="F30" i="85"/>
  <c r="C30" i="85"/>
  <c r="C29" i="85"/>
  <c r="C26" i="85"/>
  <c r="D30" i="85" s="1"/>
  <c r="O24" i="85"/>
  <c r="N24" i="85"/>
  <c r="M24" i="85"/>
  <c r="K24" i="85"/>
  <c r="E24" i="85"/>
  <c r="P23" i="85"/>
  <c r="O23" i="85"/>
  <c r="N23" i="85"/>
  <c r="L23" i="85"/>
  <c r="K23" i="85"/>
  <c r="E23" i="85"/>
  <c r="X22" i="85"/>
  <c r="W22" i="85"/>
  <c r="V22" i="85"/>
  <c r="U22" i="85"/>
  <c r="T22" i="85"/>
  <c r="O21" i="85"/>
  <c r="N21" i="85"/>
  <c r="M21" i="85"/>
  <c r="L21" i="85"/>
  <c r="K21" i="85"/>
  <c r="E21" i="85"/>
  <c r="G21" i="85" s="1"/>
  <c r="C21" i="85"/>
  <c r="C19" i="85"/>
  <c r="E19" i="85" s="1"/>
  <c r="C18" i="85"/>
  <c r="E18" i="85" s="1"/>
  <c r="G18" i="85" s="1"/>
  <c r="C17" i="85"/>
  <c r="E17" i="85" s="1"/>
  <c r="G17" i="85" s="1"/>
  <c r="C16" i="85"/>
  <c r="E16" i="85" s="1"/>
  <c r="G16" i="85" s="1"/>
  <c r="C14" i="85"/>
  <c r="G14" i="85" s="1"/>
  <c r="X13" i="85"/>
  <c r="W13" i="85"/>
  <c r="V13" i="85"/>
  <c r="U13" i="85"/>
  <c r="T13" i="85"/>
  <c r="M13" i="85"/>
  <c r="L13" i="85"/>
  <c r="K13" i="85"/>
  <c r="I13" i="85"/>
  <c r="F13" i="85"/>
  <c r="C13" i="85"/>
  <c r="E13" i="85" s="1"/>
  <c r="C12" i="85"/>
  <c r="C11" i="85"/>
  <c r="C10" i="85"/>
  <c r="E57" i="86"/>
  <c r="C47" i="86" s="1"/>
  <c r="C23" i="86" s="1"/>
  <c r="E56" i="86"/>
  <c r="E55" i="86"/>
  <c r="E54" i="86"/>
  <c r="C42" i="86" s="1"/>
  <c r="G42" i="86" s="1"/>
  <c r="Q42" i="86" s="1"/>
  <c r="Z42" i="86" s="1"/>
  <c r="E53" i="86"/>
  <c r="C45" i="86" s="1"/>
  <c r="E52" i="86"/>
  <c r="X46" i="86"/>
  <c r="W46" i="86"/>
  <c r="V46" i="86"/>
  <c r="U46" i="86"/>
  <c r="T46" i="86"/>
  <c r="X44" i="86"/>
  <c r="V44" i="86"/>
  <c r="T44" i="86"/>
  <c r="Y44" i="86" s="1"/>
  <c r="W43" i="86"/>
  <c r="Y43" i="86" s="1"/>
  <c r="V43" i="86"/>
  <c r="U43" i="86"/>
  <c r="C43" i="86" s="1"/>
  <c r="G43" i="86" s="1"/>
  <c r="Q43" i="86" s="1"/>
  <c r="Z43" i="86" s="1"/>
  <c r="T43" i="86"/>
  <c r="X42" i="86"/>
  <c r="Y42" i="86" s="1"/>
  <c r="E42" i="86"/>
  <c r="F41" i="86" s="1"/>
  <c r="X41" i="86"/>
  <c r="W41" i="86"/>
  <c r="V41" i="86"/>
  <c r="U41" i="86"/>
  <c r="T41" i="86"/>
  <c r="L41" i="86"/>
  <c r="C41" i="86"/>
  <c r="X40" i="86"/>
  <c r="W40" i="86"/>
  <c r="V40" i="86"/>
  <c r="U40" i="86"/>
  <c r="T40" i="86"/>
  <c r="C40" i="86"/>
  <c r="X39" i="86"/>
  <c r="W39" i="86"/>
  <c r="V39" i="86"/>
  <c r="U39" i="86"/>
  <c r="T39" i="86"/>
  <c r="Y39" i="86" s="1"/>
  <c r="X37" i="86"/>
  <c r="W37" i="86"/>
  <c r="V37" i="86"/>
  <c r="U37" i="86"/>
  <c r="T37" i="86"/>
  <c r="C34" i="86"/>
  <c r="C33" i="86"/>
  <c r="C32" i="86"/>
  <c r="X30" i="86"/>
  <c r="W30" i="86"/>
  <c r="V30" i="86"/>
  <c r="T30" i="86"/>
  <c r="M30" i="86"/>
  <c r="K30" i="86"/>
  <c r="F30" i="86"/>
  <c r="C30" i="86"/>
  <c r="C29" i="86"/>
  <c r="C26" i="86"/>
  <c r="O24" i="86"/>
  <c r="N24" i="86"/>
  <c r="M24" i="86"/>
  <c r="K24" i="86"/>
  <c r="E24" i="86"/>
  <c r="F22" i="86" s="1"/>
  <c r="P23" i="86"/>
  <c r="O23" i="86"/>
  <c r="N23" i="86"/>
  <c r="L23" i="86"/>
  <c r="K23" i="86"/>
  <c r="E23" i="86"/>
  <c r="X22" i="86"/>
  <c r="W22" i="86"/>
  <c r="V22" i="86"/>
  <c r="U22" i="86"/>
  <c r="T22" i="86"/>
  <c r="T5" i="86" s="1"/>
  <c r="O21" i="86"/>
  <c r="N21" i="86"/>
  <c r="M21" i="86"/>
  <c r="L21" i="86"/>
  <c r="K21" i="86"/>
  <c r="E21" i="86"/>
  <c r="C21" i="86"/>
  <c r="C19" i="86"/>
  <c r="E19" i="86" s="1"/>
  <c r="G19" i="86" s="1"/>
  <c r="C18" i="86"/>
  <c r="E18" i="86" s="1"/>
  <c r="G18" i="86" s="1"/>
  <c r="C17" i="86"/>
  <c r="E17" i="86" s="1"/>
  <c r="G17" i="86" s="1"/>
  <c r="C16" i="86"/>
  <c r="E16" i="86" s="1"/>
  <c r="G16" i="86" s="1"/>
  <c r="C14" i="86"/>
  <c r="G14" i="86" s="1"/>
  <c r="X13" i="86"/>
  <c r="W13" i="86"/>
  <c r="V13" i="86"/>
  <c r="U13" i="86"/>
  <c r="T13" i="86"/>
  <c r="M13" i="86"/>
  <c r="L13" i="86"/>
  <c r="K13" i="86"/>
  <c r="I13" i="86"/>
  <c r="F13" i="86"/>
  <c r="C13" i="86"/>
  <c r="E13" i="86" s="1"/>
  <c r="C12" i="86"/>
  <c r="E12" i="86" s="1"/>
  <c r="C11" i="86"/>
  <c r="C10" i="86"/>
  <c r="E57" i="87"/>
  <c r="C47" i="87" s="1"/>
  <c r="E56" i="87"/>
  <c r="E55" i="87"/>
  <c r="E54" i="87"/>
  <c r="E53" i="87"/>
  <c r="E52" i="87"/>
  <c r="X46" i="87"/>
  <c r="W46" i="87"/>
  <c r="W5" i="87" s="1"/>
  <c r="V46" i="87"/>
  <c r="U46" i="87"/>
  <c r="Y46" i="87" s="1"/>
  <c r="T46" i="87"/>
  <c r="X44" i="87"/>
  <c r="V44" i="87"/>
  <c r="T44" i="87"/>
  <c r="W43" i="87"/>
  <c r="V43" i="87"/>
  <c r="U43" i="87"/>
  <c r="T43" i="87"/>
  <c r="C42" i="87" s="1"/>
  <c r="X42" i="87"/>
  <c r="Y42" i="87" s="1"/>
  <c r="E42" i="87"/>
  <c r="F41" i="87" s="1"/>
  <c r="X41" i="87"/>
  <c r="W41" i="87"/>
  <c r="V41" i="87"/>
  <c r="U41" i="87"/>
  <c r="T41" i="87"/>
  <c r="L41" i="87"/>
  <c r="C41" i="87"/>
  <c r="G41" i="87" s="1"/>
  <c r="X40" i="87"/>
  <c r="W40" i="87"/>
  <c r="V40" i="87"/>
  <c r="V5" i="87" s="1"/>
  <c r="U40" i="87"/>
  <c r="T40" i="87"/>
  <c r="Y40" i="87" s="1"/>
  <c r="C40" i="87"/>
  <c r="G40" i="87" s="1"/>
  <c r="Z40" i="87" s="1"/>
  <c r="X39" i="87"/>
  <c r="W39" i="87"/>
  <c r="Y39" i="87" s="1"/>
  <c r="V39" i="87"/>
  <c r="U39" i="87"/>
  <c r="T39" i="87"/>
  <c r="X37" i="87"/>
  <c r="W37" i="87"/>
  <c r="V37" i="87"/>
  <c r="U37" i="87"/>
  <c r="T37" i="87"/>
  <c r="C34" i="87"/>
  <c r="C33" i="87"/>
  <c r="C32" i="87"/>
  <c r="X30" i="87"/>
  <c r="W30" i="87"/>
  <c r="V30" i="87"/>
  <c r="T30" i="87"/>
  <c r="M30" i="87"/>
  <c r="K30" i="87"/>
  <c r="F30" i="87"/>
  <c r="C30" i="87"/>
  <c r="C29" i="87"/>
  <c r="C26" i="87"/>
  <c r="O24" i="87"/>
  <c r="N24" i="87"/>
  <c r="M24" i="87"/>
  <c r="K24" i="87"/>
  <c r="E24" i="87"/>
  <c r="P23" i="87"/>
  <c r="O23" i="87"/>
  <c r="N23" i="87"/>
  <c r="L23" i="87"/>
  <c r="K23" i="87"/>
  <c r="E23" i="87"/>
  <c r="X22" i="87"/>
  <c r="W22" i="87"/>
  <c r="V22" i="87"/>
  <c r="U22" i="87"/>
  <c r="T22" i="87"/>
  <c r="O21" i="87"/>
  <c r="N21" i="87"/>
  <c r="M21" i="87"/>
  <c r="L21" i="87"/>
  <c r="K21" i="87"/>
  <c r="E21" i="87"/>
  <c r="C21" i="87"/>
  <c r="G21" i="87" s="1"/>
  <c r="C19" i="87"/>
  <c r="E19" i="87" s="1"/>
  <c r="C18" i="87"/>
  <c r="E18" i="87" s="1"/>
  <c r="C17" i="87"/>
  <c r="E17" i="87" s="1"/>
  <c r="C16" i="87"/>
  <c r="E16" i="87" s="1"/>
  <c r="C14" i="87"/>
  <c r="X13" i="87"/>
  <c r="W13" i="87"/>
  <c r="V13" i="87"/>
  <c r="U13" i="87"/>
  <c r="T13" i="87"/>
  <c r="S13" i="87" s="1"/>
  <c r="M13" i="87"/>
  <c r="L13" i="87"/>
  <c r="K13" i="87"/>
  <c r="I13" i="87"/>
  <c r="F13" i="87"/>
  <c r="C13" i="87"/>
  <c r="E13" i="87" s="1"/>
  <c r="C12" i="87"/>
  <c r="C11" i="87"/>
  <c r="C10" i="87"/>
  <c r="E57" i="88"/>
  <c r="C47" i="88" s="1"/>
  <c r="E56" i="88"/>
  <c r="E55" i="88"/>
  <c r="E54" i="88"/>
  <c r="E53" i="88"/>
  <c r="C45" i="88" s="1"/>
  <c r="G45" i="88" s="1"/>
  <c r="Q45" i="88" s="1"/>
  <c r="Z45" i="88" s="1"/>
  <c r="E52" i="88"/>
  <c r="X46" i="88"/>
  <c r="W46" i="88"/>
  <c r="V46" i="88"/>
  <c r="U46" i="88"/>
  <c r="T46" i="88"/>
  <c r="X44" i="88"/>
  <c r="V44" i="88"/>
  <c r="T44" i="88"/>
  <c r="W43" i="88"/>
  <c r="V43" i="88"/>
  <c r="U43" i="88"/>
  <c r="T43" i="88"/>
  <c r="X42" i="88"/>
  <c r="Y42" i="88" s="1"/>
  <c r="E42" i="88"/>
  <c r="X41" i="88"/>
  <c r="W41" i="88"/>
  <c r="V41" i="88"/>
  <c r="U41" i="88"/>
  <c r="T41" i="88"/>
  <c r="L41" i="88"/>
  <c r="C41" i="88"/>
  <c r="G41" i="88" s="1"/>
  <c r="X40" i="88"/>
  <c r="W40" i="88"/>
  <c r="Y40" i="88" s="1"/>
  <c r="V40" i="88"/>
  <c r="U40" i="88"/>
  <c r="T40" i="88"/>
  <c r="C40" i="88"/>
  <c r="G40" i="88" s="1"/>
  <c r="X39" i="88"/>
  <c r="W39" i="88"/>
  <c r="V39" i="88"/>
  <c r="U39" i="88"/>
  <c r="T39" i="88"/>
  <c r="Y39" i="88" s="1"/>
  <c r="X37" i="88"/>
  <c r="W37" i="88"/>
  <c r="V37" i="88"/>
  <c r="C37" i="88" s="1"/>
  <c r="U37" i="88"/>
  <c r="T37" i="88"/>
  <c r="C34" i="88"/>
  <c r="C33" i="88"/>
  <c r="C32" i="88"/>
  <c r="X30" i="88"/>
  <c r="W30" i="88"/>
  <c r="V30" i="88"/>
  <c r="T30" i="88"/>
  <c r="S30" i="88" s="1"/>
  <c r="M30" i="88"/>
  <c r="K30" i="88"/>
  <c r="F30" i="88"/>
  <c r="C30" i="88"/>
  <c r="C29" i="88"/>
  <c r="C26" i="88"/>
  <c r="O24" i="88"/>
  <c r="N24" i="88"/>
  <c r="M24" i="88"/>
  <c r="K24" i="88"/>
  <c r="E24" i="88"/>
  <c r="F22" i="88" s="1"/>
  <c r="P23" i="88"/>
  <c r="O23" i="88"/>
  <c r="N23" i="88"/>
  <c r="L23" i="88"/>
  <c r="K23" i="88"/>
  <c r="E23" i="88"/>
  <c r="X22" i="88"/>
  <c r="W22" i="88"/>
  <c r="V22" i="88"/>
  <c r="U22" i="88"/>
  <c r="T22" i="88"/>
  <c r="O21" i="88"/>
  <c r="N21" i="88"/>
  <c r="M21" i="88"/>
  <c r="L21" i="88"/>
  <c r="K21" i="88"/>
  <c r="E21" i="88"/>
  <c r="C21" i="88"/>
  <c r="C19" i="88"/>
  <c r="C18" i="88"/>
  <c r="C17" i="88"/>
  <c r="C16" i="88"/>
  <c r="C14" i="88"/>
  <c r="G14" i="88" s="1"/>
  <c r="X13" i="88"/>
  <c r="W13" i="88"/>
  <c r="V13" i="88"/>
  <c r="U13" i="88"/>
  <c r="T13" i="88"/>
  <c r="S13" i="88" s="1"/>
  <c r="M13" i="88"/>
  <c r="L13" i="88"/>
  <c r="K13" i="88"/>
  <c r="I13" i="88"/>
  <c r="F13" i="88"/>
  <c r="C13" i="88"/>
  <c r="C12" i="88"/>
  <c r="C11" i="88"/>
  <c r="C10" i="88"/>
  <c r="E57" i="89"/>
  <c r="C47" i="89" s="1"/>
  <c r="G47" i="89" s="1"/>
  <c r="Q47" i="89" s="1"/>
  <c r="E56" i="89"/>
  <c r="E55" i="89"/>
  <c r="E54" i="89"/>
  <c r="E53" i="89"/>
  <c r="C45" i="89" s="1"/>
  <c r="E52" i="89"/>
  <c r="X46" i="89"/>
  <c r="W46" i="89"/>
  <c r="V46" i="89"/>
  <c r="U46" i="89"/>
  <c r="T46" i="89"/>
  <c r="Y46" i="89" s="1"/>
  <c r="X44" i="89"/>
  <c r="V44" i="89"/>
  <c r="T44" i="89"/>
  <c r="Y44" i="89" s="1"/>
  <c r="W43" i="89"/>
  <c r="V43" i="89"/>
  <c r="U43" i="89"/>
  <c r="C43" i="89" s="1"/>
  <c r="G43" i="89" s="1"/>
  <c r="Q43" i="89" s="1"/>
  <c r="T43" i="89"/>
  <c r="X42" i="89"/>
  <c r="Y42" i="89" s="1"/>
  <c r="E42" i="89"/>
  <c r="X41" i="89"/>
  <c r="W41" i="89"/>
  <c r="V41" i="89"/>
  <c r="Y41" i="89" s="1"/>
  <c r="U41" i="89"/>
  <c r="T41" i="89"/>
  <c r="L41" i="89"/>
  <c r="C41" i="89"/>
  <c r="X40" i="89"/>
  <c r="W40" i="89"/>
  <c r="V40" i="89"/>
  <c r="U40" i="89"/>
  <c r="T40" i="89"/>
  <c r="C40" i="89"/>
  <c r="G40" i="89" s="1"/>
  <c r="X39" i="89"/>
  <c r="W39" i="89"/>
  <c r="V39" i="89"/>
  <c r="U39" i="89"/>
  <c r="T39" i="89"/>
  <c r="X37" i="89"/>
  <c r="W37" i="89"/>
  <c r="V37" i="89"/>
  <c r="U37" i="89"/>
  <c r="T37" i="89"/>
  <c r="C34" i="89"/>
  <c r="C33" i="89"/>
  <c r="C32" i="89"/>
  <c r="M30" i="89"/>
  <c r="F30" i="89"/>
  <c r="C30" i="89"/>
  <c r="C29" i="89"/>
  <c r="C26" i="89"/>
  <c r="D30" i="89" s="1"/>
  <c r="O24" i="89"/>
  <c r="N24" i="89"/>
  <c r="M24" i="89"/>
  <c r="K24" i="89"/>
  <c r="E24" i="89"/>
  <c r="P23" i="89"/>
  <c r="O23" i="89"/>
  <c r="N23" i="89"/>
  <c r="L23" i="89"/>
  <c r="K23" i="89"/>
  <c r="E23" i="89"/>
  <c r="X22" i="89"/>
  <c r="W22" i="89"/>
  <c r="V22" i="89"/>
  <c r="U22" i="89"/>
  <c r="T22" i="89"/>
  <c r="S22" i="89" s="1"/>
  <c r="O21" i="89"/>
  <c r="N21" i="89"/>
  <c r="M21" i="89"/>
  <c r="L21" i="89"/>
  <c r="K21" i="89"/>
  <c r="E21" i="89"/>
  <c r="C21" i="89"/>
  <c r="C19" i="89"/>
  <c r="E19" i="89" s="1"/>
  <c r="G19" i="89" s="1"/>
  <c r="C18" i="89"/>
  <c r="E18" i="89" s="1"/>
  <c r="G18" i="89" s="1"/>
  <c r="C17" i="89"/>
  <c r="E17" i="89" s="1"/>
  <c r="G17" i="89" s="1"/>
  <c r="C16" i="89"/>
  <c r="E16" i="89" s="1"/>
  <c r="G16" i="89" s="1"/>
  <c r="C14" i="89"/>
  <c r="G14" i="89" s="1"/>
  <c r="X13" i="89"/>
  <c r="W13" i="89"/>
  <c r="V13" i="89"/>
  <c r="U13" i="89"/>
  <c r="T13" i="89"/>
  <c r="M13" i="89"/>
  <c r="L13" i="89"/>
  <c r="K13" i="89"/>
  <c r="I13" i="89"/>
  <c r="F13" i="89"/>
  <c r="C13" i="89"/>
  <c r="E13" i="89" s="1"/>
  <c r="C12" i="89"/>
  <c r="E12" i="89" s="1"/>
  <c r="C11" i="89"/>
  <c r="E11" i="89" s="1"/>
  <c r="C10" i="89"/>
  <c r="E57" i="90"/>
  <c r="C47" i="90" s="1"/>
  <c r="E56" i="90"/>
  <c r="E55" i="90"/>
  <c r="E54" i="90"/>
  <c r="E53" i="90"/>
  <c r="E52" i="90"/>
  <c r="X46" i="90"/>
  <c r="W46" i="90"/>
  <c r="V46" i="90"/>
  <c r="U46" i="90"/>
  <c r="T46" i="90"/>
  <c r="X44" i="90"/>
  <c r="V44" i="90"/>
  <c r="T44" i="90"/>
  <c r="W43" i="90"/>
  <c r="V43" i="90"/>
  <c r="U43" i="90"/>
  <c r="T43" i="90"/>
  <c r="Y43" i="90" s="1"/>
  <c r="X42" i="90"/>
  <c r="Y42" i="90" s="1"/>
  <c r="E42" i="90"/>
  <c r="F41" i="90" s="1"/>
  <c r="X41" i="90"/>
  <c r="W41" i="90"/>
  <c r="V41" i="90"/>
  <c r="U41" i="90"/>
  <c r="T41" i="90"/>
  <c r="L41" i="90"/>
  <c r="C41" i="90"/>
  <c r="G41" i="90" s="1"/>
  <c r="X40" i="90"/>
  <c r="W40" i="90"/>
  <c r="V40" i="90"/>
  <c r="Y40" i="90" s="1"/>
  <c r="U40" i="90"/>
  <c r="T40" i="90"/>
  <c r="C40" i="90"/>
  <c r="X39" i="90"/>
  <c r="W39" i="90"/>
  <c r="V39" i="90"/>
  <c r="U39" i="90"/>
  <c r="T39" i="90"/>
  <c r="X37" i="90"/>
  <c r="W37" i="90"/>
  <c r="V37" i="90"/>
  <c r="U37" i="90"/>
  <c r="Y37" i="90" s="1"/>
  <c r="T37" i="90"/>
  <c r="C34" i="90"/>
  <c r="C33" i="90"/>
  <c r="C32" i="90"/>
  <c r="S30" i="90"/>
  <c r="M30" i="90"/>
  <c r="F30" i="90"/>
  <c r="C30" i="90"/>
  <c r="C29" i="90"/>
  <c r="C26" i="90"/>
  <c r="O24" i="90"/>
  <c r="N24" i="90"/>
  <c r="M24" i="90"/>
  <c r="K24" i="90"/>
  <c r="E24" i="90"/>
  <c r="P23" i="90"/>
  <c r="O23" i="90"/>
  <c r="N23" i="90"/>
  <c r="L23" i="90"/>
  <c r="K23" i="90"/>
  <c r="E23" i="90"/>
  <c r="X22" i="90"/>
  <c r="W22" i="90"/>
  <c r="V22" i="90"/>
  <c r="U22" i="90"/>
  <c r="T22" i="90"/>
  <c r="O21" i="90"/>
  <c r="N21" i="90"/>
  <c r="M21" i="90"/>
  <c r="L21" i="90"/>
  <c r="K21" i="90"/>
  <c r="E21" i="90"/>
  <c r="C21" i="90"/>
  <c r="C19" i="90"/>
  <c r="E19" i="90" s="1"/>
  <c r="G19" i="90" s="1"/>
  <c r="C18" i="90"/>
  <c r="E18" i="90" s="1"/>
  <c r="G18" i="90" s="1"/>
  <c r="C17" i="90"/>
  <c r="C16" i="90"/>
  <c r="C14" i="90"/>
  <c r="G14" i="90" s="1"/>
  <c r="X13" i="90"/>
  <c r="W13" i="90"/>
  <c r="V13" i="90"/>
  <c r="V5" i="90" s="1"/>
  <c r="U13" i="90"/>
  <c r="U5" i="90" s="1"/>
  <c r="T13" i="90"/>
  <c r="M13" i="90"/>
  <c r="L13" i="90"/>
  <c r="K13" i="90"/>
  <c r="I13" i="90"/>
  <c r="F13" i="90"/>
  <c r="C13" i="90"/>
  <c r="E13" i="90" s="1"/>
  <c r="G13" i="90" s="1"/>
  <c r="C12" i="90"/>
  <c r="E12" i="90" s="1"/>
  <c r="C11" i="90"/>
  <c r="C10" i="90"/>
  <c r="E57" i="91"/>
  <c r="C47" i="91" s="1"/>
  <c r="E56" i="91"/>
  <c r="E55" i="91"/>
  <c r="E54" i="91"/>
  <c r="C42" i="91" s="1"/>
  <c r="G42" i="91" s="1"/>
  <c r="Q42" i="91" s="1"/>
  <c r="E53" i="91"/>
  <c r="E52" i="91"/>
  <c r="X46" i="91"/>
  <c r="W46" i="91"/>
  <c r="V46" i="91"/>
  <c r="U46" i="91"/>
  <c r="T46" i="91"/>
  <c r="Y46" i="91" s="1"/>
  <c r="C46" i="91"/>
  <c r="X44" i="91"/>
  <c r="V44" i="91"/>
  <c r="Y44" i="91" s="1"/>
  <c r="T44" i="91"/>
  <c r="W43" i="91"/>
  <c r="V43" i="91"/>
  <c r="U43" i="91"/>
  <c r="T43" i="91"/>
  <c r="Y43" i="91" s="1"/>
  <c r="X42" i="91"/>
  <c r="E42" i="91"/>
  <c r="X41" i="91"/>
  <c r="W41" i="91"/>
  <c r="V41" i="91"/>
  <c r="U41" i="91"/>
  <c r="T41" i="91"/>
  <c r="Y41" i="91" s="1"/>
  <c r="L41" i="91"/>
  <c r="C41" i="91"/>
  <c r="G41" i="91" s="1"/>
  <c r="Z41" i="91" s="1"/>
  <c r="X40" i="91"/>
  <c r="W40" i="91"/>
  <c r="V40" i="91"/>
  <c r="U40" i="91"/>
  <c r="T40" i="91"/>
  <c r="C40" i="91"/>
  <c r="X39" i="91"/>
  <c r="W39" i="91"/>
  <c r="V39" i="91"/>
  <c r="U39" i="91"/>
  <c r="T39" i="91"/>
  <c r="Y39" i="91" s="1"/>
  <c r="X37" i="91"/>
  <c r="X5" i="91" s="1"/>
  <c r="W37" i="91"/>
  <c r="C37" i="91" s="1"/>
  <c r="V37" i="91"/>
  <c r="U37" i="91"/>
  <c r="S41" i="91" s="1"/>
  <c r="T37" i="91"/>
  <c r="C34" i="91"/>
  <c r="C33" i="91"/>
  <c r="C32" i="91"/>
  <c r="S30" i="91"/>
  <c r="M30" i="91"/>
  <c r="F30" i="91"/>
  <c r="C30" i="91"/>
  <c r="C29" i="91"/>
  <c r="C26" i="91"/>
  <c r="O24" i="91"/>
  <c r="N24" i="91"/>
  <c r="M24" i="91"/>
  <c r="K24" i="91"/>
  <c r="E24" i="91"/>
  <c r="F22" i="91" s="1"/>
  <c r="C24" i="91"/>
  <c r="G24" i="91" s="1"/>
  <c r="P23" i="91"/>
  <c r="O23" i="91"/>
  <c r="N23" i="91"/>
  <c r="L23" i="91"/>
  <c r="K23" i="91"/>
  <c r="E23" i="91"/>
  <c r="X22" i="91"/>
  <c r="W22" i="91"/>
  <c r="V22" i="91"/>
  <c r="V5" i="91" s="1"/>
  <c r="U22" i="91"/>
  <c r="U5" i="91" s="1"/>
  <c r="T22" i="91"/>
  <c r="T5" i="91" s="1"/>
  <c r="O21" i="91"/>
  <c r="N21" i="91"/>
  <c r="M21" i="91"/>
  <c r="L21" i="91"/>
  <c r="K21" i="91"/>
  <c r="E21" i="91"/>
  <c r="C21" i="91"/>
  <c r="C19" i="91"/>
  <c r="C18" i="91"/>
  <c r="C17" i="91"/>
  <c r="C16" i="91"/>
  <c r="C14" i="91"/>
  <c r="G14" i="91" s="1"/>
  <c r="X13" i="91"/>
  <c r="W13" i="91"/>
  <c r="V13" i="91"/>
  <c r="U13" i="91"/>
  <c r="T13" i="91"/>
  <c r="M13" i="91"/>
  <c r="L13" i="91"/>
  <c r="K13" i="91"/>
  <c r="I13" i="91"/>
  <c r="F13" i="91"/>
  <c r="C13" i="91"/>
  <c r="C12" i="91"/>
  <c r="C11" i="91"/>
  <c r="E11" i="91" s="1"/>
  <c r="C10" i="91"/>
  <c r="E57" i="92"/>
  <c r="E56" i="92"/>
  <c r="E55" i="92"/>
  <c r="E54" i="92"/>
  <c r="E53" i="92"/>
  <c r="E52" i="92"/>
  <c r="Q47" i="92"/>
  <c r="X46" i="92"/>
  <c r="W46" i="92"/>
  <c r="V46" i="92"/>
  <c r="U46" i="92"/>
  <c r="T46" i="92"/>
  <c r="Y46" i="92" s="1"/>
  <c r="X44" i="92"/>
  <c r="V44" i="92"/>
  <c r="T44" i="92"/>
  <c r="Y44" i="92" s="1"/>
  <c r="W43" i="92"/>
  <c r="V43" i="92"/>
  <c r="U43" i="92"/>
  <c r="C43" i="92" s="1"/>
  <c r="G43" i="92" s="1"/>
  <c r="Q43" i="92" s="1"/>
  <c r="T43" i="92"/>
  <c r="C42" i="92" s="1"/>
  <c r="G42" i="92" s="1"/>
  <c r="Q42" i="92" s="1"/>
  <c r="X42" i="92"/>
  <c r="E42" i="92"/>
  <c r="X41" i="92"/>
  <c r="W41" i="92"/>
  <c r="V41" i="92"/>
  <c r="U41" i="92"/>
  <c r="T41" i="92"/>
  <c r="L41" i="92"/>
  <c r="C41" i="92"/>
  <c r="X40" i="92"/>
  <c r="W40" i="92"/>
  <c r="V40" i="92"/>
  <c r="U40" i="92"/>
  <c r="Y40" i="92" s="1"/>
  <c r="T40" i="92"/>
  <c r="C40" i="92"/>
  <c r="X39" i="92"/>
  <c r="W39" i="92"/>
  <c r="V39" i="92"/>
  <c r="Y39" i="92" s="1"/>
  <c r="U39" i="92"/>
  <c r="T39" i="92"/>
  <c r="S41" i="92" s="1"/>
  <c r="X37" i="92"/>
  <c r="W37" i="92"/>
  <c r="V37" i="92"/>
  <c r="U37" i="92"/>
  <c r="T37" i="92"/>
  <c r="Y37" i="92" s="1"/>
  <c r="C34" i="92"/>
  <c r="C33" i="92"/>
  <c r="C32" i="92"/>
  <c r="W5" i="92"/>
  <c r="M30" i="92"/>
  <c r="F30" i="92"/>
  <c r="C30" i="92"/>
  <c r="C29" i="92"/>
  <c r="C26" i="92"/>
  <c r="D30" i="92" s="1"/>
  <c r="F35" i="92" s="1"/>
  <c r="O24" i="92"/>
  <c r="N24" i="92"/>
  <c r="M24" i="92"/>
  <c r="K24" i="92"/>
  <c r="E24" i="92"/>
  <c r="P23" i="92"/>
  <c r="O23" i="92"/>
  <c r="N23" i="92"/>
  <c r="L23" i="92"/>
  <c r="K23" i="92"/>
  <c r="E23" i="92"/>
  <c r="G23" i="92"/>
  <c r="X22" i="92"/>
  <c r="X5" i="92" s="1"/>
  <c r="W22" i="92"/>
  <c r="V22" i="92"/>
  <c r="S22" i="92" s="1"/>
  <c r="U22" i="92"/>
  <c r="T22" i="92"/>
  <c r="O21" i="92"/>
  <c r="N21" i="92"/>
  <c r="M21" i="92"/>
  <c r="L21" i="92"/>
  <c r="K21" i="92"/>
  <c r="E21" i="92"/>
  <c r="F22" i="92" s="1"/>
  <c r="C21" i="92"/>
  <c r="D22" i="92" s="1"/>
  <c r="C19" i="92"/>
  <c r="E19" i="92" s="1"/>
  <c r="C18" i="92"/>
  <c r="C46" i="92" s="1"/>
  <c r="G46" i="92" s="1"/>
  <c r="Q46" i="92" s="1"/>
  <c r="C17" i="92"/>
  <c r="C16" i="92"/>
  <c r="C14" i="92"/>
  <c r="G14" i="92" s="1"/>
  <c r="X13" i="92"/>
  <c r="W13" i="92"/>
  <c r="V13" i="92"/>
  <c r="U13" i="92"/>
  <c r="T13" i="92"/>
  <c r="S13" i="92" s="1"/>
  <c r="M13" i="92"/>
  <c r="L13" i="92"/>
  <c r="K13" i="92"/>
  <c r="I13" i="92"/>
  <c r="F13" i="92"/>
  <c r="C13" i="92"/>
  <c r="C12" i="92"/>
  <c r="C11" i="92"/>
  <c r="E11" i="92" s="1"/>
  <c r="G11" i="92" s="1"/>
  <c r="C10" i="92"/>
  <c r="E57" i="93"/>
  <c r="C47" i="93" s="1"/>
  <c r="E56" i="93"/>
  <c r="E55" i="93"/>
  <c r="E54" i="93"/>
  <c r="E53" i="93"/>
  <c r="C45" i="93" s="1"/>
  <c r="E52" i="93"/>
  <c r="X46" i="93"/>
  <c r="W46" i="93"/>
  <c r="V46" i="93"/>
  <c r="U46" i="93"/>
  <c r="T46" i="93"/>
  <c r="X44" i="93"/>
  <c r="V44" i="93"/>
  <c r="T44" i="93"/>
  <c r="W43" i="93"/>
  <c r="V43" i="93"/>
  <c r="U43" i="93"/>
  <c r="C43" i="93" s="1"/>
  <c r="G43" i="93" s="1"/>
  <c r="Q43" i="93" s="1"/>
  <c r="T43" i="93"/>
  <c r="X42" i="93"/>
  <c r="Y42" i="93" s="1"/>
  <c r="E42" i="93"/>
  <c r="X41" i="93"/>
  <c r="W41" i="93"/>
  <c r="V41" i="93"/>
  <c r="U41" i="93"/>
  <c r="T41" i="93"/>
  <c r="L41" i="93"/>
  <c r="C41" i="93"/>
  <c r="G41" i="93" s="1"/>
  <c r="X40" i="93"/>
  <c r="W40" i="93"/>
  <c r="V40" i="93"/>
  <c r="U40" i="93"/>
  <c r="T40" i="93"/>
  <c r="C40" i="93"/>
  <c r="X39" i="93"/>
  <c r="W39" i="93"/>
  <c r="V39" i="93"/>
  <c r="U39" i="93"/>
  <c r="T39" i="93"/>
  <c r="C39" i="93" s="1"/>
  <c r="G39" i="93" s="1"/>
  <c r="X37" i="93"/>
  <c r="W37" i="93"/>
  <c r="V37" i="93"/>
  <c r="U37" i="93"/>
  <c r="T37" i="93"/>
  <c r="C34" i="93"/>
  <c r="C33" i="93"/>
  <c r="C32" i="93"/>
  <c r="S30" i="93"/>
  <c r="M30" i="93"/>
  <c r="F30" i="93"/>
  <c r="C30" i="93"/>
  <c r="C29" i="93"/>
  <c r="C26" i="93"/>
  <c r="O24" i="93"/>
  <c r="N24" i="93"/>
  <c r="M24" i="93"/>
  <c r="K24" i="93"/>
  <c r="E24" i="93"/>
  <c r="F22" i="93" s="1"/>
  <c r="P23" i="93"/>
  <c r="O23" i="93"/>
  <c r="N23" i="93"/>
  <c r="L23" i="93"/>
  <c r="K23" i="93"/>
  <c r="E23" i="93"/>
  <c r="X22" i="93"/>
  <c r="W22" i="93"/>
  <c r="V22" i="93"/>
  <c r="U22" i="93"/>
  <c r="T22" i="93"/>
  <c r="S22" i="93" s="1"/>
  <c r="O21" i="93"/>
  <c r="N21" i="93"/>
  <c r="M21" i="93"/>
  <c r="L21" i="93"/>
  <c r="K21" i="93"/>
  <c r="E21" i="93"/>
  <c r="C21" i="93"/>
  <c r="C19" i="93"/>
  <c r="C18" i="93"/>
  <c r="E18" i="93" s="1"/>
  <c r="C17" i="93"/>
  <c r="E17" i="93" s="1"/>
  <c r="G17" i="93" s="1"/>
  <c r="C16" i="93"/>
  <c r="E16" i="93" s="1"/>
  <c r="C14" i="93"/>
  <c r="G14" i="93" s="1"/>
  <c r="X13" i="93"/>
  <c r="W13" i="93"/>
  <c r="S13" i="93" s="1"/>
  <c r="V13" i="93"/>
  <c r="U13" i="93"/>
  <c r="T13" i="93"/>
  <c r="M13" i="93"/>
  <c r="L13" i="93"/>
  <c r="K13" i="93"/>
  <c r="I13" i="93"/>
  <c r="F13" i="93"/>
  <c r="C13" i="93"/>
  <c r="E13" i="93" s="1"/>
  <c r="C12" i="93"/>
  <c r="E12" i="93" s="1"/>
  <c r="C11" i="93"/>
  <c r="E11" i="93" s="1"/>
  <c r="C10" i="93"/>
  <c r="Y47" i="93"/>
  <c r="Y45" i="93"/>
  <c r="G44" i="93"/>
  <c r="F41" i="93"/>
  <c r="G40" i="93"/>
  <c r="Y39" i="93"/>
  <c r="Y38" i="93"/>
  <c r="C38" i="93"/>
  <c r="G38" i="93" s="1"/>
  <c r="Z36" i="93"/>
  <c r="Y36" i="93"/>
  <c r="G21" i="93"/>
  <c r="G15" i="93"/>
  <c r="T5" i="93"/>
  <c r="Y47" i="92"/>
  <c r="G47" i="92"/>
  <c r="C47" i="92"/>
  <c r="Y45" i="92"/>
  <c r="C45" i="92"/>
  <c r="C24" i="92" s="1"/>
  <c r="G24" i="92" s="1"/>
  <c r="G44" i="92"/>
  <c r="Q44" i="92" s="1"/>
  <c r="Y42" i="92"/>
  <c r="Y41" i="92"/>
  <c r="Z41" i="92" s="1"/>
  <c r="G41" i="92"/>
  <c r="F41" i="92"/>
  <c r="G40" i="92"/>
  <c r="Z40" i="92" s="1"/>
  <c r="Z38" i="92"/>
  <c r="Y38" i="92"/>
  <c r="G38" i="92"/>
  <c r="C38" i="92"/>
  <c r="C37" i="92"/>
  <c r="Y36" i="92"/>
  <c r="Z36" i="92" s="1"/>
  <c r="G21" i="92"/>
  <c r="G15" i="92"/>
  <c r="G7" i="92"/>
  <c r="U5" i="92"/>
  <c r="Y47" i="91"/>
  <c r="G46" i="91"/>
  <c r="Q46" i="91" s="1"/>
  <c r="Y45" i="91"/>
  <c r="C45" i="91"/>
  <c r="G45" i="91" s="1"/>
  <c r="Q45" i="91" s="1"/>
  <c r="G44" i="91"/>
  <c r="Q44" i="91" s="1"/>
  <c r="Y42" i="91"/>
  <c r="F41" i="91"/>
  <c r="Y40" i="91"/>
  <c r="Z40" i="91" s="1"/>
  <c r="G40" i="91"/>
  <c r="Y38" i="91"/>
  <c r="C38" i="91"/>
  <c r="G38" i="91" s="1"/>
  <c r="Z38" i="91" s="1"/>
  <c r="Y37" i="91"/>
  <c r="Y36" i="91"/>
  <c r="Z36" i="91" s="1"/>
  <c r="D30" i="91"/>
  <c r="G21" i="91"/>
  <c r="G15" i="91"/>
  <c r="S13" i="91"/>
  <c r="Y47" i="90"/>
  <c r="Y45" i="90"/>
  <c r="C45" i="90"/>
  <c r="G45" i="90" s="1"/>
  <c r="Q45" i="90" s="1"/>
  <c r="Y44" i="90"/>
  <c r="G44" i="90"/>
  <c r="Q44" i="90" s="1"/>
  <c r="Y41" i="90"/>
  <c r="G40" i="90"/>
  <c r="Y39" i="90"/>
  <c r="Y38" i="90"/>
  <c r="C38" i="90"/>
  <c r="G38" i="90" s="1"/>
  <c r="Z38" i="90" s="1"/>
  <c r="Y36" i="90"/>
  <c r="Z36" i="90" s="1"/>
  <c r="D30" i="90"/>
  <c r="G21" i="90"/>
  <c r="G15" i="90"/>
  <c r="Y47" i="89"/>
  <c r="Y45" i="89"/>
  <c r="G44" i="89"/>
  <c r="Q44" i="89" s="1"/>
  <c r="Y43" i="89"/>
  <c r="G41" i="89"/>
  <c r="F41" i="89"/>
  <c r="Y38" i="89"/>
  <c r="G38" i="89"/>
  <c r="C38" i="89"/>
  <c r="Z36" i="89"/>
  <c r="Y36" i="89"/>
  <c r="G15" i="89"/>
  <c r="G9" i="89"/>
  <c r="G7" i="89"/>
  <c r="Y47" i="88"/>
  <c r="Y46" i="88"/>
  <c r="Y45" i="88"/>
  <c r="G44" i="88"/>
  <c r="Q44" i="88" s="1"/>
  <c r="F41" i="88"/>
  <c r="Y38" i="88"/>
  <c r="C38" i="88"/>
  <c r="G38" i="88" s="1"/>
  <c r="Z38" i="88" s="1"/>
  <c r="Y36" i="88"/>
  <c r="Z36" i="88" s="1"/>
  <c r="D30" i="88"/>
  <c r="F35" i="88" s="1"/>
  <c r="G21" i="88"/>
  <c r="G15" i="88"/>
  <c r="Y47" i="87"/>
  <c r="Y45" i="87"/>
  <c r="C45" i="87"/>
  <c r="C24" i="87" s="1"/>
  <c r="G24" i="87" s="1"/>
  <c r="G44" i="87"/>
  <c r="Q44" i="87" s="1"/>
  <c r="Y38" i="87"/>
  <c r="C38" i="87"/>
  <c r="G38" i="87" s="1"/>
  <c r="Z38" i="87" s="1"/>
  <c r="Y36" i="87"/>
  <c r="Z36" i="87" s="1"/>
  <c r="G15" i="87"/>
  <c r="G14" i="87"/>
  <c r="Y47" i="86"/>
  <c r="Y46" i="86"/>
  <c r="Y45" i="86"/>
  <c r="G44" i="86"/>
  <c r="Q44" i="86" s="1"/>
  <c r="Y41" i="86"/>
  <c r="G41" i="86"/>
  <c r="G40" i="86"/>
  <c r="Y38" i="86"/>
  <c r="C38" i="86"/>
  <c r="G38" i="86" s="1"/>
  <c r="Y36" i="86"/>
  <c r="Z36" i="86" s="1"/>
  <c r="G21" i="86"/>
  <c r="G15" i="86"/>
  <c r="S13" i="86"/>
  <c r="Y47" i="85"/>
  <c r="Y45" i="85"/>
  <c r="Y44" i="85"/>
  <c r="G44" i="85"/>
  <c r="Z44" i="85" s="1"/>
  <c r="G41" i="85"/>
  <c r="G40" i="85"/>
  <c r="Y38" i="85"/>
  <c r="G38" i="85"/>
  <c r="Z38" i="85" s="1"/>
  <c r="C38" i="85"/>
  <c r="Z36" i="85"/>
  <c r="Y36" i="85"/>
  <c r="S30" i="85"/>
  <c r="G15" i="85"/>
  <c r="W5" i="85"/>
  <c r="C16" i="70"/>
  <c r="E16" i="70" s="1"/>
  <c r="C41" i="70"/>
  <c r="L41" i="70"/>
  <c r="C14" i="70"/>
  <c r="C21" i="70"/>
  <c r="E57" i="70"/>
  <c r="E56" i="70"/>
  <c r="E55" i="70"/>
  <c r="E54" i="70"/>
  <c r="E53" i="70"/>
  <c r="E52" i="70"/>
  <c r="X46" i="70"/>
  <c r="W46" i="70"/>
  <c r="V46" i="70"/>
  <c r="U46" i="70"/>
  <c r="T46" i="70"/>
  <c r="X44" i="70"/>
  <c r="V44" i="70"/>
  <c r="T44" i="70"/>
  <c r="W43" i="70"/>
  <c r="V43" i="70"/>
  <c r="U43" i="70"/>
  <c r="T43" i="70"/>
  <c r="C43" i="70" s="1"/>
  <c r="X42" i="70"/>
  <c r="E42" i="70"/>
  <c r="X41" i="70"/>
  <c r="W41" i="70"/>
  <c r="V41" i="70"/>
  <c r="U41" i="70"/>
  <c r="T41" i="70"/>
  <c r="X40" i="70"/>
  <c r="W40" i="70"/>
  <c r="V40" i="70"/>
  <c r="U40" i="70"/>
  <c r="T40" i="70"/>
  <c r="C40" i="70"/>
  <c r="X39" i="70"/>
  <c r="W39" i="70"/>
  <c r="V39" i="70"/>
  <c r="U39" i="70"/>
  <c r="T39" i="70"/>
  <c r="X37" i="70"/>
  <c r="W37" i="70"/>
  <c r="V37" i="70"/>
  <c r="U37" i="70"/>
  <c r="T37" i="70"/>
  <c r="C34" i="70"/>
  <c r="C33" i="70"/>
  <c r="C32" i="70"/>
  <c r="X30" i="70"/>
  <c r="W30" i="70"/>
  <c r="V30" i="70"/>
  <c r="T30" i="70"/>
  <c r="M30" i="70"/>
  <c r="K30" i="70"/>
  <c r="F30" i="70"/>
  <c r="C30" i="70"/>
  <c r="C29" i="70"/>
  <c r="C26" i="70"/>
  <c r="O24" i="70"/>
  <c r="N24" i="70"/>
  <c r="M24" i="70"/>
  <c r="K24" i="70"/>
  <c r="E24" i="70"/>
  <c r="P23" i="70"/>
  <c r="O23" i="70"/>
  <c r="N23" i="70"/>
  <c r="L23" i="70"/>
  <c r="K23" i="70"/>
  <c r="E23" i="70"/>
  <c r="X22" i="70"/>
  <c r="W22" i="70"/>
  <c r="V22" i="70"/>
  <c r="U22" i="70"/>
  <c r="T22" i="70"/>
  <c r="O21" i="70"/>
  <c r="N21" i="70"/>
  <c r="M21" i="70"/>
  <c r="L21" i="70"/>
  <c r="K21" i="70"/>
  <c r="E21" i="70"/>
  <c r="C19" i="70"/>
  <c r="E19" i="70" s="1"/>
  <c r="C18" i="70"/>
  <c r="C17" i="70"/>
  <c r="X13" i="70"/>
  <c r="W13" i="70"/>
  <c r="V13" i="70"/>
  <c r="U13" i="70"/>
  <c r="T13" i="70"/>
  <c r="M13" i="70"/>
  <c r="L13" i="70"/>
  <c r="K13" i="70"/>
  <c r="I13" i="70"/>
  <c r="F13" i="70"/>
  <c r="C13" i="70"/>
  <c r="E13" i="70" s="1"/>
  <c r="C12" i="70"/>
  <c r="C11" i="70"/>
  <c r="E11" i="70" s="1"/>
  <c r="C10" i="70"/>
  <c r="C9" i="70"/>
  <c r="C8" i="70"/>
  <c r="C7" i="70"/>
  <c r="DD20" i="108"/>
  <c r="DE20" i="108"/>
  <c r="DF20" i="108"/>
  <c r="DG20" i="108"/>
  <c r="DH20" i="108"/>
  <c r="DI20" i="108"/>
  <c r="DJ20" i="108"/>
  <c r="DC7" i="108"/>
  <c r="DD7" i="108" s="1"/>
  <c r="DE7" i="108" s="1"/>
  <c r="DF7" i="108" s="1"/>
  <c r="DG7" i="108" s="1"/>
  <c r="DH7" i="108" s="1"/>
  <c r="DI7" i="108" s="1"/>
  <c r="DJ7" i="108" s="1"/>
  <c r="BY24" i="108"/>
  <c r="BY20" i="108"/>
  <c r="BY7" i="108"/>
  <c r="BY5" i="108"/>
  <c r="BY4" i="108"/>
  <c r="BZ24" i="108"/>
  <c r="BZ20" i="108"/>
  <c r="BZ7" i="108"/>
  <c r="BZ5" i="108"/>
  <c r="BZ4" i="108"/>
  <c r="CA24" i="108"/>
  <c r="CA20" i="108"/>
  <c r="CA7" i="108"/>
  <c r="CA5" i="108"/>
  <c r="CA4" i="108"/>
  <c r="CB24" i="108"/>
  <c r="CB20" i="108"/>
  <c r="CB7" i="108"/>
  <c r="CB5" i="108"/>
  <c r="CB4" i="108"/>
  <c r="CC24" i="108"/>
  <c r="CC20" i="108"/>
  <c r="CC7" i="108"/>
  <c r="CC5" i="108"/>
  <c r="CC4" i="108"/>
  <c r="CD24" i="108"/>
  <c r="CD20" i="108"/>
  <c r="CD7" i="108"/>
  <c r="CD5" i="108"/>
  <c r="CD4" i="108"/>
  <c r="CE24" i="108"/>
  <c r="CE20" i="108"/>
  <c r="CE7" i="108"/>
  <c r="CE5" i="108"/>
  <c r="CE4" i="108"/>
  <c r="AW7" i="108"/>
  <c r="AW6" i="108"/>
  <c r="AX7" i="108"/>
  <c r="AX6" i="108"/>
  <c r="AY7" i="108"/>
  <c r="AY6" i="108"/>
  <c r="AZ7" i="108"/>
  <c r="BN7" i="108" s="1"/>
  <c r="AZ6" i="108"/>
  <c r="BA7" i="108"/>
  <c r="BA6" i="108"/>
  <c r="BB7" i="108"/>
  <c r="BB6" i="108"/>
  <c r="BC7" i="108"/>
  <c r="BC5" i="108" s="1"/>
  <c r="BC6" i="108"/>
  <c r="AI7" i="108"/>
  <c r="AI6" i="108"/>
  <c r="AJ7" i="108"/>
  <c r="AJ6" i="108"/>
  <c r="AK7" i="108"/>
  <c r="AK6" i="108"/>
  <c r="AL7" i="108"/>
  <c r="AL6" i="108"/>
  <c r="AM7" i="108"/>
  <c r="AM6" i="108"/>
  <c r="AN7" i="108"/>
  <c r="AN6" i="108"/>
  <c r="AO7" i="108"/>
  <c r="AO6" i="108"/>
  <c r="E5" i="108"/>
  <c r="E4" i="108"/>
  <c r="F5" i="108"/>
  <c r="G5" i="108"/>
  <c r="G4" i="108"/>
  <c r="H5" i="108"/>
  <c r="H4" i="108"/>
  <c r="I5" i="108"/>
  <c r="J5" i="108"/>
  <c r="J4" i="108"/>
  <c r="K5" i="108"/>
  <c r="K4" i="108"/>
  <c r="E17" i="70"/>
  <c r="E12" i="70"/>
  <c r="H31" i="108"/>
  <c r="J33" i="108"/>
  <c r="Z44" i="90" l="1"/>
  <c r="F35" i="90"/>
  <c r="R41" i="91"/>
  <c r="Z44" i="91"/>
  <c r="F35" i="91"/>
  <c r="R41" i="92"/>
  <c r="Z44" i="92"/>
  <c r="BL7" i="108"/>
  <c r="BO7" i="108"/>
  <c r="BK7" i="108"/>
  <c r="AX5" i="108"/>
  <c r="AY5" i="108"/>
  <c r="BM7" i="108"/>
  <c r="BP7" i="108"/>
  <c r="BQ7" i="108"/>
  <c r="BQ5" i="108"/>
  <c r="AC4" i="168"/>
  <c r="AH39" i="165"/>
  <c r="AG2" i="165"/>
  <c r="AN28" i="165"/>
  <c r="D13" i="91"/>
  <c r="J38" i="108"/>
  <c r="I4" i="108"/>
  <c r="BB5" i="108"/>
  <c r="AO5" i="108"/>
  <c r="J32" i="108"/>
  <c r="J34" i="108"/>
  <c r="G16" i="91"/>
  <c r="G17" i="91"/>
  <c r="G18" i="91"/>
  <c r="CD6" i="108"/>
  <c r="AN5" i="108"/>
  <c r="AM5" i="108"/>
  <c r="BA5" i="108"/>
  <c r="CB6" i="108"/>
  <c r="H34" i="108"/>
  <c r="H38" i="108"/>
  <c r="H33" i="108"/>
  <c r="H29" i="108"/>
  <c r="H30" i="108"/>
  <c r="G29" i="108"/>
  <c r="AK5" i="108"/>
  <c r="AJ5" i="108"/>
  <c r="BY18" i="108"/>
  <c r="E31" i="108"/>
  <c r="E32" i="108"/>
  <c r="E29" i="108"/>
  <c r="E33" i="108"/>
  <c r="E38" i="108"/>
  <c r="D41" i="91"/>
  <c r="G37" i="91"/>
  <c r="Q38" i="91" s="1"/>
  <c r="C24" i="93"/>
  <c r="G24" i="93" s="1"/>
  <c r="G45" i="93"/>
  <c r="Q45" i="93" s="1"/>
  <c r="H22" i="92"/>
  <c r="J22" i="92" s="1"/>
  <c r="Q22" i="92" s="1"/>
  <c r="E27" i="91"/>
  <c r="G27" i="91" s="1"/>
  <c r="E26" i="91"/>
  <c r="G26" i="91" s="1"/>
  <c r="E33" i="91"/>
  <c r="G33" i="91" s="1"/>
  <c r="E29" i="91"/>
  <c r="G29" i="91" s="1"/>
  <c r="E32" i="91"/>
  <c r="G32" i="91" s="1"/>
  <c r="E31" i="91"/>
  <c r="G31" i="91" s="1"/>
  <c r="E28" i="91"/>
  <c r="G28" i="91" s="1"/>
  <c r="G47" i="91"/>
  <c r="Q47" i="91" s="1"/>
  <c r="S5" i="91"/>
  <c r="D41" i="92"/>
  <c r="C5" i="91"/>
  <c r="C49" i="91" s="1"/>
  <c r="E34" i="92"/>
  <c r="G34" i="92" s="1"/>
  <c r="E30" i="92"/>
  <c r="G30" i="92" s="1"/>
  <c r="E28" i="92"/>
  <c r="G28" i="92" s="1"/>
  <c r="E29" i="92"/>
  <c r="G29" i="92" s="1"/>
  <c r="E31" i="92"/>
  <c r="G31" i="92" s="1"/>
  <c r="E27" i="92"/>
  <c r="G27" i="92" s="1"/>
  <c r="Q38" i="92"/>
  <c r="Z40" i="88"/>
  <c r="Z41" i="89"/>
  <c r="W5" i="91"/>
  <c r="U5" i="93"/>
  <c r="Y37" i="93"/>
  <c r="Y40" i="93"/>
  <c r="S41" i="88"/>
  <c r="W5" i="86"/>
  <c r="E12" i="91"/>
  <c r="Z41" i="86"/>
  <c r="T5" i="92"/>
  <c r="D13" i="92"/>
  <c r="G19" i="92"/>
  <c r="E26" i="92"/>
  <c r="G26" i="92" s="1"/>
  <c r="C39" i="92"/>
  <c r="G39" i="92" s="1"/>
  <c r="Z39" i="92" s="1"/>
  <c r="Z38" i="93"/>
  <c r="Y43" i="93"/>
  <c r="C43" i="91"/>
  <c r="G43" i="91" s="1"/>
  <c r="Q43" i="91" s="1"/>
  <c r="Y43" i="88"/>
  <c r="D30" i="87"/>
  <c r="F35" i="87" s="1"/>
  <c r="E31" i="87" s="1"/>
  <c r="G31" i="87" s="1"/>
  <c r="G11" i="86"/>
  <c r="X5" i="86"/>
  <c r="S30" i="86"/>
  <c r="Y46" i="85"/>
  <c r="Z46" i="85" s="1"/>
  <c r="E13" i="91"/>
  <c r="G13" i="91" s="1"/>
  <c r="D13" i="89"/>
  <c r="G45" i="92"/>
  <c r="Q45" i="92" s="1"/>
  <c r="S41" i="85"/>
  <c r="Y37" i="85"/>
  <c r="G37" i="92"/>
  <c r="F22" i="90"/>
  <c r="X5" i="90"/>
  <c r="T5" i="88"/>
  <c r="V5" i="85"/>
  <c r="S22" i="86"/>
  <c r="S22" i="91"/>
  <c r="E30" i="91"/>
  <c r="G30" i="91" s="1"/>
  <c r="Y41" i="93"/>
  <c r="S22" i="90"/>
  <c r="C39" i="90"/>
  <c r="G39" i="90" s="1"/>
  <c r="Z39" i="90" s="1"/>
  <c r="T5" i="89"/>
  <c r="Y37" i="89"/>
  <c r="Y40" i="89"/>
  <c r="Z40" i="89" s="1"/>
  <c r="U5" i="88"/>
  <c r="Y41" i="88"/>
  <c r="Z41" i="88" s="1"/>
  <c r="C46" i="86"/>
  <c r="G46" i="86" s="1"/>
  <c r="Q46" i="86" s="1"/>
  <c r="Z46" i="86" s="1"/>
  <c r="S13" i="85"/>
  <c r="E18" i="92"/>
  <c r="G18" i="92" s="1"/>
  <c r="D13" i="88"/>
  <c r="C46" i="89"/>
  <c r="G46" i="89" s="1"/>
  <c r="Q46" i="89" s="1"/>
  <c r="G13" i="86"/>
  <c r="C42" i="93"/>
  <c r="G42" i="93" s="1"/>
  <c r="Q42" i="93" s="1"/>
  <c r="C37" i="90"/>
  <c r="D41" i="90" s="1"/>
  <c r="T5" i="87"/>
  <c r="F35" i="85"/>
  <c r="E33" i="85" s="1"/>
  <c r="G33" i="85" s="1"/>
  <c r="E10" i="86"/>
  <c r="G10" i="86" s="1"/>
  <c r="F22" i="85"/>
  <c r="G21" i="89"/>
  <c r="U5" i="87"/>
  <c r="G11" i="91"/>
  <c r="E34" i="91"/>
  <c r="G34" i="91" s="1"/>
  <c r="E32" i="92"/>
  <c r="G32" i="92" s="1"/>
  <c r="Y44" i="93"/>
  <c r="Z44" i="93" s="1"/>
  <c r="U5" i="89"/>
  <c r="F35" i="89"/>
  <c r="E30" i="89" s="1"/>
  <c r="G30" i="89" s="1"/>
  <c r="V5" i="88"/>
  <c r="Y44" i="88"/>
  <c r="Z44" i="88" s="1"/>
  <c r="S30" i="92"/>
  <c r="Y40" i="85"/>
  <c r="C42" i="90"/>
  <c r="G42" i="90" s="1"/>
  <c r="Q42" i="90" s="1"/>
  <c r="G12" i="88"/>
  <c r="G42" i="87"/>
  <c r="Q42" i="87" s="1"/>
  <c r="Z42" i="87" s="1"/>
  <c r="Z38" i="86"/>
  <c r="G18" i="93"/>
  <c r="C46" i="93"/>
  <c r="G46" i="93" s="1"/>
  <c r="Q46" i="93" s="1"/>
  <c r="V5" i="89"/>
  <c r="C46" i="88"/>
  <c r="G46" i="88" s="1"/>
  <c r="Q46" i="88" s="1"/>
  <c r="Z46" i="88" s="1"/>
  <c r="W5" i="88"/>
  <c r="F22" i="87"/>
  <c r="S30" i="87"/>
  <c r="Y37" i="87"/>
  <c r="Z41" i="87"/>
  <c r="T5" i="85"/>
  <c r="C42" i="85"/>
  <c r="G42" i="85" s="1"/>
  <c r="Q42" i="85" s="1"/>
  <c r="Z42" i="85" s="1"/>
  <c r="V5" i="92"/>
  <c r="X5" i="93"/>
  <c r="C42" i="88"/>
  <c r="G42" i="88" s="1"/>
  <c r="Q42" i="88" s="1"/>
  <c r="Z42" i="88" s="1"/>
  <c r="U5" i="86"/>
  <c r="G45" i="87"/>
  <c r="Q45" i="87" s="1"/>
  <c r="Z45" i="87" s="1"/>
  <c r="Z39" i="93"/>
  <c r="G16" i="93"/>
  <c r="Z41" i="90"/>
  <c r="E17" i="92"/>
  <c r="G17" i="92" s="1"/>
  <c r="C39" i="91"/>
  <c r="G39" i="91" s="1"/>
  <c r="Z39" i="91" s="1"/>
  <c r="E33" i="92"/>
  <c r="G33" i="92" s="1"/>
  <c r="Y43" i="92"/>
  <c r="C46" i="90"/>
  <c r="G46" i="90" s="1"/>
  <c r="Q46" i="90" s="1"/>
  <c r="W5" i="89"/>
  <c r="C39" i="87"/>
  <c r="G39" i="87" s="1"/>
  <c r="Z39" i="87" s="1"/>
  <c r="C37" i="86"/>
  <c r="D41" i="86" s="1"/>
  <c r="Y40" i="86"/>
  <c r="Z40" i="86" s="1"/>
  <c r="U5" i="85"/>
  <c r="Q38" i="85"/>
  <c r="E11" i="90"/>
  <c r="G11" i="90" s="1"/>
  <c r="D13" i="85"/>
  <c r="G11" i="93"/>
  <c r="C37" i="85"/>
  <c r="G37" i="85" s="1"/>
  <c r="C39" i="86"/>
  <c r="G39" i="86" s="1"/>
  <c r="Z39" i="86" s="1"/>
  <c r="Y46" i="93"/>
  <c r="Y46" i="90"/>
  <c r="E10" i="89"/>
  <c r="G10" i="89" s="1"/>
  <c r="G20" i="89" s="1"/>
  <c r="X5" i="89"/>
  <c r="F22" i="89"/>
  <c r="S30" i="89"/>
  <c r="S22" i="87"/>
  <c r="Y41" i="87"/>
  <c r="Y44" i="87"/>
  <c r="Z44" i="87" s="1"/>
  <c r="C39" i="85"/>
  <c r="G39" i="85" s="1"/>
  <c r="Y41" i="85"/>
  <c r="Z41" i="85" s="1"/>
  <c r="G12" i="86"/>
  <c r="G12" i="93"/>
  <c r="S13" i="90"/>
  <c r="X5" i="88"/>
  <c r="Z38" i="89"/>
  <c r="S41" i="93"/>
  <c r="Y39" i="89"/>
  <c r="C42" i="89"/>
  <c r="G42" i="89" s="1"/>
  <c r="Q42" i="89" s="1"/>
  <c r="V5" i="86"/>
  <c r="G37" i="90"/>
  <c r="Q38" i="90" s="1"/>
  <c r="E34" i="90"/>
  <c r="G34" i="90" s="1"/>
  <c r="E30" i="90"/>
  <c r="G30" i="90" s="1"/>
  <c r="E28" i="90"/>
  <c r="G28" i="90" s="1"/>
  <c r="E33" i="90"/>
  <c r="G33" i="90" s="1"/>
  <c r="E27" i="90"/>
  <c r="G27" i="90" s="1"/>
  <c r="E32" i="90"/>
  <c r="G32" i="90" s="1"/>
  <c r="E29" i="90"/>
  <c r="G29" i="90" s="1"/>
  <c r="E31" i="90"/>
  <c r="G31" i="90" s="1"/>
  <c r="E26" i="90"/>
  <c r="G26" i="90" s="1"/>
  <c r="G47" i="90"/>
  <c r="Q47" i="90" s="1"/>
  <c r="Z40" i="90"/>
  <c r="G12" i="90"/>
  <c r="T5" i="90"/>
  <c r="D13" i="90"/>
  <c r="S41" i="90"/>
  <c r="C43" i="90"/>
  <c r="G43" i="90" s="1"/>
  <c r="Q43" i="90" s="1"/>
  <c r="C24" i="90"/>
  <c r="G24" i="90" s="1"/>
  <c r="W5" i="90"/>
  <c r="E16" i="90"/>
  <c r="G16" i="90" s="1"/>
  <c r="E17" i="90"/>
  <c r="G17" i="90" s="1"/>
  <c r="C24" i="89"/>
  <c r="G24" i="89" s="1"/>
  <c r="G45" i="89"/>
  <c r="Q45" i="89" s="1"/>
  <c r="S13" i="89"/>
  <c r="G12" i="89"/>
  <c r="C39" i="89"/>
  <c r="G39" i="89" s="1"/>
  <c r="S41" i="89"/>
  <c r="R41" i="89" s="1"/>
  <c r="Z44" i="89"/>
  <c r="G13" i="89"/>
  <c r="G11" i="89"/>
  <c r="C37" i="89"/>
  <c r="E27" i="88"/>
  <c r="G27" i="88" s="1"/>
  <c r="E26" i="88"/>
  <c r="G26" i="88" s="1"/>
  <c r="E32" i="88"/>
  <c r="G32" i="88" s="1"/>
  <c r="E30" i="88"/>
  <c r="E33" i="88"/>
  <c r="G33" i="88" s="1"/>
  <c r="E31" i="88"/>
  <c r="G31" i="88" s="1"/>
  <c r="E28" i="88"/>
  <c r="G28" i="88" s="1"/>
  <c r="E29" i="88"/>
  <c r="G29" i="88" s="1"/>
  <c r="Q38" i="88"/>
  <c r="R41" i="88" s="1"/>
  <c r="G30" i="88"/>
  <c r="G47" i="88"/>
  <c r="Q47" i="88" s="1"/>
  <c r="Z47" i="88" s="1"/>
  <c r="C23" i="88"/>
  <c r="G37" i="88"/>
  <c r="C43" i="88"/>
  <c r="G43" i="88" s="1"/>
  <c r="Q43" i="88" s="1"/>
  <c r="Z43" i="88" s="1"/>
  <c r="Y37" i="88"/>
  <c r="C24" i="88"/>
  <c r="G24" i="88" s="1"/>
  <c r="G13" i="88"/>
  <c r="S22" i="88"/>
  <c r="S5" i="88" s="1"/>
  <c r="G17" i="88"/>
  <c r="E34" i="88"/>
  <c r="G34" i="88" s="1"/>
  <c r="E18" i="88"/>
  <c r="G18" i="88" s="1"/>
  <c r="E19" i="88"/>
  <c r="G19" i="88" s="1"/>
  <c r="C39" i="88"/>
  <c r="G39" i="88" s="1"/>
  <c r="Z39" i="88" s="1"/>
  <c r="G16" i="88"/>
  <c r="E10" i="87"/>
  <c r="G10" i="87" s="1"/>
  <c r="G20" i="87" s="1"/>
  <c r="G47" i="87"/>
  <c r="Q47" i="87" s="1"/>
  <c r="Z47" i="87" s="1"/>
  <c r="C23" i="87"/>
  <c r="D13" i="87"/>
  <c r="G19" i="87"/>
  <c r="S41" i="87"/>
  <c r="C43" i="87"/>
  <c r="G43" i="87" s="1"/>
  <c r="Q43" i="87" s="1"/>
  <c r="Z43" i="87" s="1"/>
  <c r="G13" i="87"/>
  <c r="X5" i="87"/>
  <c r="Y43" i="87"/>
  <c r="C37" i="87"/>
  <c r="G16" i="87"/>
  <c r="G17" i="87"/>
  <c r="G18" i="87"/>
  <c r="C46" i="87"/>
  <c r="G46" i="87" s="1"/>
  <c r="Q46" i="87" s="1"/>
  <c r="Z46" i="87" s="1"/>
  <c r="G45" i="86"/>
  <c r="Q45" i="86" s="1"/>
  <c r="Z45" i="86" s="1"/>
  <c r="C24" i="86"/>
  <c r="G24" i="86" s="1"/>
  <c r="D22" i="86"/>
  <c r="G23" i="86"/>
  <c r="H22" i="86" s="1"/>
  <c r="J22" i="86" s="1"/>
  <c r="Q22" i="86" s="1"/>
  <c r="D30" i="86"/>
  <c r="F35" i="86" s="1"/>
  <c r="Y37" i="86"/>
  <c r="D13" i="86"/>
  <c r="S41" i="86"/>
  <c r="Z44" i="86"/>
  <c r="G47" i="86"/>
  <c r="Q47" i="86" s="1"/>
  <c r="Z47" i="86" s="1"/>
  <c r="H41" i="85"/>
  <c r="Z37" i="85"/>
  <c r="S5" i="85"/>
  <c r="C5" i="85"/>
  <c r="C49" i="85" s="1"/>
  <c r="C24" i="85"/>
  <c r="G24" i="85" s="1"/>
  <c r="G45" i="85"/>
  <c r="Q45" i="85" s="1"/>
  <c r="Z45" i="85" s="1"/>
  <c r="Z40" i="85"/>
  <c r="C23" i="85"/>
  <c r="G47" i="85"/>
  <c r="Q47" i="85" s="1"/>
  <c r="Z47" i="85" s="1"/>
  <c r="S22" i="85"/>
  <c r="G13" i="85"/>
  <c r="Y42" i="85"/>
  <c r="Y39" i="85"/>
  <c r="Z39" i="85" s="1"/>
  <c r="E11" i="85"/>
  <c r="D41" i="85"/>
  <c r="E12" i="85"/>
  <c r="G12" i="85" s="1"/>
  <c r="G7" i="85"/>
  <c r="Q44" i="85"/>
  <c r="G19" i="85"/>
  <c r="Z40" i="93"/>
  <c r="Z41" i="93"/>
  <c r="G47" i="93"/>
  <c r="Q47" i="93" s="1"/>
  <c r="W5" i="93"/>
  <c r="E10" i="93"/>
  <c r="D30" i="93"/>
  <c r="F35" i="93" s="1"/>
  <c r="E34" i="93" s="1"/>
  <c r="G34" i="93" s="1"/>
  <c r="V5" i="93"/>
  <c r="D13" i="93"/>
  <c r="G19" i="93"/>
  <c r="Q44" i="93"/>
  <c r="C37" i="93"/>
  <c r="C46" i="70"/>
  <c r="C42" i="70"/>
  <c r="H18" i="108"/>
  <c r="G3" i="108"/>
  <c r="E3" i="108"/>
  <c r="K3" i="108"/>
  <c r="F3" i="108"/>
  <c r="D3" i="108"/>
  <c r="H3" i="108"/>
  <c r="J3" i="108"/>
  <c r="I3" i="108"/>
  <c r="E18" i="70"/>
  <c r="E10" i="70" s="1"/>
  <c r="F14" i="108"/>
  <c r="E17" i="108"/>
  <c r="CB22" i="108"/>
  <c r="K17" i="108"/>
  <c r="E30" i="108"/>
  <c r="J18" i="108"/>
  <c r="R41" i="85" l="1"/>
  <c r="E26" i="85"/>
  <c r="G26" i="85" s="1"/>
  <c r="S5" i="86"/>
  <c r="E34" i="87"/>
  <c r="G34" i="87" s="1"/>
  <c r="E27" i="87"/>
  <c r="G27" i="87" s="1"/>
  <c r="E28" i="87"/>
  <c r="G28" i="87" s="1"/>
  <c r="E30" i="87"/>
  <c r="G30" i="87" s="1"/>
  <c r="E32" i="87"/>
  <c r="G32" i="87" s="1"/>
  <c r="E29" i="87"/>
  <c r="G29" i="87" s="1"/>
  <c r="E26" i="87"/>
  <c r="G26" i="87" s="1"/>
  <c r="E29" i="89"/>
  <c r="G29" i="89" s="1"/>
  <c r="S5" i="90"/>
  <c r="R41" i="90"/>
  <c r="S5" i="93"/>
  <c r="R41" i="93"/>
  <c r="BL5" i="108"/>
  <c r="Q4" i="168"/>
  <c r="BM5" i="108"/>
  <c r="S4" i="168"/>
  <c r="BN6" i="108"/>
  <c r="BO5" i="108"/>
  <c r="X4" i="168"/>
  <c r="BP5" i="108"/>
  <c r="AA4" i="168"/>
  <c r="AB4" i="168" s="1"/>
  <c r="BP6" i="108"/>
  <c r="AC60" i="168"/>
  <c r="AC41" i="168"/>
  <c r="AH4" i="168"/>
  <c r="AO28" i="165"/>
  <c r="AI39" i="165"/>
  <c r="AH2" i="165"/>
  <c r="R22" i="92"/>
  <c r="S5" i="92"/>
  <c r="H32" i="108"/>
  <c r="H28" i="108" s="1"/>
  <c r="E34" i="108"/>
  <c r="E28" i="108" s="1"/>
  <c r="F18" i="108"/>
  <c r="E10" i="91"/>
  <c r="G10" i="91" s="1"/>
  <c r="E10" i="92"/>
  <c r="G10" i="92" s="1"/>
  <c r="G20" i="92" s="1"/>
  <c r="H13" i="89"/>
  <c r="J13" i="89" s="1"/>
  <c r="Q13" i="89" s="1"/>
  <c r="R13" i="89" s="1"/>
  <c r="BC22" i="108"/>
  <c r="AO22" i="108"/>
  <c r="K31" i="108"/>
  <c r="K30" i="108"/>
  <c r="K32" i="108"/>
  <c r="K38" i="108"/>
  <c r="K34" i="108"/>
  <c r="K33" i="108"/>
  <c r="K29" i="108"/>
  <c r="J30" i="108"/>
  <c r="J29" i="108"/>
  <c r="CD22" i="108"/>
  <c r="CD21" i="108"/>
  <c r="CD23" i="108"/>
  <c r="CD25" i="108"/>
  <c r="CD19" i="108"/>
  <c r="CD18" i="108"/>
  <c r="CD17" i="108"/>
  <c r="AN22" i="108"/>
  <c r="BB22" i="108"/>
  <c r="I29" i="108"/>
  <c r="I30" i="108"/>
  <c r="I38" i="108"/>
  <c r="I34" i="108"/>
  <c r="I33" i="108"/>
  <c r="I32" i="108"/>
  <c r="I31" i="108"/>
  <c r="CB23" i="108"/>
  <c r="AZ5" i="108"/>
  <c r="CB17" i="108"/>
  <c r="CB21" i="108"/>
  <c r="CB19" i="108"/>
  <c r="H14" i="108"/>
  <c r="CB25" i="108"/>
  <c r="CB18" i="108"/>
  <c r="AL5" i="108"/>
  <c r="AY22" i="108"/>
  <c r="AK22" i="108"/>
  <c r="G31" i="108"/>
  <c r="G32" i="108"/>
  <c r="G30" i="108"/>
  <c r="G38" i="108"/>
  <c r="G34" i="108"/>
  <c r="G33" i="108"/>
  <c r="F29" i="108"/>
  <c r="F34" i="108"/>
  <c r="F33" i="108"/>
  <c r="F32" i="108"/>
  <c r="F30" i="108"/>
  <c r="F38" i="108"/>
  <c r="AW22" i="108"/>
  <c r="AI22" i="108"/>
  <c r="D28" i="108"/>
  <c r="BY6" i="108"/>
  <c r="BY22" i="108"/>
  <c r="BY17" i="108"/>
  <c r="AW5" i="108"/>
  <c r="AI5" i="108"/>
  <c r="BY19" i="108"/>
  <c r="BY21" i="108"/>
  <c r="BY23" i="108"/>
  <c r="BY25" i="108"/>
  <c r="G20" i="86"/>
  <c r="H13" i="86"/>
  <c r="J13" i="86" s="1"/>
  <c r="Q13" i="86" s="1"/>
  <c r="R13" i="86" s="1"/>
  <c r="E30" i="85"/>
  <c r="G30" i="85" s="1"/>
  <c r="C5" i="90"/>
  <c r="C49" i="90" s="1"/>
  <c r="E34" i="85"/>
  <c r="G34" i="85" s="1"/>
  <c r="E33" i="87"/>
  <c r="G33" i="87" s="1"/>
  <c r="H30" i="87" s="1"/>
  <c r="J30" i="87" s="1"/>
  <c r="Q30" i="87" s="1"/>
  <c r="R30" i="87" s="1"/>
  <c r="E27" i="89"/>
  <c r="G27" i="89" s="1"/>
  <c r="H30" i="92"/>
  <c r="J30" i="92" s="1"/>
  <c r="Q30" i="92" s="1"/>
  <c r="R30" i="92" s="1"/>
  <c r="C5" i="92"/>
  <c r="C49" i="92" s="1"/>
  <c r="E31" i="85"/>
  <c r="G31" i="85" s="1"/>
  <c r="E10" i="90"/>
  <c r="E49" i="90" s="1"/>
  <c r="E10" i="88"/>
  <c r="E49" i="88" s="1"/>
  <c r="E32" i="89"/>
  <c r="G32" i="89" s="1"/>
  <c r="G12" i="91"/>
  <c r="H30" i="91"/>
  <c r="J30" i="91" s="1"/>
  <c r="Q30" i="91" s="1"/>
  <c r="R30" i="91" s="1"/>
  <c r="E28" i="85"/>
  <c r="G28" i="85" s="1"/>
  <c r="E34" i="89"/>
  <c r="G34" i="89" s="1"/>
  <c r="Z37" i="91"/>
  <c r="H41" i="91"/>
  <c r="G37" i="86"/>
  <c r="Q38" i="86" s="1"/>
  <c r="R41" i="86" s="1"/>
  <c r="E27" i="85"/>
  <c r="G27" i="85" s="1"/>
  <c r="H41" i="92"/>
  <c r="Z37" i="92"/>
  <c r="E32" i="85"/>
  <c r="G32" i="85" s="1"/>
  <c r="Z39" i="89"/>
  <c r="E33" i="89"/>
  <c r="G33" i="89" s="1"/>
  <c r="E29" i="85"/>
  <c r="G29" i="85" s="1"/>
  <c r="E26" i="89"/>
  <c r="G26" i="89" s="1"/>
  <c r="E28" i="89"/>
  <c r="G28" i="89" s="1"/>
  <c r="G23" i="91"/>
  <c r="H22" i="91" s="1"/>
  <c r="J22" i="91" s="1"/>
  <c r="Q22" i="91" s="1"/>
  <c r="D22" i="91"/>
  <c r="C5" i="86"/>
  <c r="C49" i="86" s="1"/>
  <c r="E31" i="89"/>
  <c r="G31" i="89" s="1"/>
  <c r="H30" i="90"/>
  <c r="J30" i="90" s="1"/>
  <c r="Q30" i="90" s="1"/>
  <c r="R30" i="90" s="1"/>
  <c r="H41" i="90"/>
  <c r="Z37" i="90"/>
  <c r="G23" i="90"/>
  <c r="H22" i="90" s="1"/>
  <c r="J22" i="90" s="1"/>
  <c r="Q22" i="90" s="1"/>
  <c r="D22" i="90"/>
  <c r="G23" i="89"/>
  <c r="H22" i="89" s="1"/>
  <c r="J22" i="89" s="1"/>
  <c r="Q22" i="89" s="1"/>
  <c r="D22" i="89"/>
  <c r="C5" i="89"/>
  <c r="C49" i="89" s="1"/>
  <c r="G37" i="89"/>
  <c r="D41" i="89"/>
  <c r="S5" i="89"/>
  <c r="H30" i="88"/>
  <c r="J30" i="88" s="1"/>
  <c r="Q30" i="88" s="1"/>
  <c r="R30" i="88" s="1"/>
  <c r="C5" i="88"/>
  <c r="C49" i="88" s="1"/>
  <c r="G11" i="88"/>
  <c r="D41" i="88"/>
  <c r="Z37" i="88"/>
  <c r="H41" i="88"/>
  <c r="D22" i="88"/>
  <c r="G23" i="88"/>
  <c r="H22" i="88" s="1"/>
  <c r="J22" i="88" s="1"/>
  <c r="Q22" i="88" s="1"/>
  <c r="H13" i="87"/>
  <c r="J13" i="87" s="1"/>
  <c r="Q13" i="87" s="1"/>
  <c r="C5" i="87"/>
  <c r="C49" i="87" s="1"/>
  <c r="G37" i="87"/>
  <c r="D41" i="87"/>
  <c r="S5" i="87"/>
  <c r="G23" i="87"/>
  <c r="H22" i="87" s="1"/>
  <c r="J22" i="87" s="1"/>
  <c r="Q22" i="87" s="1"/>
  <c r="D22" i="87"/>
  <c r="E27" i="86"/>
  <c r="G27" i="86" s="1"/>
  <c r="E32" i="86"/>
  <c r="G32" i="86" s="1"/>
  <c r="E26" i="86"/>
  <c r="E33" i="86"/>
  <c r="G33" i="86" s="1"/>
  <c r="E34" i="86"/>
  <c r="G34" i="86" s="1"/>
  <c r="E29" i="86"/>
  <c r="G29" i="86" s="1"/>
  <c r="E31" i="86"/>
  <c r="G31" i="86" s="1"/>
  <c r="E28" i="86"/>
  <c r="G28" i="86" s="1"/>
  <c r="E30" i="86"/>
  <c r="G30" i="86" s="1"/>
  <c r="H41" i="86"/>
  <c r="Z37" i="86"/>
  <c r="R22" i="86"/>
  <c r="D22" i="85"/>
  <c r="G23" i="85"/>
  <c r="H22" i="85" s="1"/>
  <c r="J22" i="85" s="1"/>
  <c r="Q22" i="85" s="1"/>
  <c r="E10" i="85"/>
  <c r="G11" i="85"/>
  <c r="G10" i="93"/>
  <c r="G13" i="93"/>
  <c r="E32" i="93"/>
  <c r="G32" i="93" s="1"/>
  <c r="E27" i="93"/>
  <c r="G27" i="93" s="1"/>
  <c r="E26" i="93"/>
  <c r="G26" i="93" s="1"/>
  <c r="E28" i="93"/>
  <c r="G28" i="93" s="1"/>
  <c r="E31" i="93"/>
  <c r="G31" i="93" s="1"/>
  <c r="E33" i="93"/>
  <c r="G33" i="93" s="1"/>
  <c r="E30" i="93"/>
  <c r="G30" i="93" s="1"/>
  <c r="D22" i="93"/>
  <c r="G23" i="93"/>
  <c r="H22" i="93" s="1"/>
  <c r="J22" i="93" s="1"/>
  <c r="Q22" i="93" s="1"/>
  <c r="E29" i="93"/>
  <c r="G29" i="93" s="1"/>
  <c r="G37" i="93"/>
  <c r="D41" i="93"/>
  <c r="C5" i="93"/>
  <c r="C49" i="93" s="1"/>
  <c r="K18" i="108"/>
  <c r="J17" i="108"/>
  <c r="E14" i="108"/>
  <c r="D9" i="108"/>
  <c r="K11" i="108"/>
  <c r="K10" i="108"/>
  <c r="K19" i="108"/>
  <c r="K13" i="108"/>
  <c r="K12" i="108"/>
  <c r="J19" i="108"/>
  <c r="J13" i="108"/>
  <c r="J12" i="108"/>
  <c r="J11" i="108"/>
  <c r="J10" i="108"/>
  <c r="H17" i="108"/>
  <c r="J14" i="108"/>
  <c r="I13" i="108"/>
  <c r="I12" i="108"/>
  <c r="I11" i="108"/>
  <c r="I10" i="108"/>
  <c r="I17" i="108"/>
  <c r="I14" i="108"/>
  <c r="I19" i="108"/>
  <c r="I18" i="108"/>
  <c r="F17" i="108"/>
  <c r="E18" i="108"/>
  <c r="G17" i="108"/>
  <c r="G19" i="108"/>
  <c r="G13" i="108"/>
  <c r="G12" i="108"/>
  <c r="G11" i="108"/>
  <c r="G10" i="108"/>
  <c r="G18" i="108"/>
  <c r="H19" i="108"/>
  <c r="H10" i="108"/>
  <c r="H13" i="108"/>
  <c r="H12" i="108"/>
  <c r="H11" i="108"/>
  <c r="F10" i="108"/>
  <c r="F12" i="108"/>
  <c r="F11" i="108"/>
  <c r="F19" i="108"/>
  <c r="F13" i="108"/>
  <c r="G14" i="108"/>
  <c r="E19" i="108"/>
  <c r="E13" i="108"/>
  <c r="E12" i="108"/>
  <c r="E11" i="108"/>
  <c r="E10" i="108"/>
  <c r="K14" i="108"/>
  <c r="G10" i="70"/>
  <c r="H30" i="85" l="1"/>
  <c r="J30" i="85" s="1"/>
  <c r="Q30" i="85" s="1"/>
  <c r="R30" i="85" s="1"/>
  <c r="E49" i="91"/>
  <c r="G28" i="108"/>
  <c r="BK6" i="108"/>
  <c r="BK5" i="108"/>
  <c r="N4" i="168"/>
  <c r="Q60" i="168"/>
  <c r="O4" i="168"/>
  <c r="Q41" i="168"/>
  <c r="S60" i="168"/>
  <c r="R60" i="168" s="1"/>
  <c r="R4" i="168"/>
  <c r="S41" i="168"/>
  <c r="R41" i="168" s="1"/>
  <c r="BN5" i="108"/>
  <c r="V4" i="168"/>
  <c r="W4" i="168" s="1"/>
  <c r="X60" i="168"/>
  <c r="X41" i="168"/>
  <c r="Y4" i="168"/>
  <c r="AA60" i="168"/>
  <c r="AA41" i="168"/>
  <c r="Y41" i="168" s="1"/>
  <c r="Z41" i="168" s="1"/>
  <c r="AH60" i="168"/>
  <c r="AD60" i="168" s="1"/>
  <c r="AE60" i="168" s="1"/>
  <c r="AF60" i="168" s="1"/>
  <c r="AG60" i="168" s="1"/>
  <c r="AD4" i="168"/>
  <c r="AH41" i="168"/>
  <c r="AD41" i="168" s="1"/>
  <c r="AE41" i="168" s="1"/>
  <c r="AF41" i="168" s="1"/>
  <c r="AG41" i="168" s="1"/>
  <c r="AP28" i="165"/>
  <c r="AJ39" i="165"/>
  <c r="AI2" i="165"/>
  <c r="R22" i="91"/>
  <c r="Q51" i="91"/>
  <c r="R22" i="89"/>
  <c r="R22" i="90"/>
  <c r="Q51" i="90"/>
  <c r="R22" i="93"/>
  <c r="Q51" i="92"/>
  <c r="G10" i="88"/>
  <c r="G20" i="88" s="1"/>
  <c r="H30" i="89"/>
  <c r="J30" i="89" s="1"/>
  <c r="Q30" i="89" s="1"/>
  <c r="R30" i="89" s="1"/>
  <c r="H13" i="92"/>
  <c r="J13" i="92" s="1"/>
  <c r="Q13" i="92" s="1"/>
  <c r="R13" i="92" s="1"/>
  <c r="AW21" i="108"/>
  <c r="N15" i="168" s="1"/>
  <c r="I28" i="108"/>
  <c r="E49" i="92"/>
  <c r="CE6" i="108"/>
  <c r="CE22" i="108"/>
  <c r="CE23" i="108"/>
  <c r="CE18" i="108"/>
  <c r="CE21" i="108"/>
  <c r="CE19" i="108"/>
  <c r="CE17" i="108"/>
  <c r="CE25" i="108"/>
  <c r="K28" i="108"/>
  <c r="DI18" i="108"/>
  <c r="AN20" i="108"/>
  <c r="AN24" i="108"/>
  <c r="J31" i="108"/>
  <c r="J28" i="108" s="1"/>
  <c r="BB25" i="108"/>
  <c r="DI23" i="108"/>
  <c r="CC25" i="108"/>
  <c r="AM22" i="108"/>
  <c r="BA22" i="108"/>
  <c r="CC6" i="108"/>
  <c r="CC18" i="108"/>
  <c r="CC23" i="108"/>
  <c r="AZ12" i="108"/>
  <c r="V8" i="168" s="1"/>
  <c r="AZ10" i="108"/>
  <c r="DG10" i="108"/>
  <c r="AZ22" i="108"/>
  <c r="AL22" i="108"/>
  <c r="AZ17" i="108"/>
  <c r="V12" i="168" s="1"/>
  <c r="AZ20" i="108"/>
  <c r="V14" i="168" s="1"/>
  <c r="CA23" i="108"/>
  <c r="CA6" i="108"/>
  <c r="CA18" i="108"/>
  <c r="BZ21" i="108"/>
  <c r="AJ22" i="108"/>
  <c r="AX22" i="108"/>
  <c r="BZ6" i="108"/>
  <c r="AX16" i="108"/>
  <c r="Q11" i="168" s="1"/>
  <c r="F31" i="108"/>
  <c r="F28" i="108" s="1"/>
  <c r="BZ23" i="108"/>
  <c r="BZ19" i="108"/>
  <c r="BZ22" i="108"/>
  <c r="BZ18" i="108"/>
  <c r="AH3" i="108"/>
  <c r="AV3" i="108"/>
  <c r="AW26" i="108"/>
  <c r="AI21" i="108"/>
  <c r="DD24" i="108"/>
  <c r="AW19" i="108"/>
  <c r="N13" i="168" s="1"/>
  <c r="AI19" i="108"/>
  <c r="AW20" i="108"/>
  <c r="N14" i="168" s="1"/>
  <c r="DD18" i="108"/>
  <c r="AI27" i="108"/>
  <c r="AW27" i="108"/>
  <c r="BK25" i="108" s="1"/>
  <c r="N56" i="168" s="1"/>
  <c r="DD25" i="108"/>
  <c r="DD23" i="108"/>
  <c r="AW25" i="108"/>
  <c r="N18" i="168" s="1"/>
  <c r="AI25" i="108"/>
  <c r="AI24" i="108"/>
  <c r="AW24" i="108"/>
  <c r="N17" i="168" s="1"/>
  <c r="DD17" i="108"/>
  <c r="DD21" i="108"/>
  <c r="AW23" i="108"/>
  <c r="N16" i="168" s="1"/>
  <c r="AI23" i="108"/>
  <c r="AW4" i="108"/>
  <c r="DD22" i="108"/>
  <c r="DD6" i="108"/>
  <c r="AI4" i="108"/>
  <c r="AI3" i="108" s="1"/>
  <c r="AI26" i="108"/>
  <c r="DD19" i="108"/>
  <c r="AI20" i="108"/>
  <c r="E49" i="87"/>
  <c r="G10" i="90"/>
  <c r="H13" i="90" s="1"/>
  <c r="J13" i="90" s="1"/>
  <c r="Q13" i="90" s="1"/>
  <c r="R13" i="90" s="1"/>
  <c r="G20" i="91"/>
  <c r="H13" i="91"/>
  <c r="J13" i="91" s="1"/>
  <c r="Q13" i="91" s="1"/>
  <c r="R13" i="91" s="1"/>
  <c r="E49" i="89"/>
  <c r="H41" i="89"/>
  <c r="Z37" i="89"/>
  <c r="Q38" i="89"/>
  <c r="Q51" i="88"/>
  <c r="R22" i="88"/>
  <c r="R22" i="87"/>
  <c r="Q51" i="87"/>
  <c r="H41" i="87"/>
  <c r="Z37" i="87"/>
  <c r="Q38" i="87"/>
  <c r="R41" i="87" s="1"/>
  <c r="Q5" i="87"/>
  <c r="R13" i="87"/>
  <c r="G26" i="86"/>
  <c r="H30" i="86" s="1"/>
  <c r="J30" i="86" s="1"/>
  <c r="Q30" i="86" s="1"/>
  <c r="E49" i="86"/>
  <c r="G10" i="85"/>
  <c r="E49" i="85"/>
  <c r="Q51" i="85"/>
  <c r="R22" i="85"/>
  <c r="Z37" i="93"/>
  <c r="H41" i="93"/>
  <c r="Q38" i="93"/>
  <c r="E49" i="93"/>
  <c r="G20" i="93"/>
  <c r="H13" i="93"/>
  <c r="J13" i="93" s="1"/>
  <c r="Q13" i="93" s="1"/>
  <c r="R13" i="93" s="1"/>
  <c r="H30" i="93"/>
  <c r="J30" i="93" s="1"/>
  <c r="Q30" i="93" s="1"/>
  <c r="R30" i="93" s="1"/>
  <c r="AH8" i="168"/>
  <c r="BB10" i="108"/>
  <c r="DG15" i="108"/>
  <c r="DG14" i="108"/>
  <c r="DG8" i="108"/>
  <c r="DG9" i="108"/>
  <c r="DG16" i="108"/>
  <c r="DG11" i="108"/>
  <c r="DG13" i="108"/>
  <c r="DG12" i="108"/>
  <c r="AL17" i="108"/>
  <c r="K9" i="108"/>
  <c r="AH5" i="168"/>
  <c r="AH42" i="168" s="1"/>
  <c r="AH10" i="168"/>
  <c r="AH11" i="168"/>
  <c r="AH9" i="168"/>
  <c r="AH6" i="168"/>
  <c r="E9" i="108"/>
  <c r="BA13" i="108"/>
  <c r="AL9" i="108"/>
  <c r="AZ9" i="108"/>
  <c r="AL16" i="108"/>
  <c r="AL15" i="108"/>
  <c r="AZ15" i="108"/>
  <c r="V10" i="168" s="1"/>
  <c r="AL11" i="108"/>
  <c r="AZ16" i="108"/>
  <c r="V11" i="168" s="1"/>
  <c r="AL10" i="108"/>
  <c r="AZ11" i="108"/>
  <c r="AL12" i="108"/>
  <c r="AZ14" i="108"/>
  <c r="V9" i="168" s="1"/>
  <c r="AL14" i="108"/>
  <c r="H9" i="108"/>
  <c r="I9" i="108"/>
  <c r="J9" i="108"/>
  <c r="F9" i="108"/>
  <c r="AH12" i="168"/>
  <c r="AH68" i="168" s="1"/>
  <c r="G9" i="108"/>
  <c r="DJ11" i="108"/>
  <c r="AZ13" i="108"/>
  <c r="DF11" i="108"/>
  <c r="Q51" i="89" l="1"/>
  <c r="Q51" i="93"/>
  <c r="H13" i="88"/>
  <c r="J13" i="88" s="1"/>
  <c r="Q13" i="88" s="1"/>
  <c r="Q5" i="90"/>
  <c r="Q5" i="92"/>
  <c r="Q5" i="91"/>
  <c r="V68" i="168"/>
  <c r="V65" i="168"/>
  <c r="N32" i="168"/>
  <c r="M13" i="168"/>
  <c r="N41" i="168"/>
  <c r="M41" i="168" s="1"/>
  <c r="M4" i="168"/>
  <c r="N60" i="168"/>
  <c r="M60" i="168" s="1"/>
  <c r="N23" i="168"/>
  <c r="N59" i="168"/>
  <c r="M59" i="168" s="1"/>
  <c r="N73" i="168"/>
  <c r="N36" i="168"/>
  <c r="M17" i="168"/>
  <c r="N71" i="168"/>
  <c r="N34" i="168"/>
  <c r="M15" i="168"/>
  <c r="AW3" i="108"/>
  <c r="AW34" i="108" s="1"/>
  <c r="BK4" i="108"/>
  <c r="N3" i="168"/>
  <c r="O60" i="168"/>
  <c r="P60" i="168" s="1"/>
  <c r="N70" i="168"/>
  <c r="N54" i="168"/>
  <c r="N74" i="168"/>
  <c r="N55" i="168"/>
  <c r="N37" i="168"/>
  <c r="M18" i="168"/>
  <c r="N53" i="168"/>
  <c r="N35" i="168"/>
  <c r="M16" i="168"/>
  <c r="N50" i="168"/>
  <c r="N69" i="168"/>
  <c r="N33" i="168"/>
  <c r="M14" i="168"/>
  <c r="N51" i="168"/>
  <c r="N72" i="168"/>
  <c r="N52" i="168"/>
  <c r="P4" i="168"/>
  <c r="BL6" i="108"/>
  <c r="BM6" i="108"/>
  <c r="V66" i="168"/>
  <c r="V64" i="168"/>
  <c r="V60" i="168"/>
  <c r="T60" i="168" s="1"/>
  <c r="U60" i="168" s="1"/>
  <c r="T4" i="168"/>
  <c r="V41" i="168"/>
  <c r="T41" i="168" s="1"/>
  <c r="U41" i="168" s="1"/>
  <c r="V51" i="168"/>
  <c r="V67" i="168"/>
  <c r="V7" i="168"/>
  <c r="V63" i="168" s="1"/>
  <c r="V5" i="168"/>
  <c r="V6" i="168"/>
  <c r="Y60" i="168"/>
  <c r="Z60" i="168" s="1"/>
  <c r="BO6" i="108"/>
  <c r="Z4" i="168"/>
  <c r="AB60" i="168"/>
  <c r="AB41" i="168"/>
  <c r="AA6" i="168"/>
  <c r="BQ6" i="108"/>
  <c r="AH61" i="168"/>
  <c r="AH64" i="168"/>
  <c r="AH66" i="168"/>
  <c r="AH62" i="168"/>
  <c r="AH65" i="168"/>
  <c r="AE4" i="168"/>
  <c r="AH67" i="168"/>
  <c r="Q5" i="93"/>
  <c r="AK39" i="165"/>
  <c r="AJ2" i="165"/>
  <c r="AQ28" i="165"/>
  <c r="R13" i="88"/>
  <c r="Q5" i="88"/>
  <c r="Q5" i="89"/>
  <c r="BB9" i="108"/>
  <c r="DD11" i="108"/>
  <c r="AW10" i="108"/>
  <c r="AN10" i="108"/>
  <c r="AM11" i="108"/>
  <c r="AM16" i="108"/>
  <c r="AW12" i="108"/>
  <c r="AJ14" i="108"/>
  <c r="AX12" i="108"/>
  <c r="Q8" i="168" s="1"/>
  <c r="AJ15" i="108"/>
  <c r="AJ9" i="108"/>
  <c r="DF12" i="108"/>
  <c r="AL25" i="108"/>
  <c r="DF10" i="108"/>
  <c r="DE16" i="108"/>
  <c r="G20" i="90"/>
  <c r="AJ10" i="108"/>
  <c r="DE11" i="108"/>
  <c r="DE12" i="108"/>
  <c r="BA9" i="108"/>
  <c r="AM9" i="108"/>
  <c r="AX11" i="108"/>
  <c r="DJ10" i="108"/>
  <c r="AO23" i="108"/>
  <c r="BB26" i="108"/>
  <c r="AA18" i="168" s="1"/>
  <c r="DI24" i="108"/>
  <c r="AN19" i="108"/>
  <c r="BB4" i="108"/>
  <c r="DI6" i="108"/>
  <c r="AN4" i="108"/>
  <c r="AN3" i="108" s="1"/>
  <c r="AN26" i="108"/>
  <c r="BB24" i="108"/>
  <c r="AA17" i="168" s="1"/>
  <c r="BB19" i="108"/>
  <c r="DI22" i="108"/>
  <c r="AN25" i="108"/>
  <c r="BB20" i="108"/>
  <c r="AA14" i="168" s="1"/>
  <c r="AA70" i="168" s="1"/>
  <c r="AN23" i="108"/>
  <c r="AN27" i="108"/>
  <c r="DI21" i="108"/>
  <c r="DI25" i="108"/>
  <c r="BB23" i="108"/>
  <c r="AA16" i="168" s="1"/>
  <c r="BB27" i="108"/>
  <c r="BP25" i="108" s="1"/>
  <c r="AA56" i="168" s="1"/>
  <c r="AN21" i="108"/>
  <c r="BB21" i="108"/>
  <c r="AA15" i="168" s="1"/>
  <c r="DI17" i="108"/>
  <c r="DI19" i="108"/>
  <c r="CC21" i="108"/>
  <c r="CC8" i="108"/>
  <c r="BA12" i="108"/>
  <c r="X8" i="168" s="1"/>
  <c r="BA10" i="108"/>
  <c r="CC22" i="108"/>
  <c r="CC19" i="108"/>
  <c r="CC17" i="108"/>
  <c r="AZ26" i="108"/>
  <c r="AL26" i="108"/>
  <c r="AL4" i="108"/>
  <c r="AL3" i="108" s="1"/>
  <c r="DG6" i="108"/>
  <c r="DG24" i="108"/>
  <c r="AZ4" i="108"/>
  <c r="DG25" i="108"/>
  <c r="AZ27" i="108"/>
  <c r="BN25" i="108" s="1"/>
  <c r="V56" i="168" s="1"/>
  <c r="AL27" i="108"/>
  <c r="DG17" i="108"/>
  <c r="AZ21" i="108"/>
  <c r="V15" i="168" s="1"/>
  <c r="AL21" i="108"/>
  <c r="DG19" i="108"/>
  <c r="AL19" i="108"/>
  <c r="AZ25" i="108"/>
  <c r="AZ19" i="108"/>
  <c r="V13" i="168" s="1"/>
  <c r="AZ24" i="108"/>
  <c r="V17" i="168" s="1"/>
  <c r="AL24" i="108"/>
  <c r="DG23" i="108"/>
  <c r="AL23" i="108"/>
  <c r="DG22" i="108"/>
  <c r="AL20" i="108"/>
  <c r="DG21" i="108"/>
  <c r="AZ23" i="108"/>
  <c r="V16" i="168" s="1"/>
  <c r="DG18" i="108"/>
  <c r="V70" i="168" s="1"/>
  <c r="CA17" i="108"/>
  <c r="AY12" i="108"/>
  <c r="S8" i="168" s="1"/>
  <c r="T8" i="168" s="1"/>
  <c r="AY10" i="108"/>
  <c r="CA22" i="108"/>
  <c r="CA21" i="108"/>
  <c r="CA25" i="108"/>
  <c r="CA19" i="108"/>
  <c r="BZ17" i="108"/>
  <c r="AX10" i="108"/>
  <c r="AX17" i="108"/>
  <c r="Q12" i="168" s="1"/>
  <c r="AX15" i="108"/>
  <c r="Q10" i="168" s="1"/>
  <c r="BZ25" i="108"/>
  <c r="AJ17" i="108"/>
  <c r="AJ12" i="108"/>
  <c r="DE9" i="108"/>
  <c r="AX9" i="108"/>
  <c r="AJ11" i="108"/>
  <c r="BZ11" i="108"/>
  <c r="AJ16" i="108"/>
  <c r="DE13" i="108"/>
  <c r="DE14" i="108"/>
  <c r="DE15" i="108"/>
  <c r="DE10" i="108"/>
  <c r="AX14" i="108"/>
  <c r="Q9" i="168" s="1"/>
  <c r="DE8" i="108"/>
  <c r="AV18" i="108"/>
  <c r="AH18" i="108"/>
  <c r="AI18" i="108"/>
  <c r="AW18" i="108"/>
  <c r="AV33" i="108"/>
  <c r="AV34" i="108"/>
  <c r="DD10" i="108"/>
  <c r="AW33" i="108"/>
  <c r="R30" i="86"/>
  <c r="Q5" i="86"/>
  <c r="Q51" i="86"/>
  <c r="G20" i="85"/>
  <c r="H13" i="85"/>
  <c r="J13" i="85" s="1"/>
  <c r="Q13" i="85" s="1"/>
  <c r="DI8" i="108"/>
  <c r="DI16" i="108"/>
  <c r="DI14" i="108"/>
  <c r="DI12" i="108"/>
  <c r="DI9" i="108"/>
  <c r="DI15" i="108"/>
  <c r="DI11" i="108"/>
  <c r="DI13" i="108"/>
  <c r="DI10" i="108"/>
  <c r="AN17" i="108"/>
  <c r="AN14" i="108"/>
  <c r="BB12" i="108"/>
  <c r="AA8" i="168" s="1"/>
  <c r="AN12" i="108"/>
  <c r="AH49" i="168"/>
  <c r="AH43" i="168"/>
  <c r="AH48" i="168"/>
  <c r="AH45" i="168"/>
  <c r="AH46" i="168"/>
  <c r="AH47" i="168"/>
  <c r="DF8" i="108"/>
  <c r="DF16" i="108"/>
  <c r="DF9" i="108"/>
  <c r="DF13" i="108"/>
  <c r="DF14" i="108"/>
  <c r="DF15" i="108"/>
  <c r="DJ8" i="108"/>
  <c r="DJ16" i="108"/>
  <c r="DJ15" i="108"/>
  <c r="DJ14" i="108"/>
  <c r="DJ9" i="108"/>
  <c r="DJ12" i="108"/>
  <c r="DJ13" i="108"/>
  <c r="BB14" i="108"/>
  <c r="AA9" i="168" s="1"/>
  <c r="AN11" i="108"/>
  <c r="BA14" i="108"/>
  <c r="X9" i="168" s="1"/>
  <c r="DH8" i="108"/>
  <c r="BA11" i="108"/>
  <c r="AM14" i="108"/>
  <c r="BA16" i="108"/>
  <c r="X11" i="168" s="1"/>
  <c r="AM10" i="108"/>
  <c r="DH14" i="108"/>
  <c r="DH12" i="108"/>
  <c r="AM12" i="108"/>
  <c r="AM17" i="108"/>
  <c r="AM15" i="108"/>
  <c r="DH11" i="108"/>
  <c r="BA17" i="108"/>
  <c r="X12" i="168" s="1"/>
  <c r="DH9" i="108"/>
  <c r="DH16" i="108"/>
  <c r="DH10" i="108"/>
  <c r="DH15" i="108"/>
  <c r="BA15" i="108"/>
  <c r="X10" i="168" s="1"/>
  <c r="DH13" i="108"/>
  <c r="CB15" i="108"/>
  <c r="V48" i="168" s="1"/>
  <c r="CB9" i="108"/>
  <c r="CB16" i="108"/>
  <c r="V49" i="168" s="1"/>
  <c r="CB14" i="108"/>
  <c r="V47" i="168" s="1"/>
  <c r="CB13" i="108"/>
  <c r="V46" i="168" s="1"/>
  <c r="CB12" i="108"/>
  <c r="CB10" i="108"/>
  <c r="CB11" i="108"/>
  <c r="V45" i="168" s="1"/>
  <c r="CB8" i="108"/>
  <c r="CC14" i="108"/>
  <c r="CC16" i="108"/>
  <c r="CC11" i="108"/>
  <c r="CC9" i="108"/>
  <c r="CC15" i="108"/>
  <c r="CC10" i="108"/>
  <c r="CC12" i="108"/>
  <c r="CC13" i="108"/>
  <c r="BB11" i="108"/>
  <c r="BB15" i="108"/>
  <c r="AA10" i="168" s="1"/>
  <c r="BB16" i="108"/>
  <c r="AA11" i="168" s="1"/>
  <c r="AN15" i="108"/>
  <c r="BB17" i="108"/>
  <c r="AA12" i="168" s="1"/>
  <c r="DD8" i="108"/>
  <c r="DD12" i="108"/>
  <c r="DD15" i="108"/>
  <c r="DD14" i="108"/>
  <c r="DD9" i="108"/>
  <c r="DD13" i="108"/>
  <c r="DD16" i="108"/>
  <c r="AN16" i="108"/>
  <c r="AN9" i="108"/>
  <c r="AW9" i="108"/>
  <c r="AI9" i="108"/>
  <c r="AI17" i="108"/>
  <c r="AI11" i="108"/>
  <c r="AI14" i="108"/>
  <c r="AW15" i="108"/>
  <c r="N10" i="168" s="1"/>
  <c r="AW11" i="108"/>
  <c r="AI10" i="108"/>
  <c r="AW17" i="108"/>
  <c r="N12" i="168" s="1"/>
  <c r="AW16" i="108"/>
  <c r="N11" i="168" s="1"/>
  <c r="O11" i="168" s="1"/>
  <c r="AI12" i="108"/>
  <c r="AI16" i="108"/>
  <c r="AW14" i="108"/>
  <c r="N9" i="168" s="1"/>
  <c r="AI15" i="108"/>
  <c r="AM13" i="108"/>
  <c r="AK9" i="108"/>
  <c r="AY9" i="108"/>
  <c r="AK17" i="108"/>
  <c r="AK15" i="108"/>
  <c r="AY14" i="108"/>
  <c r="S9" i="168" s="1"/>
  <c r="T9" i="168" s="1"/>
  <c r="AK12" i="108"/>
  <c r="AY11" i="108"/>
  <c r="AK11" i="108"/>
  <c r="AK16" i="108"/>
  <c r="AK10" i="108"/>
  <c r="AY16" i="108"/>
  <c r="S11" i="168" s="1"/>
  <c r="T11" i="168" s="1"/>
  <c r="AK14" i="108"/>
  <c r="AY17" i="108"/>
  <c r="S12" i="168" s="1"/>
  <c r="AY15" i="108"/>
  <c r="S10" i="168" s="1"/>
  <c r="BC9" i="108"/>
  <c r="AO9" i="108"/>
  <c r="BC15" i="108"/>
  <c r="AC10" i="168" s="1"/>
  <c r="BC17" i="108"/>
  <c r="AC12" i="168" s="1"/>
  <c r="AO12" i="108"/>
  <c r="BC16" i="108"/>
  <c r="AC11" i="168" s="1"/>
  <c r="AD11" i="168" s="1"/>
  <c r="BC12" i="108"/>
  <c r="AC8" i="168" s="1"/>
  <c r="AC64" i="168" s="1"/>
  <c r="AO16" i="108"/>
  <c r="AO14" i="108"/>
  <c r="BC14" i="108"/>
  <c r="AC9" i="168" s="1"/>
  <c r="AO11" i="108"/>
  <c r="AO10" i="108"/>
  <c r="AO17" i="108"/>
  <c r="AO15" i="108"/>
  <c r="AL13" i="108"/>
  <c r="AL8" i="108" s="1"/>
  <c r="AZ8" i="108"/>
  <c r="AZ39" i="108" s="1"/>
  <c r="AW13" i="108"/>
  <c r="AY13" i="108"/>
  <c r="M69" i="168" l="1"/>
  <c r="M50" i="168"/>
  <c r="M71" i="168"/>
  <c r="M52" i="168"/>
  <c r="M55" i="168"/>
  <c r="M72" i="168"/>
  <c r="M74" i="168"/>
  <c r="M73" i="168"/>
  <c r="M53" i="168"/>
  <c r="M51" i="168"/>
  <c r="M54" i="168"/>
  <c r="M70" i="168"/>
  <c r="AC67" i="168"/>
  <c r="AA62" i="168"/>
  <c r="N66" i="168"/>
  <c r="M66" i="168" s="1"/>
  <c r="M37" i="168"/>
  <c r="V30" i="168"/>
  <c r="V44" i="168"/>
  <c r="X67" i="168"/>
  <c r="W67" i="168" s="1"/>
  <c r="V42" i="168"/>
  <c r="N68" i="168"/>
  <c r="M68" i="168" s="1"/>
  <c r="X64" i="168"/>
  <c r="W64" i="168" s="1"/>
  <c r="AD8" i="168"/>
  <c r="AE8" i="168" s="1"/>
  <c r="X48" i="168"/>
  <c r="W48" i="168" s="1"/>
  <c r="V43" i="168"/>
  <c r="AC65" i="168"/>
  <c r="AD65" i="168" s="1"/>
  <c r="AE65" i="168" s="1"/>
  <c r="AF65" i="168" s="1"/>
  <c r="AG65" i="168" s="1"/>
  <c r="AA67" i="168"/>
  <c r="V69" i="168"/>
  <c r="AD67" i="168"/>
  <c r="AE67" i="168" s="1"/>
  <c r="AF67" i="168" s="1"/>
  <c r="AG67" i="168" s="1"/>
  <c r="X45" i="168"/>
  <c r="W45" i="168" s="1"/>
  <c r="V73" i="168"/>
  <c r="N65" i="168"/>
  <c r="M65" i="168" s="1"/>
  <c r="M36" i="168"/>
  <c r="M11" i="168"/>
  <c r="N8" i="113"/>
  <c r="N8" i="168"/>
  <c r="O8" i="168" s="1"/>
  <c r="M33" i="168"/>
  <c r="N7" i="168"/>
  <c r="M12" i="168"/>
  <c r="N22" i="168"/>
  <c r="M3" i="168"/>
  <c r="M22" i="168" s="1"/>
  <c r="N40" i="168"/>
  <c r="M40" i="168" s="1"/>
  <c r="N67" i="168"/>
  <c r="M67" i="168" s="1"/>
  <c r="N6" i="113"/>
  <c r="N6" i="168"/>
  <c r="M35" i="168"/>
  <c r="O41" i="168"/>
  <c r="P41" i="168" s="1"/>
  <c r="M10" i="168"/>
  <c r="M34" i="168"/>
  <c r="M32" i="168"/>
  <c r="M9" i="168"/>
  <c r="N5" i="168"/>
  <c r="O9" i="168"/>
  <c r="Q64" i="168"/>
  <c r="Q5" i="168"/>
  <c r="Q61" i="168" s="1"/>
  <c r="O10" i="168"/>
  <c r="P11" i="168"/>
  <c r="O12" i="168"/>
  <c r="Q66" i="168"/>
  <c r="O66" i="168" s="1"/>
  <c r="P66" i="168" s="1"/>
  <c r="Q6" i="168"/>
  <c r="Q68" i="168"/>
  <c r="Q67" i="168"/>
  <c r="Q65" i="168"/>
  <c r="Q45" i="168"/>
  <c r="S68" i="168"/>
  <c r="T68" i="168" s="1"/>
  <c r="U68" i="168" s="1"/>
  <c r="R10" i="168"/>
  <c r="S5" i="168"/>
  <c r="S6" i="168"/>
  <c r="T6" i="168" s="1"/>
  <c r="R12" i="168"/>
  <c r="R8" i="168"/>
  <c r="S67" i="168"/>
  <c r="R11" i="168"/>
  <c r="S64" i="168"/>
  <c r="S66" i="168"/>
  <c r="T12" i="168"/>
  <c r="U12" i="168" s="1"/>
  <c r="S65" i="168"/>
  <c r="R9" i="168"/>
  <c r="T10" i="168"/>
  <c r="U10" i="168" s="1"/>
  <c r="S7" i="168"/>
  <c r="T7" i="168" s="1"/>
  <c r="V72" i="168"/>
  <c r="V18" i="168"/>
  <c r="V35" i="168" s="1"/>
  <c r="U11" i="168"/>
  <c r="V25" i="168"/>
  <c r="U9" i="168"/>
  <c r="U8" i="168"/>
  <c r="V52" i="168"/>
  <c r="BN4" i="108"/>
  <c r="V3" i="168"/>
  <c r="AZ38" i="108"/>
  <c r="V28" i="168"/>
  <c r="V27" i="168"/>
  <c r="V54" i="168"/>
  <c r="V24" i="168"/>
  <c r="V32" i="168"/>
  <c r="V50" i="168"/>
  <c r="V59" i="168"/>
  <c r="AZ37" i="108"/>
  <c r="W60" i="168"/>
  <c r="V29" i="168"/>
  <c r="V61" i="168"/>
  <c r="V31" i="168"/>
  <c r="W41" i="168"/>
  <c r="V71" i="168"/>
  <c r="V26" i="168"/>
  <c r="V62" i="168"/>
  <c r="V53" i="168"/>
  <c r="U4" i="168"/>
  <c r="W9" i="168"/>
  <c r="X68" i="168"/>
  <c r="W68" i="168" s="1"/>
  <c r="W12" i="168"/>
  <c r="X46" i="168"/>
  <c r="W46" i="168" s="1"/>
  <c r="X5" i="168"/>
  <c r="X66" i="168"/>
  <c r="W66" i="168" s="1"/>
  <c r="X6" i="168"/>
  <c r="X62" i="168" s="1"/>
  <c r="X65" i="168"/>
  <c r="W65" i="168" s="1"/>
  <c r="W11" i="168"/>
  <c r="W8" i="168"/>
  <c r="X47" i="168"/>
  <c r="W47" i="168" s="1"/>
  <c r="W10" i="168"/>
  <c r="X7" i="168"/>
  <c r="X63" i="168" s="1"/>
  <c r="W63" i="168" s="1"/>
  <c r="X49" i="168"/>
  <c r="W49" i="168" s="1"/>
  <c r="AA64" i="168"/>
  <c r="AB64" i="168" s="1"/>
  <c r="AA65" i="168"/>
  <c r="AA55" i="168"/>
  <c r="AA74" i="168"/>
  <c r="AA71" i="168"/>
  <c r="AA73" i="168"/>
  <c r="BB18" i="108"/>
  <c r="AA13" i="168"/>
  <c r="AB67" i="168"/>
  <c r="AA53" i="168"/>
  <c r="Y12" i="168"/>
  <c r="Z12" i="168" s="1"/>
  <c r="BB3" i="108"/>
  <c r="BB33" i="108" s="1"/>
  <c r="BP4" i="108"/>
  <c r="AA3" i="168"/>
  <c r="AA54" i="168"/>
  <c r="Y11" i="168"/>
  <c r="AA66" i="168"/>
  <c r="AA72" i="168"/>
  <c r="Y8" i="168"/>
  <c r="AA68" i="168"/>
  <c r="AA52" i="168"/>
  <c r="Y10" i="168"/>
  <c r="AA51" i="168"/>
  <c r="AA5" i="168"/>
  <c r="Y9" i="168"/>
  <c r="AB12" i="168"/>
  <c r="AD64" i="168"/>
  <c r="AE64" i="168" s="1"/>
  <c r="AF64" i="168" s="1"/>
  <c r="AG64" i="168" s="1"/>
  <c r="AC66" i="168"/>
  <c r="AD12" i="168"/>
  <c r="AE12" i="168" s="1"/>
  <c r="AB10" i="168"/>
  <c r="AC5" i="168"/>
  <c r="AD10" i="168"/>
  <c r="AE10" i="168" s="1"/>
  <c r="AC68" i="168"/>
  <c r="AB9" i="168"/>
  <c r="AD9" i="168"/>
  <c r="AE9" i="168" s="1"/>
  <c r="AC7" i="168"/>
  <c r="AC6" i="168"/>
  <c r="AB8" i="168"/>
  <c r="AB11" i="168"/>
  <c r="AH7" i="168"/>
  <c r="AE11" i="168"/>
  <c r="AF4" i="168"/>
  <c r="AR28" i="165"/>
  <c r="AL39" i="165"/>
  <c r="AK2" i="165"/>
  <c r="AH15" i="168"/>
  <c r="AH16" i="168"/>
  <c r="AH17" i="168"/>
  <c r="AH73" i="168" s="1"/>
  <c r="AH18" i="168"/>
  <c r="AN18" i="108"/>
  <c r="AH56" i="168"/>
  <c r="AH13" i="168"/>
  <c r="BC27" i="108"/>
  <c r="BQ25" i="108" s="1"/>
  <c r="BC21" i="108"/>
  <c r="BC4" i="108"/>
  <c r="AO27" i="108"/>
  <c r="AO21" i="108"/>
  <c r="AO4" i="108"/>
  <c r="AO3" i="108" s="1"/>
  <c r="DJ23" i="108"/>
  <c r="DJ19" i="108"/>
  <c r="DJ6" i="108"/>
  <c r="AO25" i="108"/>
  <c r="AO19" i="108"/>
  <c r="BC25" i="108"/>
  <c r="BC19" i="108"/>
  <c r="AO20" i="108"/>
  <c r="DJ17" i="108"/>
  <c r="BC20" i="108"/>
  <c r="AC14" i="168" s="1"/>
  <c r="BC24" i="108"/>
  <c r="AC17" i="168" s="1"/>
  <c r="AO24" i="108"/>
  <c r="DJ21" i="108"/>
  <c r="DJ22" i="108"/>
  <c r="BC26" i="108"/>
  <c r="DJ24" i="108"/>
  <c r="AO26" i="108"/>
  <c r="BC23" i="108"/>
  <c r="AC16" i="168" s="1"/>
  <c r="DJ18" i="108"/>
  <c r="DJ25" i="108"/>
  <c r="AN13" i="108"/>
  <c r="AN8" i="108" s="1"/>
  <c r="BB13" i="108"/>
  <c r="BB8" i="108" s="1"/>
  <c r="BB38" i="108" s="1"/>
  <c r="DH17" i="108"/>
  <c r="AZ3" i="108"/>
  <c r="AZ34" i="108" s="1"/>
  <c r="AZ18" i="108"/>
  <c r="AL18" i="108"/>
  <c r="AK27" i="108"/>
  <c r="BZ8" i="108"/>
  <c r="AX13" i="108"/>
  <c r="AX8" i="108" s="1"/>
  <c r="AX37" i="108" s="1"/>
  <c r="BZ13" i="108"/>
  <c r="BZ9" i="108"/>
  <c r="BZ14" i="108"/>
  <c r="AJ13" i="108"/>
  <c r="AJ8" i="108" s="1"/>
  <c r="BZ10" i="108"/>
  <c r="BZ15" i="108"/>
  <c r="BZ16" i="108"/>
  <c r="BZ12" i="108"/>
  <c r="DE25" i="108"/>
  <c r="BY8" i="108"/>
  <c r="Q5" i="85"/>
  <c r="R13" i="85"/>
  <c r="AM8" i="108"/>
  <c r="BA8" i="108"/>
  <c r="BA38" i="108" s="1"/>
  <c r="CD8" i="108"/>
  <c r="BY16" i="108"/>
  <c r="N49" i="168" s="1"/>
  <c r="M49" i="168" s="1"/>
  <c r="BY9" i="108"/>
  <c r="BY14" i="108"/>
  <c r="N47" i="168" s="1"/>
  <c r="M47" i="168" s="1"/>
  <c r="BY15" i="108"/>
  <c r="N48" i="168" s="1"/>
  <c r="M48" i="168" s="1"/>
  <c r="BY12" i="108"/>
  <c r="BY11" i="108"/>
  <c r="BY13" i="108"/>
  <c r="N46" i="168" s="1"/>
  <c r="M46" i="168" s="1"/>
  <c r="BY10" i="108"/>
  <c r="CE16" i="108"/>
  <c r="AC49" i="168" s="1"/>
  <c r="CE9" i="108"/>
  <c r="CE15" i="108"/>
  <c r="AC48" i="168" s="1"/>
  <c r="CE14" i="108"/>
  <c r="AC47" i="168" s="1"/>
  <c r="CE12" i="108"/>
  <c r="CE11" i="108"/>
  <c r="AC45" i="168" s="1"/>
  <c r="CE10" i="108"/>
  <c r="CE13" i="108"/>
  <c r="AC46" i="168" s="1"/>
  <c r="CE8" i="108"/>
  <c r="CA16" i="108"/>
  <c r="S49" i="168" s="1"/>
  <c r="CA15" i="108"/>
  <c r="S48" i="168" s="1"/>
  <c r="CA13" i="108"/>
  <c r="S46" i="168" s="1"/>
  <c r="CA9" i="108"/>
  <c r="CA10" i="108"/>
  <c r="CA14" i="108"/>
  <c r="S47" i="168" s="1"/>
  <c r="CA12" i="108"/>
  <c r="CA11" i="108"/>
  <c r="S45" i="168" s="1"/>
  <c r="CA8" i="108"/>
  <c r="CD16" i="108"/>
  <c r="AA49" i="168" s="1"/>
  <c r="CD9" i="108"/>
  <c r="AA43" i="168" s="1"/>
  <c r="CD13" i="108"/>
  <c r="AA46" i="168" s="1"/>
  <c r="CD12" i="108"/>
  <c r="CD14" i="108"/>
  <c r="AA47" i="168" s="1"/>
  <c r="CD10" i="108"/>
  <c r="CD11" i="108"/>
  <c r="AA45" i="168" s="1"/>
  <c r="CD15" i="108"/>
  <c r="AA48" i="168" s="1"/>
  <c r="AV8" i="108"/>
  <c r="AH8" i="108"/>
  <c r="AO13" i="108"/>
  <c r="AO8" i="108" s="1"/>
  <c r="AW8" i="108"/>
  <c r="AW37" i="108" s="1"/>
  <c r="AI13" i="108"/>
  <c r="AI8" i="108" s="1"/>
  <c r="AY8" i="108"/>
  <c r="AY39" i="108" s="1"/>
  <c r="AK13" i="108"/>
  <c r="AK8" i="108" s="1"/>
  <c r="BC8" i="108"/>
  <c r="BC37" i="108" s="1"/>
  <c r="AC43" i="168" l="1"/>
  <c r="AC30" i="168"/>
  <c r="Y67" i="168"/>
  <c r="Z67" i="168" s="1"/>
  <c r="V34" i="168"/>
  <c r="Y48" i="168"/>
  <c r="Z48" i="168" s="1"/>
  <c r="AB65" i="168"/>
  <c r="Y64" i="168"/>
  <c r="Z64" i="168" s="1"/>
  <c r="S44" i="168"/>
  <c r="T44" i="168" s="1"/>
  <c r="U44" i="168" s="1"/>
  <c r="O68" i="168"/>
  <c r="P68" i="168" s="1"/>
  <c r="N43" i="168"/>
  <c r="M43" i="168" s="1"/>
  <c r="O65" i="168"/>
  <c r="P65" i="168" s="1"/>
  <c r="N31" i="168"/>
  <c r="R67" i="168"/>
  <c r="T67" i="168"/>
  <c r="U67" i="168" s="1"/>
  <c r="V37" i="168"/>
  <c r="Y45" i="168"/>
  <c r="Z45" i="168" s="1"/>
  <c r="AC42" i="168"/>
  <c r="AD42" i="168" s="1"/>
  <c r="AE42" i="168" s="1"/>
  <c r="AF42" i="168" s="1"/>
  <c r="AG42" i="168" s="1"/>
  <c r="AB66" i="168"/>
  <c r="R64" i="168"/>
  <c r="O67" i="168"/>
  <c r="P67" i="168" s="1"/>
  <c r="V36" i="168"/>
  <c r="V55" i="168"/>
  <c r="AC31" i="168"/>
  <c r="V74" i="168"/>
  <c r="N61" i="168"/>
  <c r="M61" i="168" s="1"/>
  <c r="N29" i="168"/>
  <c r="N42" i="168"/>
  <c r="M42" i="168" s="1"/>
  <c r="M23" i="168"/>
  <c r="N45" i="113"/>
  <c r="N45" i="168"/>
  <c r="M45" i="168" s="1"/>
  <c r="N25" i="168"/>
  <c r="M6" i="168"/>
  <c r="N26" i="168"/>
  <c r="M7" i="168"/>
  <c r="N24" i="168"/>
  <c r="M5" i="168"/>
  <c r="AW38" i="108"/>
  <c r="AW39" i="108"/>
  <c r="N27" i="168"/>
  <c r="M8" i="168"/>
  <c r="N28" i="168"/>
  <c r="N63" i="168"/>
  <c r="M63" i="168" s="1"/>
  <c r="N62" i="168"/>
  <c r="M62" i="168" s="1"/>
  <c r="N64" i="168"/>
  <c r="M64" i="168" s="1"/>
  <c r="N30" i="168"/>
  <c r="N44" i="168"/>
  <c r="M44" i="168" s="1"/>
  <c r="R68" i="168"/>
  <c r="AX38" i="108"/>
  <c r="O6" i="168"/>
  <c r="Q46" i="168"/>
  <c r="O46" i="168" s="1"/>
  <c r="P46" i="168" s="1"/>
  <c r="Q7" i="168"/>
  <c r="Q27" i="168" s="1"/>
  <c r="O5" i="168"/>
  <c r="AX39" i="108"/>
  <c r="Q42" i="168"/>
  <c r="P12" i="168"/>
  <c r="R45" i="168"/>
  <c r="Q43" i="168"/>
  <c r="Q62" i="168"/>
  <c r="P9" i="168"/>
  <c r="Q47" i="168"/>
  <c r="O47" i="168" s="1"/>
  <c r="P47" i="168" s="1"/>
  <c r="Q49" i="168"/>
  <c r="O49" i="168" s="1"/>
  <c r="P49" i="168" s="1"/>
  <c r="R66" i="168"/>
  <c r="P8" i="168"/>
  <c r="P10" i="168"/>
  <c r="Q48" i="168"/>
  <c r="O48" i="168" s="1"/>
  <c r="P48" i="168" s="1"/>
  <c r="AY37" i="108"/>
  <c r="T47" i="168"/>
  <c r="U47" i="168" s="1"/>
  <c r="S43" i="168"/>
  <c r="S62" i="168"/>
  <c r="AY38" i="108"/>
  <c r="R5" i="168"/>
  <c r="S24" i="168"/>
  <c r="T5" i="168"/>
  <c r="T27" i="168" s="1"/>
  <c r="T48" i="168"/>
  <c r="U48" i="168" s="1"/>
  <c r="T49" i="168"/>
  <c r="U49" i="168" s="1"/>
  <c r="T45" i="168"/>
  <c r="U45" i="168" s="1"/>
  <c r="S29" i="168"/>
  <c r="S27" i="168"/>
  <c r="T46" i="168"/>
  <c r="U46" i="168" s="1"/>
  <c r="S31" i="168"/>
  <c r="T64" i="168"/>
  <c r="U64" i="168" s="1"/>
  <c r="R6" i="168"/>
  <c r="S25" i="168"/>
  <c r="S42" i="168"/>
  <c r="S28" i="168"/>
  <c r="S30" i="168"/>
  <c r="S63" i="168"/>
  <c r="S26" i="168"/>
  <c r="S61" i="168"/>
  <c r="R61" i="168" s="1"/>
  <c r="R65" i="168"/>
  <c r="T65" i="168"/>
  <c r="U65" i="168" s="1"/>
  <c r="T66" i="168"/>
  <c r="U66" i="168" s="1"/>
  <c r="V33" i="168"/>
  <c r="U6" i="168"/>
  <c r="V22" i="168"/>
  <c r="V40" i="168"/>
  <c r="V23" i="168"/>
  <c r="U7" i="168"/>
  <c r="Y68" i="168"/>
  <c r="Z68" i="168" s="1"/>
  <c r="W62" i="168"/>
  <c r="Y62" i="168"/>
  <c r="Z62" i="168" s="1"/>
  <c r="X43" i="168"/>
  <c r="W43" i="168" s="1"/>
  <c r="X31" i="168"/>
  <c r="Y6" i="168"/>
  <c r="Z6" i="168" s="1"/>
  <c r="Y65" i="168"/>
  <c r="Z65" i="168" s="1"/>
  <c r="Y49" i="168"/>
  <c r="Z49" i="168" s="1"/>
  <c r="X61" i="168"/>
  <c r="W61" i="168" s="1"/>
  <c r="Y66" i="168"/>
  <c r="Z66" i="168" s="1"/>
  <c r="X24" i="168"/>
  <c r="W5" i="168"/>
  <c r="BA39" i="108"/>
  <c r="X42" i="168"/>
  <c r="W42" i="168" s="1"/>
  <c r="BA37" i="108"/>
  <c r="X30" i="168"/>
  <c r="Y47" i="168"/>
  <c r="Z47" i="168" s="1"/>
  <c r="X25" i="168"/>
  <c r="W6" i="168"/>
  <c r="X28" i="168"/>
  <c r="X27" i="168"/>
  <c r="W7" i="168"/>
  <c r="X26" i="168"/>
  <c r="Y46" i="168"/>
  <c r="Z46" i="168" s="1"/>
  <c r="X29" i="168"/>
  <c r="X44" i="168"/>
  <c r="W44" i="168" s="1"/>
  <c r="Y5" i="168"/>
  <c r="AA32" i="168"/>
  <c r="AA50" i="168"/>
  <c r="Z8" i="168"/>
  <c r="AB46" i="168"/>
  <c r="AA22" i="168"/>
  <c r="AA40" i="168"/>
  <c r="AA23" i="168"/>
  <c r="AA33" i="168"/>
  <c r="AA69" i="168"/>
  <c r="AB45" i="168"/>
  <c r="Z10" i="168"/>
  <c r="Z11" i="168"/>
  <c r="AA59" i="168"/>
  <c r="BB37" i="108"/>
  <c r="AB47" i="168"/>
  <c r="BB34" i="108"/>
  <c r="AA61" i="168"/>
  <c r="AA42" i="168"/>
  <c r="AB42" i="168" s="1"/>
  <c r="AB48" i="168"/>
  <c r="AA7" i="168"/>
  <c r="AA28" i="168" s="1"/>
  <c r="AA35" i="168"/>
  <c r="AA37" i="168"/>
  <c r="BB39" i="108"/>
  <c r="AB43" i="168"/>
  <c r="AB49" i="168"/>
  <c r="Z9" i="168"/>
  <c r="AA36" i="168"/>
  <c r="AA34" i="168"/>
  <c r="AC27" i="168"/>
  <c r="AC29" i="168"/>
  <c r="AD45" i="168"/>
  <c r="AE45" i="168" s="1"/>
  <c r="AF45" i="168" s="1"/>
  <c r="AG45" i="168" s="1"/>
  <c r="AC61" i="168"/>
  <c r="AD61" i="168" s="1"/>
  <c r="AE61" i="168" s="1"/>
  <c r="AF61" i="168" s="1"/>
  <c r="AG61" i="168" s="1"/>
  <c r="AC18" i="168"/>
  <c r="AB18" i="168" s="1"/>
  <c r="AC28" i="168"/>
  <c r="AC44" i="168"/>
  <c r="AB14" i="168"/>
  <c r="AC51" i="168"/>
  <c r="AD49" i="168"/>
  <c r="AE49" i="168" s="1"/>
  <c r="AF49" i="168" s="1"/>
  <c r="AG49" i="168" s="1"/>
  <c r="AB17" i="168"/>
  <c r="AC54" i="168"/>
  <c r="AC56" i="168"/>
  <c r="AB56" i="168" s="1"/>
  <c r="AC56" i="113"/>
  <c r="AD43" i="168"/>
  <c r="AD46" i="168"/>
  <c r="AE46" i="168" s="1"/>
  <c r="AF46" i="168" s="1"/>
  <c r="AG46" i="168" s="1"/>
  <c r="AC70" i="168"/>
  <c r="AC62" i="168"/>
  <c r="AC25" i="168"/>
  <c r="AB6" i="168"/>
  <c r="AD6" i="168"/>
  <c r="AE6" i="168" s="1"/>
  <c r="AF6" i="168" s="1"/>
  <c r="AB68" i="168"/>
  <c r="AD68" i="168"/>
  <c r="AE68" i="168" s="1"/>
  <c r="AF68" i="168" s="1"/>
  <c r="AG68" i="168" s="1"/>
  <c r="BC38" i="108"/>
  <c r="AB16" i="168"/>
  <c r="AC53" i="168"/>
  <c r="AC73" i="168"/>
  <c r="AD47" i="168"/>
  <c r="AE47" i="168" s="1"/>
  <c r="AF47" i="168" s="1"/>
  <c r="AG47" i="168" s="1"/>
  <c r="AD48" i="168"/>
  <c r="AE48" i="168" s="1"/>
  <c r="AF48" i="168" s="1"/>
  <c r="AG48" i="168" s="1"/>
  <c r="BQ4" i="108"/>
  <c r="AC3" i="168"/>
  <c r="AC72" i="168"/>
  <c r="AC63" i="168"/>
  <c r="AC26" i="168"/>
  <c r="AC24" i="168"/>
  <c r="AB5" i="168"/>
  <c r="AD5" i="168"/>
  <c r="AE5" i="168" s="1"/>
  <c r="AF5" i="168" s="1"/>
  <c r="AD66" i="168"/>
  <c r="AE66" i="168" s="1"/>
  <c r="AF66" i="168" s="1"/>
  <c r="AG66" i="168" s="1"/>
  <c r="BC39" i="108"/>
  <c r="AH25" i="168"/>
  <c r="AH27" i="168"/>
  <c r="AH24" i="168"/>
  <c r="AH30" i="168"/>
  <c r="AH31" i="168"/>
  <c r="AH28" i="168"/>
  <c r="AH29" i="168"/>
  <c r="AH69" i="168"/>
  <c r="AD17" i="168"/>
  <c r="AE17" i="168" s="1"/>
  <c r="AF17" i="168" s="1"/>
  <c r="AG17" i="168" s="1"/>
  <c r="AH54" i="168"/>
  <c r="AF9" i="168"/>
  <c r="BD34" i="108"/>
  <c r="AH3" i="168"/>
  <c r="AH72" i="168"/>
  <c r="AF10" i="168"/>
  <c r="AH44" i="168"/>
  <c r="AD7" i="168"/>
  <c r="AH26" i="168"/>
  <c r="AH63" i="168"/>
  <c r="AH55" i="168"/>
  <c r="AH74" i="168"/>
  <c r="AF8" i="168"/>
  <c r="AH14" i="168"/>
  <c r="AH37" i="168" s="1"/>
  <c r="AH50" i="168"/>
  <c r="AH71" i="168"/>
  <c r="AF12" i="168"/>
  <c r="AH52" i="168"/>
  <c r="AD16" i="168"/>
  <c r="AE16" i="168" s="1"/>
  <c r="AF16" i="168" s="1"/>
  <c r="AG16" i="168" s="1"/>
  <c r="AH53" i="168"/>
  <c r="AG4" i="168"/>
  <c r="AF11" i="168"/>
  <c r="AM39" i="165"/>
  <c r="AC15" i="168"/>
  <c r="AL2" i="165"/>
  <c r="AC13" i="168" s="1"/>
  <c r="AS28" i="165"/>
  <c r="AZ33" i="108"/>
  <c r="AM19" i="108"/>
  <c r="DH19" i="108"/>
  <c r="BA19" i="108"/>
  <c r="X13" i="168" s="1"/>
  <c r="Y13" i="168" s="1"/>
  <c r="AO18" i="108"/>
  <c r="BC3" i="108"/>
  <c r="BC34" i="108" s="1"/>
  <c r="BC18" i="108"/>
  <c r="DH24" i="108"/>
  <c r="AM26" i="108"/>
  <c r="BA26" i="108"/>
  <c r="AM4" i="108"/>
  <c r="AM3" i="108" s="1"/>
  <c r="DH25" i="108"/>
  <c r="BA25" i="108"/>
  <c r="X18" i="168" s="1"/>
  <c r="AM25" i="108"/>
  <c r="AM27" i="108"/>
  <c r="DH23" i="108"/>
  <c r="DH6" i="108"/>
  <c r="BA27" i="108"/>
  <c r="BO25" i="108" s="1"/>
  <c r="X56" i="168" s="1"/>
  <c r="AM20" i="108"/>
  <c r="BA20" i="108"/>
  <c r="X14" i="168" s="1"/>
  <c r="BA4" i="108"/>
  <c r="DH18" i="108"/>
  <c r="BA24" i="108"/>
  <c r="X17" i="168" s="1"/>
  <c r="AM24" i="108"/>
  <c r="DH22" i="108"/>
  <c r="BA23" i="108"/>
  <c r="X16" i="168" s="1"/>
  <c r="AM23" i="108"/>
  <c r="DH21" i="108"/>
  <c r="BA21" i="108"/>
  <c r="X15" i="168" s="1"/>
  <c r="AM21" i="108"/>
  <c r="DF21" i="108"/>
  <c r="AY27" i="108"/>
  <c r="BM25" i="108" s="1"/>
  <c r="S56" i="168" s="1"/>
  <c r="AK21" i="108"/>
  <c r="AY21" i="108"/>
  <c r="S15" i="168" s="1"/>
  <c r="AK19" i="108"/>
  <c r="AY19" i="108"/>
  <c r="S13" i="168" s="1"/>
  <c r="AK23" i="108"/>
  <c r="AY23" i="108"/>
  <c r="S16" i="168" s="1"/>
  <c r="AY4" i="108"/>
  <c r="DF23" i="108"/>
  <c r="AK4" i="108"/>
  <c r="AK3" i="108" s="1"/>
  <c r="AK25" i="108"/>
  <c r="DF24" i="108"/>
  <c r="DF6" i="108"/>
  <c r="AY26" i="108"/>
  <c r="AY25" i="108"/>
  <c r="AK26" i="108"/>
  <c r="DF22" i="108"/>
  <c r="AY24" i="108"/>
  <c r="S17" i="168" s="1"/>
  <c r="AK24" i="108"/>
  <c r="AK20" i="108"/>
  <c r="DF18" i="108"/>
  <c r="AY20" i="108"/>
  <c r="S14" i="168" s="1"/>
  <c r="DF19" i="108"/>
  <c r="DF17" i="108"/>
  <c r="DF25" i="108"/>
  <c r="AX27" i="108"/>
  <c r="BL25" i="108" s="1"/>
  <c r="Q56" i="168" s="1"/>
  <c r="O56" i="168" s="1"/>
  <c r="P56" i="168" s="1"/>
  <c r="AJ27" i="108"/>
  <c r="DE24" i="108"/>
  <c r="AJ26" i="108"/>
  <c r="AX26" i="108"/>
  <c r="AX20" i="108"/>
  <c r="Q14" i="168" s="1"/>
  <c r="AJ20" i="108"/>
  <c r="DE18" i="108"/>
  <c r="AJ25" i="108"/>
  <c r="AJ23" i="108"/>
  <c r="DE6" i="108"/>
  <c r="DE23" i="108"/>
  <c r="DE21" i="108"/>
  <c r="AJ4" i="108"/>
  <c r="AJ3" i="108" s="1"/>
  <c r="AX25" i="108"/>
  <c r="AX23" i="108"/>
  <c r="Q16" i="168" s="1"/>
  <c r="AX4" i="108"/>
  <c r="AX24" i="108"/>
  <c r="Q17" i="168" s="1"/>
  <c r="DE22" i="108"/>
  <c r="DE19" i="108"/>
  <c r="AJ21" i="108"/>
  <c r="AJ24" i="108"/>
  <c r="AX21" i="108"/>
  <c r="Q15" i="168" s="1"/>
  <c r="AJ19" i="108"/>
  <c r="AX19" i="108"/>
  <c r="Q13" i="168" s="1"/>
  <c r="DE17" i="108"/>
  <c r="E58" i="65"/>
  <c r="E57" i="65"/>
  <c r="C47" i="65" s="1"/>
  <c r="G47" i="65" s="1"/>
  <c r="Q47" i="65" s="1"/>
  <c r="Z47" i="65" s="1"/>
  <c r="E56" i="65"/>
  <c r="E55" i="65"/>
  <c r="C36" i="65" s="1"/>
  <c r="E54" i="65"/>
  <c r="E53" i="65"/>
  <c r="C45" i="65" s="1"/>
  <c r="C24" i="65" s="1"/>
  <c r="E52" i="65"/>
  <c r="Y47" i="65"/>
  <c r="X46" i="65"/>
  <c r="W46" i="65"/>
  <c r="V46" i="65"/>
  <c r="U46" i="65"/>
  <c r="T46" i="65"/>
  <c r="Y46" i="65" s="1"/>
  <c r="Y45" i="65"/>
  <c r="X44" i="65"/>
  <c r="V44" i="65"/>
  <c r="T44" i="65"/>
  <c r="Y44" i="65" s="1"/>
  <c r="W43" i="65"/>
  <c r="V43" i="65"/>
  <c r="U43" i="65"/>
  <c r="T43" i="65"/>
  <c r="Y43" i="65" s="1"/>
  <c r="C43" i="65"/>
  <c r="G43" i="65" s="1"/>
  <c r="Q43" i="65" s="1"/>
  <c r="Z43" i="65" s="1"/>
  <c r="X42" i="65"/>
  <c r="Y42" i="65" s="1"/>
  <c r="E42" i="65"/>
  <c r="X41" i="65"/>
  <c r="W41" i="65"/>
  <c r="V41" i="65"/>
  <c r="U41" i="65"/>
  <c r="T41" i="65"/>
  <c r="Y41" i="65" s="1"/>
  <c r="L41" i="65"/>
  <c r="E41" i="65"/>
  <c r="F41" i="65" s="1"/>
  <c r="C41" i="65"/>
  <c r="G41" i="65" s="1"/>
  <c r="X40" i="65"/>
  <c r="W40" i="65"/>
  <c r="V40" i="65"/>
  <c r="U40" i="65"/>
  <c r="T40" i="65"/>
  <c r="C40" i="65"/>
  <c r="G40" i="65" s="1"/>
  <c r="X39" i="65"/>
  <c r="W39" i="65"/>
  <c r="V39" i="65"/>
  <c r="U39" i="65"/>
  <c r="T39" i="65"/>
  <c r="Y39" i="65" s="1"/>
  <c r="Y38" i="65"/>
  <c r="C38" i="65"/>
  <c r="G38" i="65" s="1"/>
  <c r="Z38" i="65" s="1"/>
  <c r="X37" i="65"/>
  <c r="W37" i="65"/>
  <c r="V37" i="65"/>
  <c r="U37" i="65"/>
  <c r="T37" i="65"/>
  <c r="S41" i="65" s="1"/>
  <c r="Y36" i="65"/>
  <c r="C34" i="65"/>
  <c r="C33" i="65"/>
  <c r="C32" i="65"/>
  <c r="X30" i="65"/>
  <c r="W30" i="65"/>
  <c r="V30" i="65"/>
  <c r="U30" i="65"/>
  <c r="T30" i="65"/>
  <c r="S30" i="65" s="1"/>
  <c r="M30" i="65"/>
  <c r="K30" i="65"/>
  <c r="F30" i="65"/>
  <c r="C30" i="65"/>
  <c r="C29" i="65"/>
  <c r="C27" i="65"/>
  <c r="C26" i="65"/>
  <c r="O24" i="65"/>
  <c r="N24" i="65"/>
  <c r="M24" i="65"/>
  <c r="K24" i="65"/>
  <c r="E24" i="65"/>
  <c r="P23" i="65"/>
  <c r="O23" i="65"/>
  <c r="N23" i="65"/>
  <c r="M23" i="65"/>
  <c r="L23" i="65"/>
  <c r="K23" i="65"/>
  <c r="E23" i="65"/>
  <c r="X22" i="65"/>
  <c r="W22" i="65"/>
  <c r="V22" i="65"/>
  <c r="U22" i="65"/>
  <c r="T22" i="65"/>
  <c r="S22" i="65" s="1"/>
  <c r="L22" i="65"/>
  <c r="K22" i="65"/>
  <c r="E22" i="65"/>
  <c r="C22" i="65"/>
  <c r="O21" i="65"/>
  <c r="N21" i="65"/>
  <c r="M21" i="65"/>
  <c r="L21" i="65"/>
  <c r="K21" i="65"/>
  <c r="E21" i="65"/>
  <c r="C21" i="65"/>
  <c r="C19" i="65"/>
  <c r="E19" i="65" s="1"/>
  <c r="C18" i="65"/>
  <c r="C17" i="65"/>
  <c r="E17" i="65" s="1"/>
  <c r="G17" i="65" s="1"/>
  <c r="C16" i="65"/>
  <c r="G15" i="65"/>
  <c r="C14" i="65"/>
  <c r="G14" i="65" s="1"/>
  <c r="X13" i="65"/>
  <c r="X5" i="65" s="1"/>
  <c r="W13" i="65"/>
  <c r="W5" i="65" s="1"/>
  <c r="V13" i="65"/>
  <c r="V5" i="65" s="1"/>
  <c r="U13" i="65"/>
  <c r="T13" i="65"/>
  <c r="T5" i="65" s="1"/>
  <c r="M13" i="65"/>
  <c r="L13" i="65"/>
  <c r="K13" i="65"/>
  <c r="I13" i="65"/>
  <c r="F13" i="65"/>
  <c r="C13" i="65"/>
  <c r="E13" i="65" s="1"/>
  <c r="G13" i="65" s="1"/>
  <c r="C12" i="65"/>
  <c r="E12" i="65" s="1"/>
  <c r="C11" i="65"/>
  <c r="C10" i="65"/>
  <c r="C9" i="65"/>
  <c r="G9" i="65" s="1"/>
  <c r="C8" i="65"/>
  <c r="G8" i="65" s="1"/>
  <c r="C7" i="65"/>
  <c r="D13" i="65" s="1"/>
  <c r="AE43" i="168" l="1"/>
  <c r="AB73" i="168"/>
  <c r="AB72" i="168"/>
  <c r="AB53" i="168"/>
  <c r="AB51" i="168"/>
  <c r="AB54" i="168"/>
  <c r="AB70" i="168"/>
  <c r="O43" i="168"/>
  <c r="P43" i="168" s="1"/>
  <c r="T30" i="168"/>
  <c r="T31" i="168"/>
  <c r="AB7" i="168"/>
  <c r="AB24" i="168" s="1"/>
  <c r="T24" i="168"/>
  <c r="O45" i="168"/>
  <c r="P45" i="168" s="1"/>
  <c r="R48" i="168"/>
  <c r="AD63" i="168"/>
  <c r="R62" i="168"/>
  <c r="X72" i="168"/>
  <c r="W72" i="168" s="1"/>
  <c r="Y42" i="168"/>
  <c r="Z42" i="168" s="1"/>
  <c r="R7" i="168"/>
  <c r="R31" i="168" s="1"/>
  <c r="AC55" i="168"/>
  <c r="O42" i="168"/>
  <c r="P42" i="168" s="1"/>
  <c r="AC74" i="168"/>
  <c r="T62" i="168"/>
  <c r="U62" i="168" s="1"/>
  <c r="R46" i="168"/>
  <c r="Q30" i="168"/>
  <c r="O61" i="168"/>
  <c r="P61" i="168" s="1"/>
  <c r="S18" i="168"/>
  <c r="S33" i="168" s="1"/>
  <c r="AD18" i="168"/>
  <c r="AE18" i="168" s="1"/>
  <c r="AF18" i="168" s="1"/>
  <c r="AG18" i="168" s="1"/>
  <c r="AD73" i="168"/>
  <c r="M24" i="168"/>
  <c r="N38" i="168"/>
  <c r="M30" i="168"/>
  <c r="M26" i="168"/>
  <c r="M25" i="168"/>
  <c r="O62" i="168"/>
  <c r="P62" i="168" s="1"/>
  <c r="M27" i="168"/>
  <c r="O64" i="168"/>
  <c r="P64" i="168" s="1"/>
  <c r="M31" i="168"/>
  <c r="M28" i="168"/>
  <c r="M29" i="168"/>
  <c r="Q24" i="168"/>
  <c r="R47" i="168"/>
  <c r="R49" i="168"/>
  <c r="Q31" i="168"/>
  <c r="Q29" i="168"/>
  <c r="Q18" i="168"/>
  <c r="Q74" i="168" s="1"/>
  <c r="Q71" i="168"/>
  <c r="BL4" i="108"/>
  <c r="Q3" i="168"/>
  <c r="Q59" i="168" s="1"/>
  <c r="O59" i="168" s="1"/>
  <c r="P59" i="168" s="1"/>
  <c r="P5" i="168"/>
  <c r="O16" i="168"/>
  <c r="Q53" i="168"/>
  <c r="Q26" i="168"/>
  <c r="O7" i="168"/>
  <c r="O30" i="168" s="1"/>
  <c r="Q63" i="168"/>
  <c r="O63" i="168" s="1"/>
  <c r="P63" i="168" s="1"/>
  <c r="Q73" i="168"/>
  <c r="Q69" i="168"/>
  <c r="O13" i="168"/>
  <c r="Q50" i="168"/>
  <c r="Q72" i="168"/>
  <c r="Q44" i="168"/>
  <c r="P6" i="168"/>
  <c r="Q70" i="168"/>
  <c r="O14" i="168"/>
  <c r="Q51" i="168"/>
  <c r="Q28" i="168"/>
  <c r="Q25" i="168"/>
  <c r="O17" i="168"/>
  <c r="Q54" i="168"/>
  <c r="O15" i="168"/>
  <c r="Q52" i="168"/>
  <c r="T61" i="168"/>
  <c r="U61" i="168" s="1"/>
  <c r="T25" i="168"/>
  <c r="U5" i="168"/>
  <c r="U24" i="168" s="1"/>
  <c r="R16" i="168"/>
  <c r="T16" i="168"/>
  <c r="S53" i="168"/>
  <c r="S70" i="168"/>
  <c r="R14" i="168"/>
  <c r="S51" i="168"/>
  <c r="T14" i="168"/>
  <c r="R17" i="168"/>
  <c r="S54" i="168"/>
  <c r="T17" i="168"/>
  <c r="R13" i="168"/>
  <c r="T13" i="168"/>
  <c r="S50" i="168"/>
  <c r="AY3" i="108"/>
  <c r="AY33" i="108" s="1"/>
  <c r="BM4" i="108"/>
  <c r="S3" i="168"/>
  <c r="S73" i="168"/>
  <c r="T26" i="168"/>
  <c r="T63" i="168"/>
  <c r="U63" i="168" s="1"/>
  <c r="R15" i="168"/>
  <c r="T15" i="168"/>
  <c r="S52" i="168"/>
  <c r="T29" i="168"/>
  <c r="T28" i="168"/>
  <c r="R42" i="168"/>
  <c r="T42" i="168"/>
  <c r="U42" i="168" s="1"/>
  <c r="R56" i="168"/>
  <c r="T56" i="168"/>
  <c r="U56" i="168" s="1"/>
  <c r="R43" i="168"/>
  <c r="T43" i="168"/>
  <c r="U43" i="168" s="1"/>
  <c r="S69" i="168"/>
  <c r="S72" i="168"/>
  <c r="S71" i="168"/>
  <c r="V38" i="168"/>
  <c r="W28" i="168"/>
  <c r="Y61" i="168"/>
  <c r="Z61" i="168" s="1"/>
  <c r="X69" i="168"/>
  <c r="W69" i="168" s="1"/>
  <c r="Y43" i="168"/>
  <c r="Z43" i="168" s="1"/>
  <c r="W56" i="168"/>
  <c r="Y56" i="168"/>
  <c r="Z56" i="168" s="1"/>
  <c r="BA3" i="108"/>
  <c r="BA34" i="108" s="1"/>
  <c r="BO4" i="108"/>
  <c r="X3" i="168"/>
  <c r="X59" i="168" s="1"/>
  <c r="W59" i="168" s="1"/>
  <c r="X33" i="168"/>
  <c r="W14" i="168"/>
  <c r="X51" i="168"/>
  <c r="Y14" i="168"/>
  <c r="W26" i="168"/>
  <c r="W27" i="168"/>
  <c r="W30" i="168"/>
  <c r="X34" i="168"/>
  <c r="X32" i="168"/>
  <c r="W13" i="168"/>
  <c r="X50" i="168"/>
  <c r="W50" i="168" s="1"/>
  <c r="W31" i="168"/>
  <c r="W24" i="168"/>
  <c r="X35" i="168"/>
  <c r="W16" i="168"/>
  <c r="Y16" i="168"/>
  <c r="X53" i="168"/>
  <c r="X74" i="168"/>
  <c r="X37" i="168"/>
  <c r="W18" i="168"/>
  <c r="X55" i="168"/>
  <c r="Y18" i="168"/>
  <c r="W29" i="168"/>
  <c r="X71" i="168"/>
  <c r="W15" i="168"/>
  <c r="Y15" i="168"/>
  <c r="X52" i="168"/>
  <c r="X73" i="168"/>
  <c r="X36" i="168"/>
  <c r="W17" i="168"/>
  <c r="Y17" i="168"/>
  <c r="X54" i="168"/>
  <c r="W25" i="168"/>
  <c r="X70" i="168"/>
  <c r="AB61" i="168"/>
  <c r="Z13" i="168"/>
  <c r="AA44" i="168"/>
  <c r="Y44" i="168" s="1"/>
  <c r="Z44" i="168" s="1"/>
  <c r="Y7" i="168"/>
  <c r="AA26" i="168"/>
  <c r="AA63" i="168"/>
  <c r="Y63" i="168" s="1"/>
  <c r="Z63" i="168" s="1"/>
  <c r="AA24" i="168"/>
  <c r="Z5" i="168"/>
  <c r="AA31" i="168"/>
  <c r="AA30" i="168"/>
  <c r="AA29" i="168"/>
  <c r="AA27" i="168"/>
  <c r="AA25" i="168"/>
  <c r="AD53" i="168"/>
  <c r="AD44" i="168"/>
  <c r="AD72" i="168"/>
  <c r="AD54" i="168"/>
  <c r="AC22" i="168"/>
  <c r="AB3" i="168"/>
  <c r="AC23" i="168"/>
  <c r="AC40" i="168"/>
  <c r="AB40" i="168" s="1"/>
  <c r="AB62" i="168"/>
  <c r="AD62" i="168"/>
  <c r="AC59" i="168"/>
  <c r="AB59" i="168" s="1"/>
  <c r="AD56" i="168"/>
  <c r="AE56" i="168" s="1"/>
  <c r="AF56" i="168" s="1"/>
  <c r="AG56" i="168" s="1"/>
  <c r="AD31" i="168"/>
  <c r="AD29" i="168"/>
  <c r="AD24" i="168"/>
  <c r="AD25" i="168"/>
  <c r="AD28" i="168"/>
  <c r="AD27" i="168"/>
  <c r="AD30" i="168"/>
  <c r="AH32" i="168"/>
  <c r="AH36" i="168"/>
  <c r="AH34" i="168"/>
  <c r="AH35" i="168"/>
  <c r="BD33" i="108"/>
  <c r="AG9" i="168"/>
  <c r="AH33" i="168"/>
  <c r="AD14" i="168"/>
  <c r="AE14" i="168" s="1"/>
  <c r="AF14" i="168" s="1"/>
  <c r="AG14" i="168" s="1"/>
  <c r="AH51" i="168"/>
  <c r="AD51" i="168" s="1"/>
  <c r="AE7" i="168"/>
  <c r="AD26" i="168"/>
  <c r="AD3" i="168"/>
  <c r="AH22" i="168"/>
  <c r="AH23" i="168"/>
  <c r="AH40" i="168"/>
  <c r="AG11" i="168"/>
  <c r="AG5" i="168"/>
  <c r="AH70" i="168"/>
  <c r="AD70" i="168" s="1"/>
  <c r="AG12" i="168"/>
  <c r="AG10" i="168"/>
  <c r="AG8" i="168"/>
  <c r="AH59" i="168"/>
  <c r="AG6" i="168"/>
  <c r="G24" i="65"/>
  <c r="F22" i="65"/>
  <c r="C39" i="65"/>
  <c r="G39" i="65" s="1"/>
  <c r="G21" i="65"/>
  <c r="C46" i="65"/>
  <c r="G46" i="65" s="1"/>
  <c r="Q46" i="65" s="1"/>
  <c r="C44" i="65"/>
  <c r="G44" i="65" s="1"/>
  <c r="Q44" i="65" s="1"/>
  <c r="Y40" i="65"/>
  <c r="Z40" i="65" s="1"/>
  <c r="C37" i="65"/>
  <c r="G37" i="65" s="1"/>
  <c r="G45" i="65"/>
  <c r="Q45" i="65" s="1"/>
  <c r="Z45" i="65" s="1"/>
  <c r="E18" i="65"/>
  <c r="G18" i="65" s="1"/>
  <c r="C42" i="65"/>
  <c r="G42" i="65" s="1"/>
  <c r="Q42" i="65" s="1"/>
  <c r="Z42" i="65" s="1"/>
  <c r="S13" i="65"/>
  <c r="S5" i="65" s="1"/>
  <c r="AT28" i="165"/>
  <c r="AD13" i="168"/>
  <c r="AB13" i="168"/>
  <c r="AC50" i="168"/>
  <c r="AC69" i="168"/>
  <c r="AC32" i="168"/>
  <c r="AC36" i="168"/>
  <c r="AC37" i="168"/>
  <c r="AC35" i="168"/>
  <c r="AC33" i="168"/>
  <c r="AD15" i="168"/>
  <c r="AC71" i="168"/>
  <c r="AB15" i="168"/>
  <c r="AC52" i="168"/>
  <c r="AC34" i="168"/>
  <c r="AN39" i="165"/>
  <c r="AM2" i="165"/>
  <c r="BA18" i="108"/>
  <c r="AY18" i="108"/>
  <c r="AM18" i="108"/>
  <c r="BC33" i="108"/>
  <c r="BA33" i="108"/>
  <c r="AK18" i="108"/>
  <c r="AX18" i="108"/>
  <c r="AJ18" i="108"/>
  <c r="AX3" i="108"/>
  <c r="AX34" i="108" s="1"/>
  <c r="G36" i="65"/>
  <c r="Q38" i="65" s="1"/>
  <c r="R41" i="65" s="1"/>
  <c r="P21" i="65"/>
  <c r="C5" i="65" s="1"/>
  <c r="C49" i="65" s="1"/>
  <c r="D41" i="65"/>
  <c r="Z39" i="65"/>
  <c r="D22" i="65"/>
  <c r="Z41" i="65"/>
  <c r="Z46" i="65"/>
  <c r="E11" i="65"/>
  <c r="G11" i="65" s="1"/>
  <c r="G19" i="65"/>
  <c r="G7" i="65"/>
  <c r="G12" i="65"/>
  <c r="E16" i="65"/>
  <c r="G16" i="65" s="1"/>
  <c r="G22" i="65"/>
  <c r="H22" i="65" s="1"/>
  <c r="J22" i="65" s="1"/>
  <c r="Q22" i="65" s="1"/>
  <c r="U5" i="65"/>
  <c r="C23" i="65"/>
  <c r="G23" i="65" s="1"/>
  <c r="Y37" i="65"/>
  <c r="D30" i="65"/>
  <c r="F35" i="65" s="1"/>
  <c r="E19" i="118"/>
  <c r="E18" i="118"/>
  <c r="E17" i="118"/>
  <c r="E16" i="118"/>
  <c r="E13" i="118"/>
  <c r="E12" i="118"/>
  <c r="E11" i="118"/>
  <c r="AB31" i="168" l="1"/>
  <c r="AB29" i="168"/>
  <c r="AB26" i="168"/>
  <c r="S32" i="168"/>
  <c r="AB30" i="168"/>
  <c r="AB27" i="168"/>
  <c r="AB28" i="168"/>
  <c r="AB25" i="168"/>
  <c r="AE63" i="168"/>
  <c r="AE44" i="168"/>
  <c r="AE62" i="168"/>
  <c r="AF43" i="168"/>
  <c r="AE73" i="168"/>
  <c r="AE70" i="168"/>
  <c r="AE54" i="168"/>
  <c r="O53" i="168"/>
  <c r="O72" i="168"/>
  <c r="O52" i="168"/>
  <c r="O50" i="168"/>
  <c r="O71" i="168"/>
  <c r="O51" i="168"/>
  <c r="AE72" i="168"/>
  <c r="S37" i="168"/>
  <c r="O74" i="168"/>
  <c r="AB74" i="168"/>
  <c r="O54" i="168"/>
  <c r="O69" i="168"/>
  <c r="O70" i="168"/>
  <c r="AE53" i="168"/>
  <c r="AE51" i="168"/>
  <c r="O73" i="168"/>
  <c r="AB55" i="168"/>
  <c r="S74" i="168"/>
  <c r="S35" i="168"/>
  <c r="Y72" i="168"/>
  <c r="Z72" i="168" s="1"/>
  <c r="S55" i="168"/>
  <c r="T18" i="168"/>
  <c r="T35" i="168" s="1"/>
  <c r="S36" i="168"/>
  <c r="S34" i="168"/>
  <c r="R18" i="168"/>
  <c r="R36" i="168" s="1"/>
  <c r="R28" i="168"/>
  <c r="R27" i="168"/>
  <c r="Q33" i="168"/>
  <c r="R24" i="168"/>
  <c r="R26" i="168"/>
  <c r="Q55" i="168"/>
  <c r="R30" i="168"/>
  <c r="O25" i="168"/>
  <c r="O29" i="168"/>
  <c r="O31" i="168"/>
  <c r="Q37" i="168"/>
  <c r="O18" i="168"/>
  <c r="O32" i="168" s="1"/>
  <c r="R25" i="168"/>
  <c r="R29" i="168"/>
  <c r="Q34" i="168"/>
  <c r="U25" i="168"/>
  <c r="U30" i="168"/>
  <c r="U29" i="168"/>
  <c r="U27" i="168"/>
  <c r="U28" i="168"/>
  <c r="U26" i="168"/>
  <c r="AD55" i="168"/>
  <c r="Y69" i="168"/>
  <c r="Z69" i="168" s="1"/>
  <c r="AD74" i="168"/>
  <c r="Q36" i="168"/>
  <c r="O24" i="168"/>
  <c r="AX33" i="108"/>
  <c r="AA38" i="168"/>
  <c r="M38" i="168"/>
  <c r="R63" i="168"/>
  <c r="O28" i="168"/>
  <c r="Q35" i="168"/>
  <c r="Q32" i="168"/>
  <c r="P13" i="168"/>
  <c r="P16" i="168"/>
  <c r="O35" i="168"/>
  <c r="P17" i="168"/>
  <c r="P14" i="168"/>
  <c r="O3" i="168"/>
  <c r="Q22" i="168"/>
  <c r="Q23" i="168"/>
  <c r="Q40" i="168"/>
  <c r="O40" i="168" s="1"/>
  <c r="P40" i="168" s="1"/>
  <c r="O44" i="168"/>
  <c r="P44" i="168" s="1"/>
  <c r="R44" i="168"/>
  <c r="P15" i="168"/>
  <c r="P7" i="168"/>
  <c r="P25" i="168" s="1"/>
  <c r="O26" i="168"/>
  <c r="O27" i="168"/>
  <c r="AY34" i="108"/>
  <c r="U31" i="168"/>
  <c r="R73" i="168"/>
  <c r="T73" i="168"/>
  <c r="U14" i="168"/>
  <c r="R51" i="168"/>
  <c r="T51" i="168"/>
  <c r="R72" i="168"/>
  <c r="T72" i="168"/>
  <c r="R50" i="168"/>
  <c r="T50" i="168"/>
  <c r="R70" i="168"/>
  <c r="T70" i="168"/>
  <c r="S59" i="168"/>
  <c r="R3" i="168"/>
  <c r="S22" i="168"/>
  <c r="S23" i="168"/>
  <c r="S40" i="168"/>
  <c r="T3" i="168"/>
  <c r="R69" i="168"/>
  <c r="T69" i="168"/>
  <c r="R52" i="168"/>
  <c r="T52" i="168"/>
  <c r="U13" i="168"/>
  <c r="U15" i="168"/>
  <c r="R53" i="168"/>
  <c r="T53" i="168"/>
  <c r="U16" i="168"/>
  <c r="R71" i="168"/>
  <c r="T71" i="168"/>
  <c r="U17" i="168"/>
  <c r="R54" i="168"/>
  <c r="T54" i="168"/>
  <c r="Y50" i="168"/>
  <c r="Z50" i="168" s="1"/>
  <c r="Y32" i="168"/>
  <c r="W34" i="168"/>
  <c r="W73" i="168"/>
  <c r="Y73" i="168"/>
  <c r="Z73" i="168" s="1"/>
  <c r="Z16" i="168"/>
  <c r="Y35" i="168"/>
  <c r="Y59" i="168"/>
  <c r="Z59" i="168" s="1"/>
  <c r="W52" i="168"/>
  <c r="Y52" i="168"/>
  <c r="Z52" i="168" s="1"/>
  <c r="W35" i="168"/>
  <c r="W70" i="168"/>
  <c r="Y70" i="168"/>
  <c r="Z70" i="168" s="1"/>
  <c r="Z18" i="168"/>
  <c r="Y37" i="168"/>
  <c r="Z15" i="168"/>
  <c r="Y34" i="168"/>
  <c r="W51" i="168"/>
  <c r="Y51" i="168"/>
  <c r="Z51" i="168" s="1"/>
  <c r="W55" i="168"/>
  <c r="Y55" i="168"/>
  <c r="Z55" i="168" s="1"/>
  <c r="W32" i="168"/>
  <c r="X22" i="168"/>
  <c r="W3" i="168"/>
  <c r="X23" i="168"/>
  <c r="X40" i="168"/>
  <c r="Y3" i="168"/>
  <c r="W33" i="168"/>
  <c r="W54" i="168"/>
  <c r="Y54" i="168"/>
  <c r="Z54" i="168" s="1"/>
  <c r="W37" i="168"/>
  <c r="Y33" i="168"/>
  <c r="Z14" i="168"/>
  <c r="W71" i="168"/>
  <c r="Y71" i="168"/>
  <c r="Z71" i="168" s="1"/>
  <c r="Z17" i="168"/>
  <c r="Y36" i="168"/>
  <c r="W36" i="168"/>
  <c r="W74" i="168"/>
  <c r="Y74" i="168"/>
  <c r="Z74" i="168" s="1"/>
  <c r="W53" i="168"/>
  <c r="Y53" i="168"/>
  <c r="Z53" i="168" s="1"/>
  <c r="Z7" i="168"/>
  <c r="Z26" i="168" s="1"/>
  <c r="Y26" i="168"/>
  <c r="Y29" i="168"/>
  <c r="Y28" i="168"/>
  <c r="Y30" i="168"/>
  <c r="Y27" i="168"/>
  <c r="Y31" i="168"/>
  <c r="AB44" i="168"/>
  <c r="Y24" i="168"/>
  <c r="Y25" i="168"/>
  <c r="AB63" i="168"/>
  <c r="AD59" i="168"/>
  <c r="AE59" i="168" s="1"/>
  <c r="AF59" i="168" s="1"/>
  <c r="AG59" i="168" s="1"/>
  <c r="AB22" i="168"/>
  <c r="AB23" i="168"/>
  <c r="AD40" i="168"/>
  <c r="AE40" i="168" s="1"/>
  <c r="AF40" i="168" s="1"/>
  <c r="AG40" i="168" s="1"/>
  <c r="AH38" i="168"/>
  <c r="AE31" i="168"/>
  <c r="AE25" i="168"/>
  <c r="AE28" i="168"/>
  <c r="AE24" i="168"/>
  <c r="AE29" i="168"/>
  <c r="AE27" i="168"/>
  <c r="AE30" i="168"/>
  <c r="AD22" i="168"/>
  <c r="AE3" i="168"/>
  <c r="AD23" i="168"/>
  <c r="AF7" i="168"/>
  <c r="AE26" i="168"/>
  <c r="Z37" i="65"/>
  <c r="Z44" i="65"/>
  <c r="AE15" i="168"/>
  <c r="AD34" i="168"/>
  <c r="AC38" i="168"/>
  <c r="AD50" i="168"/>
  <c r="AB50" i="168"/>
  <c r="AB32" i="168"/>
  <c r="AB36" i="168"/>
  <c r="AB35" i="168"/>
  <c r="AB37" i="168"/>
  <c r="AB33" i="168"/>
  <c r="AO39" i="165"/>
  <c r="AN2" i="165"/>
  <c r="AD52" i="168"/>
  <c r="AB52" i="168"/>
  <c r="AE13" i="168"/>
  <c r="AD32" i="168"/>
  <c r="AD35" i="168"/>
  <c r="AD37" i="168"/>
  <c r="AD36" i="168"/>
  <c r="AD33" i="168"/>
  <c r="AD69" i="168"/>
  <c r="AB69" i="168"/>
  <c r="AB34" i="168"/>
  <c r="AB71" i="168"/>
  <c r="AD71" i="168"/>
  <c r="AU28" i="165"/>
  <c r="E10" i="65"/>
  <c r="G10" i="65" s="1"/>
  <c r="G20" i="65" s="1"/>
  <c r="E34" i="65"/>
  <c r="G34" i="65" s="1"/>
  <c r="E33" i="65"/>
  <c r="G33" i="65" s="1"/>
  <c r="E28" i="65"/>
  <c r="G28" i="65" s="1"/>
  <c r="E31" i="65"/>
  <c r="G31" i="65" s="1"/>
  <c r="E29" i="65"/>
  <c r="G29" i="65" s="1"/>
  <c r="E30" i="65"/>
  <c r="G30" i="65" s="1"/>
  <c r="E32" i="65"/>
  <c r="G32" i="65" s="1"/>
  <c r="E26" i="65"/>
  <c r="G26" i="65" s="1"/>
  <c r="E27" i="65"/>
  <c r="G27" i="65" s="1"/>
  <c r="R22" i="65"/>
  <c r="H41" i="65"/>
  <c r="Z36" i="65"/>
  <c r="G7" i="118"/>
  <c r="CG7" i="108"/>
  <c r="CG5" i="108"/>
  <c r="M45" i="108"/>
  <c r="M44" i="108"/>
  <c r="M42" i="108"/>
  <c r="CG24" i="108"/>
  <c r="DL20" i="108"/>
  <c r="CG20" i="108"/>
  <c r="BE7" i="108"/>
  <c r="AQ7" i="108"/>
  <c r="BE6" i="108"/>
  <c r="AQ6" i="108"/>
  <c r="M5" i="108"/>
  <c r="CG4" i="108"/>
  <c r="M4" i="108"/>
  <c r="C36" i="118"/>
  <c r="P21" i="118" s="1"/>
  <c r="G16" i="118"/>
  <c r="G22" i="118"/>
  <c r="C47" i="118"/>
  <c r="C23" i="118" s="1"/>
  <c r="C45" i="118"/>
  <c r="C24" i="118" s="1"/>
  <c r="C44" i="118"/>
  <c r="G44" i="118" s="1"/>
  <c r="Q44" i="118" s="1"/>
  <c r="Y42" i="118"/>
  <c r="G40" i="118"/>
  <c r="C37" i="118"/>
  <c r="G46" i="118"/>
  <c r="Q46" i="118" s="1"/>
  <c r="S30" i="118"/>
  <c r="G21" i="118"/>
  <c r="G17" i="118"/>
  <c r="S13" i="118"/>
  <c r="G12" i="118"/>
  <c r="G9" i="118"/>
  <c r="G8" i="118"/>
  <c r="G19" i="118"/>
  <c r="G18" i="118"/>
  <c r="G13" i="118"/>
  <c r="Y47" i="118"/>
  <c r="Y45" i="118"/>
  <c r="Y38" i="118"/>
  <c r="C38" i="118"/>
  <c r="G38" i="118" s="1"/>
  <c r="Y36" i="118"/>
  <c r="G15" i="118"/>
  <c r="G14" i="118"/>
  <c r="U2" i="117"/>
  <c r="T2" i="117"/>
  <c r="S2" i="117"/>
  <c r="R2" i="117"/>
  <c r="Q2" i="117"/>
  <c r="P2" i="117"/>
  <c r="O2" i="117"/>
  <c r="N2" i="117"/>
  <c r="M2" i="117"/>
  <c r="L2" i="117"/>
  <c r="K2" i="117"/>
  <c r="J2" i="117"/>
  <c r="H2" i="117"/>
  <c r="F2" i="117"/>
  <c r="E2" i="117"/>
  <c r="D2" i="117"/>
  <c r="U1" i="117"/>
  <c r="W1" i="117" s="1"/>
  <c r="T1" i="117"/>
  <c r="S1" i="117"/>
  <c r="R1" i="117"/>
  <c r="Q1" i="117"/>
  <c r="P1" i="117"/>
  <c r="O1" i="117"/>
  <c r="N1" i="117"/>
  <c r="M1" i="117"/>
  <c r="L1" i="117"/>
  <c r="K1" i="117"/>
  <c r="J1" i="117"/>
  <c r="H1" i="117"/>
  <c r="F1" i="117"/>
  <c r="E1" i="117"/>
  <c r="D1" i="117"/>
  <c r="E488" i="116"/>
  <c r="B488" i="116"/>
  <c r="E487" i="116"/>
  <c r="E486" i="116"/>
  <c r="E485" i="116"/>
  <c r="E484" i="116"/>
  <c r="E483" i="116"/>
  <c r="E482" i="116"/>
  <c r="B482" i="116"/>
  <c r="B483" i="116" s="1"/>
  <c r="B484" i="116" s="1"/>
  <c r="B485" i="116" s="1"/>
  <c r="B486" i="116" s="1"/>
  <c r="B487" i="116" s="1"/>
  <c r="E481" i="116"/>
  <c r="E480" i="116"/>
  <c r="C480" i="116"/>
  <c r="C481" i="116" s="1"/>
  <c r="C482" i="116" s="1"/>
  <c r="C483" i="116" s="1"/>
  <c r="C484" i="116" s="1"/>
  <c r="C485" i="116" s="1"/>
  <c r="C486" i="116" s="1"/>
  <c r="C487" i="116" s="1"/>
  <c r="C488" i="116" s="1"/>
  <c r="E478" i="116"/>
  <c r="E477" i="116"/>
  <c r="E476" i="116"/>
  <c r="E475" i="116"/>
  <c r="E474" i="116"/>
  <c r="E473" i="116"/>
  <c r="E472" i="116"/>
  <c r="E471" i="116"/>
  <c r="E470" i="116"/>
  <c r="E469" i="116"/>
  <c r="E468" i="116"/>
  <c r="E467" i="116"/>
  <c r="E466" i="116"/>
  <c r="E464" i="116"/>
  <c r="E463" i="116"/>
  <c r="E462" i="116"/>
  <c r="E461" i="116"/>
  <c r="B461" i="116"/>
  <c r="B462" i="116" s="1"/>
  <c r="B463" i="116" s="1"/>
  <c r="B464" i="116" s="1"/>
  <c r="B466" i="116" s="1"/>
  <c r="B467" i="116" s="1"/>
  <c r="B468" i="116" s="1"/>
  <c r="B469" i="116" s="1"/>
  <c r="B470" i="116" s="1"/>
  <c r="B471" i="116" s="1"/>
  <c r="B472" i="116" s="1"/>
  <c r="B473" i="116" s="1"/>
  <c r="B474" i="116" s="1"/>
  <c r="B475" i="116" s="1"/>
  <c r="B476" i="116" s="1"/>
  <c r="B477" i="116" s="1"/>
  <c r="B478" i="116" s="1"/>
  <c r="B480" i="116" s="1"/>
  <c r="B481" i="116" s="1"/>
  <c r="E460" i="116"/>
  <c r="C460" i="116"/>
  <c r="C461" i="116" s="1"/>
  <c r="C462" i="116" s="1"/>
  <c r="C463" i="116" s="1"/>
  <c r="C464" i="116" s="1"/>
  <c r="C466" i="116" s="1"/>
  <c r="C467" i="116" s="1"/>
  <c r="C468" i="116" s="1"/>
  <c r="C469" i="116" s="1"/>
  <c r="C470" i="116" s="1"/>
  <c r="C471" i="116" s="1"/>
  <c r="C472" i="116" s="1"/>
  <c r="C473" i="116" s="1"/>
  <c r="C474" i="116" s="1"/>
  <c r="C475" i="116" s="1"/>
  <c r="C476" i="116" s="1"/>
  <c r="C477" i="116" s="1"/>
  <c r="C478" i="116" s="1"/>
  <c r="B460" i="116"/>
  <c r="E459" i="116"/>
  <c r="C459" i="116"/>
  <c r="B459" i="116"/>
  <c r="E458" i="116"/>
  <c r="E451" i="116"/>
  <c r="E450" i="116"/>
  <c r="E449" i="116"/>
  <c r="E448" i="116"/>
  <c r="E447" i="116"/>
  <c r="E446" i="116"/>
  <c r="E445" i="116"/>
  <c r="E444" i="116"/>
  <c r="C444" i="116"/>
  <c r="C445" i="116" s="1"/>
  <c r="C446" i="116" s="1"/>
  <c r="C447" i="116" s="1"/>
  <c r="C448" i="116" s="1"/>
  <c r="C449" i="116" s="1"/>
  <c r="C450" i="116" s="1"/>
  <c r="C451" i="116" s="1"/>
  <c r="B444" i="116"/>
  <c r="B445" i="116" s="1"/>
  <c r="B446" i="116" s="1"/>
  <c r="B447" i="116" s="1"/>
  <c r="B448" i="116" s="1"/>
  <c r="B449" i="116" s="1"/>
  <c r="B450" i="116" s="1"/>
  <c r="B451" i="116" s="1"/>
  <c r="E443" i="116"/>
  <c r="C443" i="116"/>
  <c r="E441" i="116"/>
  <c r="E440" i="116"/>
  <c r="E439" i="116"/>
  <c r="E438" i="116"/>
  <c r="E437" i="116"/>
  <c r="E436" i="116"/>
  <c r="B436" i="116"/>
  <c r="B437" i="116" s="1"/>
  <c r="B438" i="116" s="1"/>
  <c r="B439" i="116" s="1"/>
  <c r="B440" i="116" s="1"/>
  <c r="B441" i="116" s="1"/>
  <c r="B443" i="116" s="1"/>
  <c r="E435" i="116"/>
  <c r="E434" i="116"/>
  <c r="E433" i="116"/>
  <c r="E432" i="116"/>
  <c r="E431" i="116"/>
  <c r="E430" i="116"/>
  <c r="E429" i="116"/>
  <c r="B429" i="116"/>
  <c r="B430" i="116" s="1"/>
  <c r="B431" i="116" s="1"/>
  <c r="B432" i="116" s="1"/>
  <c r="B433" i="116" s="1"/>
  <c r="B434" i="116" s="1"/>
  <c r="B435" i="116" s="1"/>
  <c r="E427" i="116"/>
  <c r="E426" i="116"/>
  <c r="E425" i="116"/>
  <c r="E424" i="116"/>
  <c r="E423" i="116"/>
  <c r="E422" i="116"/>
  <c r="C422" i="116"/>
  <c r="C423" i="116" s="1"/>
  <c r="C424" i="116" s="1"/>
  <c r="C425" i="116" s="1"/>
  <c r="C426" i="116" s="1"/>
  <c r="C427" i="116" s="1"/>
  <c r="C429" i="116" s="1"/>
  <c r="C430" i="116" s="1"/>
  <c r="C431" i="116" s="1"/>
  <c r="C432" i="116" s="1"/>
  <c r="C433" i="116" s="1"/>
  <c r="C434" i="116" s="1"/>
  <c r="C435" i="116" s="1"/>
  <c r="C436" i="116" s="1"/>
  <c r="C437" i="116" s="1"/>
  <c r="C438" i="116" s="1"/>
  <c r="C439" i="116" s="1"/>
  <c r="C440" i="116" s="1"/>
  <c r="C441" i="116" s="1"/>
  <c r="B422" i="116"/>
  <c r="B423" i="116" s="1"/>
  <c r="B424" i="116" s="1"/>
  <c r="B425" i="116" s="1"/>
  <c r="B426" i="116" s="1"/>
  <c r="B427" i="116" s="1"/>
  <c r="E421" i="116"/>
  <c r="E414" i="116"/>
  <c r="E413" i="116"/>
  <c r="E412" i="116"/>
  <c r="E411" i="116"/>
  <c r="C411" i="116"/>
  <c r="C412" i="116" s="1"/>
  <c r="C413" i="116" s="1"/>
  <c r="C414" i="116" s="1"/>
  <c r="E410" i="116"/>
  <c r="E409" i="116"/>
  <c r="C409" i="116"/>
  <c r="C410" i="116" s="1"/>
  <c r="E408" i="116"/>
  <c r="E407" i="116"/>
  <c r="C407" i="116"/>
  <c r="C408" i="116" s="1"/>
  <c r="E406" i="116"/>
  <c r="C406" i="116"/>
  <c r="E404" i="116"/>
  <c r="E403" i="116"/>
  <c r="E402" i="116"/>
  <c r="E401" i="116"/>
  <c r="E400" i="116"/>
  <c r="E399" i="116"/>
  <c r="E398" i="116"/>
  <c r="E397" i="116"/>
  <c r="E396" i="116"/>
  <c r="E395" i="116"/>
  <c r="E394" i="116"/>
  <c r="E393" i="116"/>
  <c r="E392" i="116"/>
  <c r="E390" i="116"/>
  <c r="B390" i="116"/>
  <c r="B392" i="116" s="1"/>
  <c r="B393" i="116" s="1"/>
  <c r="B394" i="116" s="1"/>
  <c r="B395" i="116" s="1"/>
  <c r="B396" i="116" s="1"/>
  <c r="B397" i="116" s="1"/>
  <c r="B398" i="116" s="1"/>
  <c r="B399" i="116" s="1"/>
  <c r="B400" i="116" s="1"/>
  <c r="B401" i="116" s="1"/>
  <c r="B402" i="116" s="1"/>
  <c r="B403" i="116" s="1"/>
  <c r="B404" i="116" s="1"/>
  <c r="B406" i="116" s="1"/>
  <c r="B407" i="116" s="1"/>
  <c r="B408" i="116" s="1"/>
  <c r="B409" i="116" s="1"/>
  <c r="B410" i="116" s="1"/>
  <c r="B411" i="116" s="1"/>
  <c r="B412" i="116" s="1"/>
  <c r="B413" i="116" s="1"/>
  <c r="B414" i="116" s="1"/>
  <c r="E389" i="116"/>
  <c r="E388" i="116"/>
  <c r="E387" i="116"/>
  <c r="C387" i="116"/>
  <c r="C388" i="116" s="1"/>
  <c r="C389" i="116" s="1"/>
  <c r="C390" i="116" s="1"/>
  <c r="C392" i="116" s="1"/>
  <c r="C393" i="116" s="1"/>
  <c r="C394" i="116" s="1"/>
  <c r="C395" i="116" s="1"/>
  <c r="C396" i="116" s="1"/>
  <c r="C397" i="116" s="1"/>
  <c r="C398" i="116" s="1"/>
  <c r="C399" i="116" s="1"/>
  <c r="C400" i="116" s="1"/>
  <c r="C401" i="116" s="1"/>
  <c r="C402" i="116" s="1"/>
  <c r="C403" i="116" s="1"/>
  <c r="C404" i="116" s="1"/>
  <c r="E386" i="116"/>
  <c r="C386" i="116"/>
  <c r="E385" i="116"/>
  <c r="C385" i="116"/>
  <c r="B385" i="116"/>
  <c r="B386" i="116" s="1"/>
  <c r="B387" i="116" s="1"/>
  <c r="B388" i="116" s="1"/>
  <c r="B389" i="116" s="1"/>
  <c r="E384" i="116"/>
  <c r="E377" i="116"/>
  <c r="E376" i="116"/>
  <c r="E375" i="116"/>
  <c r="E374" i="116"/>
  <c r="E373" i="116"/>
  <c r="E372" i="116"/>
  <c r="E371" i="116"/>
  <c r="E370" i="116"/>
  <c r="E369" i="116"/>
  <c r="C369" i="116"/>
  <c r="C370" i="116" s="1"/>
  <c r="C371" i="116" s="1"/>
  <c r="C372" i="116" s="1"/>
  <c r="C373" i="116" s="1"/>
  <c r="C374" i="116" s="1"/>
  <c r="C375" i="116" s="1"/>
  <c r="C376" i="116" s="1"/>
  <c r="C377" i="116" s="1"/>
  <c r="E367" i="116"/>
  <c r="E366" i="116"/>
  <c r="E365" i="116"/>
  <c r="E364" i="116"/>
  <c r="E363" i="116"/>
  <c r="E362" i="116"/>
  <c r="E361" i="116"/>
  <c r="E360" i="116"/>
  <c r="E359" i="116"/>
  <c r="E358" i="116"/>
  <c r="E357" i="116"/>
  <c r="E356" i="116"/>
  <c r="E355" i="116"/>
  <c r="E353" i="116"/>
  <c r="E352" i="116"/>
  <c r="E351" i="116"/>
  <c r="E350" i="116"/>
  <c r="E349" i="116"/>
  <c r="C349" i="116"/>
  <c r="C350" i="116" s="1"/>
  <c r="C351" i="116" s="1"/>
  <c r="C352" i="116" s="1"/>
  <c r="C353" i="116" s="1"/>
  <c r="C355" i="116" s="1"/>
  <c r="C356" i="116" s="1"/>
  <c r="C357" i="116" s="1"/>
  <c r="C358" i="116" s="1"/>
  <c r="C359" i="116" s="1"/>
  <c r="C360" i="116" s="1"/>
  <c r="C361" i="116" s="1"/>
  <c r="C362" i="116" s="1"/>
  <c r="C363" i="116" s="1"/>
  <c r="C364" i="116" s="1"/>
  <c r="C365" i="116" s="1"/>
  <c r="C366" i="116" s="1"/>
  <c r="C367" i="116" s="1"/>
  <c r="B349" i="116"/>
  <c r="B350" i="116" s="1"/>
  <c r="B351" i="116" s="1"/>
  <c r="B352" i="116" s="1"/>
  <c r="B353" i="116" s="1"/>
  <c r="B355" i="116" s="1"/>
  <c r="B356" i="116" s="1"/>
  <c r="B357" i="116" s="1"/>
  <c r="B358" i="116" s="1"/>
  <c r="B359" i="116" s="1"/>
  <c r="B360" i="116" s="1"/>
  <c r="B361" i="116" s="1"/>
  <c r="B362" i="116" s="1"/>
  <c r="B363" i="116" s="1"/>
  <c r="B364" i="116" s="1"/>
  <c r="B365" i="116" s="1"/>
  <c r="B366" i="116" s="1"/>
  <c r="B367" i="116" s="1"/>
  <c r="B369" i="116" s="1"/>
  <c r="B370" i="116" s="1"/>
  <c r="B371" i="116" s="1"/>
  <c r="B372" i="116" s="1"/>
  <c r="B373" i="116" s="1"/>
  <c r="B374" i="116" s="1"/>
  <c r="B375" i="116" s="1"/>
  <c r="B376" i="116" s="1"/>
  <c r="B377" i="116" s="1"/>
  <c r="E348" i="116"/>
  <c r="C348" i="116"/>
  <c r="B348" i="116"/>
  <c r="E347" i="116"/>
  <c r="E340" i="116"/>
  <c r="E339" i="116"/>
  <c r="E338" i="116"/>
  <c r="E337" i="116"/>
  <c r="E336" i="116"/>
  <c r="E335" i="116"/>
  <c r="C335" i="116"/>
  <c r="C336" i="116" s="1"/>
  <c r="C337" i="116" s="1"/>
  <c r="C338" i="116" s="1"/>
  <c r="C339" i="116" s="1"/>
  <c r="C340" i="116" s="1"/>
  <c r="B335" i="116"/>
  <c r="B336" i="116" s="1"/>
  <c r="B337" i="116" s="1"/>
  <c r="B338" i="116" s="1"/>
  <c r="B339" i="116" s="1"/>
  <c r="B340" i="116" s="1"/>
  <c r="E334" i="116"/>
  <c r="E333" i="116"/>
  <c r="C333" i="116"/>
  <c r="C334" i="116" s="1"/>
  <c r="E332" i="116"/>
  <c r="C332" i="116"/>
  <c r="E330" i="116"/>
  <c r="E329" i="116"/>
  <c r="B329" i="116"/>
  <c r="B330" i="116" s="1"/>
  <c r="B332" i="116" s="1"/>
  <c r="B333" i="116" s="1"/>
  <c r="B334" i="116" s="1"/>
  <c r="E328" i="116"/>
  <c r="E327" i="116"/>
  <c r="E326" i="116"/>
  <c r="E325" i="116"/>
  <c r="E324" i="116"/>
  <c r="E323" i="116"/>
  <c r="E322" i="116"/>
  <c r="B322" i="116"/>
  <c r="B323" i="116" s="1"/>
  <c r="B324" i="116" s="1"/>
  <c r="B325" i="116" s="1"/>
  <c r="B326" i="116" s="1"/>
  <c r="B327" i="116" s="1"/>
  <c r="B328" i="116" s="1"/>
  <c r="E321" i="116"/>
  <c r="E320" i="116"/>
  <c r="E319" i="116"/>
  <c r="E318" i="116"/>
  <c r="C318" i="116"/>
  <c r="C319" i="116" s="1"/>
  <c r="C320" i="116" s="1"/>
  <c r="C321" i="116" s="1"/>
  <c r="C322" i="116" s="1"/>
  <c r="C323" i="116" s="1"/>
  <c r="C324" i="116" s="1"/>
  <c r="C325" i="116" s="1"/>
  <c r="C326" i="116" s="1"/>
  <c r="C327" i="116" s="1"/>
  <c r="C328" i="116" s="1"/>
  <c r="C329" i="116" s="1"/>
  <c r="C330" i="116" s="1"/>
  <c r="E316" i="116"/>
  <c r="B316" i="116"/>
  <c r="B318" i="116" s="1"/>
  <c r="B319" i="116" s="1"/>
  <c r="B320" i="116" s="1"/>
  <c r="B321" i="116" s="1"/>
  <c r="E315" i="116"/>
  <c r="E314" i="116"/>
  <c r="E313" i="116"/>
  <c r="B313" i="116"/>
  <c r="B314" i="116" s="1"/>
  <c r="B315" i="116" s="1"/>
  <c r="E312" i="116"/>
  <c r="B312" i="116"/>
  <c r="E311" i="116"/>
  <c r="C311" i="116"/>
  <c r="C312" i="116" s="1"/>
  <c r="C313" i="116" s="1"/>
  <c r="C314" i="116" s="1"/>
  <c r="C315" i="116" s="1"/>
  <c r="C316" i="116" s="1"/>
  <c r="B311" i="116"/>
  <c r="E310" i="116"/>
  <c r="E303" i="116"/>
  <c r="E302" i="116"/>
  <c r="E301" i="116"/>
  <c r="E300" i="116"/>
  <c r="E299" i="116"/>
  <c r="E298" i="116"/>
  <c r="C298" i="116"/>
  <c r="C299" i="116" s="1"/>
  <c r="C300" i="116" s="1"/>
  <c r="C301" i="116" s="1"/>
  <c r="C302" i="116" s="1"/>
  <c r="C303" i="116" s="1"/>
  <c r="B298" i="116"/>
  <c r="B299" i="116" s="1"/>
  <c r="B300" i="116" s="1"/>
  <c r="B301" i="116" s="1"/>
  <c r="B302" i="116" s="1"/>
  <c r="B303" i="116" s="1"/>
  <c r="E297" i="116"/>
  <c r="E296" i="116"/>
  <c r="C296" i="116"/>
  <c r="C297" i="116" s="1"/>
  <c r="E295" i="116"/>
  <c r="C295" i="116"/>
  <c r="E293" i="116"/>
  <c r="E292" i="116"/>
  <c r="E291" i="116"/>
  <c r="E290" i="116"/>
  <c r="E289" i="116"/>
  <c r="E288" i="116"/>
  <c r="E287" i="116"/>
  <c r="E286" i="116"/>
  <c r="E285" i="116"/>
  <c r="E284" i="116"/>
  <c r="E283" i="116"/>
  <c r="E282" i="116"/>
  <c r="E281" i="116"/>
  <c r="E279" i="116"/>
  <c r="C279" i="116"/>
  <c r="C281" i="116" s="1"/>
  <c r="C282" i="116" s="1"/>
  <c r="C283" i="116" s="1"/>
  <c r="C284" i="116" s="1"/>
  <c r="C285" i="116" s="1"/>
  <c r="C286" i="116" s="1"/>
  <c r="C287" i="116" s="1"/>
  <c r="C288" i="116" s="1"/>
  <c r="C289" i="116" s="1"/>
  <c r="C290" i="116" s="1"/>
  <c r="C291" i="116" s="1"/>
  <c r="C292" i="116" s="1"/>
  <c r="C293" i="116" s="1"/>
  <c r="B279" i="116"/>
  <c r="B281" i="116" s="1"/>
  <c r="B282" i="116" s="1"/>
  <c r="B283" i="116" s="1"/>
  <c r="B284" i="116" s="1"/>
  <c r="B285" i="116" s="1"/>
  <c r="B286" i="116" s="1"/>
  <c r="B287" i="116" s="1"/>
  <c r="B288" i="116" s="1"/>
  <c r="B289" i="116" s="1"/>
  <c r="B290" i="116" s="1"/>
  <c r="B291" i="116" s="1"/>
  <c r="B292" i="116" s="1"/>
  <c r="B293" i="116" s="1"/>
  <c r="B295" i="116" s="1"/>
  <c r="B296" i="116" s="1"/>
  <c r="B297" i="116" s="1"/>
  <c r="E278" i="116"/>
  <c r="C278" i="116"/>
  <c r="E277" i="116"/>
  <c r="E276" i="116"/>
  <c r="C276" i="116"/>
  <c r="C277" i="116" s="1"/>
  <c r="E275" i="116"/>
  <c r="C275" i="116"/>
  <c r="B275" i="116"/>
  <c r="B276" i="116" s="1"/>
  <c r="B277" i="116" s="1"/>
  <c r="B278" i="116" s="1"/>
  <c r="E274" i="116"/>
  <c r="C274" i="116"/>
  <c r="B274" i="116"/>
  <c r="E273" i="116"/>
  <c r="A273" i="116"/>
  <c r="E266" i="116"/>
  <c r="C266" i="116"/>
  <c r="E265" i="116"/>
  <c r="E264" i="116"/>
  <c r="E263" i="116"/>
  <c r="E262" i="116"/>
  <c r="E261" i="116"/>
  <c r="B261" i="116"/>
  <c r="B262" i="116" s="1"/>
  <c r="B263" i="116" s="1"/>
  <c r="B264" i="116" s="1"/>
  <c r="B265" i="116" s="1"/>
  <c r="B266" i="116" s="1"/>
  <c r="E260" i="116"/>
  <c r="C260" i="116"/>
  <c r="C261" i="116" s="1"/>
  <c r="C262" i="116" s="1"/>
  <c r="C263" i="116" s="1"/>
  <c r="C264" i="116" s="1"/>
  <c r="C265" i="116" s="1"/>
  <c r="E259" i="116"/>
  <c r="E258" i="116"/>
  <c r="C258" i="116"/>
  <c r="C259" i="116" s="1"/>
  <c r="E256" i="116"/>
  <c r="E255" i="116"/>
  <c r="E254" i="116"/>
  <c r="E253" i="116"/>
  <c r="E252" i="116"/>
  <c r="E251" i="116"/>
  <c r="C251" i="116"/>
  <c r="C252" i="116" s="1"/>
  <c r="C253" i="116" s="1"/>
  <c r="C254" i="116" s="1"/>
  <c r="C255" i="116" s="1"/>
  <c r="C256" i="116" s="1"/>
  <c r="B251" i="116"/>
  <c r="B252" i="116" s="1"/>
  <c r="B253" i="116" s="1"/>
  <c r="B254" i="116" s="1"/>
  <c r="B255" i="116" s="1"/>
  <c r="B256" i="116" s="1"/>
  <c r="B258" i="116" s="1"/>
  <c r="B259" i="116" s="1"/>
  <c r="B260" i="116" s="1"/>
  <c r="E250" i="116"/>
  <c r="E249" i="116"/>
  <c r="E248" i="116"/>
  <c r="E247" i="116"/>
  <c r="E246" i="116"/>
  <c r="A246" i="116"/>
  <c r="A247" i="116" s="1"/>
  <c r="A248" i="116" s="1"/>
  <c r="A249" i="116" s="1"/>
  <c r="A250" i="116" s="1"/>
  <c r="A251" i="116" s="1"/>
  <c r="A252" i="116" s="1"/>
  <c r="A253" i="116" s="1"/>
  <c r="A254" i="116" s="1"/>
  <c r="A255" i="116" s="1"/>
  <c r="A256" i="116" s="1"/>
  <c r="A258" i="116" s="1"/>
  <c r="A259" i="116" s="1"/>
  <c r="A260" i="116" s="1"/>
  <c r="A261" i="116" s="1"/>
  <c r="A262" i="116" s="1"/>
  <c r="E245" i="116"/>
  <c r="E244" i="116"/>
  <c r="C244" i="116"/>
  <c r="C245" i="116" s="1"/>
  <c r="C246" i="116" s="1"/>
  <c r="C247" i="116" s="1"/>
  <c r="C248" i="116" s="1"/>
  <c r="C249" i="116" s="1"/>
  <c r="C250" i="116" s="1"/>
  <c r="E242" i="116"/>
  <c r="E241" i="116"/>
  <c r="C241" i="116"/>
  <c r="C242" i="116" s="1"/>
  <c r="E240" i="116"/>
  <c r="E239" i="116"/>
  <c r="E238" i="116"/>
  <c r="C238" i="116"/>
  <c r="C239" i="116" s="1"/>
  <c r="C240" i="116" s="1"/>
  <c r="B238" i="116"/>
  <c r="B239" i="116" s="1"/>
  <c r="B240" i="116" s="1"/>
  <c r="B241" i="116" s="1"/>
  <c r="B242" i="116" s="1"/>
  <c r="B244" i="116" s="1"/>
  <c r="B245" i="116" s="1"/>
  <c r="B246" i="116" s="1"/>
  <c r="B247" i="116" s="1"/>
  <c r="B248" i="116" s="1"/>
  <c r="B249" i="116" s="1"/>
  <c r="B250" i="116" s="1"/>
  <c r="E237" i="116"/>
  <c r="C237" i="116"/>
  <c r="B237" i="116"/>
  <c r="E236" i="116"/>
  <c r="E229" i="116"/>
  <c r="E228" i="116"/>
  <c r="E227" i="116"/>
  <c r="E226" i="116"/>
  <c r="E225" i="116"/>
  <c r="E224" i="116"/>
  <c r="C224" i="116"/>
  <c r="C225" i="116" s="1"/>
  <c r="C226" i="116" s="1"/>
  <c r="C227" i="116" s="1"/>
  <c r="C228" i="116" s="1"/>
  <c r="C229" i="116" s="1"/>
  <c r="E223" i="116"/>
  <c r="C223" i="116"/>
  <c r="E222" i="116"/>
  <c r="C222" i="116"/>
  <c r="E221" i="116"/>
  <c r="C221" i="116"/>
  <c r="E219" i="116"/>
  <c r="E218" i="116"/>
  <c r="E217" i="116"/>
  <c r="E216" i="116"/>
  <c r="E215" i="116"/>
  <c r="E214" i="116"/>
  <c r="E213" i="116"/>
  <c r="E212" i="116"/>
  <c r="E211" i="116"/>
  <c r="E210" i="116"/>
  <c r="E209" i="116"/>
  <c r="A209" i="116"/>
  <c r="A210" i="116" s="1"/>
  <c r="A211" i="116" s="1"/>
  <c r="A212" i="116" s="1"/>
  <c r="A213" i="116" s="1"/>
  <c r="A214" i="116" s="1"/>
  <c r="A215" i="116" s="1"/>
  <c r="A216" i="116" s="1"/>
  <c r="A217" i="116" s="1"/>
  <c r="A218" i="116" s="1"/>
  <c r="A219" i="116" s="1"/>
  <c r="A221" i="116" s="1"/>
  <c r="A222" i="116" s="1"/>
  <c r="A223" i="116" s="1"/>
  <c r="A224" i="116" s="1"/>
  <c r="A225" i="116" s="1"/>
  <c r="A226" i="116" s="1"/>
  <c r="A227" i="116" s="1"/>
  <c r="A228" i="116" s="1"/>
  <c r="A229" i="116" s="1"/>
  <c r="E208" i="116"/>
  <c r="C208" i="116"/>
  <c r="C209" i="116" s="1"/>
  <c r="C210" i="116" s="1"/>
  <c r="C211" i="116" s="1"/>
  <c r="C212" i="116" s="1"/>
  <c r="C213" i="116" s="1"/>
  <c r="C214" i="116" s="1"/>
  <c r="C215" i="116" s="1"/>
  <c r="C216" i="116" s="1"/>
  <c r="C217" i="116" s="1"/>
  <c r="C218" i="116" s="1"/>
  <c r="C219" i="116" s="1"/>
  <c r="E207" i="116"/>
  <c r="E205" i="116"/>
  <c r="E204" i="116"/>
  <c r="C204" i="116"/>
  <c r="C205" i="116" s="1"/>
  <c r="C207" i="116" s="1"/>
  <c r="E203" i="116"/>
  <c r="B203" i="116"/>
  <c r="B204" i="116" s="1"/>
  <c r="B205" i="116" s="1"/>
  <c r="B207" i="116" s="1"/>
  <c r="B208" i="116" s="1"/>
  <c r="B209" i="116" s="1"/>
  <c r="B210" i="116" s="1"/>
  <c r="B211" i="116" s="1"/>
  <c r="B212" i="116" s="1"/>
  <c r="B213" i="116" s="1"/>
  <c r="B214" i="116" s="1"/>
  <c r="B215" i="116" s="1"/>
  <c r="B216" i="116" s="1"/>
  <c r="B217" i="116" s="1"/>
  <c r="B218" i="116" s="1"/>
  <c r="B219" i="116" s="1"/>
  <c r="B221" i="116" s="1"/>
  <c r="B222" i="116" s="1"/>
  <c r="B223" i="116" s="1"/>
  <c r="B224" i="116" s="1"/>
  <c r="B225" i="116" s="1"/>
  <c r="B226" i="116" s="1"/>
  <c r="B227" i="116" s="1"/>
  <c r="B228" i="116" s="1"/>
  <c r="B229" i="116" s="1"/>
  <c r="A203" i="116"/>
  <c r="A204" i="116" s="1"/>
  <c r="A205" i="116" s="1"/>
  <c r="A207" i="116" s="1"/>
  <c r="A208" i="116" s="1"/>
  <c r="E202" i="116"/>
  <c r="E201" i="116"/>
  <c r="C201" i="116"/>
  <c r="C202" i="116" s="1"/>
  <c r="C203" i="116" s="1"/>
  <c r="E200" i="116"/>
  <c r="C200" i="116"/>
  <c r="B200" i="116"/>
  <c r="B201" i="116" s="1"/>
  <c r="B202" i="116" s="1"/>
  <c r="A200" i="116"/>
  <c r="A201" i="116" s="1"/>
  <c r="A202" i="116" s="1"/>
  <c r="E199" i="116"/>
  <c r="E192" i="116"/>
  <c r="E191" i="116"/>
  <c r="E190" i="116"/>
  <c r="E189" i="116"/>
  <c r="C189" i="116"/>
  <c r="C190" i="116" s="1"/>
  <c r="C191" i="116" s="1"/>
  <c r="C192" i="116" s="1"/>
  <c r="E188" i="116"/>
  <c r="E187" i="116"/>
  <c r="E186" i="116"/>
  <c r="E185" i="116"/>
  <c r="C185" i="116"/>
  <c r="C186" i="116" s="1"/>
  <c r="C187" i="116" s="1"/>
  <c r="C188" i="116" s="1"/>
  <c r="E184" i="116"/>
  <c r="C184" i="116"/>
  <c r="E182" i="116"/>
  <c r="E181" i="116"/>
  <c r="E180" i="116"/>
  <c r="E179" i="116"/>
  <c r="E178" i="116"/>
  <c r="E177" i="116"/>
  <c r="E176" i="116"/>
  <c r="E175" i="116"/>
  <c r="B175" i="116"/>
  <c r="B176" i="116" s="1"/>
  <c r="B177" i="116" s="1"/>
  <c r="B178" i="116" s="1"/>
  <c r="B179" i="116" s="1"/>
  <c r="B180" i="116" s="1"/>
  <c r="B181" i="116" s="1"/>
  <c r="B182" i="116" s="1"/>
  <c r="B184" i="116" s="1"/>
  <c r="B185" i="116" s="1"/>
  <c r="B186" i="116" s="1"/>
  <c r="B187" i="116" s="1"/>
  <c r="B188" i="116" s="1"/>
  <c r="B189" i="116" s="1"/>
  <c r="B190" i="116" s="1"/>
  <c r="B191" i="116" s="1"/>
  <c r="B192" i="116" s="1"/>
  <c r="E174" i="116"/>
  <c r="E173" i="116"/>
  <c r="C173" i="116"/>
  <c r="C174" i="116" s="1"/>
  <c r="C175" i="116" s="1"/>
  <c r="C176" i="116" s="1"/>
  <c r="C177" i="116" s="1"/>
  <c r="C178" i="116" s="1"/>
  <c r="C179" i="116" s="1"/>
  <c r="C180" i="116" s="1"/>
  <c r="C181" i="116" s="1"/>
  <c r="C182" i="116" s="1"/>
  <c r="E172" i="116"/>
  <c r="E171" i="116"/>
  <c r="E170" i="116"/>
  <c r="E168" i="116"/>
  <c r="B168" i="116"/>
  <c r="B170" i="116" s="1"/>
  <c r="B171" i="116" s="1"/>
  <c r="B172" i="116" s="1"/>
  <c r="B173" i="116" s="1"/>
  <c r="B174" i="116" s="1"/>
  <c r="A168" i="116"/>
  <c r="A170" i="116" s="1"/>
  <c r="A171" i="116" s="1"/>
  <c r="A172" i="116" s="1"/>
  <c r="A173" i="116" s="1"/>
  <c r="A174" i="116" s="1"/>
  <c r="A175" i="116" s="1"/>
  <c r="A176" i="116" s="1"/>
  <c r="A177" i="116" s="1"/>
  <c r="A178" i="116" s="1"/>
  <c r="A179" i="116" s="1"/>
  <c r="A180" i="116" s="1"/>
  <c r="A181" i="116" s="1"/>
  <c r="A182" i="116" s="1"/>
  <c r="A184" i="116" s="1"/>
  <c r="A185" i="116" s="1"/>
  <c r="A186" i="116" s="1"/>
  <c r="A187" i="116" s="1"/>
  <c r="E167" i="116"/>
  <c r="E166" i="116"/>
  <c r="E165" i="116"/>
  <c r="E164" i="116"/>
  <c r="A164" i="116"/>
  <c r="A165" i="116" s="1"/>
  <c r="A166" i="116" s="1"/>
  <c r="A167" i="116" s="1"/>
  <c r="E163" i="116"/>
  <c r="C163" i="116"/>
  <c r="C164" i="116" s="1"/>
  <c r="C165" i="116" s="1"/>
  <c r="C166" i="116" s="1"/>
  <c r="C167" i="116" s="1"/>
  <c r="C168" i="116" s="1"/>
  <c r="C170" i="116" s="1"/>
  <c r="C171" i="116" s="1"/>
  <c r="C172" i="116" s="1"/>
  <c r="B163" i="116"/>
  <c r="B164" i="116" s="1"/>
  <c r="B165" i="116" s="1"/>
  <c r="B166" i="116" s="1"/>
  <c r="B167" i="116" s="1"/>
  <c r="A163" i="116"/>
  <c r="E162" i="116"/>
  <c r="E155" i="116"/>
  <c r="E154" i="116"/>
  <c r="E153" i="116"/>
  <c r="E152" i="116"/>
  <c r="E151" i="116"/>
  <c r="E150" i="116"/>
  <c r="E149" i="116"/>
  <c r="E148" i="116"/>
  <c r="C148" i="116"/>
  <c r="C149" i="116" s="1"/>
  <c r="C150" i="116" s="1"/>
  <c r="C151" i="116" s="1"/>
  <c r="C152" i="116" s="1"/>
  <c r="C153" i="116" s="1"/>
  <c r="C154" i="116" s="1"/>
  <c r="C155" i="116" s="1"/>
  <c r="E147" i="116"/>
  <c r="C147" i="116"/>
  <c r="E145" i="116"/>
  <c r="E144" i="116"/>
  <c r="C144" i="116"/>
  <c r="C145" i="116" s="1"/>
  <c r="E143" i="116"/>
  <c r="E142" i="116"/>
  <c r="E141" i="116"/>
  <c r="E140" i="116"/>
  <c r="E139" i="116"/>
  <c r="E138" i="116"/>
  <c r="E137" i="116"/>
  <c r="E136" i="116"/>
  <c r="E135" i="116"/>
  <c r="E134" i="116"/>
  <c r="B134" i="116"/>
  <c r="B135" i="116" s="1"/>
  <c r="B136" i="116" s="1"/>
  <c r="B137" i="116" s="1"/>
  <c r="B138" i="116" s="1"/>
  <c r="B139" i="116" s="1"/>
  <c r="B140" i="116" s="1"/>
  <c r="B141" i="116" s="1"/>
  <c r="B142" i="116" s="1"/>
  <c r="B143" i="116" s="1"/>
  <c r="B144" i="116" s="1"/>
  <c r="B145" i="116" s="1"/>
  <c r="B147" i="116" s="1"/>
  <c r="B148" i="116" s="1"/>
  <c r="B149" i="116" s="1"/>
  <c r="B150" i="116" s="1"/>
  <c r="B151" i="116" s="1"/>
  <c r="B152" i="116" s="1"/>
  <c r="B153" i="116" s="1"/>
  <c r="B154" i="116" s="1"/>
  <c r="B155" i="116" s="1"/>
  <c r="E133" i="116"/>
  <c r="E131" i="116"/>
  <c r="C131" i="116"/>
  <c r="C133" i="116" s="1"/>
  <c r="C134" i="116" s="1"/>
  <c r="C135" i="116" s="1"/>
  <c r="C136" i="116" s="1"/>
  <c r="C137" i="116" s="1"/>
  <c r="C138" i="116" s="1"/>
  <c r="C139" i="116" s="1"/>
  <c r="C140" i="116" s="1"/>
  <c r="C141" i="116" s="1"/>
  <c r="C142" i="116" s="1"/>
  <c r="C143" i="116" s="1"/>
  <c r="E130" i="116"/>
  <c r="E129" i="116"/>
  <c r="E128" i="116"/>
  <c r="E127" i="116"/>
  <c r="B127" i="116"/>
  <c r="B128" i="116" s="1"/>
  <c r="B129" i="116" s="1"/>
  <c r="B130" i="116" s="1"/>
  <c r="B131" i="116" s="1"/>
  <c r="B133" i="116" s="1"/>
  <c r="E126" i="116"/>
  <c r="C126" i="116"/>
  <c r="C127" i="116" s="1"/>
  <c r="C128" i="116" s="1"/>
  <c r="C129" i="116" s="1"/>
  <c r="C130" i="116" s="1"/>
  <c r="B126" i="116"/>
  <c r="E125" i="116"/>
  <c r="A125" i="116"/>
  <c r="A162" i="116" s="1"/>
  <c r="A199" i="116" s="1"/>
  <c r="A236" i="116" s="1"/>
  <c r="A237" i="116" s="1"/>
  <c r="A238" i="116" s="1"/>
  <c r="A239" i="116" s="1"/>
  <c r="A240" i="116" s="1"/>
  <c r="A241" i="116" s="1"/>
  <c r="A242" i="116" s="1"/>
  <c r="A244" i="116" s="1"/>
  <c r="A245" i="116" s="1"/>
  <c r="E118" i="116"/>
  <c r="E117" i="116"/>
  <c r="E116" i="116"/>
  <c r="E115" i="116"/>
  <c r="E114" i="116"/>
  <c r="C114" i="116"/>
  <c r="C115" i="116" s="1"/>
  <c r="C116" i="116" s="1"/>
  <c r="C117" i="116" s="1"/>
  <c r="C118" i="116" s="1"/>
  <c r="E113" i="116"/>
  <c r="E112" i="116"/>
  <c r="E111" i="116"/>
  <c r="E110" i="116"/>
  <c r="C110" i="116"/>
  <c r="C111" i="116" s="1"/>
  <c r="C112" i="116" s="1"/>
  <c r="C113" i="116" s="1"/>
  <c r="E108" i="116"/>
  <c r="E107" i="116"/>
  <c r="E106" i="116"/>
  <c r="E105" i="116"/>
  <c r="E104" i="116"/>
  <c r="E103" i="116"/>
  <c r="E102" i="116"/>
  <c r="E101" i="116"/>
  <c r="E100" i="116"/>
  <c r="E99" i="116"/>
  <c r="A99" i="116"/>
  <c r="A100" i="116" s="1"/>
  <c r="A101" i="116" s="1"/>
  <c r="A102" i="116" s="1"/>
  <c r="A103" i="116" s="1"/>
  <c r="A104" i="116" s="1"/>
  <c r="A105" i="116" s="1"/>
  <c r="A106" i="116" s="1"/>
  <c r="A107" i="116" s="1"/>
  <c r="A108" i="116" s="1"/>
  <c r="A110" i="116" s="1"/>
  <c r="A111" i="116" s="1"/>
  <c r="A112" i="116" s="1"/>
  <c r="A113" i="116" s="1"/>
  <c r="A114" i="116" s="1"/>
  <c r="A115" i="116" s="1"/>
  <c r="A116" i="116" s="1"/>
  <c r="A117" i="116" s="1"/>
  <c r="E98" i="116"/>
  <c r="E97" i="116"/>
  <c r="E96" i="116"/>
  <c r="E94" i="116"/>
  <c r="E93" i="116"/>
  <c r="E92" i="116"/>
  <c r="A92" i="116"/>
  <c r="A93" i="116" s="1"/>
  <c r="A94" i="116" s="1"/>
  <c r="A96" i="116" s="1"/>
  <c r="A97" i="116" s="1"/>
  <c r="A98" i="116" s="1"/>
  <c r="E91" i="116"/>
  <c r="E90" i="116"/>
  <c r="C90" i="116"/>
  <c r="C91" i="116" s="1"/>
  <c r="C92" i="116" s="1"/>
  <c r="C93" i="116" s="1"/>
  <c r="C94" i="116" s="1"/>
  <c r="C96" i="116" s="1"/>
  <c r="C97" i="116" s="1"/>
  <c r="C98" i="116" s="1"/>
  <c r="C99" i="116" s="1"/>
  <c r="C100" i="116" s="1"/>
  <c r="C101" i="116" s="1"/>
  <c r="C102" i="116" s="1"/>
  <c r="C103" i="116" s="1"/>
  <c r="C104" i="116" s="1"/>
  <c r="C105" i="116" s="1"/>
  <c r="C106" i="116" s="1"/>
  <c r="C107" i="116" s="1"/>
  <c r="C108" i="116" s="1"/>
  <c r="B90" i="116"/>
  <c r="B91" i="116" s="1"/>
  <c r="B92" i="116" s="1"/>
  <c r="B93" i="116" s="1"/>
  <c r="B94" i="116" s="1"/>
  <c r="B96" i="116" s="1"/>
  <c r="B97" i="116" s="1"/>
  <c r="B98" i="116" s="1"/>
  <c r="B99" i="116" s="1"/>
  <c r="B100" i="116" s="1"/>
  <c r="B101" i="116" s="1"/>
  <c r="B102" i="116" s="1"/>
  <c r="B103" i="116" s="1"/>
  <c r="B104" i="116" s="1"/>
  <c r="B105" i="116" s="1"/>
  <c r="B106" i="116" s="1"/>
  <c r="B107" i="116" s="1"/>
  <c r="B108" i="116" s="1"/>
  <c r="B110" i="116" s="1"/>
  <c r="B111" i="116" s="1"/>
  <c r="B112" i="116" s="1"/>
  <c r="B113" i="116" s="1"/>
  <c r="B114" i="116" s="1"/>
  <c r="B115" i="116" s="1"/>
  <c r="B116" i="116" s="1"/>
  <c r="B117" i="116" s="1"/>
  <c r="B118" i="116" s="1"/>
  <c r="A90" i="116"/>
  <c r="A91" i="116" s="1"/>
  <c r="E89" i="116"/>
  <c r="C89" i="116"/>
  <c r="B89" i="116"/>
  <c r="A89" i="116"/>
  <c r="E88" i="116"/>
  <c r="A88" i="116"/>
  <c r="C77" i="116"/>
  <c r="C78" i="116" s="1"/>
  <c r="C79" i="116" s="1"/>
  <c r="C80" i="116" s="1"/>
  <c r="C81" i="116" s="1"/>
  <c r="C74" i="116"/>
  <c r="C75" i="116" s="1"/>
  <c r="C76" i="116" s="1"/>
  <c r="C73" i="116"/>
  <c r="B64" i="116"/>
  <c r="B65" i="116" s="1"/>
  <c r="B66" i="116" s="1"/>
  <c r="B67" i="116" s="1"/>
  <c r="B68" i="116" s="1"/>
  <c r="B69" i="116" s="1"/>
  <c r="B70" i="116" s="1"/>
  <c r="B71" i="116" s="1"/>
  <c r="B73" i="116" s="1"/>
  <c r="B74" i="116" s="1"/>
  <c r="B75" i="116" s="1"/>
  <c r="B76" i="116" s="1"/>
  <c r="B77" i="116" s="1"/>
  <c r="B78" i="116" s="1"/>
  <c r="B79" i="116" s="1"/>
  <c r="B80" i="116" s="1"/>
  <c r="B81" i="116" s="1"/>
  <c r="C54" i="116"/>
  <c r="C55" i="116" s="1"/>
  <c r="C56" i="116" s="1"/>
  <c r="C57" i="116" s="1"/>
  <c r="C59" i="116" s="1"/>
  <c r="C60" i="116" s="1"/>
  <c r="C61" i="116" s="1"/>
  <c r="C62" i="116" s="1"/>
  <c r="C63" i="116" s="1"/>
  <c r="C64" i="116" s="1"/>
  <c r="C65" i="116" s="1"/>
  <c r="C66" i="116" s="1"/>
  <c r="C67" i="116" s="1"/>
  <c r="C68" i="116" s="1"/>
  <c r="C69" i="116" s="1"/>
  <c r="C70" i="116" s="1"/>
  <c r="C71" i="116" s="1"/>
  <c r="C53" i="116"/>
  <c r="B53" i="116"/>
  <c r="B54" i="116" s="1"/>
  <c r="B55" i="116" s="1"/>
  <c r="B56" i="116" s="1"/>
  <c r="B57" i="116" s="1"/>
  <c r="B59" i="116" s="1"/>
  <c r="B60" i="116" s="1"/>
  <c r="B61" i="116" s="1"/>
  <c r="B62" i="116" s="1"/>
  <c r="B63" i="116" s="1"/>
  <c r="C52" i="116"/>
  <c r="B52" i="116"/>
  <c r="C38" i="116"/>
  <c r="C39" i="116" s="1"/>
  <c r="C40" i="116" s="1"/>
  <c r="C41" i="116" s="1"/>
  <c r="C42" i="116" s="1"/>
  <c r="C43" i="116" s="1"/>
  <c r="C44" i="116" s="1"/>
  <c r="C36" i="116"/>
  <c r="C37" i="116" s="1"/>
  <c r="B23" i="116"/>
  <c r="B24" i="116" s="1"/>
  <c r="B25" i="116" s="1"/>
  <c r="B26" i="116" s="1"/>
  <c r="B27" i="116" s="1"/>
  <c r="B28" i="116" s="1"/>
  <c r="B29" i="116" s="1"/>
  <c r="B30" i="116" s="1"/>
  <c r="B31" i="116" s="1"/>
  <c r="B32" i="116" s="1"/>
  <c r="B33" i="116" s="1"/>
  <c r="B34" i="116" s="1"/>
  <c r="B36" i="116" s="1"/>
  <c r="B37" i="116" s="1"/>
  <c r="B38" i="116" s="1"/>
  <c r="B39" i="116" s="1"/>
  <c r="B40" i="116" s="1"/>
  <c r="B41" i="116" s="1"/>
  <c r="B42" i="116" s="1"/>
  <c r="B43" i="116" s="1"/>
  <c r="B44" i="116" s="1"/>
  <c r="B22" i="116"/>
  <c r="C20" i="116"/>
  <c r="C22" i="116" s="1"/>
  <c r="C23" i="116" s="1"/>
  <c r="C24" i="116" s="1"/>
  <c r="C25" i="116" s="1"/>
  <c r="C26" i="116" s="1"/>
  <c r="C27" i="116" s="1"/>
  <c r="C28" i="116" s="1"/>
  <c r="C29" i="116" s="1"/>
  <c r="C30" i="116" s="1"/>
  <c r="C31" i="116" s="1"/>
  <c r="C32" i="116" s="1"/>
  <c r="C33" i="116" s="1"/>
  <c r="C34" i="116" s="1"/>
  <c r="C19" i="116"/>
  <c r="C15" i="116"/>
  <c r="C16" i="116" s="1"/>
  <c r="C17" i="116" s="1"/>
  <c r="C18" i="116" s="1"/>
  <c r="B15" i="116"/>
  <c r="B16" i="116" s="1"/>
  <c r="B17" i="116" s="1"/>
  <c r="B18" i="116" s="1"/>
  <c r="B19" i="116" s="1"/>
  <c r="B20" i="116" s="1"/>
  <c r="Y2" i="116"/>
  <c r="X2" i="116"/>
  <c r="W2" i="116"/>
  <c r="V2" i="116"/>
  <c r="U2" i="116"/>
  <c r="T2" i="116"/>
  <c r="S2" i="116"/>
  <c r="R2" i="116"/>
  <c r="Q2" i="116"/>
  <c r="P2" i="116"/>
  <c r="O2" i="116"/>
  <c r="N2" i="116"/>
  <c r="M2" i="116"/>
  <c r="L2" i="116"/>
  <c r="K2" i="116"/>
  <c r="J2" i="116"/>
  <c r="I2" i="116"/>
  <c r="H2" i="116"/>
  <c r="Y1" i="116"/>
  <c r="AA1" i="116" s="1"/>
  <c r="X1" i="116"/>
  <c r="W1" i="116"/>
  <c r="V1" i="116"/>
  <c r="U1" i="116"/>
  <c r="T1" i="116"/>
  <c r="S1" i="116"/>
  <c r="R1" i="116"/>
  <c r="Q1" i="116"/>
  <c r="P1" i="116"/>
  <c r="O1" i="116"/>
  <c r="N1" i="116"/>
  <c r="M1" i="116"/>
  <c r="L1" i="116"/>
  <c r="K1" i="116"/>
  <c r="J1" i="116"/>
  <c r="I1" i="116"/>
  <c r="H1" i="116"/>
  <c r="C62" i="115"/>
  <c r="C63" i="115" s="1"/>
  <c r="C64" i="115" s="1"/>
  <c r="C65" i="115" s="1"/>
  <c r="C66" i="115" s="1"/>
  <c r="C67" i="115" s="1"/>
  <c r="C68" i="115" s="1"/>
  <c r="C43" i="115"/>
  <c r="C44" i="115" s="1"/>
  <c r="C45" i="115" s="1"/>
  <c r="C46" i="115" s="1"/>
  <c r="C47" i="115" s="1"/>
  <c r="C48" i="115" s="1"/>
  <c r="C49" i="115" s="1"/>
  <c r="C26" i="115"/>
  <c r="C27" i="115" s="1"/>
  <c r="C28" i="115" s="1"/>
  <c r="C29" i="115" s="1"/>
  <c r="C30" i="115" s="1"/>
  <c r="C31" i="115" s="1"/>
  <c r="C25" i="115"/>
  <c r="C6" i="115"/>
  <c r="C7" i="115" s="1"/>
  <c r="C8" i="115" s="1"/>
  <c r="C9" i="115" s="1"/>
  <c r="C10" i="115" s="1"/>
  <c r="C11" i="115" s="1"/>
  <c r="C12" i="115" s="1"/>
  <c r="C62" i="113"/>
  <c r="C63" i="113" s="1"/>
  <c r="C64" i="113" s="1"/>
  <c r="C65" i="113" s="1"/>
  <c r="C66" i="113" s="1"/>
  <c r="C67" i="113" s="1"/>
  <c r="C68" i="113" s="1"/>
  <c r="C26" i="111"/>
  <c r="P30" i="111"/>
  <c r="C43" i="113"/>
  <c r="C44" i="113" s="1"/>
  <c r="C45" i="113" s="1"/>
  <c r="C46" i="113" s="1"/>
  <c r="C47" i="113" s="1"/>
  <c r="C48" i="113" s="1"/>
  <c r="C49" i="113" s="1"/>
  <c r="C25" i="113"/>
  <c r="C26" i="113" s="1"/>
  <c r="C27" i="113" s="1"/>
  <c r="C28" i="113" s="1"/>
  <c r="C29" i="113" s="1"/>
  <c r="C30" i="113" s="1"/>
  <c r="C31" i="113" s="1"/>
  <c r="C6" i="113"/>
  <c r="C7" i="113" s="1"/>
  <c r="C8" i="113" s="1"/>
  <c r="C9" i="113" s="1"/>
  <c r="C10" i="113" s="1"/>
  <c r="C11" i="113" s="1"/>
  <c r="C12" i="113" s="1"/>
  <c r="AA184" i="116" a="1"/>
  <c r="W37" i="117" a="1"/>
  <c r="R74" i="168" l="1"/>
  <c r="T74" i="168"/>
  <c r="AF44" i="168"/>
  <c r="AF63" i="168"/>
  <c r="AG43" i="168"/>
  <c r="AF62" i="168"/>
  <c r="P53" i="168"/>
  <c r="U69" i="168"/>
  <c r="U50" i="168"/>
  <c r="P73" i="168"/>
  <c r="U72" i="168"/>
  <c r="AF51" i="168"/>
  <c r="U71" i="168"/>
  <c r="AE74" i="168"/>
  <c r="P52" i="168"/>
  <c r="P74" i="168"/>
  <c r="U54" i="168"/>
  <c r="U73" i="168"/>
  <c r="O55" i="168"/>
  <c r="P51" i="168"/>
  <c r="AF54" i="168"/>
  <c r="AE55" i="168"/>
  <c r="T34" i="168"/>
  <c r="T55" i="168"/>
  <c r="P69" i="168"/>
  <c r="U51" i="168"/>
  <c r="P70" i="168"/>
  <c r="T37" i="168"/>
  <c r="T32" i="168"/>
  <c r="R55" i="168"/>
  <c r="U74" i="168"/>
  <c r="P71" i="168"/>
  <c r="AF70" i="168"/>
  <c r="U53" i="168"/>
  <c r="AF53" i="168"/>
  <c r="AF72" i="168"/>
  <c r="U18" i="168"/>
  <c r="U37" i="168" s="1"/>
  <c r="U52" i="168"/>
  <c r="U70" i="168"/>
  <c r="P54" i="168"/>
  <c r="P72" i="168"/>
  <c r="T36" i="168"/>
  <c r="P50" i="168"/>
  <c r="AF73" i="168"/>
  <c r="R32" i="168"/>
  <c r="R37" i="168"/>
  <c r="R35" i="168"/>
  <c r="R33" i="168"/>
  <c r="R34" i="168"/>
  <c r="O34" i="168"/>
  <c r="T33" i="168"/>
  <c r="P18" i="168"/>
  <c r="P34" i="168" s="1"/>
  <c r="O33" i="168"/>
  <c r="O36" i="168"/>
  <c r="O37" i="168"/>
  <c r="X38" i="168"/>
  <c r="Q38" i="168"/>
  <c r="P30" i="168"/>
  <c r="P24" i="168"/>
  <c r="P3" i="168"/>
  <c r="O22" i="168"/>
  <c r="O23" i="168"/>
  <c r="P26" i="168"/>
  <c r="P31" i="168"/>
  <c r="P28" i="168"/>
  <c r="P27" i="168"/>
  <c r="P29" i="168"/>
  <c r="U32" i="168"/>
  <c r="T23" i="168"/>
  <c r="T22" i="168"/>
  <c r="U3" i="168"/>
  <c r="R40" i="168"/>
  <c r="T40" i="168"/>
  <c r="U40" i="168" s="1"/>
  <c r="S38" i="168"/>
  <c r="R22" i="168"/>
  <c r="R23" i="168"/>
  <c r="R59" i="168"/>
  <c r="T59" i="168"/>
  <c r="U59" i="168" s="1"/>
  <c r="U33" i="168"/>
  <c r="Z37" i="168"/>
  <c r="Z35" i="168"/>
  <c r="Z27" i="168"/>
  <c r="Z28" i="168"/>
  <c r="W40" i="168"/>
  <c r="Y40" i="168"/>
  <c r="Z40" i="168" s="1"/>
  <c r="W22" i="168"/>
  <c r="W23" i="168"/>
  <c r="Z34" i="168"/>
  <c r="Z33" i="168"/>
  <c r="Z32" i="168"/>
  <c r="Z25" i="168"/>
  <c r="Z36" i="168"/>
  <c r="Z30" i="168"/>
  <c r="Z29" i="168"/>
  <c r="Z31" i="168"/>
  <c r="Z24" i="168"/>
  <c r="Y23" i="168"/>
  <c r="Y22" i="168"/>
  <c r="Y38" i="168" s="1"/>
  <c r="Z3" i="168"/>
  <c r="AF25" i="168"/>
  <c r="AF28" i="168"/>
  <c r="AF30" i="168"/>
  <c r="AF24" i="168"/>
  <c r="AF31" i="168"/>
  <c r="AF29" i="168"/>
  <c r="AF27" i="168"/>
  <c r="AG7" i="168"/>
  <c r="AF26" i="168"/>
  <c r="AF3" i="168"/>
  <c r="AE22" i="168"/>
  <c r="AE23" i="168"/>
  <c r="BS7" i="108"/>
  <c r="AD38" i="168"/>
  <c r="AE69" i="168"/>
  <c r="AB38" i="168"/>
  <c r="AE71" i="168"/>
  <c r="AE52" i="168"/>
  <c r="AE50" i="168"/>
  <c r="AF13" i="168"/>
  <c r="AE32" i="168"/>
  <c r="AE35" i="168"/>
  <c r="AE36" i="168"/>
  <c r="AE37" i="168"/>
  <c r="AE33" i="168"/>
  <c r="AV28" i="165"/>
  <c r="AP39" i="165"/>
  <c r="AO2" i="165"/>
  <c r="AF15" i="168"/>
  <c r="AE34" i="168"/>
  <c r="H13" i="65"/>
  <c r="J13" i="65" s="1"/>
  <c r="Q13" i="65" s="1"/>
  <c r="H30" i="65"/>
  <c r="J30" i="65" s="1"/>
  <c r="Q30" i="65" s="1"/>
  <c r="E49" i="65"/>
  <c r="G24" i="118"/>
  <c r="G36" i="118"/>
  <c r="Z36" i="118" s="1"/>
  <c r="F41" i="118"/>
  <c r="Y39" i="118"/>
  <c r="C39" i="118"/>
  <c r="G42" i="118"/>
  <c r="Y41" i="118"/>
  <c r="G41" i="118"/>
  <c r="Y40" i="118"/>
  <c r="Z40" i="118" s="1"/>
  <c r="F22" i="118"/>
  <c r="Y37" i="118"/>
  <c r="G43" i="118"/>
  <c r="Q43" i="118" s="1"/>
  <c r="W5" i="118"/>
  <c r="V5" i="118"/>
  <c r="U5" i="118"/>
  <c r="X5" i="118"/>
  <c r="Y46" i="118"/>
  <c r="Z46" i="118" s="1"/>
  <c r="S41" i="118"/>
  <c r="D30" i="118"/>
  <c r="M29" i="108" s="1"/>
  <c r="T5" i="118"/>
  <c r="Z38" i="118"/>
  <c r="S22" i="118"/>
  <c r="D13" i="118"/>
  <c r="M17" i="108" s="1"/>
  <c r="AA184" i="116"/>
  <c r="W37" i="117"/>
  <c r="A118" i="116"/>
  <c r="A263" i="116"/>
  <c r="A264" i="116" s="1"/>
  <c r="A265" i="116" s="1"/>
  <c r="A266" i="116" s="1"/>
  <c r="A188" i="116"/>
  <c r="A189" i="116" s="1"/>
  <c r="A190" i="116" s="1"/>
  <c r="A191" i="116" s="1"/>
  <c r="A192" i="116" s="1"/>
  <c r="A310" i="116"/>
  <c r="A274" i="116"/>
  <c r="A275" i="116" s="1"/>
  <c r="A276" i="116" s="1"/>
  <c r="A277" i="116" s="1"/>
  <c r="A278" i="116" s="1"/>
  <c r="A279" i="116" s="1"/>
  <c r="A281" i="116" s="1"/>
  <c r="A282" i="116" s="1"/>
  <c r="A283" i="116" s="1"/>
  <c r="A284" i="116" s="1"/>
  <c r="A285" i="116" s="1"/>
  <c r="A286" i="116" s="1"/>
  <c r="A287" i="116" s="1"/>
  <c r="A288" i="116" s="1"/>
  <c r="A289" i="116" s="1"/>
  <c r="A290" i="116" s="1"/>
  <c r="A291" i="116" s="1"/>
  <c r="A292" i="116" s="1"/>
  <c r="A293" i="116" s="1"/>
  <c r="A295" i="116" s="1"/>
  <c r="A126" i="116"/>
  <c r="A127" i="116" s="1"/>
  <c r="A128" i="116" s="1"/>
  <c r="A129" i="116" s="1"/>
  <c r="A130" i="116" s="1"/>
  <c r="A131" i="116" s="1"/>
  <c r="A133" i="116" s="1"/>
  <c r="A134" i="116" s="1"/>
  <c r="A135" i="116" s="1"/>
  <c r="A136" i="116" s="1"/>
  <c r="A137" i="116" s="1"/>
  <c r="A138" i="116" s="1"/>
  <c r="A139" i="116" s="1"/>
  <c r="A140" i="116" s="1"/>
  <c r="A141" i="116" s="1"/>
  <c r="A142" i="116" s="1"/>
  <c r="A143" i="116" s="1"/>
  <c r="A144" i="116" s="1"/>
  <c r="A145" i="116" s="1"/>
  <c r="A147" i="116" s="1"/>
  <c r="A148" i="116" s="1"/>
  <c r="A149" i="116" s="1"/>
  <c r="G47" i="118"/>
  <c r="Q47" i="118" s="1"/>
  <c r="Y43" i="118"/>
  <c r="Y44" i="118"/>
  <c r="Z44" i="118" s="1"/>
  <c r="G45" i="118"/>
  <c r="Q45" i="118" s="1"/>
  <c r="W41" i="117" a="1"/>
  <c r="W35" i="117" a="1"/>
  <c r="W38" i="117" a="1"/>
  <c r="AA261" i="116" a="1"/>
  <c r="AA225" i="116" a="1"/>
  <c r="AA222" i="116" a="1"/>
  <c r="AA221" i="116" a="1"/>
  <c r="AA185" i="116" a="1"/>
  <c r="AA265" i="116" a="1"/>
  <c r="AA187" i="116" a="1"/>
  <c r="AA263" i="116" a="1"/>
  <c r="AA111" i="116" a="1"/>
  <c r="AA260" i="116" a="1"/>
  <c r="AA224" i="116" a="1"/>
  <c r="AA262" i="116" a="1"/>
  <c r="AA259" i="116" a="1"/>
  <c r="AA189" i="116" a="1"/>
  <c r="AA112" i="116" a="1"/>
  <c r="AA113" i="116" a="1"/>
  <c r="AA223" i="116" a="1"/>
  <c r="AA191" i="116" a="1"/>
  <c r="AA226" i="116" a="1"/>
  <c r="AA110" i="116" a="1"/>
  <c r="AA258" i="116" a="1"/>
  <c r="AA114" i="116" a="1"/>
  <c r="W36" i="117" a="1"/>
  <c r="AA117" i="116" a="1"/>
  <c r="W39" i="117" a="1"/>
  <c r="AA186" i="116" a="1"/>
  <c r="AA115" i="116" a="1"/>
  <c r="W34" i="117" a="1"/>
  <c r="AA228" i="116" a="1"/>
  <c r="AG63" i="168" l="1"/>
  <c r="AG44" i="168"/>
  <c r="AG62" i="168"/>
  <c r="U35" i="168"/>
  <c r="AG70" i="168"/>
  <c r="U36" i="168"/>
  <c r="AG51" i="168"/>
  <c r="AG73" i="168"/>
  <c r="AG54" i="168"/>
  <c r="AG53" i="168"/>
  <c r="U34" i="168"/>
  <c r="AF55" i="168"/>
  <c r="AF74" i="168"/>
  <c r="U55" i="168"/>
  <c r="AG72" i="168"/>
  <c r="P55" i="168"/>
  <c r="P32" i="168"/>
  <c r="P35" i="168"/>
  <c r="P37" i="168"/>
  <c r="P33" i="168"/>
  <c r="P36" i="168"/>
  <c r="T38" i="168"/>
  <c r="O38" i="168"/>
  <c r="P22" i="168"/>
  <c r="P23" i="168"/>
  <c r="R38" i="168"/>
  <c r="U22" i="168"/>
  <c r="U23" i="168"/>
  <c r="Z22" i="168"/>
  <c r="Z23" i="168"/>
  <c r="W38" i="168"/>
  <c r="AG26" i="168"/>
  <c r="AG25" i="168"/>
  <c r="AG29" i="168"/>
  <c r="AG28" i="168"/>
  <c r="AG27" i="168"/>
  <c r="AG30" i="168"/>
  <c r="AG24" i="168"/>
  <c r="AG31" i="168"/>
  <c r="AF22" i="168"/>
  <c r="AG3" i="168"/>
  <c r="AF23" i="168"/>
  <c r="BE5" i="108"/>
  <c r="AM4" i="113" s="1"/>
  <c r="AM41" i="113" s="1"/>
  <c r="AQ5" i="108"/>
  <c r="Q42" i="118"/>
  <c r="Z42" i="118" s="1"/>
  <c r="Q5" i="65"/>
  <c r="AG15" i="168"/>
  <c r="AF34" i="168"/>
  <c r="AF50" i="168"/>
  <c r="AF71" i="168"/>
  <c r="AF52" i="168"/>
  <c r="AF69" i="168"/>
  <c r="AE38" i="168"/>
  <c r="AQ39" i="165"/>
  <c r="AP2" i="165"/>
  <c r="AG13" i="168"/>
  <c r="AF32" i="168"/>
  <c r="AF37" i="168"/>
  <c r="AF36" i="168"/>
  <c r="AF35" i="168"/>
  <c r="AF33" i="168"/>
  <c r="R13" i="65"/>
  <c r="R30" i="65"/>
  <c r="Q51" i="65"/>
  <c r="Z47" i="118"/>
  <c r="G39" i="118"/>
  <c r="F35" i="118"/>
  <c r="E34" i="118" s="1"/>
  <c r="M38" i="108"/>
  <c r="AC23" i="108" s="1"/>
  <c r="M33" i="108"/>
  <c r="M34" i="108"/>
  <c r="M32" i="108"/>
  <c r="M30" i="108"/>
  <c r="M31" i="108"/>
  <c r="Z45" i="118"/>
  <c r="Z41" i="118"/>
  <c r="Z43" i="118"/>
  <c r="E10" i="118"/>
  <c r="M12" i="108"/>
  <c r="M14" i="108"/>
  <c r="M19" i="108"/>
  <c r="M13" i="108"/>
  <c r="M11" i="108"/>
  <c r="M10" i="108"/>
  <c r="M18" i="108"/>
  <c r="S5" i="118"/>
  <c r="G11" i="118"/>
  <c r="AA114" i="116"/>
  <c r="AA263" i="116"/>
  <c r="AA223" i="116"/>
  <c r="AA189" i="116"/>
  <c r="AA224" i="116"/>
  <c r="AA226" i="116"/>
  <c r="AA110" i="116"/>
  <c r="AA191" i="116"/>
  <c r="AA115" i="116"/>
  <c r="AA185" i="116"/>
  <c r="AA261" i="116"/>
  <c r="AA222" i="116"/>
  <c r="W41" i="117"/>
  <c r="AA259" i="116"/>
  <c r="W34" i="117"/>
  <c r="AA228" i="116"/>
  <c r="AA186" i="116"/>
  <c r="AA258" i="116"/>
  <c r="AA262" i="116"/>
  <c r="AA225" i="116"/>
  <c r="AA265" i="116"/>
  <c r="W38" i="117"/>
  <c r="AA221" i="116"/>
  <c r="W39" i="117"/>
  <c r="W35" i="117"/>
  <c r="AA260" i="116"/>
  <c r="AA117" i="116"/>
  <c r="W36" i="117"/>
  <c r="AA111" i="116"/>
  <c r="AA112" i="116"/>
  <c r="AA113" i="116"/>
  <c r="AA187" i="116"/>
  <c r="A296" i="116"/>
  <c r="D22" i="118"/>
  <c r="G23" i="118"/>
  <c r="C5" i="118"/>
  <c r="C49" i="118" s="1"/>
  <c r="A150" i="116"/>
  <c r="G37" i="118"/>
  <c r="D41" i="118"/>
  <c r="A347" i="116"/>
  <c r="A311" i="116"/>
  <c r="A312" i="116" s="1"/>
  <c r="A313" i="116" s="1"/>
  <c r="A314" i="116" s="1"/>
  <c r="A315" i="116" s="1"/>
  <c r="A316" i="116" s="1"/>
  <c r="A318" i="116" s="1"/>
  <c r="A319" i="116" s="1"/>
  <c r="A320" i="116" s="1"/>
  <c r="A321" i="116" s="1"/>
  <c r="A322" i="116" s="1"/>
  <c r="A323" i="116" s="1"/>
  <c r="A324" i="116" s="1"/>
  <c r="A325" i="116" s="1"/>
  <c r="A326" i="116" s="1"/>
  <c r="A327" i="116" s="1"/>
  <c r="A328" i="116" s="1"/>
  <c r="A329" i="116" s="1"/>
  <c r="A330" i="116" s="1"/>
  <c r="A332" i="116" s="1"/>
  <c r="AC8" i="109"/>
  <c r="AM6" i="109"/>
  <c r="AA6" i="109"/>
  <c r="X6" i="109"/>
  <c r="AM5" i="109"/>
  <c r="V5" i="109"/>
  <c r="S5" i="109"/>
  <c r="Q4" i="109"/>
  <c r="N4" i="109"/>
  <c r="AH56" i="113"/>
  <c r="AH17" i="113"/>
  <c r="AH16" i="113"/>
  <c r="AH5" i="109"/>
  <c r="K45" i="108"/>
  <c r="K44" i="108"/>
  <c r="K42" i="108"/>
  <c r="AA23" i="108"/>
  <c r="AA22" i="108"/>
  <c r="AA20" i="108"/>
  <c r="AA19" i="108"/>
  <c r="AA18" i="108"/>
  <c r="CT24" i="108"/>
  <c r="AC17" i="113"/>
  <c r="AC16" i="113"/>
  <c r="AC6" i="109"/>
  <c r="AC5" i="109"/>
  <c r="AC4" i="113"/>
  <c r="J45" i="108"/>
  <c r="J44" i="108"/>
  <c r="J42" i="108"/>
  <c r="Z23" i="108"/>
  <c r="Z22" i="108"/>
  <c r="Z21" i="108"/>
  <c r="Z18" i="108"/>
  <c r="AA17" i="109"/>
  <c r="AA16" i="113"/>
  <c r="CS20" i="108"/>
  <c r="AA14" i="113"/>
  <c r="AA4" i="113"/>
  <c r="CS6" i="108"/>
  <c r="Z4" i="108"/>
  <c r="I45" i="108"/>
  <c r="I44" i="108"/>
  <c r="I42" i="108"/>
  <c r="Y23" i="108"/>
  <c r="Y22" i="108"/>
  <c r="Y21" i="108"/>
  <c r="Y20" i="108"/>
  <c r="Y18" i="108"/>
  <c r="X56" i="113"/>
  <c r="X18" i="113"/>
  <c r="X17" i="113"/>
  <c r="X16" i="113"/>
  <c r="X14" i="113"/>
  <c r="X4" i="113"/>
  <c r="X41" i="113" s="1"/>
  <c r="H45" i="108"/>
  <c r="H44" i="108"/>
  <c r="H42" i="108"/>
  <c r="X22" i="108"/>
  <c r="X21" i="108"/>
  <c r="X20" i="108"/>
  <c r="X19" i="108"/>
  <c r="V56" i="113"/>
  <c r="BN22" i="108"/>
  <c r="V16" i="113"/>
  <c r="CQ20" i="108"/>
  <c r="V8" i="109"/>
  <c r="V14" i="113"/>
  <c r="V4" i="113"/>
  <c r="X5" i="108"/>
  <c r="G45" i="108"/>
  <c r="G44" i="108"/>
  <c r="G42" i="108"/>
  <c r="O38" i="108"/>
  <c r="O34" i="108"/>
  <c r="W21" i="108"/>
  <c r="O32" i="108"/>
  <c r="O31" i="108"/>
  <c r="O30" i="108"/>
  <c r="O29" i="108"/>
  <c r="S18" i="113"/>
  <c r="S17" i="113"/>
  <c r="CP20" i="108"/>
  <c r="S15" i="113"/>
  <c r="S14" i="113"/>
  <c r="CP17" i="108"/>
  <c r="S4" i="113"/>
  <c r="S3" i="113"/>
  <c r="O3" i="108"/>
  <c r="F45" i="108"/>
  <c r="F44" i="108"/>
  <c r="F42" i="108"/>
  <c r="V23" i="108"/>
  <c r="V22" i="108"/>
  <c r="V21" i="108"/>
  <c r="V20" i="108"/>
  <c r="V17" i="108"/>
  <c r="Q18" i="113"/>
  <c r="Q17" i="113"/>
  <c r="CO23" i="108"/>
  <c r="Q16" i="113"/>
  <c r="CO20" i="108"/>
  <c r="Q14" i="113"/>
  <c r="Q4" i="113"/>
  <c r="CO6" i="108"/>
  <c r="V4" i="108"/>
  <c r="E45" i="108"/>
  <c r="E44" i="108"/>
  <c r="E42" i="108"/>
  <c r="U21" i="108"/>
  <c r="U20" i="108"/>
  <c r="U19" i="108"/>
  <c r="U18" i="108"/>
  <c r="N56" i="113"/>
  <c r="N17" i="109"/>
  <c r="BK23" i="108"/>
  <c r="N16" i="113"/>
  <c r="N15" i="113"/>
  <c r="N14" i="113"/>
  <c r="U11" i="108"/>
  <c r="U8" i="108"/>
  <c r="N4" i="113"/>
  <c r="N5" i="109"/>
  <c r="U4" i="108"/>
  <c r="C45" i="108"/>
  <c r="B45" i="108"/>
  <c r="B44" i="108"/>
  <c r="B42" i="108"/>
  <c r="Y19" i="108"/>
  <c r="BV24" i="108"/>
  <c r="X23" i="108"/>
  <c r="W23" i="108"/>
  <c r="U23" i="108"/>
  <c r="CX22" i="108"/>
  <c r="CX24" i="108" s="1"/>
  <c r="CT22" i="108"/>
  <c r="BQ22" i="108"/>
  <c r="BM22" i="108"/>
  <c r="BL22" i="108"/>
  <c r="U22" i="108"/>
  <c r="CO21" i="108"/>
  <c r="CS21" i="108"/>
  <c r="BL21" i="108"/>
  <c r="AA21" i="108"/>
  <c r="DA20" i="108"/>
  <c r="BV20" i="108"/>
  <c r="AD20" i="108"/>
  <c r="AD22" i="108" s="1"/>
  <c r="AD23" i="108" s="1"/>
  <c r="AD25" i="108" s="1"/>
  <c r="Z20" i="108"/>
  <c r="W20" i="108"/>
  <c r="CN19" i="108"/>
  <c r="BK19" i="108"/>
  <c r="BM19" i="108"/>
  <c r="AD19" i="108"/>
  <c r="Z19" i="108"/>
  <c r="W19" i="108"/>
  <c r="V19" i="108"/>
  <c r="CR18" i="108"/>
  <c r="CX18" i="108"/>
  <c r="CX19" i="108" s="1"/>
  <c r="CX21" i="108" s="1"/>
  <c r="BB51" i="108"/>
  <c r="AA17" i="108"/>
  <c r="Z17" i="108"/>
  <c r="Y17" i="108"/>
  <c r="B17" i="108"/>
  <c r="R13" i="108" s="1"/>
  <c r="U15" i="108"/>
  <c r="CX13" i="108"/>
  <c r="CX14" i="108" s="1"/>
  <c r="CX15" i="108" s="1"/>
  <c r="CX16" i="108" s="1"/>
  <c r="U10" i="108"/>
  <c r="AD11" i="108"/>
  <c r="AD13" i="108" s="1"/>
  <c r="AD14" i="108" s="1"/>
  <c r="AD15" i="108" s="1"/>
  <c r="AD16" i="108" s="1"/>
  <c r="CX9" i="108"/>
  <c r="CX10" i="108" s="1"/>
  <c r="CX11" i="108" s="1"/>
  <c r="AD9" i="108"/>
  <c r="AD10" i="108" s="1"/>
  <c r="U9" i="108"/>
  <c r="CP7" i="108"/>
  <c r="CO7" i="108"/>
  <c r="CN7" i="108"/>
  <c r="CP6" i="108"/>
  <c r="AC5" i="108"/>
  <c r="AA5" i="108"/>
  <c r="Z5" i="108"/>
  <c r="Y5" i="108"/>
  <c r="W5" i="108"/>
  <c r="CX4" i="108"/>
  <c r="CX5" i="108" s="1"/>
  <c r="AD4" i="108"/>
  <c r="AD5" i="108" s="1"/>
  <c r="AC4" i="108"/>
  <c r="M3" i="108"/>
  <c r="P3" i="108" s="1"/>
  <c r="DA20" i="52"/>
  <c r="BV24" i="52"/>
  <c r="BV20" i="52"/>
  <c r="BV4" i="52"/>
  <c r="B45" i="52"/>
  <c r="B44" i="52"/>
  <c r="B42" i="52"/>
  <c r="B18" i="52"/>
  <c r="R14" i="52" s="1"/>
  <c r="B10" i="52"/>
  <c r="E57" i="111"/>
  <c r="C47" i="111" s="1"/>
  <c r="C23" i="111" s="1"/>
  <c r="E56" i="111"/>
  <c r="E55" i="111"/>
  <c r="E54" i="111"/>
  <c r="E53" i="111"/>
  <c r="E52" i="111"/>
  <c r="X46" i="111"/>
  <c r="W46" i="111"/>
  <c r="V46" i="111"/>
  <c r="U46" i="111"/>
  <c r="T46" i="111"/>
  <c r="Y46" i="111" s="1"/>
  <c r="W43" i="111"/>
  <c r="V43" i="111"/>
  <c r="U43" i="111"/>
  <c r="C43" i="111" s="1"/>
  <c r="G43" i="111" s="1"/>
  <c r="Q43" i="111" s="1"/>
  <c r="T43" i="111"/>
  <c r="AF6" i="52" s="1"/>
  <c r="X42" i="111"/>
  <c r="E42" i="111"/>
  <c r="BV4" i="108" s="1"/>
  <c r="E36" i="111"/>
  <c r="F41" i="111" s="1"/>
  <c r="C34" i="111"/>
  <c r="C33" i="111"/>
  <c r="C32" i="111"/>
  <c r="M30" i="111"/>
  <c r="C30" i="111"/>
  <c r="O24" i="111"/>
  <c r="N24" i="111"/>
  <c r="M24" i="111"/>
  <c r="K24" i="111"/>
  <c r="E24" i="111"/>
  <c r="P23" i="111"/>
  <c r="O23" i="111"/>
  <c r="N23" i="111"/>
  <c r="L23" i="111"/>
  <c r="K23" i="111"/>
  <c r="E23" i="111"/>
  <c r="F22" i="111" s="1"/>
  <c r="M21" i="111"/>
  <c r="K21" i="111"/>
  <c r="C21" i="111"/>
  <c r="C19" i="111"/>
  <c r="E19" i="111" s="1"/>
  <c r="C18" i="111"/>
  <c r="E18" i="111" s="1"/>
  <c r="C17" i="111"/>
  <c r="E17" i="111" s="1"/>
  <c r="G17" i="111" s="1"/>
  <c r="X13" i="111"/>
  <c r="W13" i="111"/>
  <c r="V13" i="111"/>
  <c r="U13" i="111"/>
  <c r="T13" i="111"/>
  <c r="M13" i="111"/>
  <c r="L13" i="111"/>
  <c r="K13" i="111"/>
  <c r="I13" i="111"/>
  <c r="C10" i="111"/>
  <c r="B10" i="108" s="1"/>
  <c r="R8" i="108" s="1"/>
  <c r="G9" i="111"/>
  <c r="B18" i="108"/>
  <c r="R14" i="108" s="1"/>
  <c r="B14" i="108"/>
  <c r="R12" i="108" s="1"/>
  <c r="G7" i="111"/>
  <c r="Y42" i="111"/>
  <c r="Y47" i="111"/>
  <c r="Y45" i="111"/>
  <c r="C45" i="111"/>
  <c r="G45" i="111" s="1"/>
  <c r="Q45" i="111" s="1"/>
  <c r="G44" i="111"/>
  <c r="Q44" i="111" s="1"/>
  <c r="Y38" i="111"/>
  <c r="C38" i="111"/>
  <c r="G38" i="111" s="1"/>
  <c r="Z38" i="111" s="1"/>
  <c r="Y36" i="111"/>
  <c r="Z36" i="111" s="1"/>
  <c r="G21" i="111"/>
  <c r="G16" i="111"/>
  <c r="G15" i="111"/>
  <c r="G14" i="111"/>
  <c r="G8" i="111"/>
  <c r="U41" i="111"/>
  <c r="U40" i="111"/>
  <c r="U39" i="111"/>
  <c r="X44" i="111"/>
  <c r="X22" i="111"/>
  <c r="X40" i="111"/>
  <c r="X39" i="111"/>
  <c r="V44" i="111"/>
  <c r="V41" i="111"/>
  <c r="V22" i="111"/>
  <c r="V40" i="111"/>
  <c r="V39" i="111"/>
  <c r="W22" i="111"/>
  <c r="W41" i="111"/>
  <c r="W39" i="111"/>
  <c r="T44" i="111"/>
  <c r="Y44" i="111" s="1"/>
  <c r="T41" i="111"/>
  <c r="T22" i="111"/>
  <c r="T40" i="111"/>
  <c r="T39" i="111"/>
  <c r="W37" i="111"/>
  <c r="C40" i="111"/>
  <c r="G40" i="111" s="1"/>
  <c r="L41" i="111"/>
  <c r="L21" i="111"/>
  <c r="C29" i="111"/>
  <c r="C12" i="111"/>
  <c r="C13" i="111"/>
  <c r="E13" i="111" s="1"/>
  <c r="AA147" i="116" a="1"/>
  <c r="AA188" i="116" a="1"/>
  <c r="AA148" i="116" a="1"/>
  <c r="AA149" i="116" a="1"/>
  <c r="AA295" i="116" a="1"/>
  <c r="AG74" i="168" l="1"/>
  <c r="AG55" i="168"/>
  <c r="AM4" i="109"/>
  <c r="R17" i="113"/>
  <c r="P38" i="168"/>
  <c r="O4" i="113"/>
  <c r="P4" i="113" s="1"/>
  <c r="Q60" i="113"/>
  <c r="Q41" i="113"/>
  <c r="R18" i="113"/>
  <c r="O14" i="113"/>
  <c r="P14" i="113" s="1"/>
  <c r="Q51" i="113"/>
  <c r="Q70" i="113"/>
  <c r="O16" i="113"/>
  <c r="P16" i="113" s="1"/>
  <c r="Q53" i="113"/>
  <c r="Q72" i="113"/>
  <c r="O4" i="109"/>
  <c r="P4" i="109" s="1"/>
  <c r="Q54" i="113"/>
  <c r="Q73" i="113"/>
  <c r="Q74" i="113"/>
  <c r="Q55" i="113"/>
  <c r="R4" i="113"/>
  <c r="Q75" i="113"/>
  <c r="Q75" i="168"/>
  <c r="R14" i="113"/>
  <c r="U38" i="168"/>
  <c r="X75" i="113"/>
  <c r="X75" i="168"/>
  <c r="Z38" i="168"/>
  <c r="Y6" i="109"/>
  <c r="Z6" i="109" s="1"/>
  <c r="AC75" i="113"/>
  <c r="AC75" i="168"/>
  <c r="AG22" i="168"/>
  <c r="AG23" i="168"/>
  <c r="BS5" i="108"/>
  <c r="AM4" i="168"/>
  <c r="W56" i="113"/>
  <c r="AG52" i="168"/>
  <c r="AG71" i="168"/>
  <c r="AG69" i="168"/>
  <c r="AF38" i="168"/>
  <c r="AR39" i="165"/>
  <c r="AQ2" i="165"/>
  <c r="AG50" i="168"/>
  <c r="AG32" i="168"/>
  <c r="AG35" i="168"/>
  <c r="AG36" i="168"/>
  <c r="AG37" i="168"/>
  <c r="AG33" i="168"/>
  <c r="AG34" i="168"/>
  <c r="G47" i="111"/>
  <c r="Q47" i="111" s="1"/>
  <c r="E28" i="118"/>
  <c r="G28" i="118" s="1"/>
  <c r="C42" i="111"/>
  <c r="B11" i="108"/>
  <c r="R9" i="108" s="1"/>
  <c r="AF6" i="108"/>
  <c r="S22" i="111"/>
  <c r="S13" i="111"/>
  <c r="AT6" i="52"/>
  <c r="AT6" i="108"/>
  <c r="D5" i="109" s="1"/>
  <c r="B13" i="108"/>
  <c r="R11" i="108" s="1"/>
  <c r="B11" i="52"/>
  <c r="R9" i="52" s="1"/>
  <c r="Y40" i="111"/>
  <c r="Z40" i="111" s="1"/>
  <c r="B13" i="52"/>
  <c r="R11" i="52" s="1"/>
  <c r="C24" i="111"/>
  <c r="Q38" i="118"/>
  <c r="R41" i="118" s="1"/>
  <c r="E33" i="118"/>
  <c r="G33" i="118" s="1"/>
  <c r="E32" i="118"/>
  <c r="G32" i="118" s="1"/>
  <c r="M28" i="108"/>
  <c r="AM23" i="109"/>
  <c r="E30" i="118"/>
  <c r="G30" i="118" s="1"/>
  <c r="AC20" i="108"/>
  <c r="AC18" i="108"/>
  <c r="C41" i="111"/>
  <c r="B5" i="108" s="1"/>
  <c r="E12" i="111"/>
  <c r="G12" i="111" s="1"/>
  <c r="B19" i="52"/>
  <c r="R15" i="52" s="1"/>
  <c r="B19" i="108"/>
  <c r="R15" i="108" s="1"/>
  <c r="AF7" i="108"/>
  <c r="AT7" i="52"/>
  <c r="AT7" i="108"/>
  <c r="AF7" i="52"/>
  <c r="Y41" i="111"/>
  <c r="X41" i="111"/>
  <c r="F30" i="111"/>
  <c r="T37" i="111"/>
  <c r="U37" i="111"/>
  <c r="V37" i="111"/>
  <c r="W40" i="111"/>
  <c r="O21" i="111"/>
  <c r="X37" i="111"/>
  <c r="C37" i="111" s="1"/>
  <c r="G37" i="111" s="1"/>
  <c r="U22" i="111"/>
  <c r="S30" i="111"/>
  <c r="C11" i="111"/>
  <c r="D13" i="111" s="1"/>
  <c r="X73" i="113"/>
  <c r="V53" i="113"/>
  <c r="V72" i="113"/>
  <c r="AC22" i="109"/>
  <c r="AB22" i="109" s="1"/>
  <c r="AB6" i="109"/>
  <c r="S71" i="113"/>
  <c r="X7" i="109"/>
  <c r="X13" i="113"/>
  <c r="X9" i="109"/>
  <c r="X74" i="113"/>
  <c r="X55" i="113"/>
  <c r="BC48" i="108"/>
  <c r="AC14" i="113"/>
  <c r="AC70" i="113" s="1"/>
  <c r="CQ21" i="108"/>
  <c r="N41" i="113"/>
  <c r="BY28" i="108"/>
  <c r="CN20" i="108"/>
  <c r="CN23" i="108"/>
  <c r="CO17" i="108"/>
  <c r="Q15" i="113"/>
  <c r="S51" i="113"/>
  <c r="V41" i="113"/>
  <c r="CR6" i="108"/>
  <c r="X54" i="113"/>
  <c r="S4" i="109"/>
  <c r="R4" i="109" s="1"/>
  <c r="X5" i="109"/>
  <c r="X22" i="109" s="1"/>
  <c r="AZ51" i="108"/>
  <c r="V9" i="109"/>
  <c r="V13" i="113"/>
  <c r="V50" i="113" s="1"/>
  <c r="V7" i="109"/>
  <c r="V18" i="113"/>
  <c r="AB16" i="113"/>
  <c r="AA56" i="113"/>
  <c r="AB56" i="113" s="1"/>
  <c r="V4" i="109"/>
  <c r="AA5" i="109"/>
  <c r="AA22" i="109" s="1"/>
  <c r="W4" i="108"/>
  <c r="W3" i="108" s="1"/>
  <c r="W30" i="108" s="1"/>
  <c r="N51" i="113"/>
  <c r="N71" i="113"/>
  <c r="BK22" i="108"/>
  <c r="N17" i="113"/>
  <c r="O17" i="113" s="1"/>
  <c r="P17" i="113" s="1"/>
  <c r="S41" i="113"/>
  <c r="CQ6" i="108"/>
  <c r="AA60" i="113"/>
  <c r="AB4" i="113"/>
  <c r="BP20" i="108"/>
  <c r="CE28" i="108"/>
  <c r="X4" i="109"/>
  <c r="Q17" i="109"/>
  <c r="BK21" i="108"/>
  <c r="N53" i="113"/>
  <c r="AY53" i="108"/>
  <c r="S9" i="109"/>
  <c r="S13" i="113"/>
  <c r="S50" i="113" s="1"/>
  <c r="S7" i="109"/>
  <c r="S74" i="113"/>
  <c r="S55" i="113"/>
  <c r="X70" i="113"/>
  <c r="Y14" i="113"/>
  <c r="Y16" i="113"/>
  <c r="BQ19" i="108"/>
  <c r="AC15" i="113"/>
  <c r="AC52" i="113" s="1"/>
  <c r="AA16" i="108"/>
  <c r="AA48" i="108" s="1"/>
  <c r="S3" i="109"/>
  <c r="AA4" i="109"/>
  <c r="S17" i="109"/>
  <c r="BZ28" i="108"/>
  <c r="N72" i="113"/>
  <c r="Q9" i="109"/>
  <c r="Q7" i="109"/>
  <c r="Q13" i="113"/>
  <c r="Q36" i="113" s="1"/>
  <c r="S40" i="113"/>
  <c r="S22" i="113"/>
  <c r="S52" i="113"/>
  <c r="S54" i="113"/>
  <c r="R54" i="113" s="1"/>
  <c r="CA28" i="108"/>
  <c r="X60" i="113"/>
  <c r="Y4" i="113"/>
  <c r="BO20" i="108"/>
  <c r="BO23" i="108"/>
  <c r="CD28" i="108"/>
  <c r="AC53" i="113"/>
  <c r="AC4" i="109"/>
  <c r="N8" i="109"/>
  <c r="V17" i="109"/>
  <c r="BN18" i="108"/>
  <c r="V51" i="113"/>
  <c r="T51" i="113" s="1"/>
  <c r="U51" i="113" s="1"/>
  <c r="BA47" i="108"/>
  <c r="CP19" i="108"/>
  <c r="S73" i="113"/>
  <c r="R73" i="113" s="1"/>
  <c r="AL33" i="108"/>
  <c r="AL34" i="108"/>
  <c r="V70" i="113"/>
  <c r="W14" i="113"/>
  <c r="W16" i="113"/>
  <c r="CR20" i="108"/>
  <c r="BP19" i="108"/>
  <c r="AA15" i="113"/>
  <c r="BP22" i="108"/>
  <c r="AA17" i="113"/>
  <c r="Y17" i="113" s="1"/>
  <c r="AC60" i="113"/>
  <c r="AC72" i="113"/>
  <c r="Q8" i="109"/>
  <c r="X17" i="109"/>
  <c r="Y17" i="109" s="1"/>
  <c r="Z17" i="109" s="1"/>
  <c r="N70" i="113"/>
  <c r="N60" i="113"/>
  <c r="O60" i="113" s="1"/>
  <c r="P60" i="113" s="1"/>
  <c r="N9" i="109"/>
  <c r="N13" i="113"/>
  <c r="N7" i="109"/>
  <c r="N18" i="113"/>
  <c r="O18" i="113" s="1"/>
  <c r="P18" i="113" s="1"/>
  <c r="S59" i="113"/>
  <c r="V60" i="113"/>
  <c r="W4" i="113"/>
  <c r="BN20" i="108"/>
  <c r="BN23" i="108"/>
  <c r="CC28" i="108"/>
  <c r="BP18" i="108"/>
  <c r="AA51" i="113"/>
  <c r="BP21" i="108"/>
  <c r="AA53" i="113"/>
  <c r="AC41" i="113"/>
  <c r="N6" i="109"/>
  <c r="N23" i="109" s="1"/>
  <c r="S8" i="109"/>
  <c r="CN21" i="108"/>
  <c r="BK18" i="108"/>
  <c r="N52" i="113"/>
  <c r="S70" i="113"/>
  <c r="T14" i="113"/>
  <c r="CP21" i="108"/>
  <c r="S16" i="113"/>
  <c r="R16" i="113" s="1"/>
  <c r="CQ23" i="108"/>
  <c r="CR17" i="108"/>
  <c r="CR19" i="108"/>
  <c r="X15" i="113"/>
  <c r="Y16" i="108"/>
  <c r="Y48" i="108" s="1"/>
  <c r="CS18" i="108"/>
  <c r="AA70" i="113"/>
  <c r="AA72" i="113"/>
  <c r="AC7" i="109"/>
  <c r="AC13" i="113"/>
  <c r="AC69" i="113" s="1"/>
  <c r="AC9" i="109"/>
  <c r="AC18" i="113"/>
  <c r="Q6" i="109"/>
  <c r="AC17" i="109"/>
  <c r="AB17" i="109" s="1"/>
  <c r="CT6" i="108"/>
  <c r="BN21" i="108"/>
  <c r="AJ33" i="108"/>
  <c r="Q56" i="113"/>
  <c r="S23" i="113"/>
  <c r="T4" i="113"/>
  <c r="S60" i="113"/>
  <c r="R60" i="113" s="1"/>
  <c r="CB28" i="108"/>
  <c r="AL51" i="108"/>
  <c r="BO18" i="108"/>
  <c r="X51" i="113"/>
  <c r="X53" i="113"/>
  <c r="AA41" i="113"/>
  <c r="AC54" i="113"/>
  <c r="AD56" i="113"/>
  <c r="AE56" i="113" s="1"/>
  <c r="AF56" i="113" s="1"/>
  <c r="AG56" i="113" s="1"/>
  <c r="S6" i="109"/>
  <c r="X8" i="109"/>
  <c r="W8" i="109" s="1"/>
  <c r="BM17" i="108"/>
  <c r="W18" i="108"/>
  <c r="BL20" i="108"/>
  <c r="BL23" i="108"/>
  <c r="CQ17" i="108"/>
  <c r="BN19" i="108"/>
  <c r="V15" i="113"/>
  <c r="T15" i="113" s="1"/>
  <c r="CQ22" i="108"/>
  <c r="V17" i="113"/>
  <c r="T17" i="113" s="1"/>
  <c r="X72" i="113"/>
  <c r="AA13" i="113"/>
  <c r="AA69" i="113" s="1"/>
  <c r="AA7" i="109"/>
  <c r="AA9" i="109"/>
  <c r="AA18" i="113"/>
  <c r="Y18" i="113" s="1"/>
  <c r="AC73" i="113"/>
  <c r="Q5" i="109"/>
  <c r="R5" i="109" s="1"/>
  <c r="V6" i="109"/>
  <c r="V23" i="109" s="1"/>
  <c r="AA8" i="109"/>
  <c r="AB8" i="109" s="1"/>
  <c r="AH8" i="109"/>
  <c r="AD8" i="109" s="1"/>
  <c r="AE8" i="109" s="1"/>
  <c r="AF8" i="109" s="1"/>
  <c r="AG8" i="109" s="1"/>
  <c r="CU19" i="108"/>
  <c r="AH73" i="113"/>
  <c r="AH4" i="113"/>
  <c r="AH41" i="113" s="1"/>
  <c r="AH4" i="109"/>
  <c r="AH13" i="113"/>
  <c r="AH50" i="113" s="1"/>
  <c r="AH9" i="109"/>
  <c r="AH7" i="109"/>
  <c r="AH18" i="113"/>
  <c r="AH54" i="113"/>
  <c r="AH6" i="109"/>
  <c r="AH23" i="109" s="1"/>
  <c r="AH14" i="113"/>
  <c r="AH51" i="113" s="1"/>
  <c r="CU23" i="108"/>
  <c r="CU20" i="108"/>
  <c r="AD16" i="113"/>
  <c r="CU17" i="108"/>
  <c r="AH15" i="113"/>
  <c r="AH52" i="113" s="1"/>
  <c r="AD17" i="113"/>
  <c r="AH53" i="113"/>
  <c r="AD53" i="113" s="1"/>
  <c r="AE53" i="113" s="1"/>
  <c r="AF53" i="113" s="1"/>
  <c r="AG53" i="113" s="1"/>
  <c r="AH72" i="113"/>
  <c r="AH17" i="109"/>
  <c r="G34" i="118"/>
  <c r="CG25" i="108"/>
  <c r="E29" i="118"/>
  <c r="H22" i="118"/>
  <c r="J22" i="118" s="1"/>
  <c r="Q22" i="118" s="1"/>
  <c r="R22" i="118" s="1"/>
  <c r="BE22" i="108"/>
  <c r="BS20" i="108" s="1"/>
  <c r="AQ22" i="108"/>
  <c r="Z39" i="118"/>
  <c r="E31" i="118"/>
  <c r="G31" i="118" s="1"/>
  <c r="E27" i="118"/>
  <c r="E26" i="118"/>
  <c r="M48" i="108"/>
  <c r="G10" i="118"/>
  <c r="AA149" i="116"/>
  <c r="AA147" i="116"/>
  <c r="AA188" i="116"/>
  <c r="AA295" i="116"/>
  <c r="AA148" i="116"/>
  <c r="A297" i="116"/>
  <c r="A333" i="116"/>
  <c r="A384" i="116"/>
  <c r="A348" i="116"/>
  <c r="A349" i="116" s="1"/>
  <c r="A350" i="116" s="1"/>
  <c r="A351" i="116" s="1"/>
  <c r="A352" i="116" s="1"/>
  <c r="A353" i="116" s="1"/>
  <c r="A355" i="116" s="1"/>
  <c r="A356" i="116" s="1"/>
  <c r="A357" i="116" s="1"/>
  <c r="A358" i="116" s="1"/>
  <c r="A359" i="116" s="1"/>
  <c r="A360" i="116" s="1"/>
  <c r="A361" i="116" s="1"/>
  <c r="A362" i="116" s="1"/>
  <c r="A363" i="116" s="1"/>
  <c r="A364" i="116" s="1"/>
  <c r="A365" i="116" s="1"/>
  <c r="A366" i="116" s="1"/>
  <c r="A367" i="116" s="1"/>
  <c r="A369" i="116" s="1"/>
  <c r="A151" i="116"/>
  <c r="H41" i="118"/>
  <c r="Z37" i="118"/>
  <c r="G19" i="111"/>
  <c r="G18" i="111"/>
  <c r="B14" i="52"/>
  <c r="R12" i="52" s="1"/>
  <c r="B17" i="52"/>
  <c r="R13" i="52" s="1"/>
  <c r="AB5" i="109"/>
  <c r="AA23" i="109"/>
  <c r="AI5" i="109"/>
  <c r="AJ5" i="109" s="1"/>
  <c r="AK5" i="109" s="1"/>
  <c r="AL5" i="109" s="1"/>
  <c r="T5" i="109"/>
  <c r="U5" i="109" s="1"/>
  <c r="AM22" i="109"/>
  <c r="AC23" i="109"/>
  <c r="AD5" i="109"/>
  <c r="AE5" i="109" s="1"/>
  <c r="AF5" i="109" s="1"/>
  <c r="AG5" i="109" s="1"/>
  <c r="AC21" i="108"/>
  <c r="AC22" i="108"/>
  <c r="AC17" i="108"/>
  <c r="CU6" i="108"/>
  <c r="CU18" i="108"/>
  <c r="CU24" i="108"/>
  <c r="BQ18" i="108"/>
  <c r="CT19" i="108"/>
  <c r="CT18" i="108"/>
  <c r="CS19" i="108"/>
  <c r="Z16" i="108"/>
  <c r="Z47" i="108" s="1"/>
  <c r="AM34" i="108"/>
  <c r="CR24" i="108"/>
  <c r="BO19" i="108"/>
  <c r="CQ5" i="108"/>
  <c r="AL49" i="108"/>
  <c r="AL54" i="108"/>
  <c r="BN24" i="108"/>
  <c r="X18" i="108"/>
  <c r="CQ24" i="108"/>
  <c r="CQ19" i="108"/>
  <c r="W22" i="108"/>
  <c r="CP22" i="108"/>
  <c r="O33" i="108"/>
  <c r="BM21" i="108"/>
  <c r="BM20" i="108"/>
  <c r="V18" i="108"/>
  <c r="V16" i="108" s="1"/>
  <c r="V45" i="108" s="1"/>
  <c r="CO24" i="108"/>
  <c r="BL24" i="108"/>
  <c r="BK24" i="108"/>
  <c r="CN22" i="108"/>
  <c r="CN24" i="108"/>
  <c r="AC3" i="108"/>
  <c r="AC31" i="108" s="1"/>
  <c r="AJ51" i="108"/>
  <c r="Z3" i="108"/>
  <c r="Z31" i="108" s="1"/>
  <c r="CN5" i="108"/>
  <c r="AA4" i="108"/>
  <c r="CO5" i="108"/>
  <c r="CU5" i="108"/>
  <c r="X4" i="108"/>
  <c r="Y4" i="108"/>
  <c r="BA49" i="108"/>
  <c r="BA48" i="108"/>
  <c r="U17" i="108"/>
  <c r="AI34" i="108"/>
  <c r="CO18" i="108"/>
  <c r="BL18" i="108"/>
  <c r="CP5" i="108"/>
  <c r="AY48" i="108"/>
  <c r="BM18" i="108"/>
  <c r="CP18" i="108"/>
  <c r="AK34" i="108"/>
  <c r="CR7" i="108"/>
  <c r="O28" i="108" a="1"/>
  <c r="O28" i="108" s="1"/>
  <c r="W17" i="108"/>
  <c r="CN6" i="108"/>
  <c r="AK49" i="108"/>
  <c r="AO34" i="108"/>
  <c r="CR5" i="108"/>
  <c r="BL17" i="108"/>
  <c r="CN18" i="108"/>
  <c r="AN33" i="108"/>
  <c r="BC49" i="108"/>
  <c r="BC52" i="108"/>
  <c r="BC50" i="108"/>
  <c r="U5" i="108"/>
  <c r="AY50" i="108"/>
  <c r="CP4" i="108"/>
  <c r="V5" i="108"/>
  <c r="CP24" i="108"/>
  <c r="BM24" i="108"/>
  <c r="S56" i="113"/>
  <c r="T56" i="113" s="1"/>
  <c r="U56" i="113" s="1"/>
  <c r="AY54" i="108"/>
  <c r="CV5" i="108"/>
  <c r="AN50" i="108"/>
  <c r="BB47" i="108"/>
  <c r="BP17" i="108"/>
  <c r="AZ54" i="108"/>
  <c r="CS5" i="108"/>
  <c r="CQ7" i="108"/>
  <c r="BN17" i="108"/>
  <c r="CS17" i="108"/>
  <c r="AO54" i="108"/>
  <c r="CT17" i="108"/>
  <c r="BQ17" i="108"/>
  <c r="BK20" i="108"/>
  <c r="BL19" i="108"/>
  <c r="CO19" i="108"/>
  <c r="AM52" i="108"/>
  <c r="CR23" i="108"/>
  <c r="CQ18" i="108"/>
  <c r="AZ49" i="108"/>
  <c r="CT21" i="108"/>
  <c r="BQ21" i="108"/>
  <c r="BC51" i="108"/>
  <c r="BC53" i="108"/>
  <c r="CT23" i="108"/>
  <c r="BQ23" i="108"/>
  <c r="BO17" i="108"/>
  <c r="AI49" i="108"/>
  <c r="AW47" i="108"/>
  <c r="CU21" i="108"/>
  <c r="BD50" i="108"/>
  <c r="X17" i="108"/>
  <c r="AN49" i="108"/>
  <c r="BB49" i="108"/>
  <c r="CS22" i="108"/>
  <c r="CT4" i="108"/>
  <c r="AL47" i="108"/>
  <c r="AZ47" i="108"/>
  <c r="BD52" i="108"/>
  <c r="CU22" i="108"/>
  <c r="AC19" i="108"/>
  <c r="BK17" i="108"/>
  <c r="CN17" i="108"/>
  <c r="AY49" i="108"/>
  <c r="BA51" i="108"/>
  <c r="CR21" i="108"/>
  <c r="BO21" i="108"/>
  <c r="BB53" i="108"/>
  <c r="CS23" i="108"/>
  <c r="BP23" i="108"/>
  <c r="BA54" i="108"/>
  <c r="AL48" i="108"/>
  <c r="AZ48" i="108"/>
  <c r="AL50" i="108"/>
  <c r="AZ50" i="108"/>
  <c r="AY52" i="108"/>
  <c r="BB54" i="108"/>
  <c r="CS24" i="108"/>
  <c r="BP24" i="108"/>
  <c r="BA50" i="108"/>
  <c r="AZ52" i="108"/>
  <c r="BO24" i="108"/>
  <c r="BC54" i="108"/>
  <c r="BB48" i="108"/>
  <c r="BB50" i="108"/>
  <c r="BA52" i="108"/>
  <c r="CR22" i="108"/>
  <c r="BO22" i="108"/>
  <c r="BQ24" i="108"/>
  <c r="AX48" i="108"/>
  <c r="CT20" i="108"/>
  <c r="BQ20" i="108"/>
  <c r="AN52" i="108"/>
  <c r="BB52" i="108"/>
  <c r="CP23" i="108"/>
  <c r="BM23" i="108"/>
  <c r="AY47" i="108"/>
  <c r="AY51" i="108"/>
  <c r="AL53" i="108"/>
  <c r="AZ53" i="108"/>
  <c r="CO22" i="108"/>
  <c r="D5" i="107"/>
  <c r="R8" i="52"/>
  <c r="C46" i="111"/>
  <c r="G46" i="111" s="1"/>
  <c r="Q46" i="111" s="1"/>
  <c r="F13" i="111"/>
  <c r="G24" i="111"/>
  <c r="V5" i="111"/>
  <c r="W5" i="111"/>
  <c r="C39" i="111"/>
  <c r="Z44" i="111"/>
  <c r="T5" i="111"/>
  <c r="G13" i="111"/>
  <c r="D30" i="111"/>
  <c r="Y39" i="111"/>
  <c r="Y43" i="111"/>
  <c r="AA150" i="116" a="1"/>
  <c r="AA332" i="116" a="1"/>
  <c r="AA296" i="116" a="1"/>
  <c r="E49" i="118" l="1"/>
  <c r="AA44" i="108"/>
  <c r="AA47" i="108"/>
  <c r="AC71" i="113"/>
  <c r="R41" i="113"/>
  <c r="R51" i="113"/>
  <c r="R70" i="113"/>
  <c r="W7" i="109"/>
  <c r="O72" i="113"/>
  <c r="P72" i="113" s="1"/>
  <c r="T60" i="113"/>
  <c r="U60" i="113" s="1"/>
  <c r="AD17" i="109"/>
  <c r="AE17" i="109" s="1"/>
  <c r="AF17" i="109" s="1"/>
  <c r="AG17" i="109" s="1"/>
  <c r="AB14" i="113"/>
  <c r="O53" i="113"/>
  <c r="P53" i="113" s="1"/>
  <c r="O70" i="113"/>
  <c r="P70" i="113" s="1"/>
  <c r="O51" i="113"/>
  <c r="P51" i="113" s="1"/>
  <c r="O41" i="113"/>
  <c r="P41" i="113" s="1"/>
  <c r="N75" i="113"/>
  <c r="O75" i="113" s="1"/>
  <c r="P75" i="113" s="1"/>
  <c r="N75" i="168"/>
  <c r="Q35" i="113"/>
  <c r="Q37" i="113"/>
  <c r="R55" i="113"/>
  <c r="R17" i="109"/>
  <c r="R13" i="113"/>
  <c r="Q26" i="109"/>
  <c r="O9" i="109"/>
  <c r="P9" i="109" s="1"/>
  <c r="Q25" i="109"/>
  <c r="O8" i="109"/>
  <c r="P8" i="109" s="1"/>
  <c r="R74" i="113"/>
  <c r="O15" i="113"/>
  <c r="P15" i="113" s="1"/>
  <c r="Q34" i="113"/>
  <c r="Q52" i="113"/>
  <c r="O52" i="113" s="1"/>
  <c r="P52" i="113" s="1"/>
  <c r="Q71" i="113"/>
  <c r="O71" i="113" s="1"/>
  <c r="P71" i="113" s="1"/>
  <c r="R7" i="109"/>
  <c r="Q33" i="113"/>
  <c r="R8" i="109"/>
  <c r="O7" i="109"/>
  <c r="P7" i="109" s="1"/>
  <c r="Q24" i="109"/>
  <c r="O17" i="109"/>
  <c r="P17" i="109" s="1"/>
  <c r="Q22" i="109"/>
  <c r="O5" i="109"/>
  <c r="P5" i="109" s="1"/>
  <c r="Q23" i="109"/>
  <c r="O23" i="109" s="1"/>
  <c r="P23" i="109" s="1"/>
  <c r="O6" i="109"/>
  <c r="P6" i="109" s="1"/>
  <c r="Q32" i="113"/>
  <c r="O13" i="113"/>
  <c r="P13" i="113" s="1"/>
  <c r="Q50" i="113"/>
  <c r="Q69" i="113"/>
  <c r="R15" i="113"/>
  <c r="T8" i="109"/>
  <c r="U8" i="109" s="1"/>
  <c r="T70" i="113"/>
  <c r="U70" i="113" s="1"/>
  <c r="S75" i="113"/>
  <c r="R75" i="113" s="1"/>
  <c r="S75" i="168"/>
  <c r="S23" i="109"/>
  <c r="T23" i="109" s="1"/>
  <c r="U23" i="109" s="1"/>
  <c r="R6" i="109"/>
  <c r="S26" i="109"/>
  <c r="R9" i="109"/>
  <c r="T50" i="113"/>
  <c r="U50" i="113" s="1"/>
  <c r="V22" i="109"/>
  <c r="W22" i="109" s="1"/>
  <c r="W41" i="113"/>
  <c r="T41" i="113"/>
  <c r="U41" i="113" s="1"/>
  <c r="V75" i="168"/>
  <c r="V75" i="113"/>
  <c r="AA75" i="113"/>
  <c r="AB75" i="113" s="1"/>
  <c r="AA75" i="168"/>
  <c r="AD54" i="113"/>
  <c r="AE54" i="113" s="1"/>
  <c r="AF54" i="113" s="1"/>
  <c r="AG54" i="113" s="1"/>
  <c r="AH75" i="113"/>
  <c r="AD75" i="113" s="1"/>
  <c r="AE75" i="113" s="1"/>
  <c r="AF75" i="113" s="1"/>
  <c r="AG75" i="113" s="1"/>
  <c r="AH75" i="168"/>
  <c r="CV20" i="108"/>
  <c r="CG6" i="108"/>
  <c r="BS6" i="108" s="1"/>
  <c r="CG17" i="108"/>
  <c r="CG23" i="108"/>
  <c r="AM41" i="168"/>
  <c r="AI41" i="168" s="1"/>
  <c r="AJ41" i="168" s="1"/>
  <c r="AK41" i="168" s="1"/>
  <c r="AL41" i="168" s="1"/>
  <c r="AI4" i="168"/>
  <c r="R56" i="113"/>
  <c r="O56" i="113"/>
  <c r="P56" i="113" s="1"/>
  <c r="AS39" i="165"/>
  <c r="AR2" i="165"/>
  <c r="AG38" i="168"/>
  <c r="Z47" i="111"/>
  <c r="AB53" i="113"/>
  <c r="Y8" i="109"/>
  <c r="Z8" i="109" s="1"/>
  <c r="S22" i="109"/>
  <c r="T22" i="109" s="1"/>
  <c r="U22" i="109" s="1"/>
  <c r="AC25" i="109"/>
  <c r="AB4" i="109"/>
  <c r="X25" i="109"/>
  <c r="AA50" i="113"/>
  <c r="V69" i="113"/>
  <c r="AC50" i="113"/>
  <c r="B3" i="108"/>
  <c r="B5" i="52"/>
  <c r="R5" i="52" s="1"/>
  <c r="U5" i="111"/>
  <c r="G41" i="111"/>
  <c r="Z41" i="111" s="1"/>
  <c r="X5" i="111"/>
  <c r="Y37" i="111"/>
  <c r="G42" i="111"/>
  <c r="Q42" i="111" s="1"/>
  <c r="B4" i="52"/>
  <c r="B4" i="108"/>
  <c r="R4" i="108" s="1"/>
  <c r="AD52" i="113"/>
  <c r="AE52" i="113" s="1"/>
  <c r="AF52" i="113" s="1"/>
  <c r="AG52" i="113" s="1"/>
  <c r="AC51" i="113"/>
  <c r="AD51" i="113" s="1"/>
  <c r="AE51" i="113" s="1"/>
  <c r="AF51" i="113" s="1"/>
  <c r="AG51" i="113" s="1"/>
  <c r="AD4" i="109"/>
  <c r="AE4" i="109" s="1"/>
  <c r="AF4" i="109" s="1"/>
  <c r="AG4" i="109" s="1"/>
  <c r="AA35" i="113"/>
  <c r="Y70" i="113"/>
  <c r="Z70" i="113" s="1"/>
  <c r="Y5" i="109"/>
  <c r="Z5" i="109" s="1"/>
  <c r="Y7" i="109"/>
  <c r="Z7" i="109" s="1"/>
  <c r="X23" i="109"/>
  <c r="W23" i="109" s="1"/>
  <c r="W4" i="109"/>
  <c r="W5" i="109"/>
  <c r="X26" i="109"/>
  <c r="V25" i="109"/>
  <c r="V24" i="109"/>
  <c r="V26" i="109"/>
  <c r="T9" i="109"/>
  <c r="U9" i="109" s="1"/>
  <c r="H13" i="118"/>
  <c r="BE10" i="108"/>
  <c r="BE12" i="108"/>
  <c r="AM8" i="168" s="1"/>
  <c r="AI23" i="109"/>
  <c r="AJ23" i="109" s="1"/>
  <c r="AK23" i="109" s="1"/>
  <c r="AL23" i="109" s="1"/>
  <c r="AF5" i="52"/>
  <c r="S41" i="111"/>
  <c r="S5" i="111" s="1"/>
  <c r="AT5" i="52"/>
  <c r="D4" i="107" s="1"/>
  <c r="N22" i="109"/>
  <c r="CK7" i="108"/>
  <c r="D6" i="109"/>
  <c r="CK7" i="52"/>
  <c r="R5" i="108"/>
  <c r="R3" i="108" s="1"/>
  <c r="R30" i="108" s="1"/>
  <c r="E11" i="111"/>
  <c r="G11" i="111" s="1"/>
  <c r="B12" i="108"/>
  <c r="B12" i="52"/>
  <c r="R10" i="52" s="1"/>
  <c r="D6" i="107"/>
  <c r="D22" i="107" s="1"/>
  <c r="AF5" i="108"/>
  <c r="AC26" i="109"/>
  <c r="T7" i="109"/>
  <c r="U7" i="109" s="1"/>
  <c r="AB7" i="109"/>
  <c r="W9" i="109"/>
  <c r="AA25" i="109"/>
  <c r="W70" i="113"/>
  <c r="W60" i="113"/>
  <c r="X24" i="109"/>
  <c r="W6" i="109"/>
  <c r="AH24" i="109"/>
  <c r="N25" i="109"/>
  <c r="AB60" i="113"/>
  <c r="AD73" i="113"/>
  <c r="AE73" i="113" s="1"/>
  <c r="AF73" i="113" s="1"/>
  <c r="AG73" i="113" s="1"/>
  <c r="Y72" i="113"/>
  <c r="Z72" i="113" s="1"/>
  <c r="V52" i="113"/>
  <c r="T52" i="113" s="1"/>
  <c r="U52" i="113" s="1"/>
  <c r="N24" i="109"/>
  <c r="AC36" i="113"/>
  <c r="AD72" i="113"/>
  <c r="AE72" i="113" s="1"/>
  <c r="AF72" i="113" s="1"/>
  <c r="AG72" i="113" s="1"/>
  <c r="N26" i="109"/>
  <c r="Y56" i="113"/>
  <c r="Z56" i="113" s="1"/>
  <c r="W51" i="113"/>
  <c r="Y4" i="109"/>
  <c r="Z4" i="109" s="1"/>
  <c r="Y46" i="108"/>
  <c r="Y44" i="108"/>
  <c r="Y47" i="108"/>
  <c r="AA46" i="108"/>
  <c r="AA45" i="108"/>
  <c r="AA43" i="108"/>
  <c r="Y43" i="108"/>
  <c r="Y45" i="108"/>
  <c r="Z44" i="108"/>
  <c r="Z43" i="108"/>
  <c r="Z18" i="113"/>
  <c r="U17" i="113"/>
  <c r="Z17" i="113"/>
  <c r="U15" i="113"/>
  <c r="Y41" i="113"/>
  <c r="Z41" i="113" s="1"/>
  <c r="AB41" i="113"/>
  <c r="AC37" i="113"/>
  <c r="AC55" i="113"/>
  <c r="AC74" i="113"/>
  <c r="X34" i="113"/>
  <c r="Y15" i="113"/>
  <c r="N73" i="113"/>
  <c r="O73" i="113" s="1"/>
  <c r="P73" i="113" s="1"/>
  <c r="N36" i="113"/>
  <c r="X69" i="113"/>
  <c r="Y69" i="113" s="1"/>
  <c r="Z69" i="113" s="1"/>
  <c r="X32" i="113"/>
  <c r="Y13" i="113"/>
  <c r="AA26" i="109"/>
  <c r="AD7" i="109"/>
  <c r="AE7" i="109" s="1"/>
  <c r="AF7" i="109" s="1"/>
  <c r="AG7" i="109" s="1"/>
  <c r="Y53" i="113"/>
  <c r="Z53" i="113" s="1"/>
  <c r="AA34" i="113"/>
  <c r="AB15" i="113"/>
  <c r="S24" i="109"/>
  <c r="AC35" i="113"/>
  <c r="AI33" i="108"/>
  <c r="BA53" i="108"/>
  <c r="BC47" i="108"/>
  <c r="Q3" i="113"/>
  <c r="Q3" i="109"/>
  <c r="S25" i="109"/>
  <c r="AA32" i="113"/>
  <c r="AB13" i="113"/>
  <c r="Y51" i="113"/>
  <c r="Z51" i="113" s="1"/>
  <c r="AC32" i="113"/>
  <c r="Z16" i="113"/>
  <c r="S32" i="113"/>
  <c r="T13" i="113"/>
  <c r="AA33" i="113"/>
  <c r="S69" i="113"/>
  <c r="AC33" i="113"/>
  <c r="W72" i="113"/>
  <c r="AA3" i="113"/>
  <c r="AA3" i="109"/>
  <c r="AA21" i="109" s="1"/>
  <c r="N33" i="113"/>
  <c r="AB69" i="113"/>
  <c r="X35" i="113"/>
  <c r="N34" i="113"/>
  <c r="AN34" i="108"/>
  <c r="Y22" i="109"/>
  <c r="Z22" i="109" s="1"/>
  <c r="CQ4" i="108"/>
  <c r="AJ34" i="108"/>
  <c r="AO33" i="108"/>
  <c r="S35" i="113"/>
  <c r="T16" i="113"/>
  <c r="Z14" i="113"/>
  <c r="X71" i="113"/>
  <c r="S21" i="109"/>
  <c r="T4" i="109"/>
  <c r="U4" i="109" s="1"/>
  <c r="S36" i="113"/>
  <c r="AX50" i="108"/>
  <c r="V36" i="113"/>
  <c r="W17" i="113"/>
  <c r="T17" i="109"/>
  <c r="U17" i="109" s="1"/>
  <c r="X33" i="113"/>
  <c r="AK33" i="108"/>
  <c r="V37" i="113"/>
  <c r="V55" i="113"/>
  <c r="W18" i="113"/>
  <c r="V74" i="113"/>
  <c r="T74" i="113" s="1"/>
  <c r="U74" i="113" s="1"/>
  <c r="AA73" i="113"/>
  <c r="AM33" i="108"/>
  <c r="V3" i="113"/>
  <c r="V3" i="109"/>
  <c r="U14" i="113"/>
  <c r="AA71" i="113"/>
  <c r="AB71" i="113" s="1"/>
  <c r="S34" i="113"/>
  <c r="W53" i="113"/>
  <c r="AC3" i="113"/>
  <c r="AC3" i="109"/>
  <c r="V71" i="113"/>
  <c r="T71" i="113" s="1"/>
  <c r="U71" i="113" s="1"/>
  <c r="V34" i="113"/>
  <c r="W15" i="113"/>
  <c r="AB70" i="113"/>
  <c r="S33" i="113"/>
  <c r="AB51" i="113"/>
  <c r="N37" i="113"/>
  <c r="N74" i="113"/>
  <c r="O74" i="113" s="1"/>
  <c r="P74" i="113" s="1"/>
  <c r="N55" i="113"/>
  <c r="O55" i="113" s="1"/>
  <c r="P55" i="113" s="1"/>
  <c r="AB72" i="113"/>
  <c r="S20" i="109"/>
  <c r="V54" i="113"/>
  <c r="V32" i="113"/>
  <c r="W13" i="113"/>
  <c r="X52" i="113"/>
  <c r="N3" i="113"/>
  <c r="N3" i="109"/>
  <c r="AB9" i="109"/>
  <c r="AA24" i="109"/>
  <c r="U4" i="113"/>
  <c r="V35" i="113"/>
  <c r="Z4" i="113"/>
  <c r="V73" i="113"/>
  <c r="AA52" i="113"/>
  <c r="AB52" i="113" s="1"/>
  <c r="V44" i="108"/>
  <c r="AJ49" i="108"/>
  <c r="X3" i="113"/>
  <c r="X3" i="109"/>
  <c r="X21" i="109" s="1"/>
  <c r="AC24" i="109"/>
  <c r="N69" i="113"/>
  <c r="N32" i="113"/>
  <c r="V33" i="113"/>
  <c r="Y60" i="113"/>
  <c r="Z60" i="113" s="1"/>
  <c r="AA54" i="113"/>
  <c r="AB54" i="113" s="1"/>
  <c r="N50" i="113"/>
  <c r="AL52" i="108"/>
  <c r="T6" i="109"/>
  <c r="U6" i="109" s="1"/>
  <c r="Y9" i="109"/>
  <c r="Z9" i="109" s="1"/>
  <c r="N54" i="113"/>
  <c r="O54" i="113" s="1"/>
  <c r="P54" i="113" s="1"/>
  <c r="X50" i="113"/>
  <c r="AC34" i="113"/>
  <c r="T18" i="113"/>
  <c r="S72" i="113"/>
  <c r="R72" i="113" s="1"/>
  <c r="S53" i="113"/>
  <c r="R53" i="113" s="1"/>
  <c r="X37" i="113"/>
  <c r="V46" i="108"/>
  <c r="AA74" i="113"/>
  <c r="AA55" i="113"/>
  <c r="Y55" i="113" s="1"/>
  <c r="Z55" i="113" s="1"/>
  <c r="AA37" i="113"/>
  <c r="AB18" i="113"/>
  <c r="X36" i="113"/>
  <c r="AA36" i="113"/>
  <c r="AB17" i="113"/>
  <c r="W17" i="109"/>
  <c r="S37" i="113"/>
  <c r="N35" i="113"/>
  <c r="AI4" i="109"/>
  <c r="AJ4" i="109" s="1"/>
  <c r="AK4" i="109" s="1"/>
  <c r="AL4" i="109" s="1"/>
  <c r="AD9" i="109"/>
  <c r="AE9" i="109" s="1"/>
  <c r="AF9" i="109" s="1"/>
  <c r="AG9" i="109" s="1"/>
  <c r="AH26" i="109"/>
  <c r="AH35" i="113"/>
  <c r="AH25" i="109"/>
  <c r="AI41" i="113"/>
  <c r="AJ41" i="113" s="1"/>
  <c r="AK41" i="113" s="1"/>
  <c r="AL41" i="113" s="1"/>
  <c r="AD41" i="113"/>
  <c r="AE41" i="113" s="1"/>
  <c r="AF41" i="113" s="1"/>
  <c r="AG41" i="113" s="1"/>
  <c r="AH3" i="113"/>
  <c r="AH23" i="113" s="1"/>
  <c r="AH3" i="109"/>
  <c r="AH22" i="109"/>
  <c r="AI22" i="109" s="1"/>
  <c r="AJ22" i="109" s="1"/>
  <c r="AK22" i="109" s="1"/>
  <c r="AL22" i="109" s="1"/>
  <c r="AH69" i="113"/>
  <c r="AD69" i="113" s="1"/>
  <c r="AE69" i="113" s="1"/>
  <c r="AF69" i="113" s="1"/>
  <c r="AG69" i="113" s="1"/>
  <c r="AH70" i="113"/>
  <c r="AD70" i="113" s="1"/>
  <c r="AE70" i="113" s="1"/>
  <c r="AF70" i="113" s="1"/>
  <c r="AG70" i="113" s="1"/>
  <c r="AH33" i="113"/>
  <c r="AD14" i="113"/>
  <c r="BD54" i="108"/>
  <c r="AH37" i="113"/>
  <c r="AD18" i="113"/>
  <c r="AH74" i="113"/>
  <c r="AH55" i="113"/>
  <c r="AD6" i="109"/>
  <c r="AE6" i="109" s="1"/>
  <c r="AF6" i="109" s="1"/>
  <c r="AG6" i="109" s="1"/>
  <c r="AE16" i="113"/>
  <c r="AI6" i="109"/>
  <c r="AJ6" i="109" s="1"/>
  <c r="AK6" i="109" s="1"/>
  <c r="AL6" i="109" s="1"/>
  <c r="AE17" i="113"/>
  <c r="AH32" i="113"/>
  <c r="AD13" i="113"/>
  <c r="AH71" i="113"/>
  <c r="AD71" i="113" s="1"/>
  <c r="AE71" i="113" s="1"/>
  <c r="AF71" i="113" s="1"/>
  <c r="AG71" i="113" s="1"/>
  <c r="AH34" i="113"/>
  <c r="AD15" i="113"/>
  <c r="AH36" i="113"/>
  <c r="AH60" i="113"/>
  <c r="AD4" i="113"/>
  <c r="AI4" i="113"/>
  <c r="AJ4" i="113" s="1"/>
  <c r="AK4" i="113" s="1"/>
  <c r="AL4" i="113" s="1"/>
  <c r="G29" i="118"/>
  <c r="CG18" i="108"/>
  <c r="G26" i="118"/>
  <c r="CG19" i="108"/>
  <c r="G27" i="118"/>
  <c r="CG21" i="108"/>
  <c r="CG22" i="108"/>
  <c r="CG11" i="108"/>
  <c r="CG15" i="108"/>
  <c r="DL12" i="108"/>
  <c r="BE9" i="108"/>
  <c r="AQ9" i="108"/>
  <c r="DL8" i="108"/>
  <c r="AQ15" i="108"/>
  <c r="DL14" i="108"/>
  <c r="DL11" i="108"/>
  <c r="AQ10" i="108"/>
  <c r="BE16" i="108"/>
  <c r="AM11" i="168" s="1"/>
  <c r="AQ17" i="108"/>
  <c r="BE17" i="108"/>
  <c r="AM12" i="168" s="1"/>
  <c r="AQ12" i="108"/>
  <c r="AQ11" i="108"/>
  <c r="DL13" i="108"/>
  <c r="BE15" i="108"/>
  <c r="AM10" i="168" s="1"/>
  <c r="DL16" i="108"/>
  <c r="DL15" i="108"/>
  <c r="AQ14" i="108"/>
  <c r="DL9" i="108"/>
  <c r="DL10" i="108"/>
  <c r="AQ16" i="108"/>
  <c r="BE14" i="108"/>
  <c r="AM9" i="168" s="1"/>
  <c r="G20" i="118"/>
  <c r="AA296" i="116"/>
  <c r="AA332" i="116"/>
  <c r="AA150" i="116"/>
  <c r="A298" i="116"/>
  <c r="A421" i="116"/>
  <c r="A385" i="116"/>
  <c r="A386" i="116" s="1"/>
  <c r="A387" i="116" s="1"/>
  <c r="A388" i="116" s="1"/>
  <c r="A389" i="116" s="1"/>
  <c r="A390" i="116" s="1"/>
  <c r="A392" i="116" s="1"/>
  <c r="A393" i="116" s="1"/>
  <c r="A394" i="116" s="1"/>
  <c r="A395" i="116" s="1"/>
  <c r="A396" i="116" s="1"/>
  <c r="A397" i="116" s="1"/>
  <c r="A398" i="116" s="1"/>
  <c r="A399" i="116" s="1"/>
  <c r="A400" i="116" s="1"/>
  <c r="A401" i="116" s="1"/>
  <c r="A402" i="116" s="1"/>
  <c r="A403" i="116" s="1"/>
  <c r="A404" i="116" s="1"/>
  <c r="A406" i="116" s="1"/>
  <c r="A334" i="116"/>
  <c r="A152" i="116"/>
  <c r="A370" i="116"/>
  <c r="F35" i="111"/>
  <c r="E29" i="111" s="1"/>
  <c r="B38" i="108"/>
  <c r="R23" i="108" s="1"/>
  <c r="B33" i="108"/>
  <c r="R21" i="108" s="1"/>
  <c r="B32" i="108"/>
  <c r="R20" i="108" s="1"/>
  <c r="B31" i="108"/>
  <c r="R19" i="108" s="1"/>
  <c r="B30" i="108"/>
  <c r="R18" i="108" s="1"/>
  <c r="B34" i="108"/>
  <c r="R22" i="108" s="1"/>
  <c r="B32" i="52"/>
  <c r="R20" i="52" s="1"/>
  <c r="B38" i="52"/>
  <c r="R23" i="52" s="1"/>
  <c r="B31" i="52"/>
  <c r="R19" i="52" s="1"/>
  <c r="B34" i="52"/>
  <c r="R22" i="52" s="1"/>
  <c r="B29" i="108"/>
  <c r="B30" i="52"/>
  <c r="R18" i="52" s="1"/>
  <c r="B33" i="52"/>
  <c r="R21" i="52" s="1"/>
  <c r="B29" i="52"/>
  <c r="R7" i="52"/>
  <c r="AD23" i="109"/>
  <c r="AE23" i="109" s="1"/>
  <c r="AF23" i="109" s="1"/>
  <c r="AG23" i="109" s="1"/>
  <c r="AB23" i="109"/>
  <c r="AC30" i="108"/>
  <c r="BD53" i="108"/>
  <c r="CU4" i="108"/>
  <c r="AO47" i="108"/>
  <c r="AO53" i="108"/>
  <c r="AO50" i="108"/>
  <c r="Z45" i="108"/>
  <c r="Z30" i="108"/>
  <c r="Z48" i="108"/>
  <c r="AN53" i="108"/>
  <c r="AN48" i="108"/>
  <c r="AN51" i="108"/>
  <c r="Z46" i="108"/>
  <c r="CS4" i="108"/>
  <c r="AN54" i="108"/>
  <c r="AN47" i="108"/>
  <c r="CR4" i="108"/>
  <c r="W31" i="108"/>
  <c r="V48" i="108"/>
  <c r="V43" i="108"/>
  <c r="V47" i="108"/>
  <c r="AI47" i="108"/>
  <c r="AK47" i="108"/>
  <c r="AX49" i="108"/>
  <c r="CT5" i="108"/>
  <c r="AK53" i="108"/>
  <c r="AM51" i="108"/>
  <c r="AI50" i="108"/>
  <c r="AJ50" i="108"/>
  <c r="AI48" i="108"/>
  <c r="AX52" i="108"/>
  <c r="AX47" i="108"/>
  <c r="AJ52" i="108"/>
  <c r="W16" i="108"/>
  <c r="W43" i="108" s="1"/>
  <c r="CS7" i="108"/>
  <c r="AW54" i="108"/>
  <c r="AW51" i="108"/>
  <c r="AW53" i="108"/>
  <c r="AW52" i="108"/>
  <c r="U3" i="108"/>
  <c r="U16" i="108"/>
  <c r="U43" i="108" s="1"/>
  <c r="AK48" i="108"/>
  <c r="BD49" i="108"/>
  <c r="BD48" i="108"/>
  <c r="BD47" i="108"/>
  <c r="AW48" i="108"/>
  <c r="AJ48" i="108"/>
  <c r="BD51" i="108"/>
  <c r="AW49" i="108"/>
  <c r="AX51" i="108"/>
  <c r="AJ47" i="108"/>
  <c r="CO4" i="108"/>
  <c r="AK52" i="108"/>
  <c r="X16" i="108"/>
  <c r="CN4" i="108"/>
  <c r="AM53" i="108"/>
  <c r="AM50" i="108"/>
  <c r="AM54" i="108"/>
  <c r="AK54" i="108"/>
  <c r="AJ53" i="108"/>
  <c r="AJ54" i="108"/>
  <c r="Y3" i="108"/>
  <c r="Y30" i="108" s="1"/>
  <c r="AK51" i="108"/>
  <c r="V3" i="108"/>
  <c r="V31" i="108" s="1"/>
  <c r="X3" i="108"/>
  <c r="AI52" i="108"/>
  <c r="AI51" i="108"/>
  <c r="AI53" i="108"/>
  <c r="AI54" i="108"/>
  <c r="AW50" i="108"/>
  <c r="AK50" i="108"/>
  <c r="AM47" i="108"/>
  <c r="AM49" i="108"/>
  <c r="AM48" i="108"/>
  <c r="AX54" i="108"/>
  <c r="AX53" i="108"/>
  <c r="AC16" i="108"/>
  <c r="AO49" i="108"/>
  <c r="AO48" i="108"/>
  <c r="AO52" i="108"/>
  <c r="AO51" i="108"/>
  <c r="AA3" i="108"/>
  <c r="AA30" i="108" s="1"/>
  <c r="D23" i="107"/>
  <c r="D41" i="111"/>
  <c r="G39" i="111"/>
  <c r="Q38" i="111" s="1"/>
  <c r="G23" i="111"/>
  <c r="D22" i="111"/>
  <c r="Z37" i="111"/>
  <c r="C5" i="111"/>
  <c r="BD25" i="52"/>
  <c r="BC25" i="52"/>
  <c r="BB25" i="52"/>
  <c r="AA18" i="115" s="1"/>
  <c r="BA25" i="52"/>
  <c r="X18" i="115" s="1"/>
  <c r="AZ25" i="52"/>
  <c r="AY25" i="52"/>
  <c r="AX25" i="52"/>
  <c r="AW25" i="52"/>
  <c r="AP26" i="52"/>
  <c r="AP25" i="52"/>
  <c r="AO26" i="52"/>
  <c r="AO25" i="52"/>
  <c r="AN26" i="52"/>
  <c r="AN25" i="52"/>
  <c r="AM26" i="52"/>
  <c r="AM25" i="52"/>
  <c r="AL26" i="52"/>
  <c r="AL25" i="52"/>
  <c r="AK26" i="52"/>
  <c r="AK25" i="52"/>
  <c r="AJ26" i="52"/>
  <c r="AJ25" i="52"/>
  <c r="AI26" i="52"/>
  <c r="AI25" i="52"/>
  <c r="AQ7" i="52"/>
  <c r="AQ6" i="52"/>
  <c r="AP7" i="52"/>
  <c r="AP5" i="52" s="1"/>
  <c r="AP6" i="52"/>
  <c r="AP4" i="52" s="1"/>
  <c r="AO7" i="52"/>
  <c r="AO5" i="52" s="1"/>
  <c r="AO6" i="52"/>
  <c r="AO4" i="52" s="1"/>
  <c r="AN7" i="52"/>
  <c r="AN5" i="52" s="1"/>
  <c r="AN6" i="52"/>
  <c r="AN4" i="52" s="1"/>
  <c r="AM7" i="52"/>
  <c r="AM5" i="52" s="1"/>
  <c r="AM6" i="52"/>
  <c r="AM4" i="52" s="1"/>
  <c r="AL7" i="52"/>
  <c r="AL5" i="52" s="1"/>
  <c r="AL6" i="52"/>
  <c r="AL4" i="52" s="1"/>
  <c r="AK7" i="52"/>
  <c r="AK5" i="52" s="1"/>
  <c r="AK6" i="52"/>
  <c r="AK4" i="52" s="1"/>
  <c r="AJ7" i="52"/>
  <c r="AJ5" i="52" s="1"/>
  <c r="AJ6" i="52"/>
  <c r="AJ4" i="52" s="1"/>
  <c r="AI7" i="52"/>
  <c r="AI5" i="52" s="1"/>
  <c r="AI6" i="52"/>
  <c r="AI4" i="52" s="1"/>
  <c r="DK24" i="52"/>
  <c r="DK23" i="52"/>
  <c r="DJ24" i="52"/>
  <c r="DJ23" i="52"/>
  <c r="DI24" i="52"/>
  <c r="DI23" i="52"/>
  <c r="DH24" i="52"/>
  <c r="DH23" i="52"/>
  <c r="DG24" i="52"/>
  <c r="DG23" i="52"/>
  <c r="DF24" i="52"/>
  <c r="DF23" i="52"/>
  <c r="DE24" i="52"/>
  <c r="DE23" i="52"/>
  <c r="DD24" i="52"/>
  <c r="DD23" i="52"/>
  <c r="CG24" i="52"/>
  <c r="CF24" i="52"/>
  <c r="CF23" i="52"/>
  <c r="CE24" i="52"/>
  <c r="CE23" i="52"/>
  <c r="CD24" i="52"/>
  <c r="CD23" i="52"/>
  <c r="CC24" i="52"/>
  <c r="CC23" i="52"/>
  <c r="CB24" i="52"/>
  <c r="CB23" i="52"/>
  <c r="CA24" i="52"/>
  <c r="CA23" i="52"/>
  <c r="BZ24" i="52"/>
  <c r="BZ23" i="52"/>
  <c r="BY24" i="52"/>
  <c r="BY23" i="52"/>
  <c r="BD26" i="52"/>
  <c r="BC26" i="52"/>
  <c r="BB26" i="52"/>
  <c r="BA26" i="52"/>
  <c r="AZ26" i="52"/>
  <c r="AY26" i="52"/>
  <c r="BM24" i="52" s="1"/>
  <c r="AX26" i="52"/>
  <c r="AW26" i="52"/>
  <c r="CG4" i="52"/>
  <c r="CF6" i="52"/>
  <c r="BR6" i="52" s="1"/>
  <c r="CF4" i="52"/>
  <c r="CE6" i="52"/>
  <c r="BQ6" i="52" s="1"/>
  <c r="CE4" i="52"/>
  <c r="CD6" i="52"/>
  <c r="BP6" i="52" s="1"/>
  <c r="CD4" i="52"/>
  <c r="CC6" i="52"/>
  <c r="BO6" i="52" s="1"/>
  <c r="CC4" i="52"/>
  <c r="CB6" i="52"/>
  <c r="BN6" i="52" s="1"/>
  <c r="CB4" i="52"/>
  <c r="CA6" i="52"/>
  <c r="BM6" i="52" s="1"/>
  <c r="CA4" i="52"/>
  <c r="BZ6" i="52"/>
  <c r="BL6" i="52" s="1"/>
  <c r="Q41" i="115"/>
  <c r="BZ4" i="52"/>
  <c r="BY6" i="52"/>
  <c r="BK6" i="52" s="1"/>
  <c r="BY4" i="52"/>
  <c r="DD7" i="52"/>
  <c r="DE7" i="52" s="1"/>
  <c r="DF7" i="52" s="1"/>
  <c r="DG7" i="52" s="1"/>
  <c r="DH7" i="52" s="1"/>
  <c r="DI7" i="52" s="1"/>
  <c r="DJ7" i="52" s="1"/>
  <c r="DK7" i="52" s="1"/>
  <c r="DL7" i="52" s="1"/>
  <c r="BE7" i="52"/>
  <c r="BE6" i="52"/>
  <c r="AM5" i="107" s="1"/>
  <c r="BD7" i="52"/>
  <c r="BD5" i="52" s="1"/>
  <c r="BD6" i="52"/>
  <c r="AH5" i="107" s="1"/>
  <c r="BC7" i="52"/>
  <c r="AC6" i="107" s="1"/>
  <c r="BC6" i="52"/>
  <c r="AC5" i="107" s="1"/>
  <c r="BB7" i="52"/>
  <c r="AA6" i="107" s="1"/>
  <c r="BB6" i="52"/>
  <c r="AA5" i="107" s="1"/>
  <c r="BA7" i="52"/>
  <c r="X6" i="107" s="1"/>
  <c r="BA6" i="52"/>
  <c r="X5" i="107" s="1"/>
  <c r="AZ7" i="52"/>
  <c r="AZ6" i="52"/>
  <c r="V5" i="107" s="1"/>
  <c r="AY7" i="52"/>
  <c r="S6" i="107" s="1"/>
  <c r="AY6" i="52"/>
  <c r="AY4" i="52" s="1"/>
  <c r="BM4" i="52" s="1"/>
  <c r="AX7" i="52"/>
  <c r="Q6" i="107" s="1"/>
  <c r="AX6" i="52"/>
  <c r="Q5" i="107" s="1"/>
  <c r="AW7" i="52"/>
  <c r="N6" i="107" s="1"/>
  <c r="AW6" i="52"/>
  <c r="L5" i="107"/>
  <c r="DL20" i="52"/>
  <c r="DK25" i="52"/>
  <c r="DK6" i="52"/>
  <c r="DK22" i="52"/>
  <c r="DK21" i="52"/>
  <c r="DK20" i="52"/>
  <c r="DK19" i="52"/>
  <c r="DK18" i="52"/>
  <c r="DK17" i="52"/>
  <c r="DJ25" i="52"/>
  <c r="DJ6" i="52"/>
  <c r="DJ22" i="52"/>
  <c r="DJ21" i="52"/>
  <c r="DJ20" i="52"/>
  <c r="DJ19" i="52"/>
  <c r="DJ18" i="52"/>
  <c r="DJ17" i="52"/>
  <c r="DI25" i="52"/>
  <c r="DI6" i="52"/>
  <c r="DI22" i="52"/>
  <c r="DI21" i="52"/>
  <c r="DI20" i="52"/>
  <c r="DI19" i="52"/>
  <c r="DI18" i="52"/>
  <c r="DI17" i="52"/>
  <c r="DH25" i="52"/>
  <c r="DH6" i="52"/>
  <c r="DH22" i="52"/>
  <c r="DH21" i="52"/>
  <c r="DH20" i="52"/>
  <c r="DH19" i="52"/>
  <c r="DH18" i="52"/>
  <c r="DH17" i="52"/>
  <c r="DG25" i="52"/>
  <c r="DG6" i="52"/>
  <c r="DG22" i="52"/>
  <c r="DG21" i="52"/>
  <c r="DG20" i="52"/>
  <c r="DG19" i="52"/>
  <c r="DG18" i="52"/>
  <c r="DG17" i="52"/>
  <c r="DF25" i="52"/>
  <c r="DF6" i="52"/>
  <c r="DF22" i="52"/>
  <c r="DF21" i="52"/>
  <c r="DF20" i="52"/>
  <c r="DF19" i="52"/>
  <c r="DF18" i="52"/>
  <c r="DF17" i="52"/>
  <c r="DE25" i="52"/>
  <c r="DE6" i="52"/>
  <c r="DE22" i="52"/>
  <c r="DE21" i="52"/>
  <c r="DE20" i="52"/>
  <c r="DE19" i="52"/>
  <c r="DE18" i="52"/>
  <c r="DE17" i="52"/>
  <c r="DD25" i="52"/>
  <c r="DD6" i="52"/>
  <c r="DD22" i="52"/>
  <c r="DD21" i="52"/>
  <c r="DD20" i="52"/>
  <c r="DD19" i="52"/>
  <c r="DD18" i="52"/>
  <c r="N70" i="115" s="1"/>
  <c r="DD17" i="52"/>
  <c r="CG20" i="52"/>
  <c r="CF25" i="52"/>
  <c r="CF22" i="52"/>
  <c r="CF21" i="52"/>
  <c r="CF20" i="52"/>
  <c r="CF19" i="52"/>
  <c r="CF18" i="52"/>
  <c r="AH51" i="115" s="1"/>
  <c r="CF17" i="52"/>
  <c r="CE25" i="52"/>
  <c r="CE22" i="52"/>
  <c r="CE21" i="52"/>
  <c r="CE20" i="52"/>
  <c r="CE19" i="52"/>
  <c r="CE18" i="52"/>
  <c r="CE17" i="52"/>
  <c r="CD25" i="52"/>
  <c r="CD22" i="52"/>
  <c r="AA54" i="115" s="1"/>
  <c r="CD21" i="52"/>
  <c r="CD20" i="52"/>
  <c r="CD19" i="52"/>
  <c r="AA52" i="115" s="1"/>
  <c r="CD18" i="52"/>
  <c r="CD17" i="52"/>
  <c r="CC25" i="52"/>
  <c r="BO25" i="52" s="1"/>
  <c r="CC22" i="52"/>
  <c r="CC21" i="52"/>
  <c r="CC20" i="52"/>
  <c r="CC19" i="52"/>
  <c r="CC18" i="52"/>
  <c r="CC17" i="52"/>
  <c r="CB25" i="52"/>
  <c r="BN25" i="52" s="1"/>
  <c r="CB22" i="52"/>
  <c r="CB21" i="52"/>
  <c r="CB20" i="52"/>
  <c r="CB19" i="52"/>
  <c r="CB18" i="52"/>
  <c r="CB17" i="52"/>
  <c r="CA25" i="52"/>
  <c r="BM25" i="52" s="1"/>
  <c r="CA22" i="52"/>
  <c r="CA21" i="52"/>
  <c r="CA20" i="52"/>
  <c r="CA19" i="52"/>
  <c r="CA18" i="52"/>
  <c r="S51" i="115" s="1"/>
  <c r="CA17" i="52"/>
  <c r="BZ25" i="52"/>
  <c r="BL25" i="52" s="1"/>
  <c r="BZ22" i="52"/>
  <c r="BZ21" i="52"/>
  <c r="BZ20" i="52"/>
  <c r="BZ19" i="52"/>
  <c r="BZ18" i="52"/>
  <c r="BZ17" i="52"/>
  <c r="BY25" i="52"/>
  <c r="BY22" i="52"/>
  <c r="BY21" i="52"/>
  <c r="BY20" i="52"/>
  <c r="BY19" i="52"/>
  <c r="BY18" i="52"/>
  <c r="N51" i="115" s="1"/>
  <c r="BY17" i="52"/>
  <c r="CX18" i="52"/>
  <c r="CX19" i="52" s="1"/>
  <c r="CX21" i="52" s="1"/>
  <c r="CX22" i="52" s="1"/>
  <c r="CX24" i="52" s="1"/>
  <c r="CX9" i="52"/>
  <c r="CX10" i="52" s="1"/>
  <c r="CX11" i="52" s="1"/>
  <c r="CX13" i="52" s="1"/>
  <c r="CX14" i="52" s="1"/>
  <c r="CX15" i="52" s="1"/>
  <c r="CX16" i="52" s="1"/>
  <c r="CX4" i="52"/>
  <c r="CX5" i="52" s="1"/>
  <c r="BD27" i="52"/>
  <c r="BD24" i="52"/>
  <c r="AH17" i="115" s="1"/>
  <c r="BD23" i="52"/>
  <c r="AH16" i="115" s="1"/>
  <c r="BD22" i="52"/>
  <c r="BD21" i="52"/>
  <c r="BD20" i="52"/>
  <c r="AH14" i="115" s="1"/>
  <c r="BD19" i="52"/>
  <c r="BB27" i="52"/>
  <c r="BB24" i="52"/>
  <c r="AA17" i="115" s="1"/>
  <c r="BB23" i="52"/>
  <c r="BB22" i="52"/>
  <c r="BB21" i="52"/>
  <c r="AA15" i="115" s="1"/>
  <c r="BB20" i="52"/>
  <c r="AA14" i="115" s="1"/>
  <c r="BB19" i="52"/>
  <c r="AZ27" i="52"/>
  <c r="AZ24" i="52"/>
  <c r="AZ23" i="52"/>
  <c r="V16" i="115" s="1"/>
  <c r="AZ22" i="52"/>
  <c r="AZ21" i="52"/>
  <c r="AZ20" i="52"/>
  <c r="AZ19" i="52"/>
  <c r="AP27" i="52"/>
  <c r="AP24" i="52"/>
  <c r="AP23" i="52"/>
  <c r="AP22" i="52"/>
  <c r="AP21" i="52"/>
  <c r="AP20" i="52"/>
  <c r="AP19" i="52"/>
  <c r="AN27" i="52"/>
  <c r="AN24" i="52"/>
  <c r="AN23" i="52"/>
  <c r="AN22" i="52"/>
  <c r="AN21" i="52"/>
  <c r="AN20" i="52"/>
  <c r="AN19" i="52"/>
  <c r="AM27" i="52"/>
  <c r="AM24" i="52"/>
  <c r="AM23" i="52"/>
  <c r="AM22" i="52"/>
  <c r="AM21" i="52"/>
  <c r="AM20" i="52"/>
  <c r="AM19" i="52"/>
  <c r="AL27" i="52"/>
  <c r="AL24" i="52"/>
  <c r="AL23" i="52"/>
  <c r="AL22" i="52"/>
  <c r="AL21" i="52"/>
  <c r="AL20" i="52"/>
  <c r="AL19" i="52"/>
  <c r="F45" i="52"/>
  <c r="F44" i="52"/>
  <c r="F42" i="52"/>
  <c r="F38" i="52"/>
  <c r="V23" i="52" s="1"/>
  <c r="F34" i="52"/>
  <c r="V22" i="52" s="1"/>
  <c r="F33" i="52"/>
  <c r="V21" i="52" s="1"/>
  <c r="F32" i="52"/>
  <c r="V20" i="52" s="1"/>
  <c r="F31" i="52"/>
  <c r="V19" i="52" s="1"/>
  <c r="F30" i="52"/>
  <c r="V18" i="52" s="1"/>
  <c r="F29" i="52"/>
  <c r="V17" i="52" s="1"/>
  <c r="F5" i="52"/>
  <c r="V5" i="52" s="1"/>
  <c r="F4" i="52"/>
  <c r="H45" i="52"/>
  <c r="H44" i="52"/>
  <c r="H42" i="52"/>
  <c r="H38" i="52"/>
  <c r="X23" i="52" s="1"/>
  <c r="H34" i="52"/>
  <c r="X22" i="52" s="1"/>
  <c r="H33" i="52"/>
  <c r="X21" i="52" s="1"/>
  <c r="H32" i="52"/>
  <c r="X20" i="52" s="1"/>
  <c r="H31" i="52"/>
  <c r="X19" i="52" s="1"/>
  <c r="H30" i="52"/>
  <c r="X18" i="52" s="1"/>
  <c r="H29" i="52"/>
  <c r="X17" i="52" s="1"/>
  <c r="H5" i="52"/>
  <c r="X5" i="52" s="1"/>
  <c r="H4" i="52"/>
  <c r="I45" i="52"/>
  <c r="I44" i="52"/>
  <c r="I42" i="52"/>
  <c r="I38" i="52"/>
  <c r="Y23" i="52" s="1"/>
  <c r="I34" i="52"/>
  <c r="Y22" i="52" s="1"/>
  <c r="I33" i="52"/>
  <c r="Y21" i="52" s="1"/>
  <c r="I32" i="52"/>
  <c r="Y20" i="52" s="1"/>
  <c r="I31" i="52"/>
  <c r="Y19" i="52" s="1"/>
  <c r="I30" i="52"/>
  <c r="Y18" i="52" s="1"/>
  <c r="I29" i="52"/>
  <c r="Y17" i="52" s="1"/>
  <c r="I5" i="52"/>
  <c r="Y5" i="52" s="1"/>
  <c r="I4" i="52"/>
  <c r="J45" i="52"/>
  <c r="J44" i="52"/>
  <c r="J42" i="52"/>
  <c r="J38" i="52"/>
  <c r="Z23" i="52" s="1"/>
  <c r="J34" i="52"/>
  <c r="Z22" i="52" s="1"/>
  <c r="J33" i="52"/>
  <c r="Z21" i="52" s="1"/>
  <c r="J32" i="52"/>
  <c r="Z20" i="52" s="1"/>
  <c r="J31" i="52"/>
  <c r="Z19" i="52" s="1"/>
  <c r="J30" i="52"/>
  <c r="Z18" i="52" s="1"/>
  <c r="J29" i="52"/>
  <c r="Z17" i="52" s="1"/>
  <c r="J5" i="52"/>
  <c r="Z5" i="52" s="1"/>
  <c r="J4" i="52"/>
  <c r="K45" i="52"/>
  <c r="K44" i="52"/>
  <c r="K42" i="52"/>
  <c r="K38" i="52"/>
  <c r="AA23" i="52" s="1"/>
  <c r="K34" i="52"/>
  <c r="AA22" i="52" s="1"/>
  <c r="K33" i="52"/>
  <c r="AA21" i="52" s="1"/>
  <c r="K32" i="52"/>
  <c r="AA20" i="52" s="1"/>
  <c r="K31" i="52"/>
  <c r="AA19" i="52" s="1"/>
  <c r="K30" i="52"/>
  <c r="AA18" i="52" s="1"/>
  <c r="K29" i="52"/>
  <c r="AA17" i="52" s="1"/>
  <c r="K5" i="52"/>
  <c r="AA5" i="52" s="1"/>
  <c r="K4" i="52"/>
  <c r="L45" i="52"/>
  <c r="L44" i="52"/>
  <c r="L42" i="52"/>
  <c r="L38" i="52"/>
  <c r="AB23" i="52" s="1"/>
  <c r="L34" i="52"/>
  <c r="AB22" i="52" s="1"/>
  <c r="L33" i="52"/>
  <c r="AB21" i="52" s="1"/>
  <c r="L32" i="52"/>
  <c r="AB20" i="52" s="1"/>
  <c r="L31" i="52"/>
  <c r="AB19" i="52" s="1"/>
  <c r="L30" i="52"/>
  <c r="AB18" i="52" s="1"/>
  <c r="L29" i="52"/>
  <c r="AB17" i="52" s="1"/>
  <c r="L5" i="52"/>
  <c r="AB5" i="52" s="1"/>
  <c r="L4" i="52"/>
  <c r="M45" i="52"/>
  <c r="M44" i="52"/>
  <c r="M42" i="52"/>
  <c r="C45" i="52"/>
  <c r="M5" i="52"/>
  <c r="M4" i="52"/>
  <c r="C5" i="108"/>
  <c r="S5" i="108" s="1"/>
  <c r="AG7" i="52"/>
  <c r="BW20" i="108"/>
  <c r="DB20" i="108"/>
  <c r="BW4" i="108"/>
  <c r="C12" i="52"/>
  <c r="C10" i="108"/>
  <c r="S8" i="108" s="1"/>
  <c r="C17" i="108"/>
  <c r="S13" i="108" s="1"/>
  <c r="C14" i="108"/>
  <c r="L17" i="115"/>
  <c r="L14" i="115"/>
  <c r="AW27" i="52"/>
  <c r="CN25" i="52" s="1"/>
  <c r="N75" i="115" s="1"/>
  <c r="AW24" i="52"/>
  <c r="N17" i="115" s="1"/>
  <c r="AW23" i="52"/>
  <c r="AW22" i="52"/>
  <c r="AW21" i="52"/>
  <c r="AW20" i="52"/>
  <c r="N14" i="115" s="1"/>
  <c r="AW19" i="52"/>
  <c r="AX27" i="52"/>
  <c r="AX24" i="52"/>
  <c r="AX23" i="52"/>
  <c r="Q16" i="115" s="1"/>
  <c r="AX22" i="52"/>
  <c r="BL20" i="52" s="1"/>
  <c r="AX21" i="52"/>
  <c r="Q15" i="115" s="1"/>
  <c r="AX20" i="52"/>
  <c r="AX19" i="52"/>
  <c r="AY27" i="52"/>
  <c r="AY24" i="52"/>
  <c r="S17" i="115" s="1"/>
  <c r="AY23" i="52"/>
  <c r="S16" i="115" s="1"/>
  <c r="AY22" i="52"/>
  <c r="AY21" i="52"/>
  <c r="AY20" i="52"/>
  <c r="S14" i="115" s="1"/>
  <c r="AY19" i="52"/>
  <c r="S7" i="107" s="1"/>
  <c r="BA27" i="52"/>
  <c r="BA24" i="52"/>
  <c r="X17" i="115" s="1"/>
  <c r="BA23" i="52"/>
  <c r="X16" i="115" s="1"/>
  <c r="BA22" i="52"/>
  <c r="BA21" i="52"/>
  <c r="X15" i="115" s="1"/>
  <c r="BA20" i="52"/>
  <c r="X14" i="115" s="1"/>
  <c r="BA19" i="52"/>
  <c r="BC27" i="52"/>
  <c r="CT25" i="52" s="1"/>
  <c r="AC75" i="115" s="1"/>
  <c r="BC24" i="52"/>
  <c r="AC17" i="115" s="1"/>
  <c r="BC23" i="52"/>
  <c r="BC22" i="52"/>
  <c r="BC21" i="52"/>
  <c r="AC15" i="115" s="1"/>
  <c r="BC20" i="52"/>
  <c r="AC14" i="115" s="1"/>
  <c r="BC19" i="52"/>
  <c r="AO27" i="52"/>
  <c r="AO24" i="52"/>
  <c r="AO23" i="52"/>
  <c r="AO22" i="52"/>
  <c r="AO21" i="52"/>
  <c r="AO20" i="52"/>
  <c r="AO19" i="52"/>
  <c r="AJ27" i="52"/>
  <c r="AJ24" i="52"/>
  <c r="AJ23" i="52"/>
  <c r="AJ22" i="52"/>
  <c r="AJ21" i="52"/>
  <c r="AJ20" i="52"/>
  <c r="AJ19" i="52"/>
  <c r="AK27" i="52"/>
  <c r="AK24" i="52"/>
  <c r="AK23" i="52"/>
  <c r="AK22" i="52"/>
  <c r="AK21" i="52"/>
  <c r="AK20" i="52"/>
  <c r="AK19" i="52"/>
  <c r="AI27" i="52"/>
  <c r="AI24" i="52"/>
  <c r="AI23" i="52"/>
  <c r="AI22" i="52"/>
  <c r="AI21" i="52"/>
  <c r="AI20" i="52"/>
  <c r="AI19" i="52"/>
  <c r="U14" i="108"/>
  <c r="AA151" i="116" a="1"/>
  <c r="AA297" i="116" a="1"/>
  <c r="AA369" i="116" a="1"/>
  <c r="AA333" i="116" a="1"/>
  <c r="AD75" i="168" l="1"/>
  <c r="AE75" i="168" s="1"/>
  <c r="AF75" i="168" s="1"/>
  <c r="Y75" i="168"/>
  <c r="Z75" i="168" s="1"/>
  <c r="W75" i="168"/>
  <c r="R75" i="168"/>
  <c r="O75" i="168"/>
  <c r="BR25" i="52"/>
  <c r="AH18" i="115"/>
  <c r="BQ25" i="52"/>
  <c r="AC56" i="115" s="1"/>
  <c r="AA51" i="115"/>
  <c r="BP25" i="52"/>
  <c r="AA73" i="115"/>
  <c r="X70" i="115"/>
  <c r="Q72" i="115"/>
  <c r="BK25" i="52"/>
  <c r="R41" i="111"/>
  <c r="CG12" i="108"/>
  <c r="Y75" i="113"/>
  <c r="Z75" i="113" s="1"/>
  <c r="Y50" i="113"/>
  <c r="Z50" i="113" s="1"/>
  <c r="AB50" i="113"/>
  <c r="R69" i="113"/>
  <c r="R25" i="109"/>
  <c r="CG16" i="108"/>
  <c r="AM49" i="168" s="1"/>
  <c r="AI49" i="168" s="1"/>
  <c r="AJ49" i="168" s="1"/>
  <c r="AK49" i="168" s="1"/>
  <c r="AL49" i="168" s="1"/>
  <c r="AM7" i="168"/>
  <c r="AI7" i="168" s="1"/>
  <c r="CG8" i="108"/>
  <c r="O25" i="109"/>
  <c r="P25" i="109" s="1"/>
  <c r="AM5" i="168"/>
  <c r="AM6" i="168"/>
  <c r="AM62" i="168" s="1"/>
  <c r="AI62" i="168" s="1"/>
  <c r="AJ62" i="168" s="1"/>
  <c r="AK62" i="168" s="1"/>
  <c r="AL62" i="168" s="1"/>
  <c r="O22" i="109"/>
  <c r="P22" i="109" s="1"/>
  <c r="O24" i="109"/>
  <c r="P24" i="109" s="1"/>
  <c r="O26" i="109"/>
  <c r="P26" i="109" s="1"/>
  <c r="O69" i="113"/>
  <c r="P69" i="113" s="1"/>
  <c r="O50" i="113"/>
  <c r="P50" i="113" s="1"/>
  <c r="R50" i="113"/>
  <c r="R26" i="109"/>
  <c r="R23" i="109"/>
  <c r="Q20" i="109"/>
  <c r="O3" i="109"/>
  <c r="P3" i="109" s="1"/>
  <c r="Q21" i="109"/>
  <c r="Q22" i="113"/>
  <c r="O3" i="113"/>
  <c r="P3" i="113" s="1"/>
  <c r="Q40" i="113"/>
  <c r="Q59" i="113"/>
  <c r="R59" i="113" s="1"/>
  <c r="Q23" i="113"/>
  <c r="R3" i="113"/>
  <c r="R22" i="109"/>
  <c r="R52" i="113"/>
  <c r="R3" i="109"/>
  <c r="R24" i="109"/>
  <c r="R71" i="113"/>
  <c r="T69" i="113"/>
  <c r="U69" i="113" s="1"/>
  <c r="T26" i="109"/>
  <c r="U26" i="109" s="1"/>
  <c r="T75" i="113"/>
  <c r="U75" i="113" s="1"/>
  <c r="T75" i="168"/>
  <c r="T53" i="113"/>
  <c r="U53" i="113" s="1"/>
  <c r="T72" i="113"/>
  <c r="U72" i="113" s="1"/>
  <c r="T24" i="109"/>
  <c r="U24" i="109" s="1"/>
  <c r="W26" i="109"/>
  <c r="W25" i="109"/>
  <c r="W54" i="113"/>
  <c r="T54" i="113"/>
  <c r="U54" i="113" s="1"/>
  <c r="W55" i="113"/>
  <c r="T55" i="113"/>
  <c r="U55" i="113" s="1"/>
  <c r="W75" i="113"/>
  <c r="W73" i="113"/>
  <c r="T73" i="113"/>
  <c r="U73" i="113" s="1"/>
  <c r="Y23" i="109"/>
  <c r="Z23" i="109" s="1"/>
  <c r="AB75" i="168"/>
  <c r="AD25" i="109"/>
  <c r="AE25" i="109" s="1"/>
  <c r="J13" i="118"/>
  <c r="Q13" i="118" s="1"/>
  <c r="R13" i="118" s="1"/>
  <c r="CG10" i="108"/>
  <c r="CG9" i="108"/>
  <c r="AD24" i="109"/>
  <c r="AE24" i="109" s="1"/>
  <c r="AI12" i="168"/>
  <c r="AI9" i="168"/>
  <c r="AM64" i="168"/>
  <c r="AI64" i="168" s="1"/>
  <c r="AJ64" i="168" s="1"/>
  <c r="AK64" i="168" s="1"/>
  <c r="AL64" i="168" s="1"/>
  <c r="AM67" i="168"/>
  <c r="AI67" i="168" s="1"/>
  <c r="AJ67" i="168" s="1"/>
  <c r="AK67" i="168" s="1"/>
  <c r="AL67" i="168" s="1"/>
  <c r="AM66" i="168"/>
  <c r="AI66" i="168" s="1"/>
  <c r="AJ66" i="168" s="1"/>
  <c r="AK66" i="168" s="1"/>
  <c r="AL66" i="168" s="1"/>
  <c r="AM45" i="168"/>
  <c r="AI45" i="168" s="1"/>
  <c r="AJ45" i="168" s="1"/>
  <c r="AK45" i="168" s="1"/>
  <c r="AL45" i="168" s="1"/>
  <c r="AI8" i="168"/>
  <c r="AM68" i="168"/>
  <c r="AI68" i="168" s="1"/>
  <c r="AJ68" i="168" s="1"/>
  <c r="AK68" i="168" s="1"/>
  <c r="AL68" i="168" s="1"/>
  <c r="AJ4" i="168"/>
  <c r="AM48" i="168"/>
  <c r="AI48" i="168" s="1"/>
  <c r="AJ48" i="168" s="1"/>
  <c r="AK48" i="168" s="1"/>
  <c r="AL48" i="168" s="1"/>
  <c r="AI11" i="168"/>
  <c r="AI10" i="168"/>
  <c r="AM65" i="168"/>
  <c r="AI65" i="168" s="1"/>
  <c r="AJ65" i="168" s="1"/>
  <c r="AK65" i="168" s="1"/>
  <c r="AL65" i="168" s="1"/>
  <c r="AT39" i="165"/>
  <c r="AS2" i="165"/>
  <c r="R16" i="115"/>
  <c r="Q55" i="115"/>
  <c r="O17" i="115"/>
  <c r="P17" i="115" s="1"/>
  <c r="Q52" i="115"/>
  <c r="Q53" i="115"/>
  <c r="R53" i="115" s="1"/>
  <c r="Q71" i="115"/>
  <c r="V53" i="115"/>
  <c r="CN24" i="52"/>
  <c r="N15" i="115"/>
  <c r="O15" i="115" s="1"/>
  <c r="P15" i="115" s="1"/>
  <c r="V18" i="115"/>
  <c r="S15" i="115"/>
  <c r="R15" i="115" s="1"/>
  <c r="S73" i="115"/>
  <c r="Y26" i="109"/>
  <c r="Z26" i="109" s="1"/>
  <c r="R37" i="113"/>
  <c r="AD50" i="113"/>
  <c r="AE50" i="113" s="1"/>
  <c r="AF50" i="113" s="1"/>
  <c r="AG50" i="113" s="1"/>
  <c r="Y25" i="109"/>
  <c r="Z25" i="109" s="1"/>
  <c r="B9" i="52"/>
  <c r="B3" i="52"/>
  <c r="R4" i="52"/>
  <c r="R3" i="52" s="1"/>
  <c r="E34" i="111"/>
  <c r="AT5" i="108"/>
  <c r="H22" i="111"/>
  <c r="J22" i="111" s="1"/>
  <c r="Q22" i="111" s="1"/>
  <c r="AF22" i="108"/>
  <c r="AF22" i="52"/>
  <c r="AT22" i="52"/>
  <c r="AT22" i="108"/>
  <c r="AB24" i="109"/>
  <c r="CG14" i="108"/>
  <c r="AM47" i="168" s="1"/>
  <c r="AI47" i="168" s="1"/>
  <c r="AJ47" i="168" s="1"/>
  <c r="AK47" i="168" s="1"/>
  <c r="AL47" i="168" s="1"/>
  <c r="T25" i="109"/>
  <c r="U25" i="109" s="1"/>
  <c r="CG13" i="108"/>
  <c r="Y24" i="109"/>
  <c r="Z24" i="109" s="1"/>
  <c r="AB26" i="109"/>
  <c r="AD26" i="109"/>
  <c r="AE26" i="109" s="1"/>
  <c r="AB25" i="109"/>
  <c r="Y35" i="113"/>
  <c r="AB33" i="113"/>
  <c r="W24" i="109"/>
  <c r="Y33" i="113"/>
  <c r="W74" i="113"/>
  <c r="T34" i="113"/>
  <c r="AQ13" i="108"/>
  <c r="AQ8" i="108" s="1"/>
  <c r="C5" i="52"/>
  <c r="D4" i="115"/>
  <c r="D60" i="115" s="1"/>
  <c r="R10" i="108"/>
  <c r="B9" i="108"/>
  <c r="BW20" i="52"/>
  <c r="C42" i="108"/>
  <c r="C10" i="52"/>
  <c r="E26" i="111"/>
  <c r="G26" i="111" s="1"/>
  <c r="C44" i="108"/>
  <c r="C11" i="108"/>
  <c r="S9" i="108" s="1"/>
  <c r="AU6" i="108"/>
  <c r="AG6" i="108"/>
  <c r="C11" i="52"/>
  <c r="D4" i="109"/>
  <c r="CK5" i="108"/>
  <c r="D22" i="109"/>
  <c r="D23" i="109"/>
  <c r="BW24" i="108"/>
  <c r="C42" i="52"/>
  <c r="AG6" i="52"/>
  <c r="E33" i="111"/>
  <c r="BV6" i="108" s="1"/>
  <c r="BH6" i="108" s="1"/>
  <c r="C13" i="108"/>
  <c r="S11" i="108" s="1"/>
  <c r="C13" i="52"/>
  <c r="C44" i="52"/>
  <c r="E30" i="111"/>
  <c r="C19" i="108"/>
  <c r="S15" i="108" s="1"/>
  <c r="E27" i="111"/>
  <c r="G27" i="111" s="1"/>
  <c r="C19" i="52"/>
  <c r="BW4" i="52"/>
  <c r="E32" i="111"/>
  <c r="G32" i="111" s="1"/>
  <c r="DB20" i="52"/>
  <c r="E31" i="111"/>
  <c r="G31" i="111" s="1"/>
  <c r="R31" i="108"/>
  <c r="E10" i="111"/>
  <c r="G10" i="111" s="1"/>
  <c r="E28" i="111"/>
  <c r="G28" i="111" s="1"/>
  <c r="C12" i="108"/>
  <c r="S10" i="108" s="1"/>
  <c r="AU7" i="108"/>
  <c r="AG7" i="108"/>
  <c r="AU6" i="52"/>
  <c r="I5" i="107" s="1"/>
  <c r="E5" i="107" s="1"/>
  <c r="F5" i="107" s="1"/>
  <c r="Z39" i="111"/>
  <c r="AU7" i="52"/>
  <c r="AU5" i="52" s="1"/>
  <c r="CL5" i="52" s="1"/>
  <c r="BW24" i="52"/>
  <c r="S17" i="107"/>
  <c r="S18" i="115"/>
  <c r="M14" i="115"/>
  <c r="AC71" i="115"/>
  <c r="Y15" i="115"/>
  <c r="Q13" i="115"/>
  <c r="Q69" i="115" s="1"/>
  <c r="R69" i="115" s="1"/>
  <c r="Q9" i="107"/>
  <c r="Q7" i="107"/>
  <c r="L73" i="115"/>
  <c r="Y70" i="115"/>
  <c r="Z70" i="115" s="1"/>
  <c r="AH70" i="115"/>
  <c r="N18" i="115"/>
  <c r="O18" i="115" s="1"/>
  <c r="P18" i="115" s="1"/>
  <c r="L9" i="107"/>
  <c r="L7" i="107"/>
  <c r="L13" i="115"/>
  <c r="L50" i="115" s="1"/>
  <c r="X36" i="115"/>
  <c r="Y17" i="115"/>
  <c r="AH72" i="115"/>
  <c r="AH4" i="107"/>
  <c r="AH4" i="115"/>
  <c r="Y18" i="115"/>
  <c r="X55" i="115"/>
  <c r="Y55" i="115" s="1"/>
  <c r="Z55" i="115" s="1"/>
  <c r="X74" i="115"/>
  <c r="CQ20" i="52"/>
  <c r="L54" i="115"/>
  <c r="BL18" i="52"/>
  <c r="Q14" i="115"/>
  <c r="O14" i="115" s="1"/>
  <c r="P14" i="115" s="1"/>
  <c r="W16" i="115"/>
  <c r="AH15" i="115"/>
  <c r="AC54" i="115"/>
  <c r="X71" i="115"/>
  <c r="Q18" i="115"/>
  <c r="Q74" i="115" s="1"/>
  <c r="X73" i="115"/>
  <c r="Y73" i="115" s="1"/>
  <c r="Z73" i="115" s="1"/>
  <c r="CM21" i="52"/>
  <c r="L16" i="115"/>
  <c r="L53" i="115" s="1"/>
  <c r="M17" i="115"/>
  <c r="CT21" i="52"/>
  <c r="AC16" i="115"/>
  <c r="N54" i="115"/>
  <c r="X51" i="115"/>
  <c r="Y51" i="115" s="1"/>
  <c r="Z51" i="115" s="1"/>
  <c r="AH53" i="115"/>
  <c r="V72" i="115"/>
  <c r="AN34" i="52"/>
  <c r="AH74" i="115"/>
  <c r="AH55" i="115"/>
  <c r="CQ22" i="52"/>
  <c r="V17" i="115"/>
  <c r="V73" i="115" s="1"/>
  <c r="AD14" i="115"/>
  <c r="AA7" i="107"/>
  <c r="AA9" i="107"/>
  <c r="AA13" i="115"/>
  <c r="AA70" i="115"/>
  <c r="AB14" i="115"/>
  <c r="AA71" i="115"/>
  <c r="AB15" i="115"/>
  <c r="N9" i="107"/>
  <c r="O9" i="107" s="1"/>
  <c r="P9" i="107" s="1"/>
  <c r="N13" i="115"/>
  <c r="O13" i="115" s="1"/>
  <c r="P13" i="115" s="1"/>
  <c r="N7" i="107"/>
  <c r="AD17" i="115"/>
  <c r="CS21" i="52"/>
  <c r="AA16" i="115"/>
  <c r="AA53" i="115" s="1"/>
  <c r="L51" i="115"/>
  <c r="S53" i="115"/>
  <c r="T53" i="115" s="1"/>
  <c r="U53" i="115" s="1"/>
  <c r="X52" i="115"/>
  <c r="Y52" i="115" s="1"/>
  <c r="Z52" i="115" s="1"/>
  <c r="AH54" i="115"/>
  <c r="L70" i="115"/>
  <c r="N73" i="115"/>
  <c r="S70" i="115"/>
  <c r="AC73" i="115"/>
  <c r="AB73" i="115" s="1"/>
  <c r="AH41" i="115"/>
  <c r="X35" i="115"/>
  <c r="AC70" i="115"/>
  <c r="AA74" i="115"/>
  <c r="AA55" i="115"/>
  <c r="T16" i="115"/>
  <c r="V13" i="115"/>
  <c r="V69" i="115" s="1"/>
  <c r="V7" i="107"/>
  <c r="V9" i="107"/>
  <c r="AB17" i="115"/>
  <c r="S54" i="115"/>
  <c r="AC51" i="115"/>
  <c r="AD51" i="115" s="1"/>
  <c r="AE51" i="115" s="1"/>
  <c r="AF51" i="115" s="1"/>
  <c r="AG51" i="115" s="1"/>
  <c r="S71" i="115"/>
  <c r="AC9" i="107"/>
  <c r="AC7" i="107"/>
  <c r="AC13" i="115"/>
  <c r="S13" i="115"/>
  <c r="S69" i="115" s="1"/>
  <c r="S9" i="107"/>
  <c r="AB54" i="115"/>
  <c r="AN33" i="52"/>
  <c r="X9" i="107"/>
  <c r="X13" i="115"/>
  <c r="X69" i="115" s="1"/>
  <c r="X7" i="107"/>
  <c r="BK20" i="52"/>
  <c r="CQ18" i="52"/>
  <c r="V14" i="115"/>
  <c r="X53" i="115"/>
  <c r="AC52" i="115"/>
  <c r="X72" i="115"/>
  <c r="V74" i="115"/>
  <c r="V55" i="115"/>
  <c r="W18" i="115"/>
  <c r="AH73" i="115"/>
  <c r="AM33" i="52"/>
  <c r="BL22" i="52"/>
  <c r="Q17" i="115"/>
  <c r="Q54" i="115" s="1"/>
  <c r="R54" i="115" s="1"/>
  <c r="S3" i="115"/>
  <c r="AC17" i="107"/>
  <c r="AC18" i="115"/>
  <c r="Y14" i="115"/>
  <c r="CN21" i="52"/>
  <c r="N16" i="115"/>
  <c r="O16" i="115" s="1"/>
  <c r="P16" i="115" s="1"/>
  <c r="CQ19" i="52"/>
  <c r="V15" i="115"/>
  <c r="V52" i="115" s="1"/>
  <c r="AH7" i="107"/>
  <c r="AH9" i="107"/>
  <c r="AH13" i="115"/>
  <c r="AH36" i="115" s="1"/>
  <c r="X54" i="115"/>
  <c r="Y54" i="115" s="1"/>
  <c r="Z54" i="115" s="1"/>
  <c r="S72" i="115"/>
  <c r="L17" i="107"/>
  <c r="L18" i="115"/>
  <c r="W71" i="113"/>
  <c r="AB55" i="113"/>
  <c r="R32" i="113"/>
  <c r="Y52" i="113"/>
  <c r="Z52" i="113" s="1"/>
  <c r="AB74" i="113"/>
  <c r="Y21" i="109"/>
  <c r="Z21" i="109" s="1"/>
  <c r="W37" i="113"/>
  <c r="AD55" i="113"/>
  <c r="AE55" i="113" s="1"/>
  <c r="AF55" i="113" s="1"/>
  <c r="AG55" i="113" s="1"/>
  <c r="AB32" i="113"/>
  <c r="W69" i="113"/>
  <c r="O36" i="113"/>
  <c r="R35" i="113"/>
  <c r="T37" i="113"/>
  <c r="U18" i="113"/>
  <c r="W32" i="113"/>
  <c r="Y54" i="113"/>
  <c r="Z54" i="113" s="1"/>
  <c r="AB34" i="113"/>
  <c r="AB37" i="113"/>
  <c r="O34" i="113"/>
  <c r="X20" i="109"/>
  <c r="Y3" i="109"/>
  <c r="Z3" i="109" s="1"/>
  <c r="R33" i="113"/>
  <c r="X40" i="113"/>
  <c r="X22" i="113"/>
  <c r="X23" i="113"/>
  <c r="X59" i="113"/>
  <c r="Y3" i="113"/>
  <c r="W34" i="113"/>
  <c r="T33" i="113"/>
  <c r="T32" i="113"/>
  <c r="U13" i="113"/>
  <c r="W33" i="113"/>
  <c r="V20" i="109"/>
  <c r="T3" i="109"/>
  <c r="U3" i="109" s="1"/>
  <c r="W3" i="109"/>
  <c r="V21" i="109"/>
  <c r="W21" i="109" s="1"/>
  <c r="Y71" i="113"/>
  <c r="Z71" i="113" s="1"/>
  <c r="R34" i="113"/>
  <c r="AB3" i="109"/>
  <c r="AA20" i="109"/>
  <c r="AB35" i="113"/>
  <c r="W35" i="113"/>
  <c r="V22" i="113"/>
  <c r="V40" i="113"/>
  <c r="T40" i="113" s="1"/>
  <c r="U40" i="113" s="1"/>
  <c r="V23" i="113"/>
  <c r="W3" i="113"/>
  <c r="V59" i="113"/>
  <c r="T59" i="113" s="1"/>
  <c r="U59" i="113" s="1"/>
  <c r="T3" i="113"/>
  <c r="AA22" i="113"/>
  <c r="AA40" i="113"/>
  <c r="AA59" i="113"/>
  <c r="AA23" i="113"/>
  <c r="AB3" i="113"/>
  <c r="O33" i="113"/>
  <c r="Y34" i="113"/>
  <c r="Z15" i="113"/>
  <c r="Y36" i="113"/>
  <c r="AC20" i="109"/>
  <c r="AC21" i="109"/>
  <c r="AB21" i="109" s="1"/>
  <c r="T36" i="113"/>
  <c r="O35" i="113"/>
  <c r="Y74" i="113"/>
  <c r="Z74" i="113" s="1"/>
  <c r="N20" i="109"/>
  <c r="N21" i="109"/>
  <c r="AC40" i="113"/>
  <c r="AC22" i="113"/>
  <c r="AC23" i="113"/>
  <c r="AC59" i="113"/>
  <c r="T35" i="113"/>
  <c r="U16" i="113"/>
  <c r="AD74" i="113"/>
  <c r="AE74" i="113" s="1"/>
  <c r="AF74" i="113" s="1"/>
  <c r="AG74" i="113" s="1"/>
  <c r="O32" i="113"/>
  <c r="N40" i="113"/>
  <c r="N22" i="113"/>
  <c r="N59" i="113"/>
  <c r="N23" i="113"/>
  <c r="O37" i="113"/>
  <c r="AB73" i="113"/>
  <c r="Y73" i="113"/>
  <c r="Z73" i="113" s="1"/>
  <c r="W50" i="113"/>
  <c r="Y32" i="113"/>
  <c r="Z13" i="113"/>
  <c r="AB36" i="113"/>
  <c r="W52" i="113"/>
  <c r="W36" i="113"/>
  <c r="R36" i="113"/>
  <c r="Y37" i="113"/>
  <c r="AD22" i="109"/>
  <c r="AE22" i="109" s="1"/>
  <c r="AF22" i="109" s="1"/>
  <c r="AG22" i="109" s="1"/>
  <c r="AE13" i="113"/>
  <c r="AD32" i="113"/>
  <c r="AE4" i="113"/>
  <c r="AF16" i="113"/>
  <c r="AD33" i="113"/>
  <c r="AE14" i="113"/>
  <c r="AD35" i="113"/>
  <c r="AD60" i="113"/>
  <c r="AE60" i="113" s="1"/>
  <c r="AF60" i="113" s="1"/>
  <c r="AG60" i="113" s="1"/>
  <c r="AH20" i="109"/>
  <c r="AH21" i="109"/>
  <c r="AD3" i="109"/>
  <c r="AE3" i="109" s="1"/>
  <c r="AF3" i="109" s="1"/>
  <c r="AG3" i="109" s="1"/>
  <c r="AF17" i="113"/>
  <c r="AD36" i="113"/>
  <c r="AH59" i="113"/>
  <c r="AH22" i="113"/>
  <c r="AH40" i="113"/>
  <c r="AD3" i="113"/>
  <c r="AD34" i="113"/>
  <c r="AE15" i="113"/>
  <c r="AE18" i="113"/>
  <c r="AD37" i="113"/>
  <c r="CG28" i="108"/>
  <c r="H30" i="118"/>
  <c r="T21" i="108"/>
  <c r="T5" i="108"/>
  <c r="T20" i="108"/>
  <c r="T23" i="108"/>
  <c r="AA297" i="116"/>
  <c r="AA151" i="116"/>
  <c r="AA333" i="116"/>
  <c r="AA369" i="116"/>
  <c r="A299" i="116"/>
  <c r="A407" i="116"/>
  <c r="A153" i="116"/>
  <c r="A154" i="116" s="1"/>
  <c r="A422" i="116"/>
  <c r="A423" i="116" s="1"/>
  <c r="A424" i="116" s="1"/>
  <c r="A425" i="116" s="1"/>
  <c r="A426" i="116" s="1"/>
  <c r="A427" i="116" s="1"/>
  <c r="A429" i="116" s="1"/>
  <c r="A430" i="116" s="1"/>
  <c r="A431" i="116" s="1"/>
  <c r="A432" i="116" s="1"/>
  <c r="A433" i="116" s="1"/>
  <c r="A434" i="116" s="1"/>
  <c r="A435" i="116" s="1"/>
  <c r="A436" i="116" s="1"/>
  <c r="A437" i="116" s="1"/>
  <c r="A438" i="116" s="1"/>
  <c r="A439" i="116" s="1"/>
  <c r="A440" i="116" s="1"/>
  <c r="A441" i="116" s="1"/>
  <c r="A443" i="116" s="1"/>
  <c r="A458" i="116"/>
  <c r="A459" i="116" s="1"/>
  <c r="A460" i="116" s="1"/>
  <c r="A461" i="116" s="1"/>
  <c r="A462" i="116" s="1"/>
  <c r="A463" i="116" s="1"/>
  <c r="A464" i="116" s="1"/>
  <c r="A466" i="116" s="1"/>
  <c r="A467" i="116" s="1"/>
  <c r="A468" i="116" s="1"/>
  <c r="A469" i="116" s="1"/>
  <c r="A470" i="116" s="1"/>
  <c r="A471" i="116" s="1"/>
  <c r="A472" i="116" s="1"/>
  <c r="A473" i="116" s="1"/>
  <c r="A474" i="116" s="1"/>
  <c r="A475" i="116" s="1"/>
  <c r="A476" i="116" s="1"/>
  <c r="A477" i="116" s="1"/>
  <c r="A478" i="116" s="1"/>
  <c r="A480" i="116" s="1"/>
  <c r="A371" i="116"/>
  <c r="A335" i="116"/>
  <c r="G30" i="111"/>
  <c r="R17" i="52"/>
  <c r="R16" i="52" s="1"/>
  <c r="B28" i="52"/>
  <c r="BV17" i="108"/>
  <c r="BV17" i="52"/>
  <c r="G29" i="111"/>
  <c r="BV18" i="52"/>
  <c r="BV18" i="108"/>
  <c r="G34" i="111"/>
  <c r="BV25" i="52"/>
  <c r="BV25" i="108"/>
  <c r="R17" i="108"/>
  <c r="B28" i="108"/>
  <c r="S12" i="108"/>
  <c r="C18" i="52"/>
  <c r="C18" i="108"/>
  <c r="S14" i="108" s="1"/>
  <c r="U12" i="108"/>
  <c r="C49" i="111"/>
  <c r="B48" i="108"/>
  <c r="B48" i="52"/>
  <c r="U13" i="108"/>
  <c r="U30" i="108"/>
  <c r="X31" i="108"/>
  <c r="AC45" i="108"/>
  <c r="U31" i="108"/>
  <c r="X30" i="108"/>
  <c r="CT7" i="108"/>
  <c r="W44" i="108"/>
  <c r="W47" i="108"/>
  <c r="W48" i="108"/>
  <c r="W45" i="108"/>
  <c r="W46" i="108"/>
  <c r="U47" i="108"/>
  <c r="U45" i="108"/>
  <c r="U46" i="108"/>
  <c r="U48" i="108"/>
  <c r="U44" i="108"/>
  <c r="AC48" i="108"/>
  <c r="AC44" i="108"/>
  <c r="AC46" i="108"/>
  <c r="AC47" i="108"/>
  <c r="AC43" i="108"/>
  <c r="Y31" i="108"/>
  <c r="AA31" i="108"/>
  <c r="X48" i="108"/>
  <c r="X44" i="108"/>
  <c r="X45" i="108"/>
  <c r="X46" i="108"/>
  <c r="X47" i="108"/>
  <c r="V30" i="108"/>
  <c r="X43" i="108"/>
  <c r="CS25" i="52"/>
  <c r="AA75" i="115" s="1"/>
  <c r="CT17" i="52"/>
  <c r="CO21" i="52"/>
  <c r="CT6" i="52"/>
  <c r="BO17" i="52"/>
  <c r="CT24" i="52"/>
  <c r="CP23" i="52"/>
  <c r="CT23" i="52"/>
  <c r="L56" i="115"/>
  <c r="BD4" i="52"/>
  <c r="BR4" i="52" s="1"/>
  <c r="BM23" i="52"/>
  <c r="BQ23" i="52"/>
  <c r="CU5" i="52"/>
  <c r="BA4" i="52"/>
  <c r="BO4" i="52" s="1"/>
  <c r="AZ4" i="52"/>
  <c r="Y5" i="107"/>
  <c r="Z5" i="107" s="1"/>
  <c r="BC4" i="52"/>
  <c r="BQ4" i="52" s="1"/>
  <c r="CQ25" i="52"/>
  <c r="V75" i="115" s="1"/>
  <c r="BR24" i="52"/>
  <c r="BL23" i="52"/>
  <c r="CP22" i="52"/>
  <c r="CM22" i="52"/>
  <c r="CR18" i="52"/>
  <c r="CR22" i="52"/>
  <c r="S8" i="107"/>
  <c r="CP25" i="52"/>
  <c r="S75" i="115" s="1"/>
  <c r="CM18" i="52"/>
  <c r="CM25" i="52"/>
  <c r="L75" i="115" s="1"/>
  <c r="CU18" i="52"/>
  <c r="CU22" i="52"/>
  <c r="BK19" i="52"/>
  <c r="N56" i="115"/>
  <c r="X56" i="115"/>
  <c r="CN20" i="52"/>
  <c r="CV7" i="52"/>
  <c r="BP24" i="52"/>
  <c r="CP24" i="52"/>
  <c r="CP18" i="52"/>
  <c r="CO25" i="52"/>
  <c r="Q75" i="115" s="1"/>
  <c r="CT18" i="52"/>
  <c r="CT22" i="52"/>
  <c r="CR25" i="52"/>
  <c r="X75" i="115" s="1"/>
  <c r="CN18" i="52"/>
  <c r="CN22" i="52"/>
  <c r="BP18" i="52"/>
  <c r="BP22" i="52"/>
  <c r="CU25" i="52"/>
  <c r="AH75" i="115" s="1"/>
  <c r="AD75" i="115" s="1"/>
  <c r="AE75" i="115" s="1"/>
  <c r="AF75" i="115" s="1"/>
  <c r="AG75" i="115" s="1"/>
  <c r="BM22" i="52"/>
  <c r="V56" i="115"/>
  <c r="W56" i="115" s="1"/>
  <c r="AH56" i="115"/>
  <c r="CU17" i="52"/>
  <c r="AW5" i="52"/>
  <c r="CQ23" i="52"/>
  <c r="CU23" i="52"/>
  <c r="AB6" i="107"/>
  <c r="BQ24" i="52"/>
  <c r="CM23" i="52"/>
  <c r="AH17" i="107"/>
  <c r="CR20" i="52"/>
  <c r="BM17" i="52"/>
  <c r="CP21" i="52"/>
  <c r="CU20" i="52"/>
  <c r="S56" i="115"/>
  <c r="T56" i="115" s="1"/>
  <c r="U56" i="115" s="1"/>
  <c r="J5" i="107"/>
  <c r="K5" i="107" s="1"/>
  <c r="Y6" i="107"/>
  <c r="Z6" i="107" s="1"/>
  <c r="CM24" i="52"/>
  <c r="CQ24" i="52"/>
  <c r="CU24" i="52"/>
  <c r="BJ23" i="52"/>
  <c r="BN23" i="52"/>
  <c r="BR23" i="52"/>
  <c r="BN24" i="52"/>
  <c r="BL21" i="52"/>
  <c r="CO22" i="52"/>
  <c r="V17" i="107"/>
  <c r="CP20" i="52"/>
  <c r="CT20" i="52"/>
  <c r="CR21" i="52"/>
  <c r="Q8" i="107"/>
  <c r="CS20" i="52"/>
  <c r="CU21" i="52"/>
  <c r="Q56" i="115"/>
  <c r="BP19" i="52"/>
  <c r="AA56" i="115"/>
  <c r="BQ20" i="52"/>
  <c r="CM19" i="52"/>
  <c r="CM6" i="52"/>
  <c r="CO6" i="52"/>
  <c r="CQ6" i="52"/>
  <c r="CR6" i="52"/>
  <c r="CU6" i="52"/>
  <c r="AX4" i="52"/>
  <c r="BL4" i="52" s="1"/>
  <c r="CQ7" i="52"/>
  <c r="BB4" i="52"/>
  <c r="BP4" i="52" s="1"/>
  <c r="AD5" i="107"/>
  <c r="AE5" i="107" s="1"/>
  <c r="AF5" i="107" s="1"/>
  <c r="AG5" i="107" s="1"/>
  <c r="BK24" i="52"/>
  <c r="BO24" i="52"/>
  <c r="CN17" i="52"/>
  <c r="CS17" i="52"/>
  <c r="CM7" i="52"/>
  <c r="L6" i="107"/>
  <c r="M6" i="107" s="1"/>
  <c r="CO24" i="52"/>
  <c r="BL24" i="52"/>
  <c r="BR22" i="52"/>
  <c r="BQ21" i="52"/>
  <c r="BO18" i="52"/>
  <c r="BJ18" i="52"/>
  <c r="CP7" i="52"/>
  <c r="N17" i="107"/>
  <c r="CN23" i="52"/>
  <c r="X17" i="107"/>
  <c r="CR23" i="52"/>
  <c r="CR19" i="52"/>
  <c r="X8" i="107"/>
  <c r="CO17" i="52"/>
  <c r="BJ19" i="52"/>
  <c r="BN17" i="52"/>
  <c r="BN21" i="52"/>
  <c r="AH8" i="107"/>
  <c r="BR19" i="52"/>
  <c r="CN6" i="52"/>
  <c r="N5" i="107"/>
  <c r="CP4" i="52"/>
  <c r="S3" i="107"/>
  <c r="BQ22" i="52"/>
  <c r="BK22" i="52"/>
  <c r="BP21" i="52"/>
  <c r="BK21" i="52"/>
  <c r="BO20" i="52"/>
  <c r="BO19" i="52"/>
  <c r="BN18" i="52"/>
  <c r="CT7" i="52"/>
  <c r="CO7" i="52"/>
  <c r="CS24" i="52"/>
  <c r="CU19" i="52"/>
  <c r="CS18" i="52"/>
  <c r="W5" i="107"/>
  <c r="AB5" i="107"/>
  <c r="Q17" i="107"/>
  <c r="CO23" i="52"/>
  <c r="AA17" i="107"/>
  <c r="CS23" i="52"/>
  <c r="CN5" i="52"/>
  <c r="AC23" i="107"/>
  <c r="AC8" i="107"/>
  <c r="CT19" i="52"/>
  <c r="CP17" i="52"/>
  <c r="CN19" i="52"/>
  <c r="BJ21" i="52"/>
  <c r="CS19" i="52"/>
  <c r="AA8" i="107"/>
  <c r="AX5" i="52"/>
  <c r="AY5" i="52"/>
  <c r="AZ5" i="52"/>
  <c r="BA5" i="52"/>
  <c r="BB5" i="52"/>
  <c r="BC5" i="52"/>
  <c r="AI5" i="107"/>
  <c r="AJ5" i="107" s="1"/>
  <c r="AK5" i="107" s="1"/>
  <c r="AL5" i="107" s="1"/>
  <c r="AM6" i="107"/>
  <c r="AM22" i="107" s="1"/>
  <c r="BP23" i="52"/>
  <c r="BK23" i="52"/>
  <c r="BO22" i="52"/>
  <c r="BJ22" i="52"/>
  <c r="BO21" i="52"/>
  <c r="BN20" i="52"/>
  <c r="BM19" i="52"/>
  <c r="BR18" i="52"/>
  <c r="BM18" i="52"/>
  <c r="BQ17" i="52"/>
  <c r="BL17" i="52"/>
  <c r="CS7" i="52"/>
  <c r="CN7" i="52"/>
  <c r="CR24" i="52"/>
  <c r="CS22" i="52"/>
  <c r="CQ17" i="52"/>
  <c r="V6" i="107"/>
  <c r="W6" i="107" s="1"/>
  <c r="CR17" i="52"/>
  <c r="CO19" i="52"/>
  <c r="BJ17" i="52"/>
  <c r="V8" i="107"/>
  <c r="BN19" i="52"/>
  <c r="BP20" i="52"/>
  <c r="BR17" i="52"/>
  <c r="BR21" i="52"/>
  <c r="AW4" i="52"/>
  <c r="BK4" i="52" s="1"/>
  <c r="BJ24" i="52"/>
  <c r="BO23" i="52"/>
  <c r="BN22" i="52"/>
  <c r="BM21" i="52"/>
  <c r="BR20" i="52"/>
  <c r="BM20" i="52"/>
  <c r="BQ19" i="52"/>
  <c r="BL19" i="52"/>
  <c r="BQ18" i="52"/>
  <c r="BK18" i="52"/>
  <c r="BP17" i="52"/>
  <c r="BK17" i="52"/>
  <c r="CR7" i="52"/>
  <c r="CQ21" i="52"/>
  <c r="CO20" i="52"/>
  <c r="CP19" i="52"/>
  <c r="CO18" i="52"/>
  <c r="CM17" i="52"/>
  <c r="N8" i="107"/>
  <c r="S5" i="107"/>
  <c r="T5" i="107" s="1"/>
  <c r="U5" i="107" s="1"/>
  <c r="CP6" i="52"/>
  <c r="CU7" i="52"/>
  <c r="CS6" i="52"/>
  <c r="AH6" i="107"/>
  <c r="H41" i="111"/>
  <c r="AC22" i="107"/>
  <c r="AA23" i="107"/>
  <c r="AA22" i="107"/>
  <c r="X23" i="107"/>
  <c r="X22" i="107"/>
  <c r="Y14" i="108"/>
  <c r="C17" i="52"/>
  <c r="C48" i="108"/>
  <c r="C14" i="52"/>
  <c r="AA14" i="108"/>
  <c r="CD28" i="52"/>
  <c r="CE28" i="52"/>
  <c r="BY28" i="52"/>
  <c r="CB28" i="52"/>
  <c r="CF28" i="52"/>
  <c r="CA28" i="52"/>
  <c r="CC28" i="52"/>
  <c r="BZ28" i="52"/>
  <c r="AN3" i="52"/>
  <c r="BB18" i="52"/>
  <c r="AZ18" i="52"/>
  <c r="BD18" i="52"/>
  <c r="AP3" i="52"/>
  <c r="AP33" i="52" s="1"/>
  <c r="AL18" i="52"/>
  <c r="H3" i="52"/>
  <c r="AN18" i="52"/>
  <c r="AM18" i="52"/>
  <c r="J3" i="52"/>
  <c r="AL3" i="52"/>
  <c r="AL34" i="52" s="1"/>
  <c r="AM3" i="52"/>
  <c r="AM34" i="52" s="1"/>
  <c r="AP18" i="52"/>
  <c r="L28" i="52"/>
  <c r="L3" i="52"/>
  <c r="J28" i="52"/>
  <c r="V16" i="52"/>
  <c r="V44" i="52" s="1"/>
  <c r="H28" i="52"/>
  <c r="K28" i="52"/>
  <c r="I28" i="52"/>
  <c r="F28" i="52"/>
  <c r="K3" i="52"/>
  <c r="I3" i="52"/>
  <c r="F3" i="52"/>
  <c r="AA16" i="52"/>
  <c r="AA45" i="52" s="1"/>
  <c r="Y16" i="52"/>
  <c r="Y47" i="52" s="1"/>
  <c r="Z16" i="52"/>
  <c r="AB16" i="52"/>
  <c r="AB45" i="52" s="1"/>
  <c r="X16" i="52"/>
  <c r="X45" i="52" s="1"/>
  <c r="Z4" i="52"/>
  <c r="V4" i="52"/>
  <c r="Y4" i="52"/>
  <c r="AB4" i="52"/>
  <c r="X4" i="52"/>
  <c r="AA4" i="52"/>
  <c r="AX18" i="52"/>
  <c r="AO3" i="52"/>
  <c r="AO34" i="52" s="1"/>
  <c r="BC18" i="52"/>
  <c r="AW18" i="52"/>
  <c r="AY18" i="52"/>
  <c r="BA18" i="52"/>
  <c r="AO18" i="52"/>
  <c r="AJ3" i="52"/>
  <c r="AJ33" i="52" s="1"/>
  <c r="AK3" i="52"/>
  <c r="AK33" i="52" s="1"/>
  <c r="AJ18" i="52"/>
  <c r="AI3" i="52"/>
  <c r="AI34" i="52" s="1"/>
  <c r="AK18" i="52"/>
  <c r="AI18" i="52"/>
  <c r="Z14" i="108"/>
  <c r="V14" i="108"/>
  <c r="W13" i="108"/>
  <c r="X13" i="108"/>
  <c r="AC13" i="108"/>
  <c r="T12" i="108"/>
  <c r="L18" i="52"/>
  <c r="AB14" i="52" s="1"/>
  <c r="I14" i="52"/>
  <c r="Y12" i="52" s="1"/>
  <c r="H18" i="52"/>
  <c r="X14" i="52" s="1"/>
  <c r="AA298" i="116" a="1"/>
  <c r="AA334" i="116" a="1"/>
  <c r="AA152" i="116" a="1"/>
  <c r="AA370" i="116" a="1"/>
  <c r="AA406" i="116" a="1"/>
  <c r="AM63" i="168" l="1"/>
  <c r="AG75" i="168"/>
  <c r="U75" i="168"/>
  <c r="P75" i="168"/>
  <c r="AH69" i="115"/>
  <c r="AH35" i="115"/>
  <c r="AD54" i="115"/>
  <c r="AE54" i="115" s="1"/>
  <c r="AF54" i="115" s="1"/>
  <c r="AG54" i="115" s="1"/>
  <c r="AH37" i="115"/>
  <c r="AH34" i="115"/>
  <c r="AD70" i="115"/>
  <c r="AE70" i="115" s="1"/>
  <c r="AF70" i="115" s="1"/>
  <c r="AG70" i="115" s="1"/>
  <c r="AO33" i="52"/>
  <c r="AC36" i="115"/>
  <c r="Y53" i="115"/>
  <c r="Z53" i="115" s="1"/>
  <c r="AA34" i="115"/>
  <c r="X50" i="115"/>
  <c r="W69" i="115"/>
  <c r="X33" i="115"/>
  <c r="X37" i="115"/>
  <c r="T73" i="115"/>
  <c r="U73" i="115" s="1"/>
  <c r="T75" i="115"/>
  <c r="U75" i="115" s="1"/>
  <c r="T69" i="115"/>
  <c r="U69" i="115" s="1"/>
  <c r="T54" i="115"/>
  <c r="U54" i="115" s="1"/>
  <c r="CQ4" i="52"/>
  <c r="BN4" i="52"/>
  <c r="R72" i="115"/>
  <c r="T72" i="115"/>
  <c r="U72" i="115" s="1"/>
  <c r="R71" i="115"/>
  <c r="R75" i="115"/>
  <c r="Q50" i="115"/>
  <c r="L69" i="115"/>
  <c r="AM42" i="168"/>
  <c r="AI42" i="168" s="1"/>
  <c r="AJ42" i="168" s="1"/>
  <c r="AK42" i="168" s="1"/>
  <c r="AL42" i="168" s="1"/>
  <c r="AM44" i="168"/>
  <c r="AM43" i="168"/>
  <c r="AI43" i="168" s="1"/>
  <c r="AJ43" i="168" s="1"/>
  <c r="AK43" i="168" s="1"/>
  <c r="AL43" i="168" s="1"/>
  <c r="AM26" i="168"/>
  <c r="AI6" i="168"/>
  <c r="AJ6" i="168" s="1"/>
  <c r="AI5" i="168"/>
  <c r="AI31" i="168" s="1"/>
  <c r="AM25" i="168"/>
  <c r="AM61" i="168"/>
  <c r="AI61" i="168" s="1"/>
  <c r="AJ61" i="168" s="1"/>
  <c r="AK61" i="168" s="1"/>
  <c r="AL61" i="168" s="1"/>
  <c r="AM29" i="168"/>
  <c r="AM24" i="168"/>
  <c r="AM28" i="168"/>
  <c r="AM27" i="168"/>
  <c r="AM31" i="168"/>
  <c r="AM30" i="168"/>
  <c r="O21" i="109"/>
  <c r="P21" i="109" s="1"/>
  <c r="O20" i="109"/>
  <c r="P20" i="109" s="1"/>
  <c r="O59" i="113"/>
  <c r="P59" i="113" s="1"/>
  <c r="O40" i="113"/>
  <c r="P40" i="113" s="1"/>
  <c r="R40" i="113"/>
  <c r="R21" i="109"/>
  <c r="R20" i="109"/>
  <c r="Z32" i="113"/>
  <c r="AQ43" i="108"/>
  <c r="AQ37" i="108"/>
  <c r="AQ39" i="108"/>
  <c r="AQ44" i="108"/>
  <c r="CG26" i="108"/>
  <c r="AM46" i="168"/>
  <c r="AI46" i="168" s="1"/>
  <c r="AJ46" i="168" s="1"/>
  <c r="AK46" i="168" s="1"/>
  <c r="AL46" i="168" s="1"/>
  <c r="AQ45" i="108"/>
  <c r="AQ38" i="108"/>
  <c r="AK4" i="168"/>
  <c r="AQ41" i="108"/>
  <c r="AJ7" i="168"/>
  <c r="AQ40" i="108"/>
  <c r="AJ10" i="168"/>
  <c r="AJ8" i="168"/>
  <c r="AQ42" i="108"/>
  <c r="BE20" i="108"/>
  <c r="AM14" i="168" s="1"/>
  <c r="AQ4" i="108"/>
  <c r="AJ11" i="168"/>
  <c r="AJ9" i="168"/>
  <c r="AJ12" i="168"/>
  <c r="AU39" i="165"/>
  <c r="AT2" i="165"/>
  <c r="O8" i="107"/>
  <c r="P8" i="107" s="1"/>
  <c r="O17" i="107"/>
  <c r="P17" i="107" s="1"/>
  <c r="Q36" i="115"/>
  <c r="R17" i="115"/>
  <c r="Q37" i="115"/>
  <c r="R18" i="115"/>
  <c r="Q34" i="115"/>
  <c r="R74" i="115"/>
  <c r="Q70" i="115"/>
  <c r="N50" i="115"/>
  <c r="O50" i="115" s="1"/>
  <c r="P50" i="115" s="1"/>
  <c r="R7" i="107"/>
  <c r="Q24" i="107"/>
  <c r="O75" i="115"/>
  <c r="P75" i="115" s="1"/>
  <c r="O54" i="115"/>
  <c r="P54" i="115" s="1"/>
  <c r="Q26" i="107"/>
  <c r="R9" i="107"/>
  <c r="R22" i="111"/>
  <c r="R56" i="115"/>
  <c r="R13" i="115"/>
  <c r="Q32" i="115"/>
  <c r="Q73" i="115"/>
  <c r="R73" i="115" s="1"/>
  <c r="O7" i="107"/>
  <c r="P7" i="107" s="1"/>
  <c r="R14" i="115"/>
  <c r="Q33" i="115"/>
  <c r="R17" i="107"/>
  <c r="O56" i="115"/>
  <c r="P56" i="115" s="1"/>
  <c r="N52" i="115"/>
  <c r="O52" i="115" s="1"/>
  <c r="P52" i="115" s="1"/>
  <c r="Q51" i="115"/>
  <c r="L72" i="115"/>
  <c r="Q25" i="107"/>
  <c r="R8" i="107"/>
  <c r="Q35" i="115"/>
  <c r="V71" i="115"/>
  <c r="W71" i="115" s="1"/>
  <c r="S40" i="115"/>
  <c r="AK34" i="52"/>
  <c r="N71" i="115"/>
  <c r="O71" i="115" s="1"/>
  <c r="P71" i="115" s="1"/>
  <c r="AJ34" i="52"/>
  <c r="N53" i="115"/>
  <c r="O53" i="115" s="1"/>
  <c r="P53" i="115" s="1"/>
  <c r="V54" i="115"/>
  <c r="N69" i="115"/>
  <c r="O69" i="115" s="1"/>
  <c r="P69" i="115" s="1"/>
  <c r="BV22" i="108"/>
  <c r="I41" i="168"/>
  <c r="J41" i="168" s="1"/>
  <c r="K41" i="168" s="1"/>
  <c r="S35" i="115"/>
  <c r="V35" i="115"/>
  <c r="M17" i="107"/>
  <c r="S33" i="115"/>
  <c r="BV22" i="52"/>
  <c r="G33" i="111"/>
  <c r="H30" i="111" s="1"/>
  <c r="S34" i="115"/>
  <c r="S52" i="115"/>
  <c r="T52" i="115" s="1"/>
  <c r="U52" i="115" s="1"/>
  <c r="AI33" i="52"/>
  <c r="T17" i="115"/>
  <c r="U17" i="115" s="1"/>
  <c r="CG29" i="108"/>
  <c r="BE21" i="108"/>
  <c r="BS19" i="108" s="1"/>
  <c r="AD21" i="109"/>
  <c r="AE21" i="109" s="1"/>
  <c r="AF21" i="109" s="1"/>
  <c r="AG21" i="109" s="1"/>
  <c r="R2" i="52"/>
  <c r="R25" i="52" s="1"/>
  <c r="BH20" i="52"/>
  <c r="CK20" i="52"/>
  <c r="B2" i="52"/>
  <c r="B41" i="52" s="1"/>
  <c r="E49" i="111"/>
  <c r="D41" i="115"/>
  <c r="BH20" i="108"/>
  <c r="CK20" i="108"/>
  <c r="U34" i="113"/>
  <c r="AQ21" i="108"/>
  <c r="DL21" i="108"/>
  <c r="AQ23" i="108"/>
  <c r="DL18" i="108"/>
  <c r="DL19" i="108"/>
  <c r="BV21" i="108"/>
  <c r="BV21" i="52"/>
  <c r="I6" i="107"/>
  <c r="I22" i="107" s="1"/>
  <c r="AU5" i="108"/>
  <c r="AG5" i="108"/>
  <c r="BV19" i="52"/>
  <c r="C34" i="108"/>
  <c r="S22" i="108" s="1"/>
  <c r="C34" i="52"/>
  <c r="N34" i="52" s="1"/>
  <c r="C30" i="52"/>
  <c r="N30" i="52" s="1"/>
  <c r="BV19" i="108"/>
  <c r="C4" i="108"/>
  <c r="AG5" i="52"/>
  <c r="C38" i="52"/>
  <c r="C33" i="52"/>
  <c r="N33" i="52" s="1"/>
  <c r="B2" i="108"/>
  <c r="B41" i="108" s="1"/>
  <c r="C32" i="108"/>
  <c r="I5" i="109"/>
  <c r="C30" i="108"/>
  <c r="S18" i="108" s="1"/>
  <c r="I6" i="109"/>
  <c r="CL7" i="108"/>
  <c r="BV23" i="52"/>
  <c r="BV6" i="52"/>
  <c r="BH6" i="52" s="1"/>
  <c r="C38" i="108"/>
  <c r="S23" i="108" s="1"/>
  <c r="D60" i="113"/>
  <c r="BV23" i="108"/>
  <c r="I4" i="107"/>
  <c r="E4" i="107" s="1"/>
  <c r="F4" i="107" s="1"/>
  <c r="G4" i="107" s="1"/>
  <c r="I4" i="115"/>
  <c r="AU22" i="108"/>
  <c r="AG22" i="108"/>
  <c r="AU22" i="52"/>
  <c r="AG22" i="52"/>
  <c r="C33" i="108"/>
  <c r="C32" i="52"/>
  <c r="N32" i="52" s="1"/>
  <c r="C31" i="108"/>
  <c r="R7" i="108"/>
  <c r="R36" i="108" s="1"/>
  <c r="C29" i="108"/>
  <c r="C29" i="52"/>
  <c r="CL7" i="52"/>
  <c r="I41" i="115"/>
  <c r="C4" i="52"/>
  <c r="C3" i="52" s="1"/>
  <c r="N3" i="52" s="1"/>
  <c r="C31" i="52"/>
  <c r="N31" i="52" s="1"/>
  <c r="W73" i="115"/>
  <c r="W52" i="115"/>
  <c r="V4" i="115"/>
  <c r="Z17" i="115"/>
  <c r="AC35" i="115"/>
  <c r="AD16" i="115"/>
  <c r="L4" i="115"/>
  <c r="V50" i="115"/>
  <c r="W50" i="115" s="1"/>
  <c r="AC37" i="115"/>
  <c r="AC55" i="115"/>
  <c r="AD55" i="115" s="1"/>
  <c r="AE55" i="115" s="1"/>
  <c r="AF55" i="115" s="1"/>
  <c r="AG55" i="115" s="1"/>
  <c r="AD18" i="115"/>
  <c r="AC74" i="115"/>
  <c r="AD74" i="115" s="1"/>
  <c r="AE74" i="115" s="1"/>
  <c r="AF74" i="115" s="1"/>
  <c r="AG74" i="115" s="1"/>
  <c r="N34" i="115"/>
  <c r="AD73" i="115"/>
  <c r="AE73" i="115" s="1"/>
  <c r="AF73" i="115" s="1"/>
  <c r="AG73" i="115" s="1"/>
  <c r="AB71" i="115"/>
  <c r="AE14" i="115"/>
  <c r="AH71" i="115"/>
  <c r="AD71" i="115" s="1"/>
  <c r="AE71" i="115" s="1"/>
  <c r="AF71" i="115" s="1"/>
  <c r="AG71" i="115" s="1"/>
  <c r="AL33" i="52"/>
  <c r="AH33" i="115"/>
  <c r="L3" i="115"/>
  <c r="AH3" i="107"/>
  <c r="AH21" i="107" s="1"/>
  <c r="AH3" i="115"/>
  <c r="M18" i="115"/>
  <c r="L74" i="115"/>
  <c r="L55" i="115"/>
  <c r="W55" i="115"/>
  <c r="S32" i="115"/>
  <c r="T13" i="115"/>
  <c r="U16" i="115"/>
  <c r="N33" i="115"/>
  <c r="AH52" i="115"/>
  <c r="AD52" i="115" s="1"/>
  <c r="AE52" i="115" s="1"/>
  <c r="AF52" i="115" s="1"/>
  <c r="AG52" i="115" s="1"/>
  <c r="AC33" i="115"/>
  <c r="AC72" i="115"/>
  <c r="AD72" i="115" s="1"/>
  <c r="AE72" i="115" s="1"/>
  <c r="AF72" i="115" s="1"/>
  <c r="AG72" i="115" s="1"/>
  <c r="AH60" i="115"/>
  <c r="M13" i="115"/>
  <c r="Y69" i="115"/>
  <c r="Z69" i="115" s="1"/>
  <c r="Q4" i="115"/>
  <c r="Z18" i="115"/>
  <c r="M56" i="115"/>
  <c r="N35" i="115"/>
  <c r="AA32" i="115"/>
  <c r="AB13" i="115"/>
  <c r="Y74" i="115"/>
  <c r="Z74" i="115" s="1"/>
  <c r="V33" i="115"/>
  <c r="W14" i="115"/>
  <c r="M73" i="115"/>
  <c r="Y75" i="115"/>
  <c r="Z75" i="115" s="1"/>
  <c r="AB75" i="115"/>
  <c r="W74" i="115"/>
  <c r="AC69" i="115"/>
  <c r="AD69" i="115" s="1"/>
  <c r="AE69" i="115" s="1"/>
  <c r="AF69" i="115" s="1"/>
  <c r="AG69" i="115" s="1"/>
  <c r="AE17" i="115"/>
  <c r="AA69" i="115"/>
  <c r="Y71" i="115"/>
  <c r="Z71" i="115" s="1"/>
  <c r="AC53" i="115"/>
  <c r="AD53" i="115" s="1"/>
  <c r="AE53" i="115" s="1"/>
  <c r="AF53" i="115" s="1"/>
  <c r="AG53" i="115" s="1"/>
  <c r="S37" i="115"/>
  <c r="S74" i="115"/>
  <c r="T74" i="115" s="1"/>
  <c r="U74" i="115" s="1"/>
  <c r="S55" i="115"/>
  <c r="T55" i="115" s="1"/>
  <c r="U55" i="115" s="1"/>
  <c r="T18" i="115"/>
  <c r="AD56" i="115"/>
  <c r="AE56" i="115" s="1"/>
  <c r="AF56" i="115" s="1"/>
  <c r="AG56" i="115" s="1"/>
  <c r="AP34" i="52"/>
  <c r="AH32" i="115"/>
  <c r="T14" i="115"/>
  <c r="V37" i="115"/>
  <c r="S36" i="115"/>
  <c r="W53" i="115"/>
  <c r="AA33" i="115"/>
  <c r="W72" i="115"/>
  <c r="V51" i="115"/>
  <c r="T51" i="115" s="1"/>
  <c r="U51" i="115" s="1"/>
  <c r="AA72" i="115"/>
  <c r="Y72" i="115" s="1"/>
  <c r="Z72" i="115" s="1"/>
  <c r="AA35" i="115"/>
  <c r="AB16" i="115"/>
  <c r="AB35" i="115" s="1"/>
  <c r="Q3" i="107"/>
  <c r="Q3" i="115"/>
  <c r="Y56" i="115"/>
  <c r="Z56" i="115" s="1"/>
  <c r="AB56" i="115"/>
  <c r="N4" i="107"/>
  <c r="N4" i="115"/>
  <c r="W75" i="115"/>
  <c r="M70" i="115"/>
  <c r="AB70" i="115"/>
  <c r="V36" i="115"/>
  <c r="W17" i="115"/>
  <c r="AA50" i="115"/>
  <c r="Y50" i="115" s="1"/>
  <c r="Z50" i="115" s="1"/>
  <c r="M54" i="115"/>
  <c r="V70" i="115"/>
  <c r="W70" i="115" s="1"/>
  <c r="N37" i="115"/>
  <c r="N74" i="115"/>
  <c r="O74" i="115" s="1"/>
  <c r="P74" i="115" s="1"/>
  <c r="N55" i="115"/>
  <c r="O55" i="115" s="1"/>
  <c r="P55" i="115" s="1"/>
  <c r="Z15" i="115"/>
  <c r="AB51" i="115"/>
  <c r="N3" i="115"/>
  <c r="AC3" i="107"/>
  <c r="AC3" i="115"/>
  <c r="S59" i="115"/>
  <c r="AH50" i="115"/>
  <c r="X32" i="115"/>
  <c r="Y13" i="115"/>
  <c r="AB52" i="115"/>
  <c r="AB18" i="115"/>
  <c r="N32" i="115"/>
  <c r="AD15" i="115"/>
  <c r="N72" i="115"/>
  <c r="O72" i="115" s="1"/>
  <c r="P72" i="115" s="1"/>
  <c r="S50" i="115"/>
  <c r="X34" i="115"/>
  <c r="X4" i="115"/>
  <c r="X3" i="107"/>
  <c r="X3" i="115"/>
  <c r="S4" i="115"/>
  <c r="Z14" i="115"/>
  <c r="V32" i="115"/>
  <c r="W13" i="115"/>
  <c r="AC4" i="115"/>
  <c r="CS4" i="52"/>
  <c r="AA3" i="115"/>
  <c r="M75" i="115"/>
  <c r="V34" i="115"/>
  <c r="W15" i="115"/>
  <c r="AC32" i="115"/>
  <c r="AD13" i="115"/>
  <c r="AB55" i="115"/>
  <c r="Y16" i="115"/>
  <c r="AC50" i="115"/>
  <c r="AC34" i="115"/>
  <c r="M16" i="115"/>
  <c r="M51" i="115"/>
  <c r="BB34" i="52"/>
  <c r="AA4" i="115"/>
  <c r="V3" i="107"/>
  <c r="V3" i="115"/>
  <c r="AA36" i="115"/>
  <c r="AA37" i="115"/>
  <c r="T15" i="115"/>
  <c r="N36" i="115"/>
  <c r="AD20" i="109"/>
  <c r="AE20" i="109" s="1"/>
  <c r="AF20" i="109" s="1"/>
  <c r="AG20" i="109" s="1"/>
  <c r="AB59" i="113"/>
  <c r="AD59" i="113"/>
  <c r="AE59" i="113" s="1"/>
  <c r="AF59" i="113" s="1"/>
  <c r="AG59" i="113" s="1"/>
  <c r="U37" i="113"/>
  <c r="P32" i="113"/>
  <c r="Y40" i="113"/>
  <c r="Z40" i="113" s="1"/>
  <c r="AB20" i="109"/>
  <c r="Z34" i="113"/>
  <c r="W40" i="113"/>
  <c r="Z37" i="113"/>
  <c r="AB22" i="113"/>
  <c r="AB23" i="113"/>
  <c r="U33" i="113"/>
  <c r="Z36" i="113"/>
  <c r="Y20" i="109"/>
  <c r="Z20" i="109" s="1"/>
  <c r="P36" i="113"/>
  <c r="O22" i="113"/>
  <c r="O23" i="113"/>
  <c r="U35" i="113"/>
  <c r="AB40" i="113"/>
  <c r="T20" i="109"/>
  <c r="U20" i="109" s="1"/>
  <c r="W20" i="109"/>
  <c r="Z33" i="113"/>
  <c r="Y22" i="113"/>
  <c r="Y23" i="113"/>
  <c r="Z3" i="113"/>
  <c r="P37" i="113"/>
  <c r="U36" i="113"/>
  <c r="T22" i="113"/>
  <c r="T23" i="113"/>
  <c r="U3" i="113"/>
  <c r="R22" i="113"/>
  <c r="R23" i="113"/>
  <c r="Y59" i="113"/>
  <c r="Z59" i="113" s="1"/>
  <c r="P34" i="113"/>
  <c r="W59" i="113"/>
  <c r="U32" i="113"/>
  <c r="AD40" i="113"/>
  <c r="AE40" i="113" s="1"/>
  <c r="AF40" i="113" s="1"/>
  <c r="AG40" i="113" s="1"/>
  <c r="P35" i="113"/>
  <c r="W22" i="113"/>
  <c r="W23" i="113"/>
  <c r="P33" i="113"/>
  <c r="Z35" i="113"/>
  <c r="T21" i="109"/>
  <c r="U21" i="109" s="1"/>
  <c r="AD22" i="113"/>
  <c r="AE3" i="113"/>
  <c r="AE23" i="113" s="1"/>
  <c r="AF4" i="113"/>
  <c r="AD23" i="113"/>
  <c r="AE34" i="113"/>
  <c r="AF15" i="113"/>
  <c r="AE33" i="113"/>
  <c r="AF14" i="113"/>
  <c r="AG16" i="113"/>
  <c r="AG17" i="113"/>
  <c r="AE35" i="113"/>
  <c r="AE36" i="113"/>
  <c r="AE37" i="113"/>
  <c r="AF18" i="113"/>
  <c r="AE32" i="113"/>
  <c r="AF13" i="113"/>
  <c r="J30" i="118"/>
  <c r="Q30" i="118" s="1"/>
  <c r="BE24" i="108"/>
  <c r="AM17" i="168" s="1"/>
  <c r="AQ26" i="108"/>
  <c r="BE25" i="108"/>
  <c r="AQ25" i="108"/>
  <c r="DL17" i="108"/>
  <c r="DL23" i="108"/>
  <c r="BE19" i="108"/>
  <c r="DL25" i="108"/>
  <c r="AQ19" i="108"/>
  <c r="AQ27" i="108"/>
  <c r="DL22" i="108"/>
  <c r="BS25" i="108"/>
  <c r="AM56" i="168" s="1"/>
  <c r="AQ24" i="108"/>
  <c r="DL6" i="108"/>
  <c r="DL24" i="108"/>
  <c r="BE4" i="108"/>
  <c r="BE26" i="108"/>
  <c r="BE23" i="108"/>
  <c r="AM16" i="168" s="1"/>
  <c r="AQ20" i="108"/>
  <c r="T18" i="108"/>
  <c r="L6" i="109"/>
  <c r="CM7" i="108"/>
  <c r="L5" i="109"/>
  <c r="T22" i="108"/>
  <c r="T19" i="108"/>
  <c r="C9" i="108"/>
  <c r="N9" i="108" s="1"/>
  <c r="AA298" i="116"/>
  <c r="AA406" i="116"/>
  <c r="AA334" i="116"/>
  <c r="AA370" i="116"/>
  <c r="AA152" i="116"/>
  <c r="V13" i="108"/>
  <c r="A408" i="116"/>
  <c r="AC14" i="108"/>
  <c r="A300" i="116"/>
  <c r="Z13" i="108"/>
  <c r="A336" i="116"/>
  <c r="A155" i="116"/>
  <c r="AA12" i="108"/>
  <c r="A444" i="116"/>
  <c r="AA13" i="108"/>
  <c r="A372" i="116"/>
  <c r="A481" i="116"/>
  <c r="R16" i="108"/>
  <c r="R43" i="108" s="1"/>
  <c r="AF26" i="109"/>
  <c r="AF25" i="109"/>
  <c r="AF24" i="109"/>
  <c r="T10" i="108"/>
  <c r="T11" i="108"/>
  <c r="T9" i="108"/>
  <c r="T15" i="108"/>
  <c r="E2" i="108"/>
  <c r="T14" i="108"/>
  <c r="X14" i="108"/>
  <c r="AC11" i="108"/>
  <c r="AC15" i="108"/>
  <c r="AC10" i="108"/>
  <c r="AC9" i="108"/>
  <c r="U7" i="108"/>
  <c r="U38" i="108" s="1"/>
  <c r="X12" i="108"/>
  <c r="S7" i="108"/>
  <c r="S40" i="108" s="1"/>
  <c r="Y10" i="108"/>
  <c r="Y11" i="108"/>
  <c r="Y15" i="108"/>
  <c r="Y9" i="108"/>
  <c r="Y13" i="108"/>
  <c r="Z12" i="108"/>
  <c r="AT9" i="52"/>
  <c r="D5" i="115" s="1"/>
  <c r="AT9" i="108"/>
  <c r="AF9" i="52"/>
  <c r="AF9" i="108"/>
  <c r="DA8" i="108"/>
  <c r="DA8" i="52"/>
  <c r="DA13" i="52"/>
  <c r="AF15" i="108"/>
  <c r="AF16" i="108"/>
  <c r="DA14" i="108"/>
  <c r="AF14" i="52"/>
  <c r="AT15" i="108"/>
  <c r="AT16" i="52"/>
  <c r="AF15" i="52"/>
  <c r="AT15" i="52"/>
  <c r="AF10" i="108"/>
  <c r="AT16" i="108"/>
  <c r="AT10" i="108"/>
  <c r="DA9" i="108"/>
  <c r="DA15" i="52"/>
  <c r="DA12" i="52"/>
  <c r="DA14" i="52"/>
  <c r="AT10" i="52"/>
  <c r="AT14" i="52"/>
  <c r="AF14" i="108"/>
  <c r="AF10" i="52"/>
  <c r="DA9" i="52"/>
  <c r="DA13" i="108"/>
  <c r="DA12" i="108"/>
  <c r="AF16" i="52"/>
  <c r="AT14" i="108"/>
  <c r="DA15" i="108"/>
  <c r="AT17" i="52"/>
  <c r="AT12" i="52"/>
  <c r="AF12" i="52"/>
  <c r="AF17" i="108"/>
  <c r="DA10" i="52"/>
  <c r="AF12" i="108"/>
  <c r="AF17" i="52"/>
  <c r="AT17" i="108"/>
  <c r="AT11" i="108"/>
  <c r="DA11" i="52"/>
  <c r="AF11" i="108"/>
  <c r="AT12" i="108"/>
  <c r="DA11" i="108"/>
  <c r="AT11" i="52"/>
  <c r="DA10" i="108"/>
  <c r="DA16" i="108"/>
  <c r="DA16" i="52"/>
  <c r="AF11" i="52"/>
  <c r="W14" i="108"/>
  <c r="AA11" i="108"/>
  <c r="AA15" i="108"/>
  <c r="AA9" i="108"/>
  <c r="AA10" i="108"/>
  <c r="T13" i="108"/>
  <c r="Y12" i="108"/>
  <c r="W12" i="108"/>
  <c r="AC12" i="108"/>
  <c r="X15" i="108"/>
  <c r="X9" i="108"/>
  <c r="X10" i="108"/>
  <c r="X11" i="108"/>
  <c r="W10" i="108"/>
  <c r="W11" i="108"/>
  <c r="W15" i="108"/>
  <c r="W9" i="108"/>
  <c r="Z15" i="108"/>
  <c r="Z10" i="108"/>
  <c r="Z9" i="108"/>
  <c r="Z11" i="108"/>
  <c r="V15" i="108"/>
  <c r="V10" i="108"/>
  <c r="V9" i="108"/>
  <c r="V11" i="108"/>
  <c r="V12" i="108"/>
  <c r="DL7" i="108"/>
  <c r="CU7" i="108"/>
  <c r="G5" i="107"/>
  <c r="AM23" i="107"/>
  <c r="AI6" i="107"/>
  <c r="AJ6" i="107" s="1"/>
  <c r="AK6" i="107" s="1"/>
  <c r="AL6" i="107" s="1"/>
  <c r="T8" i="107"/>
  <c r="U8" i="107" s="1"/>
  <c r="AB8" i="107"/>
  <c r="AD17" i="107"/>
  <c r="AE17" i="107" s="1"/>
  <c r="AF17" i="107" s="1"/>
  <c r="AG17" i="107" s="1"/>
  <c r="M7" i="107"/>
  <c r="M9" i="107"/>
  <c r="Y7" i="107"/>
  <c r="Z7" i="107" s="1"/>
  <c r="T9" i="107"/>
  <c r="U9" i="107" s="1"/>
  <c r="N22" i="107"/>
  <c r="AC26" i="107"/>
  <c r="CT4" i="52"/>
  <c r="CM4" i="52"/>
  <c r="L3" i="107"/>
  <c r="CU4" i="52"/>
  <c r="C9" i="52"/>
  <c r="N9" i="52" s="1"/>
  <c r="CR4" i="52"/>
  <c r="BD3" i="52"/>
  <c r="BD34" i="52" s="1"/>
  <c r="N26" i="107"/>
  <c r="N24" i="107"/>
  <c r="O24" i="107" s="1"/>
  <c r="P24" i="107" s="1"/>
  <c r="CO4" i="52"/>
  <c r="AZ3" i="52"/>
  <c r="AZ34" i="52" s="1"/>
  <c r="AA25" i="107"/>
  <c r="AH26" i="107"/>
  <c r="AB22" i="107"/>
  <c r="Y17" i="107"/>
  <c r="Z17" i="107" s="1"/>
  <c r="AH24" i="107"/>
  <c r="V26" i="107"/>
  <c r="X24" i="107"/>
  <c r="AA24" i="107"/>
  <c r="BB3" i="52"/>
  <c r="BB33" i="52" s="1"/>
  <c r="AD7" i="107"/>
  <c r="AE7" i="107" s="1"/>
  <c r="AF7" i="107" s="1"/>
  <c r="AG7" i="107" s="1"/>
  <c r="AA3" i="107"/>
  <c r="V23" i="107"/>
  <c r="W17" i="107"/>
  <c r="AD6" i="107"/>
  <c r="AE6" i="107" s="1"/>
  <c r="AF6" i="107" s="1"/>
  <c r="AG6" i="107" s="1"/>
  <c r="AA26" i="107"/>
  <c r="Y23" i="107"/>
  <c r="S26" i="107"/>
  <c r="AH25" i="107"/>
  <c r="AD8" i="107"/>
  <c r="AE8" i="107" s="1"/>
  <c r="AF8" i="107" s="1"/>
  <c r="AG8" i="107" s="1"/>
  <c r="T17" i="107"/>
  <c r="U17" i="107" s="1"/>
  <c r="AD9" i="107"/>
  <c r="AE9" i="107" s="1"/>
  <c r="AF9" i="107" s="1"/>
  <c r="AG9" i="107" s="1"/>
  <c r="Y9" i="107"/>
  <c r="Z9" i="107" s="1"/>
  <c r="S25" i="107"/>
  <c r="AH22" i="107"/>
  <c r="V25" i="107"/>
  <c r="T6" i="107"/>
  <c r="U6" i="107" s="1"/>
  <c r="N3" i="107"/>
  <c r="AW3" i="52"/>
  <c r="AW33" i="52" s="1"/>
  <c r="CN4" i="52"/>
  <c r="W7" i="107"/>
  <c r="W8" i="107"/>
  <c r="X26" i="107"/>
  <c r="S24" i="107"/>
  <c r="Y8" i="107"/>
  <c r="Z8" i="107" s="1"/>
  <c r="AB17" i="107"/>
  <c r="V4" i="107"/>
  <c r="CQ5" i="52"/>
  <c r="T7" i="107"/>
  <c r="U7" i="107" s="1"/>
  <c r="AB9" i="107"/>
  <c r="M5" i="107"/>
  <c r="CR5" i="52"/>
  <c r="X4" i="107"/>
  <c r="Y22" i="107"/>
  <c r="L23" i="107"/>
  <c r="N23" i="107"/>
  <c r="L22" i="107"/>
  <c r="AC25" i="107"/>
  <c r="AC24" i="107"/>
  <c r="BA3" i="52"/>
  <c r="BA33" i="52" s="1"/>
  <c r="AC4" i="107"/>
  <c r="CT5" i="52"/>
  <c r="S4" i="107"/>
  <c r="AY3" i="52"/>
  <c r="AY33" i="52" s="1"/>
  <c r="CP5" i="52"/>
  <c r="BC3" i="52"/>
  <c r="BC34" i="52" s="1"/>
  <c r="AB7" i="107"/>
  <c r="L4" i="107"/>
  <c r="CM5" i="52"/>
  <c r="V24" i="107"/>
  <c r="S23" i="107"/>
  <c r="AH23" i="107"/>
  <c r="X25" i="107"/>
  <c r="N25" i="107"/>
  <c r="S22" i="107"/>
  <c r="V22" i="107"/>
  <c r="I23" i="107"/>
  <c r="AB23" i="107"/>
  <c r="CS5" i="52"/>
  <c r="AA4" i="107"/>
  <c r="Q4" i="107"/>
  <c r="CO5" i="52"/>
  <c r="AX3" i="52"/>
  <c r="AX34" i="52" s="1"/>
  <c r="W9" i="107"/>
  <c r="G20" i="111"/>
  <c r="H13" i="111"/>
  <c r="BV8" i="108" s="1"/>
  <c r="BD50" i="52"/>
  <c r="BD53" i="52"/>
  <c r="BD52" i="52"/>
  <c r="BC54" i="52"/>
  <c r="BC53" i="52"/>
  <c r="BC52" i="52"/>
  <c r="BB49" i="52"/>
  <c r="BB53" i="52"/>
  <c r="BB52" i="52"/>
  <c r="BA47" i="52"/>
  <c r="BA52" i="52"/>
  <c r="BA53" i="52"/>
  <c r="AZ48" i="52"/>
  <c r="AZ53" i="52"/>
  <c r="AZ52" i="52"/>
  <c r="AY48" i="52"/>
  <c r="AY52" i="52"/>
  <c r="AY53" i="52"/>
  <c r="AX48" i="52"/>
  <c r="AX52" i="52"/>
  <c r="AX53" i="52"/>
  <c r="AW54" i="52"/>
  <c r="AW53" i="52"/>
  <c r="AW52" i="52"/>
  <c r="I18" i="52"/>
  <c r="Y14" i="52" s="1"/>
  <c r="BB12" i="52"/>
  <c r="AC8" i="113"/>
  <c r="DJ15" i="52"/>
  <c r="BB17" i="52"/>
  <c r="F11" i="52"/>
  <c r="V9" i="52" s="1"/>
  <c r="F19" i="52"/>
  <c r="V15" i="52" s="1"/>
  <c r="F10" i="52"/>
  <c r="F17" i="52"/>
  <c r="V13" i="52" s="1"/>
  <c r="F14" i="52"/>
  <c r="V12" i="52" s="1"/>
  <c r="F13" i="52"/>
  <c r="V11" i="52" s="1"/>
  <c r="F12" i="52"/>
  <c r="V10" i="52" s="1"/>
  <c r="F18" i="52"/>
  <c r="V14" i="52" s="1"/>
  <c r="K48" i="52"/>
  <c r="AN16" i="52"/>
  <c r="BB10" i="52"/>
  <c r="C48" i="52"/>
  <c r="J13" i="52"/>
  <c r="Z11" i="52" s="1"/>
  <c r="J12" i="52"/>
  <c r="Z10" i="52" s="1"/>
  <c r="J11" i="52"/>
  <c r="Z9" i="52" s="1"/>
  <c r="J10" i="52"/>
  <c r="J19" i="52"/>
  <c r="Z15" i="52" s="1"/>
  <c r="J18" i="52"/>
  <c r="Z14" i="52" s="1"/>
  <c r="L19" i="52"/>
  <c r="AB15" i="52" s="1"/>
  <c r="L14" i="52"/>
  <c r="AB12" i="52" s="1"/>
  <c r="L12" i="52"/>
  <c r="AB10" i="52" s="1"/>
  <c r="L11" i="52"/>
  <c r="AB9" i="52" s="1"/>
  <c r="L10" i="52"/>
  <c r="L17" i="52"/>
  <c r="AB13" i="52" s="1"/>
  <c r="L13" i="52"/>
  <c r="AB11" i="52" s="1"/>
  <c r="DI14" i="52"/>
  <c r="K11" i="52"/>
  <c r="AA9" i="52" s="1"/>
  <c r="K10" i="52"/>
  <c r="K19" i="52"/>
  <c r="AA15" i="52" s="1"/>
  <c r="K14" i="52"/>
  <c r="AA12" i="52" s="1"/>
  <c r="K13" i="52"/>
  <c r="AA11" i="52" s="1"/>
  <c r="K12" i="52"/>
  <c r="AA10" i="52" s="1"/>
  <c r="K18" i="52"/>
  <c r="AA14" i="52" s="1"/>
  <c r="I19" i="52"/>
  <c r="Y15" i="52" s="1"/>
  <c r="I12" i="52"/>
  <c r="Y10" i="52" s="1"/>
  <c r="I11" i="52"/>
  <c r="Y9" i="52" s="1"/>
  <c r="I13" i="52"/>
  <c r="Y11" i="52" s="1"/>
  <c r="I10" i="52"/>
  <c r="AN17" i="52"/>
  <c r="DI15" i="52"/>
  <c r="J17" i="52"/>
  <c r="Z13" i="52" s="1"/>
  <c r="K17" i="52"/>
  <c r="AA13" i="52" s="1"/>
  <c r="DI8" i="52"/>
  <c r="BB9" i="52"/>
  <c r="AN9" i="52"/>
  <c r="BB14" i="52"/>
  <c r="BB15" i="52"/>
  <c r="DB12" i="108"/>
  <c r="J14" i="52"/>
  <c r="Z12" i="52" s="1"/>
  <c r="DI9" i="52"/>
  <c r="AN15" i="52"/>
  <c r="DI16" i="52"/>
  <c r="DI11" i="52"/>
  <c r="AZ17" i="52"/>
  <c r="AN14" i="52"/>
  <c r="DI10" i="52"/>
  <c r="BB11" i="52"/>
  <c r="AN11" i="52"/>
  <c r="DI13" i="52"/>
  <c r="BB16" i="52"/>
  <c r="H17" i="52"/>
  <c r="X13" i="52" s="1"/>
  <c r="H19" i="52"/>
  <c r="X15" i="52" s="1"/>
  <c r="H12" i="52"/>
  <c r="X10" i="52" s="1"/>
  <c r="H11" i="52"/>
  <c r="X9" i="52" s="1"/>
  <c r="H10" i="52"/>
  <c r="H14" i="52"/>
  <c r="X12" i="52" s="1"/>
  <c r="H13" i="52"/>
  <c r="X11" i="52" s="1"/>
  <c r="H48" i="52"/>
  <c r="DI12" i="52"/>
  <c r="AN10" i="52"/>
  <c r="I17" i="52"/>
  <c r="Y13" i="52" s="1"/>
  <c r="AN12" i="52"/>
  <c r="AP49" i="52"/>
  <c r="AP52" i="52"/>
  <c r="AP53" i="52"/>
  <c r="AO47" i="52"/>
  <c r="AO53" i="52"/>
  <c r="AO52" i="52"/>
  <c r="AN48" i="52"/>
  <c r="AN52" i="52"/>
  <c r="AN53" i="52"/>
  <c r="AM50" i="52"/>
  <c r="AM53" i="52"/>
  <c r="AM52" i="52"/>
  <c r="AL54" i="52"/>
  <c r="AL52" i="52"/>
  <c r="AL53" i="52"/>
  <c r="AK54" i="52"/>
  <c r="AK53" i="52"/>
  <c r="AK52" i="52"/>
  <c r="AJ48" i="52"/>
  <c r="AJ52" i="52"/>
  <c r="AJ53" i="52"/>
  <c r="AI51" i="52"/>
  <c r="AI52" i="52"/>
  <c r="AI53" i="52"/>
  <c r="BB47" i="52"/>
  <c r="AY49" i="52"/>
  <c r="AK47" i="52"/>
  <c r="AZ50" i="52"/>
  <c r="AK48" i="52"/>
  <c r="AO54" i="52"/>
  <c r="AM54" i="52"/>
  <c r="AW49" i="52"/>
  <c r="AK50" i="52"/>
  <c r="AO51" i="52"/>
  <c r="AZ54" i="52"/>
  <c r="AM51" i="52"/>
  <c r="AZ47" i="52"/>
  <c r="AX50" i="52"/>
  <c r="AI47" i="52"/>
  <c r="AY50" i="52"/>
  <c r="BC49" i="52"/>
  <c r="AJ51" i="52"/>
  <c r="AI54" i="52"/>
  <c r="AN47" i="52"/>
  <c r="AN50" i="52"/>
  <c r="BA50" i="52"/>
  <c r="BA54" i="52"/>
  <c r="BD49" i="52"/>
  <c r="BB48" i="52"/>
  <c r="AN54" i="52"/>
  <c r="BB50" i="52"/>
  <c r="AZ49" i="52"/>
  <c r="AP48" i="52"/>
  <c r="AM47" i="52"/>
  <c r="AW51" i="52"/>
  <c r="AO50" i="52"/>
  <c r="AJ54" i="52"/>
  <c r="BC50" i="52"/>
  <c r="AP51" i="52"/>
  <c r="AP47" i="52"/>
  <c r="AM49" i="52"/>
  <c r="AL48" i="52"/>
  <c r="AY51" i="52"/>
  <c r="AI49" i="52"/>
  <c r="AW48" i="52"/>
  <c r="AP50" i="52"/>
  <c r="AN49" i="52"/>
  <c r="AM48" i="52"/>
  <c r="AL51" i="52"/>
  <c r="AP54" i="52"/>
  <c r="BD51" i="52"/>
  <c r="BD48" i="52"/>
  <c r="AW47" i="52"/>
  <c r="BC51" i="52"/>
  <c r="AX51" i="52"/>
  <c r="BA49" i="52"/>
  <c r="AI48" i="52"/>
  <c r="AL49" i="52"/>
  <c r="AX54" i="52"/>
  <c r="AO49" i="52"/>
  <c r="AK51" i="52"/>
  <c r="AI50" i="52"/>
  <c r="BB54" i="52"/>
  <c r="AY47" i="52"/>
  <c r="AO48" i="52"/>
  <c r="AJ47" i="52"/>
  <c r="BC48" i="52"/>
  <c r="AK49" i="52"/>
  <c r="BA51" i="52"/>
  <c r="BD54" i="52"/>
  <c r="BA48" i="52"/>
  <c r="AZ51" i="52"/>
  <c r="AL47" i="52"/>
  <c r="BB51" i="52"/>
  <c r="AL50" i="52"/>
  <c r="BD47" i="52"/>
  <c r="AN51" i="52"/>
  <c r="AY54" i="52"/>
  <c r="BC47" i="52"/>
  <c r="AJ49" i="52"/>
  <c r="AX47" i="52"/>
  <c r="AJ50" i="52"/>
  <c r="AW50" i="52"/>
  <c r="AX49" i="52"/>
  <c r="Y43" i="52"/>
  <c r="X47" i="52"/>
  <c r="X44" i="52"/>
  <c r="Y48" i="52"/>
  <c r="AA47" i="52"/>
  <c r="AA43" i="52"/>
  <c r="AA48" i="52"/>
  <c r="X3" i="52"/>
  <c r="X31" i="52" s="1"/>
  <c r="V3" i="52"/>
  <c r="V31" i="52" s="1"/>
  <c r="Z46" i="52"/>
  <c r="Z45" i="52"/>
  <c r="Z44" i="52"/>
  <c r="Z48" i="52"/>
  <c r="AA3" i="52"/>
  <c r="AA31" i="52" s="1"/>
  <c r="AB3" i="52"/>
  <c r="AB31" i="52" s="1"/>
  <c r="Y3" i="52"/>
  <c r="Y31" i="52" s="1"/>
  <c r="Z3" i="52"/>
  <c r="Z31" i="52" s="1"/>
  <c r="X43" i="52"/>
  <c r="Y44" i="52"/>
  <c r="AB47" i="52"/>
  <c r="X48" i="52"/>
  <c r="AB44" i="52"/>
  <c r="AB46" i="52"/>
  <c r="AB48" i="52"/>
  <c r="AA44" i="52"/>
  <c r="V48" i="52"/>
  <c r="AB43" i="52"/>
  <c r="Y45" i="52"/>
  <c r="Y46" i="52"/>
  <c r="Z43" i="52"/>
  <c r="V43" i="52"/>
  <c r="V45" i="52"/>
  <c r="V47" i="52"/>
  <c r="V46" i="52"/>
  <c r="AA46" i="52"/>
  <c r="X46" i="52"/>
  <c r="Z47" i="52"/>
  <c r="H48" i="108"/>
  <c r="J48" i="108"/>
  <c r="F48" i="108"/>
  <c r="K48" i="108"/>
  <c r="I48" i="108"/>
  <c r="G48" i="108"/>
  <c r="E48" i="108"/>
  <c r="BB13" i="52"/>
  <c r="DE10" i="52"/>
  <c r="AA299" i="116" a="1"/>
  <c r="AA154" i="116" a="1"/>
  <c r="AA443" i="116" a="1"/>
  <c r="AA335" i="116" a="1"/>
  <c r="AA407" i="116" a="1"/>
  <c r="AA480" i="116" a="1"/>
  <c r="AA371" i="116" a="1"/>
  <c r="AI56" i="168" l="1"/>
  <c r="AI63" i="168"/>
  <c r="AI28" i="168"/>
  <c r="AI26" i="168"/>
  <c r="AI44" i="168"/>
  <c r="AD33" i="115"/>
  <c r="AH20" i="107"/>
  <c r="AD3" i="107"/>
  <c r="AE3" i="107" s="1"/>
  <c r="AF3" i="107" s="1"/>
  <c r="AG3" i="107" s="1"/>
  <c r="AD50" i="115"/>
  <c r="AE50" i="115" s="1"/>
  <c r="AF50" i="115" s="1"/>
  <c r="AG50" i="115" s="1"/>
  <c r="BC33" i="52"/>
  <c r="AD36" i="115"/>
  <c r="AB36" i="115"/>
  <c r="Y33" i="115"/>
  <c r="Y34" i="115"/>
  <c r="W3" i="107"/>
  <c r="T70" i="115"/>
  <c r="U70" i="115" s="1"/>
  <c r="T50" i="115"/>
  <c r="U50" i="115" s="1"/>
  <c r="T71" i="115"/>
  <c r="U71" i="115" s="1"/>
  <c r="R52" i="115"/>
  <c r="R50" i="115"/>
  <c r="R55" i="115"/>
  <c r="O25" i="107"/>
  <c r="P25" i="107" s="1"/>
  <c r="O26" i="107"/>
  <c r="P26" i="107" s="1"/>
  <c r="R36" i="115"/>
  <c r="O3" i="107"/>
  <c r="P3" i="107" s="1"/>
  <c r="O73" i="115"/>
  <c r="P73" i="115" s="1"/>
  <c r="AI30" i="168"/>
  <c r="AI25" i="168"/>
  <c r="AI24" i="168"/>
  <c r="AJ5" i="168"/>
  <c r="AJ24" i="168" s="1"/>
  <c r="AI29" i="168"/>
  <c r="AI27" i="168"/>
  <c r="D5" i="113"/>
  <c r="D61" i="113" s="1"/>
  <c r="D5" i="168"/>
  <c r="D42" i="168" s="1"/>
  <c r="AM15" i="113"/>
  <c r="AM60" i="113"/>
  <c r="AI60" i="113" s="1"/>
  <c r="AJ60" i="113" s="1"/>
  <c r="AK60" i="113" s="1"/>
  <c r="AL60" i="113" s="1"/>
  <c r="AM60" i="168"/>
  <c r="AI60" i="168" s="1"/>
  <c r="AJ60" i="168" s="1"/>
  <c r="AK60" i="168" s="1"/>
  <c r="AL60" i="168" s="1"/>
  <c r="BS18" i="108"/>
  <c r="AM14" i="113"/>
  <c r="AM70" i="113" s="1"/>
  <c r="AI70" i="113" s="1"/>
  <c r="AJ70" i="113" s="1"/>
  <c r="AK70" i="113" s="1"/>
  <c r="AL70" i="113" s="1"/>
  <c r="CV19" i="108"/>
  <c r="AM73" i="168"/>
  <c r="AI17" i="168"/>
  <c r="AJ17" i="168" s="1"/>
  <c r="AK17" i="168" s="1"/>
  <c r="AL17" i="168" s="1"/>
  <c r="AM54" i="168"/>
  <c r="AK11" i="168"/>
  <c r="AK7" i="168"/>
  <c r="AQ18" i="108"/>
  <c r="AQ47" i="108" s="1"/>
  <c r="CV18" i="108"/>
  <c r="AM70" i="168"/>
  <c r="AQ3" i="108"/>
  <c r="AQ33" i="108" s="1"/>
  <c r="AL4" i="168"/>
  <c r="AK6" i="168"/>
  <c r="AL6" i="168" s="1"/>
  <c r="AI14" i="168"/>
  <c r="AJ14" i="168" s="1"/>
  <c r="AK14" i="168" s="1"/>
  <c r="AL14" i="168" s="1"/>
  <c r="AM51" i="168"/>
  <c r="AM72" i="168"/>
  <c r="AI16" i="168"/>
  <c r="AJ16" i="168" s="1"/>
  <c r="AK16" i="168" s="1"/>
  <c r="AL16" i="168" s="1"/>
  <c r="AM53" i="168"/>
  <c r="AK12" i="168"/>
  <c r="AK8" i="168"/>
  <c r="BS4" i="108"/>
  <c r="AM3" i="168"/>
  <c r="AM18" i="168"/>
  <c r="AM74" i="168" s="1"/>
  <c r="AK9" i="168"/>
  <c r="AK10" i="168"/>
  <c r="AJ29" i="168"/>
  <c r="AV39" i="165"/>
  <c r="AU2" i="165"/>
  <c r="R3" i="115"/>
  <c r="R23" i="115" s="1"/>
  <c r="Q22" i="115"/>
  <c r="Q23" i="115"/>
  <c r="Q40" i="115"/>
  <c r="R40" i="115" s="1"/>
  <c r="Q59" i="115"/>
  <c r="R59" i="115" s="1"/>
  <c r="R51" i="115"/>
  <c r="O51" i="115"/>
  <c r="P51" i="115" s="1"/>
  <c r="O3" i="115"/>
  <c r="P3" i="115" s="1"/>
  <c r="Q20" i="107"/>
  <c r="R3" i="107"/>
  <c r="Q21" i="107"/>
  <c r="W54" i="115"/>
  <c r="M69" i="115"/>
  <c r="R26" i="107"/>
  <c r="R70" i="115"/>
  <c r="O70" i="115"/>
  <c r="P70" i="115" s="1"/>
  <c r="R25" i="107"/>
  <c r="M50" i="115"/>
  <c r="R24" i="107"/>
  <c r="M53" i="115"/>
  <c r="D41" i="113"/>
  <c r="AW34" i="52"/>
  <c r="D41" i="168"/>
  <c r="E41" i="168" s="1"/>
  <c r="F41" i="168" s="1"/>
  <c r="G41" i="168" s="1"/>
  <c r="H41" i="168" s="1"/>
  <c r="T35" i="115"/>
  <c r="J30" i="111"/>
  <c r="Q30" i="111" s="1"/>
  <c r="AT21" i="108"/>
  <c r="BH19" i="108" s="1"/>
  <c r="AF21" i="52"/>
  <c r="AT24" i="108"/>
  <c r="BH22" i="108" s="1"/>
  <c r="AF24" i="52"/>
  <c r="B39" i="52"/>
  <c r="B47" i="52"/>
  <c r="W35" i="115"/>
  <c r="T36" i="115"/>
  <c r="AX33" i="52"/>
  <c r="N21" i="107"/>
  <c r="O21" i="107" s="1"/>
  <c r="P21" i="107" s="1"/>
  <c r="E41" i="115"/>
  <c r="F41" i="115" s="1"/>
  <c r="G41" i="115" s="1"/>
  <c r="H41" i="115" s="1"/>
  <c r="AZ33" i="52"/>
  <c r="AY34" i="52"/>
  <c r="M72" i="115"/>
  <c r="W34" i="115"/>
  <c r="J6" i="107"/>
  <c r="K6" i="107" s="1"/>
  <c r="E6" i="107"/>
  <c r="N34" i="108"/>
  <c r="AF21" i="108"/>
  <c r="AT27" i="108"/>
  <c r="BH25" i="108" s="1"/>
  <c r="AF4" i="108"/>
  <c r="AF3" i="108" s="1"/>
  <c r="AF34" i="108" s="1"/>
  <c r="DA6" i="108"/>
  <c r="AF19" i="52"/>
  <c r="DA21" i="52"/>
  <c r="B47" i="108"/>
  <c r="B39" i="108"/>
  <c r="AT23" i="52"/>
  <c r="D16" i="115" s="1"/>
  <c r="AT20" i="108"/>
  <c r="BH18" i="108" s="1"/>
  <c r="AT26" i="108"/>
  <c r="AT25" i="52"/>
  <c r="D17" i="107" s="1"/>
  <c r="AT19" i="52"/>
  <c r="D7" i="107" s="1"/>
  <c r="AF27" i="108"/>
  <c r="N33" i="108"/>
  <c r="S21" i="108"/>
  <c r="BW23" i="108"/>
  <c r="BW23" i="52"/>
  <c r="BW17" i="108"/>
  <c r="BW17" i="52"/>
  <c r="BW18" i="108"/>
  <c r="BW18" i="52"/>
  <c r="N30" i="108"/>
  <c r="BW6" i="108"/>
  <c r="BI6" i="108" s="1"/>
  <c r="BW6" i="52"/>
  <c r="BI6" i="52" s="1"/>
  <c r="I23" i="109"/>
  <c r="E6" i="109"/>
  <c r="S4" i="108"/>
  <c r="C3" i="108"/>
  <c r="N3" i="108" s="1"/>
  <c r="BW22" i="108"/>
  <c r="BW22" i="52"/>
  <c r="N29" i="52"/>
  <c r="C28" i="52"/>
  <c r="N28" i="52" s="1" a="1"/>
  <c r="N28" i="52" s="1"/>
  <c r="CL20" i="108"/>
  <c r="BI20" i="108"/>
  <c r="I22" i="109"/>
  <c r="E5" i="109"/>
  <c r="CL20" i="52"/>
  <c r="BI20" i="52"/>
  <c r="S20" i="108"/>
  <c r="N32" i="108"/>
  <c r="BW19" i="108"/>
  <c r="BW19" i="52"/>
  <c r="BW25" i="108"/>
  <c r="BW25" i="52"/>
  <c r="S17" i="108"/>
  <c r="C28" i="108"/>
  <c r="N28" i="108" s="1" a="1"/>
  <c r="N28" i="108" s="1"/>
  <c r="I60" i="115"/>
  <c r="E60" i="115" s="1"/>
  <c r="F60" i="115" s="1"/>
  <c r="G60" i="115" s="1"/>
  <c r="H60" i="115" s="1"/>
  <c r="E4" i="115"/>
  <c r="R34" i="108"/>
  <c r="R39" i="108"/>
  <c r="R35" i="108"/>
  <c r="R40" i="108"/>
  <c r="R38" i="108"/>
  <c r="R37" i="108"/>
  <c r="R41" i="108"/>
  <c r="I4" i="109"/>
  <c r="CL5" i="108"/>
  <c r="N29" i="108"/>
  <c r="BW21" i="108"/>
  <c r="BW21" i="52"/>
  <c r="S19" i="108"/>
  <c r="N31" i="108"/>
  <c r="O32" i="115"/>
  <c r="P34" i="115"/>
  <c r="O35" i="115"/>
  <c r="AA40" i="115"/>
  <c r="AA22" i="115"/>
  <c r="AB3" i="115"/>
  <c r="AA59" i="115"/>
  <c r="L60" i="115"/>
  <c r="L23" i="115"/>
  <c r="J4" i="115"/>
  <c r="J4" i="113" s="1"/>
  <c r="M4" i="115"/>
  <c r="L41" i="115"/>
  <c r="AD37" i="115"/>
  <c r="AE18" i="115"/>
  <c r="AC59" i="115"/>
  <c r="AD59" i="115" s="1"/>
  <c r="AE59" i="115" s="1"/>
  <c r="AF59" i="115" s="1"/>
  <c r="AG59" i="115" s="1"/>
  <c r="AC22" i="115"/>
  <c r="AD3" i="115"/>
  <c r="AC40" i="115"/>
  <c r="AD40" i="115" s="1"/>
  <c r="AE40" i="115" s="1"/>
  <c r="AF40" i="115" s="1"/>
  <c r="AG40" i="115" s="1"/>
  <c r="AF14" i="115"/>
  <c r="AH59" i="115"/>
  <c r="AH22" i="115"/>
  <c r="AH40" i="115"/>
  <c r="AB53" i="115"/>
  <c r="O34" i="115"/>
  <c r="M74" i="115"/>
  <c r="V60" i="115"/>
  <c r="W60" i="115" s="1"/>
  <c r="V23" i="115"/>
  <c r="W4" i="115"/>
  <c r="V41" i="115"/>
  <c r="AD34" i="115"/>
  <c r="AE15" i="115"/>
  <c r="O37" i="115"/>
  <c r="P37" i="115"/>
  <c r="T37" i="115"/>
  <c r="U18" i="115"/>
  <c r="AB74" i="115"/>
  <c r="V59" i="115"/>
  <c r="W59" i="115" s="1"/>
  <c r="V22" i="115"/>
  <c r="W3" i="115"/>
  <c r="W22" i="115" s="1"/>
  <c r="V40" i="115"/>
  <c r="T40" i="115" s="1"/>
  <c r="U40" i="115" s="1"/>
  <c r="T3" i="107"/>
  <c r="U3" i="107" s="1"/>
  <c r="N59" i="115"/>
  <c r="N22" i="115"/>
  <c r="N40" i="115"/>
  <c r="AD35" i="115"/>
  <c r="AE16" i="115"/>
  <c r="AC60" i="115"/>
  <c r="AD60" i="115" s="1"/>
  <c r="AE60" i="115" s="1"/>
  <c r="AF60" i="115" s="1"/>
  <c r="AG60" i="115" s="1"/>
  <c r="AC23" i="115"/>
  <c r="AD4" i="115"/>
  <c r="AC41" i="115"/>
  <c r="AD41" i="115" s="1"/>
  <c r="AE41" i="115" s="1"/>
  <c r="AF41" i="115" s="1"/>
  <c r="AG41" i="115" s="1"/>
  <c r="X60" i="115"/>
  <c r="X23" i="115"/>
  <c r="Y4" i="115"/>
  <c r="X41" i="115"/>
  <c r="Y41" i="115" s="1"/>
  <c r="Z41" i="115" s="1"/>
  <c r="Y32" i="115"/>
  <c r="Z13" i="115"/>
  <c r="R33" i="115"/>
  <c r="W33" i="115"/>
  <c r="O33" i="115"/>
  <c r="AB37" i="115"/>
  <c r="T34" i="115"/>
  <c r="U15" i="115"/>
  <c r="BA34" i="52"/>
  <c r="R32" i="115"/>
  <c r="T32" i="115"/>
  <c r="U13" i="115"/>
  <c r="L59" i="115"/>
  <c r="L22" i="115"/>
  <c r="M3" i="115"/>
  <c r="M22" i="115" s="1"/>
  <c r="L40" i="115"/>
  <c r="R35" i="115"/>
  <c r="X59" i="115"/>
  <c r="X22" i="115"/>
  <c r="Y3" i="115"/>
  <c r="X40" i="115"/>
  <c r="AA41" i="115"/>
  <c r="AB4" i="115"/>
  <c r="AA23" i="115"/>
  <c r="AA60" i="115"/>
  <c r="BD33" i="52"/>
  <c r="AB3" i="107"/>
  <c r="AB50" i="115"/>
  <c r="Y35" i="115"/>
  <c r="Z16" i="115"/>
  <c r="R34" i="115"/>
  <c r="W36" i="115"/>
  <c r="T33" i="115"/>
  <c r="U14" i="115"/>
  <c r="AB69" i="115"/>
  <c r="O36" i="115"/>
  <c r="AB34" i="115"/>
  <c r="N60" i="115"/>
  <c r="O60" i="115" s="1"/>
  <c r="P60" i="115" s="1"/>
  <c r="N23" i="115"/>
  <c r="N41" i="115"/>
  <c r="O41" i="115" s="1"/>
  <c r="P41" i="115" s="1"/>
  <c r="AD32" i="115"/>
  <c r="AE13" i="115"/>
  <c r="W32" i="115"/>
  <c r="T3" i="115"/>
  <c r="AB33" i="115"/>
  <c r="AB32" i="115"/>
  <c r="Y37" i="115"/>
  <c r="W37" i="115"/>
  <c r="S60" i="115"/>
  <c r="R60" i="115" s="1"/>
  <c r="S23" i="115"/>
  <c r="T4" i="115"/>
  <c r="S41" i="115"/>
  <c r="AB72" i="115"/>
  <c r="S22" i="115"/>
  <c r="R37" i="115"/>
  <c r="W51" i="115"/>
  <c r="AF17" i="115"/>
  <c r="AH23" i="115"/>
  <c r="M55" i="115"/>
  <c r="Y36" i="115"/>
  <c r="U39" i="108"/>
  <c r="AF35" i="113"/>
  <c r="Z22" i="113"/>
  <c r="Z23" i="113"/>
  <c r="U22" i="113"/>
  <c r="U23" i="113"/>
  <c r="P22" i="113"/>
  <c r="P23" i="113"/>
  <c r="AF36" i="113"/>
  <c r="AE22" i="113"/>
  <c r="AF3" i="113"/>
  <c r="AF32" i="113"/>
  <c r="AG13" i="113"/>
  <c r="AF34" i="113"/>
  <c r="AG15" i="113"/>
  <c r="AF37" i="113"/>
  <c r="AG18" i="113"/>
  <c r="AF33" i="113"/>
  <c r="AG14" i="113"/>
  <c r="AG4" i="113"/>
  <c r="AM17" i="113"/>
  <c r="BS22" i="108"/>
  <c r="CV22" i="108"/>
  <c r="AI15" i="113"/>
  <c r="AM52" i="113"/>
  <c r="AI52" i="113" s="1"/>
  <c r="AJ52" i="113" s="1"/>
  <c r="AK52" i="113" s="1"/>
  <c r="AL52" i="113" s="1"/>
  <c r="AM7" i="109"/>
  <c r="AM9" i="109"/>
  <c r="AM13" i="113"/>
  <c r="CV17" i="108"/>
  <c r="BE18" i="108"/>
  <c r="BS17" i="108"/>
  <c r="AM16" i="113"/>
  <c r="BS21" i="108"/>
  <c r="CV21" i="108"/>
  <c r="AM71" i="113"/>
  <c r="AI71" i="113" s="1"/>
  <c r="AJ71" i="113" s="1"/>
  <c r="AK71" i="113" s="1"/>
  <c r="AL71" i="113" s="1"/>
  <c r="R30" i="118"/>
  <c r="Q51" i="118"/>
  <c r="Q5" i="118"/>
  <c r="AM8" i="109"/>
  <c r="AM18" i="113"/>
  <c r="BS24" i="108"/>
  <c r="CV24" i="108"/>
  <c r="AM56" i="113"/>
  <c r="AI56" i="113" s="1"/>
  <c r="AJ56" i="113" s="1"/>
  <c r="AK56" i="113" s="1"/>
  <c r="AL56" i="113" s="1"/>
  <c r="AM3" i="113"/>
  <c r="AM59" i="113" s="1"/>
  <c r="AI59" i="113" s="1"/>
  <c r="AJ59" i="113" s="1"/>
  <c r="AK59" i="113" s="1"/>
  <c r="AL59" i="113" s="1"/>
  <c r="AM3" i="109"/>
  <c r="BE3" i="108"/>
  <c r="CV4" i="108"/>
  <c r="AM17" i="109"/>
  <c r="AI17" i="109" s="1"/>
  <c r="AJ17" i="109" s="1"/>
  <c r="AK17" i="109" s="1"/>
  <c r="AL17" i="109" s="1"/>
  <c r="CV23" i="108"/>
  <c r="BS23" i="108"/>
  <c r="CV6" i="108"/>
  <c r="DL27" i="108"/>
  <c r="AI14" i="113"/>
  <c r="AM51" i="113"/>
  <c r="AI51" i="113" s="1"/>
  <c r="AJ51" i="113" s="1"/>
  <c r="AK51" i="113" s="1"/>
  <c r="AL51" i="113" s="1"/>
  <c r="T4" i="108"/>
  <c r="L4" i="113"/>
  <c r="L4" i="109"/>
  <c r="CM5" i="108"/>
  <c r="L23" i="109"/>
  <c r="J6" i="109"/>
  <c r="K6" i="109" s="1"/>
  <c r="M6" i="109"/>
  <c r="M5" i="109"/>
  <c r="L22" i="109"/>
  <c r="J5" i="109"/>
  <c r="K5" i="109" s="1"/>
  <c r="T17" i="108"/>
  <c r="AC64" i="113"/>
  <c r="AG17" i="108"/>
  <c r="AM9" i="113"/>
  <c r="AG12" i="108"/>
  <c r="DB11" i="108"/>
  <c r="D61" i="115"/>
  <c r="AU12" i="108"/>
  <c r="X6" i="113"/>
  <c r="DB15" i="52"/>
  <c r="S8" i="113"/>
  <c r="AU16" i="52"/>
  <c r="I11" i="115" s="1"/>
  <c r="CV13" i="108"/>
  <c r="S6" i="113"/>
  <c r="AM10" i="113"/>
  <c r="AM66" i="113" s="1"/>
  <c r="AU11" i="52"/>
  <c r="AA371" i="116"/>
  <c r="AA407" i="116"/>
  <c r="AA299" i="116"/>
  <c r="AA154" i="116"/>
  <c r="AA335" i="116"/>
  <c r="AA443" i="116"/>
  <c r="AA480" i="116"/>
  <c r="A482" i="116"/>
  <c r="A373" i="116"/>
  <c r="AM6" i="113"/>
  <c r="DB15" i="108"/>
  <c r="AG10" i="108"/>
  <c r="DB14" i="108"/>
  <c r="D16" i="107"/>
  <c r="D11" i="115"/>
  <c r="D11" i="168" s="1"/>
  <c r="D67" i="168" s="1"/>
  <c r="A445" i="116"/>
  <c r="X8" i="113"/>
  <c r="AA10" i="107"/>
  <c r="AA5" i="115"/>
  <c r="AA61" i="115" s="1"/>
  <c r="N11" i="113"/>
  <c r="D15" i="107"/>
  <c r="D10" i="115"/>
  <c r="A301" i="116"/>
  <c r="A302" i="116" s="1"/>
  <c r="AA7" i="115"/>
  <c r="AA15" i="107"/>
  <c r="AA10" i="115"/>
  <c r="AU16" i="108"/>
  <c r="AU10" i="108"/>
  <c r="X11" i="113"/>
  <c r="AG15" i="108"/>
  <c r="D14" i="107"/>
  <c r="D9" i="115"/>
  <c r="L10" i="113"/>
  <c r="DB16" i="108"/>
  <c r="L12" i="113"/>
  <c r="AA16" i="107"/>
  <c r="AA11" i="115"/>
  <c r="L9" i="113"/>
  <c r="N9" i="113"/>
  <c r="AX11" i="52"/>
  <c r="DB9" i="108"/>
  <c r="AC10" i="113"/>
  <c r="AU15" i="108"/>
  <c r="CK10" i="108"/>
  <c r="D11" i="107"/>
  <c r="D6" i="115"/>
  <c r="AU11" i="108"/>
  <c r="AM8" i="113"/>
  <c r="V18" i="107"/>
  <c r="V12" i="115"/>
  <c r="AJ11" i="52"/>
  <c r="AA13" i="107"/>
  <c r="AA8" i="115"/>
  <c r="AA64" i="115" s="1"/>
  <c r="D13" i="107"/>
  <c r="D8" i="115"/>
  <c r="AC9" i="113"/>
  <c r="N10" i="113"/>
  <c r="A409" i="116"/>
  <c r="AA14" i="107"/>
  <c r="AA9" i="115"/>
  <c r="AU17" i="108"/>
  <c r="D18" i="107"/>
  <c r="D12" i="115"/>
  <c r="AC6" i="113"/>
  <c r="A337" i="116"/>
  <c r="L8" i="113"/>
  <c r="CV10" i="108"/>
  <c r="AA11" i="107"/>
  <c r="AA6" i="115"/>
  <c r="AA18" i="107"/>
  <c r="AA12" i="115"/>
  <c r="AU14" i="108"/>
  <c r="AM12" i="113"/>
  <c r="DA24" i="108"/>
  <c r="AT20" i="52"/>
  <c r="D14" i="115" s="1"/>
  <c r="AF25" i="52"/>
  <c r="AT19" i="108"/>
  <c r="AF24" i="108"/>
  <c r="DA21" i="108"/>
  <c r="AT27" i="52"/>
  <c r="BH25" i="52" s="1"/>
  <c r="AT4" i="52"/>
  <c r="BH4" i="52" s="1"/>
  <c r="DA18" i="52"/>
  <c r="DA23" i="108"/>
  <c r="AF26" i="52"/>
  <c r="DA22" i="52"/>
  <c r="AF23" i="52"/>
  <c r="AF23" i="108"/>
  <c r="AT26" i="52"/>
  <c r="AT21" i="52"/>
  <c r="DA19" i="52"/>
  <c r="DA25" i="52"/>
  <c r="DA24" i="52"/>
  <c r="AT4" i="108"/>
  <c r="AF20" i="108"/>
  <c r="DA18" i="108"/>
  <c r="AT25" i="108"/>
  <c r="D17" i="109" s="1"/>
  <c r="AF25" i="108"/>
  <c r="DA17" i="108"/>
  <c r="AT24" i="52"/>
  <c r="D17" i="115" s="1"/>
  <c r="DA22" i="108"/>
  <c r="AT23" i="108"/>
  <c r="DA19" i="108"/>
  <c r="AF27" i="52"/>
  <c r="DA25" i="108"/>
  <c r="AF4" i="52"/>
  <c r="DA6" i="52"/>
  <c r="AF20" i="52"/>
  <c r="AF26" i="108"/>
  <c r="DA23" i="52"/>
  <c r="DA17" i="52"/>
  <c r="AF19" i="108"/>
  <c r="R46" i="108"/>
  <c r="R2" i="108"/>
  <c r="R25" i="108" s="1"/>
  <c r="R45" i="108"/>
  <c r="R48" i="108"/>
  <c r="R47" i="108"/>
  <c r="R44" i="108"/>
  <c r="AG25" i="109"/>
  <c r="AG24" i="109"/>
  <c r="AG26" i="109"/>
  <c r="AG16" i="108"/>
  <c r="U37" i="108"/>
  <c r="U41" i="108"/>
  <c r="U35" i="108"/>
  <c r="U36" i="108"/>
  <c r="U34" i="108"/>
  <c r="U40" i="108"/>
  <c r="U2" i="108"/>
  <c r="U25" i="108" s="1"/>
  <c r="AC8" i="108"/>
  <c r="AC7" i="108" s="1"/>
  <c r="AC38" i="108" s="1"/>
  <c r="M9" i="108"/>
  <c r="P9" i="108" s="1"/>
  <c r="S10" i="113"/>
  <c r="N13" i="109"/>
  <c r="S38" i="108"/>
  <c r="V8" i="108"/>
  <c r="F2" i="108"/>
  <c r="N62" i="113"/>
  <c r="D13" i="109"/>
  <c r="CK11" i="108"/>
  <c r="S11" i="113"/>
  <c r="S12" i="113"/>
  <c r="AM18" i="109"/>
  <c r="AC5" i="113"/>
  <c r="AC12" i="113"/>
  <c r="CV16" i="108"/>
  <c r="W8" i="108"/>
  <c r="AM11" i="113"/>
  <c r="D14" i="109"/>
  <c r="CK13" i="108"/>
  <c r="L6" i="113"/>
  <c r="AC13" i="109"/>
  <c r="AM15" i="109"/>
  <c r="N5" i="113"/>
  <c r="N12" i="113"/>
  <c r="AM5" i="113"/>
  <c r="Z8" i="108"/>
  <c r="J2" i="108"/>
  <c r="BV8" i="52"/>
  <c r="D42" i="115" s="1"/>
  <c r="AA8" i="108"/>
  <c r="K2" i="108"/>
  <c r="D11" i="109"/>
  <c r="CK9" i="108"/>
  <c r="L11" i="113"/>
  <c r="S5" i="113"/>
  <c r="D10" i="107"/>
  <c r="X5" i="113"/>
  <c r="X12" i="113"/>
  <c r="AU9" i="108"/>
  <c r="AG9" i="108"/>
  <c r="DB8" i="108"/>
  <c r="J13" i="111"/>
  <c r="Q13" i="111" s="1"/>
  <c r="R13" i="111" s="1"/>
  <c r="AF13" i="108"/>
  <c r="AF8" i="108" s="1"/>
  <c r="BV9" i="52"/>
  <c r="BV16" i="108"/>
  <c r="BV16" i="52"/>
  <c r="BV12" i="52"/>
  <c r="BV14" i="52"/>
  <c r="BV9" i="108"/>
  <c r="BV14" i="108"/>
  <c r="AT13" i="52"/>
  <c r="BV13" i="108"/>
  <c r="BV10" i="108"/>
  <c r="AT13" i="108"/>
  <c r="AT8" i="108" s="1"/>
  <c r="BV15" i="52"/>
  <c r="BV13" i="52"/>
  <c r="AF13" i="52"/>
  <c r="AF8" i="52" s="1"/>
  <c r="BV10" i="52"/>
  <c r="BV11" i="108"/>
  <c r="BV12" i="108"/>
  <c r="BV15" i="108"/>
  <c r="BV11" i="52"/>
  <c r="AG14" i="108"/>
  <c r="D16" i="109"/>
  <c r="CK15" i="108"/>
  <c r="Y8" i="108"/>
  <c r="I2" i="108"/>
  <c r="DB10" i="108"/>
  <c r="CK8" i="108"/>
  <c r="BH8" i="108"/>
  <c r="D10" i="109"/>
  <c r="S36" i="108"/>
  <c r="S35" i="108"/>
  <c r="S41" i="108"/>
  <c r="S37" i="108"/>
  <c r="S34" i="108"/>
  <c r="S39" i="108"/>
  <c r="D15" i="109"/>
  <c r="CK14" i="108"/>
  <c r="L5" i="113"/>
  <c r="AM14" i="109"/>
  <c r="S9" i="113"/>
  <c r="X8" i="108"/>
  <c r="H2" i="108"/>
  <c r="X9" i="113"/>
  <c r="DB13" i="108"/>
  <c r="CK16" i="108"/>
  <c r="D18" i="109"/>
  <c r="AG11" i="108"/>
  <c r="E41" i="108"/>
  <c r="E39" i="108"/>
  <c r="E47" i="108"/>
  <c r="T8" i="108"/>
  <c r="AC11" i="113"/>
  <c r="X10" i="113"/>
  <c r="CV7" i="108"/>
  <c r="H4" i="107"/>
  <c r="H5" i="107"/>
  <c r="F6" i="107"/>
  <c r="E23" i="107"/>
  <c r="E22" i="107"/>
  <c r="W23" i="107"/>
  <c r="AI23" i="107"/>
  <c r="Z22" i="107"/>
  <c r="Z23" i="107"/>
  <c r="W22" i="107"/>
  <c r="AD22" i="107"/>
  <c r="T26" i="107"/>
  <c r="M22" i="107"/>
  <c r="AB26" i="107"/>
  <c r="Y3" i="107"/>
  <c r="Z3" i="107" s="1"/>
  <c r="W24" i="107"/>
  <c r="T24" i="107"/>
  <c r="AD25" i="107"/>
  <c r="T25" i="107"/>
  <c r="AB25" i="107"/>
  <c r="AB24" i="107"/>
  <c r="AD26" i="107"/>
  <c r="T23" i="107"/>
  <c r="AD24" i="107"/>
  <c r="Y25" i="107"/>
  <c r="J23" i="107"/>
  <c r="AI22" i="107"/>
  <c r="W25" i="107"/>
  <c r="Y24" i="107"/>
  <c r="Y26" i="107"/>
  <c r="W26" i="107"/>
  <c r="AB4" i="107"/>
  <c r="AA21" i="107"/>
  <c r="AA20" i="107"/>
  <c r="M4" i="107"/>
  <c r="L21" i="107"/>
  <c r="L20" i="107"/>
  <c r="J4" i="107"/>
  <c r="K4" i="107" s="1"/>
  <c r="AC21" i="107"/>
  <c r="AD4" i="107"/>
  <c r="AE4" i="107" s="1"/>
  <c r="AF4" i="107" s="1"/>
  <c r="AG4" i="107" s="1"/>
  <c r="M23" i="107"/>
  <c r="Y4" i="107"/>
  <c r="Z4" i="107" s="1"/>
  <c r="X20" i="107"/>
  <c r="X21" i="107"/>
  <c r="W4" i="107"/>
  <c r="V21" i="107"/>
  <c r="V20" i="107"/>
  <c r="M3" i="107"/>
  <c r="N20" i="107"/>
  <c r="O20" i="107" s="1"/>
  <c r="P20" i="107" s="1"/>
  <c r="T22" i="107"/>
  <c r="T4" i="107"/>
  <c r="U4" i="107" s="1"/>
  <c r="S21" i="107"/>
  <c r="S20" i="107"/>
  <c r="AC20" i="107"/>
  <c r="AD23" i="107"/>
  <c r="J22" i="107"/>
  <c r="BA11" i="52"/>
  <c r="AU15" i="52"/>
  <c r="AG16" i="52"/>
  <c r="DG9" i="52"/>
  <c r="AA12" i="107"/>
  <c r="CS11" i="52"/>
  <c r="AM17" i="52"/>
  <c r="AU12" i="52"/>
  <c r="AG12" i="52"/>
  <c r="AU17" i="52"/>
  <c r="I12" i="115" s="1"/>
  <c r="DH16" i="52"/>
  <c r="AN13" i="52"/>
  <c r="AN8" i="52" s="1"/>
  <c r="DB11" i="52"/>
  <c r="AM11" i="52"/>
  <c r="AG14" i="52"/>
  <c r="DB13" i="52"/>
  <c r="DB12" i="52"/>
  <c r="AU10" i="52"/>
  <c r="I6" i="115" s="1"/>
  <c r="AU14" i="52"/>
  <c r="I9" i="115" s="1"/>
  <c r="AG11" i="52"/>
  <c r="DB16" i="52"/>
  <c r="DJ12" i="52"/>
  <c r="CS12" i="52"/>
  <c r="DJ10" i="52"/>
  <c r="F48" i="52"/>
  <c r="AM9" i="52"/>
  <c r="BA9" i="52"/>
  <c r="DH8" i="52"/>
  <c r="AM14" i="52"/>
  <c r="AM16" i="52"/>
  <c r="BA15" i="52"/>
  <c r="AM15" i="52"/>
  <c r="DH15" i="52"/>
  <c r="DH13" i="52"/>
  <c r="BA14" i="52"/>
  <c r="DH14" i="52"/>
  <c r="DH12" i="52"/>
  <c r="BA16" i="52"/>
  <c r="Y8" i="52"/>
  <c r="Y7" i="52" s="1"/>
  <c r="Y35" i="52" s="1"/>
  <c r="I9" i="52"/>
  <c r="I2" i="52" s="1"/>
  <c r="I39" i="52" s="1"/>
  <c r="AL10" i="52"/>
  <c r="AM10" i="52"/>
  <c r="CS16" i="52"/>
  <c r="AJ9" i="52"/>
  <c r="AX10" i="52"/>
  <c r="AJ14" i="52"/>
  <c r="DE8" i="52"/>
  <c r="AX9" i="52"/>
  <c r="AJ15" i="52"/>
  <c r="AJ17" i="52"/>
  <c r="DE12" i="52"/>
  <c r="DE13" i="52"/>
  <c r="AJ10" i="52"/>
  <c r="AX17" i="52"/>
  <c r="AX12" i="52"/>
  <c r="AX15" i="52"/>
  <c r="AX14" i="52"/>
  <c r="DE9" i="52"/>
  <c r="AJ12" i="52"/>
  <c r="DE16" i="52"/>
  <c r="DE11" i="52"/>
  <c r="DE14" i="52"/>
  <c r="DE15" i="52"/>
  <c r="AX16" i="52"/>
  <c r="AJ16" i="52"/>
  <c r="BA12" i="52"/>
  <c r="DH11" i="52"/>
  <c r="AM12" i="52"/>
  <c r="X8" i="52"/>
  <c r="X7" i="52" s="1"/>
  <c r="X36" i="52" s="1"/>
  <c r="H9" i="52"/>
  <c r="H2" i="52" s="1"/>
  <c r="H41" i="52" s="1"/>
  <c r="CS15" i="52"/>
  <c r="DH10" i="52"/>
  <c r="BA17" i="52"/>
  <c r="AZ10" i="52"/>
  <c r="Z8" i="52"/>
  <c r="Z7" i="52" s="1"/>
  <c r="Z35" i="52" s="1"/>
  <c r="J9" i="52"/>
  <c r="J2" i="52" s="1"/>
  <c r="J39" i="52" s="1"/>
  <c r="AO15" i="52"/>
  <c r="CS13" i="52"/>
  <c r="L48" i="52"/>
  <c r="AU9" i="52"/>
  <c r="DB8" i="52"/>
  <c r="AG9" i="52"/>
  <c r="AG10" i="52"/>
  <c r="AG15" i="52"/>
  <c r="DB9" i="52"/>
  <c r="DB10" i="52"/>
  <c r="AG17" i="52"/>
  <c r="J48" i="52"/>
  <c r="AB8" i="52"/>
  <c r="AB7" i="52" s="1"/>
  <c r="AB35" i="52" s="1"/>
  <c r="L9" i="52"/>
  <c r="L2" i="52" s="1"/>
  <c r="L47" i="52" s="1"/>
  <c r="CS10" i="52"/>
  <c r="CS9" i="52"/>
  <c r="CD16" i="52"/>
  <c r="CD11" i="52"/>
  <c r="BP11" i="52" s="1"/>
  <c r="CD10" i="52"/>
  <c r="CD14" i="52"/>
  <c r="CD13" i="52"/>
  <c r="CD9" i="52"/>
  <c r="CD15" i="52"/>
  <c r="BC10" i="52"/>
  <c r="CS14" i="52"/>
  <c r="CS8" i="52"/>
  <c r="BB8" i="52"/>
  <c r="BC38" i="52" s="1"/>
  <c r="DB14" i="52"/>
  <c r="DH9" i="52"/>
  <c r="V8" i="52"/>
  <c r="V7" i="52" s="1"/>
  <c r="V35" i="52" s="1"/>
  <c r="F9" i="52"/>
  <c r="F2" i="52" s="1"/>
  <c r="F41" i="52" s="1"/>
  <c r="DJ14" i="52"/>
  <c r="DG8" i="52"/>
  <c r="AL9" i="52"/>
  <c r="AZ9" i="52"/>
  <c r="AZ14" i="52"/>
  <c r="DG14" i="52"/>
  <c r="AZ16" i="52"/>
  <c r="DG10" i="52"/>
  <c r="AL14" i="52"/>
  <c r="DG15" i="52"/>
  <c r="AZ15" i="52"/>
  <c r="AL11" i="52"/>
  <c r="AZ12" i="52"/>
  <c r="AL15" i="52"/>
  <c r="AL12" i="52"/>
  <c r="DG13" i="52"/>
  <c r="DG11" i="52"/>
  <c r="AL16" i="52"/>
  <c r="AZ11" i="52"/>
  <c r="AO10" i="52"/>
  <c r="AL17" i="52"/>
  <c r="DG12" i="52"/>
  <c r="DI27" i="52"/>
  <c r="AA8" i="52"/>
  <c r="AA7" i="52" s="1"/>
  <c r="AA35" i="52" s="1"/>
  <c r="K9" i="52"/>
  <c r="K2" i="52" s="1"/>
  <c r="K47" i="52" s="1"/>
  <c r="CD12" i="52"/>
  <c r="BP12" i="52" s="1"/>
  <c r="DJ8" i="52"/>
  <c r="AO9" i="52"/>
  <c r="BC9" i="52"/>
  <c r="AO11" i="52"/>
  <c r="DJ11" i="52"/>
  <c r="BC11" i="52"/>
  <c r="AO17" i="52"/>
  <c r="BC14" i="52"/>
  <c r="AO16" i="52"/>
  <c r="BC17" i="52"/>
  <c r="BC16" i="52"/>
  <c r="DJ13" i="52"/>
  <c r="AO14" i="52"/>
  <c r="BC12" i="52"/>
  <c r="BC15" i="52"/>
  <c r="AO12" i="52"/>
  <c r="I48" i="52"/>
  <c r="DJ9" i="52"/>
  <c r="DG16" i="52"/>
  <c r="CD8" i="52"/>
  <c r="BP8" i="52" s="1"/>
  <c r="BA10" i="52"/>
  <c r="DJ16" i="52"/>
  <c r="AA30" i="52"/>
  <c r="V30" i="52"/>
  <c r="Y30" i="52"/>
  <c r="X30" i="52"/>
  <c r="Z30" i="52"/>
  <c r="AB30" i="52"/>
  <c r="Q8" i="113"/>
  <c r="CC11" i="52"/>
  <c r="AA372" i="116" a="1"/>
  <c r="AA481" i="116" a="1"/>
  <c r="AA300" i="116" a="1"/>
  <c r="AA336" i="116" a="1"/>
  <c r="AA408" i="116" a="1"/>
  <c r="AA444" i="116" a="1"/>
  <c r="AJ56" i="168" l="1"/>
  <c r="AJ63" i="168"/>
  <c r="AJ44" i="168"/>
  <c r="AJ28" i="168"/>
  <c r="AJ25" i="168"/>
  <c r="D48" i="168"/>
  <c r="D42" i="113"/>
  <c r="AJ26" i="168"/>
  <c r="D61" i="168"/>
  <c r="AJ30" i="168"/>
  <c r="AK44" i="168"/>
  <c r="AE36" i="115"/>
  <c r="AE33" i="115"/>
  <c r="Z36" i="115"/>
  <c r="Z35" i="115"/>
  <c r="AB23" i="115"/>
  <c r="Z34" i="115"/>
  <c r="Z37" i="115"/>
  <c r="T59" i="115"/>
  <c r="U59" i="115" s="1"/>
  <c r="O40" i="115"/>
  <c r="P40" i="115" s="1"/>
  <c r="D9" i="107"/>
  <c r="D3" i="109"/>
  <c r="BH4" i="108"/>
  <c r="BI25" i="52"/>
  <c r="AJ31" i="168"/>
  <c r="AJ27" i="168"/>
  <c r="AK5" i="168"/>
  <c r="AK29" i="168" s="1"/>
  <c r="D6" i="113"/>
  <c r="D62" i="113" s="1"/>
  <c r="D6" i="168"/>
  <c r="D8" i="113"/>
  <c r="D64" i="113" s="1"/>
  <c r="D8" i="168"/>
  <c r="BH11" i="108"/>
  <c r="D45" i="168"/>
  <c r="D10" i="113"/>
  <c r="D66" i="113" s="1"/>
  <c r="D10" i="168"/>
  <c r="D9" i="113"/>
  <c r="D65" i="113" s="1"/>
  <c r="D9" i="168"/>
  <c r="D46" i="168" s="1"/>
  <c r="D43" i="168"/>
  <c r="D12" i="113"/>
  <c r="D68" i="113" s="1"/>
  <c r="D12" i="168"/>
  <c r="O8" i="113"/>
  <c r="P8" i="113" s="1"/>
  <c r="Q45" i="113"/>
  <c r="O45" i="113" s="1"/>
  <c r="P45" i="113" s="1"/>
  <c r="Q64" i="113"/>
  <c r="R8" i="113"/>
  <c r="AI70" i="168"/>
  <c r="AI53" i="168"/>
  <c r="AI72" i="168"/>
  <c r="AI74" i="168"/>
  <c r="AI51" i="168"/>
  <c r="AI54" i="168"/>
  <c r="AI73" i="168"/>
  <c r="AQ53" i="108"/>
  <c r="AM23" i="168"/>
  <c r="AI3" i="168"/>
  <c r="AM22" i="168"/>
  <c r="AM40" i="168"/>
  <c r="AI40" i="168" s="1"/>
  <c r="AJ40" i="168" s="1"/>
  <c r="AK40" i="168" s="1"/>
  <c r="AL40" i="168" s="1"/>
  <c r="AL11" i="168"/>
  <c r="AQ48" i="108"/>
  <c r="AQ50" i="108"/>
  <c r="AQ51" i="108"/>
  <c r="AL10" i="168"/>
  <c r="AK31" i="168"/>
  <c r="AL12" i="168"/>
  <c r="AL7" i="168"/>
  <c r="AQ49" i="108"/>
  <c r="AQ52" i="108"/>
  <c r="AL8" i="168"/>
  <c r="AK27" i="168"/>
  <c r="AM75" i="113"/>
  <c r="AI75" i="113" s="1"/>
  <c r="AJ75" i="113" s="1"/>
  <c r="AK75" i="113" s="1"/>
  <c r="AL75" i="113" s="1"/>
  <c r="AM75" i="168"/>
  <c r="AL9" i="168"/>
  <c r="AK28" i="168"/>
  <c r="AQ2" i="108"/>
  <c r="AQ28" i="108" s="1"/>
  <c r="AQ34" i="108"/>
  <c r="AQ54" i="108"/>
  <c r="AL5" i="168"/>
  <c r="AK24" i="168"/>
  <c r="AI18" i="168"/>
  <c r="AJ18" i="168" s="1"/>
  <c r="AK18" i="168" s="1"/>
  <c r="AL18" i="168" s="1"/>
  <c r="AM55" i="168"/>
  <c r="AM59" i="168"/>
  <c r="AI59" i="168" s="1"/>
  <c r="AJ59" i="168" s="1"/>
  <c r="AK59" i="168" s="1"/>
  <c r="AL59" i="168" s="1"/>
  <c r="I12" i="113"/>
  <c r="I68" i="113" s="1"/>
  <c r="I12" i="168"/>
  <c r="I68" i="168" s="1"/>
  <c r="I9" i="113"/>
  <c r="I65" i="113" s="1"/>
  <c r="I9" i="168"/>
  <c r="I65" i="168" s="1"/>
  <c r="I11" i="113"/>
  <c r="I11" i="168"/>
  <c r="I67" i="168" s="1"/>
  <c r="I6" i="113"/>
  <c r="I62" i="113" s="1"/>
  <c r="I6" i="168"/>
  <c r="I62" i="168" s="1"/>
  <c r="R41" i="115"/>
  <c r="T41" i="115"/>
  <c r="U41" i="115" s="1"/>
  <c r="O59" i="115"/>
  <c r="P59" i="115" s="1"/>
  <c r="AM15" i="168"/>
  <c r="AV2" i="165"/>
  <c r="BH23" i="52"/>
  <c r="D72" i="115"/>
  <c r="R21" i="107"/>
  <c r="C2" i="108"/>
  <c r="C41" i="108" s="1"/>
  <c r="D13" i="115"/>
  <c r="D13" i="168" s="1"/>
  <c r="D69" i="168" s="1"/>
  <c r="R30" i="111"/>
  <c r="Q51" i="111"/>
  <c r="Q5" i="111"/>
  <c r="R20" i="107"/>
  <c r="CK19" i="108"/>
  <c r="D17" i="168"/>
  <c r="D17" i="113"/>
  <c r="D54" i="113" s="1"/>
  <c r="U36" i="115"/>
  <c r="CK22" i="108"/>
  <c r="BW28" i="108"/>
  <c r="D14" i="168"/>
  <c r="D14" i="113"/>
  <c r="D51" i="113" s="1"/>
  <c r="U33" i="115"/>
  <c r="CK6" i="108"/>
  <c r="D3" i="115"/>
  <c r="S16" i="108"/>
  <c r="S44" i="108" s="1"/>
  <c r="CK24" i="108"/>
  <c r="AF18" i="52"/>
  <c r="D53" i="115"/>
  <c r="D16" i="168"/>
  <c r="D16" i="113"/>
  <c r="D53" i="113" s="1"/>
  <c r="AB60" i="115"/>
  <c r="D67" i="115"/>
  <c r="D11" i="113"/>
  <c r="D67" i="113" s="1"/>
  <c r="I5" i="115"/>
  <c r="C2" i="52"/>
  <c r="C41" i="52" s="1"/>
  <c r="D18" i="115"/>
  <c r="CK18" i="108"/>
  <c r="CK23" i="52"/>
  <c r="BH24" i="108"/>
  <c r="AM34" i="113"/>
  <c r="BF3" i="108"/>
  <c r="BE34" i="108"/>
  <c r="BE33" i="108"/>
  <c r="AU26" i="108"/>
  <c r="AG24" i="108"/>
  <c r="S48" i="108"/>
  <c r="I60" i="113"/>
  <c r="E60" i="113" s="1"/>
  <c r="F60" i="113" s="1"/>
  <c r="G60" i="113" s="1"/>
  <c r="H60" i="113" s="1"/>
  <c r="I41" i="113"/>
  <c r="E41" i="113" s="1"/>
  <c r="F41" i="113" s="1"/>
  <c r="G41" i="113" s="1"/>
  <c r="H41" i="113" s="1"/>
  <c r="E23" i="109"/>
  <c r="F6" i="109"/>
  <c r="D70" i="115"/>
  <c r="D51" i="115"/>
  <c r="F4" i="115"/>
  <c r="AU20" i="108"/>
  <c r="AG20" i="108"/>
  <c r="AU20" i="52"/>
  <c r="AG20" i="52"/>
  <c r="DB18" i="52"/>
  <c r="DB18" i="108"/>
  <c r="D9" i="109"/>
  <c r="D7" i="109"/>
  <c r="D73" i="115"/>
  <c r="D54" i="115"/>
  <c r="DB19" i="52"/>
  <c r="DB19" i="108"/>
  <c r="AU21" i="52"/>
  <c r="AG21" i="108"/>
  <c r="AU21" i="108"/>
  <c r="BI19" i="108" s="1"/>
  <c r="AG21" i="52"/>
  <c r="AG24" i="52"/>
  <c r="AU24" i="52"/>
  <c r="E4" i="109"/>
  <c r="F4" i="109" s="1"/>
  <c r="G4" i="109" s="1"/>
  <c r="H4" i="109" s="1"/>
  <c r="AG23" i="108"/>
  <c r="AU23" i="108"/>
  <c r="BI21" i="108" s="1"/>
  <c r="AU23" i="52"/>
  <c r="AG23" i="52"/>
  <c r="DB21" i="108"/>
  <c r="DB21" i="52"/>
  <c r="DB17" i="108"/>
  <c r="DB17" i="52"/>
  <c r="AU19" i="52"/>
  <c r="AG19" i="52"/>
  <c r="AU19" i="108"/>
  <c r="AG19" i="108"/>
  <c r="AG26" i="108"/>
  <c r="S46" i="108"/>
  <c r="AU24" i="108"/>
  <c r="CK23" i="108"/>
  <c r="AT3" i="52"/>
  <c r="AT34" i="52" s="1"/>
  <c r="D69" i="115"/>
  <c r="D50" i="115"/>
  <c r="DB22" i="52"/>
  <c r="DB22" i="108"/>
  <c r="BH19" i="52"/>
  <c r="D15" i="115"/>
  <c r="AU27" i="108"/>
  <c r="BI25" i="108" s="1"/>
  <c r="AG27" i="108"/>
  <c r="AU27" i="52"/>
  <c r="AG27" i="52"/>
  <c r="DB25" i="52"/>
  <c r="DB25" i="108"/>
  <c r="CK6" i="52"/>
  <c r="BW28" i="52"/>
  <c r="DB24" i="52"/>
  <c r="AU25" i="108"/>
  <c r="BI23" i="108" s="1"/>
  <c r="AG25" i="108"/>
  <c r="AU25" i="52"/>
  <c r="AG25" i="52"/>
  <c r="DB23" i="52"/>
  <c r="DB23" i="108"/>
  <c r="AF3" i="52"/>
  <c r="AF34" i="52" s="1"/>
  <c r="DB24" i="108"/>
  <c r="S3" i="108"/>
  <c r="S30" i="108"/>
  <c r="DB6" i="52"/>
  <c r="CL6" i="52" s="1"/>
  <c r="DB6" i="108"/>
  <c r="AU4" i="52"/>
  <c r="BI4" i="52" s="1"/>
  <c r="AG4" i="52"/>
  <c r="AG4" i="108"/>
  <c r="AU4" i="108"/>
  <c r="BI4" i="108" s="1"/>
  <c r="AU26" i="52"/>
  <c r="AG26" i="52"/>
  <c r="F5" i="109"/>
  <c r="E22" i="109"/>
  <c r="AF33" i="108"/>
  <c r="T23" i="115"/>
  <c r="U4" i="115"/>
  <c r="P36" i="115"/>
  <c r="U37" i="115"/>
  <c r="AE3" i="115"/>
  <c r="AD22" i="115"/>
  <c r="U34" i="115"/>
  <c r="Y60" i="115"/>
  <c r="Z60" i="115" s="1"/>
  <c r="W40" i="115"/>
  <c r="R22" i="115"/>
  <c r="AG17" i="115"/>
  <c r="AE34" i="115"/>
  <c r="AF15" i="115"/>
  <c r="AB22" i="115"/>
  <c r="AB41" i="115"/>
  <c r="M59" i="115"/>
  <c r="AE35" i="115"/>
  <c r="AF16" i="115"/>
  <c r="Z33" i="115"/>
  <c r="AB59" i="115"/>
  <c r="U32" i="115"/>
  <c r="AB40" i="115"/>
  <c r="AE37" i="115"/>
  <c r="AF18" i="115"/>
  <c r="J41" i="115"/>
  <c r="K41" i="115" s="1"/>
  <c r="M41" i="115"/>
  <c r="Y40" i="115"/>
  <c r="Z40" i="115" s="1"/>
  <c r="Z32" i="115"/>
  <c r="W41" i="115"/>
  <c r="M23" i="115"/>
  <c r="P35" i="115"/>
  <c r="O23" i="115"/>
  <c r="T22" i="115"/>
  <c r="U3" i="115"/>
  <c r="U22" i="115" s="1"/>
  <c r="Y22" i="115"/>
  <c r="Z3" i="115"/>
  <c r="O22" i="115"/>
  <c r="P22" i="115"/>
  <c r="W23" i="115"/>
  <c r="AG14" i="115"/>
  <c r="K4" i="115"/>
  <c r="K4" i="113" s="1"/>
  <c r="M40" i="115"/>
  <c r="P33" i="115"/>
  <c r="P32" i="115"/>
  <c r="AE4" i="115"/>
  <c r="AD23" i="115"/>
  <c r="AE32" i="115"/>
  <c r="AF13" i="115"/>
  <c r="U35" i="115"/>
  <c r="Y59" i="115"/>
  <c r="Z59" i="115" s="1"/>
  <c r="Y23" i="115"/>
  <c r="Z4" i="115"/>
  <c r="Z23" i="115" s="1"/>
  <c r="J60" i="115"/>
  <c r="K60" i="115" s="1"/>
  <c r="M60" i="115"/>
  <c r="I18" i="109"/>
  <c r="E18" i="109" s="1"/>
  <c r="CL14" i="108"/>
  <c r="CT11" i="108"/>
  <c r="D2" i="108"/>
  <c r="D47" i="108" s="1"/>
  <c r="AG37" i="113"/>
  <c r="L41" i="113"/>
  <c r="AG33" i="113"/>
  <c r="AG34" i="113"/>
  <c r="AG32" i="113"/>
  <c r="AG35" i="113"/>
  <c r="AG36" i="113"/>
  <c r="AF22" i="113"/>
  <c r="AG3" i="113"/>
  <c r="AG22" i="113" s="1"/>
  <c r="AF23" i="113"/>
  <c r="AM33" i="113"/>
  <c r="AM55" i="113"/>
  <c r="AI55" i="113" s="1"/>
  <c r="AJ55" i="113" s="1"/>
  <c r="AK55" i="113" s="1"/>
  <c r="AL55" i="113" s="1"/>
  <c r="AI18" i="113"/>
  <c r="AM37" i="113"/>
  <c r="AM74" i="113"/>
  <c r="AI74" i="113" s="1"/>
  <c r="AJ74" i="113" s="1"/>
  <c r="AK74" i="113" s="1"/>
  <c r="AL74" i="113" s="1"/>
  <c r="BE53" i="108"/>
  <c r="BE50" i="108"/>
  <c r="BE48" i="108"/>
  <c r="BE49" i="108"/>
  <c r="AJ14" i="113"/>
  <c r="AI8" i="109"/>
  <c r="AJ8" i="109" s="1"/>
  <c r="AK8" i="109" s="1"/>
  <c r="AL8" i="109" s="1"/>
  <c r="AM25" i="109"/>
  <c r="AI25" i="109" s="1"/>
  <c r="AJ25" i="109" s="1"/>
  <c r="AK25" i="109" s="1"/>
  <c r="AL25" i="109" s="1"/>
  <c r="AI3" i="109"/>
  <c r="AJ3" i="109" s="1"/>
  <c r="AK3" i="109" s="1"/>
  <c r="AL3" i="109" s="1"/>
  <c r="AM20" i="109"/>
  <c r="AI20" i="109" s="1"/>
  <c r="AJ20" i="109" s="1"/>
  <c r="AK20" i="109" s="1"/>
  <c r="AL20" i="109" s="1"/>
  <c r="AM21" i="109"/>
  <c r="AI21" i="109" s="1"/>
  <c r="AJ21" i="109" s="1"/>
  <c r="AK21" i="109" s="1"/>
  <c r="AL21" i="109" s="1"/>
  <c r="BE51" i="108"/>
  <c r="AJ15" i="113"/>
  <c r="AI9" i="109"/>
  <c r="AJ9" i="109" s="1"/>
  <c r="AK9" i="109" s="1"/>
  <c r="AL9" i="109" s="1"/>
  <c r="AM26" i="109"/>
  <c r="AI26" i="109" s="1"/>
  <c r="AJ26" i="109" s="1"/>
  <c r="AK26" i="109" s="1"/>
  <c r="AL26" i="109" s="1"/>
  <c r="AM22" i="113"/>
  <c r="AM23" i="113"/>
  <c r="AI3" i="113"/>
  <c r="AM40" i="113"/>
  <c r="AI40" i="113" s="1"/>
  <c r="AJ40" i="113" s="1"/>
  <c r="AK40" i="113" s="1"/>
  <c r="AL40" i="113" s="1"/>
  <c r="AM24" i="109"/>
  <c r="AI24" i="109" s="1"/>
  <c r="AJ24" i="109" s="1"/>
  <c r="AK24" i="109" s="1"/>
  <c r="AL24" i="109" s="1"/>
  <c r="AI7" i="109"/>
  <c r="AJ7" i="109" s="1"/>
  <c r="AK7" i="109" s="1"/>
  <c r="AL7" i="109" s="1"/>
  <c r="BE54" i="108"/>
  <c r="BE52" i="108"/>
  <c r="AM69" i="113"/>
  <c r="AI69" i="113" s="1"/>
  <c r="AJ69" i="113" s="1"/>
  <c r="AK69" i="113" s="1"/>
  <c r="AL69" i="113" s="1"/>
  <c r="AM32" i="113"/>
  <c r="AI13" i="113"/>
  <c r="AM50" i="113"/>
  <c r="AI50" i="113" s="1"/>
  <c r="AJ50" i="113" s="1"/>
  <c r="AK50" i="113" s="1"/>
  <c r="AL50" i="113" s="1"/>
  <c r="AI16" i="113"/>
  <c r="AM35" i="113"/>
  <c r="AM53" i="113"/>
  <c r="AI53" i="113" s="1"/>
  <c r="AJ53" i="113" s="1"/>
  <c r="AK53" i="113" s="1"/>
  <c r="AL53" i="113" s="1"/>
  <c r="AM72" i="113"/>
  <c r="AI72" i="113" s="1"/>
  <c r="AJ72" i="113" s="1"/>
  <c r="AK72" i="113" s="1"/>
  <c r="AL72" i="113" s="1"/>
  <c r="BE47" i="108"/>
  <c r="AM73" i="113"/>
  <c r="AI73" i="113" s="1"/>
  <c r="AJ73" i="113" s="1"/>
  <c r="AK73" i="113" s="1"/>
  <c r="AL73" i="113" s="1"/>
  <c r="AI17" i="113"/>
  <c r="AM36" i="113"/>
  <c r="AM54" i="113"/>
  <c r="AI54" i="113" s="1"/>
  <c r="AJ54" i="113" s="1"/>
  <c r="AK54" i="113" s="1"/>
  <c r="AL54" i="113" s="1"/>
  <c r="J22" i="109"/>
  <c r="K22" i="109" s="1"/>
  <c r="M22" i="109"/>
  <c r="BJ20" i="108"/>
  <c r="CM20" i="108"/>
  <c r="T3" i="108"/>
  <c r="T31" i="108" s="1"/>
  <c r="M4" i="109"/>
  <c r="J4" i="109"/>
  <c r="K4" i="109" s="1"/>
  <c r="M23" i="109"/>
  <c r="J23" i="109"/>
  <c r="K23" i="109" s="1"/>
  <c r="L60" i="113"/>
  <c r="M4" i="113"/>
  <c r="BJ23" i="108"/>
  <c r="T16" i="108"/>
  <c r="T43" i="108" s="1"/>
  <c r="L13" i="109"/>
  <c r="M13" i="109" s="1"/>
  <c r="BH16" i="108"/>
  <c r="I16" i="107"/>
  <c r="E16" i="107" s="1"/>
  <c r="F16" i="107" s="1"/>
  <c r="S62" i="113"/>
  <c r="CM11" i="108"/>
  <c r="CL11" i="108"/>
  <c r="I13" i="109"/>
  <c r="D45" i="115"/>
  <c r="AC62" i="113"/>
  <c r="CN11" i="108"/>
  <c r="CL16" i="108"/>
  <c r="S42" i="113"/>
  <c r="D46" i="115"/>
  <c r="D48" i="115"/>
  <c r="I67" i="113"/>
  <c r="CL15" i="52"/>
  <c r="AC37" i="108"/>
  <c r="X42" i="113"/>
  <c r="L15" i="109"/>
  <c r="X62" i="113"/>
  <c r="X66" i="113"/>
  <c r="CV14" i="108"/>
  <c r="I16" i="109"/>
  <c r="E16" i="109" s="1"/>
  <c r="S68" i="113"/>
  <c r="S64" i="113"/>
  <c r="S67" i="113"/>
  <c r="AC41" i="108"/>
  <c r="CT9" i="108"/>
  <c r="AC35" i="108"/>
  <c r="AC11" i="109"/>
  <c r="AF43" i="108"/>
  <c r="AF40" i="108"/>
  <c r="AF37" i="108"/>
  <c r="AF39" i="108"/>
  <c r="AF42" i="108"/>
  <c r="X2" i="52"/>
  <c r="X25" i="52" s="1"/>
  <c r="I15" i="109"/>
  <c r="E15" i="109" s="1"/>
  <c r="AC15" i="109"/>
  <c r="D49" i="115"/>
  <c r="D45" i="113"/>
  <c r="AM65" i="113"/>
  <c r="N16" i="109"/>
  <c r="I67" i="115"/>
  <c r="I68" i="115"/>
  <c r="BH12" i="52"/>
  <c r="N15" i="109"/>
  <c r="CN15" i="108"/>
  <c r="AC67" i="113"/>
  <c r="BH15" i="108"/>
  <c r="X16" i="109"/>
  <c r="AA372" i="116"/>
  <c r="AA444" i="116"/>
  <c r="AA300" i="116"/>
  <c r="AA336" i="116"/>
  <c r="AA408" i="116"/>
  <c r="AA481" i="116"/>
  <c r="AT45" i="108"/>
  <c r="AT39" i="108"/>
  <c r="AT43" i="108"/>
  <c r="AT38" i="108"/>
  <c r="X11" i="107"/>
  <c r="Y11" i="107" s="1"/>
  <c r="Z11" i="107" s="1"/>
  <c r="X6" i="115"/>
  <c r="Q13" i="107"/>
  <c r="Q8" i="115"/>
  <c r="Q64" i="115" s="1"/>
  <c r="Q18" i="107"/>
  <c r="Q12" i="115"/>
  <c r="CL10" i="108"/>
  <c r="CR15" i="108"/>
  <c r="X67" i="113"/>
  <c r="L67" i="113"/>
  <c r="M11" i="113"/>
  <c r="CN13" i="108"/>
  <c r="D43" i="115"/>
  <c r="E6" i="115"/>
  <c r="V11" i="107"/>
  <c r="V6" i="115"/>
  <c r="L68" i="113"/>
  <c r="M12" i="113"/>
  <c r="X18" i="107"/>
  <c r="W18" i="107" s="1"/>
  <c r="X12" i="115"/>
  <c r="X68" i="115" s="1"/>
  <c r="S65" i="113"/>
  <c r="D47" i="115"/>
  <c r="X68" i="113"/>
  <c r="DF27" i="108"/>
  <c r="I14" i="109"/>
  <c r="E14" i="109" s="1"/>
  <c r="AM62" i="113"/>
  <c r="CL9" i="108"/>
  <c r="S66" i="113"/>
  <c r="D62" i="115"/>
  <c r="AM7" i="113"/>
  <c r="AM30" i="113" s="1"/>
  <c r="V6" i="113"/>
  <c r="V8" i="113"/>
  <c r="X64" i="113"/>
  <c r="CQ16" i="52"/>
  <c r="V68" i="115"/>
  <c r="I65" i="115"/>
  <c r="AC61" i="113"/>
  <c r="CT14" i="108"/>
  <c r="AC66" i="113"/>
  <c r="X15" i="107"/>
  <c r="Y15" i="107" s="1"/>
  <c r="Z15" i="107" s="1"/>
  <c r="X10" i="115"/>
  <c r="X66" i="115" s="1"/>
  <c r="I15" i="107"/>
  <c r="E15" i="107" s="1"/>
  <c r="F15" i="107" s="1"/>
  <c r="I10" i="115"/>
  <c r="I10" i="168" s="1"/>
  <c r="N14" i="109"/>
  <c r="CO10" i="52"/>
  <c r="AC15" i="107"/>
  <c r="AB15" i="107" s="1"/>
  <c r="AC10" i="115"/>
  <c r="AC66" i="115" s="1"/>
  <c r="AC10" i="107"/>
  <c r="AB10" i="107" s="1"/>
  <c r="AC5" i="115"/>
  <c r="AB5" i="115" s="1"/>
  <c r="V16" i="107"/>
  <c r="V11" i="115"/>
  <c r="V67" i="115" s="1"/>
  <c r="Q10" i="107"/>
  <c r="Q5" i="115"/>
  <c r="Q61" i="115" s="1"/>
  <c r="AF38" i="108"/>
  <c r="AM61" i="113"/>
  <c r="I11" i="109"/>
  <c r="E11" i="109" s="1"/>
  <c r="F11" i="109" s="1"/>
  <c r="AA68" i="115"/>
  <c r="AA31" i="115"/>
  <c r="D7" i="115"/>
  <c r="D7" i="168" s="1"/>
  <c r="D44" i="168" s="1"/>
  <c r="M10" i="113"/>
  <c r="A374" i="116"/>
  <c r="AM64" i="113"/>
  <c r="AC14" i="107"/>
  <c r="AB14" i="107" s="1"/>
  <c r="AC9" i="115"/>
  <c r="CL10" i="52"/>
  <c r="N61" i="113"/>
  <c r="N66" i="113"/>
  <c r="BP10" i="52"/>
  <c r="AA44" i="115"/>
  <c r="N65" i="113"/>
  <c r="BV26" i="108"/>
  <c r="D43" i="113"/>
  <c r="AC13" i="107"/>
  <c r="AB13" i="107" s="1"/>
  <c r="AC8" i="115"/>
  <c r="AC64" i="115" s="1"/>
  <c r="X10" i="107"/>
  <c r="Y10" i="107" s="1"/>
  <c r="Z10" i="107" s="1"/>
  <c r="X5" i="115"/>
  <c r="I13" i="107"/>
  <c r="E13" i="107" s="1"/>
  <c r="F13" i="107" s="1"/>
  <c r="I8" i="115"/>
  <c r="D12" i="109"/>
  <c r="D28" i="109" s="1"/>
  <c r="CM16" i="108"/>
  <c r="S61" i="113"/>
  <c r="CM13" i="108"/>
  <c r="L64" i="113"/>
  <c r="M8" i="113"/>
  <c r="D68" i="115"/>
  <c r="E12" i="115"/>
  <c r="AA66" i="115"/>
  <c r="AA29" i="115"/>
  <c r="E11" i="115"/>
  <c r="CL13" i="108"/>
  <c r="A410" i="116"/>
  <c r="X13" i="107"/>
  <c r="Y13" i="107" s="1"/>
  <c r="Z13" i="107" s="1"/>
  <c r="X8" i="115"/>
  <c r="BH10" i="108"/>
  <c r="A303" i="116"/>
  <c r="X65" i="113"/>
  <c r="A446" i="116"/>
  <c r="BH14" i="108"/>
  <c r="V14" i="107"/>
  <c r="V9" i="115"/>
  <c r="X16" i="107"/>
  <c r="Y16" i="107" s="1"/>
  <c r="Z16" i="107" s="1"/>
  <c r="X11" i="115"/>
  <c r="X67" i="115" s="1"/>
  <c r="CM14" i="108"/>
  <c r="L66" i="113"/>
  <c r="AC14" i="109"/>
  <c r="AM67" i="113"/>
  <c r="L14" i="109"/>
  <c r="AF45" i="108"/>
  <c r="AA62" i="115"/>
  <c r="AA25" i="115"/>
  <c r="N64" i="113"/>
  <c r="N67" i="113"/>
  <c r="BP13" i="52"/>
  <c r="AA46" i="115"/>
  <c r="AA28" i="115"/>
  <c r="D66" i="115"/>
  <c r="CP10" i="108"/>
  <c r="X61" i="113"/>
  <c r="AT8" i="52"/>
  <c r="AC65" i="113"/>
  <c r="AH6" i="113"/>
  <c r="AD6" i="113" s="1"/>
  <c r="AH8" i="113"/>
  <c r="D64" i="115"/>
  <c r="AA8" i="113"/>
  <c r="Y8" i="113" s="1"/>
  <c r="AA6" i="113"/>
  <c r="V10" i="107"/>
  <c r="V5" i="115"/>
  <c r="AC11" i="107"/>
  <c r="AB11" i="107" s="1"/>
  <c r="AC6" i="115"/>
  <c r="AB6" i="115" s="1"/>
  <c r="Q14" i="107"/>
  <c r="Q9" i="115"/>
  <c r="Q11" i="107"/>
  <c r="Q6" i="115"/>
  <c r="Q62" i="115" s="1"/>
  <c r="CT10" i="108"/>
  <c r="CT13" i="108"/>
  <c r="N68" i="113"/>
  <c r="L18" i="109"/>
  <c r="M6" i="113"/>
  <c r="AM68" i="113"/>
  <c r="L62" i="113"/>
  <c r="M62" i="113" s="1"/>
  <c r="AA45" i="115"/>
  <c r="AA27" i="115"/>
  <c r="AA65" i="115"/>
  <c r="AC18" i="107"/>
  <c r="AB18" i="107" s="1"/>
  <c r="AC12" i="115"/>
  <c r="AB12" i="115" s="1"/>
  <c r="AA43" i="115"/>
  <c r="X14" i="107"/>
  <c r="X9" i="115"/>
  <c r="A338" i="116"/>
  <c r="A339" i="116" s="1"/>
  <c r="A483" i="116"/>
  <c r="V13" i="107"/>
  <c r="V8" i="115"/>
  <c r="I62" i="115"/>
  <c r="BP14" i="52"/>
  <c r="AA47" i="115"/>
  <c r="BH13" i="108"/>
  <c r="V15" i="107"/>
  <c r="V10" i="115"/>
  <c r="V66" i="115" s="1"/>
  <c r="Q16" i="107"/>
  <c r="Q11" i="115"/>
  <c r="CL15" i="108"/>
  <c r="L65" i="113"/>
  <c r="M9" i="113"/>
  <c r="BP16" i="52"/>
  <c r="AA49" i="115"/>
  <c r="AC16" i="107"/>
  <c r="AB16" i="107" s="1"/>
  <c r="AC11" i="115"/>
  <c r="BP15" i="52"/>
  <c r="AA48" i="115"/>
  <c r="Q15" i="107"/>
  <c r="Q10" i="115"/>
  <c r="AA35" i="107"/>
  <c r="L61" i="113"/>
  <c r="M5" i="113"/>
  <c r="AC36" i="108"/>
  <c r="CN14" i="108"/>
  <c r="AC68" i="113"/>
  <c r="AA67" i="115"/>
  <c r="AA30" i="115"/>
  <c r="D65" i="115"/>
  <c r="E9" i="115"/>
  <c r="AA63" i="115"/>
  <c r="AA26" i="115"/>
  <c r="AA42" i="115"/>
  <c r="AA24" i="115"/>
  <c r="CK4" i="108"/>
  <c r="CK21" i="108"/>
  <c r="D8" i="109"/>
  <c r="D3" i="107"/>
  <c r="D20" i="107" s="1"/>
  <c r="CK19" i="52"/>
  <c r="BH17" i="108"/>
  <c r="AT3" i="108"/>
  <c r="AT34" i="108" s="1"/>
  <c r="AF18" i="108"/>
  <c r="AF51" i="108" s="1"/>
  <c r="CK17" i="108"/>
  <c r="DA27" i="108"/>
  <c r="AT18" i="108"/>
  <c r="AT51" i="108" s="1"/>
  <c r="BH23" i="108"/>
  <c r="D8" i="107"/>
  <c r="D25" i="107" s="1"/>
  <c r="BH21" i="108"/>
  <c r="DA27" i="52"/>
  <c r="AT18" i="52"/>
  <c r="D20" i="109"/>
  <c r="D21" i="109"/>
  <c r="N10" i="109"/>
  <c r="CN8" i="108"/>
  <c r="F41" i="108"/>
  <c r="F39" i="108"/>
  <c r="F47" i="108"/>
  <c r="CR10" i="108"/>
  <c r="Q5" i="113"/>
  <c r="R5" i="113" s="1"/>
  <c r="Q9" i="113"/>
  <c r="R9" i="113" s="1"/>
  <c r="Q6" i="113"/>
  <c r="R6" i="113" s="1"/>
  <c r="Q11" i="113"/>
  <c r="Q10" i="113"/>
  <c r="R10" i="113" s="1"/>
  <c r="Q12" i="113"/>
  <c r="R12" i="113" s="1"/>
  <c r="CR14" i="108"/>
  <c r="X15" i="109"/>
  <c r="H47" i="108"/>
  <c r="H41" i="108"/>
  <c r="H39" i="108"/>
  <c r="CR16" i="108"/>
  <c r="X18" i="109"/>
  <c r="AA7" i="108"/>
  <c r="AA34" i="108" s="1"/>
  <c r="AC10" i="109"/>
  <c r="CT8" i="108"/>
  <c r="M2" i="108"/>
  <c r="CV9" i="108"/>
  <c r="AM11" i="109"/>
  <c r="N11" i="109"/>
  <c r="CN9" i="108"/>
  <c r="CT16" i="108"/>
  <c r="AC18" i="109"/>
  <c r="AM16" i="109"/>
  <c r="CV15" i="108"/>
  <c r="S10" i="109"/>
  <c r="BM8" i="108"/>
  <c r="CP8" i="108"/>
  <c r="V7" i="108"/>
  <c r="V34" i="108" s="1"/>
  <c r="BO10" i="108"/>
  <c r="X46" i="113"/>
  <c r="BO9" i="108"/>
  <c r="X45" i="113"/>
  <c r="X12" i="109"/>
  <c r="CT15" i="108"/>
  <c r="AC16" i="109"/>
  <c r="AF44" i="108"/>
  <c r="X7" i="108"/>
  <c r="X34" i="108" s="1"/>
  <c r="AM13" i="109"/>
  <c r="CV11" i="108"/>
  <c r="DH27" i="108"/>
  <c r="L16" i="109"/>
  <c r="CM15" i="108"/>
  <c r="BV26" i="52"/>
  <c r="L42" i="113"/>
  <c r="DJ27" i="108"/>
  <c r="AC34" i="108"/>
  <c r="S13" i="109"/>
  <c r="CP11" i="108"/>
  <c r="BW16" i="108"/>
  <c r="BW11" i="108"/>
  <c r="BW10" i="108"/>
  <c r="BW12" i="108"/>
  <c r="BW13" i="108"/>
  <c r="BW15" i="108"/>
  <c r="I48" i="168" s="1"/>
  <c r="BW9" i="108"/>
  <c r="AU13" i="108"/>
  <c r="AG13" i="108"/>
  <c r="AG8" i="108" s="1"/>
  <c r="BW8" i="108"/>
  <c r="BW14" i="108"/>
  <c r="I47" i="168" s="1"/>
  <c r="S46" i="113"/>
  <c r="S48" i="113"/>
  <c r="S47" i="113"/>
  <c r="S43" i="113"/>
  <c r="S7" i="113"/>
  <c r="BQ10" i="108"/>
  <c r="AC48" i="113"/>
  <c r="AC43" i="113"/>
  <c r="AC42" i="113"/>
  <c r="BC45" i="108"/>
  <c r="AH5" i="113"/>
  <c r="AH9" i="113"/>
  <c r="AD9" i="113" s="1"/>
  <c r="AH10" i="113"/>
  <c r="AD10" i="113" s="1"/>
  <c r="AH11" i="113"/>
  <c r="AD11" i="113" s="1"/>
  <c r="AH12" i="113"/>
  <c r="AD12" i="113" s="1"/>
  <c r="BS10" i="108"/>
  <c r="AM43" i="113"/>
  <c r="AM48" i="113"/>
  <c r="CP13" i="108"/>
  <c r="S14" i="109"/>
  <c r="I41" i="108"/>
  <c r="I39" i="108"/>
  <c r="I47" i="108"/>
  <c r="CN16" i="108"/>
  <c r="N18" i="109"/>
  <c r="L11" i="109"/>
  <c r="CM9" i="108"/>
  <c r="D12" i="107"/>
  <c r="D31" i="107" s="1"/>
  <c r="AM42" i="113"/>
  <c r="V5" i="113"/>
  <c r="T5" i="113" s="1"/>
  <c r="V12" i="113"/>
  <c r="V10" i="113"/>
  <c r="V9" i="113"/>
  <c r="T9" i="113" s="1"/>
  <c r="V11" i="113"/>
  <c r="T11" i="113" s="1"/>
  <c r="X13" i="109"/>
  <c r="CR11" i="108"/>
  <c r="BK10" i="108"/>
  <c r="N42" i="113"/>
  <c r="N43" i="113"/>
  <c r="AI37" i="108"/>
  <c r="N12" i="109"/>
  <c r="L10" i="109"/>
  <c r="CM8" i="108"/>
  <c r="Y7" i="108"/>
  <c r="X10" i="109"/>
  <c r="CR8" i="108"/>
  <c r="BO8" i="108"/>
  <c r="W7" i="108"/>
  <c r="W34" i="108" s="1"/>
  <c r="AT40" i="108"/>
  <c r="BJ10" i="108"/>
  <c r="L12" i="109"/>
  <c r="CN10" i="108"/>
  <c r="Q13" i="109"/>
  <c r="BH9" i="108"/>
  <c r="BE8" i="108"/>
  <c r="AM10" i="109"/>
  <c r="CV8" i="108"/>
  <c r="S15" i="109"/>
  <c r="CP14" i="108"/>
  <c r="AA5" i="113"/>
  <c r="AB5" i="113" s="1"/>
  <c r="AA10" i="113"/>
  <c r="AA9" i="113"/>
  <c r="Y9" i="113" s="1"/>
  <c r="AA12" i="113"/>
  <c r="AA11" i="113"/>
  <c r="Y11" i="113" s="1"/>
  <c r="T7" i="108"/>
  <c r="T34" i="108" s="1"/>
  <c r="AT37" i="108"/>
  <c r="J41" i="108"/>
  <c r="J47" i="108"/>
  <c r="J39" i="108"/>
  <c r="DD27" i="108"/>
  <c r="AT42" i="108"/>
  <c r="O9" i="108"/>
  <c r="G2" i="108"/>
  <c r="S18" i="109"/>
  <c r="CP16" i="108"/>
  <c r="S16" i="109"/>
  <c r="CP15" i="108"/>
  <c r="CL8" i="108"/>
  <c r="I10" i="109"/>
  <c r="E10" i="109" s="1"/>
  <c r="X14" i="109"/>
  <c r="CR13" i="108"/>
  <c r="K41" i="108"/>
  <c r="K39" i="108"/>
  <c r="K47" i="108"/>
  <c r="CM10" i="108"/>
  <c r="AT44" i="108"/>
  <c r="BH12" i="108"/>
  <c r="CK12" i="108"/>
  <c r="S11" i="109"/>
  <c r="CP9" i="108"/>
  <c r="Z7" i="108"/>
  <c r="Z34" i="108" s="1"/>
  <c r="AC2" i="108"/>
  <c r="AC25" i="108" s="1"/>
  <c r="AC40" i="108"/>
  <c r="AC39" i="108"/>
  <c r="X11" i="109"/>
  <c r="CR9" i="108"/>
  <c r="V39" i="52"/>
  <c r="CR10" i="52"/>
  <c r="G6" i="107"/>
  <c r="F23" i="107"/>
  <c r="F22" i="107"/>
  <c r="U26" i="107"/>
  <c r="U22" i="107"/>
  <c r="K23" i="107"/>
  <c r="AE25" i="107"/>
  <c r="AJ23" i="107"/>
  <c r="AD21" i="107"/>
  <c r="Z25" i="107"/>
  <c r="U24" i="107"/>
  <c r="Z26" i="107"/>
  <c r="AE24" i="107"/>
  <c r="AE22" i="107"/>
  <c r="AE23" i="107"/>
  <c r="Z24" i="107"/>
  <c r="U23" i="107"/>
  <c r="AE26" i="107"/>
  <c r="K22" i="107"/>
  <c r="AD20" i="107"/>
  <c r="W20" i="107"/>
  <c r="M21" i="107"/>
  <c r="U25" i="107"/>
  <c r="AJ22" i="107"/>
  <c r="Z38" i="52"/>
  <c r="AA37" i="52"/>
  <c r="CL16" i="52"/>
  <c r="AA41" i="52"/>
  <c r="T21" i="107"/>
  <c r="I18" i="107"/>
  <c r="E18" i="107" s="1"/>
  <c r="Y21" i="107"/>
  <c r="M20" i="107"/>
  <c r="Y20" i="107"/>
  <c r="T20" i="107"/>
  <c r="W21" i="107"/>
  <c r="AB20" i="107"/>
  <c r="AB21" i="107"/>
  <c r="CL14" i="52"/>
  <c r="AA27" i="107"/>
  <c r="AA32" i="107"/>
  <c r="AA40" i="52"/>
  <c r="V38" i="52"/>
  <c r="AA34" i="107"/>
  <c r="Z37" i="52"/>
  <c r="F39" i="52"/>
  <c r="AA29" i="107"/>
  <c r="AA28" i="107"/>
  <c r="CL11" i="52"/>
  <c r="Y14" i="107"/>
  <c r="Z14" i="107" s="1"/>
  <c r="AA30" i="107"/>
  <c r="AA33" i="107"/>
  <c r="AA31" i="107"/>
  <c r="AN39" i="52"/>
  <c r="AN42" i="52"/>
  <c r="AN41" i="52"/>
  <c r="Y39" i="52"/>
  <c r="I14" i="107"/>
  <c r="E14" i="107" s="1"/>
  <c r="K39" i="52"/>
  <c r="CL13" i="52"/>
  <c r="BP9" i="52"/>
  <c r="Z40" i="52"/>
  <c r="Z39" i="52"/>
  <c r="Z2" i="52"/>
  <c r="Z25" i="52" s="1"/>
  <c r="AA38" i="52"/>
  <c r="I11" i="107"/>
  <c r="E11" i="107" s="1"/>
  <c r="AA36" i="52"/>
  <c r="Z34" i="52"/>
  <c r="H39" i="52"/>
  <c r="Y38" i="52"/>
  <c r="Z36" i="52"/>
  <c r="Y34" i="52"/>
  <c r="CL9" i="52"/>
  <c r="AA39" i="52"/>
  <c r="AA2" i="52"/>
  <c r="AA25" i="52" s="1"/>
  <c r="J41" i="52"/>
  <c r="J47" i="52"/>
  <c r="CT14" i="52"/>
  <c r="F47" i="52"/>
  <c r="CT11" i="52"/>
  <c r="DJ27" i="52"/>
  <c r="AP9" i="52"/>
  <c r="BD9" i="52"/>
  <c r="DK8" i="52"/>
  <c r="BD15" i="52"/>
  <c r="DK14" i="52"/>
  <c r="DK15" i="52"/>
  <c r="DK13" i="52"/>
  <c r="BD16" i="52"/>
  <c r="AP14" i="52"/>
  <c r="AP16" i="52"/>
  <c r="BD14" i="52"/>
  <c r="AP15" i="52"/>
  <c r="BD17" i="52"/>
  <c r="AP10" i="52"/>
  <c r="AP11" i="52"/>
  <c r="DK12" i="52"/>
  <c r="AP17" i="52"/>
  <c r="DK9" i="52"/>
  <c r="DK10" i="52"/>
  <c r="BD11" i="52"/>
  <c r="DK11" i="52"/>
  <c r="BD12" i="52"/>
  <c r="DK16" i="52"/>
  <c r="AP12" i="52"/>
  <c r="BD10" i="52"/>
  <c r="V37" i="52"/>
  <c r="AB34" i="52"/>
  <c r="Y2" i="52"/>
  <c r="Y25" i="52" s="1"/>
  <c r="CQ14" i="52"/>
  <c r="CB14" i="52"/>
  <c r="CB13" i="52"/>
  <c r="CB16" i="52"/>
  <c r="CB15" i="52"/>
  <c r="CB11" i="52"/>
  <c r="CB10" i="52"/>
  <c r="AL13" i="52"/>
  <c r="AL8" i="52" s="1"/>
  <c r="CB9" i="52"/>
  <c r="AZ13" i="52"/>
  <c r="AZ8" i="52" s="1"/>
  <c r="CB12" i="52"/>
  <c r="CB8" i="52"/>
  <c r="CR8" i="52"/>
  <c r="K41" i="52"/>
  <c r="AA34" i="52"/>
  <c r="V36" i="52"/>
  <c r="AB39" i="52"/>
  <c r="L41" i="52"/>
  <c r="BC39" i="52"/>
  <c r="AN43" i="52"/>
  <c r="AN2" i="52"/>
  <c r="AN28" i="52" s="1"/>
  <c r="AN38" i="52"/>
  <c r="AN44" i="52"/>
  <c r="AN37" i="52"/>
  <c r="AN40" i="52"/>
  <c r="AN45" i="52"/>
  <c r="CQ9" i="52"/>
  <c r="CO15" i="52"/>
  <c r="CR15" i="52"/>
  <c r="BY16" i="52"/>
  <c r="BY13" i="52"/>
  <c r="BY15" i="52"/>
  <c r="BY14" i="52"/>
  <c r="AW13" i="52"/>
  <c r="BY12" i="52"/>
  <c r="BY10" i="52"/>
  <c r="BY11" i="52"/>
  <c r="AI13" i="52"/>
  <c r="BY9" i="52"/>
  <c r="CR13" i="52"/>
  <c r="V34" i="52"/>
  <c r="V41" i="52"/>
  <c r="CT15" i="52"/>
  <c r="AB36" i="52"/>
  <c r="X34" i="52"/>
  <c r="X37" i="52"/>
  <c r="X40" i="52"/>
  <c r="I47" i="52"/>
  <c r="Y36" i="52"/>
  <c r="AB41" i="52"/>
  <c r="Z41" i="52"/>
  <c r="BB42" i="52"/>
  <c r="I10" i="107"/>
  <c r="E10" i="107" s="1"/>
  <c r="CL8" i="52"/>
  <c r="CO13" i="52"/>
  <c r="CO9" i="52"/>
  <c r="CR14" i="52"/>
  <c r="X38" i="52"/>
  <c r="X39" i="52"/>
  <c r="CT8" i="52"/>
  <c r="CR16" i="52"/>
  <c r="V40" i="52"/>
  <c r="CQ15" i="52"/>
  <c r="CC16" i="52"/>
  <c r="CC12" i="52"/>
  <c r="AM13" i="52"/>
  <c r="BA13" i="52"/>
  <c r="X12" i="107" s="1"/>
  <c r="CC13" i="52"/>
  <c r="CC15" i="52"/>
  <c r="CC14" i="52"/>
  <c r="CC9" i="52"/>
  <c r="CC10" i="52"/>
  <c r="CC8" i="52"/>
  <c r="CD26" i="52"/>
  <c r="CD29" i="52"/>
  <c r="CQ13" i="52"/>
  <c r="Y40" i="52"/>
  <c r="CT16" i="52"/>
  <c r="CQ8" i="52"/>
  <c r="I41" i="52"/>
  <c r="Y41" i="52"/>
  <c r="AB40" i="52"/>
  <c r="CT13" i="52"/>
  <c r="DG27" i="52"/>
  <c r="CO14" i="52"/>
  <c r="X35" i="52"/>
  <c r="CR9" i="52"/>
  <c r="CO8" i="52"/>
  <c r="H47" i="52"/>
  <c r="L39" i="52"/>
  <c r="AB37" i="52"/>
  <c r="CQ11" i="52"/>
  <c r="CE16" i="52"/>
  <c r="CE13" i="52"/>
  <c r="CE10" i="52"/>
  <c r="BQ10" i="52" s="1"/>
  <c r="CE15" i="52"/>
  <c r="CE11" i="52"/>
  <c r="BC13" i="52"/>
  <c r="AC12" i="107" s="1"/>
  <c r="CE9" i="52"/>
  <c r="CE14" i="52"/>
  <c r="CE12" i="52"/>
  <c r="AO13" i="52"/>
  <c r="CE8" i="52"/>
  <c r="CO11" i="52"/>
  <c r="BY8" i="52"/>
  <c r="CQ10" i="52"/>
  <c r="Y37" i="52"/>
  <c r="BB41" i="52"/>
  <c r="BB44" i="52"/>
  <c r="BB43" i="52"/>
  <c r="BB2" i="52"/>
  <c r="BB28" i="52" s="1"/>
  <c r="BB40" i="52"/>
  <c r="BB45" i="52"/>
  <c r="BC37" i="52"/>
  <c r="DE27" i="52"/>
  <c r="BZ16" i="52"/>
  <c r="Q49" i="115" s="1"/>
  <c r="BZ12" i="52"/>
  <c r="BZ9" i="52"/>
  <c r="BZ14" i="52"/>
  <c r="Q47" i="115" s="1"/>
  <c r="BZ15" i="52"/>
  <c r="Q48" i="115" s="1"/>
  <c r="BZ11" i="52"/>
  <c r="AX13" i="52"/>
  <c r="Q7" i="115" s="1"/>
  <c r="AJ13" i="52"/>
  <c r="AJ8" i="52" s="1"/>
  <c r="AJ43" i="52" s="1"/>
  <c r="BZ13" i="52"/>
  <c r="BZ8" i="52"/>
  <c r="Q42" i="115" s="1"/>
  <c r="BZ10" i="52"/>
  <c r="BW16" i="52"/>
  <c r="BW10" i="52"/>
  <c r="AG13" i="52"/>
  <c r="BW12" i="52"/>
  <c r="AU13" i="52"/>
  <c r="I7" i="115" s="1"/>
  <c r="BW11" i="52"/>
  <c r="BW9" i="52"/>
  <c r="I43" i="115" s="1"/>
  <c r="BW14" i="52"/>
  <c r="BW15" i="52"/>
  <c r="BW13" i="52"/>
  <c r="BW8" i="52"/>
  <c r="AB2" i="52"/>
  <c r="AB25" i="52" s="1"/>
  <c r="AB38" i="52"/>
  <c r="V2" i="52"/>
  <c r="V25" i="52" s="1"/>
  <c r="CT10" i="52"/>
  <c r="CT9" i="52"/>
  <c r="CR11" i="52"/>
  <c r="BO11" i="52"/>
  <c r="CO16" i="52"/>
  <c r="AW9" i="52"/>
  <c r="DD8" i="52"/>
  <c r="AI9" i="52"/>
  <c r="AW15" i="52"/>
  <c r="AI14" i="52"/>
  <c r="AI15" i="52"/>
  <c r="AI16" i="52"/>
  <c r="DD15" i="52"/>
  <c r="AW16" i="52"/>
  <c r="DD14" i="52"/>
  <c r="AW14" i="52"/>
  <c r="DD13" i="52"/>
  <c r="AI10" i="52"/>
  <c r="AW17" i="52"/>
  <c r="AW11" i="52"/>
  <c r="DD11" i="52"/>
  <c r="DD10" i="52"/>
  <c r="DD12" i="52"/>
  <c r="DD9" i="52"/>
  <c r="AI11" i="52"/>
  <c r="AW12" i="52"/>
  <c r="AW10" i="52"/>
  <c r="AI12" i="52"/>
  <c r="AI17" i="52"/>
  <c r="DD16" i="52"/>
  <c r="DH27" i="52"/>
  <c r="X41" i="52"/>
  <c r="CF8" i="52"/>
  <c r="AA302" i="116" a="1"/>
  <c r="AA337" i="116" a="1"/>
  <c r="AA482" i="116" a="1"/>
  <c r="AA373" i="116" a="1"/>
  <c r="AA445" i="116" a="1"/>
  <c r="AA409" i="116" a="1"/>
  <c r="AK56" i="168" l="1"/>
  <c r="AK63" i="168"/>
  <c r="I46" i="168"/>
  <c r="I49" i="168"/>
  <c r="Q43" i="115"/>
  <c r="AI75" i="168"/>
  <c r="AJ75" i="168"/>
  <c r="AK30" i="168"/>
  <c r="D46" i="113"/>
  <c r="AK25" i="168"/>
  <c r="AK26" i="168"/>
  <c r="AL44" i="168"/>
  <c r="AF36" i="115"/>
  <c r="D73" i="113"/>
  <c r="D70" i="113"/>
  <c r="D13" i="113"/>
  <c r="N2" i="108"/>
  <c r="I56" i="115"/>
  <c r="J56" i="115" s="1"/>
  <c r="K56" i="115" s="1"/>
  <c r="N2" i="52"/>
  <c r="D24" i="168"/>
  <c r="C47" i="108"/>
  <c r="Q28" i="115"/>
  <c r="D35" i="109"/>
  <c r="D49" i="113"/>
  <c r="D26" i="168"/>
  <c r="D63" i="168"/>
  <c r="Q65" i="115"/>
  <c r="E67" i="115"/>
  <c r="F67" i="115" s="1"/>
  <c r="G67" i="115" s="1"/>
  <c r="H67" i="115" s="1"/>
  <c r="D47" i="168"/>
  <c r="E47" i="168" s="1"/>
  <c r="F47" i="168" s="1"/>
  <c r="G47" i="168" s="1"/>
  <c r="H47" i="168" s="1"/>
  <c r="D29" i="168"/>
  <c r="D66" i="168"/>
  <c r="Q30" i="115"/>
  <c r="Q29" i="115"/>
  <c r="Q31" i="115"/>
  <c r="D64" i="168"/>
  <c r="D27" i="168"/>
  <c r="BL10" i="52"/>
  <c r="Q44" i="115"/>
  <c r="Q46" i="115"/>
  <c r="Q24" i="115"/>
  <c r="D47" i="113"/>
  <c r="Q27" i="115"/>
  <c r="Q68" i="115"/>
  <c r="Q66" i="115"/>
  <c r="D31" i="168"/>
  <c r="D68" i="168"/>
  <c r="E68" i="168" s="1"/>
  <c r="F68" i="168" s="1"/>
  <c r="G68" i="168" s="1"/>
  <c r="H68" i="168" s="1"/>
  <c r="Q26" i="115"/>
  <c r="Q63" i="115"/>
  <c r="Q25" i="115"/>
  <c r="E67" i="113"/>
  <c r="F67" i="113" s="1"/>
  <c r="G67" i="113" s="1"/>
  <c r="H67" i="113" s="1"/>
  <c r="C39" i="108"/>
  <c r="D28" i="168"/>
  <c r="D65" i="168"/>
  <c r="E65" i="168" s="1"/>
  <c r="F65" i="168" s="1"/>
  <c r="G65" i="168" s="1"/>
  <c r="H65" i="168" s="1"/>
  <c r="Q67" i="115"/>
  <c r="BL11" i="52"/>
  <c r="Q45" i="115"/>
  <c r="D30" i="168"/>
  <c r="D62" i="168"/>
  <c r="E62" i="168" s="1"/>
  <c r="F62" i="168" s="1"/>
  <c r="G62" i="168" s="1"/>
  <c r="H62" i="168" s="1"/>
  <c r="D25" i="168"/>
  <c r="D49" i="168"/>
  <c r="E49" i="168" s="1"/>
  <c r="F49" i="168" s="1"/>
  <c r="G49" i="168" s="1"/>
  <c r="H49" i="168" s="1"/>
  <c r="BE44" i="108"/>
  <c r="BE39" i="108"/>
  <c r="BE37" i="108"/>
  <c r="BE38" i="108"/>
  <c r="O64" i="113"/>
  <c r="P64" i="113" s="1"/>
  <c r="R64" i="113"/>
  <c r="O12" i="113"/>
  <c r="P12" i="113" s="1"/>
  <c r="Q68" i="113"/>
  <c r="O68" i="113" s="1"/>
  <c r="P68" i="113" s="1"/>
  <c r="Q49" i="113"/>
  <c r="O13" i="109"/>
  <c r="P13" i="109" s="1"/>
  <c r="O10" i="113"/>
  <c r="P10" i="113" s="1"/>
  <c r="Q66" i="113"/>
  <c r="O66" i="113" s="1"/>
  <c r="P66" i="113" s="1"/>
  <c r="Q47" i="113"/>
  <c r="O11" i="113"/>
  <c r="P11" i="113" s="1"/>
  <c r="Q67" i="113"/>
  <c r="O67" i="113" s="1"/>
  <c r="P67" i="113" s="1"/>
  <c r="Q48" i="113"/>
  <c r="R11" i="113"/>
  <c r="O6" i="113"/>
  <c r="P6" i="113" s="1"/>
  <c r="Q62" i="113"/>
  <c r="O62" i="113" s="1"/>
  <c r="P62" i="113" s="1"/>
  <c r="Q43" i="113"/>
  <c r="O43" i="113" s="1"/>
  <c r="P43" i="113" s="1"/>
  <c r="O9" i="113"/>
  <c r="P9" i="113" s="1"/>
  <c r="Q65" i="113"/>
  <c r="O65" i="113" s="1"/>
  <c r="P65" i="113" s="1"/>
  <c r="Q46" i="113"/>
  <c r="O5" i="113"/>
  <c r="P5" i="113" s="1"/>
  <c r="Q61" i="113"/>
  <c r="O61" i="113" s="1"/>
  <c r="P61" i="113" s="1"/>
  <c r="Q42" i="113"/>
  <c r="O42" i="113" s="1"/>
  <c r="P42" i="113" s="1"/>
  <c r="R13" i="109"/>
  <c r="S29" i="113"/>
  <c r="AL27" i="168"/>
  <c r="AJ54" i="168"/>
  <c r="AI55" i="168"/>
  <c r="AJ51" i="168"/>
  <c r="AJ74" i="168"/>
  <c r="AJ72" i="168"/>
  <c r="AJ53" i="168"/>
  <c r="AJ73" i="168"/>
  <c r="AJ70" i="168"/>
  <c r="AL28" i="168"/>
  <c r="AL29" i="168"/>
  <c r="AQ57" i="108"/>
  <c r="AL25" i="168"/>
  <c r="AL26" i="168"/>
  <c r="AL24" i="168"/>
  <c r="AL30" i="168"/>
  <c r="AJ3" i="168"/>
  <c r="AI22" i="168"/>
  <c r="AI23" i="168"/>
  <c r="AL31" i="168"/>
  <c r="J62" i="168"/>
  <c r="K62" i="168" s="1"/>
  <c r="J68" i="168"/>
  <c r="K68" i="168" s="1"/>
  <c r="E12" i="113"/>
  <c r="E12" i="168"/>
  <c r="E6" i="113"/>
  <c r="E6" i="168"/>
  <c r="J47" i="168"/>
  <c r="K47" i="168" s="1"/>
  <c r="I5" i="113"/>
  <c r="I61" i="113" s="1"/>
  <c r="J61" i="113" s="1"/>
  <c r="K61" i="113" s="1"/>
  <c r="I5" i="168"/>
  <c r="I43" i="113"/>
  <c r="E43" i="113" s="1"/>
  <c r="F43" i="113" s="1"/>
  <c r="G43" i="113" s="1"/>
  <c r="H43" i="113" s="1"/>
  <c r="I43" i="168"/>
  <c r="J65" i="168"/>
  <c r="K65" i="168" s="1"/>
  <c r="E48" i="168"/>
  <c r="F48" i="168" s="1"/>
  <c r="G48" i="168" s="1"/>
  <c r="H48" i="168" s="1"/>
  <c r="J48" i="168"/>
  <c r="K48" i="168" s="1"/>
  <c r="E9" i="113"/>
  <c r="E9" i="168"/>
  <c r="I8" i="113"/>
  <c r="I64" i="113" s="1"/>
  <c r="E64" i="113" s="1"/>
  <c r="F64" i="113" s="1"/>
  <c r="G64" i="113" s="1"/>
  <c r="H64" i="113" s="1"/>
  <c r="I8" i="168"/>
  <c r="I45" i="168" s="1"/>
  <c r="E11" i="113"/>
  <c r="E11" i="168"/>
  <c r="I66" i="168"/>
  <c r="J49" i="168"/>
  <c r="K49" i="168" s="1"/>
  <c r="I7" i="113"/>
  <c r="I44" i="113" s="1"/>
  <c r="I7" i="168"/>
  <c r="I44" i="168" s="1"/>
  <c r="E46" i="168"/>
  <c r="F46" i="168" s="1"/>
  <c r="G46" i="168" s="1"/>
  <c r="H46" i="168" s="1"/>
  <c r="J46" i="168"/>
  <c r="K46" i="168" s="1"/>
  <c r="E67" i="168"/>
  <c r="F67" i="168" s="1"/>
  <c r="G67" i="168" s="1"/>
  <c r="H67" i="168" s="1"/>
  <c r="J67" i="168"/>
  <c r="K67" i="168" s="1"/>
  <c r="AV3" i="165"/>
  <c r="AM13" i="168"/>
  <c r="AM34" i="168" s="1"/>
  <c r="AM52" i="168"/>
  <c r="AM71" i="168"/>
  <c r="AI15" i="168"/>
  <c r="S45" i="108"/>
  <c r="S47" i="108"/>
  <c r="AT33" i="52"/>
  <c r="D51" i="168"/>
  <c r="D26" i="109"/>
  <c r="D72" i="113"/>
  <c r="D50" i="168"/>
  <c r="CL6" i="108"/>
  <c r="D53" i="168"/>
  <c r="D72" i="168"/>
  <c r="D74" i="115"/>
  <c r="D18" i="168"/>
  <c r="D18" i="113"/>
  <c r="AT47" i="108"/>
  <c r="I56" i="113"/>
  <c r="I56" i="168"/>
  <c r="D3" i="168"/>
  <c r="D3" i="113"/>
  <c r="D56" i="113"/>
  <c r="D56" i="168"/>
  <c r="D24" i="107"/>
  <c r="D70" i="168"/>
  <c r="D54" i="168"/>
  <c r="AT52" i="108"/>
  <c r="D71" i="115"/>
  <c r="D15" i="168"/>
  <c r="D15" i="113"/>
  <c r="S43" i="108"/>
  <c r="D73" i="168"/>
  <c r="AF2" i="52"/>
  <c r="AF28" i="52" s="1"/>
  <c r="D75" i="113"/>
  <c r="D75" i="168"/>
  <c r="D31" i="115"/>
  <c r="D7" i="113"/>
  <c r="D44" i="113" s="1"/>
  <c r="C47" i="52"/>
  <c r="E5" i="115"/>
  <c r="E5" i="168" s="1"/>
  <c r="C39" i="52"/>
  <c r="E10" i="115"/>
  <c r="F10" i="115" s="1"/>
  <c r="I10" i="113"/>
  <c r="I66" i="113" s="1"/>
  <c r="E66" i="113" s="1"/>
  <c r="F66" i="113" s="1"/>
  <c r="G66" i="113" s="1"/>
  <c r="H66" i="113" s="1"/>
  <c r="D48" i="113"/>
  <c r="I61" i="115"/>
  <c r="E61" i="115" s="1"/>
  <c r="F61" i="115" s="1"/>
  <c r="G61" i="115" s="1"/>
  <c r="H61" i="115" s="1"/>
  <c r="D41" i="108"/>
  <c r="D39" i="108"/>
  <c r="AG18" i="52"/>
  <c r="AG50" i="52" s="1"/>
  <c r="CL25" i="52"/>
  <c r="I75" i="115" s="1"/>
  <c r="J75" i="115" s="1"/>
  <c r="K75" i="115" s="1"/>
  <c r="BI24" i="108"/>
  <c r="DB27" i="108"/>
  <c r="CL24" i="108"/>
  <c r="D35" i="115"/>
  <c r="D55" i="115"/>
  <c r="D37" i="115"/>
  <c r="D26" i="107"/>
  <c r="D50" i="113"/>
  <c r="D32" i="115"/>
  <c r="D36" i="115"/>
  <c r="D69" i="113"/>
  <c r="D33" i="115"/>
  <c r="D24" i="109"/>
  <c r="D25" i="109"/>
  <c r="D21" i="107"/>
  <c r="J41" i="113"/>
  <c r="K41" i="113" s="1"/>
  <c r="F22" i="109"/>
  <c r="G5" i="109"/>
  <c r="AF47" i="108"/>
  <c r="BI18" i="108"/>
  <c r="CL18" i="108"/>
  <c r="AF54" i="108"/>
  <c r="AT33" i="108"/>
  <c r="I16" i="115"/>
  <c r="CL21" i="52"/>
  <c r="BI21" i="52"/>
  <c r="F23" i="109"/>
  <c r="G6" i="109"/>
  <c r="AF33" i="52"/>
  <c r="CL21" i="108"/>
  <c r="AF52" i="108"/>
  <c r="AF2" i="108"/>
  <c r="AF28" i="108" s="1"/>
  <c r="D40" i="115"/>
  <c r="D22" i="115"/>
  <c r="D23" i="115"/>
  <c r="BI24" i="52"/>
  <c r="CL24" i="52"/>
  <c r="D59" i="115"/>
  <c r="G4" i="115"/>
  <c r="I3" i="109"/>
  <c r="CL4" i="108"/>
  <c r="AU3" i="108"/>
  <c r="AU34" i="108" s="1"/>
  <c r="AG18" i="108"/>
  <c r="AG47" i="108" s="1"/>
  <c r="I17" i="115"/>
  <c r="CL22" i="52"/>
  <c r="BI22" i="52"/>
  <c r="S31" i="108"/>
  <c r="S2" i="108"/>
  <c r="S25" i="108" s="1"/>
  <c r="AG3" i="108"/>
  <c r="AG34" i="108" s="1"/>
  <c r="CL23" i="108"/>
  <c r="I9" i="109"/>
  <c r="I7" i="109"/>
  <c r="BI17" i="108"/>
  <c r="CL17" i="108"/>
  <c r="AU18" i="108"/>
  <c r="AU51" i="108" s="1"/>
  <c r="I14" i="115"/>
  <c r="CL18" i="52"/>
  <c r="BI18" i="52"/>
  <c r="AT2" i="108"/>
  <c r="AF48" i="108"/>
  <c r="I8" i="109"/>
  <c r="CL19" i="108"/>
  <c r="BI22" i="108"/>
  <c r="CL22" i="108"/>
  <c r="I3" i="115"/>
  <c r="AU3" i="52"/>
  <c r="AU34" i="52" s="1"/>
  <c r="I3" i="107"/>
  <c r="CL4" i="52"/>
  <c r="I9" i="107"/>
  <c r="I7" i="107"/>
  <c r="I13" i="115"/>
  <c r="CL17" i="52"/>
  <c r="BI17" i="52"/>
  <c r="AU18" i="52"/>
  <c r="AU54" i="52" s="1"/>
  <c r="I17" i="109"/>
  <c r="E17" i="109" s="1"/>
  <c r="F17" i="109" s="1"/>
  <c r="G17" i="109" s="1"/>
  <c r="H17" i="109" s="1"/>
  <c r="D34" i="115"/>
  <c r="D52" i="115"/>
  <c r="AF49" i="108"/>
  <c r="I17" i="107"/>
  <c r="I18" i="115"/>
  <c r="BI23" i="52"/>
  <c r="CL23" i="52"/>
  <c r="I15" i="115"/>
  <c r="I8" i="107"/>
  <c r="CL19" i="52"/>
  <c r="BI19" i="52"/>
  <c r="J18" i="109"/>
  <c r="K18" i="109" s="1"/>
  <c r="Z22" i="115"/>
  <c r="AF35" i="115"/>
  <c r="AG16" i="115"/>
  <c r="P23" i="115"/>
  <c r="AF37" i="115"/>
  <c r="AG18" i="115"/>
  <c r="AE22" i="115"/>
  <c r="AF3" i="115"/>
  <c r="AF32" i="115"/>
  <c r="AG13" i="115"/>
  <c r="AF33" i="115"/>
  <c r="AF34" i="115"/>
  <c r="AG15" i="115"/>
  <c r="U23" i="115"/>
  <c r="AF4" i="115"/>
  <c r="AE23" i="115"/>
  <c r="N7" i="115"/>
  <c r="M41" i="113"/>
  <c r="J14" i="109"/>
  <c r="K14" i="109" s="1"/>
  <c r="AA62" i="113"/>
  <c r="AB62" i="113" s="1"/>
  <c r="J13" i="109"/>
  <c r="K13" i="109" s="1"/>
  <c r="T30" i="108"/>
  <c r="AG23" i="113"/>
  <c r="W12" i="115"/>
  <c r="AJ17" i="113"/>
  <c r="AI36" i="113"/>
  <c r="AK14" i="113"/>
  <c r="AK15" i="113"/>
  <c r="AI22" i="113"/>
  <c r="AI23" i="113"/>
  <c r="AJ3" i="113"/>
  <c r="AI34" i="113"/>
  <c r="AJ16" i="113"/>
  <c r="AI35" i="113"/>
  <c r="AI33" i="113"/>
  <c r="AJ18" i="113"/>
  <c r="AI37" i="113"/>
  <c r="AJ13" i="113"/>
  <c r="AI32" i="113"/>
  <c r="D27" i="109"/>
  <c r="J64" i="113"/>
  <c r="K64" i="113" s="1"/>
  <c r="CM23" i="108"/>
  <c r="BJ21" i="108"/>
  <c r="V42" i="115"/>
  <c r="M60" i="113"/>
  <c r="J60" i="113"/>
  <c r="K60" i="113" s="1"/>
  <c r="L18" i="113"/>
  <c r="L17" i="109"/>
  <c r="L31" i="109" s="1"/>
  <c r="BJ17" i="108"/>
  <c r="D34" i="109"/>
  <c r="D31" i="109"/>
  <c r="Y68" i="115"/>
  <c r="Z68" i="115" s="1"/>
  <c r="T48" i="108"/>
  <c r="T46" i="108"/>
  <c r="T47" i="108"/>
  <c r="T45" i="108"/>
  <c r="T44" i="108"/>
  <c r="E13" i="109"/>
  <c r="F13" i="109" s="1"/>
  <c r="Y18" i="107"/>
  <c r="Z18" i="107" s="1"/>
  <c r="AH66" i="113"/>
  <c r="AI66" i="113" s="1"/>
  <c r="AJ66" i="113" s="1"/>
  <c r="AK66" i="113" s="1"/>
  <c r="AL66" i="113" s="1"/>
  <c r="AU8" i="108"/>
  <c r="AU37" i="108" s="1"/>
  <c r="E43" i="115"/>
  <c r="F43" i="115" s="1"/>
  <c r="G43" i="115" s="1"/>
  <c r="H43" i="115" s="1"/>
  <c r="CO11" i="108"/>
  <c r="S27" i="113"/>
  <c r="CP12" i="108"/>
  <c r="I25" i="115"/>
  <c r="M15" i="109"/>
  <c r="D30" i="115"/>
  <c r="AC68" i="115"/>
  <c r="AB68" i="115" s="1"/>
  <c r="M65" i="113"/>
  <c r="D28" i="115"/>
  <c r="BM13" i="108"/>
  <c r="S28" i="113"/>
  <c r="AA68" i="113"/>
  <c r="Y68" i="113" s="1"/>
  <c r="Z68" i="113" s="1"/>
  <c r="Y66" i="115"/>
  <c r="Z66" i="115" s="1"/>
  <c r="D27" i="115"/>
  <c r="V68" i="113"/>
  <c r="T68" i="113" s="1"/>
  <c r="U68" i="113" s="1"/>
  <c r="S24" i="113"/>
  <c r="J67" i="113"/>
  <c r="K67" i="113" s="1"/>
  <c r="M39" i="108"/>
  <c r="M41" i="108"/>
  <c r="P2" i="108"/>
  <c r="J15" i="109"/>
  <c r="K15" i="109" s="1"/>
  <c r="D29" i="115"/>
  <c r="I66" i="115"/>
  <c r="E66" i="115" s="1"/>
  <c r="F66" i="115" s="1"/>
  <c r="G66" i="115" s="1"/>
  <c r="H66" i="115" s="1"/>
  <c r="BK8" i="108"/>
  <c r="BO11" i="108"/>
  <c r="D30" i="109"/>
  <c r="AA67" i="113"/>
  <c r="AB67" i="113" s="1"/>
  <c r="V62" i="113"/>
  <c r="T62" i="113" s="1"/>
  <c r="U62" i="113" s="1"/>
  <c r="D32" i="109"/>
  <c r="D29" i="109"/>
  <c r="AH62" i="113"/>
  <c r="J62" i="113"/>
  <c r="K62" i="113" s="1"/>
  <c r="E68" i="115"/>
  <c r="F68" i="115" s="1"/>
  <c r="G68" i="115" s="1"/>
  <c r="H68" i="115" s="1"/>
  <c r="D33" i="109"/>
  <c r="I28" i="115"/>
  <c r="M14" i="109"/>
  <c r="AT2" i="52"/>
  <c r="D19" i="115" s="1"/>
  <c r="I63" i="115"/>
  <c r="S30" i="113"/>
  <c r="V64" i="113"/>
  <c r="T64" i="113" s="1"/>
  <c r="U64" i="113" s="1"/>
  <c r="AH42" i="113"/>
  <c r="AD42" i="113" s="1"/>
  <c r="AE42" i="113" s="1"/>
  <c r="AF42" i="113" s="1"/>
  <c r="AG42" i="113" s="1"/>
  <c r="W15" i="107"/>
  <c r="W10" i="107"/>
  <c r="D28" i="107"/>
  <c r="I31" i="115"/>
  <c r="J65" i="113"/>
  <c r="K65" i="113" s="1"/>
  <c r="I24" i="115"/>
  <c r="V7" i="115"/>
  <c r="V31" i="115" s="1"/>
  <c r="L7" i="113"/>
  <c r="L30" i="113" s="1"/>
  <c r="AC7" i="113"/>
  <c r="AC31" i="113" s="1"/>
  <c r="W11" i="107"/>
  <c r="D24" i="115"/>
  <c r="BQ15" i="108"/>
  <c r="W67" i="115"/>
  <c r="BO13" i="108"/>
  <c r="M42" i="113"/>
  <c r="W68" i="115"/>
  <c r="W66" i="115"/>
  <c r="W14" i="107"/>
  <c r="M68" i="113"/>
  <c r="AA337" i="116"/>
  <c r="AA302" i="116"/>
  <c r="AA373" i="116"/>
  <c r="AA482" i="116"/>
  <c r="AA409" i="116"/>
  <c r="AA445" i="116"/>
  <c r="AE9" i="113"/>
  <c r="AO37" i="108"/>
  <c r="AO45" i="108"/>
  <c r="AB64" i="115"/>
  <c r="AE11" i="113"/>
  <c r="AE12" i="113"/>
  <c r="BK14" i="108"/>
  <c r="N47" i="113"/>
  <c r="BI15" i="108"/>
  <c r="I48" i="113"/>
  <c r="BI8" i="52"/>
  <c r="I42" i="115"/>
  <c r="BO15" i="52"/>
  <c r="X48" i="115"/>
  <c r="Y48" i="115" s="1"/>
  <c r="Z48" i="115" s="1"/>
  <c r="AH15" i="107"/>
  <c r="AD15" i="107" s="1"/>
  <c r="AE15" i="107" s="1"/>
  <c r="AF15" i="107" s="1"/>
  <c r="AG15" i="107" s="1"/>
  <c r="AH10" i="115"/>
  <c r="AD10" i="115" s="1"/>
  <c r="AA61" i="113"/>
  <c r="AB61" i="113" s="1"/>
  <c r="AH68" i="113"/>
  <c r="AI68" i="113" s="1"/>
  <c r="AJ68" i="113" s="1"/>
  <c r="AK68" i="113" s="1"/>
  <c r="AL68" i="113" s="1"/>
  <c r="Z9" i="113"/>
  <c r="AE6" i="113"/>
  <c r="BI13" i="52"/>
  <c r="I46" i="115"/>
  <c r="BQ11" i="108"/>
  <c r="AC45" i="113"/>
  <c r="A411" i="116"/>
  <c r="X33" i="107"/>
  <c r="Y33" i="107" s="1"/>
  <c r="AH10" i="107"/>
  <c r="AD10" i="107" s="1"/>
  <c r="AE10" i="107" s="1"/>
  <c r="AF10" i="107" s="1"/>
  <c r="AG10" i="107" s="1"/>
  <c r="AH5" i="115"/>
  <c r="AH42" i="115" s="1"/>
  <c r="W10" i="113"/>
  <c r="M61" i="113"/>
  <c r="E62" i="115"/>
  <c r="F62" i="115" s="1"/>
  <c r="G62" i="115" s="1"/>
  <c r="H62" i="115" s="1"/>
  <c r="BQ14" i="52"/>
  <c r="AC47" i="115"/>
  <c r="BI11" i="108"/>
  <c r="A484" i="116"/>
  <c r="N14" i="107"/>
  <c r="O14" i="107" s="1"/>
  <c r="P14" i="107" s="1"/>
  <c r="N9" i="115"/>
  <c r="O9" i="115" s="1"/>
  <c r="P9" i="115" s="1"/>
  <c r="AC43" i="115"/>
  <c r="AB43" i="115" s="1"/>
  <c r="BN10" i="52"/>
  <c r="L43" i="113"/>
  <c r="M43" i="113" s="1"/>
  <c r="AV38" i="108"/>
  <c r="AI10" i="113"/>
  <c r="AI5" i="113"/>
  <c r="BM11" i="108"/>
  <c r="S45" i="113"/>
  <c r="R45" i="113" s="1"/>
  <c r="BI16" i="108"/>
  <c r="I49" i="113"/>
  <c r="BO15" i="108"/>
  <c r="X48" i="113"/>
  <c r="AB8" i="115"/>
  <c r="AH64" i="113"/>
  <c r="AI8" i="113"/>
  <c r="AD8" i="113"/>
  <c r="AB9" i="115"/>
  <c r="Y67" i="115"/>
  <c r="Z67" i="115" s="1"/>
  <c r="F12" i="115"/>
  <c r="AM29" i="113"/>
  <c r="X7" i="113"/>
  <c r="X44" i="113" s="1"/>
  <c r="BL16" i="52"/>
  <c r="AB10" i="113"/>
  <c r="X64" i="115"/>
  <c r="Y64" i="115" s="1"/>
  <c r="Z64" i="115" s="1"/>
  <c r="Y8" i="115"/>
  <c r="N15" i="107"/>
  <c r="O15" i="107" s="1"/>
  <c r="P15" i="107" s="1"/>
  <c r="N10" i="115"/>
  <c r="W16" i="107"/>
  <c r="BK13" i="108"/>
  <c r="N46" i="113"/>
  <c r="BI13" i="108"/>
  <c r="I46" i="113"/>
  <c r="W9" i="115"/>
  <c r="W13" i="107"/>
  <c r="AM24" i="113"/>
  <c r="BJ11" i="108"/>
  <c r="L45" i="113"/>
  <c r="BI10" i="108"/>
  <c r="Z8" i="113"/>
  <c r="AH18" i="107"/>
  <c r="AD18" i="107" s="1"/>
  <c r="AE18" i="107" s="1"/>
  <c r="AF18" i="107" s="1"/>
  <c r="AG18" i="107" s="1"/>
  <c r="AH12" i="115"/>
  <c r="AD12" i="115" s="1"/>
  <c r="BS14" i="108"/>
  <c r="AM47" i="113"/>
  <c r="BK9" i="108"/>
  <c r="J68" i="113"/>
  <c r="K68" i="113" s="1"/>
  <c r="AE10" i="113"/>
  <c r="E65" i="113"/>
  <c r="F65" i="113" s="1"/>
  <c r="G65" i="113" s="1"/>
  <c r="H65" i="113" s="1"/>
  <c r="BO16" i="52"/>
  <c r="X49" i="115"/>
  <c r="Y49" i="115" s="1"/>
  <c r="Z49" i="115" s="1"/>
  <c r="BN11" i="52"/>
  <c r="V45" i="115"/>
  <c r="AH14" i="107"/>
  <c r="AD14" i="107" s="1"/>
  <c r="AE14" i="107" s="1"/>
  <c r="AF14" i="107" s="1"/>
  <c r="AG14" i="107" s="1"/>
  <c r="AH9" i="115"/>
  <c r="AH65" i="115" s="1"/>
  <c r="BM15" i="108"/>
  <c r="D33" i="107"/>
  <c r="BJ8" i="108"/>
  <c r="V66" i="113"/>
  <c r="W12" i="113"/>
  <c r="M18" i="109"/>
  <c r="AH61" i="113"/>
  <c r="AI61" i="113" s="1"/>
  <c r="AJ61" i="113" s="1"/>
  <c r="AK61" i="113" s="1"/>
  <c r="AL61" i="113" s="1"/>
  <c r="BM16" i="108"/>
  <c r="S49" i="113"/>
  <c r="X43" i="113"/>
  <c r="A340" i="116"/>
  <c r="V65" i="115"/>
  <c r="AI6" i="113"/>
  <c r="S63" i="113"/>
  <c r="T12" i="113"/>
  <c r="D44" i="115"/>
  <c r="D26" i="115"/>
  <c r="E7" i="115"/>
  <c r="D63" i="115"/>
  <c r="AM25" i="113"/>
  <c r="X7" i="115"/>
  <c r="X44" i="115" s="1"/>
  <c r="Y44" i="115" s="1"/>
  <c r="Z44" i="115" s="1"/>
  <c r="V62" i="115"/>
  <c r="W6" i="115"/>
  <c r="X62" i="115"/>
  <c r="Y62" i="115" s="1"/>
  <c r="Z62" i="115" s="1"/>
  <c r="Y6" i="115"/>
  <c r="Z11" i="113"/>
  <c r="BO14" i="52"/>
  <c r="X47" i="115"/>
  <c r="Y47" i="115" s="1"/>
  <c r="Z47" i="115" s="1"/>
  <c r="A375" i="116"/>
  <c r="A376" i="116" s="1"/>
  <c r="W8" i="115"/>
  <c r="AA38" i="115"/>
  <c r="U11" i="113"/>
  <c r="BL8" i="52"/>
  <c r="BS13" i="108"/>
  <c r="AM46" i="113"/>
  <c r="N10" i="107"/>
  <c r="O10" i="107" s="1"/>
  <c r="P10" i="107" s="1"/>
  <c r="N5" i="115"/>
  <c r="BM10" i="108"/>
  <c r="S44" i="113"/>
  <c r="Y5" i="113"/>
  <c r="BI14" i="52"/>
  <c r="I47" i="115"/>
  <c r="E47" i="115" s="1"/>
  <c r="F47" i="115" s="1"/>
  <c r="G47" i="115" s="1"/>
  <c r="H47" i="115" s="1"/>
  <c r="BQ8" i="108"/>
  <c r="N13" i="107"/>
  <c r="O13" i="107" s="1"/>
  <c r="P13" i="107" s="1"/>
  <c r="N8" i="115"/>
  <c r="N16" i="107"/>
  <c r="O16" i="107" s="1"/>
  <c r="P16" i="107" s="1"/>
  <c r="N11" i="115"/>
  <c r="I26" i="115"/>
  <c r="BL15" i="52"/>
  <c r="BQ11" i="52"/>
  <c r="AC45" i="115"/>
  <c r="AB45" i="115" s="1"/>
  <c r="BN15" i="52"/>
  <c r="V48" i="115"/>
  <c r="AH13" i="107"/>
  <c r="AD13" i="107" s="1"/>
  <c r="AE13" i="107" s="1"/>
  <c r="AF13" i="107" s="1"/>
  <c r="AG13" i="107" s="1"/>
  <c r="AH8" i="115"/>
  <c r="AD8" i="115" s="1"/>
  <c r="AB11" i="113"/>
  <c r="AA66" i="113"/>
  <c r="BJ16" i="108"/>
  <c r="L49" i="113"/>
  <c r="BK11" i="108"/>
  <c r="V67" i="113"/>
  <c r="T67" i="113" s="1"/>
  <c r="U67" i="113" s="1"/>
  <c r="W11" i="113"/>
  <c r="BQ16" i="108"/>
  <c r="AC49" i="113"/>
  <c r="BI14" i="108"/>
  <c r="F9" i="115"/>
  <c r="T10" i="113"/>
  <c r="AC65" i="115"/>
  <c r="F11" i="115"/>
  <c r="S31" i="113"/>
  <c r="W8" i="113"/>
  <c r="T8" i="113"/>
  <c r="M67" i="113"/>
  <c r="BQ16" i="52"/>
  <c r="AC49" i="115"/>
  <c r="BJ15" i="108"/>
  <c r="L48" i="113"/>
  <c r="AM44" i="113"/>
  <c r="AM26" i="113"/>
  <c r="AM63" i="113"/>
  <c r="AM28" i="113"/>
  <c r="AI12" i="113"/>
  <c r="BJ13" i="108"/>
  <c r="L46" i="113"/>
  <c r="BQ14" i="108"/>
  <c r="AC47" i="113"/>
  <c r="U9" i="113"/>
  <c r="BO13" i="52"/>
  <c r="X46" i="115"/>
  <c r="Y46" i="115" s="1"/>
  <c r="Z46" i="115" s="1"/>
  <c r="U5" i="113"/>
  <c r="BI15" i="52"/>
  <c r="I48" i="115"/>
  <c r="Y10" i="115"/>
  <c r="BM14" i="108"/>
  <c r="N31" i="109"/>
  <c r="V61" i="115"/>
  <c r="W5" i="115"/>
  <c r="N7" i="113"/>
  <c r="N11" i="107"/>
  <c r="O11" i="107" s="1"/>
  <c r="P11" i="107" s="1"/>
  <c r="N6" i="115"/>
  <c r="BI11" i="52"/>
  <c r="I45" i="115"/>
  <c r="BL14" i="52"/>
  <c r="BQ15" i="52"/>
  <c r="AC48" i="115"/>
  <c r="BN16" i="52"/>
  <c r="V49" i="115"/>
  <c r="AA65" i="113"/>
  <c r="AB65" i="113" s="1"/>
  <c r="V61" i="113"/>
  <c r="W5" i="113"/>
  <c r="BI8" i="108"/>
  <c r="BS15" i="108"/>
  <c r="AC7" i="115"/>
  <c r="AC24" i="115" s="1"/>
  <c r="AB6" i="113"/>
  <c r="Y6" i="113"/>
  <c r="E8" i="115"/>
  <c r="I27" i="115"/>
  <c r="AM27" i="113"/>
  <c r="I29" i="115"/>
  <c r="W6" i="113"/>
  <c r="T6" i="113"/>
  <c r="Y12" i="115"/>
  <c r="I30" i="115"/>
  <c r="BI16" i="52"/>
  <c r="I49" i="115"/>
  <c r="X43" i="115"/>
  <c r="Y43" i="115" s="1"/>
  <c r="Z43" i="115" s="1"/>
  <c r="BS16" i="108"/>
  <c r="AM49" i="113"/>
  <c r="BO16" i="108"/>
  <c r="X49" i="113"/>
  <c r="AB66" i="115"/>
  <c r="BQ8" i="52"/>
  <c r="AC42" i="115"/>
  <c r="X33" i="109"/>
  <c r="V64" i="115"/>
  <c r="BO8" i="52"/>
  <c r="X42" i="115"/>
  <c r="Y42" i="115" s="1"/>
  <c r="Z42" i="115" s="1"/>
  <c r="BN13" i="52"/>
  <c r="V46" i="115"/>
  <c r="AH16" i="107"/>
  <c r="AD16" i="107" s="1"/>
  <c r="AE16" i="107" s="1"/>
  <c r="AF16" i="107" s="1"/>
  <c r="AG16" i="107" s="1"/>
  <c r="AH11" i="115"/>
  <c r="AD11" i="115" s="1"/>
  <c r="AB12" i="113"/>
  <c r="BK15" i="108"/>
  <c r="N48" i="113"/>
  <c r="V65" i="113"/>
  <c r="W9" i="113"/>
  <c r="BS11" i="108"/>
  <c r="AM45" i="113"/>
  <c r="AH67" i="113"/>
  <c r="AD67" i="113" s="1"/>
  <c r="AE67" i="113" s="1"/>
  <c r="AF67" i="113" s="1"/>
  <c r="AG67" i="113" s="1"/>
  <c r="S26" i="113"/>
  <c r="S25" i="113"/>
  <c r="BO14" i="108"/>
  <c r="X47" i="113"/>
  <c r="E65" i="115"/>
  <c r="F65" i="115" s="1"/>
  <c r="G65" i="115" s="1"/>
  <c r="H65" i="115" s="1"/>
  <c r="E68" i="113"/>
  <c r="F68" i="113" s="1"/>
  <c r="G68" i="113" s="1"/>
  <c r="H68" i="113" s="1"/>
  <c r="Y9" i="115"/>
  <c r="AA64" i="113"/>
  <c r="AB64" i="113" s="1"/>
  <c r="AB8" i="113"/>
  <c r="E62" i="113"/>
  <c r="F62" i="113" s="1"/>
  <c r="G62" i="113" s="1"/>
  <c r="H62" i="113" s="1"/>
  <c r="AC62" i="115"/>
  <c r="AB62" i="115" s="1"/>
  <c r="W11" i="115"/>
  <c r="AD5" i="113"/>
  <c r="Y12" i="113"/>
  <c r="F6" i="115"/>
  <c r="A447" i="116"/>
  <c r="W10" i="115"/>
  <c r="AC61" i="115"/>
  <c r="AI9" i="113"/>
  <c r="N18" i="107"/>
  <c r="O18" i="107" s="1"/>
  <c r="P18" i="107" s="1"/>
  <c r="N12" i="115"/>
  <c r="O12" i="115" s="1"/>
  <c r="P12" i="115" s="1"/>
  <c r="AI11" i="113"/>
  <c r="X45" i="115"/>
  <c r="Y45" i="115" s="1"/>
  <c r="Z45" i="115" s="1"/>
  <c r="D30" i="113"/>
  <c r="D29" i="113"/>
  <c r="D24" i="113"/>
  <c r="BL13" i="52"/>
  <c r="V43" i="115"/>
  <c r="AH11" i="107"/>
  <c r="AD11" i="107" s="1"/>
  <c r="AE11" i="107" s="1"/>
  <c r="AF11" i="107" s="1"/>
  <c r="AG11" i="107" s="1"/>
  <c r="AH6" i="115"/>
  <c r="AD6" i="115" s="1"/>
  <c r="BI10" i="52"/>
  <c r="I44" i="115"/>
  <c r="BQ13" i="52"/>
  <c r="AC46" i="115"/>
  <c r="AB46" i="115" s="1"/>
  <c r="BO10" i="52"/>
  <c r="BN14" i="52"/>
  <c r="V47" i="115"/>
  <c r="AB9" i="113"/>
  <c r="BJ14" i="108"/>
  <c r="L47" i="113"/>
  <c r="BK16" i="108"/>
  <c r="N49" i="113"/>
  <c r="CU10" i="108"/>
  <c r="AH65" i="113"/>
  <c r="AI65" i="113" s="1"/>
  <c r="AJ65" i="113" s="1"/>
  <c r="AK65" i="113" s="1"/>
  <c r="AL65" i="113" s="1"/>
  <c r="BQ13" i="108"/>
  <c r="AC46" i="113"/>
  <c r="AB11" i="115"/>
  <c r="AC67" i="115"/>
  <c r="AM31" i="113"/>
  <c r="Y11" i="115"/>
  <c r="AB10" i="115"/>
  <c r="M64" i="113"/>
  <c r="X61" i="115"/>
  <c r="Y61" i="115" s="1"/>
  <c r="Z61" i="115" s="1"/>
  <c r="Y5" i="115"/>
  <c r="Y10" i="113"/>
  <c r="M66" i="113"/>
  <c r="I64" i="115"/>
  <c r="E64" i="115" s="1"/>
  <c r="F64" i="115" s="1"/>
  <c r="G64" i="115" s="1"/>
  <c r="H64" i="115" s="1"/>
  <c r="X65" i="115"/>
  <c r="Y65" i="115" s="1"/>
  <c r="Z65" i="115" s="1"/>
  <c r="D25" i="115"/>
  <c r="BC44" i="108"/>
  <c r="AT54" i="108"/>
  <c r="AT48" i="108"/>
  <c r="AT49" i="108"/>
  <c r="AM37" i="108"/>
  <c r="AM2" i="108"/>
  <c r="AM28" i="108" s="1"/>
  <c r="AM40" i="108"/>
  <c r="AM43" i="108"/>
  <c r="AM42" i="108"/>
  <c r="AM44" i="108"/>
  <c r="AM45" i="108"/>
  <c r="AM38" i="108"/>
  <c r="AM39" i="108"/>
  <c r="AH40" i="108"/>
  <c r="AH42" i="108"/>
  <c r="AH37" i="108"/>
  <c r="AH44" i="108"/>
  <c r="AH43" i="108"/>
  <c r="AH45" i="108"/>
  <c r="AH38" i="108"/>
  <c r="AH39" i="108"/>
  <c r="AG45" i="108"/>
  <c r="AG43" i="108"/>
  <c r="AG40" i="108"/>
  <c r="AG38" i="108"/>
  <c r="AG39" i="108"/>
  <c r="AG37" i="108"/>
  <c r="AG44" i="108"/>
  <c r="AG42" i="108"/>
  <c r="V11" i="109"/>
  <c r="CQ9" i="108"/>
  <c r="CU9" i="108"/>
  <c r="AH11" i="109"/>
  <c r="AA13" i="109"/>
  <c r="Y13" i="109" s="1"/>
  <c r="Z13" i="109" s="1"/>
  <c r="CS11" i="108"/>
  <c r="AI40" i="108"/>
  <c r="AI2" i="108"/>
  <c r="AI28" i="108" s="1"/>
  <c r="AI44" i="108"/>
  <c r="AI43" i="108"/>
  <c r="T2" i="108"/>
  <c r="T25" i="108" s="1"/>
  <c r="T38" i="108"/>
  <c r="T41" i="108"/>
  <c r="T37" i="108"/>
  <c r="T36" i="108"/>
  <c r="T39" i="108"/>
  <c r="T35" i="108"/>
  <c r="T40" i="108"/>
  <c r="BJ12" i="108"/>
  <c r="CM12" i="108"/>
  <c r="BY29" i="108"/>
  <c r="D29" i="107"/>
  <c r="D32" i="107"/>
  <c r="AH16" i="109"/>
  <c r="AD16" i="109" s="1"/>
  <c r="AE16" i="109" s="1"/>
  <c r="AF16" i="109" s="1"/>
  <c r="AG16" i="109" s="1"/>
  <c r="CU15" i="108"/>
  <c r="AO41" i="108"/>
  <c r="CQ10" i="108"/>
  <c r="N28" i="109"/>
  <c r="AI39" i="108"/>
  <c r="CO15" i="108"/>
  <c r="Q16" i="109"/>
  <c r="R16" i="109" s="1"/>
  <c r="F16" i="109"/>
  <c r="D30" i="107"/>
  <c r="AA49" i="113"/>
  <c r="AA46" i="113"/>
  <c r="Y46" i="113" s="1"/>
  <c r="Z46" i="113" s="1"/>
  <c r="AA12" i="109"/>
  <c r="AA47" i="113"/>
  <c r="V49" i="113"/>
  <c r="V47" i="113"/>
  <c r="T47" i="113" s="1"/>
  <c r="U47" i="113" s="1"/>
  <c r="V45" i="113"/>
  <c r="AL37" i="108"/>
  <c r="V46" i="113"/>
  <c r="BN10" i="108"/>
  <c r="V42" i="113"/>
  <c r="T42" i="113" s="1"/>
  <c r="U42" i="113" s="1"/>
  <c r="J11" i="109"/>
  <c r="K11" i="109" s="1"/>
  <c r="M11" i="109"/>
  <c r="AA10" i="109"/>
  <c r="Y10" i="109" s="1"/>
  <c r="Z10" i="109" s="1"/>
  <c r="CS8" i="108"/>
  <c r="AG41" i="108"/>
  <c r="V35" i="108"/>
  <c r="V2" i="108"/>
  <c r="V25" i="108" s="1"/>
  <c r="V40" i="108"/>
  <c r="V39" i="108"/>
  <c r="V41" i="108"/>
  <c r="V37" i="108"/>
  <c r="V38" i="108"/>
  <c r="V36" i="108"/>
  <c r="M12" i="109"/>
  <c r="CN12" i="108"/>
  <c r="BK12" i="108"/>
  <c r="CU16" i="108"/>
  <c r="AH18" i="109"/>
  <c r="AD18" i="109" s="1"/>
  <c r="AE18" i="109" s="1"/>
  <c r="AF18" i="109" s="1"/>
  <c r="AG18" i="109" s="1"/>
  <c r="BI12" i="108"/>
  <c r="CL12" i="108"/>
  <c r="I12" i="109"/>
  <c r="AM41" i="108"/>
  <c r="AK41" i="108"/>
  <c r="BY26" i="108"/>
  <c r="CQ13" i="108"/>
  <c r="V14" i="109"/>
  <c r="V10" i="109"/>
  <c r="T10" i="109" s="1"/>
  <c r="U10" i="109" s="1"/>
  <c r="CQ8" i="108"/>
  <c r="AH14" i="109"/>
  <c r="CU13" i="108"/>
  <c r="AO38" i="108"/>
  <c r="AO2" i="108"/>
  <c r="AO28" i="108" s="1"/>
  <c r="AO40" i="108"/>
  <c r="AO42" i="108"/>
  <c r="AO44" i="108"/>
  <c r="AO39" i="108"/>
  <c r="AO43" i="108"/>
  <c r="D27" i="107"/>
  <c r="M47" i="108"/>
  <c r="AA41" i="108"/>
  <c r="AA2" i="108"/>
  <c r="AA25" i="108" s="1"/>
  <c r="AA38" i="108"/>
  <c r="AA40" i="108"/>
  <c r="AA39" i="108"/>
  <c r="AA35" i="108"/>
  <c r="AA37" i="108"/>
  <c r="AA36" i="108"/>
  <c r="Q10" i="109"/>
  <c r="R10" i="109" s="1"/>
  <c r="CO8" i="108"/>
  <c r="AA18" i="109"/>
  <c r="Y18" i="109" s="1"/>
  <c r="Z18" i="109" s="1"/>
  <c r="CS16" i="108"/>
  <c r="N29" i="109"/>
  <c r="X27" i="109"/>
  <c r="X34" i="109"/>
  <c r="Q14" i="109"/>
  <c r="CO13" i="108"/>
  <c r="Y35" i="108"/>
  <c r="Y2" i="108"/>
  <c r="Y25" i="108" s="1"/>
  <c r="Y40" i="108"/>
  <c r="Y41" i="108"/>
  <c r="Y36" i="108"/>
  <c r="Y38" i="108"/>
  <c r="Y37" i="108"/>
  <c r="Y39" i="108"/>
  <c r="J16" i="109"/>
  <c r="K16" i="109" s="1"/>
  <c r="M16" i="109"/>
  <c r="L33" i="109"/>
  <c r="BS9" i="108"/>
  <c r="Y34" i="108"/>
  <c r="V15" i="109"/>
  <c r="T15" i="109" s="1"/>
  <c r="U15" i="109" s="1"/>
  <c r="CQ14" i="108"/>
  <c r="N35" i="109"/>
  <c r="BM12" i="108"/>
  <c r="S12" i="109"/>
  <c r="F15" i="109"/>
  <c r="CS10" i="108"/>
  <c r="DI27" i="108"/>
  <c r="AI42" i="108"/>
  <c r="CA29" i="108"/>
  <c r="CR12" i="108"/>
  <c r="BO12" i="108"/>
  <c r="V16" i="109"/>
  <c r="T16" i="109" s="1"/>
  <c r="U16" i="109" s="1"/>
  <c r="CQ15" i="108"/>
  <c r="DE27" i="108"/>
  <c r="X28" i="109"/>
  <c r="BM9" i="108"/>
  <c r="CS9" i="108"/>
  <c r="AA11" i="109"/>
  <c r="CS15" i="108"/>
  <c r="X30" i="109"/>
  <c r="DG27" i="108"/>
  <c r="AY41" i="108"/>
  <c r="D34" i="107"/>
  <c r="X32" i="109"/>
  <c r="CO10" i="108"/>
  <c r="D35" i="107"/>
  <c r="V13" i="109"/>
  <c r="CQ11" i="108"/>
  <c r="AH10" i="109"/>
  <c r="AD10" i="109" s="1"/>
  <c r="AE10" i="109" s="1"/>
  <c r="AF10" i="109" s="1"/>
  <c r="AG10" i="109" s="1"/>
  <c r="CU8" i="108"/>
  <c r="CS13" i="108"/>
  <c r="AA14" i="109"/>
  <c r="Y14" i="109" s="1"/>
  <c r="Z14" i="109" s="1"/>
  <c r="BC43" i="108"/>
  <c r="BC2" i="108"/>
  <c r="BC28" i="108" s="1"/>
  <c r="BC40" i="108"/>
  <c r="BC42" i="108"/>
  <c r="X31" i="109"/>
  <c r="Q18" i="109"/>
  <c r="R18" i="109" s="1"/>
  <c r="CO16" i="108"/>
  <c r="AH49" i="113"/>
  <c r="AH45" i="113"/>
  <c r="X29" i="109"/>
  <c r="G47" i="108"/>
  <c r="G39" i="108"/>
  <c r="G41" i="108"/>
  <c r="O2" i="108"/>
  <c r="BS8" i="108"/>
  <c r="W35" i="108"/>
  <c r="W2" i="108"/>
  <c r="W25" i="108" s="1"/>
  <c r="W39" i="108"/>
  <c r="W37" i="108"/>
  <c r="W40" i="108"/>
  <c r="W41" i="108"/>
  <c r="W36" i="108"/>
  <c r="W38" i="108"/>
  <c r="AI38" i="108"/>
  <c r="BQ12" i="108"/>
  <c r="CT12" i="108"/>
  <c r="BC41" i="108"/>
  <c r="AC12" i="109"/>
  <c r="AC34" i="109" s="1"/>
  <c r="F10" i="109"/>
  <c r="AH41" i="108"/>
  <c r="N32" i="109"/>
  <c r="Z2" i="108"/>
  <c r="Z25" i="108" s="1"/>
  <c r="Z40" i="108"/>
  <c r="Z39" i="108"/>
  <c r="Z37" i="108"/>
  <c r="Z36" i="108"/>
  <c r="Z38" i="108"/>
  <c r="Z35" i="108"/>
  <c r="Z41" i="108"/>
  <c r="BE40" i="108"/>
  <c r="BE2" i="108"/>
  <c r="BE42" i="108"/>
  <c r="BE45" i="108"/>
  <c r="BE43" i="108"/>
  <c r="AI41" i="108"/>
  <c r="CE29" i="108"/>
  <c r="CE26" i="108"/>
  <c r="BI9" i="108"/>
  <c r="AA42" i="113"/>
  <c r="BL9" i="108"/>
  <c r="AJ42" i="108"/>
  <c r="CO12" i="108"/>
  <c r="F18" i="109"/>
  <c r="AA16" i="109"/>
  <c r="N30" i="109"/>
  <c r="BE41" i="108"/>
  <c r="CV12" i="108"/>
  <c r="BS12" i="108"/>
  <c r="AM12" i="109"/>
  <c r="AM34" i="109" s="1"/>
  <c r="AH13" i="109"/>
  <c r="CU11" i="108"/>
  <c r="BQ9" i="108"/>
  <c r="AI45" i="108"/>
  <c r="X36" i="108"/>
  <c r="X2" i="108"/>
  <c r="X25" i="108" s="1"/>
  <c r="X39" i="108"/>
  <c r="X40" i="108"/>
  <c r="X41" i="108"/>
  <c r="X37" i="108"/>
  <c r="X35" i="108"/>
  <c r="X38" i="108"/>
  <c r="CC26" i="108"/>
  <c r="AA15" i="109"/>
  <c r="Y15" i="109" s="1"/>
  <c r="Z15" i="109" s="1"/>
  <c r="CS14" i="108"/>
  <c r="G11" i="109"/>
  <c r="N33" i="109"/>
  <c r="BW29" i="108"/>
  <c r="BW26" i="108"/>
  <c r="Q15" i="109"/>
  <c r="CO14" i="108"/>
  <c r="F14" i="109"/>
  <c r="N27" i="109"/>
  <c r="N34" i="109"/>
  <c r="V18" i="109"/>
  <c r="CQ16" i="108"/>
  <c r="J10" i="109"/>
  <c r="K10" i="109" s="1"/>
  <c r="M10" i="109"/>
  <c r="BJ9" i="108"/>
  <c r="CU14" i="108"/>
  <c r="AH15" i="109"/>
  <c r="X35" i="109"/>
  <c r="Q11" i="109"/>
  <c r="CO9" i="108"/>
  <c r="CC29" i="108"/>
  <c r="CA26" i="108"/>
  <c r="F10" i="107"/>
  <c r="G15" i="107"/>
  <c r="F14" i="107"/>
  <c r="F18" i="107"/>
  <c r="G16" i="107"/>
  <c r="F11" i="107"/>
  <c r="H6" i="107"/>
  <c r="G23" i="107"/>
  <c r="G22" i="107"/>
  <c r="G13" i="107"/>
  <c r="AF25" i="107"/>
  <c r="AG25" i="107" s="1"/>
  <c r="AF24" i="107"/>
  <c r="U20" i="107"/>
  <c r="AF22" i="107"/>
  <c r="AE21" i="107"/>
  <c r="Z21" i="107"/>
  <c r="AE20" i="107"/>
  <c r="U21" i="107"/>
  <c r="AK22" i="107"/>
  <c r="AK23" i="107"/>
  <c r="Z20" i="107"/>
  <c r="AF26" i="107"/>
  <c r="AF23" i="107"/>
  <c r="X27" i="107"/>
  <c r="X32" i="107"/>
  <c r="N12" i="107"/>
  <c r="AC29" i="107"/>
  <c r="AC33" i="107"/>
  <c r="AC30" i="107"/>
  <c r="AC32" i="107"/>
  <c r="AC28" i="107"/>
  <c r="AC27" i="107"/>
  <c r="AC31" i="107"/>
  <c r="AC35" i="107"/>
  <c r="AC34" i="107"/>
  <c r="AB12" i="107"/>
  <c r="AX8" i="52"/>
  <c r="AX2" i="52" s="1"/>
  <c r="Q12" i="107"/>
  <c r="Q35" i="107" s="1"/>
  <c r="Y12" i="107"/>
  <c r="Z12" i="107" s="1"/>
  <c r="X29" i="107"/>
  <c r="X31" i="107"/>
  <c r="V12" i="107"/>
  <c r="X34" i="107"/>
  <c r="X35" i="107"/>
  <c r="X28" i="107"/>
  <c r="X30" i="107"/>
  <c r="AA19" i="107"/>
  <c r="DD27" i="52"/>
  <c r="AJ37" i="52"/>
  <c r="AJ44" i="52"/>
  <c r="AJ42" i="52"/>
  <c r="AJ38" i="52"/>
  <c r="AJ40" i="52"/>
  <c r="AL38" i="52"/>
  <c r="AL2" i="52"/>
  <c r="AL28" i="52" s="1"/>
  <c r="AL42" i="52"/>
  <c r="AL43" i="52"/>
  <c r="AL40" i="52"/>
  <c r="AL37" i="52"/>
  <c r="AL39" i="52"/>
  <c r="AL44" i="52"/>
  <c r="AL45" i="52"/>
  <c r="AZ40" i="52"/>
  <c r="AZ2" i="52"/>
  <c r="AZ28" i="52" s="1"/>
  <c r="AZ45" i="52"/>
  <c r="AZ43" i="52"/>
  <c r="BA38" i="52"/>
  <c r="AZ42" i="52"/>
  <c r="AZ44" i="52"/>
  <c r="BA39" i="52"/>
  <c r="BA37" i="52"/>
  <c r="CN16" i="52"/>
  <c r="BK16" i="52"/>
  <c r="CU11" i="52"/>
  <c r="CL12" i="52"/>
  <c r="BI12" i="52"/>
  <c r="I12" i="107"/>
  <c r="E12" i="107" s="1"/>
  <c r="BK14" i="52"/>
  <c r="CN14" i="52"/>
  <c r="CU9" i="52"/>
  <c r="CU16" i="52"/>
  <c r="CN10" i="52"/>
  <c r="BK10" i="52"/>
  <c r="AI8" i="52"/>
  <c r="AI43" i="52" s="1"/>
  <c r="BQ9" i="52"/>
  <c r="AJ41" i="52"/>
  <c r="AU8" i="52"/>
  <c r="CE29" i="52"/>
  <c r="CE26" i="52"/>
  <c r="CU10" i="52"/>
  <c r="BK11" i="52"/>
  <c r="CN11" i="52"/>
  <c r="CN15" i="52"/>
  <c r="BK15" i="52"/>
  <c r="CB29" i="52"/>
  <c r="CB26" i="52"/>
  <c r="CQ12" i="52"/>
  <c r="BN12" i="52"/>
  <c r="AZ41" i="52"/>
  <c r="CT12" i="52"/>
  <c r="BQ12" i="52"/>
  <c r="CR12" i="52"/>
  <c r="BO12" i="52"/>
  <c r="BL9" i="52"/>
  <c r="AO8" i="52"/>
  <c r="AO41" i="52" s="1"/>
  <c r="BI9" i="52"/>
  <c r="BN8" i="52"/>
  <c r="AM8" i="52"/>
  <c r="AN57" i="52"/>
  <c r="CU14" i="52"/>
  <c r="BL12" i="52"/>
  <c r="CO12" i="52"/>
  <c r="CC26" i="52"/>
  <c r="CC29" i="52"/>
  <c r="BK12" i="52"/>
  <c r="CN12" i="52"/>
  <c r="CU13" i="52"/>
  <c r="BK13" i="52"/>
  <c r="CN13" i="52"/>
  <c r="BO9" i="52"/>
  <c r="CN9" i="52"/>
  <c r="BK9" i="52"/>
  <c r="BN9" i="52"/>
  <c r="AL41" i="52"/>
  <c r="BW26" i="52"/>
  <c r="BW29" i="52"/>
  <c r="AG8" i="52"/>
  <c r="AG41" i="52" s="1"/>
  <c r="BC8" i="52"/>
  <c r="DK27" i="52"/>
  <c r="BK8" i="52"/>
  <c r="CN8" i="52"/>
  <c r="AW8" i="52"/>
  <c r="AW43" i="52" s="1"/>
  <c r="CU15" i="52"/>
  <c r="CF16" i="52"/>
  <c r="CF13" i="52"/>
  <c r="CF14" i="52"/>
  <c r="CF15" i="52"/>
  <c r="CF10" i="52"/>
  <c r="CF11" i="52"/>
  <c r="CF12" i="52"/>
  <c r="BD13" i="52"/>
  <c r="BD8" i="52" s="1"/>
  <c r="AP13" i="52"/>
  <c r="CF9" i="52"/>
  <c r="BZ29" i="52"/>
  <c r="BZ26" i="52"/>
  <c r="BY29" i="52"/>
  <c r="BY26" i="52"/>
  <c r="AJ45" i="52"/>
  <c r="AJ2" i="52"/>
  <c r="AJ28" i="52" s="1"/>
  <c r="AJ39" i="52"/>
  <c r="BA8" i="52"/>
  <c r="CU8" i="52"/>
  <c r="BR8" i="52"/>
  <c r="AA446" i="116" a="1"/>
  <c r="AA410" i="116" a="1"/>
  <c r="AA339" i="116" a="1"/>
  <c r="AA374" i="116" a="1"/>
  <c r="AA483" i="116" a="1"/>
  <c r="AL56" i="168" l="1"/>
  <c r="AL63" i="168"/>
  <c r="D31" i="113"/>
  <c r="E44" i="113"/>
  <c r="F44" i="113" s="1"/>
  <c r="G44" i="113" s="1"/>
  <c r="H44" i="113" s="1"/>
  <c r="D28" i="113"/>
  <c r="I42" i="113"/>
  <c r="D26" i="113"/>
  <c r="E61" i="113"/>
  <c r="F61" i="113" s="1"/>
  <c r="G61" i="113" s="1"/>
  <c r="H61" i="113" s="1"/>
  <c r="E46" i="113"/>
  <c r="F46" i="113" s="1"/>
  <c r="G46" i="113" s="1"/>
  <c r="H46" i="113" s="1"/>
  <c r="D63" i="113"/>
  <c r="E63" i="113" s="1"/>
  <c r="F63" i="113" s="1"/>
  <c r="G63" i="113" s="1"/>
  <c r="H63" i="113" s="1"/>
  <c r="D27" i="113"/>
  <c r="R61" i="113"/>
  <c r="D25" i="113"/>
  <c r="AK75" i="168"/>
  <c r="Q34" i="107"/>
  <c r="AG37" i="115"/>
  <c r="AG53" i="52"/>
  <c r="T49" i="113"/>
  <c r="U49" i="113" s="1"/>
  <c r="I45" i="113"/>
  <c r="Q28" i="107"/>
  <c r="I63" i="113"/>
  <c r="Q27" i="107"/>
  <c r="Q31" i="107"/>
  <c r="N42" i="115"/>
  <c r="O42" i="115" s="1"/>
  <c r="P42" i="115" s="1"/>
  <c r="O5" i="115"/>
  <c r="P5" i="115" s="1"/>
  <c r="N67" i="115"/>
  <c r="O67" i="115" s="1"/>
  <c r="P67" i="115" s="1"/>
  <c r="O11" i="115"/>
  <c r="P11" i="115" s="1"/>
  <c r="Q29" i="107"/>
  <c r="O12" i="107"/>
  <c r="P12" i="107" s="1"/>
  <c r="N45" i="115"/>
  <c r="O45" i="115" s="1"/>
  <c r="P45" i="115" s="1"/>
  <c r="O8" i="115"/>
  <c r="P8" i="115" s="1"/>
  <c r="N43" i="115"/>
  <c r="O43" i="115" s="1"/>
  <c r="P43" i="115" s="1"/>
  <c r="O6" i="115"/>
  <c r="P6" i="115" s="1"/>
  <c r="Q19" i="107"/>
  <c r="N66" i="115"/>
  <c r="O66" i="115" s="1"/>
  <c r="P66" i="115" s="1"/>
  <c r="O10" i="115"/>
  <c r="P10" i="115" s="1"/>
  <c r="I31" i="113"/>
  <c r="I28" i="168"/>
  <c r="Q38" i="115"/>
  <c r="Q33" i="107"/>
  <c r="I29" i="113"/>
  <c r="I25" i="168"/>
  <c r="Q32" i="107"/>
  <c r="I28" i="113"/>
  <c r="N63" i="115"/>
  <c r="O63" i="115" s="1"/>
  <c r="P63" i="115" s="1"/>
  <c r="O7" i="115"/>
  <c r="P7" i="115" s="1"/>
  <c r="I29" i="168"/>
  <c r="I26" i="113"/>
  <c r="Q30" i="107"/>
  <c r="T45" i="113"/>
  <c r="U45" i="113" s="1"/>
  <c r="R49" i="113"/>
  <c r="R65" i="113"/>
  <c r="R67" i="113"/>
  <c r="R68" i="113"/>
  <c r="R43" i="113"/>
  <c r="O48" i="113"/>
  <c r="P48" i="113" s="1"/>
  <c r="O46" i="113"/>
  <c r="P46" i="113" s="1"/>
  <c r="O47" i="113"/>
  <c r="P47" i="113" s="1"/>
  <c r="O49" i="113"/>
  <c r="P49" i="113" s="1"/>
  <c r="R62" i="113"/>
  <c r="R47" i="113"/>
  <c r="R66" i="113"/>
  <c r="R42" i="113"/>
  <c r="O14" i="109"/>
  <c r="P14" i="109" s="1"/>
  <c r="R48" i="113"/>
  <c r="O11" i="109"/>
  <c r="P11" i="109" s="1"/>
  <c r="O15" i="109"/>
  <c r="P15" i="109" s="1"/>
  <c r="O18" i="109"/>
  <c r="P18" i="109" s="1"/>
  <c r="O10" i="109"/>
  <c r="P10" i="109" s="1"/>
  <c r="R11" i="109"/>
  <c r="O16" i="109"/>
  <c r="P16" i="109" s="1"/>
  <c r="R46" i="113"/>
  <c r="R15" i="109"/>
  <c r="R14" i="109"/>
  <c r="S33" i="109"/>
  <c r="W66" i="113"/>
  <c r="T66" i="113"/>
  <c r="U66" i="113" s="1"/>
  <c r="W65" i="113"/>
  <c r="T65" i="113"/>
  <c r="U65" i="113" s="1"/>
  <c r="W61" i="113"/>
  <c r="T61" i="113"/>
  <c r="U61" i="113" s="1"/>
  <c r="W46" i="113"/>
  <c r="T46" i="113"/>
  <c r="U46" i="113" s="1"/>
  <c r="AK53" i="168"/>
  <c r="AK72" i="168"/>
  <c r="AK74" i="168"/>
  <c r="AK51" i="168"/>
  <c r="AK70" i="168"/>
  <c r="AJ55" i="168"/>
  <c r="AK73" i="168"/>
  <c r="AK54" i="168"/>
  <c r="BE28" i="108"/>
  <c r="BF2" i="108"/>
  <c r="AJ22" i="168"/>
  <c r="AK3" i="168"/>
  <c r="AJ23" i="168"/>
  <c r="E44" i="168"/>
  <c r="F44" i="168" s="1"/>
  <c r="G44" i="168" s="1"/>
  <c r="H44" i="168" s="1"/>
  <c r="J44" i="168"/>
  <c r="K44" i="168" s="1"/>
  <c r="F6" i="113"/>
  <c r="F6" i="168"/>
  <c r="I30" i="168"/>
  <c r="E66" i="168"/>
  <c r="F66" i="168" s="1"/>
  <c r="G66" i="168" s="1"/>
  <c r="H66" i="168" s="1"/>
  <c r="J66" i="168"/>
  <c r="K66" i="168" s="1"/>
  <c r="I42" i="168"/>
  <c r="F9" i="113"/>
  <c r="F9" i="168"/>
  <c r="I31" i="168"/>
  <c r="F11" i="113"/>
  <c r="F11" i="168"/>
  <c r="F10" i="113"/>
  <c r="F10" i="168"/>
  <c r="E7" i="113"/>
  <c r="E7" i="168"/>
  <c r="E45" i="168"/>
  <c r="F45" i="168" s="1"/>
  <c r="G45" i="168" s="1"/>
  <c r="H45" i="168" s="1"/>
  <c r="J45" i="168"/>
  <c r="K45" i="168" s="1"/>
  <c r="I61" i="168"/>
  <c r="I24" i="168"/>
  <c r="I27" i="168"/>
  <c r="I64" i="168"/>
  <c r="E8" i="113"/>
  <c r="E8" i="168"/>
  <c r="J43" i="168"/>
  <c r="K43" i="168" s="1"/>
  <c r="E43" i="168"/>
  <c r="F43" i="168" s="1"/>
  <c r="G43" i="168" s="1"/>
  <c r="H43" i="168" s="1"/>
  <c r="F12" i="113"/>
  <c r="F12" i="168"/>
  <c r="E10" i="113"/>
  <c r="E10" i="168"/>
  <c r="I26" i="168"/>
  <c r="I63" i="168"/>
  <c r="AJ15" i="168"/>
  <c r="AI71" i="168"/>
  <c r="AI52" i="168"/>
  <c r="AI13" i="168"/>
  <c r="AM69" i="168"/>
  <c r="AM32" i="168"/>
  <c r="AM50" i="168"/>
  <c r="AI50" i="168" s="1"/>
  <c r="AM19" i="168"/>
  <c r="AM36" i="168"/>
  <c r="AM37" i="168"/>
  <c r="AM35" i="168"/>
  <c r="AM33" i="168"/>
  <c r="D32" i="113"/>
  <c r="AG49" i="108"/>
  <c r="L35" i="109"/>
  <c r="M35" i="109" s="1"/>
  <c r="D74" i="113"/>
  <c r="D55" i="113"/>
  <c r="D36" i="113"/>
  <c r="D33" i="113"/>
  <c r="D37" i="113"/>
  <c r="D34" i="113"/>
  <c r="E56" i="113"/>
  <c r="F56" i="113" s="1"/>
  <c r="G56" i="113" s="1"/>
  <c r="H56" i="113" s="1"/>
  <c r="D34" i="168"/>
  <c r="D52" i="168"/>
  <c r="D71" i="168"/>
  <c r="D19" i="113"/>
  <c r="D19" i="168"/>
  <c r="D52" i="113"/>
  <c r="D71" i="113"/>
  <c r="D35" i="113"/>
  <c r="I3" i="168"/>
  <c r="I3" i="113"/>
  <c r="I59" i="113" s="1"/>
  <c r="D22" i="168"/>
  <c r="D23" i="168"/>
  <c r="D40" i="168"/>
  <c r="D59" i="168"/>
  <c r="E15" i="115"/>
  <c r="I15" i="168"/>
  <c r="I15" i="113"/>
  <c r="I71" i="113" s="1"/>
  <c r="E71" i="113" s="1"/>
  <c r="F71" i="113" s="1"/>
  <c r="G71" i="113" s="1"/>
  <c r="H71" i="113" s="1"/>
  <c r="D36" i="168"/>
  <c r="AX28" i="52"/>
  <c r="I13" i="168"/>
  <c r="I13" i="113"/>
  <c r="I69" i="113" s="1"/>
  <c r="E69" i="113" s="1"/>
  <c r="F69" i="113" s="1"/>
  <c r="G69" i="113" s="1"/>
  <c r="H69" i="113" s="1"/>
  <c r="D32" i="168"/>
  <c r="D59" i="113"/>
  <c r="D40" i="113"/>
  <c r="I70" i="115"/>
  <c r="J70" i="115" s="1"/>
  <c r="K70" i="115" s="1"/>
  <c r="I14" i="168"/>
  <c r="I14" i="113"/>
  <c r="I70" i="113" s="1"/>
  <c r="E70" i="113" s="1"/>
  <c r="F70" i="113" s="1"/>
  <c r="G70" i="113" s="1"/>
  <c r="H70" i="113" s="1"/>
  <c r="E3" i="115"/>
  <c r="I16" i="168"/>
  <c r="I16" i="113"/>
  <c r="I72" i="113" s="1"/>
  <c r="E72" i="113" s="1"/>
  <c r="F72" i="113" s="1"/>
  <c r="G72" i="113" s="1"/>
  <c r="H72" i="113" s="1"/>
  <c r="I18" i="168"/>
  <c r="I18" i="113"/>
  <c r="I74" i="113" s="1"/>
  <c r="D23" i="113"/>
  <c r="I75" i="113"/>
  <c r="E75" i="113" s="1"/>
  <c r="F75" i="113" s="1"/>
  <c r="G75" i="113" s="1"/>
  <c r="H75" i="113" s="1"/>
  <c r="I75" i="168"/>
  <c r="E75" i="168" s="1"/>
  <c r="F75" i="168" s="1"/>
  <c r="G75" i="168" s="1"/>
  <c r="H75" i="168" s="1"/>
  <c r="D22" i="113"/>
  <c r="E56" i="168"/>
  <c r="F56" i="168" s="1"/>
  <c r="G56" i="168" s="1"/>
  <c r="H56" i="168" s="1"/>
  <c r="D74" i="168"/>
  <c r="D55" i="168"/>
  <c r="D37" i="168"/>
  <c r="D33" i="168"/>
  <c r="I73" i="115"/>
  <c r="J73" i="115" s="1"/>
  <c r="K73" i="115" s="1"/>
  <c r="I17" i="168"/>
  <c r="I17" i="113"/>
  <c r="I54" i="113" s="1"/>
  <c r="E54" i="113" s="1"/>
  <c r="F54" i="113" s="1"/>
  <c r="G54" i="113" s="1"/>
  <c r="H54" i="113" s="1"/>
  <c r="D35" i="168"/>
  <c r="L28" i="109"/>
  <c r="M28" i="109" s="1"/>
  <c r="I30" i="113"/>
  <c r="J66" i="113"/>
  <c r="K66" i="113" s="1"/>
  <c r="I27" i="113"/>
  <c r="I47" i="113"/>
  <c r="J47" i="113" s="1"/>
  <c r="K47" i="113" s="1"/>
  <c r="E5" i="113"/>
  <c r="F5" i="115"/>
  <c r="F5" i="168" s="1"/>
  <c r="I25" i="113"/>
  <c r="I24" i="113"/>
  <c r="L27" i="109"/>
  <c r="M27" i="109" s="1"/>
  <c r="L29" i="109"/>
  <c r="M29" i="109" s="1"/>
  <c r="L30" i="109"/>
  <c r="L34" i="109"/>
  <c r="M34" i="109" s="1"/>
  <c r="L32" i="109"/>
  <c r="M32" i="109" s="1"/>
  <c r="L44" i="113"/>
  <c r="J44" i="113" s="1"/>
  <c r="K44" i="113" s="1"/>
  <c r="I30" i="109"/>
  <c r="AU52" i="108"/>
  <c r="AT28" i="108"/>
  <c r="D19" i="109"/>
  <c r="AG33" i="108"/>
  <c r="AG2" i="108"/>
  <c r="AG28" i="108" s="1"/>
  <c r="I71" i="115"/>
  <c r="E71" i="115" s="1"/>
  <c r="F71" i="115" s="1"/>
  <c r="G71" i="115" s="1"/>
  <c r="H71" i="115" s="1"/>
  <c r="AG53" i="108"/>
  <c r="AU49" i="52"/>
  <c r="AU49" i="108"/>
  <c r="AU53" i="108"/>
  <c r="G23" i="109"/>
  <c r="H6" i="109"/>
  <c r="AU51" i="52"/>
  <c r="I25" i="107"/>
  <c r="E8" i="107"/>
  <c r="AU48" i="52"/>
  <c r="AG50" i="108"/>
  <c r="AG52" i="108"/>
  <c r="AG51" i="108"/>
  <c r="H4" i="115"/>
  <c r="F15" i="115"/>
  <c r="I34" i="115"/>
  <c r="I52" i="115"/>
  <c r="E52" i="115" s="1"/>
  <c r="F52" i="115" s="1"/>
  <c r="G52" i="115" s="1"/>
  <c r="H52" i="115" s="1"/>
  <c r="I20" i="107"/>
  <c r="J20" i="107" s="1"/>
  <c r="K20" i="107" s="1"/>
  <c r="I21" i="107"/>
  <c r="J21" i="107" s="1"/>
  <c r="K21" i="107" s="1"/>
  <c r="J3" i="107"/>
  <c r="K3" i="107" s="1"/>
  <c r="E3" i="107"/>
  <c r="AG54" i="108"/>
  <c r="I32" i="115"/>
  <c r="J13" i="115"/>
  <c r="J13" i="168" s="1"/>
  <c r="E13" i="115"/>
  <c r="I50" i="115"/>
  <c r="I69" i="115"/>
  <c r="I35" i="115"/>
  <c r="J16" i="115"/>
  <c r="J16" i="168" s="1"/>
  <c r="E16" i="115"/>
  <c r="I53" i="115"/>
  <c r="I36" i="115"/>
  <c r="J17" i="115"/>
  <c r="J17" i="168" s="1"/>
  <c r="E17" i="115"/>
  <c r="I54" i="115"/>
  <c r="I24" i="109"/>
  <c r="E7" i="109"/>
  <c r="I59" i="115"/>
  <c r="J59" i="115" s="1"/>
  <c r="K59" i="115" s="1"/>
  <c r="I22" i="115"/>
  <c r="J3" i="115"/>
  <c r="I23" i="115"/>
  <c r="I40" i="115"/>
  <c r="J40" i="115" s="1"/>
  <c r="K40" i="115" s="1"/>
  <c r="E14" i="115"/>
  <c r="I33" i="115"/>
  <c r="J14" i="115"/>
  <c r="J14" i="168" s="1"/>
  <c r="I51" i="115"/>
  <c r="H5" i="109"/>
  <c r="G22" i="109"/>
  <c r="I24" i="107"/>
  <c r="J7" i="107"/>
  <c r="K7" i="107" s="1"/>
  <c r="E7" i="107"/>
  <c r="AU33" i="52"/>
  <c r="J9" i="107"/>
  <c r="K9" i="107" s="1"/>
  <c r="I26" i="107"/>
  <c r="E9" i="107"/>
  <c r="E18" i="115"/>
  <c r="I37" i="115"/>
  <c r="I55" i="115"/>
  <c r="I74" i="115"/>
  <c r="J18" i="115"/>
  <c r="J18" i="168" s="1"/>
  <c r="AU53" i="52"/>
  <c r="AU50" i="52"/>
  <c r="I25" i="109"/>
  <c r="E8" i="109"/>
  <c r="AU47" i="108"/>
  <c r="AU50" i="108"/>
  <c r="AU54" i="108"/>
  <c r="AU52" i="52"/>
  <c r="I20" i="109"/>
  <c r="I21" i="109"/>
  <c r="E3" i="109"/>
  <c r="AG48" i="108"/>
  <c r="I72" i="115"/>
  <c r="J17" i="107"/>
  <c r="K17" i="107" s="1"/>
  <c r="E17" i="107"/>
  <c r="F17" i="107" s="1"/>
  <c r="G17" i="107" s="1"/>
  <c r="H17" i="107" s="1"/>
  <c r="I26" i="109"/>
  <c r="E9" i="109"/>
  <c r="AU33" i="108"/>
  <c r="AU48" i="108"/>
  <c r="W45" i="113"/>
  <c r="W64" i="113"/>
  <c r="W62" i="113"/>
  <c r="AG32" i="115"/>
  <c r="AF22" i="115"/>
  <c r="AG3" i="115"/>
  <c r="W49" i="115"/>
  <c r="AF23" i="115"/>
  <c r="AG4" i="115"/>
  <c r="AG33" i="115"/>
  <c r="AG35" i="115"/>
  <c r="N44" i="115"/>
  <c r="O44" i="115" s="1"/>
  <c r="P44" i="115" s="1"/>
  <c r="AG36" i="115"/>
  <c r="AG34" i="115"/>
  <c r="S28" i="109"/>
  <c r="S32" i="109"/>
  <c r="S27" i="109"/>
  <c r="S35" i="109"/>
  <c r="S30" i="109"/>
  <c r="AJ34" i="113"/>
  <c r="V30" i="115"/>
  <c r="S34" i="109"/>
  <c r="AW43" i="108"/>
  <c r="AU41" i="108"/>
  <c r="AW2" i="108"/>
  <c r="AW28" i="108" s="1"/>
  <c r="AW42" i="108"/>
  <c r="AU42" i="108"/>
  <c r="AU38" i="108"/>
  <c r="AU2" i="108"/>
  <c r="AU39" i="108"/>
  <c r="AW40" i="108"/>
  <c r="AU45" i="108"/>
  <c r="AW44" i="108"/>
  <c r="AW45" i="108"/>
  <c r="AW41" i="108"/>
  <c r="AU43" i="108"/>
  <c r="AU40" i="108"/>
  <c r="AU44" i="108"/>
  <c r="Y62" i="113"/>
  <c r="BN11" i="108"/>
  <c r="AI42" i="113"/>
  <c r="AJ42" i="113" s="1"/>
  <c r="AK42" i="113" s="1"/>
  <c r="AL42" i="113" s="1"/>
  <c r="AJ22" i="113"/>
  <c r="AJ23" i="113"/>
  <c r="AK3" i="113"/>
  <c r="AJ35" i="113"/>
  <c r="AK16" i="113"/>
  <c r="AL15" i="113"/>
  <c r="AK13" i="113"/>
  <c r="AJ32" i="113"/>
  <c r="AJ33" i="113"/>
  <c r="AL14" i="113"/>
  <c r="AK18" i="113"/>
  <c r="AJ37" i="113"/>
  <c r="AK17" i="113"/>
  <c r="AJ36" i="113"/>
  <c r="J17" i="109"/>
  <c r="K17" i="109" s="1"/>
  <c r="M17" i="109"/>
  <c r="L14" i="113"/>
  <c r="BJ18" i="108"/>
  <c r="CM18" i="108"/>
  <c r="L55" i="113"/>
  <c r="M18" i="113"/>
  <c r="L74" i="113"/>
  <c r="CM24" i="108"/>
  <c r="BJ24" i="108"/>
  <c r="L3" i="113"/>
  <c r="L3" i="109"/>
  <c r="CM4" i="108"/>
  <c r="AH33" i="108"/>
  <c r="L15" i="113"/>
  <c r="L71" i="113" s="1"/>
  <c r="L8" i="109"/>
  <c r="CM19" i="108"/>
  <c r="BJ19" i="108"/>
  <c r="CM6" i="108"/>
  <c r="L13" i="113"/>
  <c r="L69" i="113" s="1"/>
  <c r="L7" i="109"/>
  <c r="L9" i="109"/>
  <c r="CM17" i="108"/>
  <c r="AV51" i="108"/>
  <c r="BJ22" i="108"/>
  <c r="L17" i="113"/>
  <c r="L73" i="113" s="1"/>
  <c r="CM22" i="108"/>
  <c r="L26" i="113"/>
  <c r="AH50" i="108"/>
  <c r="L16" i="113"/>
  <c r="L72" i="113" s="1"/>
  <c r="CM21" i="108"/>
  <c r="AD66" i="113"/>
  <c r="AE66" i="113" s="1"/>
  <c r="AF66" i="113" s="1"/>
  <c r="AG66" i="113" s="1"/>
  <c r="N47" i="115"/>
  <c r="O47" i="115" s="1"/>
  <c r="P47" i="115" s="1"/>
  <c r="AB47" i="113"/>
  <c r="AD61" i="113"/>
  <c r="AE61" i="113" s="1"/>
  <c r="AF61" i="113" s="1"/>
  <c r="AG61" i="113" s="1"/>
  <c r="W68" i="113"/>
  <c r="AC44" i="115"/>
  <c r="AB44" i="115" s="1"/>
  <c r="V44" i="115"/>
  <c r="W44" i="115" s="1"/>
  <c r="AC30" i="115"/>
  <c r="BN14" i="108"/>
  <c r="W49" i="113"/>
  <c r="BN13" i="108"/>
  <c r="AB68" i="113"/>
  <c r="AC25" i="115"/>
  <c r="D38" i="115"/>
  <c r="AC31" i="115"/>
  <c r="AM19" i="113"/>
  <c r="L28" i="113"/>
  <c r="AH66" i="115"/>
  <c r="AD66" i="115" s="1"/>
  <c r="AE66" i="115" s="1"/>
  <c r="AF66" i="115" s="1"/>
  <c r="AG66" i="115" s="1"/>
  <c r="X24" i="115"/>
  <c r="BP14" i="108"/>
  <c r="V12" i="109"/>
  <c r="V31" i="109" s="1"/>
  <c r="V24" i="115"/>
  <c r="V25" i="115"/>
  <c r="AC28" i="115"/>
  <c r="L25" i="113"/>
  <c r="E63" i="115"/>
  <c r="F63" i="115" s="1"/>
  <c r="G63" i="115" s="1"/>
  <c r="H63" i="115" s="1"/>
  <c r="L27" i="113"/>
  <c r="V26" i="115"/>
  <c r="L24" i="113"/>
  <c r="W48" i="115"/>
  <c r="L31" i="113"/>
  <c r="AD9" i="115"/>
  <c r="AE9" i="115" s="1"/>
  <c r="AI62" i="113"/>
  <c r="AJ62" i="113" s="1"/>
  <c r="AK62" i="113" s="1"/>
  <c r="AL62" i="113" s="1"/>
  <c r="AD62" i="113"/>
  <c r="AE62" i="113" s="1"/>
  <c r="AF62" i="113" s="1"/>
  <c r="AG62" i="113" s="1"/>
  <c r="S31" i="109"/>
  <c r="V29" i="115"/>
  <c r="AC44" i="113"/>
  <c r="X25" i="115"/>
  <c r="L63" i="113"/>
  <c r="W47" i="115"/>
  <c r="Y67" i="113"/>
  <c r="Z67" i="113" s="1"/>
  <c r="L29" i="113"/>
  <c r="V27" i="115"/>
  <c r="Y61" i="113"/>
  <c r="Z61" i="113" s="1"/>
  <c r="AC27" i="113"/>
  <c r="AC26" i="113"/>
  <c r="E25" i="115"/>
  <c r="AT28" i="52"/>
  <c r="X31" i="115"/>
  <c r="M7" i="113"/>
  <c r="M26" i="113" s="1"/>
  <c r="AC30" i="113"/>
  <c r="D19" i="107"/>
  <c r="V63" i="115"/>
  <c r="V28" i="115"/>
  <c r="I31" i="109"/>
  <c r="J31" i="109" s="1"/>
  <c r="K31" i="109" s="1"/>
  <c r="I27" i="109"/>
  <c r="AX44" i="108"/>
  <c r="AV45" i="108"/>
  <c r="AD5" i="115"/>
  <c r="AE5" i="115" s="1"/>
  <c r="AA7" i="113"/>
  <c r="AA25" i="113" s="1"/>
  <c r="AH67" i="115"/>
  <c r="AD67" i="115" s="1"/>
  <c r="AE67" i="115" s="1"/>
  <c r="AF67" i="115" s="1"/>
  <c r="AG67" i="115" s="1"/>
  <c r="Y65" i="113"/>
  <c r="Z65" i="113" s="1"/>
  <c r="N30" i="107"/>
  <c r="AJ38" i="108"/>
  <c r="BP13" i="108"/>
  <c r="AD68" i="113"/>
  <c r="AE68" i="113" s="1"/>
  <c r="AF68" i="113" s="1"/>
  <c r="AG68" i="113" s="1"/>
  <c r="M48" i="113"/>
  <c r="W65" i="115"/>
  <c r="AC29" i="115"/>
  <c r="E44" i="115"/>
  <c r="F44" i="115" s="1"/>
  <c r="G44" i="115" s="1"/>
  <c r="H44" i="115" s="1"/>
  <c r="N26" i="115"/>
  <c r="M31" i="109"/>
  <c r="AV43" i="108"/>
  <c r="AD49" i="113"/>
  <c r="AE49" i="113" s="1"/>
  <c r="AF49" i="113" s="1"/>
  <c r="AG49" i="113" s="1"/>
  <c r="AI45" i="52"/>
  <c r="I32" i="109"/>
  <c r="BL14" i="108"/>
  <c r="AV40" i="108"/>
  <c r="AI67" i="113"/>
  <c r="AJ67" i="113" s="1"/>
  <c r="AK67" i="113" s="1"/>
  <c r="AL67" i="113" s="1"/>
  <c r="AC28" i="113"/>
  <c r="AC63" i="113"/>
  <c r="AC29" i="113"/>
  <c r="AC24" i="113"/>
  <c r="AC25" i="113"/>
  <c r="N48" i="115"/>
  <c r="O48" i="115" s="1"/>
  <c r="P48" i="115" s="1"/>
  <c r="I34" i="109"/>
  <c r="AI57" i="108"/>
  <c r="AV41" i="108"/>
  <c r="Y49" i="113"/>
  <c r="Z49" i="113" s="1"/>
  <c r="Y64" i="113"/>
  <c r="S38" i="113"/>
  <c r="Q7" i="113"/>
  <c r="AA446" i="116"/>
  <c r="AA483" i="116"/>
  <c r="AA339" i="116"/>
  <c r="AA374" i="116"/>
  <c r="AA410" i="116"/>
  <c r="AE8" i="115"/>
  <c r="AE12" i="115"/>
  <c r="AE6" i="115"/>
  <c r="AJ5" i="113"/>
  <c r="A448" i="116"/>
  <c r="M46" i="113"/>
  <c r="AD65" i="115"/>
  <c r="AE65" i="115" s="1"/>
  <c r="AF65" i="115" s="1"/>
  <c r="AG65" i="115" s="1"/>
  <c r="X63" i="115"/>
  <c r="Y63" i="115" s="1"/>
  <c r="Z63" i="115" s="1"/>
  <c r="X26" i="115"/>
  <c r="Y7" i="115"/>
  <c r="Y27" i="115" s="1"/>
  <c r="AE8" i="113"/>
  <c r="E46" i="115"/>
  <c r="F46" i="115" s="1"/>
  <c r="G46" i="115" s="1"/>
  <c r="H46" i="115" s="1"/>
  <c r="AF11" i="113"/>
  <c r="AM32" i="109"/>
  <c r="AB66" i="113"/>
  <c r="Y66" i="113"/>
  <c r="Z66" i="113" s="1"/>
  <c r="AE10" i="115"/>
  <c r="BL8" i="108"/>
  <c r="AM38" i="113"/>
  <c r="G12" i="115"/>
  <c r="AH43" i="113"/>
  <c r="AJ12" i="113"/>
  <c r="Z11" i="115"/>
  <c r="AC33" i="109"/>
  <c r="BL10" i="108"/>
  <c r="BB2" i="108"/>
  <c r="BB28" i="108" s="1"/>
  <c r="V43" i="113"/>
  <c r="T43" i="113" s="1"/>
  <c r="U43" i="113" s="1"/>
  <c r="AB46" i="113"/>
  <c r="X30" i="115"/>
  <c r="W43" i="115"/>
  <c r="Z12" i="113"/>
  <c r="W64" i="115"/>
  <c r="N63" i="113"/>
  <c r="N26" i="113"/>
  <c r="N24" i="113"/>
  <c r="N27" i="113"/>
  <c r="N31" i="113"/>
  <c r="N29" i="113"/>
  <c r="N25" i="113"/>
  <c r="N28" i="113"/>
  <c r="N30" i="113"/>
  <c r="U8" i="113"/>
  <c r="W67" i="113"/>
  <c r="AF10" i="113"/>
  <c r="AB65" i="115"/>
  <c r="J49" i="113"/>
  <c r="K49" i="113" s="1"/>
  <c r="E49" i="113"/>
  <c r="F49" i="113" s="1"/>
  <c r="G49" i="113" s="1"/>
  <c r="H49" i="113" s="1"/>
  <c r="Z10" i="113"/>
  <c r="A412" i="116"/>
  <c r="A413" i="116" s="1"/>
  <c r="Z12" i="115"/>
  <c r="N65" i="115"/>
  <c r="O65" i="115" s="1"/>
  <c r="P65" i="115" s="1"/>
  <c r="N28" i="115"/>
  <c r="BR11" i="52"/>
  <c r="AH45" i="115"/>
  <c r="AD45" i="115" s="1"/>
  <c r="AE45" i="115" s="1"/>
  <c r="AF45" i="115" s="1"/>
  <c r="AG45" i="115" s="1"/>
  <c r="BL15" i="108"/>
  <c r="AH62" i="115"/>
  <c r="AD62" i="115" s="1"/>
  <c r="AE62" i="115" s="1"/>
  <c r="AF62" i="115" s="1"/>
  <c r="AG62" i="115" s="1"/>
  <c r="U6" i="113"/>
  <c r="Y47" i="113"/>
  <c r="Z47" i="113" s="1"/>
  <c r="N64" i="115"/>
  <c r="O64" i="115" s="1"/>
  <c r="P64" i="115" s="1"/>
  <c r="N27" i="115"/>
  <c r="AD45" i="113"/>
  <c r="AE45" i="113" s="1"/>
  <c r="AF45" i="113" s="1"/>
  <c r="AG45" i="113" s="1"/>
  <c r="BR15" i="52"/>
  <c r="AH48" i="115"/>
  <c r="BP15" i="108"/>
  <c r="AA48" i="113"/>
  <c r="AB48" i="113" s="1"/>
  <c r="AD65" i="113"/>
  <c r="AE65" i="113" s="1"/>
  <c r="AF65" i="113" s="1"/>
  <c r="AG65" i="113" s="1"/>
  <c r="BR14" i="52"/>
  <c r="AH47" i="115"/>
  <c r="AD47" i="115" s="1"/>
  <c r="AE47" i="115" s="1"/>
  <c r="AF47" i="115" s="1"/>
  <c r="AG47" i="115" s="1"/>
  <c r="AM30" i="109"/>
  <c r="G6" i="115"/>
  <c r="BR16" i="52"/>
  <c r="AH49" i="115"/>
  <c r="AD49" i="115" s="1"/>
  <c r="AE49" i="115" s="1"/>
  <c r="AF49" i="115" s="1"/>
  <c r="AG49" i="115" s="1"/>
  <c r="AM35" i="109"/>
  <c r="AH47" i="113"/>
  <c r="AI47" i="113" s="1"/>
  <c r="AJ47" i="113" s="1"/>
  <c r="AK47" i="113" s="1"/>
  <c r="AL47" i="113" s="1"/>
  <c r="AM33" i="109"/>
  <c r="M47" i="113"/>
  <c r="AE5" i="113"/>
  <c r="AD42" i="115"/>
  <c r="AE42" i="115" s="1"/>
  <c r="AF42" i="115" s="1"/>
  <c r="AG42" i="115" s="1"/>
  <c r="E49" i="115"/>
  <c r="F49" i="115" s="1"/>
  <c r="G49" i="115" s="1"/>
  <c r="H49" i="115" s="1"/>
  <c r="N44" i="113"/>
  <c r="Z10" i="115"/>
  <c r="U10" i="113"/>
  <c r="N29" i="115"/>
  <c r="AJ8" i="113"/>
  <c r="AH61" i="115"/>
  <c r="AD61" i="115" s="1"/>
  <c r="AE61" i="115" s="1"/>
  <c r="AF61" i="115" s="1"/>
  <c r="AG61" i="115" s="1"/>
  <c r="W42" i="115"/>
  <c r="E48" i="115"/>
  <c r="F48" i="115" s="1"/>
  <c r="G48" i="115" s="1"/>
  <c r="H48" i="115" s="1"/>
  <c r="Z5" i="115"/>
  <c r="AJ11" i="113"/>
  <c r="W42" i="113"/>
  <c r="N30" i="115"/>
  <c r="BN8" i="108"/>
  <c r="N31" i="115"/>
  <c r="G10" i="115"/>
  <c r="AL40" i="108"/>
  <c r="N46" i="115"/>
  <c r="O46" i="115" s="1"/>
  <c r="P46" i="115" s="1"/>
  <c r="AF9" i="113"/>
  <c r="BR13" i="52"/>
  <c r="AH46" i="115"/>
  <c r="AD46" i="115" s="1"/>
  <c r="AE46" i="115" s="1"/>
  <c r="AF46" i="115" s="1"/>
  <c r="AG46" i="115" s="1"/>
  <c r="AC35" i="109"/>
  <c r="AH46" i="113"/>
  <c r="AI46" i="113" s="1"/>
  <c r="AJ46" i="113" s="1"/>
  <c r="AK46" i="113" s="1"/>
  <c r="AL46" i="113" s="1"/>
  <c r="AL45" i="108"/>
  <c r="BP11" i="108"/>
  <c r="AA45" i="113"/>
  <c r="AB61" i="115"/>
  <c r="Z9" i="115"/>
  <c r="AC26" i="115"/>
  <c r="AC63" i="115"/>
  <c r="AB7" i="115"/>
  <c r="AB28" i="115" s="1"/>
  <c r="V7" i="113"/>
  <c r="X29" i="115"/>
  <c r="AB47" i="115"/>
  <c r="AC27" i="115"/>
  <c r="J43" i="113"/>
  <c r="K43" i="113" s="1"/>
  <c r="X26" i="113"/>
  <c r="X31" i="113"/>
  <c r="X30" i="113"/>
  <c r="X25" i="113"/>
  <c r="X27" i="113"/>
  <c r="X28" i="113"/>
  <c r="X29" i="113"/>
  <c r="X63" i="113"/>
  <c r="X24" i="113"/>
  <c r="AI64" i="113"/>
  <c r="AJ64" i="113" s="1"/>
  <c r="AK64" i="113" s="1"/>
  <c r="AL64" i="113" s="1"/>
  <c r="AD64" i="113"/>
  <c r="AE64" i="113" s="1"/>
  <c r="AF64" i="113" s="1"/>
  <c r="AG64" i="113" s="1"/>
  <c r="AF6" i="113"/>
  <c r="BL11" i="108"/>
  <c r="N62" i="115"/>
  <c r="O62" i="115" s="1"/>
  <c r="P62" i="115" s="1"/>
  <c r="N25" i="115"/>
  <c r="A377" i="116"/>
  <c r="E26" i="115"/>
  <c r="F7" i="115"/>
  <c r="E24" i="115"/>
  <c r="AJ10" i="113"/>
  <c r="BL13" i="108"/>
  <c r="AL44" i="108"/>
  <c r="BP10" i="108"/>
  <c r="J48" i="113"/>
  <c r="K48" i="113" s="1"/>
  <c r="E48" i="113"/>
  <c r="F48" i="113" s="1"/>
  <c r="G48" i="113" s="1"/>
  <c r="H48" i="113" s="1"/>
  <c r="AM28" i="109"/>
  <c r="Z6" i="113"/>
  <c r="Z5" i="113"/>
  <c r="W62" i="115"/>
  <c r="AB67" i="115"/>
  <c r="BL16" i="108"/>
  <c r="AH48" i="113"/>
  <c r="AB49" i="113"/>
  <c r="X28" i="115"/>
  <c r="AH7" i="115"/>
  <c r="AH29" i="115" s="1"/>
  <c r="AB48" i="115"/>
  <c r="E45" i="115"/>
  <c r="F45" i="115" s="1"/>
  <c r="G45" i="115" s="1"/>
  <c r="H45" i="115" s="1"/>
  <c r="W61" i="115"/>
  <c r="W7" i="115"/>
  <c r="W26" i="115" s="1"/>
  <c r="G9" i="115"/>
  <c r="M49" i="113"/>
  <c r="N61" i="115"/>
  <c r="O61" i="115" s="1"/>
  <c r="P61" i="115" s="1"/>
  <c r="N24" i="115"/>
  <c r="AJ6" i="113"/>
  <c r="AH68" i="115"/>
  <c r="M45" i="113"/>
  <c r="AB49" i="115"/>
  <c r="Z8" i="115"/>
  <c r="N49" i="115"/>
  <c r="O49" i="115" s="1"/>
  <c r="P49" i="115" s="1"/>
  <c r="A485" i="116"/>
  <c r="BN16" i="108"/>
  <c r="E27" i="115"/>
  <c r="F8" i="115"/>
  <c r="E31" i="115"/>
  <c r="J42" i="113"/>
  <c r="K42" i="113" s="1"/>
  <c r="E42" i="113"/>
  <c r="F42" i="113" s="1"/>
  <c r="G42" i="113" s="1"/>
  <c r="H42" i="113" s="1"/>
  <c r="G11" i="115"/>
  <c r="BR10" i="52"/>
  <c r="AC27" i="109"/>
  <c r="AI49" i="113"/>
  <c r="AJ49" i="113" s="1"/>
  <c r="AK49" i="113" s="1"/>
  <c r="AL49" i="113" s="1"/>
  <c r="AA43" i="113"/>
  <c r="AB43" i="113" s="1"/>
  <c r="E29" i="115"/>
  <c r="E30" i="115"/>
  <c r="BN15" i="108"/>
  <c r="V48" i="113"/>
  <c r="T48" i="113" s="1"/>
  <c r="U48" i="113" s="1"/>
  <c r="AE11" i="115"/>
  <c r="U12" i="113"/>
  <c r="AV37" i="108"/>
  <c r="AV44" i="108"/>
  <c r="AV39" i="108"/>
  <c r="AJ9" i="113"/>
  <c r="AH43" i="115"/>
  <c r="AD43" i="115" s="1"/>
  <c r="AE43" i="115" s="1"/>
  <c r="AF43" i="115" s="1"/>
  <c r="AG43" i="115" s="1"/>
  <c r="CS12" i="108"/>
  <c r="AB42" i="113"/>
  <c r="Y42" i="113"/>
  <c r="Z42" i="113" s="1"/>
  <c r="AL43" i="108"/>
  <c r="BD42" i="108"/>
  <c r="AH7" i="113"/>
  <c r="BP16" i="108"/>
  <c r="AO57" i="108"/>
  <c r="AV42" i="108"/>
  <c r="W47" i="113"/>
  <c r="BN9" i="108"/>
  <c r="N68" i="115"/>
  <c r="O68" i="115" s="1"/>
  <c r="P68" i="115" s="1"/>
  <c r="AI45" i="113"/>
  <c r="AJ45" i="113" s="1"/>
  <c r="AK45" i="113" s="1"/>
  <c r="AL45" i="113" s="1"/>
  <c r="W46" i="115"/>
  <c r="AH64" i="115"/>
  <c r="AB42" i="115"/>
  <c r="E28" i="115"/>
  <c r="Z6" i="115"/>
  <c r="W45" i="115"/>
  <c r="J46" i="113"/>
  <c r="K46" i="113" s="1"/>
  <c r="X27" i="115"/>
  <c r="J45" i="113"/>
  <c r="K45" i="113" s="1"/>
  <c r="E45" i="113"/>
  <c r="F45" i="113" s="1"/>
  <c r="G45" i="113" s="1"/>
  <c r="H45" i="113" s="1"/>
  <c r="E42" i="115"/>
  <c r="F42" i="115" s="1"/>
  <c r="G42" i="115" s="1"/>
  <c r="H42" i="115" s="1"/>
  <c r="AF12" i="113"/>
  <c r="AB12" i="109"/>
  <c r="Y12" i="109"/>
  <c r="Z12" i="109" s="1"/>
  <c r="AN39" i="108"/>
  <c r="AN2" i="108"/>
  <c r="AN28" i="108" s="1"/>
  <c r="AN40" i="108"/>
  <c r="AN38" i="108"/>
  <c r="AN37" i="108"/>
  <c r="AN44" i="108"/>
  <c r="AN42" i="108"/>
  <c r="AN43" i="108"/>
  <c r="AN45" i="108"/>
  <c r="AZ2" i="108"/>
  <c r="AZ28" i="108" s="1"/>
  <c r="AZ42" i="108"/>
  <c r="AZ40" i="108"/>
  <c r="AZ44" i="108"/>
  <c r="AZ43" i="108"/>
  <c r="AZ45" i="108"/>
  <c r="W14" i="109"/>
  <c r="W13" i="109"/>
  <c r="W18" i="109"/>
  <c r="BN12" i="108"/>
  <c r="AJ2" i="108"/>
  <c r="AJ28" i="108" s="1"/>
  <c r="AJ40" i="108"/>
  <c r="W11" i="109"/>
  <c r="AJ39" i="108"/>
  <c r="W16" i="109"/>
  <c r="AI14" i="109"/>
  <c r="AJ14" i="109" s="1"/>
  <c r="AK14" i="109" s="1"/>
  <c r="AL14" i="109" s="1"/>
  <c r="AD14" i="109"/>
  <c r="AE14" i="109" s="1"/>
  <c r="AF14" i="109" s="1"/>
  <c r="AG14" i="109" s="1"/>
  <c r="AJ43" i="108"/>
  <c r="BL12" i="108"/>
  <c r="AJ45" i="108"/>
  <c r="AB16" i="109"/>
  <c r="AA33" i="109"/>
  <c r="Y16" i="109"/>
  <c r="Z16" i="109" s="1"/>
  <c r="AI13" i="109"/>
  <c r="AJ13" i="109" s="1"/>
  <c r="AK13" i="109" s="1"/>
  <c r="AL13" i="109" s="1"/>
  <c r="AD13" i="109"/>
  <c r="AE13" i="109" s="1"/>
  <c r="AF13" i="109" s="1"/>
  <c r="AG13" i="109" s="1"/>
  <c r="T18" i="109"/>
  <c r="U18" i="109" s="1"/>
  <c r="AC29" i="109"/>
  <c r="AC28" i="109"/>
  <c r="AC30" i="109"/>
  <c r="AJ44" i="108"/>
  <c r="AM57" i="108"/>
  <c r="G14" i="109"/>
  <c r="CD29" i="108"/>
  <c r="CD26" i="108"/>
  <c r="G13" i="109"/>
  <c r="H11" i="109"/>
  <c r="G10" i="109"/>
  <c r="T13" i="109"/>
  <c r="U13" i="109" s="1"/>
  <c r="BA41" i="108"/>
  <c r="BA2" i="108"/>
  <c r="BA28" i="108" s="1"/>
  <c r="BA44" i="108"/>
  <c r="BA42" i="108"/>
  <c r="BA45" i="108"/>
  <c r="BA40" i="108"/>
  <c r="BA43" i="108"/>
  <c r="AJ41" i="108"/>
  <c r="AB15" i="109"/>
  <c r="AA32" i="109"/>
  <c r="AM29" i="109"/>
  <c r="AM31" i="109"/>
  <c r="AC19" i="109"/>
  <c r="G15" i="109"/>
  <c r="I29" i="109"/>
  <c r="J12" i="109"/>
  <c r="K12" i="109" s="1"/>
  <c r="I35" i="109"/>
  <c r="I28" i="109"/>
  <c r="E12" i="109"/>
  <c r="I33" i="109"/>
  <c r="J33" i="109" s="1"/>
  <c r="K33" i="109" s="1"/>
  <c r="AM27" i="109"/>
  <c r="AA30" i="109"/>
  <c r="Y30" i="109" s="1"/>
  <c r="Z30" i="109" s="1"/>
  <c r="AB13" i="109"/>
  <c r="CQ12" i="108"/>
  <c r="AZ41" i="108"/>
  <c r="AB14" i="109"/>
  <c r="AA31" i="109"/>
  <c r="AI18" i="109"/>
  <c r="AJ18" i="109" s="1"/>
  <c r="AK18" i="109" s="1"/>
  <c r="AL18" i="109" s="1"/>
  <c r="BP12" i="108"/>
  <c r="AL2" i="108"/>
  <c r="AL28" i="108" s="1"/>
  <c r="AL39" i="108"/>
  <c r="AL42" i="108"/>
  <c r="AL41" i="108"/>
  <c r="AI10" i="109"/>
  <c r="AJ10" i="109" s="1"/>
  <c r="AK10" i="109" s="1"/>
  <c r="AL10" i="109" s="1"/>
  <c r="AY2" i="108"/>
  <c r="S19" i="168" s="1"/>
  <c r="AY44" i="108"/>
  <c r="AY42" i="108"/>
  <c r="AY43" i="108"/>
  <c r="AY45" i="108"/>
  <c r="AY40" i="108"/>
  <c r="AA29" i="109"/>
  <c r="AA28" i="109"/>
  <c r="AB11" i="109"/>
  <c r="Y11" i="109"/>
  <c r="Z11" i="109" s="1"/>
  <c r="AA35" i="109"/>
  <c r="AB18" i="109"/>
  <c r="W10" i="109"/>
  <c r="AC31" i="109"/>
  <c r="G16" i="109"/>
  <c r="AN41" i="108"/>
  <c r="BZ29" i="108"/>
  <c r="BZ26" i="108"/>
  <c r="AK44" i="108"/>
  <c r="AK2" i="108"/>
  <c r="AK28" i="108" s="1"/>
  <c r="AK45" i="108"/>
  <c r="AK42" i="108"/>
  <c r="AK38" i="108"/>
  <c r="AK43" i="108"/>
  <c r="AK37" i="108"/>
  <c r="AK40" i="108"/>
  <c r="AK39" i="108"/>
  <c r="BP8" i="108"/>
  <c r="AB10" i="109"/>
  <c r="AA27" i="109"/>
  <c r="AA34" i="109"/>
  <c r="AB34" i="109" s="1"/>
  <c r="CU12" i="108"/>
  <c r="AH12" i="109"/>
  <c r="AD12" i="109" s="1"/>
  <c r="AE12" i="109" s="1"/>
  <c r="AF12" i="109" s="1"/>
  <c r="AG12" i="109" s="1"/>
  <c r="Q12" i="109"/>
  <c r="Q34" i="109" s="1"/>
  <c r="O34" i="109" s="1"/>
  <c r="P34" i="109" s="1"/>
  <c r="T14" i="109"/>
  <c r="U14" i="109" s="1"/>
  <c r="W15" i="109"/>
  <c r="AI15" i="109"/>
  <c r="AJ15" i="109" s="1"/>
  <c r="AK15" i="109" s="1"/>
  <c r="AL15" i="109" s="1"/>
  <c r="AD15" i="109"/>
  <c r="AE15" i="109" s="1"/>
  <c r="AF15" i="109" s="1"/>
  <c r="AG15" i="109" s="1"/>
  <c r="T11" i="109"/>
  <c r="U11" i="109" s="1"/>
  <c r="AL38" i="108"/>
  <c r="G18" i="109"/>
  <c r="AM19" i="109"/>
  <c r="BP9" i="108"/>
  <c r="S29" i="109"/>
  <c r="M33" i="109"/>
  <c r="CB29" i="108"/>
  <c r="CB26" i="108"/>
  <c r="AJ37" i="108"/>
  <c r="AI16" i="109"/>
  <c r="AJ16" i="109" s="1"/>
  <c r="AK16" i="109" s="1"/>
  <c r="AL16" i="109" s="1"/>
  <c r="AI11" i="109"/>
  <c r="AJ11" i="109" s="1"/>
  <c r="AK11" i="109" s="1"/>
  <c r="AL11" i="109" s="1"/>
  <c r="AD11" i="109"/>
  <c r="AE11" i="109" s="1"/>
  <c r="AF11" i="109" s="1"/>
  <c r="AG11" i="109" s="1"/>
  <c r="AC32" i="109"/>
  <c r="G11" i="107"/>
  <c r="H16" i="107"/>
  <c r="H13" i="107"/>
  <c r="G10" i="107"/>
  <c r="G18" i="107"/>
  <c r="F12" i="107"/>
  <c r="G14" i="107"/>
  <c r="H23" i="107"/>
  <c r="H22" i="107"/>
  <c r="H15" i="107"/>
  <c r="Y27" i="107"/>
  <c r="Z27" i="107" s="1"/>
  <c r="AG26" i="107"/>
  <c r="Y32" i="107"/>
  <c r="AF21" i="107"/>
  <c r="AG23" i="107"/>
  <c r="AG22" i="107"/>
  <c r="AB29" i="107"/>
  <c r="AG24" i="107"/>
  <c r="AL22" i="107"/>
  <c r="AL23" i="107"/>
  <c r="AF20" i="107"/>
  <c r="AB31" i="107"/>
  <c r="N31" i="107"/>
  <c r="BR9" i="52"/>
  <c r="AB28" i="107"/>
  <c r="AB30" i="107"/>
  <c r="AB33" i="107"/>
  <c r="Y29" i="107"/>
  <c r="Y35" i="107"/>
  <c r="Y34" i="107"/>
  <c r="Z33" i="107"/>
  <c r="Y30" i="107"/>
  <c r="Y31" i="107"/>
  <c r="Y28" i="107"/>
  <c r="AX42" i="52"/>
  <c r="AX44" i="52"/>
  <c r="N27" i="107"/>
  <c r="AX41" i="52"/>
  <c r="N32" i="107"/>
  <c r="N28" i="107"/>
  <c r="O28" i="107" s="1"/>
  <c r="P28" i="107" s="1"/>
  <c r="N35" i="107"/>
  <c r="O35" i="107" s="1"/>
  <c r="P35" i="107" s="1"/>
  <c r="AX43" i="52"/>
  <c r="AY38" i="52"/>
  <c r="N34" i="107"/>
  <c r="O34" i="107" s="1"/>
  <c r="P34" i="107" s="1"/>
  <c r="AX45" i="52"/>
  <c r="N29" i="107"/>
  <c r="O29" i="107" s="1"/>
  <c r="P29" i="107" s="1"/>
  <c r="N33" i="107"/>
  <c r="AY37" i="52"/>
  <c r="AX40" i="52"/>
  <c r="AY39" i="52"/>
  <c r="AB35" i="107"/>
  <c r="W12" i="107"/>
  <c r="V29" i="107"/>
  <c r="V35" i="107"/>
  <c r="V28" i="107"/>
  <c r="V31" i="107"/>
  <c r="V19" i="107"/>
  <c r="V27" i="107"/>
  <c r="V34" i="107"/>
  <c r="V30" i="107"/>
  <c r="V33" i="107"/>
  <c r="V32" i="107"/>
  <c r="AB27" i="107"/>
  <c r="AH12" i="107"/>
  <c r="AB32" i="107"/>
  <c r="AB34" i="107"/>
  <c r="I29" i="107"/>
  <c r="I28" i="107"/>
  <c r="I27" i="107"/>
  <c r="I34" i="107"/>
  <c r="BD45" i="52"/>
  <c r="BD42" i="52"/>
  <c r="BD43" i="52"/>
  <c r="BE38" i="52"/>
  <c r="BD40" i="52"/>
  <c r="AI42" i="52"/>
  <c r="I33" i="107"/>
  <c r="I35" i="107"/>
  <c r="I32" i="107"/>
  <c r="I30" i="107"/>
  <c r="AJ57" i="52"/>
  <c r="AX38" i="52"/>
  <c r="BD44" i="52"/>
  <c r="CU12" i="52"/>
  <c r="BR12" i="52"/>
  <c r="BD41" i="52"/>
  <c r="CF29" i="52"/>
  <c r="AX37" i="52"/>
  <c r="I31" i="107"/>
  <c r="AW44" i="52"/>
  <c r="BE37" i="52"/>
  <c r="BD2" i="52"/>
  <c r="BD28" i="52" s="1"/>
  <c r="AM38" i="52"/>
  <c r="AM39" i="52"/>
  <c r="AM2" i="52"/>
  <c r="AM28" i="52" s="1"/>
  <c r="AM45" i="52"/>
  <c r="AM42" i="52"/>
  <c r="AM40" i="52"/>
  <c r="AM37" i="52"/>
  <c r="AM44" i="52"/>
  <c r="AM43" i="52"/>
  <c r="BE39" i="52"/>
  <c r="AX39" i="52"/>
  <c r="AU2" i="52"/>
  <c r="I19" i="115" s="1"/>
  <c r="AU42" i="52"/>
  <c r="AU43" i="52"/>
  <c r="AU44" i="52"/>
  <c r="AU45" i="52"/>
  <c r="AI40" i="52"/>
  <c r="AI2" i="52"/>
  <c r="AI28" i="52" s="1"/>
  <c r="AL57" i="52"/>
  <c r="AI41" i="52"/>
  <c r="BC41" i="52"/>
  <c r="BC2" i="52"/>
  <c r="BD38" i="52"/>
  <c r="BD39" i="52"/>
  <c r="BC43" i="52"/>
  <c r="BC44" i="52"/>
  <c r="BD37" i="52"/>
  <c r="BC40" i="52"/>
  <c r="BC45" i="52"/>
  <c r="BC42" i="52"/>
  <c r="AM41" i="52"/>
  <c r="AW40" i="52"/>
  <c r="AW2" i="52"/>
  <c r="AO43" i="52"/>
  <c r="AO2" i="52"/>
  <c r="AO28" i="52" s="1"/>
  <c r="AO39" i="52"/>
  <c r="AO44" i="52"/>
  <c r="AO45" i="52"/>
  <c r="AO38" i="52"/>
  <c r="AO37" i="52"/>
  <c r="AO40" i="52"/>
  <c r="AO42" i="52"/>
  <c r="AW45" i="52"/>
  <c r="AW41" i="52"/>
  <c r="AG42" i="52"/>
  <c r="AG44" i="52"/>
  <c r="AG43" i="52"/>
  <c r="AG45" i="52"/>
  <c r="AW42" i="52"/>
  <c r="AI44" i="52"/>
  <c r="BB39" i="52"/>
  <c r="BA2" i="52"/>
  <c r="BB37" i="52"/>
  <c r="BA44" i="52"/>
  <c r="BA42" i="52"/>
  <c r="BA43" i="52"/>
  <c r="BA45" i="52"/>
  <c r="BB38" i="52"/>
  <c r="BA40" i="52"/>
  <c r="CF26" i="52"/>
  <c r="BA41" i="52"/>
  <c r="AP8" i="52"/>
  <c r="AP41" i="52" s="1"/>
  <c r="AU41" i="52"/>
  <c r="E57" i="104"/>
  <c r="C47" i="104" s="1"/>
  <c r="G47" i="104" s="1"/>
  <c r="Q47" i="104" s="1"/>
  <c r="E56" i="104"/>
  <c r="E55" i="104"/>
  <c r="E54" i="104"/>
  <c r="E53" i="104"/>
  <c r="C45" i="104" s="1"/>
  <c r="E52" i="104"/>
  <c r="Y47" i="104"/>
  <c r="X46" i="104"/>
  <c r="W46" i="104"/>
  <c r="V46" i="104"/>
  <c r="U46" i="104"/>
  <c r="T46" i="104"/>
  <c r="Y46" i="104" s="1"/>
  <c r="Y45" i="104"/>
  <c r="X44" i="104"/>
  <c r="V44" i="104"/>
  <c r="T44" i="104"/>
  <c r="G44" i="104"/>
  <c r="Q44" i="104" s="1"/>
  <c r="W43" i="104"/>
  <c r="V43" i="104"/>
  <c r="U43" i="104"/>
  <c r="T43" i="104"/>
  <c r="C43" i="104" s="1"/>
  <c r="G43" i="104" s="1"/>
  <c r="Q43" i="104" s="1"/>
  <c r="X42" i="104"/>
  <c r="Y42" i="104" s="1"/>
  <c r="E42" i="104"/>
  <c r="F41" i="104" s="1"/>
  <c r="X41" i="104"/>
  <c r="W41" i="104"/>
  <c r="V41" i="104"/>
  <c r="U41" i="104"/>
  <c r="T41" i="104"/>
  <c r="L41" i="104"/>
  <c r="C41" i="104"/>
  <c r="G41" i="104" s="1"/>
  <c r="X40" i="104"/>
  <c r="W40" i="104"/>
  <c r="V40" i="104"/>
  <c r="U40" i="104"/>
  <c r="T40" i="104"/>
  <c r="Y40" i="104" s="1"/>
  <c r="C40" i="104"/>
  <c r="G40" i="104" s="1"/>
  <c r="X39" i="104"/>
  <c r="W39" i="104"/>
  <c r="V39" i="104"/>
  <c r="U39" i="104"/>
  <c r="T39" i="104"/>
  <c r="C39" i="104" s="1"/>
  <c r="G39" i="104" s="1"/>
  <c r="Y38" i="104"/>
  <c r="C38" i="104"/>
  <c r="G38" i="104" s="1"/>
  <c r="Z38" i="104" s="1"/>
  <c r="X37" i="104"/>
  <c r="W37" i="104"/>
  <c r="V37" i="104"/>
  <c r="U37" i="104"/>
  <c r="T37" i="104"/>
  <c r="Y37" i="104" s="1"/>
  <c r="C37" i="104"/>
  <c r="G37" i="104" s="1"/>
  <c r="Z36" i="104"/>
  <c r="Y36" i="104"/>
  <c r="C34" i="104"/>
  <c r="C33" i="104"/>
  <c r="C32" i="104"/>
  <c r="X30" i="104"/>
  <c r="W30" i="104"/>
  <c r="V30" i="104"/>
  <c r="U30" i="104"/>
  <c r="T30" i="104"/>
  <c r="S30" i="104" s="1"/>
  <c r="M30" i="104"/>
  <c r="K30" i="104"/>
  <c r="F30" i="104"/>
  <c r="C30" i="104"/>
  <c r="C29" i="104"/>
  <c r="C27" i="104"/>
  <c r="C26" i="104"/>
  <c r="D30" i="104" s="1"/>
  <c r="O24" i="104"/>
  <c r="N24" i="104"/>
  <c r="M24" i="104"/>
  <c r="K24" i="104"/>
  <c r="E24" i="104"/>
  <c r="P23" i="104"/>
  <c r="O23" i="104"/>
  <c r="N23" i="104"/>
  <c r="L23" i="104"/>
  <c r="K23" i="104"/>
  <c r="E23" i="104"/>
  <c r="X22" i="104"/>
  <c r="W22" i="104"/>
  <c r="V22" i="104"/>
  <c r="U22" i="104"/>
  <c r="T22" i="104"/>
  <c r="G22" i="104"/>
  <c r="O21" i="104"/>
  <c r="N21" i="104"/>
  <c r="M21" i="104"/>
  <c r="L21" i="104"/>
  <c r="K21" i="104"/>
  <c r="E21" i="104"/>
  <c r="C21" i="104"/>
  <c r="C19" i="104"/>
  <c r="C18" i="104"/>
  <c r="E18" i="104" s="1"/>
  <c r="C17" i="104"/>
  <c r="E17" i="104" s="1"/>
  <c r="C15" i="104"/>
  <c r="G15" i="104" s="1"/>
  <c r="C14" i="104"/>
  <c r="X13" i="104"/>
  <c r="W13" i="104"/>
  <c r="W5" i="104" s="1"/>
  <c r="V13" i="104"/>
  <c r="V5" i="104" s="1"/>
  <c r="U13" i="104"/>
  <c r="U5" i="104" s="1"/>
  <c r="T13" i="104"/>
  <c r="S13" i="104" s="1"/>
  <c r="M13" i="104"/>
  <c r="L13" i="104"/>
  <c r="K13" i="104"/>
  <c r="I13" i="104"/>
  <c r="F13" i="104"/>
  <c r="C13" i="104"/>
  <c r="E13" i="104" s="1"/>
  <c r="C12" i="104"/>
  <c r="E12" i="104" s="1"/>
  <c r="G12" i="104" s="1"/>
  <c r="C11" i="104"/>
  <c r="C10" i="104"/>
  <c r="C9" i="104"/>
  <c r="C8" i="104"/>
  <c r="C7" i="104"/>
  <c r="G38" i="52"/>
  <c r="G34" i="52"/>
  <c r="G33" i="52"/>
  <c r="G32" i="52"/>
  <c r="G31" i="52"/>
  <c r="G30" i="52"/>
  <c r="G29" i="52"/>
  <c r="E48" i="52"/>
  <c r="E45" i="52"/>
  <c r="E44" i="52"/>
  <c r="E42" i="52"/>
  <c r="E38" i="52"/>
  <c r="E34" i="52"/>
  <c r="E33" i="52"/>
  <c r="E32" i="52"/>
  <c r="E31" i="52"/>
  <c r="E30" i="52"/>
  <c r="E29" i="52"/>
  <c r="E19" i="52"/>
  <c r="E18" i="52"/>
  <c r="E17" i="52"/>
  <c r="E14" i="52"/>
  <c r="E13" i="52"/>
  <c r="E12" i="52"/>
  <c r="E11" i="52"/>
  <c r="E10" i="52"/>
  <c r="E5" i="52"/>
  <c r="E4" i="52"/>
  <c r="G45" i="52"/>
  <c r="G44" i="52"/>
  <c r="G42" i="52"/>
  <c r="G5" i="52"/>
  <c r="W5" i="52" s="1"/>
  <c r="G4" i="52"/>
  <c r="W4" i="52" s="1"/>
  <c r="Y46" i="70"/>
  <c r="Y44" i="70"/>
  <c r="G43" i="70"/>
  <c r="Q43" i="70" s="1"/>
  <c r="Y41" i="70"/>
  <c r="S41" i="70"/>
  <c r="C37" i="70"/>
  <c r="S30" i="70"/>
  <c r="V5" i="70"/>
  <c r="G21" i="70"/>
  <c r="W5" i="70"/>
  <c r="G11" i="70"/>
  <c r="Y47" i="70"/>
  <c r="C47" i="70"/>
  <c r="Y45" i="70"/>
  <c r="C45" i="70"/>
  <c r="C24" i="70" s="1"/>
  <c r="G44" i="70"/>
  <c r="Q44" i="70" s="1"/>
  <c r="Y42" i="70"/>
  <c r="G41" i="70"/>
  <c r="F41" i="70"/>
  <c r="Y40" i="70"/>
  <c r="G40" i="70"/>
  <c r="Y39" i="70"/>
  <c r="Y38" i="70"/>
  <c r="G38" i="70"/>
  <c r="Z38" i="70" s="1"/>
  <c r="C38" i="70"/>
  <c r="Y37" i="70"/>
  <c r="Y36" i="70"/>
  <c r="Z36" i="70" s="1"/>
  <c r="D30" i="70"/>
  <c r="S22" i="70"/>
  <c r="G16" i="70"/>
  <c r="G15" i="70"/>
  <c r="G14" i="70"/>
  <c r="S13" i="70"/>
  <c r="G13" i="70"/>
  <c r="G12" i="70"/>
  <c r="G9" i="70"/>
  <c r="G8" i="70"/>
  <c r="G7" i="70"/>
  <c r="T17" i="52"/>
  <c r="T19" i="52"/>
  <c r="T23" i="52"/>
  <c r="T22" i="52"/>
  <c r="T21" i="52"/>
  <c r="T20" i="52"/>
  <c r="T18" i="52"/>
  <c r="T5" i="52"/>
  <c r="T4" i="52"/>
  <c r="AA447" i="116" a="1"/>
  <c r="AA376" i="116" a="1"/>
  <c r="AA484" i="116" a="1"/>
  <c r="AA411" i="116" a="1"/>
  <c r="E47" i="113" l="1"/>
  <c r="F47" i="113" s="1"/>
  <c r="G47" i="113" s="1"/>
  <c r="H47" i="113" s="1"/>
  <c r="AL75" i="168"/>
  <c r="O31" i="107"/>
  <c r="P31" i="107" s="1"/>
  <c r="O27" i="107"/>
  <c r="P27" i="107" s="1"/>
  <c r="J63" i="113"/>
  <c r="K63" i="113" s="1"/>
  <c r="Z44" i="70"/>
  <c r="AG23" i="115"/>
  <c r="O32" i="107"/>
  <c r="P32" i="107" s="1"/>
  <c r="E74" i="113"/>
  <c r="F74" i="113" s="1"/>
  <c r="G74" i="113" s="1"/>
  <c r="H74" i="113" s="1"/>
  <c r="I52" i="113"/>
  <c r="E52" i="113" s="1"/>
  <c r="F52" i="113" s="1"/>
  <c r="G52" i="113" s="1"/>
  <c r="H52" i="113" s="1"/>
  <c r="I37" i="113"/>
  <c r="E24" i="168"/>
  <c r="O30" i="107"/>
  <c r="P30" i="107" s="1"/>
  <c r="E27" i="113"/>
  <c r="O33" i="107"/>
  <c r="P33" i="107" s="1"/>
  <c r="E26" i="168"/>
  <c r="E31" i="168"/>
  <c r="J35" i="109"/>
  <c r="K35" i="109" s="1"/>
  <c r="Q27" i="109"/>
  <c r="O27" i="109" s="1"/>
  <c r="P27" i="109" s="1"/>
  <c r="R12" i="109"/>
  <c r="Q31" i="109"/>
  <c r="O31" i="109" s="1"/>
  <c r="P31" i="109" s="1"/>
  <c r="Q29" i="109"/>
  <c r="O29" i="109" s="1"/>
  <c r="P29" i="109" s="1"/>
  <c r="O12" i="109"/>
  <c r="P12" i="109" s="1"/>
  <c r="Q30" i="109"/>
  <c r="O30" i="109" s="1"/>
  <c r="P30" i="109" s="1"/>
  <c r="O7" i="113"/>
  <c r="P7" i="113" s="1"/>
  <c r="Q26" i="113"/>
  <c r="Q63" i="113"/>
  <c r="Q44" i="113"/>
  <c r="Q25" i="113"/>
  <c r="Q24" i="113"/>
  <c r="Q31" i="113"/>
  <c r="Q30" i="113"/>
  <c r="Q27" i="113"/>
  <c r="Q28" i="113"/>
  <c r="Q29" i="113"/>
  <c r="R7" i="113"/>
  <c r="R26" i="113" s="1"/>
  <c r="Q35" i="109"/>
  <c r="O35" i="109" s="1"/>
  <c r="P35" i="109" s="1"/>
  <c r="R34" i="109"/>
  <c r="Q32" i="109"/>
  <c r="O32" i="109" s="1"/>
  <c r="P32" i="109" s="1"/>
  <c r="Q28" i="109"/>
  <c r="O28" i="109" s="1"/>
  <c r="P28" i="109" s="1"/>
  <c r="Q33" i="109"/>
  <c r="O33" i="109" s="1"/>
  <c r="P33" i="109" s="1"/>
  <c r="AK55" i="168"/>
  <c r="AL70" i="168"/>
  <c r="AL51" i="168"/>
  <c r="AL74" i="168"/>
  <c r="AL54" i="168"/>
  <c r="AL72" i="168"/>
  <c r="AL73" i="168"/>
  <c r="AL53" i="168"/>
  <c r="AK22" i="168"/>
  <c r="AL3" i="168"/>
  <c r="AK23" i="168"/>
  <c r="G11" i="113"/>
  <c r="G11" i="168"/>
  <c r="G12" i="113"/>
  <c r="G12" i="168"/>
  <c r="E30" i="168"/>
  <c r="E24" i="113"/>
  <c r="E29" i="168"/>
  <c r="E61" i="168"/>
  <c r="F61" i="168" s="1"/>
  <c r="G61" i="168" s="1"/>
  <c r="H61" i="168" s="1"/>
  <c r="J61" i="168"/>
  <c r="K61" i="168" s="1"/>
  <c r="E31" i="113"/>
  <c r="G10" i="113"/>
  <c r="G10" i="168"/>
  <c r="E25" i="168"/>
  <c r="E28" i="113"/>
  <c r="F8" i="113"/>
  <c r="F8" i="168"/>
  <c r="E30" i="113"/>
  <c r="G6" i="113"/>
  <c r="G6" i="168"/>
  <c r="E27" i="168"/>
  <c r="E29" i="113"/>
  <c r="E42" i="168"/>
  <c r="F42" i="168" s="1"/>
  <c r="G42" i="168" s="1"/>
  <c r="H42" i="168" s="1"/>
  <c r="J42" i="168"/>
  <c r="K42" i="168" s="1"/>
  <c r="G9" i="113"/>
  <c r="G9" i="168"/>
  <c r="E28" i="168"/>
  <c r="E64" i="168"/>
  <c r="F64" i="168" s="1"/>
  <c r="G64" i="168" s="1"/>
  <c r="H64" i="168" s="1"/>
  <c r="J64" i="168"/>
  <c r="K64" i="168" s="1"/>
  <c r="F7" i="113"/>
  <c r="F30" i="113" s="1"/>
  <c r="F7" i="168"/>
  <c r="E63" i="168"/>
  <c r="F63" i="168" s="1"/>
  <c r="G63" i="168" s="1"/>
  <c r="H63" i="168" s="1"/>
  <c r="J63" i="168"/>
  <c r="K63" i="168" s="1"/>
  <c r="AI69" i="168"/>
  <c r="AJ52" i="168"/>
  <c r="AJ50" i="168"/>
  <c r="AJ13" i="168"/>
  <c r="AI32" i="168"/>
  <c r="AI37" i="168"/>
  <c r="AI35" i="168"/>
  <c r="AI36" i="168"/>
  <c r="AI33" i="168"/>
  <c r="AJ71" i="168"/>
  <c r="AI34" i="168"/>
  <c r="AM38" i="168"/>
  <c r="AK15" i="168"/>
  <c r="E70" i="115"/>
  <c r="F70" i="115" s="1"/>
  <c r="G70" i="115" s="1"/>
  <c r="H70" i="115" s="1"/>
  <c r="J28" i="109"/>
  <c r="K28" i="109" s="1"/>
  <c r="E34" i="107"/>
  <c r="I73" i="113"/>
  <c r="E73" i="113" s="1"/>
  <c r="F73" i="113" s="1"/>
  <c r="G73" i="113" s="1"/>
  <c r="H73" i="113" s="1"/>
  <c r="I55" i="113"/>
  <c r="E55" i="113" s="1"/>
  <c r="F55" i="113" s="1"/>
  <c r="G55" i="113" s="1"/>
  <c r="H55" i="113" s="1"/>
  <c r="I34" i="113"/>
  <c r="E59" i="113"/>
  <c r="F59" i="113" s="1"/>
  <c r="G59" i="113" s="1"/>
  <c r="H59" i="113" s="1"/>
  <c r="I50" i="113"/>
  <c r="E50" i="113" s="1"/>
  <c r="F50" i="113" s="1"/>
  <c r="G50" i="113" s="1"/>
  <c r="H50" i="113" s="1"/>
  <c r="I23" i="113"/>
  <c r="I40" i="113"/>
  <c r="E40" i="113" s="1"/>
  <c r="F40" i="113" s="1"/>
  <c r="G40" i="113" s="1"/>
  <c r="H40" i="113" s="1"/>
  <c r="I22" i="113"/>
  <c r="I32" i="113"/>
  <c r="D38" i="113"/>
  <c r="I51" i="113"/>
  <c r="E51" i="113" s="1"/>
  <c r="F51" i="113" s="1"/>
  <c r="G51" i="113" s="1"/>
  <c r="H51" i="113" s="1"/>
  <c r="E3" i="168"/>
  <c r="E3" i="113"/>
  <c r="E22" i="113" s="1"/>
  <c r="E14" i="168"/>
  <c r="E14" i="113"/>
  <c r="D38" i="168"/>
  <c r="E17" i="168"/>
  <c r="E17" i="113"/>
  <c r="E73" i="115"/>
  <c r="F73" i="115" s="1"/>
  <c r="G73" i="115" s="1"/>
  <c r="H73" i="115" s="1"/>
  <c r="I69" i="168"/>
  <c r="I32" i="168"/>
  <c r="I50" i="168"/>
  <c r="E18" i="168"/>
  <c r="E18" i="113"/>
  <c r="L75" i="113"/>
  <c r="J75" i="113" s="1"/>
  <c r="K75" i="113" s="1"/>
  <c r="L75" i="168"/>
  <c r="M75" i="168" s="1"/>
  <c r="I36" i="113"/>
  <c r="E16" i="168"/>
  <c r="E16" i="113"/>
  <c r="I35" i="168"/>
  <c r="I53" i="168"/>
  <c r="I72" i="168"/>
  <c r="I22" i="168"/>
  <c r="I23" i="168"/>
  <c r="I40" i="168"/>
  <c r="J40" i="168" s="1"/>
  <c r="K40" i="168" s="1"/>
  <c r="I59" i="168"/>
  <c r="J59" i="168" s="1"/>
  <c r="K59" i="168" s="1"/>
  <c r="I33" i="113"/>
  <c r="J30" i="109"/>
  <c r="K30" i="109" s="1"/>
  <c r="I33" i="168"/>
  <c r="I51" i="168"/>
  <c r="I70" i="168"/>
  <c r="J32" i="109"/>
  <c r="K32" i="109" s="1"/>
  <c r="I19" i="113"/>
  <c r="I19" i="168"/>
  <c r="I53" i="113"/>
  <c r="E53" i="113" s="1"/>
  <c r="F53" i="113" s="1"/>
  <c r="G53" i="113" s="1"/>
  <c r="H53" i="113" s="1"/>
  <c r="I34" i="168"/>
  <c r="I52" i="168"/>
  <c r="J52" i="168" s="1"/>
  <c r="K52" i="168" s="1"/>
  <c r="I71" i="168"/>
  <c r="J71" i="168" s="1"/>
  <c r="K71" i="168" s="1"/>
  <c r="J3" i="113"/>
  <c r="J3" i="168"/>
  <c r="L56" i="113"/>
  <c r="J56" i="113" s="1"/>
  <c r="K56" i="113" s="1"/>
  <c r="L56" i="168"/>
  <c r="I35" i="113"/>
  <c r="F15" i="168"/>
  <c r="F15" i="113"/>
  <c r="I36" i="168"/>
  <c r="I54" i="168"/>
  <c r="I73" i="168"/>
  <c r="E15" i="168"/>
  <c r="E15" i="113"/>
  <c r="E59" i="168"/>
  <c r="F59" i="168" s="1"/>
  <c r="G59" i="168" s="1"/>
  <c r="H59" i="168" s="1"/>
  <c r="E71" i="168"/>
  <c r="F71" i="168" s="1"/>
  <c r="G71" i="168" s="1"/>
  <c r="H71" i="168" s="1"/>
  <c r="E13" i="168"/>
  <c r="E13" i="113"/>
  <c r="I74" i="168"/>
  <c r="J74" i="168" s="1"/>
  <c r="K74" i="168" s="1"/>
  <c r="I55" i="168"/>
  <c r="J55" i="168" s="1"/>
  <c r="K55" i="168" s="1"/>
  <c r="I37" i="168"/>
  <c r="K14" i="115"/>
  <c r="J14" i="113"/>
  <c r="K17" i="115"/>
  <c r="J17" i="113"/>
  <c r="K13" i="115"/>
  <c r="J13" i="113"/>
  <c r="K18" i="115"/>
  <c r="J18" i="113"/>
  <c r="K16" i="115"/>
  <c r="J16" i="113"/>
  <c r="J29" i="109"/>
  <c r="K29" i="109" s="1"/>
  <c r="J34" i="109"/>
  <c r="K34" i="109" s="1"/>
  <c r="M30" i="109"/>
  <c r="J27" i="109"/>
  <c r="K27" i="109" s="1"/>
  <c r="E25" i="113"/>
  <c r="F5" i="113"/>
  <c r="G5" i="115"/>
  <c r="G5" i="168" s="1"/>
  <c r="E26" i="113"/>
  <c r="T5" i="104"/>
  <c r="AG57" i="108"/>
  <c r="E28" i="107"/>
  <c r="E32" i="107"/>
  <c r="E27" i="107"/>
  <c r="E34" i="115"/>
  <c r="E33" i="107"/>
  <c r="E29" i="107"/>
  <c r="F32" i="107"/>
  <c r="E30" i="107"/>
  <c r="E31" i="107"/>
  <c r="I38" i="115"/>
  <c r="H22" i="109"/>
  <c r="E35" i="107"/>
  <c r="Z40" i="104"/>
  <c r="C24" i="104"/>
  <c r="G24" i="104" s="1"/>
  <c r="G45" i="104"/>
  <c r="Q45" i="104" s="1"/>
  <c r="G15" i="115"/>
  <c r="F7" i="107"/>
  <c r="E24" i="107"/>
  <c r="J53" i="115"/>
  <c r="K53" i="115" s="1"/>
  <c r="E53" i="115"/>
  <c r="F53" i="115" s="1"/>
  <c r="G53" i="115" s="1"/>
  <c r="H53" i="115" s="1"/>
  <c r="E33" i="115"/>
  <c r="F14" i="115"/>
  <c r="E32" i="115"/>
  <c r="F13" i="115"/>
  <c r="J72" i="115"/>
  <c r="K72" i="115" s="1"/>
  <c r="E72" i="115"/>
  <c r="F72" i="115" s="1"/>
  <c r="G72" i="115" s="1"/>
  <c r="H72" i="115" s="1"/>
  <c r="D13" i="104"/>
  <c r="X5" i="104"/>
  <c r="E35" i="115"/>
  <c r="F16" i="115"/>
  <c r="G21" i="104"/>
  <c r="F3" i="109"/>
  <c r="E21" i="109"/>
  <c r="E20" i="109"/>
  <c r="J74" i="115"/>
  <c r="K74" i="115" s="1"/>
  <c r="E74" i="115"/>
  <c r="F74" i="115" s="1"/>
  <c r="G74" i="115" s="1"/>
  <c r="H74" i="115" s="1"/>
  <c r="J23" i="115"/>
  <c r="J22" i="115"/>
  <c r="K3" i="115"/>
  <c r="C42" i="104"/>
  <c r="G42" i="104" s="1"/>
  <c r="Q42" i="104" s="1"/>
  <c r="E37" i="115"/>
  <c r="F18" i="115"/>
  <c r="F3" i="107"/>
  <c r="E21" i="107"/>
  <c r="E20" i="107"/>
  <c r="F9" i="109"/>
  <c r="E26" i="109"/>
  <c r="F7" i="109"/>
  <c r="E24" i="109"/>
  <c r="H23" i="109"/>
  <c r="E59" i="115"/>
  <c r="E26" i="107"/>
  <c r="F9" i="107"/>
  <c r="F8" i="107"/>
  <c r="E25" i="107"/>
  <c r="J51" i="115"/>
  <c r="K51" i="115" s="1"/>
  <c r="E51" i="115"/>
  <c r="F51" i="115" s="1"/>
  <c r="G51" i="115" s="1"/>
  <c r="H51" i="115" s="1"/>
  <c r="J69" i="115"/>
  <c r="K69" i="115" s="1"/>
  <c r="E69" i="115"/>
  <c r="F69" i="115" s="1"/>
  <c r="G69" i="115" s="1"/>
  <c r="H69" i="115" s="1"/>
  <c r="Z39" i="104"/>
  <c r="J55" i="115"/>
  <c r="K55" i="115" s="1"/>
  <c r="E55" i="115"/>
  <c r="F55" i="115" s="1"/>
  <c r="G55" i="115" s="1"/>
  <c r="H55" i="115" s="1"/>
  <c r="E22" i="115"/>
  <c r="F3" i="115"/>
  <c r="E23" i="115"/>
  <c r="Y39" i="104"/>
  <c r="J54" i="115"/>
  <c r="K54" i="115" s="1"/>
  <c r="E54" i="115"/>
  <c r="F54" i="115" s="1"/>
  <c r="G54" i="115" s="1"/>
  <c r="H54" i="115" s="1"/>
  <c r="Y44" i="104"/>
  <c r="Z44" i="104" s="1"/>
  <c r="E25" i="109"/>
  <c r="F8" i="109"/>
  <c r="E36" i="115"/>
  <c r="F17" i="115"/>
  <c r="E40" i="115"/>
  <c r="S22" i="104"/>
  <c r="Y41" i="104"/>
  <c r="J50" i="115"/>
  <c r="K50" i="115" s="1"/>
  <c r="E50" i="115"/>
  <c r="F50" i="115" s="1"/>
  <c r="G50" i="115" s="1"/>
  <c r="H50" i="115" s="1"/>
  <c r="Z64" i="113"/>
  <c r="Z62" i="113"/>
  <c r="S19" i="113"/>
  <c r="AY28" i="108"/>
  <c r="I19" i="109"/>
  <c r="AG22" i="115"/>
  <c r="C23" i="70"/>
  <c r="D22" i="70" s="1"/>
  <c r="N19" i="109"/>
  <c r="AU28" i="108"/>
  <c r="BE5" i="52"/>
  <c r="F35" i="70"/>
  <c r="E29" i="70" s="1"/>
  <c r="M30" i="52"/>
  <c r="P30" i="52" s="1"/>
  <c r="M33" i="52"/>
  <c r="P33" i="52" s="1"/>
  <c r="M38" i="52"/>
  <c r="P38" i="52" s="1"/>
  <c r="M32" i="52"/>
  <c r="P32" i="52" s="1"/>
  <c r="M31" i="52"/>
  <c r="P31" i="52" s="1"/>
  <c r="Z41" i="70"/>
  <c r="M24" i="113"/>
  <c r="AH54" i="108"/>
  <c r="AH51" i="108"/>
  <c r="AV47" i="108"/>
  <c r="AV2" i="108"/>
  <c r="AV28" i="108" s="1"/>
  <c r="L37" i="113"/>
  <c r="AH49" i="108"/>
  <c r="AK34" i="113"/>
  <c r="AK33" i="113"/>
  <c r="AK32" i="113"/>
  <c r="AL13" i="113"/>
  <c r="AL16" i="113"/>
  <c r="AK35" i="113"/>
  <c r="AL17" i="113"/>
  <c r="AK36" i="113"/>
  <c r="AK23" i="113"/>
  <c r="AL3" i="113"/>
  <c r="AK22" i="113"/>
  <c r="AL18" i="113"/>
  <c r="AK37" i="113"/>
  <c r="L35" i="113"/>
  <c r="M16" i="113"/>
  <c r="L53" i="113"/>
  <c r="M55" i="113"/>
  <c r="M31" i="113"/>
  <c r="AH47" i="108"/>
  <c r="M9" i="109"/>
  <c r="J9" i="109"/>
  <c r="K9" i="109" s="1"/>
  <c r="L26" i="109"/>
  <c r="M73" i="113"/>
  <c r="M74" i="113"/>
  <c r="J74" i="113"/>
  <c r="K74" i="113" s="1"/>
  <c r="AV48" i="108"/>
  <c r="AV50" i="108"/>
  <c r="AV53" i="108"/>
  <c r="M7" i="109"/>
  <c r="L24" i="109"/>
  <c r="J7" i="109"/>
  <c r="K7" i="109" s="1"/>
  <c r="M3" i="109"/>
  <c r="J3" i="109"/>
  <c r="K3" i="109" s="1"/>
  <c r="L20" i="109"/>
  <c r="L21" i="109"/>
  <c r="AV49" i="108"/>
  <c r="L32" i="113"/>
  <c r="M13" i="113"/>
  <c r="L50" i="113"/>
  <c r="J8" i="109"/>
  <c r="K8" i="109" s="1"/>
  <c r="M8" i="109"/>
  <c r="L25" i="109"/>
  <c r="L59" i="113"/>
  <c r="L22" i="113"/>
  <c r="M3" i="113"/>
  <c r="L23" i="113"/>
  <c r="L40" i="113"/>
  <c r="AV52" i="108"/>
  <c r="L34" i="113"/>
  <c r="M15" i="113"/>
  <c r="L52" i="113"/>
  <c r="J71" i="113"/>
  <c r="K71" i="113" s="1"/>
  <c r="M71" i="113"/>
  <c r="L70" i="113"/>
  <c r="L33" i="113"/>
  <c r="M14" i="113"/>
  <c r="L51" i="113"/>
  <c r="L36" i="113"/>
  <c r="M17" i="113"/>
  <c r="L54" i="113"/>
  <c r="AH34" i="108"/>
  <c r="AH2" i="108"/>
  <c r="AH28" i="108" s="1"/>
  <c r="AV54" i="108"/>
  <c r="AH53" i="108"/>
  <c r="M72" i="113"/>
  <c r="J72" i="113"/>
  <c r="K72" i="113" s="1"/>
  <c r="M69" i="113"/>
  <c r="J69" i="113"/>
  <c r="K69" i="113" s="1"/>
  <c r="AH52" i="108"/>
  <c r="AH48" i="108"/>
  <c r="AX2" i="108"/>
  <c r="Y29" i="115"/>
  <c r="AX41" i="108"/>
  <c r="V27" i="109"/>
  <c r="W27" i="109" s="1"/>
  <c r="V30" i="109"/>
  <c r="T30" i="109" s="1"/>
  <c r="U30" i="109" s="1"/>
  <c r="V29" i="109"/>
  <c r="W29" i="109" s="1"/>
  <c r="M29" i="113"/>
  <c r="V34" i="109"/>
  <c r="W34" i="109" s="1"/>
  <c r="V35" i="109"/>
  <c r="W35" i="109" s="1"/>
  <c r="M30" i="113"/>
  <c r="W12" i="109"/>
  <c r="F31" i="107"/>
  <c r="BB45" i="108"/>
  <c r="AB27" i="115"/>
  <c r="Y48" i="113"/>
  <c r="Z48" i="113" s="1"/>
  <c r="AX40" i="108"/>
  <c r="V38" i="115"/>
  <c r="AX45" i="108"/>
  <c r="AB29" i="109"/>
  <c r="AX42" i="108"/>
  <c r="AX43" i="108"/>
  <c r="W31" i="109"/>
  <c r="T31" i="109"/>
  <c r="U31" i="109" s="1"/>
  <c r="AH32" i="109"/>
  <c r="AI32" i="109" s="1"/>
  <c r="AJ32" i="109" s="1"/>
  <c r="AK32" i="109" s="1"/>
  <c r="AL32" i="109" s="1"/>
  <c r="AH44" i="115"/>
  <c r="AD44" i="115" s="1"/>
  <c r="AE44" i="115" s="1"/>
  <c r="AF44" i="115" s="1"/>
  <c r="AG44" i="115" s="1"/>
  <c r="BD45" i="108"/>
  <c r="AC38" i="115"/>
  <c r="T12" i="109"/>
  <c r="U12" i="109" s="1"/>
  <c r="V32" i="109"/>
  <c r="W32" i="109" s="1"/>
  <c r="V33" i="109"/>
  <c r="W33" i="109" s="1"/>
  <c r="AH30" i="115"/>
  <c r="V28" i="109"/>
  <c r="W28" i="109" s="1"/>
  <c r="BD44" i="108"/>
  <c r="M25" i="113"/>
  <c r="BD41" i="108"/>
  <c r="AH27" i="109"/>
  <c r="AI27" i="109" s="1"/>
  <c r="AJ27" i="109" s="1"/>
  <c r="AK27" i="109" s="1"/>
  <c r="AL27" i="109" s="1"/>
  <c r="AL57" i="108"/>
  <c r="M28" i="113"/>
  <c r="M27" i="113"/>
  <c r="AH34" i="109"/>
  <c r="AI34" i="109" s="1"/>
  <c r="AJ34" i="109" s="1"/>
  <c r="AK34" i="109" s="1"/>
  <c r="AL34" i="109" s="1"/>
  <c r="AH25" i="115"/>
  <c r="BB40" i="108"/>
  <c r="AB7" i="113"/>
  <c r="AB26" i="113" s="1"/>
  <c r="N38" i="113"/>
  <c r="AC38" i="113"/>
  <c r="W29" i="115"/>
  <c r="Y7" i="113"/>
  <c r="Z7" i="113" s="1"/>
  <c r="AA27" i="113"/>
  <c r="F31" i="115"/>
  <c r="BB41" i="108"/>
  <c r="W24" i="115"/>
  <c r="AA29" i="113"/>
  <c r="AA63" i="113"/>
  <c r="AB63" i="113" s="1"/>
  <c r="M44" i="113"/>
  <c r="AA30" i="113"/>
  <c r="AA24" i="113"/>
  <c r="X38" i="115"/>
  <c r="AA31" i="113"/>
  <c r="BB44" i="108"/>
  <c r="W27" i="115"/>
  <c r="AH28" i="109"/>
  <c r="AI28" i="109" s="1"/>
  <c r="AJ28" i="109" s="1"/>
  <c r="AK28" i="109" s="1"/>
  <c r="AL28" i="109" s="1"/>
  <c r="BB43" i="108"/>
  <c r="BB42" i="108"/>
  <c r="AH27" i="115"/>
  <c r="Y30" i="115"/>
  <c r="AD46" i="113"/>
  <c r="AE46" i="113" s="1"/>
  <c r="AF46" i="113" s="1"/>
  <c r="AG46" i="113" s="1"/>
  <c r="AA28" i="113"/>
  <c r="O26" i="115"/>
  <c r="AD47" i="113"/>
  <c r="AE47" i="113" s="1"/>
  <c r="AF47" i="113" s="1"/>
  <c r="AG47" i="113" s="1"/>
  <c r="W28" i="115"/>
  <c r="AA26" i="113"/>
  <c r="AB30" i="115"/>
  <c r="AA44" i="113"/>
  <c r="AA447" i="116"/>
  <c r="AA484" i="116"/>
  <c r="AA376" i="116"/>
  <c r="AA411" i="116"/>
  <c r="AD64" i="115"/>
  <c r="AE64" i="115" s="1"/>
  <c r="AF64" i="115" s="1"/>
  <c r="AG64" i="115" s="1"/>
  <c r="Y28" i="115"/>
  <c r="AH31" i="115"/>
  <c r="AF5" i="115"/>
  <c r="A486" i="116"/>
  <c r="A487" i="116" s="1"/>
  <c r="AF11" i="115"/>
  <c r="AF8" i="115"/>
  <c r="AI43" i="113"/>
  <c r="AJ43" i="113" s="1"/>
  <c r="AK43" i="113" s="1"/>
  <c r="AL43" i="113" s="1"/>
  <c r="AD43" i="113"/>
  <c r="AE43" i="113" s="1"/>
  <c r="AF43" i="113" s="1"/>
  <c r="AG43" i="113" s="1"/>
  <c r="AH28" i="115"/>
  <c r="AB63" i="115"/>
  <c r="AB27" i="109"/>
  <c r="AK6" i="113"/>
  <c r="AB35" i="109"/>
  <c r="BD43" i="108"/>
  <c r="AF9" i="115"/>
  <c r="AK10" i="113"/>
  <c r="W30" i="115"/>
  <c r="O29" i="115"/>
  <c r="W31" i="115"/>
  <c r="AF8" i="113"/>
  <c r="Y26" i="115"/>
  <c r="Z7" i="115"/>
  <c r="Z26" i="115" s="1"/>
  <c r="AG12" i="113"/>
  <c r="AI7" i="113"/>
  <c r="AH26" i="113"/>
  <c r="AH24" i="113"/>
  <c r="AH25" i="113"/>
  <c r="AH28" i="113"/>
  <c r="AH29" i="113"/>
  <c r="AH63" i="113"/>
  <c r="AH27" i="113"/>
  <c r="AH31" i="113"/>
  <c r="AD7" i="113"/>
  <c r="AH30" i="113"/>
  <c r="F30" i="115"/>
  <c r="H9" i="115"/>
  <c r="AI48" i="113"/>
  <c r="AJ48" i="113" s="1"/>
  <c r="AK48" i="113" s="1"/>
  <c r="AL48" i="113" s="1"/>
  <c r="AD48" i="113"/>
  <c r="AE48" i="113" s="1"/>
  <c r="AF48" i="113" s="1"/>
  <c r="AG48" i="113" s="1"/>
  <c r="AB45" i="113"/>
  <c r="Y45" i="113"/>
  <c r="AG9" i="113"/>
  <c r="W25" i="115"/>
  <c r="AK11" i="113"/>
  <c r="F25" i="115"/>
  <c r="H12" i="115"/>
  <c r="AF10" i="115"/>
  <c r="AF5" i="113"/>
  <c r="AK9" i="113"/>
  <c r="W48" i="113"/>
  <c r="F28" i="115"/>
  <c r="AD7" i="115"/>
  <c r="H10" i="115"/>
  <c r="H6" i="115"/>
  <c r="Y43" i="113"/>
  <c r="AG11" i="113"/>
  <c r="AF12" i="115"/>
  <c r="AK12" i="113"/>
  <c r="N38" i="115"/>
  <c r="F26" i="115"/>
  <c r="G7" i="115"/>
  <c r="F24" i="115"/>
  <c r="AB26" i="115"/>
  <c r="AB25" i="115"/>
  <c r="AB31" i="115"/>
  <c r="AB24" i="115"/>
  <c r="AH24" i="115"/>
  <c r="H11" i="115"/>
  <c r="W43" i="113"/>
  <c r="AF6" i="115"/>
  <c r="BD40" i="108"/>
  <c r="Y25" i="115"/>
  <c r="AD68" i="115"/>
  <c r="AE68" i="115" s="1"/>
  <c r="AF68" i="115" s="1"/>
  <c r="AG68" i="115" s="1"/>
  <c r="F29" i="115"/>
  <c r="Y24" i="115"/>
  <c r="AK8" i="113"/>
  <c r="W63" i="115"/>
  <c r="M63" i="113"/>
  <c r="AH44" i="113"/>
  <c r="AD48" i="115"/>
  <c r="AE48" i="115" s="1"/>
  <c r="AF48" i="115" s="1"/>
  <c r="AG48" i="115" s="1"/>
  <c r="F27" i="115"/>
  <c r="G8" i="115"/>
  <c r="A449" i="116"/>
  <c r="A450" i="116" s="1"/>
  <c r="O24" i="115"/>
  <c r="O30" i="115"/>
  <c r="O27" i="115"/>
  <c r="V44" i="113"/>
  <c r="T44" i="113" s="1"/>
  <c r="U44" i="113" s="1"/>
  <c r="W7" i="113"/>
  <c r="V26" i="113"/>
  <c r="V63" i="113"/>
  <c r="T63" i="113" s="1"/>
  <c r="U63" i="113" s="1"/>
  <c r="V27" i="113"/>
  <c r="T7" i="113"/>
  <c r="V25" i="113"/>
  <c r="V28" i="113"/>
  <c r="V29" i="113"/>
  <c r="V24" i="113"/>
  <c r="V30" i="113"/>
  <c r="V31" i="113"/>
  <c r="AK5" i="113"/>
  <c r="AH26" i="115"/>
  <c r="AH63" i="115"/>
  <c r="AD63" i="115" s="1"/>
  <c r="AE63" i="115" s="1"/>
  <c r="AF63" i="115" s="1"/>
  <c r="AG63" i="115" s="1"/>
  <c r="AG6" i="113"/>
  <c r="Y31" i="115"/>
  <c r="AB29" i="115"/>
  <c r="AG10" i="113"/>
  <c r="O25" i="115"/>
  <c r="X38" i="113"/>
  <c r="O31" i="115"/>
  <c r="O28" i="115"/>
  <c r="A414" i="116"/>
  <c r="AB28" i="109"/>
  <c r="Y27" i="109"/>
  <c r="Z27" i="109" s="1"/>
  <c r="AB31" i="109"/>
  <c r="AB32" i="109"/>
  <c r="Y32" i="109"/>
  <c r="Z32" i="109" s="1"/>
  <c r="AI12" i="109"/>
  <c r="AJ12" i="109" s="1"/>
  <c r="AK12" i="109" s="1"/>
  <c r="AL12" i="109" s="1"/>
  <c r="AH29" i="109"/>
  <c r="AI29" i="109" s="1"/>
  <c r="AJ29" i="109" s="1"/>
  <c r="AK29" i="109" s="1"/>
  <c r="AL29" i="109" s="1"/>
  <c r="AH30" i="109"/>
  <c r="AI30" i="109" s="1"/>
  <c r="AJ30" i="109" s="1"/>
  <c r="AK30" i="109" s="1"/>
  <c r="AL30" i="109" s="1"/>
  <c r="Y31" i="109"/>
  <c r="Z31" i="109" s="1"/>
  <c r="AN57" i="108"/>
  <c r="F12" i="109"/>
  <c r="E29" i="109"/>
  <c r="E31" i="109"/>
  <c r="E35" i="109"/>
  <c r="E33" i="109"/>
  <c r="E32" i="109"/>
  <c r="E34" i="109"/>
  <c r="E28" i="109"/>
  <c r="E27" i="109"/>
  <c r="E30" i="109"/>
  <c r="AA19" i="109"/>
  <c r="H16" i="109"/>
  <c r="H13" i="109"/>
  <c r="F35" i="107"/>
  <c r="Y28" i="109"/>
  <c r="Z28" i="109" s="1"/>
  <c r="H15" i="109"/>
  <c r="Y35" i="109"/>
  <c r="Z35" i="109" s="1"/>
  <c r="AK57" i="108"/>
  <c r="X19" i="109"/>
  <c r="AH33" i="109"/>
  <c r="V19" i="109"/>
  <c r="Y33" i="109"/>
  <c r="Z33" i="109" s="1"/>
  <c r="AB33" i="109"/>
  <c r="Y34" i="109"/>
  <c r="Z34" i="109" s="1"/>
  <c r="Y29" i="109"/>
  <c r="Z29" i="109" s="1"/>
  <c r="AB30" i="109"/>
  <c r="H10" i="109"/>
  <c r="H14" i="109"/>
  <c r="H18" i="109"/>
  <c r="AJ57" i="108"/>
  <c r="S19" i="109"/>
  <c r="AH35" i="109"/>
  <c r="AH31" i="109"/>
  <c r="AI31" i="109" s="1"/>
  <c r="AJ31" i="109" s="1"/>
  <c r="AK31" i="109" s="1"/>
  <c r="AL31" i="109" s="1"/>
  <c r="H10" i="107"/>
  <c r="G12" i="107"/>
  <c r="G28" i="107" s="1"/>
  <c r="F29" i="107"/>
  <c r="H18" i="107"/>
  <c r="F33" i="107"/>
  <c r="H14" i="107"/>
  <c r="F30" i="107"/>
  <c r="F34" i="107"/>
  <c r="F28" i="107"/>
  <c r="F27" i="107"/>
  <c r="H11" i="107"/>
  <c r="Z32" i="107"/>
  <c r="AG21" i="107"/>
  <c r="AG20" i="107"/>
  <c r="Z34" i="107"/>
  <c r="Z30" i="107"/>
  <c r="Z28" i="107"/>
  <c r="Z35" i="107"/>
  <c r="Z31" i="107"/>
  <c r="Z29" i="107"/>
  <c r="W35" i="107"/>
  <c r="W27" i="107"/>
  <c r="W31" i="107"/>
  <c r="W28" i="107"/>
  <c r="W32" i="107"/>
  <c r="W33" i="107"/>
  <c r="W30" i="107"/>
  <c r="W29" i="107"/>
  <c r="W34" i="107"/>
  <c r="BC28" i="52"/>
  <c r="AC19" i="107"/>
  <c r="AW28" i="52"/>
  <c r="N19" i="107"/>
  <c r="BA28" i="52"/>
  <c r="X19" i="107"/>
  <c r="AH29" i="107"/>
  <c r="AD12" i="107"/>
  <c r="AE12" i="107" s="1"/>
  <c r="AF12" i="107" s="1"/>
  <c r="AG12" i="107" s="1"/>
  <c r="AH19" i="107"/>
  <c r="AH31" i="107"/>
  <c r="AH30" i="107"/>
  <c r="AH33" i="107"/>
  <c r="AH27" i="107"/>
  <c r="AH34" i="107"/>
  <c r="AH28" i="107"/>
  <c r="AH32" i="107"/>
  <c r="AH35" i="107"/>
  <c r="AU28" i="52"/>
  <c r="I19" i="107"/>
  <c r="AM57" i="52"/>
  <c r="AO57" i="52"/>
  <c r="AP42" i="52"/>
  <c r="AP2" i="52"/>
  <c r="AP28" i="52" s="1"/>
  <c r="AP37" i="52"/>
  <c r="AP44" i="52"/>
  <c r="AP45" i="52"/>
  <c r="AP43" i="52"/>
  <c r="AP38" i="52"/>
  <c r="AP39" i="52"/>
  <c r="AP40" i="52"/>
  <c r="W3" i="52"/>
  <c r="W31" i="52" s="1"/>
  <c r="O29" i="52"/>
  <c r="W17" i="52"/>
  <c r="O33" i="52"/>
  <c r="W21" i="52"/>
  <c r="O30" i="52"/>
  <c r="W18" i="52"/>
  <c r="O34" i="52"/>
  <c r="W22" i="52"/>
  <c r="O31" i="52"/>
  <c r="W19" i="52"/>
  <c r="O38" i="52"/>
  <c r="W23" i="52"/>
  <c r="O32" i="52"/>
  <c r="W20" i="52"/>
  <c r="C5" i="104"/>
  <c r="C49" i="104" s="1"/>
  <c r="S5" i="104"/>
  <c r="Q38" i="104"/>
  <c r="Z41" i="104"/>
  <c r="F35" i="104"/>
  <c r="Z37" i="104"/>
  <c r="H41" i="104"/>
  <c r="F22" i="104"/>
  <c r="C23" i="104"/>
  <c r="S41" i="104"/>
  <c r="C46" i="104"/>
  <c r="G46" i="104" s="1"/>
  <c r="Q46" i="104" s="1"/>
  <c r="E11" i="104"/>
  <c r="E19" i="104"/>
  <c r="Y43" i="104"/>
  <c r="D41" i="104"/>
  <c r="E3" i="52"/>
  <c r="E28" i="52"/>
  <c r="G28" i="52"/>
  <c r="O28" i="52" s="1" a="1"/>
  <c r="O28" i="52" s="1"/>
  <c r="E9" i="52"/>
  <c r="G3" i="52"/>
  <c r="O3" i="52" s="1"/>
  <c r="Z43" i="70"/>
  <c r="U5" i="70"/>
  <c r="G17" i="70"/>
  <c r="G19" i="70"/>
  <c r="G24" i="70"/>
  <c r="Z40" i="70"/>
  <c r="S5" i="70"/>
  <c r="D13" i="70"/>
  <c r="T5" i="70"/>
  <c r="G18" i="70"/>
  <c r="G37" i="70"/>
  <c r="Y43" i="70"/>
  <c r="C39" i="70"/>
  <c r="M34" i="52" s="1"/>
  <c r="P34" i="52" s="1"/>
  <c r="G47" i="70"/>
  <c r="Q47" i="70" s="1"/>
  <c r="F22" i="70"/>
  <c r="G45" i="70"/>
  <c r="Q45" i="70" s="1"/>
  <c r="X5" i="70"/>
  <c r="T3" i="52"/>
  <c r="T30" i="52" s="1"/>
  <c r="T16" i="52"/>
  <c r="T45" i="52" s="1"/>
  <c r="AA413" i="116" a="1"/>
  <c r="AA485" i="116" a="1"/>
  <c r="AA448" i="116" a="1"/>
  <c r="R27" i="113" l="1"/>
  <c r="F28" i="168"/>
  <c r="F25" i="113"/>
  <c r="F24" i="113"/>
  <c r="E30" i="70"/>
  <c r="E34" i="70"/>
  <c r="J55" i="113"/>
  <c r="K55" i="113" s="1"/>
  <c r="J73" i="113"/>
  <c r="K73" i="113" s="1"/>
  <c r="E23" i="113"/>
  <c r="R27" i="109"/>
  <c r="R29" i="109"/>
  <c r="F27" i="113"/>
  <c r="R33" i="109"/>
  <c r="F31" i="113"/>
  <c r="F26" i="168"/>
  <c r="F29" i="113"/>
  <c r="F28" i="113"/>
  <c r="R31" i="109"/>
  <c r="O29" i="113"/>
  <c r="R28" i="109"/>
  <c r="R30" i="109"/>
  <c r="Q38" i="113"/>
  <c r="AX28" i="108"/>
  <c r="Q19" i="109"/>
  <c r="O63" i="113"/>
  <c r="P63" i="113" s="1"/>
  <c r="R63" i="113"/>
  <c r="R35" i="109"/>
  <c r="R32" i="109"/>
  <c r="O44" i="113"/>
  <c r="P44" i="113" s="1"/>
  <c r="R44" i="113"/>
  <c r="AL55" i="168"/>
  <c r="AL22" i="168"/>
  <c r="AL23" i="168"/>
  <c r="H12" i="113"/>
  <c r="H12" i="168"/>
  <c r="F26" i="113"/>
  <c r="F24" i="168"/>
  <c r="H6" i="113"/>
  <c r="H6" i="168"/>
  <c r="F27" i="168"/>
  <c r="F31" i="168"/>
  <c r="G8" i="113"/>
  <c r="G8" i="168"/>
  <c r="H10" i="113"/>
  <c r="H10" i="168"/>
  <c r="G7" i="113"/>
  <c r="G24" i="113" s="1"/>
  <c r="G7" i="168"/>
  <c r="H11" i="113"/>
  <c r="H11" i="168"/>
  <c r="F30" i="168"/>
  <c r="F29" i="168"/>
  <c r="H9" i="113"/>
  <c r="H9" i="168"/>
  <c r="F25" i="168"/>
  <c r="M56" i="113"/>
  <c r="AK13" i="168"/>
  <c r="AK34" i="168" s="1"/>
  <c r="AJ32" i="168"/>
  <c r="AJ35" i="168"/>
  <c r="AJ36" i="168"/>
  <c r="AJ37" i="168"/>
  <c r="AJ33" i="168"/>
  <c r="AL15" i="168"/>
  <c r="AK50" i="168"/>
  <c r="AK52" i="168"/>
  <c r="AJ34" i="168"/>
  <c r="AI38" i="168"/>
  <c r="AK71" i="168"/>
  <c r="AJ69" i="168"/>
  <c r="E55" i="168"/>
  <c r="F55" i="168" s="1"/>
  <c r="G55" i="168" s="1"/>
  <c r="H55" i="168" s="1"/>
  <c r="E33" i="113"/>
  <c r="I38" i="113"/>
  <c r="E32" i="113"/>
  <c r="E35" i="168"/>
  <c r="E37" i="113"/>
  <c r="E36" i="113"/>
  <c r="E34" i="113"/>
  <c r="E40" i="168"/>
  <c r="F40" i="168" s="1"/>
  <c r="G40" i="168" s="1"/>
  <c r="H40" i="168" s="1"/>
  <c r="E35" i="113"/>
  <c r="K13" i="113"/>
  <c r="K13" i="168"/>
  <c r="F16" i="168"/>
  <c r="F16" i="113"/>
  <c r="E36" i="168"/>
  <c r="F17" i="168"/>
  <c r="F17" i="113"/>
  <c r="E33" i="168"/>
  <c r="F3" i="113"/>
  <c r="F23" i="113" s="1"/>
  <c r="F3" i="168"/>
  <c r="F18" i="168"/>
  <c r="F18" i="113"/>
  <c r="E32" i="168"/>
  <c r="J75" i="168"/>
  <c r="K75" i="168" s="1"/>
  <c r="J22" i="168"/>
  <c r="J23" i="168"/>
  <c r="K17" i="113"/>
  <c r="K17" i="168"/>
  <c r="M75" i="113"/>
  <c r="E37" i="168"/>
  <c r="J70" i="168"/>
  <c r="K70" i="168" s="1"/>
  <c r="E70" i="168"/>
  <c r="F70" i="168" s="1"/>
  <c r="G70" i="168" s="1"/>
  <c r="H70" i="168" s="1"/>
  <c r="F13" i="168"/>
  <c r="F13" i="113"/>
  <c r="J50" i="168"/>
  <c r="K50" i="168" s="1"/>
  <c r="E50" i="168"/>
  <c r="F50" i="168" s="1"/>
  <c r="G50" i="168" s="1"/>
  <c r="H50" i="168" s="1"/>
  <c r="K16" i="113"/>
  <c r="K16" i="168"/>
  <c r="E52" i="168"/>
  <c r="F52" i="168" s="1"/>
  <c r="G52" i="168" s="1"/>
  <c r="H52" i="168" s="1"/>
  <c r="I38" i="168"/>
  <c r="K3" i="113"/>
  <c r="K3" i="168"/>
  <c r="G15" i="168"/>
  <c r="G15" i="113"/>
  <c r="E34" i="168"/>
  <c r="K14" i="113"/>
  <c r="K14" i="168"/>
  <c r="J54" i="168"/>
  <c r="K54" i="168" s="1"/>
  <c r="E54" i="168"/>
  <c r="F54" i="168" s="1"/>
  <c r="G54" i="168" s="1"/>
  <c r="H54" i="168" s="1"/>
  <c r="F14" i="168"/>
  <c r="F14" i="113"/>
  <c r="J72" i="168"/>
  <c r="K72" i="168" s="1"/>
  <c r="E72" i="168"/>
  <c r="F72" i="168" s="1"/>
  <c r="G72" i="168" s="1"/>
  <c r="H72" i="168" s="1"/>
  <c r="J69" i="168"/>
  <c r="K69" i="168" s="1"/>
  <c r="E69" i="168"/>
  <c r="F69" i="168" s="1"/>
  <c r="G69" i="168" s="1"/>
  <c r="H69" i="168" s="1"/>
  <c r="J51" i="168"/>
  <c r="K51" i="168" s="1"/>
  <c r="E51" i="168"/>
  <c r="F51" i="168" s="1"/>
  <c r="G51" i="168" s="1"/>
  <c r="H51" i="168" s="1"/>
  <c r="J73" i="168"/>
  <c r="K73" i="168" s="1"/>
  <c r="E73" i="168"/>
  <c r="F73" i="168" s="1"/>
  <c r="G73" i="168" s="1"/>
  <c r="H73" i="168" s="1"/>
  <c r="K18" i="113"/>
  <c r="K18" i="168"/>
  <c r="M56" i="168"/>
  <c r="J56" i="168"/>
  <c r="K56" i="168" s="1"/>
  <c r="J53" i="168"/>
  <c r="K53" i="168" s="1"/>
  <c r="E53" i="168"/>
  <c r="F53" i="168" s="1"/>
  <c r="G53" i="168" s="1"/>
  <c r="H53" i="168" s="1"/>
  <c r="E74" i="168"/>
  <c r="F74" i="168" s="1"/>
  <c r="G74" i="168" s="1"/>
  <c r="H74" i="168" s="1"/>
  <c r="E22" i="168"/>
  <c r="E23" i="168"/>
  <c r="F40" i="115"/>
  <c r="F59" i="115"/>
  <c r="G5" i="113"/>
  <c r="H5" i="115"/>
  <c r="E38" i="115"/>
  <c r="E10" i="104"/>
  <c r="AH19" i="109"/>
  <c r="G7" i="109"/>
  <c r="F24" i="109"/>
  <c r="F33" i="115"/>
  <c r="G14" i="115"/>
  <c r="F32" i="115"/>
  <c r="G13" i="115"/>
  <c r="G9" i="109"/>
  <c r="F26" i="109"/>
  <c r="K22" i="115"/>
  <c r="K23" i="115"/>
  <c r="F35" i="115"/>
  <c r="G16" i="115"/>
  <c r="F20" i="107"/>
  <c r="G3" i="107"/>
  <c r="F21" i="107"/>
  <c r="G7" i="107"/>
  <c r="F24" i="107"/>
  <c r="F22" i="115"/>
  <c r="G3" i="115"/>
  <c r="F23" i="115"/>
  <c r="G8" i="107"/>
  <c r="F25" i="107"/>
  <c r="H15" i="115"/>
  <c r="F36" i="115"/>
  <c r="G17" i="115"/>
  <c r="F26" i="107"/>
  <c r="G9" i="107"/>
  <c r="F34" i="115"/>
  <c r="F37" i="115"/>
  <c r="G18" i="115"/>
  <c r="G8" i="109"/>
  <c r="F25" i="109"/>
  <c r="G3" i="109"/>
  <c r="F20" i="109"/>
  <c r="F21" i="109"/>
  <c r="Z45" i="113"/>
  <c r="Z43" i="113"/>
  <c r="R29" i="113"/>
  <c r="T28" i="109"/>
  <c r="U28" i="109" s="1"/>
  <c r="M29" i="52"/>
  <c r="P29" i="52" s="1"/>
  <c r="G23" i="70"/>
  <c r="H22" i="70" s="1"/>
  <c r="J22" i="70" s="1"/>
  <c r="Q22" i="70" s="1"/>
  <c r="R22" i="70" s="1"/>
  <c r="E31" i="70"/>
  <c r="G31" i="70" s="1"/>
  <c r="E28" i="70"/>
  <c r="G28" i="70" s="1"/>
  <c r="E27" i="70"/>
  <c r="G27" i="70" s="1"/>
  <c r="E32" i="70"/>
  <c r="G32" i="70" s="1"/>
  <c r="E33" i="70"/>
  <c r="CG6" i="52" s="1"/>
  <c r="BS6" i="52" s="1"/>
  <c r="E26" i="70"/>
  <c r="CG19" i="52" s="1"/>
  <c r="D41" i="70"/>
  <c r="R31" i="113"/>
  <c r="R28" i="113"/>
  <c r="L19" i="109"/>
  <c r="M33" i="113"/>
  <c r="AL36" i="113"/>
  <c r="G29" i="70"/>
  <c r="CG18" i="52"/>
  <c r="G30" i="70"/>
  <c r="CG22" i="52"/>
  <c r="G34" i="70"/>
  <c r="CG25" i="52"/>
  <c r="AM4" i="115"/>
  <c r="CV5" i="52"/>
  <c r="AM4" i="107"/>
  <c r="CG23" i="52"/>
  <c r="CG17" i="52"/>
  <c r="G33" i="70"/>
  <c r="L38" i="113"/>
  <c r="T29" i="109"/>
  <c r="U29" i="109" s="1"/>
  <c r="AL22" i="113"/>
  <c r="AL23" i="113"/>
  <c r="AL35" i="113"/>
  <c r="AL32" i="113"/>
  <c r="AL34" i="113"/>
  <c r="AL33" i="113"/>
  <c r="AL37" i="113"/>
  <c r="M32" i="113"/>
  <c r="M40" i="113"/>
  <c r="J40" i="113"/>
  <c r="K40" i="113" s="1"/>
  <c r="M26" i="109"/>
  <c r="J26" i="109"/>
  <c r="K26" i="109" s="1"/>
  <c r="M50" i="113"/>
  <c r="J50" i="113"/>
  <c r="K50" i="113" s="1"/>
  <c r="M24" i="109"/>
  <c r="J24" i="109"/>
  <c r="K24" i="109" s="1"/>
  <c r="M54" i="113"/>
  <c r="J54" i="113"/>
  <c r="K54" i="113" s="1"/>
  <c r="M70" i="113"/>
  <c r="J70" i="113"/>
  <c r="K70" i="113" s="1"/>
  <c r="J22" i="113"/>
  <c r="J23" i="113"/>
  <c r="M37" i="113"/>
  <c r="AH57" i="108"/>
  <c r="M36" i="113"/>
  <c r="M22" i="113"/>
  <c r="M23" i="113"/>
  <c r="M53" i="113"/>
  <c r="J53" i="113"/>
  <c r="K53" i="113" s="1"/>
  <c r="W30" i="109"/>
  <c r="M34" i="113"/>
  <c r="M51" i="113"/>
  <c r="J51" i="113"/>
  <c r="K51" i="113" s="1"/>
  <c r="J52" i="113"/>
  <c r="K52" i="113" s="1"/>
  <c r="M52" i="113"/>
  <c r="J59" i="113"/>
  <c r="K59" i="113" s="1"/>
  <c r="M59" i="113"/>
  <c r="M21" i="109"/>
  <c r="J21" i="109"/>
  <c r="K21" i="109" s="1"/>
  <c r="M35" i="113"/>
  <c r="J25" i="109"/>
  <c r="K25" i="109" s="1"/>
  <c r="M25" i="109"/>
  <c r="M20" i="109"/>
  <c r="J20" i="109"/>
  <c r="K20" i="109" s="1"/>
  <c r="AD34" i="109"/>
  <c r="AE34" i="109" s="1"/>
  <c r="AF34" i="109" s="1"/>
  <c r="AG34" i="109" s="1"/>
  <c r="T27" i="109"/>
  <c r="U27" i="109" s="1"/>
  <c r="O28" i="113"/>
  <c r="T34" i="109"/>
  <c r="U34" i="109" s="1"/>
  <c r="O25" i="113"/>
  <c r="T35" i="109"/>
  <c r="U35" i="109" s="1"/>
  <c r="O30" i="113"/>
  <c r="O27" i="113"/>
  <c r="R25" i="113"/>
  <c r="R24" i="113"/>
  <c r="O31" i="113"/>
  <c r="AD32" i="109"/>
  <c r="AE32" i="109" s="1"/>
  <c r="AF32" i="109" s="1"/>
  <c r="AG32" i="109" s="1"/>
  <c r="R30" i="113"/>
  <c r="AD27" i="109"/>
  <c r="AE27" i="109" s="1"/>
  <c r="AF27" i="109" s="1"/>
  <c r="AG27" i="109" s="1"/>
  <c r="Y25" i="113"/>
  <c r="Z30" i="113"/>
  <c r="Z25" i="113"/>
  <c r="Z31" i="113"/>
  <c r="Z24" i="113"/>
  <c r="O24" i="113"/>
  <c r="T32" i="109"/>
  <c r="U32" i="109" s="1"/>
  <c r="P28" i="113"/>
  <c r="T33" i="109"/>
  <c r="U33" i="109" s="1"/>
  <c r="O26" i="113"/>
  <c r="Y31" i="113"/>
  <c r="AA38" i="113"/>
  <c r="Z28" i="115"/>
  <c r="G30" i="115"/>
  <c r="Y26" i="113"/>
  <c r="AB24" i="113"/>
  <c r="Z29" i="115"/>
  <c r="G29" i="115"/>
  <c r="Y24" i="113"/>
  <c r="Y30" i="113"/>
  <c r="Y27" i="113"/>
  <c r="Y29" i="113"/>
  <c r="AB38" i="115"/>
  <c r="AD28" i="109"/>
  <c r="AE28" i="109" s="1"/>
  <c r="AF28" i="109" s="1"/>
  <c r="AG28" i="109" s="1"/>
  <c r="P27" i="115"/>
  <c r="Z30" i="115"/>
  <c r="Z28" i="113"/>
  <c r="Y63" i="113"/>
  <c r="Z63" i="113" s="1"/>
  <c r="G31" i="115"/>
  <c r="AB44" i="113"/>
  <c r="Y44" i="113"/>
  <c r="Z44" i="113" s="1"/>
  <c r="AB27" i="113"/>
  <c r="AB28" i="113"/>
  <c r="AB31" i="113"/>
  <c r="AB29" i="113"/>
  <c r="AB30" i="113"/>
  <c r="AB25" i="113"/>
  <c r="Y28" i="113"/>
  <c r="AA413" i="116"/>
  <c r="AA448" i="116"/>
  <c r="AA485" i="116"/>
  <c r="U7" i="113"/>
  <c r="T26" i="113"/>
  <c r="T30" i="113"/>
  <c r="T28" i="113"/>
  <c r="T25" i="113"/>
  <c r="T27" i="113"/>
  <c r="T24" i="113"/>
  <c r="T31" i="113"/>
  <c r="T29" i="113"/>
  <c r="AG5" i="115"/>
  <c r="P24" i="115"/>
  <c r="Y38" i="115"/>
  <c r="Z24" i="115"/>
  <c r="AG5" i="113"/>
  <c r="AL11" i="113"/>
  <c r="P31" i="115"/>
  <c r="G26" i="115"/>
  <c r="H7" i="115"/>
  <c r="G24" i="115"/>
  <c r="AL12" i="113"/>
  <c r="W38" i="115"/>
  <c r="AE7" i="113"/>
  <c r="AD26" i="113"/>
  <c r="AD28" i="113"/>
  <c r="AD30" i="113"/>
  <c r="AD29" i="113"/>
  <c r="AD31" i="113"/>
  <c r="AD24" i="113"/>
  <c r="AD27" i="113"/>
  <c r="AD25" i="113"/>
  <c r="AG12" i="115"/>
  <c r="AI44" i="113"/>
  <c r="AJ44" i="113" s="1"/>
  <c r="AK44" i="113" s="1"/>
  <c r="AL44" i="113" s="1"/>
  <c r="AD44" i="113"/>
  <c r="AE44" i="113" s="1"/>
  <c r="AF44" i="113" s="1"/>
  <c r="AG44" i="113" s="1"/>
  <c r="AD63" i="113"/>
  <c r="AE63" i="113" s="1"/>
  <c r="AF63" i="113" s="1"/>
  <c r="AG63" i="113" s="1"/>
  <c r="AI63" i="113"/>
  <c r="AJ63" i="113" s="1"/>
  <c r="AK63" i="113" s="1"/>
  <c r="AL63" i="113" s="1"/>
  <c r="O38" i="115"/>
  <c r="Z25" i="115"/>
  <c r="Z31" i="115"/>
  <c r="W44" i="113"/>
  <c r="AH38" i="113"/>
  <c r="AL10" i="113"/>
  <c r="AL6" i="113"/>
  <c r="AG10" i="115"/>
  <c r="AG8" i="115"/>
  <c r="AG11" i="115"/>
  <c r="A451" i="116"/>
  <c r="AD26" i="115"/>
  <c r="AE7" i="115"/>
  <c r="AD24" i="115"/>
  <c r="AD30" i="115"/>
  <c r="AD31" i="115"/>
  <c r="AD27" i="115"/>
  <c r="AD29" i="115"/>
  <c r="AD25" i="115"/>
  <c r="AD28" i="115"/>
  <c r="P29" i="115"/>
  <c r="P25" i="115"/>
  <c r="AL5" i="113"/>
  <c r="P28" i="115"/>
  <c r="G27" i="115"/>
  <c r="H8" i="115"/>
  <c r="AG6" i="115"/>
  <c r="G28" i="115"/>
  <c r="AJ7" i="113"/>
  <c r="AI26" i="113"/>
  <c r="AI27" i="113"/>
  <c r="AI25" i="113"/>
  <c r="AI29" i="113"/>
  <c r="AI31" i="113"/>
  <c r="AI30" i="113"/>
  <c r="AI24" i="113"/>
  <c r="AI28" i="113"/>
  <c r="AG8" i="113"/>
  <c r="AG9" i="115"/>
  <c r="A488" i="116"/>
  <c r="Z26" i="113"/>
  <c r="Z27" i="113"/>
  <c r="P30" i="115"/>
  <c r="W63" i="113"/>
  <c r="AH38" i="115"/>
  <c r="P26" i="115"/>
  <c r="W26" i="113"/>
  <c r="W30" i="113"/>
  <c r="W28" i="113"/>
  <c r="W24" i="113"/>
  <c r="W31" i="113"/>
  <c r="W25" i="113"/>
  <c r="W27" i="113"/>
  <c r="W29" i="113"/>
  <c r="V38" i="113"/>
  <c r="AL8" i="113"/>
  <c r="Z27" i="115"/>
  <c r="G25" i="115"/>
  <c r="AL9" i="113"/>
  <c r="Z29" i="113"/>
  <c r="AD31" i="109"/>
  <c r="AE31" i="109" s="1"/>
  <c r="AF31" i="109" s="1"/>
  <c r="AG31" i="109" s="1"/>
  <c r="G12" i="109"/>
  <c r="F29" i="109"/>
  <c r="F28" i="109"/>
  <c r="F35" i="109"/>
  <c r="F31" i="109"/>
  <c r="F33" i="109"/>
  <c r="F27" i="109"/>
  <c r="F34" i="109"/>
  <c r="F30" i="109"/>
  <c r="F32" i="109"/>
  <c r="AD30" i="109"/>
  <c r="AE30" i="109" s="1"/>
  <c r="AF30" i="109" s="1"/>
  <c r="AG30" i="109" s="1"/>
  <c r="AI33" i="109"/>
  <c r="AJ33" i="109" s="1"/>
  <c r="AK33" i="109" s="1"/>
  <c r="AL33" i="109" s="1"/>
  <c r="AD33" i="109"/>
  <c r="AE33" i="109" s="1"/>
  <c r="AF33" i="109" s="1"/>
  <c r="AG33" i="109" s="1"/>
  <c r="AI35" i="109"/>
  <c r="AJ35" i="109" s="1"/>
  <c r="AK35" i="109" s="1"/>
  <c r="AL35" i="109" s="1"/>
  <c r="AD35" i="109"/>
  <c r="AE35" i="109" s="1"/>
  <c r="AF35" i="109" s="1"/>
  <c r="AG35" i="109" s="1"/>
  <c r="AD29" i="109"/>
  <c r="AE29" i="109" s="1"/>
  <c r="AF29" i="109" s="1"/>
  <c r="AG29" i="109" s="1"/>
  <c r="H12" i="107"/>
  <c r="H31" i="107" s="1"/>
  <c r="G29" i="107"/>
  <c r="G33" i="107"/>
  <c r="G35" i="107"/>
  <c r="G32" i="107"/>
  <c r="G30" i="107"/>
  <c r="G27" i="107"/>
  <c r="G34" i="107"/>
  <c r="G31" i="107"/>
  <c r="AD29" i="107"/>
  <c r="AD35" i="107"/>
  <c r="AD32" i="107"/>
  <c r="AD28" i="107"/>
  <c r="AD33" i="107"/>
  <c r="AD30" i="107"/>
  <c r="AD31" i="107"/>
  <c r="AD34" i="107"/>
  <c r="AD27" i="107"/>
  <c r="AP57" i="52"/>
  <c r="M13" i="52"/>
  <c r="M19" i="52"/>
  <c r="M12" i="52"/>
  <c r="M11" i="52"/>
  <c r="M10" i="52"/>
  <c r="M17" i="52"/>
  <c r="M18" i="52"/>
  <c r="M14" i="52"/>
  <c r="W30" i="52"/>
  <c r="W16" i="52"/>
  <c r="W48" i="52" s="1"/>
  <c r="E2" i="52"/>
  <c r="E39" i="52" s="1"/>
  <c r="G17" i="52"/>
  <c r="W13" i="52" s="1"/>
  <c r="G13" i="52"/>
  <c r="W11" i="52" s="1"/>
  <c r="G10" i="52"/>
  <c r="W8" i="52" s="1"/>
  <c r="G19" i="52"/>
  <c r="W15" i="52" s="1"/>
  <c r="G18" i="52"/>
  <c r="W14" i="52" s="1"/>
  <c r="G14" i="52"/>
  <c r="W12" i="52" s="1"/>
  <c r="G12" i="52"/>
  <c r="W10" i="52" s="1"/>
  <c r="G11" i="52"/>
  <c r="W9" i="52" s="1"/>
  <c r="H13" i="104"/>
  <c r="J13" i="104" s="1"/>
  <c r="Q13" i="104" s="1"/>
  <c r="E31" i="104"/>
  <c r="G31" i="104" s="1"/>
  <c r="E28" i="104"/>
  <c r="G28" i="104" s="1"/>
  <c r="E34" i="104"/>
  <c r="G34" i="104" s="1"/>
  <c r="E30" i="104"/>
  <c r="G30" i="104" s="1"/>
  <c r="E26" i="104"/>
  <c r="G26" i="104" s="1"/>
  <c r="H30" i="104" s="1"/>
  <c r="J30" i="104" s="1"/>
  <c r="Q30" i="104" s="1"/>
  <c r="E33" i="104"/>
  <c r="G33" i="104" s="1"/>
  <c r="E29" i="104"/>
  <c r="G29" i="104" s="1"/>
  <c r="E27" i="104"/>
  <c r="G27" i="104" s="1"/>
  <c r="D22" i="104"/>
  <c r="G23" i="104"/>
  <c r="H22" i="104" s="1"/>
  <c r="J22" i="104" s="1"/>
  <c r="Q22" i="104" s="1"/>
  <c r="E32" i="104"/>
  <c r="G32" i="104" s="1"/>
  <c r="Z45" i="70"/>
  <c r="Z47" i="70"/>
  <c r="G39" i="70"/>
  <c r="DL10" i="52"/>
  <c r="C5" i="70"/>
  <c r="C49" i="70" s="1"/>
  <c r="Z37" i="70"/>
  <c r="G46" i="70"/>
  <c r="Q46" i="70" s="1"/>
  <c r="G42" i="70"/>
  <c r="T43" i="52"/>
  <c r="T47" i="52"/>
  <c r="T46" i="52"/>
  <c r="T48" i="52"/>
  <c r="T44" i="52"/>
  <c r="T31" i="52"/>
  <c r="AA487" i="116" a="1"/>
  <c r="AA450" i="116" a="1"/>
  <c r="G31" i="113" l="1"/>
  <c r="G26" i="168"/>
  <c r="G30" i="113"/>
  <c r="G25" i="168"/>
  <c r="G24" i="168"/>
  <c r="H5" i="113"/>
  <c r="H31" i="113" s="1"/>
  <c r="H5" i="168"/>
  <c r="G25" i="113"/>
  <c r="G26" i="113"/>
  <c r="H8" i="113"/>
  <c r="H30" i="113" s="1"/>
  <c r="H8" i="168"/>
  <c r="G27" i="113"/>
  <c r="G30" i="168"/>
  <c r="G27" i="168"/>
  <c r="G29" i="113"/>
  <c r="G29" i="168"/>
  <c r="G31" i="168"/>
  <c r="G28" i="113"/>
  <c r="H7" i="113"/>
  <c r="H7" i="168"/>
  <c r="G28" i="168"/>
  <c r="AL52" i="168"/>
  <c r="AL50" i="168"/>
  <c r="AL71" i="168"/>
  <c r="AJ38" i="168"/>
  <c r="AK69" i="168"/>
  <c r="AL13" i="168"/>
  <c r="AL34" i="168" s="1"/>
  <c r="AK32" i="168"/>
  <c r="AK35" i="168"/>
  <c r="AK37" i="168"/>
  <c r="AK36" i="168"/>
  <c r="AK33" i="168"/>
  <c r="F37" i="113"/>
  <c r="E38" i="113"/>
  <c r="F22" i="113"/>
  <c r="F34" i="113"/>
  <c r="F32" i="168"/>
  <c r="F33" i="113"/>
  <c r="F35" i="113"/>
  <c r="F37" i="168"/>
  <c r="K23" i="168"/>
  <c r="K22" i="168"/>
  <c r="F36" i="113"/>
  <c r="F22" i="168"/>
  <c r="F23" i="168"/>
  <c r="F34" i="168"/>
  <c r="F36" i="168"/>
  <c r="G17" i="168"/>
  <c r="G17" i="113"/>
  <c r="F32" i="113"/>
  <c r="F33" i="168"/>
  <c r="G18" i="168"/>
  <c r="G18" i="113"/>
  <c r="G13" i="168"/>
  <c r="G13" i="113"/>
  <c r="G14" i="168"/>
  <c r="G14" i="113"/>
  <c r="F35" i="168"/>
  <c r="G3" i="113"/>
  <c r="G23" i="113" s="1"/>
  <c r="G3" i="168"/>
  <c r="H15" i="168"/>
  <c r="H15" i="113"/>
  <c r="G16" i="168"/>
  <c r="G16" i="113"/>
  <c r="E38" i="168"/>
  <c r="G59" i="115"/>
  <c r="G40" i="115"/>
  <c r="F38" i="115"/>
  <c r="G34" i="115"/>
  <c r="G25" i="107"/>
  <c r="H8" i="107"/>
  <c r="H9" i="107"/>
  <c r="G26" i="107"/>
  <c r="G25" i="109"/>
  <c r="H8" i="109"/>
  <c r="G22" i="115"/>
  <c r="H3" i="115"/>
  <c r="G23" i="115"/>
  <c r="H7" i="109"/>
  <c r="G24" i="109"/>
  <c r="G35" i="115"/>
  <c r="H16" i="115"/>
  <c r="G37" i="115"/>
  <c r="H18" i="115"/>
  <c r="H7" i="107"/>
  <c r="G24" i="107"/>
  <c r="H9" i="109"/>
  <c r="G26" i="109"/>
  <c r="G32" i="115"/>
  <c r="H13" i="115"/>
  <c r="G33" i="115"/>
  <c r="H14" i="115"/>
  <c r="G36" i="115"/>
  <c r="H17" i="115"/>
  <c r="G21" i="109"/>
  <c r="G20" i="109"/>
  <c r="H3" i="109"/>
  <c r="G20" i="107"/>
  <c r="H3" i="107"/>
  <c r="G21" i="107"/>
  <c r="AQ22" i="52"/>
  <c r="BE22" i="52"/>
  <c r="BS20" i="52" s="1"/>
  <c r="M28" i="52"/>
  <c r="P28" i="52" s="1" a="1"/>
  <c r="P28" i="52" s="1"/>
  <c r="CG21" i="52"/>
  <c r="CG28" i="52" s="1"/>
  <c r="E49" i="70"/>
  <c r="G26" i="70"/>
  <c r="H30" i="70" s="1"/>
  <c r="BE20" i="52" s="1"/>
  <c r="J30" i="70"/>
  <c r="Q30" i="70" s="1"/>
  <c r="R30" i="70" s="1"/>
  <c r="DL24" i="52"/>
  <c r="BE26" i="52"/>
  <c r="AQ26" i="52"/>
  <c r="DL23" i="52"/>
  <c r="BE25" i="52"/>
  <c r="AQ25" i="52"/>
  <c r="DL6" i="52"/>
  <c r="CV6" i="52" s="1"/>
  <c r="DL18" i="52"/>
  <c r="AQ24" i="52"/>
  <c r="BE24" i="52"/>
  <c r="DL17" i="52"/>
  <c r="AQ19" i="52"/>
  <c r="BE19" i="52"/>
  <c r="AI4" i="107"/>
  <c r="AJ4" i="107" s="1"/>
  <c r="AK4" i="107" s="1"/>
  <c r="AL4" i="107" s="1"/>
  <c r="DL19" i="52"/>
  <c r="DL25" i="52"/>
  <c r="AQ27" i="52"/>
  <c r="BE27" i="52"/>
  <c r="BS25" i="52" s="1"/>
  <c r="BE4" i="52"/>
  <c r="BS4" i="52" s="1"/>
  <c r="AM60" i="115"/>
  <c r="AI60" i="115" s="1"/>
  <c r="AJ60" i="115" s="1"/>
  <c r="AK60" i="115" s="1"/>
  <c r="AL60" i="115" s="1"/>
  <c r="AI4" i="115"/>
  <c r="DL22" i="52"/>
  <c r="DL21" i="52"/>
  <c r="AQ23" i="52"/>
  <c r="M38" i="113"/>
  <c r="R38" i="113"/>
  <c r="K22" i="113"/>
  <c r="K23" i="113"/>
  <c r="P29" i="113"/>
  <c r="H29" i="115"/>
  <c r="P25" i="113"/>
  <c r="Y38" i="113"/>
  <c r="P27" i="113"/>
  <c r="P31" i="113"/>
  <c r="P26" i="113"/>
  <c r="P30" i="113"/>
  <c r="O38" i="113"/>
  <c r="AB38" i="113"/>
  <c r="P24" i="113"/>
  <c r="Z38" i="113"/>
  <c r="Z38" i="115"/>
  <c r="W38" i="113"/>
  <c r="H26" i="115"/>
  <c r="AA487" i="116"/>
  <c r="AA450" i="116"/>
  <c r="H28" i="115"/>
  <c r="T38" i="113"/>
  <c r="AK7" i="113"/>
  <c r="AJ26" i="113"/>
  <c r="AJ30" i="113"/>
  <c r="AJ28" i="113"/>
  <c r="AJ27" i="113"/>
  <c r="AJ25" i="113"/>
  <c r="AJ31" i="113"/>
  <c r="AJ29" i="113"/>
  <c r="AJ24" i="113"/>
  <c r="U26" i="113"/>
  <c r="U31" i="113"/>
  <c r="U28" i="113"/>
  <c r="U24" i="113"/>
  <c r="U25" i="113"/>
  <c r="U30" i="113"/>
  <c r="U27" i="113"/>
  <c r="U29" i="113"/>
  <c r="AI38" i="113"/>
  <c r="H25" i="115"/>
  <c r="P38" i="115"/>
  <c r="AF7" i="113"/>
  <c r="AE26" i="113"/>
  <c r="AE29" i="113"/>
  <c r="AE25" i="113"/>
  <c r="AE31" i="113"/>
  <c r="AE28" i="113"/>
  <c r="AE27" i="113"/>
  <c r="AE30" i="113"/>
  <c r="AE24" i="113"/>
  <c r="H27" i="115"/>
  <c r="AD38" i="113"/>
  <c r="H24" i="115"/>
  <c r="AD38" i="115"/>
  <c r="AE26" i="115"/>
  <c r="AF7" i="115"/>
  <c r="AE28" i="115"/>
  <c r="AE25" i="115"/>
  <c r="AE27" i="115"/>
  <c r="AE24" i="115"/>
  <c r="AE30" i="115"/>
  <c r="AE31" i="115"/>
  <c r="AE29" i="115"/>
  <c r="H31" i="115"/>
  <c r="H30" i="115"/>
  <c r="H28" i="107"/>
  <c r="H35" i="107"/>
  <c r="H32" i="107"/>
  <c r="H12" i="109"/>
  <c r="G33" i="109"/>
  <c r="G29" i="109"/>
  <c r="G27" i="109"/>
  <c r="G28" i="109"/>
  <c r="G34" i="109"/>
  <c r="G31" i="109"/>
  <c r="G30" i="109"/>
  <c r="G32" i="109"/>
  <c r="G35" i="109"/>
  <c r="H29" i="107"/>
  <c r="H33" i="107"/>
  <c r="H34" i="107"/>
  <c r="H30" i="107"/>
  <c r="H27" i="107"/>
  <c r="AE34" i="107"/>
  <c r="AE31" i="107"/>
  <c r="AE27" i="107"/>
  <c r="AE30" i="107"/>
  <c r="AE33" i="107"/>
  <c r="AE28" i="107"/>
  <c r="AE32" i="107"/>
  <c r="AE35" i="107"/>
  <c r="AE29" i="107"/>
  <c r="BE11" i="52"/>
  <c r="DL9" i="52"/>
  <c r="AQ10" i="52"/>
  <c r="BE10" i="52"/>
  <c r="AQ11" i="52"/>
  <c r="M48" i="52"/>
  <c r="DL8" i="52"/>
  <c r="BE9" i="52"/>
  <c r="AQ9" i="52"/>
  <c r="AQ17" i="52"/>
  <c r="DL15" i="52"/>
  <c r="DL13" i="52"/>
  <c r="DL14" i="52"/>
  <c r="DL16" i="52"/>
  <c r="BE16" i="52"/>
  <c r="BE17" i="52"/>
  <c r="BE14" i="52"/>
  <c r="DL12" i="52"/>
  <c r="AQ15" i="52"/>
  <c r="BE15" i="52"/>
  <c r="AQ14" i="52"/>
  <c r="AQ16" i="52"/>
  <c r="DL11" i="52"/>
  <c r="AQ12" i="52"/>
  <c r="BE12" i="52"/>
  <c r="W45" i="52"/>
  <c r="W46" i="52"/>
  <c r="W43" i="52"/>
  <c r="W47" i="52"/>
  <c r="W44" i="52"/>
  <c r="W7" i="52"/>
  <c r="W2" i="52" s="1"/>
  <c r="E47" i="52"/>
  <c r="E41" i="52"/>
  <c r="M9" i="52"/>
  <c r="P9" i="52" s="1"/>
  <c r="G20" i="70"/>
  <c r="G48" i="52"/>
  <c r="G9" i="52"/>
  <c r="E49" i="104"/>
  <c r="Z46" i="70"/>
  <c r="H41" i="70"/>
  <c r="Q38" i="70"/>
  <c r="Q42" i="70"/>
  <c r="Z42" i="70" s="1"/>
  <c r="H13" i="70"/>
  <c r="Z39" i="70"/>
  <c r="H26" i="113" l="1"/>
  <c r="H27" i="113"/>
  <c r="H25" i="113"/>
  <c r="AQ4" i="52"/>
  <c r="F38" i="113"/>
  <c r="H31" i="168"/>
  <c r="H28" i="113"/>
  <c r="H29" i="168"/>
  <c r="H27" i="168"/>
  <c r="H24" i="113"/>
  <c r="H30" i="168"/>
  <c r="H26" i="168"/>
  <c r="H25" i="168"/>
  <c r="H28" i="168"/>
  <c r="H24" i="168"/>
  <c r="H29" i="113"/>
  <c r="AL69" i="168"/>
  <c r="AK38" i="168"/>
  <c r="AL36" i="168"/>
  <c r="AL35" i="168"/>
  <c r="AL37" i="168"/>
  <c r="AL33" i="168"/>
  <c r="AL32" i="168"/>
  <c r="G36" i="168"/>
  <c r="G22" i="113"/>
  <c r="G34" i="168"/>
  <c r="G32" i="113"/>
  <c r="G33" i="113"/>
  <c r="G34" i="113"/>
  <c r="H13" i="168"/>
  <c r="H13" i="113"/>
  <c r="H24" i="107"/>
  <c r="H14" i="168"/>
  <c r="H14" i="113"/>
  <c r="G35" i="113"/>
  <c r="G33" i="168"/>
  <c r="H16" i="168"/>
  <c r="H16" i="113"/>
  <c r="G36" i="113"/>
  <c r="G35" i="168"/>
  <c r="F38" i="168"/>
  <c r="G37" i="113"/>
  <c r="G32" i="168"/>
  <c r="G22" i="168"/>
  <c r="G23" i="168"/>
  <c r="G37" i="168"/>
  <c r="H18" i="168"/>
  <c r="H18" i="113"/>
  <c r="H17" i="168"/>
  <c r="H17" i="113"/>
  <c r="H3" i="113"/>
  <c r="H23" i="113" s="1"/>
  <c r="H3" i="168"/>
  <c r="H40" i="115"/>
  <c r="H59" i="115"/>
  <c r="G38" i="115"/>
  <c r="H32" i="115"/>
  <c r="H26" i="107"/>
  <c r="H24" i="109"/>
  <c r="H20" i="107"/>
  <c r="H21" i="107"/>
  <c r="H34" i="115"/>
  <c r="H21" i="109"/>
  <c r="H20" i="109"/>
  <c r="H25" i="107"/>
  <c r="H37" i="115"/>
  <c r="H22" i="115"/>
  <c r="H23" i="115"/>
  <c r="H36" i="115"/>
  <c r="H35" i="115"/>
  <c r="H26" i="109"/>
  <c r="H25" i="109"/>
  <c r="H33" i="115"/>
  <c r="CV25" i="52"/>
  <c r="AM75" i="115" s="1"/>
  <c r="AI75" i="115" s="1"/>
  <c r="AJ75" i="115" s="1"/>
  <c r="AK75" i="115" s="1"/>
  <c r="AL75" i="115" s="1"/>
  <c r="CV20" i="52"/>
  <c r="AQ21" i="52"/>
  <c r="AQ20" i="52"/>
  <c r="AQ18" i="52" s="1"/>
  <c r="BE23" i="52"/>
  <c r="CV21" i="52" s="1"/>
  <c r="BE21" i="52"/>
  <c r="Q51" i="70"/>
  <c r="CV24" i="52"/>
  <c r="BS24" i="52"/>
  <c r="AJ4" i="115"/>
  <c r="AM56" i="115"/>
  <c r="AI56" i="115" s="1"/>
  <c r="AJ56" i="115" s="1"/>
  <c r="AK56" i="115" s="1"/>
  <c r="AL56" i="115" s="1"/>
  <c r="CV18" i="52"/>
  <c r="AM14" i="115"/>
  <c r="BS18" i="52"/>
  <c r="AM3" i="107"/>
  <c r="AM3" i="115"/>
  <c r="BE3" i="52"/>
  <c r="CV4" i="52"/>
  <c r="AM9" i="107"/>
  <c r="AM7" i="107"/>
  <c r="AM13" i="115"/>
  <c r="CV17" i="52"/>
  <c r="BS17" i="52"/>
  <c r="AM41" i="115"/>
  <c r="AI41" i="115" s="1"/>
  <c r="AJ41" i="115" s="1"/>
  <c r="AK41" i="115" s="1"/>
  <c r="AL41" i="115" s="1"/>
  <c r="AM17" i="115"/>
  <c r="CV22" i="52"/>
  <c r="BS22" i="52"/>
  <c r="AM17" i="107"/>
  <c r="AI17" i="107" s="1"/>
  <c r="AJ17" i="107" s="1"/>
  <c r="AK17" i="107" s="1"/>
  <c r="AL17" i="107" s="1"/>
  <c r="AM18" i="115"/>
  <c r="CV23" i="52"/>
  <c r="BS23" i="52"/>
  <c r="P38" i="113"/>
  <c r="AE38" i="113"/>
  <c r="AL7" i="113"/>
  <c r="AK26" i="113"/>
  <c r="AK30" i="113"/>
  <c r="AK25" i="113"/>
  <c r="AK27" i="113"/>
  <c r="AK31" i="113"/>
  <c r="AK28" i="113"/>
  <c r="AK29" i="113"/>
  <c r="AK24" i="113"/>
  <c r="AE38" i="115"/>
  <c r="AM10" i="107"/>
  <c r="AI10" i="107" s="1"/>
  <c r="AJ10" i="107" s="1"/>
  <c r="AK10" i="107" s="1"/>
  <c r="AL10" i="107" s="1"/>
  <c r="AM5" i="115"/>
  <c r="AJ38" i="113"/>
  <c r="AM14" i="107"/>
  <c r="AI14" i="107" s="1"/>
  <c r="AJ14" i="107" s="1"/>
  <c r="AK14" i="107" s="1"/>
  <c r="AL14" i="107" s="1"/>
  <c r="AM9" i="115"/>
  <c r="AM65" i="115" s="1"/>
  <c r="AI65" i="115" s="1"/>
  <c r="AJ65" i="115" s="1"/>
  <c r="AK65" i="115" s="1"/>
  <c r="AL65" i="115" s="1"/>
  <c r="AF26" i="113"/>
  <c r="AG7" i="113"/>
  <c r="AF25" i="113"/>
  <c r="AF29" i="113"/>
  <c r="AF28" i="113"/>
  <c r="AF30" i="113"/>
  <c r="AF31" i="113"/>
  <c r="AF27" i="113"/>
  <c r="AF24" i="113"/>
  <c r="AM18" i="107"/>
  <c r="AI18" i="107" s="1"/>
  <c r="AJ18" i="107" s="1"/>
  <c r="AK18" i="107" s="1"/>
  <c r="AL18" i="107" s="1"/>
  <c r="AM12" i="115"/>
  <c r="AM68" i="115" s="1"/>
  <c r="AI68" i="115" s="1"/>
  <c r="AJ68" i="115" s="1"/>
  <c r="AK68" i="115" s="1"/>
  <c r="AL68" i="115" s="1"/>
  <c r="U38" i="113"/>
  <c r="AM16" i="107"/>
  <c r="AI16" i="107" s="1"/>
  <c r="AJ16" i="107" s="1"/>
  <c r="AK16" i="107" s="1"/>
  <c r="AL16" i="107" s="1"/>
  <c r="AM11" i="115"/>
  <c r="AM11" i="107"/>
  <c r="AI11" i="107" s="1"/>
  <c r="AJ11" i="107" s="1"/>
  <c r="AK11" i="107" s="1"/>
  <c r="AL11" i="107" s="1"/>
  <c r="AM6" i="115"/>
  <c r="AM15" i="107"/>
  <c r="AI15" i="107" s="1"/>
  <c r="AJ15" i="107" s="1"/>
  <c r="AK15" i="107" s="1"/>
  <c r="AL15" i="107" s="1"/>
  <c r="AM10" i="115"/>
  <c r="AM66" i="115" s="1"/>
  <c r="AI66" i="115" s="1"/>
  <c r="AJ66" i="115" s="1"/>
  <c r="AK66" i="115" s="1"/>
  <c r="AL66" i="115" s="1"/>
  <c r="AF26" i="115"/>
  <c r="AG7" i="115"/>
  <c r="AF24" i="115"/>
  <c r="AF25" i="115"/>
  <c r="AF31" i="115"/>
  <c r="AF29" i="115"/>
  <c r="AF27" i="115"/>
  <c r="AF30" i="115"/>
  <c r="AF28" i="115"/>
  <c r="AM13" i="107"/>
  <c r="AI13" i="107" s="1"/>
  <c r="AJ13" i="107" s="1"/>
  <c r="AK13" i="107" s="1"/>
  <c r="AL13" i="107" s="1"/>
  <c r="AM8" i="115"/>
  <c r="CV10" i="52"/>
  <c r="H29" i="109"/>
  <c r="H28" i="109"/>
  <c r="H30" i="109"/>
  <c r="H32" i="109"/>
  <c r="H35" i="109"/>
  <c r="H34" i="109"/>
  <c r="H27" i="109"/>
  <c r="H33" i="109"/>
  <c r="H31" i="109"/>
  <c r="AF35" i="107"/>
  <c r="AF34" i="107"/>
  <c r="AF28" i="107"/>
  <c r="AF31" i="107"/>
  <c r="AF32" i="107"/>
  <c r="AF33" i="107"/>
  <c r="AF30" i="107"/>
  <c r="AF29" i="107"/>
  <c r="AF27" i="107"/>
  <c r="CV9" i="52"/>
  <c r="CG16" i="52"/>
  <c r="CG12" i="52"/>
  <c r="CG15" i="52"/>
  <c r="CG14" i="52"/>
  <c r="AQ13" i="52"/>
  <c r="AQ8" i="52" s="1"/>
  <c r="BE13" i="52"/>
  <c r="BE8" i="52" s="1"/>
  <c r="BE43" i="52" s="1"/>
  <c r="CG13" i="52"/>
  <c r="CG10" i="52"/>
  <c r="CG9" i="52"/>
  <c r="CG8" i="52"/>
  <c r="CG11" i="52"/>
  <c r="CV14" i="52"/>
  <c r="CV15" i="52"/>
  <c r="DF8" i="52"/>
  <c r="AY9" i="52"/>
  <c r="AK9" i="52"/>
  <c r="DF14" i="52"/>
  <c r="AY16" i="52"/>
  <c r="AY15" i="52"/>
  <c r="AK15" i="52"/>
  <c r="DF13" i="52"/>
  <c r="AY14" i="52"/>
  <c r="DF15" i="52"/>
  <c r="AK14" i="52"/>
  <c r="AK16" i="52"/>
  <c r="DF12" i="52"/>
  <c r="AY11" i="52"/>
  <c r="DF9" i="52"/>
  <c r="AK10" i="52"/>
  <c r="AY17" i="52"/>
  <c r="AY10" i="52"/>
  <c r="DF16" i="52"/>
  <c r="DF11" i="52"/>
  <c r="AK17" i="52"/>
  <c r="AK12" i="52"/>
  <c r="AY12" i="52"/>
  <c r="AK11" i="52"/>
  <c r="DF10" i="52"/>
  <c r="CV8" i="52"/>
  <c r="DL27" i="52"/>
  <c r="CV13" i="52"/>
  <c r="CV11" i="52"/>
  <c r="CV16" i="52"/>
  <c r="W36" i="52"/>
  <c r="W41" i="52"/>
  <c r="W40" i="52"/>
  <c r="W37" i="52"/>
  <c r="W35" i="52"/>
  <c r="W38" i="52"/>
  <c r="W39" i="52"/>
  <c r="W34" i="52"/>
  <c r="O9" i="52"/>
  <c r="G2" i="52"/>
  <c r="R41" i="70"/>
  <c r="J13" i="70"/>
  <c r="Q13" i="70" s="1"/>
  <c r="BE18" i="52" l="1"/>
  <c r="AQ50" i="52"/>
  <c r="AQ54" i="52"/>
  <c r="AQ53" i="52"/>
  <c r="AQ52" i="52"/>
  <c r="AQ51" i="52"/>
  <c r="AQ47" i="52"/>
  <c r="AQ49" i="52"/>
  <c r="AQ3" i="52"/>
  <c r="AQ34" i="52" s="1"/>
  <c r="AQ33" i="52"/>
  <c r="AQ48" i="52"/>
  <c r="AQ40" i="52"/>
  <c r="AQ2" i="52"/>
  <c r="AQ28" i="52" s="1"/>
  <c r="AQ42" i="52"/>
  <c r="AQ39" i="52"/>
  <c r="AQ45" i="52"/>
  <c r="AQ37" i="52"/>
  <c r="AQ38" i="52"/>
  <c r="AQ43" i="52"/>
  <c r="AQ44" i="52"/>
  <c r="AQ41" i="52"/>
  <c r="AL38" i="168"/>
  <c r="G38" i="113"/>
  <c r="H36" i="113"/>
  <c r="H22" i="113"/>
  <c r="H32" i="113"/>
  <c r="H35" i="168"/>
  <c r="H33" i="113"/>
  <c r="H34" i="113"/>
  <c r="H22" i="168"/>
  <c r="H23" i="168"/>
  <c r="H37" i="113"/>
  <c r="H35" i="113"/>
  <c r="G38" i="168"/>
  <c r="H34" i="168"/>
  <c r="H33" i="168"/>
  <c r="H32" i="168"/>
  <c r="H36" i="168"/>
  <c r="H37" i="168"/>
  <c r="H38" i="115"/>
  <c r="BE50" i="52"/>
  <c r="BE52" i="52"/>
  <c r="AM15" i="115"/>
  <c r="AM33" i="115" s="1"/>
  <c r="BS19" i="52"/>
  <c r="AM8" i="107"/>
  <c r="AM24" i="107" s="1"/>
  <c r="AI24" i="107" s="1"/>
  <c r="AJ24" i="107" s="1"/>
  <c r="AK24" i="107" s="1"/>
  <c r="AL24" i="107" s="1"/>
  <c r="CV19" i="52"/>
  <c r="BF3" i="52"/>
  <c r="BE34" i="52"/>
  <c r="BE51" i="52"/>
  <c r="BS21" i="52"/>
  <c r="AM16" i="115"/>
  <c r="AM72" i="115" s="1"/>
  <c r="AI72" i="115" s="1"/>
  <c r="AJ72" i="115" s="1"/>
  <c r="AK72" i="115" s="1"/>
  <c r="AL72" i="115" s="1"/>
  <c r="BE33" i="52"/>
  <c r="AI14" i="115"/>
  <c r="AM51" i="115"/>
  <c r="AI51" i="115" s="1"/>
  <c r="AJ51" i="115" s="1"/>
  <c r="AK51" i="115" s="1"/>
  <c r="AL51" i="115" s="1"/>
  <c r="BE49" i="52"/>
  <c r="AM74" i="115"/>
  <c r="AI74" i="115" s="1"/>
  <c r="AJ74" i="115" s="1"/>
  <c r="AK74" i="115" s="1"/>
  <c r="AL74" i="115" s="1"/>
  <c r="AM55" i="115"/>
  <c r="AI55" i="115" s="1"/>
  <c r="AJ55" i="115" s="1"/>
  <c r="AK55" i="115" s="1"/>
  <c r="AL55" i="115" s="1"/>
  <c r="AI18" i="115"/>
  <c r="AI13" i="115"/>
  <c r="AM50" i="115"/>
  <c r="AI50" i="115" s="1"/>
  <c r="AJ50" i="115" s="1"/>
  <c r="AK50" i="115" s="1"/>
  <c r="AL50" i="115" s="1"/>
  <c r="AM70" i="115"/>
  <c r="AI70" i="115" s="1"/>
  <c r="AJ70" i="115" s="1"/>
  <c r="AK70" i="115" s="1"/>
  <c r="AL70" i="115" s="1"/>
  <c r="AI7" i="107"/>
  <c r="AJ7" i="107" s="1"/>
  <c r="AK7" i="107" s="1"/>
  <c r="AL7" i="107" s="1"/>
  <c r="AI9" i="107"/>
  <c r="AJ9" i="107" s="1"/>
  <c r="AK9" i="107" s="1"/>
  <c r="AL9" i="107" s="1"/>
  <c r="AK4" i="115"/>
  <c r="AI15" i="115"/>
  <c r="AM52" i="115"/>
  <c r="AI52" i="115" s="1"/>
  <c r="AJ52" i="115" s="1"/>
  <c r="AK52" i="115" s="1"/>
  <c r="AL52" i="115" s="1"/>
  <c r="BE54" i="52"/>
  <c r="AM36" i="115"/>
  <c r="AI17" i="115"/>
  <c r="AM54" i="115"/>
  <c r="AI54" i="115" s="1"/>
  <c r="AJ54" i="115" s="1"/>
  <c r="AK54" i="115" s="1"/>
  <c r="AL54" i="115" s="1"/>
  <c r="AM59" i="115"/>
  <c r="AI59" i="115" s="1"/>
  <c r="AJ59" i="115" s="1"/>
  <c r="AK59" i="115" s="1"/>
  <c r="AL59" i="115" s="1"/>
  <c r="AM22" i="115"/>
  <c r="AI3" i="115"/>
  <c r="AM23" i="115"/>
  <c r="AM40" i="115"/>
  <c r="AI40" i="115" s="1"/>
  <c r="AJ40" i="115" s="1"/>
  <c r="AK40" i="115" s="1"/>
  <c r="AL40" i="115" s="1"/>
  <c r="AM69" i="115"/>
  <c r="AI69" i="115" s="1"/>
  <c r="AJ69" i="115" s="1"/>
  <c r="AK69" i="115" s="1"/>
  <c r="AL69" i="115" s="1"/>
  <c r="AI3" i="107"/>
  <c r="AJ3" i="107" s="1"/>
  <c r="AK3" i="107" s="1"/>
  <c r="AL3" i="107" s="1"/>
  <c r="AM20" i="107"/>
  <c r="AI20" i="107" s="1"/>
  <c r="AJ20" i="107" s="1"/>
  <c r="AK20" i="107" s="1"/>
  <c r="AL20" i="107" s="1"/>
  <c r="AM21" i="107"/>
  <c r="AI21" i="107" s="1"/>
  <c r="AJ21" i="107" s="1"/>
  <c r="AK21" i="107" s="1"/>
  <c r="AL21" i="107" s="1"/>
  <c r="AM71" i="115"/>
  <c r="AI71" i="115" s="1"/>
  <c r="AJ71" i="115" s="1"/>
  <c r="AK71" i="115" s="1"/>
  <c r="AL71" i="115" s="1"/>
  <c r="BE53" i="52"/>
  <c r="BE47" i="52"/>
  <c r="BE48" i="52"/>
  <c r="AM73" i="115"/>
  <c r="AI73" i="115" s="1"/>
  <c r="AJ73" i="115" s="1"/>
  <c r="AK73" i="115" s="1"/>
  <c r="AL73" i="115" s="1"/>
  <c r="AM43" i="115"/>
  <c r="AI43" i="115" s="1"/>
  <c r="AJ43" i="115" s="1"/>
  <c r="AK43" i="115" s="1"/>
  <c r="AL43" i="115" s="1"/>
  <c r="AM7" i="115"/>
  <c r="AM26" i="115" s="1"/>
  <c r="S10" i="107"/>
  <c r="S5" i="115"/>
  <c r="R5" i="115" s="1"/>
  <c r="S18" i="107"/>
  <c r="S12" i="115"/>
  <c r="S16" i="107"/>
  <c r="R16" i="107" s="1"/>
  <c r="S11" i="115"/>
  <c r="R11" i="115" s="1"/>
  <c r="AK38" i="113"/>
  <c r="AM62" i="115"/>
  <c r="AI62" i="115" s="1"/>
  <c r="AJ62" i="115" s="1"/>
  <c r="AK62" i="115" s="1"/>
  <c r="AL62" i="115" s="1"/>
  <c r="AI6" i="115"/>
  <c r="BS14" i="52"/>
  <c r="AM47" i="115"/>
  <c r="AI47" i="115" s="1"/>
  <c r="AJ47" i="115" s="1"/>
  <c r="AK47" i="115" s="1"/>
  <c r="AL47" i="115" s="1"/>
  <c r="S13" i="107"/>
  <c r="R13" i="107" s="1"/>
  <c r="S8" i="115"/>
  <c r="BS11" i="52"/>
  <c r="AM45" i="115"/>
  <c r="AI45" i="115" s="1"/>
  <c r="AJ45" i="115" s="1"/>
  <c r="AK45" i="115" s="1"/>
  <c r="AL45" i="115" s="1"/>
  <c r="AF38" i="115"/>
  <c r="AI12" i="115"/>
  <c r="AG26" i="113"/>
  <c r="AG31" i="113"/>
  <c r="AG28" i="113"/>
  <c r="AG29" i="113"/>
  <c r="AG24" i="113"/>
  <c r="AG27" i="113"/>
  <c r="AG30" i="113"/>
  <c r="AG25" i="113"/>
  <c r="AI9" i="115"/>
  <c r="S14" i="107"/>
  <c r="R14" i="107" s="1"/>
  <c r="S9" i="115"/>
  <c r="BS8" i="52"/>
  <c r="AM42" i="115"/>
  <c r="AI42" i="115" s="1"/>
  <c r="AJ42" i="115" s="1"/>
  <c r="AK42" i="115" s="1"/>
  <c r="AL42" i="115" s="1"/>
  <c r="AG26" i="115"/>
  <c r="AG24" i="115"/>
  <c r="AG30" i="115"/>
  <c r="AG28" i="115"/>
  <c r="AG27" i="115"/>
  <c r="AG29" i="115"/>
  <c r="AG25" i="115"/>
  <c r="AG31" i="115"/>
  <c r="AL26" i="113"/>
  <c r="AL31" i="113"/>
  <c r="AL28" i="113"/>
  <c r="AL30" i="113"/>
  <c r="AL25" i="113"/>
  <c r="AL24" i="113"/>
  <c r="AL27" i="113"/>
  <c r="AL29" i="113"/>
  <c r="BS15" i="52"/>
  <c r="AM48" i="115"/>
  <c r="AI48" i="115" s="1"/>
  <c r="AJ48" i="115" s="1"/>
  <c r="AK48" i="115" s="1"/>
  <c r="AL48" i="115" s="1"/>
  <c r="AI11" i="115"/>
  <c r="AF38" i="113"/>
  <c r="AM61" i="115"/>
  <c r="AI61" i="115" s="1"/>
  <c r="AJ61" i="115" s="1"/>
  <c r="AK61" i="115" s="1"/>
  <c r="AL61" i="115" s="1"/>
  <c r="AI5" i="115"/>
  <c r="BS10" i="52"/>
  <c r="AM64" i="115"/>
  <c r="AI64" i="115" s="1"/>
  <c r="AJ64" i="115" s="1"/>
  <c r="AK64" i="115" s="1"/>
  <c r="AL64" i="115" s="1"/>
  <c r="AI8" i="115"/>
  <c r="AI10" i="115"/>
  <c r="AM67" i="115"/>
  <c r="AI67" i="115" s="1"/>
  <c r="AJ67" i="115" s="1"/>
  <c r="AK67" i="115" s="1"/>
  <c r="AL67" i="115" s="1"/>
  <c r="BS16" i="52"/>
  <c r="AM49" i="115"/>
  <c r="AI49" i="115" s="1"/>
  <c r="AJ49" i="115" s="1"/>
  <c r="AK49" i="115" s="1"/>
  <c r="AL49" i="115" s="1"/>
  <c r="S11" i="107"/>
  <c r="S6" i="115"/>
  <c r="R6" i="115" s="1"/>
  <c r="S15" i="107"/>
  <c r="S10" i="115"/>
  <c r="BS13" i="52"/>
  <c r="AM46" i="115"/>
  <c r="AI46" i="115" s="1"/>
  <c r="AJ46" i="115" s="1"/>
  <c r="AK46" i="115" s="1"/>
  <c r="AL46" i="115" s="1"/>
  <c r="AG32" i="107"/>
  <c r="AG33" i="107"/>
  <c r="AG27" i="107"/>
  <c r="AG28" i="107"/>
  <c r="AG29" i="107"/>
  <c r="AG34" i="107"/>
  <c r="AG31" i="107"/>
  <c r="AG30" i="107"/>
  <c r="AG35" i="107"/>
  <c r="AM12" i="107"/>
  <c r="CP9" i="52"/>
  <c r="CP14" i="52"/>
  <c r="CG29" i="52"/>
  <c r="CG26" i="52"/>
  <c r="BS9" i="52"/>
  <c r="CA16" i="52"/>
  <c r="CA14" i="52"/>
  <c r="CA13" i="52"/>
  <c r="CA15" i="52"/>
  <c r="CA11" i="52"/>
  <c r="AK13" i="52"/>
  <c r="AK8" i="52" s="1"/>
  <c r="AK39" i="52" s="1"/>
  <c r="CA10" i="52"/>
  <c r="AY13" i="52"/>
  <c r="S12" i="107" s="1"/>
  <c r="R12" i="107" s="1"/>
  <c r="CA12" i="52"/>
  <c r="CA9" i="52"/>
  <c r="CA8" i="52"/>
  <c r="BS12" i="52"/>
  <c r="CV12" i="52"/>
  <c r="BE41" i="52"/>
  <c r="BE44" i="52"/>
  <c r="CP15" i="52"/>
  <c r="DF27" i="52"/>
  <c r="BE40" i="52"/>
  <c r="CP11" i="52"/>
  <c r="CP16" i="52"/>
  <c r="CP10" i="52"/>
  <c r="CP8" i="52"/>
  <c r="CP13" i="52"/>
  <c r="BE45" i="52"/>
  <c r="BE2" i="52"/>
  <c r="BE42" i="52"/>
  <c r="L15" i="115"/>
  <c r="O2" i="52"/>
  <c r="G39" i="52"/>
  <c r="G47" i="52"/>
  <c r="G41" i="52"/>
  <c r="R13" i="70"/>
  <c r="Q5" i="70"/>
  <c r="AM25" i="107" l="1"/>
  <c r="AI25" i="107" s="1"/>
  <c r="AJ25" i="107" s="1"/>
  <c r="AK25" i="107" s="1"/>
  <c r="AL25" i="107" s="1"/>
  <c r="AI8" i="107"/>
  <c r="AJ8" i="107" s="1"/>
  <c r="AK8" i="107" s="1"/>
  <c r="AL8" i="107" s="1"/>
  <c r="AM26" i="107"/>
  <c r="AI26" i="107" s="1"/>
  <c r="AJ26" i="107" s="1"/>
  <c r="AK26" i="107" s="1"/>
  <c r="AL26" i="107" s="1"/>
  <c r="BF2" i="52"/>
  <c r="AM32" i="115"/>
  <c r="T15" i="107"/>
  <c r="U15" i="107" s="1"/>
  <c r="R15" i="107"/>
  <c r="T18" i="107"/>
  <c r="U18" i="107" s="1"/>
  <c r="R18" i="107"/>
  <c r="S64" i="115"/>
  <c r="R8" i="115"/>
  <c r="T10" i="107"/>
  <c r="U10" i="107" s="1"/>
  <c r="R10" i="107"/>
  <c r="S66" i="115"/>
  <c r="R10" i="115"/>
  <c r="S65" i="115"/>
  <c r="R9" i="115"/>
  <c r="T11" i="107"/>
  <c r="U11" i="107" s="1"/>
  <c r="R11" i="107"/>
  <c r="AQ57" i="52"/>
  <c r="S68" i="115"/>
  <c r="R12" i="115"/>
  <c r="H38" i="113"/>
  <c r="H38" i="168"/>
  <c r="M15" i="115"/>
  <c r="L34" i="115"/>
  <c r="J15" i="115"/>
  <c r="L52" i="115"/>
  <c r="L71" i="115"/>
  <c r="L32" i="115"/>
  <c r="L33" i="115"/>
  <c r="L37" i="115"/>
  <c r="L36" i="115"/>
  <c r="L35" i="115"/>
  <c r="AM34" i="115"/>
  <c r="AM53" i="115"/>
  <c r="AI53" i="115" s="1"/>
  <c r="AJ53" i="115" s="1"/>
  <c r="AK53" i="115" s="1"/>
  <c r="AL53" i="115" s="1"/>
  <c r="AM37" i="115"/>
  <c r="AI16" i="115"/>
  <c r="AI35" i="115" s="1"/>
  <c r="AM35" i="115"/>
  <c r="AJ17" i="115"/>
  <c r="AI22" i="115"/>
  <c r="AJ3" i="115"/>
  <c r="AI23" i="115"/>
  <c r="AJ18" i="115"/>
  <c r="AJ15" i="115"/>
  <c r="AL4" i="115"/>
  <c r="AJ13" i="115"/>
  <c r="AJ14" i="115"/>
  <c r="T13" i="107"/>
  <c r="U13" i="107" s="1"/>
  <c r="AM27" i="115"/>
  <c r="AM31" i="115"/>
  <c r="AM30" i="115"/>
  <c r="AM29" i="115"/>
  <c r="AI7" i="115"/>
  <c r="AI29" i="115" s="1"/>
  <c r="AM19" i="115"/>
  <c r="AM63" i="115"/>
  <c r="AI63" i="115" s="1"/>
  <c r="AJ63" i="115" s="1"/>
  <c r="AK63" i="115" s="1"/>
  <c r="AL63" i="115" s="1"/>
  <c r="AM25" i="115"/>
  <c r="T16" i="107"/>
  <c r="U16" i="107" s="1"/>
  <c r="AM28" i="115"/>
  <c r="AM44" i="115"/>
  <c r="AI44" i="115" s="1"/>
  <c r="AJ44" i="115" s="1"/>
  <c r="AK44" i="115" s="1"/>
  <c r="AL44" i="115" s="1"/>
  <c r="AM24" i="115"/>
  <c r="AY8" i="52"/>
  <c r="AY2" i="52" s="1"/>
  <c r="T14" i="107"/>
  <c r="U14" i="107" s="1"/>
  <c r="AJ9" i="115"/>
  <c r="T11" i="115"/>
  <c r="BM8" i="52"/>
  <c r="S42" i="115"/>
  <c r="AJ10" i="115"/>
  <c r="S7" i="115"/>
  <c r="S61" i="115"/>
  <c r="T5" i="115"/>
  <c r="BM10" i="52"/>
  <c r="AJ8" i="115"/>
  <c r="BM11" i="52"/>
  <c r="S45" i="115"/>
  <c r="AJ11" i="115"/>
  <c r="AJ6" i="115"/>
  <c r="BM15" i="52"/>
  <c r="S48" i="115"/>
  <c r="BM14" i="52"/>
  <c r="S47" i="115"/>
  <c r="BM16" i="52"/>
  <c r="S49" i="115"/>
  <c r="S62" i="115"/>
  <c r="T6" i="115"/>
  <c r="AL38" i="113"/>
  <c r="AG38" i="115"/>
  <c r="S67" i="115"/>
  <c r="AJ5" i="115"/>
  <c r="T8" i="115"/>
  <c r="T12" i="115"/>
  <c r="BM13" i="52"/>
  <c r="S46" i="115"/>
  <c r="T10" i="115"/>
  <c r="AG38" i="113"/>
  <c r="T9" i="115"/>
  <c r="S43" i="115"/>
  <c r="AJ12" i="115"/>
  <c r="CM20" i="52"/>
  <c r="BJ20" i="52"/>
  <c r="L8" i="107"/>
  <c r="AK37" i="52"/>
  <c r="T12" i="107"/>
  <c r="U12" i="107" s="1"/>
  <c r="S29" i="107"/>
  <c r="R29" i="107" s="1"/>
  <c r="S28" i="107"/>
  <c r="R28" i="107" s="1"/>
  <c r="S34" i="107"/>
  <c r="R34" i="107" s="1"/>
  <c r="S32" i="107"/>
  <c r="R32" i="107" s="1"/>
  <c r="S27" i="107"/>
  <c r="R27" i="107" s="1"/>
  <c r="S35" i="107"/>
  <c r="R35" i="107" s="1"/>
  <c r="S30" i="107"/>
  <c r="R30" i="107" s="1"/>
  <c r="S33" i="107"/>
  <c r="R33" i="107" s="1"/>
  <c r="S31" i="107"/>
  <c r="R31" i="107" s="1"/>
  <c r="BM9" i="52"/>
  <c r="AM29" i="107"/>
  <c r="AI12" i="107"/>
  <c r="AJ12" i="107" s="1"/>
  <c r="AK12" i="107" s="1"/>
  <c r="AL12" i="107" s="1"/>
  <c r="AM31" i="107"/>
  <c r="AM32" i="107"/>
  <c r="AM35" i="107"/>
  <c r="AM27" i="107"/>
  <c r="AM33" i="107"/>
  <c r="AM19" i="107"/>
  <c r="AM28" i="107"/>
  <c r="AM30" i="107"/>
  <c r="AM34" i="107"/>
  <c r="AK40" i="52"/>
  <c r="T15" i="52"/>
  <c r="T14" i="52"/>
  <c r="T10" i="52"/>
  <c r="T9" i="52"/>
  <c r="T11" i="52"/>
  <c r="T13" i="52"/>
  <c r="T12" i="52"/>
  <c r="AK43" i="52"/>
  <c r="AK41" i="52"/>
  <c r="AK45" i="52"/>
  <c r="AK42" i="52"/>
  <c r="AK44" i="52"/>
  <c r="BM12" i="52"/>
  <c r="CP12" i="52"/>
  <c r="AK38" i="52"/>
  <c r="AK2" i="52"/>
  <c r="AK28" i="52" s="1"/>
  <c r="BE28" i="52"/>
  <c r="CA26" i="52"/>
  <c r="CA29" i="52"/>
  <c r="AI34" i="115" l="1"/>
  <c r="AI37" i="115"/>
  <c r="T66" i="115"/>
  <c r="U66" i="115" s="1"/>
  <c r="R66" i="115"/>
  <c r="T62" i="115"/>
  <c r="U62" i="115" s="1"/>
  <c r="R62" i="115"/>
  <c r="T49" i="115"/>
  <c r="U49" i="115" s="1"/>
  <c r="R49" i="115"/>
  <c r="T45" i="115"/>
  <c r="U45" i="115" s="1"/>
  <c r="R45" i="115"/>
  <c r="T61" i="115"/>
  <c r="U61" i="115" s="1"/>
  <c r="R61" i="115"/>
  <c r="T46" i="115"/>
  <c r="U46" i="115" s="1"/>
  <c r="R46" i="115"/>
  <c r="T47" i="115"/>
  <c r="U47" i="115" s="1"/>
  <c r="R47" i="115"/>
  <c r="S25" i="115"/>
  <c r="R7" i="115"/>
  <c r="R26" i="115" s="1"/>
  <c r="T43" i="115"/>
  <c r="U43" i="115" s="1"/>
  <c r="R43" i="115"/>
  <c r="T64" i="115"/>
  <c r="U64" i="115" s="1"/>
  <c r="R64" i="115"/>
  <c r="T68" i="115"/>
  <c r="U68" i="115" s="1"/>
  <c r="R68" i="115"/>
  <c r="T48" i="115"/>
  <c r="U48" i="115" s="1"/>
  <c r="R48" i="115"/>
  <c r="T42" i="115"/>
  <c r="U42" i="115" s="1"/>
  <c r="R42" i="115"/>
  <c r="T65" i="115"/>
  <c r="U65" i="115" s="1"/>
  <c r="R65" i="115"/>
  <c r="T67" i="115"/>
  <c r="U67" i="115" s="1"/>
  <c r="R67" i="115"/>
  <c r="J15" i="113"/>
  <c r="J37" i="113" s="1"/>
  <c r="J15" i="168"/>
  <c r="J32" i="113"/>
  <c r="J34" i="113"/>
  <c r="J71" i="115"/>
  <c r="K71" i="115" s="1"/>
  <c r="M71" i="115"/>
  <c r="M52" i="115"/>
  <c r="J52" i="115"/>
  <c r="K52" i="115" s="1"/>
  <c r="J34" i="115"/>
  <c r="K15" i="115"/>
  <c r="J36" i="115"/>
  <c r="J33" i="115"/>
  <c r="J32" i="115"/>
  <c r="J37" i="115"/>
  <c r="J35" i="115"/>
  <c r="M34" i="115"/>
  <c r="M33" i="115"/>
  <c r="M36" i="115"/>
  <c r="M32" i="115"/>
  <c r="M37" i="115"/>
  <c r="M35" i="115"/>
  <c r="AI32" i="115"/>
  <c r="AI36" i="115"/>
  <c r="AI33" i="115"/>
  <c r="AJ16" i="115"/>
  <c r="AJ35" i="115" s="1"/>
  <c r="AY44" i="52"/>
  <c r="AY40" i="52"/>
  <c r="AJ37" i="115"/>
  <c r="AK18" i="115"/>
  <c r="AK14" i="115"/>
  <c r="AK17" i="115"/>
  <c r="AK15" i="115"/>
  <c r="AJ22" i="115"/>
  <c r="AK3" i="115"/>
  <c r="AJ23" i="115"/>
  <c r="AK13" i="115"/>
  <c r="AI26" i="115"/>
  <c r="AI25" i="115"/>
  <c r="AY41" i="52"/>
  <c r="AI27" i="115"/>
  <c r="AZ39" i="52"/>
  <c r="AZ37" i="52"/>
  <c r="AI24" i="115"/>
  <c r="AJ7" i="115"/>
  <c r="AJ30" i="115" s="1"/>
  <c r="AI28" i="115"/>
  <c r="S24" i="115"/>
  <c r="AM38" i="115"/>
  <c r="AI31" i="115"/>
  <c r="AI30" i="115"/>
  <c r="AZ38" i="52"/>
  <c r="S31" i="115"/>
  <c r="AY42" i="52"/>
  <c r="AY43" i="52"/>
  <c r="AY45" i="52"/>
  <c r="S44" i="115"/>
  <c r="S29" i="115"/>
  <c r="S30" i="115"/>
  <c r="S28" i="115"/>
  <c r="AK12" i="115"/>
  <c r="U12" i="115"/>
  <c r="AK6" i="115"/>
  <c r="AK11" i="115"/>
  <c r="U5" i="115"/>
  <c r="U9" i="115"/>
  <c r="U6" i="115"/>
  <c r="S26" i="115"/>
  <c r="T7" i="115"/>
  <c r="T29" i="115" s="1"/>
  <c r="S63" i="115"/>
  <c r="S27" i="115"/>
  <c r="AK5" i="115"/>
  <c r="AY28" i="52"/>
  <c r="S19" i="115"/>
  <c r="AK8" i="115"/>
  <c r="U10" i="115"/>
  <c r="U11" i="115"/>
  <c r="AK9" i="115"/>
  <c r="U8" i="115"/>
  <c r="AK10" i="115"/>
  <c r="J8" i="107"/>
  <c r="K8" i="107" s="1"/>
  <c r="M8" i="107"/>
  <c r="L25" i="107"/>
  <c r="L24" i="107"/>
  <c r="L26" i="107"/>
  <c r="S19" i="107"/>
  <c r="AI31" i="107"/>
  <c r="AI34" i="107"/>
  <c r="AI30" i="107"/>
  <c r="AI28" i="107"/>
  <c r="AI35" i="107"/>
  <c r="AI33" i="107"/>
  <c r="AI27" i="107"/>
  <c r="AJ27" i="107" s="1"/>
  <c r="AI32" i="107"/>
  <c r="AI29" i="107"/>
  <c r="T27" i="107"/>
  <c r="T32" i="107"/>
  <c r="T34" i="107"/>
  <c r="T28" i="107"/>
  <c r="T29" i="107"/>
  <c r="T31" i="107"/>
  <c r="T33" i="107"/>
  <c r="T30" i="107"/>
  <c r="T35" i="107"/>
  <c r="AK57" i="52"/>
  <c r="T8" i="52"/>
  <c r="AJ32" i="115" l="1"/>
  <c r="T63" i="115"/>
  <c r="U63" i="115" s="1"/>
  <c r="R63" i="115"/>
  <c r="T44" i="115"/>
  <c r="U44" i="115" s="1"/>
  <c r="R44" i="115"/>
  <c r="J36" i="113"/>
  <c r="J35" i="113"/>
  <c r="J33" i="113"/>
  <c r="K15" i="113"/>
  <c r="K33" i="113" s="1"/>
  <c r="K15" i="168"/>
  <c r="J34" i="168"/>
  <c r="J37" i="168"/>
  <c r="J35" i="168"/>
  <c r="J33" i="168"/>
  <c r="J36" i="168"/>
  <c r="J32" i="168"/>
  <c r="AK16" i="115"/>
  <c r="AK34" i="115" s="1"/>
  <c r="AJ34" i="115"/>
  <c r="K34" i="115"/>
  <c r="K33" i="115"/>
  <c r="K36" i="115"/>
  <c r="K37" i="115"/>
  <c r="K32" i="115"/>
  <c r="K35" i="115"/>
  <c r="AJ36" i="115"/>
  <c r="AJ33" i="115"/>
  <c r="AL15" i="115"/>
  <c r="AL17" i="115"/>
  <c r="AL13" i="115"/>
  <c r="AK33" i="115"/>
  <c r="AL14" i="115"/>
  <c r="AK37" i="115"/>
  <c r="AL18" i="115"/>
  <c r="AK22" i="115"/>
  <c r="AL3" i="115"/>
  <c r="AK23" i="115"/>
  <c r="AI38" i="115"/>
  <c r="AJ27" i="115"/>
  <c r="AJ25" i="115"/>
  <c r="AJ24" i="115"/>
  <c r="AJ29" i="115"/>
  <c r="AJ31" i="115"/>
  <c r="AK7" i="115"/>
  <c r="AK31" i="115" s="1"/>
  <c r="AJ26" i="115"/>
  <c r="AJ28" i="115"/>
  <c r="S38" i="115"/>
  <c r="T27" i="115"/>
  <c r="R30" i="115"/>
  <c r="R28" i="115"/>
  <c r="T24" i="115"/>
  <c r="AL9" i="115"/>
  <c r="AL6" i="115"/>
  <c r="AL10" i="115"/>
  <c r="AL8" i="115"/>
  <c r="T26" i="115"/>
  <c r="U7" i="115"/>
  <c r="U26" i="115" s="1"/>
  <c r="T31" i="115"/>
  <c r="R24" i="115"/>
  <c r="R31" i="115"/>
  <c r="T25" i="115"/>
  <c r="R29" i="115"/>
  <c r="R25" i="115"/>
  <c r="T30" i="115"/>
  <c r="AL12" i="115"/>
  <c r="R27" i="115"/>
  <c r="T28" i="115"/>
  <c r="AL5" i="115"/>
  <c r="AL11" i="115"/>
  <c r="AJ29" i="107"/>
  <c r="AJ32" i="107"/>
  <c r="AJ33" i="107"/>
  <c r="AJ35" i="107"/>
  <c r="AJ28" i="107"/>
  <c r="AJ30" i="107"/>
  <c r="AK30" i="107" s="1"/>
  <c r="AJ34" i="107"/>
  <c r="AJ31" i="107"/>
  <c r="M24" i="107"/>
  <c r="J24" i="107"/>
  <c r="M25" i="107"/>
  <c r="J25" i="107"/>
  <c r="M26" i="107"/>
  <c r="J26" i="107"/>
  <c r="AK27" i="107"/>
  <c r="U28" i="107"/>
  <c r="U35" i="107"/>
  <c r="U32" i="107"/>
  <c r="U33" i="107"/>
  <c r="U34" i="107"/>
  <c r="U30" i="107"/>
  <c r="U31" i="107"/>
  <c r="U27" i="107"/>
  <c r="U29" i="107"/>
  <c r="T7" i="52"/>
  <c r="T34" i="52" s="1"/>
  <c r="AC23" i="52"/>
  <c r="U23" i="52"/>
  <c r="U22" i="52"/>
  <c r="U21" i="52"/>
  <c r="U19" i="52"/>
  <c r="D56" i="115"/>
  <c r="E56" i="115" s="1"/>
  <c r="F56" i="115" s="1"/>
  <c r="G56" i="115" s="1"/>
  <c r="H56" i="115" s="1"/>
  <c r="U20" i="52"/>
  <c r="BH24" i="52"/>
  <c r="AC15" i="52"/>
  <c r="U15" i="52"/>
  <c r="BH22" i="52"/>
  <c r="AD19" i="52"/>
  <c r="AD20" i="52" s="1"/>
  <c r="AD22" i="52" s="1"/>
  <c r="AD23" i="52" s="1"/>
  <c r="AD25" i="52" s="1"/>
  <c r="AC18" i="52"/>
  <c r="U18" i="52"/>
  <c r="AC14" i="52"/>
  <c r="U14" i="52"/>
  <c r="S14" i="52"/>
  <c r="BH21" i="52"/>
  <c r="U17" i="52"/>
  <c r="AC13" i="52"/>
  <c r="U13" i="52"/>
  <c r="S13" i="52"/>
  <c r="BH18" i="52"/>
  <c r="BH17" i="52"/>
  <c r="AC12" i="52"/>
  <c r="U12" i="52"/>
  <c r="S12" i="52"/>
  <c r="CK15" i="52"/>
  <c r="BH16" i="52"/>
  <c r="AC11" i="52"/>
  <c r="U11" i="52"/>
  <c r="CK14" i="52"/>
  <c r="BH15" i="52"/>
  <c r="AC10" i="52"/>
  <c r="U10" i="52"/>
  <c r="CK13" i="52"/>
  <c r="BH14" i="52"/>
  <c r="AC9" i="52"/>
  <c r="U9" i="52"/>
  <c r="CK12" i="52"/>
  <c r="BH13" i="52"/>
  <c r="CK11" i="52"/>
  <c r="BH11" i="52"/>
  <c r="AD9" i="52"/>
  <c r="AD10" i="52" s="1"/>
  <c r="AD11" i="52" s="1"/>
  <c r="CK10" i="52"/>
  <c r="BH10" i="52"/>
  <c r="CK9" i="52"/>
  <c r="CK8" i="52"/>
  <c r="AC5" i="52"/>
  <c r="U5" i="52"/>
  <c r="AD4" i="52"/>
  <c r="AD5" i="52" s="1"/>
  <c r="AC4" i="52"/>
  <c r="AK32" i="115" l="1"/>
  <c r="AL16" i="115"/>
  <c r="AK36" i="115"/>
  <c r="AK35" i="115"/>
  <c r="K34" i="113"/>
  <c r="K32" i="113"/>
  <c r="K37" i="113"/>
  <c r="K36" i="113"/>
  <c r="K35" i="113"/>
  <c r="K34" i="168"/>
  <c r="K36" i="168"/>
  <c r="K37" i="168"/>
  <c r="K32" i="168"/>
  <c r="K35" i="168"/>
  <c r="K33" i="168"/>
  <c r="AL32" i="115"/>
  <c r="AL35" i="115"/>
  <c r="AL36" i="115"/>
  <c r="AL34" i="115"/>
  <c r="AL22" i="115"/>
  <c r="AL23" i="115"/>
  <c r="AL37" i="115"/>
  <c r="AL33" i="115"/>
  <c r="AK25" i="115"/>
  <c r="AK28" i="115"/>
  <c r="AK30" i="115"/>
  <c r="AK24" i="115"/>
  <c r="AL7" i="115"/>
  <c r="AL26" i="115" s="1"/>
  <c r="AK26" i="115"/>
  <c r="AK27" i="115"/>
  <c r="AK29" i="115"/>
  <c r="AJ38" i="115"/>
  <c r="U27" i="115"/>
  <c r="R38" i="115"/>
  <c r="L14" i="107"/>
  <c r="M14" i="107" s="1"/>
  <c r="L9" i="115"/>
  <c r="L65" i="115" s="1"/>
  <c r="T38" i="115"/>
  <c r="U28" i="115"/>
  <c r="L13" i="107"/>
  <c r="M13" i="107" s="1"/>
  <c r="L8" i="115"/>
  <c r="L10" i="107"/>
  <c r="M10" i="107" s="1"/>
  <c r="L5" i="115"/>
  <c r="U25" i="115"/>
  <c r="L11" i="107"/>
  <c r="J11" i="107" s="1"/>
  <c r="K11" i="107" s="1"/>
  <c r="L6" i="115"/>
  <c r="U29" i="115"/>
  <c r="L15" i="107"/>
  <c r="M15" i="107" s="1"/>
  <c r="L10" i="115"/>
  <c r="L16" i="107"/>
  <c r="J16" i="107" s="1"/>
  <c r="K16" i="107" s="1"/>
  <c r="L11" i="115"/>
  <c r="L67" i="115" s="1"/>
  <c r="U24" i="115"/>
  <c r="U30" i="115"/>
  <c r="L18" i="107"/>
  <c r="M18" i="107" s="1"/>
  <c r="L12" i="115"/>
  <c r="U31" i="115"/>
  <c r="AK34" i="107"/>
  <c r="AK29" i="107"/>
  <c r="AK33" i="107"/>
  <c r="K26" i="107"/>
  <c r="K24" i="107"/>
  <c r="AK28" i="107"/>
  <c r="K25" i="107"/>
  <c r="AK32" i="107"/>
  <c r="AK35" i="107"/>
  <c r="AK31" i="107"/>
  <c r="BH8" i="52"/>
  <c r="BH9" i="52"/>
  <c r="AL27" i="107"/>
  <c r="AL30" i="107"/>
  <c r="CM16" i="52"/>
  <c r="CM9" i="52"/>
  <c r="L12" i="107"/>
  <c r="T38" i="52"/>
  <c r="T2" i="52"/>
  <c r="T25" i="52" s="1"/>
  <c r="T41" i="52"/>
  <c r="T35" i="52"/>
  <c r="T36" i="52"/>
  <c r="T37" i="52"/>
  <c r="T40" i="52"/>
  <c r="T39" i="52"/>
  <c r="CM14" i="52"/>
  <c r="CM11" i="52"/>
  <c r="CM13" i="52"/>
  <c r="CM10" i="52"/>
  <c r="CM8" i="52"/>
  <c r="CM15" i="52"/>
  <c r="AD13" i="52"/>
  <c r="AD14" i="52" s="1"/>
  <c r="AD15" i="52" s="1"/>
  <c r="AD16" i="52" s="1"/>
  <c r="AC20" i="52"/>
  <c r="AC17" i="52"/>
  <c r="M3" i="52"/>
  <c r="AF42" i="52"/>
  <c r="AC21" i="52"/>
  <c r="AC19" i="52"/>
  <c r="R40" i="52"/>
  <c r="U4" i="52"/>
  <c r="AF49" i="52"/>
  <c r="U16" i="52"/>
  <c r="U48" i="52" s="1"/>
  <c r="AT54" i="52"/>
  <c r="AT38" i="52"/>
  <c r="AC22" i="52"/>
  <c r="U8" i="52"/>
  <c r="AC3" i="52"/>
  <c r="AC30" i="52" s="1"/>
  <c r="AC8" i="52"/>
  <c r="AL29" i="115" l="1"/>
  <c r="AK38" i="115"/>
  <c r="AL27" i="115"/>
  <c r="AL28" i="115"/>
  <c r="AL31" i="115"/>
  <c r="AL25" i="115"/>
  <c r="AL24" i="115"/>
  <c r="AL30" i="115"/>
  <c r="M11" i="107"/>
  <c r="J18" i="107"/>
  <c r="K18" i="107" s="1"/>
  <c r="J14" i="107"/>
  <c r="K14" i="107" s="1"/>
  <c r="M16" i="107"/>
  <c r="M67" i="115"/>
  <c r="J67" i="115"/>
  <c r="K67" i="115" s="1"/>
  <c r="L61" i="115"/>
  <c r="M5" i="115"/>
  <c r="J5" i="115"/>
  <c r="BJ15" i="52"/>
  <c r="L48" i="115"/>
  <c r="M11" i="115"/>
  <c r="J11" i="115"/>
  <c r="BJ11" i="52"/>
  <c r="L45" i="115"/>
  <c r="J15" i="107"/>
  <c r="K15" i="107" s="1"/>
  <c r="BJ14" i="52"/>
  <c r="L47" i="115"/>
  <c r="L7" i="115"/>
  <c r="L31" i="115" s="1"/>
  <c r="BJ16" i="52"/>
  <c r="L49" i="115"/>
  <c r="M10" i="115"/>
  <c r="J10" i="115"/>
  <c r="M12" i="115"/>
  <c r="J12" i="115"/>
  <c r="BJ8" i="52"/>
  <c r="L42" i="115"/>
  <c r="M8" i="115"/>
  <c r="J8" i="115"/>
  <c r="L64" i="115"/>
  <c r="J10" i="107"/>
  <c r="K10" i="107" s="1"/>
  <c r="L62" i="115"/>
  <c r="M6" i="115"/>
  <c r="J6" i="115"/>
  <c r="L43" i="115"/>
  <c r="J13" i="107"/>
  <c r="K13" i="107" s="1"/>
  <c r="BJ10" i="52"/>
  <c r="M65" i="115"/>
  <c r="J65" i="115"/>
  <c r="K65" i="115" s="1"/>
  <c r="L68" i="115"/>
  <c r="BJ13" i="52"/>
  <c r="L46" i="115"/>
  <c r="U38" i="115"/>
  <c r="L66" i="115"/>
  <c r="M9" i="115"/>
  <c r="J9" i="115"/>
  <c r="AL29" i="107"/>
  <c r="AL34" i="107"/>
  <c r="AL32" i="107"/>
  <c r="AL28" i="107"/>
  <c r="AL33" i="107"/>
  <c r="AL35" i="107"/>
  <c r="AL31" i="107"/>
  <c r="M12" i="107"/>
  <c r="L29" i="107"/>
  <c r="J12" i="107"/>
  <c r="K12" i="107" s="1"/>
  <c r="L31" i="107"/>
  <c r="L35" i="107"/>
  <c r="L33" i="107"/>
  <c r="L30" i="107"/>
  <c r="L28" i="107"/>
  <c r="L27" i="107"/>
  <c r="L32" i="107"/>
  <c r="L34" i="107"/>
  <c r="BJ9" i="52"/>
  <c r="BJ12" i="52"/>
  <c r="CM12" i="52"/>
  <c r="DB27" i="52"/>
  <c r="CK5" i="52"/>
  <c r="CK16" i="52"/>
  <c r="AC31" i="52"/>
  <c r="P3" i="52"/>
  <c r="M2" i="52"/>
  <c r="CK4" i="52"/>
  <c r="R34" i="52"/>
  <c r="AF38" i="52"/>
  <c r="AF39" i="52"/>
  <c r="AF44" i="52"/>
  <c r="AF47" i="52"/>
  <c r="AF43" i="52"/>
  <c r="AF37" i="52"/>
  <c r="AF45" i="52"/>
  <c r="AC16" i="52"/>
  <c r="AC44" i="52" s="1"/>
  <c r="AF40" i="52"/>
  <c r="U46" i="52"/>
  <c r="R45" i="52"/>
  <c r="R47" i="52"/>
  <c r="R48" i="52"/>
  <c r="R44" i="52"/>
  <c r="R46" i="52"/>
  <c r="AF52" i="52"/>
  <c r="AT49" i="52"/>
  <c r="AT44" i="52"/>
  <c r="R43" i="52"/>
  <c r="AT42" i="52"/>
  <c r="AT43" i="52"/>
  <c r="AF51" i="52"/>
  <c r="AF48" i="52"/>
  <c r="AF54" i="52"/>
  <c r="CK17" i="52"/>
  <c r="AI38" i="52"/>
  <c r="AT47" i="52"/>
  <c r="U3" i="52"/>
  <c r="R41" i="52"/>
  <c r="U47" i="52"/>
  <c r="U44" i="52"/>
  <c r="U43" i="52"/>
  <c r="AT39" i="52"/>
  <c r="U45" i="52"/>
  <c r="R37" i="52"/>
  <c r="R36" i="52"/>
  <c r="AC7" i="52"/>
  <c r="R39" i="52"/>
  <c r="AI37" i="52"/>
  <c r="AI39" i="52"/>
  <c r="U7" i="52"/>
  <c r="U34" i="52" s="1"/>
  <c r="R30" i="52"/>
  <c r="R38" i="52"/>
  <c r="AT40" i="52"/>
  <c r="AT45" i="52"/>
  <c r="AT37" i="52"/>
  <c r="AT52" i="52"/>
  <c r="AT48" i="52"/>
  <c r="AT51" i="52"/>
  <c r="R35" i="52"/>
  <c r="J6" i="113" l="1"/>
  <c r="J6" i="168"/>
  <c r="J12" i="113"/>
  <c r="J12" i="168"/>
  <c r="J8" i="113"/>
  <c r="J8" i="168"/>
  <c r="J5" i="113"/>
  <c r="J5" i="168"/>
  <c r="J11" i="113"/>
  <c r="J11" i="168"/>
  <c r="J9" i="113"/>
  <c r="J9" i="168"/>
  <c r="J10" i="113"/>
  <c r="J10" i="168"/>
  <c r="AL38" i="115"/>
  <c r="L25" i="115"/>
  <c r="L29" i="115"/>
  <c r="L30" i="115"/>
  <c r="L44" i="115"/>
  <c r="J44" i="115" s="1"/>
  <c r="K44" i="115" s="1"/>
  <c r="L27" i="115"/>
  <c r="K10" i="115"/>
  <c r="M68" i="115"/>
  <c r="J68" i="115"/>
  <c r="K68" i="115" s="1"/>
  <c r="M64" i="115"/>
  <c r="J64" i="115"/>
  <c r="K64" i="115" s="1"/>
  <c r="M49" i="115"/>
  <c r="J49" i="115"/>
  <c r="K49" i="115" s="1"/>
  <c r="M66" i="115"/>
  <c r="J66" i="115"/>
  <c r="K66" i="115" s="1"/>
  <c r="K12" i="115"/>
  <c r="M45" i="115"/>
  <c r="J45" i="115"/>
  <c r="K45" i="115" s="1"/>
  <c r="K6" i="115"/>
  <c r="M62" i="115"/>
  <c r="J62" i="115"/>
  <c r="K62" i="115" s="1"/>
  <c r="K8" i="115"/>
  <c r="M46" i="115"/>
  <c r="J46" i="115"/>
  <c r="K46" i="115" s="1"/>
  <c r="K11" i="115"/>
  <c r="M48" i="115"/>
  <c r="J48" i="115"/>
  <c r="K48" i="115" s="1"/>
  <c r="K5" i="115"/>
  <c r="L26" i="115"/>
  <c r="M7" i="115"/>
  <c r="M26" i="115" s="1"/>
  <c r="J7" i="115"/>
  <c r="J7" i="168" s="1"/>
  <c r="L63" i="115"/>
  <c r="K9" i="115"/>
  <c r="M47" i="115"/>
  <c r="J47" i="115"/>
  <c r="K47" i="115" s="1"/>
  <c r="L24" i="115"/>
  <c r="M42" i="115"/>
  <c r="J42" i="115"/>
  <c r="K42" i="115" s="1"/>
  <c r="M61" i="115"/>
  <c r="J61" i="115"/>
  <c r="K61" i="115" s="1"/>
  <c r="L28" i="115"/>
  <c r="M43" i="115"/>
  <c r="J43" i="115"/>
  <c r="K43" i="115" s="1"/>
  <c r="AW39" i="52"/>
  <c r="AW37" i="52"/>
  <c r="AW38" i="52"/>
  <c r="M29" i="107"/>
  <c r="J29" i="107"/>
  <c r="M34" i="107"/>
  <c r="J34" i="107"/>
  <c r="M32" i="107"/>
  <c r="J32" i="107"/>
  <c r="M27" i="107"/>
  <c r="J27" i="107"/>
  <c r="M28" i="107"/>
  <c r="J28" i="107"/>
  <c r="M30" i="107"/>
  <c r="J30" i="107"/>
  <c r="M33" i="107"/>
  <c r="J33" i="107"/>
  <c r="M35" i="107"/>
  <c r="J35" i="107"/>
  <c r="M31" i="107"/>
  <c r="J31" i="107"/>
  <c r="AI57" i="52"/>
  <c r="AC45" i="52"/>
  <c r="AC48" i="52"/>
  <c r="AC43" i="52"/>
  <c r="AC41" i="52"/>
  <c r="AC37" i="52"/>
  <c r="AC35" i="52"/>
  <c r="AC38" i="52"/>
  <c r="AC40" i="52"/>
  <c r="AC36" i="52"/>
  <c r="AC39" i="52"/>
  <c r="AC47" i="52"/>
  <c r="AC34" i="52"/>
  <c r="AC46" i="52"/>
  <c r="CK18" i="52"/>
  <c r="AC2" i="52"/>
  <c r="AC25" i="52" s="1"/>
  <c r="U2" i="52"/>
  <c r="U25" i="52" s="1"/>
  <c r="U31" i="52"/>
  <c r="U30" i="52"/>
  <c r="W25" i="52"/>
  <c r="R31" i="52"/>
  <c r="CK21" i="52"/>
  <c r="U41" i="52"/>
  <c r="U39" i="52"/>
  <c r="U37" i="52"/>
  <c r="U40" i="52"/>
  <c r="U35" i="52"/>
  <c r="U38" i="52"/>
  <c r="U36" i="52"/>
  <c r="K6" i="113" l="1"/>
  <c r="K6" i="168"/>
  <c r="K8" i="113"/>
  <c r="K8" i="168"/>
  <c r="K5" i="113"/>
  <c r="K5" i="168"/>
  <c r="K11" i="113"/>
  <c r="K11" i="168"/>
  <c r="J29" i="168"/>
  <c r="J28" i="168"/>
  <c r="K9" i="113"/>
  <c r="K9" i="168"/>
  <c r="J30" i="168"/>
  <c r="J31" i="168"/>
  <c r="J26" i="168"/>
  <c r="K10" i="113"/>
  <c r="K10" i="168"/>
  <c r="J25" i="168"/>
  <c r="J24" i="168"/>
  <c r="J27" i="168"/>
  <c r="K12" i="113"/>
  <c r="K12" i="168"/>
  <c r="J24" i="115"/>
  <c r="J7" i="113"/>
  <c r="L38" i="115"/>
  <c r="M44" i="115"/>
  <c r="M30" i="115"/>
  <c r="M31" i="115"/>
  <c r="J26" i="115"/>
  <c r="K7" i="115"/>
  <c r="K7" i="168" s="1"/>
  <c r="J31" i="115"/>
  <c r="J29" i="115"/>
  <c r="M28" i="115"/>
  <c r="J27" i="115"/>
  <c r="M27" i="115"/>
  <c r="M29" i="115"/>
  <c r="J25" i="115"/>
  <c r="J28" i="115"/>
  <c r="J30" i="115"/>
  <c r="M24" i="115"/>
  <c r="M25" i="115"/>
  <c r="M63" i="115"/>
  <c r="J63" i="115"/>
  <c r="K63" i="115" s="1"/>
  <c r="L19" i="107"/>
  <c r="CK22" i="52"/>
  <c r="CK25" i="52"/>
  <c r="D75" i="115" s="1"/>
  <c r="E75" i="115" s="1"/>
  <c r="F75" i="115" s="1"/>
  <c r="G75" i="115" s="1"/>
  <c r="H75" i="115" s="1"/>
  <c r="K27" i="107"/>
  <c r="K31" i="107"/>
  <c r="K32" i="107"/>
  <c r="K35" i="107"/>
  <c r="K34" i="107"/>
  <c r="K33" i="107"/>
  <c r="K29" i="107"/>
  <c r="K30" i="107"/>
  <c r="K28" i="107"/>
  <c r="CK24" i="52"/>
  <c r="K28" i="168" l="1"/>
  <c r="K26" i="168"/>
  <c r="K29" i="168"/>
  <c r="K31" i="168"/>
  <c r="K24" i="168"/>
  <c r="K30" i="168"/>
  <c r="K25" i="168"/>
  <c r="K27" i="168"/>
  <c r="J38" i="168"/>
  <c r="J26" i="113"/>
  <c r="J30" i="113"/>
  <c r="J27" i="113"/>
  <c r="J25" i="113"/>
  <c r="J29" i="113"/>
  <c r="J24" i="113"/>
  <c r="J31" i="113"/>
  <c r="J28" i="113"/>
  <c r="K26" i="115"/>
  <c r="K7" i="113"/>
  <c r="K24" i="115"/>
  <c r="K29" i="115"/>
  <c r="K31" i="115"/>
  <c r="K27" i="115"/>
  <c r="J38" i="115"/>
  <c r="K28" i="115"/>
  <c r="K30" i="115"/>
  <c r="K25" i="115"/>
  <c r="M38" i="115"/>
  <c r="K38" i="168" l="1"/>
  <c r="K26" i="113"/>
  <c r="K31" i="113"/>
  <c r="K25" i="113"/>
  <c r="K30" i="113"/>
  <c r="K27" i="113"/>
  <c r="K28" i="113"/>
  <c r="K24" i="113"/>
  <c r="K29" i="113"/>
  <c r="J38" i="113"/>
  <c r="K38" i="115"/>
  <c r="S8" i="52"/>
  <c r="S9" i="52"/>
  <c r="S10" i="52"/>
  <c r="S21" i="52"/>
  <c r="S15" i="52"/>
  <c r="S19" i="52"/>
  <c r="S11" i="52"/>
  <c r="S18" i="52"/>
  <c r="S20" i="52"/>
  <c r="K38" i="113" l="1"/>
  <c r="S4" i="52"/>
  <c r="S17" i="52"/>
  <c r="S22" i="52"/>
  <c r="S23" i="52"/>
  <c r="S5" i="52"/>
  <c r="S7" i="52"/>
  <c r="S41" i="52" s="1"/>
  <c r="S16" i="52" l="1"/>
  <c r="S34" i="52"/>
  <c r="S40" i="52"/>
  <c r="S39" i="52"/>
  <c r="S38" i="52"/>
  <c r="S37" i="52"/>
  <c r="S36" i="52"/>
  <c r="S35" i="52"/>
  <c r="S3" i="52"/>
  <c r="S30" i="52" s="1"/>
  <c r="S48" i="52" l="1"/>
  <c r="S47" i="52"/>
  <c r="S44" i="52"/>
  <c r="S45" i="52"/>
  <c r="S46" i="52"/>
  <c r="S31" i="52"/>
  <c r="S2" i="52"/>
  <c r="S25" i="52" s="1"/>
  <c r="S43" i="52"/>
  <c r="AG39" i="52" l="1"/>
  <c r="AU40" i="52"/>
  <c r="AU39" i="52"/>
  <c r="AU38" i="52"/>
  <c r="AU37" i="52"/>
  <c r="AG37" i="52"/>
  <c r="AG40" i="52"/>
  <c r="AG38" i="52"/>
  <c r="E159" i="44" l="1"/>
  <c r="E194" i="44"/>
  <c r="B194" i="44"/>
  <c r="H194" i="44"/>
  <c r="I194" i="44"/>
  <c r="I202" i="44" s="1"/>
  <c r="I186" i="44" s="1"/>
  <c r="I190" i="44" s="1"/>
  <c r="E151" i="44"/>
  <c r="H151" i="44"/>
  <c r="I151" i="44"/>
  <c r="I159" i="44" s="1"/>
  <c r="I143" i="44" s="1"/>
  <c r="I147" i="44" s="1"/>
  <c r="B151" i="44"/>
  <c r="E65" i="44"/>
  <c r="E73" i="44" s="1"/>
  <c r="B65" i="44"/>
  <c r="B73" i="44" s="1"/>
  <c r="B108" i="44"/>
  <c r="I108" i="44"/>
  <c r="I116" i="44" s="1"/>
  <c r="I100" i="44" s="1"/>
  <c r="I104" i="44" s="1"/>
  <c r="H108" i="44"/>
  <c r="E108" i="44"/>
  <c r="H65" i="44"/>
  <c r="C65" i="44"/>
  <c r="C73" i="44" s="1"/>
  <c r="P15" i="12"/>
  <c r="O15" i="12"/>
  <c r="I65" i="44"/>
  <c r="D73" i="44"/>
  <c r="H73" i="44"/>
  <c r="J73" i="44"/>
  <c r="I73" i="44"/>
  <c r="I57" i="44"/>
  <c r="I61" i="44" s="1"/>
  <c r="L61" i="44" l="1"/>
  <c r="H104" i="44" l="1"/>
  <c r="G184" i="44"/>
  <c r="G194" i="44" s="1"/>
  <c r="G141" i="44"/>
  <c r="G151" i="44" s="1"/>
  <c r="F141" i="44"/>
  <c r="G98" i="44"/>
  <c r="F98" i="44"/>
  <c r="F55" i="44"/>
  <c r="F71" i="44" s="1"/>
  <c r="G108" i="44" l="1"/>
  <c r="F65" i="44"/>
  <c r="F73" i="44" s="1"/>
  <c r="F108" i="44"/>
  <c r="K141" i="44"/>
  <c r="F151" i="44"/>
  <c r="K151" i="44" s="1"/>
  <c r="K108" i="44"/>
  <c r="K98" i="44"/>
  <c r="F184" i="44"/>
  <c r="D397" i="7"/>
  <c r="E397" i="7"/>
  <c r="F397" i="7"/>
  <c r="G397" i="7"/>
  <c r="H397" i="7"/>
  <c r="I397" i="7"/>
  <c r="J397" i="7"/>
  <c r="K397" i="7"/>
  <c r="L397" i="7"/>
  <c r="D398" i="7"/>
  <c r="E398" i="7"/>
  <c r="F398" i="7"/>
  <c r="G398" i="7"/>
  <c r="H398" i="7"/>
  <c r="I398" i="7"/>
  <c r="J398" i="7"/>
  <c r="K398" i="7"/>
  <c r="L398" i="7"/>
  <c r="D399" i="7"/>
  <c r="E399" i="7"/>
  <c r="F399" i="7"/>
  <c r="G399" i="7"/>
  <c r="H399" i="7"/>
  <c r="I399" i="7"/>
  <c r="J399" i="7"/>
  <c r="K399" i="7"/>
  <c r="L399" i="7"/>
  <c r="D400" i="7"/>
  <c r="E400" i="7"/>
  <c r="F400" i="7"/>
  <c r="G400" i="7"/>
  <c r="H400" i="7"/>
  <c r="I400" i="7"/>
  <c r="J400" i="7"/>
  <c r="K400" i="7"/>
  <c r="L400" i="7"/>
  <c r="D386" i="7"/>
  <c r="E386" i="7"/>
  <c r="F386" i="7"/>
  <c r="G386" i="7"/>
  <c r="H386" i="7"/>
  <c r="I386" i="7"/>
  <c r="J386" i="7"/>
  <c r="K386" i="7"/>
  <c r="L386" i="7"/>
  <c r="D387" i="7"/>
  <c r="E387" i="7"/>
  <c r="F387" i="7"/>
  <c r="G387" i="7"/>
  <c r="H387" i="7"/>
  <c r="I387" i="7"/>
  <c r="J387" i="7"/>
  <c r="K387" i="7"/>
  <c r="L387" i="7"/>
  <c r="D388" i="7"/>
  <c r="E388" i="7"/>
  <c r="F388" i="7"/>
  <c r="G388" i="7"/>
  <c r="H388" i="7"/>
  <c r="I388" i="7"/>
  <c r="J388" i="7"/>
  <c r="K388" i="7"/>
  <c r="L388" i="7"/>
  <c r="D389" i="7"/>
  <c r="E389" i="7"/>
  <c r="F389" i="7"/>
  <c r="G389" i="7"/>
  <c r="H389" i="7"/>
  <c r="I389" i="7"/>
  <c r="J389" i="7"/>
  <c r="K389" i="7"/>
  <c r="L389" i="7"/>
  <c r="D390" i="7"/>
  <c r="E390" i="7"/>
  <c r="F390" i="7"/>
  <c r="G390" i="7"/>
  <c r="H390" i="7"/>
  <c r="I390" i="7"/>
  <c r="J390" i="7"/>
  <c r="K390" i="7"/>
  <c r="L390" i="7"/>
  <c r="D392" i="7"/>
  <c r="E392" i="7"/>
  <c r="F392" i="7"/>
  <c r="G392" i="7"/>
  <c r="H392" i="7"/>
  <c r="I392" i="7"/>
  <c r="J392" i="7"/>
  <c r="K392" i="7"/>
  <c r="L392" i="7"/>
  <c r="H381" i="7"/>
  <c r="D369" i="7"/>
  <c r="E369" i="7"/>
  <c r="F369" i="7"/>
  <c r="G369" i="7"/>
  <c r="H369" i="7"/>
  <c r="I369" i="7"/>
  <c r="I381" i="7" s="1"/>
  <c r="J369" i="7"/>
  <c r="J381" i="7" s="1"/>
  <c r="K369" i="7"/>
  <c r="K381" i="7" s="1"/>
  <c r="L369" i="7"/>
  <c r="L381" i="7" s="1"/>
  <c r="D370" i="7"/>
  <c r="D381" i="7" s="1"/>
  <c r="E370" i="7"/>
  <c r="E381" i="7" s="1"/>
  <c r="F370" i="7"/>
  <c r="G370" i="7"/>
  <c r="H370" i="7"/>
  <c r="I370" i="7"/>
  <c r="J370" i="7"/>
  <c r="K370" i="7"/>
  <c r="L370" i="7"/>
  <c r="D371" i="7"/>
  <c r="E371" i="7"/>
  <c r="F371" i="7"/>
  <c r="G371" i="7"/>
  <c r="H371" i="7"/>
  <c r="I371" i="7"/>
  <c r="J371" i="7"/>
  <c r="K371" i="7"/>
  <c r="L371" i="7"/>
  <c r="D372" i="7"/>
  <c r="E372" i="7"/>
  <c r="F372" i="7"/>
  <c r="F381" i="7" s="1"/>
  <c r="G372" i="7"/>
  <c r="G381" i="7" s="1"/>
  <c r="H372" i="7"/>
  <c r="I372" i="7"/>
  <c r="J372" i="7"/>
  <c r="K372" i="7"/>
  <c r="L372" i="7"/>
  <c r="D373" i="7"/>
  <c r="E373" i="7"/>
  <c r="F373" i="7"/>
  <c r="G373" i="7"/>
  <c r="H373" i="7"/>
  <c r="I373" i="7"/>
  <c r="J373" i="7"/>
  <c r="K373" i="7"/>
  <c r="L373" i="7"/>
  <c r="D374" i="7"/>
  <c r="E374" i="7"/>
  <c r="F374" i="7"/>
  <c r="G374" i="7"/>
  <c r="H374" i="7"/>
  <c r="I374" i="7"/>
  <c r="J374" i="7"/>
  <c r="K374" i="7"/>
  <c r="L374" i="7"/>
  <c r="D375" i="7"/>
  <c r="E375" i="7"/>
  <c r="F375" i="7"/>
  <c r="G375" i="7"/>
  <c r="H375" i="7"/>
  <c r="I375" i="7"/>
  <c r="J375" i="7"/>
  <c r="K375" i="7"/>
  <c r="L375" i="7"/>
  <c r="D376" i="7"/>
  <c r="E376" i="7"/>
  <c r="F376" i="7"/>
  <c r="G376" i="7"/>
  <c r="H376" i="7"/>
  <c r="I376" i="7"/>
  <c r="J376" i="7"/>
  <c r="K376" i="7"/>
  <c r="L376" i="7"/>
  <c r="D377" i="7"/>
  <c r="E377" i="7"/>
  <c r="F377" i="7"/>
  <c r="G377" i="7"/>
  <c r="H377" i="7"/>
  <c r="I377" i="7"/>
  <c r="J377" i="7"/>
  <c r="K377" i="7"/>
  <c r="L377" i="7"/>
  <c r="D378" i="7"/>
  <c r="E378" i="7"/>
  <c r="F378" i="7"/>
  <c r="G378" i="7"/>
  <c r="H378" i="7"/>
  <c r="I378" i="7"/>
  <c r="J378" i="7"/>
  <c r="K378" i="7"/>
  <c r="L378" i="7"/>
  <c r="E362" i="7"/>
  <c r="D354" i="7"/>
  <c r="E354" i="7"/>
  <c r="F354" i="7"/>
  <c r="G354" i="7"/>
  <c r="H354" i="7"/>
  <c r="I354" i="7"/>
  <c r="J354" i="7"/>
  <c r="K354" i="7"/>
  <c r="L354" i="7"/>
  <c r="D355" i="7"/>
  <c r="D362" i="7" s="1"/>
  <c r="E355" i="7"/>
  <c r="F355" i="7"/>
  <c r="F362" i="7" s="1"/>
  <c r="G355" i="7"/>
  <c r="G362" i="7" s="1"/>
  <c r="H355" i="7"/>
  <c r="I355" i="7"/>
  <c r="J355" i="7"/>
  <c r="K355" i="7"/>
  <c r="L355" i="7"/>
  <c r="D356" i="7"/>
  <c r="E356" i="7"/>
  <c r="F356" i="7"/>
  <c r="G356" i="7"/>
  <c r="H356" i="7"/>
  <c r="I356" i="7"/>
  <c r="J356" i="7"/>
  <c r="K356" i="7"/>
  <c r="L356" i="7"/>
  <c r="D357" i="7"/>
  <c r="E357" i="7"/>
  <c r="F357" i="7"/>
  <c r="G357" i="7"/>
  <c r="H357" i="7"/>
  <c r="I357" i="7"/>
  <c r="J357" i="7"/>
  <c r="J362" i="7" s="1"/>
  <c r="K357" i="7"/>
  <c r="L357" i="7"/>
  <c r="D358" i="7"/>
  <c r="E358" i="7"/>
  <c r="F358" i="7"/>
  <c r="G358" i="7"/>
  <c r="H358" i="7"/>
  <c r="I358" i="7"/>
  <c r="J358" i="7"/>
  <c r="K358" i="7"/>
  <c r="L358" i="7"/>
  <c r="D359" i="7"/>
  <c r="E359" i="7"/>
  <c r="F359" i="7"/>
  <c r="G359" i="7"/>
  <c r="H359" i="7"/>
  <c r="I359" i="7"/>
  <c r="J359" i="7"/>
  <c r="K359" i="7"/>
  <c r="L359" i="7"/>
  <c r="D346" i="7"/>
  <c r="E346" i="7"/>
  <c r="F346" i="7"/>
  <c r="G346" i="7"/>
  <c r="H346" i="7"/>
  <c r="I346" i="7"/>
  <c r="J346" i="7"/>
  <c r="K346" i="7"/>
  <c r="L346" i="7"/>
  <c r="D347" i="7"/>
  <c r="E347" i="7"/>
  <c r="F347" i="7"/>
  <c r="G347" i="7"/>
  <c r="H347" i="7"/>
  <c r="I347" i="7"/>
  <c r="J347" i="7"/>
  <c r="K347" i="7"/>
  <c r="L347" i="7"/>
  <c r="D341" i="7"/>
  <c r="E341" i="7"/>
  <c r="F341" i="7"/>
  <c r="G341" i="7"/>
  <c r="H341" i="7"/>
  <c r="I341" i="7"/>
  <c r="J341" i="7"/>
  <c r="K341" i="7"/>
  <c r="L341" i="7"/>
  <c r="C341" i="7"/>
  <c r="D313" i="7"/>
  <c r="E313" i="7"/>
  <c r="F313" i="7"/>
  <c r="G313" i="7"/>
  <c r="H313" i="7"/>
  <c r="I313" i="7"/>
  <c r="J313" i="7"/>
  <c r="K313" i="7"/>
  <c r="L313" i="7"/>
  <c r="D314" i="7"/>
  <c r="E314" i="7"/>
  <c r="F314" i="7"/>
  <c r="G314" i="7"/>
  <c r="H314" i="7"/>
  <c r="I314" i="7"/>
  <c r="J314" i="7"/>
  <c r="K314" i="7"/>
  <c r="L314" i="7"/>
  <c r="D315" i="7"/>
  <c r="E315" i="7"/>
  <c r="F315" i="7"/>
  <c r="G315" i="7"/>
  <c r="H315" i="7"/>
  <c r="I315" i="7"/>
  <c r="J315" i="7"/>
  <c r="K315" i="7"/>
  <c r="L315" i="7"/>
  <c r="D316" i="7"/>
  <c r="E316" i="7"/>
  <c r="F316" i="7"/>
  <c r="G316" i="7"/>
  <c r="H316" i="7"/>
  <c r="I316" i="7"/>
  <c r="J316" i="7"/>
  <c r="K316" i="7"/>
  <c r="L316" i="7"/>
  <c r="D317" i="7"/>
  <c r="E317" i="7"/>
  <c r="F317" i="7"/>
  <c r="G317" i="7"/>
  <c r="H317" i="7"/>
  <c r="I317" i="7"/>
  <c r="J317" i="7"/>
  <c r="K317" i="7"/>
  <c r="L317" i="7"/>
  <c r="D318" i="7"/>
  <c r="E318" i="7"/>
  <c r="F318" i="7"/>
  <c r="G318" i="7"/>
  <c r="H318" i="7"/>
  <c r="I318" i="7"/>
  <c r="J318" i="7"/>
  <c r="K318" i="7"/>
  <c r="L318" i="7"/>
  <c r="D319" i="7"/>
  <c r="E319" i="7"/>
  <c r="F319" i="7"/>
  <c r="G319" i="7"/>
  <c r="H319" i="7"/>
  <c r="I319" i="7"/>
  <c r="J319" i="7"/>
  <c r="K319" i="7"/>
  <c r="L319" i="7"/>
  <c r="D321" i="7"/>
  <c r="E321" i="7"/>
  <c r="F321" i="7"/>
  <c r="G321" i="7"/>
  <c r="H321" i="7"/>
  <c r="I321" i="7"/>
  <c r="J321" i="7"/>
  <c r="K321" i="7"/>
  <c r="L321" i="7"/>
  <c r="D322" i="7"/>
  <c r="E322" i="7"/>
  <c r="F322" i="7"/>
  <c r="G322" i="7"/>
  <c r="H322" i="7"/>
  <c r="I322" i="7"/>
  <c r="J322" i="7"/>
  <c r="K322" i="7"/>
  <c r="L322" i="7"/>
  <c r="D323" i="7"/>
  <c r="E323" i="7"/>
  <c r="F323" i="7"/>
  <c r="G323" i="7"/>
  <c r="H323" i="7"/>
  <c r="I323" i="7"/>
  <c r="J323" i="7"/>
  <c r="K323" i="7"/>
  <c r="L323" i="7"/>
  <c r="D324" i="7"/>
  <c r="E324" i="7"/>
  <c r="F324" i="7"/>
  <c r="G324" i="7"/>
  <c r="H324" i="7"/>
  <c r="I324" i="7"/>
  <c r="J324" i="7"/>
  <c r="K324" i="7"/>
  <c r="L324" i="7"/>
  <c r="D325" i="7"/>
  <c r="E325" i="7"/>
  <c r="F325" i="7"/>
  <c r="G325" i="7"/>
  <c r="H325" i="7"/>
  <c r="I325" i="7"/>
  <c r="J325" i="7"/>
  <c r="K325" i="7"/>
  <c r="L325" i="7"/>
  <c r="D326" i="7"/>
  <c r="E326" i="7"/>
  <c r="F326" i="7"/>
  <c r="G326" i="7"/>
  <c r="H326" i="7"/>
  <c r="I326" i="7"/>
  <c r="J326" i="7"/>
  <c r="K326" i="7"/>
  <c r="L326" i="7"/>
  <c r="D327" i="7"/>
  <c r="E327" i="7"/>
  <c r="F327" i="7"/>
  <c r="G327" i="7"/>
  <c r="H327" i="7"/>
  <c r="I327" i="7"/>
  <c r="J327" i="7"/>
  <c r="K327" i="7"/>
  <c r="L327" i="7"/>
  <c r="D329" i="7"/>
  <c r="E329" i="7"/>
  <c r="F329" i="7"/>
  <c r="G329" i="7"/>
  <c r="H329" i="7"/>
  <c r="I329" i="7"/>
  <c r="J329" i="7"/>
  <c r="K329" i="7"/>
  <c r="L329" i="7"/>
  <c r="D330" i="7"/>
  <c r="E330" i="7"/>
  <c r="F330" i="7"/>
  <c r="G330" i="7"/>
  <c r="H330" i="7"/>
  <c r="I330" i="7"/>
  <c r="J330" i="7"/>
  <c r="K330" i="7"/>
  <c r="L330" i="7"/>
  <c r="D331" i="7"/>
  <c r="E331" i="7"/>
  <c r="F331" i="7"/>
  <c r="G331" i="7"/>
  <c r="H331" i="7"/>
  <c r="I331" i="7"/>
  <c r="J331" i="7"/>
  <c r="K331" i="7"/>
  <c r="L331" i="7"/>
  <c r="D332" i="7"/>
  <c r="E332" i="7"/>
  <c r="F332" i="7"/>
  <c r="G332" i="7"/>
  <c r="H332" i="7"/>
  <c r="I332" i="7"/>
  <c r="J332" i="7"/>
  <c r="K332" i="7"/>
  <c r="L332" i="7"/>
  <c r="D333" i="7"/>
  <c r="E333" i="7"/>
  <c r="F333" i="7"/>
  <c r="G333" i="7"/>
  <c r="H333" i="7"/>
  <c r="I333" i="7"/>
  <c r="J333" i="7"/>
  <c r="K333" i="7"/>
  <c r="L333" i="7"/>
  <c r="D334" i="7"/>
  <c r="E334" i="7"/>
  <c r="F334" i="7"/>
  <c r="G334" i="7"/>
  <c r="H334" i="7"/>
  <c r="I334" i="7"/>
  <c r="J334" i="7"/>
  <c r="K334" i="7"/>
  <c r="L334" i="7"/>
  <c r="D335" i="7"/>
  <c r="E335" i="7"/>
  <c r="F335" i="7"/>
  <c r="G335" i="7"/>
  <c r="H335" i="7"/>
  <c r="I335" i="7"/>
  <c r="J335" i="7"/>
  <c r="K335" i="7"/>
  <c r="L335" i="7"/>
  <c r="D337" i="7"/>
  <c r="E337" i="7"/>
  <c r="F337" i="7"/>
  <c r="G337" i="7"/>
  <c r="H337" i="7"/>
  <c r="I337" i="7"/>
  <c r="J337" i="7"/>
  <c r="K337" i="7"/>
  <c r="L337" i="7"/>
  <c r="D303" i="7"/>
  <c r="E303" i="7"/>
  <c r="F303" i="7"/>
  <c r="G303" i="7"/>
  <c r="H303" i="7"/>
  <c r="I303" i="7"/>
  <c r="J303" i="7"/>
  <c r="K303" i="7"/>
  <c r="L303" i="7"/>
  <c r="D304" i="7"/>
  <c r="E304" i="7"/>
  <c r="F304" i="7"/>
  <c r="G304" i="7"/>
  <c r="H304" i="7"/>
  <c r="I304" i="7"/>
  <c r="J304" i="7"/>
  <c r="K304" i="7"/>
  <c r="L304" i="7"/>
  <c r="D305" i="7"/>
  <c r="E305" i="7"/>
  <c r="F305" i="7"/>
  <c r="G305" i="7"/>
  <c r="H305" i="7"/>
  <c r="I305" i="7"/>
  <c r="J305" i="7"/>
  <c r="K305" i="7"/>
  <c r="L305" i="7"/>
  <c r="D306" i="7"/>
  <c r="E306" i="7"/>
  <c r="F306" i="7"/>
  <c r="G306" i="7"/>
  <c r="H306" i="7"/>
  <c r="I306" i="7"/>
  <c r="J306" i="7"/>
  <c r="K306" i="7"/>
  <c r="L306" i="7"/>
  <c r="D307" i="7"/>
  <c r="E307" i="7"/>
  <c r="F307" i="7"/>
  <c r="G307" i="7"/>
  <c r="H307" i="7"/>
  <c r="I307" i="7"/>
  <c r="J307" i="7"/>
  <c r="K307" i="7"/>
  <c r="L307" i="7"/>
  <c r="D308" i="7"/>
  <c r="E308" i="7"/>
  <c r="F308" i="7"/>
  <c r="G308" i="7"/>
  <c r="H308" i="7"/>
  <c r="I308" i="7"/>
  <c r="J308" i="7"/>
  <c r="K308" i="7"/>
  <c r="L308" i="7"/>
  <c r="D290" i="7"/>
  <c r="E290" i="7"/>
  <c r="F290" i="7"/>
  <c r="G290" i="7"/>
  <c r="H290" i="7"/>
  <c r="I290" i="7"/>
  <c r="J290" i="7"/>
  <c r="K290" i="7"/>
  <c r="L290" i="7"/>
  <c r="D291" i="7"/>
  <c r="E291" i="7"/>
  <c r="F291" i="7"/>
  <c r="G291" i="7"/>
  <c r="H291" i="7"/>
  <c r="I291" i="7"/>
  <c r="J291" i="7"/>
  <c r="K291" i="7"/>
  <c r="L291" i="7"/>
  <c r="D292" i="7"/>
  <c r="E292" i="7"/>
  <c r="F292" i="7"/>
  <c r="G292" i="7"/>
  <c r="H292" i="7"/>
  <c r="I292" i="7"/>
  <c r="J292" i="7"/>
  <c r="K292" i="7"/>
  <c r="L292" i="7"/>
  <c r="D293" i="7"/>
  <c r="E293" i="7"/>
  <c r="F293" i="7"/>
  <c r="G293" i="7"/>
  <c r="H293" i="7"/>
  <c r="I293" i="7"/>
  <c r="J293" i="7"/>
  <c r="K293" i="7"/>
  <c r="L293" i="7"/>
  <c r="D294" i="7"/>
  <c r="E294" i="7"/>
  <c r="F294" i="7"/>
  <c r="G294" i="7"/>
  <c r="H294" i="7"/>
  <c r="I294" i="7"/>
  <c r="J294" i="7"/>
  <c r="K294" i="7"/>
  <c r="L294" i="7"/>
  <c r="D295" i="7"/>
  <c r="E295" i="7"/>
  <c r="F295" i="7"/>
  <c r="G295" i="7"/>
  <c r="H295" i="7"/>
  <c r="I295" i="7"/>
  <c r="J295" i="7"/>
  <c r="K295" i="7"/>
  <c r="L295" i="7"/>
  <c r="D296" i="7"/>
  <c r="E296" i="7"/>
  <c r="F296" i="7"/>
  <c r="G296" i="7"/>
  <c r="H296" i="7"/>
  <c r="I296" i="7"/>
  <c r="J296" i="7"/>
  <c r="K296" i="7"/>
  <c r="L296" i="7"/>
  <c r="D297" i="7"/>
  <c r="E297" i="7"/>
  <c r="F297" i="7"/>
  <c r="G297" i="7"/>
  <c r="H297" i="7"/>
  <c r="I297" i="7"/>
  <c r="J297" i="7"/>
  <c r="K297" i="7"/>
  <c r="L297" i="7"/>
  <c r="D298" i="7"/>
  <c r="E298" i="7"/>
  <c r="F298" i="7"/>
  <c r="G298" i="7"/>
  <c r="H298" i="7"/>
  <c r="I298" i="7"/>
  <c r="J298" i="7"/>
  <c r="K298" i="7"/>
  <c r="L298" i="7"/>
  <c r="H273" i="7"/>
  <c r="I273" i="7"/>
  <c r="J273" i="7"/>
  <c r="K273" i="7"/>
  <c r="L273" i="7"/>
  <c r="H274" i="7"/>
  <c r="I274" i="7"/>
  <c r="J274" i="7"/>
  <c r="K274" i="7"/>
  <c r="L274" i="7"/>
  <c r="H275" i="7"/>
  <c r="I275" i="7"/>
  <c r="J275" i="7"/>
  <c r="K275" i="7"/>
  <c r="L275" i="7"/>
  <c r="H276" i="7"/>
  <c r="I276" i="7"/>
  <c r="J276" i="7"/>
  <c r="K276" i="7"/>
  <c r="L276" i="7"/>
  <c r="H277" i="7"/>
  <c r="I277" i="7"/>
  <c r="J277" i="7"/>
  <c r="K277" i="7"/>
  <c r="L277" i="7"/>
  <c r="H278" i="7"/>
  <c r="I278" i="7"/>
  <c r="J278" i="7"/>
  <c r="K278" i="7"/>
  <c r="L278" i="7"/>
  <c r="H279" i="7"/>
  <c r="I279" i="7"/>
  <c r="J279" i="7"/>
  <c r="K279" i="7"/>
  <c r="L279" i="7"/>
  <c r="H280" i="7"/>
  <c r="I280" i="7"/>
  <c r="J280" i="7"/>
  <c r="K280" i="7"/>
  <c r="L280" i="7"/>
  <c r="H281" i="7"/>
  <c r="I281" i="7"/>
  <c r="J281" i="7"/>
  <c r="K281" i="7"/>
  <c r="L281" i="7"/>
  <c r="H282" i="7"/>
  <c r="I282" i="7"/>
  <c r="J282" i="7"/>
  <c r="K282" i="7"/>
  <c r="L282" i="7"/>
  <c r="H283" i="7"/>
  <c r="I283" i="7"/>
  <c r="J283" i="7"/>
  <c r="K283" i="7"/>
  <c r="L283" i="7"/>
  <c r="H284" i="7"/>
  <c r="I284" i="7"/>
  <c r="J284" i="7"/>
  <c r="K284" i="7"/>
  <c r="L284" i="7"/>
  <c r="D273" i="7"/>
  <c r="E273" i="7"/>
  <c r="F273" i="7"/>
  <c r="G273" i="7"/>
  <c r="D274" i="7"/>
  <c r="E274" i="7"/>
  <c r="F274" i="7"/>
  <c r="G274" i="7"/>
  <c r="D275" i="7"/>
  <c r="E275" i="7"/>
  <c r="F275" i="7"/>
  <c r="G275" i="7"/>
  <c r="D276" i="7"/>
  <c r="E276" i="7"/>
  <c r="F276" i="7"/>
  <c r="G276" i="7"/>
  <c r="D277" i="7"/>
  <c r="E277" i="7"/>
  <c r="F277" i="7"/>
  <c r="G277" i="7"/>
  <c r="D278" i="7"/>
  <c r="E278" i="7"/>
  <c r="F278" i="7"/>
  <c r="G278" i="7"/>
  <c r="D279" i="7"/>
  <c r="E279" i="7"/>
  <c r="F279" i="7"/>
  <c r="G279" i="7"/>
  <c r="D280" i="7"/>
  <c r="E280" i="7"/>
  <c r="F280" i="7"/>
  <c r="G280" i="7"/>
  <c r="D281" i="7"/>
  <c r="E281" i="7"/>
  <c r="F281" i="7"/>
  <c r="G281" i="7"/>
  <c r="D282" i="7"/>
  <c r="E282" i="7"/>
  <c r="F282" i="7"/>
  <c r="G282" i="7"/>
  <c r="D283" i="7"/>
  <c r="E283" i="7"/>
  <c r="F283" i="7"/>
  <c r="G283" i="7"/>
  <c r="D284" i="7"/>
  <c r="E284" i="7"/>
  <c r="F284" i="7"/>
  <c r="G284" i="7"/>
  <c r="D262" i="7"/>
  <c r="E262" i="7"/>
  <c r="F262" i="7"/>
  <c r="G262" i="7"/>
  <c r="H262" i="7"/>
  <c r="I262" i="7"/>
  <c r="J262" i="7"/>
  <c r="K262" i="7"/>
  <c r="L262" i="7"/>
  <c r="D263" i="7"/>
  <c r="E263" i="7"/>
  <c r="F263" i="7"/>
  <c r="G263" i="7"/>
  <c r="H263" i="7"/>
  <c r="I263" i="7"/>
  <c r="J263" i="7"/>
  <c r="K263" i="7"/>
  <c r="L263" i="7"/>
  <c r="D264" i="7"/>
  <c r="E264" i="7"/>
  <c r="F264" i="7"/>
  <c r="G264" i="7"/>
  <c r="H264" i="7"/>
  <c r="I264" i="7"/>
  <c r="J264" i="7"/>
  <c r="K264" i="7"/>
  <c r="L264" i="7"/>
  <c r="D265" i="7"/>
  <c r="E265" i="7"/>
  <c r="F265" i="7"/>
  <c r="G265" i="7"/>
  <c r="H265" i="7"/>
  <c r="I265" i="7"/>
  <c r="J265" i="7"/>
  <c r="K265" i="7"/>
  <c r="L265" i="7"/>
  <c r="F257" i="7"/>
  <c r="D248" i="7"/>
  <c r="E248" i="7"/>
  <c r="F248" i="7"/>
  <c r="G248" i="7"/>
  <c r="H248" i="7"/>
  <c r="I248" i="7"/>
  <c r="J248" i="7"/>
  <c r="K248" i="7"/>
  <c r="L248" i="7"/>
  <c r="D249" i="7"/>
  <c r="D257" i="7" s="1"/>
  <c r="E249" i="7"/>
  <c r="E257" i="7" s="1"/>
  <c r="F249" i="7"/>
  <c r="G249" i="7"/>
  <c r="G257" i="7" s="1"/>
  <c r="H249" i="7"/>
  <c r="I249" i="7"/>
  <c r="J249" i="7"/>
  <c r="K249" i="7"/>
  <c r="L249" i="7"/>
  <c r="D250" i="7"/>
  <c r="E250" i="7"/>
  <c r="F250" i="7"/>
  <c r="G250" i="7"/>
  <c r="H250" i="7"/>
  <c r="I250" i="7"/>
  <c r="D251" i="7"/>
  <c r="E251" i="7"/>
  <c r="F251" i="7"/>
  <c r="G251" i="7"/>
  <c r="H251" i="7"/>
  <c r="I251" i="7"/>
  <c r="J251" i="7"/>
  <c r="K251" i="7"/>
  <c r="L251" i="7"/>
  <c r="D252" i="7"/>
  <c r="E252" i="7"/>
  <c r="F252" i="7"/>
  <c r="G252" i="7"/>
  <c r="H252" i="7"/>
  <c r="I252" i="7"/>
  <c r="J252" i="7"/>
  <c r="K252" i="7"/>
  <c r="L252" i="7"/>
  <c r="D253" i="7"/>
  <c r="E253" i="7"/>
  <c r="F253" i="7"/>
  <c r="G253" i="7"/>
  <c r="H253" i="7"/>
  <c r="I253" i="7"/>
  <c r="J253" i="7"/>
  <c r="K253" i="7"/>
  <c r="L253" i="7"/>
  <c r="D241" i="7"/>
  <c r="E241" i="7"/>
  <c r="F241" i="7"/>
  <c r="G241" i="7"/>
  <c r="H241" i="7"/>
  <c r="I241" i="7"/>
  <c r="J241" i="7"/>
  <c r="K241" i="7"/>
  <c r="L241" i="7"/>
  <c r="D234" i="7"/>
  <c r="E234" i="7"/>
  <c r="E243" i="7" s="1"/>
  <c r="F234" i="7"/>
  <c r="F243" i="7" s="1"/>
  <c r="G234" i="7"/>
  <c r="G243" i="7" s="1"/>
  <c r="H234" i="7"/>
  <c r="I234" i="7"/>
  <c r="J234" i="7"/>
  <c r="K234" i="7"/>
  <c r="L234" i="7"/>
  <c r="D235" i="7"/>
  <c r="E235" i="7"/>
  <c r="F235" i="7"/>
  <c r="G235" i="7"/>
  <c r="H235" i="7"/>
  <c r="I235" i="7"/>
  <c r="J235" i="7"/>
  <c r="K235" i="7"/>
  <c r="L235" i="7"/>
  <c r="D236" i="7"/>
  <c r="E236" i="7"/>
  <c r="F236" i="7"/>
  <c r="G236" i="7"/>
  <c r="H236" i="7"/>
  <c r="I236" i="7"/>
  <c r="L236" i="7"/>
  <c r="D237" i="7"/>
  <c r="D243" i="7" s="1"/>
  <c r="E237" i="7"/>
  <c r="F237" i="7"/>
  <c r="G237" i="7"/>
  <c r="H237" i="7"/>
  <c r="I237" i="7"/>
  <c r="J237" i="7"/>
  <c r="K237" i="7"/>
  <c r="L237" i="7"/>
  <c r="D238" i="7"/>
  <c r="E238" i="7"/>
  <c r="F238" i="7"/>
  <c r="G238" i="7"/>
  <c r="H238" i="7"/>
  <c r="I238" i="7"/>
  <c r="J238" i="7"/>
  <c r="K238" i="7"/>
  <c r="L238" i="7"/>
  <c r="D239" i="7"/>
  <c r="E239" i="7"/>
  <c r="F239" i="7"/>
  <c r="G239" i="7"/>
  <c r="H239" i="7"/>
  <c r="I239" i="7"/>
  <c r="J239" i="7"/>
  <c r="K239" i="7"/>
  <c r="L239" i="7"/>
  <c r="D220" i="7"/>
  <c r="E220" i="7"/>
  <c r="F220" i="7"/>
  <c r="G220" i="7"/>
  <c r="H220" i="7"/>
  <c r="I220" i="7"/>
  <c r="J220" i="7"/>
  <c r="K220" i="7"/>
  <c r="L220" i="7"/>
  <c r="D221" i="7"/>
  <c r="E221" i="7"/>
  <c r="F221" i="7"/>
  <c r="G221" i="7"/>
  <c r="H221" i="7"/>
  <c r="I221" i="7"/>
  <c r="J221" i="7"/>
  <c r="K221" i="7"/>
  <c r="L221" i="7"/>
  <c r="D222" i="7"/>
  <c r="E222" i="7"/>
  <c r="F222" i="7"/>
  <c r="G222" i="7"/>
  <c r="H222" i="7"/>
  <c r="I222" i="7"/>
  <c r="D223" i="7"/>
  <c r="E223" i="7"/>
  <c r="F223" i="7"/>
  <c r="G223" i="7"/>
  <c r="H223" i="7"/>
  <c r="I223" i="7"/>
  <c r="J223" i="7"/>
  <c r="K223" i="7"/>
  <c r="L223" i="7"/>
  <c r="D224" i="7"/>
  <c r="E224" i="7"/>
  <c r="F224" i="7"/>
  <c r="G224" i="7"/>
  <c r="H224" i="7"/>
  <c r="I224" i="7"/>
  <c r="J224" i="7"/>
  <c r="K224" i="7"/>
  <c r="L224" i="7"/>
  <c r="D225" i="7"/>
  <c r="E225" i="7"/>
  <c r="F225" i="7"/>
  <c r="G225" i="7"/>
  <c r="H225" i="7"/>
  <c r="I225" i="7"/>
  <c r="J225" i="7"/>
  <c r="K225" i="7"/>
  <c r="L225" i="7"/>
  <c r="D226" i="7"/>
  <c r="E226" i="7"/>
  <c r="F226" i="7"/>
  <c r="G226" i="7"/>
  <c r="H226" i="7"/>
  <c r="I226" i="7"/>
  <c r="J226" i="7"/>
  <c r="K226" i="7"/>
  <c r="L226" i="7"/>
  <c r="D227" i="7"/>
  <c r="E227" i="7"/>
  <c r="F227" i="7"/>
  <c r="G227" i="7"/>
  <c r="H227" i="7"/>
  <c r="I227" i="7"/>
  <c r="J227" i="7"/>
  <c r="K227" i="7"/>
  <c r="L227" i="7"/>
  <c r="D229" i="7"/>
  <c r="E229" i="7"/>
  <c r="F229" i="7"/>
  <c r="G229" i="7"/>
  <c r="H229" i="7"/>
  <c r="I229" i="7"/>
  <c r="J229" i="7"/>
  <c r="K229" i="7"/>
  <c r="L229" i="7"/>
  <c r="D210" i="7"/>
  <c r="E210" i="7"/>
  <c r="F210" i="7"/>
  <c r="G210" i="7"/>
  <c r="H210" i="7"/>
  <c r="I210" i="7"/>
  <c r="J210" i="7"/>
  <c r="K210" i="7"/>
  <c r="L210" i="7"/>
  <c r="D211" i="7"/>
  <c r="E211" i="7"/>
  <c r="F211" i="7"/>
  <c r="G211" i="7"/>
  <c r="H211" i="7"/>
  <c r="I211" i="7"/>
  <c r="J211" i="7"/>
  <c r="K211" i="7"/>
  <c r="L211" i="7"/>
  <c r="D212" i="7"/>
  <c r="E212" i="7"/>
  <c r="F212" i="7"/>
  <c r="G212" i="7"/>
  <c r="H212" i="7"/>
  <c r="I212" i="7"/>
  <c r="J212" i="7"/>
  <c r="K212" i="7"/>
  <c r="L212" i="7"/>
  <c r="D213" i="7"/>
  <c r="E213" i="7"/>
  <c r="F213" i="7"/>
  <c r="G213" i="7"/>
  <c r="H213" i="7"/>
  <c r="I213" i="7"/>
  <c r="J213" i="7"/>
  <c r="K213" i="7"/>
  <c r="L213" i="7"/>
  <c r="D215" i="7"/>
  <c r="E215" i="7"/>
  <c r="F215" i="7"/>
  <c r="G215" i="7"/>
  <c r="H215" i="7"/>
  <c r="I215" i="7"/>
  <c r="J215" i="7"/>
  <c r="K215" i="7"/>
  <c r="L215" i="7"/>
  <c r="D196" i="7"/>
  <c r="E196" i="7"/>
  <c r="F196" i="7"/>
  <c r="G196" i="7"/>
  <c r="H196" i="7"/>
  <c r="I196" i="7"/>
  <c r="J196" i="7"/>
  <c r="K196" i="7"/>
  <c r="L196" i="7"/>
  <c r="D197" i="7"/>
  <c r="E197" i="7"/>
  <c r="F197" i="7"/>
  <c r="G197" i="7"/>
  <c r="H197" i="7"/>
  <c r="I197" i="7"/>
  <c r="J197" i="7"/>
  <c r="K197" i="7"/>
  <c r="L197" i="7"/>
  <c r="D198" i="7"/>
  <c r="E198" i="7"/>
  <c r="F198" i="7"/>
  <c r="G198" i="7"/>
  <c r="H198" i="7"/>
  <c r="I198" i="7"/>
  <c r="L198" i="7"/>
  <c r="D199" i="7"/>
  <c r="E199" i="7"/>
  <c r="F199" i="7"/>
  <c r="G199" i="7"/>
  <c r="H199" i="7"/>
  <c r="I199" i="7"/>
  <c r="J199" i="7"/>
  <c r="K199" i="7"/>
  <c r="L199" i="7"/>
  <c r="D200" i="7"/>
  <c r="E200" i="7"/>
  <c r="F200" i="7"/>
  <c r="G200" i="7"/>
  <c r="H200" i="7"/>
  <c r="I200" i="7"/>
  <c r="J200" i="7"/>
  <c r="K200" i="7"/>
  <c r="L200" i="7"/>
  <c r="D201" i="7"/>
  <c r="E201" i="7"/>
  <c r="F201" i="7"/>
  <c r="G201" i="7"/>
  <c r="H201" i="7"/>
  <c r="I201" i="7"/>
  <c r="J201" i="7"/>
  <c r="K201" i="7"/>
  <c r="L201" i="7"/>
  <c r="D202" i="7"/>
  <c r="E202" i="7"/>
  <c r="F202" i="7"/>
  <c r="G202" i="7"/>
  <c r="H202" i="7"/>
  <c r="I202" i="7"/>
  <c r="J202" i="7"/>
  <c r="K202" i="7"/>
  <c r="L202" i="7"/>
  <c r="D203" i="7"/>
  <c r="E203" i="7"/>
  <c r="F203" i="7"/>
  <c r="G203" i="7"/>
  <c r="H203" i="7"/>
  <c r="I203" i="7"/>
  <c r="J203" i="7"/>
  <c r="K203" i="7"/>
  <c r="L203" i="7"/>
  <c r="D205" i="7"/>
  <c r="E205" i="7"/>
  <c r="F205" i="7"/>
  <c r="G205" i="7"/>
  <c r="H205" i="7"/>
  <c r="I205" i="7"/>
  <c r="J205" i="7"/>
  <c r="K205" i="7"/>
  <c r="L205" i="7"/>
  <c r="D186" i="7"/>
  <c r="E186" i="7"/>
  <c r="F186" i="7"/>
  <c r="G186" i="7"/>
  <c r="H186" i="7"/>
  <c r="I186" i="7"/>
  <c r="J186" i="7"/>
  <c r="K186" i="7"/>
  <c r="L186" i="7"/>
  <c r="D187" i="7"/>
  <c r="E187" i="7"/>
  <c r="F187" i="7"/>
  <c r="G187" i="7"/>
  <c r="H187" i="7"/>
  <c r="I187" i="7"/>
  <c r="J187" i="7"/>
  <c r="K187" i="7"/>
  <c r="L187" i="7"/>
  <c r="D188" i="7"/>
  <c r="E188" i="7"/>
  <c r="F188" i="7"/>
  <c r="G188" i="7"/>
  <c r="H188" i="7"/>
  <c r="I188" i="7"/>
  <c r="J188" i="7"/>
  <c r="K188" i="7"/>
  <c r="L188" i="7"/>
  <c r="D189" i="7"/>
  <c r="E189" i="7"/>
  <c r="F189" i="7"/>
  <c r="G189" i="7"/>
  <c r="H189" i="7"/>
  <c r="I189" i="7"/>
  <c r="J189" i="7"/>
  <c r="K189" i="7"/>
  <c r="L189" i="7"/>
  <c r="D163" i="7"/>
  <c r="E163" i="7"/>
  <c r="F163" i="7"/>
  <c r="G163" i="7"/>
  <c r="H163" i="7"/>
  <c r="I163" i="7"/>
  <c r="J163" i="7"/>
  <c r="K163" i="7"/>
  <c r="L163" i="7"/>
  <c r="D164" i="7"/>
  <c r="E164" i="7"/>
  <c r="F164" i="7"/>
  <c r="G164" i="7"/>
  <c r="H164" i="7"/>
  <c r="I164" i="7"/>
  <c r="J164" i="7"/>
  <c r="K164" i="7"/>
  <c r="L164" i="7"/>
  <c r="D165" i="7"/>
  <c r="E165" i="7"/>
  <c r="F165" i="7"/>
  <c r="G165" i="7"/>
  <c r="D166" i="7"/>
  <c r="E166" i="7"/>
  <c r="F166" i="7"/>
  <c r="G166" i="7"/>
  <c r="H166" i="7"/>
  <c r="I166" i="7"/>
  <c r="J166" i="7"/>
  <c r="K166" i="7"/>
  <c r="L166" i="7"/>
  <c r="D167" i="7"/>
  <c r="E167" i="7"/>
  <c r="F167" i="7"/>
  <c r="G167" i="7"/>
  <c r="H167" i="7"/>
  <c r="I167" i="7"/>
  <c r="J167" i="7"/>
  <c r="K167" i="7"/>
  <c r="L167" i="7"/>
  <c r="D168" i="7"/>
  <c r="E168" i="7"/>
  <c r="F168" i="7"/>
  <c r="G168" i="7"/>
  <c r="H168" i="7"/>
  <c r="I168" i="7"/>
  <c r="J168" i="7"/>
  <c r="K168" i="7"/>
  <c r="L168" i="7"/>
  <c r="D169" i="7"/>
  <c r="E169" i="7"/>
  <c r="F169" i="7"/>
  <c r="G169" i="7"/>
  <c r="H169" i="7"/>
  <c r="I169" i="7"/>
  <c r="J169" i="7"/>
  <c r="K169" i="7"/>
  <c r="L169" i="7"/>
  <c r="D170" i="7"/>
  <c r="E170" i="7"/>
  <c r="F170" i="7"/>
  <c r="G170" i="7"/>
  <c r="H170" i="7"/>
  <c r="I170" i="7"/>
  <c r="J170" i="7"/>
  <c r="K170" i="7"/>
  <c r="L170" i="7"/>
  <c r="D172" i="7"/>
  <c r="E172" i="7"/>
  <c r="F172" i="7"/>
  <c r="G172" i="7"/>
  <c r="H172" i="7"/>
  <c r="I172" i="7"/>
  <c r="J172" i="7"/>
  <c r="K172" i="7"/>
  <c r="L172" i="7"/>
  <c r="D150" i="7"/>
  <c r="E150" i="7"/>
  <c r="F150" i="7"/>
  <c r="G150" i="7"/>
  <c r="H150" i="7"/>
  <c r="I150" i="7"/>
  <c r="J150" i="7"/>
  <c r="K150" i="7"/>
  <c r="L150" i="7"/>
  <c r="D151" i="7"/>
  <c r="E151" i="7"/>
  <c r="F151" i="7"/>
  <c r="G151" i="7"/>
  <c r="H151" i="7"/>
  <c r="I151" i="7"/>
  <c r="J151" i="7"/>
  <c r="K151" i="7"/>
  <c r="L151" i="7"/>
  <c r="D152" i="7"/>
  <c r="E152" i="7"/>
  <c r="F152" i="7"/>
  <c r="G152" i="7"/>
  <c r="H152" i="7"/>
  <c r="I152" i="7"/>
  <c r="J152" i="7"/>
  <c r="K152" i="7"/>
  <c r="L152" i="7"/>
  <c r="D153" i="7"/>
  <c r="E153" i="7"/>
  <c r="F153" i="7"/>
  <c r="G153" i="7"/>
  <c r="H153" i="7"/>
  <c r="I153" i="7"/>
  <c r="J153" i="7"/>
  <c r="K153" i="7"/>
  <c r="L153" i="7"/>
  <c r="D154" i="7"/>
  <c r="E154" i="7"/>
  <c r="F154" i="7"/>
  <c r="G154" i="7"/>
  <c r="H154" i="7"/>
  <c r="I154" i="7"/>
  <c r="J154" i="7"/>
  <c r="K154" i="7"/>
  <c r="L154" i="7"/>
  <c r="D155" i="7"/>
  <c r="E155" i="7"/>
  <c r="F155" i="7"/>
  <c r="G155" i="7"/>
  <c r="H155" i="7"/>
  <c r="I155" i="7"/>
  <c r="J155" i="7"/>
  <c r="K155" i="7"/>
  <c r="L155" i="7"/>
  <c r="D156" i="7"/>
  <c r="E156" i="7"/>
  <c r="F156" i="7"/>
  <c r="G156" i="7"/>
  <c r="H156" i="7"/>
  <c r="I156" i="7"/>
  <c r="J156" i="7"/>
  <c r="K156" i="7"/>
  <c r="L156" i="7"/>
  <c r="D158" i="7"/>
  <c r="E158" i="7"/>
  <c r="F158" i="7"/>
  <c r="G158" i="7"/>
  <c r="H158" i="7"/>
  <c r="I158" i="7"/>
  <c r="J158" i="7"/>
  <c r="K158" i="7"/>
  <c r="L158" i="7"/>
  <c r="D136" i="7"/>
  <c r="E136" i="7"/>
  <c r="F136" i="7"/>
  <c r="G136" i="7"/>
  <c r="H136" i="7"/>
  <c r="I136" i="7"/>
  <c r="J136" i="7"/>
  <c r="K136" i="7"/>
  <c r="L136" i="7"/>
  <c r="D137" i="7"/>
  <c r="E137" i="7"/>
  <c r="F137" i="7"/>
  <c r="G137" i="7"/>
  <c r="H137" i="7"/>
  <c r="I137" i="7"/>
  <c r="J137" i="7"/>
  <c r="K137" i="7"/>
  <c r="L137" i="7"/>
  <c r="D138" i="7"/>
  <c r="E138" i="7"/>
  <c r="F138" i="7"/>
  <c r="G138" i="7"/>
  <c r="H138" i="7"/>
  <c r="I138" i="7"/>
  <c r="J138" i="7"/>
  <c r="K138" i="7"/>
  <c r="L138" i="7"/>
  <c r="D139" i="7"/>
  <c r="E139" i="7"/>
  <c r="F139" i="7"/>
  <c r="G139" i="7"/>
  <c r="H139" i="7"/>
  <c r="I139" i="7"/>
  <c r="J139" i="7"/>
  <c r="K139" i="7"/>
  <c r="L139" i="7"/>
  <c r="D140" i="7"/>
  <c r="E140" i="7"/>
  <c r="F140" i="7"/>
  <c r="G140" i="7"/>
  <c r="H140" i="7"/>
  <c r="I140" i="7"/>
  <c r="J140" i="7"/>
  <c r="K140" i="7"/>
  <c r="L140" i="7"/>
  <c r="D141" i="7"/>
  <c r="E141" i="7"/>
  <c r="F141" i="7"/>
  <c r="G141" i="7"/>
  <c r="H141" i="7"/>
  <c r="I141" i="7"/>
  <c r="J141" i="7"/>
  <c r="K141" i="7"/>
  <c r="L141" i="7"/>
  <c r="D142" i="7"/>
  <c r="E142" i="7"/>
  <c r="F142" i="7"/>
  <c r="G142" i="7"/>
  <c r="H142" i="7"/>
  <c r="I142" i="7"/>
  <c r="J142" i="7"/>
  <c r="K142" i="7"/>
  <c r="L142" i="7"/>
  <c r="D143" i="7"/>
  <c r="E143" i="7"/>
  <c r="F143" i="7"/>
  <c r="G143" i="7"/>
  <c r="H143" i="7"/>
  <c r="I143" i="7"/>
  <c r="J143" i="7"/>
  <c r="K143" i="7"/>
  <c r="L143" i="7"/>
  <c r="D145" i="7"/>
  <c r="E145" i="7"/>
  <c r="F145" i="7"/>
  <c r="G145" i="7"/>
  <c r="H145" i="7"/>
  <c r="I145" i="7"/>
  <c r="J145" i="7"/>
  <c r="K145" i="7"/>
  <c r="L145" i="7"/>
  <c r="D124" i="7"/>
  <c r="E124" i="7"/>
  <c r="F124" i="7"/>
  <c r="G124" i="7"/>
  <c r="H124" i="7"/>
  <c r="I124" i="7"/>
  <c r="J124" i="7"/>
  <c r="K124" i="7"/>
  <c r="L124" i="7"/>
  <c r="D125" i="7"/>
  <c r="E125" i="7"/>
  <c r="F125" i="7"/>
  <c r="G125" i="7"/>
  <c r="H125" i="7"/>
  <c r="I125" i="7"/>
  <c r="J125" i="7"/>
  <c r="K125" i="7"/>
  <c r="L125" i="7"/>
  <c r="D126" i="7"/>
  <c r="E126" i="7"/>
  <c r="F126" i="7"/>
  <c r="G126" i="7"/>
  <c r="H126" i="7"/>
  <c r="I126" i="7"/>
  <c r="J126" i="7"/>
  <c r="K126" i="7"/>
  <c r="L126" i="7"/>
  <c r="D127" i="7"/>
  <c r="E127" i="7"/>
  <c r="F127" i="7"/>
  <c r="G127" i="7"/>
  <c r="H127" i="7"/>
  <c r="I127" i="7"/>
  <c r="J127" i="7"/>
  <c r="K127" i="7"/>
  <c r="L127" i="7"/>
  <c r="D128" i="7"/>
  <c r="E128" i="7"/>
  <c r="F128" i="7"/>
  <c r="G128" i="7"/>
  <c r="H128" i="7"/>
  <c r="I128" i="7"/>
  <c r="J128" i="7"/>
  <c r="K128" i="7"/>
  <c r="L128" i="7"/>
  <c r="D129" i="7"/>
  <c r="E129" i="7"/>
  <c r="F129" i="7"/>
  <c r="G129" i="7"/>
  <c r="H129" i="7"/>
  <c r="I129" i="7"/>
  <c r="J129" i="7"/>
  <c r="K129" i="7"/>
  <c r="L129" i="7"/>
  <c r="D131" i="7"/>
  <c r="E131" i="7"/>
  <c r="F131" i="7"/>
  <c r="G131" i="7"/>
  <c r="H131" i="7"/>
  <c r="I131" i="7"/>
  <c r="J131" i="7"/>
  <c r="K131" i="7"/>
  <c r="L131" i="7"/>
  <c r="D110" i="7"/>
  <c r="E110" i="7"/>
  <c r="F110" i="7"/>
  <c r="G110" i="7"/>
  <c r="H110" i="7"/>
  <c r="I110" i="7"/>
  <c r="J110" i="7"/>
  <c r="K110" i="7"/>
  <c r="L110" i="7"/>
  <c r="D111" i="7"/>
  <c r="E111" i="7"/>
  <c r="F111" i="7"/>
  <c r="G111" i="7"/>
  <c r="H111" i="7"/>
  <c r="I111" i="7"/>
  <c r="J111" i="7"/>
  <c r="K111" i="7"/>
  <c r="L111" i="7"/>
  <c r="D112" i="7"/>
  <c r="E112" i="7"/>
  <c r="F112" i="7"/>
  <c r="G112" i="7"/>
  <c r="H112" i="7"/>
  <c r="I112" i="7"/>
  <c r="J112" i="7"/>
  <c r="K112" i="7"/>
  <c r="L112" i="7"/>
  <c r="D113" i="7"/>
  <c r="E113" i="7"/>
  <c r="F113" i="7"/>
  <c r="G113" i="7"/>
  <c r="H113" i="7"/>
  <c r="I113" i="7"/>
  <c r="J113" i="7"/>
  <c r="K113" i="7"/>
  <c r="L113" i="7"/>
  <c r="D114" i="7"/>
  <c r="E114" i="7"/>
  <c r="F114" i="7"/>
  <c r="G114" i="7"/>
  <c r="H114" i="7"/>
  <c r="I114" i="7"/>
  <c r="J114" i="7"/>
  <c r="K114" i="7"/>
  <c r="L114" i="7"/>
  <c r="D115" i="7"/>
  <c r="E115" i="7"/>
  <c r="F115" i="7"/>
  <c r="G115" i="7"/>
  <c r="H115" i="7"/>
  <c r="I115" i="7"/>
  <c r="J115" i="7"/>
  <c r="K115" i="7"/>
  <c r="L115" i="7"/>
  <c r="D116" i="7"/>
  <c r="E116" i="7"/>
  <c r="F116" i="7"/>
  <c r="G116" i="7"/>
  <c r="H116" i="7"/>
  <c r="I116" i="7"/>
  <c r="J116" i="7"/>
  <c r="K116" i="7"/>
  <c r="L116" i="7"/>
  <c r="D117" i="7"/>
  <c r="E117" i="7"/>
  <c r="F117" i="7"/>
  <c r="G117" i="7"/>
  <c r="H117" i="7"/>
  <c r="I117" i="7"/>
  <c r="J117" i="7"/>
  <c r="K117" i="7"/>
  <c r="L117" i="7"/>
  <c r="D119" i="7"/>
  <c r="E119" i="7"/>
  <c r="F119" i="7"/>
  <c r="G119" i="7"/>
  <c r="H119" i="7"/>
  <c r="I119" i="7"/>
  <c r="J119" i="7"/>
  <c r="K119" i="7"/>
  <c r="L119" i="7"/>
  <c r="D103" i="7"/>
  <c r="E103" i="7"/>
  <c r="F103" i="7"/>
  <c r="G103" i="7"/>
  <c r="H103" i="7"/>
  <c r="I103" i="7"/>
  <c r="J103" i="7"/>
  <c r="K103" i="7"/>
  <c r="L103" i="7"/>
  <c r="D98" i="7"/>
  <c r="E98" i="7"/>
  <c r="F98" i="7"/>
  <c r="G98" i="7"/>
  <c r="H98" i="7"/>
  <c r="I98" i="7"/>
  <c r="J98" i="7"/>
  <c r="K98" i="7"/>
  <c r="L98" i="7"/>
  <c r="D79" i="7"/>
  <c r="E79" i="7"/>
  <c r="F79" i="7"/>
  <c r="G79" i="7"/>
  <c r="H79" i="7"/>
  <c r="I79" i="7"/>
  <c r="J79" i="7"/>
  <c r="K79" i="7"/>
  <c r="L79" i="7"/>
  <c r="D80" i="7"/>
  <c r="E80" i="7"/>
  <c r="F80" i="7"/>
  <c r="G80" i="7"/>
  <c r="H80" i="7"/>
  <c r="I80" i="7"/>
  <c r="J80" i="7"/>
  <c r="K80" i="7"/>
  <c r="L80" i="7"/>
  <c r="D81" i="7"/>
  <c r="E81" i="7"/>
  <c r="F81" i="7"/>
  <c r="G81" i="7"/>
  <c r="H81" i="7"/>
  <c r="I81" i="7"/>
  <c r="J81" i="7"/>
  <c r="K81" i="7"/>
  <c r="L81" i="7"/>
  <c r="D82" i="7"/>
  <c r="E82" i="7"/>
  <c r="F82" i="7"/>
  <c r="G82" i="7"/>
  <c r="H82" i="7"/>
  <c r="I82" i="7"/>
  <c r="J82" i="7"/>
  <c r="K82" i="7"/>
  <c r="L82" i="7"/>
  <c r="D83" i="7"/>
  <c r="E83" i="7"/>
  <c r="F83" i="7"/>
  <c r="G83" i="7"/>
  <c r="H83" i="7"/>
  <c r="I83" i="7"/>
  <c r="J83" i="7"/>
  <c r="K83" i="7"/>
  <c r="L83" i="7"/>
  <c r="D84" i="7"/>
  <c r="E84" i="7"/>
  <c r="F84" i="7"/>
  <c r="G84" i="7"/>
  <c r="H84" i="7"/>
  <c r="I84" i="7"/>
  <c r="J84" i="7"/>
  <c r="K84" i="7"/>
  <c r="L84" i="7"/>
  <c r="D85" i="7"/>
  <c r="E85" i="7"/>
  <c r="F85" i="7"/>
  <c r="G85" i="7"/>
  <c r="D86" i="7"/>
  <c r="E86" i="7"/>
  <c r="F86" i="7"/>
  <c r="G86" i="7"/>
  <c r="H86" i="7"/>
  <c r="I86" i="7"/>
  <c r="J86" i="7"/>
  <c r="K86" i="7"/>
  <c r="L86" i="7"/>
  <c r="D87" i="7"/>
  <c r="E87" i="7"/>
  <c r="F87" i="7"/>
  <c r="G87" i="7"/>
  <c r="H87" i="7"/>
  <c r="I87" i="7"/>
  <c r="J87" i="7"/>
  <c r="K87" i="7"/>
  <c r="L87" i="7"/>
  <c r="D88" i="7"/>
  <c r="E88" i="7"/>
  <c r="F88" i="7"/>
  <c r="G88" i="7"/>
  <c r="H88" i="7"/>
  <c r="I88" i="7"/>
  <c r="J88" i="7"/>
  <c r="K88" i="7"/>
  <c r="L88" i="7"/>
  <c r="D89" i="7"/>
  <c r="E89" i="7"/>
  <c r="F89" i="7"/>
  <c r="G89" i="7"/>
  <c r="H89" i="7"/>
  <c r="I89" i="7"/>
  <c r="J89" i="7"/>
  <c r="K89" i="7"/>
  <c r="L89" i="7"/>
  <c r="D90" i="7"/>
  <c r="E90" i="7"/>
  <c r="F90" i="7"/>
  <c r="G90" i="7"/>
  <c r="H90" i="7"/>
  <c r="I90" i="7"/>
  <c r="J90" i="7"/>
  <c r="K90" i="7"/>
  <c r="L90" i="7"/>
  <c r="D91" i="7"/>
  <c r="E91" i="7"/>
  <c r="F91" i="7"/>
  <c r="G91" i="7"/>
  <c r="H91" i="7"/>
  <c r="I91" i="7"/>
  <c r="J91" i="7"/>
  <c r="K91" i="7"/>
  <c r="L91" i="7"/>
  <c r="D92" i="7"/>
  <c r="E92" i="7"/>
  <c r="F92" i="7"/>
  <c r="G92" i="7"/>
  <c r="H92" i="7"/>
  <c r="I92" i="7"/>
  <c r="J92" i="7"/>
  <c r="K92" i="7"/>
  <c r="L92" i="7"/>
  <c r="D93" i="7"/>
  <c r="E93" i="7"/>
  <c r="F93" i="7"/>
  <c r="G93" i="7"/>
  <c r="H93" i="7"/>
  <c r="I93" i="7"/>
  <c r="J93" i="7"/>
  <c r="K93" i="7"/>
  <c r="L93" i="7"/>
  <c r="D96" i="7"/>
  <c r="E96" i="7"/>
  <c r="F96" i="7"/>
  <c r="G96" i="7"/>
  <c r="H96" i="7"/>
  <c r="I96" i="7"/>
  <c r="J96" i="7"/>
  <c r="K96" i="7"/>
  <c r="L96" i="7"/>
  <c r="D74" i="7"/>
  <c r="E74" i="7"/>
  <c r="F74" i="7"/>
  <c r="G74" i="7"/>
  <c r="H74" i="7"/>
  <c r="I74" i="7"/>
  <c r="J74" i="7"/>
  <c r="K74" i="7"/>
  <c r="L74" i="7"/>
  <c r="D55" i="7"/>
  <c r="E55" i="7"/>
  <c r="F55" i="7"/>
  <c r="G55" i="7"/>
  <c r="H55" i="7"/>
  <c r="I55" i="7"/>
  <c r="J55" i="7"/>
  <c r="K55" i="7"/>
  <c r="L55" i="7"/>
  <c r="D56" i="7"/>
  <c r="E56" i="7"/>
  <c r="F56" i="7"/>
  <c r="G56" i="7"/>
  <c r="H56" i="7"/>
  <c r="I56" i="7"/>
  <c r="J56" i="7"/>
  <c r="K56" i="7"/>
  <c r="L56" i="7"/>
  <c r="D57" i="7"/>
  <c r="E57" i="7"/>
  <c r="F57" i="7"/>
  <c r="G57" i="7"/>
  <c r="H57" i="7"/>
  <c r="I57" i="7"/>
  <c r="J57" i="7"/>
  <c r="K57" i="7"/>
  <c r="L57" i="7"/>
  <c r="D58" i="7"/>
  <c r="E58" i="7"/>
  <c r="F58" i="7"/>
  <c r="G58" i="7"/>
  <c r="H58" i="7"/>
  <c r="I58" i="7"/>
  <c r="J58" i="7"/>
  <c r="K58" i="7"/>
  <c r="L58" i="7"/>
  <c r="D59" i="7"/>
  <c r="E59" i="7"/>
  <c r="F59" i="7"/>
  <c r="G59" i="7"/>
  <c r="H59" i="7"/>
  <c r="I59" i="7"/>
  <c r="J59" i="7"/>
  <c r="K59" i="7"/>
  <c r="L59" i="7"/>
  <c r="D60" i="7"/>
  <c r="E60" i="7"/>
  <c r="F60" i="7"/>
  <c r="G60" i="7"/>
  <c r="H60" i="7"/>
  <c r="I60" i="7"/>
  <c r="J60" i="7"/>
  <c r="K60" i="7"/>
  <c r="L60" i="7"/>
  <c r="D61" i="7"/>
  <c r="E61" i="7"/>
  <c r="F61" i="7"/>
  <c r="G61" i="7"/>
  <c r="H61" i="7"/>
  <c r="I61" i="7"/>
  <c r="J61" i="7"/>
  <c r="K61" i="7"/>
  <c r="L61" i="7"/>
  <c r="D62" i="7"/>
  <c r="E62" i="7"/>
  <c r="F62" i="7"/>
  <c r="G62" i="7"/>
  <c r="H62" i="7"/>
  <c r="I62" i="7"/>
  <c r="J62" i="7"/>
  <c r="K62" i="7"/>
  <c r="L62" i="7"/>
  <c r="D63" i="7"/>
  <c r="E63" i="7"/>
  <c r="F63" i="7"/>
  <c r="G63" i="7"/>
  <c r="H63" i="7"/>
  <c r="I63" i="7"/>
  <c r="J63" i="7"/>
  <c r="K63" i="7"/>
  <c r="L63" i="7"/>
  <c r="D64" i="7"/>
  <c r="E64" i="7"/>
  <c r="F64" i="7"/>
  <c r="G64" i="7"/>
  <c r="H64" i="7"/>
  <c r="I64" i="7"/>
  <c r="J64" i="7"/>
  <c r="K64" i="7"/>
  <c r="L64" i="7"/>
  <c r="D65" i="7"/>
  <c r="E65" i="7"/>
  <c r="F65" i="7"/>
  <c r="G65" i="7"/>
  <c r="H65" i="7"/>
  <c r="I65" i="7"/>
  <c r="J65" i="7"/>
  <c r="K65" i="7"/>
  <c r="L65" i="7"/>
  <c r="D66" i="7"/>
  <c r="E66" i="7"/>
  <c r="F66" i="7"/>
  <c r="G66" i="7"/>
  <c r="H66" i="7"/>
  <c r="I66" i="7"/>
  <c r="J66" i="7"/>
  <c r="K66" i="7"/>
  <c r="L66" i="7"/>
  <c r="D67" i="7"/>
  <c r="E67" i="7"/>
  <c r="F67" i="7"/>
  <c r="G67" i="7"/>
  <c r="H67" i="7"/>
  <c r="I67" i="7"/>
  <c r="J67" i="7"/>
  <c r="K67" i="7"/>
  <c r="L67" i="7"/>
  <c r="D68" i="7"/>
  <c r="E68" i="7"/>
  <c r="F68" i="7"/>
  <c r="G68" i="7"/>
  <c r="H68" i="7"/>
  <c r="I68" i="7"/>
  <c r="J68" i="7"/>
  <c r="K68" i="7"/>
  <c r="L68" i="7"/>
  <c r="D69" i="7"/>
  <c r="E69" i="7"/>
  <c r="F69" i="7"/>
  <c r="G69" i="7"/>
  <c r="H69" i="7"/>
  <c r="I69" i="7"/>
  <c r="J69" i="7"/>
  <c r="K69" i="7"/>
  <c r="L69" i="7"/>
  <c r="D72" i="7"/>
  <c r="E72" i="7"/>
  <c r="F72" i="7"/>
  <c r="G72" i="7"/>
  <c r="H72" i="7"/>
  <c r="I72" i="7"/>
  <c r="J72" i="7"/>
  <c r="K72" i="7"/>
  <c r="L72" i="7"/>
  <c r="D50" i="7"/>
  <c r="E50" i="7"/>
  <c r="F50" i="7"/>
  <c r="G50" i="7"/>
  <c r="H50" i="7"/>
  <c r="I50" i="7"/>
  <c r="J50" i="7"/>
  <c r="K50" i="7"/>
  <c r="L50" i="7"/>
  <c r="D31" i="7"/>
  <c r="E31" i="7"/>
  <c r="F31" i="7"/>
  <c r="G31" i="7"/>
  <c r="H31" i="7"/>
  <c r="I31" i="7"/>
  <c r="J31" i="7"/>
  <c r="K31" i="7"/>
  <c r="L31" i="7"/>
  <c r="D32" i="7"/>
  <c r="E32" i="7"/>
  <c r="F32" i="7"/>
  <c r="G32" i="7"/>
  <c r="H32" i="7"/>
  <c r="I32" i="7"/>
  <c r="J32" i="7"/>
  <c r="K32" i="7"/>
  <c r="L32" i="7"/>
  <c r="D33" i="7"/>
  <c r="E33" i="7"/>
  <c r="F33" i="7"/>
  <c r="G33" i="7"/>
  <c r="H33" i="7"/>
  <c r="I33" i="7"/>
  <c r="J33" i="7"/>
  <c r="K33" i="7"/>
  <c r="L33" i="7"/>
  <c r="D34" i="7"/>
  <c r="E34" i="7"/>
  <c r="F34" i="7"/>
  <c r="G34" i="7"/>
  <c r="H34" i="7"/>
  <c r="I34" i="7"/>
  <c r="J34" i="7"/>
  <c r="K34" i="7"/>
  <c r="L34" i="7"/>
  <c r="D35" i="7"/>
  <c r="E35" i="7"/>
  <c r="F35" i="7"/>
  <c r="G35" i="7"/>
  <c r="H35" i="7"/>
  <c r="I35" i="7"/>
  <c r="J35" i="7"/>
  <c r="K35" i="7"/>
  <c r="L35" i="7"/>
  <c r="D36" i="7"/>
  <c r="E36" i="7"/>
  <c r="F36" i="7"/>
  <c r="G36" i="7"/>
  <c r="H36" i="7"/>
  <c r="I36" i="7"/>
  <c r="J36" i="7"/>
  <c r="K36" i="7"/>
  <c r="L36" i="7"/>
  <c r="D37" i="7"/>
  <c r="E37" i="7"/>
  <c r="F37" i="7"/>
  <c r="G37" i="7"/>
  <c r="H37" i="7"/>
  <c r="I37" i="7"/>
  <c r="J37" i="7"/>
  <c r="K37" i="7"/>
  <c r="L37" i="7"/>
  <c r="D38" i="7"/>
  <c r="E38" i="7"/>
  <c r="F38" i="7"/>
  <c r="G38" i="7"/>
  <c r="H38" i="7"/>
  <c r="I38" i="7"/>
  <c r="J38" i="7"/>
  <c r="K38" i="7"/>
  <c r="L38" i="7"/>
  <c r="D39" i="7"/>
  <c r="E39" i="7"/>
  <c r="F39" i="7"/>
  <c r="G39" i="7"/>
  <c r="H39" i="7"/>
  <c r="I39" i="7"/>
  <c r="J39" i="7"/>
  <c r="K39" i="7"/>
  <c r="L39" i="7"/>
  <c r="D40" i="7"/>
  <c r="E40" i="7"/>
  <c r="F40" i="7"/>
  <c r="G40" i="7"/>
  <c r="H40" i="7"/>
  <c r="I40" i="7"/>
  <c r="J40" i="7"/>
  <c r="K40" i="7"/>
  <c r="L40" i="7"/>
  <c r="D41" i="7"/>
  <c r="E41" i="7"/>
  <c r="F41" i="7"/>
  <c r="G41" i="7"/>
  <c r="H41" i="7"/>
  <c r="I41" i="7"/>
  <c r="J41" i="7"/>
  <c r="K41" i="7"/>
  <c r="L41" i="7"/>
  <c r="D42" i="7"/>
  <c r="E42" i="7"/>
  <c r="F42" i="7"/>
  <c r="G42" i="7"/>
  <c r="H42" i="7"/>
  <c r="I42" i="7"/>
  <c r="J42" i="7"/>
  <c r="K42" i="7"/>
  <c r="L42" i="7"/>
  <c r="D43" i="7"/>
  <c r="E43" i="7"/>
  <c r="F43" i="7"/>
  <c r="G43" i="7"/>
  <c r="H43" i="7"/>
  <c r="I43" i="7"/>
  <c r="J43" i="7"/>
  <c r="K43" i="7"/>
  <c r="L43" i="7"/>
  <c r="D44" i="7"/>
  <c r="E44" i="7"/>
  <c r="F44" i="7"/>
  <c r="G44" i="7"/>
  <c r="H44" i="7"/>
  <c r="I44" i="7"/>
  <c r="J44" i="7"/>
  <c r="K44" i="7"/>
  <c r="L44" i="7"/>
  <c r="D45" i="7"/>
  <c r="E45" i="7"/>
  <c r="F45" i="7"/>
  <c r="G45" i="7"/>
  <c r="H45" i="7"/>
  <c r="I45" i="7"/>
  <c r="J45" i="7"/>
  <c r="K45" i="7"/>
  <c r="L45" i="7"/>
  <c r="D48" i="7"/>
  <c r="E48" i="7"/>
  <c r="F48" i="7"/>
  <c r="G48" i="7"/>
  <c r="H48" i="7"/>
  <c r="I48" i="7"/>
  <c r="J48" i="7"/>
  <c r="K48" i="7"/>
  <c r="L48" i="7"/>
  <c r="E26" i="7"/>
  <c r="D21" i="7"/>
  <c r="D26" i="7" s="1"/>
  <c r="E21" i="7"/>
  <c r="F21" i="7"/>
  <c r="F26" i="7" s="1"/>
  <c r="G21" i="7"/>
  <c r="G26" i="7" s="1"/>
  <c r="H21" i="7"/>
  <c r="I21" i="7"/>
  <c r="I26" i="7" s="1"/>
  <c r="J21" i="7"/>
  <c r="J26" i="7" s="1"/>
  <c r="K21" i="7"/>
  <c r="L21" i="7"/>
  <c r="L26" i="7" s="1"/>
  <c r="D22" i="7"/>
  <c r="E22" i="7"/>
  <c r="F22" i="7"/>
  <c r="G22" i="7"/>
  <c r="H22" i="7"/>
  <c r="H26" i="7" s="1"/>
  <c r="I22" i="7"/>
  <c r="J22" i="7"/>
  <c r="K22" i="7"/>
  <c r="K26" i="7" s="1"/>
  <c r="L22" i="7"/>
  <c r="D23" i="7"/>
  <c r="E23" i="7"/>
  <c r="F23" i="7"/>
  <c r="G23" i="7"/>
  <c r="H23" i="7"/>
  <c r="I23" i="7"/>
  <c r="J23" i="7"/>
  <c r="K23" i="7"/>
  <c r="L23" i="7"/>
  <c r="D9" i="7"/>
  <c r="E9" i="7"/>
  <c r="F9" i="7"/>
  <c r="G9" i="7"/>
  <c r="H9" i="7"/>
  <c r="I9" i="7"/>
  <c r="J9" i="7"/>
  <c r="K9" i="7"/>
  <c r="L9" i="7"/>
  <c r="D10" i="7"/>
  <c r="E10" i="7"/>
  <c r="F10" i="7"/>
  <c r="G10" i="7"/>
  <c r="H10" i="7"/>
  <c r="I10" i="7"/>
  <c r="J10" i="7"/>
  <c r="K10" i="7"/>
  <c r="L10" i="7"/>
  <c r="D11" i="7"/>
  <c r="E11" i="7"/>
  <c r="F11" i="7"/>
  <c r="G11" i="7"/>
  <c r="H11" i="7"/>
  <c r="I11" i="7"/>
  <c r="J11" i="7"/>
  <c r="K11" i="7"/>
  <c r="L11" i="7"/>
  <c r="D12" i="7"/>
  <c r="E12" i="7"/>
  <c r="F12" i="7"/>
  <c r="G12" i="7"/>
  <c r="H12" i="7"/>
  <c r="I12" i="7"/>
  <c r="J12" i="7"/>
  <c r="K12" i="7"/>
  <c r="L12" i="7"/>
  <c r="D13" i="7"/>
  <c r="E13" i="7"/>
  <c r="F13" i="7"/>
  <c r="G13" i="7"/>
  <c r="H13" i="7"/>
  <c r="I13" i="7"/>
  <c r="J13" i="7"/>
  <c r="K13" i="7"/>
  <c r="L13" i="7"/>
  <c r="D14" i="7"/>
  <c r="E14" i="7"/>
  <c r="F14" i="7"/>
  <c r="G14" i="7"/>
  <c r="H14" i="7"/>
  <c r="I14" i="7"/>
  <c r="J14" i="7"/>
  <c r="K14" i="7"/>
  <c r="L14" i="7"/>
  <c r="D16" i="7"/>
  <c r="E16" i="7"/>
  <c r="F16" i="7"/>
  <c r="G16" i="7"/>
  <c r="H16" i="7"/>
  <c r="I16" i="7"/>
  <c r="J16" i="7"/>
  <c r="K16" i="7"/>
  <c r="L16" i="7"/>
  <c r="C397" i="7"/>
  <c r="C398" i="7"/>
  <c r="C399" i="7"/>
  <c r="C400" i="7"/>
  <c r="B398" i="7"/>
  <c r="B399" i="7"/>
  <c r="B400" i="7"/>
  <c r="B397" i="7"/>
  <c r="C386" i="7"/>
  <c r="C387" i="7"/>
  <c r="C388" i="7"/>
  <c r="C389" i="7"/>
  <c r="C390" i="7"/>
  <c r="C392" i="7"/>
  <c r="B392" i="7"/>
  <c r="B387" i="7"/>
  <c r="B388" i="7"/>
  <c r="B389" i="7"/>
  <c r="B390" i="7"/>
  <c r="B386" i="7"/>
  <c r="C369" i="7"/>
  <c r="C381" i="7" s="1"/>
  <c r="C370" i="7"/>
  <c r="C371" i="7"/>
  <c r="C372" i="7"/>
  <c r="C373" i="7"/>
  <c r="C374" i="7"/>
  <c r="C375" i="7"/>
  <c r="C376" i="7"/>
  <c r="C377" i="7"/>
  <c r="C378" i="7"/>
  <c r="B370" i="7"/>
  <c r="B371" i="7"/>
  <c r="B372" i="7"/>
  <c r="B373" i="7"/>
  <c r="B374" i="7"/>
  <c r="B375" i="7"/>
  <c r="B376" i="7"/>
  <c r="B377" i="7"/>
  <c r="B378" i="7"/>
  <c r="B369" i="7"/>
  <c r="C354" i="7"/>
  <c r="C355" i="7"/>
  <c r="C356" i="7"/>
  <c r="C357" i="7"/>
  <c r="C358" i="7"/>
  <c r="C359" i="7"/>
  <c r="B355" i="7"/>
  <c r="B356" i="7"/>
  <c r="B357" i="7"/>
  <c r="B358" i="7"/>
  <c r="B359" i="7"/>
  <c r="B354" i="7"/>
  <c r="C346" i="7"/>
  <c r="C347" i="7"/>
  <c r="B347" i="7"/>
  <c r="B346" i="7"/>
  <c r="C313" i="7"/>
  <c r="C314" i="7"/>
  <c r="C315" i="7"/>
  <c r="C316" i="7"/>
  <c r="C317" i="7"/>
  <c r="C318" i="7"/>
  <c r="C319" i="7"/>
  <c r="C321" i="7"/>
  <c r="C322" i="7"/>
  <c r="C323" i="7"/>
  <c r="C324" i="7"/>
  <c r="C325" i="7"/>
  <c r="C326" i="7"/>
  <c r="C327" i="7"/>
  <c r="C329" i="7"/>
  <c r="C330" i="7"/>
  <c r="C331" i="7"/>
  <c r="C332" i="7"/>
  <c r="C333" i="7"/>
  <c r="C334" i="7"/>
  <c r="C335" i="7"/>
  <c r="C337" i="7"/>
  <c r="B341" i="7"/>
  <c r="B337" i="7"/>
  <c r="B330" i="7"/>
  <c r="B331" i="7"/>
  <c r="B332" i="7"/>
  <c r="B333" i="7"/>
  <c r="B334" i="7"/>
  <c r="B335" i="7"/>
  <c r="B329" i="7"/>
  <c r="B322" i="7"/>
  <c r="B323" i="7"/>
  <c r="B324" i="7"/>
  <c r="B325" i="7"/>
  <c r="B326" i="7"/>
  <c r="B327" i="7"/>
  <c r="B321" i="7"/>
  <c r="B314" i="7"/>
  <c r="B315" i="7"/>
  <c r="B316" i="7"/>
  <c r="B317" i="7"/>
  <c r="B318" i="7"/>
  <c r="B319" i="7"/>
  <c r="B313" i="7"/>
  <c r="C303" i="7"/>
  <c r="C304" i="7"/>
  <c r="C305" i="7"/>
  <c r="C306" i="7"/>
  <c r="C307" i="7"/>
  <c r="C308" i="7"/>
  <c r="B304" i="7"/>
  <c r="B305" i="7"/>
  <c r="B306" i="7"/>
  <c r="B307" i="7"/>
  <c r="B308" i="7"/>
  <c r="B303" i="7"/>
  <c r="C290" i="7"/>
  <c r="C291" i="7"/>
  <c r="C292" i="7"/>
  <c r="C293" i="7"/>
  <c r="C294" i="7"/>
  <c r="C295" i="7"/>
  <c r="C296" i="7"/>
  <c r="C297" i="7"/>
  <c r="C298" i="7"/>
  <c r="B291" i="7"/>
  <c r="B292" i="7"/>
  <c r="B293" i="7"/>
  <c r="B294" i="7"/>
  <c r="B295" i="7"/>
  <c r="B296" i="7"/>
  <c r="B297" i="7"/>
  <c r="B298" i="7"/>
  <c r="B290" i="7"/>
  <c r="C273" i="7"/>
  <c r="C274" i="7"/>
  <c r="C275" i="7"/>
  <c r="C276" i="7"/>
  <c r="C277" i="7"/>
  <c r="C278" i="7"/>
  <c r="C279" i="7"/>
  <c r="C280" i="7"/>
  <c r="C281" i="7"/>
  <c r="C282" i="7"/>
  <c r="C283" i="7"/>
  <c r="C284" i="7"/>
  <c r="B282" i="7"/>
  <c r="B283" i="7"/>
  <c r="B284" i="7"/>
  <c r="B277" i="7"/>
  <c r="B278" i="7"/>
  <c r="B279" i="7"/>
  <c r="B280" i="7"/>
  <c r="B281" i="7"/>
  <c r="B274" i="7"/>
  <c r="B275" i="7"/>
  <c r="B276" i="7"/>
  <c r="B273" i="7"/>
  <c r="C262" i="7"/>
  <c r="C263" i="7"/>
  <c r="C264" i="7"/>
  <c r="C265" i="7"/>
  <c r="B263" i="7"/>
  <c r="B264" i="7"/>
  <c r="B265" i="7"/>
  <c r="B262" i="7"/>
  <c r="C248" i="7"/>
  <c r="C249" i="7"/>
  <c r="C250" i="7"/>
  <c r="C251" i="7"/>
  <c r="C252" i="7"/>
  <c r="C253" i="7"/>
  <c r="B249" i="7"/>
  <c r="B250" i="7"/>
  <c r="B251" i="7"/>
  <c r="B252" i="7"/>
  <c r="B253" i="7"/>
  <c r="B248" i="7"/>
  <c r="C234" i="7"/>
  <c r="C235" i="7"/>
  <c r="C236" i="7"/>
  <c r="C237" i="7"/>
  <c r="C238" i="7"/>
  <c r="C239" i="7"/>
  <c r="C241" i="7"/>
  <c r="C243" i="7"/>
  <c r="H243" i="7"/>
  <c r="I243" i="7"/>
  <c r="J243" i="7"/>
  <c r="K243" i="7"/>
  <c r="L243" i="7"/>
  <c r="B243" i="7"/>
  <c r="B241" i="7"/>
  <c r="B235" i="7"/>
  <c r="B236" i="7"/>
  <c r="B237" i="7"/>
  <c r="B238" i="7"/>
  <c r="B239" i="7"/>
  <c r="B234" i="7"/>
  <c r="C220" i="7"/>
  <c r="C221" i="7"/>
  <c r="C222" i="7"/>
  <c r="C223" i="7"/>
  <c r="C224" i="7"/>
  <c r="C225" i="7"/>
  <c r="C226" i="7"/>
  <c r="C227" i="7"/>
  <c r="C229" i="7"/>
  <c r="B221" i="7"/>
  <c r="B222" i="7"/>
  <c r="B223" i="7"/>
  <c r="B224" i="7"/>
  <c r="B225" i="7"/>
  <c r="B226" i="7"/>
  <c r="B227" i="7"/>
  <c r="B229" i="7"/>
  <c r="B220" i="7"/>
  <c r="C210" i="7"/>
  <c r="C211" i="7"/>
  <c r="C212" i="7"/>
  <c r="C213" i="7"/>
  <c r="C215" i="7"/>
  <c r="B211" i="7"/>
  <c r="B212" i="7"/>
  <c r="B213" i="7"/>
  <c r="B215" i="7"/>
  <c r="B210" i="7"/>
  <c r="C196" i="7"/>
  <c r="C197" i="7"/>
  <c r="C198" i="7"/>
  <c r="C199" i="7"/>
  <c r="C200" i="7"/>
  <c r="C201" i="7"/>
  <c r="C202" i="7"/>
  <c r="C203" i="7"/>
  <c r="C205" i="7"/>
  <c r="B197" i="7"/>
  <c r="B198" i="7"/>
  <c r="B199" i="7"/>
  <c r="B200" i="7"/>
  <c r="B201" i="7"/>
  <c r="B202" i="7"/>
  <c r="B203" i="7"/>
  <c r="B205" i="7"/>
  <c r="B196" i="7"/>
  <c r="C189" i="7"/>
  <c r="C188" i="7"/>
  <c r="C187" i="7"/>
  <c r="C186" i="7"/>
  <c r="B187" i="7"/>
  <c r="B188" i="7"/>
  <c r="B189" i="7"/>
  <c r="B186" i="7"/>
  <c r="C163" i="7"/>
  <c r="C164" i="7"/>
  <c r="C165" i="7"/>
  <c r="C166" i="7"/>
  <c r="C167" i="7"/>
  <c r="C168" i="7"/>
  <c r="C169" i="7"/>
  <c r="C170" i="7"/>
  <c r="C172" i="7"/>
  <c r="B164" i="7"/>
  <c r="B165" i="7"/>
  <c r="B166" i="7"/>
  <c r="B167" i="7"/>
  <c r="B168" i="7"/>
  <c r="B169" i="7"/>
  <c r="B170" i="7"/>
  <c r="B172" i="7"/>
  <c r="B163" i="7"/>
  <c r="C150" i="7"/>
  <c r="C151" i="7"/>
  <c r="C152" i="7"/>
  <c r="C153" i="7"/>
  <c r="C154" i="7"/>
  <c r="C155" i="7"/>
  <c r="C156" i="7"/>
  <c r="C158" i="7"/>
  <c r="B151" i="7"/>
  <c r="B152" i="7"/>
  <c r="B153" i="7"/>
  <c r="B154" i="7"/>
  <c r="B155" i="7"/>
  <c r="B156" i="7"/>
  <c r="B158" i="7"/>
  <c r="B150" i="7"/>
  <c r="C136" i="7"/>
  <c r="C137" i="7"/>
  <c r="C138" i="7"/>
  <c r="C139" i="7"/>
  <c r="C140" i="7"/>
  <c r="C141" i="7"/>
  <c r="C142" i="7"/>
  <c r="C143" i="7"/>
  <c r="C145" i="7"/>
  <c r="B137" i="7"/>
  <c r="B138" i="7"/>
  <c r="B139" i="7"/>
  <c r="B140" i="7"/>
  <c r="B141" i="7"/>
  <c r="B142" i="7"/>
  <c r="B143" i="7"/>
  <c r="B145" i="7"/>
  <c r="B136" i="7"/>
  <c r="C124" i="7"/>
  <c r="C125" i="7"/>
  <c r="C126" i="7"/>
  <c r="C127" i="7"/>
  <c r="C128" i="7"/>
  <c r="C129" i="7"/>
  <c r="C131" i="7"/>
  <c r="B125" i="7"/>
  <c r="B126" i="7"/>
  <c r="B127" i="7"/>
  <c r="B128" i="7"/>
  <c r="B129" i="7"/>
  <c r="B131" i="7"/>
  <c r="C110" i="7"/>
  <c r="C111" i="7"/>
  <c r="C112" i="7"/>
  <c r="C113" i="7"/>
  <c r="C114" i="7"/>
  <c r="C115" i="7"/>
  <c r="C116" i="7"/>
  <c r="C117" i="7"/>
  <c r="C119" i="7"/>
  <c r="B124" i="7"/>
  <c r="B111" i="7"/>
  <c r="B112" i="7"/>
  <c r="B113" i="7"/>
  <c r="B114" i="7"/>
  <c r="B115" i="7"/>
  <c r="B116" i="7"/>
  <c r="B117" i="7"/>
  <c r="B119" i="7"/>
  <c r="B110" i="7"/>
  <c r="C103" i="7"/>
  <c r="B103" i="7"/>
  <c r="C98" i="7"/>
  <c r="B98" i="7"/>
  <c r="C79" i="7"/>
  <c r="C80" i="7"/>
  <c r="C81" i="7"/>
  <c r="C82" i="7"/>
  <c r="C83" i="7"/>
  <c r="C84" i="7"/>
  <c r="C85" i="7"/>
  <c r="C86" i="7"/>
  <c r="C87" i="7"/>
  <c r="C88" i="7"/>
  <c r="C89" i="7"/>
  <c r="C90" i="7"/>
  <c r="C91" i="7"/>
  <c r="C92" i="7"/>
  <c r="C93" i="7"/>
  <c r="C96" i="7"/>
  <c r="B80" i="7"/>
  <c r="B81" i="7"/>
  <c r="B82" i="7"/>
  <c r="B83" i="7"/>
  <c r="B84" i="7"/>
  <c r="B85" i="7"/>
  <c r="B86" i="7"/>
  <c r="B87" i="7"/>
  <c r="B88" i="7"/>
  <c r="B89" i="7"/>
  <c r="B90" i="7"/>
  <c r="B91" i="7"/>
  <c r="B92" i="7"/>
  <c r="B93" i="7"/>
  <c r="B96" i="7"/>
  <c r="B79" i="7"/>
  <c r="C74" i="7"/>
  <c r="B74" i="7"/>
  <c r="B56" i="7"/>
  <c r="C56" i="7"/>
  <c r="B57" i="7"/>
  <c r="C57" i="7"/>
  <c r="B58" i="7"/>
  <c r="C58" i="7"/>
  <c r="B59" i="7"/>
  <c r="C59" i="7"/>
  <c r="B60" i="7"/>
  <c r="C60" i="7"/>
  <c r="B61" i="7"/>
  <c r="C61" i="7"/>
  <c r="B62" i="7"/>
  <c r="C62" i="7"/>
  <c r="B63" i="7"/>
  <c r="C63" i="7"/>
  <c r="B64" i="7"/>
  <c r="C64" i="7"/>
  <c r="B65" i="7"/>
  <c r="C65" i="7"/>
  <c r="B66" i="7"/>
  <c r="C66" i="7"/>
  <c r="B67" i="7"/>
  <c r="C67" i="7"/>
  <c r="B68" i="7"/>
  <c r="C68" i="7"/>
  <c r="B69" i="7"/>
  <c r="C69" i="7"/>
  <c r="B72" i="7"/>
  <c r="C72" i="7"/>
  <c r="C55" i="7"/>
  <c r="B55" i="7"/>
  <c r="C50" i="7"/>
  <c r="B50" i="7"/>
  <c r="B32" i="7"/>
  <c r="C32" i="7"/>
  <c r="B33" i="7"/>
  <c r="C33" i="7"/>
  <c r="B34" i="7"/>
  <c r="C34" i="7"/>
  <c r="B35" i="7"/>
  <c r="C35" i="7"/>
  <c r="B36" i="7"/>
  <c r="C36" i="7"/>
  <c r="B37" i="7"/>
  <c r="C37" i="7"/>
  <c r="B38" i="7"/>
  <c r="C38" i="7"/>
  <c r="B39" i="7"/>
  <c r="C39" i="7"/>
  <c r="B40" i="7"/>
  <c r="C40" i="7"/>
  <c r="B41" i="7"/>
  <c r="C41" i="7"/>
  <c r="B42" i="7"/>
  <c r="C42" i="7"/>
  <c r="B43" i="7"/>
  <c r="C43" i="7"/>
  <c r="B44" i="7"/>
  <c r="C44" i="7"/>
  <c r="B45" i="7"/>
  <c r="C45" i="7"/>
  <c r="B48" i="7"/>
  <c r="C48" i="7"/>
  <c r="C31" i="7"/>
  <c r="B31" i="7"/>
  <c r="C21" i="7"/>
  <c r="C22" i="7"/>
  <c r="C23" i="7"/>
  <c r="B22" i="7"/>
  <c r="B23" i="7"/>
  <c r="B21" i="7"/>
  <c r="B26" i="7" s="1"/>
  <c r="B10" i="7"/>
  <c r="C10" i="7"/>
  <c r="B11" i="7"/>
  <c r="C11" i="7"/>
  <c r="B12" i="7"/>
  <c r="C12" i="7"/>
  <c r="B13" i="7"/>
  <c r="C13" i="7"/>
  <c r="B14" i="7"/>
  <c r="C14" i="7"/>
  <c r="B16" i="7"/>
  <c r="C16" i="7"/>
  <c r="C9" i="7"/>
  <c r="B9" i="7"/>
  <c r="L303" i="43"/>
  <c r="L243" i="43"/>
  <c r="K243" i="43"/>
  <c r="J243" i="43"/>
  <c r="I243" i="43"/>
  <c r="H243" i="43"/>
  <c r="L238" i="43"/>
  <c r="L250" i="7" s="1"/>
  <c r="K238" i="43"/>
  <c r="K250" i="7" s="1"/>
  <c r="K257" i="7" s="1"/>
  <c r="J238" i="43"/>
  <c r="J250" i="7" s="1"/>
  <c r="L225" i="43"/>
  <c r="K225" i="43"/>
  <c r="K236" i="7" s="1"/>
  <c r="J225" i="43"/>
  <c r="J236" i="7" s="1"/>
  <c r="L211" i="43"/>
  <c r="L222" i="7" s="1"/>
  <c r="K211" i="43"/>
  <c r="K222" i="7" s="1"/>
  <c r="J211" i="43"/>
  <c r="J222" i="7" s="1"/>
  <c r="L187" i="43"/>
  <c r="K187" i="43"/>
  <c r="K198" i="7" s="1"/>
  <c r="J187" i="43"/>
  <c r="J198" i="7" s="1"/>
  <c r="L163" i="43"/>
  <c r="L165" i="7" s="1"/>
  <c r="K163" i="43"/>
  <c r="K165" i="7" s="1"/>
  <c r="J163" i="43"/>
  <c r="J165" i="7" s="1"/>
  <c r="I163" i="43"/>
  <c r="I165" i="7" s="1"/>
  <c r="H163" i="43"/>
  <c r="H165" i="7" s="1"/>
  <c r="L83" i="43"/>
  <c r="L85" i="7" s="1"/>
  <c r="K83" i="43"/>
  <c r="K85" i="7" s="1"/>
  <c r="J83" i="43"/>
  <c r="J85" i="7" s="1"/>
  <c r="I83" i="43"/>
  <c r="I85" i="7" s="1"/>
  <c r="H83" i="43"/>
  <c r="H85" i="7" s="1"/>
  <c r="H257" i="7" l="1"/>
  <c r="C26" i="7"/>
  <c r="C257" i="7"/>
  <c r="L362" i="7"/>
  <c r="B257" i="7"/>
  <c r="I362" i="7"/>
  <c r="B381" i="7"/>
  <c r="L257" i="7"/>
  <c r="I257" i="7"/>
  <c r="H362" i="7"/>
  <c r="B362" i="7"/>
  <c r="K184" i="44"/>
  <c r="F194" i="44"/>
  <c r="K362" i="7"/>
  <c r="J257" i="7"/>
  <c r="C362" i="7"/>
  <c r="K194" i="44" l="1"/>
  <c r="G55" i="44" l="1"/>
  <c r="G65" i="44" l="1"/>
  <c r="K55" i="44"/>
  <c r="K65" i="44" l="1"/>
  <c r="G73" i="44"/>
  <c r="K73" i="44" l="1"/>
  <c r="AU47" i="52" l="1"/>
  <c r="AG47" i="52"/>
  <c r="AG52" i="52" l="1"/>
  <c r="AG3" i="52"/>
  <c r="AG51" i="52"/>
  <c r="AG48" i="52"/>
  <c r="AG49" i="52"/>
  <c r="AG54" i="52"/>
  <c r="AG34" i="52" l="1"/>
  <c r="AG33" i="52"/>
  <c r="AG2" i="52"/>
  <c r="AG28" i="52" s="1"/>
  <c r="M47" i="52"/>
  <c r="P2" i="52"/>
  <c r="M39" i="52"/>
  <c r="M41" i="52"/>
  <c r="AG57" i="5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MEUNIER Laurent</author>
    <author>MONSERAND Alma</author>
    <author>CALLONNEC Gaël</author>
  </authors>
  <commentList>
    <comment ref="A4" authorId="0" shapeId="0" xr:uid="{BB4BA337-9800-4942-9132-569CAE626F6B}">
      <text>
        <r>
          <rPr>
            <b/>
            <sz val="9"/>
            <color indexed="81"/>
            <rFont val="Tahoma"/>
            <family val="2"/>
          </rPr>
          <t>MEUNIER Laurent:</t>
        </r>
        <r>
          <rPr>
            <sz val="9"/>
            <color indexed="81"/>
            <rFont val="Tahoma"/>
            <family val="2"/>
          </rPr>
          <t xml:space="preserve">
conso énergétiques incluses
</t>
        </r>
      </text>
    </comment>
    <comment ref="Q4" authorId="0" shapeId="0" xr:uid="{8E20EFBE-2C96-4D2A-8EA8-C16EF2457D3E}">
      <text>
        <r>
          <rPr>
            <b/>
            <sz val="9"/>
            <color indexed="81"/>
            <rFont val="Tahoma"/>
            <family val="2"/>
          </rPr>
          <t>MEUNIER Laurent:</t>
        </r>
        <r>
          <rPr>
            <sz val="9"/>
            <color indexed="81"/>
            <rFont val="Tahoma"/>
            <family val="2"/>
          </rPr>
          <t xml:space="preserve">
conso non énergétiques incluses
</t>
        </r>
      </text>
    </comment>
    <comment ref="Q7" authorId="0" shapeId="0" xr:uid="{F31F305F-3A17-4215-8383-814DD79C01CF}">
      <text>
        <r>
          <rPr>
            <b/>
            <sz val="9"/>
            <color indexed="81"/>
            <rFont val="Tahoma"/>
            <family val="2"/>
          </rPr>
          <t>MEUNIER Laurent:</t>
        </r>
        <r>
          <rPr>
            <sz val="9"/>
            <color indexed="81"/>
            <rFont val="Tahoma"/>
            <family val="2"/>
          </rPr>
          <t xml:space="preserve">
pertes réseaux T&amp;D incluses
viser ces quantités majorées de 5% pour tenir compte de la consommation d'électricité utilisée pour la production d'énergie (raffineries, enrichissement de l'uranium…) hors auto-consommation du secteur électricité</t>
        </r>
      </text>
    </comment>
    <comment ref="A9" authorId="0" shapeId="0" xr:uid="{019D9A8E-B76D-4168-9654-CC8A617CA516}">
      <text>
        <r>
          <rPr>
            <b/>
            <sz val="9"/>
            <color indexed="81"/>
            <rFont val="Tahoma"/>
            <family val="2"/>
          </rPr>
          <t>MEUNIER Laurent:</t>
        </r>
        <r>
          <rPr>
            <sz val="9"/>
            <color indexed="81"/>
            <rFont val="Tahoma"/>
            <family val="2"/>
          </rPr>
          <t xml:space="preserve">
pertes réseaux T&amp;D incluses</t>
        </r>
      </text>
    </comment>
    <comment ref="D11" authorId="1" shapeId="0" xr:uid="{EF6F5149-0D3B-4020-8A22-169D78E4A3EA}">
      <text>
        <r>
          <rPr>
            <b/>
            <sz val="9"/>
            <color indexed="81"/>
            <rFont val="Tahoma"/>
            <family val="2"/>
          </rPr>
          <t>MONSERAND Alma:</t>
        </r>
        <r>
          <rPr>
            <sz val="9"/>
            <color indexed="81"/>
            <rFont val="Tahoma"/>
            <family val="2"/>
          </rPr>
          <t xml:space="preserve">
Pour cette ligne exceptionnellement (et celles qui lui correspondent dans les tableaux ci-contre), on prend les valeurs du bilan 2023 AMS et pas du 2023 réel car dans le réel la conso de fioul est plus élevée et cela fait planter le modèle.
Et on prend AMS plutôt qu'AME car on veut que le mix soit identique entre AME et AMS dans le passé (donc soit les deux calés sur AMS soit les deux sur AME, ici choix de caler sur AMS)</t>
        </r>
      </text>
    </comment>
    <comment ref="Q23" authorId="0" shapeId="0" xr:uid="{2BCD0B9C-C176-4761-88BD-E78DCEBF0F9E}">
      <text>
        <r>
          <rPr>
            <b/>
            <sz val="9"/>
            <color indexed="81"/>
            <rFont val="Tahoma"/>
            <family val="2"/>
          </rPr>
          <t>MEUNIER Laurent:</t>
        </r>
        <r>
          <rPr>
            <sz val="9"/>
            <color indexed="81"/>
            <rFont val="Tahoma"/>
            <family val="2"/>
          </rPr>
          <t xml:space="preserve">
coke inclus</t>
        </r>
      </text>
    </comment>
    <comment ref="R25" authorId="2" shapeId="0" xr:uid="{79D4200D-6A66-4B97-BC19-22E5403DD782}">
      <text>
        <r>
          <rPr>
            <b/>
            <sz val="9"/>
            <color indexed="81"/>
            <rFont val="Tahoma"/>
            <family val="2"/>
          </rPr>
          <t>CALLONNEC Gaël:</t>
        </r>
        <r>
          <rPr>
            <sz val="9"/>
            <color indexed="81"/>
            <rFont val="Tahoma"/>
            <family val="2"/>
          </rPr>
          <t xml:space="preserve">
Ecart lié aux im
portations de biocarburants</t>
        </r>
      </text>
    </comment>
    <comment ref="BG25" authorId="0" shapeId="0" xr:uid="{E68F120A-FCCB-417B-84D5-25F7773828B0}">
      <text>
        <r>
          <rPr>
            <b/>
            <sz val="9"/>
            <color indexed="81"/>
            <rFont val="Tahoma"/>
            <family val="2"/>
          </rPr>
          <t>MEUNIER Laurent:</t>
        </r>
        <r>
          <rPr>
            <sz val="9"/>
            <color indexed="81"/>
            <rFont val="Tahoma"/>
            <family val="2"/>
          </rPr>
          <t xml:space="preserve">
coke inclus</t>
        </r>
      </text>
    </comment>
    <comment ref="BU25" authorId="0" shapeId="0" xr:uid="{84DC4EB0-C569-41C5-A0C7-87155B73F0FB}">
      <text>
        <r>
          <rPr>
            <b/>
            <sz val="9"/>
            <color indexed="81"/>
            <rFont val="Tahoma"/>
            <family val="2"/>
          </rPr>
          <t>MEUNIER Laurent:</t>
        </r>
        <r>
          <rPr>
            <sz val="9"/>
            <color indexed="81"/>
            <rFont val="Tahoma"/>
            <family val="2"/>
          </rPr>
          <t xml:space="preserve">
coke inclus</t>
        </r>
      </text>
    </comment>
    <comment ref="CJ25" authorId="0" shapeId="0" xr:uid="{A51F3CC1-D118-4392-90CF-73CB73D3AF5F}">
      <text>
        <r>
          <rPr>
            <b/>
            <sz val="9"/>
            <color indexed="81"/>
            <rFont val="Tahoma"/>
            <family val="2"/>
          </rPr>
          <t>MEUNIER Laurent:</t>
        </r>
        <r>
          <rPr>
            <sz val="9"/>
            <color indexed="81"/>
            <rFont val="Tahoma"/>
            <family val="2"/>
          </rPr>
          <t xml:space="preserve">
coke inclus</t>
        </r>
      </text>
    </comment>
    <comment ref="AE27" authorId="0" shapeId="0" xr:uid="{E65BD324-5E20-4953-8091-B605BE5FCE96}">
      <text>
        <r>
          <rPr>
            <b/>
            <sz val="9"/>
            <color indexed="81"/>
            <rFont val="Tahoma"/>
            <family val="2"/>
          </rPr>
          <t>MEUNIER Laurent:</t>
        </r>
        <r>
          <rPr>
            <sz val="9"/>
            <color indexed="81"/>
            <rFont val="Tahoma"/>
            <family val="2"/>
          </rPr>
          <t xml:space="preserve">
coke inclus</t>
        </r>
      </text>
    </comment>
    <comment ref="AS27" authorId="0" shapeId="0" xr:uid="{D78C0AE0-414F-477E-B67A-962029CBA8D5}">
      <text>
        <r>
          <rPr>
            <b/>
            <sz val="9"/>
            <color indexed="81"/>
            <rFont val="Tahoma"/>
            <family val="2"/>
          </rPr>
          <t>MEUNIER Laurent:</t>
        </r>
        <r>
          <rPr>
            <sz val="9"/>
            <color indexed="81"/>
            <rFont val="Tahoma"/>
            <family val="2"/>
          </rPr>
          <t xml:space="preserve">
coke inclus</t>
        </r>
      </text>
    </comment>
    <comment ref="Q30" authorId="0" shapeId="0" xr:uid="{508D6055-548D-4BF2-ACA3-7718118E2C44}">
      <text>
        <r>
          <rPr>
            <b/>
            <sz val="9"/>
            <color indexed="81"/>
            <rFont val="Tahoma"/>
            <family val="2"/>
          </rPr>
          <t>MEUNIER Laurent:</t>
        </r>
        <r>
          <rPr>
            <sz val="9"/>
            <color indexed="81"/>
            <rFont val="Tahoma"/>
            <family val="2"/>
          </rPr>
          <t xml:space="preserve">
Hors conso non énergétiques 
</t>
        </r>
      </text>
    </comment>
    <comment ref="Q33" authorId="0" shapeId="0" xr:uid="{EBA47C88-FF0A-40FB-BBF1-FE42EB0D984B}">
      <text>
        <r>
          <rPr>
            <b/>
            <sz val="9"/>
            <color indexed="81"/>
            <rFont val="Tahoma"/>
            <family val="2"/>
          </rPr>
          <t>MEUNIER Laurent:</t>
        </r>
        <r>
          <rPr>
            <sz val="9"/>
            <color indexed="81"/>
            <rFont val="Tahoma"/>
            <family val="2"/>
          </rPr>
          <t xml:space="preserve">
pertes réseaux T&amp;D incluses
viser ces quantités majorées de 5% pour tenir compte de la consommation d'électricité utilisée pour la production d'énergie (raffineries, enrichissement de l'uranium…) hors auto-consommation du secteur électricité</t>
        </r>
      </text>
    </comment>
    <comment ref="AE33" authorId="0" shapeId="0" xr:uid="{E3221A7A-3583-47D6-B81C-5BC1E149C135}">
      <text>
        <r>
          <rPr>
            <b/>
            <sz val="9"/>
            <color indexed="81"/>
            <rFont val="Tahoma"/>
            <family val="2"/>
          </rPr>
          <t>MEUNIER Laurent:</t>
        </r>
        <r>
          <rPr>
            <sz val="9"/>
            <color indexed="81"/>
            <rFont val="Tahoma"/>
            <family val="2"/>
          </rPr>
          <t xml:space="preserve">
Hors conso non énergétiques 
</t>
        </r>
      </text>
    </comment>
    <comment ref="AS33" authorId="0" shapeId="0" xr:uid="{7A06656E-5727-4CFA-A383-82A73B739384}">
      <text>
        <r>
          <rPr>
            <b/>
            <sz val="9"/>
            <color indexed="81"/>
            <rFont val="Tahoma"/>
            <family val="2"/>
          </rPr>
          <t>MEUNIER Laurent:</t>
        </r>
        <r>
          <rPr>
            <sz val="9"/>
            <color indexed="81"/>
            <rFont val="Tahoma"/>
            <family val="2"/>
          </rPr>
          <t xml:space="preserve">
Hors conso non énergétiques 
</t>
        </r>
      </text>
    </comment>
    <comment ref="AE36" authorId="0" shapeId="0" xr:uid="{5E4DD152-4646-4EE0-9495-2BF5FAE7D48B}">
      <text>
        <r>
          <rPr>
            <b/>
            <sz val="9"/>
            <color indexed="81"/>
            <rFont val="Tahoma"/>
            <family val="2"/>
          </rPr>
          <t>MEUNIER Laurent:</t>
        </r>
        <r>
          <rPr>
            <sz val="9"/>
            <color indexed="81"/>
            <rFont val="Tahoma"/>
            <family val="2"/>
          </rPr>
          <t xml:space="preserve">
pertes réseaux T&amp;D incluses
viser ces quantités majorées de 5% pour tenir compte de la consommation d'électricité utilisée pour la production d'énergie (raffineries, enrichissement de l'uranium…) hors auto-consommation du secteur électricité</t>
        </r>
      </text>
    </comment>
    <comment ref="AS36" authorId="0" shapeId="0" xr:uid="{DE77B05A-B14D-4263-B6C3-3F874DA4FBD3}">
      <text>
        <r>
          <rPr>
            <b/>
            <sz val="9"/>
            <color indexed="81"/>
            <rFont val="Tahoma"/>
            <family val="2"/>
          </rPr>
          <t>MEUNIER Laurent:</t>
        </r>
        <r>
          <rPr>
            <sz val="9"/>
            <color indexed="81"/>
            <rFont val="Tahoma"/>
            <family val="2"/>
          </rPr>
          <t xml:space="preserve">
pertes réseaux T&amp;D incluses
viser ces quantités majorées de 5% pour tenir compte de la consommation d'électricité utilisée pour la production d'énergie (raffineries, enrichissement de l'uranium…) hors auto-consommation du secteur électricité</t>
        </r>
      </text>
    </comment>
    <comment ref="A38" authorId="0" shapeId="0" xr:uid="{4FB33EAF-04F8-4FB9-AC00-A944D10C0FBC}">
      <text>
        <r>
          <rPr>
            <b/>
            <sz val="9"/>
            <color indexed="81"/>
            <rFont val="Tahoma"/>
            <family val="2"/>
          </rPr>
          <t>MEUNIER Laurent:</t>
        </r>
        <r>
          <rPr>
            <sz val="9"/>
            <color indexed="81"/>
            <rFont val="Tahoma"/>
            <family val="2"/>
          </rPr>
          <t xml:space="preserve">
coke inclus</t>
        </r>
      </text>
    </comment>
    <comment ref="Q49" authorId="0" shapeId="0" xr:uid="{98BD18F8-D290-45E0-B722-34326F1A5524}">
      <text>
        <r>
          <rPr>
            <b/>
            <sz val="9"/>
            <color indexed="81"/>
            <rFont val="Tahoma"/>
            <family val="2"/>
          </rPr>
          <t>MEUNIER Laurent:</t>
        </r>
        <r>
          <rPr>
            <sz val="9"/>
            <color indexed="81"/>
            <rFont val="Tahoma"/>
            <family val="2"/>
          </rPr>
          <t xml:space="preserve">
coke inclus</t>
        </r>
      </text>
    </comment>
    <comment ref="AE55" authorId="0" shapeId="0" xr:uid="{B224AAB8-B760-442B-A856-8DB4942B6A56}">
      <text>
        <r>
          <rPr>
            <b/>
            <sz val="9"/>
            <color indexed="81"/>
            <rFont val="Tahoma"/>
            <family val="2"/>
          </rPr>
          <t>MEUNIER Laurent:</t>
        </r>
        <r>
          <rPr>
            <sz val="9"/>
            <color indexed="81"/>
            <rFont val="Tahoma"/>
            <family val="2"/>
          </rPr>
          <t xml:space="preserve">
coke inclus</t>
        </r>
      </text>
    </comment>
    <comment ref="AS55" authorId="0" shapeId="0" xr:uid="{2ED63AE3-F466-423C-A63B-11DD89D7B9F3}">
      <text>
        <r>
          <rPr>
            <b/>
            <sz val="9"/>
            <color indexed="81"/>
            <rFont val="Tahoma"/>
            <family val="2"/>
          </rPr>
          <t>MEUNIER Laurent:</t>
        </r>
        <r>
          <rPr>
            <sz val="9"/>
            <color indexed="81"/>
            <rFont val="Tahoma"/>
            <family val="2"/>
          </rPr>
          <t xml:space="preserve">
coke inclus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MONSERAND Alma</author>
    <author>MEUNIER Laurent</author>
    <author>tc={0FC26F69-D9E2-483F-B1E8-BAE4C53E9431}</author>
    <author>CALLONNEC Gaël</author>
  </authors>
  <commentList>
    <comment ref="A1" authorId="0" shapeId="0" xr:uid="{C03697D0-C8B9-42CB-9B99-8C74ACB39C5D}">
      <text>
        <r>
          <rPr>
            <b/>
            <sz val="9"/>
            <color indexed="81"/>
            <rFont val="Tahoma"/>
            <family val="2"/>
          </rPr>
          <t>MONSERAND Alma:</t>
        </r>
        <r>
          <rPr>
            <sz val="9"/>
            <color indexed="81"/>
            <rFont val="Tahoma"/>
            <family val="2"/>
          </rPr>
          <t xml:space="preserve">
Dans toute cette feuille, les formules sont identiques entre 2023 et 2050 mais légèrement différentes pour 2015 et 2020 car les bilans à ces deux dates ont été équilibrés avec des formules légèrement différentes (voir feuilles Bilan 2015 et Bilan 2020), et elles sont sur le modèle de l'AME qui n'a pas ni carburants synthétiques ni gaz synthétiques (donc pas le même nombre de colonnes dans les feuilles Bilan_E_KP_)</t>
        </r>
      </text>
    </comment>
    <comment ref="A4" authorId="1" shapeId="0" xr:uid="{931620FB-CCED-4EC5-9C82-1847DFC4EDB4}">
      <text>
        <r>
          <rPr>
            <b/>
            <sz val="9"/>
            <color indexed="81"/>
            <rFont val="Tahoma"/>
            <family val="2"/>
          </rPr>
          <t>MEUNIER Laurent:</t>
        </r>
        <r>
          <rPr>
            <sz val="9"/>
            <color indexed="81"/>
            <rFont val="Tahoma"/>
            <family val="2"/>
          </rPr>
          <t xml:space="preserve">
conso énergétiques incluses
</t>
        </r>
      </text>
    </comment>
    <comment ref="Q4" authorId="1" shapeId="0" xr:uid="{C7D7F301-D413-4776-8B98-90164DBBD7D7}">
      <text>
        <r>
          <rPr>
            <b/>
            <sz val="9"/>
            <color indexed="81"/>
            <rFont val="Tahoma"/>
            <family val="2"/>
          </rPr>
          <t>MEUNIER Laurent:</t>
        </r>
        <r>
          <rPr>
            <sz val="9"/>
            <color indexed="81"/>
            <rFont val="Tahoma"/>
            <family val="2"/>
          </rPr>
          <t xml:space="preserve">
conso non énergétiques incluses
</t>
        </r>
      </text>
    </comment>
    <comment ref="Q7" authorId="1" shapeId="0" xr:uid="{343A29E9-9685-47CD-851A-540FE633749A}">
      <text>
        <r>
          <rPr>
            <b/>
            <sz val="9"/>
            <color indexed="81"/>
            <rFont val="Tahoma"/>
            <family val="2"/>
          </rPr>
          <t>MEUNIER Laurent:</t>
        </r>
        <r>
          <rPr>
            <sz val="9"/>
            <color indexed="81"/>
            <rFont val="Tahoma"/>
            <family val="2"/>
          </rPr>
          <t xml:space="preserve">
pertes réseaux T&amp;D incluses
viser ces quantités majorées de 5% pour tenir compte de la consommation d'électricité utilisée pour la production d'énergie (raffineries, enrichissement de l'uranium…) hors auto-consommation du secteur électricité</t>
        </r>
      </text>
    </comment>
    <comment ref="A9" authorId="1" shapeId="0" xr:uid="{540BA2F4-F1FA-47D6-95B5-E677A0AF2229}">
      <text>
        <r>
          <rPr>
            <b/>
            <sz val="9"/>
            <color indexed="81"/>
            <rFont val="Tahoma"/>
            <family val="2"/>
          </rPr>
          <t>MEUNIER Laurent:</t>
        </r>
        <r>
          <rPr>
            <sz val="9"/>
            <color indexed="81"/>
            <rFont val="Tahoma"/>
            <family val="2"/>
          </rPr>
          <t xml:space="preserve">
pertes réseaux T&amp;D incluses</t>
        </r>
      </text>
    </comment>
    <comment ref="AW10" authorId="2" shapeId="0" xr:uid="{0FC26F69-D9E2-483F-B1E8-BAE4C53E943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Augmentation de +0.6 sinon bug</t>
      </text>
    </comment>
    <comment ref="D11" authorId="0" shapeId="0" xr:uid="{25E1AAC4-5692-4639-8E71-D6109BF3EE67}">
      <text>
        <r>
          <rPr>
            <b/>
            <sz val="9"/>
            <color indexed="81"/>
            <rFont val="Tahoma"/>
            <family val="2"/>
          </rPr>
          <t>MONSERAND Alma:</t>
        </r>
        <r>
          <rPr>
            <sz val="9"/>
            <color indexed="81"/>
            <rFont val="Tahoma"/>
            <family val="2"/>
          </rPr>
          <t xml:space="preserve">
Pour cette ligne exceptionnellement (et celles qui lui correspondent dans les tableaux ci-contre), on prend les valeurs du bilan 2023 AMS et pas du 2023 réel car dans le réel la conso de fioul est plus élevée et cela fait planter le modèle.</t>
        </r>
      </text>
    </comment>
    <comment ref="BC11" authorId="0" shapeId="0" xr:uid="{AE03DBFD-7ADC-4A49-AA36-CFCDFA0CFB56}">
      <text>
        <r>
          <rPr>
            <b/>
            <sz val="9"/>
            <color indexed="81"/>
            <rFont val="Tahoma"/>
            <charset val="1"/>
          </rPr>
          <t>MONSERAND Alma:</t>
        </r>
        <r>
          <rPr>
            <sz val="9"/>
            <color indexed="81"/>
            <rFont val="Tahoma"/>
            <charset val="1"/>
          </rPr>
          <t xml:space="preserve">
+0.8 à la main sinon ça plante (en 2041)</t>
        </r>
      </text>
    </comment>
    <comment ref="AW12" authorId="0" shapeId="0" xr:uid="{6446C344-1B49-4A01-A983-3D12BF0208C4}">
      <text>
        <r>
          <rPr>
            <b/>
            <sz val="9"/>
            <color indexed="81"/>
            <rFont val="Tahoma"/>
            <family val="2"/>
          </rPr>
          <t>MONSERAND Alma:</t>
        </r>
        <r>
          <rPr>
            <sz val="9"/>
            <color indexed="81"/>
            <rFont val="Tahoma"/>
            <family val="2"/>
          </rPr>
          <t xml:space="preserve">
+0.6 pour lisser la baisse sinon plantage (missing value generated…)</t>
        </r>
      </text>
    </comment>
    <comment ref="BC13" authorId="0" shapeId="0" xr:uid="{DDAD96DD-C1E7-48B8-A96B-B88DD9823C1C}">
      <text>
        <r>
          <rPr>
            <b/>
            <sz val="9"/>
            <color indexed="81"/>
            <rFont val="Tahoma"/>
            <charset val="1"/>
          </rPr>
          <t>MONSERAND Alma:</t>
        </r>
        <r>
          <rPr>
            <sz val="9"/>
            <color indexed="81"/>
            <rFont val="Tahoma"/>
            <charset val="1"/>
          </rPr>
          <t xml:space="preserve">
+0.5 à la main sinon ça plante (en 2041)</t>
        </r>
      </text>
    </comment>
    <comment ref="Q23" authorId="1" shapeId="0" xr:uid="{A42DEDAD-F2BC-43FB-BA2B-72937361D299}">
      <text>
        <r>
          <rPr>
            <b/>
            <sz val="9"/>
            <color indexed="81"/>
            <rFont val="Tahoma"/>
            <family val="2"/>
          </rPr>
          <t>MEUNIER Laurent:</t>
        </r>
        <r>
          <rPr>
            <sz val="9"/>
            <color indexed="81"/>
            <rFont val="Tahoma"/>
            <family val="2"/>
          </rPr>
          <t xml:space="preserve">
coke inclus</t>
        </r>
      </text>
    </comment>
    <comment ref="R25" authorId="3" shapeId="0" xr:uid="{623D560A-858B-4291-98B8-82E82E3855E7}">
      <text>
        <r>
          <rPr>
            <b/>
            <sz val="9"/>
            <color indexed="81"/>
            <rFont val="Tahoma"/>
            <family val="2"/>
          </rPr>
          <t>CALLONNEC Gaël:</t>
        </r>
        <r>
          <rPr>
            <sz val="9"/>
            <color indexed="81"/>
            <rFont val="Tahoma"/>
            <family val="2"/>
          </rPr>
          <t xml:space="preserve">
Ecart lié aux im
portations de biocarburants</t>
        </r>
      </text>
    </comment>
    <comment ref="BG25" authorId="1" shapeId="0" xr:uid="{5F0DE8F8-F0E2-44C8-A2FC-92A693FA69EB}">
      <text>
        <r>
          <rPr>
            <b/>
            <sz val="9"/>
            <color indexed="81"/>
            <rFont val="Tahoma"/>
            <family val="2"/>
          </rPr>
          <t>MEUNIER Laurent:</t>
        </r>
        <r>
          <rPr>
            <sz val="9"/>
            <color indexed="81"/>
            <rFont val="Tahoma"/>
            <family val="2"/>
          </rPr>
          <t xml:space="preserve">
coke inclus</t>
        </r>
      </text>
    </comment>
    <comment ref="BU25" authorId="1" shapeId="0" xr:uid="{D0C30BD0-43DF-4330-90C9-7BD4240DB513}">
      <text>
        <r>
          <rPr>
            <b/>
            <sz val="9"/>
            <color indexed="81"/>
            <rFont val="Tahoma"/>
            <family val="2"/>
          </rPr>
          <t>MEUNIER Laurent:</t>
        </r>
        <r>
          <rPr>
            <sz val="9"/>
            <color indexed="81"/>
            <rFont val="Tahoma"/>
            <family val="2"/>
          </rPr>
          <t xml:space="preserve">
coke inclus</t>
        </r>
      </text>
    </comment>
    <comment ref="CJ25" authorId="1" shapeId="0" xr:uid="{BB4586E2-0817-4587-869E-6D0DCF345988}">
      <text>
        <r>
          <rPr>
            <b/>
            <sz val="9"/>
            <color indexed="81"/>
            <rFont val="Tahoma"/>
            <family val="2"/>
          </rPr>
          <t>MEUNIER Laurent:</t>
        </r>
        <r>
          <rPr>
            <sz val="9"/>
            <color indexed="81"/>
            <rFont val="Tahoma"/>
            <family val="2"/>
          </rPr>
          <t xml:space="preserve">
coke inclus</t>
        </r>
      </text>
    </comment>
    <comment ref="AE27" authorId="1" shapeId="0" xr:uid="{D4C3522F-A649-44BD-994F-028FA03AD205}">
      <text>
        <r>
          <rPr>
            <b/>
            <sz val="9"/>
            <color indexed="81"/>
            <rFont val="Tahoma"/>
            <family val="2"/>
          </rPr>
          <t>MEUNIER Laurent:</t>
        </r>
        <r>
          <rPr>
            <sz val="9"/>
            <color indexed="81"/>
            <rFont val="Tahoma"/>
            <family val="2"/>
          </rPr>
          <t xml:space="preserve">
coke inclus</t>
        </r>
      </text>
    </comment>
    <comment ref="AS27" authorId="1" shapeId="0" xr:uid="{952A2D90-8847-441C-A37B-D45F4843F15A}">
      <text>
        <r>
          <rPr>
            <b/>
            <sz val="9"/>
            <color indexed="81"/>
            <rFont val="Tahoma"/>
            <family val="2"/>
          </rPr>
          <t>MEUNIER Laurent:</t>
        </r>
        <r>
          <rPr>
            <sz val="9"/>
            <color indexed="81"/>
            <rFont val="Tahoma"/>
            <family val="2"/>
          </rPr>
          <t xml:space="preserve">
coke inclus</t>
        </r>
      </text>
    </comment>
    <comment ref="BE27" authorId="0" shapeId="0" xr:uid="{F317A703-D86D-453B-B34C-EB12DADA1FC9}">
      <text>
        <r>
          <rPr>
            <b/>
            <sz val="9"/>
            <color indexed="81"/>
            <rFont val="Tahoma"/>
            <charset val="1"/>
          </rPr>
          <t>MONSERAND Alma:</t>
        </r>
        <r>
          <rPr>
            <sz val="9"/>
            <color indexed="81"/>
            <rFont val="Tahoma"/>
            <charset val="1"/>
          </rPr>
          <t xml:space="preserve">
+0.1 pour éviter division par zéro dans coeff d'autoconsommation</t>
        </r>
      </text>
    </comment>
    <comment ref="Q30" authorId="1" shapeId="0" xr:uid="{BE980806-9F17-4D3C-9C53-F0213D669FAD}">
      <text>
        <r>
          <rPr>
            <b/>
            <sz val="9"/>
            <color indexed="81"/>
            <rFont val="Tahoma"/>
            <family val="2"/>
          </rPr>
          <t>MEUNIER Laurent:</t>
        </r>
        <r>
          <rPr>
            <sz val="9"/>
            <color indexed="81"/>
            <rFont val="Tahoma"/>
            <family val="2"/>
          </rPr>
          <t xml:space="preserve">
Hors conso non énergétiques 
</t>
        </r>
      </text>
    </comment>
    <comment ref="Q33" authorId="1" shapeId="0" xr:uid="{25D24D6E-B16F-4ADD-BE65-62DF2B6AB974}">
      <text>
        <r>
          <rPr>
            <b/>
            <sz val="9"/>
            <color indexed="81"/>
            <rFont val="Tahoma"/>
            <family val="2"/>
          </rPr>
          <t>MEUNIER Laurent:</t>
        </r>
        <r>
          <rPr>
            <sz val="9"/>
            <color indexed="81"/>
            <rFont val="Tahoma"/>
            <family val="2"/>
          </rPr>
          <t xml:space="preserve">
pertes réseaux T&amp;D incluses
viser ces quantités majorées de 5% pour tenir compte de la consommation d'électricité utilisée pour la production d'énergie (raffineries, enrichissement de l'uranium…) hors auto-consommation du secteur électricité</t>
        </r>
      </text>
    </comment>
    <comment ref="AE33" authorId="1" shapeId="0" xr:uid="{B9F98EB2-CAE4-4779-B37A-425653F0E25E}">
      <text>
        <r>
          <rPr>
            <b/>
            <sz val="9"/>
            <color indexed="81"/>
            <rFont val="Tahoma"/>
            <family val="2"/>
          </rPr>
          <t>MEUNIER Laurent:</t>
        </r>
        <r>
          <rPr>
            <sz val="9"/>
            <color indexed="81"/>
            <rFont val="Tahoma"/>
            <family val="2"/>
          </rPr>
          <t xml:space="preserve">
Hors conso non énergétiques 
</t>
        </r>
      </text>
    </comment>
    <comment ref="AS33" authorId="1" shapeId="0" xr:uid="{A336525C-7B15-4CAF-911F-DACA45283B4D}">
      <text>
        <r>
          <rPr>
            <b/>
            <sz val="9"/>
            <color indexed="81"/>
            <rFont val="Tahoma"/>
            <family val="2"/>
          </rPr>
          <t>MEUNIER Laurent:</t>
        </r>
        <r>
          <rPr>
            <sz val="9"/>
            <color indexed="81"/>
            <rFont val="Tahoma"/>
            <family val="2"/>
          </rPr>
          <t xml:space="preserve">
Hors conso non énergétiques 
</t>
        </r>
      </text>
    </comment>
    <comment ref="AE36" authorId="1" shapeId="0" xr:uid="{48CD10D1-2E4D-4E16-8A39-1810F367AC70}">
      <text>
        <r>
          <rPr>
            <b/>
            <sz val="9"/>
            <color indexed="81"/>
            <rFont val="Tahoma"/>
            <family val="2"/>
          </rPr>
          <t>MEUNIER Laurent:</t>
        </r>
        <r>
          <rPr>
            <sz val="9"/>
            <color indexed="81"/>
            <rFont val="Tahoma"/>
            <family val="2"/>
          </rPr>
          <t xml:space="preserve">
pertes réseaux T&amp;D incluses
viser ces quantités majorées de 5% pour tenir compte de la consommation d'électricité utilisée pour la production d'énergie (raffineries, enrichissement de l'uranium…) hors auto-consommation du secteur électricité</t>
        </r>
      </text>
    </comment>
    <comment ref="AS36" authorId="1" shapeId="0" xr:uid="{1EEF363D-E3FB-4D8B-85FC-E4D7D48D38CF}">
      <text>
        <r>
          <rPr>
            <b/>
            <sz val="9"/>
            <color indexed="81"/>
            <rFont val="Tahoma"/>
            <family val="2"/>
          </rPr>
          <t>MEUNIER Laurent:</t>
        </r>
        <r>
          <rPr>
            <sz val="9"/>
            <color indexed="81"/>
            <rFont val="Tahoma"/>
            <family val="2"/>
          </rPr>
          <t xml:space="preserve">
pertes réseaux T&amp;D incluses
viser ces quantités majorées de 5% pour tenir compte de la consommation d'électricité utilisée pour la production d'énergie (raffineries, enrichissement de l'uranium…) hors auto-consommation du secteur électricité</t>
        </r>
      </text>
    </comment>
    <comment ref="A38" authorId="1" shapeId="0" xr:uid="{F2DB86BA-8716-4CFB-B042-ABE1C2F4DD4B}">
      <text>
        <r>
          <rPr>
            <b/>
            <sz val="9"/>
            <color indexed="81"/>
            <rFont val="Tahoma"/>
            <family val="2"/>
          </rPr>
          <t>MEUNIER Laurent:</t>
        </r>
        <r>
          <rPr>
            <sz val="9"/>
            <color indexed="81"/>
            <rFont val="Tahoma"/>
            <family val="2"/>
          </rPr>
          <t xml:space="preserve">
coke inclus</t>
        </r>
      </text>
    </comment>
    <comment ref="Q49" authorId="1" shapeId="0" xr:uid="{AF125CBD-E4F6-4639-956F-F90ED08A1037}">
      <text>
        <r>
          <rPr>
            <b/>
            <sz val="9"/>
            <color indexed="81"/>
            <rFont val="Tahoma"/>
            <family val="2"/>
          </rPr>
          <t>MEUNIER Laurent:</t>
        </r>
        <r>
          <rPr>
            <sz val="9"/>
            <color indexed="81"/>
            <rFont val="Tahoma"/>
            <family val="2"/>
          </rPr>
          <t xml:space="preserve">
coke inclus</t>
        </r>
      </text>
    </comment>
    <comment ref="AE55" authorId="1" shapeId="0" xr:uid="{2AA3597C-2B34-4151-90E5-C16AF0483B8B}">
      <text>
        <r>
          <rPr>
            <b/>
            <sz val="9"/>
            <color indexed="81"/>
            <rFont val="Tahoma"/>
            <family val="2"/>
          </rPr>
          <t>MEUNIER Laurent:</t>
        </r>
        <r>
          <rPr>
            <sz val="9"/>
            <color indexed="81"/>
            <rFont val="Tahoma"/>
            <family val="2"/>
          </rPr>
          <t xml:space="preserve">
coke inclus</t>
        </r>
      </text>
    </comment>
    <comment ref="AS55" authorId="1" shapeId="0" xr:uid="{03EFC893-88FB-4705-9AB3-DC03DED34704}">
      <text>
        <r>
          <rPr>
            <b/>
            <sz val="9"/>
            <color indexed="81"/>
            <rFont val="Tahoma"/>
            <family val="2"/>
          </rPr>
          <t>MEUNIER Laurent:</t>
        </r>
        <r>
          <rPr>
            <sz val="9"/>
            <color indexed="81"/>
            <rFont val="Tahoma"/>
            <family val="2"/>
          </rPr>
          <t xml:space="preserve">
coke inclus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E19" authorId="0" shapeId="0" xr:uid="{F5947725-D04F-4DFC-A350-36C88829C0A8}">
      <text>
        <r>
          <rPr>
            <b/>
            <sz val="9"/>
            <color indexed="81"/>
            <rFont val="Tahoma"/>
            <family val="2"/>
          </rPr>
          <t>MONSERAND Alma:</t>
        </r>
        <r>
          <rPr>
            <sz val="9"/>
            <color indexed="81"/>
            <rFont val="Tahoma"/>
            <family val="2"/>
          </rPr>
          <t xml:space="preserve">
Rendements trouvés en p.60 des chiffres clés de l'énergie 2021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A1" authorId="0" shapeId="0" xr:uid="{14260DA2-533B-4C89-A79B-D08FAA93BFAD}">
      <text>
        <r>
          <rPr>
            <b/>
            <sz val="9"/>
            <color indexed="81"/>
            <rFont val="Tahoma"/>
            <family val="2"/>
          </rPr>
          <t>MONSERAND Alma:</t>
        </r>
        <r>
          <rPr>
            <sz val="9"/>
            <color indexed="81"/>
            <rFont val="Tahoma"/>
            <family val="2"/>
          </rPr>
          <t xml:space="preserve">
Nous avons ventilé nous-mêmes la colonne EnR thermique et déchets, qui était agrégée pour 2025, selon le modèle plus détaillé des feuilles 2020 et suivantes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A1" authorId="0" shapeId="0" xr:uid="{986639CF-F8DA-4A3F-8BBC-516627FF55D8}">
      <text>
        <r>
          <rPr>
            <b/>
            <sz val="9"/>
            <color indexed="81"/>
            <rFont val="Tahoma"/>
            <family val="2"/>
          </rPr>
          <t>MONSERAND Alma:</t>
        </r>
        <r>
          <rPr>
            <sz val="9"/>
            <color indexed="81"/>
            <rFont val="Tahoma"/>
            <family val="2"/>
          </rPr>
          <t xml:space="preserve">
Cette feuille est en Mtep, toutes les autres en TWh</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A1" authorId="0" shapeId="0" xr:uid="{AB140816-C9E7-4666-A8C9-D018D89D4684}">
      <text>
        <r>
          <rPr>
            <b/>
            <sz val="9"/>
            <color indexed="81"/>
            <rFont val="Tahoma"/>
            <family val="2"/>
          </rPr>
          <t>MONSERAND Alma:</t>
        </r>
        <r>
          <rPr>
            <sz val="9"/>
            <color indexed="81"/>
            <rFont val="Tahoma"/>
            <family val="2"/>
          </rPr>
          <t xml:space="preserve">
Pour 2015 et 2020, quelques cellules (en jaune) sont différentes du reste des feuilles Bilan 20XX. Ceci est dû à des déséquilibres observés dans les feuilles fournies par Enerdata via le MTE.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A1" authorId="0" shapeId="0" xr:uid="{51FF14C7-BDED-435C-A3AA-328E7A53B72D}">
      <text>
        <r>
          <rPr>
            <b/>
            <sz val="9"/>
            <color indexed="81"/>
            <rFont val="Tahoma"/>
            <family val="2"/>
          </rPr>
          <t>MONSERAND Alma:</t>
        </r>
        <r>
          <rPr>
            <sz val="9"/>
            <color indexed="81"/>
            <rFont val="Tahoma"/>
            <family val="2"/>
          </rPr>
          <t xml:space="preserve">
Cette feuille est un test d'appliquer les mêmes formules que pour les années suivantes, en prenant comme fichier source le bilan KP plutôt que le MET comme c'était le cas précédemment. Mais le test n'est pas concluant, il y a des déséquilibres plus gros qu'avant..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A1" authorId="0" shapeId="0" xr:uid="{958BE013-1796-44AF-9457-AC3F3B78630A}">
      <text>
        <r>
          <rPr>
            <b/>
            <sz val="9"/>
            <color indexed="81"/>
            <rFont val="Tahoma"/>
            <family val="2"/>
          </rPr>
          <t>MONSERAND Alma:</t>
        </r>
        <r>
          <rPr>
            <sz val="9"/>
            <color indexed="81"/>
            <rFont val="Tahoma"/>
            <family val="2"/>
          </rPr>
          <t xml:space="preserve">
Bilan légèrement déséquilibré car écarts statistiques dans bilan fourni par la DGEC</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A1" authorId="0" shapeId="0" xr:uid="{57F032B6-2AA8-41FA-B323-488D656CF0EC}">
      <text>
        <r>
          <rPr>
            <b/>
            <sz val="9"/>
            <color indexed="81"/>
            <rFont val="Tahoma"/>
            <family val="2"/>
          </rPr>
          <t>MONSERAND Alma:</t>
        </r>
        <r>
          <rPr>
            <sz val="9"/>
            <color indexed="81"/>
            <rFont val="Tahoma"/>
            <family val="2"/>
          </rPr>
          <t xml:space="preserve">
Bilan légèrement déséquilibré car écarts statistiques dans bilan fourni par la DGEC</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P11" authorId="0" shapeId="0" xr:uid="{1497610F-D051-401F-8C50-9647F7D2622F}">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48" authorId="0" shapeId="0" xr:uid="{5051D459-90AC-43DA-9333-08EC7B0A51AE}">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85" authorId="0" shapeId="0" xr:uid="{A1AF3D36-1140-4900-8D41-93F1E4191E16}">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122" authorId="0" shapeId="0" xr:uid="{507644D9-A6EA-480F-A1D2-AF2DD509E82C}">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159" authorId="0" shapeId="0" xr:uid="{BA75D671-314E-42B0-9771-A120961B073A}">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196" authorId="0" shapeId="0" xr:uid="{7D8FA180-0299-4B3A-B4EE-73A4D767A9A8}">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233" authorId="0" shapeId="0" xr:uid="{21D21C85-924D-4972-AC5D-E0A0456AEB35}">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270" authorId="0" shapeId="0" xr:uid="{335AE6B8-9BE9-4D2C-BC66-77DDA6756B9C}">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307" authorId="0" shapeId="0" xr:uid="{410EF703-A79F-479F-A0E0-19156740B580}">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344" authorId="0" shapeId="0" xr:uid="{3AC5C569-1965-4411-8CAE-7E1E793A5D5E}">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381" authorId="0" shapeId="0" xr:uid="{AB3DEDFE-EB56-4624-B107-342DC66BB723}">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P11" authorId="0" shapeId="0" xr:uid="{DFA76111-D87A-4A3D-A52A-CB33EE2A7359}">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48" authorId="0" shapeId="0" xr:uid="{48177B5C-358C-4DF7-AB85-E83BE1768961}">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85" authorId="0" shapeId="0" xr:uid="{7DDD2106-9B3A-403D-B239-3E00BB8C0BAA}">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122" authorId="0" shapeId="0" xr:uid="{792C84EC-091F-44FA-BA92-DFC68912B836}">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159" authorId="0" shapeId="0" xr:uid="{C546DDEB-363D-422F-B1CB-0A0F1B945E43}">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196" authorId="0" shapeId="0" xr:uid="{EF2EC158-895E-410C-BC15-55A9D501BF12}">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233" authorId="0" shapeId="0" xr:uid="{30D59AD9-333C-4CD2-9FB9-E094BDAF6A22}">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270" authorId="0" shapeId="0" xr:uid="{3F6192E5-825A-4699-88B0-45786C986F9E}">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307" authorId="0" shapeId="0" xr:uid="{1BA25F5A-4BB4-44A7-9FA8-7466D0326CE2}">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344" authorId="0" shapeId="0" xr:uid="{7876A528-3553-44F2-A476-EA6D2D054FC2}">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P11" authorId="0" shapeId="0" xr:uid="{76CFC161-C1CD-4DFC-B433-556BA5A08473}">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48" authorId="0" shapeId="0" xr:uid="{98A34A18-68BD-4DCB-A570-40E345AA6D2C}">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85" authorId="0" shapeId="0" xr:uid="{E0CBF414-DF9B-4892-84E2-2702108C8366}">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122" authorId="0" shapeId="0" xr:uid="{E5CE8B11-F559-4D72-90D2-000FDDE4BCFF}">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159" authorId="0" shapeId="0" xr:uid="{2D0D2E6A-B998-4141-BDCD-F1A703F8D561}">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196" authorId="0" shapeId="0" xr:uid="{33246A9D-F00F-4297-9B07-E1AE60B5BD98}">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233" authorId="0" shapeId="0" xr:uid="{6F95DB45-6165-4A12-80EE-B350E0CC94C9}">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270" authorId="0" shapeId="0" xr:uid="{C27879C3-19C6-4CBE-B803-92D7453C123A}">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307" authorId="0" shapeId="0" xr:uid="{613676F4-3D2C-4398-A6E7-2AC31795D8E5}">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P11" authorId="0" shapeId="0" xr:uid="{7853C30D-8186-46B5-AED1-2813A8CE2D20}">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48" authorId="0" shapeId="0" xr:uid="{25C78546-4F21-4482-894B-EAB8468BFB01}">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85" authorId="0" shapeId="0" xr:uid="{8EBBEE36-6FEF-4F81-AEB5-D0752E3B197D}">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122" authorId="0" shapeId="0" xr:uid="{17986A99-3E31-4DDD-83F9-28705148B84E}">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159" authorId="0" shapeId="0" xr:uid="{40FFEA4D-1BDA-4422-9D0B-FBCCA71F1EB4}">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196" authorId="0" shapeId="0" xr:uid="{16C8671B-B6BB-4615-9B8F-9033B5CFE2BA}">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233" authorId="0" shapeId="0" xr:uid="{F8DC38F4-857C-48FD-BB47-761A824621AC}">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270" authorId="0" shapeId="0" xr:uid="{4A1B2783-541E-4D0F-A35D-4AA1FC405DCF}">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P11" authorId="0" shapeId="0" xr:uid="{16E1894C-C3D1-4CB1-97E4-8122180A19B7}">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48" authorId="0" shapeId="0" xr:uid="{907C987B-7E06-457E-9006-806BDDF94DB4}">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85" authorId="0" shapeId="0" xr:uid="{AE7AEABE-25B3-498B-ADB6-E579287D4B5A}">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122" authorId="0" shapeId="0" xr:uid="{829B8CDD-AA5F-4F14-B45E-04634834DA1B}">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159" authorId="0" shapeId="0" xr:uid="{639ACF55-2B69-48DB-970C-0018188354EE}">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196" authorId="0" shapeId="0" xr:uid="{1B69007E-616E-41C6-8D67-26DEB1DFC489}">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233" authorId="0" shapeId="0" xr:uid="{6F2EE9D4-A502-44DA-89E1-C14C0772CC52}">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P11" authorId="0" shapeId="0" xr:uid="{53365444-6010-475B-A5EB-A2D4400B9916}">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48" authorId="0" shapeId="0" xr:uid="{0D45C676-3348-4B6B-BD7E-FB069BA7AC3D}">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85" authorId="0" shapeId="0" xr:uid="{6A7C1463-A59C-47B1-9E47-E2507F3DC01F}">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122" authorId="0" shapeId="0" xr:uid="{5B024E57-E4CF-4B74-897E-2ED727F84571}">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159" authorId="0" shapeId="0" xr:uid="{245B06AA-430B-4B36-9475-B68EDEE50633}">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196" authorId="0" shapeId="0" xr:uid="{D4943C43-6AD9-4EEE-B645-01539B75C68C}">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P11" authorId="0" shapeId="0" xr:uid="{DE330276-CA27-4EA5-9216-FBFB020E3DCA}">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48" authorId="0" shapeId="0" xr:uid="{1783389F-81C2-4BD9-8803-601BFB2CE592}">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85" authorId="0" shapeId="0" xr:uid="{63A5EC3E-C4E1-4480-A113-FD9A922452CF}">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122" authorId="0" shapeId="0" xr:uid="{7C5AFB30-DC9C-4AA2-AFC4-A861F1A4E200}">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159" authorId="0" shapeId="0" xr:uid="{297C5C20-F160-4B91-8046-6CE46AF588BF}">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P11" authorId="0" shapeId="0" xr:uid="{4DE17A49-ABBA-455C-88FC-14BC595535A6}">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48" authorId="0" shapeId="0" xr:uid="{EF406225-FE8E-40B7-BC46-E53307B53EC3}">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85" authorId="0" shapeId="0" xr:uid="{F43384F5-3403-44BA-B417-DFF15352911F}">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122" authorId="0" shapeId="0" xr:uid="{1B97A406-12B6-4C93-99CD-FF44E40D37E8}">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P11" authorId="0" shapeId="0" xr:uid="{48D00F8D-9530-4B47-89B3-C7B6785D219F}">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48" authorId="0" shapeId="0" xr:uid="{545DB5D5-6D3D-4E27-8384-B2DAB742FF55}">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P11" authorId="0" shapeId="0" xr:uid="{6865C323-8556-4D4E-A766-3C19AE50D6B8}">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P11" authorId="0" shapeId="0" xr:uid="{0F7A41C1-33DA-4857-BCD5-F19F4DBC7072}">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48" authorId="0" shapeId="0" xr:uid="{3782E982-C054-435D-8CEC-F84EC22FF51C}">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85" authorId="0" shapeId="0" xr:uid="{4B8DB864-70A8-4547-BB60-C3E6A4AA8AA2}">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122" authorId="0" shapeId="0" xr:uid="{6835D05C-C870-43AD-B419-D9434E21EF1C}">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159" authorId="0" shapeId="0" xr:uid="{0FBE1385-0036-44E1-B8A2-E4F01A3C7B44}">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196" authorId="0" shapeId="0" xr:uid="{640DD287-9D5E-4CEA-A9C0-56765B53E7F3}">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233" authorId="0" shapeId="0" xr:uid="{D1CA53BF-567E-4E0B-B112-70132D42C404}">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270" authorId="0" shapeId="0" xr:uid="{4FAD59E8-55D9-43E8-A74C-23D5A49C3305}">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307" authorId="0" shapeId="0" xr:uid="{4CCD6B8C-F95C-4BCF-9DFA-E6BA1BBA4BFA}">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344" authorId="0" shapeId="0" xr:uid="{C0243DEF-F3EA-48C4-9235-F3F4100DF224}">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381" authorId="0" shapeId="0" xr:uid="{F6D484C2-3780-4A71-BA2F-5D3139B53BAA}">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 ref="P418" authorId="0" shapeId="0" xr:uid="{5132525D-6E56-4832-9953-2843E9C72E14}">
      <text>
        <r>
          <rPr>
            <b/>
            <sz val="9"/>
            <color indexed="81"/>
            <rFont val="Tahoma"/>
            <family val="2"/>
          </rPr>
          <t>MONSERAND Alma:</t>
        </r>
        <r>
          <rPr>
            <sz val="9"/>
            <color indexed="81"/>
            <rFont val="Tahoma"/>
            <family val="2"/>
          </rPr>
          <t xml:space="preserve">
On somme deux colonnes pour éviter de modifier le format pour une colonne qui pèse très peu (énergie fatale industrielle)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<sst xmlns="http://schemas.openxmlformats.org/spreadsheetml/2006/main" count="31210" uniqueCount="614">
  <si>
    <t>Production énergie pour injection réseau</t>
  </si>
  <si>
    <t>Flux réseaux</t>
  </si>
  <si>
    <t>Bilan primaire</t>
  </si>
  <si>
    <t>Utilisation</t>
  </si>
  <si>
    <t>Injections</t>
  </si>
  <si>
    <t>Soutirages</t>
  </si>
  <si>
    <t>Usage interne</t>
  </si>
  <si>
    <t>Production</t>
  </si>
  <si>
    <t>Réseau</t>
  </si>
  <si>
    <t>source</t>
  </si>
  <si>
    <t>Total</t>
  </si>
  <si>
    <t>Pertes</t>
  </si>
  <si>
    <t>Exports</t>
  </si>
  <si>
    <t>RG</t>
  </si>
  <si>
    <t>RC</t>
  </si>
  <si>
    <t>RE</t>
  </si>
  <si>
    <t>Conso fin.nat. (hors combsustibles 2usages)</t>
  </si>
  <si>
    <t>Eolien</t>
  </si>
  <si>
    <t>Hydroélectricité</t>
  </si>
  <si>
    <t>PV</t>
  </si>
  <si>
    <t>Nucléaire</t>
  </si>
  <si>
    <t>Méthanisation</t>
  </si>
  <si>
    <t>UIOM</t>
  </si>
  <si>
    <t>Bois énergie</t>
  </si>
  <si>
    <t>Géothermie</t>
  </si>
  <si>
    <t>Energies marines</t>
  </si>
  <si>
    <t>Chaleur fatale</t>
  </si>
  <si>
    <t>fioul</t>
  </si>
  <si>
    <t>charbon</t>
  </si>
  <si>
    <t>Réseau de gaz</t>
  </si>
  <si>
    <t>BtG</t>
  </si>
  <si>
    <t>Hydrogène</t>
  </si>
  <si>
    <t>Gaz naturel</t>
  </si>
  <si>
    <t>Solaire thermique</t>
  </si>
  <si>
    <t>Usage direct</t>
  </si>
  <si>
    <t>Chaleur PAC géothermiques</t>
  </si>
  <si>
    <t>Chaleur PAC aérothermiques</t>
  </si>
  <si>
    <t>Biocarburants liquides</t>
  </si>
  <si>
    <t>Ess/Dies/Jet</t>
  </si>
  <si>
    <t>Autres PP</t>
  </si>
  <si>
    <t>Déchets</t>
  </si>
  <si>
    <t>gaz</t>
  </si>
  <si>
    <t>Charbon</t>
  </si>
  <si>
    <t xml:space="preserve">dont combustibles à double usage </t>
  </si>
  <si>
    <t xml:space="preserve">charbon </t>
  </si>
  <si>
    <t>Projections France AME AMS 2018</t>
  </si>
  <si>
    <t xml:space="preserve">Scenario: </t>
  </si>
  <si>
    <t>AMS</t>
  </si>
  <si>
    <t>Version :</t>
  </si>
  <si>
    <t>Date :</t>
  </si>
  <si>
    <t>Bilans énergétiques (format SDES)</t>
  </si>
  <si>
    <t>Mtep</t>
  </si>
  <si>
    <t>Pétrole brut</t>
  </si>
  <si>
    <t>Produits pétroliers raffinés</t>
  </si>
  <si>
    <t>Gaz</t>
  </si>
  <si>
    <t>EnR électriques</t>
  </si>
  <si>
    <t>EnR thermiques et déchets</t>
  </si>
  <si>
    <t>Électricité</t>
  </si>
  <si>
    <t>Chaleur vendue</t>
  </si>
  <si>
    <t>Production d'énergie primaire</t>
  </si>
  <si>
    <t>Importations</t>
  </si>
  <si>
    <t>Exportations</t>
  </si>
  <si>
    <t>Soutes maritimes internationales</t>
  </si>
  <si>
    <t>Soutes aériennes internationales</t>
  </si>
  <si>
    <t>Variations de stocks (+ = déstockage, - = stockage)</t>
  </si>
  <si>
    <t>Total approvisionnement / consommation primaire</t>
  </si>
  <si>
    <t>Transferts</t>
  </si>
  <si>
    <t>Écart statistique</t>
  </si>
  <si>
    <t>Production d'électricité seule</t>
  </si>
  <si>
    <t>Production d'électricité et de chaleur cogénérées</t>
  </si>
  <si>
    <t>Production de chaleur seule</t>
  </si>
  <si>
    <t>Injections de biométhane</t>
  </si>
  <si>
    <t>Raffinage de pétrole</t>
  </si>
  <si>
    <t>Production d'hydrogène</t>
  </si>
  <si>
    <t>Autres transformations</t>
  </si>
  <si>
    <t>Usages internes de la branche énergie</t>
  </si>
  <si>
    <t>Pertes de transport et de distribution</t>
  </si>
  <si>
    <t>Consommation nette de la branche énergie</t>
  </si>
  <si>
    <t>Industrie</t>
  </si>
  <si>
    <t>Transport</t>
  </si>
  <si>
    <t>Résidentiel</t>
  </si>
  <si>
    <t>Tertiaire</t>
  </si>
  <si>
    <t>Agriculture</t>
  </si>
  <si>
    <t>Consommation finale énergétique</t>
  </si>
  <si>
    <t>Consommation finale non énergétique</t>
  </si>
  <si>
    <t>Consommation finale</t>
  </si>
  <si>
    <t>Bilan 2020</t>
  </si>
  <si>
    <t>Bilan 2025</t>
  </si>
  <si>
    <t>Bilan 2030</t>
  </si>
  <si>
    <t>Bilan 2050</t>
  </si>
  <si>
    <t>Conso finale   (entrée ThreeME)</t>
  </si>
  <si>
    <t>Agr</t>
  </si>
  <si>
    <t>Ind</t>
  </si>
  <si>
    <t>Rés</t>
  </si>
  <si>
    <t>Ter</t>
  </si>
  <si>
    <t>Tra</t>
  </si>
  <si>
    <t>1 - Demande d'énergie finale de l'industrie</t>
  </si>
  <si>
    <t>1.1 Ensemble des branches, usages énergétiques</t>
  </si>
  <si>
    <t>2000-2015</t>
  </si>
  <si>
    <t>2015-2020</t>
  </si>
  <si>
    <t>2020-2025</t>
  </si>
  <si>
    <t>2025-2030</t>
  </si>
  <si>
    <t>2030-2050</t>
  </si>
  <si>
    <t>Combustible liquide</t>
  </si>
  <si>
    <t>Electricité</t>
  </si>
  <si>
    <t>Réseau de chaleur</t>
  </si>
  <si>
    <t>Biomasse, déchets</t>
  </si>
  <si>
    <t>1.2 Ensemble des branches, usages non énergétiques</t>
  </si>
  <si>
    <t>Pétrole</t>
  </si>
  <si>
    <t>H2</t>
  </si>
  <si>
    <t>1.3 Total énergie, par branche</t>
  </si>
  <si>
    <t>métaux-primaires</t>
  </si>
  <si>
    <t xml:space="preserve">      sidérurgie</t>
  </si>
  <si>
    <t xml:space="preserve">      aluminium</t>
  </si>
  <si>
    <t>chimie</t>
  </si>
  <si>
    <t xml:space="preserve">       ammoniac</t>
  </si>
  <si>
    <t xml:space="preserve">       pétrochimie base</t>
  </si>
  <si>
    <t xml:space="preserve">        chlore</t>
  </si>
  <si>
    <t>non_metalliques</t>
  </si>
  <si>
    <t xml:space="preserve">        ciment</t>
  </si>
  <si>
    <t xml:space="preserve">         verre</t>
  </si>
  <si>
    <t>iaa</t>
  </si>
  <si>
    <t xml:space="preserve">        sucre</t>
  </si>
  <si>
    <t>équipement</t>
  </si>
  <si>
    <t>autres</t>
  </si>
  <si>
    <t xml:space="preserve">         papier-pâtes</t>
  </si>
  <si>
    <t>Total IGCE</t>
  </si>
  <si>
    <t>1.4 Electricité, par branche</t>
  </si>
  <si>
    <t>TWh</t>
  </si>
  <si>
    <t>1.5 Combustibles, par branche</t>
  </si>
  <si>
    <t>1.6 Indicateurs</t>
  </si>
  <si>
    <t>Intensité énergétique de la VA (kep/€2005)</t>
  </si>
  <si>
    <t>2 - Demande d'énergie finale du résidentiel</t>
  </si>
  <si>
    <t>2.1 Demande d'énergie finale par énergie</t>
  </si>
  <si>
    <t>Biomasse</t>
  </si>
  <si>
    <t>Solaire</t>
  </si>
  <si>
    <t>Chaleur environnement</t>
  </si>
  <si>
    <t>2.2 Demande d'énergie finale par usage</t>
  </si>
  <si>
    <t>Chauffage</t>
  </si>
  <si>
    <t>Eau chaude</t>
  </si>
  <si>
    <t>Cuisson</t>
  </si>
  <si>
    <t>Eclairage</t>
  </si>
  <si>
    <t>Electricité specifique</t>
  </si>
  <si>
    <t>Climatisation</t>
  </si>
  <si>
    <t>2.3 Usages thermiques</t>
  </si>
  <si>
    <t>2.4 Chauffage</t>
  </si>
  <si>
    <t>2.5 Eau chaude</t>
  </si>
  <si>
    <t>2.6 Cuisson</t>
  </si>
  <si>
    <t>2.7 Indicateurs</t>
  </si>
  <si>
    <t>Logements</t>
  </si>
  <si>
    <t>Energie/capita (tep)</t>
  </si>
  <si>
    <t>Electricité/capita (kWh)</t>
  </si>
  <si>
    <t>Intensité énergétique de la consommation privée des ménages (kep/€2005)</t>
  </si>
  <si>
    <t>3 - Demande d'énergie finale du tertiaire</t>
  </si>
  <si>
    <t>3.1 Demande d'énergie finale par énergie</t>
  </si>
  <si>
    <t>3.2 Demande d'énergie finale par usage</t>
  </si>
  <si>
    <t>Autres usages thermiques</t>
  </si>
  <si>
    <t>3.3 Usages thermiques</t>
  </si>
  <si>
    <t>3.4 Chauffage</t>
  </si>
  <si>
    <t>3.5 Autres usages thermiques</t>
  </si>
  <si>
    <t>3.6 Indicateurs</t>
  </si>
  <si>
    <t>Intensité énergétique de la VA (ktep/€2005)</t>
  </si>
  <si>
    <t>Employés (millions)</t>
  </si>
  <si>
    <t>Energie/employé (tep)</t>
  </si>
  <si>
    <t>Electricité/employé (kWh)</t>
  </si>
  <si>
    <t>4 - Demande d'énergie finale des transports</t>
  </si>
  <si>
    <t>4.1 Trafics</t>
  </si>
  <si>
    <t>Passagers (Gpkm)</t>
  </si>
  <si>
    <t xml:space="preserve">  Voitures</t>
  </si>
  <si>
    <t xml:space="preserve">  Bus et autocars</t>
  </si>
  <si>
    <t xml:space="preserve">  Ferroviaire</t>
  </si>
  <si>
    <t xml:space="preserve">  Aérien domestique</t>
  </si>
  <si>
    <t>Marchandises Gtkm)</t>
  </si>
  <si>
    <t xml:space="preserve">  Camions et VUL</t>
  </si>
  <si>
    <t xml:space="preserve">  Fluvial</t>
  </si>
  <si>
    <t xml:space="preserve">  Voitures   Gvkm</t>
  </si>
  <si>
    <t>4.2 Demande d'énergie finale par énergie</t>
  </si>
  <si>
    <t>Essence (yc carb. subst.)</t>
  </si>
  <si>
    <t>Gazole (yc carb. subs)</t>
  </si>
  <si>
    <t>Carburéacteurs</t>
  </si>
  <si>
    <t>GPL</t>
  </si>
  <si>
    <t>GNV</t>
  </si>
  <si>
    <t>4.3 Demande d'énergie finale par infrastructure</t>
  </si>
  <si>
    <t>Routier</t>
  </si>
  <si>
    <t>Ferroviaire</t>
  </si>
  <si>
    <t>Fluvial</t>
  </si>
  <si>
    <t>Aérien domestique</t>
  </si>
  <si>
    <t>4.4 Transports routiers</t>
  </si>
  <si>
    <t>Voitures particulières</t>
  </si>
  <si>
    <t>Camions et VUL</t>
  </si>
  <si>
    <t>Bus et autocars</t>
  </si>
  <si>
    <t>2 roues</t>
  </si>
  <si>
    <t>Essence</t>
  </si>
  <si>
    <t xml:space="preserve">Total </t>
  </si>
  <si>
    <t>4.5 Indicateurs</t>
  </si>
  <si>
    <t>Parcs VP (Millions)</t>
  </si>
  <si>
    <t>Intensité énergétique du PIB (kep/€2005)</t>
  </si>
  <si>
    <t>5 - Demande d'énergie finale de l'agriculture</t>
  </si>
  <si>
    <t>5.1 Demande d'énergie finale par énergie</t>
  </si>
  <si>
    <t>6 - Demande d'énergie finale de l'ensemble des secteurs</t>
  </si>
  <si>
    <t>6.1 Demande d'énergie finale par énergie</t>
  </si>
  <si>
    <t>Carburant liquide</t>
  </si>
  <si>
    <t>Combustible gazeux</t>
  </si>
  <si>
    <t>Carburant gazeux</t>
  </si>
  <si>
    <t>6.2 Demande d'énergie finale par secteur</t>
  </si>
  <si>
    <t>6.3 Indicateurs</t>
  </si>
  <si>
    <t>Intensité électrique du PIB (kWh/k€2005)</t>
  </si>
  <si>
    <t>PAC/CET</t>
  </si>
  <si>
    <t>Pétrole/GPL</t>
  </si>
  <si>
    <t>Renouvelables thermiques</t>
  </si>
  <si>
    <t>Chaleur Environnement</t>
  </si>
  <si>
    <t>Total hors chaleur environnement</t>
  </si>
  <si>
    <t>ECS</t>
  </si>
  <si>
    <t>Electricité spécifique</t>
  </si>
  <si>
    <t>Autres consos (hors elec spé)</t>
  </si>
  <si>
    <t>Total modèle</t>
  </si>
  <si>
    <t>Autres (hors CEREN)</t>
  </si>
  <si>
    <t>Total (hors PAC)</t>
  </si>
  <si>
    <t>Mix approx</t>
  </si>
  <si>
    <t>Bilan de l'Energie 2015 (Sorties de modèles)</t>
  </si>
  <si>
    <t>Consommation finale énergétique (corrigée du climat)</t>
  </si>
  <si>
    <t>Corrections brutes</t>
  </si>
  <si>
    <t>Résultats modélisation MENFIS</t>
  </si>
  <si>
    <t>Tableau 1 : Consommations de chauffage (TWh) 2015</t>
  </si>
  <si>
    <t>Fioul</t>
  </si>
  <si>
    <t>Electricité joule</t>
  </si>
  <si>
    <t>Electricité PAC (hors ENR)</t>
  </si>
  <si>
    <t>Chauffage urbain et autre</t>
  </si>
  <si>
    <t>ENR PAC</t>
  </si>
  <si>
    <t>Nouveau total</t>
  </si>
  <si>
    <t>Consommation chauffage</t>
  </si>
  <si>
    <t>MI ex</t>
  </si>
  <si>
    <t>MI ne</t>
  </si>
  <si>
    <t>LC ex</t>
  </si>
  <si>
    <t>LC ne</t>
  </si>
  <si>
    <t>Tableau 1 : Consommations de chauffage (TWh) 2020</t>
  </si>
  <si>
    <t>Tableau 1 : Consommations de chauffage (TWh) 2025</t>
  </si>
  <si>
    <t>Tableau 1 : Consommations de chauffage (TWh) 2030</t>
  </si>
  <si>
    <t>Tableau 1 : Consommations de chauffage (TWh) 2040</t>
  </si>
  <si>
    <t>Tableau 1 : Consommations de chauffage (TWh) 2050</t>
  </si>
  <si>
    <t>Résultats hors modèles</t>
  </si>
  <si>
    <t>CET</t>
  </si>
  <si>
    <t>RCU</t>
  </si>
  <si>
    <t>Autres</t>
  </si>
  <si>
    <t>Consommations par vecteur (TWh)</t>
  </si>
  <si>
    <t>Consommation totale (TWh)</t>
  </si>
  <si>
    <t>PAC</t>
  </si>
  <si>
    <t>Consommation totale</t>
  </si>
  <si>
    <t>Mix énergétique des réseaux de chaleur</t>
  </si>
  <si>
    <t>Cogénération</t>
  </si>
  <si>
    <t>Combustibles solides décarbonés : biomasse + déchets</t>
  </si>
  <si>
    <t>Combustibles liquides décarbonés</t>
  </si>
  <si>
    <t>Combustibles gazeux décarbonés</t>
  </si>
  <si>
    <t>Chaleur de récupération industrielle</t>
  </si>
  <si>
    <t>Chaleur renouvelable (géothermie)</t>
  </si>
  <si>
    <t>Production totale (TWh)</t>
  </si>
  <si>
    <t>Mix énergétique de la production d’électricité</t>
  </si>
  <si>
    <t>Hydraulique</t>
  </si>
  <si>
    <t>Éolien</t>
  </si>
  <si>
    <t>Bioénergies</t>
  </si>
  <si>
    <t>Gaz réseau</t>
  </si>
  <si>
    <t>Total primaire, export et conso non énergétique incluses</t>
  </si>
  <si>
    <t>Total final hors conso non énergétique</t>
  </si>
  <si>
    <t>Total final  conso non énergétique incluses</t>
  </si>
  <si>
    <t>Produits pétroliers et biocarburants</t>
  </si>
  <si>
    <t>QMtep_losses_losses</t>
  </si>
  <si>
    <t>Produits pétroliers</t>
  </si>
  <si>
    <t>QMtep_losses_2201</t>
  </si>
  <si>
    <t>Biocarburants liquides et gazeux</t>
  </si>
  <si>
    <t>QMtep_losses_2202</t>
  </si>
  <si>
    <t xml:space="preserve">Biocarburants liquides </t>
  </si>
  <si>
    <t>QMtep_losses_2301</t>
  </si>
  <si>
    <t>Biocarburants gazeux</t>
  </si>
  <si>
    <t>QMtep_losses_2302</t>
  </si>
  <si>
    <t>QMtep_losses_2303</t>
  </si>
  <si>
    <t>QMtep_losses_2304</t>
  </si>
  <si>
    <t>QMtep_losses_2305</t>
  </si>
  <si>
    <t>QMtep_losses_2306</t>
  </si>
  <si>
    <t>QMtep_losses_2307</t>
  </si>
  <si>
    <t>Photovoltaïque</t>
  </si>
  <si>
    <t>QMtep_losses_2308</t>
  </si>
  <si>
    <t>QMtep_losses_2401</t>
  </si>
  <si>
    <t>Autres (méthanisation, UIOM, bois, géothermie, énergie fatale)</t>
  </si>
  <si>
    <t>Autres (méthanisation, UIOM, bois, géothermie, énergie fatale, PAC aérothermique)</t>
  </si>
  <si>
    <t>QMtep_losses_2402</t>
  </si>
  <si>
    <t>Gaz et chaleur</t>
  </si>
  <si>
    <t>QMtep_losses_2403</t>
  </si>
  <si>
    <t>Gaz naturel (réseau de gaz et de chaleur)</t>
  </si>
  <si>
    <t>QMtep_losses_2404</t>
  </si>
  <si>
    <t>Bois énergie direct et réseau chaleur</t>
  </si>
  <si>
    <t>QMtep_losses_2405</t>
  </si>
  <si>
    <t>Biogaz, biométhane, BtG et H2 direct et réseau de chaleur</t>
  </si>
  <si>
    <t>QMtep_losses_2406</t>
  </si>
  <si>
    <t>UIOM et déchets directs</t>
  </si>
  <si>
    <t>QMtep_losses_21</t>
  </si>
  <si>
    <t>Géothermie et PAC géothermique</t>
  </si>
  <si>
    <t>Géothermie et  PAC géothermique</t>
  </si>
  <si>
    <t>Bois</t>
  </si>
  <si>
    <t xml:space="preserve">Géothermie </t>
  </si>
  <si>
    <t>Energie fatale</t>
  </si>
  <si>
    <t>Biométhane</t>
  </si>
  <si>
    <t xml:space="preserve">Production énergétique en pourcentage de la production énergétique primaire de chaque vecteur </t>
  </si>
  <si>
    <t>Production énergétique en pourcentage de la production énergétique finale de chaque vecteur (hors consommation non énergétique)</t>
  </si>
  <si>
    <t>Production énergétique en pourcentage de la production énergétique finale de chaque vecteur ( conso non énergétique incluses)</t>
  </si>
  <si>
    <t>Bois énergie (direct et réseau chaleur)</t>
  </si>
  <si>
    <t>Biogaz, biométhane, BtG direct et réseau de chaleur</t>
  </si>
  <si>
    <t>Centrale au fioul</t>
  </si>
  <si>
    <t>Centrale au gaz naturel</t>
  </si>
  <si>
    <t>PAC aérothermiques</t>
  </si>
  <si>
    <t>Centrale au charbon</t>
  </si>
  <si>
    <t>Vérification</t>
  </si>
  <si>
    <t>Conso hors usages énergétiques</t>
  </si>
  <si>
    <t>Matière pour production biocarburants liquides</t>
  </si>
  <si>
    <t>Chaleur fatale - réseau chaleur</t>
  </si>
  <si>
    <t>Chaleur fatale -  élec</t>
  </si>
  <si>
    <t>Total calculé onglet flux</t>
  </si>
  <si>
    <t xml:space="preserve">Primaire </t>
  </si>
  <si>
    <t>Projections France AME AMS 2017</t>
  </si>
  <si>
    <t>Scenario:</t>
  </si>
  <si>
    <t>AME</t>
  </si>
  <si>
    <t>2030-2035</t>
  </si>
  <si>
    <t>sidérurgie</t>
  </si>
  <si>
    <t>aluminium</t>
  </si>
  <si>
    <t>ammoniac</t>
  </si>
  <si>
    <t>pétrochimie base</t>
  </si>
  <si>
    <t>chlore</t>
  </si>
  <si>
    <t>ciment</t>
  </si>
  <si>
    <t>verre</t>
  </si>
  <si>
    <t>sucre</t>
  </si>
  <si>
    <t>papier-pâtes</t>
  </si>
  <si>
    <t>2.6 Indicateurs</t>
  </si>
  <si>
    <t>Voitures</t>
  </si>
  <si>
    <t>Voitures   Gvkm</t>
  </si>
  <si>
    <t>Bilans énergétiques (format SOeS)</t>
  </si>
  <si>
    <t>Bilan 2015</t>
  </si>
  <si>
    <t>Biomasse solide</t>
  </si>
  <si>
    <t>Biogaz</t>
  </si>
  <si>
    <t>Bilans énergétiques - Projections AME</t>
  </si>
  <si>
    <t>Périmètre</t>
  </si>
  <si>
    <t>France Métropolitaine</t>
  </si>
  <si>
    <t>Puits technologiques : provisoirement le CCS énergie seulement, si on ne change pas la comptabilité</t>
  </si>
  <si>
    <t>Unité</t>
  </si>
  <si>
    <t>TWh PCI</t>
  </si>
  <si>
    <t>Biocarburants</t>
  </si>
  <si>
    <t>Gaz renouvelable</t>
  </si>
  <si>
    <t>Chaleur de l'environnement</t>
  </si>
  <si>
    <t>Solaire thermique et géothermie</t>
  </si>
  <si>
    <t>Production d'électricité</t>
  </si>
  <si>
    <t>Production de chaleur</t>
  </si>
  <si>
    <t>Production de gaz renouvelable</t>
  </si>
  <si>
    <t>Production de gaz de synthèse</t>
  </si>
  <si>
    <t>Production de biocarburants</t>
  </si>
  <si>
    <t>Production d'e-fuels</t>
  </si>
  <si>
    <t>Autres transformations, transferts</t>
  </si>
  <si>
    <t>Puits technologiques</t>
  </si>
  <si>
    <t>Bilan 2023</t>
  </si>
  <si>
    <t>Bilan 2028</t>
  </si>
  <si>
    <t>Bilan 2033</t>
  </si>
  <si>
    <t>Bilan 2035</t>
  </si>
  <si>
    <t>Bilan 2038</t>
  </si>
  <si>
    <t>Bilan 2040</t>
  </si>
  <si>
    <t>Bilan 2045</t>
  </si>
  <si>
    <t>Partie 1 : La consommation et la production d’énergies renouvelables en France</t>
  </si>
  <si>
    <t>Les énergies renouvelables en France</t>
  </si>
  <si>
    <t>Production brute d'électricité renouvelable par filière en 2020</t>
  </si>
  <si>
    <t>Total :  126 TWh</t>
  </si>
  <si>
    <t>En %</t>
  </si>
  <si>
    <t>Production brute 2020</t>
  </si>
  <si>
    <t>GWh</t>
  </si>
  <si>
    <t>%</t>
  </si>
  <si>
    <t>Hydraulique renouvelable</t>
  </si>
  <si>
    <t>Hydraulique renouvelable : 49,5 %</t>
  </si>
  <si>
    <t>Éolien : 32,4 %</t>
  </si>
  <si>
    <t>Solaire photovoltaïque</t>
  </si>
  <si>
    <t>Solaire photovoltaïque : 10,8 %</t>
  </si>
  <si>
    <t>Biomasse solide : 2,9 %</t>
  </si>
  <si>
    <t>Déchets renouvelables</t>
  </si>
  <si>
    <t>Déchets renouvelables : 1,7 %</t>
  </si>
  <si>
    <t>Biogaz : 2,2 %</t>
  </si>
  <si>
    <t>Énergie marémotrice</t>
  </si>
  <si>
    <t>Énergie marémotrice : 0,4 %</t>
  </si>
  <si>
    <t>Géothermie électrique</t>
  </si>
  <si>
    <t>Géothermie électrique : 0,1 %</t>
  </si>
  <si>
    <t>Total : 100</t>
  </si>
  <si>
    <t>Total TWh</t>
  </si>
  <si>
    <t>Source : calculs SDES.</t>
  </si>
  <si>
    <t>Evolution de la production brute d'électricité renouvelable par filière</t>
  </si>
  <si>
    <t>En TWh</t>
  </si>
  <si>
    <t>Production brute 2019</t>
  </si>
  <si>
    <t>Champ : jusqu’à l’année 2010 incluse, le périmètre géographique est la France métropolitaine. À partir de 2011, il inclut en outre les cinq DROM.</t>
  </si>
  <si>
    <t>Consommation primaire d'énergies renouvelables pour la production de chaleur, en 2020</t>
  </si>
  <si>
    <t>Total : 173 TWh</t>
  </si>
  <si>
    <t>Données 2020 corrigées variations climatiques</t>
  </si>
  <si>
    <t>Données corrigées des variations climatiques</t>
  </si>
  <si>
    <t>Bois-énergie</t>
  </si>
  <si>
    <t>Bois-énergie : 64,2 %</t>
  </si>
  <si>
    <t>Pompes à chaleur</t>
  </si>
  <si>
    <t>Pompes à chaleur : 21,7 %</t>
  </si>
  <si>
    <t>Déchets renouvelables : 3,2 %</t>
  </si>
  <si>
    <t>Biogaz : 2,6 %</t>
  </si>
  <si>
    <t>Résidus agricoles et agroalimentaires</t>
  </si>
  <si>
    <t>Résidus agricoles et agroalimentaires : 2,5 %</t>
  </si>
  <si>
    <t>Géothermie : 2,4 %</t>
  </si>
  <si>
    <t>Biocarburants et autres bioliquides</t>
  </si>
  <si>
    <t>Biocarburants et autres bioliquides : 2 %</t>
  </si>
  <si>
    <t>Solaire thermique : 1,3 %</t>
  </si>
  <si>
    <t>Bilans énergétiques - Projections AMS</t>
  </si>
  <si>
    <t>Bilan 2019</t>
  </si>
  <si>
    <t>Autres (UIOM, bois, géothermie, énergie fatale)</t>
  </si>
  <si>
    <t>Gaz (naturel + biogaz)</t>
  </si>
  <si>
    <t>Hydrogene</t>
  </si>
  <si>
    <t>Methanisation</t>
  </si>
  <si>
    <t>Autres (UIOM, bois, géothermie, énergie fatale, PAC aérothermique)</t>
  </si>
  <si>
    <t>dont</t>
  </si>
  <si>
    <t xml:space="preserve">Eolien </t>
  </si>
  <si>
    <t>Hydroélectricité &amp; énergie marine</t>
  </si>
  <si>
    <t>Production of natural gas</t>
  </si>
  <si>
    <t>Production and distribution of biogas</t>
  </si>
  <si>
    <t>Nuclear electricity generation</t>
  </si>
  <si>
    <t>Oil-fired electricity generation</t>
  </si>
  <si>
    <t>Gas-fired electricity generation</t>
  </si>
  <si>
    <t>Coal-fired electricity generation</t>
  </si>
  <si>
    <t>Wind electricity generation</t>
  </si>
  <si>
    <t>Solar electricity generation</t>
  </si>
  <si>
    <t>Hydroelectric electricity generation</t>
  </si>
  <si>
    <t>Cogeneration (CHP) electricity generation and other heat supply</t>
  </si>
  <si>
    <t>Electricity - Others</t>
  </si>
  <si>
    <t>soil</t>
  </si>
  <si>
    <t>sbfu</t>
  </si>
  <si>
    <t>sgas</t>
  </si>
  <si>
    <t>sbga</t>
  </si>
  <si>
    <t>senu</t>
  </si>
  <si>
    <t>seoi</t>
  </si>
  <si>
    <t>sega</t>
  </si>
  <si>
    <t>seco</t>
  </si>
  <si>
    <t>sewi</t>
  </si>
  <si>
    <t>seso</t>
  </si>
  <si>
    <t>sehy</t>
  </si>
  <si>
    <t>sech</t>
  </si>
  <si>
    <t>seot</t>
  </si>
  <si>
    <t>smin</t>
  </si>
  <si>
    <t xml:space="preserve">Mining </t>
  </si>
  <si>
    <t>Production of biofuel for heating</t>
  </si>
  <si>
    <t>Production of refined oil for heating</t>
  </si>
  <si>
    <t>Production of biofuel  for transportation</t>
  </si>
  <si>
    <t>Production of refined oil  for transportation</t>
  </si>
  <si>
    <t>Coefficient d'autoconsommation</t>
  </si>
  <si>
    <t>Autoconsommation</t>
  </si>
  <si>
    <t>coefficient de perte de reseaux et de distribution</t>
  </si>
  <si>
    <t>Pertes de reseaux et de distribution</t>
  </si>
  <si>
    <t>Carburants pétroliers</t>
  </si>
  <si>
    <t xml:space="preserve">Fioul  chaleur fossile </t>
  </si>
  <si>
    <t>Biofuel chaleur renouvelable</t>
  </si>
  <si>
    <t>Biogaz, biométhane, BtG  et réseau de chaleur</t>
  </si>
  <si>
    <t>PHIY_TOE_CELE_SECH</t>
  </si>
  <si>
    <t>PHIY_TOE_CELE_SECO</t>
  </si>
  <si>
    <t>PHIY_TOE_CELE_SEGA</t>
  </si>
  <si>
    <t>PHIY_TOE_CELE_SEHY</t>
  </si>
  <si>
    <t>PHIY_TOE_CELE_SENU</t>
  </si>
  <si>
    <t>PHIY_TOE_CELE_SEOI</t>
  </si>
  <si>
    <t>PHIY_TOE_CELE_SEOT</t>
  </si>
  <si>
    <t>PHIY_TOE_CELE_SESO</t>
  </si>
  <si>
    <t>PHIY_TOE_CGAS_SBGA</t>
  </si>
  <si>
    <t>PHIY_TOE_CGAS_SGAS</t>
  </si>
  <si>
    <t>PHIY_TOE_CGAS_SMIN</t>
  </si>
  <si>
    <t>PHIY_TOE_CFUT_SBFU</t>
  </si>
  <si>
    <t>PHIY_TOE_CFUT_SOIL</t>
  </si>
  <si>
    <t>PHIY_TOE_CFUH_SBFU</t>
  </si>
  <si>
    <t>PHIY_TOE_CFUH_SOIL</t>
  </si>
  <si>
    <t>consommation finale conso non-énergétiques incluses</t>
  </si>
  <si>
    <t>PHIY_TOE_CELE_sewi</t>
  </si>
  <si>
    <t>Autres transformations et transferts</t>
  </si>
  <si>
    <t>ENR thermiques et déchets</t>
  </si>
  <si>
    <t>Eolien &amp; énergie marine</t>
  </si>
  <si>
    <t>Chaleur et vapeur</t>
  </si>
  <si>
    <t>Carburants</t>
  </si>
  <si>
    <t>AUtres (méthanisation, UIOM, bois, géothermie, énergie fatale, PAC aérothermique)</t>
  </si>
  <si>
    <t>consommation finale conso non-énergétiques incluses en TWh</t>
  </si>
  <si>
    <t>Coefficient de perte</t>
  </si>
  <si>
    <t>Charbon 21</t>
  </si>
  <si>
    <t>PhiY_ENER[ce,se]</t>
  </si>
  <si>
    <t>France Kyoto</t>
  </si>
  <si>
    <t>Carburants synthétiques</t>
  </si>
  <si>
    <t>Gaz synthétique</t>
  </si>
  <si>
    <t>Année</t>
  </si>
  <si>
    <t>Scen</t>
  </si>
  <si>
    <t>Typedata</t>
  </si>
  <si>
    <t>pp</t>
  </si>
  <si>
    <t>imp</t>
  </si>
  <si>
    <t>exp</t>
  </si>
  <si>
    <t>soutmer</t>
  </si>
  <si>
    <t>soutair</t>
  </si>
  <si>
    <t>stockvar</t>
  </si>
  <si>
    <t>cp</t>
  </si>
  <si>
    <t>ecstat</t>
  </si>
  <si>
    <t>elepd</t>
  </si>
  <si>
    <t>chalpd</t>
  </si>
  <si>
    <t>gbipd</t>
  </si>
  <si>
    <t>gsypd</t>
  </si>
  <si>
    <t>raffpd</t>
  </si>
  <si>
    <t>biopd</t>
  </si>
  <si>
    <t>sybiopd</t>
  </si>
  <si>
    <t>h2pd</t>
  </si>
  <si>
    <t>othpd</t>
  </si>
  <si>
    <t>usint</t>
  </si>
  <si>
    <t>pert</t>
  </si>
  <si>
    <t>cn</t>
  </si>
  <si>
    <t>ind_C</t>
  </si>
  <si>
    <t>tra_C</t>
  </si>
  <si>
    <t>res_C</t>
  </si>
  <si>
    <t>ter_C</t>
  </si>
  <si>
    <t>agr_C</t>
  </si>
  <si>
    <t>ptech_C</t>
  </si>
  <si>
    <t>cf_C</t>
  </si>
  <si>
    <t>nen_C</t>
  </si>
  <si>
    <t>cftot_C</t>
  </si>
  <si>
    <t>ligne dans code bilan</t>
  </si>
  <si>
    <t>Géo</t>
  </si>
  <si>
    <t>Bilan 2043</t>
  </si>
  <si>
    <t>Gaz de synthèse</t>
  </si>
  <si>
    <t>Biogaz, biométhane, gaz synthétique et réseau de chaleur</t>
  </si>
  <si>
    <t xml:space="preserve">Fioul chaleur fossile </t>
  </si>
  <si>
    <t>Bilans énergétiques - Kyoto - Projections AME</t>
  </si>
  <si>
    <t>Bilans énergétiques - Kyoto - Projections AMS</t>
  </si>
  <si>
    <t>Kyoto</t>
  </si>
  <si>
    <t>Date de prise en compte</t>
  </si>
  <si>
    <t>consommation finale conso non-énergétiques incluses en %</t>
  </si>
  <si>
    <t>C</t>
  </si>
  <si>
    <t>D</t>
  </si>
  <si>
    <t>E</t>
  </si>
  <si>
    <t>F</t>
  </si>
  <si>
    <t>G</t>
  </si>
  <si>
    <t>H</t>
  </si>
  <si>
    <t>I</t>
  </si>
  <si>
    <t>J</t>
  </si>
  <si>
    <t>K</t>
  </si>
  <si>
    <t>L</t>
  </si>
  <si>
    <t>M</t>
  </si>
  <si>
    <t>N</t>
  </si>
  <si>
    <t>O</t>
  </si>
  <si>
    <t>P</t>
  </si>
  <si>
    <t>Q</t>
  </si>
  <si>
    <t>R</t>
  </si>
  <si>
    <t>S</t>
  </si>
  <si>
    <t>V</t>
  </si>
  <si>
    <t>cms</t>
  </si>
  <si>
    <t>pet</t>
  </si>
  <si>
    <t>pptr</t>
  </si>
  <si>
    <t>synpptr</t>
  </si>
  <si>
    <t>gna</t>
  </si>
  <si>
    <t>gsy</t>
  </si>
  <si>
    <t>elenuc</t>
  </si>
  <si>
    <t>eleenr</t>
  </si>
  <si>
    <t>biom</t>
  </si>
  <si>
    <t>was</t>
  </si>
  <si>
    <t>biopptr</t>
  </si>
  <si>
    <t>gbi</t>
  </si>
  <si>
    <t>envch</t>
  </si>
  <si>
    <t>enrthoth</t>
  </si>
  <si>
    <t>elec</t>
  </si>
  <si>
    <t>chal</t>
  </si>
  <si>
    <t>h2</t>
  </si>
  <si>
    <t>tot</t>
  </si>
  <si>
    <t>Bilan 2021</t>
  </si>
  <si>
    <t>frakyoto</t>
  </si>
  <si>
    <t>Périmètre Kyoto</t>
  </si>
  <si>
    <t>Bilan 2022</t>
  </si>
  <si>
    <t>dQ_Mtep_FC_2402_01</t>
  </si>
  <si>
    <t>dQ_Mtep_FC_2402_02</t>
  </si>
  <si>
    <t>dQ_Mtep_FC_2402_03</t>
  </si>
  <si>
    <t>dQ_Mtep_FC_2402_04</t>
  </si>
  <si>
    <t>dQ_Mtep_FC_2402_05</t>
  </si>
  <si>
    <t>dQ_Mtep_FC_2402_06</t>
  </si>
  <si>
    <t>dQ_Mtep_FC_2402_07</t>
  </si>
  <si>
    <t>dQ_Mtep_FC_2402_08</t>
  </si>
  <si>
    <t>dQ_Mtep_FC_2402_09</t>
  </si>
  <si>
    <t>dQ_Mtep_FC_2402_10</t>
  </si>
  <si>
    <t>dQ_Mtep_FC_2402_11</t>
  </si>
  <si>
    <t>dQ_Mtep_FC_2402_12</t>
  </si>
  <si>
    <t>dQ_Mtep_FC_2402_18</t>
  </si>
  <si>
    <t>dQ_Mtep_FC_2402_19</t>
  </si>
  <si>
    <t>dQ_Mtep_FC_2402</t>
  </si>
  <si>
    <t>dQ_Mtep_FC_2403</t>
  </si>
  <si>
    <t>dQ_Mtep_FC_2404</t>
  </si>
  <si>
    <t>dQ_Mtep_FC_2405</t>
  </si>
  <si>
    <t>dQ_Mtep_FC_2406</t>
  </si>
  <si>
    <t>Q_Mtep_FC_2402_01</t>
  </si>
  <si>
    <t>Q_Mtep_FC_2402_02</t>
  </si>
  <si>
    <t>Q_Mtep_FC_2402_03</t>
  </si>
  <si>
    <t>Q_Mtep_FC_2402_04</t>
  </si>
  <si>
    <t>Q_Mtep_FC_2402_05</t>
  </si>
  <si>
    <t>Q_Mtep_FC_2402_06</t>
  </si>
  <si>
    <t>Q_Mtep_FC_2402_07</t>
  </si>
  <si>
    <t>Q_Mtep_FC_2402_08</t>
  </si>
  <si>
    <t>Q_Mtep_FC_2402_09</t>
  </si>
  <si>
    <t>Q_Mtep_FC_2402_10</t>
  </si>
  <si>
    <t>Q_Mtep_FC_2402_11</t>
  </si>
  <si>
    <t>Q_Mtep_FC_2402_12</t>
  </si>
  <si>
    <t>Q_Mtep_FC_2402_18</t>
  </si>
  <si>
    <t>Q_Mtep_FC_2402_19</t>
  </si>
  <si>
    <t>Q_Mtep_FC_2402</t>
  </si>
  <si>
    <t>Q_Mtep_FC_2403</t>
  </si>
  <si>
    <t>Q_Mtep_FC_2404</t>
  </si>
  <si>
    <t>Q_Mtep_FC_2405</t>
  </si>
  <si>
    <t>Q_Mtep_FC_2406</t>
  </si>
  <si>
    <t>Q_Mtep_FC</t>
  </si>
  <si>
    <t>T</t>
  </si>
  <si>
    <t>U</t>
  </si>
  <si>
    <t>chalfat</t>
  </si>
  <si>
    <t>Chaleur fatale industrielle</t>
  </si>
  <si>
    <t>Chaleur de l'environnement + chaleur fatale industrielle</t>
  </si>
  <si>
    <t>Autres (solaire thermique, chaleur fatale industrielle, pac AEROTHERMIQUE)</t>
  </si>
  <si>
    <t>Cogénération nucléaire</t>
  </si>
  <si>
    <t>Autres (solaire thermique, chaleur fatale, PAC aéro, cogé nucléaire)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</si>
</sst>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_-* #,##0.00\ _€_-;\-* #,##0.00\ _€_-;_-* &quot;-&quot;??\ _€_-;_-@_-"/>
    <numFmt numFmtId="165" formatCode="0.0"/>
    <numFmt numFmtId="166" formatCode="#,##0.0_ ;\-#,##0.0\ "/>
    <numFmt numFmtId="167" formatCode="0.0%"/>
    <numFmt numFmtId="168" formatCode="dd/mm/yy;@"/>
    <numFmt numFmtId="169" formatCode="0.000000"/>
    <numFmt numFmtId="170" formatCode="#,##0.0"/>
    <numFmt numFmtId="171" formatCode="0.00000"/>
    <numFmt numFmtId="172" formatCode="0.000"/>
    <numFmt numFmtId="173" formatCode="_-* #,##0.00\ _F_-;\-* #,##0.00\ _F_-;_-* &quot;-&quot;??\ _F_-;_-@_-"/>
    <numFmt numFmtId="174" formatCode="0.0000"/>
    <numFmt numFmtId="175" formatCode="#,##0.0000"/>
    <numFmt numFmtId="176" formatCode="0.0000000000000"/>
    <numFmt numFmtId="177" formatCode="_-* #,##0.00\ _F_-;\-* #,##0.00\ _F_-;_-* \-??\ _F_-;_-@_-"/>
    <numFmt numFmtId="178" formatCode="0.000000000"/>
    <numFmt numFmtId="179" formatCode="#,##0.00000"/>
    <numFmt numFmtId="180" formatCode="0.000000000000"/>
    <numFmt numFmtId="181" formatCode="#,##0.000"/>
    <numFmt numFmtId="182" formatCode="dd/mm/yy"/>
    <numFmt numFmtId="183" formatCode="0.0000000"/>
    <numFmt numFmtId="184" formatCode="0.00000000"/>
  </numFmts>
  <fonts count="128"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10"/>
      <name val="Calibri"/>
      <family val="2"/>
      <scheme val="minor"/>
    </font>
    <font>
      <b/>
      <sz val="11"/>
      <name val="Calibri"/>
      <family val="2"/>
      <scheme val="minor"/>
    </font>
    <font>
      <i/>
      <sz val="10"/>
      <color rgb="FFFF0000"/>
      <name val="Calibri"/>
      <family val="2"/>
      <scheme val="minor"/>
    </font>
    <font>
      <sz val="10"/>
      <color theme="0" tint="-0.249977111117893"/>
      <name val="Calibri"/>
      <family val="2"/>
      <scheme val="minor"/>
    </font>
    <font>
      <i/>
      <sz val="10"/>
      <color theme="0" tint="-0.249977111117893"/>
      <name val="Calibri"/>
      <family val="2"/>
      <scheme val="minor"/>
    </font>
    <font>
      <i/>
      <sz val="10"/>
      <color theme="0" tint="-0.34998626667073579"/>
      <name val="Calibri"/>
      <family val="2"/>
      <scheme val="minor"/>
    </font>
    <font>
      <sz val="10"/>
      <color rgb="FF00B050"/>
      <name val="Calibri"/>
      <family val="2"/>
      <scheme val="minor"/>
    </font>
    <font>
      <b/>
      <sz val="9"/>
      <color indexed="81"/>
      <name val="Tahoma"/>
      <family val="2"/>
    </font>
    <font>
      <sz val="9"/>
      <color indexed="81"/>
      <name val="Tahoma"/>
      <family val="2"/>
    </font>
    <font>
      <sz val="10"/>
      <name val="Times New Roman"/>
      <family val="1"/>
    </font>
    <font>
      <b/>
      <sz val="22"/>
      <color theme="0"/>
      <name val="Calibri"/>
      <family val="2"/>
      <scheme val="minor"/>
    </font>
    <font>
      <i/>
      <sz val="10"/>
      <color theme="0"/>
      <name val="Calibri"/>
      <family val="2"/>
      <scheme val="minor"/>
    </font>
    <font>
      <b/>
      <sz val="14"/>
      <color theme="0"/>
      <name val="Calibri"/>
      <family val="2"/>
      <scheme val="minor"/>
    </font>
    <font>
      <b/>
      <sz val="16"/>
      <color theme="0"/>
      <name val="Calibri"/>
      <family val="2"/>
      <scheme val="minor"/>
    </font>
    <font>
      <b/>
      <sz val="12"/>
      <name val="Calibri"/>
      <family val="2"/>
      <scheme val="minor"/>
    </font>
    <font>
      <i/>
      <sz val="10"/>
      <name val="Calibri"/>
      <family val="2"/>
      <scheme val="minor"/>
    </font>
    <font>
      <b/>
      <sz val="12"/>
      <color theme="1"/>
      <name val="Calibri"/>
      <family val="2"/>
      <scheme val="minor"/>
    </font>
    <font>
      <sz val="12"/>
      <color theme="1"/>
      <name val="Calibri"/>
      <family val="2"/>
      <scheme val="minor"/>
    </font>
    <font>
      <i/>
      <sz val="11"/>
      <color theme="1"/>
      <name val="Calibri"/>
      <family val="2"/>
      <scheme val="minor"/>
    </font>
    <font>
      <sz val="10"/>
      <color rgb="FFFF0000"/>
      <name val="Calibri"/>
      <family val="2"/>
      <scheme val="minor"/>
    </font>
    <font>
      <b/>
      <sz val="20"/>
      <name val="Calibri"/>
      <family val="2"/>
      <scheme val="minor"/>
    </font>
    <font>
      <b/>
      <sz val="16"/>
      <name val="Calibri"/>
      <family val="2"/>
      <scheme val="minor"/>
    </font>
    <font>
      <i/>
      <sz val="16"/>
      <name val="Calibri"/>
      <family val="2"/>
      <scheme val="minor"/>
    </font>
    <font>
      <sz val="10"/>
      <color theme="1"/>
      <name val="Calibri"/>
      <family val="2"/>
      <scheme val="minor"/>
    </font>
    <font>
      <i/>
      <sz val="8"/>
      <name val="Calibri"/>
      <family val="2"/>
      <scheme val="minor"/>
    </font>
    <font>
      <sz val="8"/>
      <color theme="1"/>
      <name val="Calibri"/>
      <family val="2"/>
      <scheme val="minor"/>
    </font>
    <font>
      <i/>
      <sz val="9"/>
      <name val="Calibri"/>
      <family val="2"/>
      <scheme val="minor"/>
    </font>
    <font>
      <sz val="8"/>
      <name val="Calibri"/>
      <family val="2"/>
      <scheme val="minor"/>
    </font>
    <font>
      <sz val="10"/>
      <color theme="0"/>
      <name val="Calibri"/>
      <family val="2"/>
      <scheme val="minor"/>
    </font>
    <font>
      <sz val="12"/>
      <name val="Calibri"/>
      <family val="2"/>
      <scheme val="minor"/>
    </font>
    <font>
      <b/>
      <sz val="16"/>
      <color theme="1"/>
      <name val="Calibri"/>
      <family val="2"/>
      <scheme val="minor"/>
    </font>
    <font>
      <sz val="11"/>
      <color theme="1"/>
      <name val="Liberation Sans"/>
      <family val="2"/>
    </font>
    <font>
      <b/>
      <sz val="10"/>
      <name val="Arial"/>
      <family val="2"/>
    </font>
    <font>
      <sz val="9"/>
      <name val="Calibri"/>
      <family val="2"/>
      <scheme val="minor"/>
    </font>
    <font>
      <i/>
      <sz val="9"/>
      <color theme="0" tint="-0.34998626667073579"/>
      <name val="Calibri"/>
      <family val="2"/>
      <scheme val="minor"/>
    </font>
    <font>
      <i/>
      <sz val="11"/>
      <color rgb="FF7F7F7F"/>
      <name val="Calibri"/>
      <family val="2"/>
      <scheme val="minor"/>
    </font>
    <font>
      <b/>
      <sz val="22"/>
      <color rgb="FFFFFFFF"/>
      <name val="Calibri"/>
      <family val="2"/>
      <charset val="1"/>
    </font>
    <font>
      <i/>
      <sz val="10"/>
      <color rgb="FFFFFFFF"/>
      <name val="Calibri"/>
      <family val="2"/>
      <charset val="1"/>
    </font>
    <font>
      <b/>
      <sz val="14"/>
      <color rgb="FFFFFFFF"/>
      <name val="Calibri"/>
      <family val="2"/>
      <charset val="1"/>
    </font>
    <font>
      <b/>
      <sz val="20"/>
      <name val="Calibri"/>
      <family val="2"/>
      <charset val="1"/>
    </font>
    <font>
      <b/>
      <sz val="16"/>
      <name val="Calibri"/>
      <family val="2"/>
      <charset val="1"/>
    </font>
    <font>
      <i/>
      <sz val="16"/>
      <name val="Calibri"/>
      <family val="2"/>
      <charset val="1"/>
    </font>
    <font>
      <sz val="10"/>
      <name val="Calibri"/>
      <family val="2"/>
      <charset val="1"/>
    </font>
    <font>
      <b/>
      <sz val="16"/>
      <color rgb="FFFFFFFF"/>
      <name val="Calibri"/>
      <family val="2"/>
      <charset val="1"/>
    </font>
    <font>
      <b/>
      <sz val="12"/>
      <name val="Calibri"/>
      <family val="2"/>
      <charset val="1"/>
    </font>
    <font>
      <i/>
      <sz val="10"/>
      <name val="Calibri"/>
      <family val="2"/>
      <charset val="1"/>
    </font>
    <font>
      <b/>
      <sz val="10"/>
      <name val="Calibri"/>
      <family val="2"/>
      <charset val="1"/>
    </font>
    <font>
      <sz val="10"/>
      <color rgb="FF000000"/>
      <name val="Calibri"/>
      <family val="2"/>
      <charset val="1"/>
    </font>
    <font>
      <i/>
      <sz val="8"/>
      <name val="Calibri"/>
      <family val="2"/>
      <charset val="1"/>
    </font>
    <font>
      <sz val="8"/>
      <color rgb="FF000000"/>
      <name val="Calibri"/>
      <family val="2"/>
      <charset val="1"/>
    </font>
    <font>
      <i/>
      <sz val="8"/>
      <color rgb="FF000000"/>
      <name val="Calibri"/>
      <family val="2"/>
      <charset val="1"/>
    </font>
    <font>
      <i/>
      <sz val="9"/>
      <name val="Calibri"/>
      <family val="2"/>
      <charset val="1"/>
    </font>
    <font>
      <sz val="8"/>
      <name val="Calibri"/>
      <family val="2"/>
      <charset val="1"/>
    </font>
    <font>
      <sz val="10"/>
      <color rgb="FFFFFFFF"/>
      <name val="Calibri"/>
      <family val="2"/>
      <charset val="1"/>
    </font>
    <font>
      <sz val="10"/>
      <color rgb="FFFF33CC"/>
      <name val="Calibri"/>
      <family val="2"/>
      <charset val="1"/>
    </font>
    <font>
      <sz val="12"/>
      <name val="Calibri"/>
      <family val="2"/>
      <charset val="1"/>
    </font>
    <font>
      <sz val="10"/>
      <name val="Times New Roman"/>
      <family val="1"/>
      <charset val="1"/>
    </font>
    <font>
      <b/>
      <sz val="12"/>
      <color rgb="FFFF0000"/>
      <name val="Calibri"/>
      <family val="2"/>
      <charset val="1"/>
    </font>
    <font>
      <b/>
      <sz val="11"/>
      <color rgb="FF000000"/>
      <name val="Calibri"/>
      <family val="2"/>
      <charset val="1"/>
    </font>
    <font>
      <b/>
      <sz val="12"/>
      <color rgb="FF000000"/>
      <name val="Calibri"/>
      <family val="2"/>
      <charset val="1"/>
    </font>
    <font>
      <sz val="11"/>
      <name val="Calibri"/>
      <family val="2"/>
      <charset val="1"/>
    </font>
    <font>
      <sz val="12"/>
      <color rgb="FF000000"/>
      <name val="Calibri"/>
      <family val="2"/>
      <charset val="1"/>
    </font>
    <font>
      <i/>
      <sz val="11"/>
      <color rgb="FF000000"/>
      <name val="Calibri"/>
      <family val="2"/>
      <charset val="1"/>
    </font>
    <font>
      <i/>
      <sz val="8"/>
      <color rgb="FFFF0000"/>
      <name val="Calibri"/>
      <family val="2"/>
      <scheme val="minor"/>
    </font>
    <font>
      <b/>
      <sz val="10"/>
      <color rgb="FFFF0000"/>
      <name val="Calibri"/>
      <family val="2"/>
      <scheme val="minor"/>
    </font>
    <font>
      <sz val="11"/>
      <color rgb="FF00B050"/>
      <name val="Calibri"/>
      <family val="2"/>
      <scheme val="minor"/>
    </font>
    <font>
      <sz val="10"/>
      <color theme="1"/>
      <name val="Arial"/>
      <family val="2"/>
    </font>
    <font>
      <sz val="11"/>
      <color indexed="65"/>
      <name val="Verdana"/>
      <family val="2"/>
    </font>
    <font>
      <b/>
      <sz val="14"/>
      <color indexed="65"/>
      <name val="Verdana"/>
      <family val="2"/>
    </font>
    <font>
      <b/>
      <sz val="12"/>
      <color indexed="64"/>
      <name val="Verdana"/>
      <family val="2"/>
    </font>
    <font>
      <sz val="12"/>
      <color indexed="64"/>
      <name val="Verdana"/>
      <family val="2"/>
    </font>
    <font>
      <sz val="12"/>
      <color indexed="2"/>
      <name val="Verdana"/>
      <family val="2"/>
    </font>
    <font>
      <b/>
      <sz val="11"/>
      <color indexed="65"/>
      <name val="Verdana"/>
      <family val="2"/>
    </font>
    <font>
      <b/>
      <sz val="10"/>
      <name val="Verdana"/>
      <family val="2"/>
    </font>
    <font>
      <b/>
      <sz val="10"/>
      <color indexed="64"/>
      <name val="Verdana"/>
      <family val="2"/>
    </font>
    <font>
      <b/>
      <sz val="9"/>
      <color indexed="64"/>
      <name val="Verdana"/>
      <family val="2"/>
    </font>
    <font>
      <sz val="10"/>
      <color indexed="64"/>
      <name val="Verdana"/>
      <family val="2"/>
    </font>
    <font>
      <sz val="10"/>
      <name val="Verdana"/>
      <family val="2"/>
    </font>
    <font>
      <sz val="11"/>
      <color indexed="8"/>
      <name val="Calibri"/>
      <family val="2"/>
    </font>
    <font>
      <sz val="10"/>
      <color indexed="8"/>
      <name val="Arial"/>
      <family val="2"/>
    </font>
    <font>
      <sz val="15"/>
      <name val="Arial"/>
      <family val="2"/>
    </font>
    <font>
      <b/>
      <sz val="11"/>
      <name val="Arial"/>
      <family val="2"/>
    </font>
    <font>
      <sz val="11"/>
      <name val="Arial"/>
      <family val="2"/>
    </font>
    <font>
      <i/>
      <sz val="10"/>
      <name val="Arial"/>
      <family val="2"/>
    </font>
    <font>
      <b/>
      <sz val="10"/>
      <color indexed="8"/>
      <name val="Arial"/>
      <family val="2"/>
    </font>
    <font>
      <i/>
      <sz val="10"/>
      <color indexed="8"/>
      <name val="Arial"/>
      <family val="2"/>
    </font>
    <font>
      <sz val="7.5"/>
      <name val="Arial"/>
      <family val="2"/>
    </font>
    <font>
      <b/>
      <sz val="10"/>
      <color indexed="10"/>
      <name val="Arial"/>
      <family val="2"/>
    </font>
    <font>
      <b/>
      <sz val="11"/>
      <color indexed="8"/>
      <name val="Arial"/>
      <family val="2"/>
    </font>
    <font>
      <sz val="11"/>
      <color indexed="8"/>
      <name val="Arial"/>
      <family val="2"/>
    </font>
    <font>
      <sz val="11"/>
      <name val="Calibri"/>
      <family val="2"/>
      <scheme val="minor"/>
    </font>
    <font>
      <sz val="9"/>
      <color rgb="FFFF0000"/>
      <name val="Calibri"/>
      <family val="2"/>
      <scheme val="minor"/>
    </font>
    <font>
      <b/>
      <sz val="9"/>
      <name val="Calibri"/>
      <family val="2"/>
      <scheme val="minor"/>
    </font>
    <font>
      <i/>
      <sz val="8"/>
      <color theme="0" tint="-0.34998626667073579"/>
      <name val="Calibri"/>
      <family val="2"/>
      <scheme val="minor"/>
    </font>
    <font>
      <i/>
      <sz val="11"/>
      <color theme="0" tint="-0.34998626667073579"/>
      <name val="Calibri"/>
      <family val="2"/>
      <scheme val="minor"/>
    </font>
    <font>
      <i/>
      <sz val="11"/>
      <color theme="0" tint="-0.499984740745262"/>
      <name val="Calibri"/>
      <family val="2"/>
      <scheme val="minor"/>
    </font>
    <font>
      <b/>
      <sz val="11"/>
      <color theme="0"/>
      <name val="Calibri"/>
      <family val="2"/>
      <scheme val="minor"/>
    </font>
    <font>
      <sz val="11"/>
      <color theme="0"/>
      <name val="Calibri"/>
      <family val="2"/>
      <scheme val="minor"/>
    </font>
    <font>
      <sz val="12"/>
      <color rgb="FF303030"/>
      <name val="Roboto"/>
    </font>
    <font>
      <sz val="12"/>
      <color rgb="FFFF0000"/>
      <name val="Calibri"/>
      <family val="2"/>
      <scheme val="minor"/>
    </font>
    <font>
      <b/>
      <sz val="10"/>
      <color theme="1"/>
      <name val="Calibri"/>
      <family val="2"/>
      <scheme val="minor"/>
    </font>
    <font>
      <b/>
      <sz val="9"/>
      <color theme="1"/>
      <name val="Calibri"/>
      <family val="2"/>
      <scheme val="minor"/>
    </font>
    <font>
      <b/>
      <sz val="28"/>
      <name val="Times New Roman"/>
      <family val="1"/>
    </font>
    <font>
      <sz val="14"/>
      <name val="Times New Roman"/>
      <family val="1"/>
    </font>
    <font>
      <b/>
      <sz val="18"/>
      <name val="Times New Roman"/>
      <family val="1"/>
    </font>
    <font>
      <b/>
      <sz val="10"/>
      <name val="Verdana"/>
      <family val="2"/>
      <charset val="1"/>
    </font>
    <font>
      <b/>
      <sz val="10"/>
      <color rgb="FF000000"/>
      <name val="Verdana"/>
      <family val="2"/>
      <charset val="1"/>
    </font>
    <font>
      <b/>
      <sz val="9"/>
      <color rgb="FF000000"/>
      <name val="Verdana"/>
      <family val="2"/>
      <charset val="1"/>
    </font>
    <font>
      <sz val="10"/>
      <color rgb="FF000000"/>
      <name val="Verdana"/>
      <family val="2"/>
      <charset val="1"/>
    </font>
    <font>
      <sz val="10"/>
      <name val="Verdana"/>
      <family val="2"/>
      <charset val="1"/>
    </font>
    <font>
      <sz val="11"/>
      <color rgb="FF000000"/>
      <name val="Verdana"/>
      <family val="2"/>
    </font>
    <font>
      <sz val="11"/>
      <color rgb="FFFFFFFF"/>
      <name val="Verdana"/>
      <family val="2"/>
    </font>
    <font>
      <b/>
      <sz val="14"/>
      <color rgb="FFFFFFFF"/>
      <name val="Verdana"/>
      <family val="2"/>
    </font>
    <font>
      <sz val="12"/>
      <color rgb="FF000000"/>
      <name val="Verdana"/>
      <family val="2"/>
    </font>
    <font>
      <b/>
      <sz val="12"/>
      <color rgb="FF000000"/>
      <name val="Verdana"/>
      <family val="2"/>
    </font>
    <font>
      <sz val="12"/>
      <color rgb="FFFF0000"/>
      <name val="Verdana"/>
      <family val="2"/>
    </font>
    <font>
      <b/>
      <sz val="11"/>
      <color rgb="FFFFFFFF"/>
      <name val="Verdana"/>
      <family val="2"/>
    </font>
    <font>
      <b/>
      <sz val="10"/>
      <color rgb="FF000000"/>
      <name val="Verdana"/>
      <family val="2"/>
    </font>
    <font>
      <b/>
      <sz val="9"/>
      <color rgb="FF000000"/>
      <name val="Verdana"/>
      <family val="2"/>
    </font>
    <font>
      <sz val="10"/>
      <color rgb="FF000000"/>
      <name val="Verdana"/>
      <family val="2"/>
    </font>
    <font>
      <b/>
      <sz val="9"/>
      <color rgb="FFFF0000"/>
      <name val="Verdana"/>
      <family val="2"/>
    </font>
    <font>
      <sz val="9"/>
      <color indexed="81"/>
      <name val="Tahoma"/>
      <charset val="1"/>
    </font>
    <font>
      <b/>
      <sz val="9"/>
      <color indexed="81"/>
      <name val="Tahoma"/>
      <charset val="1"/>
    </font>
  </fonts>
  <fills count="40">
    <fill>
      <patternFill patternType="none"/>
    </fill>
    <fill>
      <patternFill patternType="gray125"/>
    </fill>
    <fill>
      <patternFill patternType="solid">
        <fgColor rgb="FF92D050"/>
        <bgColor indexed="64"/>
      </patternFill>
    </fill>
    <fill>
      <patternFill patternType="solid">
        <fgColor theme="6"/>
        <bgColor indexed="64"/>
      </patternFill>
    </fill>
    <fill>
      <patternFill patternType="solid">
        <fgColor theme="9" tint="0.59999389629810485"/>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theme="8" tint="-0.249977111117893"/>
        <bgColor indexed="64"/>
      </patternFill>
    </fill>
    <fill>
      <patternFill patternType="solid">
        <fgColor theme="0"/>
        <bgColor indexed="64"/>
      </patternFill>
    </fill>
    <fill>
      <patternFill patternType="solid">
        <fgColor theme="8" tint="0.39997558519241921"/>
        <bgColor indexed="64"/>
      </patternFill>
    </fill>
    <fill>
      <patternFill patternType="solid">
        <fgColor theme="9"/>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31859C"/>
        <bgColor rgb="FF008080"/>
      </patternFill>
    </fill>
    <fill>
      <patternFill patternType="solid">
        <fgColor rgb="FFFFFFFF"/>
        <bgColor rgb="FFFFFFCC"/>
      </patternFill>
    </fill>
    <fill>
      <patternFill patternType="solid">
        <fgColor rgb="FF93CDDD"/>
        <bgColor rgb="FFB9CDE5"/>
      </patternFill>
    </fill>
    <fill>
      <patternFill patternType="solid">
        <fgColor rgb="FFF79646"/>
        <bgColor rgb="FFFF8080"/>
      </patternFill>
    </fill>
    <fill>
      <patternFill patternType="solid">
        <fgColor rgb="FFB9CDE5"/>
        <bgColor rgb="FFBFBFBF"/>
      </patternFill>
    </fill>
    <fill>
      <patternFill patternType="solid">
        <fgColor rgb="FFFFFF00"/>
        <bgColor rgb="FFFFFFCC"/>
      </patternFill>
    </fill>
    <fill>
      <patternFill patternType="solid">
        <fgColor rgb="FF1E8F5D"/>
        <bgColor indexed="21"/>
      </patternFill>
    </fill>
    <fill>
      <patternFill patternType="solid">
        <fgColor indexed="65"/>
        <bgColor indexed="26"/>
      </patternFill>
    </fill>
    <fill>
      <patternFill patternType="solid">
        <fgColor indexed="5"/>
        <bgColor indexed="5"/>
      </patternFill>
    </fill>
    <fill>
      <patternFill patternType="solid">
        <fgColor rgb="FF14A2D2"/>
        <bgColor indexed="40"/>
      </patternFill>
    </fill>
    <fill>
      <patternFill patternType="solid">
        <fgColor rgb="FF7ADDF6"/>
        <bgColor indexed="22"/>
      </patternFill>
    </fill>
    <fill>
      <patternFill patternType="solid">
        <fgColor theme="9" tint="0.59999389629810485"/>
        <bgColor indexed="26"/>
      </patternFill>
    </fill>
    <fill>
      <patternFill patternType="solid">
        <fgColor indexed="9"/>
        <bgColor indexed="26"/>
      </patternFill>
    </fill>
    <fill>
      <patternFill patternType="solid">
        <fgColor theme="9" tint="0.59999389629810485"/>
        <bgColor indexed="22"/>
      </patternFill>
    </fill>
    <fill>
      <patternFill patternType="solid">
        <fgColor theme="9" tint="0.39997558519241921"/>
        <bgColor indexed="64"/>
      </patternFill>
    </fill>
    <fill>
      <patternFill patternType="solid">
        <fgColor theme="9" tint="0.39997558519241921"/>
        <bgColor indexed="26"/>
      </patternFill>
    </fill>
    <fill>
      <patternFill patternType="solid">
        <fgColor theme="8"/>
        <bgColor indexed="64"/>
      </patternFill>
    </fill>
    <fill>
      <patternFill patternType="solid">
        <fgColor rgb="FFFFFF00"/>
        <bgColor indexed="26"/>
      </patternFill>
    </fill>
    <fill>
      <patternFill patternType="solid">
        <fgColor theme="0" tint="-4.9989318521683403E-2"/>
        <bgColor indexed="64"/>
      </patternFill>
    </fill>
    <fill>
      <patternFill patternType="solid">
        <fgColor rgb="FF7ADDF6"/>
        <bgColor rgb="FFC0C0C0"/>
      </patternFill>
    </fill>
    <fill>
      <patternFill patternType="solid">
        <fgColor rgb="FF00B050"/>
        <bgColor indexed="26"/>
      </patternFill>
    </fill>
    <fill>
      <patternFill patternType="solid">
        <fgColor rgb="FFFFFFFF"/>
        <bgColor rgb="FF000000"/>
      </patternFill>
    </fill>
    <fill>
      <patternFill patternType="solid">
        <fgColor rgb="FF1E8F5D"/>
        <bgColor rgb="FF000000"/>
      </patternFill>
    </fill>
    <fill>
      <patternFill patternType="solid">
        <fgColor rgb="FF14A2D2"/>
        <bgColor rgb="FF000000"/>
      </patternFill>
    </fill>
    <fill>
      <patternFill patternType="solid">
        <fgColor rgb="FF78DCF5"/>
        <bgColor rgb="FF000000"/>
      </patternFill>
    </fill>
    <fill>
      <patternFill patternType="solid">
        <fgColor theme="5" tint="0.59999389629810485"/>
        <bgColor indexed="64"/>
      </patternFill>
    </fill>
  </fills>
  <borders count="39">
    <border>
      <left/>
      <right/>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style="thin">
        <color indexed="64"/>
      </left>
      <right/>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thin">
        <color indexed="9"/>
      </left>
      <right style="thin">
        <color indexed="9"/>
      </right>
      <top style="thin">
        <color indexed="9"/>
      </top>
      <bottom/>
      <diagonal/>
    </border>
    <border>
      <left style="thin">
        <color indexed="9"/>
      </left>
      <right style="thin">
        <color indexed="9"/>
      </right>
      <top/>
      <bottom style="thin">
        <color indexed="9"/>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s>
  <cellStyleXfs count="16">
    <xf numFmtId="0" fontId="0" fillId="0" borderId="0"/>
    <xf numFmtId="164" fontId="1" fillId="0" borderId="0" applyFont="0" applyFill="0" applyBorder="0" applyAlignment="0" applyProtection="0"/>
    <xf numFmtId="9" fontId="1"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0" fontId="14" fillId="0" borderId="0"/>
    <xf numFmtId="9" fontId="14" fillId="0" borderId="0" applyFont="0" applyFill="0" applyBorder="0" applyAlignment="0" applyProtection="0"/>
    <xf numFmtId="173" fontId="14" fillId="0" borderId="0" applyFont="0" applyFill="0" applyBorder="0" applyAlignment="0" applyProtection="0"/>
    <xf numFmtId="0" fontId="14" fillId="0" borderId="0"/>
    <xf numFmtId="0" fontId="36" fillId="0" borderId="0"/>
    <xf numFmtId="0" fontId="40" fillId="0" borderId="0" applyNumberFormat="0" applyFill="0" applyBorder="0" applyAlignment="0" applyProtection="0"/>
    <xf numFmtId="0" fontId="71" fillId="0" borderId="0"/>
    <xf numFmtId="0" fontId="83" fillId="0" borderId="0"/>
    <xf numFmtId="0" fontId="3" fillId="0" borderId="0"/>
    <xf numFmtId="9" fontId="3" fillId="0" borderId="0" applyFill="0" applyBorder="0" applyAlignment="0" applyProtection="0"/>
  </cellStyleXfs>
  <cellXfs count="784">
    <xf numFmtId="0" fontId="0" fillId="0" borderId="0" xfId="0"/>
    <xf numFmtId="0" fontId="4" fillId="0" borderId="0" xfId="3" applyFont="1"/>
    <xf numFmtId="0" fontId="5" fillId="0" borderId="0" xfId="0" applyFont="1" applyAlignment="1">
      <alignment horizontal="center" vertical="center"/>
    </xf>
    <xf numFmtId="0" fontId="5" fillId="2" borderId="0" xfId="3" applyFont="1" applyFill="1"/>
    <xf numFmtId="0" fontId="4" fillId="0" borderId="0" xfId="3" applyFont="1" applyAlignment="1">
      <alignment horizontal="center" vertical="center" wrapText="1"/>
    </xf>
    <xf numFmtId="0" fontId="4" fillId="2" borderId="0" xfId="0" applyFont="1" applyFill="1" applyAlignment="1">
      <alignment horizontal="center" vertical="center" wrapText="1"/>
    </xf>
    <xf numFmtId="2" fontId="2" fillId="2" borderId="1" xfId="3" applyNumberFormat="1" applyFont="1" applyFill="1" applyBorder="1" applyAlignment="1">
      <alignment horizontal="center" vertical="center" wrapText="1"/>
    </xf>
    <xf numFmtId="2" fontId="4" fillId="2" borderId="0" xfId="0" applyNumberFormat="1" applyFont="1" applyFill="1" applyAlignment="1">
      <alignment horizontal="center" vertical="center" wrapText="1"/>
    </xf>
    <xf numFmtId="0" fontId="5" fillId="2" borderId="0" xfId="0" applyFont="1" applyFill="1" applyAlignment="1">
      <alignment horizontal="center" vertical="center" wrapText="1"/>
    </xf>
    <xf numFmtId="0" fontId="2" fillId="3" borderId="0" xfId="3" applyFont="1" applyFill="1"/>
    <xf numFmtId="0" fontId="4" fillId="2" borderId="0" xfId="0" applyFont="1" applyFill="1"/>
    <xf numFmtId="0" fontId="5" fillId="2" borderId="0" xfId="0" applyFont="1" applyFill="1"/>
    <xf numFmtId="0" fontId="2" fillId="2" borderId="1" xfId="3" applyFont="1" applyFill="1" applyBorder="1" applyAlignment="1">
      <alignment horizontal="center" vertical="center" wrapText="1"/>
    </xf>
    <xf numFmtId="0" fontId="1" fillId="2" borderId="0" xfId="3" applyFont="1" applyFill="1" applyAlignment="1">
      <alignment horizontal="center" vertical="center" wrapText="1"/>
    </xf>
    <xf numFmtId="0" fontId="2" fillId="0" borderId="1" xfId="3" applyFont="1" applyBorder="1"/>
    <xf numFmtId="0" fontId="2" fillId="0" borderId="3" xfId="3" applyFont="1" applyBorder="1"/>
    <xf numFmtId="0" fontId="2" fillId="0" borderId="2" xfId="3" applyFont="1" applyBorder="1"/>
    <xf numFmtId="165" fontId="4" fillId="0" borderId="0" xfId="3" applyNumberFormat="1" applyFont="1"/>
    <xf numFmtId="0" fontId="5" fillId="0" borderId="0" xfId="3" applyFont="1" applyAlignment="1">
      <alignment horizontal="right"/>
    </xf>
    <xf numFmtId="165" fontId="5" fillId="0" borderId="0" xfId="3" applyNumberFormat="1" applyFont="1" applyAlignment="1">
      <alignment horizontal="right"/>
    </xf>
    <xf numFmtId="0" fontId="5" fillId="0" borderId="1" xfId="3" applyFont="1" applyBorder="1" applyAlignment="1">
      <alignment horizontal="right"/>
    </xf>
    <xf numFmtId="0" fontId="4" fillId="0" borderId="0" xfId="0" applyFont="1"/>
    <xf numFmtId="165" fontId="2" fillId="0" borderId="0" xfId="3" applyNumberFormat="1" applyFont="1" applyAlignment="1">
      <alignment horizontal="center"/>
    </xf>
    <xf numFmtId="165" fontId="2" fillId="0" borderId="1" xfId="3" applyNumberFormat="1" applyFont="1" applyBorder="1" applyAlignment="1">
      <alignment horizontal="center"/>
    </xf>
    <xf numFmtId="165" fontId="6" fillId="0" borderId="2" xfId="3" applyNumberFormat="1" applyFont="1" applyBorder="1"/>
    <xf numFmtId="165" fontId="7" fillId="0" borderId="0" xfId="3" applyNumberFormat="1" applyFont="1"/>
    <xf numFmtId="0" fontId="8" fillId="0" borderId="0" xfId="3" applyFont="1"/>
    <xf numFmtId="165" fontId="9" fillId="0" borderId="0" xfId="3" applyNumberFormat="1" applyFont="1"/>
    <xf numFmtId="165" fontId="4" fillId="0" borderId="1" xfId="3" applyNumberFormat="1" applyFont="1" applyBorder="1"/>
    <xf numFmtId="165" fontId="4" fillId="4" borderId="3" xfId="3" applyNumberFormat="1" applyFont="1" applyFill="1" applyBorder="1" applyAlignment="1">
      <alignment horizontal="center" vertical="center"/>
    </xf>
    <xf numFmtId="2" fontId="4" fillId="0" borderId="0" xfId="0" applyNumberFormat="1" applyFont="1"/>
    <xf numFmtId="1" fontId="4" fillId="0" borderId="0" xfId="3" applyNumberFormat="1" applyFont="1"/>
    <xf numFmtId="165" fontId="4" fillId="5" borderId="3" xfId="3" applyNumberFormat="1" applyFont="1" applyFill="1" applyBorder="1" applyAlignment="1">
      <alignment horizontal="center" vertical="center"/>
    </xf>
    <xf numFmtId="165" fontId="4" fillId="0" borderId="0" xfId="0" applyNumberFormat="1" applyFont="1"/>
    <xf numFmtId="165" fontId="5" fillId="0" borderId="0" xfId="3" applyNumberFormat="1" applyFont="1"/>
    <xf numFmtId="0" fontId="4" fillId="0" borderId="0" xfId="0" applyFont="1" applyAlignment="1">
      <alignment horizontal="center" vertical="center"/>
    </xf>
    <xf numFmtId="165" fontId="4" fillId="7" borderId="3" xfId="0" applyNumberFormat="1" applyFont="1" applyFill="1" applyBorder="1" applyAlignment="1">
      <alignment horizontal="center" vertical="center"/>
    </xf>
    <xf numFmtId="165" fontId="4" fillId="0" borderId="0" xfId="0" applyNumberFormat="1" applyFont="1" applyAlignment="1">
      <alignment horizontal="center" vertical="center"/>
    </xf>
    <xf numFmtId="2" fontId="4" fillId="0" borderId="0" xfId="0" applyNumberFormat="1" applyFont="1" applyAlignment="1">
      <alignment horizontal="center" vertical="center"/>
    </xf>
    <xf numFmtId="165" fontId="11" fillId="0" borderId="0" xfId="3" applyNumberFormat="1" applyFont="1"/>
    <xf numFmtId="2" fontId="10" fillId="0" borderId="0" xfId="3" applyNumberFormat="1" applyFont="1"/>
    <xf numFmtId="1" fontId="8" fillId="0" borderId="0" xfId="3" applyNumberFormat="1" applyFont="1"/>
    <xf numFmtId="165" fontId="5" fillId="0" borderId="0" xfId="3" applyNumberFormat="1" applyFont="1" applyAlignment="1">
      <alignment horizontal="right" vertical="center"/>
    </xf>
    <xf numFmtId="0" fontId="5" fillId="0" borderId="0" xfId="3" quotePrefix="1" applyFont="1"/>
    <xf numFmtId="2" fontId="5" fillId="0" borderId="0" xfId="3" applyNumberFormat="1" applyFont="1"/>
    <xf numFmtId="2" fontId="4" fillId="0" borderId="0" xfId="3" applyNumberFormat="1" applyFont="1"/>
    <xf numFmtId="0" fontId="15" fillId="8" borderId="0" xfId="6" applyFont="1" applyFill="1" applyAlignment="1">
      <alignment horizontal="left"/>
    </xf>
    <xf numFmtId="0" fontId="16" fillId="8" borderId="0" xfId="6" applyFont="1" applyFill="1" applyAlignment="1">
      <alignment horizontal="center"/>
    </xf>
    <xf numFmtId="0" fontId="17" fillId="8" borderId="0" xfId="6" applyFont="1" applyFill="1" applyAlignment="1">
      <alignment horizontal="right"/>
    </xf>
    <xf numFmtId="0" fontId="17" fillId="8" borderId="0" xfId="6" applyFont="1" applyFill="1" applyAlignment="1">
      <alignment horizontal="left"/>
    </xf>
    <xf numFmtId="168" fontId="17" fillId="8" borderId="0" xfId="6" applyNumberFormat="1" applyFont="1" applyFill="1" applyAlignment="1">
      <alignment horizontal="left"/>
    </xf>
    <xf numFmtId="0" fontId="0" fillId="9" borderId="0" xfId="0" applyFill="1"/>
    <xf numFmtId="0" fontId="18" fillId="8" borderId="0" xfId="6" applyFont="1" applyFill="1"/>
    <xf numFmtId="0" fontId="4" fillId="10" borderId="0" xfId="6" applyFont="1" applyFill="1" applyAlignment="1">
      <alignment horizontal="center"/>
    </xf>
    <xf numFmtId="0" fontId="20" fillId="10" borderId="0" xfId="6" applyFont="1" applyFill="1" applyAlignment="1">
      <alignment horizontal="center"/>
    </xf>
    <xf numFmtId="169" fontId="0" fillId="9" borderId="0" xfId="0" applyNumberFormat="1" applyFill="1"/>
    <xf numFmtId="0" fontId="19" fillId="0" borderId="6" xfId="0" applyFont="1" applyBorder="1" applyAlignment="1">
      <alignment horizontal="center" vertical="center" wrapText="1"/>
    </xf>
    <xf numFmtId="0" fontId="21" fillId="0" borderId="7" xfId="0" applyFont="1" applyBorder="1" applyAlignment="1">
      <alignment horizontal="left" vertical="center"/>
    </xf>
    <xf numFmtId="170" fontId="0" fillId="0" borderId="6" xfId="0" applyNumberFormat="1" applyBorder="1"/>
    <xf numFmtId="0" fontId="19" fillId="10" borderId="0" xfId="6" applyFont="1" applyFill="1"/>
    <xf numFmtId="0" fontId="21" fillId="0" borderId="8" xfId="0" applyFont="1" applyBorder="1" applyAlignment="1">
      <alignment horizontal="left" vertical="center"/>
    </xf>
    <xf numFmtId="4" fontId="2" fillId="0" borderId="8" xfId="0" applyNumberFormat="1" applyFont="1" applyBorder="1"/>
    <xf numFmtId="165" fontId="0" fillId="9" borderId="6" xfId="0" applyNumberFormat="1" applyFill="1" applyBorder="1" applyAlignment="1">
      <alignment horizontal="right"/>
    </xf>
    <xf numFmtId="165" fontId="0" fillId="0" borderId="6" xfId="0" applyNumberFormat="1" applyBorder="1" applyAlignment="1">
      <alignment horizontal="right"/>
    </xf>
    <xf numFmtId="2" fontId="0" fillId="9" borderId="0" xfId="0" applyNumberFormat="1" applyFill="1"/>
    <xf numFmtId="165" fontId="2" fillId="6" borderId="6" xfId="0" applyNumberFormat="1" applyFont="1" applyFill="1" applyBorder="1" applyAlignment="1">
      <alignment horizontal="right"/>
    </xf>
    <xf numFmtId="165" fontId="2" fillId="0" borderId="7" xfId="0" applyNumberFormat="1" applyFont="1" applyBorder="1" applyAlignment="1">
      <alignment horizontal="right"/>
    </xf>
    <xf numFmtId="165" fontId="0" fillId="9" borderId="0" xfId="0" applyNumberFormat="1" applyFill="1"/>
    <xf numFmtId="165" fontId="2" fillId="9" borderId="6" xfId="0" applyNumberFormat="1" applyFont="1" applyFill="1" applyBorder="1" applyAlignment="1">
      <alignment horizontal="right"/>
    </xf>
    <xf numFmtId="2" fontId="0" fillId="9" borderId="6" xfId="0" applyNumberFormat="1" applyFill="1" applyBorder="1" applyAlignment="1">
      <alignment horizontal="right"/>
    </xf>
    <xf numFmtId="171" fontId="0" fillId="9" borderId="6" xfId="0" applyNumberFormat="1" applyFill="1" applyBorder="1" applyAlignment="1">
      <alignment horizontal="right"/>
    </xf>
    <xf numFmtId="165" fontId="23" fillId="9" borderId="6" xfId="0" applyNumberFormat="1" applyFont="1" applyFill="1" applyBorder="1" applyAlignment="1">
      <alignment horizontal="right"/>
    </xf>
    <xf numFmtId="165" fontId="0" fillId="6" borderId="6" xfId="0" applyNumberFormat="1" applyFill="1" applyBorder="1" applyAlignment="1">
      <alignment horizontal="right"/>
    </xf>
    <xf numFmtId="165" fontId="0" fillId="0" borderId="7" xfId="0" applyNumberFormat="1" applyBorder="1" applyAlignment="1">
      <alignment horizontal="right"/>
    </xf>
    <xf numFmtId="2" fontId="0" fillId="0" borderId="6" xfId="0" applyNumberFormat="1" applyBorder="1" applyAlignment="1">
      <alignment horizontal="right"/>
    </xf>
    <xf numFmtId="172" fontId="0" fillId="0" borderId="6" xfId="0" applyNumberFormat="1" applyBorder="1" applyAlignment="1">
      <alignment horizontal="right"/>
    </xf>
    <xf numFmtId="0" fontId="2" fillId="12" borderId="1" xfId="3" applyFont="1" applyFill="1" applyBorder="1"/>
    <xf numFmtId="0" fontId="2" fillId="12" borderId="3" xfId="3" applyFont="1" applyFill="1" applyBorder="1"/>
    <xf numFmtId="0" fontId="2" fillId="12" borderId="2" xfId="3" applyFont="1" applyFill="1" applyBorder="1"/>
    <xf numFmtId="165" fontId="6" fillId="0" borderId="1" xfId="3" applyNumberFormat="1" applyFont="1" applyBorder="1"/>
    <xf numFmtId="166" fontId="9" fillId="0" borderId="0" xfId="4" applyNumberFormat="1" applyFont="1" applyBorder="1"/>
    <xf numFmtId="165" fontId="5" fillId="4" borderId="3" xfId="3" applyNumberFormat="1" applyFont="1" applyFill="1" applyBorder="1" applyAlignment="1">
      <alignment horizontal="center" vertical="center"/>
    </xf>
    <xf numFmtId="165" fontId="5" fillId="4" borderId="5" xfId="3" applyNumberFormat="1" applyFont="1" applyFill="1" applyBorder="1" applyAlignment="1">
      <alignment horizontal="center" vertical="center"/>
    </xf>
    <xf numFmtId="165" fontId="4" fillId="7" borderId="1" xfId="0" applyNumberFormat="1" applyFont="1" applyFill="1" applyBorder="1"/>
    <xf numFmtId="165" fontId="4" fillId="7" borderId="3" xfId="0" applyNumberFormat="1" applyFont="1" applyFill="1" applyBorder="1"/>
    <xf numFmtId="165" fontId="5" fillId="5" borderId="3" xfId="3" applyNumberFormat="1" applyFont="1" applyFill="1" applyBorder="1" applyAlignment="1">
      <alignment horizontal="center" vertical="center"/>
    </xf>
    <xf numFmtId="165" fontId="5" fillId="6" borderId="3" xfId="3" applyNumberFormat="1" applyFont="1" applyFill="1" applyBorder="1" applyAlignment="1">
      <alignment horizontal="center" vertical="center"/>
    </xf>
    <xf numFmtId="165" fontId="4" fillId="6" borderId="3" xfId="3" applyNumberFormat="1" applyFont="1" applyFill="1" applyBorder="1" applyAlignment="1">
      <alignment horizontal="center" vertical="center"/>
    </xf>
    <xf numFmtId="165" fontId="5" fillId="6" borderId="5" xfId="3" applyNumberFormat="1" applyFont="1" applyFill="1" applyBorder="1" applyAlignment="1">
      <alignment horizontal="center" vertical="center"/>
    </xf>
    <xf numFmtId="165" fontId="4" fillId="6" borderId="5" xfId="3" applyNumberFormat="1" applyFont="1" applyFill="1" applyBorder="1" applyAlignment="1">
      <alignment horizontal="center" vertical="center"/>
    </xf>
    <xf numFmtId="165" fontId="5" fillId="7" borderId="0" xfId="3" applyNumberFormat="1" applyFont="1" applyFill="1" applyAlignment="1">
      <alignment horizontal="center" vertical="center"/>
    </xf>
    <xf numFmtId="165" fontId="4" fillId="7" borderId="2" xfId="0" applyNumberFormat="1" applyFont="1" applyFill="1" applyBorder="1"/>
    <xf numFmtId="165" fontId="4" fillId="7" borderId="0" xfId="0" applyNumberFormat="1" applyFont="1" applyFill="1"/>
    <xf numFmtId="165" fontId="4" fillId="7" borderId="1" xfId="3" applyNumberFormat="1" applyFont="1" applyFill="1" applyBorder="1"/>
    <xf numFmtId="168" fontId="17" fillId="8" borderId="0" xfId="6" applyNumberFormat="1" applyFont="1" applyFill="1" applyAlignment="1">
      <alignment horizontal="center"/>
    </xf>
    <xf numFmtId="0" fontId="4" fillId="9" borderId="0" xfId="6" applyFont="1" applyFill="1"/>
    <xf numFmtId="0" fontId="25" fillId="9" borderId="0" xfId="6" applyFont="1" applyFill="1" applyAlignment="1">
      <alignment horizontal="center"/>
    </xf>
    <xf numFmtId="0" fontId="20" fillId="9" borderId="0" xfId="6" applyFont="1" applyFill="1" applyAlignment="1">
      <alignment horizontal="center"/>
    </xf>
    <xf numFmtId="0" fontId="4" fillId="9" borderId="0" xfId="6" applyFont="1" applyFill="1" applyAlignment="1">
      <alignment horizontal="center"/>
    </xf>
    <xf numFmtId="0" fontId="26" fillId="9" borderId="0" xfId="6" applyFont="1" applyFill="1"/>
    <xf numFmtId="0" fontId="27" fillId="9" borderId="0" xfId="6" applyFont="1" applyFill="1" applyAlignment="1">
      <alignment horizontal="center"/>
    </xf>
    <xf numFmtId="0" fontId="26" fillId="9" borderId="0" xfId="0" applyFont="1" applyFill="1"/>
    <xf numFmtId="168" fontId="27" fillId="9" borderId="0" xfId="6" applyNumberFormat="1" applyFont="1" applyFill="1" applyAlignment="1">
      <alignment horizontal="center"/>
    </xf>
    <xf numFmtId="0" fontId="4" fillId="8" borderId="0" xfId="6" applyFont="1" applyFill="1" applyAlignment="1">
      <alignment horizontal="center"/>
    </xf>
    <xf numFmtId="0" fontId="4" fillId="9" borderId="11" xfId="6" applyFont="1" applyFill="1" applyBorder="1"/>
    <xf numFmtId="0" fontId="5" fillId="9" borderId="12" xfId="6" applyFont="1" applyFill="1" applyBorder="1" applyAlignment="1">
      <alignment horizontal="center"/>
    </xf>
    <xf numFmtId="0" fontId="4" fillId="9" borderId="15" xfId="6" applyFont="1" applyFill="1" applyBorder="1"/>
    <xf numFmtId="165" fontId="4" fillId="9" borderId="0" xfId="6" applyNumberFormat="1" applyFont="1" applyFill="1" applyAlignment="1">
      <alignment horizontal="center"/>
    </xf>
    <xf numFmtId="165" fontId="4" fillId="9" borderId="0" xfId="6" applyNumberFormat="1" applyFont="1" applyFill="1"/>
    <xf numFmtId="0" fontId="4" fillId="9" borderId="21" xfId="6" applyFont="1" applyFill="1" applyBorder="1"/>
    <xf numFmtId="165" fontId="28" fillId="9" borderId="22" xfId="6" applyNumberFormat="1" applyFont="1" applyFill="1" applyBorder="1" applyAlignment="1">
      <alignment horizontal="center"/>
    </xf>
    <xf numFmtId="14" fontId="4" fillId="9" borderId="0" xfId="6" applyNumberFormat="1" applyFont="1" applyFill="1"/>
    <xf numFmtId="2" fontId="20" fillId="9" borderId="0" xfId="6" applyNumberFormat="1" applyFont="1" applyFill="1" applyAlignment="1">
      <alignment horizontal="center"/>
    </xf>
    <xf numFmtId="0" fontId="29" fillId="9" borderId="13" xfId="6" applyFont="1" applyFill="1" applyBorder="1" applyAlignment="1">
      <alignment horizontal="center"/>
    </xf>
    <xf numFmtId="0" fontId="29" fillId="9" borderId="12" xfId="6" applyFont="1" applyFill="1" applyBorder="1" applyAlignment="1">
      <alignment horizontal="center"/>
    </xf>
    <xf numFmtId="0" fontId="29" fillId="9" borderId="14" xfId="6" applyFont="1" applyFill="1" applyBorder="1" applyAlignment="1">
      <alignment horizontal="center"/>
    </xf>
    <xf numFmtId="165" fontId="28" fillId="9" borderId="16" xfId="6" applyNumberFormat="1" applyFont="1" applyFill="1" applyBorder="1" applyAlignment="1">
      <alignment horizontal="center"/>
    </xf>
    <xf numFmtId="165" fontId="28" fillId="9" borderId="17" xfId="6" applyNumberFormat="1" applyFont="1" applyFill="1" applyBorder="1" applyAlignment="1">
      <alignment horizontal="center"/>
    </xf>
    <xf numFmtId="172" fontId="4" fillId="9" borderId="0" xfId="6" applyNumberFormat="1" applyFont="1" applyFill="1"/>
    <xf numFmtId="2" fontId="4" fillId="9" borderId="0" xfId="6" applyNumberFormat="1" applyFont="1" applyFill="1"/>
    <xf numFmtId="165" fontId="28" fillId="9" borderId="19" xfId="6" applyNumberFormat="1" applyFont="1" applyFill="1" applyBorder="1" applyAlignment="1">
      <alignment horizontal="center"/>
    </xf>
    <xf numFmtId="165" fontId="28" fillId="9" borderId="0" xfId="6" applyNumberFormat="1" applyFont="1" applyFill="1" applyAlignment="1">
      <alignment horizontal="center"/>
    </xf>
    <xf numFmtId="165" fontId="28" fillId="9" borderId="20" xfId="6" applyNumberFormat="1" applyFont="1" applyFill="1" applyBorder="1" applyAlignment="1">
      <alignment horizontal="center"/>
    </xf>
    <xf numFmtId="167" fontId="29" fillId="9" borderId="19" xfId="7" applyNumberFormat="1" applyFont="1" applyFill="1" applyBorder="1" applyAlignment="1">
      <alignment horizontal="center"/>
    </xf>
    <xf numFmtId="167" fontId="29" fillId="9" borderId="0" xfId="7" applyNumberFormat="1" applyFont="1" applyFill="1" applyBorder="1" applyAlignment="1">
      <alignment horizontal="center"/>
    </xf>
    <xf numFmtId="167" fontId="29" fillId="9" borderId="20" xfId="7" applyNumberFormat="1" applyFont="1" applyFill="1" applyBorder="1" applyAlignment="1">
      <alignment horizontal="center"/>
    </xf>
    <xf numFmtId="165" fontId="4" fillId="9" borderId="23" xfId="6" applyNumberFormat="1" applyFont="1" applyFill="1" applyBorder="1" applyAlignment="1">
      <alignment horizontal="center"/>
    </xf>
    <xf numFmtId="173" fontId="4" fillId="9" borderId="15" xfId="8" applyFont="1" applyFill="1" applyBorder="1"/>
    <xf numFmtId="165" fontId="30" fillId="9" borderId="0" xfId="6" applyNumberFormat="1" applyFont="1" applyFill="1" applyAlignment="1">
      <alignment horizontal="center"/>
    </xf>
    <xf numFmtId="167" fontId="4" fillId="9" borderId="0" xfId="2" applyNumberFormat="1" applyFont="1" applyFill="1"/>
    <xf numFmtId="173" fontId="29" fillId="9" borderId="15" xfId="8" applyFont="1" applyFill="1" applyBorder="1"/>
    <xf numFmtId="165" fontId="4" fillId="9" borderId="22" xfId="6" applyNumberFormat="1" applyFont="1" applyFill="1" applyBorder="1" applyAlignment="1">
      <alignment horizontal="center"/>
    </xf>
    <xf numFmtId="14" fontId="4" fillId="9" borderId="11" xfId="9" applyNumberFormat="1" applyFont="1" applyFill="1" applyBorder="1"/>
    <xf numFmtId="165" fontId="31" fillId="9" borderId="12" xfId="9" applyNumberFormat="1" applyFont="1" applyFill="1" applyBorder="1" applyAlignment="1">
      <alignment horizontal="center"/>
    </xf>
    <xf numFmtId="14" fontId="4" fillId="9" borderId="0" xfId="9" applyNumberFormat="1" applyFont="1" applyFill="1"/>
    <xf numFmtId="165" fontId="31" fillId="9" borderId="0" xfId="9" applyNumberFormat="1" applyFont="1" applyFill="1" applyAlignment="1">
      <alignment horizontal="center"/>
    </xf>
    <xf numFmtId="1" fontId="20" fillId="9" borderId="0" xfId="6" applyNumberFormat="1" applyFont="1" applyFill="1" applyAlignment="1">
      <alignment horizontal="center"/>
    </xf>
    <xf numFmtId="0" fontId="4" fillId="9" borderId="11" xfId="6" applyFont="1" applyFill="1" applyBorder="1" applyAlignment="1">
      <alignment horizontal="left"/>
    </xf>
    <xf numFmtId="172" fontId="28" fillId="9" borderId="22" xfId="6" applyNumberFormat="1" applyFont="1" applyFill="1" applyBorder="1" applyAlignment="1">
      <alignment horizontal="center"/>
    </xf>
    <xf numFmtId="0" fontId="32" fillId="9" borderId="0" xfId="6" applyFont="1" applyFill="1"/>
    <xf numFmtId="0" fontId="33" fillId="8" borderId="0" xfId="6" applyFont="1" applyFill="1" applyAlignment="1">
      <alignment horizontal="center"/>
    </xf>
    <xf numFmtId="0" fontId="5" fillId="9" borderId="21" xfId="6" applyFont="1" applyFill="1" applyBorder="1"/>
    <xf numFmtId="2" fontId="4" fillId="9" borderId="0" xfId="6" applyNumberFormat="1" applyFont="1" applyFill="1" applyAlignment="1">
      <alignment horizontal="center"/>
    </xf>
    <xf numFmtId="165" fontId="4" fillId="9" borderId="20" xfId="6" applyNumberFormat="1" applyFont="1" applyFill="1" applyBorder="1" applyAlignment="1">
      <alignment horizontal="center"/>
    </xf>
    <xf numFmtId="0" fontId="4" fillId="9" borderId="11" xfId="0" applyFont="1" applyFill="1" applyBorder="1"/>
    <xf numFmtId="2" fontId="5" fillId="9" borderId="22" xfId="6" applyNumberFormat="1" applyFont="1" applyFill="1" applyBorder="1" applyAlignment="1">
      <alignment horizontal="center"/>
    </xf>
    <xf numFmtId="9" fontId="4" fillId="9" borderId="0" xfId="2" applyFont="1" applyFill="1"/>
    <xf numFmtId="165" fontId="0" fillId="9" borderId="0" xfId="0" applyNumberFormat="1" applyFill="1" applyAlignment="1">
      <alignment horizontal="center"/>
    </xf>
    <xf numFmtId="2" fontId="28" fillId="9" borderId="0" xfId="8" applyNumberFormat="1" applyFont="1" applyFill="1" applyBorder="1" applyAlignment="1">
      <alignment horizontal="center"/>
    </xf>
    <xf numFmtId="2" fontId="28" fillId="9" borderId="0" xfId="6" applyNumberFormat="1" applyFont="1" applyFill="1" applyAlignment="1">
      <alignment horizontal="center"/>
    </xf>
    <xf numFmtId="172" fontId="4" fillId="9" borderId="0" xfId="6" applyNumberFormat="1" applyFont="1" applyFill="1" applyAlignment="1">
      <alignment horizontal="center"/>
    </xf>
    <xf numFmtId="165" fontId="4" fillId="10" borderId="0" xfId="6" applyNumberFormat="1" applyFont="1" applyFill="1" applyAlignment="1">
      <alignment horizontal="center"/>
    </xf>
    <xf numFmtId="0" fontId="4" fillId="9" borderId="19" xfId="6" applyFont="1" applyFill="1" applyBorder="1"/>
    <xf numFmtId="0" fontId="5" fillId="9" borderId="15" xfId="6" applyFont="1" applyFill="1" applyBorder="1"/>
    <xf numFmtId="170" fontId="4" fillId="9" borderId="0" xfId="6" applyNumberFormat="1" applyFont="1" applyFill="1" applyAlignment="1">
      <alignment horizontal="center"/>
    </xf>
    <xf numFmtId="1" fontId="28" fillId="9" borderId="0" xfId="6" applyNumberFormat="1" applyFont="1" applyFill="1" applyAlignment="1">
      <alignment horizontal="center"/>
    </xf>
    <xf numFmtId="10" fontId="4" fillId="9" borderId="0" xfId="2" applyNumberFormat="1" applyFont="1" applyFill="1"/>
    <xf numFmtId="1" fontId="4" fillId="9" borderId="22" xfId="6" applyNumberFormat="1" applyFont="1" applyFill="1" applyBorder="1" applyAlignment="1">
      <alignment horizontal="center"/>
    </xf>
    <xf numFmtId="3" fontId="4" fillId="9" borderId="0" xfId="6" applyNumberFormat="1" applyFont="1" applyFill="1" applyAlignment="1">
      <alignment horizontal="center"/>
    </xf>
    <xf numFmtId="9" fontId="4" fillId="9" borderId="0" xfId="2" applyFont="1" applyFill="1" applyAlignment="1">
      <alignment horizontal="center"/>
    </xf>
    <xf numFmtId="3" fontId="4" fillId="10" borderId="0" xfId="6" applyNumberFormat="1" applyFont="1" applyFill="1" applyAlignment="1">
      <alignment horizontal="center"/>
    </xf>
    <xf numFmtId="14" fontId="4" fillId="9" borderId="0" xfId="6" applyNumberFormat="1" applyFont="1" applyFill="1" applyAlignment="1">
      <alignment horizontal="center"/>
    </xf>
    <xf numFmtId="0" fontId="19" fillId="10" borderId="0" xfId="6" applyFont="1" applyFill="1" applyAlignment="1">
      <alignment horizontal="center"/>
    </xf>
    <xf numFmtId="172" fontId="28" fillId="9" borderId="23" xfId="6" applyNumberFormat="1" applyFont="1" applyFill="1" applyBorder="1" applyAlignment="1">
      <alignment horizontal="center"/>
    </xf>
    <xf numFmtId="0" fontId="34" fillId="9" borderId="0" xfId="0" applyFont="1" applyFill="1"/>
    <xf numFmtId="167" fontId="4" fillId="9" borderId="0" xfId="6" applyNumberFormat="1" applyFont="1" applyFill="1"/>
    <xf numFmtId="0" fontId="5" fillId="9" borderId="17" xfId="6" applyFont="1" applyFill="1" applyBorder="1"/>
    <xf numFmtId="49" fontId="20" fillId="9" borderId="0" xfId="6" applyNumberFormat="1" applyFont="1" applyFill="1" applyAlignment="1">
      <alignment horizontal="center"/>
    </xf>
    <xf numFmtId="0" fontId="5" fillId="9" borderId="0" xfId="6" applyFont="1" applyFill="1"/>
    <xf numFmtId="0" fontId="4" fillId="9" borderId="15" xfId="6" applyFont="1" applyFill="1" applyBorder="1" applyAlignment="1">
      <alignment horizontal="left"/>
    </xf>
    <xf numFmtId="0" fontId="4" fillId="9" borderId="21" xfId="6" applyFont="1" applyFill="1" applyBorder="1" applyAlignment="1">
      <alignment horizontal="left"/>
    </xf>
    <xf numFmtId="172" fontId="28" fillId="9" borderId="0" xfId="6" applyNumberFormat="1" applyFont="1" applyFill="1" applyAlignment="1">
      <alignment horizontal="center"/>
    </xf>
    <xf numFmtId="1" fontId="4" fillId="9" borderId="0" xfId="6" applyNumberFormat="1" applyFont="1" applyFill="1"/>
    <xf numFmtId="172" fontId="6" fillId="0" borderId="1" xfId="3" applyNumberFormat="1" applyFont="1" applyBorder="1"/>
    <xf numFmtId="0" fontId="2" fillId="0" borderId="6" xfId="0" applyFont="1" applyBorder="1" applyAlignment="1">
      <alignment horizontal="center" vertical="center" wrapText="1"/>
    </xf>
    <xf numFmtId="0" fontId="0" fillId="0" borderId="6" xfId="0" applyBorder="1" applyAlignment="1">
      <alignment horizontal="left" vertical="center"/>
    </xf>
    <xf numFmtId="0" fontId="21" fillId="6" borderId="6" xfId="0" applyFont="1" applyFill="1" applyBorder="1" applyAlignment="1">
      <alignment horizontal="left" vertical="center"/>
    </xf>
    <xf numFmtId="4" fontId="0" fillId="0" borderId="6" xfId="0" applyNumberFormat="1" applyBorder="1"/>
    <xf numFmtId="0" fontId="22" fillId="0" borderId="6" xfId="0" applyFont="1" applyBorder="1" applyAlignment="1">
      <alignment horizontal="left" vertical="center"/>
    </xf>
    <xf numFmtId="0" fontId="1" fillId="10" borderId="0" xfId="0" applyFont="1" applyFill="1"/>
    <xf numFmtId="0" fontId="35" fillId="10" borderId="0" xfId="0" applyFont="1" applyFill="1"/>
    <xf numFmtId="0" fontId="2" fillId="0" borderId="0" xfId="0" applyFont="1" applyAlignment="1">
      <alignment horizontal="center" vertical="center" wrapText="1"/>
    </xf>
    <xf numFmtId="0" fontId="2" fillId="0" borderId="0" xfId="0" applyFont="1"/>
    <xf numFmtId="4" fontId="0" fillId="11" borderId="6" xfId="0" applyNumberFormat="1" applyFill="1" applyBorder="1"/>
    <xf numFmtId="4" fontId="2" fillId="6" borderId="6" xfId="0" applyNumberFormat="1" applyFont="1" applyFill="1" applyBorder="1"/>
    <xf numFmtId="175" fontId="0" fillId="0" borderId="6" xfId="0" applyNumberFormat="1" applyBorder="1"/>
    <xf numFmtId="0" fontId="4" fillId="6" borderId="0" xfId="3" applyFont="1" applyFill="1" applyAlignment="1">
      <alignment horizontal="center" vertical="center" wrapText="1"/>
    </xf>
    <xf numFmtId="0" fontId="7" fillId="0" borderId="0" xfId="0" applyFont="1"/>
    <xf numFmtId="172" fontId="0" fillId="9" borderId="6" xfId="0" applyNumberFormat="1" applyFill="1" applyBorder="1" applyAlignment="1">
      <alignment horizontal="right"/>
    </xf>
    <xf numFmtId="165" fontId="24" fillId="0" borderId="0" xfId="0" applyNumberFormat="1" applyFont="1"/>
    <xf numFmtId="165" fontId="4" fillId="0" borderId="1" xfId="0" applyNumberFormat="1" applyFont="1" applyBorder="1"/>
    <xf numFmtId="165" fontId="5" fillId="7" borderId="3" xfId="3" applyNumberFormat="1" applyFont="1" applyFill="1" applyBorder="1" applyAlignment="1">
      <alignment horizontal="center" vertical="center"/>
    </xf>
    <xf numFmtId="165" fontId="5" fillId="7" borderId="5" xfId="3" applyNumberFormat="1" applyFont="1" applyFill="1" applyBorder="1" applyAlignment="1">
      <alignment horizontal="center" vertical="center"/>
    </xf>
    <xf numFmtId="0" fontId="38" fillId="0" borderId="0" xfId="0" applyFont="1"/>
    <xf numFmtId="0" fontId="38" fillId="0" borderId="28" xfId="0" applyFont="1" applyBorder="1" applyAlignment="1">
      <alignment horizontal="center" vertical="center"/>
    </xf>
    <xf numFmtId="0" fontId="38" fillId="0" borderId="29" xfId="0" applyFont="1" applyBorder="1" applyAlignment="1">
      <alignment horizontal="center" vertical="center"/>
    </xf>
    <xf numFmtId="165" fontId="2" fillId="13" borderId="30" xfId="0" applyNumberFormat="1" applyFont="1" applyFill="1" applyBorder="1"/>
    <xf numFmtId="1" fontId="2" fillId="13" borderId="6" xfId="0" applyNumberFormat="1" applyFont="1" applyFill="1" applyBorder="1"/>
    <xf numFmtId="165" fontId="2" fillId="13" borderId="6" xfId="0" applyNumberFormat="1" applyFont="1" applyFill="1" applyBorder="1"/>
    <xf numFmtId="165" fontId="4" fillId="13" borderId="30" xfId="0" applyNumberFormat="1" applyFont="1" applyFill="1" applyBorder="1"/>
    <xf numFmtId="1" fontId="4" fillId="13" borderId="6" xfId="0" applyNumberFormat="1" applyFont="1" applyFill="1" applyBorder="1"/>
    <xf numFmtId="165" fontId="4" fillId="13" borderId="6" xfId="0" applyNumberFormat="1" applyFont="1" applyFill="1" applyBorder="1"/>
    <xf numFmtId="0" fontId="38" fillId="0" borderId="6" xfId="0" applyFont="1" applyBorder="1"/>
    <xf numFmtId="165" fontId="4" fillId="0" borderId="30" xfId="0" applyNumberFormat="1" applyFont="1" applyBorder="1"/>
    <xf numFmtId="1" fontId="4" fillId="0" borderId="6" xfId="0" applyNumberFormat="1" applyFont="1" applyBorder="1"/>
    <xf numFmtId="165" fontId="4" fillId="0" borderId="6" xfId="0" applyNumberFormat="1" applyFont="1" applyBorder="1"/>
    <xf numFmtId="165" fontId="38" fillId="0" borderId="0" xfId="0" applyNumberFormat="1" applyFont="1"/>
    <xf numFmtId="0" fontId="0" fillId="0" borderId="6" xfId="0" applyBorder="1"/>
    <xf numFmtId="2" fontId="38" fillId="0" borderId="6" xfId="0" applyNumberFormat="1" applyFont="1" applyBorder="1"/>
    <xf numFmtId="165" fontId="29" fillId="0" borderId="0" xfId="0" applyNumberFormat="1" applyFont="1" applyAlignment="1">
      <alignment horizontal="right"/>
    </xf>
    <xf numFmtId="1" fontId="20" fillId="0" borderId="1" xfId="0" applyNumberFormat="1" applyFont="1" applyBorder="1"/>
    <xf numFmtId="0" fontId="29" fillId="0" borderId="0" xfId="0" applyFont="1" applyAlignment="1">
      <alignment horizontal="right"/>
    </xf>
    <xf numFmtId="1" fontId="31" fillId="0" borderId="1" xfId="0" applyNumberFormat="1" applyFont="1" applyBorder="1"/>
    <xf numFmtId="0" fontId="3" fillId="0" borderId="6" xfId="0" applyFont="1" applyBorder="1"/>
    <xf numFmtId="2" fontId="38" fillId="0" borderId="0" xfId="0" applyNumberFormat="1" applyFont="1"/>
    <xf numFmtId="2" fontId="39" fillId="0" borderId="0" xfId="0" applyNumberFormat="1" applyFont="1"/>
    <xf numFmtId="165" fontId="39" fillId="0" borderId="0" xfId="0" applyNumberFormat="1" applyFont="1"/>
    <xf numFmtId="176" fontId="38" fillId="0" borderId="0" xfId="0" applyNumberFormat="1" applyFont="1"/>
    <xf numFmtId="165" fontId="2" fillId="13" borderId="6" xfId="0" applyNumberFormat="1" applyFont="1" applyFill="1" applyBorder="1" applyAlignment="1">
      <alignment wrapText="1" shrinkToFit="1"/>
    </xf>
    <xf numFmtId="167" fontId="4" fillId="0" borderId="6" xfId="5" applyNumberFormat="1" applyFont="1" applyBorder="1"/>
    <xf numFmtId="1" fontId="4" fillId="0" borderId="6" xfId="0" quotePrefix="1" applyNumberFormat="1" applyFont="1" applyBorder="1"/>
    <xf numFmtId="1" fontId="39" fillId="0" borderId="0" xfId="0" applyNumberFormat="1" applyFont="1"/>
    <xf numFmtId="1" fontId="38" fillId="0" borderId="0" xfId="0" applyNumberFormat="1" applyFont="1"/>
    <xf numFmtId="0" fontId="41" fillId="14" borderId="0" xfId="11" applyNumberFormat="1" applyFont="1" applyFill="1" applyAlignment="1">
      <alignment horizontal="left"/>
    </xf>
    <xf numFmtId="0" fontId="42" fillId="14" borderId="0" xfId="11" applyNumberFormat="1" applyFont="1" applyFill="1" applyAlignment="1">
      <alignment horizontal="center"/>
    </xf>
    <xf numFmtId="0" fontId="43" fillId="14" borderId="0" xfId="11" applyNumberFormat="1" applyFont="1" applyFill="1" applyAlignment="1">
      <alignment horizontal="right"/>
    </xf>
    <xf numFmtId="0" fontId="43" fillId="14" borderId="0" xfId="11" applyNumberFormat="1" applyFont="1" applyFill="1" applyAlignment="1">
      <alignment horizontal="left"/>
    </xf>
    <xf numFmtId="168" fontId="43" fillId="14" borderId="0" xfId="11" applyNumberFormat="1" applyFont="1" applyFill="1" applyAlignment="1">
      <alignment horizontal="center"/>
    </xf>
    <xf numFmtId="0" fontId="44" fillId="15" borderId="0" xfId="11" applyNumberFormat="1" applyFont="1" applyFill="1" applyAlignment="1">
      <alignment horizontal="center"/>
    </xf>
    <xf numFmtId="0" fontId="45" fillId="15" borderId="0" xfId="11" applyNumberFormat="1" applyFont="1" applyFill="1"/>
    <xf numFmtId="0" fontId="46" fillId="15" borderId="0" xfId="11" applyNumberFormat="1" applyFont="1" applyFill="1" applyAlignment="1">
      <alignment horizontal="center"/>
    </xf>
    <xf numFmtId="0" fontId="47" fillId="15" borderId="0" xfId="11" applyNumberFormat="1" applyFont="1" applyFill="1"/>
    <xf numFmtId="0" fontId="45" fillId="15" borderId="0" xfId="0" applyFont="1" applyFill="1"/>
    <xf numFmtId="168" fontId="46" fillId="15" borderId="0" xfId="11" applyNumberFormat="1" applyFont="1" applyFill="1" applyAlignment="1">
      <alignment horizontal="center"/>
    </xf>
    <xf numFmtId="0" fontId="48" fillId="14" borderId="0" xfId="11" applyNumberFormat="1" applyFont="1" applyFill="1"/>
    <xf numFmtId="0" fontId="47" fillId="14" borderId="0" xfId="11" applyNumberFormat="1" applyFont="1" applyFill="1" applyAlignment="1">
      <alignment horizontal="center"/>
    </xf>
    <xf numFmtId="0" fontId="47" fillId="15" borderId="0" xfId="11" applyNumberFormat="1" applyFont="1" applyFill="1" applyAlignment="1">
      <alignment horizontal="center"/>
    </xf>
    <xf numFmtId="0" fontId="49" fillId="16" borderId="0" xfId="11" applyNumberFormat="1" applyFont="1" applyFill="1"/>
    <xf numFmtId="0" fontId="50" fillId="16" borderId="0" xfId="11" applyNumberFormat="1" applyFont="1" applyFill="1" applyAlignment="1">
      <alignment horizontal="center"/>
    </xf>
    <xf numFmtId="0" fontId="47" fillId="16" borderId="0" xfId="11" applyNumberFormat="1" applyFont="1" applyFill="1" applyAlignment="1">
      <alignment horizontal="center"/>
    </xf>
    <xf numFmtId="0" fontId="47" fillId="15" borderId="11" xfId="11" applyNumberFormat="1" applyFont="1" applyFill="1" applyBorder="1"/>
    <xf numFmtId="0" fontId="51" fillId="15" borderId="12" xfId="11" applyNumberFormat="1" applyFont="1" applyFill="1" applyBorder="1" applyAlignment="1">
      <alignment horizontal="center"/>
    </xf>
    <xf numFmtId="0" fontId="51" fillId="15" borderId="13" xfId="11" applyNumberFormat="1" applyFont="1" applyFill="1" applyBorder="1" applyAlignment="1">
      <alignment horizontal="center"/>
    </xf>
    <xf numFmtId="0" fontId="51" fillId="15" borderId="14" xfId="11" applyNumberFormat="1" applyFont="1" applyFill="1" applyBorder="1" applyAlignment="1">
      <alignment horizontal="center"/>
    </xf>
    <xf numFmtId="0" fontId="47" fillId="15" borderId="15" xfId="11" applyNumberFormat="1" applyFont="1" applyFill="1" applyBorder="1"/>
    <xf numFmtId="165" fontId="47" fillId="15" borderId="0" xfId="11" applyNumberFormat="1" applyFont="1" applyFill="1" applyBorder="1" applyAlignment="1">
      <alignment horizontal="center"/>
    </xf>
    <xf numFmtId="167" fontId="47" fillId="15" borderId="16" xfId="11" applyNumberFormat="1" applyFont="1" applyFill="1" applyBorder="1" applyAlignment="1" applyProtection="1">
      <alignment horizontal="center"/>
    </xf>
    <xf numFmtId="167" fontId="47" fillId="15" borderId="17" xfId="11" applyNumberFormat="1" applyFont="1" applyFill="1" applyBorder="1" applyAlignment="1" applyProtection="1">
      <alignment horizontal="center"/>
    </xf>
    <xf numFmtId="167" fontId="47" fillId="15" borderId="18" xfId="11" applyNumberFormat="1" applyFont="1" applyFill="1" applyBorder="1" applyAlignment="1" applyProtection="1">
      <alignment horizontal="center"/>
    </xf>
    <xf numFmtId="167" fontId="47" fillId="15" borderId="19" xfId="11" applyNumberFormat="1" applyFont="1" applyFill="1" applyBorder="1" applyAlignment="1" applyProtection="1">
      <alignment horizontal="center"/>
    </xf>
    <xf numFmtId="167" fontId="47" fillId="15" borderId="0" xfId="11" applyNumberFormat="1" applyFont="1" applyFill="1" applyBorder="1" applyAlignment="1" applyProtection="1">
      <alignment horizontal="center"/>
    </xf>
    <xf numFmtId="167" fontId="47" fillId="15" borderId="20" xfId="11" applyNumberFormat="1" applyFont="1" applyFill="1" applyBorder="1" applyAlignment="1" applyProtection="1">
      <alignment horizontal="center"/>
    </xf>
    <xf numFmtId="165" fontId="47" fillId="15" borderId="0" xfId="11" applyNumberFormat="1" applyFont="1" applyFill="1"/>
    <xf numFmtId="0" fontId="47" fillId="15" borderId="21" xfId="11" applyNumberFormat="1" applyFont="1" applyFill="1" applyBorder="1"/>
    <xf numFmtId="165" fontId="52" fillId="15" borderId="22" xfId="11" applyNumberFormat="1" applyFont="1" applyFill="1" applyBorder="1" applyAlignment="1">
      <alignment horizontal="center"/>
    </xf>
    <xf numFmtId="167" fontId="47" fillId="15" borderId="23" xfId="11" applyNumberFormat="1" applyFont="1" applyFill="1" applyBorder="1" applyAlignment="1" applyProtection="1">
      <alignment horizontal="center"/>
    </xf>
    <xf numFmtId="167" fontId="47" fillId="15" borderId="22" xfId="11" applyNumberFormat="1" applyFont="1" applyFill="1" applyBorder="1" applyAlignment="1" applyProtection="1">
      <alignment horizontal="center"/>
    </xf>
    <xf numFmtId="167" fontId="47" fillId="15" borderId="24" xfId="11" applyNumberFormat="1" applyFont="1" applyFill="1" applyBorder="1" applyAlignment="1" applyProtection="1">
      <alignment horizontal="center"/>
    </xf>
    <xf numFmtId="14" fontId="47" fillId="15" borderId="0" xfId="11" applyNumberFormat="1" applyFont="1" applyFill="1"/>
    <xf numFmtId="2" fontId="50" fillId="15" borderId="0" xfId="11" applyNumberFormat="1" applyFont="1" applyFill="1" applyAlignment="1">
      <alignment horizontal="center"/>
    </xf>
    <xf numFmtId="0" fontId="50" fillId="15" borderId="0" xfId="11" applyNumberFormat="1" applyFont="1" applyFill="1" applyAlignment="1">
      <alignment horizontal="center"/>
    </xf>
    <xf numFmtId="0" fontId="53" fillId="15" borderId="13" xfId="11" applyNumberFormat="1" applyFont="1" applyFill="1" applyBorder="1" applyAlignment="1">
      <alignment horizontal="center"/>
    </xf>
    <xf numFmtId="0" fontId="53" fillId="15" borderId="12" xfId="11" applyNumberFormat="1" applyFont="1" applyFill="1" applyBorder="1" applyAlignment="1">
      <alignment horizontal="center"/>
    </xf>
    <xf numFmtId="0" fontId="53" fillId="15" borderId="14" xfId="11" applyNumberFormat="1" applyFont="1" applyFill="1" applyBorder="1" applyAlignment="1">
      <alignment horizontal="center"/>
    </xf>
    <xf numFmtId="165" fontId="52" fillId="15" borderId="0" xfId="11" applyNumberFormat="1" applyFont="1" applyFill="1" applyBorder="1" applyAlignment="1">
      <alignment horizontal="center"/>
    </xf>
    <xf numFmtId="167" fontId="53" fillId="15" borderId="16" xfId="11" applyNumberFormat="1" applyFont="1" applyFill="1" applyBorder="1" applyAlignment="1" applyProtection="1">
      <alignment horizontal="center"/>
    </xf>
    <xf numFmtId="167" fontId="53" fillId="15" borderId="17" xfId="11" applyNumberFormat="1" applyFont="1" applyFill="1" applyBorder="1" applyAlignment="1" applyProtection="1">
      <alignment horizontal="center"/>
    </xf>
    <xf numFmtId="167" fontId="53" fillId="15" borderId="18" xfId="11" applyNumberFormat="1" applyFont="1" applyFill="1" applyBorder="1" applyAlignment="1" applyProtection="1">
      <alignment horizontal="center"/>
    </xf>
    <xf numFmtId="172" fontId="47" fillId="15" borderId="0" xfId="11" applyNumberFormat="1" applyFont="1" applyFill="1"/>
    <xf numFmtId="2" fontId="47" fillId="15" borderId="0" xfId="11" applyNumberFormat="1" applyFont="1" applyFill="1"/>
    <xf numFmtId="167" fontId="53" fillId="15" borderId="19" xfId="11" applyNumberFormat="1" applyFont="1" applyFill="1" applyBorder="1" applyAlignment="1" applyProtection="1">
      <alignment horizontal="center"/>
    </xf>
    <xf numFmtId="167" fontId="53" fillId="15" borderId="0" xfId="11" applyNumberFormat="1" applyFont="1" applyFill="1" applyBorder="1" applyAlignment="1" applyProtection="1">
      <alignment horizontal="center"/>
    </xf>
    <xf numFmtId="167" fontId="53" fillId="15" borderId="20" xfId="11" applyNumberFormat="1" applyFont="1" applyFill="1" applyBorder="1" applyAlignment="1" applyProtection="1">
      <alignment horizontal="center"/>
    </xf>
    <xf numFmtId="165" fontId="47" fillId="15" borderId="22" xfId="11" applyNumberFormat="1" applyFont="1" applyFill="1" applyBorder="1" applyAlignment="1">
      <alignment horizontal="center"/>
    </xf>
    <xf numFmtId="165" fontId="47" fillId="0" borderId="22" xfId="11" applyNumberFormat="1" applyFont="1" applyBorder="1" applyAlignment="1">
      <alignment horizontal="center"/>
    </xf>
    <xf numFmtId="167" fontId="53" fillId="15" borderId="23" xfId="11" applyNumberFormat="1" applyFont="1" applyFill="1" applyBorder="1" applyAlignment="1" applyProtection="1">
      <alignment horizontal="center"/>
    </xf>
    <xf numFmtId="167" fontId="53" fillId="15" borderId="22" xfId="11" applyNumberFormat="1" applyFont="1" applyFill="1" applyBorder="1" applyAlignment="1" applyProtection="1">
      <alignment horizontal="center"/>
    </xf>
    <xf numFmtId="167" fontId="53" fillId="15" borderId="24" xfId="11" applyNumberFormat="1" applyFont="1" applyFill="1" applyBorder="1" applyAlignment="1" applyProtection="1">
      <alignment horizontal="center"/>
    </xf>
    <xf numFmtId="177" fontId="47" fillId="15" borderId="15" xfId="11" applyNumberFormat="1" applyFont="1" applyFill="1" applyBorder="1" applyAlignment="1" applyProtection="1"/>
    <xf numFmtId="165" fontId="54" fillId="15" borderId="0" xfId="11" applyNumberFormat="1" applyFont="1" applyFill="1" applyBorder="1" applyAlignment="1">
      <alignment horizontal="center"/>
    </xf>
    <xf numFmtId="167" fontId="47" fillId="15" borderId="0" xfId="2" applyNumberFormat="1" applyFont="1" applyFill="1" applyBorder="1" applyAlignment="1" applyProtection="1"/>
    <xf numFmtId="177" fontId="53" fillId="15" borderId="15" xfId="11" applyNumberFormat="1" applyFont="1" applyFill="1" applyBorder="1" applyAlignment="1" applyProtection="1"/>
    <xf numFmtId="165" fontId="55" fillId="15" borderId="0" xfId="11" applyNumberFormat="1" applyFont="1" applyFill="1" applyBorder="1" applyAlignment="1">
      <alignment horizontal="center"/>
    </xf>
    <xf numFmtId="165" fontId="53" fillId="15" borderId="0" xfId="11" applyNumberFormat="1" applyFont="1" applyFill="1" applyBorder="1" applyAlignment="1">
      <alignment horizontal="center"/>
    </xf>
    <xf numFmtId="14" fontId="47" fillId="15" borderId="11" xfId="11" applyNumberFormat="1" applyFont="1" applyFill="1" applyBorder="1"/>
    <xf numFmtId="165" fontId="56" fillId="15" borderId="12" xfId="11" applyNumberFormat="1" applyFont="1" applyFill="1" applyBorder="1" applyAlignment="1">
      <alignment horizontal="center"/>
    </xf>
    <xf numFmtId="167" fontId="53" fillId="15" borderId="13" xfId="11" applyNumberFormat="1" applyFont="1" applyFill="1" applyBorder="1" applyAlignment="1" applyProtection="1">
      <alignment horizontal="center"/>
    </xf>
    <xf numFmtId="167" fontId="53" fillId="15" borderId="12" xfId="11" applyNumberFormat="1" applyFont="1" applyFill="1" applyBorder="1" applyAlignment="1" applyProtection="1">
      <alignment horizontal="center"/>
    </xf>
    <xf numFmtId="167" fontId="53" fillId="15" borderId="14" xfId="11" applyNumberFormat="1" applyFont="1" applyFill="1" applyBorder="1" applyAlignment="1" applyProtection="1">
      <alignment horizontal="center"/>
    </xf>
    <xf numFmtId="14" fontId="47" fillId="15" borderId="0" xfId="11" applyNumberFormat="1" applyFont="1" applyFill="1" applyBorder="1"/>
    <xf numFmtId="165" fontId="56" fillId="15" borderId="0" xfId="11" applyNumberFormat="1" applyFont="1" applyFill="1" applyBorder="1" applyAlignment="1">
      <alignment horizontal="center"/>
    </xf>
    <xf numFmtId="1" fontId="50" fillId="15" borderId="0" xfId="11" applyNumberFormat="1" applyFont="1" applyFill="1" applyAlignment="1">
      <alignment horizontal="center"/>
    </xf>
    <xf numFmtId="0" fontId="47" fillId="15" borderId="11" xfId="11" applyNumberFormat="1" applyFont="1" applyFill="1" applyBorder="1" applyAlignment="1">
      <alignment horizontal="left"/>
    </xf>
    <xf numFmtId="1" fontId="55" fillId="15" borderId="0" xfId="11" applyNumberFormat="1" applyFont="1" applyFill="1" applyBorder="1" applyAlignment="1">
      <alignment horizontal="center"/>
    </xf>
    <xf numFmtId="172" fontId="52" fillId="15" borderId="22" xfId="11" applyNumberFormat="1" applyFont="1" applyFill="1" applyBorder="1" applyAlignment="1">
      <alignment horizontal="center"/>
    </xf>
    <xf numFmtId="0" fontId="57" fillId="15" borderId="0" xfId="11" applyNumberFormat="1" applyFont="1" applyFill="1"/>
    <xf numFmtId="0" fontId="58" fillId="14" borderId="0" xfId="11" applyNumberFormat="1" applyFont="1" applyFill="1" applyAlignment="1">
      <alignment horizontal="center"/>
    </xf>
    <xf numFmtId="174" fontId="47" fillId="15" borderId="0" xfId="11" applyNumberFormat="1" applyFont="1" applyFill="1" applyBorder="1" applyAlignment="1">
      <alignment horizontal="center"/>
    </xf>
    <xf numFmtId="0" fontId="51" fillId="15" borderId="21" xfId="11" applyNumberFormat="1" applyFont="1" applyFill="1" applyBorder="1"/>
    <xf numFmtId="165" fontId="51" fillId="15" borderId="22" xfId="11" applyNumberFormat="1" applyFont="1" applyFill="1" applyBorder="1" applyAlignment="1">
      <alignment horizontal="center"/>
    </xf>
    <xf numFmtId="165" fontId="47" fillId="15" borderId="20" xfId="11" applyNumberFormat="1" applyFont="1" applyFill="1" applyBorder="1" applyAlignment="1">
      <alignment horizontal="center"/>
    </xf>
    <xf numFmtId="0" fontId="47" fillId="15" borderId="11" xfId="0" applyFont="1" applyFill="1" applyBorder="1"/>
    <xf numFmtId="178" fontId="47" fillId="15" borderId="0" xfId="11" applyNumberFormat="1" applyFont="1" applyFill="1"/>
    <xf numFmtId="2" fontId="52" fillId="15" borderId="0" xfId="11" applyNumberFormat="1" applyFont="1" applyFill="1" applyBorder="1" applyAlignment="1">
      <alignment horizontal="center"/>
    </xf>
    <xf numFmtId="165" fontId="0" fillId="15" borderId="0" xfId="0" applyNumberFormat="1" applyFill="1" applyAlignment="1">
      <alignment horizontal="center"/>
    </xf>
    <xf numFmtId="2" fontId="52" fillId="15" borderId="0" xfId="11" applyNumberFormat="1" applyFont="1" applyFill="1" applyBorder="1" applyAlignment="1" applyProtection="1">
      <alignment horizontal="center"/>
    </xf>
    <xf numFmtId="3" fontId="52" fillId="15" borderId="0" xfId="11" applyNumberFormat="1" applyFont="1" applyFill="1" applyBorder="1" applyAlignment="1" applyProtection="1">
      <alignment horizontal="center"/>
    </xf>
    <xf numFmtId="172" fontId="52" fillId="15" borderId="22" xfId="11" applyNumberFormat="1" applyFont="1" applyFill="1" applyBorder="1" applyAlignment="1" applyProtection="1">
      <alignment horizontal="center"/>
    </xf>
    <xf numFmtId="165" fontId="47" fillId="15" borderId="0" xfId="11" applyNumberFormat="1" applyFont="1" applyFill="1" applyAlignment="1">
      <alignment horizontal="center"/>
    </xf>
    <xf numFmtId="172" fontId="47" fillId="15" borderId="0" xfId="11" applyNumberFormat="1" applyFont="1" applyFill="1" applyAlignment="1">
      <alignment horizontal="center"/>
    </xf>
    <xf numFmtId="165" fontId="47" fillId="16" borderId="0" xfId="11" applyNumberFormat="1" applyFont="1" applyFill="1" applyAlignment="1">
      <alignment horizontal="center"/>
    </xf>
    <xf numFmtId="0" fontId="47" fillId="15" borderId="0" xfId="11" applyNumberFormat="1" applyFont="1" applyFill="1" applyBorder="1"/>
    <xf numFmtId="0" fontId="47" fillId="15" borderId="19" xfId="11" applyNumberFormat="1" applyFont="1" applyFill="1" applyBorder="1"/>
    <xf numFmtId="2" fontId="47" fillId="15" borderId="22" xfId="11" applyNumberFormat="1" applyFont="1" applyFill="1" applyBorder="1" applyAlignment="1">
      <alignment horizontal="center"/>
    </xf>
    <xf numFmtId="2" fontId="47" fillId="15" borderId="0" xfId="11" applyNumberFormat="1" applyFont="1" applyFill="1" applyAlignment="1">
      <alignment horizontal="center"/>
    </xf>
    <xf numFmtId="2" fontId="47" fillId="15" borderId="0" xfId="11" applyNumberFormat="1" applyFont="1" applyFill="1" applyBorder="1" applyAlignment="1">
      <alignment horizontal="center"/>
    </xf>
    <xf numFmtId="165" fontId="52" fillId="15" borderId="0" xfId="11" applyNumberFormat="1" applyFont="1" applyFill="1" applyBorder="1" applyAlignment="1" applyProtection="1">
      <alignment horizontal="center"/>
    </xf>
    <xf numFmtId="4" fontId="47" fillId="15" borderId="0" xfId="11" applyNumberFormat="1" applyFont="1" applyFill="1" applyBorder="1" applyAlignment="1">
      <alignment horizontal="center"/>
    </xf>
    <xf numFmtId="3" fontId="52" fillId="15" borderId="22" xfId="11" applyNumberFormat="1" applyFont="1" applyFill="1" applyBorder="1" applyAlignment="1">
      <alignment horizontal="center"/>
    </xf>
    <xf numFmtId="0" fontId="51" fillId="15" borderId="15" xfId="11" applyNumberFormat="1" applyFont="1" applyFill="1" applyBorder="1"/>
    <xf numFmtId="170" fontId="47" fillId="15" borderId="0" xfId="11" applyNumberFormat="1" applyFont="1" applyFill="1" applyBorder="1" applyAlignment="1">
      <alignment horizontal="center"/>
    </xf>
    <xf numFmtId="0" fontId="47" fillId="15" borderId="19" xfId="11" applyNumberFormat="1" applyFont="1" applyFill="1" applyBorder="1" applyAlignment="1">
      <alignment horizontal="center"/>
    </xf>
    <xf numFmtId="0" fontId="47" fillId="15" borderId="0" xfId="11" applyNumberFormat="1" applyFont="1" applyFill="1" applyBorder="1" applyAlignment="1">
      <alignment horizontal="center"/>
    </xf>
    <xf numFmtId="0" fontId="47" fillId="15" borderId="20" xfId="11" applyNumberFormat="1" applyFont="1" applyFill="1" applyBorder="1" applyAlignment="1">
      <alignment horizontal="center"/>
    </xf>
    <xf numFmtId="1" fontId="52" fillId="15" borderId="0" xfId="11" applyNumberFormat="1" applyFont="1" applyFill="1" applyBorder="1" applyAlignment="1">
      <alignment horizontal="center"/>
    </xf>
    <xf numFmtId="170" fontId="59" fillId="15" borderId="0" xfId="11" applyNumberFormat="1" applyFont="1" applyFill="1" applyBorder="1" applyAlignment="1">
      <alignment horizontal="center"/>
    </xf>
    <xf numFmtId="170" fontId="59" fillId="15" borderId="20" xfId="11" applyNumberFormat="1" applyFont="1" applyFill="1" applyBorder="1" applyAlignment="1">
      <alignment horizontal="center"/>
    </xf>
    <xf numFmtId="1" fontId="47" fillId="15" borderId="22" xfId="11" applyNumberFormat="1" applyFont="1" applyFill="1" applyBorder="1" applyAlignment="1">
      <alignment horizontal="center"/>
    </xf>
    <xf numFmtId="3" fontId="47" fillId="15" borderId="0" xfId="11" applyNumberFormat="1" applyFont="1" applyFill="1" applyBorder="1" applyAlignment="1">
      <alignment horizontal="center"/>
    </xf>
    <xf numFmtId="9" fontId="47" fillId="15" borderId="0" xfId="2" applyFont="1" applyFill="1" applyBorder="1" applyAlignment="1" applyProtection="1">
      <alignment horizontal="center"/>
    </xf>
    <xf numFmtId="3" fontId="47" fillId="16" borderId="0" xfId="11" applyNumberFormat="1" applyFont="1" applyFill="1" applyBorder="1" applyAlignment="1">
      <alignment horizontal="center"/>
    </xf>
    <xf numFmtId="14" fontId="47" fillId="15" borderId="0" xfId="11" applyNumberFormat="1" applyFont="1" applyFill="1" applyAlignment="1">
      <alignment horizontal="center"/>
    </xf>
    <xf numFmtId="0" fontId="49" fillId="16" borderId="0" xfId="11" applyNumberFormat="1" applyFont="1" applyFill="1" applyAlignment="1">
      <alignment horizontal="center"/>
    </xf>
    <xf numFmtId="0" fontId="0" fillId="15" borderId="0" xfId="0" applyFill="1"/>
    <xf numFmtId="0" fontId="57" fillId="15" borderId="0" xfId="11" applyNumberFormat="1" applyFont="1" applyFill="1" applyBorder="1"/>
    <xf numFmtId="0" fontId="47" fillId="15" borderId="25" xfId="11" applyNumberFormat="1" applyFont="1" applyFill="1" applyBorder="1"/>
    <xf numFmtId="165" fontId="52" fillId="0" borderId="16" xfId="11" applyNumberFormat="1" applyFont="1" applyBorder="1" applyAlignment="1">
      <alignment horizontal="center"/>
    </xf>
    <xf numFmtId="165" fontId="52" fillId="15" borderId="17" xfId="11" applyNumberFormat="1" applyFont="1" applyFill="1" applyBorder="1" applyAlignment="1">
      <alignment horizontal="center"/>
    </xf>
    <xf numFmtId="2" fontId="52" fillId="15" borderId="18" xfId="11" applyNumberFormat="1" applyFont="1" applyFill="1" applyBorder="1" applyAlignment="1">
      <alignment horizontal="center"/>
    </xf>
    <xf numFmtId="172" fontId="52" fillId="15" borderId="23" xfId="11" applyNumberFormat="1" applyFont="1" applyFill="1" applyBorder="1" applyAlignment="1">
      <alignment horizontal="center"/>
    </xf>
    <xf numFmtId="172" fontId="52" fillId="15" borderId="24" xfId="11" applyNumberFormat="1" applyFont="1" applyFill="1" applyBorder="1" applyAlignment="1">
      <alignment horizontal="center"/>
    </xf>
    <xf numFmtId="0" fontId="60" fillId="15" borderId="0" xfId="0" applyFont="1" applyFill="1"/>
    <xf numFmtId="172" fontId="52" fillId="15" borderId="0" xfId="11" applyNumberFormat="1" applyFont="1" applyFill="1" applyBorder="1" applyAlignment="1">
      <alignment horizontal="center"/>
    </xf>
    <xf numFmtId="167" fontId="47" fillId="15" borderId="0" xfId="11" applyNumberFormat="1" applyFont="1" applyFill="1"/>
    <xf numFmtId="0" fontId="51" fillId="15" borderId="17" xfId="11" applyNumberFormat="1" applyFont="1" applyFill="1" applyBorder="1"/>
    <xf numFmtId="49" fontId="50" fillId="15" borderId="0" xfId="11" applyNumberFormat="1" applyFont="1" applyFill="1" applyAlignment="1">
      <alignment horizontal="center"/>
    </xf>
    <xf numFmtId="0" fontId="51" fillId="15" borderId="0" xfId="11" applyNumberFormat="1" applyFont="1" applyFill="1" applyBorder="1"/>
    <xf numFmtId="0" fontId="47" fillId="15" borderId="15" xfId="11" applyNumberFormat="1" applyFont="1" applyFill="1" applyBorder="1" applyAlignment="1">
      <alignment horizontal="left"/>
    </xf>
    <xf numFmtId="0" fontId="47" fillId="15" borderId="21" xfId="11" applyNumberFormat="1" applyFont="1" applyFill="1" applyBorder="1" applyAlignment="1">
      <alignment horizontal="left"/>
    </xf>
    <xf numFmtId="3" fontId="52" fillId="15" borderId="22" xfId="11" applyNumberFormat="1" applyFont="1" applyFill="1" applyBorder="1" applyAlignment="1" applyProtection="1">
      <alignment horizontal="center"/>
    </xf>
    <xf numFmtId="1" fontId="47" fillId="15" borderId="0" xfId="11" applyNumberFormat="1" applyFont="1" applyFill="1"/>
    <xf numFmtId="0" fontId="61" fillId="0" borderId="0" xfId="11" applyNumberFormat="1" applyFont="1"/>
    <xf numFmtId="0" fontId="62" fillId="0" borderId="6" xfId="0" applyFont="1" applyBorder="1" applyAlignment="1">
      <alignment horizontal="center" vertical="center" wrapText="1"/>
    </xf>
    <xf numFmtId="0" fontId="63" fillId="0" borderId="6" xfId="0" applyFont="1" applyBorder="1" applyAlignment="1">
      <alignment horizontal="center" vertical="center" wrapText="1"/>
    </xf>
    <xf numFmtId="0" fontId="64" fillId="0" borderId="8" xfId="0" applyFont="1" applyBorder="1" applyAlignment="1">
      <alignment horizontal="left" vertical="center"/>
    </xf>
    <xf numFmtId="4" fontId="63" fillId="0" borderId="8" xfId="0" applyNumberFormat="1" applyFont="1" applyBorder="1"/>
    <xf numFmtId="165" fontId="0" fillId="15" borderId="6" xfId="0" applyNumberFormat="1" applyFill="1" applyBorder="1" applyAlignment="1">
      <alignment horizontal="right"/>
    </xf>
    <xf numFmtId="165" fontId="65" fillId="17" borderId="6" xfId="0" applyNumberFormat="1" applyFont="1" applyFill="1" applyBorder="1" applyAlignment="1">
      <alignment horizontal="right"/>
    </xf>
    <xf numFmtId="0" fontId="64" fillId="18" borderId="6" xfId="0" applyFont="1" applyFill="1" applyBorder="1" applyAlignment="1">
      <alignment horizontal="left" vertical="center"/>
    </xf>
    <xf numFmtId="165" fontId="63" fillId="18" borderId="6" xfId="0" applyNumberFormat="1" applyFont="1" applyFill="1" applyBorder="1" applyAlignment="1">
      <alignment horizontal="right"/>
    </xf>
    <xf numFmtId="0" fontId="64" fillId="0" borderId="7" xfId="0" applyFont="1" applyBorder="1" applyAlignment="1">
      <alignment horizontal="left" vertical="center"/>
    </xf>
    <xf numFmtId="165" fontId="63" fillId="0" borderId="7" xfId="0" applyNumberFormat="1" applyFont="1" applyBorder="1" applyAlignment="1">
      <alignment horizontal="right"/>
    </xf>
    <xf numFmtId="165" fontId="0" fillId="17" borderId="6" xfId="0" applyNumberFormat="1" applyFill="1" applyBorder="1" applyAlignment="1">
      <alignment horizontal="right"/>
    </xf>
    <xf numFmtId="0" fontId="66" fillId="0" borderId="6" xfId="0" applyFont="1" applyBorder="1" applyAlignment="1">
      <alignment horizontal="left" vertical="center"/>
    </xf>
    <xf numFmtId="165" fontId="63" fillId="15" borderId="6" xfId="0" applyNumberFormat="1" applyFont="1" applyFill="1" applyBorder="1" applyAlignment="1">
      <alignment horizontal="right"/>
    </xf>
    <xf numFmtId="165" fontId="67" fillId="15" borderId="6" xfId="0" applyNumberFormat="1" applyFont="1" applyFill="1" applyBorder="1" applyAlignment="1">
      <alignment horizontal="right"/>
    </xf>
    <xf numFmtId="165" fontId="0" fillId="18" borderId="6" xfId="0" applyNumberFormat="1" applyFill="1" applyBorder="1" applyAlignment="1">
      <alignment horizontal="right"/>
    </xf>
    <xf numFmtId="168" fontId="43" fillId="14" borderId="0" xfId="11" applyNumberFormat="1" applyFont="1" applyFill="1" applyAlignment="1">
      <alignment horizontal="left"/>
    </xf>
    <xf numFmtId="4" fontId="63" fillId="0" borderId="7" xfId="0" applyNumberFormat="1" applyFont="1" applyBorder="1"/>
    <xf numFmtId="170" fontId="63" fillId="18" borderId="6" xfId="0" applyNumberFormat="1" applyFont="1" applyFill="1" applyBorder="1"/>
    <xf numFmtId="170" fontId="63" fillId="0" borderId="7" xfId="0" applyNumberFormat="1" applyFont="1" applyBorder="1"/>
    <xf numFmtId="0" fontId="5" fillId="9" borderId="16" xfId="6" applyFont="1" applyFill="1" applyBorder="1" applyAlignment="1">
      <alignment horizontal="center"/>
    </xf>
    <xf numFmtId="0" fontId="5" fillId="9" borderId="17" xfId="6" applyFont="1" applyFill="1" applyBorder="1" applyAlignment="1">
      <alignment horizontal="center"/>
    </xf>
    <xf numFmtId="0" fontId="5" fillId="9" borderId="18" xfId="6" applyFont="1" applyFill="1" applyBorder="1" applyAlignment="1">
      <alignment horizontal="center"/>
    </xf>
    <xf numFmtId="0" fontId="4" fillId="9" borderId="23" xfId="6" applyFont="1" applyFill="1" applyBorder="1"/>
    <xf numFmtId="0" fontId="29" fillId="9" borderId="16" xfId="6" applyFont="1" applyFill="1" applyBorder="1" applyAlignment="1">
      <alignment horizontal="center"/>
    </xf>
    <xf numFmtId="0" fontId="29" fillId="9" borderId="17" xfId="6" applyFont="1" applyFill="1" applyBorder="1" applyAlignment="1">
      <alignment horizontal="center"/>
    </xf>
    <xf numFmtId="0" fontId="29" fillId="9" borderId="18" xfId="6" applyFont="1" applyFill="1" applyBorder="1" applyAlignment="1">
      <alignment horizontal="center"/>
    </xf>
    <xf numFmtId="165" fontId="28" fillId="9" borderId="23" xfId="6" applyNumberFormat="1" applyFont="1" applyFill="1" applyBorder="1" applyAlignment="1">
      <alignment horizontal="center"/>
    </xf>
    <xf numFmtId="165" fontId="24" fillId="9" borderId="0" xfId="6" applyNumberFormat="1" applyFont="1" applyFill="1" applyAlignment="1">
      <alignment horizontal="center"/>
    </xf>
    <xf numFmtId="167" fontId="68" fillId="9" borderId="16" xfId="7" applyNumberFormat="1" applyFont="1" applyFill="1" applyBorder="1" applyAlignment="1">
      <alignment horizontal="center"/>
    </xf>
    <xf numFmtId="167" fontId="68" fillId="9" borderId="17" xfId="7" applyNumberFormat="1" applyFont="1" applyFill="1" applyBorder="1" applyAlignment="1">
      <alignment horizontal="center"/>
    </xf>
    <xf numFmtId="167" fontId="68" fillId="9" borderId="18" xfId="7" applyNumberFormat="1" applyFont="1" applyFill="1" applyBorder="1" applyAlignment="1">
      <alignment horizontal="center"/>
    </xf>
    <xf numFmtId="167" fontId="68" fillId="9" borderId="19" xfId="7" applyNumberFormat="1" applyFont="1" applyFill="1" applyBorder="1" applyAlignment="1">
      <alignment horizontal="center"/>
    </xf>
    <xf numFmtId="167" fontId="68" fillId="9" borderId="0" xfId="7" applyNumberFormat="1" applyFont="1" applyFill="1" applyBorder="1" applyAlignment="1">
      <alignment horizontal="center"/>
    </xf>
    <xf numFmtId="167" fontId="68" fillId="9" borderId="20" xfId="7" applyNumberFormat="1" applyFont="1" applyFill="1" applyBorder="1" applyAlignment="1">
      <alignment horizontal="center"/>
    </xf>
    <xf numFmtId="165" fontId="69" fillId="9" borderId="22" xfId="6" applyNumberFormat="1" applyFont="1" applyFill="1" applyBorder="1" applyAlignment="1">
      <alignment horizontal="center"/>
    </xf>
    <xf numFmtId="2" fontId="69" fillId="9" borderId="22" xfId="6" applyNumberFormat="1" applyFont="1" applyFill="1" applyBorder="1" applyAlignment="1">
      <alignment horizontal="center"/>
    </xf>
    <xf numFmtId="167" fontId="68" fillId="9" borderId="23" xfId="7" applyNumberFormat="1" applyFont="1" applyFill="1" applyBorder="1" applyAlignment="1">
      <alignment horizontal="center"/>
    </xf>
    <xf numFmtId="167" fontId="68" fillId="9" borderId="22" xfId="7" applyNumberFormat="1" applyFont="1" applyFill="1" applyBorder="1" applyAlignment="1">
      <alignment horizontal="center"/>
    </xf>
    <xf numFmtId="167" fontId="68" fillId="9" borderId="24" xfId="7" applyNumberFormat="1" applyFont="1" applyFill="1" applyBorder="1" applyAlignment="1">
      <alignment horizontal="center"/>
    </xf>
    <xf numFmtId="165" fontId="30" fillId="9" borderId="23" xfId="6" applyNumberFormat="1" applyFont="1" applyFill="1" applyBorder="1" applyAlignment="1">
      <alignment horizontal="center"/>
    </xf>
    <xf numFmtId="165" fontId="30" fillId="9" borderId="22" xfId="6" applyNumberFormat="1" applyFont="1" applyFill="1" applyBorder="1" applyAlignment="1">
      <alignment horizontal="center"/>
    </xf>
    <xf numFmtId="165" fontId="0" fillId="9" borderId="23" xfId="0" applyNumberFormat="1" applyFill="1" applyBorder="1" applyAlignment="1">
      <alignment horizontal="center"/>
    </xf>
    <xf numFmtId="165" fontId="0" fillId="9" borderId="22" xfId="0" applyNumberFormat="1" applyFill="1" applyBorder="1" applyAlignment="1">
      <alignment horizontal="center"/>
    </xf>
    <xf numFmtId="2" fontId="28" fillId="9" borderId="23" xfId="8" applyNumberFormat="1" applyFont="1" applyFill="1" applyBorder="1" applyAlignment="1">
      <alignment horizontal="center"/>
    </xf>
    <xf numFmtId="2" fontId="28" fillId="9" borderId="22" xfId="8" applyNumberFormat="1" applyFont="1" applyFill="1" applyBorder="1" applyAlignment="1">
      <alignment horizontal="center"/>
    </xf>
    <xf numFmtId="1" fontId="28" fillId="9" borderId="23" xfId="6" applyNumberFormat="1" applyFont="1" applyFill="1" applyBorder="1" applyAlignment="1">
      <alignment horizontal="center"/>
    </xf>
    <xf numFmtId="1" fontId="28" fillId="9" borderId="22" xfId="6" applyNumberFormat="1" applyFont="1" applyFill="1" applyBorder="1" applyAlignment="1">
      <alignment horizontal="center"/>
    </xf>
    <xf numFmtId="0" fontId="4" fillId="9" borderId="16" xfId="6" applyFont="1" applyFill="1" applyBorder="1"/>
    <xf numFmtId="165" fontId="28" fillId="0" borderId="22" xfId="6" applyNumberFormat="1" applyFont="1" applyBorder="1" applyAlignment="1">
      <alignment horizontal="center"/>
    </xf>
    <xf numFmtId="165" fontId="28" fillId="0" borderId="7" xfId="6" applyNumberFormat="1" applyFont="1" applyBorder="1" applyAlignment="1">
      <alignment horizontal="center"/>
    </xf>
    <xf numFmtId="165" fontId="28" fillId="0" borderId="30" xfId="6" applyNumberFormat="1" applyFont="1" applyBorder="1" applyAlignment="1">
      <alignment horizontal="center"/>
    </xf>
    <xf numFmtId="165" fontId="28" fillId="0" borderId="27" xfId="6" applyNumberFormat="1" applyFont="1" applyBorder="1" applyAlignment="1">
      <alignment horizontal="center"/>
    </xf>
    <xf numFmtId="2" fontId="0" fillId="0" borderId="0" xfId="0" applyNumberFormat="1"/>
    <xf numFmtId="165" fontId="0" fillId="15" borderId="0" xfId="0" applyNumberFormat="1" applyFill="1"/>
    <xf numFmtId="165" fontId="0" fillId="5" borderId="6" xfId="0" applyNumberFormat="1" applyFill="1" applyBorder="1" applyAlignment="1">
      <alignment horizontal="right"/>
    </xf>
    <xf numFmtId="165" fontId="0" fillId="19" borderId="6" xfId="0" applyNumberFormat="1" applyFill="1" applyBorder="1" applyAlignment="1">
      <alignment horizontal="right"/>
    </xf>
    <xf numFmtId="165" fontId="4" fillId="0" borderId="0" xfId="3" applyNumberFormat="1" applyFont="1" applyAlignment="1">
      <alignment horizontal="center"/>
    </xf>
    <xf numFmtId="0" fontId="72" fillId="20" borderId="0" xfId="12" applyFont="1" applyFill="1"/>
    <xf numFmtId="0" fontId="73" fillId="20" borderId="0" xfId="12" applyFont="1" applyFill="1"/>
    <xf numFmtId="0" fontId="71" fillId="0" borderId="0" xfId="12"/>
    <xf numFmtId="0" fontId="71" fillId="21" borderId="0" xfId="12" applyFill="1"/>
    <xf numFmtId="0" fontId="74" fillId="21" borderId="0" xfId="12" applyFont="1" applyFill="1"/>
    <xf numFmtId="0" fontId="75" fillId="21" borderId="0" xfId="12" applyFont="1" applyFill="1"/>
    <xf numFmtId="0" fontId="76" fillId="22" borderId="0" xfId="12" applyFont="1" applyFill="1"/>
    <xf numFmtId="0" fontId="71" fillId="23" borderId="0" xfId="12" applyFill="1"/>
    <xf numFmtId="0" fontId="77" fillId="23" borderId="0" xfId="12" applyFont="1" applyFill="1"/>
    <xf numFmtId="4" fontId="80" fillId="0" borderId="31" xfId="12" applyNumberFormat="1" applyFont="1" applyBorder="1" applyAlignment="1">
      <alignment horizontal="center" vertical="center" wrapText="1"/>
    </xf>
    <xf numFmtId="0" fontId="80" fillId="0" borderId="31" xfId="12" applyFont="1" applyBorder="1" applyAlignment="1">
      <alignment horizontal="center" vertical="center" wrapText="1"/>
    </xf>
    <xf numFmtId="0" fontId="81" fillId="0" borderId="31" xfId="12" applyFont="1" applyBorder="1" applyAlignment="1">
      <alignment horizontal="left" vertical="center"/>
    </xf>
    <xf numFmtId="165" fontId="82" fillId="0" borderId="31" xfId="12" applyNumberFormat="1" applyFont="1" applyBorder="1" applyAlignment="1">
      <alignment horizontal="right"/>
    </xf>
    <xf numFmtId="165" fontId="81" fillId="21" borderId="31" xfId="12" applyNumberFormat="1" applyFont="1" applyFill="1" applyBorder="1" applyAlignment="1">
      <alignment horizontal="right"/>
    </xf>
    <xf numFmtId="165" fontId="79" fillId="21" borderId="31" xfId="12" applyNumberFormat="1" applyFont="1" applyFill="1" applyBorder="1" applyAlignment="1">
      <alignment horizontal="right"/>
    </xf>
    <xf numFmtId="0" fontId="79" fillId="24" borderId="31" xfId="12" applyFont="1" applyFill="1" applyBorder="1" applyAlignment="1">
      <alignment horizontal="left" vertical="center"/>
    </xf>
    <xf numFmtId="165" fontId="79" fillId="24" borderId="31" xfId="12" applyNumberFormat="1" applyFont="1" applyFill="1" applyBorder="1" applyAlignment="1">
      <alignment horizontal="right"/>
    </xf>
    <xf numFmtId="0" fontId="79" fillId="0" borderId="32" xfId="12" applyFont="1" applyBorder="1" applyAlignment="1">
      <alignment horizontal="left" vertical="center"/>
    </xf>
    <xf numFmtId="165" fontId="79" fillId="0" borderId="32" xfId="12" applyNumberFormat="1" applyFont="1" applyBorder="1" applyAlignment="1">
      <alignment horizontal="right"/>
    </xf>
    <xf numFmtId="0" fontId="82" fillId="0" borderId="31" xfId="12" applyFont="1" applyBorder="1" applyAlignment="1">
      <alignment horizontal="left" vertical="center"/>
    </xf>
    <xf numFmtId="165" fontId="78" fillId="0" borderId="31" xfId="12" applyNumberFormat="1" applyFont="1" applyBorder="1" applyAlignment="1">
      <alignment horizontal="right"/>
    </xf>
    <xf numFmtId="165" fontId="71" fillId="21" borderId="0" xfId="12" applyNumberFormat="1" applyFill="1"/>
    <xf numFmtId="165" fontId="82" fillId="4" borderId="31" xfId="12" applyNumberFormat="1" applyFont="1" applyFill="1" applyBorder="1" applyAlignment="1">
      <alignment horizontal="right"/>
    </xf>
    <xf numFmtId="165" fontId="81" fillId="25" borderId="31" xfId="12" applyNumberFormat="1" applyFont="1" applyFill="1" applyBorder="1" applyAlignment="1">
      <alignment horizontal="right"/>
    </xf>
    <xf numFmtId="165" fontId="11" fillId="0" borderId="0" xfId="4" applyNumberFormat="1" applyFont="1" applyFill="1" applyBorder="1" applyAlignment="1">
      <alignment horizontal="right"/>
    </xf>
    <xf numFmtId="0" fontId="70" fillId="0" borderId="0" xfId="0" applyFont="1"/>
    <xf numFmtId="165" fontId="11" fillId="0" borderId="0" xfId="5" applyNumberFormat="1" applyFont="1" applyFill="1" applyBorder="1"/>
    <xf numFmtId="0" fontId="84" fillId="26" borderId="0" xfId="13" applyFont="1" applyFill="1"/>
    <xf numFmtId="0" fontId="83" fillId="26" borderId="0" xfId="14" applyFont="1" applyFill="1"/>
    <xf numFmtId="0" fontId="85" fillId="0" borderId="0" xfId="14" applyFont="1"/>
    <xf numFmtId="0" fontId="86" fillId="26" borderId="0" xfId="14" applyFont="1" applyFill="1"/>
    <xf numFmtId="0" fontId="0" fillId="26" borderId="0" xfId="14" applyFont="1" applyFill="1"/>
    <xf numFmtId="0" fontId="86" fillId="26" borderId="0" xfId="14" applyFont="1" applyFill="1" applyAlignment="1">
      <alignment vertical="top"/>
    </xf>
    <xf numFmtId="0" fontId="87" fillId="26" borderId="0" xfId="14" applyFont="1" applyFill="1" applyAlignment="1">
      <alignment vertical="top"/>
    </xf>
    <xf numFmtId="0" fontId="88" fillId="26" borderId="0" xfId="14" applyFont="1" applyFill="1"/>
    <xf numFmtId="0" fontId="84" fillId="26" borderId="0" xfId="14" applyFont="1" applyFill="1"/>
    <xf numFmtId="0" fontId="37" fillId="26" borderId="0" xfId="14" applyFont="1" applyFill="1"/>
    <xf numFmtId="0" fontId="89" fillId="26" borderId="26" xfId="14" applyFont="1" applyFill="1" applyBorder="1"/>
    <xf numFmtId="0" fontId="0" fillId="26" borderId="4" xfId="14" applyFont="1" applyFill="1" applyBorder="1" applyAlignment="1">
      <alignment horizontal="right"/>
    </xf>
    <xf numFmtId="0" fontId="84" fillId="26" borderId="1" xfId="14" applyFont="1" applyFill="1" applyBorder="1"/>
    <xf numFmtId="3" fontId="3" fillId="26" borderId="3" xfId="14" applyNumberFormat="1" applyFill="1" applyBorder="1"/>
    <xf numFmtId="165" fontId="84" fillId="26" borderId="0" xfId="14" applyNumberFormat="1" applyFont="1" applyFill="1"/>
    <xf numFmtId="0" fontId="90" fillId="26" borderId="1" xfId="14" applyFont="1" applyFill="1" applyBorder="1"/>
    <xf numFmtId="0" fontId="88" fillId="26" borderId="1" xfId="14" applyFont="1" applyFill="1" applyBorder="1"/>
    <xf numFmtId="0" fontId="91" fillId="26" borderId="0" xfId="14" applyFont="1" applyFill="1"/>
    <xf numFmtId="0" fontId="84" fillId="26" borderId="28" xfId="14" applyFont="1" applyFill="1" applyBorder="1"/>
    <xf numFmtId="3" fontId="84" fillId="26" borderId="5" xfId="14" applyNumberFormat="1" applyFont="1" applyFill="1" applyBorder="1"/>
    <xf numFmtId="0" fontId="0" fillId="26" borderId="0" xfId="14" applyFont="1" applyFill="1" applyAlignment="1">
      <alignment horizontal="left"/>
    </xf>
    <xf numFmtId="0" fontId="0" fillId="26" borderId="0" xfId="14" applyFont="1" applyFill="1" applyAlignment="1">
      <alignment horizontal="right" vertical="center"/>
    </xf>
    <xf numFmtId="0" fontId="3" fillId="0" borderId="0" xfId="14"/>
    <xf numFmtId="0" fontId="3" fillId="0" borderId="26" xfId="14" applyBorder="1"/>
    <xf numFmtId="0" fontId="83" fillId="26" borderId="8" xfId="14" applyFont="1" applyFill="1" applyBorder="1"/>
    <xf numFmtId="0" fontId="83" fillId="26" borderId="9" xfId="14" applyFont="1" applyFill="1" applyBorder="1"/>
    <xf numFmtId="0" fontId="84" fillId="26" borderId="26" xfId="14" applyFont="1" applyFill="1" applyBorder="1"/>
    <xf numFmtId="3" fontId="83" fillId="26" borderId="26" xfId="14" applyNumberFormat="1" applyFont="1" applyFill="1" applyBorder="1"/>
    <xf numFmtId="3" fontId="83" fillId="26" borderId="8" xfId="14" applyNumberFormat="1" applyFont="1" applyFill="1" applyBorder="1"/>
    <xf numFmtId="3" fontId="83" fillId="26" borderId="9" xfId="14" applyNumberFormat="1" applyFont="1" applyFill="1" applyBorder="1"/>
    <xf numFmtId="3" fontId="83" fillId="26" borderId="0" xfId="14" applyNumberFormat="1" applyFont="1" applyFill="1"/>
    <xf numFmtId="3" fontId="83" fillId="26" borderId="1" xfId="14" applyNumberFormat="1" applyFont="1" applyFill="1" applyBorder="1"/>
    <xf numFmtId="3" fontId="83" fillId="26" borderId="2" xfId="14" applyNumberFormat="1" applyFont="1" applyFill="1" applyBorder="1"/>
    <xf numFmtId="1" fontId="84" fillId="26" borderId="0" xfId="14" applyNumberFormat="1" applyFont="1" applyFill="1"/>
    <xf numFmtId="0" fontId="88" fillId="26" borderId="28" xfId="14" applyFont="1" applyFill="1" applyBorder="1"/>
    <xf numFmtId="3" fontId="83" fillId="26" borderId="28" xfId="14" applyNumberFormat="1" applyFont="1" applyFill="1" applyBorder="1"/>
    <xf numFmtId="3" fontId="83" fillId="26" borderId="29" xfId="14" applyNumberFormat="1" applyFont="1" applyFill="1" applyBorder="1"/>
    <xf numFmtId="3" fontId="83" fillId="26" borderId="10" xfId="14" applyNumberFormat="1" applyFont="1" applyFill="1" applyBorder="1"/>
    <xf numFmtId="179" fontId="83" fillId="26" borderId="0" xfId="14" applyNumberFormat="1" applyFont="1" applyFill="1"/>
    <xf numFmtId="0" fontId="92" fillId="26" borderId="0" xfId="14" applyFont="1" applyFill="1" applyAlignment="1">
      <alignment horizontal="right"/>
    </xf>
    <xf numFmtId="0" fontId="93" fillId="26" borderId="0" xfId="14" applyFont="1" applyFill="1"/>
    <xf numFmtId="0" fontId="94" fillId="26" borderId="0" xfId="14" applyFont="1" applyFill="1"/>
    <xf numFmtId="0" fontId="84" fillId="26" borderId="4" xfId="14" applyFont="1" applyFill="1" applyBorder="1" applyAlignment="1">
      <alignment horizontal="center"/>
    </xf>
    <xf numFmtId="0" fontId="84" fillId="26" borderId="0" xfId="14" applyFont="1" applyFill="1" applyAlignment="1">
      <alignment horizontal="center"/>
    </xf>
    <xf numFmtId="0" fontId="87" fillId="26" borderId="0" xfId="14" applyFont="1" applyFill="1"/>
    <xf numFmtId="172" fontId="87" fillId="0" borderId="3" xfId="14" applyNumberFormat="1" applyFont="1" applyBorder="1"/>
    <xf numFmtId="172" fontId="89" fillId="0" borderId="5" xfId="14" applyNumberFormat="1" applyFont="1" applyBorder="1"/>
    <xf numFmtId="9" fontId="3" fillId="26" borderId="0" xfId="15" applyFill="1" applyBorder="1"/>
    <xf numFmtId="0" fontId="83" fillId="26" borderId="33" xfId="14" applyFont="1" applyFill="1" applyBorder="1"/>
    <xf numFmtId="0" fontId="83" fillId="26" borderId="34" xfId="14" applyFont="1" applyFill="1" applyBorder="1"/>
    <xf numFmtId="165" fontId="24" fillId="0" borderId="0" xfId="3" applyNumberFormat="1" applyFont="1"/>
    <xf numFmtId="165" fontId="2" fillId="0" borderId="0" xfId="0" applyNumberFormat="1" applyFont="1"/>
    <xf numFmtId="165" fontId="71" fillId="0" borderId="0" xfId="12" applyNumberFormat="1"/>
    <xf numFmtId="165" fontId="0" fillId="0" borderId="0" xfId="0" applyNumberFormat="1"/>
    <xf numFmtId="172" fontId="4" fillId="0" borderId="0" xfId="3" applyNumberFormat="1" applyFont="1"/>
    <xf numFmtId="165" fontId="79" fillId="25" borderId="31" xfId="12" applyNumberFormat="1" applyFont="1" applyFill="1" applyBorder="1" applyAlignment="1">
      <alignment horizontal="right"/>
    </xf>
    <xf numFmtId="165" fontId="79" fillId="4" borderId="32" xfId="12" applyNumberFormat="1" applyFont="1" applyFill="1" applyBorder="1" applyAlignment="1">
      <alignment horizontal="right"/>
    </xf>
    <xf numFmtId="165" fontId="2" fillId="0" borderId="0" xfId="3" applyNumberFormat="1" applyFont="1"/>
    <xf numFmtId="0" fontId="5" fillId="0" borderId="2" xfId="3" applyFont="1" applyBorder="1" applyAlignment="1">
      <alignment horizontal="right"/>
    </xf>
    <xf numFmtId="0" fontId="4" fillId="0" borderId="0" xfId="3" applyFont="1" applyAlignment="1">
      <alignment horizontal="center"/>
    </xf>
    <xf numFmtId="0" fontId="4" fillId="0" borderId="0" xfId="0" applyFont="1" applyAlignment="1">
      <alignment horizontal="center"/>
    </xf>
    <xf numFmtId="165" fontId="4" fillId="0" borderId="0" xfId="0" applyNumberFormat="1" applyFont="1" applyAlignment="1">
      <alignment horizontal="center"/>
    </xf>
    <xf numFmtId="0" fontId="95" fillId="0" borderId="0" xfId="0" applyFont="1"/>
    <xf numFmtId="165" fontId="20" fillId="0" borderId="0" xfId="3" applyNumberFormat="1" applyFont="1"/>
    <xf numFmtId="2" fontId="4" fillId="0" borderId="0" xfId="3" applyNumberFormat="1" applyFont="1" applyAlignment="1">
      <alignment horizontal="center"/>
    </xf>
    <xf numFmtId="2" fontId="20" fillId="0" borderId="0" xfId="3" applyNumberFormat="1" applyFont="1"/>
    <xf numFmtId="166" fontId="20" fillId="0" borderId="0" xfId="1" applyNumberFormat="1" applyFont="1" applyBorder="1" applyAlignment="1">
      <alignment horizontal="right"/>
    </xf>
    <xf numFmtId="165" fontId="4" fillId="7" borderId="4" xfId="3" applyNumberFormat="1" applyFont="1" applyFill="1" applyBorder="1"/>
    <xf numFmtId="4" fontId="4" fillId="0" borderId="0" xfId="0" applyNumberFormat="1" applyFont="1" applyAlignment="1">
      <alignment horizontal="center" vertical="center"/>
    </xf>
    <xf numFmtId="165" fontId="20" fillId="0" borderId="0" xfId="0" applyNumberFormat="1" applyFont="1" applyAlignment="1">
      <alignment horizontal="center" vertical="center"/>
    </xf>
    <xf numFmtId="165" fontId="4" fillId="7" borderId="3" xfId="3" applyNumberFormat="1" applyFont="1" applyFill="1" applyBorder="1"/>
    <xf numFmtId="165" fontId="4" fillId="7" borderId="0" xfId="3" applyNumberFormat="1" applyFont="1" applyFill="1"/>
    <xf numFmtId="165" fontId="95" fillId="0" borderId="0" xfId="0" applyNumberFormat="1" applyFont="1"/>
    <xf numFmtId="165" fontId="81" fillId="0" borderId="31" xfId="12" applyNumberFormat="1" applyFont="1" applyBorder="1" applyAlignment="1">
      <alignment horizontal="right"/>
    </xf>
    <xf numFmtId="165" fontId="79" fillId="27" borderId="31" xfId="12" applyNumberFormat="1" applyFont="1" applyFill="1" applyBorder="1" applyAlignment="1">
      <alignment horizontal="right"/>
    </xf>
    <xf numFmtId="165" fontId="4" fillId="0" borderId="0" xfId="0" applyNumberFormat="1" applyFont="1" applyAlignment="1">
      <alignment horizontal="right" vertical="center"/>
    </xf>
    <xf numFmtId="165" fontId="4" fillId="6" borderId="4" xfId="3" applyNumberFormat="1" applyFont="1" applyFill="1" applyBorder="1" applyAlignment="1">
      <alignment horizontal="center" vertical="center"/>
    </xf>
    <xf numFmtId="165" fontId="4" fillId="4" borderId="4" xfId="3" applyNumberFormat="1" applyFont="1" applyFill="1" applyBorder="1" applyAlignment="1">
      <alignment horizontal="center" vertical="center"/>
    </xf>
    <xf numFmtId="165" fontId="4" fillId="4" borderId="5" xfId="3" applyNumberFormat="1" applyFont="1" applyFill="1" applyBorder="1" applyAlignment="1">
      <alignment horizontal="center" vertical="center"/>
    </xf>
    <xf numFmtId="165" fontId="70" fillId="0" borderId="0" xfId="0" applyNumberFormat="1" applyFont="1"/>
    <xf numFmtId="165" fontId="5" fillId="4" borderId="4" xfId="3" applyNumberFormat="1" applyFont="1" applyFill="1" applyBorder="1" applyAlignment="1">
      <alignment horizontal="center" vertical="center"/>
    </xf>
    <xf numFmtId="2" fontId="5" fillId="6" borderId="3" xfId="3" applyNumberFormat="1" applyFont="1" applyFill="1" applyBorder="1" applyAlignment="1">
      <alignment horizontal="center" vertical="center"/>
    </xf>
    <xf numFmtId="2" fontId="5" fillId="6" borderId="5" xfId="3" applyNumberFormat="1" applyFont="1" applyFill="1" applyBorder="1" applyAlignment="1">
      <alignment horizontal="center" vertical="center"/>
    </xf>
    <xf numFmtId="2" fontId="5" fillId="6" borderId="3" xfId="0" applyNumberFormat="1" applyFont="1" applyFill="1" applyBorder="1" applyAlignment="1">
      <alignment horizontal="center" vertical="center"/>
    </xf>
    <xf numFmtId="2" fontId="5" fillId="6" borderId="5" xfId="0" applyNumberFormat="1" applyFont="1" applyFill="1" applyBorder="1" applyAlignment="1">
      <alignment horizontal="center" vertical="center"/>
    </xf>
    <xf numFmtId="165" fontId="4" fillId="6" borderId="3" xfId="0" applyNumberFormat="1" applyFont="1" applyFill="1" applyBorder="1" applyAlignment="1">
      <alignment horizontal="center" vertical="center"/>
    </xf>
    <xf numFmtId="165" fontId="4" fillId="6" borderId="5" xfId="0" applyNumberFormat="1" applyFont="1" applyFill="1" applyBorder="1" applyAlignment="1">
      <alignment horizontal="center" vertical="center"/>
    </xf>
    <xf numFmtId="165" fontId="4" fillId="4" borderId="4" xfId="3" applyNumberFormat="1" applyFont="1" applyFill="1" applyBorder="1" applyAlignment="1">
      <alignment vertical="center"/>
    </xf>
    <xf numFmtId="165" fontId="4" fillId="4" borderId="3" xfId="3" applyNumberFormat="1" applyFont="1" applyFill="1" applyBorder="1" applyAlignment="1">
      <alignment vertical="center"/>
    </xf>
    <xf numFmtId="165" fontId="4" fillId="4" borderId="5" xfId="3" applyNumberFormat="1" applyFont="1" applyFill="1" applyBorder="1" applyAlignment="1">
      <alignment vertical="center"/>
    </xf>
    <xf numFmtId="165" fontId="5" fillId="4" borderId="4" xfId="3" applyNumberFormat="1" applyFont="1" applyFill="1" applyBorder="1" applyAlignment="1">
      <alignment vertical="center"/>
    </xf>
    <xf numFmtId="165" fontId="5" fillId="4" borderId="3" xfId="3" applyNumberFormat="1" applyFont="1" applyFill="1" applyBorder="1" applyAlignment="1">
      <alignment vertical="center"/>
    </xf>
    <xf numFmtId="165" fontId="5" fillId="4" borderId="5" xfId="3" applyNumberFormat="1" applyFont="1" applyFill="1" applyBorder="1" applyAlignment="1">
      <alignment vertical="center"/>
    </xf>
    <xf numFmtId="1" fontId="5" fillId="5" borderId="4" xfId="3" applyNumberFormat="1" applyFont="1" applyFill="1" applyBorder="1" applyAlignment="1">
      <alignment vertical="center"/>
    </xf>
    <xf numFmtId="1" fontId="5" fillId="5" borderId="3" xfId="3" applyNumberFormat="1" applyFont="1" applyFill="1" applyBorder="1" applyAlignment="1">
      <alignment vertical="center"/>
    </xf>
    <xf numFmtId="1" fontId="5" fillId="5" borderId="5" xfId="3" applyNumberFormat="1" applyFont="1" applyFill="1" applyBorder="1" applyAlignment="1">
      <alignment vertical="center"/>
    </xf>
    <xf numFmtId="165" fontId="5" fillId="5" borderId="3" xfId="3" applyNumberFormat="1" applyFont="1" applyFill="1" applyBorder="1" applyAlignment="1">
      <alignment vertical="center"/>
    </xf>
    <xf numFmtId="165" fontId="5" fillId="5" borderId="5" xfId="3" applyNumberFormat="1" applyFont="1" applyFill="1" applyBorder="1" applyAlignment="1">
      <alignment vertical="center"/>
    </xf>
    <xf numFmtId="165" fontId="4" fillId="5" borderId="3" xfId="3" applyNumberFormat="1" applyFont="1" applyFill="1" applyBorder="1" applyAlignment="1">
      <alignment vertical="center"/>
    </xf>
    <xf numFmtId="165" fontId="4" fillId="5" borderId="5" xfId="3" applyNumberFormat="1" applyFont="1" applyFill="1" applyBorder="1" applyAlignment="1">
      <alignment vertical="center"/>
    </xf>
    <xf numFmtId="165" fontId="4" fillId="5" borderId="3" xfId="0" applyNumberFormat="1" applyFont="1" applyFill="1" applyBorder="1" applyAlignment="1">
      <alignment vertical="center"/>
    </xf>
    <xf numFmtId="165" fontId="4" fillId="5" borderId="5" xfId="0" applyNumberFormat="1" applyFont="1" applyFill="1" applyBorder="1" applyAlignment="1">
      <alignment vertical="center"/>
    </xf>
    <xf numFmtId="165" fontId="5" fillId="7" borderId="4" xfId="3" applyNumberFormat="1" applyFont="1" applyFill="1" applyBorder="1" applyAlignment="1">
      <alignment vertical="center"/>
    </xf>
    <xf numFmtId="165" fontId="5" fillId="7" borderId="3" xfId="3" applyNumberFormat="1" applyFont="1" applyFill="1" applyBorder="1" applyAlignment="1">
      <alignment vertical="center"/>
    </xf>
    <xf numFmtId="165" fontId="4" fillId="7" borderId="4" xfId="0" applyNumberFormat="1" applyFont="1" applyFill="1" applyBorder="1" applyAlignment="1">
      <alignment vertical="center"/>
    </xf>
    <xf numFmtId="165" fontId="4" fillId="7" borderId="3" xfId="0" applyNumberFormat="1" applyFont="1" applyFill="1" applyBorder="1" applyAlignment="1">
      <alignment vertical="center"/>
    </xf>
    <xf numFmtId="165" fontId="4" fillId="7" borderId="5" xfId="3" applyNumberFormat="1" applyFont="1" applyFill="1" applyBorder="1" applyAlignment="1">
      <alignment horizontal="center" vertical="center"/>
    </xf>
    <xf numFmtId="165" fontId="4" fillId="7" borderId="5" xfId="3" applyNumberFormat="1" applyFont="1" applyFill="1" applyBorder="1" applyAlignment="1">
      <alignment horizontal="right" vertical="center"/>
    </xf>
    <xf numFmtId="180" fontId="4" fillId="0" borderId="0" xfId="3" applyNumberFormat="1" applyFont="1"/>
    <xf numFmtId="165" fontId="4" fillId="5" borderId="4" xfId="3" applyNumberFormat="1" applyFont="1" applyFill="1" applyBorder="1" applyAlignment="1">
      <alignment vertical="center"/>
    </xf>
    <xf numFmtId="172" fontId="20" fillId="0" borderId="0" xfId="3" applyNumberFormat="1" applyFont="1"/>
    <xf numFmtId="0" fontId="38" fillId="0" borderId="0" xfId="0" applyFont="1" applyAlignment="1">
      <alignment horizontal="center" vertical="center"/>
    </xf>
    <xf numFmtId="165" fontId="4" fillId="5" borderId="0" xfId="0" applyNumberFormat="1" applyFont="1" applyFill="1"/>
    <xf numFmtId="165" fontId="82" fillId="28" borderId="31" xfId="12" applyNumberFormat="1" applyFont="1" applyFill="1" applyBorder="1" applyAlignment="1">
      <alignment horizontal="right"/>
    </xf>
    <xf numFmtId="165" fontId="81" fillId="29" borderId="31" xfId="12" applyNumberFormat="1" applyFont="1" applyFill="1" applyBorder="1" applyAlignment="1">
      <alignment horizontal="right"/>
    </xf>
    <xf numFmtId="165" fontId="4" fillId="9" borderId="0" xfId="0" applyNumberFormat="1" applyFont="1" applyFill="1"/>
    <xf numFmtId="164" fontId="4" fillId="5" borderId="0" xfId="1" applyFont="1" applyFill="1" applyAlignment="1">
      <alignment horizontal="center" vertical="center"/>
    </xf>
    <xf numFmtId="165" fontId="4" fillId="5" borderId="0" xfId="3" applyNumberFormat="1" applyFont="1" applyFill="1"/>
    <xf numFmtId="165" fontId="5" fillId="5" borderId="0" xfId="3" applyNumberFormat="1" applyFont="1" applyFill="1"/>
    <xf numFmtId="165" fontId="81" fillId="28" borderId="31" xfId="12" applyNumberFormat="1" applyFont="1" applyFill="1" applyBorder="1" applyAlignment="1">
      <alignment horizontal="right"/>
    </xf>
    <xf numFmtId="165" fontId="79" fillId="28" borderId="32" xfId="12" applyNumberFormat="1" applyFont="1" applyFill="1" applyBorder="1" applyAlignment="1">
      <alignment horizontal="right"/>
    </xf>
    <xf numFmtId="0" fontId="38" fillId="0" borderId="6" xfId="0" applyFont="1" applyBorder="1" applyAlignment="1">
      <alignment horizontal="center" vertical="center"/>
    </xf>
    <xf numFmtId="0" fontId="96" fillId="0" borderId="6" xfId="0" applyFont="1" applyBorder="1"/>
    <xf numFmtId="0" fontId="38" fillId="0" borderId="0" xfId="0" applyFont="1" applyAlignment="1">
      <alignment horizontal="right"/>
    </xf>
    <xf numFmtId="167" fontId="38" fillId="0" borderId="0" xfId="0" applyNumberFormat="1" applyFont="1"/>
    <xf numFmtId="167" fontId="39" fillId="0" borderId="0" xfId="0" applyNumberFormat="1" applyFont="1"/>
    <xf numFmtId="165" fontId="4" fillId="13" borderId="0" xfId="0" applyNumberFormat="1" applyFont="1" applyFill="1"/>
    <xf numFmtId="0" fontId="3" fillId="0" borderId="0" xfId="0" applyFont="1"/>
    <xf numFmtId="0" fontId="96" fillId="0" borderId="0" xfId="0" applyFont="1"/>
    <xf numFmtId="0" fontId="97" fillId="0" borderId="0" xfId="0" applyFont="1"/>
    <xf numFmtId="0" fontId="97" fillId="0" borderId="6" xfId="0" applyFont="1" applyBorder="1"/>
    <xf numFmtId="2" fontId="38" fillId="0" borderId="30" xfId="0" applyNumberFormat="1" applyFont="1" applyBorder="1"/>
    <xf numFmtId="165" fontId="2" fillId="13" borderId="35" xfId="0" applyNumberFormat="1" applyFont="1" applyFill="1" applyBorder="1"/>
    <xf numFmtId="165" fontId="4" fillId="13" borderId="35" xfId="0" applyNumberFormat="1" applyFont="1" applyFill="1" applyBorder="1"/>
    <xf numFmtId="165" fontId="4" fillId="0" borderId="35" xfId="0" applyNumberFormat="1" applyFont="1" applyBorder="1"/>
    <xf numFmtId="165" fontId="2" fillId="13" borderId="35" xfId="0" applyNumberFormat="1" applyFont="1" applyFill="1" applyBorder="1" applyAlignment="1">
      <alignment wrapText="1" shrinkToFit="1"/>
    </xf>
    <xf numFmtId="0" fontId="39" fillId="0" borderId="0" xfId="0" applyFont="1"/>
    <xf numFmtId="165" fontId="98" fillId="0" borderId="0" xfId="0" applyNumberFormat="1" applyFont="1"/>
    <xf numFmtId="165" fontId="98" fillId="0" borderId="0" xfId="0" quotePrefix="1" applyNumberFormat="1" applyFont="1"/>
    <xf numFmtId="165" fontId="10" fillId="0" borderId="0" xfId="0" applyNumberFormat="1" applyFont="1"/>
    <xf numFmtId="1" fontId="20" fillId="0" borderId="3" xfId="0" applyNumberFormat="1" applyFont="1" applyBorder="1"/>
    <xf numFmtId="1" fontId="31" fillId="0" borderId="3" xfId="0" applyNumberFormat="1" applyFont="1" applyBorder="1"/>
    <xf numFmtId="164" fontId="99" fillId="0" borderId="0" xfId="1" applyFont="1"/>
    <xf numFmtId="0" fontId="19" fillId="10" borderId="0" xfId="6" applyFont="1" applyFill="1" applyAlignment="1">
      <alignment horizontal="left"/>
    </xf>
    <xf numFmtId="4" fontId="2" fillId="0" borderId="7" xfId="0" applyNumberFormat="1" applyFont="1" applyBorder="1"/>
    <xf numFmtId="170" fontId="0" fillId="6" borderId="6" xfId="0" applyNumberFormat="1" applyFill="1" applyBorder="1"/>
    <xf numFmtId="170" fontId="2" fillId="6" borderId="6" xfId="0" applyNumberFormat="1" applyFont="1" applyFill="1" applyBorder="1"/>
    <xf numFmtId="170" fontId="2" fillId="0" borderId="7" xfId="0" applyNumberFormat="1" applyFont="1" applyBorder="1"/>
    <xf numFmtId="181" fontId="0" fillId="0" borderId="6" xfId="0" applyNumberFormat="1" applyBorder="1"/>
    <xf numFmtId="170" fontId="2" fillId="0" borderId="6" xfId="0" applyNumberFormat="1" applyFont="1" applyBorder="1"/>
    <xf numFmtId="170" fontId="0" fillId="9" borderId="6" xfId="0" applyNumberFormat="1" applyFill="1" applyBorder="1"/>
    <xf numFmtId="178" fontId="0" fillId="0" borderId="0" xfId="0" applyNumberFormat="1"/>
    <xf numFmtId="0" fontId="0" fillId="0" borderId="18" xfId="0" applyBorder="1"/>
    <xf numFmtId="0" fontId="0" fillId="0" borderId="20" xfId="0" applyBorder="1"/>
    <xf numFmtId="0" fontId="0" fillId="0" borderId="24" xfId="0" applyBorder="1"/>
    <xf numFmtId="0" fontId="0" fillId="0" borderId="36" xfId="0" applyBorder="1"/>
    <xf numFmtId="0" fontId="0" fillId="0" borderId="37" xfId="0" applyBorder="1"/>
    <xf numFmtId="0" fontId="0" fillId="0" borderId="38" xfId="0" applyBorder="1"/>
    <xf numFmtId="1" fontId="100" fillId="0" borderId="0" xfId="0" applyNumberFormat="1" applyFont="1"/>
    <xf numFmtId="172" fontId="0" fillId="0" borderId="0" xfId="0" applyNumberFormat="1"/>
    <xf numFmtId="0" fontId="0" fillId="0" borderId="0" xfId="0" quotePrefix="1"/>
    <xf numFmtId="0" fontId="100" fillId="0" borderId="0" xfId="0" applyFont="1"/>
    <xf numFmtId="0" fontId="103" fillId="0" borderId="0" xfId="0" applyFont="1"/>
    <xf numFmtId="0" fontId="102" fillId="30" borderId="0" xfId="0" applyFont="1" applyFill="1"/>
    <xf numFmtId="0" fontId="17" fillId="30" borderId="0" xfId="0" applyFont="1" applyFill="1"/>
    <xf numFmtId="0" fontId="102" fillId="0" borderId="0" xfId="0" applyFont="1"/>
    <xf numFmtId="0" fontId="22" fillId="9" borderId="0" xfId="0" applyFont="1" applyFill="1"/>
    <xf numFmtId="0" fontId="21" fillId="9" borderId="0" xfId="0" applyFont="1" applyFill="1"/>
    <xf numFmtId="0" fontId="104" fillId="9" borderId="0" xfId="0" applyFont="1" applyFill="1"/>
    <xf numFmtId="0" fontId="22" fillId="0" borderId="0" xfId="0" applyFont="1"/>
    <xf numFmtId="0" fontId="0" fillId="3" borderId="0" xfId="0" applyFill="1"/>
    <xf numFmtId="0" fontId="101" fillId="3" borderId="0" xfId="0" applyFont="1" applyFill="1"/>
    <xf numFmtId="4" fontId="106" fillId="0" borderId="6" xfId="0" applyNumberFormat="1" applyFont="1" applyBorder="1" applyAlignment="1">
      <alignment horizontal="center" vertical="center" wrapText="1"/>
    </xf>
    <xf numFmtId="0" fontId="106" fillId="0" borderId="6" xfId="0" applyFont="1" applyBorder="1" applyAlignment="1">
      <alignment horizontal="center" vertical="center" wrapText="1"/>
    </xf>
    <xf numFmtId="0" fontId="28" fillId="0" borderId="6" xfId="0" applyFont="1" applyBorder="1" applyAlignment="1">
      <alignment horizontal="left" vertical="center"/>
    </xf>
    <xf numFmtId="165" fontId="4" fillId="0" borderId="6" xfId="0" applyNumberFormat="1" applyFont="1" applyBorder="1" applyAlignment="1">
      <alignment horizontal="right"/>
    </xf>
    <xf numFmtId="165" fontId="28" fillId="9" borderId="6" xfId="0" applyNumberFormat="1" applyFont="1" applyFill="1" applyBorder="1" applyAlignment="1">
      <alignment horizontal="right"/>
    </xf>
    <xf numFmtId="165" fontId="105" fillId="9" borderId="6" xfId="0" applyNumberFormat="1" applyFont="1" applyFill="1" applyBorder="1" applyAlignment="1">
      <alignment horizontal="right"/>
    </xf>
    <xf numFmtId="0" fontId="105" fillId="6" borderId="6" xfId="0" applyFont="1" applyFill="1" applyBorder="1" applyAlignment="1">
      <alignment horizontal="left" vertical="center"/>
    </xf>
    <xf numFmtId="165" fontId="105" fillId="6" borderId="6" xfId="0" applyNumberFormat="1" applyFont="1" applyFill="1" applyBorder="1" applyAlignment="1">
      <alignment horizontal="right"/>
    </xf>
    <xf numFmtId="0" fontId="105" fillId="0" borderId="7" xfId="0" applyFont="1" applyBorder="1" applyAlignment="1">
      <alignment horizontal="left" vertical="center"/>
    </xf>
    <xf numFmtId="165" fontId="105" fillId="0" borderId="7" xfId="0" applyNumberFormat="1" applyFont="1" applyBorder="1" applyAlignment="1">
      <alignment horizontal="right"/>
    </xf>
    <xf numFmtId="0" fontId="4" fillId="0" borderId="6" xfId="0" applyFont="1" applyBorder="1" applyAlignment="1">
      <alignment horizontal="left" vertical="center"/>
    </xf>
    <xf numFmtId="165" fontId="5" fillId="0" borderId="6" xfId="0" applyNumberFormat="1" applyFont="1" applyBorder="1" applyAlignment="1">
      <alignment horizontal="right"/>
    </xf>
    <xf numFmtId="165" fontId="4" fillId="9" borderId="6" xfId="0" applyNumberFormat="1" applyFont="1" applyFill="1" applyBorder="1" applyAlignment="1">
      <alignment horizontal="right"/>
    </xf>
    <xf numFmtId="165" fontId="5" fillId="9" borderId="6" xfId="0" applyNumberFormat="1" applyFont="1" applyFill="1" applyBorder="1" applyAlignment="1">
      <alignment horizontal="right"/>
    </xf>
    <xf numFmtId="165" fontId="5" fillId="6" borderId="6" xfId="0" applyNumberFormat="1" applyFont="1" applyFill="1" applyBorder="1" applyAlignment="1">
      <alignment horizontal="right"/>
    </xf>
    <xf numFmtId="165" fontId="5" fillId="0" borderId="7" xfId="0" applyNumberFormat="1" applyFont="1" applyBorder="1" applyAlignment="1">
      <alignment horizontal="right"/>
    </xf>
    <xf numFmtId="165" fontId="4" fillId="5" borderId="6" xfId="0" applyNumberFormat="1" applyFont="1" applyFill="1" applyBorder="1" applyAlignment="1">
      <alignment horizontal="right"/>
    </xf>
    <xf numFmtId="165" fontId="82" fillId="5" borderId="31" xfId="12" applyNumberFormat="1" applyFont="1" applyFill="1" applyBorder="1" applyAlignment="1">
      <alignment horizontal="right"/>
    </xf>
    <xf numFmtId="165" fontId="4" fillId="5" borderId="3" xfId="3" applyNumberFormat="1" applyFont="1" applyFill="1" applyBorder="1" applyAlignment="1">
      <alignment horizontal="right" vertical="center"/>
    </xf>
    <xf numFmtId="165" fontId="81" fillId="5" borderId="31" xfId="12" applyNumberFormat="1" applyFont="1" applyFill="1" applyBorder="1" applyAlignment="1">
      <alignment horizontal="right"/>
    </xf>
    <xf numFmtId="165" fontId="81" fillId="31" borderId="31" xfId="12" applyNumberFormat="1" applyFont="1" applyFill="1" applyBorder="1" applyAlignment="1">
      <alignment horizontal="right"/>
    </xf>
    <xf numFmtId="165" fontId="79" fillId="31" borderId="31" xfId="12" applyNumberFormat="1" applyFont="1" applyFill="1" applyBorder="1" applyAlignment="1">
      <alignment horizontal="right"/>
    </xf>
    <xf numFmtId="165" fontId="4" fillId="0" borderId="0" xfId="0" applyNumberFormat="1" applyFont="1" applyAlignment="1">
      <alignment horizontal="right"/>
    </xf>
    <xf numFmtId="165" fontId="11" fillId="0" borderId="0" xfId="0" applyNumberFormat="1" applyFont="1"/>
    <xf numFmtId="0" fontId="28" fillId="0" borderId="0" xfId="0" applyFont="1"/>
    <xf numFmtId="0" fontId="3" fillId="32" borderId="0" xfId="14" applyFill="1"/>
    <xf numFmtId="0" fontId="14" fillId="0" borderId="0" xfId="14" applyFont="1"/>
    <xf numFmtId="0" fontId="108" fillId="0" borderId="0" xfId="14" applyFont="1" applyAlignment="1">
      <alignment wrapText="1"/>
    </xf>
    <xf numFmtId="0" fontId="14" fillId="0" borderId="0" xfId="14" applyFont="1" applyAlignment="1">
      <alignment wrapText="1"/>
    </xf>
    <xf numFmtId="182" fontId="108" fillId="0" borderId="0" xfId="14" applyNumberFormat="1" applyFont="1" applyAlignment="1">
      <alignment horizontal="right" wrapText="1"/>
    </xf>
    <xf numFmtId="4" fontId="112" fillId="0" borderId="6" xfId="14" applyNumberFormat="1" applyFont="1" applyBorder="1" applyAlignment="1">
      <alignment horizontal="center" vertical="center" wrapText="1"/>
    </xf>
    <xf numFmtId="0" fontId="113" fillId="0" borderId="6" xfId="14" applyFont="1" applyBorder="1" applyAlignment="1">
      <alignment horizontal="left" vertical="center"/>
    </xf>
    <xf numFmtId="165" fontId="114" fillId="0" borderId="6" xfId="14" applyNumberFormat="1" applyFont="1" applyBorder="1" applyAlignment="1">
      <alignment horizontal="right"/>
    </xf>
    <xf numFmtId="165" fontId="113" fillId="15" borderId="6" xfId="14" applyNumberFormat="1" applyFont="1" applyFill="1" applyBorder="1" applyAlignment="1">
      <alignment horizontal="right"/>
    </xf>
    <xf numFmtId="172" fontId="113" fillId="15" borderId="6" xfId="14" applyNumberFormat="1" applyFont="1" applyFill="1" applyBorder="1" applyAlignment="1">
      <alignment horizontal="right"/>
    </xf>
    <xf numFmtId="165" fontId="111" fillId="15" borderId="6" xfId="14" applyNumberFormat="1" applyFont="1" applyFill="1" applyBorder="1" applyAlignment="1">
      <alignment horizontal="right"/>
    </xf>
    <xf numFmtId="0" fontId="111" fillId="33" borderId="6" xfId="14" applyFont="1" applyFill="1" applyBorder="1" applyAlignment="1">
      <alignment horizontal="left" vertical="center"/>
    </xf>
    <xf numFmtId="165" fontId="111" fillId="33" borderId="6" xfId="14" applyNumberFormat="1" applyFont="1" applyFill="1" applyBorder="1" applyAlignment="1">
      <alignment horizontal="right"/>
    </xf>
    <xf numFmtId="0" fontId="114" fillId="0" borderId="6" xfId="14" applyFont="1" applyBorder="1" applyAlignment="1">
      <alignment horizontal="left" vertical="center"/>
    </xf>
    <xf numFmtId="1" fontId="114" fillId="0" borderId="6" xfId="14" applyNumberFormat="1" applyFont="1" applyBorder="1" applyAlignment="1">
      <alignment horizontal="right"/>
    </xf>
    <xf numFmtId="165" fontId="110" fillId="0" borderId="6" xfId="14" applyNumberFormat="1" applyFont="1" applyBorder="1" applyAlignment="1">
      <alignment horizontal="right"/>
    </xf>
    <xf numFmtId="165" fontId="114" fillId="0" borderId="6" xfId="14" quotePrefix="1" applyNumberFormat="1" applyFont="1" applyBorder="1" applyAlignment="1">
      <alignment horizontal="right"/>
    </xf>
    <xf numFmtId="174" fontId="114" fillId="0" borderId="6" xfId="14" applyNumberFormat="1" applyFont="1" applyBorder="1" applyAlignment="1">
      <alignment horizontal="right"/>
    </xf>
    <xf numFmtId="0" fontId="14" fillId="0" borderId="0" xfId="14" applyFont="1" applyAlignment="1">
      <alignment horizontal="right" wrapText="1"/>
    </xf>
    <xf numFmtId="0" fontId="3" fillId="9" borderId="0" xfId="14" applyFill="1"/>
    <xf numFmtId="0" fontId="21" fillId="9" borderId="0" xfId="14" applyFont="1" applyFill="1"/>
    <xf numFmtId="0" fontId="22" fillId="9" borderId="0" xfId="14" applyFont="1" applyFill="1"/>
    <xf numFmtId="0" fontId="104" fillId="9" borderId="0" xfId="14" applyFont="1" applyFill="1"/>
    <xf numFmtId="0" fontId="101" fillId="3" borderId="0" xfId="14" applyFont="1" applyFill="1"/>
    <xf numFmtId="0" fontId="3" fillId="3" borderId="0" xfId="14" applyFill="1"/>
    <xf numFmtId="4" fontId="106" fillId="0" borderId="6" xfId="14" applyNumberFormat="1" applyFont="1" applyBorder="1" applyAlignment="1">
      <alignment horizontal="center" vertical="center" wrapText="1"/>
    </xf>
    <xf numFmtId="0" fontId="106" fillId="0" borderId="6" xfId="14" applyFont="1" applyBorder="1" applyAlignment="1">
      <alignment horizontal="center" vertical="center" wrapText="1"/>
    </xf>
    <xf numFmtId="0" fontId="28" fillId="0" borderId="6" xfId="14" applyFont="1" applyBorder="1" applyAlignment="1">
      <alignment horizontal="left" vertical="center"/>
    </xf>
    <xf numFmtId="165" fontId="4" fillId="0" borderId="6" xfId="14" applyNumberFormat="1" applyFont="1" applyBorder="1" applyAlignment="1">
      <alignment horizontal="right"/>
    </xf>
    <xf numFmtId="165" fontId="28" fillId="9" borderId="6" xfId="14" applyNumberFormat="1" applyFont="1" applyFill="1" applyBorder="1" applyAlignment="1">
      <alignment horizontal="right"/>
    </xf>
    <xf numFmtId="165" fontId="105" fillId="9" borderId="6" xfId="14" applyNumberFormat="1" applyFont="1" applyFill="1" applyBorder="1" applyAlignment="1">
      <alignment horizontal="right"/>
    </xf>
    <xf numFmtId="0" fontId="105" fillId="6" borderId="6" xfId="14" applyFont="1" applyFill="1" applyBorder="1" applyAlignment="1">
      <alignment horizontal="left" vertical="center"/>
    </xf>
    <xf numFmtId="165" fontId="105" fillId="6" borderId="6" xfId="14" applyNumberFormat="1" applyFont="1" applyFill="1" applyBorder="1" applyAlignment="1">
      <alignment horizontal="right"/>
    </xf>
    <xf numFmtId="0" fontId="105" fillId="0" borderId="7" xfId="14" applyFont="1" applyBorder="1" applyAlignment="1">
      <alignment horizontal="left" vertical="center"/>
    </xf>
    <xf numFmtId="165" fontId="105" fillId="0" borderId="7" xfId="14" applyNumberFormat="1" applyFont="1" applyBorder="1" applyAlignment="1">
      <alignment horizontal="right"/>
    </xf>
    <xf numFmtId="0" fontId="4" fillId="0" borderId="6" xfId="14" applyFont="1" applyBorder="1" applyAlignment="1">
      <alignment horizontal="left" vertical="center"/>
    </xf>
    <xf numFmtId="165" fontId="5" fillId="0" borderId="6" xfId="14" applyNumberFormat="1" applyFont="1" applyBorder="1" applyAlignment="1">
      <alignment horizontal="right"/>
    </xf>
    <xf numFmtId="165" fontId="3" fillId="9" borderId="0" xfId="14" applyNumberFormat="1" applyFill="1"/>
    <xf numFmtId="165" fontId="4" fillId="9" borderId="6" xfId="14" applyNumberFormat="1" applyFont="1" applyFill="1" applyBorder="1" applyAlignment="1">
      <alignment horizontal="right"/>
    </xf>
    <xf numFmtId="165" fontId="5" fillId="9" borderId="6" xfId="14" applyNumberFormat="1" applyFont="1" applyFill="1" applyBorder="1" applyAlignment="1">
      <alignment horizontal="right"/>
    </xf>
    <xf numFmtId="165" fontId="5" fillId="6" borderId="6" xfId="14" applyNumberFormat="1" applyFont="1" applyFill="1" applyBorder="1" applyAlignment="1">
      <alignment horizontal="right"/>
    </xf>
    <xf numFmtId="165" fontId="5" fillId="0" borderId="7" xfId="14" applyNumberFormat="1" applyFont="1" applyBorder="1" applyAlignment="1">
      <alignment horizontal="right"/>
    </xf>
    <xf numFmtId="0" fontId="0" fillId="0" borderId="16" xfId="0" applyBorder="1"/>
    <xf numFmtId="0" fontId="0" fillId="0" borderId="23" xfId="0" applyBorder="1"/>
    <xf numFmtId="0" fontId="0" fillId="0" borderId="19" xfId="0" applyBorder="1"/>
    <xf numFmtId="164" fontId="99" fillId="0" borderId="6" xfId="1" applyFont="1" applyBorder="1"/>
    <xf numFmtId="167" fontId="0" fillId="0" borderId="6" xfId="2" applyNumberFormat="1" applyFont="1" applyBorder="1"/>
    <xf numFmtId="167" fontId="99" fillId="0" borderId="6" xfId="2" applyNumberFormat="1" applyFont="1" applyBorder="1"/>
    <xf numFmtId="172" fontId="4" fillId="0" borderId="6" xfId="0" applyNumberFormat="1" applyFont="1" applyBorder="1" applyAlignment="1">
      <alignment horizontal="right"/>
    </xf>
    <xf numFmtId="165" fontId="0" fillId="3" borderId="0" xfId="0" applyNumberFormat="1" applyFill="1"/>
    <xf numFmtId="165" fontId="79" fillId="34" borderId="31" xfId="12" applyNumberFormat="1" applyFont="1" applyFill="1" applyBorder="1" applyAlignment="1">
      <alignment horizontal="right"/>
    </xf>
    <xf numFmtId="0" fontId="38" fillId="0" borderId="6" xfId="2" applyNumberFormat="1" applyFont="1" applyBorder="1" applyAlignment="1">
      <alignment horizontal="center" vertical="center"/>
    </xf>
    <xf numFmtId="172" fontId="105" fillId="0" borderId="7" xfId="0" applyNumberFormat="1" applyFont="1" applyBorder="1" applyAlignment="1">
      <alignment horizontal="right"/>
    </xf>
    <xf numFmtId="2" fontId="105" fillId="0" borderId="7" xfId="0" applyNumberFormat="1" applyFont="1" applyBorder="1" applyAlignment="1">
      <alignment horizontal="right"/>
    </xf>
    <xf numFmtId="0" fontId="0" fillId="0" borderId="6" xfId="1" applyNumberFormat="1" applyFont="1" applyBorder="1"/>
    <xf numFmtId="2" fontId="5" fillId="0" borderId="6" xfId="0" applyNumberFormat="1" applyFont="1" applyBorder="1" applyAlignment="1">
      <alignment horizontal="right"/>
    </xf>
    <xf numFmtId="2" fontId="105" fillId="6" borderId="6" xfId="0" applyNumberFormat="1" applyFont="1" applyFill="1" applyBorder="1" applyAlignment="1">
      <alignment horizontal="right"/>
    </xf>
    <xf numFmtId="174" fontId="105" fillId="0" borderId="7" xfId="0" applyNumberFormat="1" applyFont="1" applyBorder="1" applyAlignment="1">
      <alignment horizontal="right"/>
    </xf>
    <xf numFmtId="172" fontId="105" fillId="6" borderId="6" xfId="0" applyNumberFormat="1" applyFont="1" applyFill="1" applyBorder="1" applyAlignment="1">
      <alignment horizontal="right"/>
    </xf>
    <xf numFmtId="2" fontId="105" fillId="9" borderId="6" xfId="0" applyNumberFormat="1" applyFont="1" applyFill="1" applyBorder="1" applyAlignment="1">
      <alignment horizontal="right"/>
    </xf>
    <xf numFmtId="2" fontId="4" fillId="0" borderId="6" xfId="0" applyNumberFormat="1" applyFont="1" applyBorder="1" applyAlignment="1">
      <alignment horizontal="right"/>
    </xf>
    <xf numFmtId="1" fontId="3" fillId="0" borderId="0" xfId="0" applyNumberFormat="1" applyFont="1"/>
    <xf numFmtId="172" fontId="3" fillId="0" borderId="0" xfId="0" applyNumberFormat="1" applyFont="1"/>
    <xf numFmtId="172" fontId="88" fillId="0" borderId="0" xfId="0" applyNumberFormat="1" applyFont="1"/>
    <xf numFmtId="1" fontId="88" fillId="0" borderId="0" xfId="0" applyNumberFormat="1" applyFont="1"/>
    <xf numFmtId="1" fontId="0" fillId="0" borderId="0" xfId="0" applyNumberFormat="1"/>
    <xf numFmtId="183" fontId="38" fillId="0" borderId="6" xfId="0" applyNumberFormat="1" applyFont="1" applyBorder="1"/>
    <xf numFmtId="0" fontId="115" fillId="0" borderId="0" xfId="0" applyFont="1"/>
    <xf numFmtId="0" fontId="115" fillId="35" borderId="0" xfId="0" applyFont="1" applyFill="1"/>
    <xf numFmtId="0" fontId="116" fillId="36" borderId="0" xfId="0" applyFont="1" applyFill="1"/>
    <xf numFmtId="0" fontId="117" fillId="36" borderId="0" xfId="0" applyFont="1" applyFill="1"/>
    <xf numFmtId="0" fontId="118" fillId="35" borderId="0" xfId="0" applyFont="1" applyFill="1"/>
    <xf numFmtId="0" fontId="119" fillId="35" borderId="0" xfId="0" applyFont="1" applyFill="1"/>
    <xf numFmtId="0" fontId="120" fillId="35" borderId="0" xfId="0" applyFont="1" applyFill="1"/>
    <xf numFmtId="0" fontId="115" fillId="37" borderId="0" xfId="0" applyFont="1" applyFill="1"/>
    <xf numFmtId="0" fontId="121" fillId="37" borderId="0" xfId="0" applyFont="1" applyFill="1"/>
    <xf numFmtId="0" fontId="123" fillId="0" borderId="6" xfId="0" applyFont="1" applyBorder="1" applyAlignment="1">
      <alignment horizontal="center" vertical="center" wrapText="1"/>
    </xf>
    <xf numFmtId="0" fontId="124" fillId="0" borderId="6" xfId="0" applyFont="1" applyBorder="1" applyAlignment="1">
      <alignment horizontal="left" vertical="center"/>
    </xf>
    <xf numFmtId="165" fontId="82" fillId="0" borderId="6" xfId="0" applyNumberFormat="1" applyFont="1" applyBorder="1" applyAlignment="1">
      <alignment horizontal="right"/>
    </xf>
    <xf numFmtId="165" fontId="82" fillId="35" borderId="6" xfId="0" applyNumberFormat="1" applyFont="1" applyFill="1" applyBorder="1" applyAlignment="1">
      <alignment horizontal="right"/>
    </xf>
    <xf numFmtId="0" fontId="122" fillId="38" borderId="6" xfId="0" applyFont="1" applyFill="1" applyBorder="1" applyAlignment="1">
      <alignment horizontal="left" vertical="center"/>
    </xf>
    <xf numFmtId="165" fontId="78" fillId="38" borderId="6" xfId="0" applyNumberFormat="1" applyFont="1" applyFill="1" applyBorder="1" applyAlignment="1">
      <alignment horizontal="right"/>
    </xf>
    <xf numFmtId="0" fontId="122" fillId="0" borderId="7" xfId="0" applyFont="1" applyBorder="1" applyAlignment="1">
      <alignment horizontal="left" vertical="center"/>
    </xf>
    <xf numFmtId="165" fontId="78" fillId="0" borderId="7" xfId="0" applyNumberFormat="1" applyFont="1" applyBorder="1" applyAlignment="1">
      <alignment horizontal="right"/>
    </xf>
    <xf numFmtId="0" fontId="82" fillId="0" borderId="6" xfId="0" applyFont="1" applyBorder="1" applyAlignment="1">
      <alignment horizontal="left" vertical="center"/>
    </xf>
    <xf numFmtId="165" fontId="82" fillId="39" borderId="31" xfId="12" applyNumberFormat="1" applyFont="1" applyFill="1" applyBorder="1" applyAlignment="1">
      <alignment horizontal="right"/>
    </xf>
    <xf numFmtId="0" fontId="125" fillId="0" borderId="6" xfId="0" applyFont="1" applyBorder="1" applyAlignment="1">
      <alignment horizontal="center" vertical="center" wrapText="1"/>
    </xf>
    <xf numFmtId="165" fontId="24" fillId="0" borderId="6" xfId="0" applyNumberFormat="1" applyFont="1" applyBorder="1" applyAlignment="1">
      <alignment horizontal="right"/>
    </xf>
    <xf numFmtId="165" fontId="95" fillId="9" borderId="0" xfId="0" applyNumberFormat="1" applyFont="1" applyFill="1"/>
    <xf numFmtId="172" fontId="0" fillId="9" borderId="0" xfId="0" applyNumberFormat="1" applyFill="1"/>
    <xf numFmtId="172" fontId="95" fillId="9" borderId="0" xfId="0" applyNumberFormat="1" applyFont="1" applyFill="1"/>
    <xf numFmtId="172" fontId="4" fillId="9" borderId="6" xfId="0" applyNumberFormat="1" applyFont="1" applyFill="1" applyBorder="1" applyAlignment="1">
      <alignment horizontal="right"/>
    </xf>
    <xf numFmtId="172" fontId="5" fillId="6" borderId="6" xfId="0" applyNumberFormat="1" applyFont="1" applyFill="1" applyBorder="1" applyAlignment="1">
      <alignment horizontal="right"/>
    </xf>
    <xf numFmtId="172" fontId="5" fillId="0" borderId="7" xfId="0" applyNumberFormat="1" applyFont="1" applyBorder="1" applyAlignment="1">
      <alignment horizontal="right"/>
    </xf>
    <xf numFmtId="165" fontId="24" fillId="0" borderId="1" xfId="3" applyNumberFormat="1" applyFont="1" applyBorder="1"/>
    <xf numFmtId="184" fontId="38" fillId="0" borderId="6" xfId="0" applyNumberFormat="1" applyFont="1" applyBorder="1"/>
    <xf numFmtId="0" fontId="38" fillId="0" borderId="29" xfId="0" applyFont="1" applyBorder="1" applyAlignment="1">
      <alignment horizontal="left" vertical="center"/>
    </xf>
    <xf numFmtId="0" fontId="38" fillId="0" borderId="10" xfId="0" applyFont="1" applyBorder="1" applyAlignment="1">
      <alignment horizontal="left" vertical="center"/>
    </xf>
    <xf numFmtId="0" fontId="2" fillId="12" borderId="1" xfId="3" applyFont="1" applyFill="1" applyBorder="1" applyAlignment="1">
      <alignment horizontal="center" vertical="center"/>
    </xf>
    <xf numFmtId="0" fontId="2" fillId="12" borderId="0" xfId="3" applyFont="1" applyFill="1" applyAlignment="1">
      <alignment horizontal="center" vertical="center"/>
    </xf>
    <xf numFmtId="0" fontId="2" fillId="12" borderId="2" xfId="3" applyFont="1" applyFill="1" applyBorder="1" applyAlignment="1">
      <alignment horizontal="center" vertical="center"/>
    </xf>
    <xf numFmtId="0" fontId="2" fillId="2" borderId="1" xfId="3" applyFont="1" applyFill="1" applyBorder="1" applyAlignment="1">
      <alignment horizontal="center" vertical="center"/>
    </xf>
    <xf numFmtId="0" fontId="2" fillId="2" borderId="0" xfId="3" applyFont="1" applyFill="1" applyAlignment="1">
      <alignment horizontal="center" vertical="center"/>
    </xf>
    <xf numFmtId="0" fontId="4" fillId="4" borderId="0" xfId="3" applyFont="1" applyFill="1" applyAlignment="1">
      <alignment horizontal="center" vertical="center" wrapText="1"/>
    </xf>
    <xf numFmtId="0" fontId="4" fillId="5" borderId="0" xfId="3" applyFont="1" applyFill="1" applyAlignment="1">
      <alignment horizontal="center" vertical="center" wrapText="1"/>
    </xf>
    <xf numFmtId="0" fontId="4" fillId="6" borderId="0" xfId="3" applyFont="1" applyFill="1" applyAlignment="1">
      <alignment horizontal="center" vertical="center" wrapText="1"/>
    </xf>
    <xf numFmtId="165" fontId="5" fillId="7" borderId="0" xfId="3" applyNumberFormat="1" applyFont="1" applyFill="1" applyAlignment="1">
      <alignment horizontal="center" vertical="center"/>
    </xf>
    <xf numFmtId="0" fontId="5" fillId="0" borderId="0" xfId="3" applyFont="1" applyAlignment="1">
      <alignment horizontal="center" vertical="center"/>
    </xf>
    <xf numFmtId="0" fontId="5" fillId="0" borderId="0" xfId="0" applyFont="1" applyAlignment="1">
      <alignment horizontal="center" vertical="center"/>
    </xf>
    <xf numFmtId="0" fontId="1" fillId="2" borderId="0" xfId="3" applyFont="1" applyFill="1" applyAlignment="1">
      <alignment horizontal="center" vertical="center"/>
    </xf>
    <xf numFmtId="0" fontId="1" fillId="2" borderId="2" xfId="3" applyFont="1" applyFill="1" applyBorder="1" applyAlignment="1">
      <alignment horizontal="center" vertical="center"/>
    </xf>
    <xf numFmtId="0" fontId="4" fillId="2" borderId="1" xfId="0" applyFont="1" applyFill="1" applyBorder="1" applyAlignment="1">
      <alignment horizontal="center" vertical="center"/>
    </xf>
    <xf numFmtId="0" fontId="4" fillId="2" borderId="0" xfId="0" applyFont="1" applyFill="1" applyAlignment="1">
      <alignment horizontal="center" vertical="center"/>
    </xf>
    <xf numFmtId="0" fontId="2" fillId="3" borderId="3" xfId="3" applyFont="1" applyFill="1" applyBorder="1" applyAlignment="1">
      <alignment horizontal="center" vertical="center"/>
    </xf>
    <xf numFmtId="0" fontId="2" fillId="3" borderId="1" xfId="3" applyFont="1" applyFill="1" applyBorder="1" applyAlignment="1">
      <alignment horizontal="center" vertical="center"/>
    </xf>
    <xf numFmtId="0" fontId="2" fillId="3" borderId="0" xfId="3" applyFont="1" applyFill="1" applyAlignment="1">
      <alignment horizontal="center" vertical="center"/>
    </xf>
    <xf numFmtId="0" fontId="2" fillId="3" borderId="2" xfId="3" applyFont="1" applyFill="1" applyBorder="1" applyAlignment="1">
      <alignment horizontal="center" vertical="center"/>
    </xf>
    <xf numFmtId="0" fontId="101" fillId="3" borderId="0" xfId="0" applyFont="1" applyFill="1" applyAlignment="1">
      <alignment horizontal="center"/>
    </xf>
    <xf numFmtId="0" fontId="5" fillId="0" borderId="6" xfId="0" applyFont="1" applyBorder="1" applyAlignment="1">
      <alignment horizontal="center" vertical="center" wrapText="1"/>
    </xf>
    <xf numFmtId="0" fontId="105" fillId="0" borderId="6" xfId="0" applyFont="1" applyBorder="1" applyAlignment="1">
      <alignment horizontal="center" vertical="center" wrapText="1"/>
    </xf>
    <xf numFmtId="0" fontId="105" fillId="0" borderId="4" xfId="0" applyFont="1" applyBorder="1" applyAlignment="1">
      <alignment horizontal="center" vertical="center" wrapText="1"/>
    </xf>
    <xf numFmtId="0" fontId="105" fillId="0" borderId="5" xfId="0" applyFont="1" applyBorder="1" applyAlignment="1">
      <alignment horizontal="center" vertical="center" wrapText="1"/>
    </xf>
    <xf numFmtId="0" fontId="79" fillId="0" borderId="31" xfId="12" applyFont="1" applyBorder="1" applyAlignment="1">
      <alignment horizontal="center" vertical="center" wrapText="1"/>
    </xf>
    <xf numFmtId="0" fontId="78" fillId="0" borderId="31" xfId="12" applyFont="1" applyBorder="1" applyAlignment="1">
      <alignment horizontal="center" vertical="center" wrapText="1"/>
    </xf>
    <xf numFmtId="0" fontId="111" fillId="0" borderId="6" xfId="14" applyFont="1" applyBorder="1" applyAlignment="1">
      <alignment horizontal="center" vertical="center" wrapText="1"/>
    </xf>
    <xf numFmtId="0" fontId="110" fillId="0" borderId="6" xfId="14" applyFont="1" applyBorder="1" applyAlignment="1">
      <alignment horizontal="center" vertical="center" wrapText="1"/>
    </xf>
    <xf numFmtId="0" fontId="109" fillId="0" borderId="0" xfId="14" applyFont="1" applyAlignment="1">
      <alignment horizontal="center" wrapText="1"/>
    </xf>
    <xf numFmtId="0" fontId="107" fillId="0" borderId="0" xfId="14" applyFont="1" applyAlignment="1">
      <alignment horizontal="center" wrapText="1"/>
    </xf>
    <xf numFmtId="0" fontId="105" fillId="0" borderId="30" xfId="0" applyFont="1" applyBorder="1" applyAlignment="1">
      <alignment horizontal="center" vertical="center" wrapText="1"/>
    </xf>
    <xf numFmtId="0" fontId="105" fillId="0" borderId="7" xfId="0" applyFont="1" applyBorder="1" applyAlignment="1">
      <alignment horizontal="center" vertical="center" wrapText="1"/>
    </xf>
    <xf numFmtId="0" fontId="105" fillId="0" borderId="35"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165" fontId="105" fillId="0" borderId="4" xfId="0" applyNumberFormat="1" applyFont="1" applyBorder="1" applyAlignment="1">
      <alignment horizontal="center" vertical="center" wrapText="1"/>
    </xf>
    <xf numFmtId="165" fontId="105" fillId="0" borderId="5" xfId="0" applyNumberFormat="1" applyFont="1" applyBorder="1" applyAlignment="1">
      <alignment horizontal="center" vertical="center" wrapText="1"/>
    </xf>
    <xf numFmtId="0" fontId="105" fillId="0" borderId="4" xfId="14" applyFont="1" applyBorder="1" applyAlignment="1">
      <alignment horizontal="center" vertical="center" wrapText="1"/>
    </xf>
    <xf numFmtId="0" fontId="105" fillId="0" borderId="5" xfId="14" applyFont="1" applyBorder="1" applyAlignment="1">
      <alignment horizontal="center" vertical="center" wrapText="1"/>
    </xf>
    <xf numFmtId="0" fontId="105" fillId="0" borderId="30" xfId="14" applyFont="1" applyBorder="1" applyAlignment="1">
      <alignment horizontal="center" vertical="center" wrapText="1"/>
    </xf>
    <xf numFmtId="0" fontId="105" fillId="0" borderId="7" xfId="14" applyFont="1" applyBorder="1" applyAlignment="1">
      <alignment horizontal="center" vertical="center" wrapText="1"/>
    </xf>
    <xf numFmtId="0" fontId="105" fillId="0" borderId="35" xfId="14" applyFont="1" applyBorder="1" applyAlignment="1">
      <alignment horizontal="center" vertical="center" wrapText="1"/>
    </xf>
    <xf numFmtId="0" fontId="5" fillId="0" borderId="4" xfId="14" applyFont="1" applyBorder="1" applyAlignment="1">
      <alignment horizontal="center" vertical="center" wrapText="1"/>
    </xf>
    <xf numFmtId="0" fontId="5" fillId="0" borderId="5" xfId="14" applyFont="1" applyBorder="1" applyAlignment="1">
      <alignment horizontal="center" vertical="center" wrapText="1"/>
    </xf>
    <xf numFmtId="0" fontId="122" fillId="0" borderId="4" xfId="0" applyFont="1" applyBorder="1" applyAlignment="1">
      <alignment horizontal="center" vertical="center" wrapText="1"/>
    </xf>
    <xf numFmtId="0" fontId="122" fillId="0" borderId="5" xfId="0" applyFont="1" applyBorder="1" applyAlignment="1">
      <alignment horizontal="center" vertical="center" wrapText="1"/>
    </xf>
    <xf numFmtId="0" fontId="122" fillId="0" borderId="30" xfId="0" applyFont="1" applyBorder="1" applyAlignment="1">
      <alignment horizontal="center" vertical="center" wrapText="1"/>
    </xf>
    <xf numFmtId="0" fontId="122" fillId="0" borderId="7" xfId="0" applyFont="1" applyBorder="1" applyAlignment="1">
      <alignment horizontal="center" vertical="center" wrapText="1"/>
    </xf>
    <xf numFmtId="0" fontId="122" fillId="0" borderId="35" xfId="0" applyFont="1" applyBorder="1" applyAlignment="1">
      <alignment horizontal="center" vertical="center" wrapText="1"/>
    </xf>
    <xf numFmtId="0" fontId="78" fillId="0" borderId="4" xfId="0" applyFont="1" applyBorder="1" applyAlignment="1">
      <alignment horizontal="center" vertical="center" wrapText="1"/>
    </xf>
    <xf numFmtId="0" fontId="78" fillId="0" borderId="5" xfId="0" applyFont="1" applyBorder="1" applyAlignment="1">
      <alignment horizontal="center" vertical="center" wrapText="1"/>
    </xf>
    <xf numFmtId="0" fontId="86" fillId="26" borderId="0" xfId="14" applyFont="1" applyFill="1" applyAlignment="1">
      <alignment horizontal="left" wrapText="1"/>
    </xf>
    <xf numFmtId="0" fontId="87" fillId="26" borderId="0" xfId="14" applyFont="1" applyFill="1" applyAlignment="1">
      <alignment horizontal="left" wrapText="1"/>
    </xf>
  </cellXfs>
  <cellStyles count="16">
    <cellStyle name="Milliers" xfId="1" builtinId="3"/>
    <cellStyle name="Milliers 2 6" xfId="8" xr:uid="{00000000-0005-0000-0000-000001000000}"/>
    <cellStyle name="Milliers 3" xfId="4" xr:uid="{00000000-0005-0000-0000-000002000000}"/>
    <cellStyle name="Normal" xfId="0" builtinId="0"/>
    <cellStyle name="Normal 10" xfId="13" xr:uid="{D526C8E5-DC3E-4B2F-AE05-06CA4909BCCA}"/>
    <cellStyle name="Normal 13 5 2 2 3 3" xfId="14" xr:uid="{757DBD51-59E5-4286-9CB7-14E9DE35CB9B}"/>
    <cellStyle name="Normal 2" xfId="12" xr:uid="{6816B5FE-6C8E-40D8-80D6-9B82B8E3D7C1}"/>
    <cellStyle name="Normal 2 2" xfId="3" xr:uid="{00000000-0005-0000-0000-000004000000}"/>
    <cellStyle name="Normal 2 3 17" xfId="6" xr:uid="{00000000-0005-0000-0000-000005000000}"/>
    <cellStyle name="Normal 3 9" xfId="9" xr:uid="{00000000-0005-0000-0000-000006000000}"/>
    <cellStyle name="Normal 54" xfId="10" xr:uid="{00000000-0005-0000-0000-000007000000}"/>
    <cellStyle name="Pourcentage" xfId="2" builtinId="5"/>
    <cellStyle name="Pourcentage 2" xfId="15" xr:uid="{017B87BF-E386-4C8E-9E6B-7A040190B655}"/>
    <cellStyle name="Pourcentage 2 2" xfId="5" xr:uid="{00000000-0005-0000-0000-000009000000}"/>
    <cellStyle name="Pourcentage 2 6" xfId="7" xr:uid="{00000000-0005-0000-0000-00000A000000}"/>
    <cellStyle name="Texte explicatif" xfId="11" builtinId="53"/>
  </cellStyles>
  <dxfs count="3179">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theme="5"/>
        </patternFill>
      </fill>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theme="5"/>
        </patternFill>
      </fill>
    </dxf>
    <dxf>
      <fill>
        <patternFill>
          <bgColor theme="5"/>
        </patternFill>
      </fill>
    </dxf>
    <dxf>
      <fill>
        <patternFill>
          <bgColor theme="5"/>
        </patternFill>
      </fill>
    </dxf>
    <dxf>
      <fill>
        <patternFill>
          <bgColor theme="5"/>
        </patternFill>
      </fill>
    </dxf>
    <dxf>
      <numFmt numFmtId="185" formatCode="#,##0_ ;\-#,##0\ "/>
    </dxf>
    <dxf>
      <fill>
        <patternFill patternType="solid">
          <fgColor rgb="FFEC6625"/>
          <bgColor rgb="FFEC6625"/>
        </patternFill>
      </fill>
    </dxf>
    <dxf>
      <fill>
        <patternFill patternType="solid">
          <fgColor rgb="FFEC6625"/>
          <bgColor rgb="FFEC6625"/>
        </patternFill>
      </fill>
    </dxf>
    <dxf>
      <fill>
        <patternFill patternType="solid">
          <fgColor rgb="FFEC6625"/>
          <bgColor rgb="FFEC6625"/>
        </patternFill>
      </fill>
    </dxf>
    <dxf>
      <numFmt numFmtId="186" formatCode="#,##0_ ;\-#,##0,"/>
    </dxf>
    <dxf>
      <numFmt numFmtId="186" formatCode="#,##0_ ;\-#,##0,"/>
    </dxf>
    <dxf>
      <numFmt numFmtId="186" formatCode="#,##0_ ;\-#,##0,"/>
    </dxf>
    <dxf>
      <numFmt numFmtId="186" formatCode="#,##0_ ;\-#,##0,"/>
    </dxf>
    <dxf>
      <numFmt numFmtId="186" formatCode="#,##0_ ;\-#,##0,"/>
    </dxf>
    <dxf>
      <numFmt numFmtId="186" formatCode="#,##0_ ;\-#,##0,"/>
    </dxf>
    <dxf>
      <numFmt numFmtId="186" formatCode="#,##0_ ;\-#,##0,"/>
    </dxf>
    <dxf>
      <numFmt numFmtId="186" formatCode="#,##0_ ;\-#,##0,"/>
    </dxf>
    <dxf>
      <numFmt numFmtId="186" formatCode="#,##0_ ;\-#,##0,"/>
    </dxf>
    <dxf>
      <numFmt numFmtId="186" formatCode="#,##0_ ;\-#,##0,"/>
    </dxf>
    <dxf>
      <numFmt numFmtId="186" formatCode="#,##0_ ;\-#,##0,"/>
    </dxf>
    <dxf>
      <numFmt numFmtId="186" formatCode="#,##0_ ;\-#,##0,"/>
    </dxf>
    <dxf>
      <numFmt numFmtId="186" formatCode="#,##0_ ;\-#,##0,"/>
    </dxf>
    <dxf>
      <numFmt numFmtId="186" formatCode="#,##0_ ;\-#,##0,"/>
    </dxf>
    <dxf>
      <numFmt numFmtId="186" formatCode="#,##0_ ;\-#,##0,"/>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numFmt numFmtId="185" formatCode="#,##0_ ;\-#,##0\ "/>
    </dxf>
    <dxf>
      <numFmt numFmtId="185" formatCode="#,##0_ ;\-#,##0\ "/>
    </dxf>
    <dxf>
      <numFmt numFmtId="185" formatCode="#,##0_ ;\-#,##0\ "/>
    </dxf>
    <dxf>
      <numFmt numFmtId="185" formatCode="#,##0_ ;\-#,##0\ "/>
    </dxf>
    <dxf>
      <fill>
        <patternFill patternType="solid">
          <fgColor rgb="FFEC6625"/>
          <bgColor rgb="FFEC6625"/>
        </patternFill>
      </fill>
    </dxf>
    <dxf>
      <fill>
        <patternFill patternType="solid">
          <fgColor rgb="FFEC6625"/>
          <bgColor rgb="FFEC6625"/>
        </patternFill>
      </fill>
    </dxf>
    <dxf>
      <fill>
        <patternFill patternType="solid">
          <fgColor rgb="FFEC6625"/>
          <bgColor rgb="FFEC6625"/>
        </patternFill>
      </fill>
    </dxf>
    <dxf>
      <numFmt numFmtId="185" formatCode="#,##0_ ;\-#,##0\ "/>
    </dxf>
    <dxf>
      <fill>
        <patternFill patternType="solid">
          <fgColor rgb="FFEC6625"/>
          <bgColor rgb="FFEC6625"/>
        </patternFill>
      </fill>
    </dxf>
    <dxf>
      <numFmt numFmtId="185" formatCode="#,##0_ ;\-#,##0\ "/>
    </dxf>
    <dxf>
      <numFmt numFmtId="185" formatCode="#,##0_ ;\-#,##0\ "/>
    </dxf>
    <dxf>
      <numFmt numFmtId="185" formatCode="#,##0_ ;\-#,##0\ "/>
    </dxf>
    <dxf>
      <fill>
        <patternFill patternType="solid">
          <fgColor rgb="FFEC6625"/>
          <bgColor rgb="FFEC6625"/>
        </patternFill>
      </fill>
    </dxf>
    <dxf>
      <fill>
        <patternFill>
          <bgColor theme="5"/>
        </patternFill>
      </fill>
    </dxf>
    <dxf>
      <fill>
        <patternFill>
          <bgColor theme="5"/>
        </patternFill>
      </fill>
    </dxf>
    <dxf>
      <fill>
        <patternFill>
          <bgColor theme="5"/>
        </patternFill>
      </fill>
    </dxf>
    <dxf>
      <fill>
        <patternFill>
          <bgColor theme="5"/>
        </patternFill>
      </fill>
    </dxf>
    <dxf>
      <numFmt numFmtId="185" formatCode="#,##0_ ;\-#,##0\ "/>
    </dxf>
    <dxf>
      <fill>
        <patternFill patternType="solid">
          <fgColor rgb="FFEC6625"/>
          <bgColor rgb="FFEC6625"/>
        </patternFill>
      </fill>
    </dxf>
    <dxf>
      <fill>
        <patternFill patternType="solid">
          <fgColor rgb="FFEC6625"/>
          <bgColor rgb="FFEC6625"/>
        </patternFill>
      </fill>
    </dxf>
    <dxf>
      <fill>
        <patternFill patternType="solid">
          <fgColor rgb="FFEC6625"/>
          <bgColor rgb="FFEC6625"/>
        </patternFill>
      </fill>
    </dxf>
    <dxf>
      <fill>
        <patternFill patternType="solid">
          <fgColor rgb="FFEC6625"/>
          <bgColor rgb="FFEC6625"/>
        </patternFill>
      </fill>
    </dxf>
    <dxf>
      <fill>
        <patternFill patternType="solid">
          <fgColor rgb="FFEC6625"/>
          <bgColor rgb="FFEC6625"/>
        </patternFill>
      </fill>
    </dxf>
    <dxf>
      <numFmt numFmtId="185" formatCode="#,##0_ ;\-#,##0\ "/>
    </dxf>
    <dxf>
      <fill>
        <patternFill patternType="solid">
          <fgColor rgb="FFEC6625"/>
          <bgColor rgb="FFEC6625"/>
        </patternFill>
      </fill>
    </dxf>
    <dxf>
      <numFmt numFmtId="185" formatCode="#,##0_ ;\-#,##0\ "/>
    </dxf>
    <dxf>
      <numFmt numFmtId="185" formatCode="#,##0_ ;\-#,##0\ "/>
    </dxf>
    <dxf>
      <numFmt numFmtId="185" formatCode="#,##0_ ;\-#,##0\ "/>
    </dxf>
    <dxf>
      <fill>
        <patternFill patternType="solid">
          <fgColor rgb="FFEC6625"/>
          <bgColor rgb="FFEC6625"/>
        </patternFill>
      </fill>
    </dxf>
    <dxf>
      <fill>
        <patternFill>
          <bgColor theme="5"/>
        </patternFill>
      </fill>
    </dxf>
    <dxf>
      <fill>
        <patternFill>
          <bgColor theme="5"/>
        </patternFill>
      </fill>
    </dxf>
    <dxf>
      <fill>
        <patternFill>
          <bgColor theme="5"/>
        </patternFill>
      </fill>
    </dxf>
    <dxf>
      <fill>
        <patternFill>
          <bgColor theme="5"/>
        </patternFill>
      </fill>
    </dxf>
    <dxf>
      <numFmt numFmtId="185" formatCode="#,##0_ ;\-#,##0\ "/>
    </dxf>
    <dxf>
      <fill>
        <patternFill patternType="solid">
          <fgColor rgb="FFEC6625"/>
          <bgColor rgb="FFEC6625"/>
        </patternFill>
      </fill>
    </dxf>
    <dxf>
      <fill>
        <patternFill patternType="solid">
          <fgColor rgb="FFEC6625"/>
          <bgColor rgb="FFEC6625"/>
        </patternFill>
      </fill>
    </dxf>
    <dxf>
      <fill>
        <patternFill patternType="solid">
          <fgColor rgb="FFEC6625"/>
          <bgColor rgb="FFEC6625"/>
        </patternFill>
      </fill>
    </dxf>
    <dxf>
      <fill>
        <patternFill patternType="solid">
          <fgColor rgb="FFEC6625"/>
          <bgColor rgb="FFEC6625"/>
        </patternFill>
      </fill>
    </dxf>
    <dxf>
      <fill>
        <patternFill patternType="solid">
          <fgColor rgb="FFEC6625"/>
          <bgColor rgb="FFEC6625"/>
        </patternFill>
      </fill>
    </dxf>
    <dxf>
      <numFmt numFmtId="185" formatCode="#,##0_ ;\-#,##0\ "/>
    </dxf>
    <dxf>
      <fill>
        <patternFill patternType="solid">
          <fgColor rgb="FFEC6625"/>
          <bgColor rgb="FFEC6625"/>
        </patternFill>
      </fill>
    </dxf>
    <dxf>
      <numFmt numFmtId="185" formatCode="#,##0_ ;\-#,##0\ "/>
    </dxf>
    <dxf>
      <numFmt numFmtId="185" formatCode="#,##0_ ;\-#,##0\ "/>
    </dxf>
    <dxf>
      <numFmt numFmtId="185" formatCode="#,##0_ ;\-#,##0\ "/>
    </dxf>
    <dxf>
      <fill>
        <patternFill patternType="solid">
          <fgColor rgb="FFEC6625"/>
          <bgColor rgb="FFEC6625"/>
        </patternFill>
      </fill>
    </dxf>
    <dxf>
      <fill>
        <patternFill>
          <bgColor theme="5"/>
        </patternFill>
      </fill>
    </dxf>
    <dxf>
      <fill>
        <patternFill>
          <bgColor theme="5"/>
        </patternFill>
      </fill>
    </dxf>
    <dxf>
      <fill>
        <patternFill>
          <bgColor theme="5"/>
        </patternFill>
      </fill>
    </dxf>
    <dxf>
      <fill>
        <patternFill>
          <bgColor theme="5"/>
        </patternFill>
      </fill>
    </dxf>
    <dxf>
      <numFmt numFmtId="185" formatCode="#,##0_ ;\-#,##0\ "/>
    </dxf>
    <dxf>
      <fill>
        <patternFill patternType="solid">
          <fgColor rgb="FFEC6625"/>
          <bgColor rgb="FFEC6625"/>
        </patternFill>
      </fill>
    </dxf>
    <dxf>
      <fill>
        <patternFill patternType="solid">
          <fgColor rgb="FFEC6625"/>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theme="5"/>
        </patternFill>
      </fill>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theme="5"/>
        </patternFill>
      </fill>
    </dxf>
    <dxf>
      <fill>
        <patternFill>
          <bgColor theme="5"/>
        </patternFill>
      </fill>
    </dxf>
    <dxf>
      <fill>
        <patternFill>
          <bgColor theme="5"/>
        </patternFill>
      </fill>
    </dxf>
    <dxf>
      <fill>
        <patternFill>
          <bgColor theme="5"/>
        </patternFill>
      </fill>
    </dxf>
    <dxf>
      <numFmt numFmtId="185" formatCode="#,##0_ ;\-#,##0\ "/>
    </dxf>
    <dxf>
      <fill>
        <patternFill patternType="solid">
          <fgColor rgb="FFEC6625"/>
          <bgColor rgb="FFEC6625"/>
        </patternFill>
      </fill>
    </dxf>
    <dxf>
      <fill>
        <patternFill patternType="solid">
          <fgColor rgb="FFEC6625"/>
          <bgColor rgb="FFEC6625"/>
        </patternFill>
      </fill>
    </dxf>
    <dxf>
      <fill>
        <patternFill patternType="solid">
          <fgColor rgb="FFEC6625"/>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numFmt numFmtId="185" formatCode="#,##0_ ;\-#,##0\ "/>
    </dxf>
    <dxf>
      <numFmt numFmtId="185" formatCode="#,##0_ ;\-#,##0\ "/>
    </dxf>
    <dxf>
      <numFmt numFmtId="185" formatCode="#,##0_ ;\-#,##0\ "/>
    </dxf>
    <dxf>
      <numFmt numFmtId="185" formatCode="#,##0_ ;\-#,##0\ "/>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patternType="solid">
          <fgColor rgb="FFEC6625"/>
          <bgColor rgb="FFEC6625"/>
        </patternFill>
      </fill>
    </dxf>
    <dxf>
      <fill>
        <patternFill patternType="solid">
          <fgColor rgb="FFEC6625"/>
          <bgColor rgb="FFEC6625"/>
        </patternFill>
      </fill>
    </dxf>
    <dxf>
      <numFmt numFmtId="185" formatCode="#,##0_ ;\-#,##0\ "/>
    </dxf>
    <dxf>
      <fill>
        <patternFill patternType="solid">
          <fgColor rgb="FFEC6625"/>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numFmt numFmtId="185" formatCode="#,##0_ ;\-#,##0\ "/>
    </dxf>
    <dxf>
      <fill>
        <patternFill>
          <bgColor rgb="FFEC6625"/>
        </patternFill>
      </fill>
    </dxf>
    <dxf>
      <fill>
        <patternFill>
          <bgColor rgb="FFEC662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patternType="solid">
          <fgColor rgb="FFEC6625"/>
          <bgColor rgb="FFEC6625"/>
        </patternFill>
      </fill>
    </dxf>
    <dxf>
      <numFmt numFmtId="185" formatCode="#,##0_ ;\-#,##0\ "/>
    </dxf>
    <dxf>
      <fill>
        <patternFill patternType="solid">
          <fgColor rgb="FFEC6625"/>
          <bgColor rgb="FFEC6625"/>
        </patternFill>
      </fill>
    </dxf>
    <dxf>
      <numFmt numFmtId="185" formatCode="#,##0_ ;\-#,##0\ "/>
    </dxf>
    <dxf>
      <fill>
        <patternFill patternType="solid">
          <fgColor rgb="FFEC6625"/>
          <bgColor rgb="FFEC6625"/>
        </patternFill>
      </fill>
    </dxf>
    <dxf>
      <numFmt numFmtId="185" formatCode="#,##0_ ;\-#,##0\ "/>
    </dxf>
    <dxf>
      <fill>
        <patternFill patternType="solid">
          <fgColor rgb="FFEC6625"/>
          <bgColor rgb="FFEC6625"/>
        </patternFill>
      </fill>
    </dxf>
    <dxf>
      <numFmt numFmtId="185" formatCode="#,##0_ ;\-#,##0\ "/>
    </dxf>
    <dxf>
      <fill>
        <patternFill patternType="solid">
          <fgColor rgb="FFEC6625"/>
          <bgColor rgb="FFEC6625"/>
        </patternFill>
      </fill>
    </dxf>
    <dxf>
      <numFmt numFmtId="185" formatCode="#,##0_ ;\-#,##0\ "/>
    </dxf>
    <dxf>
      <fill>
        <patternFill patternType="solid">
          <fgColor rgb="FFEC6625"/>
          <bgColor rgb="FFEC6625"/>
        </patternFill>
      </fill>
    </dxf>
    <dxf>
      <numFmt numFmtId="185" formatCode="#,##0_ ;\-#,##0\ "/>
    </dxf>
    <dxf>
      <fill>
        <patternFill patternType="solid">
          <fgColor rgb="FFEC6625"/>
          <bgColor rgb="FFEC6625"/>
        </patternFill>
      </fill>
    </dxf>
    <dxf>
      <numFmt numFmtId="185" formatCode="#,##0_ ;\-#,##0\ "/>
    </dxf>
    <dxf>
      <fill>
        <patternFill patternType="solid">
          <fgColor rgb="FFEC6625"/>
          <bgColor rgb="FFEC6625"/>
        </patternFill>
      </fill>
    </dxf>
    <dxf>
      <numFmt numFmtId="185" formatCode="#,##0_ ;\-#,##0\ "/>
    </dxf>
    <dxf>
      <fill>
        <patternFill patternType="solid">
          <fgColor rgb="FFEC6625"/>
          <bgColor rgb="FFEC6625"/>
        </patternFill>
      </fill>
    </dxf>
    <dxf>
      <fill>
        <patternFill patternType="solid">
          <fgColor rgb="FFEC6625"/>
          <bgColor rgb="FFEC6625"/>
        </patternFill>
      </fill>
    </dxf>
    <dxf>
      <fill>
        <patternFill patternType="solid">
          <fgColor rgb="FFEC6625"/>
          <bgColor rgb="FFEC6625"/>
        </patternFill>
      </fill>
    </dxf>
    <dxf>
      <fill>
        <patternFill patternType="solid">
          <fgColor rgb="FFEC6625"/>
          <bgColor rgb="FFEC6625"/>
        </patternFill>
      </fill>
    </dxf>
    <dxf>
      <numFmt numFmtId="185" formatCode="#,##0_ ;\-#,##0\ "/>
    </dxf>
    <dxf>
      <fill>
        <patternFill patternType="solid">
          <fgColor rgb="FFEC6625"/>
          <bgColor rgb="FFEC6625"/>
        </patternFill>
      </fill>
    </dxf>
    <dxf>
      <numFmt numFmtId="185" formatCode="#,##0_ ;\-#,##0\ "/>
    </dxf>
    <dxf>
      <numFmt numFmtId="185" formatCode="#,##0_ ;\-#,##0\ "/>
    </dxf>
    <dxf>
      <numFmt numFmtId="185" formatCode="#,##0_ ;\-#,##0\ "/>
    </dxf>
    <dxf>
      <fill>
        <patternFill>
          <bgColor theme="5"/>
        </patternFill>
      </fill>
    </dxf>
    <dxf>
      <fill>
        <patternFill>
          <bgColor theme="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fill>
        <patternFill>
          <bgColor theme="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ill>
        <patternFill>
          <bgColor theme="5"/>
        </patternFill>
      </fill>
    </dxf>
    <dxf>
      <fill>
        <patternFill>
          <bgColor theme="5"/>
        </patternFill>
      </fill>
    </dxf>
    <dxf>
      <numFmt numFmtId="185" formatCode="#,##0_ ;\-#,##0\ "/>
    </dxf>
    <dxf>
      <fill>
        <patternFill>
          <bgColor theme="5"/>
        </patternFill>
      </fill>
    </dxf>
    <dxf>
      <fill>
        <patternFill>
          <bgColor theme="5"/>
        </patternFill>
      </fill>
    </dxf>
    <dxf>
      <numFmt numFmtId="185" formatCode="#,##0_ ;\-#,##0\ "/>
    </dxf>
    <dxf>
      <fill>
        <patternFill>
          <bgColor theme="5"/>
        </patternFill>
      </fill>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numFmt numFmtId="185" formatCode="#,##0_ ;\-#,##0\ "/>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styles" Target="styles.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externalLink" Target="externalLinks/externalLink10.xml"/><Relationship Id="rId16" Type="http://schemas.openxmlformats.org/officeDocument/2006/relationships/worksheet" Target="worksheets/sheet16.xml"/><Relationship Id="rId107" Type="http://schemas.openxmlformats.org/officeDocument/2006/relationships/externalLink" Target="externalLinks/externalLink5.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11.xml"/><Relationship Id="rId118" Type="http://schemas.openxmlformats.org/officeDocument/2006/relationships/sharedStrings" Target="sharedString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1.xml"/><Relationship Id="rId108" Type="http://schemas.openxmlformats.org/officeDocument/2006/relationships/externalLink" Target="externalLinks/externalLink6.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12.xml"/><Relationship Id="rId119" Type="http://schemas.openxmlformats.org/officeDocument/2006/relationships/sheetMetadata" Target="metadata.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externalLink" Target="externalLinks/externalLink2.xml"/><Relationship Id="rId120"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externalLink" Target="externalLinks/externalLink8.xml"/><Relationship Id="rId115" Type="http://schemas.openxmlformats.org/officeDocument/2006/relationships/externalLink" Target="externalLinks/externalLink13.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externalLink" Target="externalLinks/externalLink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calcChain" Target="calcChain.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externalLink" Target="externalLinks/externalLink9.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4.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'Cibles ThreeME v3'!$D$2:$AM$2</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'Cibles ThreeME v3'!$D$28:$AM$28</c:f>
              <c:numCache>
                <c:formatCode>General</c:formatCode>
                <c:ptCount val="36"/>
                <c:pt idx="0">
                  <c:v>5.9395604767543348E-3</c:v>
                </c:pt>
                <c:pt idx="1">
                  <c:v>5.3900889580477543E-3</c:v>
                </c:pt>
                <c:pt idx="2">
                  <c:v>4.8142864849332377E-3</c:v>
                </c:pt>
                <c:pt idx="3">
                  <c:v>4.2102139057705497E-3</c:v>
                </c:pt>
                <c:pt idx="4">
                  <c:v>3.5757368643533605E-3</c:v>
                </c:pt>
                <c:pt idx="5">
                  <c:v>2.9085006029797322E-3</c:v>
                </c:pt>
                <c:pt idx="6">
                  <c:v>4.114930681218769E-3</c:v>
                </c:pt>
                <c:pt idx="7">
                  <c:v>5.3213607594578063E-3</c:v>
                </c:pt>
                <c:pt idx="8">
                  <c:v>6.5277908376968436E-3</c:v>
                </c:pt>
                <c:pt idx="9">
                  <c:v>6.252242728078972E-3</c:v>
                </c:pt>
                <c:pt idx="10">
                  <c:v>5.9766946184611012E-3</c:v>
                </c:pt>
                <c:pt idx="11">
                  <c:v>5.8681631886820483E-3</c:v>
                </c:pt>
                <c:pt idx="12">
                  <c:v>5.7596317589029954E-3</c:v>
                </c:pt>
                <c:pt idx="13">
                  <c:v>5.6511003291239417E-3</c:v>
                </c:pt>
                <c:pt idx="14">
                  <c:v>5.5615669571811126E-3</c:v>
                </c:pt>
                <c:pt idx="15">
                  <c:v>5.4720335852382843E-3</c:v>
                </c:pt>
                <c:pt idx="16">
                  <c:v>5.5287849327037737E-3</c:v>
                </c:pt>
                <c:pt idx="17">
                  <c:v>5.5855362801692631E-3</c:v>
                </c:pt>
                <c:pt idx="18">
                  <c:v>5.6422876276347525E-3</c:v>
                </c:pt>
                <c:pt idx="19">
                  <c:v>5.6986874265128155E-3</c:v>
                </c:pt>
                <c:pt idx="20">
                  <c:v>5.7550872253908786E-3</c:v>
                </c:pt>
                <c:pt idx="21">
                  <c:v>5.6834124580448214E-3</c:v>
                </c:pt>
                <c:pt idx="22">
                  <c:v>5.6117376906987641E-3</c:v>
                </c:pt>
                <c:pt idx="23">
                  <c:v>5.540062923352706E-3</c:v>
                </c:pt>
                <c:pt idx="24">
                  <c:v>5.4688366232402358E-3</c:v>
                </c:pt>
                <c:pt idx="25">
                  <c:v>5.3976103231277656E-3</c:v>
                </c:pt>
                <c:pt idx="26">
                  <c:v>5.4482288657314859E-3</c:v>
                </c:pt>
                <c:pt idx="27">
                  <c:v>5.4988474083352062E-3</c:v>
                </c:pt>
                <c:pt idx="28">
                  <c:v>5.5494659509389265E-3</c:v>
                </c:pt>
                <c:pt idx="29">
                  <c:v>5.6000844935426468E-3</c:v>
                </c:pt>
                <c:pt idx="30">
                  <c:v>5.6507030361463654E-3</c:v>
                </c:pt>
                <c:pt idx="31">
                  <c:v>5.6479001201336738E-3</c:v>
                </c:pt>
                <c:pt idx="32">
                  <c:v>5.6450972041209822E-3</c:v>
                </c:pt>
                <c:pt idx="33">
                  <c:v>5.6422942881082907E-3</c:v>
                </c:pt>
                <c:pt idx="34">
                  <c:v>5.6394913720955991E-3</c:v>
                </c:pt>
                <c:pt idx="35">
                  <c:v>5.6366884560829084E-3</c:v>
                </c:pt>
              </c:numCache>
            </c:numRef>
          </c:val>
          <c:smooth val="0"/>
          <c:extLst>
            <c:ext xmlns:c16="http://schemas.microsoft.com/office/drawing/2014/chart" uri="{C3380CC4-5D6E-409C-BE32-E72D297353CC}">
              <c16:uniqueId val="{00000000-CF8F-4CEB-971E-C6FF6076E882}"/>
            </c:ext>
          </c:extLst>
        </c:ser>
        <c:dLbls>
          <c:showLegendKey val="0"/>
          <c:showVal val="0"/>
          <c:showCatName val="0"/>
          <c:showSerName val="0"/>
          <c:showPercent val="0"/>
          <c:showBubbleSize val="0"/>
        </c:dLbls>
        <c:marker val="1"/>
        <c:smooth val="0"/>
        <c:axId val="1919131872"/>
        <c:axId val="1919140608"/>
      </c:lineChart>
      <c:catAx>
        <c:axId val="191913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19140608"/>
        <c:crosses val="autoZero"/>
        <c:auto val="1"/>
        <c:lblAlgn val="ctr"/>
        <c:lblOffset val="100"/>
        <c:noMultiLvlLbl val="0"/>
      </c:catAx>
      <c:valAx>
        <c:axId val="191914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1913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'Cibles ThreeME v3'!$D$2:$AM$2</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'Cibles ThreeME v3'!$D$28:$AM$28</c:f>
              <c:numCache>
                <c:formatCode>General</c:formatCode>
                <c:ptCount val="36"/>
                <c:pt idx="0">
                  <c:v>5.9395604767543348E-3</c:v>
                </c:pt>
                <c:pt idx="1">
                  <c:v>5.3900889580477543E-3</c:v>
                </c:pt>
                <c:pt idx="2">
                  <c:v>4.8142864849332377E-3</c:v>
                </c:pt>
                <c:pt idx="3">
                  <c:v>4.2102139057705497E-3</c:v>
                </c:pt>
                <c:pt idx="4">
                  <c:v>3.5757368643533605E-3</c:v>
                </c:pt>
                <c:pt idx="5">
                  <c:v>2.9085006029797322E-3</c:v>
                </c:pt>
                <c:pt idx="6">
                  <c:v>4.114930681218769E-3</c:v>
                </c:pt>
                <c:pt idx="7">
                  <c:v>5.3213607594578063E-3</c:v>
                </c:pt>
                <c:pt idx="8">
                  <c:v>6.5277908376968436E-3</c:v>
                </c:pt>
                <c:pt idx="9">
                  <c:v>6.252242728078972E-3</c:v>
                </c:pt>
                <c:pt idx="10">
                  <c:v>5.9766946184611012E-3</c:v>
                </c:pt>
                <c:pt idx="11">
                  <c:v>5.8681631886820483E-3</c:v>
                </c:pt>
                <c:pt idx="12">
                  <c:v>5.7596317589029954E-3</c:v>
                </c:pt>
                <c:pt idx="13">
                  <c:v>5.6511003291239417E-3</c:v>
                </c:pt>
                <c:pt idx="14">
                  <c:v>5.5615669571811126E-3</c:v>
                </c:pt>
                <c:pt idx="15">
                  <c:v>5.4720335852382843E-3</c:v>
                </c:pt>
                <c:pt idx="16">
                  <c:v>5.5287849327037737E-3</c:v>
                </c:pt>
                <c:pt idx="17">
                  <c:v>5.5855362801692631E-3</c:v>
                </c:pt>
                <c:pt idx="18">
                  <c:v>5.6422876276347525E-3</c:v>
                </c:pt>
                <c:pt idx="19">
                  <c:v>5.6986874265128155E-3</c:v>
                </c:pt>
                <c:pt idx="20">
                  <c:v>5.7550872253908786E-3</c:v>
                </c:pt>
                <c:pt idx="21">
                  <c:v>5.6834124580448214E-3</c:v>
                </c:pt>
                <c:pt idx="22">
                  <c:v>5.6117376906987641E-3</c:v>
                </c:pt>
                <c:pt idx="23">
                  <c:v>5.540062923352706E-3</c:v>
                </c:pt>
                <c:pt idx="24">
                  <c:v>5.4688366232402358E-3</c:v>
                </c:pt>
                <c:pt idx="25">
                  <c:v>5.3976103231277656E-3</c:v>
                </c:pt>
                <c:pt idx="26">
                  <c:v>5.4482288657314859E-3</c:v>
                </c:pt>
                <c:pt idx="27">
                  <c:v>5.4988474083352062E-3</c:v>
                </c:pt>
                <c:pt idx="28">
                  <c:v>5.5494659509389265E-3</c:v>
                </c:pt>
                <c:pt idx="29">
                  <c:v>5.6000844935426468E-3</c:v>
                </c:pt>
                <c:pt idx="30">
                  <c:v>5.6507030361463654E-3</c:v>
                </c:pt>
                <c:pt idx="31">
                  <c:v>5.6479001201336738E-3</c:v>
                </c:pt>
                <c:pt idx="32">
                  <c:v>5.6450972041209822E-3</c:v>
                </c:pt>
                <c:pt idx="33">
                  <c:v>5.6422942881082907E-3</c:v>
                </c:pt>
                <c:pt idx="34">
                  <c:v>5.6394913720955991E-3</c:v>
                </c:pt>
                <c:pt idx="35">
                  <c:v>5.6366884560829084E-3</c:v>
                </c:pt>
              </c:numCache>
            </c:numRef>
          </c:val>
          <c:smooth val="0"/>
          <c:extLst>
            <c:ext xmlns:c16="http://schemas.microsoft.com/office/drawing/2014/chart" uri="{C3380CC4-5D6E-409C-BE32-E72D297353CC}">
              <c16:uniqueId val="{00000000-F020-4D99-A501-404CE2207AD9}"/>
            </c:ext>
          </c:extLst>
        </c:ser>
        <c:dLbls>
          <c:showLegendKey val="0"/>
          <c:showVal val="0"/>
          <c:showCatName val="0"/>
          <c:showSerName val="0"/>
          <c:showPercent val="0"/>
          <c:showBubbleSize val="0"/>
        </c:dLbls>
        <c:marker val="1"/>
        <c:smooth val="0"/>
        <c:axId val="1919131872"/>
        <c:axId val="1919140608"/>
      </c:lineChart>
      <c:catAx>
        <c:axId val="191913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19140608"/>
        <c:crosses val="autoZero"/>
        <c:auto val="1"/>
        <c:lblAlgn val="ctr"/>
        <c:lblOffset val="100"/>
        <c:noMultiLvlLbl val="0"/>
      </c:catAx>
      <c:valAx>
        <c:axId val="191914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1913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4808090165199935E-2"/>
          <c:y val="2.3006246261558519E-2"/>
          <c:w val="0.51026298183315322"/>
          <c:h val="0.97223208244673032"/>
        </c:manualLayout>
      </c:layout>
      <c:doughnutChart>
        <c:varyColors val="1"/>
        <c:ser>
          <c:idx val="0"/>
          <c:order val="0"/>
          <c:spPr>
            <a:solidFill>
              <a:srgbClr val="5083C2"/>
            </a:solidFill>
            <a:ln w="25400">
              <a:noFill/>
            </a:ln>
          </c:spPr>
          <c:dPt>
            <c:idx val="0"/>
            <c:bubble3D val="0"/>
            <c:spPr>
              <a:solidFill>
                <a:srgbClr val="338599"/>
              </a:solidFill>
              <a:ln w="25400">
                <a:noFill/>
              </a:ln>
            </c:spPr>
            <c:extLst>
              <c:ext xmlns:c16="http://schemas.microsoft.com/office/drawing/2014/chart" uri="{C3380CC4-5D6E-409C-BE32-E72D297353CC}">
                <c16:uniqueId val="{00000001-E65D-41C8-AF25-DBFA4968A3A9}"/>
              </c:ext>
            </c:extLst>
          </c:dPt>
          <c:dPt>
            <c:idx val="1"/>
            <c:bubble3D val="0"/>
            <c:spPr>
              <a:solidFill>
                <a:srgbClr val="A1BAC3"/>
              </a:solidFill>
              <a:ln w="25400">
                <a:noFill/>
              </a:ln>
            </c:spPr>
            <c:extLst>
              <c:ext xmlns:c16="http://schemas.microsoft.com/office/drawing/2014/chart" uri="{C3380CC4-5D6E-409C-BE32-E72D297353CC}">
                <c16:uniqueId val="{00000003-E65D-41C8-AF25-DBFA4968A3A9}"/>
              </c:ext>
            </c:extLst>
          </c:dPt>
          <c:dPt>
            <c:idx val="2"/>
            <c:bubble3D val="0"/>
            <c:spPr>
              <a:solidFill>
                <a:srgbClr val="5C998D"/>
              </a:solidFill>
              <a:ln w="25400">
                <a:noFill/>
              </a:ln>
            </c:spPr>
            <c:extLst>
              <c:ext xmlns:c16="http://schemas.microsoft.com/office/drawing/2014/chart" uri="{C3380CC4-5D6E-409C-BE32-E72D297353CC}">
                <c16:uniqueId val="{00000005-E65D-41C8-AF25-DBFA4968A3A9}"/>
              </c:ext>
            </c:extLst>
          </c:dPt>
          <c:dPt>
            <c:idx val="3"/>
            <c:bubble3D val="0"/>
            <c:spPr>
              <a:solidFill>
                <a:srgbClr val="30322E"/>
              </a:solidFill>
              <a:ln w="25400">
                <a:noFill/>
              </a:ln>
            </c:spPr>
            <c:extLst>
              <c:ext xmlns:c16="http://schemas.microsoft.com/office/drawing/2014/chart" uri="{C3380CC4-5D6E-409C-BE32-E72D297353CC}">
                <c16:uniqueId val="{00000007-E65D-41C8-AF25-DBFA4968A3A9}"/>
              </c:ext>
            </c:extLst>
          </c:dPt>
          <c:dPt>
            <c:idx val="4"/>
            <c:bubble3D val="0"/>
            <c:spPr>
              <a:solidFill>
                <a:srgbClr val="808000"/>
              </a:solidFill>
              <a:ln w="25400">
                <a:noFill/>
              </a:ln>
            </c:spPr>
            <c:extLst>
              <c:ext xmlns:c16="http://schemas.microsoft.com/office/drawing/2014/chart" uri="{C3380CC4-5D6E-409C-BE32-E72D297353CC}">
                <c16:uniqueId val="{00000009-E65D-41C8-AF25-DBFA4968A3A9}"/>
              </c:ext>
            </c:extLst>
          </c:dPt>
          <c:dPt>
            <c:idx val="5"/>
            <c:bubble3D val="0"/>
            <c:spPr>
              <a:solidFill>
                <a:srgbClr val="99CC00"/>
              </a:solidFill>
              <a:ln w="25400">
                <a:noFill/>
              </a:ln>
            </c:spPr>
            <c:extLst>
              <c:ext xmlns:c16="http://schemas.microsoft.com/office/drawing/2014/chart" uri="{C3380CC4-5D6E-409C-BE32-E72D297353CC}">
                <c16:uniqueId val="{0000000B-E65D-41C8-AF25-DBFA4968A3A9}"/>
              </c:ext>
            </c:extLst>
          </c:dPt>
          <c:dPt>
            <c:idx val="6"/>
            <c:bubble3D val="0"/>
            <c:spPr>
              <a:solidFill>
                <a:srgbClr val="33CCCC"/>
              </a:solidFill>
              <a:ln w="25400">
                <a:noFill/>
              </a:ln>
            </c:spPr>
            <c:extLst>
              <c:ext xmlns:c16="http://schemas.microsoft.com/office/drawing/2014/chart" uri="{C3380CC4-5D6E-409C-BE32-E72D297353CC}">
                <c16:uniqueId val="{0000000D-E65D-41C8-AF25-DBFA4968A3A9}"/>
              </c:ext>
            </c:extLst>
          </c:dPt>
          <c:cat>
            <c:strRef>
              <c:f>'P1_G4-G5'!$P$9:$P$16</c:f>
              <c:strCache>
                <c:ptCount val="8"/>
                <c:pt idx="0">
                  <c:v>Hydraulique renouvelable : 49,5 %</c:v>
                </c:pt>
                <c:pt idx="1">
                  <c:v>Éolien : 32,4 %</c:v>
                </c:pt>
                <c:pt idx="2">
                  <c:v>Solaire photovoltaïque : 10,8 %</c:v>
                </c:pt>
                <c:pt idx="3">
                  <c:v>Biomasse solide : 2,9 %</c:v>
                </c:pt>
                <c:pt idx="4">
                  <c:v>Déchets renouvelables : 1,7 %</c:v>
                </c:pt>
                <c:pt idx="5">
                  <c:v>Biogaz : 2,2 %</c:v>
                </c:pt>
                <c:pt idx="6">
                  <c:v>Énergie marémotrice : 0,4 %</c:v>
                </c:pt>
                <c:pt idx="7">
                  <c:v>Géothermie électrique : 0,1 %</c:v>
                </c:pt>
              </c:strCache>
            </c:strRef>
          </c:cat>
          <c:val>
            <c:numRef>
              <c:f>'P1_G4-G5'!$O$9:$O$16</c:f>
              <c:numCache>
                <c:formatCode>0.0</c:formatCode>
                <c:ptCount val="8"/>
                <c:pt idx="0">
                  <c:v>49.475344257734051</c:v>
                </c:pt>
                <c:pt idx="1">
                  <c:v>32.382730584444715</c:v>
                </c:pt>
                <c:pt idx="2">
                  <c:v>10.803066279058584</c:v>
                </c:pt>
                <c:pt idx="3">
                  <c:v>2.9356538160024606</c:v>
                </c:pt>
                <c:pt idx="4">
                  <c:v>1.6850626857247737</c:v>
                </c:pt>
                <c:pt idx="5">
                  <c:v>2.2325338709106797</c:v>
                </c:pt>
                <c:pt idx="6">
                  <c:v>0.38327175559703902</c:v>
                </c:pt>
                <c:pt idx="7">
                  <c:v>0.10221821221519489</c:v>
                </c:pt>
              </c:numCache>
            </c:numRef>
          </c:val>
          <c:extLst>
            <c:ext xmlns:c16="http://schemas.microsoft.com/office/drawing/2014/chart" uri="{C3380CC4-5D6E-409C-BE32-E72D297353CC}">
              <c16:uniqueId val="{0000000E-E65D-41C8-AF25-DBFA4968A3A9}"/>
            </c:ext>
          </c:extLst>
        </c:ser>
        <c:dLbls>
          <c:showLegendKey val="0"/>
          <c:showVal val="0"/>
          <c:showCatName val="0"/>
          <c:showSerName val="0"/>
          <c:showPercent val="0"/>
          <c:showBubbleSize val="0"/>
          <c:showLeaderLines val="1"/>
        </c:dLbls>
        <c:firstSliceAng val="0"/>
        <c:holeSize val="50"/>
      </c:doughnutChart>
      <c:spPr>
        <a:noFill/>
        <a:ln w="25400">
          <a:noFill/>
        </a:ln>
      </c:spPr>
    </c:plotArea>
    <c:legend>
      <c:legendPos val="r"/>
      <c:layout>
        <c:manualLayout>
          <c:xMode val="edge"/>
          <c:yMode val="edge"/>
          <c:x val="0.56499181719932068"/>
          <c:y val="2.4669693374255987E-2"/>
          <c:w val="0.41700252174360553"/>
          <c:h val="0.95181102362204728"/>
        </c:manualLayout>
      </c:layout>
      <c:overlay val="0"/>
      <c:spPr>
        <a:noFill/>
        <a:ln w="25400">
          <a:noFill/>
        </a:ln>
      </c:spPr>
      <c:txPr>
        <a:bodyPr/>
        <a:lstStyle/>
        <a:p>
          <a:pPr>
            <a:defRPr sz="90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6350">
      <a:noFill/>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51180555555555551" footer="0.51180555555555551"/>
    <c:pageSetup firstPageNumber="0"/>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0"/>
          <c:order val="0"/>
          <c:tx>
            <c:strRef>
              <c:f>'P1_G4-G5'!$M$28</c:f>
              <c:strCache>
                <c:ptCount val="1"/>
                <c:pt idx="0">
                  <c:v>Hydraulique renouvelable</c:v>
                </c:pt>
              </c:strCache>
            </c:strRef>
          </c:tx>
          <c:cat>
            <c:numRef>
              <c:f>'P1_G4-G5'!$N$27:$AH$27</c:f>
              <c:numCache>
                <c:formatCode>General</c:formatCod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numCache>
            </c:numRef>
          </c:cat>
          <c:val>
            <c:numRef>
              <c:f>'P1_G4-G5'!$N$28:$AH$28</c:f>
              <c:numCache>
                <c:formatCode>#,##0</c:formatCode>
                <c:ptCount val="21"/>
                <c:pt idx="0">
                  <c:v>66.363248999999996</c:v>
                </c:pt>
                <c:pt idx="1">
                  <c:v>74.267426999999998</c:v>
                </c:pt>
                <c:pt idx="2">
                  <c:v>60.39661199999999</c:v>
                </c:pt>
                <c:pt idx="3">
                  <c:v>58.943640000000002</c:v>
                </c:pt>
                <c:pt idx="4">
                  <c:v>59.554935</c:v>
                </c:pt>
                <c:pt idx="5">
                  <c:v>51.479877000000002</c:v>
                </c:pt>
                <c:pt idx="6">
                  <c:v>56.303697</c:v>
                </c:pt>
                <c:pt idx="7">
                  <c:v>57.604416999999998</c:v>
                </c:pt>
                <c:pt idx="8">
                  <c:v>63.653661000000007</c:v>
                </c:pt>
                <c:pt idx="9">
                  <c:v>56.994199999999999</c:v>
                </c:pt>
                <c:pt idx="10">
                  <c:v>62.713616999999999</c:v>
                </c:pt>
                <c:pt idx="11">
                  <c:v>45.744622</c:v>
                </c:pt>
                <c:pt idx="12">
                  <c:v>59.831830000000004</c:v>
                </c:pt>
                <c:pt idx="13">
                  <c:v>71.922174999999982</c:v>
                </c:pt>
                <c:pt idx="14">
                  <c:v>63.773408999999994</c:v>
                </c:pt>
                <c:pt idx="15">
                  <c:v>55.556272000000007</c:v>
                </c:pt>
                <c:pt idx="16">
                  <c:v>60.839210000000001</c:v>
                </c:pt>
                <c:pt idx="17">
                  <c:v>50.001256999999995</c:v>
                </c:pt>
                <c:pt idx="18">
                  <c:v>65.111425999999994</c:v>
                </c:pt>
                <c:pt idx="19">
                  <c:v>56.913891000000007</c:v>
                </c:pt>
                <c:pt idx="20">
                  <c:v>62.189398000000004</c:v>
                </c:pt>
              </c:numCache>
            </c:numRef>
          </c:val>
          <c:extLst>
            <c:ext xmlns:c16="http://schemas.microsoft.com/office/drawing/2014/chart" uri="{C3380CC4-5D6E-409C-BE32-E72D297353CC}">
              <c16:uniqueId val="{00000000-DD5C-4865-8F5C-F8E061768D36}"/>
            </c:ext>
          </c:extLst>
        </c:ser>
        <c:ser>
          <c:idx val="1"/>
          <c:order val="1"/>
          <c:tx>
            <c:strRef>
              <c:f>'P1_G4-G5'!$M$29</c:f>
              <c:strCache>
                <c:ptCount val="1"/>
                <c:pt idx="0">
                  <c:v>Éolien</c:v>
                </c:pt>
              </c:strCache>
            </c:strRef>
          </c:tx>
          <c:cat>
            <c:numRef>
              <c:f>'P1_G4-G5'!$N$27:$AH$27</c:f>
              <c:numCache>
                <c:formatCode>General</c:formatCod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numCache>
            </c:numRef>
          </c:cat>
          <c:val>
            <c:numRef>
              <c:f>'P1_G4-G5'!$N$29:$AH$29</c:f>
              <c:numCache>
                <c:formatCode>#,##0</c:formatCode>
                <c:ptCount val="21"/>
                <c:pt idx="0">
                  <c:v>4.8159999999999994E-2</c:v>
                </c:pt>
                <c:pt idx="1">
                  <c:v>0.13124</c:v>
                </c:pt>
                <c:pt idx="2">
                  <c:v>0.26559000000000005</c:v>
                </c:pt>
                <c:pt idx="3">
                  <c:v>0.38774999999999998</c:v>
                </c:pt>
                <c:pt idx="4">
                  <c:v>0.59484999999999999</c:v>
                </c:pt>
                <c:pt idx="5">
                  <c:v>0.96257000000000004</c:v>
                </c:pt>
                <c:pt idx="6">
                  <c:v>2.1825799999999997</c:v>
                </c:pt>
                <c:pt idx="7">
                  <c:v>4.0701099999999997</c:v>
                </c:pt>
                <c:pt idx="8">
                  <c:v>5.69421</c:v>
                </c:pt>
                <c:pt idx="9">
                  <c:v>7.9115699999999993</c:v>
                </c:pt>
                <c:pt idx="10">
                  <c:v>9.9449900000000007</c:v>
                </c:pt>
                <c:pt idx="11">
                  <c:v>12.371620999999999</c:v>
                </c:pt>
                <c:pt idx="12">
                  <c:v>15.1784</c:v>
                </c:pt>
                <c:pt idx="13">
                  <c:v>16.126735999999998</c:v>
                </c:pt>
                <c:pt idx="14">
                  <c:v>17.323779000000002</c:v>
                </c:pt>
                <c:pt idx="15">
                  <c:v>21.420601999999999</c:v>
                </c:pt>
                <c:pt idx="16">
                  <c:v>21.380984000000002</c:v>
                </c:pt>
                <c:pt idx="17">
                  <c:v>24.609437</c:v>
                </c:pt>
                <c:pt idx="18">
                  <c:v>28.598595</c:v>
                </c:pt>
                <c:pt idx="19">
                  <c:v>34.721684000000003</c:v>
                </c:pt>
                <c:pt idx="20">
                  <c:v>40.704366</c:v>
                </c:pt>
              </c:numCache>
            </c:numRef>
          </c:val>
          <c:extLst>
            <c:ext xmlns:c16="http://schemas.microsoft.com/office/drawing/2014/chart" uri="{C3380CC4-5D6E-409C-BE32-E72D297353CC}">
              <c16:uniqueId val="{00000001-DD5C-4865-8F5C-F8E061768D36}"/>
            </c:ext>
          </c:extLst>
        </c:ser>
        <c:ser>
          <c:idx val="2"/>
          <c:order val="2"/>
          <c:tx>
            <c:strRef>
              <c:f>'P1_G4-G5'!$M$30</c:f>
              <c:strCache>
                <c:ptCount val="1"/>
                <c:pt idx="0">
                  <c:v>Solaire photovoltaïque</c:v>
                </c:pt>
              </c:strCache>
            </c:strRef>
          </c:tx>
          <c:cat>
            <c:numRef>
              <c:f>'P1_G4-G5'!$N$27:$AH$27</c:f>
              <c:numCache>
                <c:formatCode>General</c:formatCod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numCache>
            </c:numRef>
          </c:cat>
          <c:val>
            <c:numRef>
              <c:f>'P1_G4-G5'!$N$30:$AH$30</c:f>
              <c:numCache>
                <c:formatCode>#,##0</c:formatCode>
                <c:ptCount val="21"/>
                <c:pt idx="0">
                  <c:v>5.2230000000000002E-3</c:v>
                </c:pt>
                <c:pt idx="1">
                  <c:v>6.1609999999999998E-3</c:v>
                </c:pt>
                <c:pt idx="2">
                  <c:v>7.1040000000000001E-3</c:v>
                </c:pt>
                <c:pt idx="3">
                  <c:v>7.7670000000000005E-3</c:v>
                </c:pt>
                <c:pt idx="4">
                  <c:v>8.4480000000000006E-3</c:v>
                </c:pt>
                <c:pt idx="5">
                  <c:v>1.0501E-2</c:v>
                </c:pt>
                <c:pt idx="6">
                  <c:v>1.2102999999999999E-2</c:v>
                </c:pt>
                <c:pt idx="7">
                  <c:v>1.7572000000000001E-2</c:v>
                </c:pt>
                <c:pt idx="8">
                  <c:v>4.1692000000000007E-2</c:v>
                </c:pt>
                <c:pt idx="9">
                  <c:v>0.17397100000000001</c:v>
                </c:pt>
                <c:pt idx="10">
                  <c:v>0.62</c:v>
                </c:pt>
                <c:pt idx="11">
                  <c:v>2.3338040000000002</c:v>
                </c:pt>
                <c:pt idx="12">
                  <c:v>4.4279359999999999</c:v>
                </c:pt>
                <c:pt idx="13">
                  <c:v>5.1935959999999994</c:v>
                </c:pt>
                <c:pt idx="14">
                  <c:v>6.391572</c:v>
                </c:pt>
                <c:pt idx="15">
                  <c:v>7.7537370000000001</c:v>
                </c:pt>
                <c:pt idx="16">
                  <c:v>8.6597650000000002</c:v>
                </c:pt>
                <c:pt idx="17">
                  <c:v>9.5863159999999983</c:v>
                </c:pt>
                <c:pt idx="18">
                  <c:v>10.891159</c:v>
                </c:pt>
                <c:pt idx="19">
                  <c:v>12.225183999999999</c:v>
                </c:pt>
                <c:pt idx="20">
                  <c:v>13.579212</c:v>
                </c:pt>
              </c:numCache>
            </c:numRef>
          </c:val>
          <c:extLst>
            <c:ext xmlns:c16="http://schemas.microsoft.com/office/drawing/2014/chart" uri="{C3380CC4-5D6E-409C-BE32-E72D297353CC}">
              <c16:uniqueId val="{00000002-DD5C-4865-8F5C-F8E061768D36}"/>
            </c:ext>
          </c:extLst>
        </c:ser>
        <c:ser>
          <c:idx val="3"/>
          <c:order val="3"/>
          <c:tx>
            <c:strRef>
              <c:f>'P1_G4-G5'!$M$31</c:f>
              <c:strCache>
                <c:ptCount val="1"/>
                <c:pt idx="0">
                  <c:v>Biomasse solide</c:v>
                </c:pt>
              </c:strCache>
            </c:strRef>
          </c:tx>
          <c:cat>
            <c:numRef>
              <c:f>'P1_G4-G5'!$N$27:$AH$27</c:f>
              <c:numCache>
                <c:formatCode>General</c:formatCod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numCache>
            </c:numRef>
          </c:cat>
          <c:val>
            <c:numRef>
              <c:f>'P1_G4-G5'!$N$31:$AH$31</c:f>
              <c:numCache>
                <c:formatCode>#,##0</c:formatCode>
                <c:ptCount val="21"/>
                <c:pt idx="0">
                  <c:v>1.0900000000000001</c:v>
                </c:pt>
                <c:pt idx="1">
                  <c:v>1.044</c:v>
                </c:pt>
                <c:pt idx="2">
                  <c:v>1.109</c:v>
                </c:pt>
                <c:pt idx="3">
                  <c:v>1.133</c:v>
                </c:pt>
                <c:pt idx="4">
                  <c:v>1.1279999999999999</c:v>
                </c:pt>
                <c:pt idx="5">
                  <c:v>1.254</c:v>
                </c:pt>
                <c:pt idx="6">
                  <c:v>1.2470000000000001</c:v>
                </c:pt>
                <c:pt idx="7">
                  <c:v>1.3540000000000001</c:v>
                </c:pt>
                <c:pt idx="8">
                  <c:v>1.413</c:v>
                </c:pt>
                <c:pt idx="9">
                  <c:v>1.2350000000000001</c:v>
                </c:pt>
                <c:pt idx="10">
                  <c:v>1.4630000000000001</c:v>
                </c:pt>
                <c:pt idx="11">
                  <c:v>1.8104259999999999</c:v>
                </c:pt>
                <c:pt idx="12">
                  <c:v>1.8547090000000002</c:v>
                </c:pt>
                <c:pt idx="13">
                  <c:v>2.0137179999999999</c:v>
                </c:pt>
                <c:pt idx="14">
                  <c:v>2.3089309999999998</c:v>
                </c:pt>
                <c:pt idx="15">
                  <c:v>2.6652219999999995</c:v>
                </c:pt>
                <c:pt idx="16">
                  <c:v>3.407727</c:v>
                </c:pt>
                <c:pt idx="17">
                  <c:v>3.462215</c:v>
                </c:pt>
                <c:pt idx="18">
                  <c:v>3.8061359999999995</c:v>
                </c:pt>
                <c:pt idx="19">
                  <c:v>3.8838170000000001</c:v>
                </c:pt>
                <c:pt idx="20">
                  <c:v>3.690051</c:v>
                </c:pt>
              </c:numCache>
            </c:numRef>
          </c:val>
          <c:extLst>
            <c:ext xmlns:c16="http://schemas.microsoft.com/office/drawing/2014/chart" uri="{C3380CC4-5D6E-409C-BE32-E72D297353CC}">
              <c16:uniqueId val="{00000003-DD5C-4865-8F5C-F8E061768D36}"/>
            </c:ext>
          </c:extLst>
        </c:ser>
        <c:ser>
          <c:idx val="4"/>
          <c:order val="4"/>
          <c:tx>
            <c:strRef>
              <c:f>'P1_G4-G5'!$M$32</c:f>
              <c:strCache>
                <c:ptCount val="1"/>
                <c:pt idx="0">
                  <c:v>Déchets renouvelables</c:v>
                </c:pt>
              </c:strCache>
            </c:strRef>
          </c:tx>
          <c:cat>
            <c:numRef>
              <c:f>'P1_G4-G5'!$N$27:$AH$27</c:f>
              <c:numCache>
                <c:formatCode>General</c:formatCod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numCache>
            </c:numRef>
          </c:cat>
          <c:val>
            <c:numRef>
              <c:f>'P1_G4-G5'!$N$32:$AH$32</c:f>
              <c:numCache>
                <c:formatCode>#,##0</c:formatCode>
                <c:ptCount val="21"/>
                <c:pt idx="0">
                  <c:v>1.081</c:v>
                </c:pt>
                <c:pt idx="1">
                  <c:v>1.4670000000000001</c:v>
                </c:pt>
                <c:pt idx="2">
                  <c:v>1.5369999999999999</c:v>
                </c:pt>
                <c:pt idx="3">
                  <c:v>1.647</c:v>
                </c:pt>
                <c:pt idx="4">
                  <c:v>1.7170000000000001</c:v>
                </c:pt>
                <c:pt idx="5">
                  <c:v>1.657</c:v>
                </c:pt>
                <c:pt idx="6">
                  <c:v>1.605</c:v>
                </c:pt>
                <c:pt idx="7">
                  <c:v>1.776</c:v>
                </c:pt>
                <c:pt idx="8">
                  <c:v>1.863</c:v>
                </c:pt>
                <c:pt idx="9">
                  <c:v>2.02</c:v>
                </c:pt>
                <c:pt idx="10">
                  <c:v>1.9730000000000001</c:v>
                </c:pt>
                <c:pt idx="11">
                  <c:v>2.0790480000000002</c:v>
                </c:pt>
                <c:pt idx="12">
                  <c:v>2.1482330000000003</c:v>
                </c:pt>
                <c:pt idx="13">
                  <c:v>2.1248860000000001</c:v>
                </c:pt>
                <c:pt idx="14">
                  <c:v>2.0837539999999999</c:v>
                </c:pt>
                <c:pt idx="15">
                  <c:v>2.0256720000000001</c:v>
                </c:pt>
                <c:pt idx="16">
                  <c:v>2.1218820000000003</c:v>
                </c:pt>
                <c:pt idx="17">
                  <c:v>2.205133</c:v>
                </c:pt>
                <c:pt idx="18">
                  <c:v>2.2021329999999999</c:v>
                </c:pt>
                <c:pt idx="19">
                  <c:v>2.1725979999999998</c:v>
                </c:pt>
                <c:pt idx="20">
                  <c:v>2.1180859999999999</c:v>
                </c:pt>
              </c:numCache>
            </c:numRef>
          </c:val>
          <c:extLst>
            <c:ext xmlns:c16="http://schemas.microsoft.com/office/drawing/2014/chart" uri="{C3380CC4-5D6E-409C-BE32-E72D297353CC}">
              <c16:uniqueId val="{00000004-DD5C-4865-8F5C-F8E061768D36}"/>
            </c:ext>
          </c:extLst>
        </c:ser>
        <c:ser>
          <c:idx val="5"/>
          <c:order val="5"/>
          <c:tx>
            <c:strRef>
              <c:f>'P1_G4-G5'!$M$33</c:f>
              <c:strCache>
                <c:ptCount val="1"/>
                <c:pt idx="0">
                  <c:v>Biogaz</c:v>
                </c:pt>
              </c:strCache>
            </c:strRef>
          </c:tx>
          <c:cat>
            <c:numRef>
              <c:f>'P1_G4-G5'!$N$27:$AH$27</c:f>
              <c:numCache>
                <c:formatCode>General</c:formatCod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numCache>
            </c:numRef>
          </c:cat>
          <c:val>
            <c:numRef>
              <c:f>'P1_G4-G5'!$N$33:$AH$33</c:f>
              <c:numCache>
                <c:formatCode>#,##0</c:formatCode>
                <c:ptCount val="21"/>
                <c:pt idx="0">
                  <c:v>0.308</c:v>
                </c:pt>
                <c:pt idx="1">
                  <c:v>0.33800000000000002</c:v>
                </c:pt>
                <c:pt idx="2">
                  <c:v>0.39700000000000002</c:v>
                </c:pt>
                <c:pt idx="3">
                  <c:v>0.44700000000000001</c:v>
                </c:pt>
                <c:pt idx="4">
                  <c:v>0.46700000000000003</c:v>
                </c:pt>
                <c:pt idx="5">
                  <c:v>0.48</c:v>
                </c:pt>
                <c:pt idx="6">
                  <c:v>0.52500000000000002</c:v>
                </c:pt>
                <c:pt idx="7">
                  <c:v>0.621</c:v>
                </c:pt>
                <c:pt idx="8">
                  <c:v>0.69499999999999995</c:v>
                </c:pt>
                <c:pt idx="9">
                  <c:v>0.875</c:v>
                </c:pt>
                <c:pt idx="10">
                  <c:v>1.0049999999999999</c:v>
                </c:pt>
                <c:pt idx="11">
                  <c:v>1.151675</c:v>
                </c:pt>
                <c:pt idx="12">
                  <c:v>1.2963629999999999</c:v>
                </c:pt>
                <c:pt idx="13">
                  <c:v>1.5447250000000001</c:v>
                </c:pt>
                <c:pt idx="14">
                  <c:v>1.5934619999999999</c:v>
                </c:pt>
                <c:pt idx="15">
                  <c:v>1.833858</c:v>
                </c:pt>
                <c:pt idx="16">
                  <c:v>1.9911260000000002</c:v>
                </c:pt>
                <c:pt idx="17">
                  <c:v>2.1136880000000002</c:v>
                </c:pt>
                <c:pt idx="18">
                  <c:v>2.3697539999999999</c:v>
                </c:pt>
                <c:pt idx="19">
                  <c:v>2.5874549999999998</c:v>
                </c:pt>
                <c:pt idx="20">
                  <c:v>2.8062450000000001</c:v>
                </c:pt>
              </c:numCache>
            </c:numRef>
          </c:val>
          <c:extLst>
            <c:ext xmlns:c16="http://schemas.microsoft.com/office/drawing/2014/chart" uri="{C3380CC4-5D6E-409C-BE32-E72D297353CC}">
              <c16:uniqueId val="{00000005-DD5C-4865-8F5C-F8E061768D36}"/>
            </c:ext>
          </c:extLst>
        </c:ser>
        <c:ser>
          <c:idx val="6"/>
          <c:order val="6"/>
          <c:tx>
            <c:strRef>
              <c:f>'P1_G4-G5'!$M$34</c:f>
              <c:strCache>
                <c:ptCount val="1"/>
                <c:pt idx="0">
                  <c:v>Énergie marémotrice</c:v>
                </c:pt>
              </c:strCache>
            </c:strRef>
          </c:tx>
          <c:cat>
            <c:numRef>
              <c:f>'P1_G4-G5'!$N$27:$AH$27</c:f>
              <c:numCache>
                <c:formatCode>General</c:formatCod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numCache>
            </c:numRef>
          </c:cat>
          <c:val>
            <c:numRef>
              <c:f>'P1_G4-G5'!$N$34:$AH$34</c:f>
              <c:numCache>
                <c:formatCode>#,##0</c:formatCode>
                <c:ptCount val="21"/>
                <c:pt idx="0">
                  <c:v>0.50730700000000006</c:v>
                </c:pt>
                <c:pt idx="1">
                  <c:v>0.484933</c:v>
                </c:pt>
                <c:pt idx="2">
                  <c:v>0.49443300000000001</c:v>
                </c:pt>
                <c:pt idx="3">
                  <c:v>0.49036799999999997</c:v>
                </c:pt>
                <c:pt idx="4">
                  <c:v>0.47017599999999998</c:v>
                </c:pt>
                <c:pt idx="5">
                  <c:v>0.48089499999999996</c:v>
                </c:pt>
                <c:pt idx="6">
                  <c:v>0.46426499999999998</c:v>
                </c:pt>
                <c:pt idx="7">
                  <c:v>0.46529199999999998</c:v>
                </c:pt>
                <c:pt idx="8">
                  <c:v>0.465119</c:v>
                </c:pt>
                <c:pt idx="9">
                  <c:v>0.44819700000000001</c:v>
                </c:pt>
                <c:pt idx="10">
                  <c:v>0.47639700000000001</c:v>
                </c:pt>
                <c:pt idx="11">
                  <c:v>0.47727800000000004</c:v>
                </c:pt>
                <c:pt idx="12">
                  <c:v>0.457986</c:v>
                </c:pt>
                <c:pt idx="13">
                  <c:v>0.413572</c:v>
                </c:pt>
                <c:pt idx="14">
                  <c:v>0.48050700000000002</c:v>
                </c:pt>
                <c:pt idx="15">
                  <c:v>0.48741800000000002</c:v>
                </c:pt>
                <c:pt idx="16">
                  <c:v>0.50051600000000007</c:v>
                </c:pt>
                <c:pt idx="17">
                  <c:v>0.521706</c:v>
                </c:pt>
                <c:pt idx="18">
                  <c:v>0.47993000000000002</c:v>
                </c:pt>
                <c:pt idx="19">
                  <c:v>0.478964</c:v>
                </c:pt>
                <c:pt idx="20">
                  <c:v>0.48176400000000003</c:v>
                </c:pt>
              </c:numCache>
            </c:numRef>
          </c:val>
          <c:extLst>
            <c:ext xmlns:c16="http://schemas.microsoft.com/office/drawing/2014/chart" uri="{C3380CC4-5D6E-409C-BE32-E72D297353CC}">
              <c16:uniqueId val="{00000006-DD5C-4865-8F5C-F8E061768D36}"/>
            </c:ext>
          </c:extLst>
        </c:ser>
        <c:ser>
          <c:idx val="7"/>
          <c:order val="7"/>
          <c:tx>
            <c:strRef>
              <c:f>'P1_G4-G5'!$M$35</c:f>
              <c:strCache>
                <c:ptCount val="1"/>
                <c:pt idx="0">
                  <c:v>Géothermie électrique</c:v>
                </c:pt>
              </c:strCache>
            </c:strRef>
          </c:tx>
          <c:cat>
            <c:numRef>
              <c:f>'P1_G4-G5'!$N$27:$AH$27</c:f>
              <c:numCache>
                <c:formatCode>General</c:formatCod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numCache>
            </c:numRef>
          </c:cat>
          <c:val>
            <c:numRef>
              <c:f>'P1_G4-G5'!$N$35:$AH$35</c:f>
              <c:numCache>
                <c:formatCode>#,##0</c:formatCode>
                <c:ptCount val="21"/>
                <c:pt idx="0">
                  <c:v>0</c:v>
                </c:pt>
                <c:pt idx="1">
                  <c:v>0</c:v>
                </c:pt>
                <c:pt idx="2">
                  <c:v>0</c:v>
                </c:pt>
                <c:pt idx="3">
                  <c:v>0</c:v>
                </c:pt>
                <c:pt idx="4">
                  <c:v>0</c:v>
                </c:pt>
                <c:pt idx="5">
                  <c:v>0</c:v>
                </c:pt>
                <c:pt idx="6">
                  <c:v>0</c:v>
                </c:pt>
                <c:pt idx="7">
                  <c:v>0</c:v>
                </c:pt>
                <c:pt idx="8">
                  <c:v>0</c:v>
                </c:pt>
                <c:pt idx="9">
                  <c:v>0</c:v>
                </c:pt>
                <c:pt idx="10">
                  <c:v>0</c:v>
                </c:pt>
                <c:pt idx="11">
                  <c:v>6.2237000000000001E-2</c:v>
                </c:pt>
                <c:pt idx="12">
                  <c:v>5.6513000000000001E-2</c:v>
                </c:pt>
                <c:pt idx="13">
                  <c:v>9.0150999999999995E-2</c:v>
                </c:pt>
                <c:pt idx="14">
                  <c:v>8.3114000000000007E-2</c:v>
                </c:pt>
                <c:pt idx="15">
                  <c:v>9.1938999999999993E-2</c:v>
                </c:pt>
                <c:pt idx="16">
                  <c:v>9.7604999999999997E-2</c:v>
                </c:pt>
                <c:pt idx="17">
                  <c:v>0.13313</c:v>
                </c:pt>
                <c:pt idx="18">
                  <c:v>0.126975</c:v>
                </c:pt>
                <c:pt idx="19">
                  <c:v>0.12848599999999999</c:v>
                </c:pt>
                <c:pt idx="20">
                  <c:v>0.12848599999999999</c:v>
                </c:pt>
              </c:numCache>
            </c:numRef>
          </c:val>
          <c:extLst>
            <c:ext xmlns:c16="http://schemas.microsoft.com/office/drawing/2014/chart" uri="{C3380CC4-5D6E-409C-BE32-E72D297353CC}">
              <c16:uniqueId val="{00000007-DD5C-4865-8F5C-F8E061768D36}"/>
            </c:ext>
          </c:extLst>
        </c:ser>
        <c:dLbls>
          <c:showLegendKey val="0"/>
          <c:showVal val="0"/>
          <c:showCatName val="0"/>
          <c:showSerName val="0"/>
          <c:showPercent val="0"/>
          <c:showBubbleSize val="0"/>
        </c:dLbls>
        <c:axId val="161546624"/>
        <c:axId val="161548160"/>
      </c:areaChart>
      <c:catAx>
        <c:axId val="161546624"/>
        <c:scaling>
          <c:orientation val="minMax"/>
        </c:scaling>
        <c:delete val="0"/>
        <c:axPos val="b"/>
        <c:numFmt formatCode="General" sourceLinked="1"/>
        <c:majorTickMark val="out"/>
        <c:minorTickMark val="none"/>
        <c:tickLblPos val="nextTo"/>
        <c:crossAx val="161548160"/>
        <c:crosses val="autoZero"/>
        <c:auto val="1"/>
        <c:lblAlgn val="ctr"/>
        <c:lblOffset val="100"/>
        <c:noMultiLvlLbl val="0"/>
      </c:catAx>
      <c:valAx>
        <c:axId val="161548160"/>
        <c:scaling>
          <c:orientation val="minMax"/>
        </c:scaling>
        <c:delete val="0"/>
        <c:axPos val="l"/>
        <c:majorGridlines/>
        <c:numFmt formatCode="#,##0" sourceLinked="1"/>
        <c:majorTickMark val="out"/>
        <c:minorTickMark val="none"/>
        <c:tickLblPos val="nextTo"/>
        <c:crossAx val="161546624"/>
        <c:crosses val="autoZero"/>
        <c:crossBetween val="midCat"/>
      </c:valAx>
    </c:plotArea>
    <c:legend>
      <c:legendPos val="r"/>
      <c:overlay val="0"/>
    </c:legend>
    <c:plotVisOnly val="1"/>
    <c:dispBlanksAs val="zero"/>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41643806307167"/>
          <c:y val="0.17424306878502599"/>
          <c:w val="0.29264520467344707"/>
          <c:h val="0.81060905913033832"/>
        </c:manualLayout>
      </c:layout>
      <c:pieChart>
        <c:varyColors val="1"/>
        <c:ser>
          <c:idx val="0"/>
          <c:order val="0"/>
          <c:spPr>
            <a:solidFill>
              <a:srgbClr val="918B4F"/>
            </a:solidFill>
            <a:ln w="25400">
              <a:noFill/>
            </a:ln>
          </c:spPr>
          <c:dPt>
            <c:idx val="0"/>
            <c:bubble3D val="0"/>
            <c:extLst>
              <c:ext xmlns:c16="http://schemas.microsoft.com/office/drawing/2014/chart" uri="{C3380CC4-5D6E-409C-BE32-E72D297353CC}">
                <c16:uniqueId val="{00000000-3109-49AC-9121-CE301297B75F}"/>
              </c:ext>
            </c:extLst>
          </c:dPt>
          <c:dLbls>
            <c:spPr>
              <a:noFill/>
              <a:ln w="25400">
                <a:noFill/>
              </a:ln>
            </c:spPr>
            <c:txPr>
              <a:bodyPr wrap="square" lIns="38100" tIns="19050" rIns="38100" bIns="19050" anchor="ctr">
                <a:spAutoFit/>
              </a:bodyPr>
              <a:lstStyle/>
              <a:p>
                <a:pPr>
                  <a:defRPr sz="1050"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extLst>
          </c:dLbls>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1-3109-49AC-9121-CE301297B75F}"/>
            </c:ext>
          </c:extLst>
        </c:ser>
        <c:dLbls>
          <c:showLegendKey val="0"/>
          <c:showVal val="0"/>
          <c:showCatName val="0"/>
          <c:showSerName val="0"/>
          <c:showPercent val="0"/>
          <c:showBubbleSize val="0"/>
          <c:showLeaderLines val="0"/>
        </c:dLbls>
        <c:firstSliceAng val="0"/>
      </c:pieChart>
      <c:spPr>
        <a:noFill/>
        <a:ln w="25400">
          <a:noFill/>
        </a:ln>
      </c:spPr>
    </c:plotArea>
    <c:legend>
      <c:legendPos val="r"/>
      <c:layout>
        <c:manualLayout>
          <c:xMode val="edge"/>
          <c:yMode val="edge"/>
          <c:x val="0.51330285592235247"/>
          <c:y val="0.17045534080967151"/>
          <c:w val="0.25665134581182047"/>
          <c:h val="0.62500238606537817"/>
        </c:manualLayout>
      </c:layout>
      <c:overlay val="0"/>
      <c:spPr>
        <a:noFill/>
        <a:ln w="25400">
          <a:noFill/>
        </a:ln>
      </c:spPr>
      <c:txPr>
        <a:bodyPr/>
        <a:lstStyle/>
        <a:p>
          <a:pPr>
            <a:defRPr sz="525"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6350">
      <a:noFill/>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51180555555555551" footer="0.51180555555555551"/>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1757465281040349E-2"/>
          <c:y val="1.2049618169588099E-2"/>
          <c:w val="0.45553191889200007"/>
          <c:h val="0.9591350453052665"/>
        </c:manualLayout>
      </c:layout>
      <c:doughnutChart>
        <c:varyColors val="1"/>
        <c:ser>
          <c:idx val="0"/>
          <c:order val="0"/>
          <c:tx>
            <c:strRef>
              <c:f>P1_G6!$O$8:$O$15</c:f>
              <c:strCache>
                <c:ptCount val="8"/>
                <c:pt idx="0">
                  <c:v>64</c:v>
                </c:pt>
                <c:pt idx="1">
                  <c:v>22</c:v>
                </c:pt>
                <c:pt idx="2">
                  <c:v>3</c:v>
                </c:pt>
                <c:pt idx="3">
                  <c:v>3</c:v>
                </c:pt>
                <c:pt idx="4">
                  <c:v>2</c:v>
                </c:pt>
                <c:pt idx="5">
                  <c:v>2</c:v>
                </c:pt>
                <c:pt idx="6">
                  <c:v>2</c:v>
                </c:pt>
                <c:pt idx="7">
                  <c:v>1</c:v>
                </c:pt>
              </c:strCache>
            </c:strRef>
          </c:tx>
          <c:spPr>
            <a:solidFill>
              <a:srgbClr val="918B4F"/>
            </a:solidFill>
            <a:ln w="25400">
              <a:noFill/>
            </a:ln>
          </c:spPr>
          <c:dPt>
            <c:idx val="0"/>
            <c:bubble3D val="0"/>
            <c:extLst>
              <c:ext xmlns:c16="http://schemas.microsoft.com/office/drawing/2014/chart" uri="{C3380CC4-5D6E-409C-BE32-E72D297353CC}">
                <c16:uniqueId val="{00000000-4FC6-4A3A-9175-B1A200F262DC}"/>
              </c:ext>
            </c:extLst>
          </c:dPt>
          <c:dPt>
            <c:idx val="1"/>
            <c:bubble3D val="0"/>
            <c:spPr>
              <a:solidFill>
                <a:srgbClr val="E46C0A"/>
              </a:solidFill>
              <a:ln w="25400">
                <a:noFill/>
              </a:ln>
            </c:spPr>
            <c:extLst>
              <c:ext xmlns:c16="http://schemas.microsoft.com/office/drawing/2014/chart" uri="{C3380CC4-5D6E-409C-BE32-E72D297353CC}">
                <c16:uniqueId val="{00000002-4FC6-4A3A-9175-B1A200F262DC}"/>
              </c:ext>
            </c:extLst>
          </c:dPt>
          <c:dPt>
            <c:idx val="2"/>
            <c:bubble3D val="0"/>
            <c:spPr>
              <a:solidFill>
                <a:srgbClr val="D3E2B2"/>
              </a:solidFill>
              <a:ln w="25400">
                <a:noFill/>
              </a:ln>
            </c:spPr>
            <c:extLst>
              <c:ext xmlns:c16="http://schemas.microsoft.com/office/drawing/2014/chart" uri="{C3380CC4-5D6E-409C-BE32-E72D297353CC}">
                <c16:uniqueId val="{00000004-4FC6-4A3A-9175-B1A200F262DC}"/>
              </c:ext>
            </c:extLst>
          </c:dPt>
          <c:dPt>
            <c:idx val="3"/>
            <c:bubble3D val="0"/>
            <c:spPr>
              <a:solidFill>
                <a:srgbClr val="AEA4BF"/>
              </a:solidFill>
              <a:ln w="25400">
                <a:noFill/>
              </a:ln>
            </c:spPr>
            <c:extLst>
              <c:ext xmlns:c16="http://schemas.microsoft.com/office/drawing/2014/chart" uri="{C3380CC4-5D6E-409C-BE32-E72D297353CC}">
                <c16:uniqueId val="{00000006-4FC6-4A3A-9175-B1A200F262DC}"/>
              </c:ext>
            </c:extLst>
          </c:dPt>
          <c:dPt>
            <c:idx val="4"/>
            <c:bubble3D val="0"/>
            <c:spPr>
              <a:solidFill>
                <a:srgbClr val="983735"/>
              </a:solidFill>
              <a:ln w="25400">
                <a:noFill/>
              </a:ln>
            </c:spPr>
            <c:extLst>
              <c:ext xmlns:c16="http://schemas.microsoft.com/office/drawing/2014/chart" uri="{C3380CC4-5D6E-409C-BE32-E72D297353CC}">
                <c16:uniqueId val="{00000008-4FC6-4A3A-9175-B1A200F262DC}"/>
              </c:ext>
            </c:extLst>
          </c:dPt>
          <c:dPt>
            <c:idx val="5"/>
            <c:bubble3D val="0"/>
            <c:spPr>
              <a:solidFill>
                <a:srgbClr val="4F6228"/>
              </a:solidFill>
              <a:ln w="25400">
                <a:noFill/>
              </a:ln>
            </c:spPr>
            <c:extLst>
              <c:ext xmlns:c16="http://schemas.microsoft.com/office/drawing/2014/chart" uri="{C3380CC4-5D6E-409C-BE32-E72D297353CC}">
                <c16:uniqueId val="{0000000A-4FC6-4A3A-9175-B1A200F262DC}"/>
              </c:ext>
            </c:extLst>
          </c:dPt>
          <c:dPt>
            <c:idx val="6"/>
            <c:bubble3D val="0"/>
            <c:spPr>
              <a:solidFill>
                <a:srgbClr val="FFC000"/>
              </a:solidFill>
              <a:ln w="25400">
                <a:noFill/>
              </a:ln>
            </c:spPr>
            <c:extLst>
              <c:ext xmlns:c16="http://schemas.microsoft.com/office/drawing/2014/chart" uri="{C3380CC4-5D6E-409C-BE32-E72D297353CC}">
                <c16:uniqueId val="{0000000C-4FC6-4A3A-9175-B1A200F262DC}"/>
              </c:ext>
            </c:extLst>
          </c:dPt>
          <c:cat>
            <c:strRef>
              <c:f>P1_G6!$P$8:$Q$15</c:f>
              <c:strCache>
                <c:ptCount val="8"/>
                <c:pt idx="0">
                  <c:v>Bois-énergie : 64,2 %</c:v>
                </c:pt>
                <c:pt idx="1">
                  <c:v>Pompes à chaleur : 21,7 %</c:v>
                </c:pt>
                <c:pt idx="2">
                  <c:v>Déchets renouvelables : 3,2 %</c:v>
                </c:pt>
                <c:pt idx="3">
                  <c:v>Biogaz : 2,6 %</c:v>
                </c:pt>
                <c:pt idx="4">
                  <c:v>Résidus agricoles et agroalimentaires : 2,5 %</c:v>
                </c:pt>
                <c:pt idx="5">
                  <c:v>Géothermie : 2,4 %</c:v>
                </c:pt>
                <c:pt idx="6">
                  <c:v>Biocarburants et autres bioliquides : 2 %</c:v>
                </c:pt>
                <c:pt idx="7">
                  <c:v>Solaire thermique : 1,3 %</c:v>
                </c:pt>
              </c:strCache>
            </c:strRef>
          </c:cat>
          <c:val>
            <c:numRef>
              <c:f>P1_G6!$N$8:$N$15</c:f>
              <c:numCache>
                <c:formatCode>0.000</c:formatCode>
                <c:ptCount val="8"/>
                <c:pt idx="0">
                  <c:v>110.85128030872578</c:v>
                </c:pt>
                <c:pt idx="1">
                  <c:v>37.501510606253028</c:v>
                </c:pt>
                <c:pt idx="2">
                  <c:v>5.5602503491823843</c:v>
                </c:pt>
                <c:pt idx="3">
                  <c:v>4.5507856976214418</c:v>
                </c:pt>
                <c:pt idx="4">
                  <c:v>4.2751626873673132</c:v>
                </c:pt>
                <c:pt idx="5">
                  <c:v>4.2275015525607875</c:v>
                </c:pt>
                <c:pt idx="6">
                  <c:v>3.4066285897734532</c:v>
                </c:pt>
                <c:pt idx="7">
                  <c:v>2.2386288888888886</c:v>
                </c:pt>
              </c:numCache>
            </c:numRef>
          </c:val>
          <c:extLst>
            <c:ext xmlns:c16="http://schemas.microsoft.com/office/drawing/2014/chart" uri="{C3380CC4-5D6E-409C-BE32-E72D297353CC}">
              <c16:uniqueId val="{0000000D-4FC6-4A3A-9175-B1A200F262DC}"/>
            </c:ext>
          </c:extLst>
        </c:ser>
        <c:dLbls>
          <c:showLegendKey val="0"/>
          <c:showVal val="0"/>
          <c:showCatName val="0"/>
          <c:showSerName val="0"/>
          <c:showPercent val="0"/>
          <c:showBubbleSize val="0"/>
          <c:showLeaderLines val="1"/>
        </c:dLbls>
        <c:firstSliceAng val="0"/>
        <c:holeSize val="50"/>
      </c:doughnutChart>
      <c:spPr>
        <a:noFill/>
        <a:ln w="25400">
          <a:noFill/>
        </a:ln>
      </c:spPr>
    </c:plotArea>
    <c:legend>
      <c:legendPos val="r"/>
      <c:layout>
        <c:manualLayout>
          <c:xMode val="edge"/>
          <c:yMode val="edge"/>
          <c:x val="0.45600492360889255"/>
          <c:y val="7.4901278043762121E-2"/>
          <c:w val="0.52451487418487963"/>
          <c:h val="0.89635935583428961"/>
        </c:manualLayout>
      </c:layout>
      <c:overlay val="0"/>
      <c:spPr>
        <a:noFill/>
        <a:ln w="25400">
          <a:noFill/>
        </a:ln>
      </c:spPr>
      <c:txPr>
        <a:bodyPr/>
        <a:lstStyle/>
        <a:p>
          <a:pPr>
            <a:defRPr sz="65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6350">
      <a:noFill/>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51180555555555551" footer="0.51180555555555551"/>
    <c:pageSetup firstPageNumber="0"/>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10</xdr:col>
      <xdr:colOff>44450</xdr:colOff>
      <xdr:row>21</xdr:row>
      <xdr:rowOff>44450</xdr:rowOff>
    </xdr:from>
    <xdr:to>
      <xdr:col>17</xdr:col>
      <xdr:colOff>542925</xdr:colOff>
      <xdr:row>40</xdr:row>
      <xdr:rowOff>84138</xdr:rowOff>
    </xdr:to>
    <xdr:graphicFrame macro="">
      <xdr:nvGraphicFramePr>
        <xdr:cNvPr id="2" name="Graphique 1">
          <a:extLst>
            <a:ext uri="{FF2B5EF4-FFF2-40B4-BE49-F238E27FC236}">
              <a16:creationId xmlns:a16="http://schemas.microsoft.com/office/drawing/2014/main" id="{2AA22B20-0E97-F310-5C77-068553DA5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282575</xdr:colOff>
      <xdr:row>20</xdr:row>
      <xdr:rowOff>158750</xdr:rowOff>
    </xdr:from>
    <xdr:to>
      <xdr:col>15</xdr:col>
      <xdr:colOff>673100</xdr:colOff>
      <xdr:row>40</xdr:row>
      <xdr:rowOff>20638</xdr:rowOff>
    </xdr:to>
    <xdr:graphicFrame macro="">
      <xdr:nvGraphicFramePr>
        <xdr:cNvPr id="3" name="Graphique 2">
          <a:extLst>
            <a:ext uri="{FF2B5EF4-FFF2-40B4-BE49-F238E27FC236}">
              <a16:creationId xmlns:a16="http://schemas.microsoft.com/office/drawing/2014/main" id="{9B9E5114-564B-4E2E-9F85-A4A4AE564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658090</xdr:colOff>
      <xdr:row>6</xdr:row>
      <xdr:rowOff>0</xdr:rowOff>
    </xdr:from>
    <xdr:to>
      <xdr:col>5</xdr:col>
      <xdr:colOff>452581</xdr:colOff>
      <xdr:row>22</xdr:row>
      <xdr:rowOff>104486</xdr:rowOff>
    </xdr:to>
    <xdr:graphicFrame macro="">
      <xdr:nvGraphicFramePr>
        <xdr:cNvPr id="2" name="Graphique 2">
          <a:extLst>
            <a:ext uri="{FF2B5EF4-FFF2-40B4-BE49-F238E27FC236}">
              <a16:creationId xmlns:a16="http://schemas.microsoft.com/office/drawing/2014/main" id="{A731D6A2-474D-4403-808E-C390A1133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1066718</xdr:colOff>
      <xdr:row>26</xdr:row>
      <xdr:rowOff>118919</xdr:rowOff>
    </xdr:from>
    <xdr:to>
      <xdr:col>7</xdr:col>
      <xdr:colOff>178872</xdr:colOff>
      <xdr:row>44</xdr:row>
      <xdr:rowOff>119207</xdr:rowOff>
    </xdr:to>
    <xdr:graphicFrame macro="">
      <xdr:nvGraphicFramePr>
        <xdr:cNvPr id="3" name="Graphique 2">
          <a:extLst>
            <a:ext uri="{FF2B5EF4-FFF2-40B4-BE49-F238E27FC236}">
              <a16:creationId xmlns:a16="http://schemas.microsoft.com/office/drawing/2014/main" id="{CEBF6F84-3400-41CA-8B25-F7D7E1E5C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0.07189</cdr:x>
      <cdr:y>0.87988</cdr:y>
    </cdr:from>
    <cdr:to>
      <cdr:x>0.07487</cdr:x>
      <cdr:y>0.9384</cdr:y>
    </cdr:to>
    <cdr:sp macro="" textlink="">
      <cdr:nvSpPr>
        <cdr:cNvPr id="95233" name="Text Box 1"/>
        <cdr:cNvSpPr txBox="1">
          <a:spLocks xmlns:a="http://schemas.openxmlformats.org/drawingml/2006/main" noChangeArrowheads="1"/>
        </cdr:cNvSpPr>
      </cdr:nvSpPr>
      <cdr:spPr bwMode="auto">
        <a:xfrm xmlns:a="http://schemas.openxmlformats.org/drawingml/2006/main">
          <a:off x="446458" y="2589690"/>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dr:relSizeAnchor xmlns:cdr="http://schemas.openxmlformats.org/drawingml/2006/chartDrawing">
    <cdr:from>
      <cdr:x>0.07189</cdr:x>
      <cdr:y>0.87988</cdr:y>
    </cdr:from>
    <cdr:to>
      <cdr:x>0.07487</cdr:x>
      <cdr:y>0.9384</cdr:y>
    </cdr:to>
    <cdr:sp macro="" textlink="">
      <cdr:nvSpPr>
        <cdr:cNvPr id="95234" name="Text Box 2"/>
        <cdr:cNvSpPr txBox="1">
          <a:spLocks xmlns:a="http://schemas.openxmlformats.org/drawingml/2006/main" noChangeArrowheads="1"/>
        </cdr:cNvSpPr>
      </cdr:nvSpPr>
      <cdr:spPr bwMode="auto">
        <a:xfrm xmlns:a="http://schemas.openxmlformats.org/drawingml/2006/main">
          <a:off x="446458" y="2589690"/>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dr:relSizeAnchor xmlns:cdr="http://schemas.openxmlformats.org/drawingml/2006/chartDrawing">
    <cdr:from>
      <cdr:x>0.07189</cdr:x>
      <cdr:y>0.87988</cdr:y>
    </cdr:from>
    <cdr:to>
      <cdr:x>0.07487</cdr:x>
      <cdr:y>0.9384</cdr:y>
    </cdr:to>
    <cdr:sp macro="" textlink="">
      <cdr:nvSpPr>
        <cdr:cNvPr id="95235" name="Text Box 3"/>
        <cdr:cNvSpPr txBox="1">
          <a:spLocks xmlns:a="http://schemas.openxmlformats.org/drawingml/2006/main" noChangeArrowheads="1"/>
        </cdr:cNvSpPr>
      </cdr:nvSpPr>
      <cdr:spPr bwMode="auto">
        <a:xfrm xmlns:a="http://schemas.openxmlformats.org/drawingml/2006/main">
          <a:off x="446458" y="2589690"/>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dr:relSizeAnchor xmlns:cdr="http://schemas.openxmlformats.org/drawingml/2006/chartDrawing">
    <cdr:from>
      <cdr:x>0.07189</cdr:x>
      <cdr:y>0.87988</cdr:y>
    </cdr:from>
    <cdr:to>
      <cdr:x>0.07487</cdr:x>
      <cdr:y>0.9384</cdr:y>
    </cdr:to>
    <cdr:sp macro="" textlink="">
      <cdr:nvSpPr>
        <cdr:cNvPr id="95236" name="Text Box 4"/>
        <cdr:cNvSpPr txBox="1">
          <a:spLocks xmlns:a="http://schemas.openxmlformats.org/drawingml/2006/main" noChangeArrowheads="1"/>
        </cdr:cNvSpPr>
      </cdr:nvSpPr>
      <cdr:spPr bwMode="auto">
        <a:xfrm xmlns:a="http://schemas.openxmlformats.org/drawingml/2006/main">
          <a:off x="446458" y="2589690"/>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dr:relSizeAnchor xmlns:cdr="http://schemas.openxmlformats.org/drawingml/2006/chartDrawing">
    <cdr:from>
      <cdr:x>0.07189</cdr:x>
      <cdr:y>0.87988</cdr:y>
    </cdr:from>
    <cdr:to>
      <cdr:x>0.07487</cdr:x>
      <cdr:y>0.9384</cdr:y>
    </cdr:to>
    <cdr:sp macro="" textlink="">
      <cdr:nvSpPr>
        <cdr:cNvPr id="95237" name="Text Box 5"/>
        <cdr:cNvSpPr txBox="1">
          <a:spLocks xmlns:a="http://schemas.openxmlformats.org/drawingml/2006/main" noChangeArrowheads="1"/>
        </cdr:cNvSpPr>
      </cdr:nvSpPr>
      <cdr:spPr bwMode="auto">
        <a:xfrm xmlns:a="http://schemas.openxmlformats.org/drawingml/2006/main">
          <a:off x="446458" y="2589690"/>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dr:relSizeAnchor xmlns:cdr="http://schemas.openxmlformats.org/drawingml/2006/chartDrawing">
    <cdr:from>
      <cdr:x>0.07189</cdr:x>
      <cdr:y>0.87988</cdr:y>
    </cdr:from>
    <cdr:to>
      <cdr:x>0.07487</cdr:x>
      <cdr:y>0.9384</cdr:y>
    </cdr:to>
    <cdr:sp macro="" textlink="">
      <cdr:nvSpPr>
        <cdr:cNvPr id="95238" name="Text Box 6"/>
        <cdr:cNvSpPr txBox="1">
          <a:spLocks xmlns:a="http://schemas.openxmlformats.org/drawingml/2006/main" noChangeArrowheads="1"/>
        </cdr:cNvSpPr>
      </cdr:nvSpPr>
      <cdr:spPr bwMode="auto">
        <a:xfrm xmlns:a="http://schemas.openxmlformats.org/drawingml/2006/main">
          <a:off x="446458" y="2589690"/>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dr:relSizeAnchor xmlns:cdr="http://schemas.openxmlformats.org/drawingml/2006/chartDrawing">
    <cdr:from>
      <cdr:x>0.07189</cdr:x>
      <cdr:y>0.87988</cdr:y>
    </cdr:from>
    <cdr:to>
      <cdr:x>0.07487</cdr:x>
      <cdr:y>0.9384</cdr:y>
    </cdr:to>
    <cdr:sp macro="" textlink="">
      <cdr:nvSpPr>
        <cdr:cNvPr id="95239" name="Text Box 7"/>
        <cdr:cNvSpPr txBox="1">
          <a:spLocks xmlns:a="http://schemas.openxmlformats.org/drawingml/2006/main" noChangeArrowheads="1"/>
        </cdr:cNvSpPr>
      </cdr:nvSpPr>
      <cdr:spPr bwMode="auto">
        <a:xfrm xmlns:a="http://schemas.openxmlformats.org/drawingml/2006/main">
          <a:off x="446458" y="2589690"/>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9525</xdr:colOff>
      <xdr:row>8</xdr:row>
      <xdr:rowOff>19050</xdr:rowOff>
    </xdr:from>
    <xdr:to>
      <xdr:col>8</xdr:col>
      <xdr:colOff>457200</xdr:colOff>
      <xdr:row>22</xdr:row>
      <xdr:rowOff>19050</xdr:rowOff>
    </xdr:to>
    <xdr:graphicFrame macro="">
      <xdr:nvGraphicFramePr>
        <xdr:cNvPr id="2" name="Graphique 1">
          <a:extLst>
            <a:ext uri="{FF2B5EF4-FFF2-40B4-BE49-F238E27FC236}">
              <a16:creationId xmlns:a16="http://schemas.microsoft.com/office/drawing/2014/main" id="{3900932A-C5A1-40EF-9AA5-849357AA5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314325</xdr:colOff>
      <xdr:row>8</xdr:row>
      <xdr:rowOff>19050</xdr:rowOff>
    </xdr:from>
    <xdr:to>
      <xdr:col>7</xdr:col>
      <xdr:colOff>352425</xdr:colOff>
      <xdr:row>22</xdr:row>
      <xdr:rowOff>19050</xdr:rowOff>
    </xdr:to>
    <xdr:graphicFrame macro="">
      <xdr:nvGraphicFramePr>
        <xdr:cNvPr id="3" name="Graphique 2">
          <a:extLst>
            <a:ext uri="{FF2B5EF4-FFF2-40B4-BE49-F238E27FC236}">
              <a16:creationId xmlns:a16="http://schemas.microsoft.com/office/drawing/2014/main" id="{45D57D9F-E02A-44AA-A221-9682799B0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0.05271</cdr:x>
      <cdr:y>0.72797</cdr:y>
    </cdr:from>
    <cdr:to>
      <cdr:x>0.05638</cdr:x>
      <cdr:y>0.79647</cdr:y>
    </cdr:to>
    <cdr:sp macro="" textlink="">
      <cdr:nvSpPr>
        <cdr:cNvPr id="97281" name="Text Box 1"/>
        <cdr:cNvSpPr txBox="1">
          <a:spLocks xmlns:a="http://schemas.openxmlformats.org/drawingml/2006/main" noChangeArrowheads="1"/>
        </cdr:cNvSpPr>
      </cdr:nvSpPr>
      <cdr:spPr bwMode="auto">
        <a:xfrm xmlns:a="http://schemas.openxmlformats.org/drawingml/2006/main">
          <a:off x="266093" y="1830565"/>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dr:relSizeAnchor xmlns:cdr="http://schemas.openxmlformats.org/drawingml/2006/chartDrawing">
    <cdr:from>
      <cdr:x>0.05271</cdr:x>
      <cdr:y>0.72797</cdr:y>
    </cdr:from>
    <cdr:to>
      <cdr:x>0.05638</cdr:x>
      <cdr:y>0.79647</cdr:y>
    </cdr:to>
    <cdr:sp macro="" textlink="">
      <cdr:nvSpPr>
        <cdr:cNvPr id="97282" name="Text Box 2"/>
        <cdr:cNvSpPr txBox="1">
          <a:spLocks xmlns:a="http://schemas.openxmlformats.org/drawingml/2006/main" noChangeArrowheads="1"/>
        </cdr:cNvSpPr>
      </cdr:nvSpPr>
      <cdr:spPr bwMode="auto">
        <a:xfrm xmlns:a="http://schemas.openxmlformats.org/drawingml/2006/main">
          <a:off x="266093" y="1830565"/>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dr:relSizeAnchor xmlns:cdr="http://schemas.openxmlformats.org/drawingml/2006/chartDrawing">
    <cdr:from>
      <cdr:x>0.05271</cdr:x>
      <cdr:y>0.72797</cdr:y>
    </cdr:from>
    <cdr:to>
      <cdr:x>0.05638</cdr:x>
      <cdr:y>0.79647</cdr:y>
    </cdr:to>
    <cdr:sp macro="" textlink="">
      <cdr:nvSpPr>
        <cdr:cNvPr id="97283" name="Text Box 3"/>
        <cdr:cNvSpPr txBox="1">
          <a:spLocks xmlns:a="http://schemas.openxmlformats.org/drawingml/2006/main" noChangeArrowheads="1"/>
        </cdr:cNvSpPr>
      </cdr:nvSpPr>
      <cdr:spPr bwMode="auto">
        <a:xfrm xmlns:a="http://schemas.openxmlformats.org/drawingml/2006/main">
          <a:off x="266093" y="1830565"/>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dr:relSizeAnchor xmlns:cdr="http://schemas.openxmlformats.org/drawingml/2006/chartDrawing">
    <cdr:from>
      <cdr:x>0.05271</cdr:x>
      <cdr:y>0.72797</cdr:y>
    </cdr:from>
    <cdr:to>
      <cdr:x>0.05638</cdr:x>
      <cdr:y>0.79647</cdr:y>
    </cdr:to>
    <cdr:sp macro="" textlink="">
      <cdr:nvSpPr>
        <cdr:cNvPr id="97284" name="Text Box 4"/>
        <cdr:cNvSpPr txBox="1">
          <a:spLocks xmlns:a="http://schemas.openxmlformats.org/drawingml/2006/main" noChangeArrowheads="1"/>
        </cdr:cNvSpPr>
      </cdr:nvSpPr>
      <cdr:spPr bwMode="auto">
        <a:xfrm xmlns:a="http://schemas.openxmlformats.org/drawingml/2006/main">
          <a:off x="266093" y="1830565"/>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dr:relSizeAnchor xmlns:cdr="http://schemas.openxmlformats.org/drawingml/2006/chartDrawing">
    <cdr:from>
      <cdr:x>0.05271</cdr:x>
      <cdr:y>0.72797</cdr:y>
    </cdr:from>
    <cdr:to>
      <cdr:x>0.05638</cdr:x>
      <cdr:y>0.79647</cdr:y>
    </cdr:to>
    <cdr:sp macro="" textlink="">
      <cdr:nvSpPr>
        <cdr:cNvPr id="97285" name="Text Box 5"/>
        <cdr:cNvSpPr txBox="1">
          <a:spLocks xmlns:a="http://schemas.openxmlformats.org/drawingml/2006/main" noChangeArrowheads="1"/>
        </cdr:cNvSpPr>
      </cdr:nvSpPr>
      <cdr:spPr bwMode="auto">
        <a:xfrm xmlns:a="http://schemas.openxmlformats.org/drawingml/2006/main">
          <a:off x="266093" y="1830565"/>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dr:relSizeAnchor xmlns:cdr="http://schemas.openxmlformats.org/drawingml/2006/chartDrawing">
    <cdr:from>
      <cdr:x>0.05271</cdr:x>
      <cdr:y>0.72797</cdr:y>
    </cdr:from>
    <cdr:to>
      <cdr:x>0.05638</cdr:x>
      <cdr:y>0.79647</cdr:y>
    </cdr:to>
    <cdr:sp macro="" textlink="">
      <cdr:nvSpPr>
        <cdr:cNvPr id="97286" name="Text Box 6"/>
        <cdr:cNvSpPr txBox="1">
          <a:spLocks xmlns:a="http://schemas.openxmlformats.org/drawingml/2006/main" noChangeArrowheads="1"/>
        </cdr:cNvSpPr>
      </cdr:nvSpPr>
      <cdr:spPr bwMode="auto">
        <a:xfrm xmlns:a="http://schemas.openxmlformats.org/drawingml/2006/main">
          <a:off x="266093" y="1830565"/>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dr:relSizeAnchor xmlns:cdr="http://schemas.openxmlformats.org/drawingml/2006/chartDrawing">
    <cdr:from>
      <cdr:x>0.05271</cdr:x>
      <cdr:y>0.72797</cdr:y>
    </cdr:from>
    <cdr:to>
      <cdr:x>0.05638</cdr:x>
      <cdr:y>0.79647</cdr:y>
    </cdr:to>
    <cdr:sp macro="" textlink="">
      <cdr:nvSpPr>
        <cdr:cNvPr id="97287" name="Text Box 7"/>
        <cdr:cNvSpPr txBox="1">
          <a:spLocks xmlns:a="http://schemas.openxmlformats.org/drawingml/2006/main" noChangeArrowheads="1"/>
        </cdr:cNvSpPr>
      </cdr:nvSpPr>
      <cdr:spPr bwMode="auto">
        <a:xfrm xmlns:a="http://schemas.openxmlformats.org/drawingml/2006/main">
          <a:off x="266093" y="1830565"/>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S:\OE\DGDDI\FACT_N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OE\EnR\Publi%20-%20Chiffres%20cl&#233;s%20EnR\Edition%202018\Edition%202014\Archive\Documents%20and%20Settings\didier-l.reynaud\Bureau\secret%20stat%20En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OE\EnR\Publi%20-%20Chiffres%20cl&#233;s%20EnR\Edition%202018\Edition%202014\Documents%20and%20Settings\didier-l.reynaud\Bureau\secret%20stat%20En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4_Inventaires%20d'&#233;missions,%20prospective%20et%20&#233;valuation\42_Prospective\421_Sc&#233;narios%20prospectifs%20DGEC\4215_Sc&#233;narios%202023\30-Agr&#233;gations%20&amp;%20r&#233;sultats\Energie\AMS%20run%202\Excel_integrateur_DGEC_AMS_run2_20231013vf.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57ECF3DC\Excel_integrateur_DGEC_AMP_run2_20230927.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OE\Conjonct\CLIM_MEN_ref81_2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OE\EnR\Publi%20-%20Chiffres%20cl&#233;s%20EnR\Edition%202018\Edition%202014\OE\Scherrer\article_note_electricite_et_politique_energetique\tab-article-actualise%20bilan%20200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uth-dgec-1.auth.ad.e2.rie.gouv.fr\dgec.de.sd3\Users\florian.leduc\Documents\SFEC\PPE\Reporting%20trimestriel.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ithub/ThreeME/data/calibrations/Base%20de%20donn&#233;es%20BCIAT%20BCIB%20France%202030_17.05.24_hg%20(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ithub/ThreeME/data/calibrations/Bilan%20Fonds%20Chaleur%202009%20202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ademecloud-my.sharepoint.com/Users/alma.monserand/Documents/GitHub/ThreeME_V3-ADEME/data/France/calibration-FRA-2015_2022-11-24.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Z:\PROJETS\Travaux_SNBC_2023\Mod&#233;lisation%20macro\Documents%20MTE\Run%202\Excel_integrateur_DGEC_postPPE_v20230320.xlsx" TargetMode="External"/><Relationship Id="rId1" Type="http://schemas.openxmlformats.org/officeDocument/2006/relationships/externalLinkPath" Target="file:///Z:\PROJETS\Travaux_SNBC_2023\Mod&#233;lisation%20macro\Documents%20MTE\Run%202\Excel_integrateur_DGEC_postPPE_v20230320.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C:\GitHub\ThreeME\data\calibrations\Documents%20MTE\run%203\offre_calc_run3.xlsx" TargetMode="External"/><Relationship Id="rId1" Type="http://schemas.openxmlformats.org/officeDocument/2006/relationships/externalLinkPath" Target="/GitHub/ThreeME/data/calibrations/Documents%20MTE/run%203/offre_calc_run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is"/>
      <sheetName val="Plus"/>
      <sheetName val="Base_série"/>
      <sheetName val="Feuil3"/>
      <sheetName val="Feuil1"/>
      <sheetName val="Solde"/>
      <sheetName val="Facture06"/>
      <sheetName val="Feuil2"/>
      <sheetName val="Calendrier"/>
      <sheetName val="Feuil4"/>
      <sheetName val="Feuil5"/>
    </sheetNames>
    <sheetDataSet>
      <sheetData sheetId="0"/>
      <sheetData sheetId="1"/>
      <sheetData sheetId="2">
        <row r="36">
          <cell r="AB36">
            <v>35431</v>
          </cell>
        </row>
      </sheetData>
      <sheetData sheetId="3"/>
      <sheetData sheetId="4"/>
      <sheetData sheetId="5"/>
      <sheetData sheetId="6"/>
      <sheetData sheetId="7"/>
      <sheetData sheetId="8"/>
      <sheetData sheetId="9"/>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ép_loi2000"/>
      <sheetName val="com_loi2000"/>
      <sheetName val="secret_secondaire"/>
    </sheetNames>
    <sheetDataSet>
      <sheetData sheetId="0">
        <row r="1">
          <cell r="A1" t="str">
            <v>Departement</v>
          </cell>
          <cell r="B1" t="str">
            <v>EnergieD</v>
          </cell>
          <cell r="C1" t="str">
            <v>Champ</v>
          </cell>
          <cell r="D1" t="str">
            <v>Nombre d'installations</v>
          </cell>
          <cell r="E1" t="str">
            <v>Puissance</v>
          </cell>
        </row>
        <row r="2">
          <cell r="A2" t="str">
            <v>001</v>
          </cell>
          <cell r="B2" t="str">
            <v>hydraulique</v>
          </cell>
          <cell r="C2" t="str">
            <v>loi2000</v>
          </cell>
          <cell r="D2">
            <v>8</v>
          </cell>
          <cell r="E2">
            <v>10.249699999999999</v>
          </cell>
        </row>
        <row r="3">
          <cell r="A3" t="str">
            <v>001</v>
          </cell>
          <cell r="B3" t="str">
            <v>solaire</v>
          </cell>
          <cell r="C3" t="str">
            <v>loi2000</v>
          </cell>
          <cell r="D3">
            <v>3688</v>
          </cell>
          <cell r="E3">
            <v>13.071864000000222</v>
          </cell>
        </row>
        <row r="4">
          <cell r="A4" t="str">
            <v>002</v>
          </cell>
          <cell r="B4" t="str">
            <v>biogaz</v>
          </cell>
          <cell r="C4" t="str">
            <v>loi2000</v>
          </cell>
          <cell r="D4">
            <v>1</v>
          </cell>
          <cell r="E4">
            <v>1.26</v>
          </cell>
        </row>
        <row r="5">
          <cell r="A5" t="str">
            <v>002</v>
          </cell>
          <cell r="B5" t="str">
            <v>solaire</v>
          </cell>
          <cell r="C5" t="str">
            <v>loi2000</v>
          </cell>
          <cell r="D5">
            <v>1240</v>
          </cell>
          <cell r="E5">
            <v>7.7892320000000508</v>
          </cell>
        </row>
        <row r="6">
          <cell r="A6" t="str">
            <v>002</v>
          </cell>
          <cell r="B6" t="str">
            <v>éolien</v>
          </cell>
          <cell r="C6" t="str">
            <v>loi2000</v>
          </cell>
          <cell r="D6">
            <v>23</v>
          </cell>
          <cell r="E6">
            <v>228.92</v>
          </cell>
        </row>
        <row r="7">
          <cell r="A7" t="str">
            <v>003</v>
          </cell>
          <cell r="B7" t="str">
            <v>biogaz</v>
          </cell>
          <cell r="C7" t="str">
            <v>loi2000</v>
          </cell>
          <cell r="D7">
            <v>2</v>
          </cell>
          <cell r="E7">
            <v>1.6019999999999999</v>
          </cell>
        </row>
        <row r="8">
          <cell r="A8" t="str">
            <v>003</v>
          </cell>
          <cell r="B8" t="str">
            <v>hydraulique</v>
          </cell>
          <cell r="C8" t="str">
            <v>loi2000</v>
          </cell>
          <cell r="D8">
            <v>4</v>
          </cell>
          <cell r="E8">
            <v>15.3</v>
          </cell>
        </row>
        <row r="9">
          <cell r="A9" t="str">
            <v>003</v>
          </cell>
          <cell r="B9" t="str">
            <v>solaire</v>
          </cell>
          <cell r="C9" t="str">
            <v>loi2000</v>
          </cell>
          <cell r="D9">
            <v>1574</v>
          </cell>
          <cell r="E9">
            <v>14.180984000000063</v>
          </cell>
        </row>
        <row r="10">
          <cell r="A10" t="str">
            <v>003</v>
          </cell>
          <cell r="B10" t="str">
            <v>éolien</v>
          </cell>
          <cell r="C10" t="str">
            <v>loi2000</v>
          </cell>
          <cell r="D10">
            <v>4</v>
          </cell>
          <cell r="E10">
            <v>17.204999999999998</v>
          </cell>
        </row>
        <row r="11">
          <cell r="A11" t="str">
            <v>004</v>
          </cell>
          <cell r="B11" t="str">
            <v>biogaz</v>
          </cell>
          <cell r="C11" t="str">
            <v>loi2000</v>
          </cell>
          <cell r="D11">
            <v>1</v>
          </cell>
          <cell r="E11">
            <v>0.6</v>
          </cell>
        </row>
        <row r="12">
          <cell r="A12" t="str">
            <v>004</v>
          </cell>
          <cell r="B12" t="str">
            <v>hydraulique</v>
          </cell>
          <cell r="C12" t="str">
            <v>loi2000</v>
          </cell>
          <cell r="D12">
            <v>8</v>
          </cell>
          <cell r="E12">
            <v>7.8690000000000015</v>
          </cell>
        </row>
        <row r="13">
          <cell r="A13" t="str">
            <v>004</v>
          </cell>
          <cell r="B13" t="str">
            <v>solaire</v>
          </cell>
          <cell r="C13" t="str">
            <v>loi2000</v>
          </cell>
          <cell r="D13">
            <v>1422</v>
          </cell>
          <cell r="E13">
            <v>167.71186599999973</v>
          </cell>
        </row>
        <row r="14">
          <cell r="A14" t="str">
            <v>005</v>
          </cell>
          <cell r="B14" t="str">
            <v>hydraulique</v>
          </cell>
          <cell r="C14" t="str">
            <v>loi2000</v>
          </cell>
          <cell r="D14">
            <v>12</v>
          </cell>
          <cell r="E14">
            <v>34.998999999999995</v>
          </cell>
        </row>
        <row r="15">
          <cell r="A15" t="str">
            <v>005</v>
          </cell>
          <cell r="B15" t="str">
            <v>solaire</v>
          </cell>
          <cell r="C15" t="str">
            <v>loi2000</v>
          </cell>
          <cell r="D15">
            <v>1045</v>
          </cell>
          <cell r="E15">
            <v>12.079248000000057</v>
          </cell>
        </row>
        <row r="16">
          <cell r="A16" t="str">
            <v>006</v>
          </cell>
          <cell r="B16" t="str">
            <v>déchets</v>
          </cell>
          <cell r="C16" t="str">
            <v>loi2000</v>
          </cell>
          <cell r="D16">
            <v>2</v>
          </cell>
          <cell r="E16">
            <v>24.432000000000002</v>
          </cell>
        </row>
        <row r="17">
          <cell r="A17" t="str">
            <v>006</v>
          </cell>
          <cell r="B17" t="str">
            <v>hydraulique</v>
          </cell>
          <cell r="C17" t="str">
            <v>loi2000</v>
          </cell>
          <cell r="D17">
            <v>16</v>
          </cell>
          <cell r="E17">
            <v>54.222999999999999</v>
          </cell>
        </row>
        <row r="18">
          <cell r="A18" t="str">
            <v>006</v>
          </cell>
          <cell r="B18" t="str">
            <v>solaire</v>
          </cell>
          <cell r="C18" t="str">
            <v>loi2000</v>
          </cell>
          <cell r="D18">
            <v>3491</v>
          </cell>
          <cell r="E18">
            <v>18.874088000000192</v>
          </cell>
        </row>
        <row r="19">
          <cell r="A19" t="str">
            <v>007</v>
          </cell>
          <cell r="B19" t="str">
            <v>hydraulique</v>
          </cell>
          <cell r="C19" t="str">
            <v>loi2000</v>
          </cell>
          <cell r="D19">
            <v>20</v>
          </cell>
          <cell r="E19">
            <v>12.832000000000003</v>
          </cell>
        </row>
        <row r="20">
          <cell r="A20" t="str">
            <v>007</v>
          </cell>
          <cell r="B20" t="str">
            <v>solaire</v>
          </cell>
          <cell r="C20" t="str">
            <v>loi2000</v>
          </cell>
          <cell r="D20">
            <v>2552</v>
          </cell>
          <cell r="E20">
            <v>24.701570000000178</v>
          </cell>
        </row>
        <row r="21">
          <cell r="A21" t="str">
            <v>007</v>
          </cell>
          <cell r="B21" t="str">
            <v>éolien</v>
          </cell>
          <cell r="C21" t="str">
            <v>loi2000</v>
          </cell>
          <cell r="D21">
            <v>14</v>
          </cell>
          <cell r="E21">
            <v>86.822000000000003</v>
          </cell>
        </row>
        <row r="22">
          <cell r="A22" t="str">
            <v>008</v>
          </cell>
          <cell r="B22" t="str">
            <v>biogaz</v>
          </cell>
          <cell r="C22" t="str">
            <v>loi2000</v>
          </cell>
          <cell r="D22">
            <v>4</v>
          </cell>
          <cell r="E22">
            <v>1.8065</v>
          </cell>
        </row>
        <row r="23">
          <cell r="A23" t="str">
            <v>008</v>
          </cell>
          <cell r="B23" t="str">
            <v>hydraulique</v>
          </cell>
          <cell r="C23" t="str">
            <v>loi2000</v>
          </cell>
          <cell r="D23">
            <v>6</v>
          </cell>
          <cell r="E23">
            <v>3.29</v>
          </cell>
        </row>
        <row r="24">
          <cell r="A24" t="str">
            <v>008</v>
          </cell>
          <cell r="B24" t="str">
            <v>solaire</v>
          </cell>
          <cell r="C24" t="str">
            <v>loi2000</v>
          </cell>
          <cell r="D24">
            <v>579</v>
          </cell>
          <cell r="E24">
            <v>7.8709120000000254</v>
          </cell>
        </row>
        <row r="25">
          <cell r="A25" t="str">
            <v>008</v>
          </cell>
          <cell r="B25" t="str">
            <v>éolien</v>
          </cell>
          <cell r="C25" t="str">
            <v>loi2000</v>
          </cell>
          <cell r="D25">
            <v>13</v>
          </cell>
          <cell r="E25">
            <v>126.819</v>
          </cell>
        </row>
        <row r="26">
          <cell r="A26" t="str">
            <v>009</v>
          </cell>
          <cell r="B26" t="str">
            <v>biogaz</v>
          </cell>
          <cell r="C26" t="str">
            <v>loi2000</v>
          </cell>
          <cell r="D26">
            <v>1</v>
          </cell>
          <cell r="E26">
            <v>0.84399999999999997</v>
          </cell>
        </row>
        <row r="27">
          <cell r="A27" t="str">
            <v>009</v>
          </cell>
          <cell r="B27" t="str">
            <v>hydraulique</v>
          </cell>
          <cell r="C27" t="str">
            <v>loi2000</v>
          </cell>
          <cell r="D27">
            <v>37</v>
          </cell>
          <cell r="E27">
            <v>65.13900000000001</v>
          </cell>
        </row>
        <row r="28">
          <cell r="A28" t="str">
            <v>009</v>
          </cell>
          <cell r="B28" t="str">
            <v>solaire</v>
          </cell>
          <cell r="C28" t="str">
            <v>loi2000</v>
          </cell>
          <cell r="D28">
            <v>1031</v>
          </cell>
          <cell r="E28">
            <v>22.107956000000087</v>
          </cell>
        </row>
        <row r="29">
          <cell r="A29" t="str">
            <v>010</v>
          </cell>
          <cell r="B29" t="str">
            <v>biogaz</v>
          </cell>
          <cell r="C29" t="str">
            <v>loi2000</v>
          </cell>
          <cell r="D29">
            <v>3</v>
          </cell>
          <cell r="E29">
            <v>2.2919999999999998</v>
          </cell>
        </row>
        <row r="30">
          <cell r="A30" t="str">
            <v>010</v>
          </cell>
          <cell r="B30" t="str">
            <v>biomasse</v>
          </cell>
          <cell r="C30" t="str">
            <v>loi2000</v>
          </cell>
          <cell r="D30">
            <v>1</v>
          </cell>
          <cell r="E30">
            <v>1.5</v>
          </cell>
        </row>
        <row r="31">
          <cell r="A31" t="str">
            <v>010</v>
          </cell>
          <cell r="B31" t="str">
            <v>hydraulique</v>
          </cell>
          <cell r="C31" t="str">
            <v>loi2000</v>
          </cell>
          <cell r="D31">
            <v>9</v>
          </cell>
          <cell r="E31">
            <v>6.8949999999999996</v>
          </cell>
        </row>
        <row r="32">
          <cell r="A32" t="str">
            <v>010</v>
          </cell>
          <cell r="B32" t="str">
            <v>solaire</v>
          </cell>
          <cell r="C32" t="str">
            <v>loi2000</v>
          </cell>
          <cell r="D32">
            <v>719</v>
          </cell>
          <cell r="E32">
            <v>19.233190000000064</v>
          </cell>
        </row>
        <row r="33">
          <cell r="A33" t="str">
            <v>010</v>
          </cell>
          <cell r="B33" t="str">
            <v>éolien</v>
          </cell>
          <cell r="C33" t="str">
            <v>loi2000</v>
          </cell>
          <cell r="D33">
            <v>26</v>
          </cell>
          <cell r="E33">
            <v>292.39999999999998</v>
          </cell>
        </row>
        <row r="34">
          <cell r="A34" t="str">
            <v>011</v>
          </cell>
          <cell r="B34" t="str">
            <v>biogaz</v>
          </cell>
          <cell r="C34" t="str">
            <v>loi2000</v>
          </cell>
          <cell r="D34">
            <v>1</v>
          </cell>
          <cell r="E34">
            <v>2.2839999999999998</v>
          </cell>
        </row>
        <row r="35">
          <cell r="A35" t="str">
            <v>011</v>
          </cell>
          <cell r="B35" t="str">
            <v>hydraulique</v>
          </cell>
          <cell r="C35" t="str">
            <v>loi2000</v>
          </cell>
          <cell r="D35">
            <v>15</v>
          </cell>
          <cell r="E35">
            <v>18.462499999999999</v>
          </cell>
        </row>
        <row r="36">
          <cell r="A36" t="str">
            <v>011</v>
          </cell>
          <cell r="B36" t="str">
            <v>solaire</v>
          </cell>
          <cell r="C36" t="str">
            <v>loi2000</v>
          </cell>
          <cell r="D36">
            <v>2836</v>
          </cell>
          <cell r="E36">
            <v>70.971597000000159</v>
          </cell>
        </row>
        <row r="37">
          <cell r="A37" t="str">
            <v>011</v>
          </cell>
          <cell r="B37" t="str">
            <v>éolien</v>
          </cell>
          <cell r="C37" t="str">
            <v>loi2000</v>
          </cell>
          <cell r="D37">
            <v>31</v>
          </cell>
          <cell r="E37">
            <v>249.51999999999995</v>
          </cell>
        </row>
        <row r="38">
          <cell r="A38" t="str">
            <v>012</v>
          </cell>
          <cell r="B38" t="str">
            <v>hydraulique</v>
          </cell>
          <cell r="C38" t="str">
            <v>loi2000</v>
          </cell>
          <cell r="D38">
            <v>23</v>
          </cell>
          <cell r="E38">
            <v>49.19</v>
          </cell>
        </row>
        <row r="39">
          <cell r="A39" t="str">
            <v>012</v>
          </cell>
          <cell r="B39" t="str">
            <v>solaire</v>
          </cell>
          <cell r="C39" t="str">
            <v>loi2000</v>
          </cell>
          <cell r="D39">
            <v>1781</v>
          </cell>
          <cell r="E39">
            <v>75.692140000000094</v>
          </cell>
        </row>
        <row r="40">
          <cell r="A40" t="str">
            <v>012</v>
          </cell>
          <cell r="B40" t="str">
            <v>éolien</v>
          </cell>
          <cell r="C40" t="str">
            <v>loi2000</v>
          </cell>
          <cell r="D40">
            <v>15</v>
          </cell>
          <cell r="E40">
            <v>205.16</v>
          </cell>
        </row>
        <row r="41">
          <cell r="A41" t="str">
            <v>013</v>
          </cell>
          <cell r="B41" t="str">
            <v>biogaz</v>
          </cell>
          <cell r="C41" t="str">
            <v>loi2000</v>
          </cell>
          <cell r="D41">
            <v>7</v>
          </cell>
          <cell r="E41">
            <v>13.786999999999999</v>
          </cell>
        </row>
        <row r="42">
          <cell r="A42" t="str">
            <v>013</v>
          </cell>
          <cell r="B42" t="str">
            <v>déchets</v>
          </cell>
          <cell r="C42" t="str">
            <v>loi2000</v>
          </cell>
          <cell r="D42">
            <v>1</v>
          </cell>
          <cell r="E42">
            <v>38.28</v>
          </cell>
        </row>
        <row r="43">
          <cell r="A43" t="str">
            <v>013</v>
          </cell>
          <cell r="B43" t="str">
            <v>hydraulique</v>
          </cell>
          <cell r="C43" t="str">
            <v>loi2000</v>
          </cell>
          <cell r="D43">
            <v>3</v>
          </cell>
          <cell r="E43">
            <v>2.92</v>
          </cell>
        </row>
        <row r="44">
          <cell r="A44" t="str">
            <v>013</v>
          </cell>
          <cell r="B44" t="str">
            <v>solaire</v>
          </cell>
          <cell r="C44" t="str">
            <v>loi2000</v>
          </cell>
          <cell r="D44">
            <v>8493</v>
          </cell>
          <cell r="E44">
            <v>79.720935999999512</v>
          </cell>
        </row>
        <row r="45">
          <cell r="A45" t="str">
            <v>013</v>
          </cell>
          <cell r="B45" t="str">
            <v>éolien</v>
          </cell>
          <cell r="C45" t="str">
            <v>loi2000</v>
          </cell>
          <cell r="D45">
            <v>5</v>
          </cell>
          <cell r="E45">
            <v>38.450000000000003</v>
          </cell>
        </row>
        <row r="46">
          <cell r="A46" t="str">
            <v>014</v>
          </cell>
          <cell r="B46" t="str">
            <v>biogaz</v>
          </cell>
          <cell r="C46" t="str">
            <v>loi2000</v>
          </cell>
          <cell r="D46">
            <v>1</v>
          </cell>
          <cell r="E46">
            <v>1.4319999999999999</v>
          </cell>
        </row>
        <row r="47">
          <cell r="A47" t="str">
            <v>014</v>
          </cell>
          <cell r="B47" t="str">
            <v>solaire</v>
          </cell>
          <cell r="C47" t="str">
            <v>loi2000</v>
          </cell>
          <cell r="D47">
            <v>1316</v>
          </cell>
          <cell r="E47">
            <v>7.4623140000000365</v>
          </cell>
        </row>
        <row r="48">
          <cell r="A48" t="str">
            <v>014</v>
          </cell>
          <cell r="B48" t="str">
            <v>éolien</v>
          </cell>
          <cell r="C48" t="str">
            <v>loi2000</v>
          </cell>
          <cell r="D48">
            <v>15</v>
          </cell>
          <cell r="E48">
            <v>134.08799999999999</v>
          </cell>
        </row>
        <row r="49">
          <cell r="A49" t="str">
            <v>015</v>
          </cell>
          <cell r="B49" t="str">
            <v>biomasse</v>
          </cell>
          <cell r="C49" t="str">
            <v>loi2000</v>
          </cell>
          <cell r="D49">
            <v>1</v>
          </cell>
          <cell r="E49">
            <v>4.41</v>
          </cell>
        </row>
        <row r="50">
          <cell r="A50" t="str">
            <v>015</v>
          </cell>
          <cell r="B50" t="str">
            <v>hydraulique</v>
          </cell>
          <cell r="C50" t="str">
            <v>loi2000</v>
          </cell>
          <cell r="D50">
            <v>9</v>
          </cell>
          <cell r="E50">
            <v>17.468</v>
          </cell>
        </row>
        <row r="51">
          <cell r="A51" t="str">
            <v>015</v>
          </cell>
          <cell r="B51" t="str">
            <v>solaire</v>
          </cell>
          <cell r="C51" t="str">
            <v>loi2000</v>
          </cell>
          <cell r="D51">
            <v>718</v>
          </cell>
          <cell r="E51">
            <v>34.471256000000039</v>
          </cell>
        </row>
        <row r="52">
          <cell r="A52" t="str">
            <v>015</v>
          </cell>
          <cell r="B52" t="str">
            <v>éolien</v>
          </cell>
          <cell r="C52" t="str">
            <v>loi2000</v>
          </cell>
          <cell r="D52">
            <v>7</v>
          </cell>
          <cell r="E52">
            <v>59</v>
          </cell>
        </row>
        <row r="53">
          <cell r="A53" t="str">
            <v>016</v>
          </cell>
          <cell r="B53" t="str">
            <v>biogaz</v>
          </cell>
          <cell r="C53" t="str">
            <v>loi2000</v>
          </cell>
          <cell r="D53">
            <v>2</v>
          </cell>
          <cell r="E53">
            <v>1.488</v>
          </cell>
        </row>
        <row r="54">
          <cell r="A54" t="str">
            <v>016</v>
          </cell>
          <cell r="B54" t="str">
            <v>hydraulique</v>
          </cell>
          <cell r="C54" t="str">
            <v>loi2000</v>
          </cell>
          <cell r="D54">
            <v>1</v>
          </cell>
          <cell r="E54">
            <v>0.23</v>
          </cell>
        </row>
        <row r="55">
          <cell r="A55" t="str">
            <v>016</v>
          </cell>
          <cell r="B55" t="str">
            <v>solaire</v>
          </cell>
          <cell r="C55" t="str">
            <v>loi2000</v>
          </cell>
          <cell r="D55">
            <v>1511</v>
          </cell>
          <cell r="E55">
            <v>24.047363000000153</v>
          </cell>
        </row>
        <row r="56">
          <cell r="A56" t="str">
            <v>016</v>
          </cell>
          <cell r="B56" t="str">
            <v>éolien</v>
          </cell>
          <cell r="C56" t="str">
            <v>loi2000</v>
          </cell>
          <cell r="D56">
            <v>9</v>
          </cell>
          <cell r="E56">
            <v>80.5</v>
          </cell>
        </row>
        <row r="57">
          <cell r="A57" t="str">
            <v>017</v>
          </cell>
          <cell r="B57" t="str">
            <v>biogaz</v>
          </cell>
          <cell r="C57" t="str">
            <v>loi2000</v>
          </cell>
          <cell r="D57">
            <v>1</v>
          </cell>
          <cell r="E57">
            <v>1.2</v>
          </cell>
        </row>
        <row r="58">
          <cell r="A58" t="str">
            <v>017</v>
          </cell>
          <cell r="B58" t="str">
            <v>solaire</v>
          </cell>
          <cell r="C58" t="str">
            <v>loi2000</v>
          </cell>
          <cell r="D58">
            <v>3888</v>
          </cell>
          <cell r="E58">
            <v>52.7287960000006</v>
          </cell>
        </row>
        <row r="59">
          <cell r="A59" t="str">
            <v>017</v>
          </cell>
          <cell r="B59" t="str">
            <v>éolien</v>
          </cell>
          <cell r="C59" t="str">
            <v>loi2000</v>
          </cell>
          <cell r="D59">
            <v>5</v>
          </cell>
          <cell r="E59">
            <v>41.914400000000001</v>
          </cell>
        </row>
        <row r="60">
          <cell r="A60" t="str">
            <v>018</v>
          </cell>
          <cell r="B60" t="str">
            <v>hydraulique</v>
          </cell>
          <cell r="C60" t="str">
            <v>loi2000</v>
          </cell>
          <cell r="D60">
            <v>3</v>
          </cell>
          <cell r="E60">
            <v>0.52699999999999991</v>
          </cell>
        </row>
        <row r="61">
          <cell r="A61" t="str">
            <v>018</v>
          </cell>
          <cell r="B61" t="str">
            <v>solaire</v>
          </cell>
          <cell r="C61" t="str">
            <v>loi2000</v>
          </cell>
          <cell r="D61">
            <v>1005</v>
          </cell>
          <cell r="E61">
            <v>17.200623000000064</v>
          </cell>
        </row>
        <row r="62">
          <cell r="A62" t="str">
            <v>018</v>
          </cell>
          <cell r="B62" t="str">
            <v>éolien</v>
          </cell>
          <cell r="C62" t="str">
            <v>loi2000</v>
          </cell>
          <cell r="D62">
            <v>4</v>
          </cell>
          <cell r="E62">
            <v>44</v>
          </cell>
        </row>
        <row r="63">
          <cell r="A63" t="str">
            <v>019</v>
          </cell>
          <cell r="B63" t="str">
            <v>hydraulique</v>
          </cell>
          <cell r="C63" t="str">
            <v>loi2000</v>
          </cell>
          <cell r="D63">
            <v>12</v>
          </cell>
          <cell r="E63">
            <v>19.759979999999995</v>
          </cell>
        </row>
        <row r="64">
          <cell r="A64" t="str">
            <v>019</v>
          </cell>
          <cell r="B64" t="str">
            <v>solaire</v>
          </cell>
          <cell r="C64" t="str">
            <v>loi2000</v>
          </cell>
          <cell r="D64">
            <v>943</v>
          </cell>
          <cell r="E64">
            <v>22.483937000000065</v>
          </cell>
        </row>
        <row r="65">
          <cell r="A65" t="str">
            <v>019</v>
          </cell>
          <cell r="B65" t="str">
            <v>éolien</v>
          </cell>
          <cell r="C65" t="str">
            <v>loi2000</v>
          </cell>
          <cell r="D65">
            <v>1</v>
          </cell>
          <cell r="E65">
            <v>9</v>
          </cell>
        </row>
        <row r="66">
          <cell r="A66" t="str">
            <v>021</v>
          </cell>
          <cell r="B66" t="str">
            <v>biogaz</v>
          </cell>
          <cell r="C66" t="str">
            <v>loi2000</v>
          </cell>
          <cell r="D66">
            <v>1</v>
          </cell>
          <cell r="E66">
            <v>1.415</v>
          </cell>
        </row>
        <row r="67">
          <cell r="A67" t="str">
            <v>021</v>
          </cell>
          <cell r="B67" t="str">
            <v>déchets</v>
          </cell>
          <cell r="C67" t="str">
            <v>loi2000</v>
          </cell>
          <cell r="D67">
            <v>1</v>
          </cell>
          <cell r="E67">
            <v>9.02</v>
          </cell>
        </row>
        <row r="68">
          <cell r="A68" t="str">
            <v>021</v>
          </cell>
          <cell r="B68" t="str">
            <v>hydraulique</v>
          </cell>
          <cell r="C68" t="str">
            <v>loi2000</v>
          </cell>
          <cell r="D68">
            <v>6</v>
          </cell>
          <cell r="E68">
            <v>0.84300000000000008</v>
          </cell>
        </row>
        <row r="69">
          <cell r="A69" t="str">
            <v>021</v>
          </cell>
          <cell r="B69" t="str">
            <v>solaire</v>
          </cell>
          <cell r="C69" t="str">
            <v>loi2000</v>
          </cell>
          <cell r="D69">
            <v>1875</v>
          </cell>
          <cell r="E69">
            <v>19.945189000000092</v>
          </cell>
        </row>
        <row r="70">
          <cell r="A70" t="str">
            <v>021</v>
          </cell>
          <cell r="B70" t="str">
            <v>éolien</v>
          </cell>
          <cell r="C70" t="str">
            <v>loi2000</v>
          </cell>
          <cell r="D70">
            <v>6</v>
          </cell>
          <cell r="E70">
            <v>62</v>
          </cell>
        </row>
        <row r="71">
          <cell r="A71" t="str">
            <v>022</v>
          </cell>
          <cell r="B71" t="str">
            <v>biogaz</v>
          </cell>
          <cell r="C71" t="str">
            <v>loi2000</v>
          </cell>
          <cell r="D71">
            <v>5</v>
          </cell>
          <cell r="E71">
            <v>2.2840000000000003</v>
          </cell>
        </row>
        <row r="72">
          <cell r="A72" t="str">
            <v>022</v>
          </cell>
          <cell r="B72" t="str">
            <v>hydraulique</v>
          </cell>
          <cell r="C72" t="str">
            <v>loi2000</v>
          </cell>
          <cell r="D72">
            <v>5</v>
          </cell>
          <cell r="E72">
            <v>8.2783000000000015</v>
          </cell>
        </row>
        <row r="73">
          <cell r="A73" t="str">
            <v>022</v>
          </cell>
          <cell r="B73" t="str">
            <v>solaire</v>
          </cell>
          <cell r="C73" t="str">
            <v>loi2000</v>
          </cell>
          <cell r="D73">
            <v>2151</v>
          </cell>
          <cell r="E73">
            <v>20.376821000000177</v>
          </cell>
        </row>
        <row r="74">
          <cell r="A74" t="str">
            <v>022</v>
          </cell>
          <cell r="B74" t="str">
            <v>éolien</v>
          </cell>
          <cell r="C74" t="str">
            <v>loi2000</v>
          </cell>
          <cell r="D74">
            <v>33</v>
          </cell>
          <cell r="E74">
            <v>244.09999999999994</v>
          </cell>
        </row>
        <row r="75">
          <cell r="A75" t="str">
            <v>023</v>
          </cell>
          <cell r="B75" t="str">
            <v>biogaz</v>
          </cell>
          <cell r="C75" t="str">
            <v>loi2000</v>
          </cell>
          <cell r="D75">
            <v>1</v>
          </cell>
          <cell r="E75">
            <v>7.0000000000000007E-2</v>
          </cell>
        </row>
        <row r="76">
          <cell r="A76" t="str">
            <v>023</v>
          </cell>
          <cell r="B76" t="str">
            <v>biomasse</v>
          </cell>
          <cell r="C76" t="str">
            <v>loi2000</v>
          </cell>
          <cell r="D76">
            <v>1</v>
          </cell>
          <cell r="E76">
            <v>3.49</v>
          </cell>
        </row>
        <row r="77">
          <cell r="A77" t="str">
            <v>023</v>
          </cell>
          <cell r="B77" t="str">
            <v>hydraulique</v>
          </cell>
          <cell r="C77" t="str">
            <v>loi2000</v>
          </cell>
          <cell r="D77">
            <v>11</v>
          </cell>
          <cell r="E77">
            <v>41.826000000000001</v>
          </cell>
        </row>
        <row r="78">
          <cell r="A78" t="str">
            <v>023</v>
          </cell>
          <cell r="B78" t="str">
            <v>solaire</v>
          </cell>
          <cell r="C78" t="str">
            <v>loi2000</v>
          </cell>
          <cell r="D78">
            <v>681</v>
          </cell>
          <cell r="E78">
            <v>10.818986000000036</v>
          </cell>
        </row>
        <row r="79">
          <cell r="A79" t="str">
            <v>024</v>
          </cell>
          <cell r="B79" t="str">
            <v>biogaz</v>
          </cell>
          <cell r="C79" t="str">
            <v>loi2000</v>
          </cell>
          <cell r="D79">
            <v>4</v>
          </cell>
          <cell r="E79">
            <v>0.84299999999999997</v>
          </cell>
        </row>
        <row r="80">
          <cell r="A80" t="str">
            <v>024</v>
          </cell>
          <cell r="B80" t="str">
            <v>hydraulique</v>
          </cell>
          <cell r="C80" t="str">
            <v>loi2000</v>
          </cell>
          <cell r="D80">
            <v>18</v>
          </cell>
          <cell r="E80">
            <v>6.8249999999999993</v>
          </cell>
        </row>
        <row r="81">
          <cell r="A81" t="str">
            <v>024</v>
          </cell>
          <cell r="B81" t="str">
            <v>solaire</v>
          </cell>
          <cell r="C81" t="str">
            <v>loi2000</v>
          </cell>
          <cell r="D81">
            <v>1494</v>
          </cell>
          <cell r="E81">
            <v>16.31782100000007</v>
          </cell>
        </row>
        <row r="82">
          <cell r="A82" t="str">
            <v>025</v>
          </cell>
          <cell r="B82" t="str">
            <v>biogaz</v>
          </cell>
          <cell r="C82" t="str">
            <v>loi2000</v>
          </cell>
          <cell r="D82">
            <v>1</v>
          </cell>
          <cell r="E82">
            <v>0.2</v>
          </cell>
        </row>
        <row r="83">
          <cell r="A83" t="str">
            <v>025</v>
          </cell>
          <cell r="B83" t="str">
            <v>déchets</v>
          </cell>
          <cell r="C83" t="str">
            <v>loi2000</v>
          </cell>
          <cell r="D83">
            <v>1</v>
          </cell>
          <cell r="E83">
            <v>0.89</v>
          </cell>
        </row>
        <row r="84">
          <cell r="A84" t="str">
            <v>025</v>
          </cell>
          <cell r="B84" t="str">
            <v>hydraulique</v>
          </cell>
          <cell r="C84" t="str">
            <v>loi2000</v>
          </cell>
          <cell r="D84">
            <v>17</v>
          </cell>
          <cell r="E84">
            <v>20.424999999999997</v>
          </cell>
        </row>
        <row r="85">
          <cell r="A85" t="str">
            <v>025</v>
          </cell>
          <cell r="B85" t="str">
            <v>solaire</v>
          </cell>
          <cell r="C85" t="str">
            <v>loi2000</v>
          </cell>
          <cell r="D85">
            <v>2384</v>
          </cell>
          <cell r="E85">
            <v>11.518619000000138</v>
          </cell>
        </row>
        <row r="86">
          <cell r="A86" t="str">
            <v>025</v>
          </cell>
          <cell r="B86" t="str">
            <v>éolien</v>
          </cell>
          <cell r="C86" t="str">
            <v>loi2000</v>
          </cell>
          <cell r="D86">
            <v>3</v>
          </cell>
          <cell r="E86">
            <v>30</v>
          </cell>
        </row>
        <row r="87">
          <cell r="A87" t="str">
            <v>026</v>
          </cell>
          <cell r="B87" t="str">
            <v>biogaz</v>
          </cell>
          <cell r="C87" t="str">
            <v>loi2000</v>
          </cell>
          <cell r="D87">
            <v>3</v>
          </cell>
          <cell r="E87">
            <v>6.1419999999999995</v>
          </cell>
        </row>
        <row r="88">
          <cell r="A88" t="str">
            <v>026</v>
          </cell>
          <cell r="B88" t="str">
            <v>hydraulique</v>
          </cell>
          <cell r="C88" t="str">
            <v>loi2000</v>
          </cell>
          <cell r="D88">
            <v>5</v>
          </cell>
          <cell r="E88">
            <v>12.123000000000001</v>
          </cell>
        </row>
        <row r="89">
          <cell r="A89" t="str">
            <v>026</v>
          </cell>
          <cell r="B89" t="str">
            <v>solaire</v>
          </cell>
          <cell r="C89" t="str">
            <v>loi2000</v>
          </cell>
          <cell r="D89">
            <v>3506</v>
          </cell>
          <cell r="E89">
            <v>59.742523000000169</v>
          </cell>
        </row>
        <row r="90">
          <cell r="A90" t="str">
            <v>026</v>
          </cell>
          <cell r="B90" t="str">
            <v>éolien</v>
          </cell>
          <cell r="C90" t="str">
            <v>loi2000</v>
          </cell>
          <cell r="D90">
            <v>11</v>
          </cell>
          <cell r="E90">
            <v>76.250000000000014</v>
          </cell>
        </row>
        <row r="91">
          <cell r="A91" t="str">
            <v>027</v>
          </cell>
          <cell r="B91" t="str">
            <v>biogaz</v>
          </cell>
          <cell r="C91" t="str">
            <v>loi2000</v>
          </cell>
          <cell r="D91">
            <v>2</v>
          </cell>
          <cell r="E91">
            <v>0.95499999999999996</v>
          </cell>
        </row>
        <row r="92">
          <cell r="A92" t="str">
            <v>027</v>
          </cell>
          <cell r="B92" t="str">
            <v>déchets</v>
          </cell>
          <cell r="C92" t="str">
            <v>loi2000</v>
          </cell>
          <cell r="D92">
            <v>1</v>
          </cell>
          <cell r="E92">
            <v>8.75</v>
          </cell>
        </row>
        <row r="93">
          <cell r="A93" t="str">
            <v>027</v>
          </cell>
          <cell r="B93" t="str">
            <v>hydraulique</v>
          </cell>
          <cell r="C93" t="str">
            <v>loi2000</v>
          </cell>
          <cell r="D93">
            <v>12</v>
          </cell>
          <cell r="E93">
            <v>17.681999999999995</v>
          </cell>
        </row>
        <row r="94">
          <cell r="A94" t="str">
            <v>027</v>
          </cell>
          <cell r="B94" t="str">
            <v>solaire</v>
          </cell>
          <cell r="C94" t="str">
            <v>loi2000</v>
          </cell>
          <cell r="D94">
            <v>1681</v>
          </cell>
          <cell r="E94">
            <v>10.978004000000094</v>
          </cell>
        </row>
        <row r="95">
          <cell r="A95" t="str">
            <v>027</v>
          </cell>
          <cell r="B95" t="str">
            <v>éolien</v>
          </cell>
          <cell r="C95" t="str">
            <v>loi2000</v>
          </cell>
          <cell r="D95">
            <v>3</v>
          </cell>
          <cell r="E95">
            <v>28.28</v>
          </cell>
        </row>
        <row r="96">
          <cell r="A96" t="str">
            <v>028</v>
          </cell>
          <cell r="B96" t="str">
            <v>biogaz</v>
          </cell>
          <cell r="C96" t="str">
            <v>loi2000</v>
          </cell>
          <cell r="D96">
            <v>4</v>
          </cell>
          <cell r="E96">
            <v>1.1260000000000001</v>
          </cell>
        </row>
        <row r="97">
          <cell r="A97" t="str">
            <v>028</v>
          </cell>
          <cell r="B97" t="str">
            <v>déchets</v>
          </cell>
          <cell r="C97" t="str">
            <v>loi2000</v>
          </cell>
          <cell r="D97">
            <v>1</v>
          </cell>
          <cell r="E97">
            <v>8.6999999999999993</v>
          </cell>
        </row>
        <row r="98">
          <cell r="A98" t="str">
            <v>028</v>
          </cell>
          <cell r="B98" t="str">
            <v>solaire</v>
          </cell>
          <cell r="C98" t="str">
            <v>loi2000</v>
          </cell>
          <cell r="D98">
            <v>797</v>
          </cell>
          <cell r="E98">
            <v>8.7807950000000279</v>
          </cell>
        </row>
        <row r="99">
          <cell r="A99" t="str">
            <v>028</v>
          </cell>
          <cell r="B99" t="str">
            <v>éolien</v>
          </cell>
          <cell r="C99" t="str">
            <v>loi2000</v>
          </cell>
          <cell r="D99">
            <v>29</v>
          </cell>
          <cell r="E99">
            <v>308.24999999999994</v>
          </cell>
        </row>
        <row r="100">
          <cell r="A100" t="str">
            <v>029</v>
          </cell>
          <cell r="B100" t="str">
            <v>biogaz</v>
          </cell>
          <cell r="C100" t="str">
            <v>loi2000</v>
          </cell>
          <cell r="D100">
            <v>1</v>
          </cell>
          <cell r="E100">
            <v>0.4</v>
          </cell>
        </row>
        <row r="101">
          <cell r="A101" t="str">
            <v>029</v>
          </cell>
          <cell r="B101" t="str">
            <v>déchets</v>
          </cell>
          <cell r="C101" t="str">
            <v>loi2000</v>
          </cell>
          <cell r="D101">
            <v>1</v>
          </cell>
          <cell r="E101">
            <v>2.895</v>
          </cell>
        </row>
        <row r="102">
          <cell r="A102" t="str">
            <v>029</v>
          </cell>
          <cell r="B102" t="str">
            <v>hydraulique</v>
          </cell>
          <cell r="C102" t="str">
            <v>loi2000</v>
          </cell>
          <cell r="D102">
            <v>3</v>
          </cell>
          <cell r="E102">
            <v>0.58000000000000007</v>
          </cell>
        </row>
        <row r="103">
          <cell r="A103" t="str">
            <v>029</v>
          </cell>
          <cell r="B103" t="str">
            <v>solaire</v>
          </cell>
          <cell r="C103" t="str">
            <v>loi2000</v>
          </cell>
          <cell r="D103">
            <v>2657</v>
          </cell>
          <cell r="E103">
            <v>26.471328000000216</v>
          </cell>
        </row>
        <row r="104">
          <cell r="A104" t="str">
            <v>029</v>
          </cell>
          <cell r="B104" t="str">
            <v>éolien</v>
          </cell>
          <cell r="C104" t="str">
            <v>loi2000</v>
          </cell>
          <cell r="D104">
            <v>25</v>
          </cell>
          <cell r="E104">
            <v>147.98999999999998</v>
          </cell>
        </row>
        <row r="105">
          <cell r="A105" t="str">
            <v>02A</v>
          </cell>
          <cell r="B105" t="str">
            <v>hydraulique</v>
          </cell>
          <cell r="C105" t="str">
            <v>loi2000</v>
          </cell>
          <cell r="D105">
            <v>6</v>
          </cell>
          <cell r="E105">
            <v>10.127000000000001</v>
          </cell>
        </row>
        <row r="106">
          <cell r="A106" t="str">
            <v>02A</v>
          </cell>
          <cell r="B106" t="str">
            <v>solaire</v>
          </cell>
          <cell r="C106" t="str">
            <v>loi2000</v>
          </cell>
          <cell r="D106">
            <v>101</v>
          </cell>
          <cell r="E106">
            <v>22.108669000000003</v>
          </cell>
        </row>
        <row r="107">
          <cell r="A107" t="str">
            <v>02B</v>
          </cell>
          <cell r="B107" t="str">
            <v>biogaz</v>
          </cell>
          <cell r="C107" t="str">
            <v>loi2000</v>
          </cell>
          <cell r="D107">
            <v>1</v>
          </cell>
          <cell r="E107">
            <v>1.6879999999999999</v>
          </cell>
        </row>
        <row r="108">
          <cell r="A108" t="str">
            <v>02B</v>
          </cell>
          <cell r="B108" t="str">
            <v>hydraulique</v>
          </cell>
          <cell r="C108" t="str">
            <v>loi2000</v>
          </cell>
          <cell r="D108">
            <v>1</v>
          </cell>
          <cell r="E108">
            <v>2.1</v>
          </cell>
        </row>
        <row r="109">
          <cell r="A109" t="str">
            <v>02B</v>
          </cell>
          <cell r="B109" t="str">
            <v>solaire</v>
          </cell>
          <cell r="C109" t="str">
            <v>loi2000</v>
          </cell>
          <cell r="D109">
            <v>204</v>
          </cell>
          <cell r="E109">
            <v>29.160875999999991</v>
          </cell>
        </row>
        <row r="110">
          <cell r="A110" t="str">
            <v>02B</v>
          </cell>
          <cell r="B110" t="str">
            <v>éolien</v>
          </cell>
          <cell r="C110" t="str">
            <v>loi2000</v>
          </cell>
          <cell r="D110">
            <v>1</v>
          </cell>
          <cell r="E110">
            <v>6</v>
          </cell>
        </row>
        <row r="111">
          <cell r="A111" t="str">
            <v>030</v>
          </cell>
          <cell r="B111" t="str">
            <v>biogaz</v>
          </cell>
          <cell r="C111" t="str">
            <v>loi2000</v>
          </cell>
          <cell r="D111">
            <v>1</v>
          </cell>
          <cell r="E111">
            <v>1.4319999999999999</v>
          </cell>
        </row>
        <row r="112">
          <cell r="A112" t="str">
            <v>030</v>
          </cell>
          <cell r="B112" t="str">
            <v>déchets</v>
          </cell>
          <cell r="C112" t="str">
            <v>loi2000</v>
          </cell>
          <cell r="D112">
            <v>1</v>
          </cell>
          <cell r="E112">
            <v>9.9499999999999993</v>
          </cell>
        </row>
        <row r="113">
          <cell r="A113" t="str">
            <v>030</v>
          </cell>
          <cell r="B113" t="str">
            <v>hydraulique</v>
          </cell>
          <cell r="C113" t="str">
            <v>loi2000</v>
          </cell>
          <cell r="D113">
            <v>6</v>
          </cell>
          <cell r="E113">
            <v>1.4966699999999999</v>
          </cell>
        </row>
        <row r="114">
          <cell r="A114" t="str">
            <v>030</v>
          </cell>
          <cell r="B114" t="str">
            <v>solaire</v>
          </cell>
          <cell r="C114" t="str">
            <v>loi2000</v>
          </cell>
          <cell r="D114">
            <v>6585</v>
          </cell>
          <cell r="E114">
            <v>66.737760000000279</v>
          </cell>
        </row>
        <row r="115">
          <cell r="A115" t="str">
            <v>030</v>
          </cell>
          <cell r="B115" t="str">
            <v>éolien</v>
          </cell>
          <cell r="C115" t="str">
            <v>loi2000</v>
          </cell>
          <cell r="D115">
            <v>1</v>
          </cell>
          <cell r="E115">
            <v>11.5</v>
          </cell>
        </row>
        <row r="116">
          <cell r="A116" t="str">
            <v>031</v>
          </cell>
          <cell r="B116" t="str">
            <v>biogaz</v>
          </cell>
          <cell r="C116" t="str">
            <v>loi2000</v>
          </cell>
          <cell r="D116">
            <v>1</v>
          </cell>
          <cell r="E116">
            <v>1.74</v>
          </cell>
        </row>
        <row r="117">
          <cell r="A117" t="str">
            <v>031</v>
          </cell>
          <cell r="B117" t="str">
            <v>hydraulique</v>
          </cell>
          <cell r="C117" t="str">
            <v>loi2000</v>
          </cell>
          <cell r="D117">
            <v>24</v>
          </cell>
          <cell r="E117">
            <v>70.147000000000006</v>
          </cell>
        </row>
        <row r="118">
          <cell r="A118" t="str">
            <v>031</v>
          </cell>
          <cell r="B118" t="str">
            <v>solaire</v>
          </cell>
          <cell r="C118" t="str">
            <v>loi2000</v>
          </cell>
          <cell r="D118">
            <v>6067</v>
          </cell>
          <cell r="E118">
            <v>60.8424090000006</v>
          </cell>
        </row>
        <row r="119">
          <cell r="A119" t="str">
            <v>031</v>
          </cell>
          <cell r="B119" t="str">
            <v>éolien</v>
          </cell>
          <cell r="C119" t="str">
            <v>loi2000</v>
          </cell>
          <cell r="D119">
            <v>4</v>
          </cell>
          <cell r="E119">
            <v>30.97</v>
          </cell>
        </row>
        <row r="120">
          <cell r="A120" t="str">
            <v>032</v>
          </cell>
          <cell r="B120" t="str">
            <v>biogaz</v>
          </cell>
          <cell r="C120" t="str">
            <v>loi2000</v>
          </cell>
          <cell r="D120">
            <v>1</v>
          </cell>
          <cell r="E120">
            <v>0.1</v>
          </cell>
        </row>
        <row r="121">
          <cell r="A121" t="str">
            <v>032</v>
          </cell>
          <cell r="B121" t="str">
            <v>hydraulique</v>
          </cell>
          <cell r="C121" t="str">
            <v>loi2000</v>
          </cell>
          <cell r="D121">
            <v>8</v>
          </cell>
          <cell r="E121">
            <v>1.0680000000000001</v>
          </cell>
        </row>
        <row r="122">
          <cell r="A122" t="str">
            <v>032</v>
          </cell>
          <cell r="B122" t="str">
            <v>solaire</v>
          </cell>
          <cell r="C122" t="str">
            <v>loi2000</v>
          </cell>
          <cell r="D122">
            <v>1456</v>
          </cell>
          <cell r="E122">
            <v>66.36464000000008</v>
          </cell>
        </row>
        <row r="123">
          <cell r="A123" t="str">
            <v>033</v>
          </cell>
          <cell r="B123" t="str">
            <v>biogaz</v>
          </cell>
          <cell r="C123" t="str">
            <v>loi2000</v>
          </cell>
          <cell r="D123">
            <v>3</v>
          </cell>
          <cell r="E123">
            <v>6.8999999999999995</v>
          </cell>
        </row>
        <row r="124">
          <cell r="A124" t="str">
            <v>033</v>
          </cell>
          <cell r="B124" t="str">
            <v>déchets</v>
          </cell>
          <cell r="C124" t="str">
            <v>loi2000</v>
          </cell>
          <cell r="D124">
            <v>1</v>
          </cell>
          <cell r="E124">
            <v>4.2679999999999998</v>
          </cell>
        </row>
        <row r="125">
          <cell r="A125" t="str">
            <v>033</v>
          </cell>
          <cell r="B125" t="str">
            <v>hydraulique</v>
          </cell>
          <cell r="C125" t="str">
            <v>loi2000</v>
          </cell>
          <cell r="D125">
            <v>2</v>
          </cell>
          <cell r="E125">
            <v>0.7</v>
          </cell>
        </row>
        <row r="126">
          <cell r="A126" t="str">
            <v>033</v>
          </cell>
          <cell r="B126" t="str">
            <v>solaire</v>
          </cell>
          <cell r="C126" t="str">
            <v>loi2000</v>
          </cell>
          <cell r="D126">
            <v>6543</v>
          </cell>
          <cell r="E126">
            <v>86.4099920000005</v>
          </cell>
        </row>
        <row r="127">
          <cell r="A127" t="str">
            <v>033</v>
          </cell>
          <cell r="B127" t="str">
            <v>éolien</v>
          </cell>
          <cell r="C127" t="str">
            <v>loi2000</v>
          </cell>
          <cell r="D127">
            <v>1</v>
          </cell>
          <cell r="E127">
            <v>0.01</v>
          </cell>
        </row>
        <row r="128">
          <cell r="A128" t="str">
            <v>034</v>
          </cell>
          <cell r="B128" t="str">
            <v>biogaz</v>
          </cell>
          <cell r="C128" t="str">
            <v>loi2000</v>
          </cell>
          <cell r="D128">
            <v>3</v>
          </cell>
          <cell r="E128">
            <v>5.3559999999999999</v>
          </cell>
        </row>
        <row r="129">
          <cell r="A129" t="str">
            <v>034</v>
          </cell>
          <cell r="B129" t="str">
            <v>hydraulique</v>
          </cell>
          <cell r="C129" t="str">
            <v>loi2000</v>
          </cell>
          <cell r="D129">
            <v>9</v>
          </cell>
          <cell r="E129">
            <v>13.7525</v>
          </cell>
        </row>
        <row r="130">
          <cell r="A130" t="str">
            <v>034</v>
          </cell>
          <cell r="B130" t="str">
            <v>solaire</v>
          </cell>
          <cell r="C130" t="str">
            <v>loi2000</v>
          </cell>
          <cell r="D130">
            <v>8137</v>
          </cell>
          <cell r="E130">
            <v>73.971116999999609</v>
          </cell>
        </row>
        <row r="131">
          <cell r="A131" t="str">
            <v>034</v>
          </cell>
          <cell r="B131" t="str">
            <v>éolien</v>
          </cell>
          <cell r="C131" t="str">
            <v>loi2000</v>
          </cell>
          <cell r="D131">
            <v>15</v>
          </cell>
          <cell r="E131">
            <v>118.07000000000001</v>
          </cell>
        </row>
        <row r="132">
          <cell r="A132" t="str">
            <v>035</v>
          </cell>
          <cell r="B132" t="str">
            <v>biogaz</v>
          </cell>
          <cell r="C132" t="str">
            <v>loi2000</v>
          </cell>
          <cell r="D132">
            <v>3</v>
          </cell>
          <cell r="E132">
            <v>0.35</v>
          </cell>
        </row>
        <row r="133">
          <cell r="A133" t="str">
            <v>035</v>
          </cell>
          <cell r="B133" t="str">
            <v>solaire</v>
          </cell>
          <cell r="C133" t="str">
            <v>loi2000</v>
          </cell>
          <cell r="D133">
            <v>4591</v>
          </cell>
          <cell r="E133">
            <v>40.637582000000677</v>
          </cell>
        </row>
        <row r="134">
          <cell r="A134" t="str">
            <v>035</v>
          </cell>
          <cell r="B134" t="str">
            <v>éolien</v>
          </cell>
          <cell r="C134" t="str">
            <v>loi2000</v>
          </cell>
          <cell r="D134">
            <v>11</v>
          </cell>
          <cell r="E134">
            <v>73.349999999999994</v>
          </cell>
        </row>
        <row r="135">
          <cell r="A135" t="str">
            <v>036</v>
          </cell>
          <cell r="B135" t="str">
            <v>biogaz</v>
          </cell>
          <cell r="C135" t="str">
            <v>loi2000</v>
          </cell>
          <cell r="D135">
            <v>1</v>
          </cell>
          <cell r="E135">
            <v>0.11</v>
          </cell>
        </row>
        <row r="136">
          <cell r="A136" t="str">
            <v>036</v>
          </cell>
          <cell r="B136" t="str">
            <v>hydraulique</v>
          </cell>
          <cell r="C136" t="str">
            <v>loi2000</v>
          </cell>
          <cell r="D136">
            <v>5</v>
          </cell>
          <cell r="E136">
            <v>17.520000000000003</v>
          </cell>
        </row>
        <row r="137">
          <cell r="A137" t="str">
            <v>036</v>
          </cell>
          <cell r="B137" t="str">
            <v>solaire</v>
          </cell>
          <cell r="C137" t="str">
            <v>loi2000</v>
          </cell>
          <cell r="D137">
            <v>769</v>
          </cell>
          <cell r="E137">
            <v>13.147975000000006</v>
          </cell>
        </row>
        <row r="138">
          <cell r="A138" t="str">
            <v>036</v>
          </cell>
          <cell r="B138" t="str">
            <v>éolien</v>
          </cell>
          <cell r="C138" t="str">
            <v>loi2000</v>
          </cell>
          <cell r="D138">
            <v>9</v>
          </cell>
          <cell r="E138">
            <v>91</v>
          </cell>
        </row>
        <row r="139">
          <cell r="A139" t="str">
            <v>037</v>
          </cell>
          <cell r="B139" t="str">
            <v>biogaz</v>
          </cell>
          <cell r="C139" t="str">
            <v>loi2000</v>
          </cell>
          <cell r="D139">
            <v>2</v>
          </cell>
          <cell r="E139">
            <v>1.4899999999999998</v>
          </cell>
        </row>
        <row r="140">
          <cell r="A140" t="str">
            <v>037</v>
          </cell>
          <cell r="B140" t="str">
            <v>hydraulique</v>
          </cell>
          <cell r="C140" t="str">
            <v>loi2000</v>
          </cell>
          <cell r="D140">
            <v>1</v>
          </cell>
          <cell r="E140">
            <v>0.1</v>
          </cell>
        </row>
        <row r="141">
          <cell r="A141" t="str">
            <v>037</v>
          </cell>
          <cell r="B141" t="str">
            <v>solaire</v>
          </cell>
          <cell r="C141" t="str">
            <v>loi2000</v>
          </cell>
          <cell r="D141">
            <v>1819</v>
          </cell>
          <cell r="E141">
            <v>9.4425640000000595</v>
          </cell>
        </row>
        <row r="142">
          <cell r="A142" t="str">
            <v>038</v>
          </cell>
          <cell r="B142" t="str">
            <v>biogaz</v>
          </cell>
          <cell r="C142" t="str">
            <v>loi2000</v>
          </cell>
          <cell r="D142">
            <v>2</v>
          </cell>
          <cell r="E142">
            <v>2.8639999999999999</v>
          </cell>
        </row>
        <row r="143">
          <cell r="A143" t="str">
            <v>038</v>
          </cell>
          <cell r="B143" t="str">
            <v>déchets</v>
          </cell>
          <cell r="C143" t="str">
            <v>loi2000</v>
          </cell>
          <cell r="D143">
            <v>3</v>
          </cell>
          <cell r="E143">
            <v>34.9</v>
          </cell>
        </row>
        <row r="144">
          <cell r="A144" t="str">
            <v>038</v>
          </cell>
          <cell r="B144" t="str">
            <v>hydraulique</v>
          </cell>
          <cell r="C144" t="str">
            <v>loi2000</v>
          </cell>
          <cell r="D144">
            <v>30</v>
          </cell>
          <cell r="E144">
            <v>77.441000000000003</v>
          </cell>
        </row>
        <row r="145">
          <cell r="A145" t="str">
            <v>038</v>
          </cell>
          <cell r="B145" t="str">
            <v>solaire</v>
          </cell>
          <cell r="C145" t="str">
            <v>loi2000</v>
          </cell>
          <cell r="D145">
            <v>7638</v>
          </cell>
          <cell r="E145">
            <v>36.137398100010635</v>
          </cell>
        </row>
        <row r="146">
          <cell r="A146" t="str">
            <v>038</v>
          </cell>
          <cell r="B146" t="str">
            <v>éolien</v>
          </cell>
          <cell r="C146" t="str">
            <v>loi2000</v>
          </cell>
          <cell r="D146">
            <v>2</v>
          </cell>
          <cell r="E146">
            <v>3.0019999999999998</v>
          </cell>
        </row>
        <row r="147">
          <cell r="A147" t="str">
            <v>039</v>
          </cell>
          <cell r="B147" t="str">
            <v>hydraulique</v>
          </cell>
          <cell r="C147" t="str">
            <v>loi2000</v>
          </cell>
          <cell r="D147">
            <v>22</v>
          </cell>
          <cell r="E147">
            <v>14.221</v>
          </cell>
        </row>
        <row r="148">
          <cell r="A148" t="str">
            <v>039</v>
          </cell>
          <cell r="B148" t="str">
            <v>solaire</v>
          </cell>
          <cell r="C148" t="str">
            <v>loi2000</v>
          </cell>
          <cell r="D148">
            <v>1280</v>
          </cell>
          <cell r="E148">
            <v>6.3342700000000383</v>
          </cell>
        </row>
        <row r="149">
          <cell r="A149" t="str">
            <v>040</v>
          </cell>
          <cell r="B149" t="str">
            <v>hydraulique</v>
          </cell>
          <cell r="C149" t="str">
            <v>loi2000</v>
          </cell>
          <cell r="D149">
            <v>1</v>
          </cell>
          <cell r="E149">
            <v>7.2999999999999995E-2</v>
          </cell>
        </row>
        <row r="150">
          <cell r="A150" t="str">
            <v>040</v>
          </cell>
          <cell r="B150" t="str">
            <v>solaire</v>
          </cell>
          <cell r="C150" t="str">
            <v>loi2000</v>
          </cell>
          <cell r="D150">
            <v>3703</v>
          </cell>
          <cell r="E150">
            <v>136.61051399999954</v>
          </cell>
        </row>
        <row r="151">
          <cell r="A151" t="str">
            <v>041</v>
          </cell>
          <cell r="B151" t="str">
            <v>biogaz</v>
          </cell>
          <cell r="C151" t="str">
            <v>loi2000</v>
          </cell>
          <cell r="D151">
            <v>4</v>
          </cell>
          <cell r="E151">
            <v>1.2489999999999999</v>
          </cell>
        </row>
        <row r="152">
          <cell r="A152" t="str">
            <v>041</v>
          </cell>
          <cell r="B152" t="str">
            <v>hydraulique</v>
          </cell>
          <cell r="C152" t="str">
            <v>loi2000</v>
          </cell>
          <cell r="D152">
            <v>4</v>
          </cell>
          <cell r="E152">
            <v>0.29400000000000004</v>
          </cell>
        </row>
        <row r="153">
          <cell r="A153" t="str">
            <v>041</v>
          </cell>
          <cell r="B153" t="str">
            <v>solaire</v>
          </cell>
          <cell r="C153" t="str">
            <v>loi2000</v>
          </cell>
          <cell r="D153">
            <v>1038</v>
          </cell>
          <cell r="E153">
            <v>9.3169650000000264</v>
          </cell>
        </row>
        <row r="154">
          <cell r="A154" t="str">
            <v>041</v>
          </cell>
          <cell r="B154" t="str">
            <v>éolien</v>
          </cell>
          <cell r="C154" t="str">
            <v>loi2000</v>
          </cell>
          <cell r="D154">
            <v>3</v>
          </cell>
          <cell r="E154">
            <v>35.299999999999997</v>
          </cell>
        </row>
        <row r="155">
          <cell r="A155" t="str">
            <v>042</v>
          </cell>
          <cell r="B155" t="str">
            <v>biogaz</v>
          </cell>
          <cell r="C155" t="str">
            <v>loi2000</v>
          </cell>
          <cell r="D155">
            <v>1</v>
          </cell>
          <cell r="E155">
            <v>0.95</v>
          </cell>
        </row>
        <row r="156">
          <cell r="A156" t="str">
            <v>042</v>
          </cell>
          <cell r="B156" t="str">
            <v>hydraulique</v>
          </cell>
          <cell r="C156" t="str">
            <v>loi2000</v>
          </cell>
          <cell r="D156">
            <v>7</v>
          </cell>
          <cell r="E156">
            <v>6.0890000000000004</v>
          </cell>
        </row>
        <row r="157">
          <cell r="A157" t="str">
            <v>042</v>
          </cell>
          <cell r="B157" t="str">
            <v>solaire</v>
          </cell>
          <cell r="C157" t="str">
            <v>loi2000</v>
          </cell>
          <cell r="D157">
            <v>4588</v>
          </cell>
          <cell r="E157">
            <v>20.508667000000422</v>
          </cell>
        </row>
        <row r="158">
          <cell r="A158" t="str">
            <v>043</v>
          </cell>
          <cell r="B158" t="str">
            <v>biogaz</v>
          </cell>
          <cell r="C158" t="str">
            <v>loi2000</v>
          </cell>
          <cell r="D158">
            <v>4</v>
          </cell>
          <cell r="E158">
            <v>1.3689999999999998</v>
          </cell>
        </row>
        <row r="159">
          <cell r="A159" t="str">
            <v>043</v>
          </cell>
          <cell r="B159" t="str">
            <v>hydraulique</v>
          </cell>
          <cell r="C159" t="str">
            <v>loi2000</v>
          </cell>
          <cell r="D159">
            <v>16</v>
          </cell>
          <cell r="E159">
            <v>15.221</v>
          </cell>
        </row>
        <row r="160">
          <cell r="A160" t="str">
            <v>043</v>
          </cell>
          <cell r="B160" t="str">
            <v>solaire</v>
          </cell>
          <cell r="C160" t="str">
            <v>loi2000</v>
          </cell>
          <cell r="D160">
            <v>1903</v>
          </cell>
          <cell r="E160">
            <v>28.03579700000012</v>
          </cell>
        </row>
        <row r="161">
          <cell r="A161" t="str">
            <v>043</v>
          </cell>
          <cell r="B161" t="str">
            <v>éolien</v>
          </cell>
          <cell r="C161" t="str">
            <v>loi2000</v>
          </cell>
          <cell r="D161">
            <v>7</v>
          </cell>
          <cell r="E161">
            <v>69.599999999999994</v>
          </cell>
        </row>
        <row r="162">
          <cell r="A162" t="str">
            <v>044</v>
          </cell>
          <cell r="B162" t="str">
            <v>biogaz</v>
          </cell>
          <cell r="C162" t="str">
            <v>loi2000</v>
          </cell>
          <cell r="D162">
            <v>1</v>
          </cell>
          <cell r="E162">
            <v>0.373</v>
          </cell>
        </row>
        <row r="163">
          <cell r="A163" t="str">
            <v>044</v>
          </cell>
          <cell r="B163" t="str">
            <v>solaire</v>
          </cell>
          <cell r="C163" t="str">
            <v>loi2000</v>
          </cell>
          <cell r="D163">
            <v>8416</v>
          </cell>
          <cell r="E163">
            <v>50.088896000000197</v>
          </cell>
        </row>
        <row r="164">
          <cell r="A164" t="str">
            <v>044</v>
          </cell>
          <cell r="B164" t="str">
            <v>éolien</v>
          </cell>
          <cell r="C164" t="str">
            <v>loi2000</v>
          </cell>
          <cell r="D164">
            <v>15</v>
          </cell>
          <cell r="E164">
            <v>138.143</v>
          </cell>
        </row>
        <row r="165">
          <cell r="A165" t="str">
            <v>045</v>
          </cell>
          <cell r="B165" t="str">
            <v>biogaz</v>
          </cell>
          <cell r="C165" t="str">
            <v>loi2000</v>
          </cell>
          <cell r="D165">
            <v>1</v>
          </cell>
          <cell r="E165">
            <v>0.15</v>
          </cell>
        </row>
        <row r="166">
          <cell r="A166" t="str">
            <v>045</v>
          </cell>
          <cell r="B166" t="str">
            <v>déchets</v>
          </cell>
          <cell r="C166" t="str">
            <v>loi2000</v>
          </cell>
          <cell r="D166">
            <v>1</v>
          </cell>
          <cell r="E166">
            <v>4.97</v>
          </cell>
        </row>
        <row r="167">
          <cell r="A167" t="str">
            <v>045</v>
          </cell>
          <cell r="B167" t="str">
            <v>solaire</v>
          </cell>
          <cell r="C167" t="str">
            <v>loi2000</v>
          </cell>
          <cell r="D167">
            <v>1560</v>
          </cell>
          <cell r="E167">
            <v>8.2960950000000544</v>
          </cell>
        </row>
        <row r="168">
          <cell r="A168" t="str">
            <v>045</v>
          </cell>
          <cell r="B168" t="str">
            <v>éolien</v>
          </cell>
          <cell r="C168" t="str">
            <v>loi2000</v>
          </cell>
          <cell r="D168">
            <v>13</v>
          </cell>
          <cell r="E168">
            <v>131</v>
          </cell>
        </row>
        <row r="169">
          <cell r="A169" t="str">
            <v>046</v>
          </cell>
          <cell r="B169" t="str">
            <v>hydraulique</v>
          </cell>
          <cell r="C169" t="str">
            <v>loi2000</v>
          </cell>
          <cell r="D169">
            <v>12</v>
          </cell>
          <cell r="E169">
            <v>29.776499999999999</v>
          </cell>
        </row>
        <row r="170">
          <cell r="A170" t="str">
            <v>046</v>
          </cell>
          <cell r="B170" t="str">
            <v>solaire</v>
          </cell>
          <cell r="C170" t="str">
            <v>loi2000</v>
          </cell>
          <cell r="D170">
            <v>749</v>
          </cell>
          <cell r="E170">
            <v>22.92077500000002</v>
          </cell>
        </row>
        <row r="171">
          <cell r="A171" t="str">
            <v>047</v>
          </cell>
          <cell r="B171" t="str">
            <v>biogaz</v>
          </cell>
          <cell r="C171" t="str">
            <v>loi2000</v>
          </cell>
          <cell r="D171">
            <v>1</v>
          </cell>
          <cell r="E171">
            <v>0.42</v>
          </cell>
        </row>
        <row r="172">
          <cell r="A172" t="str">
            <v>047</v>
          </cell>
          <cell r="B172" t="str">
            <v>hydraulique</v>
          </cell>
          <cell r="C172" t="str">
            <v>loi2000</v>
          </cell>
          <cell r="D172">
            <v>2</v>
          </cell>
          <cell r="E172">
            <v>7.27</v>
          </cell>
        </row>
        <row r="173">
          <cell r="A173" t="str">
            <v>047</v>
          </cell>
          <cell r="B173" t="str">
            <v>solaire</v>
          </cell>
          <cell r="C173" t="str">
            <v>loi2000</v>
          </cell>
          <cell r="D173">
            <v>2024</v>
          </cell>
          <cell r="E173">
            <v>37.443244000000085</v>
          </cell>
        </row>
        <row r="174">
          <cell r="A174" t="str">
            <v>048</v>
          </cell>
          <cell r="B174" t="str">
            <v>hydraulique</v>
          </cell>
          <cell r="C174" t="str">
            <v>loi2000</v>
          </cell>
          <cell r="D174">
            <v>5</v>
          </cell>
          <cell r="E174">
            <v>24.350999999999999</v>
          </cell>
        </row>
        <row r="175">
          <cell r="A175" t="str">
            <v>048</v>
          </cell>
          <cell r="B175" t="str">
            <v>solaire</v>
          </cell>
          <cell r="C175" t="str">
            <v>loi2000</v>
          </cell>
          <cell r="D175">
            <v>378</v>
          </cell>
          <cell r="E175">
            <v>8.0880570000000027</v>
          </cell>
        </row>
        <row r="176">
          <cell r="A176" t="str">
            <v>048</v>
          </cell>
          <cell r="B176" t="str">
            <v>éolien</v>
          </cell>
          <cell r="C176" t="str">
            <v>loi2000</v>
          </cell>
          <cell r="D176">
            <v>5</v>
          </cell>
          <cell r="E176">
            <v>22.4</v>
          </cell>
        </row>
        <row r="177">
          <cell r="A177" t="str">
            <v>049</v>
          </cell>
          <cell r="B177" t="str">
            <v>biogaz</v>
          </cell>
          <cell r="C177" t="str">
            <v>loi2000</v>
          </cell>
          <cell r="D177">
            <v>2</v>
          </cell>
          <cell r="E177">
            <v>3.08</v>
          </cell>
        </row>
        <row r="178">
          <cell r="A178" t="str">
            <v>049</v>
          </cell>
          <cell r="B178" t="str">
            <v>déchets</v>
          </cell>
          <cell r="C178" t="str">
            <v>loi2000</v>
          </cell>
          <cell r="D178">
            <v>1</v>
          </cell>
          <cell r="E178">
            <v>9.19</v>
          </cell>
        </row>
        <row r="179">
          <cell r="A179" t="str">
            <v>049</v>
          </cell>
          <cell r="B179" t="str">
            <v>hydraulique</v>
          </cell>
          <cell r="C179" t="str">
            <v>loi2000</v>
          </cell>
          <cell r="D179">
            <v>2</v>
          </cell>
          <cell r="E179">
            <v>0.24249999999999999</v>
          </cell>
        </row>
        <row r="180">
          <cell r="A180" t="str">
            <v>049</v>
          </cell>
          <cell r="B180" t="str">
            <v>solaire</v>
          </cell>
          <cell r="C180" t="str">
            <v>loi2000</v>
          </cell>
          <cell r="D180">
            <v>5552</v>
          </cell>
          <cell r="E180">
            <v>54.522754000000326</v>
          </cell>
        </row>
        <row r="181">
          <cell r="A181" t="str">
            <v>049</v>
          </cell>
          <cell r="B181" t="str">
            <v>éolien</v>
          </cell>
          <cell r="C181" t="str">
            <v>loi2000</v>
          </cell>
          <cell r="D181">
            <v>7</v>
          </cell>
          <cell r="E181">
            <v>73.2</v>
          </cell>
        </row>
        <row r="182">
          <cell r="A182" t="str">
            <v>050</v>
          </cell>
          <cell r="B182" t="str">
            <v>biogaz</v>
          </cell>
          <cell r="C182" t="str">
            <v>loi2000</v>
          </cell>
          <cell r="D182">
            <v>4</v>
          </cell>
          <cell r="E182">
            <v>3.1829999999999998</v>
          </cell>
        </row>
        <row r="183">
          <cell r="A183" t="str">
            <v>050</v>
          </cell>
          <cell r="B183" t="str">
            <v>hydraulique</v>
          </cell>
          <cell r="C183" t="str">
            <v>loi2000</v>
          </cell>
          <cell r="D183">
            <v>1</v>
          </cell>
          <cell r="E183">
            <v>1.6</v>
          </cell>
        </row>
        <row r="184">
          <cell r="A184" t="str">
            <v>050</v>
          </cell>
          <cell r="B184" t="str">
            <v>solaire</v>
          </cell>
          <cell r="C184" t="str">
            <v>loi2000</v>
          </cell>
          <cell r="D184">
            <v>1897</v>
          </cell>
          <cell r="E184">
            <v>15.081356000000069</v>
          </cell>
        </row>
        <row r="185">
          <cell r="A185" t="str">
            <v>050</v>
          </cell>
          <cell r="B185" t="str">
            <v>éolien</v>
          </cell>
          <cell r="C185" t="str">
            <v>loi2000</v>
          </cell>
          <cell r="D185">
            <v>13</v>
          </cell>
          <cell r="E185">
            <v>75.406400000000005</v>
          </cell>
        </row>
        <row r="186">
          <cell r="A186" t="str">
            <v>051</v>
          </cell>
          <cell r="B186" t="str">
            <v>déchets</v>
          </cell>
          <cell r="C186" t="str">
            <v>loi2000</v>
          </cell>
          <cell r="D186">
            <v>1</v>
          </cell>
          <cell r="E186">
            <v>9.1</v>
          </cell>
        </row>
        <row r="187">
          <cell r="A187" t="str">
            <v>051</v>
          </cell>
          <cell r="B187" t="str">
            <v>hydraulique</v>
          </cell>
          <cell r="C187" t="str">
            <v>loi2000</v>
          </cell>
          <cell r="D187">
            <v>4</v>
          </cell>
          <cell r="E187">
            <v>0.34899999999999998</v>
          </cell>
        </row>
        <row r="188">
          <cell r="A188" t="str">
            <v>051</v>
          </cell>
          <cell r="B188" t="str">
            <v>solaire</v>
          </cell>
          <cell r="C188" t="str">
            <v>loi2000</v>
          </cell>
          <cell r="D188">
            <v>1452</v>
          </cell>
          <cell r="E188">
            <v>27.175899000000129</v>
          </cell>
        </row>
        <row r="189">
          <cell r="A189" t="str">
            <v>051</v>
          </cell>
          <cell r="B189" t="str">
            <v>éolien</v>
          </cell>
          <cell r="C189" t="str">
            <v>loi2000</v>
          </cell>
          <cell r="D189">
            <v>33</v>
          </cell>
          <cell r="E189">
            <v>317.27000000000004</v>
          </cell>
        </row>
        <row r="190">
          <cell r="A190" t="str">
            <v>052</v>
          </cell>
          <cell r="B190" t="str">
            <v>biogaz</v>
          </cell>
          <cell r="C190" t="str">
            <v>loi2000</v>
          </cell>
          <cell r="D190">
            <v>1</v>
          </cell>
          <cell r="E190">
            <v>0.249</v>
          </cell>
        </row>
        <row r="191">
          <cell r="A191" t="str">
            <v>052</v>
          </cell>
          <cell r="B191" t="str">
            <v>déchets</v>
          </cell>
          <cell r="C191" t="str">
            <v>loi2000</v>
          </cell>
          <cell r="D191">
            <v>1</v>
          </cell>
          <cell r="E191">
            <v>4.2</v>
          </cell>
        </row>
        <row r="192">
          <cell r="A192" t="str">
            <v>052</v>
          </cell>
          <cell r="B192" t="str">
            <v>hydraulique</v>
          </cell>
          <cell r="C192" t="str">
            <v>loi2000</v>
          </cell>
          <cell r="D192">
            <v>2</v>
          </cell>
          <cell r="E192">
            <v>0.215</v>
          </cell>
        </row>
        <row r="193">
          <cell r="A193" t="str">
            <v>052</v>
          </cell>
          <cell r="B193" t="str">
            <v>solaire</v>
          </cell>
          <cell r="C193" t="str">
            <v>loi2000</v>
          </cell>
          <cell r="D193">
            <v>564</v>
          </cell>
          <cell r="E193">
            <v>13.153459000000025</v>
          </cell>
        </row>
        <row r="194">
          <cell r="A194" t="str">
            <v>052</v>
          </cell>
          <cell r="B194" t="str">
            <v>éolien</v>
          </cell>
          <cell r="C194" t="str">
            <v>loi2000</v>
          </cell>
          <cell r="D194">
            <v>16</v>
          </cell>
          <cell r="E194">
            <v>240</v>
          </cell>
        </row>
        <row r="195">
          <cell r="A195" t="str">
            <v>053</v>
          </cell>
          <cell r="B195" t="str">
            <v>biogaz</v>
          </cell>
          <cell r="C195" t="str">
            <v>loi2000</v>
          </cell>
          <cell r="D195">
            <v>2</v>
          </cell>
          <cell r="E195">
            <v>10.414999999999999</v>
          </cell>
        </row>
        <row r="196">
          <cell r="A196" t="str">
            <v>053</v>
          </cell>
          <cell r="B196" t="str">
            <v>hydraulique</v>
          </cell>
          <cell r="C196" t="str">
            <v>loi2000</v>
          </cell>
          <cell r="D196">
            <v>20</v>
          </cell>
          <cell r="E196">
            <v>3.9929999999999999</v>
          </cell>
        </row>
        <row r="197">
          <cell r="A197" t="str">
            <v>053</v>
          </cell>
          <cell r="B197" t="str">
            <v>solaire</v>
          </cell>
          <cell r="C197" t="str">
            <v>loi2000</v>
          </cell>
          <cell r="D197">
            <v>2480</v>
          </cell>
          <cell r="E197">
            <v>20.130960000000265</v>
          </cell>
        </row>
        <row r="198">
          <cell r="A198" t="str">
            <v>053</v>
          </cell>
          <cell r="B198" t="str">
            <v>éolien</v>
          </cell>
          <cell r="C198" t="str">
            <v>loi2000</v>
          </cell>
          <cell r="D198">
            <v>5</v>
          </cell>
          <cell r="E198">
            <v>46.050000000000004</v>
          </cell>
        </row>
        <row r="199">
          <cell r="A199" t="str">
            <v>054</v>
          </cell>
          <cell r="B199" t="str">
            <v>biogaz</v>
          </cell>
          <cell r="C199" t="str">
            <v>loi2000</v>
          </cell>
          <cell r="D199">
            <v>5</v>
          </cell>
          <cell r="E199">
            <v>3.9739999999999998</v>
          </cell>
        </row>
        <row r="200">
          <cell r="A200" t="str">
            <v>054</v>
          </cell>
          <cell r="B200" t="str">
            <v>hydraulique</v>
          </cell>
          <cell r="C200" t="str">
            <v>loi2000</v>
          </cell>
          <cell r="D200">
            <v>11</v>
          </cell>
          <cell r="E200">
            <v>3.6868999999999996</v>
          </cell>
        </row>
        <row r="201">
          <cell r="A201" t="str">
            <v>054</v>
          </cell>
          <cell r="B201" t="str">
            <v>solaire</v>
          </cell>
          <cell r="C201" t="str">
            <v>loi2000</v>
          </cell>
          <cell r="D201">
            <v>2245</v>
          </cell>
          <cell r="E201">
            <v>23.960533000000105</v>
          </cell>
        </row>
        <row r="202">
          <cell r="A202" t="str">
            <v>054</v>
          </cell>
          <cell r="B202" t="str">
            <v>éolien</v>
          </cell>
          <cell r="C202" t="str">
            <v>loi2000</v>
          </cell>
          <cell r="D202">
            <v>12</v>
          </cell>
          <cell r="E202">
            <v>95</v>
          </cell>
        </row>
        <row r="203">
          <cell r="A203" t="str">
            <v>055</v>
          </cell>
          <cell r="B203" t="str">
            <v>hydraulique</v>
          </cell>
          <cell r="C203" t="str">
            <v>loi2000</v>
          </cell>
          <cell r="D203">
            <v>9</v>
          </cell>
          <cell r="E203">
            <v>1.6179999999999999</v>
          </cell>
        </row>
        <row r="204">
          <cell r="A204" t="str">
            <v>055</v>
          </cell>
          <cell r="B204" t="str">
            <v>solaire</v>
          </cell>
          <cell r="C204" t="str">
            <v>loi2000</v>
          </cell>
          <cell r="D204">
            <v>767</v>
          </cell>
          <cell r="E204">
            <v>5.9638460000000038</v>
          </cell>
        </row>
        <row r="205">
          <cell r="A205" t="str">
            <v>055</v>
          </cell>
          <cell r="B205" t="str">
            <v>éolien</v>
          </cell>
          <cell r="C205" t="str">
            <v>loi2000</v>
          </cell>
          <cell r="D205">
            <v>34</v>
          </cell>
          <cell r="E205">
            <v>348.7</v>
          </cell>
        </row>
        <row r="206">
          <cell r="A206" t="str">
            <v>056</v>
          </cell>
          <cell r="B206" t="str">
            <v>biogaz</v>
          </cell>
          <cell r="C206" t="str">
            <v>loi2000</v>
          </cell>
          <cell r="D206">
            <v>3</v>
          </cell>
          <cell r="E206">
            <v>1.7210000000000001</v>
          </cell>
        </row>
        <row r="207">
          <cell r="A207" t="str">
            <v>056</v>
          </cell>
          <cell r="B207" t="str">
            <v>hydraulique</v>
          </cell>
          <cell r="C207" t="str">
            <v>loi2000</v>
          </cell>
          <cell r="D207">
            <v>9</v>
          </cell>
          <cell r="E207">
            <v>3.0590000000000002</v>
          </cell>
        </row>
        <row r="208">
          <cell r="A208" t="str">
            <v>056</v>
          </cell>
          <cell r="B208" t="str">
            <v>solaire</v>
          </cell>
          <cell r="C208" t="str">
            <v>loi2000</v>
          </cell>
          <cell r="D208">
            <v>2927</v>
          </cell>
          <cell r="E208">
            <v>25.351965000000348</v>
          </cell>
        </row>
        <row r="209">
          <cell r="A209" t="str">
            <v>056</v>
          </cell>
          <cell r="B209" t="str">
            <v>éolien</v>
          </cell>
          <cell r="C209" t="str">
            <v>loi2000</v>
          </cell>
          <cell r="D209">
            <v>26</v>
          </cell>
          <cell r="E209">
            <v>214.29000000000002</v>
          </cell>
        </row>
        <row r="210">
          <cell r="A210" t="str">
            <v>057</v>
          </cell>
          <cell r="B210" t="str">
            <v>biogaz</v>
          </cell>
          <cell r="C210" t="str">
            <v>loi2000</v>
          </cell>
          <cell r="D210">
            <v>3</v>
          </cell>
          <cell r="E210">
            <v>3.6700000000000004</v>
          </cell>
        </row>
        <row r="211">
          <cell r="A211" t="str">
            <v>057</v>
          </cell>
          <cell r="B211" t="str">
            <v>hydraulique</v>
          </cell>
          <cell r="C211" t="str">
            <v>loi2000</v>
          </cell>
          <cell r="D211">
            <v>7</v>
          </cell>
          <cell r="E211">
            <v>12.741</v>
          </cell>
        </row>
        <row r="212">
          <cell r="A212" t="str">
            <v>057</v>
          </cell>
          <cell r="B212" t="str">
            <v>solaire</v>
          </cell>
          <cell r="C212" t="str">
            <v>loi2000</v>
          </cell>
          <cell r="D212">
            <v>4324</v>
          </cell>
          <cell r="E212">
            <v>33.29284100000033</v>
          </cell>
        </row>
        <row r="213">
          <cell r="A213" t="str">
            <v>057</v>
          </cell>
          <cell r="B213" t="str">
            <v>éolien</v>
          </cell>
          <cell r="C213" t="str">
            <v>loi2000</v>
          </cell>
          <cell r="D213">
            <v>17</v>
          </cell>
          <cell r="E213">
            <v>178.70000000000002</v>
          </cell>
        </row>
        <row r="214">
          <cell r="A214" t="str">
            <v>058</v>
          </cell>
          <cell r="B214" t="str">
            <v>déchets</v>
          </cell>
          <cell r="C214" t="str">
            <v>loi2000</v>
          </cell>
          <cell r="D214">
            <v>1</v>
          </cell>
          <cell r="E214">
            <v>2.68</v>
          </cell>
        </row>
        <row r="215">
          <cell r="A215" t="str">
            <v>058</v>
          </cell>
          <cell r="B215" t="str">
            <v>hydraulique</v>
          </cell>
          <cell r="C215" t="str">
            <v>loi2000</v>
          </cell>
          <cell r="D215">
            <v>1</v>
          </cell>
          <cell r="E215">
            <v>5.9</v>
          </cell>
        </row>
        <row r="216">
          <cell r="A216" t="str">
            <v>058</v>
          </cell>
          <cell r="B216" t="str">
            <v>solaire</v>
          </cell>
          <cell r="C216" t="str">
            <v>loi2000</v>
          </cell>
          <cell r="D216">
            <v>754</v>
          </cell>
          <cell r="E216">
            <v>4.8998200000000276</v>
          </cell>
        </row>
        <row r="217">
          <cell r="A217" t="str">
            <v>059</v>
          </cell>
          <cell r="B217" t="str">
            <v>biogaz</v>
          </cell>
          <cell r="C217" t="str">
            <v>loi2000</v>
          </cell>
          <cell r="D217">
            <v>6</v>
          </cell>
          <cell r="E217">
            <v>6.5440000000000005</v>
          </cell>
        </row>
        <row r="218">
          <cell r="A218" t="str">
            <v>059</v>
          </cell>
          <cell r="B218" t="str">
            <v>déchets</v>
          </cell>
          <cell r="C218" t="str">
            <v>loi2000</v>
          </cell>
          <cell r="D218">
            <v>2</v>
          </cell>
          <cell r="E218">
            <v>13.52</v>
          </cell>
        </row>
        <row r="219">
          <cell r="A219" t="str">
            <v>059</v>
          </cell>
          <cell r="B219" t="str">
            <v>solaire</v>
          </cell>
          <cell r="C219" t="str">
            <v>loi2000</v>
          </cell>
          <cell r="D219">
            <v>5158</v>
          </cell>
          <cell r="E219">
            <v>29.777753000000466</v>
          </cell>
        </row>
        <row r="220">
          <cell r="A220" t="str">
            <v>059</v>
          </cell>
          <cell r="B220" t="str">
            <v>éolien</v>
          </cell>
          <cell r="C220" t="str">
            <v>loi2000</v>
          </cell>
          <cell r="D220">
            <v>4</v>
          </cell>
          <cell r="E220">
            <v>22.75</v>
          </cell>
        </row>
        <row r="221">
          <cell r="A221" t="str">
            <v>060</v>
          </cell>
          <cell r="B221" t="str">
            <v>biogaz</v>
          </cell>
          <cell r="C221" t="str">
            <v>loi2000</v>
          </cell>
          <cell r="D221">
            <v>4</v>
          </cell>
          <cell r="E221">
            <v>7.5140000000000002</v>
          </cell>
        </row>
        <row r="222">
          <cell r="A222" t="str">
            <v>060</v>
          </cell>
          <cell r="B222" t="str">
            <v>déchets</v>
          </cell>
          <cell r="C222" t="str">
            <v>loi2000</v>
          </cell>
          <cell r="D222">
            <v>1</v>
          </cell>
          <cell r="E222">
            <v>14.3</v>
          </cell>
        </row>
        <row r="223">
          <cell r="A223" t="str">
            <v>060</v>
          </cell>
          <cell r="B223" t="str">
            <v>solaire</v>
          </cell>
          <cell r="C223" t="str">
            <v>loi2000</v>
          </cell>
          <cell r="D223">
            <v>1261</v>
          </cell>
          <cell r="E223">
            <v>6.5121820000000463</v>
          </cell>
        </row>
        <row r="224">
          <cell r="A224" t="str">
            <v>060</v>
          </cell>
          <cell r="B224" t="str">
            <v>éolien</v>
          </cell>
          <cell r="C224" t="str">
            <v>loi2000</v>
          </cell>
          <cell r="D224">
            <v>15</v>
          </cell>
          <cell r="E224">
            <v>159.4</v>
          </cell>
        </row>
        <row r="225">
          <cell r="A225" t="str">
            <v>061</v>
          </cell>
          <cell r="B225" t="str">
            <v>biogaz</v>
          </cell>
          <cell r="C225" t="str">
            <v>loi2000</v>
          </cell>
          <cell r="D225">
            <v>3</v>
          </cell>
          <cell r="E225">
            <v>1.375</v>
          </cell>
        </row>
        <row r="226">
          <cell r="A226" t="str">
            <v>061</v>
          </cell>
          <cell r="B226" t="str">
            <v>hydraulique</v>
          </cell>
          <cell r="C226" t="str">
            <v>loi2000</v>
          </cell>
          <cell r="D226">
            <v>2</v>
          </cell>
          <cell r="E226">
            <v>6.8999999999999995</v>
          </cell>
        </row>
        <row r="227">
          <cell r="A227" t="str">
            <v>061</v>
          </cell>
          <cell r="B227" t="str">
            <v>solaire</v>
          </cell>
          <cell r="C227" t="str">
            <v>loi2000</v>
          </cell>
          <cell r="D227">
            <v>992</v>
          </cell>
          <cell r="E227">
            <v>8.2094770000000086</v>
          </cell>
        </row>
        <row r="228">
          <cell r="A228" t="str">
            <v>061</v>
          </cell>
          <cell r="B228" t="str">
            <v>éolien</v>
          </cell>
          <cell r="C228" t="str">
            <v>loi2000</v>
          </cell>
          <cell r="D228">
            <v>1</v>
          </cell>
          <cell r="E228">
            <v>2.4</v>
          </cell>
        </row>
        <row r="229">
          <cell r="A229" t="str">
            <v>062</v>
          </cell>
          <cell r="B229" t="str">
            <v>biogaz</v>
          </cell>
          <cell r="C229" t="str">
            <v>loi2000</v>
          </cell>
          <cell r="D229">
            <v>7</v>
          </cell>
          <cell r="E229">
            <v>7.2119999999999997</v>
          </cell>
        </row>
        <row r="230">
          <cell r="A230" t="str">
            <v>062</v>
          </cell>
          <cell r="B230" t="str">
            <v>déchets</v>
          </cell>
          <cell r="C230" t="str">
            <v>loi2000</v>
          </cell>
          <cell r="D230">
            <v>1</v>
          </cell>
          <cell r="E230">
            <v>8.3249999999999993</v>
          </cell>
        </row>
        <row r="231">
          <cell r="A231" t="str">
            <v>062</v>
          </cell>
          <cell r="B231" t="str">
            <v>hydraulique</v>
          </cell>
          <cell r="C231" t="str">
            <v>loi2000</v>
          </cell>
          <cell r="D231">
            <v>3</v>
          </cell>
          <cell r="E231">
            <v>0.18800000000000003</v>
          </cell>
        </row>
        <row r="232">
          <cell r="A232" t="str">
            <v>062</v>
          </cell>
          <cell r="B232" t="str">
            <v>solaire</v>
          </cell>
          <cell r="C232" t="str">
            <v>loi2000</v>
          </cell>
          <cell r="D232">
            <v>4386</v>
          </cell>
          <cell r="E232">
            <v>20.233168000000237</v>
          </cell>
        </row>
        <row r="233">
          <cell r="A233" t="str">
            <v>062</v>
          </cell>
          <cell r="B233" t="str">
            <v>éolien</v>
          </cell>
          <cell r="C233" t="str">
            <v>loi2000</v>
          </cell>
          <cell r="D233">
            <v>47</v>
          </cell>
          <cell r="E233">
            <v>374.00519999999995</v>
          </cell>
        </row>
        <row r="234">
          <cell r="A234" t="str">
            <v>063</v>
          </cell>
          <cell r="B234" t="str">
            <v>biogaz</v>
          </cell>
          <cell r="C234" t="str">
            <v>loi2000</v>
          </cell>
          <cell r="D234">
            <v>1</v>
          </cell>
          <cell r="E234">
            <v>2.012</v>
          </cell>
        </row>
        <row r="235">
          <cell r="A235" t="str">
            <v>063</v>
          </cell>
          <cell r="B235" t="str">
            <v>hydraulique</v>
          </cell>
          <cell r="C235" t="str">
            <v>loi2000</v>
          </cell>
          <cell r="D235">
            <v>17</v>
          </cell>
          <cell r="E235">
            <v>17.053000000000001</v>
          </cell>
        </row>
        <row r="236">
          <cell r="A236" t="str">
            <v>063</v>
          </cell>
          <cell r="B236" t="str">
            <v>solaire</v>
          </cell>
          <cell r="C236" t="str">
            <v>loi2000</v>
          </cell>
          <cell r="D236">
            <v>3438</v>
          </cell>
          <cell r="E236">
            <v>26.045952000000216</v>
          </cell>
        </row>
        <row r="237">
          <cell r="A237" t="str">
            <v>063</v>
          </cell>
          <cell r="B237" t="str">
            <v>éolien</v>
          </cell>
          <cell r="C237" t="str">
            <v>loi2000</v>
          </cell>
          <cell r="D237">
            <v>6</v>
          </cell>
          <cell r="E237">
            <v>22.308</v>
          </cell>
        </row>
        <row r="238">
          <cell r="A238" t="str">
            <v>064</v>
          </cell>
          <cell r="B238" t="str">
            <v>déchets</v>
          </cell>
          <cell r="C238" t="str">
            <v>loi2000</v>
          </cell>
          <cell r="D238">
            <v>1</v>
          </cell>
          <cell r="E238">
            <v>5.85</v>
          </cell>
        </row>
        <row r="239">
          <cell r="A239" t="str">
            <v>064</v>
          </cell>
          <cell r="B239" t="str">
            <v>hydraulique</v>
          </cell>
          <cell r="C239" t="str">
            <v>loi2000</v>
          </cell>
          <cell r="D239">
            <v>34</v>
          </cell>
          <cell r="E239">
            <v>92.573000000000022</v>
          </cell>
        </row>
        <row r="240">
          <cell r="A240" t="str">
            <v>064</v>
          </cell>
          <cell r="B240" t="str">
            <v>solaire</v>
          </cell>
          <cell r="C240" t="str">
            <v>loi2000</v>
          </cell>
          <cell r="D240">
            <v>3778</v>
          </cell>
          <cell r="E240">
            <v>41.999117000000325</v>
          </cell>
        </row>
        <row r="241">
          <cell r="A241" t="str">
            <v>065</v>
          </cell>
          <cell r="B241" t="str">
            <v>biogaz</v>
          </cell>
          <cell r="C241" t="str">
            <v>loi2000</v>
          </cell>
          <cell r="D241">
            <v>1</v>
          </cell>
          <cell r="E241">
            <v>1.67</v>
          </cell>
        </row>
        <row r="242">
          <cell r="A242" t="str">
            <v>065</v>
          </cell>
          <cell r="B242" t="str">
            <v>hydraulique</v>
          </cell>
          <cell r="C242" t="str">
            <v>loi2000</v>
          </cell>
          <cell r="D242">
            <v>30</v>
          </cell>
          <cell r="E242">
            <v>79.632999999999996</v>
          </cell>
        </row>
        <row r="243">
          <cell r="A243" t="str">
            <v>065</v>
          </cell>
          <cell r="B243" t="str">
            <v>solaire</v>
          </cell>
          <cell r="C243" t="str">
            <v>loi2000</v>
          </cell>
          <cell r="D243">
            <v>800</v>
          </cell>
          <cell r="E243">
            <v>11.188797000000005</v>
          </cell>
        </row>
        <row r="244">
          <cell r="A244" t="str">
            <v>066</v>
          </cell>
          <cell r="B244" t="str">
            <v>biogaz</v>
          </cell>
          <cell r="C244" t="str">
            <v>loi2000</v>
          </cell>
          <cell r="D244">
            <v>1</v>
          </cell>
          <cell r="E244">
            <v>0.83499999999999996</v>
          </cell>
        </row>
        <row r="245">
          <cell r="A245" t="str">
            <v>066</v>
          </cell>
          <cell r="B245" t="str">
            <v>déchets</v>
          </cell>
          <cell r="C245" t="str">
            <v>loi2000</v>
          </cell>
          <cell r="D245">
            <v>1</v>
          </cell>
          <cell r="E245">
            <v>21.65</v>
          </cell>
        </row>
        <row r="246">
          <cell r="A246" t="str">
            <v>066</v>
          </cell>
          <cell r="B246" t="str">
            <v>hydraulique</v>
          </cell>
          <cell r="C246" t="str">
            <v>loi2000</v>
          </cell>
          <cell r="D246">
            <v>15</v>
          </cell>
          <cell r="E246">
            <v>73.117999999999995</v>
          </cell>
        </row>
        <row r="247">
          <cell r="A247" t="str">
            <v>066</v>
          </cell>
          <cell r="B247" t="str">
            <v>solaire</v>
          </cell>
          <cell r="C247" t="str">
            <v>loi2000</v>
          </cell>
          <cell r="D247">
            <v>2775</v>
          </cell>
          <cell r="E247">
            <v>50.466265000000135</v>
          </cell>
        </row>
        <row r="248">
          <cell r="A248" t="str">
            <v>066</v>
          </cell>
          <cell r="B248" t="str">
            <v>éolien</v>
          </cell>
          <cell r="C248" t="str">
            <v>loi2000</v>
          </cell>
          <cell r="D248">
            <v>4</v>
          </cell>
          <cell r="E248">
            <v>21.25</v>
          </cell>
        </row>
        <row r="249">
          <cell r="A249" t="str">
            <v>067</v>
          </cell>
          <cell r="B249" t="str">
            <v>déchets</v>
          </cell>
          <cell r="C249" t="str">
            <v>loi2000</v>
          </cell>
          <cell r="D249">
            <v>2</v>
          </cell>
          <cell r="E249">
            <v>19.399999999999999</v>
          </cell>
        </row>
        <row r="250">
          <cell r="A250" t="str">
            <v>067</v>
          </cell>
          <cell r="B250" t="str">
            <v>géothermie</v>
          </cell>
          <cell r="C250" t="str">
            <v>loi2000</v>
          </cell>
          <cell r="D250">
            <v>1</v>
          </cell>
          <cell r="E250">
            <v>1.8</v>
          </cell>
        </row>
        <row r="251">
          <cell r="A251" t="str">
            <v>067</v>
          </cell>
          <cell r="B251" t="str">
            <v>hydraulique</v>
          </cell>
          <cell r="C251" t="str">
            <v>loi2000</v>
          </cell>
          <cell r="D251">
            <v>22</v>
          </cell>
          <cell r="E251">
            <v>5.4564000000000004</v>
          </cell>
        </row>
        <row r="252">
          <cell r="A252" t="str">
            <v>067</v>
          </cell>
          <cell r="B252" t="str">
            <v>solaire</v>
          </cell>
          <cell r="C252" t="str">
            <v>loi2000</v>
          </cell>
          <cell r="D252">
            <v>2292</v>
          </cell>
          <cell r="E252">
            <v>55.450758999999884</v>
          </cell>
        </row>
        <row r="253">
          <cell r="A253" t="str">
            <v>068</v>
          </cell>
          <cell r="B253" t="str">
            <v>biogaz</v>
          </cell>
          <cell r="C253" t="str">
            <v>loi2000</v>
          </cell>
          <cell r="D253">
            <v>2</v>
          </cell>
          <cell r="E253">
            <v>2.79</v>
          </cell>
        </row>
        <row r="254">
          <cell r="A254" t="str">
            <v>068</v>
          </cell>
          <cell r="B254" t="str">
            <v>déchets</v>
          </cell>
          <cell r="C254" t="str">
            <v>loi2000</v>
          </cell>
          <cell r="D254">
            <v>1</v>
          </cell>
          <cell r="E254">
            <v>11.7</v>
          </cell>
        </row>
        <row r="255">
          <cell r="A255" t="str">
            <v>068</v>
          </cell>
          <cell r="B255" t="str">
            <v>hydraulique</v>
          </cell>
          <cell r="C255" t="str">
            <v>loi2000</v>
          </cell>
          <cell r="D255">
            <v>11</v>
          </cell>
          <cell r="E255">
            <v>5.0300000000000011</v>
          </cell>
        </row>
        <row r="256">
          <cell r="A256" t="str">
            <v>068</v>
          </cell>
          <cell r="B256" t="str">
            <v>solaire</v>
          </cell>
          <cell r="C256" t="str">
            <v>loi2000</v>
          </cell>
          <cell r="D256">
            <v>2663</v>
          </cell>
          <cell r="E256">
            <v>30.692495000000186</v>
          </cell>
        </row>
        <row r="257">
          <cell r="A257" t="str">
            <v>069</v>
          </cell>
          <cell r="B257" t="str">
            <v>déchets</v>
          </cell>
          <cell r="C257" t="str">
            <v>loi2000</v>
          </cell>
          <cell r="D257">
            <v>1</v>
          </cell>
          <cell r="E257">
            <v>7.8230000000000004</v>
          </cell>
        </row>
        <row r="258">
          <cell r="A258" t="str">
            <v>069</v>
          </cell>
          <cell r="B258" t="str">
            <v>solaire</v>
          </cell>
          <cell r="C258" t="str">
            <v>loi2000</v>
          </cell>
          <cell r="D258">
            <v>5423</v>
          </cell>
          <cell r="E258">
            <v>25.609301000000492</v>
          </cell>
        </row>
        <row r="259">
          <cell r="A259" t="str">
            <v>070</v>
          </cell>
          <cell r="B259" t="str">
            <v>biogaz</v>
          </cell>
          <cell r="C259" t="str">
            <v>loi2000</v>
          </cell>
          <cell r="D259">
            <v>2</v>
          </cell>
          <cell r="E259">
            <v>0.29799999999999999</v>
          </cell>
        </row>
        <row r="260">
          <cell r="A260" t="str">
            <v>070</v>
          </cell>
          <cell r="B260" t="str">
            <v>déchets</v>
          </cell>
          <cell r="C260" t="str">
            <v>loi2000</v>
          </cell>
          <cell r="D260">
            <v>1</v>
          </cell>
          <cell r="E260">
            <v>2.75</v>
          </cell>
        </row>
        <row r="261">
          <cell r="A261" t="str">
            <v>070</v>
          </cell>
          <cell r="B261" t="str">
            <v>hydraulique</v>
          </cell>
          <cell r="C261" t="str">
            <v>loi2000</v>
          </cell>
          <cell r="D261">
            <v>16</v>
          </cell>
          <cell r="E261">
            <v>4.1050000000000004</v>
          </cell>
        </row>
        <row r="262">
          <cell r="A262" t="str">
            <v>070</v>
          </cell>
          <cell r="B262" t="str">
            <v>solaire</v>
          </cell>
          <cell r="C262" t="str">
            <v>loi2000</v>
          </cell>
          <cell r="D262">
            <v>1175</v>
          </cell>
          <cell r="E262">
            <v>5.7170930000000659</v>
          </cell>
        </row>
        <row r="263">
          <cell r="A263" t="str">
            <v>071</v>
          </cell>
          <cell r="B263" t="str">
            <v>biogaz</v>
          </cell>
          <cell r="C263" t="str">
            <v>loi2000</v>
          </cell>
          <cell r="D263">
            <v>2</v>
          </cell>
          <cell r="E263">
            <v>2.2279999999999998</v>
          </cell>
        </row>
        <row r="264">
          <cell r="A264" t="str">
            <v>071</v>
          </cell>
          <cell r="B264" t="str">
            <v>hydraulique</v>
          </cell>
          <cell r="C264" t="str">
            <v>loi2000</v>
          </cell>
          <cell r="D264">
            <v>5</v>
          </cell>
          <cell r="E264">
            <v>2.327</v>
          </cell>
        </row>
        <row r="265">
          <cell r="A265" t="str">
            <v>071</v>
          </cell>
          <cell r="B265" t="str">
            <v>solaire</v>
          </cell>
          <cell r="C265" t="str">
            <v>loi2000</v>
          </cell>
          <cell r="D265">
            <v>2402</v>
          </cell>
          <cell r="E265">
            <v>13.903695000000143</v>
          </cell>
        </row>
        <row r="266">
          <cell r="A266" t="str">
            <v>072</v>
          </cell>
          <cell r="B266" t="str">
            <v>biogaz</v>
          </cell>
          <cell r="C266" t="str">
            <v>loi2000</v>
          </cell>
          <cell r="D266">
            <v>2</v>
          </cell>
          <cell r="E266">
            <v>0.65500000000000003</v>
          </cell>
        </row>
        <row r="267">
          <cell r="A267" t="str">
            <v>072</v>
          </cell>
          <cell r="B267" t="str">
            <v>déchets</v>
          </cell>
          <cell r="C267" t="str">
            <v>loi2000</v>
          </cell>
          <cell r="D267">
            <v>1</v>
          </cell>
          <cell r="E267">
            <v>14.375</v>
          </cell>
        </row>
        <row r="268">
          <cell r="A268" t="str">
            <v>072</v>
          </cell>
          <cell r="B268" t="str">
            <v>hydraulique</v>
          </cell>
          <cell r="C268" t="str">
            <v>loi2000</v>
          </cell>
          <cell r="D268">
            <v>4</v>
          </cell>
          <cell r="E268">
            <v>0.5625</v>
          </cell>
        </row>
        <row r="269">
          <cell r="A269" t="str">
            <v>072</v>
          </cell>
          <cell r="B269" t="str">
            <v>solaire</v>
          </cell>
          <cell r="C269" t="str">
            <v>loi2000</v>
          </cell>
          <cell r="D269">
            <v>3734</v>
          </cell>
          <cell r="E269">
            <v>26.60706500000046</v>
          </cell>
        </row>
        <row r="270">
          <cell r="A270" t="str">
            <v>073</v>
          </cell>
          <cell r="B270" t="str">
            <v>biogaz</v>
          </cell>
          <cell r="C270" t="str">
            <v>loi2000</v>
          </cell>
          <cell r="D270">
            <v>2</v>
          </cell>
          <cell r="E270">
            <v>0.14899999999999999</v>
          </cell>
        </row>
        <row r="271">
          <cell r="A271" t="str">
            <v>073</v>
          </cell>
          <cell r="B271" t="str">
            <v>déchets</v>
          </cell>
          <cell r="C271" t="str">
            <v>loi2000</v>
          </cell>
          <cell r="D271">
            <v>1</v>
          </cell>
          <cell r="E271">
            <v>9.6199999999999992</v>
          </cell>
        </row>
        <row r="272">
          <cell r="A272" t="str">
            <v>073</v>
          </cell>
          <cell r="B272" t="str">
            <v>hydraulique</v>
          </cell>
          <cell r="C272" t="str">
            <v>loi2000</v>
          </cell>
          <cell r="D272">
            <v>33</v>
          </cell>
          <cell r="E272">
            <v>151.27100000000002</v>
          </cell>
        </row>
        <row r="273">
          <cell r="A273" t="str">
            <v>073</v>
          </cell>
          <cell r="B273" t="str">
            <v>solaire</v>
          </cell>
          <cell r="C273" t="str">
            <v>loi2000</v>
          </cell>
          <cell r="D273">
            <v>2765</v>
          </cell>
          <cell r="E273">
            <v>11.111651000000183</v>
          </cell>
        </row>
        <row r="274">
          <cell r="A274" t="str">
            <v>074</v>
          </cell>
          <cell r="B274" t="str">
            <v>biogaz</v>
          </cell>
          <cell r="C274" t="str">
            <v>loi2000</v>
          </cell>
          <cell r="D274">
            <v>2</v>
          </cell>
          <cell r="E274">
            <v>0.35399999999999998</v>
          </cell>
        </row>
        <row r="275">
          <cell r="A275" t="str">
            <v>074</v>
          </cell>
          <cell r="B275" t="str">
            <v>hydraulique</v>
          </cell>
          <cell r="C275" t="str">
            <v>loi2000</v>
          </cell>
          <cell r="D275">
            <v>10</v>
          </cell>
          <cell r="E275">
            <v>32.131999999999998</v>
          </cell>
        </row>
        <row r="276">
          <cell r="A276" t="str">
            <v>074</v>
          </cell>
          <cell r="B276" t="str">
            <v>solaire</v>
          </cell>
          <cell r="C276" t="str">
            <v>loi2000</v>
          </cell>
          <cell r="D276">
            <v>3844</v>
          </cell>
          <cell r="E276">
            <v>13.427970000000206</v>
          </cell>
        </row>
        <row r="277">
          <cell r="A277" t="str">
            <v>075</v>
          </cell>
          <cell r="B277" t="str">
            <v>solaire</v>
          </cell>
          <cell r="C277" t="str">
            <v>loi2000</v>
          </cell>
          <cell r="D277">
            <v>25</v>
          </cell>
          <cell r="E277">
            <v>0.43052800000000008</v>
          </cell>
        </row>
        <row r="278">
          <cell r="A278" t="str">
            <v>076</v>
          </cell>
          <cell r="B278" t="str">
            <v>biogaz</v>
          </cell>
          <cell r="C278" t="str">
            <v>loi2000</v>
          </cell>
          <cell r="D278">
            <v>5</v>
          </cell>
          <cell r="E278">
            <v>3.9810000000000003</v>
          </cell>
        </row>
        <row r="279">
          <cell r="A279" t="str">
            <v>076</v>
          </cell>
          <cell r="B279" t="str">
            <v>déchets</v>
          </cell>
          <cell r="C279" t="str">
            <v>loi2000</v>
          </cell>
          <cell r="D279">
            <v>1</v>
          </cell>
          <cell r="E279">
            <v>18.484000000000002</v>
          </cell>
        </row>
        <row r="280">
          <cell r="A280" t="str">
            <v>076</v>
          </cell>
          <cell r="B280" t="str">
            <v>solaire</v>
          </cell>
          <cell r="C280" t="str">
            <v>loi2000</v>
          </cell>
          <cell r="D280">
            <v>1993</v>
          </cell>
          <cell r="E280">
            <v>23.562163000000108</v>
          </cell>
        </row>
        <row r="281">
          <cell r="A281" t="str">
            <v>076</v>
          </cell>
          <cell r="B281" t="str">
            <v>éolien</v>
          </cell>
          <cell r="C281" t="str">
            <v>loi2000</v>
          </cell>
          <cell r="D281">
            <v>20</v>
          </cell>
          <cell r="E281">
            <v>193.61999999999998</v>
          </cell>
        </row>
        <row r="282">
          <cell r="A282" t="str">
            <v>077</v>
          </cell>
          <cell r="B282" t="str">
            <v>biogaz</v>
          </cell>
          <cell r="C282" t="str">
            <v>loi2000</v>
          </cell>
          <cell r="D282">
            <v>3</v>
          </cell>
          <cell r="E282">
            <v>4.9870000000000001</v>
          </cell>
        </row>
        <row r="283">
          <cell r="A283" t="str">
            <v>077</v>
          </cell>
          <cell r="B283" t="str">
            <v>déchets</v>
          </cell>
          <cell r="C283" t="str">
            <v>loi2000</v>
          </cell>
          <cell r="D283">
            <v>3</v>
          </cell>
          <cell r="E283">
            <v>32.122</v>
          </cell>
        </row>
        <row r="284">
          <cell r="A284" t="str">
            <v>077</v>
          </cell>
          <cell r="B284" t="str">
            <v>solaire</v>
          </cell>
          <cell r="C284" t="str">
            <v>loi2000</v>
          </cell>
          <cell r="D284">
            <v>2904</v>
          </cell>
          <cell r="E284">
            <v>19.657616000000214</v>
          </cell>
        </row>
        <row r="285">
          <cell r="A285" t="str">
            <v>077</v>
          </cell>
          <cell r="B285" t="str">
            <v>éolien</v>
          </cell>
          <cell r="C285" t="str">
            <v>loi2000</v>
          </cell>
          <cell r="D285">
            <v>1</v>
          </cell>
          <cell r="E285">
            <v>0.13200000000000001</v>
          </cell>
        </row>
        <row r="286">
          <cell r="A286" t="str">
            <v>078</v>
          </cell>
          <cell r="B286" t="str">
            <v>solaire</v>
          </cell>
          <cell r="C286" t="str">
            <v>loi2000</v>
          </cell>
          <cell r="D286">
            <v>1521</v>
          </cell>
          <cell r="E286">
            <v>15.259087000000042</v>
          </cell>
        </row>
        <row r="287">
          <cell r="A287" t="str">
            <v>079</v>
          </cell>
          <cell r="B287" t="str">
            <v>biogaz</v>
          </cell>
          <cell r="C287" t="str">
            <v>loi2000</v>
          </cell>
          <cell r="D287">
            <v>1</v>
          </cell>
          <cell r="E287">
            <v>0.32</v>
          </cell>
        </row>
        <row r="288">
          <cell r="A288" t="str">
            <v>079</v>
          </cell>
          <cell r="B288" t="str">
            <v>solaire</v>
          </cell>
          <cell r="C288" t="str">
            <v>loi2000</v>
          </cell>
          <cell r="D288">
            <v>1164</v>
          </cell>
          <cell r="E288">
            <v>14.658619000000035</v>
          </cell>
        </row>
        <row r="289">
          <cell r="A289" t="str">
            <v>079</v>
          </cell>
          <cell r="B289" t="str">
            <v>éolien</v>
          </cell>
          <cell r="C289" t="str">
            <v>loi2000</v>
          </cell>
          <cell r="D289">
            <v>13</v>
          </cell>
          <cell r="E289">
            <v>124.33500000000001</v>
          </cell>
        </row>
        <row r="290">
          <cell r="A290" t="str">
            <v>080</v>
          </cell>
          <cell r="B290" t="str">
            <v>biogaz</v>
          </cell>
          <cell r="C290" t="str">
            <v>loi2000</v>
          </cell>
          <cell r="D290">
            <v>3</v>
          </cell>
          <cell r="E290">
            <v>4.6869999999999994</v>
          </cell>
        </row>
        <row r="291">
          <cell r="A291" t="str">
            <v>080</v>
          </cell>
          <cell r="B291" t="str">
            <v>solaire</v>
          </cell>
          <cell r="C291" t="str">
            <v>loi2000</v>
          </cell>
          <cell r="D291">
            <v>1338</v>
          </cell>
          <cell r="E291">
            <v>9.9868390000000495</v>
          </cell>
        </row>
        <row r="292">
          <cell r="A292" t="str">
            <v>080</v>
          </cell>
          <cell r="B292" t="str">
            <v>éolien</v>
          </cell>
          <cell r="C292" t="str">
            <v>loi2000</v>
          </cell>
          <cell r="D292">
            <v>49</v>
          </cell>
          <cell r="E292">
            <v>493.32</v>
          </cell>
        </row>
        <row r="293">
          <cell r="A293" t="str">
            <v>081</v>
          </cell>
          <cell r="B293" t="str">
            <v>biogaz</v>
          </cell>
          <cell r="C293" t="str">
            <v>loi2000</v>
          </cell>
          <cell r="D293">
            <v>3</v>
          </cell>
          <cell r="E293">
            <v>2.5420000000000003</v>
          </cell>
        </row>
        <row r="294">
          <cell r="A294" t="str">
            <v>081</v>
          </cell>
          <cell r="B294" t="str">
            <v>hydraulique</v>
          </cell>
          <cell r="C294" t="str">
            <v>loi2000</v>
          </cell>
          <cell r="D294">
            <v>40</v>
          </cell>
          <cell r="E294">
            <v>30.405000000000008</v>
          </cell>
        </row>
        <row r="295">
          <cell r="A295" t="str">
            <v>081</v>
          </cell>
          <cell r="B295" t="str">
            <v>solaire</v>
          </cell>
          <cell r="C295" t="str">
            <v>loi2000</v>
          </cell>
          <cell r="D295">
            <v>2264</v>
          </cell>
          <cell r="E295">
            <v>40.970201000000188</v>
          </cell>
        </row>
        <row r="296">
          <cell r="A296" t="str">
            <v>081</v>
          </cell>
          <cell r="B296" t="str">
            <v>éolien</v>
          </cell>
          <cell r="C296" t="str">
            <v>loi2000</v>
          </cell>
          <cell r="D296">
            <v>12</v>
          </cell>
          <cell r="E296">
            <v>119.67999999999999</v>
          </cell>
        </row>
        <row r="297">
          <cell r="A297" t="str">
            <v>082</v>
          </cell>
          <cell r="B297" t="str">
            <v>biogaz</v>
          </cell>
          <cell r="C297" t="str">
            <v>loi2000</v>
          </cell>
          <cell r="D297">
            <v>1</v>
          </cell>
          <cell r="E297">
            <v>7.6</v>
          </cell>
        </row>
        <row r="298">
          <cell r="A298" t="str">
            <v>082</v>
          </cell>
          <cell r="B298" t="str">
            <v>hydraulique</v>
          </cell>
          <cell r="C298" t="str">
            <v>loi2000</v>
          </cell>
          <cell r="D298">
            <v>6</v>
          </cell>
          <cell r="E298">
            <v>3.948</v>
          </cell>
        </row>
        <row r="299">
          <cell r="A299" t="str">
            <v>082</v>
          </cell>
          <cell r="B299" t="str">
            <v>solaire</v>
          </cell>
          <cell r="C299" t="str">
            <v>loi2000</v>
          </cell>
          <cell r="D299">
            <v>1156</v>
          </cell>
          <cell r="E299">
            <v>20.88208900000005</v>
          </cell>
        </row>
        <row r="300">
          <cell r="A300" t="str">
            <v>083</v>
          </cell>
          <cell r="B300" t="str">
            <v>hydraulique</v>
          </cell>
          <cell r="C300" t="str">
            <v>loi2000</v>
          </cell>
          <cell r="D300">
            <v>3</v>
          </cell>
          <cell r="E300">
            <v>2.79</v>
          </cell>
        </row>
        <row r="301">
          <cell r="A301" t="str">
            <v>083</v>
          </cell>
          <cell r="B301" t="str">
            <v>solaire</v>
          </cell>
          <cell r="C301" t="str">
            <v>loi2000</v>
          </cell>
          <cell r="D301">
            <v>7270</v>
          </cell>
          <cell r="E301">
            <v>96.091846000000714</v>
          </cell>
        </row>
        <row r="302">
          <cell r="A302" t="str">
            <v>084</v>
          </cell>
          <cell r="B302" t="str">
            <v>biogaz</v>
          </cell>
          <cell r="C302" t="str">
            <v>loi2000</v>
          </cell>
          <cell r="D302">
            <v>2</v>
          </cell>
          <cell r="E302">
            <v>2.605</v>
          </cell>
        </row>
        <row r="303">
          <cell r="A303" t="str">
            <v>084</v>
          </cell>
          <cell r="B303" t="str">
            <v>déchets</v>
          </cell>
          <cell r="C303" t="str">
            <v>loi2000</v>
          </cell>
          <cell r="D303">
            <v>1</v>
          </cell>
          <cell r="E303">
            <v>4.6399999999999997</v>
          </cell>
        </row>
        <row r="304">
          <cell r="A304" t="str">
            <v>084</v>
          </cell>
          <cell r="B304" t="str">
            <v>hydraulique</v>
          </cell>
          <cell r="C304" t="str">
            <v>loi2000</v>
          </cell>
          <cell r="D304">
            <v>3</v>
          </cell>
          <cell r="E304">
            <v>0.27500000000000002</v>
          </cell>
        </row>
        <row r="305">
          <cell r="A305" t="str">
            <v>084</v>
          </cell>
          <cell r="B305" t="str">
            <v>solaire</v>
          </cell>
          <cell r="C305" t="str">
            <v>loi2000</v>
          </cell>
          <cell r="D305">
            <v>3648</v>
          </cell>
          <cell r="E305">
            <v>45.940490000000281</v>
          </cell>
        </row>
        <row r="306">
          <cell r="A306" t="str">
            <v>084</v>
          </cell>
          <cell r="B306" t="str">
            <v>éolien</v>
          </cell>
          <cell r="C306" t="str">
            <v>loi2000</v>
          </cell>
          <cell r="D306">
            <v>1</v>
          </cell>
          <cell r="E306">
            <v>6.9</v>
          </cell>
        </row>
        <row r="307">
          <cell r="A307" t="str">
            <v>085</v>
          </cell>
          <cell r="B307" t="str">
            <v>biogaz</v>
          </cell>
          <cell r="C307" t="str">
            <v>loi2000</v>
          </cell>
          <cell r="D307">
            <v>4</v>
          </cell>
          <cell r="E307">
            <v>3.5770000000000004</v>
          </cell>
        </row>
        <row r="308">
          <cell r="A308" t="str">
            <v>085</v>
          </cell>
          <cell r="B308" t="str">
            <v>hydraulique</v>
          </cell>
          <cell r="C308" t="str">
            <v>loi2000</v>
          </cell>
          <cell r="D308">
            <v>4</v>
          </cell>
          <cell r="E308">
            <v>4.3719999999999999</v>
          </cell>
        </row>
        <row r="309">
          <cell r="A309" t="str">
            <v>085</v>
          </cell>
          <cell r="B309" t="str">
            <v>solaire</v>
          </cell>
          <cell r="C309" t="str">
            <v>loi2000</v>
          </cell>
          <cell r="D309">
            <v>8541</v>
          </cell>
          <cell r="E309">
            <v>66.788505999999686</v>
          </cell>
        </row>
        <row r="310">
          <cell r="A310" t="str">
            <v>085</v>
          </cell>
          <cell r="B310" t="str">
            <v>éolien</v>
          </cell>
          <cell r="C310" t="str">
            <v>loi2000</v>
          </cell>
          <cell r="D310">
            <v>19</v>
          </cell>
          <cell r="E310">
            <v>163.56</v>
          </cell>
        </row>
        <row r="311">
          <cell r="A311" t="str">
            <v>086</v>
          </cell>
          <cell r="B311" t="str">
            <v>biogaz</v>
          </cell>
          <cell r="C311" t="str">
            <v>loi2000</v>
          </cell>
          <cell r="D311">
            <v>4</v>
          </cell>
          <cell r="E311">
            <v>5.2749999999999995</v>
          </cell>
        </row>
        <row r="312">
          <cell r="A312" t="str">
            <v>086</v>
          </cell>
          <cell r="B312" t="str">
            <v>hydraulique</v>
          </cell>
          <cell r="C312" t="str">
            <v>loi2000</v>
          </cell>
          <cell r="D312">
            <v>7</v>
          </cell>
          <cell r="E312">
            <v>22.814999999999998</v>
          </cell>
        </row>
        <row r="313">
          <cell r="A313" t="str">
            <v>086</v>
          </cell>
          <cell r="B313" t="str">
            <v>solaire</v>
          </cell>
          <cell r="C313" t="str">
            <v>loi2000</v>
          </cell>
          <cell r="D313">
            <v>2160</v>
          </cell>
          <cell r="E313">
            <v>38.051383000000222</v>
          </cell>
        </row>
        <row r="314">
          <cell r="A314" t="str">
            <v>086</v>
          </cell>
          <cell r="B314" t="str">
            <v>éolien</v>
          </cell>
          <cell r="C314" t="str">
            <v>loi2000</v>
          </cell>
          <cell r="D314">
            <v>4</v>
          </cell>
          <cell r="E314">
            <v>31.009999999999998</v>
          </cell>
        </row>
        <row r="315">
          <cell r="A315" t="str">
            <v>087</v>
          </cell>
          <cell r="B315" t="str">
            <v>hydraulique</v>
          </cell>
          <cell r="C315" t="str">
            <v>loi2000</v>
          </cell>
          <cell r="D315">
            <v>26</v>
          </cell>
          <cell r="E315">
            <v>38.261200000000002</v>
          </cell>
        </row>
        <row r="316">
          <cell r="A316" t="str">
            <v>087</v>
          </cell>
          <cell r="B316" t="str">
            <v>solaire</v>
          </cell>
          <cell r="C316" t="str">
            <v>loi2000</v>
          </cell>
          <cell r="D316">
            <v>1286</v>
          </cell>
          <cell r="E316">
            <v>9.6525240000000228</v>
          </cell>
        </row>
        <row r="317">
          <cell r="A317" t="str">
            <v>088</v>
          </cell>
          <cell r="B317" t="str">
            <v>déchets</v>
          </cell>
          <cell r="C317" t="str">
            <v>loi2000</v>
          </cell>
          <cell r="D317">
            <v>1</v>
          </cell>
          <cell r="E317">
            <v>6.1760000000000002</v>
          </cell>
        </row>
        <row r="318">
          <cell r="A318" t="str">
            <v>088</v>
          </cell>
          <cell r="B318" t="str">
            <v>hydraulique</v>
          </cell>
          <cell r="C318" t="str">
            <v>loi2000</v>
          </cell>
          <cell r="D318">
            <v>48</v>
          </cell>
          <cell r="E318">
            <v>15.728900000000001</v>
          </cell>
        </row>
        <row r="319">
          <cell r="A319" t="str">
            <v>088</v>
          </cell>
          <cell r="B319" t="str">
            <v>solaire</v>
          </cell>
          <cell r="C319" t="str">
            <v>loi2000</v>
          </cell>
          <cell r="D319">
            <v>2116</v>
          </cell>
          <cell r="E319">
            <v>13.20961000000009</v>
          </cell>
        </row>
        <row r="320">
          <cell r="A320" t="str">
            <v>088</v>
          </cell>
          <cell r="B320" t="str">
            <v>éolien</v>
          </cell>
          <cell r="C320" t="str">
            <v>loi2000</v>
          </cell>
          <cell r="D320">
            <v>1</v>
          </cell>
          <cell r="E320">
            <v>10</v>
          </cell>
        </row>
        <row r="321">
          <cell r="A321" t="str">
            <v>089</v>
          </cell>
          <cell r="B321" t="str">
            <v>biogaz</v>
          </cell>
          <cell r="C321" t="str">
            <v>loi2000</v>
          </cell>
          <cell r="D321">
            <v>1</v>
          </cell>
          <cell r="E321">
            <v>0.36</v>
          </cell>
        </row>
        <row r="322">
          <cell r="A322" t="str">
            <v>089</v>
          </cell>
          <cell r="B322" t="str">
            <v>hydraulique</v>
          </cell>
          <cell r="C322" t="str">
            <v>loi2000</v>
          </cell>
          <cell r="D322">
            <v>6</v>
          </cell>
          <cell r="E322">
            <v>0.95500000000000018</v>
          </cell>
        </row>
        <row r="323">
          <cell r="A323" t="str">
            <v>089</v>
          </cell>
          <cell r="B323" t="str">
            <v>solaire</v>
          </cell>
          <cell r="C323" t="str">
            <v>loi2000</v>
          </cell>
          <cell r="D323">
            <v>973</v>
          </cell>
          <cell r="E323">
            <v>6.5154520000000451</v>
          </cell>
        </row>
        <row r="324">
          <cell r="A324" t="str">
            <v>089</v>
          </cell>
          <cell r="B324" t="str">
            <v>éolien</v>
          </cell>
          <cell r="C324" t="str">
            <v>loi2000</v>
          </cell>
          <cell r="D324">
            <v>1</v>
          </cell>
          <cell r="E324">
            <v>8</v>
          </cell>
        </row>
        <row r="325">
          <cell r="A325" t="str">
            <v>090</v>
          </cell>
          <cell r="B325" t="str">
            <v>biogaz</v>
          </cell>
          <cell r="C325" t="str">
            <v>loi2000</v>
          </cell>
          <cell r="D325">
            <v>1</v>
          </cell>
          <cell r="E325">
            <v>0.2</v>
          </cell>
        </row>
        <row r="326">
          <cell r="A326" t="str">
            <v>090</v>
          </cell>
          <cell r="B326" t="str">
            <v>déchets</v>
          </cell>
          <cell r="C326" t="str">
            <v>loi2000</v>
          </cell>
          <cell r="D326">
            <v>1</v>
          </cell>
          <cell r="E326">
            <v>8.8620000000000001</v>
          </cell>
        </row>
        <row r="327">
          <cell r="A327" t="str">
            <v>090</v>
          </cell>
          <cell r="B327" t="str">
            <v>solaire</v>
          </cell>
          <cell r="C327" t="str">
            <v>loi2000</v>
          </cell>
          <cell r="D327">
            <v>559</v>
          </cell>
          <cell r="E327">
            <v>2.3369029999999915</v>
          </cell>
        </row>
        <row r="328">
          <cell r="A328" t="str">
            <v>091</v>
          </cell>
          <cell r="B328" t="str">
            <v>biogaz</v>
          </cell>
          <cell r="C328" t="str">
            <v>loi2000</v>
          </cell>
          <cell r="D328">
            <v>4</v>
          </cell>
          <cell r="E328">
            <v>7.7010000000000005</v>
          </cell>
        </row>
        <row r="329">
          <cell r="A329" t="str">
            <v>091</v>
          </cell>
          <cell r="B329" t="str">
            <v>solaire</v>
          </cell>
          <cell r="C329" t="str">
            <v>loi2000</v>
          </cell>
          <cell r="D329">
            <v>2051</v>
          </cell>
          <cell r="E329">
            <v>6.1511330000001418</v>
          </cell>
        </row>
        <row r="330">
          <cell r="A330" t="str">
            <v>091</v>
          </cell>
          <cell r="B330" t="str">
            <v>éolien</v>
          </cell>
          <cell r="C330" t="str">
            <v>loi2000</v>
          </cell>
          <cell r="D330">
            <v>1</v>
          </cell>
          <cell r="E330">
            <v>9.1999999999999993</v>
          </cell>
        </row>
        <row r="331">
          <cell r="A331" t="str">
            <v>092</v>
          </cell>
          <cell r="B331" t="str">
            <v>déchets</v>
          </cell>
          <cell r="C331" t="str">
            <v>loi2000</v>
          </cell>
          <cell r="D331">
            <v>1</v>
          </cell>
          <cell r="E331">
            <v>55</v>
          </cell>
        </row>
        <row r="332">
          <cell r="A332" t="str">
            <v>092</v>
          </cell>
          <cell r="B332" t="str">
            <v>solaire</v>
          </cell>
          <cell r="C332" t="str">
            <v>loi2000</v>
          </cell>
          <cell r="D332">
            <v>396</v>
          </cell>
          <cell r="E332">
            <v>1.8766469999999955</v>
          </cell>
        </row>
        <row r="333">
          <cell r="A333" t="str">
            <v>093</v>
          </cell>
          <cell r="B333" t="str">
            <v>solaire</v>
          </cell>
          <cell r="C333" t="str">
            <v>loi2000</v>
          </cell>
          <cell r="D333">
            <v>549</v>
          </cell>
          <cell r="E333">
            <v>1.8170939999999913</v>
          </cell>
        </row>
        <row r="334">
          <cell r="A334" t="str">
            <v>094</v>
          </cell>
          <cell r="B334" t="str">
            <v>solaire</v>
          </cell>
          <cell r="C334" t="str">
            <v>loi2000</v>
          </cell>
          <cell r="D334">
            <v>622</v>
          </cell>
          <cell r="E334">
            <v>2.304877999999992</v>
          </cell>
        </row>
        <row r="335">
          <cell r="A335" t="str">
            <v>095</v>
          </cell>
          <cell r="B335" t="str">
            <v>biogaz</v>
          </cell>
          <cell r="C335" t="str">
            <v>loi2000</v>
          </cell>
          <cell r="D335">
            <v>3</v>
          </cell>
          <cell r="E335">
            <v>2.0249999999999999</v>
          </cell>
        </row>
        <row r="336">
          <cell r="A336" t="str">
            <v>095</v>
          </cell>
          <cell r="B336" t="str">
            <v>déchets</v>
          </cell>
          <cell r="C336" t="str">
            <v>loi2000</v>
          </cell>
          <cell r="D336">
            <v>2</v>
          </cell>
          <cell r="E336">
            <v>13.700000000000001</v>
          </cell>
        </row>
        <row r="337">
          <cell r="A337" t="str">
            <v>095</v>
          </cell>
          <cell r="B337" t="str">
            <v>solaire</v>
          </cell>
          <cell r="C337" t="str">
            <v>loi2000</v>
          </cell>
          <cell r="D337">
            <v>1032</v>
          </cell>
          <cell r="E337">
            <v>3.7009150000000068</v>
          </cell>
        </row>
        <row r="338">
          <cell r="A338" t="str">
            <v>971</v>
          </cell>
          <cell r="B338" t="str">
            <v>hydraulique</v>
          </cell>
          <cell r="C338" t="str">
            <v>loi2000</v>
          </cell>
          <cell r="D338">
            <v>10</v>
          </cell>
          <cell r="E338">
            <v>1.5200000000000002</v>
          </cell>
        </row>
        <row r="339">
          <cell r="A339" t="str">
            <v>971</v>
          </cell>
          <cell r="B339" t="str">
            <v>solaire</v>
          </cell>
          <cell r="C339" t="str">
            <v>loi2000</v>
          </cell>
          <cell r="D339">
            <v>550</v>
          </cell>
          <cell r="E339">
            <v>27.842870000000023</v>
          </cell>
        </row>
        <row r="340">
          <cell r="A340" t="str">
            <v>971</v>
          </cell>
          <cell r="B340" t="str">
            <v>éolien</v>
          </cell>
          <cell r="C340" t="str">
            <v>loi2000</v>
          </cell>
          <cell r="D340">
            <v>8</v>
          </cell>
          <cell r="E340">
            <v>20.305</v>
          </cell>
        </row>
        <row r="341">
          <cell r="A341" t="str">
            <v>972</v>
          </cell>
          <cell r="B341" t="str">
            <v>déchets</v>
          </cell>
          <cell r="C341" t="str">
            <v>loi2000</v>
          </cell>
          <cell r="D341">
            <v>1</v>
          </cell>
          <cell r="E341">
            <v>6.6</v>
          </cell>
        </row>
        <row r="342">
          <cell r="A342" t="str">
            <v>972</v>
          </cell>
          <cell r="B342" t="str">
            <v>solaire</v>
          </cell>
          <cell r="C342" t="str">
            <v>loi2000</v>
          </cell>
          <cell r="D342">
            <v>622</v>
          </cell>
          <cell r="E342">
            <v>37.708256000000134</v>
          </cell>
        </row>
        <row r="343">
          <cell r="A343" t="str">
            <v>972</v>
          </cell>
          <cell r="B343" t="str">
            <v>éolien</v>
          </cell>
          <cell r="C343" t="str">
            <v>loi2000</v>
          </cell>
          <cell r="D343">
            <v>1</v>
          </cell>
          <cell r="E343">
            <v>1.1000000000000001</v>
          </cell>
        </row>
        <row r="344">
          <cell r="A344" t="str">
            <v>973</v>
          </cell>
          <cell r="B344" t="str">
            <v>solaire</v>
          </cell>
          <cell r="C344" t="str">
            <v>loi2000</v>
          </cell>
          <cell r="D344">
            <v>75</v>
          </cell>
          <cell r="E344">
            <v>32.334770000000006</v>
          </cell>
        </row>
        <row r="345">
          <cell r="A345" t="str">
            <v>974</v>
          </cell>
          <cell r="B345" t="str">
            <v>biogaz</v>
          </cell>
          <cell r="C345" t="str">
            <v>loi2000</v>
          </cell>
          <cell r="D345">
            <v>1</v>
          </cell>
          <cell r="E345">
            <v>2.13</v>
          </cell>
        </row>
        <row r="346">
          <cell r="A346" t="str">
            <v>974</v>
          </cell>
          <cell r="B346" t="str">
            <v>solaire</v>
          </cell>
          <cell r="C346" t="str">
            <v>loi2000</v>
          </cell>
          <cell r="D346">
            <v>991</v>
          </cell>
          <cell r="E346">
            <v>118.84036200000003</v>
          </cell>
        </row>
        <row r="347">
          <cell r="A347" t="str">
            <v>974</v>
          </cell>
          <cell r="B347" t="str">
            <v>éolien</v>
          </cell>
          <cell r="C347" t="str">
            <v>loi2000</v>
          </cell>
          <cell r="D347">
            <v>2</v>
          </cell>
          <cell r="E347">
            <v>17.256</v>
          </cell>
        </row>
      </sheetData>
      <sheetData sheetId="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ép_loi2000"/>
      <sheetName val="com_loi2000"/>
      <sheetName val="secret_secondaire"/>
    </sheetNames>
    <sheetDataSet>
      <sheetData sheetId="0">
        <row r="1">
          <cell r="A1" t="str">
            <v>Departement</v>
          </cell>
          <cell r="B1" t="str">
            <v>EnergieD</v>
          </cell>
          <cell r="C1" t="str">
            <v>Champ</v>
          </cell>
          <cell r="D1" t="str">
            <v>Nombre d'installations</v>
          </cell>
          <cell r="E1" t="str">
            <v>Puissance</v>
          </cell>
        </row>
        <row r="2">
          <cell r="A2" t="str">
            <v>001</v>
          </cell>
          <cell r="B2" t="str">
            <v>hydraulique</v>
          </cell>
          <cell r="C2" t="str">
            <v>loi2000</v>
          </cell>
          <cell r="D2">
            <v>8</v>
          </cell>
          <cell r="E2">
            <v>10.249699999999999</v>
          </cell>
        </row>
        <row r="3">
          <cell r="A3" t="str">
            <v>001</v>
          </cell>
          <cell r="B3" t="str">
            <v>solaire</v>
          </cell>
          <cell r="C3" t="str">
            <v>loi2000</v>
          </cell>
          <cell r="D3">
            <v>3688</v>
          </cell>
          <cell r="E3">
            <v>13.071864000000222</v>
          </cell>
        </row>
        <row r="4">
          <cell r="A4" t="str">
            <v>002</v>
          </cell>
          <cell r="B4" t="str">
            <v>biogaz</v>
          </cell>
          <cell r="C4" t="str">
            <v>loi2000</v>
          </cell>
          <cell r="D4">
            <v>1</v>
          </cell>
          <cell r="E4">
            <v>1.26</v>
          </cell>
        </row>
        <row r="5">
          <cell r="A5" t="str">
            <v>002</v>
          </cell>
          <cell r="B5" t="str">
            <v>solaire</v>
          </cell>
          <cell r="C5" t="str">
            <v>loi2000</v>
          </cell>
          <cell r="D5">
            <v>1240</v>
          </cell>
          <cell r="E5">
            <v>7.7892320000000508</v>
          </cell>
        </row>
        <row r="6">
          <cell r="A6" t="str">
            <v>002</v>
          </cell>
          <cell r="B6" t="str">
            <v>éolien</v>
          </cell>
          <cell r="C6" t="str">
            <v>loi2000</v>
          </cell>
          <cell r="D6">
            <v>23</v>
          </cell>
          <cell r="E6">
            <v>228.92</v>
          </cell>
        </row>
        <row r="7">
          <cell r="A7" t="str">
            <v>003</v>
          </cell>
          <cell r="B7" t="str">
            <v>biogaz</v>
          </cell>
          <cell r="C7" t="str">
            <v>loi2000</v>
          </cell>
          <cell r="D7">
            <v>2</v>
          </cell>
          <cell r="E7">
            <v>1.6019999999999999</v>
          </cell>
        </row>
        <row r="8">
          <cell r="A8" t="str">
            <v>003</v>
          </cell>
          <cell r="B8" t="str">
            <v>hydraulique</v>
          </cell>
          <cell r="C8" t="str">
            <v>loi2000</v>
          </cell>
          <cell r="D8">
            <v>4</v>
          </cell>
          <cell r="E8">
            <v>15.3</v>
          </cell>
        </row>
        <row r="9">
          <cell r="A9" t="str">
            <v>003</v>
          </cell>
          <cell r="B9" t="str">
            <v>solaire</v>
          </cell>
          <cell r="C9" t="str">
            <v>loi2000</v>
          </cell>
          <cell r="D9">
            <v>1574</v>
          </cell>
          <cell r="E9">
            <v>14.180984000000063</v>
          </cell>
        </row>
        <row r="10">
          <cell r="A10" t="str">
            <v>003</v>
          </cell>
          <cell r="B10" t="str">
            <v>éolien</v>
          </cell>
          <cell r="C10" t="str">
            <v>loi2000</v>
          </cell>
          <cell r="D10">
            <v>4</v>
          </cell>
          <cell r="E10">
            <v>17.204999999999998</v>
          </cell>
        </row>
        <row r="11">
          <cell r="A11" t="str">
            <v>004</v>
          </cell>
          <cell r="B11" t="str">
            <v>biogaz</v>
          </cell>
          <cell r="C11" t="str">
            <v>loi2000</v>
          </cell>
          <cell r="D11">
            <v>1</v>
          </cell>
          <cell r="E11">
            <v>0.6</v>
          </cell>
        </row>
        <row r="12">
          <cell r="A12" t="str">
            <v>004</v>
          </cell>
          <cell r="B12" t="str">
            <v>hydraulique</v>
          </cell>
          <cell r="C12" t="str">
            <v>loi2000</v>
          </cell>
          <cell r="D12">
            <v>8</v>
          </cell>
          <cell r="E12">
            <v>7.8690000000000015</v>
          </cell>
        </row>
        <row r="13">
          <cell r="A13" t="str">
            <v>004</v>
          </cell>
          <cell r="B13" t="str">
            <v>solaire</v>
          </cell>
          <cell r="C13" t="str">
            <v>loi2000</v>
          </cell>
          <cell r="D13">
            <v>1422</v>
          </cell>
          <cell r="E13">
            <v>167.71186599999973</v>
          </cell>
        </row>
        <row r="14">
          <cell r="A14" t="str">
            <v>005</v>
          </cell>
          <cell r="B14" t="str">
            <v>hydraulique</v>
          </cell>
          <cell r="C14" t="str">
            <v>loi2000</v>
          </cell>
          <cell r="D14">
            <v>12</v>
          </cell>
          <cell r="E14">
            <v>34.998999999999995</v>
          </cell>
        </row>
        <row r="15">
          <cell r="A15" t="str">
            <v>005</v>
          </cell>
          <cell r="B15" t="str">
            <v>solaire</v>
          </cell>
          <cell r="C15" t="str">
            <v>loi2000</v>
          </cell>
          <cell r="D15">
            <v>1045</v>
          </cell>
          <cell r="E15">
            <v>12.079248000000057</v>
          </cell>
        </row>
        <row r="16">
          <cell r="A16" t="str">
            <v>006</v>
          </cell>
          <cell r="B16" t="str">
            <v>déchets</v>
          </cell>
          <cell r="C16" t="str">
            <v>loi2000</v>
          </cell>
          <cell r="D16">
            <v>2</v>
          </cell>
          <cell r="E16">
            <v>24.432000000000002</v>
          </cell>
        </row>
        <row r="17">
          <cell r="A17" t="str">
            <v>006</v>
          </cell>
          <cell r="B17" t="str">
            <v>hydraulique</v>
          </cell>
          <cell r="C17" t="str">
            <v>loi2000</v>
          </cell>
          <cell r="D17">
            <v>16</v>
          </cell>
          <cell r="E17">
            <v>54.222999999999999</v>
          </cell>
        </row>
        <row r="18">
          <cell r="A18" t="str">
            <v>006</v>
          </cell>
          <cell r="B18" t="str">
            <v>solaire</v>
          </cell>
          <cell r="C18" t="str">
            <v>loi2000</v>
          </cell>
          <cell r="D18">
            <v>3491</v>
          </cell>
          <cell r="E18">
            <v>18.874088000000192</v>
          </cell>
        </row>
        <row r="19">
          <cell r="A19" t="str">
            <v>007</v>
          </cell>
          <cell r="B19" t="str">
            <v>hydraulique</v>
          </cell>
          <cell r="C19" t="str">
            <v>loi2000</v>
          </cell>
          <cell r="D19">
            <v>20</v>
          </cell>
          <cell r="E19">
            <v>12.832000000000003</v>
          </cell>
        </row>
        <row r="20">
          <cell r="A20" t="str">
            <v>007</v>
          </cell>
          <cell r="B20" t="str">
            <v>solaire</v>
          </cell>
          <cell r="C20" t="str">
            <v>loi2000</v>
          </cell>
          <cell r="D20">
            <v>2552</v>
          </cell>
          <cell r="E20">
            <v>24.701570000000178</v>
          </cell>
        </row>
        <row r="21">
          <cell r="A21" t="str">
            <v>007</v>
          </cell>
          <cell r="B21" t="str">
            <v>éolien</v>
          </cell>
          <cell r="C21" t="str">
            <v>loi2000</v>
          </cell>
          <cell r="D21">
            <v>14</v>
          </cell>
          <cell r="E21">
            <v>86.822000000000003</v>
          </cell>
        </row>
        <row r="22">
          <cell r="A22" t="str">
            <v>008</v>
          </cell>
          <cell r="B22" t="str">
            <v>biogaz</v>
          </cell>
          <cell r="C22" t="str">
            <v>loi2000</v>
          </cell>
          <cell r="D22">
            <v>4</v>
          </cell>
          <cell r="E22">
            <v>1.8065</v>
          </cell>
        </row>
        <row r="23">
          <cell r="A23" t="str">
            <v>008</v>
          </cell>
          <cell r="B23" t="str">
            <v>hydraulique</v>
          </cell>
          <cell r="C23" t="str">
            <v>loi2000</v>
          </cell>
          <cell r="D23">
            <v>6</v>
          </cell>
          <cell r="E23">
            <v>3.29</v>
          </cell>
        </row>
        <row r="24">
          <cell r="A24" t="str">
            <v>008</v>
          </cell>
          <cell r="B24" t="str">
            <v>solaire</v>
          </cell>
          <cell r="C24" t="str">
            <v>loi2000</v>
          </cell>
          <cell r="D24">
            <v>579</v>
          </cell>
          <cell r="E24">
            <v>7.8709120000000254</v>
          </cell>
        </row>
        <row r="25">
          <cell r="A25" t="str">
            <v>008</v>
          </cell>
          <cell r="B25" t="str">
            <v>éolien</v>
          </cell>
          <cell r="C25" t="str">
            <v>loi2000</v>
          </cell>
          <cell r="D25">
            <v>13</v>
          </cell>
          <cell r="E25">
            <v>126.819</v>
          </cell>
        </row>
        <row r="26">
          <cell r="A26" t="str">
            <v>009</v>
          </cell>
          <cell r="B26" t="str">
            <v>biogaz</v>
          </cell>
          <cell r="C26" t="str">
            <v>loi2000</v>
          </cell>
          <cell r="D26">
            <v>1</v>
          </cell>
          <cell r="E26">
            <v>0.84399999999999997</v>
          </cell>
        </row>
        <row r="27">
          <cell r="A27" t="str">
            <v>009</v>
          </cell>
          <cell r="B27" t="str">
            <v>hydraulique</v>
          </cell>
          <cell r="C27" t="str">
            <v>loi2000</v>
          </cell>
          <cell r="D27">
            <v>37</v>
          </cell>
          <cell r="E27">
            <v>65.13900000000001</v>
          </cell>
        </row>
        <row r="28">
          <cell r="A28" t="str">
            <v>009</v>
          </cell>
          <cell r="B28" t="str">
            <v>solaire</v>
          </cell>
          <cell r="C28" t="str">
            <v>loi2000</v>
          </cell>
          <cell r="D28">
            <v>1031</v>
          </cell>
          <cell r="E28">
            <v>22.107956000000087</v>
          </cell>
        </row>
        <row r="29">
          <cell r="A29" t="str">
            <v>010</v>
          </cell>
          <cell r="B29" t="str">
            <v>biogaz</v>
          </cell>
          <cell r="C29" t="str">
            <v>loi2000</v>
          </cell>
          <cell r="D29">
            <v>3</v>
          </cell>
          <cell r="E29">
            <v>2.2919999999999998</v>
          </cell>
        </row>
        <row r="30">
          <cell r="A30" t="str">
            <v>010</v>
          </cell>
          <cell r="B30" t="str">
            <v>biomasse</v>
          </cell>
          <cell r="C30" t="str">
            <v>loi2000</v>
          </cell>
          <cell r="D30">
            <v>1</v>
          </cell>
          <cell r="E30">
            <v>1.5</v>
          </cell>
        </row>
        <row r="31">
          <cell r="A31" t="str">
            <v>010</v>
          </cell>
          <cell r="B31" t="str">
            <v>hydraulique</v>
          </cell>
          <cell r="C31" t="str">
            <v>loi2000</v>
          </cell>
          <cell r="D31">
            <v>9</v>
          </cell>
          <cell r="E31">
            <v>6.8949999999999996</v>
          </cell>
        </row>
        <row r="32">
          <cell r="A32" t="str">
            <v>010</v>
          </cell>
          <cell r="B32" t="str">
            <v>solaire</v>
          </cell>
          <cell r="C32" t="str">
            <v>loi2000</v>
          </cell>
          <cell r="D32">
            <v>719</v>
          </cell>
          <cell r="E32">
            <v>19.233190000000064</v>
          </cell>
        </row>
        <row r="33">
          <cell r="A33" t="str">
            <v>010</v>
          </cell>
          <cell r="B33" t="str">
            <v>éolien</v>
          </cell>
          <cell r="C33" t="str">
            <v>loi2000</v>
          </cell>
          <cell r="D33">
            <v>26</v>
          </cell>
          <cell r="E33">
            <v>292.39999999999998</v>
          </cell>
        </row>
        <row r="34">
          <cell r="A34" t="str">
            <v>011</v>
          </cell>
          <cell r="B34" t="str">
            <v>biogaz</v>
          </cell>
          <cell r="C34" t="str">
            <v>loi2000</v>
          </cell>
          <cell r="D34">
            <v>1</v>
          </cell>
          <cell r="E34">
            <v>2.2839999999999998</v>
          </cell>
        </row>
        <row r="35">
          <cell r="A35" t="str">
            <v>011</v>
          </cell>
          <cell r="B35" t="str">
            <v>hydraulique</v>
          </cell>
          <cell r="C35" t="str">
            <v>loi2000</v>
          </cell>
          <cell r="D35">
            <v>15</v>
          </cell>
          <cell r="E35">
            <v>18.462499999999999</v>
          </cell>
        </row>
        <row r="36">
          <cell r="A36" t="str">
            <v>011</v>
          </cell>
          <cell r="B36" t="str">
            <v>solaire</v>
          </cell>
          <cell r="C36" t="str">
            <v>loi2000</v>
          </cell>
          <cell r="D36">
            <v>2836</v>
          </cell>
          <cell r="E36">
            <v>70.971597000000159</v>
          </cell>
        </row>
        <row r="37">
          <cell r="A37" t="str">
            <v>011</v>
          </cell>
          <cell r="B37" t="str">
            <v>éolien</v>
          </cell>
          <cell r="C37" t="str">
            <v>loi2000</v>
          </cell>
          <cell r="D37">
            <v>31</v>
          </cell>
          <cell r="E37">
            <v>249.51999999999995</v>
          </cell>
        </row>
        <row r="38">
          <cell r="A38" t="str">
            <v>012</v>
          </cell>
          <cell r="B38" t="str">
            <v>hydraulique</v>
          </cell>
          <cell r="C38" t="str">
            <v>loi2000</v>
          </cell>
          <cell r="D38">
            <v>23</v>
          </cell>
          <cell r="E38">
            <v>49.19</v>
          </cell>
        </row>
        <row r="39">
          <cell r="A39" t="str">
            <v>012</v>
          </cell>
          <cell r="B39" t="str">
            <v>solaire</v>
          </cell>
          <cell r="C39" t="str">
            <v>loi2000</v>
          </cell>
          <cell r="D39">
            <v>1781</v>
          </cell>
          <cell r="E39">
            <v>75.692140000000094</v>
          </cell>
        </row>
        <row r="40">
          <cell r="A40" t="str">
            <v>012</v>
          </cell>
          <cell r="B40" t="str">
            <v>éolien</v>
          </cell>
          <cell r="C40" t="str">
            <v>loi2000</v>
          </cell>
          <cell r="D40">
            <v>15</v>
          </cell>
          <cell r="E40">
            <v>205.16</v>
          </cell>
        </row>
        <row r="41">
          <cell r="A41" t="str">
            <v>013</v>
          </cell>
          <cell r="B41" t="str">
            <v>biogaz</v>
          </cell>
          <cell r="C41" t="str">
            <v>loi2000</v>
          </cell>
          <cell r="D41">
            <v>7</v>
          </cell>
          <cell r="E41">
            <v>13.786999999999999</v>
          </cell>
        </row>
        <row r="42">
          <cell r="A42" t="str">
            <v>013</v>
          </cell>
          <cell r="B42" t="str">
            <v>déchets</v>
          </cell>
          <cell r="C42" t="str">
            <v>loi2000</v>
          </cell>
          <cell r="D42">
            <v>1</v>
          </cell>
          <cell r="E42">
            <v>38.28</v>
          </cell>
        </row>
        <row r="43">
          <cell r="A43" t="str">
            <v>013</v>
          </cell>
          <cell r="B43" t="str">
            <v>hydraulique</v>
          </cell>
          <cell r="C43" t="str">
            <v>loi2000</v>
          </cell>
          <cell r="D43">
            <v>3</v>
          </cell>
          <cell r="E43">
            <v>2.92</v>
          </cell>
        </row>
        <row r="44">
          <cell r="A44" t="str">
            <v>013</v>
          </cell>
          <cell r="B44" t="str">
            <v>solaire</v>
          </cell>
          <cell r="C44" t="str">
            <v>loi2000</v>
          </cell>
          <cell r="D44">
            <v>8493</v>
          </cell>
          <cell r="E44">
            <v>79.720935999999512</v>
          </cell>
        </row>
        <row r="45">
          <cell r="A45" t="str">
            <v>013</v>
          </cell>
          <cell r="B45" t="str">
            <v>éolien</v>
          </cell>
          <cell r="C45" t="str">
            <v>loi2000</v>
          </cell>
          <cell r="D45">
            <v>5</v>
          </cell>
          <cell r="E45">
            <v>38.450000000000003</v>
          </cell>
        </row>
        <row r="46">
          <cell r="A46" t="str">
            <v>014</v>
          </cell>
          <cell r="B46" t="str">
            <v>biogaz</v>
          </cell>
          <cell r="C46" t="str">
            <v>loi2000</v>
          </cell>
          <cell r="D46">
            <v>1</v>
          </cell>
          <cell r="E46">
            <v>1.4319999999999999</v>
          </cell>
        </row>
        <row r="47">
          <cell r="A47" t="str">
            <v>014</v>
          </cell>
          <cell r="B47" t="str">
            <v>solaire</v>
          </cell>
          <cell r="C47" t="str">
            <v>loi2000</v>
          </cell>
          <cell r="D47">
            <v>1316</v>
          </cell>
          <cell r="E47">
            <v>7.4623140000000365</v>
          </cell>
        </row>
        <row r="48">
          <cell r="A48" t="str">
            <v>014</v>
          </cell>
          <cell r="B48" t="str">
            <v>éolien</v>
          </cell>
          <cell r="C48" t="str">
            <v>loi2000</v>
          </cell>
          <cell r="D48">
            <v>15</v>
          </cell>
          <cell r="E48">
            <v>134.08799999999999</v>
          </cell>
        </row>
        <row r="49">
          <cell r="A49" t="str">
            <v>015</v>
          </cell>
          <cell r="B49" t="str">
            <v>biomasse</v>
          </cell>
          <cell r="C49" t="str">
            <v>loi2000</v>
          </cell>
          <cell r="D49">
            <v>1</v>
          </cell>
          <cell r="E49">
            <v>4.41</v>
          </cell>
        </row>
        <row r="50">
          <cell r="A50" t="str">
            <v>015</v>
          </cell>
          <cell r="B50" t="str">
            <v>hydraulique</v>
          </cell>
          <cell r="C50" t="str">
            <v>loi2000</v>
          </cell>
          <cell r="D50">
            <v>9</v>
          </cell>
          <cell r="E50">
            <v>17.468</v>
          </cell>
        </row>
        <row r="51">
          <cell r="A51" t="str">
            <v>015</v>
          </cell>
          <cell r="B51" t="str">
            <v>solaire</v>
          </cell>
          <cell r="C51" t="str">
            <v>loi2000</v>
          </cell>
          <cell r="D51">
            <v>718</v>
          </cell>
          <cell r="E51">
            <v>34.471256000000039</v>
          </cell>
        </row>
        <row r="52">
          <cell r="A52" t="str">
            <v>015</v>
          </cell>
          <cell r="B52" t="str">
            <v>éolien</v>
          </cell>
          <cell r="C52" t="str">
            <v>loi2000</v>
          </cell>
          <cell r="D52">
            <v>7</v>
          </cell>
          <cell r="E52">
            <v>59</v>
          </cell>
        </row>
        <row r="53">
          <cell r="A53" t="str">
            <v>016</v>
          </cell>
          <cell r="B53" t="str">
            <v>biogaz</v>
          </cell>
          <cell r="C53" t="str">
            <v>loi2000</v>
          </cell>
          <cell r="D53">
            <v>2</v>
          </cell>
          <cell r="E53">
            <v>1.488</v>
          </cell>
        </row>
        <row r="54">
          <cell r="A54" t="str">
            <v>016</v>
          </cell>
          <cell r="B54" t="str">
            <v>hydraulique</v>
          </cell>
          <cell r="C54" t="str">
            <v>loi2000</v>
          </cell>
          <cell r="D54">
            <v>1</v>
          </cell>
          <cell r="E54">
            <v>0.23</v>
          </cell>
        </row>
        <row r="55">
          <cell r="A55" t="str">
            <v>016</v>
          </cell>
          <cell r="B55" t="str">
            <v>solaire</v>
          </cell>
          <cell r="C55" t="str">
            <v>loi2000</v>
          </cell>
          <cell r="D55">
            <v>1511</v>
          </cell>
          <cell r="E55">
            <v>24.047363000000153</v>
          </cell>
        </row>
        <row r="56">
          <cell r="A56" t="str">
            <v>016</v>
          </cell>
          <cell r="B56" t="str">
            <v>éolien</v>
          </cell>
          <cell r="C56" t="str">
            <v>loi2000</v>
          </cell>
          <cell r="D56">
            <v>9</v>
          </cell>
          <cell r="E56">
            <v>80.5</v>
          </cell>
        </row>
        <row r="57">
          <cell r="A57" t="str">
            <v>017</v>
          </cell>
          <cell r="B57" t="str">
            <v>biogaz</v>
          </cell>
          <cell r="C57" t="str">
            <v>loi2000</v>
          </cell>
          <cell r="D57">
            <v>1</v>
          </cell>
          <cell r="E57">
            <v>1.2</v>
          </cell>
        </row>
        <row r="58">
          <cell r="A58" t="str">
            <v>017</v>
          </cell>
          <cell r="B58" t="str">
            <v>solaire</v>
          </cell>
          <cell r="C58" t="str">
            <v>loi2000</v>
          </cell>
          <cell r="D58">
            <v>3888</v>
          </cell>
          <cell r="E58">
            <v>52.7287960000006</v>
          </cell>
        </row>
        <row r="59">
          <cell r="A59" t="str">
            <v>017</v>
          </cell>
          <cell r="B59" t="str">
            <v>éolien</v>
          </cell>
          <cell r="C59" t="str">
            <v>loi2000</v>
          </cell>
          <cell r="D59">
            <v>5</v>
          </cell>
          <cell r="E59">
            <v>41.914400000000001</v>
          </cell>
        </row>
        <row r="60">
          <cell r="A60" t="str">
            <v>018</v>
          </cell>
          <cell r="B60" t="str">
            <v>hydraulique</v>
          </cell>
          <cell r="C60" t="str">
            <v>loi2000</v>
          </cell>
          <cell r="D60">
            <v>3</v>
          </cell>
          <cell r="E60">
            <v>0.52699999999999991</v>
          </cell>
        </row>
        <row r="61">
          <cell r="A61" t="str">
            <v>018</v>
          </cell>
          <cell r="B61" t="str">
            <v>solaire</v>
          </cell>
          <cell r="C61" t="str">
            <v>loi2000</v>
          </cell>
          <cell r="D61">
            <v>1005</v>
          </cell>
          <cell r="E61">
            <v>17.200623000000064</v>
          </cell>
        </row>
        <row r="62">
          <cell r="A62" t="str">
            <v>018</v>
          </cell>
          <cell r="B62" t="str">
            <v>éolien</v>
          </cell>
          <cell r="C62" t="str">
            <v>loi2000</v>
          </cell>
          <cell r="D62">
            <v>4</v>
          </cell>
          <cell r="E62">
            <v>44</v>
          </cell>
        </row>
        <row r="63">
          <cell r="A63" t="str">
            <v>019</v>
          </cell>
          <cell r="B63" t="str">
            <v>hydraulique</v>
          </cell>
          <cell r="C63" t="str">
            <v>loi2000</v>
          </cell>
          <cell r="D63">
            <v>12</v>
          </cell>
          <cell r="E63">
            <v>19.759979999999995</v>
          </cell>
        </row>
        <row r="64">
          <cell r="A64" t="str">
            <v>019</v>
          </cell>
          <cell r="B64" t="str">
            <v>solaire</v>
          </cell>
          <cell r="C64" t="str">
            <v>loi2000</v>
          </cell>
          <cell r="D64">
            <v>943</v>
          </cell>
          <cell r="E64">
            <v>22.483937000000065</v>
          </cell>
        </row>
        <row r="65">
          <cell r="A65" t="str">
            <v>019</v>
          </cell>
          <cell r="B65" t="str">
            <v>éolien</v>
          </cell>
          <cell r="C65" t="str">
            <v>loi2000</v>
          </cell>
          <cell r="D65">
            <v>1</v>
          </cell>
          <cell r="E65">
            <v>9</v>
          </cell>
        </row>
        <row r="66">
          <cell r="A66" t="str">
            <v>021</v>
          </cell>
          <cell r="B66" t="str">
            <v>biogaz</v>
          </cell>
          <cell r="C66" t="str">
            <v>loi2000</v>
          </cell>
          <cell r="D66">
            <v>1</v>
          </cell>
          <cell r="E66">
            <v>1.415</v>
          </cell>
        </row>
        <row r="67">
          <cell r="A67" t="str">
            <v>021</v>
          </cell>
          <cell r="B67" t="str">
            <v>déchets</v>
          </cell>
          <cell r="C67" t="str">
            <v>loi2000</v>
          </cell>
          <cell r="D67">
            <v>1</v>
          </cell>
          <cell r="E67">
            <v>9.02</v>
          </cell>
        </row>
        <row r="68">
          <cell r="A68" t="str">
            <v>021</v>
          </cell>
          <cell r="B68" t="str">
            <v>hydraulique</v>
          </cell>
          <cell r="C68" t="str">
            <v>loi2000</v>
          </cell>
          <cell r="D68">
            <v>6</v>
          </cell>
          <cell r="E68">
            <v>0.84300000000000008</v>
          </cell>
        </row>
        <row r="69">
          <cell r="A69" t="str">
            <v>021</v>
          </cell>
          <cell r="B69" t="str">
            <v>solaire</v>
          </cell>
          <cell r="C69" t="str">
            <v>loi2000</v>
          </cell>
          <cell r="D69">
            <v>1875</v>
          </cell>
          <cell r="E69">
            <v>19.945189000000092</v>
          </cell>
        </row>
        <row r="70">
          <cell r="A70" t="str">
            <v>021</v>
          </cell>
          <cell r="B70" t="str">
            <v>éolien</v>
          </cell>
          <cell r="C70" t="str">
            <v>loi2000</v>
          </cell>
          <cell r="D70">
            <v>6</v>
          </cell>
          <cell r="E70">
            <v>62</v>
          </cell>
        </row>
        <row r="71">
          <cell r="A71" t="str">
            <v>022</v>
          </cell>
          <cell r="B71" t="str">
            <v>biogaz</v>
          </cell>
          <cell r="C71" t="str">
            <v>loi2000</v>
          </cell>
          <cell r="D71">
            <v>5</v>
          </cell>
          <cell r="E71">
            <v>2.2840000000000003</v>
          </cell>
        </row>
        <row r="72">
          <cell r="A72" t="str">
            <v>022</v>
          </cell>
          <cell r="B72" t="str">
            <v>hydraulique</v>
          </cell>
          <cell r="C72" t="str">
            <v>loi2000</v>
          </cell>
          <cell r="D72">
            <v>5</v>
          </cell>
          <cell r="E72">
            <v>8.2783000000000015</v>
          </cell>
        </row>
        <row r="73">
          <cell r="A73" t="str">
            <v>022</v>
          </cell>
          <cell r="B73" t="str">
            <v>solaire</v>
          </cell>
          <cell r="C73" t="str">
            <v>loi2000</v>
          </cell>
          <cell r="D73">
            <v>2151</v>
          </cell>
          <cell r="E73">
            <v>20.376821000000177</v>
          </cell>
        </row>
        <row r="74">
          <cell r="A74" t="str">
            <v>022</v>
          </cell>
          <cell r="B74" t="str">
            <v>éolien</v>
          </cell>
          <cell r="C74" t="str">
            <v>loi2000</v>
          </cell>
          <cell r="D74">
            <v>33</v>
          </cell>
          <cell r="E74">
            <v>244.09999999999994</v>
          </cell>
        </row>
        <row r="75">
          <cell r="A75" t="str">
            <v>023</v>
          </cell>
          <cell r="B75" t="str">
            <v>biogaz</v>
          </cell>
          <cell r="C75" t="str">
            <v>loi2000</v>
          </cell>
          <cell r="D75">
            <v>1</v>
          </cell>
          <cell r="E75">
            <v>7.0000000000000007E-2</v>
          </cell>
        </row>
        <row r="76">
          <cell r="A76" t="str">
            <v>023</v>
          </cell>
          <cell r="B76" t="str">
            <v>biomasse</v>
          </cell>
          <cell r="C76" t="str">
            <v>loi2000</v>
          </cell>
          <cell r="D76">
            <v>1</v>
          </cell>
          <cell r="E76">
            <v>3.49</v>
          </cell>
        </row>
        <row r="77">
          <cell r="A77" t="str">
            <v>023</v>
          </cell>
          <cell r="B77" t="str">
            <v>hydraulique</v>
          </cell>
          <cell r="C77" t="str">
            <v>loi2000</v>
          </cell>
          <cell r="D77">
            <v>11</v>
          </cell>
          <cell r="E77">
            <v>41.826000000000001</v>
          </cell>
        </row>
        <row r="78">
          <cell r="A78" t="str">
            <v>023</v>
          </cell>
          <cell r="B78" t="str">
            <v>solaire</v>
          </cell>
          <cell r="C78" t="str">
            <v>loi2000</v>
          </cell>
          <cell r="D78">
            <v>681</v>
          </cell>
          <cell r="E78">
            <v>10.818986000000036</v>
          </cell>
        </row>
        <row r="79">
          <cell r="A79" t="str">
            <v>024</v>
          </cell>
          <cell r="B79" t="str">
            <v>biogaz</v>
          </cell>
          <cell r="C79" t="str">
            <v>loi2000</v>
          </cell>
          <cell r="D79">
            <v>4</v>
          </cell>
          <cell r="E79">
            <v>0.84299999999999997</v>
          </cell>
        </row>
        <row r="80">
          <cell r="A80" t="str">
            <v>024</v>
          </cell>
          <cell r="B80" t="str">
            <v>hydraulique</v>
          </cell>
          <cell r="C80" t="str">
            <v>loi2000</v>
          </cell>
          <cell r="D80">
            <v>18</v>
          </cell>
          <cell r="E80">
            <v>6.8249999999999993</v>
          </cell>
        </row>
        <row r="81">
          <cell r="A81" t="str">
            <v>024</v>
          </cell>
          <cell r="B81" t="str">
            <v>solaire</v>
          </cell>
          <cell r="C81" t="str">
            <v>loi2000</v>
          </cell>
          <cell r="D81">
            <v>1494</v>
          </cell>
          <cell r="E81">
            <v>16.31782100000007</v>
          </cell>
        </row>
        <row r="82">
          <cell r="A82" t="str">
            <v>025</v>
          </cell>
          <cell r="B82" t="str">
            <v>biogaz</v>
          </cell>
          <cell r="C82" t="str">
            <v>loi2000</v>
          </cell>
          <cell r="D82">
            <v>1</v>
          </cell>
          <cell r="E82">
            <v>0.2</v>
          </cell>
        </row>
        <row r="83">
          <cell r="A83" t="str">
            <v>025</v>
          </cell>
          <cell r="B83" t="str">
            <v>déchets</v>
          </cell>
          <cell r="C83" t="str">
            <v>loi2000</v>
          </cell>
          <cell r="D83">
            <v>1</v>
          </cell>
          <cell r="E83">
            <v>0.89</v>
          </cell>
        </row>
        <row r="84">
          <cell r="A84" t="str">
            <v>025</v>
          </cell>
          <cell r="B84" t="str">
            <v>hydraulique</v>
          </cell>
          <cell r="C84" t="str">
            <v>loi2000</v>
          </cell>
          <cell r="D84">
            <v>17</v>
          </cell>
          <cell r="E84">
            <v>20.424999999999997</v>
          </cell>
        </row>
        <row r="85">
          <cell r="A85" t="str">
            <v>025</v>
          </cell>
          <cell r="B85" t="str">
            <v>solaire</v>
          </cell>
          <cell r="C85" t="str">
            <v>loi2000</v>
          </cell>
          <cell r="D85">
            <v>2384</v>
          </cell>
          <cell r="E85">
            <v>11.518619000000138</v>
          </cell>
        </row>
        <row r="86">
          <cell r="A86" t="str">
            <v>025</v>
          </cell>
          <cell r="B86" t="str">
            <v>éolien</v>
          </cell>
          <cell r="C86" t="str">
            <v>loi2000</v>
          </cell>
          <cell r="D86">
            <v>3</v>
          </cell>
          <cell r="E86">
            <v>30</v>
          </cell>
        </row>
        <row r="87">
          <cell r="A87" t="str">
            <v>026</v>
          </cell>
          <cell r="B87" t="str">
            <v>biogaz</v>
          </cell>
          <cell r="C87" t="str">
            <v>loi2000</v>
          </cell>
          <cell r="D87">
            <v>3</v>
          </cell>
          <cell r="E87">
            <v>6.1419999999999995</v>
          </cell>
        </row>
        <row r="88">
          <cell r="A88" t="str">
            <v>026</v>
          </cell>
          <cell r="B88" t="str">
            <v>hydraulique</v>
          </cell>
          <cell r="C88" t="str">
            <v>loi2000</v>
          </cell>
          <cell r="D88">
            <v>5</v>
          </cell>
          <cell r="E88">
            <v>12.123000000000001</v>
          </cell>
        </row>
        <row r="89">
          <cell r="A89" t="str">
            <v>026</v>
          </cell>
          <cell r="B89" t="str">
            <v>solaire</v>
          </cell>
          <cell r="C89" t="str">
            <v>loi2000</v>
          </cell>
          <cell r="D89">
            <v>3506</v>
          </cell>
          <cell r="E89">
            <v>59.742523000000169</v>
          </cell>
        </row>
        <row r="90">
          <cell r="A90" t="str">
            <v>026</v>
          </cell>
          <cell r="B90" t="str">
            <v>éolien</v>
          </cell>
          <cell r="C90" t="str">
            <v>loi2000</v>
          </cell>
          <cell r="D90">
            <v>11</v>
          </cell>
          <cell r="E90">
            <v>76.250000000000014</v>
          </cell>
        </row>
        <row r="91">
          <cell r="A91" t="str">
            <v>027</v>
          </cell>
          <cell r="B91" t="str">
            <v>biogaz</v>
          </cell>
          <cell r="C91" t="str">
            <v>loi2000</v>
          </cell>
          <cell r="D91">
            <v>2</v>
          </cell>
          <cell r="E91">
            <v>0.95499999999999996</v>
          </cell>
        </row>
        <row r="92">
          <cell r="A92" t="str">
            <v>027</v>
          </cell>
          <cell r="B92" t="str">
            <v>déchets</v>
          </cell>
          <cell r="C92" t="str">
            <v>loi2000</v>
          </cell>
          <cell r="D92">
            <v>1</v>
          </cell>
          <cell r="E92">
            <v>8.75</v>
          </cell>
        </row>
        <row r="93">
          <cell r="A93" t="str">
            <v>027</v>
          </cell>
          <cell r="B93" t="str">
            <v>hydraulique</v>
          </cell>
          <cell r="C93" t="str">
            <v>loi2000</v>
          </cell>
          <cell r="D93">
            <v>12</v>
          </cell>
          <cell r="E93">
            <v>17.681999999999995</v>
          </cell>
        </row>
        <row r="94">
          <cell r="A94" t="str">
            <v>027</v>
          </cell>
          <cell r="B94" t="str">
            <v>solaire</v>
          </cell>
          <cell r="C94" t="str">
            <v>loi2000</v>
          </cell>
          <cell r="D94">
            <v>1681</v>
          </cell>
          <cell r="E94">
            <v>10.978004000000094</v>
          </cell>
        </row>
        <row r="95">
          <cell r="A95" t="str">
            <v>027</v>
          </cell>
          <cell r="B95" t="str">
            <v>éolien</v>
          </cell>
          <cell r="C95" t="str">
            <v>loi2000</v>
          </cell>
          <cell r="D95">
            <v>3</v>
          </cell>
          <cell r="E95">
            <v>28.28</v>
          </cell>
        </row>
        <row r="96">
          <cell r="A96" t="str">
            <v>028</v>
          </cell>
          <cell r="B96" t="str">
            <v>biogaz</v>
          </cell>
          <cell r="C96" t="str">
            <v>loi2000</v>
          </cell>
          <cell r="D96">
            <v>4</v>
          </cell>
          <cell r="E96">
            <v>1.1260000000000001</v>
          </cell>
        </row>
        <row r="97">
          <cell r="A97" t="str">
            <v>028</v>
          </cell>
          <cell r="B97" t="str">
            <v>déchets</v>
          </cell>
          <cell r="C97" t="str">
            <v>loi2000</v>
          </cell>
          <cell r="D97">
            <v>1</v>
          </cell>
          <cell r="E97">
            <v>8.6999999999999993</v>
          </cell>
        </row>
        <row r="98">
          <cell r="A98" t="str">
            <v>028</v>
          </cell>
          <cell r="B98" t="str">
            <v>solaire</v>
          </cell>
          <cell r="C98" t="str">
            <v>loi2000</v>
          </cell>
          <cell r="D98">
            <v>797</v>
          </cell>
          <cell r="E98">
            <v>8.7807950000000279</v>
          </cell>
        </row>
        <row r="99">
          <cell r="A99" t="str">
            <v>028</v>
          </cell>
          <cell r="B99" t="str">
            <v>éolien</v>
          </cell>
          <cell r="C99" t="str">
            <v>loi2000</v>
          </cell>
          <cell r="D99">
            <v>29</v>
          </cell>
          <cell r="E99">
            <v>308.24999999999994</v>
          </cell>
        </row>
        <row r="100">
          <cell r="A100" t="str">
            <v>029</v>
          </cell>
          <cell r="B100" t="str">
            <v>biogaz</v>
          </cell>
          <cell r="C100" t="str">
            <v>loi2000</v>
          </cell>
          <cell r="D100">
            <v>1</v>
          </cell>
          <cell r="E100">
            <v>0.4</v>
          </cell>
        </row>
        <row r="101">
          <cell r="A101" t="str">
            <v>029</v>
          </cell>
          <cell r="B101" t="str">
            <v>déchets</v>
          </cell>
          <cell r="C101" t="str">
            <v>loi2000</v>
          </cell>
          <cell r="D101">
            <v>1</v>
          </cell>
          <cell r="E101">
            <v>2.895</v>
          </cell>
        </row>
        <row r="102">
          <cell r="A102" t="str">
            <v>029</v>
          </cell>
          <cell r="B102" t="str">
            <v>hydraulique</v>
          </cell>
          <cell r="C102" t="str">
            <v>loi2000</v>
          </cell>
          <cell r="D102">
            <v>3</v>
          </cell>
          <cell r="E102">
            <v>0.58000000000000007</v>
          </cell>
        </row>
        <row r="103">
          <cell r="A103" t="str">
            <v>029</v>
          </cell>
          <cell r="B103" t="str">
            <v>solaire</v>
          </cell>
          <cell r="C103" t="str">
            <v>loi2000</v>
          </cell>
          <cell r="D103">
            <v>2657</v>
          </cell>
          <cell r="E103">
            <v>26.471328000000216</v>
          </cell>
        </row>
        <row r="104">
          <cell r="A104" t="str">
            <v>029</v>
          </cell>
          <cell r="B104" t="str">
            <v>éolien</v>
          </cell>
          <cell r="C104" t="str">
            <v>loi2000</v>
          </cell>
          <cell r="D104">
            <v>25</v>
          </cell>
          <cell r="E104">
            <v>147.98999999999998</v>
          </cell>
        </row>
        <row r="105">
          <cell r="A105" t="str">
            <v>02A</v>
          </cell>
          <cell r="B105" t="str">
            <v>hydraulique</v>
          </cell>
          <cell r="C105" t="str">
            <v>loi2000</v>
          </cell>
          <cell r="D105">
            <v>6</v>
          </cell>
          <cell r="E105">
            <v>10.127000000000001</v>
          </cell>
        </row>
        <row r="106">
          <cell r="A106" t="str">
            <v>02A</v>
          </cell>
          <cell r="B106" t="str">
            <v>solaire</v>
          </cell>
          <cell r="C106" t="str">
            <v>loi2000</v>
          </cell>
          <cell r="D106">
            <v>101</v>
          </cell>
          <cell r="E106">
            <v>22.108669000000003</v>
          </cell>
        </row>
        <row r="107">
          <cell r="A107" t="str">
            <v>02B</v>
          </cell>
          <cell r="B107" t="str">
            <v>biogaz</v>
          </cell>
          <cell r="C107" t="str">
            <v>loi2000</v>
          </cell>
          <cell r="D107">
            <v>1</v>
          </cell>
          <cell r="E107">
            <v>1.6879999999999999</v>
          </cell>
        </row>
        <row r="108">
          <cell r="A108" t="str">
            <v>02B</v>
          </cell>
          <cell r="B108" t="str">
            <v>hydraulique</v>
          </cell>
          <cell r="C108" t="str">
            <v>loi2000</v>
          </cell>
          <cell r="D108">
            <v>1</v>
          </cell>
          <cell r="E108">
            <v>2.1</v>
          </cell>
        </row>
        <row r="109">
          <cell r="A109" t="str">
            <v>02B</v>
          </cell>
          <cell r="B109" t="str">
            <v>solaire</v>
          </cell>
          <cell r="C109" t="str">
            <v>loi2000</v>
          </cell>
          <cell r="D109">
            <v>204</v>
          </cell>
          <cell r="E109">
            <v>29.160875999999991</v>
          </cell>
        </row>
        <row r="110">
          <cell r="A110" t="str">
            <v>02B</v>
          </cell>
          <cell r="B110" t="str">
            <v>éolien</v>
          </cell>
          <cell r="C110" t="str">
            <v>loi2000</v>
          </cell>
          <cell r="D110">
            <v>1</v>
          </cell>
          <cell r="E110">
            <v>6</v>
          </cell>
        </row>
        <row r="111">
          <cell r="A111" t="str">
            <v>030</v>
          </cell>
          <cell r="B111" t="str">
            <v>biogaz</v>
          </cell>
          <cell r="C111" t="str">
            <v>loi2000</v>
          </cell>
          <cell r="D111">
            <v>1</v>
          </cell>
          <cell r="E111">
            <v>1.4319999999999999</v>
          </cell>
        </row>
        <row r="112">
          <cell r="A112" t="str">
            <v>030</v>
          </cell>
          <cell r="B112" t="str">
            <v>déchets</v>
          </cell>
          <cell r="C112" t="str">
            <v>loi2000</v>
          </cell>
          <cell r="D112">
            <v>1</v>
          </cell>
          <cell r="E112">
            <v>9.9499999999999993</v>
          </cell>
        </row>
        <row r="113">
          <cell r="A113" t="str">
            <v>030</v>
          </cell>
          <cell r="B113" t="str">
            <v>hydraulique</v>
          </cell>
          <cell r="C113" t="str">
            <v>loi2000</v>
          </cell>
          <cell r="D113">
            <v>6</v>
          </cell>
          <cell r="E113">
            <v>1.4966699999999999</v>
          </cell>
        </row>
        <row r="114">
          <cell r="A114" t="str">
            <v>030</v>
          </cell>
          <cell r="B114" t="str">
            <v>solaire</v>
          </cell>
          <cell r="C114" t="str">
            <v>loi2000</v>
          </cell>
          <cell r="D114">
            <v>6585</v>
          </cell>
          <cell r="E114">
            <v>66.737760000000279</v>
          </cell>
        </row>
        <row r="115">
          <cell r="A115" t="str">
            <v>030</v>
          </cell>
          <cell r="B115" t="str">
            <v>éolien</v>
          </cell>
          <cell r="C115" t="str">
            <v>loi2000</v>
          </cell>
          <cell r="D115">
            <v>1</v>
          </cell>
          <cell r="E115">
            <v>11.5</v>
          </cell>
        </row>
        <row r="116">
          <cell r="A116" t="str">
            <v>031</v>
          </cell>
          <cell r="B116" t="str">
            <v>biogaz</v>
          </cell>
          <cell r="C116" t="str">
            <v>loi2000</v>
          </cell>
          <cell r="D116">
            <v>1</v>
          </cell>
          <cell r="E116">
            <v>1.74</v>
          </cell>
        </row>
        <row r="117">
          <cell r="A117" t="str">
            <v>031</v>
          </cell>
          <cell r="B117" t="str">
            <v>hydraulique</v>
          </cell>
          <cell r="C117" t="str">
            <v>loi2000</v>
          </cell>
          <cell r="D117">
            <v>24</v>
          </cell>
          <cell r="E117">
            <v>70.147000000000006</v>
          </cell>
        </row>
        <row r="118">
          <cell r="A118" t="str">
            <v>031</v>
          </cell>
          <cell r="B118" t="str">
            <v>solaire</v>
          </cell>
          <cell r="C118" t="str">
            <v>loi2000</v>
          </cell>
          <cell r="D118">
            <v>6067</v>
          </cell>
          <cell r="E118">
            <v>60.8424090000006</v>
          </cell>
        </row>
        <row r="119">
          <cell r="A119" t="str">
            <v>031</v>
          </cell>
          <cell r="B119" t="str">
            <v>éolien</v>
          </cell>
          <cell r="C119" t="str">
            <v>loi2000</v>
          </cell>
          <cell r="D119">
            <v>4</v>
          </cell>
          <cell r="E119">
            <v>30.97</v>
          </cell>
        </row>
        <row r="120">
          <cell r="A120" t="str">
            <v>032</v>
          </cell>
          <cell r="B120" t="str">
            <v>biogaz</v>
          </cell>
          <cell r="C120" t="str">
            <v>loi2000</v>
          </cell>
          <cell r="D120">
            <v>1</v>
          </cell>
          <cell r="E120">
            <v>0.1</v>
          </cell>
        </row>
        <row r="121">
          <cell r="A121" t="str">
            <v>032</v>
          </cell>
          <cell r="B121" t="str">
            <v>hydraulique</v>
          </cell>
          <cell r="C121" t="str">
            <v>loi2000</v>
          </cell>
          <cell r="D121">
            <v>8</v>
          </cell>
          <cell r="E121">
            <v>1.0680000000000001</v>
          </cell>
        </row>
        <row r="122">
          <cell r="A122" t="str">
            <v>032</v>
          </cell>
          <cell r="B122" t="str">
            <v>solaire</v>
          </cell>
          <cell r="C122" t="str">
            <v>loi2000</v>
          </cell>
          <cell r="D122">
            <v>1456</v>
          </cell>
          <cell r="E122">
            <v>66.36464000000008</v>
          </cell>
        </row>
        <row r="123">
          <cell r="A123" t="str">
            <v>033</v>
          </cell>
          <cell r="B123" t="str">
            <v>biogaz</v>
          </cell>
          <cell r="C123" t="str">
            <v>loi2000</v>
          </cell>
          <cell r="D123">
            <v>3</v>
          </cell>
          <cell r="E123">
            <v>6.8999999999999995</v>
          </cell>
        </row>
        <row r="124">
          <cell r="A124" t="str">
            <v>033</v>
          </cell>
          <cell r="B124" t="str">
            <v>déchets</v>
          </cell>
          <cell r="C124" t="str">
            <v>loi2000</v>
          </cell>
          <cell r="D124">
            <v>1</v>
          </cell>
          <cell r="E124">
            <v>4.2679999999999998</v>
          </cell>
        </row>
        <row r="125">
          <cell r="A125" t="str">
            <v>033</v>
          </cell>
          <cell r="B125" t="str">
            <v>hydraulique</v>
          </cell>
          <cell r="C125" t="str">
            <v>loi2000</v>
          </cell>
          <cell r="D125">
            <v>2</v>
          </cell>
          <cell r="E125">
            <v>0.7</v>
          </cell>
        </row>
        <row r="126">
          <cell r="A126" t="str">
            <v>033</v>
          </cell>
          <cell r="B126" t="str">
            <v>solaire</v>
          </cell>
          <cell r="C126" t="str">
            <v>loi2000</v>
          </cell>
          <cell r="D126">
            <v>6543</v>
          </cell>
          <cell r="E126">
            <v>86.4099920000005</v>
          </cell>
        </row>
        <row r="127">
          <cell r="A127" t="str">
            <v>033</v>
          </cell>
          <cell r="B127" t="str">
            <v>éolien</v>
          </cell>
          <cell r="C127" t="str">
            <v>loi2000</v>
          </cell>
          <cell r="D127">
            <v>1</v>
          </cell>
          <cell r="E127">
            <v>0.01</v>
          </cell>
        </row>
        <row r="128">
          <cell r="A128" t="str">
            <v>034</v>
          </cell>
          <cell r="B128" t="str">
            <v>biogaz</v>
          </cell>
          <cell r="C128" t="str">
            <v>loi2000</v>
          </cell>
          <cell r="D128">
            <v>3</v>
          </cell>
          <cell r="E128">
            <v>5.3559999999999999</v>
          </cell>
        </row>
        <row r="129">
          <cell r="A129" t="str">
            <v>034</v>
          </cell>
          <cell r="B129" t="str">
            <v>hydraulique</v>
          </cell>
          <cell r="C129" t="str">
            <v>loi2000</v>
          </cell>
          <cell r="D129">
            <v>9</v>
          </cell>
          <cell r="E129">
            <v>13.7525</v>
          </cell>
        </row>
        <row r="130">
          <cell r="A130" t="str">
            <v>034</v>
          </cell>
          <cell r="B130" t="str">
            <v>solaire</v>
          </cell>
          <cell r="C130" t="str">
            <v>loi2000</v>
          </cell>
          <cell r="D130">
            <v>8137</v>
          </cell>
          <cell r="E130">
            <v>73.971116999999609</v>
          </cell>
        </row>
        <row r="131">
          <cell r="A131" t="str">
            <v>034</v>
          </cell>
          <cell r="B131" t="str">
            <v>éolien</v>
          </cell>
          <cell r="C131" t="str">
            <v>loi2000</v>
          </cell>
          <cell r="D131">
            <v>15</v>
          </cell>
          <cell r="E131">
            <v>118.07000000000001</v>
          </cell>
        </row>
        <row r="132">
          <cell r="A132" t="str">
            <v>035</v>
          </cell>
          <cell r="B132" t="str">
            <v>biogaz</v>
          </cell>
          <cell r="C132" t="str">
            <v>loi2000</v>
          </cell>
          <cell r="D132">
            <v>3</v>
          </cell>
          <cell r="E132">
            <v>0.35</v>
          </cell>
        </row>
        <row r="133">
          <cell r="A133" t="str">
            <v>035</v>
          </cell>
          <cell r="B133" t="str">
            <v>solaire</v>
          </cell>
          <cell r="C133" t="str">
            <v>loi2000</v>
          </cell>
          <cell r="D133">
            <v>4591</v>
          </cell>
          <cell r="E133">
            <v>40.637582000000677</v>
          </cell>
        </row>
        <row r="134">
          <cell r="A134" t="str">
            <v>035</v>
          </cell>
          <cell r="B134" t="str">
            <v>éolien</v>
          </cell>
          <cell r="C134" t="str">
            <v>loi2000</v>
          </cell>
          <cell r="D134">
            <v>11</v>
          </cell>
          <cell r="E134">
            <v>73.349999999999994</v>
          </cell>
        </row>
        <row r="135">
          <cell r="A135" t="str">
            <v>036</v>
          </cell>
          <cell r="B135" t="str">
            <v>biogaz</v>
          </cell>
          <cell r="C135" t="str">
            <v>loi2000</v>
          </cell>
          <cell r="D135">
            <v>1</v>
          </cell>
          <cell r="E135">
            <v>0.11</v>
          </cell>
        </row>
        <row r="136">
          <cell r="A136" t="str">
            <v>036</v>
          </cell>
          <cell r="B136" t="str">
            <v>hydraulique</v>
          </cell>
          <cell r="C136" t="str">
            <v>loi2000</v>
          </cell>
          <cell r="D136">
            <v>5</v>
          </cell>
          <cell r="E136">
            <v>17.520000000000003</v>
          </cell>
        </row>
        <row r="137">
          <cell r="A137" t="str">
            <v>036</v>
          </cell>
          <cell r="B137" t="str">
            <v>solaire</v>
          </cell>
          <cell r="C137" t="str">
            <v>loi2000</v>
          </cell>
          <cell r="D137">
            <v>769</v>
          </cell>
          <cell r="E137">
            <v>13.147975000000006</v>
          </cell>
        </row>
        <row r="138">
          <cell r="A138" t="str">
            <v>036</v>
          </cell>
          <cell r="B138" t="str">
            <v>éolien</v>
          </cell>
          <cell r="C138" t="str">
            <v>loi2000</v>
          </cell>
          <cell r="D138">
            <v>9</v>
          </cell>
          <cell r="E138">
            <v>91</v>
          </cell>
        </row>
        <row r="139">
          <cell r="A139" t="str">
            <v>037</v>
          </cell>
          <cell r="B139" t="str">
            <v>biogaz</v>
          </cell>
          <cell r="C139" t="str">
            <v>loi2000</v>
          </cell>
          <cell r="D139">
            <v>2</v>
          </cell>
          <cell r="E139">
            <v>1.4899999999999998</v>
          </cell>
        </row>
        <row r="140">
          <cell r="A140" t="str">
            <v>037</v>
          </cell>
          <cell r="B140" t="str">
            <v>hydraulique</v>
          </cell>
          <cell r="C140" t="str">
            <v>loi2000</v>
          </cell>
          <cell r="D140">
            <v>1</v>
          </cell>
          <cell r="E140">
            <v>0.1</v>
          </cell>
        </row>
        <row r="141">
          <cell r="A141" t="str">
            <v>037</v>
          </cell>
          <cell r="B141" t="str">
            <v>solaire</v>
          </cell>
          <cell r="C141" t="str">
            <v>loi2000</v>
          </cell>
          <cell r="D141">
            <v>1819</v>
          </cell>
          <cell r="E141">
            <v>9.4425640000000595</v>
          </cell>
        </row>
        <row r="142">
          <cell r="A142" t="str">
            <v>038</v>
          </cell>
          <cell r="B142" t="str">
            <v>biogaz</v>
          </cell>
          <cell r="C142" t="str">
            <v>loi2000</v>
          </cell>
          <cell r="D142">
            <v>2</v>
          </cell>
          <cell r="E142">
            <v>2.8639999999999999</v>
          </cell>
        </row>
        <row r="143">
          <cell r="A143" t="str">
            <v>038</v>
          </cell>
          <cell r="B143" t="str">
            <v>déchets</v>
          </cell>
          <cell r="C143" t="str">
            <v>loi2000</v>
          </cell>
          <cell r="D143">
            <v>3</v>
          </cell>
          <cell r="E143">
            <v>34.9</v>
          </cell>
        </row>
        <row r="144">
          <cell r="A144" t="str">
            <v>038</v>
          </cell>
          <cell r="B144" t="str">
            <v>hydraulique</v>
          </cell>
          <cell r="C144" t="str">
            <v>loi2000</v>
          </cell>
          <cell r="D144">
            <v>30</v>
          </cell>
          <cell r="E144">
            <v>77.441000000000003</v>
          </cell>
        </row>
        <row r="145">
          <cell r="A145" t="str">
            <v>038</v>
          </cell>
          <cell r="B145" t="str">
            <v>solaire</v>
          </cell>
          <cell r="C145" t="str">
            <v>loi2000</v>
          </cell>
          <cell r="D145">
            <v>7638</v>
          </cell>
          <cell r="E145">
            <v>36.137398100010635</v>
          </cell>
        </row>
        <row r="146">
          <cell r="A146" t="str">
            <v>038</v>
          </cell>
          <cell r="B146" t="str">
            <v>éolien</v>
          </cell>
          <cell r="C146" t="str">
            <v>loi2000</v>
          </cell>
          <cell r="D146">
            <v>2</v>
          </cell>
          <cell r="E146">
            <v>3.0019999999999998</v>
          </cell>
        </row>
        <row r="147">
          <cell r="A147" t="str">
            <v>039</v>
          </cell>
          <cell r="B147" t="str">
            <v>hydraulique</v>
          </cell>
          <cell r="C147" t="str">
            <v>loi2000</v>
          </cell>
          <cell r="D147">
            <v>22</v>
          </cell>
          <cell r="E147">
            <v>14.221</v>
          </cell>
        </row>
        <row r="148">
          <cell r="A148" t="str">
            <v>039</v>
          </cell>
          <cell r="B148" t="str">
            <v>solaire</v>
          </cell>
          <cell r="C148" t="str">
            <v>loi2000</v>
          </cell>
          <cell r="D148">
            <v>1280</v>
          </cell>
          <cell r="E148">
            <v>6.3342700000000383</v>
          </cell>
        </row>
        <row r="149">
          <cell r="A149" t="str">
            <v>040</v>
          </cell>
          <cell r="B149" t="str">
            <v>hydraulique</v>
          </cell>
          <cell r="C149" t="str">
            <v>loi2000</v>
          </cell>
          <cell r="D149">
            <v>1</v>
          </cell>
          <cell r="E149">
            <v>7.2999999999999995E-2</v>
          </cell>
        </row>
        <row r="150">
          <cell r="A150" t="str">
            <v>040</v>
          </cell>
          <cell r="B150" t="str">
            <v>solaire</v>
          </cell>
          <cell r="C150" t="str">
            <v>loi2000</v>
          </cell>
          <cell r="D150">
            <v>3703</v>
          </cell>
          <cell r="E150">
            <v>136.61051399999954</v>
          </cell>
        </row>
        <row r="151">
          <cell r="A151" t="str">
            <v>041</v>
          </cell>
          <cell r="B151" t="str">
            <v>biogaz</v>
          </cell>
          <cell r="C151" t="str">
            <v>loi2000</v>
          </cell>
          <cell r="D151">
            <v>4</v>
          </cell>
          <cell r="E151">
            <v>1.2489999999999999</v>
          </cell>
        </row>
        <row r="152">
          <cell r="A152" t="str">
            <v>041</v>
          </cell>
          <cell r="B152" t="str">
            <v>hydraulique</v>
          </cell>
          <cell r="C152" t="str">
            <v>loi2000</v>
          </cell>
          <cell r="D152">
            <v>4</v>
          </cell>
          <cell r="E152">
            <v>0.29400000000000004</v>
          </cell>
        </row>
        <row r="153">
          <cell r="A153" t="str">
            <v>041</v>
          </cell>
          <cell r="B153" t="str">
            <v>solaire</v>
          </cell>
          <cell r="C153" t="str">
            <v>loi2000</v>
          </cell>
          <cell r="D153">
            <v>1038</v>
          </cell>
          <cell r="E153">
            <v>9.3169650000000264</v>
          </cell>
        </row>
        <row r="154">
          <cell r="A154" t="str">
            <v>041</v>
          </cell>
          <cell r="B154" t="str">
            <v>éolien</v>
          </cell>
          <cell r="C154" t="str">
            <v>loi2000</v>
          </cell>
          <cell r="D154">
            <v>3</v>
          </cell>
          <cell r="E154">
            <v>35.299999999999997</v>
          </cell>
        </row>
        <row r="155">
          <cell r="A155" t="str">
            <v>042</v>
          </cell>
          <cell r="B155" t="str">
            <v>biogaz</v>
          </cell>
          <cell r="C155" t="str">
            <v>loi2000</v>
          </cell>
          <cell r="D155">
            <v>1</v>
          </cell>
          <cell r="E155">
            <v>0.95</v>
          </cell>
        </row>
        <row r="156">
          <cell r="A156" t="str">
            <v>042</v>
          </cell>
          <cell r="B156" t="str">
            <v>hydraulique</v>
          </cell>
          <cell r="C156" t="str">
            <v>loi2000</v>
          </cell>
          <cell r="D156">
            <v>7</v>
          </cell>
          <cell r="E156">
            <v>6.0890000000000004</v>
          </cell>
        </row>
        <row r="157">
          <cell r="A157" t="str">
            <v>042</v>
          </cell>
          <cell r="B157" t="str">
            <v>solaire</v>
          </cell>
          <cell r="C157" t="str">
            <v>loi2000</v>
          </cell>
          <cell r="D157">
            <v>4588</v>
          </cell>
          <cell r="E157">
            <v>20.508667000000422</v>
          </cell>
        </row>
        <row r="158">
          <cell r="A158" t="str">
            <v>043</v>
          </cell>
          <cell r="B158" t="str">
            <v>biogaz</v>
          </cell>
          <cell r="C158" t="str">
            <v>loi2000</v>
          </cell>
          <cell r="D158">
            <v>4</v>
          </cell>
          <cell r="E158">
            <v>1.3689999999999998</v>
          </cell>
        </row>
        <row r="159">
          <cell r="A159" t="str">
            <v>043</v>
          </cell>
          <cell r="B159" t="str">
            <v>hydraulique</v>
          </cell>
          <cell r="C159" t="str">
            <v>loi2000</v>
          </cell>
          <cell r="D159">
            <v>16</v>
          </cell>
          <cell r="E159">
            <v>15.221</v>
          </cell>
        </row>
        <row r="160">
          <cell r="A160" t="str">
            <v>043</v>
          </cell>
          <cell r="B160" t="str">
            <v>solaire</v>
          </cell>
          <cell r="C160" t="str">
            <v>loi2000</v>
          </cell>
          <cell r="D160">
            <v>1903</v>
          </cell>
          <cell r="E160">
            <v>28.03579700000012</v>
          </cell>
        </row>
        <row r="161">
          <cell r="A161" t="str">
            <v>043</v>
          </cell>
          <cell r="B161" t="str">
            <v>éolien</v>
          </cell>
          <cell r="C161" t="str">
            <v>loi2000</v>
          </cell>
          <cell r="D161">
            <v>7</v>
          </cell>
          <cell r="E161">
            <v>69.599999999999994</v>
          </cell>
        </row>
        <row r="162">
          <cell r="A162" t="str">
            <v>044</v>
          </cell>
          <cell r="B162" t="str">
            <v>biogaz</v>
          </cell>
          <cell r="C162" t="str">
            <v>loi2000</v>
          </cell>
          <cell r="D162">
            <v>1</v>
          </cell>
          <cell r="E162">
            <v>0.373</v>
          </cell>
        </row>
        <row r="163">
          <cell r="A163" t="str">
            <v>044</v>
          </cell>
          <cell r="B163" t="str">
            <v>solaire</v>
          </cell>
          <cell r="C163" t="str">
            <v>loi2000</v>
          </cell>
          <cell r="D163">
            <v>8416</v>
          </cell>
          <cell r="E163">
            <v>50.088896000000197</v>
          </cell>
        </row>
        <row r="164">
          <cell r="A164" t="str">
            <v>044</v>
          </cell>
          <cell r="B164" t="str">
            <v>éolien</v>
          </cell>
          <cell r="C164" t="str">
            <v>loi2000</v>
          </cell>
          <cell r="D164">
            <v>15</v>
          </cell>
          <cell r="E164">
            <v>138.143</v>
          </cell>
        </row>
        <row r="165">
          <cell r="A165" t="str">
            <v>045</v>
          </cell>
          <cell r="B165" t="str">
            <v>biogaz</v>
          </cell>
          <cell r="C165" t="str">
            <v>loi2000</v>
          </cell>
          <cell r="D165">
            <v>1</v>
          </cell>
          <cell r="E165">
            <v>0.15</v>
          </cell>
        </row>
        <row r="166">
          <cell r="A166" t="str">
            <v>045</v>
          </cell>
          <cell r="B166" t="str">
            <v>déchets</v>
          </cell>
          <cell r="C166" t="str">
            <v>loi2000</v>
          </cell>
          <cell r="D166">
            <v>1</v>
          </cell>
          <cell r="E166">
            <v>4.97</v>
          </cell>
        </row>
        <row r="167">
          <cell r="A167" t="str">
            <v>045</v>
          </cell>
          <cell r="B167" t="str">
            <v>solaire</v>
          </cell>
          <cell r="C167" t="str">
            <v>loi2000</v>
          </cell>
          <cell r="D167">
            <v>1560</v>
          </cell>
          <cell r="E167">
            <v>8.2960950000000544</v>
          </cell>
        </row>
        <row r="168">
          <cell r="A168" t="str">
            <v>045</v>
          </cell>
          <cell r="B168" t="str">
            <v>éolien</v>
          </cell>
          <cell r="C168" t="str">
            <v>loi2000</v>
          </cell>
          <cell r="D168">
            <v>13</v>
          </cell>
          <cell r="E168">
            <v>131</v>
          </cell>
        </row>
        <row r="169">
          <cell r="A169" t="str">
            <v>046</v>
          </cell>
          <cell r="B169" t="str">
            <v>hydraulique</v>
          </cell>
          <cell r="C169" t="str">
            <v>loi2000</v>
          </cell>
          <cell r="D169">
            <v>12</v>
          </cell>
          <cell r="E169">
            <v>29.776499999999999</v>
          </cell>
        </row>
        <row r="170">
          <cell r="A170" t="str">
            <v>046</v>
          </cell>
          <cell r="B170" t="str">
            <v>solaire</v>
          </cell>
          <cell r="C170" t="str">
            <v>loi2000</v>
          </cell>
          <cell r="D170">
            <v>749</v>
          </cell>
          <cell r="E170">
            <v>22.92077500000002</v>
          </cell>
        </row>
        <row r="171">
          <cell r="A171" t="str">
            <v>047</v>
          </cell>
          <cell r="B171" t="str">
            <v>biogaz</v>
          </cell>
          <cell r="C171" t="str">
            <v>loi2000</v>
          </cell>
          <cell r="D171">
            <v>1</v>
          </cell>
          <cell r="E171">
            <v>0.42</v>
          </cell>
        </row>
        <row r="172">
          <cell r="A172" t="str">
            <v>047</v>
          </cell>
          <cell r="B172" t="str">
            <v>hydraulique</v>
          </cell>
          <cell r="C172" t="str">
            <v>loi2000</v>
          </cell>
          <cell r="D172">
            <v>2</v>
          </cell>
          <cell r="E172">
            <v>7.27</v>
          </cell>
        </row>
        <row r="173">
          <cell r="A173" t="str">
            <v>047</v>
          </cell>
          <cell r="B173" t="str">
            <v>solaire</v>
          </cell>
          <cell r="C173" t="str">
            <v>loi2000</v>
          </cell>
          <cell r="D173">
            <v>2024</v>
          </cell>
          <cell r="E173">
            <v>37.443244000000085</v>
          </cell>
        </row>
        <row r="174">
          <cell r="A174" t="str">
            <v>048</v>
          </cell>
          <cell r="B174" t="str">
            <v>hydraulique</v>
          </cell>
          <cell r="C174" t="str">
            <v>loi2000</v>
          </cell>
          <cell r="D174">
            <v>5</v>
          </cell>
          <cell r="E174">
            <v>24.350999999999999</v>
          </cell>
        </row>
        <row r="175">
          <cell r="A175" t="str">
            <v>048</v>
          </cell>
          <cell r="B175" t="str">
            <v>solaire</v>
          </cell>
          <cell r="C175" t="str">
            <v>loi2000</v>
          </cell>
          <cell r="D175">
            <v>378</v>
          </cell>
          <cell r="E175">
            <v>8.0880570000000027</v>
          </cell>
        </row>
        <row r="176">
          <cell r="A176" t="str">
            <v>048</v>
          </cell>
          <cell r="B176" t="str">
            <v>éolien</v>
          </cell>
          <cell r="C176" t="str">
            <v>loi2000</v>
          </cell>
          <cell r="D176">
            <v>5</v>
          </cell>
          <cell r="E176">
            <v>22.4</v>
          </cell>
        </row>
        <row r="177">
          <cell r="A177" t="str">
            <v>049</v>
          </cell>
          <cell r="B177" t="str">
            <v>biogaz</v>
          </cell>
          <cell r="C177" t="str">
            <v>loi2000</v>
          </cell>
          <cell r="D177">
            <v>2</v>
          </cell>
          <cell r="E177">
            <v>3.08</v>
          </cell>
        </row>
        <row r="178">
          <cell r="A178" t="str">
            <v>049</v>
          </cell>
          <cell r="B178" t="str">
            <v>déchets</v>
          </cell>
          <cell r="C178" t="str">
            <v>loi2000</v>
          </cell>
          <cell r="D178">
            <v>1</v>
          </cell>
          <cell r="E178">
            <v>9.19</v>
          </cell>
        </row>
        <row r="179">
          <cell r="A179" t="str">
            <v>049</v>
          </cell>
          <cell r="B179" t="str">
            <v>hydraulique</v>
          </cell>
          <cell r="C179" t="str">
            <v>loi2000</v>
          </cell>
          <cell r="D179">
            <v>2</v>
          </cell>
          <cell r="E179">
            <v>0.24249999999999999</v>
          </cell>
        </row>
        <row r="180">
          <cell r="A180" t="str">
            <v>049</v>
          </cell>
          <cell r="B180" t="str">
            <v>solaire</v>
          </cell>
          <cell r="C180" t="str">
            <v>loi2000</v>
          </cell>
          <cell r="D180">
            <v>5552</v>
          </cell>
          <cell r="E180">
            <v>54.522754000000326</v>
          </cell>
        </row>
        <row r="181">
          <cell r="A181" t="str">
            <v>049</v>
          </cell>
          <cell r="B181" t="str">
            <v>éolien</v>
          </cell>
          <cell r="C181" t="str">
            <v>loi2000</v>
          </cell>
          <cell r="D181">
            <v>7</v>
          </cell>
          <cell r="E181">
            <v>73.2</v>
          </cell>
        </row>
        <row r="182">
          <cell r="A182" t="str">
            <v>050</v>
          </cell>
          <cell r="B182" t="str">
            <v>biogaz</v>
          </cell>
          <cell r="C182" t="str">
            <v>loi2000</v>
          </cell>
          <cell r="D182">
            <v>4</v>
          </cell>
          <cell r="E182">
            <v>3.1829999999999998</v>
          </cell>
        </row>
        <row r="183">
          <cell r="A183" t="str">
            <v>050</v>
          </cell>
          <cell r="B183" t="str">
            <v>hydraulique</v>
          </cell>
          <cell r="C183" t="str">
            <v>loi2000</v>
          </cell>
          <cell r="D183">
            <v>1</v>
          </cell>
          <cell r="E183">
            <v>1.6</v>
          </cell>
        </row>
        <row r="184">
          <cell r="A184" t="str">
            <v>050</v>
          </cell>
          <cell r="B184" t="str">
            <v>solaire</v>
          </cell>
          <cell r="C184" t="str">
            <v>loi2000</v>
          </cell>
          <cell r="D184">
            <v>1897</v>
          </cell>
          <cell r="E184">
            <v>15.081356000000069</v>
          </cell>
        </row>
        <row r="185">
          <cell r="A185" t="str">
            <v>050</v>
          </cell>
          <cell r="B185" t="str">
            <v>éolien</v>
          </cell>
          <cell r="C185" t="str">
            <v>loi2000</v>
          </cell>
          <cell r="D185">
            <v>13</v>
          </cell>
          <cell r="E185">
            <v>75.406400000000005</v>
          </cell>
        </row>
        <row r="186">
          <cell r="A186" t="str">
            <v>051</v>
          </cell>
          <cell r="B186" t="str">
            <v>déchets</v>
          </cell>
          <cell r="C186" t="str">
            <v>loi2000</v>
          </cell>
          <cell r="D186">
            <v>1</v>
          </cell>
          <cell r="E186">
            <v>9.1</v>
          </cell>
        </row>
        <row r="187">
          <cell r="A187" t="str">
            <v>051</v>
          </cell>
          <cell r="B187" t="str">
            <v>hydraulique</v>
          </cell>
          <cell r="C187" t="str">
            <v>loi2000</v>
          </cell>
          <cell r="D187">
            <v>4</v>
          </cell>
          <cell r="E187">
            <v>0.34899999999999998</v>
          </cell>
        </row>
        <row r="188">
          <cell r="A188" t="str">
            <v>051</v>
          </cell>
          <cell r="B188" t="str">
            <v>solaire</v>
          </cell>
          <cell r="C188" t="str">
            <v>loi2000</v>
          </cell>
          <cell r="D188">
            <v>1452</v>
          </cell>
          <cell r="E188">
            <v>27.175899000000129</v>
          </cell>
        </row>
        <row r="189">
          <cell r="A189" t="str">
            <v>051</v>
          </cell>
          <cell r="B189" t="str">
            <v>éolien</v>
          </cell>
          <cell r="C189" t="str">
            <v>loi2000</v>
          </cell>
          <cell r="D189">
            <v>33</v>
          </cell>
          <cell r="E189">
            <v>317.27000000000004</v>
          </cell>
        </row>
        <row r="190">
          <cell r="A190" t="str">
            <v>052</v>
          </cell>
          <cell r="B190" t="str">
            <v>biogaz</v>
          </cell>
          <cell r="C190" t="str">
            <v>loi2000</v>
          </cell>
          <cell r="D190">
            <v>1</v>
          </cell>
          <cell r="E190">
            <v>0.249</v>
          </cell>
        </row>
        <row r="191">
          <cell r="A191" t="str">
            <v>052</v>
          </cell>
          <cell r="B191" t="str">
            <v>déchets</v>
          </cell>
          <cell r="C191" t="str">
            <v>loi2000</v>
          </cell>
          <cell r="D191">
            <v>1</v>
          </cell>
          <cell r="E191">
            <v>4.2</v>
          </cell>
        </row>
        <row r="192">
          <cell r="A192" t="str">
            <v>052</v>
          </cell>
          <cell r="B192" t="str">
            <v>hydraulique</v>
          </cell>
          <cell r="C192" t="str">
            <v>loi2000</v>
          </cell>
          <cell r="D192">
            <v>2</v>
          </cell>
          <cell r="E192">
            <v>0.215</v>
          </cell>
        </row>
        <row r="193">
          <cell r="A193" t="str">
            <v>052</v>
          </cell>
          <cell r="B193" t="str">
            <v>solaire</v>
          </cell>
          <cell r="C193" t="str">
            <v>loi2000</v>
          </cell>
          <cell r="D193">
            <v>564</v>
          </cell>
          <cell r="E193">
            <v>13.153459000000025</v>
          </cell>
        </row>
        <row r="194">
          <cell r="A194" t="str">
            <v>052</v>
          </cell>
          <cell r="B194" t="str">
            <v>éolien</v>
          </cell>
          <cell r="C194" t="str">
            <v>loi2000</v>
          </cell>
          <cell r="D194">
            <v>16</v>
          </cell>
          <cell r="E194">
            <v>240</v>
          </cell>
        </row>
        <row r="195">
          <cell r="A195" t="str">
            <v>053</v>
          </cell>
          <cell r="B195" t="str">
            <v>biogaz</v>
          </cell>
          <cell r="C195" t="str">
            <v>loi2000</v>
          </cell>
          <cell r="D195">
            <v>2</v>
          </cell>
          <cell r="E195">
            <v>10.414999999999999</v>
          </cell>
        </row>
        <row r="196">
          <cell r="A196" t="str">
            <v>053</v>
          </cell>
          <cell r="B196" t="str">
            <v>hydraulique</v>
          </cell>
          <cell r="C196" t="str">
            <v>loi2000</v>
          </cell>
          <cell r="D196">
            <v>20</v>
          </cell>
          <cell r="E196">
            <v>3.9929999999999999</v>
          </cell>
        </row>
        <row r="197">
          <cell r="A197" t="str">
            <v>053</v>
          </cell>
          <cell r="B197" t="str">
            <v>solaire</v>
          </cell>
          <cell r="C197" t="str">
            <v>loi2000</v>
          </cell>
          <cell r="D197">
            <v>2480</v>
          </cell>
          <cell r="E197">
            <v>20.130960000000265</v>
          </cell>
        </row>
        <row r="198">
          <cell r="A198" t="str">
            <v>053</v>
          </cell>
          <cell r="B198" t="str">
            <v>éolien</v>
          </cell>
          <cell r="C198" t="str">
            <v>loi2000</v>
          </cell>
          <cell r="D198">
            <v>5</v>
          </cell>
          <cell r="E198">
            <v>46.050000000000004</v>
          </cell>
        </row>
        <row r="199">
          <cell r="A199" t="str">
            <v>054</v>
          </cell>
          <cell r="B199" t="str">
            <v>biogaz</v>
          </cell>
          <cell r="C199" t="str">
            <v>loi2000</v>
          </cell>
          <cell r="D199">
            <v>5</v>
          </cell>
          <cell r="E199">
            <v>3.9739999999999998</v>
          </cell>
        </row>
        <row r="200">
          <cell r="A200" t="str">
            <v>054</v>
          </cell>
          <cell r="B200" t="str">
            <v>hydraulique</v>
          </cell>
          <cell r="C200" t="str">
            <v>loi2000</v>
          </cell>
          <cell r="D200">
            <v>11</v>
          </cell>
          <cell r="E200">
            <v>3.6868999999999996</v>
          </cell>
        </row>
        <row r="201">
          <cell r="A201" t="str">
            <v>054</v>
          </cell>
          <cell r="B201" t="str">
            <v>solaire</v>
          </cell>
          <cell r="C201" t="str">
            <v>loi2000</v>
          </cell>
          <cell r="D201">
            <v>2245</v>
          </cell>
          <cell r="E201">
            <v>23.960533000000105</v>
          </cell>
        </row>
        <row r="202">
          <cell r="A202" t="str">
            <v>054</v>
          </cell>
          <cell r="B202" t="str">
            <v>éolien</v>
          </cell>
          <cell r="C202" t="str">
            <v>loi2000</v>
          </cell>
          <cell r="D202">
            <v>12</v>
          </cell>
          <cell r="E202">
            <v>95</v>
          </cell>
        </row>
        <row r="203">
          <cell r="A203" t="str">
            <v>055</v>
          </cell>
          <cell r="B203" t="str">
            <v>hydraulique</v>
          </cell>
          <cell r="C203" t="str">
            <v>loi2000</v>
          </cell>
          <cell r="D203">
            <v>9</v>
          </cell>
          <cell r="E203">
            <v>1.6179999999999999</v>
          </cell>
        </row>
        <row r="204">
          <cell r="A204" t="str">
            <v>055</v>
          </cell>
          <cell r="B204" t="str">
            <v>solaire</v>
          </cell>
          <cell r="C204" t="str">
            <v>loi2000</v>
          </cell>
          <cell r="D204">
            <v>767</v>
          </cell>
          <cell r="E204">
            <v>5.9638460000000038</v>
          </cell>
        </row>
        <row r="205">
          <cell r="A205" t="str">
            <v>055</v>
          </cell>
          <cell r="B205" t="str">
            <v>éolien</v>
          </cell>
          <cell r="C205" t="str">
            <v>loi2000</v>
          </cell>
          <cell r="D205">
            <v>34</v>
          </cell>
          <cell r="E205">
            <v>348.7</v>
          </cell>
        </row>
        <row r="206">
          <cell r="A206" t="str">
            <v>056</v>
          </cell>
          <cell r="B206" t="str">
            <v>biogaz</v>
          </cell>
          <cell r="C206" t="str">
            <v>loi2000</v>
          </cell>
          <cell r="D206">
            <v>3</v>
          </cell>
          <cell r="E206">
            <v>1.7210000000000001</v>
          </cell>
        </row>
        <row r="207">
          <cell r="A207" t="str">
            <v>056</v>
          </cell>
          <cell r="B207" t="str">
            <v>hydraulique</v>
          </cell>
          <cell r="C207" t="str">
            <v>loi2000</v>
          </cell>
          <cell r="D207">
            <v>9</v>
          </cell>
          <cell r="E207">
            <v>3.0590000000000002</v>
          </cell>
        </row>
        <row r="208">
          <cell r="A208" t="str">
            <v>056</v>
          </cell>
          <cell r="B208" t="str">
            <v>solaire</v>
          </cell>
          <cell r="C208" t="str">
            <v>loi2000</v>
          </cell>
          <cell r="D208">
            <v>2927</v>
          </cell>
          <cell r="E208">
            <v>25.351965000000348</v>
          </cell>
        </row>
        <row r="209">
          <cell r="A209" t="str">
            <v>056</v>
          </cell>
          <cell r="B209" t="str">
            <v>éolien</v>
          </cell>
          <cell r="C209" t="str">
            <v>loi2000</v>
          </cell>
          <cell r="D209">
            <v>26</v>
          </cell>
          <cell r="E209">
            <v>214.29000000000002</v>
          </cell>
        </row>
        <row r="210">
          <cell r="A210" t="str">
            <v>057</v>
          </cell>
          <cell r="B210" t="str">
            <v>biogaz</v>
          </cell>
          <cell r="C210" t="str">
            <v>loi2000</v>
          </cell>
          <cell r="D210">
            <v>3</v>
          </cell>
          <cell r="E210">
            <v>3.6700000000000004</v>
          </cell>
        </row>
        <row r="211">
          <cell r="A211" t="str">
            <v>057</v>
          </cell>
          <cell r="B211" t="str">
            <v>hydraulique</v>
          </cell>
          <cell r="C211" t="str">
            <v>loi2000</v>
          </cell>
          <cell r="D211">
            <v>7</v>
          </cell>
          <cell r="E211">
            <v>12.741</v>
          </cell>
        </row>
        <row r="212">
          <cell r="A212" t="str">
            <v>057</v>
          </cell>
          <cell r="B212" t="str">
            <v>solaire</v>
          </cell>
          <cell r="C212" t="str">
            <v>loi2000</v>
          </cell>
          <cell r="D212">
            <v>4324</v>
          </cell>
          <cell r="E212">
            <v>33.29284100000033</v>
          </cell>
        </row>
        <row r="213">
          <cell r="A213" t="str">
            <v>057</v>
          </cell>
          <cell r="B213" t="str">
            <v>éolien</v>
          </cell>
          <cell r="C213" t="str">
            <v>loi2000</v>
          </cell>
          <cell r="D213">
            <v>17</v>
          </cell>
          <cell r="E213">
            <v>178.70000000000002</v>
          </cell>
        </row>
        <row r="214">
          <cell r="A214" t="str">
            <v>058</v>
          </cell>
          <cell r="B214" t="str">
            <v>déchets</v>
          </cell>
          <cell r="C214" t="str">
            <v>loi2000</v>
          </cell>
          <cell r="D214">
            <v>1</v>
          </cell>
          <cell r="E214">
            <v>2.68</v>
          </cell>
        </row>
        <row r="215">
          <cell r="A215" t="str">
            <v>058</v>
          </cell>
          <cell r="B215" t="str">
            <v>hydraulique</v>
          </cell>
          <cell r="C215" t="str">
            <v>loi2000</v>
          </cell>
          <cell r="D215">
            <v>1</v>
          </cell>
          <cell r="E215">
            <v>5.9</v>
          </cell>
        </row>
        <row r="216">
          <cell r="A216" t="str">
            <v>058</v>
          </cell>
          <cell r="B216" t="str">
            <v>solaire</v>
          </cell>
          <cell r="C216" t="str">
            <v>loi2000</v>
          </cell>
          <cell r="D216">
            <v>754</v>
          </cell>
          <cell r="E216">
            <v>4.8998200000000276</v>
          </cell>
        </row>
        <row r="217">
          <cell r="A217" t="str">
            <v>059</v>
          </cell>
          <cell r="B217" t="str">
            <v>biogaz</v>
          </cell>
          <cell r="C217" t="str">
            <v>loi2000</v>
          </cell>
          <cell r="D217">
            <v>6</v>
          </cell>
          <cell r="E217">
            <v>6.5440000000000005</v>
          </cell>
        </row>
        <row r="218">
          <cell r="A218" t="str">
            <v>059</v>
          </cell>
          <cell r="B218" t="str">
            <v>déchets</v>
          </cell>
          <cell r="C218" t="str">
            <v>loi2000</v>
          </cell>
          <cell r="D218">
            <v>2</v>
          </cell>
          <cell r="E218">
            <v>13.52</v>
          </cell>
        </row>
        <row r="219">
          <cell r="A219" t="str">
            <v>059</v>
          </cell>
          <cell r="B219" t="str">
            <v>solaire</v>
          </cell>
          <cell r="C219" t="str">
            <v>loi2000</v>
          </cell>
          <cell r="D219">
            <v>5158</v>
          </cell>
          <cell r="E219">
            <v>29.777753000000466</v>
          </cell>
        </row>
        <row r="220">
          <cell r="A220" t="str">
            <v>059</v>
          </cell>
          <cell r="B220" t="str">
            <v>éolien</v>
          </cell>
          <cell r="C220" t="str">
            <v>loi2000</v>
          </cell>
          <cell r="D220">
            <v>4</v>
          </cell>
          <cell r="E220">
            <v>22.75</v>
          </cell>
        </row>
        <row r="221">
          <cell r="A221" t="str">
            <v>060</v>
          </cell>
          <cell r="B221" t="str">
            <v>biogaz</v>
          </cell>
          <cell r="C221" t="str">
            <v>loi2000</v>
          </cell>
          <cell r="D221">
            <v>4</v>
          </cell>
          <cell r="E221">
            <v>7.5140000000000002</v>
          </cell>
        </row>
        <row r="222">
          <cell r="A222" t="str">
            <v>060</v>
          </cell>
          <cell r="B222" t="str">
            <v>déchets</v>
          </cell>
          <cell r="C222" t="str">
            <v>loi2000</v>
          </cell>
          <cell r="D222">
            <v>1</v>
          </cell>
          <cell r="E222">
            <v>14.3</v>
          </cell>
        </row>
        <row r="223">
          <cell r="A223" t="str">
            <v>060</v>
          </cell>
          <cell r="B223" t="str">
            <v>solaire</v>
          </cell>
          <cell r="C223" t="str">
            <v>loi2000</v>
          </cell>
          <cell r="D223">
            <v>1261</v>
          </cell>
          <cell r="E223">
            <v>6.5121820000000463</v>
          </cell>
        </row>
        <row r="224">
          <cell r="A224" t="str">
            <v>060</v>
          </cell>
          <cell r="B224" t="str">
            <v>éolien</v>
          </cell>
          <cell r="C224" t="str">
            <v>loi2000</v>
          </cell>
          <cell r="D224">
            <v>15</v>
          </cell>
          <cell r="E224">
            <v>159.4</v>
          </cell>
        </row>
        <row r="225">
          <cell r="A225" t="str">
            <v>061</v>
          </cell>
          <cell r="B225" t="str">
            <v>biogaz</v>
          </cell>
          <cell r="C225" t="str">
            <v>loi2000</v>
          </cell>
          <cell r="D225">
            <v>3</v>
          </cell>
          <cell r="E225">
            <v>1.375</v>
          </cell>
        </row>
        <row r="226">
          <cell r="A226" t="str">
            <v>061</v>
          </cell>
          <cell r="B226" t="str">
            <v>hydraulique</v>
          </cell>
          <cell r="C226" t="str">
            <v>loi2000</v>
          </cell>
          <cell r="D226">
            <v>2</v>
          </cell>
          <cell r="E226">
            <v>6.8999999999999995</v>
          </cell>
        </row>
        <row r="227">
          <cell r="A227" t="str">
            <v>061</v>
          </cell>
          <cell r="B227" t="str">
            <v>solaire</v>
          </cell>
          <cell r="C227" t="str">
            <v>loi2000</v>
          </cell>
          <cell r="D227">
            <v>992</v>
          </cell>
          <cell r="E227">
            <v>8.2094770000000086</v>
          </cell>
        </row>
        <row r="228">
          <cell r="A228" t="str">
            <v>061</v>
          </cell>
          <cell r="B228" t="str">
            <v>éolien</v>
          </cell>
          <cell r="C228" t="str">
            <v>loi2000</v>
          </cell>
          <cell r="D228">
            <v>1</v>
          </cell>
          <cell r="E228">
            <v>2.4</v>
          </cell>
        </row>
        <row r="229">
          <cell r="A229" t="str">
            <v>062</v>
          </cell>
          <cell r="B229" t="str">
            <v>biogaz</v>
          </cell>
          <cell r="C229" t="str">
            <v>loi2000</v>
          </cell>
          <cell r="D229">
            <v>7</v>
          </cell>
          <cell r="E229">
            <v>7.2119999999999997</v>
          </cell>
        </row>
        <row r="230">
          <cell r="A230" t="str">
            <v>062</v>
          </cell>
          <cell r="B230" t="str">
            <v>déchets</v>
          </cell>
          <cell r="C230" t="str">
            <v>loi2000</v>
          </cell>
          <cell r="D230">
            <v>1</v>
          </cell>
          <cell r="E230">
            <v>8.3249999999999993</v>
          </cell>
        </row>
        <row r="231">
          <cell r="A231" t="str">
            <v>062</v>
          </cell>
          <cell r="B231" t="str">
            <v>hydraulique</v>
          </cell>
          <cell r="C231" t="str">
            <v>loi2000</v>
          </cell>
          <cell r="D231">
            <v>3</v>
          </cell>
          <cell r="E231">
            <v>0.18800000000000003</v>
          </cell>
        </row>
        <row r="232">
          <cell r="A232" t="str">
            <v>062</v>
          </cell>
          <cell r="B232" t="str">
            <v>solaire</v>
          </cell>
          <cell r="C232" t="str">
            <v>loi2000</v>
          </cell>
          <cell r="D232">
            <v>4386</v>
          </cell>
          <cell r="E232">
            <v>20.233168000000237</v>
          </cell>
        </row>
        <row r="233">
          <cell r="A233" t="str">
            <v>062</v>
          </cell>
          <cell r="B233" t="str">
            <v>éolien</v>
          </cell>
          <cell r="C233" t="str">
            <v>loi2000</v>
          </cell>
          <cell r="D233">
            <v>47</v>
          </cell>
          <cell r="E233">
            <v>374.00519999999995</v>
          </cell>
        </row>
        <row r="234">
          <cell r="A234" t="str">
            <v>063</v>
          </cell>
          <cell r="B234" t="str">
            <v>biogaz</v>
          </cell>
          <cell r="C234" t="str">
            <v>loi2000</v>
          </cell>
          <cell r="D234">
            <v>1</v>
          </cell>
          <cell r="E234">
            <v>2.012</v>
          </cell>
        </row>
        <row r="235">
          <cell r="A235" t="str">
            <v>063</v>
          </cell>
          <cell r="B235" t="str">
            <v>hydraulique</v>
          </cell>
          <cell r="C235" t="str">
            <v>loi2000</v>
          </cell>
          <cell r="D235">
            <v>17</v>
          </cell>
          <cell r="E235">
            <v>17.053000000000001</v>
          </cell>
        </row>
        <row r="236">
          <cell r="A236" t="str">
            <v>063</v>
          </cell>
          <cell r="B236" t="str">
            <v>solaire</v>
          </cell>
          <cell r="C236" t="str">
            <v>loi2000</v>
          </cell>
          <cell r="D236">
            <v>3438</v>
          </cell>
          <cell r="E236">
            <v>26.045952000000216</v>
          </cell>
        </row>
        <row r="237">
          <cell r="A237" t="str">
            <v>063</v>
          </cell>
          <cell r="B237" t="str">
            <v>éolien</v>
          </cell>
          <cell r="C237" t="str">
            <v>loi2000</v>
          </cell>
          <cell r="D237">
            <v>6</v>
          </cell>
          <cell r="E237">
            <v>22.308</v>
          </cell>
        </row>
        <row r="238">
          <cell r="A238" t="str">
            <v>064</v>
          </cell>
          <cell r="B238" t="str">
            <v>déchets</v>
          </cell>
          <cell r="C238" t="str">
            <v>loi2000</v>
          </cell>
          <cell r="D238">
            <v>1</v>
          </cell>
          <cell r="E238">
            <v>5.85</v>
          </cell>
        </row>
        <row r="239">
          <cell r="A239" t="str">
            <v>064</v>
          </cell>
          <cell r="B239" t="str">
            <v>hydraulique</v>
          </cell>
          <cell r="C239" t="str">
            <v>loi2000</v>
          </cell>
          <cell r="D239">
            <v>34</v>
          </cell>
          <cell r="E239">
            <v>92.573000000000022</v>
          </cell>
        </row>
        <row r="240">
          <cell r="A240" t="str">
            <v>064</v>
          </cell>
          <cell r="B240" t="str">
            <v>solaire</v>
          </cell>
          <cell r="C240" t="str">
            <v>loi2000</v>
          </cell>
          <cell r="D240">
            <v>3778</v>
          </cell>
          <cell r="E240">
            <v>41.999117000000325</v>
          </cell>
        </row>
        <row r="241">
          <cell r="A241" t="str">
            <v>065</v>
          </cell>
          <cell r="B241" t="str">
            <v>biogaz</v>
          </cell>
          <cell r="C241" t="str">
            <v>loi2000</v>
          </cell>
          <cell r="D241">
            <v>1</v>
          </cell>
          <cell r="E241">
            <v>1.67</v>
          </cell>
        </row>
        <row r="242">
          <cell r="A242" t="str">
            <v>065</v>
          </cell>
          <cell r="B242" t="str">
            <v>hydraulique</v>
          </cell>
          <cell r="C242" t="str">
            <v>loi2000</v>
          </cell>
          <cell r="D242">
            <v>30</v>
          </cell>
          <cell r="E242">
            <v>79.632999999999996</v>
          </cell>
        </row>
        <row r="243">
          <cell r="A243" t="str">
            <v>065</v>
          </cell>
          <cell r="B243" t="str">
            <v>solaire</v>
          </cell>
          <cell r="C243" t="str">
            <v>loi2000</v>
          </cell>
          <cell r="D243">
            <v>800</v>
          </cell>
          <cell r="E243">
            <v>11.188797000000005</v>
          </cell>
        </row>
        <row r="244">
          <cell r="A244" t="str">
            <v>066</v>
          </cell>
          <cell r="B244" t="str">
            <v>biogaz</v>
          </cell>
          <cell r="C244" t="str">
            <v>loi2000</v>
          </cell>
          <cell r="D244">
            <v>1</v>
          </cell>
          <cell r="E244">
            <v>0.83499999999999996</v>
          </cell>
        </row>
        <row r="245">
          <cell r="A245" t="str">
            <v>066</v>
          </cell>
          <cell r="B245" t="str">
            <v>déchets</v>
          </cell>
          <cell r="C245" t="str">
            <v>loi2000</v>
          </cell>
          <cell r="D245">
            <v>1</v>
          </cell>
          <cell r="E245">
            <v>21.65</v>
          </cell>
        </row>
        <row r="246">
          <cell r="A246" t="str">
            <v>066</v>
          </cell>
          <cell r="B246" t="str">
            <v>hydraulique</v>
          </cell>
          <cell r="C246" t="str">
            <v>loi2000</v>
          </cell>
          <cell r="D246">
            <v>15</v>
          </cell>
          <cell r="E246">
            <v>73.117999999999995</v>
          </cell>
        </row>
        <row r="247">
          <cell r="A247" t="str">
            <v>066</v>
          </cell>
          <cell r="B247" t="str">
            <v>solaire</v>
          </cell>
          <cell r="C247" t="str">
            <v>loi2000</v>
          </cell>
          <cell r="D247">
            <v>2775</v>
          </cell>
          <cell r="E247">
            <v>50.466265000000135</v>
          </cell>
        </row>
        <row r="248">
          <cell r="A248" t="str">
            <v>066</v>
          </cell>
          <cell r="B248" t="str">
            <v>éolien</v>
          </cell>
          <cell r="C248" t="str">
            <v>loi2000</v>
          </cell>
          <cell r="D248">
            <v>4</v>
          </cell>
          <cell r="E248">
            <v>21.25</v>
          </cell>
        </row>
        <row r="249">
          <cell r="A249" t="str">
            <v>067</v>
          </cell>
          <cell r="B249" t="str">
            <v>déchets</v>
          </cell>
          <cell r="C249" t="str">
            <v>loi2000</v>
          </cell>
          <cell r="D249">
            <v>2</v>
          </cell>
          <cell r="E249">
            <v>19.399999999999999</v>
          </cell>
        </row>
        <row r="250">
          <cell r="A250" t="str">
            <v>067</v>
          </cell>
          <cell r="B250" t="str">
            <v>géothermie</v>
          </cell>
          <cell r="C250" t="str">
            <v>loi2000</v>
          </cell>
          <cell r="D250">
            <v>1</v>
          </cell>
          <cell r="E250">
            <v>1.8</v>
          </cell>
        </row>
        <row r="251">
          <cell r="A251" t="str">
            <v>067</v>
          </cell>
          <cell r="B251" t="str">
            <v>hydraulique</v>
          </cell>
          <cell r="C251" t="str">
            <v>loi2000</v>
          </cell>
          <cell r="D251">
            <v>22</v>
          </cell>
          <cell r="E251">
            <v>5.4564000000000004</v>
          </cell>
        </row>
        <row r="252">
          <cell r="A252" t="str">
            <v>067</v>
          </cell>
          <cell r="B252" t="str">
            <v>solaire</v>
          </cell>
          <cell r="C252" t="str">
            <v>loi2000</v>
          </cell>
          <cell r="D252">
            <v>2292</v>
          </cell>
          <cell r="E252">
            <v>55.450758999999884</v>
          </cell>
        </row>
        <row r="253">
          <cell r="A253" t="str">
            <v>068</v>
          </cell>
          <cell r="B253" t="str">
            <v>biogaz</v>
          </cell>
          <cell r="C253" t="str">
            <v>loi2000</v>
          </cell>
          <cell r="D253">
            <v>2</v>
          </cell>
          <cell r="E253">
            <v>2.79</v>
          </cell>
        </row>
        <row r="254">
          <cell r="A254" t="str">
            <v>068</v>
          </cell>
          <cell r="B254" t="str">
            <v>déchets</v>
          </cell>
          <cell r="C254" t="str">
            <v>loi2000</v>
          </cell>
          <cell r="D254">
            <v>1</v>
          </cell>
          <cell r="E254">
            <v>11.7</v>
          </cell>
        </row>
        <row r="255">
          <cell r="A255" t="str">
            <v>068</v>
          </cell>
          <cell r="B255" t="str">
            <v>hydraulique</v>
          </cell>
          <cell r="C255" t="str">
            <v>loi2000</v>
          </cell>
          <cell r="D255">
            <v>11</v>
          </cell>
          <cell r="E255">
            <v>5.0300000000000011</v>
          </cell>
        </row>
        <row r="256">
          <cell r="A256" t="str">
            <v>068</v>
          </cell>
          <cell r="B256" t="str">
            <v>solaire</v>
          </cell>
          <cell r="C256" t="str">
            <v>loi2000</v>
          </cell>
          <cell r="D256">
            <v>2663</v>
          </cell>
          <cell r="E256">
            <v>30.692495000000186</v>
          </cell>
        </row>
        <row r="257">
          <cell r="A257" t="str">
            <v>069</v>
          </cell>
          <cell r="B257" t="str">
            <v>déchets</v>
          </cell>
          <cell r="C257" t="str">
            <v>loi2000</v>
          </cell>
          <cell r="D257">
            <v>1</v>
          </cell>
          <cell r="E257">
            <v>7.8230000000000004</v>
          </cell>
        </row>
        <row r="258">
          <cell r="A258" t="str">
            <v>069</v>
          </cell>
          <cell r="B258" t="str">
            <v>solaire</v>
          </cell>
          <cell r="C258" t="str">
            <v>loi2000</v>
          </cell>
          <cell r="D258">
            <v>5423</v>
          </cell>
          <cell r="E258">
            <v>25.609301000000492</v>
          </cell>
        </row>
        <row r="259">
          <cell r="A259" t="str">
            <v>070</v>
          </cell>
          <cell r="B259" t="str">
            <v>biogaz</v>
          </cell>
          <cell r="C259" t="str">
            <v>loi2000</v>
          </cell>
          <cell r="D259">
            <v>2</v>
          </cell>
          <cell r="E259">
            <v>0.29799999999999999</v>
          </cell>
        </row>
        <row r="260">
          <cell r="A260" t="str">
            <v>070</v>
          </cell>
          <cell r="B260" t="str">
            <v>déchets</v>
          </cell>
          <cell r="C260" t="str">
            <v>loi2000</v>
          </cell>
          <cell r="D260">
            <v>1</v>
          </cell>
          <cell r="E260">
            <v>2.75</v>
          </cell>
        </row>
        <row r="261">
          <cell r="A261" t="str">
            <v>070</v>
          </cell>
          <cell r="B261" t="str">
            <v>hydraulique</v>
          </cell>
          <cell r="C261" t="str">
            <v>loi2000</v>
          </cell>
          <cell r="D261">
            <v>16</v>
          </cell>
          <cell r="E261">
            <v>4.1050000000000004</v>
          </cell>
        </row>
        <row r="262">
          <cell r="A262" t="str">
            <v>070</v>
          </cell>
          <cell r="B262" t="str">
            <v>solaire</v>
          </cell>
          <cell r="C262" t="str">
            <v>loi2000</v>
          </cell>
          <cell r="D262">
            <v>1175</v>
          </cell>
          <cell r="E262">
            <v>5.7170930000000659</v>
          </cell>
        </row>
        <row r="263">
          <cell r="A263" t="str">
            <v>071</v>
          </cell>
          <cell r="B263" t="str">
            <v>biogaz</v>
          </cell>
          <cell r="C263" t="str">
            <v>loi2000</v>
          </cell>
          <cell r="D263">
            <v>2</v>
          </cell>
          <cell r="E263">
            <v>2.2279999999999998</v>
          </cell>
        </row>
        <row r="264">
          <cell r="A264" t="str">
            <v>071</v>
          </cell>
          <cell r="B264" t="str">
            <v>hydraulique</v>
          </cell>
          <cell r="C264" t="str">
            <v>loi2000</v>
          </cell>
          <cell r="D264">
            <v>5</v>
          </cell>
          <cell r="E264">
            <v>2.327</v>
          </cell>
        </row>
        <row r="265">
          <cell r="A265" t="str">
            <v>071</v>
          </cell>
          <cell r="B265" t="str">
            <v>solaire</v>
          </cell>
          <cell r="C265" t="str">
            <v>loi2000</v>
          </cell>
          <cell r="D265">
            <v>2402</v>
          </cell>
          <cell r="E265">
            <v>13.903695000000143</v>
          </cell>
        </row>
        <row r="266">
          <cell r="A266" t="str">
            <v>072</v>
          </cell>
          <cell r="B266" t="str">
            <v>biogaz</v>
          </cell>
          <cell r="C266" t="str">
            <v>loi2000</v>
          </cell>
          <cell r="D266">
            <v>2</v>
          </cell>
          <cell r="E266">
            <v>0.65500000000000003</v>
          </cell>
        </row>
        <row r="267">
          <cell r="A267" t="str">
            <v>072</v>
          </cell>
          <cell r="B267" t="str">
            <v>déchets</v>
          </cell>
          <cell r="C267" t="str">
            <v>loi2000</v>
          </cell>
          <cell r="D267">
            <v>1</v>
          </cell>
          <cell r="E267">
            <v>14.375</v>
          </cell>
        </row>
        <row r="268">
          <cell r="A268" t="str">
            <v>072</v>
          </cell>
          <cell r="B268" t="str">
            <v>hydraulique</v>
          </cell>
          <cell r="C268" t="str">
            <v>loi2000</v>
          </cell>
          <cell r="D268">
            <v>4</v>
          </cell>
          <cell r="E268">
            <v>0.5625</v>
          </cell>
        </row>
        <row r="269">
          <cell r="A269" t="str">
            <v>072</v>
          </cell>
          <cell r="B269" t="str">
            <v>solaire</v>
          </cell>
          <cell r="C269" t="str">
            <v>loi2000</v>
          </cell>
          <cell r="D269">
            <v>3734</v>
          </cell>
          <cell r="E269">
            <v>26.60706500000046</v>
          </cell>
        </row>
        <row r="270">
          <cell r="A270" t="str">
            <v>073</v>
          </cell>
          <cell r="B270" t="str">
            <v>biogaz</v>
          </cell>
          <cell r="C270" t="str">
            <v>loi2000</v>
          </cell>
          <cell r="D270">
            <v>2</v>
          </cell>
          <cell r="E270">
            <v>0.14899999999999999</v>
          </cell>
        </row>
        <row r="271">
          <cell r="A271" t="str">
            <v>073</v>
          </cell>
          <cell r="B271" t="str">
            <v>déchets</v>
          </cell>
          <cell r="C271" t="str">
            <v>loi2000</v>
          </cell>
          <cell r="D271">
            <v>1</v>
          </cell>
          <cell r="E271">
            <v>9.6199999999999992</v>
          </cell>
        </row>
        <row r="272">
          <cell r="A272" t="str">
            <v>073</v>
          </cell>
          <cell r="B272" t="str">
            <v>hydraulique</v>
          </cell>
          <cell r="C272" t="str">
            <v>loi2000</v>
          </cell>
          <cell r="D272">
            <v>33</v>
          </cell>
          <cell r="E272">
            <v>151.27100000000002</v>
          </cell>
        </row>
        <row r="273">
          <cell r="A273" t="str">
            <v>073</v>
          </cell>
          <cell r="B273" t="str">
            <v>solaire</v>
          </cell>
          <cell r="C273" t="str">
            <v>loi2000</v>
          </cell>
          <cell r="D273">
            <v>2765</v>
          </cell>
          <cell r="E273">
            <v>11.111651000000183</v>
          </cell>
        </row>
        <row r="274">
          <cell r="A274" t="str">
            <v>074</v>
          </cell>
          <cell r="B274" t="str">
            <v>biogaz</v>
          </cell>
          <cell r="C274" t="str">
            <v>loi2000</v>
          </cell>
          <cell r="D274">
            <v>2</v>
          </cell>
          <cell r="E274">
            <v>0.35399999999999998</v>
          </cell>
        </row>
        <row r="275">
          <cell r="A275" t="str">
            <v>074</v>
          </cell>
          <cell r="B275" t="str">
            <v>hydraulique</v>
          </cell>
          <cell r="C275" t="str">
            <v>loi2000</v>
          </cell>
          <cell r="D275">
            <v>10</v>
          </cell>
          <cell r="E275">
            <v>32.131999999999998</v>
          </cell>
        </row>
        <row r="276">
          <cell r="A276" t="str">
            <v>074</v>
          </cell>
          <cell r="B276" t="str">
            <v>solaire</v>
          </cell>
          <cell r="C276" t="str">
            <v>loi2000</v>
          </cell>
          <cell r="D276">
            <v>3844</v>
          </cell>
          <cell r="E276">
            <v>13.427970000000206</v>
          </cell>
        </row>
        <row r="277">
          <cell r="A277" t="str">
            <v>075</v>
          </cell>
          <cell r="B277" t="str">
            <v>solaire</v>
          </cell>
          <cell r="C277" t="str">
            <v>loi2000</v>
          </cell>
          <cell r="D277">
            <v>25</v>
          </cell>
          <cell r="E277">
            <v>0.43052800000000008</v>
          </cell>
        </row>
        <row r="278">
          <cell r="A278" t="str">
            <v>076</v>
          </cell>
          <cell r="B278" t="str">
            <v>biogaz</v>
          </cell>
          <cell r="C278" t="str">
            <v>loi2000</v>
          </cell>
          <cell r="D278">
            <v>5</v>
          </cell>
          <cell r="E278">
            <v>3.9810000000000003</v>
          </cell>
        </row>
        <row r="279">
          <cell r="A279" t="str">
            <v>076</v>
          </cell>
          <cell r="B279" t="str">
            <v>déchets</v>
          </cell>
          <cell r="C279" t="str">
            <v>loi2000</v>
          </cell>
          <cell r="D279">
            <v>1</v>
          </cell>
          <cell r="E279">
            <v>18.484000000000002</v>
          </cell>
        </row>
        <row r="280">
          <cell r="A280" t="str">
            <v>076</v>
          </cell>
          <cell r="B280" t="str">
            <v>solaire</v>
          </cell>
          <cell r="C280" t="str">
            <v>loi2000</v>
          </cell>
          <cell r="D280">
            <v>1993</v>
          </cell>
          <cell r="E280">
            <v>23.562163000000108</v>
          </cell>
        </row>
        <row r="281">
          <cell r="A281" t="str">
            <v>076</v>
          </cell>
          <cell r="B281" t="str">
            <v>éolien</v>
          </cell>
          <cell r="C281" t="str">
            <v>loi2000</v>
          </cell>
          <cell r="D281">
            <v>20</v>
          </cell>
          <cell r="E281">
            <v>193.61999999999998</v>
          </cell>
        </row>
        <row r="282">
          <cell r="A282" t="str">
            <v>077</v>
          </cell>
          <cell r="B282" t="str">
            <v>biogaz</v>
          </cell>
          <cell r="C282" t="str">
            <v>loi2000</v>
          </cell>
          <cell r="D282">
            <v>3</v>
          </cell>
          <cell r="E282">
            <v>4.9870000000000001</v>
          </cell>
        </row>
        <row r="283">
          <cell r="A283" t="str">
            <v>077</v>
          </cell>
          <cell r="B283" t="str">
            <v>déchets</v>
          </cell>
          <cell r="C283" t="str">
            <v>loi2000</v>
          </cell>
          <cell r="D283">
            <v>3</v>
          </cell>
          <cell r="E283">
            <v>32.122</v>
          </cell>
        </row>
        <row r="284">
          <cell r="A284" t="str">
            <v>077</v>
          </cell>
          <cell r="B284" t="str">
            <v>solaire</v>
          </cell>
          <cell r="C284" t="str">
            <v>loi2000</v>
          </cell>
          <cell r="D284">
            <v>2904</v>
          </cell>
          <cell r="E284">
            <v>19.657616000000214</v>
          </cell>
        </row>
        <row r="285">
          <cell r="A285" t="str">
            <v>077</v>
          </cell>
          <cell r="B285" t="str">
            <v>éolien</v>
          </cell>
          <cell r="C285" t="str">
            <v>loi2000</v>
          </cell>
          <cell r="D285">
            <v>1</v>
          </cell>
          <cell r="E285">
            <v>0.13200000000000001</v>
          </cell>
        </row>
        <row r="286">
          <cell r="A286" t="str">
            <v>078</v>
          </cell>
          <cell r="B286" t="str">
            <v>solaire</v>
          </cell>
          <cell r="C286" t="str">
            <v>loi2000</v>
          </cell>
          <cell r="D286">
            <v>1521</v>
          </cell>
          <cell r="E286">
            <v>15.259087000000042</v>
          </cell>
        </row>
        <row r="287">
          <cell r="A287" t="str">
            <v>079</v>
          </cell>
          <cell r="B287" t="str">
            <v>biogaz</v>
          </cell>
          <cell r="C287" t="str">
            <v>loi2000</v>
          </cell>
          <cell r="D287">
            <v>1</v>
          </cell>
          <cell r="E287">
            <v>0.32</v>
          </cell>
        </row>
        <row r="288">
          <cell r="A288" t="str">
            <v>079</v>
          </cell>
          <cell r="B288" t="str">
            <v>solaire</v>
          </cell>
          <cell r="C288" t="str">
            <v>loi2000</v>
          </cell>
          <cell r="D288">
            <v>1164</v>
          </cell>
          <cell r="E288">
            <v>14.658619000000035</v>
          </cell>
        </row>
        <row r="289">
          <cell r="A289" t="str">
            <v>079</v>
          </cell>
          <cell r="B289" t="str">
            <v>éolien</v>
          </cell>
          <cell r="C289" t="str">
            <v>loi2000</v>
          </cell>
          <cell r="D289">
            <v>13</v>
          </cell>
          <cell r="E289">
            <v>124.33500000000001</v>
          </cell>
        </row>
        <row r="290">
          <cell r="A290" t="str">
            <v>080</v>
          </cell>
          <cell r="B290" t="str">
            <v>biogaz</v>
          </cell>
          <cell r="C290" t="str">
            <v>loi2000</v>
          </cell>
          <cell r="D290">
            <v>3</v>
          </cell>
          <cell r="E290">
            <v>4.6869999999999994</v>
          </cell>
        </row>
        <row r="291">
          <cell r="A291" t="str">
            <v>080</v>
          </cell>
          <cell r="B291" t="str">
            <v>solaire</v>
          </cell>
          <cell r="C291" t="str">
            <v>loi2000</v>
          </cell>
          <cell r="D291">
            <v>1338</v>
          </cell>
          <cell r="E291">
            <v>9.9868390000000495</v>
          </cell>
        </row>
        <row r="292">
          <cell r="A292" t="str">
            <v>080</v>
          </cell>
          <cell r="B292" t="str">
            <v>éolien</v>
          </cell>
          <cell r="C292" t="str">
            <v>loi2000</v>
          </cell>
          <cell r="D292">
            <v>49</v>
          </cell>
          <cell r="E292">
            <v>493.32</v>
          </cell>
        </row>
        <row r="293">
          <cell r="A293" t="str">
            <v>081</v>
          </cell>
          <cell r="B293" t="str">
            <v>biogaz</v>
          </cell>
          <cell r="C293" t="str">
            <v>loi2000</v>
          </cell>
          <cell r="D293">
            <v>3</v>
          </cell>
          <cell r="E293">
            <v>2.5420000000000003</v>
          </cell>
        </row>
        <row r="294">
          <cell r="A294" t="str">
            <v>081</v>
          </cell>
          <cell r="B294" t="str">
            <v>hydraulique</v>
          </cell>
          <cell r="C294" t="str">
            <v>loi2000</v>
          </cell>
          <cell r="D294">
            <v>40</v>
          </cell>
          <cell r="E294">
            <v>30.405000000000008</v>
          </cell>
        </row>
        <row r="295">
          <cell r="A295" t="str">
            <v>081</v>
          </cell>
          <cell r="B295" t="str">
            <v>solaire</v>
          </cell>
          <cell r="C295" t="str">
            <v>loi2000</v>
          </cell>
          <cell r="D295">
            <v>2264</v>
          </cell>
          <cell r="E295">
            <v>40.970201000000188</v>
          </cell>
        </row>
        <row r="296">
          <cell r="A296" t="str">
            <v>081</v>
          </cell>
          <cell r="B296" t="str">
            <v>éolien</v>
          </cell>
          <cell r="C296" t="str">
            <v>loi2000</v>
          </cell>
          <cell r="D296">
            <v>12</v>
          </cell>
          <cell r="E296">
            <v>119.67999999999999</v>
          </cell>
        </row>
        <row r="297">
          <cell r="A297" t="str">
            <v>082</v>
          </cell>
          <cell r="B297" t="str">
            <v>biogaz</v>
          </cell>
          <cell r="C297" t="str">
            <v>loi2000</v>
          </cell>
          <cell r="D297">
            <v>1</v>
          </cell>
          <cell r="E297">
            <v>7.6</v>
          </cell>
        </row>
        <row r="298">
          <cell r="A298" t="str">
            <v>082</v>
          </cell>
          <cell r="B298" t="str">
            <v>hydraulique</v>
          </cell>
          <cell r="C298" t="str">
            <v>loi2000</v>
          </cell>
          <cell r="D298">
            <v>6</v>
          </cell>
          <cell r="E298">
            <v>3.948</v>
          </cell>
        </row>
        <row r="299">
          <cell r="A299" t="str">
            <v>082</v>
          </cell>
          <cell r="B299" t="str">
            <v>solaire</v>
          </cell>
          <cell r="C299" t="str">
            <v>loi2000</v>
          </cell>
          <cell r="D299">
            <v>1156</v>
          </cell>
          <cell r="E299">
            <v>20.88208900000005</v>
          </cell>
        </row>
        <row r="300">
          <cell r="A300" t="str">
            <v>083</v>
          </cell>
          <cell r="B300" t="str">
            <v>hydraulique</v>
          </cell>
          <cell r="C300" t="str">
            <v>loi2000</v>
          </cell>
          <cell r="D300">
            <v>3</v>
          </cell>
          <cell r="E300">
            <v>2.79</v>
          </cell>
        </row>
        <row r="301">
          <cell r="A301" t="str">
            <v>083</v>
          </cell>
          <cell r="B301" t="str">
            <v>solaire</v>
          </cell>
          <cell r="C301" t="str">
            <v>loi2000</v>
          </cell>
          <cell r="D301">
            <v>7270</v>
          </cell>
          <cell r="E301">
            <v>96.091846000000714</v>
          </cell>
        </row>
        <row r="302">
          <cell r="A302" t="str">
            <v>084</v>
          </cell>
          <cell r="B302" t="str">
            <v>biogaz</v>
          </cell>
          <cell r="C302" t="str">
            <v>loi2000</v>
          </cell>
          <cell r="D302">
            <v>2</v>
          </cell>
          <cell r="E302">
            <v>2.605</v>
          </cell>
        </row>
        <row r="303">
          <cell r="A303" t="str">
            <v>084</v>
          </cell>
          <cell r="B303" t="str">
            <v>déchets</v>
          </cell>
          <cell r="C303" t="str">
            <v>loi2000</v>
          </cell>
          <cell r="D303">
            <v>1</v>
          </cell>
          <cell r="E303">
            <v>4.6399999999999997</v>
          </cell>
        </row>
        <row r="304">
          <cell r="A304" t="str">
            <v>084</v>
          </cell>
          <cell r="B304" t="str">
            <v>hydraulique</v>
          </cell>
          <cell r="C304" t="str">
            <v>loi2000</v>
          </cell>
          <cell r="D304">
            <v>3</v>
          </cell>
          <cell r="E304">
            <v>0.27500000000000002</v>
          </cell>
        </row>
        <row r="305">
          <cell r="A305" t="str">
            <v>084</v>
          </cell>
          <cell r="B305" t="str">
            <v>solaire</v>
          </cell>
          <cell r="C305" t="str">
            <v>loi2000</v>
          </cell>
          <cell r="D305">
            <v>3648</v>
          </cell>
          <cell r="E305">
            <v>45.940490000000281</v>
          </cell>
        </row>
        <row r="306">
          <cell r="A306" t="str">
            <v>084</v>
          </cell>
          <cell r="B306" t="str">
            <v>éolien</v>
          </cell>
          <cell r="C306" t="str">
            <v>loi2000</v>
          </cell>
          <cell r="D306">
            <v>1</v>
          </cell>
          <cell r="E306">
            <v>6.9</v>
          </cell>
        </row>
        <row r="307">
          <cell r="A307" t="str">
            <v>085</v>
          </cell>
          <cell r="B307" t="str">
            <v>biogaz</v>
          </cell>
          <cell r="C307" t="str">
            <v>loi2000</v>
          </cell>
          <cell r="D307">
            <v>4</v>
          </cell>
          <cell r="E307">
            <v>3.5770000000000004</v>
          </cell>
        </row>
        <row r="308">
          <cell r="A308" t="str">
            <v>085</v>
          </cell>
          <cell r="B308" t="str">
            <v>hydraulique</v>
          </cell>
          <cell r="C308" t="str">
            <v>loi2000</v>
          </cell>
          <cell r="D308">
            <v>4</v>
          </cell>
          <cell r="E308">
            <v>4.3719999999999999</v>
          </cell>
        </row>
        <row r="309">
          <cell r="A309" t="str">
            <v>085</v>
          </cell>
          <cell r="B309" t="str">
            <v>solaire</v>
          </cell>
          <cell r="C309" t="str">
            <v>loi2000</v>
          </cell>
          <cell r="D309">
            <v>8541</v>
          </cell>
          <cell r="E309">
            <v>66.788505999999686</v>
          </cell>
        </row>
        <row r="310">
          <cell r="A310" t="str">
            <v>085</v>
          </cell>
          <cell r="B310" t="str">
            <v>éolien</v>
          </cell>
          <cell r="C310" t="str">
            <v>loi2000</v>
          </cell>
          <cell r="D310">
            <v>19</v>
          </cell>
          <cell r="E310">
            <v>163.56</v>
          </cell>
        </row>
        <row r="311">
          <cell r="A311" t="str">
            <v>086</v>
          </cell>
          <cell r="B311" t="str">
            <v>biogaz</v>
          </cell>
          <cell r="C311" t="str">
            <v>loi2000</v>
          </cell>
          <cell r="D311">
            <v>4</v>
          </cell>
          <cell r="E311">
            <v>5.2749999999999995</v>
          </cell>
        </row>
        <row r="312">
          <cell r="A312" t="str">
            <v>086</v>
          </cell>
          <cell r="B312" t="str">
            <v>hydraulique</v>
          </cell>
          <cell r="C312" t="str">
            <v>loi2000</v>
          </cell>
          <cell r="D312">
            <v>7</v>
          </cell>
          <cell r="E312">
            <v>22.814999999999998</v>
          </cell>
        </row>
        <row r="313">
          <cell r="A313" t="str">
            <v>086</v>
          </cell>
          <cell r="B313" t="str">
            <v>solaire</v>
          </cell>
          <cell r="C313" t="str">
            <v>loi2000</v>
          </cell>
          <cell r="D313">
            <v>2160</v>
          </cell>
          <cell r="E313">
            <v>38.051383000000222</v>
          </cell>
        </row>
        <row r="314">
          <cell r="A314" t="str">
            <v>086</v>
          </cell>
          <cell r="B314" t="str">
            <v>éolien</v>
          </cell>
          <cell r="C314" t="str">
            <v>loi2000</v>
          </cell>
          <cell r="D314">
            <v>4</v>
          </cell>
          <cell r="E314">
            <v>31.009999999999998</v>
          </cell>
        </row>
        <row r="315">
          <cell r="A315" t="str">
            <v>087</v>
          </cell>
          <cell r="B315" t="str">
            <v>hydraulique</v>
          </cell>
          <cell r="C315" t="str">
            <v>loi2000</v>
          </cell>
          <cell r="D315">
            <v>26</v>
          </cell>
          <cell r="E315">
            <v>38.261200000000002</v>
          </cell>
        </row>
        <row r="316">
          <cell r="A316" t="str">
            <v>087</v>
          </cell>
          <cell r="B316" t="str">
            <v>solaire</v>
          </cell>
          <cell r="C316" t="str">
            <v>loi2000</v>
          </cell>
          <cell r="D316">
            <v>1286</v>
          </cell>
          <cell r="E316">
            <v>9.6525240000000228</v>
          </cell>
        </row>
        <row r="317">
          <cell r="A317" t="str">
            <v>088</v>
          </cell>
          <cell r="B317" t="str">
            <v>déchets</v>
          </cell>
          <cell r="C317" t="str">
            <v>loi2000</v>
          </cell>
          <cell r="D317">
            <v>1</v>
          </cell>
          <cell r="E317">
            <v>6.1760000000000002</v>
          </cell>
        </row>
        <row r="318">
          <cell r="A318" t="str">
            <v>088</v>
          </cell>
          <cell r="B318" t="str">
            <v>hydraulique</v>
          </cell>
          <cell r="C318" t="str">
            <v>loi2000</v>
          </cell>
          <cell r="D318">
            <v>48</v>
          </cell>
          <cell r="E318">
            <v>15.728900000000001</v>
          </cell>
        </row>
        <row r="319">
          <cell r="A319" t="str">
            <v>088</v>
          </cell>
          <cell r="B319" t="str">
            <v>solaire</v>
          </cell>
          <cell r="C319" t="str">
            <v>loi2000</v>
          </cell>
          <cell r="D319">
            <v>2116</v>
          </cell>
          <cell r="E319">
            <v>13.20961000000009</v>
          </cell>
        </row>
        <row r="320">
          <cell r="A320" t="str">
            <v>088</v>
          </cell>
          <cell r="B320" t="str">
            <v>éolien</v>
          </cell>
          <cell r="C320" t="str">
            <v>loi2000</v>
          </cell>
          <cell r="D320">
            <v>1</v>
          </cell>
          <cell r="E320">
            <v>10</v>
          </cell>
        </row>
        <row r="321">
          <cell r="A321" t="str">
            <v>089</v>
          </cell>
          <cell r="B321" t="str">
            <v>biogaz</v>
          </cell>
          <cell r="C321" t="str">
            <v>loi2000</v>
          </cell>
          <cell r="D321">
            <v>1</v>
          </cell>
          <cell r="E321">
            <v>0.36</v>
          </cell>
        </row>
        <row r="322">
          <cell r="A322" t="str">
            <v>089</v>
          </cell>
          <cell r="B322" t="str">
            <v>hydraulique</v>
          </cell>
          <cell r="C322" t="str">
            <v>loi2000</v>
          </cell>
          <cell r="D322">
            <v>6</v>
          </cell>
          <cell r="E322">
            <v>0.95500000000000018</v>
          </cell>
        </row>
        <row r="323">
          <cell r="A323" t="str">
            <v>089</v>
          </cell>
          <cell r="B323" t="str">
            <v>solaire</v>
          </cell>
          <cell r="C323" t="str">
            <v>loi2000</v>
          </cell>
          <cell r="D323">
            <v>973</v>
          </cell>
          <cell r="E323">
            <v>6.5154520000000451</v>
          </cell>
        </row>
        <row r="324">
          <cell r="A324" t="str">
            <v>089</v>
          </cell>
          <cell r="B324" t="str">
            <v>éolien</v>
          </cell>
          <cell r="C324" t="str">
            <v>loi2000</v>
          </cell>
          <cell r="D324">
            <v>1</v>
          </cell>
          <cell r="E324">
            <v>8</v>
          </cell>
        </row>
        <row r="325">
          <cell r="A325" t="str">
            <v>090</v>
          </cell>
          <cell r="B325" t="str">
            <v>biogaz</v>
          </cell>
          <cell r="C325" t="str">
            <v>loi2000</v>
          </cell>
          <cell r="D325">
            <v>1</v>
          </cell>
          <cell r="E325">
            <v>0.2</v>
          </cell>
        </row>
        <row r="326">
          <cell r="A326" t="str">
            <v>090</v>
          </cell>
          <cell r="B326" t="str">
            <v>déchets</v>
          </cell>
          <cell r="C326" t="str">
            <v>loi2000</v>
          </cell>
          <cell r="D326">
            <v>1</v>
          </cell>
          <cell r="E326">
            <v>8.8620000000000001</v>
          </cell>
        </row>
        <row r="327">
          <cell r="A327" t="str">
            <v>090</v>
          </cell>
          <cell r="B327" t="str">
            <v>solaire</v>
          </cell>
          <cell r="C327" t="str">
            <v>loi2000</v>
          </cell>
          <cell r="D327">
            <v>559</v>
          </cell>
          <cell r="E327">
            <v>2.3369029999999915</v>
          </cell>
        </row>
        <row r="328">
          <cell r="A328" t="str">
            <v>091</v>
          </cell>
          <cell r="B328" t="str">
            <v>biogaz</v>
          </cell>
          <cell r="C328" t="str">
            <v>loi2000</v>
          </cell>
          <cell r="D328">
            <v>4</v>
          </cell>
          <cell r="E328">
            <v>7.7010000000000005</v>
          </cell>
        </row>
        <row r="329">
          <cell r="A329" t="str">
            <v>091</v>
          </cell>
          <cell r="B329" t="str">
            <v>solaire</v>
          </cell>
          <cell r="C329" t="str">
            <v>loi2000</v>
          </cell>
          <cell r="D329">
            <v>2051</v>
          </cell>
          <cell r="E329">
            <v>6.1511330000001418</v>
          </cell>
        </row>
        <row r="330">
          <cell r="A330" t="str">
            <v>091</v>
          </cell>
          <cell r="B330" t="str">
            <v>éolien</v>
          </cell>
          <cell r="C330" t="str">
            <v>loi2000</v>
          </cell>
          <cell r="D330">
            <v>1</v>
          </cell>
          <cell r="E330">
            <v>9.1999999999999993</v>
          </cell>
        </row>
        <row r="331">
          <cell r="A331" t="str">
            <v>092</v>
          </cell>
          <cell r="B331" t="str">
            <v>déchets</v>
          </cell>
          <cell r="C331" t="str">
            <v>loi2000</v>
          </cell>
          <cell r="D331">
            <v>1</v>
          </cell>
          <cell r="E331">
            <v>55</v>
          </cell>
        </row>
        <row r="332">
          <cell r="A332" t="str">
            <v>092</v>
          </cell>
          <cell r="B332" t="str">
            <v>solaire</v>
          </cell>
          <cell r="C332" t="str">
            <v>loi2000</v>
          </cell>
          <cell r="D332">
            <v>396</v>
          </cell>
          <cell r="E332">
            <v>1.8766469999999955</v>
          </cell>
        </row>
        <row r="333">
          <cell r="A333" t="str">
            <v>093</v>
          </cell>
          <cell r="B333" t="str">
            <v>solaire</v>
          </cell>
          <cell r="C333" t="str">
            <v>loi2000</v>
          </cell>
          <cell r="D333">
            <v>549</v>
          </cell>
          <cell r="E333">
            <v>1.8170939999999913</v>
          </cell>
        </row>
        <row r="334">
          <cell r="A334" t="str">
            <v>094</v>
          </cell>
          <cell r="B334" t="str">
            <v>solaire</v>
          </cell>
          <cell r="C334" t="str">
            <v>loi2000</v>
          </cell>
          <cell r="D334">
            <v>622</v>
          </cell>
          <cell r="E334">
            <v>2.304877999999992</v>
          </cell>
        </row>
        <row r="335">
          <cell r="A335" t="str">
            <v>095</v>
          </cell>
          <cell r="B335" t="str">
            <v>biogaz</v>
          </cell>
          <cell r="C335" t="str">
            <v>loi2000</v>
          </cell>
          <cell r="D335">
            <v>3</v>
          </cell>
          <cell r="E335">
            <v>2.0249999999999999</v>
          </cell>
        </row>
        <row r="336">
          <cell r="A336" t="str">
            <v>095</v>
          </cell>
          <cell r="B336" t="str">
            <v>déchets</v>
          </cell>
          <cell r="C336" t="str">
            <v>loi2000</v>
          </cell>
          <cell r="D336">
            <v>2</v>
          </cell>
          <cell r="E336">
            <v>13.700000000000001</v>
          </cell>
        </row>
        <row r="337">
          <cell r="A337" t="str">
            <v>095</v>
          </cell>
          <cell r="B337" t="str">
            <v>solaire</v>
          </cell>
          <cell r="C337" t="str">
            <v>loi2000</v>
          </cell>
          <cell r="D337">
            <v>1032</v>
          </cell>
          <cell r="E337">
            <v>3.7009150000000068</v>
          </cell>
        </row>
        <row r="338">
          <cell r="A338" t="str">
            <v>971</v>
          </cell>
          <cell r="B338" t="str">
            <v>hydraulique</v>
          </cell>
          <cell r="C338" t="str">
            <v>loi2000</v>
          </cell>
          <cell r="D338">
            <v>10</v>
          </cell>
          <cell r="E338">
            <v>1.5200000000000002</v>
          </cell>
        </row>
        <row r="339">
          <cell r="A339" t="str">
            <v>971</v>
          </cell>
          <cell r="B339" t="str">
            <v>solaire</v>
          </cell>
          <cell r="C339" t="str">
            <v>loi2000</v>
          </cell>
          <cell r="D339">
            <v>550</v>
          </cell>
          <cell r="E339">
            <v>27.842870000000023</v>
          </cell>
        </row>
        <row r="340">
          <cell r="A340" t="str">
            <v>971</v>
          </cell>
          <cell r="B340" t="str">
            <v>éolien</v>
          </cell>
          <cell r="C340" t="str">
            <v>loi2000</v>
          </cell>
          <cell r="D340">
            <v>8</v>
          </cell>
          <cell r="E340">
            <v>20.305</v>
          </cell>
        </row>
        <row r="341">
          <cell r="A341" t="str">
            <v>972</v>
          </cell>
          <cell r="B341" t="str">
            <v>déchets</v>
          </cell>
          <cell r="C341" t="str">
            <v>loi2000</v>
          </cell>
          <cell r="D341">
            <v>1</v>
          </cell>
          <cell r="E341">
            <v>6.6</v>
          </cell>
        </row>
        <row r="342">
          <cell r="A342" t="str">
            <v>972</v>
          </cell>
          <cell r="B342" t="str">
            <v>solaire</v>
          </cell>
          <cell r="C342" t="str">
            <v>loi2000</v>
          </cell>
          <cell r="D342">
            <v>622</v>
          </cell>
          <cell r="E342">
            <v>37.708256000000134</v>
          </cell>
        </row>
        <row r="343">
          <cell r="A343" t="str">
            <v>972</v>
          </cell>
          <cell r="B343" t="str">
            <v>éolien</v>
          </cell>
          <cell r="C343" t="str">
            <v>loi2000</v>
          </cell>
          <cell r="D343">
            <v>1</v>
          </cell>
          <cell r="E343">
            <v>1.1000000000000001</v>
          </cell>
        </row>
        <row r="344">
          <cell r="A344" t="str">
            <v>973</v>
          </cell>
          <cell r="B344" t="str">
            <v>solaire</v>
          </cell>
          <cell r="C344" t="str">
            <v>loi2000</v>
          </cell>
          <cell r="D344">
            <v>75</v>
          </cell>
          <cell r="E344">
            <v>32.334770000000006</v>
          </cell>
        </row>
        <row r="345">
          <cell r="A345" t="str">
            <v>974</v>
          </cell>
          <cell r="B345" t="str">
            <v>biogaz</v>
          </cell>
          <cell r="C345" t="str">
            <v>loi2000</v>
          </cell>
          <cell r="D345">
            <v>1</v>
          </cell>
          <cell r="E345">
            <v>2.13</v>
          </cell>
        </row>
        <row r="346">
          <cell r="A346" t="str">
            <v>974</v>
          </cell>
          <cell r="B346" t="str">
            <v>solaire</v>
          </cell>
          <cell r="C346" t="str">
            <v>loi2000</v>
          </cell>
          <cell r="D346">
            <v>991</v>
          </cell>
          <cell r="E346">
            <v>118.84036200000003</v>
          </cell>
        </row>
        <row r="347">
          <cell r="A347" t="str">
            <v>974</v>
          </cell>
          <cell r="B347" t="str">
            <v>éolien</v>
          </cell>
          <cell r="C347" t="str">
            <v>loi2000</v>
          </cell>
          <cell r="D347">
            <v>2</v>
          </cell>
          <cell r="E347">
            <v>17.256</v>
          </cell>
        </row>
      </sheetData>
      <sheetData sheetId="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ning"/>
      <sheetName val="Intro"/>
      <sheetName val="Notes"/>
      <sheetName val="Organisation"/>
      <sheetName val="MAJRun2"/>
      <sheetName val="Parametres"/>
      <sheetName val="FE"/>
      <sheetName val="BDD_entree_(non utilisé)"/>
      <sheetName val="BDD_sorties"/>
      <sheetName val="corr_stats"/>
      <sheetName val="Codes_bilans"/>
      <sheetName val="ind_calc"/>
      <sheetName val="ind_inp"/>
      <sheetName val="res_inp"/>
      <sheetName val="res_calc"/>
      <sheetName val="ter_calc"/>
      <sheetName val="ter_inp"/>
      <sheetName val="tra_calc"/>
      <sheetName val="tra_inp"/>
      <sheetName val="agr_calc"/>
      <sheetName val="agr_inp"/>
      <sheetName val="Offre_calc"/>
      <sheetName val="Offre_inp"/>
      <sheetName val="ges_calc"/>
      <sheetName val="ges_inp"/>
      <sheetName val="Bilans_E_AME_Cont"/>
      <sheetName val="Bilans_E_AMS_Cont"/>
      <sheetName val="Bilans_GES_AME_Cont"/>
      <sheetName val="Bilans_GES_AMS_Cont"/>
      <sheetName val="Data_indicateurs_cont"/>
      <sheetName val="Sect_met"/>
      <sheetName val="corr_stats_met"/>
      <sheetName val="Offre_met"/>
      <sheetName val="ges_met"/>
      <sheetName val="Bilans_E_AME_Met"/>
      <sheetName val="Bilans_E_AMS_Met"/>
      <sheetName val="Bilans_GES_AME_Met"/>
      <sheetName val="Bilans_GES_AMS_Met"/>
      <sheetName val="Data_indicateurs_met"/>
      <sheetName val="Sect_kyoto"/>
      <sheetName val="Offre_kyoto"/>
      <sheetName val="ges_kyoto"/>
      <sheetName val="Bilans_E_AME_DROM"/>
      <sheetName val="Bilans_E_AMS_DROM"/>
      <sheetName val="Bilans_E_AME_Kyoto"/>
      <sheetName val="Bilans_E_AMS_Kyoto"/>
      <sheetName val="Bilans_GES_AME_Kyoto"/>
      <sheetName val="Bilans_GES_AMS_Kyoto"/>
      <sheetName val="Data_indicateurs_kyoto"/>
      <sheetName val="Rendements_2019"/>
    </sheetNames>
    <sheetDataSet>
      <sheetData sheetId="0"/>
      <sheetData sheetId="1"/>
      <sheetData sheetId="2"/>
      <sheetData sheetId="3"/>
      <sheetData sheetId="4"/>
      <sheetData sheetId="5">
        <row r="11">
          <cell r="B11" t="str">
            <v>Résidentiel</v>
          </cell>
          <cell r="C11" t="str">
            <v>res</v>
          </cell>
        </row>
        <row r="12">
          <cell r="B12" t="str">
            <v>Industrie</v>
          </cell>
          <cell r="C12" t="str">
            <v>ind</v>
          </cell>
        </row>
        <row r="13">
          <cell r="B13" t="str">
            <v>Transport</v>
          </cell>
          <cell r="C13" t="str">
            <v>tra</v>
          </cell>
        </row>
        <row r="14">
          <cell r="B14" t="str">
            <v>Soutes</v>
          </cell>
          <cell r="C14" t="str">
            <v/>
          </cell>
        </row>
        <row r="15">
          <cell r="B15" t="str">
            <v>Tertiaire</v>
          </cell>
          <cell r="C15" t="str">
            <v>ter</v>
          </cell>
        </row>
        <row r="16">
          <cell r="B16" t="str">
            <v>Agriculture</v>
          </cell>
          <cell r="C16" t="str">
            <v>agr</v>
          </cell>
        </row>
        <row r="17">
          <cell r="B17" t="str">
            <v>Puits technologiques</v>
          </cell>
          <cell r="C17" t="str">
            <v>ptech</v>
          </cell>
        </row>
        <row r="18">
          <cell r="B18" t="str">
            <v>Non énergétique</v>
          </cell>
          <cell r="C18" t="str">
            <v>nen</v>
          </cell>
        </row>
        <row r="19">
          <cell r="B19" t="str">
            <v>Offre</v>
          </cell>
          <cell r="C19" t="str">
            <v/>
          </cell>
        </row>
        <row r="20">
          <cell r="B20" t="str">
            <v>Branche énergie</v>
          </cell>
          <cell r="C20" t="str">
            <v/>
          </cell>
        </row>
        <row r="21">
          <cell r="B21" t="str">
            <v>Tous</v>
          </cell>
          <cell r="C21" t="str">
            <v/>
          </cell>
        </row>
        <row r="130">
          <cell r="B130" t="str">
            <v>Charbon</v>
          </cell>
          <cell r="C130" t="str">
            <v>cms</v>
          </cell>
        </row>
        <row r="131">
          <cell r="B131" t="str">
            <v>Coke</v>
          </cell>
          <cell r="C131" t="str">
            <v>cok</v>
          </cell>
        </row>
        <row r="132">
          <cell r="B132" t="str">
            <v>Pétrole brut</v>
          </cell>
          <cell r="C132" t="str">
            <v>pet</v>
          </cell>
        </row>
        <row r="133">
          <cell r="B133" t="str">
            <v>Produits pétroliers</v>
          </cell>
          <cell r="C133" t="str">
            <v>pptr</v>
          </cell>
        </row>
        <row r="134">
          <cell r="B134" t="str">
            <v>Essence</v>
          </cell>
          <cell r="C134" t="str">
            <v>ess</v>
          </cell>
        </row>
        <row r="135">
          <cell r="B135" t="str">
            <v>Diesel</v>
          </cell>
          <cell r="C135" t="str">
            <v>gzl</v>
          </cell>
        </row>
        <row r="136">
          <cell r="B136" t="str">
            <v>Kérosène</v>
          </cell>
          <cell r="C136" t="str">
            <v>ker</v>
          </cell>
        </row>
        <row r="137">
          <cell r="B137" t="str">
            <v>GPL</v>
          </cell>
          <cell r="C137" t="str">
            <v>gpl</v>
          </cell>
        </row>
        <row r="138">
          <cell r="B138" t="str">
            <v>Fioul lourd</v>
          </cell>
          <cell r="C138" t="str">
            <v>fol</v>
          </cell>
        </row>
        <row r="139">
          <cell r="B139" t="str">
            <v>Fioul autres</v>
          </cell>
          <cell r="C139" t="str">
            <v>fod</v>
          </cell>
        </row>
        <row r="140">
          <cell r="B140" t="str">
            <v>Gaz naturel</v>
          </cell>
          <cell r="C140" t="str">
            <v>gna</v>
          </cell>
        </row>
        <row r="141">
          <cell r="B141" t="str">
            <v>Gaz réseau</v>
          </cell>
          <cell r="C141" t="str">
            <v>gazrs</v>
          </cell>
        </row>
        <row r="142">
          <cell r="B142" t="str">
            <v>Nucléaire</v>
          </cell>
          <cell r="C142" t="str">
            <v>elenuc</v>
          </cell>
        </row>
        <row r="143">
          <cell r="B143" t="str">
            <v>EnR électriques</v>
          </cell>
          <cell r="C143" t="str">
            <v>eleenr</v>
          </cell>
        </row>
        <row r="144">
          <cell r="B144" t="str">
            <v>Biomasse solide</v>
          </cell>
          <cell r="C144" t="str">
            <v>biom</v>
          </cell>
        </row>
        <row r="145">
          <cell r="B145" t="str">
            <v>Déchets</v>
          </cell>
          <cell r="C145" t="str">
            <v>was</v>
          </cell>
        </row>
        <row r="146">
          <cell r="B146" t="str">
            <v>Biocarburants</v>
          </cell>
          <cell r="C146" t="str">
            <v>biopptr</v>
          </cell>
        </row>
        <row r="147">
          <cell r="B147" t="str">
            <v>Carburants synthétiques</v>
          </cell>
          <cell r="C147" t="str">
            <v>synpptr</v>
          </cell>
        </row>
        <row r="148">
          <cell r="B148" t="str">
            <v>Gaz renouvelable</v>
          </cell>
          <cell r="C148" t="str">
            <v>gbi</v>
          </cell>
        </row>
        <row r="149">
          <cell r="B149" t="str">
            <v>Gaz synthétique</v>
          </cell>
          <cell r="C149" t="str">
            <v>gsy</v>
          </cell>
        </row>
        <row r="150">
          <cell r="B150" t="str">
            <v>Chaleur de l'environnement</v>
          </cell>
          <cell r="C150" t="str">
            <v>envch</v>
          </cell>
        </row>
        <row r="151">
          <cell r="B151" t="str">
            <v>Solaire thermique et géothermie</v>
          </cell>
          <cell r="C151" t="str">
            <v>enrthoth</v>
          </cell>
        </row>
        <row r="152">
          <cell r="B152" t="str">
            <v>Electricité</v>
          </cell>
          <cell r="C152" t="str">
            <v>elec</v>
          </cell>
        </row>
        <row r="153">
          <cell r="B153" t="str">
            <v>Electricité joule</v>
          </cell>
          <cell r="C153" t="str">
            <v>elecjoule</v>
          </cell>
        </row>
        <row r="154">
          <cell r="B154" t="str">
            <v>Electricité PAC</v>
          </cell>
          <cell r="C154" t="str">
            <v>elecpac</v>
          </cell>
        </row>
        <row r="155">
          <cell r="B155" t="str">
            <v>Chaleur vendue</v>
          </cell>
          <cell r="C155" t="str">
            <v>chal</v>
          </cell>
        </row>
        <row r="156">
          <cell r="B156" t="str">
            <v>Chaleur réseau</v>
          </cell>
          <cell r="C156" t="str">
            <v>chalrcu</v>
          </cell>
        </row>
        <row r="157">
          <cell r="B157" t="str">
            <v>Chaleur directe</v>
          </cell>
          <cell r="C157" t="str">
            <v>chaldir</v>
          </cell>
        </row>
        <row r="158">
          <cell r="B158" t="str">
            <v>Chaleur fatale</v>
          </cell>
          <cell r="C158" t="str">
            <v>chalfat</v>
          </cell>
        </row>
        <row r="159">
          <cell r="B159" t="str">
            <v>Hydrogène</v>
          </cell>
          <cell r="C159" t="str">
            <v>h2</v>
          </cell>
        </row>
        <row r="160">
          <cell r="B160" t="str">
            <v>Flexibilités électriques</v>
          </cell>
          <cell r="C160" t="str">
            <v>flex</v>
          </cell>
        </row>
        <row r="161">
          <cell r="B161" t="str">
            <v>Toutes énergies</v>
          </cell>
          <cell r="C161" t="str">
            <v>tot</v>
          </cell>
        </row>
      </sheetData>
      <sheetData sheetId="6">
        <row r="8">
          <cell r="H8" t="str">
            <v>fecms</v>
          </cell>
          <cell r="I8">
            <v>0.34499999999999997</v>
          </cell>
        </row>
        <row r="9">
          <cell r="H9" t="str">
            <v>fecok</v>
          </cell>
          <cell r="I9">
            <v>0.34499999999999997</v>
          </cell>
        </row>
        <row r="10">
          <cell r="H10" t="str">
            <v>fepet</v>
          </cell>
          <cell r="I10">
            <v>0.26351789185686519</v>
          </cell>
        </row>
        <row r="11">
          <cell r="H11" t="str">
            <v>fepptr</v>
          </cell>
          <cell r="I11">
            <v>0.25916666666666666</v>
          </cell>
        </row>
        <row r="12">
          <cell r="H12" t="str">
            <v>feess</v>
          </cell>
          <cell r="I12">
            <v>0.254</v>
          </cell>
        </row>
        <row r="13">
          <cell r="H13" t="str">
            <v>fegzl</v>
          </cell>
          <cell r="I13">
            <v>0.254</v>
          </cell>
        </row>
        <row r="14">
          <cell r="H14" t="str">
            <v>feker</v>
          </cell>
          <cell r="I14">
            <v>0.25900000000000001</v>
          </cell>
        </row>
        <row r="15">
          <cell r="H15" t="str">
            <v>fegpl</v>
          </cell>
          <cell r="I15">
            <v>0.23300000000000001</v>
          </cell>
        </row>
        <row r="16">
          <cell r="H16" t="str">
            <v>fefol</v>
          </cell>
          <cell r="I16">
            <v>0.28299999999999997</v>
          </cell>
        </row>
        <row r="17">
          <cell r="H17" t="str">
            <v>fefod</v>
          </cell>
          <cell r="I17">
            <v>0.27200000000000002</v>
          </cell>
        </row>
        <row r="18">
          <cell r="H18" t="str">
            <v>fegna</v>
          </cell>
          <cell r="I18">
            <v>0.20100000000000001</v>
          </cell>
        </row>
        <row r="19">
          <cell r="H19" t="str">
            <v>fegazrs</v>
          </cell>
          <cell r="I19" t="str">
            <v>(1)</v>
          </cell>
        </row>
        <row r="20">
          <cell r="H20" t="str">
            <v>feelenuc</v>
          </cell>
          <cell r="I20">
            <v>0</v>
          </cell>
        </row>
        <row r="21">
          <cell r="H21" t="str">
            <v>feeleenr</v>
          </cell>
          <cell r="I21">
            <v>0</v>
          </cell>
        </row>
        <row r="22">
          <cell r="H22" t="str">
            <v>febiom</v>
          </cell>
          <cell r="I22">
            <v>0</v>
          </cell>
        </row>
        <row r="23">
          <cell r="H23" t="str">
            <v>fewas</v>
          </cell>
          <cell r="I23">
            <v>0.21199999999999999</v>
          </cell>
        </row>
        <row r="24">
          <cell r="H24" t="str">
            <v>febiopptr</v>
          </cell>
          <cell r="I24">
            <v>0</v>
          </cell>
        </row>
        <row r="25">
          <cell r="H25" t="str">
            <v>fesynpptr</v>
          </cell>
          <cell r="I25">
            <v>0.25900000000000001</v>
          </cell>
        </row>
        <row r="26">
          <cell r="H26" t="str">
            <v>fegbi</v>
          </cell>
          <cell r="I26">
            <v>0</v>
          </cell>
        </row>
        <row r="27">
          <cell r="H27" t="str">
            <v>fegsy</v>
          </cell>
          <cell r="I27">
            <v>0.20100000000000001</v>
          </cell>
        </row>
        <row r="28">
          <cell r="H28" t="str">
            <v>feenvch</v>
          </cell>
          <cell r="I28">
            <v>0</v>
          </cell>
        </row>
        <row r="29">
          <cell r="H29" t="str">
            <v>feenrthoth</v>
          </cell>
          <cell r="I29">
            <v>0</v>
          </cell>
        </row>
        <row r="30">
          <cell r="H30" t="str">
            <v>feelec</v>
          </cell>
          <cell r="I30">
            <v>0</v>
          </cell>
        </row>
        <row r="31">
          <cell r="H31" t="str">
            <v>fechal</v>
          </cell>
          <cell r="I31">
            <v>0</v>
          </cell>
        </row>
        <row r="32">
          <cell r="H32" t="str">
            <v>feh2</v>
          </cell>
          <cell r="I32">
            <v>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ning"/>
      <sheetName val="Intro"/>
      <sheetName val="Notes"/>
      <sheetName val="Organisation"/>
      <sheetName val="MAJRun2"/>
      <sheetName val="Parametres"/>
      <sheetName val="FE"/>
      <sheetName val="BDD_entree_(non utilisé)"/>
      <sheetName val="BDD_sorties"/>
      <sheetName val="corr_stats"/>
      <sheetName val="Codes_bilans"/>
      <sheetName val="ind_calc"/>
      <sheetName val="ind_inp"/>
      <sheetName val="res_inp"/>
      <sheetName val="res_calc"/>
      <sheetName val="ter_calc"/>
      <sheetName val="ter_inp"/>
      <sheetName val="tra_calc"/>
      <sheetName val="tra_inp"/>
      <sheetName val="agr_calc"/>
      <sheetName val="agr_inp"/>
      <sheetName val="Offre_calc"/>
      <sheetName val="Offre_inp"/>
      <sheetName val="ges_calc"/>
      <sheetName val="ges_inp"/>
      <sheetName val="Bilans_E_AME_Cont"/>
      <sheetName val="Bilans_E_AMS_Cont"/>
      <sheetName val="Bilans_GES_AME_Cont"/>
      <sheetName val="Bilans_GES_AMS_Cont"/>
      <sheetName val="Data_indicateurs_cont"/>
      <sheetName val="Sect_met"/>
      <sheetName val="corr_stats_met"/>
      <sheetName val="Offre_met"/>
      <sheetName val="ges_met"/>
      <sheetName val="Bilans_E_AME_Met"/>
      <sheetName val="Bilans_E_AMS_Met"/>
      <sheetName val="Bilans_GES_AME_Met"/>
      <sheetName val="Bilans_GES_AMS_Met"/>
      <sheetName val="Data_indicateurs_met"/>
      <sheetName val="Sect_kyoto"/>
      <sheetName val="Offre_kyoto"/>
      <sheetName val="ges_kyoto"/>
      <sheetName val="Bilans_E_AME_DROM"/>
      <sheetName val="Bilans_E_AMS_DROM"/>
      <sheetName val="Bilans_E_AME_Kyoto"/>
      <sheetName val="Bilans_E_AMS_Kyoto"/>
      <sheetName val="Bilans_GES_AME_Kyoto"/>
      <sheetName val="Bilans_GES_AMS_Kyoto"/>
      <sheetName val="Data_indicateurs_kyoto"/>
      <sheetName val="Rendements_2019"/>
    </sheetNames>
    <sheetDataSet>
      <sheetData sheetId="0" refreshError="1"/>
      <sheetData sheetId="1" refreshError="1"/>
      <sheetData sheetId="2" refreshError="1"/>
      <sheetData sheetId="3" refreshError="1"/>
      <sheetData sheetId="4" refreshError="1"/>
      <sheetData sheetId="5">
        <row r="11">
          <cell r="B11" t="str">
            <v>Résidentiel</v>
          </cell>
          <cell r="C11" t="str">
            <v>res</v>
          </cell>
        </row>
        <row r="12">
          <cell r="B12" t="str">
            <v>Industrie</v>
          </cell>
          <cell r="C12" t="str">
            <v>ind</v>
          </cell>
        </row>
        <row r="13">
          <cell r="B13" t="str">
            <v>Transport</v>
          </cell>
          <cell r="C13" t="str">
            <v>tra</v>
          </cell>
        </row>
        <row r="14">
          <cell r="B14" t="str">
            <v>Soutes</v>
          </cell>
          <cell r="C14" t="str">
            <v/>
          </cell>
        </row>
        <row r="15">
          <cell r="B15" t="str">
            <v>Tertiaire</v>
          </cell>
          <cell r="C15" t="str">
            <v>ter</v>
          </cell>
        </row>
        <row r="16">
          <cell r="B16" t="str">
            <v>Agriculture</v>
          </cell>
          <cell r="C16" t="str">
            <v>agr</v>
          </cell>
        </row>
        <row r="17">
          <cell r="B17" t="str">
            <v>Puits technologiques</v>
          </cell>
          <cell r="C17" t="str">
            <v>ptech</v>
          </cell>
        </row>
        <row r="18">
          <cell r="B18" t="str">
            <v>Non énergétique</v>
          </cell>
          <cell r="C18" t="str">
            <v>nen</v>
          </cell>
        </row>
        <row r="19">
          <cell r="B19" t="str">
            <v>Offre</v>
          </cell>
          <cell r="C19" t="str">
            <v/>
          </cell>
        </row>
        <row r="20">
          <cell r="B20" t="str">
            <v>Branche énergie</v>
          </cell>
          <cell r="C20" t="str">
            <v/>
          </cell>
        </row>
        <row r="21">
          <cell r="B21" t="str">
            <v>Tous</v>
          </cell>
          <cell r="C21" t="str">
            <v/>
          </cell>
        </row>
        <row r="130">
          <cell r="B130" t="str">
            <v>Charbon</v>
          </cell>
          <cell r="C130" t="str">
            <v>cms</v>
          </cell>
        </row>
        <row r="131">
          <cell r="B131" t="str">
            <v>Coke</v>
          </cell>
          <cell r="C131" t="str">
            <v>cok</v>
          </cell>
        </row>
        <row r="132">
          <cell r="B132" t="str">
            <v>Pétrole brut</v>
          </cell>
          <cell r="C132" t="str">
            <v>pet</v>
          </cell>
        </row>
        <row r="133">
          <cell r="B133" t="str">
            <v>Produits pétroliers</v>
          </cell>
          <cell r="C133" t="str">
            <v>pptr</v>
          </cell>
        </row>
        <row r="134">
          <cell r="B134" t="str">
            <v>Essence</v>
          </cell>
          <cell r="C134" t="str">
            <v>ess</v>
          </cell>
        </row>
        <row r="135">
          <cell r="B135" t="str">
            <v>Diesel</v>
          </cell>
          <cell r="C135" t="str">
            <v>gzl</v>
          </cell>
        </row>
        <row r="136">
          <cell r="B136" t="str">
            <v>Kérosène</v>
          </cell>
          <cell r="C136" t="str">
            <v>ker</v>
          </cell>
        </row>
        <row r="137">
          <cell r="B137" t="str">
            <v>GPL</v>
          </cell>
          <cell r="C137" t="str">
            <v>gpl</v>
          </cell>
        </row>
        <row r="138">
          <cell r="B138" t="str">
            <v>Fioul lourd</v>
          </cell>
          <cell r="C138" t="str">
            <v>fol</v>
          </cell>
        </row>
        <row r="139">
          <cell r="B139" t="str">
            <v>Fioul autres</v>
          </cell>
          <cell r="C139" t="str">
            <v>fod</v>
          </cell>
        </row>
        <row r="140">
          <cell r="B140" t="str">
            <v>Gaz naturel</v>
          </cell>
          <cell r="C140" t="str">
            <v>gna</v>
          </cell>
        </row>
        <row r="141">
          <cell r="B141" t="str">
            <v>Gaz réseau</v>
          </cell>
          <cell r="C141" t="str">
            <v>gazrs</v>
          </cell>
        </row>
        <row r="142">
          <cell r="B142" t="str">
            <v>Nucléaire</v>
          </cell>
          <cell r="C142" t="str">
            <v>elenuc</v>
          </cell>
        </row>
        <row r="143">
          <cell r="B143" t="str">
            <v>EnR électriques</v>
          </cell>
          <cell r="C143" t="str">
            <v>eleenr</v>
          </cell>
        </row>
        <row r="144">
          <cell r="B144" t="str">
            <v>Biomasse solide</v>
          </cell>
          <cell r="C144" t="str">
            <v>biom</v>
          </cell>
        </row>
        <row r="145">
          <cell r="B145" t="str">
            <v>Déchets</v>
          </cell>
          <cell r="C145" t="str">
            <v>was</v>
          </cell>
        </row>
        <row r="146">
          <cell r="B146" t="str">
            <v>Biocarburants</v>
          </cell>
          <cell r="C146" t="str">
            <v>biopptr</v>
          </cell>
        </row>
        <row r="147">
          <cell r="B147" t="str">
            <v>Carburants synthétiques</v>
          </cell>
          <cell r="C147" t="str">
            <v>synpptr</v>
          </cell>
        </row>
        <row r="148">
          <cell r="B148" t="str">
            <v>Gaz renouvelable</v>
          </cell>
          <cell r="C148" t="str">
            <v>gbi</v>
          </cell>
        </row>
        <row r="149">
          <cell r="B149" t="str">
            <v>Gaz synthétique</v>
          </cell>
          <cell r="C149" t="str">
            <v>gsy</v>
          </cell>
        </row>
        <row r="150">
          <cell r="B150" t="str">
            <v>Chaleur de l'environnement</v>
          </cell>
          <cell r="C150" t="str">
            <v>envch</v>
          </cell>
        </row>
        <row r="151">
          <cell r="B151" t="str">
            <v>Solaire thermique et géothermie</v>
          </cell>
          <cell r="C151" t="str">
            <v>enrthoth</v>
          </cell>
        </row>
        <row r="152">
          <cell r="B152" t="str">
            <v>Electricité</v>
          </cell>
          <cell r="C152" t="str">
            <v>elec</v>
          </cell>
        </row>
        <row r="153">
          <cell r="B153" t="str">
            <v>Electricité joule</v>
          </cell>
          <cell r="C153" t="str">
            <v>elecjoule</v>
          </cell>
        </row>
        <row r="154">
          <cell r="B154" t="str">
            <v>Electricité PAC</v>
          </cell>
          <cell r="C154" t="str">
            <v>elecpac</v>
          </cell>
        </row>
        <row r="155">
          <cell r="B155" t="str">
            <v>Chaleur vendue</v>
          </cell>
          <cell r="C155" t="str">
            <v>chal</v>
          </cell>
        </row>
        <row r="156">
          <cell r="B156" t="str">
            <v>Chaleur réseau</v>
          </cell>
          <cell r="C156" t="str">
            <v>chalrcu</v>
          </cell>
        </row>
        <row r="157">
          <cell r="B157" t="str">
            <v>Chaleur directe</v>
          </cell>
          <cell r="C157" t="str">
            <v>chaldir</v>
          </cell>
        </row>
        <row r="158">
          <cell r="B158" t="str">
            <v>Chaleur fatale</v>
          </cell>
          <cell r="C158" t="str">
            <v>chalfat</v>
          </cell>
        </row>
        <row r="159">
          <cell r="B159" t="str">
            <v>Hydrogène</v>
          </cell>
          <cell r="C159" t="str">
            <v>h2</v>
          </cell>
        </row>
        <row r="160">
          <cell r="B160" t="str">
            <v>Flexibilités électriques</v>
          </cell>
          <cell r="C160" t="str">
            <v>flex</v>
          </cell>
        </row>
        <row r="161">
          <cell r="B161" t="str">
            <v>Toutes énergies</v>
          </cell>
          <cell r="C161" t="str">
            <v>tot</v>
          </cell>
        </row>
      </sheetData>
      <sheetData sheetId="6">
        <row r="8">
          <cell r="H8" t="str">
            <v>fecms</v>
          </cell>
          <cell r="I8">
            <v>0.34499999999999997</v>
          </cell>
        </row>
        <row r="9">
          <cell r="H9" t="str">
            <v>fecok</v>
          </cell>
          <cell r="I9">
            <v>0.34499999999999997</v>
          </cell>
        </row>
        <row r="10">
          <cell r="H10" t="str">
            <v>fepet</v>
          </cell>
          <cell r="I10">
            <v>0.26351789185686519</v>
          </cell>
        </row>
        <row r="11">
          <cell r="H11" t="str">
            <v>fepptr</v>
          </cell>
          <cell r="I11">
            <v>0.25916666666666666</v>
          </cell>
        </row>
        <row r="12">
          <cell r="H12" t="str">
            <v>feess</v>
          </cell>
          <cell r="I12">
            <v>0.254</v>
          </cell>
        </row>
        <row r="13">
          <cell r="H13" t="str">
            <v>fegzl</v>
          </cell>
          <cell r="I13">
            <v>0.254</v>
          </cell>
        </row>
        <row r="14">
          <cell r="H14" t="str">
            <v>feker</v>
          </cell>
          <cell r="I14">
            <v>0.25900000000000001</v>
          </cell>
        </row>
        <row r="15">
          <cell r="H15" t="str">
            <v>fegpl</v>
          </cell>
          <cell r="I15">
            <v>0.23300000000000001</v>
          </cell>
        </row>
        <row r="16">
          <cell r="H16" t="str">
            <v>fefol</v>
          </cell>
          <cell r="I16">
            <v>0.28299999999999997</v>
          </cell>
        </row>
        <row r="17">
          <cell r="H17" t="str">
            <v>fefod</v>
          </cell>
          <cell r="I17">
            <v>0.27200000000000002</v>
          </cell>
        </row>
        <row r="18">
          <cell r="H18" t="str">
            <v>fegna</v>
          </cell>
          <cell r="I18">
            <v>0.20100000000000001</v>
          </cell>
        </row>
        <row r="19">
          <cell r="H19" t="str">
            <v>fegazrs</v>
          </cell>
          <cell r="I19" t="str">
            <v>(1)</v>
          </cell>
        </row>
        <row r="20">
          <cell r="H20" t="str">
            <v>feelenuc</v>
          </cell>
          <cell r="I20">
            <v>0</v>
          </cell>
        </row>
        <row r="21">
          <cell r="H21" t="str">
            <v>feeleenr</v>
          </cell>
          <cell r="I21">
            <v>0</v>
          </cell>
        </row>
        <row r="22">
          <cell r="H22" t="str">
            <v>febiom</v>
          </cell>
          <cell r="I22">
            <v>0</v>
          </cell>
        </row>
        <row r="23">
          <cell r="H23" t="str">
            <v>fewas</v>
          </cell>
          <cell r="I23">
            <v>0.21199999999999999</v>
          </cell>
        </row>
        <row r="24">
          <cell r="H24" t="str">
            <v>febiopptr</v>
          </cell>
          <cell r="I24">
            <v>0</v>
          </cell>
        </row>
        <row r="25">
          <cell r="H25" t="str">
            <v>fesynpptr</v>
          </cell>
          <cell r="I25">
            <v>0.25900000000000001</v>
          </cell>
        </row>
        <row r="26">
          <cell r="H26" t="str">
            <v>fegbi</v>
          </cell>
          <cell r="I26">
            <v>0</v>
          </cell>
        </row>
        <row r="27">
          <cell r="H27" t="str">
            <v>fegsy</v>
          </cell>
          <cell r="I27">
            <v>0.20100000000000001</v>
          </cell>
        </row>
        <row r="28">
          <cell r="H28" t="str">
            <v>feenvch</v>
          </cell>
          <cell r="I28">
            <v>0</v>
          </cell>
        </row>
        <row r="29">
          <cell r="H29" t="str">
            <v>feenrthoth</v>
          </cell>
          <cell r="I29">
            <v>0</v>
          </cell>
        </row>
        <row r="30">
          <cell r="H30" t="str">
            <v>feelec</v>
          </cell>
          <cell r="I30">
            <v>0</v>
          </cell>
        </row>
        <row r="31">
          <cell r="H31" t="str">
            <v>fechal</v>
          </cell>
          <cell r="I31">
            <v>0</v>
          </cell>
        </row>
        <row r="32">
          <cell r="H32" t="str">
            <v>feh2</v>
          </cell>
          <cell r="I32">
            <v>0</v>
          </cell>
        </row>
      </sheetData>
      <sheetData sheetId="7" refreshError="1"/>
      <sheetData sheetId="8">
        <row r="1">
          <cell r="C1" t="str">
            <v>N°</v>
          </cell>
        </row>
      </sheetData>
      <sheetData sheetId="9" refreshError="1"/>
      <sheetData sheetId="10">
        <row r="42">
          <cell r="D42" t="str">
            <v>Industrie</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7">
          <cell r="J7">
            <v>43.254151509274784</v>
          </cell>
        </row>
      </sheetData>
      <sheetData sheetId="47" refreshError="1"/>
      <sheetData sheetId="48" refreshError="1"/>
      <sheetData sheetId="4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81-10"/>
      <sheetName val="Calcul_ref"/>
      <sheetName val="Feuil1"/>
      <sheetName val="Feuilbn"/>
      <sheetName val="DJU30mens"/>
      <sheetName val="a"/>
      <sheetName val="CPDP"/>
      <sheetName val="Info"/>
      <sheetName val="Effet_climat"/>
      <sheetName val="Bilan"/>
      <sheetName val="JOUROUVRABLES"/>
      <sheetName val="anémobil"/>
      <sheetName val="Graph5 (2)"/>
      <sheetName val="Graph5"/>
      <sheetName val="an"/>
      <sheetName val="Graph1"/>
      <sheetName val="CPDP (2)"/>
      <sheetName val="Graph2"/>
      <sheetName val="Gdemi"/>
      <sheetName val="demi"/>
      <sheetName val="Graph3"/>
      <sheetName val="Feuil3"/>
      <sheetName val="Feuil2"/>
    </sheetNames>
    <sheetDataSet>
      <sheetData sheetId="0"/>
      <sheetData sheetId="1"/>
      <sheetData sheetId="2">
        <row r="1">
          <cell r="A1" t="str">
            <v>date</v>
          </cell>
          <cell r="B1" t="str">
            <v>KCDM</v>
          </cell>
          <cell r="C1" t="str">
            <v>KCDR</v>
          </cell>
          <cell r="D1" t="str">
            <v>KCDC</v>
          </cell>
          <cell r="E1" t="str">
            <v>KCDM_R</v>
          </cell>
          <cell r="F1" t="str">
            <v>KCDR_R</v>
          </cell>
          <cell r="G1" t="str">
            <v>KCDC_R</v>
          </cell>
          <cell r="H1" t="str">
            <v>KCTM</v>
          </cell>
          <cell r="I1" t="str">
            <v>KCTR</v>
          </cell>
          <cell r="J1" t="str">
            <v>KCTE</v>
          </cell>
          <cell r="K1" t="str">
            <v>KCDMB</v>
          </cell>
          <cell r="L1" t="str">
            <v>KCDRB</v>
          </cell>
          <cell r="M1" t="str">
            <v>KCDCB</v>
          </cell>
          <cell r="N1" t="str">
            <v>KCTMB</v>
          </cell>
          <cell r="O1" t="str">
            <v>KCTRB</v>
          </cell>
          <cell r="P1" t="str">
            <v>KCTEB</v>
          </cell>
        </row>
        <row r="2">
          <cell r="A2" t="str">
            <v>1970:1</v>
          </cell>
          <cell r="B2">
            <v>381.91341344611448</v>
          </cell>
          <cell r="C2">
            <v>392.91081774346333</v>
          </cell>
          <cell r="D2">
            <v>0.97201043137343901</v>
          </cell>
          <cell r="E2">
            <v>381.91341344611448</v>
          </cell>
          <cell r="F2">
            <v>392.91081774346333</v>
          </cell>
          <cell r="G2">
            <v>0.97201043137343901</v>
          </cell>
          <cell r="H2">
            <v>4.7</v>
          </cell>
          <cell r="I2">
            <v>3.9</v>
          </cell>
          <cell r="J2">
            <v>0.80000000000000027</v>
          </cell>
          <cell r="K2">
            <v>422.8</v>
          </cell>
          <cell r="L2">
            <v>456.3</v>
          </cell>
          <cell r="M2">
            <v>0.9265833881218497</v>
          </cell>
          <cell r="N2">
            <v>4.4000000000000004</v>
          </cell>
          <cell r="O2">
            <v>3.3</v>
          </cell>
          <cell r="P2">
            <v>1.1000000000000005</v>
          </cell>
        </row>
        <row r="3">
          <cell r="A3" t="str">
            <v>1970:2</v>
          </cell>
          <cell r="B3">
            <v>333.42995508732315</v>
          </cell>
          <cell r="C3">
            <v>331.22294910654443</v>
          </cell>
          <cell r="D3">
            <v>1.006663203702316</v>
          </cell>
          <cell r="E3">
            <v>333.42995508732315</v>
          </cell>
          <cell r="F3">
            <v>331.22294910654443</v>
          </cell>
          <cell r="G3">
            <v>1.006663203702316</v>
          </cell>
          <cell r="H3">
            <v>5.0999999999999996</v>
          </cell>
          <cell r="I3">
            <v>4.9000000000000004</v>
          </cell>
          <cell r="J3">
            <v>0.19999999999999929</v>
          </cell>
          <cell r="K3">
            <v>378.4</v>
          </cell>
          <cell r="L3">
            <v>388.2</v>
          </cell>
          <cell r="M3">
            <v>0.97475528078310147</v>
          </cell>
          <cell r="N3">
            <v>4.5</v>
          </cell>
          <cell r="O3">
            <v>4.2</v>
          </cell>
          <cell r="P3">
            <v>0.29999999999999982</v>
          </cell>
        </row>
        <row r="4">
          <cell r="A4" t="str">
            <v>1970:3</v>
          </cell>
          <cell r="B4">
            <v>369.62645449838283</v>
          </cell>
          <cell r="C4">
            <v>270.29253185771751</v>
          </cell>
          <cell r="D4">
            <v>1.3675052431450636</v>
          </cell>
          <cell r="E4">
            <v>369.62645449838283</v>
          </cell>
          <cell r="F4">
            <v>270.29253185771751</v>
          </cell>
          <cell r="G4">
            <v>1.3675052431450636</v>
          </cell>
          <cell r="H4">
            <v>5</v>
          </cell>
          <cell r="I4">
            <v>7.4</v>
          </cell>
          <cell r="J4">
            <v>-2.4000000000000004</v>
          </cell>
          <cell r="K4">
            <v>421.8</v>
          </cell>
          <cell r="L4">
            <v>344.1</v>
          </cell>
          <cell r="M4">
            <v>1.2258064516129032</v>
          </cell>
          <cell r="N4">
            <v>4.4000000000000004</v>
          </cell>
          <cell r="O4">
            <v>6.9</v>
          </cell>
          <cell r="P4">
            <v>-2.5</v>
          </cell>
        </row>
        <row r="5">
          <cell r="A5" t="str">
            <v>1970:4</v>
          </cell>
          <cell r="B5">
            <v>253.8728162756737</v>
          </cell>
          <cell r="C5">
            <v>198.63939385091356</v>
          </cell>
          <cell r="D5">
            <v>1.2780587543788768</v>
          </cell>
          <cell r="E5">
            <v>253.8728162756737</v>
          </cell>
          <cell r="F5">
            <v>198.63939385091356</v>
          </cell>
          <cell r="G5">
            <v>1.2780587543788768</v>
          </cell>
          <cell r="H5">
            <v>8.4</v>
          </cell>
          <cell r="I5">
            <v>9.9</v>
          </cell>
          <cell r="J5">
            <v>-1.5</v>
          </cell>
          <cell r="K5">
            <v>303</v>
          </cell>
          <cell r="L5">
            <v>248.1</v>
          </cell>
          <cell r="M5">
            <v>1.2212817412333736</v>
          </cell>
          <cell r="N5">
            <v>7.9</v>
          </cell>
          <cell r="O5">
            <v>9.6999999999999993</v>
          </cell>
          <cell r="P5">
            <v>-1.7999999999999989</v>
          </cell>
        </row>
        <row r="6">
          <cell r="A6" t="str">
            <v>1970:5</v>
          </cell>
          <cell r="B6">
            <v>96.182889221549601</v>
          </cell>
          <cell r="C6">
            <v>94.205291641343422</v>
          </cell>
          <cell r="D6">
            <v>1.0209924256456342</v>
          </cell>
          <cell r="E6">
            <v>96.182889221549601</v>
          </cell>
          <cell r="F6">
            <v>94.205291641343422</v>
          </cell>
          <cell r="G6">
            <v>1.0209924256456342</v>
          </cell>
          <cell r="H6">
            <v>13.7</v>
          </cell>
          <cell r="I6">
            <v>13.6</v>
          </cell>
          <cell r="J6">
            <v>9.9999999999999645E-2</v>
          </cell>
          <cell r="K6">
            <v>133.5</v>
          </cell>
          <cell r="L6">
            <v>147.30000000000001</v>
          </cell>
          <cell r="M6">
            <v>0.90631364562118122</v>
          </cell>
          <cell r="N6">
            <v>13.7</v>
          </cell>
          <cell r="O6">
            <v>13.4</v>
          </cell>
          <cell r="P6">
            <v>0.29999999999999893</v>
          </cell>
        </row>
        <row r="7">
          <cell r="A7" t="str">
            <v>1970:6</v>
          </cell>
          <cell r="B7">
            <v>10.487436520333016</v>
          </cell>
          <cell r="C7">
            <v>33.639009300779129</v>
          </cell>
          <cell r="D7">
            <v>0.31176413153434074</v>
          </cell>
          <cell r="E7">
            <v>0</v>
          </cell>
          <cell r="F7">
            <v>0</v>
          </cell>
          <cell r="G7">
            <v>1</v>
          </cell>
          <cell r="H7">
            <v>18.399999999999999</v>
          </cell>
          <cell r="I7">
            <v>16.8</v>
          </cell>
          <cell r="J7">
            <v>1.5999999999999979</v>
          </cell>
          <cell r="K7">
            <v>23</v>
          </cell>
          <cell r="L7">
            <v>65.7</v>
          </cell>
          <cell r="M7">
            <v>0.35007610350076102</v>
          </cell>
          <cell r="N7">
            <v>18.100000000000001</v>
          </cell>
          <cell r="O7">
            <v>16.399999999999999</v>
          </cell>
          <cell r="P7">
            <v>1.7000000000000028</v>
          </cell>
        </row>
        <row r="8">
          <cell r="A8" t="str">
            <v>1970:7</v>
          </cell>
          <cell r="B8">
            <v>23.348901161961557</v>
          </cell>
          <cell r="C8">
            <v>9.8992241828118033</v>
          </cell>
          <cell r="D8">
            <v>2.3586597020908631</v>
          </cell>
          <cell r="E8">
            <v>0</v>
          </cell>
          <cell r="F8">
            <v>0</v>
          </cell>
          <cell r="G8">
            <v>1</v>
          </cell>
          <cell r="H8">
            <v>18</v>
          </cell>
          <cell r="I8">
            <v>18.899999999999999</v>
          </cell>
          <cell r="J8">
            <v>-0.89999999999999858</v>
          </cell>
          <cell r="K8">
            <v>44.1</v>
          </cell>
          <cell r="L8">
            <v>31.2</v>
          </cell>
          <cell r="M8">
            <v>1.4134615384615385</v>
          </cell>
          <cell r="N8">
            <v>17.3</v>
          </cell>
          <cell r="O8">
            <v>18.3</v>
          </cell>
          <cell r="P8">
            <v>-1</v>
          </cell>
        </row>
        <row r="9">
          <cell r="A9" t="str">
            <v>1970:8</v>
          </cell>
          <cell r="B9">
            <v>14.621417850252566</v>
          </cell>
          <cell r="C9">
            <v>9.4425505166936539</v>
          </cell>
          <cell r="D9">
            <v>1.5484606435944506</v>
          </cell>
          <cell r="E9">
            <v>0</v>
          </cell>
          <cell r="F9">
            <v>0</v>
          </cell>
          <cell r="G9">
            <v>1</v>
          </cell>
          <cell r="H9">
            <v>18.899999999999999</v>
          </cell>
          <cell r="I9">
            <v>18.7</v>
          </cell>
          <cell r="J9">
            <v>0.19999999999999929</v>
          </cell>
          <cell r="K9">
            <v>31</v>
          </cell>
          <cell r="L9">
            <v>32.6</v>
          </cell>
          <cell r="M9">
            <v>0.95092024539877296</v>
          </cell>
          <cell r="N9">
            <v>18.100000000000001</v>
          </cell>
          <cell r="O9">
            <v>18</v>
          </cell>
          <cell r="P9">
            <v>0.10000000000000142</v>
          </cell>
        </row>
        <row r="10">
          <cell r="A10" t="str">
            <v>1970:9</v>
          </cell>
          <cell r="B10">
            <v>29.321078565476803</v>
          </cell>
          <cell r="C10">
            <v>43.697695496746512</v>
          </cell>
          <cell r="D10">
            <v>0.67099828108006032</v>
          </cell>
          <cell r="E10">
            <v>0</v>
          </cell>
          <cell r="F10">
            <v>0</v>
          </cell>
          <cell r="G10">
            <v>1</v>
          </cell>
          <cell r="H10">
            <v>16.899999999999999</v>
          </cell>
          <cell r="I10">
            <v>16.3</v>
          </cell>
          <cell r="J10">
            <v>0.59999999999999787</v>
          </cell>
          <cell r="K10">
            <v>53.8</v>
          </cell>
          <cell r="L10">
            <v>80</v>
          </cell>
          <cell r="M10">
            <v>0.67249999999999999</v>
          </cell>
          <cell r="N10">
            <v>16.5</v>
          </cell>
          <cell r="O10">
            <v>15.7</v>
          </cell>
          <cell r="P10">
            <v>0.80000000000000071</v>
          </cell>
        </row>
        <row r="11">
          <cell r="A11" t="str">
            <v>1970:10</v>
          </cell>
          <cell r="B11">
            <v>166.57053313805847</v>
          </cell>
          <cell r="C11">
            <v>132.10004667845612</v>
          </cell>
          <cell r="D11">
            <v>1.260942273120514</v>
          </cell>
          <cell r="E11">
            <v>166.57053313805847</v>
          </cell>
          <cell r="F11">
            <v>132.10004667845612</v>
          </cell>
          <cell r="G11">
            <v>1.260942273120514</v>
          </cell>
          <cell r="H11">
            <v>11.5</v>
          </cell>
          <cell r="I11">
            <v>12.2</v>
          </cell>
          <cell r="J11">
            <v>-0.69999999999999929</v>
          </cell>
          <cell r="K11">
            <v>209.5</v>
          </cell>
          <cell r="L11">
            <v>201.4</v>
          </cell>
          <cell r="M11">
            <v>1.0402184707050646</v>
          </cell>
          <cell r="N11">
            <v>11.2</v>
          </cell>
          <cell r="O11">
            <v>11.5</v>
          </cell>
          <cell r="P11">
            <v>-0.30000000000000071</v>
          </cell>
        </row>
        <row r="12">
          <cell r="A12" t="str">
            <v>1970:11</v>
          </cell>
          <cell r="B12">
            <v>229.26296909580418</v>
          </cell>
          <cell r="C12">
            <v>277.9065874341735</v>
          </cell>
          <cell r="D12">
            <v>0.82496414069388935</v>
          </cell>
          <cell r="E12">
            <v>229.26296909580418</v>
          </cell>
          <cell r="F12">
            <v>277.9065874341735</v>
          </cell>
          <cell r="G12">
            <v>0.82496414069388935</v>
          </cell>
          <cell r="H12">
            <v>9.1999999999999993</v>
          </cell>
          <cell r="I12">
            <v>7.5</v>
          </cell>
          <cell r="J12">
            <v>1.6999999999999993</v>
          </cell>
          <cell r="K12">
            <v>274.5</v>
          </cell>
          <cell r="L12">
            <v>336.8</v>
          </cell>
          <cell r="M12">
            <v>0.81502375296912111</v>
          </cell>
          <cell r="N12">
            <v>8.8000000000000007</v>
          </cell>
          <cell r="O12">
            <v>6.8</v>
          </cell>
          <cell r="P12">
            <v>2.0000000000000009</v>
          </cell>
        </row>
        <row r="13">
          <cell r="A13" t="str">
            <v>1970:12</v>
          </cell>
          <cell r="B13">
            <v>444.42726601289297</v>
          </cell>
          <cell r="C13">
            <v>363.68818352813111</v>
          </cell>
          <cell r="D13">
            <v>1.2220008406693716</v>
          </cell>
          <cell r="E13">
            <v>444.42726601289297</v>
          </cell>
          <cell r="F13">
            <v>363.68818352813111</v>
          </cell>
          <cell r="G13">
            <v>1.2220008406693716</v>
          </cell>
          <cell r="H13">
            <v>2.8</v>
          </cell>
          <cell r="I13">
            <v>4.8</v>
          </cell>
          <cell r="J13">
            <v>-2</v>
          </cell>
          <cell r="K13">
            <v>480.8</v>
          </cell>
          <cell r="L13">
            <v>424.6</v>
          </cell>
          <cell r="M13">
            <v>1.1323598681111635</v>
          </cell>
          <cell r="N13">
            <v>2.5</v>
          </cell>
          <cell r="O13">
            <v>4.3</v>
          </cell>
          <cell r="P13">
            <v>-1.7999999999999998</v>
          </cell>
        </row>
        <row r="14">
          <cell r="A14" t="str">
            <v>1971:1</v>
          </cell>
          <cell r="B14">
            <v>419.77147494891273</v>
          </cell>
          <cell r="C14">
            <v>392.91081774346333</v>
          </cell>
          <cell r="D14">
            <v>1.0683632417140194</v>
          </cell>
          <cell r="E14">
            <v>419.77147494891273</v>
          </cell>
          <cell r="F14">
            <v>392.91081774346333</v>
          </cell>
          <cell r="G14">
            <v>1.0683632417140194</v>
          </cell>
          <cell r="H14">
            <v>3.5</v>
          </cell>
          <cell r="I14">
            <v>3.9</v>
          </cell>
          <cell r="J14">
            <v>-0.39999999999999991</v>
          </cell>
          <cell r="K14">
            <v>450.5</v>
          </cell>
          <cell r="L14">
            <v>456.3</v>
          </cell>
          <cell r="M14">
            <v>0.98728906421214113</v>
          </cell>
          <cell r="N14">
            <v>3.5</v>
          </cell>
          <cell r="O14">
            <v>3.3</v>
          </cell>
          <cell r="P14">
            <v>0.20000000000000018</v>
          </cell>
        </row>
        <row r="15">
          <cell r="A15" t="str">
            <v>1971:2</v>
          </cell>
          <cell r="B15">
            <v>345.87730140416124</v>
          </cell>
          <cell r="C15">
            <v>331.22294910654443</v>
          </cell>
          <cell r="D15">
            <v>1.0442431671390708</v>
          </cell>
          <cell r="E15">
            <v>345.87730140416124</v>
          </cell>
          <cell r="F15">
            <v>331.22294910654443</v>
          </cell>
          <cell r="G15">
            <v>1.0442431671390708</v>
          </cell>
          <cell r="H15">
            <v>4.4000000000000004</v>
          </cell>
          <cell r="I15">
            <v>4.9000000000000004</v>
          </cell>
          <cell r="J15">
            <v>-0.5</v>
          </cell>
          <cell r="K15">
            <v>379.9</v>
          </cell>
          <cell r="L15">
            <v>388.2</v>
          </cell>
          <cell r="M15">
            <v>0.97861926841834102</v>
          </cell>
          <cell r="N15">
            <v>4.4000000000000004</v>
          </cell>
          <cell r="O15">
            <v>4.2</v>
          </cell>
          <cell r="P15">
            <v>0.20000000000000018</v>
          </cell>
        </row>
        <row r="16">
          <cell r="A16" t="str">
            <v>1971:3</v>
          </cell>
          <cell r="B16">
            <v>393.42262091039913</v>
          </cell>
          <cell r="C16">
            <v>270.29253185771751</v>
          </cell>
          <cell r="D16">
            <v>1.4555438073202021</v>
          </cell>
          <cell r="E16">
            <v>393.42262091039913</v>
          </cell>
          <cell r="F16">
            <v>270.29253185771751</v>
          </cell>
          <cell r="G16">
            <v>1.4555438073202021</v>
          </cell>
          <cell r="H16">
            <v>4.0999999999999996</v>
          </cell>
          <cell r="I16">
            <v>7.4</v>
          </cell>
          <cell r="J16">
            <v>-3.3000000000000007</v>
          </cell>
          <cell r="K16">
            <v>433.8</v>
          </cell>
          <cell r="L16">
            <v>344.1</v>
          </cell>
          <cell r="M16">
            <v>1.2606800348735832</v>
          </cell>
          <cell r="N16">
            <v>4</v>
          </cell>
          <cell r="O16">
            <v>6.9</v>
          </cell>
          <cell r="P16">
            <v>-2.9000000000000004</v>
          </cell>
        </row>
        <row r="17">
          <cell r="A17" t="str">
            <v>1971:4</v>
          </cell>
          <cell r="B17">
            <v>162.15440151611003</v>
          </cell>
          <cell r="C17">
            <v>198.63939385091356</v>
          </cell>
          <cell r="D17">
            <v>0.81632549502146123</v>
          </cell>
          <cell r="E17">
            <v>162.15440151611003</v>
          </cell>
          <cell r="F17">
            <v>198.63939385091356</v>
          </cell>
          <cell r="G17">
            <v>0.81632549502146123</v>
          </cell>
          <cell r="H17">
            <v>11.3</v>
          </cell>
          <cell r="I17">
            <v>9.9</v>
          </cell>
          <cell r="J17">
            <v>1.4000000000000004</v>
          </cell>
          <cell r="K17">
            <v>217.7</v>
          </cell>
          <cell r="L17">
            <v>248.1</v>
          </cell>
          <cell r="M17">
            <v>0.87746876259572748</v>
          </cell>
          <cell r="N17">
            <v>10.7</v>
          </cell>
          <cell r="O17">
            <v>9.6999999999999993</v>
          </cell>
          <cell r="P17">
            <v>1</v>
          </cell>
        </row>
        <row r="18">
          <cell r="A18" t="str">
            <v>1971:5</v>
          </cell>
          <cell r="B18">
            <v>76.250349235733196</v>
          </cell>
          <cell r="C18">
            <v>94.205291641343422</v>
          </cell>
          <cell r="D18">
            <v>0.80940622238113824</v>
          </cell>
          <cell r="E18">
            <v>76.250349235733196</v>
          </cell>
          <cell r="F18">
            <v>94.205291641343422</v>
          </cell>
          <cell r="G18">
            <v>0.80940622238113824</v>
          </cell>
          <cell r="H18">
            <v>14.5</v>
          </cell>
          <cell r="I18">
            <v>13.6</v>
          </cell>
          <cell r="J18">
            <v>0.90000000000000036</v>
          </cell>
          <cell r="K18">
            <v>93.5</v>
          </cell>
          <cell r="L18">
            <v>147.30000000000001</v>
          </cell>
          <cell r="M18">
            <v>0.63475899524779356</v>
          </cell>
          <cell r="N18">
            <v>15.1</v>
          </cell>
          <cell r="O18">
            <v>13.4</v>
          </cell>
          <cell r="P18">
            <v>1.6999999999999993</v>
          </cell>
        </row>
        <row r="19">
          <cell r="A19" t="str">
            <v>1971:6</v>
          </cell>
          <cell r="B19">
            <v>54.837904669274771</v>
          </cell>
          <cell r="C19">
            <v>33.639009300779129</v>
          </cell>
          <cell r="D19">
            <v>1.6301878625184316</v>
          </cell>
          <cell r="E19">
            <v>0</v>
          </cell>
          <cell r="F19">
            <v>0</v>
          </cell>
          <cell r="G19">
            <v>1</v>
          </cell>
          <cell r="H19">
            <v>15.5</v>
          </cell>
          <cell r="I19">
            <v>16.8</v>
          </cell>
          <cell r="J19">
            <v>-1.3000000000000007</v>
          </cell>
          <cell r="K19">
            <v>97.4</v>
          </cell>
          <cell r="L19">
            <v>65.7</v>
          </cell>
          <cell r="M19">
            <v>1.482496194824962</v>
          </cell>
          <cell r="N19">
            <v>14.8</v>
          </cell>
          <cell r="O19">
            <v>16.399999999999999</v>
          </cell>
          <cell r="P19">
            <v>-1.5999999999999979</v>
          </cell>
        </row>
        <row r="20">
          <cell r="A20" t="str">
            <v>1971:7</v>
          </cell>
          <cell r="B20">
            <v>5.2343352861753552</v>
          </cell>
          <cell r="C20">
            <v>9.8992241828118033</v>
          </cell>
          <cell r="D20">
            <v>0.52876217262195391</v>
          </cell>
          <cell r="E20">
            <v>0</v>
          </cell>
          <cell r="F20">
            <v>0</v>
          </cell>
          <cell r="G20">
            <v>1</v>
          </cell>
          <cell r="H20">
            <v>20.3</v>
          </cell>
          <cell r="I20">
            <v>18.899999999999999</v>
          </cell>
          <cell r="J20">
            <v>1.4000000000000021</v>
          </cell>
          <cell r="K20">
            <v>13.2</v>
          </cell>
          <cell r="L20">
            <v>31.2</v>
          </cell>
          <cell r="M20">
            <v>0.42307692307692307</v>
          </cell>
          <cell r="N20">
            <v>19.2</v>
          </cell>
          <cell r="O20">
            <v>18.3</v>
          </cell>
          <cell r="P20">
            <v>0.89999999999999858</v>
          </cell>
        </row>
        <row r="21">
          <cell r="A21" t="str">
            <v>1971:8</v>
          </cell>
          <cell r="B21">
            <v>5.9523913456625417</v>
          </cell>
          <cell r="C21">
            <v>9.4425505166936539</v>
          </cell>
          <cell r="D21">
            <v>0.63037961355241923</v>
          </cell>
          <cell r="E21">
            <v>0</v>
          </cell>
          <cell r="F21">
            <v>0</v>
          </cell>
          <cell r="G21">
            <v>1</v>
          </cell>
          <cell r="H21">
            <v>19.100000000000001</v>
          </cell>
          <cell r="I21">
            <v>18.7</v>
          </cell>
          <cell r="J21">
            <v>0.40000000000000213</v>
          </cell>
          <cell r="K21">
            <v>20.100000000000001</v>
          </cell>
          <cell r="L21">
            <v>32.6</v>
          </cell>
          <cell r="M21">
            <v>0.6165644171779141</v>
          </cell>
          <cell r="N21">
            <v>17.899999999999999</v>
          </cell>
          <cell r="O21">
            <v>18</v>
          </cell>
          <cell r="P21">
            <v>-0.10000000000000142</v>
          </cell>
        </row>
        <row r="22">
          <cell r="A22" t="str">
            <v>1971:9</v>
          </cell>
          <cell r="B22">
            <v>47.94544985192514</v>
          </cell>
          <cell r="C22">
            <v>43.697695496746512</v>
          </cell>
          <cell r="D22">
            <v>1.0972077430374994</v>
          </cell>
          <cell r="E22">
            <v>0</v>
          </cell>
          <cell r="F22">
            <v>0</v>
          </cell>
          <cell r="G22">
            <v>1</v>
          </cell>
          <cell r="H22">
            <v>15.8</v>
          </cell>
          <cell r="I22">
            <v>16.3</v>
          </cell>
          <cell r="J22">
            <v>-0.5</v>
          </cell>
          <cell r="K22">
            <v>88.9</v>
          </cell>
          <cell r="L22">
            <v>80</v>
          </cell>
          <cell r="M22">
            <v>1.1112500000000001</v>
          </cell>
          <cell r="N22">
            <v>15</v>
          </cell>
          <cell r="O22">
            <v>15.7</v>
          </cell>
          <cell r="P22">
            <v>-0.69999999999999929</v>
          </cell>
        </row>
        <row r="23">
          <cell r="A23" t="str">
            <v>1971:10</v>
          </cell>
          <cell r="B23">
            <v>138.4669417044841</v>
          </cell>
          <cell r="C23">
            <v>132.10004667845612</v>
          </cell>
          <cell r="D23">
            <v>1.0481975229087208</v>
          </cell>
          <cell r="E23">
            <v>138.4669417044841</v>
          </cell>
          <cell r="F23">
            <v>132.10004667845612</v>
          </cell>
          <cell r="G23">
            <v>1.0481975229087208</v>
          </cell>
          <cell r="H23">
            <v>12.1</v>
          </cell>
          <cell r="I23">
            <v>12.2</v>
          </cell>
          <cell r="J23">
            <v>-9.9999999999999645E-2</v>
          </cell>
          <cell r="K23">
            <v>224.4</v>
          </cell>
          <cell r="L23">
            <v>201.4</v>
          </cell>
          <cell r="M23">
            <v>1.1142005958291956</v>
          </cell>
          <cell r="N23">
            <v>10.8</v>
          </cell>
          <cell r="O23">
            <v>11.5</v>
          </cell>
          <cell r="P23">
            <v>-0.69999999999999929</v>
          </cell>
        </row>
        <row r="24">
          <cell r="A24" t="str">
            <v>1971:11</v>
          </cell>
          <cell r="B24">
            <v>333.56404307586411</v>
          </cell>
          <cell r="C24">
            <v>277.9065874341735</v>
          </cell>
          <cell r="D24">
            <v>1.2002739703134022</v>
          </cell>
          <cell r="E24">
            <v>333.56404307586411</v>
          </cell>
          <cell r="F24">
            <v>277.9065874341735</v>
          </cell>
          <cell r="G24">
            <v>1.2002739703134022</v>
          </cell>
          <cell r="H24">
            <v>5.9</v>
          </cell>
          <cell r="I24">
            <v>7.5</v>
          </cell>
          <cell r="J24">
            <v>-1.5999999999999996</v>
          </cell>
          <cell r="K24">
            <v>370.9</v>
          </cell>
          <cell r="L24">
            <v>336.8</v>
          </cell>
          <cell r="M24">
            <v>1.1012470308788598</v>
          </cell>
          <cell r="N24">
            <v>5.6</v>
          </cell>
          <cell r="O24">
            <v>6.8</v>
          </cell>
          <cell r="P24">
            <v>-1.2000000000000002</v>
          </cell>
        </row>
        <row r="25">
          <cell r="A25" t="str">
            <v>1971:12</v>
          </cell>
          <cell r="B25">
            <v>377.37100887158044</v>
          </cell>
          <cell r="C25">
            <v>363.68818352813111</v>
          </cell>
          <cell r="D25">
            <v>1.0376224083243852</v>
          </cell>
          <cell r="E25">
            <v>377.37100887158044</v>
          </cell>
          <cell r="F25">
            <v>363.68818352813111</v>
          </cell>
          <cell r="G25">
            <v>1.0376224083243852</v>
          </cell>
          <cell r="H25">
            <v>4.9000000000000004</v>
          </cell>
          <cell r="I25">
            <v>4.8</v>
          </cell>
          <cell r="J25">
            <v>0.10000000000000053</v>
          </cell>
          <cell r="K25">
            <v>415.1</v>
          </cell>
          <cell r="L25">
            <v>424.6</v>
          </cell>
          <cell r="M25">
            <v>0.97762600094206309</v>
          </cell>
          <cell r="N25">
            <v>4.5999999999999996</v>
          </cell>
          <cell r="O25">
            <v>4.3</v>
          </cell>
          <cell r="P25">
            <v>0.29999999999999982</v>
          </cell>
        </row>
        <row r="26">
          <cell r="A26" t="str">
            <v>1972:1</v>
          </cell>
          <cell r="B26">
            <v>410.55231510244414</v>
          </cell>
          <cell r="C26">
            <v>392.91081774346333</v>
          </cell>
          <cell r="D26">
            <v>1.044899495158464</v>
          </cell>
          <cell r="E26">
            <v>410.55231510244414</v>
          </cell>
          <cell r="F26">
            <v>392.91081774346333</v>
          </cell>
          <cell r="G26">
            <v>1.044899495158464</v>
          </cell>
          <cell r="H26">
            <v>3.7</v>
          </cell>
          <cell r="I26">
            <v>3.9</v>
          </cell>
          <cell r="J26">
            <v>-0.19999999999999973</v>
          </cell>
          <cell r="K26">
            <v>469</v>
          </cell>
          <cell r="L26">
            <v>456.3</v>
          </cell>
          <cell r="M26">
            <v>1.0278325662941048</v>
          </cell>
          <cell r="N26">
            <v>2.9</v>
          </cell>
          <cell r="O26">
            <v>3.3</v>
          </cell>
          <cell r="P26">
            <v>-0.39999999999999991</v>
          </cell>
        </row>
        <row r="27">
          <cell r="A27" t="str">
            <v>1972:2</v>
          </cell>
          <cell r="B27">
            <v>308.42240493886521</v>
          </cell>
          <cell r="C27">
            <v>331.22294910654443</v>
          </cell>
          <cell r="D27">
            <v>0.9311625470723498</v>
          </cell>
          <cell r="E27">
            <v>308.42240493886521</v>
          </cell>
          <cell r="F27">
            <v>331.22294910654443</v>
          </cell>
          <cell r="G27">
            <v>0.9311625470723498</v>
          </cell>
          <cell r="H27">
            <v>6.2</v>
          </cell>
          <cell r="I27">
            <v>4.9000000000000004</v>
          </cell>
          <cell r="J27">
            <v>1.2999999999999998</v>
          </cell>
          <cell r="K27">
            <v>371.7</v>
          </cell>
          <cell r="L27">
            <v>388.2</v>
          </cell>
          <cell r="M27">
            <v>0.95749613601236472</v>
          </cell>
          <cell r="N27">
            <v>5.2</v>
          </cell>
          <cell r="O27">
            <v>4.2</v>
          </cell>
          <cell r="P27">
            <v>1</v>
          </cell>
        </row>
        <row r="28">
          <cell r="A28" t="str">
            <v>1972:3</v>
          </cell>
          <cell r="B28">
            <v>251.40774917752611</v>
          </cell>
          <cell r="C28">
            <v>270.29253185771751</v>
          </cell>
          <cell r="D28">
            <v>0.93013205895702522</v>
          </cell>
          <cell r="E28">
            <v>251.40774917752611</v>
          </cell>
          <cell r="F28">
            <v>270.29253185771751</v>
          </cell>
          <cell r="G28">
            <v>0.93013205895702522</v>
          </cell>
          <cell r="H28">
            <v>8.4</v>
          </cell>
          <cell r="I28">
            <v>7.4</v>
          </cell>
          <cell r="J28">
            <v>1</v>
          </cell>
          <cell r="K28">
            <v>297</v>
          </cell>
          <cell r="L28">
            <v>344.1</v>
          </cell>
          <cell r="M28">
            <v>0.86312118570183083</v>
          </cell>
          <cell r="N28">
            <v>8.4</v>
          </cell>
          <cell r="O28">
            <v>6.9</v>
          </cell>
          <cell r="P28">
            <v>1.5</v>
          </cell>
        </row>
        <row r="29">
          <cell r="A29" t="str">
            <v>1972:4</v>
          </cell>
          <cell r="B29">
            <v>214.04999616886428</v>
          </cell>
          <cell r="C29">
            <v>198.63939385091356</v>
          </cell>
          <cell r="D29">
            <v>1.0775807961310886</v>
          </cell>
          <cell r="E29">
            <v>214.04999616886428</v>
          </cell>
          <cell r="F29">
            <v>198.63939385091356</v>
          </cell>
          <cell r="G29">
            <v>1.0775807961310886</v>
          </cell>
          <cell r="H29">
            <v>9.5</v>
          </cell>
          <cell r="I29">
            <v>9.9</v>
          </cell>
          <cell r="J29">
            <v>-0.40000000000000036</v>
          </cell>
          <cell r="K29">
            <v>258.10000000000002</v>
          </cell>
          <cell r="L29">
            <v>248.1</v>
          </cell>
          <cell r="M29">
            <v>1.0403063280935108</v>
          </cell>
          <cell r="N29">
            <v>9.4</v>
          </cell>
          <cell r="O29">
            <v>9.6999999999999993</v>
          </cell>
          <cell r="P29">
            <v>-0.29999999999999893</v>
          </cell>
        </row>
        <row r="30">
          <cell r="A30" t="str">
            <v>1972:5</v>
          </cell>
          <cell r="B30">
            <v>132.86345616015029</v>
          </cell>
          <cell r="C30">
            <v>94.205291641343422</v>
          </cell>
          <cell r="D30">
            <v>1.4103608602580999</v>
          </cell>
          <cell r="E30">
            <v>132.86345616015029</v>
          </cell>
          <cell r="F30">
            <v>94.205291641343422</v>
          </cell>
          <cell r="G30">
            <v>1.4103608602580999</v>
          </cell>
          <cell r="H30">
            <v>12.5</v>
          </cell>
          <cell r="I30">
            <v>13.6</v>
          </cell>
          <cell r="J30">
            <v>-1.0999999999999996</v>
          </cell>
          <cell r="K30">
            <v>181.8</v>
          </cell>
          <cell r="L30">
            <v>147.30000000000001</v>
          </cell>
          <cell r="M30">
            <v>1.2342158859470469</v>
          </cell>
          <cell r="N30">
            <v>12.1</v>
          </cell>
          <cell r="O30">
            <v>13.4</v>
          </cell>
          <cell r="P30">
            <v>-1.3000000000000007</v>
          </cell>
        </row>
        <row r="31">
          <cell r="A31" t="str">
            <v>1972:6</v>
          </cell>
          <cell r="B31">
            <v>73.830148191779216</v>
          </cell>
          <cell r="C31">
            <v>33.639009300779129</v>
          </cell>
          <cell r="D31">
            <v>2.1947777216515472</v>
          </cell>
          <cell r="E31">
            <v>0</v>
          </cell>
          <cell r="F31">
            <v>0</v>
          </cell>
          <cell r="G31">
            <v>1</v>
          </cell>
          <cell r="H31">
            <v>14.8</v>
          </cell>
          <cell r="I31">
            <v>16.8</v>
          </cell>
          <cell r="J31">
            <v>-2</v>
          </cell>
          <cell r="K31">
            <v>118.6</v>
          </cell>
          <cell r="L31">
            <v>65.7</v>
          </cell>
          <cell r="M31">
            <v>1.8051750380517502</v>
          </cell>
          <cell r="N31">
            <v>14.1</v>
          </cell>
          <cell r="O31">
            <v>16.399999999999999</v>
          </cell>
          <cell r="P31">
            <v>-2.2999999999999989</v>
          </cell>
        </row>
        <row r="32">
          <cell r="A32" t="str">
            <v>1972:7</v>
          </cell>
          <cell r="B32">
            <v>17.499822209214834</v>
          </cell>
          <cell r="C32">
            <v>9.8992241828118033</v>
          </cell>
          <cell r="D32">
            <v>1.7677973431089764</v>
          </cell>
          <cell r="E32">
            <v>0</v>
          </cell>
          <cell r="F32">
            <v>0</v>
          </cell>
          <cell r="G32">
            <v>1</v>
          </cell>
          <cell r="H32">
            <v>18.5</v>
          </cell>
          <cell r="I32">
            <v>18.899999999999999</v>
          </cell>
          <cell r="J32">
            <v>-0.39999999999999858</v>
          </cell>
          <cell r="K32">
            <v>35</v>
          </cell>
          <cell r="L32">
            <v>31.2</v>
          </cell>
          <cell r="M32">
            <v>1.1217948717948718</v>
          </cell>
          <cell r="N32">
            <v>18.100000000000001</v>
          </cell>
          <cell r="O32">
            <v>18.3</v>
          </cell>
          <cell r="P32">
            <v>-0.19999999999999929</v>
          </cell>
        </row>
        <row r="33">
          <cell r="A33" t="str">
            <v>1972:8</v>
          </cell>
          <cell r="B33">
            <v>21.860184691197801</v>
          </cell>
          <cell r="C33">
            <v>9.4425505166936539</v>
          </cell>
          <cell r="D33">
            <v>2.3150720403931957</v>
          </cell>
          <cell r="E33">
            <v>0</v>
          </cell>
          <cell r="F33">
            <v>0</v>
          </cell>
          <cell r="G33">
            <v>1</v>
          </cell>
          <cell r="H33">
            <v>17</v>
          </cell>
          <cell r="I33">
            <v>18.7</v>
          </cell>
          <cell r="J33">
            <v>-1.6999999999999993</v>
          </cell>
          <cell r="K33">
            <v>44.8</v>
          </cell>
          <cell r="L33">
            <v>32.6</v>
          </cell>
          <cell r="M33">
            <v>1.3742331288343557</v>
          </cell>
          <cell r="N33">
            <v>16.8</v>
          </cell>
          <cell r="O33">
            <v>18</v>
          </cell>
          <cell r="P33">
            <v>-1.1999999999999993</v>
          </cell>
        </row>
        <row r="34">
          <cell r="A34" t="str">
            <v>1972:9</v>
          </cell>
          <cell r="B34">
            <v>102.4033772342998</v>
          </cell>
          <cell r="C34">
            <v>43.697695496746512</v>
          </cell>
          <cell r="D34">
            <v>2.3434502911469139</v>
          </cell>
          <cell r="E34">
            <v>0</v>
          </cell>
          <cell r="F34">
            <v>0</v>
          </cell>
          <cell r="G34">
            <v>1</v>
          </cell>
          <cell r="H34">
            <v>13.4</v>
          </cell>
          <cell r="I34">
            <v>16.3</v>
          </cell>
          <cell r="J34">
            <v>-2.9000000000000004</v>
          </cell>
          <cell r="K34">
            <v>157.80000000000001</v>
          </cell>
          <cell r="L34">
            <v>80</v>
          </cell>
          <cell r="M34">
            <v>1.9725000000000001</v>
          </cell>
          <cell r="N34">
            <v>12.7</v>
          </cell>
          <cell r="O34">
            <v>15.7</v>
          </cell>
          <cell r="P34">
            <v>-3</v>
          </cell>
        </row>
        <row r="35">
          <cell r="A35" t="str">
            <v>1972:10</v>
          </cell>
          <cell r="B35">
            <v>172.6303363182094</v>
          </cell>
          <cell r="C35">
            <v>132.10004667845612</v>
          </cell>
          <cell r="D35">
            <v>1.3068151046033147</v>
          </cell>
          <cell r="E35">
            <v>172.6303363182094</v>
          </cell>
          <cell r="F35">
            <v>132.10004667845612</v>
          </cell>
          <cell r="G35">
            <v>1.3068151046033147</v>
          </cell>
          <cell r="H35">
            <v>11</v>
          </cell>
          <cell r="I35">
            <v>12.2</v>
          </cell>
          <cell r="J35">
            <v>-1.1999999999999993</v>
          </cell>
          <cell r="K35">
            <v>242.4</v>
          </cell>
          <cell r="L35">
            <v>201.4</v>
          </cell>
          <cell r="M35">
            <v>1.2035749751737834</v>
          </cell>
          <cell r="N35">
            <v>10.199999999999999</v>
          </cell>
          <cell r="O35">
            <v>11.5</v>
          </cell>
          <cell r="P35">
            <v>-1.3000000000000007</v>
          </cell>
        </row>
        <row r="36">
          <cell r="A36" t="str">
            <v>1972:11</v>
          </cell>
          <cell r="B36">
            <v>273.09641000812945</v>
          </cell>
          <cell r="C36">
            <v>277.9065874341735</v>
          </cell>
          <cell r="D36">
            <v>0.98269138752537333</v>
          </cell>
          <cell r="E36">
            <v>273.09641000812945</v>
          </cell>
          <cell r="F36">
            <v>277.9065874341735</v>
          </cell>
          <cell r="G36">
            <v>0.98269138752537333</v>
          </cell>
          <cell r="H36">
            <v>7.8</v>
          </cell>
          <cell r="I36">
            <v>7.5</v>
          </cell>
          <cell r="J36">
            <v>0.29999999999999982</v>
          </cell>
          <cell r="K36">
            <v>334.2</v>
          </cell>
          <cell r="L36">
            <v>336.8</v>
          </cell>
          <cell r="M36">
            <v>0.99228028503562937</v>
          </cell>
          <cell r="N36">
            <v>6.9</v>
          </cell>
          <cell r="O36">
            <v>6.8</v>
          </cell>
          <cell r="P36">
            <v>0.10000000000000053</v>
          </cell>
        </row>
        <row r="37">
          <cell r="A37" t="str">
            <v>1972:12</v>
          </cell>
          <cell r="B37">
            <v>375.37001000236671</v>
          </cell>
          <cell r="C37">
            <v>363.68818352813111</v>
          </cell>
          <cell r="D37">
            <v>1.0321204454896238</v>
          </cell>
          <cell r="E37">
            <v>375.37001000236671</v>
          </cell>
          <cell r="F37">
            <v>363.68818352813111</v>
          </cell>
          <cell r="G37">
            <v>1.0321204454896238</v>
          </cell>
          <cell r="H37">
            <v>4.7</v>
          </cell>
          <cell r="I37">
            <v>4.8</v>
          </cell>
          <cell r="J37">
            <v>-9.9999999999999645E-2</v>
          </cell>
          <cell r="K37">
            <v>419</v>
          </cell>
          <cell r="L37">
            <v>424.6</v>
          </cell>
          <cell r="M37">
            <v>0.98681111634479501</v>
          </cell>
          <cell r="N37">
            <v>4.5</v>
          </cell>
          <cell r="O37">
            <v>4.3</v>
          </cell>
          <cell r="P37">
            <v>0.20000000000000018</v>
          </cell>
        </row>
        <row r="38">
          <cell r="A38" t="str">
            <v>1973:1</v>
          </cell>
          <cell r="B38">
            <v>429.08868343193626</v>
          </cell>
          <cell r="C38">
            <v>392.91081774346333</v>
          </cell>
          <cell r="D38">
            <v>1.0920765325226904</v>
          </cell>
          <cell r="E38">
            <v>429.08868343193626</v>
          </cell>
          <cell r="F38">
            <v>392.91081774346333</v>
          </cell>
          <cell r="G38">
            <v>1.0920765325226904</v>
          </cell>
          <cell r="H38">
            <v>3.1</v>
          </cell>
          <cell r="I38">
            <v>3.9</v>
          </cell>
          <cell r="J38">
            <v>-0.79999999999999982</v>
          </cell>
          <cell r="K38">
            <v>465.4</v>
          </cell>
          <cell r="L38">
            <v>456.3</v>
          </cell>
          <cell r="M38">
            <v>1.0199430199430199</v>
          </cell>
          <cell r="N38">
            <v>3</v>
          </cell>
          <cell r="O38">
            <v>3.3</v>
          </cell>
          <cell r="P38">
            <v>-0.29999999999999982</v>
          </cell>
        </row>
        <row r="39">
          <cell r="A39" t="str">
            <v>1973:2</v>
          </cell>
          <cell r="B39">
            <v>368.33577672200346</v>
          </cell>
          <cell r="C39">
            <v>331.22294910654443</v>
          </cell>
          <cell r="D39">
            <v>1.1120478750508345</v>
          </cell>
          <cell r="E39">
            <v>368.33577672200346</v>
          </cell>
          <cell r="F39">
            <v>331.22294910654443</v>
          </cell>
          <cell r="G39">
            <v>1.1120478750508345</v>
          </cell>
          <cell r="H39">
            <v>3.6</v>
          </cell>
          <cell r="I39">
            <v>4.9000000000000004</v>
          </cell>
          <cell r="J39">
            <v>-1.3000000000000003</v>
          </cell>
          <cell r="K39">
            <v>401.9</v>
          </cell>
          <cell r="L39">
            <v>388.2</v>
          </cell>
          <cell r="M39">
            <v>1.0352910870685212</v>
          </cell>
          <cell r="N39">
            <v>3.6</v>
          </cell>
          <cell r="O39">
            <v>4.2</v>
          </cell>
          <cell r="P39">
            <v>-0.60000000000000009</v>
          </cell>
        </row>
        <row r="40">
          <cell r="A40" t="str">
            <v>1973:3</v>
          </cell>
          <cell r="B40">
            <v>322.49568047449003</v>
          </cell>
          <cell r="C40">
            <v>270.29253185771751</v>
          </cell>
          <cell r="D40">
            <v>1.193135741701707</v>
          </cell>
          <cell r="E40">
            <v>322.49568047449003</v>
          </cell>
          <cell r="F40">
            <v>270.29253185771751</v>
          </cell>
          <cell r="G40">
            <v>1.193135741701707</v>
          </cell>
          <cell r="H40">
            <v>6.2</v>
          </cell>
          <cell r="I40">
            <v>7.4</v>
          </cell>
          <cell r="J40">
            <v>-1.2000000000000002</v>
          </cell>
          <cell r="K40">
            <v>366.5</v>
          </cell>
          <cell r="L40">
            <v>344.1</v>
          </cell>
          <cell r="M40">
            <v>1.0650973554199359</v>
          </cell>
          <cell r="N40">
            <v>6.2</v>
          </cell>
          <cell r="O40">
            <v>6.9</v>
          </cell>
          <cell r="P40">
            <v>-0.70000000000000018</v>
          </cell>
        </row>
        <row r="41">
          <cell r="A41" t="str">
            <v>1973:4</v>
          </cell>
          <cell r="B41">
            <v>254.8396154457073</v>
          </cell>
          <cell r="C41">
            <v>198.63939385091356</v>
          </cell>
          <cell r="D41">
            <v>1.2829258613071188</v>
          </cell>
          <cell r="E41">
            <v>254.8396154457073</v>
          </cell>
          <cell r="F41">
            <v>198.63939385091356</v>
          </cell>
          <cell r="G41">
            <v>1.2829258613071188</v>
          </cell>
          <cell r="H41">
            <v>8.1999999999999993</v>
          </cell>
          <cell r="I41">
            <v>9.9</v>
          </cell>
          <cell r="J41">
            <v>-1.7000000000000011</v>
          </cell>
          <cell r="K41">
            <v>292.5</v>
          </cell>
          <cell r="L41">
            <v>248.1</v>
          </cell>
          <cell r="M41">
            <v>1.1789600967351874</v>
          </cell>
          <cell r="N41">
            <v>8.3000000000000007</v>
          </cell>
          <cell r="O41">
            <v>9.6999999999999993</v>
          </cell>
          <cell r="P41">
            <v>-1.3999999999999986</v>
          </cell>
        </row>
        <row r="42">
          <cell r="A42" t="str">
            <v>1973:5</v>
          </cell>
          <cell r="B42">
            <v>86.430272802253029</v>
          </cell>
          <cell r="C42">
            <v>94.205291641343422</v>
          </cell>
          <cell r="D42">
            <v>0.91746728125749777</v>
          </cell>
          <cell r="E42">
            <v>86.430272802253029</v>
          </cell>
          <cell r="F42">
            <v>94.205291641343422</v>
          </cell>
          <cell r="G42">
            <v>0.91746728125749777</v>
          </cell>
          <cell r="H42">
            <v>14.3</v>
          </cell>
          <cell r="I42">
            <v>13.6</v>
          </cell>
          <cell r="J42">
            <v>0.70000000000000107</v>
          </cell>
          <cell r="K42">
            <v>137.4</v>
          </cell>
          <cell r="L42">
            <v>147.30000000000001</v>
          </cell>
          <cell r="M42">
            <v>0.93279022403258649</v>
          </cell>
          <cell r="N42">
            <v>13.6</v>
          </cell>
          <cell r="O42">
            <v>13.4</v>
          </cell>
          <cell r="P42">
            <v>0.19999999999999929</v>
          </cell>
        </row>
        <row r="43">
          <cell r="A43" t="str">
            <v>1973:6</v>
          </cell>
          <cell r="B43">
            <v>23.663381313687772</v>
          </cell>
          <cell r="C43">
            <v>33.639009300779129</v>
          </cell>
          <cell r="D43">
            <v>0.70345060111920987</v>
          </cell>
          <cell r="E43">
            <v>0</v>
          </cell>
          <cell r="F43">
            <v>0</v>
          </cell>
          <cell r="G43">
            <v>1</v>
          </cell>
          <cell r="H43">
            <v>17.7</v>
          </cell>
          <cell r="I43">
            <v>16.8</v>
          </cell>
          <cell r="J43">
            <v>0.89999999999999858</v>
          </cell>
          <cell r="K43">
            <v>40.1</v>
          </cell>
          <cell r="L43">
            <v>65.7</v>
          </cell>
          <cell r="M43">
            <v>0.61035007610350078</v>
          </cell>
          <cell r="N43">
            <v>17.5</v>
          </cell>
          <cell r="O43">
            <v>16.399999999999999</v>
          </cell>
          <cell r="P43">
            <v>1.1000000000000014</v>
          </cell>
        </row>
        <row r="44">
          <cell r="A44" t="str">
            <v>1973:7</v>
          </cell>
          <cell r="B44">
            <v>11.249601755140414</v>
          </cell>
          <cell r="C44">
            <v>9.8992241828118033</v>
          </cell>
          <cell r="D44">
            <v>1.1364124649963272</v>
          </cell>
          <cell r="E44">
            <v>0</v>
          </cell>
          <cell r="F44">
            <v>0</v>
          </cell>
          <cell r="G44">
            <v>1</v>
          </cell>
          <cell r="H44">
            <v>18.8</v>
          </cell>
          <cell r="I44">
            <v>18.899999999999999</v>
          </cell>
          <cell r="J44">
            <v>-9.9999999999997868E-2</v>
          </cell>
          <cell r="K44">
            <v>28</v>
          </cell>
          <cell r="L44">
            <v>31.2</v>
          </cell>
          <cell r="M44">
            <v>0.89743589743589747</v>
          </cell>
          <cell r="N44">
            <v>18</v>
          </cell>
          <cell r="O44">
            <v>18.3</v>
          </cell>
          <cell r="P44">
            <v>-0.30000000000000071</v>
          </cell>
        </row>
        <row r="45">
          <cell r="A45" t="str">
            <v>1973:8</v>
          </cell>
          <cell r="B45">
            <v>3.3392014801499594</v>
          </cell>
          <cell r="C45">
            <v>9.4425505166936539</v>
          </cell>
          <cell r="D45">
            <v>0.35363342502076378</v>
          </cell>
          <cell r="E45">
            <v>0</v>
          </cell>
          <cell r="F45">
            <v>0</v>
          </cell>
          <cell r="G45">
            <v>1</v>
          </cell>
          <cell r="H45">
            <v>19.600000000000001</v>
          </cell>
          <cell r="I45">
            <v>18.7</v>
          </cell>
          <cell r="J45">
            <v>0.90000000000000213</v>
          </cell>
          <cell r="K45">
            <v>8.9</v>
          </cell>
          <cell r="L45">
            <v>32.6</v>
          </cell>
          <cell r="M45">
            <v>0.27300613496932513</v>
          </cell>
          <cell r="N45">
            <v>20.100000000000001</v>
          </cell>
          <cell r="O45">
            <v>18</v>
          </cell>
          <cell r="P45">
            <v>2.1000000000000014</v>
          </cell>
        </row>
        <row r="46">
          <cell r="A46" t="str">
            <v>1973:9</v>
          </cell>
          <cell r="B46">
            <v>45.155329883876682</v>
          </cell>
          <cell r="C46">
            <v>43.697695496746512</v>
          </cell>
          <cell r="D46">
            <v>1.0333572370478599</v>
          </cell>
          <cell r="E46">
            <v>0</v>
          </cell>
          <cell r="F46">
            <v>0</v>
          </cell>
          <cell r="G46">
            <v>1</v>
          </cell>
          <cell r="H46">
            <v>17.100000000000001</v>
          </cell>
          <cell r="I46">
            <v>16.3</v>
          </cell>
          <cell r="J46">
            <v>0.80000000000000071</v>
          </cell>
          <cell r="K46">
            <v>77.400000000000006</v>
          </cell>
          <cell r="L46">
            <v>80</v>
          </cell>
          <cell r="M46">
            <v>0.96750000000000003</v>
          </cell>
          <cell r="N46">
            <v>16.5</v>
          </cell>
          <cell r="O46">
            <v>15.7</v>
          </cell>
          <cell r="P46">
            <v>0.80000000000000071</v>
          </cell>
        </row>
        <row r="47">
          <cell r="A47" t="str">
            <v>1973:10</v>
          </cell>
          <cell r="B47">
            <v>185.5316628497757</v>
          </cell>
          <cell r="C47">
            <v>132.10004667845612</v>
          </cell>
          <cell r="D47">
            <v>1.4044784049272681</v>
          </cell>
          <cell r="E47">
            <v>185.5316628497757</v>
          </cell>
          <cell r="F47">
            <v>132.10004667845612</v>
          </cell>
          <cell r="G47">
            <v>1.4044784049272681</v>
          </cell>
          <cell r="H47">
            <v>10.7</v>
          </cell>
          <cell r="I47">
            <v>12.2</v>
          </cell>
          <cell r="J47">
            <v>-1.5</v>
          </cell>
          <cell r="K47">
            <v>239.1</v>
          </cell>
          <cell r="L47">
            <v>201.4</v>
          </cell>
          <cell r="M47">
            <v>1.1871896722939423</v>
          </cell>
          <cell r="N47">
            <v>10.3</v>
          </cell>
          <cell r="O47">
            <v>11.5</v>
          </cell>
          <cell r="P47">
            <v>-1.1999999999999993</v>
          </cell>
        </row>
        <row r="48">
          <cell r="A48" t="str">
            <v>1973:11</v>
          </cell>
          <cell r="B48">
            <v>297.1987434164933</v>
          </cell>
          <cell r="C48">
            <v>277.9065874341735</v>
          </cell>
          <cell r="D48">
            <v>1.069419570656595</v>
          </cell>
          <cell r="E48">
            <v>297.1987434164933</v>
          </cell>
          <cell r="F48">
            <v>277.9065874341735</v>
          </cell>
          <cell r="G48">
            <v>1.069419570656595</v>
          </cell>
          <cell r="H48">
            <v>7</v>
          </cell>
          <cell r="I48">
            <v>7.5</v>
          </cell>
          <cell r="J48">
            <v>-0.5</v>
          </cell>
          <cell r="K48">
            <v>359.5</v>
          </cell>
          <cell r="L48">
            <v>336.8</v>
          </cell>
          <cell r="M48">
            <v>1.0673990498812351</v>
          </cell>
          <cell r="N48">
            <v>6</v>
          </cell>
          <cell r="O48">
            <v>6.8</v>
          </cell>
          <cell r="P48">
            <v>-0.79999999999999982</v>
          </cell>
        </row>
        <row r="49">
          <cell r="A49" t="str">
            <v>1973:12</v>
          </cell>
          <cell r="B49">
            <v>399.48409480813672</v>
          </cell>
          <cell r="C49">
            <v>363.68818352813111</v>
          </cell>
          <cell r="D49">
            <v>1.0984247300331571</v>
          </cell>
          <cell r="E49">
            <v>399.48409480813672</v>
          </cell>
          <cell r="F49">
            <v>363.68818352813111</v>
          </cell>
          <cell r="G49">
            <v>1.0984247300331571</v>
          </cell>
          <cell r="H49">
            <v>4.0999999999999996</v>
          </cell>
          <cell r="I49">
            <v>4.8</v>
          </cell>
          <cell r="J49">
            <v>-0.70000000000000018</v>
          </cell>
          <cell r="K49">
            <v>426.8</v>
          </cell>
          <cell r="L49">
            <v>424.6</v>
          </cell>
          <cell r="M49">
            <v>1.0051813471502591</v>
          </cell>
          <cell r="N49">
            <v>4.2</v>
          </cell>
          <cell r="O49">
            <v>4.3</v>
          </cell>
          <cell r="P49">
            <v>-9.9999999999999645E-2</v>
          </cell>
        </row>
        <row r="50">
          <cell r="A50" t="str">
            <v>1974:1</v>
          </cell>
          <cell r="B50">
            <v>310.50064699826436</v>
          </cell>
          <cell r="C50">
            <v>392.91081774346333</v>
          </cell>
          <cell r="D50">
            <v>0.79025731279558287</v>
          </cell>
          <cell r="E50">
            <v>310.50064699826436</v>
          </cell>
          <cell r="F50">
            <v>392.91081774346333</v>
          </cell>
          <cell r="G50">
            <v>0.79025731279558287</v>
          </cell>
          <cell r="H50">
            <v>6.8</v>
          </cell>
          <cell r="I50">
            <v>3.9</v>
          </cell>
          <cell r="J50">
            <v>2.9</v>
          </cell>
          <cell r="K50">
            <v>337.3</v>
          </cell>
          <cell r="L50">
            <v>456.3</v>
          </cell>
          <cell r="M50">
            <v>0.73920666228358534</v>
          </cell>
          <cell r="N50">
            <v>7.1</v>
          </cell>
          <cell r="O50">
            <v>3.3</v>
          </cell>
          <cell r="P50">
            <v>3.8</v>
          </cell>
        </row>
        <row r="51">
          <cell r="A51" t="str">
            <v>1974:2</v>
          </cell>
          <cell r="B51">
            <v>305.02834216317785</v>
          </cell>
          <cell r="C51">
            <v>331.22294910654443</v>
          </cell>
          <cell r="D51">
            <v>0.92091548301823567</v>
          </cell>
          <cell r="E51">
            <v>305.02834216317785</v>
          </cell>
          <cell r="F51">
            <v>331.22294910654443</v>
          </cell>
          <cell r="G51">
            <v>0.92091548301823567</v>
          </cell>
          <cell r="H51">
            <v>5.9</v>
          </cell>
          <cell r="I51">
            <v>4.9000000000000004</v>
          </cell>
          <cell r="J51">
            <v>1</v>
          </cell>
          <cell r="K51">
            <v>351.9</v>
          </cell>
          <cell r="L51">
            <v>388.2</v>
          </cell>
          <cell r="M51">
            <v>0.9064914992272024</v>
          </cell>
          <cell r="N51">
            <v>5.4</v>
          </cell>
          <cell r="O51">
            <v>4.2</v>
          </cell>
          <cell r="P51">
            <v>1.2000000000000002</v>
          </cell>
        </row>
        <row r="52">
          <cell r="A52" t="str">
            <v>1974:3</v>
          </cell>
          <cell r="B52">
            <v>273.84099583472857</v>
          </cell>
          <cell r="C52">
            <v>270.29253185771751</v>
          </cell>
          <cell r="D52">
            <v>1.0131282353701101</v>
          </cell>
          <cell r="E52">
            <v>273.84099583472857</v>
          </cell>
          <cell r="F52">
            <v>270.29253185771751</v>
          </cell>
          <cell r="G52">
            <v>1.0131282353701101</v>
          </cell>
          <cell r="H52">
            <v>7.8</v>
          </cell>
          <cell r="I52">
            <v>7.4</v>
          </cell>
          <cell r="J52">
            <v>0.39999999999999947</v>
          </cell>
          <cell r="K52">
            <v>338.5</v>
          </cell>
          <cell r="L52">
            <v>344.1</v>
          </cell>
          <cell r="M52">
            <v>0.98372566114501592</v>
          </cell>
          <cell r="N52">
            <v>7.1</v>
          </cell>
          <cell r="O52">
            <v>6.9</v>
          </cell>
          <cell r="P52">
            <v>0.19999999999999929</v>
          </cell>
        </row>
        <row r="53">
          <cell r="A53" t="str">
            <v>1974:4</v>
          </cell>
          <cell r="B53">
            <v>199.37890375581901</v>
          </cell>
          <cell r="C53">
            <v>198.63939385091356</v>
          </cell>
          <cell r="D53">
            <v>1.0037228763669128</v>
          </cell>
          <cell r="E53">
            <v>199.37890375581901</v>
          </cell>
          <cell r="F53">
            <v>198.63939385091356</v>
          </cell>
          <cell r="G53">
            <v>1.0037228763669128</v>
          </cell>
          <cell r="H53">
            <v>9.9</v>
          </cell>
          <cell r="I53">
            <v>9.9</v>
          </cell>
          <cell r="J53">
            <v>0</v>
          </cell>
          <cell r="K53">
            <v>233.1</v>
          </cell>
          <cell r="L53">
            <v>248.1</v>
          </cell>
          <cell r="M53">
            <v>0.93954050785973398</v>
          </cell>
          <cell r="N53">
            <v>10.199999999999999</v>
          </cell>
          <cell r="O53">
            <v>9.6999999999999993</v>
          </cell>
          <cell r="P53">
            <v>0.5</v>
          </cell>
        </row>
        <row r="54">
          <cell r="A54" t="str">
            <v>1974:5</v>
          </cell>
          <cell r="B54">
            <v>122.24386298957788</v>
          </cell>
          <cell r="C54">
            <v>94.205291641343422</v>
          </cell>
          <cell r="D54">
            <v>1.2976326579931663</v>
          </cell>
          <cell r="E54">
            <v>122.24386298957788</v>
          </cell>
          <cell r="F54">
            <v>94.205291641343422</v>
          </cell>
          <cell r="G54">
            <v>1.2976326579931663</v>
          </cell>
          <cell r="H54">
            <v>13</v>
          </cell>
          <cell r="I54">
            <v>13.6</v>
          </cell>
          <cell r="J54">
            <v>-0.59999999999999964</v>
          </cell>
          <cell r="K54">
            <v>163.80000000000001</v>
          </cell>
          <cell r="L54">
            <v>147.30000000000001</v>
          </cell>
          <cell r="M54">
            <v>1.1120162932790223</v>
          </cell>
          <cell r="N54">
            <v>12.7</v>
          </cell>
          <cell r="O54">
            <v>13.4</v>
          </cell>
          <cell r="P54">
            <v>-0.70000000000000107</v>
          </cell>
        </row>
        <row r="55">
          <cell r="A55" t="str">
            <v>1974:6</v>
          </cell>
          <cell r="B55">
            <v>37.207826992691786</v>
          </cell>
          <cell r="C55">
            <v>33.639009300779129</v>
          </cell>
          <cell r="D55">
            <v>1.1060916408091126</v>
          </cell>
          <cell r="E55">
            <v>0</v>
          </cell>
          <cell r="F55">
            <v>0</v>
          </cell>
          <cell r="G55">
            <v>1</v>
          </cell>
          <cell r="H55">
            <v>16.5</v>
          </cell>
          <cell r="I55">
            <v>16.8</v>
          </cell>
          <cell r="J55">
            <v>-0.30000000000000071</v>
          </cell>
          <cell r="K55">
            <v>62.7</v>
          </cell>
          <cell r="L55">
            <v>65.7</v>
          </cell>
          <cell r="M55">
            <v>0.954337899543379</v>
          </cell>
          <cell r="N55">
            <v>16.2</v>
          </cell>
          <cell r="O55">
            <v>16.399999999999999</v>
          </cell>
          <cell r="P55">
            <v>-0.19999999999999929</v>
          </cell>
        </row>
        <row r="56">
          <cell r="A56" t="str">
            <v>1974:7</v>
          </cell>
          <cell r="B56">
            <v>15.486874392231707</v>
          </cell>
          <cell r="C56">
            <v>9.8992241828118033</v>
          </cell>
          <cell r="D56">
            <v>1.5644533456593335</v>
          </cell>
          <cell r="E56">
            <v>0</v>
          </cell>
          <cell r="F56">
            <v>0</v>
          </cell>
          <cell r="G56">
            <v>1</v>
          </cell>
          <cell r="H56">
            <v>18.2</v>
          </cell>
          <cell r="I56">
            <v>18.899999999999999</v>
          </cell>
          <cell r="J56">
            <v>-0.69999999999999929</v>
          </cell>
          <cell r="K56">
            <v>34.200000000000003</v>
          </cell>
          <cell r="L56">
            <v>31.2</v>
          </cell>
          <cell r="M56">
            <v>1.0961538461538463</v>
          </cell>
          <cell r="N56">
            <v>17.2</v>
          </cell>
          <cell r="O56">
            <v>18.3</v>
          </cell>
          <cell r="P56">
            <v>-1.1000000000000014</v>
          </cell>
        </row>
        <row r="57">
          <cell r="A57" t="str">
            <v>1974:8</v>
          </cell>
          <cell r="B57">
            <v>9.5677994099120465</v>
          </cell>
          <cell r="C57">
            <v>9.4425505166936539</v>
          </cell>
          <cell r="D57">
            <v>1.0132643074555929</v>
          </cell>
          <cell r="E57">
            <v>0</v>
          </cell>
          <cell r="F57">
            <v>0</v>
          </cell>
          <cell r="G57">
            <v>1</v>
          </cell>
          <cell r="H57">
            <v>19</v>
          </cell>
          <cell r="I57">
            <v>18.7</v>
          </cell>
          <cell r="J57">
            <v>0.30000000000000071</v>
          </cell>
          <cell r="K57">
            <v>24.6</v>
          </cell>
          <cell r="L57">
            <v>32.6</v>
          </cell>
          <cell r="M57">
            <v>0.754601226993865</v>
          </cell>
          <cell r="N57">
            <v>18.3</v>
          </cell>
          <cell r="O57">
            <v>18</v>
          </cell>
          <cell r="P57">
            <v>0.30000000000000071</v>
          </cell>
        </row>
        <row r="58">
          <cell r="A58" t="str">
            <v>1974:9</v>
          </cell>
          <cell r="B58">
            <v>76.039514403120606</v>
          </cell>
          <cell r="C58">
            <v>43.697695496746512</v>
          </cell>
          <cell r="D58">
            <v>1.7401264194534489</v>
          </cell>
          <cell r="E58">
            <v>0</v>
          </cell>
          <cell r="F58">
            <v>0</v>
          </cell>
          <cell r="G58">
            <v>1</v>
          </cell>
          <cell r="H58">
            <v>14.8</v>
          </cell>
          <cell r="I58">
            <v>16.3</v>
          </cell>
          <cell r="J58">
            <v>-1.5</v>
          </cell>
          <cell r="K58">
            <v>121.6</v>
          </cell>
          <cell r="L58">
            <v>80</v>
          </cell>
          <cell r="M58">
            <v>1.52</v>
          </cell>
          <cell r="N58">
            <v>14.1</v>
          </cell>
          <cell r="O58">
            <v>15.7</v>
          </cell>
          <cell r="P58">
            <v>-1.5999999999999996</v>
          </cell>
        </row>
        <row r="59">
          <cell r="A59" t="str">
            <v>1974:10</v>
          </cell>
          <cell r="B59">
            <v>270.28901306503707</v>
          </cell>
          <cell r="C59">
            <v>132.10004667845612</v>
          </cell>
          <cell r="D59">
            <v>2.0460932441829169</v>
          </cell>
          <cell r="E59">
            <v>270.28901306503707</v>
          </cell>
          <cell r="F59">
            <v>132.10004667845612</v>
          </cell>
          <cell r="G59">
            <v>2.0460932441829169</v>
          </cell>
          <cell r="H59">
            <v>8.1</v>
          </cell>
          <cell r="I59">
            <v>12.2</v>
          </cell>
          <cell r="J59">
            <v>-4.0999999999999996</v>
          </cell>
          <cell r="K59">
            <v>311.10000000000002</v>
          </cell>
          <cell r="L59">
            <v>201.4</v>
          </cell>
          <cell r="M59">
            <v>1.544687189672294</v>
          </cell>
          <cell r="N59">
            <v>8</v>
          </cell>
          <cell r="O59">
            <v>11.5</v>
          </cell>
          <cell r="P59">
            <v>-3.5</v>
          </cell>
        </row>
        <row r="60">
          <cell r="A60" t="str">
            <v>1974:11</v>
          </cell>
          <cell r="B60">
            <v>264.29126357874304</v>
          </cell>
          <cell r="C60">
            <v>277.9065874341735</v>
          </cell>
          <cell r="D60">
            <v>0.95100755264156711</v>
          </cell>
          <cell r="E60">
            <v>264.29126357874304</v>
          </cell>
          <cell r="F60">
            <v>277.9065874341735</v>
          </cell>
          <cell r="G60">
            <v>0.95100755264156711</v>
          </cell>
          <cell r="H60">
            <v>8.1</v>
          </cell>
          <cell r="I60">
            <v>7.5</v>
          </cell>
          <cell r="J60">
            <v>0.59999999999999964</v>
          </cell>
          <cell r="K60">
            <v>301.89999999999998</v>
          </cell>
          <cell r="L60">
            <v>336.8</v>
          </cell>
          <cell r="M60">
            <v>0.89637767220902598</v>
          </cell>
          <cell r="N60">
            <v>7.9</v>
          </cell>
          <cell r="O60">
            <v>6.8</v>
          </cell>
          <cell r="P60">
            <v>1.1000000000000005</v>
          </cell>
        </row>
        <row r="61">
          <cell r="A61" t="str">
            <v>1974:12</v>
          </cell>
          <cell r="B61">
            <v>292.88500783557032</v>
          </cell>
          <cell r="C61">
            <v>363.68818352813111</v>
          </cell>
          <cell r="D61">
            <v>0.80531900980202131</v>
          </cell>
          <cell r="E61">
            <v>292.88500783557032</v>
          </cell>
          <cell r="F61">
            <v>363.68818352813111</v>
          </cell>
          <cell r="G61">
            <v>0.80531900980202131</v>
          </cell>
          <cell r="H61">
            <v>7.5</v>
          </cell>
          <cell r="I61">
            <v>4.8</v>
          </cell>
          <cell r="J61">
            <v>2.7</v>
          </cell>
          <cell r="K61">
            <v>311</v>
          </cell>
          <cell r="L61">
            <v>424.6</v>
          </cell>
          <cell r="M61">
            <v>0.73245407442298627</v>
          </cell>
          <cell r="N61">
            <v>8</v>
          </cell>
          <cell r="O61">
            <v>4.3</v>
          </cell>
          <cell r="P61">
            <v>3.7</v>
          </cell>
        </row>
        <row r="62">
          <cell r="A62" t="str">
            <v>1975:1</v>
          </cell>
          <cell r="B62">
            <v>309.83931215902277</v>
          </cell>
          <cell r="C62">
            <v>392.91081774346333</v>
          </cell>
          <cell r="D62">
            <v>0.78857414498910783</v>
          </cell>
          <cell r="E62">
            <v>309.83931215902277</v>
          </cell>
          <cell r="F62">
            <v>392.91081774346333</v>
          </cell>
          <cell r="G62">
            <v>0.78857414498910783</v>
          </cell>
          <cell r="H62">
            <v>6.9</v>
          </cell>
          <cell r="I62">
            <v>3.9</v>
          </cell>
          <cell r="J62">
            <v>3.0000000000000004</v>
          </cell>
          <cell r="K62">
            <v>325.60000000000002</v>
          </cell>
          <cell r="L62">
            <v>456.3</v>
          </cell>
          <cell r="M62">
            <v>0.71356563664255979</v>
          </cell>
          <cell r="N62">
            <v>7.5</v>
          </cell>
          <cell r="O62">
            <v>3.3</v>
          </cell>
          <cell r="P62">
            <v>4.2</v>
          </cell>
        </row>
        <row r="63">
          <cell r="A63" t="str">
            <v>1975:2</v>
          </cell>
          <cell r="B63">
            <v>304.24663365681852</v>
          </cell>
          <cell r="C63">
            <v>331.22294910654443</v>
          </cell>
          <cell r="D63">
            <v>0.91855541555169096</v>
          </cell>
          <cell r="E63">
            <v>304.24663365681852</v>
          </cell>
          <cell r="F63">
            <v>331.22294910654443</v>
          </cell>
          <cell r="G63">
            <v>0.91855541555169096</v>
          </cell>
          <cell r="H63">
            <v>5.8</v>
          </cell>
          <cell r="I63">
            <v>4.9000000000000004</v>
          </cell>
          <cell r="J63">
            <v>0.89999999999999947</v>
          </cell>
          <cell r="K63">
            <v>358</v>
          </cell>
          <cell r="L63">
            <v>388.2</v>
          </cell>
          <cell r="M63">
            <v>0.92220504894384336</v>
          </cell>
          <cell r="N63">
            <v>5.2</v>
          </cell>
          <cell r="O63">
            <v>4.2</v>
          </cell>
          <cell r="P63">
            <v>1</v>
          </cell>
        </row>
        <row r="64">
          <cell r="A64" t="str">
            <v>1975:3</v>
          </cell>
          <cell r="B64">
            <v>337.20856319794825</v>
          </cell>
          <cell r="C64">
            <v>270.29253185771751</v>
          </cell>
          <cell r="D64">
            <v>1.2475689242330064</v>
          </cell>
          <cell r="E64">
            <v>337.20856319794825</v>
          </cell>
          <cell r="F64">
            <v>270.29253185771751</v>
          </cell>
          <cell r="G64">
            <v>1.2475689242330064</v>
          </cell>
          <cell r="H64">
            <v>5.8</v>
          </cell>
          <cell r="I64">
            <v>7.4</v>
          </cell>
          <cell r="J64">
            <v>-1.6000000000000005</v>
          </cell>
          <cell r="K64">
            <v>388.5</v>
          </cell>
          <cell r="L64">
            <v>344.1</v>
          </cell>
          <cell r="M64">
            <v>1.129032258064516</v>
          </cell>
          <cell r="N64">
            <v>5.5</v>
          </cell>
          <cell r="O64">
            <v>6.9</v>
          </cell>
          <cell r="P64">
            <v>-1.4000000000000004</v>
          </cell>
        </row>
        <row r="65">
          <cell r="A65" t="str">
            <v>1975:4</v>
          </cell>
          <cell r="B65">
            <v>213.51745549754054</v>
          </cell>
          <cell r="C65">
            <v>198.63939385091356</v>
          </cell>
          <cell r="D65">
            <v>1.0748998542443879</v>
          </cell>
          <cell r="E65">
            <v>213.51745549754054</v>
          </cell>
          <cell r="F65">
            <v>198.63939385091356</v>
          </cell>
          <cell r="G65">
            <v>1.0748998542443879</v>
          </cell>
          <cell r="H65">
            <v>9.6</v>
          </cell>
          <cell r="I65">
            <v>9.9</v>
          </cell>
          <cell r="J65">
            <v>-0.30000000000000071</v>
          </cell>
          <cell r="K65">
            <v>258.39999999999998</v>
          </cell>
          <cell r="L65">
            <v>248.1</v>
          </cell>
          <cell r="M65">
            <v>1.041515517936316</v>
          </cell>
          <cell r="N65">
            <v>9.4</v>
          </cell>
          <cell r="O65">
            <v>9.6999999999999993</v>
          </cell>
          <cell r="P65">
            <v>-0.29999999999999893</v>
          </cell>
        </row>
        <row r="66">
          <cell r="A66" t="str">
            <v>1975:5</v>
          </cell>
          <cell r="B66">
            <v>134.92010797630385</v>
          </cell>
          <cell r="C66">
            <v>94.205291641343422</v>
          </cell>
          <cell r="D66">
            <v>1.4321924557058758</v>
          </cell>
          <cell r="E66">
            <v>134.92010797630385</v>
          </cell>
          <cell r="F66">
            <v>94.205291641343422</v>
          </cell>
          <cell r="G66">
            <v>1.4321924557058758</v>
          </cell>
          <cell r="H66">
            <v>12.5</v>
          </cell>
          <cell r="I66">
            <v>13.6</v>
          </cell>
          <cell r="J66">
            <v>-1.0999999999999996</v>
          </cell>
          <cell r="K66">
            <v>179.9</v>
          </cell>
          <cell r="L66">
            <v>147.30000000000001</v>
          </cell>
          <cell r="M66">
            <v>1.221317040054311</v>
          </cell>
          <cell r="N66">
            <v>12.2</v>
          </cell>
          <cell r="O66">
            <v>13.4</v>
          </cell>
          <cell r="P66">
            <v>-1.2000000000000011</v>
          </cell>
        </row>
        <row r="67">
          <cell r="A67" t="str">
            <v>1975:6</v>
          </cell>
          <cell r="B67">
            <v>47.963577873248241</v>
          </cell>
          <cell r="C67">
            <v>33.639009300779129</v>
          </cell>
          <cell r="D67">
            <v>1.4258320583816162</v>
          </cell>
          <cell r="E67">
            <v>0</v>
          </cell>
          <cell r="F67">
            <v>0</v>
          </cell>
          <cell r="G67">
            <v>1</v>
          </cell>
          <cell r="H67">
            <v>16.399999999999999</v>
          </cell>
          <cell r="I67">
            <v>16.8</v>
          </cell>
          <cell r="J67">
            <v>-0.40000000000000213</v>
          </cell>
          <cell r="K67">
            <v>71.599999999999994</v>
          </cell>
          <cell r="L67">
            <v>65.7</v>
          </cell>
          <cell r="M67">
            <v>1.0898021308980212</v>
          </cell>
          <cell r="N67">
            <v>16.2</v>
          </cell>
          <cell r="O67">
            <v>16.399999999999999</v>
          </cell>
          <cell r="P67">
            <v>-0.19999999999999929</v>
          </cell>
        </row>
        <row r="68">
          <cell r="A68" t="str">
            <v>1975:7</v>
          </cell>
          <cell r="B68">
            <v>6.6491406949900114</v>
          </cell>
          <cell r="C68">
            <v>9.8992241828118033</v>
          </cell>
          <cell r="D68">
            <v>0.67168300992061891</v>
          </cell>
          <cell r="E68">
            <v>0</v>
          </cell>
          <cell r="F68">
            <v>0</v>
          </cell>
          <cell r="G68">
            <v>1</v>
          </cell>
          <cell r="H68">
            <v>19.600000000000001</v>
          </cell>
          <cell r="I68">
            <v>18.899999999999999</v>
          </cell>
          <cell r="J68">
            <v>0.70000000000000284</v>
          </cell>
          <cell r="K68">
            <v>13.5</v>
          </cell>
          <cell r="L68">
            <v>31.2</v>
          </cell>
          <cell r="M68">
            <v>0.43269230769230771</v>
          </cell>
          <cell r="N68">
            <v>19.3</v>
          </cell>
          <cell r="O68">
            <v>18.3</v>
          </cell>
          <cell r="P68">
            <v>1</v>
          </cell>
        </row>
        <row r="69">
          <cell r="A69" t="str">
            <v>1975:8</v>
          </cell>
          <cell r="B69">
            <v>6.0164135456893515</v>
          </cell>
          <cell r="C69">
            <v>9.4425505166936539</v>
          </cell>
          <cell r="D69">
            <v>0.63715979438530157</v>
          </cell>
          <cell r="E69">
            <v>0</v>
          </cell>
          <cell r="F69">
            <v>0</v>
          </cell>
          <cell r="G69">
            <v>1</v>
          </cell>
          <cell r="H69">
            <v>20.3</v>
          </cell>
          <cell r="I69">
            <v>18.7</v>
          </cell>
          <cell r="J69">
            <v>1.6000000000000014</v>
          </cell>
          <cell r="K69">
            <v>13.9</v>
          </cell>
          <cell r="L69">
            <v>32.6</v>
          </cell>
          <cell r="M69">
            <v>0.42638036809815949</v>
          </cell>
          <cell r="N69">
            <v>20.6</v>
          </cell>
          <cell r="O69">
            <v>18</v>
          </cell>
          <cell r="P69">
            <v>2.6000000000000014</v>
          </cell>
        </row>
        <row r="70">
          <cell r="A70" t="str">
            <v>1975:9</v>
          </cell>
          <cell r="B70">
            <v>32.149666433947822</v>
          </cell>
          <cell r="C70">
            <v>43.697695496746512</v>
          </cell>
          <cell r="D70">
            <v>0.73572910581386397</v>
          </cell>
          <cell r="E70">
            <v>0</v>
          </cell>
          <cell r="F70">
            <v>0</v>
          </cell>
          <cell r="G70">
            <v>1</v>
          </cell>
          <cell r="H70">
            <v>16.3</v>
          </cell>
          <cell r="I70">
            <v>16.3</v>
          </cell>
          <cell r="J70">
            <v>0</v>
          </cell>
          <cell r="K70">
            <v>64.900000000000006</v>
          </cell>
          <cell r="L70">
            <v>80</v>
          </cell>
          <cell r="M70">
            <v>0.81125000000000003</v>
          </cell>
          <cell r="N70">
            <v>16</v>
          </cell>
          <cell r="O70">
            <v>15.7</v>
          </cell>
          <cell r="P70">
            <v>0.30000000000000071</v>
          </cell>
        </row>
        <row r="71">
          <cell r="A71" t="str">
            <v>1975:10</v>
          </cell>
          <cell r="B71">
            <v>198.39244720741232</v>
          </cell>
          <cell r="C71">
            <v>132.10004667845612</v>
          </cell>
          <cell r="D71">
            <v>1.501834800182305</v>
          </cell>
          <cell r="E71">
            <v>198.39244720741232</v>
          </cell>
          <cell r="F71">
            <v>132.10004667845612</v>
          </cell>
          <cell r="G71">
            <v>1.501834800182305</v>
          </cell>
          <cell r="H71">
            <v>10.4</v>
          </cell>
          <cell r="I71">
            <v>12.2</v>
          </cell>
          <cell r="J71">
            <v>-1.7999999999999989</v>
          </cell>
          <cell r="K71">
            <v>262.8</v>
          </cell>
          <cell r="L71">
            <v>201.4</v>
          </cell>
          <cell r="M71">
            <v>1.3048659384309831</v>
          </cell>
          <cell r="N71">
            <v>9.5</v>
          </cell>
          <cell r="O71">
            <v>11.5</v>
          </cell>
          <cell r="P71">
            <v>-2</v>
          </cell>
        </row>
        <row r="72">
          <cell r="A72" t="str">
            <v>1975:11</v>
          </cell>
          <cell r="B72">
            <v>294.35958706916</v>
          </cell>
          <cell r="C72">
            <v>277.9065874341735</v>
          </cell>
          <cell r="D72">
            <v>1.0592033452207521</v>
          </cell>
          <cell r="E72">
            <v>294.35958706916</v>
          </cell>
          <cell r="F72">
            <v>277.9065874341735</v>
          </cell>
          <cell r="G72">
            <v>1.0592033452207521</v>
          </cell>
          <cell r="H72">
            <v>7</v>
          </cell>
          <cell r="I72">
            <v>7.5</v>
          </cell>
          <cell r="J72">
            <v>-0.5</v>
          </cell>
          <cell r="K72">
            <v>336.6</v>
          </cell>
          <cell r="L72">
            <v>336.8</v>
          </cell>
          <cell r="M72">
            <v>0.99940617577197155</v>
          </cell>
          <cell r="N72">
            <v>6.8</v>
          </cell>
          <cell r="O72">
            <v>6.8</v>
          </cell>
          <cell r="P72">
            <v>0</v>
          </cell>
        </row>
        <row r="73">
          <cell r="A73" t="str">
            <v>1975:12</v>
          </cell>
          <cell r="B73">
            <v>438.09850889536523</v>
          </cell>
          <cell r="C73">
            <v>363.68818352813111</v>
          </cell>
          <cell r="D73">
            <v>1.2045992384063215</v>
          </cell>
          <cell r="E73">
            <v>438.09850889536523</v>
          </cell>
          <cell r="F73">
            <v>363.68818352813111</v>
          </cell>
          <cell r="G73">
            <v>1.2045992384063215</v>
          </cell>
          <cell r="H73">
            <v>3</v>
          </cell>
          <cell r="I73">
            <v>4.8</v>
          </cell>
          <cell r="J73">
            <v>-1.7999999999999998</v>
          </cell>
          <cell r="K73">
            <v>477.1</v>
          </cell>
          <cell r="L73">
            <v>424.6</v>
          </cell>
          <cell r="M73">
            <v>1.123645784267546</v>
          </cell>
          <cell r="N73">
            <v>2.6</v>
          </cell>
          <cell r="O73">
            <v>4.3</v>
          </cell>
          <cell r="P73">
            <v>-1.6999999999999997</v>
          </cell>
        </row>
        <row r="74">
          <cell r="A74" t="str">
            <v>1976:1</v>
          </cell>
          <cell r="B74">
            <v>385.51934562371366</v>
          </cell>
          <cell r="C74">
            <v>392.91081774346333</v>
          </cell>
          <cell r="D74">
            <v>0.9811879139337526</v>
          </cell>
          <cell r="E74">
            <v>385.51934562371366</v>
          </cell>
          <cell r="F74">
            <v>392.91081774346333</v>
          </cell>
          <cell r="G74">
            <v>0.9811879139337526</v>
          </cell>
          <cell r="H74">
            <v>4.5</v>
          </cell>
          <cell r="I74">
            <v>3.9</v>
          </cell>
          <cell r="J74">
            <v>0.60000000000000009</v>
          </cell>
          <cell r="K74">
            <v>400.7</v>
          </cell>
          <cell r="L74">
            <v>456.3</v>
          </cell>
          <cell r="M74">
            <v>0.87815033968880118</v>
          </cell>
          <cell r="N74">
            <v>5.0999999999999996</v>
          </cell>
          <cell r="O74">
            <v>3.3</v>
          </cell>
          <cell r="P74">
            <v>1.7999999999999998</v>
          </cell>
        </row>
        <row r="75">
          <cell r="A75" t="str">
            <v>1976:2</v>
          </cell>
          <cell r="B75">
            <v>337.83744588603287</v>
          </cell>
          <cell r="C75">
            <v>331.22294910654443</v>
          </cell>
          <cell r="D75">
            <v>1.0199699229698023</v>
          </cell>
          <cell r="E75">
            <v>337.83744588603287</v>
          </cell>
          <cell r="F75">
            <v>331.22294910654443</v>
          </cell>
          <cell r="G75">
            <v>1.0199699229698023</v>
          </cell>
          <cell r="H75">
            <v>5.2</v>
          </cell>
          <cell r="I75">
            <v>4.9000000000000004</v>
          </cell>
          <cell r="J75">
            <v>0.29999999999999982</v>
          </cell>
          <cell r="K75">
            <v>391.3</v>
          </cell>
          <cell r="L75">
            <v>388.2</v>
          </cell>
          <cell r="M75">
            <v>1.0079855744461619</v>
          </cell>
          <cell r="N75">
            <v>4.5</v>
          </cell>
          <cell r="O75">
            <v>4.2</v>
          </cell>
          <cell r="P75">
            <v>0.29999999999999982</v>
          </cell>
        </row>
        <row r="76">
          <cell r="A76" t="str">
            <v>1976:3</v>
          </cell>
          <cell r="B76">
            <v>324.64477926299924</v>
          </cell>
          <cell r="C76">
            <v>270.29253185771751</v>
          </cell>
          <cell r="D76">
            <v>1.2010867523113544</v>
          </cell>
          <cell r="E76">
            <v>324.64477926299924</v>
          </cell>
          <cell r="F76">
            <v>270.29253185771751</v>
          </cell>
          <cell r="G76">
            <v>1.2010867523113544</v>
          </cell>
          <cell r="H76">
            <v>6.3</v>
          </cell>
          <cell r="I76">
            <v>7.4</v>
          </cell>
          <cell r="J76">
            <v>-1.1000000000000005</v>
          </cell>
          <cell r="K76">
            <v>387.6</v>
          </cell>
          <cell r="L76">
            <v>344.1</v>
          </cell>
          <cell r="M76">
            <v>1.1264167393199651</v>
          </cell>
          <cell r="N76">
            <v>5.5</v>
          </cell>
          <cell r="O76">
            <v>6.9</v>
          </cell>
          <cell r="P76">
            <v>-1.4000000000000004</v>
          </cell>
        </row>
        <row r="77">
          <cell r="A77" t="str">
            <v>1976:4</v>
          </cell>
          <cell r="B77">
            <v>214.21734401293818</v>
          </cell>
          <cell r="C77">
            <v>198.63939385091356</v>
          </cell>
          <cell r="D77">
            <v>1.0784232667046723</v>
          </cell>
          <cell r="E77">
            <v>214.21734401293818</v>
          </cell>
          <cell r="F77">
            <v>198.63939385091356</v>
          </cell>
          <cell r="G77">
            <v>1.0784232667046723</v>
          </cell>
          <cell r="H77">
            <v>9.4</v>
          </cell>
          <cell r="I77">
            <v>9.9</v>
          </cell>
          <cell r="J77">
            <v>-0.5</v>
          </cell>
          <cell r="K77">
            <v>254.5</v>
          </cell>
          <cell r="L77">
            <v>248.1</v>
          </cell>
          <cell r="M77">
            <v>1.0257960499798469</v>
          </cell>
          <cell r="N77">
            <v>9.5</v>
          </cell>
          <cell r="O77">
            <v>9.6999999999999993</v>
          </cell>
          <cell r="P77">
            <v>-0.19999999999999929</v>
          </cell>
        </row>
        <row r="78">
          <cell r="A78" t="str">
            <v>1976:5</v>
          </cell>
          <cell r="B78">
            <v>77.987292088239954</v>
          </cell>
          <cell r="C78">
            <v>94.205291641343422</v>
          </cell>
          <cell r="D78">
            <v>0.8278440704281419</v>
          </cell>
          <cell r="E78">
            <v>77.987292088239954</v>
          </cell>
          <cell r="F78">
            <v>94.205291641343422</v>
          </cell>
          <cell r="G78">
            <v>0.8278440704281419</v>
          </cell>
          <cell r="H78">
            <v>14.6</v>
          </cell>
          <cell r="I78">
            <v>13.6</v>
          </cell>
          <cell r="J78">
            <v>1</v>
          </cell>
          <cell r="K78">
            <v>105.3</v>
          </cell>
          <cell r="L78">
            <v>147.30000000000001</v>
          </cell>
          <cell r="M78">
            <v>0.71486761710794289</v>
          </cell>
          <cell r="N78">
            <v>15</v>
          </cell>
          <cell r="O78">
            <v>13.4</v>
          </cell>
          <cell r="P78">
            <v>1.5999999999999996</v>
          </cell>
        </row>
        <row r="79">
          <cell r="A79" t="str">
            <v>1976:6</v>
          </cell>
          <cell r="B79">
            <v>17.192865264845356</v>
          </cell>
          <cell r="C79">
            <v>33.639009300779129</v>
          </cell>
          <cell r="D79">
            <v>0.51109903716597094</v>
          </cell>
          <cell r="E79">
            <v>0</v>
          </cell>
          <cell r="F79">
            <v>0</v>
          </cell>
          <cell r="G79">
            <v>1</v>
          </cell>
          <cell r="H79">
            <v>20.2</v>
          </cell>
          <cell r="I79">
            <v>16.8</v>
          </cell>
          <cell r="J79">
            <v>3.3999999999999986</v>
          </cell>
          <cell r="K79">
            <v>27.4</v>
          </cell>
          <cell r="L79">
            <v>65.7</v>
          </cell>
          <cell r="M79">
            <v>0.41704718417047182</v>
          </cell>
          <cell r="N79">
            <v>20.6</v>
          </cell>
          <cell r="O79">
            <v>16.399999999999999</v>
          </cell>
          <cell r="P79">
            <v>4.2000000000000028</v>
          </cell>
        </row>
        <row r="80">
          <cell r="A80" t="str">
            <v>1976:7</v>
          </cell>
          <cell r="B80">
            <v>3.8358334554459335</v>
          </cell>
          <cell r="C80">
            <v>9.8992241828118033</v>
          </cell>
          <cell r="D80">
            <v>0.38748829045675703</v>
          </cell>
          <cell r="E80">
            <v>0</v>
          </cell>
          <cell r="F80">
            <v>0</v>
          </cell>
          <cell r="G80">
            <v>1</v>
          </cell>
          <cell r="H80">
            <v>20.9</v>
          </cell>
          <cell r="I80">
            <v>18.899999999999999</v>
          </cell>
          <cell r="J80">
            <v>2</v>
          </cell>
          <cell r="K80">
            <v>9.8000000000000007</v>
          </cell>
          <cell r="L80">
            <v>31.2</v>
          </cell>
          <cell r="M80">
            <v>0.31410256410256415</v>
          </cell>
          <cell r="N80">
            <v>21.7</v>
          </cell>
          <cell r="O80">
            <v>18.3</v>
          </cell>
          <cell r="P80">
            <v>3.3999999999999986</v>
          </cell>
        </row>
        <row r="81">
          <cell r="A81" t="str">
            <v>1976:8</v>
          </cell>
          <cell r="B81">
            <v>4.3462344609759036</v>
          </cell>
          <cell r="C81">
            <v>9.4425505166936539</v>
          </cell>
          <cell r="D81">
            <v>0.46028183310135518</v>
          </cell>
          <cell r="E81">
            <v>0</v>
          </cell>
          <cell r="F81">
            <v>0</v>
          </cell>
          <cell r="G81">
            <v>1</v>
          </cell>
          <cell r="H81">
            <v>19.399999999999999</v>
          </cell>
          <cell r="I81">
            <v>18.7</v>
          </cell>
          <cell r="J81">
            <v>0.69999999999999929</v>
          </cell>
          <cell r="K81">
            <v>7.1</v>
          </cell>
          <cell r="L81">
            <v>32.6</v>
          </cell>
          <cell r="M81">
            <v>0.21779141104294478</v>
          </cell>
          <cell r="N81">
            <v>19.8</v>
          </cell>
          <cell r="O81">
            <v>18</v>
          </cell>
          <cell r="P81">
            <v>1.8000000000000007</v>
          </cell>
        </row>
        <row r="82">
          <cell r="A82" t="str">
            <v>1976:9</v>
          </cell>
          <cell r="B82">
            <v>58.126405384153159</v>
          </cell>
          <cell r="C82">
            <v>43.697695496746512</v>
          </cell>
          <cell r="D82">
            <v>1.3301938402788525</v>
          </cell>
          <cell r="E82">
            <v>0</v>
          </cell>
          <cell r="F82">
            <v>0</v>
          </cell>
          <cell r="G82">
            <v>1</v>
          </cell>
          <cell r="H82">
            <v>15.1</v>
          </cell>
          <cell r="I82">
            <v>16.3</v>
          </cell>
          <cell r="J82">
            <v>-1.2000000000000011</v>
          </cell>
          <cell r="K82">
            <v>95.7</v>
          </cell>
          <cell r="L82">
            <v>80</v>
          </cell>
          <cell r="M82">
            <v>1.19625</v>
          </cell>
          <cell r="N82">
            <v>14.9</v>
          </cell>
          <cell r="O82">
            <v>15.7</v>
          </cell>
          <cell r="P82">
            <v>-0.79999999999999893</v>
          </cell>
        </row>
        <row r="83">
          <cell r="A83" t="str">
            <v>1976:10</v>
          </cell>
          <cell r="B83">
            <v>137.94626340059395</v>
          </cell>
          <cell r="C83">
            <v>132.10004667845612</v>
          </cell>
          <cell r="D83">
            <v>1.0442559777164051</v>
          </cell>
          <cell r="E83">
            <v>137.94626340059395</v>
          </cell>
          <cell r="F83">
            <v>132.10004667845612</v>
          </cell>
          <cell r="G83">
            <v>1.0442559777164051</v>
          </cell>
          <cell r="H83">
            <v>12.2</v>
          </cell>
          <cell r="I83">
            <v>12.2</v>
          </cell>
          <cell r="J83">
            <v>0</v>
          </cell>
          <cell r="K83">
            <v>171.2</v>
          </cell>
          <cell r="L83">
            <v>201.4</v>
          </cell>
          <cell r="M83">
            <v>0.85004965243296915</v>
          </cell>
          <cell r="N83">
            <v>12.5</v>
          </cell>
          <cell r="O83">
            <v>11.5</v>
          </cell>
          <cell r="P83">
            <v>1</v>
          </cell>
        </row>
        <row r="84">
          <cell r="A84" t="str">
            <v>1976:11</v>
          </cell>
          <cell r="B84">
            <v>297.52758926573426</v>
          </cell>
          <cell r="C84">
            <v>277.9065874341735</v>
          </cell>
          <cell r="D84">
            <v>1.0706028670018781</v>
          </cell>
          <cell r="E84">
            <v>297.52758926573426</v>
          </cell>
          <cell r="F84">
            <v>277.9065874341735</v>
          </cell>
          <cell r="G84">
            <v>1.0706028670018781</v>
          </cell>
          <cell r="H84">
            <v>6.9</v>
          </cell>
          <cell r="I84">
            <v>7.5</v>
          </cell>
          <cell r="J84">
            <v>-0.59999999999999964</v>
          </cell>
          <cell r="K84">
            <v>329</v>
          </cell>
          <cell r="L84">
            <v>336.8</v>
          </cell>
          <cell r="M84">
            <v>0.97684085510688834</v>
          </cell>
          <cell r="N84">
            <v>7</v>
          </cell>
          <cell r="O84">
            <v>6.8</v>
          </cell>
          <cell r="P84">
            <v>0.20000000000000018</v>
          </cell>
        </row>
        <row r="85">
          <cell r="A85" t="str">
            <v>1976:12</v>
          </cell>
          <cell r="B85">
            <v>418.46282570548971</v>
          </cell>
          <cell r="C85">
            <v>363.68818352813111</v>
          </cell>
          <cell r="D85">
            <v>1.150608803525017</v>
          </cell>
          <cell r="E85">
            <v>418.46282570548971</v>
          </cell>
          <cell r="F85">
            <v>363.68818352813111</v>
          </cell>
          <cell r="G85">
            <v>1.150608803525017</v>
          </cell>
          <cell r="H85">
            <v>3.6</v>
          </cell>
          <cell r="I85">
            <v>4.8</v>
          </cell>
          <cell r="J85">
            <v>-1.1999999999999997</v>
          </cell>
          <cell r="K85">
            <v>480.7</v>
          </cell>
          <cell r="L85">
            <v>424.6</v>
          </cell>
          <cell r="M85">
            <v>1.132124352331606</v>
          </cell>
          <cell r="N85">
            <v>2.5</v>
          </cell>
          <cell r="O85">
            <v>4.3</v>
          </cell>
          <cell r="P85">
            <v>-1.7999999999999998</v>
          </cell>
        </row>
        <row r="86">
          <cell r="A86" t="str">
            <v>1977:1</v>
          </cell>
          <cell r="B86">
            <v>386.65376288772114</v>
          </cell>
          <cell r="C86">
            <v>392.91081774346333</v>
          </cell>
          <cell r="D86">
            <v>0.98407512704364508</v>
          </cell>
          <cell r="E86">
            <v>386.65376288772114</v>
          </cell>
          <cell r="F86">
            <v>392.91081774346333</v>
          </cell>
          <cell r="G86">
            <v>0.98407512704364508</v>
          </cell>
          <cell r="H86">
            <v>4.4000000000000004</v>
          </cell>
          <cell r="I86">
            <v>3.9</v>
          </cell>
          <cell r="J86">
            <v>0.50000000000000044</v>
          </cell>
          <cell r="K86">
            <v>430.2</v>
          </cell>
          <cell r="L86">
            <v>456.3</v>
          </cell>
          <cell r="M86">
            <v>0.94280078895463504</v>
          </cell>
          <cell r="N86">
            <v>4.0999999999999996</v>
          </cell>
          <cell r="O86">
            <v>3.3</v>
          </cell>
          <cell r="P86">
            <v>0.79999999999999982</v>
          </cell>
        </row>
        <row r="87">
          <cell r="A87" t="str">
            <v>1977:2</v>
          </cell>
          <cell r="B87">
            <v>265.51145998706903</v>
          </cell>
          <cell r="C87">
            <v>331.22294910654443</v>
          </cell>
          <cell r="D87">
            <v>0.80160949204537757</v>
          </cell>
          <cell r="E87">
            <v>265.51145998706903</v>
          </cell>
          <cell r="F87">
            <v>331.22294910654443</v>
          </cell>
          <cell r="G87">
            <v>0.80160949204537757</v>
          </cell>
          <cell r="H87">
            <v>7.3</v>
          </cell>
          <cell r="I87">
            <v>4.9000000000000004</v>
          </cell>
          <cell r="J87">
            <v>2.3999999999999995</v>
          </cell>
          <cell r="K87">
            <v>309</v>
          </cell>
          <cell r="L87">
            <v>388.2</v>
          </cell>
          <cell r="M87">
            <v>0.79598145285935085</v>
          </cell>
          <cell r="N87">
            <v>7</v>
          </cell>
          <cell r="O87">
            <v>4.2</v>
          </cell>
          <cell r="P87">
            <v>2.8</v>
          </cell>
        </row>
        <row r="88">
          <cell r="A88" t="str">
            <v>1977:3</v>
          </cell>
          <cell r="B88">
            <v>243.04528084374152</v>
          </cell>
          <cell r="C88">
            <v>270.29253185771751</v>
          </cell>
          <cell r="D88">
            <v>0.89919347446743747</v>
          </cell>
          <cell r="E88">
            <v>243.04528084374152</v>
          </cell>
          <cell r="F88">
            <v>270.29253185771751</v>
          </cell>
          <cell r="G88">
            <v>0.89919347446743747</v>
          </cell>
          <cell r="H88">
            <v>8.8000000000000007</v>
          </cell>
          <cell r="I88">
            <v>7.4</v>
          </cell>
          <cell r="J88">
            <v>1.4000000000000004</v>
          </cell>
          <cell r="K88">
            <v>290.89999999999998</v>
          </cell>
          <cell r="L88">
            <v>344.1</v>
          </cell>
          <cell r="M88">
            <v>0.84539378087765171</v>
          </cell>
          <cell r="N88">
            <v>8.6</v>
          </cell>
          <cell r="O88">
            <v>6.9</v>
          </cell>
          <cell r="P88">
            <v>1.6999999999999993</v>
          </cell>
        </row>
        <row r="89">
          <cell r="A89" t="str">
            <v>1977:4</v>
          </cell>
          <cell r="B89">
            <v>238.57122060763967</v>
          </cell>
          <cell r="C89">
            <v>198.63939385091356</v>
          </cell>
          <cell r="D89">
            <v>1.2010267247729143</v>
          </cell>
          <cell r="E89">
            <v>238.57122060763967</v>
          </cell>
          <cell r="F89">
            <v>198.63939385091356</v>
          </cell>
          <cell r="G89">
            <v>1.2010267247729143</v>
          </cell>
          <cell r="H89">
            <v>8.8000000000000007</v>
          </cell>
          <cell r="I89">
            <v>9.9</v>
          </cell>
          <cell r="J89">
            <v>-1.0999999999999996</v>
          </cell>
          <cell r="K89">
            <v>280.5</v>
          </cell>
          <cell r="L89">
            <v>248.1</v>
          </cell>
          <cell r="M89">
            <v>1.1305925030229746</v>
          </cell>
          <cell r="N89">
            <v>8.6</v>
          </cell>
          <cell r="O89">
            <v>9.6999999999999993</v>
          </cell>
          <cell r="P89">
            <v>-1.0999999999999996</v>
          </cell>
        </row>
        <row r="90">
          <cell r="A90" t="str">
            <v>1977:5</v>
          </cell>
          <cell r="B90">
            <v>122.90430132012338</v>
          </cell>
          <cell r="C90">
            <v>94.205291641343422</v>
          </cell>
          <cell r="D90">
            <v>1.3046432867915985</v>
          </cell>
          <cell r="E90">
            <v>122.90430132012338</v>
          </cell>
          <cell r="F90">
            <v>94.205291641343422</v>
          </cell>
          <cell r="G90">
            <v>1.3046432867915985</v>
          </cell>
          <cell r="H90">
            <v>12.7</v>
          </cell>
          <cell r="I90">
            <v>13.6</v>
          </cell>
          <cell r="J90">
            <v>-0.90000000000000036</v>
          </cell>
          <cell r="K90">
            <v>159</v>
          </cell>
          <cell r="L90">
            <v>147.30000000000001</v>
          </cell>
          <cell r="M90">
            <v>1.0794297352342157</v>
          </cell>
          <cell r="N90">
            <v>12.9</v>
          </cell>
          <cell r="O90">
            <v>13.4</v>
          </cell>
          <cell r="P90">
            <v>-0.5</v>
          </cell>
        </row>
        <row r="91">
          <cell r="A91" t="str">
            <v>1977:6</v>
          </cell>
          <cell r="B91">
            <v>50.621584202710963</v>
          </cell>
          <cell r="C91">
            <v>33.639009300779129</v>
          </cell>
          <cell r="D91">
            <v>1.5048476532136901</v>
          </cell>
          <cell r="E91">
            <v>0</v>
          </cell>
          <cell r="F91">
            <v>0</v>
          </cell>
          <cell r="G91">
            <v>1</v>
          </cell>
          <cell r="H91">
            <v>15.5</v>
          </cell>
          <cell r="I91">
            <v>16.8</v>
          </cell>
          <cell r="J91">
            <v>-1.3000000000000007</v>
          </cell>
          <cell r="K91">
            <v>81.099999999999994</v>
          </cell>
          <cell r="L91">
            <v>65.7</v>
          </cell>
          <cell r="M91">
            <v>1.2343987823439877</v>
          </cell>
          <cell r="N91">
            <v>15.4</v>
          </cell>
          <cell r="O91">
            <v>16.399999999999999</v>
          </cell>
          <cell r="P91">
            <v>-0.99999999999999822</v>
          </cell>
        </row>
        <row r="92">
          <cell r="A92" t="str">
            <v>1977:7</v>
          </cell>
          <cell r="B92">
            <v>18.683643268069808</v>
          </cell>
          <cell r="C92">
            <v>9.8992241828118033</v>
          </cell>
          <cell r="D92">
            <v>1.8873845993416885</v>
          </cell>
          <cell r="E92">
            <v>0</v>
          </cell>
          <cell r="F92">
            <v>0</v>
          </cell>
          <cell r="G92">
            <v>1</v>
          </cell>
          <cell r="H92">
            <v>18.2</v>
          </cell>
          <cell r="I92">
            <v>18.899999999999999</v>
          </cell>
          <cell r="J92">
            <v>-0.69999999999999929</v>
          </cell>
          <cell r="K92">
            <v>37.5</v>
          </cell>
          <cell r="L92">
            <v>31.2</v>
          </cell>
          <cell r="M92">
            <v>1.2019230769230769</v>
          </cell>
          <cell r="N92">
            <v>18.2</v>
          </cell>
          <cell r="O92">
            <v>18.3</v>
          </cell>
          <cell r="P92">
            <v>-0.10000000000000142</v>
          </cell>
        </row>
        <row r="93">
          <cell r="A93" t="str">
            <v>1977:8</v>
          </cell>
          <cell r="B93">
            <v>18.281594461023754</v>
          </cell>
          <cell r="C93">
            <v>9.4425505166936539</v>
          </cell>
          <cell r="D93">
            <v>1.9360864873005865</v>
          </cell>
          <cell r="E93">
            <v>0</v>
          </cell>
          <cell r="F93">
            <v>0</v>
          </cell>
          <cell r="G93">
            <v>1</v>
          </cell>
          <cell r="H93">
            <v>17.3</v>
          </cell>
          <cell r="I93">
            <v>18.7</v>
          </cell>
          <cell r="J93">
            <v>-1.3999999999999986</v>
          </cell>
          <cell r="K93">
            <v>43.9</v>
          </cell>
          <cell r="L93">
            <v>32.6</v>
          </cell>
          <cell r="M93">
            <v>1.3466257668711656</v>
          </cell>
          <cell r="N93">
            <v>16.8</v>
          </cell>
          <cell r="O93">
            <v>18</v>
          </cell>
          <cell r="P93">
            <v>-1.1999999999999993</v>
          </cell>
        </row>
        <row r="94">
          <cell r="A94" t="str">
            <v>1977:9</v>
          </cell>
          <cell r="B94">
            <v>72.887540879239765</v>
          </cell>
          <cell r="C94">
            <v>43.697695496746512</v>
          </cell>
          <cell r="D94">
            <v>1.6679950750415791</v>
          </cell>
          <cell r="E94">
            <v>0</v>
          </cell>
          <cell r="F94">
            <v>0</v>
          </cell>
          <cell r="G94">
            <v>1</v>
          </cell>
          <cell r="H94">
            <v>14.8</v>
          </cell>
          <cell r="I94">
            <v>16.3</v>
          </cell>
          <cell r="J94">
            <v>-1.5</v>
          </cell>
          <cell r="K94">
            <v>117.5</v>
          </cell>
          <cell r="L94">
            <v>80</v>
          </cell>
          <cell r="M94">
            <v>1.46875</v>
          </cell>
          <cell r="N94">
            <v>14.1</v>
          </cell>
          <cell r="O94">
            <v>15.7</v>
          </cell>
          <cell r="P94">
            <v>-1.5999999999999996</v>
          </cell>
        </row>
        <row r="95">
          <cell r="A95" t="str">
            <v>1977:10</v>
          </cell>
          <cell r="B95">
            <v>107.02771880192543</v>
          </cell>
          <cell r="C95">
            <v>132.10004667845612</v>
          </cell>
          <cell r="D95">
            <v>0.81020197564684371</v>
          </cell>
          <cell r="E95">
            <v>107.02771880192543</v>
          </cell>
          <cell r="F95">
            <v>132.10004667845612</v>
          </cell>
          <cell r="G95">
            <v>0.81020197564684371</v>
          </cell>
          <cell r="H95">
            <v>13.3</v>
          </cell>
          <cell r="I95">
            <v>12.2</v>
          </cell>
          <cell r="J95">
            <v>1.1000000000000014</v>
          </cell>
          <cell r="K95">
            <v>159.1</v>
          </cell>
          <cell r="L95">
            <v>201.4</v>
          </cell>
          <cell r="M95">
            <v>0.78997020854021838</v>
          </cell>
          <cell r="N95">
            <v>12.9</v>
          </cell>
          <cell r="O95">
            <v>11.5</v>
          </cell>
          <cell r="P95">
            <v>1.4000000000000004</v>
          </cell>
        </row>
        <row r="96">
          <cell r="A96" t="str">
            <v>1977:11</v>
          </cell>
          <cell r="B96">
            <v>280.9308795012235</v>
          </cell>
          <cell r="C96">
            <v>277.9065874341735</v>
          </cell>
          <cell r="D96">
            <v>1.0108824051094736</v>
          </cell>
          <cell r="E96">
            <v>280.9308795012235</v>
          </cell>
          <cell r="F96">
            <v>277.9065874341735</v>
          </cell>
          <cell r="G96">
            <v>1.0108824051094736</v>
          </cell>
          <cell r="H96">
            <v>7.6</v>
          </cell>
          <cell r="I96">
            <v>7.5</v>
          </cell>
          <cell r="J96">
            <v>9.9999999999999645E-2</v>
          </cell>
          <cell r="K96">
            <v>312.2</v>
          </cell>
          <cell r="L96">
            <v>336.8</v>
          </cell>
          <cell r="M96">
            <v>0.92695961995249399</v>
          </cell>
          <cell r="N96">
            <v>7.6</v>
          </cell>
          <cell r="O96">
            <v>6.8</v>
          </cell>
          <cell r="P96">
            <v>0.79999999999999982</v>
          </cell>
        </row>
        <row r="97">
          <cell r="A97" t="str">
            <v>1977:12</v>
          </cell>
          <cell r="B97">
            <v>345.81515038818139</v>
          </cell>
          <cell r="C97">
            <v>363.68818352813111</v>
          </cell>
          <cell r="D97">
            <v>0.95085616209313206</v>
          </cell>
          <cell r="E97">
            <v>345.81515038818139</v>
          </cell>
          <cell r="F97">
            <v>363.68818352813111</v>
          </cell>
          <cell r="G97">
            <v>0.95085616209313206</v>
          </cell>
          <cell r="H97">
            <v>5.8</v>
          </cell>
          <cell r="I97">
            <v>4.8</v>
          </cell>
          <cell r="J97">
            <v>1</v>
          </cell>
          <cell r="K97">
            <v>374.5</v>
          </cell>
          <cell r="L97">
            <v>424.6</v>
          </cell>
          <cell r="M97">
            <v>0.88200659444182761</v>
          </cell>
          <cell r="N97">
            <v>5.9</v>
          </cell>
          <cell r="O97">
            <v>4.3</v>
          </cell>
          <cell r="P97">
            <v>1.6000000000000005</v>
          </cell>
        </row>
        <row r="98">
          <cell r="A98" t="str">
            <v>1978:1</v>
          </cell>
          <cell r="B98">
            <v>412.56072239421468</v>
          </cell>
          <cell r="C98">
            <v>392.91081774346333</v>
          </cell>
          <cell r="D98">
            <v>1.0500111062444226</v>
          </cell>
          <cell r="E98">
            <v>412.56072239421468</v>
          </cell>
          <cell r="F98">
            <v>392.91081774346333</v>
          </cell>
          <cell r="G98">
            <v>1.0500111062444226</v>
          </cell>
          <cell r="H98">
            <v>3.7</v>
          </cell>
          <cell r="I98">
            <v>3.9</v>
          </cell>
          <cell r="J98">
            <v>-0.19999999999999973</v>
          </cell>
          <cell r="K98">
            <v>447.3</v>
          </cell>
          <cell r="L98">
            <v>456.3</v>
          </cell>
          <cell r="M98">
            <v>0.98027613412228798</v>
          </cell>
          <cell r="N98">
            <v>3.6</v>
          </cell>
          <cell r="O98">
            <v>3.3</v>
          </cell>
          <cell r="P98">
            <v>0.30000000000000027</v>
          </cell>
        </row>
        <row r="99">
          <cell r="A99" t="str">
            <v>1978:2</v>
          </cell>
          <cell r="B99">
            <v>348.7448013244383</v>
          </cell>
          <cell r="C99">
            <v>331.22294910654443</v>
          </cell>
          <cell r="D99">
            <v>1.0529004776545769</v>
          </cell>
          <cell r="E99">
            <v>348.7448013244383</v>
          </cell>
          <cell r="F99">
            <v>331.22294910654443</v>
          </cell>
          <cell r="G99">
            <v>1.0529004776545769</v>
          </cell>
          <cell r="H99">
            <v>4.5</v>
          </cell>
          <cell r="I99">
            <v>4.9000000000000004</v>
          </cell>
          <cell r="J99">
            <v>-0.40000000000000036</v>
          </cell>
          <cell r="K99">
            <v>415.5</v>
          </cell>
          <cell r="L99">
            <v>388.2</v>
          </cell>
          <cell r="M99">
            <v>1.0703245749613601</v>
          </cell>
          <cell r="N99">
            <v>3.2</v>
          </cell>
          <cell r="O99">
            <v>4.2</v>
          </cell>
          <cell r="P99">
            <v>-1</v>
          </cell>
        </row>
        <row r="100">
          <cell r="A100" t="str">
            <v>1978:3</v>
          </cell>
          <cell r="B100">
            <v>273.50929138692203</v>
          </cell>
          <cell r="C100">
            <v>270.29253185771751</v>
          </cell>
          <cell r="D100">
            <v>1.0119010299955229</v>
          </cell>
          <cell r="E100">
            <v>273.50929138692203</v>
          </cell>
          <cell r="F100">
            <v>270.29253185771751</v>
          </cell>
          <cell r="G100">
            <v>1.0119010299955229</v>
          </cell>
          <cell r="H100">
            <v>7.9</v>
          </cell>
          <cell r="I100">
            <v>7.4</v>
          </cell>
          <cell r="J100">
            <v>0.5</v>
          </cell>
          <cell r="K100">
            <v>316.89999999999998</v>
          </cell>
          <cell r="L100">
            <v>344.1</v>
          </cell>
          <cell r="M100">
            <v>0.92095321127579177</v>
          </cell>
          <cell r="N100">
            <v>7.8</v>
          </cell>
          <cell r="O100">
            <v>6.9</v>
          </cell>
          <cell r="P100">
            <v>0.89999999999999947</v>
          </cell>
        </row>
        <row r="101">
          <cell r="A101" t="str">
            <v>1978:4</v>
          </cell>
          <cell r="B101">
            <v>249.99964891296156</v>
          </cell>
          <cell r="C101">
            <v>198.63939385091356</v>
          </cell>
          <cell r="D101">
            <v>1.2585602687682174</v>
          </cell>
          <cell r="E101">
            <v>249.99964891296156</v>
          </cell>
          <cell r="F101">
            <v>198.63939385091356</v>
          </cell>
          <cell r="G101">
            <v>1.2585602687682174</v>
          </cell>
          <cell r="H101">
            <v>8.4</v>
          </cell>
          <cell r="I101">
            <v>9.9</v>
          </cell>
          <cell r="J101">
            <v>-1.5</v>
          </cell>
          <cell r="K101">
            <v>290.5</v>
          </cell>
          <cell r="L101">
            <v>248.1</v>
          </cell>
          <cell r="M101">
            <v>1.1708988311164854</v>
          </cell>
          <cell r="N101">
            <v>8.3000000000000007</v>
          </cell>
          <cell r="O101">
            <v>9.6999999999999993</v>
          </cell>
          <cell r="P101">
            <v>-1.3999999999999986</v>
          </cell>
        </row>
        <row r="102">
          <cell r="A102" t="str">
            <v>1978:5</v>
          </cell>
          <cell r="B102">
            <v>117.39936005763658</v>
          </cell>
          <cell r="C102">
            <v>94.205291641343422</v>
          </cell>
          <cell r="D102">
            <v>1.2462077024780855</v>
          </cell>
          <cell r="E102">
            <v>117.39936005763658</v>
          </cell>
          <cell r="F102">
            <v>94.205291641343422</v>
          </cell>
          <cell r="G102">
            <v>1.2462077024780855</v>
          </cell>
          <cell r="H102">
            <v>12.9</v>
          </cell>
          <cell r="I102">
            <v>13.6</v>
          </cell>
          <cell r="J102">
            <v>-0.69999999999999929</v>
          </cell>
          <cell r="K102">
            <v>160.9</v>
          </cell>
          <cell r="L102">
            <v>147.30000000000001</v>
          </cell>
          <cell r="M102">
            <v>1.0923285811269519</v>
          </cell>
          <cell r="N102">
            <v>13</v>
          </cell>
          <cell r="O102">
            <v>13.4</v>
          </cell>
          <cell r="P102">
            <v>-0.40000000000000036</v>
          </cell>
        </row>
        <row r="103">
          <cell r="A103" t="str">
            <v>1978:6</v>
          </cell>
          <cell r="B103">
            <v>55.034520458908688</v>
          </cell>
          <cell r="C103">
            <v>33.639009300779129</v>
          </cell>
          <cell r="D103">
            <v>1.6360327370768915</v>
          </cell>
          <cell r="E103">
            <v>0</v>
          </cell>
          <cell r="F103">
            <v>0</v>
          </cell>
          <cell r="G103">
            <v>1</v>
          </cell>
          <cell r="H103">
            <v>15.7</v>
          </cell>
          <cell r="I103">
            <v>16.8</v>
          </cell>
          <cell r="J103">
            <v>-1.1000000000000014</v>
          </cell>
          <cell r="K103">
            <v>92.9</v>
          </cell>
          <cell r="L103">
            <v>65.7</v>
          </cell>
          <cell r="M103">
            <v>1.4140030441400304</v>
          </cell>
          <cell r="N103">
            <v>15.2</v>
          </cell>
          <cell r="O103">
            <v>16.399999999999999</v>
          </cell>
          <cell r="P103">
            <v>-1.1999999999999993</v>
          </cell>
        </row>
        <row r="104">
          <cell r="A104" t="str">
            <v>1978:7</v>
          </cell>
          <cell r="B104">
            <v>25.064208552712358</v>
          </cell>
          <cell r="C104">
            <v>9.8992241828118033</v>
          </cell>
          <cell r="D104">
            <v>2.5319366538068491</v>
          </cell>
          <cell r="E104">
            <v>0</v>
          </cell>
          <cell r="F104">
            <v>0</v>
          </cell>
          <cell r="G104">
            <v>1</v>
          </cell>
          <cell r="H104">
            <v>17.8</v>
          </cell>
          <cell r="I104">
            <v>18.899999999999999</v>
          </cell>
          <cell r="J104">
            <v>-1.0999999999999979</v>
          </cell>
          <cell r="K104">
            <v>53.8</v>
          </cell>
          <cell r="L104">
            <v>31.2</v>
          </cell>
          <cell r="M104">
            <v>1.7243589743589742</v>
          </cell>
          <cell r="N104">
            <v>16.8</v>
          </cell>
          <cell r="O104">
            <v>18.3</v>
          </cell>
          <cell r="P104">
            <v>-1.5</v>
          </cell>
        </row>
        <row r="105">
          <cell r="A105" t="str">
            <v>1978:8</v>
          </cell>
          <cell r="B105">
            <v>24.551945177238714</v>
          </cell>
          <cell r="C105">
            <v>9.4425505166936539</v>
          </cell>
          <cell r="D105">
            <v>2.6001391397200249</v>
          </cell>
          <cell r="E105">
            <v>0</v>
          </cell>
          <cell r="F105">
            <v>0</v>
          </cell>
          <cell r="G105">
            <v>1</v>
          </cell>
          <cell r="H105">
            <v>17.399999999999999</v>
          </cell>
          <cell r="I105">
            <v>18.7</v>
          </cell>
          <cell r="J105">
            <v>-1.3000000000000007</v>
          </cell>
          <cell r="K105">
            <v>62.7</v>
          </cell>
          <cell r="L105">
            <v>32.6</v>
          </cell>
          <cell r="M105">
            <v>1.9233128834355828</v>
          </cell>
          <cell r="N105">
            <v>16</v>
          </cell>
          <cell r="O105">
            <v>18</v>
          </cell>
          <cell r="P105">
            <v>-2</v>
          </cell>
        </row>
        <row r="106">
          <cell r="A106" t="str">
            <v>1978:9</v>
          </cell>
          <cell r="B106">
            <v>51.466159678507942</v>
          </cell>
          <cell r="C106">
            <v>43.697695496746512</v>
          </cell>
          <cell r="D106">
            <v>1.1777774341061036</v>
          </cell>
          <cell r="E106">
            <v>0</v>
          </cell>
          <cell r="F106">
            <v>0</v>
          </cell>
          <cell r="G106">
            <v>1</v>
          </cell>
          <cell r="H106">
            <v>15.7</v>
          </cell>
          <cell r="I106">
            <v>16.3</v>
          </cell>
          <cell r="J106">
            <v>-0.60000000000000142</v>
          </cell>
          <cell r="K106">
            <v>106.1</v>
          </cell>
          <cell r="L106">
            <v>80</v>
          </cell>
          <cell r="M106">
            <v>1.3262499999999999</v>
          </cell>
          <cell r="N106">
            <v>14.5</v>
          </cell>
          <cell r="O106">
            <v>15.7</v>
          </cell>
          <cell r="P106">
            <v>-1.1999999999999993</v>
          </cell>
        </row>
        <row r="107">
          <cell r="A107" t="str">
            <v>1978:10</v>
          </cell>
          <cell r="B107">
            <v>151.01926734747252</v>
          </cell>
          <cell r="C107">
            <v>132.10004667845612</v>
          </cell>
          <cell r="D107">
            <v>1.1432188795138547</v>
          </cell>
          <cell r="E107">
            <v>151.01926734747252</v>
          </cell>
          <cell r="F107">
            <v>132.10004667845612</v>
          </cell>
          <cell r="G107">
            <v>1.1432188795138547</v>
          </cell>
          <cell r="H107">
            <v>11.8</v>
          </cell>
          <cell r="I107">
            <v>12.2</v>
          </cell>
          <cell r="J107">
            <v>-0.39999999999999858</v>
          </cell>
          <cell r="K107">
            <v>205.8</v>
          </cell>
          <cell r="L107">
            <v>201.4</v>
          </cell>
          <cell r="M107">
            <v>1.0218470705064548</v>
          </cell>
          <cell r="N107">
            <v>11.4</v>
          </cell>
          <cell r="O107">
            <v>11.5</v>
          </cell>
          <cell r="P107">
            <v>-9.9999999999999645E-2</v>
          </cell>
        </row>
        <row r="108">
          <cell r="A108" t="str">
            <v>1978:11</v>
          </cell>
          <cell r="B108">
            <v>308.21108337814115</v>
          </cell>
          <cell r="C108">
            <v>277.9065874341735</v>
          </cell>
          <cell r="D108">
            <v>1.1090456193347549</v>
          </cell>
          <cell r="E108">
            <v>308.21108337814115</v>
          </cell>
          <cell r="F108">
            <v>277.9065874341735</v>
          </cell>
          <cell r="G108">
            <v>1.1090456193347549</v>
          </cell>
          <cell r="H108">
            <v>6.6</v>
          </cell>
          <cell r="I108">
            <v>7.5</v>
          </cell>
          <cell r="J108">
            <v>-0.90000000000000036</v>
          </cell>
          <cell r="K108">
            <v>372.4</v>
          </cell>
          <cell r="L108">
            <v>336.8</v>
          </cell>
          <cell r="M108">
            <v>1.1057007125890734</v>
          </cell>
          <cell r="N108">
            <v>5.6</v>
          </cell>
          <cell r="O108">
            <v>6.8</v>
          </cell>
          <cell r="P108">
            <v>-1.2000000000000002</v>
          </cell>
        </row>
        <row r="109">
          <cell r="A109" t="str">
            <v>1978:12</v>
          </cell>
          <cell r="B109">
            <v>348.29312274285712</v>
          </cell>
          <cell r="C109">
            <v>363.68818352813111</v>
          </cell>
          <cell r="D109">
            <v>0.95766961511939475</v>
          </cell>
          <cell r="E109">
            <v>348.29312274285712</v>
          </cell>
          <cell r="F109">
            <v>363.68818352813111</v>
          </cell>
          <cell r="G109">
            <v>0.95766961511939475</v>
          </cell>
          <cell r="H109">
            <v>5.8</v>
          </cell>
          <cell r="I109">
            <v>4.8</v>
          </cell>
          <cell r="J109">
            <v>1</v>
          </cell>
          <cell r="K109">
            <v>402.5</v>
          </cell>
          <cell r="L109">
            <v>424.6</v>
          </cell>
          <cell r="M109">
            <v>0.94795101271785209</v>
          </cell>
          <cell r="N109">
            <v>5</v>
          </cell>
          <cell r="O109">
            <v>4.3</v>
          </cell>
          <cell r="P109">
            <v>0.70000000000000018</v>
          </cell>
        </row>
        <row r="110">
          <cell r="A110" t="str">
            <v>1979:1</v>
          </cell>
          <cell r="B110">
            <v>509.37198067206049</v>
          </cell>
          <cell r="C110">
            <v>392.91081774346333</v>
          </cell>
          <cell r="D110">
            <v>1.296406099474299</v>
          </cell>
          <cell r="E110">
            <v>509.37198067206049</v>
          </cell>
          <cell r="F110">
            <v>392.91081774346333</v>
          </cell>
          <cell r="G110">
            <v>1.296406099474299</v>
          </cell>
          <cell r="H110">
            <v>1.1000000000000001</v>
          </cell>
          <cell r="I110">
            <v>3.9</v>
          </cell>
          <cell r="J110">
            <v>-2.8</v>
          </cell>
          <cell r="K110">
            <v>589</v>
          </cell>
          <cell r="L110">
            <v>456.3</v>
          </cell>
          <cell r="M110">
            <v>1.2908174446635985</v>
          </cell>
          <cell r="N110">
            <v>-1</v>
          </cell>
          <cell r="O110">
            <v>3.3</v>
          </cell>
          <cell r="P110">
            <v>-4.3</v>
          </cell>
        </row>
        <row r="111">
          <cell r="A111" t="str">
            <v>1979:2</v>
          </cell>
          <cell r="B111">
            <v>350.90090253244296</v>
          </cell>
          <cell r="C111">
            <v>331.22294910654443</v>
          </cell>
          <cell r="D111">
            <v>1.0594099940205794</v>
          </cell>
          <cell r="E111">
            <v>350.90090253244296</v>
          </cell>
          <cell r="F111">
            <v>331.22294910654443</v>
          </cell>
          <cell r="G111">
            <v>1.0594099940205794</v>
          </cell>
          <cell r="H111">
            <v>4.3</v>
          </cell>
          <cell r="I111">
            <v>4.9000000000000004</v>
          </cell>
          <cell r="J111">
            <v>-0.60000000000000053</v>
          </cell>
          <cell r="K111">
            <v>432.4</v>
          </cell>
          <cell r="L111">
            <v>388.2</v>
          </cell>
          <cell r="M111">
            <v>1.1138588356517258</v>
          </cell>
          <cell r="N111">
            <v>2.6</v>
          </cell>
          <cell r="O111">
            <v>4.2</v>
          </cell>
          <cell r="P111">
            <v>-1.6</v>
          </cell>
        </row>
        <row r="112">
          <cell r="A112" t="str">
            <v>1979:3</v>
          </cell>
          <cell r="B112">
            <v>293.36931631583536</v>
          </cell>
          <cell r="C112">
            <v>270.29253185771751</v>
          </cell>
          <cell r="D112">
            <v>1.085377070167316</v>
          </cell>
          <cell r="E112">
            <v>293.36931631583536</v>
          </cell>
          <cell r="F112">
            <v>270.29253185771751</v>
          </cell>
          <cell r="G112">
            <v>1.085377070167316</v>
          </cell>
          <cell r="H112">
            <v>7.3</v>
          </cell>
          <cell r="I112">
            <v>7.4</v>
          </cell>
          <cell r="J112">
            <v>-0.10000000000000053</v>
          </cell>
          <cell r="K112">
            <v>362.4</v>
          </cell>
          <cell r="L112">
            <v>344.1</v>
          </cell>
          <cell r="M112">
            <v>1.0531822144725369</v>
          </cell>
          <cell r="N112">
            <v>6.3</v>
          </cell>
          <cell r="O112">
            <v>6.9</v>
          </cell>
          <cell r="P112">
            <v>-0.60000000000000053</v>
          </cell>
        </row>
        <row r="113">
          <cell r="A113" t="str">
            <v>1979:4</v>
          </cell>
          <cell r="B113">
            <v>229.32592515481667</v>
          </cell>
          <cell r="C113">
            <v>198.63939385091356</v>
          </cell>
          <cell r="D113">
            <v>1.1544836132903955</v>
          </cell>
          <cell r="E113">
            <v>229.32592515481667</v>
          </cell>
          <cell r="F113">
            <v>198.63939385091356</v>
          </cell>
          <cell r="G113">
            <v>1.1544836132903955</v>
          </cell>
          <cell r="H113">
            <v>8.9</v>
          </cell>
          <cell r="I113">
            <v>9.9</v>
          </cell>
          <cell r="J113">
            <v>-1</v>
          </cell>
          <cell r="K113">
            <v>277.8</v>
          </cell>
          <cell r="L113">
            <v>248.1</v>
          </cell>
          <cell r="M113">
            <v>1.1197097944377268</v>
          </cell>
          <cell r="N113">
            <v>8.6999999999999993</v>
          </cell>
          <cell r="O113">
            <v>9.6999999999999993</v>
          </cell>
          <cell r="P113">
            <v>-1</v>
          </cell>
        </row>
        <row r="114">
          <cell r="A114" t="str">
            <v>1979:5</v>
          </cell>
          <cell r="B114">
            <v>129.86612766549732</v>
          </cell>
          <cell r="C114">
            <v>94.205291641343422</v>
          </cell>
          <cell r="D114">
            <v>1.3785438737339846</v>
          </cell>
          <cell r="E114">
            <v>129.86612766549732</v>
          </cell>
          <cell r="F114">
            <v>94.205291641343422</v>
          </cell>
          <cell r="G114">
            <v>1.3785438737339846</v>
          </cell>
          <cell r="H114">
            <v>13</v>
          </cell>
          <cell r="I114">
            <v>13.6</v>
          </cell>
          <cell r="J114">
            <v>-0.59999999999999964</v>
          </cell>
          <cell r="K114">
            <v>173.3</v>
          </cell>
          <cell r="L114">
            <v>147.30000000000001</v>
          </cell>
          <cell r="M114">
            <v>1.176510522742702</v>
          </cell>
          <cell r="N114">
            <v>12.6</v>
          </cell>
          <cell r="O114">
            <v>13.4</v>
          </cell>
          <cell r="P114">
            <v>-0.80000000000000071</v>
          </cell>
        </row>
        <row r="115">
          <cell r="A115" t="str">
            <v>1979:6</v>
          </cell>
          <cell r="B115">
            <v>31.904522043880391</v>
          </cell>
          <cell r="C115">
            <v>33.639009300779129</v>
          </cell>
          <cell r="D115">
            <v>0.94843821821891272</v>
          </cell>
          <cell r="E115">
            <v>0</v>
          </cell>
          <cell r="F115">
            <v>0</v>
          </cell>
          <cell r="G115">
            <v>1</v>
          </cell>
          <cell r="H115">
            <v>17</v>
          </cell>
          <cell r="I115">
            <v>16.8</v>
          </cell>
          <cell r="J115">
            <v>0.19999999999999929</v>
          </cell>
          <cell r="K115">
            <v>58.7</v>
          </cell>
          <cell r="L115">
            <v>65.7</v>
          </cell>
          <cell r="M115">
            <v>0.893455098934551</v>
          </cell>
          <cell r="N115">
            <v>16.2</v>
          </cell>
          <cell r="O115">
            <v>16.399999999999999</v>
          </cell>
          <cell r="P115">
            <v>-0.19999999999999929</v>
          </cell>
        </row>
        <row r="116">
          <cell r="A116" t="str">
            <v>1979:7</v>
          </cell>
          <cell r="B116">
            <v>13.174744897736856</v>
          </cell>
          <cell r="C116">
            <v>9.8992241828118033</v>
          </cell>
          <cell r="D116">
            <v>1.3308866083275896</v>
          </cell>
          <cell r="E116">
            <v>0</v>
          </cell>
          <cell r="F116">
            <v>0</v>
          </cell>
          <cell r="G116">
            <v>1</v>
          </cell>
          <cell r="H116">
            <v>19</v>
          </cell>
          <cell r="I116">
            <v>18.899999999999999</v>
          </cell>
          <cell r="J116">
            <v>0.10000000000000142</v>
          </cell>
          <cell r="K116">
            <v>30.1</v>
          </cell>
          <cell r="L116">
            <v>31.2</v>
          </cell>
          <cell r="M116">
            <v>0.96474358974358976</v>
          </cell>
          <cell r="N116">
            <v>17.899999999999999</v>
          </cell>
          <cell r="O116">
            <v>18.3</v>
          </cell>
          <cell r="P116">
            <v>-0.40000000000000213</v>
          </cell>
        </row>
        <row r="117">
          <cell r="A117" t="str">
            <v>1979:8</v>
          </cell>
          <cell r="B117">
            <v>25.399474173890113</v>
          </cell>
          <cell r="C117">
            <v>9.4425505166936539</v>
          </cell>
          <cell r="D117">
            <v>2.6898955032314551</v>
          </cell>
          <cell r="E117">
            <v>0</v>
          </cell>
          <cell r="F117">
            <v>0</v>
          </cell>
          <cell r="G117">
            <v>1</v>
          </cell>
          <cell r="H117">
            <v>17.5</v>
          </cell>
          <cell r="I117">
            <v>18.7</v>
          </cell>
          <cell r="J117">
            <v>-1.1999999999999993</v>
          </cell>
          <cell r="K117">
            <v>55.5</v>
          </cell>
          <cell r="L117">
            <v>32.6</v>
          </cell>
          <cell r="M117">
            <v>1.7024539877300613</v>
          </cell>
          <cell r="N117">
            <v>16.7</v>
          </cell>
          <cell r="O117">
            <v>18</v>
          </cell>
          <cell r="P117">
            <v>-1.3000000000000007</v>
          </cell>
        </row>
        <row r="118">
          <cell r="A118" t="str">
            <v>1979:9</v>
          </cell>
          <cell r="B118">
            <v>51.6040283367307</v>
          </cell>
          <cell r="C118">
            <v>43.697695496746512</v>
          </cell>
          <cell r="D118">
            <v>1.180932489690969</v>
          </cell>
          <cell r="E118">
            <v>0</v>
          </cell>
          <cell r="F118">
            <v>0</v>
          </cell>
          <cell r="G118">
            <v>1</v>
          </cell>
          <cell r="H118">
            <v>15.9</v>
          </cell>
          <cell r="I118">
            <v>16.3</v>
          </cell>
          <cell r="J118">
            <v>-0.40000000000000036</v>
          </cell>
          <cell r="K118">
            <v>101.6</v>
          </cell>
          <cell r="L118">
            <v>80</v>
          </cell>
          <cell r="M118">
            <v>1.27</v>
          </cell>
          <cell r="N118">
            <v>14.8</v>
          </cell>
          <cell r="O118">
            <v>15.7</v>
          </cell>
          <cell r="P118">
            <v>-0.89999999999999858</v>
          </cell>
        </row>
        <row r="119">
          <cell r="A119" t="str">
            <v>1979:10</v>
          </cell>
          <cell r="B119">
            <v>122.3602746632063</v>
          </cell>
          <cell r="C119">
            <v>132.10004667845612</v>
          </cell>
          <cell r="D119">
            <v>0.92626973070677754</v>
          </cell>
          <cell r="E119">
            <v>122.3602746632063</v>
          </cell>
          <cell r="F119">
            <v>132.10004667845612</v>
          </cell>
          <cell r="G119">
            <v>0.92626973070677754</v>
          </cell>
          <cell r="H119">
            <v>12.8</v>
          </cell>
          <cell r="I119">
            <v>12.2</v>
          </cell>
          <cell r="J119">
            <v>0.60000000000000142</v>
          </cell>
          <cell r="K119">
            <v>186.6</v>
          </cell>
          <cell r="L119">
            <v>201.4</v>
          </cell>
          <cell r="M119">
            <v>0.926514399205561</v>
          </cell>
          <cell r="N119">
            <v>12</v>
          </cell>
          <cell r="O119">
            <v>11.5</v>
          </cell>
          <cell r="P119">
            <v>0.5</v>
          </cell>
        </row>
        <row r="120">
          <cell r="A120" t="str">
            <v>1979:11</v>
          </cell>
          <cell r="B120">
            <v>297.85575998111369</v>
          </cell>
          <cell r="C120">
            <v>277.9065874341735</v>
          </cell>
          <cell r="D120">
            <v>1.0717837339917877</v>
          </cell>
          <cell r="E120">
            <v>297.85575998111369</v>
          </cell>
          <cell r="F120">
            <v>277.9065874341735</v>
          </cell>
          <cell r="G120">
            <v>1.0717837339917877</v>
          </cell>
          <cell r="H120">
            <v>7</v>
          </cell>
          <cell r="I120">
            <v>7.5</v>
          </cell>
          <cell r="J120">
            <v>-0.5</v>
          </cell>
          <cell r="K120">
            <v>339</v>
          </cell>
          <cell r="L120">
            <v>336.8</v>
          </cell>
          <cell r="M120">
            <v>1.0065320665083135</v>
          </cell>
          <cell r="N120">
            <v>6.7</v>
          </cell>
          <cell r="O120">
            <v>6.8</v>
          </cell>
          <cell r="P120">
            <v>-9.9999999999999645E-2</v>
          </cell>
        </row>
        <row r="121">
          <cell r="A121" t="str">
            <v>1979:12</v>
          </cell>
          <cell r="B121">
            <v>330.36714544546209</v>
          </cell>
          <cell r="C121">
            <v>363.68818352813111</v>
          </cell>
          <cell r="D121">
            <v>0.90838020152477228</v>
          </cell>
          <cell r="E121">
            <v>330.36714544546209</v>
          </cell>
          <cell r="F121">
            <v>363.68818352813111</v>
          </cell>
          <cell r="G121">
            <v>0.90838020152477228</v>
          </cell>
          <cell r="H121">
            <v>6.3</v>
          </cell>
          <cell r="I121">
            <v>4.8</v>
          </cell>
          <cell r="J121">
            <v>1.5</v>
          </cell>
          <cell r="K121">
            <v>366.6</v>
          </cell>
          <cell r="L121">
            <v>424.6</v>
          </cell>
          <cell r="M121">
            <v>0.86340084785680637</v>
          </cell>
          <cell r="N121">
            <v>6.2</v>
          </cell>
          <cell r="O121">
            <v>4.3</v>
          </cell>
          <cell r="P121">
            <v>1.9000000000000004</v>
          </cell>
        </row>
        <row r="122">
          <cell r="A122" t="str">
            <v>1980:1</v>
          </cell>
          <cell r="B122">
            <v>449.26834629435751</v>
          </cell>
          <cell r="C122">
            <v>392.91081774346333</v>
          </cell>
          <cell r="D122">
            <v>1.1434359300020362</v>
          </cell>
          <cell r="E122">
            <v>449.26834629435751</v>
          </cell>
          <cell r="F122">
            <v>392.91081774346333</v>
          </cell>
          <cell r="G122">
            <v>1.1434359300020362</v>
          </cell>
          <cell r="H122">
            <v>2.6</v>
          </cell>
          <cell r="I122">
            <v>3.9</v>
          </cell>
          <cell r="J122">
            <v>-1.2999999999999998</v>
          </cell>
          <cell r="K122">
            <v>522.70000000000005</v>
          </cell>
          <cell r="L122">
            <v>456.3</v>
          </cell>
          <cell r="M122">
            <v>1.1455182993644533</v>
          </cell>
          <cell r="N122">
            <v>1.1000000000000001</v>
          </cell>
          <cell r="O122">
            <v>3.3</v>
          </cell>
          <cell r="P122">
            <v>-2.1999999999999997</v>
          </cell>
        </row>
        <row r="123">
          <cell r="A123" t="str">
            <v>1980:2</v>
          </cell>
          <cell r="B123">
            <v>286.52709609089584</v>
          </cell>
          <cell r="C123">
            <v>331.22294910654443</v>
          </cell>
          <cell r="D123">
            <v>0.86505810320144427</v>
          </cell>
          <cell r="E123">
            <v>286.52709609089584</v>
          </cell>
          <cell r="F123">
            <v>331.22294910654443</v>
          </cell>
          <cell r="G123">
            <v>0.86505810320144427</v>
          </cell>
          <cell r="H123">
            <v>6.8</v>
          </cell>
          <cell r="I123">
            <v>4.9000000000000004</v>
          </cell>
          <cell r="J123">
            <v>1.8999999999999995</v>
          </cell>
          <cell r="K123">
            <v>348.2</v>
          </cell>
          <cell r="L123">
            <v>388.2</v>
          </cell>
          <cell r="M123">
            <v>0.89696032972694484</v>
          </cell>
          <cell r="N123">
            <v>6</v>
          </cell>
          <cell r="O123">
            <v>4.2</v>
          </cell>
          <cell r="P123">
            <v>1.7999999999999998</v>
          </cell>
        </row>
        <row r="124">
          <cell r="A124" t="str">
            <v>1980:3</v>
          </cell>
          <cell r="B124">
            <v>314.74398926440136</v>
          </cell>
          <cell r="C124">
            <v>270.29253185771751</v>
          </cell>
          <cell r="D124">
            <v>1.1644568464439971</v>
          </cell>
          <cell r="E124">
            <v>314.74398926440136</v>
          </cell>
          <cell r="F124">
            <v>270.29253185771751</v>
          </cell>
          <cell r="G124">
            <v>1.1644568464439971</v>
          </cell>
          <cell r="H124">
            <v>6.7</v>
          </cell>
          <cell r="I124">
            <v>7.4</v>
          </cell>
          <cell r="J124">
            <v>-0.70000000000000018</v>
          </cell>
          <cell r="K124">
            <v>370.7</v>
          </cell>
          <cell r="L124">
            <v>344.1</v>
          </cell>
          <cell r="M124">
            <v>1.077303109561174</v>
          </cell>
          <cell r="N124">
            <v>6</v>
          </cell>
          <cell r="O124">
            <v>6.9</v>
          </cell>
          <cell r="P124">
            <v>-0.90000000000000036</v>
          </cell>
        </row>
        <row r="125">
          <cell r="A125" t="str">
            <v>1980:4</v>
          </cell>
          <cell r="B125">
            <v>231.59491090878348</v>
          </cell>
          <cell r="C125">
            <v>198.63939385091356</v>
          </cell>
          <cell r="D125">
            <v>1.1659062506131301</v>
          </cell>
          <cell r="E125">
            <v>231.59491090878348</v>
          </cell>
          <cell r="F125">
            <v>198.63939385091356</v>
          </cell>
          <cell r="G125">
            <v>1.1659062506131301</v>
          </cell>
          <cell r="H125">
            <v>9</v>
          </cell>
          <cell r="I125">
            <v>9.9</v>
          </cell>
          <cell r="J125">
            <v>-0.90000000000000036</v>
          </cell>
          <cell r="K125">
            <v>277.2</v>
          </cell>
          <cell r="L125">
            <v>248.1</v>
          </cell>
          <cell r="M125">
            <v>1.117291414752116</v>
          </cell>
          <cell r="N125">
            <v>8.8000000000000007</v>
          </cell>
          <cell r="O125">
            <v>9.6999999999999993</v>
          </cell>
          <cell r="P125">
            <v>-0.89999999999999858</v>
          </cell>
        </row>
        <row r="126">
          <cell r="A126" t="str">
            <v>1980:5</v>
          </cell>
          <cell r="B126">
            <v>129.03155451631918</v>
          </cell>
          <cell r="C126">
            <v>94.205291641343422</v>
          </cell>
          <cell r="D126">
            <v>1.3696847838183617</v>
          </cell>
          <cell r="E126">
            <v>129.03155451631918</v>
          </cell>
          <cell r="F126">
            <v>94.205291641343422</v>
          </cell>
          <cell r="G126">
            <v>1.3696847838183617</v>
          </cell>
          <cell r="H126">
            <v>12.5</v>
          </cell>
          <cell r="I126">
            <v>13.6</v>
          </cell>
          <cell r="J126">
            <v>-1.0999999999999996</v>
          </cell>
          <cell r="K126">
            <v>172.1</v>
          </cell>
          <cell r="L126">
            <v>147.30000000000001</v>
          </cell>
          <cell r="M126">
            <v>1.1683638832315002</v>
          </cell>
          <cell r="N126">
            <v>12.4</v>
          </cell>
          <cell r="O126">
            <v>13.4</v>
          </cell>
          <cell r="P126">
            <v>-1</v>
          </cell>
        </row>
        <row r="127">
          <cell r="A127" t="str">
            <v>1980:6</v>
          </cell>
          <cell r="B127">
            <v>52.583643913166114</v>
          </cell>
          <cell r="C127">
            <v>33.639009300779129</v>
          </cell>
          <cell r="D127">
            <v>1.5631745704219713</v>
          </cell>
          <cell r="E127">
            <v>0</v>
          </cell>
          <cell r="F127">
            <v>0</v>
          </cell>
          <cell r="G127">
            <v>1</v>
          </cell>
          <cell r="H127">
            <v>15.6</v>
          </cell>
          <cell r="I127">
            <v>16.8</v>
          </cell>
          <cell r="J127">
            <v>-1.2000000000000011</v>
          </cell>
          <cell r="K127">
            <v>84.7</v>
          </cell>
          <cell r="L127">
            <v>65.7</v>
          </cell>
          <cell r="M127">
            <v>1.2891933028919331</v>
          </cell>
          <cell r="N127">
            <v>15.5</v>
          </cell>
          <cell r="O127">
            <v>16.399999999999999</v>
          </cell>
          <cell r="P127">
            <v>-0.89999999999999858</v>
          </cell>
        </row>
        <row r="128">
          <cell r="A128" t="str">
            <v>1980:7</v>
          </cell>
          <cell r="B128">
            <v>33.671760523336289</v>
          </cell>
          <cell r="C128">
            <v>9.8992241828118033</v>
          </cell>
          <cell r="D128">
            <v>3.4014544878982695</v>
          </cell>
          <cell r="E128">
            <v>0</v>
          </cell>
          <cell r="F128">
            <v>0</v>
          </cell>
          <cell r="G128">
            <v>1</v>
          </cell>
          <cell r="H128">
            <v>17</v>
          </cell>
          <cell r="I128">
            <v>18.899999999999999</v>
          </cell>
          <cell r="J128">
            <v>-1.8999999999999986</v>
          </cell>
          <cell r="K128">
            <v>62.2</v>
          </cell>
          <cell r="L128">
            <v>31.2</v>
          </cell>
          <cell r="M128">
            <v>1.9935897435897438</v>
          </cell>
          <cell r="N128">
            <v>16.399999999999999</v>
          </cell>
          <cell r="O128">
            <v>18.3</v>
          </cell>
          <cell r="P128">
            <v>-1.9000000000000021</v>
          </cell>
        </row>
        <row r="129">
          <cell r="A129" t="str">
            <v>1980:8</v>
          </cell>
          <cell r="B129">
            <v>10.451225771827817</v>
          </cell>
          <cell r="C129">
            <v>9.4425505166936539</v>
          </cell>
          <cell r="D129">
            <v>1.106822330825862</v>
          </cell>
          <cell r="E129">
            <v>0</v>
          </cell>
          <cell r="F129">
            <v>0</v>
          </cell>
          <cell r="G129">
            <v>1</v>
          </cell>
          <cell r="H129">
            <v>19.100000000000001</v>
          </cell>
          <cell r="I129">
            <v>18.7</v>
          </cell>
          <cell r="J129">
            <v>0.40000000000000213</v>
          </cell>
          <cell r="K129">
            <v>24.1</v>
          </cell>
          <cell r="L129">
            <v>32.6</v>
          </cell>
          <cell r="M129">
            <v>0.73926380368098166</v>
          </cell>
          <cell r="N129">
            <v>18.399999999999999</v>
          </cell>
          <cell r="O129">
            <v>18</v>
          </cell>
          <cell r="P129">
            <v>0.39999999999999858</v>
          </cell>
        </row>
        <row r="130">
          <cell r="A130" t="str">
            <v>1980:9</v>
          </cell>
          <cell r="B130">
            <v>21.212894730793625</v>
          </cell>
          <cell r="C130">
            <v>43.697695496746512</v>
          </cell>
          <cell r="D130">
            <v>0.48544653189715736</v>
          </cell>
          <cell r="E130">
            <v>0</v>
          </cell>
          <cell r="F130">
            <v>0</v>
          </cell>
          <cell r="G130">
            <v>1</v>
          </cell>
          <cell r="H130">
            <v>16.8</v>
          </cell>
          <cell r="I130">
            <v>16.3</v>
          </cell>
          <cell r="J130">
            <v>0.5</v>
          </cell>
          <cell r="K130">
            <v>62.2</v>
          </cell>
          <cell r="L130">
            <v>80</v>
          </cell>
          <cell r="M130">
            <v>0.77750000000000008</v>
          </cell>
          <cell r="N130">
            <v>16</v>
          </cell>
          <cell r="O130">
            <v>15.7</v>
          </cell>
          <cell r="P130">
            <v>0.30000000000000071</v>
          </cell>
        </row>
        <row r="131">
          <cell r="A131" t="str">
            <v>1980:10</v>
          </cell>
          <cell r="B131">
            <v>179.04603828505552</v>
          </cell>
          <cell r="C131">
            <v>132.10004667845612</v>
          </cell>
          <cell r="D131">
            <v>1.3553820970318833</v>
          </cell>
          <cell r="E131">
            <v>179.04603828505552</v>
          </cell>
          <cell r="F131">
            <v>132.10004667845612</v>
          </cell>
          <cell r="G131">
            <v>1.3553820970318833</v>
          </cell>
          <cell r="H131">
            <v>11</v>
          </cell>
          <cell r="I131">
            <v>12.2</v>
          </cell>
          <cell r="J131">
            <v>-1.1999999999999993</v>
          </cell>
          <cell r="K131">
            <v>241.7</v>
          </cell>
          <cell r="L131">
            <v>201.4</v>
          </cell>
          <cell r="M131">
            <v>1.2000993048659383</v>
          </cell>
          <cell r="N131">
            <v>10.199999999999999</v>
          </cell>
          <cell r="O131">
            <v>11.5</v>
          </cell>
          <cell r="P131">
            <v>-1.3000000000000007</v>
          </cell>
        </row>
        <row r="132">
          <cell r="A132" t="str">
            <v>1980:11</v>
          </cell>
          <cell r="B132">
            <v>328.81171790255013</v>
          </cell>
          <cell r="C132">
            <v>277.9065874341735</v>
          </cell>
          <cell r="D132">
            <v>1.1831735294163701</v>
          </cell>
          <cell r="E132">
            <v>328.81171790255013</v>
          </cell>
          <cell r="F132">
            <v>277.9065874341735</v>
          </cell>
          <cell r="G132">
            <v>1.1831735294163701</v>
          </cell>
          <cell r="H132">
            <v>6</v>
          </cell>
          <cell r="I132">
            <v>7.5</v>
          </cell>
          <cell r="J132">
            <v>-1.5</v>
          </cell>
          <cell r="K132">
            <v>374.1</v>
          </cell>
          <cell r="L132">
            <v>336.8</v>
          </cell>
          <cell r="M132">
            <v>1.1107482185273159</v>
          </cell>
          <cell r="N132">
            <v>5.5</v>
          </cell>
          <cell r="O132">
            <v>6.8</v>
          </cell>
          <cell r="P132">
            <v>-1.2999999999999998</v>
          </cell>
        </row>
        <row r="133">
          <cell r="A133" t="str">
            <v>1980:12</v>
          </cell>
          <cell r="B133">
            <v>423.70640448101835</v>
          </cell>
          <cell r="C133">
            <v>363.68818352813111</v>
          </cell>
          <cell r="D133">
            <v>1.1650265905552712</v>
          </cell>
          <cell r="E133">
            <v>423.70640448101835</v>
          </cell>
          <cell r="F133">
            <v>363.68818352813111</v>
          </cell>
          <cell r="G133">
            <v>1.1650265905552712</v>
          </cell>
          <cell r="H133">
            <v>3.4</v>
          </cell>
          <cell r="I133">
            <v>4.8</v>
          </cell>
          <cell r="J133">
            <v>-1.4</v>
          </cell>
          <cell r="K133">
            <v>442.8</v>
          </cell>
          <cell r="L133">
            <v>424.6</v>
          </cell>
          <cell r="M133">
            <v>1.0428638718794159</v>
          </cell>
          <cell r="N133">
            <v>3.7</v>
          </cell>
          <cell r="O133">
            <v>4.3</v>
          </cell>
          <cell r="P133">
            <v>-0.59999999999999964</v>
          </cell>
        </row>
        <row r="134">
          <cell r="A134" t="str">
            <v>1981:1</v>
          </cell>
          <cell r="B134">
            <v>407.49406003787357</v>
          </cell>
          <cell r="C134">
            <v>392.91081774346333</v>
          </cell>
          <cell r="D134">
            <v>1.0371159093510423</v>
          </cell>
          <cell r="E134">
            <v>407.49406003787357</v>
          </cell>
          <cell r="F134">
            <v>392.91081774346333</v>
          </cell>
          <cell r="G134">
            <v>1.0371159093510423</v>
          </cell>
          <cell r="H134">
            <v>3.8</v>
          </cell>
          <cell r="I134">
            <v>3.9</v>
          </cell>
          <cell r="J134">
            <v>-0.10000000000000009</v>
          </cell>
          <cell r="K134">
            <v>437.1</v>
          </cell>
          <cell r="L134">
            <v>456.3</v>
          </cell>
          <cell r="M134">
            <v>0.95792241946088108</v>
          </cell>
          <cell r="N134">
            <v>3.9</v>
          </cell>
          <cell r="O134">
            <v>3.3</v>
          </cell>
          <cell r="P134">
            <v>0.60000000000000009</v>
          </cell>
        </row>
        <row r="135">
          <cell r="A135" t="str">
            <v>1981:2</v>
          </cell>
          <cell r="B135">
            <v>386.51964436994564</v>
          </cell>
          <cell r="C135">
            <v>331.22294910654443</v>
          </cell>
          <cell r="D135">
            <v>1.1669470530727444</v>
          </cell>
          <cell r="E135">
            <v>386.51964436994564</v>
          </cell>
          <cell r="F135">
            <v>331.22294910654443</v>
          </cell>
          <cell r="G135">
            <v>1.1669470530727444</v>
          </cell>
          <cell r="H135">
            <v>3</v>
          </cell>
          <cell r="I135">
            <v>4.9000000000000004</v>
          </cell>
          <cell r="J135">
            <v>-1.9000000000000004</v>
          </cell>
          <cell r="K135">
            <v>432</v>
          </cell>
          <cell r="L135">
            <v>388.2</v>
          </cell>
          <cell r="M135">
            <v>1.1128284389489953</v>
          </cell>
          <cell r="N135">
            <v>2.6</v>
          </cell>
          <cell r="O135">
            <v>4.2</v>
          </cell>
          <cell r="P135">
            <v>-1.6</v>
          </cell>
        </row>
        <row r="136">
          <cell r="A136" t="str">
            <v>1981:3</v>
          </cell>
          <cell r="B136">
            <v>205.78866117141453</v>
          </cell>
          <cell r="C136">
            <v>270.29253185771751</v>
          </cell>
          <cell r="D136">
            <v>0.76135533511426079</v>
          </cell>
          <cell r="E136">
            <v>205.78866117141453</v>
          </cell>
          <cell r="F136">
            <v>270.29253185771751</v>
          </cell>
          <cell r="G136">
            <v>0.76135533511426079</v>
          </cell>
          <cell r="H136">
            <v>9.9</v>
          </cell>
          <cell r="I136">
            <v>7.4</v>
          </cell>
          <cell r="J136">
            <v>2.5</v>
          </cell>
          <cell r="K136">
            <v>247.8</v>
          </cell>
          <cell r="L136">
            <v>344.1</v>
          </cell>
          <cell r="M136">
            <v>0.7201394943330427</v>
          </cell>
          <cell r="N136">
            <v>10</v>
          </cell>
          <cell r="O136">
            <v>6.9</v>
          </cell>
          <cell r="P136">
            <v>3.0999999999999996</v>
          </cell>
        </row>
        <row r="137">
          <cell r="A137" t="str">
            <v>1981:4</v>
          </cell>
          <cell r="B137">
            <v>183.51762364552206</v>
          </cell>
          <cell r="C137">
            <v>198.63939385091356</v>
          </cell>
          <cell r="D137">
            <v>0.92387325639575313</v>
          </cell>
          <cell r="E137">
            <v>183.51762364552206</v>
          </cell>
          <cell r="F137">
            <v>198.63939385091356</v>
          </cell>
          <cell r="G137">
            <v>0.92387325639575313</v>
          </cell>
          <cell r="H137">
            <v>10.6</v>
          </cell>
          <cell r="I137">
            <v>9.9</v>
          </cell>
          <cell r="J137">
            <v>0.69999999999999929</v>
          </cell>
          <cell r="K137">
            <v>235.7</v>
          </cell>
          <cell r="L137">
            <v>248.1</v>
          </cell>
          <cell r="M137">
            <v>0.95002015316404675</v>
          </cell>
          <cell r="N137">
            <v>10.1</v>
          </cell>
          <cell r="O137">
            <v>9.6999999999999993</v>
          </cell>
          <cell r="P137">
            <v>0.40000000000000036</v>
          </cell>
        </row>
        <row r="138">
          <cell r="A138" t="str">
            <v>1981:5</v>
          </cell>
          <cell r="B138">
            <v>113.13425458780952</v>
          </cell>
          <cell r="C138">
            <v>94.205291641343422</v>
          </cell>
          <cell r="D138">
            <v>1.2009331176271083</v>
          </cell>
          <cell r="E138">
            <v>113.13425458780952</v>
          </cell>
          <cell r="F138">
            <v>94.205291641343422</v>
          </cell>
          <cell r="G138">
            <v>1.2009331176271083</v>
          </cell>
          <cell r="H138">
            <v>13.2</v>
          </cell>
          <cell r="I138">
            <v>13.6</v>
          </cell>
          <cell r="J138">
            <v>-0.40000000000000036</v>
          </cell>
          <cell r="K138">
            <v>149</v>
          </cell>
          <cell r="L138">
            <v>147.30000000000001</v>
          </cell>
          <cell r="M138">
            <v>1.0115410726408689</v>
          </cell>
          <cell r="N138">
            <v>13.4</v>
          </cell>
          <cell r="O138">
            <v>13.4</v>
          </cell>
          <cell r="P138">
            <v>0</v>
          </cell>
        </row>
        <row r="139">
          <cell r="A139" t="str">
            <v>1981:6</v>
          </cell>
          <cell r="B139">
            <v>49.631778603975711</v>
          </cell>
          <cell r="C139">
            <v>33.639009300779129</v>
          </cell>
          <cell r="D139">
            <v>1.4754233146463729</v>
          </cell>
          <cell r="E139">
            <v>0</v>
          </cell>
          <cell r="F139">
            <v>0</v>
          </cell>
          <cell r="G139">
            <v>1</v>
          </cell>
          <cell r="H139">
            <v>16.399999999999999</v>
          </cell>
          <cell r="I139">
            <v>16.8</v>
          </cell>
          <cell r="J139">
            <v>-0.40000000000000213</v>
          </cell>
          <cell r="K139">
            <v>79.7</v>
          </cell>
          <cell r="L139">
            <v>65.7</v>
          </cell>
          <cell r="M139">
            <v>1.213089802130898</v>
          </cell>
          <cell r="N139">
            <v>15.7</v>
          </cell>
          <cell r="O139">
            <v>16.399999999999999</v>
          </cell>
          <cell r="P139">
            <v>-0.69999999999999929</v>
          </cell>
        </row>
        <row r="140">
          <cell r="A140" t="str">
            <v>1981:7</v>
          </cell>
          <cell r="B140">
            <v>18.348011938810014</v>
          </cell>
          <cell r="C140">
            <v>9.8992241828118033</v>
          </cell>
          <cell r="D140">
            <v>1.8534797879078231</v>
          </cell>
          <cell r="E140">
            <v>0</v>
          </cell>
          <cell r="F140">
            <v>0</v>
          </cell>
          <cell r="G140">
            <v>1</v>
          </cell>
          <cell r="H140">
            <v>18</v>
          </cell>
          <cell r="I140">
            <v>18.899999999999999</v>
          </cell>
          <cell r="J140">
            <v>-0.89999999999999858</v>
          </cell>
          <cell r="K140">
            <v>31.8</v>
          </cell>
          <cell r="L140">
            <v>31.2</v>
          </cell>
          <cell r="M140">
            <v>1.0192307692307694</v>
          </cell>
          <cell r="N140">
            <v>17.899999999999999</v>
          </cell>
          <cell r="O140">
            <v>18.3</v>
          </cell>
          <cell r="P140">
            <v>-0.40000000000000213</v>
          </cell>
        </row>
        <row r="141">
          <cell r="A141" t="str">
            <v>1981:8</v>
          </cell>
          <cell r="B141">
            <v>10.62421292569627</v>
          </cell>
          <cell r="C141">
            <v>9.4425505166936539</v>
          </cell>
          <cell r="D141">
            <v>1.1251422914723659</v>
          </cell>
          <cell r="E141">
            <v>0</v>
          </cell>
          <cell r="F141">
            <v>0</v>
          </cell>
          <cell r="G141">
            <v>1</v>
          </cell>
          <cell r="H141">
            <v>19.100000000000001</v>
          </cell>
          <cell r="I141">
            <v>18.7</v>
          </cell>
          <cell r="J141">
            <v>0.40000000000000213</v>
          </cell>
          <cell r="K141">
            <v>25.6</v>
          </cell>
          <cell r="L141">
            <v>32.6</v>
          </cell>
          <cell r="M141">
            <v>0.78527607361963192</v>
          </cell>
          <cell r="N141">
            <v>18.399999999999999</v>
          </cell>
          <cell r="O141">
            <v>18</v>
          </cell>
          <cell r="P141">
            <v>0.39999999999999858</v>
          </cell>
        </row>
        <row r="142">
          <cell r="A142" t="str">
            <v>1981:9</v>
          </cell>
          <cell r="B142">
            <v>33.743958262184059</v>
          </cell>
          <cell r="C142">
            <v>43.697695496746512</v>
          </cell>
          <cell r="D142">
            <v>0.77221368034605964</v>
          </cell>
          <cell r="E142">
            <v>0</v>
          </cell>
          <cell r="F142">
            <v>0</v>
          </cell>
          <cell r="G142">
            <v>1</v>
          </cell>
          <cell r="H142">
            <v>16.5</v>
          </cell>
          <cell r="I142">
            <v>16.3</v>
          </cell>
          <cell r="J142">
            <v>0.19999999999999929</v>
          </cell>
          <cell r="K142">
            <v>65.400000000000006</v>
          </cell>
          <cell r="L142">
            <v>80</v>
          </cell>
          <cell r="M142">
            <v>0.81750000000000012</v>
          </cell>
          <cell r="N142">
            <v>16.100000000000001</v>
          </cell>
          <cell r="O142">
            <v>15.7</v>
          </cell>
          <cell r="P142">
            <v>0.40000000000000213</v>
          </cell>
        </row>
        <row r="143">
          <cell r="A143" t="str">
            <v>1981:10</v>
          </cell>
          <cell r="B143">
            <v>161.73896581237403</v>
          </cell>
          <cell r="C143">
            <v>132.10004667845612</v>
          </cell>
          <cell r="D143">
            <v>1.2243672116639126</v>
          </cell>
          <cell r="E143">
            <v>161.73896581237403</v>
          </cell>
          <cell r="F143">
            <v>132.10004667845612</v>
          </cell>
          <cell r="G143">
            <v>1.2243672116639126</v>
          </cell>
          <cell r="H143">
            <v>11.7</v>
          </cell>
          <cell r="I143">
            <v>12.2</v>
          </cell>
          <cell r="J143">
            <v>-0.5</v>
          </cell>
          <cell r="K143">
            <v>225.3</v>
          </cell>
          <cell r="L143">
            <v>201.4</v>
          </cell>
          <cell r="M143">
            <v>1.1186693147964251</v>
          </cell>
          <cell r="N143">
            <v>10.7</v>
          </cell>
          <cell r="O143">
            <v>11.5</v>
          </cell>
          <cell r="P143">
            <v>-0.80000000000000071</v>
          </cell>
        </row>
        <row r="144">
          <cell r="A144" t="str">
            <v>1981:11</v>
          </cell>
          <cell r="B144">
            <v>280.0733273229726</v>
          </cell>
          <cell r="C144">
            <v>277.9065874341735</v>
          </cell>
          <cell r="D144">
            <v>1.0077966481788141</v>
          </cell>
          <cell r="E144">
            <v>280.0733273229726</v>
          </cell>
          <cell r="F144">
            <v>277.9065874341735</v>
          </cell>
          <cell r="G144">
            <v>1.0077966481788141</v>
          </cell>
          <cell r="H144">
            <v>7.5</v>
          </cell>
          <cell r="I144">
            <v>7.5</v>
          </cell>
          <cell r="J144">
            <v>0</v>
          </cell>
          <cell r="K144">
            <v>316.7</v>
          </cell>
          <cell r="L144">
            <v>336.8</v>
          </cell>
          <cell r="M144">
            <v>0.94032066508313528</v>
          </cell>
          <cell r="N144">
            <v>7.4</v>
          </cell>
          <cell r="O144">
            <v>6.8</v>
          </cell>
          <cell r="P144">
            <v>0.60000000000000053</v>
          </cell>
        </row>
        <row r="145">
          <cell r="A145" t="str">
            <v>1981:12</v>
          </cell>
          <cell r="B145">
            <v>379.85531886084709</v>
          </cell>
          <cell r="C145">
            <v>363.68818352813111</v>
          </cell>
          <cell r="D145">
            <v>1.0444532873624843</v>
          </cell>
          <cell r="E145">
            <v>379.85531886084709</v>
          </cell>
          <cell r="F145">
            <v>363.68818352813111</v>
          </cell>
          <cell r="G145">
            <v>1.0444532873624843</v>
          </cell>
          <cell r="H145">
            <v>4.8</v>
          </cell>
          <cell r="I145">
            <v>4.8</v>
          </cell>
          <cell r="J145">
            <v>0</v>
          </cell>
          <cell r="K145">
            <v>436.7</v>
          </cell>
          <cell r="L145">
            <v>424.6</v>
          </cell>
          <cell r="M145">
            <v>1.0284974093264247</v>
          </cell>
          <cell r="N145">
            <v>3.9</v>
          </cell>
          <cell r="O145">
            <v>4.3</v>
          </cell>
          <cell r="P145">
            <v>-0.39999999999999991</v>
          </cell>
        </row>
        <row r="146">
          <cell r="A146" t="str">
            <v>1982:1</v>
          </cell>
          <cell r="B146">
            <v>367.23886648719599</v>
          </cell>
          <cell r="C146">
            <v>392.91081774346333</v>
          </cell>
          <cell r="D146">
            <v>0.9346621418984985</v>
          </cell>
          <cell r="E146">
            <v>367.23886648719599</v>
          </cell>
          <cell r="F146">
            <v>392.91081774346333</v>
          </cell>
          <cell r="G146">
            <v>0.9346621418984985</v>
          </cell>
          <cell r="H146">
            <v>5.0999999999999996</v>
          </cell>
          <cell r="I146">
            <v>3.9</v>
          </cell>
          <cell r="J146">
            <v>1.1999999999999997</v>
          </cell>
          <cell r="K146">
            <v>455.1</v>
          </cell>
          <cell r="L146">
            <v>456.3</v>
          </cell>
          <cell r="M146">
            <v>0.99737015121630512</v>
          </cell>
          <cell r="N146">
            <v>3.3</v>
          </cell>
          <cell r="O146">
            <v>3.3</v>
          </cell>
          <cell r="P146">
            <v>0</v>
          </cell>
        </row>
        <row r="147">
          <cell r="A147" t="str">
            <v>1982:2</v>
          </cell>
          <cell r="B147">
            <v>312.65495884328328</v>
          </cell>
          <cell r="C147">
            <v>331.22294910654443</v>
          </cell>
          <cell r="D147">
            <v>0.94394111183012142</v>
          </cell>
          <cell r="E147">
            <v>312.65495884328328</v>
          </cell>
          <cell r="F147">
            <v>331.22294910654443</v>
          </cell>
          <cell r="G147">
            <v>0.94394111183012142</v>
          </cell>
          <cell r="H147">
            <v>5.5</v>
          </cell>
          <cell r="I147">
            <v>4.9000000000000004</v>
          </cell>
          <cell r="J147">
            <v>0.59999999999999964</v>
          </cell>
          <cell r="K147">
            <v>366.8</v>
          </cell>
          <cell r="L147">
            <v>388.2</v>
          </cell>
          <cell r="M147">
            <v>0.94487377640391557</v>
          </cell>
          <cell r="N147">
            <v>4.9000000000000004</v>
          </cell>
          <cell r="O147">
            <v>4.2</v>
          </cell>
          <cell r="P147">
            <v>0.70000000000000018</v>
          </cell>
        </row>
        <row r="148">
          <cell r="A148" t="str">
            <v>1982:3</v>
          </cell>
          <cell r="B148">
            <v>304.08861998863779</v>
          </cell>
          <cell r="C148">
            <v>270.29253185771751</v>
          </cell>
          <cell r="D148">
            <v>1.1250352271986213</v>
          </cell>
          <cell r="E148">
            <v>304.08861998863779</v>
          </cell>
          <cell r="F148">
            <v>270.29253185771751</v>
          </cell>
          <cell r="G148">
            <v>1.1250352271986213</v>
          </cell>
          <cell r="H148">
            <v>6.9</v>
          </cell>
          <cell r="I148">
            <v>7.4</v>
          </cell>
          <cell r="J148">
            <v>-0.5</v>
          </cell>
          <cell r="K148">
            <v>354.7</v>
          </cell>
          <cell r="L148">
            <v>344.1</v>
          </cell>
          <cell r="M148">
            <v>1.0308049985469339</v>
          </cell>
          <cell r="N148">
            <v>6.6</v>
          </cell>
          <cell r="O148">
            <v>6.9</v>
          </cell>
          <cell r="P148">
            <v>-0.30000000000000071</v>
          </cell>
        </row>
        <row r="149">
          <cell r="A149" t="str">
            <v>1982:4</v>
          </cell>
          <cell r="B149">
            <v>211.88223870630762</v>
          </cell>
          <cell r="C149">
            <v>198.63939385091356</v>
          </cell>
          <cell r="D149">
            <v>1.0666677671465978</v>
          </cell>
          <cell r="E149">
            <v>211.88223870630762</v>
          </cell>
          <cell r="F149">
            <v>198.63939385091356</v>
          </cell>
          <cell r="G149">
            <v>1.0666677671465978</v>
          </cell>
          <cell r="H149">
            <v>9.6999999999999993</v>
          </cell>
          <cell r="I149">
            <v>9.9</v>
          </cell>
          <cell r="J149">
            <v>-0.20000000000000107</v>
          </cell>
          <cell r="K149">
            <v>261.10000000000002</v>
          </cell>
          <cell r="L149">
            <v>248.1</v>
          </cell>
          <cell r="M149">
            <v>1.0523982265215639</v>
          </cell>
          <cell r="N149">
            <v>9.3000000000000007</v>
          </cell>
          <cell r="O149">
            <v>9.6999999999999993</v>
          </cell>
          <cell r="P149">
            <v>-0.39999999999999858</v>
          </cell>
        </row>
        <row r="150">
          <cell r="A150" t="str">
            <v>1982:5</v>
          </cell>
          <cell r="B150">
            <v>98.19078621260887</v>
          </cell>
          <cell r="C150">
            <v>94.205291641343422</v>
          </cell>
          <cell r="D150">
            <v>1.0423064830204969</v>
          </cell>
          <cell r="E150">
            <v>98.19078621260887</v>
          </cell>
          <cell r="F150">
            <v>94.205291641343422</v>
          </cell>
          <cell r="G150">
            <v>1.0423064830204969</v>
          </cell>
          <cell r="H150">
            <v>14.1</v>
          </cell>
          <cell r="I150">
            <v>13.6</v>
          </cell>
          <cell r="J150">
            <v>0.5</v>
          </cell>
          <cell r="K150">
            <v>136.19999999999999</v>
          </cell>
          <cell r="L150">
            <v>147.30000000000001</v>
          </cell>
          <cell r="M150">
            <v>0.92464358452138473</v>
          </cell>
          <cell r="N150">
            <v>13.7</v>
          </cell>
          <cell r="O150">
            <v>13.4</v>
          </cell>
          <cell r="P150">
            <v>0.29999999999999893</v>
          </cell>
        </row>
        <row r="151">
          <cell r="A151" t="str">
            <v>1982:6</v>
          </cell>
          <cell r="B151">
            <v>14.756128124327402</v>
          </cell>
          <cell r="C151">
            <v>33.639009300779129</v>
          </cell>
          <cell r="D151">
            <v>0.43866119814609489</v>
          </cell>
          <cell r="E151">
            <v>0</v>
          </cell>
          <cell r="F151">
            <v>0</v>
          </cell>
          <cell r="G151">
            <v>1</v>
          </cell>
          <cell r="H151">
            <v>18.3</v>
          </cell>
          <cell r="I151">
            <v>16.8</v>
          </cell>
          <cell r="J151">
            <v>1.5</v>
          </cell>
          <cell r="K151">
            <v>29.9</v>
          </cell>
          <cell r="L151">
            <v>65.7</v>
          </cell>
          <cell r="M151">
            <v>0.45509893455098932</v>
          </cell>
          <cell r="N151">
            <v>18</v>
          </cell>
          <cell r="O151">
            <v>16.399999999999999</v>
          </cell>
          <cell r="P151">
            <v>1.6000000000000014</v>
          </cell>
        </row>
        <row r="152">
          <cell r="A152" t="str">
            <v>1982:7</v>
          </cell>
          <cell r="B152">
            <v>3.779665305242907</v>
          </cell>
          <cell r="C152">
            <v>9.8992241828118033</v>
          </cell>
          <cell r="D152">
            <v>0.3818142952864535</v>
          </cell>
          <cell r="E152">
            <v>0</v>
          </cell>
          <cell r="F152">
            <v>0</v>
          </cell>
          <cell r="G152">
            <v>1</v>
          </cell>
          <cell r="H152">
            <v>20.7</v>
          </cell>
          <cell r="I152">
            <v>18.899999999999999</v>
          </cell>
          <cell r="J152">
            <v>1.8000000000000007</v>
          </cell>
          <cell r="K152">
            <v>6</v>
          </cell>
          <cell r="L152">
            <v>31.2</v>
          </cell>
          <cell r="M152">
            <v>0.19230769230769232</v>
          </cell>
          <cell r="N152">
            <v>20.100000000000001</v>
          </cell>
          <cell r="O152">
            <v>18.3</v>
          </cell>
          <cell r="P152">
            <v>1.8000000000000007</v>
          </cell>
        </row>
        <row r="153">
          <cell r="A153" t="str">
            <v>1982:8</v>
          </cell>
          <cell r="B153">
            <v>13.919542359287195</v>
          </cell>
          <cell r="C153">
            <v>9.4425505166936539</v>
          </cell>
          <cell r="D153">
            <v>1.4741295092547917</v>
          </cell>
          <cell r="E153">
            <v>0</v>
          </cell>
          <cell r="F153">
            <v>0</v>
          </cell>
          <cell r="G153">
            <v>1</v>
          </cell>
          <cell r="H153">
            <v>18.399999999999999</v>
          </cell>
          <cell r="I153">
            <v>18.7</v>
          </cell>
          <cell r="J153">
            <v>-0.30000000000000071</v>
          </cell>
          <cell r="K153">
            <v>32.200000000000003</v>
          </cell>
          <cell r="L153">
            <v>32.6</v>
          </cell>
          <cell r="M153">
            <v>0.98773006134969332</v>
          </cell>
          <cell r="N153">
            <v>17.600000000000001</v>
          </cell>
          <cell r="O153">
            <v>18</v>
          </cell>
          <cell r="P153">
            <v>-0.39999999999999858</v>
          </cell>
        </row>
        <row r="154">
          <cell r="A154" t="str">
            <v>1982:9</v>
          </cell>
          <cell r="B154">
            <v>20.930376817409297</v>
          </cell>
          <cell r="C154">
            <v>43.697695496746512</v>
          </cell>
          <cell r="D154">
            <v>0.47898125014321763</v>
          </cell>
          <cell r="E154">
            <v>0</v>
          </cell>
          <cell r="F154">
            <v>0</v>
          </cell>
          <cell r="G154">
            <v>1</v>
          </cell>
          <cell r="H154">
            <v>17.8</v>
          </cell>
          <cell r="I154">
            <v>16.3</v>
          </cell>
          <cell r="J154">
            <v>1.5</v>
          </cell>
          <cell r="K154">
            <v>42.7</v>
          </cell>
          <cell r="L154">
            <v>80</v>
          </cell>
          <cell r="M154">
            <v>0.53375000000000006</v>
          </cell>
          <cell r="N154">
            <v>17.3</v>
          </cell>
          <cell r="O154">
            <v>15.7</v>
          </cell>
          <cell r="P154">
            <v>1.6000000000000014</v>
          </cell>
        </row>
        <row r="155">
          <cell r="A155" t="str">
            <v>1982:10</v>
          </cell>
          <cell r="B155">
            <v>154.8809771406068</v>
          </cell>
          <cell r="C155">
            <v>132.10004667845612</v>
          </cell>
          <cell r="D155">
            <v>1.1724521000178114</v>
          </cell>
          <cell r="E155">
            <v>154.8809771406068</v>
          </cell>
          <cell r="F155">
            <v>132.10004667845612</v>
          </cell>
          <cell r="G155">
            <v>1.1724521000178114</v>
          </cell>
          <cell r="H155">
            <v>11.8</v>
          </cell>
          <cell r="I155">
            <v>12.2</v>
          </cell>
          <cell r="J155">
            <v>-0.39999999999999858</v>
          </cell>
          <cell r="K155">
            <v>217.9</v>
          </cell>
          <cell r="L155">
            <v>201.4</v>
          </cell>
          <cell r="M155">
            <v>1.0819265143992056</v>
          </cell>
          <cell r="N155">
            <v>11</v>
          </cell>
          <cell r="O155">
            <v>11.5</v>
          </cell>
          <cell r="P155">
            <v>-0.5</v>
          </cell>
        </row>
        <row r="156">
          <cell r="A156" t="str">
            <v>1982:11</v>
          </cell>
          <cell r="B156">
            <v>237.70925281528994</v>
          </cell>
          <cell r="C156">
            <v>277.9065874341735</v>
          </cell>
          <cell r="D156">
            <v>0.85535666862015314</v>
          </cell>
          <cell r="E156">
            <v>237.70925281528994</v>
          </cell>
          <cell r="F156">
            <v>277.9065874341735</v>
          </cell>
          <cell r="G156">
            <v>0.85535666862015314</v>
          </cell>
          <cell r="H156">
            <v>8.9</v>
          </cell>
          <cell r="I156">
            <v>7.5</v>
          </cell>
          <cell r="J156">
            <v>1.4000000000000004</v>
          </cell>
          <cell r="K156">
            <v>286.5</v>
          </cell>
          <cell r="L156">
            <v>336.8</v>
          </cell>
          <cell r="M156">
            <v>0.85065320665083133</v>
          </cell>
          <cell r="N156">
            <v>8.4</v>
          </cell>
          <cell r="O156">
            <v>6.8</v>
          </cell>
          <cell r="P156">
            <v>1.6000000000000005</v>
          </cell>
        </row>
        <row r="157">
          <cell r="A157" t="str">
            <v>1982:12</v>
          </cell>
          <cell r="B157">
            <v>358.79206170555432</v>
          </cell>
          <cell r="C157">
            <v>363.68818352813111</v>
          </cell>
          <cell r="D157">
            <v>0.98653758344557796</v>
          </cell>
          <cell r="E157">
            <v>358.79206170555432</v>
          </cell>
          <cell r="F157">
            <v>363.68818352813111</v>
          </cell>
          <cell r="G157">
            <v>0.98653758344557796</v>
          </cell>
          <cell r="H157">
            <v>5.4</v>
          </cell>
          <cell r="I157">
            <v>4.8</v>
          </cell>
          <cell r="J157">
            <v>0.60000000000000053</v>
          </cell>
          <cell r="K157">
            <v>402.6</v>
          </cell>
          <cell r="L157">
            <v>424.6</v>
          </cell>
          <cell r="M157">
            <v>0.94818652849740936</v>
          </cell>
          <cell r="N157">
            <v>5</v>
          </cell>
          <cell r="O157">
            <v>4.3</v>
          </cell>
          <cell r="P157">
            <v>0.70000000000000018</v>
          </cell>
        </row>
        <row r="158">
          <cell r="A158" t="str">
            <v>1983:1</v>
          </cell>
          <cell r="B158">
            <v>340.66454585519642</v>
          </cell>
          <cell r="C158">
            <v>392.91081774346333</v>
          </cell>
          <cell r="D158">
            <v>0.86702765734900389</v>
          </cell>
          <cell r="E158">
            <v>340.66454585519642</v>
          </cell>
          <cell r="F158">
            <v>392.91081774346333</v>
          </cell>
          <cell r="G158">
            <v>0.86702765734900389</v>
          </cell>
          <cell r="H158">
            <v>6.2</v>
          </cell>
          <cell r="I158">
            <v>3.9</v>
          </cell>
          <cell r="J158">
            <v>2.3000000000000003</v>
          </cell>
          <cell r="K158">
            <v>292.5</v>
          </cell>
          <cell r="L158">
            <v>394</v>
          </cell>
          <cell r="M158">
            <v>0.74238578680203049</v>
          </cell>
          <cell r="N158">
            <v>6.6</v>
          </cell>
          <cell r="O158">
            <v>3.3</v>
          </cell>
          <cell r="P158">
            <v>3.3</v>
          </cell>
        </row>
        <row r="159">
          <cell r="A159" t="str">
            <v>1983:2</v>
          </cell>
          <cell r="B159">
            <v>394.07916601437887</v>
          </cell>
          <cell r="C159">
            <v>331.22294910654443</v>
          </cell>
          <cell r="D159">
            <v>1.1897701142912518</v>
          </cell>
          <cell r="E159">
            <v>394.07916601437887</v>
          </cell>
          <cell r="F159">
            <v>331.22294910654443</v>
          </cell>
          <cell r="G159">
            <v>1.1897701142912518</v>
          </cell>
          <cell r="H159">
            <v>3.1</v>
          </cell>
          <cell r="I159">
            <v>4.9000000000000004</v>
          </cell>
          <cell r="J159">
            <v>-1.8000000000000003</v>
          </cell>
          <cell r="K159">
            <v>379.6</v>
          </cell>
          <cell r="L159">
            <v>332.4</v>
          </cell>
          <cell r="M159">
            <v>1.1419975932611313</v>
          </cell>
          <cell r="N159">
            <v>2.4</v>
          </cell>
          <cell r="O159">
            <v>4.2</v>
          </cell>
          <cell r="P159">
            <v>-1.8000000000000003</v>
          </cell>
        </row>
        <row r="160">
          <cell r="A160" t="str">
            <v>1983:3</v>
          </cell>
          <cell r="B160">
            <v>289.94011611562485</v>
          </cell>
          <cell r="C160">
            <v>270.29253185771751</v>
          </cell>
          <cell r="D160">
            <v>1.0726900744273979</v>
          </cell>
          <cell r="E160">
            <v>289.94011611562485</v>
          </cell>
          <cell r="F160">
            <v>270.29253185771751</v>
          </cell>
          <cell r="G160">
            <v>1.0726900744273979</v>
          </cell>
          <cell r="H160">
            <v>7.7</v>
          </cell>
          <cell r="I160">
            <v>7.4</v>
          </cell>
          <cell r="J160">
            <v>0.29999999999999982</v>
          </cell>
          <cell r="K160">
            <v>268.39999999999998</v>
          </cell>
          <cell r="L160">
            <v>281.39999999999998</v>
          </cell>
          <cell r="M160">
            <v>0.95380241648898367</v>
          </cell>
          <cell r="N160">
            <v>7.3</v>
          </cell>
          <cell r="O160">
            <v>6.9</v>
          </cell>
          <cell r="P160">
            <v>0.39999999999999947</v>
          </cell>
        </row>
        <row r="161">
          <cell r="A161" t="str">
            <v>1983:4</v>
          </cell>
          <cell r="B161">
            <v>211.72991797109268</v>
          </cell>
          <cell r="C161">
            <v>198.63939385091356</v>
          </cell>
          <cell r="D161">
            <v>1.0659009467679108</v>
          </cell>
          <cell r="E161">
            <v>211.72991797109268</v>
          </cell>
          <cell r="F161">
            <v>198.63939385091356</v>
          </cell>
          <cell r="G161">
            <v>1.0659009467679108</v>
          </cell>
          <cell r="H161">
            <v>10</v>
          </cell>
          <cell r="I161">
            <v>9.9</v>
          </cell>
          <cell r="J161">
            <v>9.9999999999999645E-2</v>
          </cell>
          <cell r="K161">
            <v>196.6</v>
          </cell>
          <cell r="L161">
            <v>188</v>
          </cell>
          <cell r="M161">
            <v>1.0457446808510638</v>
          </cell>
          <cell r="N161">
            <v>9.4</v>
          </cell>
          <cell r="O161">
            <v>9.6999999999999993</v>
          </cell>
          <cell r="P161">
            <v>-0.29999999999999893</v>
          </cell>
        </row>
        <row r="162">
          <cell r="A162" t="str">
            <v>1983:5</v>
          </cell>
          <cell r="B162">
            <v>141.42223438715297</v>
          </cell>
          <cell r="C162">
            <v>94.205291641343422</v>
          </cell>
          <cell r="D162">
            <v>1.5012132749991687</v>
          </cell>
          <cell r="E162">
            <v>141.42223438715297</v>
          </cell>
          <cell r="F162">
            <v>94.205291641343422</v>
          </cell>
          <cell r="G162">
            <v>1.5012132749991687</v>
          </cell>
          <cell r="H162">
            <v>12.5</v>
          </cell>
          <cell r="I162">
            <v>13.6</v>
          </cell>
          <cell r="J162">
            <v>-1.0999999999999996</v>
          </cell>
          <cell r="K162">
            <v>123.4</v>
          </cell>
          <cell r="L162">
            <v>92.4</v>
          </cell>
          <cell r="M162">
            <v>1.3354978354978355</v>
          </cell>
          <cell r="N162">
            <v>12.1</v>
          </cell>
          <cell r="O162">
            <v>13.4</v>
          </cell>
          <cell r="P162">
            <v>-1.3000000000000007</v>
          </cell>
        </row>
        <row r="163">
          <cell r="A163" t="str">
            <v>1983:6</v>
          </cell>
          <cell r="B163">
            <v>22.584970007294284</v>
          </cell>
          <cell r="C163">
            <v>33.639009300779129</v>
          </cell>
          <cell r="D163">
            <v>0.67139224598897995</v>
          </cell>
          <cell r="E163">
            <v>0</v>
          </cell>
          <cell r="F163">
            <v>0</v>
          </cell>
          <cell r="G163">
            <v>1</v>
          </cell>
          <cell r="H163">
            <v>18</v>
          </cell>
          <cell r="I163">
            <v>16.8</v>
          </cell>
          <cell r="J163">
            <v>1.1999999999999993</v>
          </cell>
          <cell r="K163">
            <v>15.4</v>
          </cell>
          <cell r="L163">
            <v>29.5</v>
          </cell>
          <cell r="M163">
            <v>0.52203389830508473</v>
          </cell>
          <cell r="N163">
            <v>17.8</v>
          </cell>
          <cell r="O163">
            <v>16.399999999999999</v>
          </cell>
          <cell r="P163">
            <v>1.4000000000000021</v>
          </cell>
        </row>
        <row r="164">
          <cell r="A164" t="str">
            <v>1983:7</v>
          </cell>
          <cell r="B164">
            <v>1.4767722209400991</v>
          </cell>
          <cell r="C164">
            <v>9.8992241828118033</v>
          </cell>
          <cell r="D164">
            <v>0.14918060179950715</v>
          </cell>
          <cell r="E164">
            <v>0</v>
          </cell>
          <cell r="F164">
            <v>0</v>
          </cell>
          <cell r="G164">
            <v>1</v>
          </cell>
          <cell r="H164">
            <v>22.8</v>
          </cell>
          <cell r="I164">
            <v>18.899999999999999</v>
          </cell>
          <cell r="J164">
            <v>3.9000000000000021</v>
          </cell>
          <cell r="K164">
            <v>0</v>
          </cell>
          <cell r="L164">
            <v>8.1999999999999993</v>
          </cell>
          <cell r="M164">
            <v>0</v>
          </cell>
          <cell r="N164">
            <v>22</v>
          </cell>
          <cell r="O164">
            <v>18.3</v>
          </cell>
          <cell r="P164">
            <v>3.6999999999999993</v>
          </cell>
        </row>
        <row r="165">
          <cell r="A165" t="str">
            <v>1983:8</v>
          </cell>
          <cell r="B165">
            <v>4.3879529889703921</v>
          </cell>
          <cell r="C165">
            <v>9.4425505166936539</v>
          </cell>
          <cell r="D165">
            <v>0.46469997499222815</v>
          </cell>
          <cell r="E165">
            <v>0</v>
          </cell>
          <cell r="F165">
            <v>0</v>
          </cell>
          <cell r="G165">
            <v>1</v>
          </cell>
          <cell r="H165">
            <v>20.2</v>
          </cell>
          <cell r="I165">
            <v>18.7</v>
          </cell>
          <cell r="J165">
            <v>1.5</v>
          </cell>
          <cell r="K165">
            <v>2.5</v>
          </cell>
          <cell r="L165">
            <v>9.6</v>
          </cell>
          <cell r="M165">
            <v>0.26041666666666669</v>
          </cell>
          <cell r="N165">
            <v>19.600000000000001</v>
          </cell>
          <cell r="O165">
            <v>18</v>
          </cell>
          <cell r="P165">
            <v>1.6000000000000014</v>
          </cell>
        </row>
        <row r="166">
          <cell r="A166" t="str">
            <v>1983:9</v>
          </cell>
          <cell r="B166">
            <v>35.765740951200044</v>
          </cell>
          <cell r="C166">
            <v>43.697695496746512</v>
          </cell>
          <cell r="D166">
            <v>0.8184811703368422</v>
          </cell>
          <cell r="E166">
            <v>0</v>
          </cell>
          <cell r="F166">
            <v>0</v>
          </cell>
          <cell r="G166">
            <v>1</v>
          </cell>
          <cell r="H166">
            <v>17</v>
          </cell>
          <cell r="I166">
            <v>16.3</v>
          </cell>
          <cell r="J166">
            <v>0.69999999999999929</v>
          </cell>
          <cell r="K166">
            <v>27.5</v>
          </cell>
          <cell r="L166">
            <v>39.299999999999997</v>
          </cell>
          <cell r="M166">
            <v>0.69974554707379144</v>
          </cell>
          <cell r="N166">
            <v>15.9</v>
          </cell>
          <cell r="O166">
            <v>15.7</v>
          </cell>
          <cell r="P166">
            <v>0.20000000000000107</v>
          </cell>
        </row>
        <row r="167">
          <cell r="A167" t="str">
            <v>1983:10</v>
          </cell>
          <cell r="B167">
            <v>156.91111478963154</v>
          </cell>
          <cell r="C167">
            <v>132.10004667845612</v>
          </cell>
          <cell r="D167">
            <v>1.1878202826950386</v>
          </cell>
          <cell r="E167">
            <v>156.91111478963154</v>
          </cell>
          <cell r="F167">
            <v>132.10004667845612</v>
          </cell>
          <cell r="G167">
            <v>1.1878202826950386</v>
          </cell>
          <cell r="H167">
            <v>12.5</v>
          </cell>
          <cell r="I167">
            <v>12.2</v>
          </cell>
          <cell r="J167">
            <v>0.30000000000000071</v>
          </cell>
          <cell r="K167">
            <v>145.69999999999999</v>
          </cell>
          <cell r="L167">
            <v>140.9</v>
          </cell>
          <cell r="M167">
            <v>1.0340667139815471</v>
          </cell>
          <cell r="N167">
            <v>11.7</v>
          </cell>
          <cell r="O167">
            <v>11.5</v>
          </cell>
          <cell r="P167">
            <v>0.19999999999999929</v>
          </cell>
        </row>
        <row r="168">
          <cell r="A168" t="str">
            <v>1983:11</v>
          </cell>
          <cell r="B168">
            <v>271.7312810903307</v>
          </cell>
          <cell r="C168">
            <v>277.9065874341735</v>
          </cell>
          <cell r="D168">
            <v>0.97777920127458107</v>
          </cell>
          <cell r="E168">
            <v>271.7312810903307</v>
          </cell>
          <cell r="F168">
            <v>277.9065874341735</v>
          </cell>
          <cell r="G168">
            <v>0.97777920127458107</v>
          </cell>
          <cell r="H168">
            <v>8.1999999999999993</v>
          </cell>
          <cell r="I168">
            <v>7.5</v>
          </cell>
          <cell r="J168">
            <v>0.69999999999999929</v>
          </cell>
          <cell r="K168">
            <v>266.10000000000002</v>
          </cell>
          <cell r="L168">
            <v>276.39999999999998</v>
          </cell>
          <cell r="M168">
            <v>0.96273516642547052</v>
          </cell>
          <cell r="N168">
            <v>7.1</v>
          </cell>
          <cell r="O168">
            <v>6.8</v>
          </cell>
          <cell r="P168">
            <v>0.29999999999999982</v>
          </cell>
        </row>
        <row r="169">
          <cell r="A169" t="str">
            <v>1983:12</v>
          </cell>
          <cell r="B169">
            <v>378.6761306859151</v>
          </cell>
          <cell r="C169">
            <v>363.68818352813111</v>
          </cell>
          <cell r="D169">
            <v>1.0412109819251927</v>
          </cell>
          <cell r="E169">
            <v>378.6761306859151</v>
          </cell>
          <cell r="F169">
            <v>363.68818352813111</v>
          </cell>
          <cell r="G169">
            <v>1.0412109819251927</v>
          </cell>
          <cell r="H169">
            <v>5</v>
          </cell>
          <cell r="I169">
            <v>4.8</v>
          </cell>
          <cell r="J169">
            <v>0.20000000000000018</v>
          </cell>
          <cell r="K169">
            <v>343.4</v>
          </cell>
          <cell r="L169">
            <v>362.3</v>
          </cell>
          <cell r="M169">
            <v>0.94783328733094108</v>
          </cell>
          <cell r="N169">
            <v>4.9000000000000004</v>
          </cell>
          <cell r="O169">
            <v>4.3</v>
          </cell>
          <cell r="P169">
            <v>0.60000000000000053</v>
          </cell>
        </row>
        <row r="170">
          <cell r="A170" t="str">
            <v>1984:1</v>
          </cell>
          <cell r="B170">
            <v>372.96850927985986</v>
          </cell>
          <cell r="C170">
            <v>392.91081774346333</v>
          </cell>
          <cell r="D170">
            <v>0.94924469481870044</v>
          </cell>
          <cell r="E170">
            <v>372.96850927985986</v>
          </cell>
          <cell r="F170">
            <v>392.91081774346333</v>
          </cell>
          <cell r="G170">
            <v>0.94924469481870044</v>
          </cell>
          <cell r="H170">
            <v>5.0999999999999996</v>
          </cell>
          <cell r="I170">
            <v>3.9</v>
          </cell>
          <cell r="J170">
            <v>1.1999999999999997</v>
          </cell>
          <cell r="K170">
            <v>344.9</v>
          </cell>
          <cell r="L170">
            <v>394</v>
          </cell>
          <cell r="M170">
            <v>0.87538071065989842</v>
          </cell>
          <cell r="N170">
            <v>4.9000000000000004</v>
          </cell>
          <cell r="O170">
            <v>3.3</v>
          </cell>
          <cell r="P170">
            <v>1.6000000000000005</v>
          </cell>
        </row>
        <row r="171">
          <cell r="A171" t="str">
            <v>1984:2</v>
          </cell>
          <cell r="B171">
            <v>373.69497667613746</v>
          </cell>
          <cell r="C171">
            <v>331.22294910654443</v>
          </cell>
          <cell r="D171">
            <v>1.1282279132051658</v>
          </cell>
          <cell r="E171">
            <v>373.69497667613746</v>
          </cell>
          <cell r="F171">
            <v>331.22294910654443</v>
          </cell>
          <cell r="G171">
            <v>1.1282279132051658</v>
          </cell>
          <cell r="H171">
            <v>4.0999999999999996</v>
          </cell>
          <cell r="I171">
            <v>4.9000000000000004</v>
          </cell>
          <cell r="J171">
            <v>-0.80000000000000071</v>
          </cell>
          <cell r="K171">
            <v>339.7</v>
          </cell>
          <cell r="L171">
            <v>332.4</v>
          </cell>
          <cell r="M171">
            <v>1.0219614921780986</v>
          </cell>
          <cell r="N171">
            <v>4.3</v>
          </cell>
          <cell r="O171">
            <v>4.2</v>
          </cell>
          <cell r="P171">
            <v>9.9999999999999645E-2</v>
          </cell>
        </row>
        <row r="172">
          <cell r="A172" t="str">
            <v>1984:3</v>
          </cell>
          <cell r="B172">
            <v>339.40401753927114</v>
          </cell>
          <cell r="C172">
            <v>270.29253185771751</v>
          </cell>
          <cell r="D172">
            <v>1.2556914362618574</v>
          </cell>
          <cell r="E172">
            <v>339.40401753927114</v>
          </cell>
          <cell r="F172">
            <v>270.29253185771751</v>
          </cell>
          <cell r="G172">
            <v>1.2556914362618574</v>
          </cell>
          <cell r="H172">
            <v>6</v>
          </cell>
          <cell r="I172">
            <v>7.4</v>
          </cell>
          <cell r="J172">
            <v>-1.4000000000000004</v>
          </cell>
          <cell r="K172">
            <v>316.39999999999998</v>
          </cell>
          <cell r="L172">
            <v>281.39999999999998</v>
          </cell>
          <cell r="M172">
            <v>1.1243781094527363</v>
          </cell>
          <cell r="N172">
            <v>5.8</v>
          </cell>
          <cell r="O172">
            <v>6.9</v>
          </cell>
          <cell r="P172">
            <v>-1.1000000000000005</v>
          </cell>
        </row>
        <row r="173">
          <cell r="A173" t="str">
            <v>1984:4</v>
          </cell>
          <cell r="B173">
            <v>205.17422921886356</v>
          </cell>
          <cell r="C173">
            <v>198.63939385091356</v>
          </cell>
          <cell r="D173">
            <v>1.0328979828283942</v>
          </cell>
          <cell r="E173">
            <v>205.17422921886356</v>
          </cell>
          <cell r="F173">
            <v>198.63939385091356</v>
          </cell>
          <cell r="G173">
            <v>1.0328979828283942</v>
          </cell>
          <cell r="H173">
            <v>10</v>
          </cell>
          <cell r="I173">
            <v>9.9</v>
          </cell>
          <cell r="J173">
            <v>9.9999999999999645E-2</v>
          </cell>
          <cell r="K173">
            <v>192</v>
          </cell>
          <cell r="L173">
            <v>188</v>
          </cell>
          <cell r="M173">
            <v>1.0212765957446808</v>
          </cell>
          <cell r="N173">
            <v>9.6999999999999993</v>
          </cell>
          <cell r="O173">
            <v>9.6999999999999993</v>
          </cell>
          <cell r="P173">
            <v>0</v>
          </cell>
        </row>
        <row r="174">
          <cell r="A174" t="str">
            <v>1984:5</v>
          </cell>
          <cell r="B174">
            <v>172.55230683360335</v>
          </cell>
          <cell r="C174">
            <v>94.205291641343422</v>
          </cell>
          <cell r="D174">
            <v>1.8316625725287405</v>
          </cell>
          <cell r="E174">
            <v>172.55230683360335</v>
          </cell>
          <cell r="F174">
            <v>94.205291641343422</v>
          </cell>
          <cell r="G174">
            <v>1.8316625725287405</v>
          </cell>
          <cell r="H174">
            <v>11.2</v>
          </cell>
          <cell r="I174">
            <v>13.6</v>
          </cell>
          <cell r="J174">
            <v>-2.4000000000000004</v>
          </cell>
          <cell r="K174">
            <v>143.4</v>
          </cell>
          <cell r="L174">
            <v>92.4</v>
          </cell>
          <cell r="M174">
            <v>1.551948051948052</v>
          </cell>
          <cell r="N174">
            <v>11.4</v>
          </cell>
          <cell r="O174">
            <v>13.4</v>
          </cell>
          <cell r="P174">
            <v>-2</v>
          </cell>
        </row>
        <row r="175">
          <cell r="A175" t="str">
            <v>1984:6</v>
          </cell>
          <cell r="B175">
            <v>43.110220641731559</v>
          </cell>
          <cell r="C175">
            <v>33.639009300779129</v>
          </cell>
          <cell r="D175">
            <v>1.2815544077492516</v>
          </cell>
          <cell r="E175">
            <v>0</v>
          </cell>
          <cell r="F175">
            <v>0</v>
          </cell>
          <cell r="G175">
            <v>1</v>
          </cell>
          <cell r="H175">
            <v>16.5</v>
          </cell>
          <cell r="I175">
            <v>16.8</v>
          </cell>
          <cell r="J175">
            <v>-0.30000000000000071</v>
          </cell>
          <cell r="K175">
            <v>26.4</v>
          </cell>
          <cell r="L175">
            <v>29.5</v>
          </cell>
          <cell r="M175">
            <v>0.89491525423728813</v>
          </cell>
          <cell r="N175">
            <v>16.100000000000001</v>
          </cell>
          <cell r="O175">
            <v>16.399999999999999</v>
          </cell>
          <cell r="P175">
            <v>-0.29999999999999716</v>
          </cell>
        </row>
        <row r="176">
          <cell r="A176" t="str">
            <v>1984:7</v>
          </cell>
          <cell r="B176">
            <v>11.479038776610327</v>
          </cell>
          <cell r="C176">
            <v>9.8992241828118033</v>
          </cell>
          <cell r="D176">
            <v>1.1595897380060938</v>
          </cell>
          <cell r="E176">
            <v>0</v>
          </cell>
          <cell r="F176">
            <v>0</v>
          </cell>
          <cell r="G176">
            <v>1</v>
          </cell>
          <cell r="H176">
            <v>19.399999999999999</v>
          </cell>
          <cell r="I176">
            <v>18.899999999999999</v>
          </cell>
          <cell r="J176">
            <v>0.5</v>
          </cell>
          <cell r="K176">
            <v>9.6</v>
          </cell>
          <cell r="L176">
            <v>8.1999999999999993</v>
          </cell>
          <cell r="M176">
            <v>1.1707317073170733</v>
          </cell>
          <cell r="N176">
            <v>18.5</v>
          </cell>
          <cell r="O176">
            <v>18.3</v>
          </cell>
          <cell r="P176">
            <v>0.19999999999999929</v>
          </cell>
        </row>
        <row r="177">
          <cell r="A177" t="str">
            <v>1984:8</v>
          </cell>
          <cell r="B177">
            <v>5.2454730764574116</v>
          </cell>
          <cell r="C177">
            <v>9.4425505166936539</v>
          </cell>
          <cell r="D177">
            <v>0.55551443089278119</v>
          </cell>
          <cell r="E177">
            <v>0</v>
          </cell>
          <cell r="F177">
            <v>0</v>
          </cell>
          <cell r="G177">
            <v>1</v>
          </cell>
          <cell r="H177">
            <v>19.100000000000001</v>
          </cell>
          <cell r="I177">
            <v>18.7</v>
          </cell>
          <cell r="J177">
            <v>0.40000000000000213</v>
          </cell>
          <cell r="K177">
            <v>1.2</v>
          </cell>
          <cell r="L177">
            <v>9.6</v>
          </cell>
          <cell r="M177">
            <v>0.125</v>
          </cell>
          <cell r="N177">
            <v>18.8</v>
          </cell>
          <cell r="O177">
            <v>18</v>
          </cell>
          <cell r="P177">
            <v>0.80000000000000071</v>
          </cell>
        </row>
        <row r="178">
          <cell r="A178" t="str">
            <v>1984:9</v>
          </cell>
          <cell r="B178">
            <v>67.471276929245931</v>
          </cell>
          <cell r="C178">
            <v>43.697695496746512</v>
          </cell>
          <cell r="D178">
            <v>1.5440465718442629</v>
          </cell>
          <cell r="E178">
            <v>0</v>
          </cell>
          <cell r="F178">
            <v>0</v>
          </cell>
          <cell r="G178">
            <v>1</v>
          </cell>
          <cell r="H178">
            <v>15.3</v>
          </cell>
          <cell r="I178">
            <v>16.3</v>
          </cell>
          <cell r="J178">
            <v>-1</v>
          </cell>
          <cell r="K178">
            <v>56.6</v>
          </cell>
          <cell r="L178">
            <v>39.299999999999997</v>
          </cell>
          <cell r="M178">
            <v>1.440203562340967</v>
          </cell>
          <cell r="N178">
            <v>14.9</v>
          </cell>
          <cell r="O178">
            <v>15.7</v>
          </cell>
          <cell r="P178">
            <v>-0.79999999999999893</v>
          </cell>
        </row>
        <row r="179">
          <cell r="A179" t="str">
            <v>1984:10</v>
          </cell>
          <cell r="B179">
            <v>136.60981691141734</v>
          </cell>
          <cell r="C179">
            <v>132.10004667845612</v>
          </cell>
          <cell r="D179">
            <v>1.034139051017434</v>
          </cell>
          <cell r="E179">
            <v>136.60981691141734</v>
          </cell>
          <cell r="F179">
            <v>132.10004667845612</v>
          </cell>
          <cell r="G179">
            <v>1.034139051017434</v>
          </cell>
          <cell r="H179">
            <v>12.7</v>
          </cell>
          <cell r="I179">
            <v>12.2</v>
          </cell>
          <cell r="J179">
            <v>0.5</v>
          </cell>
          <cell r="K179">
            <v>115</v>
          </cell>
          <cell r="L179">
            <v>140.9</v>
          </cell>
          <cell r="M179">
            <v>0.8161816891412349</v>
          </cell>
          <cell r="N179">
            <v>12.3</v>
          </cell>
          <cell r="O179">
            <v>11.5</v>
          </cell>
          <cell r="P179">
            <v>0.80000000000000071</v>
          </cell>
        </row>
        <row r="180">
          <cell r="A180" t="str">
            <v>1984:11</v>
          </cell>
          <cell r="B180">
            <v>204.41621334026675</v>
          </cell>
          <cell r="C180">
            <v>277.9065874341735</v>
          </cell>
          <cell r="D180">
            <v>0.73555727925551928</v>
          </cell>
          <cell r="E180">
            <v>204.41621334026675</v>
          </cell>
          <cell r="F180">
            <v>277.9065874341735</v>
          </cell>
          <cell r="G180">
            <v>0.73555727925551928</v>
          </cell>
          <cell r="H180">
            <v>10.1</v>
          </cell>
          <cell r="I180">
            <v>7.5</v>
          </cell>
          <cell r="J180">
            <v>2.5999999999999996</v>
          </cell>
          <cell r="K180">
            <v>181.1</v>
          </cell>
          <cell r="L180">
            <v>276.39999999999998</v>
          </cell>
          <cell r="M180">
            <v>0.65520984081041966</v>
          </cell>
          <cell r="N180">
            <v>10</v>
          </cell>
          <cell r="O180">
            <v>6.8</v>
          </cell>
          <cell r="P180">
            <v>3.2</v>
          </cell>
        </row>
        <row r="181">
          <cell r="A181" t="str">
            <v>1984:12</v>
          </cell>
          <cell r="B181">
            <v>375.08669768882083</v>
          </cell>
          <cell r="C181">
            <v>363.68818352813111</v>
          </cell>
          <cell r="D181">
            <v>1.0313414476382294</v>
          </cell>
          <cell r="E181">
            <v>375.08669768882083</v>
          </cell>
          <cell r="F181">
            <v>363.68818352813111</v>
          </cell>
          <cell r="G181">
            <v>1.0313414476382294</v>
          </cell>
          <cell r="H181">
            <v>5.0999999999999996</v>
          </cell>
          <cell r="I181">
            <v>4.8</v>
          </cell>
          <cell r="J181">
            <v>0.29999999999999982</v>
          </cell>
          <cell r="K181">
            <v>346.1</v>
          </cell>
          <cell r="L181">
            <v>362.3</v>
          </cell>
          <cell r="M181">
            <v>0.95528567485509253</v>
          </cell>
          <cell r="N181">
            <v>4.8</v>
          </cell>
          <cell r="O181">
            <v>4.3</v>
          </cell>
          <cell r="P181">
            <v>0.5</v>
          </cell>
        </row>
        <row r="182">
          <cell r="A182" t="str">
            <v>1985:1</v>
          </cell>
          <cell r="B182">
            <v>558.14614662791075</v>
          </cell>
          <cell r="C182">
            <v>392.91081774346333</v>
          </cell>
          <cell r="D182">
            <v>1.4205415616536468</v>
          </cell>
          <cell r="E182">
            <v>558.14614662791075</v>
          </cell>
          <cell r="F182">
            <v>392.91081774346333</v>
          </cell>
          <cell r="G182">
            <v>1.4205415616536468</v>
          </cell>
          <cell r="H182">
            <v>-0.8</v>
          </cell>
          <cell r="I182">
            <v>3.9</v>
          </cell>
          <cell r="J182">
            <v>-4.7</v>
          </cell>
          <cell r="K182">
            <v>535.9</v>
          </cell>
          <cell r="L182">
            <v>394</v>
          </cell>
          <cell r="M182">
            <v>1.3601522842639593</v>
          </cell>
          <cell r="N182">
            <v>-1.3</v>
          </cell>
          <cell r="O182">
            <v>3.3</v>
          </cell>
          <cell r="P182">
            <v>-4.5999999999999996</v>
          </cell>
        </row>
        <row r="183">
          <cell r="A183" t="str">
            <v>1985:2</v>
          </cell>
          <cell r="B183">
            <v>358.70795874442558</v>
          </cell>
          <cell r="C183">
            <v>331.22294910654443</v>
          </cell>
          <cell r="D183">
            <v>1.0829803904349637</v>
          </cell>
          <cell r="E183">
            <v>358.70795874442558</v>
          </cell>
          <cell r="F183">
            <v>331.22294910654443</v>
          </cell>
          <cell r="G183">
            <v>1.0829803904349637</v>
          </cell>
          <cell r="H183">
            <v>4.5</v>
          </cell>
          <cell r="I183">
            <v>4.9000000000000004</v>
          </cell>
          <cell r="J183">
            <v>-0.40000000000000036</v>
          </cell>
          <cell r="K183">
            <v>377.9</v>
          </cell>
          <cell r="L183">
            <v>332.4</v>
          </cell>
          <cell r="M183">
            <v>1.1368832731648617</v>
          </cell>
          <cell r="N183">
            <v>2.5</v>
          </cell>
          <cell r="O183">
            <v>4.2</v>
          </cell>
          <cell r="P183">
            <v>-1.7000000000000002</v>
          </cell>
        </row>
        <row r="184">
          <cell r="A184" t="str">
            <v>1985:3</v>
          </cell>
          <cell r="B184">
            <v>341.43456038823342</v>
          </cell>
          <cell r="C184">
            <v>270.29253185771751</v>
          </cell>
          <cell r="D184">
            <v>1.2632038260234479</v>
          </cell>
          <cell r="E184">
            <v>341.43456038823342</v>
          </cell>
          <cell r="F184">
            <v>270.29253185771751</v>
          </cell>
          <cell r="G184">
            <v>1.2632038260234479</v>
          </cell>
          <cell r="H184">
            <v>6</v>
          </cell>
          <cell r="I184">
            <v>7.4</v>
          </cell>
          <cell r="J184">
            <v>-1.4000000000000004</v>
          </cell>
          <cell r="K184">
            <v>327.7</v>
          </cell>
          <cell r="L184">
            <v>281.39999999999998</v>
          </cell>
          <cell r="M184">
            <v>1.1645344705046199</v>
          </cell>
          <cell r="N184">
            <v>5.4</v>
          </cell>
          <cell r="O184">
            <v>6.9</v>
          </cell>
          <cell r="P184">
            <v>-1.5</v>
          </cell>
        </row>
        <row r="185">
          <cell r="A185" t="str">
            <v>1985:4</v>
          </cell>
          <cell r="B185">
            <v>181.95670283421137</v>
          </cell>
          <cell r="C185">
            <v>198.63939385091356</v>
          </cell>
          <cell r="D185">
            <v>0.91601519369706097</v>
          </cell>
          <cell r="E185">
            <v>181.95670283421137</v>
          </cell>
          <cell r="F185">
            <v>198.63939385091356</v>
          </cell>
          <cell r="G185">
            <v>0.91601519369706097</v>
          </cell>
          <cell r="H185">
            <v>10.7</v>
          </cell>
          <cell r="I185">
            <v>9.9</v>
          </cell>
          <cell r="J185">
            <v>0.79999999999999893</v>
          </cell>
          <cell r="K185">
            <v>172.8</v>
          </cell>
          <cell r="L185">
            <v>188</v>
          </cell>
          <cell r="M185">
            <v>0.91914893617021287</v>
          </cell>
          <cell r="N185">
            <v>10.3</v>
          </cell>
          <cell r="O185">
            <v>9.6999999999999993</v>
          </cell>
          <cell r="P185">
            <v>0.60000000000000142</v>
          </cell>
        </row>
        <row r="186">
          <cell r="A186" t="str">
            <v>1985:5</v>
          </cell>
          <cell r="B186">
            <v>113.16281939721688</v>
          </cell>
          <cell r="C186">
            <v>94.205291641343422</v>
          </cell>
          <cell r="D186">
            <v>1.201236336362592</v>
          </cell>
          <cell r="E186">
            <v>113.16281939721688</v>
          </cell>
          <cell r="F186">
            <v>94.205291641343422</v>
          </cell>
          <cell r="G186">
            <v>1.201236336362592</v>
          </cell>
          <cell r="H186">
            <v>13.3</v>
          </cell>
          <cell r="I186">
            <v>13.6</v>
          </cell>
          <cell r="J186">
            <v>-0.29999999999999893</v>
          </cell>
          <cell r="K186">
            <v>76.7</v>
          </cell>
          <cell r="L186">
            <v>92.4</v>
          </cell>
          <cell r="M186">
            <v>0.83008658008658009</v>
          </cell>
          <cell r="N186">
            <v>14</v>
          </cell>
          <cell r="O186">
            <v>13.4</v>
          </cell>
          <cell r="P186">
            <v>0.59999999999999964</v>
          </cell>
        </row>
        <row r="187">
          <cell r="A187" t="str">
            <v>1985:6</v>
          </cell>
          <cell r="B187">
            <v>52.71283364829128</v>
          </cell>
          <cell r="C187">
            <v>33.639009300779129</v>
          </cell>
          <cell r="D187">
            <v>1.5670150442590582</v>
          </cell>
          <cell r="E187">
            <v>0</v>
          </cell>
          <cell r="F187">
            <v>0</v>
          </cell>
          <cell r="G187">
            <v>1</v>
          </cell>
          <cell r="H187">
            <v>16</v>
          </cell>
          <cell r="I187">
            <v>16.8</v>
          </cell>
          <cell r="J187">
            <v>-0.80000000000000071</v>
          </cell>
          <cell r="K187">
            <v>52.1</v>
          </cell>
          <cell r="L187">
            <v>29.5</v>
          </cell>
          <cell r="M187">
            <v>1.7661016949152544</v>
          </cell>
          <cell r="N187">
            <v>15.1</v>
          </cell>
          <cell r="O187">
            <v>16.399999999999999</v>
          </cell>
          <cell r="P187">
            <v>-1.2999999999999989</v>
          </cell>
        </row>
        <row r="188">
          <cell r="A188" t="str">
            <v>1985:7</v>
          </cell>
          <cell r="B188">
            <v>3.3032860778221957</v>
          </cell>
          <cell r="C188">
            <v>9.8992241828118033</v>
          </cell>
          <cell r="D188">
            <v>0.33369141023775878</v>
          </cell>
          <cell r="E188">
            <v>0</v>
          </cell>
          <cell r="F188">
            <v>0</v>
          </cell>
          <cell r="G188">
            <v>1</v>
          </cell>
          <cell r="H188">
            <v>20.100000000000001</v>
          </cell>
          <cell r="I188">
            <v>18.899999999999999</v>
          </cell>
          <cell r="J188">
            <v>1.2000000000000028</v>
          </cell>
          <cell r="K188">
            <v>2</v>
          </cell>
          <cell r="L188">
            <v>8.1999999999999993</v>
          </cell>
          <cell r="M188">
            <v>0.24390243902439027</v>
          </cell>
          <cell r="N188">
            <v>18.600000000000001</v>
          </cell>
          <cell r="O188">
            <v>18.3</v>
          </cell>
          <cell r="P188">
            <v>0.30000000000000071</v>
          </cell>
        </row>
        <row r="189">
          <cell r="A189" t="str">
            <v>1985:8</v>
          </cell>
          <cell r="B189">
            <v>15.998555347425365</v>
          </cell>
          <cell r="C189">
            <v>9.4425505166936539</v>
          </cell>
          <cell r="D189">
            <v>1.6943044486911913</v>
          </cell>
          <cell r="E189">
            <v>0</v>
          </cell>
          <cell r="F189">
            <v>0</v>
          </cell>
          <cell r="G189">
            <v>1</v>
          </cell>
          <cell r="H189">
            <v>18.3</v>
          </cell>
          <cell r="I189">
            <v>18.7</v>
          </cell>
          <cell r="J189">
            <v>-0.39999999999999858</v>
          </cell>
          <cell r="K189">
            <v>9</v>
          </cell>
          <cell r="L189">
            <v>9.6</v>
          </cell>
          <cell r="M189">
            <v>0.9375</v>
          </cell>
          <cell r="N189">
            <v>17</v>
          </cell>
          <cell r="O189">
            <v>18</v>
          </cell>
          <cell r="P189">
            <v>-1</v>
          </cell>
        </row>
        <row r="190">
          <cell r="A190" t="str">
            <v>1985:9</v>
          </cell>
          <cell r="B190">
            <v>25.377791828535283</v>
          </cell>
          <cell r="C190">
            <v>43.697695496746512</v>
          </cell>
          <cell r="D190">
            <v>0.58075812786110825</v>
          </cell>
          <cell r="E190">
            <v>0</v>
          </cell>
          <cell r="F190">
            <v>0</v>
          </cell>
          <cell r="G190">
            <v>1</v>
          </cell>
          <cell r="H190">
            <v>17.899999999999999</v>
          </cell>
          <cell r="I190">
            <v>16.3</v>
          </cell>
          <cell r="J190">
            <v>1.5999999999999979</v>
          </cell>
          <cell r="K190">
            <v>23.4</v>
          </cell>
          <cell r="L190">
            <v>39.299999999999997</v>
          </cell>
          <cell r="M190">
            <v>0.59541984732824427</v>
          </cell>
          <cell r="N190">
            <v>16.600000000000001</v>
          </cell>
          <cell r="O190">
            <v>15.7</v>
          </cell>
          <cell r="P190">
            <v>0.90000000000000213</v>
          </cell>
        </row>
        <row r="191">
          <cell r="A191" t="str">
            <v>1985:10</v>
          </cell>
          <cell r="B191">
            <v>151.16096000753265</v>
          </cell>
          <cell r="C191">
            <v>132.10004667845612</v>
          </cell>
          <cell r="D191">
            <v>1.1442914957893435</v>
          </cell>
          <cell r="E191">
            <v>151.16096000753265</v>
          </cell>
          <cell r="F191">
            <v>132.10004667845612</v>
          </cell>
          <cell r="G191">
            <v>1.1442914957893435</v>
          </cell>
          <cell r="H191">
            <v>12.9</v>
          </cell>
          <cell r="I191">
            <v>12.2</v>
          </cell>
          <cell r="J191">
            <v>0.70000000000000107</v>
          </cell>
          <cell r="K191">
            <v>167.5</v>
          </cell>
          <cell r="L191">
            <v>140.9</v>
          </cell>
          <cell r="M191">
            <v>1.1887863733144073</v>
          </cell>
          <cell r="N191">
            <v>11.2</v>
          </cell>
          <cell r="O191">
            <v>11.5</v>
          </cell>
          <cell r="P191">
            <v>-0.30000000000000071</v>
          </cell>
        </row>
        <row r="192">
          <cell r="A192" t="str">
            <v>1985:11</v>
          </cell>
          <cell r="B192">
            <v>370.70342524260963</v>
          </cell>
          <cell r="C192">
            <v>277.9065874341735</v>
          </cell>
          <cell r="D192">
            <v>1.3339137753631569</v>
          </cell>
          <cell r="E192">
            <v>370.70342524260963</v>
          </cell>
          <cell r="F192">
            <v>277.9065874341735</v>
          </cell>
          <cell r="G192">
            <v>1.3339137753631569</v>
          </cell>
          <cell r="H192">
            <v>4.9000000000000004</v>
          </cell>
          <cell r="I192">
            <v>7.5</v>
          </cell>
          <cell r="J192">
            <v>-2.5999999999999996</v>
          </cell>
          <cell r="K192">
            <v>358.2</v>
          </cell>
          <cell r="L192">
            <v>276.39999999999998</v>
          </cell>
          <cell r="M192">
            <v>1.2959479015918958</v>
          </cell>
          <cell r="N192">
            <v>4.0999999999999996</v>
          </cell>
          <cell r="O192">
            <v>6.8</v>
          </cell>
          <cell r="P192">
            <v>-2.7</v>
          </cell>
        </row>
        <row r="193">
          <cell r="A193" t="str">
            <v>1985:12</v>
          </cell>
          <cell r="B193">
            <v>341.45289923023347</v>
          </cell>
          <cell r="C193">
            <v>363.68818352813111</v>
          </cell>
          <cell r="D193">
            <v>0.93886168067877918</v>
          </cell>
          <cell r="E193">
            <v>341.45289923023347</v>
          </cell>
          <cell r="F193">
            <v>363.68818352813111</v>
          </cell>
          <cell r="G193">
            <v>0.93886168067877918</v>
          </cell>
          <cell r="H193">
            <v>6.2</v>
          </cell>
          <cell r="I193">
            <v>4.8</v>
          </cell>
          <cell r="J193">
            <v>1.4000000000000004</v>
          </cell>
          <cell r="K193">
            <v>303.89999999999998</v>
          </cell>
          <cell r="L193">
            <v>362.3</v>
          </cell>
          <cell r="M193">
            <v>0.83880761799613568</v>
          </cell>
          <cell r="N193">
            <v>6.2</v>
          </cell>
          <cell r="O193">
            <v>4.3</v>
          </cell>
          <cell r="P193">
            <v>1.9000000000000004</v>
          </cell>
        </row>
        <row r="194">
          <cell r="A194" t="str">
            <v>1986:1</v>
          </cell>
          <cell r="B194">
            <v>386.64753666518021</v>
          </cell>
          <cell r="C194">
            <v>392.91081774346333</v>
          </cell>
          <cell r="D194">
            <v>0.98405928064222326</v>
          </cell>
          <cell r="E194">
            <v>386.64753666518021</v>
          </cell>
          <cell r="F194">
            <v>392.91081774346333</v>
          </cell>
          <cell r="G194">
            <v>0.98405928064222326</v>
          </cell>
          <cell r="H194">
            <v>4.5999999999999996</v>
          </cell>
          <cell r="I194">
            <v>3.9</v>
          </cell>
          <cell r="J194">
            <v>0.69999999999999973</v>
          </cell>
          <cell r="K194">
            <v>366.1</v>
          </cell>
          <cell r="L194">
            <v>394</v>
          </cell>
          <cell r="M194">
            <v>0.92918781725888333</v>
          </cell>
          <cell r="N194">
            <v>4.2</v>
          </cell>
          <cell r="O194">
            <v>3.3</v>
          </cell>
          <cell r="P194">
            <v>0.90000000000000036</v>
          </cell>
        </row>
        <row r="195">
          <cell r="A195" t="str">
            <v>1986:2</v>
          </cell>
          <cell r="B195">
            <v>492.72449221650726</v>
          </cell>
          <cell r="C195">
            <v>331.22294910654443</v>
          </cell>
          <cell r="D195">
            <v>1.4875916464894847</v>
          </cell>
          <cell r="E195">
            <v>492.72449221650726</v>
          </cell>
          <cell r="F195">
            <v>331.22294910654443</v>
          </cell>
          <cell r="G195">
            <v>1.4875916464894847</v>
          </cell>
          <cell r="H195">
            <v>-0.4</v>
          </cell>
          <cell r="I195">
            <v>4.9000000000000004</v>
          </cell>
          <cell r="J195">
            <v>-5.3000000000000007</v>
          </cell>
          <cell r="K195">
            <v>507.2</v>
          </cell>
          <cell r="L195">
            <v>332.4</v>
          </cell>
          <cell r="M195">
            <v>1.5258724428399519</v>
          </cell>
          <cell r="N195">
            <v>-2.1</v>
          </cell>
          <cell r="O195">
            <v>4.2</v>
          </cell>
          <cell r="P195">
            <v>-6.3000000000000007</v>
          </cell>
        </row>
        <row r="196">
          <cell r="A196" t="str">
            <v>1986:3</v>
          </cell>
          <cell r="B196">
            <v>319.46239528954959</v>
          </cell>
          <cell r="C196">
            <v>270.29253185771751</v>
          </cell>
          <cell r="D196">
            <v>1.1819135108687175</v>
          </cell>
          <cell r="E196">
            <v>319.46239528954959</v>
          </cell>
          <cell r="F196">
            <v>270.29253185771751</v>
          </cell>
          <cell r="G196">
            <v>1.1819135108687175</v>
          </cell>
          <cell r="H196">
            <v>6.4</v>
          </cell>
          <cell r="I196">
            <v>7.4</v>
          </cell>
          <cell r="J196">
            <v>-1</v>
          </cell>
          <cell r="K196">
            <v>328.9</v>
          </cell>
          <cell r="L196">
            <v>281.39999999999998</v>
          </cell>
          <cell r="M196">
            <v>1.1687988628287136</v>
          </cell>
          <cell r="N196">
            <v>5.4</v>
          </cell>
          <cell r="O196">
            <v>6.9</v>
          </cell>
          <cell r="P196">
            <v>-1.5</v>
          </cell>
        </row>
        <row r="197">
          <cell r="A197" t="str">
            <v>1986:4</v>
          </cell>
          <cell r="B197">
            <v>273.48058233910888</v>
          </cell>
          <cell r="C197">
            <v>198.63939385091356</v>
          </cell>
          <cell r="D197">
            <v>1.3767691143095537</v>
          </cell>
          <cell r="E197">
            <v>273.48058233910888</v>
          </cell>
          <cell r="F197">
            <v>198.63939385091356</v>
          </cell>
          <cell r="G197">
            <v>1.3767691143095537</v>
          </cell>
          <cell r="H197">
            <v>7.4</v>
          </cell>
          <cell r="I197">
            <v>9.9</v>
          </cell>
          <cell r="J197">
            <v>-2.5</v>
          </cell>
          <cell r="K197">
            <v>271.89999999999998</v>
          </cell>
          <cell r="L197">
            <v>188</v>
          </cell>
          <cell r="M197">
            <v>1.4462765957446808</v>
          </cell>
          <cell r="N197">
            <v>6.9</v>
          </cell>
          <cell r="O197">
            <v>9.6999999999999993</v>
          </cell>
          <cell r="P197">
            <v>-2.7999999999999989</v>
          </cell>
        </row>
        <row r="198">
          <cell r="A198" t="str">
            <v>1986:5</v>
          </cell>
          <cell r="B198">
            <v>85.39865648485403</v>
          </cell>
          <cell r="C198">
            <v>94.205291641343422</v>
          </cell>
          <cell r="D198">
            <v>0.90651655546041043</v>
          </cell>
          <cell r="E198">
            <v>85.39865648485403</v>
          </cell>
          <cell r="F198">
            <v>94.205291641343422</v>
          </cell>
          <cell r="G198">
            <v>0.90651655546041043</v>
          </cell>
          <cell r="H198">
            <v>14.4</v>
          </cell>
          <cell r="I198">
            <v>13.6</v>
          </cell>
          <cell r="J198">
            <v>0.80000000000000071</v>
          </cell>
          <cell r="K198">
            <v>76.599999999999994</v>
          </cell>
          <cell r="L198">
            <v>92.4</v>
          </cell>
          <cell r="M198">
            <v>0.82900432900432885</v>
          </cell>
          <cell r="N198">
            <v>13.8</v>
          </cell>
          <cell r="O198">
            <v>13.4</v>
          </cell>
          <cell r="P198">
            <v>0.40000000000000036</v>
          </cell>
        </row>
        <row r="199">
          <cell r="A199" t="str">
            <v>1986:6</v>
          </cell>
          <cell r="B199">
            <v>40.35291237225492</v>
          </cell>
          <cell r="C199">
            <v>33.639009300779129</v>
          </cell>
          <cell r="D199">
            <v>1.1995868252671842</v>
          </cell>
          <cell r="E199">
            <v>0</v>
          </cell>
          <cell r="F199">
            <v>0</v>
          </cell>
          <cell r="G199">
            <v>1</v>
          </cell>
          <cell r="H199">
            <v>17.600000000000001</v>
          </cell>
          <cell r="I199">
            <v>16.8</v>
          </cell>
          <cell r="J199">
            <v>0.80000000000000071</v>
          </cell>
          <cell r="K199">
            <v>31.9</v>
          </cell>
          <cell r="L199">
            <v>29.5</v>
          </cell>
          <cell r="M199">
            <v>1.0813559322033899</v>
          </cell>
          <cell r="N199">
            <v>17.8</v>
          </cell>
          <cell r="O199">
            <v>16.399999999999999</v>
          </cell>
          <cell r="P199">
            <v>1.4000000000000021</v>
          </cell>
        </row>
        <row r="200">
          <cell r="A200" t="str">
            <v>1986:7</v>
          </cell>
          <cell r="B200">
            <v>9.2716407823557017</v>
          </cell>
          <cell r="C200">
            <v>9.8992241828118033</v>
          </cell>
          <cell r="D200">
            <v>0.93660276918005492</v>
          </cell>
          <cell r="E200">
            <v>0</v>
          </cell>
          <cell r="F200">
            <v>0</v>
          </cell>
          <cell r="G200">
            <v>1</v>
          </cell>
          <cell r="H200">
            <v>19.3</v>
          </cell>
          <cell r="I200">
            <v>18.899999999999999</v>
          </cell>
          <cell r="J200">
            <v>0.40000000000000213</v>
          </cell>
          <cell r="K200">
            <v>5.3</v>
          </cell>
          <cell r="L200">
            <v>8.1999999999999993</v>
          </cell>
          <cell r="M200">
            <v>0.64634146341463417</v>
          </cell>
          <cell r="N200">
            <v>18.3</v>
          </cell>
          <cell r="O200">
            <v>18.3</v>
          </cell>
          <cell r="P200">
            <v>0</v>
          </cell>
        </row>
        <row r="201">
          <cell r="A201" t="str">
            <v>1986:8</v>
          </cell>
          <cell r="B201">
            <v>26.322521916399104</v>
          </cell>
          <cell r="C201">
            <v>9.4425505166936539</v>
          </cell>
          <cell r="D201">
            <v>2.787649573053705</v>
          </cell>
          <cell r="E201">
            <v>0</v>
          </cell>
          <cell r="F201">
            <v>0</v>
          </cell>
          <cell r="G201">
            <v>1</v>
          </cell>
          <cell r="H201">
            <v>18.100000000000001</v>
          </cell>
          <cell r="I201">
            <v>18.7</v>
          </cell>
          <cell r="J201">
            <v>-0.59999999999999787</v>
          </cell>
          <cell r="K201">
            <v>23.4</v>
          </cell>
          <cell r="L201">
            <v>9.6</v>
          </cell>
          <cell r="M201">
            <v>2.4375</v>
          </cell>
          <cell r="N201">
            <v>17.100000000000001</v>
          </cell>
          <cell r="O201">
            <v>18</v>
          </cell>
          <cell r="P201">
            <v>-0.89999999999999858</v>
          </cell>
        </row>
        <row r="202">
          <cell r="A202" t="str">
            <v>1986:9</v>
          </cell>
          <cell r="B202">
            <v>77.750326276036787</v>
          </cell>
          <cell r="C202">
            <v>43.697695496746512</v>
          </cell>
          <cell r="D202">
            <v>1.7792774971811876</v>
          </cell>
          <cell r="E202">
            <v>0</v>
          </cell>
          <cell r="F202">
            <v>0</v>
          </cell>
          <cell r="G202">
            <v>1</v>
          </cell>
          <cell r="H202">
            <v>15.1</v>
          </cell>
          <cell r="I202">
            <v>16.3</v>
          </cell>
          <cell r="J202">
            <v>-1.2000000000000011</v>
          </cell>
          <cell r="K202">
            <v>110.4</v>
          </cell>
          <cell r="L202">
            <v>39.299999999999997</v>
          </cell>
          <cell r="M202">
            <v>2.8091603053435117</v>
          </cell>
          <cell r="N202">
            <v>12.4</v>
          </cell>
          <cell r="O202">
            <v>15.7</v>
          </cell>
          <cell r="P202">
            <v>-3.2999999999999989</v>
          </cell>
        </row>
        <row r="203">
          <cell r="A203" t="str">
            <v>1986:10</v>
          </cell>
          <cell r="B203">
            <v>104.44344645559741</v>
          </cell>
          <cell r="C203">
            <v>132.10004667845612</v>
          </cell>
          <cell r="D203">
            <v>0.79063898220885975</v>
          </cell>
          <cell r="E203">
            <v>104.44344645559741</v>
          </cell>
          <cell r="F203">
            <v>132.10004667845612</v>
          </cell>
          <cell r="G203">
            <v>0.79063898220885975</v>
          </cell>
          <cell r="H203">
            <v>13.6</v>
          </cell>
          <cell r="I203">
            <v>12.2</v>
          </cell>
          <cell r="J203">
            <v>1.4000000000000004</v>
          </cell>
          <cell r="K203">
            <v>96.7</v>
          </cell>
          <cell r="L203">
            <v>140.9</v>
          </cell>
          <cell r="M203">
            <v>0.68630234208658625</v>
          </cell>
          <cell r="N203">
            <v>13</v>
          </cell>
          <cell r="O203">
            <v>11.5</v>
          </cell>
          <cell r="P203">
            <v>1.5</v>
          </cell>
        </row>
        <row r="204">
          <cell r="A204" t="str">
            <v>1986:11</v>
          </cell>
          <cell r="B204">
            <v>251.90138422456727</v>
          </cell>
          <cell r="C204">
            <v>277.9065874341735</v>
          </cell>
          <cell r="D204">
            <v>0.90642466071170058</v>
          </cell>
          <cell r="E204">
            <v>251.90138422456727</v>
          </cell>
          <cell r="F204">
            <v>277.9065874341735</v>
          </cell>
          <cell r="G204">
            <v>0.90642466071170058</v>
          </cell>
          <cell r="H204">
            <v>8.4</v>
          </cell>
          <cell r="I204">
            <v>7.5</v>
          </cell>
          <cell r="J204">
            <v>0.90000000000000036</v>
          </cell>
          <cell r="K204">
            <v>230.5</v>
          </cell>
          <cell r="L204">
            <v>276.39999999999998</v>
          </cell>
          <cell r="M204">
            <v>0.83393632416787267</v>
          </cell>
          <cell r="N204">
            <v>8.3000000000000007</v>
          </cell>
          <cell r="O204">
            <v>6.8</v>
          </cell>
          <cell r="P204">
            <v>1.5000000000000009</v>
          </cell>
        </row>
        <row r="205">
          <cell r="A205" t="str">
            <v>1986:12</v>
          </cell>
          <cell r="B205">
            <v>351.30220124287416</v>
          </cell>
          <cell r="C205">
            <v>363.68818352813111</v>
          </cell>
          <cell r="D205">
            <v>0.96594340194091322</v>
          </cell>
          <cell r="E205">
            <v>351.30220124287416</v>
          </cell>
          <cell r="F205">
            <v>363.68818352813111</v>
          </cell>
          <cell r="G205">
            <v>0.96594340194091322</v>
          </cell>
          <cell r="H205">
            <v>5.7</v>
          </cell>
          <cell r="I205">
            <v>4.8</v>
          </cell>
          <cell r="J205">
            <v>0.90000000000000036</v>
          </cell>
          <cell r="K205">
            <v>319.8</v>
          </cell>
          <cell r="L205">
            <v>362.3</v>
          </cell>
          <cell r="M205">
            <v>0.88269390008280435</v>
          </cell>
          <cell r="N205">
            <v>5.7</v>
          </cell>
          <cell r="O205">
            <v>4.3</v>
          </cell>
          <cell r="P205">
            <v>1.4000000000000004</v>
          </cell>
        </row>
        <row r="206">
          <cell r="A206" t="str">
            <v>1987:1</v>
          </cell>
          <cell r="B206">
            <v>563.62708298988707</v>
          </cell>
          <cell r="C206">
            <v>392.91081774346333</v>
          </cell>
          <cell r="D206">
            <v>1.4344911301421246</v>
          </cell>
          <cell r="E206">
            <v>563.62708298988707</v>
          </cell>
          <cell r="F206">
            <v>392.91081774346333</v>
          </cell>
          <cell r="G206">
            <v>1.4344911301421246</v>
          </cell>
          <cell r="H206">
            <v>-0.8</v>
          </cell>
          <cell r="I206">
            <v>3.9</v>
          </cell>
          <cell r="J206">
            <v>-4.7</v>
          </cell>
          <cell r="K206">
            <v>558.6</v>
          </cell>
          <cell r="L206">
            <v>394</v>
          </cell>
          <cell r="M206">
            <v>1.4177664974619291</v>
          </cell>
          <cell r="N206">
            <v>-2</v>
          </cell>
          <cell r="O206">
            <v>3.3</v>
          </cell>
          <cell r="P206">
            <v>-5.3</v>
          </cell>
        </row>
        <row r="207">
          <cell r="A207" t="str">
            <v>1987:2</v>
          </cell>
          <cell r="B207">
            <v>358.64869862972142</v>
          </cell>
          <cell r="C207">
            <v>331.22294910654443</v>
          </cell>
          <cell r="D207">
            <v>1.082801477364888</v>
          </cell>
          <cell r="E207">
            <v>358.64869862972142</v>
          </cell>
          <cell r="F207">
            <v>331.22294910654443</v>
          </cell>
          <cell r="G207">
            <v>1.082801477364888</v>
          </cell>
          <cell r="H207">
            <v>4.0999999999999996</v>
          </cell>
          <cell r="I207">
            <v>4.9000000000000004</v>
          </cell>
          <cell r="J207">
            <v>-0.80000000000000071</v>
          </cell>
          <cell r="K207">
            <v>357.1</v>
          </cell>
          <cell r="L207">
            <v>332.4</v>
          </cell>
          <cell r="M207">
            <v>1.0743080625752108</v>
          </cell>
          <cell r="N207">
            <v>3.2</v>
          </cell>
          <cell r="O207">
            <v>4.2</v>
          </cell>
          <cell r="P207">
            <v>-1</v>
          </cell>
        </row>
        <row r="208">
          <cell r="A208" t="str">
            <v>1987:3</v>
          </cell>
          <cell r="B208">
            <v>354.93702002421628</v>
          </cell>
          <cell r="C208">
            <v>270.29253185771751</v>
          </cell>
          <cell r="D208">
            <v>1.3131588119906168</v>
          </cell>
          <cell r="E208">
            <v>354.93702002421628</v>
          </cell>
          <cell r="F208">
            <v>270.29253185771751</v>
          </cell>
          <cell r="G208">
            <v>1.3131588119906168</v>
          </cell>
          <cell r="H208">
            <v>5.4</v>
          </cell>
          <cell r="I208">
            <v>7.4</v>
          </cell>
          <cell r="J208">
            <v>-2</v>
          </cell>
          <cell r="K208">
            <v>357.1</v>
          </cell>
          <cell r="L208">
            <v>281.39999999999998</v>
          </cell>
          <cell r="M208">
            <v>1.2690120824449185</v>
          </cell>
          <cell r="N208">
            <v>4.5</v>
          </cell>
          <cell r="O208">
            <v>6.9</v>
          </cell>
          <cell r="P208">
            <v>-2.4000000000000004</v>
          </cell>
        </row>
        <row r="209">
          <cell r="A209" t="str">
            <v>1987:4</v>
          </cell>
          <cell r="B209">
            <v>149.01719956006994</v>
          </cell>
          <cell r="C209">
            <v>198.63939385091356</v>
          </cell>
          <cell r="D209">
            <v>0.75018956044495899</v>
          </cell>
          <cell r="E209">
            <v>149.01719956006994</v>
          </cell>
          <cell r="F209">
            <v>198.63939385091356</v>
          </cell>
          <cell r="G209">
            <v>0.75018956044495899</v>
          </cell>
          <cell r="H209">
            <v>11.7</v>
          </cell>
          <cell r="I209">
            <v>9.9</v>
          </cell>
          <cell r="J209">
            <v>1.7999999999999989</v>
          </cell>
          <cell r="K209">
            <v>122.9</v>
          </cell>
          <cell r="L209">
            <v>188</v>
          </cell>
          <cell r="M209">
            <v>0.65372340425531916</v>
          </cell>
          <cell r="N209">
            <v>12.1</v>
          </cell>
          <cell r="O209">
            <v>9.6999999999999993</v>
          </cell>
          <cell r="P209">
            <v>2.4000000000000004</v>
          </cell>
        </row>
        <row r="210">
          <cell r="A210" t="str">
            <v>1987:5</v>
          </cell>
          <cell r="B210">
            <v>150.16040161901228</v>
          </cell>
          <cell r="C210">
            <v>94.205291641343422</v>
          </cell>
          <cell r="D210">
            <v>1.5939699246481829</v>
          </cell>
          <cell r="E210">
            <v>150.16040161901228</v>
          </cell>
          <cell r="F210">
            <v>94.205291641343422</v>
          </cell>
          <cell r="G210">
            <v>1.5939699246481829</v>
          </cell>
          <cell r="H210">
            <v>12</v>
          </cell>
          <cell r="I210">
            <v>13.6</v>
          </cell>
          <cell r="J210">
            <v>-1.5999999999999996</v>
          </cell>
          <cell r="K210">
            <v>142.1</v>
          </cell>
          <cell r="L210">
            <v>92.4</v>
          </cell>
          <cell r="M210">
            <v>1.5378787878787876</v>
          </cell>
          <cell r="N210">
            <v>11.5</v>
          </cell>
          <cell r="O210">
            <v>13.4</v>
          </cell>
          <cell r="P210">
            <v>-1.9000000000000004</v>
          </cell>
        </row>
        <row r="211">
          <cell r="A211" t="str">
            <v>1987:6</v>
          </cell>
          <cell r="B211">
            <v>57.158057599665867</v>
          </cell>
          <cell r="C211">
            <v>33.639009300779129</v>
          </cell>
          <cell r="D211">
            <v>1.6991599570782248</v>
          </cell>
          <cell r="E211">
            <v>0</v>
          </cell>
          <cell r="F211">
            <v>0</v>
          </cell>
          <cell r="G211">
            <v>1</v>
          </cell>
          <cell r="H211">
            <v>15.8</v>
          </cell>
          <cell r="I211">
            <v>16.8</v>
          </cell>
          <cell r="J211">
            <v>-1</v>
          </cell>
          <cell r="K211">
            <v>51.8</v>
          </cell>
          <cell r="L211">
            <v>29.5</v>
          </cell>
          <cell r="M211">
            <v>1.7559322033898304</v>
          </cell>
          <cell r="N211">
            <v>15.1</v>
          </cell>
          <cell r="O211">
            <v>16.399999999999999</v>
          </cell>
          <cell r="P211">
            <v>-1.2999999999999989</v>
          </cell>
        </row>
        <row r="212">
          <cell r="A212" t="str">
            <v>1987:7</v>
          </cell>
          <cell r="B212">
            <v>10.003318027604823</v>
          </cell>
          <cell r="C212">
            <v>9.8992241828118033</v>
          </cell>
          <cell r="D212">
            <v>1.010515353816692</v>
          </cell>
          <cell r="E212">
            <v>0</v>
          </cell>
          <cell r="F212">
            <v>0</v>
          </cell>
          <cell r="G212">
            <v>1</v>
          </cell>
          <cell r="H212">
            <v>19.2</v>
          </cell>
          <cell r="I212">
            <v>18.899999999999999</v>
          </cell>
          <cell r="J212">
            <v>0.30000000000000071</v>
          </cell>
          <cell r="K212">
            <v>5.7</v>
          </cell>
          <cell r="L212">
            <v>8.1999999999999993</v>
          </cell>
          <cell r="M212">
            <v>0.69512195121951226</v>
          </cell>
          <cell r="N212">
            <v>17.899999999999999</v>
          </cell>
          <cell r="O212">
            <v>18.3</v>
          </cell>
          <cell r="P212">
            <v>-0.40000000000000213</v>
          </cell>
        </row>
        <row r="213">
          <cell r="A213" t="str">
            <v>1987:8</v>
          </cell>
          <cell r="B213">
            <v>15.291940006215141</v>
          </cell>
          <cell r="C213">
            <v>9.4425505166936539</v>
          </cell>
          <cell r="D213">
            <v>1.6194713471937743</v>
          </cell>
          <cell r="E213">
            <v>0</v>
          </cell>
          <cell r="F213">
            <v>0</v>
          </cell>
          <cell r="G213">
            <v>1</v>
          </cell>
          <cell r="H213">
            <v>19.100000000000001</v>
          </cell>
          <cell r="I213">
            <v>18.7</v>
          </cell>
          <cell r="J213">
            <v>0.40000000000000213</v>
          </cell>
          <cell r="K213">
            <v>12.7</v>
          </cell>
          <cell r="L213">
            <v>9.6</v>
          </cell>
          <cell r="M213">
            <v>1.3229166666666667</v>
          </cell>
          <cell r="N213">
            <v>17.899999999999999</v>
          </cell>
          <cell r="O213">
            <v>18</v>
          </cell>
          <cell r="P213">
            <v>-0.10000000000000142</v>
          </cell>
        </row>
        <row r="214">
          <cell r="A214" t="str">
            <v>1987:9</v>
          </cell>
          <cell r="B214">
            <v>31.865141689207299</v>
          </cell>
          <cell r="C214">
            <v>43.697695496746512</v>
          </cell>
          <cell r="D214">
            <v>0.72921789872373932</v>
          </cell>
          <cell r="E214">
            <v>0</v>
          </cell>
          <cell r="F214">
            <v>0</v>
          </cell>
          <cell r="G214">
            <v>1</v>
          </cell>
          <cell r="H214">
            <v>18.2</v>
          </cell>
          <cell r="I214">
            <v>16.3</v>
          </cell>
          <cell r="J214">
            <v>1.8999999999999986</v>
          </cell>
          <cell r="K214">
            <v>37.5</v>
          </cell>
          <cell r="L214">
            <v>39.299999999999997</v>
          </cell>
          <cell r="M214">
            <v>0.95419847328244278</v>
          </cell>
          <cell r="N214">
            <v>16.899999999999999</v>
          </cell>
          <cell r="O214">
            <v>15.7</v>
          </cell>
          <cell r="P214">
            <v>1.1999999999999993</v>
          </cell>
        </row>
        <row r="215">
          <cell r="A215" t="str">
            <v>1987:10</v>
          </cell>
          <cell r="B215">
            <v>123.46893126511758</v>
          </cell>
          <cell r="C215">
            <v>132.10004667845612</v>
          </cell>
          <cell r="D215">
            <v>0.93466228339534585</v>
          </cell>
          <cell r="E215">
            <v>123.46893126511758</v>
          </cell>
          <cell r="F215">
            <v>132.10004667845612</v>
          </cell>
          <cell r="G215">
            <v>0.93466228339534585</v>
          </cell>
          <cell r="H215">
            <v>12.9</v>
          </cell>
          <cell r="I215">
            <v>12.2</v>
          </cell>
          <cell r="J215">
            <v>0.70000000000000107</v>
          </cell>
          <cell r="K215">
            <v>130.6</v>
          </cell>
          <cell r="L215">
            <v>140.9</v>
          </cell>
          <cell r="M215">
            <v>0.92689850958126319</v>
          </cell>
          <cell r="N215">
            <v>11.8</v>
          </cell>
          <cell r="O215">
            <v>11.5</v>
          </cell>
          <cell r="P215">
            <v>0.30000000000000071</v>
          </cell>
        </row>
        <row r="216">
          <cell r="A216" t="str">
            <v>1987:11</v>
          </cell>
          <cell r="B216">
            <v>286.77119806088331</v>
          </cell>
          <cell r="C216">
            <v>277.9065874341735</v>
          </cell>
          <cell r="D216">
            <v>1.0318978067722469</v>
          </cell>
          <cell r="E216">
            <v>286.77119806088331</v>
          </cell>
          <cell r="F216">
            <v>277.9065874341735</v>
          </cell>
          <cell r="G216">
            <v>1.0318978067722469</v>
          </cell>
          <cell r="H216">
            <v>7.5</v>
          </cell>
          <cell r="I216">
            <v>7.5</v>
          </cell>
          <cell r="J216">
            <v>0</v>
          </cell>
          <cell r="K216">
            <v>283.10000000000002</v>
          </cell>
          <cell r="L216">
            <v>276.39999999999998</v>
          </cell>
          <cell r="M216">
            <v>1.0242402315484807</v>
          </cell>
          <cell r="N216">
            <v>6.6</v>
          </cell>
          <cell r="O216">
            <v>6.8</v>
          </cell>
          <cell r="P216">
            <v>-0.20000000000000018</v>
          </cell>
        </row>
        <row r="217">
          <cell r="A217" t="str">
            <v>1987:12</v>
          </cell>
          <cell r="B217">
            <v>362.00929888798214</v>
          </cell>
          <cell r="C217">
            <v>363.68818352813111</v>
          </cell>
          <cell r="D217">
            <v>0.99538372508047379</v>
          </cell>
          <cell r="E217">
            <v>362.00929888798214</v>
          </cell>
          <cell r="F217">
            <v>363.68818352813111</v>
          </cell>
          <cell r="G217">
            <v>0.99538372508047379</v>
          </cell>
          <cell r="H217">
            <v>5.5</v>
          </cell>
          <cell r="I217">
            <v>4.8</v>
          </cell>
          <cell r="J217">
            <v>0.70000000000000018</v>
          </cell>
          <cell r="K217">
            <v>356.8</v>
          </cell>
          <cell r="L217">
            <v>362.3</v>
          </cell>
          <cell r="M217">
            <v>0.98481921059895117</v>
          </cell>
          <cell r="N217">
            <v>4.5</v>
          </cell>
          <cell r="O217">
            <v>4.3</v>
          </cell>
          <cell r="P217">
            <v>0.20000000000000018</v>
          </cell>
        </row>
        <row r="218">
          <cell r="A218" t="str">
            <v>1988:1</v>
          </cell>
          <cell r="B218">
            <v>298.0871374513946</v>
          </cell>
          <cell r="C218">
            <v>392.91081774346333</v>
          </cell>
          <cell r="D218">
            <v>0.75866360504744268</v>
          </cell>
          <cell r="E218">
            <v>298.0871374513946</v>
          </cell>
          <cell r="F218">
            <v>392.91081774346333</v>
          </cell>
          <cell r="G218">
            <v>0.75866360504744268</v>
          </cell>
          <cell r="H218">
            <v>7.2</v>
          </cell>
          <cell r="I218">
            <v>3.9</v>
          </cell>
          <cell r="J218">
            <v>3.3000000000000003</v>
          </cell>
          <cell r="K218">
            <v>275.2</v>
          </cell>
          <cell r="L218">
            <v>394</v>
          </cell>
          <cell r="M218">
            <v>0.69847715736040605</v>
          </cell>
          <cell r="N218">
            <v>7.1</v>
          </cell>
          <cell r="O218">
            <v>3.3</v>
          </cell>
          <cell r="P218">
            <v>3.8</v>
          </cell>
        </row>
        <row r="219">
          <cell r="A219" t="str">
            <v>1988:2</v>
          </cell>
          <cell r="B219">
            <v>334.76240250693814</v>
          </cell>
          <cell r="C219">
            <v>331.22294910654443</v>
          </cell>
          <cell r="D219">
            <v>1.0106860149936505</v>
          </cell>
          <cell r="E219">
            <v>334.76240250693814</v>
          </cell>
          <cell r="F219">
            <v>331.22294910654443</v>
          </cell>
          <cell r="G219">
            <v>1.0106860149936505</v>
          </cell>
          <cell r="H219">
            <v>5.2</v>
          </cell>
          <cell r="I219">
            <v>4.9000000000000004</v>
          </cell>
          <cell r="J219">
            <v>0.29999999999999982</v>
          </cell>
          <cell r="K219">
            <v>323.10000000000002</v>
          </cell>
          <cell r="L219">
            <v>332.4</v>
          </cell>
          <cell r="M219">
            <v>0.97202166064981965</v>
          </cell>
          <cell r="N219">
            <v>4.9000000000000004</v>
          </cell>
          <cell r="O219">
            <v>4.2</v>
          </cell>
          <cell r="P219">
            <v>0.70000000000000018</v>
          </cell>
        </row>
        <row r="220">
          <cell r="A220" t="str">
            <v>1988:3</v>
          </cell>
          <cell r="B220">
            <v>298.58917896757072</v>
          </cell>
          <cell r="C220">
            <v>270.29253185771751</v>
          </cell>
          <cell r="D220">
            <v>1.1046889712985064</v>
          </cell>
          <cell r="E220">
            <v>298.58917896757072</v>
          </cell>
          <cell r="F220">
            <v>270.29253185771751</v>
          </cell>
          <cell r="G220">
            <v>1.1046889712985064</v>
          </cell>
          <cell r="H220">
            <v>7.1</v>
          </cell>
          <cell r="I220">
            <v>7.4</v>
          </cell>
          <cell r="J220">
            <v>-0.30000000000000071</v>
          </cell>
          <cell r="K220">
            <v>280.39999999999998</v>
          </cell>
          <cell r="L220">
            <v>281.39999999999998</v>
          </cell>
          <cell r="M220">
            <v>0.9964463397299218</v>
          </cell>
          <cell r="N220">
            <v>7</v>
          </cell>
          <cell r="O220">
            <v>6.9</v>
          </cell>
          <cell r="P220">
            <v>9.9999999999999645E-2</v>
          </cell>
        </row>
        <row r="221">
          <cell r="A221" t="str">
            <v>1988:4</v>
          </cell>
          <cell r="B221">
            <v>176.23404922588867</v>
          </cell>
          <cell r="C221">
            <v>198.63939385091356</v>
          </cell>
          <cell r="D221">
            <v>0.88720593538540016</v>
          </cell>
          <cell r="E221">
            <v>176.23404922588867</v>
          </cell>
          <cell r="F221">
            <v>198.63939385091356</v>
          </cell>
          <cell r="G221">
            <v>0.88720593538540016</v>
          </cell>
          <cell r="H221">
            <v>10.8</v>
          </cell>
          <cell r="I221">
            <v>9.9</v>
          </cell>
          <cell r="J221">
            <v>0.90000000000000036</v>
          </cell>
          <cell r="K221">
            <v>172.9</v>
          </cell>
          <cell r="L221">
            <v>188</v>
          </cell>
          <cell r="M221">
            <v>0.9196808510638298</v>
          </cell>
          <cell r="N221">
            <v>10.199999999999999</v>
          </cell>
          <cell r="O221">
            <v>9.6999999999999993</v>
          </cell>
          <cell r="P221">
            <v>0.5</v>
          </cell>
        </row>
        <row r="222">
          <cell r="A222" t="str">
            <v>1988:5</v>
          </cell>
          <cell r="B222">
            <v>72.670475570117745</v>
          </cell>
          <cell r="C222">
            <v>94.205291641343422</v>
          </cell>
          <cell r="D222">
            <v>0.77140545190165521</v>
          </cell>
          <cell r="E222">
            <v>72.670475570117745</v>
          </cell>
          <cell r="F222">
            <v>94.205291641343422</v>
          </cell>
          <cell r="G222">
            <v>0.77140545190165521</v>
          </cell>
          <cell r="H222">
            <v>14.5</v>
          </cell>
          <cell r="I222">
            <v>13.6</v>
          </cell>
          <cell r="J222">
            <v>0.90000000000000036</v>
          </cell>
          <cell r="K222">
            <v>67.400000000000006</v>
          </cell>
          <cell r="L222">
            <v>92.4</v>
          </cell>
          <cell r="M222">
            <v>0.72943722943722944</v>
          </cell>
          <cell r="N222">
            <v>14.4</v>
          </cell>
          <cell r="O222">
            <v>13.4</v>
          </cell>
          <cell r="P222">
            <v>1</v>
          </cell>
        </row>
        <row r="223">
          <cell r="A223" t="str">
            <v>1988:6</v>
          </cell>
          <cell r="B223">
            <v>30.736778814593254</v>
          </cell>
          <cell r="C223">
            <v>33.639009300779129</v>
          </cell>
          <cell r="D223">
            <v>0.91372425804113511</v>
          </cell>
          <cell r="E223">
            <v>0</v>
          </cell>
          <cell r="F223">
            <v>0</v>
          </cell>
          <cell r="G223">
            <v>1</v>
          </cell>
          <cell r="H223">
            <v>16.7</v>
          </cell>
          <cell r="I223">
            <v>16.8</v>
          </cell>
          <cell r="J223">
            <v>-0.10000000000000142</v>
          </cell>
          <cell r="K223">
            <v>23</v>
          </cell>
          <cell r="L223">
            <v>29.5</v>
          </cell>
          <cell r="M223">
            <v>0.77966101694915257</v>
          </cell>
          <cell r="N223">
            <v>16.100000000000001</v>
          </cell>
          <cell r="O223">
            <v>16.399999999999999</v>
          </cell>
          <cell r="P223">
            <v>-0.29999999999999716</v>
          </cell>
        </row>
        <row r="224">
          <cell r="A224" t="str">
            <v>1988:7</v>
          </cell>
          <cell r="B224">
            <v>14.74141423222561</v>
          </cell>
          <cell r="C224">
            <v>9.8992241828118033</v>
          </cell>
          <cell r="D224">
            <v>1.4891484383009919</v>
          </cell>
          <cell r="E224">
            <v>0</v>
          </cell>
          <cell r="F224">
            <v>0</v>
          </cell>
          <cell r="G224">
            <v>1</v>
          </cell>
          <cell r="H224">
            <v>18.3</v>
          </cell>
          <cell r="I224">
            <v>18.899999999999999</v>
          </cell>
          <cell r="J224">
            <v>-0.59999999999999787</v>
          </cell>
          <cell r="K224">
            <v>6.1</v>
          </cell>
          <cell r="L224">
            <v>8.1999999999999993</v>
          </cell>
          <cell r="M224">
            <v>0.74390243902439024</v>
          </cell>
          <cell r="N224">
            <v>17.399999999999999</v>
          </cell>
          <cell r="O224">
            <v>18.3</v>
          </cell>
          <cell r="P224">
            <v>-0.90000000000000213</v>
          </cell>
        </row>
        <row r="225">
          <cell r="A225" t="str">
            <v>1988:8</v>
          </cell>
          <cell r="B225">
            <v>13.13226944792317</v>
          </cell>
          <cell r="C225">
            <v>9.4425505166936539</v>
          </cell>
          <cell r="D225">
            <v>1.3907544815043771</v>
          </cell>
          <cell r="E225">
            <v>0</v>
          </cell>
          <cell r="F225">
            <v>0</v>
          </cell>
          <cell r="G225">
            <v>1</v>
          </cell>
          <cell r="H225">
            <v>19.100000000000001</v>
          </cell>
          <cell r="I225">
            <v>18.7</v>
          </cell>
          <cell r="J225">
            <v>0.40000000000000213</v>
          </cell>
          <cell r="K225">
            <v>5.5</v>
          </cell>
          <cell r="L225">
            <v>9.6</v>
          </cell>
          <cell r="M225">
            <v>0.57291666666666674</v>
          </cell>
          <cell r="N225">
            <v>18.5</v>
          </cell>
          <cell r="O225">
            <v>18</v>
          </cell>
          <cell r="P225">
            <v>0.5</v>
          </cell>
        </row>
        <row r="226">
          <cell r="A226" t="str">
            <v>1988:9</v>
          </cell>
          <cell r="B226">
            <v>49.653607924482557</v>
          </cell>
          <cell r="C226">
            <v>43.697695496746512</v>
          </cell>
          <cell r="D226">
            <v>1.1362980898656199</v>
          </cell>
          <cell r="E226">
            <v>0</v>
          </cell>
          <cell r="F226">
            <v>0</v>
          </cell>
          <cell r="G226">
            <v>1</v>
          </cell>
          <cell r="H226">
            <v>15.8</v>
          </cell>
          <cell r="I226">
            <v>16.3</v>
          </cell>
          <cell r="J226">
            <v>-0.5</v>
          </cell>
          <cell r="K226">
            <v>43.2</v>
          </cell>
          <cell r="L226">
            <v>39.299999999999997</v>
          </cell>
          <cell r="M226">
            <v>1.0992366412213741</v>
          </cell>
          <cell r="N226">
            <v>15</v>
          </cell>
          <cell r="O226">
            <v>15.7</v>
          </cell>
          <cell r="P226">
            <v>-0.69999999999999929</v>
          </cell>
        </row>
        <row r="227">
          <cell r="A227" t="str">
            <v>1988:10</v>
          </cell>
          <cell r="B227">
            <v>113.79928251706151</v>
          </cell>
          <cell r="C227">
            <v>132.10004667845612</v>
          </cell>
          <cell r="D227">
            <v>0.86146284863971034</v>
          </cell>
          <cell r="E227">
            <v>113.79928251706151</v>
          </cell>
          <cell r="F227">
            <v>132.10004667845612</v>
          </cell>
          <cell r="G227">
            <v>0.86146284863971034</v>
          </cell>
          <cell r="H227">
            <v>13.1</v>
          </cell>
          <cell r="I227">
            <v>12.2</v>
          </cell>
          <cell r="J227">
            <v>0.90000000000000036</v>
          </cell>
          <cell r="K227">
            <v>125.5</v>
          </cell>
          <cell r="L227">
            <v>140.9</v>
          </cell>
          <cell r="M227">
            <v>0.89070262597586936</v>
          </cell>
          <cell r="N227">
            <v>12</v>
          </cell>
          <cell r="O227">
            <v>11.5</v>
          </cell>
          <cell r="P227">
            <v>0.5</v>
          </cell>
        </row>
        <row r="228">
          <cell r="A228" t="str">
            <v>1988:11</v>
          </cell>
          <cell r="B228">
            <v>310.68211492215397</v>
          </cell>
          <cell r="C228">
            <v>277.9065874341735</v>
          </cell>
          <cell r="D228">
            <v>1.1179372097314673</v>
          </cell>
          <cell r="E228">
            <v>310.68211492215397</v>
          </cell>
          <cell r="F228">
            <v>277.9065874341735</v>
          </cell>
          <cell r="G228">
            <v>1.1179372097314673</v>
          </cell>
          <cell r="H228">
            <v>6.5</v>
          </cell>
          <cell r="I228">
            <v>7.5</v>
          </cell>
          <cell r="J228">
            <v>-1</v>
          </cell>
          <cell r="K228">
            <v>305.39999999999998</v>
          </cell>
          <cell r="L228">
            <v>276.39999999999998</v>
          </cell>
          <cell r="M228">
            <v>1.1049204052098409</v>
          </cell>
          <cell r="N228">
            <v>5.8</v>
          </cell>
          <cell r="O228">
            <v>6.8</v>
          </cell>
          <cell r="P228">
            <v>-1</v>
          </cell>
        </row>
        <row r="229">
          <cell r="A229" t="str">
            <v>1988:12</v>
          </cell>
          <cell r="B229">
            <v>325.02554054156815</v>
          </cell>
          <cell r="C229">
            <v>363.68818352813111</v>
          </cell>
          <cell r="D229">
            <v>0.89369288105129641</v>
          </cell>
          <cell r="E229">
            <v>325.02554054156815</v>
          </cell>
          <cell r="F229">
            <v>363.68818352813111</v>
          </cell>
          <cell r="G229">
            <v>0.89369288105129641</v>
          </cell>
          <cell r="H229">
            <v>6.4</v>
          </cell>
          <cell r="I229">
            <v>4.8</v>
          </cell>
          <cell r="J229">
            <v>1.6000000000000005</v>
          </cell>
          <cell r="K229">
            <v>265</v>
          </cell>
          <cell r="L229">
            <v>362.3</v>
          </cell>
          <cell r="M229">
            <v>0.73143803477780844</v>
          </cell>
          <cell r="N229">
            <v>7.5</v>
          </cell>
          <cell r="O229">
            <v>4.3</v>
          </cell>
          <cell r="P229">
            <v>3.2</v>
          </cell>
        </row>
        <row r="230">
          <cell r="A230" t="str">
            <v>1989:1</v>
          </cell>
          <cell r="B230">
            <v>384.47695695259597</v>
          </cell>
          <cell r="C230">
            <v>392.91081774346333</v>
          </cell>
          <cell r="D230">
            <v>0.97853492342281623</v>
          </cell>
          <cell r="E230">
            <v>384.47695695259597</v>
          </cell>
          <cell r="F230">
            <v>392.91081774346333</v>
          </cell>
          <cell r="G230">
            <v>0.97853492342281623</v>
          </cell>
          <cell r="H230">
            <v>4.4000000000000004</v>
          </cell>
          <cell r="I230">
            <v>3.9</v>
          </cell>
          <cell r="J230">
            <v>0.50000000000000044</v>
          </cell>
          <cell r="K230">
            <v>368.4</v>
          </cell>
          <cell r="L230">
            <v>394</v>
          </cell>
          <cell r="M230">
            <v>0.93502538071065988</v>
          </cell>
          <cell r="N230">
            <v>4.0999999999999996</v>
          </cell>
          <cell r="O230">
            <v>3.3</v>
          </cell>
          <cell r="P230">
            <v>0.79999999999999982</v>
          </cell>
        </row>
        <row r="231">
          <cell r="A231" t="str">
            <v>1989:2</v>
          </cell>
          <cell r="B231">
            <v>303.15086467853394</v>
          </cell>
          <cell r="C231">
            <v>331.22294910654443</v>
          </cell>
          <cell r="D231">
            <v>0.91524716356842606</v>
          </cell>
          <cell r="E231">
            <v>303.15086467853394</v>
          </cell>
          <cell r="F231">
            <v>331.22294910654443</v>
          </cell>
          <cell r="G231">
            <v>0.91524716356842606</v>
          </cell>
          <cell r="H231">
            <v>5.9</v>
          </cell>
          <cell r="I231">
            <v>4.9000000000000004</v>
          </cell>
          <cell r="J231">
            <v>1</v>
          </cell>
          <cell r="K231">
            <v>288.7</v>
          </cell>
          <cell r="L231">
            <v>332.4</v>
          </cell>
          <cell r="M231">
            <v>0.86853188929001202</v>
          </cell>
          <cell r="N231">
            <v>5.7</v>
          </cell>
          <cell r="O231">
            <v>4.2</v>
          </cell>
          <cell r="P231">
            <v>1.5</v>
          </cell>
        </row>
        <row r="232">
          <cell r="A232" t="str">
            <v>1989:3</v>
          </cell>
          <cell r="B232">
            <v>209.53090282551324</v>
          </cell>
          <cell r="C232">
            <v>270.29253185771751</v>
          </cell>
          <cell r="D232">
            <v>0.77520048883855475</v>
          </cell>
          <cell r="E232">
            <v>209.53090282551324</v>
          </cell>
          <cell r="F232">
            <v>270.29253185771751</v>
          </cell>
          <cell r="G232">
            <v>0.77520048883855475</v>
          </cell>
          <cell r="H232">
            <v>9.8000000000000007</v>
          </cell>
          <cell r="I232">
            <v>7.4</v>
          </cell>
          <cell r="J232">
            <v>2.4000000000000004</v>
          </cell>
          <cell r="K232">
            <v>189.3</v>
          </cell>
          <cell r="L232">
            <v>281.39999999999998</v>
          </cell>
          <cell r="M232">
            <v>0.67270788912579971</v>
          </cell>
          <cell r="N232">
            <v>9.9</v>
          </cell>
          <cell r="O232">
            <v>6.9</v>
          </cell>
          <cell r="P232">
            <v>3</v>
          </cell>
        </row>
        <row r="233">
          <cell r="A233" t="str">
            <v>1989:4</v>
          </cell>
          <cell r="B233">
            <v>234.17459364615181</v>
          </cell>
          <cell r="C233">
            <v>198.63939385091356</v>
          </cell>
          <cell r="D233">
            <v>1.1788930136481828</v>
          </cell>
          <cell r="E233">
            <v>234.17459364615181</v>
          </cell>
          <cell r="F233">
            <v>198.63939385091356</v>
          </cell>
          <cell r="G233">
            <v>1.1788930136481828</v>
          </cell>
          <cell r="H233">
            <v>8.8000000000000007</v>
          </cell>
          <cell r="I233">
            <v>9.9</v>
          </cell>
          <cell r="J233">
            <v>-1.0999999999999996</v>
          </cell>
          <cell r="K233">
            <v>234.4</v>
          </cell>
          <cell r="L233">
            <v>188</v>
          </cell>
          <cell r="M233">
            <v>1.246808510638298</v>
          </cell>
          <cell r="N233">
            <v>8.1999999999999993</v>
          </cell>
          <cell r="O233">
            <v>9.6999999999999993</v>
          </cell>
          <cell r="P233">
            <v>-1.5</v>
          </cell>
        </row>
        <row r="234">
          <cell r="A234" t="str">
            <v>1989:5</v>
          </cell>
          <cell r="B234">
            <v>48.046922882966975</v>
          </cell>
          <cell r="C234">
            <v>94.205291641343422</v>
          </cell>
          <cell r="D234">
            <v>0.510023609564209</v>
          </cell>
          <cell r="E234">
            <v>48.046922882966975</v>
          </cell>
          <cell r="F234">
            <v>94.205291641343422</v>
          </cell>
          <cell r="G234">
            <v>0.510023609564209</v>
          </cell>
          <cell r="H234">
            <v>16.2</v>
          </cell>
          <cell r="I234">
            <v>13.6</v>
          </cell>
          <cell r="J234">
            <v>2.5999999999999996</v>
          </cell>
          <cell r="K234">
            <v>39.299999999999997</v>
          </cell>
          <cell r="L234">
            <v>92.4</v>
          </cell>
          <cell r="M234">
            <v>0.42532467532467527</v>
          </cell>
          <cell r="N234">
            <v>16.3</v>
          </cell>
          <cell r="O234">
            <v>13.4</v>
          </cell>
          <cell r="P234">
            <v>2.9000000000000004</v>
          </cell>
        </row>
        <row r="235">
          <cell r="A235" t="str">
            <v>1989:6</v>
          </cell>
          <cell r="B235">
            <v>41.813888581530648</v>
          </cell>
          <cell r="C235">
            <v>33.639009300779129</v>
          </cell>
          <cell r="D235">
            <v>1.243017837049148</v>
          </cell>
          <cell r="E235">
            <v>0</v>
          </cell>
          <cell r="F235">
            <v>0</v>
          </cell>
          <cell r="G235">
            <v>1</v>
          </cell>
          <cell r="H235">
            <v>17.399999999999999</v>
          </cell>
          <cell r="I235">
            <v>16.8</v>
          </cell>
          <cell r="J235">
            <v>0.59999999999999787</v>
          </cell>
          <cell r="K235">
            <v>40.700000000000003</v>
          </cell>
          <cell r="L235">
            <v>29.5</v>
          </cell>
          <cell r="M235">
            <v>1.3796610169491526</v>
          </cell>
          <cell r="N235">
            <v>16.899999999999999</v>
          </cell>
          <cell r="O235">
            <v>16.399999999999999</v>
          </cell>
          <cell r="P235">
            <v>0.5</v>
          </cell>
        </row>
        <row r="236">
          <cell r="A236" t="str">
            <v>1989:7</v>
          </cell>
          <cell r="B236">
            <v>2.0438669763584594</v>
          </cell>
          <cell r="C236">
            <v>9.8992241828118033</v>
          </cell>
          <cell r="D236">
            <v>0.20646738962708425</v>
          </cell>
          <cell r="E236">
            <v>0</v>
          </cell>
          <cell r="F236">
            <v>0</v>
          </cell>
          <cell r="G236">
            <v>1</v>
          </cell>
          <cell r="H236">
            <v>20.7</v>
          </cell>
          <cell r="I236">
            <v>18.899999999999999</v>
          </cell>
          <cell r="J236">
            <v>1.8000000000000007</v>
          </cell>
          <cell r="K236">
            <v>0.1</v>
          </cell>
          <cell r="L236">
            <v>8.1999999999999993</v>
          </cell>
          <cell r="M236">
            <v>1.2195121951219514E-2</v>
          </cell>
          <cell r="N236">
            <v>20</v>
          </cell>
          <cell r="O236">
            <v>18.3</v>
          </cell>
          <cell r="P236">
            <v>1.6999999999999993</v>
          </cell>
        </row>
        <row r="237">
          <cell r="A237" t="str">
            <v>1989:8</v>
          </cell>
          <cell r="B237">
            <v>6.0783374860161512</v>
          </cell>
          <cell r="C237">
            <v>9.4425505166936539</v>
          </cell>
          <cell r="D237">
            <v>0.64371776198286146</v>
          </cell>
          <cell r="E237">
            <v>0</v>
          </cell>
          <cell r="F237">
            <v>0</v>
          </cell>
          <cell r="G237">
            <v>1</v>
          </cell>
          <cell r="H237">
            <v>19.8</v>
          </cell>
          <cell r="I237">
            <v>18.7</v>
          </cell>
          <cell r="J237">
            <v>1.1000000000000014</v>
          </cell>
          <cell r="K237">
            <v>1.7</v>
          </cell>
          <cell r="L237">
            <v>9.6</v>
          </cell>
          <cell r="M237">
            <v>0.17708333333333334</v>
          </cell>
          <cell r="N237">
            <v>19.100000000000001</v>
          </cell>
          <cell r="O237">
            <v>18</v>
          </cell>
          <cell r="P237">
            <v>1.1000000000000014</v>
          </cell>
        </row>
        <row r="238">
          <cell r="A238" t="str">
            <v>1989:9</v>
          </cell>
          <cell r="B238">
            <v>31.730262619130269</v>
          </cell>
          <cell r="C238">
            <v>43.697695496746512</v>
          </cell>
          <cell r="D238">
            <v>0.72613125837477466</v>
          </cell>
          <cell r="E238">
            <v>0</v>
          </cell>
          <cell r="F238">
            <v>0</v>
          </cell>
          <cell r="G238">
            <v>1</v>
          </cell>
          <cell r="H238">
            <v>16.600000000000001</v>
          </cell>
          <cell r="I238">
            <v>16.3</v>
          </cell>
          <cell r="J238">
            <v>0.30000000000000071</v>
          </cell>
          <cell r="K238">
            <v>24.9</v>
          </cell>
          <cell r="L238">
            <v>39.299999999999997</v>
          </cell>
          <cell r="M238">
            <v>0.63358778625954204</v>
          </cell>
          <cell r="N238">
            <v>16.3</v>
          </cell>
          <cell r="O238">
            <v>15.7</v>
          </cell>
          <cell r="P238">
            <v>0.60000000000000142</v>
          </cell>
        </row>
        <row r="239">
          <cell r="A239" t="str">
            <v>1989:10</v>
          </cell>
          <cell r="B239">
            <v>96.956670111167625</v>
          </cell>
          <cell r="C239">
            <v>132.10004667845612</v>
          </cell>
          <cell r="D239">
            <v>0.73396393528284842</v>
          </cell>
          <cell r="E239">
            <v>96.956670111167625</v>
          </cell>
          <cell r="F239">
            <v>132.10004667845612</v>
          </cell>
          <cell r="G239">
            <v>0.73396393528284842</v>
          </cell>
          <cell r="H239">
            <v>13.4</v>
          </cell>
          <cell r="I239">
            <v>12.2</v>
          </cell>
          <cell r="J239">
            <v>1.2000000000000011</v>
          </cell>
          <cell r="K239">
            <v>82.6</v>
          </cell>
          <cell r="L239">
            <v>140.9</v>
          </cell>
          <cell r="M239">
            <v>0.58623136976579127</v>
          </cell>
          <cell r="N239">
            <v>13.5</v>
          </cell>
          <cell r="O239">
            <v>11.5</v>
          </cell>
          <cell r="P239">
            <v>2</v>
          </cell>
        </row>
        <row r="240">
          <cell r="A240" t="str">
            <v>1989:11</v>
          </cell>
          <cell r="B240">
            <v>288.14576074412162</v>
          </cell>
          <cell r="C240">
            <v>277.9065874341735</v>
          </cell>
          <cell r="D240">
            <v>1.0368439388374464</v>
          </cell>
          <cell r="E240">
            <v>288.14576074412162</v>
          </cell>
          <cell r="F240">
            <v>277.9065874341735</v>
          </cell>
          <cell r="G240">
            <v>1.0368439388374464</v>
          </cell>
          <cell r="H240">
            <v>7.1</v>
          </cell>
          <cell r="I240">
            <v>7.5</v>
          </cell>
          <cell r="J240">
            <v>-0.40000000000000036</v>
          </cell>
          <cell r="K240">
            <v>308.2</v>
          </cell>
          <cell r="L240">
            <v>276.39999999999998</v>
          </cell>
          <cell r="M240">
            <v>1.1150506512301013</v>
          </cell>
          <cell r="N240">
            <v>5.7</v>
          </cell>
          <cell r="O240">
            <v>6.8</v>
          </cell>
          <cell r="P240">
            <v>-1.0999999999999996</v>
          </cell>
        </row>
        <row r="241">
          <cell r="A241" t="str">
            <v>1989:12</v>
          </cell>
          <cell r="B241">
            <v>339.94527150650663</v>
          </cell>
          <cell r="C241">
            <v>363.68818352813111</v>
          </cell>
          <cell r="D241">
            <v>0.93471629517545773</v>
          </cell>
          <cell r="E241">
            <v>339.94527150650663</v>
          </cell>
          <cell r="F241">
            <v>363.68818352813111</v>
          </cell>
          <cell r="G241">
            <v>0.93471629517545773</v>
          </cell>
          <cell r="H241">
            <v>6</v>
          </cell>
          <cell r="I241">
            <v>4.8</v>
          </cell>
          <cell r="J241">
            <v>1.2000000000000002</v>
          </cell>
          <cell r="K241">
            <v>352.8</v>
          </cell>
          <cell r="L241">
            <v>362.3</v>
          </cell>
          <cell r="M241">
            <v>0.97377863648909746</v>
          </cell>
          <cell r="N241">
            <v>4.5999999999999996</v>
          </cell>
          <cell r="O241">
            <v>4.3</v>
          </cell>
          <cell r="P241">
            <v>0.29999999999999982</v>
          </cell>
        </row>
        <row r="242">
          <cell r="A242" t="str">
            <v>1990:1</v>
          </cell>
          <cell r="B242">
            <v>362.58407611059732</v>
          </cell>
          <cell r="C242">
            <v>392.91081774346333</v>
          </cell>
          <cell r="D242">
            <v>0.92281520318774546</v>
          </cell>
          <cell r="E242">
            <v>362.58407611059732</v>
          </cell>
          <cell r="F242">
            <v>392.91081774346333</v>
          </cell>
          <cell r="G242">
            <v>0.92281520318774546</v>
          </cell>
          <cell r="H242">
            <v>5.2</v>
          </cell>
          <cell r="I242">
            <v>3.9</v>
          </cell>
          <cell r="J242">
            <v>1.3000000000000003</v>
          </cell>
          <cell r="K242">
            <v>322.60000000000002</v>
          </cell>
          <cell r="L242">
            <v>394</v>
          </cell>
          <cell r="M242">
            <v>0.81878172588832498</v>
          </cell>
          <cell r="N242">
            <v>5.6</v>
          </cell>
          <cell r="O242">
            <v>3.3</v>
          </cell>
          <cell r="P242">
            <v>2.2999999999999998</v>
          </cell>
        </row>
        <row r="243">
          <cell r="A243" t="str">
            <v>1990:2</v>
          </cell>
          <cell r="B243">
            <v>204.51005614815651</v>
          </cell>
          <cell r="C243">
            <v>331.22294910654443</v>
          </cell>
          <cell r="D243">
            <v>0.61743927073836835</v>
          </cell>
          <cell r="E243">
            <v>204.51005614815651</v>
          </cell>
          <cell r="F243">
            <v>331.22294910654443</v>
          </cell>
          <cell r="G243">
            <v>0.61743927073836835</v>
          </cell>
          <cell r="H243">
            <v>9.3000000000000007</v>
          </cell>
          <cell r="I243">
            <v>4.9000000000000004</v>
          </cell>
          <cell r="J243">
            <v>4.4000000000000004</v>
          </cell>
          <cell r="K243">
            <v>197.2</v>
          </cell>
          <cell r="L243">
            <v>332.4</v>
          </cell>
          <cell r="M243">
            <v>0.59326113116726831</v>
          </cell>
          <cell r="N243">
            <v>9</v>
          </cell>
          <cell r="O243">
            <v>4.2</v>
          </cell>
          <cell r="P243">
            <v>4.8</v>
          </cell>
        </row>
        <row r="244">
          <cell r="A244" t="str">
            <v>1990:3</v>
          </cell>
          <cell r="B244">
            <v>232.9552913250611</v>
          </cell>
          <cell r="C244">
            <v>270.29253185771751</v>
          </cell>
          <cell r="D244">
            <v>0.86186358803168561</v>
          </cell>
          <cell r="E244">
            <v>232.9552913250611</v>
          </cell>
          <cell r="F244">
            <v>270.29253185771751</v>
          </cell>
          <cell r="G244">
            <v>0.86186358803168561</v>
          </cell>
          <cell r="H244">
            <v>9.1</v>
          </cell>
          <cell r="I244">
            <v>7.4</v>
          </cell>
          <cell r="J244">
            <v>1.6999999999999993</v>
          </cell>
          <cell r="K244">
            <v>228.5</v>
          </cell>
          <cell r="L244">
            <v>281.39999999999998</v>
          </cell>
          <cell r="M244">
            <v>0.8120113717128643</v>
          </cell>
          <cell r="N244">
            <v>8.6</v>
          </cell>
          <cell r="O244">
            <v>6.9</v>
          </cell>
          <cell r="P244">
            <v>1.6999999999999993</v>
          </cell>
        </row>
        <row r="245">
          <cell r="A245" t="str">
            <v>1990:4</v>
          </cell>
          <cell r="B245">
            <v>213.67790529883811</v>
          </cell>
          <cell r="C245">
            <v>198.63939385091356</v>
          </cell>
          <cell r="D245">
            <v>1.0757075983589213</v>
          </cell>
          <cell r="E245">
            <v>213.67790529883811</v>
          </cell>
          <cell r="F245">
            <v>198.63939385091356</v>
          </cell>
          <cell r="G245">
            <v>1.0757075983589213</v>
          </cell>
          <cell r="H245">
            <v>9.4</v>
          </cell>
          <cell r="I245">
            <v>9.9</v>
          </cell>
          <cell r="J245">
            <v>-0.5</v>
          </cell>
          <cell r="K245">
            <v>209.3</v>
          </cell>
          <cell r="L245">
            <v>188</v>
          </cell>
          <cell r="M245">
            <v>1.1132978723404257</v>
          </cell>
          <cell r="N245">
            <v>9</v>
          </cell>
          <cell r="O245">
            <v>9.6999999999999993</v>
          </cell>
          <cell r="P245">
            <v>-0.69999999999999929</v>
          </cell>
        </row>
        <row r="246">
          <cell r="A246" t="str">
            <v>1990:5</v>
          </cell>
          <cell r="B246">
            <v>38.771187436019048</v>
          </cell>
          <cell r="C246">
            <v>94.205291641343422</v>
          </cell>
          <cell r="D246">
            <v>0.41156061151668599</v>
          </cell>
          <cell r="E246">
            <v>38.771187436019048</v>
          </cell>
          <cell r="F246">
            <v>94.205291641343422</v>
          </cell>
          <cell r="G246">
            <v>0.41156061151668599</v>
          </cell>
          <cell r="H246">
            <v>16</v>
          </cell>
          <cell r="I246">
            <v>13.6</v>
          </cell>
          <cell r="J246">
            <v>2.4000000000000004</v>
          </cell>
          <cell r="K246">
            <v>34.200000000000003</v>
          </cell>
          <cell r="L246">
            <v>92.4</v>
          </cell>
          <cell r="M246">
            <v>0.37012987012987014</v>
          </cell>
          <cell r="N246">
            <v>15.6</v>
          </cell>
          <cell r="O246">
            <v>13.4</v>
          </cell>
          <cell r="P246">
            <v>2.1999999999999993</v>
          </cell>
        </row>
        <row r="247">
          <cell r="A247" t="str">
            <v>1990:6</v>
          </cell>
          <cell r="B247">
            <v>42.60519770236349</v>
          </cell>
          <cell r="C247">
            <v>33.639009300779129</v>
          </cell>
          <cell r="D247">
            <v>1.2665413931015113</v>
          </cell>
          <cell r="E247">
            <v>0</v>
          </cell>
          <cell r="F247">
            <v>0</v>
          </cell>
          <cell r="G247">
            <v>1</v>
          </cell>
          <cell r="H247">
            <v>16.5</v>
          </cell>
          <cell r="I247">
            <v>16.8</v>
          </cell>
          <cell r="J247">
            <v>-0.30000000000000071</v>
          </cell>
          <cell r="K247">
            <v>44.2</v>
          </cell>
          <cell r="L247">
            <v>29.5</v>
          </cell>
          <cell r="M247">
            <v>1.4983050847457628</v>
          </cell>
          <cell r="N247">
            <v>15.6</v>
          </cell>
          <cell r="O247">
            <v>16.399999999999999</v>
          </cell>
          <cell r="P247">
            <v>-0.79999999999999893</v>
          </cell>
        </row>
        <row r="248">
          <cell r="A248" t="str">
            <v>1990:7</v>
          </cell>
          <cell r="B248">
            <v>12.809707656882932</v>
          </cell>
          <cell r="C248">
            <v>9.8992241828118033</v>
          </cell>
          <cell r="D248">
            <v>1.2940112700068609</v>
          </cell>
          <cell r="E248">
            <v>0</v>
          </cell>
          <cell r="F248">
            <v>0</v>
          </cell>
          <cell r="G248">
            <v>1</v>
          </cell>
          <cell r="H248">
            <v>20.2</v>
          </cell>
          <cell r="I248">
            <v>18.899999999999999</v>
          </cell>
          <cell r="J248">
            <v>1.3000000000000007</v>
          </cell>
          <cell r="K248">
            <v>7.2</v>
          </cell>
          <cell r="L248">
            <v>8.1999999999999993</v>
          </cell>
          <cell r="M248">
            <v>0.87804878048780499</v>
          </cell>
          <cell r="N248">
            <v>19.600000000000001</v>
          </cell>
          <cell r="O248">
            <v>18.3</v>
          </cell>
          <cell r="P248">
            <v>1.3000000000000007</v>
          </cell>
        </row>
        <row r="249">
          <cell r="A249" t="str">
            <v>1990:8</v>
          </cell>
          <cell r="B249">
            <v>4.5114874707346297</v>
          </cell>
          <cell r="C249">
            <v>9.4425505166936539</v>
          </cell>
          <cell r="D249">
            <v>0.47778272011981193</v>
          </cell>
          <cell r="E249">
            <v>0</v>
          </cell>
          <cell r="F249">
            <v>0</v>
          </cell>
          <cell r="G249">
            <v>1</v>
          </cell>
          <cell r="H249">
            <v>20.9</v>
          </cell>
          <cell r="I249">
            <v>18.7</v>
          </cell>
          <cell r="J249">
            <v>2.1999999999999993</v>
          </cell>
          <cell r="K249">
            <v>0.3</v>
          </cell>
          <cell r="L249">
            <v>9.6</v>
          </cell>
          <cell r="M249">
            <v>3.125E-2</v>
          </cell>
          <cell r="N249">
            <v>21.1</v>
          </cell>
          <cell r="O249">
            <v>18</v>
          </cell>
          <cell r="P249">
            <v>3.1000000000000014</v>
          </cell>
        </row>
        <row r="250">
          <cell r="A250" t="str">
            <v>1990:9</v>
          </cell>
          <cell r="B250">
            <v>48.873027606960171</v>
          </cell>
          <cell r="C250">
            <v>43.697695496746512</v>
          </cell>
          <cell r="D250">
            <v>1.1184348980279517</v>
          </cell>
          <cell r="E250">
            <v>0</v>
          </cell>
          <cell r="F250">
            <v>0</v>
          </cell>
          <cell r="G250">
            <v>1</v>
          </cell>
          <cell r="H250">
            <v>16</v>
          </cell>
          <cell r="I250">
            <v>16.3</v>
          </cell>
          <cell r="J250">
            <v>-0.30000000000000071</v>
          </cell>
          <cell r="K250">
            <v>49.6</v>
          </cell>
          <cell r="L250">
            <v>39.299999999999997</v>
          </cell>
          <cell r="M250">
            <v>1.2620865139949111</v>
          </cell>
          <cell r="N250">
            <v>14.7</v>
          </cell>
          <cell r="O250">
            <v>15.7</v>
          </cell>
          <cell r="P250">
            <v>-1</v>
          </cell>
        </row>
        <row r="251">
          <cell r="A251" t="str">
            <v>1990:10</v>
          </cell>
          <cell r="B251">
            <v>96.818300272076826</v>
          </cell>
          <cell r="C251">
            <v>132.10004667845612</v>
          </cell>
          <cell r="D251">
            <v>0.73291647282867078</v>
          </cell>
          <cell r="E251">
            <v>96.818300272076826</v>
          </cell>
          <cell r="F251">
            <v>132.10004667845612</v>
          </cell>
          <cell r="G251">
            <v>0.73291647282867078</v>
          </cell>
          <cell r="H251">
            <v>13.8</v>
          </cell>
          <cell r="I251">
            <v>12.2</v>
          </cell>
          <cell r="J251">
            <v>1.6000000000000014</v>
          </cell>
          <cell r="K251">
            <v>93.3</v>
          </cell>
          <cell r="L251">
            <v>140.9</v>
          </cell>
          <cell r="M251">
            <v>0.66217175301632358</v>
          </cell>
          <cell r="N251">
            <v>13.3</v>
          </cell>
          <cell r="O251">
            <v>11.5</v>
          </cell>
          <cell r="P251">
            <v>1.8000000000000007</v>
          </cell>
        </row>
        <row r="252">
          <cell r="A252" t="str">
            <v>1990:11</v>
          </cell>
          <cell r="B252">
            <v>275.33746323442398</v>
          </cell>
          <cell r="C252">
            <v>277.9065874341735</v>
          </cell>
          <cell r="D252">
            <v>0.99075543971998126</v>
          </cell>
          <cell r="E252">
            <v>275.33746323442398</v>
          </cell>
          <cell r="F252">
            <v>277.9065874341735</v>
          </cell>
          <cell r="G252">
            <v>0.99075543971998126</v>
          </cell>
          <cell r="H252">
            <v>7.6</v>
          </cell>
          <cell r="I252">
            <v>7.5</v>
          </cell>
          <cell r="J252">
            <v>9.9999999999999645E-2</v>
          </cell>
          <cell r="K252">
            <v>266.89999999999998</v>
          </cell>
          <cell r="L252">
            <v>276.39999999999998</v>
          </cell>
          <cell r="M252">
            <v>0.96562952243125899</v>
          </cell>
          <cell r="N252">
            <v>7.1</v>
          </cell>
          <cell r="O252">
            <v>6.8</v>
          </cell>
          <cell r="P252">
            <v>0.29999999999999982</v>
          </cell>
        </row>
        <row r="253">
          <cell r="A253" t="str">
            <v>1990:12</v>
          </cell>
          <cell r="B253">
            <v>421.38285831916613</v>
          </cell>
          <cell r="C253">
            <v>363.68818352813111</v>
          </cell>
          <cell r="D253">
            <v>1.1586377490501347</v>
          </cell>
          <cell r="E253">
            <v>421.38285831916613</v>
          </cell>
          <cell r="F253">
            <v>363.68818352813111</v>
          </cell>
          <cell r="G253">
            <v>1.1586377490501347</v>
          </cell>
          <cell r="H253">
            <v>3.4</v>
          </cell>
          <cell r="I253">
            <v>4.8</v>
          </cell>
          <cell r="J253">
            <v>-1.4</v>
          </cell>
          <cell r="K253">
            <v>377.1</v>
          </cell>
          <cell r="L253">
            <v>362.3</v>
          </cell>
          <cell r="M253">
            <v>1.0408501242064587</v>
          </cell>
          <cell r="N253">
            <v>3.8</v>
          </cell>
          <cell r="O253">
            <v>4.3</v>
          </cell>
          <cell r="P253">
            <v>-0.5</v>
          </cell>
        </row>
        <row r="254">
          <cell r="A254" t="str">
            <v>1991:1</v>
          </cell>
          <cell r="B254">
            <v>391.33043791358261</v>
          </cell>
          <cell r="C254">
            <v>392.91081774346333</v>
          </cell>
          <cell r="D254">
            <v>0.99597776452438491</v>
          </cell>
          <cell r="E254">
            <v>391.33043791358261</v>
          </cell>
          <cell r="F254">
            <v>392.91081774346333</v>
          </cell>
          <cell r="G254">
            <v>0.99597776452438491</v>
          </cell>
          <cell r="H254">
            <v>4.2</v>
          </cell>
          <cell r="I254">
            <v>3.9</v>
          </cell>
          <cell r="J254">
            <v>0.30000000000000027</v>
          </cell>
          <cell r="K254">
            <v>370.5</v>
          </cell>
          <cell r="L254">
            <v>394</v>
          </cell>
          <cell r="M254">
            <v>0.94035532994923854</v>
          </cell>
          <cell r="N254">
            <v>4</v>
          </cell>
          <cell r="O254">
            <v>3.3</v>
          </cell>
          <cell r="P254">
            <v>0.70000000000000018</v>
          </cell>
        </row>
        <row r="255">
          <cell r="A255" t="str">
            <v>1991:2</v>
          </cell>
          <cell r="B255">
            <v>409.89907181493953</v>
          </cell>
          <cell r="C255">
            <v>331.22294910654443</v>
          </cell>
          <cell r="D255">
            <v>1.2375322208820965</v>
          </cell>
          <cell r="E255">
            <v>409.89907181493953</v>
          </cell>
          <cell r="F255">
            <v>331.22294910654443</v>
          </cell>
          <cell r="G255">
            <v>1.2375322208820965</v>
          </cell>
          <cell r="H255">
            <v>2.2000000000000002</v>
          </cell>
          <cell r="I255">
            <v>4.9000000000000004</v>
          </cell>
          <cell r="J255">
            <v>-2.7</v>
          </cell>
          <cell r="K255">
            <v>427.9</v>
          </cell>
          <cell r="L255">
            <v>332.4</v>
          </cell>
          <cell r="M255">
            <v>1.2873044524669073</v>
          </cell>
          <cell r="N255">
            <v>0.7</v>
          </cell>
          <cell r="O255">
            <v>4.2</v>
          </cell>
          <cell r="P255">
            <v>-3.5</v>
          </cell>
        </row>
        <row r="256">
          <cell r="A256" t="str">
            <v>1991:3</v>
          </cell>
          <cell r="B256">
            <v>210.81225899907204</v>
          </cell>
          <cell r="C256">
            <v>270.29253185771751</v>
          </cell>
          <cell r="D256">
            <v>0.7799411162053268</v>
          </cell>
          <cell r="E256">
            <v>210.81225899907204</v>
          </cell>
          <cell r="F256">
            <v>270.29253185771751</v>
          </cell>
          <cell r="G256">
            <v>0.7799411162053268</v>
          </cell>
          <cell r="H256">
            <v>9.6</v>
          </cell>
          <cell r="I256">
            <v>7.4</v>
          </cell>
          <cell r="J256">
            <v>2.1999999999999993</v>
          </cell>
          <cell r="K256">
            <v>199.8</v>
          </cell>
          <cell r="L256">
            <v>281.39999999999998</v>
          </cell>
          <cell r="M256">
            <v>0.7100213219616206</v>
          </cell>
          <cell r="N256">
            <v>9.6</v>
          </cell>
          <cell r="O256">
            <v>6.9</v>
          </cell>
          <cell r="P256">
            <v>2.6999999999999993</v>
          </cell>
        </row>
        <row r="257">
          <cell r="A257" t="str">
            <v>1991:4</v>
          </cell>
          <cell r="B257">
            <v>216.12233291856344</v>
          </cell>
          <cell r="C257">
            <v>198.63939385091356</v>
          </cell>
          <cell r="D257">
            <v>1.0880134535688901</v>
          </cell>
          <cell r="E257">
            <v>216.12233291856344</v>
          </cell>
          <cell r="F257">
            <v>198.63939385091356</v>
          </cell>
          <cell r="G257">
            <v>1.0880134535688901</v>
          </cell>
          <cell r="H257">
            <v>9.3000000000000007</v>
          </cell>
          <cell r="I257">
            <v>9.9</v>
          </cell>
          <cell r="J257">
            <v>-0.59999999999999964</v>
          </cell>
          <cell r="K257">
            <v>198.8</v>
          </cell>
          <cell r="L257">
            <v>188</v>
          </cell>
          <cell r="M257">
            <v>1.0574468085106383</v>
          </cell>
          <cell r="N257">
            <v>9.4</v>
          </cell>
          <cell r="O257">
            <v>9.6999999999999993</v>
          </cell>
          <cell r="P257">
            <v>-0.29999999999999893</v>
          </cell>
        </row>
        <row r="258">
          <cell r="A258" t="str">
            <v>1991:5</v>
          </cell>
          <cell r="B258">
            <v>143.29593323859959</v>
          </cell>
          <cell r="C258">
            <v>94.205291641343422</v>
          </cell>
          <cell r="D258">
            <v>1.5211028036954986</v>
          </cell>
          <cell r="E258">
            <v>143.29593323859959</v>
          </cell>
          <cell r="F258">
            <v>94.205291641343422</v>
          </cell>
          <cell r="G258">
            <v>1.5211028036954986</v>
          </cell>
          <cell r="H258">
            <v>12.1</v>
          </cell>
          <cell r="I258">
            <v>13.6</v>
          </cell>
          <cell r="J258">
            <v>-1.5</v>
          </cell>
          <cell r="K258">
            <v>143.5</v>
          </cell>
          <cell r="L258">
            <v>92.4</v>
          </cell>
          <cell r="M258">
            <v>1.553030303030303</v>
          </cell>
          <cell r="N258">
            <v>11.5</v>
          </cell>
          <cell r="O258">
            <v>13.4</v>
          </cell>
          <cell r="P258">
            <v>-1.9000000000000004</v>
          </cell>
        </row>
        <row r="259">
          <cell r="A259" t="str">
            <v>1991:6</v>
          </cell>
          <cell r="B259">
            <v>58.898966307090276</v>
          </cell>
          <cell r="C259">
            <v>33.639009300779129</v>
          </cell>
          <cell r="D259">
            <v>1.7509126318332475</v>
          </cell>
          <cell r="E259">
            <v>0</v>
          </cell>
          <cell r="F259">
            <v>0</v>
          </cell>
          <cell r="G259">
            <v>1</v>
          </cell>
          <cell r="H259">
            <v>15.6</v>
          </cell>
          <cell r="I259">
            <v>16.8</v>
          </cell>
          <cell r="J259">
            <v>-1.2000000000000011</v>
          </cell>
          <cell r="K259">
            <v>58.6</v>
          </cell>
          <cell r="L259">
            <v>29.5</v>
          </cell>
          <cell r="M259">
            <v>1.9864406779661017</v>
          </cell>
          <cell r="N259">
            <v>14.6</v>
          </cell>
          <cell r="O259">
            <v>16.399999999999999</v>
          </cell>
          <cell r="P259">
            <v>-1.7999999999999989</v>
          </cell>
        </row>
        <row r="260">
          <cell r="A260" t="str">
            <v>1991:7</v>
          </cell>
          <cell r="B260">
            <v>3.6645509997326484</v>
          </cell>
          <cell r="C260">
            <v>9.8992241828118033</v>
          </cell>
          <cell r="D260">
            <v>0.37018567637810168</v>
          </cell>
          <cell r="E260">
            <v>0</v>
          </cell>
          <cell r="F260">
            <v>0</v>
          </cell>
          <cell r="G260">
            <v>1</v>
          </cell>
          <cell r="H260">
            <v>20.2</v>
          </cell>
          <cell r="I260">
            <v>18.899999999999999</v>
          </cell>
          <cell r="J260">
            <v>1.3000000000000007</v>
          </cell>
          <cell r="K260">
            <v>1</v>
          </cell>
          <cell r="L260">
            <v>8.1999999999999993</v>
          </cell>
          <cell r="M260">
            <v>0.12195121951219513</v>
          </cell>
          <cell r="N260">
            <v>19.3</v>
          </cell>
          <cell r="O260">
            <v>18.3</v>
          </cell>
          <cell r="P260">
            <v>1</v>
          </cell>
        </row>
        <row r="261">
          <cell r="A261" t="str">
            <v>1991:8</v>
          </cell>
          <cell r="B261">
            <v>1.1697960043162494</v>
          </cell>
          <cell r="C261">
            <v>9.4425505166936539</v>
          </cell>
          <cell r="D261">
            <v>0.12388559661376936</v>
          </cell>
          <cell r="E261">
            <v>0</v>
          </cell>
          <cell r="F261">
            <v>0</v>
          </cell>
          <cell r="G261">
            <v>1</v>
          </cell>
          <cell r="H261">
            <v>21.1</v>
          </cell>
          <cell r="I261">
            <v>18.7</v>
          </cell>
          <cell r="J261">
            <v>2.4000000000000021</v>
          </cell>
          <cell r="K261">
            <v>0</v>
          </cell>
          <cell r="L261">
            <v>9.6</v>
          </cell>
          <cell r="M261">
            <v>0</v>
          </cell>
          <cell r="N261">
            <v>20.100000000000001</v>
          </cell>
          <cell r="O261">
            <v>18</v>
          </cell>
          <cell r="P261">
            <v>2.1000000000000014</v>
          </cell>
        </row>
        <row r="262">
          <cell r="A262" t="str">
            <v>1991:9</v>
          </cell>
          <cell r="B262">
            <v>21.214144237893063</v>
          </cell>
          <cell r="C262">
            <v>43.697695496746512</v>
          </cell>
          <cell r="D262">
            <v>0.48547512624487371</v>
          </cell>
          <cell r="E262">
            <v>0</v>
          </cell>
          <cell r="F262">
            <v>0</v>
          </cell>
          <cell r="G262">
            <v>1</v>
          </cell>
          <cell r="H262">
            <v>18.100000000000001</v>
          </cell>
          <cell r="I262">
            <v>16.3</v>
          </cell>
          <cell r="J262">
            <v>1.8000000000000007</v>
          </cell>
          <cell r="K262">
            <v>19</v>
          </cell>
          <cell r="L262">
            <v>39.299999999999997</v>
          </cell>
          <cell r="M262">
            <v>0.48346055979643771</v>
          </cell>
          <cell r="N262">
            <v>17.2</v>
          </cell>
          <cell r="O262">
            <v>15.7</v>
          </cell>
          <cell r="P262">
            <v>1.5</v>
          </cell>
        </row>
        <row r="263">
          <cell r="A263" t="str">
            <v>1991:10</v>
          </cell>
          <cell r="B263">
            <v>171.84932228575309</v>
          </cell>
          <cell r="C263">
            <v>132.10004667845612</v>
          </cell>
          <cell r="D263">
            <v>1.3009028127298881</v>
          </cell>
          <cell r="E263">
            <v>171.84932228575309</v>
          </cell>
          <cell r="F263">
            <v>132.10004667845612</v>
          </cell>
          <cell r="G263">
            <v>1.3009028127298881</v>
          </cell>
          <cell r="H263">
            <v>11.1</v>
          </cell>
          <cell r="I263">
            <v>12.2</v>
          </cell>
          <cell r="J263">
            <v>-1.0999999999999996</v>
          </cell>
          <cell r="K263">
            <v>164.7</v>
          </cell>
          <cell r="L263">
            <v>140.9</v>
          </cell>
          <cell r="M263">
            <v>1.1689141234918381</v>
          </cell>
          <cell r="N263">
            <v>10.7</v>
          </cell>
          <cell r="O263">
            <v>11.5</v>
          </cell>
          <cell r="P263">
            <v>-0.80000000000000071</v>
          </cell>
        </row>
        <row r="264">
          <cell r="A264" t="str">
            <v>1991:11</v>
          </cell>
          <cell r="B264">
            <v>289.46960810784367</v>
          </cell>
          <cell r="C264">
            <v>277.9065874341735</v>
          </cell>
          <cell r="D264">
            <v>1.0416075803759386</v>
          </cell>
          <cell r="E264">
            <v>289.46960810784367</v>
          </cell>
          <cell r="F264">
            <v>277.9065874341735</v>
          </cell>
          <cell r="G264">
            <v>1.0416075803759386</v>
          </cell>
          <cell r="H264">
            <v>7.2</v>
          </cell>
          <cell r="I264">
            <v>7.5</v>
          </cell>
          <cell r="J264">
            <v>-0.29999999999999982</v>
          </cell>
          <cell r="K264">
            <v>284.10000000000002</v>
          </cell>
          <cell r="L264">
            <v>276.39999999999998</v>
          </cell>
          <cell r="M264">
            <v>1.0278581765557164</v>
          </cell>
          <cell r="N264">
            <v>6.5</v>
          </cell>
          <cell r="O264">
            <v>6.8</v>
          </cell>
          <cell r="P264">
            <v>-0.29999999999999982</v>
          </cell>
        </row>
        <row r="265">
          <cell r="A265" t="str">
            <v>1991:12</v>
          </cell>
          <cell r="B265">
            <v>410.25431474325302</v>
          </cell>
          <cell r="C265">
            <v>363.68818352813111</v>
          </cell>
          <cell r="D265">
            <v>1.1280386147369015</v>
          </cell>
          <cell r="E265">
            <v>410.25431474325302</v>
          </cell>
          <cell r="F265">
            <v>363.68818352813111</v>
          </cell>
          <cell r="G265">
            <v>1.1280386147369015</v>
          </cell>
          <cell r="H265">
            <v>3.7</v>
          </cell>
          <cell r="I265">
            <v>4.8</v>
          </cell>
          <cell r="J265">
            <v>-1.0999999999999996</v>
          </cell>
          <cell r="K265">
            <v>395.4</v>
          </cell>
          <cell r="L265">
            <v>362.3</v>
          </cell>
          <cell r="M265">
            <v>1.0913607507590393</v>
          </cell>
          <cell r="N265">
            <v>3.2</v>
          </cell>
          <cell r="O265">
            <v>4.3</v>
          </cell>
          <cell r="P265">
            <v>-1.0999999999999996</v>
          </cell>
        </row>
        <row r="266">
          <cell r="A266" t="str">
            <v>1992:1</v>
          </cell>
          <cell r="B266">
            <v>434.35745430048109</v>
          </cell>
          <cell r="C266">
            <v>392.91081774346333</v>
          </cell>
          <cell r="D266">
            <v>1.1054861171678882</v>
          </cell>
          <cell r="E266">
            <v>434.35745430048109</v>
          </cell>
          <cell r="F266">
            <v>392.91081774346333</v>
          </cell>
          <cell r="G266">
            <v>1.1054861171678882</v>
          </cell>
          <cell r="H266">
            <v>2.9</v>
          </cell>
          <cell r="I266">
            <v>3.9</v>
          </cell>
          <cell r="J266">
            <v>-1</v>
          </cell>
          <cell r="K266">
            <v>402.2</v>
          </cell>
          <cell r="L266">
            <v>394</v>
          </cell>
          <cell r="M266">
            <v>1.0208121827411167</v>
          </cell>
          <cell r="N266">
            <v>3</v>
          </cell>
          <cell r="O266">
            <v>3.3</v>
          </cell>
          <cell r="P266">
            <v>-0.29999999999999982</v>
          </cell>
        </row>
        <row r="267">
          <cell r="A267" t="str">
            <v>1992:2</v>
          </cell>
          <cell r="B267">
            <v>333.54623220356609</v>
          </cell>
          <cell r="C267">
            <v>331.22294910654443</v>
          </cell>
          <cell r="D267">
            <v>1.0070142576270411</v>
          </cell>
          <cell r="E267">
            <v>333.54623220356609</v>
          </cell>
          <cell r="F267">
            <v>331.22294910654443</v>
          </cell>
          <cell r="G267">
            <v>1.0070142576270411</v>
          </cell>
          <cell r="H267">
            <v>5.2</v>
          </cell>
          <cell r="I267">
            <v>4.9000000000000004</v>
          </cell>
          <cell r="J267">
            <v>0.29999999999999982</v>
          </cell>
          <cell r="K267">
            <v>324.10000000000002</v>
          </cell>
          <cell r="L267">
            <v>332.4</v>
          </cell>
          <cell r="M267">
            <v>0.97503008423586057</v>
          </cell>
          <cell r="N267">
            <v>4.8</v>
          </cell>
          <cell r="O267">
            <v>4.2</v>
          </cell>
          <cell r="P267">
            <v>0.59999999999999964</v>
          </cell>
        </row>
        <row r="268">
          <cell r="A268" t="str">
            <v>1992:3</v>
          </cell>
          <cell r="B268">
            <v>259.75538290395696</v>
          </cell>
          <cell r="C268">
            <v>270.29253185771751</v>
          </cell>
          <cell r="D268">
            <v>0.96101575992004351</v>
          </cell>
          <cell r="E268">
            <v>259.75538290395696</v>
          </cell>
          <cell r="F268">
            <v>270.29253185771751</v>
          </cell>
          <cell r="G268">
            <v>0.96101575992004351</v>
          </cell>
          <cell r="H268">
            <v>8.1</v>
          </cell>
          <cell r="I268">
            <v>7.4</v>
          </cell>
          <cell r="J268">
            <v>0.69999999999999929</v>
          </cell>
          <cell r="K268">
            <v>240.2</v>
          </cell>
          <cell r="L268">
            <v>281.39999999999998</v>
          </cell>
          <cell r="M268">
            <v>0.85358919687277901</v>
          </cell>
          <cell r="N268">
            <v>8.3000000000000007</v>
          </cell>
          <cell r="O268">
            <v>6.9</v>
          </cell>
          <cell r="P268">
            <v>1.4000000000000004</v>
          </cell>
        </row>
        <row r="269">
          <cell r="A269" t="str">
            <v>1992:4</v>
          </cell>
          <cell r="B269">
            <v>197.51715784498188</v>
          </cell>
          <cell r="C269">
            <v>198.63939385091356</v>
          </cell>
          <cell r="D269">
            <v>0.99435038546898724</v>
          </cell>
          <cell r="E269">
            <v>197.51715784498188</v>
          </cell>
          <cell r="F269">
            <v>198.63939385091356</v>
          </cell>
          <cell r="G269">
            <v>0.99435038546898724</v>
          </cell>
          <cell r="H269">
            <v>10.1</v>
          </cell>
          <cell r="I269">
            <v>9.9</v>
          </cell>
          <cell r="J269">
            <v>0.19999999999999929</v>
          </cell>
          <cell r="K269">
            <v>191.1</v>
          </cell>
          <cell r="L269">
            <v>188</v>
          </cell>
          <cell r="M269">
            <v>1.0164893617021276</v>
          </cell>
          <cell r="N269">
            <v>9.6</v>
          </cell>
          <cell r="O269">
            <v>9.6999999999999993</v>
          </cell>
          <cell r="P269">
            <v>-9.9999999999999645E-2</v>
          </cell>
        </row>
        <row r="270">
          <cell r="A270" t="str">
            <v>1992:5</v>
          </cell>
          <cell r="B270">
            <v>59.696916781466761</v>
          </cell>
          <cell r="C270">
            <v>94.205291641343422</v>
          </cell>
          <cell r="D270">
            <v>0.63368963400425227</v>
          </cell>
          <cell r="E270">
            <v>59.696916781466761</v>
          </cell>
          <cell r="F270">
            <v>94.205291641343422</v>
          </cell>
          <cell r="G270">
            <v>0.63368963400425227</v>
          </cell>
          <cell r="H270">
            <v>15.8</v>
          </cell>
          <cell r="I270">
            <v>13.6</v>
          </cell>
          <cell r="J270">
            <v>2.2000000000000011</v>
          </cell>
          <cell r="K270">
            <v>59.4</v>
          </cell>
          <cell r="L270">
            <v>92.4</v>
          </cell>
          <cell r="M270">
            <v>0.64285714285714279</v>
          </cell>
          <cell r="N270">
            <v>15.3</v>
          </cell>
          <cell r="O270">
            <v>13.4</v>
          </cell>
          <cell r="P270">
            <v>1.9000000000000004</v>
          </cell>
        </row>
        <row r="271">
          <cell r="A271" t="str">
            <v>1992:6</v>
          </cell>
          <cell r="B271">
            <v>30.12529736845995</v>
          </cell>
          <cell r="C271">
            <v>33.639009300779129</v>
          </cell>
          <cell r="D271">
            <v>0.89554650968160954</v>
          </cell>
          <cell r="E271">
            <v>0</v>
          </cell>
          <cell r="F271">
            <v>0</v>
          </cell>
          <cell r="G271">
            <v>1</v>
          </cell>
          <cell r="H271">
            <v>16.7</v>
          </cell>
          <cell r="I271">
            <v>16.8</v>
          </cell>
          <cell r="J271">
            <v>-0.10000000000000142</v>
          </cell>
          <cell r="K271">
            <v>25.8</v>
          </cell>
          <cell r="L271">
            <v>29.5</v>
          </cell>
          <cell r="M271">
            <v>0.87457627118644066</v>
          </cell>
          <cell r="N271">
            <v>16.399999999999999</v>
          </cell>
          <cell r="O271">
            <v>16.399999999999999</v>
          </cell>
          <cell r="P271">
            <v>0</v>
          </cell>
        </row>
        <row r="272">
          <cell r="A272" t="str">
            <v>1992:7</v>
          </cell>
          <cell r="B272">
            <v>2.2341228010440135</v>
          </cell>
          <cell r="C272">
            <v>9.8992241828118033</v>
          </cell>
          <cell r="D272">
            <v>0.2256866558212875</v>
          </cell>
          <cell r="E272">
            <v>0</v>
          </cell>
          <cell r="F272">
            <v>0</v>
          </cell>
          <cell r="G272">
            <v>1</v>
          </cell>
          <cell r="H272">
            <v>19.7</v>
          </cell>
          <cell r="I272">
            <v>18.899999999999999</v>
          </cell>
          <cell r="J272">
            <v>0.80000000000000071</v>
          </cell>
          <cell r="K272">
            <v>0</v>
          </cell>
          <cell r="L272">
            <v>8.1999999999999993</v>
          </cell>
          <cell r="M272">
            <v>0</v>
          </cell>
          <cell r="N272">
            <v>19.5</v>
          </cell>
          <cell r="O272">
            <v>18.3</v>
          </cell>
          <cell r="P272">
            <v>1.1999999999999993</v>
          </cell>
        </row>
        <row r="273">
          <cell r="A273" t="str">
            <v>1992:8</v>
          </cell>
          <cell r="B273">
            <v>5.6261833035577968</v>
          </cell>
          <cell r="C273">
            <v>9.4425505166936539</v>
          </cell>
          <cell r="D273">
            <v>0.59583301075394479</v>
          </cell>
          <cell r="E273">
            <v>0</v>
          </cell>
          <cell r="F273">
            <v>0</v>
          </cell>
          <cell r="G273">
            <v>1</v>
          </cell>
          <cell r="H273">
            <v>20.399999999999999</v>
          </cell>
          <cell r="I273">
            <v>18.7</v>
          </cell>
          <cell r="J273">
            <v>1.6999999999999993</v>
          </cell>
          <cell r="K273">
            <v>3</v>
          </cell>
          <cell r="L273">
            <v>9.6</v>
          </cell>
          <cell r="M273">
            <v>0.3125</v>
          </cell>
          <cell r="N273">
            <v>19.8</v>
          </cell>
          <cell r="O273">
            <v>18</v>
          </cell>
          <cell r="P273">
            <v>1.8000000000000007</v>
          </cell>
        </row>
        <row r="274">
          <cell r="A274" t="str">
            <v>1992:9</v>
          </cell>
          <cell r="B274">
            <v>45.679155525369417</v>
          </cell>
          <cell r="C274">
            <v>43.697695496746512</v>
          </cell>
          <cell r="D274">
            <v>1.0453447259883633</v>
          </cell>
          <cell r="E274">
            <v>0</v>
          </cell>
          <cell r="F274">
            <v>0</v>
          </cell>
          <cell r="G274">
            <v>1</v>
          </cell>
          <cell r="H274">
            <v>15.8</v>
          </cell>
          <cell r="I274">
            <v>16.3</v>
          </cell>
          <cell r="J274">
            <v>-0.5</v>
          </cell>
          <cell r="K274">
            <v>39.299999999999997</v>
          </cell>
          <cell r="L274">
            <v>39.299999999999997</v>
          </cell>
          <cell r="M274">
            <v>1</v>
          </cell>
          <cell r="N274">
            <v>15</v>
          </cell>
          <cell r="O274">
            <v>15.7</v>
          </cell>
          <cell r="P274">
            <v>-0.69999999999999929</v>
          </cell>
        </row>
        <row r="275">
          <cell r="A275" t="str">
            <v>1992:10</v>
          </cell>
          <cell r="B275">
            <v>209.84311371065456</v>
          </cell>
          <cell r="C275">
            <v>132.10004667845612</v>
          </cell>
          <cell r="D275">
            <v>1.5885165750276558</v>
          </cell>
          <cell r="E275">
            <v>209.84311371065456</v>
          </cell>
          <cell r="F275">
            <v>132.10004667845612</v>
          </cell>
          <cell r="G275">
            <v>1.5885165750276558</v>
          </cell>
          <cell r="H275">
            <v>10</v>
          </cell>
          <cell r="I275">
            <v>12.2</v>
          </cell>
          <cell r="J275">
            <v>-2.1999999999999993</v>
          </cell>
          <cell r="K275">
            <v>218.3</v>
          </cell>
          <cell r="L275">
            <v>140.9</v>
          </cell>
          <cell r="M275">
            <v>1.5493257629524486</v>
          </cell>
          <cell r="N275">
            <v>9</v>
          </cell>
          <cell r="O275">
            <v>11.5</v>
          </cell>
          <cell r="P275">
            <v>-2.5</v>
          </cell>
        </row>
        <row r="276">
          <cell r="A276" t="str">
            <v>1992:11</v>
          </cell>
          <cell r="B276">
            <v>220.72924515615989</v>
          </cell>
          <cell r="C276">
            <v>277.9065874341735</v>
          </cell>
          <cell r="D276">
            <v>0.79425697387775329</v>
          </cell>
          <cell r="E276">
            <v>220.72924515615989</v>
          </cell>
          <cell r="F276">
            <v>277.9065874341735</v>
          </cell>
          <cell r="G276">
            <v>0.79425697387775329</v>
          </cell>
          <cell r="H276">
            <v>9.5</v>
          </cell>
          <cell r="I276">
            <v>7.5</v>
          </cell>
          <cell r="J276">
            <v>2</v>
          </cell>
          <cell r="K276">
            <v>216</v>
          </cell>
          <cell r="L276">
            <v>276.39999999999998</v>
          </cell>
          <cell r="M276">
            <v>0.78147612156295232</v>
          </cell>
          <cell r="N276">
            <v>8.8000000000000007</v>
          </cell>
          <cell r="O276">
            <v>6.8</v>
          </cell>
          <cell r="P276">
            <v>2.0000000000000009</v>
          </cell>
        </row>
        <row r="277">
          <cell r="A277" t="str">
            <v>1992:12</v>
          </cell>
          <cell r="B277">
            <v>353.19958799023783</v>
          </cell>
          <cell r="C277">
            <v>363.68818352813111</v>
          </cell>
          <cell r="D277">
            <v>0.9711604720391418</v>
          </cell>
          <cell r="E277">
            <v>353.19958799023783</v>
          </cell>
          <cell r="F277">
            <v>363.68818352813111</v>
          </cell>
          <cell r="G277">
            <v>0.9711604720391418</v>
          </cell>
          <cell r="H277">
            <v>5.4</v>
          </cell>
          <cell r="I277">
            <v>4.8</v>
          </cell>
          <cell r="J277">
            <v>0.60000000000000053</v>
          </cell>
          <cell r="K277">
            <v>358.2</v>
          </cell>
          <cell r="L277">
            <v>362.3</v>
          </cell>
          <cell r="M277">
            <v>0.98868341153739991</v>
          </cell>
          <cell r="N277">
            <v>4.4000000000000004</v>
          </cell>
          <cell r="O277">
            <v>4.3</v>
          </cell>
          <cell r="P277">
            <v>0.10000000000000053</v>
          </cell>
        </row>
        <row r="278">
          <cell r="A278" t="str">
            <v>1993:1</v>
          </cell>
          <cell r="B278">
            <v>322.98813263675464</v>
          </cell>
          <cell r="C278">
            <v>392.91081774346333</v>
          </cell>
          <cell r="D278">
            <v>0.82203929759866745</v>
          </cell>
          <cell r="E278">
            <v>322.98813263675464</v>
          </cell>
          <cell r="F278">
            <v>392.91081774346333</v>
          </cell>
          <cell r="G278">
            <v>0.82203929759866745</v>
          </cell>
          <cell r="H278">
            <v>6.3</v>
          </cell>
          <cell r="I278">
            <v>3.9</v>
          </cell>
          <cell r="J278">
            <v>2.4</v>
          </cell>
          <cell r="K278">
            <v>276.60000000000002</v>
          </cell>
          <cell r="L278">
            <v>394</v>
          </cell>
          <cell r="M278">
            <v>0.70203045685279197</v>
          </cell>
          <cell r="N278">
            <v>6.8</v>
          </cell>
          <cell r="O278">
            <v>3.3</v>
          </cell>
          <cell r="P278">
            <v>3.5</v>
          </cell>
        </row>
        <row r="279">
          <cell r="A279" t="str">
            <v>1993:2</v>
          </cell>
          <cell r="B279">
            <v>372.46850210519273</v>
          </cell>
          <cell r="C279">
            <v>331.22294910654443</v>
          </cell>
          <cell r="D279">
            <v>1.1245250460751766</v>
          </cell>
          <cell r="E279">
            <v>372.46850210519273</v>
          </cell>
          <cell r="F279">
            <v>331.22294910654443</v>
          </cell>
          <cell r="G279">
            <v>1.1245250460751766</v>
          </cell>
          <cell r="H279">
            <v>3.6</v>
          </cell>
          <cell r="I279">
            <v>4.9000000000000004</v>
          </cell>
          <cell r="J279">
            <v>-1.3000000000000003</v>
          </cell>
          <cell r="K279">
            <v>358.5</v>
          </cell>
          <cell r="L279">
            <v>332.4</v>
          </cell>
          <cell r="M279">
            <v>1.0785198555956679</v>
          </cell>
          <cell r="N279">
            <v>3.2</v>
          </cell>
          <cell r="O279">
            <v>4.2</v>
          </cell>
          <cell r="P279">
            <v>-1</v>
          </cell>
        </row>
        <row r="280">
          <cell r="A280" t="str">
            <v>1993:3</v>
          </cell>
          <cell r="B280">
            <v>283.70910860935265</v>
          </cell>
          <cell r="C280">
            <v>270.29253185771751</v>
          </cell>
          <cell r="D280">
            <v>1.0496372454666918</v>
          </cell>
          <cell r="E280">
            <v>283.70910860935265</v>
          </cell>
          <cell r="F280">
            <v>270.29253185771751</v>
          </cell>
          <cell r="G280">
            <v>1.0496372454666918</v>
          </cell>
          <cell r="H280">
            <v>7.3</v>
          </cell>
          <cell r="I280">
            <v>7.4</v>
          </cell>
          <cell r="J280">
            <v>-0.10000000000000053</v>
          </cell>
          <cell r="K280">
            <v>265.2</v>
          </cell>
          <cell r="L280">
            <v>281.39999999999998</v>
          </cell>
          <cell r="M280">
            <v>0.94243070362473347</v>
          </cell>
          <cell r="N280">
            <v>7.4</v>
          </cell>
          <cell r="O280">
            <v>6.9</v>
          </cell>
          <cell r="P280">
            <v>0.5</v>
          </cell>
        </row>
        <row r="281">
          <cell r="A281" t="str">
            <v>1993:4</v>
          </cell>
          <cell r="B281">
            <v>156.55933724173397</v>
          </cell>
          <cell r="C281">
            <v>198.63939385091356</v>
          </cell>
          <cell r="D281">
            <v>0.78815855307753169</v>
          </cell>
          <cell r="E281">
            <v>156.55933724173397</v>
          </cell>
          <cell r="F281">
            <v>198.63939385091356</v>
          </cell>
          <cell r="G281">
            <v>0.78815855307753169</v>
          </cell>
          <cell r="H281">
            <v>11.1</v>
          </cell>
          <cell r="I281">
            <v>9.9</v>
          </cell>
          <cell r="J281">
            <v>1.1999999999999993</v>
          </cell>
          <cell r="K281">
            <v>128</v>
          </cell>
          <cell r="L281">
            <v>188</v>
          </cell>
          <cell r="M281">
            <v>0.68085106382978722</v>
          </cell>
          <cell r="N281">
            <v>12.1</v>
          </cell>
          <cell r="O281">
            <v>9.6999999999999993</v>
          </cell>
          <cell r="P281">
            <v>2.4000000000000004</v>
          </cell>
        </row>
        <row r="282">
          <cell r="A282" t="str">
            <v>1993:5</v>
          </cell>
          <cell r="B282">
            <v>71.011342881157276</v>
          </cell>
          <cell r="C282">
            <v>94.205291641343422</v>
          </cell>
          <cell r="D282">
            <v>0.7537935676852453</v>
          </cell>
          <cell r="E282">
            <v>71.011342881157276</v>
          </cell>
          <cell r="F282">
            <v>94.205291641343422</v>
          </cell>
          <cell r="G282">
            <v>0.7537935676852453</v>
          </cell>
          <cell r="H282">
            <v>14.7</v>
          </cell>
          <cell r="I282">
            <v>13.6</v>
          </cell>
          <cell r="J282">
            <v>1.0999999999999996</v>
          </cell>
          <cell r="K282">
            <v>57</v>
          </cell>
          <cell r="L282">
            <v>92.4</v>
          </cell>
          <cell r="M282">
            <v>0.61688311688311681</v>
          </cell>
          <cell r="N282">
            <v>15</v>
          </cell>
          <cell r="O282">
            <v>13.4</v>
          </cell>
          <cell r="P282">
            <v>1.5999999999999996</v>
          </cell>
        </row>
        <row r="283">
          <cell r="A283" t="str">
            <v>1993:6</v>
          </cell>
          <cell r="B283">
            <v>19.248888368349814</v>
          </cell>
          <cell r="C283">
            <v>33.639009300779129</v>
          </cell>
          <cell r="D283">
            <v>0.57221924094845389</v>
          </cell>
          <cell r="E283">
            <v>0</v>
          </cell>
          <cell r="F283">
            <v>0</v>
          </cell>
          <cell r="G283">
            <v>1</v>
          </cell>
          <cell r="H283">
            <v>17.899999999999999</v>
          </cell>
          <cell r="I283">
            <v>16.8</v>
          </cell>
          <cell r="J283">
            <v>1.0999999999999979</v>
          </cell>
          <cell r="K283">
            <v>11.2</v>
          </cell>
          <cell r="L283">
            <v>29.5</v>
          </cell>
          <cell r="M283">
            <v>0.3796610169491525</v>
          </cell>
          <cell r="N283">
            <v>17.7</v>
          </cell>
          <cell r="O283">
            <v>16.399999999999999</v>
          </cell>
          <cell r="P283">
            <v>1.3000000000000007</v>
          </cell>
        </row>
        <row r="284">
          <cell r="A284" t="str">
            <v>1993:7</v>
          </cell>
          <cell r="B284">
            <v>17.715550790482208</v>
          </cell>
          <cell r="C284">
            <v>9.8992241828118033</v>
          </cell>
          <cell r="D284">
            <v>1.7895898166688688</v>
          </cell>
          <cell r="E284">
            <v>0</v>
          </cell>
          <cell r="F284">
            <v>0</v>
          </cell>
          <cell r="G284">
            <v>1</v>
          </cell>
          <cell r="H284">
            <v>18.3</v>
          </cell>
          <cell r="I284">
            <v>18.899999999999999</v>
          </cell>
          <cell r="J284">
            <v>-0.59999999999999787</v>
          </cell>
          <cell r="K284">
            <v>7.3</v>
          </cell>
          <cell r="L284">
            <v>8.1999999999999993</v>
          </cell>
          <cell r="M284">
            <v>0.8902439024390244</v>
          </cell>
          <cell r="N284">
            <v>17.899999999999999</v>
          </cell>
          <cell r="O284">
            <v>18.3</v>
          </cell>
          <cell r="P284">
            <v>-0.40000000000000213</v>
          </cell>
        </row>
        <row r="285">
          <cell r="A285" t="str">
            <v>1993:8</v>
          </cell>
          <cell r="B285">
            <v>18.405846969145344</v>
          </cell>
          <cell r="C285">
            <v>9.4425505166936539</v>
          </cell>
          <cell r="D285">
            <v>1.9492452739972446</v>
          </cell>
          <cell r="E285">
            <v>0</v>
          </cell>
          <cell r="F285">
            <v>0</v>
          </cell>
          <cell r="G285">
            <v>1</v>
          </cell>
          <cell r="H285">
            <v>18.899999999999999</v>
          </cell>
          <cell r="I285">
            <v>18.7</v>
          </cell>
          <cell r="J285">
            <v>0.19999999999999929</v>
          </cell>
          <cell r="K285">
            <v>9.8000000000000007</v>
          </cell>
          <cell r="L285">
            <v>9.6</v>
          </cell>
          <cell r="M285">
            <v>1.0208333333333335</v>
          </cell>
          <cell r="N285">
            <v>17.7</v>
          </cell>
          <cell r="O285">
            <v>18</v>
          </cell>
          <cell r="P285">
            <v>-0.30000000000000071</v>
          </cell>
        </row>
        <row r="286">
          <cell r="A286" t="str">
            <v>1993:9</v>
          </cell>
          <cell r="B286">
            <v>67.184926751665017</v>
          </cell>
          <cell r="C286">
            <v>43.697695496746512</v>
          </cell>
          <cell r="D286">
            <v>1.537493590632651</v>
          </cell>
          <cell r="E286">
            <v>0</v>
          </cell>
          <cell r="F286">
            <v>0</v>
          </cell>
          <cell r="G286">
            <v>1</v>
          </cell>
          <cell r="H286">
            <v>15</v>
          </cell>
          <cell r="I286">
            <v>16.3</v>
          </cell>
          <cell r="J286">
            <v>-1.3000000000000007</v>
          </cell>
          <cell r="K286">
            <v>56.1</v>
          </cell>
          <cell r="L286">
            <v>39.299999999999997</v>
          </cell>
          <cell r="M286">
            <v>1.4274809160305344</v>
          </cell>
          <cell r="N286">
            <v>14.5</v>
          </cell>
          <cell r="O286">
            <v>15.7</v>
          </cell>
          <cell r="P286">
            <v>-1.1999999999999993</v>
          </cell>
        </row>
        <row r="287">
          <cell r="A287" t="str">
            <v>1993:10</v>
          </cell>
          <cell r="B287">
            <v>188.73830711522419</v>
          </cell>
          <cell r="C287">
            <v>132.10004667845612</v>
          </cell>
          <cell r="D287">
            <v>1.4287527662623078</v>
          </cell>
          <cell r="E287">
            <v>188.73830711522419</v>
          </cell>
          <cell r="F287">
            <v>132.10004667845612</v>
          </cell>
          <cell r="G287">
            <v>1.4287527662623078</v>
          </cell>
          <cell r="H287">
            <v>10.7</v>
          </cell>
          <cell r="I287">
            <v>12.2</v>
          </cell>
          <cell r="J287">
            <v>-1.5</v>
          </cell>
          <cell r="K287">
            <v>183.6</v>
          </cell>
          <cell r="L287">
            <v>140.9</v>
          </cell>
          <cell r="M287">
            <v>1.3030518097941801</v>
          </cell>
          <cell r="N287">
            <v>10.1</v>
          </cell>
          <cell r="O287">
            <v>11.5</v>
          </cell>
          <cell r="P287">
            <v>-1.4000000000000004</v>
          </cell>
        </row>
        <row r="288">
          <cell r="A288" t="str">
            <v>1993:11</v>
          </cell>
          <cell r="B288">
            <v>362.43282185969042</v>
          </cell>
          <cell r="C288">
            <v>277.9065874341735</v>
          </cell>
          <cell r="D288">
            <v>1.3041534035084299</v>
          </cell>
          <cell r="E288">
            <v>362.43282185969042</v>
          </cell>
          <cell r="F288">
            <v>277.9065874341735</v>
          </cell>
          <cell r="G288">
            <v>1.3041534035084299</v>
          </cell>
          <cell r="H288">
            <v>4.8</v>
          </cell>
          <cell r="I288">
            <v>7.5</v>
          </cell>
          <cell r="J288">
            <v>-2.7</v>
          </cell>
          <cell r="K288">
            <v>376.1</v>
          </cell>
          <cell r="L288">
            <v>276.39999999999998</v>
          </cell>
          <cell r="M288">
            <v>1.3607091172214185</v>
          </cell>
          <cell r="N288">
            <v>3.5</v>
          </cell>
          <cell r="O288">
            <v>6.8</v>
          </cell>
          <cell r="P288">
            <v>-3.3</v>
          </cell>
        </row>
        <row r="289">
          <cell r="A289" t="str">
            <v>1993:12</v>
          </cell>
          <cell r="B289">
            <v>310.99669154887107</v>
          </cell>
          <cell r="C289">
            <v>363.68818352813111</v>
          </cell>
          <cell r="D289">
            <v>0.85511904327465071</v>
          </cell>
          <cell r="E289">
            <v>310.99669154887107</v>
          </cell>
          <cell r="F289">
            <v>363.68818352813111</v>
          </cell>
          <cell r="G289">
            <v>0.85511904327465071</v>
          </cell>
          <cell r="H289">
            <v>6.9</v>
          </cell>
          <cell r="I289">
            <v>4.8</v>
          </cell>
          <cell r="J289">
            <v>2.1000000000000005</v>
          </cell>
          <cell r="K289">
            <v>275.10000000000002</v>
          </cell>
          <cell r="L289">
            <v>362.3</v>
          </cell>
          <cell r="M289">
            <v>0.75931548440518915</v>
          </cell>
          <cell r="N289">
            <v>7.1</v>
          </cell>
          <cell r="O289">
            <v>4.3</v>
          </cell>
          <cell r="P289">
            <v>2.8</v>
          </cell>
        </row>
        <row r="290">
          <cell r="A290" t="str">
            <v>1994:1</v>
          </cell>
          <cell r="B290">
            <v>342.60022414917563</v>
          </cell>
          <cell r="C290">
            <v>392.91081774346333</v>
          </cell>
          <cell r="D290">
            <v>0.87195416536702197</v>
          </cell>
          <cell r="E290">
            <v>342.60022414917563</v>
          </cell>
          <cell r="F290">
            <v>392.91081774346333</v>
          </cell>
          <cell r="G290">
            <v>0.87195416536702197</v>
          </cell>
          <cell r="H290">
            <v>5.7</v>
          </cell>
          <cell r="I290">
            <v>4</v>
          </cell>
          <cell r="J290">
            <v>1.7000000000000002</v>
          </cell>
          <cell r="K290">
            <v>301.8</v>
          </cell>
          <cell r="L290">
            <v>388.5</v>
          </cell>
          <cell r="M290">
            <v>0.77683397683397681</v>
          </cell>
          <cell r="N290">
            <v>6.3</v>
          </cell>
          <cell r="O290">
            <v>3.5</v>
          </cell>
          <cell r="P290">
            <v>2.8</v>
          </cell>
        </row>
        <row r="291">
          <cell r="A291" t="str">
            <v>1994:2</v>
          </cell>
          <cell r="B291">
            <v>309.981530882725</v>
          </cell>
          <cell r="C291">
            <v>331.22294910654443</v>
          </cell>
          <cell r="D291">
            <v>0.93586972677733538</v>
          </cell>
          <cell r="E291">
            <v>309.981530882725</v>
          </cell>
          <cell r="F291">
            <v>331.22294910654443</v>
          </cell>
          <cell r="G291">
            <v>0.93586972677733538</v>
          </cell>
          <cell r="H291">
            <v>5.5</v>
          </cell>
          <cell r="I291">
            <v>5.0999999999999996</v>
          </cell>
          <cell r="J291">
            <v>0.40000000000000036</v>
          </cell>
          <cell r="K291">
            <v>312.5</v>
          </cell>
          <cell r="L291">
            <v>326.10000000000002</v>
          </cell>
          <cell r="M291">
            <v>0.95829500153327196</v>
          </cell>
          <cell r="N291">
            <v>4.8</v>
          </cell>
          <cell r="O291">
            <v>4.5</v>
          </cell>
          <cell r="P291">
            <v>0.29999999999999982</v>
          </cell>
        </row>
        <row r="292">
          <cell r="A292" t="str">
            <v>1994:3</v>
          </cell>
          <cell r="B292">
            <v>208.64893534417681</v>
          </cell>
          <cell r="C292">
            <v>270.29253185771751</v>
          </cell>
          <cell r="D292">
            <v>0.77193747792488032</v>
          </cell>
          <cell r="E292">
            <v>208.64893534417681</v>
          </cell>
          <cell r="F292">
            <v>270.29253185771751</v>
          </cell>
          <cell r="G292">
            <v>0.77193747792488032</v>
          </cell>
          <cell r="H292">
            <v>9.9</v>
          </cell>
          <cell r="I292">
            <v>7.3</v>
          </cell>
          <cell r="J292">
            <v>2.6000000000000005</v>
          </cell>
          <cell r="K292">
            <v>195.6</v>
          </cell>
          <cell r="L292">
            <v>283.89999999999998</v>
          </cell>
          <cell r="M292">
            <v>0.68897499119408245</v>
          </cell>
          <cell r="N292">
            <v>9.6999999999999993</v>
          </cell>
          <cell r="O292">
            <v>6.8</v>
          </cell>
          <cell r="P292">
            <v>2.8999999999999995</v>
          </cell>
        </row>
        <row r="293">
          <cell r="A293" t="str">
            <v>1994:4</v>
          </cell>
          <cell r="B293">
            <v>218.93085030869352</v>
          </cell>
          <cell r="C293">
            <v>198.63939385091356</v>
          </cell>
          <cell r="D293">
            <v>1.1021522270300999</v>
          </cell>
          <cell r="E293">
            <v>218.93085030869352</v>
          </cell>
          <cell r="F293">
            <v>198.63939385091356</v>
          </cell>
          <cell r="G293">
            <v>1.1021522270300999</v>
          </cell>
          <cell r="H293">
            <v>9.3000000000000007</v>
          </cell>
          <cell r="I293">
            <v>9.9</v>
          </cell>
          <cell r="J293">
            <v>-0.59999999999999964</v>
          </cell>
          <cell r="K293">
            <v>201.6</v>
          </cell>
          <cell r="L293">
            <v>190.3</v>
          </cell>
          <cell r="M293">
            <v>1.0593799264319494</v>
          </cell>
          <cell r="N293">
            <v>9.4</v>
          </cell>
          <cell r="O293">
            <v>9.6999999999999993</v>
          </cell>
          <cell r="P293">
            <v>-0.29999999999999893</v>
          </cell>
        </row>
        <row r="294">
          <cell r="A294" t="str">
            <v>1994:5</v>
          </cell>
          <cell r="B294">
            <v>76.11942196124825</v>
          </cell>
          <cell r="C294">
            <v>94.205291641343422</v>
          </cell>
          <cell r="D294">
            <v>0.80801641431193327</v>
          </cell>
          <cell r="E294">
            <v>76.11942196124825</v>
          </cell>
          <cell r="F294">
            <v>94.205291641343422</v>
          </cell>
          <cell r="G294">
            <v>0.80801641431193327</v>
          </cell>
          <cell r="H294">
            <v>14.3</v>
          </cell>
          <cell r="I294">
            <v>13.6</v>
          </cell>
          <cell r="J294">
            <v>0.70000000000000107</v>
          </cell>
          <cell r="K294">
            <v>62.7</v>
          </cell>
          <cell r="L294">
            <v>95</v>
          </cell>
          <cell r="M294">
            <v>0.66</v>
          </cell>
          <cell r="N294">
            <v>14.1</v>
          </cell>
          <cell r="O294">
            <v>13.3</v>
          </cell>
          <cell r="P294">
            <v>0.79999999999999893</v>
          </cell>
        </row>
        <row r="295">
          <cell r="A295" t="str">
            <v>1994:6</v>
          </cell>
          <cell r="B295">
            <v>30.19832928688492</v>
          </cell>
          <cell r="C295">
            <v>33.639009300779129</v>
          </cell>
          <cell r="D295">
            <v>0.89771755811445619</v>
          </cell>
          <cell r="E295">
            <v>0</v>
          </cell>
          <cell r="F295">
            <v>0</v>
          </cell>
          <cell r="G295">
            <v>1</v>
          </cell>
          <cell r="H295">
            <v>17.7</v>
          </cell>
          <cell r="I295">
            <v>16.8</v>
          </cell>
          <cell r="J295">
            <v>0.89999999999999858</v>
          </cell>
          <cell r="K295">
            <v>24.6</v>
          </cell>
          <cell r="L295">
            <v>31.5</v>
          </cell>
          <cell r="M295">
            <v>0.78095238095238095</v>
          </cell>
          <cell r="N295">
            <v>17.399999999999999</v>
          </cell>
          <cell r="O295">
            <v>16.399999999999999</v>
          </cell>
          <cell r="P295">
            <v>1</v>
          </cell>
        </row>
        <row r="296">
          <cell r="A296" t="str">
            <v>1994:7</v>
          </cell>
          <cell r="B296">
            <v>1.4893114310465965</v>
          </cell>
          <cell r="C296">
            <v>9.8992241828118033</v>
          </cell>
          <cell r="D296">
            <v>0.15044728794328288</v>
          </cell>
          <cell r="E296">
            <v>0</v>
          </cell>
          <cell r="F296">
            <v>0</v>
          </cell>
          <cell r="G296">
            <v>1</v>
          </cell>
          <cell r="H296">
            <v>22</v>
          </cell>
          <cell r="I296">
            <v>19.2</v>
          </cell>
          <cell r="J296">
            <v>2.8000000000000007</v>
          </cell>
          <cell r="K296">
            <v>0</v>
          </cell>
          <cell r="L296">
            <v>8.9</v>
          </cell>
          <cell r="M296">
            <v>0</v>
          </cell>
          <cell r="N296">
            <v>22.1</v>
          </cell>
          <cell r="O296">
            <v>18.399999999999999</v>
          </cell>
          <cell r="P296">
            <v>3.7000000000000028</v>
          </cell>
        </row>
        <row r="297">
          <cell r="A297" t="str">
            <v>1994:8</v>
          </cell>
          <cell r="B297">
            <v>5.8648217077724025</v>
          </cell>
          <cell r="C297">
            <v>9.4425505166936539</v>
          </cell>
          <cell r="D297">
            <v>0.62110567451070342</v>
          </cell>
          <cell r="E297">
            <v>0</v>
          </cell>
          <cell r="F297">
            <v>0</v>
          </cell>
          <cell r="G297">
            <v>1</v>
          </cell>
          <cell r="H297">
            <v>20.399999999999999</v>
          </cell>
          <cell r="I297">
            <v>18.899999999999999</v>
          </cell>
          <cell r="J297">
            <v>1.5</v>
          </cell>
          <cell r="K297">
            <v>1.2</v>
          </cell>
          <cell r="L297">
            <v>9.1</v>
          </cell>
          <cell r="M297">
            <v>0.13186813186813187</v>
          </cell>
          <cell r="N297">
            <v>19.100000000000001</v>
          </cell>
          <cell r="O297">
            <v>18.2</v>
          </cell>
          <cell r="P297">
            <v>0.90000000000000213</v>
          </cell>
        </row>
        <row r="298">
          <cell r="A298" t="str">
            <v>1994:9</v>
          </cell>
          <cell r="B298">
            <v>58.475855366504817</v>
          </cell>
          <cell r="C298">
            <v>43.697695496746512</v>
          </cell>
          <cell r="D298">
            <v>1.3381908290989535</v>
          </cell>
          <cell r="E298">
            <v>0</v>
          </cell>
          <cell r="F298">
            <v>0</v>
          </cell>
          <cell r="G298">
            <v>1</v>
          </cell>
          <cell r="H298">
            <v>15.3</v>
          </cell>
          <cell r="I298">
            <v>16.5</v>
          </cell>
          <cell r="J298">
            <v>-1.1999999999999993</v>
          </cell>
          <cell r="K298">
            <v>56.6</v>
          </cell>
          <cell r="L298">
            <v>39.4</v>
          </cell>
          <cell r="M298">
            <v>1.436548223350254</v>
          </cell>
          <cell r="N298">
            <v>14.5</v>
          </cell>
          <cell r="O298">
            <v>15.7</v>
          </cell>
          <cell r="P298">
            <v>-1.1999999999999993</v>
          </cell>
        </row>
        <row r="299">
          <cell r="A299" t="str">
            <v>1994:10</v>
          </cell>
          <cell r="B299">
            <v>135.11265911428364</v>
          </cell>
          <cell r="C299">
            <v>132.10004667845612</v>
          </cell>
          <cell r="D299">
            <v>1.0228055364973527</v>
          </cell>
          <cell r="E299">
            <v>135.11265911428364</v>
          </cell>
          <cell r="F299">
            <v>132.10004667845612</v>
          </cell>
          <cell r="G299">
            <v>1.0228055364973527</v>
          </cell>
          <cell r="H299">
            <v>12.2</v>
          </cell>
          <cell r="I299">
            <v>12.6</v>
          </cell>
          <cell r="J299">
            <v>-0.40000000000000036</v>
          </cell>
          <cell r="K299">
            <v>144.80000000000001</v>
          </cell>
          <cell r="L299">
            <v>133.80000000000001</v>
          </cell>
          <cell r="M299">
            <v>1.0822122571001496</v>
          </cell>
          <cell r="N299">
            <v>11.3</v>
          </cell>
          <cell r="O299">
            <v>11.8</v>
          </cell>
          <cell r="P299">
            <v>-0.5</v>
          </cell>
        </row>
        <row r="300">
          <cell r="A300" t="str">
            <v>1994:11</v>
          </cell>
          <cell r="B300">
            <v>175.02566325170051</v>
          </cell>
          <cell r="C300">
            <v>277.9065874341735</v>
          </cell>
          <cell r="D300">
            <v>0.62980033999071017</v>
          </cell>
          <cell r="E300">
            <v>175.02566325170051</v>
          </cell>
          <cell r="F300">
            <v>277.9065874341735</v>
          </cell>
          <cell r="G300">
            <v>0.62980033999071017</v>
          </cell>
          <cell r="H300">
            <v>10.9</v>
          </cell>
          <cell r="I300">
            <v>7.6</v>
          </cell>
          <cell r="J300">
            <v>3.3000000000000007</v>
          </cell>
          <cell r="K300">
            <v>145.4</v>
          </cell>
          <cell r="L300">
            <v>272.89999999999998</v>
          </cell>
          <cell r="M300">
            <v>0.53279589593257615</v>
          </cell>
          <cell r="N300">
            <v>11.2</v>
          </cell>
          <cell r="O300">
            <v>6.9</v>
          </cell>
          <cell r="P300">
            <v>4.2999999999999989</v>
          </cell>
        </row>
        <row r="301">
          <cell r="A301" t="str">
            <v>1994:12</v>
          </cell>
          <cell r="B301">
            <v>306.3225038998421</v>
          </cell>
          <cell r="C301">
            <v>363.68818352813111</v>
          </cell>
          <cell r="D301">
            <v>0.84226685873655338</v>
          </cell>
          <cell r="E301">
            <v>306.3225038998421</v>
          </cell>
          <cell r="F301">
            <v>363.68818352813111</v>
          </cell>
          <cell r="G301">
            <v>0.84226685873655338</v>
          </cell>
          <cell r="H301">
            <v>7</v>
          </cell>
          <cell r="I301">
            <v>4.8</v>
          </cell>
          <cell r="J301">
            <v>2.2000000000000002</v>
          </cell>
          <cell r="K301">
            <v>299.2</v>
          </cell>
          <cell r="L301">
            <v>363.6</v>
          </cell>
          <cell r="M301">
            <v>0.82288228822882281</v>
          </cell>
          <cell r="N301">
            <v>6.3</v>
          </cell>
          <cell r="O301">
            <v>4.3</v>
          </cell>
          <cell r="P301">
            <v>2</v>
          </cell>
        </row>
        <row r="302">
          <cell r="A302" t="str">
            <v>1995:1</v>
          </cell>
          <cell r="B302">
            <v>363.15502264715218</v>
          </cell>
          <cell r="C302">
            <v>392.91081774346333</v>
          </cell>
          <cell r="D302">
            <v>0.92426832310903917</v>
          </cell>
          <cell r="E302">
            <v>363.15502264715218</v>
          </cell>
          <cell r="F302">
            <v>392.91081774346333</v>
          </cell>
          <cell r="G302">
            <v>0.92426832310903917</v>
          </cell>
          <cell r="H302">
            <v>5</v>
          </cell>
          <cell r="I302">
            <v>4</v>
          </cell>
          <cell r="J302">
            <v>1</v>
          </cell>
          <cell r="K302">
            <v>329.9</v>
          </cell>
          <cell r="L302">
            <v>388.5</v>
          </cell>
          <cell r="M302">
            <v>0.8491634491634491</v>
          </cell>
          <cell r="N302">
            <v>5.4</v>
          </cell>
          <cell r="O302">
            <v>3.5</v>
          </cell>
          <cell r="P302">
            <v>1.9000000000000004</v>
          </cell>
        </row>
        <row r="303">
          <cell r="A303" t="str">
            <v>1995:2</v>
          </cell>
          <cell r="B303">
            <v>238.14894528891296</v>
          </cell>
          <cell r="C303">
            <v>331.22294910654443</v>
          </cell>
          <cell r="D303">
            <v>0.71899892785601527</v>
          </cell>
          <cell r="E303">
            <v>238.14894528891296</v>
          </cell>
          <cell r="F303">
            <v>331.22294910654443</v>
          </cell>
          <cell r="G303">
            <v>0.71899892785601527</v>
          </cell>
          <cell r="H303">
            <v>8.1</v>
          </cell>
          <cell r="I303">
            <v>5.0999999999999996</v>
          </cell>
          <cell r="J303">
            <v>3</v>
          </cell>
          <cell r="K303">
            <v>210</v>
          </cell>
          <cell r="L303">
            <v>326.10000000000002</v>
          </cell>
          <cell r="M303">
            <v>0.64397424103035872</v>
          </cell>
          <cell r="N303">
            <v>8.5</v>
          </cell>
          <cell r="O303">
            <v>4.5</v>
          </cell>
          <cell r="P303">
            <v>4</v>
          </cell>
        </row>
        <row r="304">
          <cell r="A304" t="str">
            <v>1995:3</v>
          </cell>
          <cell r="B304">
            <v>299.29388893697444</v>
          </cell>
          <cell r="C304">
            <v>270.29253185771751</v>
          </cell>
          <cell r="D304">
            <v>1.1072961834347805</v>
          </cell>
          <cell r="E304">
            <v>299.29388893697444</v>
          </cell>
          <cell r="F304">
            <v>270.29253185771751</v>
          </cell>
          <cell r="G304">
            <v>1.1072961834347805</v>
          </cell>
          <cell r="H304">
            <v>7</v>
          </cell>
          <cell r="I304">
            <v>7.3</v>
          </cell>
          <cell r="J304">
            <v>-0.29999999999999982</v>
          </cell>
          <cell r="K304">
            <v>281.60000000000002</v>
          </cell>
          <cell r="L304">
            <v>283.89999999999998</v>
          </cell>
          <cell r="M304">
            <v>0.99189855582951758</v>
          </cell>
          <cell r="N304">
            <v>6.9</v>
          </cell>
          <cell r="O304">
            <v>6.8</v>
          </cell>
          <cell r="P304">
            <v>0.10000000000000053</v>
          </cell>
        </row>
        <row r="305">
          <cell r="A305" t="str">
            <v>1995:4</v>
          </cell>
          <cell r="B305">
            <v>187.28984571859843</v>
          </cell>
          <cell r="C305">
            <v>198.63939385091356</v>
          </cell>
          <cell r="D305">
            <v>0.94286355836932623</v>
          </cell>
          <cell r="E305">
            <v>187.28984571859843</v>
          </cell>
          <cell r="F305">
            <v>198.63939385091356</v>
          </cell>
          <cell r="G305">
            <v>0.94286355836932623</v>
          </cell>
          <cell r="H305">
            <v>10.3</v>
          </cell>
          <cell r="I305">
            <v>9.9</v>
          </cell>
          <cell r="J305">
            <v>0.40000000000000036</v>
          </cell>
          <cell r="K305">
            <v>184.7</v>
          </cell>
          <cell r="L305">
            <v>190.3</v>
          </cell>
          <cell r="M305">
            <v>0.97057277982133461</v>
          </cell>
          <cell r="N305">
            <v>9.8000000000000007</v>
          </cell>
          <cell r="O305">
            <v>9.6999999999999993</v>
          </cell>
          <cell r="P305">
            <v>0.10000000000000142</v>
          </cell>
        </row>
        <row r="306">
          <cell r="A306" t="str">
            <v>1995:5</v>
          </cell>
          <cell r="B306">
            <v>89.811119879484039</v>
          </cell>
          <cell r="C306">
            <v>94.205291641343422</v>
          </cell>
          <cell r="D306">
            <v>0.9533553616224788</v>
          </cell>
          <cell r="E306">
            <v>89.811119879484039</v>
          </cell>
          <cell r="F306">
            <v>94.205291641343422</v>
          </cell>
          <cell r="G306">
            <v>0.9533553616224788</v>
          </cell>
          <cell r="H306">
            <v>14.3</v>
          </cell>
          <cell r="I306">
            <v>13.6</v>
          </cell>
          <cell r="J306">
            <v>0.70000000000000107</v>
          </cell>
          <cell r="K306">
            <v>77.099999999999994</v>
          </cell>
          <cell r="L306">
            <v>95</v>
          </cell>
          <cell r="M306">
            <v>0.81157894736842096</v>
          </cell>
          <cell r="N306">
            <v>14.3</v>
          </cell>
          <cell r="O306">
            <v>13.3</v>
          </cell>
          <cell r="P306">
            <v>1</v>
          </cell>
        </row>
        <row r="307">
          <cell r="A307" t="str">
            <v>1995:6</v>
          </cell>
          <cell r="B307">
            <v>48.86801015048345</v>
          </cell>
          <cell r="C307">
            <v>33.639009300779129</v>
          </cell>
          <cell r="D307">
            <v>1.4527184707949052</v>
          </cell>
          <cell r="E307">
            <v>0</v>
          </cell>
          <cell r="F307">
            <v>0</v>
          </cell>
          <cell r="G307">
            <v>1</v>
          </cell>
          <cell r="H307">
            <v>16.7</v>
          </cell>
          <cell r="I307">
            <v>16.8</v>
          </cell>
          <cell r="J307">
            <v>-0.10000000000000142</v>
          </cell>
          <cell r="K307">
            <v>43.1</v>
          </cell>
          <cell r="L307">
            <v>31.5</v>
          </cell>
          <cell r="M307">
            <v>1.3682539682539683</v>
          </cell>
          <cell r="N307">
            <v>16.399999999999999</v>
          </cell>
          <cell r="O307">
            <v>16.399999999999999</v>
          </cell>
          <cell r="P307">
            <v>0</v>
          </cell>
        </row>
        <row r="308">
          <cell r="A308" t="str">
            <v>1995:7</v>
          </cell>
          <cell r="B308">
            <v>1.2947204361978828</v>
          </cell>
          <cell r="C308">
            <v>9.8992241828118033</v>
          </cell>
          <cell r="D308">
            <v>0.13079009145443221</v>
          </cell>
          <cell r="E308">
            <v>0</v>
          </cell>
          <cell r="F308">
            <v>0</v>
          </cell>
          <cell r="G308">
            <v>1</v>
          </cell>
          <cell r="H308">
            <v>21.7</v>
          </cell>
          <cell r="I308">
            <v>19.2</v>
          </cell>
          <cell r="J308">
            <v>2.5</v>
          </cell>
          <cell r="K308">
            <v>0</v>
          </cell>
          <cell r="L308">
            <v>8.9</v>
          </cell>
          <cell r="M308">
            <v>0</v>
          </cell>
          <cell r="N308">
            <v>21.7</v>
          </cell>
          <cell r="O308">
            <v>18.399999999999999</v>
          </cell>
          <cell r="P308">
            <v>3.3000000000000007</v>
          </cell>
        </row>
        <row r="309">
          <cell r="A309" t="str">
            <v>1995:8</v>
          </cell>
          <cell r="B309">
            <v>6.0171616788191127</v>
          </cell>
          <cell r="C309">
            <v>9.4425505166936539</v>
          </cell>
          <cell r="D309">
            <v>0.63723902436966207</v>
          </cell>
          <cell r="E309">
            <v>0</v>
          </cell>
          <cell r="F309">
            <v>0</v>
          </cell>
          <cell r="G309">
            <v>1</v>
          </cell>
          <cell r="H309">
            <v>20.7</v>
          </cell>
          <cell r="I309">
            <v>18.899999999999999</v>
          </cell>
          <cell r="J309">
            <v>1.8000000000000007</v>
          </cell>
          <cell r="K309">
            <v>3.4</v>
          </cell>
          <cell r="L309">
            <v>9.1</v>
          </cell>
          <cell r="M309">
            <v>0.37362637362637363</v>
          </cell>
          <cell r="N309">
            <v>21.1</v>
          </cell>
          <cell r="O309">
            <v>18.2</v>
          </cell>
          <cell r="P309">
            <v>2.9000000000000021</v>
          </cell>
        </row>
        <row r="310">
          <cell r="A310" t="str">
            <v>1995:9</v>
          </cell>
          <cell r="B310">
            <v>62.157814245418052</v>
          </cell>
          <cell r="C310">
            <v>43.697695496746512</v>
          </cell>
          <cell r="D310">
            <v>1.4224506244281458</v>
          </cell>
          <cell r="E310">
            <v>0</v>
          </cell>
          <cell r="F310">
            <v>0</v>
          </cell>
          <cell r="G310">
            <v>1</v>
          </cell>
          <cell r="H310">
            <v>14.7</v>
          </cell>
          <cell r="I310">
            <v>16.5</v>
          </cell>
          <cell r="J310">
            <v>-1.8000000000000007</v>
          </cell>
          <cell r="K310">
            <v>48.2</v>
          </cell>
          <cell r="L310">
            <v>39.4</v>
          </cell>
          <cell r="M310">
            <v>1.2233502538071068</v>
          </cell>
          <cell r="N310">
            <v>14.7</v>
          </cell>
          <cell r="O310">
            <v>15.7</v>
          </cell>
          <cell r="P310">
            <v>-1</v>
          </cell>
        </row>
        <row r="311">
          <cell r="A311" t="str">
            <v>1995:10</v>
          </cell>
          <cell r="B311">
            <v>58.614930851230632</v>
          </cell>
          <cell r="C311">
            <v>132.10004667845612</v>
          </cell>
          <cell r="D311">
            <v>0.44371620090267538</v>
          </cell>
          <cell r="E311">
            <v>58.614930851230632</v>
          </cell>
          <cell r="F311">
            <v>132.10004667845612</v>
          </cell>
          <cell r="G311">
            <v>0.44371620090267538</v>
          </cell>
          <cell r="H311">
            <v>15</v>
          </cell>
          <cell r="I311">
            <v>12.6</v>
          </cell>
          <cell r="J311">
            <v>2.4000000000000004</v>
          </cell>
          <cell r="K311">
            <v>58.5</v>
          </cell>
          <cell r="L311">
            <v>133.80000000000001</v>
          </cell>
          <cell r="M311">
            <v>0.43721973094170402</v>
          </cell>
          <cell r="N311">
            <v>14.4</v>
          </cell>
          <cell r="O311">
            <v>11.8</v>
          </cell>
          <cell r="P311">
            <v>2.5999999999999996</v>
          </cell>
        </row>
        <row r="312">
          <cell r="A312" t="str">
            <v>1995:11</v>
          </cell>
          <cell r="B312">
            <v>266.8483020877452</v>
          </cell>
          <cell r="C312">
            <v>277.9065874341735</v>
          </cell>
          <cell r="D312">
            <v>0.96020862460107159</v>
          </cell>
          <cell r="E312">
            <v>266.8483020877452</v>
          </cell>
          <cell r="F312">
            <v>277.9065874341735</v>
          </cell>
          <cell r="G312">
            <v>0.96020862460107159</v>
          </cell>
          <cell r="H312">
            <v>7.8</v>
          </cell>
          <cell r="I312">
            <v>7.6</v>
          </cell>
          <cell r="J312">
            <v>0.20000000000000018</v>
          </cell>
          <cell r="K312">
            <v>255.8</v>
          </cell>
          <cell r="L312">
            <v>272.89999999999998</v>
          </cell>
          <cell r="M312">
            <v>0.93733968486625152</v>
          </cell>
          <cell r="N312">
            <v>7.5</v>
          </cell>
          <cell r="O312">
            <v>6.9</v>
          </cell>
          <cell r="P312">
            <v>0.59999999999999964</v>
          </cell>
        </row>
        <row r="313">
          <cell r="A313" t="str">
            <v>1995:12</v>
          </cell>
          <cell r="B313">
            <v>393.29099670368606</v>
          </cell>
          <cell r="C313">
            <v>363.68818352813111</v>
          </cell>
          <cell r="D313">
            <v>1.0813961369005138</v>
          </cell>
          <cell r="E313">
            <v>393.29099670368606</v>
          </cell>
          <cell r="F313">
            <v>363.68818352813111</v>
          </cell>
          <cell r="G313">
            <v>1.0813961369005138</v>
          </cell>
          <cell r="H313">
            <v>4.3</v>
          </cell>
          <cell r="I313">
            <v>4.8</v>
          </cell>
          <cell r="J313">
            <v>-0.5</v>
          </cell>
          <cell r="K313">
            <v>397.6</v>
          </cell>
          <cell r="L313">
            <v>363.6</v>
          </cell>
          <cell r="M313">
            <v>1.0935093509350935</v>
          </cell>
          <cell r="N313">
            <v>3.2</v>
          </cell>
          <cell r="O313">
            <v>4.3</v>
          </cell>
          <cell r="P313">
            <v>-1.0999999999999996</v>
          </cell>
        </row>
        <row r="314">
          <cell r="A314" t="str">
            <v>1996:1</v>
          </cell>
          <cell r="B314">
            <v>354.81027331234907</v>
          </cell>
          <cell r="C314">
            <v>392.91081774346333</v>
          </cell>
          <cell r="D314">
            <v>0.90303004470599579</v>
          </cell>
          <cell r="E314">
            <v>354.81027331234907</v>
          </cell>
          <cell r="F314">
            <v>392.91081774346333</v>
          </cell>
          <cell r="G314">
            <v>0.90303004470599579</v>
          </cell>
          <cell r="H314">
            <v>5.4</v>
          </cell>
          <cell r="I314">
            <v>4</v>
          </cell>
          <cell r="J314">
            <v>1.4000000000000004</v>
          </cell>
          <cell r="K314">
            <v>382.3</v>
          </cell>
          <cell r="L314">
            <v>388.5</v>
          </cell>
          <cell r="M314">
            <v>0.98404118404118412</v>
          </cell>
          <cell r="N314">
            <v>3.7</v>
          </cell>
          <cell r="O314">
            <v>3.5</v>
          </cell>
          <cell r="P314">
            <v>0.20000000000000018</v>
          </cell>
        </row>
        <row r="315">
          <cell r="A315" t="str">
            <v>1996:2</v>
          </cell>
          <cell r="B315">
            <v>388.75273686334003</v>
          </cell>
          <cell r="C315">
            <v>331.22294910654443</v>
          </cell>
          <cell r="D315">
            <v>1.1736890149428927</v>
          </cell>
          <cell r="E315">
            <v>388.75273686334003</v>
          </cell>
          <cell r="F315">
            <v>331.22294910654443</v>
          </cell>
          <cell r="G315">
            <v>1.1736890149428927</v>
          </cell>
          <cell r="H315">
            <v>3.4</v>
          </cell>
          <cell r="I315">
            <v>5.0999999999999996</v>
          </cell>
          <cell r="J315">
            <v>-1.6999999999999997</v>
          </cell>
          <cell r="K315">
            <v>384.4</v>
          </cell>
          <cell r="L315">
            <v>326.10000000000002</v>
          </cell>
          <cell r="M315">
            <v>1.178779515486047</v>
          </cell>
          <cell r="N315">
            <v>2.7</v>
          </cell>
          <cell r="O315">
            <v>4.5</v>
          </cell>
          <cell r="P315">
            <v>-1.7999999999999998</v>
          </cell>
        </row>
        <row r="316">
          <cell r="A316" t="str">
            <v>1996:3</v>
          </cell>
          <cell r="B316">
            <v>312.45702835749336</v>
          </cell>
          <cell r="C316">
            <v>270.29253185771751</v>
          </cell>
          <cell r="D316">
            <v>1.1559957880078289</v>
          </cell>
          <cell r="E316">
            <v>312.45702835749336</v>
          </cell>
          <cell r="F316">
            <v>270.29253185771751</v>
          </cell>
          <cell r="G316">
            <v>1.1559957880078289</v>
          </cell>
          <cell r="H316">
            <v>6.5</v>
          </cell>
          <cell r="I316">
            <v>7.3</v>
          </cell>
          <cell r="J316">
            <v>-0.79999999999999982</v>
          </cell>
          <cell r="K316">
            <v>306.60000000000002</v>
          </cell>
          <cell r="L316">
            <v>283.89999999999998</v>
          </cell>
          <cell r="M316">
            <v>1.0799577315956324</v>
          </cell>
          <cell r="N316">
            <v>6.1</v>
          </cell>
          <cell r="O316">
            <v>6.8</v>
          </cell>
          <cell r="P316">
            <v>-0.70000000000000018</v>
          </cell>
        </row>
        <row r="317">
          <cell r="A317" t="str">
            <v>1996:4</v>
          </cell>
          <cell r="B317">
            <v>177.95393019750458</v>
          </cell>
          <cell r="C317">
            <v>198.63939385091356</v>
          </cell>
          <cell r="D317">
            <v>0.89586424297622347</v>
          </cell>
          <cell r="E317">
            <v>177.95393019750458</v>
          </cell>
          <cell r="F317">
            <v>198.63939385091356</v>
          </cell>
          <cell r="G317">
            <v>0.89586424297622347</v>
          </cell>
          <cell r="H317">
            <v>10.7</v>
          </cell>
          <cell r="I317">
            <v>9.9</v>
          </cell>
          <cell r="J317">
            <v>0.79999999999999893</v>
          </cell>
          <cell r="K317">
            <v>166.7</v>
          </cell>
          <cell r="L317">
            <v>190.3</v>
          </cell>
          <cell r="M317">
            <v>0.87598528638991058</v>
          </cell>
          <cell r="N317">
            <v>10.7</v>
          </cell>
          <cell r="O317">
            <v>9.6999999999999993</v>
          </cell>
          <cell r="P317">
            <v>1</v>
          </cell>
        </row>
        <row r="318">
          <cell r="A318" t="str">
            <v>1996:5</v>
          </cell>
          <cell r="B318">
            <v>126.23695520613647</v>
          </cell>
          <cell r="C318">
            <v>94.205291641343422</v>
          </cell>
          <cell r="D318">
            <v>1.3400197908918257</v>
          </cell>
          <cell r="E318">
            <v>126.23695520613647</v>
          </cell>
          <cell r="F318">
            <v>94.205291641343422</v>
          </cell>
          <cell r="G318">
            <v>1.3400197908918257</v>
          </cell>
          <cell r="H318">
            <v>12.9</v>
          </cell>
          <cell r="I318">
            <v>13.6</v>
          </cell>
          <cell r="J318">
            <v>-0.69999999999999929</v>
          </cell>
          <cell r="K318">
            <v>133.5</v>
          </cell>
          <cell r="L318">
            <v>95</v>
          </cell>
          <cell r="M318">
            <v>1.4052631578947368</v>
          </cell>
          <cell r="N318">
            <v>12.1</v>
          </cell>
          <cell r="O318">
            <v>13.3</v>
          </cell>
          <cell r="P318">
            <v>-1.2000000000000011</v>
          </cell>
        </row>
        <row r="319">
          <cell r="A319" t="str">
            <v>1996:6</v>
          </cell>
          <cell r="B319">
            <v>24.805854099381907</v>
          </cell>
          <cell r="C319">
            <v>33.639009300779129</v>
          </cell>
          <cell r="D319">
            <v>0.73741333692628597</v>
          </cell>
          <cell r="E319">
            <v>0</v>
          </cell>
          <cell r="F319">
            <v>0</v>
          </cell>
          <cell r="G319">
            <v>1</v>
          </cell>
          <cell r="H319">
            <v>18.2</v>
          </cell>
          <cell r="I319">
            <v>16.8</v>
          </cell>
          <cell r="J319">
            <v>1.3999999999999986</v>
          </cell>
          <cell r="K319">
            <v>15.7</v>
          </cell>
          <cell r="L319">
            <v>31.5</v>
          </cell>
          <cell r="M319">
            <v>0.49841269841269836</v>
          </cell>
          <cell r="N319">
            <v>18.100000000000001</v>
          </cell>
          <cell r="O319">
            <v>16.399999999999999</v>
          </cell>
          <cell r="P319">
            <v>1.7000000000000028</v>
          </cell>
        </row>
        <row r="320">
          <cell r="A320" t="str">
            <v>1996:7</v>
          </cell>
          <cell r="B320">
            <v>14.239297187662102</v>
          </cell>
          <cell r="C320">
            <v>9.8992241828118033</v>
          </cell>
          <cell r="D320">
            <v>1.4384255699942672</v>
          </cell>
          <cell r="E320">
            <v>0</v>
          </cell>
          <cell r="F320">
            <v>0</v>
          </cell>
          <cell r="G320">
            <v>1</v>
          </cell>
          <cell r="H320">
            <v>19.2</v>
          </cell>
          <cell r="I320">
            <v>19.2</v>
          </cell>
          <cell r="J320">
            <v>0</v>
          </cell>
          <cell r="K320">
            <v>6.7</v>
          </cell>
          <cell r="L320">
            <v>8.9</v>
          </cell>
          <cell r="M320">
            <v>0.7528089887640449</v>
          </cell>
          <cell r="N320">
            <v>18.899999999999999</v>
          </cell>
          <cell r="O320">
            <v>18.399999999999999</v>
          </cell>
          <cell r="P320">
            <v>0.5</v>
          </cell>
        </row>
        <row r="321">
          <cell r="A321" t="str">
            <v>1996:8</v>
          </cell>
          <cell r="B321">
            <v>8.9890885823167235</v>
          </cell>
          <cell r="C321">
            <v>9.4425505166936539</v>
          </cell>
          <cell r="D321">
            <v>0.95197675314786545</v>
          </cell>
          <cell r="E321">
            <v>0</v>
          </cell>
          <cell r="F321">
            <v>0</v>
          </cell>
          <cell r="G321">
            <v>1</v>
          </cell>
          <cell r="H321">
            <v>18.7</v>
          </cell>
          <cell r="I321">
            <v>18.899999999999999</v>
          </cell>
          <cell r="J321">
            <v>-0.19999999999999929</v>
          </cell>
          <cell r="K321">
            <v>2.6</v>
          </cell>
          <cell r="L321">
            <v>9.1</v>
          </cell>
          <cell r="M321">
            <v>0.28571428571428575</v>
          </cell>
          <cell r="N321">
            <v>18.8</v>
          </cell>
          <cell r="O321">
            <v>18.2</v>
          </cell>
          <cell r="P321">
            <v>0.60000000000000142</v>
          </cell>
        </row>
        <row r="322">
          <cell r="A322" t="str">
            <v>1996:9</v>
          </cell>
          <cell r="B322">
            <v>75.459285114535348</v>
          </cell>
          <cell r="C322">
            <v>43.697695496746512</v>
          </cell>
          <cell r="D322">
            <v>1.7268481611382374</v>
          </cell>
          <cell r="E322">
            <v>0</v>
          </cell>
          <cell r="F322">
            <v>0</v>
          </cell>
          <cell r="G322">
            <v>1</v>
          </cell>
          <cell r="H322">
            <v>14.4</v>
          </cell>
          <cell r="I322">
            <v>16.5</v>
          </cell>
          <cell r="J322">
            <v>-2.0999999999999996</v>
          </cell>
          <cell r="K322">
            <v>63.5</v>
          </cell>
          <cell r="L322">
            <v>39.4</v>
          </cell>
          <cell r="M322">
            <v>1.6116751269035534</v>
          </cell>
          <cell r="N322">
            <v>14</v>
          </cell>
          <cell r="O322">
            <v>15.7</v>
          </cell>
          <cell r="P322">
            <v>-1.6999999999999993</v>
          </cell>
        </row>
        <row r="323">
          <cell r="A323" t="str">
            <v>1996:10</v>
          </cell>
          <cell r="B323">
            <v>134.94628378307371</v>
          </cell>
          <cell r="C323">
            <v>132.10004667845612</v>
          </cell>
          <cell r="D323">
            <v>1.0215460719067389</v>
          </cell>
          <cell r="E323">
            <v>134.94628378307371</v>
          </cell>
          <cell r="F323">
            <v>132.10004667845612</v>
          </cell>
          <cell r="G323">
            <v>1.0215460719067389</v>
          </cell>
          <cell r="H323">
            <v>12.2</v>
          </cell>
          <cell r="I323">
            <v>12.6</v>
          </cell>
          <cell r="J323">
            <v>-0.40000000000000036</v>
          </cell>
          <cell r="K323">
            <v>130.30000000000001</v>
          </cell>
          <cell r="L323">
            <v>133.80000000000001</v>
          </cell>
          <cell r="M323">
            <v>0.97384155455904331</v>
          </cell>
          <cell r="N323">
            <v>11.8</v>
          </cell>
          <cell r="O323">
            <v>11.8</v>
          </cell>
          <cell r="P323">
            <v>0</v>
          </cell>
        </row>
        <row r="324">
          <cell r="A324" t="str">
            <v>1996:11</v>
          </cell>
          <cell r="B324">
            <v>283.92131988326065</v>
          </cell>
          <cell r="C324">
            <v>277.9065874341735</v>
          </cell>
          <cell r="D324">
            <v>1.0216430006378019</v>
          </cell>
          <cell r="E324">
            <v>283.92131988326065</v>
          </cell>
          <cell r="F324">
            <v>277.9065874341735</v>
          </cell>
          <cell r="G324">
            <v>1.0216430006378019</v>
          </cell>
          <cell r="H324">
            <v>7.4</v>
          </cell>
          <cell r="I324">
            <v>7.6</v>
          </cell>
          <cell r="J324">
            <v>-0.19999999999999929</v>
          </cell>
          <cell r="K324">
            <v>273.5</v>
          </cell>
          <cell r="L324">
            <v>272.89999999999998</v>
          </cell>
          <cell r="M324">
            <v>1.0021986075485527</v>
          </cell>
          <cell r="N324">
            <v>6.9</v>
          </cell>
          <cell r="O324">
            <v>6.9</v>
          </cell>
          <cell r="P324">
            <v>0</v>
          </cell>
        </row>
        <row r="325">
          <cell r="A325" t="str">
            <v>1996:12</v>
          </cell>
          <cell r="B325">
            <v>413.18230456508587</v>
          </cell>
          <cell r="C325">
            <v>363.68818352813111</v>
          </cell>
          <cell r="D325">
            <v>1.1360894394665599</v>
          </cell>
          <cell r="E325">
            <v>413.18230456508587</v>
          </cell>
          <cell r="F325">
            <v>363.68818352813111</v>
          </cell>
          <cell r="G325">
            <v>1.1360894394665599</v>
          </cell>
          <cell r="H325">
            <v>3.7</v>
          </cell>
          <cell r="I325">
            <v>4.8</v>
          </cell>
          <cell r="J325">
            <v>-1.0999999999999996</v>
          </cell>
          <cell r="K325">
            <v>424.5</v>
          </cell>
          <cell r="L325">
            <v>363.6</v>
          </cell>
          <cell r="M325">
            <v>1.1674917491749175</v>
          </cell>
          <cell r="N325">
            <v>2.2999999999999998</v>
          </cell>
          <cell r="O325">
            <v>4.3</v>
          </cell>
          <cell r="P325">
            <v>-2</v>
          </cell>
        </row>
        <row r="326">
          <cell r="A326" t="str">
            <v>1997:1</v>
          </cell>
          <cell r="B326">
            <v>459.21475688542046</v>
          </cell>
          <cell r="C326">
            <v>392.91081774346333</v>
          </cell>
          <cell r="D326">
            <v>1.168750607384009</v>
          </cell>
          <cell r="E326">
            <v>459.21475688542046</v>
          </cell>
          <cell r="F326">
            <v>392.91081774346333</v>
          </cell>
          <cell r="G326">
            <v>1.168750607384009</v>
          </cell>
          <cell r="H326">
            <v>2.2000000000000002</v>
          </cell>
          <cell r="I326">
            <v>4</v>
          </cell>
          <cell r="J326">
            <v>-1.7999999999999998</v>
          </cell>
          <cell r="K326">
            <v>486.8</v>
          </cell>
          <cell r="L326">
            <v>388.5</v>
          </cell>
          <cell r="M326">
            <v>1.253024453024453</v>
          </cell>
          <cell r="N326">
            <v>0.3</v>
          </cell>
          <cell r="O326">
            <v>3.5</v>
          </cell>
          <cell r="P326">
            <v>-3.2</v>
          </cell>
        </row>
        <row r="327">
          <cell r="A327" t="str">
            <v>1997:2</v>
          </cell>
          <cell r="B327">
            <v>257.86401505800018</v>
          </cell>
          <cell r="C327">
            <v>331.22294910654443</v>
          </cell>
          <cell r="D327">
            <v>0.77852098036556372</v>
          </cell>
          <cell r="E327">
            <v>257.86401505800018</v>
          </cell>
          <cell r="F327">
            <v>331.22294910654443</v>
          </cell>
          <cell r="G327">
            <v>0.77852098036556372</v>
          </cell>
          <cell r="H327">
            <v>7.5</v>
          </cell>
          <cell r="I327">
            <v>5.0999999999999996</v>
          </cell>
          <cell r="J327">
            <v>2.4000000000000004</v>
          </cell>
          <cell r="K327">
            <v>237.8</v>
          </cell>
          <cell r="L327">
            <v>326.10000000000002</v>
          </cell>
          <cell r="M327">
            <v>0.72922416436675863</v>
          </cell>
          <cell r="N327">
            <v>7.5</v>
          </cell>
          <cell r="O327">
            <v>4.5</v>
          </cell>
          <cell r="P327">
            <v>3</v>
          </cell>
        </row>
        <row r="328">
          <cell r="A328" t="str">
            <v>1997:3</v>
          </cell>
          <cell r="B328">
            <v>206.56685638678232</v>
          </cell>
          <cell r="C328">
            <v>270.29253185771751</v>
          </cell>
          <cell r="D328">
            <v>0.76423442026699984</v>
          </cell>
          <cell r="E328">
            <v>206.56685638678232</v>
          </cell>
          <cell r="F328">
            <v>270.29253185771751</v>
          </cell>
          <cell r="G328">
            <v>0.76423442026699984</v>
          </cell>
          <cell r="H328">
            <v>9.9</v>
          </cell>
          <cell r="I328">
            <v>7.3</v>
          </cell>
          <cell r="J328">
            <v>2.6000000000000005</v>
          </cell>
          <cell r="K328">
            <v>191.6</v>
          </cell>
          <cell r="L328">
            <v>283.89999999999998</v>
          </cell>
          <cell r="M328">
            <v>0.67488552307150407</v>
          </cell>
          <cell r="N328">
            <v>9.8000000000000007</v>
          </cell>
          <cell r="O328">
            <v>6.8</v>
          </cell>
          <cell r="P328">
            <v>3.0000000000000009</v>
          </cell>
        </row>
        <row r="329">
          <cell r="A329" t="str">
            <v>1997:4</v>
          </cell>
          <cell r="B329">
            <v>185.5523972649967</v>
          </cell>
          <cell r="C329">
            <v>198.63939385091356</v>
          </cell>
          <cell r="D329">
            <v>0.93411681171490513</v>
          </cell>
          <cell r="E329">
            <v>185.5523972649967</v>
          </cell>
          <cell r="F329">
            <v>198.63939385091356</v>
          </cell>
          <cell r="G329">
            <v>0.93411681171490513</v>
          </cell>
          <cell r="H329">
            <v>10.6</v>
          </cell>
          <cell r="I329">
            <v>9.9</v>
          </cell>
          <cell r="J329">
            <v>0.69999999999999929</v>
          </cell>
          <cell r="K329">
            <v>180.4</v>
          </cell>
          <cell r="L329">
            <v>190.3</v>
          </cell>
          <cell r="M329">
            <v>0.94797687861271673</v>
          </cell>
          <cell r="N329">
            <v>10</v>
          </cell>
          <cell r="O329">
            <v>9.6999999999999993</v>
          </cell>
          <cell r="P329">
            <v>0.30000000000000071</v>
          </cell>
        </row>
        <row r="330">
          <cell r="A330" t="str">
            <v>1997:5</v>
          </cell>
          <cell r="B330">
            <v>73.99341130169411</v>
          </cell>
          <cell r="C330">
            <v>94.205291641343422</v>
          </cell>
          <cell r="D330">
            <v>0.78544856676841901</v>
          </cell>
          <cell r="E330">
            <v>73.99341130169411</v>
          </cell>
          <cell r="F330">
            <v>94.205291641343422</v>
          </cell>
          <cell r="G330">
            <v>0.78544856676841901</v>
          </cell>
          <cell r="H330">
            <v>14.9</v>
          </cell>
          <cell r="I330">
            <v>13.6</v>
          </cell>
          <cell r="J330">
            <v>1.3000000000000007</v>
          </cell>
          <cell r="K330">
            <v>64.599999999999994</v>
          </cell>
          <cell r="L330">
            <v>95</v>
          </cell>
          <cell r="M330">
            <v>0.67999999999999994</v>
          </cell>
          <cell r="N330">
            <v>14.5</v>
          </cell>
          <cell r="O330">
            <v>13.3</v>
          </cell>
          <cell r="P330">
            <v>1.1999999999999993</v>
          </cell>
        </row>
        <row r="331">
          <cell r="A331" t="str">
            <v>1997:6</v>
          </cell>
          <cell r="B331">
            <v>27.834418597775958</v>
          </cell>
          <cell r="C331">
            <v>33.639009300779129</v>
          </cell>
          <cell r="D331">
            <v>0.82744465952899726</v>
          </cell>
          <cell r="E331">
            <v>0</v>
          </cell>
          <cell r="F331">
            <v>0</v>
          </cell>
          <cell r="G331">
            <v>1</v>
          </cell>
          <cell r="H331">
            <v>17.100000000000001</v>
          </cell>
          <cell r="I331">
            <v>16.8</v>
          </cell>
          <cell r="J331">
            <v>0.30000000000000071</v>
          </cell>
          <cell r="K331">
            <v>17.3</v>
          </cell>
          <cell r="L331">
            <v>31.5</v>
          </cell>
          <cell r="M331">
            <v>0.54920634920634925</v>
          </cell>
          <cell r="N331">
            <v>17</v>
          </cell>
          <cell r="O331">
            <v>16.399999999999999</v>
          </cell>
          <cell r="P331">
            <v>0.60000000000000142</v>
          </cell>
        </row>
        <row r="332">
          <cell r="A332" t="str">
            <v>1997:7</v>
          </cell>
          <cell r="B332">
            <v>8.7222161860385938</v>
          </cell>
          <cell r="C332">
            <v>9.8992241828118033</v>
          </cell>
          <cell r="D332">
            <v>0.88110098579069773</v>
          </cell>
          <cell r="E332">
            <v>0</v>
          </cell>
          <cell r="F332">
            <v>0</v>
          </cell>
          <cell r="G332">
            <v>1</v>
          </cell>
          <cell r="H332">
            <v>19.100000000000001</v>
          </cell>
          <cell r="I332">
            <v>19.2</v>
          </cell>
          <cell r="J332">
            <v>-9.9999999999997868E-2</v>
          </cell>
          <cell r="K332">
            <v>4.8</v>
          </cell>
          <cell r="L332">
            <v>8.9</v>
          </cell>
          <cell r="M332">
            <v>0.5393258426966292</v>
          </cell>
          <cell r="N332">
            <v>18.899999999999999</v>
          </cell>
          <cell r="O332">
            <v>18.399999999999999</v>
          </cell>
          <cell r="P332">
            <v>0.5</v>
          </cell>
        </row>
        <row r="333">
          <cell r="A333" t="str">
            <v>1997:8</v>
          </cell>
          <cell r="B333">
            <v>0.84628837564666637</v>
          </cell>
          <cell r="C333">
            <v>9.4425505166936539</v>
          </cell>
          <cell r="D333">
            <v>8.9624977292999175E-2</v>
          </cell>
          <cell r="E333">
            <v>0</v>
          </cell>
          <cell r="F333">
            <v>0</v>
          </cell>
          <cell r="G333">
            <v>1</v>
          </cell>
          <cell r="H333">
            <v>21.9</v>
          </cell>
          <cell r="I333">
            <v>18.899999999999999</v>
          </cell>
          <cell r="J333">
            <v>3</v>
          </cell>
          <cell r="K333">
            <v>0</v>
          </cell>
          <cell r="L333">
            <v>9.1</v>
          </cell>
          <cell r="M333">
            <v>0</v>
          </cell>
          <cell r="N333">
            <v>22.7</v>
          </cell>
          <cell r="O333">
            <v>18.2</v>
          </cell>
          <cell r="P333">
            <v>4.5</v>
          </cell>
        </row>
        <row r="334">
          <cell r="A334" t="str">
            <v>1997:9</v>
          </cell>
          <cell r="B334">
            <v>24.011973411095774</v>
          </cell>
          <cell r="C334">
            <v>43.697695496746512</v>
          </cell>
          <cell r="D334">
            <v>0.54950205355528581</v>
          </cell>
          <cell r="E334">
            <v>0</v>
          </cell>
          <cell r="F334">
            <v>0</v>
          </cell>
          <cell r="G334">
            <v>1</v>
          </cell>
          <cell r="H334">
            <v>17.2</v>
          </cell>
          <cell r="I334">
            <v>16.5</v>
          </cell>
          <cell r="J334">
            <v>0.69999999999999929</v>
          </cell>
          <cell r="K334">
            <v>16.399999999999999</v>
          </cell>
          <cell r="L334">
            <v>39.4</v>
          </cell>
          <cell r="M334">
            <v>0.416243654822335</v>
          </cell>
          <cell r="N334">
            <v>16.600000000000001</v>
          </cell>
          <cell r="O334">
            <v>15.7</v>
          </cell>
          <cell r="P334">
            <v>0.90000000000000213</v>
          </cell>
        </row>
        <row r="335">
          <cell r="A335" t="str">
            <v>1997:10</v>
          </cell>
          <cell r="B335">
            <v>144.53013392028271</v>
          </cell>
          <cell r="C335">
            <v>132.10004667845612</v>
          </cell>
          <cell r="D335">
            <v>1.0940960094592742</v>
          </cell>
          <cell r="E335">
            <v>144.53013392028271</v>
          </cell>
          <cell r="F335">
            <v>132.10004667845612</v>
          </cell>
          <cell r="G335">
            <v>1.0940960094592742</v>
          </cell>
          <cell r="H335">
            <v>12.5</v>
          </cell>
          <cell r="I335">
            <v>12.6</v>
          </cell>
          <cell r="J335">
            <v>-9.9999999999999645E-2</v>
          </cell>
          <cell r="K335">
            <v>153.4</v>
          </cell>
          <cell r="L335">
            <v>133.80000000000001</v>
          </cell>
          <cell r="M335">
            <v>1.1464872944693572</v>
          </cell>
          <cell r="N335">
            <v>11.4</v>
          </cell>
          <cell r="O335">
            <v>11.8</v>
          </cell>
          <cell r="P335">
            <v>-0.40000000000000036</v>
          </cell>
        </row>
        <row r="336">
          <cell r="A336" t="str">
            <v>1997:11</v>
          </cell>
          <cell r="B336">
            <v>235.50907037522137</v>
          </cell>
          <cell r="C336">
            <v>277.9065874341735</v>
          </cell>
          <cell r="D336">
            <v>0.84743968305898953</v>
          </cell>
          <cell r="E336">
            <v>235.50907037522137</v>
          </cell>
          <cell r="F336">
            <v>277.9065874341735</v>
          </cell>
          <cell r="G336">
            <v>0.84743968305898953</v>
          </cell>
          <cell r="H336">
            <v>8.8000000000000007</v>
          </cell>
          <cell r="I336">
            <v>7.6</v>
          </cell>
          <cell r="J336">
            <v>1.2000000000000011</v>
          </cell>
          <cell r="K336">
            <v>217.3</v>
          </cell>
          <cell r="L336">
            <v>272.89999999999998</v>
          </cell>
          <cell r="M336">
            <v>0.79626236716746068</v>
          </cell>
          <cell r="N336">
            <v>8.8000000000000007</v>
          </cell>
          <cell r="O336">
            <v>6.9</v>
          </cell>
          <cell r="P336">
            <v>1.9000000000000004</v>
          </cell>
        </row>
        <row r="337">
          <cell r="A337" t="str">
            <v>1997:12</v>
          </cell>
          <cell r="B337">
            <v>332.15446099982756</v>
          </cell>
          <cell r="C337">
            <v>363.68818352813111</v>
          </cell>
          <cell r="D337">
            <v>0.91329461897168174</v>
          </cell>
          <cell r="E337">
            <v>332.15446099982756</v>
          </cell>
          <cell r="F337">
            <v>363.68818352813111</v>
          </cell>
          <cell r="G337">
            <v>0.91329461897168174</v>
          </cell>
          <cell r="H337">
            <v>6.1</v>
          </cell>
          <cell r="I337">
            <v>4.8</v>
          </cell>
          <cell r="J337">
            <v>1.2999999999999998</v>
          </cell>
          <cell r="K337">
            <v>301.8</v>
          </cell>
          <cell r="L337">
            <v>363.6</v>
          </cell>
          <cell r="M337">
            <v>0.83003300330033003</v>
          </cell>
          <cell r="N337">
            <v>6.3</v>
          </cell>
          <cell r="O337">
            <v>4.3</v>
          </cell>
          <cell r="P337">
            <v>2</v>
          </cell>
        </row>
        <row r="338">
          <cell r="A338" t="str">
            <v>1998:1</v>
          </cell>
          <cell r="B338">
            <v>352.21929558218403</v>
          </cell>
          <cell r="C338">
            <v>392.91081774346333</v>
          </cell>
          <cell r="D338">
            <v>0.89643572962695228</v>
          </cell>
          <cell r="E338">
            <v>352.21929558218403</v>
          </cell>
          <cell r="F338">
            <v>392.91081774346333</v>
          </cell>
          <cell r="G338">
            <v>0.89643572962695228</v>
          </cell>
          <cell r="H338">
            <v>5.4</v>
          </cell>
          <cell r="I338">
            <v>4</v>
          </cell>
          <cell r="J338">
            <v>1.4000000000000004</v>
          </cell>
          <cell r="K338">
            <v>340.5</v>
          </cell>
          <cell r="L338">
            <v>388.5</v>
          </cell>
          <cell r="M338">
            <v>0.87644787644787647</v>
          </cell>
          <cell r="N338">
            <v>5</v>
          </cell>
          <cell r="O338">
            <v>3.5</v>
          </cell>
          <cell r="P338">
            <v>1.5</v>
          </cell>
        </row>
        <row r="339">
          <cell r="A339" t="str">
            <v>1998:2</v>
          </cell>
          <cell r="B339">
            <v>291.74641630037871</v>
          </cell>
          <cell r="C339">
            <v>331.22294910654443</v>
          </cell>
          <cell r="D339">
            <v>0.88081582839398209</v>
          </cell>
          <cell r="E339">
            <v>291.74641630037871</v>
          </cell>
          <cell r="F339">
            <v>331.22294910654443</v>
          </cell>
          <cell r="G339">
            <v>0.88081582839398209</v>
          </cell>
          <cell r="H339">
            <v>6.2</v>
          </cell>
          <cell r="I339">
            <v>5.0999999999999996</v>
          </cell>
          <cell r="J339">
            <v>1.1000000000000005</v>
          </cell>
          <cell r="K339">
            <v>289.7</v>
          </cell>
          <cell r="L339">
            <v>326.10000000000002</v>
          </cell>
          <cell r="M339">
            <v>0.88837779822140439</v>
          </cell>
          <cell r="N339">
            <v>5.7</v>
          </cell>
          <cell r="O339">
            <v>4.5</v>
          </cell>
          <cell r="P339">
            <v>1.2000000000000002</v>
          </cell>
        </row>
        <row r="340">
          <cell r="A340" t="str">
            <v>1998:3</v>
          </cell>
          <cell r="B340">
            <v>248.06084673204043</v>
          </cell>
          <cell r="C340">
            <v>270.29253185771751</v>
          </cell>
          <cell r="D340">
            <v>0.9177495398304979</v>
          </cell>
          <cell r="E340">
            <v>248.06084673204043</v>
          </cell>
          <cell r="F340">
            <v>270.29253185771751</v>
          </cell>
          <cell r="G340">
            <v>0.9177495398304979</v>
          </cell>
          <cell r="H340">
            <v>8.6999999999999993</v>
          </cell>
          <cell r="I340">
            <v>7.3</v>
          </cell>
          <cell r="J340">
            <v>1.3999999999999995</v>
          </cell>
          <cell r="K340">
            <v>220.8</v>
          </cell>
          <cell r="L340">
            <v>283.89999999999998</v>
          </cell>
          <cell r="M340">
            <v>0.77773864036632623</v>
          </cell>
          <cell r="N340">
            <v>8.9</v>
          </cell>
          <cell r="O340">
            <v>6.8</v>
          </cell>
          <cell r="P340">
            <v>2.1000000000000005</v>
          </cell>
        </row>
        <row r="341">
          <cell r="A341" t="str">
            <v>1998:4</v>
          </cell>
          <cell r="B341">
            <v>199.31764529512472</v>
          </cell>
          <cell r="C341">
            <v>198.63939385091356</v>
          </cell>
          <cell r="D341">
            <v>1.0034144860748024</v>
          </cell>
          <cell r="E341">
            <v>199.31764529512472</v>
          </cell>
          <cell r="F341">
            <v>198.63939385091356</v>
          </cell>
          <cell r="G341">
            <v>1.0034144860748024</v>
          </cell>
          <cell r="H341">
            <v>9.8000000000000007</v>
          </cell>
          <cell r="I341">
            <v>9.9</v>
          </cell>
          <cell r="J341">
            <v>-9.9999999999999645E-2</v>
          </cell>
          <cell r="K341">
            <v>184.2</v>
          </cell>
          <cell r="L341">
            <v>190.3</v>
          </cell>
          <cell r="M341">
            <v>0.96794534944823951</v>
          </cell>
          <cell r="N341">
            <v>9.9</v>
          </cell>
          <cell r="O341">
            <v>9.6999999999999993</v>
          </cell>
          <cell r="P341">
            <v>0.20000000000000107</v>
          </cell>
        </row>
        <row r="342">
          <cell r="A342" t="str">
            <v>1998:5</v>
          </cell>
          <cell r="B342">
            <v>59.561993824335076</v>
          </cell>
          <cell r="C342">
            <v>94.205291641343422</v>
          </cell>
          <cell r="D342">
            <v>0.63225741130443458</v>
          </cell>
          <cell r="E342">
            <v>59.561993824335076</v>
          </cell>
          <cell r="F342">
            <v>94.205291641343422</v>
          </cell>
          <cell r="G342">
            <v>0.63225741130443458</v>
          </cell>
          <cell r="H342">
            <v>15.6</v>
          </cell>
          <cell r="I342">
            <v>13.6</v>
          </cell>
          <cell r="J342">
            <v>2</v>
          </cell>
          <cell r="K342">
            <v>49</v>
          </cell>
          <cell r="L342">
            <v>95</v>
          </cell>
          <cell r="M342">
            <v>0.51578947368421058</v>
          </cell>
          <cell r="N342">
            <v>16.100000000000001</v>
          </cell>
          <cell r="O342">
            <v>13.3</v>
          </cell>
          <cell r="P342">
            <v>2.8000000000000007</v>
          </cell>
        </row>
        <row r="343">
          <cell r="A343" t="str">
            <v>1998:6</v>
          </cell>
          <cell r="B343">
            <v>25.60288454254427</v>
          </cell>
          <cell r="C343">
            <v>33.639009300779129</v>
          </cell>
          <cell r="D343">
            <v>0.7611069729675799</v>
          </cell>
          <cell r="E343">
            <v>0</v>
          </cell>
          <cell r="F343">
            <v>0</v>
          </cell>
          <cell r="G343">
            <v>1</v>
          </cell>
          <cell r="H343">
            <v>17.7</v>
          </cell>
          <cell r="I343">
            <v>16.8</v>
          </cell>
          <cell r="J343">
            <v>0.89999999999999858</v>
          </cell>
          <cell r="K343">
            <v>13.6</v>
          </cell>
          <cell r="L343">
            <v>31.5</v>
          </cell>
          <cell r="M343">
            <v>0.43174603174603171</v>
          </cell>
          <cell r="N343">
            <v>17.8</v>
          </cell>
          <cell r="O343">
            <v>16.399999999999999</v>
          </cell>
          <cell r="P343">
            <v>1.4000000000000021</v>
          </cell>
        </row>
        <row r="344">
          <cell r="A344" t="str">
            <v>1998:7</v>
          </cell>
          <cell r="B344">
            <v>9.9956779402442599</v>
          </cell>
          <cell r="C344">
            <v>9.8992241828118033</v>
          </cell>
          <cell r="D344">
            <v>1.0097435673393407</v>
          </cell>
          <cell r="E344">
            <v>0</v>
          </cell>
          <cell r="F344">
            <v>0</v>
          </cell>
          <cell r="G344">
            <v>1</v>
          </cell>
          <cell r="H344">
            <v>19.100000000000001</v>
          </cell>
          <cell r="I344">
            <v>19.2</v>
          </cell>
          <cell r="J344">
            <v>-9.9999999999997868E-2</v>
          </cell>
          <cell r="K344">
            <v>0.1</v>
          </cell>
          <cell r="L344">
            <v>8.9</v>
          </cell>
          <cell r="M344">
            <v>1.1235955056179775E-2</v>
          </cell>
          <cell r="N344">
            <v>18.100000000000001</v>
          </cell>
          <cell r="O344">
            <v>18.399999999999999</v>
          </cell>
          <cell r="P344">
            <v>-0.29999999999999716</v>
          </cell>
        </row>
        <row r="345">
          <cell r="A345" t="str">
            <v>1998:8</v>
          </cell>
          <cell r="B345">
            <v>11.722895722789392</v>
          </cell>
          <cell r="C345">
            <v>9.4425505166936539</v>
          </cell>
          <cell r="D345">
            <v>1.2414967441333011</v>
          </cell>
          <cell r="E345">
            <v>0</v>
          </cell>
          <cell r="F345">
            <v>0</v>
          </cell>
          <cell r="G345">
            <v>1</v>
          </cell>
          <cell r="H345">
            <v>19.8</v>
          </cell>
          <cell r="I345">
            <v>18.899999999999999</v>
          </cell>
          <cell r="J345">
            <v>0.90000000000000213</v>
          </cell>
          <cell r="K345">
            <v>5.5</v>
          </cell>
          <cell r="L345">
            <v>9.1</v>
          </cell>
          <cell r="M345">
            <v>0.60439560439560447</v>
          </cell>
          <cell r="N345">
            <v>19.5</v>
          </cell>
          <cell r="O345">
            <v>18.2</v>
          </cell>
          <cell r="P345">
            <v>1.3000000000000007</v>
          </cell>
        </row>
        <row r="346">
          <cell r="A346" t="str">
            <v>1998:9</v>
          </cell>
          <cell r="B346">
            <v>35.286982742776864</v>
          </cell>
          <cell r="C346">
            <v>43.697695496746512</v>
          </cell>
          <cell r="D346">
            <v>0.80752502715856345</v>
          </cell>
          <cell r="E346">
            <v>0</v>
          </cell>
          <cell r="F346">
            <v>0</v>
          </cell>
          <cell r="G346">
            <v>1</v>
          </cell>
          <cell r="H346">
            <v>16.399999999999999</v>
          </cell>
          <cell r="I346">
            <v>16.5</v>
          </cell>
          <cell r="J346">
            <v>-0.10000000000000142</v>
          </cell>
          <cell r="K346">
            <v>25.4</v>
          </cell>
          <cell r="L346">
            <v>39.4</v>
          </cell>
          <cell r="M346">
            <v>0.64467005076142125</v>
          </cell>
          <cell r="N346">
            <v>16.2</v>
          </cell>
          <cell r="O346">
            <v>15.7</v>
          </cell>
          <cell r="P346">
            <v>0.5</v>
          </cell>
        </row>
        <row r="347">
          <cell r="A347" t="str">
            <v>1998:10</v>
          </cell>
          <cell r="B347">
            <v>142.19216296773004</v>
          </cell>
          <cell r="C347">
            <v>132.10004667845612</v>
          </cell>
          <cell r="D347">
            <v>1.0763975225068547</v>
          </cell>
          <cell r="E347">
            <v>142.19216296773004</v>
          </cell>
          <cell r="F347">
            <v>132.10004667845612</v>
          </cell>
          <cell r="G347">
            <v>1.0763975225068547</v>
          </cell>
          <cell r="H347">
            <v>12</v>
          </cell>
          <cell r="I347">
            <v>12.6</v>
          </cell>
          <cell r="J347">
            <v>-0.59999999999999964</v>
          </cell>
          <cell r="K347">
            <v>131.19999999999999</v>
          </cell>
          <cell r="L347">
            <v>133.80000000000001</v>
          </cell>
          <cell r="M347">
            <v>0.98056801195814636</v>
          </cell>
          <cell r="N347">
            <v>11.8</v>
          </cell>
          <cell r="O347">
            <v>11.8</v>
          </cell>
          <cell r="P347">
            <v>0</v>
          </cell>
        </row>
        <row r="348">
          <cell r="A348" t="str">
            <v>1998:11</v>
          </cell>
          <cell r="B348">
            <v>345.18851046239388</v>
          </cell>
          <cell r="C348">
            <v>277.9065874341735</v>
          </cell>
          <cell r="D348">
            <v>1.2421026563256876</v>
          </cell>
          <cell r="E348">
            <v>345.18851046239388</v>
          </cell>
          <cell r="F348">
            <v>277.9065874341735</v>
          </cell>
          <cell r="G348">
            <v>1.2421026563256876</v>
          </cell>
          <cell r="H348">
            <v>5.4</v>
          </cell>
          <cell r="I348">
            <v>7.6</v>
          </cell>
          <cell r="J348">
            <v>-2.1999999999999993</v>
          </cell>
          <cell r="K348">
            <v>333.1</v>
          </cell>
          <cell r="L348">
            <v>272.89999999999998</v>
          </cell>
          <cell r="M348">
            <v>1.2205936240381094</v>
          </cell>
          <cell r="N348">
            <v>4.9000000000000004</v>
          </cell>
          <cell r="O348">
            <v>6.9</v>
          </cell>
          <cell r="P348">
            <v>-2</v>
          </cell>
        </row>
        <row r="349">
          <cell r="A349" t="str">
            <v>1998:12</v>
          </cell>
          <cell r="B349">
            <v>364.44966693549958</v>
          </cell>
          <cell r="C349">
            <v>363.68818352813111</v>
          </cell>
          <cell r="D349">
            <v>1.0020937809966255</v>
          </cell>
          <cell r="E349">
            <v>364.44966693549958</v>
          </cell>
          <cell r="F349">
            <v>363.68818352813111</v>
          </cell>
          <cell r="G349">
            <v>1.0020937809966255</v>
          </cell>
          <cell r="H349">
            <v>5.2</v>
          </cell>
          <cell r="I349">
            <v>4.8</v>
          </cell>
          <cell r="J349">
            <v>0.40000000000000036</v>
          </cell>
          <cell r="K349">
            <v>313.60000000000002</v>
          </cell>
          <cell r="L349">
            <v>363.6</v>
          </cell>
          <cell r="M349">
            <v>0.86248624862486245</v>
          </cell>
          <cell r="N349">
            <v>5.9</v>
          </cell>
          <cell r="O349">
            <v>4.3</v>
          </cell>
          <cell r="P349">
            <v>1.6000000000000005</v>
          </cell>
        </row>
        <row r="350">
          <cell r="A350" t="str">
            <v>1999:1</v>
          </cell>
          <cell r="B350">
            <v>331.89878383711658</v>
          </cell>
          <cell r="C350">
            <v>392.91081774346333</v>
          </cell>
          <cell r="D350">
            <v>0.84471785669647226</v>
          </cell>
          <cell r="E350">
            <v>331.89878383711658</v>
          </cell>
          <cell r="F350">
            <v>392.91081774346333</v>
          </cell>
          <cell r="G350">
            <v>0.84471785669647226</v>
          </cell>
          <cell r="H350">
            <v>6.1</v>
          </cell>
          <cell r="I350">
            <v>4</v>
          </cell>
          <cell r="J350">
            <v>2.0999999999999996</v>
          </cell>
          <cell r="K350">
            <v>291.7</v>
          </cell>
          <cell r="L350">
            <v>388.5</v>
          </cell>
          <cell r="M350">
            <v>0.75083655083655076</v>
          </cell>
          <cell r="N350">
            <v>6.6</v>
          </cell>
          <cell r="O350">
            <v>3.5</v>
          </cell>
          <cell r="P350">
            <v>3.0999999999999996</v>
          </cell>
        </row>
        <row r="351">
          <cell r="A351" t="str">
            <v>1999:2</v>
          </cell>
          <cell r="B351">
            <v>336.90353433736527</v>
          </cell>
          <cell r="C351">
            <v>331.22294910654443</v>
          </cell>
          <cell r="D351">
            <v>1.0171503370951316</v>
          </cell>
          <cell r="E351">
            <v>336.90353433736527</v>
          </cell>
          <cell r="F351">
            <v>331.22294910654443</v>
          </cell>
          <cell r="G351">
            <v>1.0171503370951316</v>
          </cell>
          <cell r="H351">
            <v>4.7</v>
          </cell>
          <cell r="I351">
            <v>5.0999999999999996</v>
          </cell>
          <cell r="J351">
            <v>-0.39999999999999947</v>
          </cell>
          <cell r="K351">
            <v>306.8</v>
          </cell>
          <cell r="L351">
            <v>326.10000000000002</v>
          </cell>
          <cell r="M351">
            <v>0.94081570070530507</v>
          </cell>
          <cell r="N351">
            <v>5</v>
          </cell>
          <cell r="O351">
            <v>4.5</v>
          </cell>
          <cell r="P351">
            <v>0.5</v>
          </cell>
        </row>
        <row r="352">
          <cell r="A352" t="str">
            <v>1999:3</v>
          </cell>
          <cell r="B352">
            <v>243.71907666725991</v>
          </cell>
          <cell r="C352">
            <v>270.29253185771751</v>
          </cell>
          <cell r="D352">
            <v>0.90168631368459007</v>
          </cell>
          <cell r="E352">
            <v>243.71907666725991</v>
          </cell>
          <cell r="F352">
            <v>270.29253185771751</v>
          </cell>
          <cell r="G352">
            <v>0.90168631368459007</v>
          </cell>
          <cell r="H352">
            <v>8.6</v>
          </cell>
          <cell r="I352">
            <v>7.3</v>
          </cell>
          <cell r="J352">
            <v>1.2999999999999998</v>
          </cell>
          <cell r="K352">
            <v>222.8</v>
          </cell>
          <cell r="L352">
            <v>283.89999999999998</v>
          </cell>
          <cell r="M352">
            <v>0.78478337442761548</v>
          </cell>
          <cell r="N352">
            <v>8.8000000000000007</v>
          </cell>
          <cell r="O352">
            <v>6.8</v>
          </cell>
          <cell r="P352">
            <v>2.0000000000000009</v>
          </cell>
        </row>
        <row r="353">
          <cell r="A353" t="str">
            <v>1999:4</v>
          </cell>
          <cell r="B353">
            <v>167.61973561390397</v>
          </cell>
          <cell r="C353">
            <v>198.63939385091356</v>
          </cell>
          <cell r="D353">
            <v>0.84383934306459363</v>
          </cell>
          <cell r="E353">
            <v>167.61973561390397</v>
          </cell>
          <cell r="F353">
            <v>198.63939385091356</v>
          </cell>
          <cell r="G353">
            <v>0.84383934306459363</v>
          </cell>
          <cell r="H353">
            <v>10.9</v>
          </cell>
          <cell r="I353">
            <v>9.9</v>
          </cell>
          <cell r="J353">
            <v>1</v>
          </cell>
          <cell r="K353">
            <v>144</v>
          </cell>
          <cell r="L353">
            <v>190.3</v>
          </cell>
          <cell r="M353">
            <v>0.75669994745139246</v>
          </cell>
          <cell r="N353">
            <v>11.2</v>
          </cell>
          <cell r="O353">
            <v>9.6999999999999993</v>
          </cell>
          <cell r="P353">
            <v>1.5</v>
          </cell>
        </row>
        <row r="354">
          <cell r="A354" t="str">
            <v>1999:5</v>
          </cell>
          <cell r="B354">
            <v>43.376722667291197</v>
          </cell>
          <cell r="C354">
            <v>94.205291641343422</v>
          </cell>
          <cell r="D354">
            <v>0.46044889741899236</v>
          </cell>
          <cell r="E354">
            <v>43.376722667291197</v>
          </cell>
          <cell r="F354">
            <v>94.205291641343422</v>
          </cell>
          <cell r="G354">
            <v>0.46044889741899236</v>
          </cell>
          <cell r="H354">
            <v>16</v>
          </cell>
          <cell r="I354">
            <v>13.6</v>
          </cell>
          <cell r="J354">
            <v>2.4000000000000004</v>
          </cell>
          <cell r="K354">
            <v>22.7</v>
          </cell>
          <cell r="L354">
            <v>95</v>
          </cell>
          <cell r="M354">
            <v>0.23894736842105263</v>
          </cell>
          <cell r="N354">
            <v>16.3</v>
          </cell>
          <cell r="O354">
            <v>13.3</v>
          </cell>
          <cell r="P354">
            <v>3</v>
          </cell>
        </row>
        <row r="355">
          <cell r="A355" t="str">
            <v>1999:6</v>
          </cell>
          <cell r="B355">
            <v>29.098556312933738</v>
          </cell>
          <cell r="C355">
            <v>33.639009300779129</v>
          </cell>
          <cell r="D355">
            <v>0.86502417632911</v>
          </cell>
          <cell r="E355">
            <v>0</v>
          </cell>
          <cell r="F355">
            <v>0</v>
          </cell>
          <cell r="G355">
            <v>1</v>
          </cell>
          <cell r="H355">
            <v>17.2</v>
          </cell>
          <cell r="I355">
            <v>16.8</v>
          </cell>
          <cell r="J355">
            <v>0.39999999999999858</v>
          </cell>
          <cell r="K355">
            <v>13.6</v>
          </cell>
          <cell r="L355">
            <v>31.5</v>
          </cell>
          <cell r="M355">
            <v>0.43174603174603171</v>
          </cell>
          <cell r="N355">
            <v>16.899999999999999</v>
          </cell>
          <cell r="O355">
            <v>16.399999999999999</v>
          </cell>
          <cell r="P355">
            <v>0.5</v>
          </cell>
        </row>
        <row r="356">
          <cell r="A356" t="str">
            <v>1999:7</v>
          </cell>
          <cell r="B356">
            <v>1.3568787694877824</v>
          </cell>
          <cell r="C356">
            <v>9.8992241828118033</v>
          </cell>
          <cell r="D356">
            <v>0.13706920304358344</v>
          </cell>
          <cell r="E356">
            <v>0</v>
          </cell>
          <cell r="F356">
            <v>0</v>
          </cell>
          <cell r="G356">
            <v>1</v>
          </cell>
          <cell r="H356">
            <v>20.8</v>
          </cell>
          <cell r="I356">
            <v>19.2</v>
          </cell>
          <cell r="J356">
            <v>1.6000000000000014</v>
          </cell>
          <cell r="K356">
            <v>0</v>
          </cell>
          <cell r="L356">
            <v>8.9</v>
          </cell>
          <cell r="M356">
            <v>0</v>
          </cell>
          <cell r="N356">
            <v>21.1</v>
          </cell>
          <cell r="O356">
            <v>18.399999999999999</v>
          </cell>
          <cell r="P356">
            <v>2.7000000000000028</v>
          </cell>
        </row>
        <row r="357">
          <cell r="A357" t="str">
            <v>1999:8</v>
          </cell>
          <cell r="B357">
            <v>3.0252520399781986</v>
          </cell>
          <cell r="C357">
            <v>9.4425505166936539</v>
          </cell>
          <cell r="D357">
            <v>0.32038505217735413</v>
          </cell>
          <cell r="E357">
            <v>0</v>
          </cell>
          <cell r="F357">
            <v>0</v>
          </cell>
          <cell r="G357">
            <v>1</v>
          </cell>
          <cell r="H357">
            <v>20</v>
          </cell>
          <cell r="I357">
            <v>18.899999999999999</v>
          </cell>
          <cell r="J357">
            <v>1.1000000000000014</v>
          </cell>
          <cell r="K357">
            <v>0</v>
          </cell>
          <cell r="L357">
            <v>9.1</v>
          </cell>
          <cell r="M357">
            <v>0</v>
          </cell>
          <cell r="N357">
            <v>19.8</v>
          </cell>
          <cell r="O357">
            <v>18.2</v>
          </cell>
          <cell r="P357">
            <v>1.6000000000000014</v>
          </cell>
        </row>
        <row r="358">
          <cell r="A358" t="str">
            <v>1999:9</v>
          </cell>
          <cell r="B358">
            <v>9.9806700388826446</v>
          </cell>
          <cell r="C358">
            <v>43.697695496746512</v>
          </cell>
          <cell r="D358">
            <v>0.22840266346827717</v>
          </cell>
          <cell r="E358">
            <v>0</v>
          </cell>
          <cell r="F358">
            <v>0</v>
          </cell>
          <cell r="G358">
            <v>1</v>
          </cell>
          <cell r="H358">
            <v>18.3</v>
          </cell>
          <cell r="I358">
            <v>16.5</v>
          </cell>
          <cell r="J358">
            <v>1.8000000000000007</v>
          </cell>
          <cell r="K358">
            <v>0.4</v>
          </cell>
          <cell r="L358">
            <v>39.4</v>
          </cell>
          <cell r="M358">
            <v>1.0152284263959392E-2</v>
          </cell>
          <cell r="N358">
            <v>18.399999999999999</v>
          </cell>
          <cell r="O358">
            <v>15.7</v>
          </cell>
          <cell r="P358">
            <v>2.6999999999999993</v>
          </cell>
        </row>
        <row r="359">
          <cell r="A359" t="str">
            <v>1999:10</v>
          </cell>
          <cell r="B359">
            <v>128.86542977810652</v>
          </cell>
          <cell r="C359">
            <v>132.10004667845612</v>
          </cell>
          <cell r="D359">
            <v>0.97551388525832272</v>
          </cell>
          <cell r="E359">
            <v>128.86542977810652</v>
          </cell>
          <cell r="F359">
            <v>132.10004667845612</v>
          </cell>
          <cell r="G359">
            <v>0.97551388525832272</v>
          </cell>
          <cell r="H359">
            <v>12.5</v>
          </cell>
          <cell r="I359">
            <v>12.6</v>
          </cell>
          <cell r="J359">
            <v>-9.9999999999999645E-2</v>
          </cell>
          <cell r="K359">
            <v>134.9</v>
          </cell>
          <cell r="L359">
            <v>133.80000000000001</v>
          </cell>
          <cell r="M359">
            <v>1.0082212257100149</v>
          </cell>
          <cell r="N359">
            <v>11.6</v>
          </cell>
          <cell r="O359">
            <v>11.8</v>
          </cell>
          <cell r="P359">
            <v>-0.20000000000000107</v>
          </cell>
        </row>
        <row r="360">
          <cell r="A360" t="str">
            <v>1999:11</v>
          </cell>
          <cell r="B360">
            <v>310.27818640104528</v>
          </cell>
          <cell r="C360">
            <v>277.9065874341735</v>
          </cell>
          <cell r="D360">
            <v>1.116483741050361</v>
          </cell>
          <cell r="E360">
            <v>310.27818640104528</v>
          </cell>
          <cell r="F360">
            <v>277.9065874341735</v>
          </cell>
          <cell r="G360">
            <v>1.116483741050361</v>
          </cell>
          <cell r="H360">
            <v>6.5</v>
          </cell>
          <cell r="I360">
            <v>7.6</v>
          </cell>
          <cell r="J360">
            <v>-1.0999999999999996</v>
          </cell>
          <cell r="K360">
            <v>286.3</v>
          </cell>
          <cell r="L360">
            <v>272.89999999999998</v>
          </cell>
          <cell r="M360">
            <v>1.0491022352510078</v>
          </cell>
          <cell r="N360">
            <v>6.5</v>
          </cell>
          <cell r="O360">
            <v>6.9</v>
          </cell>
          <cell r="P360">
            <v>-0.40000000000000036</v>
          </cell>
        </row>
        <row r="361">
          <cell r="A361" t="str">
            <v>1999:12</v>
          </cell>
          <cell r="B361">
            <v>351.90244814130665</v>
          </cell>
          <cell r="C361">
            <v>363.68818352813111</v>
          </cell>
          <cell r="D361">
            <v>0.9675938457156037</v>
          </cell>
          <cell r="E361">
            <v>351.90244814130665</v>
          </cell>
          <cell r="F361">
            <v>363.68818352813111</v>
          </cell>
          <cell r="G361">
            <v>0.9675938457156037</v>
          </cell>
          <cell r="H361">
            <v>5.6</v>
          </cell>
          <cell r="I361">
            <v>4.8</v>
          </cell>
          <cell r="J361">
            <v>0.79999999999999982</v>
          </cell>
          <cell r="K361">
            <v>317.8</v>
          </cell>
          <cell r="L361">
            <v>363.6</v>
          </cell>
          <cell r="M361">
            <v>0.87403740374037397</v>
          </cell>
          <cell r="N361">
            <v>5.7</v>
          </cell>
          <cell r="O361">
            <v>4.3</v>
          </cell>
          <cell r="P361">
            <v>1.4000000000000004</v>
          </cell>
        </row>
        <row r="362">
          <cell r="A362" t="str">
            <v>2000:1</v>
          </cell>
          <cell r="B362">
            <v>393.35413244758337</v>
          </cell>
          <cell r="C362">
            <v>392.91081774346333</v>
          </cell>
          <cell r="D362">
            <v>1.001128283274729</v>
          </cell>
          <cell r="E362">
            <v>393.35413244758337</v>
          </cell>
          <cell r="F362">
            <v>392.91081774346333</v>
          </cell>
          <cell r="G362">
            <v>1.001128283274729</v>
          </cell>
          <cell r="H362">
            <v>4.0999999999999996</v>
          </cell>
          <cell r="I362">
            <v>4</v>
          </cell>
          <cell r="J362">
            <v>9.9999999999999645E-2</v>
          </cell>
          <cell r="K362">
            <v>359.9</v>
          </cell>
          <cell r="L362">
            <v>388.5</v>
          </cell>
          <cell r="M362">
            <v>0.92638352638352628</v>
          </cell>
          <cell r="N362">
            <v>4.4000000000000004</v>
          </cell>
          <cell r="O362">
            <v>3.5</v>
          </cell>
          <cell r="P362">
            <v>0.90000000000000036</v>
          </cell>
        </row>
        <row r="363">
          <cell r="A363" t="str">
            <v>2000:2</v>
          </cell>
          <cell r="B363">
            <v>276.45798419027039</v>
          </cell>
          <cell r="C363">
            <v>331.22294910654443</v>
          </cell>
          <cell r="D363">
            <v>0.83465830171490385</v>
          </cell>
          <cell r="E363">
            <v>276.45798419027039</v>
          </cell>
          <cell r="F363">
            <v>331.22294910654443</v>
          </cell>
          <cell r="G363">
            <v>0.83465830171490385</v>
          </cell>
          <cell r="H363">
            <v>7.2</v>
          </cell>
          <cell r="I363">
            <v>5.0999999999999996</v>
          </cell>
          <cell r="J363">
            <v>2.1000000000000005</v>
          </cell>
          <cell r="K363">
            <v>256.2</v>
          </cell>
          <cell r="L363">
            <v>326.10000000000002</v>
          </cell>
          <cell r="M363">
            <v>0.78564857405703759</v>
          </cell>
          <cell r="N363">
            <v>7.2</v>
          </cell>
          <cell r="O363">
            <v>4.5</v>
          </cell>
          <cell r="P363">
            <v>2.7</v>
          </cell>
        </row>
        <row r="364">
          <cell r="A364" t="str">
            <v>2000:3</v>
          </cell>
          <cell r="B364">
            <v>260.98635683446201</v>
          </cell>
          <cell r="C364">
            <v>270.29253185771751</v>
          </cell>
          <cell r="D364">
            <v>0.96556998834080154</v>
          </cell>
          <cell r="E364">
            <v>260.98635683446201</v>
          </cell>
          <cell r="F364">
            <v>270.29253185771751</v>
          </cell>
          <cell r="G364">
            <v>0.96556998834080154</v>
          </cell>
          <cell r="H364">
            <v>8.1</v>
          </cell>
          <cell r="I364">
            <v>7.3</v>
          </cell>
          <cell r="J364">
            <v>0.79999999999999982</v>
          </cell>
          <cell r="K364">
            <v>239.7</v>
          </cell>
          <cell r="L364">
            <v>283.89999999999998</v>
          </cell>
          <cell r="M364">
            <v>0.84431137724550898</v>
          </cell>
          <cell r="N364">
            <v>8.3000000000000007</v>
          </cell>
          <cell r="O364">
            <v>6.8</v>
          </cell>
          <cell r="P364">
            <v>1.5000000000000009</v>
          </cell>
        </row>
        <row r="365">
          <cell r="A365" t="str">
            <v>2000:4</v>
          </cell>
          <cell r="B365">
            <v>177.02978941920742</v>
          </cell>
          <cell r="C365">
            <v>198.63939385091356</v>
          </cell>
          <cell r="D365">
            <v>0.8912118889774453</v>
          </cell>
          <cell r="E365">
            <v>177.02978941920742</v>
          </cell>
          <cell r="F365">
            <v>198.63939385091356</v>
          </cell>
          <cell r="G365">
            <v>0.8912118889774453</v>
          </cell>
          <cell r="H365">
            <v>10.6</v>
          </cell>
          <cell r="I365">
            <v>9.9</v>
          </cell>
          <cell r="J365">
            <v>0.69999999999999929</v>
          </cell>
          <cell r="K365">
            <v>164.2</v>
          </cell>
          <cell r="L365">
            <v>190.3</v>
          </cell>
          <cell r="M365">
            <v>0.86284813452443498</v>
          </cell>
          <cell r="N365">
            <v>10.5</v>
          </cell>
          <cell r="O365">
            <v>9.6999999999999993</v>
          </cell>
          <cell r="P365">
            <v>0.80000000000000071</v>
          </cell>
        </row>
        <row r="366">
          <cell r="A366" t="str">
            <v>2000:5</v>
          </cell>
          <cell r="B366">
            <v>50.959703139499972</v>
          </cell>
          <cell r="C366">
            <v>94.205291641343422</v>
          </cell>
          <cell r="D366">
            <v>0.54094310682156554</v>
          </cell>
          <cell r="E366">
            <v>50.959703139499972</v>
          </cell>
          <cell r="F366">
            <v>94.205291641343422</v>
          </cell>
          <cell r="G366">
            <v>0.54094310682156554</v>
          </cell>
          <cell r="H366">
            <v>15.7</v>
          </cell>
          <cell r="I366">
            <v>13.6</v>
          </cell>
          <cell r="J366">
            <v>2.0999999999999996</v>
          </cell>
          <cell r="K366">
            <v>48.1</v>
          </cell>
          <cell r="L366">
            <v>95</v>
          </cell>
          <cell r="M366">
            <v>0.50631578947368427</v>
          </cell>
          <cell r="N366">
            <v>15.7</v>
          </cell>
          <cell r="O366">
            <v>13.3</v>
          </cell>
          <cell r="P366">
            <v>2.3999999999999986</v>
          </cell>
        </row>
        <row r="367">
          <cell r="A367" t="str">
            <v>2000:6</v>
          </cell>
          <cell r="B367">
            <v>19.505617961668293</v>
          </cell>
          <cell r="C367">
            <v>33.639009300779129</v>
          </cell>
          <cell r="D367">
            <v>0.57985114208510635</v>
          </cell>
          <cell r="E367">
            <v>0</v>
          </cell>
          <cell r="F367">
            <v>0</v>
          </cell>
          <cell r="G367">
            <v>1</v>
          </cell>
          <cell r="H367">
            <v>18.399999999999999</v>
          </cell>
          <cell r="I367">
            <v>16.8</v>
          </cell>
          <cell r="J367">
            <v>1.5999999999999979</v>
          </cell>
          <cell r="K367">
            <v>14.3</v>
          </cell>
          <cell r="L367">
            <v>31.5</v>
          </cell>
          <cell r="M367">
            <v>0.45396825396825397</v>
          </cell>
          <cell r="N367">
            <v>18</v>
          </cell>
          <cell r="O367">
            <v>16.399999999999999</v>
          </cell>
          <cell r="P367">
            <v>1.6000000000000014</v>
          </cell>
        </row>
        <row r="368">
          <cell r="A368" t="str">
            <v>2000:7</v>
          </cell>
          <cell r="B368">
            <v>19.919154593183908</v>
          </cell>
          <cell r="C368">
            <v>9.8992241828118033</v>
          </cell>
          <cell r="D368">
            <v>2.012193503786881</v>
          </cell>
          <cell r="E368">
            <v>0</v>
          </cell>
          <cell r="F368">
            <v>0</v>
          </cell>
          <cell r="G368">
            <v>1</v>
          </cell>
          <cell r="H368">
            <v>18</v>
          </cell>
          <cell r="I368">
            <v>19.2</v>
          </cell>
          <cell r="J368">
            <v>-1.1999999999999993</v>
          </cell>
          <cell r="K368">
            <v>13.7</v>
          </cell>
          <cell r="L368">
            <v>8.9</v>
          </cell>
          <cell r="M368">
            <v>1.539325842696629</v>
          </cell>
          <cell r="N368">
            <v>17.399999999999999</v>
          </cell>
          <cell r="O368">
            <v>18.399999999999999</v>
          </cell>
          <cell r="P368">
            <v>-1</v>
          </cell>
        </row>
        <row r="369">
          <cell r="A369" t="str">
            <v>2000:8</v>
          </cell>
          <cell r="B369">
            <v>2.1097759123434607</v>
          </cell>
          <cell r="C369">
            <v>9.4425505166936539</v>
          </cell>
          <cell r="D369">
            <v>0.22343284355360876</v>
          </cell>
          <cell r="E369">
            <v>0</v>
          </cell>
          <cell r="F369">
            <v>0</v>
          </cell>
          <cell r="G369">
            <v>1</v>
          </cell>
          <cell r="H369">
            <v>20.2</v>
          </cell>
          <cell r="I369">
            <v>18.899999999999999</v>
          </cell>
          <cell r="J369">
            <v>1.3000000000000007</v>
          </cell>
          <cell r="K369">
            <v>0</v>
          </cell>
          <cell r="L369">
            <v>9.1</v>
          </cell>
          <cell r="M369">
            <v>0</v>
          </cell>
          <cell r="N369">
            <v>19.7</v>
          </cell>
          <cell r="O369">
            <v>18.2</v>
          </cell>
          <cell r="P369">
            <v>1.5</v>
          </cell>
        </row>
        <row r="370">
          <cell r="A370" t="str">
            <v>2000:9</v>
          </cell>
          <cell r="B370">
            <v>22.96303356320692</v>
          </cell>
          <cell r="C370">
            <v>43.697695496746512</v>
          </cell>
          <cell r="D370">
            <v>0.52549758750817011</v>
          </cell>
          <cell r="E370">
            <v>0</v>
          </cell>
          <cell r="F370">
            <v>0</v>
          </cell>
          <cell r="G370">
            <v>1</v>
          </cell>
          <cell r="H370">
            <v>17.2</v>
          </cell>
          <cell r="I370">
            <v>16.5</v>
          </cell>
          <cell r="J370">
            <v>0.69999999999999929</v>
          </cell>
          <cell r="K370">
            <v>11.2</v>
          </cell>
          <cell r="L370">
            <v>39.4</v>
          </cell>
          <cell r="M370">
            <v>0.28426395939086296</v>
          </cell>
          <cell r="N370">
            <v>16.8</v>
          </cell>
          <cell r="O370">
            <v>15.7</v>
          </cell>
          <cell r="P370">
            <v>1.1000000000000014</v>
          </cell>
        </row>
        <row r="371">
          <cell r="A371" t="str">
            <v>2000:10</v>
          </cell>
          <cell r="B371">
            <v>127.43592197034795</v>
          </cell>
          <cell r="C371">
            <v>132.10004667845612</v>
          </cell>
          <cell r="D371">
            <v>0.96469248251318873</v>
          </cell>
          <cell r="E371">
            <v>127.43592197034795</v>
          </cell>
          <cell r="F371">
            <v>132.10004667845612</v>
          </cell>
          <cell r="G371">
            <v>0.96469248251318873</v>
          </cell>
          <cell r="H371">
            <v>12.5</v>
          </cell>
          <cell r="I371">
            <v>12.6</v>
          </cell>
          <cell r="J371">
            <v>-9.9999999999999645E-2</v>
          </cell>
          <cell r="K371">
            <v>117.3</v>
          </cell>
          <cell r="L371">
            <v>133.80000000000001</v>
          </cell>
          <cell r="M371">
            <v>0.87668161434977565</v>
          </cell>
          <cell r="N371">
            <v>12.2</v>
          </cell>
          <cell r="O371">
            <v>11.8</v>
          </cell>
          <cell r="P371">
            <v>0.39999999999999858</v>
          </cell>
        </row>
        <row r="372">
          <cell r="A372" t="str">
            <v>2000:11</v>
          </cell>
          <cell r="B372">
            <v>237.70889732621683</v>
          </cell>
          <cell r="C372">
            <v>277.9065874341735</v>
          </cell>
          <cell r="D372">
            <v>0.85535538945265877</v>
          </cell>
          <cell r="E372">
            <v>237.70889732621683</v>
          </cell>
          <cell r="F372">
            <v>277.9065874341735</v>
          </cell>
          <cell r="G372">
            <v>0.85535538945265877</v>
          </cell>
          <cell r="H372">
            <v>8.8000000000000007</v>
          </cell>
          <cell r="I372">
            <v>7.6</v>
          </cell>
          <cell r="J372">
            <v>1.2000000000000011</v>
          </cell>
          <cell r="K372">
            <v>222</v>
          </cell>
          <cell r="L372">
            <v>272.89999999999998</v>
          </cell>
          <cell r="M372">
            <v>0.81348479296445586</v>
          </cell>
          <cell r="N372">
            <v>8.6</v>
          </cell>
          <cell r="O372">
            <v>6.9</v>
          </cell>
          <cell r="P372">
            <v>1.6999999999999993</v>
          </cell>
        </row>
        <row r="373">
          <cell r="A373" t="str">
            <v>2000:12</v>
          </cell>
          <cell r="B373">
            <v>279.89764691598259</v>
          </cell>
          <cell r="C373">
            <v>363.68818352813111</v>
          </cell>
          <cell r="D373">
            <v>0.76960885613797414</v>
          </cell>
          <cell r="E373">
            <v>279.89764691598259</v>
          </cell>
          <cell r="F373">
            <v>363.68818352813111</v>
          </cell>
          <cell r="G373">
            <v>0.76960885613797414</v>
          </cell>
          <cell r="H373">
            <v>7.7</v>
          </cell>
          <cell r="I373">
            <v>4.8</v>
          </cell>
          <cell r="J373">
            <v>2.9000000000000004</v>
          </cell>
          <cell r="K373">
            <v>270.7</v>
          </cell>
          <cell r="L373">
            <v>363.6</v>
          </cell>
          <cell r="M373">
            <v>0.7444994499449944</v>
          </cell>
          <cell r="N373">
            <v>7.3</v>
          </cell>
          <cell r="O373">
            <v>4.3</v>
          </cell>
          <cell r="P373">
            <v>3</v>
          </cell>
        </row>
        <row r="374">
          <cell r="A374" t="str">
            <v>2001:1</v>
          </cell>
          <cell r="B374">
            <v>343.19059614587849</v>
          </cell>
          <cell r="C374">
            <v>392.91081774346333</v>
          </cell>
          <cell r="D374">
            <v>0.87345672515932649</v>
          </cell>
          <cell r="E374">
            <v>343.19059614587849</v>
          </cell>
          <cell r="F374">
            <v>392.91081774346333</v>
          </cell>
          <cell r="G374">
            <v>0.87345672515932649</v>
          </cell>
          <cell r="H374">
            <v>5.7</v>
          </cell>
          <cell r="I374">
            <v>4</v>
          </cell>
          <cell r="J374">
            <v>1.7000000000000002</v>
          </cell>
          <cell r="K374">
            <v>337.4</v>
          </cell>
          <cell r="L374">
            <v>388.5</v>
          </cell>
          <cell r="M374">
            <v>0.86846846846846837</v>
          </cell>
          <cell r="N374">
            <v>5.0999999999999996</v>
          </cell>
          <cell r="O374">
            <v>3.5</v>
          </cell>
          <cell r="P374">
            <v>1.5999999999999996</v>
          </cell>
        </row>
        <row r="375">
          <cell r="A375" t="str">
            <v>2001:2</v>
          </cell>
          <cell r="B375">
            <v>297.98717938607166</v>
          </cell>
          <cell r="C375">
            <v>331.22294910654443</v>
          </cell>
          <cell r="D375">
            <v>0.89965740655916382</v>
          </cell>
          <cell r="E375">
            <v>297.98717938607166</v>
          </cell>
          <cell r="F375">
            <v>331.22294910654443</v>
          </cell>
          <cell r="G375">
            <v>0.89965740655916382</v>
          </cell>
          <cell r="H375">
            <v>6</v>
          </cell>
          <cell r="I375">
            <v>5.0999999999999996</v>
          </cell>
          <cell r="J375">
            <v>0.90000000000000036</v>
          </cell>
          <cell r="K375">
            <v>284.3</v>
          </cell>
          <cell r="L375">
            <v>326.10000000000002</v>
          </cell>
          <cell r="M375">
            <v>0.87181846059490953</v>
          </cell>
          <cell r="N375">
            <v>5.8</v>
          </cell>
          <cell r="O375">
            <v>4.5</v>
          </cell>
          <cell r="P375">
            <v>1.2999999999999998</v>
          </cell>
        </row>
        <row r="376">
          <cell r="A376" t="str">
            <v>2001:3</v>
          </cell>
          <cell r="B376">
            <v>216.69063608972871</v>
          </cell>
          <cell r="C376">
            <v>270.29253185771751</v>
          </cell>
          <cell r="D376">
            <v>0.80168932008744909</v>
          </cell>
          <cell r="E376">
            <v>216.69063608972871</v>
          </cell>
          <cell r="F376">
            <v>270.29253185771751</v>
          </cell>
          <cell r="G376">
            <v>0.80168932008744909</v>
          </cell>
          <cell r="H376">
            <v>9.6</v>
          </cell>
          <cell r="I376">
            <v>7.3</v>
          </cell>
          <cell r="J376">
            <v>2.2999999999999998</v>
          </cell>
          <cell r="K376">
            <v>220.6</v>
          </cell>
          <cell r="L376">
            <v>283.89999999999998</v>
          </cell>
          <cell r="M376">
            <v>0.77703416696019734</v>
          </cell>
          <cell r="N376">
            <v>8.9</v>
          </cell>
          <cell r="O376">
            <v>6.8</v>
          </cell>
          <cell r="P376">
            <v>2.1000000000000005</v>
          </cell>
        </row>
        <row r="377">
          <cell r="A377" t="str">
            <v>2001:4</v>
          </cell>
          <cell r="B377">
            <v>208.67740613613887</v>
          </cell>
          <cell r="C377">
            <v>198.63939385091356</v>
          </cell>
          <cell r="D377">
            <v>1.0505338447254788</v>
          </cell>
          <cell r="E377">
            <v>208.67740613613887</v>
          </cell>
          <cell r="F377">
            <v>198.63939385091356</v>
          </cell>
          <cell r="G377">
            <v>1.0505338447254788</v>
          </cell>
          <cell r="H377">
            <v>9.6</v>
          </cell>
          <cell r="I377">
            <v>9.9</v>
          </cell>
          <cell r="J377">
            <v>-0.30000000000000071</v>
          </cell>
          <cell r="K377">
            <v>196.5</v>
          </cell>
          <cell r="L377">
            <v>190.3</v>
          </cell>
          <cell r="M377">
            <v>1.0325801366263794</v>
          </cell>
          <cell r="N377">
            <v>9.5</v>
          </cell>
          <cell r="O377">
            <v>9.6999999999999993</v>
          </cell>
          <cell r="P377">
            <v>-0.19999999999999929</v>
          </cell>
        </row>
        <row r="378">
          <cell r="A378" t="str">
            <v>2001:5</v>
          </cell>
          <cell r="B378">
            <v>65.331636744309208</v>
          </cell>
          <cell r="C378">
            <v>94.205291641343422</v>
          </cell>
          <cell r="D378">
            <v>0.69350283414055514</v>
          </cell>
          <cell r="E378">
            <v>65.331636744309208</v>
          </cell>
          <cell r="F378">
            <v>94.205291641343422</v>
          </cell>
          <cell r="G378">
            <v>0.69350283414055514</v>
          </cell>
          <cell r="H378">
            <v>15.5</v>
          </cell>
          <cell r="I378">
            <v>13.6</v>
          </cell>
          <cell r="J378">
            <v>1.9000000000000004</v>
          </cell>
          <cell r="K378">
            <v>52.5</v>
          </cell>
          <cell r="L378">
            <v>95</v>
          </cell>
          <cell r="M378">
            <v>0.55263157894736847</v>
          </cell>
          <cell r="N378">
            <v>15.8</v>
          </cell>
          <cell r="O378">
            <v>13.3</v>
          </cell>
          <cell r="P378">
            <v>2.5</v>
          </cell>
        </row>
        <row r="379">
          <cell r="A379" t="str">
            <v>2001:6</v>
          </cell>
          <cell r="B379">
            <v>32.899521953737789</v>
          </cell>
          <cell r="C379">
            <v>33.639009300779129</v>
          </cell>
          <cell r="D379">
            <v>0.97801697010666089</v>
          </cell>
          <cell r="E379">
            <v>0</v>
          </cell>
          <cell r="F379">
            <v>0</v>
          </cell>
          <cell r="G379">
            <v>1</v>
          </cell>
          <cell r="H379">
            <v>17.5</v>
          </cell>
          <cell r="I379">
            <v>16.8</v>
          </cell>
          <cell r="J379">
            <v>0.69999999999999929</v>
          </cell>
          <cell r="K379">
            <v>18.3</v>
          </cell>
          <cell r="L379">
            <v>31.5</v>
          </cell>
          <cell r="M379">
            <v>0.580952380952381</v>
          </cell>
          <cell r="N379">
            <v>17.600000000000001</v>
          </cell>
          <cell r="O379">
            <v>16.399999999999999</v>
          </cell>
          <cell r="P379">
            <v>1.2000000000000028</v>
          </cell>
        </row>
        <row r="380">
          <cell r="A380" t="str">
            <v>2001:7</v>
          </cell>
          <cell r="B380">
            <v>7.9739221188482698</v>
          </cell>
          <cell r="C380">
            <v>9.8992241828118033</v>
          </cell>
          <cell r="D380">
            <v>0.80550980274732342</v>
          </cell>
          <cell r="E380">
            <v>0</v>
          </cell>
          <cell r="F380">
            <v>0</v>
          </cell>
          <cell r="G380">
            <v>1</v>
          </cell>
          <cell r="H380">
            <v>19.899999999999999</v>
          </cell>
          <cell r="I380">
            <v>19.2</v>
          </cell>
          <cell r="J380">
            <v>0.69999999999999929</v>
          </cell>
          <cell r="K380">
            <v>4.8</v>
          </cell>
          <cell r="L380">
            <v>8.9</v>
          </cell>
          <cell r="M380">
            <v>0.5393258426966292</v>
          </cell>
          <cell r="N380">
            <v>19.899999999999999</v>
          </cell>
          <cell r="O380">
            <v>18.399999999999999</v>
          </cell>
          <cell r="P380">
            <v>1.5</v>
          </cell>
        </row>
        <row r="381">
          <cell r="A381" t="str">
            <v>2001:8</v>
          </cell>
          <cell r="B381">
            <v>2.557363099244264</v>
          </cell>
          <cell r="C381">
            <v>9.4425505166936539</v>
          </cell>
          <cell r="D381">
            <v>0.27083393355672875</v>
          </cell>
          <cell r="E381">
            <v>0</v>
          </cell>
          <cell r="F381">
            <v>0</v>
          </cell>
          <cell r="G381">
            <v>1</v>
          </cell>
          <cell r="H381">
            <v>20.5</v>
          </cell>
          <cell r="I381">
            <v>18.899999999999999</v>
          </cell>
          <cell r="J381">
            <v>1.6000000000000014</v>
          </cell>
          <cell r="K381">
            <v>0.3</v>
          </cell>
          <cell r="L381">
            <v>9.1</v>
          </cell>
          <cell r="M381">
            <v>3.2967032967032968E-2</v>
          </cell>
          <cell r="N381">
            <v>20.2</v>
          </cell>
          <cell r="O381">
            <v>18.2</v>
          </cell>
          <cell r="P381">
            <v>2</v>
          </cell>
        </row>
        <row r="382">
          <cell r="A382" t="str">
            <v>2001:9</v>
          </cell>
          <cell r="B382">
            <v>70.703950961915481</v>
          </cell>
          <cell r="C382">
            <v>43.697695496746512</v>
          </cell>
          <cell r="D382">
            <v>1.6180247072109262</v>
          </cell>
          <cell r="E382">
            <v>0</v>
          </cell>
          <cell r="F382">
            <v>0</v>
          </cell>
          <cell r="G382">
            <v>1</v>
          </cell>
          <cell r="H382">
            <v>14.6</v>
          </cell>
          <cell r="I382">
            <v>16.5</v>
          </cell>
          <cell r="J382">
            <v>-1.9000000000000004</v>
          </cell>
          <cell r="K382">
            <v>62.2</v>
          </cell>
          <cell r="L382">
            <v>39.4</v>
          </cell>
          <cell r="M382">
            <v>1.5786802030456855</v>
          </cell>
          <cell r="N382">
            <v>13.9</v>
          </cell>
          <cell r="O382">
            <v>15.7</v>
          </cell>
          <cell r="P382">
            <v>-1.7999999999999989</v>
          </cell>
        </row>
        <row r="383">
          <cell r="A383" t="str">
            <v>2001:10</v>
          </cell>
          <cell r="B383">
            <v>50.907607538620972</v>
          </cell>
          <cell r="C383">
            <v>132.10004667845612</v>
          </cell>
          <cell r="D383">
            <v>0.38537160900885109</v>
          </cell>
          <cell r="E383">
            <v>50.907607538620972</v>
          </cell>
          <cell r="F383">
            <v>132.10004667845612</v>
          </cell>
          <cell r="G383">
            <v>0.38537160900885109</v>
          </cell>
          <cell r="H383">
            <v>15.3</v>
          </cell>
          <cell r="I383">
            <v>12.6</v>
          </cell>
          <cell r="J383">
            <v>2.7000000000000011</v>
          </cell>
          <cell r="K383">
            <v>36.799999999999997</v>
          </cell>
          <cell r="L383">
            <v>133.80000000000001</v>
          </cell>
          <cell r="M383">
            <v>0.27503736920777277</v>
          </cell>
          <cell r="N383">
            <v>15.2</v>
          </cell>
          <cell r="O383">
            <v>11.8</v>
          </cell>
          <cell r="P383">
            <v>3.3999999999999986</v>
          </cell>
        </row>
        <row r="384">
          <cell r="A384" t="str">
            <v>2001:11</v>
          </cell>
          <cell r="B384">
            <v>307.38346573073306</v>
          </cell>
          <cell r="C384">
            <v>277.9065874341735</v>
          </cell>
          <cell r="D384">
            <v>1.1060675767663897</v>
          </cell>
          <cell r="E384">
            <v>307.38346573073306</v>
          </cell>
          <cell r="F384">
            <v>277.9065874341735</v>
          </cell>
          <cell r="G384">
            <v>1.1060675767663897</v>
          </cell>
          <cell r="H384">
            <v>6.6</v>
          </cell>
          <cell r="I384">
            <v>7.6</v>
          </cell>
          <cell r="J384">
            <v>-1</v>
          </cell>
          <cell r="K384">
            <v>278.3</v>
          </cell>
          <cell r="L384">
            <v>272.89999999999998</v>
          </cell>
          <cell r="M384">
            <v>1.0197874679369734</v>
          </cell>
          <cell r="N384">
            <v>6.7</v>
          </cell>
          <cell r="O384">
            <v>6.9</v>
          </cell>
          <cell r="P384">
            <v>-0.20000000000000018</v>
          </cell>
        </row>
        <row r="385">
          <cell r="A385" t="str">
            <v>2001:12</v>
          </cell>
          <cell r="B385">
            <v>428.73421624003873</v>
          </cell>
          <cell r="C385">
            <v>363.68818352813111</v>
          </cell>
          <cell r="D385">
            <v>1.1788511028345696</v>
          </cell>
          <cell r="E385">
            <v>428.73421624003873</v>
          </cell>
          <cell r="F385">
            <v>363.68818352813111</v>
          </cell>
          <cell r="G385">
            <v>1.1788511028345696</v>
          </cell>
          <cell r="H385">
            <v>3.1</v>
          </cell>
          <cell r="I385">
            <v>4.8</v>
          </cell>
          <cell r="J385">
            <v>-1.6999999999999997</v>
          </cell>
          <cell r="K385">
            <v>392.8</v>
          </cell>
          <cell r="L385">
            <v>363.6</v>
          </cell>
          <cell r="M385">
            <v>1.0803080308030804</v>
          </cell>
          <cell r="N385">
            <v>3.3</v>
          </cell>
          <cell r="O385">
            <v>4.3</v>
          </cell>
          <cell r="P385">
            <v>-1</v>
          </cell>
        </row>
        <row r="386">
          <cell r="A386" t="str">
            <v>2002:1</v>
          </cell>
          <cell r="B386">
            <v>356.36973896925912</v>
          </cell>
          <cell r="C386">
            <v>392.91081774346333</v>
          </cell>
          <cell r="D386">
            <v>0.90699905137744929</v>
          </cell>
          <cell r="E386">
            <v>356.36973896925912</v>
          </cell>
          <cell r="F386">
            <v>392.91081774346333</v>
          </cell>
          <cell r="G386">
            <v>0.90699905137744929</v>
          </cell>
          <cell r="H386">
            <v>5.2</v>
          </cell>
          <cell r="I386">
            <v>4</v>
          </cell>
          <cell r="J386">
            <v>1.2000000000000002</v>
          </cell>
          <cell r="K386">
            <v>323.5</v>
          </cell>
          <cell r="L386">
            <v>388.5</v>
          </cell>
          <cell r="M386">
            <v>0.83268983268983265</v>
          </cell>
          <cell r="N386">
            <v>5.6</v>
          </cell>
          <cell r="O386">
            <v>3.5</v>
          </cell>
          <cell r="P386">
            <v>2.0999999999999996</v>
          </cell>
        </row>
        <row r="387">
          <cell r="A387" t="str">
            <v>2002:2</v>
          </cell>
          <cell r="B387">
            <v>242.19541402323154</v>
          </cell>
          <cell r="C387">
            <v>331.22294910654443</v>
          </cell>
          <cell r="D387">
            <v>0.7312156801832127</v>
          </cell>
          <cell r="E387">
            <v>242.19541402323154</v>
          </cell>
          <cell r="F387">
            <v>331.22294910654443</v>
          </cell>
          <cell r="G387">
            <v>0.7312156801832127</v>
          </cell>
          <cell r="H387">
            <v>8</v>
          </cell>
          <cell r="I387">
            <v>5.0999999999999996</v>
          </cell>
          <cell r="J387">
            <v>2.9000000000000004</v>
          </cell>
          <cell r="K387">
            <v>215.2</v>
          </cell>
          <cell r="L387">
            <v>326.10000000000002</v>
          </cell>
          <cell r="M387">
            <v>0.65992026985587238</v>
          </cell>
          <cell r="N387">
            <v>8.3000000000000007</v>
          </cell>
          <cell r="O387">
            <v>4.5</v>
          </cell>
          <cell r="P387">
            <v>3.8000000000000007</v>
          </cell>
        </row>
        <row r="388">
          <cell r="A388" t="str">
            <v>2002:3</v>
          </cell>
          <cell r="B388">
            <v>228.86463836200565</v>
          </cell>
          <cell r="C388">
            <v>270.29253185771751</v>
          </cell>
          <cell r="D388">
            <v>0.84672941863773143</v>
          </cell>
          <cell r="E388">
            <v>228.86463836200565</v>
          </cell>
          <cell r="F388">
            <v>270.29253185771751</v>
          </cell>
          <cell r="G388">
            <v>0.84672941863773143</v>
          </cell>
          <cell r="H388">
            <v>9.1999999999999993</v>
          </cell>
          <cell r="I388">
            <v>7.3</v>
          </cell>
          <cell r="J388">
            <v>1.8999999999999995</v>
          </cell>
          <cell r="K388">
            <v>213.9</v>
          </cell>
          <cell r="L388">
            <v>283.89999999999998</v>
          </cell>
          <cell r="M388">
            <v>0.75343430785487853</v>
          </cell>
          <cell r="N388">
            <v>9.1</v>
          </cell>
          <cell r="O388">
            <v>6.8</v>
          </cell>
          <cell r="P388">
            <v>2.2999999999999998</v>
          </cell>
        </row>
        <row r="389">
          <cell r="A389" t="str">
            <v>2002:4</v>
          </cell>
          <cell r="B389">
            <v>165.07854259673391</v>
          </cell>
          <cell r="C389">
            <v>198.63939385091356</v>
          </cell>
          <cell r="D389">
            <v>0.83104634683204703</v>
          </cell>
          <cell r="E389">
            <v>165.07854259673391</v>
          </cell>
          <cell r="F389">
            <v>198.63939385091356</v>
          </cell>
          <cell r="G389">
            <v>0.83104634683204703</v>
          </cell>
          <cell r="H389">
            <v>11.1</v>
          </cell>
          <cell r="I389">
            <v>9.9</v>
          </cell>
          <cell r="J389">
            <v>1.1999999999999993</v>
          </cell>
          <cell r="K389">
            <v>149.1</v>
          </cell>
          <cell r="L389">
            <v>190.3</v>
          </cell>
          <cell r="M389">
            <v>0.78349973725696265</v>
          </cell>
          <cell r="N389">
            <v>11</v>
          </cell>
          <cell r="O389">
            <v>9.6999999999999993</v>
          </cell>
          <cell r="P389">
            <v>1.3000000000000007</v>
          </cell>
        </row>
        <row r="390">
          <cell r="A390" t="str">
            <v>2002:5</v>
          </cell>
          <cell r="B390">
            <v>95.535594820227018</v>
          </cell>
          <cell r="C390">
            <v>94.205291641343422</v>
          </cell>
          <cell r="D390">
            <v>1.0141213211668438</v>
          </cell>
          <cell r="E390">
            <v>95.535594820227018</v>
          </cell>
          <cell r="F390">
            <v>94.205291641343422</v>
          </cell>
          <cell r="G390">
            <v>1.0141213211668438</v>
          </cell>
          <cell r="H390">
            <v>13.9</v>
          </cell>
          <cell r="I390">
            <v>13.6</v>
          </cell>
          <cell r="J390">
            <v>0.30000000000000071</v>
          </cell>
          <cell r="K390">
            <v>73.3</v>
          </cell>
          <cell r="L390">
            <v>95</v>
          </cell>
          <cell r="M390">
            <v>0.77157894736842103</v>
          </cell>
          <cell r="N390">
            <v>14.1</v>
          </cell>
          <cell r="O390">
            <v>13.3</v>
          </cell>
          <cell r="P390">
            <v>0.79999999999999893</v>
          </cell>
        </row>
        <row r="391">
          <cell r="A391" t="str">
            <v>2002:6</v>
          </cell>
          <cell r="B391">
            <v>19.442447946496138</v>
          </cell>
          <cell r="C391">
            <v>33.639009300779129</v>
          </cell>
          <cell r="D391">
            <v>0.57797326231143853</v>
          </cell>
          <cell r="E391">
            <v>0</v>
          </cell>
          <cell r="F391">
            <v>0</v>
          </cell>
          <cell r="G391">
            <v>1</v>
          </cell>
          <cell r="H391">
            <v>18.5</v>
          </cell>
          <cell r="I391">
            <v>16.8</v>
          </cell>
          <cell r="J391">
            <v>1.6999999999999993</v>
          </cell>
          <cell r="K391">
            <v>5.9</v>
          </cell>
          <cell r="L391">
            <v>31.5</v>
          </cell>
          <cell r="M391">
            <v>0.1873015873015873</v>
          </cell>
          <cell r="N391">
            <v>18.399999999999999</v>
          </cell>
          <cell r="O391">
            <v>16.399999999999999</v>
          </cell>
          <cell r="P391">
            <v>2</v>
          </cell>
        </row>
        <row r="392">
          <cell r="A392" t="str">
            <v>2002:7</v>
          </cell>
          <cell r="B392">
            <v>8.769351114294917</v>
          </cell>
          <cell r="C392">
            <v>9.8992241828118033</v>
          </cell>
          <cell r="D392">
            <v>0.88586246278989167</v>
          </cell>
          <cell r="E392">
            <v>0</v>
          </cell>
          <cell r="F392">
            <v>0</v>
          </cell>
          <cell r="G392">
            <v>1</v>
          </cell>
          <cell r="H392">
            <v>19</v>
          </cell>
          <cell r="I392">
            <v>19.2</v>
          </cell>
          <cell r="J392">
            <v>-0.19999999999999929</v>
          </cell>
          <cell r="K392">
            <v>2.5</v>
          </cell>
          <cell r="L392">
            <v>8.9</v>
          </cell>
          <cell r="M392">
            <v>0.28089887640449435</v>
          </cell>
          <cell r="N392">
            <v>18.899999999999999</v>
          </cell>
          <cell r="O392">
            <v>18.399999999999999</v>
          </cell>
          <cell r="P392">
            <v>0.5</v>
          </cell>
        </row>
        <row r="393">
          <cell r="A393" t="str">
            <v>2002:8</v>
          </cell>
          <cell r="B393">
            <v>3.5925493043683097</v>
          </cell>
          <cell r="C393">
            <v>9.4425505166936539</v>
          </cell>
          <cell r="D393">
            <v>0.38046386916511354</v>
          </cell>
          <cell r="E393">
            <v>0</v>
          </cell>
          <cell r="F393">
            <v>0</v>
          </cell>
          <cell r="G393">
            <v>1</v>
          </cell>
          <cell r="H393">
            <v>19</v>
          </cell>
          <cell r="I393">
            <v>18.899999999999999</v>
          </cell>
          <cell r="J393">
            <v>0.10000000000000142</v>
          </cell>
          <cell r="K393">
            <v>0</v>
          </cell>
          <cell r="L393">
            <v>9.1</v>
          </cell>
          <cell r="M393">
            <v>0</v>
          </cell>
          <cell r="N393">
            <v>19.100000000000001</v>
          </cell>
          <cell r="O393">
            <v>18.2</v>
          </cell>
          <cell r="P393">
            <v>0.90000000000000213</v>
          </cell>
        </row>
        <row r="394">
          <cell r="A394" t="str">
            <v>2002:9</v>
          </cell>
          <cell r="B394">
            <v>47.063553052847752</v>
          </cell>
          <cell r="C394">
            <v>43.697695496746512</v>
          </cell>
          <cell r="D394">
            <v>1.0770259739750314</v>
          </cell>
          <cell r="E394">
            <v>0</v>
          </cell>
          <cell r="F394">
            <v>0</v>
          </cell>
          <cell r="G394">
            <v>1</v>
          </cell>
          <cell r="H394">
            <v>15.7</v>
          </cell>
          <cell r="I394">
            <v>16.5</v>
          </cell>
          <cell r="J394">
            <v>-0.80000000000000071</v>
          </cell>
          <cell r="K394">
            <v>38.299999999999997</v>
          </cell>
          <cell r="L394">
            <v>39.4</v>
          </cell>
          <cell r="M394">
            <v>0.97208121827411165</v>
          </cell>
          <cell r="N394">
            <v>15.4</v>
          </cell>
          <cell r="O394">
            <v>15.7</v>
          </cell>
          <cell r="P394">
            <v>-0.29999999999999893</v>
          </cell>
        </row>
        <row r="395">
          <cell r="A395" t="str">
            <v>2002:10</v>
          </cell>
          <cell r="B395">
            <v>122.66286147714746</v>
          </cell>
          <cell r="C395">
            <v>132.10004667845612</v>
          </cell>
          <cell r="D395">
            <v>0.92856031895068392</v>
          </cell>
          <cell r="E395">
            <v>122.66286147714746</v>
          </cell>
          <cell r="F395">
            <v>132.10004667845612</v>
          </cell>
          <cell r="G395">
            <v>0.92856031895068392</v>
          </cell>
          <cell r="H395">
            <v>12.7</v>
          </cell>
          <cell r="I395">
            <v>12.6</v>
          </cell>
          <cell r="J395">
            <v>9.9999999999999645E-2</v>
          </cell>
          <cell r="K395">
            <v>118.1</v>
          </cell>
          <cell r="L395">
            <v>133.80000000000001</v>
          </cell>
          <cell r="M395">
            <v>0.88266068759342287</v>
          </cell>
          <cell r="N395">
            <v>12.2</v>
          </cell>
          <cell r="O395">
            <v>11.8</v>
          </cell>
          <cell r="P395">
            <v>0.39999999999999858</v>
          </cell>
        </row>
        <row r="396">
          <cell r="A396" t="str">
            <v>2002:11</v>
          </cell>
          <cell r="B396">
            <v>209.22881985228753</v>
          </cell>
          <cell r="C396">
            <v>277.9065874341735</v>
          </cell>
          <cell r="D396">
            <v>0.75287463238649077</v>
          </cell>
          <cell r="E396">
            <v>209.22881985228753</v>
          </cell>
          <cell r="F396">
            <v>277.9065874341735</v>
          </cell>
          <cell r="G396">
            <v>0.75287463238649077</v>
          </cell>
          <cell r="H396">
            <v>9.6999999999999993</v>
          </cell>
          <cell r="I396">
            <v>7.6</v>
          </cell>
          <cell r="J396">
            <v>2.0999999999999996</v>
          </cell>
          <cell r="K396">
            <v>198</v>
          </cell>
          <cell r="L396">
            <v>272.89999999999998</v>
          </cell>
          <cell r="M396">
            <v>0.72554049102235252</v>
          </cell>
          <cell r="N396">
            <v>9.4</v>
          </cell>
          <cell r="O396">
            <v>6.9</v>
          </cell>
          <cell r="P396">
            <v>2.5</v>
          </cell>
        </row>
        <row r="397">
          <cell r="A397" t="str">
            <v>2002:12</v>
          </cell>
          <cell r="B397">
            <v>300.26260020887457</v>
          </cell>
          <cell r="C397">
            <v>363.68818352813111</v>
          </cell>
          <cell r="D397">
            <v>0.82560449805114278</v>
          </cell>
          <cell r="E397">
            <v>300.26260020887457</v>
          </cell>
          <cell r="F397">
            <v>363.68818352813111</v>
          </cell>
          <cell r="G397">
            <v>0.82560449805114278</v>
          </cell>
          <cell r="H397">
            <v>7.2</v>
          </cell>
          <cell r="I397">
            <v>4.8</v>
          </cell>
          <cell r="J397">
            <v>2.4000000000000004</v>
          </cell>
          <cell r="K397">
            <v>280.89999999999998</v>
          </cell>
          <cell r="L397">
            <v>363.6</v>
          </cell>
          <cell r="M397">
            <v>0.7725522552255224</v>
          </cell>
          <cell r="N397">
            <v>6.9</v>
          </cell>
          <cell r="O397">
            <v>4.3</v>
          </cell>
          <cell r="P397">
            <v>2.6000000000000005</v>
          </cell>
        </row>
        <row r="398">
          <cell r="A398" t="str">
            <v>2003:1</v>
          </cell>
          <cell r="B398">
            <v>422.87648282048752</v>
          </cell>
          <cell r="C398">
            <v>392.91081774346333</v>
          </cell>
          <cell r="D398">
            <v>1.0762658184091769</v>
          </cell>
          <cell r="E398">
            <v>422.87648282048752</v>
          </cell>
          <cell r="F398">
            <v>392.91081774346333</v>
          </cell>
          <cell r="G398">
            <v>1.0762658184091769</v>
          </cell>
          <cell r="H398">
            <v>3.4</v>
          </cell>
          <cell r="I398">
            <v>4</v>
          </cell>
          <cell r="J398">
            <v>-0.60000000000000009</v>
          </cell>
          <cell r="K398">
            <v>396.8</v>
          </cell>
          <cell r="L398">
            <v>388.5</v>
          </cell>
          <cell r="M398">
            <v>1.0213642213642213</v>
          </cell>
          <cell r="N398">
            <v>3.2</v>
          </cell>
          <cell r="O398">
            <v>3.5</v>
          </cell>
          <cell r="P398">
            <v>-0.29999999999999982</v>
          </cell>
        </row>
        <row r="399">
          <cell r="A399" t="str">
            <v>2003:2</v>
          </cell>
          <cell r="B399">
            <v>360.2318752479456</v>
          </cell>
          <cell r="C399">
            <v>331.22294910654443</v>
          </cell>
          <cell r="D399">
            <v>1.0875812688089734</v>
          </cell>
          <cell r="E399">
            <v>360.2318752479456</v>
          </cell>
          <cell r="F399">
            <v>331.22294910654443</v>
          </cell>
          <cell r="G399">
            <v>1.0875812688089734</v>
          </cell>
          <cell r="H399">
            <v>2.8</v>
          </cell>
          <cell r="I399">
            <v>5.0999999999999996</v>
          </cell>
          <cell r="J399">
            <v>-2.2999999999999998</v>
          </cell>
          <cell r="K399">
            <v>347</v>
          </cell>
          <cell r="L399">
            <v>326.10000000000002</v>
          </cell>
          <cell r="M399">
            <v>1.0640907697025452</v>
          </cell>
          <cell r="N399">
            <v>3.6</v>
          </cell>
          <cell r="O399">
            <v>4.5</v>
          </cell>
          <cell r="P399">
            <v>-0.89999999999999991</v>
          </cell>
        </row>
        <row r="400">
          <cell r="A400" t="str">
            <v>2003:3</v>
          </cell>
          <cell r="B400">
            <v>208.18476415663835</v>
          </cell>
          <cell r="C400">
            <v>270.29253185771751</v>
          </cell>
          <cell r="D400">
            <v>0.77022018598067377</v>
          </cell>
          <cell r="E400">
            <v>208.18476415663835</v>
          </cell>
          <cell r="F400">
            <v>270.29253185771751</v>
          </cell>
          <cell r="G400">
            <v>0.77022018598067377</v>
          </cell>
          <cell r="H400">
            <v>9.6999999999999993</v>
          </cell>
          <cell r="I400">
            <v>7.3</v>
          </cell>
          <cell r="J400">
            <v>2.3999999999999995</v>
          </cell>
          <cell r="K400">
            <v>183</v>
          </cell>
          <cell r="L400">
            <v>283.89999999999998</v>
          </cell>
          <cell r="M400">
            <v>0.64459316660796062</v>
          </cell>
          <cell r="N400">
            <v>10.1</v>
          </cell>
          <cell r="O400">
            <v>6.8</v>
          </cell>
          <cell r="P400">
            <v>3.3</v>
          </cell>
        </row>
        <row r="401">
          <cell r="A401" t="str">
            <v>2003:4</v>
          </cell>
          <cell r="B401">
            <v>152.87052105923271</v>
          </cell>
          <cell r="C401">
            <v>198.63939385091356</v>
          </cell>
          <cell r="D401">
            <v>0.76958813705386087</v>
          </cell>
          <cell r="E401">
            <v>152.87052105923271</v>
          </cell>
          <cell r="F401">
            <v>198.63939385091356</v>
          </cell>
          <cell r="G401">
            <v>0.76958813705386087</v>
          </cell>
          <cell r="H401">
            <v>11.6</v>
          </cell>
          <cell r="I401">
            <v>9.9</v>
          </cell>
          <cell r="J401">
            <v>1.6999999999999993</v>
          </cell>
          <cell r="K401">
            <v>142</v>
          </cell>
          <cell r="L401">
            <v>190.3</v>
          </cell>
          <cell r="M401">
            <v>0.74619022595901208</v>
          </cell>
          <cell r="N401">
            <v>11.5</v>
          </cell>
          <cell r="O401">
            <v>9.6999999999999993</v>
          </cell>
          <cell r="P401">
            <v>1.8000000000000007</v>
          </cell>
        </row>
        <row r="402">
          <cell r="A402" t="str">
            <v>2003:5</v>
          </cell>
          <cell r="B402">
            <v>73.531475106246518</v>
          </cell>
          <cell r="C402">
            <v>94.205291641343422</v>
          </cell>
          <cell r="D402">
            <v>0.78054506095256448</v>
          </cell>
          <cell r="E402">
            <v>73.531475106246518</v>
          </cell>
          <cell r="F402">
            <v>94.205291641343422</v>
          </cell>
          <cell r="G402">
            <v>0.78054506095256448</v>
          </cell>
          <cell r="H402">
            <v>15.2</v>
          </cell>
          <cell r="I402">
            <v>13.6</v>
          </cell>
          <cell r="J402">
            <v>1.5999999999999996</v>
          </cell>
          <cell r="K402">
            <v>49.9</v>
          </cell>
          <cell r="L402">
            <v>95</v>
          </cell>
          <cell r="M402">
            <v>0.52526315789473688</v>
          </cell>
          <cell r="N402">
            <v>15.2</v>
          </cell>
          <cell r="O402">
            <v>13.3</v>
          </cell>
          <cell r="P402">
            <v>1.8999999999999986</v>
          </cell>
        </row>
        <row r="403">
          <cell r="A403" t="str">
            <v>2003:6</v>
          </cell>
          <cell r="B403">
            <v>0.66227624322232359</v>
          </cell>
          <cell r="C403">
            <v>33.639009300779129</v>
          </cell>
          <cell r="D403">
            <v>1.968774518002777E-2</v>
          </cell>
          <cell r="E403">
            <v>0</v>
          </cell>
          <cell r="F403">
            <v>0</v>
          </cell>
          <cell r="G403">
            <v>1</v>
          </cell>
          <cell r="H403">
            <v>21.5</v>
          </cell>
          <cell r="I403">
            <v>16.8</v>
          </cell>
          <cell r="J403">
            <v>4.6999999999999993</v>
          </cell>
          <cell r="K403">
            <v>0</v>
          </cell>
          <cell r="L403">
            <v>31.5</v>
          </cell>
          <cell r="M403">
            <v>0</v>
          </cell>
          <cell r="N403">
            <v>20.9</v>
          </cell>
          <cell r="O403">
            <v>16.399999999999999</v>
          </cell>
          <cell r="P403">
            <v>4.5</v>
          </cell>
        </row>
        <row r="404">
          <cell r="A404" t="str">
            <v>2003:7</v>
          </cell>
          <cell r="B404">
            <v>1.2365672973429978</v>
          </cell>
          <cell r="C404">
            <v>9.8992241828118033</v>
          </cell>
          <cell r="D404">
            <v>0.12491557666610593</v>
          </cell>
          <cell r="E404">
            <v>0</v>
          </cell>
          <cell r="F404">
            <v>0</v>
          </cell>
          <cell r="G404">
            <v>1</v>
          </cell>
          <cell r="H404">
            <v>21.3</v>
          </cell>
          <cell r="I404">
            <v>19.2</v>
          </cell>
          <cell r="J404">
            <v>2.1000000000000014</v>
          </cell>
          <cell r="K404">
            <v>0</v>
          </cell>
          <cell r="L404">
            <v>8.9</v>
          </cell>
          <cell r="M404">
            <v>0</v>
          </cell>
          <cell r="N404">
            <v>21</v>
          </cell>
          <cell r="O404">
            <v>18.399999999999999</v>
          </cell>
          <cell r="P404">
            <v>2.6000000000000014</v>
          </cell>
        </row>
        <row r="405">
          <cell r="A405" t="str">
            <v>2003:8</v>
          </cell>
          <cell r="B405">
            <v>2.472302136789637</v>
          </cell>
          <cell r="C405">
            <v>9.4425505166936539</v>
          </cell>
          <cell r="D405">
            <v>0.26182567225018388</v>
          </cell>
          <cell r="E405">
            <v>0</v>
          </cell>
          <cell r="F405">
            <v>0</v>
          </cell>
          <cell r="G405">
            <v>1</v>
          </cell>
          <cell r="H405">
            <v>23.8</v>
          </cell>
          <cell r="I405">
            <v>18.899999999999999</v>
          </cell>
          <cell r="J405">
            <v>4.9000000000000021</v>
          </cell>
          <cell r="K405">
            <v>2.6</v>
          </cell>
          <cell r="L405">
            <v>9.1</v>
          </cell>
          <cell r="M405">
            <v>0.28571428571428575</v>
          </cell>
          <cell r="N405">
            <v>23.3</v>
          </cell>
          <cell r="O405">
            <v>18.2</v>
          </cell>
          <cell r="P405">
            <v>5.1000000000000014</v>
          </cell>
        </row>
        <row r="406">
          <cell r="A406" t="str">
            <v>2003:9</v>
          </cell>
          <cell r="B406">
            <v>29.989080426761536</v>
          </cell>
          <cell r="C406">
            <v>43.697695496746512</v>
          </cell>
          <cell r="D406">
            <v>0.68628517101077691</v>
          </cell>
          <cell r="E406">
            <v>0</v>
          </cell>
          <cell r="F406">
            <v>0</v>
          </cell>
          <cell r="G406">
            <v>1</v>
          </cell>
          <cell r="H406">
            <v>16.899999999999999</v>
          </cell>
          <cell r="I406">
            <v>16.5</v>
          </cell>
          <cell r="J406">
            <v>0.39999999999999858</v>
          </cell>
          <cell r="K406">
            <v>28.4</v>
          </cell>
          <cell r="L406">
            <v>39.4</v>
          </cell>
          <cell r="M406">
            <v>0.72081218274111669</v>
          </cell>
          <cell r="N406">
            <v>16.3</v>
          </cell>
          <cell r="O406">
            <v>15.7</v>
          </cell>
          <cell r="P406">
            <v>0.60000000000000142</v>
          </cell>
        </row>
        <row r="407">
          <cell r="A407" t="str">
            <v>2003:10</v>
          </cell>
          <cell r="B407">
            <v>195.2831158074311</v>
          </cell>
          <cell r="C407">
            <v>132.10004667845612</v>
          </cell>
          <cell r="D407">
            <v>1.47829709918853</v>
          </cell>
          <cell r="E407">
            <v>195.2831158074311</v>
          </cell>
          <cell r="F407">
            <v>132.10004667845612</v>
          </cell>
          <cell r="G407">
            <v>1.47829709918853</v>
          </cell>
          <cell r="H407">
            <v>10.6</v>
          </cell>
          <cell r="I407">
            <v>12.6</v>
          </cell>
          <cell r="J407">
            <v>-2</v>
          </cell>
          <cell r="K407">
            <v>202.8</v>
          </cell>
          <cell r="L407">
            <v>133.80000000000001</v>
          </cell>
          <cell r="M407">
            <v>1.5156950672645739</v>
          </cell>
          <cell r="N407">
            <v>9.5</v>
          </cell>
          <cell r="O407">
            <v>11.8</v>
          </cell>
          <cell r="P407">
            <v>-2.3000000000000007</v>
          </cell>
        </row>
        <row r="408">
          <cell r="A408" t="str">
            <v>2003:11</v>
          </cell>
          <cell r="B408">
            <v>229.22881890044999</v>
          </cell>
          <cell r="C408">
            <v>277.9065874341735</v>
          </cell>
          <cell r="D408">
            <v>0.82484125697360955</v>
          </cell>
          <cell r="E408">
            <v>229.22881890044999</v>
          </cell>
          <cell r="F408">
            <v>277.9065874341735</v>
          </cell>
          <cell r="G408">
            <v>0.82484125697360955</v>
          </cell>
          <cell r="H408">
            <v>9.1</v>
          </cell>
          <cell r="I408">
            <v>7.6</v>
          </cell>
          <cell r="J408">
            <v>1.5</v>
          </cell>
          <cell r="K408">
            <v>221.2</v>
          </cell>
          <cell r="L408">
            <v>272.89999999999998</v>
          </cell>
          <cell r="M408">
            <v>0.81055331623305238</v>
          </cell>
          <cell r="N408">
            <v>8.6</v>
          </cell>
          <cell r="O408">
            <v>6.9</v>
          </cell>
          <cell r="P408">
            <v>1.6999999999999993</v>
          </cell>
        </row>
        <row r="409">
          <cell r="A409" t="str">
            <v>2003:12</v>
          </cell>
          <cell r="B409">
            <v>352.73982429029371</v>
          </cell>
          <cell r="C409">
            <v>363.68818352813111</v>
          </cell>
          <cell r="D409">
            <v>0.96989630201446853</v>
          </cell>
          <cell r="E409">
            <v>352.73982429029371</v>
          </cell>
          <cell r="F409">
            <v>363.68818352813111</v>
          </cell>
          <cell r="G409">
            <v>0.96989630201446853</v>
          </cell>
          <cell r="H409">
            <v>5.5</v>
          </cell>
          <cell r="I409">
            <v>4.8</v>
          </cell>
          <cell r="J409">
            <v>0.70000000000000018</v>
          </cell>
          <cell r="K409">
            <v>338.1</v>
          </cell>
          <cell r="L409">
            <v>363.6</v>
          </cell>
          <cell r="M409">
            <v>0.92986798679867988</v>
          </cell>
          <cell r="N409">
            <v>5.0999999999999996</v>
          </cell>
          <cell r="O409">
            <v>4.3</v>
          </cell>
          <cell r="P409">
            <v>0.79999999999999982</v>
          </cell>
        </row>
        <row r="410">
          <cell r="A410" t="str">
            <v>2004:1</v>
          </cell>
          <cell r="B410">
            <v>366.59887424885795</v>
          </cell>
          <cell r="C410">
            <v>392.91081774346333</v>
          </cell>
          <cell r="D410">
            <v>0.9330332932910369</v>
          </cell>
          <cell r="E410">
            <v>366.59887424885795</v>
          </cell>
          <cell r="F410">
            <v>392.91081774346333</v>
          </cell>
          <cell r="G410">
            <v>0.9330332932910369</v>
          </cell>
          <cell r="H410">
            <v>5.0999999999999996</v>
          </cell>
          <cell r="I410">
            <v>4</v>
          </cell>
          <cell r="J410">
            <v>1.0999999999999996</v>
          </cell>
          <cell r="K410">
            <v>335.3</v>
          </cell>
          <cell r="L410">
            <v>388.5</v>
          </cell>
          <cell r="M410">
            <v>0.86306306306306313</v>
          </cell>
          <cell r="N410">
            <v>5.2</v>
          </cell>
          <cell r="O410">
            <v>3.5</v>
          </cell>
          <cell r="P410">
            <v>1.7000000000000002</v>
          </cell>
        </row>
        <row r="411">
          <cell r="A411" t="str">
            <v>2004:2</v>
          </cell>
          <cell r="B411">
            <v>329.03417285709907</v>
          </cell>
          <cell r="C411">
            <v>331.22294910654443</v>
          </cell>
          <cell r="D411">
            <v>0.99339183394342245</v>
          </cell>
          <cell r="E411">
            <v>329.03417285709907</v>
          </cell>
          <cell r="F411">
            <v>331.22294910654443</v>
          </cell>
          <cell r="G411">
            <v>0.99339183394342245</v>
          </cell>
          <cell r="H411">
            <v>5.0999999999999996</v>
          </cell>
          <cell r="I411">
            <v>5.0999999999999996</v>
          </cell>
          <cell r="J411">
            <v>0</v>
          </cell>
          <cell r="K411">
            <v>297.89999999999998</v>
          </cell>
          <cell r="L411">
            <v>326.10000000000002</v>
          </cell>
          <cell r="M411">
            <v>0.91352345906163746</v>
          </cell>
          <cell r="N411">
            <v>5.7</v>
          </cell>
          <cell r="O411">
            <v>4.5</v>
          </cell>
          <cell r="P411">
            <v>1.2000000000000002</v>
          </cell>
        </row>
        <row r="412">
          <cell r="A412" t="str">
            <v>2004:3</v>
          </cell>
          <cell r="B412">
            <v>296.85731185125638</v>
          </cell>
          <cell r="C412">
            <v>270.29253185771751</v>
          </cell>
          <cell r="D412">
            <v>1.0982815907304557</v>
          </cell>
          <cell r="E412">
            <v>296.85731185125638</v>
          </cell>
          <cell r="F412">
            <v>270.29253185771751</v>
          </cell>
          <cell r="G412">
            <v>1.0982815907304557</v>
          </cell>
          <cell r="H412">
            <v>7</v>
          </cell>
          <cell r="I412">
            <v>7.3</v>
          </cell>
          <cell r="J412">
            <v>-0.29999999999999982</v>
          </cell>
          <cell r="K412">
            <v>272.60000000000002</v>
          </cell>
          <cell r="L412">
            <v>283.89999999999998</v>
          </cell>
          <cell r="M412">
            <v>0.96019725255371624</v>
          </cell>
          <cell r="N412">
            <v>7.2</v>
          </cell>
          <cell r="O412">
            <v>6.8</v>
          </cell>
          <cell r="P412">
            <v>0.40000000000000036</v>
          </cell>
        </row>
        <row r="413">
          <cell r="A413" t="str">
            <v>2004:4</v>
          </cell>
          <cell r="B413">
            <v>175.60834837746319</v>
          </cell>
          <cell r="C413">
            <v>198.63939385091356</v>
          </cell>
          <cell r="D413">
            <v>0.88405600204994561</v>
          </cell>
          <cell r="E413">
            <v>175.60834837746319</v>
          </cell>
          <cell r="F413">
            <v>198.63939385091356</v>
          </cell>
          <cell r="G413">
            <v>0.88405600204994561</v>
          </cell>
          <cell r="H413">
            <v>10.6</v>
          </cell>
          <cell r="I413">
            <v>9.9</v>
          </cell>
          <cell r="J413">
            <v>0.69999999999999929</v>
          </cell>
          <cell r="K413">
            <v>146.4</v>
          </cell>
          <cell r="L413">
            <v>190.3</v>
          </cell>
          <cell r="M413">
            <v>0.76931161324224906</v>
          </cell>
          <cell r="N413">
            <v>11.1</v>
          </cell>
          <cell r="O413">
            <v>9.6999999999999993</v>
          </cell>
          <cell r="P413">
            <v>1.4000000000000004</v>
          </cell>
        </row>
        <row r="414">
          <cell r="A414" t="str">
            <v>2004:5</v>
          </cell>
          <cell r="B414">
            <v>102.9211049918577</v>
          </cell>
          <cell r="C414">
            <v>94.205291641343422</v>
          </cell>
          <cell r="D414">
            <v>1.0925193606288801</v>
          </cell>
          <cell r="E414">
            <v>102.9211049918577</v>
          </cell>
          <cell r="F414">
            <v>94.205291641343422</v>
          </cell>
          <cell r="G414">
            <v>1.0925193606288801</v>
          </cell>
          <cell r="H414">
            <v>13.7</v>
          </cell>
          <cell r="I414">
            <v>13.6</v>
          </cell>
          <cell r="J414">
            <v>9.9999999999999645E-2</v>
          </cell>
          <cell r="K414">
            <v>87.8</v>
          </cell>
          <cell r="L414">
            <v>95</v>
          </cell>
          <cell r="M414">
            <v>0.92421052631578948</v>
          </cell>
          <cell r="N414">
            <v>13.7</v>
          </cell>
          <cell r="O414">
            <v>13.3</v>
          </cell>
          <cell r="P414">
            <v>0.39999999999999858</v>
          </cell>
        </row>
        <row r="415">
          <cell r="A415" t="str">
            <v>2004:6</v>
          </cell>
          <cell r="B415">
            <v>16.537937551944136</v>
          </cell>
          <cell r="C415">
            <v>33.639009300779129</v>
          </cell>
          <cell r="D415">
            <v>0.49162974462393255</v>
          </cell>
          <cell r="E415">
            <v>0</v>
          </cell>
          <cell r="F415">
            <v>0</v>
          </cell>
          <cell r="G415">
            <v>1</v>
          </cell>
          <cell r="H415">
            <v>18.5</v>
          </cell>
          <cell r="I415">
            <v>16.8</v>
          </cell>
          <cell r="J415">
            <v>1.6999999999999993</v>
          </cell>
          <cell r="K415">
            <v>6.7</v>
          </cell>
          <cell r="L415">
            <v>31.5</v>
          </cell>
          <cell r="M415">
            <v>0.21269841269841269</v>
          </cell>
          <cell r="N415">
            <v>18.2</v>
          </cell>
          <cell r="O415">
            <v>16.399999999999999</v>
          </cell>
          <cell r="P415">
            <v>1.8000000000000007</v>
          </cell>
        </row>
        <row r="416">
          <cell r="A416" t="str">
            <v>2004:7</v>
          </cell>
          <cell r="B416">
            <v>11.429712029866847</v>
          </cell>
          <cell r="C416">
            <v>9.8992241828118033</v>
          </cell>
          <cell r="D416">
            <v>1.1546068478489917</v>
          </cell>
          <cell r="E416">
            <v>0</v>
          </cell>
          <cell r="F416">
            <v>0</v>
          </cell>
          <cell r="G416">
            <v>1</v>
          </cell>
          <cell r="H416">
            <v>19.399999999999999</v>
          </cell>
          <cell r="I416">
            <v>19.2</v>
          </cell>
          <cell r="J416">
            <v>0.19999999999999929</v>
          </cell>
          <cell r="K416">
            <v>6.8</v>
          </cell>
          <cell r="L416">
            <v>8.9</v>
          </cell>
          <cell r="M416">
            <v>0.7640449438202247</v>
          </cell>
          <cell r="N416">
            <v>19.2</v>
          </cell>
          <cell r="O416">
            <v>18.399999999999999</v>
          </cell>
          <cell r="P416">
            <v>0.80000000000000071</v>
          </cell>
        </row>
        <row r="417">
          <cell r="A417" t="str">
            <v>2004:8</v>
          </cell>
          <cell r="B417">
            <v>4.0838305578955136</v>
          </cell>
          <cell r="C417">
            <v>9.4425505166936539</v>
          </cell>
          <cell r="D417">
            <v>0.43249231769272894</v>
          </cell>
          <cell r="E417">
            <v>0</v>
          </cell>
          <cell r="F417">
            <v>0</v>
          </cell>
          <cell r="G417">
            <v>1</v>
          </cell>
          <cell r="H417">
            <v>20</v>
          </cell>
          <cell r="I417">
            <v>18.899999999999999</v>
          </cell>
          <cell r="J417">
            <v>1.1000000000000014</v>
          </cell>
          <cell r="K417">
            <v>0</v>
          </cell>
          <cell r="L417">
            <v>9.1</v>
          </cell>
          <cell r="M417">
            <v>0</v>
          </cell>
          <cell r="N417">
            <v>20.3</v>
          </cell>
          <cell r="O417">
            <v>18.2</v>
          </cell>
          <cell r="P417">
            <v>2.1000000000000014</v>
          </cell>
        </row>
        <row r="418">
          <cell r="A418" t="str">
            <v>2004:9</v>
          </cell>
          <cell r="B418">
            <v>30.938591509558663</v>
          </cell>
          <cell r="C418">
            <v>43.697695496746512</v>
          </cell>
          <cell r="D418">
            <v>0.70801425928427231</v>
          </cell>
          <cell r="E418">
            <v>0</v>
          </cell>
          <cell r="F418">
            <v>0</v>
          </cell>
          <cell r="G418">
            <v>1</v>
          </cell>
          <cell r="H418">
            <v>17.399999999999999</v>
          </cell>
          <cell r="I418">
            <v>16.5</v>
          </cell>
          <cell r="J418">
            <v>0.89999999999999858</v>
          </cell>
          <cell r="K418">
            <v>15.9</v>
          </cell>
          <cell r="L418">
            <v>39.4</v>
          </cell>
          <cell r="M418">
            <v>0.40355329949238583</v>
          </cell>
          <cell r="N418">
            <v>17.5</v>
          </cell>
          <cell r="O418">
            <v>15.7</v>
          </cell>
          <cell r="P418">
            <v>1.8000000000000007</v>
          </cell>
        </row>
        <row r="419">
          <cell r="A419" t="str">
            <v>2004:10</v>
          </cell>
          <cell r="B419">
            <v>106.23941680475004</v>
          </cell>
          <cell r="C419">
            <v>132.10004667845612</v>
          </cell>
          <cell r="D419">
            <v>0.80423451373447818</v>
          </cell>
          <cell r="E419">
            <v>106.23941680475004</v>
          </cell>
          <cell r="F419">
            <v>132.10004667845612</v>
          </cell>
          <cell r="G419">
            <v>0.80423451373447818</v>
          </cell>
          <cell r="H419">
            <v>13.6</v>
          </cell>
          <cell r="I419">
            <v>12.6</v>
          </cell>
          <cell r="J419">
            <v>1</v>
          </cell>
          <cell r="K419">
            <v>102.9</v>
          </cell>
          <cell r="L419">
            <v>133.80000000000001</v>
          </cell>
          <cell r="M419">
            <v>0.76905829596412556</v>
          </cell>
          <cell r="N419">
            <v>12.7</v>
          </cell>
          <cell r="O419">
            <v>11.8</v>
          </cell>
          <cell r="P419">
            <v>0.89999999999999858</v>
          </cell>
        </row>
        <row r="420">
          <cell r="A420" t="str">
            <v>2004:11</v>
          </cell>
          <cell r="B420">
            <v>277.27898425956488</v>
          </cell>
          <cell r="C420">
            <v>277.9065874341735</v>
          </cell>
          <cell r="D420">
            <v>0.99774167578968498</v>
          </cell>
          <cell r="E420">
            <v>277.27898425956488</v>
          </cell>
          <cell r="F420">
            <v>277.9065874341735</v>
          </cell>
          <cell r="G420">
            <v>0.99774167578968498</v>
          </cell>
          <cell r="H420">
            <v>7.6</v>
          </cell>
          <cell r="I420">
            <v>7.6</v>
          </cell>
          <cell r="J420">
            <v>0</v>
          </cell>
          <cell r="K420">
            <v>243.8</v>
          </cell>
          <cell r="L420">
            <v>272.89999999999998</v>
          </cell>
          <cell r="M420">
            <v>0.89336753389519985</v>
          </cell>
          <cell r="N420">
            <v>7.9</v>
          </cell>
          <cell r="O420">
            <v>6.9</v>
          </cell>
          <cell r="P420">
            <v>1</v>
          </cell>
        </row>
        <row r="421">
          <cell r="A421" t="str">
            <v>2004:12</v>
          </cell>
          <cell r="B421">
            <v>392.69867125627763</v>
          </cell>
          <cell r="C421">
            <v>363.68818352813111</v>
          </cell>
          <cell r="D421">
            <v>1.0797674740122607</v>
          </cell>
          <cell r="E421">
            <v>392.69867125627763</v>
          </cell>
          <cell r="F421">
            <v>363.68818352813111</v>
          </cell>
          <cell r="G421">
            <v>1.0797674740122607</v>
          </cell>
          <cell r="H421">
            <v>4.5</v>
          </cell>
          <cell r="I421">
            <v>4.8</v>
          </cell>
          <cell r="J421">
            <v>-0.29999999999999982</v>
          </cell>
          <cell r="K421">
            <v>380.4</v>
          </cell>
          <cell r="L421">
            <v>363.6</v>
          </cell>
          <cell r="M421">
            <v>1.0462046204620461</v>
          </cell>
          <cell r="N421">
            <v>3.7</v>
          </cell>
          <cell r="O421">
            <v>4.3</v>
          </cell>
          <cell r="P421">
            <v>-0.59999999999999964</v>
          </cell>
        </row>
        <row r="422">
          <cell r="A422" t="str">
            <v>2005:1</v>
          </cell>
          <cell r="B422">
            <v>367.05125007786006</v>
          </cell>
          <cell r="C422">
            <v>392.91081774346333</v>
          </cell>
          <cell r="D422">
            <v>0.93418463809645647</v>
          </cell>
          <cell r="E422">
            <v>367.05125007786006</v>
          </cell>
          <cell r="F422">
            <v>392.91081774346333</v>
          </cell>
          <cell r="G422">
            <v>0.93418463809645647</v>
          </cell>
          <cell r="H422">
            <v>4.9000000000000004</v>
          </cell>
          <cell r="I422">
            <v>4</v>
          </cell>
          <cell r="J422">
            <v>0.90000000000000036</v>
          </cell>
          <cell r="K422">
            <v>319.10000000000002</v>
          </cell>
          <cell r="L422">
            <v>388.5</v>
          </cell>
          <cell r="M422">
            <v>0.82136422136422138</v>
          </cell>
          <cell r="N422">
            <v>5.7</v>
          </cell>
          <cell r="O422">
            <v>3.5</v>
          </cell>
          <cell r="P422">
            <v>2.2000000000000002</v>
          </cell>
        </row>
        <row r="423">
          <cell r="A423" t="str">
            <v>2005:2</v>
          </cell>
          <cell r="B423">
            <v>382.49593798838799</v>
          </cell>
          <cell r="C423">
            <v>331.22294910654443</v>
          </cell>
          <cell r="D423">
            <v>1.1547990228942457</v>
          </cell>
          <cell r="E423">
            <v>382.49593798838799</v>
          </cell>
          <cell r="F423">
            <v>331.22294910654443</v>
          </cell>
          <cell r="G423">
            <v>1.1547990228942457</v>
          </cell>
          <cell r="H423">
            <v>2.9</v>
          </cell>
          <cell r="I423">
            <v>5.0999999999999996</v>
          </cell>
          <cell r="J423">
            <v>-2.1999999999999997</v>
          </cell>
          <cell r="K423">
            <v>355</v>
          </cell>
          <cell r="L423">
            <v>326.10000000000002</v>
          </cell>
          <cell r="M423">
            <v>1.088623121741797</v>
          </cell>
          <cell r="N423">
            <v>3.3</v>
          </cell>
          <cell r="O423">
            <v>4.5</v>
          </cell>
          <cell r="P423">
            <v>-1.2000000000000002</v>
          </cell>
        </row>
        <row r="424">
          <cell r="A424" t="str">
            <v>2005:3</v>
          </cell>
          <cell r="B424">
            <v>278.72544479133438</v>
          </cell>
          <cell r="C424">
            <v>270.29253185771751</v>
          </cell>
          <cell r="D424">
            <v>1.0311992080419594</v>
          </cell>
          <cell r="E424">
            <v>278.72544479133438</v>
          </cell>
          <cell r="F424">
            <v>270.29253185771751</v>
          </cell>
          <cell r="G424">
            <v>1.0311992080419594</v>
          </cell>
          <cell r="H424">
            <v>7.6</v>
          </cell>
          <cell r="I424">
            <v>7.3</v>
          </cell>
          <cell r="J424">
            <v>0.29999999999999982</v>
          </cell>
          <cell r="K424">
            <v>255.3</v>
          </cell>
          <cell r="L424">
            <v>283.89999999999998</v>
          </cell>
          <cell r="M424">
            <v>0.89926030292356474</v>
          </cell>
          <cell r="N424">
            <v>7.8</v>
          </cell>
          <cell r="O424">
            <v>6.8</v>
          </cell>
          <cell r="P424">
            <v>1</v>
          </cell>
        </row>
        <row r="425">
          <cell r="A425" t="str">
            <v>2005:4</v>
          </cell>
          <cell r="B425">
            <v>168.49988349133633</v>
          </cell>
          <cell r="C425">
            <v>198.63939385091356</v>
          </cell>
          <cell r="D425">
            <v>0.84827022588380385</v>
          </cell>
          <cell r="E425">
            <v>168.49988349133633</v>
          </cell>
          <cell r="F425">
            <v>198.63939385091356</v>
          </cell>
          <cell r="G425">
            <v>0.84827022588380385</v>
          </cell>
          <cell r="H425">
            <v>11</v>
          </cell>
          <cell r="I425">
            <v>9.9</v>
          </cell>
          <cell r="J425">
            <v>1.0999999999999996</v>
          </cell>
          <cell r="K425">
            <v>138.6</v>
          </cell>
          <cell r="L425">
            <v>190.3</v>
          </cell>
          <cell r="M425">
            <v>0.72832369942196529</v>
          </cell>
          <cell r="N425">
            <v>11.5</v>
          </cell>
          <cell r="O425">
            <v>9.6999999999999993</v>
          </cell>
          <cell r="P425">
            <v>1.8000000000000007</v>
          </cell>
        </row>
        <row r="426">
          <cell r="A426" t="str">
            <v>2005:5</v>
          </cell>
          <cell r="B426">
            <v>84.07673563757173</v>
          </cell>
          <cell r="C426">
            <v>94.205291641343422</v>
          </cell>
          <cell r="D426">
            <v>0.89248421370709263</v>
          </cell>
          <cell r="E426">
            <v>84.07673563757173</v>
          </cell>
          <cell r="F426">
            <v>94.205291641343422</v>
          </cell>
          <cell r="G426">
            <v>0.89248421370709263</v>
          </cell>
          <cell r="H426">
            <v>14.8</v>
          </cell>
          <cell r="I426">
            <v>13.6</v>
          </cell>
          <cell r="J426">
            <v>1.2000000000000011</v>
          </cell>
          <cell r="K426">
            <v>76.5</v>
          </cell>
          <cell r="L426">
            <v>95</v>
          </cell>
          <cell r="M426">
            <v>0.80526315789473679</v>
          </cell>
          <cell r="N426">
            <v>14.7</v>
          </cell>
          <cell r="O426">
            <v>13.3</v>
          </cell>
          <cell r="P426">
            <v>1.3999999999999986</v>
          </cell>
        </row>
        <row r="427">
          <cell r="A427" t="str">
            <v>2005:6</v>
          </cell>
          <cell r="B427">
            <v>22.641370352860843</v>
          </cell>
          <cell r="C427">
            <v>33.639009300779129</v>
          </cell>
          <cell r="D427">
            <v>0.67306888114378671</v>
          </cell>
          <cell r="E427">
            <v>0</v>
          </cell>
          <cell r="F427">
            <v>0</v>
          </cell>
          <cell r="G427">
            <v>1</v>
          </cell>
          <cell r="H427">
            <v>19.600000000000001</v>
          </cell>
          <cell r="I427">
            <v>16.8</v>
          </cell>
          <cell r="J427">
            <v>2.8000000000000007</v>
          </cell>
          <cell r="K427">
            <v>15.1</v>
          </cell>
          <cell r="L427">
            <v>31.5</v>
          </cell>
          <cell r="M427">
            <v>0.47936507936507933</v>
          </cell>
          <cell r="N427">
            <v>19.600000000000001</v>
          </cell>
          <cell r="O427">
            <v>16.399999999999999</v>
          </cell>
          <cell r="P427">
            <v>3.2000000000000028</v>
          </cell>
        </row>
        <row r="428">
          <cell r="A428" t="str">
            <v>2005:7</v>
          </cell>
          <cell r="B428">
            <v>5.2487790967267642</v>
          </cell>
          <cell r="C428">
            <v>9.8992241828118033</v>
          </cell>
          <cell r="D428">
            <v>0.53022125772647033</v>
          </cell>
          <cell r="E428">
            <v>0</v>
          </cell>
          <cell r="F428">
            <v>0</v>
          </cell>
          <cell r="G428">
            <v>1</v>
          </cell>
          <cell r="H428">
            <v>20.3</v>
          </cell>
          <cell r="I428">
            <v>19.2</v>
          </cell>
          <cell r="J428">
            <v>1.1000000000000014</v>
          </cell>
          <cell r="K428">
            <v>2.2000000000000002</v>
          </cell>
          <cell r="L428">
            <v>8.9</v>
          </cell>
          <cell r="M428">
            <v>0.24719101123595508</v>
          </cell>
          <cell r="N428">
            <v>20.3</v>
          </cell>
          <cell r="O428">
            <v>18.399999999999999</v>
          </cell>
          <cell r="P428">
            <v>1.9000000000000021</v>
          </cell>
        </row>
        <row r="429">
          <cell r="A429" t="str">
            <v>2005:8</v>
          </cell>
          <cell r="B429">
            <v>8.2505930357454247</v>
          </cell>
          <cell r="C429">
            <v>9.4425505166936539</v>
          </cell>
          <cell r="D429">
            <v>0.87376742344762193</v>
          </cell>
          <cell r="E429">
            <v>0</v>
          </cell>
          <cell r="F429">
            <v>0</v>
          </cell>
          <cell r="G429">
            <v>1</v>
          </cell>
          <cell r="H429">
            <v>18.899999999999999</v>
          </cell>
          <cell r="I429">
            <v>18.899999999999999</v>
          </cell>
          <cell r="J429">
            <v>0</v>
          </cell>
          <cell r="K429">
            <v>0.6</v>
          </cell>
          <cell r="L429">
            <v>9.1</v>
          </cell>
          <cell r="M429">
            <v>6.5934065934065936E-2</v>
          </cell>
          <cell r="N429">
            <v>18.600000000000001</v>
          </cell>
          <cell r="O429">
            <v>18.2</v>
          </cell>
          <cell r="P429">
            <v>0.40000000000000213</v>
          </cell>
        </row>
        <row r="430">
          <cell r="A430" t="str">
            <v>2005:9</v>
          </cell>
          <cell r="B430">
            <v>31.363308040147036</v>
          </cell>
          <cell r="C430">
            <v>43.697695496746512</v>
          </cell>
          <cell r="D430">
            <v>0.71773368557804551</v>
          </cell>
          <cell r="E430">
            <v>0</v>
          </cell>
          <cell r="F430">
            <v>0</v>
          </cell>
          <cell r="G430">
            <v>1</v>
          </cell>
          <cell r="H430">
            <v>17.2</v>
          </cell>
          <cell r="I430">
            <v>16.5</v>
          </cell>
          <cell r="J430">
            <v>0.69999999999999929</v>
          </cell>
          <cell r="K430">
            <v>21.3</v>
          </cell>
          <cell r="L430">
            <v>39.4</v>
          </cell>
          <cell r="M430">
            <v>0.54060913705583757</v>
          </cell>
          <cell r="N430">
            <v>17.7</v>
          </cell>
          <cell r="O430">
            <v>15.7</v>
          </cell>
          <cell r="P430">
            <v>2</v>
          </cell>
        </row>
        <row r="431">
          <cell r="A431" t="str">
            <v>2005:10</v>
          </cell>
          <cell r="B431">
            <v>51.592105448209921</v>
          </cell>
          <cell r="C431">
            <v>132.10004667845612</v>
          </cell>
          <cell r="D431">
            <v>0.3905532718984569</v>
          </cell>
          <cell r="E431">
            <v>51.592105448209921</v>
          </cell>
          <cell r="F431">
            <v>132.10004667845612</v>
          </cell>
          <cell r="G431">
            <v>0.3905532718984569</v>
          </cell>
          <cell r="H431">
            <v>14.9</v>
          </cell>
          <cell r="I431">
            <v>12.6</v>
          </cell>
          <cell r="J431">
            <v>2.3000000000000007</v>
          </cell>
          <cell r="K431">
            <v>38.200000000000003</v>
          </cell>
          <cell r="L431">
            <v>133.80000000000001</v>
          </cell>
          <cell r="M431">
            <v>0.28550074738415543</v>
          </cell>
          <cell r="N431">
            <v>15.4</v>
          </cell>
          <cell r="O431">
            <v>11.8</v>
          </cell>
          <cell r="P431">
            <v>3.5999999999999996</v>
          </cell>
        </row>
        <row r="432">
          <cell r="A432" t="str">
            <v>2005:11</v>
          </cell>
          <cell r="B432">
            <v>296.15745834450854</v>
          </cell>
          <cell r="C432">
            <v>277.9065874341735</v>
          </cell>
          <cell r="D432">
            <v>1.0656726818850886</v>
          </cell>
          <cell r="E432">
            <v>296.15745834450854</v>
          </cell>
          <cell r="F432">
            <v>277.9065874341735</v>
          </cell>
          <cell r="G432">
            <v>1.0656726818850886</v>
          </cell>
          <cell r="H432">
            <v>7</v>
          </cell>
          <cell r="I432">
            <v>7.6</v>
          </cell>
          <cell r="J432">
            <v>-0.59999999999999964</v>
          </cell>
          <cell r="K432">
            <v>287.5</v>
          </cell>
          <cell r="L432">
            <v>272.89999999999998</v>
          </cell>
          <cell r="M432">
            <v>1.053499450348113</v>
          </cell>
          <cell r="N432">
            <v>6.4</v>
          </cell>
          <cell r="O432">
            <v>6.9</v>
          </cell>
          <cell r="P432">
            <v>-0.5</v>
          </cell>
        </row>
        <row r="433">
          <cell r="A433" t="str">
            <v>2005:12</v>
          </cell>
          <cell r="B433">
            <v>420.38664397237829</v>
          </cell>
          <cell r="C433">
            <v>363.68818352813111</v>
          </cell>
          <cell r="D433">
            <v>1.1558985499452215</v>
          </cell>
          <cell r="E433">
            <v>420.38664397237829</v>
          </cell>
          <cell r="F433">
            <v>363.68818352813111</v>
          </cell>
          <cell r="G433">
            <v>1.1558985499452215</v>
          </cell>
          <cell r="H433">
            <v>3.4</v>
          </cell>
          <cell r="I433">
            <v>4.8</v>
          </cell>
          <cell r="J433">
            <v>-1.4</v>
          </cell>
          <cell r="K433">
            <v>366.1</v>
          </cell>
          <cell r="L433">
            <v>363.6</v>
          </cell>
          <cell r="M433">
            <v>1.0068756875687568</v>
          </cell>
          <cell r="N433">
            <v>4.2</v>
          </cell>
          <cell r="O433">
            <v>4.3</v>
          </cell>
          <cell r="P433">
            <v>-9.9999999999999645E-2</v>
          </cell>
        </row>
        <row r="434">
          <cell r="A434" t="str">
            <v>2006:1</v>
          </cell>
          <cell r="B434">
            <v>425.10967826270706</v>
          </cell>
          <cell r="C434">
            <v>392.91081774346333</v>
          </cell>
          <cell r="D434">
            <v>1.0819495393488168</v>
          </cell>
          <cell r="E434">
            <v>425.10967826270706</v>
          </cell>
          <cell r="F434">
            <v>392.91081774346333</v>
          </cell>
          <cell r="G434">
            <v>1.0819495393488168</v>
          </cell>
          <cell r="H434">
            <v>3</v>
          </cell>
          <cell r="I434">
            <v>4</v>
          </cell>
          <cell r="J434">
            <v>-1</v>
          </cell>
          <cell r="K434">
            <v>407.9</v>
          </cell>
          <cell r="L434">
            <v>388.5</v>
          </cell>
          <cell r="M434">
            <v>1.0499356499356498</v>
          </cell>
          <cell r="N434">
            <v>2.8</v>
          </cell>
          <cell r="O434">
            <v>3.5</v>
          </cell>
          <cell r="P434">
            <v>-0.70000000000000018</v>
          </cell>
        </row>
        <row r="435">
          <cell r="A435" t="str">
            <v>2006:2</v>
          </cell>
          <cell r="B435">
            <v>371.28110095637453</v>
          </cell>
          <cell r="C435">
            <v>331.22294910654443</v>
          </cell>
          <cell r="D435">
            <v>1.1209401460795054</v>
          </cell>
          <cell r="E435">
            <v>371.28110095637453</v>
          </cell>
          <cell r="F435">
            <v>331.22294910654443</v>
          </cell>
          <cell r="G435">
            <v>1.1209401460795054</v>
          </cell>
          <cell r="H435">
            <v>3.6</v>
          </cell>
          <cell r="I435">
            <v>5.0999999999999996</v>
          </cell>
          <cell r="J435">
            <v>-1.4999999999999996</v>
          </cell>
          <cell r="K435">
            <v>349.3</v>
          </cell>
          <cell r="L435">
            <v>326.10000000000002</v>
          </cell>
          <cell r="M435">
            <v>1.07114382091383</v>
          </cell>
          <cell r="N435">
            <v>3.5</v>
          </cell>
          <cell r="O435">
            <v>4.5</v>
          </cell>
          <cell r="P435">
            <v>-1</v>
          </cell>
        </row>
        <row r="436">
          <cell r="A436" t="str">
            <v>2006:3</v>
          </cell>
          <cell r="B436">
            <v>299.01717909812805</v>
          </cell>
          <cell r="C436">
            <v>270.29253185771751</v>
          </cell>
          <cell r="D436">
            <v>1.1062724413545071</v>
          </cell>
          <cell r="E436">
            <v>299.01717909812805</v>
          </cell>
          <cell r="F436">
            <v>270.29253185771751</v>
          </cell>
          <cell r="G436">
            <v>1.1062724413545071</v>
          </cell>
          <cell r="H436">
            <v>7</v>
          </cell>
          <cell r="I436">
            <v>7.3</v>
          </cell>
          <cell r="J436">
            <v>-0.29999999999999982</v>
          </cell>
          <cell r="L436">
            <v>283.89999999999998</v>
          </cell>
          <cell r="M436">
            <v>0</v>
          </cell>
          <cell r="O436">
            <v>6.8</v>
          </cell>
        </row>
        <row r="437">
          <cell r="A437" t="str">
            <v>2006:4</v>
          </cell>
          <cell r="B437">
            <v>172.82413181274023</v>
          </cell>
          <cell r="C437">
            <v>198.63939385091356</v>
          </cell>
          <cell r="D437">
            <v>0.87003956497396151</v>
          </cell>
          <cell r="E437">
            <v>172.82413181274023</v>
          </cell>
          <cell r="F437">
            <v>198.63939385091356</v>
          </cell>
          <cell r="G437">
            <v>0.87003956497396151</v>
          </cell>
          <cell r="H437">
            <v>10.8</v>
          </cell>
          <cell r="I437">
            <v>9.9</v>
          </cell>
          <cell r="J437">
            <v>0.90000000000000036</v>
          </cell>
          <cell r="L437">
            <v>190.3</v>
          </cell>
          <cell r="M437">
            <v>0</v>
          </cell>
          <cell r="O437">
            <v>9.6999999999999993</v>
          </cell>
        </row>
        <row r="438">
          <cell r="A438" t="str">
            <v>2006:5</v>
          </cell>
          <cell r="B438">
            <v>69.934028884421721</v>
          </cell>
          <cell r="C438">
            <v>94.205291641343422</v>
          </cell>
          <cell r="D438">
            <v>0.74235775576889262</v>
          </cell>
          <cell r="E438">
            <v>69.934028884421721</v>
          </cell>
          <cell r="F438">
            <v>94.205291641343422</v>
          </cell>
          <cell r="G438">
            <v>0.74235775576889262</v>
          </cell>
          <cell r="H438">
            <v>14.8</v>
          </cell>
          <cell r="I438">
            <v>13.6</v>
          </cell>
          <cell r="J438">
            <v>1.2000000000000011</v>
          </cell>
          <cell r="L438">
            <v>95</v>
          </cell>
          <cell r="M438">
            <v>0</v>
          </cell>
          <cell r="O438">
            <v>13.3</v>
          </cell>
        </row>
        <row r="439">
          <cell r="A439" t="str">
            <v>2006:6</v>
          </cell>
          <cell r="B439">
            <v>21.93948866505994</v>
          </cell>
          <cell r="C439">
            <v>33.639009300779129</v>
          </cell>
          <cell r="D439">
            <v>0.65220376940624669</v>
          </cell>
          <cell r="E439">
            <v>0</v>
          </cell>
          <cell r="F439">
            <v>0</v>
          </cell>
          <cell r="G439">
            <v>1</v>
          </cell>
          <cell r="H439">
            <v>19.100000000000001</v>
          </cell>
          <cell r="I439">
            <v>16.8</v>
          </cell>
          <cell r="J439">
            <v>2.3000000000000007</v>
          </cell>
          <cell r="L439">
            <v>31.5</v>
          </cell>
          <cell r="M439">
            <v>0</v>
          </cell>
          <cell r="O439">
            <v>16.399999999999999</v>
          </cell>
        </row>
        <row r="440">
          <cell r="A440" t="str">
            <v>2006:7</v>
          </cell>
          <cell r="B440">
            <v>6.6834210849426062E-2</v>
          </cell>
          <cell r="C440">
            <v>9.8992241828118033</v>
          </cell>
          <cell r="D440">
            <v>6.7514594694674636E-3</v>
          </cell>
          <cell r="E440">
            <v>0</v>
          </cell>
          <cell r="F440">
            <v>0</v>
          </cell>
          <cell r="G440">
            <v>1</v>
          </cell>
          <cell r="H440">
            <v>23.6</v>
          </cell>
          <cell r="I440">
            <v>19.2</v>
          </cell>
          <cell r="J440">
            <v>4.4000000000000021</v>
          </cell>
          <cell r="L440">
            <v>8.9</v>
          </cell>
          <cell r="M440">
            <v>0</v>
          </cell>
          <cell r="O440">
            <v>18.399999999999999</v>
          </cell>
        </row>
        <row r="441">
          <cell r="A441" t="str">
            <v>2006:8</v>
          </cell>
          <cell r="B441">
            <v>11.247106272309759</v>
          </cell>
          <cell r="C441">
            <v>9.4425505166936539</v>
          </cell>
          <cell r="D441">
            <v>1.1911089331664997</v>
          </cell>
          <cell r="E441">
            <v>0</v>
          </cell>
          <cell r="F441">
            <v>0</v>
          </cell>
          <cell r="G441">
            <v>1</v>
          </cell>
          <cell r="H441">
            <v>18</v>
          </cell>
          <cell r="I441">
            <v>18.899999999999999</v>
          </cell>
          <cell r="J441">
            <v>-0.89999999999999858</v>
          </cell>
          <cell r="L441">
            <v>9.1</v>
          </cell>
          <cell r="M441">
            <v>0</v>
          </cell>
          <cell r="O441">
            <v>18.2</v>
          </cell>
        </row>
        <row r="442">
          <cell r="A442" t="str">
            <v>2006:9</v>
          </cell>
          <cell r="B442">
            <v>5.7331822745651175</v>
          </cell>
          <cell r="C442">
            <v>43.697695496746512</v>
          </cell>
          <cell r="D442">
            <v>0.13120102122987193</v>
          </cell>
          <cell r="E442">
            <v>0</v>
          </cell>
          <cell r="F442">
            <v>0</v>
          </cell>
          <cell r="G442">
            <v>1</v>
          </cell>
          <cell r="H442">
            <v>18.8</v>
          </cell>
          <cell r="I442">
            <v>16.5</v>
          </cell>
          <cell r="J442">
            <v>2.3000000000000007</v>
          </cell>
          <cell r="L442">
            <v>39.4</v>
          </cell>
          <cell r="M442">
            <v>0</v>
          </cell>
          <cell r="O442">
            <v>15.7</v>
          </cell>
        </row>
        <row r="443">
          <cell r="A443" t="str">
            <v>2006:10</v>
          </cell>
          <cell r="B443">
            <v>52.587454194531489</v>
          </cell>
          <cell r="C443">
            <v>132.10004667845612</v>
          </cell>
          <cell r="D443">
            <v>0.39808808185007138</v>
          </cell>
          <cell r="E443">
            <v>52.587454194531489</v>
          </cell>
          <cell r="F443">
            <v>132.10004667845612</v>
          </cell>
          <cell r="G443">
            <v>0.39808808185007138</v>
          </cell>
          <cell r="H443">
            <v>15.2</v>
          </cell>
          <cell r="I443">
            <v>12.6</v>
          </cell>
          <cell r="J443">
            <v>2.5999999999999996</v>
          </cell>
          <cell r="L443">
            <v>133.80000000000001</v>
          </cell>
          <cell r="M443">
            <v>0</v>
          </cell>
          <cell r="O443">
            <v>11.8</v>
          </cell>
        </row>
        <row r="444">
          <cell r="A444" t="str">
            <v>2006:11</v>
          </cell>
          <cell r="B444">
            <v>205.91400651965932</v>
          </cell>
          <cell r="C444">
            <v>277.9065874341735</v>
          </cell>
          <cell r="D444">
            <v>0.74094683548454299</v>
          </cell>
          <cell r="E444">
            <v>205.91400651965932</v>
          </cell>
          <cell r="F444">
            <v>277.9065874341735</v>
          </cell>
          <cell r="G444">
            <v>0.74094683548454299</v>
          </cell>
          <cell r="H444">
            <v>9.9</v>
          </cell>
          <cell r="I444">
            <v>7.6</v>
          </cell>
          <cell r="J444">
            <v>2.3000000000000007</v>
          </cell>
          <cell r="L444">
            <v>272.89999999999998</v>
          </cell>
          <cell r="M444">
            <v>0</v>
          </cell>
          <cell r="O444">
            <v>6.9</v>
          </cell>
        </row>
        <row r="445">
          <cell r="A445" t="str">
            <v>2006:12</v>
          </cell>
          <cell r="B445">
            <v>350.90736130493673</v>
          </cell>
          <cell r="C445">
            <v>363.68818352813111</v>
          </cell>
          <cell r="D445">
            <v>0.96485774682254477</v>
          </cell>
          <cell r="E445">
            <v>350.90736130493673</v>
          </cell>
          <cell r="F445">
            <v>363.68818352813111</v>
          </cell>
          <cell r="G445">
            <v>0.96485774682254477</v>
          </cell>
          <cell r="H445">
            <v>5.6</v>
          </cell>
          <cell r="I445">
            <v>4.8</v>
          </cell>
          <cell r="J445">
            <v>0.79999999999999982</v>
          </cell>
          <cell r="L445">
            <v>363.6</v>
          </cell>
          <cell r="M445">
            <v>0</v>
          </cell>
          <cell r="O445">
            <v>4.3</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sheetData sheetId="15" refreshError="1"/>
      <sheetData sheetId="16"/>
      <sheetData sheetId="17" refreshError="1"/>
      <sheetData sheetId="18" refreshError="1"/>
      <sheetData sheetId="19"/>
      <sheetData sheetId="20" refreshError="1"/>
      <sheetData sheetId="21"/>
      <sheetData sheetId="2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fig 1 "/>
      <sheetName val="chiffres-fig1"/>
      <sheetName val="evol conso (fig 2)"/>
      <sheetName val="graph conso finale (fig 2) "/>
      <sheetName val="Graph-prod nette d'élec (fig 3)"/>
      <sheetName val="chiffres pour fig 3"/>
      <sheetName val="Graph-fif 4"/>
      <sheetName val="chiffres pourprod nette (fig 4)"/>
      <sheetName val="chiffres_struct_prod (fig 5)"/>
      <sheetName val="graph_struct prod (fig 5)"/>
      <sheetName val="Feuil2"/>
      <sheetName val="chiffres pour fig 6"/>
      <sheetName val="Graph-fig 6_nuc"/>
      <sheetName val="grapg-fig7"/>
      <sheetName val="chiffres-comext-fig7"/>
      <sheetName val="graph-fig8"/>
      <sheetName val="chiffres pour fig8"/>
      <sheetName val="graph-fig9"/>
      <sheetName val="chiffres pour fig9"/>
      <sheetName val="chiffres pour fig10"/>
      <sheetName val="Graphindep fig10 (oui)"/>
      <sheetName val="chiffres pour fig11"/>
      <sheetName val="Graph com ext-fig11"/>
      <sheetName val="chiffres-prix-fig xx"/>
      <sheetName val="Graph_prix-fig xx"/>
      <sheetName val="données pour fig14 et 15"/>
      <sheetName val="GraphCO2H-fig 14"/>
      <sheetName val="GraphCO2H-fig 15"/>
      <sheetName val="fig14"/>
      <sheetName val="fig 16"/>
      <sheetName val="Graph-ENR-fig17"/>
      <sheetName val="chiffres-ENR-fig 17"/>
      <sheetName val="graph prod brute élect"/>
      <sheetName val="Feuil1"/>
    </sheetNames>
    <sheetDataSet>
      <sheetData sheetId="0" refreshError="1"/>
      <sheetData sheetId="1"/>
      <sheetData sheetId="2" refreshError="1"/>
      <sheetData sheetId="3"/>
      <sheetData sheetId="4" refreshError="1"/>
      <sheetData sheetId="5"/>
      <sheetData sheetId="6" refreshError="1"/>
      <sheetData sheetId="7"/>
      <sheetData sheetId="8"/>
      <sheetData sheetId="9" refreshError="1"/>
      <sheetData sheetId="10"/>
      <sheetData sheetId="11"/>
      <sheetData sheetId="12" refreshError="1"/>
      <sheetData sheetId="13" refreshError="1"/>
      <sheetData sheetId="14"/>
      <sheetData sheetId="15" refreshError="1"/>
      <sheetData sheetId="16">
        <row r="7">
          <cell r="B7" t="str">
            <v>imporc</v>
          </cell>
          <cell r="C7" t="str">
            <v>imporpb</v>
          </cell>
          <cell r="D7" t="str">
            <v>imporpr</v>
          </cell>
          <cell r="E7" t="str">
            <v>imporp</v>
          </cell>
          <cell r="F7" t="str">
            <v>imporgn</v>
          </cell>
          <cell r="G7" t="str">
            <v>imporgi</v>
          </cell>
          <cell r="H7" t="str">
            <v>imporg</v>
          </cell>
          <cell r="I7" t="str">
            <v>impore</v>
          </cell>
          <cell r="J7" t="str">
            <v>impor</v>
          </cell>
          <cell r="K7" t="str">
            <v>exporc</v>
          </cell>
          <cell r="L7" t="str">
            <v>exporpb</v>
          </cell>
          <cell r="M7" t="str">
            <v>exporpr</v>
          </cell>
          <cell r="N7" t="str">
            <v>exporp</v>
          </cell>
          <cell r="O7" t="str">
            <v>exporgn</v>
          </cell>
          <cell r="P7" t="str">
            <v>exporgi</v>
          </cell>
          <cell r="Q7" t="str">
            <v>exporg</v>
          </cell>
          <cell r="R7" t="str">
            <v>expore</v>
          </cell>
          <cell r="S7" t="str">
            <v>expor</v>
          </cell>
          <cell r="T7" t="str">
            <v>Facturec</v>
          </cell>
          <cell r="U7" t="str">
            <v>Facturepb</v>
          </cell>
          <cell r="V7" t="str">
            <v>Facturepr</v>
          </cell>
          <cell r="W7" t="str">
            <v>Facturep</v>
          </cell>
          <cell r="X7" t="str">
            <v>Facturegn</v>
          </cell>
          <cell r="Y7" t="str">
            <v>Facturegi</v>
          </cell>
          <cell r="Z7" t="str">
            <v>Factureg</v>
          </cell>
          <cell r="AA7" t="str">
            <v>Facturee</v>
          </cell>
          <cell r="AB7" t="str">
            <v>Facture</v>
          </cell>
          <cell r="AC7" t="str">
            <v>import</v>
          </cell>
          <cell r="AD7" t="str">
            <v>export</v>
          </cell>
          <cell r="AE7" t="str">
            <v>soldet</v>
          </cell>
        </row>
        <row r="8">
          <cell r="A8">
            <v>1960</v>
          </cell>
          <cell r="B8" t="e">
            <v>#N/A</v>
          </cell>
          <cell r="C8" t="e">
            <v>#N/A</v>
          </cell>
          <cell r="D8" t="e">
            <v>#N/A</v>
          </cell>
          <cell r="E8" t="e">
            <v>#N/A</v>
          </cell>
          <cell r="F8" t="e">
            <v>#N/A</v>
          </cell>
          <cell r="G8" t="e">
            <v>#N/A</v>
          </cell>
          <cell r="H8" t="e">
            <v>#N/A</v>
          </cell>
          <cell r="I8" t="e">
            <v>#N/A</v>
          </cell>
          <cell r="J8" t="e">
            <v>#N/A</v>
          </cell>
          <cell r="K8" t="e">
            <v>#N/A</v>
          </cell>
          <cell r="L8" t="e">
            <v>#N/A</v>
          </cell>
          <cell r="M8" t="e">
            <v>#N/A</v>
          </cell>
          <cell r="N8" t="e">
            <v>#N/A</v>
          </cell>
          <cell r="O8" t="e">
            <v>#N/A</v>
          </cell>
          <cell r="P8" t="e">
            <v>#N/A</v>
          </cell>
          <cell r="Q8" t="e">
            <v>#N/A</v>
          </cell>
          <cell r="R8" t="e">
            <v>#N/A</v>
          </cell>
          <cell r="S8" t="e">
            <v>#N/A</v>
          </cell>
          <cell r="T8" t="e">
            <v>#N/A</v>
          </cell>
          <cell r="U8" t="e">
            <v>#N/A</v>
          </cell>
          <cell r="V8" t="e">
            <v>#N/A</v>
          </cell>
          <cell r="W8" t="e">
            <v>#N/A</v>
          </cell>
          <cell r="X8" t="e">
            <v>#N/A</v>
          </cell>
          <cell r="Y8" t="e">
            <v>#N/A</v>
          </cell>
          <cell r="Z8" t="e">
            <v>#N/A</v>
          </cell>
          <cell r="AA8" t="e">
            <v>#N/A</v>
          </cell>
          <cell r="AB8" t="e">
            <v>#N/A</v>
          </cell>
          <cell r="AC8" t="e">
            <v>#N/A</v>
          </cell>
          <cell r="AD8" t="e">
            <v>#N/A</v>
          </cell>
          <cell r="AE8" t="e">
            <v>#N/A</v>
          </cell>
        </row>
        <row r="9">
          <cell r="A9">
            <v>1961</v>
          </cell>
          <cell r="B9" t="e">
            <v>#N/A</v>
          </cell>
          <cell r="C9" t="e">
            <v>#N/A</v>
          </cell>
          <cell r="D9" t="e">
            <v>#N/A</v>
          </cell>
          <cell r="E9" t="e">
            <v>#N/A</v>
          </cell>
          <cell r="F9" t="e">
            <v>#N/A</v>
          </cell>
          <cell r="G9" t="e">
            <v>#N/A</v>
          </cell>
          <cell r="H9" t="e">
            <v>#N/A</v>
          </cell>
          <cell r="I9" t="e">
            <v>#N/A</v>
          </cell>
          <cell r="J9" t="e">
            <v>#N/A</v>
          </cell>
          <cell r="K9" t="e">
            <v>#N/A</v>
          </cell>
          <cell r="L9" t="e">
            <v>#N/A</v>
          </cell>
          <cell r="M9" t="e">
            <v>#N/A</v>
          </cell>
          <cell r="N9" t="e">
            <v>#N/A</v>
          </cell>
          <cell r="O9" t="e">
            <v>#N/A</v>
          </cell>
          <cell r="P9" t="e">
            <v>#N/A</v>
          </cell>
          <cell r="Q9" t="e">
            <v>#N/A</v>
          </cell>
          <cell r="R9" t="e">
            <v>#N/A</v>
          </cell>
          <cell r="S9" t="e">
            <v>#N/A</v>
          </cell>
          <cell r="T9" t="e">
            <v>#N/A</v>
          </cell>
          <cell r="U9" t="e">
            <v>#N/A</v>
          </cell>
          <cell r="V9" t="e">
            <v>#N/A</v>
          </cell>
          <cell r="W9" t="e">
            <v>#N/A</v>
          </cell>
          <cell r="X9" t="e">
            <v>#N/A</v>
          </cell>
          <cell r="Y9" t="e">
            <v>#N/A</v>
          </cell>
          <cell r="Z9" t="e">
            <v>#N/A</v>
          </cell>
          <cell r="AA9" t="e">
            <v>#N/A</v>
          </cell>
          <cell r="AB9" t="e">
            <v>#N/A</v>
          </cell>
          <cell r="AC9" t="e">
            <v>#N/A</v>
          </cell>
          <cell r="AD9" t="e">
            <v>#N/A</v>
          </cell>
          <cell r="AE9" t="e">
            <v>#N/A</v>
          </cell>
        </row>
        <row r="10">
          <cell r="A10">
            <v>1962</v>
          </cell>
          <cell r="B10" t="e">
            <v>#N/A</v>
          </cell>
          <cell r="C10" t="e">
            <v>#N/A</v>
          </cell>
          <cell r="D10" t="e">
            <v>#N/A</v>
          </cell>
          <cell r="E10" t="e">
            <v>#N/A</v>
          </cell>
          <cell r="F10" t="e">
            <v>#N/A</v>
          </cell>
          <cell r="G10" t="e">
            <v>#N/A</v>
          </cell>
          <cell r="H10" t="e">
            <v>#N/A</v>
          </cell>
          <cell r="I10" t="e">
            <v>#N/A</v>
          </cell>
          <cell r="J10" t="e">
            <v>#N/A</v>
          </cell>
          <cell r="K10" t="e">
            <v>#N/A</v>
          </cell>
          <cell r="L10" t="e">
            <v>#N/A</v>
          </cell>
          <cell r="M10" t="e">
            <v>#N/A</v>
          </cell>
          <cell r="N10" t="e">
            <v>#N/A</v>
          </cell>
          <cell r="O10" t="e">
            <v>#N/A</v>
          </cell>
          <cell r="P10" t="e">
            <v>#N/A</v>
          </cell>
          <cell r="Q10" t="e">
            <v>#N/A</v>
          </cell>
          <cell r="R10" t="e">
            <v>#N/A</v>
          </cell>
          <cell r="S10" t="e">
            <v>#N/A</v>
          </cell>
          <cell r="T10" t="e">
            <v>#N/A</v>
          </cell>
          <cell r="U10" t="e">
            <v>#N/A</v>
          </cell>
          <cell r="V10" t="e">
            <v>#N/A</v>
          </cell>
          <cell r="W10" t="e">
            <v>#N/A</v>
          </cell>
          <cell r="X10" t="e">
            <v>#N/A</v>
          </cell>
          <cell r="Y10" t="e">
            <v>#N/A</v>
          </cell>
          <cell r="Z10" t="e">
            <v>#N/A</v>
          </cell>
          <cell r="AA10" t="e">
            <v>#N/A</v>
          </cell>
          <cell r="AB10" t="e">
            <v>#N/A</v>
          </cell>
          <cell r="AC10" t="e">
            <v>#N/A</v>
          </cell>
          <cell r="AD10" t="e">
            <v>#N/A</v>
          </cell>
          <cell r="AE10" t="e">
            <v>#N/A</v>
          </cell>
        </row>
        <row r="11">
          <cell r="A11">
            <v>1963</v>
          </cell>
          <cell r="B11" t="e">
            <v>#N/A</v>
          </cell>
          <cell r="C11">
            <v>618.63811194941138</v>
          </cell>
          <cell r="D11">
            <v>100.15900432497862</v>
          </cell>
          <cell r="E11">
            <v>718.79711627438996</v>
          </cell>
          <cell r="F11">
            <v>0</v>
          </cell>
          <cell r="G11">
            <v>0</v>
          </cell>
          <cell r="H11">
            <v>0</v>
          </cell>
          <cell r="I11" t="e">
            <v>#N/A</v>
          </cell>
          <cell r="J11" t="e">
            <v>#N/A</v>
          </cell>
          <cell r="K11" t="e">
            <v>#N/A</v>
          </cell>
          <cell r="L11">
            <v>0</v>
          </cell>
          <cell r="M11">
            <v>204.28168309812992</v>
          </cell>
          <cell r="N11">
            <v>204.28168309812992</v>
          </cell>
          <cell r="O11" t="e">
            <v>#N/A</v>
          </cell>
          <cell r="P11" t="e">
            <v>#N/A</v>
          </cell>
          <cell r="Q11" t="e">
            <v>#N/A</v>
          </cell>
          <cell r="R11" t="e">
            <v>#N/A</v>
          </cell>
          <cell r="S11" t="e">
            <v>#N/A</v>
          </cell>
          <cell r="T11" t="e">
            <v>#N/A</v>
          </cell>
          <cell r="U11">
            <v>618.63811194941138</v>
          </cell>
          <cell r="V11">
            <v>-104.12267877315129</v>
          </cell>
          <cell r="W11">
            <v>514.5154331762601</v>
          </cell>
          <cell r="X11" t="e">
            <v>#N/A</v>
          </cell>
          <cell r="Y11" t="e">
            <v>#N/A</v>
          </cell>
          <cell r="Z11" t="e">
            <v>#N/A</v>
          </cell>
          <cell r="AA11" t="e">
            <v>#N/A</v>
          </cell>
          <cell r="AB11" t="e">
            <v>#N/A</v>
          </cell>
          <cell r="AC11" t="e">
            <v>#N/A</v>
          </cell>
          <cell r="AD11" t="e">
            <v>#N/A</v>
          </cell>
          <cell r="AE11" t="e">
            <v>#N/A</v>
          </cell>
        </row>
        <row r="12">
          <cell r="A12">
            <v>1964</v>
          </cell>
          <cell r="B12" t="e">
            <v>#N/A</v>
          </cell>
          <cell r="C12">
            <v>691.66119120613087</v>
          </cell>
          <cell r="D12">
            <v>106.25696501447504</v>
          </cell>
          <cell r="E12">
            <v>797.91815622060585</v>
          </cell>
          <cell r="F12">
            <v>0</v>
          </cell>
          <cell r="G12">
            <v>0</v>
          </cell>
          <cell r="H12">
            <v>0</v>
          </cell>
          <cell r="I12" t="e">
            <v>#N/A</v>
          </cell>
          <cell r="J12" t="e">
            <v>#N/A</v>
          </cell>
          <cell r="K12" t="e">
            <v>#N/A</v>
          </cell>
          <cell r="L12">
            <v>0</v>
          </cell>
          <cell r="M12">
            <v>222.27066713214433</v>
          </cell>
          <cell r="N12">
            <v>222.27066713214433</v>
          </cell>
          <cell r="O12" t="e">
            <v>#N/A</v>
          </cell>
          <cell r="P12" t="e">
            <v>#N/A</v>
          </cell>
          <cell r="Q12" t="e">
            <v>#N/A</v>
          </cell>
          <cell r="R12" t="e">
            <v>#N/A</v>
          </cell>
          <cell r="S12" t="e">
            <v>#N/A</v>
          </cell>
          <cell r="T12" t="e">
            <v>#N/A</v>
          </cell>
          <cell r="U12">
            <v>691.66119120613087</v>
          </cell>
          <cell r="V12">
            <v>-116.01370211766928</v>
          </cell>
          <cell r="W12">
            <v>575.6474890884615</v>
          </cell>
          <cell r="X12" t="e">
            <v>#N/A</v>
          </cell>
          <cell r="Y12" t="e">
            <v>#N/A</v>
          </cell>
          <cell r="Z12" t="e">
            <v>#N/A</v>
          </cell>
          <cell r="AA12" t="e">
            <v>#N/A</v>
          </cell>
          <cell r="AB12" t="e">
            <v>#N/A</v>
          </cell>
          <cell r="AC12" t="e">
            <v>#N/A</v>
          </cell>
          <cell r="AD12" t="e">
            <v>#N/A</v>
          </cell>
          <cell r="AE12" t="e">
            <v>#N/A</v>
          </cell>
        </row>
        <row r="13">
          <cell r="A13">
            <v>1965</v>
          </cell>
          <cell r="B13">
            <v>274.10333299286384</v>
          </cell>
          <cell r="C13">
            <v>818.65122256489371</v>
          </cell>
          <cell r="D13">
            <v>86.438592773611688</v>
          </cell>
          <cell r="E13">
            <v>905.08981533850545</v>
          </cell>
          <cell r="F13">
            <v>0</v>
          </cell>
          <cell r="G13">
            <v>0</v>
          </cell>
          <cell r="H13">
            <v>0</v>
          </cell>
          <cell r="I13" t="e">
            <v>#N/A</v>
          </cell>
          <cell r="J13" t="e">
            <v>#N/A</v>
          </cell>
          <cell r="K13" t="e">
            <v>#N/A</v>
          </cell>
          <cell r="L13">
            <v>0</v>
          </cell>
          <cell r="M13">
            <v>260.84026849320918</v>
          </cell>
          <cell r="N13">
            <v>260.84026849320918</v>
          </cell>
          <cell r="O13" t="e">
            <v>#N/A</v>
          </cell>
          <cell r="P13" t="e">
            <v>#N/A</v>
          </cell>
          <cell r="Q13" t="e">
            <v>#N/A</v>
          </cell>
          <cell r="R13" t="e">
            <v>#N/A</v>
          </cell>
          <cell r="S13" t="e">
            <v>#N/A</v>
          </cell>
          <cell r="T13" t="e">
            <v>#N/A</v>
          </cell>
          <cell r="U13">
            <v>818.65122256489371</v>
          </cell>
          <cell r="V13">
            <v>-174.40167571959751</v>
          </cell>
          <cell r="W13">
            <v>644.24954684529621</v>
          </cell>
          <cell r="X13" t="e">
            <v>#N/A</v>
          </cell>
          <cell r="Y13" t="e">
            <v>#N/A</v>
          </cell>
          <cell r="Z13" t="e">
            <v>#N/A</v>
          </cell>
          <cell r="AA13" t="e">
            <v>#N/A</v>
          </cell>
          <cell r="AB13" t="e">
            <v>#N/A</v>
          </cell>
          <cell r="AC13" t="e">
            <v>#N/A</v>
          </cell>
          <cell r="AD13" t="e">
            <v>#N/A</v>
          </cell>
          <cell r="AE13" t="e">
            <v>#N/A</v>
          </cell>
        </row>
        <row r="14">
          <cell r="A14">
            <v>1966</v>
          </cell>
          <cell r="B14" t="e">
            <v>#N/A</v>
          </cell>
          <cell r="C14">
            <v>827.4932655646636</v>
          </cell>
          <cell r="D14">
            <v>105.49471992828798</v>
          </cell>
          <cell r="E14">
            <v>932.98798549295157</v>
          </cell>
          <cell r="F14">
            <v>4.5734705171223116</v>
          </cell>
          <cell r="G14">
            <v>0</v>
          </cell>
          <cell r="H14">
            <v>4.5734705171223116</v>
          </cell>
          <cell r="I14" t="e">
            <v>#N/A</v>
          </cell>
          <cell r="J14" t="e">
            <v>#N/A</v>
          </cell>
          <cell r="K14" t="e">
            <v>#N/A</v>
          </cell>
          <cell r="L14">
            <v>0</v>
          </cell>
          <cell r="M14">
            <v>312.67293435392867</v>
          </cell>
          <cell r="N14">
            <v>312.67293435392867</v>
          </cell>
          <cell r="O14" t="e">
            <v>#N/A</v>
          </cell>
          <cell r="P14" t="e">
            <v>#N/A</v>
          </cell>
          <cell r="Q14" t="e">
            <v>#N/A</v>
          </cell>
          <cell r="R14" t="e">
            <v>#N/A</v>
          </cell>
          <cell r="S14" t="e">
            <v>#N/A</v>
          </cell>
          <cell r="T14" t="e">
            <v>#N/A</v>
          </cell>
          <cell r="U14">
            <v>827.4932655646636</v>
          </cell>
          <cell r="V14">
            <v>-207.1782144256407</v>
          </cell>
          <cell r="W14">
            <v>620.3150511390229</v>
          </cell>
          <cell r="X14" t="e">
            <v>#N/A</v>
          </cell>
          <cell r="Y14" t="e">
            <v>#N/A</v>
          </cell>
          <cell r="Z14" t="e">
            <v>#N/A</v>
          </cell>
          <cell r="AA14" t="e">
            <v>#N/A</v>
          </cell>
          <cell r="AB14" t="e">
            <v>#N/A</v>
          </cell>
          <cell r="AC14" t="e">
            <v>#N/A</v>
          </cell>
          <cell r="AD14" t="e">
            <v>#N/A</v>
          </cell>
          <cell r="AE14" t="e">
            <v>#N/A</v>
          </cell>
        </row>
        <row r="15">
          <cell r="A15">
            <v>1967</v>
          </cell>
          <cell r="B15" t="e">
            <v>#N/A</v>
          </cell>
          <cell r="C15">
            <v>983.29616118129695</v>
          </cell>
          <cell r="D15">
            <v>110.22063946264771</v>
          </cell>
          <cell r="E15">
            <v>1093.5168006439446</v>
          </cell>
          <cell r="F15">
            <v>6.8602057756834673</v>
          </cell>
          <cell r="G15">
            <v>0</v>
          </cell>
          <cell r="H15">
            <v>6.8602057756834673</v>
          </cell>
          <cell r="I15" t="e">
            <v>#N/A</v>
          </cell>
          <cell r="J15" t="e">
            <v>#N/A</v>
          </cell>
          <cell r="K15" t="e">
            <v>#N/A</v>
          </cell>
          <cell r="L15">
            <v>0</v>
          </cell>
          <cell r="M15">
            <v>296.20844049228839</v>
          </cell>
          <cell r="N15">
            <v>296.20844049228839</v>
          </cell>
          <cell r="O15" t="e">
            <v>#N/A</v>
          </cell>
          <cell r="P15" t="e">
            <v>#N/A</v>
          </cell>
          <cell r="Q15" t="e">
            <v>#N/A</v>
          </cell>
          <cell r="R15" t="e">
            <v>#N/A</v>
          </cell>
          <cell r="S15" t="e">
            <v>#N/A</v>
          </cell>
          <cell r="T15" t="e">
            <v>#N/A</v>
          </cell>
          <cell r="U15">
            <v>983.29616118129695</v>
          </cell>
          <cell r="V15">
            <v>-185.98780102964068</v>
          </cell>
          <cell r="W15">
            <v>797.30836015165619</v>
          </cell>
          <cell r="X15" t="e">
            <v>#N/A</v>
          </cell>
          <cell r="Y15" t="e">
            <v>#N/A</v>
          </cell>
          <cell r="Z15" t="e">
            <v>#N/A</v>
          </cell>
          <cell r="AA15" t="e">
            <v>#N/A</v>
          </cell>
          <cell r="AB15" t="e">
            <v>#N/A</v>
          </cell>
          <cell r="AC15" t="e">
            <v>#N/A</v>
          </cell>
          <cell r="AD15" t="e">
            <v>#N/A</v>
          </cell>
          <cell r="AE15" t="e">
            <v>#N/A</v>
          </cell>
        </row>
        <row r="16">
          <cell r="A16">
            <v>1968</v>
          </cell>
          <cell r="B16" t="e">
            <v>#N/A</v>
          </cell>
          <cell r="C16">
            <v>1043.9708700417864</v>
          </cell>
          <cell r="D16">
            <v>120.73962165202902</v>
          </cell>
          <cell r="E16">
            <v>1164.7104916938154</v>
          </cell>
          <cell r="F16">
            <v>17.531636982302192</v>
          </cell>
          <cell r="G16">
            <v>0</v>
          </cell>
          <cell r="H16">
            <v>17.531636982302192</v>
          </cell>
          <cell r="I16" t="e">
            <v>#N/A</v>
          </cell>
          <cell r="J16" t="e">
            <v>#N/A</v>
          </cell>
          <cell r="K16" t="e">
            <v>#N/A</v>
          </cell>
          <cell r="L16">
            <v>0</v>
          </cell>
          <cell r="M16">
            <v>282.79292697539626</v>
          </cell>
          <cell r="N16">
            <v>282.79292697539626</v>
          </cell>
          <cell r="O16" t="e">
            <v>#N/A</v>
          </cell>
          <cell r="P16" t="e">
            <v>#N/A</v>
          </cell>
          <cell r="Q16" t="e">
            <v>#N/A</v>
          </cell>
          <cell r="R16" t="e">
            <v>#N/A</v>
          </cell>
          <cell r="S16" t="e">
            <v>#N/A</v>
          </cell>
          <cell r="T16" t="e">
            <v>#N/A</v>
          </cell>
          <cell r="U16">
            <v>1043.9708700417864</v>
          </cell>
          <cell r="V16">
            <v>-162.05330532336723</v>
          </cell>
          <cell r="W16">
            <v>881.91756471841904</v>
          </cell>
          <cell r="X16" t="e">
            <v>#N/A</v>
          </cell>
          <cell r="Y16" t="e">
            <v>#N/A</v>
          </cell>
          <cell r="Z16" t="e">
            <v>#N/A</v>
          </cell>
          <cell r="AA16" t="e">
            <v>#N/A</v>
          </cell>
          <cell r="AB16" t="e">
            <v>#N/A</v>
          </cell>
          <cell r="AC16" t="e">
            <v>#N/A</v>
          </cell>
          <cell r="AD16" t="e">
            <v>#N/A</v>
          </cell>
          <cell r="AE16" t="e">
            <v>#N/A</v>
          </cell>
        </row>
        <row r="17">
          <cell r="A17">
            <v>1969</v>
          </cell>
          <cell r="B17" t="e">
            <v>#N/A</v>
          </cell>
          <cell r="C17">
            <v>1133.9157902118584</v>
          </cell>
          <cell r="D17">
            <v>128.36207251389953</v>
          </cell>
          <cell r="E17">
            <v>1262.277862725758</v>
          </cell>
          <cell r="F17">
            <v>27.440823102733869</v>
          </cell>
          <cell r="G17">
            <v>0</v>
          </cell>
          <cell r="H17">
            <v>27.440823102733869</v>
          </cell>
          <cell r="I17" t="e">
            <v>#N/A</v>
          </cell>
          <cell r="J17" t="e">
            <v>#N/A</v>
          </cell>
          <cell r="K17" t="e">
            <v>#N/A</v>
          </cell>
          <cell r="L17">
            <v>0</v>
          </cell>
          <cell r="M17">
            <v>298.49517575084951</v>
          </cell>
          <cell r="N17">
            <v>298.49517575084951</v>
          </cell>
          <cell r="O17" t="e">
            <v>#N/A</v>
          </cell>
          <cell r="P17" t="e">
            <v>#N/A</v>
          </cell>
          <cell r="Q17" t="e">
            <v>#N/A</v>
          </cell>
          <cell r="R17" t="e">
            <v>#N/A</v>
          </cell>
          <cell r="S17" t="e">
            <v>#N/A</v>
          </cell>
          <cell r="T17" t="e">
            <v>#N/A</v>
          </cell>
          <cell r="U17">
            <v>1133.9157902118584</v>
          </cell>
          <cell r="V17">
            <v>-170.13310323694998</v>
          </cell>
          <cell r="W17">
            <v>963.78268697490853</v>
          </cell>
          <cell r="X17" t="e">
            <v>#N/A</v>
          </cell>
          <cell r="Y17" t="e">
            <v>#N/A</v>
          </cell>
          <cell r="Z17" t="e">
            <v>#N/A</v>
          </cell>
          <cell r="AA17" t="e">
            <v>#N/A</v>
          </cell>
          <cell r="AB17" t="e">
            <v>#N/A</v>
          </cell>
          <cell r="AC17" t="e">
            <v>#N/A</v>
          </cell>
          <cell r="AD17" t="e">
            <v>#N/A</v>
          </cell>
          <cell r="AE17" t="e">
            <v>#N/A</v>
          </cell>
        </row>
        <row r="18">
          <cell r="A18">
            <v>1970</v>
          </cell>
          <cell r="B18">
            <v>298.03782869913732</v>
          </cell>
          <cell r="C18">
            <v>1419.9101465492404</v>
          </cell>
          <cell r="D18">
            <v>155.95534463387082</v>
          </cell>
          <cell r="E18">
            <v>1575.8654911831113</v>
          </cell>
          <cell r="F18">
            <v>30.489803447482075</v>
          </cell>
          <cell r="G18">
            <v>1.8293882068489247</v>
          </cell>
          <cell r="H18">
            <v>32.319191654331</v>
          </cell>
          <cell r="I18">
            <v>21.037964378762634</v>
          </cell>
          <cell r="J18">
            <v>1927.2604759153421</v>
          </cell>
          <cell r="K18">
            <v>53.357156033093631</v>
          </cell>
          <cell r="L18">
            <v>0</v>
          </cell>
          <cell r="M18">
            <v>238.73516099378466</v>
          </cell>
          <cell r="N18">
            <v>238.73516099378466</v>
          </cell>
          <cell r="O18">
            <v>0</v>
          </cell>
          <cell r="P18">
            <v>0.45734705171223117</v>
          </cell>
          <cell r="Q18">
            <v>0.45734705171223117</v>
          </cell>
          <cell r="R18">
            <v>21.800209464949685</v>
          </cell>
          <cell r="S18">
            <v>314.34987354354018</v>
          </cell>
          <cell r="T18">
            <v>244.68067266604368</v>
          </cell>
          <cell r="U18">
            <v>1419.9101465492404</v>
          </cell>
          <cell r="V18">
            <v>-82.779816359913838</v>
          </cell>
          <cell r="W18">
            <v>1337.1303301893267</v>
          </cell>
          <cell r="X18">
            <v>30.489803447482075</v>
          </cell>
          <cell r="Y18">
            <v>1.3720411551366936</v>
          </cell>
          <cell r="Z18">
            <v>31.86184460261877</v>
          </cell>
          <cell r="AA18">
            <v>-0.76224508618705045</v>
          </cell>
          <cell r="AB18">
            <v>1612.9106023718018</v>
          </cell>
          <cell r="AC18">
            <v>15195.203344121643</v>
          </cell>
          <cell r="AD18">
            <v>15324.632559756205</v>
          </cell>
          <cell r="AE18">
            <v>-129.42921563456184</v>
          </cell>
        </row>
        <row r="19">
          <cell r="A19">
            <v>1971</v>
          </cell>
          <cell r="B19">
            <v>346.82151421510861</v>
          </cell>
          <cell r="C19">
            <v>1826.3392265041764</v>
          </cell>
          <cell r="D19">
            <v>221.05107499424506</v>
          </cell>
          <cell r="E19">
            <v>2047.3903014984214</v>
          </cell>
          <cell r="F19">
            <v>43.752867947136778</v>
          </cell>
          <cell r="G19">
            <v>1.0671431206618727</v>
          </cell>
          <cell r="H19">
            <v>44.820011067798653</v>
          </cell>
          <cell r="I19">
            <v>19.818372240863351</v>
          </cell>
          <cell r="J19">
            <v>2458.8501990221921</v>
          </cell>
          <cell r="K19">
            <v>40.703887602388569</v>
          </cell>
          <cell r="L19">
            <v>0</v>
          </cell>
          <cell r="M19">
            <v>307.18476973338193</v>
          </cell>
          <cell r="N19">
            <v>307.18476973338193</v>
          </cell>
          <cell r="O19">
            <v>0.15244901723741039</v>
          </cell>
          <cell r="P19">
            <v>0.60979606894964156</v>
          </cell>
          <cell r="Q19">
            <v>0.762245086187052</v>
          </cell>
          <cell r="R19">
            <v>30.947150499194308</v>
          </cell>
          <cell r="S19">
            <v>379.59805292115192</v>
          </cell>
          <cell r="T19">
            <v>306.11762661272002</v>
          </cell>
          <cell r="U19">
            <v>1826.3392265041764</v>
          </cell>
          <cell r="V19">
            <v>-86.133694739136871</v>
          </cell>
          <cell r="W19">
            <v>1740.2055317650395</v>
          </cell>
          <cell r="X19">
            <v>43.600418929899369</v>
          </cell>
          <cell r="Y19">
            <v>0.45734705171223111</v>
          </cell>
          <cell r="Z19">
            <v>44.057765981611603</v>
          </cell>
          <cell r="AA19">
            <v>-11.128778258330957</v>
          </cell>
          <cell r="AB19">
            <v>2079.2521461010401</v>
          </cell>
          <cell r="AC19">
            <v>16699.265348185934</v>
          </cell>
          <cell r="AD19">
            <v>17569.901685628785</v>
          </cell>
          <cell r="AE19">
            <v>-870.63633744285107</v>
          </cell>
        </row>
        <row r="20">
          <cell r="A20">
            <v>1972</v>
          </cell>
          <cell r="B20">
            <v>318.4659970089503</v>
          </cell>
          <cell r="C20">
            <v>2073.9164304977307</v>
          </cell>
          <cell r="D20">
            <v>226.99658666650404</v>
          </cell>
          <cell r="E20">
            <v>2300.9130171642346</v>
          </cell>
          <cell r="F20">
            <v>64.181036256949767</v>
          </cell>
          <cell r="G20">
            <v>0.45734705171223117</v>
          </cell>
          <cell r="H20">
            <v>64.638383308662</v>
          </cell>
          <cell r="I20">
            <v>17.379187965064784</v>
          </cell>
          <cell r="J20">
            <v>2701.3965854469116</v>
          </cell>
          <cell r="K20">
            <v>43.752867947136778</v>
          </cell>
          <cell r="L20">
            <v>0</v>
          </cell>
          <cell r="M20">
            <v>337.52212416362659</v>
          </cell>
          <cell r="N20">
            <v>337.52212416362659</v>
          </cell>
          <cell r="O20">
            <v>1.3720411551366933</v>
          </cell>
          <cell r="P20">
            <v>0.30489803447482078</v>
          </cell>
          <cell r="Q20">
            <v>1.676939189611514</v>
          </cell>
          <cell r="R20">
            <v>59.30266770535264</v>
          </cell>
          <cell r="S20">
            <v>442.25459900572753</v>
          </cell>
          <cell r="T20">
            <v>274.7131290618135</v>
          </cell>
          <cell r="U20">
            <v>2073.9164304977307</v>
          </cell>
          <cell r="V20">
            <v>-110.52553749712254</v>
          </cell>
          <cell r="W20">
            <v>1963.390893000608</v>
          </cell>
          <cell r="X20">
            <v>62.808995101813075</v>
          </cell>
          <cell r="Y20">
            <v>0.15244901723741039</v>
          </cell>
          <cell r="Z20">
            <v>62.961444119050483</v>
          </cell>
          <cell r="AA20">
            <v>-41.92347974028786</v>
          </cell>
          <cell r="AB20">
            <v>2259.1419864411841</v>
          </cell>
          <cell r="AC20">
            <v>19263.457818119175</v>
          </cell>
          <cell r="AD20">
            <v>20334.717062246458</v>
          </cell>
          <cell r="AE20">
            <v>-1071.2592441272827</v>
          </cell>
        </row>
        <row r="21">
          <cell r="A21">
            <v>1973</v>
          </cell>
          <cell r="B21">
            <v>362.06641593884967</v>
          </cell>
          <cell r="C21">
            <v>2403.6636547822495</v>
          </cell>
          <cell r="D21">
            <v>204.28168309812992</v>
          </cell>
          <cell r="E21">
            <v>2607.9453378803796</v>
          </cell>
          <cell r="F21">
            <v>87.200837859798739</v>
          </cell>
          <cell r="G21">
            <v>0</v>
          </cell>
          <cell r="H21">
            <v>87.200837859798739</v>
          </cell>
          <cell r="I21">
            <v>22.105107499424506</v>
          </cell>
          <cell r="J21">
            <v>3079.3176991784526</v>
          </cell>
          <cell r="K21">
            <v>51.070420774532479</v>
          </cell>
          <cell r="L21">
            <v>0.15244901723741039</v>
          </cell>
          <cell r="M21">
            <v>405.2094878170368</v>
          </cell>
          <cell r="N21">
            <v>405.36193683427422</v>
          </cell>
          <cell r="O21">
            <v>1.9818372240863349</v>
          </cell>
          <cell r="P21">
            <v>0</v>
          </cell>
          <cell r="Q21">
            <v>1.9818372240863349</v>
          </cell>
          <cell r="R21">
            <v>49.241032567683554</v>
          </cell>
          <cell r="S21">
            <v>507.65522740057656</v>
          </cell>
          <cell r="T21">
            <v>310.99599516431721</v>
          </cell>
          <cell r="U21">
            <v>2403.5112057650122</v>
          </cell>
          <cell r="V21">
            <v>-200.92780471890688</v>
          </cell>
          <cell r="W21">
            <v>2202.5834010461053</v>
          </cell>
          <cell r="X21">
            <v>85.219000635712405</v>
          </cell>
          <cell r="Y21">
            <v>0</v>
          </cell>
          <cell r="Z21">
            <v>85.219000635712405</v>
          </cell>
          <cell r="AA21">
            <v>-27.135925068259048</v>
          </cell>
          <cell r="AB21">
            <v>2571.6624717778759</v>
          </cell>
          <cell r="AC21">
            <v>23756.435254140135</v>
          </cell>
          <cell r="AD21">
            <v>24767.172238424166</v>
          </cell>
          <cell r="AE21">
            <v>-1010.7369842840308</v>
          </cell>
        </row>
        <row r="22">
          <cell r="A22">
            <v>1974</v>
          </cell>
          <cell r="B22">
            <v>702.33262241274963</v>
          </cell>
          <cell r="C22">
            <v>7403.0767260658859</v>
          </cell>
          <cell r="D22">
            <v>459.93868500526713</v>
          </cell>
          <cell r="E22">
            <v>7863.0154110711528</v>
          </cell>
          <cell r="F22">
            <v>137.20411551366934</v>
          </cell>
          <cell r="G22">
            <v>0</v>
          </cell>
          <cell r="H22">
            <v>137.20411551366934</v>
          </cell>
          <cell r="I22">
            <v>21.190413396000043</v>
          </cell>
          <cell r="J22">
            <v>8723.7425623935706</v>
          </cell>
          <cell r="K22">
            <v>64.638383308662</v>
          </cell>
          <cell r="L22">
            <v>0.15244901723741039</v>
          </cell>
          <cell r="M22">
            <v>776.11794675565625</v>
          </cell>
          <cell r="N22">
            <v>776.27039577289361</v>
          </cell>
          <cell r="O22">
            <v>4.1161234654100802</v>
          </cell>
          <cell r="P22">
            <v>0</v>
          </cell>
          <cell r="Q22">
            <v>4.1161234654100802</v>
          </cell>
          <cell r="R22">
            <v>29.422660326820203</v>
          </cell>
          <cell r="S22">
            <v>874.44756287378584</v>
          </cell>
          <cell r="T22">
            <v>637.69423910408761</v>
          </cell>
          <cell r="U22">
            <v>7402.924277048648</v>
          </cell>
          <cell r="V22">
            <v>-316.17926175038912</v>
          </cell>
          <cell r="W22">
            <v>7086.7450152982592</v>
          </cell>
          <cell r="X22">
            <v>133.08799204825925</v>
          </cell>
          <cell r="Y22">
            <v>0</v>
          </cell>
          <cell r="Z22">
            <v>133.08799204825925</v>
          </cell>
          <cell r="AA22">
            <v>-8.2322469308201605</v>
          </cell>
          <cell r="AB22">
            <v>7849.2949995197851</v>
          </cell>
          <cell r="AC22">
            <v>36460</v>
          </cell>
          <cell r="AD22">
            <v>34014</v>
          </cell>
          <cell r="AE22">
            <v>2446</v>
          </cell>
        </row>
        <row r="23">
          <cell r="A23">
            <v>1975</v>
          </cell>
          <cell r="B23">
            <v>796.54611506546928</v>
          </cell>
          <cell r="C23">
            <v>6179.2160156839545</v>
          </cell>
          <cell r="D23">
            <v>511.77135086598668</v>
          </cell>
          <cell r="E23">
            <v>6690.9873665499408</v>
          </cell>
          <cell r="F23">
            <v>292.24476604411569</v>
          </cell>
          <cell r="G23">
            <v>0</v>
          </cell>
          <cell r="H23">
            <v>292.24476604411569</v>
          </cell>
          <cell r="I23">
            <v>35.368171999079209</v>
          </cell>
          <cell r="J23">
            <v>7815.1464196586048</v>
          </cell>
          <cell r="K23">
            <v>67.5349146361728</v>
          </cell>
          <cell r="L23">
            <v>0.15244901723741039</v>
          </cell>
          <cell r="M23">
            <v>796.08876801375698</v>
          </cell>
          <cell r="N23">
            <v>796.24121703099433</v>
          </cell>
          <cell r="O23">
            <v>6.2504097067338256</v>
          </cell>
          <cell r="P23">
            <v>0</v>
          </cell>
          <cell r="Q23">
            <v>6.2504097067338256</v>
          </cell>
          <cell r="R23">
            <v>30.184905413007254</v>
          </cell>
          <cell r="S23">
            <v>900.21144678690837</v>
          </cell>
          <cell r="T23">
            <v>729.01120042929642</v>
          </cell>
          <cell r="U23">
            <v>6179.0635666667167</v>
          </cell>
          <cell r="V23">
            <v>-284.3174171477703</v>
          </cell>
          <cell r="W23">
            <v>5894.7461495189464</v>
          </cell>
          <cell r="X23">
            <v>285.99435633738187</v>
          </cell>
          <cell r="Y23">
            <v>0</v>
          </cell>
          <cell r="Z23">
            <v>285.99435633738187</v>
          </cell>
          <cell r="AA23">
            <v>5.1832665860719551</v>
          </cell>
          <cell r="AB23">
            <v>6914.9349728716961</v>
          </cell>
          <cell r="AC23">
            <v>33762</v>
          </cell>
          <cell r="AD23">
            <v>34628</v>
          </cell>
          <cell r="AE23">
            <v>-866</v>
          </cell>
        </row>
        <row r="24">
          <cell r="A24">
            <v>1976</v>
          </cell>
          <cell r="B24">
            <v>832.82898116797287</v>
          </cell>
          <cell r="C24">
            <v>8403.1422791432979</v>
          </cell>
          <cell r="D24">
            <v>716.81527905030362</v>
          </cell>
          <cell r="E24">
            <v>9119.9575581936006</v>
          </cell>
          <cell r="F24">
            <v>418.62500133392894</v>
          </cell>
          <cell r="G24">
            <v>0</v>
          </cell>
          <cell r="H24">
            <v>418.62500133392894</v>
          </cell>
          <cell r="I24">
            <v>75.462263532518136</v>
          </cell>
          <cell r="J24">
            <v>10446.87380422802</v>
          </cell>
          <cell r="K24">
            <v>84.456755549525354</v>
          </cell>
          <cell r="L24">
            <v>0.15244901723741039</v>
          </cell>
          <cell r="M24">
            <v>1016.8349449735273</v>
          </cell>
          <cell r="N24">
            <v>1016.9873939907646</v>
          </cell>
          <cell r="O24">
            <v>7.6224508618705187</v>
          </cell>
          <cell r="P24">
            <v>0</v>
          </cell>
          <cell r="Q24">
            <v>7.6224508618705187</v>
          </cell>
          <cell r="R24">
            <v>52.747359964143989</v>
          </cell>
          <cell r="S24">
            <v>1161.8139603663044</v>
          </cell>
          <cell r="T24">
            <v>748.37222561844749</v>
          </cell>
          <cell r="U24">
            <v>8402.98983012606</v>
          </cell>
          <cell r="V24">
            <v>-300.01966592322367</v>
          </cell>
          <cell r="W24">
            <v>8102.9701642028358</v>
          </cell>
          <cell r="X24">
            <v>411.00255047205843</v>
          </cell>
          <cell r="Y24">
            <v>0</v>
          </cell>
          <cell r="Z24">
            <v>411.00255047205843</v>
          </cell>
          <cell r="AA24">
            <v>22.714903568374147</v>
          </cell>
          <cell r="AB24">
            <v>9285.0598438617162</v>
          </cell>
          <cell r="AC24">
            <v>44702</v>
          </cell>
          <cell r="AD24">
            <v>41654</v>
          </cell>
          <cell r="AE24">
            <v>3048</v>
          </cell>
        </row>
        <row r="25">
          <cell r="A25">
            <v>1977</v>
          </cell>
          <cell r="B25">
            <v>908.90104076944067</v>
          </cell>
          <cell r="C25">
            <v>8862.1662700451398</v>
          </cell>
          <cell r="D25">
            <v>743.49385706685041</v>
          </cell>
          <cell r="E25">
            <v>9605.6601271119907</v>
          </cell>
          <cell r="F25">
            <v>643.029954707397</v>
          </cell>
          <cell r="G25">
            <v>0</v>
          </cell>
          <cell r="H25">
            <v>643.029954707397</v>
          </cell>
          <cell r="I25">
            <v>87.810633928748373</v>
          </cell>
          <cell r="J25">
            <v>11245.401756517576</v>
          </cell>
          <cell r="K25">
            <v>89.48757311835989</v>
          </cell>
          <cell r="L25">
            <v>15.244901723741037</v>
          </cell>
          <cell r="M25">
            <v>1241.3923473642328</v>
          </cell>
          <cell r="N25">
            <v>1256.6372490879739</v>
          </cell>
          <cell r="O25">
            <v>9.7567371031942649</v>
          </cell>
          <cell r="P25">
            <v>0</v>
          </cell>
          <cell r="Q25">
            <v>9.7567371031942649</v>
          </cell>
          <cell r="R25">
            <v>35.825519050791442</v>
          </cell>
          <cell r="S25">
            <v>1391.7070783603194</v>
          </cell>
          <cell r="T25">
            <v>819.41346765108074</v>
          </cell>
          <cell r="U25">
            <v>8846.9213683213984</v>
          </cell>
          <cell r="V25">
            <v>-497.89849029738241</v>
          </cell>
          <cell r="W25">
            <v>8349.0228780240177</v>
          </cell>
          <cell r="X25">
            <v>633.27321760420273</v>
          </cell>
          <cell r="Y25">
            <v>0</v>
          </cell>
          <cell r="Z25">
            <v>633.27321760420273</v>
          </cell>
          <cell r="AA25">
            <v>51.985114877956931</v>
          </cell>
          <cell r="AB25">
            <v>9853.6946781572569</v>
          </cell>
          <cell r="AC25">
            <v>50383</v>
          </cell>
          <cell r="AD25">
            <v>48774</v>
          </cell>
          <cell r="AE25">
            <v>1609</v>
          </cell>
        </row>
        <row r="26">
          <cell r="A26">
            <v>1978</v>
          </cell>
          <cell r="B26">
            <v>922.3165542863328</v>
          </cell>
          <cell r="C26">
            <v>8215.1726408895702</v>
          </cell>
          <cell r="D26">
            <v>814.99244615119585</v>
          </cell>
          <cell r="E26">
            <v>9030.1650870407666</v>
          </cell>
          <cell r="F26">
            <v>764.83671948008794</v>
          </cell>
          <cell r="G26">
            <v>0</v>
          </cell>
          <cell r="H26">
            <v>764.83671948008794</v>
          </cell>
          <cell r="I26">
            <v>119.52002951412975</v>
          </cell>
          <cell r="J26">
            <v>10836.838390321318</v>
          </cell>
          <cell r="K26">
            <v>80.188183066877855</v>
          </cell>
          <cell r="L26">
            <v>1.9818372240863349</v>
          </cell>
          <cell r="M26">
            <v>1252.0637785708514</v>
          </cell>
          <cell r="N26">
            <v>1254.0456157949377</v>
          </cell>
          <cell r="O26">
            <v>11.738574327280599</v>
          </cell>
          <cell r="P26">
            <v>0</v>
          </cell>
          <cell r="Q26">
            <v>11.738574327280599</v>
          </cell>
          <cell r="R26">
            <v>33.691232809467692</v>
          </cell>
          <cell r="S26">
            <v>1379.6636059985638</v>
          </cell>
          <cell r="T26">
            <v>842.12837121945495</v>
          </cell>
          <cell r="U26">
            <v>8213.1908036654841</v>
          </cell>
          <cell r="V26">
            <v>-437.0713324196555</v>
          </cell>
          <cell r="W26">
            <v>7776.1194712458291</v>
          </cell>
          <cell r="X26">
            <v>753.09814515280732</v>
          </cell>
          <cell r="Y26">
            <v>0</v>
          </cell>
          <cell r="Z26">
            <v>753.09814515280732</v>
          </cell>
          <cell r="AA26">
            <v>85.828796704662054</v>
          </cell>
          <cell r="AB26">
            <v>9457.1747843227549</v>
          </cell>
          <cell r="AC26">
            <v>54126</v>
          </cell>
          <cell r="AD26">
            <v>54515</v>
          </cell>
          <cell r="AE26">
            <v>-389</v>
          </cell>
        </row>
        <row r="27">
          <cell r="A27">
            <v>1979</v>
          </cell>
          <cell r="B27">
            <v>1078.8816949891532</v>
          </cell>
          <cell r="C27">
            <v>11149.81622270972</v>
          </cell>
          <cell r="D27">
            <v>1625.1065237507946</v>
          </cell>
          <cell r="E27">
            <v>12774.922746460514</v>
          </cell>
          <cell r="F27">
            <v>919.57247197605943</v>
          </cell>
          <cell r="G27">
            <v>0</v>
          </cell>
          <cell r="H27">
            <v>919.57247197605943</v>
          </cell>
          <cell r="I27">
            <v>251.84577647620196</v>
          </cell>
          <cell r="J27">
            <v>15025.22268990193</v>
          </cell>
          <cell r="K27">
            <v>139.94819782394273</v>
          </cell>
          <cell r="L27">
            <v>0.15244901723741039</v>
          </cell>
          <cell r="M27">
            <v>2051.6588739810691</v>
          </cell>
          <cell r="N27">
            <v>2051.8113229983064</v>
          </cell>
          <cell r="O27">
            <v>10.976329241093547</v>
          </cell>
          <cell r="P27">
            <v>0</v>
          </cell>
          <cell r="Q27">
            <v>10.976329241093547</v>
          </cell>
          <cell r="R27">
            <v>45.429807136748295</v>
          </cell>
          <cell r="S27">
            <v>2248.1656572000911</v>
          </cell>
          <cell r="T27">
            <v>938.93349716521038</v>
          </cell>
          <cell r="U27">
            <v>11149.663773692482</v>
          </cell>
          <cell r="V27">
            <v>-426.55235023027444</v>
          </cell>
          <cell r="W27">
            <v>10723.111423462207</v>
          </cell>
          <cell r="X27">
            <v>908.59614273496584</v>
          </cell>
          <cell r="Y27">
            <v>0</v>
          </cell>
          <cell r="Z27">
            <v>908.59614273496584</v>
          </cell>
          <cell r="AA27">
            <v>206.41596933945368</v>
          </cell>
          <cell r="AB27">
            <v>12777.057032701839</v>
          </cell>
          <cell r="AC27">
            <v>66778</v>
          </cell>
          <cell r="AD27">
            <v>65244</v>
          </cell>
          <cell r="AE27">
            <v>1534</v>
          </cell>
        </row>
        <row r="28">
          <cell r="A28">
            <v>1980</v>
          </cell>
          <cell r="B28">
            <v>1402.5309585841756</v>
          </cell>
          <cell r="C28">
            <v>17038.616860556409</v>
          </cell>
          <cell r="D28">
            <v>2946.99195221638</v>
          </cell>
          <cell r="E28">
            <v>19985.608812772789</v>
          </cell>
          <cell r="F28">
            <v>1533.1797663566363</v>
          </cell>
          <cell r="G28">
            <v>0</v>
          </cell>
          <cell r="H28">
            <v>1533.1797663566363</v>
          </cell>
          <cell r="I28">
            <v>206.8733163911659</v>
          </cell>
          <cell r="J28">
            <v>23128.192854104767</v>
          </cell>
          <cell r="K28">
            <v>113.57451784187073</v>
          </cell>
          <cell r="L28">
            <v>0.15244901723741039</v>
          </cell>
          <cell r="M28">
            <v>2626.0867709316312</v>
          </cell>
          <cell r="N28">
            <v>2626.2392199488686</v>
          </cell>
          <cell r="O28">
            <v>21.952658482187093</v>
          </cell>
          <cell r="P28">
            <v>0</v>
          </cell>
          <cell r="Q28">
            <v>21.952658482187093</v>
          </cell>
          <cell r="R28">
            <v>105.95206698000021</v>
          </cell>
          <cell r="S28">
            <v>2867.7184632529265</v>
          </cell>
          <cell r="T28">
            <v>1288.9564407423047</v>
          </cell>
          <cell r="U28">
            <v>17038.464411539171</v>
          </cell>
          <cell r="V28">
            <v>320.90518128474878</v>
          </cell>
          <cell r="W28">
            <v>17359.369592823921</v>
          </cell>
          <cell r="X28">
            <v>1511.2271078744491</v>
          </cell>
          <cell r="Y28">
            <v>0</v>
          </cell>
          <cell r="Z28">
            <v>1511.2271078744491</v>
          </cell>
          <cell r="AA28">
            <v>100.92124941116569</v>
          </cell>
          <cell r="AB28">
            <v>20260.474390851839</v>
          </cell>
          <cell r="AC28">
            <v>83990</v>
          </cell>
          <cell r="AD28">
            <v>74784</v>
          </cell>
          <cell r="AE28">
            <v>9206</v>
          </cell>
        </row>
        <row r="29">
          <cell r="A29">
            <v>1981</v>
          </cell>
          <cell r="B29">
            <v>1829.8455539006368</v>
          </cell>
          <cell r="C29">
            <v>20064.424954684531</v>
          </cell>
          <cell r="D29">
            <v>3904.6766785017921</v>
          </cell>
          <cell r="E29">
            <v>23969.101633186325</v>
          </cell>
          <cell r="F29">
            <v>2540.5628722614442</v>
          </cell>
          <cell r="G29">
            <v>0</v>
          </cell>
          <cell r="H29">
            <v>2540.5628722614442</v>
          </cell>
          <cell r="I29">
            <v>155.19309954768377</v>
          </cell>
          <cell r="J29">
            <v>28494.703158896089</v>
          </cell>
          <cell r="K29">
            <v>161.44350925441759</v>
          </cell>
          <cell r="L29">
            <v>0.15244901723741039</v>
          </cell>
          <cell r="M29">
            <v>3466.3857539442374</v>
          </cell>
          <cell r="N29">
            <v>3466.5382029614748</v>
          </cell>
          <cell r="O29">
            <v>27.593272119971278</v>
          </cell>
          <cell r="P29">
            <v>0</v>
          </cell>
          <cell r="Q29">
            <v>27.593272119971278</v>
          </cell>
          <cell r="R29">
            <v>203.36698899470545</v>
          </cell>
          <cell r="S29">
            <v>3858.941973330569</v>
          </cell>
          <cell r="T29">
            <v>1668.4020446462191</v>
          </cell>
          <cell r="U29">
            <v>20064.272505667293</v>
          </cell>
          <cell r="V29">
            <v>438.29092455755472</v>
          </cell>
          <cell r="W29">
            <v>20502.563430224851</v>
          </cell>
          <cell r="X29">
            <v>2512.9696001414732</v>
          </cell>
          <cell r="Y29">
            <v>0</v>
          </cell>
          <cell r="Z29">
            <v>2512.9696001414732</v>
          </cell>
          <cell r="AA29">
            <v>-48.173889447021679</v>
          </cell>
          <cell r="AB29">
            <v>24635.76118556552</v>
          </cell>
          <cell r="AC29">
            <v>96927</v>
          </cell>
          <cell r="AD29">
            <v>87913</v>
          </cell>
          <cell r="AE29">
            <v>9014</v>
          </cell>
        </row>
        <row r="30">
          <cell r="A30">
            <v>1982</v>
          </cell>
          <cell r="B30">
            <v>1648.1263253536436</v>
          </cell>
          <cell r="C30">
            <v>19739.708547968847</v>
          </cell>
          <cell r="D30">
            <v>5577.6521936651334</v>
          </cell>
          <cell r="E30">
            <v>25317.36074163398</v>
          </cell>
          <cell r="F30">
            <v>3560.4467975797193</v>
          </cell>
          <cell r="G30">
            <v>0</v>
          </cell>
          <cell r="H30">
            <v>3560.4467975797193</v>
          </cell>
          <cell r="I30">
            <v>206.56841835669107</v>
          </cell>
          <cell r="J30">
            <v>30732.502282924037</v>
          </cell>
          <cell r="K30">
            <v>169.37085815076293</v>
          </cell>
          <cell r="L30">
            <v>95.585533807856308</v>
          </cell>
          <cell r="M30">
            <v>3145.4805726594882</v>
          </cell>
          <cell r="N30">
            <v>3241.0661064673445</v>
          </cell>
          <cell r="O30">
            <v>43.600418929899369</v>
          </cell>
          <cell r="P30">
            <v>0</v>
          </cell>
          <cell r="Q30">
            <v>43.600418929899369</v>
          </cell>
          <cell r="R30">
            <v>161.13861121994276</v>
          </cell>
          <cell r="S30">
            <v>3615.1759947679498</v>
          </cell>
          <cell r="T30">
            <v>1478.7554672028807</v>
          </cell>
          <cell r="U30">
            <v>19644.123014160992</v>
          </cell>
          <cell r="V30">
            <v>2432.1716210056452</v>
          </cell>
          <cell r="W30">
            <v>22076.294635166636</v>
          </cell>
          <cell r="X30">
            <v>3516.8463786498201</v>
          </cell>
          <cell r="Y30">
            <v>0</v>
          </cell>
          <cell r="Z30">
            <v>3516.8463786498201</v>
          </cell>
          <cell r="AA30">
            <v>45.429807136748309</v>
          </cell>
          <cell r="AB30">
            <v>27117.326288156088</v>
          </cell>
          <cell r="AC30">
            <v>110731</v>
          </cell>
          <cell r="AD30">
            <v>96511</v>
          </cell>
          <cell r="AE30">
            <v>14220</v>
          </cell>
        </row>
        <row r="31">
          <cell r="A31">
            <v>1983</v>
          </cell>
          <cell r="B31">
            <v>1512.7515980468231</v>
          </cell>
          <cell r="C31">
            <v>18336.415344298483</v>
          </cell>
          <cell r="D31">
            <v>5787.4220413838102</v>
          </cell>
          <cell r="E31">
            <v>24123.837385682295</v>
          </cell>
          <cell r="F31">
            <v>3828.7570679175619</v>
          </cell>
          <cell r="G31">
            <v>0</v>
          </cell>
          <cell r="H31">
            <v>3828.7570679175619</v>
          </cell>
          <cell r="I31">
            <v>172.26738947827374</v>
          </cell>
          <cell r="J31">
            <v>29637.613441124955</v>
          </cell>
          <cell r="K31">
            <v>177.90800311605793</v>
          </cell>
          <cell r="L31">
            <v>77.44410075660447</v>
          </cell>
          <cell r="M31">
            <v>3215.3022225542222</v>
          </cell>
          <cell r="N31">
            <v>3292.7463233108265</v>
          </cell>
          <cell r="O31">
            <v>135.37472730682043</v>
          </cell>
          <cell r="P31">
            <v>0</v>
          </cell>
          <cell r="Q31">
            <v>135.37472730682043</v>
          </cell>
          <cell r="R31">
            <v>369.53641778348276</v>
          </cell>
          <cell r="S31">
            <v>3975.5654715171877</v>
          </cell>
          <cell r="T31">
            <v>1334.8435949307652</v>
          </cell>
          <cell r="U31">
            <v>18258.971243541877</v>
          </cell>
          <cell r="V31">
            <v>2572.119818829588</v>
          </cell>
          <cell r="W31">
            <v>20831.091062371466</v>
          </cell>
          <cell r="X31">
            <v>3693.3823406107413</v>
          </cell>
          <cell r="Y31">
            <v>0</v>
          </cell>
          <cell r="Z31">
            <v>3693.3823406107413</v>
          </cell>
          <cell r="AA31">
            <v>-197.26902830520902</v>
          </cell>
          <cell r="AB31">
            <v>25662.047969607767</v>
          </cell>
          <cell r="AC31">
            <v>116761</v>
          </cell>
          <cell r="AD31">
            <v>110164</v>
          </cell>
          <cell r="AE31">
            <v>6597</v>
          </cell>
        </row>
        <row r="32">
          <cell r="A32">
            <v>1984</v>
          </cell>
          <cell r="B32">
            <v>1708.0387891279458</v>
          </cell>
          <cell r="C32">
            <v>20802.125749096358</v>
          </cell>
          <cell r="D32">
            <v>5924.3212588630049</v>
          </cell>
          <cell r="E32">
            <v>26726.447007959363</v>
          </cell>
          <cell r="F32">
            <v>4353.791483283203</v>
          </cell>
          <cell r="G32">
            <v>0</v>
          </cell>
          <cell r="H32">
            <v>4353.791483283203</v>
          </cell>
          <cell r="I32">
            <v>185.37800496069102</v>
          </cell>
          <cell r="J32">
            <v>32973.65528533121</v>
          </cell>
          <cell r="K32">
            <v>247.88210202802929</v>
          </cell>
          <cell r="L32">
            <v>15.854697792690679</v>
          </cell>
          <cell r="M32">
            <v>3448.5492189274601</v>
          </cell>
          <cell r="N32">
            <v>3464.4039167201508</v>
          </cell>
          <cell r="O32">
            <v>32.928987723280642</v>
          </cell>
          <cell r="P32">
            <v>0</v>
          </cell>
          <cell r="Q32">
            <v>32.928987723280642</v>
          </cell>
          <cell r="R32">
            <v>720.47405546400148</v>
          </cell>
          <cell r="S32">
            <v>4465.6890619354617</v>
          </cell>
          <cell r="T32">
            <v>1460.1566870999166</v>
          </cell>
          <cell r="U32">
            <v>20786.271051303669</v>
          </cell>
          <cell r="V32">
            <v>2475.7720399355449</v>
          </cell>
          <cell r="W32">
            <v>23262.043091239211</v>
          </cell>
          <cell r="X32">
            <v>4320.8624955599225</v>
          </cell>
          <cell r="Y32">
            <v>0</v>
          </cell>
          <cell r="Z32">
            <v>4320.8624955599225</v>
          </cell>
          <cell r="AA32">
            <v>-535.09605050331049</v>
          </cell>
          <cell r="AB32">
            <v>28507.96622339575</v>
          </cell>
          <cell r="AC32">
            <v>132951</v>
          </cell>
          <cell r="AD32">
            <v>129599</v>
          </cell>
          <cell r="AE32">
            <v>3352</v>
          </cell>
        </row>
        <row r="33">
          <cell r="A33">
            <v>1985</v>
          </cell>
          <cell r="B33">
            <v>1733.6502240238308</v>
          </cell>
          <cell r="C33">
            <v>19290.746192204671</v>
          </cell>
          <cell r="D33">
            <v>6615.5251030174231</v>
          </cell>
          <cell r="E33">
            <v>25906.271295222094</v>
          </cell>
          <cell r="F33">
            <v>4679.2701350850739</v>
          </cell>
          <cell r="G33">
            <v>0</v>
          </cell>
          <cell r="H33">
            <v>4679.2701350850739</v>
          </cell>
          <cell r="I33">
            <v>237.05822180417314</v>
          </cell>
          <cell r="J33">
            <v>32556.249876135171</v>
          </cell>
          <cell r="K33">
            <v>224.40495337346809</v>
          </cell>
          <cell r="L33">
            <v>0.45734705171223117</v>
          </cell>
          <cell r="M33">
            <v>3873.7295280025978</v>
          </cell>
          <cell r="N33">
            <v>3874.1868750543099</v>
          </cell>
          <cell r="O33">
            <v>57.015932446791481</v>
          </cell>
          <cell r="P33">
            <v>0</v>
          </cell>
          <cell r="Q33">
            <v>57.015932446791481</v>
          </cell>
          <cell r="R33">
            <v>870.02654137390107</v>
          </cell>
          <cell r="S33">
            <v>5025.6343022484698</v>
          </cell>
          <cell r="T33">
            <v>1509.2452706503627</v>
          </cell>
          <cell r="U33">
            <v>19290.288845152958</v>
          </cell>
          <cell r="V33">
            <v>2741.7955750148253</v>
          </cell>
          <cell r="W33">
            <v>22032.084420167783</v>
          </cell>
          <cell r="X33">
            <v>4622.2542026382825</v>
          </cell>
          <cell r="Y33">
            <v>0</v>
          </cell>
          <cell r="Z33">
            <v>4622.2542026382825</v>
          </cell>
          <cell r="AA33">
            <v>-632.9683195697279</v>
          </cell>
          <cell r="AB33">
            <v>27530.615573886702</v>
          </cell>
          <cell r="AC33">
            <v>141923</v>
          </cell>
          <cell r="AD33">
            <v>138139</v>
          </cell>
          <cell r="AE33">
            <v>3784</v>
          </cell>
        </row>
        <row r="34">
          <cell r="A34">
            <v>1986</v>
          </cell>
          <cell r="B34">
            <v>1307.2503228107939</v>
          </cell>
          <cell r="C34">
            <v>7821.091931330865</v>
          </cell>
          <cell r="D34">
            <v>4062.0040642907998</v>
          </cell>
          <cell r="E34">
            <v>11883.095995621665</v>
          </cell>
          <cell r="F34">
            <v>3560.2943485624819</v>
          </cell>
          <cell r="G34">
            <v>0</v>
          </cell>
          <cell r="H34">
            <v>3560.2943485624819</v>
          </cell>
          <cell r="I34">
            <v>225.47209649412994</v>
          </cell>
          <cell r="J34">
            <v>16976.112763489073</v>
          </cell>
          <cell r="K34">
            <v>160.68126416823054</v>
          </cell>
          <cell r="L34">
            <v>0.30489803447482078</v>
          </cell>
          <cell r="M34">
            <v>2078.1850029803782</v>
          </cell>
          <cell r="N34">
            <v>2078.4899010148529</v>
          </cell>
          <cell r="O34">
            <v>29.727558361295024</v>
          </cell>
          <cell r="P34">
            <v>0</v>
          </cell>
          <cell r="Q34">
            <v>29.727558361295024</v>
          </cell>
          <cell r="R34">
            <v>1038.0253583695273</v>
          </cell>
          <cell r="S34">
            <v>3306.9240819139059</v>
          </cell>
          <cell r="T34">
            <v>1146.5690586425635</v>
          </cell>
          <cell r="U34">
            <v>7820.7870332963903</v>
          </cell>
          <cell r="V34">
            <v>1983.8190613104216</v>
          </cell>
          <cell r="W34">
            <v>9804.6060946068119</v>
          </cell>
          <cell r="X34">
            <v>3530.5667902011869</v>
          </cell>
          <cell r="Y34">
            <v>0</v>
          </cell>
          <cell r="Z34">
            <v>3530.5667902011869</v>
          </cell>
          <cell r="AA34">
            <v>-812.55326187539742</v>
          </cell>
          <cell r="AB34">
            <v>13669.188681575168</v>
          </cell>
          <cell r="AC34">
            <v>131600</v>
          </cell>
          <cell r="AD34">
            <v>131642</v>
          </cell>
          <cell r="AE34">
            <v>-42</v>
          </cell>
        </row>
        <row r="35">
          <cell r="A35">
            <v>1987</v>
          </cell>
          <cell r="B35">
            <v>843.80531040906646</v>
          </cell>
          <cell r="C35">
            <v>7674.2835277312388</v>
          </cell>
          <cell r="D35">
            <v>4428.4915017295343</v>
          </cell>
          <cell r="E35">
            <v>12102.775029460772</v>
          </cell>
          <cell r="F35">
            <v>2172.8558426848103</v>
          </cell>
          <cell r="G35">
            <v>0</v>
          </cell>
          <cell r="H35">
            <v>2172.8558426848103</v>
          </cell>
          <cell r="I35">
            <v>214.03842020132419</v>
          </cell>
          <cell r="J35">
            <v>15333.474602755974</v>
          </cell>
          <cell r="K35">
            <v>136.5943194447197</v>
          </cell>
          <cell r="L35">
            <v>2.4391842757985662</v>
          </cell>
          <cell r="M35">
            <v>1600.714680992809</v>
          </cell>
          <cell r="N35">
            <v>1603.1538652686077</v>
          </cell>
          <cell r="O35">
            <v>21.342862413237455</v>
          </cell>
          <cell r="P35">
            <v>0</v>
          </cell>
          <cell r="Q35">
            <v>21.342862413237455</v>
          </cell>
          <cell r="R35">
            <v>1061.1976089896136</v>
          </cell>
          <cell r="S35">
            <v>2822.2886561161786</v>
          </cell>
          <cell r="T35">
            <v>707.21099096434682</v>
          </cell>
          <cell r="U35">
            <v>7671.8443434554401</v>
          </cell>
          <cell r="V35">
            <v>2827.7768207367253</v>
          </cell>
          <cell r="W35">
            <v>10499.621164192165</v>
          </cell>
          <cell r="X35">
            <v>2151.5129802715728</v>
          </cell>
          <cell r="Y35">
            <v>0</v>
          </cell>
          <cell r="Z35">
            <v>2151.5129802715728</v>
          </cell>
          <cell r="AA35">
            <v>-847.15918878828938</v>
          </cell>
          <cell r="AB35">
            <v>12511.185946639795</v>
          </cell>
          <cell r="AC35">
            <v>140332</v>
          </cell>
          <cell r="AD35">
            <v>135514</v>
          </cell>
          <cell r="AE35">
            <v>4818</v>
          </cell>
        </row>
        <row r="36">
          <cell r="A36">
            <v>1988</v>
          </cell>
          <cell r="B36">
            <v>846.09204566762764</v>
          </cell>
          <cell r="C36">
            <v>6478.3209875037537</v>
          </cell>
          <cell r="D36">
            <v>3427.6637035659351</v>
          </cell>
          <cell r="E36">
            <v>9905.9846910696888</v>
          </cell>
          <cell r="F36">
            <v>2045.2560152570977</v>
          </cell>
          <cell r="G36">
            <v>0</v>
          </cell>
          <cell r="H36">
            <v>2045.2560152570977</v>
          </cell>
          <cell r="I36">
            <v>241.47924330405803</v>
          </cell>
          <cell r="J36">
            <v>13038.811995298473</v>
          </cell>
          <cell r="K36">
            <v>193.30535385703635</v>
          </cell>
          <cell r="L36">
            <v>9.451839068719444</v>
          </cell>
          <cell r="M36">
            <v>1555.7422209077729</v>
          </cell>
          <cell r="N36">
            <v>1565.1940599764923</v>
          </cell>
          <cell r="O36">
            <v>38.264703326590009</v>
          </cell>
          <cell r="P36">
            <v>0</v>
          </cell>
          <cell r="Q36">
            <v>38.264703326590009</v>
          </cell>
          <cell r="R36">
            <v>1106.4749671091245</v>
          </cell>
          <cell r="S36">
            <v>2903.239084269243</v>
          </cell>
          <cell r="T36">
            <v>652.78669181059126</v>
          </cell>
          <cell r="U36">
            <v>6468.8691484350338</v>
          </cell>
          <cell r="V36">
            <v>1871.9214826581622</v>
          </cell>
          <cell r="W36">
            <v>8340.7906310931958</v>
          </cell>
          <cell r="X36">
            <v>2006.9913119305077</v>
          </cell>
          <cell r="Y36">
            <v>0</v>
          </cell>
          <cell r="Z36">
            <v>2006.9913119305077</v>
          </cell>
          <cell r="AA36">
            <v>-864.9957238050664</v>
          </cell>
          <cell r="AB36">
            <v>10135.57291102923</v>
          </cell>
          <cell r="AC36">
            <v>157094</v>
          </cell>
          <cell r="AD36">
            <v>152091</v>
          </cell>
          <cell r="AE36">
            <v>5003</v>
          </cell>
        </row>
        <row r="37">
          <cell r="A37">
            <v>1989</v>
          </cell>
          <cell r="B37">
            <v>1067.29556967911</v>
          </cell>
          <cell r="C37">
            <v>8407.7157496604195</v>
          </cell>
          <cell r="D37">
            <v>4340.8333168180234</v>
          </cell>
          <cell r="E37">
            <v>12748.549066478443</v>
          </cell>
          <cell r="F37">
            <v>2161.1172683575296</v>
          </cell>
          <cell r="G37">
            <v>0</v>
          </cell>
          <cell r="H37">
            <v>2161.1172683575296</v>
          </cell>
          <cell r="I37">
            <v>270.59700559640345</v>
          </cell>
          <cell r="J37">
            <v>16247.558910111486</v>
          </cell>
          <cell r="K37">
            <v>133.24044106549667</v>
          </cell>
          <cell r="L37">
            <v>1.6769391896115142</v>
          </cell>
          <cell r="M37">
            <v>1817.4971835044066</v>
          </cell>
          <cell r="N37">
            <v>1819.174122694018</v>
          </cell>
          <cell r="O37">
            <v>66.925118567223151</v>
          </cell>
          <cell r="P37">
            <v>0</v>
          </cell>
          <cell r="Q37">
            <v>66.925118567223151</v>
          </cell>
          <cell r="R37">
            <v>1542.4791564081183</v>
          </cell>
          <cell r="S37">
            <v>3561.8188387348564</v>
          </cell>
          <cell r="T37">
            <v>934.05512861361331</v>
          </cell>
          <cell r="U37">
            <v>8406.0388104708072</v>
          </cell>
          <cell r="V37">
            <v>2523.3361333136168</v>
          </cell>
          <cell r="W37">
            <v>10929.374943784425</v>
          </cell>
          <cell r="X37">
            <v>2094.1921497903063</v>
          </cell>
          <cell r="Y37">
            <v>0</v>
          </cell>
          <cell r="Z37">
            <v>2094.1921497903063</v>
          </cell>
          <cell r="AA37">
            <v>-1271.8821508117148</v>
          </cell>
          <cell r="AB37">
            <v>12685.740071376629</v>
          </cell>
          <cell r="AC37">
            <v>180984</v>
          </cell>
          <cell r="AD37">
            <v>174284</v>
          </cell>
          <cell r="AE37">
            <v>6700</v>
          </cell>
        </row>
        <row r="38">
          <cell r="A38">
            <v>1990</v>
          </cell>
          <cell r="B38">
            <v>1119.5855825915419</v>
          </cell>
          <cell r="C38">
            <v>9576.3899158024087</v>
          </cell>
          <cell r="D38">
            <v>4748.6344379280963</v>
          </cell>
          <cell r="E38">
            <v>14325.024353730505</v>
          </cell>
          <cell r="F38">
            <v>2530.0438900720628</v>
          </cell>
          <cell r="G38">
            <v>0</v>
          </cell>
          <cell r="H38">
            <v>2530.0438900720628</v>
          </cell>
          <cell r="I38">
            <v>357.64539443896473</v>
          </cell>
          <cell r="J38">
            <v>18332.299220833076</v>
          </cell>
          <cell r="K38">
            <v>114.94655899700743</v>
          </cell>
          <cell r="L38">
            <v>3.0489803447482076</v>
          </cell>
          <cell r="M38">
            <v>2298.7787309229111</v>
          </cell>
          <cell r="N38">
            <v>2301.8277112676592</v>
          </cell>
          <cell r="O38">
            <v>17.988984034014425</v>
          </cell>
          <cell r="P38">
            <v>0</v>
          </cell>
          <cell r="Q38">
            <v>17.988984034014425</v>
          </cell>
          <cell r="R38">
            <v>1726.63756923091</v>
          </cell>
          <cell r="S38">
            <v>4161.4008235295905</v>
          </cell>
          <cell r="T38">
            <v>1004.6390235945345</v>
          </cell>
          <cell r="U38">
            <v>9573.3409354576597</v>
          </cell>
          <cell r="V38">
            <v>2449.8557070051852</v>
          </cell>
          <cell r="W38">
            <v>12023.196642462846</v>
          </cell>
          <cell r="X38">
            <v>2512.0549060380486</v>
          </cell>
          <cell r="Y38">
            <v>0</v>
          </cell>
          <cell r="Z38">
            <v>2512.0549060380486</v>
          </cell>
          <cell r="AA38">
            <v>-1368.9921747919452</v>
          </cell>
          <cell r="AB38">
            <v>14170.898397303485</v>
          </cell>
          <cell r="AC38">
            <v>187014</v>
          </cell>
          <cell r="AD38">
            <v>179459</v>
          </cell>
          <cell r="AE38">
            <v>7555</v>
          </cell>
        </row>
        <row r="39">
          <cell r="A39">
            <v>1991</v>
          </cell>
          <cell r="B39">
            <v>1180.8700875209809</v>
          </cell>
          <cell r="C39">
            <v>9085.6565293151834</v>
          </cell>
          <cell r="D39">
            <v>5252.4784398977372</v>
          </cell>
          <cell r="E39">
            <v>14338.134969212921</v>
          </cell>
          <cell r="F39">
            <v>3190.9103797962366</v>
          </cell>
          <cell r="G39">
            <v>0</v>
          </cell>
          <cell r="H39">
            <v>3190.9103797962366</v>
          </cell>
          <cell r="I39">
            <v>256.11434895884946</v>
          </cell>
          <cell r="J39">
            <v>18966.02978548899</v>
          </cell>
          <cell r="K39">
            <v>125.77043922086357</v>
          </cell>
          <cell r="L39">
            <v>1.9818372240863349</v>
          </cell>
          <cell r="M39">
            <v>2467.3873439874869</v>
          </cell>
          <cell r="N39">
            <v>2469.369181211573</v>
          </cell>
          <cell r="O39">
            <v>35.673070033554026</v>
          </cell>
          <cell r="P39">
            <v>0</v>
          </cell>
          <cell r="Q39">
            <v>35.673070033554026</v>
          </cell>
          <cell r="R39">
            <v>1983.6666122931838</v>
          </cell>
          <cell r="S39">
            <v>4614.4793027591741</v>
          </cell>
          <cell r="T39">
            <v>1055.0996483001172</v>
          </cell>
          <cell r="U39">
            <v>9083.6746920910973</v>
          </cell>
          <cell r="V39">
            <v>2785.0910959102503</v>
          </cell>
          <cell r="W39">
            <v>11868.765788001347</v>
          </cell>
          <cell r="X39">
            <v>3155.2373097626828</v>
          </cell>
          <cell r="Y39">
            <v>0</v>
          </cell>
          <cell r="Z39">
            <v>3155.2373097626828</v>
          </cell>
          <cell r="AA39">
            <v>-1727.5522633343344</v>
          </cell>
          <cell r="AB39">
            <v>14351.550482729817</v>
          </cell>
          <cell r="AC39">
            <v>190712</v>
          </cell>
          <cell r="AD39">
            <v>186208</v>
          </cell>
          <cell r="AE39">
            <v>4504</v>
          </cell>
        </row>
        <row r="40">
          <cell r="A40">
            <v>1992</v>
          </cell>
          <cell r="B40">
            <v>1116.0323009000001</v>
          </cell>
          <cell r="C40">
            <v>7837.2070119999998</v>
          </cell>
          <cell r="D40">
            <v>4614.1119006999998</v>
          </cell>
          <cell r="E40">
            <v>12451.318912700001</v>
          </cell>
          <cell r="F40">
            <v>2722.7435650000002</v>
          </cell>
          <cell r="G40">
            <v>1.721301</v>
          </cell>
          <cell r="H40">
            <v>2724.4648660000003</v>
          </cell>
          <cell r="I40">
            <v>158.97779869999999</v>
          </cell>
          <cell r="J40">
            <v>16450.793878300003</v>
          </cell>
          <cell r="K40">
            <v>120.3868545</v>
          </cell>
          <cell r="L40">
            <v>0.30840450000000003</v>
          </cell>
          <cell r="M40">
            <v>2043.3290597</v>
          </cell>
          <cell r="N40">
            <v>2043.6374642000001</v>
          </cell>
          <cell r="O40">
            <v>75.329781999999994</v>
          </cell>
          <cell r="P40">
            <v>2.8051E-2</v>
          </cell>
          <cell r="Q40">
            <v>75.357832999999999</v>
          </cell>
          <cell r="R40">
            <v>2088.8579586999999</v>
          </cell>
          <cell r="S40">
            <v>4328.2401104</v>
          </cell>
          <cell r="T40">
            <v>995.64544640000008</v>
          </cell>
          <cell r="U40">
            <v>7836.8986075000003</v>
          </cell>
          <cell r="V40">
            <v>2570.7828409999997</v>
          </cell>
          <cell r="W40">
            <v>10407.6814485</v>
          </cell>
          <cell r="X40">
            <v>2647.4137830000004</v>
          </cell>
          <cell r="Y40">
            <v>1.6932499999999999</v>
          </cell>
          <cell r="Z40">
            <v>2649.1070330000002</v>
          </cell>
          <cell r="AA40">
            <v>-1929.8801599999999</v>
          </cell>
          <cell r="AB40">
            <v>12122.553767900003</v>
          </cell>
          <cell r="AC40">
            <v>185654</v>
          </cell>
          <cell r="AD40">
            <v>190383</v>
          </cell>
          <cell r="AE40">
            <v>-4729</v>
          </cell>
        </row>
        <row r="41">
          <cell r="A41">
            <v>1993</v>
          </cell>
          <cell r="B41">
            <v>765.96636669999998</v>
          </cell>
          <cell r="C41">
            <v>7706.9059404999998</v>
          </cell>
          <cell r="D41">
            <v>4078.3441595999998</v>
          </cell>
          <cell r="E41">
            <v>11785.2501001</v>
          </cell>
          <cell r="F41">
            <v>2504.8105270000001</v>
          </cell>
          <cell r="G41">
            <v>2.248926</v>
          </cell>
          <cell r="H41">
            <v>2507.0594530000003</v>
          </cell>
          <cell r="I41">
            <v>219.304619</v>
          </cell>
          <cell r="J41">
            <v>15277.580538800001</v>
          </cell>
          <cell r="K41">
            <v>119.7235491</v>
          </cell>
          <cell r="L41">
            <v>0.3995689</v>
          </cell>
          <cell r="M41">
            <v>2178.7377833</v>
          </cell>
          <cell r="N41">
            <v>2179.1373521999999</v>
          </cell>
          <cell r="O41">
            <v>50.362293999999999</v>
          </cell>
          <cell r="P41">
            <v>3.2777000000000001E-2</v>
          </cell>
          <cell r="Q41">
            <v>50.395071000000002</v>
          </cell>
          <cell r="R41">
            <v>2415.0035748999999</v>
          </cell>
          <cell r="S41">
            <v>4764.2595471999994</v>
          </cell>
          <cell r="T41">
            <v>646.24281759999997</v>
          </cell>
          <cell r="U41">
            <v>7706.5063715999995</v>
          </cell>
          <cell r="V41">
            <v>1899.6063762999997</v>
          </cell>
          <cell r="W41">
            <v>9606.1127479000006</v>
          </cell>
          <cell r="X41">
            <v>2454.4482330000001</v>
          </cell>
          <cell r="Y41">
            <v>2.2161490000000001</v>
          </cell>
          <cell r="Z41">
            <v>2456.6643820000004</v>
          </cell>
          <cell r="AA41">
            <v>-2195.6989558999999</v>
          </cell>
          <cell r="AB41">
            <v>10513.320991600001</v>
          </cell>
          <cell r="AC41">
            <v>168146</v>
          </cell>
          <cell r="AD41">
            <v>181572</v>
          </cell>
          <cell r="AE41">
            <v>-13426</v>
          </cell>
        </row>
        <row r="42">
          <cell r="A42">
            <v>1994</v>
          </cell>
          <cell r="B42">
            <v>754.450063</v>
          </cell>
          <cell r="C42">
            <v>7501.1872728999997</v>
          </cell>
          <cell r="D42">
            <v>4033.8610609000002</v>
          </cell>
          <cell r="E42">
            <v>11535.048333799999</v>
          </cell>
          <cell r="F42">
            <v>2480.1322359999999</v>
          </cell>
          <cell r="G42">
            <v>1.4842439999999999</v>
          </cell>
          <cell r="H42">
            <v>2481.6164800000001</v>
          </cell>
          <cell r="I42">
            <v>162.62529420000001</v>
          </cell>
          <cell r="J42">
            <v>14933.740170999999</v>
          </cell>
          <cell r="K42">
            <v>111.3255901</v>
          </cell>
          <cell r="L42">
            <v>4.1466133000000003</v>
          </cell>
          <cell r="M42">
            <v>2042.5501976</v>
          </cell>
          <cell r="N42">
            <v>2046.6968108999999</v>
          </cell>
          <cell r="O42">
            <v>61.910308999999998</v>
          </cell>
          <cell r="P42">
            <v>4.9849999999999998E-2</v>
          </cell>
          <cell r="Q42">
            <v>61.960158999999997</v>
          </cell>
          <cell r="R42">
            <v>2453.2815414000002</v>
          </cell>
          <cell r="S42">
            <v>4673.2641014000001</v>
          </cell>
          <cell r="T42">
            <v>643.1244729</v>
          </cell>
          <cell r="U42">
            <v>7497.0406595999993</v>
          </cell>
          <cell r="V42">
            <v>1991.3108633000002</v>
          </cell>
          <cell r="W42">
            <v>9488.3515229000004</v>
          </cell>
          <cell r="X42">
            <v>2418.2219270000001</v>
          </cell>
          <cell r="Y42">
            <v>1.4343939999999999</v>
          </cell>
          <cell r="Z42">
            <v>2419.6563209999999</v>
          </cell>
          <cell r="AA42">
            <v>-2290.6562472000001</v>
          </cell>
          <cell r="AB42">
            <v>10260.476069599999</v>
          </cell>
          <cell r="AC42">
            <v>190024</v>
          </cell>
          <cell r="AD42">
            <v>196381</v>
          </cell>
          <cell r="AE42">
            <v>-6357</v>
          </cell>
        </row>
        <row r="43">
          <cell r="A43">
            <v>1995</v>
          </cell>
          <cell r="B43">
            <v>708.18285330000003</v>
          </cell>
          <cell r="C43">
            <v>7392.7659892000001</v>
          </cell>
          <cell r="D43">
            <v>3546.1914422999998</v>
          </cell>
          <cell r="E43">
            <v>10938.957431499999</v>
          </cell>
          <cell r="F43">
            <v>2473.7203829999999</v>
          </cell>
          <cell r="G43">
            <v>1.5095510000000001</v>
          </cell>
          <cell r="H43">
            <v>2475.229934</v>
          </cell>
          <cell r="I43">
            <v>162.67743150000001</v>
          </cell>
          <cell r="J43">
            <v>14285.047650299999</v>
          </cell>
          <cell r="K43">
            <v>95.402747500000004</v>
          </cell>
          <cell r="L43">
            <v>5.4913660999999996</v>
          </cell>
          <cell r="M43">
            <v>1893.3614551999999</v>
          </cell>
          <cell r="N43">
            <v>1898.8528213</v>
          </cell>
          <cell r="O43">
            <v>79.378221999999994</v>
          </cell>
          <cell r="P43">
            <v>2.6373000000000001E-2</v>
          </cell>
          <cell r="Q43">
            <v>79.404595</v>
          </cell>
          <cell r="R43">
            <v>2926.8384971</v>
          </cell>
          <cell r="S43">
            <v>5000.4986609000007</v>
          </cell>
          <cell r="T43">
            <v>612.7801058</v>
          </cell>
          <cell r="U43">
            <v>7387.2746231000001</v>
          </cell>
          <cell r="V43">
            <v>1652.8299870999999</v>
          </cell>
          <cell r="W43">
            <v>9040.1046102</v>
          </cell>
          <cell r="X43">
            <v>2394.342161</v>
          </cell>
          <cell r="Y43">
            <v>1.4831780000000001</v>
          </cell>
          <cell r="Z43">
            <v>2395.825339</v>
          </cell>
          <cell r="AA43">
            <v>-2764.1610656000003</v>
          </cell>
          <cell r="AB43">
            <v>9284.5489893999984</v>
          </cell>
          <cell r="AC43">
            <v>205582</v>
          </cell>
          <cell r="AD43">
            <v>214689</v>
          </cell>
          <cell r="AE43">
            <v>-9107</v>
          </cell>
        </row>
        <row r="44">
          <cell r="A44">
            <v>1996</v>
          </cell>
          <cell r="B44">
            <v>794.56763179999996</v>
          </cell>
          <cell r="C44">
            <v>9956.5718486999995</v>
          </cell>
          <cell r="D44">
            <v>4034.6348923</v>
          </cell>
          <cell r="E44">
            <v>13991.206741</v>
          </cell>
          <cell r="F44">
            <v>2693.806149</v>
          </cell>
          <cell r="G44">
            <v>1.231026</v>
          </cell>
          <cell r="H44">
            <v>2695.0371749999999</v>
          </cell>
          <cell r="I44">
            <v>166.34901379999999</v>
          </cell>
          <cell r="J44">
            <v>17647.160561600002</v>
          </cell>
          <cell r="K44">
            <v>78.004351</v>
          </cell>
          <cell r="L44">
            <v>3.214235</v>
          </cell>
          <cell r="M44">
            <v>2555.8989384000001</v>
          </cell>
          <cell r="N44">
            <v>2559.1131734000001</v>
          </cell>
          <cell r="O44">
            <v>66.615494999999996</v>
          </cell>
          <cell r="P44">
            <v>2.2859999999999998E-3</v>
          </cell>
          <cell r="Q44">
            <v>66.617780999999994</v>
          </cell>
          <cell r="R44">
            <v>2863.4721482999998</v>
          </cell>
          <cell r="S44">
            <v>5567.2074536999999</v>
          </cell>
          <cell r="T44">
            <v>716.56328079999992</v>
          </cell>
          <cell r="U44">
            <v>9953.3576137</v>
          </cell>
          <cell r="V44">
            <v>1478.7359538999999</v>
          </cell>
          <cell r="W44">
            <v>11432.093567600001</v>
          </cell>
          <cell r="X44">
            <v>2627.190654</v>
          </cell>
          <cell r="Y44">
            <v>1.2287399999999999</v>
          </cell>
          <cell r="Z44">
            <v>2628.419394</v>
          </cell>
          <cell r="AA44">
            <v>-2697.1231344999997</v>
          </cell>
          <cell r="AB44">
            <v>12079.953107900001</v>
          </cell>
          <cell r="AC44">
            <v>212615</v>
          </cell>
          <cell r="AD44">
            <v>224100</v>
          </cell>
          <cell r="AE44">
            <v>-11485</v>
          </cell>
        </row>
        <row r="45">
          <cell r="A45">
            <v>1997</v>
          </cell>
          <cell r="B45">
            <v>835.90159119999998</v>
          </cell>
          <cell r="C45">
            <v>10994.677395000001</v>
          </cell>
          <cell r="D45">
            <v>4008.6680986000001</v>
          </cell>
          <cell r="E45">
            <v>15003.345493600002</v>
          </cell>
          <cell r="F45">
            <v>3216.805218</v>
          </cell>
          <cell r="G45">
            <v>0.64623299999999995</v>
          </cell>
          <cell r="H45">
            <v>3217.4514509999999</v>
          </cell>
          <cell r="I45">
            <v>186.61985469999999</v>
          </cell>
          <cell r="J45">
            <v>19243.318390500001</v>
          </cell>
          <cell r="K45">
            <v>66.2764478</v>
          </cell>
          <cell r="L45">
            <v>5.6084468999999997</v>
          </cell>
          <cell r="M45">
            <v>3106.2658071000001</v>
          </cell>
          <cell r="N45">
            <v>3111.8742540000003</v>
          </cell>
          <cell r="O45">
            <v>127.615377</v>
          </cell>
          <cell r="P45">
            <v>1.5398E-2</v>
          </cell>
          <cell r="Q45">
            <v>127.630775</v>
          </cell>
          <cell r="R45">
            <v>2817.8909592999998</v>
          </cell>
          <cell r="S45">
            <v>6123.6724360999997</v>
          </cell>
          <cell r="T45">
            <v>769.62514339999996</v>
          </cell>
          <cell r="U45">
            <v>10989.068948100001</v>
          </cell>
          <cell r="V45">
            <v>902.40229150000005</v>
          </cell>
          <cell r="W45">
            <v>11891.471239600001</v>
          </cell>
          <cell r="X45">
            <v>3089.1898409999999</v>
          </cell>
          <cell r="Y45">
            <v>0.63083499999999992</v>
          </cell>
          <cell r="Z45">
            <v>3089.8206759999998</v>
          </cell>
          <cell r="AA45">
            <v>-2631.2711045999999</v>
          </cell>
          <cell r="AB45">
            <v>13119.645954400001</v>
          </cell>
          <cell r="AC45">
            <v>234499</v>
          </cell>
          <cell r="AD45">
            <v>258294</v>
          </cell>
          <cell r="AE45">
            <v>-23795</v>
          </cell>
        </row>
        <row r="46">
          <cell r="A46">
            <v>1998</v>
          </cell>
          <cell r="B46">
            <v>838.89700000000005</v>
          </cell>
          <cell r="C46">
            <v>7807.8209999999999</v>
          </cell>
          <cell r="D46">
            <v>3071.8989999999999</v>
          </cell>
          <cell r="E46">
            <v>10879.72</v>
          </cell>
          <cell r="F46">
            <v>2889.0059999999999</v>
          </cell>
          <cell r="G46">
            <v>0.39100000000000001</v>
          </cell>
          <cell r="H46">
            <v>2889.3969999999999</v>
          </cell>
          <cell r="I46">
            <v>320.94344610000002</v>
          </cell>
          <cell r="J46">
            <v>14928.957446099999</v>
          </cell>
          <cell r="K46">
            <v>60.375999999999998</v>
          </cell>
          <cell r="L46">
            <v>34.793999999999997</v>
          </cell>
          <cell r="M46">
            <v>2817.982</v>
          </cell>
          <cell r="N46">
            <v>2852.7759999999998</v>
          </cell>
          <cell r="O46">
            <v>71.647999999999996</v>
          </cell>
          <cell r="P46">
            <v>0</v>
          </cell>
          <cell r="Q46">
            <v>71.647999999999996</v>
          </cell>
          <cell r="R46">
            <v>2760.8710633000001</v>
          </cell>
          <cell r="S46">
            <v>5745.6710633000002</v>
          </cell>
          <cell r="T46">
            <v>778.52100000000007</v>
          </cell>
          <cell r="U46">
            <v>7773.027</v>
          </cell>
          <cell r="V46">
            <v>253.91699999999992</v>
          </cell>
          <cell r="W46">
            <v>8026.9439999999995</v>
          </cell>
          <cell r="X46">
            <v>2817.3579999999997</v>
          </cell>
          <cell r="Y46">
            <v>0.39100000000000001</v>
          </cell>
          <cell r="Z46">
            <v>2817.7489999999998</v>
          </cell>
          <cell r="AA46">
            <v>-2439.9276172</v>
          </cell>
          <cell r="AB46">
            <v>9183.286382799999</v>
          </cell>
          <cell r="AC46">
            <v>254678</v>
          </cell>
          <cell r="AD46">
            <v>275383</v>
          </cell>
          <cell r="AE46">
            <v>-20705</v>
          </cell>
        </row>
        <row r="47">
          <cell r="A47">
            <v>1999</v>
          </cell>
          <cell r="B47">
            <v>812.53599999999994</v>
          </cell>
          <cell r="C47">
            <v>9765.1810000000005</v>
          </cell>
          <cell r="D47">
            <v>4101.62</v>
          </cell>
          <cell r="E47">
            <v>13866.800999999999</v>
          </cell>
          <cell r="F47">
            <v>2751.81</v>
          </cell>
          <cell r="G47">
            <v>0.38100000000000001</v>
          </cell>
          <cell r="H47">
            <v>2752.1909999999998</v>
          </cell>
          <cell r="I47">
            <v>284.310159</v>
          </cell>
          <cell r="J47">
            <v>17715.838158999999</v>
          </cell>
          <cell r="K47">
            <v>59.73</v>
          </cell>
          <cell r="L47">
            <v>78.287999999999997</v>
          </cell>
          <cell r="M47">
            <v>2928.0540000000001</v>
          </cell>
          <cell r="N47">
            <v>3006.3420000000001</v>
          </cell>
          <cell r="O47">
            <v>40.377000000000002</v>
          </cell>
          <cell r="P47">
            <v>1.2999999999999999E-2</v>
          </cell>
          <cell r="Q47">
            <v>40.39</v>
          </cell>
          <cell r="R47">
            <v>2886.5729704</v>
          </cell>
          <cell r="S47">
            <v>5993.0349704</v>
          </cell>
          <cell r="T47">
            <v>752.80599999999993</v>
          </cell>
          <cell r="U47">
            <v>9686.893</v>
          </cell>
          <cell r="V47">
            <v>1173.5659999999998</v>
          </cell>
          <cell r="W47">
            <v>10860.458999999999</v>
          </cell>
          <cell r="X47">
            <v>2711.433</v>
          </cell>
          <cell r="Y47">
            <v>0.36799999999999999</v>
          </cell>
          <cell r="Z47">
            <v>2711.8009999999999</v>
          </cell>
          <cell r="AA47">
            <v>-2602.2628113999999</v>
          </cell>
          <cell r="AB47">
            <v>11722.803188599999</v>
          </cell>
          <cell r="AC47">
            <v>269832</v>
          </cell>
          <cell r="AD47">
            <v>284135</v>
          </cell>
          <cell r="AE47">
            <v>-14303</v>
          </cell>
        </row>
        <row r="48">
          <cell r="A48">
            <v>2000</v>
          </cell>
          <cell r="B48">
            <v>1063.7660000000001</v>
          </cell>
          <cell r="C48">
            <v>19032.009999999998</v>
          </cell>
          <cell r="D48">
            <v>7399.0259999999998</v>
          </cell>
          <cell r="E48">
            <v>26431.036</v>
          </cell>
          <cell r="F48">
            <v>4795.3370000000004</v>
          </cell>
          <cell r="G48">
            <v>3.4000000000000002E-2</v>
          </cell>
          <cell r="H48">
            <v>4795.3710000000001</v>
          </cell>
          <cell r="I48">
            <v>265.48500000000001</v>
          </cell>
          <cell r="J48">
            <v>32555.657999999999</v>
          </cell>
          <cell r="K48">
            <v>96.183999999999997</v>
          </cell>
          <cell r="L48">
            <v>28.021999999999998</v>
          </cell>
          <cell r="M48">
            <v>5772.2579999999998</v>
          </cell>
          <cell r="N48">
            <v>5800.28</v>
          </cell>
          <cell r="O48">
            <v>95.091999999999999</v>
          </cell>
          <cell r="P48">
            <v>1.2999999999999999E-2</v>
          </cell>
          <cell r="Q48">
            <v>95.105000000000004</v>
          </cell>
          <cell r="R48">
            <v>3023.1289999999999</v>
          </cell>
          <cell r="S48">
            <v>9014.6980000000003</v>
          </cell>
          <cell r="T48">
            <v>967.58200000000011</v>
          </cell>
          <cell r="U48">
            <v>19003.987999999998</v>
          </cell>
          <cell r="V48">
            <v>1626.768</v>
          </cell>
          <cell r="W48">
            <v>20630.756000000001</v>
          </cell>
          <cell r="X48">
            <v>4700.2450000000008</v>
          </cell>
          <cell r="Y48">
            <v>2.1000000000000005E-2</v>
          </cell>
          <cell r="Z48">
            <v>4700.2660000000005</v>
          </cell>
          <cell r="AA48">
            <v>-2757.6439999999998</v>
          </cell>
          <cell r="AB48">
            <v>23540.959999999999</v>
          </cell>
          <cell r="AC48">
            <v>329907</v>
          </cell>
          <cell r="AD48">
            <v>325711</v>
          </cell>
          <cell r="AE48">
            <v>4196</v>
          </cell>
        </row>
        <row r="49">
          <cell r="A49">
            <v>2001</v>
          </cell>
          <cell r="B49">
            <v>964.45699999999999</v>
          </cell>
          <cell r="C49">
            <v>17315.498</v>
          </cell>
          <cell r="D49">
            <v>6570.8620000000001</v>
          </cell>
          <cell r="E49">
            <v>23886.36</v>
          </cell>
          <cell r="F49">
            <v>6208.6790000000001</v>
          </cell>
          <cell r="G49">
            <v>0.03</v>
          </cell>
          <cell r="H49">
            <v>6208.7089999999998</v>
          </cell>
          <cell r="I49">
            <v>225.86699999999999</v>
          </cell>
          <cell r="J49">
            <v>31285.392999999996</v>
          </cell>
          <cell r="K49">
            <v>92.227000000000004</v>
          </cell>
          <cell r="L49">
            <v>8.77</v>
          </cell>
          <cell r="M49">
            <v>5031.5079999999998</v>
          </cell>
          <cell r="N49">
            <v>5040.2780000000002</v>
          </cell>
          <cell r="O49">
            <v>146.81899999999999</v>
          </cell>
          <cell r="P49">
            <v>0</v>
          </cell>
          <cell r="Q49">
            <v>146.81899999999999</v>
          </cell>
          <cell r="R49">
            <v>3087.8760000000002</v>
          </cell>
          <cell r="S49">
            <v>8367.2000000000007</v>
          </cell>
          <cell r="T49">
            <v>872.23</v>
          </cell>
          <cell r="U49">
            <v>17306.727999999999</v>
          </cell>
          <cell r="V49">
            <v>1539.3540000000003</v>
          </cell>
          <cell r="W49">
            <v>18846.082000000002</v>
          </cell>
          <cell r="X49">
            <v>6061.86</v>
          </cell>
          <cell r="Y49">
            <v>0.03</v>
          </cell>
          <cell r="Z49">
            <v>6061.8899999999994</v>
          </cell>
          <cell r="AA49">
            <v>-2862.009</v>
          </cell>
          <cell r="AB49">
            <v>22918.192999999996</v>
          </cell>
          <cell r="AC49">
            <v>331446</v>
          </cell>
          <cell r="AD49">
            <v>331935</v>
          </cell>
          <cell r="AE49">
            <v>-489</v>
          </cell>
        </row>
      </sheetData>
      <sheetData sheetId="17" refreshError="1"/>
      <sheetData sheetId="18"/>
      <sheetData sheetId="19"/>
      <sheetData sheetId="20" refreshError="1"/>
      <sheetData sheetId="21"/>
      <sheetData sheetId="22" refreshError="1"/>
      <sheetData sheetId="23"/>
      <sheetData sheetId="24" refreshError="1"/>
      <sheetData sheetId="25"/>
      <sheetData sheetId="26" refreshError="1"/>
      <sheetData sheetId="27" refreshError="1"/>
      <sheetData sheetId="28" refreshError="1"/>
      <sheetData sheetId="29"/>
      <sheetData sheetId="30" refreshError="1"/>
      <sheetData sheetId="31"/>
      <sheetData sheetId="32"/>
      <sheetData sheetId="3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nthèse"/>
      <sheetName val="Ecarts à la trajectoire"/>
      <sheetName val="Scenario_EHB"/>
      <sheetName val="_Historique"/>
      <sheetName val="Traitement_Eolien"/>
      <sheetName val="Traitement_solaire"/>
      <sheetName val="Ecarts_à_la_trajectoire"/>
      <sheetName val="Ecarts_à_la_trajectoire1"/>
    </sheetNames>
    <sheetDataSet>
      <sheetData sheetId="0"/>
      <sheetData sheetId="1">
        <row r="8">
          <cell r="N8">
            <v>10</v>
          </cell>
        </row>
        <row r="9">
          <cell r="N9">
            <v>30</v>
          </cell>
        </row>
        <row r="11">
          <cell r="N11">
            <v>50</v>
          </cell>
        </row>
        <row r="12">
          <cell r="N12">
            <v>30</v>
          </cell>
        </row>
      </sheetData>
      <sheetData sheetId="2"/>
      <sheetData sheetId="3"/>
      <sheetData sheetId="4"/>
      <sheetData sheetId="5"/>
      <sheetData sheetId="6">
        <row r="8">
          <cell r="N8">
            <v>10</v>
          </cell>
        </row>
      </sheetData>
      <sheetData sheetId="7">
        <row r="8">
          <cell r="N8">
            <v>10</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ME BCIAT (FDI + FC)"/>
      <sheetName val="BCIAT BCIB France 2030-FDI + FC"/>
      <sheetName val="BCIAT BCIB France 2030-FDI"/>
      <sheetName val="3ME-NAF"/>
    </sheetNames>
    <sheetDataSet>
      <sheetData sheetId="0">
        <row r="2">
          <cell r="Q2">
            <v>0</v>
          </cell>
        </row>
        <row r="35">
          <cell r="Q35">
            <v>0</v>
          </cell>
        </row>
        <row r="36">
          <cell r="Q36">
            <v>353645</v>
          </cell>
        </row>
        <row r="37">
          <cell r="Q37">
            <v>0</v>
          </cell>
        </row>
        <row r="38">
          <cell r="Q38">
            <v>0</v>
          </cell>
        </row>
        <row r="39">
          <cell r="Q39">
            <v>0</v>
          </cell>
        </row>
        <row r="40">
          <cell r="Q40">
            <v>44000</v>
          </cell>
        </row>
        <row r="41">
          <cell r="Q41">
            <v>0</v>
          </cell>
        </row>
        <row r="42">
          <cell r="Q42">
            <v>0</v>
          </cell>
        </row>
        <row r="43">
          <cell r="Q43">
            <v>43311</v>
          </cell>
        </row>
        <row r="44">
          <cell r="Q44">
            <v>0</v>
          </cell>
        </row>
        <row r="45">
          <cell r="Q45">
            <v>0</v>
          </cell>
        </row>
        <row r="46">
          <cell r="Q46">
            <v>675684</v>
          </cell>
        </row>
        <row r="47">
          <cell r="Q47">
            <v>0</v>
          </cell>
        </row>
        <row r="48">
          <cell r="Q48">
            <v>64651</v>
          </cell>
        </row>
        <row r="49">
          <cell r="Q49">
            <v>1500301</v>
          </cell>
        </row>
      </sheetData>
      <sheetData sheetId="1"/>
      <sheetData sheetId="2"/>
      <sheetData sheetId="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e ratios d'aide"/>
      <sheetName val="FC Ratio aide FC"/>
      <sheetName val="FC Prod GWh FC (2)"/>
      <sheetName val="FC Prod GWh FC"/>
      <sheetName val="FC Aide k€ FC"/>
      <sheetName val="FC 2009-2022 Aide k€"/>
      <sheetName val="FC 2009-2022 Prod GWh"/>
      <sheetName val="FC Nb installations"/>
      <sheetName val="FC Invest. k€"/>
      <sheetName val="FC 2009-2022 Ratio aide"/>
      <sheetName val="FC ml réseaux"/>
      <sheetName val="FC taux d'aide"/>
      <sheetName val="FC tCO2 évitées"/>
      <sheetName val="FC ratio Invest"/>
      <sheetName val="Cofinancements projets FC"/>
      <sheetName val="Feuil1"/>
    </sheetNames>
    <sheetDataSet>
      <sheetData sheetId="0"/>
      <sheetData sheetId="1"/>
      <sheetData sheetId="2"/>
      <sheetData sheetId="3">
        <row r="5">
          <cell r="Q5">
            <v>980.98024304952241</v>
          </cell>
        </row>
        <row r="7">
          <cell r="Q7">
            <v>341.02234884926185</v>
          </cell>
        </row>
        <row r="8">
          <cell r="Q8">
            <v>278.00900000000001</v>
          </cell>
        </row>
        <row r="10">
          <cell r="Q10">
            <v>283.11200000000002</v>
          </cell>
        </row>
        <row r="11">
          <cell r="Q11">
            <v>512.86299985000005</v>
          </cell>
        </row>
        <row r="13">
          <cell r="Q13">
            <v>19.298999999999999</v>
          </cell>
        </row>
      </sheetData>
      <sheetData sheetId="4">
        <row r="12">
          <cell r="Q12">
            <v>183974.3801241254</v>
          </cell>
        </row>
      </sheetData>
      <sheetData sheetId="5"/>
      <sheetData sheetId="6"/>
      <sheetData sheetId="7"/>
      <sheetData sheetId="8">
        <row r="13">
          <cell r="Q13">
            <v>485962.50219223078</v>
          </cell>
        </row>
      </sheetData>
      <sheetData sheetId="9"/>
      <sheetData sheetId="10"/>
      <sheetData sheetId="11"/>
      <sheetData sheetId="12"/>
      <sheetData sheetId="13"/>
      <sheetData sheetId="14"/>
      <sheetData sheetId="1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T"/>
      <sheetName val="GHG"/>
      <sheetName val="TAX"/>
      <sheetName val="HH"/>
      <sheetName val="OTH"/>
      <sheetName val="ENR"/>
    </sheetNames>
    <sheetDataSet>
      <sheetData sheetId="0" refreshError="1">
        <row r="29">
          <cell r="W29">
            <v>225.056957533</v>
          </cell>
          <cell r="X29">
            <v>0</v>
          </cell>
          <cell r="Y29">
            <v>0</v>
          </cell>
          <cell r="Z29">
            <v>18437.085236234299</v>
          </cell>
          <cell r="AA29">
            <v>313.38706595209999</v>
          </cell>
        </row>
      </sheetData>
      <sheetData sheetId="1" refreshError="1"/>
      <sheetData sheetId="2" refreshError="1"/>
      <sheetData sheetId="3" refreshError="1"/>
      <sheetData sheetId="4" refreshError="1"/>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sionning"/>
      <sheetName val="Intro"/>
      <sheetName val="Notes"/>
      <sheetName val="Organisation"/>
      <sheetName val="MAJRun2_temp"/>
      <sheetName val="Parametres"/>
      <sheetName val="FE"/>
      <sheetName val="BDD_entree_(non utilisé)"/>
      <sheetName val="BDD_sorties"/>
      <sheetName val="corr_stats"/>
      <sheetName val="Codes_bilans"/>
      <sheetName val="ind_calc"/>
      <sheetName val="ind_inp"/>
      <sheetName val="res_calc"/>
      <sheetName val="res_inp"/>
      <sheetName val="ter_calc"/>
      <sheetName val="ter_inp"/>
      <sheetName val="tra_calc"/>
      <sheetName val="tra_inp"/>
      <sheetName val="agr_calc"/>
      <sheetName val="agr_inp"/>
      <sheetName val="Offre_calc"/>
      <sheetName val="Offre_inp"/>
      <sheetName val="ges_calc"/>
      <sheetName val="ges_inp"/>
      <sheetName val="Bilans_E_AME_Cont"/>
      <sheetName val="Bilans_E_AMS_Cont"/>
      <sheetName val="Bilans_GES_AME_Cont"/>
      <sheetName val="Bilans_GES_AMS_Cont"/>
      <sheetName val="Data_indicateurs_cont"/>
      <sheetName val="Sect_met"/>
      <sheetName val="corr_stats_met"/>
      <sheetName val="Offre_met"/>
      <sheetName val="ges_met"/>
      <sheetName val="Bilans_E_AME_Met"/>
      <sheetName val="Bilans_E_AMS_Met"/>
      <sheetName val="Bilans_GES_AME_Met"/>
      <sheetName val="Bilans_GES_AMS_Met"/>
      <sheetName val="Data_indicateurs_met"/>
      <sheetName val="Sect_kyoto"/>
      <sheetName val="Offre_kyoto"/>
      <sheetName val="ges_kyoto"/>
      <sheetName val="Bilans_E_AME_DROM"/>
      <sheetName val="Bilans_E_AMS_DROM"/>
      <sheetName val="Bilans_E_AME_Kyoto"/>
      <sheetName val="Bilans_E_AMS_Kyoto"/>
      <sheetName val="Bilans_GES_AME_Kyoto"/>
      <sheetName val="Bilans_GES_AMS_Kyoto"/>
      <sheetName val="Data_indicateurs_kyoto"/>
      <sheetName val="Rendements_201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78">
          <cell r="L78">
            <v>132.01429519999999</v>
          </cell>
          <cell r="M78">
            <v>149.69917887999998</v>
          </cell>
          <cell r="N78">
            <v>169.0574368</v>
          </cell>
          <cell r="O78">
            <v>179.04003680000002</v>
          </cell>
          <cell r="P78">
            <v>203.78690480000003</v>
          </cell>
          <cell r="Q78">
            <v>220.28481680000002</v>
          </cell>
          <cell r="R78">
            <v>245.03168480000002</v>
          </cell>
          <cell r="S78">
            <v>261.52959679999998</v>
          </cell>
          <cell r="U78">
            <v>302.77437679999997</v>
          </cell>
          <cell r="V78">
            <v>334.00438773731452</v>
          </cell>
        </row>
        <row r="79">
          <cell r="L79">
            <v>21.615237384864795</v>
          </cell>
          <cell r="M79">
            <v>25.540432696864794</v>
          </cell>
          <cell r="N79">
            <v>31.510064824864795</v>
          </cell>
          <cell r="O79">
            <v>35.494404824864795</v>
          </cell>
          <cell r="P79">
            <v>48.091586024864796</v>
          </cell>
          <cell r="Q79">
            <v>56.489706824864797</v>
          </cell>
          <cell r="R79">
            <v>69.086888024864791</v>
          </cell>
          <cell r="S79">
            <v>77.485008824864792</v>
          </cell>
          <cell r="U79">
            <v>98.480310824864787</v>
          </cell>
          <cell r="V79">
            <v>109.46232066844792</v>
          </cell>
        </row>
        <row r="80">
          <cell r="L80">
            <v>60.506572974000001</v>
          </cell>
          <cell r="M80">
            <v>60.506572974000001</v>
          </cell>
          <cell r="N80">
            <v>60.506572974000001</v>
          </cell>
          <cell r="O80">
            <v>60.506572974000001</v>
          </cell>
          <cell r="P80">
            <v>60.506572974000001</v>
          </cell>
          <cell r="Q80">
            <v>60.506572974000001</v>
          </cell>
          <cell r="R80">
            <v>60.506572974000001</v>
          </cell>
          <cell r="S80">
            <v>60.506572974000001</v>
          </cell>
          <cell r="U80">
            <v>60.506572974000001</v>
          </cell>
          <cell r="V80">
            <v>60.506572974000001</v>
          </cell>
        </row>
        <row r="81">
          <cell r="L81">
            <v>47.972484841135206</v>
          </cell>
          <cell r="M81">
            <v>53.964173209135204</v>
          </cell>
          <cell r="N81">
            <v>62.960799001135207</v>
          </cell>
          <cell r="O81">
            <v>68.959059001135202</v>
          </cell>
          <cell r="P81">
            <v>81.108745801135214</v>
          </cell>
          <cell r="Q81">
            <v>89.208537001135213</v>
          </cell>
          <cell r="R81">
            <v>101.35822380113521</v>
          </cell>
          <cell r="S81">
            <v>109.45801500113521</v>
          </cell>
          <cell r="U81">
            <v>129.70749300113522</v>
          </cell>
          <cell r="V81">
            <v>149.95549409486665</v>
          </cell>
        </row>
        <row r="82">
          <cell r="L82">
            <v>1.92</v>
          </cell>
          <cell r="M82">
            <v>9.6880000000000006</v>
          </cell>
          <cell r="N82">
            <v>14.08</v>
          </cell>
          <cell r="O82">
            <v>14.08</v>
          </cell>
          <cell r="P82">
            <v>14.08</v>
          </cell>
          <cell r="Q82">
            <v>14.08</v>
          </cell>
          <cell r="R82">
            <v>14.08</v>
          </cell>
          <cell r="S82">
            <v>14.08</v>
          </cell>
          <cell r="U82">
            <v>14.08</v>
          </cell>
          <cell r="V82">
            <v>14.08</v>
          </cell>
        </row>
        <row r="103">
          <cell r="L103">
            <v>136.541660357544</v>
          </cell>
          <cell r="V103">
            <v>558.82464636600002</v>
          </cell>
        </row>
        <row r="104">
          <cell r="L104">
            <v>21.788887402922796</v>
          </cell>
          <cell r="V104">
            <v>165.24759890926484</v>
          </cell>
        </row>
        <row r="105">
          <cell r="L105">
            <v>62.534571648577206</v>
          </cell>
          <cell r="V105">
            <v>73.251301749000007</v>
          </cell>
        </row>
        <row r="106">
          <cell r="L106">
            <v>46.293375306044005</v>
          </cell>
          <cell r="V106">
            <v>143.50733570773522</v>
          </cell>
        </row>
        <row r="107">
          <cell r="L107">
            <v>5.9248260000000004</v>
          </cell>
          <cell r="V107">
            <v>176.81841000000003</v>
          </cell>
        </row>
        <row r="124">
          <cell r="L124">
            <v>0.90570479999999998</v>
          </cell>
          <cell r="M124">
            <v>0.98882112000000011</v>
          </cell>
          <cell r="N124">
            <v>1.0225632</v>
          </cell>
          <cell r="O124">
            <v>1.0399632000000001</v>
          </cell>
          <cell r="P124">
            <v>1.0430952000000002</v>
          </cell>
          <cell r="Q124">
            <v>1.0451832000000001</v>
          </cell>
          <cell r="R124">
            <v>1.0483152</v>
          </cell>
          <cell r="S124">
            <v>1.0504032000000001</v>
          </cell>
          <cell r="U124">
            <v>1.0556232000000003</v>
          </cell>
          <cell r="V124">
            <v>1.0756122626854152</v>
          </cell>
        </row>
        <row r="125">
          <cell r="L125">
            <v>0.38476261513520615</v>
          </cell>
          <cell r="M125">
            <v>0.45956730313520633</v>
          </cell>
          <cell r="N125">
            <v>0.48993517513520624</v>
          </cell>
          <cell r="O125">
            <v>0.50559517513520624</v>
          </cell>
          <cell r="P125">
            <v>0.50841397513520625</v>
          </cell>
          <cell r="Q125">
            <v>0.51029317513520633</v>
          </cell>
          <cell r="R125">
            <v>0.51311197513520634</v>
          </cell>
          <cell r="S125">
            <v>0.51499117513520631</v>
          </cell>
          <cell r="U125">
            <v>0.51968917513520652</v>
          </cell>
          <cell r="V125">
            <v>0.53767933155207992</v>
          </cell>
        </row>
        <row r="126">
          <cell r="L126">
            <v>0.49342702599999999</v>
          </cell>
          <cell r="M126">
            <v>0.49342702599999999</v>
          </cell>
          <cell r="N126">
            <v>0.49342702599999999</v>
          </cell>
          <cell r="O126">
            <v>0.49342702599999999</v>
          </cell>
          <cell r="P126">
            <v>0.49342702599999999</v>
          </cell>
          <cell r="Q126">
            <v>0.49342702599999999</v>
          </cell>
          <cell r="R126">
            <v>0.49342702599999999</v>
          </cell>
          <cell r="S126">
            <v>0.49342702599999999</v>
          </cell>
          <cell r="U126">
            <v>0.49342702599999999</v>
          </cell>
          <cell r="V126">
            <v>0.49342702599999999</v>
          </cell>
        </row>
        <row r="127">
          <cell r="L127">
            <v>2.7515158864793804E-2</v>
          </cell>
          <cell r="M127">
            <v>3.5826790864793817E-2</v>
          </cell>
          <cell r="N127">
            <v>3.9200998864793807E-2</v>
          </cell>
          <cell r="O127">
            <v>4.0940998864793812E-2</v>
          </cell>
          <cell r="P127">
            <v>4.1254198864793812E-2</v>
          </cell>
          <cell r="Q127">
            <v>4.1462998864793814E-2</v>
          </cell>
          <cell r="R127">
            <v>4.1776198864793813E-2</v>
          </cell>
          <cell r="S127">
            <v>4.1984998864793815E-2</v>
          </cell>
          <cell r="U127">
            <v>4.2506998864793838E-2</v>
          </cell>
          <cell r="V127">
            <v>4.4505905133335327E-2</v>
          </cell>
        </row>
        <row r="128">
          <cell r="L128">
            <v>0</v>
          </cell>
          <cell r="M128">
            <v>0</v>
          </cell>
          <cell r="N128">
            <v>0</v>
          </cell>
          <cell r="O128">
            <v>0</v>
          </cell>
          <cell r="P128">
            <v>0</v>
          </cell>
          <cell r="Q128">
            <v>0</v>
          </cell>
          <cell r="R128">
            <v>0</v>
          </cell>
          <cell r="S128">
            <v>0</v>
          </cell>
          <cell r="U128">
            <v>0</v>
          </cell>
          <cell r="V128">
            <v>0</v>
          </cell>
        </row>
        <row r="141">
          <cell r="L141">
            <v>0.92157364245600015</v>
          </cell>
          <cell r="V141">
            <v>2.4333716340000002</v>
          </cell>
        </row>
        <row r="142">
          <cell r="L142">
            <v>0.37216059707720628</v>
          </cell>
          <cell r="V142">
            <v>1.5060090907352062</v>
          </cell>
        </row>
        <row r="143">
          <cell r="L143">
            <v>0.50238835142280003</v>
          </cell>
          <cell r="V143">
            <v>0.57797825100000011</v>
          </cell>
        </row>
        <row r="144">
          <cell r="L144">
            <v>4.7024693955993839E-2</v>
          </cell>
          <cell r="V144">
            <v>0.34938429226479389</v>
          </cell>
        </row>
        <row r="145">
          <cell r="L145">
            <v>0</v>
          </cell>
          <cell r="V145">
            <v>0</v>
          </cell>
        </row>
        <row r="157">
          <cell r="L157">
            <v>0.3181137511559633</v>
          </cell>
          <cell r="M157">
            <v>0.3181137511559633</v>
          </cell>
          <cell r="N157">
            <v>0.3181137511559633</v>
          </cell>
          <cell r="O157">
            <v>0.3181137511559633</v>
          </cell>
          <cell r="P157">
            <v>0.3181137511559633</v>
          </cell>
          <cell r="Q157">
            <v>0.3181137511559633</v>
          </cell>
          <cell r="R157">
            <v>0.3181137511559633</v>
          </cell>
          <cell r="S157">
            <v>0.3181137511559633</v>
          </cell>
          <cell r="U157">
            <v>0.3181137511559633</v>
          </cell>
          <cell r="V157">
            <v>0.3181137511559633</v>
          </cell>
        </row>
        <row r="158">
          <cell r="L158">
            <v>0.44</v>
          </cell>
          <cell r="M158">
            <v>0.44</v>
          </cell>
          <cell r="N158">
            <v>0.44</v>
          </cell>
          <cell r="O158">
            <v>0.44</v>
          </cell>
          <cell r="P158">
            <v>0.44</v>
          </cell>
          <cell r="Q158">
            <v>0.44</v>
          </cell>
          <cell r="R158">
            <v>0.44</v>
          </cell>
          <cell r="S158">
            <v>0.44</v>
          </cell>
          <cell r="U158">
            <v>0.44</v>
          </cell>
          <cell r="V158">
            <v>0.44</v>
          </cell>
        </row>
        <row r="160">
          <cell r="L160">
            <v>0.52600000000000002</v>
          </cell>
          <cell r="M160">
            <v>0.53</v>
          </cell>
          <cell r="N160">
            <v>0.54200000000000004</v>
          </cell>
          <cell r="O160">
            <v>0.55000000000000004</v>
          </cell>
          <cell r="P160">
            <v>0.5575</v>
          </cell>
          <cell r="Q160">
            <v>0.5625</v>
          </cell>
          <cell r="R160">
            <v>0.57000000000000006</v>
          </cell>
          <cell r="S160">
            <v>0.57499999999999996</v>
          </cell>
          <cell r="U160">
            <v>0.58750000000000002</v>
          </cell>
          <cell r="V160">
            <v>0.6</v>
          </cell>
        </row>
        <row r="161">
          <cell r="L161">
            <v>0.52600000000000002</v>
          </cell>
          <cell r="M161">
            <v>0.53</v>
          </cell>
          <cell r="N161">
            <v>0.54200000000000004</v>
          </cell>
          <cell r="O161">
            <v>0.55000000000000004</v>
          </cell>
          <cell r="P161">
            <v>0.5575</v>
          </cell>
          <cell r="Q161">
            <v>0.5625</v>
          </cell>
          <cell r="R161">
            <v>0.57000000000000006</v>
          </cell>
          <cell r="S161">
            <v>0.57499999999999996</v>
          </cell>
          <cell r="U161">
            <v>0.58750000000000002</v>
          </cell>
          <cell r="V161">
            <v>0.6</v>
          </cell>
        </row>
        <row r="170">
          <cell r="L170">
            <v>0.23399999999999999</v>
          </cell>
          <cell r="M170">
            <v>0.25</v>
          </cell>
          <cell r="N170">
            <v>0.27999999999999997</v>
          </cell>
          <cell r="O170">
            <v>0.3</v>
          </cell>
          <cell r="P170">
            <v>0.315</v>
          </cell>
          <cell r="Q170">
            <v>0.32500000000000001</v>
          </cell>
          <cell r="R170">
            <v>0.34</v>
          </cell>
          <cell r="S170">
            <v>0.35000000000000003</v>
          </cell>
          <cell r="U170">
            <v>0.375</v>
          </cell>
          <cell r="V170">
            <v>0.4</v>
          </cell>
        </row>
        <row r="171">
          <cell r="L171">
            <v>0.23399999999999999</v>
          </cell>
          <cell r="M171">
            <v>0.25</v>
          </cell>
          <cell r="N171">
            <v>0.27999999999999997</v>
          </cell>
          <cell r="O171">
            <v>0.3</v>
          </cell>
          <cell r="P171">
            <v>0.315</v>
          </cell>
          <cell r="Q171">
            <v>0.32500000000000001</v>
          </cell>
          <cell r="R171">
            <v>0.34</v>
          </cell>
          <cell r="S171">
            <v>0.35000000000000003</v>
          </cell>
          <cell r="U171">
            <v>0.375</v>
          </cell>
          <cell r="V171">
            <v>0.4</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ffre_calc"/>
    </sheetNames>
    <sheetDataSet>
      <sheetData sheetId="0">
        <row r="105">
          <cell r="M105">
            <v>125.9</v>
          </cell>
          <cell r="N105">
            <v>147.37125746593227</v>
          </cell>
          <cell r="O105">
            <v>178.93403342681802</v>
          </cell>
          <cell r="P105">
            <v>199.97588406740851</v>
          </cell>
          <cell r="Q105">
            <v>264.04087693476788</v>
          </cell>
          <cell r="R105">
            <v>306.7508721796741</v>
          </cell>
          <cell r="S105">
            <v>360.5572693925435</v>
          </cell>
          <cell r="T105">
            <v>396.42820086778977</v>
          </cell>
          <cell r="V105">
            <v>486.11661603816549</v>
          </cell>
          <cell r="W105">
            <v>575.8050312085411</v>
          </cell>
        </row>
        <row r="106">
          <cell r="M106">
            <v>22.9</v>
          </cell>
          <cell r="N106">
            <v>33.087818840294396</v>
          </cell>
          <cell r="O106">
            <v>53.323418840294401</v>
          </cell>
          <cell r="P106">
            <v>66.813818840294402</v>
          </cell>
          <cell r="Q106">
            <v>87.049418840294408</v>
          </cell>
          <cell r="R106">
            <v>100.5398188402944</v>
          </cell>
          <cell r="S106">
            <v>120.77541884029441</v>
          </cell>
          <cell r="T106">
            <v>134.2658188402944</v>
          </cell>
          <cell r="V106">
            <v>167.9918188402944</v>
          </cell>
          <cell r="W106">
            <v>201.7178188402944</v>
          </cell>
        </row>
        <row r="107">
          <cell r="M107">
            <v>52.4</v>
          </cell>
          <cell r="N107">
            <v>52.350829369377855</v>
          </cell>
          <cell r="O107">
            <v>53.192285330263623</v>
          </cell>
          <cell r="P107">
            <v>53.753255970854134</v>
          </cell>
          <cell r="Q107">
            <v>54.207508838213464</v>
          </cell>
          <cell r="R107">
            <v>54.510344083119683</v>
          </cell>
          <cell r="S107">
            <v>54.705541295989107</v>
          </cell>
          <cell r="T107">
            <v>54.835672771235387</v>
          </cell>
          <cell r="V107">
            <v>55.172087941611068</v>
          </cell>
          <cell r="W107">
            <v>55.508503111986748</v>
          </cell>
        </row>
        <row r="108">
          <cell r="M108">
            <v>44.7</v>
          </cell>
          <cell r="N108">
            <v>50.094783256260001</v>
          </cell>
          <cell r="O108">
            <v>59.161383256259995</v>
          </cell>
          <cell r="P108">
            <v>65.205783256259991</v>
          </cell>
          <cell r="Q108">
            <v>74.876823256259982</v>
          </cell>
          <cell r="R108">
            <v>81.324183256259985</v>
          </cell>
          <cell r="S108">
            <v>93.412983256259977</v>
          </cell>
          <cell r="T108">
            <v>101.47218325625998</v>
          </cell>
          <cell r="V108">
            <v>121.62018325625999</v>
          </cell>
          <cell r="W108">
            <v>141.76818325626002</v>
          </cell>
        </row>
        <row r="109">
          <cell r="M109">
            <v>5.9</v>
          </cell>
          <cell r="N109">
            <v>11.837826</v>
          </cell>
          <cell r="O109">
            <v>13.256945999999999</v>
          </cell>
          <cell r="P109">
            <v>14.203025999999999</v>
          </cell>
          <cell r="Q109">
            <v>47.907125999999998</v>
          </cell>
          <cell r="R109">
            <v>70.376525999999998</v>
          </cell>
          <cell r="S109">
            <v>91.663326000000012</v>
          </cell>
          <cell r="T109">
            <v>105.85452600000001</v>
          </cell>
          <cell r="V109">
            <v>141.332526</v>
          </cell>
          <cell r="W109">
            <v>176.81052599999995</v>
          </cell>
        </row>
        <row r="144">
          <cell r="M144">
            <v>0.96063660000000017</v>
          </cell>
          <cell r="N144">
            <v>1.0186472314627173</v>
          </cell>
          <cell r="O144">
            <v>1.5618917384526245</v>
          </cell>
          <cell r="P144">
            <v>1.900753019912562</v>
          </cell>
          <cell r="Q144">
            <v>2.0536973785146402</v>
          </cell>
          <cell r="R144">
            <v>2.1556602842493593</v>
          </cell>
          <cell r="S144">
            <v>2.3220376874879669</v>
          </cell>
          <cell r="T144">
            <v>2.4329559563137062</v>
          </cell>
          <cell r="V144">
            <v>2.4718862248248339</v>
          </cell>
          <cell r="W144">
            <v>2.5481845653359603</v>
          </cell>
        </row>
        <row r="145">
          <cell r="M145">
            <v>0.40145781523520635</v>
          </cell>
          <cell r="N145">
            <v>0.44496578883224414</v>
          </cell>
          <cell r="O145">
            <v>0.85239916907467461</v>
          </cell>
          <cell r="P145">
            <v>1.1065451301696276</v>
          </cell>
          <cell r="Q145">
            <v>1.2212533991211862</v>
          </cell>
          <cell r="R145">
            <v>1.2977255784222255</v>
          </cell>
          <cell r="S145">
            <v>1.4225086308511816</v>
          </cell>
          <cell r="T145">
            <v>1.5056973324704859</v>
          </cell>
          <cell r="V145">
            <v>1.5348950338538314</v>
          </cell>
          <cell r="W145">
            <v>1.5921187892371764</v>
          </cell>
        </row>
        <row r="146">
          <cell r="M146">
            <v>0.50434149930000005</v>
          </cell>
          <cell r="N146">
            <v>0.50724203087313591</v>
          </cell>
          <cell r="O146">
            <v>0.53440425622263121</v>
          </cell>
          <cell r="P146">
            <v>0.55134732029562805</v>
          </cell>
          <cell r="Q146">
            <v>0.55899453822573197</v>
          </cell>
          <cell r="R146">
            <v>0.56409268351246789</v>
          </cell>
          <cell r="S146">
            <v>0.57241155367439822</v>
          </cell>
          <cell r="T146">
            <v>0.57795746711568519</v>
          </cell>
          <cell r="V146">
            <v>0.57990398054124159</v>
          </cell>
          <cell r="W146">
            <v>0.58371889756679796</v>
          </cell>
        </row>
        <row r="147">
          <cell r="M147">
            <v>5.483728546479387E-2</v>
          </cell>
          <cell r="N147">
            <v>6.643941175733728E-2</v>
          </cell>
          <cell r="O147">
            <v>0.17508831315531873</v>
          </cell>
          <cell r="P147">
            <v>0.24286056944730622</v>
          </cell>
          <cell r="Q147">
            <v>0.27344944116772191</v>
          </cell>
          <cell r="R147">
            <v>0.29384202231466572</v>
          </cell>
          <cell r="S147">
            <v>0.32711750296238734</v>
          </cell>
          <cell r="T147">
            <v>0.34930115672753509</v>
          </cell>
          <cell r="V147">
            <v>0.35708721042976055</v>
          </cell>
          <cell r="W147">
            <v>0.37234687853198589</v>
          </cell>
        </row>
        <row r="148">
          <cell r="M148">
            <v>0</v>
          </cell>
          <cell r="N148">
            <v>0</v>
          </cell>
          <cell r="O148">
            <v>0</v>
          </cell>
          <cell r="P148">
            <v>0</v>
          </cell>
          <cell r="Q148">
            <v>0</v>
          </cell>
          <cell r="R148">
            <v>0</v>
          </cell>
          <cell r="S148">
            <v>0</v>
          </cell>
          <cell r="T148">
            <v>0</v>
          </cell>
          <cell r="V148">
            <v>0</v>
          </cell>
          <cell r="W148">
            <v>0</v>
          </cell>
        </row>
      </sheetData>
    </sheetDataSet>
  </externalBook>
</externalLink>
</file>

<file path=xl/persons/person.xml><?xml version="1.0" encoding="utf-8"?>
<personList xmlns="http://schemas.microsoft.com/office/spreadsheetml/2018/threadedcomments" xmlns:x="http://schemas.openxmlformats.org/spreadsheetml/2006/main">
  <person displayName="CALLONNEC Gaël" id="{CD6B67C6-2ABB-480C-9B7B-F1708FB3EFD9}" userId="S::gael.callonnec@ademe.fr::4645a0ba-fe23-43a5-8781-2fec62c78cfd"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W10" dT="2024-02-15T18:17:19.49" personId="{CD6B67C6-2ABB-480C-9B7B-F1708FB3EFD9}" id="{0FC26F69-D9E2-483F-B1E8-BAE4C53E9431}">
    <text>Augmentation de +0.6 sinon bug</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65.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66.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67.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68.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69.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70.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71.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72.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73.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74.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75.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3.bin"/></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C7841-75EF-4B73-BA08-CFA615B94BD5}">
  <dimension ref="A1:DL57"/>
  <sheetViews>
    <sheetView topLeftCell="A6" workbookViewId="0">
      <selection activeCell="C12" sqref="C12"/>
    </sheetView>
  </sheetViews>
  <sheetFormatPr baseColWidth="10" defaultColWidth="11.42578125" defaultRowHeight="12" x14ac:dyDescent="0.2"/>
  <cols>
    <col min="1" max="1" width="53.7109375" style="193" bestFit="1" customWidth="1"/>
    <col min="2" max="2" width="11" style="193" customWidth="1"/>
    <col min="3" max="4" width="7.7109375" style="222" bestFit="1" customWidth="1"/>
    <col min="5" max="6" width="7.7109375" style="222" customWidth="1"/>
    <col min="7" max="12" width="12.28515625" style="222" customWidth="1"/>
    <col min="13" max="13" width="8.7109375" style="193" customWidth="1"/>
    <col min="14" max="14" width="8.7109375" style="572" customWidth="1"/>
    <col min="15" max="15" width="7.85546875" style="572" customWidth="1"/>
    <col min="16" max="16" width="7.28515625" style="572" customWidth="1"/>
    <col min="17" max="17" width="34.28515625" style="193" customWidth="1"/>
    <col min="18" max="18" width="11.140625" style="193" customWidth="1"/>
    <col min="19" max="20" width="5.5703125" style="193" bestFit="1" customWidth="1"/>
    <col min="21" max="28" width="5.5703125" style="193" customWidth="1"/>
    <col min="29" max="29" width="9" style="193" bestFit="1" customWidth="1"/>
    <col min="30" max="30" width="11.42578125" style="193"/>
    <col min="31" max="31" width="40.28515625" style="193" customWidth="1"/>
    <col min="32" max="36" width="10.42578125" style="193" customWidth="1"/>
    <col min="37" max="38" width="9.5703125" style="193" customWidth="1"/>
    <col min="39" max="40" width="10" style="193" customWidth="1"/>
    <col min="41" max="41" width="10.140625" style="193" customWidth="1"/>
    <col min="42" max="42" width="9.7109375" style="193" customWidth="1"/>
    <col min="43" max="43" width="10" style="193" customWidth="1"/>
    <col min="44" max="44" width="11.42578125" style="193"/>
    <col min="45" max="45" width="54.28515625" style="193" customWidth="1"/>
    <col min="46" max="47" width="11.42578125" style="193" customWidth="1"/>
    <col min="48" max="56" width="11.42578125" style="193"/>
    <col min="57" max="57" width="10.140625" style="193" customWidth="1"/>
    <col min="58" max="58" width="9.85546875" style="206" customWidth="1"/>
    <col min="59" max="59" width="42.85546875" style="193" customWidth="1"/>
    <col min="60" max="60" width="9.5703125" style="193" customWidth="1"/>
    <col min="61" max="64" width="11.42578125" style="193"/>
    <col min="65" max="65" width="11.7109375" style="193" bestFit="1" customWidth="1"/>
    <col min="66" max="70" width="11.7109375" style="193" customWidth="1"/>
    <col min="71" max="71" width="11.42578125" style="193" customWidth="1"/>
    <col min="72" max="72" width="20.42578125" style="193" customWidth="1"/>
    <col min="73" max="73" width="24.7109375" style="193" customWidth="1"/>
    <col min="74" max="85" width="11.42578125" style="193" customWidth="1"/>
    <col min="86" max="86" width="19.140625" style="193" customWidth="1"/>
    <col min="87" max="87" width="11.42578125" style="193" customWidth="1"/>
    <col min="88" max="88" width="50.140625" style="193" customWidth="1"/>
    <col min="89" max="89" width="6" style="193" customWidth="1"/>
    <col min="90" max="100" width="11.42578125" style="193" customWidth="1"/>
    <col min="101" max="102" width="11.42578125" style="193"/>
    <col min="103" max="103" width="33.5703125" style="193" customWidth="1"/>
    <col min="104" max="104" width="19.85546875" style="193" customWidth="1"/>
    <col min="105" max="109" width="10.42578125" style="193" customWidth="1"/>
    <col min="110" max="16384" width="11.42578125" style="193"/>
  </cols>
  <sheetData>
    <row r="1" spans="1:116" x14ac:dyDescent="0.2">
      <c r="B1" s="193">
        <v>2015</v>
      </c>
      <c r="C1" s="194">
        <v>2020</v>
      </c>
      <c r="D1" s="194">
        <v>2023</v>
      </c>
      <c r="E1" s="195">
        <v>2025</v>
      </c>
      <c r="F1" s="195">
        <v>2028</v>
      </c>
      <c r="G1" s="195">
        <v>2030</v>
      </c>
      <c r="H1" s="195">
        <v>2033</v>
      </c>
      <c r="I1" s="195">
        <v>2035</v>
      </c>
      <c r="J1" s="195">
        <v>2038</v>
      </c>
      <c r="K1" s="195">
        <v>2040</v>
      </c>
      <c r="L1" s="195">
        <v>2045</v>
      </c>
      <c r="M1" s="729">
        <v>2050</v>
      </c>
      <c r="N1" s="729"/>
      <c r="O1" s="730"/>
      <c r="R1" s="193">
        <v>2015</v>
      </c>
      <c r="S1" s="194">
        <v>2020</v>
      </c>
      <c r="T1" s="194">
        <v>2023</v>
      </c>
      <c r="U1" s="195">
        <v>2025</v>
      </c>
      <c r="V1" s="195">
        <v>2028</v>
      </c>
      <c r="W1" s="195">
        <v>2030</v>
      </c>
      <c r="X1" s="195">
        <v>2033</v>
      </c>
      <c r="Y1" s="195">
        <v>2035</v>
      </c>
      <c r="Z1" s="195">
        <v>2038</v>
      </c>
      <c r="AA1" s="195">
        <v>2040</v>
      </c>
      <c r="AB1" s="195">
        <v>2045</v>
      </c>
      <c r="AC1" s="195">
        <v>2050</v>
      </c>
      <c r="AF1" s="193">
        <v>2015</v>
      </c>
      <c r="AG1" s="194">
        <v>2020</v>
      </c>
      <c r="AH1" s="194">
        <v>2023</v>
      </c>
      <c r="AI1" s="195">
        <v>2025</v>
      </c>
      <c r="AJ1" s="195">
        <v>2028</v>
      </c>
      <c r="AK1" s="195">
        <v>2030</v>
      </c>
      <c r="AL1" s="195">
        <v>2033</v>
      </c>
      <c r="AM1" s="195">
        <v>2035</v>
      </c>
      <c r="AN1" s="195">
        <v>2038</v>
      </c>
      <c r="AO1" s="195">
        <v>2040</v>
      </c>
      <c r="AP1" s="195">
        <v>2045</v>
      </c>
      <c r="AQ1" s="195">
        <v>2050</v>
      </c>
      <c r="AT1" s="193">
        <v>2015</v>
      </c>
      <c r="AU1" s="194">
        <v>2020</v>
      </c>
      <c r="AV1" s="195">
        <v>2023</v>
      </c>
      <c r="AW1" s="195">
        <v>2025</v>
      </c>
      <c r="AX1" s="195">
        <v>2028</v>
      </c>
      <c r="AY1" s="195">
        <v>2030</v>
      </c>
      <c r="AZ1" s="195">
        <v>2033</v>
      </c>
      <c r="BA1" s="195">
        <v>2035</v>
      </c>
      <c r="BB1" s="547">
        <v>2038</v>
      </c>
      <c r="BC1" s="547">
        <v>2040</v>
      </c>
      <c r="BD1" s="547">
        <v>2045</v>
      </c>
      <c r="BE1" s="193">
        <v>2050</v>
      </c>
    </row>
    <row r="2" spans="1:116" ht="15" x14ac:dyDescent="0.25">
      <c r="A2" s="196" t="s">
        <v>10</v>
      </c>
      <c r="B2" s="197">
        <f t="shared" ref="B2" si="0">B3+B9+B28+B38</f>
        <v>255.89471571902516</v>
      </c>
      <c r="C2" s="197">
        <f t="shared" ref="C2:M2" si="1">C3+C9+C28+C38</f>
        <v>2559.7800174335421</v>
      </c>
      <c r="D2" s="197">
        <f t="shared" si="1"/>
        <v>2530.4302210668016</v>
      </c>
      <c r="E2" s="197">
        <f t="shared" si="1"/>
        <v>2724.2956738723865</v>
      </c>
      <c r="F2" s="197">
        <f t="shared" si="1"/>
        <v>2678.5122863720326</v>
      </c>
      <c r="G2" s="197">
        <f t="shared" si="1"/>
        <v>2645.6934582813483</v>
      </c>
      <c r="H2" s="197">
        <f t="shared" si="1"/>
        <v>2557.1577904897672</v>
      </c>
      <c r="I2" s="197">
        <f t="shared" si="1"/>
        <v>2498.2261063021315</v>
      </c>
      <c r="J2" s="197">
        <f t="shared" si="1"/>
        <v>2418.1247907368247</v>
      </c>
      <c r="K2" s="197">
        <f t="shared" si="1"/>
        <v>2364.6954821727313</v>
      </c>
      <c r="L2" s="197">
        <f t="shared" si="1"/>
        <v>2245.6361672888593</v>
      </c>
      <c r="M2" s="197">
        <f t="shared" si="1"/>
        <v>2161.9320758013637</v>
      </c>
      <c r="N2" s="573">
        <f>C2-'Bilan 2020'!$C$5</f>
        <v>0</v>
      </c>
      <c r="O2" s="573">
        <f>G2-'Bilan 2030'!$C$5</f>
        <v>0</v>
      </c>
      <c r="P2" s="573">
        <f>M2-'Bilan 2050'!$C$5</f>
        <v>0</v>
      </c>
      <c r="Q2" s="568" t="s">
        <v>261</v>
      </c>
      <c r="R2" s="198">
        <f t="shared" ref="R2" si="2">R3+R7+R16+R23</f>
        <v>255.90471571902515</v>
      </c>
      <c r="S2" s="198">
        <f t="shared" ref="S2:AC2" si="3">S3+S7+S16+S23</f>
        <v>2559.7900174335423</v>
      </c>
      <c r="T2" s="198">
        <f t="shared" si="3"/>
        <v>2530.4402210668018</v>
      </c>
      <c r="U2" s="198">
        <f t="shared" si="3"/>
        <v>2724.3057738723865</v>
      </c>
      <c r="V2" s="198">
        <f t="shared" ref="V2" si="4">V3+V7+V16+V23</f>
        <v>2678.5223863720325</v>
      </c>
      <c r="W2" s="198">
        <f t="shared" ref="W2" si="5">W3+W7+W16+W23</f>
        <v>2645.7035582813487</v>
      </c>
      <c r="X2" s="198">
        <f t="shared" ref="X2" si="6">X3+X7+X16+X23</f>
        <v>2557.1678904897672</v>
      </c>
      <c r="Y2" s="198">
        <f t="shared" ref="Y2" si="7">Y3+Y7+Y16+Y23</f>
        <v>2498.236206302131</v>
      </c>
      <c r="Z2" s="198">
        <f t="shared" ref="Z2" si="8">Z3+Z7+Z16+Z23</f>
        <v>2418.1348907368242</v>
      </c>
      <c r="AA2" s="198">
        <f t="shared" ref="AA2" si="9">AA3+AA7+AA16+AA23</f>
        <v>2364.7055821727313</v>
      </c>
      <c r="AB2" s="198">
        <f t="shared" ref="AB2" si="10">AB3+AB7+AB16+AB23</f>
        <v>2245.6462672888592</v>
      </c>
      <c r="AC2" s="198">
        <f t="shared" si="3"/>
        <v>2161.9422758013634</v>
      </c>
      <c r="AE2" s="198" t="s">
        <v>262</v>
      </c>
      <c r="AF2" s="198">
        <f t="shared" ref="AF2" si="11">AF3+AF8+AF18+AF27</f>
        <v>138.33585139215293</v>
      </c>
      <c r="AG2" s="198">
        <f t="shared" ref="AG2:AQ2" si="12">AG3+AG8+AG18+AG27</f>
        <v>1463.3250412379905</v>
      </c>
      <c r="AH2" s="198">
        <f t="shared" si="12"/>
        <v>1494.1459403809945</v>
      </c>
      <c r="AI2" s="198">
        <f t="shared" si="12"/>
        <v>1507.8023520767135</v>
      </c>
      <c r="AJ2" s="198">
        <f t="shared" si="12"/>
        <v>1462.5806492254687</v>
      </c>
      <c r="AK2" s="198">
        <f t="shared" si="12"/>
        <v>1432.4749700797863</v>
      </c>
      <c r="AL2" s="198">
        <f t="shared" si="12"/>
        <v>1409.9429352165109</v>
      </c>
      <c r="AM2" s="198">
        <f t="shared" si="12"/>
        <v>1394.8736612461164</v>
      </c>
      <c r="AN2" s="198">
        <f t="shared" si="12"/>
        <v>1376.5440915628158</v>
      </c>
      <c r="AO2" s="198">
        <f t="shared" si="12"/>
        <v>1364.1419598612613</v>
      </c>
      <c r="AP2" s="198">
        <f t="shared" si="12"/>
        <v>1345.1364964717754</v>
      </c>
      <c r="AQ2" s="198">
        <f t="shared" si="12"/>
        <v>1337.3206190218209</v>
      </c>
      <c r="AS2" s="198" t="s">
        <v>263</v>
      </c>
      <c r="AT2" s="198">
        <f t="shared" ref="AT2" si="13">AT3+AT8+AT18+AT27</f>
        <v>155.11475643907198</v>
      </c>
      <c r="AU2" s="198">
        <f t="shared" ref="AU2:BE2" si="14">AU3+AU8+AU18+AU27</f>
        <v>1633.6423079237252</v>
      </c>
      <c r="AV2" s="198">
        <f t="shared" si="14"/>
        <v>1654.8165648775609</v>
      </c>
      <c r="AW2" s="198">
        <f t="shared" si="14"/>
        <v>1689.5031204601557</v>
      </c>
      <c r="AX2" s="198">
        <f t="shared" si="14"/>
        <v>1638.926852025967</v>
      </c>
      <c r="AY2" s="198">
        <f t="shared" si="14"/>
        <v>1605.2455436121345</v>
      </c>
      <c r="AZ2" s="198">
        <f t="shared" si="14"/>
        <v>1579.5552395500665</v>
      </c>
      <c r="BA2" s="198">
        <f t="shared" si="14"/>
        <v>1562.3713945962409</v>
      </c>
      <c r="BB2" s="198">
        <f t="shared" si="14"/>
        <v>1541.36935742941</v>
      </c>
      <c r="BC2" s="198">
        <f t="shared" si="14"/>
        <v>1527.1699410605922</v>
      </c>
      <c r="BD2" s="198">
        <f t="shared" si="14"/>
        <v>1504.0705262002421</v>
      </c>
      <c r="BE2" s="198">
        <f t="shared" si="14"/>
        <v>1492.0978726698838</v>
      </c>
      <c r="BF2" s="216">
        <f>BE2-('Bilan 2050'!Q5+SUM('Bilan 2050'!E52:E57))</f>
        <v>1.7113098714664829</v>
      </c>
    </row>
    <row r="3" spans="1:116" ht="12.75" x14ac:dyDescent="0.2">
      <c r="A3" s="199" t="s">
        <v>264</v>
      </c>
      <c r="B3" s="200">
        <f t="shared" ref="B3" si="15">SUM(B4:B5)</f>
        <v>72.689474844839168</v>
      </c>
      <c r="C3" s="200">
        <f t="shared" ref="C3:M3" si="16">SUM(C4:C5)</f>
        <v>711.27843158471455</v>
      </c>
      <c r="D3" s="200">
        <f t="shared" ref="D3" si="17">SUM(D4:D5)</f>
        <v>735.07688683788251</v>
      </c>
      <c r="E3" s="200">
        <f t="shared" ref="E3:G3" si="18">SUM(E4:E5)</f>
        <v>733.06474056049558</v>
      </c>
      <c r="F3" s="200">
        <f t="shared" ref="F3" si="19">SUM(F4:F5)</f>
        <v>673.75374100706892</v>
      </c>
      <c r="G3" s="200">
        <f t="shared" si="18"/>
        <v>634.13189474255455</v>
      </c>
      <c r="H3" s="200">
        <f t="shared" ref="H3" si="20">SUM(H4:H5)</f>
        <v>586.47864177813028</v>
      </c>
      <c r="I3" s="200">
        <f t="shared" ref="I3" si="21">SUM(I4:I5)</f>
        <v>554.66247973409759</v>
      </c>
      <c r="J3" s="200">
        <f t="shared" ref="J3" si="22">SUM(J4:J5)</f>
        <v>515.12157452638064</v>
      </c>
      <c r="K3" s="200">
        <f t="shared" ref="K3" si="23">SUM(K4:K5)</f>
        <v>488.77015652406527</v>
      </c>
      <c r="L3" s="200">
        <f t="shared" ref="L3" si="24">SUM(L4:L5)</f>
        <v>444.46267908594768</v>
      </c>
      <c r="M3" s="200">
        <f t="shared" si="16"/>
        <v>420.46639893993023</v>
      </c>
      <c r="N3" s="573">
        <f>C3-'Bilan 2020'!$C$33-'Bilan 2020'!$C$41-'Bilan 2020'!$C$42-'Bilan 2020'!$C$43</f>
        <v>0</v>
      </c>
      <c r="O3" s="573">
        <f>G3-'Bilan 2030'!$C$33-'Bilan 2030'!$C$41-'Bilan 2030'!$C$42-'Bilan 2030'!$C$43</f>
        <v>0</v>
      </c>
      <c r="P3" s="573">
        <f>M3-'Bilan 2050'!$C$33-'Bilan 2050'!$C$41-'Bilan 2050'!$C$42-'Bilan 2050'!$C$43</f>
        <v>0</v>
      </c>
      <c r="Q3" s="569" t="s">
        <v>264</v>
      </c>
      <c r="R3" s="201">
        <f>SUM(R4:R6)</f>
        <v>72.689474844839168</v>
      </c>
      <c r="S3" s="201">
        <f>SUM(S4:S6)</f>
        <v>711.27843158471455</v>
      </c>
      <c r="T3" s="201">
        <f>SUM(T4:T6)</f>
        <v>735.07688683788251</v>
      </c>
      <c r="U3" s="201">
        <f t="shared" ref="U3:AC3" si="25">SUM(U4:U6)</f>
        <v>733.06474056049558</v>
      </c>
      <c r="V3" s="201">
        <f t="shared" ref="V3:AB3" si="26">SUM(V4:V6)</f>
        <v>673.75374100706892</v>
      </c>
      <c r="W3" s="201">
        <f t="shared" si="26"/>
        <v>634.13189474255455</v>
      </c>
      <c r="X3" s="201">
        <f t="shared" si="26"/>
        <v>586.47864177813028</v>
      </c>
      <c r="Y3" s="201">
        <f t="shared" si="26"/>
        <v>554.66247973409759</v>
      </c>
      <c r="Z3" s="201">
        <f t="shared" si="26"/>
        <v>515.12157452638064</v>
      </c>
      <c r="AA3" s="201">
        <f t="shared" si="26"/>
        <v>488.77015652406527</v>
      </c>
      <c r="AB3" s="201">
        <f t="shared" si="26"/>
        <v>444.46267908594768</v>
      </c>
      <c r="AC3" s="201">
        <f t="shared" si="25"/>
        <v>420.46639893993023</v>
      </c>
      <c r="AE3" s="201" t="s">
        <v>264</v>
      </c>
      <c r="AF3" s="201">
        <f t="shared" ref="AF3" si="27">SUM(AF4:AF7)</f>
        <v>57.957729699759618</v>
      </c>
      <c r="AG3" s="201">
        <f t="shared" ref="AG3:AQ3" si="28">SUM(AG4:AG7)</f>
        <v>566.67042958464401</v>
      </c>
      <c r="AH3" s="201">
        <f t="shared" si="28"/>
        <v>619.1086474964369</v>
      </c>
      <c r="AI3" s="201">
        <f t="shared" si="28"/>
        <v>575.35059070267107</v>
      </c>
      <c r="AJ3" s="201">
        <f t="shared" si="28"/>
        <v>520.45027868820887</v>
      </c>
      <c r="AK3" s="201">
        <f t="shared" si="28"/>
        <v>483.77337593783869</v>
      </c>
      <c r="AL3" s="201">
        <f t="shared" si="28"/>
        <v>440.38618701361685</v>
      </c>
      <c r="AM3" s="201">
        <f t="shared" si="28"/>
        <v>411.42146756756568</v>
      </c>
      <c r="AN3" s="201">
        <f t="shared" si="28"/>
        <v>375.78164700518238</v>
      </c>
      <c r="AO3" s="201">
        <f t="shared" si="28"/>
        <v>352.04368551012618</v>
      </c>
      <c r="AP3" s="201">
        <f t="shared" si="28"/>
        <v>313.93598831389301</v>
      </c>
      <c r="AQ3" s="201">
        <f t="shared" si="28"/>
        <v>296.17625449177581</v>
      </c>
      <c r="AS3" s="201" t="s">
        <v>264</v>
      </c>
      <c r="AT3" s="201">
        <f>SUM(AT4:AT7)</f>
        <v>70.410729699759614</v>
      </c>
      <c r="AU3" s="201">
        <f>SUM(AU4:AU7)</f>
        <v>697.15454900619204</v>
      </c>
      <c r="AV3" s="201">
        <f t="shared" ref="AV3" si="29">SUM(AV4:AV7)</f>
        <v>732.20926412851372</v>
      </c>
      <c r="AW3" s="201">
        <f t="shared" ref="AW3:BE3" si="30">SUM(AW4:AW7)</f>
        <v>702.60194479465349</v>
      </c>
      <c r="AX3" s="201">
        <f t="shared" si="30"/>
        <v>643.65697846115552</v>
      </c>
      <c r="AY3" s="201">
        <f t="shared" si="30"/>
        <v>604.27915434326053</v>
      </c>
      <c r="AZ3" s="201">
        <f t="shared" si="30"/>
        <v>557.46349286760858</v>
      </c>
      <c r="BA3" s="201">
        <f t="shared" si="30"/>
        <v>526.20572514942421</v>
      </c>
      <c r="BB3" s="201">
        <f t="shared" si="30"/>
        <v>487.51883988218304</v>
      </c>
      <c r="BC3" s="201">
        <f t="shared" si="30"/>
        <v>461.73676850685155</v>
      </c>
      <c r="BD3" s="201">
        <f t="shared" si="30"/>
        <v>418.84602089070984</v>
      </c>
      <c r="BE3" s="201">
        <f t="shared" si="30"/>
        <v>396.23140620992376</v>
      </c>
      <c r="BF3" s="216">
        <f>BE3-(SUM('Bilan 2050'!G41:G43)-'Bilan 2050'!L41-'Bilan 2050'!I54-'Bilan 2050'!E56)</f>
        <v>0</v>
      </c>
      <c r="BG3" s="565" t="s">
        <v>446</v>
      </c>
      <c r="BH3" s="194">
        <v>2020</v>
      </c>
      <c r="BI3" s="194">
        <v>2020</v>
      </c>
      <c r="BJ3" s="194">
        <v>2023</v>
      </c>
      <c r="BK3" s="195">
        <v>2025</v>
      </c>
      <c r="BL3" s="195">
        <v>2028</v>
      </c>
      <c r="BM3" s="195">
        <v>2030</v>
      </c>
      <c r="BN3" s="195">
        <v>2033</v>
      </c>
      <c r="BO3" s="195">
        <v>2035</v>
      </c>
      <c r="BP3" s="195">
        <v>2038</v>
      </c>
      <c r="BQ3" s="195">
        <v>2040</v>
      </c>
      <c r="BR3" s="195">
        <v>2045</v>
      </c>
      <c r="BS3" s="195">
        <v>2050</v>
      </c>
      <c r="BU3" s="566" t="s">
        <v>447</v>
      </c>
      <c r="BV3" s="194">
        <v>2015</v>
      </c>
      <c r="BW3" s="194">
        <v>2020</v>
      </c>
      <c r="BX3" s="194">
        <v>2023</v>
      </c>
      <c r="BY3" s="195">
        <v>2025</v>
      </c>
      <c r="BZ3" s="195">
        <v>2028</v>
      </c>
      <c r="CA3" s="195">
        <v>2030</v>
      </c>
      <c r="CB3" s="195">
        <v>2033</v>
      </c>
      <c r="CC3" s="195">
        <v>2035</v>
      </c>
      <c r="CD3" s="195">
        <v>2038</v>
      </c>
      <c r="CE3" s="195">
        <v>2040</v>
      </c>
      <c r="CF3" s="195">
        <v>2045</v>
      </c>
      <c r="CG3" s="195">
        <v>2050</v>
      </c>
      <c r="CJ3" s="566" t="s">
        <v>448</v>
      </c>
      <c r="CK3" s="202">
        <v>2015</v>
      </c>
      <c r="CL3" s="194">
        <v>2020</v>
      </c>
      <c r="CM3" s="194">
        <v>2023</v>
      </c>
      <c r="CN3" s="195">
        <v>2025</v>
      </c>
      <c r="CO3" s="195">
        <v>2028</v>
      </c>
      <c r="CP3" s="195">
        <v>2030</v>
      </c>
      <c r="CQ3" s="195">
        <v>2033</v>
      </c>
      <c r="CR3" s="195">
        <v>2035</v>
      </c>
      <c r="CS3" s="195">
        <v>2038</v>
      </c>
      <c r="CT3" s="195">
        <v>2040</v>
      </c>
      <c r="CU3" s="195">
        <v>2045</v>
      </c>
      <c r="CV3" s="195">
        <v>2050</v>
      </c>
      <c r="CY3" s="565" t="s">
        <v>449</v>
      </c>
      <c r="CZ3" s="202" t="s">
        <v>265</v>
      </c>
      <c r="DA3" s="202">
        <v>2015</v>
      </c>
      <c r="DB3" s="557">
        <v>2020</v>
      </c>
      <c r="DC3" s="557">
        <v>2023</v>
      </c>
      <c r="DD3" s="557">
        <v>2025</v>
      </c>
      <c r="DE3" s="557">
        <v>2028</v>
      </c>
      <c r="DF3" s="557">
        <v>2030</v>
      </c>
      <c r="DG3" s="557">
        <v>2033</v>
      </c>
      <c r="DH3" s="557">
        <v>2035</v>
      </c>
      <c r="DI3" s="557">
        <v>2038</v>
      </c>
      <c r="DJ3" s="557">
        <v>2040</v>
      </c>
      <c r="DK3" s="557">
        <v>2045</v>
      </c>
      <c r="DL3" s="557">
        <v>2050</v>
      </c>
    </row>
    <row r="4" spans="1:116" ht="12.75" x14ac:dyDescent="0.2">
      <c r="A4" s="203" t="s">
        <v>266</v>
      </c>
      <c r="B4" s="204">
        <f>'Bilan 2015'!$C$33+'Bilan 2015'!$C$42+'Bilan 2015'!$C$43</f>
        <v>69.568999999999988</v>
      </c>
      <c r="C4" s="204">
        <f>'Bilan 2020'!$C$33+'Bilan 2020'!$C$42+'Bilan 2020'!$C$43</f>
        <v>677.54700206716939</v>
      </c>
      <c r="D4" s="204">
        <f>'Bilan 2023 réel'!$C$33+'Bilan 2023 réel'!$C$42+'Bilan 2023 réel'!$C$43</f>
        <v>714.42945250706157</v>
      </c>
      <c r="E4" s="204">
        <f>'Bilan 2025'!$C$33+'Bilan 2025'!$C$42+'Bilan 2025'!$C$43</f>
        <v>691.74731922517151</v>
      </c>
      <c r="F4" s="204">
        <f>'Bilan 2028'!$C$33+'Bilan 2028'!$C$42+'Bilan 2028'!$C$43</f>
        <v>635.72622009104259</v>
      </c>
      <c r="G4" s="204">
        <f>'Bilan 2030'!$C$33+'Bilan 2030'!$C$42+'Bilan 2030'!$C$43</f>
        <v>598.27946102669762</v>
      </c>
      <c r="H4" s="204">
        <f>'Bilan 2033'!$C$33+'Bilan 2033'!$C$42+'Bilan 2033'!$C$43</f>
        <v>553.73431637815975</v>
      </c>
      <c r="I4" s="204">
        <f>'Bilan 2035'!$C$33+'Bilan 2035'!$C$42+'Bilan 2035'!$C$43</f>
        <v>523.9839112525658</v>
      </c>
      <c r="J4" s="204">
        <f>'Bilan 2038'!$C$33+'Bilan 2038'!$C$42+'Bilan 2038'!$C$43</f>
        <v>486.93214525622875</v>
      </c>
      <c r="K4" s="204">
        <f>'Bilan 2040'!$C$33+'Bilan 2040'!$C$42+'Bilan 2040'!$C$43</f>
        <v>462.24944431207973</v>
      </c>
      <c r="L4" s="204">
        <f>'Bilan 2045'!$C$33+'Bilan 2045'!$C$42+'Bilan 2045'!$C$43</f>
        <v>420.35220248751034</v>
      </c>
      <c r="M4" s="204">
        <f>'Bilan 2050'!$C$33+'Bilan 2050'!$C$42+'Bilan 2050'!$C$43</f>
        <v>397.39751467726302</v>
      </c>
      <c r="N4" s="573"/>
      <c r="O4" s="573"/>
      <c r="P4" s="573"/>
      <c r="Q4" s="570" t="s">
        <v>266</v>
      </c>
      <c r="R4" s="205">
        <f t="shared" ref="R4:AC5" si="31">B4</f>
        <v>69.568999999999988</v>
      </c>
      <c r="S4" s="205">
        <f t="shared" si="31"/>
        <v>677.54700206716939</v>
      </c>
      <c r="T4" s="205">
        <f t="shared" si="31"/>
        <v>714.42945250706157</v>
      </c>
      <c r="U4" s="205">
        <f t="shared" si="31"/>
        <v>691.74731922517151</v>
      </c>
      <c r="V4" s="205">
        <f t="shared" si="31"/>
        <v>635.72622009104259</v>
      </c>
      <c r="W4" s="205">
        <f t="shared" si="31"/>
        <v>598.27946102669762</v>
      </c>
      <c r="X4" s="205">
        <f t="shared" si="31"/>
        <v>553.73431637815975</v>
      </c>
      <c r="Y4" s="205">
        <f t="shared" si="31"/>
        <v>523.9839112525658</v>
      </c>
      <c r="Z4" s="205">
        <f t="shared" si="31"/>
        <v>486.93214525622875</v>
      </c>
      <c r="AA4" s="205">
        <f t="shared" si="31"/>
        <v>462.24944431207973</v>
      </c>
      <c r="AB4" s="205">
        <f t="shared" si="31"/>
        <v>420.35220248751034</v>
      </c>
      <c r="AC4" s="205">
        <f t="shared" si="31"/>
        <v>397.39751467726302</v>
      </c>
      <c r="AD4" s="193">
        <f>2201</f>
        <v>2201</v>
      </c>
      <c r="AE4" s="205" t="s">
        <v>266</v>
      </c>
      <c r="AF4" s="205">
        <f>'Bilan 2015'!$G$42+'Bilan 2015'!$G$43-'Bilan 2015'!$E$54+'Bilan 2015'!$G$33*(1-SUM('Bilan 2015'!$K$26:$P$34)/'Bilan 2015'!$H$30)-AF6</f>
        <v>39.418884338747844</v>
      </c>
      <c r="AG4" s="205">
        <f>'Bilan 2020'!$G$42+'Bilan 2020'!$G$43-'Bilan 2020'!$E$54+'Bilan 2020'!$G$33*(1-SUM('Bilan 2020'!$K$26:$P$34)/'Bilan 2020'!$H$30)-AG6</f>
        <v>384.22485250061038</v>
      </c>
      <c r="AH4" s="205">
        <f>'Bilan 2023 réel'!$G$42+'Bilan 2023 réel'!$G$43-'Bilan 2023 réel'!$E$54+'Bilan 2023 réel'!$G$33*(1-SUM('Bilan 2023 réel'!$K$26:$P$34)/'Bilan 2023 réel'!$H$30)-AH6</f>
        <v>454.24007011037821</v>
      </c>
      <c r="AI4" s="205">
        <f>'Bilan 2025'!$G$42+'Bilan 2025'!$G$43-'Bilan 2025'!$E$54+'Bilan 2025'!$G$33*(1-SUM('Bilan 2025'!$K$26:$P$34)/'Bilan 2025'!$H$30)-AI6</f>
        <v>408.63289173322215</v>
      </c>
      <c r="AJ4" s="205">
        <f>'Bilan 2028'!$G$42+'Bilan 2028'!$G$43-'Bilan 2028'!$E$54+'Bilan 2028'!$G$33*(1-SUM('Bilan 2028'!$K$26:$P$34)/'Bilan 2028'!$H$30)-AJ6</f>
        <v>369.95523103317919</v>
      </c>
      <c r="AK4" s="205">
        <f>'Bilan 2030'!$G$42+'Bilan 2030'!$G$43-'Bilan 2030'!$E$54+'Bilan 2030'!$G$33*(1-SUM('Bilan 2030'!$K$26:$P$34)/'Bilan 2030'!$H$30)-AK6</f>
        <v>344.17012389981727</v>
      </c>
      <c r="AL4" s="205">
        <f>'Bilan 2033'!$G$42+'Bilan 2033'!$G$43-'Bilan 2033'!$E$54+'Bilan 2033'!$G$33*(1-SUM('Bilan 2033'!$K$26:$P$34)/'Bilan 2033'!$H$30)-AL6</f>
        <v>312.50052508879816</v>
      </c>
      <c r="AM4" s="205">
        <f>'Bilan 2035'!$G$42+'Bilan 2035'!$G$43-'Bilan 2035'!$E$54+'Bilan 2035'!$G$33*(1-SUM('Bilan 2035'!$K$26:$P$34)/'Bilan 2035'!$H$30)-AM6</f>
        <v>291.38745921478551</v>
      </c>
      <c r="AN4" s="205">
        <f>'Bilan 2038'!$G$42+'Bilan 2038'!$G$43-'Bilan 2038'!$E$54+'Bilan 2038'!$G$33*(1-SUM('Bilan 2038'!$K$26:$P$34)/'Bilan 2038'!$H$30)-AN6</f>
        <v>266.09529408288518</v>
      </c>
      <c r="AO4" s="205">
        <f>'Bilan 2040'!$G$42+'Bilan 2040'!$G$43-'Bilan 2040'!$E$54+'Bilan 2040'!$G$33*(1-SUM('Bilan 2040'!$K$26:$P$34)/'Bilan 2040'!$H$30)-AO6</f>
        <v>249.23385066161839</v>
      </c>
      <c r="AP4" s="205">
        <f>'Bilan 2045'!$G$42+'Bilan 2045'!$G$43-'Bilan 2045'!$E$54+'Bilan 2045'!$G$33*(1-SUM('Bilan 2045'!$K$26:$P$34)/'Bilan 2045'!$H$30)-AP6</f>
        <v>225.72324837131148</v>
      </c>
      <c r="AQ4" s="205">
        <f>'Bilan 2050'!$G$42+'Bilan 2050'!$G$43-'Bilan 2050'!$E$54+'Bilan 2050'!$G$33*(1-SUM('Bilan 2050'!$K$26:$P$34)/'Bilan 2050'!$H$30)-AQ6</f>
        <v>216.87515414954612</v>
      </c>
      <c r="AR4" s="206"/>
      <c r="AS4" s="205" t="s">
        <v>450</v>
      </c>
      <c r="AT4" s="205">
        <f>'Bilan 2015'!$G$42+'Bilan 2015'!$G$43-'Bilan 2015'!$E$54+'Bilan 2015'!$G$33*(1-SUM('Bilan 2015'!$K$26:$P$34)/'Bilan 2015'!$H$30)+'Bilan 2015'!$E$54-AT6</f>
        <v>51.871884338747847</v>
      </c>
      <c r="AU4" s="205">
        <f>'Bilan 2020'!$G$42+'Bilan 2020'!$G$43-'Bilan 2020'!$E$54+'Bilan 2020'!$G$33*(1-SUM('Bilan 2020'!$K$26:$P$34)/'Bilan 2020'!$H$30)+'Bilan 2020'!$E$54-AU6</f>
        <v>514.70897192215841</v>
      </c>
      <c r="AV4" s="205">
        <f>'Bilan 2023 réel'!$G$42+'Bilan 2023 réel'!$G$43-'Bilan 2023 réel'!$E$54+'Bilan 2023 réel'!$G$33*(1-SUM('Bilan 2023 réel'!$K$26:$P$34)/'Bilan 2023 réel'!$H$30)+'Bilan 2023 réel'!$E$54-AV6</f>
        <v>567.34068674245509</v>
      </c>
      <c r="AW4" s="205">
        <f>'Bilan 2025'!$G$42+'Bilan 2025'!$G$43-'Bilan 2025'!$E$54+'Bilan 2025'!$G$33*(1-SUM('Bilan 2025'!$K$26:$P$34)/'Bilan 2025'!$H$30)+'Bilan 2025'!$E$54-AW6</f>
        <v>535.88424582520452</v>
      </c>
      <c r="AX4" s="205">
        <f>'Bilan 2028'!$G$42+'Bilan 2028'!$G$43-'Bilan 2028'!$E$54+'Bilan 2028'!$G$33*(1-SUM('Bilan 2028'!$K$26:$P$34)/'Bilan 2028'!$H$30)+'Bilan 2028'!$E$54-AX6</f>
        <v>493.16193080612595</v>
      </c>
      <c r="AY4" s="205">
        <f>'Bilan 2030'!$G$42+'Bilan 2030'!$G$43-'Bilan 2030'!$E$54+'Bilan 2030'!$G$33*(1-SUM('Bilan 2030'!$K$26:$P$34)/'Bilan 2030'!$H$30)+'Bilan 2030'!$E$54-AY6</f>
        <v>464.67590230523911</v>
      </c>
      <c r="AZ4" s="205">
        <f>'Bilan 2033'!$G$42+'Bilan 2033'!$G$43-'Bilan 2033'!$E$54+'Bilan 2033'!$G$33*(1-SUM('Bilan 2033'!$K$26:$P$34)/'Bilan 2033'!$H$30)+'Bilan 2033'!$E$54-AZ6</f>
        <v>429.57783094278994</v>
      </c>
      <c r="BA4" s="205">
        <f>'Bilan 2035'!$G$42+'Bilan 2035'!$G$43-'Bilan 2035'!$E$54+'Bilan 2035'!$G$33*(1-SUM('Bilan 2035'!$K$26:$P$34)/'Bilan 2035'!$H$30)+'Bilan 2035'!$E$54-BA6</f>
        <v>406.17171679664409</v>
      </c>
      <c r="BB4" s="205">
        <f>'Bilan 2038'!$G$42+'Bilan 2038'!$G$43-'Bilan 2038'!$E$54+'Bilan 2038'!$G$33*(1-SUM('Bilan 2038'!$K$26:$P$34)/'Bilan 2038'!$H$30)+'Bilan 2038'!$E$54-BB6</f>
        <v>377.83248695988584</v>
      </c>
      <c r="BC4" s="205">
        <f>'Bilan 2040'!$G$42+'Bilan 2040'!$G$43-'Bilan 2040'!$E$54+'Bilan 2040'!$G$33*(1-SUM('Bilan 2040'!$K$26:$P$34)/'Bilan 2040'!$H$30)+'Bilan 2040'!$E$54-BC6</f>
        <v>358.92693365834373</v>
      </c>
      <c r="BD4" s="205">
        <f>'Bilan 2045'!$G$42+'Bilan 2045'!$G$43-'Bilan 2045'!$E$54+'Bilan 2045'!$G$33*(1-SUM('Bilan 2045'!$K$26:$P$34)/'Bilan 2045'!$H$30)+'Bilan 2045'!$E$54-BD6</f>
        <v>330.63328094812829</v>
      </c>
      <c r="BE4" s="205">
        <f>'Bilan 2050'!$G$42+'Bilan 2050'!$G$43-'Bilan 2050'!$E$54+'Bilan 2050'!$G$33*(1-SUM('Bilan 2050'!$K$26:$P$34)/'Bilan 2050'!$H$30)+'Bilan 2050'!$E$54-BE6</f>
        <v>316.93030586769407</v>
      </c>
      <c r="BF4" s="216"/>
      <c r="BG4" s="205" t="s">
        <v>450</v>
      </c>
      <c r="BH4" s="699">
        <f t="shared" ref="BH4:BH6" si="32">IF(AT4&gt;0,BV4/AT4,0)</f>
        <v>4.3279707853662905E-2</v>
      </c>
      <c r="BI4" s="699">
        <f t="shared" ref="BI4:BI7" si="33">IF(AU4&gt;0,BW4/AU4,0)</f>
        <v>2.7361944725478499E-2</v>
      </c>
      <c r="BJ4" s="699">
        <f t="shared" ref="BJ4:BJ7" si="34">IF(AV4&gt;0,BX4/AV4,0)</f>
        <v>3.9926618924267188E-2</v>
      </c>
      <c r="BK4" s="699">
        <f t="shared" ref="BK4:BK7" si="35">IF(AW4&gt;0,BY4/AW4,0)</f>
        <v>5.9527952931006545E-2</v>
      </c>
      <c r="BL4" s="699">
        <f t="shared" ref="BL4:BL7" si="36">IF(AX4&gt;0,BZ4/AX4,0)</f>
        <v>6.3327687169304911E-2</v>
      </c>
      <c r="BM4" s="699">
        <f t="shared" ref="BM4:BM7" si="37">IF(AY4&gt;0,CA4/AY4,0)</f>
        <v>6.6249643107836514E-2</v>
      </c>
      <c r="BN4" s="699">
        <f t="shared" ref="BN4:BN7" si="38">IF(AZ4&gt;0,CB4/AZ4,0)</f>
        <v>7.0104467305471097E-2</v>
      </c>
      <c r="BO4" s="699">
        <f t="shared" ref="BO4:BO7" si="39">IF(BA4&gt;0,CC4/BA4,0)</f>
        <v>7.3045788242246265E-2</v>
      </c>
      <c r="BP4" s="699">
        <f t="shared" ref="BP4:BP7" si="40">IF(BB4&gt;0,CD4/BB4,0)</f>
        <v>7.6753181719247429E-2</v>
      </c>
      <c r="BQ4" s="699">
        <f t="shared" ref="BQ4:BQ7" si="41">IF(BC4&gt;0,CE4/BC4,0)</f>
        <v>7.9552831131029816E-2</v>
      </c>
      <c r="BR4" s="699">
        <f t="shared" ref="BR4:BR7" si="42">IF(BD4&gt;0,CF4/BD4,0)</f>
        <v>8.2986728346287009E-2</v>
      </c>
      <c r="BS4" s="699">
        <f t="shared" ref="BS4:BS7" si="43">IF(BE4&gt;0,CG4/BE4,0)</f>
        <v>8.3055152213357228E-2</v>
      </c>
      <c r="BU4" s="205" t="s">
        <v>450</v>
      </c>
      <c r="BV4" s="208">
        <f>'Bilan 2015'!$E$42</f>
        <v>2.2449999999999992</v>
      </c>
      <c r="BW4" s="208">
        <f>'Bilan 2020'!$E$42</f>
        <v>14.083438439441963</v>
      </c>
      <c r="BX4" s="208">
        <f>'Bilan 2023 réel'!$E$42</f>
        <v>22.65199539979805</v>
      </c>
      <c r="BY4" s="208">
        <f>'Bilan 2025'!$E$42</f>
        <v>31.900092161950717</v>
      </c>
      <c r="BZ4" s="208">
        <f>'Bilan 2028'!$E$42</f>
        <v>31.230804477900737</v>
      </c>
      <c r="CA4" s="208">
        <f>'Bilan 2030'!$E$42</f>
        <v>30.784612688534001</v>
      </c>
      <c r="CB4" s="208">
        <f>'Bilan 2033'!$E$42</f>
        <v>30.11532500448401</v>
      </c>
      <c r="CC4" s="208">
        <f>'Bilan 2035'!$E$42</f>
        <v>29.669133215117284</v>
      </c>
      <c r="CD4" s="208">
        <f>'Bilan 2038'!$E$42</f>
        <v>28.999845531067304</v>
      </c>
      <c r="CE4" s="208">
        <f>'Bilan 2040'!$E$42</f>
        <v>28.553653741700561</v>
      </c>
      <c r="CF4" s="208">
        <f>'Bilan 2045'!$E$42</f>
        <v>27.438174268283912</v>
      </c>
      <c r="CG4" s="208">
        <f>'Bilan 2050'!$E$42</f>
        <v>26.322694794867193</v>
      </c>
      <c r="CH4" s="206"/>
      <c r="CJ4" s="205" t="s">
        <v>450</v>
      </c>
      <c r="CK4" s="202">
        <f t="shared" ref="CK4:CV7" si="44">IF(AT4&gt;0,DA4/AT4,0)</f>
        <v>0</v>
      </c>
      <c r="CL4" s="202">
        <f t="shared" si="44"/>
        <v>0</v>
      </c>
      <c r="CM4" s="202">
        <f t="shared" si="44"/>
        <v>0</v>
      </c>
      <c r="CN4" s="202">
        <f t="shared" si="44"/>
        <v>0</v>
      </c>
      <c r="CO4" s="202">
        <f t="shared" si="44"/>
        <v>0</v>
      </c>
      <c r="CP4" s="202">
        <f t="shared" si="44"/>
        <v>0</v>
      </c>
      <c r="CQ4" s="202">
        <f t="shared" si="44"/>
        <v>0</v>
      </c>
      <c r="CR4" s="202">
        <f t="shared" si="44"/>
        <v>0</v>
      </c>
      <c r="CS4" s="202">
        <f t="shared" si="44"/>
        <v>0</v>
      </c>
      <c r="CT4" s="202">
        <f t="shared" si="44"/>
        <v>0</v>
      </c>
      <c r="CU4" s="202">
        <f t="shared" si="44"/>
        <v>0</v>
      </c>
      <c r="CV4" s="202">
        <f t="shared" si="44"/>
        <v>0</v>
      </c>
      <c r="CW4" s="206"/>
      <c r="CX4" s="193">
        <f>2201</f>
        <v>2201</v>
      </c>
      <c r="CY4" s="205" t="s">
        <v>450</v>
      </c>
      <c r="CZ4" s="213" t="s">
        <v>267</v>
      </c>
      <c r="DA4" s="202">
        <v>0</v>
      </c>
      <c r="DB4" s="202">
        <f>DA4</f>
        <v>0</v>
      </c>
      <c r="DC4" s="202">
        <f t="shared" ref="DC4:DL4" si="45">DB4</f>
        <v>0</v>
      </c>
      <c r="DD4" s="202">
        <f t="shared" si="45"/>
        <v>0</v>
      </c>
      <c r="DE4" s="202">
        <f t="shared" si="45"/>
        <v>0</v>
      </c>
      <c r="DF4" s="202">
        <f t="shared" si="45"/>
        <v>0</v>
      </c>
      <c r="DG4" s="202">
        <f t="shared" si="45"/>
        <v>0</v>
      </c>
      <c r="DH4" s="202">
        <f t="shared" si="45"/>
        <v>0</v>
      </c>
      <c r="DI4" s="202">
        <f t="shared" si="45"/>
        <v>0</v>
      </c>
      <c r="DJ4" s="202">
        <f t="shared" si="45"/>
        <v>0</v>
      </c>
      <c r="DK4" s="202">
        <f t="shared" si="45"/>
        <v>0</v>
      </c>
      <c r="DL4" s="202">
        <f t="shared" si="45"/>
        <v>0</v>
      </c>
    </row>
    <row r="5" spans="1:116" ht="15" x14ac:dyDescent="0.25">
      <c r="A5" s="203" t="s">
        <v>268</v>
      </c>
      <c r="B5" s="205">
        <f>'Bilan 2015'!$C$41</f>
        <v>3.1204748448391761</v>
      </c>
      <c r="C5" s="205">
        <f>'Bilan 2020'!$C$41</f>
        <v>33.731429517545166</v>
      </c>
      <c r="D5" s="205">
        <f>'Bilan 2023 réel'!$C$41</f>
        <v>20.647434330821</v>
      </c>
      <c r="E5" s="205">
        <f>'Bilan 2025'!$C$41</f>
        <v>41.317421335324099</v>
      </c>
      <c r="F5" s="205">
        <f>'Bilan 2028'!$C$41</f>
        <v>38.027520916026305</v>
      </c>
      <c r="G5" s="205">
        <f>'Bilan 2030'!$C$41</f>
        <v>35.852433715856947</v>
      </c>
      <c r="H5" s="205">
        <f>'Bilan 2033'!$C$41</f>
        <v>32.744325399970521</v>
      </c>
      <c r="I5" s="205">
        <f>'Bilan 2035'!$C$41</f>
        <v>30.678568481531752</v>
      </c>
      <c r="J5" s="205">
        <f>'Bilan 2038'!$C$41</f>
        <v>28.189429270151923</v>
      </c>
      <c r="K5" s="205">
        <f>'Bilan 2040'!$C$41</f>
        <v>26.520712211985533</v>
      </c>
      <c r="L5" s="205">
        <f>'Bilan 2045'!$C$41</f>
        <v>24.110476598437344</v>
      </c>
      <c r="M5" s="205">
        <f>'Bilan 2050'!$C$41</f>
        <v>23.068884262667186</v>
      </c>
      <c r="N5" s="574"/>
      <c r="O5" s="574"/>
      <c r="P5" s="574"/>
      <c r="Q5" s="570" t="s">
        <v>268</v>
      </c>
      <c r="R5" s="205">
        <f t="shared" si="31"/>
        <v>3.1204748448391761</v>
      </c>
      <c r="S5" s="205">
        <f t="shared" si="31"/>
        <v>33.731429517545166</v>
      </c>
      <c r="T5" s="205">
        <f t="shared" si="31"/>
        <v>20.647434330821</v>
      </c>
      <c r="U5" s="205">
        <f t="shared" si="31"/>
        <v>41.317421335324099</v>
      </c>
      <c r="V5" s="205">
        <f t="shared" si="31"/>
        <v>38.027520916026305</v>
      </c>
      <c r="W5" s="205">
        <f t="shared" si="31"/>
        <v>35.852433715856947</v>
      </c>
      <c r="X5" s="205">
        <f t="shared" si="31"/>
        <v>32.744325399970521</v>
      </c>
      <c r="Y5" s="205">
        <f t="shared" si="31"/>
        <v>30.678568481531752</v>
      </c>
      <c r="Z5" s="205">
        <f t="shared" si="31"/>
        <v>28.189429270151923</v>
      </c>
      <c r="AA5" s="205">
        <f t="shared" si="31"/>
        <v>26.520712211985533</v>
      </c>
      <c r="AB5" s="205">
        <f t="shared" si="31"/>
        <v>24.110476598437344</v>
      </c>
      <c r="AC5" s="205">
        <f t="shared" si="31"/>
        <v>23.068884262667186</v>
      </c>
      <c r="AD5" s="193">
        <f>AD4+1</f>
        <v>2202</v>
      </c>
      <c r="AE5" s="205" t="s">
        <v>268</v>
      </c>
      <c r="AF5" s="205">
        <f>'Bilan 2015'!$G$41-'Bilan 2015'!$E$56-'Bilan 2015'!$L$41-AF7</f>
        <v>2.9416967808253753</v>
      </c>
      <c r="AG5" s="205">
        <f>'Bilan 2020'!$G$41-'Bilan 2020'!$E$56-'Bilan 2020'!$L$41-AG7</f>
        <v>30.751352031352695</v>
      </c>
      <c r="AH5" s="205">
        <f>'Bilan 2023 réel'!$G$41-'Bilan 2023 réel'!$E$56-'Bilan 2023 réel'!$L$41-AH7</f>
        <v>37.852872217891196</v>
      </c>
      <c r="AI5" s="205">
        <f>'Bilan 2025'!$G$41-'Bilan 2025'!$E$56-'Bilan 2025'!$L$41-AI7</f>
        <v>39.661036034396801</v>
      </c>
      <c r="AJ5" s="205">
        <f>'Bilan 2028'!$G$41-'Bilan 2028'!$E$56-'Bilan 2028'!$L$41-AJ7</f>
        <v>35.944972025289132</v>
      </c>
      <c r="AK5" s="205">
        <f>'Bilan 2030'!$G$41-'Bilan 2030'!$E$56-'Bilan 2030'!$L$41-AK7</f>
        <v>33.467596019217339</v>
      </c>
      <c r="AL5" s="205">
        <f>'Bilan 2033'!$G$41-'Bilan 2033'!$E$56-'Bilan 2033'!$L$41-AL7</f>
        <v>30.354490922127429</v>
      </c>
      <c r="AM5" s="205">
        <f>'Bilan 2035'!$G$41-'Bilan 2035'!$E$56-'Bilan 2035'!$L$41-AM7</f>
        <v>28.279087524067478</v>
      </c>
      <c r="AN5" s="205">
        <f>'Bilan 2038'!$G$41-'Bilan 2038'!$E$56-'Bilan 2038'!$L$41-AN7</f>
        <v>25.786282175554238</v>
      </c>
      <c r="AO5" s="205">
        <f>'Bilan 2040'!$G$41-'Bilan 2040'!$E$56-'Bilan 2040'!$L$41-AO7</f>
        <v>24.124411943212081</v>
      </c>
      <c r="AP5" s="205">
        <f>'Bilan 2045'!$G$41-'Bilan 2045'!$E$56-'Bilan 2045'!$L$41-AP7</f>
        <v>21.777536968137049</v>
      </c>
      <c r="AQ5" s="205">
        <f>'Bilan 2050'!$G$41-'Bilan 2050'!$E$56-'Bilan 2050'!$L$41-AQ7</f>
        <v>20.886619833364488</v>
      </c>
      <c r="AR5" s="206"/>
      <c r="AS5" s="205" t="s">
        <v>268</v>
      </c>
      <c r="AT5" s="205">
        <f>'Bilan 2015'!$G$41-'Bilan 2015'!$E$56-'Bilan 2015'!$L$41+'Bilan 2015'!$E$56-AT7</f>
        <v>2.9416967808253753</v>
      </c>
      <c r="AU5" s="205">
        <f>'Bilan 2020'!$G$41-'Bilan 2020'!$E$56-'Bilan 2020'!$L$41+'Bilan 2020'!$E$56-AU7</f>
        <v>30.751352031352695</v>
      </c>
      <c r="AV5" s="205">
        <f>'Bilan 2023 réel'!$G$41-'Bilan 2023 réel'!$E$56-'Bilan 2023 réel'!$L$41+'Bilan 2023 réel'!$E$56-AV7</f>
        <v>37.852872217891196</v>
      </c>
      <c r="AW5" s="205">
        <f>'Bilan 2025'!$G$41-'Bilan 2025'!$E$56-'Bilan 2025'!$L$41+'Bilan 2025'!$E$56-AW7</f>
        <v>39.661036034396801</v>
      </c>
      <c r="AX5" s="205">
        <f>'Bilan 2028'!$G$41-'Bilan 2028'!$E$56-'Bilan 2028'!$L$41+'Bilan 2028'!$E$56-AX7</f>
        <v>35.944972025289132</v>
      </c>
      <c r="AY5" s="205">
        <f>'Bilan 2030'!$G$41-'Bilan 2030'!$E$56-'Bilan 2030'!$L$41+'Bilan 2030'!$E$56-AY7</f>
        <v>33.467596019217339</v>
      </c>
      <c r="AZ5" s="205">
        <f>'Bilan 2033'!$G$41-'Bilan 2033'!$E$56-'Bilan 2033'!$L$41+'Bilan 2033'!$E$56-AZ7</f>
        <v>30.354490922127429</v>
      </c>
      <c r="BA5" s="205">
        <f>'Bilan 2035'!$G$41-'Bilan 2035'!$E$56-'Bilan 2035'!$L$41+'Bilan 2035'!$E$56-BA7</f>
        <v>28.279087524067478</v>
      </c>
      <c r="BB5" s="205">
        <f>'Bilan 2038'!$G$41-'Bilan 2038'!$E$56-'Bilan 2038'!$L$41+'Bilan 2038'!$E$56-BB7</f>
        <v>25.786282175554238</v>
      </c>
      <c r="BC5" s="205">
        <f>'Bilan 2040'!$G$41-'Bilan 2040'!$E$56-'Bilan 2040'!$L$41+'Bilan 2040'!$E$56-BC7</f>
        <v>24.124411943212081</v>
      </c>
      <c r="BD5" s="205">
        <f>'Bilan 2045'!$G$41-'Bilan 2045'!$E$56-'Bilan 2045'!$L$41+'Bilan 2045'!$E$56-BD7</f>
        <v>21.777536968137049</v>
      </c>
      <c r="BE5" s="205">
        <f>'Bilan 2050'!$G$41-'Bilan 2050'!$E$56-'Bilan 2050'!$L$41+'Bilan 2050'!$E$56-BE7</f>
        <v>20.886619833364488</v>
      </c>
      <c r="BF5" s="216"/>
      <c r="BG5" s="205" t="s">
        <v>268</v>
      </c>
      <c r="BH5" s="699">
        <f t="shared" si="32"/>
        <v>0</v>
      </c>
      <c r="BI5" s="699">
        <f t="shared" si="33"/>
        <v>0</v>
      </c>
      <c r="BJ5" s="699">
        <f t="shared" si="34"/>
        <v>0</v>
      </c>
      <c r="BK5" s="699">
        <f t="shared" si="35"/>
        <v>0</v>
      </c>
      <c r="BL5" s="699">
        <f t="shared" si="36"/>
        <v>0</v>
      </c>
      <c r="BM5" s="699">
        <f t="shared" si="37"/>
        <v>0</v>
      </c>
      <c r="BN5" s="699">
        <f t="shared" si="38"/>
        <v>0</v>
      </c>
      <c r="BO5" s="699">
        <f t="shared" si="39"/>
        <v>0</v>
      </c>
      <c r="BP5" s="699">
        <f t="shared" si="40"/>
        <v>0</v>
      </c>
      <c r="BQ5" s="699">
        <f t="shared" si="41"/>
        <v>0</v>
      </c>
      <c r="BR5" s="699">
        <f t="shared" si="42"/>
        <v>0</v>
      </c>
      <c r="BS5" s="699">
        <f t="shared" si="43"/>
        <v>0</v>
      </c>
      <c r="BU5" s="205" t="s">
        <v>268</v>
      </c>
      <c r="BV5" s="214">
        <f>'Bilan 2015'!$E$41*'Bilan 2015'!$X$41/SUM('Bilan 2015'!$T$41:$X$41)</f>
        <v>0</v>
      </c>
      <c r="BW5" s="214">
        <f>'Bilan 2020'!$E$41*'Bilan 2020'!$X$41/SUM('Bilan 2020'!$T$41:$X$41)</f>
        <v>0</v>
      </c>
      <c r="BX5" s="214">
        <f>'Bilan 2023 réel'!$E$41*'Bilan 2023 réel'!$X$41/SUM('Bilan 2023 réel'!$T$41:$X$41)</f>
        <v>0</v>
      </c>
      <c r="BY5" s="214">
        <f>'Bilan 2025'!$E$41*'Bilan 2025'!$X$41/SUM('Bilan 2025'!$T$41:$X$41)</f>
        <v>0</v>
      </c>
      <c r="BZ5" s="214">
        <f>'Bilan 2028'!$E$41*'Bilan 2028'!$X$41/SUM('Bilan 2028'!$T$41:$X$41)</f>
        <v>0</v>
      </c>
      <c r="CA5" s="214">
        <f>'Bilan 2030'!$E$41*'Bilan 2030'!$X$41/SUM('Bilan 2030'!$T$41:$X$41)</f>
        <v>0</v>
      </c>
      <c r="CB5" s="214">
        <f>'Bilan 2033'!$E$41*'Bilan 2033'!$X$41/SUM('Bilan 2033'!$T$41:$X$41)</f>
        <v>0</v>
      </c>
      <c r="CC5" s="214">
        <f>'Bilan 2035'!$E$41*'Bilan 2035'!$X$41/SUM('Bilan 2035'!$T$41:$X$41)</f>
        <v>0</v>
      </c>
      <c r="CD5" s="214">
        <f>'Bilan 2038'!$E$41*'Bilan 2038'!$X$41/SUM('Bilan 2038'!$T$41:$X$41)</f>
        <v>0</v>
      </c>
      <c r="CE5" s="214">
        <f>'Bilan 2040'!$E$41*'Bilan 2040'!$X$41/SUM('Bilan 2040'!$T$41:$X$41)</f>
        <v>0</v>
      </c>
      <c r="CF5" s="214">
        <f>'Bilan 2045'!$E$41*'Bilan 2045'!$X$41/SUM('Bilan 2045'!$T$41:$X$41)</f>
        <v>0</v>
      </c>
      <c r="CG5" s="214">
        <f>'Bilan 2050'!$E$41*'Bilan 2050'!$X$41/SUM('Bilan 2050'!$T$41:$X$41)</f>
        <v>0</v>
      </c>
      <c r="CH5" s="206"/>
      <c r="CJ5" s="205" t="s">
        <v>268</v>
      </c>
      <c r="CK5" s="202">
        <f t="shared" si="44"/>
        <v>0</v>
      </c>
      <c r="CL5" s="202">
        <f t="shared" si="44"/>
        <v>0</v>
      </c>
      <c r="CM5" s="202">
        <f t="shared" si="44"/>
        <v>0</v>
      </c>
      <c r="CN5" s="202">
        <f t="shared" si="44"/>
        <v>0</v>
      </c>
      <c r="CO5" s="202">
        <f t="shared" si="44"/>
        <v>0</v>
      </c>
      <c r="CP5" s="202">
        <f t="shared" si="44"/>
        <v>0</v>
      </c>
      <c r="CQ5" s="202">
        <f t="shared" si="44"/>
        <v>0</v>
      </c>
      <c r="CR5" s="202">
        <f t="shared" si="44"/>
        <v>0</v>
      </c>
      <c r="CS5" s="202">
        <f t="shared" si="44"/>
        <v>0</v>
      </c>
      <c r="CT5" s="202">
        <f t="shared" si="44"/>
        <v>0</v>
      </c>
      <c r="CU5" s="202">
        <f t="shared" si="44"/>
        <v>0</v>
      </c>
      <c r="CV5" s="202">
        <f t="shared" si="44"/>
        <v>0</v>
      </c>
      <c r="CW5" s="206"/>
      <c r="CX5" s="193">
        <f>CX4+1</f>
        <v>2202</v>
      </c>
      <c r="CY5" s="205" t="s">
        <v>268</v>
      </c>
      <c r="CZ5" s="207" t="s">
        <v>269</v>
      </c>
      <c r="DA5" s="202">
        <v>0</v>
      </c>
      <c r="DB5" s="202">
        <f>DA5</f>
        <v>0</v>
      </c>
      <c r="DC5" s="202">
        <f t="shared" ref="DC5:DL5" si="46">DB5</f>
        <v>0</v>
      </c>
      <c r="DD5" s="202">
        <f t="shared" si="46"/>
        <v>0</v>
      </c>
      <c r="DE5" s="202">
        <f t="shared" si="46"/>
        <v>0</v>
      </c>
      <c r="DF5" s="202">
        <f t="shared" si="46"/>
        <v>0</v>
      </c>
      <c r="DG5" s="202">
        <f t="shared" si="46"/>
        <v>0</v>
      </c>
      <c r="DH5" s="202">
        <f t="shared" si="46"/>
        <v>0</v>
      </c>
      <c r="DI5" s="202">
        <f t="shared" si="46"/>
        <v>0</v>
      </c>
      <c r="DJ5" s="202">
        <f t="shared" si="46"/>
        <v>0</v>
      </c>
      <c r="DK5" s="202">
        <f t="shared" si="46"/>
        <v>0</v>
      </c>
      <c r="DL5" s="202">
        <f t="shared" si="46"/>
        <v>0</v>
      </c>
    </row>
    <row r="6" spans="1:116" ht="15" x14ac:dyDescent="0.25">
      <c r="A6" s="209" t="s">
        <v>270</v>
      </c>
      <c r="B6" s="210"/>
      <c r="C6" s="210"/>
      <c r="D6" s="576"/>
      <c r="E6" s="210"/>
      <c r="F6" s="210"/>
      <c r="G6" s="210"/>
      <c r="H6" s="210"/>
      <c r="I6" s="210"/>
      <c r="J6" s="210"/>
      <c r="K6" s="210"/>
      <c r="L6" s="210"/>
      <c r="M6" s="576"/>
      <c r="N6" s="573"/>
      <c r="O6" s="573"/>
      <c r="P6" s="573"/>
      <c r="Q6" s="570"/>
      <c r="R6" s="205"/>
      <c r="S6" s="205"/>
      <c r="T6" s="205"/>
      <c r="U6" s="205"/>
      <c r="V6" s="205"/>
      <c r="W6" s="205"/>
      <c r="X6" s="205"/>
      <c r="Y6" s="205"/>
      <c r="Z6" s="205"/>
      <c r="AA6" s="205"/>
      <c r="AB6" s="205"/>
      <c r="AC6" s="205"/>
      <c r="AE6" s="205" t="s">
        <v>521</v>
      </c>
      <c r="AF6" s="205">
        <f>SUM('Bilan 2015'!$T$43:$W$43)</f>
        <v>15.418370516172601</v>
      </c>
      <c r="AG6" s="205">
        <f>SUM('Bilan 2020'!$T$43:$W$43)</f>
        <v>148.71414756648849</v>
      </c>
      <c r="AH6" s="205">
        <f>SUM('Bilan 2023 réel'!$T$43:$W$43)</f>
        <v>124.015306581998</v>
      </c>
      <c r="AI6" s="205">
        <f>SUM('Bilan 2025'!$T$43:$W$43)</f>
        <v>123.96298123801631</v>
      </c>
      <c r="AJ6" s="205">
        <f>SUM('Bilan 2028'!$T$43:$W$43)</f>
        <v>111.33348480701592</v>
      </c>
      <c r="AK6" s="205">
        <f>SUM('Bilan 2030'!$T$43:$W$43)</f>
        <v>102.81894603292447</v>
      </c>
      <c r="AL6" s="205">
        <f>SUM('Bilan 2033'!$T$43:$W$43)</f>
        <v>94.041160430885782</v>
      </c>
      <c r="AM6" s="205">
        <f>SUM('Bilan 2035'!$T$43:$W$43)</f>
        <v>88.143061240804457</v>
      </c>
      <c r="AN6" s="205">
        <f>SUM('Bilan 2038'!$T$43:$W$43)</f>
        <v>80.099812765275587</v>
      </c>
      <c r="AO6" s="205">
        <f>SUM('Bilan 2040'!$T$43:$W$43)</f>
        <v>74.768856912035488</v>
      </c>
      <c r="AP6" s="205">
        <f>SUM('Bilan 2045'!$T$43:$W$43)</f>
        <v>62.280747271098143</v>
      </c>
      <c r="AQ6" s="205">
        <f>SUM('Bilan 2050'!$T$43:$W$43)</f>
        <v>54.144514014701699</v>
      </c>
      <c r="AR6" s="206"/>
      <c r="AS6" s="205" t="s">
        <v>521</v>
      </c>
      <c r="AT6" s="205">
        <f>SUM('Bilan 2015'!$T$43:$W$43)</f>
        <v>15.418370516172601</v>
      </c>
      <c r="AU6" s="205">
        <f>SUM('Bilan 2020'!$T$43:$W$43)</f>
        <v>148.71414756648849</v>
      </c>
      <c r="AV6" s="205">
        <f>SUM('Bilan 2023 réel'!$T$43:$W$43)</f>
        <v>124.015306581998</v>
      </c>
      <c r="AW6" s="205">
        <f>SUM('Bilan 2025'!$T$43:$W$43)</f>
        <v>123.96298123801631</v>
      </c>
      <c r="AX6" s="205">
        <f>SUM('Bilan 2028'!$T$43:$W$43)</f>
        <v>111.33348480701592</v>
      </c>
      <c r="AY6" s="205">
        <f>SUM('Bilan 2030'!$T$43:$W$43)</f>
        <v>102.81894603292447</v>
      </c>
      <c r="AZ6" s="205">
        <f>SUM('Bilan 2033'!$T$43:$W$43)</f>
        <v>94.041160430885782</v>
      </c>
      <c r="BA6" s="205">
        <f>SUM('Bilan 2035'!$T$43:$W$43)</f>
        <v>88.143061240804457</v>
      </c>
      <c r="BB6" s="205">
        <f>SUM('Bilan 2038'!$T$43:$W$43)</f>
        <v>80.099812765275587</v>
      </c>
      <c r="BC6" s="205">
        <f>SUM('Bilan 2040'!$T$43:$W$43)</f>
        <v>74.768856912035488</v>
      </c>
      <c r="BD6" s="205">
        <f>SUM('Bilan 2045'!$T$43:$W$43)</f>
        <v>62.280747271098143</v>
      </c>
      <c r="BE6" s="205">
        <f>SUM('Bilan 2050'!$T$43:$W$43)</f>
        <v>54.144514014701699</v>
      </c>
      <c r="BF6" s="216"/>
      <c r="BG6" s="205" t="s">
        <v>451</v>
      </c>
      <c r="BH6" s="699">
        <f t="shared" si="32"/>
        <v>1.02749383854882E-3</v>
      </c>
      <c r="BI6" s="699">
        <f t="shared" si="33"/>
        <v>1.6652657998659563E-4</v>
      </c>
      <c r="BJ6" s="699">
        <f t="shared" si="34"/>
        <v>1.9222205340368606E-3</v>
      </c>
      <c r="BK6" s="699">
        <f t="shared" si="35"/>
        <v>0</v>
      </c>
      <c r="BL6" s="699">
        <f t="shared" si="36"/>
        <v>0</v>
      </c>
      <c r="BM6" s="699">
        <f t="shared" si="37"/>
        <v>0</v>
      </c>
      <c r="BN6" s="699">
        <f t="shared" si="38"/>
        <v>0</v>
      </c>
      <c r="BO6" s="699">
        <f t="shared" si="39"/>
        <v>0</v>
      </c>
      <c r="BP6" s="699">
        <f t="shared" si="40"/>
        <v>0</v>
      </c>
      <c r="BQ6" s="699">
        <f t="shared" si="41"/>
        <v>0</v>
      </c>
      <c r="BR6" s="699">
        <f t="shared" si="42"/>
        <v>0</v>
      </c>
      <c r="BS6" s="699">
        <f t="shared" si="43"/>
        <v>0</v>
      </c>
      <c r="BU6" s="205" t="s">
        <v>451</v>
      </c>
      <c r="BV6" s="567">
        <f>'Bilan 2015'!$E$43+'Bilan 2015'!$E$33</f>
        <v>1.5842280705830138E-2</v>
      </c>
      <c r="BW6" s="567">
        <f>'Bilan 2020'!$E$43+'Bilan 2020'!$E$33</f>
        <v>2.4764858389869231E-2</v>
      </c>
      <c r="BX6" s="567">
        <f>'Bilan 2023 réel'!$E$43+'Bilan 2023 réel'!$E$33</f>
        <v>0.23838476884679319</v>
      </c>
      <c r="BY6" s="567">
        <f>'Bilan 2025'!$E$43+'Bilan 2025'!$E$33</f>
        <v>0</v>
      </c>
      <c r="BZ6" s="567">
        <f>'Bilan 2028'!$E$43+'Bilan 2028'!$E$33</f>
        <v>0</v>
      </c>
      <c r="CA6" s="567">
        <f>'Bilan 2030'!$E$43+'Bilan 2030'!$E$33</f>
        <v>0</v>
      </c>
      <c r="CB6" s="567">
        <f>'Bilan 2033'!$E$43+'Bilan 2033'!$E$33</f>
        <v>0</v>
      </c>
      <c r="CC6" s="567">
        <f>'Bilan 2035'!$E$43+'Bilan 2035'!$E$33</f>
        <v>0</v>
      </c>
      <c r="CD6" s="567">
        <f>'Bilan 2038'!$E$43+'Bilan 2038'!$E$33</f>
        <v>0</v>
      </c>
      <c r="CE6" s="567">
        <f>'Bilan 2040'!$E$43+'Bilan 2040'!$E$33</f>
        <v>0</v>
      </c>
      <c r="CF6" s="567">
        <f>'Bilan 2045'!$E$43+'Bilan 2045'!$E$33</f>
        <v>0</v>
      </c>
      <c r="CG6" s="567">
        <f>'Bilan 2050'!$E$43+'Bilan 2050'!$E$33</f>
        <v>0</v>
      </c>
      <c r="CH6" s="206"/>
      <c r="CJ6" s="205" t="s">
        <v>451</v>
      </c>
      <c r="CK6" s="202">
        <f t="shared" si="44"/>
        <v>7.7691859523773457E-4</v>
      </c>
      <c r="CL6" s="202">
        <f t="shared" si="44"/>
        <v>1.0543234081794697E-4</v>
      </c>
      <c r="CM6" s="202">
        <f t="shared" si="44"/>
        <v>1.4762614310235289E-3</v>
      </c>
      <c r="CN6" s="202">
        <f t="shared" si="44"/>
        <v>0</v>
      </c>
      <c r="CO6" s="202">
        <f t="shared" si="44"/>
        <v>0</v>
      </c>
      <c r="CP6" s="202">
        <f t="shared" si="44"/>
        <v>0</v>
      </c>
      <c r="CQ6" s="202">
        <f t="shared" si="44"/>
        <v>0</v>
      </c>
      <c r="CR6" s="202">
        <f t="shared" si="44"/>
        <v>0</v>
      </c>
      <c r="CS6" s="202">
        <f t="shared" si="44"/>
        <v>0</v>
      </c>
      <c r="CT6" s="202">
        <f t="shared" si="44"/>
        <v>0</v>
      </c>
      <c r="CU6" s="202">
        <f t="shared" si="44"/>
        <v>0</v>
      </c>
      <c r="CV6" s="202">
        <f t="shared" si="44"/>
        <v>0</v>
      </c>
      <c r="CW6" s="206"/>
      <c r="CY6" s="205" t="s">
        <v>451</v>
      </c>
      <c r="CZ6" s="207"/>
      <c r="DA6" s="202">
        <f>'Bilan 2015'!$K$30*'Bilan 2015'!$G$33/'Bilan 2015'!$H$30</f>
        <v>1.1978818762279722E-2</v>
      </c>
      <c r="DB6" s="202">
        <f>'Bilan 2020'!$K$30*'Bilan 2020'!$G$33/'Bilan 2020'!$H$30</f>
        <v>1.5679280690680475E-2</v>
      </c>
      <c r="DC6" s="202">
        <f>'Bilan 2023 réel'!$K$30*'Bilan 2023 réel'!$G$33/'Bilan 2023 réel'!$H$30</f>
        <v>0.18307901396356205</v>
      </c>
      <c r="DD6" s="202">
        <f>'Bilan 2025'!$K$30*'Bilan 2025'!$G$33/'Bilan 2025'!$H$30</f>
        <v>0</v>
      </c>
      <c r="DE6" s="202">
        <f>'Bilan 2028'!$K$30*'Bilan 2028'!$G$33/'Bilan 2028'!$H$30</f>
        <v>0</v>
      </c>
      <c r="DF6" s="202">
        <f>'Bilan 2030'!$K$30*'Bilan 2030'!$G$33/'Bilan 2030'!$H$30</f>
        <v>0</v>
      </c>
      <c r="DG6" s="202">
        <f>'Bilan 2033'!$K$30*'Bilan 2033'!$G$33/'Bilan 2033'!$H$30</f>
        <v>0</v>
      </c>
      <c r="DH6" s="202">
        <f>'Bilan 2035'!$K$30*'Bilan 2035'!$G$33/'Bilan 2035'!$H$30</f>
        <v>0</v>
      </c>
      <c r="DI6" s="202">
        <f>'Bilan 2038'!$K$30*'Bilan 2038'!$G$33/'Bilan 2038'!$H$30</f>
        <v>0</v>
      </c>
      <c r="DJ6" s="202">
        <f>'Bilan 2040'!$K$30*'Bilan 2040'!$G$33/'Bilan 2040'!$H$30</f>
        <v>0</v>
      </c>
      <c r="DK6" s="202">
        <f>'Bilan 2045'!$K$30*'Bilan 2045'!$G$33/'Bilan 2045'!$H$30</f>
        <v>0</v>
      </c>
      <c r="DL6" s="202">
        <f>'Bilan 2050'!$K$30*'Bilan 2050'!$G$33/'Bilan 2050'!$H$30</f>
        <v>0</v>
      </c>
    </row>
    <row r="7" spans="1:116" ht="15" x14ac:dyDescent="0.25">
      <c r="A7" s="211" t="s">
        <v>272</v>
      </c>
      <c r="B7" s="212"/>
      <c r="C7" s="212"/>
      <c r="D7" s="577"/>
      <c r="E7" s="212"/>
      <c r="F7" s="212"/>
      <c r="G7" s="212"/>
      <c r="H7" s="212"/>
      <c r="I7" s="212"/>
      <c r="J7" s="212"/>
      <c r="K7" s="212"/>
      <c r="L7" s="212"/>
      <c r="M7" s="577"/>
      <c r="N7" s="573"/>
      <c r="O7" s="573"/>
      <c r="P7" s="573"/>
      <c r="Q7" s="569" t="s">
        <v>104</v>
      </c>
      <c r="R7" s="201">
        <f>SUM(R8:R15)</f>
        <v>132.33103915797597</v>
      </c>
      <c r="S7" s="201">
        <f>SUM(S8:S15)</f>
        <v>1284.6691143400469</v>
      </c>
      <c r="T7" s="201">
        <f>SUM(T8:T15)</f>
        <v>1256.7447534552232</v>
      </c>
      <c r="U7" s="201">
        <f t="shared" ref="U7:AC7" si="47">SUM(U8:U15)</f>
        <v>1420.9155514441097</v>
      </c>
      <c r="V7" s="201">
        <f t="shared" ref="V7:AB7" si="48">SUM(V8:V15)</f>
        <v>1438.1293377529812</v>
      </c>
      <c r="W7" s="201">
        <f t="shared" si="48"/>
        <v>1446.9191976865463</v>
      </c>
      <c r="X7" s="201">
        <f t="shared" si="48"/>
        <v>1401.3127639346931</v>
      </c>
      <c r="Y7" s="201">
        <f t="shared" si="48"/>
        <v>1370.9711613471736</v>
      </c>
      <c r="Z7" s="201">
        <f t="shared" si="48"/>
        <v>1327.3888026959191</v>
      </c>
      <c r="AA7" s="201">
        <f t="shared" si="48"/>
        <v>1298.3831979110835</v>
      </c>
      <c r="AB7" s="201">
        <f t="shared" si="48"/>
        <v>1223.074377956669</v>
      </c>
      <c r="AC7" s="201">
        <f t="shared" si="47"/>
        <v>1168.9598674825636</v>
      </c>
      <c r="AE7" s="205" t="s">
        <v>452</v>
      </c>
      <c r="AF7" s="205">
        <f>SUM('Bilan 2015'!$T$41:$W$41)</f>
        <v>0.17877806401380061</v>
      </c>
      <c r="AG7" s="205">
        <f>SUM('Bilan 2020'!$T$41:$W$41)</f>
        <v>2.9800774861924699</v>
      </c>
      <c r="AH7" s="205">
        <f>SUM('Bilan 2023 réel'!$T$41:$W$41)</f>
        <v>3.0003985861694464</v>
      </c>
      <c r="AI7" s="205">
        <f>SUM('Bilan 2025'!$T$41:$W$41)</f>
        <v>3.0936816970358563</v>
      </c>
      <c r="AJ7" s="205">
        <f>SUM('Bilan 2028'!$T$41:$W$41)</f>
        <v>3.2165908227245823</v>
      </c>
      <c r="AK7" s="205">
        <f>SUM('Bilan 2030'!$T$41:$W$41)</f>
        <v>3.3167099858795943</v>
      </c>
      <c r="AL7" s="205">
        <f>SUM('Bilan 2033'!$T$41:$W$41)</f>
        <v>3.4900105718054752</v>
      </c>
      <c r="AM7" s="205">
        <f>SUM('Bilan 2035'!$T$41:$W$41)</f>
        <v>3.6118595879082487</v>
      </c>
      <c r="AN7" s="205">
        <f>SUM('Bilan 2038'!$T$41:$W$41)</f>
        <v>3.8002579814673605</v>
      </c>
      <c r="AO7" s="205">
        <f>SUM('Bilan 2040'!$T$41:$W$41)</f>
        <v>3.916565993260261</v>
      </c>
      <c r="AP7" s="205">
        <f>SUM('Bilan 2045'!$T$41:$W$41)</f>
        <v>4.1544557033463274</v>
      </c>
      <c r="AQ7" s="205">
        <f>SUM('Bilan 2050'!$T$41:$W$41)</f>
        <v>4.2699664941635191</v>
      </c>
      <c r="AR7" s="206"/>
      <c r="AS7" s="205" t="s">
        <v>452</v>
      </c>
      <c r="AT7" s="205">
        <f>SUM('Bilan 2015'!$T$41:$W$41)</f>
        <v>0.17877806401380061</v>
      </c>
      <c r="AU7" s="205">
        <f>SUM('Bilan 2020'!$T$41:$W$41)</f>
        <v>2.9800774861924699</v>
      </c>
      <c r="AV7" s="205">
        <f>SUM('Bilan 2023 réel'!$T$41:$W$41)</f>
        <v>3.0003985861694464</v>
      </c>
      <c r="AW7" s="205">
        <f>SUM('Bilan 2025'!$T$41:$W$41)</f>
        <v>3.0936816970358563</v>
      </c>
      <c r="AX7" s="205">
        <f>SUM('Bilan 2028'!$T$41:$W$41)</f>
        <v>3.2165908227245823</v>
      </c>
      <c r="AY7" s="205">
        <f>SUM('Bilan 2030'!$T$41:$W$41)</f>
        <v>3.3167099858795943</v>
      </c>
      <c r="AZ7" s="205">
        <f>SUM('Bilan 2033'!$T$41:$W$41)</f>
        <v>3.4900105718054752</v>
      </c>
      <c r="BA7" s="205">
        <f>SUM('Bilan 2035'!$T$41:$W$41)</f>
        <v>3.6118595879082487</v>
      </c>
      <c r="BB7" s="205">
        <f>SUM('Bilan 2038'!$T$41:$W$41)</f>
        <v>3.8002579814673605</v>
      </c>
      <c r="BC7" s="205">
        <f>SUM('Bilan 2040'!$T$41:$W$41)</f>
        <v>3.916565993260261</v>
      </c>
      <c r="BD7" s="205">
        <f>SUM('Bilan 2045'!$T$41:$W$41)</f>
        <v>4.1544557033463274</v>
      </c>
      <c r="BE7" s="205">
        <f>SUM('Bilan 2050'!$T$41:$W$41)</f>
        <v>4.2699664941635191</v>
      </c>
      <c r="BF7" s="216"/>
      <c r="BG7" s="205" t="s">
        <v>452</v>
      </c>
      <c r="BH7" s="699">
        <f>IF(AT7&gt;0,BV7/AT7,0)</f>
        <v>0</v>
      </c>
      <c r="BI7" s="699">
        <f t="shared" si="33"/>
        <v>0</v>
      </c>
      <c r="BJ7" s="699">
        <f t="shared" si="34"/>
        <v>0</v>
      </c>
      <c r="BK7" s="699">
        <f t="shared" si="35"/>
        <v>0</v>
      </c>
      <c r="BL7" s="699">
        <f t="shared" si="36"/>
        <v>0</v>
      </c>
      <c r="BM7" s="699">
        <f t="shared" si="37"/>
        <v>0</v>
      </c>
      <c r="BN7" s="699">
        <f t="shared" si="38"/>
        <v>0</v>
      </c>
      <c r="BO7" s="699">
        <f t="shared" si="39"/>
        <v>0</v>
      </c>
      <c r="BP7" s="699">
        <f t="shared" si="40"/>
        <v>0</v>
      </c>
      <c r="BQ7" s="699">
        <f t="shared" si="41"/>
        <v>0</v>
      </c>
      <c r="BR7" s="699">
        <f t="shared" si="42"/>
        <v>0</v>
      </c>
      <c r="BS7" s="699">
        <f t="shared" si="43"/>
        <v>0</v>
      </c>
      <c r="BU7" s="205" t="s">
        <v>452</v>
      </c>
      <c r="BV7" s="193">
        <f>'Bilan 2015'!$E$41*SUM('Bilan 2015'!$T$41:$W$41)/SUM('Bilan 2015'!$T$41:$X$41)</f>
        <v>0</v>
      </c>
      <c r="BW7" s="193">
        <f>'Bilan 2020'!$E$41*SUM('Bilan 2020'!$T$41:$W$41)/SUM('Bilan 2020'!$T$41:$X$41)</f>
        <v>0</v>
      </c>
      <c r="BX7" s="193">
        <f>'Bilan 2023 réel'!$E$41*SUM('Bilan 2023 réel'!$T$41:$W$41)/SUM('Bilan 2023 réel'!$T$41:$X$41)</f>
        <v>0</v>
      </c>
      <c r="BY7" s="193">
        <f>'Bilan 2025'!$E$41*SUM('Bilan 2025'!$T$41:$W$41)/SUM('Bilan 2025'!$T$41:$X$41)</f>
        <v>0</v>
      </c>
      <c r="BZ7" s="193">
        <f>'Bilan 2028'!$E$41*SUM('Bilan 2028'!$T$41:$W$41)/SUM('Bilan 2028'!$T$41:$X$41)</f>
        <v>0</v>
      </c>
      <c r="CA7" s="193">
        <f>'Bilan 2030'!$E$41*SUM('Bilan 2030'!$T$41:$W$41)/SUM('Bilan 2030'!$T$41:$X$41)</f>
        <v>0</v>
      </c>
      <c r="CB7" s="193">
        <f>'Bilan 2033'!$E$41*SUM('Bilan 2033'!$T$41:$W$41)/SUM('Bilan 2033'!$T$41:$X$41)</f>
        <v>0</v>
      </c>
      <c r="CC7" s="193">
        <f>'Bilan 2035'!$E$41*SUM('Bilan 2035'!$T$41:$W$41)/SUM('Bilan 2035'!$T$41:$X$41)</f>
        <v>0</v>
      </c>
      <c r="CD7" s="193">
        <f>'Bilan 2038'!$E$41*SUM('Bilan 2038'!$T$41:$W$41)/SUM('Bilan 2038'!$T$41:$X$41)</f>
        <v>0</v>
      </c>
      <c r="CE7" s="193">
        <f>'Bilan 2040'!$E$41*SUM('Bilan 2040'!$T$41:$W$41)/SUM('Bilan 2040'!$T$41:$X$41)</f>
        <v>0</v>
      </c>
      <c r="CF7" s="193">
        <f>'Bilan 2045'!$E$41*SUM('Bilan 2045'!$T$41:$W$41)/SUM('Bilan 2045'!$T$41:$X$41)</f>
        <v>0</v>
      </c>
      <c r="CG7" s="193">
        <f>'Bilan 2050'!$E$41*SUM('Bilan 2050'!$T$41:$W$41)/SUM('Bilan 2050'!$T$41:$X$41)</f>
        <v>0</v>
      </c>
      <c r="CH7" s="206"/>
      <c r="CJ7" s="205" t="s">
        <v>452</v>
      </c>
      <c r="CK7" s="202">
        <f t="shared" si="44"/>
        <v>0</v>
      </c>
      <c r="CL7" s="202">
        <f t="shared" si="44"/>
        <v>0</v>
      </c>
      <c r="CM7" s="202">
        <f t="shared" si="44"/>
        <v>0</v>
      </c>
      <c r="CN7" s="202">
        <f t="shared" si="44"/>
        <v>0</v>
      </c>
      <c r="CO7" s="202">
        <f t="shared" si="44"/>
        <v>0</v>
      </c>
      <c r="CP7" s="202">
        <f t="shared" si="44"/>
        <v>0</v>
      </c>
      <c r="CQ7" s="202">
        <f t="shared" si="44"/>
        <v>0</v>
      </c>
      <c r="CR7" s="202">
        <f t="shared" si="44"/>
        <v>0</v>
      </c>
      <c r="CS7" s="202">
        <f t="shared" si="44"/>
        <v>0</v>
      </c>
      <c r="CT7" s="202">
        <f t="shared" si="44"/>
        <v>0</v>
      </c>
      <c r="CU7" s="202">
        <f t="shared" si="44"/>
        <v>0</v>
      </c>
      <c r="CV7" s="202">
        <f t="shared" si="44"/>
        <v>0</v>
      </c>
      <c r="CW7" s="206"/>
      <c r="CY7" s="205" t="s">
        <v>452</v>
      </c>
      <c r="CZ7" s="207"/>
      <c r="DA7" s="202">
        <v>0</v>
      </c>
      <c r="DB7" s="202">
        <v>0</v>
      </c>
      <c r="DC7" s="202">
        <f t="shared" ref="DC7" si="49">DB7</f>
        <v>0</v>
      </c>
      <c r="DD7" s="202">
        <f t="shared" ref="DD7:DL7" si="50">DC7</f>
        <v>0</v>
      </c>
      <c r="DE7" s="202">
        <f t="shared" si="50"/>
        <v>0</v>
      </c>
      <c r="DF7" s="202">
        <f t="shared" si="50"/>
        <v>0</v>
      </c>
      <c r="DG7" s="202">
        <f t="shared" si="50"/>
        <v>0</v>
      </c>
      <c r="DH7" s="202">
        <f t="shared" si="50"/>
        <v>0</v>
      </c>
      <c r="DI7" s="202">
        <f t="shared" si="50"/>
        <v>0</v>
      </c>
      <c r="DJ7" s="202">
        <f t="shared" si="50"/>
        <v>0</v>
      </c>
      <c r="DK7" s="202">
        <f t="shared" si="50"/>
        <v>0</v>
      </c>
      <c r="DL7" s="202">
        <f t="shared" si="50"/>
        <v>0</v>
      </c>
    </row>
    <row r="8" spans="1:116" ht="15" x14ac:dyDescent="0.25">
      <c r="A8" s="203" t="s">
        <v>181</v>
      </c>
      <c r="B8" s="204"/>
      <c r="C8" s="204"/>
      <c r="D8" s="204"/>
      <c r="E8" s="204"/>
      <c r="F8" s="204"/>
      <c r="G8" s="204"/>
      <c r="H8" s="204"/>
      <c r="I8" s="204"/>
      <c r="J8" s="204"/>
      <c r="K8" s="204"/>
      <c r="L8" s="204"/>
      <c r="M8" s="204"/>
      <c r="N8" s="575"/>
      <c r="O8" s="575"/>
      <c r="P8" s="575"/>
      <c r="Q8" s="570" t="s">
        <v>20</v>
      </c>
      <c r="R8" s="205">
        <f t="shared" ref="R8:AC8" si="51">B10</f>
        <v>114.07243284087656</v>
      </c>
      <c r="S8" s="205">
        <f t="shared" si="51"/>
        <v>1068.7282415646853</v>
      </c>
      <c r="T8" s="205">
        <f t="shared" si="51"/>
        <v>1024.855403030303</v>
      </c>
      <c r="U8" s="205">
        <f t="shared" si="51"/>
        <v>1190.909090909091</v>
      </c>
      <c r="V8" s="205">
        <f t="shared" si="51"/>
        <v>1190.8537949555769</v>
      </c>
      <c r="W8" s="205">
        <f t="shared" si="51"/>
        <v>1190.836803145455</v>
      </c>
      <c r="X8" s="205">
        <f t="shared" si="51"/>
        <v>1121.1895148055726</v>
      </c>
      <c r="Y8" s="205">
        <f t="shared" si="51"/>
        <v>1074.7551239708021</v>
      </c>
      <c r="Z8" s="205">
        <f t="shared" si="51"/>
        <v>1005.0925981733353</v>
      </c>
      <c r="AA8" s="205">
        <f t="shared" si="51"/>
        <v>958.64961434515953</v>
      </c>
      <c r="AB8" s="205">
        <f t="shared" si="51"/>
        <v>842.56165402525301</v>
      </c>
      <c r="AC8" s="205">
        <f t="shared" si="51"/>
        <v>726.54021626256326</v>
      </c>
      <c r="AD8" s="193">
        <v>2301</v>
      </c>
      <c r="AE8" s="201" t="s">
        <v>104</v>
      </c>
      <c r="AF8" s="201">
        <f t="shared" ref="AF8" si="52">SUM(AF9:AF17)</f>
        <v>38.082514273546245</v>
      </c>
      <c r="AG8" s="201">
        <f t="shared" ref="AG8:AQ8" si="53">SUM(AG9:AG17)</f>
        <v>404.64506759579865</v>
      </c>
      <c r="AH8" s="201">
        <f t="shared" si="53"/>
        <v>400.85872118069869</v>
      </c>
      <c r="AI8" s="201">
        <f t="shared" si="53"/>
        <v>436.1819209060987</v>
      </c>
      <c r="AJ8" s="201">
        <f t="shared" si="53"/>
        <v>447.36659144667385</v>
      </c>
      <c r="AK8" s="201">
        <f t="shared" si="53"/>
        <v>454.71077961406559</v>
      </c>
      <c r="AL8" s="201">
        <f t="shared" si="53"/>
        <v>471.00002722243977</v>
      </c>
      <c r="AM8" s="201">
        <f t="shared" si="53"/>
        <v>481.78129696414442</v>
      </c>
      <c r="AN8" s="201">
        <f t="shared" si="53"/>
        <v>496.49341447572323</v>
      </c>
      <c r="AO8" s="201">
        <f t="shared" si="53"/>
        <v>506.18747931527605</v>
      </c>
      <c r="AP8" s="201">
        <f t="shared" si="53"/>
        <v>525.42638538921233</v>
      </c>
      <c r="AQ8" s="201">
        <f t="shared" si="53"/>
        <v>541.90719860025729</v>
      </c>
      <c r="AR8" s="206"/>
      <c r="AS8" s="201" t="s">
        <v>104</v>
      </c>
      <c r="AT8" s="201">
        <f t="shared" ref="AT8" si="54">SUM(AT9:AT17)</f>
        <v>38.082514273546245</v>
      </c>
      <c r="AU8" s="201">
        <f t="shared" ref="AU8:BE8" si="55">SUM(AU9:AU17)</f>
        <v>404.64506759579865</v>
      </c>
      <c r="AV8" s="201">
        <f t="shared" si="55"/>
        <v>400.85872118069869</v>
      </c>
      <c r="AW8" s="201">
        <f t="shared" si="55"/>
        <v>436.1819209060987</v>
      </c>
      <c r="AX8" s="201">
        <f t="shared" si="55"/>
        <v>447.36659144667385</v>
      </c>
      <c r="AY8" s="201">
        <f t="shared" si="55"/>
        <v>454.71077961406559</v>
      </c>
      <c r="AZ8" s="201">
        <f t="shared" si="55"/>
        <v>471.00002722243977</v>
      </c>
      <c r="BA8" s="201">
        <f t="shared" si="55"/>
        <v>481.78129696414442</v>
      </c>
      <c r="BB8" s="201">
        <f t="shared" si="55"/>
        <v>496.49341447572323</v>
      </c>
      <c r="BC8" s="201">
        <f t="shared" si="55"/>
        <v>506.18747931527605</v>
      </c>
      <c r="BD8" s="201">
        <f t="shared" si="55"/>
        <v>525.42638538921233</v>
      </c>
      <c r="BE8" s="201">
        <f t="shared" si="55"/>
        <v>541.90719860025729</v>
      </c>
      <c r="BF8" s="216"/>
      <c r="BG8" s="205" t="s">
        <v>20</v>
      </c>
      <c r="BH8" s="202">
        <f t="shared" ref="BH8:BH16" si="56">IF(AT9&gt;0,BV8/AT9,0)</f>
        <v>2.6091412878646998</v>
      </c>
      <c r="BI8" s="202">
        <f t="shared" ref="BI8:BI16" si="57">IF(AU9&gt;0,BW8/AU9,0)</f>
        <v>2.6076963834600786</v>
      </c>
      <c r="BJ8" s="202">
        <f t="shared" ref="BJ8:BJ16" si="58">IF(AV9&gt;0,BX8/AV9,0)</f>
        <v>2.6162289105561967</v>
      </c>
      <c r="BK8" s="202">
        <f t="shared" ref="BK8:BK16" si="59">IF(AW9&gt;0,BY8/AW9,0)</f>
        <v>2.7417109609264272</v>
      </c>
      <c r="BL8" s="202">
        <f t="shared" ref="BL8:BL16" si="60">IF(AX9&gt;0,BZ8/AX9,0)</f>
        <v>2.7766516790106883</v>
      </c>
      <c r="BM8" s="202">
        <f t="shared" ref="BM8:BM16" si="61">IF(AY9&gt;0,CA8/AY9,0)</f>
        <v>2.7869632878683399</v>
      </c>
      <c r="BN8" s="202">
        <f t="shared" ref="BN8:BN16" si="62">IF(AZ9&gt;0,CB8/AZ9,0)</f>
        <v>2.6983136127327985</v>
      </c>
      <c r="BO8" s="202">
        <f t="shared" ref="BO8:BO16" si="63">IF(BA9&gt;0,CC8/BA9,0)</f>
        <v>2.6431354825471627</v>
      </c>
      <c r="BP8" s="202">
        <f t="shared" ref="BP8:BP16" si="64">IF(BB9&gt;0,CD8/BB9,0)</f>
        <v>2.5962055408018738</v>
      </c>
      <c r="BQ8" s="202">
        <f t="shared" ref="BQ8:BQ16" si="65">IF(BC9&gt;0,CE8/BC9,0)</f>
        <v>2.5694167335775391</v>
      </c>
      <c r="BR8" s="202">
        <f t="shared" ref="BR8:BR16" si="66">IF(BD9&gt;0,CF8/BD9,0)</f>
        <v>2.4963667791231394</v>
      </c>
      <c r="BS8" s="202">
        <f t="shared" ref="BS8:BS16" si="67">IF(BE9&gt;0,CG8/BE9,0)</f>
        <v>2.4852160813081112</v>
      </c>
      <c r="BU8" s="205" t="s">
        <v>20</v>
      </c>
      <c r="BV8" s="202">
        <f>'Bilan 2015'!$E10+'Bilan 2015'!$I$13*'Bilan 2015'!$G$10/'Bilan 2015'!$H$13</f>
        <v>77.10988016588378</v>
      </c>
      <c r="BW8" s="202">
        <f>'Bilan 2020'!$E10+'Bilan 2020'!$I$13*'Bilan 2020'!$G$10/'Bilan 2020'!$H$13</f>
        <v>732.38826540083176</v>
      </c>
      <c r="BX8" s="202">
        <f>'Bilan 2023 réel'!$E10+'Bilan 2023 réel'!$I$13*'Bilan 2023 réel'!$G$10/'Bilan 2023 réel'!$H$13</f>
        <v>700.09323898905859</v>
      </c>
      <c r="BY8" s="202">
        <f>'Bilan 2025'!$E10+'Bilan 2025'!$I$13*'Bilan 2025'!$G$10/'Bilan 2025'!$H$13</f>
        <v>820.69122285667004</v>
      </c>
      <c r="BZ8" s="202">
        <f>'Bilan 2028'!$E10+'Bilan 2028'!$I$13*'Bilan 2028'!$G$10/'Bilan 2028'!$H$13</f>
        <v>821.26987194632636</v>
      </c>
      <c r="CA8" s="202">
        <f>'Bilan 2030'!$E10+'Bilan 2030'!$I$13*'Bilan 2030'!$G$10/'Bilan 2030'!$H$13</f>
        <v>821.77975922980863</v>
      </c>
      <c r="CB8" s="202">
        <f>'Bilan 2033'!$E10+'Bilan 2033'!$I$13*'Bilan 2033'!$G$10/'Bilan 2033'!$H$13</f>
        <v>772.82879258257117</v>
      </c>
      <c r="CC8" s="202">
        <f>'Bilan 2035'!$E10+'Bilan 2035'!$I$13*'Bilan 2035'!$G$10/'Bilan 2035'!$H$13</f>
        <v>740.27946537060609</v>
      </c>
      <c r="CD8" s="202">
        <f>'Bilan 2038'!$E10+'Bilan 2038'!$I$13*'Bilan 2038'!$G$10/'Bilan 2038'!$H$13</f>
        <v>693.52996375943428</v>
      </c>
      <c r="CE8" s="202">
        <f>'Bilan 2040'!$E10+'Bilan 2040'!$I$13*'Bilan 2040'!$G$10/'Bilan 2040'!$H$13</f>
        <v>662.45517753449155</v>
      </c>
      <c r="CF8" s="202">
        <f>'Bilan 2045'!$E10+'Bilan 2045'!$I$13*'Bilan 2045'!$G$10/'Bilan 2045'!$H$13</f>
        <v>581.90050284707559</v>
      </c>
      <c r="CG8" s="202">
        <f>'Bilan 2050'!$E10+'Bilan 2050'!$I$13*'Bilan 2050'!$G$10/'Bilan 2050'!$H$13</f>
        <v>502.34541011646286</v>
      </c>
      <c r="CH8" s="206"/>
      <c r="CJ8" s="205" t="s">
        <v>20</v>
      </c>
      <c r="CK8" s="202">
        <f t="shared" ref="CK8:CK16" si="68">IF(AT9&gt;0,DA8/AT9,0)</f>
        <v>7.9921040170571458E-2</v>
      </c>
      <c r="CL8" s="202">
        <f t="shared" ref="CL8:CL16" si="69">IF(AU9&gt;0,DB8/AU9,0)</f>
        <v>8.704500007783883E-2</v>
      </c>
      <c r="CM8" s="202">
        <f t="shared" ref="CM8:CM16" si="70">IF(AV9&gt;0,DC8/AV9,0)</f>
        <v>8.8706919811706683E-2</v>
      </c>
      <c r="CN8" s="202">
        <f t="shared" ref="CN8:CN16" si="71">IF(AW9&gt;0,DD8/AW9,0)</f>
        <v>8.9854060997460142E-2</v>
      </c>
      <c r="CO8" s="202">
        <f t="shared" ref="CO8:CO16" si="72">IF(AX9&gt;0,DE8/AX9,0)</f>
        <v>8.9671267020439704E-2</v>
      </c>
      <c r="CP8" s="202">
        <f t="shared" ref="CP8:CP16" si="73">IF(AY9&gt;0,DF8/AY9,0)</f>
        <v>8.955655481981814E-2</v>
      </c>
      <c r="CQ8" s="202">
        <f t="shared" ref="CQ8:CQ16" si="74">IF(AZ9&gt;0,DG8/AZ9,0)</f>
        <v>8.9042391365625459E-2</v>
      </c>
      <c r="CR8" s="202">
        <f t="shared" ref="CR8:CR16" si="75">IF(BA9&gt;0,DH8/BA9,0)</f>
        <v>8.8721271934519702E-2</v>
      </c>
      <c r="CS8" s="202">
        <f t="shared" ref="CS8:CS16" si="76">IF(BB9&gt;0,DI8/BB9,0)</f>
        <v>8.8282009795459068E-2</v>
      </c>
      <c r="CT8" s="202">
        <f t="shared" ref="CT8:CT16" si="77">IF(BC9&gt;0,DJ8/BC9,0)</f>
        <v>8.8005993481828471E-2</v>
      </c>
      <c r="CU8" s="202">
        <f t="shared" ref="CU8:CU16" si="78">IF(BD9&gt;0,DK8/BD9,0)</f>
        <v>8.7393803421868227E-2</v>
      </c>
      <c r="CV8" s="202">
        <f t="shared" ref="CV8:CV16" si="79">IF(BE9&gt;0,DL8/BE9,0)</f>
        <v>8.697382528597257E-2</v>
      </c>
      <c r="CW8" s="206"/>
      <c r="CX8" s="193">
        <v>2301</v>
      </c>
      <c r="CY8" s="205" t="s">
        <v>20</v>
      </c>
      <c r="CZ8" s="207" t="s">
        <v>271</v>
      </c>
      <c r="DA8" s="202">
        <f>'Bilan 2015'!$K$13*'Bilan 2015'!$G$10/SUM('Bilan 2015'!$G$7:$G$19)</f>
        <v>2.3619655474192638</v>
      </c>
      <c r="DB8" s="202">
        <f>'Bilan 2020'!$K$13*'Bilan 2020'!$G$10/SUM('Bilan 2020'!$G$7:$G$19)</f>
        <v>24.447146923690021</v>
      </c>
      <c r="DC8" s="202">
        <f>'Bilan 2023 réel'!$K$13*'Bilan 2023 réel'!$G$10/SUM('Bilan 2023 réel'!$G$7:$G$19)</f>
        <v>23.737645647573562</v>
      </c>
      <c r="DD8" s="202">
        <f>'Bilan 2025'!$K$13*'Bilan 2025'!$G$10/SUM('Bilan 2025'!$G$7:$G$19)</f>
        <v>26.89650377066944</v>
      </c>
      <c r="DE8" s="202">
        <f>'Bilan 2028'!$K$13*'Bilan 2028'!$G$10/SUM('Bilan 2028'!$G$7:$G$19)</f>
        <v>26.522703780180514</v>
      </c>
      <c r="DF8" s="202">
        <f>'Bilan 2030'!$K$13*'Bilan 2030'!$G$10/SUM('Bilan 2030'!$G$7:$G$19)</f>
        <v>26.407152321540764</v>
      </c>
      <c r="DG8" s="202">
        <f>'Bilan 2033'!$K$13*'Bilan 2033'!$G$10/SUM('Bilan 2033'!$G$7:$G$19)</f>
        <v>25.502789402625108</v>
      </c>
      <c r="DH8" s="202">
        <f>'Bilan 2035'!$K$13*'Bilan 2035'!$G$10/SUM('Bilan 2035'!$G$7:$G$19)</f>
        <v>24.848720842486923</v>
      </c>
      <c r="DI8" s="202">
        <f>'Bilan 2038'!$K$13*'Bilan 2038'!$G$10/SUM('Bilan 2038'!$G$7:$G$19)</f>
        <v>23.582962940270203</v>
      </c>
      <c r="DJ8" s="202">
        <f>'Bilan 2040'!$K$13*'Bilan 2040'!$G$10/SUM('Bilan 2040'!$G$7:$G$19)</f>
        <v>22.689984568960785</v>
      </c>
      <c r="DK8" s="202">
        <f>'Bilan 2045'!$K$13*'Bilan 2045'!$G$10/SUM('Bilan 2045'!$G$7:$G$19)</f>
        <v>20.371404788028176</v>
      </c>
      <c r="DL8" s="202">
        <f>'Bilan 2050'!$K$13*'Bilan 2050'!$G$10/SUM('Bilan 2050'!$G$7:$G$19)</f>
        <v>17.580323200581599</v>
      </c>
    </row>
    <row r="9" spans="1:116" ht="15" x14ac:dyDescent="0.25">
      <c r="A9" s="199" t="s">
        <v>104</v>
      </c>
      <c r="B9" s="200">
        <f t="shared" ref="B9" si="80">SUM(B10:B19)</f>
        <v>132.32103915797597</v>
      </c>
      <c r="C9" s="200">
        <f t="shared" ref="C9:D9" si="81">SUM(C10:C19)</f>
        <v>1284.6591143400469</v>
      </c>
      <c r="D9" s="200">
        <f t="shared" si="81"/>
        <v>1256.7347534552232</v>
      </c>
      <c r="E9" s="200">
        <f t="shared" ref="E9:H9" si="82">SUM(E10:E19)</f>
        <v>1420.9054514441098</v>
      </c>
      <c r="F9" s="200">
        <f t="shared" si="82"/>
        <v>1438.1192377529812</v>
      </c>
      <c r="G9" s="200">
        <f t="shared" si="82"/>
        <v>1446.9090976865464</v>
      </c>
      <c r="H9" s="200">
        <f t="shared" si="82"/>
        <v>1401.3026639346931</v>
      </c>
      <c r="I9" s="200">
        <f t="shared" ref="I9" si="83">SUM(I10:I19)</f>
        <v>1370.9610613471737</v>
      </c>
      <c r="J9" s="200">
        <f t="shared" ref="J9" si="84">SUM(J10:J19)</f>
        <v>1327.3787026959192</v>
      </c>
      <c r="K9" s="200">
        <f t="shared" ref="K9" si="85">SUM(K10:K19)</f>
        <v>1298.3730979110835</v>
      </c>
      <c r="L9" s="200">
        <f t="shared" ref="L9:M9" si="86">SUM(L10:L19)</f>
        <v>1223.064277956669</v>
      </c>
      <c r="M9" s="200">
        <f t="shared" si="86"/>
        <v>1168.9496674825637</v>
      </c>
      <c r="N9" s="215">
        <f>C9-('Bilan 2020'!$D$13-SUM('Bilan 2020'!$M$13:$P$13))</f>
        <v>0</v>
      </c>
      <c r="O9" s="215">
        <f>G9-('Bilan 2030'!$D$13-SUM('Bilan 2030'!$M$13:$P$13))</f>
        <v>0</v>
      </c>
      <c r="P9" s="215">
        <f>M9-('Bilan 2050'!$D$13-SUM('Bilan 2050'!$M$13:$P$13))</f>
        <v>0</v>
      </c>
      <c r="Q9" s="570" t="s">
        <v>224</v>
      </c>
      <c r="R9" s="205">
        <f t="shared" ref="R9:AC9" si="87">B11+0.01</f>
        <v>0.71199999999999997</v>
      </c>
      <c r="S9" s="205">
        <f t="shared" si="87"/>
        <v>3.4306184464582499</v>
      </c>
      <c r="T9" s="205">
        <f t="shared" si="87"/>
        <v>8.119569380919307</v>
      </c>
      <c r="U9" s="205">
        <f t="shared" si="87"/>
        <v>7.830955422592937</v>
      </c>
      <c r="V9" s="205">
        <f t="shared" si="87"/>
        <v>7.6564888175397661</v>
      </c>
      <c r="W9" s="205">
        <f t="shared" si="87"/>
        <v>7.5403123925867996</v>
      </c>
      <c r="X9" s="205">
        <f t="shared" si="87"/>
        <v>7.8029014235367695</v>
      </c>
      <c r="Y9" s="205">
        <f t="shared" si="87"/>
        <v>7.9778576813248945</v>
      </c>
      <c r="Z9" s="205">
        <f t="shared" si="87"/>
        <v>7.7081211171096244</v>
      </c>
      <c r="AA9" s="205">
        <f t="shared" si="87"/>
        <v>7.5282459140662237</v>
      </c>
      <c r="AB9" s="205">
        <f t="shared" si="87"/>
        <v>7.9272502177748612</v>
      </c>
      <c r="AC9" s="205">
        <f t="shared" si="87"/>
        <v>8.0617926198923495</v>
      </c>
      <c r="AD9" s="193">
        <f>AD8+1</f>
        <v>2302</v>
      </c>
      <c r="AE9" s="205" t="s">
        <v>20</v>
      </c>
      <c r="AF9" s="205">
        <f>'Bilan 2015'!$S$13*'Bilan 2015'!$G$10/SUM('Bilan 2015'!$G$7:$G$19)</f>
        <v>29.553738819943277</v>
      </c>
      <c r="AG9" s="205">
        <f>'Bilan 2020'!$S$13*'Bilan 2020'!$G$10/SUM('Bilan 2020'!$G$7:$G$19)</f>
        <v>280.85641796574743</v>
      </c>
      <c r="AH9" s="205">
        <f>'Bilan 2023 réel'!$S$13*'Bilan 2023 réel'!$G$10/SUM('Bilan 2023 réel'!$G$7:$G$19)</f>
        <v>267.59632391655759</v>
      </c>
      <c r="AI9" s="205">
        <f>'Bilan 2025'!$S$13*'Bilan 2025'!$G$10/SUM('Bilan 2025'!$G$7:$G$19)</f>
        <v>299.33542760443191</v>
      </c>
      <c r="AJ9" s="205">
        <f>'Bilan 2028'!$S$13*'Bilan 2028'!$G$10/SUM('Bilan 2028'!$G$7:$G$19)</f>
        <v>295.77706060665918</v>
      </c>
      <c r="AK9" s="205">
        <f>'Bilan 2030'!$S$13*'Bilan 2030'!$G$10/SUM('Bilan 2030'!$G$7:$G$19)</f>
        <v>294.86565639634313</v>
      </c>
      <c r="AL9" s="205">
        <f>'Bilan 2033'!$S$13*'Bilan 2033'!$G$10/SUM('Bilan 2033'!$G$7:$G$19)</f>
        <v>286.41177546440406</v>
      </c>
      <c r="AM9" s="205">
        <f>'Bilan 2035'!$S$13*'Bilan 2035'!$G$10/SUM('Bilan 2035'!$G$7:$G$19)</f>
        <v>280.07624666186479</v>
      </c>
      <c r="AN9" s="205">
        <f>'Bilan 2038'!$S$13*'Bilan 2038'!$G$10/SUM('Bilan 2038'!$G$7:$G$19)</f>
        <v>267.13214838345505</v>
      </c>
      <c r="AO9" s="205">
        <f>'Bilan 2040'!$S$13*'Bilan 2040'!$G$10/SUM('Bilan 2040'!$G$7:$G$19)</f>
        <v>257.82317398241548</v>
      </c>
      <c r="AP9" s="205">
        <f>'Bilan 2045'!$S$13*'Bilan 2045'!$G$10/SUM('Bilan 2045'!$G$7:$G$19)</f>
        <v>233.09896114363087</v>
      </c>
      <c r="AQ9" s="205">
        <f>'Bilan 2050'!$S$13*'Bilan 2050'!$G$10/SUM('Bilan 2050'!$G$7:$G$19)</f>
        <v>202.13349410327723</v>
      </c>
      <c r="AR9" s="206"/>
      <c r="AS9" s="205" t="s">
        <v>20</v>
      </c>
      <c r="AT9" s="205">
        <f>'Bilan 2015'!$S$13*'Bilan 2015'!$G$10/SUM('Bilan 2015'!$G$7:$G$19)</f>
        <v>29.553738819943277</v>
      </c>
      <c r="AU9" s="205">
        <f>'Bilan 2020'!$S$13*'Bilan 2020'!$G$10/SUM('Bilan 2020'!$G$7:$G$19)</f>
        <v>280.85641796574743</v>
      </c>
      <c r="AV9" s="205">
        <f>'Bilan 2023 réel'!$S$13*'Bilan 2023 réel'!$G$10/SUM('Bilan 2023 réel'!$G$7:$G$19)</f>
        <v>267.59632391655759</v>
      </c>
      <c r="AW9" s="205">
        <f>'Bilan 2025'!$S$13*'Bilan 2025'!$G$10/SUM('Bilan 2025'!$G$7:$G$19)</f>
        <v>299.33542760443191</v>
      </c>
      <c r="AX9" s="205">
        <f>'Bilan 2028'!$S$13*'Bilan 2028'!$G$10/SUM('Bilan 2028'!$G$7:$G$19)</f>
        <v>295.77706060665918</v>
      </c>
      <c r="AY9" s="205">
        <f>'Bilan 2030'!$S$13*'Bilan 2030'!$G$10/SUM('Bilan 2030'!$G$7:$G$19)</f>
        <v>294.86565639634313</v>
      </c>
      <c r="AZ9" s="205">
        <f>'Bilan 2033'!$S$13*'Bilan 2033'!$G$10/SUM('Bilan 2033'!$G$7:$G$19)</f>
        <v>286.41177546440406</v>
      </c>
      <c r="BA9" s="205">
        <f>'Bilan 2035'!$S$13*'Bilan 2035'!$G$10/SUM('Bilan 2035'!$G$7:$G$19)</f>
        <v>280.07624666186479</v>
      </c>
      <c r="BB9" s="205">
        <f>'Bilan 2038'!$S$13*'Bilan 2038'!$G$10/SUM('Bilan 2038'!$G$7:$G$19)</f>
        <v>267.13214838345505</v>
      </c>
      <c r="BC9" s="205">
        <f>'Bilan 2040'!$S$13*'Bilan 2040'!$G$10/SUM('Bilan 2040'!$G$7:$G$19)</f>
        <v>257.82317398241548</v>
      </c>
      <c r="BD9" s="205">
        <f>'Bilan 2045'!$S$13*'Bilan 2045'!$G$10/SUM('Bilan 2045'!$G$7:$G$19)</f>
        <v>233.09896114363087</v>
      </c>
      <c r="BE9" s="205">
        <f>'Bilan 2050'!$S$13*'Bilan 2050'!$G$10/SUM('Bilan 2050'!$G$7:$G$19)</f>
        <v>202.13349410327723</v>
      </c>
      <c r="BF9" s="216"/>
      <c r="BG9" s="205" t="s">
        <v>224</v>
      </c>
      <c r="BH9" s="202">
        <f t="shared" si="56"/>
        <v>1.7578308990233045</v>
      </c>
      <c r="BI9" s="202">
        <f t="shared" si="57"/>
        <v>1.7088159266761329</v>
      </c>
      <c r="BJ9" s="202">
        <f t="shared" si="58"/>
        <v>1.8178903661766033</v>
      </c>
      <c r="BK9" s="202">
        <f t="shared" si="59"/>
        <v>1.7631997499363754</v>
      </c>
      <c r="BL9" s="202">
        <f t="shared" si="60"/>
        <v>1.7749333218132259</v>
      </c>
      <c r="BM9" s="202">
        <f t="shared" si="61"/>
        <v>1.7746797272453914</v>
      </c>
      <c r="BN9" s="202">
        <f t="shared" si="62"/>
        <v>1.7158906715529072</v>
      </c>
      <c r="BO9" s="202">
        <f t="shared" si="63"/>
        <v>1.6791787585445395</v>
      </c>
      <c r="BP9" s="202">
        <f t="shared" si="64"/>
        <v>1.6319738320014898</v>
      </c>
      <c r="BQ9" s="202">
        <f t="shared" si="65"/>
        <v>1.6023888118597016</v>
      </c>
      <c r="BR9" s="202">
        <f t="shared" si="66"/>
        <v>1.5476221037125595</v>
      </c>
      <c r="BS9" s="202">
        <f t="shared" si="67"/>
        <v>1.5258319901363677</v>
      </c>
      <c r="BU9" s="205" t="s">
        <v>224</v>
      </c>
      <c r="BV9" s="202">
        <f>'Bilan 2015'!$E17+'Bilan 2015'!$I$13*'Bilan 2015'!$G$17/'Bilan 2015'!$H$13</f>
        <v>0.41016749159452726</v>
      </c>
      <c r="BW9" s="202">
        <f>'Bilan 2020'!$E17+'Bilan 2020'!$I$13*'Bilan 2020'!$G$17/'Bilan 2020'!$H$13</f>
        <v>2.0111729761776775</v>
      </c>
      <c r="BX9" s="202">
        <f>'Bilan 2023 AMS'!$E17+'Bilan 2023 AMS'!$I$13*'Bilan 2023 AMS'!$G$17/'Bilan 2023 AMS'!$H$13</f>
        <v>4.7570321780291334</v>
      </c>
      <c r="BY9" s="202">
        <f>'Bilan 2025'!$E17+'Bilan 2025'!$I$13*'Bilan 2025'!$G$17/'Bilan 2025'!$H$13</f>
        <v>4.5966368980682155</v>
      </c>
      <c r="BZ9" s="202">
        <f>'Bilan 2028'!$E17+'Bilan 2028'!$I$13*'Bilan 2028'!$G$17/'Bilan 2028'!$H$13</f>
        <v>4.4873331818291273</v>
      </c>
      <c r="CA9" s="202">
        <f>'Bilan 2030'!$E17+'Bilan 2030'!$I$13*'Bilan 2030'!$G$17/'Bilan 2030'!$H$13</f>
        <v>4.4158421780262929</v>
      </c>
      <c r="CB9" s="202">
        <f>'Bilan 2033'!$E17+'Bilan 2033'!$I$13*'Bilan 2033'!$G$17/'Bilan 2033'!$H$13</f>
        <v>4.5601065197930399</v>
      </c>
      <c r="CC9" s="202">
        <f>'Bilan 2035'!$E17+'Bilan 2035'!$I$13*'Bilan 2035'!$G$17/'Bilan 2035'!$H$13</f>
        <v>4.6559444786012563</v>
      </c>
      <c r="CD9" s="202">
        <f>'Bilan 2038'!$E17+'Bilan 2038'!$I$13*'Bilan 2038'!$G$17/'Bilan 2038'!$H$13</f>
        <v>4.4890053983484073</v>
      </c>
      <c r="CE9" s="202">
        <f>'Bilan 2040'!$E17+'Bilan 2040'!$I$13*'Bilan 2040'!$G$17/'Bilan 2040'!$H$13</f>
        <v>4.378137631133427</v>
      </c>
      <c r="CF9" s="202">
        <f>'Bilan 2045'!$E17+'Bilan 2045'!$I$13*'Bilan 2045'!$G$17/'Bilan 2045'!$H$13</f>
        <v>4.5950215400951144</v>
      </c>
      <c r="CG9" s="202">
        <f>'Bilan 2050'!$E17+'Bilan 2050'!$I$13*'Bilan 2050'!$G$17/'Bilan 2050'!$H$13</f>
        <v>4.6608344990855892</v>
      </c>
      <c r="CH9" s="206"/>
      <c r="CJ9" s="205" t="s">
        <v>224</v>
      </c>
      <c r="CK9" s="202">
        <f t="shared" si="68"/>
        <v>7.9921040170571458E-2</v>
      </c>
      <c r="CL9" s="202">
        <f t="shared" si="69"/>
        <v>8.7045000077838844E-2</v>
      </c>
      <c r="CM9" s="202">
        <f t="shared" si="70"/>
        <v>9.6511255227072462E-2</v>
      </c>
      <c r="CN9" s="202">
        <f t="shared" si="71"/>
        <v>8.9854060997460142E-2</v>
      </c>
      <c r="CO9" s="202">
        <f t="shared" si="72"/>
        <v>8.9671267020439718E-2</v>
      </c>
      <c r="CP9" s="202">
        <f t="shared" si="73"/>
        <v>8.955655481981814E-2</v>
      </c>
      <c r="CQ9" s="202">
        <f t="shared" si="74"/>
        <v>8.9042391365625445E-2</v>
      </c>
      <c r="CR9" s="202">
        <f t="shared" si="75"/>
        <v>8.8721271934519702E-2</v>
      </c>
      <c r="CS9" s="202">
        <f t="shared" si="76"/>
        <v>8.8282009795459082E-2</v>
      </c>
      <c r="CT9" s="202">
        <f t="shared" si="77"/>
        <v>8.8005993481828484E-2</v>
      </c>
      <c r="CU9" s="202">
        <f t="shared" si="78"/>
        <v>8.7393803421868213E-2</v>
      </c>
      <c r="CV9" s="202">
        <f t="shared" si="79"/>
        <v>8.697382528597257E-2</v>
      </c>
      <c r="CW9" s="206"/>
      <c r="CX9" s="193">
        <f>CX8+1</f>
        <v>2302</v>
      </c>
      <c r="CY9" s="205" t="s">
        <v>224</v>
      </c>
      <c r="CZ9" s="207" t="s">
        <v>273</v>
      </c>
      <c r="DA9" s="202">
        <f>'Bilan 2015'!$K$13*'Bilan 2015'!$G$17/SUM('Bilan 2015'!$G$7:$G$19)</f>
        <v>1.8648558624497217E-2</v>
      </c>
      <c r="DB9" s="202">
        <f>'Bilan 2020'!$K$13*'Bilan 2020'!$G$17/SUM('Bilan 2020'!$G$7:$G$19)</f>
        <v>0.10244669957427921</v>
      </c>
      <c r="DC9" s="202">
        <f>'Bilan 2023 AMS'!$K$13*'Bilan 2023 AMS'!$G$17/SUM('Bilan 2023 AMS'!$G$7:$G$19)</f>
        <v>0.25254941397965747</v>
      </c>
      <c r="DD9" s="202">
        <f>'Bilan 2025'!$K$13*'Bilan 2025'!$G$17/SUM('Bilan 2025'!$G$7:$G$19)</f>
        <v>0.23424827064381182</v>
      </c>
      <c r="DE9" s="202">
        <f>'Bilan 2028'!$K$13*'Bilan 2028'!$G$17/SUM('Bilan 2028'!$G$7:$G$19)</f>
        <v>0.22670420742702216</v>
      </c>
      <c r="DF9" s="202">
        <f>'Bilan 2030'!$K$13*'Bilan 2030'!$G$17/SUM('Bilan 2030'!$G$7:$G$19)</f>
        <v>0.22283886270899747</v>
      </c>
      <c r="DG9" s="202">
        <f>'Bilan 2033'!$K$13*'Bilan 2033'!$G$17/SUM('Bilan 2033'!$G$7:$G$19)</f>
        <v>0.23663674856211975</v>
      </c>
      <c r="DH9" s="202">
        <f>'Bilan 2035'!$K$13*'Bilan 2035'!$G$17/SUM('Bilan 2035'!$G$7:$G$19)</f>
        <v>0.24600199001805731</v>
      </c>
      <c r="DI9" s="202">
        <f>'Bilan 2038'!$K$13*'Bilan 2038'!$G$17/SUM('Bilan 2038'!$G$7:$G$19)</f>
        <v>0.24283380699973198</v>
      </c>
      <c r="DJ9" s="202">
        <f>'Bilan 2040'!$K$13*'Bilan 2040'!$G$17/SUM('Bilan 2040'!$G$7:$G$19)</f>
        <v>0.24045496884173939</v>
      </c>
      <c r="DK9" s="202">
        <f>'Bilan 2045'!$K$13*'Bilan 2045'!$G$17/SUM('Bilan 2045'!$G$7:$G$19)</f>
        <v>0.25947962892943244</v>
      </c>
      <c r="DL9" s="202">
        <f>'Bilan 2050'!$K$13*'Bilan 2050'!$G$17/SUM('Bilan 2050'!$G$7:$G$19)</f>
        <v>0.26567184855920767</v>
      </c>
    </row>
    <row r="10" spans="1:116" ht="15" x14ac:dyDescent="0.25">
      <c r="A10" s="203" t="s">
        <v>20</v>
      </c>
      <c r="B10" s="204">
        <f>'Bilan 2015'!$C10</f>
        <v>114.07243284087656</v>
      </c>
      <c r="C10" s="204">
        <f>'Bilan 2020'!$C10</f>
        <v>1068.7282415646853</v>
      </c>
      <c r="D10" s="204">
        <f>'Bilan 2023 réel'!$C10*(1-SUM('Bilan 2023 réel'!$M$13:$P$13)/'Bilan 2023 réel'!$D$13)</f>
        <v>1024.855403030303</v>
      </c>
      <c r="E10" s="204">
        <f>'Bilan 2025'!$C10</f>
        <v>1190.909090909091</v>
      </c>
      <c r="F10" s="204">
        <f>'Bilan 2028'!$C10*(1-SUM('Bilan 2028'!$M$13:$P$13)/'Bilan 2028'!$D$13)</f>
        <v>1190.8537949555769</v>
      </c>
      <c r="G10" s="204">
        <f>'Bilan 2030'!$C10*(1-SUM('Bilan 2030'!$M$13:$P$13)/'Bilan 2030'!$D$13)</f>
        <v>1190.836803145455</v>
      </c>
      <c r="H10" s="204">
        <f>'Bilan 2033'!$C10*(1-SUM('Bilan 2033'!$M$13:$P$13)/'Bilan 2033'!$D$13)</f>
        <v>1121.1895148055726</v>
      </c>
      <c r="I10" s="204">
        <f>'Bilan 2035'!$C10*(1-SUM('Bilan 2035'!$M$13:$P$13)/'Bilan 2035'!$D$13)</f>
        <v>1074.7551239708021</v>
      </c>
      <c r="J10" s="204">
        <f>'Bilan 2038'!$C10*(1-SUM('Bilan 2038'!$M$13:$P$13)/'Bilan 2038'!$D$13)</f>
        <v>1005.0925981733353</v>
      </c>
      <c r="K10" s="204">
        <f>'Bilan 2040'!$C10*(1-SUM('Bilan 2040'!$M$13:$P$13)/'Bilan 2040'!$D$13)</f>
        <v>958.64961434515953</v>
      </c>
      <c r="L10" s="204">
        <f>'Bilan 2045'!$C10*(1-SUM('Bilan 2045'!$M$13:$P$13)/'Bilan 2045'!$D$13)</f>
        <v>842.56165402525301</v>
      </c>
      <c r="M10" s="204">
        <f>'Bilan 2050'!$C10*(1-SUM('Bilan 2050'!$M$13:$P$13)/'Bilan 2050'!$D$13)</f>
        <v>726.54021626256326</v>
      </c>
      <c r="N10" s="575"/>
      <c r="O10" s="575"/>
      <c r="P10" s="575"/>
      <c r="Q10" s="570" t="s">
        <v>32</v>
      </c>
      <c r="R10" s="205">
        <f t="shared" ref="R10:AC10" si="88">B12</f>
        <v>3.8621595626186735</v>
      </c>
      <c r="S10" s="205">
        <f t="shared" si="88"/>
        <v>60.547801107489889</v>
      </c>
      <c r="T10" s="205">
        <f t="shared" si="88"/>
        <v>52.478364285088631</v>
      </c>
      <c r="U10" s="205">
        <f t="shared" si="88"/>
        <v>18.968953126226484</v>
      </c>
      <c r="V10" s="205">
        <f t="shared" si="88"/>
        <v>18.552278226412003</v>
      </c>
      <c r="W10" s="205">
        <f t="shared" si="88"/>
        <v>18.284947790404832</v>
      </c>
      <c r="X10" s="205">
        <f t="shared" si="88"/>
        <v>18.050612231589103</v>
      </c>
      <c r="Y10" s="205">
        <f t="shared" si="88"/>
        <v>17.897866443716193</v>
      </c>
      <c r="Z10" s="205">
        <f t="shared" si="88"/>
        <v>17.662369277731681</v>
      </c>
      <c r="AA10" s="205">
        <f t="shared" si="88"/>
        <v>17.508583716220855</v>
      </c>
      <c r="AB10" s="205">
        <f t="shared" si="88"/>
        <v>17.134780574185395</v>
      </c>
      <c r="AC10" s="205">
        <f t="shared" si="88"/>
        <v>47.558512852708176</v>
      </c>
      <c r="AD10" s="193">
        <f t="shared" ref="AD10:AD11" si="89">AD9+1</f>
        <v>2303</v>
      </c>
      <c r="AE10" s="205" t="s">
        <v>224</v>
      </c>
      <c r="AF10" s="205">
        <f>'Bilan 2015'!$S$13*'Bilan 2015'!$G$17/SUM('Bilan 2015'!$G$7:$G$19)</f>
        <v>0.23333728621019617</v>
      </c>
      <c r="AG10" s="205">
        <f>'Bilan 2020'!$S$13*'Bilan 2020'!$G$17/SUM('Bilan 2020'!$G$7:$G$19)</f>
        <v>1.1769395081011844</v>
      </c>
      <c r="AH10" s="205">
        <f>'Bilan 2023 AMS'!$S$13*'Bilan 2023 AMS'!$G$17/SUM('Bilan 2023 AMS'!$G$7:$G$19)</f>
        <v>2.6167871652426151</v>
      </c>
      <c r="AI10" s="205">
        <f>'Bilan 2025'!$S$13*'Bilan 2025'!$G$17/SUM('Bilan 2025'!$G$7:$G$19)</f>
        <v>2.6069859062956899</v>
      </c>
      <c r="AJ10" s="205">
        <f>'Bilan 2028'!$S$13*'Bilan 2028'!$G$17/SUM('Bilan 2028'!$G$7:$G$19)</f>
        <v>2.528170003166645</v>
      </c>
      <c r="AK10" s="205">
        <f>'Bilan 2030'!$S$13*'Bilan 2030'!$G$17/SUM('Bilan 2030'!$G$7:$G$19)</f>
        <v>2.4882473779539032</v>
      </c>
      <c r="AL10" s="205">
        <f>'Bilan 2033'!$S$13*'Bilan 2033'!$G$17/SUM('Bilan 2033'!$G$7:$G$19)</f>
        <v>2.6575740490890798</v>
      </c>
      <c r="AM10" s="205">
        <f>'Bilan 2035'!$S$13*'Bilan 2035'!$G$17/SUM('Bilan 2035'!$G$7:$G$19)</f>
        <v>2.7727509384628508</v>
      </c>
      <c r="AN10" s="205">
        <f>'Bilan 2038'!$S$13*'Bilan 2038'!$G$17/SUM('Bilan 2038'!$G$7:$G$19)</f>
        <v>2.7506601578549756</v>
      </c>
      <c r="AO10" s="205">
        <f>'Bilan 2040'!$S$13*'Bilan 2040'!$G$17/SUM('Bilan 2040'!$G$7:$G$19)</f>
        <v>2.7322567398933875</v>
      </c>
      <c r="AP10" s="205">
        <f>'Bilan 2045'!$S$13*'Bilan 2045'!$G$17/SUM('Bilan 2045'!$G$7:$G$19)</f>
        <v>2.9690849782205939</v>
      </c>
      <c r="AQ10" s="205">
        <f>'Bilan 2050'!$S$13*'Bilan 2050'!$G$17/SUM('Bilan 2050'!$G$7:$G$19)</f>
        <v>3.054618417502859</v>
      </c>
      <c r="AR10" s="206"/>
      <c r="AS10" s="205" t="s">
        <v>224</v>
      </c>
      <c r="AT10" s="205">
        <f>'Bilan 2015'!$S$13*'Bilan 2015'!$G$17/SUM('Bilan 2015'!$G$7:$G$19)</f>
        <v>0.23333728621019617</v>
      </c>
      <c r="AU10" s="205">
        <f>'Bilan 2020'!$S$13*'Bilan 2020'!$G$17/SUM('Bilan 2020'!$G$7:$G$19)</f>
        <v>1.1769395081011844</v>
      </c>
      <c r="AV10" s="205">
        <f>'Bilan 2023 AMS'!$S$13*'Bilan 2023 AMS'!$G$17/SUM('Bilan 2023 AMS'!$G$7:$G$19)</f>
        <v>2.6167871652426151</v>
      </c>
      <c r="AW10" s="205">
        <f>'Bilan 2025'!$S$13*'Bilan 2025'!$G$17/SUM('Bilan 2025'!$G$7:$G$19)</f>
        <v>2.6069859062956899</v>
      </c>
      <c r="AX10" s="205">
        <f>'Bilan 2028'!$S$13*'Bilan 2028'!$G$17/SUM('Bilan 2028'!$G$7:$G$19)</f>
        <v>2.528170003166645</v>
      </c>
      <c r="AY10" s="205">
        <f>'Bilan 2030'!$S$13*'Bilan 2030'!$G$17/SUM('Bilan 2030'!$G$7:$G$19)</f>
        <v>2.4882473779539032</v>
      </c>
      <c r="AZ10" s="205">
        <f>'Bilan 2033'!$S$13*'Bilan 2033'!$G$17/SUM('Bilan 2033'!$G$7:$G$19)</f>
        <v>2.6575740490890798</v>
      </c>
      <c r="BA10" s="205">
        <f>'Bilan 2035'!$S$13*'Bilan 2035'!$G$17/SUM('Bilan 2035'!$G$7:$G$19)</f>
        <v>2.7727509384628508</v>
      </c>
      <c r="BB10" s="205">
        <f>'Bilan 2038'!$S$13*'Bilan 2038'!$G$17/SUM('Bilan 2038'!$G$7:$G$19)</f>
        <v>2.7506601578549756</v>
      </c>
      <c r="BC10" s="205">
        <f>'Bilan 2040'!$S$13*'Bilan 2040'!$G$17/SUM('Bilan 2040'!$G$7:$G$19)</f>
        <v>2.7322567398933875</v>
      </c>
      <c r="BD10" s="205">
        <f>'Bilan 2045'!$S$13*'Bilan 2045'!$G$17/SUM('Bilan 2045'!$G$7:$G$19)</f>
        <v>2.9690849782205939</v>
      </c>
      <c r="BE10" s="205">
        <f>'Bilan 2050'!$S$13*'Bilan 2050'!$G$17/SUM('Bilan 2050'!$G$7:$G$19)</f>
        <v>3.054618417502859</v>
      </c>
      <c r="BF10" s="216"/>
      <c r="BG10" s="205" t="s">
        <v>32</v>
      </c>
      <c r="BH10" s="202">
        <f t="shared" si="56"/>
        <v>1.2659435231846794</v>
      </c>
      <c r="BI10" s="202">
        <f t="shared" si="57"/>
        <v>1.2336304060359775</v>
      </c>
      <c r="BJ10" s="202">
        <f t="shared" si="58"/>
        <v>1.2525633818860951</v>
      </c>
      <c r="BK10" s="202">
        <f t="shared" si="59"/>
        <v>1.2537659372460053</v>
      </c>
      <c r="BL10" s="202">
        <f t="shared" si="60"/>
        <v>1.2057176687855575</v>
      </c>
      <c r="BM10" s="202">
        <f t="shared" si="61"/>
        <v>1.169372588222573</v>
      </c>
      <c r="BN10" s="202">
        <f t="shared" si="62"/>
        <v>1.0977686101626909</v>
      </c>
      <c r="BO10" s="202">
        <f t="shared" si="63"/>
        <v>1.0532236196820219</v>
      </c>
      <c r="BP10" s="202">
        <f t="shared" si="64"/>
        <v>0.99345653497596398</v>
      </c>
      <c r="BQ10" s="202">
        <f t="shared" si="65"/>
        <v>0.95604913411253056</v>
      </c>
      <c r="BR10" s="202">
        <f t="shared" si="66"/>
        <v>0.87765198153192636</v>
      </c>
      <c r="BS10" s="202">
        <f t="shared" si="67"/>
        <v>0.82220581001789095</v>
      </c>
      <c r="BU10" s="205" t="s">
        <v>32</v>
      </c>
      <c r="BV10" s="202">
        <f>'Bilan 2015'!$E19+'Bilan 2015'!$I$13*'Bilan 2015'!$G$19/'Bilan 2015'!$H$13</f>
        <v>1.9287506280736006</v>
      </c>
      <c r="BW10" s="202">
        <f>'Bilan 2020'!$E19+'Bilan 2020'!$I$13*'Bilan 2020'!$G$19/'Bilan 2020'!$H$13</f>
        <v>28.129408160462162</v>
      </c>
      <c r="BX10" s="202">
        <f>'Bilan 2023 réel'!$E19+'Bilan 2023 réel'!$I$13*'Bilan 2023 réel'!$G$19/'Bilan 2023 réel'!$H$13</f>
        <v>23.415695212215574</v>
      </c>
      <c r="BY10" s="202">
        <f>'Bilan 2025'!$E19+'Bilan 2025'!$I$13*'Bilan 2025'!$G$19/'Bilan 2025'!$H$13</f>
        <v>9.3082649943509974</v>
      </c>
      <c r="BZ10" s="202">
        <f>'Bilan 2028'!$E19+'Bilan 2028'!$I$13*'Bilan 2028'!$G$19/'Bilan 2028'!$H$13</f>
        <v>8.8785710663163133</v>
      </c>
      <c r="CA10" s="202">
        <f>'Bilan 2030'!$E19+'Bilan 2030'!$I$13*'Bilan 2030'!$G$19/'Bilan 2030'!$H$13</f>
        <v>8.6055871667830441</v>
      </c>
      <c r="CB10" s="202">
        <f>'Bilan 2033'!$E19+'Bilan 2033'!$I$13*'Bilan 2033'!$G$19/'Bilan 2033'!$H$13</f>
        <v>8.3368686313996534</v>
      </c>
      <c r="CC10" s="202">
        <f>'Bilan 2035'!$E19+'Bilan 2035'!$I$13*'Bilan 2035'!$G$19/'Bilan 2035'!$H$13</f>
        <v>8.1613939552637973</v>
      </c>
      <c r="CD10" s="202">
        <f>'Bilan 2038'!$E19+'Bilan 2038'!$I$13*'Bilan 2038'!$G$19/'Bilan 2038'!$H$13</f>
        <v>7.903475297470008</v>
      </c>
      <c r="CE10" s="202">
        <f>'Bilan 2040'!$E19+'Bilan 2040'!$I$13*'Bilan 2040'!$G$19/'Bilan 2040'!$H$13</f>
        <v>7.7349715048764063</v>
      </c>
      <c r="CF10" s="202">
        <f>'Bilan 2045'!$E19+'Bilan 2045'!$I$13*'Bilan 2045'!$G$19/'Bilan 2045'!$H$13</f>
        <v>7.3252837294390991</v>
      </c>
      <c r="CG10" s="202">
        <f>'Bilan 2050'!$E19+'Bilan 2050'!$I$13*'Bilan 2050'!$G$19/'Bilan 2050'!$H$13</f>
        <v>19.771614824059</v>
      </c>
      <c r="CH10" s="206"/>
      <c r="CJ10" s="205" t="s">
        <v>32</v>
      </c>
      <c r="CK10" s="202">
        <f t="shared" si="68"/>
        <v>7.9921040170571458E-2</v>
      </c>
      <c r="CL10" s="202">
        <f t="shared" si="69"/>
        <v>8.7045000077838858E-2</v>
      </c>
      <c r="CM10" s="202">
        <f t="shared" si="70"/>
        <v>8.8706919811706697E-2</v>
      </c>
      <c r="CN10" s="202">
        <f t="shared" si="71"/>
        <v>8.9854060997460128E-2</v>
      </c>
      <c r="CO10" s="202">
        <f t="shared" si="72"/>
        <v>8.9671267020439718E-2</v>
      </c>
      <c r="CP10" s="202">
        <f t="shared" si="73"/>
        <v>8.955655481981814E-2</v>
      </c>
      <c r="CQ10" s="202">
        <f t="shared" si="74"/>
        <v>8.9042391365625445E-2</v>
      </c>
      <c r="CR10" s="202">
        <f t="shared" si="75"/>
        <v>8.8721271934519702E-2</v>
      </c>
      <c r="CS10" s="202">
        <f t="shared" si="76"/>
        <v>8.8282009795459068E-2</v>
      </c>
      <c r="CT10" s="202">
        <f t="shared" si="77"/>
        <v>8.8005993481828471E-2</v>
      </c>
      <c r="CU10" s="202">
        <f t="shared" si="78"/>
        <v>8.7393803421868227E-2</v>
      </c>
      <c r="CV10" s="202">
        <f t="shared" si="79"/>
        <v>8.697382528597257E-2</v>
      </c>
      <c r="CW10" s="206"/>
      <c r="CX10" s="193">
        <f t="shared" ref="CX10:CX11" si="90">CX9+1</f>
        <v>2303</v>
      </c>
      <c r="CY10" s="205" t="s">
        <v>32</v>
      </c>
      <c r="CZ10" s="207" t="s">
        <v>274</v>
      </c>
      <c r="DA10" s="202">
        <f>'Bilan 2015'!$K$13*'Bilan 2015'!$G$19/SUM('Bilan 2015'!$G$7:$G$19)</f>
        <v>0.12176511321571624</v>
      </c>
      <c r="DB10" s="202">
        <f>'Bilan 2020'!$K$13*'Bilan 2020'!$G$19/SUM('Bilan 2020'!$G$7:$G$19)</f>
        <v>1.984811920601754</v>
      </c>
      <c r="DC10" s="202">
        <f>'Bilan 2023 réel'!$K$13*'Bilan 2023 réel'!$G$19/SUM('Bilan 2023 réel'!$G$7:$G$19)</f>
        <v>1.6583066594184219</v>
      </c>
      <c r="DD10" s="202">
        <f>'Bilan 2025'!$K$13*'Bilan 2025'!$G$19/SUM('Bilan 2025'!$G$7:$G$19)</f>
        <v>0.66709852751313636</v>
      </c>
      <c r="DE10" s="202">
        <f>'Bilan 2028'!$K$13*'Bilan 2028'!$G$19/SUM('Bilan 2028'!$G$7:$G$19)</f>
        <v>0.66031438159939559</v>
      </c>
      <c r="DF10" s="202">
        <f>'Bilan 2030'!$K$13*'Bilan 2030'!$G$19/SUM('Bilan 2030'!$G$7:$G$19)</f>
        <v>0.65906003494588528</v>
      </c>
      <c r="DG10" s="202">
        <f>'Bilan 2033'!$K$13*'Bilan 2033'!$G$19/SUM('Bilan 2033'!$G$7:$G$19)</f>
        <v>0.67622148471787602</v>
      </c>
      <c r="DH10" s="202">
        <f>'Bilan 2035'!$K$13*'Bilan 2035'!$G$19/SUM('Bilan 2035'!$G$7:$G$19)</f>
        <v>0.68749811430198848</v>
      </c>
      <c r="DI10" s="202">
        <f>'Bilan 2038'!$K$13*'Bilan 2038'!$G$19/SUM('Bilan 2038'!$G$7:$G$19)</f>
        <v>0.70233035776074215</v>
      </c>
      <c r="DJ10" s="202">
        <f>'Bilan 2040'!$K$13*'Bilan 2040'!$G$19/SUM('Bilan 2040'!$G$7:$G$19)</f>
        <v>0.71201764381302002</v>
      </c>
      <c r="DK10" s="202">
        <f>'Bilan 2045'!$K$13*'Bilan 2045'!$G$19/SUM('Bilan 2045'!$G$7:$G$19)</f>
        <v>0.72942854312546479</v>
      </c>
      <c r="DL10" s="202">
        <f>'Bilan 2050'!$K$13*'Bilan 2050'!$G$19/SUM('Bilan 2050'!$G$7:$G$19)</f>
        <v>2.0914629310291963</v>
      </c>
    </row>
    <row r="11" spans="1:116" ht="15" x14ac:dyDescent="0.25">
      <c r="A11" s="203" t="s">
        <v>224</v>
      </c>
      <c r="B11" s="204">
        <f>'Bilan 2015'!$C$17</f>
        <v>0.70199999999999996</v>
      </c>
      <c r="C11" s="204">
        <f>'Bilan 2020'!$C$17</f>
        <v>3.4206184464582501</v>
      </c>
      <c r="D11" s="204">
        <f>'Bilan 2023 AMS'!$C$17*(1-SUM('Bilan 2023 AMS'!$M$13:$P$13)/'Bilan 2023 AMS'!$D$13)</f>
        <v>8.1095693809193072</v>
      </c>
      <c r="E11" s="204">
        <f>'Bilan 2025'!$C$17</f>
        <v>7.8209554225929372</v>
      </c>
      <c r="F11" s="204">
        <f>'Bilan 2028'!$C$17*(1-SUM('Bilan 2028'!$M$13:$P$13)/'Bilan 2028'!$D$13)</f>
        <v>7.6464888175397663</v>
      </c>
      <c r="G11" s="204">
        <f>'Bilan 2030'!$C$17*(1-SUM('Bilan 2030'!$M$13:$P$13)/'Bilan 2030'!$D$13)</f>
        <v>7.5303123925867999</v>
      </c>
      <c r="H11" s="204">
        <f>'Bilan 2033'!$C$17*(1-SUM('Bilan 2033'!$M$13:$P$13)/'Bilan 2033'!$D$13)</f>
        <v>7.7929014235367697</v>
      </c>
      <c r="I11" s="204">
        <f>'Bilan 2035'!$C$17*(1-SUM('Bilan 2035'!$M$13:$P$13)/'Bilan 2035'!$D$13)</f>
        <v>7.9678576813248947</v>
      </c>
      <c r="J11" s="204">
        <f>'Bilan 2038'!$C$17*(1-SUM('Bilan 2038'!$M$13:$P$13)/'Bilan 2038'!$D$13)</f>
        <v>7.6981211171096247</v>
      </c>
      <c r="K11" s="204">
        <f>'Bilan 2040'!$C$17*(1-SUM('Bilan 2040'!$M$13:$P$13)/'Bilan 2040'!$D$13)</f>
        <v>7.5182459140662239</v>
      </c>
      <c r="L11" s="204">
        <f>'Bilan 2045'!$C$17*(1-SUM('Bilan 2045'!$M$13:$P$13)/'Bilan 2045'!$D$13)</f>
        <v>7.9172502177748614</v>
      </c>
      <c r="M11" s="204">
        <f>'Bilan 2050'!$C$17*(1-SUM('Bilan 2050'!$M$13:$P$13)/'Bilan 2050'!$D$13)</f>
        <v>8.0517926198923497</v>
      </c>
      <c r="N11" s="575"/>
      <c r="O11" s="575"/>
      <c r="P11" s="575"/>
      <c r="Q11" s="570" t="s">
        <v>42</v>
      </c>
      <c r="R11" s="205">
        <f t="shared" ref="R11:T12" si="91">B13</f>
        <v>2.993512517722364</v>
      </c>
      <c r="S11" s="205">
        <f t="shared" si="91"/>
        <v>9.3252829217432893</v>
      </c>
      <c r="T11" s="205">
        <f t="shared" si="91"/>
        <v>8.0663799447291211</v>
      </c>
      <c r="U11" s="205">
        <f t="shared" ref="U11:AC11" si="92">E13+0.0001</f>
        <v>2.8308670060467733</v>
      </c>
      <c r="V11" s="205">
        <f t="shared" si="92"/>
        <v>2.8283468605791833</v>
      </c>
      <c r="W11" s="205">
        <f t="shared" si="92"/>
        <v>2.8267140561294521</v>
      </c>
      <c r="X11" s="205">
        <f t="shared" si="92"/>
        <v>2.8264467072983419</v>
      </c>
      <c r="Y11" s="205">
        <f t="shared" si="92"/>
        <v>2.8262417228455581</v>
      </c>
      <c r="Z11" s="205">
        <f t="shared" si="92"/>
        <v>2.8258680441761839</v>
      </c>
      <c r="AA11" s="205">
        <f t="shared" si="92"/>
        <v>2.8255849867922453</v>
      </c>
      <c r="AB11" s="205">
        <f t="shared" si="92"/>
        <v>2.8248065270132359</v>
      </c>
      <c r="AC11" s="205">
        <f t="shared" si="92"/>
        <v>2.8240384950677906</v>
      </c>
      <c r="AD11" s="193">
        <f t="shared" si="89"/>
        <v>2304</v>
      </c>
      <c r="AE11" s="205" t="s">
        <v>32</v>
      </c>
      <c r="AF11" s="205">
        <f>'Bilan 2015'!$S$13*'Bilan 2015'!$G$19/SUM('Bilan 2015'!$G$7:$G$19)</f>
        <v>1.5235676732414778</v>
      </c>
      <c r="AG11" s="205">
        <f>'Bilan 2020'!$S$13*'Bilan 2020'!$G$19/SUM('Bilan 2020'!$G$7:$G$19)</f>
        <v>22.802135893237541</v>
      </c>
      <c r="AH11" s="205">
        <f>'Bilan 2023 réel'!$S$13*'Bilan 2023 réel'!$G$19/SUM('Bilan 2023 réel'!$G$7:$G$19)</f>
        <v>18.694219830182565</v>
      </c>
      <c r="AI11" s="205">
        <f>'Bilan 2025'!$S$13*'Bilan 2025'!$G$19/SUM('Bilan 2025'!$G$7:$G$19)</f>
        <v>7.4242446040584964</v>
      </c>
      <c r="AJ11" s="205">
        <f>'Bilan 2028'!$S$13*'Bilan 2028'!$G$19/SUM('Bilan 2028'!$G$7:$G$19)</f>
        <v>7.3637231137693551</v>
      </c>
      <c r="AK11" s="205">
        <f>'Bilan 2030'!$S$13*'Bilan 2030'!$G$19/SUM('Bilan 2030'!$G$7:$G$19)</f>
        <v>7.3591490457830853</v>
      </c>
      <c r="AL11" s="205">
        <f>'Bilan 2033'!$S$13*'Bilan 2033'!$G$19/SUM('Bilan 2033'!$G$7:$G$19)</f>
        <v>7.5943769517732127</v>
      </c>
      <c r="AM11" s="205">
        <f>'Bilan 2035'!$S$13*'Bilan 2035'!$G$19/SUM('Bilan 2035'!$G$7:$G$19)</f>
        <v>7.7489659391875385</v>
      </c>
      <c r="AN11" s="205">
        <f>'Bilan 2038'!$S$13*'Bilan 2038'!$G$19/SUM('Bilan 2038'!$G$7:$G$19)</f>
        <v>7.955532043141905</v>
      </c>
      <c r="AO11" s="205">
        <f>'Bilan 2040'!$S$13*'Bilan 2040'!$G$19/SUM('Bilan 2040'!$G$7:$G$19)</f>
        <v>8.090558559060387</v>
      </c>
      <c r="AP11" s="205">
        <f>'Bilan 2045'!$S$13*'Bilan 2045'!$G$19/SUM('Bilan 2045'!$G$7:$G$19)</f>
        <v>8.3464560937388228</v>
      </c>
      <c r="AQ11" s="205">
        <f>'Bilan 2050'!$S$13*'Bilan 2050'!$G$19/SUM('Bilan 2050'!$G$7:$G$19)</f>
        <v>24.047038567665652</v>
      </c>
      <c r="AR11" s="206"/>
      <c r="AS11" s="205" t="s">
        <v>32</v>
      </c>
      <c r="AT11" s="205">
        <f>'Bilan 2015'!$S$13*'Bilan 2015'!$G$19/SUM('Bilan 2015'!$G$7:$G$19)</f>
        <v>1.5235676732414778</v>
      </c>
      <c r="AU11" s="205">
        <f>'Bilan 2020'!$S$13*'Bilan 2020'!$G$19/SUM('Bilan 2020'!$G$7:$G$19)</f>
        <v>22.802135893237541</v>
      </c>
      <c r="AV11" s="205">
        <f>'Bilan 2023 réel'!$S$13*'Bilan 2023 réel'!$G$19/SUM('Bilan 2023 réel'!$G$7:$G$19)</f>
        <v>18.694219830182565</v>
      </c>
      <c r="AW11" s="205">
        <f>'Bilan 2025'!$S$13*'Bilan 2025'!$G$19/SUM('Bilan 2025'!$G$7:$G$19)</f>
        <v>7.4242446040584964</v>
      </c>
      <c r="AX11" s="205">
        <f>'Bilan 2028'!$S$13*'Bilan 2028'!$G$19/SUM('Bilan 2028'!$G$7:$G$19)</f>
        <v>7.3637231137693551</v>
      </c>
      <c r="AY11" s="205">
        <f>'Bilan 2030'!$S$13*'Bilan 2030'!$G$19/SUM('Bilan 2030'!$G$7:$G$19)</f>
        <v>7.3591490457830853</v>
      </c>
      <c r="AZ11" s="205">
        <f>'Bilan 2033'!$S$13*'Bilan 2033'!$G$19/SUM('Bilan 2033'!$G$7:$G$19)</f>
        <v>7.5943769517732127</v>
      </c>
      <c r="BA11" s="205">
        <f>'Bilan 2035'!$S$13*'Bilan 2035'!$G$19/SUM('Bilan 2035'!$G$7:$G$19)</f>
        <v>7.7489659391875385</v>
      </c>
      <c r="BB11" s="205">
        <f>'Bilan 2038'!$S$13*'Bilan 2038'!$G$19/SUM('Bilan 2038'!$G$7:$G$19)</f>
        <v>7.955532043141905</v>
      </c>
      <c r="BC11" s="205">
        <f>'Bilan 2040'!$S$13*'Bilan 2040'!$G$19/SUM('Bilan 2040'!$G$7:$G$19)</f>
        <v>8.090558559060387</v>
      </c>
      <c r="BD11" s="205">
        <f>'Bilan 2045'!$S$13*'Bilan 2045'!$G$19/SUM('Bilan 2045'!$G$7:$G$19)</f>
        <v>8.3464560937388228</v>
      </c>
      <c r="BE11" s="205">
        <f>'Bilan 2050'!$S$13*'Bilan 2050'!$G$19/SUM('Bilan 2050'!$G$7:$G$19)</f>
        <v>24.047038567665652</v>
      </c>
      <c r="BF11" s="216"/>
      <c r="BG11" s="205" t="s">
        <v>42</v>
      </c>
      <c r="BH11" s="202">
        <f t="shared" si="56"/>
        <v>2.9105546410597891</v>
      </c>
      <c r="BI11" s="202">
        <f t="shared" si="57"/>
        <v>2.8223993573954025</v>
      </c>
      <c r="BJ11" s="202">
        <f t="shared" si="58"/>
        <v>2.8642104635353127</v>
      </c>
      <c r="BK11" s="202">
        <f t="shared" si="59"/>
        <v>2.9126585138003094</v>
      </c>
      <c r="BL11" s="202">
        <f t="shared" si="60"/>
        <v>2.9338393389673967</v>
      </c>
      <c r="BM11" s="202">
        <f t="shared" si="61"/>
        <v>2.9343060606860223</v>
      </c>
      <c r="BN11" s="202">
        <f t="shared" si="62"/>
        <v>2.8395987886765885</v>
      </c>
      <c r="BO11" s="202">
        <f t="shared" si="63"/>
        <v>2.7804693168173138</v>
      </c>
      <c r="BP11" s="202">
        <f t="shared" si="64"/>
        <v>2.704669282026257</v>
      </c>
      <c r="BQ11" s="202">
        <f t="shared" si="65"/>
        <v>2.6571816253481764</v>
      </c>
      <c r="BR11" s="202">
        <f t="shared" si="66"/>
        <v>2.5700755773019459</v>
      </c>
      <c r="BS11" s="202">
        <f t="shared" si="67"/>
        <v>2.5368188859966052</v>
      </c>
      <c r="BU11" s="205" t="s">
        <v>42</v>
      </c>
      <c r="BV11" s="202">
        <f>'Bilan 2015'!$E18+'Bilan 2015'!$I$13*'Bilan 2015'!$G$18/'Bilan 2015'!$H$13</f>
        <v>2.0937924633385379</v>
      </c>
      <c r="BW11" s="202">
        <f>'Bilan 2020'!$E18+'Bilan 2020'!$I$13*'Bilan 2020'!$G$18/'Bilan 2020'!$H$13</f>
        <v>6.5472625385522827</v>
      </c>
      <c r="BX11" s="202">
        <f>'Bilan 2023 réel'!$E18+'Bilan 2023 réel'!$I$13*'Bilan 2023 réel'!$G$18/'Bilan 2023 réel'!$H$13</f>
        <v>5.6657012927211037</v>
      </c>
      <c r="BY11" s="202">
        <f>'Bilan 2025'!$E18+'Bilan 2025'!$I$13*'Bilan 2025'!$G$18/'Bilan 2025'!$H$13</f>
        <v>1.9870204381266063</v>
      </c>
      <c r="BZ11" s="202">
        <f>'Bilan 2028'!$E18+'Bilan 2028'!$I$13*'Bilan 2028'!$G$18/'Bilan 2028'!$H$13</f>
        <v>1.9834790788816132</v>
      </c>
      <c r="CA11" s="202">
        <f>'Bilan 2030'!$E18+'Bilan 2030'!$I$13*'Bilan 2030'!$G$18/'Bilan 2030'!$H$13</f>
        <v>1.9814460553941722</v>
      </c>
      <c r="CB11" s="202">
        <f>'Bilan 2033'!$E18+'Bilan 2033'!$I$13*'Bilan 2033'!$G$18/'Bilan 2033'!$H$13</f>
        <v>1.9787839348697509</v>
      </c>
      <c r="CC11" s="202">
        <f>'Bilan 2035'!$E18+'Bilan 2035'!$I$13*'Bilan 2035'!$G$18/'Bilan 2035'!$H$13</f>
        <v>1.9770201812367223</v>
      </c>
      <c r="CD11" s="202">
        <f>'Bilan 2038'!$E18+'Bilan 2038'!$I$13*'Bilan 2038'!$G$18/'Bilan 2038'!$H$13</f>
        <v>1.9743886313473078</v>
      </c>
      <c r="CE11" s="202">
        <f>'Bilan 2040'!$E18+'Bilan 2040'!$I$13*'Bilan 2040'!$G$18/'Bilan 2040'!$H$13</f>
        <v>1.9726452450011398</v>
      </c>
      <c r="CF11" s="202">
        <f>'Bilan 2045'!$E18+'Bilan 2045'!$I$13*'Bilan 2045'!$G$18/'Bilan 2045'!$H$13</f>
        <v>1.9683270077023691</v>
      </c>
      <c r="CG11" s="202">
        <f>'Bilan 2050'!$E18+'Bilan 2050'!$I$13*'Bilan 2050'!$G$18/'Bilan 2050'!$H$13</f>
        <v>1.9648927373142786</v>
      </c>
      <c r="CH11" s="206"/>
      <c r="CJ11" s="205" t="s">
        <v>42</v>
      </c>
      <c r="CK11" s="202">
        <f t="shared" si="68"/>
        <v>7.9921040170571458E-2</v>
      </c>
      <c r="CL11" s="202">
        <f t="shared" si="69"/>
        <v>8.7045000077838858E-2</v>
      </c>
      <c r="CM11" s="202">
        <f t="shared" si="70"/>
        <v>8.8706919811706697E-2</v>
      </c>
      <c r="CN11" s="202">
        <f t="shared" si="71"/>
        <v>8.9854060997460128E-2</v>
      </c>
      <c r="CO11" s="202">
        <f t="shared" si="72"/>
        <v>8.9671267020439718E-2</v>
      </c>
      <c r="CP11" s="202">
        <f t="shared" si="73"/>
        <v>8.955655481981814E-2</v>
      </c>
      <c r="CQ11" s="202">
        <f t="shared" si="74"/>
        <v>8.9042391365625431E-2</v>
      </c>
      <c r="CR11" s="202">
        <f t="shared" si="75"/>
        <v>8.8721271934519702E-2</v>
      </c>
      <c r="CS11" s="202">
        <f t="shared" si="76"/>
        <v>8.8282009795459082E-2</v>
      </c>
      <c r="CT11" s="202">
        <f t="shared" si="77"/>
        <v>8.8005993481828484E-2</v>
      </c>
      <c r="CU11" s="202">
        <f t="shared" si="78"/>
        <v>8.7393803421868213E-2</v>
      </c>
      <c r="CV11" s="202">
        <f t="shared" si="79"/>
        <v>8.697382528597257E-2</v>
      </c>
      <c r="CW11" s="206"/>
      <c r="CX11" s="193">
        <f t="shared" si="90"/>
        <v>2304</v>
      </c>
      <c r="CY11" s="205" t="s">
        <v>42</v>
      </c>
      <c r="CZ11" s="207" t="s">
        <v>275</v>
      </c>
      <c r="DA11" s="202">
        <f>'Bilan 2015'!$K$13*'Bilan 2015'!$G$18/SUM('Bilan 2015'!$G$7:$G$19)</f>
        <v>5.7493533778973496E-2</v>
      </c>
      <c r="DB11" s="202">
        <f>'Bilan 2020'!$K$13*'Bilan 2020'!$G$18/SUM('Bilan 2020'!$G$7:$G$19)</f>
        <v>0.20192268917742462</v>
      </c>
      <c r="DC11" s="202">
        <f>'Bilan 2023 réel'!$K$13*'Bilan 2023 réel'!$G$18/SUM('Bilan 2023 réel'!$G$7:$G$19)</f>
        <v>0.1754713617064815</v>
      </c>
      <c r="DD11" s="202">
        <f>'Bilan 2025'!$K$13*'Bilan 2025'!$G$18/SUM('Bilan 2025'!$G$7:$G$19)</f>
        <v>6.1298588490442167E-2</v>
      </c>
      <c r="DE11" s="202">
        <f>'Bilan 2028'!$K$13*'Bilan 2028'!$G$18/SUM('Bilan 2028'!$G$7:$G$19)</f>
        <v>6.0624002054062542E-2</v>
      </c>
      <c r="DF11" s="202">
        <f>'Bilan 2030'!$K$13*'Bilan 2030'!$G$18/SUM('Bilan 2030'!$G$7:$G$19)</f>
        <v>6.0474769370490809E-2</v>
      </c>
      <c r="DG11" s="202">
        <f>'Bilan 2033'!$K$13*'Bilan 2033'!$G$18/SUM('Bilan 2033'!$G$7:$G$19)</f>
        <v>6.2049488913467822E-2</v>
      </c>
      <c r="DH11" s="202">
        <f>'Bilan 2035'!$K$13*'Bilan 2035'!$G$18/SUM('Bilan 2035'!$G$7:$G$19)</f>
        <v>6.3084222529854767E-2</v>
      </c>
      <c r="DI11" s="202">
        <f>'Bilan 2038'!$K$13*'Bilan 2038'!$G$18/SUM('Bilan 2038'!$G$7:$G$19)</f>
        <v>6.4445216149333975E-2</v>
      </c>
      <c r="DJ11" s="202">
        <f>'Bilan 2040'!$K$13*'Bilan 2040'!$G$18/SUM('Bilan 2040'!$G$7:$G$19)</f>
        <v>6.5334113000567837E-2</v>
      </c>
      <c r="DK11" s="202">
        <f>'Bilan 2045'!$K$13*'Bilan 2045'!$G$18/SUM('Bilan 2045'!$G$7:$G$19)</f>
        <v>6.6931721814064454E-2</v>
      </c>
      <c r="DL11" s="202">
        <f>'Bilan 2050'!$K$13*'Bilan 2050'!$G$18/SUM('Bilan 2050'!$G$7:$G$19)</f>
        <v>6.7365565032724672E-2</v>
      </c>
    </row>
    <row r="12" spans="1:116" ht="12.75" x14ac:dyDescent="0.2">
      <c r="A12" s="203" t="s">
        <v>409</v>
      </c>
      <c r="B12" s="204">
        <f>'Bilan 2015'!$C$11+'Bilan 2015'!$C$19</f>
        <v>3.8621595626186735</v>
      </c>
      <c r="C12" s="204">
        <f>'Bilan 2020'!$C$11+'Bilan 2020'!$C$19</f>
        <v>60.547801107489889</v>
      </c>
      <c r="D12" s="204">
        <f>('Bilan 2023 réel'!$C$11+'Bilan 2023 réel'!$C$19)*(1-SUM('Bilan 2023 réel'!$M$13:$P$13)/'Bilan 2023 réel'!$D$13)</f>
        <v>52.478364285088631</v>
      </c>
      <c r="E12" s="204">
        <f>'Bilan 2025'!$C$11+'Bilan 2025'!$C$19</f>
        <v>18.968953126226484</v>
      </c>
      <c r="F12" s="204">
        <f>('Bilan 2028'!$C$11+'Bilan 2028'!$C$19)*(1-SUM('Bilan 2028'!$M$13:$P$13)/'Bilan 2028'!$D$13)</f>
        <v>18.552278226412003</v>
      </c>
      <c r="G12" s="204">
        <f>('Bilan 2030'!$C$11+'Bilan 2030'!$C$19)*(1-SUM('Bilan 2030'!$M$13:$P$13)/'Bilan 2030'!$D$13)</f>
        <v>18.284947790404832</v>
      </c>
      <c r="H12" s="204">
        <f>('Bilan 2033'!$C$11+'Bilan 2033'!$C$19)*(1-SUM('Bilan 2033'!$M$13:$P$13)/'Bilan 2033'!$D$13)</f>
        <v>18.050612231589103</v>
      </c>
      <c r="I12" s="204">
        <f>('Bilan 2035'!$C$11+'Bilan 2035'!$C$19)*(1-SUM('Bilan 2035'!$M$13:$P$13)/'Bilan 2035'!$D$13)</f>
        <v>17.897866443716193</v>
      </c>
      <c r="J12" s="204">
        <f>('Bilan 2038'!$C$11+'Bilan 2038'!$C$19)*(1-SUM('Bilan 2038'!$M$13:$P$13)/'Bilan 2038'!$D$13)</f>
        <v>17.662369277731681</v>
      </c>
      <c r="K12" s="204">
        <f>('Bilan 2040'!$C$11+'Bilan 2040'!$C$19)*(1-SUM('Bilan 2040'!$M$13:$P$13)/'Bilan 2040'!$D$13)</f>
        <v>17.508583716220855</v>
      </c>
      <c r="L12" s="204">
        <f>('Bilan 2045'!$C$11+'Bilan 2045'!$C$19)*(1-SUM('Bilan 2045'!$M$13:$P$13)/'Bilan 2045'!$D$13)</f>
        <v>17.134780574185395</v>
      </c>
      <c r="M12" s="204">
        <f>('Bilan 2050'!$C$11+'Bilan 2050'!$C$19)*(1-SUM('Bilan 2050'!$M$13:$P$13)/'Bilan 2050'!$D$13)</f>
        <v>47.558512852708176</v>
      </c>
      <c r="N12" s="575"/>
      <c r="O12" s="575"/>
      <c r="P12" s="575"/>
      <c r="Q12" s="570" t="s">
        <v>17</v>
      </c>
      <c r="R12" s="205">
        <f t="shared" si="91"/>
        <v>2.6944655873275929</v>
      </c>
      <c r="S12" s="205">
        <f t="shared" si="91"/>
        <v>43.442050197585424</v>
      </c>
      <c r="T12" s="205">
        <f t="shared" si="91"/>
        <v>50.187689179373137</v>
      </c>
      <c r="U12" s="205">
        <f t="shared" ref="U12:AC12" si="93">E14</f>
        <v>64.725058264068068</v>
      </c>
      <c r="V12" s="205">
        <f t="shared" si="93"/>
        <v>78.241517928106177</v>
      </c>
      <c r="W12" s="205">
        <f t="shared" si="93"/>
        <v>84.297049967794123</v>
      </c>
      <c r="X12" s="205">
        <f t="shared" si="93"/>
        <v>96.490617751961651</v>
      </c>
      <c r="Y12" s="205">
        <f t="shared" si="93"/>
        <v>104.61652024382062</v>
      </c>
      <c r="Z12" s="205">
        <f t="shared" si="93"/>
        <v>116.80011128214937</v>
      </c>
      <c r="AA12" s="205">
        <f t="shared" si="93"/>
        <v>124.91871920899968</v>
      </c>
      <c r="AB12" s="205">
        <f t="shared" si="93"/>
        <v>145.19815460088671</v>
      </c>
      <c r="AC12" s="205">
        <f t="shared" si="93"/>
        <v>165.52901110604901</v>
      </c>
      <c r="AE12" s="205" t="s">
        <v>42</v>
      </c>
      <c r="AF12" s="205">
        <f>'Bilan 2015'!$S$13*'Bilan 2015'!$G$18/SUM('Bilan 2015'!$G$7:$G$19)</f>
        <v>0.71937919797174732</v>
      </c>
      <c r="AG12" s="205">
        <f>'Bilan 2020'!$S$13*'Bilan 2020'!$G$18/SUM('Bilan 2020'!$G$7:$G$19)</f>
        <v>2.3197505772515123</v>
      </c>
      <c r="AH12" s="205">
        <f>'Bilan 2023 réel'!$S$13*'Bilan 2023 réel'!$G$18/SUM('Bilan 2023 réel'!$G$7:$G$19)</f>
        <v>1.9781022955023679</v>
      </c>
      <c r="AI12" s="205">
        <f>'Bilan 2025'!$S$13*'Bilan 2025'!$G$18/SUM('Bilan 2025'!$G$7:$G$19)</f>
        <v>0.68220164798310978</v>
      </c>
      <c r="AJ12" s="205">
        <f>'Bilan 2028'!$S$13*'Bilan 2028'!$G$18/SUM('Bilan 2028'!$G$7:$G$19)</f>
        <v>0.67606942634415856</v>
      </c>
      <c r="AK12" s="205">
        <f>'Bilan 2030'!$S$13*'Bilan 2030'!$G$18/SUM('Bilan 2030'!$G$7:$G$19)</f>
        <v>0.67526904638261309</v>
      </c>
      <c r="AL12" s="205">
        <f>'Bilan 2033'!$S$13*'Bilan 2033'!$G$18/SUM('Bilan 2033'!$G$7:$G$19)</f>
        <v>0.69685335222726119</v>
      </c>
      <c r="AM12" s="205">
        <f>'Bilan 2035'!$S$13*'Bilan 2035'!$G$18/SUM('Bilan 2035'!$G$7:$G$19)</f>
        <v>0.71103830179997607</v>
      </c>
      <c r="AN12" s="205">
        <f>'Bilan 2038'!$S$13*'Bilan 2038'!$G$18/SUM('Bilan 2038'!$G$7:$G$19)</f>
        <v>0.72999262588886837</v>
      </c>
      <c r="AO12" s="205">
        <f>'Bilan 2040'!$S$13*'Bilan 2040'!$G$18/SUM('Bilan 2040'!$G$7:$G$19)</f>
        <v>0.74238254027616946</v>
      </c>
      <c r="AP12" s="205">
        <f>'Bilan 2045'!$S$13*'Bilan 2045'!$G$18/SUM('Bilan 2045'!$G$7:$G$19)</f>
        <v>0.76586347307681524</v>
      </c>
      <c r="AQ12" s="205">
        <f>'Bilan 2050'!$S$13*'Bilan 2050'!$G$18/SUM('Bilan 2050'!$G$7:$G$19)</f>
        <v>0.77454986958690908</v>
      </c>
      <c r="AR12" s="206"/>
      <c r="AS12" s="205" t="s">
        <v>42</v>
      </c>
      <c r="AT12" s="205">
        <f>'Bilan 2015'!$S$13*'Bilan 2015'!$G$18/SUM('Bilan 2015'!$G$7:$G$19)</f>
        <v>0.71937919797174732</v>
      </c>
      <c r="AU12" s="205">
        <f>'Bilan 2020'!$S$13*'Bilan 2020'!$G$18/SUM('Bilan 2020'!$G$7:$G$19)</f>
        <v>2.3197505772515123</v>
      </c>
      <c r="AV12" s="205">
        <f>'Bilan 2023 réel'!$S$13*'Bilan 2023 réel'!$G$18/SUM('Bilan 2023 réel'!$G$7:$G$19)</f>
        <v>1.9781022955023679</v>
      </c>
      <c r="AW12" s="205">
        <f>'Bilan 2025'!$S$13*'Bilan 2025'!$G$18/SUM('Bilan 2025'!$G$7:$G$19)</f>
        <v>0.68220164798310978</v>
      </c>
      <c r="AX12" s="205">
        <f>'Bilan 2028'!$S$13*'Bilan 2028'!$G$18/SUM('Bilan 2028'!$G$7:$G$19)</f>
        <v>0.67606942634415856</v>
      </c>
      <c r="AY12" s="205">
        <f>'Bilan 2030'!$S$13*'Bilan 2030'!$G$18/SUM('Bilan 2030'!$G$7:$G$19)</f>
        <v>0.67526904638261309</v>
      </c>
      <c r="AZ12" s="205">
        <f>'Bilan 2033'!$S$13*'Bilan 2033'!$G$18/SUM('Bilan 2033'!$G$7:$G$19)</f>
        <v>0.69685335222726119</v>
      </c>
      <c r="BA12" s="205">
        <f>'Bilan 2035'!$S$13*'Bilan 2035'!$G$18/SUM('Bilan 2035'!$G$7:$G$19)</f>
        <v>0.71103830179997607</v>
      </c>
      <c r="BB12" s="205">
        <f>'Bilan 2038'!$S$13*'Bilan 2038'!$G$18/SUM('Bilan 2038'!$G$7:$G$19)</f>
        <v>0.72999262588886837</v>
      </c>
      <c r="BC12" s="205">
        <f>'Bilan 2040'!$S$13*'Bilan 2040'!$G$18/SUM('Bilan 2040'!$G$7:$G$19)</f>
        <v>0.74238254027616946</v>
      </c>
      <c r="BD12" s="205">
        <f>'Bilan 2045'!$S$13*'Bilan 2045'!$G$18/SUM('Bilan 2045'!$G$7:$G$19)</f>
        <v>0.76586347307681524</v>
      </c>
      <c r="BE12" s="205">
        <f>'Bilan 2050'!$S$13*'Bilan 2050'!$G$18/SUM('Bilan 2050'!$G$7:$G$19)</f>
        <v>0.77454986958690908</v>
      </c>
      <c r="BF12" s="216"/>
      <c r="BG12" s="205" t="s">
        <v>411</v>
      </c>
      <c r="BH12" s="202">
        <f t="shared" si="56"/>
        <v>1.2659435231846794</v>
      </c>
      <c r="BI12" s="202">
        <f t="shared" si="57"/>
        <v>1.2336304060359773</v>
      </c>
      <c r="BJ12" s="202">
        <f t="shared" si="58"/>
        <v>1.2525633818860953</v>
      </c>
      <c r="BK12" s="202">
        <f t="shared" si="59"/>
        <v>1.2537659372460053</v>
      </c>
      <c r="BL12" s="202">
        <f t="shared" si="60"/>
        <v>1.2057176687855575</v>
      </c>
      <c r="BM12" s="202">
        <f t="shared" si="61"/>
        <v>1.1693725882225734</v>
      </c>
      <c r="BN12" s="202">
        <f t="shared" si="62"/>
        <v>1.0977686101626909</v>
      </c>
      <c r="BO12" s="202">
        <f t="shared" si="63"/>
        <v>1.0532236196820219</v>
      </c>
      <c r="BP12" s="202">
        <f t="shared" si="64"/>
        <v>0.99345653497596409</v>
      </c>
      <c r="BQ12" s="202">
        <f t="shared" si="65"/>
        <v>0.95604913411253079</v>
      </c>
      <c r="BR12" s="202">
        <f t="shared" si="66"/>
        <v>0.87765198153192625</v>
      </c>
      <c r="BS12" s="202">
        <f t="shared" si="67"/>
        <v>0.82220581001789095</v>
      </c>
      <c r="BU12" s="205" t="s">
        <v>411</v>
      </c>
      <c r="BV12" s="202">
        <f>'Bilan 2015'!$E$11+'Bilan 2015'!$I$13*'Bilan 2015'!$G$11/'Bilan 2015'!$H$13</f>
        <v>1.4033924673450996E-2</v>
      </c>
      <c r="BW12" s="202">
        <f>'Bilan 2020'!$E$11+'Bilan 2020'!$I$13*'Bilan 2020'!$G$11/'Bilan 2020'!$H$13</f>
        <v>2.5937613317043193</v>
      </c>
      <c r="BX12" s="202">
        <f>'Bilan 2023 réel'!$E$11+'Bilan 2023 réel'!$I$13*'Bilan 2023 réel'!$G$11/'Bilan 2023 réel'!$H$13</f>
        <v>3.2377513018932209</v>
      </c>
      <c r="BY12" s="202">
        <f>'Bilan 2025'!$E$11+'Bilan 2025'!$I$13*'Bilan 2025'!$G$11/'Bilan 2025'!$H$13</f>
        <v>0.24082301106733106</v>
      </c>
      <c r="BZ12" s="202">
        <f>'Bilan 2028'!$E$11+'Bilan 2028'!$I$13*'Bilan 2028'!$G$11/'Bilan 2028'!$H$13</f>
        <v>0.23175037073101323</v>
      </c>
      <c r="CA12" s="202">
        <f>'Bilan 2030'!$E$11+'Bilan 2030'!$I$13*'Bilan 2030'!$G$11/'Bilan 2030'!$H$13</f>
        <v>0.22596845939161112</v>
      </c>
      <c r="CB12" s="202">
        <f>'Bilan 2033'!$E$11+'Bilan 2033'!$I$13*'Bilan 2033'!$G$11/'Bilan 2033'!$H$13</f>
        <v>0.2252478510257275</v>
      </c>
      <c r="CC12" s="202">
        <f>'Bilan 2035'!$E$11+'Bilan 2035'!$I$13*'Bilan 2035'!$G$11/'Bilan 2035'!$H$13</f>
        <v>0.22472456630878207</v>
      </c>
      <c r="CD12" s="202">
        <f>'Bilan 2038'!$E$11+'Bilan 2038'!$I$13*'Bilan 2038'!$G$11/'Bilan 2038'!$H$13</f>
        <v>0.21869718417475356</v>
      </c>
      <c r="CE12" s="202">
        <f>'Bilan 2040'!$E$11+'Bilan 2040'!$I$13*'Bilan 2040'!$G$11/'Bilan 2040'!$H$13</f>
        <v>0.21474015342174069</v>
      </c>
      <c r="CF12" s="202">
        <f>'Bilan 2045'!$E$11+'Bilan 2045'!$I$13*'Bilan 2045'!$G$11/'Bilan 2045'!$H$13</f>
        <v>0.20487856570468763</v>
      </c>
      <c r="CG12" s="202">
        <f>'Bilan 2050'!$E$11+'Bilan 2050'!$I$13*'Bilan 2050'!$G$11/'Bilan 2050'!$H$13</f>
        <v>0.45726182925080583</v>
      </c>
      <c r="CH12" s="206"/>
      <c r="CJ12" s="205" t="s">
        <v>411</v>
      </c>
      <c r="CK12" s="202">
        <f t="shared" si="68"/>
        <v>7.9921040170571472E-2</v>
      </c>
      <c r="CL12" s="202">
        <f t="shared" si="69"/>
        <v>8.7045000077838844E-2</v>
      </c>
      <c r="CM12" s="202">
        <f t="shared" si="70"/>
        <v>8.8706919811706683E-2</v>
      </c>
      <c r="CN12" s="202">
        <f t="shared" si="71"/>
        <v>8.9854060997460128E-2</v>
      </c>
      <c r="CO12" s="202">
        <f t="shared" si="72"/>
        <v>8.9671267020439718E-2</v>
      </c>
      <c r="CP12" s="202">
        <f t="shared" si="73"/>
        <v>8.955655481981814E-2</v>
      </c>
      <c r="CQ12" s="202">
        <f t="shared" si="74"/>
        <v>8.9042391365625445E-2</v>
      </c>
      <c r="CR12" s="202">
        <f t="shared" si="75"/>
        <v>8.8721271934519702E-2</v>
      </c>
      <c r="CS12" s="202">
        <f t="shared" si="76"/>
        <v>8.8282009795459082E-2</v>
      </c>
      <c r="CT12" s="202">
        <f t="shared" si="77"/>
        <v>8.8005993481828471E-2</v>
      </c>
      <c r="CU12" s="202">
        <f t="shared" si="78"/>
        <v>8.7393803421868227E-2</v>
      </c>
      <c r="CV12" s="202">
        <f t="shared" si="79"/>
        <v>8.697382528597257E-2</v>
      </c>
      <c r="CW12" s="206"/>
      <c r="CY12" s="205" t="s">
        <v>21</v>
      </c>
      <c r="DA12" s="202">
        <f>'Bilan 2015'!$K$13*'Bilan 2015'!$G$11/SUM('Bilan 2015'!$G$7:$G$19)</f>
        <v>8.8598411938320583E-4</v>
      </c>
      <c r="DB12" s="202">
        <f>'Bilan 2020'!$K$13*'Bilan 2020'!$G$11/SUM('Bilan 2020'!$G$7:$G$19)</f>
        <v>0.18301588078197342</v>
      </c>
      <c r="DC12" s="202">
        <f>'Bilan 2023 réel'!$K$13*'Bilan 2023 réel'!$G$11/SUM('Bilan 2023 réel'!$G$7:$G$19)</f>
        <v>0.22929853232242189</v>
      </c>
      <c r="DD12" s="202">
        <f>'Bilan 2025'!$K$13*'Bilan 2025'!$G$11/SUM('Bilan 2025'!$G$7:$G$19)</f>
        <v>1.7259142941438949E-2</v>
      </c>
      <c r="DE12" s="202">
        <f>'Bilan 2028'!$K$13*'Bilan 2028'!$G$11/SUM('Bilan 2028'!$G$7:$G$19)</f>
        <v>1.7235667946077553E-2</v>
      </c>
      <c r="DF12" s="202">
        <f>'Bilan 2030'!$K$13*'Bilan 2030'!$G$11/SUM('Bilan 2030'!$G$7:$G$19)</f>
        <v>1.7305824443699765E-2</v>
      </c>
      <c r="DG12" s="202">
        <f>'Bilan 2033'!$K$13*'Bilan 2033'!$G$11/SUM('Bilan 2033'!$G$7:$G$19)</f>
        <v>1.8270341417693212E-2</v>
      </c>
      <c r="DH12" s="202">
        <f>'Bilan 2035'!$K$13*'Bilan 2035'!$G$11/SUM('Bilan 2035'!$G$7:$G$19)</f>
        <v>1.893030975118834E-2</v>
      </c>
      <c r="DI12" s="202">
        <f>'Bilan 2038'!$K$13*'Bilan 2038'!$G$11/SUM('Bilan 2038'!$G$7:$G$19)</f>
        <v>1.9434193923765403E-2</v>
      </c>
      <c r="DJ12" s="202">
        <f>'Bilan 2040'!$K$13*'Bilan 2040'!$G$11/SUM('Bilan 2040'!$G$7:$G$19)</f>
        <v>1.9767206378847196E-2</v>
      </c>
      <c r="DK12" s="202">
        <f>'Bilan 2045'!$K$13*'Bilan 2045'!$G$11/SUM('Bilan 2045'!$G$7:$G$19)</f>
        <v>2.0401158401416371E-2</v>
      </c>
      <c r="DL12" s="202">
        <f>'Bilan 2050'!$K$13*'Bilan 2050'!$G$11/SUM('Bilan 2050'!$G$7:$G$19)</f>
        <v>4.8369653878191921E-2</v>
      </c>
    </row>
    <row r="13" spans="1:116" ht="15" x14ac:dyDescent="0.25">
      <c r="A13" s="203" t="s">
        <v>42</v>
      </c>
      <c r="B13" s="205">
        <f>'Bilan 2015'!$C$18</f>
        <v>2.993512517722364</v>
      </c>
      <c r="C13" s="205">
        <f>'Bilan 2020'!$C$18</f>
        <v>9.3252829217432893</v>
      </c>
      <c r="D13" s="205">
        <f>'Bilan 2023 réel'!$C$18*(1-SUM('Bilan 2023 réel'!$M$13:$P$13)/'Bilan 2023 réel'!$D$13)</f>
        <v>8.0663799447291211</v>
      </c>
      <c r="E13" s="205">
        <f>'Bilan 2025'!$C$18</f>
        <v>2.8307670060467731</v>
      </c>
      <c r="F13" s="205">
        <f>'Bilan 2028'!$C$18*(1-SUM('Bilan 2028'!$M$13:$P$13)/'Bilan 2028'!$D$13)</f>
        <v>2.8282468605791831</v>
      </c>
      <c r="G13" s="205">
        <f>'Bilan 2030'!$C$18*(1-SUM('Bilan 2030'!$M$13:$P$13)/'Bilan 2030'!$D$13)</f>
        <v>2.8266140561294519</v>
      </c>
      <c r="H13" s="205">
        <f>'Bilan 2033'!$C$18*(1-SUM('Bilan 2033'!$M$13:$P$13)/'Bilan 2033'!$D$13)</f>
        <v>2.8263467072983417</v>
      </c>
      <c r="I13" s="205">
        <f>'Bilan 2035'!$C$18*(1-SUM('Bilan 2035'!$M$13:$P$13)/'Bilan 2035'!$D$13)</f>
        <v>2.8261417228455579</v>
      </c>
      <c r="J13" s="205">
        <f>'Bilan 2038'!$C$18*(1-SUM('Bilan 2038'!$M$13:$P$13)/'Bilan 2038'!$D$13)</f>
        <v>2.8257680441761837</v>
      </c>
      <c r="K13" s="205">
        <f>'Bilan 2040'!$C$18*(1-SUM('Bilan 2040'!$M$13:$P$13)/'Bilan 2040'!$D$13)</f>
        <v>2.8254849867922451</v>
      </c>
      <c r="L13" s="205">
        <f>'Bilan 2045'!$C$18*(1-SUM('Bilan 2045'!$M$13:$P$13)/'Bilan 2045'!$D$13)</f>
        <v>2.8247065270132357</v>
      </c>
      <c r="M13" s="205">
        <f>'Bilan 2050'!$C$18*(1-SUM('Bilan 2050'!$M$13:$P$13)/'Bilan 2050'!$D$13)</f>
        <v>2.8239384950677904</v>
      </c>
      <c r="N13" s="575"/>
      <c r="O13" s="575"/>
      <c r="P13" s="575"/>
      <c r="Q13" s="570" t="s">
        <v>279</v>
      </c>
      <c r="R13" s="205">
        <f t="shared" ref="R13:AC14" si="94">B17</f>
        <v>1.1874648021075129</v>
      </c>
      <c r="S13" s="205">
        <f t="shared" si="94"/>
        <v>19.145134301820498</v>
      </c>
      <c r="T13" s="205">
        <f t="shared" si="94"/>
        <v>21.280148849125204</v>
      </c>
      <c r="U13" s="205">
        <f t="shared" si="94"/>
        <v>26.423368842886727</v>
      </c>
      <c r="V13" s="205">
        <f t="shared" si="94"/>
        <v>32.482207754273446</v>
      </c>
      <c r="W13" s="205">
        <f t="shared" si="94"/>
        <v>36.527368787200153</v>
      </c>
      <c r="X13" s="205">
        <f t="shared" si="94"/>
        <v>49.243347923399526</v>
      </c>
      <c r="Y13" s="205">
        <f t="shared" si="94"/>
        <v>57.709684059786852</v>
      </c>
      <c r="Z13" s="205">
        <f t="shared" si="94"/>
        <v>70.395633401780344</v>
      </c>
      <c r="AA13" s="205">
        <f t="shared" si="94"/>
        <v>78.844959526638419</v>
      </c>
      <c r="AB13" s="205">
        <f t="shared" si="94"/>
        <v>99.941718038571807</v>
      </c>
      <c r="AC13" s="205">
        <f t="shared" si="94"/>
        <v>110.97142382779978</v>
      </c>
      <c r="AD13" s="193">
        <f>AD11+1</f>
        <v>2305</v>
      </c>
      <c r="AE13" s="205" t="s">
        <v>21</v>
      </c>
      <c r="AF13" s="205">
        <f>'Bilan 2015'!$S$13*'Bilan 2015'!$G$11/'Bilan 2015'!$H$13</f>
        <v>1.1085743097090508E-2</v>
      </c>
      <c r="AG13" s="205">
        <f>'Bilan 2020'!$S$13*'Bilan 2020'!$G$11/'Bilan 2020'!$H$13</f>
        <v>2.1025432893137328</v>
      </c>
      <c r="AH13" s="205">
        <f>'Bilan 2023 réel'!$S$13*'Bilan 2023 réel'!$G$11/'Bilan 2023 réel'!$H$13</f>
        <v>2.5849001724909546</v>
      </c>
      <c r="AI13" s="205">
        <f>'Bilan 2025'!$S$13*'Bilan 2025'!$G$11/'Bilan 2025'!$H$13</f>
        <v>0.19207972071431259</v>
      </c>
      <c r="AJ13" s="205">
        <f>'Bilan 2028'!$S$13*'Bilan 2028'!$G$11/'Bilan 2028'!$H$13</f>
        <v>0.19220948380431432</v>
      </c>
      <c r="AK13" s="205">
        <f>'Bilan 2030'!$S$13*'Bilan 2030'!$G$11/'Bilan 2030'!$H$13</f>
        <v>0.19323905970387023</v>
      </c>
      <c r="AL13" s="205">
        <f>'Bilan 2033'!$S$13*'Bilan 2033'!$G$11/'Bilan 2033'!$H$13</f>
        <v>0.20518700292618627</v>
      </c>
      <c r="AM13" s="205">
        <f>'Bilan 2035'!$S$13*'Bilan 2035'!$G$11/'Bilan 2035'!$H$13</f>
        <v>0.2133683313868602</v>
      </c>
      <c r="AN13" s="205">
        <f>'Bilan 2038'!$S$13*'Bilan 2038'!$G$11/'Bilan 2038'!$H$13</f>
        <v>0.22013764716948062</v>
      </c>
      <c r="AO13" s="205">
        <f>'Bilan 2040'!$S$13*'Bilan 2040'!$G$11/'Bilan 2040'!$H$13</f>
        <v>0.22461204739343962</v>
      </c>
      <c r="AP13" s="205">
        <f>'Bilan 2045'!$S$13*'Bilan 2045'!$G$11/'Bilan 2045'!$H$13</f>
        <v>0.23343941564066847</v>
      </c>
      <c r="AQ13" s="205">
        <f>'Bilan 2050'!$S$13*'Bilan 2050'!$G$11/'Bilan 2050'!$H$13</f>
        <v>0.55614035279178575</v>
      </c>
      <c r="AR13" s="206"/>
      <c r="AS13" s="205" t="s">
        <v>411</v>
      </c>
      <c r="AT13" s="205">
        <f>'Bilan 2015'!$S$13*'Bilan 2015'!$G$11/'Bilan 2015'!$H$13</f>
        <v>1.1085743097090508E-2</v>
      </c>
      <c r="AU13" s="205">
        <f>'Bilan 2020'!$S$13*'Bilan 2020'!$G$11/'Bilan 2020'!$H$13</f>
        <v>2.1025432893137328</v>
      </c>
      <c r="AV13" s="205">
        <f>'Bilan 2023 réel'!$S$13*'Bilan 2023 réel'!$G$11/'Bilan 2023 réel'!$H$13</f>
        <v>2.5849001724909546</v>
      </c>
      <c r="AW13" s="205">
        <f>'Bilan 2025'!$S$13*'Bilan 2025'!$G$11/'Bilan 2025'!$H$13</f>
        <v>0.19207972071431259</v>
      </c>
      <c r="AX13" s="205">
        <f>'Bilan 2028'!$S$13*'Bilan 2028'!$G$11/'Bilan 2028'!$H$13</f>
        <v>0.19220948380431432</v>
      </c>
      <c r="AY13" s="205">
        <f>'Bilan 2030'!$S$13*'Bilan 2030'!$G$11/'Bilan 2030'!$H$13</f>
        <v>0.19323905970387023</v>
      </c>
      <c r="AZ13" s="205">
        <f>'Bilan 2033'!$S$13*'Bilan 2033'!$G$11/'Bilan 2033'!$H$13</f>
        <v>0.20518700292618627</v>
      </c>
      <c r="BA13" s="205">
        <f>'Bilan 2035'!$S$13*'Bilan 2035'!$G$11/'Bilan 2035'!$H$13</f>
        <v>0.2133683313868602</v>
      </c>
      <c r="BB13" s="205">
        <f>'Bilan 2038'!$S$13*'Bilan 2038'!$G$11/'Bilan 2038'!$H$13</f>
        <v>0.22013764716948062</v>
      </c>
      <c r="BC13" s="205">
        <f>'Bilan 2040'!$S$13*'Bilan 2040'!$G$11/'Bilan 2040'!$H$13</f>
        <v>0.22461204739343962</v>
      </c>
      <c r="BD13" s="205">
        <f>'Bilan 2045'!$S$13*'Bilan 2045'!$G$11/'Bilan 2045'!$H$13</f>
        <v>0.23343941564066847</v>
      </c>
      <c r="BE13" s="205">
        <f>'Bilan 2050'!$S$13*'Bilan 2050'!$G$11/'Bilan 2050'!$H$13</f>
        <v>0.55614035279178575</v>
      </c>
      <c r="BF13" s="216"/>
      <c r="BG13" s="205" t="s">
        <v>17</v>
      </c>
      <c r="BH13" s="202">
        <f t="shared" si="56"/>
        <v>7.3059440569521336E-2</v>
      </c>
      <c r="BI13" s="202">
        <f t="shared" si="57"/>
        <v>8.1250264353294369E-2</v>
      </c>
      <c r="BJ13" s="202">
        <f t="shared" si="58"/>
        <v>8.3589069602188093E-2</v>
      </c>
      <c r="BK13" s="202">
        <f t="shared" si="59"/>
        <v>8.320024319746698E-2</v>
      </c>
      <c r="BL13" s="202">
        <f t="shared" si="60"/>
        <v>8.1126115862659484E-2</v>
      </c>
      <c r="BM13" s="202">
        <f t="shared" si="61"/>
        <v>7.9819737981502326E-2</v>
      </c>
      <c r="BN13" s="202">
        <f t="shared" si="62"/>
        <v>7.3527202905881953E-2</v>
      </c>
      <c r="BO13" s="202">
        <f t="shared" si="63"/>
        <v>6.9579830040923468E-2</v>
      </c>
      <c r="BP13" s="202">
        <f t="shared" si="64"/>
        <v>6.4168284228046185E-2</v>
      </c>
      <c r="BQ13" s="202">
        <f t="shared" si="65"/>
        <v>6.0748987899782357E-2</v>
      </c>
      <c r="BR13" s="202">
        <f t="shared" si="66"/>
        <v>5.3248068475757866E-2</v>
      </c>
      <c r="BS13" s="202">
        <f t="shared" si="67"/>
        <v>4.8217011887567003E-2</v>
      </c>
      <c r="BU13" s="205" t="s">
        <v>17</v>
      </c>
      <c r="BV13" s="202">
        <f>'Bilan 2015'!$E7+'Bilan 2015'!$I$13*'Bilan 2015'!$G$7/'Bilan 2015'!$H$13</f>
        <v>0.14871108343599457</v>
      </c>
      <c r="BW13" s="202">
        <f>'Bilan 2020'!$E7+'Bilan 2020'!$I$13*'Bilan 2020'!$G$7/'Bilan 2020'!$H$13</f>
        <v>2.7601451899707077</v>
      </c>
      <c r="BX13" s="202">
        <f>'Bilan 2023 réel'!$E7+'Bilan 2023 réel'!$I$13*'Bilan 2023 réel'!$G$7/'Bilan 2023 réel'!$H$13</f>
        <v>3.2339575927557758</v>
      </c>
      <c r="BY13" s="202">
        <f>'Bilan 2025'!$E7+'Bilan 2025'!$I$13*'Bilan 2025'!$G$7/'Bilan 2025'!$H$13</f>
        <v>4.0796531588336284</v>
      </c>
      <c r="BZ13" s="202">
        <f>'Bilan 2028'!$E7+'Bilan 2028'!$I$13*'Bilan 2028'!$G$7/'Bilan 2028'!$H$13</f>
        <v>4.7696827204934138</v>
      </c>
      <c r="CA13" s="202">
        <f>'Bilan 2030'!$E7+'Bilan 2030'!$I$13*'Bilan 2030'!$G$7/'Bilan 2030'!$H$13</f>
        <v>5.0530146776846854</v>
      </c>
      <c r="CB13" s="202">
        <f>'Bilan 2033'!$E7+'Bilan 2033'!$I$13*'Bilan 2033'!$G$7/'Bilan 2033'!$H$13</f>
        <v>5.498783831613153</v>
      </c>
      <c r="CC13" s="202">
        <f>'Bilan 2035'!$E7+'Bilan 2035'!$I$13*'Bilan 2035'!$G$7/'Bilan 2035'!$H$13</f>
        <v>5.7570532989686392</v>
      </c>
      <c r="CD13" s="202">
        <f>'Bilan 2038'!$E7+'Bilan 2038'!$I$13*'Bilan 2038'!$G$7/'Bilan 2038'!$H$13</f>
        <v>6.0864380264445872</v>
      </c>
      <c r="CE13" s="202">
        <f>'Bilan 2040'!$E7+'Bilan 2040'!$I$13*'Bilan 2040'!$G$7/'Bilan 2040'!$H$13</f>
        <v>6.2678540060729926</v>
      </c>
      <c r="CF13" s="202">
        <f>'Bilan 2045'!$E7+'Bilan 2045'!$I$13*'Bilan 2045'!$G$7/'Bilan 2045'!$H$13</f>
        <v>6.5896225032455087</v>
      </c>
      <c r="CG13" s="202">
        <f>'Bilan 2050'!$E7+'Bilan 2050'!$I$13*'Bilan 2050'!$G$7/'Bilan 2050'!$H$13</f>
        <v>6.8815476582462871</v>
      </c>
      <c r="CH13" s="206"/>
      <c r="CJ13" s="205" t="s">
        <v>17</v>
      </c>
      <c r="CK13" s="202">
        <f t="shared" si="68"/>
        <v>7.9921040170571458E-2</v>
      </c>
      <c r="CL13" s="202">
        <f t="shared" si="69"/>
        <v>8.7045000077838858E-2</v>
      </c>
      <c r="CM13" s="202">
        <f t="shared" si="70"/>
        <v>8.8706919811706711E-2</v>
      </c>
      <c r="CN13" s="202">
        <f t="shared" si="71"/>
        <v>8.9854060997460142E-2</v>
      </c>
      <c r="CO13" s="202">
        <f t="shared" si="72"/>
        <v>8.9671267020439704E-2</v>
      </c>
      <c r="CP13" s="202">
        <f t="shared" si="73"/>
        <v>8.955655481981814E-2</v>
      </c>
      <c r="CQ13" s="202">
        <f t="shared" si="74"/>
        <v>8.9042391365625459E-2</v>
      </c>
      <c r="CR13" s="202">
        <f t="shared" si="75"/>
        <v>8.8721271934519688E-2</v>
      </c>
      <c r="CS13" s="202">
        <f t="shared" si="76"/>
        <v>8.8282009795459082E-2</v>
      </c>
      <c r="CT13" s="202">
        <f t="shared" si="77"/>
        <v>8.8005993481828471E-2</v>
      </c>
      <c r="CU13" s="202">
        <f t="shared" si="78"/>
        <v>8.7393803421868227E-2</v>
      </c>
      <c r="CV13" s="202">
        <f t="shared" si="79"/>
        <v>8.697382528597257E-2</v>
      </c>
      <c r="CW13" s="206"/>
      <c r="CX13" s="193">
        <f>CX11+1</f>
        <v>2305</v>
      </c>
      <c r="CY13" s="205" t="s">
        <v>414</v>
      </c>
      <c r="CZ13" s="207" t="s">
        <v>276</v>
      </c>
      <c r="DA13" s="202">
        <f>'Bilan 2015'!$K$13*'Bilan 2015'!$G$7/SUM('Bilan 2015'!$G$7:$G$19)</f>
        <v>0.1626777372020492</v>
      </c>
      <c r="DB13" s="202">
        <f>'Bilan 2020'!$K$13*'Bilan 2020'!$G$7/SUM('Bilan 2020'!$G$7:$G$19)</f>
        <v>2.9569976194927343</v>
      </c>
      <c r="DC13" s="202">
        <f>'Bilan 2023 réel'!$K$13*'Bilan 2023 réel'!$G$7/SUM('Bilan 2023 réel'!$G$7:$G$19)</f>
        <v>3.4319608798174399</v>
      </c>
      <c r="DD13" s="202">
        <f>'Bilan 2025'!$K$13*'Bilan 2025'!$G$7/SUM('Bilan 2025'!$G$7:$G$19)</f>
        <v>4.405917455220588</v>
      </c>
      <c r="DE13" s="202">
        <f>'Bilan 2028'!$K$13*'Bilan 2028'!$G$7/SUM('Bilan 2028'!$G$7:$G$19)</f>
        <v>5.2720814781298362</v>
      </c>
      <c r="DF13" s="202">
        <f>'Bilan 2030'!$K$13*'Bilan 2030'!$G$7/SUM('Bilan 2030'!$G$7:$G$19)</f>
        <v>5.6694070593452093</v>
      </c>
      <c r="DG13" s="202">
        <f>'Bilan 2033'!$K$13*'Bilan 2033'!$G$7/SUM('Bilan 2033'!$G$7:$G$19)</f>
        <v>6.6590981652901062</v>
      </c>
      <c r="DH13" s="202">
        <f>'Bilan 2035'!$K$13*'Bilan 2035'!$G$7/SUM('Bilan 2035'!$G$7:$G$19)</f>
        <v>7.3408211974491531</v>
      </c>
      <c r="DI13" s="202">
        <f>'Bilan 2038'!$K$13*'Bilan 2038'!$G$7/SUM('Bilan 2038'!$G$7:$G$19)</f>
        <v>8.3736535569574517</v>
      </c>
      <c r="DJ13" s="202">
        <f>'Bilan 2040'!$K$13*'Bilan 2040'!$G$7/SUM('Bilan 2040'!$G$7:$G$19)</f>
        <v>9.0801301860946477</v>
      </c>
      <c r="DK13" s="202">
        <f>'Bilan 2045'!$K$13*'Bilan 2045'!$G$7/SUM('Bilan 2045'!$G$7:$G$19)</f>
        <v>10.81526880050386</v>
      </c>
      <c r="DL13" s="202">
        <f>'Bilan 2050'!$K$13*'Bilan 2050'!$G$7/SUM('Bilan 2050'!$G$7:$G$19)</f>
        <v>12.412932703524422</v>
      </c>
    </row>
    <row r="14" spans="1:116" ht="15" x14ac:dyDescent="0.25">
      <c r="A14" s="203" t="s">
        <v>17</v>
      </c>
      <c r="B14" s="204">
        <f>'Bilan 2015'!$C7+'Bilan 2015'!$C15</f>
        <v>2.6944655873275929</v>
      </c>
      <c r="C14" s="204">
        <f>'Bilan 2020'!$C7+'Bilan 2020'!$C15</f>
        <v>43.442050197585424</v>
      </c>
      <c r="D14" s="204">
        <f>('Bilan 2023 réel'!$C7+'Bilan 2023 réel'!$C15)*(1-SUM('Bilan 2023 réel'!$M$13:$P$13)/'Bilan 2023 réel'!$D$13)</f>
        <v>50.187689179373137</v>
      </c>
      <c r="E14" s="204">
        <f>'Bilan 2025'!$C7+'Bilan 2025'!$C15</f>
        <v>64.725058264068068</v>
      </c>
      <c r="F14" s="204">
        <f>('Bilan 2028'!$C7+'Bilan 2028'!$C15)*(1-SUM('Bilan 2028'!$M$13:$P$13)/'Bilan 2028'!$D$13)</f>
        <v>78.241517928106177</v>
      </c>
      <c r="G14" s="204">
        <f>('Bilan 2030'!$C7+'Bilan 2030'!$C15)*(1-SUM('Bilan 2030'!$M$13:$P$13)/'Bilan 2030'!$D$13)</f>
        <v>84.297049967794123</v>
      </c>
      <c r="H14" s="204">
        <f>('Bilan 2033'!$C7+'Bilan 2033'!$C15)*(1-SUM('Bilan 2033'!$M$13:$P$13)/'Bilan 2033'!$D$13)</f>
        <v>96.490617751961651</v>
      </c>
      <c r="I14" s="204">
        <f>('Bilan 2035'!$C7+'Bilan 2035'!$C15)*(1-SUM('Bilan 2035'!$M$13:$P$13)/'Bilan 2035'!$D$13)</f>
        <v>104.61652024382062</v>
      </c>
      <c r="J14" s="204">
        <f>('Bilan 2038'!$C7+'Bilan 2038'!$C15)*(1-SUM('Bilan 2038'!$M$13:$P$13)/'Bilan 2038'!$D$13)</f>
        <v>116.80011128214937</v>
      </c>
      <c r="K14" s="204">
        <f>('Bilan 2040'!$C7+'Bilan 2040'!$C15)*(1-SUM('Bilan 2040'!$M$13:$P$13)/'Bilan 2040'!$D$13)</f>
        <v>124.91871920899968</v>
      </c>
      <c r="L14" s="204">
        <f>('Bilan 2045'!$C7+'Bilan 2045'!$C15)*(1-SUM('Bilan 2045'!$M$13:$P$13)/'Bilan 2045'!$D$13)</f>
        <v>145.19815460088671</v>
      </c>
      <c r="M14" s="204">
        <f>('Bilan 2050'!$C7+'Bilan 2050'!$C15)*(1-SUM('Bilan 2050'!$M$13:$P$13)/'Bilan 2050'!$D$13)</f>
        <v>165.52901110604901</v>
      </c>
      <c r="N14" s="575"/>
      <c r="O14" s="575"/>
      <c r="P14" s="575"/>
      <c r="Q14" s="570" t="s">
        <v>415</v>
      </c>
      <c r="R14" s="205">
        <f t="shared" si="94"/>
        <v>3.2925160422071951</v>
      </c>
      <c r="S14" s="205">
        <f t="shared" si="94"/>
        <v>53.084236018684109</v>
      </c>
      <c r="T14" s="205">
        <f t="shared" si="94"/>
        <v>60.531247971501685</v>
      </c>
      <c r="U14" s="205">
        <f t="shared" si="94"/>
        <v>61.993288439080395</v>
      </c>
      <c r="V14" s="205">
        <f t="shared" si="94"/>
        <v>61.919208531583756</v>
      </c>
      <c r="W14" s="205">
        <f t="shared" si="94"/>
        <v>61.893597111644702</v>
      </c>
      <c r="X14" s="205">
        <f t="shared" si="94"/>
        <v>61.80749430714755</v>
      </c>
      <c r="Y14" s="205">
        <f t="shared" si="94"/>
        <v>61.759486449947339</v>
      </c>
      <c r="Z14" s="205">
        <f t="shared" si="94"/>
        <v>61.697322377997146</v>
      </c>
      <c r="AA14" s="205">
        <f t="shared" si="94"/>
        <v>61.660801681089012</v>
      </c>
      <c r="AB14" s="205">
        <f t="shared" si="94"/>
        <v>61.580250508614959</v>
      </c>
      <c r="AC14" s="205">
        <f t="shared" si="94"/>
        <v>61.538698668143525</v>
      </c>
      <c r="AD14" s="193">
        <f>AD13+1</f>
        <v>2306</v>
      </c>
      <c r="AE14" s="205" t="s">
        <v>17</v>
      </c>
      <c r="AF14" s="205">
        <f>'Bilan 2015'!$S$13*('Bilan 2015'!$G$7+'Bilan 2015'!$G$15)/SUM('Bilan 2015'!$G$7:$G$19)</f>
        <v>2.0354807301663529</v>
      </c>
      <c r="AG14" s="205">
        <f>'Bilan 2020'!$S$13*('Bilan 2020'!$G$7+'Bilan 2020'!$G$15)/SUM('Bilan 2020'!$G$7:$G$19)</f>
        <v>33.970907195685882</v>
      </c>
      <c r="AH14" s="205">
        <f>'Bilan 2023 réel'!$S$13*('Bilan 2023 réel'!$G$7+'Bilan 2023 réel'!$G$15)/SUM('Bilan 2023 réel'!$G$7:$G$19)</f>
        <v>38.688761678370462</v>
      </c>
      <c r="AI14" s="205">
        <f>'Bilan 2025'!$S$13*('Bilan 2025'!$G$7+'Bilan 2025'!$G$15)/SUM('Bilan 2025'!$G$7:$G$19)</f>
        <v>49.034149445344802</v>
      </c>
      <c r="AJ14" s="205">
        <f>'Bilan 2028'!$S$13*('Bilan 2028'!$G$7+'Bilan 2028'!$G$15)/SUM('Bilan 2028'!$G$7:$G$19)</f>
        <v>58.793431310925001</v>
      </c>
      <c r="AK14" s="205">
        <f>'Bilan 2030'!$S$13*('Bilan 2030'!$G$7+'Bilan 2030'!$G$15)/SUM('Bilan 2030'!$G$7:$G$19)</f>
        <v>63.305327798190547</v>
      </c>
      <c r="AL14" s="205">
        <f>'Bilan 2033'!$S$13*('Bilan 2033'!$G$7+'Bilan 2033'!$G$15)/SUM('Bilan 2033'!$G$7:$G$19)</f>
        <v>74.785706708465952</v>
      </c>
      <c r="AM14" s="205">
        <f>'Bilan 2035'!$S$13*('Bilan 2035'!$G$7+'Bilan 2035'!$G$15)/SUM('Bilan 2035'!$G$7:$G$19)</f>
        <v>82.740261015047338</v>
      </c>
      <c r="AN14" s="205">
        <f>'Bilan 2038'!$S$13*('Bilan 2038'!$G$7+'Bilan 2038'!$G$15)/SUM('Bilan 2038'!$G$7:$G$19)</f>
        <v>94.851188553119727</v>
      </c>
      <c r="AO14" s="205">
        <f>'Bilan 2040'!$S$13*('Bilan 2040'!$G$7+'Bilan 2040'!$G$15)/SUM('Bilan 2040'!$G$7:$G$19)</f>
        <v>103.17627046582365</v>
      </c>
      <c r="AP14" s="205">
        <f>'Bilan 2045'!$S$13*('Bilan 2045'!$G$7+'Bilan 2045'!$G$15)/SUM('Bilan 2045'!$G$7:$G$19)</f>
        <v>123.75326827574135</v>
      </c>
      <c r="AQ14" s="205">
        <f>'Bilan 2050'!$S$13*('Bilan 2050'!$G$7+'Bilan 2050'!$G$15)/SUM('Bilan 2050'!$G$7:$G$19)</f>
        <v>142.72032606028679</v>
      </c>
      <c r="AR14" s="206"/>
      <c r="AS14" s="205" t="s">
        <v>17</v>
      </c>
      <c r="AT14" s="205">
        <f>'Bilan 2015'!$S$13*('Bilan 2015'!$G$7+'Bilan 2015'!$G$15)/SUM('Bilan 2015'!$G$7:$G$19)</f>
        <v>2.0354807301663529</v>
      </c>
      <c r="AU14" s="205">
        <f>'Bilan 2020'!$S$13*('Bilan 2020'!$G$7+'Bilan 2020'!$G$15)/SUM('Bilan 2020'!$G$7:$G$19)</f>
        <v>33.970907195685882</v>
      </c>
      <c r="AV14" s="205">
        <f>'Bilan 2023 réel'!$S$13*('Bilan 2023 réel'!$G$7+'Bilan 2023 réel'!$G$15)/SUM('Bilan 2023 réel'!$G$7:$G$19)</f>
        <v>38.688761678370462</v>
      </c>
      <c r="AW14" s="205">
        <f>'Bilan 2025'!$S$13*('Bilan 2025'!$G$7+'Bilan 2025'!$G$15)/SUM('Bilan 2025'!$G$7:$G$19)</f>
        <v>49.034149445344802</v>
      </c>
      <c r="AX14" s="205">
        <f>'Bilan 2028'!$S$13*('Bilan 2028'!$G$7+'Bilan 2028'!$G$15)/SUM('Bilan 2028'!$G$7:$G$19)</f>
        <v>58.793431310925001</v>
      </c>
      <c r="AY14" s="205">
        <f>'Bilan 2030'!$S$13*('Bilan 2030'!$G$7+'Bilan 2030'!$G$15)/SUM('Bilan 2030'!$G$7:$G$19)</f>
        <v>63.305327798190547</v>
      </c>
      <c r="AZ14" s="205">
        <f>'Bilan 2033'!$S$13*('Bilan 2033'!$G$7+'Bilan 2033'!$G$15)/SUM('Bilan 2033'!$G$7:$G$19)</f>
        <v>74.785706708465952</v>
      </c>
      <c r="BA14" s="205">
        <f>'Bilan 2035'!$S$13*('Bilan 2035'!$G$7+'Bilan 2035'!$G$15)/SUM('Bilan 2035'!$G$7:$G$19)</f>
        <v>82.740261015047338</v>
      </c>
      <c r="BB14" s="205">
        <f>'Bilan 2038'!$S$13*('Bilan 2038'!$G$7+'Bilan 2038'!$G$15)/SUM('Bilan 2038'!$G$7:$G$19)</f>
        <v>94.851188553119727</v>
      </c>
      <c r="BC14" s="205">
        <f>'Bilan 2040'!$S$13*('Bilan 2040'!$G$7+'Bilan 2040'!$G$15)/SUM('Bilan 2040'!$G$7:$G$19)</f>
        <v>103.17627046582365</v>
      </c>
      <c r="BD14" s="205">
        <f>'Bilan 2045'!$S$13*('Bilan 2045'!$G$7+'Bilan 2045'!$G$15)/SUM('Bilan 2045'!$G$7:$G$19)</f>
        <v>123.75326827574135</v>
      </c>
      <c r="BE14" s="205">
        <f>'Bilan 2050'!$S$13*('Bilan 2050'!$G$7+'Bilan 2050'!$G$15)/SUM('Bilan 2050'!$G$7:$G$19)</f>
        <v>142.72032606028679</v>
      </c>
      <c r="BF14" s="216"/>
      <c r="BG14" s="205" t="s">
        <v>279</v>
      </c>
      <c r="BH14" s="202">
        <f t="shared" si="56"/>
        <v>7.305944056952135E-2</v>
      </c>
      <c r="BI14" s="202">
        <f t="shared" si="57"/>
        <v>8.1250264353294355E-2</v>
      </c>
      <c r="BJ14" s="202">
        <f t="shared" si="58"/>
        <v>8.3589069602188093E-2</v>
      </c>
      <c r="BK14" s="202">
        <f t="shared" si="59"/>
        <v>8.320024319746698E-2</v>
      </c>
      <c r="BL14" s="202">
        <f t="shared" si="60"/>
        <v>8.1126115862659498E-2</v>
      </c>
      <c r="BM14" s="202">
        <f t="shared" si="61"/>
        <v>7.9819737981502353E-2</v>
      </c>
      <c r="BN14" s="202">
        <f t="shared" si="62"/>
        <v>7.3527202905881953E-2</v>
      </c>
      <c r="BO14" s="202">
        <f t="shared" si="63"/>
        <v>6.9579830040923468E-2</v>
      </c>
      <c r="BP14" s="202">
        <f t="shared" si="64"/>
        <v>6.4168284228046199E-2</v>
      </c>
      <c r="BQ14" s="202">
        <f t="shared" si="65"/>
        <v>6.0748987899782364E-2</v>
      </c>
      <c r="BR14" s="202">
        <f t="shared" si="66"/>
        <v>5.3248068475757866E-2</v>
      </c>
      <c r="BS14" s="202">
        <f t="shared" si="67"/>
        <v>4.8217011887567003E-2</v>
      </c>
      <c r="BU14" s="205" t="s">
        <v>279</v>
      </c>
      <c r="BV14" s="202">
        <f>'Bilan 2015'!$E9+'Bilan 2015'!$I$13*'Bilan 2015'!$G$9/'Bilan 2015'!$H$13</f>
        <v>6.5537737091183504E-2</v>
      </c>
      <c r="BW14" s="202">
        <f>'Bilan 2020'!$E9+'Bilan 2020'!$I$13*'Bilan 2020'!$G$9/'Bilan 2020'!$H$13</f>
        <v>1.2164101398108085</v>
      </c>
      <c r="BX14" s="202">
        <f>'Bilan 2023 réel'!$E9+'Bilan 2023 réel'!$I$13*'Bilan 2023 réel'!$G$9/'Bilan 2023 réel'!$H$13</f>
        <v>1.3712346607479551</v>
      </c>
      <c r="BY14" s="202">
        <f>'Bilan 2025'!$E9+'Bilan 2025'!$I$13*'Bilan 2025'!$G$9/'Bilan 2025'!$H$13</f>
        <v>1.6654783025008533</v>
      </c>
      <c r="BZ14" s="202">
        <f>'Bilan 2028'!$E9+'Bilan 2028'!$I$13*'Bilan 2028'!$G$9/'Bilan 2028'!$H$13</f>
        <v>1.9801485087673745</v>
      </c>
      <c r="CA14" s="202">
        <f>'Bilan 2030'!$E9+'Bilan 2030'!$I$13*'Bilan 2030'!$G$9/'Bilan 2030'!$H$13</f>
        <v>2.1895585989004416</v>
      </c>
      <c r="CB14" s="202">
        <f>'Bilan 2033'!$E9+'Bilan 2033'!$I$13*'Bilan 2033'!$G$9/'Bilan 2033'!$H$13</f>
        <v>2.8062679220455662</v>
      </c>
      <c r="CC14" s="202">
        <f>'Bilan 2035'!$E9+'Bilan 2035'!$I$13*'Bilan 2035'!$G$9/'Bilan 2035'!$H$13</f>
        <v>3.175767328377165</v>
      </c>
      <c r="CD14" s="202">
        <f>'Bilan 2038'!$E9+'Bilan 2038'!$I$13*'Bilan 2038'!$G$9/'Bilan 2038'!$H$13</f>
        <v>3.6683069504723171</v>
      </c>
      <c r="CE14" s="202">
        <f>'Bilan 2040'!$E9+'Bilan 2040'!$I$13*'Bilan 2040'!$G$9/'Bilan 2040'!$H$13</f>
        <v>3.9560819912096901</v>
      </c>
      <c r="CF14" s="202">
        <f>'Bilan 2045'!$E9+'Bilan 2045'!$I$13*'Bilan 2045'!$G$9/'Bilan 2045'!$H$13</f>
        <v>4.5357201405917076</v>
      </c>
      <c r="CG14" s="202">
        <f>'Bilan 2050'!$E9+'Bilan 2050'!$I$13*'Bilan 2050'!$G$9/'Bilan 2050'!$H$13</f>
        <v>4.6134217601602359</v>
      </c>
      <c r="CH14" s="206"/>
      <c r="CJ14" s="205" t="s">
        <v>279</v>
      </c>
      <c r="CK14" s="202">
        <f t="shared" si="68"/>
        <v>7.9921040170571458E-2</v>
      </c>
      <c r="CL14" s="202">
        <f t="shared" si="69"/>
        <v>8.7045000077838858E-2</v>
      </c>
      <c r="CM14" s="202">
        <f t="shared" si="70"/>
        <v>8.8706919811706697E-2</v>
      </c>
      <c r="CN14" s="202">
        <f t="shared" si="71"/>
        <v>8.9854060997460142E-2</v>
      </c>
      <c r="CO14" s="202">
        <f t="shared" si="72"/>
        <v>8.9671267020439704E-2</v>
      </c>
      <c r="CP14" s="202">
        <f t="shared" si="73"/>
        <v>8.9556554819818154E-2</v>
      </c>
      <c r="CQ14" s="202">
        <f t="shared" si="74"/>
        <v>8.9042391365625459E-2</v>
      </c>
      <c r="CR14" s="202">
        <f t="shared" si="75"/>
        <v>8.8721271934519688E-2</v>
      </c>
      <c r="CS14" s="202">
        <f t="shared" si="76"/>
        <v>8.8282009795459082E-2</v>
      </c>
      <c r="CT14" s="202">
        <f t="shared" si="77"/>
        <v>8.8005993481828471E-2</v>
      </c>
      <c r="CU14" s="202">
        <f t="shared" si="78"/>
        <v>8.7393803421868227E-2</v>
      </c>
      <c r="CV14" s="202">
        <f t="shared" si="79"/>
        <v>8.6973825285972556E-2</v>
      </c>
      <c r="CW14" s="206"/>
      <c r="CX14" s="193">
        <f>CX13+1</f>
        <v>2306</v>
      </c>
      <c r="CY14" s="205" t="s">
        <v>279</v>
      </c>
      <c r="CZ14" s="207" t="s">
        <v>277</v>
      </c>
      <c r="DA14" s="202">
        <f>+'Bilan 2015'!$K$13*'Bilan 2015'!$G$9/SUM('Bilan 2015'!$G$7:$G$19)</f>
        <v>7.1692913029749242E-2</v>
      </c>
      <c r="DB14" s="202">
        <f>+'Bilan 2020'!$K$13*'Bilan 2020'!$G$9/SUM('Bilan 2020'!$G$7:$G$19)</f>
        <v>1.3031640150008044</v>
      </c>
      <c r="DC14" s="202">
        <f>+'Bilan 2023 réel'!$K$13*'Bilan 2023 réel'!$G$9/SUM('Bilan 2023 réel'!$G$7:$G$19)</f>
        <v>1.4551902978809756</v>
      </c>
      <c r="DD14" s="202">
        <f>+'Bilan 2025'!$K$13*'Bilan 2025'!$G$9/SUM('Bilan 2025'!$G$7:$G$19)</f>
        <v>1.7986724945945123</v>
      </c>
      <c r="DE14" s="202">
        <f>+'Bilan 2028'!$K$13*'Bilan 2028'!$G$9/SUM('Bilan 2028'!$G$7:$G$19)</f>
        <v>2.1887209042573263</v>
      </c>
      <c r="DF14" s="202">
        <f>+'Bilan 2030'!$K$13*'Bilan 2030'!$G$9/SUM('Bilan 2030'!$G$7:$G$19)</f>
        <v>2.4566520719358151</v>
      </c>
      <c r="DG14" s="202">
        <f>+'Bilan 2033'!$K$13*'Bilan 2033'!$G$9/SUM('Bilan 2033'!$G$7:$G$19)</f>
        <v>3.398426660013643</v>
      </c>
      <c r="DH14" s="202">
        <f>+'Bilan 2035'!$K$13*'Bilan 2035'!$G$9/SUM('Bilan 2035'!$G$7:$G$19)</f>
        <v>4.0494223193128978</v>
      </c>
      <c r="DI14" s="202">
        <f>+'Bilan 2038'!$K$13*'Bilan 2038'!$G$9/SUM('Bilan 2038'!$G$7:$G$19)</f>
        <v>5.0468157911693661</v>
      </c>
      <c r="DJ14" s="202">
        <f>+'Bilan 2040'!$K$13*'Bilan 2040'!$G$9/SUM('Bilan 2040'!$G$7:$G$19)</f>
        <v>5.7311066071806325</v>
      </c>
      <c r="DK14" s="202">
        <f>+'Bilan 2045'!$K$13*'Bilan 2045'!$G$9/SUM('Bilan 2045'!$G$7:$G$19)</f>
        <v>7.4442856931786281</v>
      </c>
      <c r="DL14" s="202">
        <f>+'Bilan 2050'!$K$13*'Bilan 2050'!$G$9/SUM('Bilan 2050'!$G$7:$G$19)</f>
        <v>8.3216881849566438</v>
      </c>
    </row>
    <row r="15" spans="1:116" ht="15" x14ac:dyDescent="0.25">
      <c r="A15" s="209" t="s">
        <v>17</v>
      </c>
      <c r="B15" s="210"/>
      <c r="C15" s="210"/>
      <c r="D15" s="576"/>
      <c r="E15" s="210"/>
      <c r="F15" s="210"/>
      <c r="G15" s="210"/>
      <c r="H15" s="210"/>
      <c r="I15" s="210"/>
      <c r="J15" s="210"/>
      <c r="K15" s="210"/>
      <c r="L15" s="210"/>
      <c r="M15" s="576"/>
      <c r="N15" s="573"/>
      <c r="O15" s="573"/>
      <c r="P15" s="573"/>
      <c r="Q15" s="570" t="s">
        <v>282</v>
      </c>
      <c r="R15" s="205">
        <f t="shared" ref="R15:AB15" si="95">B19</f>
        <v>3.5164878051160797</v>
      </c>
      <c r="S15" s="205">
        <f t="shared" si="95"/>
        <v>26.9657497815802</v>
      </c>
      <c r="T15" s="205">
        <f t="shared" si="95"/>
        <v>31.225950814182998</v>
      </c>
      <c r="U15" s="205">
        <f t="shared" si="95"/>
        <v>47.233969434117441</v>
      </c>
      <c r="V15" s="205">
        <f t="shared" si="95"/>
        <v>45.59549467890993</v>
      </c>
      <c r="W15" s="205">
        <f t="shared" si="95"/>
        <v>44.712404435331194</v>
      </c>
      <c r="X15" s="205">
        <f t="shared" si="95"/>
        <v>43.901828784187387</v>
      </c>
      <c r="Y15" s="205">
        <f t="shared" si="95"/>
        <v>43.428380774930361</v>
      </c>
      <c r="Z15" s="205">
        <f t="shared" si="95"/>
        <v>45.206779021639726</v>
      </c>
      <c r="AA15" s="205">
        <f t="shared" si="95"/>
        <v>46.446688532117498</v>
      </c>
      <c r="AB15" s="205">
        <f t="shared" si="95"/>
        <v>45.905763464369031</v>
      </c>
      <c r="AC15" s="205">
        <f>M19+0.0001</f>
        <v>45.936173650339782</v>
      </c>
      <c r="AD15" s="193">
        <f>AD14+1</f>
        <v>2307</v>
      </c>
      <c r="AE15" s="205" t="s">
        <v>279</v>
      </c>
      <c r="AF15" s="205">
        <f>'Bilan 2015'!$S$13*'Bilan 2015'!$G$9/SUM('Bilan 2015'!$G$7:$G$19)</f>
        <v>0.89704679614703042</v>
      </c>
      <c r="AG15" s="205">
        <f>'Bilan 2020'!$S$13*'Bilan 2020'!$G$9/SUM('Bilan 2020'!$G$7:$G$19)</f>
        <v>14.971153010919259</v>
      </c>
      <c r="AH15" s="205">
        <f>'Bilan 2023 réel'!$S$13*'Bilan 2023 réel'!$G$9/SUM('Bilan 2023 réel'!$G$7:$G$19)</f>
        <v>16.40447330343369</v>
      </c>
      <c r="AI15" s="205">
        <f>'Bilan 2025'!$S$13*'Bilan 2025'!$G$9/SUM('Bilan 2025'!$G$7:$G$19)</f>
        <v>20.017709546209097</v>
      </c>
      <c r="AJ15" s="205">
        <f>'Bilan 2028'!$S$13*'Bilan 2028'!$G$9/SUM('Bilan 2028'!$G$7:$G$19)</f>
        <v>24.408274545272437</v>
      </c>
      <c r="AK15" s="205">
        <f>'Bilan 2030'!$S$13*'Bilan 2030'!$G$9/SUM('Bilan 2030'!$G$7:$G$19)</f>
        <v>27.431292738744094</v>
      </c>
      <c r="AL15" s="205">
        <f>'Bilan 2033'!$S$13*'Bilan 2033'!$G$9/SUM('Bilan 2033'!$G$7:$G$19)</f>
        <v>38.166390276503684</v>
      </c>
      <c r="AM15" s="205">
        <f>'Bilan 2035'!$S$13*'Bilan 2035'!$G$9/SUM('Bilan 2035'!$G$7:$G$19)</f>
        <v>45.642067916942786</v>
      </c>
      <c r="AN15" s="205">
        <f>'Bilan 2038'!$S$13*'Bilan 2038'!$G$9/SUM('Bilan 2038'!$G$7:$G$19)</f>
        <v>57.166978899351662</v>
      </c>
      <c r="AO15" s="205">
        <f>'Bilan 2040'!$S$13*'Bilan 2040'!$G$9/SUM('Bilan 2040'!$G$7:$G$19)</f>
        <v>65.121776147711969</v>
      </c>
      <c r="AP15" s="205">
        <f>'Bilan 2045'!$S$13*'Bilan 2045'!$G$9/SUM('Bilan 2045'!$G$7:$G$19)</f>
        <v>85.180932762972901</v>
      </c>
      <c r="AQ15" s="205">
        <f>'Bilan 2050'!$S$13*'Bilan 2050'!$G$9/SUM('Bilan 2050'!$G$7:$G$19)</f>
        <v>95.680374613795379</v>
      </c>
      <c r="AR15" s="206"/>
      <c r="AS15" s="205" t="s">
        <v>279</v>
      </c>
      <c r="AT15" s="205">
        <f>'Bilan 2015'!$S$13*'Bilan 2015'!$G$9/SUM('Bilan 2015'!$G$7:$G$19)</f>
        <v>0.89704679614703042</v>
      </c>
      <c r="AU15" s="205">
        <f>'Bilan 2020'!$S$13*'Bilan 2020'!$G$9/SUM('Bilan 2020'!$G$7:$G$19)</f>
        <v>14.971153010919259</v>
      </c>
      <c r="AV15" s="205">
        <f>'Bilan 2023 réel'!$S$13*'Bilan 2023 réel'!$G$9/SUM('Bilan 2023 réel'!$G$7:$G$19)</f>
        <v>16.40447330343369</v>
      </c>
      <c r="AW15" s="205">
        <f>'Bilan 2025'!$S$13*'Bilan 2025'!$G$9/SUM('Bilan 2025'!$G$7:$G$19)</f>
        <v>20.017709546209097</v>
      </c>
      <c r="AX15" s="205">
        <f>'Bilan 2028'!$S$13*'Bilan 2028'!$G$9/SUM('Bilan 2028'!$G$7:$G$19)</f>
        <v>24.408274545272437</v>
      </c>
      <c r="AY15" s="205">
        <f>'Bilan 2030'!$S$13*'Bilan 2030'!$G$9/SUM('Bilan 2030'!$G$7:$G$19)</f>
        <v>27.431292738744094</v>
      </c>
      <c r="AZ15" s="205">
        <f>'Bilan 2033'!$S$13*'Bilan 2033'!$G$9/SUM('Bilan 2033'!$G$7:$G$19)</f>
        <v>38.166390276503684</v>
      </c>
      <c r="BA15" s="205">
        <f>'Bilan 2035'!$S$13*'Bilan 2035'!$G$9/SUM('Bilan 2035'!$G$7:$G$19)</f>
        <v>45.642067916942786</v>
      </c>
      <c r="BB15" s="205">
        <f>'Bilan 2038'!$S$13*'Bilan 2038'!$G$9/SUM('Bilan 2038'!$G$7:$G$19)</f>
        <v>57.166978899351662</v>
      </c>
      <c r="BC15" s="205">
        <f>'Bilan 2040'!$S$13*'Bilan 2040'!$G$9/SUM('Bilan 2040'!$G$7:$G$19)</f>
        <v>65.121776147711969</v>
      </c>
      <c r="BD15" s="205">
        <f>'Bilan 2045'!$S$13*'Bilan 2045'!$G$9/SUM('Bilan 2045'!$G$7:$G$19)</f>
        <v>85.180932762972901</v>
      </c>
      <c r="BE15" s="205">
        <f>'Bilan 2050'!$S$13*'Bilan 2050'!$G$9/SUM('Bilan 2050'!$G$7:$G$19)</f>
        <v>95.680374613795379</v>
      </c>
      <c r="BF15" s="216"/>
      <c r="BG15" s="205" t="s">
        <v>415</v>
      </c>
      <c r="BH15" s="202">
        <f t="shared" si="56"/>
        <v>7.305944056952135E-2</v>
      </c>
      <c r="BI15" s="202">
        <f t="shared" si="57"/>
        <v>8.1250264353294341E-2</v>
      </c>
      <c r="BJ15" s="202">
        <f t="shared" si="58"/>
        <v>8.3589069602188079E-2</v>
      </c>
      <c r="BK15" s="202">
        <f t="shared" si="59"/>
        <v>8.3200243197466994E-2</v>
      </c>
      <c r="BL15" s="202">
        <f t="shared" si="60"/>
        <v>8.1126115862659484E-2</v>
      </c>
      <c r="BM15" s="202">
        <f t="shared" si="61"/>
        <v>7.9819737981502326E-2</v>
      </c>
      <c r="BN15" s="202">
        <f t="shared" si="62"/>
        <v>7.3527202905881939E-2</v>
      </c>
      <c r="BO15" s="202">
        <f t="shared" si="63"/>
        <v>6.9579830040923468E-2</v>
      </c>
      <c r="BP15" s="202">
        <f t="shared" si="64"/>
        <v>6.4168284228046199E-2</v>
      </c>
      <c r="BQ15" s="202">
        <f t="shared" si="65"/>
        <v>6.074898789978235E-2</v>
      </c>
      <c r="BR15" s="202">
        <f t="shared" si="66"/>
        <v>5.3248068475757859E-2</v>
      </c>
      <c r="BS15" s="202">
        <f t="shared" si="67"/>
        <v>4.821701188756701E-2</v>
      </c>
      <c r="BU15" s="205" t="s">
        <v>415</v>
      </c>
      <c r="BV15" s="202">
        <f>'Bilan 2015'!$E$8+'Bilan 2015'!$I$13*'Bilan 2015'!$G$8/'Bilan 2015'!$H$13</f>
        <v>0.18171827102555427</v>
      </c>
      <c r="BW15" s="202">
        <f>'Bilan 2020'!$E$8+'Bilan 2020'!$I$13*'Bilan 2020'!$G$8/'Bilan 2020'!$H$13</f>
        <v>3.3727735694754233</v>
      </c>
      <c r="BX15" s="202">
        <f>'Bilan 2023 réel'!$E$8+'Bilan 2023 réel'!$I$13*'Bilan 2023 réel'!$G$8/'Bilan 2023 réel'!$H$13</f>
        <v>3.9004682657689473</v>
      </c>
      <c r="BY15" s="202">
        <f>'Bilan 2025'!$E$8+'Bilan 2025'!$I$13*'Bilan 2025'!$G$8/'Bilan 2025'!$H$13</f>
        <v>3.9074683250981557</v>
      </c>
      <c r="BZ15" s="202">
        <f>'Bilan 2028'!$E$8+'Bilan 2028'!$I$13*'Bilan 2028'!$G$8/'Bilan 2028'!$H$13</f>
        <v>3.774658094837807</v>
      </c>
      <c r="CA15" s="202">
        <f>'Bilan 2030'!$E$8+'Bilan 2030'!$I$13*'Bilan 2030'!$G$8/'Bilan 2030'!$H$13</f>
        <v>3.7100854036924145</v>
      </c>
      <c r="CB15" s="202">
        <f>'Bilan 2033'!$E$8+'Bilan 2033'!$I$13*'Bilan 2033'!$G$8/'Bilan 2033'!$H$13</f>
        <v>3.5222704371353815</v>
      </c>
      <c r="CC15" s="202">
        <f>'Bilan 2035'!$E$8+'Bilan 2035'!$I$13*'Bilan 2035'!$G$8/'Bilan 2035'!$H$13</f>
        <v>3.3986281935264402</v>
      </c>
      <c r="CD15" s="202">
        <f>'Bilan 2038'!$E$8+'Bilan 2038'!$I$13*'Bilan 2038'!$G$8/'Bilan 2038'!$H$13</f>
        <v>3.2150391376266003</v>
      </c>
      <c r="CE15" s="202">
        <f>'Bilan 2040'!$E$8+'Bilan 2040'!$I$13*'Bilan 2040'!$G$8/'Bilan 2040'!$H$13</f>
        <v>3.0938589931255263</v>
      </c>
      <c r="CF15" s="202">
        <f>'Bilan 2045'!$E$8+'Bilan 2045'!$I$13*'Bilan 2045'!$G$8/'Bilan 2045'!$H$13</f>
        <v>2.7947366522837793</v>
      </c>
      <c r="CG15" s="202">
        <f>'Bilan 2050'!$E$8+'Bilan 2050'!$I$13*'Bilan 2050'!$G$8/'Bilan 2050'!$H$13</f>
        <v>2.5583520669979496</v>
      </c>
      <c r="CH15" s="206"/>
      <c r="CJ15" s="205" t="s">
        <v>415</v>
      </c>
      <c r="CK15" s="202">
        <f t="shared" si="68"/>
        <v>7.9921040170571458E-2</v>
      </c>
      <c r="CL15" s="202">
        <f t="shared" si="69"/>
        <v>8.7045000077838844E-2</v>
      </c>
      <c r="CM15" s="202">
        <f t="shared" si="70"/>
        <v>8.8706919811706725E-2</v>
      </c>
      <c r="CN15" s="202">
        <f t="shared" si="71"/>
        <v>8.9854060997460142E-2</v>
      </c>
      <c r="CO15" s="202">
        <f t="shared" si="72"/>
        <v>8.9671267020439704E-2</v>
      </c>
      <c r="CP15" s="202">
        <f t="shared" si="73"/>
        <v>8.955655481981814E-2</v>
      </c>
      <c r="CQ15" s="202">
        <f t="shared" si="74"/>
        <v>8.9042391365625459E-2</v>
      </c>
      <c r="CR15" s="202">
        <f t="shared" si="75"/>
        <v>8.8721271934519702E-2</v>
      </c>
      <c r="CS15" s="202">
        <f t="shared" si="76"/>
        <v>8.8282009795459082E-2</v>
      </c>
      <c r="CT15" s="202">
        <f t="shared" si="77"/>
        <v>8.8005993481828471E-2</v>
      </c>
      <c r="CU15" s="202">
        <f t="shared" si="78"/>
        <v>8.7393803421868213E-2</v>
      </c>
      <c r="CV15" s="202">
        <f t="shared" si="79"/>
        <v>8.697382528597257E-2</v>
      </c>
      <c r="CW15" s="206"/>
      <c r="CX15" s="193">
        <f>CX14+1</f>
        <v>2307</v>
      </c>
      <c r="CY15" s="205" t="s">
        <v>415</v>
      </c>
      <c r="CZ15" s="207" t="s">
        <v>278</v>
      </c>
      <c r="DA15" s="202">
        <f>'Bilan 2015'!$K$13*'Bilan 2015'!$G$8/SUM('Bilan 2015'!$G$7:$G$19)</f>
        <v>0.1987848952188502</v>
      </c>
      <c r="DB15" s="202">
        <f>'Bilan 2020'!$K$13*'Bilan 2020'!$G$8/SUM('Bilan 2020'!$G$7:$G$19)</f>
        <v>3.6133184052295029</v>
      </c>
      <c r="DC15" s="202">
        <f>'Bilan 2023 réel'!$K$13*'Bilan 2023 réel'!$G$8/SUM('Bilan 2023 réel'!$G$7:$G$19)</f>
        <v>4.1392795412884427</v>
      </c>
      <c r="DD15" s="202">
        <f>'Bilan 2025'!$K$13*'Bilan 2025'!$G$8/SUM('Bilan 2025'!$G$7:$G$19)</f>
        <v>4.2199623911640476</v>
      </c>
      <c r="DE15" s="202">
        <f>'Bilan 2028'!$K$13*'Bilan 2028'!$G$8/SUM('Bilan 2028'!$G$7:$G$19)</f>
        <v>4.1722492237405291</v>
      </c>
      <c r="DF15" s="202">
        <f>'Bilan 2030'!$K$13*'Bilan 2030'!$G$8/SUM('Bilan 2030'!$G$7:$G$19)</f>
        <v>4.1626604552245761</v>
      </c>
      <c r="DG15" s="202">
        <f>'Bilan 2033'!$K$13*'Bilan 2033'!$G$8/SUM('Bilan 2033'!$G$7:$G$19)</f>
        <v>4.2655149436385233</v>
      </c>
      <c r="DH15" s="202">
        <f>'Bilan 2035'!$K$13*'Bilan 2035'!$G$8/SUM('Bilan 2035'!$G$7:$G$19)</f>
        <v>4.3335923066331024</v>
      </c>
      <c r="DI15" s="202">
        <f>'Bilan 2038'!$K$13*'Bilan 2038'!$G$8/SUM('Bilan 2038'!$G$7:$G$19)</f>
        <v>4.4232149893869455</v>
      </c>
      <c r="DJ15" s="202">
        <f>'Bilan 2040'!$K$13*'Bilan 2040'!$G$8/SUM('Bilan 2040'!$G$7:$G$19)</f>
        <v>4.4820192697181866</v>
      </c>
      <c r="DK15" s="202">
        <f>'Bilan 2045'!$K$13*'Bilan 2045'!$G$8/SUM('Bilan 2045'!$G$7:$G$19)</f>
        <v>4.5868831038777405</v>
      </c>
      <c r="DL15" s="202">
        <f>'Bilan 2050'!$K$13*'Bilan 2050'!$G$8/SUM('Bilan 2050'!$G$7:$G$19)</f>
        <v>4.6147543571123215</v>
      </c>
    </row>
    <row r="16" spans="1:116" ht="15" x14ac:dyDescent="0.25">
      <c r="A16" s="211" t="s">
        <v>25</v>
      </c>
      <c r="B16" s="212"/>
      <c r="C16" s="212"/>
      <c r="D16" s="577"/>
      <c r="E16" s="212"/>
      <c r="F16" s="212"/>
      <c r="G16" s="212"/>
      <c r="H16" s="212"/>
      <c r="I16" s="212"/>
      <c r="J16" s="212"/>
      <c r="K16" s="212"/>
      <c r="L16" s="212"/>
      <c r="M16" s="577"/>
      <c r="N16" s="573"/>
      <c r="O16" s="573"/>
      <c r="P16" s="573"/>
      <c r="Q16" s="569" t="s">
        <v>285</v>
      </c>
      <c r="R16" s="201">
        <f t="shared" ref="R16" si="96">SUM(R17:R22)</f>
        <v>45.352678690233105</v>
      </c>
      <c r="S16" s="201">
        <f t="shared" ref="S16:AC16" si="97">SUM(S17:S22)</f>
        <v>514.01219611244392</v>
      </c>
      <c r="T16" s="201">
        <f t="shared" si="97"/>
        <v>494.7147333879505</v>
      </c>
      <c r="U16" s="201">
        <f t="shared" si="97"/>
        <v>521.2168101093838</v>
      </c>
      <c r="V16" s="201">
        <f t="shared" ref="V16" si="98">SUM(V17:V22)</f>
        <v>519.19538515167608</v>
      </c>
      <c r="W16" s="201">
        <f t="shared" ref="W16" si="99">SUM(W17:W22)</f>
        <v>518.30568973114987</v>
      </c>
      <c r="X16" s="201">
        <f t="shared" ref="X16" si="100">SUM(X17:X22)</f>
        <v>523.20980721368994</v>
      </c>
      <c r="Y16" s="201">
        <f t="shared" ref="Y16" si="101">SUM(Y17:Y22)</f>
        <v>526.60208563084336</v>
      </c>
      <c r="Z16" s="201">
        <f t="shared" ref="Z16" si="102">SUM(Z17:Z22)</f>
        <v>530.07929769409998</v>
      </c>
      <c r="AA16" s="201">
        <f t="shared" ref="AA16" si="103">SUM(AA17:AA22)</f>
        <v>532.34137291180821</v>
      </c>
      <c r="AB16" s="201">
        <f t="shared" ref="AB16" si="104">SUM(AB17:AB22)</f>
        <v>533.79117600803681</v>
      </c>
      <c r="AC16" s="201">
        <f t="shared" si="97"/>
        <v>529.24290369627317</v>
      </c>
      <c r="AD16" s="193">
        <f>AD15+1</f>
        <v>2308</v>
      </c>
      <c r="AE16" s="205" t="s">
        <v>415</v>
      </c>
      <c r="AF16" s="205">
        <f>'Bilan 2015'!$S$13*'Bilan 2015'!$G$8/SUM('Bilan 2015'!$G$7:$G$19)</f>
        <v>2.4872661165894936</v>
      </c>
      <c r="AG16" s="205">
        <f>'Bilan 2020'!$S$13*'Bilan 2020'!$G$8/SUM('Bilan 2020'!$G$7:$G$19)</f>
        <v>41.510924257548858</v>
      </c>
      <c r="AH16" s="205">
        <f>'Bilan 2023 réel'!$S$13*'Bilan 2023 réel'!$G$8/SUM('Bilan 2023 réel'!$G$7:$G$19)</f>
        <v>46.662419911261296</v>
      </c>
      <c r="AI16" s="205">
        <f>'Bilan 2025'!$S$13*'Bilan 2025'!$G$8/SUM('Bilan 2025'!$G$7:$G$19)</f>
        <v>46.964626243029031</v>
      </c>
      <c r="AJ16" s="205">
        <f>'Bilan 2028'!$S$13*'Bilan 2028'!$G$8/SUM('Bilan 2028'!$G$7:$G$19)</f>
        <v>46.528273351925591</v>
      </c>
      <c r="AK16" s="205">
        <f>'Bilan 2030'!$S$13*'Bilan 2030'!$G$8/SUM('Bilan 2030'!$G$7:$G$19)</f>
        <v>46.48080158509417</v>
      </c>
      <c r="AL16" s="205">
        <f>'Bilan 2033'!$S$13*'Bilan 2033'!$G$8/SUM('Bilan 2033'!$G$7:$G$19)</f>
        <v>47.904317013718618</v>
      </c>
      <c r="AM16" s="205">
        <f>'Bilan 2035'!$S$13*'Bilan 2035'!$G$8/SUM('Bilan 2035'!$G$7:$G$19)</f>
        <v>48.845020051465099</v>
      </c>
      <c r="AN16" s="205">
        <f>'Bilan 2038'!$S$13*'Bilan 2038'!$G$8/SUM('Bilan 2038'!$G$7:$G$19)</f>
        <v>50.103243000868567</v>
      </c>
      <c r="AO16" s="205">
        <f>'Bilan 2040'!$S$13*'Bilan 2040'!$G$8/SUM('Bilan 2040'!$G$7:$G$19)</f>
        <v>50.928568525774743</v>
      </c>
      <c r="AP16" s="205">
        <f>'Bilan 2045'!$S$13*'Bilan 2045'!$G$8/SUM('Bilan 2045'!$G$7:$G$19)</f>
        <v>52.485221197387347</v>
      </c>
      <c r="AQ16" s="205">
        <f>'Bilan 2050'!$S$13*'Bilan 2050'!$G$8/SUM('Bilan 2050'!$G$7:$G$19)</f>
        <v>53.059116831286531</v>
      </c>
      <c r="AR16" s="206"/>
      <c r="AS16" s="205" t="s">
        <v>415</v>
      </c>
      <c r="AT16" s="205">
        <f>'Bilan 2015'!$S$13*'Bilan 2015'!$G$8/SUM('Bilan 2015'!$G$7:$G$19)</f>
        <v>2.4872661165894936</v>
      </c>
      <c r="AU16" s="205">
        <f>'Bilan 2020'!$S$13*'Bilan 2020'!$G$8/SUM('Bilan 2020'!$G$7:$G$19)</f>
        <v>41.510924257548858</v>
      </c>
      <c r="AV16" s="205">
        <f>'Bilan 2023 réel'!$S$13*'Bilan 2023 réel'!$G$8/SUM('Bilan 2023 réel'!$G$7:$G$19)</f>
        <v>46.662419911261296</v>
      </c>
      <c r="AW16" s="205">
        <f>'Bilan 2025'!$S$13*'Bilan 2025'!$G$8/SUM('Bilan 2025'!$G$7:$G$19)</f>
        <v>46.964626243029031</v>
      </c>
      <c r="AX16" s="205">
        <f>'Bilan 2028'!$S$13*'Bilan 2028'!$G$8/SUM('Bilan 2028'!$G$7:$G$19)</f>
        <v>46.528273351925591</v>
      </c>
      <c r="AY16" s="205">
        <f>'Bilan 2030'!$S$13*'Bilan 2030'!$G$8/SUM('Bilan 2030'!$G$7:$G$19)</f>
        <v>46.48080158509417</v>
      </c>
      <c r="AZ16" s="205">
        <f>'Bilan 2033'!$S$13*'Bilan 2033'!$G$8/SUM('Bilan 2033'!$G$7:$G$19)</f>
        <v>47.904317013718618</v>
      </c>
      <c r="BA16" s="205">
        <f>'Bilan 2035'!$S$13*'Bilan 2035'!$G$8/SUM('Bilan 2035'!$G$7:$G$19)</f>
        <v>48.845020051465099</v>
      </c>
      <c r="BB16" s="205">
        <f>'Bilan 2038'!$S$13*'Bilan 2038'!$G$8/SUM('Bilan 2038'!$G$7:$G$19)</f>
        <v>50.103243000868567</v>
      </c>
      <c r="BC16" s="205">
        <f>'Bilan 2040'!$S$13*'Bilan 2040'!$G$8/SUM('Bilan 2040'!$G$7:$G$19)</f>
        <v>50.928568525774743</v>
      </c>
      <c r="BD16" s="205">
        <f>'Bilan 2045'!$S$13*'Bilan 2045'!$G$8/SUM('Bilan 2045'!$G$7:$G$19)</f>
        <v>52.485221197387347</v>
      </c>
      <c r="BE16" s="205">
        <f>'Bilan 2050'!$S$13*'Bilan 2050'!$G$8/SUM('Bilan 2050'!$G$7:$G$19)</f>
        <v>53.059116831286531</v>
      </c>
      <c r="BF16" s="216"/>
      <c r="BG16" s="205" t="s">
        <v>412</v>
      </c>
      <c r="BH16" s="202">
        <f t="shared" si="56"/>
        <v>4.4063574591689036</v>
      </c>
      <c r="BI16" s="202">
        <f t="shared" si="57"/>
        <v>4.2674127401567858</v>
      </c>
      <c r="BJ16" s="202">
        <f t="shared" si="58"/>
        <v>4.3300319093023445</v>
      </c>
      <c r="BK16" s="202">
        <f t="shared" si="59"/>
        <v>3.522532342839618</v>
      </c>
      <c r="BL16" s="202">
        <f t="shared" si="60"/>
        <v>2.8584001657121862</v>
      </c>
      <c r="BM16" s="202">
        <f t="shared" si="61"/>
        <v>2.5019958025223996</v>
      </c>
      <c r="BN16" s="202">
        <f t="shared" si="62"/>
        <v>2.2740498658954333</v>
      </c>
      <c r="BO16" s="202">
        <f t="shared" si="63"/>
        <v>2.1382039622548401</v>
      </c>
      <c r="BP16" s="202">
        <f t="shared" si="64"/>
        <v>1.734298309651886</v>
      </c>
      <c r="BQ16" s="202">
        <f t="shared" si="65"/>
        <v>1.5280626948321578</v>
      </c>
      <c r="BR16" s="202">
        <f t="shared" si="66"/>
        <v>1.3498743072727191</v>
      </c>
      <c r="BS16" s="202">
        <f t="shared" si="67"/>
        <v>1.2000520235192904</v>
      </c>
      <c r="BU16" s="205" t="s">
        <v>283</v>
      </c>
      <c r="BV16" s="202">
        <f>SUM('Bilan 2015'!$E$12:$E$16)+'Bilan 2015'!$I$13*SUM('Bilan 2015'!$G$12:$G$16)/'Bilan 2015'!$H$13</f>
        <v>2.7390442771279884</v>
      </c>
      <c r="BW16" s="202">
        <f>SUM('Bilan 2020'!$E$12:$E$16)+'Bilan 2020'!$I$13*SUM('Bilan 2020'!$G$12:$G$16)/'Bilan 2020'!$H$13</f>
        <v>21.05667717879976</v>
      </c>
      <c r="BX16" s="202">
        <f>SUM('Bilan 2023 réel'!$E$12:$E$16)+'Bilan 2023 réel'!$I$13*SUM('Bilan 2023 réel'!$G$12:$G$16)/'Bilan 2023 réel'!$H$13</f>
        <v>24.389913226732862</v>
      </c>
      <c r="BY16" s="202">
        <f>SUM('Bilan 2025'!$E$12:$E$16)+'Bilan 2025'!$I$13*SUM('Bilan 2025'!$G$12:$G$16)/'Bilan 2025'!$H$13</f>
        <v>34.959358808731963</v>
      </c>
      <c r="BZ16" s="202">
        <f>SUM('Bilan 2028'!$E$12:$E$16)+'Bilan 2028'!$I$13*SUM('Bilan 2028'!$G$12:$G$16)/'Bilan 2028'!$H$13</f>
        <v>31.726468501683261</v>
      </c>
      <c r="CA16" s="202">
        <f>SUM('Bilan 2030'!$E$12:$E$16)+'Bilan 2030'!$I$13*SUM('Bilan 2030'!$G$12:$G$16)/'Bilan 2030'!$H$13</f>
        <v>29.803265008307935</v>
      </c>
      <c r="CB16" s="202">
        <f>SUM('Bilan 2033'!$E$12:$E$16)+'Bilan 2033'!$I$13*SUM('Bilan 2033'!$G$12:$G$16)/'Bilan 2033'!$H$13</f>
        <v>28.602649926749692</v>
      </c>
      <c r="CC16" s="202">
        <f>SUM('Bilan 2035'!$E$12:$E$16)+'Bilan 2035'!$I$13*SUM('Bilan 2035'!$G$12:$G$16)/'Bilan 2035'!$H$13</f>
        <v>27.864171303470339</v>
      </c>
      <c r="CD16" s="202">
        <f>SUM('Bilan 2038'!$E$12:$E$16)+'Bilan 2038'!$I$13*SUM('Bilan 2038'!$G$12:$G$16)/'Bilan 2038'!$H$13</f>
        <v>27.026495226243341</v>
      </c>
      <c r="CE16" s="202">
        <f>SUM('Bilan 2040'!$E$12:$E$16)+'Bilan 2040'!$I$13*SUM('Bilan 2040'!$G$12:$G$16)/'Bilan 2040'!$H$13</f>
        <v>26.508648731428259</v>
      </c>
      <c r="CF16" s="202">
        <f>SUM('Bilan 2045'!$E$12:$E$16)+'Bilan 2045'!$I$13*SUM('Bilan 2045'!$G$12:$G$16)/'Bilan 2045'!$H$13</f>
        <v>25.098426341140033</v>
      </c>
      <c r="CG16" s="202">
        <f>SUM('Bilan 2050'!$E$12:$E$16)+'Bilan 2050'!$I$13*SUM('Bilan 2050'!$G$12:$G$16)/'Bilan 2050'!$H$13</f>
        <v>23.858882048545571</v>
      </c>
      <c r="CH16" s="206"/>
      <c r="CJ16" s="205" t="s">
        <v>412</v>
      </c>
      <c r="CK16" s="202">
        <f t="shared" si="68"/>
        <v>7.9921040170571445E-2</v>
      </c>
      <c r="CL16" s="202">
        <f t="shared" si="69"/>
        <v>8.7045000077838858E-2</v>
      </c>
      <c r="CM16" s="202">
        <f t="shared" si="70"/>
        <v>8.8706919811706683E-2</v>
      </c>
      <c r="CN16" s="202">
        <f t="shared" si="71"/>
        <v>8.9854060997460142E-2</v>
      </c>
      <c r="CO16" s="202">
        <f t="shared" si="72"/>
        <v>8.9671267020439718E-2</v>
      </c>
      <c r="CP16" s="202">
        <f t="shared" si="73"/>
        <v>8.9556554819818154E-2</v>
      </c>
      <c r="CQ16" s="202">
        <f t="shared" si="74"/>
        <v>8.9042391365625445E-2</v>
      </c>
      <c r="CR16" s="202">
        <f t="shared" si="75"/>
        <v>8.8721271934519688E-2</v>
      </c>
      <c r="CS16" s="202">
        <f t="shared" si="76"/>
        <v>8.8282009795459068E-2</v>
      </c>
      <c r="CT16" s="202">
        <f t="shared" si="77"/>
        <v>8.8005993481828484E-2</v>
      </c>
      <c r="CU16" s="202">
        <f t="shared" si="78"/>
        <v>8.7393803421868241E-2</v>
      </c>
      <c r="CV16" s="202">
        <f t="shared" si="79"/>
        <v>8.697382528597257E-2</v>
      </c>
      <c r="CW16" s="206"/>
      <c r="CX16" s="193">
        <f>CX15+1</f>
        <v>2308</v>
      </c>
      <c r="CY16" s="205" t="s">
        <v>412</v>
      </c>
      <c r="CZ16" s="207" t="s">
        <v>280</v>
      </c>
      <c r="DA16" s="202">
        <f>'Bilan 2015'!$K$13*SUM('Bilan 2015'!$G$12:$G$16)/SUM('Bilan 2015'!$G$7:$G$19)</f>
        <v>4.9679870443967239E-2</v>
      </c>
      <c r="DB16" s="202">
        <f>'Bilan 2020'!$K$13*SUM('Bilan 2020'!$G$12:$G$16)/SUM('Bilan 2020'!$G$7:$G$19)</f>
        <v>0.42950578682490231</v>
      </c>
      <c r="DC16" s="202">
        <f>'Bilan 2023 réel'!$K$13*SUM('Bilan 2023 réel'!$G$12:$G$16)/SUM('Bilan 2023 réel'!$G$7:$G$19)</f>
        <v>0.49966238636030469</v>
      </c>
      <c r="DD16" s="202">
        <f>'Bilan 2025'!$K$13*SUM('Bilan 2025'!$G$12:$G$16)/SUM('Bilan 2025'!$G$7:$G$19)</f>
        <v>0.89175628584850697</v>
      </c>
      <c r="DE16" s="202">
        <f>'Bilan 2028'!$K$13*SUM('Bilan 2028'!$G$12:$G$16)/SUM('Bilan 2028'!$G$7:$G$19)</f>
        <v>0.99529543230388595</v>
      </c>
      <c r="DF16" s="202">
        <f>'Bilan 2030'!$K$13*SUM('Bilan 2030'!$G$12:$G$16)/SUM('Bilan 2030'!$G$7:$G$19)</f>
        <v>1.0667794621538749</v>
      </c>
      <c r="DG16" s="202">
        <f>'Bilan 2033'!$K$13*SUM('Bilan 2033'!$G$12:$G$16)/SUM('Bilan 2033'!$G$7:$G$19)</f>
        <v>1.119961521982181</v>
      </c>
      <c r="DH16" s="202">
        <f>'Bilan 2035'!$K$13*SUM('Bilan 2035'!$G$12:$G$16)/SUM('Bilan 2035'!$G$7:$G$19)</f>
        <v>1.1561781584382789</v>
      </c>
      <c r="DI16" s="202">
        <f>'Bilan 2038'!$K$13*SUM('Bilan 2038'!$G$12:$G$16)/SUM('Bilan 2038'!$G$7:$G$19)</f>
        <v>1.3757456275091791</v>
      </c>
      <c r="DJ16" s="202">
        <f>'Bilan 2040'!$K$13*SUM('Bilan 2040'!$G$12:$G$16)/SUM('Bilan 2040'!$G$7:$G$19)</f>
        <v>1.5267174412149391</v>
      </c>
      <c r="DK16" s="202">
        <f>'Bilan 2045'!$K$13*SUM('Bilan 2045'!$G$12:$G$16)/SUM('Bilan 2045'!$G$7:$G$19)</f>
        <v>1.6249267995088101</v>
      </c>
      <c r="DL16" s="202">
        <f>'Bilan 2050'!$K$13*SUM('Bilan 2050'!$G$12:$G$16)/SUM('Bilan 2050'!$G$7:$G$19)</f>
        <v>1.7291735675953162</v>
      </c>
    </row>
    <row r="17" spans="1:116" ht="15" x14ac:dyDescent="0.25">
      <c r="A17" s="203" t="s">
        <v>279</v>
      </c>
      <c r="B17" s="204">
        <f>'Bilan 2015'!$C9</f>
        <v>1.1874648021075129</v>
      </c>
      <c r="C17" s="204">
        <f>'Bilan 2020'!$C9</f>
        <v>19.145134301820498</v>
      </c>
      <c r="D17" s="204">
        <f>'Bilan 2023 réel'!$C9*(1-SUM('Bilan 2023 réel'!$M$13:$P$13)/'Bilan 2023 réel'!$D$13)</f>
        <v>21.280148849125204</v>
      </c>
      <c r="E17" s="204">
        <f>'Bilan 2025'!$C9</f>
        <v>26.423368842886727</v>
      </c>
      <c r="F17" s="204">
        <f>'Bilan 2028'!$C9*(1-SUM('Bilan 2028'!$M$13:$P$13)/'Bilan 2028'!$D$13)</f>
        <v>32.482207754273446</v>
      </c>
      <c r="G17" s="204">
        <f>'Bilan 2030'!$C9*(1-SUM('Bilan 2030'!$M$13:$P$13)/'Bilan 2030'!$D$13)</f>
        <v>36.527368787200153</v>
      </c>
      <c r="H17" s="204">
        <f>'Bilan 2033'!$C9*(1-SUM('Bilan 2033'!$M$13:$P$13)/'Bilan 2033'!$D$13)</f>
        <v>49.243347923399526</v>
      </c>
      <c r="I17" s="204">
        <f>'Bilan 2035'!$C9*(1-SUM('Bilan 2035'!$M$13:$P$13)/'Bilan 2035'!$D$13)</f>
        <v>57.709684059786852</v>
      </c>
      <c r="J17" s="204">
        <f>'Bilan 2038'!$C9*(1-SUM('Bilan 2038'!$M$13:$P$13)/'Bilan 2038'!$D$13)</f>
        <v>70.395633401780344</v>
      </c>
      <c r="K17" s="204">
        <f>'Bilan 2040'!$C9*(1-SUM('Bilan 2040'!$M$13:$P$13)/'Bilan 2040'!$D$13)</f>
        <v>78.844959526638419</v>
      </c>
      <c r="L17" s="204">
        <f>'Bilan 2045'!$C9*(1-SUM('Bilan 2045'!$M$13:$P$13)/'Bilan 2045'!$D$13)</f>
        <v>99.941718038571807</v>
      </c>
      <c r="M17" s="204">
        <f>'Bilan 2050'!$C9*(1-SUM('Bilan 2050'!$M$13:$P$13)/'Bilan 2050'!$D$13)</f>
        <v>110.97142382779978</v>
      </c>
      <c r="N17" s="575"/>
      <c r="O17" s="575"/>
      <c r="P17" s="575"/>
      <c r="Q17" s="570" t="s">
        <v>287</v>
      </c>
      <c r="R17" s="205">
        <f t="shared" ref="R17:AC22" si="105">B29</f>
        <v>31.150145872946307</v>
      </c>
      <c r="S17" s="205">
        <f t="shared" si="105"/>
        <v>351.08176898139908</v>
      </c>
      <c r="T17" s="205">
        <f t="shared" si="105"/>
        <v>296.66980754710573</v>
      </c>
      <c r="U17" s="205">
        <f t="shared" si="105"/>
        <v>344.97011583178244</v>
      </c>
      <c r="V17" s="205">
        <f t="shared" si="105"/>
        <v>333.80756781619004</v>
      </c>
      <c r="W17" s="205">
        <f t="shared" si="105"/>
        <v>326.3078089085634</v>
      </c>
      <c r="X17" s="205">
        <f t="shared" si="105"/>
        <v>321.42991010349647</v>
      </c>
      <c r="Y17" s="205">
        <f t="shared" si="105"/>
        <v>318.11286250260213</v>
      </c>
      <c r="Z17" s="205">
        <f t="shared" si="105"/>
        <v>317.29168953645728</v>
      </c>
      <c r="AA17" s="205">
        <f t="shared" si="105"/>
        <v>316.6595722245948</v>
      </c>
      <c r="AB17" s="205">
        <f t="shared" si="105"/>
        <v>310.50686769040055</v>
      </c>
      <c r="AC17" s="205">
        <f t="shared" si="105"/>
        <v>300.43978506050433</v>
      </c>
      <c r="AE17" s="205" t="s">
        <v>412</v>
      </c>
      <c r="AF17" s="205">
        <f>'Bilan 2015'!$S$13*SUM('Bilan 2015'!$G$12:$G$14,'Bilan 2015'!$G$16)/SUM('Bilan 2015'!$G$7:$G$19)</f>
        <v>0.62161191017957218</v>
      </c>
      <c r="AG17" s="205">
        <f>'Bilan 2020'!$S$13*SUM('Bilan 2020'!$G$12:$G$14,'Bilan 2020'!$G$16)/SUM('Bilan 2020'!$G$7:$G$19)</f>
        <v>4.9342958979932492</v>
      </c>
      <c r="AH17" s="205">
        <f>'Bilan 2023 réel'!$S$13*SUM('Bilan 2023 réel'!$G$12:$G$14,'Bilan 2023 réel'!$G$16)/SUM('Bilan 2023 réel'!$G$7:$G$19)</f>
        <v>5.6327329076571555</v>
      </c>
      <c r="AI17" s="205">
        <f>'Bilan 2025'!$S$13*SUM('Bilan 2025'!$G$12:$G$14,'Bilan 2025'!$G$16)/SUM('Bilan 2025'!$G$7:$G$19)</f>
        <v>9.9244961880322116</v>
      </c>
      <c r="AJ17" s="205">
        <f>'Bilan 2028'!$S$13*SUM('Bilan 2028'!$G$12:$G$14,'Bilan 2028'!$G$16)/SUM('Bilan 2028'!$G$7:$G$19)</f>
        <v>11.099379604807165</v>
      </c>
      <c r="AK17" s="205">
        <f>'Bilan 2030'!$S$13*SUM('Bilan 2030'!$G$12:$G$14,'Bilan 2030'!$G$16)/SUM('Bilan 2030'!$G$7:$G$19)</f>
        <v>11.911796565870185</v>
      </c>
      <c r="AL17" s="205">
        <f>'Bilan 2033'!$S$13*SUM('Bilan 2033'!$G$12:$G$14,'Bilan 2033'!$G$16)/SUM('Bilan 2033'!$G$7:$G$19)</f>
        <v>12.577846403331648</v>
      </c>
      <c r="AM17" s="205">
        <f>'Bilan 2035'!$S$13*SUM('Bilan 2035'!$G$12:$G$14,'Bilan 2035'!$G$16)/SUM('Bilan 2035'!$G$7:$G$19)</f>
        <v>13.031577807987137</v>
      </c>
      <c r="AN17" s="205">
        <f>'Bilan 2038'!$S$13*SUM('Bilan 2038'!$G$12:$G$14,'Bilan 2038'!$G$16)/SUM('Bilan 2038'!$G$7:$G$19)</f>
        <v>15.583533164872994</v>
      </c>
      <c r="AO17" s="205">
        <f>'Bilan 2040'!$S$13*SUM('Bilan 2040'!$G$12:$G$14,'Bilan 2040'!$G$16)/SUM('Bilan 2040'!$G$7:$G$19)</f>
        <v>17.347880306926783</v>
      </c>
      <c r="AP17" s="205">
        <f>'Bilan 2045'!$S$13*SUM('Bilan 2045'!$G$12:$G$14,'Bilan 2045'!$G$16)/SUM('Bilan 2045'!$G$7:$G$19)</f>
        <v>18.593158048802927</v>
      </c>
      <c r="AQ17" s="205">
        <f>'Bilan 2050'!$S$13*SUM('Bilan 2050'!$G$12:$G$14,'Bilan 2050'!$G$16)/SUM('Bilan 2050'!$G$7:$G$19)</f>
        <v>19.881539784064241</v>
      </c>
      <c r="AR17" s="206"/>
      <c r="AS17" s="205" t="s">
        <v>412</v>
      </c>
      <c r="AT17" s="205">
        <f>'Bilan 2015'!$S$13*SUM('Bilan 2015'!$G$12:$G$14,'Bilan 2015'!$G$16)/SUM('Bilan 2015'!$G$7:$G$19)</f>
        <v>0.62161191017957218</v>
      </c>
      <c r="AU17" s="205">
        <f>'Bilan 2020'!$S$13*SUM('Bilan 2020'!$G$12:$G$14,'Bilan 2020'!$G$16)/SUM('Bilan 2020'!$G$7:$G$19)</f>
        <v>4.9342958979932492</v>
      </c>
      <c r="AV17" s="205">
        <f>'Bilan 2023 réel'!$S$13*SUM('Bilan 2023 réel'!$G$12:$G$14,'Bilan 2023 réel'!$G$16)/SUM('Bilan 2023 réel'!$G$7:$G$19)</f>
        <v>5.6327329076571555</v>
      </c>
      <c r="AW17" s="205">
        <f>'Bilan 2025'!$S$13*SUM('Bilan 2025'!$G$12:$G$14,'Bilan 2025'!$G$16)/SUM('Bilan 2025'!$G$7:$G$19)</f>
        <v>9.9244961880322116</v>
      </c>
      <c r="AX17" s="205">
        <f>'Bilan 2028'!$S$13*SUM('Bilan 2028'!$G$12:$G$14,'Bilan 2028'!$G$16)/SUM('Bilan 2028'!$G$7:$G$19)</f>
        <v>11.099379604807165</v>
      </c>
      <c r="AY17" s="205">
        <f>'Bilan 2030'!$S$13*SUM('Bilan 2030'!$G$12:$G$14,'Bilan 2030'!$G$16)/SUM('Bilan 2030'!$G$7:$G$19)</f>
        <v>11.911796565870185</v>
      </c>
      <c r="AZ17" s="205">
        <f>'Bilan 2033'!$S$13*SUM('Bilan 2033'!$G$12:$G$14,'Bilan 2033'!$G$16)/SUM('Bilan 2033'!$G$7:$G$19)</f>
        <v>12.577846403331648</v>
      </c>
      <c r="BA17" s="205">
        <f>'Bilan 2035'!$S$13*SUM('Bilan 2035'!$G$12:$G$14,'Bilan 2035'!$G$16)/SUM('Bilan 2035'!$G$7:$G$19)</f>
        <v>13.031577807987137</v>
      </c>
      <c r="BB17" s="205">
        <f>'Bilan 2038'!$S$13*SUM('Bilan 2038'!$G$12:$G$14,'Bilan 2038'!$G$16)/SUM('Bilan 2038'!$G$7:$G$19)</f>
        <v>15.583533164872994</v>
      </c>
      <c r="BC17" s="205">
        <f>'Bilan 2040'!$S$13*SUM('Bilan 2040'!$G$12:$G$14,'Bilan 2040'!$G$16)/SUM('Bilan 2040'!$G$7:$G$19)</f>
        <v>17.347880306926783</v>
      </c>
      <c r="BD17" s="205">
        <f>'Bilan 2045'!$S$13*SUM('Bilan 2045'!$G$12:$G$14,'Bilan 2045'!$G$16)/SUM('Bilan 2045'!$G$7:$G$19)</f>
        <v>18.593158048802927</v>
      </c>
      <c r="BE17" s="205">
        <f>'Bilan 2050'!$S$13*SUM('Bilan 2050'!$G$12:$G$14,'Bilan 2050'!$G$16)/SUM('Bilan 2050'!$G$7:$G$19)</f>
        <v>19.881539784064241</v>
      </c>
      <c r="BF17" s="216"/>
      <c r="BG17" s="205" t="s">
        <v>287</v>
      </c>
      <c r="BH17" s="202">
        <f t="shared" ref="BH17:BS24" si="106">IF(AT19&gt;0,BV17/AT19,0)</f>
        <v>3.701010186305935E-2</v>
      </c>
      <c r="BI17" s="202">
        <f t="shared" si="106"/>
        <v>2.4778777091583257E-2</v>
      </c>
      <c r="BJ17" s="202">
        <f t="shared" si="106"/>
        <v>2.292490537547107E-2</v>
      </c>
      <c r="BK17" s="202">
        <f t="shared" si="106"/>
        <v>2.2778493472643793E-2</v>
      </c>
      <c r="BL17" s="202">
        <f t="shared" si="106"/>
        <v>2.2550332179733162E-2</v>
      </c>
      <c r="BM17" s="202">
        <f t="shared" si="106"/>
        <v>2.2431548864079998E-2</v>
      </c>
      <c r="BN17" s="202">
        <f t="shared" si="106"/>
        <v>2.2292087230525965E-2</v>
      </c>
      <c r="BO17" s="202">
        <f t="shared" si="106"/>
        <v>2.2205284289693983E-2</v>
      </c>
      <c r="BP17" s="202">
        <f t="shared" si="106"/>
        <v>2.1811691401487084E-2</v>
      </c>
      <c r="BQ17" s="202">
        <f t="shared" si="106"/>
        <v>2.1556026690705866E-2</v>
      </c>
      <c r="BR17" s="202">
        <f t="shared" si="106"/>
        <v>2.1239210454057422E-2</v>
      </c>
      <c r="BS17" s="202">
        <f t="shared" si="106"/>
        <v>2.1215698989982344E-2</v>
      </c>
      <c r="BU17" s="205" t="s">
        <v>287</v>
      </c>
      <c r="BV17" s="208">
        <f>'Bilan 2015'!$E$24+'Bilan 2015'!$E32+'Bilan 2015'!$E$45</f>
        <v>1.0912391386437459</v>
      </c>
      <c r="BW17" s="208">
        <f>'Bilan 2020'!$E$24+'Bilan 2020'!$E32+'Bilan 2020'!$E$45</f>
        <v>8.3578458106421287</v>
      </c>
      <c r="BX17" s="208">
        <f>'Bilan 2023 réel'!$E$24+'Bilan 2023 réel'!$E32+'Bilan 2023 réel'!$E$45</f>
        <v>6.5343831115979736</v>
      </c>
      <c r="BY17" s="208">
        <f>'Bilan 2025'!$E$24+'Bilan 2025'!$E32+'Bilan 2025'!$E$45</f>
        <v>7.5530646064790385</v>
      </c>
      <c r="BZ17" s="208">
        <f>'Bilan 2028'!$E$24+'Bilan 2028'!$E32+'Bilan 2028'!$E$45</f>
        <v>7.2296543735994412</v>
      </c>
      <c r="CA17" s="208">
        <f>'Bilan 2030'!$E$24+'Bilan 2030'!$E32+'Bilan 2030'!$E$45</f>
        <v>7.0264756740159058</v>
      </c>
      <c r="CB17" s="208">
        <f>'Bilan 2033'!$E$24+'Bilan 2033'!$E32+'Bilan 2033'!$E$45</f>
        <v>6.8489997288497229</v>
      </c>
      <c r="CC17" s="208">
        <f>'Bilan 2035'!$E$24+'Bilan 2035'!$E32+'Bilan 2035'!$E$45</f>
        <v>6.7318515338459157</v>
      </c>
      <c r="CD17" s="208">
        <f>'Bilan 2038'!$E$24+'Bilan 2038'!$E32+'Bilan 2038'!$E$45</f>
        <v>6.5656295101678399</v>
      </c>
      <c r="CE17" s="208">
        <f>'Bilan 2040'!$E$24+'Bilan 2040'!$E32+'Bilan 2040'!$E$45</f>
        <v>6.455634987406083</v>
      </c>
      <c r="CF17" s="208">
        <f>'Bilan 2045'!$E$24+'Bilan 2045'!$E32+'Bilan 2045'!$E$45</f>
        <v>6.1876653304089242</v>
      </c>
      <c r="CG17" s="208">
        <f>'Bilan 2050'!$E$24+'Bilan 2050'!$E32+'Bilan 2050'!$E$45</f>
        <v>5.9283469751487585</v>
      </c>
      <c r="CH17" s="206"/>
      <c r="CJ17" s="205" t="s">
        <v>287</v>
      </c>
      <c r="CK17" s="202">
        <f t="shared" ref="CK17:CV24" si="107">IF(AT19&gt;0,DA17/AT19,0)</f>
        <v>1.9467833156530601E-2</v>
      </c>
      <c r="CL17" s="202">
        <f t="shared" si="107"/>
        <v>1.608475300989478E-2</v>
      </c>
      <c r="CM17" s="202">
        <f t="shared" si="107"/>
        <v>1.7896722255328543E-2</v>
      </c>
      <c r="CN17" s="202">
        <f t="shared" si="107"/>
        <v>1.6027395796745249E-2</v>
      </c>
      <c r="CO17" s="202">
        <f t="shared" si="107"/>
        <v>1.6014963379147158E-2</v>
      </c>
      <c r="CP17" s="202">
        <f t="shared" si="107"/>
        <v>1.6009432420787201E-2</v>
      </c>
      <c r="CQ17" s="202">
        <f t="shared" si="107"/>
        <v>1.6084764744638679E-2</v>
      </c>
      <c r="CR17" s="202">
        <f t="shared" si="107"/>
        <v>1.6138232703332984E-2</v>
      </c>
      <c r="CS17" s="202">
        <f t="shared" si="107"/>
        <v>1.6192120814984858E-2</v>
      </c>
      <c r="CT17" s="202">
        <f t="shared" si="107"/>
        <v>1.6230487535139105E-2</v>
      </c>
      <c r="CU17" s="202">
        <f t="shared" si="107"/>
        <v>1.6397408751172658E-2</v>
      </c>
      <c r="CV17" s="202">
        <f t="shared" si="107"/>
        <v>1.7933219431490222E-2</v>
      </c>
      <c r="CW17" s="206"/>
      <c r="CX17" s="193">
        <v>2401</v>
      </c>
      <c r="CY17" s="205" t="s">
        <v>287</v>
      </c>
      <c r="CZ17" s="207" t="s">
        <v>281</v>
      </c>
      <c r="DA17" s="202">
        <f>'Bilan 2015'!$K$24+'Bilan 2015'!$K$30*'Bilan 2015'!$G$32/'Bilan 2015'!$H$30</f>
        <v>0.5740071065893716</v>
      </c>
      <c r="DB17" s="202">
        <f>'Bilan 2020'!$K$24+'Bilan 2020'!$K$30*'Bilan 2020'!$G$32/'Bilan 2020'!$H$30</f>
        <v>5.4253640146198476</v>
      </c>
      <c r="DC17" s="202">
        <f>'Bilan 2023 réel'!$K$24+'Bilan 2023 réel'!$K$30*'Bilan 2023 réel'!$G$32/'Bilan 2023 réel'!$H$30</f>
        <v>5.1011787286723065</v>
      </c>
      <c r="DD17" s="202">
        <f>'Bilan 2025'!$K$24+'Bilan 2025'!$K$30*'Bilan 2025'!$G$32/'Bilan 2025'!$H$30</f>
        <v>5.3144847385017622</v>
      </c>
      <c r="DE17" s="202">
        <f>'Bilan 2028'!$K$24+'Bilan 2028'!$K$30*'Bilan 2028'!$G$32/'Bilan 2028'!$H$30</f>
        <v>5.1344099552176177</v>
      </c>
      <c r="DF17" s="202">
        <f>'Bilan 2030'!$K$24+'Bilan 2030'!$K$30*'Bilan 2030'!$G$32/'Bilan 2030'!$H$30</f>
        <v>5.0148069641144897</v>
      </c>
      <c r="DG17" s="202">
        <f>'Bilan 2033'!$K$24+'Bilan 2033'!$K$30*'Bilan 2033'!$G$32/'Bilan 2033'!$H$30</f>
        <v>4.9418678581064679</v>
      </c>
      <c r="DH17" s="202">
        <f>'Bilan 2035'!$K$24+'Bilan 2035'!$K$30*'Bilan 2035'!$G$32/'Bilan 2035'!$H$30</f>
        <v>4.8925375221571494</v>
      </c>
      <c r="DI17" s="202">
        <f>'Bilan 2038'!$K$24+'Bilan 2038'!$K$30*'Bilan 2038'!$G$32/'Bilan 2038'!$H$30</f>
        <v>4.8740587925161725</v>
      </c>
      <c r="DJ17" s="202">
        <f>'Bilan 2040'!$K$24+'Bilan 2040'!$K$30*'Bilan 2040'!$G$32/'Bilan 2040'!$H$30</f>
        <v>4.860733598909424</v>
      </c>
      <c r="DK17" s="202">
        <f>'Bilan 2045'!$K$24+'Bilan 2045'!$K$30*'Bilan 2045'!$G$32/'Bilan 2045'!$H$30</f>
        <v>4.777092719978782</v>
      </c>
      <c r="DL17" s="202">
        <f>'Bilan 2050'!$K$24+'Bilan 2050'!$K$30*'Bilan 2050'!$G$32/'Bilan 2050'!$H$30</f>
        <v>5.0111168725364008</v>
      </c>
    </row>
    <row r="18" spans="1:116" ht="15" x14ac:dyDescent="0.25">
      <c r="A18" s="203" t="s">
        <v>415</v>
      </c>
      <c r="B18" s="204">
        <f>'Bilan 2015'!$C8</f>
        <v>3.2925160422071951</v>
      </c>
      <c r="C18" s="204">
        <f>'Bilan 2020'!$C8</f>
        <v>53.084236018684109</v>
      </c>
      <c r="D18" s="204">
        <f>'Bilan 2023 réel'!$C8*(1-SUM('Bilan 2023 réel'!$M$13:$P$13)/'Bilan 2023 réel'!$D$13)</f>
        <v>60.531247971501685</v>
      </c>
      <c r="E18" s="204">
        <f>'Bilan 2025'!$C8</f>
        <v>61.993288439080395</v>
      </c>
      <c r="F18" s="204">
        <f>'Bilan 2028'!$C8*(1-SUM('Bilan 2028'!$M$13:$P$13)/'Bilan 2028'!$D$13)</f>
        <v>61.919208531583756</v>
      </c>
      <c r="G18" s="204">
        <f>'Bilan 2030'!$C8*(1-SUM('Bilan 2030'!$M$13:$P$13)/'Bilan 2030'!$D$13)</f>
        <v>61.893597111644702</v>
      </c>
      <c r="H18" s="204">
        <f>'Bilan 2033'!$C8*(1-SUM('Bilan 2033'!$M$13:$P$13)/'Bilan 2033'!$D$13)</f>
        <v>61.80749430714755</v>
      </c>
      <c r="I18" s="204">
        <f>'Bilan 2035'!$C8*(1-SUM('Bilan 2035'!$M$13:$P$13)/'Bilan 2035'!$D$13)</f>
        <v>61.759486449947339</v>
      </c>
      <c r="J18" s="204">
        <f>'Bilan 2038'!$C8*(1-SUM('Bilan 2038'!$M$13:$P$13)/'Bilan 2038'!$D$13)</f>
        <v>61.697322377997146</v>
      </c>
      <c r="K18" s="204">
        <f>'Bilan 2040'!$C8*(1-SUM('Bilan 2040'!$M$13:$P$13)/'Bilan 2040'!$D$13)</f>
        <v>61.660801681089012</v>
      </c>
      <c r="L18" s="204">
        <f>'Bilan 2045'!$C8*(1-SUM('Bilan 2045'!$M$13:$P$13)/'Bilan 2045'!$D$13)</f>
        <v>61.580250508614959</v>
      </c>
      <c r="M18" s="204">
        <f>'Bilan 2050'!$C8*(1-SUM('Bilan 2050'!$M$13:$P$13)/'Bilan 2050'!$D$13)</f>
        <v>61.538698668143525</v>
      </c>
      <c r="N18" s="575"/>
      <c r="O18" s="575"/>
      <c r="P18" s="575"/>
      <c r="Q18" s="570" t="s">
        <v>289</v>
      </c>
      <c r="R18" s="205">
        <f t="shared" si="105"/>
        <v>7.8830796757637707</v>
      </c>
      <c r="S18" s="205">
        <f t="shared" si="105"/>
        <v>97.138025953204789</v>
      </c>
      <c r="T18" s="205">
        <f t="shared" si="105"/>
        <v>101.9464819297059</v>
      </c>
      <c r="U18" s="205">
        <f t="shared" si="105"/>
        <v>109.80664278142234</v>
      </c>
      <c r="V18" s="205">
        <f t="shared" si="105"/>
        <v>113.30866230282733</v>
      </c>
      <c r="W18" s="205">
        <f t="shared" si="105"/>
        <v>115.72167427849138</v>
      </c>
      <c r="X18" s="205">
        <f t="shared" si="105"/>
        <v>121.08025334678933</v>
      </c>
      <c r="Y18" s="205">
        <f t="shared" si="105"/>
        <v>124.68536922363573</v>
      </c>
      <c r="Z18" s="205">
        <f t="shared" si="105"/>
        <v>126.23655808690808</v>
      </c>
      <c r="AA18" s="205">
        <f t="shared" si="105"/>
        <v>127.24064011820559</v>
      </c>
      <c r="AB18" s="205">
        <f t="shared" si="105"/>
        <v>130.24326682531338</v>
      </c>
      <c r="AC18" s="205">
        <f t="shared" si="105"/>
        <v>129.09463242351333</v>
      </c>
      <c r="AD18" s="193">
        <v>2401</v>
      </c>
      <c r="AE18" s="201" t="s">
        <v>285</v>
      </c>
      <c r="AF18" s="201">
        <f t="shared" ref="AF18" si="108">SUM(AF19:AF26)</f>
        <v>41.069670877404455</v>
      </c>
      <c r="AG18" s="201">
        <f t="shared" ref="AG18:AQ18" si="109">SUM(AG19:AG26)</f>
        <v>481.16125940700761</v>
      </c>
      <c r="AH18" s="201">
        <f t="shared" si="109"/>
        <v>465.90465706835266</v>
      </c>
      <c r="AI18" s="201">
        <f t="shared" si="109"/>
        <v>489.08439242104788</v>
      </c>
      <c r="AJ18" s="201">
        <f t="shared" si="109"/>
        <v>487.9942496351635</v>
      </c>
      <c r="AK18" s="201">
        <f t="shared" si="109"/>
        <v>487.48754035990942</v>
      </c>
      <c r="AL18" s="201">
        <f t="shared" si="109"/>
        <v>492.20904537032573</v>
      </c>
      <c r="AM18" s="201">
        <f t="shared" si="109"/>
        <v>495.47068860876504</v>
      </c>
      <c r="AN18" s="201">
        <f t="shared" si="109"/>
        <v>498.49241777711052</v>
      </c>
      <c r="AO18" s="201">
        <f t="shared" si="109"/>
        <v>500.44506521008469</v>
      </c>
      <c r="AP18" s="201">
        <f t="shared" si="109"/>
        <v>501.13430337421448</v>
      </c>
      <c r="AQ18" s="201">
        <f t="shared" si="109"/>
        <v>495.5637731378165</v>
      </c>
      <c r="AR18" s="206"/>
      <c r="AS18" s="201" t="s">
        <v>285</v>
      </c>
      <c r="AT18" s="201">
        <f t="shared" ref="AT18" si="110">SUM(AT19:AT26)</f>
        <v>42.181257118729185</v>
      </c>
      <c r="AU18" s="201">
        <f t="shared" ref="AU18:BE18" si="111">SUM(AU19:AU26)</f>
        <v>493.19919590700761</v>
      </c>
      <c r="AV18" s="201">
        <f t="shared" si="111"/>
        <v>475.93032481835257</v>
      </c>
      <c r="AW18" s="201">
        <f t="shared" si="111"/>
        <v>501.6330254625077</v>
      </c>
      <c r="AX18" s="201">
        <f t="shared" si="111"/>
        <v>500.46799094396516</v>
      </c>
      <c r="AY18" s="201">
        <f t="shared" si="111"/>
        <v>499.90883353371055</v>
      </c>
      <c r="AZ18" s="201">
        <f t="shared" si="111"/>
        <v>504.92504189676447</v>
      </c>
      <c r="BA18" s="201">
        <f t="shared" si="111"/>
        <v>508.38389289265575</v>
      </c>
      <c r="BB18" s="201">
        <f t="shared" si="111"/>
        <v>511.81188725107899</v>
      </c>
      <c r="BC18" s="201">
        <f t="shared" si="111"/>
        <v>514.03483841269031</v>
      </c>
      <c r="BD18" s="201">
        <f t="shared" si="111"/>
        <v>515.48008568211435</v>
      </c>
      <c r="BE18" s="201">
        <f t="shared" si="111"/>
        <v>510.68616217710655</v>
      </c>
      <c r="BF18" s="216"/>
      <c r="BG18" s="205" t="s">
        <v>289</v>
      </c>
      <c r="BH18" s="202">
        <f t="shared" si="106"/>
        <v>1.1171130306090763E-2</v>
      </c>
      <c r="BI18" s="202">
        <f t="shared" si="106"/>
        <v>1.0046590873368977E-2</v>
      </c>
      <c r="BJ18" s="202">
        <f t="shared" si="106"/>
        <v>1.2639778425985595E-2</v>
      </c>
      <c r="BK18" s="202">
        <f t="shared" si="106"/>
        <v>1.5277911886373176E-2</v>
      </c>
      <c r="BL18" s="202">
        <f t="shared" si="106"/>
        <v>1.3158983419661189E-2</v>
      </c>
      <c r="BM18" s="202">
        <f t="shared" si="106"/>
        <v>1.191523754575283E-2</v>
      </c>
      <c r="BN18" s="202">
        <f t="shared" si="106"/>
        <v>1.0857976013935582E-2</v>
      </c>
      <c r="BO18" s="202">
        <f t="shared" si="106"/>
        <v>1.0215752965900332E-2</v>
      </c>
      <c r="BP18" s="202">
        <f t="shared" si="106"/>
        <v>9.682511209233172E-3</v>
      </c>
      <c r="BQ18" s="202">
        <f t="shared" si="106"/>
        <v>9.3466895245398196E-3</v>
      </c>
      <c r="BR18" s="202">
        <f t="shared" si="106"/>
        <v>8.5559974094658407E-3</v>
      </c>
      <c r="BS18" s="202">
        <f t="shared" si="106"/>
        <v>8.130523620468396E-3</v>
      </c>
      <c r="BU18" s="205" t="s">
        <v>289</v>
      </c>
      <c r="BV18" s="208">
        <f>'Bilan 2015'!$E29+'Bilan 2015'!$E37</f>
        <v>8.6368536335048207E-2</v>
      </c>
      <c r="BW18" s="208">
        <f>'Bilan 2020'!$E29+'Bilan 2020'!$E37</f>
        <v>0.96015244700034041</v>
      </c>
      <c r="BX18" s="208">
        <f>'Bilan 2023 réel'!$E29+'Bilan 2023 réel'!$E37</f>
        <v>1.2604143347517758</v>
      </c>
      <c r="BY18" s="208">
        <f>'Bilan 2025'!$E29+'Bilan 2025'!$E37</f>
        <v>1.6373250595287396</v>
      </c>
      <c r="BZ18" s="208">
        <f>'Bilan 2028'!$E29+'Bilan 2028'!$E37</f>
        <v>1.4591863115072179</v>
      </c>
      <c r="CA18" s="208">
        <f>'Bilan 2030'!$E29+'Bilan 2030'!$E37</f>
        <v>1.3515924286859349</v>
      </c>
      <c r="CB18" s="208">
        <f>'Bilan 2033'!$E29+'Bilan 2033'!$E37</f>
        <v>1.2907077489446068</v>
      </c>
      <c r="CC18" s="208">
        <f>'Bilan 2035'!$E29+'Bilan 2035'!$E37</f>
        <v>1.2517157799517142</v>
      </c>
      <c r="CD18" s="208">
        <f>'Bilan 2038'!$E29+'Bilan 2038'!$E37</f>
        <v>1.2019907647452157</v>
      </c>
      <c r="CE18" s="208">
        <f>'Bilan 2040'!$E29+'Bilan 2040'!$E37</f>
        <v>1.1700555657058935</v>
      </c>
      <c r="CF18" s="208">
        <f>'Bilan 2045'!$E29+'Bilan 2045'!$E37</f>
        <v>1.0975143931211941</v>
      </c>
      <c r="CG18" s="208">
        <f>'Bilan 2050'!$E29+'Bilan 2050'!$E37</f>
        <v>1.0341983434343034</v>
      </c>
      <c r="CH18" s="206"/>
      <c r="CJ18" s="205" t="s">
        <v>289</v>
      </c>
      <c r="CK18" s="202">
        <f t="shared" si="107"/>
        <v>8.4468232694062482E-3</v>
      </c>
      <c r="CL18" s="202">
        <f t="shared" si="107"/>
        <v>6.3607599045436202E-3</v>
      </c>
      <c r="CM18" s="202">
        <f t="shared" si="107"/>
        <v>9.7073239290492389E-3</v>
      </c>
      <c r="CN18" s="202">
        <f t="shared" si="107"/>
        <v>9.3136468579343972E-3</v>
      </c>
      <c r="CO18" s="202">
        <f t="shared" si="107"/>
        <v>8.6617373399704399E-3</v>
      </c>
      <c r="CP18" s="202">
        <f t="shared" si="107"/>
        <v>8.2526836085756762E-3</v>
      </c>
      <c r="CQ18" s="202">
        <f t="shared" si="107"/>
        <v>7.7200000427528424E-3</v>
      </c>
      <c r="CR18" s="202">
        <f t="shared" si="107"/>
        <v>7.3913994340402966E-3</v>
      </c>
      <c r="CS18" s="202">
        <f t="shared" si="107"/>
        <v>7.2029129900020583E-3</v>
      </c>
      <c r="CT18" s="202">
        <f t="shared" si="107"/>
        <v>7.0826091738364003E-3</v>
      </c>
      <c r="CU18" s="202">
        <f t="shared" si="107"/>
        <v>6.793833574204107E-3</v>
      </c>
      <c r="CV18" s="202">
        <f t="shared" si="107"/>
        <v>6.7685669249573322E-3</v>
      </c>
      <c r="CW18" s="206"/>
      <c r="CX18" s="193">
        <f>CX17+1</f>
        <v>2402</v>
      </c>
      <c r="CY18" s="205" t="s">
        <v>289</v>
      </c>
      <c r="CZ18" s="207" t="s">
        <v>284</v>
      </c>
      <c r="DA18" s="202">
        <f>'Bilan 2015'!$K$30*'Bilan 2015'!$G$29/'Bilan 2015'!$H$30</f>
        <v>6.5305814404624934E-2</v>
      </c>
      <c r="DB18" s="202">
        <f>'Bilan 2020'!$K$30*'Bilan 2020'!$G$29/'Bilan 2020'!$H$30</f>
        <v>0.60789767037474829</v>
      </c>
      <c r="DC18" s="202">
        <f>'Bilan 2023 réel'!$K$30*'Bilan 2023 réel'!$G$29/'Bilan 2023 réel'!$H$30</f>
        <v>0.96799562618112411</v>
      </c>
      <c r="DD18" s="202">
        <f>'Bilan 2025'!$K$30*'Bilan 2025'!$G$29/'Bilan 2025'!$H$30</f>
        <v>0.99813819516124769</v>
      </c>
      <c r="DE18" s="202">
        <f>'Bilan 2028'!$K$30*'Bilan 2028'!$G$29/'Bilan 2028'!$H$30</f>
        <v>0.96049125964179027</v>
      </c>
      <c r="DF18" s="202">
        <f>'Bilan 2030'!$K$30*'Bilan 2030'!$G$29/'Bilan 2030'!$H$30</f>
        <v>0.93613447813025974</v>
      </c>
      <c r="DG18" s="202">
        <f>'Bilan 2033'!$K$30*'Bilan 2033'!$G$29/'Bilan 2033'!$H$30</f>
        <v>0.91769072470276558</v>
      </c>
      <c r="DH18" s="202">
        <f>'Bilan 2035'!$K$30*'Bilan 2035'!$G$29/'Bilan 2035'!$H$30</f>
        <v>0.90565339024904867</v>
      </c>
      <c r="DI18" s="202">
        <f>'Bilan 2038'!$K$30*'Bilan 2038'!$G$29/'Bilan 2038'!$H$30</f>
        <v>0.89417246271708661</v>
      </c>
      <c r="DJ18" s="202">
        <f>'Bilan 2040'!$K$30*'Bilan 2040'!$G$29/'Bilan 2040'!$H$30</f>
        <v>0.88662903178811969</v>
      </c>
      <c r="DK18" s="202">
        <f>'Bilan 2045'!$K$30*'Bilan 2045'!$G$29/'Bilan 2045'!$H$30</f>
        <v>0.87147409884787708</v>
      </c>
      <c r="DL18" s="202">
        <f>'Bilan 2050'!$K$30*'Bilan 2050'!$G$29/'Bilan 2050'!$H$30</f>
        <v>0.86095816554700833</v>
      </c>
    </row>
    <row r="19" spans="1:116" ht="15" x14ac:dyDescent="0.25">
      <c r="A19" s="203" t="s">
        <v>408</v>
      </c>
      <c r="B19" s="204">
        <f>'Bilan 2015'!$C$12+'Bilan 2015'!$C$13+'Bilan 2015'!$C$14+'Bilan 2015'!$C$16</f>
        <v>3.5164878051160797</v>
      </c>
      <c r="C19" s="204">
        <f>'Bilan 2020'!$C$12+'Bilan 2020'!$C$13+'Bilan 2020'!$C$14+'Bilan 2020'!$C$16</f>
        <v>26.9657497815802</v>
      </c>
      <c r="D19" s="204">
        <f>('Bilan 2023 réel'!$C$12+'Bilan 2023 réel'!$C$13+'Bilan 2023 réel'!$C$14+'Bilan 2023 réel'!$C$16)*(1-SUM('Bilan 2023 réel'!$M$13:$P$13)/'Bilan 2023 réel'!$D$13)</f>
        <v>31.225950814182998</v>
      </c>
      <c r="E19" s="204">
        <f>'Bilan 2025'!$C$12+'Bilan 2025'!$C$13+'Bilan 2025'!$C$14+'Bilan 2025'!$C$16</f>
        <v>47.233969434117441</v>
      </c>
      <c r="F19" s="204">
        <f>('Bilan 2028'!$C$12+'Bilan 2028'!$C$13+'Bilan 2028'!$C$14+'Bilan 2028'!$C$16)*(1-SUM('Bilan 2028'!$M$13:$P$13)/'Bilan 2028'!$D$13)</f>
        <v>45.59549467890993</v>
      </c>
      <c r="G19" s="204">
        <f>('Bilan 2030'!$C$12+'Bilan 2030'!$C$13+'Bilan 2030'!$C$14+'Bilan 2030'!$C$16)*(1-SUM('Bilan 2030'!$M$13:$P$13)/'Bilan 2030'!$D$13)</f>
        <v>44.712404435331194</v>
      </c>
      <c r="H19" s="204">
        <f>('Bilan 2033'!$C$12+'Bilan 2033'!$C$13+'Bilan 2033'!$C$14+'Bilan 2033'!$C$16)*(1-SUM('Bilan 2033'!$M$13:$P$13)/'Bilan 2033'!$D$13)</f>
        <v>43.901828784187387</v>
      </c>
      <c r="I19" s="204">
        <f>('Bilan 2035'!$C$12+'Bilan 2035'!$C$13+'Bilan 2035'!$C$14+'Bilan 2035'!$C$16)*(1-SUM('Bilan 2035'!$M$13:$P$13)/'Bilan 2035'!$D$13)</f>
        <v>43.428380774930361</v>
      </c>
      <c r="J19" s="204">
        <f>('Bilan 2038'!$C$12+'Bilan 2038'!$C$13+'Bilan 2038'!$C$14+'Bilan 2038'!$C$16)*(1-SUM('Bilan 2038'!$M$13:$P$13)/'Bilan 2038'!$D$13)</f>
        <v>45.206779021639726</v>
      </c>
      <c r="K19" s="204">
        <f>('Bilan 2040'!$C$12+'Bilan 2040'!$C$13+'Bilan 2040'!$C$14+'Bilan 2040'!$C$16)*(1-SUM('Bilan 2040'!$M$13:$P$13)/'Bilan 2040'!$D$13)</f>
        <v>46.446688532117498</v>
      </c>
      <c r="L19" s="204">
        <f>('Bilan 2045'!$C$12+'Bilan 2045'!$C$13+'Bilan 2045'!$C$14+'Bilan 2045'!$C$16)*(1-SUM('Bilan 2045'!$M$13:$P$13)/'Bilan 2045'!$D$13)</f>
        <v>45.905763464369031</v>
      </c>
      <c r="M19" s="204">
        <f>('Bilan 2050'!$C$12+'Bilan 2050'!$C$13+'Bilan 2050'!$C$14+'Bilan 2050'!$C$16)*(1-SUM('Bilan 2050'!$M$13:$P$13)/'Bilan 2050'!$D$13)</f>
        <v>45.936073650339779</v>
      </c>
      <c r="Q19" s="205" t="s">
        <v>453</v>
      </c>
      <c r="R19" s="205">
        <f t="shared" si="105"/>
        <v>0.24671248523631389</v>
      </c>
      <c r="S19" s="205">
        <f t="shared" si="105"/>
        <v>5.9336589388889092</v>
      </c>
      <c r="T19" s="205">
        <f t="shared" si="105"/>
        <v>14.494867834472224</v>
      </c>
      <c r="U19" s="205">
        <f t="shared" si="105"/>
        <v>7.7668115281105008</v>
      </c>
      <c r="V19" s="205">
        <f t="shared" si="105"/>
        <v>7.4175122134229614</v>
      </c>
      <c r="W19" s="205">
        <f t="shared" si="105"/>
        <v>7.42825901139111</v>
      </c>
      <c r="X19" s="205">
        <f t="shared" si="105"/>
        <v>7.1795611722355765</v>
      </c>
      <c r="Y19" s="205">
        <f t="shared" si="105"/>
        <v>7.0158785433762629</v>
      </c>
      <c r="Z19" s="205">
        <f t="shared" si="105"/>
        <v>6.8648854279362848</v>
      </c>
      <c r="AA19" s="205">
        <f t="shared" si="105"/>
        <v>6.7643052347820998</v>
      </c>
      <c r="AB19" s="205">
        <f t="shared" si="105"/>
        <v>6.423518617406998</v>
      </c>
      <c r="AC19" s="205">
        <f t="shared" si="105"/>
        <v>6.052829638780203</v>
      </c>
      <c r="AD19" s="193">
        <f>AD18+1</f>
        <v>2402</v>
      </c>
      <c r="AE19" s="205" t="s">
        <v>287</v>
      </c>
      <c r="AF19" s="205">
        <f>'Bilan 2015'!$G$24-SUM('Bilan 2015'!$K$24:$P$24)+'Bilan 2015'!$G$32*(1-SUM('Bilan 2015'!$K$30:$P$30)/'Bilan 2015'!$H$30)+'Bilan 2015'!$G$45-'Bilan 2015'!$E$53</f>
        <v>28.383313386388462</v>
      </c>
      <c r="AG19" s="205">
        <f>'Bilan 2020'!$G$24-SUM('Bilan 2020'!$K$24:$P$24)+'Bilan 2020'!$G$32*(1-SUM('Bilan 2020'!$K$30:$P$30)/'Bilan 2020'!$H$30)+'Bilan 2020'!$G$45-'Bilan 2020'!$E$53</f>
        <v>325.27062265613705</v>
      </c>
      <c r="AH19" s="205">
        <f>'Bilan 2023 réel'!$G$24-SUM('Bilan 2023 réel'!$K$24:$P$24)+'Bilan 2023 réel'!$G$32*(1-SUM('Bilan 2023 réel'!$K$30:$P$30)/'Bilan 2023 réel'!$H$30)+'Bilan 2023 réel'!$G$45-'Bilan 2023 réel'!$E$53</f>
        <v>275.01857795683549</v>
      </c>
      <c r="AI19" s="205">
        <f>'Bilan 2025'!$G$24-SUM('Bilan 2025'!$K$24:$P$24)+'Bilan 2025'!$G$32*(1-SUM('Bilan 2025'!$K$30:$P$30)/'Bilan 2025'!$H$30)+'Bilan 2025'!$G$45-'Bilan 2025'!$E$53</f>
        <v>319.04890656250984</v>
      </c>
      <c r="AJ19" s="205">
        <f>'Bilan 2028'!$G$24-SUM('Bilan 2028'!$K$24:$P$24)+'Bilan 2028'!$G$32*(1-SUM('Bilan 2028'!$K$30:$P$30)/'Bilan 2028'!$H$30)+'Bilan 2028'!$G$45-'Bilan 2028'!$E$53</f>
        <v>308.13705144124953</v>
      </c>
      <c r="AK19" s="205">
        <f>'Bilan 2030'!$G$24-SUM('Bilan 2030'!$K$24:$P$24)+'Bilan 2030'!$G$32*(1-SUM('Bilan 2030'!$K$30:$P$30)/'Bilan 2030'!$H$30)+'Bilan 2030'!$G$45-'Bilan 2030'!$E$53</f>
        <v>300.82947841052379</v>
      </c>
      <c r="AL19" s="205">
        <f>'Bilan 2033'!$G$24-SUM('Bilan 2033'!$K$24:$P$24)+'Bilan 2033'!$G$32*(1-SUM('Bilan 2033'!$K$30:$P$30)/'Bilan 2033'!$H$30)+'Bilan 2033'!$G$45-'Bilan 2033'!$E$53</f>
        <v>295.05370550186495</v>
      </c>
      <c r="AM19" s="205">
        <f>'Bilan 2035'!$G$24-SUM('Bilan 2035'!$K$24:$P$24)+'Bilan 2035'!$G$32*(1-SUM('Bilan 2035'!$K$30:$P$30)/'Bilan 2035'!$H$30)+'Bilan 2035'!$G$45-'Bilan 2035'!$E$53</f>
        <v>291.13567867483494</v>
      </c>
      <c r="AN19" s="205">
        <f>'Bilan 2038'!$G$24-SUM('Bilan 2038'!$K$24:$P$24)+'Bilan 2038'!$G$32*(1-SUM('Bilan 2038'!$K$30:$P$30)/'Bilan 2038'!$H$30)+'Bilan 2038'!$G$45-'Bilan 2038'!$E$53</f>
        <v>289.13553041314839</v>
      </c>
      <c r="AO19" s="205">
        <f>'Bilan 2040'!$G$24-SUM('Bilan 2040'!$K$24:$P$24)+'Bilan 2040'!$G$32*(1-SUM('Bilan 2040'!$K$30:$P$30)/'Bilan 2040'!$H$30)+'Bilan 2040'!$G$45-'Bilan 2040'!$E$53</f>
        <v>287.71549952600571</v>
      </c>
      <c r="AP19" s="205">
        <f>'Bilan 2045'!$G$24-SUM('Bilan 2045'!$K$24:$P$24)+'Bilan 2045'!$G$32*(1-SUM('Bilan 2045'!$K$30:$P$30)/'Bilan 2045'!$H$30)+'Bilan 2045'!$G$45-'Bilan 2045'!$E$53</f>
        <v>279.82651130494764</v>
      </c>
      <c r="AQ19" s="205">
        <f>'Bilan 2050'!$G$24-SUM('Bilan 2050'!$K$24:$P$24)+'Bilan 2050'!$G$32*(1-SUM('Bilan 2050'!$K$30:$P$30)/'Bilan 2050'!$H$30)+'Bilan 2050'!$G$45-'Bilan 2050'!$E$53</f>
        <v>268.23512939683917</v>
      </c>
      <c r="AR19" s="206"/>
      <c r="AS19" s="205" t="s">
        <v>287</v>
      </c>
      <c r="AT19" s="205">
        <f>'Bilan 2015'!$G$24-SUM('Bilan 2015'!$K$24:$P$24)+'Bilan 2015'!$G$32*(1-SUM('Bilan 2015'!$K$30:$P$30)/'Bilan 2015'!$H$30)+'Bilan 2015'!$G$45</f>
        <v>29.48489962771319</v>
      </c>
      <c r="AU19" s="205">
        <f>'Bilan 2020'!$G$24-SUM('Bilan 2020'!$K$24:$P$24)+'Bilan 2020'!$G$32*(1-SUM('Bilan 2020'!$K$30:$P$30)/'Bilan 2020'!$H$30)+'Bilan 2020'!$G$45</f>
        <v>337.29855915613706</v>
      </c>
      <c r="AV19" s="205">
        <f>'Bilan 2023 réel'!$G$24-SUM('Bilan 2023 réel'!$K$24:$P$24)+'Bilan 2023 réel'!$G$32*(1-SUM('Bilan 2023 réel'!$K$30:$P$30)/'Bilan 2023 réel'!$H$30)+'Bilan 2023 réel'!$G$45</f>
        <v>285.03424570683546</v>
      </c>
      <c r="AW19" s="205">
        <f>'Bilan 2025'!$G$24-SUM('Bilan 2025'!$K$24:$P$24)+'Bilan 2025'!$G$32*(1-SUM('Bilan 2025'!$K$30:$P$30)/'Bilan 2025'!$H$30)+'Bilan 2025'!$G$45</f>
        <v>331.58753960396967</v>
      </c>
      <c r="AX19" s="205">
        <f>'Bilan 2028'!$G$24-SUM('Bilan 2028'!$K$24:$P$24)+'Bilan 2028'!$G$32*(1-SUM('Bilan 2028'!$K$30:$P$30)/'Bilan 2028'!$H$30)+'Bilan 2028'!$G$45</f>
        <v>320.6007927500512</v>
      </c>
      <c r="AY19" s="205">
        <f>'Bilan 2030'!$G$24-SUM('Bilan 2030'!$K$24:$P$24)+'Bilan 2030'!$G$32*(1-SUM('Bilan 2030'!$K$30:$P$30)/'Bilan 2030'!$H$30)+'Bilan 2030'!$G$45</f>
        <v>313.24077158432493</v>
      </c>
      <c r="AZ19" s="205">
        <f>'Bilan 2033'!$G$24-SUM('Bilan 2033'!$K$24:$P$24)+'Bilan 2033'!$G$32*(1-SUM('Bilan 2033'!$K$30:$P$30)/'Bilan 2033'!$H$30)+'Bilan 2033'!$G$45</f>
        <v>307.23905114954664</v>
      </c>
      <c r="BA19" s="205">
        <f>'Bilan 2035'!$G$24-SUM('Bilan 2035'!$K$24:$P$24)+'Bilan 2035'!$G$32*(1-SUM('Bilan 2035'!$K$30:$P$30)/'Bilan 2035'!$H$30)+'Bilan 2035'!$G$45</f>
        <v>303.16439303460453</v>
      </c>
      <c r="BB19" s="205">
        <f>'Bilan 2038'!$G$24-SUM('Bilan 2038'!$K$24:$P$24)+'Bilan 2038'!$G$32*(1-SUM('Bilan 2038'!$K$30:$P$30)/'Bilan 2038'!$H$30)+'Bilan 2038'!$G$45</f>
        <v>301.0142308230258</v>
      </c>
      <c r="BC19" s="205">
        <f>'Bilan 2040'!$G$24-SUM('Bilan 2040'!$K$24:$P$24)+'Bilan 2040'!$G$32*(1-SUM('Bilan 2040'!$K$30:$P$30)/'Bilan 2040'!$H$30)+'Bilan 2040'!$G$45</f>
        <v>299.48167535854395</v>
      </c>
      <c r="BD19" s="205">
        <f>'Bilan 2045'!$G$24-SUM('Bilan 2045'!$K$24:$P$24)+'Bilan 2045'!$G$32*(1-SUM('Bilan 2045'!$K$30:$P$30)/'Bilan 2045'!$H$30)+'Bilan 2045'!$G$45</f>
        <v>291.33217281280184</v>
      </c>
      <c r="BE19" s="205">
        <f>'Bilan 2050'!$G$24-SUM('Bilan 2050'!$K$24:$P$24)+'Bilan 2050'!$G$32*(1-SUM('Bilan 2050'!$K$30:$P$30)/'Bilan 2050'!$H$30)+'Bilan 2050'!$G$45</f>
        <v>279.43208366351791</v>
      </c>
      <c r="BF19" s="216"/>
      <c r="BG19" s="205" t="s">
        <v>453</v>
      </c>
      <c r="BH19" s="202">
        <f t="shared" si="106"/>
        <v>0.5326005166314316</v>
      </c>
      <c r="BI19" s="202">
        <f t="shared" si="106"/>
        <v>7.1695153825344554E-2</v>
      </c>
      <c r="BJ19" s="202">
        <f t="shared" si="106"/>
        <v>2.113203720443798E-2</v>
      </c>
      <c r="BK19" s="202">
        <f t="shared" si="106"/>
        <v>0.16922910899273744</v>
      </c>
      <c r="BL19" s="202">
        <f t="shared" si="106"/>
        <v>0.15731746437302419</v>
      </c>
      <c r="BM19" s="202">
        <f t="shared" si="106"/>
        <v>0.18737701409644403</v>
      </c>
      <c r="BN19" s="202">
        <f t="shared" si="106"/>
        <v>0.16959036514243836</v>
      </c>
      <c r="BO19" s="202">
        <f t="shared" si="106"/>
        <v>0.15796725765216879</v>
      </c>
      <c r="BP19" s="202">
        <f t="shared" si="106"/>
        <v>0.14047860529969106</v>
      </c>
      <c r="BQ19" s="202">
        <f t="shared" si="106"/>
        <v>0.12904140317549864</v>
      </c>
      <c r="BR19" s="202">
        <f t="shared" si="106"/>
        <v>0.10155808993809615</v>
      </c>
      <c r="BS19" s="202">
        <f t="shared" si="106"/>
        <v>8.0618008562395621E-2</v>
      </c>
      <c r="BU19" s="205" t="s">
        <v>453</v>
      </c>
      <c r="BV19" s="208">
        <f>'Bilan 2015'!$E21+'Bilan 2015'!$E22+'Bilan 2015'!$E$26+'Bilan 2015'!$E$36</f>
        <v>6.7895488739272009E-2</v>
      </c>
      <c r="BW19" s="208">
        <f>'Bilan 2020'!$E21+'Bilan 2020'!$E22+'Bilan 2020'!$E$26+'Bilan 2020'!$E$36</f>
        <v>0.38082486073584376</v>
      </c>
      <c r="BX19" s="208">
        <f>'Bilan 2023 réel'!$E21+'Bilan 2023 réel'!$E22+'Bilan 2023 réel'!$E$26+'Bilan 2023 réel'!$E$36</f>
        <v>0.29527422825111405</v>
      </c>
      <c r="BY19" s="208">
        <f>'Bilan 2025'!$E21+'Bilan 2025'!$E22+'Bilan 2025'!$E$26+'Bilan 2025'!$E$36</f>
        <v>1.1067907922825289</v>
      </c>
      <c r="BZ19" s="208">
        <f>'Bilan 2028'!$E21+'Bilan 2028'!$E22+'Bilan 2028'!$E$26+'Bilan 2028'!$E$36</f>
        <v>0.99391855507928661</v>
      </c>
      <c r="CA19" s="208">
        <f>'Bilan 2030'!$E21+'Bilan 2030'!$E22+'Bilan 2030'!$E$26+'Bilan 2030'!$E$36</f>
        <v>1.1559398344479794</v>
      </c>
      <c r="CB19" s="208">
        <f>'Bilan 2033'!$E21+'Bilan 2033'!$E22+'Bilan 2033'!$E$26+'Bilan 2033'!$E$36</f>
        <v>1.0262736518725359</v>
      </c>
      <c r="CC19" s="208">
        <f>'Bilan 2035'!$E21+'Bilan 2035'!$E22+'Bilan 2035'!$E$26+'Bilan 2035'!$E$36</f>
        <v>0.94333718215602225</v>
      </c>
      <c r="CD19" s="208">
        <f>'Bilan 2038'!$E21+'Bilan 2038'!$E22+'Bilan 2038'!$E$26+'Bilan 2038'!$E$36</f>
        <v>0.833207944787141</v>
      </c>
      <c r="CE19" s="208">
        <f>'Bilan 2040'!$E21+'Bilan 2040'!$E22+'Bilan 2040'!$E$26+'Bilan 2040'!$E$36</f>
        <v>0.76165789214510737</v>
      </c>
      <c r="CF19" s="208">
        <f>'Bilan 2045'!$E21+'Bilan 2045'!$E22+'Bilan 2045'!$E$26+'Bilan 2045'!$E$36</f>
        <v>0.58312946504449581</v>
      </c>
      <c r="CG19" s="208">
        <f>'Bilan 2050'!$E21+'Bilan 2050'!$E22+'Bilan 2050'!$E$26+'Bilan 2050'!$E$36</f>
        <v>0.44385049693810213</v>
      </c>
      <c r="CH19" s="206"/>
      <c r="CJ19" s="205" t="s">
        <v>453</v>
      </c>
      <c r="CK19" s="202">
        <f t="shared" si="107"/>
        <v>0.40271506230012588</v>
      </c>
      <c r="CL19" s="202">
        <f t="shared" si="107"/>
        <v>4.5392080313649115E-2</v>
      </c>
      <c r="CM19" s="202">
        <f t="shared" si="107"/>
        <v>1.6229361268111312E-2</v>
      </c>
      <c r="CN19" s="202">
        <f t="shared" si="107"/>
        <v>1.6714633469583066E-2</v>
      </c>
      <c r="CO19" s="202">
        <f t="shared" si="107"/>
        <v>1.6726633514405558E-2</v>
      </c>
      <c r="CP19" s="202">
        <f t="shared" si="107"/>
        <v>1.6738418221160872E-2</v>
      </c>
      <c r="CQ19" s="202">
        <f t="shared" si="107"/>
        <v>1.6822633515671242E-2</v>
      </c>
      <c r="CR19" s="202">
        <f t="shared" si="107"/>
        <v>1.6882111673907518E-2</v>
      </c>
      <c r="CS19" s="202">
        <f t="shared" si="107"/>
        <v>1.6938983541265929E-2</v>
      </c>
      <c r="CT19" s="202">
        <f t="shared" si="107"/>
        <v>1.6978940085589971E-2</v>
      </c>
      <c r="CU19" s="202">
        <f t="shared" si="107"/>
        <v>1.7164801925851195E-2</v>
      </c>
      <c r="CV19" s="202">
        <f t="shared" si="107"/>
        <v>1.8777114372331351E-2</v>
      </c>
      <c r="CW19" s="206"/>
      <c r="CX19" s="193">
        <f t="shared" ref="CX19" si="112">CX18+1</f>
        <v>2403</v>
      </c>
      <c r="CY19" s="205" t="s">
        <v>453</v>
      </c>
      <c r="CZ19" s="207" t="s">
        <v>286</v>
      </c>
      <c r="DA19" s="202">
        <f>'Bilan 2015'!$K$21+'Bilan 2015'!$K$30*'Bilan 2015'!$G$26/'Bilan 2015'!$H$30</f>
        <v>5.1337794695484516E-2</v>
      </c>
      <c r="DB19" s="202">
        <f>'Bilan 2020'!$K$21+'Bilan 2020'!$K$30*'Bilan 2020'!$G$26/'Bilan 2020'!$H$30</f>
        <v>0.24111019701647993</v>
      </c>
      <c r="DC19" s="202">
        <f>'Bilan 2023 réel'!$K$21+'Bilan 2023 réel'!$K$22+'Bilan 2023 réel'!$K$30*'Bilan 2023 réel'!$G$26/'Bilan 2023 réel'!$H$30</f>
        <v>0.22677000220516785</v>
      </c>
      <c r="DD19" s="202">
        <f>'Bilan 2025'!$K$21+'Bilan 2025'!$K$30*'Bilan 2025'!$G$26/'Bilan 2025'!$H$30</f>
        <v>0.10931690493806145</v>
      </c>
      <c r="DE19" s="202">
        <f>'Bilan 2028'!$K$21+'Bilan 2028'!$K$30*'Bilan 2028'!$G$26/'Bilan 2028'!$H$30</f>
        <v>0.1056774686792465</v>
      </c>
      <c r="DF19" s="202">
        <f>'Bilan 2030'!$K$21+'Bilan 2030'!$K$30*'Bilan 2030'!$G$26/'Bilan 2030'!$H$30</f>
        <v>0.10326028771880687</v>
      </c>
      <c r="DG19" s="202">
        <f>'Bilan 2033'!$K$21+'Bilan 2033'!$K$30*'Bilan 2033'!$G$26/'Bilan 2033'!$H$30</f>
        <v>0.1018019244061462</v>
      </c>
      <c r="DH19" s="202">
        <f>'Bilan 2035'!$K$21+'Bilan 2035'!$K$30*'Bilan 2035'!$G$26/'Bilan 2035'!$H$30</f>
        <v>0.10081534548364403</v>
      </c>
      <c r="DI19" s="202">
        <f>'Bilan 2038'!$K$21+'Bilan 2038'!$K$30*'Bilan 2038'!$G$26/'Bilan 2038'!$H$30</f>
        <v>0.10046864882443728</v>
      </c>
      <c r="DJ19" s="202">
        <f>'Bilan 2040'!$K$21+'Bilan 2040'!$K$30*'Bilan 2040'!$G$26/'Bilan 2040'!$H$30</f>
        <v>0.10021701096089737</v>
      </c>
      <c r="DK19" s="202">
        <f>'Bilan 2045'!$K$21+'Bilan 2045'!$K$30*'Bilan 2045'!$G$26/'Bilan 2045'!$H$30</f>
        <v>9.8557404641200136E-2</v>
      </c>
      <c r="DL19" s="202">
        <f>'Bilan 2050'!$K$21+'Bilan 2050'!$K$30*'Bilan 2050'!$G$26/'Bilan 2050'!$H$30</f>
        <v>0.10337927832554231</v>
      </c>
    </row>
    <row r="20" spans="1:116" ht="12.75" x14ac:dyDescent="0.2">
      <c r="A20" s="209" t="s">
        <v>21</v>
      </c>
      <c r="B20" s="210"/>
      <c r="C20" s="210"/>
      <c r="D20" s="576"/>
      <c r="E20" s="210"/>
      <c r="F20" s="210"/>
      <c r="G20" s="210"/>
      <c r="H20" s="210"/>
      <c r="I20" s="210"/>
      <c r="J20" s="210"/>
      <c r="K20" s="210"/>
      <c r="L20" s="210"/>
      <c r="M20" s="576"/>
      <c r="N20" s="573"/>
      <c r="O20" s="573"/>
      <c r="P20" s="573"/>
      <c r="Q20" s="570" t="s">
        <v>293</v>
      </c>
      <c r="R20" s="205">
        <f t="shared" si="105"/>
        <v>0.81249408070009255</v>
      </c>
      <c r="S20" s="205">
        <f t="shared" si="105"/>
        <v>22.30312628047551</v>
      </c>
      <c r="T20" s="205">
        <f t="shared" si="105"/>
        <v>23.661663021111114</v>
      </c>
      <c r="U20" s="205">
        <f t="shared" si="105"/>
        <v>14.477216577336065</v>
      </c>
      <c r="V20" s="205">
        <f t="shared" si="105"/>
        <v>14.356778993307019</v>
      </c>
      <c r="W20" s="205">
        <f t="shared" si="105"/>
        <v>14.270786180090202</v>
      </c>
      <c r="X20" s="205">
        <f t="shared" si="105"/>
        <v>14.093404397745534</v>
      </c>
      <c r="Y20" s="205">
        <f t="shared" si="105"/>
        <v>13.974888180275345</v>
      </c>
      <c r="Z20" s="205">
        <f t="shared" si="105"/>
        <v>13.883583878893798</v>
      </c>
      <c r="AA20" s="205">
        <f t="shared" si="105"/>
        <v>13.820718957237828</v>
      </c>
      <c r="AB20" s="205">
        <f t="shared" si="105"/>
        <v>13.702643764721081</v>
      </c>
      <c r="AC20" s="205">
        <f t="shared" si="105"/>
        <v>13.627668772641973</v>
      </c>
      <c r="AD20" s="193">
        <f>AD19+1</f>
        <v>2403</v>
      </c>
      <c r="AE20" s="205" t="s">
        <v>289</v>
      </c>
      <c r="AF20" s="205">
        <f>'Bilan 2015'!$G$29*(1-SUM('Bilan 2015'!$K$26:$P$34)/'Bilan 2015'!$H$30)+'Bilan 2015'!$G$37</f>
        <v>7.7314053250240979</v>
      </c>
      <c r="AG20" s="205">
        <f>'Bilan 2020'!$G$29*(1-SUM('Bilan 2020'!$K$26:$P$34)/'Bilan 2020'!$H$30)+'Bilan 2020'!$G$37</f>
        <v>95.569975835829709</v>
      </c>
      <c r="AH20" s="205">
        <f>'Bilan 2023 réel'!$G$29*(1-SUM('Bilan 2023 réel'!$K$26:$P$34)/'Bilan 2023 réel'!$H$30)+'Bilan 2023 réel'!$G$37-'Bilan 2023 réel'!$E$58</f>
        <v>99.718071968772989</v>
      </c>
      <c r="AI20" s="205">
        <f>'Bilan 2025'!$G$29*(1-SUM('Bilan 2025'!$K$26:$P$34)/'Bilan 2025'!$H$30)+'Bilan 2025'!$G$37</f>
        <v>107.16942679772349</v>
      </c>
      <c r="AJ20" s="205">
        <f>'Bilan 2028'!$G$29*(1-SUM('Bilan 2028'!$K$26:$P$34)/'Bilan 2028'!$H$30)+'Bilan 2028'!$G$37</f>
        <v>110.88898473167833</v>
      </c>
      <c r="AK20" s="205">
        <f>'Bilan 2030'!$G$29*(1-SUM('Bilan 2030'!$K$26:$P$34)/'Bilan 2030'!$H$30)+'Bilan 2030'!$G$37</f>
        <v>113.43394737167519</v>
      </c>
      <c r="AL20" s="205">
        <f>'Bilan 2033'!$G$29*(1-SUM('Bilan 2033'!$K$26:$P$34)/'Bilan 2033'!$H$30)+'Bilan 2033'!$G$37</f>
        <v>118.87185487314196</v>
      </c>
      <c r="AM20" s="205">
        <f>'Bilan 2035'!$G$29*(1-SUM('Bilan 2035'!$K$26:$P$34)/'Bilan 2035'!$H$30)+'Bilan 2035'!$G$37</f>
        <v>122.52800005343497</v>
      </c>
      <c r="AN20" s="205">
        <f>'Bilan 2038'!$G$29*(1-SUM('Bilan 2038'!$K$26:$P$34)/'Bilan 2038'!$H$30)+'Bilan 2038'!$G$37</f>
        <v>124.14039485944576</v>
      </c>
      <c r="AO20" s="205">
        <f>'Bilan 2040'!$G$29*(1-SUM('Bilan 2040'!$K$26:$P$34)/'Bilan 2040'!$H$30)+'Bilan 2040'!$G$37</f>
        <v>125.18395552071158</v>
      </c>
      <c r="AP20" s="205">
        <f>'Bilan 2045'!$G$29*(1-SUM('Bilan 2045'!$K$26:$P$34)/'Bilan 2045'!$H$30)+'Bilan 2045'!$G$37</f>
        <v>128.27427833334431</v>
      </c>
      <c r="AQ20" s="205">
        <f>'Bilan 2050'!$G$29*(1-SUM('Bilan 2050'!$K$26:$P$34)/'Bilan 2050'!$H$30)+'Bilan 2050'!$G$37</f>
        <v>127.19947591453203</v>
      </c>
      <c r="AR20" s="206"/>
      <c r="AS20" s="205" t="s">
        <v>289</v>
      </c>
      <c r="AT20" s="205">
        <f>'Bilan 2015'!$G$29*(1-SUM('Bilan 2015'!$K$26:$P$34)/'Bilan 2015'!$H$30)+'Bilan 2015'!$G$37</f>
        <v>7.7314053250240979</v>
      </c>
      <c r="AU20" s="205">
        <f>'Bilan 2020'!$G$29*(1-SUM('Bilan 2020'!$K$26:$P$34)/'Bilan 2020'!$H$30)+'Bilan 2020'!$G$37</f>
        <v>95.569975835829709</v>
      </c>
      <c r="AV20" s="205">
        <f>'Bilan 2023 réel'!$G$29*(1-SUM('Bilan 2023 réel'!$K$26:$P$34)/'Bilan 2023 réel'!$H$30)+'Bilan 2023 réel'!$G$37</f>
        <v>99.718071968772989</v>
      </c>
      <c r="AW20" s="205">
        <f>'Bilan 2025'!$G$29*(1-SUM('Bilan 2025'!$K$26:$P$34)/'Bilan 2025'!$H$30)+'Bilan 2025'!$G$37</f>
        <v>107.16942679772349</v>
      </c>
      <c r="AX20" s="205">
        <f>'Bilan 2028'!$G$29*(1-SUM('Bilan 2028'!$K$26:$P$34)/'Bilan 2028'!$H$30)+'Bilan 2028'!$G$37</f>
        <v>110.88898473167833</v>
      </c>
      <c r="AY20" s="205">
        <f>'Bilan 2030'!$G$29*(1-SUM('Bilan 2030'!$K$26:$P$34)/'Bilan 2030'!$H$30)+'Bilan 2030'!$G$37</f>
        <v>113.43394737167519</v>
      </c>
      <c r="AZ20" s="205">
        <f>'Bilan 2033'!$G$29*(1-SUM('Bilan 2033'!$K$26:$P$34)/'Bilan 2033'!$H$30)+'Bilan 2033'!$G$37</f>
        <v>118.87185487314196</v>
      </c>
      <c r="BA20" s="205">
        <f>'Bilan 2035'!$G$29*(1-SUM('Bilan 2035'!$K$26:$P$34)/'Bilan 2035'!$H$30)+'Bilan 2035'!$G$37</f>
        <v>122.52800005343497</v>
      </c>
      <c r="BB20" s="205">
        <f>'Bilan 2038'!$G$29*(1-SUM('Bilan 2038'!$K$26:$P$34)/'Bilan 2038'!$H$30)+'Bilan 2038'!$G$37</f>
        <v>124.14039485944576</v>
      </c>
      <c r="BC20" s="205">
        <f>'Bilan 2040'!$G$29*(1-SUM('Bilan 2040'!$K$26:$P$34)/'Bilan 2040'!$H$30)+'Bilan 2040'!$G$37</f>
        <v>125.18395552071158</v>
      </c>
      <c r="BD20" s="205">
        <f>'Bilan 2045'!$G$29*(1-SUM('Bilan 2045'!$K$26:$P$34)/'Bilan 2045'!$H$30)+'Bilan 2045'!$G$37</f>
        <v>128.27427833334431</v>
      </c>
      <c r="BE20" s="205">
        <f>'Bilan 2050'!$G$29*(1-SUM('Bilan 2050'!$K$26:$P$34)/'Bilan 2050'!$H$30)+'Bilan 2050'!$G$37</f>
        <v>127.19947591453203</v>
      </c>
      <c r="BF20" s="216"/>
      <c r="BG20" s="205" t="s">
        <v>410</v>
      </c>
      <c r="BH20" s="202">
        <f t="shared" si="106"/>
        <v>0</v>
      </c>
      <c r="BI20" s="202">
        <f t="shared" si="106"/>
        <v>0</v>
      </c>
      <c r="BJ20" s="202">
        <f t="shared" si="106"/>
        <v>0</v>
      </c>
      <c r="BK20" s="202">
        <f t="shared" si="106"/>
        <v>0.435714285714286</v>
      </c>
      <c r="BL20" s="202">
        <f t="shared" si="106"/>
        <v>0.43670329670329672</v>
      </c>
      <c r="BM20" s="202">
        <f t="shared" si="106"/>
        <v>0.43736263736263742</v>
      </c>
      <c r="BN20" s="202">
        <f t="shared" si="106"/>
        <v>0.43591867632745762</v>
      </c>
      <c r="BO20" s="202">
        <f t="shared" si="106"/>
        <v>0.43483146067415712</v>
      </c>
      <c r="BP20" s="202">
        <f t="shared" si="106"/>
        <v>0.43302149178255395</v>
      </c>
      <c r="BQ20" s="202">
        <f t="shared" si="106"/>
        <v>0.43169968717414003</v>
      </c>
      <c r="BR20" s="202">
        <f t="shared" si="106"/>
        <v>0.42801220132180995</v>
      </c>
      <c r="BS20" s="202">
        <f t="shared" si="106"/>
        <v>0.42380952380952369</v>
      </c>
      <c r="BU20" s="205" t="s">
        <v>410</v>
      </c>
      <c r="BV20" s="208">
        <f>'Bilan 2015'!$E$23+'Bilan 2015'!$E$47</f>
        <v>0</v>
      </c>
      <c r="BW20" s="208">
        <f>'Bilan 2020'!$E$23+'Bilan 2020'!$E$47</f>
        <v>0</v>
      </c>
      <c r="BX20" s="208">
        <f>'Bilan 2023 réel'!$E$23+'Bilan 2023 réel'!$E$47</f>
        <v>0</v>
      </c>
      <c r="BY20" s="208">
        <f>'Bilan 2025'!$E$23+'Bilan 2025'!$E$47</f>
        <v>0.17260395660400402</v>
      </c>
      <c r="BZ20" s="208">
        <f>'Bilan 2028'!$E$23+'Bilan 2028'!$E$47</f>
        <v>0.25615209347689405</v>
      </c>
      <c r="CA20" s="208">
        <f>'Bilan 2030'!$E$23+'Bilan 2030'!$E$47</f>
        <v>0.31211801610932366</v>
      </c>
      <c r="CB20" s="208">
        <f>'Bilan 2033'!$E$23+'Bilan 2033'!$E$47</f>
        <v>0.72859353189346332</v>
      </c>
      <c r="CC20" s="208">
        <f>'Bilan 2035'!$E$23+'Bilan 2035'!$E$47</f>
        <v>1.0073759745042175</v>
      </c>
      <c r="CD20" s="208">
        <f>'Bilan 2038'!$E$23+'Bilan 2038'!$E$47</f>
        <v>1.4618472731749175</v>
      </c>
      <c r="CE20" s="208">
        <f>'Bilan 2040'!$E$23+'Bilan 2040'!$E$47</f>
        <v>1.7674236764824451</v>
      </c>
      <c r="CF20" s="208">
        <f>'Bilan 2045'!$E$23+'Bilan 2045'!$E$47</f>
        <v>2.4607304691619536</v>
      </c>
      <c r="CG20" s="208">
        <f>'Bilan 2050'!$E$23+'Bilan 2050'!$E$47</f>
        <v>2.99690014009302</v>
      </c>
      <c r="CH20" s="206"/>
      <c r="CJ20" s="205" t="s">
        <v>410</v>
      </c>
      <c r="CK20" s="202">
        <f t="shared" si="107"/>
        <v>0</v>
      </c>
      <c r="CL20" s="202">
        <f t="shared" si="107"/>
        <v>0</v>
      </c>
      <c r="CM20" s="202">
        <f t="shared" si="107"/>
        <v>0</v>
      </c>
      <c r="CN20" s="202">
        <f t="shared" si="107"/>
        <v>0</v>
      </c>
      <c r="CO20" s="202">
        <f t="shared" si="107"/>
        <v>0</v>
      </c>
      <c r="CP20" s="202">
        <f t="shared" si="107"/>
        <v>0</v>
      </c>
      <c r="CQ20" s="202">
        <f t="shared" si="107"/>
        <v>0</v>
      </c>
      <c r="CR20" s="202">
        <f t="shared" si="107"/>
        <v>0</v>
      </c>
      <c r="CS20" s="202">
        <f t="shared" si="107"/>
        <v>0</v>
      </c>
      <c r="CT20" s="202">
        <f t="shared" si="107"/>
        <v>0</v>
      </c>
      <c r="CU20" s="202">
        <f t="shared" si="107"/>
        <v>0</v>
      </c>
      <c r="CV20" s="202">
        <f t="shared" si="107"/>
        <v>0</v>
      </c>
      <c r="CW20" s="206"/>
      <c r="CY20" s="205" t="s">
        <v>31</v>
      </c>
      <c r="DA20" s="202">
        <f>'Bilan 2015'!$K$23</f>
        <v>0</v>
      </c>
      <c r="DB20" s="202">
        <f>'Bilan 2020'!$K$23</f>
        <v>0</v>
      </c>
      <c r="DC20" s="202">
        <f>'Bilan 2023 réel'!$K$23</f>
        <v>0</v>
      </c>
      <c r="DD20" s="202">
        <f>'Bilan 2025'!$K$23</f>
        <v>0</v>
      </c>
      <c r="DE20" s="202">
        <f>'Bilan 2028'!$K$23</f>
        <v>0</v>
      </c>
      <c r="DF20" s="202">
        <f>'Bilan 2030'!$K$23</f>
        <v>0</v>
      </c>
      <c r="DG20" s="202">
        <f>'Bilan 2033'!$K$23</f>
        <v>0</v>
      </c>
      <c r="DH20" s="202">
        <f>'Bilan 2035'!$K$23</f>
        <v>0</v>
      </c>
      <c r="DI20" s="202">
        <f>'Bilan 2038'!$K$23</f>
        <v>0</v>
      </c>
      <c r="DJ20" s="202">
        <f>'Bilan 2040'!$K$23</f>
        <v>0</v>
      </c>
      <c r="DK20" s="202">
        <f>'Bilan 2045'!$K$23</f>
        <v>0</v>
      </c>
      <c r="DL20" s="202">
        <f>'Bilan 2050'!$K$23</f>
        <v>0</v>
      </c>
    </row>
    <row r="21" spans="1:116" ht="15" x14ac:dyDescent="0.25">
      <c r="A21" s="211" t="s">
        <v>22</v>
      </c>
      <c r="B21" s="212"/>
      <c r="C21" s="212"/>
      <c r="D21" s="577"/>
      <c r="E21" s="212"/>
      <c r="F21" s="212"/>
      <c r="G21" s="212"/>
      <c r="H21" s="212"/>
      <c r="I21" s="212"/>
      <c r="J21" s="212"/>
      <c r="K21" s="212"/>
      <c r="L21" s="212"/>
      <c r="M21" s="577"/>
      <c r="N21" s="573"/>
      <c r="O21" s="573"/>
      <c r="P21" s="573"/>
      <c r="Q21" s="570" t="s">
        <v>295</v>
      </c>
      <c r="R21" s="205">
        <f t="shared" si="105"/>
        <v>5.6427752579331782E-2</v>
      </c>
      <c r="S21" s="205">
        <f t="shared" si="105"/>
        <v>3.6793581777777802</v>
      </c>
      <c r="T21" s="205">
        <f t="shared" si="105"/>
        <v>4.6370516666666663</v>
      </c>
      <c r="U21" s="205">
        <f t="shared" si="105"/>
        <v>2.3429154336529705</v>
      </c>
      <c r="V21" s="205">
        <f t="shared" si="105"/>
        <v>2.2649221928743524</v>
      </c>
      <c r="W21" s="205">
        <f t="shared" si="105"/>
        <v>2.213491882180628</v>
      </c>
      <c r="X21" s="205">
        <f t="shared" si="105"/>
        <v>2.176515458729928</v>
      </c>
      <c r="Y21" s="205">
        <f t="shared" si="105"/>
        <v>2.1521575120663843</v>
      </c>
      <c r="Z21" s="205">
        <f t="shared" si="105"/>
        <v>2.1323907148309815</v>
      </c>
      <c r="AA21" s="205">
        <f t="shared" si="105"/>
        <v>2.119186174908156</v>
      </c>
      <c r="AB21" s="205">
        <f t="shared" si="105"/>
        <v>2.095064907654093</v>
      </c>
      <c r="AC21" s="205">
        <f t="shared" si="105"/>
        <v>2.0817718857040237</v>
      </c>
      <c r="AE21" s="205" t="s">
        <v>453</v>
      </c>
      <c r="AF21" s="205">
        <f>'Bilan 2015'!$G$21-SUM('Bilan 2015'!$K$21:$P$21)+'Bilan 2015'!$G$26*(1-SUM('Bilan 2015'!$K$26:$P$34)/'Bilan 2015'!$H$30)+'Bilan 2015'!$G$36-'Bilan 2015'!$E$55</f>
        <v>0.12747920180155742</v>
      </c>
      <c r="AG21" s="205">
        <f>'Bilan 2020'!$G$21-SUM('Bilan 2020'!$K$21:$P$21)+'Bilan 2020'!$G$26*(1-SUM('Bilan 2020'!$K$26:$P$34)/'Bilan 2020'!$H$30)+'Bilan 2020'!$G$36-'Bilan 2020'!$E$55</f>
        <v>5.3117238811365866</v>
      </c>
      <c r="AH21" s="205">
        <f>'Bilan 2023 réel'!$G$22-SUM('Bilan 2023 réel'!$K$22:$P$22)+'Bilan 2023 réel'!$G$21-SUM('Bilan 2023 réel'!$K$21:$P$21)+'Bilan 2023 réel'!$G$26*(1-SUM('Bilan 2023 réel'!$K$26:$P$34)/'Bilan 2023 réel'!$H$30)+'Bilan 2023 réel'!$G$36-'Bilan 2023 réel'!$E$55</f>
        <v>13.972823604015941</v>
      </c>
      <c r="AI21" s="205">
        <f>'Bilan 2025'!$G$21-SUM('Bilan 2025'!$K$21:$P$21)+'Bilan 2025'!$G$26*(1-SUM('Bilan 2025'!$K$26:$P$34)/'Bilan 2025'!$H$30)+'Bilan 2025'!$G$36-'Bilan 2025'!$E$55</f>
        <v>6.5401915714750203</v>
      </c>
      <c r="AJ21" s="205">
        <f>'Bilan 2028'!$G$21-SUM('Bilan 2028'!$K$21:$P$21)+'Bilan 2028'!$G$26*(1-SUM('Bilan 2028'!$K$26:$P$34)/'Bilan 2028'!$H$30)+'Bilan 2028'!$G$36-'Bilan 2028'!$E$55</f>
        <v>6.3179161896644294</v>
      </c>
      <c r="AK21" s="205">
        <f>'Bilan 2030'!$G$21-SUM('Bilan 2030'!$K$21:$P$21)+'Bilan 2030'!$G$26*(1-SUM('Bilan 2030'!$K$26:$P$34)/'Bilan 2030'!$H$30)+'Bilan 2030'!$G$36-'Bilan 2030'!$E$55</f>
        <v>6.1690588892243232</v>
      </c>
      <c r="AL21" s="205">
        <f>'Bilan 2033'!$G$21-SUM('Bilan 2033'!$K$21:$P$21)+'Bilan 2033'!$G$26*(1-SUM('Bilan 2033'!$K$26:$P$34)/'Bilan 2033'!$H$30)+'Bilan 2033'!$G$36-'Bilan 2033'!$E$55</f>
        <v>6.0514855959568941</v>
      </c>
      <c r="AM21" s="205">
        <f>'Bilan 2035'!$G$21-SUM('Bilan 2035'!$K$21:$P$21)+'Bilan 2035'!$G$26*(1-SUM('Bilan 2035'!$K$26:$P$34)/'Bilan 2035'!$H$30)+'Bilan 2035'!$G$36-'Bilan 2035'!$E$55</f>
        <v>5.9717260157365963</v>
      </c>
      <c r="AN21" s="205">
        <f>'Bilan 2038'!$G$21-SUM('Bilan 2038'!$K$21:$P$21)+'Bilan 2038'!$G$26*(1-SUM('Bilan 2038'!$K$26:$P$34)/'Bilan 2038'!$H$30)+'Bilan 2038'!$G$36-'Bilan 2038'!$E$55</f>
        <v>5.931208834324706</v>
      </c>
      <c r="AO21" s="205">
        <f>'Bilan 2040'!$G$21-SUM('Bilan 2040'!$K$21:$P$21)+'Bilan 2040'!$G$26*(1-SUM('Bilan 2040'!$K$26:$P$34)/'Bilan 2040'!$H$30)+'Bilan 2040'!$G$36-'Bilan 2040'!$E$55</f>
        <v>5.9024303316760962</v>
      </c>
      <c r="AP21" s="205">
        <f>'Bilan 2045'!$G$21-SUM('Bilan 2045'!$K$21:$P$21)+'Bilan 2045'!$G$26*(1-SUM('Bilan 2045'!$K$26:$P$34)/'Bilan 2045'!$H$30)+'Bilan 2045'!$G$36-'Bilan 2045'!$E$55</f>
        <v>5.7418317477213021</v>
      </c>
      <c r="AQ21" s="205">
        <f>'Bilan 2050'!$G$21-SUM('Bilan 2050'!$K$21:$P$21)+'Bilan 2050'!$G$26*(1-SUM('Bilan 2050'!$K$26:$P$34)/'Bilan 2050'!$H$30)+'Bilan 2050'!$G$36-'Bilan 2050'!$E$55</f>
        <v>5.5055998635165588</v>
      </c>
      <c r="AR21" s="206"/>
      <c r="AS21" s="205" t="s">
        <v>453</v>
      </c>
      <c r="AT21" s="205">
        <f>'Bilan 2015'!$G$21-SUM('Bilan 2015'!$K$21:$P$21)+'Bilan 2015'!$G$26*(1-SUM('Bilan 2015'!$K$26:$P$34)/'Bilan 2015'!$H$30)+'Bilan 2015'!$G$36</f>
        <v>0.12747920180155742</v>
      </c>
      <c r="AU21" s="205">
        <f>'Bilan 2020'!$G$21-SUM('Bilan 2020'!$K$21:$P$21)+'Bilan 2020'!$G$26*(1-SUM('Bilan 2020'!$K$26:$P$34)/'Bilan 2020'!$H$30)+'Bilan 2020'!$G$36</f>
        <v>5.3117238811365866</v>
      </c>
      <c r="AV21" s="205">
        <f>'Bilan 2023 réel'!$G$22-SUM('Bilan 2023 réel'!$K$22:$P$22)+'Bilan 2023 réel'!$G$21-SUM('Bilan 2023 réel'!$K$21:$P$21)+'Bilan 2023 réel'!$G$26*(1-SUM('Bilan 2023 réel'!$K$26:$P$34)/'Bilan 2023 réel'!$H$30)+'Bilan 2023 réel'!$G$36</f>
        <v>13.972823604015941</v>
      </c>
      <c r="AW21" s="205">
        <f>'Bilan 2025'!$G$21-SUM('Bilan 2025'!$K$21:$P$21)+'Bilan 2025'!$G$26*(1-SUM('Bilan 2025'!$K$26:$P$34)/'Bilan 2025'!$H$30)+'Bilan 2025'!$G$36</f>
        <v>6.5401915714750203</v>
      </c>
      <c r="AX21" s="205">
        <f>'Bilan 2028'!$G$21-SUM('Bilan 2028'!$K$21:$P$21)+'Bilan 2028'!$G$26*(1-SUM('Bilan 2028'!$K$26:$P$34)/'Bilan 2028'!$H$30)+'Bilan 2028'!$G$36</f>
        <v>6.3179161896644294</v>
      </c>
      <c r="AY21" s="205">
        <f>'Bilan 2030'!$G$21-SUM('Bilan 2030'!$K$21:$P$21)+'Bilan 2030'!$G$26*(1-SUM('Bilan 2030'!$K$26:$P$34)/'Bilan 2030'!$H$30)+'Bilan 2030'!$G$36</f>
        <v>6.1690588892243232</v>
      </c>
      <c r="AZ21" s="205">
        <f>'Bilan 2033'!$G$21-SUM('Bilan 2033'!$K$21:$P$21)+'Bilan 2033'!$G$26*(1-SUM('Bilan 2033'!$K$26:$P$34)/'Bilan 2033'!$H$30)+'Bilan 2033'!$G$36</f>
        <v>6.0514855959568941</v>
      </c>
      <c r="BA21" s="205">
        <f>'Bilan 2035'!$G$21-SUM('Bilan 2035'!$K$21:$P$21)+'Bilan 2035'!$G$26*(1-SUM('Bilan 2035'!$K$26:$P$34)/'Bilan 2035'!$H$30)+'Bilan 2035'!$G$36</f>
        <v>5.9717260157365963</v>
      </c>
      <c r="BB21" s="205">
        <f>'Bilan 2038'!$G$21-SUM('Bilan 2038'!$K$21:$P$21)+'Bilan 2038'!$G$26*(1-SUM('Bilan 2038'!$K$26:$P$34)/'Bilan 2038'!$H$30)+'Bilan 2038'!$G$36</f>
        <v>5.931208834324706</v>
      </c>
      <c r="BC21" s="205">
        <f>'Bilan 2040'!$G$21-SUM('Bilan 2040'!$K$21:$P$21)+'Bilan 2040'!$G$26*(1-SUM('Bilan 2040'!$K$26:$P$34)/'Bilan 2040'!$H$30)+'Bilan 2040'!$G$36</f>
        <v>5.9024303316760962</v>
      </c>
      <c r="BD21" s="205">
        <f>'Bilan 2045'!$G$21-SUM('Bilan 2045'!$K$21:$P$21)+'Bilan 2045'!$G$26*(1-SUM('Bilan 2045'!$K$26:$P$34)/'Bilan 2045'!$H$30)+'Bilan 2045'!$G$36</f>
        <v>5.7418317477213021</v>
      </c>
      <c r="BE21" s="205">
        <f>'Bilan 2050'!$G$21-SUM('Bilan 2050'!$K$21:$P$21)+'Bilan 2050'!$G$26*(1-SUM('Bilan 2050'!$K$26:$P$34)/'Bilan 2050'!$H$30)+'Bilan 2050'!$G$36</f>
        <v>5.5055998635165588</v>
      </c>
      <c r="BF21" s="216"/>
      <c r="BG21" s="205" t="s">
        <v>293</v>
      </c>
      <c r="BH21" s="202">
        <f t="shared" si="106"/>
        <v>0.34306886949284815</v>
      </c>
      <c r="BI21" s="202">
        <f t="shared" si="106"/>
        <v>0.12730619053573899</v>
      </c>
      <c r="BJ21" s="202">
        <f t="shared" si="106"/>
        <v>0.10028808094779193</v>
      </c>
      <c r="BK21" s="202">
        <f t="shared" si="106"/>
        <v>0.11834124456613447</v>
      </c>
      <c r="BL21" s="202">
        <f t="shared" si="106"/>
        <v>0.10925460695220041</v>
      </c>
      <c r="BM21" s="202">
        <f t="shared" si="106"/>
        <v>0.10360949378429857</v>
      </c>
      <c r="BN21" s="202">
        <f t="shared" si="106"/>
        <v>0.1007687153478433</v>
      </c>
      <c r="BO21" s="202">
        <f t="shared" si="106"/>
        <v>9.8933463232179678E-2</v>
      </c>
      <c r="BP21" s="202">
        <f t="shared" si="106"/>
        <v>9.6221339390191701E-2</v>
      </c>
      <c r="BQ21" s="202">
        <f t="shared" si="106"/>
        <v>9.4476728485564709E-2</v>
      </c>
      <c r="BR21" s="202">
        <f t="shared" si="106"/>
        <v>9.0303620020357495E-2</v>
      </c>
      <c r="BS21" s="202">
        <f t="shared" si="106"/>
        <v>8.6406427655521853E-2</v>
      </c>
      <c r="BU21" s="205" t="s">
        <v>293</v>
      </c>
      <c r="BV21" s="208">
        <f>'Bilan 2015'!$E27</f>
        <v>0.17394449174769955</v>
      </c>
      <c r="BW21" s="208">
        <f>'Bilan 2020'!$E27</f>
        <v>2.3506162866955846</v>
      </c>
      <c r="BX21" s="208">
        <f>'Bilan 2023 réel'!$E27</f>
        <v>2.0155987351865399</v>
      </c>
      <c r="BY21" s="208">
        <f>'Bilan 2025'!$E27</f>
        <v>1.4389691364818706</v>
      </c>
      <c r="BZ21" s="208">
        <f>'Bilan 2028'!$E27</f>
        <v>1.3279579742854037</v>
      </c>
      <c r="CA21" s="208">
        <f>'Bilan 2030'!$E27</f>
        <v>1.2579762719898857</v>
      </c>
      <c r="CB21" s="208">
        <f>'Bilan 2033'!$E27</f>
        <v>1.2113237732342328</v>
      </c>
      <c r="CC21" s="208">
        <f>'Bilan 2035'!$E27</f>
        <v>1.1811761327902599</v>
      </c>
      <c r="CD21" s="208">
        <f>'Bilan 2038'!$E27</f>
        <v>1.1439420532709521</v>
      </c>
      <c r="CE21" s="208">
        <f>'Bilan 2040'!$E27</f>
        <v>1.1197771225203408</v>
      </c>
      <c r="CF21" s="208">
        <f>'Bilan 2045'!$E27</f>
        <v>1.0648787952635286</v>
      </c>
      <c r="CG21" s="208">
        <f>'Bilan 2050'!$E27</f>
        <v>1.0165576741734537</v>
      </c>
      <c r="CH21" s="206"/>
      <c r="CJ21" s="205" t="s">
        <v>293</v>
      </c>
      <c r="CK21" s="202">
        <f t="shared" si="107"/>
        <v>0.25940455714325639</v>
      </c>
      <c r="CL21" s="202">
        <f t="shared" si="107"/>
        <v>8.060088467486054E-2</v>
      </c>
      <c r="CM21" s="202">
        <f t="shared" si="107"/>
        <v>7.7021040652222997E-2</v>
      </c>
      <c r="CN21" s="202">
        <f t="shared" si="107"/>
        <v>7.2142617971275191E-2</v>
      </c>
      <c r="CO21" s="202">
        <f t="shared" si="107"/>
        <v>7.191548757388995E-2</v>
      </c>
      <c r="CP21" s="202">
        <f t="shared" si="107"/>
        <v>7.1761588282500302E-2</v>
      </c>
      <c r="CQ21" s="202">
        <f t="shared" si="107"/>
        <v>7.1646362618140391E-2</v>
      </c>
      <c r="CR21" s="202">
        <f t="shared" si="107"/>
        <v>7.1581286918632192E-2</v>
      </c>
      <c r="CS21" s="202">
        <f t="shared" si="107"/>
        <v>7.1579977593839314E-2</v>
      </c>
      <c r="CT21" s="202">
        <f t="shared" si="107"/>
        <v>7.1591309642742879E-2</v>
      </c>
      <c r="CU21" s="202">
        <f t="shared" si="107"/>
        <v>7.1704996648050287E-2</v>
      </c>
      <c r="CV21" s="202">
        <f t="shared" si="107"/>
        <v>7.1932352162478674E-2</v>
      </c>
      <c r="CW21" s="206"/>
      <c r="CX21" s="193">
        <f>CX19+1</f>
        <v>2404</v>
      </c>
      <c r="CY21" s="205" t="s">
        <v>293</v>
      </c>
      <c r="CZ21" s="207" t="s">
        <v>288</v>
      </c>
      <c r="DA21" s="202">
        <f>'Bilan 2015'!$K$30*'Bilan 2015'!$G$27/'Bilan 2015'!$H$30</f>
        <v>0.13152459421929993</v>
      </c>
      <c r="DB21" s="202">
        <f>'Bilan 2020'!$K$30*'Bilan 2020'!$G$27/'Bilan 2020'!$H$30</f>
        <v>1.4882367577059157</v>
      </c>
      <c r="DC21" s="202">
        <f>'Bilan 2023 réel'!$K$30*'Bilan 2023 réel'!$G$27/'Bilan 2023 réel'!$H$30</f>
        <v>1.5479756981508954</v>
      </c>
      <c r="DD21" s="202">
        <f>'Bilan 2025'!$K$30*'Bilan 2025'!$G$27/'Bilan 2025'!$H$30</f>
        <v>0.87721741533361208</v>
      </c>
      <c r="DE21" s="202">
        <f>'Bilan 2028'!$K$30*'Bilan 2028'!$G$27/'Bilan 2028'!$H$30</f>
        <v>0.87411183713426588</v>
      </c>
      <c r="DF21" s="202">
        <f>'Bilan 2030'!$K$30*'Bilan 2030'!$G$27/'Bilan 2030'!$H$30</f>
        <v>0.87129443453929289</v>
      </c>
      <c r="DG21" s="202">
        <f>'Bilan 2033'!$K$30*'Bilan 2033'!$G$27/'Bilan 2033'!$H$30</f>
        <v>0.86124887079818635</v>
      </c>
      <c r="DH21" s="202">
        <f>'Bilan 2035'!$K$30*'Bilan 2035'!$G$27/'Bilan 2035'!$H$30</f>
        <v>0.85461586909452025</v>
      </c>
      <c r="DI21" s="202">
        <f>'Bilan 2038'!$K$30*'Bilan 2038'!$G$27/'Bilan 2038'!$H$30</f>
        <v>0.85098946928743391</v>
      </c>
      <c r="DJ21" s="202">
        <f>'Bilan 2040'!$K$30*'Bilan 2040'!$G$27/'Bilan 2040'!$H$30</f>
        <v>0.84852970667228511</v>
      </c>
      <c r="DK21" s="202">
        <f>'Bilan 2045'!$K$30*'Bilan 2045'!$G$27/'Bilan 2045'!$H$30</f>
        <v>0.84556001661658364</v>
      </c>
      <c r="DL21" s="202">
        <f>'Bilan 2050'!$K$30*'Bilan 2050'!$G$27/'Bilan 2050'!$H$30</f>
        <v>0.84627251231398559</v>
      </c>
    </row>
    <row r="22" spans="1:116" ht="15" x14ac:dyDescent="0.25">
      <c r="A22" s="209" t="s">
        <v>297</v>
      </c>
      <c r="B22" s="210"/>
      <c r="C22" s="210"/>
      <c r="D22" s="576"/>
      <c r="E22" s="210"/>
      <c r="F22" s="210"/>
      <c r="G22" s="210"/>
      <c r="H22" s="210"/>
      <c r="I22" s="210"/>
      <c r="J22" s="210"/>
      <c r="K22" s="210"/>
      <c r="L22" s="210"/>
      <c r="M22" s="576"/>
      <c r="N22" s="573"/>
      <c r="O22" s="573"/>
      <c r="P22" s="573"/>
      <c r="Q22" s="203" t="s">
        <v>613</v>
      </c>
      <c r="R22" s="205">
        <f t="shared" si="105"/>
        <v>5.2038188230072926</v>
      </c>
      <c r="S22" s="205">
        <f t="shared" si="105"/>
        <v>33.87625778069777</v>
      </c>
      <c r="T22" s="205">
        <f t="shared" si="105"/>
        <v>53.304861388888888</v>
      </c>
      <c r="U22" s="205">
        <f t="shared" si="105"/>
        <v>41.853107957079459</v>
      </c>
      <c r="V22" s="205">
        <f t="shared" si="105"/>
        <v>48.03994163305439</v>
      </c>
      <c r="W22" s="205">
        <f t="shared" si="105"/>
        <v>52.363669470433123</v>
      </c>
      <c r="X22" s="205">
        <f t="shared" si="105"/>
        <v>57.250162734693113</v>
      </c>
      <c r="Y22" s="205">
        <f t="shared" si="105"/>
        <v>60.660929668887476</v>
      </c>
      <c r="Z22" s="205">
        <f t="shared" si="105"/>
        <v>63.670190049073604</v>
      </c>
      <c r="AA22" s="205">
        <f t="shared" si="105"/>
        <v>65.736950202079697</v>
      </c>
      <c r="AB22" s="205">
        <f t="shared" si="105"/>
        <v>70.819814202540698</v>
      </c>
      <c r="AC22" s="205">
        <f t="shared" si="105"/>
        <v>77.94621591512923</v>
      </c>
      <c r="AD22" s="193">
        <f>AD20+1</f>
        <v>2404</v>
      </c>
      <c r="AE22" s="205" t="s">
        <v>31</v>
      </c>
      <c r="AF22" s="205">
        <f>'Bilan 2015'!$G$23-SUM('Bilan 2015'!$K$23:$P$23)+'Bilan 2015'!$G$47-'Bilan 2015'!$E$57</f>
        <v>0</v>
      </c>
      <c r="AG22" s="205">
        <f>'Bilan 2020'!$G$23-SUM('Bilan 2020'!$K$23:$P$23)+'Bilan 2020'!$G$47-'Bilan 2020'!$E$57</f>
        <v>0</v>
      </c>
      <c r="AH22" s="205">
        <f>'Bilan 2023 réel'!$G$23-SUM('Bilan 2023 réel'!$K$23:$P$23)+'Bilan 2023 réel'!$G$47-'Bilan 2023 réel'!$E$57</f>
        <v>0</v>
      </c>
      <c r="AI22" s="205">
        <f>'Bilan 2025'!$G$23-SUM('Bilan 2025'!$K$23:$P$23)+'Bilan 2025'!$G$47-'Bilan 2025'!$E$57</f>
        <v>0.39614022827148437</v>
      </c>
      <c r="AJ22" s="205">
        <f>'Bilan 2028'!$G$23-SUM('Bilan 2028'!$K$23:$P$23)+'Bilan 2028'!$G$47-'Bilan 2028'!$E$57</f>
        <v>0.58655864384492595</v>
      </c>
      <c r="AK22" s="205">
        <f>'Bilan 2030'!$G$23-SUM('Bilan 2030'!$K$23:$P$23)+'Bilan 2030'!$G$47-'Bilan 2030'!$E$57</f>
        <v>0.71363666999870479</v>
      </c>
      <c r="AL22" s="205">
        <f>'Bilan 2033'!$G$23-SUM('Bilan 2033'!$K$23:$P$23)+'Bilan 2033'!$G$47-'Bilan 2033'!$E$57</f>
        <v>1.1507469563432244</v>
      </c>
      <c r="AM22" s="205">
        <f>'Bilan 2035'!$G$23-SUM('Bilan 2035'!$K$23:$P$23)+'Bilan 2035'!$G$47-'Bilan 2035'!$E$57</f>
        <v>1.4422145133691282</v>
      </c>
      <c r="AN22" s="205">
        <f>'Bilan 2038'!$G$23-SUM('Bilan 2038'!$K$23:$P$23)+'Bilan 2038'!$G$47-'Bilan 2038'!$E$57</f>
        <v>1.9451540734815072</v>
      </c>
      <c r="AO22" s="205">
        <f>'Bilan 2040'!$G$23-SUM('Bilan 2040'!$K$23:$P$23)+'Bilan 2040'!$G$47-'Bilan 2040'!$E$57</f>
        <v>2.2805072331853324</v>
      </c>
      <c r="AP22" s="205">
        <f>'Bilan 2045'!$G$23-SUM('Bilan 2045'!$K$23:$P$23)+'Bilan 2045'!$G$47-'Bilan 2045'!$E$57</f>
        <v>2.9190855580034509</v>
      </c>
      <c r="AQ22" s="205">
        <f>'Bilan 2050'!$G$23-SUM('Bilan 2050'!$K$23:$P$23)+'Bilan 2050'!$G$47-'Bilan 2050'!$E$57</f>
        <v>3.1559026365968599</v>
      </c>
      <c r="AR22" s="206"/>
      <c r="AS22" s="205" t="s">
        <v>410</v>
      </c>
      <c r="AT22" s="205">
        <f>'Bilan 2015'!$G$23-SUM('Bilan 2015'!$K$23:$P$23)+'Bilan 2015'!$G$47</f>
        <v>0</v>
      </c>
      <c r="AU22" s="205">
        <f>'Bilan 2020'!$G$23-SUM('Bilan 2020'!$K$23:$P$23)+'Bilan 2020'!$G$47</f>
        <v>0</v>
      </c>
      <c r="AV22" s="205">
        <f>'Bilan 2023 réel'!$G$23-SUM('Bilan 2023 réel'!$K$23:$P$23)+'Bilan 2023 réel'!$G$47</f>
        <v>0</v>
      </c>
      <c r="AW22" s="205">
        <f>'Bilan 2025'!$G$23-SUM('Bilan 2025'!$K$23:$P$23)+'Bilan 2025'!$G$47</f>
        <v>0.39614022827148437</v>
      </c>
      <c r="AX22" s="205">
        <f>'Bilan 2028'!$G$23-SUM('Bilan 2028'!$K$23:$P$23)+'Bilan 2028'!$G$47</f>
        <v>0.58655864384492595</v>
      </c>
      <c r="AY22" s="205">
        <f>'Bilan 2030'!$G$23-SUM('Bilan 2030'!$K$23:$P$23)+'Bilan 2030'!$G$47</f>
        <v>0.71363666999870479</v>
      </c>
      <c r="AZ22" s="205">
        <f>'Bilan 2033'!$G$23-SUM('Bilan 2033'!$K$23:$P$23)+'Bilan 2033'!$G$47</f>
        <v>1.6713978351002134</v>
      </c>
      <c r="BA22" s="205">
        <f>'Bilan 2035'!$G$23-SUM('Bilan 2035'!$K$23:$P$23)+'Bilan 2035'!$G$47</f>
        <v>2.3167044374903201</v>
      </c>
      <c r="BB22" s="205">
        <f>'Bilan 2038'!$G$23-SUM('Bilan 2038'!$K$23:$P$23)+'Bilan 2038'!$G$47</f>
        <v>3.3759231375725771</v>
      </c>
      <c r="BC22" s="205">
        <f>'Bilan 2040'!$G$23-SUM('Bilan 2040'!$K$23:$P$23)+'Bilan 2040'!$G$47</f>
        <v>4.094104603252811</v>
      </c>
      <c r="BD22" s="205">
        <f>'Bilan 2045'!$G$23-SUM('Bilan 2045'!$K$23:$P$23)+'Bilan 2045'!$G$47</f>
        <v>5.7492063580491291</v>
      </c>
      <c r="BE22" s="205">
        <f>'Bilan 2050'!$G$23-SUM('Bilan 2050'!$K$23:$P$23)+'Bilan 2050'!$G$47</f>
        <v>7.071337409208251</v>
      </c>
      <c r="BF22" s="216"/>
      <c r="BG22" s="205" t="s">
        <v>296</v>
      </c>
      <c r="BH22" s="202">
        <f t="shared" si="106"/>
        <v>6.2959171762517988E-2</v>
      </c>
      <c r="BI22" s="202">
        <f t="shared" si="106"/>
        <v>9.9654327246176316E-2</v>
      </c>
      <c r="BJ22" s="202">
        <f t="shared" si="106"/>
        <v>6.7325803766651787E-2</v>
      </c>
      <c r="BK22" s="202">
        <f t="shared" si="106"/>
        <v>5.9391345335452921E-2</v>
      </c>
      <c r="BL22" s="202">
        <f t="shared" si="106"/>
        <v>5.1980874733149343E-2</v>
      </c>
      <c r="BM22" s="202">
        <f t="shared" si="106"/>
        <v>4.7568452037936734E-2</v>
      </c>
      <c r="BN22" s="202">
        <f t="shared" si="106"/>
        <v>4.6027576078307021E-2</v>
      </c>
      <c r="BO22" s="202">
        <f t="shared" si="106"/>
        <v>4.5025631551286562E-2</v>
      </c>
      <c r="BP22" s="202">
        <f t="shared" si="106"/>
        <v>4.3591668722898949E-2</v>
      </c>
      <c r="BQ22" s="202">
        <f t="shared" si="106"/>
        <v>4.2660845609991754E-2</v>
      </c>
      <c r="BR22" s="202">
        <f t="shared" si="106"/>
        <v>4.0390838553377786E-2</v>
      </c>
      <c r="BS22" s="202">
        <f t="shared" si="106"/>
        <v>3.8415219865342194E-2</v>
      </c>
      <c r="BU22" s="205" t="s">
        <v>296</v>
      </c>
      <c r="BV22" s="208">
        <f>'Bilan 2015'!$E$39+'Bilan 2015'!$E$30+'Bilan 2015'!$E$31</f>
        <v>1.3951322371881562E-2</v>
      </c>
      <c r="BW22" s="208">
        <f>'Bilan 2020'!$E$39+'Bilan 2020'!$E$30+'Bilan 2020'!$E$31</f>
        <v>0.46163061338759365</v>
      </c>
      <c r="BX22" s="208">
        <f>'Bilan 2023 réel'!$E$39+'Bilan 2023 réel'!$E$30+'Bilan 2023 réel'!$E$31</f>
        <v>0.47783884831105328</v>
      </c>
      <c r="BY22" s="208">
        <f>'Bilan 2025'!$E$39+'Bilan 2025'!$E$30+'Bilan 2025'!$E$31</f>
        <v>0.26435062726649183</v>
      </c>
      <c r="BZ22" s="208">
        <f>'Bilan 2028'!$E$39+'Bilan 2028'!$E$30+'Bilan 2028'!$E$31</f>
        <v>0.23870788177680607</v>
      </c>
      <c r="CA22" s="208">
        <f>'Bilan 2030'!$E$39+'Bilan 2030'!$E$30+'Bilan 2030'!$E$31</f>
        <v>0.22288446886458627</v>
      </c>
      <c r="CB22" s="208">
        <f>'Bilan 2033'!$E$39+'Bilan 2033'!$E$30+'Bilan 2033'!$E$31</f>
        <v>0.21406073419923599</v>
      </c>
      <c r="CC22" s="208">
        <f>'Bilan 2035'!$E$39+'Bilan 2035'!$E$30+'Bilan 2035'!$E$31</f>
        <v>0.2083596432024637</v>
      </c>
      <c r="CD22" s="208">
        <f>'Bilan 2038'!$E$39+'Bilan 2038'!$E$30+'Bilan 2038'!$E$31</f>
        <v>0.20133126429434908</v>
      </c>
      <c r="CE22" s="208">
        <f>'Bilan 2040'!$E$39+'Bilan 2040'!$E$30+'Bilan 2040'!$E$31</f>
        <v>0.19677009784036878</v>
      </c>
      <c r="CF22" s="208">
        <f>'Bilan 2045'!$E$39+'Bilan 2045'!$E$30+'Bilan 2045'!$E$31</f>
        <v>0.18644344182712011</v>
      </c>
      <c r="CG22" s="208">
        <f>'Bilan 2050'!$E$39+'Bilan 2050'!$E$30+'Bilan 2050'!$E$31</f>
        <v>0.17744235301207054</v>
      </c>
      <c r="CH22" s="206"/>
      <c r="CJ22" s="205" t="s">
        <v>296</v>
      </c>
      <c r="CK22" s="202">
        <f t="shared" si="107"/>
        <v>4.7605298881549088E-2</v>
      </c>
      <c r="CL22" s="202">
        <f t="shared" si="107"/>
        <v>6.3093765542100319E-2</v>
      </c>
      <c r="CM22" s="202">
        <f t="shared" si="107"/>
        <v>5.1706079325162774E-2</v>
      </c>
      <c r="CN22" s="202">
        <f t="shared" si="107"/>
        <v>3.6205865106828418E-2</v>
      </c>
      <c r="CO22" s="202">
        <f t="shared" si="107"/>
        <v>3.4215764947900393E-2</v>
      </c>
      <c r="CP22" s="202">
        <f t="shared" si="107"/>
        <v>3.2946668743396447E-2</v>
      </c>
      <c r="CQ22" s="202">
        <f t="shared" si="107"/>
        <v>3.2725517982015319E-2</v>
      </c>
      <c r="CR22" s="202">
        <f t="shared" si="107"/>
        <v>3.2577376202847133E-2</v>
      </c>
      <c r="CS22" s="202">
        <f t="shared" si="107"/>
        <v>3.2428260614934222E-2</v>
      </c>
      <c r="CT22" s="202">
        <f t="shared" si="107"/>
        <v>3.2326964075103604E-2</v>
      </c>
      <c r="CU22" s="202">
        <f t="shared" si="107"/>
        <v>3.2072080193783895E-2</v>
      </c>
      <c r="CV22" s="202">
        <f t="shared" si="107"/>
        <v>3.1980226456871132E-2</v>
      </c>
      <c r="CX22" s="193">
        <f>CX21+1</f>
        <v>2405</v>
      </c>
      <c r="CY22" s="205" t="s">
        <v>296</v>
      </c>
      <c r="CZ22" s="207" t="s">
        <v>290</v>
      </c>
      <c r="DA22" s="202">
        <f>'Bilan 2015'!$K$30*('Bilan 2015'!$G$30/'Bilan 2015'!$H$30)</f>
        <v>1.0549009027810339E-2</v>
      </c>
      <c r="DB22" s="202">
        <f>'Bilan 2020'!$K$30*('Bilan 2020'!$G$30/'Bilan 2020'!$H$30)</f>
        <v>0.29227043614656822</v>
      </c>
      <c r="DC22" s="202">
        <f>'Bilan 2023 réel'!$K$30*('Bilan 2023 réel'!$G$30/'Bilan 2023 réel'!$H$30)</f>
        <v>0.36697925629005035</v>
      </c>
      <c r="DD22" s="202">
        <f>'Bilan 2025'!$K$30*('Bilan 2025'!$G$30/'Bilan 2025'!$H$30)</f>
        <v>0.16115215268583533</v>
      </c>
      <c r="DE22" s="202">
        <f>'Bilan 2028'!$K$30*('Bilan 2028'!$G$30/'Bilan 2028'!$H$30)</f>
        <v>0.15712649731301562</v>
      </c>
      <c r="DF22" s="202">
        <f>'Bilan 2030'!$K$30*('Bilan 2030'!$G$30/'Bilan 2030'!$H$30)</f>
        <v>0.15437333882281817</v>
      </c>
      <c r="DG22" s="202">
        <f>'Bilan 2033'!$K$30*('Bilan 2033'!$G$30/'Bilan 2033'!$H$30)</f>
        <v>0.15219676991815567</v>
      </c>
      <c r="DH22" s="202">
        <f>'Bilan 2035'!$K$30*('Bilan 2035'!$G$30/'Bilan 2035'!$H$30)</f>
        <v>0.15075436475257403</v>
      </c>
      <c r="DI22" s="202">
        <f>'Bilan 2038'!$K$30*('Bilan 2038'!$G$30/'Bilan 2038'!$H$30)</f>
        <v>0.14977225923543794</v>
      </c>
      <c r="DJ22" s="202">
        <f>'Bilan 2040'!$K$30*('Bilan 2040'!$G$30/'Bilan 2040'!$H$30)</f>
        <v>0.14910580868679252</v>
      </c>
      <c r="DK22" s="202">
        <f>'Bilan 2045'!$K$30*('Bilan 2045'!$G$30/'Bilan 2045'!$H$30)</f>
        <v>0.14804419101084537</v>
      </c>
      <c r="DL22" s="202">
        <f>'Bilan 2050'!$K$30*('Bilan 2050'!$G$30/'Bilan 2050'!$H$30)</f>
        <v>0.14771870764393807</v>
      </c>
    </row>
    <row r="23" spans="1:116" ht="15" x14ac:dyDescent="0.25">
      <c r="A23" s="211" t="s">
        <v>298</v>
      </c>
      <c r="B23" s="212"/>
      <c r="C23" s="212"/>
      <c r="D23" s="577"/>
      <c r="E23" s="212"/>
      <c r="F23" s="212"/>
      <c r="G23" s="212"/>
      <c r="H23" s="212"/>
      <c r="I23" s="212"/>
      <c r="J23" s="212"/>
      <c r="K23" s="212"/>
      <c r="L23" s="212"/>
      <c r="M23" s="577"/>
      <c r="N23" s="573"/>
      <c r="O23" s="573"/>
      <c r="P23" s="573"/>
      <c r="Q23" s="569" t="s">
        <v>42</v>
      </c>
      <c r="R23" s="201">
        <f t="shared" ref="R23:AC23" si="113">B38</f>
        <v>5.5315230259769379</v>
      </c>
      <c r="S23" s="201">
        <f t="shared" si="113"/>
        <v>49.830275396336631</v>
      </c>
      <c r="T23" s="201">
        <f t="shared" si="113"/>
        <v>43.903847385745323</v>
      </c>
      <c r="U23" s="201">
        <f t="shared" si="113"/>
        <v>49.1086717583973</v>
      </c>
      <c r="V23" s="201">
        <f t="shared" si="113"/>
        <v>47.443922460306638</v>
      </c>
      <c r="W23" s="201">
        <f t="shared" si="113"/>
        <v>46.34677612109779</v>
      </c>
      <c r="X23" s="201">
        <f t="shared" si="113"/>
        <v>46.166677563253685</v>
      </c>
      <c r="Y23" s="201">
        <f t="shared" si="113"/>
        <v>46.000479590016539</v>
      </c>
      <c r="Z23" s="201">
        <f t="shared" si="113"/>
        <v>45.545215820424701</v>
      </c>
      <c r="AA23" s="201">
        <f t="shared" si="113"/>
        <v>45.210854825774298</v>
      </c>
      <c r="AB23" s="201">
        <f t="shared" si="113"/>
        <v>44.318034238205584</v>
      </c>
      <c r="AC23" s="201">
        <f t="shared" si="113"/>
        <v>43.273105682596288</v>
      </c>
      <c r="AD23" s="193">
        <f>AD22+1</f>
        <v>2405</v>
      </c>
      <c r="AE23" s="205" t="s">
        <v>293</v>
      </c>
      <c r="AF23" s="205">
        <f>'Bilan 2015'!$G$27*(1-SUM('Bilan 2015'!$K$26:$P$34)/'Bilan 2015'!$H$30)+'Bilan 2015'!$G$44</f>
        <v>0.50702499473309315</v>
      </c>
      <c r="AG23" s="205">
        <f>'Bilan 2020'!$G$27*(1-SUM('Bilan 2020'!$K$26:$P$34)/'Bilan 2020'!$H$30)+'Bilan 2020'!$G$44</f>
        <v>18.464273236074014</v>
      </c>
      <c r="AH23" s="205">
        <f>'Bilan 2023 réel'!$G$27*(1-SUM('Bilan 2023 réel'!$K$26:$P$34)/'Bilan 2023 réel'!$H$30)+'Bilan 2023 réel'!$G$44</f>
        <v>20.098088587773677</v>
      </c>
      <c r="AI23" s="205">
        <f>'Bilan 2025'!$G$27*(1-SUM('Bilan 2025'!$K$26:$P$34)/'Bilan 2025'!$H$30)+'Bilan 2025'!$G$44</f>
        <v>12.159489633199769</v>
      </c>
      <c r="AJ23" s="205">
        <f>'Bilan 2028'!$G$27*(1-SUM('Bilan 2028'!$K$26:$P$34)/'Bilan 2028'!$H$30)+'Bilan 2028'!$G$44</f>
        <v>12.15470918188735</v>
      </c>
      <c r="AK23" s="205">
        <f>'Bilan 2030'!$G$27*(1-SUM('Bilan 2030'!$K$26:$P$34)/'Bilan 2030'!$H$30)+'Bilan 2030'!$G$44</f>
        <v>12.141515473561023</v>
      </c>
      <c r="AL23" s="205">
        <f>'Bilan 2033'!$G$27*(1-SUM('Bilan 2033'!$K$26:$P$34)/'Bilan 2033'!$H$30)+'Bilan 2033'!$G$44</f>
        <v>12.020831753713114</v>
      </c>
      <c r="AM23" s="205">
        <f>'Bilan 2035'!$G$27*(1-SUM('Bilan 2035'!$K$26:$P$34)/'Bilan 2035'!$H$30)+'Bilan 2035'!$G$44</f>
        <v>11.939096178390566</v>
      </c>
      <c r="AN23" s="205">
        <f>'Bilan 2038'!$G$27*(1-SUM('Bilan 2038'!$K$26:$P$34)/'Bilan 2038'!$H$30)+'Bilan 2038'!$G$44</f>
        <v>11.888652356335413</v>
      </c>
      <c r="AO23" s="205">
        <f>'Bilan 2040'!$G$27*(1-SUM('Bilan 2040'!$K$26:$P$34)/'Bilan 2040'!$H$30)+'Bilan 2040'!$G$44</f>
        <v>11.852412128045202</v>
      </c>
      <c r="AP23" s="205">
        <f>'Bilan 2045'!$G$27*(1-SUM('Bilan 2045'!$K$26:$P$34)/'Bilan 2045'!$H$30)+'Bilan 2045'!$G$44</f>
        <v>11.792204952840969</v>
      </c>
      <c r="AQ23" s="205">
        <f>'Bilan 2050'!$G$27*(1-SUM('Bilan 2050'!$K$26:$P$34)/'Bilan 2050'!$H$30)+'Bilan 2050'!$G$44</f>
        <v>11.764838586154534</v>
      </c>
      <c r="AR23" s="206"/>
      <c r="AS23" s="205" t="s">
        <v>293</v>
      </c>
      <c r="AT23" s="205">
        <f>'Bilan 2015'!$G$27*(1-SUM('Bilan 2015'!$K$26:$P$34)/'Bilan 2015'!$H$30)+'Bilan 2015'!$G$44</f>
        <v>0.50702499473309315</v>
      </c>
      <c r="AU23" s="205">
        <f>'Bilan 2020'!$G$27*(1-SUM('Bilan 2020'!$K$26:$P$34)/'Bilan 2020'!$H$30)+'Bilan 2020'!$G$44</f>
        <v>18.464273236074014</v>
      </c>
      <c r="AV23" s="205">
        <f>'Bilan 2023 réel'!$G$27*(1-SUM('Bilan 2023 réel'!$K$26:$P$34)/'Bilan 2023 réel'!$H$30)+'Bilan 2023 réel'!$G$44</f>
        <v>20.098088587773677</v>
      </c>
      <c r="AW23" s="205">
        <f>'Bilan 2025'!$G$27*(1-SUM('Bilan 2025'!$K$26:$P$34)/'Bilan 2025'!$H$30)+'Bilan 2025'!$G$44</f>
        <v>12.159489633199769</v>
      </c>
      <c r="AX23" s="205">
        <f>'Bilan 2028'!$G$27*(1-SUM('Bilan 2028'!$K$26:$P$34)/'Bilan 2028'!$H$30)+'Bilan 2028'!$G$44</f>
        <v>12.15470918188735</v>
      </c>
      <c r="AY23" s="205">
        <f>'Bilan 2030'!$G$27*(1-SUM('Bilan 2030'!$K$26:$P$34)/'Bilan 2030'!$H$30)+'Bilan 2030'!$G$44</f>
        <v>12.141515473561023</v>
      </c>
      <c r="AZ23" s="205">
        <f>'Bilan 2033'!$G$27*(1-SUM('Bilan 2033'!$K$26:$P$34)/'Bilan 2033'!$H$30)+'Bilan 2033'!$G$44</f>
        <v>12.020831753713114</v>
      </c>
      <c r="BA23" s="205">
        <f>'Bilan 2035'!$G$27*(1-SUM('Bilan 2035'!$K$26:$P$34)/'Bilan 2035'!$H$30)+'Bilan 2035'!$G$44</f>
        <v>11.939096178390566</v>
      </c>
      <c r="BB23" s="205">
        <f>'Bilan 2038'!$G$27*(1-SUM('Bilan 2038'!$K$26:$P$34)/'Bilan 2038'!$H$30)+'Bilan 2038'!$G$44</f>
        <v>11.888652356335413</v>
      </c>
      <c r="BC23" s="205">
        <f>'Bilan 2040'!$G$27*(1-SUM('Bilan 2040'!$K$26:$P$34)/'Bilan 2040'!$H$30)+'Bilan 2040'!$G$44</f>
        <v>11.852412128045202</v>
      </c>
      <c r="BD23" s="205">
        <f>'Bilan 2045'!$G$27*(1-SUM('Bilan 2045'!$K$26:$P$34)/'Bilan 2045'!$H$30)+'Bilan 2045'!$G$44</f>
        <v>11.792204952840969</v>
      </c>
      <c r="BE23" s="205">
        <f>'Bilan 2050'!$G$27*(1-SUM('Bilan 2050'!$K$26:$P$34)/'Bilan 2050'!$H$30)+'Bilan 2050'!$G$44</f>
        <v>11.764838586154534</v>
      </c>
      <c r="BF23" s="216"/>
      <c r="BG23" s="205" t="s">
        <v>249</v>
      </c>
      <c r="BH23" s="202">
        <f t="shared" si="106"/>
        <v>0.43333686262080229</v>
      </c>
      <c r="BI23" s="202">
        <f t="shared" si="106"/>
        <v>0</v>
      </c>
      <c r="BJ23" s="202">
        <f t="shared" si="106"/>
        <v>0</v>
      </c>
      <c r="BK23" s="202">
        <f t="shared" si="106"/>
        <v>0</v>
      </c>
      <c r="BL23" s="202">
        <f t="shared" si="106"/>
        <v>0</v>
      </c>
      <c r="BM23" s="202">
        <f t="shared" si="106"/>
        <v>0</v>
      </c>
      <c r="BN23" s="202">
        <f t="shared" si="106"/>
        <v>0</v>
      </c>
      <c r="BO23" s="202">
        <f t="shared" si="106"/>
        <v>0</v>
      </c>
      <c r="BP23" s="202">
        <f t="shared" si="106"/>
        <v>0</v>
      </c>
      <c r="BQ23" s="202">
        <f t="shared" si="106"/>
        <v>0</v>
      </c>
      <c r="BR23" s="202">
        <f t="shared" si="106"/>
        <v>0</v>
      </c>
      <c r="BS23" s="202">
        <f t="shared" si="106"/>
        <v>0</v>
      </c>
      <c r="BU23" s="205" t="s">
        <v>249</v>
      </c>
      <c r="BV23" s="208">
        <f>'Bilan 2015'!$E$28</f>
        <v>0.52120198248997962</v>
      </c>
      <c r="BW23" s="208">
        <f>'Bilan 2020'!$E$28</f>
        <v>0</v>
      </c>
      <c r="BX23" s="208">
        <f>'Bilan 2023 réel'!$E$28</f>
        <v>0</v>
      </c>
      <c r="BY23" s="208">
        <f>'Bilan 2025'!$E$28</f>
        <v>0</v>
      </c>
      <c r="BZ23" s="208">
        <f>'Bilan 2028'!$E$28</f>
        <v>0</v>
      </c>
      <c r="CA23" s="208">
        <f>'Bilan 2030'!$E$28</f>
        <v>0</v>
      </c>
      <c r="CB23" s="208">
        <f>'Bilan 2033'!$E$28</f>
        <v>0</v>
      </c>
      <c r="CC23" s="208">
        <f>'Bilan 2035'!$E$28</f>
        <v>0</v>
      </c>
      <c r="CD23" s="208">
        <f>'Bilan 2038'!$E$28</f>
        <v>0</v>
      </c>
      <c r="CE23" s="208">
        <f>'Bilan 2040'!$E$28</f>
        <v>0</v>
      </c>
      <c r="CF23" s="208">
        <f>'Bilan 2045'!$E$28</f>
        <v>0</v>
      </c>
      <c r="CG23" s="208">
        <f>'Bilan 2050'!$E$28</f>
        <v>0</v>
      </c>
      <c r="CH23" s="206"/>
      <c r="CJ23" s="205" t="s">
        <v>249</v>
      </c>
      <c r="CK23" s="202">
        <f t="shared" si="107"/>
        <v>0.32765886659483318</v>
      </c>
      <c r="CL23" s="202">
        <f t="shared" si="107"/>
        <v>0</v>
      </c>
      <c r="CM23" s="202">
        <f t="shared" si="107"/>
        <v>0</v>
      </c>
      <c r="CN23" s="202">
        <f t="shared" si="107"/>
        <v>0</v>
      </c>
      <c r="CO23" s="202">
        <f t="shared" si="107"/>
        <v>0</v>
      </c>
      <c r="CP23" s="202">
        <f t="shared" si="107"/>
        <v>0</v>
      </c>
      <c r="CQ23" s="202">
        <f t="shared" si="107"/>
        <v>0</v>
      </c>
      <c r="CR23" s="202">
        <f t="shared" si="107"/>
        <v>0</v>
      </c>
      <c r="CS23" s="202">
        <f t="shared" si="107"/>
        <v>0</v>
      </c>
      <c r="CT23" s="202">
        <f t="shared" si="107"/>
        <v>0</v>
      </c>
      <c r="CU23" s="202">
        <f t="shared" si="107"/>
        <v>0</v>
      </c>
      <c r="CV23" s="202">
        <f t="shared" si="107"/>
        <v>0</v>
      </c>
      <c r="CY23" s="205" t="s">
        <v>249</v>
      </c>
      <c r="CZ23" s="207"/>
      <c r="DA23" s="202">
        <f>'Bilan 2015'!$K$30*'Bilan 2015'!$G$28/'Bilan 2015'!$H$30</f>
        <v>0.3940962922397101</v>
      </c>
      <c r="DB23" s="202">
        <f>'Bilan 2020'!$K$30*'Bilan 2020'!$G$28/'Bilan 2020'!$H$30</f>
        <v>0</v>
      </c>
      <c r="DC23" s="202">
        <f>'Bilan 2023 réel'!$K$30*'Bilan 2023 réel'!$G$28/'Bilan 2023 réel'!$H$30</f>
        <v>0</v>
      </c>
      <c r="DD23" s="202">
        <f>'Bilan 2025'!$K$30*'Bilan 2025'!$G$28/'Bilan 2025'!$H$30</f>
        <v>0</v>
      </c>
      <c r="DE23" s="202">
        <f>'Bilan 2028'!$K$30*'Bilan 2028'!$G$28/'Bilan 2028'!$H$30</f>
        <v>0</v>
      </c>
      <c r="DF23" s="202">
        <f>'Bilan 2030'!$K$30*'Bilan 2030'!$G$28/'Bilan 2030'!$H$30</f>
        <v>0</v>
      </c>
      <c r="DG23" s="202">
        <f>'Bilan 2033'!$K$30*'Bilan 2033'!$G$28/'Bilan 2033'!$H$30</f>
        <v>0</v>
      </c>
      <c r="DH23" s="202">
        <f>'Bilan 2035'!$K$30*'Bilan 2035'!$G$28/'Bilan 2035'!$H$30</f>
        <v>0</v>
      </c>
      <c r="DI23" s="202">
        <f>'Bilan 2038'!$K$30*'Bilan 2038'!$G$28/'Bilan 2038'!$H$30</f>
        <v>0</v>
      </c>
      <c r="DJ23" s="202">
        <f>'Bilan 2040'!$K$30*'Bilan 2040'!$G$28/'Bilan 2040'!$H$30</f>
        <v>0</v>
      </c>
      <c r="DK23" s="202">
        <f>'Bilan 2045'!$K$30*'Bilan 2045'!$G$28/'Bilan 2045'!$H$30</f>
        <v>0</v>
      </c>
      <c r="DL23" s="202">
        <f>'Bilan 2050'!$K$30*'Bilan 2050'!$G$28/'Bilan 2050'!$H$30</f>
        <v>0</v>
      </c>
    </row>
    <row r="24" spans="1:116" ht="15" x14ac:dyDescent="0.25">
      <c r="A24" s="211"/>
      <c r="B24" s="212"/>
      <c r="C24" s="212"/>
      <c r="D24" s="577"/>
      <c r="E24" s="212"/>
      <c r="F24" s="212"/>
      <c r="G24" s="212"/>
      <c r="H24" s="212"/>
      <c r="I24" s="212"/>
      <c r="J24" s="212"/>
      <c r="K24" s="212"/>
      <c r="L24" s="212"/>
      <c r="M24" s="577"/>
      <c r="N24" s="573"/>
      <c r="O24" s="573"/>
      <c r="P24" s="573"/>
      <c r="Q24" s="562"/>
      <c r="R24" s="562"/>
      <c r="S24" s="562"/>
      <c r="T24" s="562"/>
      <c r="U24" s="562"/>
      <c r="V24" s="562"/>
      <c r="W24" s="562"/>
      <c r="X24" s="562"/>
      <c r="Y24" s="562"/>
      <c r="Z24" s="562"/>
      <c r="AA24" s="562"/>
      <c r="AB24" s="562"/>
      <c r="AC24" s="562"/>
      <c r="AE24" s="205" t="s">
        <v>296</v>
      </c>
      <c r="AF24" s="205">
        <f>'Bilan 2015'!$G$39+'Bilan 2015'!$G$30*(1-SUM('Bilan 2015'!$K$26:$P$34)/'Bilan 2015'!$H$30)</f>
        <v>0.22159316873649407</v>
      </c>
      <c r="AG24" s="205">
        <f>'Bilan 2020'!$G$39+'Bilan 2020'!$G$30*(1-SUM('Bilan 2020'!$K$26:$P$34)/'Bilan 2020'!$H$30)</f>
        <v>4.6323187978302887</v>
      </c>
      <c r="AH24" s="205">
        <f>'Bilan 2023 réel'!$G$39+'Bilan 2023 réel'!$G$30*(1-SUM('Bilan 2023 réel'!$K$26:$P$34)/'Bilan 2023 réel'!$H$30)</f>
        <v>7.0974102287322296</v>
      </c>
      <c r="AI24" s="205">
        <f>'Bilan 2025'!$G$39+'Bilan 2025'!$G$30*(1-SUM('Bilan 2025'!$K$26:$P$34)/'Bilan 2025'!$H$30)</f>
        <v>4.4509957767986617</v>
      </c>
      <c r="AJ24" s="205">
        <f>'Bilan 2028'!$G$39+'Bilan 2028'!$G$30*(1-SUM('Bilan 2028'!$K$26:$P$34)/'Bilan 2028'!$H$30)</f>
        <v>4.5922251790152506</v>
      </c>
      <c r="AK24" s="205">
        <f>'Bilan 2030'!$G$39+'Bilan 2030'!$G$30*(1-SUM('Bilan 2030'!$K$26:$P$34)/'Bilan 2030'!$H$30)</f>
        <v>4.685552279204539</v>
      </c>
      <c r="AL24" s="205">
        <f>'Bilan 2033'!$G$39+'Bilan 2033'!$G$30*(1-SUM('Bilan 2033'!$K$26:$P$34)/'Bilan 2033'!$H$30)</f>
        <v>4.6507062165309998</v>
      </c>
      <c r="AM24" s="205">
        <f>'Bilan 2035'!$G$39+'Bilan 2035'!$G$30*(1-SUM('Bilan 2035'!$K$26:$P$34)/'Bilan 2035'!$H$30)</f>
        <v>4.6275784708345755</v>
      </c>
      <c r="AN24" s="205">
        <f>'Bilan 2038'!$G$39+'Bilan 2038'!$G$30*(1-SUM('Bilan 2038'!$K$26:$P$34)/'Bilan 2038'!$H$30)</f>
        <v>4.6185720848210758</v>
      </c>
      <c r="AO24" s="205">
        <f>'Bilan 2040'!$G$39+'Bilan 2040'!$G$30*(1-SUM('Bilan 2040'!$K$26:$P$34)/'Bilan 2040'!$H$30)</f>
        <v>4.6124284464319789</v>
      </c>
      <c r="AP24" s="205">
        <f>'Bilan 2045'!$G$39+'Bilan 2045'!$G$30*(1-SUM('Bilan 2045'!$K$26:$P$34)/'Bilan 2045'!$H$30)</f>
        <v>4.6159834384406038</v>
      </c>
      <c r="AQ24" s="205">
        <f>'Bilan 2050'!$G$39+'Bilan 2050'!$G$30*(1-SUM('Bilan 2050'!$K$26:$P$34)/'Bilan 2050'!$H$30)</f>
        <v>4.6190638406877156</v>
      </c>
      <c r="AR24" s="206"/>
      <c r="AS24" s="205" t="s">
        <v>296</v>
      </c>
      <c r="AT24" s="205">
        <f>'Bilan 2015'!$G$39+'Bilan 2015'!$G$30*(1-SUM('Bilan 2015'!$K$26:$P$34)/'Bilan 2015'!$H$30)</f>
        <v>0.22159316873649407</v>
      </c>
      <c r="AU24" s="205">
        <f>'Bilan 2020'!$G$39+'Bilan 2020'!$G$30*(1-SUM('Bilan 2020'!$K$26:$P$34)/'Bilan 2020'!$H$30)</f>
        <v>4.6323187978302887</v>
      </c>
      <c r="AV24" s="205">
        <f>'Bilan 2023 réel'!$G$39+'Bilan 2023 réel'!$G$30*(1-SUM('Bilan 2023 réel'!$K$26:$P$34)/'Bilan 2023 réel'!$H$30)</f>
        <v>7.0974102287322296</v>
      </c>
      <c r="AW24" s="205">
        <f>'Bilan 2025'!$G$39+'Bilan 2025'!$G$30*(1-SUM('Bilan 2025'!$K$26:$P$34)/'Bilan 2025'!$H$30)</f>
        <v>4.4509957767986617</v>
      </c>
      <c r="AX24" s="205">
        <f>'Bilan 2028'!$G$39+'Bilan 2028'!$G$30*(1-SUM('Bilan 2028'!$K$26:$P$34)/'Bilan 2028'!$H$30)</f>
        <v>4.5922251790152506</v>
      </c>
      <c r="AY24" s="205">
        <f>'Bilan 2030'!$G$39+'Bilan 2030'!$G$30*(1-SUM('Bilan 2030'!$K$26:$P$34)/'Bilan 2030'!$H$30)</f>
        <v>4.685552279204539</v>
      </c>
      <c r="AZ24" s="205">
        <f>'Bilan 2033'!$G$39+'Bilan 2033'!$G$30*(1-SUM('Bilan 2033'!$K$26:$P$34)/'Bilan 2033'!$H$30)</f>
        <v>4.6507062165309998</v>
      </c>
      <c r="BA24" s="205">
        <f>'Bilan 2035'!$G$39+'Bilan 2035'!$G$30*(1-SUM('Bilan 2035'!$K$26:$P$34)/'Bilan 2035'!$H$30)</f>
        <v>4.6275784708345755</v>
      </c>
      <c r="BB24" s="205">
        <f>'Bilan 2038'!$G$39+'Bilan 2038'!$G$30*(1-SUM('Bilan 2038'!$K$26:$P$34)/'Bilan 2038'!$H$30)</f>
        <v>4.6185720848210758</v>
      </c>
      <c r="BC24" s="205">
        <f>'Bilan 2040'!$G$39+'Bilan 2040'!$G$30*(1-SUM('Bilan 2040'!$K$26:$P$34)/'Bilan 2040'!$H$30)</f>
        <v>4.6124284464319789</v>
      </c>
      <c r="BD24" s="205">
        <f>'Bilan 2045'!$G$39+'Bilan 2045'!$G$30*(1-SUM('Bilan 2045'!$K$26:$P$34)/'Bilan 2045'!$H$30)</f>
        <v>4.6159834384406038</v>
      </c>
      <c r="BE24" s="205">
        <f>'Bilan 2050'!$G$39+'Bilan 2050'!$G$30*(1-SUM('Bilan 2050'!$K$26:$P$34)/'Bilan 2050'!$H$30)</f>
        <v>4.6190638406877156</v>
      </c>
      <c r="BF24" s="216"/>
      <c r="BG24" s="203" t="s">
        <v>613</v>
      </c>
      <c r="BH24" s="202">
        <f t="shared" si="106"/>
        <v>0</v>
      </c>
      <c r="BI24" s="202">
        <f t="shared" si="106"/>
        <v>8.0549113865217709E-3</v>
      </c>
      <c r="BJ24" s="202">
        <f t="shared" si="106"/>
        <v>0</v>
      </c>
      <c r="BK24" s="202">
        <f t="shared" si="106"/>
        <v>0</v>
      </c>
      <c r="BL24" s="202">
        <f t="shared" si="106"/>
        <v>0</v>
      </c>
      <c r="BM24" s="202">
        <f t="shared" si="106"/>
        <v>0</v>
      </c>
      <c r="BN24" s="202">
        <f t="shared" si="106"/>
        <v>0</v>
      </c>
      <c r="BO24" s="202">
        <f t="shared" si="106"/>
        <v>0</v>
      </c>
      <c r="BP24" s="202">
        <f t="shared" si="106"/>
        <v>0</v>
      </c>
      <c r="BQ24" s="202">
        <f t="shared" si="106"/>
        <v>0</v>
      </c>
      <c r="BR24" s="202">
        <f t="shared" si="106"/>
        <v>0</v>
      </c>
      <c r="BS24" s="202">
        <f t="shared" si="106"/>
        <v>0</v>
      </c>
      <c r="BU24" s="203" t="s">
        <v>613</v>
      </c>
      <c r="BV24" s="208">
        <f>+'Bilan 2015'!$E$40</f>
        <v>0</v>
      </c>
      <c r="BW24" s="208">
        <f>+'Bilan 2020'!$E$40</f>
        <v>0.25705111111111101</v>
      </c>
      <c r="BX24" s="208">
        <f>+'Bilan 2023 réel'!$E$40</f>
        <v>0</v>
      </c>
      <c r="BY24" s="208">
        <f>+'Bilan 2025'!$E$40</f>
        <v>0</v>
      </c>
      <c r="BZ24" s="208">
        <f>+'Bilan 2028'!$E$40</f>
        <v>0</v>
      </c>
      <c r="CA24" s="208">
        <f>+'Bilan 2030'!$E$40</f>
        <v>0</v>
      </c>
      <c r="CB24" s="208">
        <f>+'Bilan 2033'!$E$40</f>
        <v>0</v>
      </c>
      <c r="CC24" s="208">
        <f>+'Bilan 2035'!$E$40</f>
        <v>0</v>
      </c>
      <c r="CD24" s="208">
        <f>+'Bilan 2038'!$E$40</f>
        <v>0</v>
      </c>
      <c r="CE24" s="208">
        <f>+'Bilan 2040'!$E$40</f>
        <v>0</v>
      </c>
      <c r="CF24" s="208">
        <f>+'Bilan 2045'!$E$40</f>
        <v>0</v>
      </c>
      <c r="CG24" s="208">
        <f>+'Bilan 2050'!$E$40</f>
        <v>0</v>
      </c>
      <c r="CJ24" s="203" t="s">
        <v>613</v>
      </c>
      <c r="CK24" s="202">
        <f t="shared" si="107"/>
        <v>0</v>
      </c>
      <c r="CL24" s="202">
        <f t="shared" si="107"/>
        <v>0</v>
      </c>
      <c r="CM24" s="202">
        <f t="shared" si="107"/>
        <v>0</v>
      </c>
      <c r="CN24" s="202">
        <f t="shared" si="107"/>
        <v>0</v>
      </c>
      <c r="CO24" s="202">
        <f t="shared" si="107"/>
        <v>0</v>
      </c>
      <c r="CP24" s="202">
        <f t="shared" si="107"/>
        <v>0</v>
      </c>
      <c r="CQ24" s="202">
        <f t="shared" si="107"/>
        <v>0</v>
      </c>
      <c r="CR24" s="202">
        <f t="shared" si="107"/>
        <v>0</v>
      </c>
      <c r="CS24" s="202">
        <f t="shared" si="107"/>
        <v>0</v>
      </c>
      <c r="CT24" s="202">
        <f t="shared" si="107"/>
        <v>0</v>
      </c>
      <c r="CU24" s="202">
        <f t="shared" si="107"/>
        <v>0</v>
      </c>
      <c r="CV24" s="202">
        <f t="shared" si="107"/>
        <v>0</v>
      </c>
      <c r="CX24" s="193">
        <f>CX22+1</f>
        <v>2406</v>
      </c>
      <c r="CY24" s="203" t="s">
        <v>613</v>
      </c>
      <c r="CZ24" s="207" t="s">
        <v>292</v>
      </c>
      <c r="DA24" s="202">
        <f>'Bilan 2015'!$K$30*'Bilan 2015'!$G$31/'Bilan 2015'!$H$30</f>
        <v>0</v>
      </c>
      <c r="DB24" s="202">
        <f>'Bilan 2020'!$K$30*'Bilan 2020'!$G$31/'Bilan 2020'!$H$30</f>
        <v>0</v>
      </c>
      <c r="DC24" s="202">
        <f>'Bilan 2023 réel'!$K$30*'Bilan 2023 réel'!$G$31/'Bilan 2023 réel'!$H$30</f>
        <v>0</v>
      </c>
      <c r="DD24" s="202">
        <f>'Bilan 2025'!$K$30*'Bilan 2025'!$G$31/'Bilan 2025'!$H$30</f>
        <v>0</v>
      </c>
      <c r="DE24" s="202">
        <f>'Bilan 2028'!$K$30*'Bilan 2028'!$G$31/'Bilan 2028'!$H$30</f>
        <v>0</v>
      </c>
      <c r="DF24" s="202">
        <f>'Bilan 2030'!$K$30*'Bilan 2030'!$G$31/'Bilan 2030'!$H$30</f>
        <v>0</v>
      </c>
      <c r="DG24" s="202">
        <f>'Bilan 2033'!$K$30*'Bilan 2033'!$G$31/'Bilan 2033'!$H$30</f>
        <v>0</v>
      </c>
      <c r="DH24" s="202">
        <f>'Bilan 2035'!$K$30*'Bilan 2035'!$G$31/'Bilan 2035'!$H$30</f>
        <v>0</v>
      </c>
      <c r="DI24" s="202">
        <f>'Bilan 2038'!$K$30*'Bilan 2038'!$G$31/'Bilan 2038'!$H$30</f>
        <v>0</v>
      </c>
      <c r="DJ24" s="202">
        <f>'Bilan 2040'!$K$30*'Bilan 2040'!$G$31/'Bilan 2040'!$H$30</f>
        <v>0</v>
      </c>
      <c r="DK24" s="202">
        <f>'Bilan 2045'!$K$30*'Bilan 2045'!$G$31/'Bilan 2045'!$H$30</f>
        <v>0</v>
      </c>
      <c r="DL24" s="202">
        <f>'Bilan 2050'!$K$30*'Bilan 2050'!$G$31/'Bilan 2050'!$H$30</f>
        <v>0</v>
      </c>
    </row>
    <row r="25" spans="1:116" ht="12.75" x14ac:dyDescent="0.2">
      <c r="A25" s="209" t="s">
        <v>299</v>
      </c>
      <c r="B25" s="210"/>
      <c r="C25" s="210"/>
      <c r="D25" s="576"/>
      <c r="E25" s="210"/>
      <c r="F25" s="210"/>
      <c r="G25" s="210"/>
      <c r="H25" s="210"/>
      <c r="I25" s="210"/>
      <c r="J25" s="210"/>
      <c r="K25" s="210"/>
      <c r="L25" s="210"/>
      <c r="M25" s="576"/>
      <c r="N25" s="573"/>
      <c r="O25" s="573"/>
      <c r="P25" s="573"/>
      <c r="R25" s="216">
        <f>R2-'Bilan 2015'!$C$5</f>
        <v>1.5924045611399151E-2</v>
      </c>
      <c r="S25" s="215">
        <f>S2-'Bilan 2020'!$C$5</f>
        <v>1.0000000000218279E-2</v>
      </c>
      <c r="T25" s="215">
        <f>T2-'Bilan 2023'!$C$5</f>
        <v>-99.561878307697043</v>
      </c>
      <c r="U25" s="216">
        <f>U2-'Bilan 2025'!$C$5</f>
        <v>1.010000000042055E-2</v>
      </c>
      <c r="V25" s="216">
        <f>V2-'Bilan 2028'!$C$5</f>
        <v>1.010000000042055E-2</v>
      </c>
      <c r="W25" s="216">
        <f>W2-'Bilan 2030'!$C$5</f>
        <v>1.0099999999965803E-2</v>
      </c>
      <c r="X25" s="216">
        <f>X2-'Bilan 2033'!$C$5</f>
        <v>1.0099999999965803E-2</v>
      </c>
      <c r="Y25" s="216">
        <f>Y2-'Bilan 2035'!$C$5</f>
        <v>1.0100000000875298E-2</v>
      </c>
      <c r="Z25" s="216">
        <f>Z2-'Bilan 2038'!$C$5</f>
        <v>1.0099999999056308E-2</v>
      </c>
      <c r="AA25" s="216">
        <f>AA2-'Bilan 2040'!$C$5</f>
        <v>1.010000000042055E-2</v>
      </c>
      <c r="AB25" s="216">
        <f>AB2-'Bilan 2045'!$C$5</f>
        <v>1.0099999999965803E-2</v>
      </c>
      <c r="AC25" s="216">
        <f>AC2-'Bilan 2050'!$C$5</f>
        <v>1.0200000000168075E-2</v>
      </c>
      <c r="AD25" s="193">
        <f>AD23+1</f>
        <v>2406</v>
      </c>
      <c r="AE25" s="205" t="s">
        <v>249</v>
      </c>
      <c r="AF25" s="205">
        <f>+'Bilan 2015'!$G$28*(1-SUM('Bilan 2015'!$K$26:$P$34)/'Bilan 2015'!$H$30)</f>
        <v>1.19276400982315</v>
      </c>
      <c r="AG25" s="205">
        <f>+'Bilan 2020'!$G$28*(1-SUM('Bilan 2020'!$K$26:$P$34)/'Bilan 2020'!$H$30)</f>
        <v>0</v>
      </c>
      <c r="AH25" s="205">
        <f>+'Bilan 2023 réel'!$G$28*(1-SUM('Bilan 2023 réel'!$K$26:$P$34)/'Bilan 2023 réel'!$H$30)</f>
        <v>0</v>
      </c>
      <c r="AI25" s="205">
        <f>+'Bilan 2025'!$G$28*(1-SUM('Bilan 2025'!$K$26:$P$34)/'Bilan 2025'!$H$30)</f>
        <v>0</v>
      </c>
      <c r="AJ25" s="205">
        <f>+'Bilan 2028'!$G$28*(1-SUM('Bilan 2028'!$K$26:$P$34)/'Bilan 2028'!$H$30)</f>
        <v>0</v>
      </c>
      <c r="AK25" s="205">
        <f>+'Bilan 2030'!$G$28*(1-SUM('Bilan 2030'!$K$26:$P$34)/'Bilan 2030'!$H$30)</f>
        <v>0</v>
      </c>
      <c r="AL25" s="205">
        <f>+'Bilan 2033'!$G$28*(1-SUM('Bilan 2033'!$K$26:$P$34)/'Bilan 2033'!$H$30)</f>
        <v>0</v>
      </c>
      <c r="AM25" s="205">
        <f>+'Bilan 2035'!$G$28*(1-SUM('Bilan 2035'!$K$26:$P$34)/'Bilan 2035'!$H$30)</f>
        <v>0</v>
      </c>
      <c r="AN25" s="205">
        <f>+'Bilan 2038'!$G$28*(1-SUM('Bilan 2038'!$K$26:$P$34)/'Bilan 2038'!$H$30)</f>
        <v>0</v>
      </c>
      <c r="AO25" s="205">
        <f>+'Bilan 2040'!$G$28*(1-SUM('Bilan 2040'!$K$26:$P$34)/'Bilan 2040'!$H$30)</f>
        <v>0</v>
      </c>
      <c r="AP25" s="205">
        <f>+'Bilan 2045'!$G$28*(1-SUM('Bilan 2045'!$K$26:$P$34)/'Bilan 2045'!$H$30)</f>
        <v>0</v>
      </c>
      <c r="AQ25" s="205">
        <f>+'Bilan 2050'!$G$28*(1-SUM('Bilan 2050'!$K$26:$P$34)/'Bilan 2050'!$H$30)</f>
        <v>0</v>
      </c>
      <c r="AR25" s="206"/>
      <c r="AS25" s="205" t="s">
        <v>249</v>
      </c>
      <c r="AT25" s="205">
        <f>+'Bilan 2015'!$G$28*(1-SUM('Bilan 2015'!$K$26:$P$34)/'Bilan 2015'!$H$30)+0.01</f>
        <v>1.20276400982315</v>
      </c>
      <c r="AU25" s="205">
        <f>+'Bilan 2020'!$G$28*(1-SUM('Bilan 2020'!$K$26:$P$34)/'Bilan 2020'!$H$30)+0.01</f>
        <v>0.01</v>
      </c>
      <c r="AV25" s="205">
        <f>+'Bilan 2023 réel'!$G$28*(1-SUM('Bilan 2023 réel'!$K$26:$P$34)/'Bilan 2023 réel'!$H$30)+0.01</f>
        <v>0.01</v>
      </c>
      <c r="AW25" s="205">
        <f>+'Bilan 2025'!$G$28*(1-SUM('Bilan 2025'!$K$26:$P$34)/'Bilan 2025'!$H$30)+0.01</f>
        <v>0.01</v>
      </c>
      <c r="AX25" s="205">
        <f>+'Bilan 2028'!$G$28*(1-SUM('Bilan 2028'!$K$26:$P$34)/'Bilan 2028'!$H$30)+0.01</f>
        <v>0.01</v>
      </c>
      <c r="AY25" s="205">
        <f>+'Bilan 2030'!$G$28*(1-SUM('Bilan 2030'!$K$26:$P$34)/'Bilan 2030'!$H$30)+0.01</f>
        <v>0.01</v>
      </c>
      <c r="AZ25" s="205">
        <f>+'Bilan 2033'!$G$28*(1-SUM('Bilan 2033'!$K$26:$P$34)/'Bilan 2033'!$H$30)+0.01</f>
        <v>0.01</v>
      </c>
      <c r="BA25" s="205">
        <f>+'Bilan 2035'!$G$28*(1-SUM('Bilan 2035'!$K$26:$P$34)/'Bilan 2035'!$H$30)+0.01</f>
        <v>0.01</v>
      </c>
      <c r="BB25" s="205">
        <f>+'Bilan 2038'!$G$28*(1-SUM('Bilan 2038'!$K$26:$P$34)/'Bilan 2038'!$H$30)+0.01</f>
        <v>0.01</v>
      </c>
      <c r="BC25" s="205">
        <f>+'Bilan 2040'!$G$28*(1-SUM('Bilan 2040'!$K$26:$P$34)/'Bilan 2040'!$H$30)+0.01</f>
        <v>0.01</v>
      </c>
      <c r="BD25" s="205">
        <f>+'Bilan 2045'!$G$28*(1-SUM('Bilan 2045'!$K$26:$P$34)/'Bilan 2045'!$H$30)+0.01</f>
        <v>0.01</v>
      </c>
      <c r="BE25" s="205">
        <f>+'Bilan 2050'!$G$28*(1-SUM('Bilan 2050'!$K$26:$P$34)/'Bilan 2050'!$H$30)+0.01</f>
        <v>0.01</v>
      </c>
      <c r="BG25" s="205" t="s">
        <v>42</v>
      </c>
      <c r="BH25" s="202">
        <f>BV25/AT27</f>
        <v>9.3073143713894631E-3</v>
      </c>
      <c r="BI25" s="202">
        <f t="shared" ref="BI25:BR25" si="114">BW25/AU27</f>
        <v>5.1069004756729925E-3</v>
      </c>
      <c r="BJ25" s="202">
        <f t="shared" si="114"/>
        <v>2.5596441226337051E-3</v>
      </c>
      <c r="BK25" s="202">
        <f t="shared" si="114"/>
        <v>2.8385727328041104E-4</v>
      </c>
      <c r="BL25" s="202">
        <f t="shared" si="114"/>
        <v>1.0973045786222732E-4</v>
      </c>
      <c r="BM25" s="202">
        <f t="shared" si="114"/>
        <v>0</v>
      </c>
      <c r="BN25" s="202">
        <f t="shared" si="114"/>
        <v>0</v>
      </c>
      <c r="BO25" s="202">
        <f t="shared" si="114"/>
        <v>0</v>
      </c>
      <c r="BP25" s="202">
        <f t="shared" si="114"/>
        <v>0</v>
      </c>
      <c r="BQ25" s="202">
        <f t="shared" si="114"/>
        <v>0</v>
      </c>
      <c r="BR25" s="202">
        <f t="shared" si="114"/>
        <v>0</v>
      </c>
      <c r="BS25" s="202">
        <f>CG25/BE27</f>
        <v>0</v>
      </c>
      <c r="BU25" s="205" t="s">
        <v>42</v>
      </c>
      <c r="BV25" s="208">
        <f>'Bilan 2015'!$E$34+'Bilan 2015'!$E$46</f>
        <v>4.1326852404115884E-2</v>
      </c>
      <c r="BW25" s="208">
        <f>'Bilan 2020'!$E$34+'Bilan 2020'!$E$46</f>
        <v>0.19734848511513534</v>
      </c>
      <c r="BX25" s="208">
        <f>'Bilan 2023 réel'!$E$34+'Bilan 2023 réel'!$E$46</f>
        <v>0.11727842648016122</v>
      </c>
      <c r="BY25" s="208">
        <f>'Bilan 2025'!$E$34+'Bilan 2025'!$E$46</f>
        <v>1.3933483203833898E-2</v>
      </c>
      <c r="BZ25" s="208">
        <f>'Bilan 2028'!$E$34+'Bilan 2028'!$E$46</f>
        <v>5.2050962193700163E-3</v>
      </c>
      <c r="CA25" s="208">
        <f>'Bilan 2030'!$E$34+'Bilan 2030'!$E$46</f>
        <v>0</v>
      </c>
      <c r="CB25" s="208">
        <f>'Bilan 2033'!$E$34+'Bilan 2033'!$E$46</f>
        <v>0</v>
      </c>
      <c r="CC25" s="208">
        <f>'Bilan 2035'!$E$34+'Bilan 2035'!$E$46</f>
        <v>0</v>
      </c>
      <c r="CD25" s="208">
        <f>'Bilan 2038'!$E$34+'Bilan 2038'!$E$46</f>
        <v>0</v>
      </c>
      <c r="CE25" s="208">
        <f>'Bilan 2040'!$E$34+'Bilan 2040'!$E$46</f>
        <v>0</v>
      </c>
      <c r="CF25" s="208">
        <f>'Bilan 2045'!$E$34+'Bilan 2045'!$E$46</f>
        <v>0</v>
      </c>
      <c r="CG25" s="208">
        <f>'Bilan 2050'!$E$34+'Bilan 2050'!$E$46</f>
        <v>0</v>
      </c>
      <c r="CJ25" s="205" t="s">
        <v>42</v>
      </c>
      <c r="CK25" s="202">
        <f t="shared" ref="CK25:CV25" si="115">IF(AT27&gt;0,DA22/AT27,0)</f>
        <v>2.375766302460479E-3</v>
      </c>
      <c r="CL25" s="202">
        <f t="shared" si="115"/>
        <v>7.5632505033482516E-3</v>
      </c>
      <c r="CM25" s="202">
        <f t="shared" si="115"/>
        <v>8.0094551460426818E-3</v>
      </c>
      <c r="CN25" s="202">
        <f t="shared" si="115"/>
        <v>3.2830420057550895E-3</v>
      </c>
      <c r="CO25" s="202">
        <f t="shared" si="115"/>
        <v>3.3124387649709993E-3</v>
      </c>
      <c r="CP25" s="202">
        <f t="shared" si="115"/>
        <v>3.3308322982263483E-3</v>
      </c>
      <c r="CQ25" s="202">
        <f t="shared" si="115"/>
        <v>3.2966801587493164E-3</v>
      </c>
      <c r="CR25" s="202">
        <f t="shared" si="115"/>
        <v>3.2772346309470264E-3</v>
      </c>
      <c r="CS25" s="202">
        <f t="shared" si="115"/>
        <v>3.2884301136250791E-3</v>
      </c>
      <c r="CT25" s="202">
        <f t="shared" si="115"/>
        <v>3.2980090569264945E-3</v>
      </c>
      <c r="CU25" s="202">
        <f t="shared" si="115"/>
        <v>3.3404954338705712E-3</v>
      </c>
      <c r="CV25" s="202">
        <f t="shared" si="115"/>
        <v>3.4136377621573869E-3</v>
      </c>
      <c r="CX25" s="559" t="s">
        <v>413</v>
      </c>
      <c r="CY25" s="202" t="s">
        <v>28</v>
      </c>
      <c r="CZ25" s="213" t="s">
        <v>294</v>
      </c>
      <c r="DA25" s="558">
        <f>'Bilan 2015'!$K$30*'Bilan 2015'!$G$34/'Bilan 2015'!$H$30</f>
        <v>3.1248460001229834E-2</v>
      </c>
      <c r="DB25" s="558">
        <f>'Bilan 2020'!$K$30*'Bilan 2020'!$G$34/'Bilan 2020'!$H$30</f>
        <v>0.12494649649466959</v>
      </c>
      <c r="DC25" s="202">
        <f>'Bilan 2023 réel'!$K$30*'Bilan 2023 réel'!$G$34/'Bilan 2023 réel'!$H$30</f>
        <v>9.0069591203560895E-2</v>
      </c>
      <c r="DD25" s="558">
        <f>'Bilan 2025'!$K$30*'Bilan 2025'!$G$34/'Bilan 2025'!$H$30</f>
        <v>8.4940627375404872E-3</v>
      </c>
      <c r="DE25" s="558">
        <f>'Bilan 2028'!$K$30*'Bilan 2028'!$G$34/'Bilan 2028'!$H$30</f>
        <v>3.426189914799442E-3</v>
      </c>
      <c r="DF25" s="558">
        <f>'Bilan 2030'!$K$30*'Bilan 2030'!$G$34/'Bilan 2030'!$H$30</f>
        <v>0</v>
      </c>
      <c r="DG25" s="558">
        <f>'Bilan 2033'!$K$30*'Bilan 2033'!$G$34/'Bilan 2033'!$H$30</f>
        <v>0</v>
      </c>
      <c r="DH25" s="558">
        <f>'Bilan 2035'!$K$30*'Bilan 2035'!$G$34/'Bilan 2035'!$H$30</f>
        <v>0</v>
      </c>
      <c r="DI25" s="558">
        <f>'Bilan 2038'!$K$30*'Bilan 2038'!$G$34/'Bilan 2038'!$H$30</f>
        <v>0</v>
      </c>
      <c r="DJ25" s="558">
        <f>'Bilan 2040'!$K$30*'Bilan 2040'!$G$34/'Bilan 2040'!$H$30</f>
        <v>0</v>
      </c>
      <c r="DK25" s="558">
        <f>'Bilan 2045'!$K$30*'Bilan 2045'!$G$34/'Bilan 2045'!$H$30</f>
        <v>0</v>
      </c>
      <c r="DL25" s="558">
        <f>'Bilan 2050'!$K$30*'Bilan 2050'!$G$34/'Bilan 2050'!$H$30</f>
        <v>0</v>
      </c>
    </row>
    <row r="26" spans="1:116" ht="12.75" x14ac:dyDescent="0.2">
      <c r="A26" s="211" t="s">
        <v>300</v>
      </c>
      <c r="B26" s="212"/>
      <c r="C26" s="212"/>
      <c r="D26" s="577"/>
      <c r="E26" s="212"/>
      <c r="F26" s="212"/>
      <c r="G26" s="212"/>
      <c r="H26" s="212"/>
      <c r="I26" s="212"/>
      <c r="J26" s="212"/>
      <c r="K26" s="212"/>
      <c r="L26" s="212"/>
      <c r="M26" s="577"/>
      <c r="N26" s="573"/>
      <c r="O26" s="573"/>
      <c r="P26" s="573"/>
      <c r="AE26" s="203" t="s">
        <v>613</v>
      </c>
      <c r="AF26" s="205">
        <f>'Bilan 2015'!$G$40+'Bilan 2015'!$G$38+'Bilan 2015'!$G$31*(1-SUM('Bilan 2015'!$K$26:$P$34)/'Bilan 2015'!$H$30)</f>
        <v>2.9060907908975984</v>
      </c>
      <c r="AG26" s="205">
        <f>'Bilan 2020'!$G$40+'Bilan 2020'!$G$38+'Bilan 2020'!$G$31*(1-SUM('Bilan 2020'!$K$26:$P$34)/'Bilan 2020'!$H$30)</f>
        <v>31.912344999999988</v>
      </c>
      <c r="AH26" s="205">
        <f>'Bilan 2023 réel'!$G$40+'Bilan 2023 réel'!$G$38+'Bilan 2023 réel'!$G$31*(1-SUM('Bilan 2023 réel'!$K$26:$P$34)/'Bilan 2023 réel'!$H$30)</f>
        <v>49.99968472222222</v>
      </c>
      <c r="AI26" s="205">
        <f>'Bilan 2025'!$G$40+'Bilan 2025'!$G$38+'Bilan 2025'!$G$31*(1-SUM('Bilan 2025'!$K$26:$P$34)/'Bilan 2025'!$H$30)</f>
        <v>39.319241851069634</v>
      </c>
      <c r="AJ26" s="205">
        <f>'Bilan 2028'!$G$40+'Bilan 2028'!$G$38+'Bilan 2028'!$G$31*(1-SUM('Bilan 2028'!$K$26:$P$34)/'Bilan 2028'!$H$30)</f>
        <v>45.31680426782367</v>
      </c>
      <c r="AK26" s="205">
        <f>'Bilan 2030'!$G$40+'Bilan 2030'!$G$38+'Bilan 2030'!$G$31*(1-SUM('Bilan 2030'!$K$26:$P$34)/'Bilan 2030'!$H$30)</f>
        <v>49.514351265721807</v>
      </c>
      <c r="AL26" s="205">
        <f>'Bilan 2033'!$G$40+'Bilan 2033'!$G$38+'Bilan 2033'!$G$31*(1-SUM('Bilan 2033'!$K$26:$P$34)/'Bilan 2033'!$H$30)</f>
        <v>54.409714472774652</v>
      </c>
      <c r="AM26" s="205">
        <f>'Bilan 2035'!$G$40+'Bilan 2035'!$G$38+'Bilan 2035'!$G$31*(1-SUM('Bilan 2035'!$K$26:$P$34)/'Bilan 2035'!$H$30)</f>
        <v>57.826394702164251</v>
      </c>
      <c r="AN26" s="205">
        <f>'Bilan 2038'!$G$40+'Bilan 2038'!$G$38+'Bilan 2038'!$G$31*(1-SUM('Bilan 2038'!$K$26:$P$34)/'Bilan 2038'!$H$30)</f>
        <v>60.832905155553725</v>
      </c>
      <c r="AO26" s="205">
        <f>'Bilan 2040'!$G$40+'Bilan 2040'!$G$38+'Bilan 2040'!$G$31*(1-SUM('Bilan 2040'!$K$26:$P$34)/'Bilan 2040'!$H$30)</f>
        <v>62.897832024028709</v>
      </c>
      <c r="AP26" s="205">
        <f>'Bilan 2045'!$G$40+'Bilan 2045'!$G$38+'Bilan 2045'!$G$31*(1-SUM('Bilan 2045'!$K$26:$P$34)/'Bilan 2045'!$H$30)</f>
        <v>67.964408038916218</v>
      </c>
      <c r="AQ26" s="205">
        <f>'Bilan 2050'!$G$40+'Bilan 2050'!$G$38+'Bilan 2050'!$G$31*(1-SUM('Bilan 2050'!$K$26:$P$34)/'Bilan 2050'!$H$30)</f>
        <v>75.083762899489528</v>
      </c>
      <c r="AS26" s="203" t="s">
        <v>613</v>
      </c>
      <c r="AT26" s="205">
        <f>'Bilan 2015'!$G$40+'Bilan 2015'!$G$38+'Bilan 2015'!$G$31*(1-SUM('Bilan 2015'!$K$26:$P$34)/'Bilan 2015'!$H$30)</f>
        <v>2.9060907908975984</v>
      </c>
      <c r="AU26" s="205">
        <f>'Bilan 2020'!$G$40+'Bilan 2020'!$G$38+'Bilan 2020'!$G$31*(1-SUM('Bilan 2020'!$K$26:$P$34)/'Bilan 2020'!$H$30)</f>
        <v>31.912344999999988</v>
      </c>
      <c r="AV26" s="205">
        <f>'Bilan 2023 réel'!$G$40+'Bilan 2023 réel'!$G$38+'Bilan 2023 réel'!$G$31*(1-SUM('Bilan 2023 réel'!$K$26:$P$34)/'Bilan 2023 réel'!$H$30)</f>
        <v>49.99968472222222</v>
      </c>
      <c r="AW26" s="205">
        <f>'Bilan 2025'!$G$40+'Bilan 2025'!$G$38+'Bilan 2025'!$G$31*(1-SUM('Bilan 2025'!$K$26:$P$34)/'Bilan 2025'!$H$30)</f>
        <v>39.319241851069634</v>
      </c>
      <c r="AX26" s="205">
        <f>'Bilan 2028'!$G$40+'Bilan 2028'!$G$38+'Bilan 2028'!$G$31*(1-SUM('Bilan 2028'!$K$26:$P$34)/'Bilan 2028'!$H$30)</f>
        <v>45.31680426782367</v>
      </c>
      <c r="AY26" s="205">
        <f>'Bilan 2030'!$G$40+'Bilan 2030'!$G$38+'Bilan 2030'!$G$31*(1-SUM('Bilan 2030'!$K$26:$P$34)/'Bilan 2030'!$H$30)</f>
        <v>49.514351265721807</v>
      </c>
      <c r="AZ26" s="205">
        <f>'Bilan 2033'!$G$40+'Bilan 2033'!$G$38+'Bilan 2033'!$G$31*(1-SUM('Bilan 2033'!$K$26:$P$34)/'Bilan 2033'!$H$30)</f>
        <v>54.409714472774652</v>
      </c>
      <c r="BA26" s="205">
        <f>'Bilan 2035'!$G$40+'Bilan 2035'!$G$38+'Bilan 2035'!$G$31*(1-SUM('Bilan 2035'!$K$26:$P$34)/'Bilan 2035'!$H$30)</f>
        <v>57.826394702164251</v>
      </c>
      <c r="BB26" s="205">
        <f>'Bilan 2038'!$G$40+'Bilan 2038'!$G$38+'Bilan 2038'!$G$31*(1-SUM('Bilan 2038'!$K$26:$P$34)/'Bilan 2038'!$H$30)</f>
        <v>60.832905155553725</v>
      </c>
      <c r="BC26" s="205">
        <f>'Bilan 2040'!$G$40+'Bilan 2040'!$G$38+'Bilan 2040'!$G$31*(1-SUM('Bilan 2040'!$K$26:$P$34)/'Bilan 2040'!$H$30)</f>
        <v>62.897832024028709</v>
      </c>
      <c r="BD26" s="205">
        <f>'Bilan 2045'!$G$40+'Bilan 2045'!$G$38+'Bilan 2045'!$G$31*(1-SUM('Bilan 2045'!$K$26:$P$34)/'Bilan 2045'!$H$30)</f>
        <v>67.964408038916218</v>
      </c>
      <c r="BE26" s="205">
        <f>'Bilan 2050'!$G$40+'Bilan 2050'!$G$38+'Bilan 2050'!$G$31*(1-SUM('Bilan 2050'!$K$26:$P$34)/'Bilan 2050'!$H$30)</f>
        <v>75.083762899489528</v>
      </c>
      <c r="BV26" s="215">
        <f>SUM(BV4:BV25)-SUM('Bilan 2015'!$E$7:$E$48)-'Bilan 2015'!$I$13</f>
        <v>1.4210854715202004E-14</v>
      </c>
      <c r="BW26" s="215">
        <f>SUM(BW4:BW25)-SUM('Bilan 2020'!$E$7:$E$48)-'Bilan 2020'!$I$13</f>
        <v>0</v>
      </c>
      <c r="BX26" s="215">
        <f>SUM(BX4:BX25)-SUM('Bilan 2023 réel'!$E$7:$E$48)-'Bilan 2023 réel'!$I$13</f>
        <v>-3.5106277331581737</v>
      </c>
      <c r="BY26" s="215">
        <f>SUM(BY4:BY25)-SUM('Bilan 2025'!$E$7:$E$48)-'Bilan 2025'!$I$13</f>
        <v>-1.2789769243681803E-13</v>
      </c>
      <c r="BZ26" s="215">
        <f>SUM(BZ4:BZ25)-SUM('Bilan 2028'!$E$7:$E$48)-'Bilan 2028'!$I$13</f>
        <v>2.3447910280083306E-13</v>
      </c>
      <c r="CA26" s="215">
        <f>SUM(CA4:CA25)-SUM('Bilan 2030'!$E$7:$E$48)-'Bilan 2030'!$I$13</f>
        <v>0</v>
      </c>
      <c r="CB26" s="215">
        <f>SUM(CB4:CB25)-SUM('Bilan 2033'!$E$7:$E$48)-'Bilan 2033'!$I$13</f>
        <v>0</v>
      </c>
      <c r="CC26" s="215">
        <f>SUM(CC4:CC25)-SUM('Bilan 2035'!$E$7:$E$48)-'Bilan 2035'!$I$13</f>
        <v>-9.2370555648813024E-14</v>
      </c>
      <c r="CD26" s="215">
        <f>SUM(CD4:CD25)-SUM('Bilan 2038'!$E$7:$E$48)-'Bilan 2038'!$I$13</f>
        <v>2.8421709430404007E-14</v>
      </c>
      <c r="CE26" s="215">
        <f>SUM(CE4:CE25)-SUM('Bilan 2040'!$E$7:$E$48)-'Bilan 2040'!$I$13</f>
        <v>-1.1723955140041653E-13</v>
      </c>
      <c r="CF26" s="215">
        <f>SUM(CF4:CF25)-SUM('Bilan 2045'!$E$7:$E$48)-'Bilan 2045'!$I$13</f>
        <v>-1.8829382497642655E-13</v>
      </c>
      <c r="CG26" s="215">
        <f>SUM(CG4:CG25)-SUM('Bilan 2050'!$E$7:$E$48)-'Bilan 2050'!$I$13</f>
        <v>1.3855583347321954E-13</v>
      </c>
      <c r="CZ26" s="563"/>
      <c r="DA26" s="564"/>
      <c r="DB26" s="564"/>
      <c r="DC26" s="564"/>
      <c r="DD26" s="564"/>
      <c r="DE26" s="564"/>
      <c r="DF26" s="564"/>
      <c r="DG26" s="564"/>
      <c r="DH26" s="564"/>
      <c r="DI26" s="564"/>
      <c r="DJ26" s="564"/>
      <c r="DK26" s="564"/>
      <c r="DL26" s="564"/>
    </row>
    <row r="27" spans="1:116" ht="12.75" x14ac:dyDescent="0.2">
      <c r="A27" s="209" t="s">
        <v>30</v>
      </c>
      <c r="B27" s="210"/>
      <c r="C27" s="210"/>
      <c r="D27" s="576"/>
      <c r="E27" s="210"/>
      <c r="F27" s="210"/>
      <c r="G27" s="210"/>
      <c r="H27" s="210"/>
      <c r="I27" s="210"/>
      <c r="J27" s="210"/>
      <c r="K27" s="210"/>
      <c r="L27" s="210"/>
      <c r="M27" s="576"/>
      <c r="N27" s="573"/>
      <c r="O27" s="573"/>
      <c r="P27" s="573"/>
      <c r="R27" s="193">
        <v>2015</v>
      </c>
      <c r="S27" s="194">
        <v>2020</v>
      </c>
      <c r="T27" s="194">
        <v>2023</v>
      </c>
      <c r="U27" s="195">
        <v>2025</v>
      </c>
      <c r="V27" s="195">
        <v>2028</v>
      </c>
      <c r="W27" s="195">
        <v>2030</v>
      </c>
      <c r="X27" s="195">
        <v>2033</v>
      </c>
      <c r="Y27" s="195">
        <v>2035</v>
      </c>
      <c r="Z27" s="195">
        <v>2038</v>
      </c>
      <c r="AA27" s="195">
        <v>2040</v>
      </c>
      <c r="AB27" s="195">
        <v>2045</v>
      </c>
      <c r="AC27" s="195">
        <v>2050</v>
      </c>
      <c r="AE27" s="201" t="s">
        <v>42</v>
      </c>
      <c r="AF27" s="201">
        <f>SUM('Bilan 2015'!$S$46:$W$46)+'Bilan 2015'!$G$34*(1-SUM('Bilan 2015'!$K$26:$P$34)/'Bilan 2015'!$H$30)</f>
        <v>1.2259365414426089</v>
      </c>
      <c r="AG27" s="201">
        <f>SUM('Bilan 2020'!$S$46:$W$46)+'Bilan 2020'!$G$34*(1-SUM('Bilan 2020'!$K$26:$P$34)/'Bilan 2020'!$H$30)</f>
        <v>10.848284650540085</v>
      </c>
      <c r="AH27" s="201">
        <f>SUM('Bilan 2023 réel'!$S$46:$W$46)+'Bilan 2023 réel'!$G$34*(1-SUM('Bilan 2023 réel'!$K$26:$P$34)/'Bilan 2023 réel'!$H$30)</f>
        <v>8.2739146355060456</v>
      </c>
      <c r="AI27" s="201">
        <f>SUM('Bilan 2025'!$S$46:$W$46)+'Bilan 2025'!$G$34*(1-SUM('Bilan 2025'!$K$26:$P$34)/'Bilan 2025'!$H$30)</f>
        <v>7.1854480468958997</v>
      </c>
      <c r="AJ27" s="201">
        <f>SUM('Bilan 2028'!$S$46:$W$46)+'Bilan 2028'!$G$34*(1-SUM('Bilan 2028'!$K$26:$P$34)/'Bilan 2028'!$H$30)</f>
        <v>6.7695294554224681</v>
      </c>
      <c r="AK27" s="201">
        <f>SUM('Bilan 2030'!$S$46:$W$46)+'Bilan 2030'!$G$34*(1-SUM('Bilan 2030'!$K$26:$P$34)/'Bilan 2030'!$H$30)</f>
        <v>6.5032741679727843</v>
      </c>
      <c r="AL27" s="201">
        <f>SUM('Bilan 2033'!$S$46:$W$46)+'Bilan 2033'!$G$34*(1-SUM('Bilan 2033'!$K$26:$P$34)/'Bilan 2033'!$H$30)</f>
        <v>6.3476756101286895</v>
      </c>
      <c r="AM27" s="201">
        <f>SUM('Bilan 2035'!$S$46:$W$46)+'Bilan 2035'!$G$34*(1-SUM('Bilan 2035'!$K$26:$P$34)/'Bilan 2035'!$H$30)</f>
        <v>6.2002081056415257</v>
      </c>
      <c r="AN27" s="201">
        <f>SUM('Bilan 2038'!$S$46:$W$46)+'Bilan 2038'!$G$34*(1-SUM('Bilan 2038'!$K$26:$P$34)/'Bilan 2038'!$H$30)</f>
        <v>5.7766123047996905</v>
      </c>
      <c r="AO27" s="201">
        <f>SUM('Bilan 2040'!$S$46:$W$46)+'Bilan 2040'!$G$34*(1-SUM('Bilan 2040'!$K$26:$P$34)/'Bilan 2040'!$H$30)</f>
        <v>5.4657298257742912</v>
      </c>
      <c r="AP27" s="201">
        <f>SUM('Bilan 2045'!$S$46:$W$46)+'Bilan 2045'!$G$34*(1-SUM('Bilan 2045'!$K$26:$P$34)/'Bilan 2045'!$H$30)</f>
        <v>4.6398193944555786</v>
      </c>
      <c r="AQ27" s="201">
        <f>SUM('Bilan 2050'!$S$46:$W$46)+'Bilan 2050'!$G$34*(1-SUM('Bilan 2050'!$K$26:$P$34)/'Bilan 2050'!$H$30)</f>
        <v>3.6733927919712848</v>
      </c>
      <c r="AS27" s="201" t="s">
        <v>42</v>
      </c>
      <c r="AT27" s="201">
        <f>SUM('Bilan 2015'!$S$46:$W$46)+'Bilan 2015'!$G$34*(1-SUM('Bilan 2015'!$K$26:$P$34)/'Bilan 2015'!$H$30)+'Bilan 2015'!$E$52</f>
        <v>4.4402553470369472</v>
      </c>
      <c r="AU27" s="201">
        <f>SUM('Bilan 2020'!$S$46:$W$46)+'Bilan 2020'!$G$34*(1-SUM('Bilan 2020'!$K$26:$P$34)/'Bilan 2020'!$H$30)+'Bilan 2020'!$E$52</f>
        <v>38.643495414726786</v>
      </c>
      <c r="AV27" s="201">
        <f>SUM('Bilan 2023 réel'!$S$46:$W$46)+'Bilan 2023 réel'!$G$34*(1-SUM('Bilan 2023 réel'!$K$26:$P$34)/'Bilan 2023 réel'!$H$30)+'Bilan 2023 réel'!$E$52</f>
        <v>45.818254749996044</v>
      </c>
      <c r="AW27" s="201">
        <f>SUM('Bilan 2025'!$S$46:$W$46)+'Bilan 2025'!$G$34*(1-SUM('Bilan 2025'!$K$26:$P$34)/'Bilan 2025'!$H$30)+'Bilan 2025'!$E$52</f>
        <v>49.086229296895894</v>
      </c>
      <c r="AX27" s="201">
        <f>SUM('Bilan 2028'!$S$46:$W$46)+'Bilan 2028'!$G$34*(1-SUM('Bilan 2028'!$K$26:$P$34)/'Bilan 2028'!$H$30)+'Bilan 2028'!$E$52</f>
        <v>47.435291174172477</v>
      </c>
      <c r="AY27" s="201">
        <f>SUM('Bilan 2030'!$S$46:$W$46)+'Bilan 2030'!$G$34*(1-SUM('Bilan 2030'!$K$26:$P$34)/'Bilan 2030'!$H$30)+'Bilan 2030'!$E$52</f>
        <v>46.346776121097783</v>
      </c>
      <c r="AZ27" s="201">
        <f>SUM('Bilan 2033'!$S$46:$W$46)+'Bilan 2033'!$G$34*(1-SUM('Bilan 2033'!$K$26:$P$34)/'Bilan 2033'!$H$30)+'Bilan 2033'!$E$52</f>
        <v>46.166677563253685</v>
      </c>
      <c r="BA27" s="201">
        <f>SUM('Bilan 2035'!$S$46:$W$46)+'Bilan 2035'!$G$34*(1-SUM('Bilan 2035'!$K$26:$P$34)/'Bilan 2035'!$H$30)+'Bilan 2035'!$E$52</f>
        <v>46.000479590016525</v>
      </c>
      <c r="BB27" s="201">
        <f>SUM('Bilan 2038'!$S$46:$W$46)+'Bilan 2038'!$G$34*(1-SUM('Bilan 2038'!$K$26:$P$34)/'Bilan 2038'!$H$30)+'Bilan 2038'!$E$52</f>
        <v>45.545215820424694</v>
      </c>
      <c r="BC27" s="201">
        <f>SUM('Bilan 2040'!$S$46:$W$46)+'Bilan 2040'!$G$34*(1-SUM('Bilan 2040'!$K$26:$P$34)/'Bilan 2040'!$H$30)+'Bilan 2040'!$E$52</f>
        <v>45.210854825774291</v>
      </c>
      <c r="BD27" s="201">
        <f>SUM('Bilan 2045'!$S$46:$W$46)+'Bilan 2045'!$G$34*(1-SUM('Bilan 2045'!$K$26:$P$34)/'Bilan 2045'!$H$30)+'Bilan 2045'!$E$52</f>
        <v>44.318034238205577</v>
      </c>
      <c r="BE27" s="201">
        <f>SUM('Bilan 2050'!$S$46:$W$46)+'Bilan 2050'!$G$34*(1-SUM('Bilan 2050'!$K$26:$P$34)/'Bilan 2050'!$H$30)+'Bilan 2050'!$E$52</f>
        <v>43.273105682596281</v>
      </c>
      <c r="BV27" s="214"/>
      <c r="BW27" s="214"/>
      <c r="BX27" s="214"/>
      <c r="BY27" s="214"/>
      <c r="BZ27" s="214"/>
      <c r="CA27" s="214"/>
      <c r="CB27" s="214"/>
      <c r="CC27" s="214"/>
      <c r="CD27" s="214"/>
      <c r="CE27" s="214"/>
      <c r="CF27" s="214"/>
      <c r="CG27" s="214"/>
      <c r="DA27" s="215">
        <f>SUM(DA4:DA24,DA25)-SUM('Bilan 2015'!$K$7:$K$47)</f>
        <v>0</v>
      </c>
      <c r="DB27" s="215">
        <f>SUM(DB4:DB24,DB25)-SUM('Bilan 2020'!$K$7:$K$47)</f>
        <v>0</v>
      </c>
      <c r="DC27" s="215">
        <f>SUM(DC4:DC24,DC25)-SUM('Bilan 2023 réel'!$K$7:$K$47)</f>
        <v>-0.17025827965229468</v>
      </c>
      <c r="DD27" s="215">
        <f>SUM(DD4:DD24,DD25)-SUM('Bilan 2025'!$K$7:$K$47)</f>
        <v>0</v>
      </c>
      <c r="DE27" s="215">
        <f>SUM(DE4:DE24,DE25)-SUM('Bilan 2028'!$K$7:$K$47)</f>
        <v>0</v>
      </c>
      <c r="DF27" s="215">
        <f>SUM(DF4:DF24,DF25)-SUM('Bilan 2030'!$K$7:$K$47)</f>
        <v>0</v>
      </c>
      <c r="DG27" s="215">
        <f>SUM(DG4:DG24,DG25)-SUM('Bilan 2033'!$K$7:$K$47)</f>
        <v>0</v>
      </c>
      <c r="DH27" s="215">
        <f>SUM(DH4:DH24,DH25)-SUM('Bilan 2035'!$K$7:$K$47)</f>
        <v>0</v>
      </c>
      <c r="DI27" s="215">
        <f>SUM(DI4:DI24,DI25)-SUM('Bilan 2038'!$K$7:$K$47)</f>
        <v>0</v>
      </c>
      <c r="DJ27" s="215">
        <f>SUM(DJ4:DJ24,DJ25)-SUM('Bilan 2040'!$K$7:$K$47)</f>
        <v>0</v>
      </c>
      <c r="DK27" s="215">
        <f>SUM(DK4:DK24,DK25)-SUM('Bilan 2045'!$K$7:$K$47)</f>
        <v>0</v>
      </c>
      <c r="DL27" s="215">
        <f>SUM(DL4:DL24,DL25)-SUM('Bilan 2050'!$K$7:$K$47)</f>
        <v>0</v>
      </c>
    </row>
    <row r="28" spans="1:116" ht="60" x14ac:dyDescent="0.25">
      <c r="A28" s="199" t="s">
        <v>285</v>
      </c>
      <c r="B28" s="200">
        <f t="shared" ref="B28" si="116">SUM(B29:B34)</f>
        <v>45.352678690233105</v>
      </c>
      <c r="C28" s="200">
        <f t="shared" ref="C28:M28" si="117">SUM(C29:C34)</f>
        <v>514.01219611244392</v>
      </c>
      <c r="D28" s="200">
        <f t="shared" si="117"/>
        <v>494.7147333879505</v>
      </c>
      <c r="E28" s="200">
        <f t="shared" si="117"/>
        <v>521.2168101093838</v>
      </c>
      <c r="F28" s="200">
        <f t="shared" ref="F28" si="118">SUM(F29:F34)</f>
        <v>519.19538515167608</v>
      </c>
      <c r="G28" s="200">
        <f t="shared" si="117"/>
        <v>518.30568973114987</v>
      </c>
      <c r="H28" s="200">
        <f t="shared" ref="H28" si="119">SUM(H29:H34)</f>
        <v>523.20980721368994</v>
      </c>
      <c r="I28" s="200">
        <f t="shared" ref="I28" si="120">SUM(I29:I34)</f>
        <v>526.60208563084336</v>
      </c>
      <c r="J28" s="200">
        <f t="shared" ref="J28" si="121">SUM(J29:J34)</f>
        <v>530.07929769409998</v>
      </c>
      <c r="K28" s="200">
        <f t="shared" ref="K28" si="122">SUM(K29:K34)</f>
        <v>532.34137291180821</v>
      </c>
      <c r="L28" s="200">
        <f t="shared" ref="L28" si="123">SUM(L29:L34)</f>
        <v>533.79117600803681</v>
      </c>
      <c r="M28" s="200">
        <f t="shared" si="117"/>
        <v>529.24290369627317</v>
      </c>
      <c r="N28" s="216" cm="1">
        <f t="array" ref="N28">C28-SUM('Bilan 2020'!$C$21:$C$32,'Bilan 2020'!$C$36:$C$40,'Bilan 2020'!$C$44:$C$45,'Bilan 2020'!$C$47,-'Bilan 2020'!$M$21:$P$24,-'Bilan 2020'!$M$26:$P$34)</f>
        <v>0</v>
      </c>
      <c r="O28" s="216" cm="1">
        <f t="array" ref="O28">G28-SUM('Bilan 2030'!$C$21:$C$32,'Bilan 2030'!$C$36:$C$40,'Bilan 2030'!$C$44:$C$45,'Bilan 2030'!$C$47,-'Bilan 2030'!$M$21:$P$24,-'Bilan 2030'!$M$26:$P$34)</f>
        <v>0</v>
      </c>
      <c r="P28" s="216" cm="1">
        <f t="array" ref="P28">M28-SUM('Bilan 2050'!$C$21:$C$32,'Bilan 2050'!$C$36:$C$40,'Bilan 2050'!$C$44:$C$45,'Bilan 2050'!$C$47,-'Bilan 2050'!$M$21:$P$24,-'Bilan 2050'!$M$26:$P$34)</f>
        <v>0</v>
      </c>
      <c r="Q28" s="571" t="s">
        <v>301</v>
      </c>
      <c r="R28" s="198"/>
      <c r="S28" s="198"/>
      <c r="T28" s="198"/>
      <c r="U28" s="198"/>
      <c r="V28" s="198"/>
      <c r="W28" s="198"/>
      <c r="X28" s="198"/>
      <c r="Y28" s="198"/>
      <c r="Z28" s="198"/>
      <c r="AA28" s="198"/>
      <c r="AB28" s="198"/>
      <c r="AC28" s="198"/>
      <c r="AF28" s="216">
        <f>AF2-'Bilan 2015'!$S$5</f>
        <v>-2.7739850805088793</v>
      </c>
      <c r="AG28" s="216">
        <f>AG2-'Bilan 2020'!$S$5</f>
        <v>4.2949055555936866E-2</v>
      </c>
      <c r="AH28" s="216">
        <f>AH2-'Bilan 2023 réel'!$S$5</f>
        <v>-2.0327256052307803</v>
      </c>
      <c r="AI28" s="216">
        <f>AI2-'Bilan 2025'!$S$5</f>
        <v>4.7640221976052999E-3</v>
      </c>
      <c r="AJ28" s="216">
        <f>AJ2-'Bilan 2028'!$S$5</f>
        <v>2.3130955232772976E-3</v>
      </c>
      <c r="AK28" s="216">
        <f>AK2-'Bilan 2030'!$S$5</f>
        <v>6.7914440637650841E-4</v>
      </c>
      <c r="AL28" s="216">
        <f>AL2-'Bilan 2033'!$S$5</f>
        <v>-3.0088542644080007E-4</v>
      </c>
      <c r="AM28" s="216">
        <f>AM2-'Bilan 2035'!$S$5</f>
        <v>-9.5423864831900573E-4</v>
      </c>
      <c r="AN28" s="216">
        <f>AN2-'Bilan 2038'!$S$5</f>
        <v>-1.2009757085706951E-3</v>
      </c>
      <c r="AO28" s="216">
        <f>AO2-'Bilan 2040'!$S$5</f>
        <v>-1.3654670817686565E-3</v>
      </c>
      <c r="AP28" s="216">
        <f>AP2-'Bilan 2045'!$S$5</f>
        <v>1.8022759059022064E-4</v>
      </c>
      <c r="AQ28" s="216">
        <f>AQ2-'Bilan 2050'!$S$5</f>
        <v>-9.9720733373942494E-3</v>
      </c>
      <c r="AT28" s="216">
        <f>AT2-'Bilan 2015'!$S$5-SUM('Bilan 2015'!$E$52:$E$57)</f>
        <v>-2.7639850805088955</v>
      </c>
      <c r="AU28" s="216">
        <f>AU2-'Bilan 2020'!$S$5-SUM('Bilan 2020'!$E$52:$E$57)</f>
        <v>5.2949055555927771E-2</v>
      </c>
      <c r="AV28" s="216">
        <f>AV2-'Bilan 2023 réel'!$S$5-SUM('Bilan 2023 réel'!$E$52:$E$58)</f>
        <v>-2.022725605231301</v>
      </c>
      <c r="AW28" s="216">
        <f>AW2-'Bilan 2025'!$S$5-SUM('Bilan 2025'!$E$52:$E$57)</f>
        <v>1.4764022197709892E-2</v>
      </c>
      <c r="AX28" s="216">
        <f>AX2-'Bilan 2028'!$S$5-SUM('Bilan 2028'!$E$52:$E$57)</f>
        <v>1.2313095523154516E-2</v>
      </c>
      <c r="AY28" s="216">
        <f>AY2-'Bilan 2030'!$S$5-SUM('Bilan 2030'!$E$52:$E$57)</f>
        <v>1.0679144406594787E-2</v>
      </c>
      <c r="AZ28" s="216">
        <f>AZ2-'Bilan 2033'!$S$5-SUM('Bilan 2033'!$E$52:$E$57)</f>
        <v>9.6991145736353701E-3</v>
      </c>
      <c r="BA28" s="216">
        <f>BA2-'Bilan 2035'!$S$5-SUM('Bilan 2035'!$E$52:$E$57)</f>
        <v>9.0457613517855862E-3</v>
      </c>
      <c r="BB28" s="216">
        <f>BB2-'Bilan 2038'!$S$5-SUM('Bilan 2038'!$E$52:$E$57)</f>
        <v>8.799024291505475E-3</v>
      </c>
      <c r="BC28" s="216">
        <f>BC2-'Bilan 2040'!$S$5-SUM('Bilan 2040'!$E$52:$E$57)</f>
        <v>8.6345329181369834E-3</v>
      </c>
      <c r="BD28" s="216">
        <f>BD2-'Bilan 2045'!$S$5-SUM('Bilan 2045'!$E$52:$E$57)</f>
        <v>1.0180227590467439E-2</v>
      </c>
      <c r="BE28" s="216">
        <f>BE2-'Bilan 2050'!$S$5-SUM('Bilan 2050'!$E$52:$E$57)</f>
        <v>2.7926662482968823E-5</v>
      </c>
      <c r="BW28" s="215">
        <f>SUM(BW$17:BW$25)-SUM('Bilan 2020'!$E$21:$E$32)-'Bilan 2020'!$E$40-'Bilan 2020'!$E$34</f>
        <v>-6.3837823915946501E-16</v>
      </c>
      <c r="BX28" s="215">
        <f>SUM(BX$17:BX$25)-SUM('Bilan 2023 réel'!$E$21:$E$32)-'Bilan 2023 réel'!$E$40-'Bilan 2023 réel'!$E$34</f>
        <v>8.4654505627668186E-16</v>
      </c>
      <c r="BY28" s="215">
        <f>SUM(BY$17:BY$25)-SUM('Bilan 2025'!$E$21:$E$32)-'Bilan 2025'!$E$40-'Bilan 2025'!$E$34</f>
        <v>1.3183898417423734E-16</v>
      </c>
      <c r="BZ28" s="215">
        <f>SUM(BZ$17:BZ$25)-SUM('Bilan 2028'!$E$21:$E$32)-'Bilan 2028'!$E$40-'Bilan 2028'!$E$34</f>
        <v>3.5908775952719907E-16</v>
      </c>
      <c r="CA28" s="215">
        <f>SUM(CA$17:CA$25)-SUM('Bilan 2030'!$E$21:$E$32)-'Bilan 2030'!$E$40-'Bilan 2030'!$E$34</f>
        <v>0</v>
      </c>
      <c r="CB28" s="215">
        <f>SUM(CB$17:CB$25)-SUM('Bilan 2033'!$E$21:$E$32)-'Bilan 2033'!$E$40-'Bilan 2033'!$E$34</f>
        <v>-1.7763568394002505E-15</v>
      </c>
      <c r="CC28" s="215">
        <f>SUM(CC$17:CC$25)-SUM('Bilan 2035'!$E$21:$E$32)-'Bilan 2035'!$E$40-'Bilan 2035'!$E$34</f>
        <v>0</v>
      </c>
      <c r="CD28" s="215">
        <f>SUM(CD$17:CD$25)-SUM('Bilan 2038'!$E$21:$E$32)-'Bilan 2038'!$E$40-'Bilan 2038'!$E$34</f>
        <v>1.7763568394002505E-15</v>
      </c>
      <c r="CE28" s="215">
        <f>SUM(CE$17:CE$25)-SUM('Bilan 2040'!$E$21:$E$32)-'Bilan 2040'!$E$40-'Bilan 2040'!$E$34</f>
        <v>0</v>
      </c>
      <c r="CF28" s="215">
        <f>SUM(CF$17:CF$25)-SUM('Bilan 2045'!$E$21:$E$32)-'Bilan 2045'!$E$40-'Bilan 2045'!$E$34</f>
        <v>0</v>
      </c>
      <c r="CG28" s="215">
        <f>SUM(CG$17:CG$25)-SUM('Bilan 2050'!$E$21:$E$32)-'Bilan 2050'!$E$40-'Bilan 2050'!$E$34</f>
        <v>0</v>
      </c>
    </row>
    <row r="29" spans="1:116" ht="12.75" x14ac:dyDescent="0.2">
      <c r="A29" s="203" t="s">
        <v>287</v>
      </c>
      <c r="B29" s="204">
        <f>'Bilan 2015'!$C$23-SUM('Bilan 2015'!$M$23:$P$23)+'Bilan 2015'!$C$24-SUM('Bilan 2015'!$M$24:$P$24)+'Bilan 2015'!$C$32*(1-SUM('Bilan 2015'!$M$26:$P$34)/'Bilan 2015'!$D$30)+'Bilan 2015'!$C$45+'Bilan 2015'!$C$47</f>
        <v>31.150145872946307</v>
      </c>
      <c r="C29" s="204">
        <f>'Bilan 2020'!$C$23-SUM('Bilan 2020'!$M$23:$P$23)+'Bilan 2020'!$C$24-SUM('Bilan 2020'!$M$24:$P$24)+'Bilan 2020'!$C$32*(1-SUM('Bilan 2020'!$M$26:$P$34)/'Bilan 2020'!$D$30)+'Bilan 2020'!$C$45+'Bilan 2020'!$C$47</f>
        <v>351.08176898139908</v>
      </c>
      <c r="D29" s="204">
        <f>'Bilan 2023 réel'!$C$22+'Bilan 2023 réel'!$C$23-SUM('Bilan 2023 réel'!$M$23:$P$23)+'Bilan 2023 réel'!$C$24-SUM('Bilan 2023 réel'!$M$24:$P$24)+'Bilan 2023 réel'!$C$32*(1-SUM('Bilan 2023 réel'!$M$26:$P$34)/'Bilan 2023 réel'!$D$30)+'Bilan 2023 réel'!$C$45+'Bilan 2023 réel'!$C$47</f>
        <v>296.66980754710573</v>
      </c>
      <c r="E29" s="204">
        <f>'Bilan 2025'!$C$24-'Bilan 2025'!$C$19+'Bilan 2025'!$C$45</f>
        <v>344.97011583178244</v>
      </c>
      <c r="F29" s="204">
        <f>'Bilan 2028'!$C$23-SUM('Bilan 2028'!$M$23:$P$23)+'Bilan 2028'!$C$24-SUM('Bilan 2028'!$M$24:$P$24)+'Bilan 2028'!$C$32*(1-SUM('Bilan 2028'!$M$26:$P$34)/'Bilan 2028'!$D$30)+'Bilan 2028'!$C$45+'Bilan 2028'!$C$47</f>
        <v>333.80756781619004</v>
      </c>
      <c r="G29" s="204">
        <f>'Bilan 2030'!$C$23-SUM('Bilan 2030'!$M$23:$P$23)+'Bilan 2030'!$C$24-SUM('Bilan 2030'!$M$24:$P$24)+'Bilan 2030'!$C$32*(1-SUM('Bilan 2030'!$M$26:$P$34)/'Bilan 2030'!$D$30)+'Bilan 2030'!$C$45+'Bilan 2030'!$C$47</f>
        <v>326.3078089085634</v>
      </c>
      <c r="H29" s="204">
        <f>'Bilan 2033'!$C$23-SUM('Bilan 2033'!$M$23:$P$23)+'Bilan 2033'!$C$24-SUM('Bilan 2033'!$M$24:$P$24)+'Bilan 2033'!$C$32*(1-SUM('Bilan 2033'!$M$26:$P$34)/'Bilan 2033'!$D$30)+'Bilan 2033'!$C$45+'Bilan 2033'!$C$47</f>
        <v>321.42991010349647</v>
      </c>
      <c r="I29" s="204">
        <f>'Bilan 2035'!$C$23-SUM('Bilan 2035'!$M$23:$P$23)+'Bilan 2035'!$C$24-SUM('Bilan 2035'!$M$24:$P$24)+'Bilan 2035'!$C$32*(1-SUM('Bilan 2035'!$M$26:$P$34)/'Bilan 2035'!$D$30)+'Bilan 2035'!$C$45+'Bilan 2035'!$C$47</f>
        <v>318.11286250260213</v>
      </c>
      <c r="J29" s="204">
        <f>'Bilan 2038'!$C$23-SUM('Bilan 2038'!$M$23:$P$23)+'Bilan 2038'!$C$24-SUM('Bilan 2038'!$M$24:$P$24)+'Bilan 2038'!$C$32*(1-SUM('Bilan 2038'!$M$26:$P$34)/'Bilan 2038'!$D$30)+'Bilan 2038'!$C$45+'Bilan 2038'!$C$47</f>
        <v>317.29168953645728</v>
      </c>
      <c r="K29" s="204">
        <f>'Bilan 2040'!$C$23-SUM('Bilan 2040'!$M$23:$P$23)+'Bilan 2040'!$C$24-SUM('Bilan 2040'!$M$24:$P$24)+'Bilan 2040'!$C$32*(1-SUM('Bilan 2040'!$M$26:$P$34)/'Bilan 2040'!$D$30)+'Bilan 2040'!$C$45+'Bilan 2040'!$C$47</f>
        <v>316.6595722245948</v>
      </c>
      <c r="L29" s="204">
        <f>'Bilan 2045'!$C$23-SUM('Bilan 2045'!$M$23:$P$23)+'Bilan 2045'!$C$24-SUM('Bilan 2045'!$M$24:$P$24)+'Bilan 2045'!$C$32*(1-SUM('Bilan 2045'!$M$26:$P$34)/'Bilan 2045'!$D$30)+'Bilan 2045'!$C$45+'Bilan 2045'!$C$47</f>
        <v>310.50686769040055</v>
      </c>
      <c r="M29" s="204">
        <f>'Bilan 2050'!$C$23-SUM('Bilan 2050'!$M$23:$P$23)+'Bilan 2050'!$C$24-SUM('Bilan 2050'!$M$24:$P$24)+'Bilan 2050'!$C$32*(1-SUM('Bilan 2050'!$M$26:$P$34)/'Bilan 2050'!$D$30)+'Bilan 2050'!$C$45+'Bilan 2050'!$C$47</f>
        <v>300.43978506050433</v>
      </c>
      <c r="N29" s="215">
        <f>'Bilan 2020'!$C$24-SUM('Bilan 2020'!$M$24:$P$24)+'Bilan 2020'!$C$32+'Bilan 2020'!$C$45+'Bilan 2020'!$C$23+'Bilan 2020'!$C$47-SUM('Bilan 2020'!$M$23:$P$23)-C29</f>
        <v>0</v>
      </c>
      <c r="O29" s="215">
        <f>'Bilan 2030'!$C$24-SUM('Bilan 2030'!$M$24:$P$24)+'Bilan 2030'!$C$32+'Bilan 2030'!$C$45+'Bilan 2030'!$C$23+'Bilan 2030'!$C$47-SUM('Bilan 2030'!$M$23:$P$23)-G29</f>
        <v>3.5984765038961086E-3</v>
      </c>
      <c r="P29" s="215">
        <f>'Bilan 2050'!$C$24-SUM('Bilan 2050'!$M$24:$P$24)+'Bilan 2050'!$C$32+'Bilan 2050'!$C$45+'Bilan 2050'!$C$23+'Bilan 2050'!$C$47-SUM('Bilan 2050'!$M$23:$P$23)-M29</f>
        <v>3.6154561091848336E-2</v>
      </c>
      <c r="Q29" s="569" t="s">
        <v>264</v>
      </c>
      <c r="R29" s="201"/>
      <c r="S29" s="201"/>
      <c r="T29" s="201"/>
      <c r="U29" s="201"/>
      <c r="V29" s="201"/>
      <c r="W29" s="201"/>
      <c r="X29" s="201"/>
      <c r="Y29" s="201"/>
      <c r="Z29" s="201"/>
      <c r="AA29" s="201"/>
      <c r="AB29" s="201"/>
      <c r="AC29" s="201"/>
      <c r="AK29" s="217"/>
      <c r="AL29" s="217"/>
      <c r="AM29" s="217"/>
      <c r="AN29" s="217"/>
      <c r="AO29" s="217"/>
      <c r="AP29" s="217"/>
      <c r="AQ29" s="206"/>
      <c r="AY29" s="217"/>
      <c r="AZ29" s="217"/>
      <c r="BA29" s="206"/>
      <c r="BB29" s="206"/>
      <c r="BC29" s="206"/>
      <c r="BD29" s="206"/>
      <c r="BW29" s="215">
        <f>SUM(BW8:BW16)-SUM('Bilan 2020'!$E$7:$E$19)-'Bilan 2020'!$I$13</f>
        <v>-1.2079226507921703E-13</v>
      </c>
      <c r="BX29" s="215">
        <f>SUM(BX8:BX16)-SUM('Bilan 2023 réel'!$E$7:$E$19)-'Bilan 2023 réel'!$I$13</f>
        <v>-3.5106277331582874</v>
      </c>
      <c r="BY29" s="215">
        <f>SUM(BY8:BY16)-SUM('Bilan 2025'!$E$7:$E$19)-'Bilan 2025'!$I$13</f>
        <v>0</v>
      </c>
      <c r="BZ29" s="215">
        <f>SUM(BZ8:BZ16)-SUM('Bilan 2028'!$E$7:$E$19)-'Bilan 2028'!$I$13</f>
        <v>1.2079226507921703E-13</v>
      </c>
      <c r="CA29" s="215">
        <f>SUM(CA8:CA16)-SUM('Bilan 2030'!$E$7:$E$19)-'Bilan 2030'!$I$13</f>
        <v>6.3948846218409017E-14</v>
      </c>
      <c r="CB29" s="215">
        <f>SUM(CB8:CB16)-SUM('Bilan 2033'!$E$7:$E$19)-'Bilan 2033'!$I$13</f>
        <v>0</v>
      </c>
      <c r="CC29" s="215">
        <f>SUM(CC8:CC16)-SUM('Bilan 2035'!$E$7:$E$19)-'Bilan 2035'!$I$13</f>
        <v>-9.2370555648813024E-14</v>
      </c>
      <c r="CD29" s="215">
        <f>SUM(CD8:CD16)-SUM('Bilan 2038'!$E$7:$E$19)-'Bilan 2038'!$I$13</f>
        <v>1.4210854715202004E-13</v>
      </c>
      <c r="CE29" s="215">
        <f>SUM(CE8:CE16)-SUM('Bilan 2040'!$E$7:$E$19)-'Bilan 2040'!$I$13</f>
        <v>0</v>
      </c>
      <c r="CF29" s="215">
        <f>SUM(CF8:CF16)-SUM('Bilan 2045'!$E$7:$E$19)-'Bilan 2045'!$I$13</f>
        <v>-1.8829382497642655E-13</v>
      </c>
      <c r="CG29" s="215">
        <f>SUM(CG8:CG16)-SUM('Bilan 2050'!$E$7:$E$19)-'Bilan 2050'!$I$13</f>
        <v>0</v>
      </c>
    </row>
    <row r="30" spans="1:116" ht="12.75" x14ac:dyDescent="0.2">
      <c r="A30" s="203" t="s">
        <v>304</v>
      </c>
      <c r="B30" s="204">
        <f>'Bilan 2015'!$C$29*(1-SUM('Bilan 2015'!$M$26:$P$34)/'Bilan 2015'!$D$30)+'Bilan 2015'!$C$37</f>
        <v>7.8830796757637707</v>
      </c>
      <c r="C30" s="204">
        <f>'Bilan 2020'!$C$29*(1-SUM('Bilan 2020'!$M$26:$P$34)/'Bilan 2020'!$D$30)+'Bilan 2020'!$C$37</f>
        <v>97.138025953204789</v>
      </c>
      <c r="D30" s="204">
        <f>'Bilan 2023 réel'!$C$29*(1-SUM('Bilan 2023 réel'!$M$26:$P$34)/'Bilan 2023 réel'!$D$30)+'Bilan 2023 réel'!$C$37</f>
        <v>101.9464819297059</v>
      </c>
      <c r="E30" s="204">
        <f>'Bilan 2025'!$C$29+'Bilan 2025'!$C$37</f>
        <v>109.80664278142234</v>
      </c>
      <c r="F30" s="204">
        <f>'Bilan 2028'!$C$29*(1-SUM('Bilan 2028'!$M$26:$P$34)/'Bilan 2028'!$D$30)+'Bilan 2028'!$C$37</f>
        <v>113.30866230282733</v>
      </c>
      <c r="G30" s="204">
        <f>'Bilan 2030'!$C$29*(1-SUM('Bilan 2030'!$M$26:$P$34)/'Bilan 2030'!$D$30)+'Bilan 2030'!$C$37</f>
        <v>115.72167427849138</v>
      </c>
      <c r="H30" s="204">
        <f>'Bilan 2033'!$C$29*(1-SUM('Bilan 2033'!$M$26:$P$34)/'Bilan 2033'!$D$30)+'Bilan 2033'!$C$37</f>
        <v>121.08025334678933</v>
      </c>
      <c r="I30" s="204">
        <f>'Bilan 2035'!$C$29*(1-SUM('Bilan 2035'!$M$26:$P$34)/'Bilan 2035'!$D$30)+'Bilan 2035'!$C$37</f>
        <v>124.68536922363573</v>
      </c>
      <c r="J30" s="204">
        <f>'Bilan 2038'!$C$29*(1-SUM('Bilan 2038'!$M$26:$P$34)/'Bilan 2038'!$D$30)+'Bilan 2038'!$C$37</f>
        <v>126.23655808690808</v>
      </c>
      <c r="K30" s="204">
        <f>'Bilan 2040'!$C$29*(1-SUM('Bilan 2040'!$M$26:$P$34)/'Bilan 2040'!$D$30)+'Bilan 2040'!$C$37</f>
        <v>127.24064011820559</v>
      </c>
      <c r="L30" s="204">
        <f>'Bilan 2045'!$C$29*(1-SUM('Bilan 2045'!$M$26:$P$34)/'Bilan 2045'!$D$30)+'Bilan 2045'!$C$37</f>
        <v>130.24326682531338</v>
      </c>
      <c r="M30" s="204">
        <f>'Bilan 2050'!$C$29*(1-SUM('Bilan 2050'!$M$26:$P$34)/'Bilan 2050'!$D$30)+'Bilan 2050'!$C$37</f>
        <v>129.09463242351333</v>
      </c>
      <c r="N30" s="215">
        <f>'Bilan 2020'!$C$29+'Bilan 2020'!$C$37-C30</f>
        <v>0</v>
      </c>
      <c r="O30" s="215">
        <f>'Bilan 2030'!$C$29+'Bilan 2030'!$C$37-G30</f>
        <v>3.1111458201422693E-3</v>
      </c>
      <c r="P30" s="215">
        <f>'Bilan 2050'!$C$29+'Bilan 2050'!$C$37-M30</f>
        <v>2.9746007192926527E-2</v>
      </c>
      <c r="Q30" s="570" t="s">
        <v>266</v>
      </c>
      <c r="R30" s="219">
        <f t="shared" ref="R30:U31" si="124">R4/R$3</f>
        <v>0.95707115986874225</v>
      </c>
      <c r="S30" s="219">
        <f t="shared" si="124"/>
        <v>0.9525763357643332</v>
      </c>
      <c r="T30" s="219">
        <f t="shared" si="124"/>
        <v>0.9719111909236583</v>
      </c>
      <c r="U30" s="219">
        <f t="shared" si="124"/>
        <v>0.9436374182944155</v>
      </c>
      <c r="V30" s="219">
        <f t="shared" ref="V30:AC30" si="125">V4/V$3</f>
        <v>0.94355872390528606</v>
      </c>
      <c r="W30" s="219">
        <f t="shared" si="125"/>
        <v>0.94346218190079789</v>
      </c>
      <c r="X30" s="219">
        <f t="shared" si="125"/>
        <v>0.94416791496329033</v>
      </c>
      <c r="Y30" s="219">
        <f t="shared" si="125"/>
        <v>0.94468966334943205</v>
      </c>
      <c r="Z30" s="219">
        <f t="shared" si="125"/>
        <v>0.94527616263001568</v>
      </c>
      <c r="AA30" s="219">
        <f t="shared" si="125"/>
        <v>0.94573991096226073</v>
      </c>
      <c r="AB30" s="219">
        <f t="shared" si="125"/>
        <v>0.94575365326955829</v>
      </c>
      <c r="AC30" s="219">
        <f t="shared" si="125"/>
        <v>0.94513501121414711</v>
      </c>
      <c r="AF30" s="193">
        <v>2015</v>
      </c>
      <c r="AG30" s="194">
        <v>2020</v>
      </c>
      <c r="AH30" s="194">
        <v>2023</v>
      </c>
      <c r="AI30" s="195">
        <v>2025</v>
      </c>
      <c r="AJ30" s="195">
        <v>2028</v>
      </c>
      <c r="AK30" s="195">
        <v>2030</v>
      </c>
      <c r="AL30" s="195">
        <v>2033</v>
      </c>
      <c r="AM30" s="195">
        <v>2035</v>
      </c>
      <c r="AN30" s="195">
        <v>2038</v>
      </c>
      <c r="AO30" s="195">
        <v>2040</v>
      </c>
      <c r="AP30" s="195">
        <v>2045</v>
      </c>
      <c r="AQ30" s="195">
        <v>2050</v>
      </c>
      <c r="AT30" s="193">
        <v>2015</v>
      </c>
      <c r="AU30" s="194">
        <v>2020</v>
      </c>
      <c r="AV30" s="195">
        <v>2023</v>
      </c>
      <c r="AW30" s="195">
        <v>2025</v>
      </c>
      <c r="AX30" s="195">
        <v>2028</v>
      </c>
      <c r="AY30" s="195">
        <v>2030</v>
      </c>
      <c r="AZ30" s="195">
        <v>2033</v>
      </c>
      <c r="BA30" s="195">
        <v>2035</v>
      </c>
      <c r="BB30" s="547">
        <v>2038</v>
      </c>
      <c r="BC30" s="547">
        <v>2040</v>
      </c>
      <c r="BD30" s="547">
        <v>2045</v>
      </c>
      <c r="BE30" s="193">
        <v>2050</v>
      </c>
    </row>
    <row r="31" spans="1:116" ht="60" x14ac:dyDescent="0.25">
      <c r="A31" s="203" t="s">
        <v>305</v>
      </c>
      <c r="B31" s="204">
        <f>'Bilan 2015'!$C$21-SUM('Bilan 2015'!$M$21:$P$21)+'Bilan 2015'!$C$26*(1-SUM('Bilan 2015'!$M$26:$P$34)/'Bilan 2015'!$D$30)+'Bilan 2015'!$C$36</f>
        <v>0.24671248523631389</v>
      </c>
      <c r="C31" s="204">
        <f>'Bilan 2020'!$C$21-SUM('Bilan 2020'!$M$21:$P$21)+'Bilan 2020'!$C$26*(1-SUM('Bilan 2020'!$M$26:$P$34)/'Bilan 2020'!$D$30)+'Bilan 2020'!$C$36</f>
        <v>5.9336589388889092</v>
      </c>
      <c r="D31" s="204">
        <f>'Bilan 2023 réel'!$C$21-SUM('Bilan 2023 réel'!$M$21:$P$21)+'Bilan 2023 réel'!$C$26*(1-SUM('Bilan 2023 réel'!$M$26:$P$34)/'Bilan 2023 réel'!$D$30)+'Bilan 2023 réel'!$C$36</f>
        <v>14.494867834472224</v>
      </c>
      <c r="E31" s="204">
        <f>'Bilan 2025'!$C$21-'Bilan 2025'!$C$11</f>
        <v>7.7668115281105008</v>
      </c>
      <c r="F31" s="204">
        <f>'Bilan 2028'!$C$21-SUM('Bilan 2028'!$M$21:$P$21)+'Bilan 2028'!$C$26*(1-SUM('Bilan 2028'!$M$26:$P$34)/'Bilan 2028'!$D$30)+'Bilan 2028'!$C$36</f>
        <v>7.4175122134229614</v>
      </c>
      <c r="G31" s="204">
        <f>'Bilan 2030'!$C$21-SUM('Bilan 2030'!$M$21:$P$21)+'Bilan 2030'!$C$26*(1-SUM('Bilan 2030'!$M$26:$P$34)/'Bilan 2030'!$D$30)+'Bilan 2030'!$C$36</f>
        <v>7.42825901139111</v>
      </c>
      <c r="H31" s="204">
        <f>'Bilan 2033'!$C$21-SUM('Bilan 2033'!$M$21:$P$21)+'Bilan 2033'!$C$26*(1-SUM('Bilan 2033'!$M$26:$P$34)/'Bilan 2033'!$D$30)+'Bilan 2033'!$C$36</f>
        <v>7.1795611722355765</v>
      </c>
      <c r="I31" s="204">
        <f>'Bilan 2035'!$C$21-SUM('Bilan 2035'!$M$21:$P$21)+'Bilan 2035'!$C$26*(1-SUM('Bilan 2035'!$M$26:$P$34)/'Bilan 2035'!$D$30)+'Bilan 2035'!$C$36</f>
        <v>7.0158785433762629</v>
      </c>
      <c r="J31" s="204">
        <f>'Bilan 2038'!$C$21-SUM('Bilan 2038'!$M$21:$P$21)+'Bilan 2038'!$C$26*(1-SUM('Bilan 2038'!$M$26:$P$34)/'Bilan 2038'!$D$30)+'Bilan 2038'!$C$36</f>
        <v>6.8648854279362848</v>
      </c>
      <c r="K31" s="204">
        <f>'Bilan 2040'!$C$21-SUM('Bilan 2040'!$M$21:$P$21)+'Bilan 2040'!$C$26*(1-SUM('Bilan 2040'!$M$26:$P$34)/'Bilan 2040'!$D$30)+'Bilan 2040'!$C$36</f>
        <v>6.7643052347820998</v>
      </c>
      <c r="L31" s="204">
        <f>'Bilan 2045'!$C$21-SUM('Bilan 2045'!$M$21:$P$21)+'Bilan 2045'!$C$26*(1-SUM('Bilan 2045'!$M$26:$P$34)/'Bilan 2045'!$D$30)+'Bilan 2045'!$C$36</f>
        <v>6.423518617406998</v>
      </c>
      <c r="M31" s="204">
        <f>'Bilan 2050'!$C$21-SUM('Bilan 2050'!$M$21:$P$21)+'Bilan 2050'!$C$26*(1-SUM('Bilan 2050'!$M$26:$P$34)/'Bilan 2050'!$D$30)+'Bilan 2050'!$C$36</f>
        <v>6.052829638780203</v>
      </c>
      <c r="N31" s="216">
        <f>SUM('Bilan 2020'!$C$21:$C$22)-SUM('Bilan 2020'!$M$21:$P$22)+'Bilan 2020'!$C$26+'Bilan 2020'!$C$28+'Bilan 2020'!$C$36-C31</f>
        <v>0</v>
      </c>
      <c r="O31" s="216">
        <f>SUM('Bilan 2030'!$C$21:$C$22)-SUM('Bilan 2030'!$M$21:$P$22)+'Bilan 2030'!$C$26+'Bilan 2030'!$C$28+'Bilan 2030'!$C$36-G31</f>
        <v>7.648680900285143E-5</v>
      </c>
      <c r="P31" s="216">
        <f>SUM('Bilan 2050'!$C$21:$C$22)-SUM('Bilan 2050'!$M$21:$P$22)+'Bilan 2050'!$C$26+'Bilan 2050'!$C$28+'Bilan 2050'!$C$36-M31</f>
        <v>7.7625339231346402E-4</v>
      </c>
      <c r="Q31" s="570" t="s">
        <v>268</v>
      </c>
      <c r="R31" s="219">
        <f t="shared" si="124"/>
        <v>4.2928840131257667E-2</v>
      </c>
      <c r="S31" s="219">
        <f t="shared" si="124"/>
        <v>4.7423664235666747E-2</v>
      </c>
      <c r="T31" s="219">
        <f t="shared" si="124"/>
        <v>2.8088809076341814E-2</v>
      </c>
      <c r="U31" s="219">
        <f t="shared" si="124"/>
        <v>5.6362581705584586E-2</v>
      </c>
      <c r="V31" s="219">
        <f t="shared" ref="V31:AC31" si="126">V5/V$3</f>
        <v>5.6441276094713846E-2</v>
      </c>
      <c r="W31" s="219">
        <f t="shared" si="126"/>
        <v>5.6537818099202136E-2</v>
      </c>
      <c r="X31" s="219">
        <f t="shared" si="126"/>
        <v>5.5832085036709604E-2</v>
      </c>
      <c r="Y31" s="219">
        <f t="shared" si="126"/>
        <v>5.5310336650567934E-2</v>
      </c>
      <c r="Z31" s="219">
        <f t="shared" si="126"/>
        <v>5.4723837369984339E-2</v>
      </c>
      <c r="AA31" s="219">
        <f t="shared" si="126"/>
        <v>5.4260089037739254E-2</v>
      </c>
      <c r="AB31" s="219">
        <f t="shared" si="126"/>
        <v>5.4246346730441673E-2</v>
      </c>
      <c r="AC31" s="219">
        <f t="shared" si="126"/>
        <v>5.486498878585281E-2</v>
      </c>
      <c r="AE31" s="218" t="s">
        <v>302</v>
      </c>
      <c r="AF31" s="198"/>
      <c r="AG31" s="198"/>
      <c r="AH31" s="198"/>
      <c r="AI31" s="198"/>
      <c r="AJ31" s="198"/>
      <c r="AK31" s="198"/>
      <c r="AL31" s="198"/>
      <c r="AM31" s="198"/>
      <c r="AN31" s="198"/>
      <c r="AO31" s="198"/>
      <c r="AP31" s="198"/>
      <c r="AQ31" s="198"/>
      <c r="AS31" s="218" t="s">
        <v>303</v>
      </c>
      <c r="AT31" s="198"/>
      <c r="AU31" s="198"/>
      <c r="AV31" s="198"/>
      <c r="AW31" s="198"/>
      <c r="AX31" s="198"/>
      <c r="AY31" s="198"/>
      <c r="AZ31" s="198"/>
      <c r="BA31" s="198"/>
      <c r="BB31" s="198"/>
      <c r="BC31" s="198"/>
      <c r="BD31" s="198"/>
      <c r="BE31" s="198"/>
    </row>
    <row r="32" spans="1:116" ht="12.75" x14ac:dyDescent="0.2">
      <c r="A32" s="203" t="s">
        <v>293</v>
      </c>
      <c r="B32" s="204">
        <f>'Bilan 2015'!$C$27*(1-SUM('Bilan 2015'!$M$26:$P$34)/'Bilan 2015'!$D$30)+'Bilan 2015'!$C$44</f>
        <v>0.81249408070009255</v>
      </c>
      <c r="C32" s="204">
        <f>'Bilan 2020'!$C$27*(1-SUM('Bilan 2020'!$M$26:$P$34)/'Bilan 2020'!$D$30)+'Bilan 2020'!$C$44</f>
        <v>22.30312628047551</v>
      </c>
      <c r="D32" s="204">
        <f>'Bilan 2023 réel'!$C$27*(1-SUM('Bilan 2023 réel'!$M$26:$P$34)/'Bilan 2023 réel'!$D$30)+'Bilan 2023 réel'!$C$44</f>
        <v>23.661663021111114</v>
      </c>
      <c r="E32" s="204">
        <f>'Bilan 2025'!$C$27+'Bilan 2025'!$C$44</f>
        <v>14.477216577336065</v>
      </c>
      <c r="F32" s="204">
        <f>'Bilan 2028'!$C$27*(1-SUM('Bilan 2028'!$M$26:$P$34)/'Bilan 2028'!$D$30)+'Bilan 2028'!$C$44</f>
        <v>14.356778993307019</v>
      </c>
      <c r="G32" s="204">
        <f>'Bilan 2030'!$C$27*(1-SUM('Bilan 2030'!$M$26:$P$34)/'Bilan 2030'!$D$30)+'Bilan 2030'!$C$44</f>
        <v>14.270786180090202</v>
      </c>
      <c r="H32" s="204">
        <f>'Bilan 2033'!$C$27*(1-SUM('Bilan 2033'!$M$26:$P$34)/'Bilan 2033'!$D$30)+'Bilan 2033'!$C$44</f>
        <v>14.093404397745534</v>
      </c>
      <c r="I32" s="204">
        <f>'Bilan 2035'!$C$27*(1-SUM('Bilan 2035'!$M$26:$P$34)/'Bilan 2035'!$D$30)+'Bilan 2035'!$C$44</f>
        <v>13.974888180275345</v>
      </c>
      <c r="J32" s="204">
        <f>'Bilan 2038'!$C$27*(1-SUM('Bilan 2038'!$M$26:$P$34)/'Bilan 2038'!$D$30)+'Bilan 2038'!$C$44</f>
        <v>13.883583878893798</v>
      </c>
      <c r="K32" s="204">
        <f>'Bilan 2040'!$C$27*(1-SUM('Bilan 2040'!$M$26:$P$34)/'Bilan 2040'!$D$30)+'Bilan 2040'!$C$44</f>
        <v>13.820718957237828</v>
      </c>
      <c r="L32" s="204">
        <f>'Bilan 2045'!$C$27*(1-SUM('Bilan 2045'!$M$26:$P$34)/'Bilan 2045'!$D$30)+'Bilan 2045'!$C$44</f>
        <v>13.702643764721081</v>
      </c>
      <c r="M32" s="204">
        <f>'Bilan 2050'!$C$27*(1-SUM('Bilan 2050'!$M$26:$P$34)/'Bilan 2050'!$D$30)+'Bilan 2050'!$C$44</f>
        <v>13.627668772641973</v>
      </c>
      <c r="N32" s="216">
        <f>'Bilan 2020'!$C$27+'Bilan 2020'!$C$44-C32</f>
        <v>0</v>
      </c>
      <c r="O32" s="216">
        <f>'Bilan 2030'!$C$27+'Bilan 2030'!$C$44-G32</f>
        <v>2.8956566620017554E-3</v>
      </c>
      <c r="P32" s="216">
        <f>'Bilan 2050'!$C$27+'Bilan 2050'!$C$44-M32</f>
        <v>2.9238619535574273E-2</v>
      </c>
      <c r="Q32" s="570" t="s">
        <v>181</v>
      </c>
      <c r="R32" s="205"/>
      <c r="S32" s="205"/>
      <c r="T32" s="205"/>
      <c r="U32" s="205"/>
      <c r="V32" s="205"/>
      <c r="W32" s="205"/>
      <c r="X32" s="205"/>
      <c r="Y32" s="205"/>
      <c r="Z32" s="205"/>
      <c r="AA32" s="205"/>
      <c r="AB32" s="205"/>
      <c r="AC32" s="205"/>
      <c r="AE32" s="201" t="s">
        <v>264</v>
      </c>
      <c r="AF32" s="201"/>
      <c r="AG32" s="201"/>
      <c r="AH32" s="201"/>
      <c r="AI32" s="201"/>
      <c r="AJ32" s="201"/>
      <c r="AK32" s="201"/>
      <c r="AL32" s="201"/>
      <c r="AM32" s="201"/>
      <c r="AN32" s="201"/>
      <c r="AO32" s="201"/>
      <c r="AP32" s="201"/>
      <c r="AQ32" s="201"/>
      <c r="AS32" s="201" t="s">
        <v>264</v>
      </c>
      <c r="AT32" s="201"/>
      <c r="AU32" s="201"/>
      <c r="AV32" s="201"/>
      <c r="AW32" s="201"/>
      <c r="AX32" s="201"/>
      <c r="AY32" s="201"/>
      <c r="AZ32" s="201"/>
      <c r="BA32" s="201"/>
      <c r="BB32" s="201"/>
      <c r="BC32" s="201"/>
      <c r="BD32" s="201"/>
      <c r="BE32" s="201"/>
    </row>
    <row r="33" spans="1:57" ht="12.75" x14ac:dyDescent="0.2">
      <c r="A33" s="203" t="s">
        <v>298</v>
      </c>
      <c r="B33" s="205">
        <f>'Bilan 2015'!$C$30*(1-SUM('Bilan 2015'!$M$26:$P$34)/'Bilan 2015'!$D$30)</f>
        <v>5.6427752579331782E-2</v>
      </c>
      <c r="C33" s="205">
        <f>'Bilan 2020'!$C$30*(1-SUM('Bilan 2020'!$M$26:$P$34)/'Bilan 2020'!$D$30)</f>
        <v>3.6793581777777802</v>
      </c>
      <c r="D33" s="205">
        <f>'Bilan 2023 réel'!$C$30*(1-SUM('Bilan 2023 réel'!$M$26:$P$34)/'Bilan 2023 réel'!$D$30)</f>
        <v>4.6370516666666663</v>
      </c>
      <c r="E33" s="205">
        <f>'Bilan 2025'!$C$30</f>
        <v>2.3429154336529705</v>
      </c>
      <c r="F33" s="205">
        <f>'Bilan 2028'!$C$30*(1-SUM('Bilan 2028'!$M$26:$P$34)/'Bilan 2028'!$D$30)</f>
        <v>2.2649221928743524</v>
      </c>
      <c r="G33" s="205">
        <f>'Bilan 2030'!$C$30*(1-SUM('Bilan 2030'!$M$26:$P$34)/'Bilan 2030'!$D$30)</f>
        <v>2.213491882180628</v>
      </c>
      <c r="H33" s="205">
        <f>'Bilan 2033'!$C$30*(1-SUM('Bilan 2033'!$M$26:$P$34)/'Bilan 2033'!$D$30)</f>
        <v>2.176515458729928</v>
      </c>
      <c r="I33" s="205">
        <f>'Bilan 2035'!$C$30*(1-SUM('Bilan 2035'!$M$26:$P$34)/'Bilan 2035'!$D$30)</f>
        <v>2.1521575120663843</v>
      </c>
      <c r="J33" s="205">
        <f>'Bilan 2038'!$C$30*(1-SUM('Bilan 2038'!$M$26:$P$34)/'Bilan 2038'!$D$30)</f>
        <v>2.1323907148309815</v>
      </c>
      <c r="K33" s="205">
        <f>'Bilan 2040'!$C$30*(1-SUM('Bilan 2040'!$M$26:$P$34)/'Bilan 2040'!$D$30)</f>
        <v>2.119186174908156</v>
      </c>
      <c r="L33" s="205">
        <f>'Bilan 2045'!$C$30*(1-SUM('Bilan 2045'!$M$26:$P$34)/'Bilan 2045'!$D$30)</f>
        <v>2.095064907654093</v>
      </c>
      <c r="M33" s="205">
        <f>'Bilan 2050'!$C$30*(1-SUM('Bilan 2050'!$M$26:$P$34)/'Bilan 2050'!$D$30)</f>
        <v>2.0817718857040237</v>
      </c>
      <c r="N33" s="216">
        <f>'Bilan 2020'!$C$30-C33</f>
        <v>0</v>
      </c>
      <c r="O33" s="216">
        <f>'Bilan 2030'!$C$30-G33</f>
        <v>5.1304377633742959E-4</v>
      </c>
      <c r="P33" s="216">
        <f>'Bilan 2050'!$C$30-M33</f>
        <v>5.1036646331312774E-3</v>
      </c>
      <c r="Q33" s="569" t="s">
        <v>104</v>
      </c>
      <c r="R33" s="201"/>
      <c r="S33" s="201"/>
      <c r="T33" s="201"/>
      <c r="U33" s="201"/>
      <c r="V33" s="201"/>
      <c r="W33" s="201"/>
      <c r="X33" s="201"/>
      <c r="Y33" s="201"/>
      <c r="Z33" s="201"/>
      <c r="AA33" s="201"/>
      <c r="AB33" s="201"/>
      <c r="AC33" s="201"/>
      <c r="AE33" s="205" t="s">
        <v>266</v>
      </c>
      <c r="AF33" s="219">
        <f t="shared" ref="AF33:AP34" si="127">(AF4+AF6)/AF$3</f>
        <v>0.94615947068658013</v>
      </c>
      <c r="AG33" s="219">
        <f t="shared" si="127"/>
        <v>0.94047434318697465</v>
      </c>
      <c r="AH33" s="219">
        <f t="shared" si="127"/>
        <v>0.93401276016856827</v>
      </c>
      <c r="AI33" s="219">
        <f t="shared" si="127"/>
        <v>0.92568927811611945</v>
      </c>
      <c r="AJ33" s="219">
        <f t="shared" si="127"/>
        <v>0.92475445887603291</v>
      </c>
      <c r="AK33" s="219">
        <f t="shared" si="127"/>
        <v>0.92396376519524825</v>
      </c>
      <c r="AL33" s="219">
        <f t="shared" si="127"/>
        <v>0.92314813113589678</v>
      </c>
      <c r="AM33" s="219">
        <f t="shared" si="127"/>
        <v>0.92248594294186059</v>
      </c>
      <c r="AN33" s="219">
        <f t="shared" si="127"/>
        <v>0.92126667070408153</v>
      </c>
      <c r="AO33" s="219">
        <f t="shared" si="127"/>
        <v>0.9203480161962293</v>
      </c>
      <c r="AP33" s="219">
        <f t="shared" si="127"/>
        <v>0.9173971967637079</v>
      </c>
      <c r="AQ33" s="219">
        <f>(AQ4+AQ6)/AQ$3</f>
        <v>0.9150621093149568</v>
      </c>
      <c r="AS33" s="205" t="s">
        <v>266</v>
      </c>
      <c r="AT33" s="219">
        <f t="shared" ref="AT33:BD34" si="128">(AT4+AT6)/AT$3</f>
        <v>0.95568182778185551</v>
      </c>
      <c r="AU33" s="219">
        <f t="shared" si="128"/>
        <v>0.95161556420218441</v>
      </c>
      <c r="AV33" s="219">
        <f t="shared" si="128"/>
        <v>0.94420547129694565</v>
      </c>
      <c r="AW33" s="219">
        <f t="shared" si="128"/>
        <v>0.93914802250664353</v>
      </c>
      <c r="AX33" s="219">
        <f t="shared" si="128"/>
        <v>0.9391577126350118</v>
      </c>
      <c r="AY33" s="219">
        <f t="shared" si="128"/>
        <v>0.93912696517708827</v>
      </c>
      <c r="AZ33" s="219">
        <f t="shared" si="128"/>
        <v>0.93928839838491351</v>
      </c>
      <c r="BA33" s="219">
        <f t="shared" si="128"/>
        <v>0.93939452653632805</v>
      </c>
      <c r="BB33" s="219">
        <f t="shared" si="128"/>
        <v>0.93931200655923031</v>
      </c>
      <c r="BC33" s="219">
        <f t="shared" si="128"/>
        <v>0.93927064109026825</v>
      </c>
      <c r="BD33" s="219">
        <f t="shared" si="128"/>
        <v>0.93808705018532368</v>
      </c>
      <c r="BE33" s="219">
        <f>(BE4+BE6)/BE$3</f>
        <v>0.93651036759514217</v>
      </c>
    </row>
    <row r="34" spans="1:57" ht="12.75" x14ac:dyDescent="0.2">
      <c r="A34" s="203" t="s">
        <v>613</v>
      </c>
      <c r="B34" s="220">
        <f>('Bilan 2015'!$C$28+'Bilan 2015'!$C$31)*(1-SUM('Bilan 2015'!$M$26:$P$34)/'Bilan 2015'!$D$30)+'Bilan 2015'!$C$38+'Bilan 2015'!$C$39+'Bilan 2015'!$C$40</f>
        <v>5.2038188230072926</v>
      </c>
      <c r="C34" s="220">
        <f>('Bilan 2020'!$C$28+'Bilan 2020'!$C$31)*(1-SUM('Bilan 2020'!$M$26:$P$34)/'Bilan 2020'!$D$30)+'Bilan 2020'!$C$38+'Bilan 2020'!$C$39+'Bilan 2020'!$C$40</f>
        <v>33.87625778069777</v>
      </c>
      <c r="D34" s="220">
        <f>('Bilan 2023 réel'!$C$28+'Bilan 2023 réel'!$C$31)*(1-SUM('Bilan 2023 réel'!$M$26:$P$34)/'Bilan 2023 réel'!$D$30)+'Bilan 2023 réel'!$C$38+'Bilan 2023 réel'!$C$39+'Bilan 2023 réel'!$C$40</f>
        <v>53.304861388888888</v>
      </c>
      <c r="E34" s="220">
        <f>'Bilan 2025'!$C$28+'Bilan 2025'!$C$31+'Bilan 2025'!$C$38+'Bilan 2025'!$C$39+'Bilan 2025'!$C$40</f>
        <v>41.853107957079459</v>
      </c>
      <c r="F34" s="220">
        <f>('Bilan 2028'!$C$28+'Bilan 2028'!$C$31)*(1-SUM('Bilan 2028'!$M$26:$P$34)/'Bilan 2028'!$D$30)+'Bilan 2028'!$C$38+'Bilan 2028'!$C$39+'Bilan 2028'!$C$40</f>
        <v>48.03994163305439</v>
      </c>
      <c r="G34" s="220">
        <f>('Bilan 2030'!$C$28+'Bilan 2030'!$C$31)*(1-SUM('Bilan 2030'!$M$26:$P$34)/'Bilan 2030'!$D$30)+'Bilan 2030'!$C$38+'Bilan 2030'!$C$39+'Bilan 2030'!$C$40</f>
        <v>52.363669470433123</v>
      </c>
      <c r="H34" s="220">
        <f>('Bilan 2033'!$C$28+'Bilan 2033'!$C$31)*(1-SUM('Bilan 2033'!$M$26:$P$34)/'Bilan 2033'!$D$30)+'Bilan 2033'!$C$38+'Bilan 2033'!$C$39+'Bilan 2033'!$C$40</f>
        <v>57.250162734693113</v>
      </c>
      <c r="I34" s="220">
        <f>('Bilan 2035'!$C$28+'Bilan 2035'!$C$31)*(1-SUM('Bilan 2035'!$M$26:$P$34)/'Bilan 2035'!$D$30)+'Bilan 2035'!$C$38+'Bilan 2035'!$C$39+'Bilan 2035'!$C$40</f>
        <v>60.660929668887476</v>
      </c>
      <c r="J34" s="220">
        <f>('Bilan 2038'!$C$28+'Bilan 2038'!$C$31)*(1-SUM('Bilan 2038'!$M$26:$P$34)/'Bilan 2038'!$D$30)+'Bilan 2038'!$C$38+'Bilan 2038'!$C$39+'Bilan 2038'!$C$40</f>
        <v>63.670190049073604</v>
      </c>
      <c r="K34" s="220">
        <f>('Bilan 2040'!$C$28+'Bilan 2040'!$C$31)*(1-SUM('Bilan 2040'!$M$26:$P$34)/'Bilan 2040'!$D$30)+'Bilan 2040'!$C$38+'Bilan 2040'!$C$39+'Bilan 2040'!$C$40</f>
        <v>65.736950202079697</v>
      </c>
      <c r="L34" s="220">
        <f>('Bilan 2045'!$C$28+'Bilan 2045'!$C$31)*(1-SUM('Bilan 2045'!$M$26:$P$34)/'Bilan 2045'!$D$30)+'Bilan 2045'!$C$38+'Bilan 2045'!$C$39+'Bilan 2045'!$C$40</f>
        <v>70.819814202540698</v>
      </c>
      <c r="M34" s="220">
        <f>('Bilan 2050'!$C$28+'Bilan 2050'!$C$31)*(1-SUM('Bilan 2050'!$M$26:$P$34)/'Bilan 2050'!$D$30)+'Bilan 2050'!$C$38+'Bilan 2050'!$C$39+'Bilan 2050'!$C$40</f>
        <v>77.94621591512923</v>
      </c>
      <c r="N34" s="216">
        <f>'Bilan 2020'!$C$31+'Bilan 2020'!$C$38+'Bilan 2020'!$C$39+'Bilan 2020'!$C$40-C34</f>
        <v>0</v>
      </c>
      <c r="O34" s="216">
        <f>'Bilan 2030'!$C$31+'Bilan 2030'!$C$38+'Bilan 2030'!$C$39+'Bilan 2030'!$C$40-G34</f>
        <v>0</v>
      </c>
      <c r="P34" s="216">
        <f>'Bilan 2050'!$C$31+'Bilan 2050'!$C$38+'Bilan 2050'!$C$39+'Bilan 2050'!$C$40-M34</f>
        <v>0</v>
      </c>
      <c r="Q34" s="570" t="s">
        <v>20</v>
      </c>
      <c r="R34" s="219">
        <f t="shared" ref="R34:U41" si="129">R8/R$7</f>
        <v>0.86202325294746307</v>
      </c>
      <c r="S34" s="219">
        <f t="shared" si="129"/>
        <v>0.8319093450874363</v>
      </c>
      <c r="T34" s="219">
        <f t="shared" si="129"/>
        <v>0.81548413089660676</v>
      </c>
      <c r="U34" s="219">
        <f t="shared" si="129"/>
        <v>0.83812798705647373</v>
      </c>
      <c r="V34" s="219">
        <f t="shared" ref="V34:AC34" si="130">V8/V$7</f>
        <v>0.82805750755091168</v>
      </c>
      <c r="W34" s="219">
        <f t="shared" si="130"/>
        <v>0.82301541444018644</v>
      </c>
      <c r="X34" s="219">
        <f t="shared" si="130"/>
        <v>0.80009940939767576</v>
      </c>
      <c r="Y34" s="219">
        <f t="shared" si="130"/>
        <v>0.78393707633842769</v>
      </c>
      <c r="Z34" s="219">
        <f t="shared" si="130"/>
        <v>0.75719532674375278</v>
      </c>
      <c r="AA34" s="219">
        <f t="shared" si="130"/>
        <v>0.73834105053692345</v>
      </c>
      <c r="AB34" s="219">
        <f t="shared" si="130"/>
        <v>0.68888832045756687</v>
      </c>
      <c r="AC34" s="219">
        <f t="shared" si="130"/>
        <v>0.62152708272801371</v>
      </c>
      <c r="AE34" s="205" t="s">
        <v>268</v>
      </c>
      <c r="AF34" s="219">
        <f t="shared" si="127"/>
        <v>5.384052931341992E-2</v>
      </c>
      <c r="AG34" s="219">
        <f t="shared" si="127"/>
        <v>5.9525656813025352E-2</v>
      </c>
      <c r="AH34" s="219">
        <f t="shared" si="127"/>
        <v>6.5987239831431621E-2</v>
      </c>
      <c r="AI34" s="219">
        <f t="shared" si="127"/>
        <v>7.4310721883880687E-2</v>
      </c>
      <c r="AJ34" s="219">
        <f t="shared" si="127"/>
        <v>7.5245541123967016E-2</v>
      </c>
      <c r="AK34" s="219">
        <f t="shared" si="127"/>
        <v>7.6036234804751732E-2</v>
      </c>
      <c r="AL34" s="219">
        <f t="shared" si="127"/>
        <v>7.6851868864103182E-2</v>
      </c>
      <c r="AM34" s="219">
        <f t="shared" si="127"/>
        <v>7.751405705813938E-2</v>
      </c>
      <c r="AN34" s="219">
        <f t="shared" si="127"/>
        <v>7.8733329295918419E-2</v>
      </c>
      <c r="AO34" s="219">
        <f t="shared" si="127"/>
        <v>7.9651983803770768E-2</v>
      </c>
      <c r="AP34" s="219">
        <f t="shared" si="127"/>
        <v>8.260280323629203E-2</v>
      </c>
      <c r="AQ34" s="219">
        <f>(AQ5+AQ7)/AQ$3</f>
        <v>8.493789068504326E-2</v>
      </c>
      <c r="AS34" s="205" t="s">
        <v>268</v>
      </c>
      <c r="AT34" s="219">
        <f t="shared" si="128"/>
        <v>4.4318172218144609E-2</v>
      </c>
      <c r="AU34" s="219">
        <f t="shared" si="128"/>
        <v>4.8384435797815567E-2</v>
      </c>
      <c r="AV34" s="219">
        <f t="shared" si="128"/>
        <v>5.5794528703054319E-2</v>
      </c>
      <c r="AW34" s="219">
        <f t="shared" si="128"/>
        <v>6.085197749335635E-2</v>
      </c>
      <c r="AX34" s="219">
        <f t="shared" si="128"/>
        <v>6.0842287364988312E-2</v>
      </c>
      <c r="AY34" s="219">
        <f t="shared" si="128"/>
        <v>6.087303482291171E-2</v>
      </c>
      <c r="AZ34" s="219">
        <f t="shared" si="128"/>
        <v>6.0711601615086562E-2</v>
      </c>
      <c r="BA34" s="219">
        <f t="shared" si="128"/>
        <v>6.0605473463672031E-2</v>
      </c>
      <c r="BB34" s="219">
        <f t="shared" si="128"/>
        <v>6.0687993440769743E-2</v>
      </c>
      <c r="BC34" s="219">
        <f t="shared" si="128"/>
        <v>6.0729358909731815E-2</v>
      </c>
      <c r="BD34" s="219">
        <f t="shared" si="128"/>
        <v>6.19129498146763E-2</v>
      </c>
      <c r="BE34" s="219">
        <f>(BE5+BE7)/BE$3</f>
        <v>6.3489632404857943E-2</v>
      </c>
    </row>
    <row r="35" spans="1:57" ht="12.75" x14ac:dyDescent="0.2">
      <c r="A35" s="211"/>
      <c r="B35" s="212"/>
      <c r="C35" s="212"/>
      <c r="D35" s="577"/>
      <c r="E35" s="212"/>
      <c r="F35" s="212"/>
      <c r="G35" s="212"/>
      <c r="H35" s="212"/>
      <c r="I35" s="212"/>
      <c r="J35" s="212"/>
      <c r="K35" s="212"/>
      <c r="L35" s="212"/>
      <c r="M35" s="577"/>
      <c r="N35" s="573"/>
      <c r="O35" s="573"/>
      <c r="P35" s="573"/>
      <c r="Q35" s="570" t="s">
        <v>306</v>
      </c>
      <c r="R35" s="219">
        <f t="shared" si="129"/>
        <v>5.3804459220638239E-3</v>
      </c>
      <c r="S35" s="219">
        <f t="shared" si="129"/>
        <v>2.6704296134811398E-3</v>
      </c>
      <c r="T35" s="219">
        <f t="shared" si="129"/>
        <v>6.4607943328156498E-3</v>
      </c>
      <c r="U35" s="219">
        <f t="shared" si="129"/>
        <v>5.5112039660866223E-3</v>
      </c>
      <c r="V35" s="219">
        <f t="shared" ref="V35:AC35" si="131">V9/V$7</f>
        <v>5.323922276352918E-3</v>
      </c>
      <c r="W35" s="219">
        <f t="shared" si="131"/>
        <v>5.2112878208008242E-3</v>
      </c>
      <c r="X35" s="219">
        <f t="shared" si="131"/>
        <v>5.5682797048299893E-3</v>
      </c>
      <c r="Y35" s="219">
        <f t="shared" si="131"/>
        <v>5.8191287360745926E-3</v>
      </c>
      <c r="Z35" s="219">
        <f t="shared" si="131"/>
        <v>5.8069806687042064E-3</v>
      </c>
      <c r="AA35" s="219">
        <f t="shared" si="131"/>
        <v>5.7981695436124837E-3</v>
      </c>
      <c r="AB35" s="219">
        <f t="shared" si="131"/>
        <v>6.4814130363997436E-3</v>
      </c>
      <c r="AC35" s="219">
        <f t="shared" si="131"/>
        <v>6.8965520922920822E-3</v>
      </c>
      <c r="AE35" s="205" t="s">
        <v>181</v>
      </c>
      <c r="AF35" s="205"/>
      <c r="AG35" s="205"/>
      <c r="AH35" s="205"/>
      <c r="AI35" s="205"/>
      <c r="AJ35" s="205"/>
      <c r="AK35" s="205"/>
      <c r="AL35" s="205"/>
      <c r="AM35" s="205"/>
      <c r="AN35" s="205"/>
      <c r="AO35" s="205"/>
      <c r="AP35" s="205"/>
      <c r="AQ35" s="205"/>
      <c r="AS35" s="205" t="s">
        <v>181</v>
      </c>
      <c r="AT35" s="205"/>
      <c r="AU35" s="205"/>
      <c r="AV35" s="205"/>
      <c r="AW35" s="205"/>
      <c r="AX35" s="205"/>
      <c r="AY35" s="205"/>
      <c r="AZ35" s="205"/>
      <c r="BA35" s="205"/>
      <c r="BB35" s="205"/>
      <c r="BC35" s="205"/>
      <c r="BD35" s="205"/>
      <c r="BE35" s="205"/>
    </row>
    <row r="36" spans="1:57" ht="12.75" x14ac:dyDescent="0.2">
      <c r="A36" s="211"/>
      <c r="B36" s="212"/>
      <c r="C36" s="212"/>
      <c r="D36" s="577"/>
      <c r="E36" s="212"/>
      <c r="F36" s="212"/>
      <c r="G36" s="212"/>
      <c r="H36" s="212"/>
      <c r="I36" s="212"/>
      <c r="J36" s="212"/>
      <c r="K36" s="212"/>
      <c r="L36" s="212"/>
      <c r="M36" s="577"/>
      <c r="N36" s="573"/>
      <c r="O36" s="573"/>
      <c r="P36" s="573"/>
      <c r="Q36" s="570" t="s">
        <v>307</v>
      </c>
      <c r="R36" s="219">
        <f t="shared" si="129"/>
        <v>2.9185590827319443E-2</v>
      </c>
      <c r="S36" s="219">
        <f t="shared" si="129"/>
        <v>4.7131047544950254E-2</v>
      </c>
      <c r="T36" s="219">
        <f t="shared" si="129"/>
        <v>4.1757376858592467E-2</v>
      </c>
      <c r="U36" s="219">
        <f t="shared" si="129"/>
        <v>1.334981034372373E-2</v>
      </c>
      <c r="V36" s="219">
        <f t="shared" ref="V36:AC36" si="132">V10/V$7</f>
        <v>1.2900284932229521E-2</v>
      </c>
      <c r="W36" s="219">
        <f t="shared" si="132"/>
        <v>1.2637158881878347E-2</v>
      </c>
      <c r="X36" s="219">
        <f t="shared" si="132"/>
        <v>1.2881215882816533E-2</v>
      </c>
      <c r="Y36" s="219">
        <f t="shared" si="132"/>
        <v>1.3054881786228822E-2</v>
      </c>
      <c r="Z36" s="219">
        <f t="shared" si="132"/>
        <v>1.3306100851430651E-2</v>
      </c>
      <c r="AA36" s="219">
        <f t="shared" si="132"/>
        <v>1.3484912423689486E-2</v>
      </c>
      <c r="AB36" s="219">
        <f t="shared" si="132"/>
        <v>1.4009598175714908E-2</v>
      </c>
      <c r="AC36" s="219">
        <f t="shared" si="132"/>
        <v>4.0684470165026916E-2</v>
      </c>
      <c r="AE36" s="201" t="s">
        <v>104</v>
      </c>
      <c r="AF36" s="201"/>
      <c r="AG36" s="201"/>
      <c r="AH36" s="201"/>
      <c r="AI36" s="201"/>
      <c r="AJ36" s="201"/>
      <c r="AK36" s="201"/>
      <c r="AL36" s="201"/>
      <c r="AM36" s="201"/>
      <c r="AN36" s="201"/>
      <c r="AO36" s="201"/>
      <c r="AP36" s="201"/>
      <c r="AQ36" s="201"/>
      <c r="AS36" s="201" t="s">
        <v>104</v>
      </c>
      <c r="AT36" s="201"/>
      <c r="AU36" s="201"/>
      <c r="AV36" s="201"/>
      <c r="AW36" s="201"/>
      <c r="AX36" s="201"/>
      <c r="AY36" s="201"/>
      <c r="AZ36" s="201"/>
      <c r="BA36" s="201"/>
      <c r="BB36" s="201"/>
      <c r="BC36" s="201"/>
      <c r="BD36" s="201"/>
      <c r="BE36" s="201"/>
    </row>
    <row r="37" spans="1:57" ht="12.75" x14ac:dyDescent="0.2">
      <c r="A37" s="209"/>
      <c r="B37" s="210"/>
      <c r="C37" s="210"/>
      <c r="D37" s="576"/>
      <c r="E37" s="210"/>
      <c r="F37" s="210"/>
      <c r="G37" s="210"/>
      <c r="H37" s="210"/>
      <c r="I37" s="210"/>
      <c r="J37" s="210"/>
      <c r="K37" s="210"/>
      <c r="L37" s="210"/>
      <c r="M37" s="576"/>
      <c r="N37" s="573"/>
      <c r="O37" s="573"/>
      <c r="P37" s="573"/>
      <c r="Q37" s="570" t="s">
        <v>309</v>
      </c>
      <c r="R37" s="219">
        <f t="shared" si="129"/>
        <v>2.2621393565486383E-2</v>
      </c>
      <c r="S37" s="219">
        <f t="shared" si="129"/>
        <v>7.2588986670967196E-3</v>
      </c>
      <c r="T37" s="219">
        <f t="shared" si="129"/>
        <v>6.4184711514027578E-3</v>
      </c>
      <c r="U37" s="219">
        <f t="shared" si="129"/>
        <v>1.9922837801090269E-3</v>
      </c>
      <c r="V37" s="219">
        <f t="shared" ref="V37:AC37" si="133">V11/V$7</f>
        <v>1.9666846272661125E-3</v>
      </c>
      <c r="W37" s="219">
        <f t="shared" si="133"/>
        <v>1.9536087852376522E-3</v>
      </c>
      <c r="X37" s="219">
        <f t="shared" si="133"/>
        <v>2.0169991882198154E-3</v>
      </c>
      <c r="Y37" s="219">
        <f t="shared" si="133"/>
        <v>2.0614888208650389E-3</v>
      </c>
      <c r="Z37" s="219">
        <f t="shared" si="133"/>
        <v>2.1288924830741842E-3</v>
      </c>
      <c r="AA37" s="219">
        <f t="shared" si="133"/>
        <v>2.1762334812543906E-3</v>
      </c>
      <c r="AB37" s="219">
        <f t="shared" si="133"/>
        <v>2.3095950482852098E-3</v>
      </c>
      <c r="AC37" s="219">
        <f t="shared" si="133"/>
        <v>2.4158558164614785E-3</v>
      </c>
      <c r="AE37" s="205" t="s">
        <v>20</v>
      </c>
      <c r="AF37" s="219">
        <f t="shared" ref="AF37:AQ45" si="134">AF9/AF$8</f>
        <v>0.77604484324903356</v>
      </c>
      <c r="AG37" s="219">
        <f t="shared" si="134"/>
        <v>0.694080913019545</v>
      </c>
      <c r="AH37" s="219">
        <f t="shared" si="134"/>
        <v>0.66755769496138961</v>
      </c>
      <c r="AI37" s="219">
        <f t="shared" si="134"/>
        <v>0.68626280287502539</v>
      </c>
      <c r="AJ37" s="219">
        <f t="shared" si="134"/>
        <v>0.66115142762491208</v>
      </c>
      <c r="AK37" s="219">
        <f t="shared" si="134"/>
        <v>0.64846858622223447</v>
      </c>
      <c r="AL37" s="219">
        <f t="shared" si="134"/>
        <v>0.60809290639199898</v>
      </c>
      <c r="AM37" s="219">
        <f t="shared" si="134"/>
        <v>0.58133482645904555</v>
      </c>
      <c r="AN37" s="219">
        <f t="shared" si="134"/>
        <v>0.53803764681458199</v>
      </c>
      <c r="AO37" s="219">
        <f t="shared" si="134"/>
        <v>0.50934324636234585</v>
      </c>
      <c r="AP37" s="219">
        <f t="shared" si="134"/>
        <v>0.44363771524523193</v>
      </c>
      <c r="AQ37" s="219">
        <f t="shared" si="134"/>
        <v>0.37300389185710525</v>
      </c>
      <c r="AS37" s="205" t="s">
        <v>20</v>
      </c>
      <c r="AT37" s="219">
        <f t="shared" ref="AT37:AV45" si="135">AT9/AT$8</f>
        <v>0.77604484324903356</v>
      </c>
      <c r="AU37" s="219">
        <f t="shared" si="135"/>
        <v>0.694080913019545</v>
      </c>
      <c r="AV37" s="219">
        <f t="shared" si="135"/>
        <v>0.66755769496138961</v>
      </c>
      <c r="AW37" s="219">
        <f t="shared" ref="AW37:BE37" si="136">AV9/AV$8</f>
        <v>0.66755769496138961</v>
      </c>
      <c r="AX37" s="219">
        <f t="shared" si="136"/>
        <v>0.68626280287502539</v>
      </c>
      <c r="AY37" s="219">
        <f t="shared" si="136"/>
        <v>0.66115142762491208</v>
      </c>
      <c r="AZ37" s="219">
        <f t="shared" si="136"/>
        <v>0.64846858622223447</v>
      </c>
      <c r="BA37" s="219">
        <f t="shared" si="136"/>
        <v>0.60809290639199898</v>
      </c>
      <c r="BB37" s="219">
        <f t="shared" si="136"/>
        <v>0.58133482645904555</v>
      </c>
      <c r="BC37" s="219">
        <f t="shared" si="136"/>
        <v>0.53803764681458199</v>
      </c>
      <c r="BD37" s="219">
        <f t="shared" si="136"/>
        <v>0.50934324636234585</v>
      </c>
      <c r="BE37" s="219">
        <f t="shared" si="136"/>
        <v>0.44363771524523193</v>
      </c>
    </row>
    <row r="38" spans="1:57" ht="12.75" x14ac:dyDescent="0.2">
      <c r="A38" s="199" t="s">
        <v>42</v>
      </c>
      <c r="B38" s="200">
        <f>'Bilan 2015'!$C$34*(1-SUM('Bilan 2015'!$M$26:$P$34)/'Bilan 2015'!$D$30)+'Bilan 2015'!$C$46</f>
        <v>5.5315230259769379</v>
      </c>
      <c r="C38" s="200">
        <f>'Bilan 2020'!$C$34*(1-SUM('Bilan 2020'!$M$26:$P$34)/'Bilan 2020'!$D$30)+'Bilan 2020'!$C$46</f>
        <v>49.830275396336631</v>
      </c>
      <c r="D38" s="200">
        <f>'Bilan 2023 réel'!$C$34*(1-SUM('Bilan 2023 réel'!$M$26:$P$34)/'Bilan 2023 réel'!$D$30)+'Bilan 2023 réel'!$C$46</f>
        <v>43.903847385745323</v>
      </c>
      <c r="E38" s="200">
        <f>'Bilan 2025'!$C$34+'Bilan 2025'!$C$46</f>
        <v>49.1086717583973</v>
      </c>
      <c r="F38" s="200">
        <f>'Bilan 2028'!$C$34*(1-SUM('Bilan 2028'!$M$26:$P$34)/'Bilan 2028'!$D$30)+'Bilan 2028'!$C$46</f>
        <v>47.443922460306638</v>
      </c>
      <c r="G38" s="200">
        <f>'Bilan 2030'!$C$34*(1-SUM('Bilan 2030'!$M$26:$P$34)/'Bilan 2030'!$D$30)+'Bilan 2030'!$C$46</f>
        <v>46.34677612109779</v>
      </c>
      <c r="H38" s="200">
        <f>'Bilan 2033'!$C$34*(1-SUM('Bilan 2033'!$M$26:$P$34)/'Bilan 2033'!$D$30)+'Bilan 2033'!$C$46</f>
        <v>46.166677563253685</v>
      </c>
      <c r="I38" s="200">
        <f>'Bilan 2035'!$C$34*(1-SUM('Bilan 2035'!$M$26:$P$34)/'Bilan 2035'!$D$30)+'Bilan 2035'!$C$46</f>
        <v>46.000479590016539</v>
      </c>
      <c r="J38" s="200">
        <f>'Bilan 2038'!$C$34*(1-SUM('Bilan 2038'!$M$26:$P$34)/'Bilan 2038'!$D$30)+'Bilan 2038'!$C$46</f>
        <v>45.545215820424701</v>
      </c>
      <c r="K38" s="200">
        <f>'Bilan 2040'!$C$34*(1-SUM('Bilan 2040'!$M$26:$P$34)/'Bilan 2040'!$D$30)+'Bilan 2040'!$C$46</f>
        <v>45.210854825774298</v>
      </c>
      <c r="L38" s="200">
        <f>'Bilan 2045'!$C$34*(1-SUM('Bilan 2045'!$M$26:$P$34)/'Bilan 2045'!$D$30)+'Bilan 2045'!$C$46</f>
        <v>44.318034238205584</v>
      </c>
      <c r="M38" s="200">
        <f>'Bilan 2050'!$C$34*(1-SUM('Bilan 2050'!$M$26:$P$34)/'Bilan 2050'!$D$30)+'Bilan 2050'!$C$46</f>
        <v>43.273105682596288</v>
      </c>
      <c r="N38" s="216"/>
      <c r="O38" s="216">
        <f>G38-'Bilan 2030'!$C$46</f>
        <v>0</v>
      </c>
      <c r="P38" s="216">
        <f>M38-'Bilan 2050'!$C$46</f>
        <v>0</v>
      </c>
      <c r="Q38" s="570" t="s">
        <v>17</v>
      </c>
      <c r="R38" s="219">
        <f t="shared" si="129"/>
        <v>2.0361553906570299E-2</v>
      </c>
      <c r="S38" s="219">
        <f t="shared" si="129"/>
        <v>3.3815750462641292E-2</v>
      </c>
      <c r="T38" s="219">
        <f t="shared" si="129"/>
        <v>3.9934671731383743E-2</v>
      </c>
      <c r="U38" s="219">
        <f t="shared" si="129"/>
        <v>4.5551657308758764E-2</v>
      </c>
      <c r="V38" s="219">
        <f t="shared" ref="V38:AC38" si="137">V12/V$7</f>
        <v>5.4405063490572676E-2</v>
      </c>
      <c r="W38" s="219">
        <f t="shared" si="137"/>
        <v>5.8259680362645817E-2</v>
      </c>
      <c r="X38" s="219">
        <f t="shared" si="137"/>
        <v>6.8857303119846919E-2</v>
      </c>
      <c r="Y38" s="219">
        <f t="shared" si="137"/>
        <v>7.6308330323316242E-2</v>
      </c>
      <c r="Z38" s="219">
        <f t="shared" si="137"/>
        <v>8.7992388548802744E-2</v>
      </c>
      <c r="AA38" s="219">
        <f t="shared" si="137"/>
        <v>9.6210979478151271E-2</v>
      </c>
      <c r="AB38" s="219">
        <f t="shared" si="137"/>
        <v>0.11871571935262205</v>
      </c>
      <c r="AC38" s="219">
        <f t="shared" si="137"/>
        <v>0.14160367324032028</v>
      </c>
      <c r="AE38" s="205" t="s">
        <v>306</v>
      </c>
      <c r="AF38" s="219">
        <f t="shared" ref="AF38:AQ38" si="138">AF10/AF$8</f>
        <v>6.1271502331526019E-3</v>
      </c>
      <c r="AG38" s="219">
        <f t="shared" si="138"/>
        <v>2.9085724808014545E-3</v>
      </c>
      <c r="AH38" s="219">
        <f t="shared" si="134"/>
        <v>6.5279536828712834E-3</v>
      </c>
      <c r="AI38" s="219">
        <f t="shared" si="138"/>
        <v>5.9768316414400913E-3</v>
      </c>
      <c r="AJ38" s="219">
        <f t="shared" si="138"/>
        <v>5.6512266483537878E-3</v>
      </c>
      <c r="AK38" s="219">
        <f t="shared" si="138"/>
        <v>5.4721539262073257E-3</v>
      </c>
      <c r="AL38" s="219">
        <f t="shared" si="138"/>
        <v>5.6424074214203477E-3</v>
      </c>
      <c r="AM38" s="219">
        <f t="shared" si="138"/>
        <v>5.7552066797420887E-3</v>
      </c>
      <c r="AN38" s="219">
        <f t="shared" si="138"/>
        <v>5.5401745071675529E-3</v>
      </c>
      <c r="AO38" s="219">
        <f t="shared" si="138"/>
        <v>5.397716955759818E-3</v>
      </c>
      <c r="AP38" s="219">
        <f t="shared" si="138"/>
        <v>5.6508105812410406E-3</v>
      </c>
      <c r="AQ38" s="219">
        <f t="shared" si="138"/>
        <v>5.6367924718345097E-3</v>
      </c>
      <c r="AS38" s="205" t="s">
        <v>306</v>
      </c>
      <c r="AT38" s="219">
        <f t="shared" si="135"/>
        <v>6.1271502331526019E-3</v>
      </c>
      <c r="AU38" s="219">
        <f t="shared" si="135"/>
        <v>2.9085724808014545E-3</v>
      </c>
      <c r="AV38" s="219">
        <f t="shared" si="135"/>
        <v>6.5279536828712834E-3</v>
      </c>
      <c r="AW38" s="219">
        <f t="shared" ref="AW38:BE38" si="139">AV10/AV$8</f>
        <v>6.5279536828712834E-3</v>
      </c>
      <c r="AX38" s="219">
        <f t="shared" si="139"/>
        <v>5.9768316414400913E-3</v>
      </c>
      <c r="AY38" s="219">
        <f t="shared" si="139"/>
        <v>5.6512266483537878E-3</v>
      </c>
      <c r="AZ38" s="219">
        <f t="shared" si="139"/>
        <v>5.4721539262073257E-3</v>
      </c>
      <c r="BA38" s="219">
        <f t="shared" si="139"/>
        <v>5.6424074214203477E-3</v>
      </c>
      <c r="BB38" s="219">
        <f t="shared" si="139"/>
        <v>5.7552066797420887E-3</v>
      </c>
      <c r="BC38" s="219">
        <f t="shared" si="139"/>
        <v>5.5401745071675529E-3</v>
      </c>
      <c r="BD38" s="219">
        <f t="shared" si="139"/>
        <v>5.397716955759818E-3</v>
      </c>
      <c r="BE38" s="219">
        <f t="shared" si="139"/>
        <v>5.6508105812410406E-3</v>
      </c>
    </row>
    <row r="39" spans="1:57" ht="12.75" x14ac:dyDescent="0.2">
      <c r="B39" s="215">
        <f>B2-'Bilan 2015'!$C$5</f>
        <v>5.9240456114082463E-3</v>
      </c>
      <c r="C39" s="215">
        <f>C2-'Bilan 2020'!$C$5</f>
        <v>0</v>
      </c>
      <c r="D39" s="215">
        <f>D2-'Bilan 2023 réel'!$C$5</f>
        <v>-5.9426549978579715</v>
      </c>
      <c r="E39" s="215">
        <f>E2-'Bilan 2025'!$C$5</f>
        <v>0</v>
      </c>
      <c r="F39" s="215">
        <f>F2-'Bilan 2028'!$C$5</f>
        <v>0</v>
      </c>
      <c r="G39" s="215">
        <f>G2-'Bilan 2030'!$C$5</f>
        <v>0</v>
      </c>
      <c r="H39" s="215">
        <f>H2-'Bilan 2033'!$C$5</f>
        <v>0</v>
      </c>
      <c r="I39" s="215">
        <f>I2-'Bilan 2035'!$C$5</f>
        <v>0</v>
      </c>
      <c r="J39" s="215">
        <f>J2-'Bilan 2038'!$C$5</f>
        <v>0</v>
      </c>
      <c r="K39" s="215">
        <f>K2-'Bilan 2040'!$C$5</f>
        <v>0</v>
      </c>
      <c r="L39" s="215">
        <f>L2-'Bilan 2045'!$C$5</f>
        <v>0</v>
      </c>
      <c r="M39" s="215">
        <f>M2-'Bilan 2050'!$C$5</f>
        <v>0</v>
      </c>
      <c r="N39" s="215"/>
      <c r="Q39" s="570" t="s">
        <v>279</v>
      </c>
      <c r="R39" s="219">
        <f t="shared" si="129"/>
        <v>8.973441224850694E-3</v>
      </c>
      <c r="S39" s="219">
        <f t="shared" si="129"/>
        <v>1.4902774642990954E-2</v>
      </c>
      <c r="T39" s="219">
        <f t="shared" si="129"/>
        <v>1.6932753282334193E-2</v>
      </c>
      <c r="U39" s="219">
        <f t="shared" si="129"/>
        <v>1.8596016361445294E-2</v>
      </c>
      <c r="V39" s="219">
        <f t="shared" ref="V39:AC39" si="140">V13/V$7</f>
        <v>2.258643009468507E-2</v>
      </c>
      <c r="W39" s="219">
        <f t="shared" si="140"/>
        <v>2.5244926493202331E-2</v>
      </c>
      <c r="X39" s="219">
        <f t="shared" si="140"/>
        <v>3.5140868755902138E-2</v>
      </c>
      <c r="Y39" s="219">
        <f t="shared" si="140"/>
        <v>4.2094017501490624E-2</v>
      </c>
      <c r="Z39" s="219">
        <f t="shared" si="140"/>
        <v>5.3033168020407591E-2</v>
      </c>
      <c r="AA39" s="219">
        <f t="shared" si="140"/>
        <v>6.072549279248908E-2</v>
      </c>
      <c r="AB39" s="219">
        <f t="shared" si="140"/>
        <v>8.1713524410134061E-2</v>
      </c>
      <c r="AC39" s="219">
        <f t="shared" si="140"/>
        <v>9.4931765336635943E-2</v>
      </c>
      <c r="AE39" s="205" t="s">
        <v>307</v>
      </c>
      <c r="AF39" s="219">
        <f t="shared" ref="AF39:AQ39" si="141">AF11/AF$8</f>
        <v>4.0007013777969315E-2</v>
      </c>
      <c r="AG39" s="219">
        <f t="shared" si="141"/>
        <v>5.6350954748359057E-2</v>
      </c>
      <c r="AH39" s="219">
        <f t="shared" si="134"/>
        <v>4.6635432491328045E-2</v>
      </c>
      <c r="AI39" s="219">
        <f t="shared" si="141"/>
        <v>1.7020981953208437E-2</v>
      </c>
      <c r="AJ39" s="219">
        <f t="shared" si="141"/>
        <v>1.6460154277405652E-2</v>
      </c>
      <c r="AK39" s="219">
        <f t="shared" si="141"/>
        <v>1.618424144690201E-2</v>
      </c>
      <c r="AL39" s="219">
        <f t="shared" si="141"/>
        <v>1.6123941640849643E-2</v>
      </c>
      <c r="AM39" s="219">
        <f t="shared" si="141"/>
        <v>1.6083990781743111E-2</v>
      </c>
      <c r="AN39" s="219">
        <f t="shared" si="141"/>
        <v>1.6023439206223154E-2</v>
      </c>
      <c r="AO39" s="219">
        <f t="shared" si="141"/>
        <v>1.5983324143071558E-2</v>
      </c>
      <c r="AP39" s="219">
        <f t="shared" si="141"/>
        <v>1.5885110313895147E-2</v>
      </c>
      <c r="AQ39" s="219">
        <f t="shared" si="141"/>
        <v>4.4374827700718857E-2</v>
      </c>
      <c r="AS39" s="205" t="s">
        <v>307</v>
      </c>
      <c r="AT39" s="219">
        <f t="shared" si="135"/>
        <v>4.0007013777969315E-2</v>
      </c>
      <c r="AU39" s="219">
        <f t="shared" si="135"/>
        <v>5.6350954748359057E-2</v>
      </c>
      <c r="AV39" s="219">
        <f t="shared" si="135"/>
        <v>4.6635432491328045E-2</v>
      </c>
      <c r="AW39" s="219">
        <f t="shared" ref="AW39:BE39" si="142">AV11/AV$8</f>
        <v>4.6635432491328045E-2</v>
      </c>
      <c r="AX39" s="219">
        <f t="shared" si="142"/>
        <v>1.7020981953208437E-2</v>
      </c>
      <c r="AY39" s="219">
        <f t="shared" si="142"/>
        <v>1.6460154277405652E-2</v>
      </c>
      <c r="AZ39" s="219">
        <f t="shared" si="142"/>
        <v>1.618424144690201E-2</v>
      </c>
      <c r="BA39" s="219">
        <f t="shared" si="142"/>
        <v>1.6123941640849643E-2</v>
      </c>
      <c r="BB39" s="219">
        <f t="shared" si="142"/>
        <v>1.6083990781743111E-2</v>
      </c>
      <c r="BC39" s="219">
        <f t="shared" si="142"/>
        <v>1.6023439206223154E-2</v>
      </c>
      <c r="BD39" s="219">
        <f t="shared" si="142"/>
        <v>1.5983324143071558E-2</v>
      </c>
      <c r="BE39" s="219">
        <f t="shared" si="142"/>
        <v>1.5885110313895147E-2</v>
      </c>
    </row>
    <row r="40" spans="1:57" ht="12.75" x14ac:dyDescent="0.2">
      <c r="A40" s="193" t="s">
        <v>310</v>
      </c>
      <c r="B40" s="222"/>
      <c r="M40" s="222"/>
      <c r="N40" s="221"/>
      <c r="Q40" s="570" t="s">
        <v>415</v>
      </c>
      <c r="R40" s="219">
        <f t="shared" si="129"/>
        <v>2.4880905214358741E-2</v>
      </c>
      <c r="S40" s="219">
        <f t="shared" si="129"/>
        <v>4.1321329691929462E-2</v>
      </c>
      <c r="T40" s="219">
        <f t="shared" si="129"/>
        <v>4.816510894919631E-2</v>
      </c>
      <c r="U40" s="219">
        <f t="shared" si="129"/>
        <v>4.3629115309544726E-2</v>
      </c>
      <c r="V40" s="219">
        <f t="shared" ref="V40:AC40" si="143">V14/V$7</f>
        <v>4.3055382367993417E-2</v>
      </c>
      <c r="W40" s="219">
        <f t="shared" si="143"/>
        <v>4.2776125446815055E-2</v>
      </c>
      <c r="X40" s="219">
        <f t="shared" si="143"/>
        <v>4.4106851730659064E-2</v>
      </c>
      <c r="Y40" s="219">
        <f t="shared" si="143"/>
        <v>4.5047983641946107E-2</v>
      </c>
      <c r="Z40" s="219">
        <f t="shared" si="143"/>
        <v>4.6480219098345738E-2</v>
      </c>
      <c r="AA40" s="219">
        <f t="shared" si="143"/>
        <v>4.7490449491561962E-2</v>
      </c>
      <c r="AB40" s="219">
        <f t="shared" si="143"/>
        <v>5.0348737262809883E-2</v>
      </c>
      <c r="AC40" s="219">
        <f t="shared" si="143"/>
        <v>5.2643978959407214E-2</v>
      </c>
      <c r="AE40" s="205" t="s">
        <v>309</v>
      </c>
      <c r="AF40" s="219">
        <f t="shared" ref="AF40:AQ40" si="144">AF12/AF$8</f>
        <v>1.8890013217206594E-2</v>
      </c>
      <c r="AG40" s="219">
        <f t="shared" si="144"/>
        <v>5.7328032960696287E-3</v>
      </c>
      <c r="AH40" s="219">
        <f t="shared" si="134"/>
        <v>4.9346619918259954E-3</v>
      </c>
      <c r="AI40" s="219">
        <f t="shared" si="144"/>
        <v>1.5640300876431196E-3</v>
      </c>
      <c r="AJ40" s="219">
        <f t="shared" si="144"/>
        <v>1.5112201922765753E-3</v>
      </c>
      <c r="AK40" s="219">
        <f t="shared" si="144"/>
        <v>1.48505176621444E-3</v>
      </c>
      <c r="AL40" s="219">
        <f t="shared" si="144"/>
        <v>1.4795187090258009E-3</v>
      </c>
      <c r="AM40" s="219">
        <f t="shared" si="144"/>
        <v>1.4758528533184085E-3</v>
      </c>
      <c r="AN40" s="219">
        <f t="shared" si="144"/>
        <v>1.4702966939847747E-3</v>
      </c>
      <c r="AO40" s="219">
        <f t="shared" si="144"/>
        <v>1.4666157710585739E-3</v>
      </c>
      <c r="AP40" s="219">
        <f t="shared" si="144"/>
        <v>1.4576037564415381E-3</v>
      </c>
      <c r="AQ40" s="219">
        <f t="shared" si="144"/>
        <v>1.4293035257467814E-3</v>
      </c>
      <c r="AS40" s="205" t="s">
        <v>309</v>
      </c>
      <c r="AT40" s="219">
        <f t="shared" si="135"/>
        <v>1.8890013217206594E-2</v>
      </c>
      <c r="AU40" s="219">
        <f t="shared" si="135"/>
        <v>5.7328032960696287E-3</v>
      </c>
      <c r="AV40" s="219">
        <f t="shared" si="135"/>
        <v>4.9346619918259954E-3</v>
      </c>
      <c r="AW40" s="219">
        <f t="shared" ref="AW40:BE40" si="145">AW12/AW$8</f>
        <v>1.5640300876431196E-3</v>
      </c>
      <c r="AX40" s="219">
        <f t="shared" si="145"/>
        <v>1.5112201922765753E-3</v>
      </c>
      <c r="AY40" s="219">
        <f t="shared" si="145"/>
        <v>1.48505176621444E-3</v>
      </c>
      <c r="AZ40" s="219">
        <f t="shared" si="145"/>
        <v>1.4795187090258009E-3</v>
      </c>
      <c r="BA40" s="219">
        <f t="shared" si="145"/>
        <v>1.4758528533184085E-3</v>
      </c>
      <c r="BB40" s="219">
        <f t="shared" si="145"/>
        <v>1.4702966939847747E-3</v>
      </c>
      <c r="BC40" s="219">
        <f t="shared" si="145"/>
        <v>1.4666157710585739E-3</v>
      </c>
      <c r="BD40" s="219">
        <f t="shared" si="145"/>
        <v>1.4576037564415381E-3</v>
      </c>
      <c r="BE40" s="219">
        <f t="shared" si="145"/>
        <v>1.4293035257467814E-3</v>
      </c>
    </row>
    <row r="41" spans="1:57" ht="12.75" x14ac:dyDescent="0.2">
      <c r="A41" s="193" t="s">
        <v>311</v>
      </c>
      <c r="B41" s="222">
        <f>B2-SUM('Bilan 2015'!D51:D55)</f>
        <v>255.89471571902516</v>
      </c>
      <c r="C41" s="222">
        <f>C2-SUM('Bilan 2020'!E51:E55)</f>
        <v>2389.4727507478074</v>
      </c>
      <c r="D41" s="222">
        <f>D2-SUM('Bilan 2023 réel'!F51:F55)</f>
        <v>2530.4302210668016</v>
      </c>
      <c r="E41" s="222">
        <f>E2-SUM('Bilan 2025'!G51:G55)</f>
        <v>2724.2956738723865</v>
      </c>
      <c r="F41" s="222">
        <f>F2-SUM('Bilan 2028'!B51:B55)</f>
        <v>2678.5122863720326</v>
      </c>
      <c r="G41" s="222">
        <f>G2-SUM('Bilan 2030'!H51:H55)</f>
        <v>2645.6934582813483</v>
      </c>
      <c r="H41" s="222">
        <f>H2-SUM('Bilan 2033'!D51:D55)</f>
        <v>2557.1577904897672</v>
      </c>
      <c r="I41" s="222">
        <f>I2-SUM('Bilan 2035'!E51:E55)</f>
        <v>2331.6128628761285</v>
      </c>
      <c r="J41" s="222">
        <f>J2-SUM('Bilan 2038'!F51:F55)</f>
        <v>2418.1247907368247</v>
      </c>
      <c r="K41" s="222">
        <f>K2-SUM('Bilan 2040'!G51:G55)</f>
        <v>2364.6954821727313</v>
      </c>
      <c r="L41" s="222">
        <f>L2-SUM('Bilan 2045'!H51:H55)</f>
        <v>2245.6361672888593</v>
      </c>
      <c r="M41" s="222">
        <f>M2-SUM('Bilan 2050'!I51:I55)</f>
        <v>2161.9320758013637</v>
      </c>
      <c r="N41" s="221"/>
      <c r="Q41" s="570" t="s">
        <v>282</v>
      </c>
      <c r="R41" s="219">
        <f t="shared" si="129"/>
        <v>2.6573416391887612E-2</v>
      </c>
      <c r="S41" s="219">
        <f t="shared" si="129"/>
        <v>2.0990424289473866E-2</v>
      </c>
      <c r="T41" s="219">
        <f t="shared" si="129"/>
        <v>2.4846692797668046E-2</v>
      </c>
      <c r="U41" s="219">
        <f t="shared" si="129"/>
        <v>3.32419258738582E-2</v>
      </c>
      <c r="V41" s="219">
        <f t="shared" ref="V41:AC41" si="146">V15/V$7</f>
        <v>3.170472465998854E-2</v>
      </c>
      <c r="W41" s="219">
        <f t="shared" si="146"/>
        <v>3.0901797769233467E-2</v>
      </c>
      <c r="X41" s="219">
        <f t="shared" si="146"/>
        <v>3.1329072220049652E-2</v>
      </c>
      <c r="Y41" s="219">
        <f t="shared" si="146"/>
        <v>3.1677092851651101E-2</v>
      </c>
      <c r="Z41" s="219">
        <f t="shared" si="146"/>
        <v>3.4056923585482277E-2</v>
      </c>
      <c r="AA41" s="219">
        <f t="shared" si="146"/>
        <v>3.5772712252317887E-2</v>
      </c>
      <c r="AB41" s="219">
        <f t="shared" si="146"/>
        <v>3.7533092256467317E-2</v>
      </c>
      <c r="AC41" s="219">
        <f t="shared" si="146"/>
        <v>3.9296621661842446E-2</v>
      </c>
      <c r="AE41" s="202" t="s">
        <v>21</v>
      </c>
      <c r="AF41" s="202"/>
      <c r="AG41" s="219">
        <f t="shared" ref="AG41:AQ41" si="147">AG13/AG$8</f>
        <v>5.1960185794578144E-3</v>
      </c>
      <c r="AH41" s="219">
        <f t="shared" si="134"/>
        <v>6.4484069721056064E-3</v>
      </c>
      <c r="AI41" s="219">
        <f t="shared" si="147"/>
        <v>4.4036607550193156E-4</v>
      </c>
      <c r="AJ41" s="219">
        <f t="shared" si="147"/>
        <v>4.2964648563218811E-4</v>
      </c>
      <c r="AK41" s="219">
        <f t="shared" si="147"/>
        <v>4.2497136282513756E-4</v>
      </c>
      <c r="AL41" s="219">
        <f t="shared" si="147"/>
        <v>4.356411699935685E-4</v>
      </c>
      <c r="AM41" s="219">
        <f t="shared" si="147"/>
        <v>4.4287383659631706E-4</v>
      </c>
      <c r="AN41" s="219">
        <f t="shared" si="147"/>
        <v>4.4338482797790375E-4</v>
      </c>
      <c r="AO41" s="219">
        <f t="shared" si="147"/>
        <v>4.4373291828014828E-4</v>
      </c>
      <c r="AP41" s="219">
        <f t="shared" si="147"/>
        <v>4.4428567375379716E-4</v>
      </c>
      <c r="AQ41" s="219">
        <f t="shared" si="147"/>
        <v>1.0262649291766055E-3</v>
      </c>
      <c r="AS41" s="202" t="s">
        <v>21</v>
      </c>
      <c r="AT41" s="202"/>
      <c r="AU41" s="219">
        <f t="shared" ref="AU41:AU44" si="148">AU13/AU$8</f>
        <v>5.1960185794578144E-3</v>
      </c>
      <c r="AV41" s="219">
        <f t="shared" si="135"/>
        <v>6.4484069721056064E-3</v>
      </c>
      <c r="AW41" s="219">
        <f t="shared" ref="AW41:BE41" si="149">AW13/AW$8</f>
        <v>4.4036607550193156E-4</v>
      </c>
      <c r="AX41" s="219">
        <f t="shared" si="149"/>
        <v>4.2964648563218811E-4</v>
      </c>
      <c r="AY41" s="219">
        <f t="shared" si="149"/>
        <v>4.2497136282513756E-4</v>
      </c>
      <c r="AZ41" s="219">
        <f t="shared" si="149"/>
        <v>4.356411699935685E-4</v>
      </c>
      <c r="BA41" s="219">
        <f t="shared" si="149"/>
        <v>4.4287383659631706E-4</v>
      </c>
      <c r="BB41" s="219">
        <f t="shared" si="149"/>
        <v>4.4338482797790375E-4</v>
      </c>
      <c r="BC41" s="219">
        <f t="shared" si="149"/>
        <v>4.4373291828014828E-4</v>
      </c>
      <c r="BD41" s="219">
        <f t="shared" si="149"/>
        <v>4.4428567375379716E-4</v>
      </c>
      <c r="BE41" s="219">
        <f t="shared" si="149"/>
        <v>1.0262649291766055E-3</v>
      </c>
    </row>
    <row r="42" spans="1:57" ht="12.75" x14ac:dyDescent="0.2">
      <c r="A42" s="193" t="s">
        <v>312</v>
      </c>
      <c r="B42" s="222" t="str">
        <f>('Bilan 2015'!B13)</f>
        <v>Bois énergie</v>
      </c>
      <c r="C42" s="222">
        <f>('Bilan 2020'!C13)</f>
        <v>15.525267102350799</v>
      </c>
      <c r="D42" s="222">
        <f>('Bilan 2023 réel'!$C$13)</f>
        <v>19.77483105751633</v>
      </c>
      <c r="E42" s="222">
        <f>('Bilan 2025'!$C$13)</f>
        <v>34.217577807887082</v>
      </c>
      <c r="F42" s="222">
        <f>('Bilan 2028'!$C$13)</f>
        <v>32.565743560582284</v>
      </c>
      <c r="G42" s="222">
        <f>('Bilan 2030'!$C$13)</f>
        <v>31.567770517320518</v>
      </c>
      <c r="H42" s="222">
        <f>('Bilan 2033'!$C$13)</f>
        <v>30.869450548245954</v>
      </c>
      <c r="I42" s="222">
        <f>('Bilan 2035'!$C$13)</f>
        <v>30.45355250478201</v>
      </c>
      <c r="J42" s="222">
        <f>('Bilan 2038'!$C$13)</f>
        <v>29.95115714704033</v>
      </c>
      <c r="K42" s="222">
        <f>('Bilan 2040'!$C$13)</f>
        <v>29.657322749860491</v>
      </c>
      <c r="L42" s="222">
        <f>('Bilan 2045'!$C$13)</f>
        <v>28.98717588629853</v>
      </c>
      <c r="M42" s="222">
        <f>('Bilan 2050'!$C$13)</f>
        <v>28.452469116356035</v>
      </c>
      <c r="N42" s="221"/>
      <c r="Q42" s="569" t="s">
        <v>285</v>
      </c>
      <c r="R42" s="201"/>
      <c r="S42" s="201"/>
      <c r="T42" s="201"/>
      <c r="U42" s="201"/>
      <c r="V42" s="201"/>
      <c r="W42" s="201"/>
      <c r="X42" s="201"/>
      <c r="Y42" s="201"/>
      <c r="Z42" s="201"/>
      <c r="AA42" s="201"/>
      <c r="AB42" s="201"/>
      <c r="AC42" s="201"/>
      <c r="AE42" s="205" t="s">
        <v>17</v>
      </c>
      <c r="AF42" s="219">
        <f t="shared" ref="AF42:AF44" si="150">AF14/AF$8</f>
        <v>5.3449221223827795E-2</v>
      </c>
      <c r="AG42" s="219">
        <f t="shared" ref="AG42:AQ42" si="151">AG14/AG$8</f>
        <v>8.3952357055837243E-2</v>
      </c>
      <c r="AH42" s="219">
        <f t="shared" si="134"/>
        <v>9.6514706139898057E-2</v>
      </c>
      <c r="AI42" s="219">
        <f t="shared" si="151"/>
        <v>0.11241673965643542</v>
      </c>
      <c r="AJ42" s="219">
        <f t="shared" si="151"/>
        <v>0.13142114863964577</v>
      </c>
      <c r="AK42" s="219">
        <f t="shared" si="151"/>
        <v>0.13922108433831445</v>
      </c>
      <c r="AL42" s="219">
        <f t="shared" si="151"/>
        <v>0.15878068447148266</v>
      </c>
      <c r="AM42" s="219">
        <f t="shared" si="151"/>
        <v>0.17173821718779819</v>
      </c>
      <c r="AN42" s="219">
        <f t="shared" si="151"/>
        <v>0.19104218865275124</v>
      </c>
      <c r="AO42" s="219">
        <f t="shared" si="151"/>
        <v>0.20383015124236387</v>
      </c>
      <c r="AP42" s="219">
        <f t="shared" si="151"/>
        <v>0.235529222964451</v>
      </c>
      <c r="AQ42" s="219">
        <f t="shared" si="151"/>
        <v>0.26336672852645704</v>
      </c>
      <c r="AS42" s="205" t="s">
        <v>17</v>
      </c>
      <c r="AT42" s="219">
        <f t="shared" ref="AT42:AT44" si="152">AT14/AT$8</f>
        <v>5.3449221223827795E-2</v>
      </c>
      <c r="AU42" s="219">
        <f t="shared" si="148"/>
        <v>8.3952357055837243E-2</v>
      </c>
      <c r="AV42" s="219">
        <f t="shared" si="135"/>
        <v>9.6514706139898057E-2</v>
      </c>
      <c r="AW42" s="219">
        <f t="shared" ref="AW42:BE42" si="153">AW14/AW$8</f>
        <v>0.11241673965643542</v>
      </c>
      <c r="AX42" s="219">
        <f t="shared" si="153"/>
        <v>0.13142114863964577</v>
      </c>
      <c r="AY42" s="219">
        <f t="shared" si="153"/>
        <v>0.13922108433831445</v>
      </c>
      <c r="AZ42" s="219">
        <f t="shared" si="153"/>
        <v>0.15878068447148266</v>
      </c>
      <c r="BA42" s="219">
        <f t="shared" si="153"/>
        <v>0.17173821718779819</v>
      </c>
      <c r="BB42" s="219">
        <f t="shared" si="153"/>
        <v>0.19104218865275124</v>
      </c>
      <c r="BC42" s="219">
        <f t="shared" si="153"/>
        <v>0.20383015124236387</v>
      </c>
      <c r="BD42" s="219">
        <f t="shared" si="153"/>
        <v>0.235529222964451</v>
      </c>
      <c r="BE42" s="219">
        <f t="shared" si="153"/>
        <v>0.26336672852645704</v>
      </c>
    </row>
    <row r="43" spans="1:57" ht="12.75" x14ac:dyDescent="0.2">
      <c r="A43" s="193" t="s">
        <v>308</v>
      </c>
      <c r="B43" s="222"/>
      <c r="M43" s="222"/>
      <c r="N43" s="221"/>
      <c r="Q43" s="570" t="s">
        <v>287</v>
      </c>
      <c r="R43" s="219">
        <f t="shared" ref="R43:U45" si="154">R17/R$16</f>
        <v>0.68684247044606483</v>
      </c>
      <c r="S43" s="219">
        <f t="shared" si="154"/>
        <v>0.68302225440697006</v>
      </c>
      <c r="T43" s="219">
        <f t="shared" si="154"/>
        <v>0.599678536993278</v>
      </c>
      <c r="U43" s="219">
        <f t="shared" si="154"/>
        <v>0.66185531460389047</v>
      </c>
      <c r="V43" s="219">
        <f t="shared" ref="V43:AC43" si="155">V17/V$16</f>
        <v>0.64293246312016539</v>
      </c>
      <c r="W43" s="219">
        <f t="shared" si="155"/>
        <v>0.62956632615363028</v>
      </c>
      <c r="X43" s="219">
        <f t="shared" si="155"/>
        <v>0.61434228806842239</v>
      </c>
      <c r="Y43" s="219">
        <f t="shared" si="155"/>
        <v>0.60408583859199605</v>
      </c>
      <c r="Z43" s="219">
        <f t="shared" si="155"/>
        <v>0.5985740075432282</v>
      </c>
      <c r="AA43" s="219">
        <f t="shared" si="155"/>
        <v>0.59484306187310954</v>
      </c>
      <c r="AB43" s="219">
        <f t="shared" si="155"/>
        <v>0.58170101276781983</v>
      </c>
      <c r="AC43" s="219">
        <f t="shared" si="155"/>
        <v>0.56767843831671572</v>
      </c>
      <c r="AE43" s="205" t="s">
        <v>279</v>
      </c>
      <c r="AF43" s="219">
        <f t="shared" si="150"/>
        <v>2.3555345891911286E-2</v>
      </c>
      <c r="AG43" s="219">
        <f t="shared" ref="AG43:AQ43" si="156">AG15/AG$8</f>
        <v>3.6998234279415447E-2</v>
      </c>
      <c r="AH43" s="219">
        <f t="shared" si="134"/>
        <v>4.092332893523077E-2</v>
      </c>
      <c r="AI43" s="219">
        <f t="shared" si="156"/>
        <v>4.589302900181072E-2</v>
      </c>
      <c r="AJ43" s="219">
        <f t="shared" si="156"/>
        <v>5.4559895646972792E-2</v>
      </c>
      <c r="AK43" s="219">
        <f t="shared" si="156"/>
        <v>6.0326902216891187E-2</v>
      </c>
      <c r="AL43" s="219">
        <f t="shared" si="156"/>
        <v>8.1032671062837958E-2</v>
      </c>
      <c r="AM43" s="219">
        <f t="shared" si="156"/>
        <v>9.4736072580126757E-2</v>
      </c>
      <c r="AN43" s="219">
        <f t="shared" si="156"/>
        <v>0.1151414645846162</v>
      </c>
      <c r="AO43" s="219">
        <f t="shared" si="156"/>
        <v>0.12865149536255366</v>
      </c>
      <c r="AP43" s="219">
        <f t="shared" si="156"/>
        <v>0.16211772977459951</v>
      </c>
      <c r="AQ43" s="219">
        <f t="shared" si="156"/>
        <v>0.17656228752992606</v>
      </c>
      <c r="AS43" s="205" t="s">
        <v>279</v>
      </c>
      <c r="AT43" s="219">
        <f t="shared" si="152"/>
        <v>2.3555345891911286E-2</v>
      </c>
      <c r="AU43" s="219">
        <f t="shared" si="148"/>
        <v>3.6998234279415447E-2</v>
      </c>
      <c r="AV43" s="219">
        <f t="shared" si="135"/>
        <v>4.092332893523077E-2</v>
      </c>
      <c r="AW43" s="219">
        <f t="shared" ref="AW43:BE43" si="157">AW15/AW$8</f>
        <v>4.589302900181072E-2</v>
      </c>
      <c r="AX43" s="219">
        <f t="shared" si="157"/>
        <v>5.4559895646972792E-2</v>
      </c>
      <c r="AY43" s="219">
        <f t="shared" si="157"/>
        <v>6.0326902216891187E-2</v>
      </c>
      <c r="AZ43" s="219">
        <f t="shared" si="157"/>
        <v>8.1032671062837958E-2</v>
      </c>
      <c r="BA43" s="219">
        <f t="shared" si="157"/>
        <v>9.4736072580126757E-2</v>
      </c>
      <c r="BB43" s="219">
        <f t="shared" si="157"/>
        <v>0.1151414645846162</v>
      </c>
      <c r="BC43" s="219">
        <f t="shared" si="157"/>
        <v>0.12865149536255366</v>
      </c>
      <c r="BD43" s="219">
        <f t="shared" si="157"/>
        <v>0.16211772977459951</v>
      </c>
      <c r="BE43" s="219">
        <f t="shared" si="157"/>
        <v>0.17656228752992606</v>
      </c>
    </row>
    <row r="44" spans="1:57" ht="12.75" x14ac:dyDescent="0.2">
      <c r="A44" s="193" t="s">
        <v>313</v>
      </c>
      <c r="B44" s="222">
        <f>-'Bilan 2015'!$C26</f>
        <v>-0.3</v>
      </c>
      <c r="C44" s="222">
        <f>-'Bilan 2020'!$C26</f>
        <v>-3.0353079388888902</v>
      </c>
      <c r="D44" s="222">
        <f>-'Bilan 2023 réel'!$C26</f>
        <v>-2.8654050566944451</v>
      </c>
      <c r="E44" s="222">
        <f>-'Bilan 2025'!$C26</f>
        <v>-0.35468000245125708</v>
      </c>
      <c r="F44" s="222">
        <f>-'Bilan 2028'!$C26</f>
        <v>-0.33966953640978992</v>
      </c>
      <c r="G44" s="222">
        <f>-'Bilan 2030'!$C26</f>
        <v>-0.33007353312586968</v>
      </c>
      <c r="H44" s="222">
        <f>-'Bilan 2033'!$C26</f>
        <v>-0.32594257421966627</v>
      </c>
      <c r="I44" s="222">
        <f>-'Bilan 2035'!$C26</f>
        <v>-0.32322722394029924</v>
      </c>
      <c r="J44" s="222">
        <f>-'Bilan 2038'!$C26</f>
        <v>-0.32133708059977345</v>
      </c>
      <c r="K44" s="222">
        <f>-'Bilan 2040'!$C26</f>
        <v>-0.32007470171399477</v>
      </c>
      <c r="L44" s="222">
        <f>-'Bilan 2045'!$C26</f>
        <v>-0.31804644322561132</v>
      </c>
      <c r="M44" s="222">
        <f>-'Bilan 2050'!$C26</f>
        <v>-0.31740804730172578</v>
      </c>
      <c r="N44" s="221"/>
      <c r="Q44" s="570" t="s">
        <v>289</v>
      </c>
      <c r="R44" s="219">
        <f t="shared" si="154"/>
        <v>0.17381728937350344</v>
      </c>
      <c r="S44" s="219">
        <f t="shared" si="154"/>
        <v>0.18898000220203945</v>
      </c>
      <c r="T44" s="219">
        <f t="shared" si="154"/>
        <v>0.20607124682045896</v>
      </c>
      <c r="U44" s="219">
        <f t="shared" si="154"/>
        <v>0.21067364031942495</v>
      </c>
      <c r="V44" s="219">
        <f t="shared" ref="V44:AC44" si="158">V18/V$16</f>
        <v>0.21823896271675391</v>
      </c>
      <c r="W44" s="219">
        <f t="shared" si="158"/>
        <v>0.22326915673744063</v>
      </c>
      <c r="X44" s="219">
        <f t="shared" si="158"/>
        <v>0.23141816471597138</v>
      </c>
      <c r="Y44" s="219">
        <f t="shared" si="158"/>
        <v>0.23677340562422725</v>
      </c>
      <c r="Z44" s="219">
        <f t="shared" si="158"/>
        <v>0.23814655398928089</v>
      </c>
      <c r="AA44" s="219">
        <f t="shared" si="158"/>
        <v>0.23902076109963608</v>
      </c>
      <c r="AB44" s="219">
        <f t="shared" si="158"/>
        <v>0.24399666513661594</v>
      </c>
      <c r="AC44" s="219">
        <f t="shared" si="158"/>
        <v>0.24392321847285336</v>
      </c>
      <c r="AE44" s="205" t="s">
        <v>415</v>
      </c>
      <c r="AF44" s="219">
        <f t="shared" si="150"/>
        <v>6.5312549973026754E-2</v>
      </c>
      <c r="AG44" s="219">
        <f t="shared" ref="AG44:AQ44" si="159">AG16/AG$8</f>
        <v>0.1025860132292883</v>
      </c>
      <c r="AH44" s="219">
        <f t="shared" si="134"/>
        <v>0.11640614871449149</v>
      </c>
      <c r="AI44" s="219">
        <f t="shared" si="159"/>
        <v>0.10767210650424822</v>
      </c>
      <c r="AJ44" s="219">
        <f t="shared" si="159"/>
        <v>0.10400480107704191</v>
      </c>
      <c r="AK44" s="219">
        <f t="shared" si="159"/>
        <v>0.10222058431195453</v>
      </c>
      <c r="AL44" s="219">
        <f t="shared" si="159"/>
        <v>0.10170767355623694</v>
      </c>
      <c r="AM44" s="219">
        <f t="shared" si="159"/>
        <v>0.1013842180243462</v>
      </c>
      <c r="AN44" s="219">
        <f t="shared" si="159"/>
        <v>0.10091421465031021</v>
      </c>
      <c r="AO44" s="219">
        <f t="shared" si="159"/>
        <v>0.10061206688609967</v>
      </c>
      <c r="AP44" s="219">
        <f t="shared" si="159"/>
        <v>9.9890722386369396E-2</v>
      </c>
      <c r="AQ44" s="219">
        <f t="shared" si="159"/>
        <v>9.7911813993868099E-2</v>
      </c>
      <c r="AS44" s="205" t="s">
        <v>415</v>
      </c>
      <c r="AT44" s="219">
        <f t="shared" si="152"/>
        <v>6.5312549973026754E-2</v>
      </c>
      <c r="AU44" s="219">
        <f t="shared" si="148"/>
        <v>0.1025860132292883</v>
      </c>
      <c r="AV44" s="219">
        <f t="shared" si="135"/>
        <v>0.11640614871449149</v>
      </c>
      <c r="AW44" s="219">
        <f t="shared" ref="AW44:BE44" si="160">AW16/AW$8</f>
        <v>0.10767210650424822</v>
      </c>
      <c r="AX44" s="219">
        <f t="shared" si="160"/>
        <v>0.10400480107704191</v>
      </c>
      <c r="AY44" s="219">
        <f t="shared" si="160"/>
        <v>0.10222058431195453</v>
      </c>
      <c r="AZ44" s="219">
        <f t="shared" si="160"/>
        <v>0.10170767355623694</v>
      </c>
      <c r="BA44" s="219">
        <f t="shared" si="160"/>
        <v>0.1013842180243462</v>
      </c>
      <c r="BB44" s="219">
        <f t="shared" si="160"/>
        <v>0.10091421465031021</v>
      </c>
      <c r="BC44" s="219">
        <f t="shared" si="160"/>
        <v>0.10061206688609967</v>
      </c>
      <c r="BD44" s="219">
        <f t="shared" si="160"/>
        <v>9.9890722386369396E-2</v>
      </c>
      <c r="BE44" s="219">
        <f t="shared" si="160"/>
        <v>9.7911813993868099E-2</v>
      </c>
    </row>
    <row r="45" spans="1:57" ht="12.75" x14ac:dyDescent="0.2">
      <c r="A45" s="193" t="s">
        <v>314</v>
      </c>
      <c r="B45" s="222">
        <f>-'Bilan 2015'!$C16</f>
        <v>0</v>
      </c>
      <c r="C45" s="222">
        <f>-'Bilan 2020'!$C16</f>
        <v>0</v>
      </c>
      <c r="D45" s="222">
        <f>-'Bilan 2023 réel'!$C16</f>
        <v>0</v>
      </c>
      <c r="E45" s="222">
        <f>-'Bilan 2025'!$C16</f>
        <v>-2.5121160238857705</v>
      </c>
      <c r="F45" s="222">
        <f>-'Bilan 2028'!$C16</f>
        <v>-2.2465763720546779</v>
      </c>
      <c r="G45" s="222">
        <f>-'Bilan 2030'!$C16</f>
        <v>-2.0695499375006161</v>
      </c>
      <c r="H45" s="222">
        <f>-'Bilan 2033'!$C16</f>
        <v>-2.2996832177069302</v>
      </c>
      <c r="I45" s="222">
        <f>-'Bilan 2035'!$C16</f>
        <v>-2.4531054045111396</v>
      </c>
      <c r="J45" s="222">
        <f>-'Bilan 2038'!$C16</f>
        <v>-2.7260808922399375</v>
      </c>
      <c r="K45" s="222">
        <f>-'Bilan 2040'!$C16</f>
        <v>-2.9080645507258027</v>
      </c>
      <c r="L45" s="222">
        <f>-'Bilan 2045'!$C16</f>
        <v>-3.3436367529727189</v>
      </c>
      <c r="M45" s="222">
        <f>-'Bilan 2050'!$C16</f>
        <v>-3.7328950664080915</v>
      </c>
      <c r="N45" s="221"/>
      <c r="Q45" s="570" t="s">
        <v>291</v>
      </c>
      <c r="R45" s="219">
        <f t="shared" si="154"/>
        <v>5.4398657887752173E-3</v>
      </c>
      <c r="S45" s="219">
        <f t="shared" si="154"/>
        <v>1.1543809628966232E-2</v>
      </c>
      <c r="T45" s="219">
        <f t="shared" si="154"/>
        <v>2.9299446440996711E-2</v>
      </c>
      <c r="U45" s="219">
        <f t="shared" si="154"/>
        <v>1.4901306668295176E-2</v>
      </c>
      <c r="V45" s="219">
        <f t="shared" ref="V45:AC45" si="161">V19/V$16</f>
        <v>1.428655266505505E-2</v>
      </c>
      <c r="W45" s="219">
        <f t="shared" si="161"/>
        <v>1.4331810664174301E-2</v>
      </c>
      <c r="X45" s="219">
        <f t="shared" si="161"/>
        <v>1.3722145634979071E-2</v>
      </c>
      <c r="Y45" s="219">
        <f t="shared" si="161"/>
        <v>1.3322922059777994E-2</v>
      </c>
      <c r="Z45" s="219">
        <f t="shared" si="161"/>
        <v>1.2950676356913484E-2</v>
      </c>
      <c r="AA45" s="219">
        <f t="shared" si="161"/>
        <v>1.2706705845128305E-2</v>
      </c>
      <c r="AB45" s="219">
        <f t="shared" si="161"/>
        <v>1.2033766960041102E-2</v>
      </c>
      <c r="AC45" s="219">
        <f t="shared" si="161"/>
        <v>1.1436770519749579E-2</v>
      </c>
      <c r="AE45" s="205" t="s">
        <v>282</v>
      </c>
      <c r="AF45" s="219">
        <f t="shared" ref="AF45" si="162">AF17/AF$8</f>
        <v>1.6322764450753993E-2</v>
      </c>
      <c r="AG45" s="219">
        <f t="shared" ref="AG45:AQ45" si="163">AG17/AG$8</f>
        <v>1.219413331122606E-2</v>
      </c>
      <c r="AH45" s="219">
        <f t="shared" si="134"/>
        <v>1.4051666110859137E-2</v>
      </c>
      <c r="AI45" s="219">
        <f t="shared" si="163"/>
        <v>2.2753112204686628E-2</v>
      </c>
      <c r="AJ45" s="219">
        <f t="shared" si="163"/>
        <v>2.4810479407759291E-2</v>
      </c>
      <c r="AK45" s="219">
        <f t="shared" si="163"/>
        <v>2.6196424408456483E-2</v>
      </c>
      <c r="AL45" s="219">
        <f t="shared" si="163"/>
        <v>2.6704555576153911E-2</v>
      </c>
      <c r="AM45" s="219">
        <f t="shared" si="163"/>
        <v>2.7048741597283269E-2</v>
      </c>
      <c r="AN45" s="219">
        <f t="shared" si="163"/>
        <v>3.1387190062386966E-2</v>
      </c>
      <c r="AO45" s="219">
        <f t="shared" si="163"/>
        <v>3.4271650358466792E-2</v>
      </c>
      <c r="AP45" s="219">
        <f t="shared" si="163"/>
        <v>3.5386799304016579E-2</v>
      </c>
      <c r="AQ45" s="219">
        <f t="shared" si="163"/>
        <v>3.6688089465166961E-2</v>
      </c>
      <c r="AS45" s="205" t="s">
        <v>282</v>
      </c>
      <c r="AT45" s="219">
        <f t="shared" ref="AT45" si="164">AT17/AT$8</f>
        <v>1.6322764450753993E-2</v>
      </c>
      <c r="AU45" s="219">
        <f t="shared" ref="AU45:BE45" si="165">AU17/AU$8</f>
        <v>1.219413331122606E-2</v>
      </c>
      <c r="AV45" s="219">
        <f t="shared" si="135"/>
        <v>1.4051666110859137E-2</v>
      </c>
      <c r="AW45" s="219">
        <f t="shared" si="165"/>
        <v>2.2753112204686628E-2</v>
      </c>
      <c r="AX45" s="219">
        <f t="shared" si="165"/>
        <v>2.4810479407759291E-2</v>
      </c>
      <c r="AY45" s="219">
        <f t="shared" si="165"/>
        <v>2.6196424408456483E-2</v>
      </c>
      <c r="AZ45" s="219">
        <f t="shared" si="165"/>
        <v>2.6704555576153911E-2</v>
      </c>
      <c r="BA45" s="219">
        <f t="shared" si="165"/>
        <v>2.7048741597283269E-2</v>
      </c>
      <c r="BB45" s="219">
        <f t="shared" si="165"/>
        <v>3.1387190062386966E-2</v>
      </c>
      <c r="BC45" s="219">
        <f t="shared" si="165"/>
        <v>3.4271650358466792E-2</v>
      </c>
      <c r="BD45" s="219">
        <f t="shared" si="165"/>
        <v>3.5386799304016579E-2</v>
      </c>
      <c r="BE45" s="219">
        <f t="shared" si="165"/>
        <v>3.6688089465166961E-2</v>
      </c>
    </row>
    <row r="46" spans="1:57" ht="12.75" x14ac:dyDescent="0.2">
      <c r="B46" s="222"/>
      <c r="M46" s="222"/>
      <c r="N46" s="221"/>
      <c r="Q46" s="570" t="s">
        <v>293</v>
      </c>
      <c r="R46" s="219">
        <f t="shared" ref="R46:S48" si="166">R20/R$16</f>
        <v>1.7915018564825514E-2</v>
      </c>
      <c r="S46" s="219">
        <f t="shared" si="166"/>
        <v>4.3390266707983988E-2</v>
      </c>
      <c r="T46" s="219">
        <f t="shared" ref="T46" si="167">T20/T$16</f>
        <v>4.7828903050994978E-2</v>
      </c>
      <c r="U46" s="219">
        <f>U20/U$16</f>
        <v>2.7775805186133276E-2</v>
      </c>
      <c r="V46" s="219">
        <f t="shared" ref="V46:AC46" si="168">V20/V$16</f>
        <v>2.7651977278482311E-2</v>
      </c>
      <c r="W46" s="219">
        <f t="shared" si="168"/>
        <v>2.7533531780236861E-2</v>
      </c>
      <c r="X46" s="219">
        <f t="shared" si="168"/>
        <v>2.6936430096367613E-2</v>
      </c>
      <c r="Y46" s="219">
        <f t="shared" si="168"/>
        <v>2.6537851940966237E-2</v>
      </c>
      <c r="Z46" s="219">
        <f t="shared" si="168"/>
        <v>2.6191522550095488E-2</v>
      </c>
      <c r="AA46" s="219">
        <f t="shared" si="168"/>
        <v>2.5962135690564624E-2</v>
      </c>
      <c r="AB46" s="219">
        <f t="shared" si="168"/>
        <v>2.5670420157928524E-2</v>
      </c>
      <c r="AC46" s="219">
        <f t="shared" si="168"/>
        <v>2.5749365135489366E-2</v>
      </c>
      <c r="AE46" s="201" t="s">
        <v>285</v>
      </c>
      <c r="AF46" s="201"/>
      <c r="AG46" s="201"/>
      <c r="AH46" s="201"/>
      <c r="AI46" s="201"/>
      <c r="AJ46" s="201"/>
      <c r="AK46" s="201"/>
      <c r="AL46" s="201"/>
      <c r="AM46" s="201"/>
      <c r="AN46" s="201"/>
      <c r="AO46" s="201"/>
      <c r="AP46" s="201"/>
      <c r="AQ46" s="201"/>
      <c r="AS46" s="201" t="s">
        <v>285</v>
      </c>
      <c r="AT46" s="201"/>
      <c r="AU46" s="201"/>
      <c r="AV46" s="201"/>
      <c r="AW46" s="201"/>
      <c r="AX46" s="201"/>
      <c r="AY46" s="201"/>
      <c r="AZ46" s="201"/>
      <c r="BA46" s="201"/>
      <c r="BB46" s="201"/>
      <c r="BC46" s="201"/>
      <c r="BD46" s="201"/>
      <c r="BE46" s="201"/>
    </row>
    <row r="47" spans="1:57" ht="12.75" x14ac:dyDescent="0.2">
      <c r="A47" s="193" t="s">
        <v>10</v>
      </c>
      <c r="B47" s="222">
        <f t="shared" ref="B47" si="169">B2</f>
        <v>255.89471571902516</v>
      </c>
      <c r="C47" s="222">
        <f t="shared" ref="C47:M47" si="170">C2</f>
        <v>2559.7800174335421</v>
      </c>
      <c r="D47" s="222">
        <f t="shared" si="170"/>
        <v>2530.4302210668016</v>
      </c>
      <c r="E47" s="222">
        <f t="shared" si="170"/>
        <v>2724.2956738723865</v>
      </c>
      <c r="F47" s="222">
        <f t="shared" ref="F47" si="171">F2</f>
        <v>2678.5122863720326</v>
      </c>
      <c r="G47" s="222">
        <f t="shared" si="170"/>
        <v>2645.6934582813483</v>
      </c>
      <c r="H47" s="222">
        <f t="shared" ref="H47" si="172">H2</f>
        <v>2557.1577904897672</v>
      </c>
      <c r="I47" s="222">
        <f t="shared" ref="I47" si="173">I2</f>
        <v>2498.2261063021315</v>
      </c>
      <c r="J47" s="222">
        <f t="shared" ref="J47" si="174">J2</f>
        <v>2418.1247907368247</v>
      </c>
      <c r="K47" s="222">
        <f t="shared" ref="K47" si="175">K2</f>
        <v>2364.6954821727313</v>
      </c>
      <c r="L47" s="222">
        <f t="shared" ref="L47" si="176">L2</f>
        <v>2245.6361672888593</v>
      </c>
      <c r="M47" s="222">
        <f t="shared" si="170"/>
        <v>2161.9320758013637</v>
      </c>
      <c r="N47" s="221"/>
      <c r="Q47" s="570" t="s">
        <v>295</v>
      </c>
      <c r="R47" s="219">
        <f t="shared" si="166"/>
        <v>1.2441988920818417E-3</v>
      </c>
      <c r="S47" s="219">
        <f t="shared" si="166"/>
        <v>7.1581145459297503E-3</v>
      </c>
      <c r="T47" s="219">
        <f t="shared" ref="T47" si="177">T21/T$16</f>
        <v>9.3731828743219073E-3</v>
      </c>
      <c r="U47" s="219">
        <f>U21/U$16</f>
        <v>4.495088009846192E-3</v>
      </c>
      <c r="V47" s="219">
        <f t="shared" ref="V47:AC47" si="178">V21/V$16</f>
        <v>4.3623696543694922E-3</v>
      </c>
      <c r="W47" s="219">
        <f t="shared" si="178"/>
        <v>4.2706301050424271E-3</v>
      </c>
      <c r="X47" s="219">
        <f t="shared" si="178"/>
        <v>4.1599286342142152E-3</v>
      </c>
      <c r="Y47" s="219">
        <f t="shared" si="178"/>
        <v>4.086876164738705E-3</v>
      </c>
      <c r="Z47" s="219">
        <f t="shared" si="178"/>
        <v>4.0227768262354382E-3</v>
      </c>
      <c r="AA47" s="219">
        <f t="shared" si="178"/>
        <v>3.9808782160150394E-3</v>
      </c>
      <c r="AB47" s="219">
        <f t="shared" si="178"/>
        <v>3.9248773711885966E-3</v>
      </c>
      <c r="AC47" s="219">
        <f t="shared" si="178"/>
        <v>3.9334904089686771E-3</v>
      </c>
      <c r="AE47" s="205" t="s">
        <v>287</v>
      </c>
      <c r="AF47" s="219">
        <f t="shared" ref="AF47:AH54" si="179">AF19/AF$18</f>
        <v>0.69110155450513433</v>
      </c>
      <c r="AG47" s="219">
        <f t="shared" si="179"/>
        <v>0.67601166198834628</v>
      </c>
      <c r="AH47" s="219">
        <f t="shared" si="179"/>
        <v>0.59028939458848906</v>
      </c>
      <c r="AI47" s="219">
        <f t="shared" ref="AI47:AQ47" si="180">AI19/AI$18</f>
        <v>0.65233916989901375</v>
      </c>
      <c r="AJ47" s="219">
        <f t="shared" si="180"/>
        <v>0.63143582464674608</v>
      </c>
      <c r="AK47" s="219">
        <f t="shared" si="180"/>
        <v>0.61710188159562607</v>
      </c>
      <c r="AL47" s="219">
        <f t="shared" si="180"/>
        <v>0.59944795463861078</v>
      </c>
      <c r="AM47" s="219">
        <f t="shared" si="180"/>
        <v>0.58759415111379532</v>
      </c>
      <c r="AN47" s="219">
        <f t="shared" si="180"/>
        <v>0.58001991625563443</v>
      </c>
      <c r="AO47" s="219">
        <f t="shared" si="180"/>
        <v>0.57491924594205757</v>
      </c>
      <c r="AP47" s="219">
        <f t="shared" si="180"/>
        <v>0.55838626376369094</v>
      </c>
      <c r="AQ47" s="219">
        <f t="shared" si="180"/>
        <v>0.54127267555984737</v>
      </c>
      <c r="AS47" s="205" t="s">
        <v>287</v>
      </c>
      <c r="AT47" s="219">
        <f t="shared" ref="AT47:AV54" si="181">AT19/AT$18</f>
        <v>0.69900476281967905</v>
      </c>
      <c r="AU47" s="219">
        <f t="shared" si="181"/>
        <v>0.68389924792118784</v>
      </c>
      <c r="AV47" s="219">
        <f t="shared" si="181"/>
        <v>0.5988991052747562</v>
      </c>
      <c r="AW47" s="219">
        <f t="shared" ref="AW47:BE47" si="182">AW19/AW$18</f>
        <v>0.66101616674509145</v>
      </c>
      <c r="AX47" s="219">
        <f t="shared" si="182"/>
        <v>0.64060199363668635</v>
      </c>
      <c r="AY47" s="219">
        <f t="shared" si="182"/>
        <v>0.62659579221698636</v>
      </c>
      <c r="AZ47" s="219">
        <f t="shared" si="182"/>
        <v>0.60848447919199034</v>
      </c>
      <c r="BA47" s="219">
        <f t="shared" si="182"/>
        <v>0.59632965810468175</v>
      </c>
      <c r="BB47" s="219">
        <f t="shared" si="182"/>
        <v>0.58813450472938622</v>
      </c>
      <c r="BC47" s="219">
        <f t="shared" si="182"/>
        <v>0.58260968513987488</v>
      </c>
      <c r="BD47" s="219">
        <f t="shared" si="182"/>
        <v>0.56516668811229354</v>
      </c>
      <c r="BE47" s="219">
        <f t="shared" si="182"/>
        <v>0.54716987527578742</v>
      </c>
    </row>
    <row r="48" spans="1:57" ht="12.75" x14ac:dyDescent="0.2">
      <c r="A48" s="193" t="s">
        <v>315</v>
      </c>
      <c r="B48" s="222">
        <f>'Bilan 2015'!$C$5</f>
        <v>255.88879167341375</v>
      </c>
      <c r="C48" s="222">
        <f>'Bilan 2020'!$C$5</f>
        <v>2559.7800174335421</v>
      </c>
      <c r="D48" s="222">
        <f>'Bilan 2023 réel'!$C$5</f>
        <v>2536.3728760646595</v>
      </c>
      <c r="E48" s="222">
        <f>'Bilan 2025'!$C$5</f>
        <v>2724.295673872386</v>
      </c>
      <c r="F48" s="222">
        <f>'Bilan 2028'!$C$5</f>
        <v>2678.5122863720321</v>
      </c>
      <c r="G48" s="222">
        <f>'Bilan 2030'!$C$5</f>
        <v>2645.6934582813487</v>
      </c>
      <c r="H48" s="222">
        <f>'Bilan 2033'!$C$5</f>
        <v>2557.1577904897672</v>
      </c>
      <c r="I48" s="222">
        <f>'Bilan 2035'!$C$5</f>
        <v>2498.2261063021301</v>
      </c>
      <c r="J48" s="222">
        <f>'Bilan 2038'!$C$5</f>
        <v>2418.1247907368252</v>
      </c>
      <c r="K48" s="222">
        <f>'Bilan 2040'!$C$5</f>
        <v>2364.6954821727309</v>
      </c>
      <c r="L48" s="222">
        <f>'Bilan 2045'!$C$5</f>
        <v>2245.6361672888593</v>
      </c>
      <c r="M48" s="222">
        <f>'Bilan 2050'!$C$5</f>
        <v>2161.9320758013632</v>
      </c>
      <c r="N48" s="221"/>
      <c r="Q48" s="203" t="s">
        <v>613</v>
      </c>
      <c r="R48" s="219">
        <f t="shared" si="166"/>
        <v>0.11474115693474921</v>
      </c>
      <c r="S48" s="219">
        <f t="shared" si="166"/>
        <v>6.5905552508110324E-2</v>
      </c>
      <c r="T48" s="219">
        <f t="shared" ref="T48" si="183">T22/T$16</f>
        <v>0.1077486838199495</v>
      </c>
      <c r="U48" s="219">
        <f>U22/U$16</f>
        <v>8.0298845212409917E-2</v>
      </c>
      <c r="V48" s="219">
        <f t="shared" ref="V48:AC48" si="184">V22/V$16</f>
        <v>9.252767456517387E-2</v>
      </c>
      <c r="W48" s="219">
        <f t="shared" si="184"/>
        <v>0.10102854455947544</v>
      </c>
      <c r="X48" s="219">
        <f t="shared" si="184"/>
        <v>0.10942104285004531</v>
      </c>
      <c r="Y48" s="219">
        <f t="shared" si="184"/>
        <v>0.11519310561829368</v>
      </c>
      <c r="Z48" s="219">
        <f t="shared" si="184"/>
        <v>0.12011446273424664</v>
      </c>
      <c r="AA48" s="219">
        <f t="shared" si="184"/>
        <v>0.12348645727554636</v>
      </c>
      <c r="AB48" s="219">
        <f t="shared" si="184"/>
        <v>0.13267325760640605</v>
      </c>
      <c r="AC48" s="219">
        <f t="shared" si="184"/>
        <v>0.14727871714622315</v>
      </c>
      <c r="AE48" s="205" t="s">
        <v>289</v>
      </c>
      <c r="AF48" s="219">
        <f t="shared" si="179"/>
        <v>0.1882509686552597</v>
      </c>
      <c r="AG48" s="219">
        <f t="shared" si="179"/>
        <v>0.19862358817834166</v>
      </c>
      <c r="AH48" s="219">
        <f t="shared" si="179"/>
        <v>0.21403106935276545</v>
      </c>
      <c r="AI48" s="219">
        <f t="shared" ref="AI48:AQ48" si="185">AI20/AI$18</f>
        <v>0.21912256546813377</v>
      </c>
      <c r="AJ48" s="219">
        <f t="shared" si="185"/>
        <v>0.22723420371158404</v>
      </c>
      <c r="AK48" s="219">
        <f t="shared" si="185"/>
        <v>0.2326909674202699</v>
      </c>
      <c r="AL48" s="219">
        <f t="shared" si="185"/>
        <v>0.24150684753000781</v>
      </c>
      <c r="AM48" s="219">
        <f t="shared" si="185"/>
        <v>0.24729616276087296</v>
      </c>
      <c r="AN48" s="219">
        <f t="shared" si="185"/>
        <v>0.24903166112940217</v>
      </c>
      <c r="AO48" s="219">
        <f t="shared" si="185"/>
        <v>0.25014524914569775</v>
      </c>
      <c r="AP48" s="219">
        <f t="shared" si="185"/>
        <v>0.25596786623796025</v>
      </c>
      <c r="AQ48" s="219">
        <f t="shared" si="185"/>
        <v>0.25667630042674205</v>
      </c>
      <c r="AS48" s="205" t="s">
        <v>289</v>
      </c>
      <c r="AT48" s="219">
        <f t="shared" si="181"/>
        <v>0.1832900641927816</v>
      </c>
      <c r="AU48" s="219">
        <f t="shared" si="181"/>
        <v>0.19377561161687168</v>
      </c>
      <c r="AV48" s="219">
        <f t="shared" si="181"/>
        <v>0.20952241697738466</v>
      </c>
      <c r="AW48" s="219">
        <f t="shared" ref="AW48:BE48" si="186">AW20/AW$18</f>
        <v>0.21364109091284977</v>
      </c>
      <c r="AX48" s="219">
        <f t="shared" si="186"/>
        <v>0.22157058341038638</v>
      </c>
      <c r="AY48" s="219">
        <f t="shared" si="186"/>
        <v>0.22690926777557321</v>
      </c>
      <c r="AZ48" s="219">
        <f t="shared" si="186"/>
        <v>0.23542475617092914</v>
      </c>
      <c r="BA48" s="219">
        <f t="shared" si="186"/>
        <v>0.24101471696174787</v>
      </c>
      <c r="BB48" s="219">
        <f t="shared" si="186"/>
        <v>0.2425508237532325</v>
      </c>
      <c r="BC48" s="219">
        <f t="shared" si="186"/>
        <v>0.24353204523505129</v>
      </c>
      <c r="BD48" s="219">
        <f t="shared" si="186"/>
        <v>0.24884429466097424</v>
      </c>
      <c r="BE48" s="219">
        <f t="shared" si="186"/>
        <v>0.24907562674552969</v>
      </c>
    </row>
    <row r="49" spans="1:57" ht="12.75" x14ac:dyDescent="0.2">
      <c r="Q49" s="569" t="s">
        <v>42</v>
      </c>
      <c r="R49" s="201"/>
      <c r="S49" s="201"/>
      <c r="T49" s="201"/>
      <c r="U49" s="201"/>
      <c r="V49" s="201"/>
      <c r="W49" s="201"/>
      <c r="X49" s="201"/>
      <c r="Y49" s="201"/>
      <c r="Z49" s="201"/>
      <c r="AA49" s="201"/>
      <c r="AB49" s="201"/>
      <c r="AC49" s="201"/>
      <c r="AE49" s="205" t="s">
        <v>291</v>
      </c>
      <c r="AF49" s="219">
        <f t="shared" si="179"/>
        <v>3.1039742729395332E-3</v>
      </c>
      <c r="AG49" s="219">
        <f t="shared" si="179"/>
        <v>1.1039383943093959E-2</v>
      </c>
      <c r="AH49" s="219">
        <f t="shared" si="179"/>
        <v>2.9990736070204155E-2</v>
      </c>
      <c r="AI49" s="219">
        <f t="shared" ref="AI49:AQ49" si="187">AI21/AI$18</f>
        <v>1.3372317074155649E-2</v>
      </c>
      <c r="AJ49" s="219">
        <f t="shared" si="187"/>
        <v>1.2946702126895674E-2</v>
      </c>
      <c r="AK49" s="219">
        <f t="shared" si="187"/>
        <v>1.2654803207215799E-2</v>
      </c>
      <c r="AL49" s="219">
        <f t="shared" si="187"/>
        <v>1.2294543655539504E-2</v>
      </c>
      <c r="AM49" s="219">
        <f t="shared" si="187"/>
        <v>1.2052632280841153E-2</v>
      </c>
      <c r="AN49" s="219">
        <f t="shared" si="187"/>
        <v>1.189829297860396E-2</v>
      </c>
      <c r="AO49" s="219">
        <f t="shared" si="187"/>
        <v>1.1794362142822371E-2</v>
      </c>
      <c r="AP49" s="219">
        <f t="shared" si="187"/>
        <v>1.1457670546719041E-2</v>
      </c>
      <c r="AQ49" s="219">
        <f t="shared" si="187"/>
        <v>1.110977065304055E-2</v>
      </c>
      <c r="AS49" s="205" t="s">
        <v>291</v>
      </c>
      <c r="AT49" s="219">
        <f t="shared" si="181"/>
        <v>3.0221764477700811E-3</v>
      </c>
      <c r="AU49" s="219">
        <f t="shared" si="181"/>
        <v>1.0769936214855688E-2</v>
      </c>
      <c r="AV49" s="219">
        <f t="shared" si="181"/>
        <v>2.9358968898123738E-2</v>
      </c>
      <c r="AW49" s="219">
        <f t="shared" ref="AW49:BE49" si="188">AW21/AW$18</f>
        <v>1.3037801020865675E-2</v>
      </c>
      <c r="AX49" s="219">
        <f t="shared" si="188"/>
        <v>1.2624016528505245E-2</v>
      </c>
      <c r="AY49" s="219">
        <f t="shared" si="188"/>
        <v>1.2340367833904905E-2</v>
      </c>
      <c r="AZ49" s="219">
        <f t="shared" si="188"/>
        <v>1.1984918738085016E-2</v>
      </c>
      <c r="BA49" s="219">
        <f t="shared" si="188"/>
        <v>1.1746489413262184E-2</v>
      </c>
      <c r="BB49" s="219">
        <f t="shared" si="188"/>
        <v>1.1588650013935763E-2</v>
      </c>
      <c r="BC49" s="219">
        <f t="shared" si="188"/>
        <v>1.1482549217680377E-2</v>
      </c>
      <c r="BD49" s="219">
        <f t="shared" si="188"/>
        <v>1.1138804208359211E-2</v>
      </c>
      <c r="BE49" s="219">
        <f t="shared" si="188"/>
        <v>1.0780789203383996E-2</v>
      </c>
    </row>
    <row r="50" spans="1:57" ht="12.75" x14ac:dyDescent="0.2">
      <c r="AE50" s="202" t="s">
        <v>410</v>
      </c>
      <c r="AF50" s="202"/>
      <c r="AG50" s="219">
        <f>AG22/AG$18</f>
        <v>0</v>
      </c>
      <c r="AH50" s="219">
        <f t="shared" si="179"/>
        <v>0</v>
      </c>
      <c r="AI50" s="219">
        <f t="shared" ref="AI50:AQ50" si="189">AI22/AI$18</f>
        <v>8.0996293157204488E-4</v>
      </c>
      <c r="AJ50" s="219">
        <f t="shared" si="189"/>
        <v>1.2019785976647298E-3</v>
      </c>
      <c r="AK50" s="219">
        <f t="shared" si="189"/>
        <v>1.4639075071987086E-3</v>
      </c>
      <c r="AL50" s="219">
        <f t="shared" si="189"/>
        <v>2.3379232201582792E-3</v>
      </c>
      <c r="AM50" s="219">
        <f t="shared" si="189"/>
        <v>2.9107968372836151E-3</v>
      </c>
      <c r="AN50" s="219">
        <f t="shared" si="189"/>
        <v>3.9020735403667429E-3</v>
      </c>
      <c r="AO50" s="219">
        <f t="shared" si="189"/>
        <v>4.556958179271855E-3</v>
      </c>
      <c r="AP50" s="219">
        <f t="shared" si="189"/>
        <v>5.8249565801997546E-3</v>
      </c>
      <c r="AQ50" s="219">
        <f t="shared" si="189"/>
        <v>6.3683077893573184E-3</v>
      </c>
      <c r="AS50" s="202" t="s">
        <v>410</v>
      </c>
      <c r="AT50" s="202"/>
      <c r="AU50" s="219">
        <f>AU22/AU$18</f>
        <v>0</v>
      </c>
      <c r="AV50" s="219">
        <f t="shared" si="181"/>
        <v>0</v>
      </c>
      <c r="AW50" s="219">
        <f t="shared" ref="AW50:BE50" si="190">AW22/AW$18</f>
        <v>7.8970125203826338E-4</v>
      </c>
      <c r="AX50" s="219">
        <f t="shared" si="190"/>
        <v>1.1720202979187133E-3</v>
      </c>
      <c r="AY50" s="219">
        <f t="shared" si="190"/>
        <v>1.4275336263898642E-3</v>
      </c>
      <c r="AZ50" s="219">
        <f t="shared" si="190"/>
        <v>3.3101900211198925E-3</v>
      </c>
      <c r="BA50" s="219">
        <f t="shared" si="190"/>
        <v>4.55699810690007E-3</v>
      </c>
      <c r="BB50" s="219">
        <f t="shared" si="190"/>
        <v>6.5960233079081542E-3</v>
      </c>
      <c r="BC50" s="219">
        <f t="shared" si="190"/>
        <v>7.9646442172969598E-3</v>
      </c>
      <c r="BD50" s="219">
        <f t="shared" si="190"/>
        <v>1.1153110503660742E-2</v>
      </c>
      <c r="BE50" s="219">
        <f t="shared" si="190"/>
        <v>1.3846737845925621E-2</v>
      </c>
    </row>
    <row r="51" spans="1:57" ht="12.75" x14ac:dyDescent="0.2">
      <c r="A51" s="193" t="s">
        <v>316</v>
      </c>
      <c r="C51" s="193"/>
      <c r="D51" s="193"/>
      <c r="E51" s="193"/>
      <c r="F51" s="193"/>
      <c r="G51" s="193"/>
      <c r="H51" s="193"/>
      <c r="I51" s="193"/>
      <c r="J51" s="193"/>
      <c r="K51" s="193"/>
      <c r="L51" s="193"/>
      <c r="AE51" s="205" t="s">
        <v>293</v>
      </c>
      <c r="AF51" s="219">
        <f t="shared" ref="AF51:AF52" si="191">AF23/AF$18</f>
        <v>1.2345484731216732E-2</v>
      </c>
      <c r="AG51" s="219">
        <f>AG23/AG$18</f>
        <v>3.8374397096785681E-2</v>
      </c>
      <c r="AH51" s="219">
        <f t="shared" si="179"/>
        <v>4.3137771393482974E-2</v>
      </c>
      <c r="AI51" s="219">
        <f t="shared" ref="AI51:AQ51" si="192">AI23/AI$18</f>
        <v>2.4861741289695021E-2</v>
      </c>
      <c r="AJ51" s="219">
        <f t="shared" si="192"/>
        <v>2.4907484444692759E-2</v>
      </c>
      <c r="AK51" s="219">
        <f t="shared" si="192"/>
        <v>2.4906309327612779E-2</v>
      </c>
      <c r="AL51" s="219">
        <f t="shared" si="192"/>
        <v>2.4422208138554103E-2</v>
      </c>
      <c r="AM51" s="219">
        <f t="shared" si="192"/>
        <v>2.4096473218051348E-2</v>
      </c>
      <c r="AN51" s="219">
        <f t="shared" si="192"/>
        <v>2.3849214014828108E-2</v>
      </c>
      <c r="AO51" s="219">
        <f t="shared" si="192"/>
        <v>2.3683742636306366E-2</v>
      </c>
      <c r="AP51" s="219">
        <f t="shared" si="192"/>
        <v>2.3531027258445962E-2</v>
      </c>
      <c r="AQ51" s="219">
        <f t="shared" si="192"/>
        <v>2.3740311991858869E-2</v>
      </c>
      <c r="AS51" s="205" t="s">
        <v>293</v>
      </c>
      <c r="AT51" s="219">
        <f t="shared" ref="AT51:AT52" si="193">AT23/AT$18</f>
        <v>1.2020148980054119E-2</v>
      </c>
      <c r="AU51" s="219">
        <f>AU23/AU$18</f>
        <v>3.7437760217994033E-2</v>
      </c>
      <c r="AV51" s="219">
        <f t="shared" si="181"/>
        <v>4.222905652302042E-2</v>
      </c>
      <c r="AW51" s="219">
        <f t="shared" ref="AW51:BE51" si="194">AW23/AW$18</f>
        <v>2.4239810809881725E-2</v>
      </c>
      <c r="AX51" s="219">
        <f t="shared" si="194"/>
        <v>2.4286686465125499E-2</v>
      </c>
      <c r="AY51" s="219">
        <f t="shared" si="194"/>
        <v>2.4287459350810371E-2</v>
      </c>
      <c r="AZ51" s="219">
        <f t="shared" si="194"/>
        <v>2.3807160976917558E-2</v>
      </c>
      <c r="BA51" s="219">
        <f t="shared" si="194"/>
        <v>2.3484410787403688E-2</v>
      </c>
      <c r="BB51" s="219">
        <f t="shared" si="194"/>
        <v>2.3228558485010743E-2</v>
      </c>
      <c r="BC51" s="219">
        <f t="shared" si="194"/>
        <v>2.3057604742598308E-2</v>
      </c>
      <c r="BD51" s="219">
        <f t="shared" si="194"/>
        <v>2.2876160069766442E-2</v>
      </c>
      <c r="BE51" s="219">
        <f t="shared" si="194"/>
        <v>2.3037316178687595E-2</v>
      </c>
    </row>
    <row r="52" spans="1:57" ht="12.75" x14ac:dyDescent="0.2">
      <c r="C52" s="193"/>
      <c r="D52" s="193"/>
      <c r="E52" s="193"/>
      <c r="F52" s="193"/>
      <c r="G52" s="193"/>
      <c r="H52" s="193"/>
      <c r="I52" s="193"/>
      <c r="J52" s="193"/>
      <c r="K52" s="193"/>
      <c r="L52" s="193"/>
      <c r="AE52" s="205" t="s">
        <v>295</v>
      </c>
      <c r="AF52" s="219">
        <f t="shared" si="191"/>
        <v>5.3955428422585508E-3</v>
      </c>
      <c r="AG52" s="219">
        <f>AG24/AG$18</f>
        <v>9.6273727513708132E-3</v>
      </c>
      <c r="AH52" s="219">
        <f t="shared" si="179"/>
        <v>1.5233610828000312E-2</v>
      </c>
      <c r="AI52" s="219">
        <f t="shared" ref="AI52:AQ52" si="195">AI24/AI$18</f>
        <v>9.1006702437702071E-3</v>
      </c>
      <c r="AJ52" s="219">
        <f t="shared" si="195"/>
        <v>9.410408385853955E-3</v>
      </c>
      <c r="AK52" s="219">
        <f t="shared" si="195"/>
        <v>9.6116349471111022E-3</v>
      </c>
      <c r="AL52" s="219">
        <f t="shared" si="195"/>
        <v>9.4486402886641892E-3</v>
      </c>
      <c r="AM52" s="219">
        <f t="shared" si="195"/>
        <v>9.3397623254533567E-3</v>
      </c>
      <c r="AN52" s="219">
        <f t="shared" si="195"/>
        <v>9.2650799091715877E-3</v>
      </c>
      <c r="AO52" s="219">
        <f t="shared" si="195"/>
        <v>9.2166528697724317E-3</v>
      </c>
      <c r="AP52" s="219">
        <f t="shared" si="195"/>
        <v>9.2110705800031566E-3</v>
      </c>
      <c r="AQ52" s="219">
        <f t="shared" si="195"/>
        <v>9.3208262812284944E-3</v>
      </c>
      <c r="AS52" s="205" t="s">
        <v>295</v>
      </c>
      <c r="AT52" s="219">
        <f t="shared" si="193"/>
        <v>5.2533562030350912E-3</v>
      </c>
      <c r="AU52" s="219">
        <f>AU24/AU$18</f>
        <v>9.3923891933994745E-3</v>
      </c>
      <c r="AV52" s="219">
        <f t="shared" si="181"/>
        <v>1.4912708559684833E-2</v>
      </c>
      <c r="AW52" s="219">
        <f t="shared" ref="AW52:BE52" si="196">AW24/AW$18</f>
        <v>8.8730118450531144E-3</v>
      </c>
      <c r="AX52" s="219">
        <f t="shared" si="196"/>
        <v>9.1758619174696007E-3</v>
      </c>
      <c r="AY52" s="219">
        <f t="shared" si="196"/>
        <v>9.372813530986698E-3</v>
      </c>
      <c r="AZ52" s="219">
        <f t="shared" si="196"/>
        <v>9.2106864002238775E-3</v>
      </c>
      <c r="BA52" s="219">
        <f t="shared" si="196"/>
        <v>9.102527706973753E-3</v>
      </c>
      <c r="BB52" s="219">
        <f t="shared" si="196"/>
        <v>9.0239640771675716E-3</v>
      </c>
      <c r="BC52" s="219">
        <f t="shared" si="196"/>
        <v>8.9729880190122704E-3</v>
      </c>
      <c r="BD52" s="219">
        <f t="shared" si="196"/>
        <v>8.9547269946082513E-3</v>
      </c>
      <c r="BE52" s="219">
        <f t="shared" si="196"/>
        <v>9.044818878577365E-3</v>
      </c>
    </row>
    <row r="53" spans="1:57" ht="12.75" x14ac:dyDescent="0.2">
      <c r="AE53" s="205" t="s">
        <v>249</v>
      </c>
      <c r="AF53" s="219"/>
      <c r="AG53" s="219">
        <f>AG25/AG$18</f>
        <v>0</v>
      </c>
      <c r="AH53" s="219">
        <f t="shared" si="179"/>
        <v>0</v>
      </c>
      <c r="AI53" s="219">
        <f t="shared" ref="AI53:AQ53" si="197">AI25/AI$18</f>
        <v>0</v>
      </c>
      <c r="AJ53" s="219">
        <f t="shared" si="197"/>
        <v>0</v>
      </c>
      <c r="AK53" s="219">
        <f t="shared" si="197"/>
        <v>0</v>
      </c>
      <c r="AL53" s="219">
        <f t="shared" si="197"/>
        <v>0</v>
      </c>
      <c r="AM53" s="219">
        <f t="shared" si="197"/>
        <v>0</v>
      </c>
      <c r="AN53" s="219">
        <f t="shared" si="197"/>
        <v>0</v>
      </c>
      <c r="AO53" s="219">
        <f t="shared" si="197"/>
        <v>0</v>
      </c>
      <c r="AP53" s="219">
        <f t="shared" si="197"/>
        <v>0</v>
      </c>
      <c r="AQ53" s="219">
        <f t="shared" si="197"/>
        <v>0</v>
      </c>
      <c r="AS53" s="205" t="s">
        <v>249</v>
      </c>
      <c r="AT53" s="219"/>
      <c r="AU53" s="219">
        <f>AU25/AU$18</f>
        <v>2.027578325956049E-5</v>
      </c>
      <c r="AV53" s="219">
        <f t="shared" si="181"/>
        <v>2.1011478946664476E-5</v>
      </c>
      <c r="AW53" s="219">
        <f t="shared" ref="AW53:BE53" si="198">AW25/AW$18</f>
        <v>1.9934891628755819E-5</v>
      </c>
      <c r="AX53" s="219">
        <f t="shared" si="198"/>
        <v>1.9981297867099056E-5</v>
      </c>
      <c r="AY53" s="219">
        <f t="shared" si="198"/>
        <v>2.0003647323678802E-5</v>
      </c>
      <c r="AZ53" s="219">
        <f t="shared" si="198"/>
        <v>1.9804919879661211E-5</v>
      </c>
      <c r="BA53" s="219">
        <f t="shared" si="198"/>
        <v>1.967017472387049E-5</v>
      </c>
      <c r="BB53" s="219">
        <f t="shared" si="198"/>
        <v>1.9538428569351128E-5</v>
      </c>
      <c r="BC53" s="219">
        <f t="shared" si="198"/>
        <v>1.9453934349818427E-5</v>
      </c>
      <c r="BD53" s="219">
        <f t="shared" si="198"/>
        <v>1.939939151435384E-5</v>
      </c>
      <c r="BE53" s="219">
        <f t="shared" si="198"/>
        <v>1.958149787605169E-5</v>
      </c>
    </row>
    <row r="54" spans="1:57" ht="12.75" x14ac:dyDescent="0.2">
      <c r="AE54" s="203" t="s">
        <v>613</v>
      </c>
      <c r="AF54" s="219">
        <f t="shared" ref="AF54" si="199">AF26/AF$18</f>
        <v>7.0760021417567764E-2</v>
      </c>
      <c r="AG54" s="219">
        <f>AG26/AG$18</f>
        <v>6.6323596042061603E-2</v>
      </c>
      <c r="AH54" s="219">
        <f t="shared" si="179"/>
        <v>0.10731741776705785</v>
      </c>
      <c r="AI54" s="219">
        <f t="shared" ref="AI54:AQ54" si="200">AI26/AI$18</f>
        <v>8.0393573093659659E-2</v>
      </c>
      <c r="AJ54" s="219">
        <f t="shared" si="200"/>
        <v>9.2863398086562757E-2</v>
      </c>
      <c r="AK54" s="219">
        <f t="shared" si="200"/>
        <v>0.10157049599496559</v>
      </c>
      <c r="AL54" s="219">
        <f t="shared" si="200"/>
        <v>0.11054188252846542</v>
      </c>
      <c r="AM54" s="219">
        <f t="shared" si="200"/>
        <v>0.11671002146370214</v>
      </c>
      <c r="AN54" s="219">
        <f t="shared" si="200"/>
        <v>0.12203376217199309</v>
      </c>
      <c r="AO54" s="219">
        <f t="shared" si="200"/>
        <v>0.12568378908407155</v>
      </c>
      <c r="AP54" s="219">
        <f t="shared" si="200"/>
        <v>0.13562114503298095</v>
      </c>
      <c r="AQ54" s="219">
        <f t="shared" si="200"/>
        <v>0.1515118072979251</v>
      </c>
      <c r="AS54" s="203" t="s">
        <v>613</v>
      </c>
      <c r="AT54" s="219">
        <f t="shared" ref="AT54" si="201">AT26/AT$18</f>
        <v>6.8895310130698911E-2</v>
      </c>
      <c r="AU54" s="219">
        <f t="shared" ref="AU54:BE54" si="202">AU26/AU$18</f>
        <v>6.4704779052431868E-2</v>
      </c>
      <c r="AV54" s="219">
        <f t="shared" si="181"/>
        <v>0.10505673228808335</v>
      </c>
      <c r="AW54" s="219">
        <f t="shared" si="202"/>
        <v>7.8382482522591349E-2</v>
      </c>
      <c r="AX54" s="219">
        <f t="shared" si="202"/>
        <v>9.0548856446041048E-2</v>
      </c>
      <c r="AY54" s="219">
        <f t="shared" si="202"/>
        <v>9.90467620180248E-2</v>
      </c>
      <c r="AZ54" s="219">
        <f t="shared" si="202"/>
        <v>0.10775800358085449</v>
      </c>
      <c r="BA54" s="219">
        <f t="shared" si="202"/>
        <v>0.11374552874430698</v>
      </c>
      <c r="BB54" s="219">
        <f t="shared" si="202"/>
        <v>0.11885793720478985</v>
      </c>
      <c r="BC54" s="219">
        <f t="shared" si="202"/>
        <v>0.12236102949413614</v>
      </c>
      <c r="BD54" s="219">
        <f t="shared" si="202"/>
        <v>0.13184681605882331</v>
      </c>
      <c r="BE54" s="219">
        <f t="shared" si="202"/>
        <v>0.14702525437423228</v>
      </c>
    </row>
    <row r="55" spans="1:57" ht="12.75" x14ac:dyDescent="0.2">
      <c r="AE55" s="201" t="s">
        <v>42</v>
      </c>
      <c r="AF55" s="201"/>
      <c r="AG55" s="201"/>
      <c r="AH55" s="201"/>
      <c r="AI55" s="201"/>
      <c r="AJ55" s="201"/>
      <c r="AK55" s="201"/>
      <c r="AL55" s="201"/>
      <c r="AM55" s="201"/>
      <c r="AN55" s="201"/>
      <c r="AO55" s="201"/>
      <c r="AP55" s="201"/>
      <c r="AQ55" s="201"/>
      <c r="AS55" s="201" t="s">
        <v>42</v>
      </c>
      <c r="AT55" s="201"/>
      <c r="AU55" s="201"/>
      <c r="AV55" s="201"/>
      <c r="AW55" s="201"/>
      <c r="AX55" s="201"/>
      <c r="AY55" s="201"/>
      <c r="AZ55" s="201"/>
      <c r="BA55" s="201"/>
      <c r="BB55" s="201"/>
      <c r="BC55" s="201"/>
      <c r="BD55" s="201"/>
      <c r="BE55" s="201"/>
    </row>
    <row r="56" spans="1:57" x14ac:dyDescent="0.2">
      <c r="AU56" s="560"/>
    </row>
    <row r="57" spans="1:57" x14ac:dyDescent="0.2">
      <c r="AG57" s="561">
        <f>SUM(AG47:AG54,AG37:AG45,AG33:AG35)-3</f>
        <v>0</v>
      </c>
      <c r="AH57" s="561">
        <f t="shared" ref="AH57" si="203">SUM(AH47:AH54,AH37:AH45,AH33:AH35)-3</f>
        <v>0</v>
      </c>
      <c r="AI57" s="561">
        <f t="shared" ref="AI57:AQ57" si="204">SUM(AI47:AI54,AI37:AI45,AI33:AI35)-3</f>
        <v>0</v>
      </c>
      <c r="AJ57" s="561">
        <f t="shared" si="204"/>
        <v>0</v>
      </c>
      <c r="AK57" s="561">
        <f t="shared" si="204"/>
        <v>0</v>
      </c>
      <c r="AL57" s="561">
        <f t="shared" si="204"/>
        <v>0</v>
      </c>
      <c r="AM57" s="561">
        <f t="shared" si="204"/>
        <v>0</v>
      </c>
      <c r="AN57" s="561">
        <f t="shared" si="204"/>
        <v>0</v>
      </c>
      <c r="AO57" s="561">
        <f t="shared" si="204"/>
        <v>0</v>
      </c>
      <c r="AP57" s="561">
        <f t="shared" si="204"/>
        <v>0</v>
      </c>
      <c r="AQ57" s="561">
        <f t="shared" si="204"/>
        <v>0</v>
      </c>
    </row>
  </sheetData>
  <mergeCells count="1">
    <mergeCell ref="M1:O1"/>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4F1C9-EEA3-45C4-B1C6-11A175F3F15A}">
  <dimension ref="A2:AM75"/>
  <sheetViews>
    <sheetView workbookViewId="0">
      <selection activeCell="B74" sqref="B74"/>
    </sheetView>
  </sheetViews>
  <sheetFormatPr baseColWidth="10" defaultRowHeight="15" x14ac:dyDescent="0.25"/>
  <cols>
    <col min="1" max="1" width="21.140625" customWidth="1"/>
    <col min="2" max="2" width="39" customWidth="1"/>
    <col min="3" max="3" width="6.7109375" customWidth="1"/>
    <col min="4" max="10" width="12.42578125" customWidth="1"/>
    <col min="11" max="11" width="12.42578125" hidden="1" customWidth="1"/>
    <col min="12" max="12" width="11.42578125" customWidth="1"/>
    <col min="13" max="13" width="11.42578125" hidden="1" customWidth="1"/>
    <col min="15" max="16" width="12.42578125" hidden="1" customWidth="1"/>
    <col min="17" max="18" width="0" hidden="1" customWidth="1"/>
    <col min="20" max="21" width="12.42578125" hidden="1" customWidth="1"/>
    <col min="22" max="24" width="11.42578125" hidden="1" customWidth="1"/>
    <col min="25" max="26" width="12.42578125" hidden="1" customWidth="1"/>
    <col min="27" max="28" width="11.42578125" hidden="1" customWidth="1"/>
    <col min="30" max="38" width="0" hidden="1" customWidth="1"/>
  </cols>
  <sheetData>
    <row r="2" spans="1:39" ht="15.75" thickBot="1" x14ac:dyDescent="0.3">
      <c r="B2" t="s">
        <v>477</v>
      </c>
      <c r="D2" s="557">
        <v>2015</v>
      </c>
      <c r="E2" s="557">
        <v>2016</v>
      </c>
      <c r="F2" s="557">
        <v>2017</v>
      </c>
      <c r="G2" s="557">
        <v>2018</v>
      </c>
      <c r="H2" s="557">
        <v>2019</v>
      </c>
      <c r="I2" s="557">
        <v>2020</v>
      </c>
      <c r="J2" s="557">
        <v>2021</v>
      </c>
      <c r="K2" s="557">
        <v>2022</v>
      </c>
      <c r="L2" s="557">
        <v>2023</v>
      </c>
      <c r="M2" s="557">
        <v>2024</v>
      </c>
      <c r="N2" s="557">
        <v>2025</v>
      </c>
      <c r="O2" s="557">
        <v>2026</v>
      </c>
      <c r="P2" s="557">
        <v>2027</v>
      </c>
      <c r="Q2" s="557">
        <v>2028</v>
      </c>
      <c r="R2" s="557">
        <v>2029</v>
      </c>
      <c r="S2" s="557">
        <v>2030</v>
      </c>
      <c r="T2" s="557">
        <v>2031</v>
      </c>
      <c r="U2" s="557">
        <v>2032</v>
      </c>
      <c r="V2" s="557">
        <v>2033</v>
      </c>
      <c r="W2" s="557">
        <v>2034</v>
      </c>
      <c r="X2" s="557">
        <v>2035</v>
      </c>
      <c r="Y2" s="557">
        <v>2036</v>
      </c>
      <c r="Z2" s="557">
        <v>2037</v>
      </c>
      <c r="AA2" s="557">
        <v>2038</v>
      </c>
      <c r="AB2" s="557">
        <v>2039</v>
      </c>
      <c r="AC2" s="557">
        <v>2040</v>
      </c>
      <c r="AD2" s="557">
        <v>2041</v>
      </c>
      <c r="AE2" s="557">
        <v>2042</v>
      </c>
      <c r="AF2" s="557">
        <v>2043</v>
      </c>
      <c r="AG2" s="557">
        <v>2044</v>
      </c>
      <c r="AH2" s="557">
        <v>2045</v>
      </c>
      <c r="AI2" s="557">
        <v>2046</v>
      </c>
      <c r="AJ2" s="557">
        <v>2047</v>
      </c>
      <c r="AK2" s="557">
        <v>2048</v>
      </c>
      <c r="AL2" s="557">
        <v>2049</v>
      </c>
      <c r="AM2" s="557">
        <v>2050</v>
      </c>
    </row>
    <row r="3" spans="1:39" x14ac:dyDescent="0.25">
      <c r="A3" s="591" t="s">
        <v>475</v>
      </c>
      <c r="B3" s="588" t="s">
        <v>266</v>
      </c>
      <c r="C3">
        <v>2201</v>
      </c>
      <c r="D3">
        <f>('Cibles THREEME'!AT4+'Cibles THREEME'!AT6)*11.64</f>
        <v>783.25856651127401</v>
      </c>
      <c r="E3">
        <f>D3+(I3-D3)/5</f>
        <v>759.29147710674863</v>
      </c>
      <c r="F3">
        <f>E3+(I3-D3)/5</f>
        <v>735.32438770222325</v>
      </c>
      <c r="G3">
        <f>F3+(I3-D3)/5</f>
        <v>711.35729829769787</v>
      </c>
      <c r="H3">
        <f>G3+(I3-D3)/5</f>
        <v>687.39020889317248</v>
      </c>
      <c r="I3">
        <f>'Cibles THREEME'!$AU4+'Cibles THREEME'!$AU6</f>
        <v>663.42311948864688</v>
      </c>
      <c r="J3">
        <f>I3+(L3-I3)/3</f>
        <v>672.73407743391556</v>
      </c>
      <c r="K3">
        <f>J3+(L3-I3)/3</f>
        <v>682.04503537918424</v>
      </c>
      <c r="L3">
        <f>'Cibles THREEME'!$AV4+'Cibles THREEME'!$AV6</f>
        <v>691.35599332445304</v>
      </c>
      <c r="M3">
        <f>(L3+N3)/2</f>
        <v>675.6016101938369</v>
      </c>
      <c r="N3">
        <f>'Cibles THREEME'!$AW4+'Cibles THREEME'!$AW6</f>
        <v>659.84722706322077</v>
      </c>
      <c r="O3">
        <f>N3+(Q3-N3)/3</f>
        <v>641.39662324652784</v>
      </c>
      <c r="P3">
        <f>O3+(Q3-N3)/3</f>
        <v>622.94601942983491</v>
      </c>
      <c r="Q3">
        <f>'Cibles THREEME'!$AX4+'Cibles THREEME'!$AX6</f>
        <v>604.49541561314186</v>
      </c>
      <c r="R3">
        <f>(Q3+S3)/2</f>
        <v>585.99513197565273</v>
      </c>
      <c r="S3">
        <f>'Cibles THREEME'!$AY4+'Cibles THREEME'!$AY6</f>
        <v>567.49484833816359</v>
      </c>
      <c r="T3">
        <f>S3+(V3-S3)/3</f>
        <v>552.86956268333427</v>
      </c>
      <c r="U3">
        <f>T3+(V3-S3)/3</f>
        <v>538.24427702850494</v>
      </c>
      <c r="V3">
        <f>'Cibles THREEME'!$AZ4+'Cibles THREEME'!$AZ6</f>
        <v>523.61899137367573</v>
      </c>
      <c r="W3">
        <f>(V3+X3)/2</f>
        <v>508.96688470556217</v>
      </c>
      <c r="X3">
        <f>'Cibles THREEME'!$BA4+'Cibles THREEME'!$BA6</f>
        <v>494.31477803744855</v>
      </c>
      <c r="Y3">
        <f>X3+(AA3-X3)/3</f>
        <v>482.18728526668616</v>
      </c>
      <c r="Z3">
        <f>Y3+(AA3-X3)/3</f>
        <v>470.05979249592377</v>
      </c>
      <c r="AA3">
        <f>'Cibles THREEME'!$BB4+'Cibles THREEME'!$BB6</f>
        <v>457.93229972516144</v>
      </c>
      <c r="AB3">
        <f>(AA3+AC3)/2</f>
        <v>445.81404514777034</v>
      </c>
      <c r="AC3">
        <f>'Cibles THREEME'!$BC4+'Cibles THREEME'!$BC6</f>
        <v>433.69579057037924</v>
      </c>
      <c r="AD3">
        <f>AC3+(AH3-AC3)/5</f>
        <v>425.53943810014869</v>
      </c>
      <c r="AE3">
        <f>AD3+(AH3-AC3)/5</f>
        <v>417.38308562991813</v>
      </c>
      <c r="AF3">
        <f>AE3+(AH3-AC3)/5</f>
        <v>409.22673315968757</v>
      </c>
      <c r="AG3">
        <f>AF3+(AH3-AC3)/5</f>
        <v>401.07038068945701</v>
      </c>
      <c r="AH3">
        <f>'Cibles THREEME'!$BD4+'Cibles THREEME'!$BD6</f>
        <v>392.91402821922645</v>
      </c>
      <c r="AI3">
        <f>AH3+(AM3-AH3)/5</f>
        <v>388.54618655186033</v>
      </c>
      <c r="AJ3">
        <f>AI3+(AM3-AH3)/5</f>
        <v>384.17834488449421</v>
      </c>
      <c r="AK3">
        <f>AJ3+(AM3-AH3)/5</f>
        <v>379.81050321712809</v>
      </c>
      <c r="AL3">
        <f>AK3+(AM3-AH3)/5</f>
        <v>375.44266154976197</v>
      </c>
      <c r="AM3">
        <f>'Cibles THREEME'!$BE4+'Cibles THREEME'!$BE6</f>
        <v>371.07481988239579</v>
      </c>
    </row>
    <row r="4" spans="1:39" ht="15.75" thickBot="1" x14ac:dyDescent="0.3">
      <c r="A4" s="592"/>
      <c r="B4" s="590" t="s">
        <v>343</v>
      </c>
      <c r="C4">
        <v>2202</v>
      </c>
      <c r="D4">
        <f>('Cibles THREEME'!AT5+'Cibles THREEME'!AT7)*11.64</f>
        <v>36.322327193928011</v>
      </c>
      <c r="E4">
        <f t="shared" ref="E4:E12" si="0">D4+(I4-D4)/5</f>
        <v>35.804147658651445</v>
      </c>
      <c r="F4">
        <f t="shared" ref="F4:F12" si="1">E4+(I4-D4)/5</f>
        <v>35.285968123374879</v>
      </c>
      <c r="G4">
        <f t="shared" ref="G4:G12" si="2">F4+(I4-D4)/5</f>
        <v>34.767788588098313</v>
      </c>
      <c r="H4">
        <f t="shared" ref="H4:H12" si="3">G4+(I4-D4)/5</f>
        <v>34.249609052821747</v>
      </c>
      <c r="I4">
        <f>'Cibles THREEME'!$AU5+'Cibles THREEME'!$AU7</f>
        <v>33.731429517545166</v>
      </c>
      <c r="J4">
        <f t="shared" ref="J4:J12" si="4">I4+(L4-I4)/3</f>
        <v>36.105376613050325</v>
      </c>
      <c r="K4">
        <f t="shared" ref="K4:K12" si="5">J4+(L4-I4)/3</f>
        <v>38.479323708555484</v>
      </c>
      <c r="L4">
        <f>'Cibles THREEME'!$AV5+'Cibles THREEME'!$AV7</f>
        <v>40.853270804060642</v>
      </c>
      <c r="M4">
        <f t="shared" ref="M4:M12" si="6">(L4+N4)/2</f>
        <v>41.803994267746646</v>
      </c>
      <c r="N4">
        <f>'Cibles THREEME'!$AW5+'Cibles THREEME'!$AW7</f>
        <v>42.754717731432656</v>
      </c>
      <c r="O4">
        <f t="shared" ref="O4:O12" si="7">N4+(Q4-N4)/3</f>
        <v>41.556999436959678</v>
      </c>
      <c r="P4">
        <f t="shared" ref="P4:P12" si="8">O4+(Q4-N4)/3</f>
        <v>40.359281142486701</v>
      </c>
      <c r="Q4">
        <f>'Cibles THREEME'!$AX5+'Cibles THREEME'!$AX7</f>
        <v>39.161562848013716</v>
      </c>
      <c r="R4">
        <f t="shared" ref="R4:R12" si="9">(Q4+S4)/2</f>
        <v>37.972934426555327</v>
      </c>
      <c r="S4">
        <f>'Cibles THREEME'!$AY5+'Cibles THREEME'!$AY7</f>
        <v>36.784306005096937</v>
      </c>
      <c r="T4">
        <f t="shared" ref="T4:T12" si="10">S4+(V4-S4)/3</f>
        <v>35.804371168042259</v>
      </c>
      <c r="U4">
        <f t="shared" ref="U4:U12" si="11">T4+(V4-S4)/3</f>
        <v>34.824436330987581</v>
      </c>
      <c r="V4">
        <f>'Cibles THREEME'!$AZ5+'Cibles THREEME'!$AZ7</f>
        <v>33.844501493932903</v>
      </c>
      <c r="W4">
        <f t="shared" ref="W4:W12" si="12">(V4+X4)/2</f>
        <v>32.867724302954315</v>
      </c>
      <c r="X4">
        <f>'Cibles THREEME'!$BA5+'Cibles THREEME'!$BA7</f>
        <v>31.890947111975727</v>
      </c>
      <c r="Y4">
        <f t="shared" ref="Y4:Y12" si="13">X4+(AA4-X4)/3</f>
        <v>31.12281146032435</v>
      </c>
      <c r="Z4">
        <f t="shared" ref="Z4:Z12" si="14">Y4+(AA4-X4)/3</f>
        <v>30.354675808672972</v>
      </c>
      <c r="AA4">
        <f>'Cibles THREEME'!$BB5+'Cibles THREEME'!$BB7</f>
        <v>29.586540157021599</v>
      </c>
      <c r="AB4">
        <f t="shared" ref="AB4:AB12" si="15">(AA4+AC4)/2</f>
        <v>28.81375904674697</v>
      </c>
      <c r="AC4">
        <f>'Cibles THREEME'!$BC5+'Cibles THREEME'!$BC7</f>
        <v>28.040977936472341</v>
      </c>
      <c r="AD4">
        <f t="shared" ref="AD4:AD12" si="16">AC4+(AH4-AC4)/5</f>
        <v>27.619180883474549</v>
      </c>
      <c r="AE4">
        <f t="shared" ref="AE4:AE12" si="17">AD4+(AH4-AC4)/5</f>
        <v>27.197383830476756</v>
      </c>
      <c r="AF4">
        <f t="shared" ref="AF4:AF12" si="18">AE4+(AH4-AC4)/5</f>
        <v>26.775586777478964</v>
      </c>
      <c r="AG4">
        <f t="shared" ref="AG4:AG12" si="19">AF4+(AH4-AC4)/5</f>
        <v>26.353789724481171</v>
      </c>
      <c r="AH4">
        <f>'Cibles THREEME'!$BD5+'Cibles THREEME'!$BD7</f>
        <v>25.931992671483378</v>
      </c>
      <c r="AI4">
        <f t="shared" ref="AI4:AI12" si="20">AH4+(AM4-AH4)/5</f>
        <v>25.776911402692303</v>
      </c>
      <c r="AJ4">
        <f t="shared" ref="AJ4:AJ12" si="21">AI4+(AM4-AH4)/5</f>
        <v>25.621830133901227</v>
      </c>
      <c r="AK4">
        <f t="shared" ref="AK4:AK12" si="22">AJ4+(AM4-AH4)/5</f>
        <v>25.466748865110151</v>
      </c>
      <c r="AL4">
        <f t="shared" ref="AL4:AL12" si="23">AK4+(AM4-AH4)/5</f>
        <v>25.311667596319076</v>
      </c>
      <c r="AM4">
        <f>'Cibles THREEME'!$BE5+'Cibles THREEME'!$BE7</f>
        <v>25.156586327528007</v>
      </c>
    </row>
    <row r="5" spans="1:39" x14ac:dyDescent="0.25">
      <c r="A5" s="591"/>
      <c r="B5" s="588" t="s">
        <v>20</v>
      </c>
      <c r="C5">
        <v>2301</v>
      </c>
      <c r="D5">
        <f>'Cibles THREEME'!AT9*11.64</f>
        <v>344.00551986413979</v>
      </c>
      <c r="E5">
        <f t="shared" si="0"/>
        <v>331.37569948446134</v>
      </c>
      <c r="F5">
        <f t="shared" si="1"/>
        <v>318.74587910478289</v>
      </c>
      <c r="G5">
        <f t="shared" si="2"/>
        <v>306.11605872510444</v>
      </c>
      <c r="H5">
        <f t="shared" si="3"/>
        <v>293.48623834542599</v>
      </c>
      <c r="I5">
        <f>'Cibles THREEME'!$AU9</f>
        <v>280.85641796574743</v>
      </c>
      <c r="J5">
        <f t="shared" si="4"/>
        <v>276.4363866160175</v>
      </c>
      <c r="K5">
        <f t="shared" si="5"/>
        <v>272.01635526628758</v>
      </c>
      <c r="L5">
        <f>'Cibles THREEME'!$AV9</f>
        <v>267.59632391655759</v>
      </c>
      <c r="M5">
        <f t="shared" si="6"/>
        <v>283.46587576049478</v>
      </c>
      <c r="N5">
        <f>'Cibles THREEME'!$AW9</f>
        <v>299.33542760443191</v>
      </c>
      <c r="O5">
        <f t="shared" si="7"/>
        <v>298.149305271841</v>
      </c>
      <c r="P5">
        <f t="shared" si="8"/>
        <v>296.96318293925009</v>
      </c>
      <c r="Q5">
        <f>'Cibles THREEME'!$AX9</f>
        <v>295.77706060665918</v>
      </c>
      <c r="R5">
        <f t="shared" si="9"/>
        <v>295.32135850150115</v>
      </c>
      <c r="S5">
        <f>'Cibles THREEME'!$AY9</f>
        <v>294.86565639634313</v>
      </c>
      <c r="T5">
        <f t="shared" si="10"/>
        <v>292.04769608569677</v>
      </c>
      <c r="U5">
        <f t="shared" si="11"/>
        <v>289.22973577505041</v>
      </c>
      <c r="V5">
        <f>'Cibles THREEME'!$AZ9</f>
        <v>286.41177546440406</v>
      </c>
      <c r="W5">
        <f t="shared" si="12"/>
        <v>283.24401106313439</v>
      </c>
      <c r="X5">
        <f>'Cibles THREEME'!$BA9</f>
        <v>280.07624666186479</v>
      </c>
      <c r="Y5">
        <f t="shared" si="13"/>
        <v>275.76154723572819</v>
      </c>
      <c r="Z5">
        <f t="shared" si="14"/>
        <v>271.44684780959159</v>
      </c>
      <c r="AA5">
        <f>'Cibles THREEME'!$BB9</f>
        <v>267.13214838345505</v>
      </c>
      <c r="AB5">
        <f t="shared" si="15"/>
        <v>262.47766118293526</v>
      </c>
      <c r="AC5">
        <f>'Cibles THREEME'!$BC9</f>
        <v>257.82317398241548</v>
      </c>
      <c r="AD5">
        <f t="shared" si="16"/>
        <v>252.87833141465856</v>
      </c>
      <c r="AE5">
        <f t="shared" si="17"/>
        <v>247.93348884690164</v>
      </c>
      <c r="AF5">
        <f t="shared" si="18"/>
        <v>242.98864627914472</v>
      </c>
      <c r="AG5">
        <f t="shared" si="19"/>
        <v>238.0438037113878</v>
      </c>
      <c r="AH5">
        <f>'Cibles THREEME'!$BD9</f>
        <v>233.09896114363087</v>
      </c>
      <c r="AI5">
        <f t="shared" si="20"/>
        <v>226.90586773556015</v>
      </c>
      <c r="AJ5">
        <f t="shared" si="21"/>
        <v>220.71277432748943</v>
      </c>
      <c r="AK5">
        <f t="shared" si="22"/>
        <v>214.5196809194187</v>
      </c>
      <c r="AL5">
        <f t="shared" si="23"/>
        <v>208.32658751134798</v>
      </c>
      <c r="AM5">
        <f>'Cibles THREEME'!$BE9</f>
        <v>202.13349410327723</v>
      </c>
    </row>
    <row r="6" spans="1:39" x14ac:dyDescent="0.25">
      <c r="A6" s="593"/>
      <c r="B6" s="589" t="s">
        <v>224</v>
      </c>
      <c r="C6">
        <f>C5+1</f>
        <v>2302</v>
      </c>
      <c r="D6">
        <f>'Cibles THREEME'!AT10*11.64</f>
        <v>2.7160460114866836</v>
      </c>
      <c r="E6">
        <f t="shared" si="0"/>
        <v>2.4082247108095838</v>
      </c>
      <c r="F6">
        <f t="shared" si="1"/>
        <v>2.100403410132484</v>
      </c>
      <c r="G6">
        <f t="shared" si="2"/>
        <v>1.7925821094553842</v>
      </c>
      <c r="H6">
        <f t="shared" si="3"/>
        <v>1.4847608087782844</v>
      </c>
      <c r="I6">
        <f>'Cibles THREEME'!$AU10</f>
        <v>1.1769395081011844</v>
      </c>
      <c r="J6">
        <f t="shared" si="4"/>
        <v>1.6568887271483279</v>
      </c>
      <c r="K6">
        <f t="shared" si="5"/>
        <v>2.1368379461954716</v>
      </c>
      <c r="L6">
        <f>'Cibles THREEME'!$AV10</f>
        <v>2.6167871652426151</v>
      </c>
      <c r="M6">
        <f t="shared" si="6"/>
        <v>2.6118865357691528</v>
      </c>
      <c r="N6">
        <f>'Cibles THREEME'!$AW10</f>
        <v>2.6069859062956899</v>
      </c>
      <c r="O6">
        <f t="shared" si="7"/>
        <v>2.5807139385860083</v>
      </c>
      <c r="P6">
        <f t="shared" si="8"/>
        <v>2.5544419708763266</v>
      </c>
      <c r="Q6">
        <f>'Cibles THREEME'!$AX10</f>
        <v>2.528170003166645</v>
      </c>
      <c r="R6">
        <f t="shared" si="9"/>
        <v>2.5082086905602741</v>
      </c>
      <c r="S6">
        <f>'Cibles THREEME'!$AY10</f>
        <v>2.4882473779539032</v>
      </c>
      <c r="T6">
        <f t="shared" si="10"/>
        <v>2.5446896016656289</v>
      </c>
      <c r="U6">
        <f t="shared" si="11"/>
        <v>2.6011318253773545</v>
      </c>
      <c r="V6">
        <f>'Cibles THREEME'!$AZ10</f>
        <v>2.6575740490890798</v>
      </c>
      <c r="W6">
        <f t="shared" si="12"/>
        <v>2.7151624937759653</v>
      </c>
      <c r="X6">
        <f>'Cibles THREEME'!$BA10</f>
        <v>2.7727509384628508</v>
      </c>
      <c r="Y6">
        <f t="shared" si="13"/>
        <v>2.7653873449268924</v>
      </c>
      <c r="Z6">
        <f t="shared" si="14"/>
        <v>2.758023751390934</v>
      </c>
      <c r="AA6">
        <f>'Cibles THREEME'!$BB10</f>
        <v>2.7506601578549756</v>
      </c>
      <c r="AB6">
        <f t="shared" si="15"/>
        <v>2.7414584488741816</v>
      </c>
      <c r="AC6">
        <f>'Cibles THREEME'!$BC10</f>
        <v>2.7322567398933875</v>
      </c>
      <c r="AD6">
        <f t="shared" si="16"/>
        <v>2.7796223875588288</v>
      </c>
      <c r="AE6">
        <f t="shared" si="17"/>
        <v>2.8269880352242702</v>
      </c>
      <c r="AF6">
        <f t="shared" si="18"/>
        <v>2.8743536828897116</v>
      </c>
      <c r="AG6">
        <f t="shared" si="19"/>
        <v>2.921719330555153</v>
      </c>
      <c r="AH6">
        <f>'Cibles THREEME'!$BD10</f>
        <v>2.9690849782205939</v>
      </c>
      <c r="AI6">
        <f t="shared" si="20"/>
        <v>2.9861916660770471</v>
      </c>
      <c r="AJ6">
        <f t="shared" si="21"/>
        <v>3.0032983539335003</v>
      </c>
      <c r="AK6">
        <f t="shared" si="22"/>
        <v>3.0204050417899535</v>
      </c>
      <c r="AL6">
        <f t="shared" si="23"/>
        <v>3.0375117296464067</v>
      </c>
      <c r="AM6">
        <f>'Cibles THREEME'!$BE10</f>
        <v>3.054618417502859</v>
      </c>
    </row>
    <row r="7" spans="1:39" x14ac:dyDescent="0.25">
      <c r="A7" s="593"/>
      <c r="B7" s="589" t="s">
        <v>32</v>
      </c>
      <c r="C7">
        <f t="shared" ref="C7:C12" si="24">C6+1</f>
        <v>2303</v>
      </c>
      <c r="D7">
        <f>('Cibles THREEME'!AT11+'Cibles THREEME'!AT13)*11.64</f>
        <v>17.863365766180937</v>
      </c>
      <c r="E7">
        <f t="shared" si="0"/>
        <v>19.271628449455005</v>
      </c>
      <c r="F7">
        <f t="shared" si="1"/>
        <v>20.679891132729072</v>
      </c>
      <c r="G7">
        <f t="shared" si="2"/>
        <v>22.088153816003139</v>
      </c>
      <c r="H7">
        <f t="shared" si="3"/>
        <v>23.496416499277206</v>
      </c>
      <c r="I7">
        <f>'Cibles THREEME'!$AU11+'Cibles THREEME'!$AU13</f>
        <v>24.904679182551273</v>
      </c>
      <c r="J7">
        <f t="shared" si="4"/>
        <v>23.696159455925354</v>
      </c>
      <c r="K7">
        <f t="shared" si="5"/>
        <v>22.487639729299435</v>
      </c>
      <c r="L7">
        <f>'Cibles THREEME'!$AV11+'Cibles THREEME'!$AV13</f>
        <v>21.279120002673519</v>
      </c>
      <c r="M7">
        <f t="shared" si="6"/>
        <v>14.447722163723164</v>
      </c>
      <c r="N7">
        <f>'Cibles THREEME'!$AW11+'Cibles THREEME'!$AW13</f>
        <v>7.6163243247728092</v>
      </c>
      <c r="O7">
        <f t="shared" si="7"/>
        <v>7.5961937490397622</v>
      </c>
      <c r="P7">
        <f t="shared" si="8"/>
        <v>7.5760631733067152</v>
      </c>
      <c r="Q7">
        <f>'Cibles THREEME'!$AX11+'Cibles THREEME'!$AX13</f>
        <v>7.5559325975736691</v>
      </c>
      <c r="R7">
        <f t="shared" si="9"/>
        <v>7.554160351530312</v>
      </c>
      <c r="S7">
        <f>'Cibles THREEME'!$AY11+'Cibles THREEME'!$AY13</f>
        <v>7.5523881054869557</v>
      </c>
      <c r="T7">
        <f t="shared" si="10"/>
        <v>7.6347800552244367</v>
      </c>
      <c r="U7">
        <f t="shared" si="11"/>
        <v>7.7171720049619177</v>
      </c>
      <c r="V7">
        <f>'Cibles THREEME'!$AZ11+'Cibles THREEME'!$AZ13</f>
        <v>7.7995639546993987</v>
      </c>
      <c r="W7">
        <f t="shared" si="12"/>
        <v>7.8809491126368982</v>
      </c>
      <c r="X7">
        <f>'Cibles THREEME'!$BA11+'Cibles THREEME'!$BA13</f>
        <v>7.9623342705743987</v>
      </c>
      <c r="Y7">
        <f t="shared" si="13"/>
        <v>8.0334460771533944</v>
      </c>
      <c r="Z7">
        <f t="shared" si="14"/>
        <v>8.1045578837323902</v>
      </c>
      <c r="AA7">
        <f>'Cibles THREEME'!$BB11+'Cibles THREEME'!$BB13</f>
        <v>8.1756696903113859</v>
      </c>
      <c r="AB7">
        <f t="shared" si="15"/>
        <v>8.2454201483826068</v>
      </c>
      <c r="AC7">
        <f>'Cibles THREEME'!$BC11+'Cibles THREEME'!$BC13</f>
        <v>8.315170606453826</v>
      </c>
      <c r="AD7">
        <f t="shared" si="16"/>
        <v>8.3681155870389592</v>
      </c>
      <c r="AE7">
        <f t="shared" si="17"/>
        <v>8.4210605676240924</v>
      </c>
      <c r="AF7">
        <f t="shared" si="18"/>
        <v>8.4740055482092256</v>
      </c>
      <c r="AG7">
        <f t="shared" si="19"/>
        <v>8.5269505287943588</v>
      </c>
      <c r="AH7">
        <f>'Cibles THREEME'!$BD11+'Cibles THREEME'!$BD13</f>
        <v>8.579895509379492</v>
      </c>
      <c r="AI7">
        <f t="shared" si="20"/>
        <v>11.784552191595083</v>
      </c>
      <c r="AJ7">
        <f t="shared" si="21"/>
        <v>14.989208873810671</v>
      </c>
      <c r="AK7">
        <f t="shared" si="22"/>
        <v>18.19386555602626</v>
      </c>
      <c r="AL7">
        <f t="shared" si="23"/>
        <v>21.398522238241849</v>
      </c>
      <c r="AM7">
        <f>'Cibles THREEME'!$BE11+'Cibles THREEME'!$BE13</f>
        <v>24.603178920457438</v>
      </c>
    </row>
    <row r="8" spans="1:39" x14ac:dyDescent="0.25">
      <c r="A8" s="593" t="s">
        <v>104</v>
      </c>
      <c r="B8" s="589" t="s">
        <v>42</v>
      </c>
      <c r="C8">
        <f t="shared" si="24"/>
        <v>2304</v>
      </c>
      <c r="D8">
        <f>'Cibles THREEME'!AT12*11.64</f>
        <v>8.3735738643911386</v>
      </c>
      <c r="E8">
        <f t="shared" si="0"/>
        <v>7.1628092069632139</v>
      </c>
      <c r="F8">
        <f t="shared" si="1"/>
        <v>5.9520445495352892</v>
      </c>
      <c r="G8">
        <f t="shared" si="2"/>
        <v>4.7412798921073644</v>
      </c>
      <c r="H8">
        <f t="shared" si="3"/>
        <v>3.5305152346794393</v>
      </c>
      <c r="I8">
        <f>'Cibles THREEME'!$AU12</f>
        <v>2.3197505772515123</v>
      </c>
      <c r="J8">
        <f t="shared" si="4"/>
        <v>2.205867816668464</v>
      </c>
      <c r="K8">
        <f t="shared" si="5"/>
        <v>2.0919850560854156</v>
      </c>
      <c r="L8">
        <f>'Cibles THREEME'!$AV12</f>
        <v>1.9781022955023679</v>
      </c>
      <c r="M8">
        <f t="shared" si="6"/>
        <v>1.3301519717427388</v>
      </c>
      <c r="N8">
        <f>'Cibles THREEME'!$AW12</f>
        <v>0.68220164798310978</v>
      </c>
      <c r="O8">
        <f t="shared" si="7"/>
        <v>0.68015757410345934</v>
      </c>
      <c r="P8">
        <f t="shared" si="8"/>
        <v>0.6781135002238089</v>
      </c>
      <c r="Q8">
        <f>'Cibles THREEME'!$AX12</f>
        <v>0.67606942634415856</v>
      </c>
      <c r="R8">
        <f t="shared" si="9"/>
        <v>0.67566923636338583</v>
      </c>
      <c r="S8">
        <f>'Cibles THREEME'!$AY12</f>
        <v>0.67526904638261309</v>
      </c>
      <c r="T8">
        <f t="shared" si="10"/>
        <v>0.68246381499749575</v>
      </c>
      <c r="U8">
        <f t="shared" si="11"/>
        <v>0.68965858361237842</v>
      </c>
      <c r="V8">
        <f>'Cibles THREEME'!$AZ12</f>
        <v>0.69685335222726119</v>
      </c>
      <c r="W8">
        <f t="shared" si="12"/>
        <v>0.70394582701361863</v>
      </c>
      <c r="X8">
        <f>'Cibles THREEME'!$BA12</f>
        <v>0.71103830179997607</v>
      </c>
      <c r="Y8">
        <f t="shared" si="13"/>
        <v>0.7173564098296068</v>
      </c>
      <c r="Z8">
        <f t="shared" si="14"/>
        <v>0.72367451785923753</v>
      </c>
      <c r="AA8">
        <f>'Cibles THREEME'!$BB12</f>
        <v>0.72999262588886837</v>
      </c>
      <c r="AB8">
        <f t="shared" si="15"/>
        <v>0.73618758308251886</v>
      </c>
      <c r="AC8">
        <f>'Cibles THREEME'!$BC12</f>
        <v>0.74238254027616946</v>
      </c>
      <c r="AD8">
        <f t="shared" si="16"/>
        <v>0.74707872683629861</v>
      </c>
      <c r="AE8">
        <f t="shared" si="17"/>
        <v>0.75177491339642777</v>
      </c>
      <c r="AF8">
        <f t="shared" si="18"/>
        <v>0.75647109995655692</v>
      </c>
      <c r="AG8">
        <f t="shared" si="19"/>
        <v>0.76116728651668608</v>
      </c>
      <c r="AH8">
        <f>'Cibles THREEME'!$BD12</f>
        <v>0.76586347307681524</v>
      </c>
      <c r="AI8">
        <f t="shared" si="20"/>
        <v>0.76760075237883396</v>
      </c>
      <c r="AJ8">
        <f t="shared" si="21"/>
        <v>0.76933803168085269</v>
      </c>
      <c r="AK8">
        <f t="shared" si="22"/>
        <v>0.77107531098287141</v>
      </c>
      <c r="AL8">
        <f t="shared" si="23"/>
        <v>0.77281259028489013</v>
      </c>
      <c r="AM8">
        <f>'Cibles THREEME'!$BE12</f>
        <v>0.77454986958690908</v>
      </c>
    </row>
    <row r="9" spans="1:39" x14ac:dyDescent="0.25">
      <c r="A9" s="593"/>
      <c r="B9" s="589" t="s">
        <v>473</v>
      </c>
      <c r="C9">
        <f t="shared" si="24"/>
        <v>2305</v>
      </c>
      <c r="D9">
        <f>'Cibles THREEME'!AT14*11.64</f>
        <v>23.69299569913635</v>
      </c>
      <c r="E9">
        <f t="shared" si="0"/>
        <v>25.748577998446258</v>
      </c>
      <c r="F9">
        <f t="shared" si="1"/>
        <v>27.804160297756166</v>
      </c>
      <c r="G9">
        <f t="shared" si="2"/>
        <v>29.859742597066074</v>
      </c>
      <c r="H9">
        <f t="shared" si="3"/>
        <v>31.915324896375981</v>
      </c>
      <c r="I9">
        <f>'Cibles THREEME'!$AU14</f>
        <v>33.970907195685882</v>
      </c>
      <c r="J9">
        <f t="shared" si="4"/>
        <v>35.543525356580744</v>
      </c>
      <c r="K9">
        <f t="shared" si="5"/>
        <v>37.116143517475606</v>
      </c>
      <c r="L9">
        <f>'Cibles THREEME'!$AV14</f>
        <v>38.688761678370462</v>
      </c>
      <c r="M9">
        <f t="shared" si="6"/>
        <v>43.861455561857632</v>
      </c>
      <c r="N9">
        <f>'Cibles THREEME'!$AW14</f>
        <v>49.034149445344802</v>
      </c>
      <c r="O9">
        <f t="shared" si="7"/>
        <v>52.287243400538202</v>
      </c>
      <c r="P9">
        <f t="shared" si="8"/>
        <v>55.540337355731602</v>
      </c>
      <c r="Q9">
        <f>'Cibles THREEME'!$AX14</f>
        <v>58.793431310925001</v>
      </c>
      <c r="R9">
        <f t="shared" si="9"/>
        <v>61.049379554557774</v>
      </c>
      <c r="S9">
        <f>'Cibles THREEME'!$AY14</f>
        <v>63.305327798190547</v>
      </c>
      <c r="T9">
        <f t="shared" si="10"/>
        <v>67.132120768282348</v>
      </c>
      <c r="U9">
        <f t="shared" si="11"/>
        <v>70.95891373837415</v>
      </c>
      <c r="V9">
        <f>'Cibles THREEME'!$AZ14</f>
        <v>74.785706708465952</v>
      </c>
      <c r="W9">
        <f t="shared" si="12"/>
        <v>78.762983861756652</v>
      </c>
      <c r="X9">
        <f>'Cibles THREEME'!$BA14</f>
        <v>82.740261015047338</v>
      </c>
      <c r="Y9">
        <f t="shared" si="13"/>
        <v>86.777236861071472</v>
      </c>
      <c r="Z9">
        <f t="shared" si="14"/>
        <v>90.814212707095606</v>
      </c>
      <c r="AA9">
        <f>'Cibles THREEME'!$BB14</f>
        <v>94.851188553119727</v>
      </c>
      <c r="AB9">
        <f t="shared" si="15"/>
        <v>99.013729509471688</v>
      </c>
      <c r="AC9">
        <f>'Cibles THREEME'!$BC14</f>
        <v>103.17627046582365</v>
      </c>
      <c r="AD9">
        <f t="shared" si="16"/>
        <v>107.29167002780719</v>
      </c>
      <c r="AE9">
        <f t="shared" si="17"/>
        <v>111.40706958979072</v>
      </c>
      <c r="AF9">
        <f t="shared" si="18"/>
        <v>115.52246915177426</v>
      </c>
      <c r="AG9">
        <f t="shared" si="19"/>
        <v>119.6378687137578</v>
      </c>
      <c r="AH9">
        <f>'Cibles THREEME'!$BD14</f>
        <v>123.75326827574135</v>
      </c>
      <c r="AI9">
        <f t="shared" si="20"/>
        <v>127.54667983265044</v>
      </c>
      <c r="AJ9">
        <f t="shared" si="21"/>
        <v>131.34009138955952</v>
      </c>
      <c r="AK9">
        <f t="shared" si="22"/>
        <v>135.13350294646861</v>
      </c>
      <c r="AL9">
        <f t="shared" si="23"/>
        <v>138.9269145033777</v>
      </c>
      <c r="AM9">
        <f>'Cibles THREEME'!$BE14</f>
        <v>142.72032606028679</v>
      </c>
    </row>
    <row r="10" spans="1:39" x14ac:dyDescent="0.25">
      <c r="A10" s="593"/>
      <c r="B10" s="589" t="s">
        <v>279</v>
      </c>
      <c r="C10">
        <f t="shared" si="24"/>
        <v>2306</v>
      </c>
      <c r="D10">
        <f>'Cibles THREEME'!AT15*11.64</f>
        <v>10.441624707151435</v>
      </c>
      <c r="E10">
        <f t="shared" si="0"/>
        <v>11.347530367905</v>
      </c>
      <c r="F10">
        <f t="shared" si="1"/>
        <v>12.253436028658564</v>
      </c>
      <c r="G10">
        <f t="shared" si="2"/>
        <v>13.159341689412129</v>
      </c>
      <c r="H10">
        <f t="shared" si="3"/>
        <v>14.065247350165693</v>
      </c>
      <c r="I10">
        <f>'Cibles THREEME'!$AU15</f>
        <v>14.971153010919259</v>
      </c>
      <c r="J10">
        <f t="shared" si="4"/>
        <v>15.448926441757402</v>
      </c>
      <c r="K10">
        <f t="shared" si="5"/>
        <v>15.926699872595545</v>
      </c>
      <c r="L10">
        <f>'Cibles THREEME'!$AV15</f>
        <v>16.40447330343369</v>
      </c>
      <c r="M10">
        <f t="shared" si="6"/>
        <v>18.211091424821394</v>
      </c>
      <c r="N10">
        <f>'Cibles THREEME'!$AW15</f>
        <v>20.017709546209097</v>
      </c>
      <c r="O10">
        <f t="shared" si="7"/>
        <v>21.481231212563543</v>
      </c>
      <c r="P10">
        <f t="shared" si="8"/>
        <v>22.944752878917988</v>
      </c>
      <c r="Q10">
        <f>'Cibles THREEME'!$AX15</f>
        <v>24.408274545272437</v>
      </c>
      <c r="R10">
        <f t="shared" si="9"/>
        <v>25.919783642008266</v>
      </c>
      <c r="S10">
        <f>'Cibles THREEME'!$AY15</f>
        <v>27.431292738744094</v>
      </c>
      <c r="T10">
        <f t="shared" si="10"/>
        <v>31.009658584663956</v>
      </c>
      <c r="U10">
        <f t="shared" si="11"/>
        <v>34.588024430583822</v>
      </c>
      <c r="V10">
        <f>'Cibles THREEME'!$AZ15</f>
        <v>38.166390276503684</v>
      </c>
      <c r="W10">
        <f t="shared" si="12"/>
        <v>41.904229096723235</v>
      </c>
      <c r="X10">
        <f>'Cibles THREEME'!$BA15</f>
        <v>45.642067916942786</v>
      </c>
      <c r="Y10">
        <f t="shared" si="13"/>
        <v>49.48370491107908</v>
      </c>
      <c r="Z10">
        <f t="shared" si="14"/>
        <v>53.325341905215375</v>
      </c>
      <c r="AA10">
        <f>'Cibles THREEME'!$BB15</f>
        <v>57.166978899351662</v>
      </c>
      <c r="AB10">
        <f t="shared" si="15"/>
        <v>61.144377523531816</v>
      </c>
      <c r="AC10">
        <f>'Cibles THREEME'!$BC15</f>
        <v>65.121776147711969</v>
      </c>
      <c r="AD10">
        <f t="shared" si="16"/>
        <v>69.133607470764161</v>
      </c>
      <c r="AE10">
        <f t="shared" si="17"/>
        <v>73.145438793816353</v>
      </c>
      <c r="AF10">
        <f t="shared" si="18"/>
        <v>77.157270116868546</v>
      </c>
      <c r="AG10">
        <f t="shared" si="19"/>
        <v>81.169101439920738</v>
      </c>
      <c r="AH10">
        <f>'Cibles THREEME'!$BD15</f>
        <v>85.180932762972901</v>
      </c>
      <c r="AI10">
        <f t="shared" si="20"/>
        <v>87.280821133137394</v>
      </c>
      <c r="AJ10">
        <f t="shared" si="21"/>
        <v>89.380709503301887</v>
      </c>
      <c r="AK10">
        <f t="shared" si="22"/>
        <v>91.48059787346638</v>
      </c>
      <c r="AL10">
        <f t="shared" si="23"/>
        <v>93.580486243630872</v>
      </c>
      <c r="AM10">
        <f>'Cibles THREEME'!$BE15</f>
        <v>95.680374613795379</v>
      </c>
    </row>
    <row r="11" spans="1:39" x14ac:dyDescent="0.25">
      <c r="A11" s="593"/>
      <c r="B11" s="589" t="s">
        <v>18</v>
      </c>
      <c r="C11">
        <f t="shared" si="24"/>
        <v>2307</v>
      </c>
      <c r="D11">
        <f>'Cibles THREEME'!AT16*11.64</f>
        <v>28.951777597101707</v>
      </c>
      <c r="E11">
        <f t="shared" si="0"/>
        <v>31.463606929191137</v>
      </c>
      <c r="F11">
        <f t="shared" si="1"/>
        <v>33.975436261280564</v>
      </c>
      <c r="G11">
        <f t="shared" si="2"/>
        <v>36.487265593369997</v>
      </c>
      <c r="H11">
        <f t="shared" si="3"/>
        <v>38.999094925459431</v>
      </c>
      <c r="I11">
        <f>'Cibles THREEME'!$AU16</f>
        <v>41.510924257548858</v>
      </c>
      <c r="J11">
        <f t="shared" si="4"/>
        <v>43.228089475453004</v>
      </c>
      <c r="K11">
        <f t="shared" si="5"/>
        <v>44.94525469335715</v>
      </c>
      <c r="L11">
        <f>'Cibles THREEME'!$AV16</f>
        <v>46.662419911261296</v>
      </c>
      <c r="M11">
        <f t="shared" si="6"/>
        <v>46.813523077145163</v>
      </c>
      <c r="N11">
        <f>'Cibles THREEME'!$AW16</f>
        <v>46.964626243029031</v>
      </c>
      <c r="O11">
        <f t="shared" si="7"/>
        <v>46.819175279327887</v>
      </c>
      <c r="P11">
        <f t="shared" si="8"/>
        <v>46.673724315626743</v>
      </c>
      <c r="Q11">
        <f>'Cibles THREEME'!$AX16</f>
        <v>46.528273351925591</v>
      </c>
      <c r="R11">
        <f t="shared" si="9"/>
        <v>46.504537468509881</v>
      </c>
      <c r="S11">
        <f>'Cibles THREEME'!$AY16</f>
        <v>46.48080158509417</v>
      </c>
      <c r="T11">
        <f t="shared" si="10"/>
        <v>46.955306727968988</v>
      </c>
      <c r="U11">
        <f t="shared" si="11"/>
        <v>47.429811870843807</v>
      </c>
      <c r="V11">
        <f>'Cibles THREEME'!$AZ16</f>
        <v>47.904317013718618</v>
      </c>
      <c r="W11">
        <f t="shared" si="12"/>
        <v>48.374668532591855</v>
      </c>
      <c r="X11">
        <f>'Cibles THREEME'!$BA16</f>
        <v>48.845020051465099</v>
      </c>
      <c r="Y11">
        <f t="shared" si="13"/>
        <v>49.264427701266257</v>
      </c>
      <c r="Z11">
        <f t="shared" si="14"/>
        <v>49.683835351067415</v>
      </c>
      <c r="AA11">
        <f>'Cibles THREEME'!$BB16</f>
        <v>50.103243000868567</v>
      </c>
      <c r="AB11">
        <f t="shared" si="15"/>
        <v>50.515905763321655</v>
      </c>
      <c r="AC11">
        <f>'Cibles THREEME'!$BC16</f>
        <v>50.928568525774743</v>
      </c>
      <c r="AD11">
        <f t="shared" si="16"/>
        <v>51.239899060097265</v>
      </c>
      <c r="AE11">
        <f t="shared" si="17"/>
        <v>51.551229594419787</v>
      </c>
      <c r="AF11">
        <f t="shared" si="18"/>
        <v>51.862560128742309</v>
      </c>
      <c r="AG11">
        <f t="shared" si="19"/>
        <v>52.173890663064832</v>
      </c>
      <c r="AH11">
        <f>'Cibles THREEME'!$BD16</f>
        <v>52.485221197387347</v>
      </c>
      <c r="AI11">
        <f t="shared" si="20"/>
        <v>52.600000324167183</v>
      </c>
      <c r="AJ11">
        <f t="shared" si="21"/>
        <v>52.71477945094702</v>
      </c>
      <c r="AK11">
        <f t="shared" si="22"/>
        <v>52.829558577726857</v>
      </c>
      <c r="AL11">
        <f t="shared" si="23"/>
        <v>52.944337704506694</v>
      </c>
      <c r="AM11">
        <f>'Cibles THREEME'!$BE16</f>
        <v>53.059116831286531</v>
      </c>
    </row>
    <row r="12" spans="1:39" ht="15.75" thickBot="1" x14ac:dyDescent="0.3">
      <c r="A12" s="592"/>
      <c r="B12" s="590" t="s">
        <v>476</v>
      </c>
      <c r="C12">
        <f t="shared" si="24"/>
        <v>2308</v>
      </c>
      <c r="D12">
        <f>'Cibles THREEME'!AT17*11.64</f>
        <v>7.2355626344902202</v>
      </c>
      <c r="E12">
        <f t="shared" si="0"/>
        <v>6.7753092871908258</v>
      </c>
      <c r="F12">
        <f t="shared" si="1"/>
        <v>6.3150559398914314</v>
      </c>
      <c r="G12">
        <f t="shared" si="2"/>
        <v>5.8548025925920371</v>
      </c>
      <c r="H12">
        <f t="shared" si="3"/>
        <v>5.3945492452926427</v>
      </c>
      <c r="I12">
        <f>'Cibles THREEME'!$AU17</f>
        <v>4.9342958979932492</v>
      </c>
      <c r="J12">
        <f t="shared" si="4"/>
        <v>5.1671082345478849</v>
      </c>
      <c r="K12">
        <f t="shared" si="5"/>
        <v>5.3999205711025207</v>
      </c>
      <c r="L12">
        <f>'Cibles THREEME'!$AV17</f>
        <v>5.6327329076571555</v>
      </c>
      <c r="M12">
        <f t="shared" si="6"/>
        <v>7.7786145478446835</v>
      </c>
      <c r="N12">
        <f>'Cibles THREEME'!$AW17</f>
        <v>9.9244961880322116</v>
      </c>
      <c r="O12">
        <f t="shared" si="7"/>
        <v>10.316123993623863</v>
      </c>
      <c r="P12">
        <f t="shared" si="8"/>
        <v>10.707751799215515</v>
      </c>
      <c r="Q12">
        <f>'Cibles THREEME'!$AX17</f>
        <v>11.099379604807165</v>
      </c>
      <c r="R12">
        <f t="shared" si="9"/>
        <v>11.505588085338676</v>
      </c>
      <c r="S12">
        <f>'Cibles THREEME'!$AY17</f>
        <v>11.911796565870185</v>
      </c>
      <c r="T12">
        <f t="shared" si="10"/>
        <v>12.13381317835734</v>
      </c>
      <c r="U12">
        <f t="shared" si="11"/>
        <v>12.355829790844494</v>
      </c>
      <c r="V12">
        <f>'Cibles THREEME'!$AZ17</f>
        <v>12.577846403331648</v>
      </c>
      <c r="W12">
        <f t="shared" si="12"/>
        <v>12.804712105659393</v>
      </c>
      <c r="X12">
        <f>'Cibles THREEME'!$BA17</f>
        <v>13.031577807987137</v>
      </c>
      <c r="Y12">
        <f t="shared" si="13"/>
        <v>13.882229593615756</v>
      </c>
      <c r="Z12">
        <f t="shared" si="14"/>
        <v>14.732881379244375</v>
      </c>
      <c r="AA12">
        <f>'Cibles THREEME'!$BB17</f>
        <v>15.583533164872994</v>
      </c>
      <c r="AB12">
        <f t="shared" si="15"/>
        <v>16.465706735899889</v>
      </c>
      <c r="AC12">
        <f>'Cibles THREEME'!$BC17</f>
        <v>17.347880306926783</v>
      </c>
      <c r="AD12">
        <f t="shared" si="16"/>
        <v>17.596935855302011</v>
      </c>
      <c r="AE12">
        <f t="shared" si="17"/>
        <v>17.845991403677239</v>
      </c>
      <c r="AF12">
        <f t="shared" si="18"/>
        <v>18.095046952052467</v>
      </c>
      <c r="AG12">
        <f t="shared" si="19"/>
        <v>18.344102500427695</v>
      </c>
      <c r="AH12">
        <f>'Cibles THREEME'!$BD17</f>
        <v>18.593158048802927</v>
      </c>
      <c r="AI12">
        <f t="shared" si="20"/>
        <v>18.850834395855191</v>
      </c>
      <c r="AJ12">
        <f t="shared" si="21"/>
        <v>19.108510742907455</v>
      </c>
      <c r="AK12">
        <f t="shared" si="22"/>
        <v>19.36618708995972</v>
      </c>
      <c r="AL12">
        <f t="shared" si="23"/>
        <v>19.623863437011984</v>
      </c>
      <c r="AM12">
        <f>'Cibles THREEME'!$BE17</f>
        <v>19.881539784064241</v>
      </c>
    </row>
    <row r="13" spans="1:39" x14ac:dyDescent="0.25">
      <c r="A13" s="591"/>
      <c r="B13" s="588" t="s">
        <v>287</v>
      </c>
      <c r="C13">
        <v>2401</v>
      </c>
      <c r="D13">
        <f>'Cibles THREEME'!AT19*11.64</f>
        <v>343.20423166658156</v>
      </c>
      <c r="E13">
        <f t="shared" ref="E13:E18" si="25">D13+(I13-D13)/5</f>
        <v>342.02309716449264</v>
      </c>
      <c r="F13">
        <f t="shared" ref="F13:F18" si="26">E13+(I13-D13)/5</f>
        <v>340.84196266240372</v>
      </c>
      <c r="G13">
        <f t="shared" ref="G13:G18" si="27">F13+(I13-D13)/5</f>
        <v>339.66082816031479</v>
      </c>
      <c r="H13">
        <f t="shared" ref="H13:H18" si="28">G13+(I13-D13)/5</f>
        <v>338.47969365822587</v>
      </c>
      <c r="I13">
        <f>'Cibles THREEME'!$AU19</f>
        <v>337.29855915613706</v>
      </c>
      <c r="J13">
        <f t="shared" ref="J13:J18" si="29">I13+(L13-I13)/3</f>
        <v>319.87712133970319</v>
      </c>
      <c r="K13">
        <f t="shared" ref="K13:K18" si="30">J13+(L13-I13)/3</f>
        <v>302.45568352326933</v>
      </c>
      <c r="L13">
        <f>'Cibles THREEME'!$AV19</f>
        <v>285.03424570683546</v>
      </c>
      <c r="M13">
        <f t="shared" ref="M13:M18" si="31">(L13+N13)/2</f>
        <v>308.31089265540254</v>
      </c>
      <c r="N13">
        <f>'Cibles THREEME'!$AW19</f>
        <v>331.58753960396967</v>
      </c>
      <c r="O13">
        <f t="shared" ref="O13:O18" si="32">N13+(Q13-N13)/3</f>
        <v>327.92529065266353</v>
      </c>
      <c r="P13">
        <f t="shared" ref="P13:P18" si="33">O13+(Q13-N13)/3</f>
        <v>324.26304170135739</v>
      </c>
      <c r="Q13">
        <f>'Cibles THREEME'!$AX19</f>
        <v>320.6007927500512</v>
      </c>
      <c r="R13">
        <f t="shared" ref="R13:R18" si="34">(Q13+S13)/2</f>
        <v>316.92078216718807</v>
      </c>
      <c r="S13">
        <f>'Cibles THREEME'!$AY19</f>
        <v>313.24077158432493</v>
      </c>
      <c r="T13">
        <f t="shared" ref="T13:T18" si="35">S13+(V13-S13)/3</f>
        <v>311.24019810606552</v>
      </c>
      <c r="U13">
        <f t="shared" ref="U13:U18" si="36">T13+(V13-S13)/3</f>
        <v>309.23962462780611</v>
      </c>
      <c r="V13">
        <f>'Cibles THREEME'!$AZ19</f>
        <v>307.23905114954664</v>
      </c>
      <c r="W13">
        <f t="shared" ref="W13:W18" si="37">(V13+X13)/2</f>
        <v>305.20172209207556</v>
      </c>
      <c r="X13">
        <f>'Cibles THREEME'!$BA19</f>
        <v>303.16439303460453</v>
      </c>
      <c r="Y13">
        <f t="shared" ref="Y13:Y18" si="38">X13+(AA13-X13)/3</f>
        <v>302.4476722974116</v>
      </c>
      <c r="Z13">
        <f t="shared" ref="Z13:Z18" si="39">Y13+(AA13-X13)/3</f>
        <v>301.73095156021867</v>
      </c>
      <c r="AA13">
        <f>'Cibles THREEME'!$BB19</f>
        <v>301.0142308230258</v>
      </c>
      <c r="AB13">
        <f t="shared" ref="AB13:AB18" si="40">(AA13+AC13)/2</f>
        <v>300.2479530907849</v>
      </c>
      <c r="AC13">
        <f>'Cibles THREEME'!$BC19</f>
        <v>299.48167535854395</v>
      </c>
      <c r="AD13">
        <f t="shared" ref="AD13:AD18" si="41">AC13+(AH13-AC13)/5</f>
        <v>297.85177484939555</v>
      </c>
      <c r="AE13">
        <f t="shared" ref="AE13:AE18" si="42">AD13+(AH13-AC13)/5</f>
        <v>296.22187434024715</v>
      </c>
      <c r="AF13">
        <f t="shared" ref="AF13:AF18" si="43">AE13+(AH13-AC13)/5</f>
        <v>294.59197383109876</v>
      </c>
      <c r="AG13">
        <f t="shared" ref="AG13:AG18" si="44">AF13+(AH13-AC13)/5</f>
        <v>292.96207332195036</v>
      </c>
      <c r="AH13">
        <f>'Cibles THREEME'!$BD19</f>
        <v>291.33217281280184</v>
      </c>
      <c r="AI13">
        <f t="shared" ref="AI13:AI18" si="45">AH13+(AM13-AH13)/5</f>
        <v>288.95215498294505</v>
      </c>
      <c r="AJ13">
        <f t="shared" ref="AJ13:AJ18" si="46">AI13+(AM13-AH13)/5</f>
        <v>286.57213715308825</v>
      </c>
      <c r="AK13">
        <f t="shared" ref="AK13:AK18" si="47">AJ13+(AM13-AH13)/5</f>
        <v>284.19211932323145</v>
      </c>
      <c r="AL13">
        <f t="shared" ref="AL13:AL18" si="48">AK13+(AM13-AH13)/5</f>
        <v>281.81210149337466</v>
      </c>
      <c r="AM13">
        <f>'Cibles THREEME'!$BE19</f>
        <v>279.43208366351791</v>
      </c>
    </row>
    <row r="14" spans="1:39" x14ac:dyDescent="0.25">
      <c r="A14" s="593"/>
      <c r="B14" s="589" t="s">
        <v>289</v>
      </c>
      <c r="C14">
        <v>2402</v>
      </c>
      <c r="D14">
        <f>'Cibles THREEME'!AT20*11.64</f>
        <v>89.99355798328051</v>
      </c>
      <c r="E14">
        <f t="shared" si="25"/>
        <v>91.108841553790356</v>
      </c>
      <c r="F14">
        <f t="shared" si="26"/>
        <v>92.224125124300201</v>
      </c>
      <c r="G14">
        <f t="shared" si="27"/>
        <v>93.339408694810047</v>
      </c>
      <c r="H14">
        <f t="shared" si="28"/>
        <v>94.454692265319892</v>
      </c>
      <c r="I14">
        <f>'Cibles THREEME'!$AU20</f>
        <v>95.569975835829709</v>
      </c>
      <c r="J14">
        <f t="shared" si="29"/>
        <v>96.952674546810798</v>
      </c>
      <c r="K14">
        <f t="shared" si="30"/>
        <v>98.335373257791886</v>
      </c>
      <c r="L14">
        <f>'Cibles THREEME'!$AV20</f>
        <v>99.718071968772989</v>
      </c>
      <c r="M14">
        <f t="shared" si="31"/>
        <v>103.44374938324825</v>
      </c>
      <c r="N14">
        <f>'Cibles THREEME'!$AW20</f>
        <v>107.16942679772349</v>
      </c>
      <c r="O14">
        <f t="shared" si="32"/>
        <v>108.40927944237511</v>
      </c>
      <c r="P14">
        <f t="shared" si="33"/>
        <v>109.64913208702673</v>
      </c>
      <c r="Q14">
        <f>'Cibles THREEME'!$AX20</f>
        <v>110.88898473167833</v>
      </c>
      <c r="R14">
        <f t="shared" si="34"/>
        <v>112.16146605167677</v>
      </c>
      <c r="S14">
        <f>'Cibles THREEME'!$AY20</f>
        <v>113.43394737167519</v>
      </c>
      <c r="T14">
        <f t="shared" si="35"/>
        <v>115.24658320549744</v>
      </c>
      <c r="U14">
        <f t="shared" si="36"/>
        <v>117.0592190393197</v>
      </c>
      <c r="V14">
        <f>'Cibles THREEME'!$AZ20</f>
        <v>118.87185487314196</v>
      </c>
      <c r="W14">
        <f t="shared" si="37"/>
        <v>120.69992746328846</v>
      </c>
      <c r="X14">
        <f>'Cibles THREEME'!$BA20</f>
        <v>122.52800005343497</v>
      </c>
      <c r="Y14">
        <f t="shared" si="38"/>
        <v>123.06546498877189</v>
      </c>
      <c r="Z14">
        <f t="shared" si="39"/>
        <v>123.60292992410882</v>
      </c>
      <c r="AA14">
        <f>'Cibles THREEME'!$BB20</f>
        <v>124.14039485944576</v>
      </c>
      <c r="AB14">
        <f t="shared" si="40"/>
        <v>124.66217519007867</v>
      </c>
      <c r="AC14">
        <f>'Cibles THREEME'!$BC20</f>
        <v>125.18395552071158</v>
      </c>
      <c r="AD14">
        <f t="shared" si="41"/>
        <v>125.80202008323812</v>
      </c>
      <c r="AE14">
        <f t="shared" si="42"/>
        <v>126.42008464576466</v>
      </c>
      <c r="AF14">
        <f t="shared" si="43"/>
        <v>127.0381492082912</v>
      </c>
      <c r="AG14">
        <f t="shared" si="44"/>
        <v>127.65621377081774</v>
      </c>
      <c r="AH14">
        <f>'Cibles THREEME'!$BD20</f>
        <v>128.27427833334431</v>
      </c>
      <c r="AI14">
        <f t="shared" si="45"/>
        <v>128.05931784958184</v>
      </c>
      <c r="AJ14">
        <f t="shared" si="46"/>
        <v>127.84435736581939</v>
      </c>
      <c r="AK14">
        <f t="shared" si="47"/>
        <v>127.62939688205694</v>
      </c>
      <c r="AL14">
        <f t="shared" si="48"/>
        <v>127.41443639829448</v>
      </c>
      <c r="AM14">
        <f>'Cibles THREEME'!$BE20</f>
        <v>127.19947591453203</v>
      </c>
    </row>
    <row r="15" spans="1:39" x14ac:dyDescent="0.25">
      <c r="A15" s="593" t="s">
        <v>474</v>
      </c>
      <c r="B15" s="589" t="s">
        <v>291</v>
      </c>
      <c r="C15">
        <v>2403</v>
      </c>
      <c r="D15">
        <f>'Cibles THREEME'!AT21*11.64</f>
        <v>1.4838579089701285</v>
      </c>
      <c r="E15">
        <f t="shared" si="25"/>
        <v>2.24943110340342</v>
      </c>
      <c r="F15">
        <f t="shared" si="26"/>
        <v>3.0150042978367115</v>
      </c>
      <c r="G15">
        <f t="shared" si="27"/>
        <v>3.7805774922700031</v>
      </c>
      <c r="H15">
        <f t="shared" si="28"/>
        <v>4.546150686703295</v>
      </c>
      <c r="I15">
        <f>'Cibles THREEME'!$AU21+'Cibles THREEME'!$AU22</f>
        <v>5.3117238811365866</v>
      </c>
      <c r="J15">
        <f t="shared" si="29"/>
        <v>8.1987571220963709</v>
      </c>
      <c r="K15">
        <f t="shared" si="30"/>
        <v>11.085790363056155</v>
      </c>
      <c r="L15">
        <f>'Cibles THREEME'!$AV21+'Cibles THREEME'!$AV22</f>
        <v>13.972823604015941</v>
      </c>
      <c r="M15">
        <f t="shared" si="31"/>
        <v>10.454577701881224</v>
      </c>
      <c r="N15">
        <f>'Cibles THREEME'!$AW21+'Cibles THREEME'!$AW22</f>
        <v>6.9363317997465046</v>
      </c>
      <c r="O15">
        <f t="shared" si="32"/>
        <v>6.9257128110007882</v>
      </c>
      <c r="P15">
        <f t="shared" si="33"/>
        <v>6.9150938222550717</v>
      </c>
      <c r="Q15">
        <f>'Cibles THREEME'!$AX21+'Cibles THREEME'!$AX22</f>
        <v>6.9044748335093553</v>
      </c>
      <c r="R15">
        <f t="shared" si="34"/>
        <v>6.8935851963661916</v>
      </c>
      <c r="S15">
        <f>'Cibles THREEME'!$AY21+'Cibles THREEME'!$AY22</f>
        <v>6.8826955592230279</v>
      </c>
      <c r="T15">
        <f t="shared" si="35"/>
        <v>7.1627581831677212</v>
      </c>
      <c r="U15">
        <f t="shared" si="36"/>
        <v>7.4428208071124144</v>
      </c>
      <c r="V15">
        <f>'Cibles THREEME'!$AZ21+'Cibles THREEME'!$AZ22</f>
        <v>7.7228834310571077</v>
      </c>
      <c r="W15">
        <f t="shared" si="37"/>
        <v>8.0056569421420107</v>
      </c>
      <c r="X15">
        <f>'Cibles THREEME'!$BA21+'Cibles THREEME'!$BA22</f>
        <v>8.2884304532269155</v>
      </c>
      <c r="Y15">
        <f t="shared" si="38"/>
        <v>8.6279976261170379</v>
      </c>
      <c r="Z15">
        <f t="shared" si="39"/>
        <v>8.9675647990071603</v>
      </c>
      <c r="AA15">
        <f>'Cibles THREEME'!$BB21+'Cibles THREEME'!$BB22</f>
        <v>9.3071319718972827</v>
      </c>
      <c r="AB15">
        <f t="shared" si="40"/>
        <v>9.6518334534130936</v>
      </c>
      <c r="AC15">
        <f>'Cibles THREEME'!$BC21+'Cibles THREEME'!$BC22</f>
        <v>9.9965349349289063</v>
      </c>
      <c r="AD15">
        <f t="shared" si="41"/>
        <v>10.295435569097211</v>
      </c>
      <c r="AE15">
        <f t="shared" si="42"/>
        <v>10.594336203265517</v>
      </c>
      <c r="AF15">
        <f t="shared" si="43"/>
        <v>10.893236837433822</v>
      </c>
      <c r="AG15">
        <f t="shared" si="44"/>
        <v>11.192137471602127</v>
      </c>
      <c r="AH15">
        <f>'Cibles THREEME'!$BD21+'Cibles THREEME'!$BD22</f>
        <v>11.491038105770432</v>
      </c>
      <c r="AI15">
        <f t="shared" si="45"/>
        <v>11.708217939161308</v>
      </c>
      <c r="AJ15">
        <f t="shared" si="46"/>
        <v>11.925397772552184</v>
      </c>
      <c r="AK15">
        <f t="shared" si="47"/>
        <v>12.14257760594306</v>
      </c>
      <c r="AL15">
        <f t="shared" si="48"/>
        <v>12.359757439333936</v>
      </c>
      <c r="AM15">
        <f>'Cibles THREEME'!$BE21+'Cibles THREEME'!$BE22</f>
        <v>12.576937272724809</v>
      </c>
    </row>
    <row r="16" spans="1:39" x14ac:dyDescent="0.25">
      <c r="A16" s="593"/>
      <c r="B16" s="589" t="s">
        <v>293</v>
      </c>
      <c r="C16">
        <v>2404</v>
      </c>
      <c r="D16">
        <f>'Cibles THREEME'!AT23*11.64</f>
        <v>5.9017709386932049</v>
      </c>
      <c r="E16">
        <f t="shared" si="25"/>
        <v>8.4142713981693671</v>
      </c>
      <c r="F16">
        <f t="shared" si="26"/>
        <v>10.92677185764553</v>
      </c>
      <c r="G16">
        <f t="shared" si="27"/>
        <v>13.439272317121691</v>
      </c>
      <c r="H16">
        <f t="shared" si="28"/>
        <v>15.951772776597853</v>
      </c>
      <c r="I16">
        <f>'Cibles THREEME'!$AU23</f>
        <v>18.464273236074014</v>
      </c>
      <c r="J16">
        <f t="shared" si="29"/>
        <v>19.008878353307235</v>
      </c>
      <c r="K16">
        <f t="shared" si="30"/>
        <v>19.553483470540456</v>
      </c>
      <c r="L16">
        <f>'Cibles THREEME'!$AV23</f>
        <v>20.098088587773677</v>
      </c>
      <c r="M16">
        <f t="shared" si="31"/>
        <v>16.128789110486721</v>
      </c>
      <c r="N16">
        <f>'Cibles THREEME'!$AW23</f>
        <v>12.159489633199769</v>
      </c>
      <c r="O16">
        <f t="shared" si="32"/>
        <v>12.157896149428963</v>
      </c>
      <c r="P16">
        <f t="shared" si="33"/>
        <v>12.156302665658156</v>
      </c>
      <c r="Q16">
        <f>'Cibles THREEME'!$AX23</f>
        <v>12.15470918188735</v>
      </c>
      <c r="R16">
        <f t="shared" si="34"/>
        <v>12.148112327724187</v>
      </c>
      <c r="S16">
        <f>'Cibles THREEME'!$AY23</f>
        <v>12.141515473561023</v>
      </c>
      <c r="T16">
        <f t="shared" si="35"/>
        <v>12.101287566945054</v>
      </c>
      <c r="U16">
        <f t="shared" si="36"/>
        <v>12.061059660329084</v>
      </c>
      <c r="V16">
        <f>'Cibles THREEME'!$AZ23</f>
        <v>12.020831753713114</v>
      </c>
      <c r="W16">
        <f t="shared" si="37"/>
        <v>11.979963966051841</v>
      </c>
      <c r="X16">
        <f>'Cibles THREEME'!$BA23</f>
        <v>11.939096178390566</v>
      </c>
      <c r="Y16">
        <f t="shared" si="38"/>
        <v>11.922281571038848</v>
      </c>
      <c r="Z16">
        <f t="shared" si="39"/>
        <v>11.905466963687131</v>
      </c>
      <c r="AA16">
        <f>'Cibles THREEME'!$BB23</f>
        <v>11.888652356335413</v>
      </c>
      <c r="AB16">
        <f t="shared" si="40"/>
        <v>11.870532242190308</v>
      </c>
      <c r="AC16">
        <f>'Cibles THREEME'!$BC23</f>
        <v>11.852412128045202</v>
      </c>
      <c r="AD16">
        <f t="shared" si="41"/>
        <v>11.840370693004356</v>
      </c>
      <c r="AE16">
        <f t="shared" si="42"/>
        <v>11.82832925796351</v>
      </c>
      <c r="AF16">
        <f t="shared" si="43"/>
        <v>11.816287822922664</v>
      </c>
      <c r="AG16">
        <f t="shared" si="44"/>
        <v>11.804246387881818</v>
      </c>
      <c r="AH16">
        <f>'Cibles THREEME'!$BD23</f>
        <v>11.792204952840969</v>
      </c>
      <c r="AI16">
        <f t="shared" si="45"/>
        <v>11.786731679503681</v>
      </c>
      <c r="AJ16">
        <f t="shared" si="46"/>
        <v>11.781258406166394</v>
      </c>
      <c r="AK16">
        <f t="shared" si="47"/>
        <v>11.775785132829107</v>
      </c>
      <c r="AL16">
        <f t="shared" si="48"/>
        <v>11.770311859491819</v>
      </c>
      <c r="AM16">
        <f>'Cibles THREEME'!$BE23</f>
        <v>11.764838586154534</v>
      </c>
    </row>
    <row r="17" spans="1:39" x14ac:dyDescent="0.25">
      <c r="A17" s="593"/>
      <c r="B17" s="589" t="s">
        <v>296</v>
      </c>
      <c r="C17">
        <v>2405</v>
      </c>
      <c r="D17">
        <f>'Cibles THREEME'!AT24*11.64</f>
        <v>2.579344484092791</v>
      </c>
      <c r="E17">
        <f t="shared" si="25"/>
        <v>2.9899393468402904</v>
      </c>
      <c r="F17">
        <f t="shared" si="26"/>
        <v>3.4005342095877897</v>
      </c>
      <c r="G17">
        <f t="shared" si="27"/>
        <v>3.8111290723352891</v>
      </c>
      <c r="H17">
        <f t="shared" si="28"/>
        <v>4.2217239350827889</v>
      </c>
      <c r="I17">
        <f>'Cibles THREEME'!$AU24</f>
        <v>4.6323187978302887</v>
      </c>
      <c r="J17">
        <f t="shared" si="29"/>
        <v>5.4540159414642693</v>
      </c>
      <c r="K17">
        <f t="shared" si="30"/>
        <v>6.2757130850982499</v>
      </c>
      <c r="L17">
        <f>'Cibles THREEME'!$AV24</f>
        <v>7.0974102287322296</v>
      </c>
      <c r="M17">
        <f t="shared" si="31"/>
        <v>5.7742030027654456</v>
      </c>
      <c r="N17">
        <f>'Cibles THREEME'!$AW24</f>
        <v>4.4509957767986617</v>
      </c>
      <c r="O17">
        <f t="shared" si="32"/>
        <v>4.4980722442041916</v>
      </c>
      <c r="P17">
        <f t="shared" si="33"/>
        <v>4.5451487116097216</v>
      </c>
      <c r="Q17">
        <f>'Cibles THREEME'!$AX24</f>
        <v>4.5922251790152506</v>
      </c>
      <c r="R17">
        <f t="shared" si="34"/>
        <v>4.6388887291098948</v>
      </c>
      <c r="S17">
        <f>'Cibles THREEME'!$AY24</f>
        <v>4.685552279204539</v>
      </c>
      <c r="T17">
        <f t="shared" si="35"/>
        <v>4.6739369249800262</v>
      </c>
      <c r="U17">
        <f t="shared" si="36"/>
        <v>4.6623215707555135</v>
      </c>
      <c r="V17">
        <f>'Cibles THREEME'!$AZ24</f>
        <v>4.6507062165309998</v>
      </c>
      <c r="W17">
        <f t="shared" si="37"/>
        <v>4.6391423436827877</v>
      </c>
      <c r="X17">
        <f>'Cibles THREEME'!$BA24</f>
        <v>4.6275784708345755</v>
      </c>
      <c r="Y17">
        <f t="shared" si="38"/>
        <v>4.624576342163409</v>
      </c>
      <c r="Z17">
        <f t="shared" si="39"/>
        <v>4.6215742134922424</v>
      </c>
      <c r="AA17">
        <f>'Cibles THREEME'!$BB24</f>
        <v>4.6185720848210758</v>
      </c>
      <c r="AB17">
        <f t="shared" si="40"/>
        <v>4.6155002656265278</v>
      </c>
      <c r="AC17">
        <f>'Cibles THREEME'!$BC24</f>
        <v>4.6124284464319789</v>
      </c>
      <c r="AD17">
        <f t="shared" si="41"/>
        <v>4.6131394448337035</v>
      </c>
      <c r="AE17">
        <f t="shared" si="42"/>
        <v>4.6138504432354281</v>
      </c>
      <c r="AF17">
        <f t="shared" si="43"/>
        <v>4.6145614416371528</v>
      </c>
      <c r="AG17">
        <f t="shared" si="44"/>
        <v>4.6152724400388774</v>
      </c>
      <c r="AH17">
        <f>'Cibles THREEME'!$BD24</f>
        <v>4.6159834384406038</v>
      </c>
      <c r="AI17">
        <f t="shared" si="45"/>
        <v>4.616599518890026</v>
      </c>
      <c r="AJ17">
        <f t="shared" si="46"/>
        <v>4.6172155993394481</v>
      </c>
      <c r="AK17">
        <f t="shared" si="47"/>
        <v>4.6178316797888703</v>
      </c>
      <c r="AL17">
        <f t="shared" si="48"/>
        <v>4.6184477602382925</v>
      </c>
      <c r="AM17">
        <f>'Cibles THREEME'!$BE24</f>
        <v>4.6190638406877156</v>
      </c>
    </row>
    <row r="18" spans="1:39" ht="15.75" thickBot="1" x14ac:dyDescent="0.3">
      <c r="A18" s="592"/>
      <c r="B18" s="203" t="s">
        <v>613</v>
      </c>
      <c r="C18">
        <v>2406</v>
      </c>
      <c r="D18">
        <f>('Cibles THREEME'!AT25+'Cibles THREEME'!AT26)*11.64</f>
        <v>47.827069880389516</v>
      </c>
      <c r="E18">
        <f t="shared" si="25"/>
        <v>44.646124904311613</v>
      </c>
      <c r="F18">
        <f t="shared" si="26"/>
        <v>41.465179928233709</v>
      </c>
      <c r="G18">
        <f t="shared" si="27"/>
        <v>38.284234952155806</v>
      </c>
      <c r="H18">
        <f t="shared" si="28"/>
        <v>35.103289976077903</v>
      </c>
      <c r="I18">
        <f>'Cibles THREEME'!$AU25+'Cibles THREEME'!$AU26</f>
        <v>31.922344999999989</v>
      </c>
      <c r="J18">
        <f t="shared" si="29"/>
        <v>37.951458240740735</v>
      </c>
      <c r="K18">
        <f t="shared" si="30"/>
        <v>43.980571481481476</v>
      </c>
      <c r="L18">
        <f>'Cibles THREEME'!$AV25+'Cibles THREEME'!$AV26</f>
        <v>50.009684722222218</v>
      </c>
      <c r="M18">
        <f t="shared" si="31"/>
        <v>44.669463286645922</v>
      </c>
      <c r="N18">
        <f>'Cibles THREEME'!$AW25+'Cibles THREEME'!$AW26</f>
        <v>39.329241851069632</v>
      </c>
      <c r="O18">
        <f t="shared" si="32"/>
        <v>41.328429323320975</v>
      </c>
      <c r="P18">
        <f t="shared" si="33"/>
        <v>43.327616795572318</v>
      </c>
      <c r="Q18">
        <f>'Cibles THREEME'!$AX25+'Cibles THREEME'!$AX26</f>
        <v>45.326804267823668</v>
      </c>
      <c r="R18">
        <f t="shared" si="34"/>
        <v>47.425577766772733</v>
      </c>
      <c r="S18">
        <f>'Cibles THREEME'!$AY25+'Cibles THREEME'!$AY26</f>
        <v>49.524351265721805</v>
      </c>
      <c r="T18">
        <f t="shared" si="35"/>
        <v>51.156139001406089</v>
      </c>
      <c r="U18">
        <f t="shared" si="36"/>
        <v>52.787926737090373</v>
      </c>
      <c r="V18">
        <f>'Cibles THREEME'!$AZ25+'Cibles THREEME'!$AZ26</f>
        <v>54.41971447277465</v>
      </c>
      <c r="W18">
        <f t="shared" si="37"/>
        <v>56.12805458746945</v>
      </c>
      <c r="X18">
        <f>'Cibles THREEME'!$BA25+'Cibles THREEME'!$BA26</f>
        <v>57.836394702164249</v>
      </c>
      <c r="Y18">
        <f t="shared" si="38"/>
        <v>58.838564853294073</v>
      </c>
      <c r="Z18">
        <f t="shared" si="39"/>
        <v>59.840735004423898</v>
      </c>
      <c r="AA18">
        <f>'Cibles THREEME'!$BB25+'Cibles THREEME'!$BB26</f>
        <v>60.842905155553723</v>
      </c>
      <c r="AB18">
        <f t="shared" si="40"/>
        <v>61.875368589791215</v>
      </c>
      <c r="AC18">
        <f>'Cibles THREEME'!$BC25+'Cibles THREEME'!$BC26</f>
        <v>62.907832024028707</v>
      </c>
      <c r="AD18">
        <f t="shared" si="41"/>
        <v>63.921147227006209</v>
      </c>
      <c r="AE18">
        <f t="shared" si="42"/>
        <v>64.934462429983711</v>
      </c>
      <c r="AF18">
        <f t="shared" si="43"/>
        <v>65.94777763296122</v>
      </c>
      <c r="AG18">
        <f t="shared" si="44"/>
        <v>66.961092835938729</v>
      </c>
      <c r="AH18">
        <f>'Cibles THREEME'!$BD25+'Cibles THREEME'!$BD26</f>
        <v>67.974408038916224</v>
      </c>
      <c r="AI18">
        <f t="shared" si="45"/>
        <v>69.39827901103088</v>
      </c>
      <c r="AJ18">
        <f t="shared" si="46"/>
        <v>70.822149983145536</v>
      </c>
      <c r="AK18">
        <f t="shared" si="47"/>
        <v>72.246020955260192</v>
      </c>
      <c r="AL18">
        <f t="shared" si="48"/>
        <v>73.669891927374849</v>
      </c>
      <c r="AM18">
        <f>'Cibles THREEME'!$BE25+'Cibles THREEME'!$BE26</f>
        <v>75.093762899489533</v>
      </c>
    </row>
    <row r="19" spans="1:39" x14ac:dyDescent="0.25">
      <c r="D19" s="594">
        <f>SUM(D3:D18)-('Cibles THREEME'!$AT2-'Cibles THREEME'!$AT27)*11.64</f>
        <v>0</v>
      </c>
      <c r="E19" s="594"/>
      <c r="F19" s="594"/>
      <c r="G19" s="594"/>
      <c r="H19" s="594"/>
      <c r="I19" s="594">
        <f>SUM(I3:I18)-('Cibles THREEME'!$AU2-'Cibles THREEME'!$AU27)</f>
        <v>0</v>
      </c>
      <c r="S19" s="594">
        <f>SUM(S3:S18)-('Cibles THREEME'!$AY2-'Cibles THREEME'!$AY27)</f>
        <v>0</v>
      </c>
      <c r="AM19" s="594">
        <f>SUM(AM3:AM18)-('Cibles THREEME'!$BE2-'Cibles THREEME'!$BE27)</f>
        <v>0</v>
      </c>
    </row>
    <row r="20" spans="1:39" ht="15.75" thickBot="1" x14ac:dyDescent="0.3">
      <c r="B20" s="679" t="s">
        <v>526</v>
      </c>
      <c r="C20" s="679"/>
      <c r="D20" s="684">
        <v>2015</v>
      </c>
      <c r="E20" s="684">
        <v>2016</v>
      </c>
      <c r="F20" s="684">
        <v>2017</v>
      </c>
      <c r="G20" s="684">
        <v>2018</v>
      </c>
      <c r="H20" s="684">
        <v>2019</v>
      </c>
      <c r="I20" s="684">
        <v>2020</v>
      </c>
      <c r="J20" s="684">
        <v>2021</v>
      </c>
      <c r="K20" s="557">
        <v>2022</v>
      </c>
      <c r="L20" s="557">
        <v>2023</v>
      </c>
      <c r="M20" s="557">
        <v>2024</v>
      </c>
      <c r="N20" s="557">
        <v>2025</v>
      </c>
      <c r="O20" s="557">
        <v>2026</v>
      </c>
      <c r="P20" s="557">
        <v>2027</v>
      </c>
      <c r="Q20" s="557">
        <v>2028</v>
      </c>
      <c r="R20" s="557">
        <v>2029</v>
      </c>
      <c r="S20" s="557">
        <v>2030</v>
      </c>
      <c r="T20" s="557">
        <v>2031</v>
      </c>
      <c r="U20" s="557">
        <v>2032</v>
      </c>
      <c r="V20" s="557">
        <v>2033</v>
      </c>
      <c r="W20" s="557">
        <v>2034</v>
      </c>
      <c r="X20" s="557">
        <v>2035</v>
      </c>
      <c r="Y20" s="557">
        <v>2036</v>
      </c>
      <c r="Z20" s="557">
        <v>2037</v>
      </c>
      <c r="AA20" s="557">
        <v>2038</v>
      </c>
      <c r="AB20" s="557">
        <v>2039</v>
      </c>
      <c r="AC20" s="557">
        <v>2040</v>
      </c>
      <c r="AD20" s="557">
        <v>2041</v>
      </c>
      <c r="AE20" s="557">
        <v>2042</v>
      </c>
      <c r="AF20" s="557">
        <v>2043</v>
      </c>
      <c r="AG20" s="557">
        <v>2044</v>
      </c>
      <c r="AH20" s="557">
        <v>2045</v>
      </c>
      <c r="AI20" s="557">
        <v>2046</v>
      </c>
      <c r="AJ20" s="557">
        <v>2047</v>
      </c>
      <c r="AK20" s="557">
        <v>2048</v>
      </c>
      <c r="AL20" s="557">
        <v>2049</v>
      </c>
      <c r="AM20" s="557">
        <v>2050</v>
      </c>
    </row>
    <row r="21" spans="1:39" ht="15.75" hidden="1" thickBot="1" x14ac:dyDescent="0.3">
      <c r="B21" s="679" t="s">
        <v>480</v>
      </c>
      <c r="C21" s="679"/>
      <c r="D21" s="680"/>
      <c r="E21" s="680"/>
      <c r="F21" s="680"/>
      <c r="G21" s="680"/>
      <c r="H21" s="680"/>
      <c r="I21" s="680"/>
      <c r="J21" s="679"/>
      <c r="K21" s="679"/>
      <c r="L21" s="680"/>
      <c r="M21" s="679"/>
      <c r="N21" s="680"/>
      <c r="O21" s="679"/>
      <c r="P21" s="679"/>
      <c r="Q21" s="680"/>
      <c r="R21" s="679"/>
      <c r="S21" s="680"/>
      <c r="T21" s="679"/>
      <c r="U21" s="679"/>
      <c r="V21" s="680"/>
      <c r="W21" s="679"/>
      <c r="X21" s="680"/>
      <c r="Y21" s="679"/>
      <c r="Z21" s="679"/>
      <c r="AA21" s="680"/>
      <c r="AB21" s="679"/>
      <c r="AC21" s="680"/>
      <c r="AD21" s="679"/>
      <c r="AE21" s="679"/>
      <c r="AF21" s="679"/>
      <c r="AG21" s="679"/>
      <c r="AH21" s="680"/>
      <c r="AI21" s="679"/>
      <c r="AJ21" s="679"/>
      <c r="AK21" s="679"/>
      <c r="AL21" s="679"/>
      <c r="AM21" s="680"/>
    </row>
    <row r="22" spans="1:39" x14ac:dyDescent="0.25">
      <c r="A22" s="675" t="s">
        <v>475</v>
      </c>
      <c r="B22" s="679" t="s">
        <v>266</v>
      </c>
      <c r="C22" s="687">
        <v>2201</v>
      </c>
      <c r="D22" s="679">
        <f t="shared" ref="D22" si="49">D3/(D$3+D$4)</f>
        <v>0.9556818277818554</v>
      </c>
      <c r="E22" s="679">
        <f t="shared" ref="E22:L22" si="50">E3/(E$3+E$4)</f>
        <v>0.95496875275949888</v>
      </c>
      <c r="F22" s="679">
        <f t="shared" si="50"/>
        <v>0.95421036343902865</v>
      </c>
      <c r="G22" s="679">
        <f t="shared" si="50"/>
        <v>0.95340219864042719</v>
      </c>
      <c r="H22" s="679">
        <f t="shared" si="50"/>
        <v>0.95253919171158474</v>
      </c>
      <c r="I22" s="679">
        <f t="shared" si="50"/>
        <v>0.95161556420218441</v>
      </c>
      <c r="J22" s="679">
        <f t="shared" si="50"/>
        <v>0.94906409849661377</v>
      </c>
      <c r="K22" s="679">
        <f t="shared" si="50"/>
        <v>0.94659538817358735</v>
      </c>
      <c r="L22" s="679">
        <f t="shared" si="50"/>
        <v>0.94420547129694565</v>
      </c>
      <c r="M22" s="679">
        <f t="shared" ref="M22:AM22" si="51">M3/(M$3+M$4)</f>
        <v>0.94172892711213096</v>
      </c>
      <c r="N22" s="679">
        <f t="shared" si="51"/>
        <v>0.93914802250664375</v>
      </c>
      <c r="O22" s="679">
        <f t="shared" si="51"/>
        <v>0.93915106669516979</v>
      </c>
      <c r="P22" s="679">
        <f t="shared" si="51"/>
        <v>0.9391542912326144</v>
      </c>
      <c r="Q22" s="679">
        <f t="shared" si="51"/>
        <v>0.93915771263501158</v>
      </c>
      <c r="R22" s="679">
        <f t="shared" si="51"/>
        <v>0.93914282401420512</v>
      </c>
      <c r="S22" s="679">
        <f t="shared" si="51"/>
        <v>0.93912696517708827</v>
      </c>
      <c r="T22" s="679">
        <f t="shared" si="51"/>
        <v>0.93917792327954197</v>
      </c>
      <c r="U22" s="679">
        <f t="shared" si="51"/>
        <v>0.9392316566597454</v>
      </c>
      <c r="V22" s="679">
        <f t="shared" si="51"/>
        <v>0.93928839838491351</v>
      </c>
      <c r="W22" s="679">
        <f t="shared" si="51"/>
        <v>0.9393399318602077</v>
      </c>
      <c r="X22" s="679">
        <f t="shared" si="51"/>
        <v>0.93939452653632793</v>
      </c>
      <c r="Y22" s="679">
        <f t="shared" si="51"/>
        <v>0.93936840194889804</v>
      </c>
      <c r="Z22" s="679">
        <f t="shared" si="51"/>
        <v>0.93934093090570592</v>
      </c>
      <c r="AA22" s="679">
        <f t="shared" si="51"/>
        <v>0.93931200655923031</v>
      </c>
      <c r="AB22" s="679">
        <f t="shared" si="51"/>
        <v>0.93929188557411569</v>
      </c>
      <c r="AC22" s="679">
        <f t="shared" si="51"/>
        <v>0.93927064109026814</v>
      </c>
      <c r="AD22" s="679">
        <f t="shared" si="51"/>
        <v>0.93905184691086574</v>
      </c>
      <c r="AE22" s="679">
        <f t="shared" si="51"/>
        <v>0.93882460949423319</v>
      </c>
      <c r="AF22" s="679">
        <f t="shared" si="51"/>
        <v>0.9385884304896871</v>
      </c>
      <c r="AG22" s="679">
        <f t="shared" si="51"/>
        <v>0.93834277154013335</v>
      </c>
      <c r="AH22" s="679">
        <f t="shared" si="51"/>
        <v>0.93808705018532368</v>
      </c>
      <c r="AI22" s="679">
        <f t="shared" si="51"/>
        <v>0.93778548304463638</v>
      </c>
      <c r="AJ22" s="679">
        <f t="shared" si="51"/>
        <v>0.93747725917210489</v>
      </c>
      <c r="AK22" s="679">
        <f t="shared" si="51"/>
        <v>0.93716215569892758</v>
      </c>
      <c r="AL22" s="679">
        <f t="shared" si="51"/>
        <v>0.93683993969509294</v>
      </c>
      <c r="AM22" s="679">
        <f t="shared" si="51"/>
        <v>0.93651036759514195</v>
      </c>
    </row>
    <row r="23" spans="1:39" ht="15.75" thickBot="1" x14ac:dyDescent="0.3">
      <c r="A23" s="676"/>
      <c r="B23" s="679" t="s">
        <v>343</v>
      </c>
      <c r="C23" s="687">
        <v>2202</v>
      </c>
      <c r="D23" s="679">
        <f t="shared" ref="D23" si="52">D4/(D$3+D$4)</f>
        <v>4.4318172218144603E-2</v>
      </c>
      <c r="E23" s="679">
        <f t="shared" ref="E23:L23" si="53">E4/(E$3+E$4)</f>
        <v>4.5031247240501129E-2</v>
      </c>
      <c r="F23" s="679">
        <f t="shared" si="53"/>
        <v>4.5789636560971257E-2</v>
      </c>
      <c r="G23" s="679">
        <f t="shared" si="53"/>
        <v>4.6597801359572776E-2</v>
      </c>
      <c r="H23" s="679">
        <f t="shared" si="53"/>
        <v>4.7460808288415299E-2</v>
      </c>
      <c r="I23" s="679">
        <f t="shared" si="53"/>
        <v>4.8384435797815567E-2</v>
      </c>
      <c r="J23" s="679">
        <f t="shared" si="53"/>
        <v>5.0935901503386227E-2</v>
      </c>
      <c r="K23" s="679">
        <f t="shared" si="53"/>
        <v>5.3404611826412623E-2</v>
      </c>
      <c r="L23" s="679">
        <f t="shared" si="53"/>
        <v>5.5794528703054319E-2</v>
      </c>
      <c r="M23" s="679">
        <f t="shared" ref="M23:AM23" si="54">M4/(M$3+M$4)</f>
        <v>5.8271072887868987E-2</v>
      </c>
      <c r="N23" s="679">
        <f t="shared" si="54"/>
        <v>6.0851977493356364E-2</v>
      </c>
      <c r="O23" s="679">
        <f t="shared" si="54"/>
        <v>6.0848933304830162E-2</v>
      </c>
      <c r="P23" s="679">
        <f t="shared" si="54"/>
        <v>6.0845708767385681E-2</v>
      </c>
      <c r="Q23" s="679">
        <f t="shared" si="54"/>
        <v>6.0842287364988298E-2</v>
      </c>
      <c r="R23" s="679">
        <f t="shared" si="54"/>
        <v>6.085717598579489E-2</v>
      </c>
      <c r="S23" s="679">
        <f t="shared" si="54"/>
        <v>6.087303482291171E-2</v>
      </c>
      <c r="T23" s="679">
        <f t="shared" si="54"/>
        <v>6.0822076720458029E-2</v>
      </c>
      <c r="U23" s="679">
        <f t="shared" si="54"/>
        <v>6.0768343340254577E-2</v>
      </c>
      <c r="V23" s="679">
        <f t="shared" si="54"/>
        <v>6.0711601615086562E-2</v>
      </c>
      <c r="W23" s="679">
        <f t="shared" si="54"/>
        <v>6.0660068139792273E-2</v>
      </c>
      <c r="X23" s="679">
        <f t="shared" si="54"/>
        <v>6.0605473463672017E-2</v>
      </c>
      <c r="Y23" s="679">
        <f t="shared" si="54"/>
        <v>6.0631598051101916E-2</v>
      </c>
      <c r="Z23" s="679">
        <f t="shared" si="54"/>
        <v>6.0659069094294082E-2</v>
      </c>
      <c r="AA23" s="679">
        <f t="shared" si="54"/>
        <v>6.0687993440769743E-2</v>
      </c>
      <c r="AB23" s="679">
        <f t="shared" si="54"/>
        <v>6.0708114425884314E-2</v>
      </c>
      <c r="AC23" s="679">
        <f t="shared" si="54"/>
        <v>6.0729358909731808E-2</v>
      </c>
      <c r="AD23" s="679">
        <f t="shared" si="54"/>
        <v>6.0948153089134302E-2</v>
      </c>
      <c r="AE23" s="679">
        <f t="shared" si="54"/>
        <v>6.1175390505766723E-2</v>
      </c>
      <c r="AF23" s="679">
        <f t="shared" si="54"/>
        <v>6.1411569510312847E-2</v>
      </c>
      <c r="AG23" s="679">
        <f t="shared" si="54"/>
        <v>6.1657228459866674E-2</v>
      </c>
      <c r="AH23" s="679">
        <f t="shared" si="54"/>
        <v>6.19129498146763E-2</v>
      </c>
      <c r="AI23" s="679">
        <f t="shared" si="54"/>
        <v>6.2214516955363633E-2</v>
      </c>
      <c r="AJ23" s="679">
        <f t="shared" si="54"/>
        <v>6.252274082789519E-2</v>
      </c>
      <c r="AK23" s="679">
        <f t="shared" si="54"/>
        <v>6.2837844301072379E-2</v>
      </c>
      <c r="AL23" s="679">
        <f t="shared" si="54"/>
        <v>6.3160060304907117E-2</v>
      </c>
      <c r="AM23" s="679">
        <f t="shared" si="54"/>
        <v>6.3489632404857929E-2</v>
      </c>
    </row>
    <row r="24" spans="1:39" x14ac:dyDescent="0.25">
      <c r="A24" s="675"/>
      <c r="B24" s="679" t="s">
        <v>20</v>
      </c>
      <c r="C24" s="687">
        <v>2301</v>
      </c>
      <c r="D24" s="679">
        <f t="shared" ref="D24:D31" si="55">D5/SUM(D$5:D$12)</f>
        <v>0.77604484324903367</v>
      </c>
      <c r="E24" s="679">
        <f t="shared" ref="E24:L24" si="56">E5/SUM(E$5:E$12)</f>
        <v>0.76081534389436734</v>
      </c>
      <c r="F24" s="679">
        <f t="shared" si="56"/>
        <v>0.74503571681916647</v>
      </c>
      <c r="G24" s="679">
        <f t="shared" si="56"/>
        <v>0.72867560576133539</v>
      </c>
      <c r="H24" s="679">
        <f t="shared" si="56"/>
        <v>0.71170237918137857</v>
      </c>
      <c r="I24" s="679">
        <f t="shared" si="56"/>
        <v>0.69408091301954511</v>
      </c>
      <c r="J24" s="679">
        <f t="shared" si="56"/>
        <v>0.68529516470734064</v>
      </c>
      <c r="K24" s="679">
        <f t="shared" si="56"/>
        <v>0.67645426566498457</v>
      </c>
      <c r="L24" s="679">
        <f t="shared" si="56"/>
        <v>0.66755769496138972</v>
      </c>
      <c r="M24" s="679">
        <f t="shared" ref="M24:AM24" si="57">M5/SUM(M$5:M$12)</f>
        <v>0.67730492764077899</v>
      </c>
      <c r="N24" s="679">
        <f t="shared" si="57"/>
        <v>0.6862628028750255</v>
      </c>
      <c r="O24" s="679">
        <f t="shared" si="57"/>
        <v>0.67775046575748155</v>
      </c>
      <c r="P24" s="679">
        <f t="shared" si="57"/>
        <v>0.66938119965313514</v>
      </c>
      <c r="Q24" s="679">
        <f t="shared" si="57"/>
        <v>0.66115142762491219</v>
      </c>
      <c r="R24" s="679">
        <f t="shared" si="57"/>
        <v>0.65475837877240439</v>
      </c>
      <c r="S24" s="679">
        <f t="shared" si="57"/>
        <v>0.64846858622223447</v>
      </c>
      <c r="T24" s="679">
        <f t="shared" si="57"/>
        <v>0.63469239894305474</v>
      </c>
      <c r="U24" s="679">
        <f t="shared" si="57"/>
        <v>0.62123754335289449</v>
      </c>
      <c r="V24" s="679">
        <f t="shared" si="57"/>
        <v>0.60809290639199898</v>
      </c>
      <c r="W24" s="679">
        <f t="shared" si="57"/>
        <v>0.59456247487837299</v>
      </c>
      <c r="X24" s="679">
        <f t="shared" si="57"/>
        <v>0.58133482645904555</v>
      </c>
      <c r="Y24" s="679">
        <f t="shared" si="57"/>
        <v>0.56661157992938227</v>
      </c>
      <c r="Z24" s="679">
        <f t="shared" si="57"/>
        <v>0.55218208823383808</v>
      </c>
      <c r="AA24" s="679">
        <f t="shared" si="57"/>
        <v>0.53803764681458199</v>
      </c>
      <c r="AB24" s="679">
        <f t="shared" si="57"/>
        <v>0.5235517357681827</v>
      </c>
      <c r="AC24" s="679">
        <f t="shared" si="57"/>
        <v>0.50934324636234585</v>
      </c>
      <c r="AD24" s="679">
        <f t="shared" si="57"/>
        <v>0.49580558636642141</v>
      </c>
      <c r="AE24" s="679">
        <f t="shared" si="57"/>
        <v>0.48247065714615228</v>
      </c>
      <c r="AF24" s="679">
        <f t="shared" si="57"/>
        <v>0.46933393860942307</v>
      </c>
      <c r="AG24" s="679">
        <f t="shared" si="57"/>
        <v>0.45639104404631931</v>
      </c>
      <c r="AH24" s="679">
        <f t="shared" si="57"/>
        <v>0.44363771524523193</v>
      </c>
      <c r="AI24" s="679">
        <f t="shared" si="57"/>
        <v>0.42915867420520037</v>
      </c>
      <c r="AJ24" s="679">
        <f t="shared" si="57"/>
        <v>0.4148590451791212</v>
      </c>
      <c r="AK24" s="679">
        <f t="shared" si="57"/>
        <v>0.40073551401746821</v>
      </c>
      <c r="AL24" s="679">
        <f t="shared" si="57"/>
        <v>0.3867848476977257</v>
      </c>
      <c r="AM24" s="679">
        <f t="shared" si="57"/>
        <v>0.37300389185710525</v>
      </c>
    </row>
    <row r="25" spans="1:39" x14ac:dyDescent="0.25">
      <c r="A25" s="677"/>
      <c r="B25" s="679" t="s">
        <v>224</v>
      </c>
      <c r="C25" s="687">
        <f>C24+1</f>
        <v>2302</v>
      </c>
      <c r="D25" s="679">
        <f t="shared" si="55"/>
        <v>6.1271502331526027E-3</v>
      </c>
      <c r="E25" s="679">
        <f t="shared" ref="E25:L25" si="58">E6/SUM(E$5:E$12)</f>
        <v>5.5291148819300246E-3</v>
      </c>
      <c r="F25" s="679">
        <f t="shared" si="58"/>
        <v>4.9094769936242778E-3</v>
      </c>
      <c r="G25" s="679">
        <f t="shared" si="58"/>
        <v>4.2670445318170195E-3</v>
      </c>
      <c r="H25" s="679">
        <f t="shared" si="58"/>
        <v>3.600536113993373E-3</v>
      </c>
      <c r="I25" s="679">
        <f t="shared" si="58"/>
        <v>2.908572480801455E-3</v>
      </c>
      <c r="J25" s="679">
        <f t="shared" si="58"/>
        <v>4.1074832697406477E-3</v>
      </c>
      <c r="K25" s="679">
        <f t="shared" si="58"/>
        <v>5.3139199748621756E-3</v>
      </c>
      <c r="L25" s="679">
        <f t="shared" si="58"/>
        <v>6.5279536828712851E-3</v>
      </c>
      <c r="M25" s="679">
        <f t="shared" ref="M25:AM25" si="59">M6/SUM(M$5:M$12)</f>
        <v>6.2407639592207799E-3</v>
      </c>
      <c r="N25" s="679">
        <f t="shared" si="59"/>
        <v>5.9768316414400922E-3</v>
      </c>
      <c r="O25" s="679">
        <f t="shared" si="59"/>
        <v>5.866456982915819E-3</v>
      </c>
      <c r="P25" s="679">
        <f t="shared" si="59"/>
        <v>5.7579374452600366E-3</v>
      </c>
      <c r="Q25" s="679">
        <f t="shared" si="59"/>
        <v>5.6512266483537896E-3</v>
      </c>
      <c r="R25" s="679">
        <f t="shared" si="59"/>
        <v>5.5609613344161576E-3</v>
      </c>
      <c r="S25" s="679">
        <f t="shared" si="59"/>
        <v>5.4721539262073257E-3</v>
      </c>
      <c r="T25" s="679">
        <f t="shared" si="59"/>
        <v>5.5302444412116854E-3</v>
      </c>
      <c r="U25" s="679">
        <f t="shared" si="59"/>
        <v>5.5869799860110043E-3</v>
      </c>
      <c r="V25" s="679">
        <f t="shared" si="59"/>
        <v>5.6424074214203477E-3</v>
      </c>
      <c r="W25" s="679">
        <f t="shared" si="59"/>
        <v>5.6994452448865442E-3</v>
      </c>
      <c r="X25" s="679">
        <f t="shared" si="59"/>
        <v>5.7552066797420887E-3</v>
      </c>
      <c r="Y25" s="679">
        <f t="shared" si="59"/>
        <v>5.6820847878631849E-3</v>
      </c>
      <c r="Z25" s="679">
        <f t="shared" si="59"/>
        <v>5.6104218071813504E-3</v>
      </c>
      <c r="AA25" s="679">
        <f t="shared" si="59"/>
        <v>5.5401745071675529E-3</v>
      </c>
      <c r="AB25" s="679">
        <f t="shared" si="59"/>
        <v>5.4682570812915401E-3</v>
      </c>
      <c r="AC25" s="679">
        <f t="shared" si="59"/>
        <v>5.397716955759818E-3</v>
      </c>
      <c r="AD25" s="679">
        <f t="shared" si="59"/>
        <v>5.4498631813613358E-3</v>
      </c>
      <c r="AE25" s="679">
        <f t="shared" si="59"/>
        <v>5.5012285006048245E-3</v>
      </c>
      <c r="AF25" s="679">
        <f t="shared" si="59"/>
        <v>5.5518303246044056E-3</v>
      </c>
      <c r="AG25" s="679">
        <f t="shared" si="59"/>
        <v>5.601685550694251E-3</v>
      </c>
      <c r="AH25" s="679">
        <f t="shared" si="59"/>
        <v>5.6508105812410406E-3</v>
      </c>
      <c r="AI25" s="679">
        <f t="shared" si="59"/>
        <v>5.6479370459902945E-3</v>
      </c>
      <c r="AJ25" s="679">
        <f t="shared" si="59"/>
        <v>5.6450991171547145E-3</v>
      </c>
      <c r="AK25" s="679">
        <f t="shared" si="59"/>
        <v>5.6422961370025211E-3</v>
      </c>
      <c r="AL25" s="679">
        <f t="shared" si="59"/>
        <v>5.6395274639025302E-3</v>
      </c>
      <c r="AM25" s="679">
        <f t="shared" si="59"/>
        <v>5.6367924718345097E-3</v>
      </c>
    </row>
    <row r="26" spans="1:39" x14ac:dyDescent="0.25">
      <c r="A26" s="677"/>
      <c r="B26" s="679" t="s">
        <v>32</v>
      </c>
      <c r="C26" s="687">
        <f t="shared" ref="C26:C31" si="60">C25+1</f>
        <v>2303</v>
      </c>
      <c r="D26" s="679">
        <f t="shared" si="55"/>
        <v>4.0298111761087288E-2</v>
      </c>
      <c r="E26" s="679">
        <f t="shared" ref="E26:L26" si="61">E7/SUM(E$5:E$12)</f>
        <v>4.4246306077926845E-2</v>
      </c>
      <c r="F26" s="679">
        <f t="shared" si="61"/>
        <v>4.8337119077703355E-2</v>
      </c>
      <c r="G26" s="679">
        <f t="shared" si="61"/>
        <v>5.2578420514943366E-2</v>
      </c>
      <c r="H26" s="679">
        <f t="shared" si="61"/>
        <v>5.6978670001863164E-2</v>
      </c>
      <c r="I26" s="679">
        <f t="shared" si="61"/>
        <v>6.1546973327816876E-2</v>
      </c>
      <c r="J26" s="679">
        <f t="shared" si="61"/>
        <v>5.874358182751202E-2</v>
      </c>
      <c r="K26" s="679">
        <f t="shared" si="61"/>
        <v>5.5922592612971701E-2</v>
      </c>
      <c r="L26" s="679">
        <f t="shared" si="61"/>
        <v>5.3083839463433653E-2</v>
      </c>
      <c r="M26" s="679">
        <f t="shared" ref="M26:AM26" si="62">M7/SUM(M$5:M$12)</f>
        <v>3.4520957375986046E-2</v>
      </c>
      <c r="N26" s="679">
        <f t="shared" si="62"/>
        <v>1.7461348028710372E-2</v>
      </c>
      <c r="O26" s="679">
        <f t="shared" si="62"/>
        <v>1.7267603044393232E-2</v>
      </c>
      <c r="P26" s="679">
        <f t="shared" si="62"/>
        <v>1.7077114426785427E-2</v>
      </c>
      <c r="Q26" s="679">
        <f t="shared" si="62"/>
        <v>1.6889800763037845E-2</v>
      </c>
      <c r="R26" s="679">
        <f t="shared" si="62"/>
        <v>1.6748364594596776E-2</v>
      </c>
      <c r="S26" s="679">
        <f t="shared" si="62"/>
        <v>1.6609212809727148E-2</v>
      </c>
      <c r="T26" s="679">
        <f t="shared" si="62"/>
        <v>1.6592279047567219E-2</v>
      </c>
      <c r="U26" s="679">
        <f t="shared" si="62"/>
        <v>1.6575740268016489E-2</v>
      </c>
      <c r="V26" s="679">
        <f t="shared" si="62"/>
        <v>1.6559582810843212E-2</v>
      </c>
      <c r="W26" s="679">
        <f t="shared" si="62"/>
        <v>1.6543038601989989E-2</v>
      </c>
      <c r="X26" s="679">
        <f t="shared" si="62"/>
        <v>1.6526864618339427E-2</v>
      </c>
      <c r="Y26" s="679">
        <f t="shared" si="62"/>
        <v>1.6506447761414494E-2</v>
      </c>
      <c r="Z26" s="679">
        <f t="shared" si="62"/>
        <v>1.6486438256930958E-2</v>
      </c>
      <c r="AA26" s="679">
        <f t="shared" si="62"/>
        <v>1.6466824034201057E-2</v>
      </c>
      <c r="AB26" s="679">
        <f t="shared" si="62"/>
        <v>1.6446748311335226E-2</v>
      </c>
      <c r="AC26" s="679">
        <f t="shared" si="62"/>
        <v>1.6427057061351707E-2</v>
      </c>
      <c r="AD26" s="679">
        <f t="shared" si="62"/>
        <v>1.640693543097833E-2</v>
      </c>
      <c r="AE26" s="679">
        <f t="shared" si="62"/>
        <v>1.6387115128436668E-2</v>
      </c>
      <c r="AF26" s="679">
        <f t="shared" si="62"/>
        <v>1.6367589435311365E-2</v>
      </c>
      <c r="AG26" s="679">
        <f t="shared" si="62"/>
        <v>1.6348351831438998E-2</v>
      </c>
      <c r="AH26" s="679">
        <f t="shared" si="62"/>
        <v>1.6329395987648945E-2</v>
      </c>
      <c r="AI26" s="679">
        <f t="shared" si="62"/>
        <v>2.2288726356521384E-2</v>
      </c>
      <c r="AJ26" s="679">
        <f t="shared" si="62"/>
        <v>2.8174213750549609E-2</v>
      </c>
      <c r="AK26" s="679">
        <f t="shared" si="62"/>
        <v>3.3987222218075305E-2</v>
      </c>
      <c r="AL26" s="679">
        <f t="shared" si="62"/>
        <v>3.9729082416923502E-2</v>
      </c>
      <c r="AM26" s="679">
        <f t="shared" si="62"/>
        <v>4.5401092629895466E-2</v>
      </c>
    </row>
    <row r="27" spans="1:39" x14ac:dyDescent="0.25">
      <c r="A27" s="677" t="s">
        <v>104</v>
      </c>
      <c r="B27" s="679" t="s">
        <v>42</v>
      </c>
      <c r="C27" s="687">
        <f t="shared" si="60"/>
        <v>2304</v>
      </c>
      <c r="D27" s="679">
        <f t="shared" si="55"/>
        <v>1.8890013217206594E-2</v>
      </c>
      <c r="E27" s="679">
        <f t="shared" ref="E27:L27" si="63">E8/SUM(E$5:E$12)</f>
        <v>1.6445307119754556E-2</v>
      </c>
      <c r="F27" s="679">
        <f t="shared" si="63"/>
        <v>1.391229210541375E-2</v>
      </c>
      <c r="G27" s="679">
        <f t="shared" si="63"/>
        <v>1.1286095253721628E-2</v>
      </c>
      <c r="H27" s="679">
        <f t="shared" si="63"/>
        <v>8.5614784066982488E-3</v>
      </c>
      <c r="I27" s="679">
        <f t="shared" si="63"/>
        <v>5.7328032960696296E-3</v>
      </c>
      <c r="J27" s="679">
        <f t="shared" si="63"/>
        <v>5.4684210253631155E-3</v>
      </c>
      <c r="K27" s="679">
        <f t="shared" si="63"/>
        <v>5.2023791492649485E-3</v>
      </c>
      <c r="L27" s="679">
        <f t="shared" si="63"/>
        <v>4.9346619918259962E-3</v>
      </c>
      <c r="M27" s="679">
        <f t="shared" ref="M27:AM27" si="64">M8/SUM(M$5:M$12)</f>
        <v>3.1782255361617385E-3</v>
      </c>
      <c r="N27" s="679">
        <f t="shared" si="64"/>
        <v>1.5640300876431196E-3</v>
      </c>
      <c r="O27" s="679">
        <f t="shared" si="64"/>
        <v>1.5461284144760868E-3</v>
      </c>
      <c r="P27" s="679">
        <f t="shared" si="64"/>
        <v>1.5285276234854261E-3</v>
      </c>
      <c r="Q27" s="679">
        <f t="shared" si="64"/>
        <v>1.5112201922765757E-3</v>
      </c>
      <c r="R27" s="679">
        <f t="shared" si="64"/>
        <v>1.4980294552093163E-3</v>
      </c>
      <c r="S27" s="679">
        <f t="shared" si="64"/>
        <v>1.48505176621444E-3</v>
      </c>
      <c r="T27" s="679">
        <f t="shared" si="64"/>
        <v>1.4831638863724757E-3</v>
      </c>
      <c r="U27" s="679">
        <f t="shared" si="64"/>
        <v>1.4813200416184491E-3</v>
      </c>
      <c r="V27" s="679">
        <f t="shared" si="64"/>
        <v>1.4795187090258009E-3</v>
      </c>
      <c r="W27" s="679">
        <f t="shared" si="64"/>
        <v>1.4776650405371808E-3</v>
      </c>
      <c r="X27" s="679">
        <f t="shared" si="64"/>
        <v>1.4758528533184085E-3</v>
      </c>
      <c r="Y27" s="679">
        <f t="shared" si="64"/>
        <v>1.4739634761280485E-3</v>
      </c>
      <c r="Z27" s="679">
        <f t="shared" si="64"/>
        <v>1.4721117953575655E-3</v>
      </c>
      <c r="AA27" s="679">
        <f t="shared" si="64"/>
        <v>1.4702966939847747E-3</v>
      </c>
      <c r="AB27" s="679">
        <f t="shared" si="64"/>
        <v>1.4684384386723364E-3</v>
      </c>
      <c r="AC27" s="679">
        <f t="shared" si="64"/>
        <v>1.4666157710585739E-3</v>
      </c>
      <c r="AD27" s="679">
        <f t="shared" si="64"/>
        <v>1.464758977761427E-3</v>
      </c>
      <c r="AE27" s="679">
        <f t="shared" si="64"/>
        <v>1.4629299905360442E-3</v>
      </c>
      <c r="AF27" s="679">
        <f t="shared" si="64"/>
        <v>1.4611281894173246E-3</v>
      </c>
      <c r="AG27" s="679">
        <f t="shared" si="64"/>
        <v>1.4593529727345532E-3</v>
      </c>
      <c r="AH27" s="679">
        <f t="shared" si="64"/>
        <v>1.4576037564415381E-3</v>
      </c>
      <c r="AI27" s="679">
        <f t="shared" si="64"/>
        <v>1.4518025668411941E-3</v>
      </c>
      <c r="AJ27" s="679">
        <f t="shared" si="64"/>
        <v>1.4460732606692232E-3</v>
      </c>
      <c r="AK27" s="679">
        <f t="shared" si="64"/>
        <v>1.4404145100745819E-3</v>
      </c>
      <c r="AL27" s="679">
        <f t="shared" si="64"/>
        <v>1.4348250197106682E-3</v>
      </c>
      <c r="AM27" s="679">
        <f t="shared" si="64"/>
        <v>1.4293035257467814E-3</v>
      </c>
    </row>
    <row r="28" spans="1:39" x14ac:dyDescent="0.25">
      <c r="A28" s="677"/>
      <c r="B28" s="679" t="s">
        <v>473</v>
      </c>
      <c r="C28" s="687">
        <f t="shared" si="60"/>
        <v>2305</v>
      </c>
      <c r="D28" s="679">
        <f t="shared" si="55"/>
        <v>5.3449221223827802E-2</v>
      </c>
      <c r="E28" s="679">
        <f t="shared" ref="E28:L28" si="65">E9/SUM(E$5:E$12)</f>
        <v>5.9116927569389945E-2</v>
      </c>
      <c r="F28" s="679">
        <f t="shared" si="65"/>
        <v>6.4989365685835271E-2</v>
      </c>
      <c r="G28" s="679">
        <f t="shared" si="65"/>
        <v>7.1077832752098946E-2</v>
      </c>
      <c r="H28" s="679">
        <f t="shared" si="65"/>
        <v>7.7394472698796221E-2</v>
      </c>
      <c r="I28" s="679">
        <f t="shared" si="65"/>
        <v>8.3952357055837243E-2</v>
      </c>
      <c r="J28" s="679">
        <f t="shared" si="65"/>
        <v>8.8113603139197527E-2</v>
      </c>
      <c r="K28" s="679">
        <f t="shared" si="65"/>
        <v>9.2300970589990941E-2</v>
      </c>
      <c r="L28" s="679">
        <f t="shared" si="65"/>
        <v>9.6514706139898071E-2</v>
      </c>
      <c r="M28" s="679">
        <f t="shared" ref="M28:AM28" si="66">M9/SUM(M$5:M$12)</f>
        <v>0.10480125660925647</v>
      </c>
      <c r="N28" s="679">
        <f t="shared" si="66"/>
        <v>0.11241673965643544</v>
      </c>
      <c r="O28" s="679">
        <f t="shared" si="66"/>
        <v>0.11885891713072698</v>
      </c>
      <c r="P28" s="679">
        <f t="shared" si="66"/>
        <v>0.12519281777743105</v>
      </c>
      <c r="Q28" s="679">
        <f t="shared" si="66"/>
        <v>0.1314211486396458</v>
      </c>
      <c r="R28" s="679">
        <f t="shared" si="66"/>
        <v>0.13535286775406133</v>
      </c>
      <c r="S28" s="679">
        <f t="shared" si="66"/>
        <v>0.13922108433831445</v>
      </c>
      <c r="T28" s="679">
        <f t="shared" si="66"/>
        <v>0.14589482248150754</v>
      </c>
      <c r="U28" s="679">
        <f t="shared" si="66"/>
        <v>0.15241289465514268</v>
      </c>
      <c r="V28" s="679">
        <f t="shared" si="66"/>
        <v>0.15878068447148266</v>
      </c>
      <c r="W28" s="679">
        <f t="shared" si="66"/>
        <v>0.16533276180449658</v>
      </c>
      <c r="X28" s="679">
        <f t="shared" si="66"/>
        <v>0.17173821718779819</v>
      </c>
      <c r="Y28" s="679">
        <f t="shared" si="66"/>
        <v>0.17830255078213281</v>
      </c>
      <c r="Z28" s="679">
        <f t="shared" si="66"/>
        <v>0.18473591429984582</v>
      </c>
      <c r="AA28" s="679">
        <f t="shared" si="66"/>
        <v>0.19104218865275124</v>
      </c>
      <c r="AB28" s="679">
        <f t="shared" si="66"/>
        <v>0.19749798788947562</v>
      </c>
      <c r="AC28" s="679">
        <f t="shared" si="66"/>
        <v>0.20383015124236387</v>
      </c>
      <c r="AD28" s="679">
        <f t="shared" si="66"/>
        <v>0.21036127956389208</v>
      </c>
      <c r="AE28" s="679">
        <f t="shared" si="66"/>
        <v>0.21679460215600138</v>
      </c>
      <c r="AF28" s="679">
        <f t="shared" si="66"/>
        <v>0.22313229969848711</v>
      </c>
      <c r="AG28" s="679">
        <f t="shared" si="66"/>
        <v>0.22937648852204218</v>
      </c>
      <c r="AH28" s="679">
        <f t="shared" si="66"/>
        <v>0.235529222964451</v>
      </c>
      <c r="AI28" s="679">
        <f t="shared" si="66"/>
        <v>0.24123555976105354</v>
      </c>
      <c r="AJ28" s="679">
        <f t="shared" si="66"/>
        <v>0.24687118846489362</v>
      </c>
      <c r="AK28" s="679">
        <f t="shared" si="66"/>
        <v>0.25243741521588353</v>
      </c>
      <c r="AL28" s="679">
        <f t="shared" si="66"/>
        <v>0.25793551418095811</v>
      </c>
      <c r="AM28" s="679">
        <f t="shared" si="66"/>
        <v>0.26336672852645704</v>
      </c>
    </row>
    <row r="29" spans="1:39" x14ac:dyDescent="0.25">
      <c r="A29" s="677"/>
      <c r="B29" s="679" t="s">
        <v>279</v>
      </c>
      <c r="C29" s="687">
        <f t="shared" si="60"/>
        <v>2306</v>
      </c>
      <c r="D29" s="679">
        <f t="shared" si="55"/>
        <v>2.355534589191129E-2</v>
      </c>
      <c r="E29" s="679">
        <f t="shared" ref="E29:L29" si="67">E10/SUM(E$5:E$12)</f>
        <v>2.605313314356127E-2</v>
      </c>
      <c r="F29" s="679">
        <f t="shared" si="67"/>
        <v>2.8641146736545987E-2</v>
      </c>
      <c r="G29" s="679">
        <f t="shared" si="67"/>
        <v>3.1324365395556414E-2</v>
      </c>
      <c r="H29" s="679">
        <f t="shared" si="67"/>
        <v>3.4108141013091273E-2</v>
      </c>
      <c r="I29" s="679">
        <f t="shared" si="67"/>
        <v>3.6998234279415454E-2</v>
      </c>
      <c r="J29" s="679">
        <f t="shared" si="67"/>
        <v>3.8298411869931034E-2</v>
      </c>
      <c r="K29" s="679">
        <f t="shared" si="67"/>
        <v>3.9606751058172351E-2</v>
      </c>
      <c r="L29" s="679">
        <f t="shared" si="67"/>
        <v>4.0923328935230777E-2</v>
      </c>
      <c r="M29" s="679">
        <f t="shared" ref="M29:AM29" si="68">M10/SUM(M$5:M$12)</f>
        <v>4.351303989115736E-2</v>
      </c>
      <c r="N29" s="679">
        <f t="shared" si="68"/>
        <v>4.5893029001810727E-2</v>
      </c>
      <c r="O29" s="679">
        <f t="shared" si="68"/>
        <v>4.883095215024847E-2</v>
      </c>
      <c r="P29" s="679">
        <f t="shared" si="68"/>
        <v>5.1719496187434134E-2</v>
      </c>
      <c r="Q29" s="679">
        <f t="shared" si="68"/>
        <v>5.4559895646972806E-2</v>
      </c>
      <c r="R29" s="679">
        <f t="shared" si="68"/>
        <v>5.7466874734989924E-2</v>
      </c>
      <c r="S29" s="679">
        <f t="shared" si="68"/>
        <v>6.0326902216891187E-2</v>
      </c>
      <c r="T29" s="679">
        <f t="shared" si="68"/>
        <v>6.7391713275937654E-2</v>
      </c>
      <c r="U29" s="679">
        <f t="shared" si="68"/>
        <v>7.429173652946143E-2</v>
      </c>
      <c r="V29" s="679">
        <f t="shared" si="68"/>
        <v>8.1032671062837958E-2</v>
      </c>
      <c r="W29" s="679">
        <f t="shared" si="68"/>
        <v>8.7961902763990574E-2</v>
      </c>
      <c r="X29" s="679">
        <f t="shared" si="68"/>
        <v>9.4736072580126757E-2</v>
      </c>
      <c r="Y29" s="679">
        <f t="shared" si="68"/>
        <v>0.10167494526152408</v>
      </c>
      <c r="Z29" s="679">
        <f t="shared" si="68"/>
        <v>0.10847537514843364</v>
      </c>
      <c r="AA29" s="679">
        <f t="shared" si="68"/>
        <v>0.1151414645846162</v>
      </c>
      <c r="AB29" s="679">
        <f t="shared" si="68"/>
        <v>0.12196178844568044</v>
      </c>
      <c r="AC29" s="679">
        <f t="shared" si="68"/>
        <v>0.12865149536255366</v>
      </c>
      <c r="AD29" s="679">
        <f t="shared" si="68"/>
        <v>0.1355467216108075</v>
      </c>
      <c r="AE29" s="679">
        <f t="shared" si="68"/>
        <v>0.14233868964707733</v>
      </c>
      <c r="AF29" s="679">
        <f t="shared" si="68"/>
        <v>0.14902970171989108</v>
      </c>
      <c r="AG29" s="679">
        <f t="shared" si="68"/>
        <v>0.15562199214133476</v>
      </c>
      <c r="AH29" s="679">
        <f t="shared" si="68"/>
        <v>0.16211772977459951</v>
      </c>
      <c r="AI29" s="679">
        <f t="shared" si="68"/>
        <v>0.16507868154688649</v>
      </c>
      <c r="AJ29" s="679">
        <f t="shared" si="68"/>
        <v>0.1680029437125059</v>
      </c>
      <c r="AK29" s="679">
        <f t="shared" si="68"/>
        <v>0.17089119401226172</v>
      </c>
      <c r="AL29" s="679">
        <f t="shared" si="68"/>
        <v>0.1737440935965518</v>
      </c>
      <c r="AM29" s="679">
        <f t="shared" si="68"/>
        <v>0.17656228752992606</v>
      </c>
    </row>
    <row r="30" spans="1:39" x14ac:dyDescent="0.25">
      <c r="A30" s="677"/>
      <c r="B30" s="679" t="s">
        <v>18</v>
      </c>
      <c r="C30" s="687">
        <f t="shared" si="60"/>
        <v>2307</v>
      </c>
      <c r="D30" s="679">
        <f t="shared" si="55"/>
        <v>6.5312549973026754E-2</v>
      </c>
      <c r="E30" s="679">
        <f t="shared" ref="E30:L30" si="69">E11/SUM(E$5:E$12)</f>
        <v>7.2238232807147154E-2</v>
      </c>
      <c r="F30" s="679">
        <f t="shared" si="69"/>
        <v>7.9414088678604777E-2</v>
      </c>
      <c r="G30" s="679">
        <f t="shared" si="69"/>
        <v>8.6853922233133707E-2</v>
      </c>
      <c r="H30" s="679">
        <f t="shared" si="69"/>
        <v>9.4572572809025826E-2</v>
      </c>
      <c r="I30" s="679">
        <f t="shared" si="69"/>
        <v>0.10258601322928831</v>
      </c>
      <c r="J30" s="679">
        <f t="shared" si="69"/>
        <v>0.10716389784899513</v>
      </c>
      <c r="K30" s="679">
        <f t="shared" si="69"/>
        <v>0.11177051919895592</v>
      </c>
      <c r="L30" s="679">
        <f t="shared" si="69"/>
        <v>0.11640614871449152</v>
      </c>
      <c r="M30" s="679">
        <f t="shared" ref="M30:AM30" si="70">M11/SUM(M$5:M$12)</f>
        <v>0.11185483887720425</v>
      </c>
      <c r="N30" s="679">
        <f t="shared" si="70"/>
        <v>0.10767210650424823</v>
      </c>
      <c r="O30" s="679">
        <f t="shared" si="70"/>
        <v>0.10642895116932735</v>
      </c>
      <c r="P30" s="679">
        <f t="shared" si="70"/>
        <v>0.10520669015413009</v>
      </c>
      <c r="Q30" s="679">
        <f t="shared" si="70"/>
        <v>0.10400480107704194</v>
      </c>
      <c r="R30" s="679">
        <f t="shared" si="70"/>
        <v>0.10310542966802479</v>
      </c>
      <c r="S30" s="679">
        <f t="shared" si="70"/>
        <v>0.10222058431195453</v>
      </c>
      <c r="T30" s="679">
        <f t="shared" si="70"/>
        <v>0.10204557909450729</v>
      </c>
      <c r="U30" s="679">
        <f t="shared" si="70"/>
        <v>0.10187465590069764</v>
      </c>
      <c r="V30" s="679">
        <f t="shared" si="70"/>
        <v>0.10170767355623694</v>
      </c>
      <c r="W30" s="679">
        <f t="shared" si="70"/>
        <v>0.10154411574742118</v>
      </c>
      <c r="X30" s="679">
        <f t="shared" si="70"/>
        <v>0.1013842180243462</v>
      </c>
      <c r="Y30" s="679">
        <f t="shared" si="70"/>
        <v>0.10122439293637216</v>
      </c>
      <c r="Z30" s="679">
        <f t="shared" si="70"/>
        <v>0.10106775664185551</v>
      </c>
      <c r="AA30" s="679">
        <f t="shared" si="70"/>
        <v>0.10091421465031021</v>
      </c>
      <c r="AB30" s="679">
        <f t="shared" si="70"/>
        <v>0.10076168016392119</v>
      </c>
      <c r="AC30" s="679">
        <f t="shared" si="70"/>
        <v>0.10061206688609967</v>
      </c>
      <c r="AD30" s="679">
        <f t="shared" si="70"/>
        <v>0.10046344444273378</v>
      </c>
      <c r="AE30" s="679">
        <f t="shared" si="70"/>
        <v>0.10031704766785363</v>
      </c>
      <c r="AF30" s="679">
        <f t="shared" si="70"/>
        <v>0.10017282693788063</v>
      </c>
      <c r="AG30" s="679">
        <f t="shared" si="70"/>
        <v>0.10003073409356524</v>
      </c>
      <c r="AH30" s="679">
        <f t="shared" si="70"/>
        <v>9.9890722386369396E-2</v>
      </c>
      <c r="AI30" s="679">
        <f t="shared" si="70"/>
        <v>9.9485071177711965E-2</v>
      </c>
      <c r="AJ30" s="679">
        <f t="shared" si="70"/>
        <v>9.908444645527735E-2</v>
      </c>
      <c r="AK30" s="679">
        <f t="shared" si="70"/>
        <v>9.8688755368388725E-2</v>
      </c>
      <c r="AL30" s="679">
        <f t="shared" si="70"/>
        <v>9.8297907339259305E-2</v>
      </c>
      <c r="AM30" s="679">
        <f t="shared" si="70"/>
        <v>9.7911813993868099E-2</v>
      </c>
    </row>
    <row r="31" spans="1:39" ht="15.75" thickBot="1" x14ac:dyDescent="0.3">
      <c r="A31" s="676"/>
      <c r="B31" s="679" t="s">
        <v>476</v>
      </c>
      <c r="C31" s="687">
        <f t="shared" si="60"/>
        <v>2308</v>
      </c>
      <c r="D31" s="679">
        <f t="shared" si="55"/>
        <v>1.6322764450753993E-2</v>
      </c>
      <c r="E31" s="679">
        <f t="shared" ref="E31:L31" si="71">E12/SUM(E$5:E$12)</f>
        <v>1.5555634505922794E-2</v>
      </c>
      <c r="F31" s="679">
        <f t="shared" si="71"/>
        <v>1.4760793903106334E-2</v>
      </c>
      <c r="G31" s="679">
        <f t="shared" si="71"/>
        <v>1.3936713557393537E-2</v>
      </c>
      <c r="H31" s="679">
        <f t="shared" si="71"/>
        <v>1.3081749775153369E-2</v>
      </c>
      <c r="I31" s="679">
        <f t="shared" si="71"/>
        <v>1.2194133311226062E-2</v>
      </c>
      <c r="J31" s="679">
        <f t="shared" si="71"/>
        <v>1.2809436311919923E-2</v>
      </c>
      <c r="K31" s="679">
        <f t="shared" si="71"/>
        <v>1.3428601750797409E-2</v>
      </c>
      <c r="L31" s="679">
        <f t="shared" si="71"/>
        <v>1.4051666110859139E-2</v>
      </c>
      <c r="M31" s="679">
        <f t="shared" ref="M31:AM31" si="72">M12/SUM(M$5:M$12)</f>
        <v>1.8585990110234277E-2</v>
      </c>
      <c r="N31" s="679">
        <f t="shared" si="72"/>
        <v>2.2753112204686631E-2</v>
      </c>
      <c r="O31" s="679">
        <f t="shared" si="72"/>
        <v>2.3450525350430348E-2</v>
      </c>
      <c r="P31" s="679">
        <f t="shared" si="72"/>
        <v>2.413621673233874E-2</v>
      </c>
      <c r="Q31" s="679">
        <f t="shared" si="72"/>
        <v>2.4810479407759298E-2</v>
      </c>
      <c r="R31" s="679">
        <f t="shared" si="72"/>
        <v>2.5509093686297498E-2</v>
      </c>
      <c r="S31" s="679">
        <f t="shared" si="72"/>
        <v>2.6196424408456483E-2</v>
      </c>
      <c r="T31" s="679">
        <f t="shared" si="72"/>
        <v>2.6369798829841359E-2</v>
      </c>
      <c r="U31" s="679">
        <f t="shared" si="72"/>
        <v>2.6539129266157844E-2</v>
      </c>
      <c r="V31" s="679">
        <f t="shared" si="72"/>
        <v>2.6704555576153911E-2</v>
      </c>
      <c r="W31" s="679">
        <f t="shared" si="72"/>
        <v>2.6878595918305041E-2</v>
      </c>
      <c r="X31" s="679">
        <f t="shared" si="72"/>
        <v>2.7048741597283269E-2</v>
      </c>
      <c r="Y31" s="679">
        <f t="shared" si="72"/>
        <v>2.8524035065183077E-2</v>
      </c>
      <c r="Z31" s="679">
        <f t="shared" si="72"/>
        <v>2.9969893816557073E-2</v>
      </c>
      <c r="AA31" s="679">
        <f t="shared" si="72"/>
        <v>3.1387190062386966E-2</v>
      </c>
      <c r="AB31" s="679">
        <f t="shared" si="72"/>
        <v>3.2843363901440874E-2</v>
      </c>
      <c r="AC31" s="679">
        <f t="shared" si="72"/>
        <v>3.4271650358466792E-2</v>
      </c>
      <c r="AD31" s="679">
        <f t="shared" si="72"/>
        <v>3.450141042604403E-2</v>
      </c>
      <c r="AE31" s="679">
        <f t="shared" si="72"/>
        <v>3.4727729763337864E-2</v>
      </c>
      <c r="AF31" s="679">
        <f t="shared" si="72"/>
        <v>3.4950685084985091E-2</v>
      </c>
      <c r="AG31" s="679">
        <f t="shared" si="72"/>
        <v>3.5170350841870618E-2</v>
      </c>
      <c r="AH31" s="679">
        <f t="shared" si="72"/>
        <v>3.5386799304016579E-2</v>
      </c>
      <c r="AI31" s="679">
        <f t="shared" si="72"/>
        <v>3.5653547339794762E-2</v>
      </c>
      <c r="AJ31" s="679">
        <f t="shared" si="72"/>
        <v>3.5916990059828312E-2</v>
      </c>
      <c r="AK31" s="679">
        <f t="shared" si="72"/>
        <v>3.6177188520845643E-2</v>
      </c>
      <c r="AL31" s="679">
        <f t="shared" si="72"/>
        <v>3.643420228496852E-2</v>
      </c>
      <c r="AM31" s="679">
        <f t="shared" si="72"/>
        <v>3.6688089465166961E-2</v>
      </c>
    </row>
    <row r="32" spans="1:39" x14ac:dyDescent="0.25">
      <c r="A32" s="675"/>
      <c r="B32" s="679" t="s">
        <v>287</v>
      </c>
      <c r="C32" s="687">
        <v>2401</v>
      </c>
      <c r="D32" s="679">
        <f t="shared" ref="D32:D37" si="73">D13/SUM(D$13:D$18)</f>
        <v>0.69900476281967894</v>
      </c>
      <c r="E32" s="679">
        <f t="shared" ref="E32:L32" si="74">E13/SUM(E$13:E$18)</f>
        <v>0.69597279409696233</v>
      </c>
      <c r="F32" s="679">
        <f t="shared" si="74"/>
        <v>0.69294627288754818</v>
      </c>
      <c r="G32" s="679">
        <f t="shared" si="74"/>
        <v>0.68992518452336005</v>
      </c>
      <c r="H32" s="679">
        <f t="shared" si="74"/>
        <v>0.68690951438893511</v>
      </c>
      <c r="I32" s="679">
        <f t="shared" si="74"/>
        <v>0.68389924792118773</v>
      </c>
      <c r="J32" s="679">
        <f t="shared" si="74"/>
        <v>0.6562350537908247</v>
      </c>
      <c r="K32" s="679">
        <f t="shared" si="74"/>
        <v>0.62790966987834718</v>
      </c>
      <c r="L32" s="679">
        <f t="shared" si="74"/>
        <v>0.5988991052747562</v>
      </c>
      <c r="M32" s="679">
        <f t="shared" ref="M32:AM32" si="75">M13/SUM(M$13:M$18)</f>
        <v>0.63077424612291955</v>
      </c>
      <c r="N32" s="679">
        <f t="shared" si="75"/>
        <v>0.66101616674509145</v>
      </c>
      <c r="O32" s="679">
        <f t="shared" si="75"/>
        <v>0.65422198644599572</v>
      </c>
      <c r="P32" s="679">
        <f t="shared" si="75"/>
        <v>0.64741727025199614</v>
      </c>
      <c r="Q32" s="679">
        <f t="shared" si="75"/>
        <v>0.64060199363668635</v>
      </c>
      <c r="R32" s="679">
        <f t="shared" si="75"/>
        <v>0.63360280728746621</v>
      </c>
      <c r="S32" s="679">
        <f t="shared" si="75"/>
        <v>0.62659579221698647</v>
      </c>
      <c r="T32" s="679">
        <f t="shared" si="75"/>
        <v>0.62051843730875333</v>
      </c>
      <c r="U32" s="679">
        <f t="shared" si="75"/>
        <v>0.6144814667005114</v>
      </c>
      <c r="V32" s="679">
        <f t="shared" si="75"/>
        <v>0.60848447919199034</v>
      </c>
      <c r="W32" s="679">
        <f t="shared" si="75"/>
        <v>0.60238632388157254</v>
      </c>
      <c r="X32" s="679">
        <f t="shared" si="75"/>
        <v>0.59632965810468175</v>
      </c>
      <c r="Y32" s="679">
        <f t="shared" si="75"/>
        <v>0.59358568800661637</v>
      </c>
      <c r="Z32" s="679">
        <f t="shared" si="75"/>
        <v>0.59085399763040403</v>
      </c>
      <c r="AA32" s="679">
        <f t="shared" si="75"/>
        <v>0.58813450472938611</v>
      </c>
      <c r="AB32" s="679">
        <f t="shared" si="75"/>
        <v>0.58536610895065411</v>
      </c>
      <c r="AC32" s="679">
        <f t="shared" si="75"/>
        <v>0.58260968513987488</v>
      </c>
      <c r="AD32" s="679">
        <f t="shared" si="75"/>
        <v>0.57911324337838976</v>
      </c>
      <c r="AE32" s="679">
        <f t="shared" si="75"/>
        <v>0.57562072940226872</v>
      </c>
      <c r="AF32" s="679">
        <f t="shared" si="75"/>
        <v>0.5721321365967138</v>
      </c>
      <c r="AG32" s="679">
        <f t="shared" si="75"/>
        <v>0.56864745836177188</v>
      </c>
      <c r="AH32" s="679">
        <f t="shared" si="75"/>
        <v>0.56516668811229354</v>
      </c>
      <c r="AI32" s="679">
        <f t="shared" si="75"/>
        <v>0.56159415447321193</v>
      </c>
      <c r="AJ32" s="679">
        <f t="shared" si="75"/>
        <v>0.55800828150157267</v>
      </c>
      <c r="AK32" s="679">
        <f t="shared" si="75"/>
        <v>0.55440899434687851</v>
      </c>
      <c r="AL32" s="679">
        <f t="shared" si="75"/>
        <v>0.55079621759757613</v>
      </c>
      <c r="AM32" s="679">
        <f t="shared" si="75"/>
        <v>0.54716987527578731</v>
      </c>
    </row>
    <row r="33" spans="1:39" x14ac:dyDescent="0.25">
      <c r="A33" s="677"/>
      <c r="B33" s="679" t="s">
        <v>289</v>
      </c>
      <c r="C33" s="687">
        <v>2402</v>
      </c>
      <c r="D33" s="679">
        <f t="shared" si="73"/>
        <v>0.18329006419278157</v>
      </c>
      <c r="E33" s="679">
        <f t="shared" ref="E33:L33" si="76">E14/SUM(E$13:E$18)</f>
        <v>0.18539471617214445</v>
      </c>
      <c r="F33" s="679">
        <f t="shared" si="76"/>
        <v>0.18749558674058139</v>
      </c>
      <c r="G33" s="679">
        <f t="shared" si="76"/>
        <v>0.18959268607999044</v>
      </c>
      <c r="H33" s="679">
        <f t="shared" si="76"/>
        <v>0.19168602433574794</v>
      </c>
      <c r="I33" s="679">
        <f t="shared" si="76"/>
        <v>0.19377561161687165</v>
      </c>
      <c r="J33" s="679">
        <f t="shared" si="76"/>
        <v>0.1989005757270885</v>
      </c>
      <c r="K33" s="679">
        <f t="shared" si="76"/>
        <v>0.20414802935886558</v>
      </c>
      <c r="L33" s="679">
        <f t="shared" si="76"/>
        <v>0.20952241697738466</v>
      </c>
      <c r="M33" s="679">
        <f t="shared" ref="M33:AM33" si="77">M14/SUM(M$13:M$18)</f>
        <v>0.21163589930724838</v>
      </c>
      <c r="N33" s="679">
        <f t="shared" si="77"/>
        <v>0.21364109091284977</v>
      </c>
      <c r="O33" s="679">
        <f t="shared" si="77"/>
        <v>0.21628015943757042</v>
      </c>
      <c r="P33" s="679">
        <f t="shared" si="77"/>
        <v>0.21892332042781254</v>
      </c>
      <c r="Q33" s="679">
        <f t="shared" si="77"/>
        <v>0.22157058341038638</v>
      </c>
      <c r="R33" s="679">
        <f t="shared" si="77"/>
        <v>0.22423843357274767</v>
      </c>
      <c r="S33" s="679">
        <f t="shared" si="77"/>
        <v>0.22690926777557324</v>
      </c>
      <c r="T33" s="679">
        <f t="shared" si="77"/>
        <v>0.22976668872148115</v>
      </c>
      <c r="U33" s="679">
        <f t="shared" si="77"/>
        <v>0.2326051219751408</v>
      </c>
      <c r="V33" s="679">
        <f t="shared" si="77"/>
        <v>0.23542475617092914</v>
      </c>
      <c r="W33" s="679">
        <f t="shared" si="77"/>
        <v>0.23822927701386859</v>
      </c>
      <c r="X33" s="679">
        <f t="shared" si="77"/>
        <v>0.24101471696174787</v>
      </c>
      <c r="Y33" s="679">
        <f t="shared" si="77"/>
        <v>0.24152904914203072</v>
      </c>
      <c r="Z33" s="679">
        <f t="shared" si="77"/>
        <v>0.24204107960039689</v>
      </c>
      <c r="AA33" s="679">
        <f t="shared" si="77"/>
        <v>0.24255082375323248</v>
      </c>
      <c r="AB33" s="679">
        <f t="shared" si="77"/>
        <v>0.24304249761954758</v>
      </c>
      <c r="AC33" s="679">
        <f t="shared" si="77"/>
        <v>0.24353204523505129</v>
      </c>
      <c r="AD33" s="679">
        <f t="shared" si="77"/>
        <v>0.24459688350285888</v>
      </c>
      <c r="AE33" s="679">
        <f t="shared" si="77"/>
        <v>0.24566052556708323</v>
      </c>
      <c r="AF33" s="679">
        <f t="shared" si="77"/>
        <v>0.24672297344225538</v>
      </c>
      <c r="AG33" s="679">
        <f t="shared" si="77"/>
        <v>0.24778422913838513</v>
      </c>
      <c r="AH33" s="679">
        <f t="shared" si="77"/>
        <v>0.24884429466097424</v>
      </c>
      <c r="AI33" s="679">
        <f t="shared" si="77"/>
        <v>0.24889021621727314</v>
      </c>
      <c r="AJ33" s="679">
        <f t="shared" si="77"/>
        <v>0.24893630923813287</v>
      </c>
      <c r="AK33" s="679">
        <f t="shared" si="77"/>
        <v>0.24898257468568585</v>
      </c>
      <c r="AL33" s="679">
        <f t="shared" si="77"/>
        <v>0.24902901352927684</v>
      </c>
      <c r="AM33" s="679">
        <f t="shared" si="77"/>
        <v>0.24907562674552966</v>
      </c>
    </row>
    <row r="34" spans="1:39" x14ac:dyDescent="0.25">
      <c r="A34" s="677" t="s">
        <v>474</v>
      </c>
      <c r="B34" s="679" t="s">
        <v>291</v>
      </c>
      <c r="C34" s="687">
        <v>2403</v>
      </c>
      <c r="D34" s="679">
        <f t="shared" si="73"/>
        <v>3.0221764477700811E-3</v>
      </c>
      <c r="E34" s="679">
        <f t="shared" ref="E34:L34" si="78">E15/SUM(E$13:E$18)</f>
        <v>4.5773015423322674E-3</v>
      </c>
      <c r="F34" s="679">
        <f t="shared" si="78"/>
        <v>6.1296325564092289E-3</v>
      </c>
      <c r="G34" s="679">
        <f t="shared" si="78"/>
        <v>7.6791770133945447E-3</v>
      </c>
      <c r="H34" s="679">
        <f t="shared" si="78"/>
        <v>9.2259424096958458E-3</v>
      </c>
      <c r="I34" s="679">
        <f t="shared" si="78"/>
        <v>1.0769936214855688E-2</v>
      </c>
      <c r="J34" s="679">
        <f t="shared" si="78"/>
        <v>1.6819933224680467E-2</v>
      </c>
      <c r="K34" s="679">
        <f t="shared" si="78"/>
        <v>2.3014528562071541E-2</v>
      </c>
      <c r="L34" s="679">
        <f t="shared" si="78"/>
        <v>2.9358968898123738E-2</v>
      </c>
      <c r="M34" s="679">
        <f t="shared" ref="M34:AM34" si="79">M15/SUM(M$13:M$18)</f>
        <v>2.138905411885083E-2</v>
      </c>
      <c r="N34" s="679">
        <f t="shared" si="79"/>
        <v>1.3827502272903939E-2</v>
      </c>
      <c r="O34" s="679">
        <f t="shared" si="79"/>
        <v>1.3817030042878197E-2</v>
      </c>
      <c r="P34" s="679">
        <f t="shared" si="79"/>
        <v>1.3806541573319486E-2</v>
      </c>
      <c r="Q34" s="679">
        <f t="shared" si="79"/>
        <v>1.3796036826423956E-2</v>
      </c>
      <c r="R34" s="679">
        <f t="shared" si="79"/>
        <v>1.3781977006445591E-2</v>
      </c>
      <c r="S34" s="679">
        <f t="shared" si="79"/>
        <v>1.376790146029477E-2</v>
      </c>
      <c r="T34" s="679">
        <f t="shared" si="79"/>
        <v>1.4280364624125656E-2</v>
      </c>
      <c r="U34" s="679">
        <f t="shared" si="79"/>
        <v>1.4789422446906838E-2</v>
      </c>
      <c r="V34" s="679">
        <f t="shared" si="79"/>
        <v>1.5295108759204909E-2</v>
      </c>
      <c r="W34" s="679">
        <f t="shared" si="79"/>
        <v>1.5801019150799647E-2</v>
      </c>
      <c r="X34" s="679">
        <f t="shared" si="79"/>
        <v>1.6303487520162252E-2</v>
      </c>
      <c r="Y34" s="679">
        <f t="shared" si="79"/>
        <v>1.6933361953541361E-2</v>
      </c>
      <c r="Z34" s="679">
        <f t="shared" si="79"/>
        <v>1.7560417594234132E-2</v>
      </c>
      <c r="AA34" s="679">
        <f t="shared" si="79"/>
        <v>1.8184673321843915E-2</v>
      </c>
      <c r="AB34" s="679">
        <f t="shared" si="79"/>
        <v>1.8817301282836225E-2</v>
      </c>
      <c r="AC34" s="679">
        <f t="shared" si="79"/>
        <v>1.9447193434977337E-2</v>
      </c>
      <c r="AD34" s="679">
        <f t="shared" si="79"/>
        <v>2.0017416674545034E-2</v>
      </c>
      <c r="AE34" s="679">
        <f t="shared" si="79"/>
        <v>2.0586999344457225E-2</v>
      </c>
      <c r="AF34" s="679">
        <f t="shared" si="79"/>
        <v>2.1155942523499664E-2</v>
      </c>
      <c r="AG34" s="679">
        <f t="shared" si="79"/>
        <v>2.1724247288037072E-2</v>
      </c>
      <c r="AH34" s="679">
        <f t="shared" si="79"/>
        <v>2.2291914712019956E-2</v>
      </c>
      <c r="AI34" s="679">
        <f t="shared" si="79"/>
        <v>2.2755555342092816E-2</v>
      </c>
      <c r="AJ34" s="679">
        <f t="shared" si="79"/>
        <v>2.3220927140343989E-2</v>
      </c>
      <c r="AK34" s="679">
        <f t="shared" si="79"/>
        <v>2.3688039820812558E-2</v>
      </c>
      <c r="AL34" s="679">
        <f t="shared" si="79"/>
        <v>2.4156903170351195E-2</v>
      </c>
      <c r="AM34" s="679">
        <f t="shared" si="79"/>
        <v>2.4627527049309612E-2</v>
      </c>
    </row>
    <row r="35" spans="1:39" x14ac:dyDescent="0.25">
      <c r="A35" s="677"/>
      <c r="B35" s="679" t="s">
        <v>293</v>
      </c>
      <c r="C35" s="687">
        <v>2404</v>
      </c>
      <c r="D35" s="679">
        <f t="shared" si="73"/>
        <v>1.2020148980054117E-2</v>
      </c>
      <c r="E35" s="679">
        <f t="shared" ref="E35:L35" si="80">E16/SUM(E$13:E$18)</f>
        <v>1.7121954697865486E-2</v>
      </c>
      <c r="F35" s="679">
        <f t="shared" si="80"/>
        <v>2.2214594043244568E-2</v>
      </c>
      <c r="G35" s="679">
        <f t="shared" si="80"/>
        <v>2.7298091697737899E-2</v>
      </c>
      <c r="H35" s="679">
        <f t="shared" si="80"/>
        <v>3.2372472254360816E-2</v>
      </c>
      <c r="I35" s="679">
        <f t="shared" si="80"/>
        <v>3.7437760217994026E-2</v>
      </c>
      <c r="J35" s="679">
        <f t="shared" si="80"/>
        <v>3.8997138202448572E-2</v>
      </c>
      <c r="K35" s="679">
        <f t="shared" si="80"/>
        <v>4.0593786196827034E-2</v>
      </c>
      <c r="L35" s="679">
        <f t="shared" si="80"/>
        <v>4.222905652302042E-2</v>
      </c>
      <c r="M35" s="679">
        <f t="shared" ref="M35:AM35" si="81">M16/SUM(M$13:M$18)</f>
        <v>3.2997941475307595E-2</v>
      </c>
      <c r="N35" s="679">
        <f t="shared" si="81"/>
        <v>2.4239810809881725E-2</v>
      </c>
      <c r="O35" s="679">
        <f t="shared" si="81"/>
        <v>2.4255411816676033E-2</v>
      </c>
      <c r="P35" s="679">
        <f t="shared" si="81"/>
        <v>2.4271037016317863E-2</v>
      </c>
      <c r="Q35" s="679">
        <f t="shared" si="81"/>
        <v>2.4286686465125499E-2</v>
      </c>
      <c r="R35" s="679">
        <f t="shared" si="81"/>
        <v>2.4287072691966952E-2</v>
      </c>
      <c r="S35" s="679">
        <f t="shared" si="81"/>
        <v>2.4287459350810375E-2</v>
      </c>
      <c r="T35" s="679">
        <f t="shared" si="81"/>
        <v>2.4126292478150981E-2</v>
      </c>
      <c r="U35" s="679">
        <f t="shared" si="81"/>
        <v>2.3966196566696324E-2</v>
      </c>
      <c r="V35" s="679">
        <f t="shared" si="81"/>
        <v>2.3807160976917558E-2</v>
      </c>
      <c r="W35" s="679">
        <f t="shared" si="81"/>
        <v>2.3645235040864302E-2</v>
      </c>
      <c r="X35" s="679">
        <f t="shared" si="81"/>
        <v>2.3484410787403688E-2</v>
      </c>
      <c r="Y35" s="679">
        <f t="shared" si="81"/>
        <v>2.3398744170180421E-2</v>
      </c>
      <c r="Z35" s="679">
        <f t="shared" si="81"/>
        <v>2.3313460925295043E-2</v>
      </c>
      <c r="AA35" s="679">
        <f t="shared" si="81"/>
        <v>2.3228558485010743E-2</v>
      </c>
      <c r="AB35" s="679">
        <f t="shared" si="81"/>
        <v>2.3142896390315103E-2</v>
      </c>
      <c r="AC35" s="679">
        <f t="shared" si="81"/>
        <v>2.3057604742598308E-2</v>
      </c>
      <c r="AD35" s="679">
        <f t="shared" si="81"/>
        <v>2.3021234230668208E-2</v>
      </c>
      <c r="AE35" s="679">
        <f t="shared" si="81"/>
        <v>2.2984904576150926E-2</v>
      </c>
      <c r="AF35" s="679">
        <f t="shared" si="81"/>
        <v>2.2948615710238342E-2</v>
      </c>
      <c r="AG35" s="679">
        <f t="shared" si="81"/>
        <v>2.291236756427675E-2</v>
      </c>
      <c r="AH35" s="679">
        <f t="shared" si="81"/>
        <v>2.2876160069766442E-2</v>
      </c>
      <c r="AI35" s="679">
        <f t="shared" si="81"/>
        <v>2.2908151046474073E-2</v>
      </c>
      <c r="AJ35" s="679">
        <f t="shared" si="81"/>
        <v>2.2940261472939295E-2</v>
      </c>
      <c r="AK35" s="679">
        <f t="shared" si="81"/>
        <v>2.2972492019426045E-2</v>
      </c>
      <c r="AL35" s="679">
        <f t="shared" si="81"/>
        <v>2.3004843361222379E-2</v>
      </c>
      <c r="AM35" s="679">
        <f t="shared" si="81"/>
        <v>2.3037316178687591E-2</v>
      </c>
    </row>
    <row r="36" spans="1:39" x14ac:dyDescent="0.25">
      <c r="A36" s="677"/>
      <c r="B36" s="679" t="s">
        <v>296</v>
      </c>
      <c r="C36" s="687">
        <v>2405</v>
      </c>
      <c r="D36" s="679">
        <f t="shared" si="73"/>
        <v>5.2533562030350903E-3</v>
      </c>
      <c r="E36" s="679">
        <f t="shared" ref="E36:L36" si="82">E17/SUM(E$13:E$18)</f>
        <v>6.0841401023863807E-3</v>
      </c>
      <c r="F36" s="679">
        <f t="shared" si="82"/>
        <v>6.913431339128898E-3</v>
      </c>
      <c r="G36" s="679">
        <f t="shared" si="82"/>
        <v>7.7412339324340104E-3</v>
      </c>
      <c r="H36" s="679">
        <f t="shared" si="82"/>
        <v>8.5675518870565702E-3</v>
      </c>
      <c r="I36" s="679">
        <f t="shared" si="82"/>
        <v>9.3923891933994728E-3</v>
      </c>
      <c r="J36" s="679">
        <f t="shared" si="82"/>
        <v>1.1189035432521194E-2</v>
      </c>
      <c r="K36" s="679">
        <f t="shared" si="82"/>
        <v>1.3028622526156292E-2</v>
      </c>
      <c r="L36" s="679">
        <f t="shared" si="82"/>
        <v>1.4912708559684833E-2</v>
      </c>
      <c r="M36" s="679">
        <f t="shared" ref="M36:AM36" si="83">M17/SUM(M$13:M$18)</f>
        <v>1.1813460480298245E-2</v>
      </c>
      <c r="N36" s="679">
        <f t="shared" si="83"/>
        <v>8.8730118450531144E-3</v>
      </c>
      <c r="O36" s="679">
        <f t="shared" si="83"/>
        <v>8.9738054449048088E-3</v>
      </c>
      <c r="P36" s="679">
        <f t="shared" si="83"/>
        <v>9.0747553477582305E-3</v>
      </c>
      <c r="Q36" s="679">
        <f t="shared" si="83"/>
        <v>9.175861917469599E-3</v>
      </c>
      <c r="R36" s="679">
        <f t="shared" si="83"/>
        <v>9.2742826814925204E-3</v>
      </c>
      <c r="S36" s="679">
        <f t="shared" si="83"/>
        <v>9.3728135309866997E-3</v>
      </c>
      <c r="T36" s="679">
        <f t="shared" si="83"/>
        <v>9.3184108428690932E-3</v>
      </c>
      <c r="U36" s="679">
        <f t="shared" si="83"/>
        <v>9.2643696630903029E-3</v>
      </c>
      <c r="V36" s="679">
        <f t="shared" si="83"/>
        <v>9.2106864002238775E-3</v>
      </c>
      <c r="W36" s="679">
        <f t="shared" si="83"/>
        <v>9.1564224579680931E-3</v>
      </c>
      <c r="X36" s="679">
        <f t="shared" si="83"/>
        <v>9.102527706973753E-3</v>
      </c>
      <c r="Y36" s="679">
        <f t="shared" si="83"/>
        <v>9.0762223724532905E-3</v>
      </c>
      <c r="Z36" s="679">
        <f t="shared" si="83"/>
        <v>9.0500347586730777E-3</v>
      </c>
      <c r="AA36" s="679">
        <f t="shared" si="83"/>
        <v>9.0239640771675698E-3</v>
      </c>
      <c r="AB36" s="679">
        <f t="shared" si="83"/>
        <v>8.9984208169891847E-3</v>
      </c>
      <c r="AC36" s="679">
        <f t="shared" si="83"/>
        <v>8.9729880190122704E-3</v>
      </c>
      <c r="AD36" s="679">
        <f t="shared" si="83"/>
        <v>8.9693276039911167E-3</v>
      </c>
      <c r="AE36" s="679">
        <f t="shared" si="83"/>
        <v>8.965671300957382E-3</v>
      </c>
      <c r="AF36" s="679">
        <f t="shared" si="83"/>
        <v>8.9620191029860588E-3</v>
      </c>
      <c r="AG36" s="679">
        <f t="shared" si="83"/>
        <v>8.9583710031676707E-3</v>
      </c>
      <c r="AH36" s="679">
        <f t="shared" si="83"/>
        <v>8.9547269946082513E-3</v>
      </c>
      <c r="AI36" s="679">
        <f t="shared" si="83"/>
        <v>8.9726110660275516E-3</v>
      </c>
      <c r="AJ36" s="679">
        <f t="shared" si="83"/>
        <v>8.9905619140262395E-3</v>
      </c>
      <c r="AK36" s="679">
        <f t="shared" si="83"/>
        <v>9.008579913305224E-3</v>
      </c>
      <c r="AL36" s="679">
        <f t="shared" si="83"/>
        <v>9.0266654413740759E-3</v>
      </c>
      <c r="AM36" s="679">
        <f t="shared" si="83"/>
        <v>9.044818878577365E-3</v>
      </c>
    </row>
    <row r="37" spans="1:39" ht="15.75" thickBot="1" x14ac:dyDescent="0.3">
      <c r="A37" s="676"/>
      <c r="B37" s="203" t="s">
        <v>613</v>
      </c>
      <c r="C37" s="687">
        <v>2406</v>
      </c>
      <c r="D37" s="679">
        <f t="shared" si="73"/>
        <v>9.740949135668002E-2</v>
      </c>
      <c r="E37" s="679">
        <f t="shared" ref="E37:L37" si="84">E18/SUM(E$13:E$18)</f>
        <v>9.0849093388309154E-2</v>
      </c>
      <c r="F37" s="679">
        <f t="shared" si="84"/>
        <v>8.430048243308777E-2</v>
      </c>
      <c r="G37" s="679">
        <f t="shared" si="84"/>
        <v>7.7763626753082946E-2</v>
      </c>
      <c r="H37" s="679">
        <f t="shared" si="84"/>
        <v>7.1238494724203807E-2</v>
      </c>
      <c r="I37" s="679">
        <f t="shared" si="84"/>
        <v>6.4725054835691423E-2</v>
      </c>
      <c r="J37" s="679">
        <f t="shared" si="84"/>
        <v>7.7858263622436544E-2</v>
      </c>
      <c r="K37" s="679">
        <f t="shared" si="84"/>
        <v>9.1305363477732326E-2</v>
      </c>
      <c r="L37" s="679">
        <f t="shared" si="84"/>
        <v>0.10507774376703001</v>
      </c>
      <c r="M37" s="679">
        <f t="shared" ref="M37:AM37" si="85">M18/SUM(M$13:M$18)</f>
        <v>9.1389398495375473E-2</v>
      </c>
      <c r="N37" s="679">
        <f t="shared" si="85"/>
        <v>7.8402417414220105E-2</v>
      </c>
      <c r="O37" s="679">
        <f t="shared" si="85"/>
        <v>8.2451606811974859E-2</v>
      </c>
      <c r="P37" s="679">
        <f t="shared" si="85"/>
        <v>8.650707538279577E-2</v>
      </c>
      <c r="Q37" s="679">
        <f t="shared" si="85"/>
        <v>9.0568837743908129E-2</v>
      </c>
      <c r="R37" s="679">
        <f t="shared" si="85"/>
        <v>9.4815426759881083E-2</v>
      </c>
      <c r="S37" s="679">
        <f t="shared" si="85"/>
        <v>9.9066765665348486E-2</v>
      </c>
      <c r="T37" s="679">
        <f t="shared" si="85"/>
        <v>0.10198980602461984</v>
      </c>
      <c r="U37" s="679">
        <f t="shared" si="85"/>
        <v>0.10489342264765431</v>
      </c>
      <c r="V37" s="679">
        <f t="shared" si="85"/>
        <v>0.10777780850073415</v>
      </c>
      <c r="W37" s="679">
        <f t="shared" si="85"/>
        <v>0.11078172245492661</v>
      </c>
      <c r="X37" s="679">
        <f t="shared" si="85"/>
        <v>0.11376519891903084</v>
      </c>
      <c r="Y37" s="679">
        <f t="shared" si="85"/>
        <v>0.11547693435517764</v>
      </c>
      <c r="Z37" s="679">
        <f t="shared" si="85"/>
        <v>0.11718100949099691</v>
      </c>
      <c r="AA37" s="679">
        <f t="shared" si="85"/>
        <v>0.11887747563335918</v>
      </c>
      <c r="AB37" s="679">
        <f t="shared" si="85"/>
        <v>0.12063277493965786</v>
      </c>
      <c r="AC37" s="679">
        <f t="shared" si="85"/>
        <v>0.12238048342848597</v>
      </c>
      <c r="AD37" s="679">
        <f t="shared" si="85"/>
        <v>0.12428189460954711</v>
      </c>
      <c r="AE37" s="679">
        <f t="shared" si="85"/>
        <v>0.12618116980908253</v>
      </c>
      <c r="AF37" s="679">
        <f t="shared" si="85"/>
        <v>0.1280783126243068</v>
      </c>
      <c r="AG37" s="679">
        <f t="shared" si="85"/>
        <v>0.1299733266443614</v>
      </c>
      <c r="AH37" s="679">
        <f t="shared" si="85"/>
        <v>0.13186621545033769</v>
      </c>
      <c r="AI37" s="679">
        <f t="shared" si="85"/>
        <v>0.13487931185492039</v>
      </c>
      <c r="AJ37" s="679">
        <f t="shared" si="85"/>
        <v>0.13790365873298507</v>
      </c>
      <c r="AK37" s="679">
        <f t="shared" si="85"/>
        <v>0.14093931921389169</v>
      </c>
      <c r="AL37" s="679">
        <f t="shared" si="85"/>
        <v>0.14398635690019945</v>
      </c>
      <c r="AM37" s="679">
        <f t="shared" si="85"/>
        <v>0.14704483587210831</v>
      </c>
    </row>
    <row r="38" spans="1:39" x14ac:dyDescent="0.25">
      <c r="D38" s="597">
        <f>SUM(D22:D37)-3</f>
        <v>0</v>
      </c>
      <c r="E38" s="597">
        <f t="shared" ref="E38:L38" si="86">SUM(E22:E37)-3</f>
        <v>0</v>
      </c>
      <c r="F38" s="597">
        <f t="shared" si="86"/>
        <v>0</v>
      </c>
      <c r="G38" s="597">
        <f t="shared" si="86"/>
        <v>0</v>
      </c>
      <c r="H38" s="597">
        <f t="shared" si="86"/>
        <v>0</v>
      </c>
      <c r="I38" s="597">
        <f t="shared" si="86"/>
        <v>0</v>
      </c>
      <c r="J38" s="597">
        <f t="shared" si="86"/>
        <v>0</v>
      </c>
      <c r="K38" s="597">
        <f t="shared" si="86"/>
        <v>0</v>
      </c>
      <c r="L38" s="597">
        <f t="shared" si="86"/>
        <v>0</v>
      </c>
      <c r="M38" s="597">
        <f t="shared" ref="M38" si="87">SUM(M22:M37)-3</f>
        <v>0</v>
      </c>
      <c r="N38" s="597">
        <f t="shared" ref="N38" si="88">SUM(N22:N37)-3</f>
        <v>0</v>
      </c>
      <c r="O38" s="597">
        <f t="shared" ref="O38" si="89">SUM(O22:O37)-3</f>
        <v>0</v>
      </c>
      <c r="P38" s="597">
        <f t="shared" ref="P38" si="90">SUM(P22:P37)-3</f>
        <v>0</v>
      </c>
      <c r="Q38" s="597">
        <f t="shared" ref="Q38" si="91">SUM(Q22:Q37)-3</f>
        <v>0</v>
      </c>
      <c r="R38" s="597">
        <f t="shared" ref="R38" si="92">SUM(R22:R37)-3</f>
        <v>0</v>
      </c>
      <c r="S38" s="597">
        <f t="shared" ref="S38" si="93">SUM(S22:S37)-3</f>
        <v>0</v>
      </c>
      <c r="T38" s="597">
        <f t="shared" ref="T38" si="94">SUM(T22:T37)-3</f>
        <v>0</v>
      </c>
      <c r="U38" s="597">
        <f t="shared" ref="U38" si="95">SUM(U22:U37)-3</f>
        <v>0</v>
      </c>
      <c r="V38" s="597">
        <f t="shared" ref="V38" si="96">SUM(V22:V37)-3</f>
        <v>0</v>
      </c>
      <c r="W38" s="597">
        <f t="shared" ref="W38" si="97">SUM(W22:W37)-3</f>
        <v>0</v>
      </c>
      <c r="X38" s="597">
        <f t="shared" ref="X38" si="98">SUM(X22:X37)-3</f>
        <v>0</v>
      </c>
      <c r="Y38" s="597">
        <f t="shared" ref="Y38" si="99">SUM(Y22:Y37)-3</f>
        <v>0</v>
      </c>
      <c r="Z38" s="597">
        <f t="shared" ref="Z38" si="100">SUM(Z22:Z37)-3</f>
        <v>0</v>
      </c>
      <c r="AA38" s="597">
        <f t="shared" ref="AA38" si="101">SUM(AA22:AA37)-3</f>
        <v>0</v>
      </c>
      <c r="AB38" s="597">
        <f t="shared" ref="AB38" si="102">SUM(AB22:AB37)-3</f>
        <v>0</v>
      </c>
      <c r="AC38" s="597">
        <f t="shared" ref="AC38" si="103">SUM(AC22:AC37)-3</f>
        <v>0</v>
      </c>
      <c r="AD38" s="597">
        <f t="shared" ref="AD38" si="104">SUM(AD22:AD37)-3</f>
        <v>0</v>
      </c>
      <c r="AE38" s="597">
        <f t="shared" ref="AE38" si="105">SUM(AE22:AE37)-3</f>
        <v>0</v>
      </c>
      <c r="AF38" s="597">
        <f t="shared" ref="AF38" si="106">SUM(AF22:AF37)-3</f>
        <v>0</v>
      </c>
      <c r="AG38" s="597">
        <f t="shared" ref="AG38" si="107">SUM(AG22:AG37)-3</f>
        <v>0</v>
      </c>
      <c r="AH38" s="597">
        <f t="shared" ref="AH38" si="108">SUM(AH22:AH37)-3</f>
        <v>0</v>
      </c>
      <c r="AI38" s="597">
        <f t="shared" ref="AI38" si="109">SUM(AI22:AI37)-3</f>
        <v>0</v>
      </c>
      <c r="AJ38" s="597">
        <f t="shared" ref="AJ38" si="110">SUM(AJ22:AJ37)-3</f>
        <v>0</v>
      </c>
      <c r="AK38" s="597">
        <f t="shared" ref="AK38" si="111">SUM(AK22:AK37)-3</f>
        <v>0</v>
      </c>
      <c r="AL38" s="597">
        <f t="shared" ref="AL38" si="112">SUM(AL22:AL37)-3</f>
        <v>0</v>
      </c>
      <c r="AM38" s="597">
        <f t="shared" ref="AM38" si="113">SUM(AM22:AM37)-3</f>
        <v>0</v>
      </c>
    </row>
    <row r="39" spans="1:39" ht="15.75" thickBot="1" x14ac:dyDescent="0.3">
      <c r="B39" t="s">
        <v>446</v>
      </c>
    </row>
    <row r="40" spans="1:39" x14ac:dyDescent="0.25">
      <c r="A40" s="591" t="s">
        <v>475</v>
      </c>
      <c r="B40" s="588" t="s">
        <v>266</v>
      </c>
      <c r="C40">
        <v>2201</v>
      </c>
      <c r="D40" s="404">
        <f>('Cibles THREEME'!$BV4+'Cibles THREEME'!$BV6)*11.64/D3</f>
        <v>3.3598361093746261E-2</v>
      </c>
      <c r="E40">
        <f>D40+($I40-$D40)/5</f>
        <v>3.1131842822573075E-2</v>
      </c>
      <c r="F40">
        <f t="shared" ref="F40:H40" si="114">E40+($I40-$D40)/5</f>
        <v>2.866532455139989E-2</v>
      </c>
      <c r="G40">
        <f t="shared" si="114"/>
        <v>2.6198806280226705E-2</v>
      </c>
      <c r="H40">
        <f t="shared" si="114"/>
        <v>2.3732288009053519E-2</v>
      </c>
      <c r="I40" s="404">
        <f>('Cibles THREEME'!$BW4+'Cibles THREEME'!$BW6)/I3</f>
        <v>2.1265769737880327E-2</v>
      </c>
      <c r="J40">
        <f>I40+($L40-$I40)/3</f>
        <v>2.5213645548493185E-2</v>
      </c>
      <c r="K40">
        <f>J40+($L40-$I40)/3</f>
        <v>2.9161521359106043E-2</v>
      </c>
      <c r="L40" s="404">
        <f>('Cibles THREEME'!$BX4+'Cibles THREEME'!$BX6)/L3</f>
        <v>3.3109397169718897E-2</v>
      </c>
      <c r="M40">
        <f>(L40+N40)/2</f>
        <v>4.0727030341051199E-2</v>
      </c>
      <c r="N40" s="404">
        <f>('Cibles THREEME'!$BY4+'Cibles THREEME'!$BY6)/N3</f>
        <v>4.8344663512383493E-2</v>
      </c>
      <c r="O40">
        <f>N40+($Q40-$N40)/3</f>
        <v>4.9451193555719773E-2</v>
      </c>
      <c r="P40">
        <f>O40+($Q40-$N40)/3</f>
        <v>5.0557723599056054E-2</v>
      </c>
      <c r="Q40" s="404">
        <f>('Cibles THREEME'!$BZ4+'Cibles THREEME'!$BZ6)/Q3</f>
        <v>5.1664253642392341E-2</v>
      </c>
      <c r="R40">
        <f>(Q40+S40)/2</f>
        <v>5.2955379815194992E-2</v>
      </c>
      <c r="S40" s="404">
        <f>('Cibles THREEME'!$CA4+'Cibles THREEME'!$CA6)/S3</f>
        <v>5.4246505987997636E-2</v>
      </c>
      <c r="T40">
        <f>S40+($V40-$S40)/3</f>
        <v>5.5335608485352572E-2</v>
      </c>
      <c r="U40">
        <f>T40+($V40-$S40)/3</f>
        <v>5.6424710982707509E-2</v>
      </c>
      <c r="V40" s="404">
        <f>('Cibles THREEME'!$CB4+'Cibles THREEME'!$CB6)/V3</f>
        <v>5.7513813480062438E-2</v>
      </c>
      <c r="W40">
        <f>V40+(X40-V40)/2</f>
        <v>5.8767271120508627E-2</v>
      </c>
      <c r="X40" s="404">
        <f>('Cibles THREEME'!$CC4+'Cibles THREEME'!$CC6)/X3</f>
        <v>6.0020728760954815E-2</v>
      </c>
      <c r="Y40">
        <f>X40+($AA40-$X40)/3</f>
        <v>6.1123086161304192E-2</v>
      </c>
      <c r="Z40">
        <f>Y40+($AA40-$X40)/3</f>
        <v>6.2225443561653569E-2</v>
      </c>
      <c r="AA40" s="404">
        <f>('Cibles THREEME'!$CD4+'Cibles THREEME'!$CD6)/AA3</f>
        <v>6.3327800962002953E-2</v>
      </c>
      <c r="AB40">
        <f>AA40+(AC40-AA40)/2</f>
        <v>6.4582889277443267E-2</v>
      </c>
      <c r="AC40" s="404">
        <f>('Cibles THREEME'!$CE4+'Cibles THREEME'!$CE6)/AC3</f>
        <v>6.5837977592883581E-2</v>
      </c>
      <c r="AD40">
        <f>AC40+($AH40-$AC40)/5</f>
        <v>6.663688481926601E-2</v>
      </c>
      <c r="AE40">
        <f t="shared" ref="AE40:AG40" si="115">AD40+($AH40-$AC40)/5</f>
        <v>6.7435792045648438E-2</v>
      </c>
      <c r="AF40">
        <f t="shared" si="115"/>
        <v>6.8234699272030866E-2</v>
      </c>
      <c r="AG40">
        <f t="shared" si="115"/>
        <v>6.9033606498413294E-2</v>
      </c>
      <c r="AH40" s="404">
        <f>('Cibles THREEME'!$CF4+'Cibles THREEME'!$CF6)/AH3</f>
        <v>6.9832513724795736E-2</v>
      </c>
      <c r="AI40">
        <f>AH40+($AM40-$AH40)/5</f>
        <v>7.0053281785874902E-2</v>
      </c>
      <c r="AJ40">
        <f t="shared" ref="AJ40:AL40" si="116">AI40+($AM40-$AH40)/5</f>
        <v>7.0274049846954068E-2</v>
      </c>
      <c r="AK40">
        <f t="shared" si="116"/>
        <v>7.0494817908033233E-2</v>
      </c>
      <c r="AL40">
        <f t="shared" si="116"/>
        <v>7.0715585969112399E-2</v>
      </c>
      <c r="AM40" s="404">
        <f>('Cibles THREEME'!$CG4+'Cibles THREEME'!$CG6)/AM3</f>
        <v>7.0936354030191565E-2</v>
      </c>
    </row>
    <row r="41" spans="1:39" ht="15.75" thickBot="1" x14ac:dyDescent="0.3">
      <c r="A41" s="592"/>
      <c r="B41" s="590" t="s">
        <v>343</v>
      </c>
      <c r="C41">
        <v>2202</v>
      </c>
      <c r="D41" s="404">
        <f>('Cibles THREEME'!$BV5+'Cibles THREEME'!$BV7)*11.64/D4</f>
        <v>0</v>
      </c>
      <c r="E41">
        <f t="shared" ref="E41:H56" si="117">D41+($I41-$D41)/5</f>
        <v>0</v>
      </c>
      <c r="F41">
        <f t="shared" si="117"/>
        <v>0</v>
      </c>
      <c r="G41">
        <f t="shared" si="117"/>
        <v>0</v>
      </c>
      <c r="H41">
        <f t="shared" si="117"/>
        <v>0</v>
      </c>
      <c r="I41" s="404">
        <f>('Cibles THREEME'!$BW5+'Cibles THREEME'!$BW7)/I4</f>
        <v>0</v>
      </c>
      <c r="J41">
        <f t="shared" ref="J41:K56" si="118">I41+($L41-$I41)/3</f>
        <v>0</v>
      </c>
      <c r="K41">
        <f t="shared" si="118"/>
        <v>0</v>
      </c>
      <c r="L41" s="404">
        <f>('Cibles THREEME'!$BX5+'Cibles THREEME'!$BX7)/L4</f>
        <v>0</v>
      </c>
      <c r="M41">
        <f t="shared" ref="M41:M56" si="119">(L41+N41)/2</f>
        <v>0</v>
      </c>
      <c r="N41" s="404">
        <f>('Cibles THREEME'!$BY5+'Cibles THREEME'!$BY7)/N4</f>
        <v>0</v>
      </c>
      <c r="O41">
        <f t="shared" ref="O41:P56" si="120">N41+($Q41-$N41)/3</f>
        <v>0</v>
      </c>
      <c r="P41">
        <f t="shared" si="120"/>
        <v>0</v>
      </c>
      <c r="Q41" s="404">
        <f>('Cibles THREEME'!$BZ5+'Cibles THREEME'!$BZ7)/Q4</f>
        <v>0</v>
      </c>
      <c r="R41">
        <f t="shared" ref="R41:R56" si="121">(Q41+S41)/2</f>
        <v>0</v>
      </c>
      <c r="S41" s="404">
        <f>('Cibles THREEME'!$CA5+'Cibles THREEME'!$CA7)/S4</f>
        <v>0</v>
      </c>
      <c r="T41">
        <f t="shared" ref="T41:U41" si="122">S41+($V41-$S41)/3</f>
        <v>0</v>
      </c>
      <c r="U41">
        <f t="shared" si="122"/>
        <v>0</v>
      </c>
      <c r="V41" s="404">
        <f>('Cibles THREEME'!$CB5+'Cibles THREEME'!$CB7)/V4</f>
        <v>0</v>
      </c>
      <c r="W41">
        <f t="shared" ref="W41:W56" si="123">V41+(X41-V41)/2</f>
        <v>0</v>
      </c>
      <c r="X41" s="404">
        <f>('Cibles THREEME'!$CC5+'Cibles THREEME'!$CC7)/X4</f>
        <v>0</v>
      </c>
      <c r="Y41">
        <f t="shared" ref="Y41:Z56" si="124">X41+($AA41-$X41)/3</f>
        <v>0</v>
      </c>
      <c r="Z41">
        <f t="shared" si="124"/>
        <v>0</v>
      </c>
      <c r="AA41" s="404">
        <f>('Cibles THREEME'!$CD5+'Cibles THREEME'!$CD7)/AA4</f>
        <v>0</v>
      </c>
      <c r="AB41">
        <f t="shared" ref="AB41:AB56" si="125">AA41+(AC41-AA41)/2</f>
        <v>0</v>
      </c>
      <c r="AC41" s="404">
        <f>('Cibles THREEME'!$CE5+'Cibles THREEME'!$CE7)/AC4</f>
        <v>0</v>
      </c>
      <c r="AD41">
        <f t="shared" ref="AD41:AG56" si="126">AC41+($AH41-$AC41)/5</f>
        <v>0</v>
      </c>
      <c r="AE41">
        <f t="shared" si="126"/>
        <v>0</v>
      </c>
      <c r="AF41">
        <f t="shared" si="126"/>
        <v>0</v>
      </c>
      <c r="AG41">
        <f t="shared" si="126"/>
        <v>0</v>
      </c>
      <c r="AH41" s="404">
        <f>('Cibles THREEME'!$CF5+'Cibles THREEME'!$CF7)/AH4</f>
        <v>0</v>
      </c>
      <c r="AI41">
        <f t="shared" ref="AI41:AL56" si="127">AH41+($AM41-$AH41)/5</f>
        <v>0</v>
      </c>
      <c r="AJ41">
        <f t="shared" si="127"/>
        <v>0</v>
      </c>
      <c r="AK41">
        <f t="shared" si="127"/>
        <v>0</v>
      </c>
      <c r="AL41">
        <f t="shared" si="127"/>
        <v>0</v>
      </c>
      <c r="AM41" s="404">
        <f>('Cibles THREEME'!$CG5+'Cibles THREEME'!$CG7)/AM4</f>
        <v>0</v>
      </c>
    </row>
    <row r="42" spans="1:39" x14ac:dyDescent="0.25">
      <c r="A42" s="591"/>
      <c r="B42" s="588" t="s">
        <v>20</v>
      </c>
      <c r="C42">
        <v>2301</v>
      </c>
      <c r="D42">
        <f>'Cibles THREEME'!$BV8*11.64/D5</f>
        <v>2.6091412878646998</v>
      </c>
      <c r="E42">
        <f t="shared" si="117"/>
        <v>2.6088523069837755</v>
      </c>
      <c r="F42">
        <f t="shared" si="117"/>
        <v>2.6085633261028511</v>
      </c>
      <c r="G42">
        <f t="shared" si="117"/>
        <v>2.6082743452219268</v>
      </c>
      <c r="H42">
        <f t="shared" si="117"/>
        <v>2.6079853643410025</v>
      </c>
      <c r="I42">
        <f>'Cibles THREEME'!$BW8/I5</f>
        <v>2.6076963834600786</v>
      </c>
      <c r="J42">
        <f t="shared" si="118"/>
        <v>2.6105405591587845</v>
      </c>
      <c r="K42">
        <f t="shared" si="118"/>
        <v>2.6133847348574903</v>
      </c>
      <c r="L42">
        <f>'Cibles THREEME'!$BX8/L5</f>
        <v>2.6162289105561967</v>
      </c>
      <c r="M42">
        <f t="shared" si="119"/>
        <v>2.6789699357413119</v>
      </c>
      <c r="N42">
        <f>'Cibles THREEME'!$BY8/N5</f>
        <v>2.7417109609264272</v>
      </c>
      <c r="O42">
        <f t="shared" si="120"/>
        <v>2.7533578669545142</v>
      </c>
      <c r="P42">
        <f t="shared" si="120"/>
        <v>2.7650047729826013</v>
      </c>
      <c r="Q42">
        <f>'Cibles THREEME'!$BZ8/Q5</f>
        <v>2.7766516790106883</v>
      </c>
      <c r="R42">
        <f t="shared" si="121"/>
        <v>2.7818074834395139</v>
      </c>
      <c r="S42">
        <f>'Cibles THREEME'!$CA8/S5</f>
        <v>2.7869632878683399</v>
      </c>
      <c r="T42">
        <f t="shared" ref="T42:U42" si="128">S42+($V42-$S42)/3</f>
        <v>2.7574133961564926</v>
      </c>
      <c r="U42">
        <f t="shared" si="128"/>
        <v>2.7278635044446453</v>
      </c>
      <c r="V42">
        <f>'Cibles THREEME'!$CB8/V5</f>
        <v>2.6983136127327985</v>
      </c>
      <c r="W42">
        <f t="shared" si="123"/>
        <v>2.6707245476399804</v>
      </c>
      <c r="X42">
        <f>'Cibles THREEME'!$CC8/X5</f>
        <v>2.6431354825471627</v>
      </c>
      <c r="Y42">
        <f t="shared" si="124"/>
        <v>2.6274921686320662</v>
      </c>
      <c r="Z42">
        <f t="shared" si="124"/>
        <v>2.6118488547169698</v>
      </c>
      <c r="AA42">
        <f>'Cibles THREEME'!$CD8/AA5</f>
        <v>2.5962055408018738</v>
      </c>
      <c r="AB42">
        <f t="shared" si="125"/>
        <v>2.5828111371897062</v>
      </c>
      <c r="AC42">
        <f>'Cibles THREEME'!$CE8/AC5</f>
        <v>2.5694167335775391</v>
      </c>
      <c r="AD42">
        <f t="shared" si="126"/>
        <v>2.554806742686659</v>
      </c>
      <c r="AE42">
        <f t="shared" si="126"/>
        <v>2.5401967517957789</v>
      </c>
      <c r="AF42">
        <f t="shared" si="126"/>
        <v>2.5255867609048988</v>
      </c>
      <c r="AG42">
        <f t="shared" si="126"/>
        <v>2.5109767700140186</v>
      </c>
      <c r="AH42">
        <f>'Cibles THREEME'!$CF8/AH5</f>
        <v>2.4963667791231394</v>
      </c>
      <c r="AI42">
        <f t="shared" si="127"/>
        <v>2.4941366395601339</v>
      </c>
      <c r="AJ42">
        <f t="shared" si="127"/>
        <v>2.4919064999971283</v>
      </c>
      <c r="AK42">
        <f t="shared" si="127"/>
        <v>2.4896763604341228</v>
      </c>
      <c r="AL42">
        <f t="shared" si="127"/>
        <v>2.4874462208711172</v>
      </c>
      <c r="AM42">
        <f>'Cibles THREEME'!$CG8/AM5</f>
        <v>2.4852160813081112</v>
      </c>
    </row>
    <row r="43" spans="1:39" x14ac:dyDescent="0.25">
      <c r="A43" s="593"/>
      <c r="B43" s="589" t="s">
        <v>224</v>
      </c>
      <c r="C43">
        <f>C42+1</f>
        <v>2302</v>
      </c>
      <c r="D43">
        <f>'Cibles THREEME'!$BV9*11.64/D6</f>
        <v>1.7578308990233045</v>
      </c>
      <c r="E43">
        <f t="shared" si="117"/>
        <v>1.7480279045538702</v>
      </c>
      <c r="F43">
        <f t="shared" si="117"/>
        <v>1.738224910084436</v>
      </c>
      <c r="G43">
        <f t="shared" si="117"/>
        <v>1.7284219156150018</v>
      </c>
      <c r="H43">
        <f t="shared" si="117"/>
        <v>1.7186189211455676</v>
      </c>
      <c r="I43">
        <f>'Cibles THREEME'!$BW9/I6</f>
        <v>1.7088159266761329</v>
      </c>
      <c r="J43">
        <f t="shared" si="118"/>
        <v>1.7451740731762897</v>
      </c>
      <c r="K43">
        <f t="shared" si="118"/>
        <v>1.7815322196764465</v>
      </c>
      <c r="L43">
        <f>'Cibles THREEME'!$BX9/L6</f>
        <v>1.8178903661766033</v>
      </c>
      <c r="M43">
        <f t="shared" si="119"/>
        <v>1.7905450580564892</v>
      </c>
      <c r="N43">
        <f>'Cibles THREEME'!$BY9/N6</f>
        <v>1.7631997499363754</v>
      </c>
      <c r="O43">
        <f t="shared" si="120"/>
        <v>1.7671109405619922</v>
      </c>
      <c r="P43">
        <f t="shared" si="120"/>
        <v>1.7710221311876091</v>
      </c>
      <c r="Q43">
        <f>'Cibles THREEME'!$BZ9/Q6</f>
        <v>1.7749333218132259</v>
      </c>
      <c r="R43">
        <f t="shared" si="121"/>
        <v>1.7748065245293088</v>
      </c>
      <c r="S43">
        <f>'Cibles THREEME'!$CA9/S6</f>
        <v>1.7746797272453914</v>
      </c>
      <c r="T43">
        <f t="shared" ref="T43:U43" si="129">S43+($V43-$S43)/3</f>
        <v>1.7550833753478967</v>
      </c>
      <c r="U43">
        <f t="shared" si="129"/>
        <v>1.7354870234504021</v>
      </c>
      <c r="V43">
        <f>'Cibles THREEME'!$CB9/V6</f>
        <v>1.7158906715529072</v>
      </c>
      <c r="W43">
        <f t="shared" si="123"/>
        <v>1.6975347150487234</v>
      </c>
      <c r="X43">
        <f>'Cibles THREEME'!$CC9/X6</f>
        <v>1.6791787585445395</v>
      </c>
      <c r="Y43">
        <f t="shared" si="124"/>
        <v>1.6634437830301896</v>
      </c>
      <c r="Z43">
        <f t="shared" si="124"/>
        <v>1.6477088075158397</v>
      </c>
      <c r="AA43">
        <f>'Cibles THREEME'!$CD9/AA6</f>
        <v>1.6319738320014898</v>
      </c>
      <c r="AB43">
        <f t="shared" si="125"/>
        <v>1.6171813219305957</v>
      </c>
      <c r="AC43">
        <f>'Cibles THREEME'!$CE9/AC6</f>
        <v>1.6023888118597016</v>
      </c>
      <c r="AD43">
        <f t="shared" si="126"/>
        <v>1.5914354702302731</v>
      </c>
      <c r="AE43">
        <f t="shared" si="126"/>
        <v>1.5804821286008446</v>
      </c>
      <c r="AF43">
        <f t="shared" si="126"/>
        <v>1.5695287869714161</v>
      </c>
      <c r="AG43">
        <f t="shared" si="126"/>
        <v>1.5585754453419876</v>
      </c>
      <c r="AH43">
        <f>'Cibles THREEME'!$CF9/AH6</f>
        <v>1.5476221037125595</v>
      </c>
      <c r="AI43">
        <f t="shared" si="127"/>
        <v>1.543264080997321</v>
      </c>
      <c r="AJ43">
        <f t="shared" si="127"/>
        <v>1.5389060582820826</v>
      </c>
      <c r="AK43">
        <f t="shared" si="127"/>
        <v>1.5345480355668442</v>
      </c>
      <c r="AL43">
        <f t="shared" si="127"/>
        <v>1.5301900128516057</v>
      </c>
      <c r="AM43">
        <f>'Cibles THREEME'!$CG9/AM6</f>
        <v>1.5258319901363677</v>
      </c>
    </row>
    <row r="44" spans="1:39" x14ac:dyDescent="0.25">
      <c r="A44" s="593"/>
      <c r="B44" s="589" t="s">
        <v>32</v>
      </c>
      <c r="C44">
        <f t="shared" ref="C44:C49" si="130">C43+1</f>
        <v>2303</v>
      </c>
      <c r="D44">
        <f>('Cibles THREEME'!$BV10+'Cibles THREEME'!$BV12)*11.64/D7</f>
        <v>1.2659435231846792</v>
      </c>
      <c r="E44">
        <f t="shared" si="117"/>
        <v>1.2594808997549387</v>
      </c>
      <c r="F44">
        <f t="shared" si="117"/>
        <v>1.2530182763251982</v>
      </c>
      <c r="G44">
        <f t="shared" si="117"/>
        <v>1.2465556528954578</v>
      </c>
      <c r="H44">
        <f t="shared" si="117"/>
        <v>1.2400930294657173</v>
      </c>
      <c r="I44">
        <f>('Cibles THREEME'!$BW10+'Cibles THREEME'!$BW12)/I7</f>
        <v>1.2336304060359773</v>
      </c>
      <c r="J44">
        <f t="shared" si="118"/>
        <v>1.2399413979860165</v>
      </c>
      <c r="K44">
        <f t="shared" si="118"/>
        <v>1.2462523899360558</v>
      </c>
      <c r="L44">
        <f>('Cibles THREEME'!$BX10+'Cibles THREEME'!$BX12)/L7</f>
        <v>1.2525633818860951</v>
      </c>
      <c r="M44">
        <f t="shared" si="119"/>
        <v>1.2531646595660502</v>
      </c>
      <c r="N44">
        <f>('Cibles THREEME'!$BY10+'Cibles THREEME'!$BY12)/N7</f>
        <v>1.253765937246005</v>
      </c>
      <c r="O44">
        <f t="shared" si="120"/>
        <v>1.2377498477591893</v>
      </c>
      <c r="P44">
        <f t="shared" si="120"/>
        <v>1.2217337582723735</v>
      </c>
      <c r="Q44">
        <f>('Cibles THREEME'!$BZ10+'Cibles THREEME'!$BZ12)/Q7</f>
        <v>1.2057176687855575</v>
      </c>
      <c r="R44">
        <f t="shared" si="121"/>
        <v>1.1875451285040652</v>
      </c>
      <c r="S44">
        <f>('Cibles THREEME'!$CA10+'Cibles THREEME'!$CA12)/S7</f>
        <v>1.169372588222573</v>
      </c>
      <c r="T44">
        <f t="shared" ref="T44:U44" si="131">S44+($V44-$S44)/3</f>
        <v>1.1455045955359457</v>
      </c>
      <c r="U44">
        <f t="shared" si="131"/>
        <v>1.1216366028493185</v>
      </c>
      <c r="V44">
        <f>('Cibles THREEME'!$CB10+'Cibles THREEME'!$CB12)/V7</f>
        <v>1.0977686101626911</v>
      </c>
      <c r="W44">
        <f t="shared" si="123"/>
        <v>1.0754961149223563</v>
      </c>
      <c r="X44">
        <f>('Cibles THREEME'!$CC10+'Cibles THREEME'!$CC12)/X7</f>
        <v>1.0532236196820217</v>
      </c>
      <c r="Y44">
        <f t="shared" si="124"/>
        <v>1.0333012581133358</v>
      </c>
      <c r="Z44">
        <f t="shared" si="124"/>
        <v>1.01337889654465</v>
      </c>
      <c r="AA44">
        <f>('Cibles THREEME'!$CD10+'Cibles THREEME'!$CD12)/AA7</f>
        <v>0.99345653497596398</v>
      </c>
      <c r="AB44">
        <f t="shared" si="125"/>
        <v>0.97475283454424733</v>
      </c>
      <c r="AC44">
        <f>('Cibles THREEME'!$CE10+'Cibles THREEME'!$CE12)/AC7</f>
        <v>0.95604913411253067</v>
      </c>
      <c r="AD44">
        <f t="shared" si="126"/>
        <v>0.94036970359640981</v>
      </c>
      <c r="AE44">
        <f t="shared" si="126"/>
        <v>0.92469027308028895</v>
      </c>
      <c r="AF44">
        <f t="shared" si="126"/>
        <v>0.90901084256416809</v>
      </c>
      <c r="AG44">
        <f t="shared" si="126"/>
        <v>0.89333141204804722</v>
      </c>
      <c r="AH44">
        <f>('Cibles THREEME'!$CF10+'Cibles THREEME'!$CF12)/AH7</f>
        <v>0.87765198153192625</v>
      </c>
      <c r="AI44">
        <f t="shared" si="127"/>
        <v>0.86656274722911919</v>
      </c>
      <c r="AJ44">
        <f t="shared" si="127"/>
        <v>0.85547351292631213</v>
      </c>
      <c r="AK44">
        <f t="shared" si="127"/>
        <v>0.84438427862350507</v>
      </c>
      <c r="AL44">
        <f t="shared" si="127"/>
        <v>0.83329504432069801</v>
      </c>
      <c r="AM44">
        <f>('Cibles THREEME'!$CG10+'Cibles THREEME'!$CG12)/AM7</f>
        <v>0.82220581001789095</v>
      </c>
    </row>
    <row r="45" spans="1:39" x14ac:dyDescent="0.25">
      <c r="A45" s="593" t="s">
        <v>104</v>
      </c>
      <c r="B45" s="589" t="s">
        <v>42</v>
      </c>
      <c r="C45">
        <f t="shared" si="130"/>
        <v>2304</v>
      </c>
      <c r="D45">
        <f>'Cibles THREEME'!$BV11*11.64/D8</f>
        <v>2.9105546410597891</v>
      </c>
      <c r="E45">
        <f t="shared" si="117"/>
        <v>2.8929235843269119</v>
      </c>
      <c r="F45">
        <f t="shared" si="117"/>
        <v>2.8752925275940346</v>
      </c>
      <c r="G45">
        <f t="shared" si="117"/>
        <v>2.8576614708611574</v>
      </c>
      <c r="H45">
        <f t="shared" si="117"/>
        <v>2.8400304141282802</v>
      </c>
      <c r="I45">
        <f>'Cibles THREEME'!$BW11/I8</f>
        <v>2.8223993573954025</v>
      </c>
      <c r="J45">
        <f t="shared" si="118"/>
        <v>2.8363363927753724</v>
      </c>
      <c r="K45">
        <f t="shared" si="118"/>
        <v>2.8502734281553423</v>
      </c>
      <c r="L45">
        <f>'Cibles THREEME'!$BX11/L8</f>
        <v>2.8642104635353127</v>
      </c>
      <c r="M45">
        <f t="shared" si="119"/>
        <v>2.8884344886678113</v>
      </c>
      <c r="N45">
        <f>'Cibles THREEME'!$BY11/N8</f>
        <v>2.9126585138003094</v>
      </c>
      <c r="O45">
        <f t="shared" si="120"/>
        <v>2.919718788856005</v>
      </c>
      <c r="P45">
        <f t="shared" si="120"/>
        <v>2.9267790639117006</v>
      </c>
      <c r="Q45">
        <f>'Cibles THREEME'!$BZ11/Q8</f>
        <v>2.9338393389673967</v>
      </c>
      <c r="R45">
        <f t="shared" si="121"/>
        <v>2.9340726998267095</v>
      </c>
      <c r="S45">
        <f>'Cibles THREEME'!$CA11/S8</f>
        <v>2.9343060606860223</v>
      </c>
      <c r="T45">
        <f t="shared" ref="T45:U45" si="132">S45+($V45-$S45)/3</f>
        <v>2.9027369700162109</v>
      </c>
      <c r="U45">
        <f t="shared" si="132"/>
        <v>2.8711678793463995</v>
      </c>
      <c r="V45">
        <f>'Cibles THREEME'!$CB11/V8</f>
        <v>2.8395987886765885</v>
      </c>
      <c r="W45">
        <f t="shared" si="123"/>
        <v>2.8100340527469512</v>
      </c>
      <c r="X45">
        <f>'Cibles THREEME'!$CC11/X8</f>
        <v>2.7804693168173138</v>
      </c>
      <c r="Y45">
        <f t="shared" si="124"/>
        <v>2.7552026385536283</v>
      </c>
      <c r="Z45">
        <f t="shared" si="124"/>
        <v>2.7299359602899429</v>
      </c>
      <c r="AA45">
        <f>'Cibles THREEME'!$CD11/AA8</f>
        <v>2.704669282026257</v>
      </c>
      <c r="AB45">
        <f t="shared" si="125"/>
        <v>2.6809254536872169</v>
      </c>
      <c r="AC45">
        <f>'Cibles THREEME'!$CE11/AC8</f>
        <v>2.6571816253481764</v>
      </c>
      <c r="AD45">
        <f t="shared" si="126"/>
        <v>2.6397604157389303</v>
      </c>
      <c r="AE45">
        <f t="shared" si="126"/>
        <v>2.6223392061296842</v>
      </c>
      <c r="AF45">
        <f t="shared" si="126"/>
        <v>2.6049179965204381</v>
      </c>
      <c r="AG45">
        <f t="shared" si="126"/>
        <v>2.587496786911192</v>
      </c>
      <c r="AH45">
        <f>'Cibles THREEME'!$CF11/AH8</f>
        <v>2.5700755773019459</v>
      </c>
      <c r="AI45">
        <f t="shared" si="127"/>
        <v>2.5634242390408777</v>
      </c>
      <c r="AJ45">
        <f t="shared" si="127"/>
        <v>2.5567729007798095</v>
      </c>
      <c r="AK45">
        <f t="shared" si="127"/>
        <v>2.5501215625187412</v>
      </c>
      <c r="AL45">
        <f t="shared" si="127"/>
        <v>2.543470224257673</v>
      </c>
      <c r="AM45">
        <f>'Cibles THREEME'!$CG11/AM8</f>
        <v>2.5368188859966052</v>
      </c>
    </row>
    <row r="46" spans="1:39" x14ac:dyDescent="0.25">
      <c r="A46" s="593"/>
      <c r="B46" s="589" t="s">
        <v>473</v>
      </c>
      <c r="C46">
        <f t="shared" si="130"/>
        <v>2305</v>
      </c>
      <c r="D46">
        <f>'Cibles THREEME'!$BV13*11.64/D9</f>
        <v>7.3059440569521336E-2</v>
      </c>
      <c r="E46">
        <f t="shared" si="117"/>
        <v>7.4697605326275937E-2</v>
      </c>
      <c r="F46">
        <f t="shared" si="117"/>
        <v>7.6335770083030538E-2</v>
      </c>
      <c r="G46">
        <f t="shared" si="117"/>
        <v>7.7973934839785139E-2</v>
      </c>
      <c r="H46">
        <f t="shared" si="117"/>
        <v>7.961209959653974E-2</v>
      </c>
      <c r="I46">
        <f>'Cibles THREEME'!$BW13/I9</f>
        <v>8.1250264353294369E-2</v>
      </c>
      <c r="J46">
        <f t="shared" si="118"/>
        <v>8.2029866102925605E-2</v>
      </c>
      <c r="K46">
        <f t="shared" si="118"/>
        <v>8.2809467852556842E-2</v>
      </c>
      <c r="L46">
        <f>'Cibles THREEME'!$BX13/L9</f>
        <v>8.3589069602188093E-2</v>
      </c>
      <c r="M46">
        <f t="shared" si="119"/>
        <v>8.3394656399827544E-2</v>
      </c>
      <c r="N46">
        <f>'Cibles THREEME'!$BY13/N9</f>
        <v>8.320024319746698E-2</v>
      </c>
      <c r="O46">
        <f t="shared" si="120"/>
        <v>8.2508867419197815E-2</v>
      </c>
      <c r="P46">
        <f t="shared" si="120"/>
        <v>8.181749164092865E-2</v>
      </c>
      <c r="Q46">
        <f>'Cibles THREEME'!$BZ13/Q9</f>
        <v>8.1126115862659484E-2</v>
      </c>
      <c r="R46">
        <f t="shared" si="121"/>
        <v>8.0472926922080912E-2</v>
      </c>
      <c r="S46">
        <f>'Cibles THREEME'!$CA13/S9</f>
        <v>7.9819737981502326E-2</v>
      </c>
      <c r="T46">
        <f t="shared" ref="T46:U46" si="133">S46+($V46-$S46)/3</f>
        <v>7.7722226289628868E-2</v>
      </c>
      <c r="U46">
        <f t="shared" si="133"/>
        <v>7.562471459775541E-2</v>
      </c>
      <c r="V46">
        <f>'Cibles THREEME'!$CB13/V9</f>
        <v>7.3527202905881953E-2</v>
      </c>
      <c r="W46">
        <f t="shared" si="123"/>
        <v>7.1553516473402717E-2</v>
      </c>
      <c r="X46">
        <f>'Cibles THREEME'!$CC13/X9</f>
        <v>6.9579830040923468E-2</v>
      </c>
      <c r="Y46">
        <f t="shared" si="124"/>
        <v>6.7775981436631036E-2</v>
      </c>
      <c r="Z46">
        <f t="shared" si="124"/>
        <v>6.5972132832338604E-2</v>
      </c>
      <c r="AA46">
        <f>'Cibles THREEME'!$CD13/AA9</f>
        <v>6.4168284228046185E-2</v>
      </c>
      <c r="AB46">
        <f t="shared" si="125"/>
        <v>6.2458636063914275E-2</v>
      </c>
      <c r="AC46">
        <f>'Cibles THREEME'!$CE13/AC9</f>
        <v>6.0748987899782357E-2</v>
      </c>
      <c r="AD46">
        <f t="shared" si="126"/>
        <v>5.9248804014977459E-2</v>
      </c>
      <c r="AE46">
        <f t="shared" si="126"/>
        <v>5.7748620130172561E-2</v>
      </c>
      <c r="AF46">
        <f t="shared" si="126"/>
        <v>5.6248436245367663E-2</v>
      </c>
      <c r="AG46">
        <f t="shared" si="126"/>
        <v>5.4748252360562764E-2</v>
      </c>
      <c r="AH46">
        <f>'Cibles THREEME'!$CF13/AH9</f>
        <v>5.3248068475757866E-2</v>
      </c>
      <c r="AI46">
        <f t="shared" si="127"/>
        <v>5.2241857158119694E-2</v>
      </c>
      <c r="AJ46">
        <f t="shared" si="127"/>
        <v>5.1235645840481521E-2</v>
      </c>
      <c r="AK46">
        <f t="shared" si="127"/>
        <v>5.0229434522843348E-2</v>
      </c>
      <c r="AL46">
        <f t="shared" si="127"/>
        <v>4.9223223205205176E-2</v>
      </c>
      <c r="AM46">
        <f>'Cibles THREEME'!$CG13/AM9</f>
        <v>4.8217011887567003E-2</v>
      </c>
    </row>
    <row r="47" spans="1:39" x14ac:dyDescent="0.25">
      <c r="A47" s="593"/>
      <c r="B47" s="589" t="s">
        <v>279</v>
      </c>
      <c r="C47">
        <f t="shared" si="130"/>
        <v>2306</v>
      </c>
      <c r="D47">
        <f>'Cibles THREEME'!$BV14*11.64/D10</f>
        <v>7.305944056952135E-2</v>
      </c>
      <c r="E47">
        <f t="shared" si="117"/>
        <v>7.4697605326275951E-2</v>
      </c>
      <c r="F47">
        <f t="shared" si="117"/>
        <v>7.6335770083030552E-2</v>
      </c>
      <c r="G47">
        <f t="shared" si="117"/>
        <v>7.7973934839785153E-2</v>
      </c>
      <c r="H47">
        <f t="shared" si="117"/>
        <v>7.9612099596539754E-2</v>
      </c>
      <c r="I47">
        <f>'Cibles THREEME'!$BW14/I10</f>
        <v>8.1250264353294355E-2</v>
      </c>
      <c r="J47">
        <f t="shared" si="118"/>
        <v>8.2029866102925605E-2</v>
      </c>
      <c r="K47">
        <f t="shared" si="118"/>
        <v>8.2809467852556856E-2</v>
      </c>
      <c r="L47">
        <f>'Cibles THREEME'!$BX14/L10</f>
        <v>8.3589069602188093E-2</v>
      </c>
      <c r="M47">
        <f t="shared" si="119"/>
        <v>8.3394656399827544E-2</v>
      </c>
      <c r="N47">
        <f>'Cibles THREEME'!$BY14/N10</f>
        <v>8.320024319746698E-2</v>
      </c>
      <c r="O47">
        <f t="shared" si="120"/>
        <v>8.2508867419197815E-2</v>
      </c>
      <c r="P47">
        <f t="shared" si="120"/>
        <v>8.181749164092865E-2</v>
      </c>
      <c r="Q47">
        <f>'Cibles THREEME'!$BZ14/Q10</f>
        <v>8.1126115862659498E-2</v>
      </c>
      <c r="R47">
        <f t="shared" si="121"/>
        <v>8.0472926922080926E-2</v>
      </c>
      <c r="S47">
        <f>'Cibles THREEME'!$CA14/S10</f>
        <v>7.9819737981502353E-2</v>
      </c>
      <c r="T47">
        <f t="shared" ref="T47:U47" si="134">S47+($V47-$S47)/3</f>
        <v>7.7722226289628882E-2</v>
      </c>
      <c r="U47">
        <f t="shared" si="134"/>
        <v>7.562471459775541E-2</v>
      </c>
      <c r="V47">
        <f>'Cibles THREEME'!$CB14/V10</f>
        <v>7.3527202905881953E-2</v>
      </c>
      <c r="W47">
        <f t="shared" si="123"/>
        <v>7.1553516473402717E-2</v>
      </c>
      <c r="X47">
        <f>'Cibles THREEME'!$CC14/X10</f>
        <v>6.9579830040923468E-2</v>
      </c>
      <c r="Y47">
        <f t="shared" si="124"/>
        <v>6.777598143663105E-2</v>
      </c>
      <c r="Z47">
        <f t="shared" si="124"/>
        <v>6.5972132832338631E-2</v>
      </c>
      <c r="AA47">
        <f>'Cibles THREEME'!$CD14/AA10</f>
        <v>6.4168284228046199E-2</v>
      </c>
      <c r="AB47">
        <f t="shared" si="125"/>
        <v>6.2458636063914282E-2</v>
      </c>
      <c r="AC47">
        <f>'Cibles THREEME'!$CE14/AC10</f>
        <v>6.0748987899782364E-2</v>
      </c>
      <c r="AD47">
        <f t="shared" si="126"/>
        <v>5.9248804014977466E-2</v>
      </c>
      <c r="AE47">
        <f t="shared" si="126"/>
        <v>5.7748620130172568E-2</v>
      </c>
      <c r="AF47">
        <f t="shared" si="126"/>
        <v>5.624843624536767E-2</v>
      </c>
      <c r="AG47">
        <f t="shared" si="126"/>
        <v>5.4748252360562771E-2</v>
      </c>
      <c r="AH47">
        <f>'Cibles THREEME'!$CF14/AH10</f>
        <v>5.3248068475757866E-2</v>
      </c>
      <c r="AI47">
        <f t="shared" si="127"/>
        <v>5.2241857158119694E-2</v>
      </c>
      <c r="AJ47">
        <f t="shared" si="127"/>
        <v>5.1235645840481521E-2</v>
      </c>
      <c r="AK47">
        <f t="shared" si="127"/>
        <v>5.0229434522843348E-2</v>
      </c>
      <c r="AL47">
        <f t="shared" si="127"/>
        <v>4.9223223205205176E-2</v>
      </c>
      <c r="AM47">
        <f>'Cibles THREEME'!$CG14/AM10</f>
        <v>4.8217011887567003E-2</v>
      </c>
    </row>
    <row r="48" spans="1:39" x14ac:dyDescent="0.25">
      <c r="A48" s="593"/>
      <c r="B48" s="589" t="s">
        <v>18</v>
      </c>
      <c r="C48">
        <f t="shared" si="130"/>
        <v>2307</v>
      </c>
      <c r="D48">
        <f>'Cibles THREEME'!$BV15*11.64/D11</f>
        <v>7.305944056952135E-2</v>
      </c>
      <c r="E48">
        <f t="shared" si="117"/>
        <v>7.4697605326275951E-2</v>
      </c>
      <c r="F48">
        <f t="shared" si="117"/>
        <v>7.6335770083030552E-2</v>
      </c>
      <c r="G48">
        <f t="shared" si="117"/>
        <v>7.7973934839785153E-2</v>
      </c>
      <c r="H48">
        <f t="shared" si="117"/>
        <v>7.9612099596539754E-2</v>
      </c>
      <c r="I48">
        <f>'Cibles THREEME'!$BW15/I11</f>
        <v>8.1250264353294341E-2</v>
      </c>
      <c r="J48">
        <f t="shared" si="118"/>
        <v>8.2029866102925592E-2</v>
      </c>
      <c r="K48">
        <f t="shared" si="118"/>
        <v>8.2809467852556842E-2</v>
      </c>
      <c r="L48">
        <f>'Cibles THREEME'!$BX15/L11</f>
        <v>8.3589069602188079E-2</v>
      </c>
      <c r="M48">
        <f t="shared" si="119"/>
        <v>8.3394656399827544E-2</v>
      </c>
      <c r="N48">
        <f>'Cibles THREEME'!$BY15/N11</f>
        <v>8.3200243197466994E-2</v>
      </c>
      <c r="O48">
        <f t="shared" si="120"/>
        <v>8.2508867419197829E-2</v>
      </c>
      <c r="P48">
        <f t="shared" si="120"/>
        <v>8.1817491640928663E-2</v>
      </c>
      <c r="Q48">
        <f>'Cibles THREEME'!$BZ15/Q11</f>
        <v>8.1126115862659484E-2</v>
      </c>
      <c r="R48">
        <f t="shared" si="121"/>
        <v>8.0472926922080912E-2</v>
      </c>
      <c r="S48">
        <f>'Cibles THREEME'!$CA15/S11</f>
        <v>7.9819737981502326E-2</v>
      </c>
      <c r="T48">
        <f t="shared" ref="T48:U48" si="135">S48+($V48-$S48)/3</f>
        <v>7.7722226289628868E-2</v>
      </c>
      <c r="U48">
        <f t="shared" si="135"/>
        <v>7.562471459775541E-2</v>
      </c>
      <c r="V48">
        <f>'Cibles THREEME'!$CB15/V11</f>
        <v>7.3527202905881939E-2</v>
      </c>
      <c r="W48">
        <f t="shared" si="123"/>
        <v>7.1553516473402703E-2</v>
      </c>
      <c r="X48">
        <f>'Cibles THREEME'!$CC15/X11</f>
        <v>6.9579830040923468E-2</v>
      </c>
      <c r="Y48">
        <f t="shared" si="124"/>
        <v>6.777598143663105E-2</v>
      </c>
      <c r="Z48">
        <f t="shared" si="124"/>
        <v>6.5972132832338631E-2</v>
      </c>
      <c r="AA48">
        <f>'Cibles THREEME'!$CD15/AA11</f>
        <v>6.4168284228046199E-2</v>
      </c>
      <c r="AB48">
        <f t="shared" si="125"/>
        <v>6.2458636063914275E-2</v>
      </c>
      <c r="AC48">
        <f>'Cibles THREEME'!$CE15/AC11</f>
        <v>6.074898789978235E-2</v>
      </c>
      <c r="AD48">
        <f t="shared" si="126"/>
        <v>5.9248804014977452E-2</v>
      </c>
      <c r="AE48">
        <f t="shared" si="126"/>
        <v>5.7748620130172554E-2</v>
      </c>
      <c r="AF48">
        <f t="shared" si="126"/>
        <v>5.6248436245367656E-2</v>
      </c>
      <c r="AG48">
        <f t="shared" si="126"/>
        <v>5.4748252360562757E-2</v>
      </c>
      <c r="AH48">
        <f>'Cibles THREEME'!$CF15/AH11</f>
        <v>5.3248068475757859E-2</v>
      </c>
      <c r="AI48">
        <f t="shared" si="127"/>
        <v>5.2241857158119687E-2</v>
      </c>
      <c r="AJ48">
        <f t="shared" si="127"/>
        <v>5.1235645840481514E-2</v>
      </c>
      <c r="AK48">
        <f t="shared" si="127"/>
        <v>5.0229434522843341E-2</v>
      </c>
      <c r="AL48">
        <f t="shared" si="127"/>
        <v>4.9223223205205169E-2</v>
      </c>
      <c r="AM48">
        <f>'Cibles THREEME'!$CG15/AM11</f>
        <v>4.821701188756701E-2</v>
      </c>
    </row>
    <row r="49" spans="1:39" ht="15.75" thickBot="1" x14ac:dyDescent="0.3">
      <c r="A49" s="592"/>
      <c r="B49" s="590" t="s">
        <v>476</v>
      </c>
      <c r="C49">
        <f t="shared" si="130"/>
        <v>2308</v>
      </c>
      <c r="D49">
        <f>'Cibles THREEME'!$BV16*11.64/D12</f>
        <v>4.4063574591689036</v>
      </c>
      <c r="E49">
        <f t="shared" si="117"/>
        <v>4.3785685153664797</v>
      </c>
      <c r="F49">
        <f t="shared" si="117"/>
        <v>4.3507795715640558</v>
      </c>
      <c r="G49">
        <f t="shared" si="117"/>
        <v>4.3229906277616319</v>
      </c>
      <c r="H49">
        <f t="shared" si="117"/>
        <v>4.295201683959208</v>
      </c>
      <c r="I49">
        <f>'Cibles THREEME'!$BW16/I12</f>
        <v>4.2674127401567858</v>
      </c>
      <c r="J49">
        <f t="shared" si="118"/>
        <v>4.2882857965386387</v>
      </c>
      <c r="K49">
        <f t="shared" si="118"/>
        <v>4.3091588529204916</v>
      </c>
      <c r="L49">
        <f>'Cibles THREEME'!$BX16/L12</f>
        <v>4.3300319093023445</v>
      </c>
      <c r="M49">
        <f t="shared" si="119"/>
        <v>3.9262821260709813</v>
      </c>
      <c r="N49">
        <f>'Cibles THREEME'!$BY16/N12</f>
        <v>3.522532342839618</v>
      </c>
      <c r="O49">
        <f t="shared" si="120"/>
        <v>3.3011549504638076</v>
      </c>
      <c r="P49">
        <f t="shared" si="120"/>
        <v>3.0797775580879971</v>
      </c>
      <c r="Q49">
        <f>'Cibles THREEME'!$BZ16/Q12</f>
        <v>2.8584001657121862</v>
      </c>
      <c r="R49">
        <f t="shared" si="121"/>
        <v>2.6801979841172932</v>
      </c>
      <c r="S49">
        <f>'Cibles THREEME'!$CA16/S12</f>
        <v>2.5019958025223996</v>
      </c>
      <c r="T49">
        <f t="shared" ref="T49:U49" si="136">S49+($V49-$S49)/3</f>
        <v>2.4260138236467443</v>
      </c>
      <c r="U49">
        <f t="shared" si="136"/>
        <v>2.3500318447710891</v>
      </c>
      <c r="V49">
        <f>'Cibles THREEME'!$CB16/V12</f>
        <v>2.2740498658954333</v>
      </c>
      <c r="W49">
        <f t="shared" si="123"/>
        <v>2.2061269140751367</v>
      </c>
      <c r="X49">
        <f>'Cibles THREEME'!$CC16/X12</f>
        <v>2.1382039622548401</v>
      </c>
      <c r="Y49">
        <f t="shared" si="124"/>
        <v>2.0035687447205222</v>
      </c>
      <c r="Z49">
        <f t="shared" si="124"/>
        <v>1.8689335271862042</v>
      </c>
      <c r="AA49">
        <f>'Cibles THREEME'!$CD16/AA12</f>
        <v>1.734298309651886</v>
      </c>
      <c r="AB49">
        <f t="shared" si="125"/>
        <v>1.6311805022420218</v>
      </c>
      <c r="AC49">
        <f>'Cibles THREEME'!$CE16/AC12</f>
        <v>1.5280626948321578</v>
      </c>
      <c r="AD49">
        <f t="shared" si="126"/>
        <v>1.49242501732027</v>
      </c>
      <c r="AE49">
        <f t="shared" si="126"/>
        <v>1.4567873398083822</v>
      </c>
      <c r="AF49">
        <f t="shared" si="126"/>
        <v>1.4211496622964943</v>
      </c>
      <c r="AG49">
        <f t="shared" si="126"/>
        <v>1.3855119847846065</v>
      </c>
      <c r="AH49">
        <f>'Cibles THREEME'!$CF16/AH12</f>
        <v>1.3498743072727191</v>
      </c>
      <c r="AI49">
        <f t="shared" si="127"/>
        <v>1.3199098505220332</v>
      </c>
      <c r="AJ49">
        <f t="shared" si="127"/>
        <v>1.2899453937713474</v>
      </c>
      <c r="AK49">
        <f t="shared" si="127"/>
        <v>1.2599809370206616</v>
      </c>
      <c r="AL49">
        <f t="shared" si="127"/>
        <v>1.2300164802699758</v>
      </c>
      <c r="AM49">
        <f>'Cibles THREEME'!$CG16/AM12</f>
        <v>1.2000520235192904</v>
      </c>
    </row>
    <row r="50" spans="1:39" x14ac:dyDescent="0.25">
      <c r="A50" s="591"/>
      <c r="B50" s="588" t="s">
        <v>287</v>
      </c>
      <c r="C50">
        <v>2401</v>
      </c>
      <c r="D50" s="404">
        <f>'Cibles THREEME'!$BV17*11.64/D13</f>
        <v>3.701010186305935E-2</v>
      </c>
      <c r="E50">
        <f t="shared" si="117"/>
        <v>3.4563836908764134E-2</v>
      </c>
      <c r="F50">
        <f t="shared" si="117"/>
        <v>3.2117571954468918E-2</v>
      </c>
      <c r="G50">
        <f t="shared" si="117"/>
        <v>2.9671307000173699E-2</v>
      </c>
      <c r="H50">
        <f t="shared" si="117"/>
        <v>2.7225042045878479E-2</v>
      </c>
      <c r="I50" s="404">
        <f>'Cibles THREEME'!$BW17/I13</f>
        <v>2.4778777091583257E-2</v>
      </c>
      <c r="J50">
        <f t="shared" si="118"/>
        <v>2.4160819852879194E-2</v>
      </c>
      <c r="K50">
        <f t="shared" si="118"/>
        <v>2.3542862614175132E-2</v>
      </c>
      <c r="L50" s="404">
        <f>'Cibles THREEME'!$BX17/L13</f>
        <v>2.292490537547107E-2</v>
      </c>
      <c r="M50">
        <f t="shared" si="119"/>
        <v>2.2851699424057431E-2</v>
      </c>
      <c r="N50" s="404">
        <f>'Cibles THREEME'!$BY17/N13</f>
        <v>2.2778493472643793E-2</v>
      </c>
      <c r="O50">
        <f t="shared" si="120"/>
        <v>2.2702439708340249E-2</v>
      </c>
      <c r="P50">
        <f t="shared" si="120"/>
        <v>2.2626385944036705E-2</v>
      </c>
      <c r="Q50" s="404">
        <f>'Cibles THREEME'!$BZ17/Q13</f>
        <v>2.2550332179733162E-2</v>
      </c>
      <c r="R50">
        <f t="shared" si="121"/>
        <v>2.2490940521906581E-2</v>
      </c>
      <c r="S50" s="404">
        <f>'Cibles THREEME'!$CA17/S13</f>
        <v>2.2431548864079998E-2</v>
      </c>
      <c r="T50">
        <f t="shared" ref="T50:U50" si="137">S50+($V50-$S50)/3</f>
        <v>2.2385061652895319E-2</v>
      </c>
      <c r="U50">
        <f t="shared" si="137"/>
        <v>2.233857444171064E-2</v>
      </c>
      <c r="V50" s="404">
        <f>'Cibles THREEME'!$CB17/V13</f>
        <v>2.2292087230525965E-2</v>
      </c>
      <c r="W50">
        <f t="shared" si="123"/>
        <v>2.2248685760109972E-2</v>
      </c>
      <c r="X50" s="404">
        <f>'Cibles THREEME'!$CC17/X13</f>
        <v>2.2205284289693983E-2</v>
      </c>
      <c r="Y50">
        <f t="shared" si="124"/>
        <v>2.2074086660291682E-2</v>
      </c>
      <c r="Z50">
        <f t="shared" si="124"/>
        <v>2.1942889030889381E-2</v>
      </c>
      <c r="AA50" s="404">
        <f>'Cibles THREEME'!$CD17/AA13</f>
        <v>2.1811691401487084E-2</v>
      </c>
      <c r="AB50">
        <f t="shared" si="125"/>
        <v>2.1683859046096474E-2</v>
      </c>
      <c r="AC50" s="404">
        <f>'Cibles THREEME'!$CE17/AC13</f>
        <v>2.1556026690705866E-2</v>
      </c>
      <c r="AD50">
        <f t="shared" si="126"/>
        <v>2.1492663443376178E-2</v>
      </c>
      <c r="AE50">
        <f t="shared" si="126"/>
        <v>2.142930019604649E-2</v>
      </c>
      <c r="AF50">
        <f t="shared" si="126"/>
        <v>2.1365936948716802E-2</v>
      </c>
      <c r="AG50">
        <f t="shared" si="126"/>
        <v>2.1302573701387113E-2</v>
      </c>
      <c r="AH50" s="404">
        <f>'Cibles THREEME'!$CF17/AH13</f>
        <v>2.1239210454057422E-2</v>
      </c>
      <c r="AI50">
        <f t="shared" si="127"/>
        <v>2.1234508161242407E-2</v>
      </c>
      <c r="AJ50">
        <f t="shared" si="127"/>
        <v>2.1229805868427393E-2</v>
      </c>
      <c r="AK50">
        <f t="shared" si="127"/>
        <v>2.1225103575612379E-2</v>
      </c>
      <c r="AL50">
        <f t="shared" si="127"/>
        <v>2.1220401282797365E-2</v>
      </c>
      <c r="AM50" s="404">
        <f>'Cibles THREEME'!$CG17/AM13</f>
        <v>2.1215698989982344E-2</v>
      </c>
    </row>
    <row r="51" spans="1:39" x14ac:dyDescent="0.25">
      <c r="A51" s="593"/>
      <c r="B51" s="589" t="s">
        <v>289</v>
      </c>
      <c r="C51">
        <v>2402</v>
      </c>
      <c r="D51" s="404">
        <f>'Cibles THREEME'!$BV18*11.64/D14</f>
        <v>1.1171130306090762E-2</v>
      </c>
      <c r="E51">
        <f t="shared" si="117"/>
        <v>1.0946222419546405E-2</v>
      </c>
      <c r="F51">
        <f t="shared" si="117"/>
        <v>1.0721314533002048E-2</v>
      </c>
      <c r="G51">
        <f t="shared" si="117"/>
        <v>1.0496406646457691E-2</v>
      </c>
      <c r="H51">
        <f t="shared" si="117"/>
        <v>1.0271498759913334E-2</v>
      </c>
      <c r="I51" s="404">
        <f>'Cibles THREEME'!$BW18/I14</f>
        <v>1.0046590873368977E-2</v>
      </c>
      <c r="J51">
        <f t="shared" si="118"/>
        <v>1.0910986724241184E-2</v>
      </c>
      <c r="K51">
        <f t="shared" si="118"/>
        <v>1.177538257511339E-2</v>
      </c>
      <c r="L51" s="404">
        <f>'Cibles THREEME'!$BX18/L14</f>
        <v>1.2639778425985595E-2</v>
      </c>
      <c r="M51">
        <f t="shared" si="119"/>
        <v>1.3958845156179386E-2</v>
      </c>
      <c r="N51" s="404">
        <f>'Cibles THREEME'!$BY18/N14</f>
        <v>1.5277911886373176E-2</v>
      </c>
      <c r="O51">
        <f t="shared" si="120"/>
        <v>1.457160239746918E-2</v>
      </c>
      <c r="P51">
        <f t="shared" si="120"/>
        <v>1.3865292908565184E-2</v>
      </c>
      <c r="Q51" s="404">
        <f>'Cibles THREEME'!$BZ18/Q14</f>
        <v>1.3158983419661189E-2</v>
      </c>
      <c r="R51">
        <f t="shared" si="121"/>
        <v>1.253711048270701E-2</v>
      </c>
      <c r="S51" s="404">
        <f>'Cibles THREEME'!$CA18/S14</f>
        <v>1.191523754575283E-2</v>
      </c>
      <c r="T51">
        <f t="shared" ref="T51:U51" si="138">S51+($V51-$S51)/3</f>
        <v>1.1562817035147081E-2</v>
      </c>
      <c r="U51">
        <f t="shared" si="138"/>
        <v>1.1210396524541331E-2</v>
      </c>
      <c r="V51" s="404">
        <f>'Cibles THREEME'!$CB18/V14</f>
        <v>1.0857976013935582E-2</v>
      </c>
      <c r="W51">
        <f t="shared" si="123"/>
        <v>1.0536864489917957E-2</v>
      </c>
      <c r="X51" s="404">
        <f>'Cibles THREEME'!$CC18/X14</f>
        <v>1.0215752965900332E-2</v>
      </c>
      <c r="Y51">
        <f t="shared" si="124"/>
        <v>1.0038005713677946E-2</v>
      </c>
      <c r="Z51">
        <f t="shared" si="124"/>
        <v>9.8602584614555597E-3</v>
      </c>
      <c r="AA51" s="404">
        <f>'Cibles THREEME'!$CD18/AA14</f>
        <v>9.682511209233172E-3</v>
      </c>
      <c r="AB51">
        <f t="shared" si="125"/>
        <v>9.5146003668864949E-3</v>
      </c>
      <c r="AC51" s="404">
        <f>'Cibles THREEME'!$CE18/AC14</f>
        <v>9.3466895245398196E-3</v>
      </c>
      <c r="AD51">
        <f t="shared" si="126"/>
        <v>9.1885511015250242E-3</v>
      </c>
      <c r="AE51">
        <f t="shared" si="126"/>
        <v>9.0304126785102287E-3</v>
      </c>
      <c r="AF51">
        <f t="shared" si="126"/>
        <v>8.8722742554954333E-3</v>
      </c>
      <c r="AG51">
        <f t="shared" si="126"/>
        <v>8.7141358324806378E-3</v>
      </c>
      <c r="AH51" s="404">
        <f>'Cibles THREEME'!$CF18/AH14</f>
        <v>8.5559974094658407E-3</v>
      </c>
      <c r="AI51">
        <f t="shared" si="127"/>
        <v>8.4709026516663517E-3</v>
      </c>
      <c r="AJ51">
        <f t="shared" si="127"/>
        <v>8.3858078938668628E-3</v>
      </c>
      <c r="AK51">
        <f t="shared" si="127"/>
        <v>8.3007131360673739E-3</v>
      </c>
      <c r="AL51">
        <f t="shared" si="127"/>
        <v>8.2156183782678849E-3</v>
      </c>
      <c r="AM51" s="404">
        <f>'Cibles THREEME'!$CG18/AM14</f>
        <v>8.130523620468396E-3</v>
      </c>
    </row>
    <row r="52" spans="1:39" x14ac:dyDescent="0.25">
      <c r="A52" s="593" t="s">
        <v>474</v>
      </c>
      <c r="B52" s="589" t="s">
        <v>291</v>
      </c>
      <c r="C52">
        <v>2403</v>
      </c>
      <c r="D52" s="404">
        <f>('Cibles THREEME'!$BV19+'Cibles THREEME'!$BV20)*11.64/D15</f>
        <v>0.5326005166314316</v>
      </c>
      <c r="E52">
        <f t="shared" si="117"/>
        <v>0.44041944407021416</v>
      </c>
      <c r="F52">
        <f t="shared" si="117"/>
        <v>0.34823837150899672</v>
      </c>
      <c r="G52">
        <f t="shared" si="117"/>
        <v>0.25605729894777929</v>
      </c>
      <c r="H52">
        <f t="shared" si="117"/>
        <v>0.16387622638656188</v>
      </c>
      <c r="I52" s="404">
        <f>('Cibles THREEME'!$BW19+'Cibles THREEME'!$BW20)/I15</f>
        <v>7.1695153825344554E-2</v>
      </c>
      <c r="J52">
        <f t="shared" si="118"/>
        <v>5.4840781618375696E-2</v>
      </c>
      <c r="K52">
        <f t="shared" si="118"/>
        <v>3.7986409411406838E-2</v>
      </c>
      <c r="L52" s="404">
        <f>('Cibles THREEME'!$BX19+'Cibles THREEME'!$BX20)/L15</f>
        <v>2.113203720443798E-2</v>
      </c>
      <c r="M52">
        <f t="shared" si="119"/>
        <v>0.10279017870751339</v>
      </c>
      <c r="N52" s="404">
        <f>('Cibles THREEME'!$BY19+'Cibles THREEME'!$BY20)/N15</f>
        <v>0.1844483202105888</v>
      </c>
      <c r="O52">
        <f t="shared" si="120"/>
        <v>0.18331629414602826</v>
      </c>
      <c r="P52">
        <f t="shared" si="120"/>
        <v>0.18218426808146773</v>
      </c>
      <c r="Q52" s="404">
        <f>('Cibles THREEME'!$BZ19+'Cibles THREEME'!$BZ20)/Q15</f>
        <v>0.1810522420169072</v>
      </c>
      <c r="R52">
        <f t="shared" si="121"/>
        <v>0.19717458729068366</v>
      </c>
      <c r="S52" s="404">
        <f>('Cibles THREEME'!$CA19+'Cibles THREEME'!$CA20)/S15</f>
        <v>0.21329693256446011</v>
      </c>
      <c r="T52">
        <f t="shared" ref="T52:U52" si="139">S52+($V52-$S52)/3</f>
        <v>0.21794113220522809</v>
      </c>
      <c r="U52">
        <f t="shared" si="139"/>
        <v>0.22258533184599608</v>
      </c>
      <c r="V52" s="404">
        <f>('Cibles THREEME'!$CB19+'Cibles THREEME'!$CB20)/V15</f>
        <v>0.22722953148676403</v>
      </c>
      <c r="W52">
        <f t="shared" si="123"/>
        <v>0.23129163880568618</v>
      </c>
      <c r="X52" s="404">
        <f>('Cibles THREEME'!$CC19+'Cibles THREEME'!$CC20)/X15</f>
        <v>0.23535374612460833</v>
      </c>
      <c r="Y52">
        <f t="shared" si="124"/>
        <v>0.2390995059360346</v>
      </c>
      <c r="Z52">
        <f t="shared" si="124"/>
        <v>0.24284526574746088</v>
      </c>
      <c r="AA52" s="404">
        <f>('Cibles THREEME'!$CD19+'Cibles THREEME'!$CD20)/AA15</f>
        <v>0.24659102555888715</v>
      </c>
      <c r="AB52">
        <f t="shared" si="125"/>
        <v>0.24979342356004242</v>
      </c>
      <c r="AC52" s="404">
        <f>('Cibles THREEME'!$CE19+'Cibles THREEME'!$CE20)/AC15</f>
        <v>0.25299582156119771</v>
      </c>
      <c r="AD52">
        <f t="shared" si="126"/>
        <v>0.2553746372397811</v>
      </c>
      <c r="AE52">
        <f t="shared" si="126"/>
        <v>0.25775345291836449</v>
      </c>
      <c r="AF52">
        <f t="shared" si="126"/>
        <v>0.26013226859694788</v>
      </c>
      <c r="AG52">
        <f t="shared" si="126"/>
        <v>0.26251108427553127</v>
      </c>
      <c r="AH52" s="404">
        <f>('Cibles THREEME'!$CF19+'Cibles THREEME'!$CF20)/AH15</f>
        <v>0.26488989995411472</v>
      </c>
      <c r="AI52">
        <f t="shared" si="127"/>
        <v>0.26662715885524307</v>
      </c>
      <c r="AJ52">
        <f t="shared" si="127"/>
        <v>0.26836441775637143</v>
      </c>
      <c r="AK52">
        <f t="shared" si="127"/>
        <v>0.27010167665749979</v>
      </c>
      <c r="AL52">
        <f t="shared" si="127"/>
        <v>0.27183893555862815</v>
      </c>
      <c r="AM52" s="404">
        <f>('Cibles THREEME'!$CG19+'Cibles THREEME'!$CG20)/AM15</f>
        <v>0.27357619445975651</v>
      </c>
    </row>
    <row r="53" spans="1:39" x14ac:dyDescent="0.25">
      <c r="A53" s="593"/>
      <c r="B53" s="589" t="s">
        <v>293</v>
      </c>
      <c r="C53">
        <v>2404</v>
      </c>
      <c r="D53">
        <f>'Cibles THREEME'!$BV21*11.64/D16</f>
        <v>0.34306886949284809</v>
      </c>
      <c r="E53">
        <f t="shared" si="117"/>
        <v>0.29991633370142629</v>
      </c>
      <c r="F53">
        <f t="shared" si="117"/>
        <v>0.25676379791000448</v>
      </c>
      <c r="G53">
        <f t="shared" si="117"/>
        <v>0.21361126211858267</v>
      </c>
      <c r="H53">
        <f t="shared" si="117"/>
        <v>0.17045872632716086</v>
      </c>
      <c r="I53">
        <f>'Cibles THREEME'!$BW21/I16</f>
        <v>0.12730619053573899</v>
      </c>
      <c r="J53">
        <f t="shared" si="118"/>
        <v>0.11830015400642331</v>
      </c>
      <c r="K53">
        <f t="shared" si="118"/>
        <v>0.10929411747710763</v>
      </c>
      <c r="L53">
        <f>'Cibles THREEME'!$BX21/L16</f>
        <v>0.10028808094779193</v>
      </c>
      <c r="M53">
        <f t="shared" si="119"/>
        <v>0.10931466275696319</v>
      </c>
      <c r="N53">
        <f>'Cibles THREEME'!$BY21/N16</f>
        <v>0.11834124456613447</v>
      </c>
      <c r="O53">
        <f t="shared" si="120"/>
        <v>0.11531236536148978</v>
      </c>
      <c r="P53">
        <f t="shared" si="120"/>
        <v>0.11228348615684509</v>
      </c>
      <c r="Q53">
        <f>'Cibles THREEME'!$BZ21/Q16</f>
        <v>0.10925460695220041</v>
      </c>
      <c r="R53">
        <f t="shared" si="121"/>
        <v>0.10643205036824949</v>
      </c>
      <c r="S53">
        <f>'Cibles THREEME'!$CA21/S16</f>
        <v>0.10360949378429857</v>
      </c>
      <c r="T53">
        <f t="shared" ref="T53:U53" si="140">S53+($V53-$S53)/3</f>
        <v>0.10266256763881348</v>
      </c>
      <c r="U53">
        <f t="shared" si="140"/>
        <v>0.1017156414933284</v>
      </c>
      <c r="V53">
        <f>'Cibles THREEME'!$CB21/V16</f>
        <v>0.1007687153478433</v>
      </c>
      <c r="W53">
        <f t="shared" si="123"/>
        <v>9.9851089290011491E-2</v>
      </c>
      <c r="X53">
        <f>'Cibles THREEME'!$CC21/X16</f>
        <v>9.8933463232179678E-2</v>
      </c>
      <c r="Y53">
        <f t="shared" si="124"/>
        <v>9.8029421951517023E-2</v>
      </c>
      <c r="Z53">
        <f t="shared" si="124"/>
        <v>9.7125380670854369E-2</v>
      </c>
      <c r="AA53">
        <f>'Cibles THREEME'!$CD21/AA16</f>
        <v>9.6221339390191701E-2</v>
      </c>
      <c r="AB53">
        <f t="shared" si="125"/>
        <v>9.5349033937878205E-2</v>
      </c>
      <c r="AC53">
        <f>'Cibles THREEME'!$CE21/AC16</f>
        <v>9.4476728485564709E-2</v>
      </c>
      <c r="AD53">
        <f t="shared" si="126"/>
        <v>9.3642106792523272E-2</v>
      </c>
      <c r="AE53">
        <f t="shared" si="126"/>
        <v>9.2807485099481835E-2</v>
      </c>
      <c r="AF53">
        <f t="shared" si="126"/>
        <v>9.1972863406440397E-2</v>
      </c>
      <c r="AG53">
        <f t="shared" si="126"/>
        <v>9.113824171339896E-2</v>
      </c>
      <c r="AH53">
        <f>'Cibles THREEME'!$CF21/AH16</f>
        <v>9.0303620020357495E-2</v>
      </c>
      <c r="AI53">
        <f t="shared" si="127"/>
        <v>8.9524181547390363E-2</v>
      </c>
      <c r="AJ53">
        <f t="shared" si="127"/>
        <v>8.8744743074423232E-2</v>
      </c>
      <c r="AK53">
        <f t="shared" si="127"/>
        <v>8.7965304601456101E-2</v>
      </c>
      <c r="AL53">
        <f t="shared" si="127"/>
        <v>8.718586612848897E-2</v>
      </c>
      <c r="AM53">
        <f>'Cibles THREEME'!$CG21/AM16</f>
        <v>8.6406427655521853E-2</v>
      </c>
    </row>
    <row r="54" spans="1:39" x14ac:dyDescent="0.25">
      <c r="A54" s="593"/>
      <c r="B54" s="589" t="s">
        <v>296</v>
      </c>
      <c r="C54">
        <v>2405</v>
      </c>
      <c r="D54">
        <f>'Cibles THREEME'!$BV22*11.64/D17</f>
        <v>6.2959171762518001E-2</v>
      </c>
      <c r="E54">
        <f t="shared" si="117"/>
        <v>7.0298202859249662E-2</v>
      </c>
      <c r="F54">
        <f t="shared" si="117"/>
        <v>7.7637233955981322E-2</v>
      </c>
      <c r="G54">
        <f t="shared" si="117"/>
        <v>8.4976265052712982E-2</v>
      </c>
      <c r="H54">
        <f t="shared" si="117"/>
        <v>9.2315296149444642E-2</v>
      </c>
      <c r="I54">
        <f>'Cibles THREEME'!$BW22/I17</f>
        <v>9.9654327246176316E-2</v>
      </c>
      <c r="J54">
        <f t="shared" si="118"/>
        <v>8.8878152753001469E-2</v>
      </c>
      <c r="K54">
        <f t="shared" si="118"/>
        <v>7.8101978259826621E-2</v>
      </c>
      <c r="L54">
        <f>'Cibles THREEME'!$BX22/L17</f>
        <v>6.7325803766651787E-2</v>
      </c>
      <c r="M54">
        <f t="shared" si="119"/>
        <v>6.3358574551052357E-2</v>
      </c>
      <c r="N54">
        <f>'Cibles THREEME'!$BY22/N17</f>
        <v>5.9391345335452921E-2</v>
      </c>
      <c r="O54">
        <f t="shared" si="120"/>
        <v>5.6921188468018392E-2</v>
      </c>
      <c r="P54">
        <f t="shared" si="120"/>
        <v>5.4451031600583864E-2</v>
      </c>
      <c r="Q54">
        <f>'Cibles THREEME'!$BZ22/Q17</f>
        <v>5.1980874733149343E-2</v>
      </c>
      <c r="R54">
        <f t="shared" si="121"/>
        <v>4.9774663385543039E-2</v>
      </c>
      <c r="S54">
        <f>'Cibles THREEME'!$CA22/S17</f>
        <v>4.7568452037936734E-2</v>
      </c>
      <c r="T54">
        <f t="shared" ref="T54:U54" si="141">S54+($V54-$S54)/3</f>
        <v>4.7054826718060161E-2</v>
      </c>
      <c r="U54">
        <f t="shared" si="141"/>
        <v>4.6541201398183588E-2</v>
      </c>
      <c r="V54">
        <f>'Cibles THREEME'!$CB22/V17</f>
        <v>4.6027576078307021E-2</v>
      </c>
      <c r="W54">
        <f t="shared" si="123"/>
        <v>4.5526603814796791E-2</v>
      </c>
      <c r="X54">
        <f>'Cibles THREEME'!$CC22/X17</f>
        <v>4.5025631551286562E-2</v>
      </c>
      <c r="Y54">
        <f t="shared" si="124"/>
        <v>4.4547643941824026E-2</v>
      </c>
      <c r="Z54">
        <f t="shared" si="124"/>
        <v>4.4069656332361491E-2</v>
      </c>
      <c r="AA54">
        <f>'Cibles THREEME'!$CD22/AA17</f>
        <v>4.3591668722898949E-2</v>
      </c>
      <c r="AB54">
        <f t="shared" si="125"/>
        <v>4.3126257166445352E-2</v>
      </c>
      <c r="AC54">
        <f>'Cibles THREEME'!$CE22/AC17</f>
        <v>4.2660845609991754E-2</v>
      </c>
      <c r="AD54">
        <f t="shared" si="126"/>
        <v>4.2206844198668964E-2</v>
      </c>
      <c r="AE54">
        <f t="shared" si="126"/>
        <v>4.1752842787346173E-2</v>
      </c>
      <c r="AF54">
        <f t="shared" si="126"/>
        <v>4.1298841376023382E-2</v>
      </c>
      <c r="AG54">
        <f t="shared" si="126"/>
        <v>4.0844839964700591E-2</v>
      </c>
      <c r="AH54">
        <f>'Cibles THREEME'!$CF22/AH17</f>
        <v>4.0390838553377786E-2</v>
      </c>
      <c r="AI54">
        <f t="shared" si="127"/>
        <v>3.9995714815770668E-2</v>
      </c>
      <c r="AJ54">
        <f t="shared" si="127"/>
        <v>3.960059107816355E-2</v>
      </c>
      <c r="AK54">
        <f t="shared" si="127"/>
        <v>3.9205467340556431E-2</v>
      </c>
      <c r="AL54">
        <f t="shared" si="127"/>
        <v>3.8810343602949313E-2</v>
      </c>
      <c r="AM54">
        <f>'Cibles THREEME'!$CG22/AM17</f>
        <v>3.8415219865342194E-2</v>
      </c>
    </row>
    <row r="55" spans="1:39" ht="15.75" thickBot="1" x14ac:dyDescent="0.3">
      <c r="A55" s="592"/>
      <c r="B55" s="203" t="s">
        <v>613</v>
      </c>
      <c r="C55">
        <v>2406</v>
      </c>
      <c r="D55">
        <f>SUM('Cibles THREEME'!$BV23:$BV24)*11.64/D18</f>
        <v>0.12684847914279029</v>
      </c>
      <c r="E55">
        <f t="shared" si="117"/>
        <v>0.10308926093491524</v>
      </c>
      <c r="F55">
        <f t="shared" si="117"/>
        <v>7.9330042727040195E-2</v>
      </c>
      <c r="G55">
        <f t="shared" si="117"/>
        <v>5.5570824519165146E-2</v>
      </c>
      <c r="H55">
        <f t="shared" si="117"/>
        <v>3.1811606311290097E-2</v>
      </c>
      <c r="I55">
        <f>SUM('Cibles THREEME'!$BW23:$BW24)/I18</f>
        <v>8.0523881034150566E-3</v>
      </c>
      <c r="J55">
        <f t="shared" si="118"/>
        <v>5.3682587356100372E-3</v>
      </c>
      <c r="K55">
        <f t="shared" si="118"/>
        <v>2.6841293678050182E-3</v>
      </c>
      <c r="L55">
        <f>SUM('Cibles THREEME'!$BX23:$BX24)/L18</f>
        <v>0</v>
      </c>
      <c r="M55">
        <f t="shared" si="119"/>
        <v>0</v>
      </c>
      <c r="N55">
        <f>SUM('Cibles THREEME'!$BY23:$BY24)/N18</f>
        <v>0</v>
      </c>
      <c r="O55">
        <f t="shared" si="120"/>
        <v>0</v>
      </c>
      <c r="P55">
        <f t="shared" si="120"/>
        <v>0</v>
      </c>
      <c r="Q55">
        <f>SUM('Cibles THREEME'!$BZ23:$BZ24)/Q18</f>
        <v>0</v>
      </c>
      <c r="R55">
        <f t="shared" si="121"/>
        <v>0</v>
      </c>
      <c r="S55">
        <f>SUM('Cibles THREEME'!$CA23:$CA24)/S18</f>
        <v>0</v>
      </c>
      <c r="T55">
        <f t="shared" ref="T55:U55" si="142">S55+($V55-$S55)/3</f>
        <v>0</v>
      </c>
      <c r="U55">
        <f t="shared" si="142"/>
        <v>0</v>
      </c>
      <c r="V55">
        <f>SUM('Cibles THREEME'!$CB23:$CB24)/V18</f>
        <v>0</v>
      </c>
      <c r="W55">
        <f t="shared" si="123"/>
        <v>0</v>
      </c>
      <c r="X55">
        <f>SUM('Cibles THREEME'!$CC23:$CC24)/X18</f>
        <v>0</v>
      </c>
      <c r="Y55">
        <f t="shared" si="124"/>
        <v>0</v>
      </c>
      <c r="Z55">
        <f t="shared" si="124"/>
        <v>0</v>
      </c>
      <c r="AA55">
        <f>SUM('Cibles THREEME'!$CD23:$CD24)/AA18</f>
        <v>0</v>
      </c>
      <c r="AB55">
        <f t="shared" si="125"/>
        <v>0</v>
      </c>
      <c r="AC55">
        <f>SUM('Cibles THREEME'!$CE23:$CE24)/AC18</f>
        <v>0</v>
      </c>
      <c r="AD55">
        <f t="shared" si="126"/>
        <v>0</v>
      </c>
      <c r="AE55">
        <f t="shared" si="126"/>
        <v>0</v>
      </c>
      <c r="AF55">
        <f t="shared" si="126"/>
        <v>0</v>
      </c>
      <c r="AG55">
        <f t="shared" si="126"/>
        <v>0</v>
      </c>
      <c r="AH55">
        <f>SUM('Cibles THREEME'!$CF23:$CF24)/AH18</f>
        <v>0</v>
      </c>
      <c r="AI55">
        <f t="shared" si="127"/>
        <v>0</v>
      </c>
      <c r="AJ55">
        <f t="shared" si="127"/>
        <v>0</v>
      </c>
      <c r="AK55">
        <f t="shared" si="127"/>
        <v>0</v>
      </c>
      <c r="AL55">
        <f t="shared" si="127"/>
        <v>0</v>
      </c>
      <c r="AM55">
        <f>SUM('Cibles THREEME'!$CG23:$CG24)/AM18</f>
        <v>0</v>
      </c>
    </row>
    <row r="56" spans="1:39" x14ac:dyDescent="0.25">
      <c r="B56" s="589" t="s">
        <v>479</v>
      </c>
      <c r="C56">
        <v>21</v>
      </c>
      <c r="D56">
        <f>'Cibles THREEME'!$BH25</f>
        <v>9.3073143713894631E-3</v>
      </c>
      <c r="E56">
        <f t="shared" si="117"/>
        <v>8.4672315922461692E-3</v>
      </c>
      <c r="F56">
        <f t="shared" si="117"/>
        <v>7.6271488131028752E-3</v>
      </c>
      <c r="G56">
        <f t="shared" si="117"/>
        <v>6.7870660339595813E-3</v>
      </c>
      <c r="H56">
        <f t="shared" si="117"/>
        <v>5.9469832548162873E-3</v>
      </c>
      <c r="I56">
        <f>'Cibles THREEME'!$BI25</f>
        <v>5.1069004756729925E-3</v>
      </c>
      <c r="J56">
        <f t="shared" si="118"/>
        <v>4.2578150246598964E-3</v>
      </c>
      <c r="K56">
        <f t="shared" si="118"/>
        <v>3.4087295736468007E-3</v>
      </c>
      <c r="L56">
        <f>'Cibles THREEME'!$BJ25</f>
        <v>2.5596441226337051E-3</v>
      </c>
      <c r="M56">
        <f t="shared" si="119"/>
        <v>1.4217506979570581E-3</v>
      </c>
      <c r="N56">
        <f>'Cibles THREEME'!$BK25</f>
        <v>2.8385727328041104E-4</v>
      </c>
      <c r="O56">
        <f t="shared" si="120"/>
        <v>2.2581500147434981E-4</v>
      </c>
      <c r="P56">
        <f t="shared" si="120"/>
        <v>1.6777272966828858E-4</v>
      </c>
      <c r="Q56">
        <f>'Cibles THREEME'!$BL25</f>
        <v>1.0973045786222732E-4</v>
      </c>
      <c r="R56">
        <f t="shared" si="121"/>
        <v>5.486522893111366E-5</v>
      </c>
      <c r="S56">
        <f>'Cibles THREEME'!$BM25</f>
        <v>0</v>
      </c>
      <c r="T56">
        <f t="shared" ref="T56:U56" si="143">S56+($V56-$S56)/3</f>
        <v>0</v>
      </c>
      <c r="U56">
        <f t="shared" si="143"/>
        <v>0</v>
      </c>
      <c r="V56">
        <f>'Cibles THREEME'!$BN25</f>
        <v>0</v>
      </c>
      <c r="W56">
        <f t="shared" si="123"/>
        <v>0</v>
      </c>
      <c r="X56">
        <f>'Cibles THREEME'!$BO25</f>
        <v>0</v>
      </c>
      <c r="Y56">
        <f t="shared" si="124"/>
        <v>0</v>
      </c>
      <c r="Z56">
        <f t="shared" si="124"/>
        <v>0</v>
      </c>
      <c r="AA56">
        <f>'Cibles THREEME'!$BP25</f>
        <v>0</v>
      </c>
      <c r="AB56">
        <f t="shared" si="125"/>
        <v>0</v>
      </c>
      <c r="AC56">
        <f>'Cibles THREEME'!$BQ25</f>
        <v>0</v>
      </c>
      <c r="AD56">
        <f t="shared" si="126"/>
        <v>0</v>
      </c>
      <c r="AE56">
        <f t="shared" si="126"/>
        <v>0</v>
      </c>
      <c r="AF56">
        <f t="shared" si="126"/>
        <v>0</v>
      </c>
      <c r="AG56">
        <f t="shared" si="126"/>
        <v>0</v>
      </c>
      <c r="AH56">
        <f>'Cibles THREEME'!$BR25</f>
        <v>0</v>
      </c>
      <c r="AI56">
        <f t="shared" si="127"/>
        <v>0</v>
      </c>
      <c r="AJ56">
        <f t="shared" si="127"/>
        <v>0</v>
      </c>
      <c r="AK56">
        <f t="shared" si="127"/>
        <v>0</v>
      </c>
      <c r="AL56">
        <f t="shared" si="127"/>
        <v>0</v>
      </c>
      <c r="AM56">
        <f>'Cibles THREEME'!$BS25</f>
        <v>0</v>
      </c>
    </row>
    <row r="58" spans="1:39" ht="15.75" thickBot="1" x14ac:dyDescent="0.3">
      <c r="B58" t="s">
        <v>478</v>
      </c>
    </row>
    <row r="59" spans="1:39" x14ac:dyDescent="0.25">
      <c r="B59" s="588" t="s">
        <v>266</v>
      </c>
      <c r="C59">
        <v>2201</v>
      </c>
      <c r="D59" s="595">
        <f>('Cibles THREEME'!$DA4+'Cibles THREEME'!$DA6)*11.64/D3</f>
        <v>1.7801714064103889E-4</v>
      </c>
      <c r="E59">
        <f>D59+($I59-$D59)/5</f>
        <v>1.471404940283037E-4</v>
      </c>
      <c r="F59">
        <f t="shared" ref="F59:H59" si="144">E59+($I59-$D59)/5</f>
        <v>1.1626384741556851E-4</v>
      </c>
      <c r="G59">
        <f t="shared" si="144"/>
        <v>8.5387200802833319E-5</v>
      </c>
      <c r="H59">
        <f t="shared" si="144"/>
        <v>5.4510554190098121E-5</v>
      </c>
      <c r="I59" s="404">
        <f>('Cibles THREEME'!$DB$4+'Cibles THREEME'!$DB$6)/I3</f>
        <v>2.3633907577362915E-5</v>
      </c>
      <c r="J59">
        <f>I59+($L59-$I59)/3</f>
        <v>1.0402643661897018E-4</v>
      </c>
      <c r="K59">
        <f>J59+($L59-$I59)/3</f>
        <v>1.8441896566057743E-4</v>
      </c>
      <c r="L59" s="404">
        <f>('Cibles THREEME'!$DC$4+'Cibles THREEME'!$DC$6)/L3</f>
        <v>2.648114947021847E-4</v>
      </c>
      <c r="M59">
        <f>(L59+N59)/2</f>
        <v>1.3240574735109235E-4</v>
      </c>
      <c r="N59" s="404">
        <f>('Cibles THREEME'!$DD$4+'Cibles THREEME'!$DD$6)/N3</f>
        <v>0</v>
      </c>
      <c r="O59">
        <f>N59+($Q59-$N59)/3</f>
        <v>0</v>
      </c>
      <c r="P59">
        <f>O59+($Q59-$N59)/3</f>
        <v>0</v>
      </c>
      <c r="Q59" s="404">
        <f>('Cibles THREEME'!$DE$4+'Cibles THREEME'!$DE$6)/Q3</f>
        <v>0</v>
      </c>
      <c r="R59">
        <f>(Q59+S59)/2</f>
        <v>0</v>
      </c>
      <c r="S59" s="404">
        <f>('Cibles THREEME'!$DF$4+'Cibles THREEME'!$DF$6)/S3</f>
        <v>0</v>
      </c>
      <c r="T59">
        <f t="shared" ref="T59:U59" si="145">S59+($V59-$S59)/3</f>
        <v>0</v>
      </c>
      <c r="U59">
        <f t="shared" si="145"/>
        <v>0</v>
      </c>
      <c r="V59" s="404">
        <f>('Cibles THREEME'!$DG$4+'Cibles THREEME'!$DG$6)/V3</f>
        <v>0</v>
      </c>
      <c r="W59">
        <f>V59+(X59-V59)/2</f>
        <v>0</v>
      </c>
      <c r="X59" s="404">
        <f>('Cibles THREEME'!$DH$4+'Cibles THREEME'!$DH$6)/X3</f>
        <v>0</v>
      </c>
      <c r="Y59">
        <f>X59+($AA59-$X59)/3</f>
        <v>0</v>
      </c>
      <c r="Z59">
        <f>Y59+($AA59-$X59)/3</f>
        <v>0</v>
      </c>
      <c r="AA59" s="404">
        <f>('Cibles THREEME'!$DI$4+'Cibles THREEME'!$DI$6)/AA3</f>
        <v>0</v>
      </c>
      <c r="AB59">
        <f>AA59+(AC59-AA59)/2</f>
        <v>0</v>
      </c>
      <c r="AC59" s="404">
        <f>('Cibles THREEME'!$DJ$4+'Cibles THREEME'!$DJ$6)/AC3</f>
        <v>0</v>
      </c>
      <c r="AD59">
        <f>AC59+($AH59-$AC59)/5</f>
        <v>0</v>
      </c>
      <c r="AE59">
        <f t="shared" ref="AE59:AG59" si="146">AD59+($AH59-$AC59)/5</f>
        <v>0</v>
      </c>
      <c r="AF59">
        <f t="shared" si="146"/>
        <v>0</v>
      </c>
      <c r="AG59">
        <f t="shared" si="146"/>
        <v>0</v>
      </c>
      <c r="AH59" s="404">
        <f>('Cibles THREEME'!$DK$4+'Cibles THREEME'!$DK$6)/AH3</f>
        <v>0</v>
      </c>
      <c r="AI59">
        <f>AH59+($AM59-$AH59)/5</f>
        <v>0</v>
      </c>
      <c r="AJ59">
        <f t="shared" ref="AJ59:AL59" si="147">AI59+($AM59-$AH59)/5</f>
        <v>0</v>
      </c>
      <c r="AK59">
        <f t="shared" si="147"/>
        <v>0</v>
      </c>
      <c r="AL59">
        <f t="shared" si="147"/>
        <v>0</v>
      </c>
      <c r="AM59" s="404">
        <f>('Cibles THREEME'!$DL$4+'Cibles THREEME'!$DL$6)/AM3</f>
        <v>0</v>
      </c>
    </row>
    <row r="60" spans="1:39" ht="15.75" thickBot="1" x14ac:dyDescent="0.3">
      <c r="B60" s="590" t="s">
        <v>343</v>
      </c>
      <c r="C60">
        <v>2202</v>
      </c>
      <c r="D60" s="595">
        <f>('Cibles THREEME'!$DA5+'Cibles THREEME'!$DA7)*11.64/D4</f>
        <v>0</v>
      </c>
      <c r="E60">
        <f t="shared" ref="E60:H75" si="148">D60+($I60-$D60)/5</f>
        <v>0</v>
      </c>
      <c r="F60">
        <f t="shared" si="148"/>
        <v>0</v>
      </c>
      <c r="G60">
        <f t="shared" si="148"/>
        <v>0</v>
      </c>
      <c r="H60">
        <f t="shared" si="148"/>
        <v>0</v>
      </c>
      <c r="I60">
        <f>('Cibles THREEME'!$DB$5+'Cibles THREEME'!$DB$7)/I4</f>
        <v>0</v>
      </c>
      <c r="J60">
        <f t="shared" ref="J60:K75" si="149">I60+($L60-$I60)/3</f>
        <v>0</v>
      </c>
      <c r="K60">
        <f t="shared" si="149"/>
        <v>0</v>
      </c>
      <c r="L60">
        <f>('Cibles THREEME'!$DC$5+'Cibles THREEME'!$DC$7)/L4</f>
        <v>0</v>
      </c>
      <c r="M60">
        <f t="shared" ref="M60:M75" si="150">(L60+N60)/2</f>
        <v>0</v>
      </c>
      <c r="N60">
        <f>('Cibles THREEME'!$DD$5+'Cibles THREEME'!$DD$7)/N4</f>
        <v>0</v>
      </c>
      <c r="O60">
        <f t="shared" ref="O60:P75" si="151">N60+($Q60-$N60)/3</f>
        <v>0</v>
      </c>
      <c r="P60">
        <f t="shared" si="151"/>
        <v>0</v>
      </c>
      <c r="Q60">
        <f>('Cibles THREEME'!$DE$5+'Cibles THREEME'!$DE$7)/Q4</f>
        <v>0</v>
      </c>
      <c r="R60">
        <f t="shared" ref="R60:R75" si="152">(Q60+S60)/2</f>
        <v>0</v>
      </c>
      <c r="S60">
        <f>('Cibles THREEME'!$DF$5+'Cibles THREEME'!$DF$7)/S4</f>
        <v>0</v>
      </c>
      <c r="T60">
        <f t="shared" ref="T60:U60" si="153">S60+($V60-$S60)/3</f>
        <v>0</v>
      </c>
      <c r="U60">
        <f t="shared" si="153"/>
        <v>0</v>
      </c>
      <c r="V60">
        <f>('Cibles THREEME'!$DG$5+'Cibles THREEME'!$DG$7)/V4</f>
        <v>0</v>
      </c>
      <c r="W60">
        <f t="shared" ref="W60:W75" si="154">V60+(X60-V60)/2</f>
        <v>0</v>
      </c>
      <c r="X60">
        <f>('Cibles THREEME'!$DH$5+'Cibles THREEME'!$DH$7)/X4</f>
        <v>0</v>
      </c>
      <c r="Y60">
        <f t="shared" ref="Y60:Z75" si="155">X60+($AA60-$X60)/3</f>
        <v>0</v>
      </c>
      <c r="Z60">
        <f t="shared" si="155"/>
        <v>0</v>
      </c>
      <c r="AA60">
        <f>('Cibles THREEME'!$DI$5+'Cibles THREEME'!$DI$7)/AA4</f>
        <v>0</v>
      </c>
      <c r="AB60">
        <f t="shared" ref="AB60:AB75" si="156">AA60+(AC60-AA60)/2</f>
        <v>0</v>
      </c>
      <c r="AC60">
        <f>('Cibles THREEME'!$DJ$5+'Cibles THREEME'!$DJ$7)/AC4</f>
        <v>0</v>
      </c>
      <c r="AD60">
        <f t="shared" ref="AD60:AG75" si="157">AC60+($AH60-$AC60)/5</f>
        <v>0</v>
      </c>
      <c r="AE60">
        <f t="shared" si="157"/>
        <v>0</v>
      </c>
      <c r="AF60">
        <f t="shared" si="157"/>
        <v>0</v>
      </c>
      <c r="AG60">
        <f t="shared" si="157"/>
        <v>0</v>
      </c>
      <c r="AH60">
        <f>('Cibles THREEME'!$DK$5+'Cibles THREEME'!$DK$7)/AH4</f>
        <v>0</v>
      </c>
      <c r="AI60">
        <f t="shared" ref="AI60:AL75" si="158">AH60+($AM60-$AH60)/5</f>
        <v>0</v>
      </c>
      <c r="AJ60">
        <f t="shared" si="158"/>
        <v>0</v>
      </c>
      <c r="AK60">
        <f t="shared" si="158"/>
        <v>0</v>
      </c>
      <c r="AL60">
        <f t="shared" si="158"/>
        <v>0</v>
      </c>
      <c r="AM60">
        <f>('Cibles THREEME'!$DL$5+'Cibles THREEME'!$DL$7)/AM4</f>
        <v>0</v>
      </c>
    </row>
    <row r="61" spans="1:39" x14ac:dyDescent="0.25">
      <c r="B61" s="588" t="s">
        <v>20</v>
      </c>
      <c r="C61">
        <v>2301</v>
      </c>
      <c r="D61" s="595">
        <f>'Cibles THREEME'!$DA8*11.64/D5</f>
        <v>7.9921040170571458E-2</v>
      </c>
      <c r="E61">
        <f t="shared" si="148"/>
        <v>8.1345832152024927E-2</v>
      </c>
      <c r="F61">
        <f t="shared" si="148"/>
        <v>8.2770624133478396E-2</v>
      </c>
      <c r="G61">
        <f t="shared" si="148"/>
        <v>8.4195416114931865E-2</v>
      </c>
      <c r="H61">
        <f t="shared" si="148"/>
        <v>8.5620208096385333E-2</v>
      </c>
      <c r="I61">
        <f>'Cibles THREEME'!$DB$8/I5</f>
        <v>8.704500007783883E-2</v>
      </c>
      <c r="J61">
        <f t="shared" si="149"/>
        <v>8.7598973322461443E-2</v>
      </c>
      <c r="K61">
        <f t="shared" si="149"/>
        <v>8.8152946567084056E-2</v>
      </c>
      <c r="L61">
        <f>'Cibles THREEME'!$DC$8/L5</f>
        <v>8.8706919811706683E-2</v>
      </c>
      <c r="M61">
        <f t="shared" si="150"/>
        <v>8.9280490404583412E-2</v>
      </c>
      <c r="N61">
        <f>'Cibles THREEME'!$DD$8/N5</f>
        <v>8.9854060997460142E-2</v>
      </c>
      <c r="O61">
        <f t="shared" si="151"/>
        <v>8.9793129671786667E-2</v>
      </c>
      <c r="P61">
        <f t="shared" si="151"/>
        <v>8.9732198346113193E-2</v>
      </c>
      <c r="Q61">
        <f>'Cibles THREEME'!$DE$8/Q5</f>
        <v>8.9671267020439704E-2</v>
      </c>
      <c r="R61">
        <f t="shared" si="152"/>
        <v>8.9613910920128922E-2</v>
      </c>
      <c r="S61">
        <f>'Cibles THREEME'!$DF$8/S5</f>
        <v>8.955655481981814E-2</v>
      </c>
      <c r="T61">
        <f t="shared" ref="T61:U61" si="159">S61+($V61-$S61)/3</f>
        <v>8.9385167001753918E-2</v>
      </c>
      <c r="U61">
        <f t="shared" si="159"/>
        <v>8.9213779183689695E-2</v>
      </c>
      <c r="V61">
        <f>'Cibles THREEME'!$DG$8/V5</f>
        <v>8.9042391365625459E-2</v>
      </c>
      <c r="W61">
        <f t="shared" si="154"/>
        <v>8.8881831650072574E-2</v>
      </c>
      <c r="X61">
        <f>'Cibles THREEME'!$DH$8/X5</f>
        <v>8.8721271934519702E-2</v>
      </c>
      <c r="Y61">
        <f t="shared" si="155"/>
        <v>8.8574851221499495E-2</v>
      </c>
      <c r="Z61">
        <f t="shared" si="155"/>
        <v>8.8428430508479289E-2</v>
      </c>
      <c r="AA61">
        <f>'Cibles THREEME'!$DI$8/AA5</f>
        <v>8.8282009795459068E-2</v>
      </c>
      <c r="AB61">
        <f t="shared" si="156"/>
        <v>8.8144001638643776E-2</v>
      </c>
      <c r="AC61">
        <f>'Cibles THREEME'!$DJ$8/AC5</f>
        <v>8.8005993481828471E-2</v>
      </c>
      <c r="AD61">
        <f t="shared" si="157"/>
        <v>8.7883555469836422E-2</v>
      </c>
      <c r="AE61">
        <f t="shared" si="157"/>
        <v>8.7761117457844373E-2</v>
      </c>
      <c r="AF61">
        <f t="shared" si="157"/>
        <v>8.7638679445852324E-2</v>
      </c>
      <c r="AG61">
        <f t="shared" si="157"/>
        <v>8.7516241433860276E-2</v>
      </c>
      <c r="AH61">
        <f>'Cibles THREEME'!$DK$8/AH5</f>
        <v>8.7393803421868227E-2</v>
      </c>
      <c r="AI61">
        <f t="shared" si="158"/>
        <v>8.7309807794689095E-2</v>
      </c>
      <c r="AJ61">
        <f t="shared" si="158"/>
        <v>8.7225812167509964E-2</v>
      </c>
      <c r="AK61">
        <f t="shared" si="158"/>
        <v>8.7141816540330833E-2</v>
      </c>
      <c r="AL61">
        <f t="shared" si="158"/>
        <v>8.7057820913151701E-2</v>
      </c>
      <c r="AM61">
        <f>'Cibles THREEME'!$DL$8/AM5</f>
        <v>8.697382528597257E-2</v>
      </c>
    </row>
    <row r="62" spans="1:39" x14ac:dyDescent="0.25">
      <c r="B62" s="589" t="s">
        <v>224</v>
      </c>
      <c r="C62">
        <f>C61+1</f>
        <v>2302</v>
      </c>
      <c r="D62" s="595">
        <f>'Cibles THREEME'!$DA9*11.64/D6</f>
        <v>7.9921040170571458E-2</v>
      </c>
      <c r="E62">
        <f t="shared" si="148"/>
        <v>8.1345832152024941E-2</v>
      </c>
      <c r="F62">
        <f t="shared" si="148"/>
        <v>8.2770624133478424E-2</v>
      </c>
      <c r="G62">
        <f t="shared" si="148"/>
        <v>8.4195416114931906E-2</v>
      </c>
      <c r="H62">
        <f t="shared" si="148"/>
        <v>8.5620208096385389E-2</v>
      </c>
      <c r="I62">
        <f>'Cibles THREEME'!$DB$9/I6</f>
        <v>8.7045000077838844E-2</v>
      </c>
      <c r="J62">
        <f t="shared" si="149"/>
        <v>9.0200418460916712E-2</v>
      </c>
      <c r="K62">
        <f t="shared" si="149"/>
        <v>9.335583684399458E-2</v>
      </c>
      <c r="L62">
        <f>'Cibles THREEME'!$DC$9/L6</f>
        <v>9.6511255227072462E-2</v>
      </c>
      <c r="M62">
        <f t="shared" si="150"/>
        <v>9.3182658112266309E-2</v>
      </c>
      <c r="N62">
        <f>'Cibles THREEME'!$DD$9/N6</f>
        <v>8.9854060997460142E-2</v>
      </c>
      <c r="O62">
        <f t="shared" si="151"/>
        <v>8.9793129671786667E-2</v>
      </c>
      <c r="P62">
        <f t="shared" si="151"/>
        <v>8.9732198346113193E-2</v>
      </c>
      <c r="Q62">
        <f>'Cibles THREEME'!$DE$9/Q6</f>
        <v>8.9671267020439718E-2</v>
      </c>
      <c r="R62">
        <f t="shared" si="152"/>
        <v>8.9613910920128936E-2</v>
      </c>
      <c r="S62">
        <f>'Cibles THREEME'!$DF$9/S6</f>
        <v>8.955655481981814E-2</v>
      </c>
      <c r="T62">
        <f t="shared" ref="T62:U62" si="160">S62+($V62-$S62)/3</f>
        <v>8.9385167001753904E-2</v>
      </c>
      <c r="U62">
        <f t="shared" si="160"/>
        <v>8.9213779183689668E-2</v>
      </c>
      <c r="V62">
        <f>'Cibles THREEME'!$DG$9/V6</f>
        <v>8.9042391365625445E-2</v>
      </c>
      <c r="W62">
        <f t="shared" si="154"/>
        <v>8.8881831650072574E-2</v>
      </c>
      <c r="X62">
        <f>'Cibles THREEME'!$DH$9/X6</f>
        <v>8.8721271934519702E-2</v>
      </c>
      <c r="Y62">
        <f t="shared" si="155"/>
        <v>8.8574851221499495E-2</v>
      </c>
      <c r="Z62">
        <f t="shared" si="155"/>
        <v>8.8428430508479289E-2</v>
      </c>
      <c r="AA62">
        <f>'Cibles THREEME'!$DI$9/AA6</f>
        <v>8.8282009795459082E-2</v>
      </c>
      <c r="AB62">
        <f t="shared" si="156"/>
        <v>8.8144001638643776E-2</v>
      </c>
      <c r="AC62">
        <f>'Cibles THREEME'!$DJ$9/AC6</f>
        <v>8.8005993481828484E-2</v>
      </c>
      <c r="AD62">
        <f t="shared" si="157"/>
        <v>8.7883555469836436E-2</v>
      </c>
      <c r="AE62">
        <f t="shared" si="157"/>
        <v>8.7761117457844387E-2</v>
      </c>
      <c r="AF62">
        <f t="shared" si="157"/>
        <v>8.7638679445852338E-2</v>
      </c>
      <c r="AG62">
        <f t="shared" si="157"/>
        <v>8.751624143386029E-2</v>
      </c>
      <c r="AH62">
        <f>'Cibles THREEME'!$DK$9/AH6</f>
        <v>8.7393803421868213E-2</v>
      </c>
      <c r="AI62">
        <f t="shared" si="158"/>
        <v>8.7309807794689082E-2</v>
      </c>
      <c r="AJ62">
        <f t="shared" si="158"/>
        <v>8.722581216750995E-2</v>
      </c>
      <c r="AK62">
        <f t="shared" si="158"/>
        <v>8.7141816540330819E-2</v>
      </c>
      <c r="AL62">
        <f t="shared" si="158"/>
        <v>8.7057820913151687E-2</v>
      </c>
      <c r="AM62">
        <f>'Cibles THREEME'!$DL$9/AM6</f>
        <v>8.697382528597257E-2</v>
      </c>
    </row>
    <row r="63" spans="1:39" x14ac:dyDescent="0.25">
      <c r="B63" s="589" t="s">
        <v>32</v>
      </c>
      <c r="C63">
        <f t="shared" ref="C63:C68" si="161">C62+1</f>
        <v>2303</v>
      </c>
      <c r="D63" s="595">
        <f>('Cibles THREEME'!$DA10+'Cibles THREEME'!$DA12)*11.64/D7</f>
        <v>7.9921040170571458E-2</v>
      </c>
      <c r="E63">
        <f t="shared" si="148"/>
        <v>8.1345832152024941E-2</v>
      </c>
      <c r="F63">
        <f t="shared" si="148"/>
        <v>8.2770624133478424E-2</v>
      </c>
      <c r="G63">
        <f t="shared" si="148"/>
        <v>8.4195416114931906E-2</v>
      </c>
      <c r="H63">
        <f t="shared" si="148"/>
        <v>8.5620208096385389E-2</v>
      </c>
      <c r="I63">
        <f>('Cibles THREEME'!$DB$10+'Cibles THREEME'!$DB$12)/I7</f>
        <v>8.7045000077838858E-2</v>
      </c>
      <c r="J63">
        <f t="shared" si="149"/>
        <v>8.7598973322461471E-2</v>
      </c>
      <c r="K63">
        <f t="shared" si="149"/>
        <v>8.8152946567084084E-2</v>
      </c>
      <c r="L63">
        <f>('Cibles THREEME'!$DC$10+'Cibles THREEME'!$DC$12)/L7</f>
        <v>8.8706919811706697E-2</v>
      </c>
      <c r="M63">
        <f t="shared" si="150"/>
        <v>8.9280490404583412E-2</v>
      </c>
      <c r="N63">
        <f>('Cibles THREEME'!$DD$10+'Cibles THREEME'!$DD$12)/N7</f>
        <v>8.9854060997460128E-2</v>
      </c>
      <c r="O63">
        <f t="shared" si="151"/>
        <v>8.9793129671786653E-2</v>
      </c>
      <c r="P63">
        <f t="shared" si="151"/>
        <v>8.9732198346113179E-2</v>
      </c>
      <c r="Q63">
        <f>('Cibles THREEME'!$DE$10+'Cibles THREEME'!$DE$12)/Q7</f>
        <v>8.9671267020439718E-2</v>
      </c>
      <c r="R63">
        <f t="shared" si="152"/>
        <v>8.9613910920128936E-2</v>
      </c>
      <c r="S63">
        <f>('Cibles THREEME'!$DF$10+'Cibles THREEME'!$DF$12)/S7</f>
        <v>8.955655481981814E-2</v>
      </c>
      <c r="T63">
        <f t="shared" ref="T63:U63" si="162">S63+($V63-$S63)/3</f>
        <v>8.9385167001753918E-2</v>
      </c>
      <c r="U63">
        <f t="shared" si="162"/>
        <v>8.9213779183689695E-2</v>
      </c>
      <c r="V63">
        <f>('Cibles THREEME'!$DG$10+'Cibles THREEME'!$DG$12)/V7</f>
        <v>8.9042391365625459E-2</v>
      </c>
      <c r="W63">
        <f t="shared" si="154"/>
        <v>8.8881831650072574E-2</v>
      </c>
      <c r="X63">
        <f>('Cibles THREEME'!$DH$10+'Cibles THREEME'!$DH$12)/X7</f>
        <v>8.8721271934519702E-2</v>
      </c>
      <c r="Y63">
        <f t="shared" si="155"/>
        <v>8.8574851221499495E-2</v>
      </c>
      <c r="Z63">
        <f t="shared" si="155"/>
        <v>8.8428430508479289E-2</v>
      </c>
      <c r="AA63">
        <f>('Cibles THREEME'!$DI$10+'Cibles THREEME'!$DI$12)/AA7</f>
        <v>8.8282009795459068E-2</v>
      </c>
      <c r="AB63">
        <f t="shared" si="156"/>
        <v>8.8144001638643776E-2</v>
      </c>
      <c r="AC63">
        <f>('Cibles THREEME'!$DJ$10+'Cibles THREEME'!$DJ$12)/AC7</f>
        <v>8.8005993481828484E-2</v>
      </c>
      <c r="AD63">
        <f t="shared" si="157"/>
        <v>8.7883555469836436E-2</v>
      </c>
      <c r="AE63">
        <f t="shared" si="157"/>
        <v>8.7761117457844387E-2</v>
      </c>
      <c r="AF63">
        <f t="shared" si="157"/>
        <v>8.7638679445852338E-2</v>
      </c>
      <c r="AG63">
        <f t="shared" si="157"/>
        <v>8.751624143386029E-2</v>
      </c>
      <c r="AH63">
        <f>('Cibles THREEME'!$DK$10+'Cibles THREEME'!$DK$12)/AH7</f>
        <v>8.7393803421868213E-2</v>
      </c>
      <c r="AI63">
        <f t="shared" si="158"/>
        <v>8.7309807794689082E-2</v>
      </c>
      <c r="AJ63">
        <f t="shared" si="158"/>
        <v>8.722581216750995E-2</v>
      </c>
      <c r="AK63">
        <f t="shared" si="158"/>
        <v>8.7141816540330819E-2</v>
      </c>
      <c r="AL63">
        <f t="shared" si="158"/>
        <v>8.7057820913151687E-2</v>
      </c>
      <c r="AM63">
        <f>('Cibles THREEME'!$DL$10+'Cibles THREEME'!$DL$12)/AM7</f>
        <v>8.697382528597257E-2</v>
      </c>
    </row>
    <row r="64" spans="1:39" x14ac:dyDescent="0.25">
      <c r="B64" s="589" t="s">
        <v>42</v>
      </c>
      <c r="C64">
        <f t="shared" si="161"/>
        <v>2304</v>
      </c>
      <c r="D64" s="595">
        <f>'Cibles THREEME'!$DA11*11.64/D8</f>
        <v>7.9921040170571458E-2</v>
      </c>
      <c r="E64">
        <f t="shared" si="148"/>
        <v>8.1345832152024941E-2</v>
      </c>
      <c r="F64">
        <f t="shared" si="148"/>
        <v>8.2770624133478424E-2</v>
      </c>
      <c r="G64">
        <f t="shared" si="148"/>
        <v>8.4195416114931906E-2</v>
      </c>
      <c r="H64">
        <f t="shared" si="148"/>
        <v>8.5620208096385389E-2</v>
      </c>
      <c r="I64">
        <f>'Cibles THREEME'!$DB$11/I8</f>
        <v>8.7045000077838858E-2</v>
      </c>
      <c r="J64">
        <f t="shared" si="149"/>
        <v>8.7598973322461471E-2</v>
      </c>
      <c r="K64">
        <f t="shared" si="149"/>
        <v>8.8152946567084084E-2</v>
      </c>
      <c r="L64">
        <f>'Cibles THREEME'!$DC$11/L8</f>
        <v>8.8706919811706697E-2</v>
      </c>
      <c r="M64">
        <f t="shared" si="150"/>
        <v>8.9280490404583412E-2</v>
      </c>
      <c r="N64">
        <f>'Cibles THREEME'!$DD$11/N8</f>
        <v>8.9854060997460128E-2</v>
      </c>
      <c r="O64">
        <f t="shared" si="151"/>
        <v>8.9793129671786653E-2</v>
      </c>
      <c r="P64">
        <f t="shared" si="151"/>
        <v>8.9732198346113179E-2</v>
      </c>
      <c r="Q64">
        <f>'Cibles THREEME'!$DE$11/Q8</f>
        <v>8.9671267020439718E-2</v>
      </c>
      <c r="R64">
        <f t="shared" si="152"/>
        <v>8.9613910920128936E-2</v>
      </c>
      <c r="S64">
        <f>'Cibles THREEME'!$DF$11/S8</f>
        <v>8.955655481981814E-2</v>
      </c>
      <c r="T64">
        <f t="shared" ref="T64:U64" si="163">S64+($V64-$S64)/3</f>
        <v>8.9385167001753904E-2</v>
      </c>
      <c r="U64">
        <f t="shared" si="163"/>
        <v>8.9213779183689668E-2</v>
      </c>
      <c r="V64">
        <f>'Cibles THREEME'!$DG$11/V8</f>
        <v>8.9042391365625431E-2</v>
      </c>
      <c r="W64">
        <f t="shared" si="154"/>
        <v>8.8881831650072574E-2</v>
      </c>
      <c r="X64">
        <f>'Cibles THREEME'!$DH$11/X8</f>
        <v>8.8721271934519702E-2</v>
      </c>
      <c r="Y64">
        <f t="shared" si="155"/>
        <v>8.8574851221499495E-2</v>
      </c>
      <c r="Z64">
        <f t="shared" si="155"/>
        <v>8.8428430508479289E-2</v>
      </c>
      <c r="AA64">
        <f>'Cibles THREEME'!$DI$11/AA8</f>
        <v>8.8282009795459082E-2</v>
      </c>
      <c r="AB64">
        <f t="shared" si="156"/>
        <v>8.8144001638643776E-2</v>
      </c>
      <c r="AC64">
        <f>'Cibles THREEME'!$DJ$11/AC8</f>
        <v>8.8005993481828484E-2</v>
      </c>
      <c r="AD64">
        <f t="shared" si="157"/>
        <v>8.7883555469836436E-2</v>
      </c>
      <c r="AE64">
        <f t="shared" si="157"/>
        <v>8.7761117457844387E-2</v>
      </c>
      <c r="AF64">
        <f t="shared" si="157"/>
        <v>8.7638679445852338E-2</v>
      </c>
      <c r="AG64">
        <f t="shared" si="157"/>
        <v>8.751624143386029E-2</v>
      </c>
      <c r="AH64">
        <f>'Cibles THREEME'!$DK$11/AH8</f>
        <v>8.7393803421868213E-2</v>
      </c>
      <c r="AI64">
        <f t="shared" si="158"/>
        <v>8.7309807794689082E-2</v>
      </c>
      <c r="AJ64">
        <f t="shared" si="158"/>
        <v>8.722581216750995E-2</v>
      </c>
      <c r="AK64">
        <f t="shared" si="158"/>
        <v>8.7141816540330819E-2</v>
      </c>
      <c r="AL64">
        <f t="shared" si="158"/>
        <v>8.7057820913151687E-2</v>
      </c>
      <c r="AM64">
        <f>'Cibles THREEME'!$DL$11/AM8</f>
        <v>8.697382528597257E-2</v>
      </c>
    </row>
    <row r="65" spans="2:39" x14ac:dyDescent="0.25">
      <c r="B65" s="589" t="s">
        <v>473</v>
      </c>
      <c r="C65">
        <f t="shared" si="161"/>
        <v>2305</v>
      </c>
      <c r="D65" s="595">
        <f>'Cibles THREEME'!$DA13*11.64/D9</f>
        <v>7.9921040170571445E-2</v>
      </c>
      <c r="E65">
        <f t="shared" si="148"/>
        <v>8.1345832152024927E-2</v>
      </c>
      <c r="F65">
        <f t="shared" si="148"/>
        <v>8.277062413347841E-2</v>
      </c>
      <c r="G65">
        <f t="shared" si="148"/>
        <v>8.4195416114931892E-2</v>
      </c>
      <c r="H65">
        <f t="shared" si="148"/>
        <v>8.5620208096385375E-2</v>
      </c>
      <c r="I65">
        <f>'Cibles THREEME'!$DB$13/I9</f>
        <v>8.7045000077838858E-2</v>
      </c>
      <c r="J65">
        <f t="shared" si="149"/>
        <v>8.7598973322461471E-2</v>
      </c>
      <c r="K65">
        <f t="shared" si="149"/>
        <v>8.8152946567084084E-2</v>
      </c>
      <c r="L65">
        <f>'Cibles THREEME'!$DC$13/L9</f>
        <v>8.8706919811706711E-2</v>
      </c>
      <c r="M65">
        <f t="shared" si="150"/>
        <v>8.9280490404583426E-2</v>
      </c>
      <c r="N65">
        <f>'Cibles THREEME'!$DD$13/N9</f>
        <v>8.9854060997460142E-2</v>
      </c>
      <c r="O65">
        <f t="shared" si="151"/>
        <v>8.9793129671786667E-2</v>
      </c>
      <c r="P65">
        <f t="shared" si="151"/>
        <v>8.9732198346113193E-2</v>
      </c>
      <c r="Q65">
        <f>'Cibles THREEME'!$DE$13/Q9</f>
        <v>8.9671267020439704E-2</v>
      </c>
      <c r="R65">
        <f t="shared" si="152"/>
        <v>8.9613910920128922E-2</v>
      </c>
      <c r="S65">
        <f>'Cibles THREEME'!$DF$13/S9</f>
        <v>8.955655481981814E-2</v>
      </c>
      <c r="T65">
        <f t="shared" ref="T65:U65" si="164">S65+($V65-$S65)/3</f>
        <v>8.9385167001753918E-2</v>
      </c>
      <c r="U65">
        <f t="shared" si="164"/>
        <v>8.9213779183689695E-2</v>
      </c>
      <c r="V65">
        <f>'Cibles THREEME'!$DG$13/V9</f>
        <v>8.9042391365625459E-2</v>
      </c>
      <c r="W65">
        <f t="shared" si="154"/>
        <v>8.8881831650072574E-2</v>
      </c>
      <c r="X65">
        <f>'Cibles THREEME'!$DH$13/X9</f>
        <v>8.8721271934519688E-2</v>
      </c>
      <c r="Y65">
        <f t="shared" si="155"/>
        <v>8.8574851221499482E-2</v>
      </c>
      <c r="Z65">
        <f t="shared" si="155"/>
        <v>8.8428430508479275E-2</v>
      </c>
      <c r="AA65">
        <f>'Cibles THREEME'!$DI$13/AA9</f>
        <v>8.8282009795459082E-2</v>
      </c>
      <c r="AB65">
        <f t="shared" si="156"/>
        <v>8.8144001638643776E-2</v>
      </c>
      <c r="AC65">
        <f>'Cibles THREEME'!$DJ$13/AC9</f>
        <v>8.8005993481828471E-2</v>
      </c>
      <c r="AD65">
        <f t="shared" si="157"/>
        <v>8.7883555469836422E-2</v>
      </c>
      <c r="AE65">
        <f t="shared" si="157"/>
        <v>8.7761117457844373E-2</v>
      </c>
      <c r="AF65">
        <f t="shared" si="157"/>
        <v>8.7638679445852324E-2</v>
      </c>
      <c r="AG65">
        <f t="shared" si="157"/>
        <v>8.7516241433860276E-2</v>
      </c>
      <c r="AH65">
        <f>'Cibles THREEME'!$DK$13/AH9</f>
        <v>8.7393803421868227E-2</v>
      </c>
      <c r="AI65">
        <f t="shared" si="158"/>
        <v>8.7309807794689095E-2</v>
      </c>
      <c r="AJ65">
        <f t="shared" si="158"/>
        <v>8.7225812167509964E-2</v>
      </c>
      <c r="AK65">
        <f t="shared" si="158"/>
        <v>8.7141816540330833E-2</v>
      </c>
      <c r="AL65">
        <f t="shared" si="158"/>
        <v>8.7057820913151701E-2</v>
      </c>
      <c r="AM65">
        <f>'Cibles THREEME'!$DL$13/AM9</f>
        <v>8.697382528597257E-2</v>
      </c>
    </row>
    <row r="66" spans="2:39" x14ac:dyDescent="0.25">
      <c r="B66" s="589" t="s">
        <v>279</v>
      </c>
      <c r="C66">
        <f t="shared" si="161"/>
        <v>2306</v>
      </c>
      <c r="D66" s="595">
        <f>'Cibles THREEME'!$DA14*11.64/D10</f>
        <v>7.9921040170571445E-2</v>
      </c>
      <c r="E66">
        <f t="shared" si="148"/>
        <v>8.1345832152024927E-2</v>
      </c>
      <c r="F66">
        <f t="shared" si="148"/>
        <v>8.277062413347841E-2</v>
      </c>
      <c r="G66">
        <f t="shared" si="148"/>
        <v>8.4195416114931892E-2</v>
      </c>
      <c r="H66">
        <f t="shared" si="148"/>
        <v>8.5620208096385375E-2</v>
      </c>
      <c r="I66">
        <f>'Cibles THREEME'!$DB$14/I10</f>
        <v>8.7045000077838858E-2</v>
      </c>
      <c r="J66">
        <f t="shared" si="149"/>
        <v>8.7598973322461471E-2</v>
      </c>
      <c r="K66">
        <f t="shared" si="149"/>
        <v>8.8152946567084084E-2</v>
      </c>
      <c r="L66">
        <f>'Cibles THREEME'!$DC$14/L10</f>
        <v>8.8706919811706697E-2</v>
      </c>
      <c r="M66">
        <f t="shared" si="150"/>
        <v>8.9280490404583412E-2</v>
      </c>
      <c r="N66">
        <f>'Cibles THREEME'!$DD$14/N10</f>
        <v>8.9854060997460142E-2</v>
      </c>
      <c r="O66">
        <f t="shared" si="151"/>
        <v>8.9793129671786667E-2</v>
      </c>
      <c r="P66">
        <f t="shared" si="151"/>
        <v>8.9732198346113193E-2</v>
      </c>
      <c r="Q66">
        <f>'Cibles THREEME'!$DE$14/Q10</f>
        <v>8.9671267020439704E-2</v>
      </c>
      <c r="R66">
        <f t="shared" si="152"/>
        <v>8.9613910920128936E-2</v>
      </c>
      <c r="S66">
        <f>'Cibles THREEME'!$DF$14/S10</f>
        <v>8.9556554819818154E-2</v>
      </c>
      <c r="T66">
        <f t="shared" ref="T66:U66" si="165">S66+($V66-$S66)/3</f>
        <v>8.9385167001753918E-2</v>
      </c>
      <c r="U66">
        <f t="shared" si="165"/>
        <v>8.9213779183689682E-2</v>
      </c>
      <c r="V66">
        <f>'Cibles THREEME'!$DG$14/V10</f>
        <v>8.9042391365625459E-2</v>
      </c>
      <c r="W66">
        <f t="shared" si="154"/>
        <v>8.8881831650072574E-2</v>
      </c>
      <c r="X66">
        <f>'Cibles THREEME'!$DH$14/X10</f>
        <v>8.8721271934519688E-2</v>
      </c>
      <c r="Y66">
        <f t="shared" si="155"/>
        <v>8.8574851221499482E-2</v>
      </c>
      <c r="Z66">
        <f t="shared" si="155"/>
        <v>8.8428430508479275E-2</v>
      </c>
      <c r="AA66">
        <f>'Cibles THREEME'!$DI$14/AA10</f>
        <v>8.8282009795459082E-2</v>
      </c>
      <c r="AB66">
        <f t="shared" si="156"/>
        <v>8.8144001638643776E-2</v>
      </c>
      <c r="AC66">
        <f>'Cibles THREEME'!$DJ$14/AC10</f>
        <v>8.8005993481828471E-2</v>
      </c>
      <c r="AD66">
        <f t="shared" si="157"/>
        <v>8.7883555469836422E-2</v>
      </c>
      <c r="AE66">
        <f t="shared" si="157"/>
        <v>8.7761117457844373E-2</v>
      </c>
      <c r="AF66">
        <f t="shared" si="157"/>
        <v>8.7638679445852324E-2</v>
      </c>
      <c r="AG66">
        <f t="shared" si="157"/>
        <v>8.7516241433860276E-2</v>
      </c>
      <c r="AH66">
        <f>'Cibles THREEME'!$DK$14/AH10</f>
        <v>8.7393803421868227E-2</v>
      </c>
      <c r="AI66">
        <f t="shared" si="158"/>
        <v>8.7309807794689095E-2</v>
      </c>
      <c r="AJ66">
        <f t="shared" si="158"/>
        <v>8.7225812167509964E-2</v>
      </c>
      <c r="AK66">
        <f t="shared" si="158"/>
        <v>8.7141816540330833E-2</v>
      </c>
      <c r="AL66">
        <f t="shared" si="158"/>
        <v>8.7057820913151701E-2</v>
      </c>
      <c r="AM66">
        <f>'Cibles THREEME'!$DL$14/AM10</f>
        <v>8.6973825285972556E-2</v>
      </c>
    </row>
    <row r="67" spans="2:39" x14ac:dyDescent="0.25">
      <c r="B67" s="589" t="s">
        <v>18</v>
      </c>
      <c r="C67">
        <f t="shared" si="161"/>
        <v>2307</v>
      </c>
      <c r="D67" s="595">
        <f>'Cibles THREEME'!$DA15*11.64/D11</f>
        <v>7.9921040170571458E-2</v>
      </c>
      <c r="E67">
        <f t="shared" si="148"/>
        <v>8.1345832152024941E-2</v>
      </c>
      <c r="F67">
        <f t="shared" si="148"/>
        <v>8.2770624133478424E-2</v>
      </c>
      <c r="G67">
        <f t="shared" si="148"/>
        <v>8.4195416114931906E-2</v>
      </c>
      <c r="H67">
        <f t="shared" si="148"/>
        <v>8.5620208096385389E-2</v>
      </c>
      <c r="I67">
        <f>'Cibles THREEME'!$DB$15/I11</f>
        <v>8.7045000077838844E-2</v>
      </c>
      <c r="J67">
        <f t="shared" si="149"/>
        <v>8.7598973322461471E-2</v>
      </c>
      <c r="K67">
        <f t="shared" si="149"/>
        <v>8.8152946567084098E-2</v>
      </c>
      <c r="L67">
        <f>'Cibles THREEME'!$DC$15/L11</f>
        <v>8.8706919811706725E-2</v>
      </c>
      <c r="M67">
        <f t="shared" si="150"/>
        <v>8.928049040458344E-2</v>
      </c>
      <c r="N67">
        <f>'Cibles THREEME'!$DD$15/N11</f>
        <v>8.9854060997460142E-2</v>
      </c>
      <c r="O67">
        <f t="shared" si="151"/>
        <v>8.9793129671786667E-2</v>
      </c>
      <c r="P67">
        <f t="shared" si="151"/>
        <v>8.9732198346113193E-2</v>
      </c>
      <c r="Q67">
        <f>'Cibles THREEME'!$DE$15/Q11</f>
        <v>8.9671267020439704E-2</v>
      </c>
      <c r="R67">
        <f t="shared" si="152"/>
        <v>8.9613910920128922E-2</v>
      </c>
      <c r="S67">
        <f>'Cibles THREEME'!$DF$15/S11</f>
        <v>8.955655481981814E-2</v>
      </c>
      <c r="T67">
        <f t="shared" ref="T67:U67" si="166">S67+($V67-$S67)/3</f>
        <v>8.9385167001753918E-2</v>
      </c>
      <c r="U67">
        <f t="shared" si="166"/>
        <v>8.9213779183689695E-2</v>
      </c>
      <c r="V67">
        <f>'Cibles THREEME'!$DG$15/V11</f>
        <v>8.9042391365625459E-2</v>
      </c>
      <c r="W67">
        <f t="shared" si="154"/>
        <v>8.8881831650072574E-2</v>
      </c>
      <c r="X67">
        <f>'Cibles THREEME'!$DH$15/X11</f>
        <v>8.8721271934519702E-2</v>
      </c>
      <c r="Y67">
        <f t="shared" si="155"/>
        <v>8.8574851221499495E-2</v>
      </c>
      <c r="Z67">
        <f t="shared" si="155"/>
        <v>8.8428430508479289E-2</v>
      </c>
      <c r="AA67">
        <f>'Cibles THREEME'!$DI$15/AA11</f>
        <v>8.8282009795459082E-2</v>
      </c>
      <c r="AB67">
        <f t="shared" si="156"/>
        <v>8.8144001638643776E-2</v>
      </c>
      <c r="AC67">
        <f>'Cibles THREEME'!$DJ$15/AC11</f>
        <v>8.8005993481828471E-2</v>
      </c>
      <c r="AD67">
        <f t="shared" si="157"/>
        <v>8.7883555469836422E-2</v>
      </c>
      <c r="AE67">
        <f t="shared" si="157"/>
        <v>8.7761117457844373E-2</v>
      </c>
      <c r="AF67">
        <f t="shared" si="157"/>
        <v>8.7638679445852324E-2</v>
      </c>
      <c r="AG67">
        <f t="shared" si="157"/>
        <v>8.7516241433860276E-2</v>
      </c>
      <c r="AH67">
        <f>'Cibles THREEME'!$DK$15/AH11</f>
        <v>8.7393803421868213E-2</v>
      </c>
      <c r="AI67">
        <f t="shared" si="158"/>
        <v>8.7309807794689082E-2</v>
      </c>
      <c r="AJ67">
        <f t="shared" si="158"/>
        <v>8.722581216750995E-2</v>
      </c>
      <c r="AK67">
        <f t="shared" si="158"/>
        <v>8.7141816540330819E-2</v>
      </c>
      <c r="AL67">
        <f t="shared" si="158"/>
        <v>8.7057820913151687E-2</v>
      </c>
      <c r="AM67">
        <f>'Cibles THREEME'!$DL$15/AM11</f>
        <v>8.697382528597257E-2</v>
      </c>
    </row>
    <row r="68" spans="2:39" ht="15.75" thickBot="1" x14ac:dyDescent="0.3">
      <c r="B68" s="590" t="s">
        <v>476</v>
      </c>
      <c r="C68">
        <f t="shared" si="161"/>
        <v>2308</v>
      </c>
      <c r="D68" s="595">
        <f>'Cibles THREEME'!$DA16*11.64/D12</f>
        <v>7.9921040170571445E-2</v>
      </c>
      <c r="E68">
        <f t="shared" si="148"/>
        <v>8.1345832152024927E-2</v>
      </c>
      <c r="F68">
        <f t="shared" si="148"/>
        <v>8.277062413347841E-2</v>
      </c>
      <c r="G68">
        <f t="shared" si="148"/>
        <v>8.4195416114931892E-2</v>
      </c>
      <c r="H68">
        <f t="shared" si="148"/>
        <v>8.5620208096385375E-2</v>
      </c>
      <c r="I68">
        <f>'Cibles THREEME'!$DB$16/I12</f>
        <v>8.7045000077838858E-2</v>
      </c>
      <c r="J68">
        <f t="shared" si="149"/>
        <v>8.7598973322461471E-2</v>
      </c>
      <c r="K68">
        <f t="shared" si="149"/>
        <v>8.8152946567084084E-2</v>
      </c>
      <c r="L68">
        <f>'Cibles THREEME'!$DC$16/L12</f>
        <v>8.8706919811706683E-2</v>
      </c>
      <c r="M68">
        <f t="shared" si="150"/>
        <v>8.9280490404583412E-2</v>
      </c>
      <c r="N68">
        <f>'Cibles THREEME'!$DD$16/N12</f>
        <v>8.9854060997460142E-2</v>
      </c>
      <c r="O68">
        <f t="shared" si="151"/>
        <v>8.9793129671786667E-2</v>
      </c>
      <c r="P68">
        <f t="shared" si="151"/>
        <v>8.9732198346113193E-2</v>
      </c>
      <c r="Q68">
        <f>'Cibles THREEME'!$DE$16/Q12</f>
        <v>8.9671267020439718E-2</v>
      </c>
      <c r="R68">
        <f t="shared" si="152"/>
        <v>8.9613910920128936E-2</v>
      </c>
      <c r="S68">
        <f>'Cibles THREEME'!$DF$16/S12</f>
        <v>8.9556554819818154E-2</v>
      </c>
      <c r="T68">
        <f t="shared" ref="T68:U68" si="167">S68+($V68-$S68)/3</f>
        <v>8.9385167001753918E-2</v>
      </c>
      <c r="U68">
        <f t="shared" si="167"/>
        <v>8.9213779183689682E-2</v>
      </c>
      <c r="V68">
        <f>'Cibles THREEME'!$DG$16/V12</f>
        <v>8.9042391365625445E-2</v>
      </c>
      <c r="W68">
        <f t="shared" si="154"/>
        <v>8.8881831650072574E-2</v>
      </c>
      <c r="X68">
        <f>'Cibles THREEME'!$DH$16/X12</f>
        <v>8.8721271934519688E-2</v>
      </c>
      <c r="Y68">
        <f t="shared" si="155"/>
        <v>8.8574851221499482E-2</v>
      </c>
      <c r="Z68">
        <f t="shared" si="155"/>
        <v>8.8428430508479275E-2</v>
      </c>
      <c r="AA68">
        <f>'Cibles THREEME'!$DI$16/AA12</f>
        <v>8.8282009795459068E-2</v>
      </c>
      <c r="AB68">
        <f t="shared" si="156"/>
        <v>8.8144001638643776E-2</v>
      </c>
      <c r="AC68">
        <f>'Cibles THREEME'!$DJ$16/AC12</f>
        <v>8.8005993481828484E-2</v>
      </c>
      <c r="AD68">
        <f t="shared" si="157"/>
        <v>8.7883555469836436E-2</v>
      </c>
      <c r="AE68">
        <f t="shared" si="157"/>
        <v>8.7761117457844387E-2</v>
      </c>
      <c r="AF68">
        <f t="shared" si="157"/>
        <v>8.7638679445852338E-2</v>
      </c>
      <c r="AG68">
        <f t="shared" si="157"/>
        <v>8.751624143386029E-2</v>
      </c>
      <c r="AH68">
        <f>'Cibles THREEME'!$DK$16/AH12</f>
        <v>8.7393803421868241E-2</v>
      </c>
      <c r="AI68">
        <f t="shared" si="158"/>
        <v>8.7309807794689109E-2</v>
      </c>
      <c r="AJ68">
        <f t="shared" si="158"/>
        <v>8.7225812167509978E-2</v>
      </c>
      <c r="AK68">
        <f t="shared" si="158"/>
        <v>8.7141816540330846E-2</v>
      </c>
      <c r="AL68">
        <f t="shared" si="158"/>
        <v>8.7057820913151715E-2</v>
      </c>
      <c r="AM68">
        <f>'Cibles THREEME'!$DL$16/AM12</f>
        <v>8.697382528597257E-2</v>
      </c>
    </row>
    <row r="69" spans="2:39" x14ac:dyDescent="0.25">
      <c r="B69" s="588" t="s">
        <v>287</v>
      </c>
      <c r="C69">
        <v>2401</v>
      </c>
      <c r="D69" s="595">
        <f>'Cibles THREEME'!$DA17*11.64/D13</f>
        <v>1.9467833156530601E-2</v>
      </c>
      <c r="E69">
        <f t="shared" si="148"/>
        <v>1.8791217127203438E-2</v>
      </c>
      <c r="F69">
        <f t="shared" si="148"/>
        <v>1.8114601097876274E-2</v>
      </c>
      <c r="G69">
        <f t="shared" si="148"/>
        <v>1.743798506854911E-2</v>
      </c>
      <c r="H69">
        <f t="shared" si="148"/>
        <v>1.6761369039221947E-2</v>
      </c>
      <c r="I69" s="404">
        <f>'Cibles THREEME'!$DB$17/I13</f>
        <v>1.608475300989478E-2</v>
      </c>
      <c r="J69">
        <f t="shared" si="149"/>
        <v>1.6688742758372701E-2</v>
      </c>
      <c r="K69">
        <f t="shared" si="149"/>
        <v>1.7292732506850622E-2</v>
      </c>
      <c r="L69" s="404">
        <f>'Cibles THREEME'!$DC$17/L13</f>
        <v>1.7896722255328543E-2</v>
      </c>
      <c r="M69">
        <f t="shared" si="150"/>
        <v>1.6962059026036896E-2</v>
      </c>
      <c r="N69" s="404">
        <f>'Cibles THREEME'!$DD$17/N13</f>
        <v>1.6027395796745249E-2</v>
      </c>
      <c r="O69">
        <f t="shared" si="151"/>
        <v>1.6023251657545885E-2</v>
      </c>
      <c r="P69">
        <f t="shared" si="151"/>
        <v>1.601910751834652E-2</v>
      </c>
      <c r="Q69" s="404">
        <f>'Cibles THREEME'!$DE$17/Q13</f>
        <v>1.6014963379147158E-2</v>
      </c>
      <c r="R69">
        <f t="shared" si="152"/>
        <v>1.6012197899967179E-2</v>
      </c>
      <c r="S69" s="404">
        <f>'Cibles THREEME'!$DF$17/S13</f>
        <v>1.6009432420787201E-2</v>
      </c>
      <c r="T69">
        <f t="shared" ref="T69:U69" si="168">S69+($V69-$S69)/3</f>
        <v>1.6034543195404361E-2</v>
      </c>
      <c r="U69">
        <f t="shared" si="168"/>
        <v>1.6059653970021522E-2</v>
      </c>
      <c r="V69" s="404">
        <f>'Cibles THREEME'!$DG$17/V13</f>
        <v>1.6084764744638679E-2</v>
      </c>
      <c r="W69">
        <f t="shared" si="154"/>
        <v>1.6111498723985831E-2</v>
      </c>
      <c r="X69" s="404">
        <f>'Cibles THREEME'!$DH$17/X13</f>
        <v>1.6138232703332984E-2</v>
      </c>
      <c r="Y69">
        <f t="shared" si="155"/>
        <v>1.6156195407216942E-2</v>
      </c>
      <c r="Z69">
        <f t="shared" si="155"/>
        <v>1.61741581111009E-2</v>
      </c>
      <c r="AA69" s="404">
        <f>'Cibles THREEME'!$DI$17/AA13</f>
        <v>1.6192120814984858E-2</v>
      </c>
      <c r="AB69">
        <f t="shared" si="156"/>
        <v>1.6211304175061982E-2</v>
      </c>
      <c r="AC69" s="404">
        <f>'Cibles THREEME'!$DJ$17/AC13</f>
        <v>1.6230487535139105E-2</v>
      </c>
      <c r="AD69">
        <f t="shared" si="157"/>
        <v>1.6263871778345814E-2</v>
      </c>
      <c r="AE69">
        <f t="shared" si="157"/>
        <v>1.6297256021552523E-2</v>
      </c>
      <c r="AF69">
        <f t="shared" si="157"/>
        <v>1.6330640264759232E-2</v>
      </c>
      <c r="AG69">
        <f t="shared" si="157"/>
        <v>1.6364024507965941E-2</v>
      </c>
      <c r="AH69" s="404">
        <f>'Cibles THREEME'!$DK$17/AH13</f>
        <v>1.6397408751172658E-2</v>
      </c>
      <c r="AI69">
        <f t="shared" si="158"/>
        <v>1.6704570887236172E-2</v>
      </c>
      <c r="AJ69">
        <f t="shared" si="158"/>
        <v>1.7011733023299686E-2</v>
      </c>
      <c r="AK69">
        <f t="shared" si="158"/>
        <v>1.7318895159363201E-2</v>
      </c>
      <c r="AL69">
        <f t="shared" si="158"/>
        <v>1.7626057295426715E-2</v>
      </c>
      <c r="AM69" s="404">
        <f>'Cibles THREEME'!$DL$17/AM13</f>
        <v>1.7933219431490222E-2</v>
      </c>
    </row>
    <row r="70" spans="2:39" x14ac:dyDescent="0.25">
      <c r="B70" s="589" t="s">
        <v>289</v>
      </c>
      <c r="C70">
        <v>2402</v>
      </c>
      <c r="D70" s="595">
        <f>'Cibles THREEME'!$DA18*11.64/D14</f>
        <v>8.4468232694062482E-3</v>
      </c>
      <c r="E70">
        <f t="shared" si="148"/>
        <v>8.0296105964337231E-3</v>
      </c>
      <c r="F70">
        <f t="shared" si="148"/>
        <v>7.6123979234611972E-3</v>
      </c>
      <c r="G70">
        <f t="shared" si="148"/>
        <v>7.1951852504886712E-3</v>
      </c>
      <c r="H70">
        <f t="shared" si="148"/>
        <v>6.7779725775161453E-3</v>
      </c>
      <c r="I70" s="404">
        <f>'Cibles THREEME'!$DB$18/I14</f>
        <v>6.3607599045436202E-3</v>
      </c>
      <c r="J70">
        <f t="shared" si="149"/>
        <v>7.4762812460454934E-3</v>
      </c>
      <c r="K70">
        <f t="shared" si="149"/>
        <v>8.5918025875473657E-3</v>
      </c>
      <c r="L70" s="404">
        <f>'Cibles THREEME'!$DC$18/L14</f>
        <v>9.7073239290492389E-3</v>
      </c>
      <c r="M70">
        <f t="shared" si="150"/>
        <v>9.5104853934918181E-3</v>
      </c>
      <c r="N70" s="404">
        <f>'Cibles THREEME'!$DD$18/N14</f>
        <v>9.3136468579343972E-3</v>
      </c>
      <c r="O70">
        <f t="shared" si="151"/>
        <v>9.0963436852797442E-3</v>
      </c>
      <c r="P70">
        <f t="shared" si="151"/>
        <v>8.8790405126250912E-3</v>
      </c>
      <c r="Q70" s="404">
        <f>'Cibles THREEME'!$DE$18/Q14</f>
        <v>8.6617373399704399E-3</v>
      </c>
      <c r="R70">
        <f t="shared" si="152"/>
        <v>8.4572104742730581E-3</v>
      </c>
      <c r="S70" s="404">
        <f>'Cibles THREEME'!$DF$18/S14</f>
        <v>8.2526836085756762E-3</v>
      </c>
      <c r="T70">
        <f t="shared" ref="T70:U70" si="169">S70+($V70-$S70)/3</f>
        <v>8.0751224199680643E-3</v>
      </c>
      <c r="U70">
        <f t="shared" si="169"/>
        <v>7.8975612313604525E-3</v>
      </c>
      <c r="V70" s="404">
        <f>'Cibles THREEME'!$DG$18/V14</f>
        <v>7.7200000427528424E-3</v>
      </c>
      <c r="W70">
        <f t="shared" si="154"/>
        <v>7.5556997383965695E-3</v>
      </c>
      <c r="X70" s="404">
        <f>'Cibles THREEME'!$DH$18/X14</f>
        <v>7.3913994340402966E-3</v>
      </c>
      <c r="Y70">
        <f t="shared" si="155"/>
        <v>7.3285706193608842E-3</v>
      </c>
      <c r="Z70">
        <f t="shared" si="155"/>
        <v>7.2657418046814717E-3</v>
      </c>
      <c r="AA70" s="404">
        <f>'Cibles THREEME'!$DI$18/AA14</f>
        <v>7.2029129900020583E-3</v>
      </c>
      <c r="AB70">
        <f t="shared" si="156"/>
        <v>7.1427610819192293E-3</v>
      </c>
      <c r="AC70" s="404">
        <f>'Cibles THREEME'!$DJ$18/AC14</f>
        <v>7.0826091738364003E-3</v>
      </c>
      <c r="AD70">
        <f t="shared" si="157"/>
        <v>7.0248540539099413E-3</v>
      </c>
      <c r="AE70">
        <f t="shared" si="157"/>
        <v>6.9670989339834823E-3</v>
      </c>
      <c r="AF70">
        <f t="shared" si="157"/>
        <v>6.9093438140570233E-3</v>
      </c>
      <c r="AG70">
        <f t="shared" si="157"/>
        <v>6.8515886941305643E-3</v>
      </c>
      <c r="AH70" s="404">
        <f>'Cibles THREEME'!$DK$18/AH14</f>
        <v>6.793833574204107E-3</v>
      </c>
      <c r="AI70">
        <f t="shared" si="158"/>
        <v>6.788780244354752E-3</v>
      </c>
      <c r="AJ70">
        <f t="shared" si="158"/>
        <v>6.7837269145053971E-3</v>
      </c>
      <c r="AK70">
        <f t="shared" si="158"/>
        <v>6.7786735846560421E-3</v>
      </c>
      <c r="AL70">
        <f t="shared" si="158"/>
        <v>6.7736202548066872E-3</v>
      </c>
      <c r="AM70" s="404">
        <f>'Cibles THREEME'!$DL$18/AM14</f>
        <v>6.7685669249573322E-3</v>
      </c>
    </row>
    <row r="71" spans="2:39" x14ac:dyDescent="0.25">
      <c r="B71" s="589" t="s">
        <v>291</v>
      </c>
      <c r="C71">
        <v>2403</v>
      </c>
      <c r="D71" s="595">
        <f>('Cibles THREEME'!$DA19+'Cibles THREEME'!$DA20)*11.64/D15</f>
        <v>0.40271506230012583</v>
      </c>
      <c r="E71">
        <f t="shared" si="148"/>
        <v>0.34032888196556033</v>
      </c>
      <c r="F71">
        <f t="shared" si="148"/>
        <v>0.27794270163099483</v>
      </c>
      <c r="G71">
        <f t="shared" si="148"/>
        <v>0.2155565212964293</v>
      </c>
      <c r="H71">
        <f t="shared" si="148"/>
        <v>0.15317034096186377</v>
      </c>
      <c r="I71" s="404">
        <f>('Cibles THREEME'!$DB$19+'Cibles THREEME'!$DB$19)/I15</f>
        <v>9.078416062729823E-2</v>
      </c>
      <c r="J71">
        <f t="shared" si="149"/>
        <v>7.1342347930273026E-2</v>
      </c>
      <c r="K71">
        <f t="shared" si="149"/>
        <v>5.1900535233247821E-2</v>
      </c>
      <c r="L71" s="404">
        <f>('Cibles THREEME'!$DC$19+'Cibles THREEME'!$DC$19)/L15</f>
        <v>3.2458722536222624E-2</v>
      </c>
      <c r="M71">
        <f t="shared" si="150"/>
        <v>3.1989406792758295E-2</v>
      </c>
      <c r="N71" s="404">
        <f>('Cibles THREEME'!$DD$19+'Cibles THREEME'!$DD$19)/N15</f>
        <v>3.1520091049293965E-2</v>
      </c>
      <c r="O71">
        <f t="shared" si="151"/>
        <v>3.1217160066485172E-2</v>
      </c>
      <c r="P71">
        <f t="shared" si="151"/>
        <v>3.091422908367638E-2</v>
      </c>
      <c r="Q71" s="404">
        <f>('Cibles THREEME'!$DE$19+'Cibles THREEME'!$DE$19)/Q15</f>
        <v>3.0611298100867591E-2</v>
      </c>
      <c r="R71">
        <f t="shared" si="152"/>
        <v>3.0308533724075194E-2</v>
      </c>
      <c r="S71" s="404">
        <f>('Cibles THREEME'!$DF$19+'Cibles THREEME'!$DF$19)/S15</f>
        <v>3.0005769347282794E-2</v>
      </c>
      <c r="T71">
        <f t="shared" ref="T71:U71" si="170">S71+($V71-$S71)/3</f>
        <v>2.8791749119084636E-2</v>
      </c>
      <c r="U71">
        <f t="shared" si="170"/>
        <v>2.7577728890886478E-2</v>
      </c>
      <c r="V71" s="404">
        <f>('Cibles THREEME'!$DG$19+'Cibles THREEME'!$DG$19)/V15</f>
        <v>2.6363708662688324E-2</v>
      </c>
      <c r="W71">
        <f t="shared" si="154"/>
        <v>2.5345236295222957E-2</v>
      </c>
      <c r="X71" s="404">
        <f>('Cibles THREEME'!$DH$19+'Cibles THREEME'!$DH$19)/X15</f>
        <v>2.4326763927757594E-2</v>
      </c>
      <c r="Y71">
        <f t="shared" si="155"/>
        <v>2.3414377428426496E-2</v>
      </c>
      <c r="Z71">
        <f t="shared" si="155"/>
        <v>2.2501990929095397E-2</v>
      </c>
      <c r="AA71" s="404">
        <f>('Cibles THREEME'!$DI$19+'Cibles THREEME'!$DI$19)/AA15</f>
        <v>2.1589604429764302E-2</v>
      </c>
      <c r="AB71">
        <f t="shared" si="156"/>
        <v>2.0819977099304249E-2</v>
      </c>
      <c r="AC71" s="404">
        <f>('Cibles THREEME'!$DJ$19+'Cibles THREEME'!$DJ$19)/AC15</f>
        <v>2.0050349768844199E-2</v>
      </c>
      <c r="AD71">
        <f t="shared" si="157"/>
        <v>1.9471037027226898E-2</v>
      </c>
      <c r="AE71">
        <f t="shared" si="157"/>
        <v>1.8891724285609597E-2</v>
      </c>
      <c r="AF71">
        <f t="shared" si="157"/>
        <v>1.8312411543992296E-2</v>
      </c>
      <c r="AG71">
        <f t="shared" si="157"/>
        <v>1.7733098802374996E-2</v>
      </c>
      <c r="AH71" s="404">
        <f>('Cibles THREEME'!$DK$19+'Cibles THREEME'!$DK$19)/AH15</f>
        <v>1.7153786060757688E-2</v>
      </c>
      <c r="AI71">
        <f t="shared" si="158"/>
        <v>1.7010928790660806E-2</v>
      </c>
      <c r="AJ71">
        <f t="shared" si="158"/>
        <v>1.6868071520563924E-2</v>
      </c>
      <c r="AK71">
        <f t="shared" si="158"/>
        <v>1.6725214250467042E-2</v>
      </c>
      <c r="AL71">
        <f t="shared" si="158"/>
        <v>1.658235698037016E-2</v>
      </c>
      <c r="AM71" s="404">
        <f>('Cibles THREEME'!$DL$19+'Cibles THREEME'!$DL$19)/AM15</f>
        <v>1.6439499710273271E-2</v>
      </c>
    </row>
    <row r="72" spans="2:39" x14ac:dyDescent="0.25">
      <c r="B72" s="589" t="s">
        <v>293</v>
      </c>
      <c r="C72">
        <v>2404</v>
      </c>
      <c r="D72" s="595">
        <f>'Cibles THREEME'!$DA21*11.64/D16</f>
        <v>0.25940455714325639</v>
      </c>
      <c r="E72">
        <f t="shared" si="148"/>
        <v>0.22364382264957722</v>
      </c>
      <c r="F72">
        <f t="shared" si="148"/>
        <v>0.18788308815589805</v>
      </c>
      <c r="G72">
        <f t="shared" si="148"/>
        <v>0.15212235366221888</v>
      </c>
      <c r="H72">
        <f t="shared" si="148"/>
        <v>0.11636161916853971</v>
      </c>
      <c r="I72">
        <f>'Cibles THREEME'!$DB$21/I16</f>
        <v>8.060088467486054E-2</v>
      </c>
      <c r="J72">
        <f t="shared" si="149"/>
        <v>7.9407603333981364E-2</v>
      </c>
      <c r="K72">
        <f t="shared" si="149"/>
        <v>7.8214321993102187E-2</v>
      </c>
      <c r="L72">
        <f>'Cibles THREEME'!$DC$21/L16</f>
        <v>7.7021040652222997E-2</v>
      </c>
      <c r="M72">
        <f t="shared" si="150"/>
        <v>7.4581829311749087E-2</v>
      </c>
      <c r="N72">
        <f>'Cibles THREEME'!$DD$21/N16</f>
        <v>7.2142617971275191E-2</v>
      </c>
      <c r="O72">
        <f t="shared" si="151"/>
        <v>7.2066907838813449E-2</v>
      </c>
      <c r="P72">
        <f t="shared" si="151"/>
        <v>7.1991197706351706E-2</v>
      </c>
      <c r="Q72">
        <f>'Cibles THREEME'!$DE$21/Q16</f>
        <v>7.191548757388995E-2</v>
      </c>
      <c r="R72">
        <f t="shared" si="152"/>
        <v>7.1838537928195126E-2</v>
      </c>
      <c r="S72">
        <f>'Cibles THREEME'!$DF$21/S16</f>
        <v>7.1761588282500302E-2</v>
      </c>
      <c r="T72">
        <f t="shared" ref="T72:U72" si="171">S72+($V72-$S72)/3</f>
        <v>7.1723179727713665E-2</v>
      </c>
      <c r="U72">
        <f t="shared" si="171"/>
        <v>7.1684771172927028E-2</v>
      </c>
      <c r="V72">
        <f>'Cibles THREEME'!$DG$21/V16</f>
        <v>7.1646362618140391E-2</v>
      </c>
      <c r="W72">
        <f t="shared" si="154"/>
        <v>7.1613824768386292E-2</v>
      </c>
      <c r="X72">
        <f>'Cibles THREEME'!$DH$21/X16</f>
        <v>7.1581286918632192E-2</v>
      </c>
      <c r="Y72">
        <f t="shared" si="155"/>
        <v>7.1580850477034566E-2</v>
      </c>
      <c r="Z72">
        <f t="shared" si="155"/>
        <v>7.158041403543694E-2</v>
      </c>
      <c r="AA72">
        <f>'Cibles THREEME'!$DI$21/AA16</f>
        <v>7.1579977593839314E-2</v>
      </c>
      <c r="AB72">
        <f t="shared" si="156"/>
        <v>7.1585643618291089E-2</v>
      </c>
      <c r="AC72">
        <f>'Cibles THREEME'!$DJ$21/AC16</f>
        <v>7.1591309642742879E-2</v>
      </c>
      <c r="AD72">
        <f t="shared" si="157"/>
        <v>7.1614047043804363E-2</v>
      </c>
      <c r="AE72">
        <f t="shared" si="157"/>
        <v>7.1636784444865848E-2</v>
      </c>
      <c r="AF72">
        <f t="shared" si="157"/>
        <v>7.1659521845927332E-2</v>
      </c>
      <c r="AG72">
        <f t="shared" si="157"/>
        <v>7.1682259246988816E-2</v>
      </c>
      <c r="AH72">
        <f>'Cibles THREEME'!$DK$21/AH16</f>
        <v>7.1704996648050287E-2</v>
      </c>
      <c r="AI72">
        <f t="shared" si="158"/>
        <v>7.1750467750935965E-2</v>
      </c>
      <c r="AJ72">
        <f t="shared" si="158"/>
        <v>7.1795938853821642E-2</v>
      </c>
      <c r="AK72">
        <f t="shared" si="158"/>
        <v>7.1841409956707319E-2</v>
      </c>
      <c r="AL72">
        <f t="shared" si="158"/>
        <v>7.1886881059592997E-2</v>
      </c>
      <c r="AM72">
        <f>'Cibles THREEME'!$DL$21/AM16</f>
        <v>7.1932352162478674E-2</v>
      </c>
    </row>
    <row r="73" spans="2:39" x14ac:dyDescent="0.25">
      <c r="B73" s="589" t="s">
        <v>296</v>
      </c>
      <c r="C73">
        <v>2405</v>
      </c>
      <c r="D73" s="595">
        <f>'Cibles THREEME'!$DA22*11.64/D17</f>
        <v>4.7605298881549088E-2</v>
      </c>
      <c r="E73">
        <f t="shared" si="148"/>
        <v>5.0702992213659336E-2</v>
      </c>
      <c r="F73">
        <f t="shared" si="148"/>
        <v>5.3800685545769583E-2</v>
      </c>
      <c r="G73">
        <f t="shared" si="148"/>
        <v>5.6898378877879831E-2</v>
      </c>
      <c r="H73">
        <f t="shared" si="148"/>
        <v>5.9996072209990078E-2</v>
      </c>
      <c r="I73">
        <f>'Cibles THREEME'!$DB$22/I17</f>
        <v>6.3093765542100319E-2</v>
      </c>
      <c r="J73">
        <f t="shared" si="149"/>
        <v>5.9297870136454468E-2</v>
      </c>
      <c r="K73">
        <f t="shared" si="149"/>
        <v>5.5501974730808618E-2</v>
      </c>
      <c r="L73">
        <f>'Cibles THREEME'!$DC$22/L17</f>
        <v>5.1706079325162774E-2</v>
      </c>
      <c r="M73">
        <f t="shared" si="150"/>
        <v>4.3955972215995592E-2</v>
      </c>
      <c r="N73">
        <f>'Cibles THREEME'!$DD$22/N17</f>
        <v>3.6205865106828418E-2</v>
      </c>
      <c r="O73">
        <f t="shared" si="151"/>
        <v>3.5542498387185741E-2</v>
      </c>
      <c r="P73">
        <f t="shared" si="151"/>
        <v>3.4879131667543063E-2</v>
      </c>
      <c r="Q73">
        <f>'Cibles THREEME'!$DE$22/Q17</f>
        <v>3.4215764947900393E-2</v>
      </c>
      <c r="R73">
        <f t="shared" si="152"/>
        <v>3.3581216845648423E-2</v>
      </c>
      <c r="S73">
        <f>'Cibles THREEME'!$DF$22/S17</f>
        <v>3.2946668743396447E-2</v>
      </c>
      <c r="T73">
        <f t="shared" ref="T73:U73" si="172">S73+($V73-$S73)/3</f>
        <v>3.2872951822936071E-2</v>
      </c>
      <c r="U73">
        <f t="shared" si="172"/>
        <v>3.2799234902475695E-2</v>
      </c>
      <c r="V73">
        <f>'Cibles THREEME'!$DG$22/V17</f>
        <v>3.2725517982015319E-2</v>
      </c>
      <c r="W73">
        <f t="shared" si="154"/>
        <v>3.2651447092431229E-2</v>
      </c>
      <c r="X73">
        <f>'Cibles THREEME'!$DH$22/X17</f>
        <v>3.2577376202847133E-2</v>
      </c>
      <c r="Y73">
        <f t="shared" si="155"/>
        <v>3.252767100687616E-2</v>
      </c>
      <c r="Z73">
        <f t="shared" si="155"/>
        <v>3.2477965810905188E-2</v>
      </c>
      <c r="AA73">
        <f>'Cibles THREEME'!$DI$22/AA17</f>
        <v>3.2428260614934222E-2</v>
      </c>
      <c r="AB73">
        <f t="shared" si="156"/>
        <v>3.2377612345018916E-2</v>
      </c>
      <c r="AC73">
        <f>'Cibles THREEME'!$DJ$22/AC17</f>
        <v>3.2326964075103604E-2</v>
      </c>
      <c r="AD73">
        <f t="shared" si="157"/>
        <v>3.227598729883966E-2</v>
      </c>
      <c r="AE73">
        <f t="shared" si="157"/>
        <v>3.2225010522575717E-2</v>
      </c>
      <c r="AF73">
        <f t="shared" si="157"/>
        <v>3.2174033746311774E-2</v>
      </c>
      <c r="AG73">
        <f t="shared" si="157"/>
        <v>3.2123056970047831E-2</v>
      </c>
      <c r="AH73">
        <f>'Cibles THREEME'!$DK$22/AH17</f>
        <v>3.2072080193783895E-2</v>
      </c>
      <c r="AI73">
        <f t="shared" si="158"/>
        <v>3.2053709446401339E-2</v>
      </c>
      <c r="AJ73">
        <f t="shared" si="158"/>
        <v>3.2035338699018784E-2</v>
      </c>
      <c r="AK73">
        <f t="shared" si="158"/>
        <v>3.2016967951636228E-2</v>
      </c>
      <c r="AL73">
        <f t="shared" si="158"/>
        <v>3.1998597204253673E-2</v>
      </c>
      <c r="AM73">
        <f>'Cibles THREEME'!$DL$22/AM17</f>
        <v>3.1980226456871132E-2</v>
      </c>
    </row>
    <row r="74" spans="2:39" x14ac:dyDescent="0.25">
      <c r="B74" s="203" t="s">
        <v>613</v>
      </c>
      <c r="C74">
        <v>2406</v>
      </c>
      <c r="D74" s="595">
        <f>SUM('Cibles THREEME'!$DA23:$DA24)*11.64/D18</f>
        <v>9.5913900917253214E-2</v>
      </c>
      <c r="E74">
        <f t="shared" si="148"/>
        <v>7.6731120733802574E-2</v>
      </c>
      <c r="F74">
        <f t="shared" si="148"/>
        <v>5.7548340550351934E-2</v>
      </c>
      <c r="G74">
        <f t="shared" si="148"/>
        <v>3.8365560366901294E-2</v>
      </c>
      <c r="H74">
        <f t="shared" si="148"/>
        <v>1.918278018345065E-2</v>
      </c>
      <c r="I74">
        <f>SUM('Cibles THREEME'!$DB$23:$DB$24)/I18</f>
        <v>0</v>
      </c>
      <c r="J74">
        <f t="shared" si="149"/>
        <v>0</v>
      </c>
      <c r="K74">
        <f t="shared" si="149"/>
        <v>0</v>
      </c>
      <c r="L74">
        <f>SUM('Cibles THREEME'!$DC$23:$DC$24)/L18</f>
        <v>0</v>
      </c>
      <c r="M74">
        <f t="shared" si="150"/>
        <v>0</v>
      </c>
      <c r="N74">
        <f>SUM('Cibles THREEME'!$DD$23:$DD$24)/N18</f>
        <v>0</v>
      </c>
      <c r="O74">
        <f t="shared" si="151"/>
        <v>0</v>
      </c>
      <c r="P74">
        <f t="shared" si="151"/>
        <v>0</v>
      </c>
      <c r="Q74">
        <f>SUM('Cibles THREEME'!$DE$23:$DE$24)/Q18</f>
        <v>0</v>
      </c>
      <c r="R74">
        <f t="shared" si="152"/>
        <v>0</v>
      </c>
      <c r="S74">
        <f>SUM('Cibles THREEME'!$DF$23:$DF$24)/S18</f>
        <v>0</v>
      </c>
      <c r="T74">
        <f t="shared" ref="T74:U74" si="173">S74+($V74-$S74)/3</f>
        <v>0</v>
      </c>
      <c r="U74">
        <f t="shared" si="173"/>
        <v>0</v>
      </c>
      <c r="V74">
        <f>SUM('Cibles THREEME'!$DG$23:$DG$24)/V18</f>
        <v>0</v>
      </c>
      <c r="W74">
        <f t="shared" si="154"/>
        <v>0</v>
      </c>
      <c r="X74">
        <f>SUM('Cibles THREEME'!$DH$23:$DH$24)/X18</f>
        <v>0</v>
      </c>
      <c r="Y74">
        <f t="shared" si="155"/>
        <v>0</v>
      </c>
      <c r="Z74">
        <f t="shared" si="155"/>
        <v>0</v>
      </c>
      <c r="AA74">
        <f>SUM('Cibles THREEME'!$DI$23:$DI$24)/AA18</f>
        <v>0</v>
      </c>
      <c r="AB74">
        <f t="shared" si="156"/>
        <v>0</v>
      </c>
      <c r="AC74">
        <f>SUM('Cibles THREEME'!$DJ$23:$DJ$24)/AC18</f>
        <v>0</v>
      </c>
      <c r="AD74">
        <f t="shared" si="157"/>
        <v>0</v>
      </c>
      <c r="AE74">
        <f t="shared" si="157"/>
        <v>0</v>
      </c>
      <c r="AF74">
        <f t="shared" si="157"/>
        <v>0</v>
      </c>
      <c r="AG74">
        <f t="shared" si="157"/>
        <v>0</v>
      </c>
      <c r="AH74">
        <f>SUM('Cibles THREEME'!$DK$23:$DK$24)/AH18</f>
        <v>0</v>
      </c>
      <c r="AI74">
        <f t="shared" si="158"/>
        <v>0</v>
      </c>
      <c r="AJ74">
        <f t="shared" si="158"/>
        <v>0</v>
      </c>
      <c r="AK74">
        <f t="shared" si="158"/>
        <v>0</v>
      </c>
      <c r="AL74">
        <f t="shared" si="158"/>
        <v>0</v>
      </c>
      <c r="AM74">
        <f>SUM('Cibles THREEME'!$DL$23:$DL$24)/AM18</f>
        <v>0</v>
      </c>
    </row>
    <row r="75" spans="2:39" x14ac:dyDescent="0.25">
      <c r="B75" s="589" t="s">
        <v>42</v>
      </c>
      <c r="C75">
        <v>21</v>
      </c>
      <c r="D75">
        <f>'Cibles THREEME'!$CK$25</f>
        <v>2.375766302460479E-3</v>
      </c>
      <c r="E75">
        <f t="shared" si="148"/>
        <v>3.4132631426380335E-3</v>
      </c>
      <c r="F75">
        <f t="shared" si="148"/>
        <v>4.4507599828155879E-3</v>
      </c>
      <c r="G75">
        <f t="shared" si="148"/>
        <v>5.4882568229931428E-3</v>
      </c>
      <c r="H75">
        <f t="shared" si="148"/>
        <v>6.5257536631706976E-3</v>
      </c>
      <c r="I75">
        <f>'Cibles THREEME'!$CL$25</f>
        <v>7.5632505033482516E-3</v>
      </c>
      <c r="J75">
        <f t="shared" si="149"/>
        <v>7.7119853842463953E-3</v>
      </c>
      <c r="K75">
        <f t="shared" si="149"/>
        <v>7.8607202651445381E-3</v>
      </c>
      <c r="L75" s="596">
        <f>'Cibles THREEME'!$CM$25</f>
        <v>8.0094551460426818E-3</v>
      </c>
      <c r="M75">
        <f t="shared" si="150"/>
        <v>5.6462485758988854E-3</v>
      </c>
      <c r="N75">
        <f>'Cibles THREEME'!$CN$25</f>
        <v>3.2830420057550895E-3</v>
      </c>
      <c r="O75">
        <f t="shared" si="151"/>
        <v>3.2928409254937259E-3</v>
      </c>
      <c r="P75">
        <f t="shared" si="151"/>
        <v>3.3026398452323624E-3</v>
      </c>
      <c r="Q75">
        <f>'Cibles THREEME'!$CO$25</f>
        <v>3.3124387649709993E-3</v>
      </c>
      <c r="R75">
        <f t="shared" si="152"/>
        <v>3.3216355315986738E-3</v>
      </c>
      <c r="S75">
        <f>'Cibles THREEME'!$CP$25</f>
        <v>3.3308322982263483E-3</v>
      </c>
      <c r="T75">
        <f t="shared" ref="T75:U75" si="174">S75+($V75-$S75)/3</f>
        <v>3.3194482517340043E-3</v>
      </c>
      <c r="U75">
        <f t="shared" si="174"/>
        <v>3.3080642052416604E-3</v>
      </c>
      <c r="V75">
        <f>'Cibles THREEME'!$CQ$25</f>
        <v>3.2966801587493164E-3</v>
      </c>
      <c r="W75">
        <f t="shared" si="154"/>
        <v>3.2869573948481716E-3</v>
      </c>
      <c r="X75">
        <f>'Cibles THREEME'!$CR$25</f>
        <v>3.2772346309470264E-3</v>
      </c>
      <c r="Y75">
        <f t="shared" si="155"/>
        <v>3.2809664585063771E-3</v>
      </c>
      <c r="Z75">
        <f t="shared" si="155"/>
        <v>3.2846982860657279E-3</v>
      </c>
      <c r="AA75">
        <f>'Cibles THREEME'!$CS$25</f>
        <v>3.2884301136250791E-3</v>
      </c>
      <c r="AB75">
        <f t="shared" si="156"/>
        <v>3.293219585275787E-3</v>
      </c>
      <c r="AC75">
        <f>'Cibles THREEME'!$CT$25</f>
        <v>3.2980090569264945E-3</v>
      </c>
      <c r="AD75">
        <f t="shared" si="157"/>
        <v>3.3065063323153097E-3</v>
      </c>
      <c r="AE75">
        <f t="shared" si="157"/>
        <v>3.3150036077041248E-3</v>
      </c>
      <c r="AF75">
        <f t="shared" si="157"/>
        <v>3.32350088309294E-3</v>
      </c>
      <c r="AG75">
        <f t="shared" si="157"/>
        <v>3.3319981584817551E-3</v>
      </c>
      <c r="AH75">
        <f>'Cibles THREEME'!$CU$25</f>
        <v>3.3404954338705712E-3</v>
      </c>
      <c r="AI75">
        <f t="shared" si="158"/>
        <v>3.3551238995279341E-3</v>
      </c>
      <c r="AJ75">
        <f t="shared" si="158"/>
        <v>3.3697523651852971E-3</v>
      </c>
      <c r="AK75">
        <f t="shared" si="158"/>
        <v>3.3843808308426601E-3</v>
      </c>
      <c r="AL75">
        <f t="shared" si="158"/>
        <v>3.399009296500023E-3</v>
      </c>
      <c r="AM75">
        <f>'Cibles THREEME'!$CV$25</f>
        <v>3.4136377621573869E-3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1A6B8-9401-4F8A-BAB1-EEBE47FA6F5D}">
  <dimension ref="A1:AX42"/>
  <sheetViews>
    <sheetView workbookViewId="0"/>
  </sheetViews>
  <sheetFormatPr baseColWidth="10" defaultRowHeight="15" x14ac:dyDescent="0.25"/>
  <cols>
    <col min="1" max="1" width="29.28515625" customWidth="1"/>
  </cols>
  <sheetData>
    <row r="1" spans="1:50" x14ac:dyDescent="0.25">
      <c r="B1">
        <v>2004</v>
      </c>
      <c r="C1">
        <v>2005</v>
      </c>
      <c r="D1">
        <v>2006</v>
      </c>
      <c r="E1">
        <v>2007</v>
      </c>
      <c r="F1">
        <v>2008</v>
      </c>
      <c r="G1">
        <v>2009</v>
      </c>
      <c r="H1">
        <v>2010</v>
      </c>
      <c r="I1">
        <v>2011</v>
      </c>
      <c r="J1">
        <v>2012</v>
      </c>
      <c r="K1">
        <v>2013</v>
      </c>
      <c r="L1">
        <v>2014</v>
      </c>
      <c r="M1">
        <v>2015</v>
      </c>
      <c r="N1">
        <v>2016</v>
      </c>
      <c r="O1">
        <v>2017</v>
      </c>
      <c r="P1">
        <v>2018</v>
      </c>
      <c r="Q1">
        <v>2019</v>
      </c>
      <c r="R1">
        <v>2020</v>
      </c>
      <c r="S1">
        <v>2021</v>
      </c>
      <c r="T1">
        <v>2022</v>
      </c>
      <c r="U1">
        <v>2023</v>
      </c>
      <c r="V1">
        <v>2024</v>
      </c>
      <c r="W1">
        <v>2025</v>
      </c>
      <c r="X1">
        <v>2026</v>
      </c>
      <c r="Y1">
        <v>2027</v>
      </c>
      <c r="Z1">
        <v>2028</v>
      </c>
      <c r="AA1">
        <v>2029</v>
      </c>
      <c r="AB1">
        <v>2030</v>
      </c>
      <c r="AC1">
        <v>2031</v>
      </c>
      <c r="AD1">
        <v>2032</v>
      </c>
      <c r="AE1">
        <v>2033</v>
      </c>
      <c r="AF1">
        <v>2034</v>
      </c>
      <c r="AG1">
        <v>2035</v>
      </c>
      <c r="AH1">
        <v>2036</v>
      </c>
      <c r="AI1">
        <v>2037</v>
      </c>
      <c r="AJ1">
        <v>2038</v>
      </c>
      <c r="AK1">
        <v>2039</v>
      </c>
      <c r="AL1">
        <v>2040</v>
      </c>
      <c r="AM1">
        <v>2041</v>
      </c>
      <c r="AN1">
        <v>2042</v>
      </c>
      <c r="AO1">
        <v>2043</v>
      </c>
      <c r="AP1">
        <v>2044</v>
      </c>
      <c r="AQ1">
        <v>2045</v>
      </c>
      <c r="AR1">
        <v>2046</v>
      </c>
      <c r="AS1">
        <v>2047</v>
      </c>
      <c r="AT1">
        <v>2048</v>
      </c>
      <c r="AU1">
        <v>2049</v>
      </c>
      <c r="AV1">
        <v>2050</v>
      </c>
    </row>
    <row r="2" spans="1:50" x14ac:dyDescent="0.25">
      <c r="A2" t="s">
        <v>605</v>
      </c>
      <c r="B2">
        <f>SUM(B24:B42)</f>
        <v>0</v>
      </c>
      <c r="C2">
        <f t="shared" ref="C2:AV2" si="0">SUM(C24:C42)</f>
        <v>0</v>
      </c>
      <c r="D2">
        <f t="shared" si="0"/>
        <v>0</v>
      </c>
      <c r="E2">
        <f t="shared" si="0"/>
        <v>0</v>
      </c>
      <c r="F2">
        <f t="shared" si="0"/>
        <v>0</v>
      </c>
      <c r="G2">
        <f t="shared" si="0"/>
        <v>0</v>
      </c>
      <c r="H2">
        <f t="shared" si="0"/>
        <v>0</v>
      </c>
      <c r="I2">
        <f t="shared" si="0"/>
        <v>0</v>
      </c>
      <c r="J2">
        <f t="shared" si="0"/>
        <v>0</v>
      </c>
      <c r="K2">
        <f t="shared" si="0"/>
        <v>0</v>
      </c>
      <c r="L2">
        <f t="shared" si="0"/>
        <v>0</v>
      </c>
      <c r="M2">
        <f t="shared" si="0"/>
        <v>0</v>
      </c>
      <c r="N2">
        <f t="shared" si="0"/>
        <v>0</v>
      </c>
      <c r="O2">
        <f t="shared" si="0"/>
        <v>0</v>
      </c>
      <c r="P2">
        <f t="shared" si="0"/>
        <v>0</v>
      </c>
      <c r="Q2">
        <f t="shared" si="0"/>
        <v>0</v>
      </c>
      <c r="R2">
        <f t="shared" si="0"/>
        <v>0</v>
      </c>
      <c r="S2">
        <f t="shared" si="0"/>
        <v>0</v>
      </c>
      <c r="T2">
        <f t="shared" si="0"/>
        <v>0</v>
      </c>
      <c r="U2">
        <f t="shared" si="0"/>
        <v>0.35359942858241078</v>
      </c>
      <c r="V2">
        <f t="shared" si="0"/>
        <v>0.70719885716482156</v>
      </c>
      <c r="W2">
        <f t="shared" si="0"/>
        <v>1.0607982857472325</v>
      </c>
      <c r="X2">
        <f t="shared" si="0"/>
        <v>1.4143977143296431</v>
      </c>
      <c r="Y2">
        <f t="shared" si="0"/>
        <v>1.767997142912054</v>
      </c>
      <c r="Z2">
        <f t="shared" si="0"/>
        <v>2.1215965714944649</v>
      </c>
      <c r="AA2">
        <f t="shared" si="0"/>
        <v>2.4751960000768753</v>
      </c>
      <c r="AB2">
        <f t="shared" si="0"/>
        <v>2.8287954286592862</v>
      </c>
      <c r="AC2">
        <f t="shared" si="0"/>
        <v>3.182394857241698</v>
      </c>
      <c r="AD2">
        <f t="shared" si="0"/>
        <v>3.535994285824108</v>
      </c>
      <c r="AE2">
        <f t="shared" si="0"/>
        <v>3.8895937144065185</v>
      </c>
      <c r="AF2">
        <f t="shared" si="0"/>
        <v>4.2431931429889298</v>
      </c>
      <c r="AG2">
        <f t="shared" si="0"/>
        <v>4.5967925715713402</v>
      </c>
      <c r="AH2">
        <f t="shared" si="0"/>
        <v>4.9503920001537507</v>
      </c>
      <c r="AI2">
        <f t="shared" si="0"/>
        <v>5.3039914287361611</v>
      </c>
      <c r="AJ2">
        <f t="shared" si="0"/>
        <v>5.6575908573185725</v>
      </c>
      <c r="AK2">
        <f t="shared" si="0"/>
        <v>6.0111902859009838</v>
      </c>
      <c r="AL2">
        <f t="shared" si="0"/>
        <v>6.3647897144833951</v>
      </c>
      <c r="AM2">
        <f t="shared" si="0"/>
        <v>6.7183891430658056</v>
      </c>
      <c r="AN2">
        <f t="shared" si="0"/>
        <v>7.0719885716482169</v>
      </c>
      <c r="AO2">
        <f t="shared" si="0"/>
        <v>7.4255880002306291</v>
      </c>
      <c r="AP2">
        <f t="shared" si="0"/>
        <v>7.7791874288130396</v>
      </c>
      <c r="AQ2">
        <f t="shared" si="0"/>
        <v>8.13278685739545</v>
      </c>
      <c r="AR2">
        <f t="shared" si="0"/>
        <v>8.4863862859778614</v>
      </c>
      <c r="AS2">
        <f t="shared" si="0"/>
        <v>8.8399857145602745</v>
      </c>
      <c r="AT2">
        <f t="shared" si="0"/>
        <v>9.193585143142684</v>
      </c>
      <c r="AU2">
        <f t="shared" si="0"/>
        <v>9.5471845717250972</v>
      </c>
      <c r="AV2">
        <f t="shared" si="0"/>
        <v>9.9007840003075067</v>
      </c>
    </row>
    <row r="3" spans="1:50" x14ac:dyDescent="0.25">
      <c r="AV3">
        <f>AV2*11.64</f>
        <v>115.24512576357938</v>
      </c>
    </row>
    <row r="4" spans="1:50" s="694" customFormat="1" ht="12.75" x14ac:dyDescent="0.2">
      <c r="A4" s="694" t="s">
        <v>567</v>
      </c>
      <c r="B4" s="694">
        <f>0</f>
        <v>0</v>
      </c>
      <c r="C4" s="694">
        <f>0</f>
        <v>0</v>
      </c>
      <c r="D4" s="694">
        <f>0</f>
        <v>0</v>
      </c>
      <c r="E4" s="694">
        <f>0</f>
        <v>0</v>
      </c>
      <c r="F4" s="694">
        <f>0</f>
        <v>0</v>
      </c>
      <c r="G4" s="694">
        <f>0</f>
        <v>0</v>
      </c>
      <c r="H4" s="694">
        <f>0</f>
        <v>0</v>
      </c>
      <c r="I4" s="694">
        <f>0</f>
        <v>0</v>
      </c>
      <c r="J4" s="694">
        <f>0</f>
        <v>0</v>
      </c>
      <c r="K4" s="694">
        <f>0</f>
        <v>0</v>
      </c>
      <c r="L4" s="694">
        <f>0</f>
        <v>0</v>
      </c>
      <c r="M4" s="694">
        <f>0</f>
        <v>0</v>
      </c>
      <c r="N4" s="694">
        <f>0</f>
        <v>0</v>
      </c>
      <c r="O4" s="694">
        <f>0</f>
        <v>0</v>
      </c>
      <c r="P4" s="694">
        <f>0</f>
        <v>0</v>
      </c>
      <c r="Q4" s="694">
        <f>0</f>
        <v>0</v>
      </c>
      <c r="R4" s="694">
        <f>0</f>
        <v>0</v>
      </c>
      <c r="S4" s="694">
        <f>0</f>
        <v>0</v>
      </c>
      <c r="T4" s="694">
        <f>0</f>
        <v>0</v>
      </c>
      <c r="U4" s="695">
        <f>('[9]3ME BCIAT (FDI + FC)'!Q35/1000)/11640</f>
        <v>0</v>
      </c>
      <c r="V4" s="695">
        <f>U4</f>
        <v>0</v>
      </c>
      <c r="W4" s="695">
        <f t="shared" ref="W4:AU14" si="1">V4</f>
        <v>0</v>
      </c>
      <c r="X4" s="695">
        <f t="shared" si="1"/>
        <v>0</v>
      </c>
      <c r="Y4" s="695">
        <f t="shared" si="1"/>
        <v>0</v>
      </c>
      <c r="Z4" s="695">
        <f t="shared" si="1"/>
        <v>0</v>
      </c>
      <c r="AA4" s="695">
        <f t="shared" si="1"/>
        <v>0</v>
      </c>
      <c r="AB4" s="695">
        <f t="shared" si="1"/>
        <v>0</v>
      </c>
      <c r="AC4" s="695">
        <f t="shared" si="1"/>
        <v>0</v>
      </c>
      <c r="AD4" s="695">
        <f t="shared" si="1"/>
        <v>0</v>
      </c>
      <c r="AE4" s="695">
        <f t="shared" si="1"/>
        <v>0</v>
      </c>
      <c r="AF4" s="695">
        <f t="shared" si="1"/>
        <v>0</v>
      </c>
      <c r="AG4" s="695">
        <f t="shared" si="1"/>
        <v>0</v>
      </c>
      <c r="AH4" s="695">
        <f t="shared" si="1"/>
        <v>0</v>
      </c>
      <c r="AI4" s="695">
        <f t="shared" si="1"/>
        <v>0</v>
      </c>
      <c r="AJ4" s="695">
        <f t="shared" si="1"/>
        <v>0</v>
      </c>
      <c r="AK4" s="695">
        <f t="shared" si="1"/>
        <v>0</v>
      </c>
      <c r="AL4" s="695">
        <f t="shared" si="1"/>
        <v>0</v>
      </c>
      <c r="AM4" s="695">
        <f t="shared" si="1"/>
        <v>0</v>
      </c>
      <c r="AN4" s="695">
        <f t="shared" si="1"/>
        <v>0</v>
      </c>
      <c r="AO4" s="695">
        <f t="shared" si="1"/>
        <v>0</v>
      </c>
      <c r="AP4" s="695">
        <f t="shared" si="1"/>
        <v>0</v>
      </c>
      <c r="AQ4" s="695">
        <f t="shared" si="1"/>
        <v>0</v>
      </c>
      <c r="AR4" s="695">
        <f t="shared" si="1"/>
        <v>0</v>
      </c>
      <c r="AS4" s="695">
        <f t="shared" si="1"/>
        <v>0</v>
      </c>
      <c r="AT4" s="695">
        <f t="shared" si="1"/>
        <v>0</v>
      </c>
      <c r="AU4" s="695">
        <f t="shared" si="1"/>
        <v>0</v>
      </c>
      <c r="AV4" s="695">
        <f>AU4</f>
        <v>0</v>
      </c>
      <c r="AW4" s="696"/>
      <c r="AX4" s="697"/>
    </row>
    <row r="5" spans="1:50" s="694" customFormat="1" ht="12.75" x14ac:dyDescent="0.2">
      <c r="A5" s="694" t="s">
        <v>568</v>
      </c>
      <c r="B5" s="694">
        <f>0</f>
        <v>0</v>
      </c>
      <c r="C5" s="694">
        <f>0</f>
        <v>0</v>
      </c>
      <c r="D5" s="694">
        <f>0</f>
        <v>0</v>
      </c>
      <c r="E5" s="694">
        <f>0</f>
        <v>0</v>
      </c>
      <c r="F5" s="694">
        <f>0</f>
        <v>0</v>
      </c>
      <c r="G5" s="694">
        <f>0</f>
        <v>0</v>
      </c>
      <c r="H5" s="694">
        <f>0</f>
        <v>0</v>
      </c>
      <c r="I5" s="694">
        <f>0</f>
        <v>0</v>
      </c>
      <c r="J5" s="694">
        <f>0</f>
        <v>0</v>
      </c>
      <c r="K5" s="694">
        <f>0</f>
        <v>0</v>
      </c>
      <c r="L5" s="694">
        <f>0</f>
        <v>0</v>
      </c>
      <c r="M5" s="694">
        <f>0</f>
        <v>0</v>
      </c>
      <c r="N5" s="694">
        <f>0</f>
        <v>0</v>
      </c>
      <c r="O5" s="694">
        <f>0</f>
        <v>0</v>
      </c>
      <c r="P5" s="694">
        <f>0</f>
        <v>0</v>
      </c>
      <c r="Q5" s="694">
        <f>0</f>
        <v>0</v>
      </c>
      <c r="R5" s="694">
        <f>0</f>
        <v>0</v>
      </c>
      <c r="S5" s="694">
        <f>0</f>
        <v>0</v>
      </c>
      <c r="T5" s="694">
        <f>0</f>
        <v>0</v>
      </c>
      <c r="U5" s="695">
        <f>('[9]3ME BCIAT (FDI + FC)'!Q36/1000)/11640</f>
        <v>3.0381872852233677E-2</v>
      </c>
      <c r="V5" s="695">
        <f t="shared" ref="V5:AK17" si="2">U5</f>
        <v>3.0381872852233677E-2</v>
      </c>
      <c r="W5" s="695">
        <f t="shared" si="2"/>
        <v>3.0381872852233677E-2</v>
      </c>
      <c r="X5" s="695">
        <f t="shared" si="2"/>
        <v>3.0381872852233677E-2</v>
      </c>
      <c r="Y5" s="695">
        <f t="shared" si="2"/>
        <v>3.0381872852233677E-2</v>
      </c>
      <c r="Z5" s="695">
        <f t="shared" si="2"/>
        <v>3.0381872852233677E-2</v>
      </c>
      <c r="AA5" s="695">
        <f t="shared" si="2"/>
        <v>3.0381872852233677E-2</v>
      </c>
      <c r="AB5" s="695">
        <f t="shared" si="2"/>
        <v>3.0381872852233677E-2</v>
      </c>
      <c r="AC5" s="695">
        <f t="shared" si="2"/>
        <v>3.0381872852233677E-2</v>
      </c>
      <c r="AD5" s="695">
        <f t="shared" si="2"/>
        <v>3.0381872852233677E-2</v>
      </c>
      <c r="AE5" s="695">
        <f t="shared" si="2"/>
        <v>3.0381872852233677E-2</v>
      </c>
      <c r="AF5" s="695">
        <f t="shared" si="2"/>
        <v>3.0381872852233677E-2</v>
      </c>
      <c r="AG5" s="695">
        <f t="shared" si="2"/>
        <v>3.0381872852233677E-2</v>
      </c>
      <c r="AH5" s="695">
        <f t="shared" si="2"/>
        <v>3.0381872852233677E-2</v>
      </c>
      <c r="AI5" s="695">
        <f t="shared" si="2"/>
        <v>3.0381872852233677E-2</v>
      </c>
      <c r="AJ5" s="695">
        <f t="shared" si="2"/>
        <v>3.0381872852233677E-2</v>
      </c>
      <c r="AK5" s="695">
        <f t="shared" si="2"/>
        <v>3.0381872852233677E-2</v>
      </c>
      <c r="AL5" s="695">
        <f t="shared" si="1"/>
        <v>3.0381872852233677E-2</v>
      </c>
      <c r="AM5" s="695">
        <f t="shared" si="1"/>
        <v>3.0381872852233677E-2</v>
      </c>
      <c r="AN5" s="695">
        <f t="shared" si="1"/>
        <v>3.0381872852233677E-2</v>
      </c>
      <c r="AO5" s="695">
        <f t="shared" si="1"/>
        <v>3.0381872852233677E-2</v>
      </c>
      <c r="AP5" s="695">
        <f t="shared" si="1"/>
        <v>3.0381872852233677E-2</v>
      </c>
      <c r="AQ5" s="695">
        <f t="shared" si="1"/>
        <v>3.0381872852233677E-2</v>
      </c>
      <c r="AR5" s="695">
        <f t="shared" si="1"/>
        <v>3.0381872852233677E-2</v>
      </c>
      <c r="AS5" s="695">
        <f t="shared" si="1"/>
        <v>3.0381872852233677E-2</v>
      </c>
      <c r="AT5" s="695">
        <f t="shared" si="1"/>
        <v>3.0381872852233677E-2</v>
      </c>
      <c r="AU5" s="695">
        <f t="shared" si="1"/>
        <v>3.0381872852233677E-2</v>
      </c>
      <c r="AV5" s="695">
        <f t="shared" ref="AV5" si="3">AU5</f>
        <v>3.0381872852233677E-2</v>
      </c>
      <c r="AW5" s="696"/>
      <c r="AX5" s="697"/>
    </row>
    <row r="6" spans="1:50" s="694" customFormat="1" ht="12.75" x14ac:dyDescent="0.2">
      <c r="A6" s="694" t="s">
        <v>569</v>
      </c>
      <c r="B6" s="694">
        <f>0</f>
        <v>0</v>
      </c>
      <c r="C6" s="694">
        <f>0</f>
        <v>0</v>
      </c>
      <c r="D6" s="694">
        <f>0</f>
        <v>0</v>
      </c>
      <c r="E6" s="694">
        <f>0</f>
        <v>0</v>
      </c>
      <c r="F6" s="694">
        <f>0</f>
        <v>0</v>
      </c>
      <c r="G6" s="694">
        <f>0</f>
        <v>0</v>
      </c>
      <c r="H6" s="694">
        <f>0</f>
        <v>0</v>
      </c>
      <c r="I6" s="694">
        <f>0</f>
        <v>0</v>
      </c>
      <c r="J6" s="694">
        <f>0</f>
        <v>0</v>
      </c>
      <c r="K6" s="694">
        <f>0</f>
        <v>0</v>
      </c>
      <c r="L6" s="694">
        <f>0</f>
        <v>0</v>
      </c>
      <c r="M6" s="694">
        <f>0</f>
        <v>0</v>
      </c>
      <c r="N6" s="694">
        <f>0</f>
        <v>0</v>
      </c>
      <c r="O6" s="694">
        <f>0</f>
        <v>0</v>
      </c>
      <c r="P6" s="694">
        <f>0</f>
        <v>0</v>
      </c>
      <c r="Q6" s="694">
        <f>0</f>
        <v>0</v>
      </c>
      <c r="R6" s="694">
        <f>0</f>
        <v>0</v>
      </c>
      <c r="S6" s="694">
        <f>0</f>
        <v>0</v>
      </c>
      <c r="T6" s="694">
        <f>0</f>
        <v>0</v>
      </c>
      <c r="U6" s="695">
        <f>('[9]3ME BCIAT (FDI + FC)'!Q37/1000)/11640</f>
        <v>0</v>
      </c>
      <c r="V6" s="695">
        <f t="shared" si="2"/>
        <v>0</v>
      </c>
      <c r="W6" s="695">
        <f t="shared" si="1"/>
        <v>0</v>
      </c>
      <c r="X6" s="695">
        <f t="shared" si="1"/>
        <v>0</v>
      </c>
      <c r="Y6" s="695">
        <f t="shared" si="1"/>
        <v>0</v>
      </c>
      <c r="Z6" s="695">
        <f t="shared" si="1"/>
        <v>0</v>
      </c>
      <c r="AA6" s="695">
        <f t="shared" si="1"/>
        <v>0</v>
      </c>
      <c r="AB6" s="695">
        <f t="shared" si="1"/>
        <v>0</v>
      </c>
      <c r="AC6" s="695">
        <f t="shared" si="1"/>
        <v>0</v>
      </c>
      <c r="AD6" s="695">
        <f t="shared" si="1"/>
        <v>0</v>
      </c>
      <c r="AE6" s="695">
        <f t="shared" si="1"/>
        <v>0</v>
      </c>
      <c r="AF6" s="695">
        <f t="shared" si="1"/>
        <v>0</v>
      </c>
      <c r="AG6" s="695">
        <f t="shared" si="1"/>
        <v>0</v>
      </c>
      <c r="AH6" s="695">
        <f t="shared" si="1"/>
        <v>0</v>
      </c>
      <c r="AI6" s="695">
        <f t="shared" si="1"/>
        <v>0</v>
      </c>
      <c r="AJ6" s="695">
        <f t="shared" si="1"/>
        <v>0</v>
      </c>
      <c r="AK6" s="695">
        <f t="shared" si="1"/>
        <v>0</v>
      </c>
      <c r="AL6" s="695">
        <f t="shared" si="1"/>
        <v>0</v>
      </c>
      <c r="AM6" s="695">
        <f t="shared" si="1"/>
        <v>0</v>
      </c>
      <c r="AN6" s="695">
        <f t="shared" si="1"/>
        <v>0</v>
      </c>
      <c r="AO6" s="695">
        <f t="shared" si="1"/>
        <v>0</v>
      </c>
      <c r="AP6" s="695">
        <f t="shared" si="1"/>
        <v>0</v>
      </c>
      <c r="AQ6" s="695">
        <f t="shared" si="1"/>
        <v>0</v>
      </c>
      <c r="AR6" s="695">
        <f t="shared" si="1"/>
        <v>0</v>
      </c>
      <c r="AS6" s="695">
        <f t="shared" si="1"/>
        <v>0</v>
      </c>
      <c r="AT6" s="695">
        <f t="shared" si="1"/>
        <v>0</v>
      </c>
      <c r="AU6" s="695">
        <f t="shared" si="1"/>
        <v>0</v>
      </c>
      <c r="AV6" s="695">
        <f t="shared" ref="AV6" si="4">AU6</f>
        <v>0</v>
      </c>
      <c r="AW6" s="696"/>
      <c r="AX6" s="697"/>
    </row>
    <row r="7" spans="1:50" s="694" customFormat="1" ht="12.75" x14ac:dyDescent="0.2">
      <c r="A7" s="694" t="s">
        <v>570</v>
      </c>
      <c r="B7" s="694">
        <f>0</f>
        <v>0</v>
      </c>
      <c r="C7" s="694">
        <f>0</f>
        <v>0</v>
      </c>
      <c r="D7" s="694">
        <f>0</f>
        <v>0</v>
      </c>
      <c r="E7" s="694">
        <f>0</f>
        <v>0</v>
      </c>
      <c r="F7" s="694">
        <f>0</f>
        <v>0</v>
      </c>
      <c r="G7" s="694">
        <f>0</f>
        <v>0</v>
      </c>
      <c r="H7" s="694">
        <f>0</f>
        <v>0</v>
      </c>
      <c r="I7" s="694">
        <f>0</f>
        <v>0</v>
      </c>
      <c r="J7" s="694">
        <f>0</f>
        <v>0</v>
      </c>
      <c r="K7" s="694">
        <f>0</f>
        <v>0</v>
      </c>
      <c r="L7" s="694">
        <f>0</f>
        <v>0</v>
      </c>
      <c r="M7" s="694">
        <f>0</f>
        <v>0</v>
      </c>
      <c r="N7" s="694">
        <f>0</f>
        <v>0</v>
      </c>
      <c r="O7" s="694">
        <f>0</f>
        <v>0</v>
      </c>
      <c r="P7" s="694">
        <f>0</f>
        <v>0</v>
      </c>
      <c r="Q7" s="694">
        <f>0</f>
        <v>0</v>
      </c>
      <c r="R7" s="694">
        <f>0</f>
        <v>0</v>
      </c>
      <c r="S7" s="694">
        <f>0</f>
        <v>0</v>
      </c>
      <c r="T7" s="694">
        <f>0</f>
        <v>0</v>
      </c>
      <c r="U7" s="695">
        <f>('[9]3ME BCIAT (FDI + FC)'!Q38/1000)/11640</f>
        <v>0</v>
      </c>
      <c r="V7" s="695">
        <f t="shared" si="2"/>
        <v>0</v>
      </c>
      <c r="W7" s="695">
        <f t="shared" si="1"/>
        <v>0</v>
      </c>
      <c r="X7" s="695">
        <f t="shared" si="1"/>
        <v>0</v>
      </c>
      <c r="Y7" s="695">
        <f t="shared" si="1"/>
        <v>0</v>
      </c>
      <c r="Z7" s="695">
        <f t="shared" si="1"/>
        <v>0</v>
      </c>
      <c r="AA7" s="695">
        <f t="shared" si="1"/>
        <v>0</v>
      </c>
      <c r="AB7" s="695">
        <f t="shared" si="1"/>
        <v>0</v>
      </c>
      <c r="AC7" s="695">
        <f t="shared" si="1"/>
        <v>0</v>
      </c>
      <c r="AD7" s="695">
        <f t="shared" si="1"/>
        <v>0</v>
      </c>
      <c r="AE7" s="695">
        <f t="shared" si="1"/>
        <v>0</v>
      </c>
      <c r="AF7" s="695">
        <f t="shared" si="1"/>
        <v>0</v>
      </c>
      <c r="AG7" s="695">
        <f t="shared" si="1"/>
        <v>0</v>
      </c>
      <c r="AH7" s="695">
        <f t="shared" si="1"/>
        <v>0</v>
      </c>
      <c r="AI7" s="695">
        <f t="shared" si="1"/>
        <v>0</v>
      </c>
      <c r="AJ7" s="695">
        <f t="shared" si="1"/>
        <v>0</v>
      </c>
      <c r="AK7" s="695">
        <f t="shared" si="1"/>
        <v>0</v>
      </c>
      <c r="AL7" s="695">
        <f t="shared" si="1"/>
        <v>0</v>
      </c>
      <c r="AM7" s="695">
        <f t="shared" si="1"/>
        <v>0</v>
      </c>
      <c r="AN7" s="695">
        <f t="shared" si="1"/>
        <v>0</v>
      </c>
      <c r="AO7" s="695">
        <f t="shared" si="1"/>
        <v>0</v>
      </c>
      <c r="AP7" s="695">
        <f t="shared" si="1"/>
        <v>0</v>
      </c>
      <c r="AQ7" s="695">
        <f t="shared" si="1"/>
        <v>0</v>
      </c>
      <c r="AR7" s="695">
        <f t="shared" si="1"/>
        <v>0</v>
      </c>
      <c r="AS7" s="695">
        <f t="shared" si="1"/>
        <v>0</v>
      </c>
      <c r="AT7" s="695">
        <f t="shared" si="1"/>
        <v>0</v>
      </c>
      <c r="AU7" s="695">
        <f t="shared" si="1"/>
        <v>0</v>
      </c>
      <c r="AV7" s="695">
        <f t="shared" ref="AV7" si="5">AU7</f>
        <v>0</v>
      </c>
      <c r="AW7" s="696"/>
      <c r="AX7" s="697"/>
    </row>
    <row r="8" spans="1:50" s="694" customFormat="1" ht="12.75" x14ac:dyDescent="0.2">
      <c r="A8" s="694" t="s">
        <v>571</v>
      </c>
      <c r="B8" s="694">
        <f>0</f>
        <v>0</v>
      </c>
      <c r="C8" s="694">
        <f>0</f>
        <v>0</v>
      </c>
      <c r="D8" s="694">
        <f>0</f>
        <v>0</v>
      </c>
      <c r="E8" s="694">
        <f>0</f>
        <v>0</v>
      </c>
      <c r="F8" s="694">
        <f>0</f>
        <v>0</v>
      </c>
      <c r="G8" s="694">
        <f>0</f>
        <v>0</v>
      </c>
      <c r="H8" s="694">
        <f>0</f>
        <v>0</v>
      </c>
      <c r="I8" s="694">
        <f>0</f>
        <v>0</v>
      </c>
      <c r="J8" s="694">
        <f>0</f>
        <v>0</v>
      </c>
      <c r="K8" s="694">
        <f>0</f>
        <v>0</v>
      </c>
      <c r="L8" s="694">
        <f>0</f>
        <v>0</v>
      </c>
      <c r="M8" s="694">
        <f>0</f>
        <v>0</v>
      </c>
      <c r="N8" s="694">
        <f>0</f>
        <v>0</v>
      </c>
      <c r="O8" s="694">
        <f>0</f>
        <v>0</v>
      </c>
      <c r="P8" s="694">
        <f>0</f>
        <v>0</v>
      </c>
      <c r="Q8" s="694">
        <f>0</f>
        <v>0</v>
      </c>
      <c r="R8" s="694">
        <f>0</f>
        <v>0</v>
      </c>
      <c r="S8" s="694">
        <f>0</f>
        <v>0</v>
      </c>
      <c r="T8" s="694">
        <f>0</f>
        <v>0</v>
      </c>
      <c r="U8" s="695">
        <f>('[9]3ME BCIAT (FDI + FC)'!Q39/1000)/11640</f>
        <v>0</v>
      </c>
      <c r="V8" s="695">
        <f t="shared" si="2"/>
        <v>0</v>
      </c>
      <c r="W8" s="695">
        <f t="shared" si="1"/>
        <v>0</v>
      </c>
      <c r="X8" s="695">
        <f t="shared" si="1"/>
        <v>0</v>
      </c>
      <c r="Y8" s="695">
        <f t="shared" si="1"/>
        <v>0</v>
      </c>
      <c r="Z8" s="695">
        <f t="shared" si="1"/>
        <v>0</v>
      </c>
      <c r="AA8" s="695">
        <f t="shared" si="1"/>
        <v>0</v>
      </c>
      <c r="AB8" s="695">
        <f t="shared" si="1"/>
        <v>0</v>
      </c>
      <c r="AC8" s="695">
        <f t="shared" si="1"/>
        <v>0</v>
      </c>
      <c r="AD8" s="695">
        <f t="shared" si="1"/>
        <v>0</v>
      </c>
      <c r="AE8" s="695">
        <f t="shared" si="1"/>
        <v>0</v>
      </c>
      <c r="AF8" s="695">
        <f t="shared" si="1"/>
        <v>0</v>
      </c>
      <c r="AG8" s="695">
        <f t="shared" si="1"/>
        <v>0</v>
      </c>
      <c r="AH8" s="695">
        <f t="shared" si="1"/>
        <v>0</v>
      </c>
      <c r="AI8" s="695">
        <f t="shared" si="1"/>
        <v>0</v>
      </c>
      <c r="AJ8" s="695">
        <f t="shared" si="1"/>
        <v>0</v>
      </c>
      <c r="AK8" s="695">
        <f t="shared" si="1"/>
        <v>0</v>
      </c>
      <c r="AL8" s="695">
        <f t="shared" si="1"/>
        <v>0</v>
      </c>
      <c r="AM8" s="695">
        <f t="shared" si="1"/>
        <v>0</v>
      </c>
      <c r="AN8" s="695">
        <f t="shared" si="1"/>
        <v>0</v>
      </c>
      <c r="AO8" s="695">
        <f t="shared" si="1"/>
        <v>0</v>
      </c>
      <c r="AP8" s="695">
        <f t="shared" si="1"/>
        <v>0</v>
      </c>
      <c r="AQ8" s="695">
        <f t="shared" si="1"/>
        <v>0</v>
      </c>
      <c r="AR8" s="695">
        <f t="shared" si="1"/>
        <v>0</v>
      </c>
      <c r="AS8" s="695">
        <f t="shared" si="1"/>
        <v>0</v>
      </c>
      <c r="AT8" s="695">
        <f t="shared" si="1"/>
        <v>0</v>
      </c>
      <c r="AU8" s="695">
        <f t="shared" si="1"/>
        <v>0</v>
      </c>
      <c r="AV8" s="695">
        <f t="shared" ref="AV8" si="6">AU8</f>
        <v>0</v>
      </c>
      <c r="AW8" s="696"/>
      <c r="AX8" s="697"/>
    </row>
    <row r="9" spans="1:50" s="694" customFormat="1" ht="12.75" x14ac:dyDescent="0.2">
      <c r="A9" s="694" t="s">
        <v>572</v>
      </c>
      <c r="B9" s="694">
        <f>0</f>
        <v>0</v>
      </c>
      <c r="C9" s="694">
        <f>0</f>
        <v>0</v>
      </c>
      <c r="D9" s="694">
        <f>0</f>
        <v>0</v>
      </c>
      <c r="E9" s="694">
        <f>0</f>
        <v>0</v>
      </c>
      <c r="F9" s="694">
        <f>0</f>
        <v>0</v>
      </c>
      <c r="G9" s="694">
        <f>0</f>
        <v>0</v>
      </c>
      <c r="H9" s="694">
        <f>0</f>
        <v>0</v>
      </c>
      <c r="I9" s="694">
        <f>0</f>
        <v>0</v>
      </c>
      <c r="J9" s="694">
        <f>0</f>
        <v>0</v>
      </c>
      <c r="K9" s="694">
        <f>0</f>
        <v>0</v>
      </c>
      <c r="L9" s="694">
        <f>0</f>
        <v>0</v>
      </c>
      <c r="M9" s="694">
        <f>0</f>
        <v>0</v>
      </c>
      <c r="N9" s="694">
        <f>0</f>
        <v>0</v>
      </c>
      <c r="O9" s="694">
        <f>0</f>
        <v>0</v>
      </c>
      <c r="P9" s="694">
        <f>0</f>
        <v>0</v>
      </c>
      <c r="Q9" s="694">
        <f>0</f>
        <v>0</v>
      </c>
      <c r="R9" s="694">
        <f>0</f>
        <v>0</v>
      </c>
      <c r="S9" s="694">
        <f>0</f>
        <v>0</v>
      </c>
      <c r="T9" s="694">
        <f>0</f>
        <v>0</v>
      </c>
      <c r="U9" s="695">
        <f>('[9]3ME BCIAT (FDI + FC)'!Q40/1000)/11640</f>
        <v>3.7800687285223368E-3</v>
      </c>
      <c r="V9" s="695">
        <f t="shared" si="2"/>
        <v>3.7800687285223368E-3</v>
      </c>
      <c r="W9" s="695">
        <f t="shared" si="1"/>
        <v>3.7800687285223368E-3</v>
      </c>
      <c r="X9" s="695">
        <f t="shared" si="1"/>
        <v>3.7800687285223368E-3</v>
      </c>
      <c r="Y9" s="695">
        <f t="shared" si="1"/>
        <v>3.7800687285223368E-3</v>
      </c>
      <c r="Z9" s="695">
        <f t="shared" si="1"/>
        <v>3.7800687285223368E-3</v>
      </c>
      <c r="AA9" s="695">
        <f t="shared" si="1"/>
        <v>3.7800687285223368E-3</v>
      </c>
      <c r="AB9" s="695">
        <f t="shared" si="1"/>
        <v>3.7800687285223368E-3</v>
      </c>
      <c r="AC9" s="695">
        <f t="shared" si="1"/>
        <v>3.7800687285223368E-3</v>
      </c>
      <c r="AD9" s="695">
        <f t="shared" si="1"/>
        <v>3.7800687285223368E-3</v>
      </c>
      <c r="AE9" s="695">
        <f t="shared" si="1"/>
        <v>3.7800687285223368E-3</v>
      </c>
      <c r="AF9" s="695">
        <f t="shared" si="1"/>
        <v>3.7800687285223368E-3</v>
      </c>
      <c r="AG9" s="695">
        <f t="shared" si="1"/>
        <v>3.7800687285223368E-3</v>
      </c>
      <c r="AH9" s="695">
        <f t="shared" si="1"/>
        <v>3.7800687285223368E-3</v>
      </c>
      <c r="AI9" s="695">
        <f t="shared" si="1"/>
        <v>3.7800687285223368E-3</v>
      </c>
      <c r="AJ9" s="695">
        <f t="shared" si="1"/>
        <v>3.7800687285223368E-3</v>
      </c>
      <c r="AK9" s="695">
        <f t="shared" si="1"/>
        <v>3.7800687285223368E-3</v>
      </c>
      <c r="AL9" s="695">
        <f t="shared" si="1"/>
        <v>3.7800687285223368E-3</v>
      </c>
      <c r="AM9" s="695">
        <f t="shared" si="1"/>
        <v>3.7800687285223368E-3</v>
      </c>
      <c r="AN9" s="695">
        <f t="shared" si="1"/>
        <v>3.7800687285223368E-3</v>
      </c>
      <c r="AO9" s="695">
        <f t="shared" si="1"/>
        <v>3.7800687285223368E-3</v>
      </c>
      <c r="AP9" s="695">
        <f t="shared" si="1"/>
        <v>3.7800687285223368E-3</v>
      </c>
      <c r="AQ9" s="695">
        <f t="shared" si="1"/>
        <v>3.7800687285223368E-3</v>
      </c>
      <c r="AR9" s="695">
        <f t="shared" si="1"/>
        <v>3.7800687285223368E-3</v>
      </c>
      <c r="AS9" s="695">
        <f t="shared" si="1"/>
        <v>3.7800687285223368E-3</v>
      </c>
      <c r="AT9" s="695">
        <f t="shared" si="1"/>
        <v>3.7800687285223368E-3</v>
      </c>
      <c r="AU9" s="695">
        <f t="shared" si="1"/>
        <v>3.7800687285223368E-3</v>
      </c>
      <c r="AV9" s="695">
        <f t="shared" ref="AV9" si="7">AU9</f>
        <v>3.7800687285223368E-3</v>
      </c>
      <c r="AW9" s="696"/>
      <c r="AX9" s="697"/>
    </row>
    <row r="10" spans="1:50" s="694" customFormat="1" ht="12.75" x14ac:dyDescent="0.2">
      <c r="A10" s="694" t="s">
        <v>573</v>
      </c>
      <c r="B10" s="694">
        <f>0</f>
        <v>0</v>
      </c>
      <c r="C10" s="694">
        <f>0</f>
        <v>0</v>
      </c>
      <c r="D10" s="694">
        <f>0</f>
        <v>0</v>
      </c>
      <c r="E10" s="694">
        <f>0</f>
        <v>0</v>
      </c>
      <c r="F10" s="694">
        <f>0</f>
        <v>0</v>
      </c>
      <c r="G10" s="694">
        <f>0</f>
        <v>0</v>
      </c>
      <c r="H10" s="694">
        <f>0</f>
        <v>0</v>
      </c>
      <c r="I10" s="694">
        <f>0</f>
        <v>0</v>
      </c>
      <c r="J10" s="694">
        <f>0</f>
        <v>0</v>
      </c>
      <c r="K10" s="694">
        <f>0</f>
        <v>0</v>
      </c>
      <c r="L10" s="694">
        <f>0</f>
        <v>0</v>
      </c>
      <c r="M10" s="694">
        <f>0</f>
        <v>0</v>
      </c>
      <c r="N10" s="694">
        <f>0</f>
        <v>0</v>
      </c>
      <c r="O10" s="694">
        <f>0</f>
        <v>0</v>
      </c>
      <c r="P10" s="694">
        <f>0</f>
        <v>0</v>
      </c>
      <c r="Q10" s="694">
        <f>0</f>
        <v>0</v>
      </c>
      <c r="R10" s="694">
        <f>0</f>
        <v>0</v>
      </c>
      <c r="S10" s="694">
        <f>0</f>
        <v>0</v>
      </c>
      <c r="T10" s="694">
        <f>0</f>
        <v>0</v>
      </c>
      <c r="U10" s="695">
        <f>('[9]3ME BCIAT (FDI + FC)'!Q41/1000)/11640</f>
        <v>0</v>
      </c>
      <c r="V10" s="695">
        <f t="shared" si="2"/>
        <v>0</v>
      </c>
      <c r="W10" s="695">
        <f t="shared" si="1"/>
        <v>0</v>
      </c>
      <c r="X10" s="695">
        <f t="shared" si="1"/>
        <v>0</v>
      </c>
      <c r="Y10" s="695">
        <f t="shared" si="1"/>
        <v>0</v>
      </c>
      <c r="Z10" s="695">
        <f t="shared" si="1"/>
        <v>0</v>
      </c>
      <c r="AA10" s="695">
        <f t="shared" si="1"/>
        <v>0</v>
      </c>
      <c r="AB10" s="695">
        <f t="shared" si="1"/>
        <v>0</v>
      </c>
      <c r="AC10" s="695">
        <f t="shared" si="1"/>
        <v>0</v>
      </c>
      <c r="AD10" s="695">
        <f t="shared" si="1"/>
        <v>0</v>
      </c>
      <c r="AE10" s="695">
        <f t="shared" si="1"/>
        <v>0</v>
      </c>
      <c r="AF10" s="695">
        <f t="shared" si="1"/>
        <v>0</v>
      </c>
      <c r="AG10" s="695">
        <f t="shared" si="1"/>
        <v>0</v>
      </c>
      <c r="AH10" s="695">
        <f t="shared" si="1"/>
        <v>0</v>
      </c>
      <c r="AI10" s="695">
        <f t="shared" si="1"/>
        <v>0</v>
      </c>
      <c r="AJ10" s="695">
        <f t="shared" si="1"/>
        <v>0</v>
      </c>
      <c r="AK10" s="695">
        <f t="shared" si="1"/>
        <v>0</v>
      </c>
      <c r="AL10" s="695">
        <f t="shared" si="1"/>
        <v>0</v>
      </c>
      <c r="AM10" s="695">
        <f t="shared" si="1"/>
        <v>0</v>
      </c>
      <c r="AN10" s="695">
        <f t="shared" si="1"/>
        <v>0</v>
      </c>
      <c r="AO10" s="695">
        <f t="shared" si="1"/>
        <v>0</v>
      </c>
      <c r="AP10" s="695">
        <f t="shared" si="1"/>
        <v>0</v>
      </c>
      <c r="AQ10" s="695">
        <f t="shared" si="1"/>
        <v>0</v>
      </c>
      <c r="AR10" s="695">
        <f t="shared" si="1"/>
        <v>0</v>
      </c>
      <c r="AS10" s="695">
        <f t="shared" si="1"/>
        <v>0</v>
      </c>
      <c r="AT10" s="695">
        <f t="shared" si="1"/>
        <v>0</v>
      </c>
      <c r="AU10" s="695">
        <f t="shared" si="1"/>
        <v>0</v>
      </c>
      <c r="AV10" s="695">
        <f t="shared" ref="AV10" si="8">AU10</f>
        <v>0</v>
      </c>
      <c r="AW10" s="696"/>
      <c r="AX10" s="697"/>
    </row>
    <row r="11" spans="1:50" s="694" customFormat="1" ht="12.75" x14ac:dyDescent="0.2">
      <c r="A11" s="694" t="s">
        <v>574</v>
      </c>
      <c r="B11" s="694">
        <f>0</f>
        <v>0</v>
      </c>
      <c r="C11" s="694">
        <f>0</f>
        <v>0</v>
      </c>
      <c r="D11" s="694">
        <f>0</f>
        <v>0</v>
      </c>
      <c r="E11" s="694">
        <f>0</f>
        <v>0</v>
      </c>
      <c r="F11" s="694">
        <f>0</f>
        <v>0</v>
      </c>
      <c r="G11" s="694">
        <f>0</f>
        <v>0</v>
      </c>
      <c r="H11" s="694">
        <f>0</f>
        <v>0</v>
      </c>
      <c r="I11" s="694">
        <f>0</f>
        <v>0</v>
      </c>
      <c r="J11" s="694">
        <f>0</f>
        <v>0</v>
      </c>
      <c r="K11" s="694">
        <f>0</f>
        <v>0</v>
      </c>
      <c r="L11" s="694">
        <f>0</f>
        <v>0</v>
      </c>
      <c r="M11" s="694">
        <f>0</f>
        <v>0</v>
      </c>
      <c r="N11" s="694">
        <f>0</f>
        <v>0</v>
      </c>
      <c r="O11" s="694">
        <f>0</f>
        <v>0</v>
      </c>
      <c r="P11" s="694">
        <f>0</f>
        <v>0</v>
      </c>
      <c r="Q11" s="694">
        <f>0</f>
        <v>0</v>
      </c>
      <c r="R11" s="694">
        <f>0</f>
        <v>0</v>
      </c>
      <c r="S11" s="694">
        <f>0</f>
        <v>0</v>
      </c>
      <c r="T11" s="694">
        <f>0</f>
        <v>0</v>
      </c>
      <c r="U11" s="695">
        <f>('[9]3ME BCIAT (FDI + FC)'!Q42/1000)/11640</f>
        <v>0</v>
      </c>
      <c r="V11" s="695">
        <f t="shared" si="2"/>
        <v>0</v>
      </c>
      <c r="W11" s="695">
        <f t="shared" si="1"/>
        <v>0</v>
      </c>
      <c r="X11" s="695">
        <f t="shared" si="1"/>
        <v>0</v>
      </c>
      <c r="Y11" s="695">
        <f t="shared" si="1"/>
        <v>0</v>
      </c>
      <c r="Z11" s="695">
        <f t="shared" si="1"/>
        <v>0</v>
      </c>
      <c r="AA11" s="695">
        <f t="shared" si="1"/>
        <v>0</v>
      </c>
      <c r="AB11" s="695">
        <f t="shared" si="1"/>
        <v>0</v>
      </c>
      <c r="AC11" s="695">
        <f t="shared" si="1"/>
        <v>0</v>
      </c>
      <c r="AD11" s="695">
        <f t="shared" si="1"/>
        <v>0</v>
      </c>
      <c r="AE11" s="695">
        <f t="shared" si="1"/>
        <v>0</v>
      </c>
      <c r="AF11" s="695">
        <f t="shared" si="1"/>
        <v>0</v>
      </c>
      <c r="AG11" s="695">
        <f t="shared" si="1"/>
        <v>0</v>
      </c>
      <c r="AH11" s="695">
        <f t="shared" si="1"/>
        <v>0</v>
      </c>
      <c r="AI11" s="695">
        <f t="shared" si="1"/>
        <v>0</v>
      </c>
      <c r="AJ11" s="695">
        <f t="shared" si="1"/>
        <v>0</v>
      </c>
      <c r="AK11" s="695">
        <f t="shared" si="1"/>
        <v>0</v>
      </c>
      <c r="AL11" s="695">
        <f t="shared" si="1"/>
        <v>0</v>
      </c>
      <c r="AM11" s="695">
        <f t="shared" si="1"/>
        <v>0</v>
      </c>
      <c r="AN11" s="695">
        <f t="shared" si="1"/>
        <v>0</v>
      </c>
      <c r="AO11" s="695">
        <f t="shared" si="1"/>
        <v>0</v>
      </c>
      <c r="AP11" s="695">
        <f t="shared" si="1"/>
        <v>0</v>
      </c>
      <c r="AQ11" s="695">
        <f t="shared" si="1"/>
        <v>0</v>
      </c>
      <c r="AR11" s="695">
        <f t="shared" si="1"/>
        <v>0</v>
      </c>
      <c r="AS11" s="695">
        <f t="shared" si="1"/>
        <v>0</v>
      </c>
      <c r="AT11" s="695">
        <f t="shared" si="1"/>
        <v>0</v>
      </c>
      <c r="AU11" s="695">
        <f t="shared" si="1"/>
        <v>0</v>
      </c>
      <c r="AV11" s="695">
        <f t="shared" ref="AV11" si="9">AU11</f>
        <v>0</v>
      </c>
      <c r="AW11" s="696"/>
      <c r="AX11" s="697"/>
    </row>
    <row r="12" spans="1:50" s="694" customFormat="1" ht="12.75" x14ac:dyDescent="0.2">
      <c r="A12" s="694" t="s">
        <v>575</v>
      </c>
      <c r="B12" s="694">
        <f>0</f>
        <v>0</v>
      </c>
      <c r="C12" s="694">
        <f>0</f>
        <v>0</v>
      </c>
      <c r="D12" s="694">
        <f>0</f>
        <v>0</v>
      </c>
      <c r="E12" s="694">
        <f>0</f>
        <v>0</v>
      </c>
      <c r="F12" s="694">
        <f>0</f>
        <v>0</v>
      </c>
      <c r="G12" s="694">
        <f>0</f>
        <v>0</v>
      </c>
      <c r="H12" s="694">
        <f>0</f>
        <v>0</v>
      </c>
      <c r="I12" s="694">
        <f>0</f>
        <v>0</v>
      </c>
      <c r="J12" s="694">
        <f>0</f>
        <v>0</v>
      </c>
      <c r="K12" s="694">
        <f>0</f>
        <v>0</v>
      </c>
      <c r="L12" s="694">
        <f>0</f>
        <v>0</v>
      </c>
      <c r="M12" s="694">
        <f>0</f>
        <v>0</v>
      </c>
      <c r="N12" s="694">
        <f>0</f>
        <v>0</v>
      </c>
      <c r="O12" s="694">
        <f>0</f>
        <v>0</v>
      </c>
      <c r="P12" s="694">
        <f>0</f>
        <v>0</v>
      </c>
      <c r="Q12" s="694">
        <f>0</f>
        <v>0</v>
      </c>
      <c r="R12" s="694">
        <f>0</f>
        <v>0</v>
      </c>
      <c r="S12" s="694">
        <f>0</f>
        <v>0</v>
      </c>
      <c r="T12" s="694">
        <f>0</f>
        <v>0</v>
      </c>
      <c r="U12" s="695">
        <f>('[9]3ME BCIAT (FDI + FC)'!Q43/1000)/11640</f>
        <v>3.7208762886597937E-3</v>
      </c>
      <c r="V12" s="695">
        <f t="shared" si="2"/>
        <v>3.7208762886597937E-3</v>
      </c>
      <c r="W12" s="695">
        <f t="shared" si="1"/>
        <v>3.7208762886597937E-3</v>
      </c>
      <c r="X12" s="695">
        <f t="shared" si="1"/>
        <v>3.7208762886597937E-3</v>
      </c>
      <c r="Y12" s="695">
        <f t="shared" si="1"/>
        <v>3.7208762886597937E-3</v>
      </c>
      <c r="Z12" s="695">
        <f t="shared" si="1"/>
        <v>3.7208762886597937E-3</v>
      </c>
      <c r="AA12" s="695">
        <f t="shared" si="1"/>
        <v>3.7208762886597937E-3</v>
      </c>
      <c r="AB12" s="695">
        <f t="shared" si="1"/>
        <v>3.7208762886597937E-3</v>
      </c>
      <c r="AC12" s="695">
        <f t="shared" si="1"/>
        <v>3.7208762886597937E-3</v>
      </c>
      <c r="AD12" s="695">
        <f t="shared" si="1"/>
        <v>3.7208762886597937E-3</v>
      </c>
      <c r="AE12" s="695">
        <f t="shared" si="1"/>
        <v>3.7208762886597937E-3</v>
      </c>
      <c r="AF12" s="695">
        <f t="shared" si="1"/>
        <v>3.7208762886597937E-3</v>
      </c>
      <c r="AG12" s="695">
        <f t="shared" si="1"/>
        <v>3.7208762886597937E-3</v>
      </c>
      <c r="AH12" s="695">
        <f t="shared" si="1"/>
        <v>3.7208762886597937E-3</v>
      </c>
      <c r="AI12" s="695">
        <f t="shared" si="1"/>
        <v>3.7208762886597937E-3</v>
      </c>
      <c r="AJ12" s="695">
        <f t="shared" si="1"/>
        <v>3.7208762886597937E-3</v>
      </c>
      <c r="AK12" s="695">
        <f t="shared" si="1"/>
        <v>3.7208762886597937E-3</v>
      </c>
      <c r="AL12" s="695">
        <f t="shared" si="1"/>
        <v>3.7208762886597937E-3</v>
      </c>
      <c r="AM12" s="695">
        <f t="shared" si="1"/>
        <v>3.7208762886597937E-3</v>
      </c>
      <c r="AN12" s="695">
        <f t="shared" si="1"/>
        <v>3.7208762886597937E-3</v>
      </c>
      <c r="AO12" s="695">
        <f t="shared" si="1"/>
        <v>3.7208762886597937E-3</v>
      </c>
      <c r="AP12" s="695">
        <f t="shared" si="1"/>
        <v>3.7208762886597937E-3</v>
      </c>
      <c r="AQ12" s="695">
        <f t="shared" si="1"/>
        <v>3.7208762886597937E-3</v>
      </c>
      <c r="AR12" s="695">
        <f t="shared" si="1"/>
        <v>3.7208762886597937E-3</v>
      </c>
      <c r="AS12" s="695">
        <f t="shared" si="1"/>
        <v>3.7208762886597937E-3</v>
      </c>
      <c r="AT12" s="695">
        <f t="shared" si="1"/>
        <v>3.7208762886597937E-3</v>
      </c>
      <c r="AU12" s="695">
        <f t="shared" si="1"/>
        <v>3.7208762886597937E-3</v>
      </c>
      <c r="AV12" s="695">
        <f t="shared" ref="AV12" si="10">AU12</f>
        <v>3.7208762886597937E-3</v>
      </c>
      <c r="AW12" s="696"/>
      <c r="AX12" s="697"/>
    </row>
    <row r="13" spans="1:50" s="694" customFormat="1" ht="12.75" x14ac:dyDescent="0.2">
      <c r="A13" s="694" t="s">
        <v>576</v>
      </c>
      <c r="B13" s="694">
        <f>0</f>
        <v>0</v>
      </c>
      <c r="C13" s="694">
        <f>0</f>
        <v>0</v>
      </c>
      <c r="D13" s="694">
        <f>0</f>
        <v>0</v>
      </c>
      <c r="E13" s="694">
        <f>0</f>
        <v>0</v>
      </c>
      <c r="F13" s="694">
        <f>0</f>
        <v>0</v>
      </c>
      <c r="G13" s="694">
        <f>0</f>
        <v>0</v>
      </c>
      <c r="H13" s="694">
        <f>0</f>
        <v>0</v>
      </c>
      <c r="I13" s="694">
        <f>0</f>
        <v>0</v>
      </c>
      <c r="J13" s="694">
        <f>0</f>
        <v>0</v>
      </c>
      <c r="K13" s="694">
        <f>0</f>
        <v>0</v>
      </c>
      <c r="L13" s="694">
        <f>0</f>
        <v>0</v>
      </c>
      <c r="M13" s="694">
        <f>0</f>
        <v>0</v>
      </c>
      <c r="N13" s="694">
        <f>0</f>
        <v>0</v>
      </c>
      <c r="O13" s="694">
        <f>0</f>
        <v>0</v>
      </c>
      <c r="P13" s="694">
        <f>0</f>
        <v>0</v>
      </c>
      <c r="Q13" s="694">
        <f>0</f>
        <v>0</v>
      </c>
      <c r="R13" s="694">
        <f>0</f>
        <v>0</v>
      </c>
      <c r="S13" s="694">
        <f>0</f>
        <v>0</v>
      </c>
      <c r="T13" s="694">
        <f>0</f>
        <v>0</v>
      </c>
      <c r="U13" s="695">
        <f>('[9]3ME BCIAT (FDI + FC)'!Q44/1000)/11640</f>
        <v>0</v>
      </c>
      <c r="V13" s="695">
        <f t="shared" si="2"/>
        <v>0</v>
      </c>
      <c r="W13" s="695">
        <f t="shared" si="1"/>
        <v>0</v>
      </c>
      <c r="X13" s="695">
        <f t="shared" si="1"/>
        <v>0</v>
      </c>
      <c r="Y13" s="695">
        <f t="shared" si="1"/>
        <v>0</v>
      </c>
      <c r="Z13" s="695">
        <f t="shared" si="1"/>
        <v>0</v>
      </c>
      <c r="AA13" s="695">
        <f t="shared" si="1"/>
        <v>0</v>
      </c>
      <c r="AB13" s="695">
        <f t="shared" si="1"/>
        <v>0</v>
      </c>
      <c r="AC13" s="695">
        <f t="shared" si="1"/>
        <v>0</v>
      </c>
      <c r="AD13" s="695">
        <f t="shared" si="1"/>
        <v>0</v>
      </c>
      <c r="AE13" s="695">
        <f t="shared" si="1"/>
        <v>0</v>
      </c>
      <c r="AF13" s="695">
        <f t="shared" si="1"/>
        <v>0</v>
      </c>
      <c r="AG13" s="695">
        <f t="shared" si="1"/>
        <v>0</v>
      </c>
      <c r="AH13" s="695">
        <f t="shared" si="1"/>
        <v>0</v>
      </c>
      <c r="AI13" s="695">
        <f t="shared" si="1"/>
        <v>0</v>
      </c>
      <c r="AJ13" s="695">
        <f t="shared" si="1"/>
        <v>0</v>
      </c>
      <c r="AK13" s="695">
        <f t="shared" si="1"/>
        <v>0</v>
      </c>
      <c r="AL13" s="695">
        <f t="shared" si="1"/>
        <v>0</v>
      </c>
      <c r="AM13" s="695">
        <f t="shared" si="1"/>
        <v>0</v>
      </c>
      <c r="AN13" s="695">
        <f t="shared" si="1"/>
        <v>0</v>
      </c>
      <c r="AO13" s="695">
        <f t="shared" si="1"/>
        <v>0</v>
      </c>
      <c r="AP13" s="695">
        <f t="shared" si="1"/>
        <v>0</v>
      </c>
      <c r="AQ13" s="695">
        <f t="shared" si="1"/>
        <v>0</v>
      </c>
      <c r="AR13" s="695">
        <f t="shared" si="1"/>
        <v>0</v>
      </c>
      <c r="AS13" s="695">
        <f t="shared" si="1"/>
        <v>0</v>
      </c>
      <c r="AT13" s="695">
        <f t="shared" si="1"/>
        <v>0</v>
      </c>
      <c r="AU13" s="695">
        <f t="shared" si="1"/>
        <v>0</v>
      </c>
      <c r="AV13" s="695">
        <f t="shared" ref="AV13" si="11">AU13</f>
        <v>0</v>
      </c>
      <c r="AW13" s="696"/>
      <c r="AX13" s="697"/>
    </row>
    <row r="14" spans="1:50" s="694" customFormat="1" ht="12.75" x14ac:dyDescent="0.2">
      <c r="A14" s="694" t="s">
        <v>577</v>
      </c>
      <c r="B14" s="694">
        <f>0</f>
        <v>0</v>
      </c>
      <c r="C14" s="694">
        <f>0</f>
        <v>0</v>
      </c>
      <c r="D14" s="694">
        <f>0</f>
        <v>0</v>
      </c>
      <c r="E14" s="694">
        <f>0</f>
        <v>0</v>
      </c>
      <c r="F14" s="694">
        <f>0</f>
        <v>0</v>
      </c>
      <c r="G14" s="694">
        <f>0</f>
        <v>0</v>
      </c>
      <c r="H14" s="694">
        <f>0</f>
        <v>0</v>
      </c>
      <c r="I14" s="694">
        <f>0</f>
        <v>0</v>
      </c>
      <c r="J14" s="694">
        <f>0</f>
        <v>0</v>
      </c>
      <c r="K14" s="694">
        <f>0</f>
        <v>0</v>
      </c>
      <c r="L14" s="694">
        <f>0</f>
        <v>0</v>
      </c>
      <c r="M14" s="694">
        <f>0</f>
        <v>0</v>
      </c>
      <c r="N14" s="694">
        <f>0</f>
        <v>0</v>
      </c>
      <c r="O14" s="694">
        <f>0</f>
        <v>0</v>
      </c>
      <c r="P14" s="694">
        <f>0</f>
        <v>0</v>
      </c>
      <c r="Q14" s="694">
        <f>0</f>
        <v>0</v>
      </c>
      <c r="R14" s="694">
        <f>0</f>
        <v>0</v>
      </c>
      <c r="S14" s="694">
        <f>0</f>
        <v>0</v>
      </c>
      <c r="T14" s="694">
        <f>0</f>
        <v>0</v>
      </c>
      <c r="U14" s="695">
        <f>('[9]3ME BCIAT (FDI + FC)'!Q45/1000)/11640</f>
        <v>0</v>
      </c>
      <c r="V14" s="695">
        <f t="shared" si="2"/>
        <v>0</v>
      </c>
      <c r="W14" s="695">
        <f t="shared" si="1"/>
        <v>0</v>
      </c>
      <c r="X14" s="695">
        <f t="shared" si="1"/>
        <v>0</v>
      </c>
      <c r="Y14" s="695">
        <f t="shared" si="1"/>
        <v>0</v>
      </c>
      <c r="Z14" s="695">
        <f t="shared" si="1"/>
        <v>0</v>
      </c>
      <c r="AA14" s="695">
        <f t="shared" si="1"/>
        <v>0</v>
      </c>
      <c r="AB14" s="695">
        <f t="shared" si="1"/>
        <v>0</v>
      </c>
      <c r="AC14" s="695">
        <f t="shared" si="1"/>
        <v>0</v>
      </c>
      <c r="AD14" s="695">
        <f t="shared" si="1"/>
        <v>0</v>
      </c>
      <c r="AE14" s="695">
        <f t="shared" si="1"/>
        <v>0</v>
      </c>
      <c r="AF14" s="695">
        <f t="shared" si="1"/>
        <v>0</v>
      </c>
      <c r="AG14" s="695">
        <f t="shared" si="1"/>
        <v>0</v>
      </c>
      <c r="AH14" s="695">
        <f t="shared" si="1"/>
        <v>0</v>
      </c>
      <c r="AI14" s="695">
        <f t="shared" si="1"/>
        <v>0</v>
      </c>
      <c r="AJ14" s="695">
        <f t="shared" si="1"/>
        <v>0</v>
      </c>
      <c r="AK14" s="695">
        <f t="shared" si="1"/>
        <v>0</v>
      </c>
      <c r="AL14" s="695">
        <f t="shared" si="1"/>
        <v>0</v>
      </c>
      <c r="AM14" s="695">
        <f t="shared" si="1"/>
        <v>0</v>
      </c>
      <c r="AN14" s="695">
        <f t="shared" si="1"/>
        <v>0</v>
      </c>
      <c r="AO14" s="695">
        <f t="shared" si="1"/>
        <v>0</v>
      </c>
      <c r="AP14" s="695">
        <f t="shared" si="1"/>
        <v>0</v>
      </c>
      <c r="AQ14" s="695">
        <f t="shared" ref="W14:AU17" si="12">AP14</f>
        <v>0</v>
      </c>
      <c r="AR14" s="695">
        <f t="shared" si="12"/>
        <v>0</v>
      </c>
      <c r="AS14" s="695">
        <f t="shared" si="12"/>
        <v>0</v>
      </c>
      <c r="AT14" s="695">
        <f t="shared" si="12"/>
        <v>0</v>
      </c>
      <c r="AU14" s="695">
        <f t="shared" si="12"/>
        <v>0</v>
      </c>
      <c r="AV14" s="695">
        <f t="shared" ref="AV14" si="13">AU14</f>
        <v>0</v>
      </c>
      <c r="AW14" s="696"/>
      <c r="AX14" s="697"/>
    </row>
    <row r="15" spans="1:50" s="694" customFormat="1" ht="12.75" x14ac:dyDescent="0.2">
      <c r="A15" s="694" t="s">
        <v>578</v>
      </c>
      <c r="B15" s="694">
        <f>0</f>
        <v>0</v>
      </c>
      <c r="C15" s="694">
        <f>0</f>
        <v>0</v>
      </c>
      <c r="D15" s="694">
        <f>0</f>
        <v>0</v>
      </c>
      <c r="E15" s="694">
        <f>0</f>
        <v>0</v>
      </c>
      <c r="F15" s="694">
        <f>0</f>
        <v>0</v>
      </c>
      <c r="G15" s="694">
        <f>0</f>
        <v>0</v>
      </c>
      <c r="H15" s="694">
        <f>0</f>
        <v>0</v>
      </c>
      <c r="I15" s="694">
        <f>0</f>
        <v>0</v>
      </c>
      <c r="J15" s="694">
        <f>0</f>
        <v>0</v>
      </c>
      <c r="K15" s="694">
        <f>0</f>
        <v>0</v>
      </c>
      <c r="L15" s="694">
        <f>0</f>
        <v>0</v>
      </c>
      <c r="M15" s="694">
        <f>0</f>
        <v>0</v>
      </c>
      <c r="N15" s="694">
        <f>0</f>
        <v>0</v>
      </c>
      <c r="O15" s="694">
        <f>0</f>
        <v>0</v>
      </c>
      <c r="P15" s="694">
        <f>0</f>
        <v>0</v>
      </c>
      <c r="Q15" s="694">
        <f>0</f>
        <v>0</v>
      </c>
      <c r="R15" s="694">
        <f>0</f>
        <v>0</v>
      </c>
      <c r="S15" s="694">
        <f>0</f>
        <v>0</v>
      </c>
      <c r="T15" s="694">
        <f>0</f>
        <v>0</v>
      </c>
      <c r="U15" s="695">
        <f>('[9]3ME BCIAT (FDI + FC)'!Q46/1000)/11640</f>
        <v>5.8048453608247418E-2</v>
      </c>
      <c r="V15" s="695">
        <f t="shared" si="2"/>
        <v>5.8048453608247418E-2</v>
      </c>
      <c r="W15" s="695">
        <f t="shared" si="12"/>
        <v>5.8048453608247418E-2</v>
      </c>
      <c r="X15" s="695">
        <f t="shared" si="12"/>
        <v>5.8048453608247418E-2</v>
      </c>
      <c r="Y15" s="695">
        <f t="shared" si="12"/>
        <v>5.8048453608247418E-2</v>
      </c>
      <c r="Z15" s="695">
        <f t="shared" si="12"/>
        <v>5.8048453608247418E-2</v>
      </c>
      <c r="AA15" s="695">
        <f t="shared" si="12"/>
        <v>5.8048453608247418E-2</v>
      </c>
      <c r="AB15" s="695">
        <f t="shared" si="12"/>
        <v>5.8048453608247418E-2</v>
      </c>
      <c r="AC15" s="695">
        <f t="shared" si="12"/>
        <v>5.8048453608247418E-2</v>
      </c>
      <c r="AD15" s="695">
        <f t="shared" si="12"/>
        <v>5.8048453608247418E-2</v>
      </c>
      <c r="AE15" s="695">
        <f t="shared" si="12"/>
        <v>5.8048453608247418E-2</v>
      </c>
      <c r="AF15" s="695">
        <f t="shared" si="12"/>
        <v>5.8048453608247418E-2</v>
      </c>
      <c r="AG15" s="695">
        <f t="shared" si="12"/>
        <v>5.8048453608247418E-2</v>
      </c>
      <c r="AH15" s="695">
        <f t="shared" si="12"/>
        <v>5.8048453608247418E-2</v>
      </c>
      <c r="AI15" s="695">
        <f t="shared" si="12"/>
        <v>5.8048453608247418E-2</v>
      </c>
      <c r="AJ15" s="695">
        <f t="shared" si="12"/>
        <v>5.8048453608247418E-2</v>
      </c>
      <c r="AK15" s="695">
        <f t="shared" si="12"/>
        <v>5.8048453608247418E-2</v>
      </c>
      <c r="AL15" s="695">
        <f t="shared" si="12"/>
        <v>5.8048453608247418E-2</v>
      </c>
      <c r="AM15" s="695">
        <f t="shared" si="12"/>
        <v>5.8048453608247418E-2</v>
      </c>
      <c r="AN15" s="695">
        <f t="shared" si="12"/>
        <v>5.8048453608247418E-2</v>
      </c>
      <c r="AO15" s="695">
        <f t="shared" si="12"/>
        <v>5.8048453608247418E-2</v>
      </c>
      <c r="AP15" s="695">
        <f t="shared" si="12"/>
        <v>5.8048453608247418E-2</v>
      </c>
      <c r="AQ15" s="695">
        <f t="shared" si="12"/>
        <v>5.8048453608247418E-2</v>
      </c>
      <c r="AR15" s="695">
        <f t="shared" si="12"/>
        <v>5.8048453608247418E-2</v>
      </c>
      <c r="AS15" s="695">
        <f t="shared" si="12"/>
        <v>5.8048453608247418E-2</v>
      </c>
      <c r="AT15" s="695">
        <f t="shared" si="12"/>
        <v>5.8048453608247418E-2</v>
      </c>
      <c r="AU15" s="695">
        <f t="shared" si="12"/>
        <v>5.8048453608247418E-2</v>
      </c>
      <c r="AV15" s="695">
        <f t="shared" ref="AV15" si="14">AU15</f>
        <v>5.8048453608247418E-2</v>
      </c>
      <c r="AW15" s="696"/>
      <c r="AX15" s="697"/>
    </row>
    <row r="16" spans="1:50" s="694" customFormat="1" ht="12.75" x14ac:dyDescent="0.2">
      <c r="A16" s="694" t="s">
        <v>579</v>
      </c>
      <c r="B16" s="694">
        <f>0</f>
        <v>0</v>
      </c>
      <c r="C16" s="694">
        <f>0</f>
        <v>0</v>
      </c>
      <c r="D16" s="694">
        <f>0</f>
        <v>0</v>
      </c>
      <c r="E16" s="694">
        <f>0</f>
        <v>0</v>
      </c>
      <c r="F16" s="694">
        <f>0</f>
        <v>0</v>
      </c>
      <c r="G16" s="694">
        <f>0</f>
        <v>0</v>
      </c>
      <c r="H16" s="694">
        <f>0</f>
        <v>0</v>
      </c>
      <c r="I16" s="694">
        <f>0</f>
        <v>0</v>
      </c>
      <c r="J16" s="694">
        <f>0</f>
        <v>0</v>
      </c>
      <c r="K16" s="694">
        <f>0</f>
        <v>0</v>
      </c>
      <c r="L16" s="694">
        <f>0</f>
        <v>0</v>
      </c>
      <c r="M16" s="694">
        <f>0</f>
        <v>0</v>
      </c>
      <c r="N16" s="694">
        <f>0</f>
        <v>0</v>
      </c>
      <c r="O16" s="694">
        <f>0</f>
        <v>0</v>
      </c>
      <c r="P16" s="694">
        <f>0</f>
        <v>0</v>
      </c>
      <c r="Q16" s="694">
        <f>0</f>
        <v>0</v>
      </c>
      <c r="R16" s="694">
        <f>0</f>
        <v>0</v>
      </c>
      <c r="S16" s="694">
        <f>0</f>
        <v>0</v>
      </c>
      <c r="T16" s="694">
        <f>0</f>
        <v>0</v>
      </c>
      <c r="U16" s="695">
        <f>('[9]3ME BCIAT (FDI + FC)'!Q47/1000)/11640</f>
        <v>0</v>
      </c>
      <c r="V16" s="695">
        <f t="shared" si="2"/>
        <v>0</v>
      </c>
      <c r="W16" s="695">
        <f t="shared" si="12"/>
        <v>0</v>
      </c>
      <c r="X16" s="695">
        <f t="shared" si="12"/>
        <v>0</v>
      </c>
      <c r="Y16" s="695">
        <f t="shared" si="12"/>
        <v>0</v>
      </c>
      <c r="Z16" s="695">
        <f t="shared" si="12"/>
        <v>0</v>
      </c>
      <c r="AA16" s="695">
        <f t="shared" si="12"/>
        <v>0</v>
      </c>
      <c r="AB16" s="695">
        <f t="shared" si="12"/>
        <v>0</v>
      </c>
      <c r="AC16" s="695">
        <f t="shared" si="12"/>
        <v>0</v>
      </c>
      <c r="AD16" s="695">
        <f t="shared" si="12"/>
        <v>0</v>
      </c>
      <c r="AE16" s="695">
        <f t="shared" si="12"/>
        <v>0</v>
      </c>
      <c r="AF16" s="695">
        <f t="shared" si="12"/>
        <v>0</v>
      </c>
      <c r="AG16" s="695">
        <f t="shared" si="12"/>
        <v>0</v>
      </c>
      <c r="AH16" s="695">
        <f t="shared" si="12"/>
        <v>0</v>
      </c>
      <c r="AI16" s="695">
        <f t="shared" si="12"/>
        <v>0</v>
      </c>
      <c r="AJ16" s="695">
        <f t="shared" si="12"/>
        <v>0</v>
      </c>
      <c r="AK16" s="695">
        <f t="shared" si="12"/>
        <v>0</v>
      </c>
      <c r="AL16" s="695">
        <f t="shared" si="12"/>
        <v>0</v>
      </c>
      <c r="AM16" s="695">
        <f t="shared" si="12"/>
        <v>0</v>
      </c>
      <c r="AN16" s="695">
        <f t="shared" si="12"/>
        <v>0</v>
      </c>
      <c r="AO16" s="695">
        <f t="shared" si="12"/>
        <v>0</v>
      </c>
      <c r="AP16" s="695">
        <f t="shared" si="12"/>
        <v>0</v>
      </c>
      <c r="AQ16" s="695">
        <f t="shared" si="12"/>
        <v>0</v>
      </c>
      <c r="AR16" s="695">
        <f t="shared" si="12"/>
        <v>0</v>
      </c>
      <c r="AS16" s="695">
        <f t="shared" si="12"/>
        <v>0</v>
      </c>
      <c r="AT16" s="695">
        <f t="shared" si="12"/>
        <v>0</v>
      </c>
      <c r="AU16" s="695">
        <f t="shared" si="12"/>
        <v>0</v>
      </c>
      <c r="AV16" s="695">
        <f t="shared" ref="AV16" si="15">AU16</f>
        <v>0</v>
      </c>
      <c r="AW16" s="696"/>
      <c r="AX16" s="697"/>
    </row>
    <row r="17" spans="1:50" s="694" customFormat="1" ht="12.75" x14ac:dyDescent="0.2">
      <c r="A17" s="694" t="s">
        <v>580</v>
      </c>
      <c r="B17" s="694">
        <f>0</f>
        <v>0</v>
      </c>
      <c r="C17" s="694">
        <f>0</f>
        <v>0</v>
      </c>
      <c r="D17" s="694">
        <f>0</f>
        <v>0</v>
      </c>
      <c r="E17" s="694">
        <f>0</f>
        <v>0</v>
      </c>
      <c r="F17" s="694">
        <f>0</f>
        <v>0</v>
      </c>
      <c r="G17" s="694">
        <f>0</f>
        <v>0</v>
      </c>
      <c r="H17" s="694">
        <f>0</f>
        <v>0</v>
      </c>
      <c r="I17" s="694">
        <f>0</f>
        <v>0</v>
      </c>
      <c r="J17" s="694">
        <f>0</f>
        <v>0</v>
      </c>
      <c r="K17" s="694">
        <f>0</f>
        <v>0</v>
      </c>
      <c r="L17" s="694">
        <f>0</f>
        <v>0</v>
      </c>
      <c r="M17" s="694">
        <f>0</f>
        <v>0</v>
      </c>
      <c r="N17" s="694">
        <f>0</f>
        <v>0</v>
      </c>
      <c r="O17" s="694">
        <f>0</f>
        <v>0</v>
      </c>
      <c r="P17" s="694">
        <f>0</f>
        <v>0</v>
      </c>
      <c r="Q17" s="694">
        <f>0</f>
        <v>0</v>
      </c>
      <c r="R17" s="694">
        <f>0</f>
        <v>0</v>
      </c>
      <c r="S17" s="694">
        <f>0</f>
        <v>0</v>
      </c>
      <c r="T17" s="694">
        <f>0</f>
        <v>0</v>
      </c>
      <c r="U17" s="695">
        <f>('[9]3ME BCIAT (FDI + FC)'!Q48/1000)/11640</f>
        <v>5.5542096219931272E-3</v>
      </c>
      <c r="V17" s="695">
        <f t="shared" si="2"/>
        <v>5.5542096219931272E-3</v>
      </c>
      <c r="W17" s="695">
        <f t="shared" si="12"/>
        <v>5.5542096219931272E-3</v>
      </c>
      <c r="X17" s="695">
        <f t="shared" si="12"/>
        <v>5.5542096219931272E-3</v>
      </c>
      <c r="Y17" s="695">
        <f t="shared" si="12"/>
        <v>5.5542096219931272E-3</v>
      </c>
      <c r="Z17" s="695">
        <f t="shared" si="12"/>
        <v>5.5542096219931272E-3</v>
      </c>
      <c r="AA17" s="695">
        <f t="shared" si="12"/>
        <v>5.5542096219931272E-3</v>
      </c>
      <c r="AB17" s="695">
        <f t="shared" si="12"/>
        <v>5.5542096219931272E-3</v>
      </c>
      <c r="AC17" s="695">
        <f t="shared" si="12"/>
        <v>5.5542096219931272E-3</v>
      </c>
      <c r="AD17" s="695">
        <f t="shared" si="12"/>
        <v>5.5542096219931272E-3</v>
      </c>
      <c r="AE17" s="695">
        <f t="shared" si="12"/>
        <v>5.5542096219931272E-3</v>
      </c>
      <c r="AF17" s="695">
        <f t="shared" si="12"/>
        <v>5.5542096219931272E-3</v>
      </c>
      <c r="AG17" s="695">
        <f t="shared" si="12"/>
        <v>5.5542096219931272E-3</v>
      </c>
      <c r="AH17" s="695">
        <f t="shared" si="12"/>
        <v>5.5542096219931272E-3</v>
      </c>
      <c r="AI17" s="695">
        <f t="shared" si="12"/>
        <v>5.5542096219931272E-3</v>
      </c>
      <c r="AJ17" s="695">
        <f t="shared" si="12"/>
        <v>5.5542096219931272E-3</v>
      </c>
      <c r="AK17" s="695">
        <f t="shared" si="12"/>
        <v>5.5542096219931272E-3</v>
      </c>
      <c r="AL17" s="695">
        <f t="shared" si="12"/>
        <v>5.5542096219931272E-3</v>
      </c>
      <c r="AM17" s="695">
        <f t="shared" si="12"/>
        <v>5.5542096219931272E-3</v>
      </c>
      <c r="AN17" s="695">
        <f t="shared" si="12"/>
        <v>5.5542096219931272E-3</v>
      </c>
      <c r="AO17" s="695">
        <f t="shared" si="12"/>
        <v>5.5542096219931272E-3</v>
      </c>
      <c r="AP17" s="695">
        <f t="shared" si="12"/>
        <v>5.5542096219931272E-3</v>
      </c>
      <c r="AQ17" s="695">
        <f t="shared" si="12"/>
        <v>5.5542096219931272E-3</v>
      </c>
      <c r="AR17" s="695">
        <f t="shared" si="12"/>
        <v>5.5542096219931272E-3</v>
      </c>
      <c r="AS17" s="695">
        <f t="shared" si="12"/>
        <v>5.5542096219931272E-3</v>
      </c>
      <c r="AT17" s="695">
        <f t="shared" si="12"/>
        <v>5.5542096219931272E-3</v>
      </c>
      <c r="AU17" s="695">
        <f t="shared" si="12"/>
        <v>5.5542096219931272E-3</v>
      </c>
      <c r="AV17" s="695">
        <f t="shared" ref="AV17" si="16">AU17</f>
        <v>5.5542096219931272E-3</v>
      </c>
      <c r="AW17" s="696"/>
      <c r="AX17" s="697"/>
    </row>
    <row r="18" spans="1:50" s="694" customFormat="1" ht="12.75" x14ac:dyDescent="0.2">
      <c r="A18" s="694" t="s">
        <v>581</v>
      </c>
      <c r="B18" s="694">
        <f>0</f>
        <v>0</v>
      </c>
      <c r="C18" s="694">
        <f>0</f>
        <v>0</v>
      </c>
      <c r="D18" s="694">
        <f>0</f>
        <v>0</v>
      </c>
      <c r="E18" s="694">
        <f>0</f>
        <v>0</v>
      </c>
      <c r="F18" s="694">
        <f>0</f>
        <v>0</v>
      </c>
      <c r="G18" s="694">
        <f>0</f>
        <v>0</v>
      </c>
      <c r="H18" s="694">
        <f>0</f>
        <v>0</v>
      </c>
      <c r="I18" s="694">
        <f>0</f>
        <v>0</v>
      </c>
      <c r="J18" s="694">
        <f>0</f>
        <v>0</v>
      </c>
      <c r="K18" s="694">
        <f>0</f>
        <v>0</v>
      </c>
      <c r="L18" s="694">
        <f>0</f>
        <v>0</v>
      </c>
      <c r="M18" s="694">
        <f>0</f>
        <v>0</v>
      </c>
      <c r="N18" s="694">
        <f>0</f>
        <v>0</v>
      </c>
      <c r="O18" s="694">
        <f>0</f>
        <v>0</v>
      </c>
      <c r="P18" s="694">
        <f>0</f>
        <v>0</v>
      </c>
      <c r="Q18" s="694">
        <f>0</f>
        <v>0</v>
      </c>
      <c r="R18" s="694">
        <f>0</f>
        <v>0</v>
      </c>
      <c r="S18" s="694">
        <f>0</f>
        <v>0</v>
      </c>
      <c r="T18" s="694">
        <f>0</f>
        <v>0</v>
      </c>
      <c r="U18" s="695">
        <f>('[9]3ME BCIAT (FDI + FC)'!Q49/1000)/11640</f>
        <v>0.1288918384879725</v>
      </c>
      <c r="V18" s="695">
        <f t="shared" ref="V18:AK22" si="17">U18</f>
        <v>0.1288918384879725</v>
      </c>
      <c r="W18" s="695">
        <f t="shared" si="17"/>
        <v>0.1288918384879725</v>
      </c>
      <c r="X18" s="695">
        <f t="shared" si="17"/>
        <v>0.1288918384879725</v>
      </c>
      <c r="Y18" s="695">
        <f t="shared" si="17"/>
        <v>0.1288918384879725</v>
      </c>
      <c r="Z18" s="695">
        <f t="shared" si="17"/>
        <v>0.1288918384879725</v>
      </c>
      <c r="AA18" s="695">
        <f t="shared" si="17"/>
        <v>0.1288918384879725</v>
      </c>
      <c r="AB18" s="695">
        <f t="shared" si="17"/>
        <v>0.1288918384879725</v>
      </c>
      <c r="AC18" s="695">
        <f t="shared" si="17"/>
        <v>0.1288918384879725</v>
      </c>
      <c r="AD18" s="695">
        <f t="shared" si="17"/>
        <v>0.1288918384879725</v>
      </c>
      <c r="AE18" s="695">
        <f t="shared" si="17"/>
        <v>0.1288918384879725</v>
      </c>
      <c r="AF18" s="695">
        <f t="shared" si="17"/>
        <v>0.1288918384879725</v>
      </c>
      <c r="AG18" s="695">
        <f t="shared" si="17"/>
        <v>0.1288918384879725</v>
      </c>
      <c r="AH18" s="695">
        <f t="shared" si="17"/>
        <v>0.1288918384879725</v>
      </c>
      <c r="AI18" s="695">
        <f t="shared" si="17"/>
        <v>0.1288918384879725</v>
      </c>
      <c r="AJ18" s="695">
        <f t="shared" si="17"/>
        <v>0.1288918384879725</v>
      </c>
      <c r="AK18" s="695">
        <f t="shared" si="17"/>
        <v>0.1288918384879725</v>
      </c>
      <c r="AL18" s="695">
        <f t="shared" ref="AL18:AV22" si="18">AK18</f>
        <v>0.1288918384879725</v>
      </c>
      <c r="AM18" s="695">
        <f t="shared" si="18"/>
        <v>0.1288918384879725</v>
      </c>
      <c r="AN18" s="695">
        <f t="shared" si="18"/>
        <v>0.1288918384879725</v>
      </c>
      <c r="AO18" s="695">
        <f t="shared" si="18"/>
        <v>0.1288918384879725</v>
      </c>
      <c r="AP18" s="695">
        <f t="shared" si="18"/>
        <v>0.1288918384879725</v>
      </c>
      <c r="AQ18" s="695">
        <f t="shared" si="18"/>
        <v>0.1288918384879725</v>
      </c>
      <c r="AR18" s="695">
        <f t="shared" si="18"/>
        <v>0.1288918384879725</v>
      </c>
      <c r="AS18" s="695">
        <f t="shared" si="18"/>
        <v>0.1288918384879725</v>
      </c>
      <c r="AT18" s="695">
        <f t="shared" si="18"/>
        <v>0.1288918384879725</v>
      </c>
      <c r="AU18" s="695">
        <f t="shared" si="18"/>
        <v>0.1288918384879725</v>
      </c>
      <c r="AV18" s="695">
        <f t="shared" si="18"/>
        <v>0.1288918384879725</v>
      </c>
      <c r="AW18" s="696"/>
      <c r="AX18" s="697"/>
    </row>
    <row r="19" spans="1:50" s="694" customFormat="1" ht="12.75" x14ac:dyDescent="0.2">
      <c r="A19" s="694" t="s">
        <v>582</v>
      </c>
      <c r="B19" s="694">
        <f>0</f>
        <v>0</v>
      </c>
      <c r="C19" s="694">
        <f>0</f>
        <v>0</v>
      </c>
      <c r="D19" s="694">
        <f>0</f>
        <v>0</v>
      </c>
      <c r="E19" s="694">
        <f>0</f>
        <v>0</v>
      </c>
      <c r="F19" s="694">
        <f>0</f>
        <v>0</v>
      </c>
      <c r="G19" s="694">
        <f>0</f>
        <v>0</v>
      </c>
      <c r="H19" s="694">
        <f>0</f>
        <v>0</v>
      </c>
      <c r="I19" s="694">
        <f>0</f>
        <v>0</v>
      </c>
      <c r="J19" s="694">
        <f>0</f>
        <v>0</v>
      </c>
      <c r="K19" s="694">
        <f>0</f>
        <v>0</v>
      </c>
      <c r="L19" s="694">
        <f>0</f>
        <v>0</v>
      </c>
      <c r="M19" s="694">
        <f>0</f>
        <v>0</v>
      </c>
      <c r="N19" s="694">
        <f>0</f>
        <v>0</v>
      </c>
      <c r="O19" s="694">
        <f>0</f>
        <v>0</v>
      </c>
      <c r="P19" s="694">
        <f>0</f>
        <v>0</v>
      </c>
      <c r="Q19" s="694">
        <f>0</f>
        <v>0</v>
      </c>
      <c r="R19" s="694">
        <f>0</f>
        <v>0</v>
      </c>
      <c r="S19" s="694">
        <f>0</f>
        <v>0</v>
      </c>
      <c r="T19" s="694">
        <f>0</f>
        <v>0</v>
      </c>
      <c r="U19" s="695">
        <f>('[10]FC Prod GWh FC'!Q$8 +'[10]FC Prod GWh FC'!Q$13)/11640</f>
        <v>2.5541924398625428E-2</v>
      </c>
      <c r="V19" s="695">
        <f t="shared" si="17"/>
        <v>2.5541924398625428E-2</v>
      </c>
      <c r="W19" s="695">
        <f t="shared" si="17"/>
        <v>2.5541924398625428E-2</v>
      </c>
      <c r="X19" s="695">
        <f t="shared" si="17"/>
        <v>2.5541924398625428E-2</v>
      </c>
      <c r="Y19" s="695">
        <f t="shared" si="17"/>
        <v>2.5541924398625428E-2</v>
      </c>
      <c r="Z19" s="695">
        <f t="shared" si="17"/>
        <v>2.5541924398625428E-2</v>
      </c>
      <c r="AA19" s="695">
        <f t="shared" si="17"/>
        <v>2.5541924398625428E-2</v>
      </c>
      <c r="AB19" s="695">
        <f t="shared" si="17"/>
        <v>2.5541924398625428E-2</v>
      </c>
      <c r="AC19" s="695">
        <f t="shared" si="17"/>
        <v>2.5541924398625428E-2</v>
      </c>
      <c r="AD19" s="695">
        <f t="shared" si="17"/>
        <v>2.5541924398625428E-2</v>
      </c>
      <c r="AE19" s="695">
        <f t="shared" si="17"/>
        <v>2.5541924398625428E-2</v>
      </c>
      <c r="AF19" s="695">
        <f t="shared" si="17"/>
        <v>2.5541924398625428E-2</v>
      </c>
      <c r="AG19" s="695">
        <f t="shared" si="17"/>
        <v>2.5541924398625428E-2</v>
      </c>
      <c r="AH19" s="695">
        <f t="shared" si="17"/>
        <v>2.5541924398625428E-2</v>
      </c>
      <c r="AI19" s="695">
        <f t="shared" si="17"/>
        <v>2.5541924398625428E-2</v>
      </c>
      <c r="AJ19" s="695">
        <f t="shared" si="17"/>
        <v>2.5541924398625428E-2</v>
      </c>
      <c r="AK19" s="695">
        <f t="shared" si="17"/>
        <v>2.5541924398625428E-2</v>
      </c>
      <c r="AL19" s="695">
        <f t="shared" si="18"/>
        <v>2.5541924398625428E-2</v>
      </c>
      <c r="AM19" s="695">
        <f t="shared" si="18"/>
        <v>2.5541924398625428E-2</v>
      </c>
      <c r="AN19" s="695">
        <f t="shared" si="18"/>
        <v>2.5541924398625428E-2</v>
      </c>
      <c r="AO19" s="695">
        <f t="shared" si="18"/>
        <v>2.5541924398625428E-2</v>
      </c>
      <c r="AP19" s="695">
        <f t="shared" si="18"/>
        <v>2.5541924398625428E-2</v>
      </c>
      <c r="AQ19" s="695">
        <f t="shared" si="18"/>
        <v>2.5541924398625428E-2</v>
      </c>
      <c r="AR19" s="695">
        <f t="shared" si="18"/>
        <v>2.5541924398625428E-2</v>
      </c>
      <c r="AS19" s="695">
        <f t="shared" si="18"/>
        <v>2.5541924398625428E-2</v>
      </c>
      <c r="AT19" s="695">
        <f t="shared" si="18"/>
        <v>2.5541924398625428E-2</v>
      </c>
      <c r="AU19" s="695">
        <f t="shared" si="18"/>
        <v>2.5541924398625428E-2</v>
      </c>
      <c r="AV19" s="695">
        <f t="shared" si="18"/>
        <v>2.5541924398625428E-2</v>
      </c>
      <c r="AW19" s="696"/>
      <c r="AX19" s="697"/>
    </row>
    <row r="20" spans="1:50" s="694" customFormat="1" ht="12.75" x14ac:dyDescent="0.2">
      <c r="A20" s="694" t="s">
        <v>583</v>
      </c>
      <c r="B20" s="694">
        <f>0</f>
        <v>0</v>
      </c>
      <c r="C20" s="694">
        <f>0</f>
        <v>0</v>
      </c>
      <c r="D20" s="694">
        <f>0</f>
        <v>0</v>
      </c>
      <c r="E20" s="694">
        <f>0</f>
        <v>0</v>
      </c>
      <c r="F20" s="694">
        <f>0</f>
        <v>0</v>
      </c>
      <c r="G20" s="694">
        <f>0</f>
        <v>0</v>
      </c>
      <c r="H20" s="694">
        <f>0</f>
        <v>0</v>
      </c>
      <c r="I20" s="694">
        <f>0</f>
        <v>0</v>
      </c>
      <c r="J20" s="694">
        <f>0</f>
        <v>0</v>
      </c>
      <c r="K20" s="694">
        <f>0</f>
        <v>0</v>
      </c>
      <c r="L20" s="694">
        <f>0</f>
        <v>0</v>
      </c>
      <c r="M20" s="694">
        <f>0</f>
        <v>0</v>
      </c>
      <c r="N20" s="694">
        <f>0</f>
        <v>0</v>
      </c>
      <c r="O20" s="694">
        <f>0</f>
        <v>0</v>
      </c>
      <c r="P20" s="694">
        <f>0</f>
        <v>0</v>
      </c>
      <c r="Q20" s="694">
        <f>0</f>
        <v>0</v>
      </c>
      <c r="R20" s="694">
        <f>0</f>
        <v>0</v>
      </c>
      <c r="S20" s="694">
        <f>0</f>
        <v>0</v>
      </c>
      <c r="T20" s="694">
        <f>0</f>
        <v>0</v>
      </c>
      <c r="U20" s="695">
        <f>'[10]FC Prod GWh FC'!Q$10/11640</f>
        <v>2.4322336769759451E-2</v>
      </c>
      <c r="V20" s="695">
        <f t="shared" si="17"/>
        <v>2.4322336769759451E-2</v>
      </c>
      <c r="W20" s="695">
        <f t="shared" si="17"/>
        <v>2.4322336769759451E-2</v>
      </c>
      <c r="X20" s="695">
        <f t="shared" si="17"/>
        <v>2.4322336769759451E-2</v>
      </c>
      <c r="Y20" s="695">
        <f t="shared" si="17"/>
        <v>2.4322336769759451E-2</v>
      </c>
      <c r="Z20" s="695">
        <f t="shared" si="17"/>
        <v>2.4322336769759451E-2</v>
      </c>
      <c r="AA20" s="695">
        <f t="shared" si="17"/>
        <v>2.4322336769759451E-2</v>
      </c>
      <c r="AB20" s="695">
        <f t="shared" si="17"/>
        <v>2.4322336769759451E-2</v>
      </c>
      <c r="AC20" s="695">
        <f t="shared" si="17"/>
        <v>2.4322336769759451E-2</v>
      </c>
      <c r="AD20" s="695">
        <f t="shared" si="17"/>
        <v>2.4322336769759451E-2</v>
      </c>
      <c r="AE20" s="695">
        <f t="shared" si="17"/>
        <v>2.4322336769759451E-2</v>
      </c>
      <c r="AF20" s="695">
        <f t="shared" si="17"/>
        <v>2.4322336769759451E-2</v>
      </c>
      <c r="AG20" s="695">
        <f t="shared" si="17"/>
        <v>2.4322336769759451E-2</v>
      </c>
      <c r="AH20" s="695">
        <f t="shared" si="17"/>
        <v>2.4322336769759451E-2</v>
      </c>
      <c r="AI20" s="695">
        <f t="shared" si="17"/>
        <v>2.4322336769759451E-2</v>
      </c>
      <c r="AJ20" s="695">
        <f t="shared" si="17"/>
        <v>2.4322336769759451E-2</v>
      </c>
      <c r="AK20" s="695">
        <f t="shared" si="17"/>
        <v>2.4322336769759451E-2</v>
      </c>
      <c r="AL20" s="695">
        <f t="shared" si="18"/>
        <v>2.4322336769759451E-2</v>
      </c>
      <c r="AM20" s="695">
        <f t="shared" si="18"/>
        <v>2.4322336769759451E-2</v>
      </c>
      <c r="AN20" s="695">
        <f t="shared" si="18"/>
        <v>2.4322336769759451E-2</v>
      </c>
      <c r="AO20" s="695">
        <f t="shared" si="18"/>
        <v>2.4322336769759451E-2</v>
      </c>
      <c r="AP20" s="695">
        <f t="shared" si="18"/>
        <v>2.4322336769759451E-2</v>
      </c>
      <c r="AQ20" s="695">
        <f t="shared" si="18"/>
        <v>2.4322336769759451E-2</v>
      </c>
      <c r="AR20" s="695">
        <f t="shared" si="18"/>
        <v>2.4322336769759451E-2</v>
      </c>
      <c r="AS20" s="695">
        <f t="shared" si="18"/>
        <v>2.4322336769759451E-2</v>
      </c>
      <c r="AT20" s="695">
        <f t="shared" si="18"/>
        <v>2.4322336769759451E-2</v>
      </c>
      <c r="AU20" s="695">
        <f t="shared" si="18"/>
        <v>2.4322336769759451E-2</v>
      </c>
      <c r="AV20" s="695">
        <f t="shared" si="18"/>
        <v>2.4322336769759451E-2</v>
      </c>
      <c r="AW20" s="696"/>
      <c r="AX20" s="697"/>
    </row>
    <row r="21" spans="1:50" s="694" customFormat="1" ht="12.75" x14ac:dyDescent="0.2">
      <c r="A21" s="694" t="s">
        <v>584</v>
      </c>
      <c r="B21" s="694">
        <f>0</f>
        <v>0</v>
      </c>
      <c r="C21" s="694">
        <f>0</f>
        <v>0</v>
      </c>
      <c r="D21" s="694">
        <f>0</f>
        <v>0</v>
      </c>
      <c r="E21" s="694">
        <f>0</f>
        <v>0</v>
      </c>
      <c r="F21" s="694">
        <f>0</f>
        <v>0</v>
      </c>
      <c r="G21" s="694">
        <f>0</f>
        <v>0</v>
      </c>
      <c r="H21" s="694">
        <f>0</f>
        <v>0</v>
      </c>
      <c r="I21" s="694">
        <f>0</f>
        <v>0</v>
      </c>
      <c r="J21" s="694">
        <f>0</f>
        <v>0</v>
      </c>
      <c r="K21" s="694">
        <f>0</f>
        <v>0</v>
      </c>
      <c r="L21" s="694">
        <f>0</f>
        <v>0</v>
      </c>
      <c r="M21" s="694">
        <f>0</f>
        <v>0</v>
      </c>
      <c r="N21" s="694">
        <f>0</f>
        <v>0</v>
      </c>
      <c r="O21" s="694">
        <f>0</f>
        <v>0</v>
      </c>
      <c r="P21" s="694">
        <f>0</f>
        <v>0</v>
      </c>
      <c r="Q21" s="694">
        <f>0</f>
        <v>0</v>
      </c>
      <c r="R21" s="694">
        <f>0</f>
        <v>0</v>
      </c>
      <c r="S21" s="694">
        <f>0</f>
        <v>0</v>
      </c>
      <c r="T21" s="694">
        <f>0</f>
        <v>0</v>
      </c>
      <c r="U21" s="695">
        <f>'[10]FC Prod GWh FC'!Q$7/11640</f>
        <v>2.9297452650280227E-2</v>
      </c>
      <c r="V21" s="695">
        <f t="shared" si="17"/>
        <v>2.9297452650280227E-2</v>
      </c>
      <c r="W21" s="695">
        <f t="shared" si="17"/>
        <v>2.9297452650280227E-2</v>
      </c>
      <c r="X21" s="695">
        <f t="shared" si="17"/>
        <v>2.9297452650280227E-2</v>
      </c>
      <c r="Y21" s="695">
        <f t="shared" si="17"/>
        <v>2.9297452650280227E-2</v>
      </c>
      <c r="Z21" s="695">
        <f t="shared" si="17"/>
        <v>2.9297452650280227E-2</v>
      </c>
      <c r="AA21" s="695">
        <f t="shared" si="17"/>
        <v>2.9297452650280227E-2</v>
      </c>
      <c r="AB21" s="695">
        <f t="shared" si="17"/>
        <v>2.9297452650280227E-2</v>
      </c>
      <c r="AC21" s="695">
        <f t="shared" si="17"/>
        <v>2.9297452650280227E-2</v>
      </c>
      <c r="AD21" s="695">
        <f t="shared" si="17"/>
        <v>2.9297452650280227E-2</v>
      </c>
      <c r="AE21" s="695">
        <f t="shared" si="17"/>
        <v>2.9297452650280227E-2</v>
      </c>
      <c r="AF21" s="695">
        <f t="shared" si="17"/>
        <v>2.9297452650280227E-2</v>
      </c>
      <c r="AG21" s="695">
        <f t="shared" si="17"/>
        <v>2.9297452650280227E-2</v>
      </c>
      <c r="AH21" s="695">
        <f t="shared" si="17"/>
        <v>2.9297452650280227E-2</v>
      </c>
      <c r="AI21" s="695">
        <f t="shared" si="17"/>
        <v>2.9297452650280227E-2</v>
      </c>
      <c r="AJ21" s="695">
        <f t="shared" si="17"/>
        <v>2.9297452650280227E-2</v>
      </c>
      <c r="AK21" s="695">
        <f t="shared" si="17"/>
        <v>2.9297452650280227E-2</v>
      </c>
      <c r="AL21" s="695">
        <f t="shared" si="18"/>
        <v>2.9297452650280227E-2</v>
      </c>
      <c r="AM21" s="695">
        <f t="shared" si="18"/>
        <v>2.9297452650280227E-2</v>
      </c>
      <c r="AN21" s="695">
        <f t="shared" si="18"/>
        <v>2.9297452650280227E-2</v>
      </c>
      <c r="AO21" s="695">
        <f t="shared" si="18"/>
        <v>2.9297452650280227E-2</v>
      </c>
      <c r="AP21" s="695">
        <f t="shared" si="18"/>
        <v>2.9297452650280227E-2</v>
      </c>
      <c r="AQ21" s="695">
        <f t="shared" si="18"/>
        <v>2.9297452650280227E-2</v>
      </c>
      <c r="AR21" s="695">
        <f t="shared" si="18"/>
        <v>2.9297452650280227E-2</v>
      </c>
      <c r="AS21" s="695">
        <f t="shared" si="18"/>
        <v>2.9297452650280227E-2</v>
      </c>
      <c r="AT21" s="695">
        <f t="shared" si="18"/>
        <v>2.9297452650280227E-2</v>
      </c>
      <c r="AU21" s="695">
        <f t="shared" si="18"/>
        <v>2.9297452650280227E-2</v>
      </c>
      <c r="AV21" s="695">
        <f t="shared" si="18"/>
        <v>2.9297452650280227E-2</v>
      </c>
      <c r="AW21" s="696"/>
      <c r="AX21" s="697"/>
    </row>
    <row r="22" spans="1:50" s="694" customFormat="1" ht="12.75" x14ac:dyDescent="0.2">
      <c r="A22" s="694" t="s">
        <v>585</v>
      </c>
      <c r="B22" s="694">
        <f>0</f>
        <v>0</v>
      </c>
      <c r="C22" s="694">
        <f>0</f>
        <v>0</v>
      </c>
      <c r="D22" s="694">
        <f>0</f>
        <v>0</v>
      </c>
      <c r="E22" s="694">
        <f>0</f>
        <v>0</v>
      </c>
      <c r="F22" s="694">
        <f>0</f>
        <v>0</v>
      </c>
      <c r="G22" s="694">
        <f>0</f>
        <v>0</v>
      </c>
      <c r="H22" s="694">
        <f>0</f>
        <v>0</v>
      </c>
      <c r="I22" s="694">
        <f>0</f>
        <v>0</v>
      </c>
      <c r="J22" s="694">
        <f>0</f>
        <v>0</v>
      </c>
      <c r="K22" s="694">
        <f>0</f>
        <v>0</v>
      </c>
      <c r="L22" s="694">
        <f>0</f>
        <v>0</v>
      </c>
      <c r="M22" s="694">
        <f>0</f>
        <v>0</v>
      </c>
      <c r="N22" s="694">
        <f>0</f>
        <v>0</v>
      </c>
      <c r="O22" s="694">
        <f>0</f>
        <v>0</v>
      </c>
      <c r="P22" s="694">
        <f>0</f>
        <v>0</v>
      </c>
      <c r="Q22" s="694">
        <f>0</f>
        <v>0</v>
      </c>
      <c r="R22" s="694">
        <f>0</f>
        <v>0</v>
      </c>
      <c r="S22" s="694">
        <f>0</f>
        <v>0</v>
      </c>
      <c r="T22" s="694">
        <f>0</f>
        <v>0</v>
      </c>
      <c r="U22" s="695">
        <f>'[10]FC Prod GWh FC'!Q$11/11640</f>
        <v>4.4060395176116846E-2</v>
      </c>
      <c r="V22" s="695">
        <f t="shared" si="17"/>
        <v>4.4060395176116846E-2</v>
      </c>
      <c r="W22" s="695">
        <f t="shared" si="17"/>
        <v>4.4060395176116846E-2</v>
      </c>
      <c r="X22" s="695">
        <f t="shared" si="17"/>
        <v>4.4060395176116846E-2</v>
      </c>
      <c r="Y22" s="695">
        <f t="shared" si="17"/>
        <v>4.4060395176116846E-2</v>
      </c>
      <c r="Z22" s="695">
        <f t="shared" si="17"/>
        <v>4.4060395176116846E-2</v>
      </c>
      <c r="AA22" s="695">
        <f t="shared" si="17"/>
        <v>4.4060395176116846E-2</v>
      </c>
      <c r="AB22" s="695">
        <f t="shared" si="17"/>
        <v>4.4060395176116846E-2</v>
      </c>
      <c r="AC22" s="695">
        <f t="shared" si="17"/>
        <v>4.4060395176116846E-2</v>
      </c>
      <c r="AD22" s="695">
        <f t="shared" si="17"/>
        <v>4.4060395176116846E-2</v>
      </c>
      <c r="AE22" s="695">
        <f t="shared" si="17"/>
        <v>4.4060395176116846E-2</v>
      </c>
      <c r="AF22" s="695">
        <f t="shared" si="17"/>
        <v>4.4060395176116846E-2</v>
      </c>
      <c r="AG22" s="695">
        <f t="shared" si="17"/>
        <v>4.4060395176116846E-2</v>
      </c>
      <c r="AH22" s="695">
        <f t="shared" si="17"/>
        <v>4.4060395176116846E-2</v>
      </c>
      <c r="AI22" s="695">
        <f t="shared" si="17"/>
        <v>4.4060395176116846E-2</v>
      </c>
      <c r="AJ22" s="695">
        <f t="shared" si="17"/>
        <v>4.4060395176116846E-2</v>
      </c>
      <c r="AK22" s="695">
        <f t="shared" si="17"/>
        <v>4.4060395176116846E-2</v>
      </c>
      <c r="AL22" s="695">
        <f t="shared" si="18"/>
        <v>4.4060395176116846E-2</v>
      </c>
      <c r="AM22" s="695">
        <f t="shared" si="18"/>
        <v>4.4060395176116846E-2</v>
      </c>
      <c r="AN22" s="695">
        <f t="shared" si="18"/>
        <v>4.4060395176116846E-2</v>
      </c>
      <c r="AO22" s="695">
        <f t="shared" si="18"/>
        <v>4.4060395176116846E-2</v>
      </c>
      <c r="AP22" s="695">
        <f t="shared" si="18"/>
        <v>4.4060395176116846E-2</v>
      </c>
      <c r="AQ22" s="695">
        <f t="shared" si="18"/>
        <v>4.4060395176116846E-2</v>
      </c>
      <c r="AR22" s="695">
        <f t="shared" si="18"/>
        <v>4.4060395176116846E-2</v>
      </c>
      <c r="AS22" s="695">
        <f t="shared" si="18"/>
        <v>4.4060395176116846E-2</v>
      </c>
      <c r="AT22" s="695">
        <f t="shared" si="18"/>
        <v>4.4060395176116846E-2</v>
      </c>
      <c r="AU22" s="695">
        <f t="shared" si="18"/>
        <v>4.4060395176116846E-2</v>
      </c>
      <c r="AV22" s="695">
        <f t="shared" si="18"/>
        <v>4.4060395176116846E-2</v>
      </c>
      <c r="AW22" s="696"/>
      <c r="AX22" s="697"/>
    </row>
    <row r="24" spans="1:50" x14ac:dyDescent="0.25">
      <c r="A24" s="694" t="s">
        <v>586</v>
      </c>
      <c r="C24" s="698">
        <f>B4+C4</f>
        <v>0</v>
      </c>
      <c r="D24" s="404">
        <f>C24+D4</f>
        <v>0</v>
      </c>
      <c r="E24" s="404">
        <f t="shared" ref="E24:AV30" si="19">D24+E4</f>
        <v>0</v>
      </c>
      <c r="F24" s="404">
        <f t="shared" si="19"/>
        <v>0</v>
      </c>
      <c r="G24" s="404">
        <f t="shared" si="19"/>
        <v>0</v>
      </c>
      <c r="H24" s="404">
        <f t="shared" si="19"/>
        <v>0</v>
      </c>
      <c r="I24" s="404">
        <f t="shared" si="19"/>
        <v>0</v>
      </c>
      <c r="J24" s="404">
        <f t="shared" si="19"/>
        <v>0</v>
      </c>
      <c r="K24" s="404">
        <f t="shared" si="19"/>
        <v>0</v>
      </c>
      <c r="L24" s="404">
        <f t="shared" si="19"/>
        <v>0</v>
      </c>
      <c r="M24" s="404">
        <f t="shared" si="19"/>
        <v>0</v>
      </c>
      <c r="N24" s="404">
        <f t="shared" si="19"/>
        <v>0</v>
      </c>
      <c r="O24" s="404">
        <f t="shared" si="19"/>
        <v>0</v>
      </c>
      <c r="P24" s="404">
        <f t="shared" si="19"/>
        <v>0</v>
      </c>
      <c r="Q24" s="404">
        <f t="shared" si="19"/>
        <v>0</v>
      </c>
      <c r="R24" s="404">
        <f t="shared" si="19"/>
        <v>0</v>
      </c>
      <c r="S24" s="404">
        <f t="shared" si="19"/>
        <v>0</v>
      </c>
      <c r="T24" s="404">
        <f t="shared" si="19"/>
        <v>0</v>
      </c>
      <c r="U24" s="404">
        <f t="shared" si="19"/>
        <v>0</v>
      </c>
      <c r="V24" s="404">
        <f t="shared" si="19"/>
        <v>0</v>
      </c>
      <c r="W24" s="404">
        <f t="shared" si="19"/>
        <v>0</v>
      </c>
      <c r="X24" s="404">
        <f t="shared" si="19"/>
        <v>0</v>
      </c>
      <c r="Y24" s="404">
        <f t="shared" si="19"/>
        <v>0</v>
      </c>
      <c r="Z24" s="404">
        <f t="shared" si="19"/>
        <v>0</v>
      </c>
      <c r="AA24" s="404">
        <f t="shared" si="19"/>
        <v>0</v>
      </c>
      <c r="AB24" s="404">
        <f t="shared" si="19"/>
        <v>0</v>
      </c>
      <c r="AC24" s="404">
        <f t="shared" si="19"/>
        <v>0</v>
      </c>
      <c r="AD24" s="404">
        <f t="shared" si="19"/>
        <v>0</v>
      </c>
      <c r="AE24" s="404">
        <f t="shared" si="19"/>
        <v>0</v>
      </c>
      <c r="AF24" s="404">
        <f t="shared" si="19"/>
        <v>0</v>
      </c>
      <c r="AG24" s="404">
        <f t="shared" si="19"/>
        <v>0</v>
      </c>
      <c r="AH24" s="404">
        <f t="shared" si="19"/>
        <v>0</v>
      </c>
      <c r="AI24" s="404">
        <f t="shared" si="19"/>
        <v>0</v>
      </c>
      <c r="AJ24" s="404">
        <f t="shared" si="19"/>
        <v>0</v>
      </c>
      <c r="AK24" s="404">
        <f t="shared" si="19"/>
        <v>0</v>
      </c>
      <c r="AL24" s="404">
        <f t="shared" si="19"/>
        <v>0</v>
      </c>
      <c r="AM24" s="404">
        <f t="shared" si="19"/>
        <v>0</v>
      </c>
      <c r="AN24" s="404">
        <f t="shared" si="19"/>
        <v>0</v>
      </c>
      <c r="AO24" s="404">
        <f t="shared" si="19"/>
        <v>0</v>
      </c>
      <c r="AP24" s="404">
        <f t="shared" si="19"/>
        <v>0</v>
      </c>
      <c r="AQ24" s="404">
        <f t="shared" si="19"/>
        <v>0</v>
      </c>
      <c r="AR24" s="404">
        <f t="shared" si="19"/>
        <v>0</v>
      </c>
      <c r="AS24" s="404">
        <f t="shared" si="19"/>
        <v>0</v>
      </c>
      <c r="AT24" s="404">
        <f t="shared" si="19"/>
        <v>0</v>
      </c>
      <c r="AU24" s="404">
        <f t="shared" si="19"/>
        <v>0</v>
      </c>
      <c r="AV24" s="404">
        <f t="shared" si="19"/>
        <v>0</v>
      </c>
    </row>
    <row r="25" spans="1:50" x14ac:dyDescent="0.25">
      <c r="A25" s="694" t="s">
        <v>587</v>
      </c>
      <c r="C25" s="698">
        <f t="shared" ref="C25:C42" si="20">B5+C5</f>
        <v>0</v>
      </c>
      <c r="D25" s="404">
        <f t="shared" ref="D25:S42" si="21">C25+D5</f>
        <v>0</v>
      </c>
      <c r="E25" s="404">
        <f t="shared" si="21"/>
        <v>0</v>
      </c>
      <c r="F25" s="404">
        <f t="shared" si="21"/>
        <v>0</v>
      </c>
      <c r="G25" s="404">
        <f t="shared" si="21"/>
        <v>0</v>
      </c>
      <c r="H25" s="404">
        <f t="shared" si="21"/>
        <v>0</v>
      </c>
      <c r="I25" s="404">
        <f t="shared" si="21"/>
        <v>0</v>
      </c>
      <c r="J25" s="404">
        <f t="shared" si="21"/>
        <v>0</v>
      </c>
      <c r="K25" s="404">
        <f t="shared" si="21"/>
        <v>0</v>
      </c>
      <c r="L25" s="404">
        <f t="shared" si="21"/>
        <v>0</v>
      </c>
      <c r="M25" s="404">
        <f t="shared" si="21"/>
        <v>0</v>
      </c>
      <c r="N25" s="404">
        <f t="shared" si="21"/>
        <v>0</v>
      </c>
      <c r="O25" s="404">
        <f t="shared" si="21"/>
        <v>0</v>
      </c>
      <c r="P25" s="404">
        <f t="shared" si="21"/>
        <v>0</v>
      </c>
      <c r="Q25" s="404">
        <f t="shared" si="21"/>
        <v>0</v>
      </c>
      <c r="R25" s="404">
        <f t="shared" si="21"/>
        <v>0</v>
      </c>
      <c r="S25" s="404">
        <f t="shared" si="21"/>
        <v>0</v>
      </c>
      <c r="T25" s="404">
        <f t="shared" si="19"/>
        <v>0</v>
      </c>
      <c r="U25" s="404">
        <f t="shared" si="19"/>
        <v>3.0381872852233677E-2</v>
      </c>
      <c r="V25" s="404">
        <f t="shared" si="19"/>
        <v>6.0763745704467353E-2</v>
      </c>
      <c r="W25" s="404">
        <f t="shared" si="19"/>
        <v>9.114561855670103E-2</v>
      </c>
      <c r="X25" s="404">
        <f t="shared" si="19"/>
        <v>0.12152749140893471</v>
      </c>
      <c r="Y25" s="404">
        <f t="shared" si="19"/>
        <v>0.15190936426116838</v>
      </c>
      <c r="Z25" s="404">
        <f t="shared" si="19"/>
        <v>0.18229123711340206</v>
      </c>
      <c r="AA25" s="404">
        <f t="shared" si="19"/>
        <v>0.21267310996563574</v>
      </c>
      <c r="AB25" s="404">
        <f t="shared" si="19"/>
        <v>0.24305498281786941</v>
      </c>
      <c r="AC25" s="404">
        <f t="shared" si="19"/>
        <v>0.27343685567010312</v>
      </c>
      <c r="AD25" s="404">
        <f t="shared" si="19"/>
        <v>0.30381872852233682</v>
      </c>
      <c r="AE25" s="404">
        <f t="shared" si="19"/>
        <v>0.33420060137457053</v>
      </c>
      <c r="AF25" s="404">
        <f t="shared" si="19"/>
        <v>0.36458247422680423</v>
      </c>
      <c r="AG25" s="404">
        <f t="shared" si="19"/>
        <v>0.39496434707903794</v>
      </c>
      <c r="AH25" s="404">
        <f t="shared" si="19"/>
        <v>0.42534621993127164</v>
      </c>
      <c r="AI25" s="404">
        <f t="shared" si="19"/>
        <v>0.45572809278350535</v>
      </c>
      <c r="AJ25" s="404">
        <f t="shared" si="19"/>
        <v>0.48610996563573905</v>
      </c>
      <c r="AK25" s="404">
        <f t="shared" si="19"/>
        <v>0.51649183848797275</v>
      </c>
      <c r="AL25" s="404">
        <f t="shared" si="19"/>
        <v>0.54687371134020646</v>
      </c>
      <c r="AM25" s="404">
        <f t="shared" si="19"/>
        <v>0.57725558419244016</v>
      </c>
      <c r="AN25" s="404">
        <f t="shared" si="19"/>
        <v>0.60763745704467387</v>
      </c>
      <c r="AO25" s="404">
        <f t="shared" si="19"/>
        <v>0.63801932989690757</v>
      </c>
      <c r="AP25" s="404">
        <f t="shared" si="19"/>
        <v>0.66840120274914128</v>
      </c>
      <c r="AQ25" s="404">
        <f t="shared" si="19"/>
        <v>0.69878307560137498</v>
      </c>
      <c r="AR25" s="404">
        <f t="shared" si="19"/>
        <v>0.72916494845360869</v>
      </c>
      <c r="AS25" s="404">
        <f t="shared" si="19"/>
        <v>0.75954682130584239</v>
      </c>
      <c r="AT25" s="404">
        <f t="shared" si="19"/>
        <v>0.78992869415807609</v>
      </c>
      <c r="AU25" s="404">
        <f t="shared" si="19"/>
        <v>0.8203105670103098</v>
      </c>
      <c r="AV25" s="404">
        <f t="shared" si="19"/>
        <v>0.8506924398625435</v>
      </c>
    </row>
    <row r="26" spans="1:50" x14ac:dyDescent="0.25">
      <c r="A26" s="694" t="s">
        <v>588</v>
      </c>
      <c r="C26" s="698">
        <f t="shared" si="20"/>
        <v>0</v>
      </c>
      <c r="D26" s="404">
        <f t="shared" si="21"/>
        <v>0</v>
      </c>
      <c r="E26" s="404">
        <f t="shared" si="19"/>
        <v>0</v>
      </c>
      <c r="F26" s="404">
        <f t="shared" si="19"/>
        <v>0</v>
      </c>
      <c r="G26" s="404">
        <f t="shared" si="19"/>
        <v>0</v>
      </c>
      <c r="H26" s="404">
        <f t="shared" si="19"/>
        <v>0</v>
      </c>
      <c r="I26" s="404">
        <f t="shared" si="19"/>
        <v>0</v>
      </c>
      <c r="J26" s="404">
        <f t="shared" si="19"/>
        <v>0</v>
      </c>
      <c r="K26" s="404">
        <f t="shared" si="19"/>
        <v>0</v>
      </c>
      <c r="L26" s="404">
        <f t="shared" si="19"/>
        <v>0</v>
      </c>
      <c r="M26" s="404">
        <f t="shared" si="19"/>
        <v>0</v>
      </c>
      <c r="N26" s="404">
        <f t="shared" si="19"/>
        <v>0</v>
      </c>
      <c r="O26" s="404">
        <f t="shared" si="19"/>
        <v>0</v>
      </c>
      <c r="P26" s="404">
        <f t="shared" si="19"/>
        <v>0</v>
      </c>
      <c r="Q26" s="404">
        <f t="shared" si="19"/>
        <v>0</v>
      </c>
      <c r="R26" s="404">
        <f t="shared" si="19"/>
        <v>0</v>
      </c>
      <c r="S26" s="404">
        <f t="shared" si="19"/>
        <v>0</v>
      </c>
      <c r="T26" s="404">
        <f t="shared" si="19"/>
        <v>0</v>
      </c>
      <c r="U26" s="404">
        <f t="shared" si="19"/>
        <v>0</v>
      </c>
      <c r="V26" s="404">
        <f t="shared" si="19"/>
        <v>0</v>
      </c>
      <c r="W26" s="404">
        <f t="shared" si="19"/>
        <v>0</v>
      </c>
      <c r="X26" s="404">
        <f t="shared" si="19"/>
        <v>0</v>
      </c>
      <c r="Y26" s="404">
        <f t="shared" si="19"/>
        <v>0</v>
      </c>
      <c r="Z26" s="404">
        <f t="shared" si="19"/>
        <v>0</v>
      </c>
      <c r="AA26" s="404">
        <f t="shared" si="19"/>
        <v>0</v>
      </c>
      <c r="AB26" s="404">
        <f t="shared" si="19"/>
        <v>0</v>
      </c>
      <c r="AC26" s="404">
        <f t="shared" si="19"/>
        <v>0</v>
      </c>
      <c r="AD26" s="404">
        <f t="shared" si="19"/>
        <v>0</v>
      </c>
      <c r="AE26" s="404">
        <f t="shared" si="19"/>
        <v>0</v>
      </c>
      <c r="AF26" s="404">
        <f t="shared" si="19"/>
        <v>0</v>
      </c>
      <c r="AG26" s="404">
        <f t="shared" si="19"/>
        <v>0</v>
      </c>
      <c r="AH26" s="404">
        <f t="shared" si="19"/>
        <v>0</v>
      </c>
      <c r="AI26" s="404">
        <f t="shared" si="19"/>
        <v>0</v>
      </c>
      <c r="AJ26" s="404">
        <f t="shared" si="19"/>
        <v>0</v>
      </c>
      <c r="AK26" s="404">
        <f t="shared" si="19"/>
        <v>0</v>
      </c>
      <c r="AL26" s="404">
        <f t="shared" si="19"/>
        <v>0</v>
      </c>
      <c r="AM26" s="404">
        <f t="shared" si="19"/>
        <v>0</v>
      </c>
      <c r="AN26" s="404">
        <f t="shared" si="19"/>
        <v>0</v>
      </c>
      <c r="AO26" s="404">
        <f t="shared" si="19"/>
        <v>0</v>
      </c>
      <c r="AP26" s="404">
        <f t="shared" si="19"/>
        <v>0</v>
      </c>
      <c r="AQ26" s="404">
        <f t="shared" si="19"/>
        <v>0</v>
      </c>
      <c r="AR26" s="404">
        <f t="shared" si="19"/>
        <v>0</v>
      </c>
      <c r="AS26" s="404">
        <f t="shared" si="19"/>
        <v>0</v>
      </c>
      <c r="AT26" s="404">
        <f t="shared" si="19"/>
        <v>0</v>
      </c>
      <c r="AU26" s="404">
        <f t="shared" si="19"/>
        <v>0</v>
      </c>
      <c r="AV26" s="404">
        <f t="shared" si="19"/>
        <v>0</v>
      </c>
    </row>
    <row r="27" spans="1:50" x14ac:dyDescent="0.25">
      <c r="A27" s="694" t="s">
        <v>589</v>
      </c>
      <c r="C27" s="698">
        <f t="shared" si="20"/>
        <v>0</v>
      </c>
      <c r="D27" s="404">
        <f t="shared" si="21"/>
        <v>0</v>
      </c>
      <c r="E27" s="404">
        <f t="shared" si="19"/>
        <v>0</v>
      </c>
      <c r="F27" s="404">
        <f t="shared" si="19"/>
        <v>0</v>
      </c>
      <c r="G27" s="404">
        <f t="shared" si="19"/>
        <v>0</v>
      </c>
      <c r="H27" s="404">
        <f t="shared" si="19"/>
        <v>0</v>
      </c>
      <c r="I27" s="404">
        <f t="shared" si="19"/>
        <v>0</v>
      </c>
      <c r="J27" s="404">
        <f t="shared" si="19"/>
        <v>0</v>
      </c>
      <c r="K27" s="404">
        <f t="shared" si="19"/>
        <v>0</v>
      </c>
      <c r="L27" s="404">
        <f t="shared" si="19"/>
        <v>0</v>
      </c>
      <c r="M27" s="404">
        <f t="shared" si="19"/>
        <v>0</v>
      </c>
      <c r="N27" s="404">
        <f t="shared" si="19"/>
        <v>0</v>
      </c>
      <c r="O27" s="404">
        <f t="shared" si="19"/>
        <v>0</v>
      </c>
      <c r="P27" s="404">
        <f t="shared" si="19"/>
        <v>0</v>
      </c>
      <c r="Q27" s="404">
        <f t="shared" si="19"/>
        <v>0</v>
      </c>
      <c r="R27" s="404">
        <f t="shared" si="19"/>
        <v>0</v>
      </c>
      <c r="S27" s="404">
        <f t="shared" si="19"/>
        <v>0</v>
      </c>
      <c r="T27" s="404">
        <f t="shared" si="19"/>
        <v>0</v>
      </c>
      <c r="U27" s="404">
        <f t="shared" si="19"/>
        <v>0</v>
      </c>
      <c r="V27" s="404">
        <f t="shared" si="19"/>
        <v>0</v>
      </c>
      <c r="W27" s="404">
        <f t="shared" si="19"/>
        <v>0</v>
      </c>
      <c r="X27" s="404">
        <f t="shared" si="19"/>
        <v>0</v>
      </c>
      <c r="Y27" s="404">
        <f t="shared" si="19"/>
        <v>0</v>
      </c>
      <c r="Z27" s="404">
        <f t="shared" si="19"/>
        <v>0</v>
      </c>
      <c r="AA27" s="404">
        <f t="shared" si="19"/>
        <v>0</v>
      </c>
      <c r="AB27" s="404">
        <f t="shared" si="19"/>
        <v>0</v>
      </c>
      <c r="AC27" s="404">
        <f t="shared" si="19"/>
        <v>0</v>
      </c>
      <c r="AD27" s="404">
        <f t="shared" si="19"/>
        <v>0</v>
      </c>
      <c r="AE27" s="404">
        <f t="shared" si="19"/>
        <v>0</v>
      </c>
      <c r="AF27" s="404">
        <f t="shared" si="19"/>
        <v>0</v>
      </c>
      <c r="AG27" s="404">
        <f t="shared" si="19"/>
        <v>0</v>
      </c>
      <c r="AH27" s="404">
        <f t="shared" si="19"/>
        <v>0</v>
      </c>
      <c r="AI27" s="404">
        <f t="shared" si="19"/>
        <v>0</v>
      </c>
      <c r="AJ27" s="404">
        <f t="shared" si="19"/>
        <v>0</v>
      </c>
      <c r="AK27" s="404">
        <f t="shared" si="19"/>
        <v>0</v>
      </c>
      <c r="AL27" s="404">
        <f t="shared" si="19"/>
        <v>0</v>
      </c>
      <c r="AM27" s="404">
        <f t="shared" si="19"/>
        <v>0</v>
      </c>
      <c r="AN27" s="404">
        <f t="shared" si="19"/>
        <v>0</v>
      </c>
      <c r="AO27" s="404">
        <f t="shared" si="19"/>
        <v>0</v>
      </c>
      <c r="AP27" s="404">
        <f t="shared" si="19"/>
        <v>0</v>
      </c>
      <c r="AQ27" s="404">
        <f t="shared" si="19"/>
        <v>0</v>
      </c>
      <c r="AR27" s="404">
        <f t="shared" si="19"/>
        <v>0</v>
      </c>
      <c r="AS27" s="404">
        <f t="shared" si="19"/>
        <v>0</v>
      </c>
      <c r="AT27" s="404">
        <f t="shared" si="19"/>
        <v>0</v>
      </c>
      <c r="AU27" s="404">
        <f t="shared" si="19"/>
        <v>0</v>
      </c>
      <c r="AV27" s="404">
        <f t="shared" si="19"/>
        <v>0</v>
      </c>
    </row>
    <row r="28" spans="1:50" x14ac:dyDescent="0.25">
      <c r="A28" s="694" t="s">
        <v>590</v>
      </c>
      <c r="C28" s="698">
        <f t="shared" si="20"/>
        <v>0</v>
      </c>
      <c r="D28" s="404">
        <f t="shared" si="21"/>
        <v>0</v>
      </c>
      <c r="E28" s="404">
        <f t="shared" si="19"/>
        <v>0</v>
      </c>
      <c r="F28" s="404">
        <f t="shared" si="19"/>
        <v>0</v>
      </c>
      <c r="G28" s="404">
        <f t="shared" si="19"/>
        <v>0</v>
      </c>
      <c r="H28" s="404">
        <f t="shared" si="19"/>
        <v>0</v>
      </c>
      <c r="I28" s="404">
        <f t="shared" si="19"/>
        <v>0</v>
      </c>
      <c r="J28" s="404">
        <f t="shared" si="19"/>
        <v>0</v>
      </c>
      <c r="K28" s="404">
        <f t="shared" si="19"/>
        <v>0</v>
      </c>
      <c r="L28" s="404">
        <f t="shared" si="19"/>
        <v>0</v>
      </c>
      <c r="M28" s="404">
        <f t="shared" si="19"/>
        <v>0</v>
      </c>
      <c r="N28" s="404">
        <f t="shared" si="19"/>
        <v>0</v>
      </c>
      <c r="O28" s="404">
        <f t="shared" si="19"/>
        <v>0</v>
      </c>
      <c r="P28" s="404">
        <f t="shared" si="19"/>
        <v>0</v>
      </c>
      <c r="Q28" s="404">
        <f t="shared" si="19"/>
        <v>0</v>
      </c>
      <c r="R28" s="404">
        <f t="shared" si="19"/>
        <v>0</v>
      </c>
      <c r="S28" s="404">
        <f t="shared" si="19"/>
        <v>0</v>
      </c>
      <c r="T28" s="404">
        <f t="shared" si="19"/>
        <v>0</v>
      </c>
      <c r="U28" s="404">
        <f t="shared" si="19"/>
        <v>0</v>
      </c>
      <c r="V28" s="404">
        <f t="shared" si="19"/>
        <v>0</v>
      </c>
      <c r="W28" s="404">
        <f t="shared" si="19"/>
        <v>0</v>
      </c>
      <c r="X28" s="404">
        <f t="shared" si="19"/>
        <v>0</v>
      </c>
      <c r="Y28" s="404">
        <f t="shared" si="19"/>
        <v>0</v>
      </c>
      <c r="Z28" s="404">
        <f t="shared" si="19"/>
        <v>0</v>
      </c>
      <c r="AA28" s="404">
        <f t="shared" si="19"/>
        <v>0</v>
      </c>
      <c r="AB28" s="404">
        <f t="shared" si="19"/>
        <v>0</v>
      </c>
      <c r="AC28" s="404">
        <f t="shared" si="19"/>
        <v>0</v>
      </c>
      <c r="AD28" s="404">
        <f t="shared" si="19"/>
        <v>0</v>
      </c>
      <c r="AE28" s="404">
        <f t="shared" si="19"/>
        <v>0</v>
      </c>
      <c r="AF28" s="404">
        <f t="shared" si="19"/>
        <v>0</v>
      </c>
      <c r="AG28" s="404">
        <f t="shared" si="19"/>
        <v>0</v>
      </c>
      <c r="AH28" s="404">
        <f t="shared" si="19"/>
        <v>0</v>
      </c>
      <c r="AI28" s="404">
        <f t="shared" si="19"/>
        <v>0</v>
      </c>
      <c r="AJ28" s="404">
        <f t="shared" si="19"/>
        <v>0</v>
      </c>
      <c r="AK28" s="404">
        <f t="shared" si="19"/>
        <v>0</v>
      </c>
      <c r="AL28" s="404">
        <f t="shared" si="19"/>
        <v>0</v>
      </c>
      <c r="AM28" s="404">
        <f t="shared" si="19"/>
        <v>0</v>
      </c>
      <c r="AN28" s="404">
        <f t="shared" si="19"/>
        <v>0</v>
      </c>
      <c r="AO28" s="404">
        <f t="shared" si="19"/>
        <v>0</v>
      </c>
      <c r="AP28" s="404">
        <f t="shared" si="19"/>
        <v>0</v>
      </c>
      <c r="AQ28" s="404">
        <f t="shared" si="19"/>
        <v>0</v>
      </c>
      <c r="AR28" s="404">
        <f t="shared" si="19"/>
        <v>0</v>
      </c>
      <c r="AS28" s="404">
        <f t="shared" si="19"/>
        <v>0</v>
      </c>
      <c r="AT28" s="404">
        <f t="shared" si="19"/>
        <v>0</v>
      </c>
      <c r="AU28" s="404">
        <f t="shared" si="19"/>
        <v>0</v>
      </c>
      <c r="AV28" s="404">
        <f t="shared" si="19"/>
        <v>0</v>
      </c>
    </row>
    <row r="29" spans="1:50" x14ac:dyDescent="0.25">
      <c r="A29" s="694" t="s">
        <v>591</v>
      </c>
      <c r="C29" s="698">
        <f t="shared" si="20"/>
        <v>0</v>
      </c>
      <c r="D29" s="404">
        <f t="shared" si="21"/>
        <v>0</v>
      </c>
      <c r="E29" s="404">
        <f t="shared" si="19"/>
        <v>0</v>
      </c>
      <c r="F29" s="404">
        <f t="shared" si="19"/>
        <v>0</v>
      </c>
      <c r="G29" s="404">
        <f t="shared" si="19"/>
        <v>0</v>
      </c>
      <c r="H29" s="404">
        <f t="shared" si="19"/>
        <v>0</v>
      </c>
      <c r="I29" s="404">
        <f t="shared" si="19"/>
        <v>0</v>
      </c>
      <c r="J29" s="404">
        <f t="shared" si="19"/>
        <v>0</v>
      </c>
      <c r="K29" s="404">
        <f t="shared" si="19"/>
        <v>0</v>
      </c>
      <c r="L29" s="404">
        <f t="shared" si="19"/>
        <v>0</v>
      </c>
      <c r="M29" s="404">
        <f t="shared" si="19"/>
        <v>0</v>
      </c>
      <c r="N29" s="404">
        <f t="shared" si="19"/>
        <v>0</v>
      </c>
      <c r="O29" s="404">
        <f t="shared" si="19"/>
        <v>0</v>
      </c>
      <c r="P29" s="404">
        <f t="shared" si="19"/>
        <v>0</v>
      </c>
      <c r="Q29" s="404">
        <f t="shared" si="19"/>
        <v>0</v>
      </c>
      <c r="R29" s="404">
        <f t="shared" si="19"/>
        <v>0</v>
      </c>
      <c r="S29" s="404">
        <f t="shared" si="19"/>
        <v>0</v>
      </c>
      <c r="T29" s="404">
        <f t="shared" si="19"/>
        <v>0</v>
      </c>
      <c r="U29" s="404">
        <f t="shared" si="19"/>
        <v>3.7800687285223368E-3</v>
      </c>
      <c r="V29" s="404">
        <f t="shared" si="19"/>
        <v>7.5601374570446736E-3</v>
      </c>
      <c r="W29" s="404">
        <f t="shared" si="19"/>
        <v>1.134020618556701E-2</v>
      </c>
      <c r="X29" s="404">
        <f t="shared" si="19"/>
        <v>1.5120274914089347E-2</v>
      </c>
      <c r="Y29" s="404">
        <f t="shared" si="19"/>
        <v>1.8900343642611683E-2</v>
      </c>
      <c r="Z29" s="404">
        <f t="shared" si="19"/>
        <v>2.268041237113402E-2</v>
      </c>
      <c r="AA29" s="404">
        <f t="shared" si="19"/>
        <v>2.6460481099656357E-2</v>
      </c>
      <c r="AB29" s="404">
        <f t="shared" si="19"/>
        <v>3.0240549828178694E-2</v>
      </c>
      <c r="AC29" s="404">
        <f t="shared" si="19"/>
        <v>3.4020618556701028E-2</v>
      </c>
      <c r="AD29" s="404">
        <f t="shared" si="19"/>
        <v>3.7800687285223365E-2</v>
      </c>
      <c r="AE29" s="404">
        <f t="shared" si="19"/>
        <v>4.1580756013745702E-2</v>
      </c>
      <c r="AF29" s="404">
        <f t="shared" si="19"/>
        <v>4.536082474226804E-2</v>
      </c>
      <c r="AG29" s="404">
        <f t="shared" si="19"/>
        <v>4.9140893470790377E-2</v>
      </c>
      <c r="AH29" s="404">
        <f t="shared" si="19"/>
        <v>5.2920962199312714E-2</v>
      </c>
      <c r="AI29" s="404">
        <f t="shared" si="19"/>
        <v>5.6701030927835051E-2</v>
      </c>
      <c r="AJ29" s="404">
        <f t="shared" si="19"/>
        <v>6.0481099656357389E-2</v>
      </c>
      <c r="AK29" s="404">
        <f t="shared" si="19"/>
        <v>6.4261168384879719E-2</v>
      </c>
      <c r="AL29" s="404">
        <f t="shared" si="19"/>
        <v>6.8041237113402056E-2</v>
      </c>
      <c r="AM29" s="404">
        <f t="shared" si="19"/>
        <v>7.1821305841924393E-2</v>
      </c>
      <c r="AN29" s="404">
        <f t="shared" si="19"/>
        <v>7.560137457044673E-2</v>
      </c>
      <c r="AO29" s="404">
        <f t="shared" si="19"/>
        <v>7.9381443298969068E-2</v>
      </c>
      <c r="AP29" s="404">
        <f t="shared" si="19"/>
        <v>8.3161512027491405E-2</v>
      </c>
      <c r="AQ29" s="404">
        <f t="shared" si="19"/>
        <v>8.6941580756013742E-2</v>
      </c>
      <c r="AR29" s="404">
        <f t="shared" si="19"/>
        <v>9.0721649484536079E-2</v>
      </c>
      <c r="AS29" s="404">
        <f t="shared" si="19"/>
        <v>9.4501718213058417E-2</v>
      </c>
      <c r="AT29" s="404">
        <f t="shared" si="19"/>
        <v>9.8281786941580754E-2</v>
      </c>
      <c r="AU29" s="404">
        <f t="shared" si="19"/>
        <v>0.10206185567010309</v>
      </c>
      <c r="AV29" s="404">
        <f t="shared" si="19"/>
        <v>0.10584192439862543</v>
      </c>
    </row>
    <row r="30" spans="1:50" x14ac:dyDescent="0.25">
      <c r="A30" s="694" t="s">
        <v>592</v>
      </c>
      <c r="C30" s="698">
        <f t="shared" si="20"/>
        <v>0</v>
      </c>
      <c r="D30" s="404">
        <f t="shared" si="21"/>
        <v>0</v>
      </c>
      <c r="E30" s="404">
        <f t="shared" si="19"/>
        <v>0</v>
      </c>
      <c r="F30" s="404">
        <f t="shared" si="19"/>
        <v>0</v>
      </c>
      <c r="G30" s="404">
        <f t="shared" si="19"/>
        <v>0</v>
      </c>
      <c r="H30" s="404">
        <f t="shared" si="19"/>
        <v>0</v>
      </c>
      <c r="I30" s="404">
        <f t="shared" si="19"/>
        <v>0</v>
      </c>
      <c r="J30" s="404">
        <f t="shared" si="19"/>
        <v>0</v>
      </c>
      <c r="K30" s="404">
        <f t="shared" ref="E30:AV35" si="22">J30+K10</f>
        <v>0</v>
      </c>
      <c r="L30" s="404">
        <f t="shared" si="22"/>
        <v>0</v>
      </c>
      <c r="M30" s="404">
        <f t="shared" si="22"/>
        <v>0</v>
      </c>
      <c r="N30" s="404">
        <f t="shared" si="22"/>
        <v>0</v>
      </c>
      <c r="O30" s="404">
        <f t="shared" si="22"/>
        <v>0</v>
      </c>
      <c r="P30" s="404">
        <f t="shared" si="22"/>
        <v>0</v>
      </c>
      <c r="Q30" s="404">
        <f t="shared" si="22"/>
        <v>0</v>
      </c>
      <c r="R30" s="404">
        <f t="shared" si="22"/>
        <v>0</v>
      </c>
      <c r="S30" s="404">
        <f t="shared" si="22"/>
        <v>0</v>
      </c>
      <c r="T30" s="404">
        <f t="shared" si="22"/>
        <v>0</v>
      </c>
      <c r="U30" s="404">
        <f t="shared" si="22"/>
        <v>0</v>
      </c>
      <c r="V30" s="404">
        <f t="shared" si="22"/>
        <v>0</v>
      </c>
      <c r="W30" s="404">
        <f t="shared" si="22"/>
        <v>0</v>
      </c>
      <c r="X30" s="404">
        <f t="shared" si="22"/>
        <v>0</v>
      </c>
      <c r="Y30" s="404">
        <f t="shared" si="22"/>
        <v>0</v>
      </c>
      <c r="Z30" s="404">
        <f t="shared" si="22"/>
        <v>0</v>
      </c>
      <c r="AA30" s="404">
        <f t="shared" si="22"/>
        <v>0</v>
      </c>
      <c r="AB30" s="404">
        <f t="shared" si="22"/>
        <v>0</v>
      </c>
      <c r="AC30" s="404">
        <f t="shared" si="22"/>
        <v>0</v>
      </c>
      <c r="AD30" s="404">
        <f t="shared" si="22"/>
        <v>0</v>
      </c>
      <c r="AE30" s="404">
        <f t="shared" si="22"/>
        <v>0</v>
      </c>
      <c r="AF30" s="404">
        <f t="shared" si="22"/>
        <v>0</v>
      </c>
      <c r="AG30" s="404">
        <f t="shared" si="22"/>
        <v>0</v>
      </c>
      <c r="AH30" s="404">
        <f t="shared" si="22"/>
        <v>0</v>
      </c>
      <c r="AI30" s="404">
        <f t="shared" si="22"/>
        <v>0</v>
      </c>
      <c r="AJ30" s="404">
        <f t="shared" si="22"/>
        <v>0</v>
      </c>
      <c r="AK30" s="404">
        <f t="shared" si="22"/>
        <v>0</v>
      </c>
      <c r="AL30" s="404">
        <f t="shared" si="22"/>
        <v>0</v>
      </c>
      <c r="AM30" s="404">
        <f t="shared" si="22"/>
        <v>0</v>
      </c>
      <c r="AN30" s="404">
        <f t="shared" si="22"/>
        <v>0</v>
      </c>
      <c r="AO30" s="404">
        <f t="shared" si="22"/>
        <v>0</v>
      </c>
      <c r="AP30" s="404">
        <f t="shared" si="22"/>
        <v>0</v>
      </c>
      <c r="AQ30" s="404">
        <f t="shared" si="22"/>
        <v>0</v>
      </c>
      <c r="AR30" s="404">
        <f t="shared" si="22"/>
        <v>0</v>
      </c>
      <c r="AS30" s="404">
        <f t="shared" si="22"/>
        <v>0</v>
      </c>
      <c r="AT30" s="404">
        <f t="shared" si="22"/>
        <v>0</v>
      </c>
      <c r="AU30" s="404">
        <f t="shared" si="22"/>
        <v>0</v>
      </c>
      <c r="AV30" s="404">
        <f t="shared" si="22"/>
        <v>0</v>
      </c>
    </row>
    <row r="31" spans="1:50" x14ac:dyDescent="0.25">
      <c r="A31" s="694" t="s">
        <v>593</v>
      </c>
      <c r="C31" s="698">
        <f t="shared" si="20"/>
        <v>0</v>
      </c>
      <c r="D31" s="404">
        <f t="shared" si="21"/>
        <v>0</v>
      </c>
      <c r="E31" s="404">
        <f t="shared" si="22"/>
        <v>0</v>
      </c>
      <c r="F31" s="404">
        <f t="shared" si="22"/>
        <v>0</v>
      </c>
      <c r="G31" s="404">
        <f t="shared" si="22"/>
        <v>0</v>
      </c>
      <c r="H31" s="404">
        <f t="shared" si="22"/>
        <v>0</v>
      </c>
      <c r="I31" s="404">
        <f t="shared" si="22"/>
        <v>0</v>
      </c>
      <c r="J31" s="404">
        <f t="shared" si="22"/>
        <v>0</v>
      </c>
      <c r="K31" s="404">
        <f t="shared" si="22"/>
        <v>0</v>
      </c>
      <c r="L31" s="404">
        <f t="shared" si="22"/>
        <v>0</v>
      </c>
      <c r="M31" s="404">
        <f t="shared" si="22"/>
        <v>0</v>
      </c>
      <c r="N31" s="404">
        <f t="shared" si="22"/>
        <v>0</v>
      </c>
      <c r="O31" s="404">
        <f t="shared" si="22"/>
        <v>0</v>
      </c>
      <c r="P31" s="404">
        <f t="shared" si="22"/>
        <v>0</v>
      </c>
      <c r="Q31" s="404">
        <f t="shared" si="22"/>
        <v>0</v>
      </c>
      <c r="R31" s="404">
        <f t="shared" si="22"/>
        <v>0</v>
      </c>
      <c r="S31" s="404">
        <f t="shared" si="22"/>
        <v>0</v>
      </c>
      <c r="T31" s="404">
        <f t="shared" si="22"/>
        <v>0</v>
      </c>
      <c r="U31" s="404">
        <f t="shared" si="22"/>
        <v>0</v>
      </c>
      <c r="V31" s="404">
        <f t="shared" si="22"/>
        <v>0</v>
      </c>
      <c r="W31" s="404">
        <f t="shared" si="22"/>
        <v>0</v>
      </c>
      <c r="X31" s="404">
        <f t="shared" si="22"/>
        <v>0</v>
      </c>
      <c r="Y31" s="404">
        <f t="shared" si="22"/>
        <v>0</v>
      </c>
      <c r="Z31" s="404">
        <f t="shared" si="22"/>
        <v>0</v>
      </c>
      <c r="AA31" s="404">
        <f t="shared" si="22"/>
        <v>0</v>
      </c>
      <c r="AB31" s="404">
        <f t="shared" si="22"/>
        <v>0</v>
      </c>
      <c r="AC31" s="404">
        <f t="shared" si="22"/>
        <v>0</v>
      </c>
      <c r="AD31" s="404">
        <f t="shared" si="22"/>
        <v>0</v>
      </c>
      <c r="AE31" s="404">
        <f t="shared" si="22"/>
        <v>0</v>
      </c>
      <c r="AF31" s="404">
        <f t="shared" si="22"/>
        <v>0</v>
      </c>
      <c r="AG31" s="404">
        <f t="shared" si="22"/>
        <v>0</v>
      </c>
      <c r="AH31" s="404">
        <f t="shared" si="22"/>
        <v>0</v>
      </c>
      <c r="AI31" s="404">
        <f t="shared" si="22"/>
        <v>0</v>
      </c>
      <c r="AJ31" s="404">
        <f t="shared" si="22"/>
        <v>0</v>
      </c>
      <c r="AK31" s="404">
        <f t="shared" si="22"/>
        <v>0</v>
      </c>
      <c r="AL31" s="404">
        <f t="shared" si="22"/>
        <v>0</v>
      </c>
      <c r="AM31" s="404">
        <f t="shared" si="22"/>
        <v>0</v>
      </c>
      <c r="AN31" s="404">
        <f t="shared" si="22"/>
        <v>0</v>
      </c>
      <c r="AO31" s="404">
        <f t="shared" si="22"/>
        <v>0</v>
      </c>
      <c r="AP31" s="404">
        <f t="shared" si="22"/>
        <v>0</v>
      </c>
      <c r="AQ31" s="404">
        <f t="shared" si="22"/>
        <v>0</v>
      </c>
      <c r="AR31" s="404">
        <f t="shared" si="22"/>
        <v>0</v>
      </c>
      <c r="AS31" s="404">
        <f t="shared" si="22"/>
        <v>0</v>
      </c>
      <c r="AT31" s="404">
        <f t="shared" si="22"/>
        <v>0</v>
      </c>
      <c r="AU31" s="404">
        <f t="shared" si="22"/>
        <v>0</v>
      </c>
      <c r="AV31" s="404">
        <f t="shared" si="22"/>
        <v>0</v>
      </c>
    </row>
    <row r="32" spans="1:50" x14ac:dyDescent="0.25">
      <c r="A32" s="694" t="s">
        <v>594</v>
      </c>
      <c r="C32" s="698">
        <f t="shared" si="20"/>
        <v>0</v>
      </c>
      <c r="D32" s="404">
        <f t="shared" si="21"/>
        <v>0</v>
      </c>
      <c r="E32" s="404">
        <f t="shared" si="22"/>
        <v>0</v>
      </c>
      <c r="F32" s="404">
        <f t="shared" si="22"/>
        <v>0</v>
      </c>
      <c r="G32" s="404">
        <f t="shared" si="22"/>
        <v>0</v>
      </c>
      <c r="H32" s="404">
        <f t="shared" si="22"/>
        <v>0</v>
      </c>
      <c r="I32" s="404">
        <f t="shared" si="22"/>
        <v>0</v>
      </c>
      <c r="J32" s="404">
        <f t="shared" si="22"/>
        <v>0</v>
      </c>
      <c r="K32" s="404">
        <f t="shared" si="22"/>
        <v>0</v>
      </c>
      <c r="L32" s="404">
        <f t="shared" si="22"/>
        <v>0</v>
      </c>
      <c r="M32" s="404">
        <f t="shared" si="22"/>
        <v>0</v>
      </c>
      <c r="N32" s="404">
        <f t="shared" si="22"/>
        <v>0</v>
      </c>
      <c r="O32" s="404">
        <f t="shared" si="22"/>
        <v>0</v>
      </c>
      <c r="P32" s="404">
        <f t="shared" si="22"/>
        <v>0</v>
      </c>
      <c r="Q32" s="404">
        <f t="shared" si="22"/>
        <v>0</v>
      </c>
      <c r="R32" s="404">
        <f t="shared" si="22"/>
        <v>0</v>
      </c>
      <c r="S32" s="404">
        <f t="shared" si="22"/>
        <v>0</v>
      </c>
      <c r="T32" s="404">
        <f t="shared" si="22"/>
        <v>0</v>
      </c>
      <c r="U32" s="404">
        <f t="shared" si="22"/>
        <v>3.7208762886597937E-3</v>
      </c>
      <c r="V32" s="404">
        <f t="shared" si="22"/>
        <v>7.4417525773195874E-3</v>
      </c>
      <c r="W32" s="404">
        <f t="shared" si="22"/>
        <v>1.1162628865979381E-2</v>
      </c>
      <c r="X32" s="404">
        <f t="shared" si="22"/>
        <v>1.4883505154639175E-2</v>
      </c>
      <c r="Y32" s="404">
        <f t="shared" si="22"/>
        <v>1.860438144329897E-2</v>
      </c>
      <c r="Z32" s="404">
        <f t="shared" si="22"/>
        <v>2.2325257731958766E-2</v>
      </c>
      <c r="AA32" s="404">
        <f t="shared" si="22"/>
        <v>2.6046134020618561E-2</v>
      </c>
      <c r="AB32" s="404">
        <f t="shared" si="22"/>
        <v>2.9767010309278356E-2</v>
      </c>
      <c r="AC32" s="404">
        <f t="shared" si="22"/>
        <v>3.3487886597938152E-2</v>
      </c>
      <c r="AD32" s="404">
        <f t="shared" si="22"/>
        <v>3.7208762886597947E-2</v>
      </c>
      <c r="AE32" s="404">
        <f t="shared" si="22"/>
        <v>4.0929639175257743E-2</v>
      </c>
      <c r="AF32" s="404">
        <f t="shared" si="22"/>
        <v>4.4650515463917538E-2</v>
      </c>
      <c r="AG32" s="404">
        <f t="shared" si="22"/>
        <v>4.8371391752577333E-2</v>
      </c>
      <c r="AH32" s="404">
        <f t="shared" si="22"/>
        <v>5.2092268041237129E-2</v>
      </c>
      <c r="AI32" s="404">
        <f t="shared" si="22"/>
        <v>5.5813144329896924E-2</v>
      </c>
      <c r="AJ32" s="404">
        <f t="shared" si="22"/>
        <v>5.953402061855672E-2</v>
      </c>
      <c r="AK32" s="404">
        <f t="shared" si="22"/>
        <v>6.3254896907216515E-2</v>
      </c>
      <c r="AL32" s="404">
        <f t="shared" si="22"/>
        <v>6.6975773195876304E-2</v>
      </c>
      <c r="AM32" s="404">
        <f t="shared" si="22"/>
        <v>7.0696649484536092E-2</v>
      </c>
      <c r="AN32" s="404">
        <f t="shared" si="22"/>
        <v>7.4417525773195881E-2</v>
      </c>
      <c r="AO32" s="404">
        <f t="shared" si="22"/>
        <v>7.8138402061855669E-2</v>
      </c>
      <c r="AP32" s="404">
        <f t="shared" si="22"/>
        <v>8.1859278350515458E-2</v>
      </c>
      <c r="AQ32" s="404">
        <f t="shared" si="22"/>
        <v>8.5580154639175246E-2</v>
      </c>
      <c r="AR32" s="404">
        <f t="shared" si="22"/>
        <v>8.9301030927835034E-2</v>
      </c>
      <c r="AS32" s="404">
        <f t="shared" si="22"/>
        <v>9.3021907216494823E-2</v>
      </c>
      <c r="AT32" s="404">
        <f t="shared" si="22"/>
        <v>9.6742783505154611E-2</v>
      </c>
      <c r="AU32" s="404">
        <f t="shared" si="22"/>
        <v>0.1004636597938144</v>
      </c>
      <c r="AV32" s="404">
        <f t="shared" si="22"/>
        <v>0.10418453608247419</v>
      </c>
    </row>
    <row r="33" spans="1:48" x14ac:dyDescent="0.25">
      <c r="A33" s="694" t="s">
        <v>595</v>
      </c>
      <c r="C33" s="698">
        <f t="shared" si="20"/>
        <v>0</v>
      </c>
      <c r="D33" s="404">
        <f t="shared" si="21"/>
        <v>0</v>
      </c>
      <c r="E33" s="404">
        <f t="shared" si="22"/>
        <v>0</v>
      </c>
      <c r="F33" s="404">
        <f t="shared" si="22"/>
        <v>0</v>
      </c>
      <c r="G33" s="404">
        <f t="shared" si="22"/>
        <v>0</v>
      </c>
      <c r="H33" s="404">
        <f t="shared" si="22"/>
        <v>0</v>
      </c>
      <c r="I33" s="404">
        <f t="shared" si="22"/>
        <v>0</v>
      </c>
      <c r="J33" s="404">
        <f t="shared" si="22"/>
        <v>0</v>
      </c>
      <c r="K33" s="404">
        <f t="shared" si="22"/>
        <v>0</v>
      </c>
      <c r="L33" s="404">
        <f t="shared" si="22"/>
        <v>0</v>
      </c>
      <c r="M33" s="404">
        <f t="shared" si="22"/>
        <v>0</v>
      </c>
      <c r="N33" s="404">
        <f t="shared" si="22"/>
        <v>0</v>
      </c>
      <c r="O33" s="404">
        <f t="shared" si="22"/>
        <v>0</v>
      </c>
      <c r="P33" s="404">
        <f t="shared" si="22"/>
        <v>0</v>
      </c>
      <c r="Q33" s="404">
        <f t="shared" si="22"/>
        <v>0</v>
      </c>
      <c r="R33" s="404">
        <f t="shared" si="22"/>
        <v>0</v>
      </c>
      <c r="S33" s="404">
        <f t="shared" si="22"/>
        <v>0</v>
      </c>
      <c r="T33" s="404">
        <f t="shared" si="22"/>
        <v>0</v>
      </c>
      <c r="U33" s="404">
        <f t="shared" si="22"/>
        <v>0</v>
      </c>
      <c r="V33" s="404">
        <f t="shared" si="22"/>
        <v>0</v>
      </c>
      <c r="W33" s="404">
        <f t="shared" si="22"/>
        <v>0</v>
      </c>
      <c r="X33" s="404">
        <f t="shared" si="22"/>
        <v>0</v>
      </c>
      <c r="Y33" s="404">
        <f t="shared" si="22"/>
        <v>0</v>
      </c>
      <c r="Z33" s="404">
        <f t="shared" si="22"/>
        <v>0</v>
      </c>
      <c r="AA33" s="404">
        <f t="shared" si="22"/>
        <v>0</v>
      </c>
      <c r="AB33" s="404">
        <f t="shared" si="22"/>
        <v>0</v>
      </c>
      <c r="AC33" s="404">
        <f t="shared" si="22"/>
        <v>0</v>
      </c>
      <c r="AD33" s="404">
        <f t="shared" si="22"/>
        <v>0</v>
      </c>
      <c r="AE33" s="404">
        <f t="shared" si="22"/>
        <v>0</v>
      </c>
      <c r="AF33" s="404">
        <f t="shared" si="22"/>
        <v>0</v>
      </c>
      <c r="AG33" s="404">
        <f t="shared" si="22"/>
        <v>0</v>
      </c>
      <c r="AH33" s="404">
        <f t="shared" si="22"/>
        <v>0</v>
      </c>
      <c r="AI33" s="404">
        <f t="shared" si="22"/>
        <v>0</v>
      </c>
      <c r="AJ33" s="404">
        <f t="shared" si="22"/>
        <v>0</v>
      </c>
      <c r="AK33" s="404">
        <f t="shared" si="22"/>
        <v>0</v>
      </c>
      <c r="AL33" s="404">
        <f t="shared" si="22"/>
        <v>0</v>
      </c>
      <c r="AM33" s="404">
        <f t="shared" si="22"/>
        <v>0</v>
      </c>
      <c r="AN33" s="404">
        <f t="shared" si="22"/>
        <v>0</v>
      </c>
      <c r="AO33" s="404">
        <f t="shared" si="22"/>
        <v>0</v>
      </c>
      <c r="AP33" s="404">
        <f t="shared" si="22"/>
        <v>0</v>
      </c>
      <c r="AQ33" s="404">
        <f t="shared" si="22"/>
        <v>0</v>
      </c>
      <c r="AR33" s="404">
        <f t="shared" si="22"/>
        <v>0</v>
      </c>
      <c r="AS33" s="404">
        <f t="shared" si="22"/>
        <v>0</v>
      </c>
      <c r="AT33" s="404">
        <f t="shared" si="22"/>
        <v>0</v>
      </c>
      <c r="AU33" s="404">
        <f t="shared" si="22"/>
        <v>0</v>
      </c>
      <c r="AV33" s="404">
        <f t="shared" si="22"/>
        <v>0</v>
      </c>
    </row>
    <row r="34" spans="1:48" x14ac:dyDescent="0.25">
      <c r="A34" s="694" t="s">
        <v>596</v>
      </c>
      <c r="C34" s="698">
        <f t="shared" si="20"/>
        <v>0</v>
      </c>
      <c r="D34" s="404">
        <f t="shared" si="21"/>
        <v>0</v>
      </c>
      <c r="E34" s="404">
        <f t="shared" si="22"/>
        <v>0</v>
      </c>
      <c r="F34" s="404">
        <f t="shared" si="22"/>
        <v>0</v>
      </c>
      <c r="G34" s="404">
        <f t="shared" si="22"/>
        <v>0</v>
      </c>
      <c r="H34" s="404">
        <f t="shared" si="22"/>
        <v>0</v>
      </c>
      <c r="I34" s="404">
        <f t="shared" si="22"/>
        <v>0</v>
      </c>
      <c r="J34" s="404">
        <f t="shared" si="22"/>
        <v>0</v>
      </c>
      <c r="K34" s="404">
        <f t="shared" si="22"/>
        <v>0</v>
      </c>
      <c r="L34" s="404">
        <f t="shared" si="22"/>
        <v>0</v>
      </c>
      <c r="M34" s="404">
        <f t="shared" si="22"/>
        <v>0</v>
      </c>
      <c r="N34" s="404">
        <f t="shared" si="22"/>
        <v>0</v>
      </c>
      <c r="O34" s="404">
        <f t="shared" si="22"/>
        <v>0</v>
      </c>
      <c r="P34" s="404">
        <f t="shared" si="22"/>
        <v>0</v>
      </c>
      <c r="Q34" s="404">
        <f t="shared" si="22"/>
        <v>0</v>
      </c>
      <c r="R34" s="404">
        <f t="shared" si="22"/>
        <v>0</v>
      </c>
      <c r="S34" s="404">
        <f t="shared" si="22"/>
        <v>0</v>
      </c>
      <c r="T34" s="404">
        <f t="shared" si="22"/>
        <v>0</v>
      </c>
      <c r="U34" s="404">
        <f t="shared" si="22"/>
        <v>0</v>
      </c>
      <c r="V34" s="404">
        <f t="shared" si="22"/>
        <v>0</v>
      </c>
      <c r="W34" s="404">
        <f t="shared" si="22"/>
        <v>0</v>
      </c>
      <c r="X34" s="404">
        <f t="shared" si="22"/>
        <v>0</v>
      </c>
      <c r="Y34" s="404">
        <f t="shared" si="22"/>
        <v>0</v>
      </c>
      <c r="Z34" s="404">
        <f t="shared" si="22"/>
        <v>0</v>
      </c>
      <c r="AA34" s="404">
        <f t="shared" si="22"/>
        <v>0</v>
      </c>
      <c r="AB34" s="404">
        <f t="shared" si="22"/>
        <v>0</v>
      </c>
      <c r="AC34" s="404">
        <f t="shared" si="22"/>
        <v>0</v>
      </c>
      <c r="AD34" s="404">
        <f t="shared" si="22"/>
        <v>0</v>
      </c>
      <c r="AE34" s="404">
        <f t="shared" si="22"/>
        <v>0</v>
      </c>
      <c r="AF34" s="404">
        <f t="shared" si="22"/>
        <v>0</v>
      </c>
      <c r="AG34" s="404">
        <f t="shared" si="22"/>
        <v>0</v>
      </c>
      <c r="AH34" s="404">
        <f t="shared" si="22"/>
        <v>0</v>
      </c>
      <c r="AI34" s="404">
        <f t="shared" si="22"/>
        <v>0</v>
      </c>
      <c r="AJ34" s="404">
        <f t="shared" si="22"/>
        <v>0</v>
      </c>
      <c r="AK34" s="404">
        <f t="shared" si="22"/>
        <v>0</v>
      </c>
      <c r="AL34" s="404">
        <f t="shared" si="22"/>
        <v>0</v>
      </c>
      <c r="AM34" s="404">
        <f t="shared" si="22"/>
        <v>0</v>
      </c>
      <c r="AN34" s="404">
        <f t="shared" si="22"/>
        <v>0</v>
      </c>
      <c r="AO34" s="404">
        <f t="shared" si="22"/>
        <v>0</v>
      </c>
      <c r="AP34" s="404">
        <f t="shared" si="22"/>
        <v>0</v>
      </c>
      <c r="AQ34" s="404">
        <f t="shared" si="22"/>
        <v>0</v>
      </c>
      <c r="AR34" s="404">
        <f t="shared" si="22"/>
        <v>0</v>
      </c>
      <c r="AS34" s="404">
        <f t="shared" si="22"/>
        <v>0</v>
      </c>
      <c r="AT34" s="404">
        <f t="shared" si="22"/>
        <v>0</v>
      </c>
      <c r="AU34" s="404">
        <f t="shared" si="22"/>
        <v>0</v>
      </c>
      <c r="AV34" s="404">
        <f t="shared" si="22"/>
        <v>0</v>
      </c>
    </row>
    <row r="35" spans="1:48" x14ac:dyDescent="0.25">
      <c r="A35" s="694" t="s">
        <v>597</v>
      </c>
      <c r="C35" s="698">
        <f t="shared" si="20"/>
        <v>0</v>
      </c>
      <c r="D35" s="404">
        <f t="shared" si="21"/>
        <v>0</v>
      </c>
      <c r="E35" s="404">
        <f t="shared" si="22"/>
        <v>0</v>
      </c>
      <c r="F35" s="404">
        <f t="shared" si="22"/>
        <v>0</v>
      </c>
      <c r="G35" s="404">
        <f t="shared" si="22"/>
        <v>0</v>
      </c>
      <c r="H35" s="404">
        <f t="shared" si="22"/>
        <v>0</v>
      </c>
      <c r="I35" s="404">
        <f t="shared" si="22"/>
        <v>0</v>
      </c>
      <c r="J35" s="404">
        <f t="shared" si="22"/>
        <v>0</v>
      </c>
      <c r="K35" s="404">
        <f t="shared" si="22"/>
        <v>0</v>
      </c>
      <c r="L35" s="404">
        <f t="shared" si="22"/>
        <v>0</v>
      </c>
      <c r="M35" s="404">
        <f t="shared" si="22"/>
        <v>0</v>
      </c>
      <c r="N35" s="404">
        <f t="shared" si="22"/>
        <v>0</v>
      </c>
      <c r="O35" s="404">
        <f t="shared" si="22"/>
        <v>0</v>
      </c>
      <c r="P35" s="404">
        <f t="shared" si="22"/>
        <v>0</v>
      </c>
      <c r="Q35" s="404">
        <f t="shared" si="22"/>
        <v>0</v>
      </c>
      <c r="R35" s="404">
        <f t="shared" si="22"/>
        <v>0</v>
      </c>
      <c r="S35" s="404">
        <f t="shared" si="22"/>
        <v>0</v>
      </c>
      <c r="T35" s="404">
        <f t="shared" si="22"/>
        <v>0</v>
      </c>
      <c r="U35" s="404">
        <f t="shared" si="22"/>
        <v>5.8048453608247418E-2</v>
      </c>
      <c r="V35" s="404">
        <f t="shared" si="22"/>
        <v>0.11609690721649484</v>
      </c>
      <c r="W35" s="404">
        <f t="shared" si="22"/>
        <v>0.17414536082474225</v>
      </c>
      <c r="X35" s="404">
        <f t="shared" si="22"/>
        <v>0.23219381443298967</v>
      </c>
      <c r="Y35" s="404">
        <f t="shared" si="22"/>
        <v>0.29024226804123709</v>
      </c>
      <c r="Z35" s="404">
        <f t="shared" si="22"/>
        <v>0.34829072164948449</v>
      </c>
      <c r="AA35" s="404">
        <f t="shared" si="22"/>
        <v>0.40633917525773189</v>
      </c>
      <c r="AB35" s="404">
        <f t="shared" si="22"/>
        <v>0.46438762886597929</v>
      </c>
      <c r="AC35" s="404">
        <f t="shared" si="22"/>
        <v>0.52243608247422668</v>
      </c>
      <c r="AD35" s="404">
        <f t="shared" si="22"/>
        <v>0.58048453608247408</v>
      </c>
      <c r="AE35" s="404">
        <f t="shared" si="22"/>
        <v>0.63853298969072148</v>
      </c>
      <c r="AF35" s="404">
        <f t="shared" si="22"/>
        <v>0.69658144329896887</v>
      </c>
      <c r="AG35" s="404">
        <f t="shared" si="22"/>
        <v>0.75462989690721627</v>
      </c>
      <c r="AH35" s="404">
        <f t="shared" si="22"/>
        <v>0.81267835051546367</v>
      </c>
      <c r="AI35" s="404">
        <f t="shared" si="22"/>
        <v>0.87072680412371106</v>
      </c>
      <c r="AJ35" s="404">
        <f t="shared" si="22"/>
        <v>0.92877525773195846</v>
      </c>
      <c r="AK35" s="404">
        <f t="shared" si="22"/>
        <v>0.98682371134020586</v>
      </c>
      <c r="AL35" s="404">
        <f t="shared" si="22"/>
        <v>1.0448721649484534</v>
      </c>
      <c r="AM35" s="404">
        <f t="shared" si="22"/>
        <v>1.1029206185567009</v>
      </c>
      <c r="AN35" s="404">
        <f t="shared" si="22"/>
        <v>1.1609690721649484</v>
      </c>
      <c r="AO35" s="404">
        <f t="shared" si="22"/>
        <v>1.2190175257731959</v>
      </c>
      <c r="AP35" s="404">
        <f t="shared" si="22"/>
        <v>1.2770659793814434</v>
      </c>
      <c r="AQ35" s="404">
        <f t="shared" si="22"/>
        <v>1.3351144329896909</v>
      </c>
      <c r="AR35" s="404">
        <f t="shared" si="22"/>
        <v>1.3931628865979384</v>
      </c>
      <c r="AS35" s="404">
        <f t="shared" si="22"/>
        <v>1.4512113402061859</v>
      </c>
      <c r="AT35" s="404">
        <f t="shared" ref="E35:AV41" si="23">AS35+AT15</f>
        <v>1.5092597938144334</v>
      </c>
      <c r="AU35" s="404">
        <f t="shared" si="23"/>
        <v>1.5673082474226809</v>
      </c>
      <c r="AV35" s="404">
        <f t="shared" si="23"/>
        <v>1.6253567010309284</v>
      </c>
    </row>
    <row r="36" spans="1:48" x14ac:dyDescent="0.25">
      <c r="A36" s="694" t="s">
        <v>598</v>
      </c>
      <c r="C36" s="698">
        <f t="shared" si="20"/>
        <v>0</v>
      </c>
      <c r="D36" s="404">
        <f t="shared" si="21"/>
        <v>0</v>
      </c>
      <c r="E36" s="404">
        <f t="shared" si="23"/>
        <v>0</v>
      </c>
      <c r="F36" s="404">
        <f t="shared" si="23"/>
        <v>0</v>
      </c>
      <c r="G36" s="404">
        <f t="shared" si="23"/>
        <v>0</v>
      </c>
      <c r="H36" s="404">
        <f t="shared" si="23"/>
        <v>0</v>
      </c>
      <c r="I36" s="404">
        <f t="shared" si="23"/>
        <v>0</v>
      </c>
      <c r="J36" s="404">
        <f t="shared" si="23"/>
        <v>0</v>
      </c>
      <c r="K36" s="404">
        <f t="shared" si="23"/>
        <v>0</v>
      </c>
      <c r="L36" s="404">
        <f t="shared" si="23"/>
        <v>0</v>
      </c>
      <c r="M36" s="404">
        <f t="shared" si="23"/>
        <v>0</v>
      </c>
      <c r="N36" s="404">
        <f t="shared" si="23"/>
        <v>0</v>
      </c>
      <c r="O36" s="404">
        <f t="shared" si="23"/>
        <v>0</v>
      </c>
      <c r="P36" s="404">
        <f t="shared" si="23"/>
        <v>0</v>
      </c>
      <c r="Q36" s="404">
        <f t="shared" si="23"/>
        <v>0</v>
      </c>
      <c r="R36" s="404">
        <f t="shared" si="23"/>
        <v>0</v>
      </c>
      <c r="S36" s="404">
        <f t="shared" si="23"/>
        <v>0</v>
      </c>
      <c r="T36" s="404">
        <f t="shared" si="23"/>
        <v>0</v>
      </c>
      <c r="U36" s="404">
        <f t="shared" si="23"/>
        <v>0</v>
      </c>
      <c r="V36" s="404">
        <f t="shared" si="23"/>
        <v>0</v>
      </c>
      <c r="W36" s="404">
        <f t="shared" si="23"/>
        <v>0</v>
      </c>
      <c r="X36" s="404">
        <f t="shared" si="23"/>
        <v>0</v>
      </c>
      <c r="Y36" s="404">
        <f t="shared" si="23"/>
        <v>0</v>
      </c>
      <c r="Z36" s="404">
        <f t="shared" si="23"/>
        <v>0</v>
      </c>
      <c r="AA36" s="404">
        <f t="shared" si="23"/>
        <v>0</v>
      </c>
      <c r="AB36" s="404">
        <f t="shared" si="23"/>
        <v>0</v>
      </c>
      <c r="AC36" s="404">
        <f t="shared" si="23"/>
        <v>0</v>
      </c>
      <c r="AD36" s="404">
        <f t="shared" si="23"/>
        <v>0</v>
      </c>
      <c r="AE36" s="404">
        <f t="shared" si="23"/>
        <v>0</v>
      </c>
      <c r="AF36" s="404">
        <f t="shared" si="23"/>
        <v>0</v>
      </c>
      <c r="AG36" s="404">
        <f t="shared" si="23"/>
        <v>0</v>
      </c>
      <c r="AH36" s="404">
        <f t="shared" si="23"/>
        <v>0</v>
      </c>
      <c r="AI36" s="404">
        <f t="shared" si="23"/>
        <v>0</v>
      </c>
      <c r="AJ36" s="404">
        <f t="shared" si="23"/>
        <v>0</v>
      </c>
      <c r="AK36" s="404">
        <f t="shared" si="23"/>
        <v>0</v>
      </c>
      <c r="AL36" s="404">
        <f t="shared" si="23"/>
        <v>0</v>
      </c>
      <c r="AM36" s="404">
        <f t="shared" si="23"/>
        <v>0</v>
      </c>
      <c r="AN36" s="404">
        <f t="shared" si="23"/>
        <v>0</v>
      </c>
      <c r="AO36" s="404">
        <f t="shared" si="23"/>
        <v>0</v>
      </c>
      <c r="AP36" s="404">
        <f t="shared" si="23"/>
        <v>0</v>
      </c>
      <c r="AQ36" s="404">
        <f t="shared" si="23"/>
        <v>0</v>
      </c>
      <c r="AR36" s="404">
        <f t="shared" si="23"/>
        <v>0</v>
      </c>
      <c r="AS36" s="404">
        <f t="shared" si="23"/>
        <v>0</v>
      </c>
      <c r="AT36" s="404">
        <f t="shared" si="23"/>
        <v>0</v>
      </c>
      <c r="AU36" s="404">
        <f t="shared" si="23"/>
        <v>0</v>
      </c>
      <c r="AV36" s="404">
        <f t="shared" si="23"/>
        <v>0</v>
      </c>
    </row>
    <row r="37" spans="1:48" x14ac:dyDescent="0.25">
      <c r="A37" s="694" t="s">
        <v>599</v>
      </c>
      <c r="C37" s="698">
        <f t="shared" si="20"/>
        <v>0</v>
      </c>
      <c r="D37" s="404">
        <f t="shared" si="21"/>
        <v>0</v>
      </c>
      <c r="E37" s="404">
        <f t="shared" si="23"/>
        <v>0</v>
      </c>
      <c r="F37" s="404">
        <f t="shared" si="23"/>
        <v>0</v>
      </c>
      <c r="G37" s="404">
        <f t="shared" si="23"/>
        <v>0</v>
      </c>
      <c r="H37" s="404">
        <f t="shared" si="23"/>
        <v>0</v>
      </c>
      <c r="I37" s="404">
        <f t="shared" si="23"/>
        <v>0</v>
      </c>
      <c r="J37" s="404">
        <f t="shared" si="23"/>
        <v>0</v>
      </c>
      <c r="K37" s="404">
        <f t="shared" si="23"/>
        <v>0</v>
      </c>
      <c r="L37" s="404">
        <f t="shared" si="23"/>
        <v>0</v>
      </c>
      <c r="M37" s="404">
        <f t="shared" si="23"/>
        <v>0</v>
      </c>
      <c r="N37" s="404">
        <f t="shared" si="23"/>
        <v>0</v>
      </c>
      <c r="O37" s="404">
        <f t="shared" si="23"/>
        <v>0</v>
      </c>
      <c r="P37" s="404">
        <f t="shared" si="23"/>
        <v>0</v>
      </c>
      <c r="Q37" s="404">
        <f t="shared" si="23"/>
        <v>0</v>
      </c>
      <c r="R37" s="404">
        <f t="shared" si="23"/>
        <v>0</v>
      </c>
      <c r="S37" s="404">
        <f t="shared" si="23"/>
        <v>0</v>
      </c>
      <c r="T37" s="404">
        <f t="shared" si="23"/>
        <v>0</v>
      </c>
      <c r="U37" s="404">
        <f t="shared" si="23"/>
        <v>5.5542096219931272E-3</v>
      </c>
      <c r="V37" s="404">
        <f t="shared" si="23"/>
        <v>1.1108419243986254E-2</v>
      </c>
      <c r="W37" s="404">
        <f t="shared" si="23"/>
        <v>1.6662628865979381E-2</v>
      </c>
      <c r="X37" s="404">
        <f t="shared" si="23"/>
        <v>2.2216838487972509E-2</v>
      </c>
      <c r="Y37" s="404">
        <f t="shared" si="23"/>
        <v>2.7771048109965637E-2</v>
      </c>
      <c r="Z37" s="404">
        <f t="shared" si="23"/>
        <v>3.3325257731958761E-2</v>
      </c>
      <c r="AA37" s="404">
        <f t="shared" si="23"/>
        <v>3.887946735395189E-2</v>
      </c>
      <c r="AB37" s="404">
        <f t="shared" si="23"/>
        <v>4.4433676975945018E-2</v>
      </c>
      <c r="AC37" s="404">
        <f t="shared" si="23"/>
        <v>4.9987886597938146E-2</v>
      </c>
      <c r="AD37" s="404">
        <f t="shared" si="23"/>
        <v>5.5542096219931274E-2</v>
      </c>
      <c r="AE37" s="404">
        <f t="shared" si="23"/>
        <v>6.1096305841924402E-2</v>
      </c>
      <c r="AF37" s="404">
        <f t="shared" si="23"/>
        <v>6.6650515463917523E-2</v>
      </c>
      <c r="AG37" s="404">
        <f t="shared" si="23"/>
        <v>7.2204725085910651E-2</v>
      </c>
      <c r="AH37" s="404">
        <f t="shared" si="23"/>
        <v>7.7758934707903779E-2</v>
      </c>
      <c r="AI37" s="404">
        <f t="shared" si="23"/>
        <v>8.3313144329896907E-2</v>
      </c>
      <c r="AJ37" s="404">
        <f t="shared" si="23"/>
        <v>8.8867353951890035E-2</v>
      </c>
      <c r="AK37" s="404">
        <f t="shared" si="23"/>
        <v>9.4421563573883163E-2</v>
      </c>
      <c r="AL37" s="404">
        <f t="shared" si="23"/>
        <v>9.9975773195876291E-2</v>
      </c>
      <c r="AM37" s="404">
        <f t="shared" si="23"/>
        <v>0.10552998281786942</v>
      </c>
      <c r="AN37" s="404">
        <f t="shared" si="23"/>
        <v>0.11108419243986255</v>
      </c>
      <c r="AO37" s="404">
        <f t="shared" si="23"/>
        <v>0.11663840206185568</v>
      </c>
      <c r="AP37" s="404">
        <f t="shared" si="23"/>
        <v>0.1221926116838488</v>
      </c>
      <c r="AQ37" s="404">
        <f t="shared" si="23"/>
        <v>0.12774682130584192</v>
      </c>
      <c r="AR37" s="404">
        <f t="shared" si="23"/>
        <v>0.13330103092783505</v>
      </c>
      <c r="AS37" s="404">
        <f t="shared" si="23"/>
        <v>0.13885524054982817</v>
      </c>
      <c r="AT37" s="404">
        <f t="shared" si="23"/>
        <v>0.1444094501718213</v>
      </c>
      <c r="AU37" s="404">
        <f t="shared" si="23"/>
        <v>0.14996365979381443</v>
      </c>
      <c r="AV37" s="404">
        <f t="shared" si="23"/>
        <v>0.15551786941580756</v>
      </c>
    </row>
    <row r="38" spans="1:48" x14ac:dyDescent="0.25">
      <c r="A38" s="694" t="s">
        <v>600</v>
      </c>
      <c r="C38" s="698">
        <f t="shared" si="20"/>
        <v>0</v>
      </c>
      <c r="D38" s="404">
        <f t="shared" si="21"/>
        <v>0</v>
      </c>
      <c r="E38" s="404">
        <f t="shared" si="23"/>
        <v>0</v>
      </c>
      <c r="F38" s="404">
        <f t="shared" si="23"/>
        <v>0</v>
      </c>
      <c r="G38" s="404">
        <f t="shared" si="23"/>
        <v>0</v>
      </c>
      <c r="H38" s="404">
        <f t="shared" si="23"/>
        <v>0</v>
      </c>
      <c r="I38" s="404">
        <f t="shared" si="23"/>
        <v>0</v>
      </c>
      <c r="J38" s="404">
        <f t="shared" si="23"/>
        <v>0</v>
      </c>
      <c r="K38" s="404">
        <f t="shared" si="23"/>
        <v>0</v>
      </c>
      <c r="L38" s="404">
        <f t="shared" si="23"/>
        <v>0</v>
      </c>
      <c r="M38" s="404">
        <f t="shared" si="23"/>
        <v>0</v>
      </c>
      <c r="N38" s="404">
        <f t="shared" si="23"/>
        <v>0</v>
      </c>
      <c r="O38" s="404">
        <f t="shared" si="23"/>
        <v>0</v>
      </c>
      <c r="P38" s="404">
        <f t="shared" si="23"/>
        <v>0</v>
      </c>
      <c r="Q38" s="404">
        <f t="shared" si="23"/>
        <v>0</v>
      </c>
      <c r="R38" s="404">
        <f t="shared" si="23"/>
        <v>0</v>
      </c>
      <c r="S38" s="404">
        <f t="shared" si="23"/>
        <v>0</v>
      </c>
      <c r="T38" s="404">
        <f t="shared" si="23"/>
        <v>0</v>
      </c>
      <c r="U38" s="404">
        <f t="shared" si="23"/>
        <v>0.1288918384879725</v>
      </c>
      <c r="V38" s="404">
        <f t="shared" si="23"/>
        <v>0.25778367697594501</v>
      </c>
      <c r="W38" s="404">
        <f t="shared" si="23"/>
        <v>0.38667551546391754</v>
      </c>
      <c r="X38" s="404">
        <f t="shared" si="23"/>
        <v>0.51556735395189002</v>
      </c>
      <c r="Y38" s="404">
        <f t="shared" si="23"/>
        <v>0.64445919243986249</v>
      </c>
      <c r="Z38" s="404">
        <f t="shared" si="23"/>
        <v>0.77335103092783497</v>
      </c>
      <c r="AA38" s="404">
        <f t="shared" si="23"/>
        <v>0.90224286941580745</v>
      </c>
      <c r="AB38" s="404">
        <f t="shared" si="23"/>
        <v>1.03113470790378</v>
      </c>
      <c r="AC38" s="404">
        <f t="shared" si="23"/>
        <v>1.1600265463917525</v>
      </c>
      <c r="AD38" s="404">
        <f t="shared" si="23"/>
        <v>1.288918384879725</v>
      </c>
      <c r="AE38" s="404">
        <f t="shared" si="23"/>
        <v>1.4178102233676975</v>
      </c>
      <c r="AF38" s="404">
        <f t="shared" si="23"/>
        <v>1.5467020618556699</v>
      </c>
      <c r="AG38" s="404">
        <f t="shared" si="23"/>
        <v>1.6755939003436424</v>
      </c>
      <c r="AH38" s="404">
        <f t="shared" si="23"/>
        <v>1.8044857388316149</v>
      </c>
      <c r="AI38" s="404">
        <f t="shared" si="23"/>
        <v>1.9333775773195874</v>
      </c>
      <c r="AJ38" s="404">
        <f t="shared" si="23"/>
        <v>2.0622694158075601</v>
      </c>
      <c r="AK38" s="404">
        <f t="shared" si="23"/>
        <v>2.1911612542955328</v>
      </c>
      <c r="AL38" s="404">
        <f t="shared" si="23"/>
        <v>2.3200530927835055</v>
      </c>
      <c r="AM38" s="404">
        <f t="shared" si="23"/>
        <v>2.4489449312714782</v>
      </c>
      <c r="AN38" s="404">
        <f t="shared" si="23"/>
        <v>2.5778367697594509</v>
      </c>
      <c r="AO38" s="404">
        <f t="shared" si="23"/>
        <v>2.7067286082474236</v>
      </c>
      <c r="AP38" s="404">
        <f t="shared" si="23"/>
        <v>2.8356204467353963</v>
      </c>
      <c r="AQ38" s="404">
        <f t="shared" si="23"/>
        <v>2.964512285223369</v>
      </c>
      <c r="AR38" s="404">
        <f t="shared" si="23"/>
        <v>3.0934041237113417</v>
      </c>
      <c r="AS38" s="404">
        <f t="shared" si="23"/>
        <v>3.2222959621993144</v>
      </c>
      <c r="AT38" s="404">
        <f t="shared" si="23"/>
        <v>3.3511878006872871</v>
      </c>
      <c r="AU38" s="404">
        <f t="shared" si="23"/>
        <v>3.4800796391752598</v>
      </c>
      <c r="AV38" s="404">
        <f t="shared" si="23"/>
        <v>3.6089714776632325</v>
      </c>
    </row>
    <row r="39" spans="1:48" x14ac:dyDescent="0.25">
      <c r="A39" s="694" t="s">
        <v>601</v>
      </c>
      <c r="C39" s="698">
        <f t="shared" si="20"/>
        <v>0</v>
      </c>
      <c r="D39" s="404">
        <f t="shared" si="21"/>
        <v>0</v>
      </c>
      <c r="E39" s="404">
        <f t="shared" si="23"/>
        <v>0</v>
      </c>
      <c r="F39" s="404">
        <f t="shared" si="23"/>
        <v>0</v>
      </c>
      <c r="G39" s="404">
        <f t="shared" si="23"/>
        <v>0</v>
      </c>
      <c r="H39" s="404">
        <f t="shared" si="23"/>
        <v>0</v>
      </c>
      <c r="I39" s="404">
        <f t="shared" si="23"/>
        <v>0</v>
      </c>
      <c r="J39" s="404">
        <f t="shared" si="23"/>
        <v>0</v>
      </c>
      <c r="K39" s="404">
        <f t="shared" si="23"/>
        <v>0</v>
      </c>
      <c r="L39" s="404">
        <f t="shared" si="23"/>
        <v>0</v>
      </c>
      <c r="M39" s="404">
        <f t="shared" si="23"/>
        <v>0</v>
      </c>
      <c r="N39" s="404">
        <f t="shared" si="23"/>
        <v>0</v>
      </c>
      <c r="O39" s="404">
        <f t="shared" si="23"/>
        <v>0</v>
      </c>
      <c r="P39" s="404">
        <f t="shared" si="23"/>
        <v>0</v>
      </c>
      <c r="Q39" s="404">
        <f t="shared" si="23"/>
        <v>0</v>
      </c>
      <c r="R39" s="404">
        <f t="shared" si="23"/>
        <v>0</v>
      </c>
      <c r="S39" s="404">
        <f t="shared" si="23"/>
        <v>0</v>
      </c>
      <c r="T39" s="404">
        <f t="shared" si="23"/>
        <v>0</v>
      </c>
      <c r="U39" s="404">
        <f t="shared" si="23"/>
        <v>2.5541924398625428E-2</v>
      </c>
      <c r="V39" s="404">
        <f t="shared" si="23"/>
        <v>5.1083848797250857E-2</v>
      </c>
      <c r="W39" s="404">
        <f t="shared" si="23"/>
        <v>7.6625773195876282E-2</v>
      </c>
      <c r="X39" s="404">
        <f t="shared" si="23"/>
        <v>0.10216769759450171</v>
      </c>
      <c r="Y39" s="404">
        <f t="shared" si="23"/>
        <v>0.12770962199312713</v>
      </c>
      <c r="Z39" s="404">
        <f t="shared" si="23"/>
        <v>0.15325154639175256</v>
      </c>
      <c r="AA39" s="404">
        <f t="shared" si="23"/>
        <v>0.178793470790378</v>
      </c>
      <c r="AB39" s="404">
        <f t="shared" si="23"/>
        <v>0.20433539518900343</v>
      </c>
      <c r="AC39" s="404">
        <f t="shared" si="23"/>
        <v>0.22987731958762886</v>
      </c>
      <c r="AD39" s="404">
        <f t="shared" si="23"/>
        <v>0.25541924398625426</v>
      </c>
      <c r="AE39" s="404">
        <f t="shared" si="23"/>
        <v>0.28096116838487967</v>
      </c>
      <c r="AF39" s="404">
        <f t="shared" si="23"/>
        <v>0.30650309278350507</v>
      </c>
      <c r="AG39" s="404">
        <f t="shared" si="23"/>
        <v>0.33204501718213048</v>
      </c>
      <c r="AH39" s="404">
        <f t="shared" si="23"/>
        <v>0.35758694158075588</v>
      </c>
      <c r="AI39" s="404">
        <f t="shared" si="23"/>
        <v>0.38312886597938128</v>
      </c>
      <c r="AJ39" s="404">
        <f t="shared" si="23"/>
        <v>0.40867079037800669</v>
      </c>
      <c r="AK39" s="404">
        <f t="shared" si="23"/>
        <v>0.43421271477663209</v>
      </c>
      <c r="AL39" s="404">
        <f t="shared" si="23"/>
        <v>0.4597546391752575</v>
      </c>
      <c r="AM39" s="404">
        <f t="shared" si="23"/>
        <v>0.4852965635738829</v>
      </c>
      <c r="AN39" s="404">
        <f t="shared" si="23"/>
        <v>0.5108384879725083</v>
      </c>
      <c r="AO39" s="404">
        <f t="shared" si="23"/>
        <v>0.53638041237113376</v>
      </c>
      <c r="AP39" s="404">
        <f t="shared" si="23"/>
        <v>0.56192233676975922</v>
      </c>
      <c r="AQ39" s="404">
        <f t="shared" si="23"/>
        <v>0.58746426116838468</v>
      </c>
      <c r="AR39" s="404">
        <f t="shared" si="23"/>
        <v>0.61300618556701014</v>
      </c>
      <c r="AS39" s="404">
        <f t="shared" si="23"/>
        <v>0.6385481099656356</v>
      </c>
      <c r="AT39" s="404">
        <f t="shared" si="23"/>
        <v>0.66409003436426106</v>
      </c>
      <c r="AU39" s="404">
        <f t="shared" si="23"/>
        <v>0.68963195876288652</v>
      </c>
      <c r="AV39" s="404">
        <f t="shared" si="23"/>
        <v>0.71517388316151198</v>
      </c>
    </row>
    <row r="40" spans="1:48" x14ac:dyDescent="0.25">
      <c r="A40" s="694" t="s">
        <v>602</v>
      </c>
      <c r="C40" s="698">
        <f t="shared" si="20"/>
        <v>0</v>
      </c>
      <c r="D40" s="404">
        <f t="shared" si="21"/>
        <v>0</v>
      </c>
      <c r="E40" s="404">
        <f t="shared" si="23"/>
        <v>0</v>
      </c>
      <c r="F40" s="404">
        <f t="shared" si="23"/>
        <v>0</v>
      </c>
      <c r="G40" s="404">
        <f t="shared" si="23"/>
        <v>0</v>
      </c>
      <c r="H40" s="404">
        <f t="shared" si="23"/>
        <v>0</v>
      </c>
      <c r="I40" s="404">
        <f t="shared" si="23"/>
        <v>0</v>
      </c>
      <c r="J40" s="404">
        <f t="shared" si="23"/>
        <v>0</v>
      </c>
      <c r="K40" s="404">
        <f t="shared" si="23"/>
        <v>0</v>
      </c>
      <c r="L40" s="404">
        <f t="shared" si="23"/>
        <v>0</v>
      </c>
      <c r="M40" s="404">
        <f t="shared" si="23"/>
        <v>0</v>
      </c>
      <c r="N40" s="404">
        <f t="shared" si="23"/>
        <v>0</v>
      </c>
      <c r="O40" s="404">
        <f t="shared" si="23"/>
        <v>0</v>
      </c>
      <c r="P40" s="404">
        <f t="shared" si="23"/>
        <v>0</v>
      </c>
      <c r="Q40" s="404">
        <f t="shared" si="23"/>
        <v>0</v>
      </c>
      <c r="R40" s="404">
        <f t="shared" si="23"/>
        <v>0</v>
      </c>
      <c r="S40" s="404">
        <f t="shared" si="23"/>
        <v>0</v>
      </c>
      <c r="T40" s="404">
        <f t="shared" si="23"/>
        <v>0</v>
      </c>
      <c r="U40" s="404">
        <f t="shared" si="23"/>
        <v>2.4322336769759451E-2</v>
      </c>
      <c r="V40" s="404">
        <f t="shared" si="23"/>
        <v>4.8644673539518901E-2</v>
      </c>
      <c r="W40" s="404">
        <f t="shared" si="23"/>
        <v>7.2967010309278352E-2</v>
      </c>
      <c r="X40" s="404">
        <f t="shared" si="23"/>
        <v>9.7289347079037802E-2</v>
      </c>
      <c r="Y40" s="404">
        <f t="shared" si="23"/>
        <v>0.12161168384879725</v>
      </c>
      <c r="Z40" s="404">
        <f t="shared" si="23"/>
        <v>0.1459340206185567</v>
      </c>
      <c r="AA40" s="404">
        <f t="shared" si="23"/>
        <v>0.17025635738831615</v>
      </c>
      <c r="AB40" s="404">
        <f t="shared" si="23"/>
        <v>0.1945786941580756</v>
      </c>
      <c r="AC40" s="404">
        <f t="shared" si="23"/>
        <v>0.21890103092783506</v>
      </c>
      <c r="AD40" s="404">
        <f t="shared" si="23"/>
        <v>0.24322336769759451</v>
      </c>
      <c r="AE40" s="404">
        <f t="shared" si="23"/>
        <v>0.26754570446735393</v>
      </c>
      <c r="AF40" s="404">
        <f t="shared" si="23"/>
        <v>0.29186804123711341</v>
      </c>
      <c r="AG40" s="404">
        <f t="shared" si="23"/>
        <v>0.31619037800687289</v>
      </c>
      <c r="AH40" s="404">
        <f t="shared" si="23"/>
        <v>0.34051271477663236</v>
      </c>
      <c r="AI40" s="404">
        <f t="shared" si="23"/>
        <v>0.36483505154639184</v>
      </c>
      <c r="AJ40" s="404">
        <f t="shared" si="23"/>
        <v>0.38915738831615132</v>
      </c>
      <c r="AK40" s="404">
        <f t="shared" si="23"/>
        <v>0.4134797250859108</v>
      </c>
      <c r="AL40" s="404">
        <f t="shared" si="23"/>
        <v>0.43780206185567028</v>
      </c>
      <c r="AM40" s="404">
        <f t="shared" si="23"/>
        <v>0.46212439862542976</v>
      </c>
      <c r="AN40" s="404">
        <f t="shared" si="23"/>
        <v>0.48644673539518923</v>
      </c>
      <c r="AO40" s="404">
        <f t="shared" si="23"/>
        <v>0.51076907216494871</v>
      </c>
      <c r="AP40" s="404">
        <f t="shared" si="23"/>
        <v>0.53509140893470819</v>
      </c>
      <c r="AQ40" s="404">
        <f t="shared" si="23"/>
        <v>0.55941374570446767</v>
      </c>
      <c r="AR40" s="404">
        <f t="shared" si="23"/>
        <v>0.58373608247422715</v>
      </c>
      <c r="AS40" s="404">
        <f t="shared" si="23"/>
        <v>0.60805841924398663</v>
      </c>
      <c r="AT40" s="404">
        <f t="shared" si="23"/>
        <v>0.6323807560137461</v>
      </c>
      <c r="AU40" s="404">
        <f t="shared" si="23"/>
        <v>0.65670309278350558</v>
      </c>
      <c r="AV40" s="404">
        <f t="shared" si="23"/>
        <v>0.68102542955326506</v>
      </c>
    </row>
    <row r="41" spans="1:48" x14ac:dyDescent="0.25">
      <c r="A41" s="694" t="s">
        <v>603</v>
      </c>
      <c r="C41" s="698">
        <f t="shared" si="20"/>
        <v>0</v>
      </c>
      <c r="D41" s="404">
        <f t="shared" si="21"/>
        <v>0</v>
      </c>
      <c r="E41" s="404">
        <f t="shared" si="23"/>
        <v>0</v>
      </c>
      <c r="F41" s="404">
        <f t="shared" si="23"/>
        <v>0</v>
      </c>
      <c r="G41" s="404">
        <f t="shared" si="23"/>
        <v>0</v>
      </c>
      <c r="H41" s="404">
        <f t="shared" si="23"/>
        <v>0</v>
      </c>
      <c r="I41" s="404">
        <f t="shared" si="23"/>
        <v>0</v>
      </c>
      <c r="J41" s="404">
        <f t="shared" si="23"/>
        <v>0</v>
      </c>
      <c r="K41" s="404">
        <f t="shared" si="23"/>
        <v>0</v>
      </c>
      <c r="L41" s="404">
        <f t="shared" si="23"/>
        <v>0</v>
      </c>
      <c r="M41" s="404">
        <f t="shared" si="23"/>
        <v>0</v>
      </c>
      <c r="N41" s="404">
        <f t="shared" si="23"/>
        <v>0</v>
      </c>
      <c r="O41" s="404">
        <f t="shared" si="23"/>
        <v>0</v>
      </c>
      <c r="P41" s="404">
        <f t="shared" si="23"/>
        <v>0</v>
      </c>
      <c r="Q41" s="404">
        <f t="shared" si="23"/>
        <v>0</v>
      </c>
      <c r="R41" s="404">
        <f t="shared" si="23"/>
        <v>0</v>
      </c>
      <c r="S41" s="404">
        <f t="shared" si="23"/>
        <v>0</v>
      </c>
      <c r="T41" s="404">
        <f t="shared" si="23"/>
        <v>0</v>
      </c>
      <c r="U41" s="404">
        <f t="shared" si="23"/>
        <v>2.9297452650280227E-2</v>
      </c>
      <c r="V41" s="404">
        <f t="shared" si="23"/>
        <v>5.8594905300560454E-2</v>
      </c>
      <c r="W41" s="404">
        <f t="shared" si="23"/>
        <v>8.7892357950840688E-2</v>
      </c>
      <c r="X41" s="404">
        <f t="shared" si="23"/>
        <v>0.11718981060112091</v>
      </c>
      <c r="Y41" s="404">
        <f t="shared" si="23"/>
        <v>0.14648726325140113</v>
      </c>
      <c r="Z41" s="404">
        <f t="shared" si="23"/>
        <v>0.17578471590168135</v>
      </c>
      <c r="AA41" s="404">
        <f t="shared" si="23"/>
        <v>0.20508216855196157</v>
      </c>
      <c r="AB41" s="404">
        <f t="shared" si="23"/>
        <v>0.23437962120224179</v>
      </c>
      <c r="AC41" s="404">
        <f t="shared" si="23"/>
        <v>0.26367707385252204</v>
      </c>
      <c r="AD41" s="404">
        <f t="shared" si="23"/>
        <v>0.29297452650280226</v>
      </c>
      <c r="AE41" s="404">
        <f t="shared" si="23"/>
        <v>0.32227197915308248</v>
      </c>
      <c r="AF41" s="404">
        <f t="shared" si="23"/>
        <v>0.3515694318033627</v>
      </c>
      <c r="AG41" s="404">
        <f t="shared" si="23"/>
        <v>0.38086688445364292</v>
      </c>
      <c r="AH41" s="404">
        <f t="shared" si="23"/>
        <v>0.41016433710392314</v>
      </c>
      <c r="AI41" s="404">
        <f t="shared" si="23"/>
        <v>0.43946178975420336</v>
      </c>
      <c r="AJ41" s="404">
        <f t="shared" si="23"/>
        <v>0.46875924240448358</v>
      </c>
      <c r="AK41" s="404">
        <f t="shared" ref="E41:AV42" si="24">AJ41+AK21</f>
        <v>0.4980566950547638</v>
      </c>
      <c r="AL41" s="404">
        <f t="shared" si="24"/>
        <v>0.52735414770504407</v>
      </c>
      <c r="AM41" s="404">
        <f t="shared" si="24"/>
        <v>0.55665160035532435</v>
      </c>
      <c r="AN41" s="404">
        <f t="shared" si="24"/>
        <v>0.58594905300560463</v>
      </c>
      <c r="AO41" s="404">
        <f t="shared" si="24"/>
        <v>0.6152465056558849</v>
      </c>
      <c r="AP41" s="404">
        <f t="shared" si="24"/>
        <v>0.64454395830616518</v>
      </c>
      <c r="AQ41" s="404">
        <f t="shared" si="24"/>
        <v>0.67384141095644545</v>
      </c>
      <c r="AR41" s="404">
        <f t="shared" si="24"/>
        <v>0.70313886360672573</v>
      </c>
      <c r="AS41" s="404">
        <f t="shared" si="24"/>
        <v>0.732436316257006</v>
      </c>
      <c r="AT41" s="404">
        <f t="shared" si="24"/>
        <v>0.76173376890728628</v>
      </c>
      <c r="AU41" s="404">
        <f t="shared" si="24"/>
        <v>0.79103122155756656</v>
      </c>
      <c r="AV41" s="404">
        <f t="shared" si="24"/>
        <v>0.82032867420784683</v>
      </c>
    </row>
    <row r="42" spans="1:48" x14ac:dyDescent="0.25">
      <c r="A42" s="694" t="s">
        <v>604</v>
      </c>
      <c r="C42" s="698">
        <f t="shared" si="20"/>
        <v>0</v>
      </c>
      <c r="D42" s="404">
        <f t="shared" si="21"/>
        <v>0</v>
      </c>
      <c r="E42" s="404">
        <f t="shared" si="24"/>
        <v>0</v>
      </c>
      <c r="F42" s="404">
        <f t="shared" si="24"/>
        <v>0</v>
      </c>
      <c r="G42" s="404">
        <f t="shared" si="24"/>
        <v>0</v>
      </c>
      <c r="H42" s="404">
        <f t="shared" si="24"/>
        <v>0</v>
      </c>
      <c r="I42" s="404">
        <f t="shared" si="24"/>
        <v>0</v>
      </c>
      <c r="J42" s="404">
        <f t="shared" si="24"/>
        <v>0</v>
      </c>
      <c r="K42" s="404">
        <f t="shared" si="24"/>
        <v>0</v>
      </c>
      <c r="L42" s="404">
        <f t="shared" si="24"/>
        <v>0</v>
      </c>
      <c r="M42" s="404">
        <f t="shared" si="24"/>
        <v>0</v>
      </c>
      <c r="N42" s="404">
        <f t="shared" si="24"/>
        <v>0</v>
      </c>
      <c r="O42" s="404">
        <f t="shared" si="24"/>
        <v>0</v>
      </c>
      <c r="P42" s="404">
        <f t="shared" si="24"/>
        <v>0</v>
      </c>
      <c r="Q42" s="404">
        <f t="shared" si="24"/>
        <v>0</v>
      </c>
      <c r="R42" s="404">
        <f t="shared" si="24"/>
        <v>0</v>
      </c>
      <c r="S42" s="404">
        <f t="shared" si="24"/>
        <v>0</v>
      </c>
      <c r="T42" s="404">
        <f t="shared" si="24"/>
        <v>0</v>
      </c>
      <c r="U42" s="404">
        <f t="shared" si="24"/>
        <v>4.4060395176116846E-2</v>
      </c>
      <c r="V42" s="404">
        <f t="shared" si="24"/>
        <v>8.8120790352233691E-2</v>
      </c>
      <c r="W42" s="404">
        <f t="shared" si="24"/>
        <v>0.13218118552835054</v>
      </c>
      <c r="X42" s="404">
        <f t="shared" si="24"/>
        <v>0.17624158070446738</v>
      </c>
      <c r="Y42" s="404">
        <f t="shared" si="24"/>
        <v>0.22030197588058423</v>
      </c>
      <c r="Z42" s="404">
        <f t="shared" si="24"/>
        <v>0.26436237105670107</v>
      </c>
      <c r="AA42" s="404">
        <f t="shared" si="24"/>
        <v>0.30842276623281795</v>
      </c>
      <c r="AB42" s="404">
        <f t="shared" si="24"/>
        <v>0.35248316140893476</v>
      </c>
      <c r="AC42" s="404">
        <f t="shared" si="24"/>
        <v>0.39654355658505158</v>
      </c>
      <c r="AD42" s="404">
        <f t="shared" si="24"/>
        <v>0.4406039517611684</v>
      </c>
      <c r="AE42" s="404">
        <f t="shared" si="24"/>
        <v>0.48466434693728522</v>
      </c>
      <c r="AF42" s="404">
        <f t="shared" si="24"/>
        <v>0.52872474211340204</v>
      </c>
      <c r="AG42" s="404">
        <f t="shared" si="24"/>
        <v>0.57278513728951885</v>
      </c>
      <c r="AH42" s="404">
        <f t="shared" si="24"/>
        <v>0.61684553246563567</v>
      </c>
      <c r="AI42" s="404">
        <f t="shared" si="24"/>
        <v>0.66090592764175249</v>
      </c>
      <c r="AJ42" s="404">
        <f t="shared" si="24"/>
        <v>0.70496632281786931</v>
      </c>
      <c r="AK42" s="404">
        <f t="shared" si="24"/>
        <v>0.74902671799398612</v>
      </c>
      <c r="AL42" s="404">
        <f t="shared" si="24"/>
        <v>0.79308711317010294</v>
      </c>
      <c r="AM42" s="404">
        <f t="shared" si="24"/>
        <v>0.83714750834621976</v>
      </c>
      <c r="AN42" s="404">
        <f t="shared" si="24"/>
        <v>0.88120790352233658</v>
      </c>
      <c r="AO42" s="404">
        <f t="shared" si="24"/>
        <v>0.9252682986984534</v>
      </c>
      <c r="AP42" s="404">
        <f t="shared" si="24"/>
        <v>0.96932869387457021</v>
      </c>
      <c r="AQ42" s="404">
        <f t="shared" si="24"/>
        <v>1.0133890890506871</v>
      </c>
      <c r="AR42" s="404">
        <f t="shared" si="24"/>
        <v>1.0574494842268041</v>
      </c>
      <c r="AS42" s="404">
        <f t="shared" si="24"/>
        <v>1.101509879402921</v>
      </c>
      <c r="AT42" s="404">
        <f t="shared" si="24"/>
        <v>1.1455702745790379</v>
      </c>
      <c r="AU42" s="404">
        <f t="shared" si="24"/>
        <v>1.1896306697551549</v>
      </c>
      <c r="AV42" s="404">
        <f t="shared" si="24"/>
        <v>1.2336910649312718</v>
      </c>
    </row>
  </sheetData>
  <conditionalFormatting sqref="AX4:AX22">
    <cfRule type="cellIs" dxfId="3178" priority="1" stopIfTrue="1" operator="lessThan">
      <formula>0</formula>
    </cfRule>
    <cfRule type="cellIs" dxfId="3177" priority="2" stopIfTrue="1" operator="greater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6BB24-CE4D-4BE0-9390-9B26AD01B652}">
  <dimension ref="A1:DL57"/>
  <sheetViews>
    <sheetView tabSelected="1" topLeftCell="AY1" workbookViewId="0">
      <selection activeCell="BG28" sqref="BG28"/>
    </sheetView>
  </sheetViews>
  <sheetFormatPr baseColWidth="10" defaultColWidth="11.42578125" defaultRowHeight="12" x14ac:dyDescent="0.2"/>
  <cols>
    <col min="1" max="1" width="53.7109375" style="193" bestFit="1" customWidth="1"/>
    <col min="2" max="2" width="11" style="193" customWidth="1"/>
    <col min="3" max="4" width="7.7109375" style="222" bestFit="1" customWidth="1"/>
    <col min="5" max="6" width="7.7109375" style="222" customWidth="1"/>
    <col min="7" max="12" width="12.28515625" style="222" customWidth="1"/>
    <col min="13" max="13" width="8.7109375" style="193" customWidth="1"/>
    <col min="14" max="14" width="8.7109375" style="572" customWidth="1"/>
    <col min="15" max="15" width="7.85546875" style="572" customWidth="1"/>
    <col min="16" max="16" width="7.28515625" style="572" customWidth="1"/>
    <col min="17" max="17" width="34.28515625" style="193" customWidth="1"/>
    <col min="18" max="18" width="11.140625" style="193" customWidth="1"/>
    <col min="19" max="20" width="5.5703125" style="193" bestFit="1" customWidth="1"/>
    <col min="21" max="28" width="5.5703125" style="193" customWidth="1"/>
    <col min="29" max="29" width="9" style="193" bestFit="1" customWidth="1"/>
    <col min="30" max="30" width="11.42578125" style="193"/>
    <col min="31" max="31" width="40.28515625" style="193" customWidth="1"/>
    <col min="32" max="36" width="10.42578125" style="193" customWidth="1"/>
    <col min="37" max="38" width="9.5703125" style="193" customWidth="1"/>
    <col min="39" max="40" width="10" style="193" customWidth="1"/>
    <col min="41" max="41" width="10.140625" style="193" customWidth="1"/>
    <col min="42" max="42" width="9.7109375" style="193" customWidth="1"/>
    <col min="43" max="43" width="10" style="193" customWidth="1"/>
    <col min="44" max="44" width="11.42578125" style="193"/>
    <col min="45" max="45" width="54.28515625" style="193" customWidth="1"/>
    <col min="46" max="46" width="11.42578125" style="193"/>
    <col min="47" max="47" width="11.42578125" style="193" customWidth="1"/>
    <col min="48" max="56" width="11.42578125" style="193"/>
    <col min="57" max="57" width="10.140625" style="193" customWidth="1"/>
    <col min="58" max="58" width="9.85546875" style="206" customWidth="1"/>
    <col min="59" max="59" width="42.85546875" style="193" customWidth="1"/>
    <col min="60" max="60" width="9.5703125" style="193" customWidth="1"/>
    <col min="61" max="64" width="11.42578125" style="193"/>
    <col min="65" max="65" width="12.5703125" style="193" bestFit="1" customWidth="1"/>
    <col min="66" max="70" width="11.7109375" style="193" customWidth="1"/>
    <col min="71" max="71" width="11.42578125" style="193" customWidth="1"/>
    <col min="72" max="72" width="20.42578125" style="193" customWidth="1"/>
    <col min="73" max="73" width="24.7109375" style="193" customWidth="1"/>
    <col min="74" max="85" width="11.42578125" style="193" customWidth="1"/>
    <col min="86" max="86" width="19.140625" style="193" customWidth="1"/>
    <col min="87" max="87" width="11.42578125" style="193" customWidth="1"/>
    <col min="88" max="88" width="50.140625" style="193" customWidth="1"/>
    <col min="89" max="89" width="6" style="193" customWidth="1"/>
    <col min="90" max="100" width="11.42578125" style="193" customWidth="1"/>
    <col min="101" max="102" width="11.42578125" style="193"/>
    <col min="103" max="103" width="33.5703125" style="193" customWidth="1"/>
    <col min="104" max="104" width="19.85546875" style="193" customWidth="1"/>
    <col min="105" max="109" width="10.42578125" style="193" customWidth="1"/>
    <col min="110" max="16384" width="11.42578125" style="193"/>
  </cols>
  <sheetData>
    <row r="1" spans="1:116" x14ac:dyDescent="0.2">
      <c r="B1" s="193">
        <v>2015</v>
      </c>
      <c r="C1" s="194">
        <v>2020</v>
      </c>
      <c r="D1" s="194">
        <v>2023</v>
      </c>
      <c r="E1" s="195">
        <v>2025</v>
      </c>
      <c r="F1" s="195">
        <v>2028</v>
      </c>
      <c r="G1" s="195">
        <v>2030</v>
      </c>
      <c r="H1" s="195">
        <v>2033</v>
      </c>
      <c r="I1" s="195">
        <v>2035</v>
      </c>
      <c r="J1" s="195">
        <v>2038</v>
      </c>
      <c r="K1" s="195">
        <v>2040</v>
      </c>
      <c r="L1" s="195">
        <v>2045</v>
      </c>
      <c r="M1" s="729">
        <v>2050</v>
      </c>
      <c r="N1" s="729"/>
      <c r="O1" s="730"/>
      <c r="R1" s="193">
        <v>2015</v>
      </c>
      <c r="S1" s="194">
        <v>2020</v>
      </c>
      <c r="T1" s="194">
        <v>2023</v>
      </c>
      <c r="U1" s="195">
        <v>2025</v>
      </c>
      <c r="V1" s="195">
        <v>2028</v>
      </c>
      <c r="W1" s="195">
        <v>2030</v>
      </c>
      <c r="X1" s="195">
        <v>2033</v>
      </c>
      <c r="Y1" s="195">
        <v>2035</v>
      </c>
      <c r="Z1" s="195">
        <v>2038</v>
      </c>
      <c r="AA1" s="195">
        <v>2040</v>
      </c>
      <c r="AB1" s="195">
        <v>2045</v>
      </c>
      <c r="AC1" s="195">
        <v>2050</v>
      </c>
      <c r="AF1" s="193">
        <v>2015</v>
      </c>
      <c r="AG1" s="194">
        <v>2020</v>
      </c>
      <c r="AH1" s="194">
        <v>2023</v>
      </c>
      <c r="AI1" s="195">
        <v>2025</v>
      </c>
      <c r="AJ1" s="195">
        <v>2028</v>
      </c>
      <c r="AK1" s="195">
        <v>2030</v>
      </c>
      <c r="AL1" s="195">
        <v>2033</v>
      </c>
      <c r="AM1" s="195">
        <v>2035</v>
      </c>
      <c r="AN1" s="195">
        <v>2038</v>
      </c>
      <c r="AO1" s="195">
        <v>2040</v>
      </c>
      <c r="AP1" s="195">
        <v>2045</v>
      </c>
      <c r="AQ1" s="195">
        <v>2050</v>
      </c>
      <c r="AT1" s="193">
        <v>2015</v>
      </c>
      <c r="AU1" s="194">
        <v>2020</v>
      </c>
      <c r="AV1" s="195">
        <v>2023</v>
      </c>
      <c r="AW1" s="195">
        <v>2025</v>
      </c>
      <c r="AX1" s="195">
        <v>2028</v>
      </c>
      <c r="AY1" s="195">
        <v>2030</v>
      </c>
      <c r="AZ1" s="195">
        <v>2033</v>
      </c>
      <c r="BA1" s="195">
        <v>2035</v>
      </c>
      <c r="BB1" s="547">
        <v>2038</v>
      </c>
      <c r="BC1" s="547">
        <v>2040</v>
      </c>
      <c r="BD1" s="547">
        <v>2045</v>
      </c>
      <c r="BE1" s="193">
        <v>2050</v>
      </c>
    </row>
    <row r="2" spans="1:116" ht="15" x14ac:dyDescent="0.25">
      <c r="A2" s="196" t="s">
        <v>10</v>
      </c>
      <c r="B2" s="197">
        <f t="shared" ref="B2:M2" si="0">B3+B9+B28+B38</f>
        <v>255.89471571902516</v>
      </c>
      <c r="C2" s="197">
        <f t="shared" si="0"/>
        <v>2559.7800174335421</v>
      </c>
      <c r="D2" s="197">
        <f t="shared" si="0"/>
        <v>2530.4302210668016</v>
      </c>
      <c r="E2" s="197">
        <f t="shared" si="0"/>
        <v>2801.5112440082194</v>
      </c>
      <c r="F2" s="197">
        <f t="shared" si="0"/>
        <v>2732.5762926742873</v>
      </c>
      <c r="G2" s="197">
        <f t="shared" si="0"/>
        <v>2691.7283403348679</v>
      </c>
      <c r="H2" s="197">
        <f t="shared" si="0"/>
        <v>2649.1369802195763</v>
      </c>
      <c r="I2" s="197">
        <f t="shared" si="0"/>
        <v>2635.054409330598</v>
      </c>
      <c r="J2" s="197">
        <f t="shared" si="0"/>
        <v>2628.2756092433615</v>
      </c>
      <c r="K2" s="197">
        <f t="shared" si="0"/>
        <v>2626.8425941457863</v>
      </c>
      <c r="L2" s="197">
        <f t="shared" ref="L2" si="1">L3+L9+L28+L38</f>
        <v>2426.1916481055573</v>
      </c>
      <c r="M2" s="197">
        <f t="shared" si="0"/>
        <v>2259.5593960248952</v>
      </c>
      <c r="N2" s="573">
        <f>C2-'Bilan 2020'!$C$5</f>
        <v>0</v>
      </c>
      <c r="O2" s="573">
        <f>G2-'Bilan 2030 AMS'!$C$5</f>
        <v>0</v>
      </c>
      <c r="P2" s="573">
        <f>M2-'Bilan 2050 AMS'!$C$5</f>
        <v>0.44183816383656449</v>
      </c>
      <c r="Q2" s="568" t="s">
        <v>261</v>
      </c>
      <c r="R2" s="198">
        <f t="shared" ref="R2:AC2" si="2">R3+R7+R16+R23</f>
        <v>255.90471571902515</v>
      </c>
      <c r="S2" s="198">
        <f t="shared" si="2"/>
        <v>2559.7900174335423</v>
      </c>
      <c r="T2" s="198">
        <f t="shared" si="2"/>
        <v>2530.4402210668018</v>
      </c>
      <c r="U2" s="198">
        <f t="shared" si="2"/>
        <v>2801.5213440082198</v>
      </c>
      <c r="V2" s="198">
        <f t="shared" si="2"/>
        <v>2732.5863926742877</v>
      </c>
      <c r="W2" s="198">
        <f t="shared" si="2"/>
        <v>2691.7384403348678</v>
      </c>
      <c r="X2" s="198">
        <f t="shared" si="2"/>
        <v>2649.1470802195768</v>
      </c>
      <c r="Y2" s="198">
        <f t="shared" si="2"/>
        <v>2635.064509330598</v>
      </c>
      <c r="Z2" s="198">
        <f t="shared" si="2"/>
        <v>2628.2857092433615</v>
      </c>
      <c r="AA2" s="198">
        <f t="shared" si="2"/>
        <v>2626.8526941457862</v>
      </c>
      <c r="AB2" s="198">
        <f t="shared" si="2"/>
        <v>2426.2017481055573</v>
      </c>
      <c r="AC2" s="198">
        <f t="shared" si="2"/>
        <v>2259.5695960248954</v>
      </c>
      <c r="AE2" s="198" t="s">
        <v>262</v>
      </c>
      <c r="AF2" s="198">
        <f t="shared" ref="AF2:AQ2" si="3">AF3+AF8+AF18+AF27</f>
        <v>138.33585139215293</v>
      </c>
      <c r="AG2" s="198">
        <f t="shared" si="3"/>
        <v>1463.3250412379905</v>
      </c>
      <c r="AH2" s="198">
        <f t="shared" si="3"/>
        <v>1494.1459403809945</v>
      </c>
      <c r="AI2" s="198">
        <f t="shared" si="3"/>
        <v>1538.3354339801663</v>
      </c>
      <c r="AJ2" s="198">
        <f t="shared" si="3"/>
        <v>1486.1752536838405</v>
      </c>
      <c r="AK2" s="198">
        <f t="shared" si="3"/>
        <v>1466.1007414362839</v>
      </c>
      <c r="AL2" s="198">
        <f t="shared" si="3"/>
        <v>1390.1419779890014</v>
      </c>
      <c r="AM2" s="198">
        <f t="shared" si="3"/>
        <v>1358.4159001037119</v>
      </c>
      <c r="AN2" s="198">
        <f t="shared" si="3"/>
        <v>1307.8927310765619</v>
      </c>
      <c r="AO2" s="198">
        <f t="shared" si="3"/>
        <v>1268.8519745223359</v>
      </c>
      <c r="AP2" s="198">
        <f t="shared" ref="AP2" si="4">AP3+AP8+AP18+AP27</f>
        <v>1199.715291724463</v>
      </c>
      <c r="AQ2" s="198">
        <f t="shared" si="3"/>
        <v>1172.4550411578948</v>
      </c>
      <c r="AS2" s="198" t="s">
        <v>263</v>
      </c>
      <c r="AT2" s="198">
        <f t="shared" ref="AT2:BE2" si="5">AT3+AT8+AT18+AT27</f>
        <v>155.11475643907198</v>
      </c>
      <c r="AU2" s="198">
        <f t="shared" si="5"/>
        <v>1633.6423079237252</v>
      </c>
      <c r="AV2" s="198">
        <f t="shared" si="5"/>
        <v>1654.8165648775609</v>
      </c>
      <c r="AW2" s="198">
        <f t="shared" si="5"/>
        <v>1708.7255467040093</v>
      </c>
      <c r="AX2" s="198">
        <f t="shared" si="5"/>
        <v>1644.6235971396402</v>
      </c>
      <c r="AY2" s="198">
        <f t="shared" si="5"/>
        <v>1618.0910451936991</v>
      </c>
      <c r="AZ2" s="198">
        <f t="shared" si="5"/>
        <v>1534.2874891335064</v>
      </c>
      <c r="BA2" s="198">
        <f t="shared" si="5"/>
        <v>1497.5580881487188</v>
      </c>
      <c r="BB2" s="198">
        <f t="shared" si="5"/>
        <v>1444.7003161486628</v>
      </c>
      <c r="BC2" s="198">
        <f t="shared" si="5"/>
        <v>1405.4769744417306</v>
      </c>
      <c r="BD2" s="198">
        <f t="shared" ref="BD2" si="6">BD3+BD8+BD18+BD27</f>
        <v>1320.9831947153959</v>
      </c>
      <c r="BE2" s="198">
        <f t="shared" si="5"/>
        <v>1290.6417326311644</v>
      </c>
      <c r="BF2" s="216">
        <f>BE2-('Bilan 2050 AMS'!Q5+SUM('Bilan 2050 AMS'!E52:E57))</f>
        <v>9.5277011220362056</v>
      </c>
    </row>
    <row r="3" spans="1:116" ht="12.75" x14ac:dyDescent="0.2">
      <c r="A3" s="199" t="s">
        <v>264</v>
      </c>
      <c r="B3" s="200">
        <f t="shared" ref="B3" si="7">SUM(B4:B5)</f>
        <v>72.689474844839168</v>
      </c>
      <c r="C3" s="200">
        <f t="shared" ref="C3:M3" si="8">SUM(C4:C5)</f>
        <v>711.27843158471455</v>
      </c>
      <c r="D3" s="200">
        <f t="shared" si="8"/>
        <v>735.07688683788251</v>
      </c>
      <c r="E3" s="200">
        <f t="shared" si="8"/>
        <v>731.09633616791382</v>
      </c>
      <c r="F3" s="200">
        <f t="shared" si="8"/>
        <v>652.06534978945922</v>
      </c>
      <c r="G3" s="200">
        <f t="shared" si="8"/>
        <v>602.03271025809863</v>
      </c>
      <c r="H3" s="200">
        <f t="shared" si="8"/>
        <v>516.68740023181999</v>
      </c>
      <c r="I3" s="200">
        <f t="shared" si="8"/>
        <v>461.16433088538423</v>
      </c>
      <c r="J3" s="200">
        <f t="shared" si="8"/>
        <v>386.90747690295586</v>
      </c>
      <c r="K3" s="200">
        <f t="shared" si="8"/>
        <v>337.93583278007929</v>
      </c>
      <c r="L3" s="200">
        <f t="shared" ref="L3" si="9">SUM(L4:L5)</f>
        <v>266.45157570435896</v>
      </c>
      <c r="M3" s="200">
        <f t="shared" si="8"/>
        <v>252.18173351009608</v>
      </c>
      <c r="N3" s="573">
        <f>C3-'Bilan 2020'!$C$33-'Bilan 2020'!$C$41-'Bilan 2020'!$C$42-'Bilan 2020'!$C$43</f>
        <v>0</v>
      </c>
      <c r="O3" s="573">
        <f>G3-'Bilan 2030 AMS'!$C$33-'Bilan 2030 AMS'!$C$41-'Bilan 2030 AMS'!$C$42-'Bilan 2030 AMS'!$C$43</f>
        <v>0</v>
      </c>
      <c r="P3" s="573">
        <f>M3-'Bilan 2050 AMS'!$C$33-'Bilan 2050 AMS'!$C$41-'Bilan 2050 AMS'!$C$42-'Bilan 2050 AMS'!$C$43</f>
        <v>0</v>
      </c>
      <c r="Q3" s="569" t="s">
        <v>264</v>
      </c>
      <c r="R3" s="201">
        <f>SUM(R4:R6)</f>
        <v>72.689474844839168</v>
      </c>
      <c r="S3" s="201">
        <f>SUM(S4:S6)</f>
        <v>711.27843158471455</v>
      </c>
      <c r="T3" s="201">
        <f>SUM(T4:T6)</f>
        <v>735.07688683788251</v>
      </c>
      <c r="U3" s="201">
        <f t="shared" ref="U3:AC3" si="10">SUM(U4:U6)</f>
        <v>731.09633616791382</v>
      </c>
      <c r="V3" s="201">
        <f t="shared" si="10"/>
        <v>652.06534978945922</v>
      </c>
      <c r="W3" s="201">
        <f t="shared" si="10"/>
        <v>602.03271025809863</v>
      </c>
      <c r="X3" s="201">
        <f t="shared" si="10"/>
        <v>516.68740023181999</v>
      </c>
      <c r="Y3" s="201">
        <f t="shared" si="10"/>
        <v>461.16433088538423</v>
      </c>
      <c r="Z3" s="201">
        <f t="shared" si="10"/>
        <v>386.90747690295586</v>
      </c>
      <c r="AA3" s="201">
        <f t="shared" si="10"/>
        <v>337.93583278007929</v>
      </c>
      <c r="AB3" s="201">
        <f t="shared" si="10"/>
        <v>266.45157570435896</v>
      </c>
      <c r="AC3" s="201">
        <f t="shared" si="10"/>
        <v>252.18173351009608</v>
      </c>
      <c r="AE3" s="201" t="s">
        <v>264</v>
      </c>
      <c r="AF3" s="201">
        <f t="shared" ref="AF3:AQ3" si="11">SUM(AF4:AF7)</f>
        <v>57.957729699759618</v>
      </c>
      <c r="AG3" s="201">
        <f t="shared" si="11"/>
        <v>566.67042958464401</v>
      </c>
      <c r="AH3" s="201">
        <f t="shared" si="11"/>
        <v>619.1086474964369</v>
      </c>
      <c r="AI3" s="201">
        <f t="shared" si="11"/>
        <v>569.23303526652899</v>
      </c>
      <c r="AJ3" s="201">
        <f t="shared" si="11"/>
        <v>481.81530727253539</v>
      </c>
      <c r="AK3" s="201">
        <f t="shared" si="11"/>
        <v>426.13703970918908</v>
      </c>
      <c r="AL3" s="201">
        <f t="shared" si="11"/>
        <v>344.7375777655389</v>
      </c>
      <c r="AM3" s="201">
        <f t="shared" si="11"/>
        <v>291.66153560047525</v>
      </c>
      <c r="AN3" s="201">
        <f t="shared" si="11"/>
        <v>215.24902194532825</v>
      </c>
      <c r="AO3" s="201">
        <f t="shared" si="11"/>
        <v>164.52892143951962</v>
      </c>
      <c r="AP3" s="201">
        <f t="shared" ref="AP3" si="12">SUM(AP4:AP7)</f>
        <v>73.329990855447832</v>
      </c>
      <c r="AQ3" s="201">
        <f t="shared" si="11"/>
        <v>31.394096173095406</v>
      </c>
      <c r="AS3" s="201" t="s">
        <v>264</v>
      </c>
      <c r="AT3" s="201">
        <f>SUM(AT4:AT7)</f>
        <v>70.410729699759614</v>
      </c>
      <c r="AU3" s="201">
        <f>SUM(AU4:AU7)</f>
        <v>697.15454900619204</v>
      </c>
      <c r="AV3" s="201">
        <f t="shared" ref="AV3:BC3" si="13">SUM(AV4:AV7)</f>
        <v>732.20926412851372</v>
      </c>
      <c r="AW3" s="201">
        <f t="shared" si="13"/>
        <v>683.86547859000746</v>
      </c>
      <c r="AX3" s="201">
        <f t="shared" si="13"/>
        <v>596.94164852305403</v>
      </c>
      <c r="AY3" s="201">
        <f t="shared" si="13"/>
        <v>541.58406755626072</v>
      </c>
      <c r="AZ3" s="201">
        <f t="shared" si="13"/>
        <v>457.9923549059788</v>
      </c>
      <c r="BA3" s="201">
        <f t="shared" si="13"/>
        <v>403.42824639165036</v>
      </c>
      <c r="BB3" s="201">
        <f t="shared" si="13"/>
        <v>324.9897527260967</v>
      </c>
      <c r="BC3" s="201">
        <f t="shared" si="13"/>
        <v>272.89474561358452</v>
      </c>
      <c r="BD3" s="201">
        <f t="shared" ref="BD3:BE3" si="14">SUM(BD4:BD7)</f>
        <v>178.4776059396778</v>
      </c>
      <c r="BE3" s="201">
        <f t="shared" si="14"/>
        <v>133.71040591948221</v>
      </c>
      <c r="BF3" s="216">
        <f>BE3-(SUM('Bilan 2050 AMS'!G41:G43)-'Bilan 2050 AMS'!L41-'Bilan 2050 AMS'!I54-'Bilan 2050 AMS'!E56)</f>
        <v>10.939475194884636</v>
      </c>
      <c r="BG3" s="565" t="s">
        <v>446</v>
      </c>
      <c r="BH3" s="194">
        <v>2020</v>
      </c>
      <c r="BI3" s="194">
        <v>2020</v>
      </c>
      <c r="BJ3" s="194">
        <v>2023</v>
      </c>
      <c r="BK3" s="195">
        <v>2025</v>
      </c>
      <c r="BL3" s="195">
        <v>2028</v>
      </c>
      <c r="BM3" s="195">
        <v>2030</v>
      </c>
      <c r="BN3" s="195">
        <v>2033</v>
      </c>
      <c r="BO3" s="195">
        <v>2035</v>
      </c>
      <c r="BP3" s="195">
        <v>2038</v>
      </c>
      <c r="BQ3" s="195">
        <v>2040</v>
      </c>
      <c r="BR3" s="195">
        <v>2045</v>
      </c>
      <c r="BS3" s="195">
        <v>2050</v>
      </c>
      <c r="BU3" s="566" t="s">
        <v>447</v>
      </c>
      <c r="BV3" s="194">
        <v>2015</v>
      </c>
      <c r="BW3" s="194">
        <v>2020</v>
      </c>
      <c r="BX3" s="194">
        <v>2023</v>
      </c>
      <c r="BY3" s="195">
        <v>2025</v>
      </c>
      <c r="BZ3" s="195">
        <v>2028</v>
      </c>
      <c r="CA3" s="195">
        <v>2030</v>
      </c>
      <c r="CB3" s="195">
        <v>2033</v>
      </c>
      <c r="CC3" s="195">
        <v>2035</v>
      </c>
      <c r="CD3" s="195">
        <v>2038</v>
      </c>
      <c r="CE3" s="195">
        <v>2040</v>
      </c>
      <c r="CF3" s="195">
        <v>2045</v>
      </c>
      <c r="CG3" s="195">
        <v>2050</v>
      </c>
      <c r="CJ3" s="566" t="s">
        <v>448</v>
      </c>
      <c r="CK3" s="202">
        <v>2015</v>
      </c>
      <c r="CL3" s="194">
        <v>2020</v>
      </c>
      <c r="CM3" s="194">
        <v>2023</v>
      </c>
      <c r="CN3" s="195">
        <v>2025</v>
      </c>
      <c r="CO3" s="195">
        <v>2028</v>
      </c>
      <c r="CP3" s="195">
        <v>2030</v>
      </c>
      <c r="CQ3" s="195">
        <v>2033</v>
      </c>
      <c r="CR3" s="195">
        <v>2035</v>
      </c>
      <c r="CS3" s="195">
        <v>2038</v>
      </c>
      <c r="CT3" s="195">
        <v>2040</v>
      </c>
      <c r="CU3" s="195">
        <v>2045</v>
      </c>
      <c r="CV3" s="195">
        <v>2050</v>
      </c>
      <c r="CY3" s="565" t="s">
        <v>449</v>
      </c>
      <c r="CZ3" s="202" t="s">
        <v>265</v>
      </c>
      <c r="DA3" s="202">
        <v>2015</v>
      </c>
      <c r="DB3" s="557">
        <v>2020</v>
      </c>
      <c r="DC3" s="557">
        <v>2023</v>
      </c>
      <c r="DD3" s="557">
        <v>2025</v>
      </c>
      <c r="DE3" s="557">
        <v>2028</v>
      </c>
      <c r="DF3" s="557">
        <v>2030</v>
      </c>
      <c r="DG3" s="557">
        <v>2033</v>
      </c>
      <c r="DH3" s="557">
        <v>2035</v>
      </c>
      <c r="DI3" s="557">
        <v>2038</v>
      </c>
      <c r="DJ3" s="557">
        <v>2040</v>
      </c>
      <c r="DK3" s="557">
        <v>2045</v>
      </c>
      <c r="DL3" s="557">
        <v>2050</v>
      </c>
    </row>
    <row r="4" spans="1:116" ht="12.75" x14ac:dyDescent="0.2">
      <c r="A4" s="203" t="s">
        <v>266</v>
      </c>
      <c r="B4" s="204">
        <f>'Bilan 2015'!$C$33+'Bilan 2015'!$C$42+'Bilan 2015'!$C$43</f>
        <v>69.568999999999988</v>
      </c>
      <c r="C4" s="204">
        <f>'Bilan 2020'!$C$33+'Bilan 2020'!$C$42+'Bilan 2020'!$C$43</f>
        <v>677.54700206716939</v>
      </c>
      <c r="D4" s="204">
        <f>'Bilan 2023 réel'!$C$33+'Bilan 2023 réel'!$C$42+'Bilan 2023 réel'!$C$43</f>
        <v>714.42945250706157</v>
      </c>
      <c r="E4" s="204">
        <f>'Bilan 2025 AMS'!$C$33+'Bilan 2025 AMS'!$C$42+'Bilan 2025 AMS'!$C$43</f>
        <v>671.5337245273156</v>
      </c>
      <c r="F4" s="204">
        <f>'Bilan 2028 AMS'!$C$33+'Bilan 2028 AMS'!$C$42+'Bilan 2028 AMS'!$C$43</f>
        <v>580.46933046570643</v>
      </c>
      <c r="G4" s="204">
        <f>'Bilan 2030 AMS'!$C$33+'Bilan 2030 AMS'!$C$42+'Bilan 2030 AMS'!$C$43</f>
        <v>522.41441914557606</v>
      </c>
      <c r="H4" s="204">
        <f>'Bilan 2033 AMS'!$C$33+'Bilan 2033 AMS'!$C$42+'Bilan 2033 AMS'!$C$43</f>
        <v>430.61741989475195</v>
      </c>
      <c r="I4" s="204">
        <f>'Bilan 2035 AMS'!$C$33+'Bilan 2035 AMS'!$C$42+'Bilan 2035 AMS'!$C$43</f>
        <v>370.79322439861926</v>
      </c>
      <c r="J4" s="204">
        <f>'Bilan 2038 AMS'!$C$33+'Bilan 2038 AMS'!$C$42+'Bilan 2038 AMS'!$C$43</f>
        <v>289.16769505669527</v>
      </c>
      <c r="K4" s="204">
        <f>'Bilan 2040 AMS'!$C$33+'Bilan 2040 AMS'!$C$42+'Bilan 2040 AMS'!$C$43</f>
        <v>235.28360069415481</v>
      </c>
      <c r="L4" s="204">
        <f>'Bilan 2045 AMS'!$C$33+'Bilan 2045 AMS'!$C$42+'Bilan 2045 AMS'!$C$43</f>
        <v>138.89553296159511</v>
      </c>
      <c r="M4" s="204">
        <f>'Bilan 2050 AMS'!$C$33+'Bilan 2050 AMS'!$C$42+'Bilan 2050 AMS'!$C$43</f>
        <v>97.619118008316178</v>
      </c>
      <c r="N4" s="573"/>
      <c r="O4" s="573"/>
      <c r="P4" s="573"/>
      <c r="Q4" s="570" t="s">
        <v>266</v>
      </c>
      <c r="R4" s="205">
        <f t="shared" ref="R4:AC5" si="15">B4</f>
        <v>69.568999999999988</v>
      </c>
      <c r="S4" s="205">
        <f t="shared" si="15"/>
        <v>677.54700206716939</v>
      </c>
      <c r="T4" s="205">
        <f t="shared" si="15"/>
        <v>714.42945250706157</v>
      </c>
      <c r="U4" s="205">
        <f t="shared" si="15"/>
        <v>671.5337245273156</v>
      </c>
      <c r="V4" s="205">
        <f t="shared" si="15"/>
        <v>580.46933046570643</v>
      </c>
      <c r="W4" s="205">
        <f t="shared" si="15"/>
        <v>522.41441914557606</v>
      </c>
      <c r="X4" s="205">
        <f t="shared" si="15"/>
        <v>430.61741989475195</v>
      </c>
      <c r="Y4" s="205">
        <f t="shared" si="15"/>
        <v>370.79322439861926</v>
      </c>
      <c r="Z4" s="205">
        <f t="shared" si="15"/>
        <v>289.16769505669527</v>
      </c>
      <c r="AA4" s="205">
        <f t="shared" si="15"/>
        <v>235.28360069415481</v>
      </c>
      <c r="AB4" s="205">
        <f t="shared" si="15"/>
        <v>138.89553296159511</v>
      </c>
      <c r="AC4" s="205">
        <f t="shared" si="15"/>
        <v>97.619118008316178</v>
      </c>
      <c r="AD4" s="193">
        <f>2201</f>
        <v>2201</v>
      </c>
      <c r="AE4" s="205" t="s">
        <v>266</v>
      </c>
      <c r="AF4" s="205">
        <f>'Bilan 2015'!$G$42+'Bilan 2015'!$G$43-'Bilan 2015'!$E$54+'Bilan 2015'!$G$33*(1-SUM('Bilan 2015'!$K$26:$P$34)/'Bilan 2015'!$H$30)-AF6</f>
        <v>39.418884338747844</v>
      </c>
      <c r="AG4" s="205">
        <f>'Bilan 2020'!$G$42+'Bilan 2020'!$G$43-'Bilan 2020'!$E$54+'Bilan 2020'!$G$33*(1-SUM('Bilan 2020'!$K$26:$P$34)/'Bilan 2020'!$H$30)-AG6</f>
        <v>384.22485250061038</v>
      </c>
      <c r="AH4" s="205">
        <f>'Bilan 2023 réel'!$G$42+'Bilan 2023 réel'!$G$43-'Bilan 2023 réel'!$E$54+'Bilan 2023 réel'!$G$33*(1-SUM('Bilan 2023 réel'!$K$26:$P$34)/'Bilan 2023 réel'!$H$30)-AH6</f>
        <v>454.24007011037821</v>
      </c>
      <c r="AI4" s="205">
        <f>'Bilan 2025 AMS'!$G$42+'Bilan 2025 AMS'!$G$43-'Bilan 2025 AMS'!$E$54+'Bilan 2025 AMS'!$G$33*(1-SUM('Bilan 2025 AMS'!$K$26:$P$34)/'Bilan 2025 AMS'!$H$30)-AI6</f>
        <v>420.85443340902526</v>
      </c>
      <c r="AJ4" s="205">
        <f>'Bilan 2028 AMS'!$G$42+'Bilan 2028 AMS'!$G$43-'Bilan 2028 AMS'!$E$54+'Bilan 2028 AMS'!$G$33*(1-SUM('Bilan 2028 AMS'!$K$26:$P$34)/'Bilan 2028 AMS'!$H$30)-AJ6</f>
        <v>364.73630197696917</v>
      </c>
      <c r="AK4" s="205">
        <f>'Bilan 2030 AMS'!$G$42+'Bilan 2030 AMS'!$G$43-'Bilan 2030 AMS'!$E$54+'Bilan 2030 AMS'!$G$33*(1-SUM('Bilan 2030 AMS'!$K$26:$P$34)/'Bilan 2030 AMS'!$H$30)-AK6</f>
        <v>327.31240488287591</v>
      </c>
      <c r="AL4" s="205">
        <f>'Bilan 2033 AMS'!$G$42+'Bilan 2033 AMS'!$G$43-'Bilan 2033 AMS'!$E$54+'Bilan 2033 AMS'!$G$33*(1-SUM('Bilan 2033 AMS'!$K$26:$P$34)/'Bilan 2033 AMS'!$H$30)-AL6</f>
        <v>257.95105394329204</v>
      </c>
      <c r="AM4" s="205">
        <f>'Bilan 2035 AMS'!$G$42+'Bilan 2035 AMS'!$G$43-'Bilan 2035 AMS'!$E$54+'Bilan 2035 AMS'!$G$33*(1-SUM('Bilan 2035 AMS'!$K$26:$P$34)/'Bilan 2035 AMS'!$H$30)-AM6</f>
        <v>211.71015331690259</v>
      </c>
      <c r="AN4" s="205">
        <f>'Bilan 2038 AMS'!$G$42+'Bilan 2038 AMS'!$G$43-'Bilan 2038 AMS'!$E$54+'Bilan 2038 AMS'!$G$33*(1-SUM('Bilan 2038 AMS'!$K$26:$P$34)/'Bilan 2038 AMS'!$H$30)-AN6</f>
        <v>145.74847122117114</v>
      </c>
      <c r="AO4" s="205">
        <f>'Bilan 2040 AMS'!$G$42+'Bilan 2040 AMS'!$G$43-'Bilan 2040 AMS'!$E$54+'Bilan 2040 AMS'!$G$33*(1-SUM('Bilan 2040 AMS'!$K$26:$P$34)/'Bilan 2040 AMS'!$H$30)-AO6</f>
        <v>101.77401649068342</v>
      </c>
      <c r="AP4" s="205">
        <f>'Bilan 2045 AMS'!$G$42+'Bilan 2045 AMS'!$G$43-'Bilan 2045 AMS'!$E$54+'Bilan 2045 AMS'!$G$33*(1-SUM('Bilan 2045 AMS'!$K$26:$P$34)/'Bilan 2045 AMS'!$H$30)-AP6</f>
        <v>27.842691184610359</v>
      </c>
      <c r="AQ4" s="205">
        <f>'Bilan 2050 AMS'!$G$42+'Bilan 2050 AMS'!$G$43-'Bilan 2050 AMS'!$E$54+'Bilan 2050 AMS'!$G$33*(1-SUM('Bilan 2050 AMS'!$K$26:$P$34)/'Bilan 2050 AMS'!$H$30)-AQ6</f>
        <v>2.5646039905747244</v>
      </c>
      <c r="AR4" s="206"/>
      <c r="AS4" s="205" t="s">
        <v>450</v>
      </c>
      <c r="AT4" s="205">
        <f>'Bilan 2015'!$G$42+'Bilan 2015'!$G$43-'Bilan 2015'!$E$54+'Bilan 2015'!$G$33*(1-SUM('Bilan 2015'!$K$26:$P$34)/'Bilan 2015'!$H$30)+'Bilan 2015'!$E$54-AT6</f>
        <v>51.871884338747847</v>
      </c>
      <c r="AU4" s="205">
        <f>'Bilan 2020'!$G$42+'Bilan 2020'!$G$43-'Bilan 2020'!$E$54+'Bilan 2020'!$G$33*(1-SUM('Bilan 2020'!$K$26:$P$34)/'Bilan 2020'!$H$30)+'Bilan 2020'!$E$54-AU6</f>
        <v>514.70897192215841</v>
      </c>
      <c r="AV4" s="205">
        <f>'Bilan 2023 réel'!$G$42+'Bilan 2023 réel'!$G$43-'Bilan 2023 réel'!$E$54+'Bilan 2023 réel'!$G$33*(1-SUM('Bilan 2023 réel'!$K$26:$P$34)/'Bilan 2023 réel'!$H$30)+'Bilan 2023 réel'!$E$54-AV6</f>
        <v>567.34068674245509</v>
      </c>
      <c r="AW4" s="205">
        <f>'Bilan 2025 AMS'!$G$42+'Bilan 2025 AMS'!$G$43-'Bilan 2025 AMS'!$E$54+'Bilan 2025 AMS'!$G$33*(1-SUM('Bilan 2025 AMS'!$K$26:$P$34)/'Bilan 2025 AMS'!$H$30)+'Bilan 2025 AMS'!$E$54-AW6</f>
        <v>535.3983028657691</v>
      </c>
      <c r="AX4" s="205">
        <f>'Bilan 2028 AMS'!$G$42+'Bilan 2028 AMS'!$G$43-'Bilan 2028 AMS'!$E$54+'Bilan 2028 AMS'!$G$33*(1-SUM('Bilan 2028 AMS'!$K$26:$P$34)/'Bilan 2028 AMS'!$H$30)+'Bilan 2028 AMS'!$E$54-AX6</f>
        <v>479.70254686057035</v>
      </c>
      <c r="AY4" s="205">
        <f>'Bilan 2030 AMS'!$G$42+'Bilan 2030 AMS'!$G$43-'Bilan 2030 AMS'!$E$54+'Bilan 2030 AMS'!$G$33*(1-SUM('Bilan 2030 AMS'!$K$26:$P$34)/'Bilan 2030 AMS'!$H$30)+'Bilan 2030 AMS'!$E$54-AY6</f>
        <v>442.54933462053958</v>
      </c>
      <c r="AZ4" s="205">
        <f>'Bilan 2033 AMS'!$G$42+'Bilan 2033 AMS'!$G$43-'Bilan 2033 AMS'!$E$54+'Bilan 2033 AMS'!$G$33*(1-SUM('Bilan 2033 AMS'!$K$26:$P$34)/'Bilan 2033 AMS'!$H$30)+'Bilan 2033 AMS'!$E$54-AZ6</f>
        <v>369.06576515514922</v>
      </c>
      <c r="BA4" s="205">
        <f>'Bilan 2035 AMS'!$G$42+'Bilan 2035 AMS'!$G$43-'Bilan 2035 AMS'!$E$54+'Bilan 2035 AMS'!$G$33*(1-SUM('Bilan 2035 AMS'!$K$26:$P$34)/'Bilan 2035 AMS'!$H$30)+'Bilan 2035 AMS'!$E$54-BA6</f>
        <v>320.09847037408394</v>
      </c>
      <c r="BB4" s="205">
        <f>'Bilan 2038 AMS'!$G$42+'Bilan 2038 AMS'!$G$43-'Bilan 2038 AMS'!$E$54+'Bilan 2038 AMS'!$G$33*(1-SUM('Bilan 2038 AMS'!$K$26:$P$34)/'Bilan 2038 AMS'!$H$30)+'Bilan 2038 AMS'!$E$54-BB6</f>
        <v>250.31212613451584</v>
      </c>
      <c r="BC4" s="205">
        <f>'Bilan 2040 AMS'!$G$42+'Bilan 2040 AMS'!$G$43-'Bilan 2040 AMS'!$E$54+'Bilan 2040 AMS'!$G$33*(1-SUM('Bilan 2040 AMS'!$K$26:$P$34)/'Bilan 2040 AMS'!$H$30)+'Bilan 2040 AMS'!$E$54-BC6</f>
        <v>203.80945970455355</v>
      </c>
      <c r="BD4" s="205">
        <f>'Bilan 2045 AMS'!$G$42+'Bilan 2045 AMS'!$G$43-'Bilan 2045 AMS'!$E$54+'Bilan 2045 AMS'!$G$33*(1-SUM('Bilan 2045 AMS'!$K$26:$P$34)/'Bilan 2045 AMS'!$H$30)+'Bilan 2045 AMS'!$E$54-BD6</f>
        <v>124.23673631327225</v>
      </c>
      <c r="BE4" s="205">
        <f>'Bilan 2050 AMS'!$G$42+'Bilan 2050 AMS'!$G$43-'Bilan 2050 AMS'!$E$54+'Bilan 2050 AMS'!$G$33*(1-SUM('Bilan 2050 AMS'!$K$26:$P$34)/'Bilan 2050 AMS'!$H$30)+'Bilan 2050 AMS'!$E$54-BE6</f>
        <v>93.941438542076909</v>
      </c>
      <c r="BF4" s="216"/>
      <c r="BG4" s="205" t="s">
        <v>450</v>
      </c>
      <c r="BH4" s="202">
        <f>IF(AT4&gt;0,BV4/AT4,0)</f>
        <v>4.3279707853662905E-2</v>
      </c>
      <c r="BI4" s="202">
        <f t="shared" ref="BI4:BS7" si="16">IF(AU4&gt;0,BW4/AU4,0)</f>
        <v>2.7361944725478499E-2</v>
      </c>
      <c r="BJ4" s="202">
        <f t="shared" si="16"/>
        <v>3.9926618924267188E-2</v>
      </c>
      <c r="BK4" s="202">
        <f t="shared" si="16"/>
        <v>5.2104730061039405E-2</v>
      </c>
      <c r="BL4" s="202">
        <f t="shared" si="16"/>
        <v>5.206388268230288E-2</v>
      </c>
      <c r="BM4" s="202">
        <f t="shared" si="16"/>
        <v>5.2033609298473817E-2</v>
      </c>
      <c r="BN4" s="202">
        <f t="shared" si="16"/>
        <v>5.4499396809753915E-2</v>
      </c>
      <c r="BO4" s="202">
        <f t="shared" si="16"/>
        <v>5.6768395374119145E-2</v>
      </c>
      <c r="BP4" s="202">
        <f t="shared" si="16"/>
        <v>6.0898051071893944E-2</v>
      </c>
      <c r="BQ4" s="202">
        <f t="shared" si="16"/>
        <v>6.5215569834001119E-2</v>
      </c>
      <c r="BR4" s="202">
        <f t="shared" si="16"/>
        <v>6.790884414326015E-2</v>
      </c>
      <c r="BS4" s="202">
        <f t="shared" si="16"/>
        <v>3.8372195729041256E-2</v>
      </c>
      <c r="BU4" s="205" t="s">
        <v>450</v>
      </c>
      <c r="BV4" s="208">
        <f>'Bilan 2015'!$E$42</f>
        <v>2.2449999999999992</v>
      </c>
      <c r="BW4" s="208">
        <f>'Bilan 2020'!$E$42</f>
        <v>14.083438439441963</v>
      </c>
      <c r="BX4" s="208">
        <f>'Bilan 2023 réel'!$E$42</f>
        <v>22.65199539979805</v>
      </c>
      <c r="BY4" s="208">
        <f>'Bilan 2025 AMS'!$E$42</f>
        <v>27.896784045959517</v>
      </c>
      <c r="BZ4" s="208">
        <f>'Bilan 2028 AMS'!$E$42</f>
        <v>24.975177122150633</v>
      </c>
      <c r="CA4" s="208">
        <f>'Bilan 2030 AMS'!$E$42</f>
        <v>23.02743917294471</v>
      </c>
      <c r="CB4" s="208">
        <f>'Bilan 2033 AMS'!$E$42</f>
        <v>20.113861584085928</v>
      </c>
      <c r="CC4" s="208">
        <f>'Bilan 2035 AMS'!$E$42</f>
        <v>18.17147652484676</v>
      </c>
      <c r="CD4" s="208">
        <f>'Bilan 2038 AMS'!$E$42</f>
        <v>15.243520641254104</v>
      </c>
      <c r="CE4" s="208">
        <f>'Bilan 2040 AMS'!$E$42</f>
        <v>13.291550052192349</v>
      </c>
      <c r="CF4" s="208">
        <f>'Bilan 2045 AMS'!$E$42</f>
        <v>8.4367731631653129</v>
      </c>
      <c r="CG4" s="208">
        <f>'Bilan 2050 AMS'!$E$42</f>
        <v>3.604739266804275</v>
      </c>
      <c r="CH4" s="206"/>
      <c r="CJ4" s="205" t="s">
        <v>450</v>
      </c>
      <c r="CK4" s="202">
        <f t="shared" ref="CK4:CV7" si="17">IF(AT4&gt;0,DA4/AT4,0)</f>
        <v>0</v>
      </c>
      <c r="CL4" s="202">
        <f t="shared" si="17"/>
        <v>0</v>
      </c>
      <c r="CM4" s="202">
        <f t="shared" si="17"/>
        <v>0</v>
      </c>
      <c r="CN4" s="202">
        <f t="shared" si="17"/>
        <v>0</v>
      </c>
      <c r="CO4" s="202">
        <f t="shared" si="17"/>
        <v>0</v>
      </c>
      <c r="CP4" s="202">
        <f t="shared" si="17"/>
        <v>0</v>
      </c>
      <c r="CQ4" s="202">
        <f t="shared" si="17"/>
        <v>0</v>
      </c>
      <c r="CR4" s="202">
        <f t="shared" si="17"/>
        <v>0</v>
      </c>
      <c r="CS4" s="202">
        <f t="shared" si="17"/>
        <v>0</v>
      </c>
      <c r="CT4" s="202">
        <f t="shared" si="17"/>
        <v>0</v>
      </c>
      <c r="CU4" s="202">
        <f t="shared" si="17"/>
        <v>0</v>
      </c>
      <c r="CV4" s="202">
        <f t="shared" si="17"/>
        <v>0</v>
      </c>
      <c r="CW4" s="206"/>
      <c r="CX4" s="193">
        <f>2201</f>
        <v>2201</v>
      </c>
      <c r="CY4" s="205" t="s">
        <v>450</v>
      </c>
      <c r="CZ4" s="213" t="s">
        <v>267</v>
      </c>
      <c r="DA4" s="202">
        <v>0</v>
      </c>
      <c r="DB4" s="202">
        <f>DA4</f>
        <v>0</v>
      </c>
      <c r="DC4" s="202">
        <f t="shared" ref="DC4:DL4" si="18">DB4</f>
        <v>0</v>
      </c>
      <c r="DD4" s="202">
        <f t="shared" si="18"/>
        <v>0</v>
      </c>
      <c r="DE4" s="202">
        <f t="shared" si="18"/>
        <v>0</v>
      </c>
      <c r="DF4" s="202">
        <f t="shared" si="18"/>
        <v>0</v>
      </c>
      <c r="DG4" s="202">
        <f t="shared" si="18"/>
        <v>0</v>
      </c>
      <c r="DH4" s="202">
        <f t="shared" si="18"/>
        <v>0</v>
      </c>
      <c r="DI4" s="202">
        <f t="shared" si="18"/>
        <v>0</v>
      </c>
      <c r="DJ4" s="202">
        <f t="shared" si="18"/>
        <v>0</v>
      </c>
      <c r="DK4" s="202">
        <f t="shared" si="18"/>
        <v>0</v>
      </c>
      <c r="DL4" s="202">
        <f t="shared" si="18"/>
        <v>0</v>
      </c>
    </row>
    <row r="5" spans="1:116" ht="15" x14ac:dyDescent="0.25">
      <c r="A5" s="203" t="s">
        <v>268</v>
      </c>
      <c r="B5" s="205">
        <f>'Bilan 2015'!$C$41</f>
        <v>3.1204748448391761</v>
      </c>
      <c r="C5" s="205">
        <f>'Bilan 2020'!$C$41</f>
        <v>33.731429517545166</v>
      </c>
      <c r="D5" s="205">
        <f>'Bilan 2023 réel'!$C$41</f>
        <v>20.647434330821</v>
      </c>
      <c r="E5" s="205">
        <f>'Bilan 2025 AMS'!$C$41</f>
        <v>59.56261164059822</v>
      </c>
      <c r="F5" s="205">
        <f>'Bilan 2028 AMS'!$C$41</f>
        <v>71.596019323752813</v>
      </c>
      <c r="G5" s="205">
        <f>'Bilan 2030 AMS'!$C$41</f>
        <v>79.618291112522542</v>
      </c>
      <c r="H5" s="205">
        <f>'Bilan 2033 AMS'!$C$41</f>
        <v>86.069980337067989</v>
      </c>
      <c r="I5" s="205">
        <f>'Bilan 2035 AMS'!$C$41</f>
        <v>90.371106486764958</v>
      </c>
      <c r="J5" s="205">
        <f>'Bilan 2038 AMS'!$C$41</f>
        <v>97.739781846260627</v>
      </c>
      <c r="K5" s="205">
        <f>'Bilan 2040 AMS'!$C$41</f>
        <v>102.65223208592445</v>
      </c>
      <c r="L5" s="205">
        <f>'Bilan 2045 AMS'!$C$41</f>
        <v>127.55604274276385</v>
      </c>
      <c r="M5" s="205">
        <f>'Bilan 2050 AMS'!$C$41</f>
        <v>154.5626155017799</v>
      </c>
      <c r="N5" s="574"/>
      <c r="O5" s="574"/>
      <c r="P5" s="574"/>
      <c r="Q5" s="570" t="s">
        <v>268</v>
      </c>
      <c r="R5" s="205">
        <f t="shared" si="15"/>
        <v>3.1204748448391761</v>
      </c>
      <c r="S5" s="205">
        <f t="shared" si="15"/>
        <v>33.731429517545166</v>
      </c>
      <c r="T5" s="205">
        <f t="shared" si="15"/>
        <v>20.647434330821</v>
      </c>
      <c r="U5" s="205">
        <f t="shared" si="15"/>
        <v>59.56261164059822</v>
      </c>
      <c r="V5" s="205">
        <f t="shared" si="15"/>
        <v>71.596019323752813</v>
      </c>
      <c r="W5" s="205">
        <f t="shared" si="15"/>
        <v>79.618291112522542</v>
      </c>
      <c r="X5" s="205">
        <f t="shared" si="15"/>
        <v>86.069980337067989</v>
      </c>
      <c r="Y5" s="205">
        <f t="shared" si="15"/>
        <v>90.371106486764958</v>
      </c>
      <c r="Z5" s="205">
        <f t="shared" si="15"/>
        <v>97.739781846260627</v>
      </c>
      <c r="AA5" s="205">
        <f t="shared" si="15"/>
        <v>102.65223208592445</v>
      </c>
      <c r="AB5" s="205">
        <f t="shared" si="15"/>
        <v>127.55604274276385</v>
      </c>
      <c r="AC5" s="205">
        <f t="shared" si="15"/>
        <v>154.5626155017799</v>
      </c>
      <c r="AD5" s="193">
        <f>AD4+1</f>
        <v>2202</v>
      </c>
      <c r="AE5" s="205" t="s">
        <v>268</v>
      </c>
      <c r="AF5" s="205">
        <f>'Bilan 2015'!$G$41-'Bilan 2015'!$E$56-'Bilan 2015'!$L$41-AF7</f>
        <v>2.9416967808253753</v>
      </c>
      <c r="AG5" s="205">
        <f>'Bilan 2020'!$G$41-'Bilan 2020'!$E$56-'Bilan 2020'!$L$41-AG7</f>
        <v>30.751352031352695</v>
      </c>
      <c r="AH5" s="205">
        <f>'Bilan 2023 réel'!$G$41-'Bilan 2023 réel'!$E$56-'Bilan 2023 réel'!$L$41-AH7</f>
        <v>37.852872217891196</v>
      </c>
      <c r="AI5" s="205">
        <f>'Bilan 2025 AMS'!$G$41-'Bilan 2025 AMS'!$E$56-'Bilan 2025 AMS'!$L$41-AI7</f>
        <v>36.659680118734968</v>
      </c>
      <c r="AJ5" s="205">
        <f>'Bilan 2028 AMS'!$G$41-'Bilan 2028 AMS'!$E$56-'Bilan 2028 AMS'!$L$41-AJ7</f>
        <v>36.866001172977995</v>
      </c>
      <c r="AK5" s="205">
        <f>'Bilan 2030 AMS'!$G$41-'Bilan 2030 AMS'!$E$56-'Bilan 2030 AMS'!$L$41-AK7</f>
        <v>37.003548542473339</v>
      </c>
      <c r="AL5" s="205">
        <f>'Bilan 2033 AMS'!$G$41-'Bilan 2033 AMS'!$E$56-'Bilan 2033 AMS'!$L$41-AL7</f>
        <v>39.412078743974853</v>
      </c>
      <c r="AM5" s="205">
        <f>'Bilan 2035 AMS'!$G$41-'Bilan 2035 AMS'!$E$56-'Bilan 2035 AMS'!$L$41-AM7</f>
        <v>41.017765544975838</v>
      </c>
      <c r="AN5" s="205">
        <f>'Bilan 2038 AMS'!$G$41-'Bilan 2038 AMS'!$E$56-'Bilan 2038 AMS'!$L$41-AN7</f>
        <v>38.583450784080277</v>
      </c>
      <c r="AO5" s="205">
        <f>'Bilan 2040 AMS'!$G$41-'Bilan 2040 AMS'!$E$56-'Bilan 2040 AMS'!$L$41-AO7</f>
        <v>36.960574276816558</v>
      </c>
      <c r="AP5" s="205">
        <f>'Bilan 2045 AMS'!$G$41-'Bilan 2045 AMS'!$E$56-'Bilan 2045 AMS'!$L$41-AP7</f>
        <v>31.027871012193476</v>
      </c>
      <c r="AQ5" s="205">
        <f>'Bilan 2050 AMS'!$G$41-'Bilan 2050 AMS'!$E$56-'Bilan 2050 AMS'!$L$41-AQ7</f>
        <v>21.896930013474254</v>
      </c>
      <c r="AR5" s="206"/>
      <c r="AS5" s="205" t="s">
        <v>268</v>
      </c>
      <c r="AT5" s="205">
        <f>'Bilan 2015'!$G$41-'Bilan 2015'!$E$56-'Bilan 2015'!$L$41+'Bilan 2015'!$E$56-AT7</f>
        <v>2.9416967808253753</v>
      </c>
      <c r="AU5" s="205">
        <f>'Bilan 2020'!$G$41-'Bilan 2020'!$E$56-'Bilan 2020'!$L$41+'Bilan 2020'!$E$56-AU7</f>
        <v>30.751352031352695</v>
      </c>
      <c r="AV5" s="205">
        <f>'Bilan 2023 réel'!$G$41-'Bilan 2023 réel'!$E$56-'Bilan 2023 réel'!$L$41+'Bilan 2023 réel'!$E$56-AV7</f>
        <v>37.852872217891196</v>
      </c>
      <c r="AW5" s="205">
        <f>'Bilan 2025 AMS'!$G$41-'Bilan 2025 AMS'!$E$56-'Bilan 2025 AMS'!$L$41+'Bilan 2025 AMS'!$E$56-AW7</f>
        <v>36.748253985469546</v>
      </c>
      <c r="AX5" s="205">
        <f>'Bilan 2028 AMS'!$G$41-'Bilan 2028 AMS'!$E$56-'Bilan 2028 AMS'!$L$41+'Bilan 2028 AMS'!$E$56-AX7</f>
        <v>37.02609753989541</v>
      </c>
      <c r="AY5" s="205">
        <f>'Bilan 2030 AMS'!$G$41-'Bilan 2030 AMS'!$E$56-'Bilan 2030 AMS'!$L$41+'Bilan 2030 AMS'!$E$56-AY7</f>
        <v>37.213646651881248</v>
      </c>
      <c r="AZ5" s="205">
        <f>'Bilan 2033 AMS'!$G$41-'Bilan 2033 AMS'!$E$56-'Bilan 2033 AMS'!$L$41+'Bilan 2033 AMS'!$E$56-AZ7</f>
        <v>41.552144672557588</v>
      </c>
      <c r="BA5" s="205">
        <f>'Bilan 2035 AMS'!$G$41-'Bilan 2035 AMS'!$E$56-'Bilan 2035 AMS'!$L$41+'Bilan 2035 AMS'!$E$56-BA7</f>
        <v>44.396159278969556</v>
      </c>
      <c r="BB5" s="205">
        <f>'Bilan 2038 AMS'!$G$41-'Bilan 2038 AMS'!$E$56-'Bilan 2038 AMS'!$L$41+'Bilan 2038 AMS'!$E$56-BB7</f>
        <v>43.76052665150398</v>
      </c>
      <c r="BC5" s="205">
        <f>'Bilan 2040 AMS'!$G$41-'Bilan 2040 AMS'!$E$56-'Bilan 2040 AMS'!$L$41+'Bilan 2040 AMS'!$E$56-BC7</f>
        <v>43.290955237011374</v>
      </c>
      <c r="BD5" s="205">
        <f>'Bilan 2045 AMS'!$G$41-'Bilan 2045 AMS'!$E$56-'Bilan 2045 AMS'!$L$41+'Bilan 2045 AMS'!$E$56-BD7</f>
        <v>39.78144096776154</v>
      </c>
      <c r="BE5" s="205">
        <f>'Bilan 2050 AMS'!$G$41-'Bilan 2050 AMS'!$E$56-'Bilan 2050 AMS'!$L$41+'Bilan 2050 AMS'!$E$56-BE7</f>
        <v>32.836405208358862</v>
      </c>
      <c r="BF5" s="216"/>
      <c r="BG5" s="205" t="s">
        <v>268</v>
      </c>
      <c r="BH5" s="202">
        <f t="shared" ref="BH5:BH7" si="19">IF(AT5&gt;0,BV5/AT5,0)</f>
        <v>0</v>
      </c>
      <c r="BI5" s="202">
        <f t="shared" si="16"/>
        <v>0</v>
      </c>
      <c r="BJ5" s="202">
        <f t="shared" si="16"/>
        <v>0</v>
      </c>
      <c r="BK5" s="202">
        <f t="shared" si="16"/>
        <v>0.62204664796712739</v>
      </c>
      <c r="BL5" s="202">
        <f t="shared" si="16"/>
        <v>0.77716025062262906</v>
      </c>
      <c r="BM5" s="202">
        <f t="shared" si="16"/>
        <v>0.8773231695936321</v>
      </c>
      <c r="BN5" s="202">
        <f t="shared" si="16"/>
        <v>0.83688305227328663</v>
      </c>
      <c r="BO5" s="202">
        <f t="shared" si="16"/>
        <v>0.81797597084635854</v>
      </c>
      <c r="BP5" s="202">
        <f t="shared" si="16"/>
        <v>0.87012871569336092</v>
      </c>
      <c r="BQ5" s="202">
        <f t="shared" si="16"/>
        <v>0.90954266653393612</v>
      </c>
      <c r="BR5" s="202">
        <f t="shared" si="16"/>
        <v>1.1540460723017925</v>
      </c>
      <c r="BS5" s="202">
        <f t="shared" si="16"/>
        <v>1.6231252459781176</v>
      </c>
      <c r="BU5" s="205" t="s">
        <v>268</v>
      </c>
      <c r="BV5" s="214">
        <f>'Bilan 2015'!$E$41*'Bilan 2015'!$X$41/SUM('Bilan 2015'!$T$41:$X$41)</f>
        <v>0</v>
      </c>
      <c r="BW5" s="214">
        <f>'Bilan 2020'!$E$41*'Bilan 2020'!$X$41/SUM('Bilan 2020'!$T$41:$X$41)</f>
        <v>0</v>
      </c>
      <c r="BX5" s="214">
        <f>'Bilan 2023 réel'!$E$41*'Bilan 2023 réel'!$X$41/SUM('Bilan 2023 réel'!$T$41:$X$41)</f>
        <v>0</v>
      </c>
      <c r="BY5" s="214">
        <f>'Bilan 2025 AMS'!$E$41*'Bilan 2025 AMS'!$X$41/SUM('Bilan 2025 AMS'!$T$41:$X$41)</f>
        <v>22.859128210305961</v>
      </c>
      <c r="BZ5" s="214">
        <f>'Bilan 2028 AMS'!$E$41*'Bilan 2028 AMS'!$X$41/SUM('Bilan 2028 AMS'!$T$41:$X$41)</f>
        <v>28.775211243683028</v>
      </c>
      <c r="CA5" s="214">
        <f>'Bilan 2030 AMS'!$E$41*'Bilan 2030 AMS'!$X$41/SUM('Bilan 2030 AMS'!$T$41:$X$41)</f>
        <v>32.648394432765912</v>
      </c>
      <c r="CB5" s="214">
        <f>'Bilan 2033 AMS'!$E$41*'Bilan 2033 AMS'!$X$41/SUM('Bilan 2033 AMS'!$T$41:$X$41)</f>
        <v>34.774285662071179</v>
      </c>
      <c r="CC5" s="214">
        <f>'Bilan 2035 AMS'!$E$41*'Bilan 2035 AMS'!$X$41/SUM('Bilan 2035 AMS'!$T$41:$X$41)</f>
        <v>36.314991488064692</v>
      </c>
      <c r="CD5" s="214">
        <f>'Bilan 2038 AMS'!$E$41*'Bilan 2038 AMS'!$X$41/SUM('Bilan 2038 AMS'!$T$41:$X$41)</f>
        <v>38.077290853338248</v>
      </c>
      <c r="CE5" s="214">
        <f>'Bilan 2040 AMS'!$E$41*'Bilan 2040 AMS'!$X$41/SUM('Bilan 2040 AMS'!$T$41:$X$41)</f>
        <v>39.374970863072591</v>
      </c>
      <c r="CF5" s="214">
        <f>'Bilan 2045 AMS'!$E$41*'Bilan 2045 AMS'!$X$41/SUM('Bilan 2045 AMS'!$T$41:$X$41)</f>
        <v>45.909615699350823</v>
      </c>
      <c r="CG5" s="214">
        <f>'Bilan 2050 AMS'!$E$41*'Bilan 2050 AMS'!$X$41/SUM('Bilan 2050 AMS'!$T$41:$X$41)</f>
        <v>53.297598280854622</v>
      </c>
      <c r="CH5" s="206"/>
      <c r="CJ5" s="205" t="s">
        <v>268</v>
      </c>
      <c r="CK5" s="202">
        <f t="shared" si="17"/>
        <v>0</v>
      </c>
      <c r="CL5" s="202">
        <f t="shared" si="17"/>
        <v>0</v>
      </c>
      <c r="CM5" s="202">
        <f t="shared" si="17"/>
        <v>0</v>
      </c>
      <c r="CN5" s="202">
        <f t="shared" si="17"/>
        <v>0</v>
      </c>
      <c r="CO5" s="202">
        <f t="shared" si="17"/>
        <v>0</v>
      </c>
      <c r="CP5" s="202">
        <f t="shared" si="17"/>
        <v>0</v>
      </c>
      <c r="CQ5" s="202">
        <f t="shared" si="17"/>
        <v>0</v>
      </c>
      <c r="CR5" s="202">
        <f t="shared" si="17"/>
        <v>0</v>
      </c>
      <c r="CS5" s="202">
        <f t="shared" si="17"/>
        <v>0</v>
      </c>
      <c r="CT5" s="202">
        <f t="shared" si="17"/>
        <v>0</v>
      </c>
      <c r="CU5" s="202">
        <f t="shared" si="17"/>
        <v>0</v>
      </c>
      <c r="CV5" s="202">
        <f t="shared" si="17"/>
        <v>0</v>
      </c>
      <c r="CW5" s="206"/>
      <c r="CX5" s="193">
        <f>CX4+1</f>
        <v>2202</v>
      </c>
      <c r="CY5" s="205" t="s">
        <v>268</v>
      </c>
      <c r="CZ5" s="207" t="s">
        <v>269</v>
      </c>
      <c r="DA5" s="202">
        <v>0</v>
      </c>
      <c r="DB5" s="202">
        <f>DA5</f>
        <v>0</v>
      </c>
      <c r="DC5" s="202">
        <f t="shared" ref="DC5:DL5" si="20">DB5</f>
        <v>0</v>
      </c>
      <c r="DD5" s="202">
        <f t="shared" si="20"/>
        <v>0</v>
      </c>
      <c r="DE5" s="202">
        <f t="shared" si="20"/>
        <v>0</v>
      </c>
      <c r="DF5" s="202">
        <f t="shared" si="20"/>
        <v>0</v>
      </c>
      <c r="DG5" s="202">
        <f t="shared" si="20"/>
        <v>0</v>
      </c>
      <c r="DH5" s="202">
        <f t="shared" si="20"/>
        <v>0</v>
      </c>
      <c r="DI5" s="202">
        <f t="shared" si="20"/>
        <v>0</v>
      </c>
      <c r="DJ5" s="202">
        <f t="shared" si="20"/>
        <v>0</v>
      </c>
      <c r="DK5" s="202">
        <f t="shared" si="20"/>
        <v>0</v>
      </c>
      <c r="DL5" s="202">
        <f t="shared" si="20"/>
        <v>0</v>
      </c>
    </row>
    <row r="6" spans="1:116" ht="15" x14ac:dyDescent="0.25">
      <c r="A6" s="209" t="s">
        <v>270</v>
      </c>
      <c r="B6" s="210"/>
      <c r="C6" s="210"/>
      <c r="D6" s="576"/>
      <c r="E6" s="576"/>
      <c r="F6" s="576"/>
      <c r="G6" s="576"/>
      <c r="H6" s="576"/>
      <c r="I6" s="576"/>
      <c r="J6" s="576"/>
      <c r="K6" s="576"/>
      <c r="L6" s="576"/>
      <c r="M6" s="576"/>
      <c r="N6" s="573"/>
      <c r="O6" s="573"/>
      <c r="P6" s="573"/>
      <c r="Q6" s="570"/>
      <c r="R6" s="205"/>
      <c r="S6" s="205"/>
      <c r="T6" s="205"/>
      <c r="U6" s="205"/>
      <c r="V6" s="205"/>
      <c r="W6" s="205"/>
      <c r="X6" s="205"/>
      <c r="Y6" s="205"/>
      <c r="Z6" s="205"/>
      <c r="AA6" s="205"/>
      <c r="AB6" s="205"/>
      <c r="AC6" s="205"/>
      <c r="AE6" s="205" t="s">
        <v>521</v>
      </c>
      <c r="AF6" s="205">
        <f>SUM('Bilan 2015'!$T$43:$W$43)</f>
        <v>15.418370516172601</v>
      </c>
      <c r="AG6" s="205">
        <f>SUM('Bilan 2020'!$T$43:$W$43)</f>
        <v>148.71414756648849</v>
      </c>
      <c r="AH6" s="205">
        <f>SUM('Bilan 2023 réel'!$T$43:$W$43)</f>
        <v>124.015306581998</v>
      </c>
      <c r="AI6" s="205">
        <f>SUM('Bilan 2025 AMS'!$T$43:$W$43)</f>
        <v>107.99371178814256</v>
      </c>
      <c r="AJ6" s="205">
        <f>SUM('Bilan 2028 AMS'!$T$43:$W$43)</f>
        <v>75.697172981548761</v>
      </c>
      <c r="AK6" s="205">
        <f>SUM('Bilan 2030 AMS'!$T$43:$W$43)</f>
        <v>56.837645352091783</v>
      </c>
      <c r="AL6" s="205">
        <f>SUM('Bilan 2033 AMS'!$T$43:$W$43)</f>
        <v>41.437793155516786</v>
      </c>
      <c r="AM6" s="205">
        <f>SUM('Bilan 2035 AMS'!$T$43:$W$43)</f>
        <v>32.523277499688533</v>
      </c>
      <c r="AN6" s="205">
        <f>SUM('Bilan 2038 AMS'!$T$43:$W$43)</f>
        <v>23.612048280925297</v>
      </c>
      <c r="AO6" s="205">
        <f>SUM('Bilan 2040 AMS'!$T$43:$W$43)</f>
        <v>18.182590937408918</v>
      </c>
      <c r="AP6" s="205">
        <f>SUM('Bilan 2045 AMS'!$T$43:$W$43)</f>
        <v>6.2220234851575658</v>
      </c>
      <c r="AQ6" s="205">
        <f>SUM('Bilan 2050 AMS'!$T$43:$W$43)</f>
        <v>7.2940199434995523E-2</v>
      </c>
      <c r="AR6" s="206"/>
      <c r="AS6" s="205" t="s">
        <v>521</v>
      </c>
      <c r="AT6" s="205">
        <f>SUM('Bilan 2015'!$T$43:$W$43)</f>
        <v>15.418370516172601</v>
      </c>
      <c r="AU6" s="205">
        <f>SUM('Bilan 2020'!$T$43:$W$43)</f>
        <v>148.71414756648849</v>
      </c>
      <c r="AV6" s="205">
        <f>SUM('Bilan 2023 réel'!$T$43:$W$43)</f>
        <v>124.015306581998</v>
      </c>
      <c r="AW6" s="205">
        <f>SUM('Bilan 2025 AMS'!$T$43:$W$43)</f>
        <v>107.99371178814256</v>
      </c>
      <c r="AX6" s="205">
        <f>SUM('Bilan 2028 AMS'!$T$43:$W$43)</f>
        <v>75.697172981548761</v>
      </c>
      <c r="AY6" s="205">
        <f>SUM('Bilan 2030 AMS'!$T$43:$W$43)</f>
        <v>56.837645352091783</v>
      </c>
      <c r="AZ6" s="205">
        <f>SUM('Bilan 2033 AMS'!$T$43:$W$43)</f>
        <v>41.437793155516786</v>
      </c>
      <c r="BA6" s="205">
        <f>SUM('Bilan 2035 AMS'!$T$43:$W$43)</f>
        <v>32.523277499688533</v>
      </c>
      <c r="BB6" s="205">
        <f>SUM('Bilan 2038 AMS'!$T$43:$W$43)</f>
        <v>23.612048280925297</v>
      </c>
      <c r="BC6" s="205">
        <f>SUM('Bilan 2040 AMS'!$T$43:$W$43)</f>
        <v>18.182590937408918</v>
      </c>
      <c r="BD6" s="205">
        <f>SUM('Bilan 2045 AMS'!$T$43:$W$43)</f>
        <v>6.2220234851575658</v>
      </c>
      <c r="BE6" s="205">
        <f>SUM('Bilan 2050 AMS'!$T$43:$W$43)</f>
        <v>7.2940199434995523E-2</v>
      </c>
      <c r="BF6" s="216"/>
      <c r="BG6" s="205" t="s">
        <v>451</v>
      </c>
      <c r="BH6" s="202">
        <f t="shared" si="19"/>
        <v>1.02749383854882E-3</v>
      </c>
      <c r="BI6" s="202">
        <f t="shared" si="16"/>
        <v>1.6652657998659563E-4</v>
      </c>
      <c r="BJ6" s="202">
        <f t="shared" si="16"/>
        <v>1.9222205340368606E-3</v>
      </c>
      <c r="BK6" s="202">
        <f t="shared" si="16"/>
        <v>1.4435137136220347E-3</v>
      </c>
      <c r="BL6" s="202">
        <f t="shared" si="16"/>
        <v>7.6921354320879374E-4</v>
      </c>
      <c r="BM6" s="202">
        <f t="shared" si="16"/>
        <v>0</v>
      </c>
      <c r="BN6" s="202">
        <f t="shared" si="16"/>
        <v>0</v>
      </c>
      <c r="BO6" s="202">
        <f t="shared" si="16"/>
        <v>0</v>
      </c>
      <c r="BP6" s="202">
        <f t="shared" si="16"/>
        <v>0</v>
      </c>
      <c r="BQ6" s="202">
        <f t="shared" si="16"/>
        <v>0</v>
      </c>
      <c r="BR6" s="202">
        <f t="shared" si="16"/>
        <v>0</v>
      </c>
      <c r="BS6" s="202">
        <f t="shared" si="16"/>
        <v>0</v>
      </c>
      <c r="BU6" s="205" t="s">
        <v>451</v>
      </c>
      <c r="BV6" s="567">
        <f>'Bilan 2015'!$E$43+'Bilan 2015'!$E$33</f>
        <v>1.5842280705830138E-2</v>
      </c>
      <c r="BW6" s="567">
        <f>'Bilan 2020'!$E$43+'Bilan 2020'!$E$33</f>
        <v>2.4764858389869231E-2</v>
      </c>
      <c r="BX6" s="567">
        <f>'Bilan 2023 réel'!$E$43+'Bilan 2023 réel'!$E$33</f>
        <v>0.23838476884679319</v>
      </c>
      <c r="BY6" s="567">
        <f>'Bilan 2025 AMS'!$E$43+'Bilan 2025 AMS'!$E$33</f>
        <v>0.15589040395112938</v>
      </c>
      <c r="BZ6" s="567">
        <f>'Bilan 2028 AMS'!$E$43+'Bilan 2028 AMS'!$E$33</f>
        <v>5.8227290640026089E-2</v>
      </c>
      <c r="CA6" s="567">
        <f>'Bilan 2030 AMS'!$E$43+'Bilan 2030 AMS'!$E$33</f>
        <v>0</v>
      </c>
      <c r="CB6" s="567">
        <f>'Bilan 2033 AMS'!$E$43+'Bilan 2033 AMS'!$E$33</f>
        <v>0</v>
      </c>
      <c r="CC6" s="567">
        <f>'Bilan 2035 AMS'!$E$43+'Bilan 2035 AMS'!$E$33</f>
        <v>0</v>
      </c>
      <c r="CD6" s="567">
        <f>'Bilan 2038 AMS'!$E$43+'Bilan 2038 AMS'!$E$33</f>
        <v>0</v>
      </c>
      <c r="CE6" s="567">
        <f>'Bilan 2040 AMS'!$E$43+'Bilan 2040 AMS'!$E$33</f>
        <v>0</v>
      </c>
      <c r="CF6" s="567">
        <f>'Bilan 2045 AMS'!$E$43+'Bilan 2045 AMS'!$E$33</f>
        <v>0</v>
      </c>
      <c r="CG6" s="567">
        <f>'Bilan 2050 AMS'!$E$43+'Bilan 2050 AMS'!$E$33</f>
        <v>0</v>
      </c>
      <c r="CH6" s="206"/>
      <c r="CJ6" s="205" t="s">
        <v>451</v>
      </c>
      <c r="CK6" s="202">
        <f t="shared" si="17"/>
        <v>7.7691859523773457E-4</v>
      </c>
      <c r="CL6" s="202">
        <f t="shared" si="17"/>
        <v>1.0543234081794697E-4</v>
      </c>
      <c r="CM6" s="202">
        <f t="shared" si="17"/>
        <v>1.4762614310235289E-3</v>
      </c>
      <c r="CN6" s="202">
        <f t="shared" si="17"/>
        <v>8.2445007231349808E-4</v>
      </c>
      <c r="CO6" s="202">
        <f t="shared" si="17"/>
        <v>4.7830334173086422E-4</v>
      </c>
      <c r="CP6" s="202">
        <f t="shared" si="17"/>
        <v>0</v>
      </c>
      <c r="CQ6" s="202">
        <f t="shared" si="17"/>
        <v>0</v>
      </c>
      <c r="CR6" s="202">
        <f t="shared" si="17"/>
        <v>0</v>
      </c>
      <c r="CS6" s="202">
        <f t="shared" si="17"/>
        <v>0</v>
      </c>
      <c r="CT6" s="202">
        <f t="shared" si="17"/>
        <v>0</v>
      </c>
      <c r="CU6" s="202">
        <f t="shared" si="17"/>
        <v>0</v>
      </c>
      <c r="CV6" s="202">
        <f t="shared" si="17"/>
        <v>0</v>
      </c>
      <c r="CW6" s="206"/>
      <c r="CY6" s="205" t="s">
        <v>451</v>
      </c>
      <c r="CZ6" s="207"/>
      <c r="DA6" s="202">
        <f>'Bilan 2015'!$K$30*'Bilan 2015'!$G$33/'Bilan 2015'!$H$30</f>
        <v>1.1978818762279722E-2</v>
      </c>
      <c r="DB6" s="202">
        <f>'Bilan 2020'!$K$30*'Bilan 2020'!$G$33/'Bilan 2020'!$H$30</f>
        <v>1.5679280690680475E-2</v>
      </c>
      <c r="DC6" s="202">
        <f>'Bilan 2023 réel'!$K$30*'Bilan 2023 réel'!$G$33/'Bilan 2023 réel'!$H$30</f>
        <v>0.18307901396356205</v>
      </c>
      <c r="DD6" s="202">
        <f>'Bilan 2025 AMS'!$K$30*'Bilan 2025 AMS'!$G$33/'Bilan 2025 AMS'!$H$30</f>
        <v>8.90354234931372E-2</v>
      </c>
      <c r="DE6" s="202">
        <f>'Bilan 2028 AMS'!$K$30*'Bilan 2028 AMS'!$G$33/'Bilan 2028 AMS'!$H$30</f>
        <v>3.6206210796654058E-2</v>
      </c>
      <c r="DF6" s="202">
        <f>'Bilan 2030 AMS'!$K$30*'Bilan 2030 AMS'!$G$33/'Bilan 2030 AMS'!$H$30</f>
        <v>0</v>
      </c>
      <c r="DG6" s="202">
        <f>'Bilan 2033 AMS'!$K$30*'Bilan 2033 AMS'!$G$33/'Bilan 2033 AMS'!$H$30</f>
        <v>0</v>
      </c>
      <c r="DH6" s="202">
        <f>'Bilan 2035 AMS'!$K$30*'Bilan 2035 AMS'!$G$33/'Bilan 2035 AMS'!$H$30</f>
        <v>0</v>
      </c>
      <c r="DI6" s="202">
        <f>'Bilan 2038 AMS'!$K$30*'Bilan 2038 AMS'!$G$33/'Bilan 2038 AMS'!$H$30</f>
        <v>0</v>
      </c>
      <c r="DJ6" s="202">
        <f>'Bilan 2040 AMS'!$K$30*'Bilan 2040 AMS'!$G$33/'Bilan 2040 AMS'!$H$30</f>
        <v>0</v>
      </c>
      <c r="DK6" s="202">
        <f>'Bilan 2045 AMS'!$K$30*'Bilan 2045 AMS'!$G$33/'Bilan 2045 AMS'!$H$30</f>
        <v>0</v>
      </c>
      <c r="DL6" s="202">
        <f>'Bilan 2050 AMS'!$K$30*'Bilan 2050 AMS'!$G$33/'Bilan 2050 AMS'!$H$30</f>
        <v>0</v>
      </c>
    </row>
    <row r="7" spans="1:116" ht="15" x14ac:dyDescent="0.25">
      <c r="A7" s="211" t="s">
        <v>272</v>
      </c>
      <c r="B7" s="212"/>
      <c r="C7" s="212"/>
      <c r="D7" s="577"/>
      <c r="E7" s="577"/>
      <c r="F7" s="577"/>
      <c r="G7" s="577"/>
      <c r="H7" s="577"/>
      <c r="I7" s="577"/>
      <c r="J7" s="577"/>
      <c r="K7" s="577"/>
      <c r="L7" s="577"/>
      <c r="M7" s="577"/>
      <c r="N7" s="573"/>
      <c r="O7" s="573"/>
      <c r="P7" s="573"/>
      <c r="Q7" s="569" t="s">
        <v>104</v>
      </c>
      <c r="R7" s="201">
        <f>SUM(R8:R15)</f>
        <v>132.33103915797597</v>
      </c>
      <c r="S7" s="201">
        <f>SUM(S8:S15)</f>
        <v>1284.6691143400469</v>
      </c>
      <c r="T7" s="201">
        <f>SUM(T8:T15)</f>
        <v>1256.7447534552232</v>
      </c>
      <c r="U7" s="201">
        <f t="shared" ref="U7:AC7" si="21">SUM(U8:U15)</f>
        <v>1427.283719119142</v>
      </c>
      <c r="V7" s="201">
        <f t="shared" si="21"/>
        <v>1442.7101525966552</v>
      </c>
      <c r="W7" s="201">
        <f t="shared" si="21"/>
        <v>1436.7068525244338</v>
      </c>
      <c r="X7" s="201">
        <f t="shared" si="21"/>
        <v>1471.8396691066591</v>
      </c>
      <c r="Y7" s="201">
        <f t="shared" si="21"/>
        <v>1495.0110428060013</v>
      </c>
      <c r="Z7" s="201">
        <f t="shared" si="21"/>
        <v>1552.7969861214372</v>
      </c>
      <c r="AA7" s="201">
        <f t="shared" si="21"/>
        <v>1591.3401443786224</v>
      </c>
      <c r="AB7" s="201">
        <f t="shared" si="21"/>
        <v>1424.2935567551133</v>
      </c>
      <c r="AC7" s="201">
        <f t="shared" si="21"/>
        <v>1260.8728542516376</v>
      </c>
      <c r="AE7" s="205" t="s">
        <v>452</v>
      </c>
      <c r="AF7" s="205">
        <f>SUM('Bilan 2015'!$T$41:$W$41)</f>
        <v>0.17877806401380061</v>
      </c>
      <c r="AG7" s="205">
        <f>SUM('Bilan 2020'!$T$41:$W$41)</f>
        <v>2.9800774861924699</v>
      </c>
      <c r="AH7" s="205">
        <f>SUM('Bilan 2023 réel'!$T$41:$W$41)</f>
        <v>3.0003985861694464</v>
      </c>
      <c r="AI7" s="205">
        <f>SUM('Bilan 2025 AMS'!$T$41:$W$41)</f>
        <v>3.7252099506262146</v>
      </c>
      <c r="AJ7" s="205">
        <f>SUM('Bilan 2028 AMS'!$T$41:$W$41)</f>
        <v>4.5158311410394862</v>
      </c>
      <c r="AK7" s="205">
        <f>SUM('Bilan 2030 AMS'!$T$41:$W$41)</f>
        <v>4.9834409317480794</v>
      </c>
      <c r="AL7" s="205">
        <f>SUM('Bilan 2033 AMS'!$T$41:$W$41)</f>
        <v>5.9366519227552201</v>
      </c>
      <c r="AM7" s="205">
        <f>SUM('Bilan 2035 AMS'!$T$41:$W$41)</f>
        <v>6.4103392389083282</v>
      </c>
      <c r="AN7" s="205">
        <f>SUM('Bilan 2038 AMS'!$T$41:$W$41)</f>
        <v>7.3050516591515366</v>
      </c>
      <c r="AO7" s="205">
        <f>SUM('Bilan 2040 AMS'!$T$41:$W$41)</f>
        <v>7.6117397346107118</v>
      </c>
      <c r="AP7" s="205">
        <f>SUM('Bilan 2045 AMS'!$T$41:$W$41)</f>
        <v>8.2374051734864402</v>
      </c>
      <c r="AQ7" s="205">
        <f>SUM('Bilan 2050 AMS'!$T$41:$W$41)</f>
        <v>6.8596219696114309</v>
      </c>
      <c r="AR7" s="206"/>
      <c r="AS7" s="205" t="s">
        <v>452</v>
      </c>
      <c r="AT7" s="205">
        <f>SUM('Bilan 2015'!$T$41:$W$41)</f>
        <v>0.17877806401380061</v>
      </c>
      <c r="AU7" s="205">
        <f>SUM('Bilan 2020'!$T$41:$W$41)</f>
        <v>2.9800774861924699</v>
      </c>
      <c r="AV7" s="205">
        <f>SUM('Bilan 2023 réel'!$T$41:$W$41)</f>
        <v>3.0003985861694464</v>
      </c>
      <c r="AW7" s="205">
        <f>SUM('Bilan 2025 AMS'!$T$41:$W$41)</f>
        <v>3.7252099506262146</v>
      </c>
      <c r="AX7" s="205">
        <f>SUM('Bilan 2028 AMS'!$T$41:$W$41)</f>
        <v>4.5158311410394862</v>
      </c>
      <c r="AY7" s="205">
        <f>SUM('Bilan 2030 AMS'!$T$41:$W$41)</f>
        <v>4.9834409317480794</v>
      </c>
      <c r="AZ7" s="205">
        <f>SUM('Bilan 2033 AMS'!$T$41:$W$41)</f>
        <v>5.9366519227552201</v>
      </c>
      <c r="BA7" s="205">
        <f>SUM('Bilan 2035 AMS'!$T$41:$W$41)</f>
        <v>6.4103392389083282</v>
      </c>
      <c r="BB7" s="205">
        <f>SUM('Bilan 2038 AMS'!$T$41:$W$41)</f>
        <v>7.3050516591515366</v>
      </c>
      <c r="BC7" s="205">
        <f>SUM('Bilan 2040 AMS'!$T$41:$W$41)</f>
        <v>7.6117397346107118</v>
      </c>
      <c r="BD7" s="205">
        <f>SUM('Bilan 2045 AMS'!$T$41:$W$41)</f>
        <v>8.2374051734864402</v>
      </c>
      <c r="BE7" s="205">
        <f>SUM('Bilan 2050 AMS'!$T$41:$W$41)</f>
        <v>6.8596219696114309</v>
      </c>
      <c r="BF7" s="216"/>
      <c r="BG7" s="205" t="s">
        <v>452</v>
      </c>
      <c r="BH7" s="202">
        <f t="shared" si="19"/>
        <v>0</v>
      </c>
      <c r="BI7" s="202">
        <f t="shared" si="16"/>
        <v>0</v>
      </c>
      <c r="BJ7" s="202">
        <f t="shared" si="16"/>
        <v>0</v>
      </c>
      <c r="BK7" s="202">
        <f t="shared" si="16"/>
        <v>0.62354958189129917</v>
      </c>
      <c r="BL7" s="202">
        <f t="shared" si="16"/>
        <v>0.78053519036869823</v>
      </c>
      <c r="BM7" s="202">
        <f t="shared" si="16"/>
        <v>0.88230441994749498</v>
      </c>
      <c r="BN7" s="202">
        <f t="shared" si="16"/>
        <v>0.88232559079080131</v>
      </c>
      <c r="BO7" s="202">
        <f t="shared" si="16"/>
        <v>0.88534787318547181</v>
      </c>
      <c r="BP7" s="202">
        <f t="shared" si="16"/>
        <v>0.9868814240184326</v>
      </c>
      <c r="BQ7" s="202">
        <f t="shared" si="16"/>
        <v>1.065323567977418</v>
      </c>
      <c r="BR7" s="202">
        <f t="shared" si="16"/>
        <v>1.479625066164193</v>
      </c>
      <c r="BS7" s="202">
        <f t="shared" si="16"/>
        <v>2.4340214928785913</v>
      </c>
      <c r="BU7" s="205" t="s">
        <v>452</v>
      </c>
      <c r="BV7" s="193">
        <f>'Bilan 2015'!$E$41*SUM('Bilan 2015'!$T$41:$W$41)/SUM('Bilan 2015'!$T$41:$X$41)</f>
        <v>0</v>
      </c>
      <c r="BW7" s="193">
        <f>'Bilan 2020'!$E$41*SUM('Bilan 2020'!$T$41:$W$41)/SUM('Bilan 2020'!$T$41:$X$41)</f>
        <v>0</v>
      </c>
      <c r="BX7" s="193">
        <f>'Bilan 2023 réel'!$E$41*SUM('Bilan 2023 réel'!$T$41:$W$41)/SUM('Bilan 2023 réel'!$T$41:$X$41)</f>
        <v>0</v>
      </c>
      <c r="BY7" s="193">
        <f>'Bilan 2025 AMS'!$E$41*SUM('Bilan 2025 AMS'!$T$41:$W$41)/SUM('Bilan 2025 AMS'!$T$41:$X$41)</f>
        <v>2.3228531071702831</v>
      </c>
      <c r="BZ7" s="193">
        <f>'Bilan 2028 AMS'!$E$41*SUM('Bilan 2028 AMS'!$T$41:$W$41)/SUM('Bilan 2028 AMS'!$T$41:$X$41)</f>
        <v>3.5247651193441514</v>
      </c>
      <c r="CA7" s="193">
        <f>'Bilan 2030 AMS'!$E$41*SUM('Bilan 2030 AMS'!$T$41:$W$41)/SUM('Bilan 2030 AMS'!$T$41:$X$41)</f>
        <v>4.3969119606285929</v>
      </c>
      <c r="CB7" s="193">
        <f>'Bilan 2033 AMS'!$E$41*SUM('Bilan 2033 AMS'!$T$41:$W$41)/SUM('Bilan 2033 AMS'!$T$41:$X$41)</f>
        <v>5.2380599150643459</v>
      </c>
      <c r="CC7" s="193">
        <f>'Bilan 2035 AMS'!$E$41*SUM('Bilan 2035 AMS'!$T$41:$W$41)/SUM('Bilan 2035 AMS'!$T$41:$X$41)</f>
        <v>5.6753802115648648</v>
      </c>
      <c r="CD7" s="193">
        <f>'Bilan 2038 AMS'!$E$41*SUM('Bilan 2038 AMS'!$T$41:$W$41)/SUM('Bilan 2038 AMS'!$T$41:$X$41)</f>
        <v>7.2092197839116823</v>
      </c>
      <c r="CE7" s="193">
        <f>'Bilan 2040 AMS'!$E$41*SUM('Bilan 2040 AMS'!$T$41:$W$41)/SUM('Bilan 2040 AMS'!$T$41:$X$41)</f>
        <v>8.1089657325909688</v>
      </c>
      <c r="CF7" s="193">
        <f>'Bilan 2045 AMS'!$E$41*SUM('Bilan 2045 AMS'!$T$41:$W$41)/SUM('Bilan 2045 AMS'!$T$41:$X$41)</f>
        <v>12.188271174841139</v>
      </c>
      <c r="CG7" s="193">
        <f>'Bilan 2050 AMS'!$E$41*SUM('Bilan 2050 AMS'!$T$41:$W$41)/SUM('Bilan 2050 AMS'!$T$41:$X$41)</f>
        <v>16.696467307056398</v>
      </c>
      <c r="CH7" s="206"/>
      <c r="CJ7" s="205" t="s">
        <v>452</v>
      </c>
      <c r="CK7" s="202">
        <f t="shared" si="17"/>
        <v>0</v>
      </c>
      <c r="CL7" s="202">
        <f t="shared" si="17"/>
        <v>0</v>
      </c>
      <c r="CM7" s="202">
        <f t="shared" si="17"/>
        <v>0</v>
      </c>
      <c r="CN7" s="202">
        <f t="shared" si="17"/>
        <v>0</v>
      </c>
      <c r="CO7" s="202">
        <f t="shared" si="17"/>
        <v>0</v>
      </c>
      <c r="CP7" s="202">
        <f t="shared" si="17"/>
        <v>0</v>
      </c>
      <c r="CQ7" s="202">
        <f t="shared" si="17"/>
        <v>0</v>
      </c>
      <c r="CR7" s="202">
        <f t="shared" si="17"/>
        <v>0</v>
      </c>
      <c r="CS7" s="202">
        <f t="shared" si="17"/>
        <v>0</v>
      </c>
      <c r="CT7" s="202">
        <f t="shared" si="17"/>
        <v>0</v>
      </c>
      <c r="CU7" s="202">
        <f t="shared" si="17"/>
        <v>0</v>
      </c>
      <c r="CV7" s="202">
        <f t="shared" si="17"/>
        <v>0</v>
      </c>
      <c r="CW7" s="206"/>
      <c r="CY7" s="205" t="s">
        <v>452</v>
      </c>
      <c r="CZ7" s="207"/>
      <c r="DA7" s="202">
        <v>0</v>
      </c>
      <c r="DB7" s="202">
        <v>0</v>
      </c>
      <c r="DC7" s="202">
        <f t="shared" ref="DC7" si="22">DB7</f>
        <v>0</v>
      </c>
      <c r="DD7" s="202">
        <f t="shared" ref="DD7" si="23">DC7</f>
        <v>0</v>
      </c>
      <c r="DE7" s="202">
        <f t="shared" ref="DE7" si="24">DD7</f>
        <v>0</v>
      </c>
      <c r="DF7" s="202">
        <f t="shared" ref="DF7" si="25">DE7</f>
        <v>0</v>
      </c>
      <c r="DG7" s="202">
        <f t="shared" ref="DG7" si="26">DF7</f>
        <v>0</v>
      </c>
      <c r="DH7" s="202">
        <f t="shared" ref="DH7" si="27">DG7</f>
        <v>0</v>
      </c>
      <c r="DI7" s="202">
        <f t="shared" ref="DI7" si="28">DH7</f>
        <v>0</v>
      </c>
      <c r="DJ7" s="202">
        <f t="shared" ref="DJ7" si="29">DI7</f>
        <v>0</v>
      </c>
      <c r="DK7" s="202">
        <f t="shared" ref="DK7:DL7" si="30">DJ7</f>
        <v>0</v>
      </c>
      <c r="DL7" s="202">
        <f t="shared" si="30"/>
        <v>0</v>
      </c>
    </row>
    <row r="8" spans="1:116" ht="15" x14ac:dyDescent="0.25">
      <c r="A8" s="203" t="s">
        <v>181</v>
      </c>
      <c r="B8" s="204"/>
      <c r="C8" s="204"/>
      <c r="D8" s="204"/>
      <c r="E8" s="204"/>
      <c r="F8" s="204"/>
      <c r="G8" s="204"/>
      <c r="H8" s="204"/>
      <c r="I8" s="204"/>
      <c r="J8" s="204"/>
      <c r="K8" s="204"/>
      <c r="L8" s="204"/>
      <c r="M8" s="204"/>
      <c r="N8" s="575"/>
      <c r="O8" s="575"/>
      <c r="P8" s="575"/>
      <c r="Q8" s="570" t="s">
        <v>20</v>
      </c>
      <c r="R8" s="205">
        <f t="shared" ref="R8:AC8" si="31">B10</f>
        <v>114.07243284087656</v>
      </c>
      <c r="S8" s="205">
        <f t="shared" si="31"/>
        <v>1068.7282415646853</v>
      </c>
      <c r="T8" s="205">
        <f t="shared" si="31"/>
        <v>1024.855403030303</v>
      </c>
      <c r="U8" s="205">
        <f t="shared" si="31"/>
        <v>1180.1226108941369</v>
      </c>
      <c r="V8" s="205">
        <f t="shared" si="31"/>
        <v>1166.3894013920822</v>
      </c>
      <c r="W8" s="205">
        <f t="shared" si="31"/>
        <v>1155.6461815411585</v>
      </c>
      <c r="X8" s="205">
        <f t="shared" si="31"/>
        <v>1145.0604721206103</v>
      </c>
      <c r="Y8" s="205">
        <f t="shared" si="31"/>
        <v>1138.1146332772501</v>
      </c>
      <c r="Z8" s="205">
        <f t="shared" si="31"/>
        <v>1162.8799920102547</v>
      </c>
      <c r="AA8" s="205">
        <f t="shared" si="31"/>
        <v>1179.582675605732</v>
      </c>
      <c r="AB8" s="205">
        <f t="shared" si="31"/>
        <v>955.18075692158675</v>
      </c>
      <c r="AC8" s="205">
        <f t="shared" si="31"/>
        <v>724.62560098525535</v>
      </c>
      <c r="AD8" s="193">
        <v>2301</v>
      </c>
      <c r="AE8" s="201" t="s">
        <v>104</v>
      </c>
      <c r="AF8" s="201">
        <f t="shared" ref="AF8" si="32">SUM(AF9:AF17)</f>
        <v>38.082514273546245</v>
      </c>
      <c r="AG8" s="201">
        <f t="shared" ref="AG8:AQ8" si="33">SUM(AG9:AG17)</f>
        <v>404.64506759579865</v>
      </c>
      <c r="AH8" s="201">
        <f t="shared" si="33"/>
        <v>400.85872118069869</v>
      </c>
      <c r="AI8" s="201">
        <f t="shared" si="33"/>
        <v>427.39431924639598</v>
      </c>
      <c r="AJ8" s="201">
        <f t="shared" si="33"/>
        <v>459.18214152519721</v>
      </c>
      <c r="AK8" s="201">
        <f t="shared" si="33"/>
        <v>480.488985816237</v>
      </c>
      <c r="AL8" s="201">
        <f t="shared" si="33"/>
        <v>491.48794304488928</v>
      </c>
      <c r="AM8" s="201">
        <f t="shared" si="33"/>
        <v>503.66982243488877</v>
      </c>
      <c r="AN8" s="201">
        <f t="shared" si="33"/>
        <v>525.84117193437999</v>
      </c>
      <c r="AO8" s="201">
        <f t="shared" si="33"/>
        <v>539.26896145910587</v>
      </c>
      <c r="AP8" s="201">
        <f t="shared" ref="AP8" si="34">SUM(AP9:AP17)</f>
        <v>561.07958855635695</v>
      </c>
      <c r="AQ8" s="201">
        <f t="shared" si="33"/>
        <v>574.93705609305482</v>
      </c>
      <c r="AR8" s="206"/>
      <c r="AS8" s="201" t="s">
        <v>104</v>
      </c>
      <c r="AT8" s="201">
        <f t="shared" ref="AT8:BE8" si="35">SUM(AT9:AT17)</f>
        <v>38.082514273546245</v>
      </c>
      <c r="AU8" s="201">
        <f t="shared" si="35"/>
        <v>404.64506759579865</v>
      </c>
      <c r="AV8" s="201">
        <f t="shared" si="35"/>
        <v>400.85872118069869</v>
      </c>
      <c r="AW8" s="201">
        <f t="shared" si="35"/>
        <v>428.59431924639603</v>
      </c>
      <c r="AX8" s="201">
        <f t="shared" si="35"/>
        <v>459.3821415251972</v>
      </c>
      <c r="AY8" s="201">
        <f t="shared" si="35"/>
        <v>480.68898581623705</v>
      </c>
      <c r="AZ8" s="201">
        <f t="shared" si="35"/>
        <v>491.5879430448893</v>
      </c>
      <c r="BA8" s="201">
        <f t="shared" si="35"/>
        <v>503.76982243488879</v>
      </c>
      <c r="BB8" s="201">
        <f t="shared" si="35"/>
        <v>525.94117193438001</v>
      </c>
      <c r="BC8" s="201">
        <f t="shared" si="35"/>
        <v>540.76896145910598</v>
      </c>
      <c r="BD8" s="201">
        <f t="shared" ref="BD8" si="36">SUM(BD9:BD17)</f>
        <v>562.57958855635695</v>
      </c>
      <c r="BE8" s="201">
        <f t="shared" si="35"/>
        <v>576.43705609305482</v>
      </c>
      <c r="BF8" s="216"/>
      <c r="BG8" s="205" t="s">
        <v>20</v>
      </c>
      <c r="BH8" s="202">
        <f t="shared" ref="BH8:BS16" si="37">IF(AT9&gt;0,BV8/AT9,0)</f>
        <v>2.6091412878646998</v>
      </c>
      <c r="BI8" s="202">
        <f t="shared" si="37"/>
        <v>2.6076963834600786</v>
      </c>
      <c r="BJ8" s="202">
        <f t="shared" si="37"/>
        <v>2.6162289105561967</v>
      </c>
      <c r="BK8" s="202">
        <f t="shared" si="37"/>
        <v>2.9214525328025287</v>
      </c>
      <c r="BL8" s="202">
        <f t="shared" si="37"/>
        <v>2.8470828990333841</v>
      </c>
      <c r="BM8" s="202">
        <f t="shared" si="37"/>
        <v>2.7602544608247355</v>
      </c>
      <c r="BN8" s="202">
        <f t="shared" si="37"/>
        <v>2.9054117543753901</v>
      </c>
      <c r="BO8" s="202">
        <f t="shared" si="37"/>
        <v>2.9697830155877276</v>
      </c>
      <c r="BP8" s="202">
        <f t="shared" si="37"/>
        <v>3.0598719385063062</v>
      </c>
      <c r="BQ8" s="202">
        <f t="shared" si="37"/>
        <v>3.1239744068992792</v>
      </c>
      <c r="BR8" s="202">
        <f t="shared" si="37"/>
        <v>3.0343254051049597</v>
      </c>
      <c r="BS8" s="202">
        <f t="shared" si="37"/>
        <v>3.0393666116296187</v>
      </c>
      <c r="BU8" s="205" t="s">
        <v>20</v>
      </c>
      <c r="BV8" s="202">
        <f>'Bilan 2015'!$E10+'Bilan 2015'!$I$13*'Bilan 2015'!$G$10/'Bilan 2015'!$H$13</f>
        <v>77.10988016588378</v>
      </c>
      <c r="BW8" s="202">
        <f>'Bilan 2020'!$E10+'Bilan 2020'!$I$13*'Bilan 2020'!$G$10/'Bilan 2020'!$H$13</f>
        <v>732.38826540083176</v>
      </c>
      <c r="BX8" s="202">
        <f>'Bilan 2023 réel'!$E10+'Bilan 2023 réel'!$I$13*'Bilan 2023 réel'!$G$10/'Bilan 2023 réel'!$H$13</f>
        <v>700.09323898905859</v>
      </c>
      <c r="BY8" s="202">
        <f>'Bilan 2025 AMS'!$E10+'Bilan 2025 AMS'!$I$13*'Bilan 2025 AMS'!$G$10/'Bilan 2025 AMS'!$H$13</f>
        <v>817.27421541503202</v>
      </c>
      <c r="BZ8" s="202">
        <f>'Bilan 2028 AMS'!$E10+'Bilan 2028 AMS'!$I$13*'Bilan 2028 AMS'!$G$10/'Bilan 2028 AMS'!$H$13</f>
        <v>809.92818865281197</v>
      </c>
      <c r="CA8" s="202">
        <f>'Bilan 2030 AMS'!$E10+'Bilan 2030 AMS'!$I$13*'Bilan 2030 AMS'!$G$10/'Bilan 2030 AMS'!$H$13</f>
        <v>804.52330511882587</v>
      </c>
      <c r="CB8" s="202">
        <f>'Bilan 2033 AMS'!$E10+'Bilan 2033 AMS'!$I$13*'Bilan 2033 AMS'!$G$10/'Bilan 2033 AMS'!$H$13</f>
        <v>800.88749288165411</v>
      </c>
      <c r="CC8" s="202">
        <f>'Bilan 2035 AMS'!$E10+'Bilan 2035 AMS'!$I$13*'Bilan 2035 AMS'!$G$10/'Bilan 2035 AMS'!$H$13</f>
        <v>798.49935212757896</v>
      </c>
      <c r="CD8" s="202">
        <f>'Bilan 2038 AMS'!$E10+'Bilan 2038 AMS'!$I$13*'Bilan 2038 AMS'!$G$10/'Bilan 2038 AMS'!$H$13</f>
        <v>819.96407344164788</v>
      </c>
      <c r="CE8" s="202">
        <f>'Bilan 2040 AMS'!$E10+'Bilan 2040 AMS'!$I$13*'Bilan 2040 AMS'!$G$10/'Bilan 2040 AMS'!$H$13</f>
        <v>834.27311590137583</v>
      </c>
      <c r="CF8" s="202">
        <f>'Bilan 2045 AMS'!$E10+'Bilan 2045 AMS'!$I$13*'Bilan 2045 AMS'!$G$10/'Bilan 2045 AMS'!$H$13</f>
        <v>697.06244644043795</v>
      </c>
      <c r="CG8" s="202">
        <f>'Bilan 2050 AMS'!$E10+'Bilan 2050 AMS'!$I$13*'Bilan 2050 AMS'!$G$10/'Bilan 2050 AMS'!$H$13</f>
        <v>547.99154108788537</v>
      </c>
      <c r="CH8" s="206"/>
      <c r="CJ8" s="205" t="s">
        <v>20</v>
      </c>
      <c r="CK8" s="202">
        <f t="shared" ref="CK8:CV16" si="38">IF(AT9&gt;0,DA8/AT9,0)</f>
        <v>7.9921040170571458E-2</v>
      </c>
      <c r="CL8" s="202">
        <f t="shared" si="38"/>
        <v>8.704500007783883E-2</v>
      </c>
      <c r="CM8" s="202">
        <f t="shared" si="38"/>
        <v>8.8706919811706683E-2</v>
      </c>
      <c r="CN8" s="202">
        <f t="shared" si="38"/>
        <v>9.6552997924493567E-2</v>
      </c>
      <c r="CO8" s="202">
        <f t="shared" si="38"/>
        <v>9.7666849173475512E-2</v>
      </c>
      <c r="CP8" s="202">
        <f t="shared" si="38"/>
        <v>9.8605976654381491E-2</v>
      </c>
      <c r="CQ8" s="202">
        <f t="shared" si="38"/>
        <v>0.10007376323148803</v>
      </c>
      <c r="CR8" s="202">
        <f t="shared" si="38"/>
        <v>0.10092604206053198</v>
      </c>
      <c r="CS8" s="202">
        <f t="shared" si="38"/>
        <v>0.10222863922040162</v>
      </c>
      <c r="CT8" s="202">
        <f t="shared" si="38"/>
        <v>0.10304383185707659</v>
      </c>
      <c r="CU8" s="202">
        <f t="shared" si="38"/>
        <v>0.10911839886177704</v>
      </c>
      <c r="CV8" s="202">
        <f t="shared" si="38"/>
        <v>0.11451723756909192</v>
      </c>
      <c r="CW8" s="206"/>
      <c r="CX8" s="193">
        <v>2301</v>
      </c>
      <c r="CY8" s="205" t="s">
        <v>20</v>
      </c>
      <c r="CZ8" s="207" t="s">
        <v>271</v>
      </c>
      <c r="DA8" s="202">
        <f>'Bilan 2015'!$K$13*'Bilan 2015'!$G$10/SUM('Bilan 2015'!$G$7:$G$19)</f>
        <v>2.3619655474192638</v>
      </c>
      <c r="DB8" s="202">
        <f>'Bilan 2020'!$K$13*'Bilan 2020'!$G$10/SUM('Bilan 2020'!$G$7:$G$19)</f>
        <v>24.447146923690021</v>
      </c>
      <c r="DC8" s="202">
        <f>'Bilan 2023 réel'!$K$13*'Bilan 2023 réel'!$G$10/SUM('Bilan 2023 réel'!$G$7:$G$19)</f>
        <v>23.737645647573562</v>
      </c>
      <c r="DD8" s="202">
        <f>'Bilan 2025 AMS'!$K$13*'Bilan 2025 AMS'!$G$10/SUM('Bilan 2025 AMS'!$G$7:$G$19)</f>
        <v>27.010630752576912</v>
      </c>
      <c r="DE8" s="202">
        <f>'Bilan 2028 AMS'!$K$13*'Bilan 2028 AMS'!$G$10/SUM('Bilan 2028 AMS'!$G$7:$G$19)</f>
        <v>27.783923773121177</v>
      </c>
      <c r="DF8" s="202">
        <f>'Bilan 2030 AMS'!$K$13*'Bilan 2030 AMS'!$G$10/SUM('Bilan 2030 AMS'!$G$7:$G$19)</f>
        <v>28.740395991878792</v>
      </c>
      <c r="DG8" s="202">
        <f>'Bilan 2033 AMS'!$K$13*'Bilan 2033 AMS'!$G$10/SUM('Bilan 2033 AMS'!$G$7:$G$19)</f>
        <v>27.585702858467648</v>
      </c>
      <c r="DH8" s="202">
        <f>'Bilan 2035 AMS'!$K$13*'Bilan 2035 AMS'!$G$10/SUM('Bilan 2035 AMS'!$G$7:$G$19)</f>
        <v>27.136453665180223</v>
      </c>
      <c r="DI8" s="202">
        <f>'Bilan 2038 AMS'!$K$13*'Bilan 2038 AMS'!$G$10/SUM('Bilan 2038 AMS'!$G$7:$G$19)</f>
        <v>27.394548896865334</v>
      </c>
      <c r="DJ8" s="202">
        <f>'Bilan 2040 AMS'!$K$13*'Bilan 2040 AMS'!$G$10/SUM('Bilan 2040 AMS'!$G$7:$G$19)</f>
        <v>27.518374826619514</v>
      </c>
      <c r="DK8" s="202">
        <f>'Bilan 2045 AMS'!$K$13*'Bilan 2045 AMS'!$G$10/SUM('Bilan 2045 AMS'!$G$7:$G$19)</f>
        <v>25.067297638640294</v>
      </c>
      <c r="DL8" s="202">
        <f>'Bilan 2050 AMS'!$K$13*'Bilan 2050 AMS'!$G$10/SUM('Bilan 2050 AMS'!$G$7:$G$19)</f>
        <v>20.647222107558477</v>
      </c>
    </row>
    <row r="9" spans="1:116" ht="15" x14ac:dyDescent="0.25">
      <c r="A9" s="199" t="s">
        <v>104</v>
      </c>
      <c r="B9" s="200">
        <f t="shared" ref="B9" si="39">SUM(B10:B19)</f>
        <v>132.32103915797597</v>
      </c>
      <c r="C9" s="200">
        <f t="shared" ref="C9:M9" si="40">SUM(C10:C19)</f>
        <v>1284.6591143400469</v>
      </c>
      <c r="D9" s="200">
        <f t="shared" si="40"/>
        <v>1256.7347534552232</v>
      </c>
      <c r="E9" s="200">
        <f t="shared" si="40"/>
        <v>1427.2736191191418</v>
      </c>
      <c r="F9" s="200">
        <f t="shared" si="40"/>
        <v>1442.700052596655</v>
      </c>
      <c r="G9" s="200">
        <f t="shared" si="40"/>
        <v>1436.696752524434</v>
      </c>
      <c r="H9" s="200">
        <f t="shared" si="40"/>
        <v>1471.8295691066592</v>
      </c>
      <c r="I9" s="200">
        <f t="shared" si="40"/>
        <v>1495.0009428060014</v>
      </c>
      <c r="J9" s="200">
        <f t="shared" si="40"/>
        <v>1552.7868861214372</v>
      </c>
      <c r="K9" s="200">
        <f t="shared" si="40"/>
        <v>1591.3300443786225</v>
      </c>
      <c r="L9" s="200">
        <f t="shared" ref="L9" si="41">SUM(L10:L19)</f>
        <v>1424.2834567551133</v>
      </c>
      <c r="M9" s="200">
        <f t="shared" si="40"/>
        <v>1260.8626542516377</v>
      </c>
      <c r="N9" s="215">
        <f>C9-('Bilan 2020'!$D$13-SUM('Bilan 2020'!$M$13:$P$13))</f>
        <v>0</v>
      </c>
      <c r="O9" s="215">
        <f>G9-('Bilan 2030 AMS'!$D$13-SUM('Bilan 2030 AMS'!$M$13:$P$13))</f>
        <v>0</v>
      </c>
      <c r="P9" s="215">
        <f>M9-('Bilan 2050 AMS'!$D$13-SUM('Bilan 2050 AMS'!$M$13:$P$13))</f>
        <v>0</v>
      </c>
      <c r="Q9" s="570" t="s">
        <v>224</v>
      </c>
      <c r="R9" s="205">
        <f t="shared" ref="R9:AC9" si="42">B11+0.01</f>
        <v>0.71199999999999997</v>
      </c>
      <c r="S9" s="205">
        <f t="shared" si="42"/>
        <v>3.4306184464582499</v>
      </c>
      <c r="T9" s="205">
        <f t="shared" si="42"/>
        <v>8.119569380919307</v>
      </c>
      <c r="U9" s="205">
        <f t="shared" si="42"/>
        <v>2.9306513041206799</v>
      </c>
      <c r="V9" s="205">
        <f t="shared" si="42"/>
        <v>1.634995060752239</v>
      </c>
      <c r="W9" s="205">
        <f t="shared" si="42"/>
        <v>0.7787252366324644</v>
      </c>
      <c r="X9" s="205">
        <f t="shared" si="42"/>
        <v>0.78863805380115704</v>
      </c>
      <c r="Y9" s="205">
        <f t="shared" si="42"/>
        <v>0.79522463398593979</v>
      </c>
      <c r="Z9" s="205">
        <f t="shared" si="42"/>
        <v>0.36133907422808248</v>
      </c>
      <c r="AA9" s="205">
        <f t="shared" si="42"/>
        <v>7.4279862984472103E-2</v>
      </c>
      <c r="AB9" s="205">
        <f t="shared" si="42"/>
        <v>0.01</v>
      </c>
      <c r="AC9" s="205">
        <f t="shared" si="42"/>
        <v>0.01</v>
      </c>
      <c r="AD9" s="193">
        <f>AD8+1</f>
        <v>2302</v>
      </c>
      <c r="AE9" s="205" t="s">
        <v>20</v>
      </c>
      <c r="AF9" s="205">
        <f>'Bilan 2015'!$S$13*'Bilan 2015'!$G$10/SUM('Bilan 2015'!$G$7:$G$19)</f>
        <v>29.553738819943277</v>
      </c>
      <c r="AG9" s="205">
        <f>'Bilan 2020'!$S$13*'Bilan 2020'!$G$10/SUM('Bilan 2020'!$G$7:$G$19)</f>
        <v>280.85641796574743</v>
      </c>
      <c r="AH9" s="205">
        <f>'Bilan 2023 réel'!$S$13*'Bilan 2023 réel'!$G$10/SUM('Bilan 2023 réel'!$G$7:$G$19)</f>
        <v>267.59632391655759</v>
      </c>
      <c r="AI9" s="205">
        <f>'Bilan 2025 AMS'!$S$13*'Bilan 2025 AMS'!$G$10/SUM('Bilan 2025 AMS'!$G$7:$G$19)</f>
        <v>279.74927069276276</v>
      </c>
      <c r="AJ9" s="205">
        <f>'Bilan 2028 AMS'!$S$13*'Bilan 2028 AMS'!$G$10/SUM('Bilan 2028 AMS'!$G$7:$G$19)</f>
        <v>284.47650362684959</v>
      </c>
      <c r="AK9" s="205">
        <f>'Bilan 2030 AMS'!$S$13*'Bilan 2030 AMS'!$G$10/SUM('Bilan 2030 AMS'!$G$7:$G$19)</f>
        <v>291.46707904547418</v>
      </c>
      <c r="AL9" s="205">
        <f>'Bilan 2033 AMS'!$S$13*'Bilan 2033 AMS'!$G$10/SUM('Bilan 2033 AMS'!$G$7:$G$19)</f>
        <v>275.6536975096771</v>
      </c>
      <c r="AM9" s="205">
        <f>'Bilan 2035 AMS'!$S$13*'Bilan 2035 AMS'!$G$10/SUM('Bilan 2035 AMS'!$G$7:$G$19)</f>
        <v>268.87464435496946</v>
      </c>
      <c r="AN9" s="205">
        <f>'Bilan 2038 AMS'!$S$13*'Bilan 2038 AMS'!$G$10/SUM('Bilan 2038 AMS'!$G$7:$G$19)</f>
        <v>267.9733302309109</v>
      </c>
      <c r="AO9" s="205">
        <f>'Bilan 2040 AMS'!$S$13*'Bilan 2040 AMS'!$G$10/SUM('Bilan 2040 AMS'!$G$7:$G$19)</f>
        <v>267.05504182713167</v>
      </c>
      <c r="AP9" s="205">
        <f>'Bilan 2045 AMS'!$S$13*'Bilan 2045 AMS'!$G$10/SUM('Bilan 2045 AMS'!$G$7:$G$19)</f>
        <v>229.72567321477706</v>
      </c>
      <c r="AQ9" s="205">
        <f>'Bilan 2050 AMS'!$S$13*'Bilan 2050 AMS'!$G$10/SUM('Bilan 2050 AMS'!$G$7:$G$19)</f>
        <v>180.29794069300132</v>
      </c>
      <c r="AR9" s="206"/>
      <c r="AS9" s="205" t="s">
        <v>20</v>
      </c>
      <c r="AT9" s="205">
        <f>'Bilan 2015'!$S$13*'Bilan 2015'!$G$10/SUM('Bilan 2015'!$G$7:$G$19)</f>
        <v>29.553738819943277</v>
      </c>
      <c r="AU9" s="205">
        <f>'Bilan 2020'!$S$13*'Bilan 2020'!$G$10/SUM('Bilan 2020'!$G$7:$G$19)</f>
        <v>280.85641796574743</v>
      </c>
      <c r="AV9" s="205">
        <f>'Bilan 2023 réel'!$S$13*'Bilan 2023 réel'!$G$10/SUM('Bilan 2023 réel'!$G$7:$G$19)</f>
        <v>267.59632391655759</v>
      </c>
      <c r="AW9" s="205">
        <f>'Bilan 2025 AMS'!$S$13*'Bilan 2025 AMS'!$G$10/SUM('Bilan 2025 AMS'!$G$7:$G$19)</f>
        <v>279.74927069276276</v>
      </c>
      <c r="AX9" s="205">
        <f>'Bilan 2028 AMS'!$S$13*'Bilan 2028 AMS'!$G$10/SUM('Bilan 2028 AMS'!$G$7:$G$19)</f>
        <v>284.47650362684959</v>
      </c>
      <c r="AY9" s="205">
        <f>'Bilan 2030 AMS'!$S$13*'Bilan 2030 AMS'!$G$10/SUM('Bilan 2030 AMS'!$G$7:$G$19)</f>
        <v>291.46707904547418</v>
      </c>
      <c r="AZ9" s="205">
        <f>'Bilan 2033 AMS'!$S$13*'Bilan 2033 AMS'!$G$10/SUM('Bilan 2033 AMS'!$G$7:$G$19)</f>
        <v>275.6536975096771</v>
      </c>
      <c r="BA9" s="205">
        <f>'Bilan 2035 AMS'!$S$13*'Bilan 2035 AMS'!$G$10/SUM('Bilan 2035 AMS'!$G$7:$G$19)</f>
        <v>268.87464435496946</v>
      </c>
      <c r="BB9" s="205">
        <f>'Bilan 2038 AMS'!$S$13*'Bilan 2038 AMS'!$G$10/SUM('Bilan 2038 AMS'!$G$7:$G$19)</f>
        <v>267.9733302309109</v>
      </c>
      <c r="BC9" s="205">
        <f>'Bilan 2040 AMS'!$S$13*'Bilan 2040 AMS'!$G$10/SUM('Bilan 2040 AMS'!$G$7:$G$19)</f>
        <v>267.05504182713167</v>
      </c>
      <c r="BD9" s="205">
        <f>'Bilan 2045 AMS'!$S$13*'Bilan 2045 AMS'!$G$10/SUM('Bilan 2045 AMS'!$G$7:$G$19)</f>
        <v>229.72567321477706</v>
      </c>
      <c r="BE9" s="205">
        <f>'Bilan 2050 AMS'!$S$13*'Bilan 2050 AMS'!$G$10/SUM('Bilan 2050 AMS'!$G$7:$G$19)</f>
        <v>180.29794069300132</v>
      </c>
      <c r="BF9" s="216"/>
      <c r="BG9" s="205" t="s">
        <v>224</v>
      </c>
      <c r="BH9" s="202">
        <f t="shared" si="37"/>
        <v>1.7578308990233045</v>
      </c>
      <c r="BI9" s="202">
        <f t="shared" si="37"/>
        <v>1.7088159266761329</v>
      </c>
      <c r="BJ9" s="202">
        <f t="shared" si="37"/>
        <v>1.8178903661766033</v>
      </c>
      <c r="BK9" s="202">
        <f t="shared" si="37"/>
        <v>1.118575875852478</v>
      </c>
      <c r="BL9" s="202">
        <f t="shared" si="37"/>
        <v>1.8008232944367411</v>
      </c>
      <c r="BM9" s="202">
        <f t="shared" si="37"/>
        <v>1.7548237017162138</v>
      </c>
      <c r="BN9" s="202">
        <f t="shared" si="37"/>
        <v>1.8436171111172952</v>
      </c>
      <c r="BO9" s="202">
        <f t="shared" si="37"/>
        <v>1.8823382967630871</v>
      </c>
      <c r="BP9" s="202">
        <f t="shared" si="37"/>
        <v>1.9352043982450366</v>
      </c>
      <c r="BQ9" s="202">
        <f t="shared" si="37"/>
        <v>0.32176765642489547</v>
      </c>
      <c r="BR9" s="202">
        <f t="shared" si="37"/>
        <v>0</v>
      </c>
      <c r="BS9" s="202">
        <f t="shared" si="37"/>
        <v>0</v>
      </c>
      <c r="BU9" s="205" t="s">
        <v>224</v>
      </c>
      <c r="BV9" s="202">
        <f>'Bilan 2015'!$E17+'Bilan 2015'!$I$13*'Bilan 2015'!$G$17/'Bilan 2015'!$H$13</f>
        <v>0.41016749159452726</v>
      </c>
      <c r="BW9" s="202">
        <f>'Bilan 2020'!$E17+'Bilan 2020'!$I$13*'Bilan 2020'!$G$17/'Bilan 2020'!$H$13</f>
        <v>2.0111729761776775</v>
      </c>
      <c r="BX9" s="202">
        <f>'Bilan 2023 AMS'!$E17+'Bilan 2023 AMS'!$I$13*'Bilan 2023 AMS'!$G$17/'Bilan 2023 AMS'!$H$13</f>
        <v>4.7570321780291334</v>
      </c>
      <c r="BY9" s="202">
        <f>'Bilan 2025 AMS'!$E17+'Bilan 2025 AMS'!$I$13*'Bilan 2025 AMS'!$G$17/'Bilan 2025 AMS'!$H$13</f>
        <v>1.7121774225659125</v>
      </c>
      <c r="BZ9" s="202">
        <f>'Bilan 2028 AMS'!$E17+'Bilan 2028 AMS'!$I$13*'Bilan 2028 AMS'!$G$17/'Bilan 2028 AMS'!$H$13</f>
        <v>0.9558355318385755</v>
      </c>
      <c r="CA9" s="202">
        <f>'Bilan 2030 AMS'!$E17+'Bilan 2030 AMS'!$I$13*'Bilan 2030 AMS'!$G$17/'Bilan 2030 AMS'!$H$13</f>
        <v>0.45384993841401045</v>
      </c>
      <c r="CB9" s="202">
        <f>'Bilan 2033 AMS'!$E17+'Bilan 2033 AMS'!$I$13*'Bilan 2033 AMS'!$G$17/'Bilan 2033 AMS'!$H$13</f>
        <v>0.46141047448403055</v>
      </c>
      <c r="CC9" s="202">
        <f>'Bilan 2035 AMS'!$E17+'Bilan 2035 AMS'!$I$13*'Bilan 2035 AMS'!$G$17/'Bilan 2035 AMS'!$H$13</f>
        <v>0.46648939263740075</v>
      </c>
      <c r="CD9" s="202">
        <f>'Bilan 2038 AMS'!$E17+'Bilan 2038 AMS'!$I$13*'Bilan 2038 AMS'!$G$17/'Bilan 2038 AMS'!$H$13</f>
        <v>0.20961121125143906</v>
      </c>
      <c r="CE9" s="202">
        <f>'Bilan 2040 AMS'!$E17+'Bilan 2040 AMS'!$I$13*'Bilan 2040 AMS'!$G$17/'Bilan 2040 AMS'!$H$13</f>
        <v>3.8447207648265674E-2</v>
      </c>
      <c r="CF9" s="202">
        <f>'Bilan 2045 AMS'!$E17+'Bilan 2045 AMS'!$I$13*'Bilan 2045 AMS'!$G$17/'Bilan 2045 AMS'!$H$13</f>
        <v>0</v>
      </c>
      <c r="CG9" s="202">
        <f>'Bilan 2050 AMS'!$E17+'Bilan 2050 AMS'!$I$13*'Bilan 2050 AMS'!$G$17/'Bilan 2050 AMS'!$H$13</f>
        <v>0</v>
      </c>
      <c r="CH9" s="206"/>
      <c r="CJ9" s="205" t="s">
        <v>224</v>
      </c>
      <c r="CK9" s="202">
        <f t="shared" si="38"/>
        <v>7.9921040170571458E-2</v>
      </c>
      <c r="CL9" s="202">
        <f t="shared" si="38"/>
        <v>8.7045000077838844E-2</v>
      </c>
      <c r="CM9" s="202">
        <f t="shared" si="38"/>
        <v>9.6511255227072462E-2</v>
      </c>
      <c r="CN9" s="202">
        <f t="shared" si="38"/>
        <v>5.8705803073254875E-2</v>
      </c>
      <c r="CO9" s="202">
        <f t="shared" si="38"/>
        <v>9.7666849173475526E-2</v>
      </c>
      <c r="CP9" s="202">
        <f t="shared" si="38"/>
        <v>9.8605976654381491E-2</v>
      </c>
      <c r="CQ9" s="202">
        <f t="shared" si="38"/>
        <v>0.10007376323148802</v>
      </c>
      <c r="CR9" s="202">
        <f t="shared" si="38"/>
        <v>0.10092604206053196</v>
      </c>
      <c r="CS9" s="202">
        <f t="shared" si="38"/>
        <v>0.10222863922040161</v>
      </c>
      <c r="CT9" s="202">
        <f t="shared" si="38"/>
        <v>1.6805651469512944E-2</v>
      </c>
      <c r="CU9" s="202">
        <f t="shared" si="38"/>
        <v>0</v>
      </c>
      <c r="CV9" s="202">
        <f t="shared" si="38"/>
        <v>0</v>
      </c>
      <c r="CW9" s="206"/>
      <c r="CX9" s="193">
        <f>CX8+1</f>
        <v>2302</v>
      </c>
      <c r="CY9" s="205" t="s">
        <v>224</v>
      </c>
      <c r="CZ9" s="207" t="s">
        <v>273</v>
      </c>
      <c r="DA9" s="202">
        <f>'Bilan 2015'!$K$13*'Bilan 2015'!$G$17/SUM('Bilan 2015'!$G$7:$G$19)</f>
        <v>1.8648558624497217E-2</v>
      </c>
      <c r="DB9" s="202">
        <f>'Bilan 2020'!$K$13*'Bilan 2020'!$G$17/SUM('Bilan 2020'!$G$7:$G$19)</f>
        <v>0.10244669957427921</v>
      </c>
      <c r="DC9" s="202">
        <f>'Bilan 2023 AMS'!$K$13*'Bilan 2023 AMS'!$G$17/SUM('Bilan 2023 AMS'!$G$7:$G$19)</f>
        <v>0.25254941397965747</v>
      </c>
      <c r="DD9" s="202">
        <f>'Bilan 2025 AMS'!$K$13*'Bilan 2025 AMS'!$G$17/SUM('Bilan 2025 AMS'!$G$7:$G$19)</f>
        <v>8.9859573020939901E-2</v>
      </c>
      <c r="DE9" s="202">
        <f>'Bilan 2028 AMS'!$K$13*'Bilan 2028 AMS'!$G$17/SUM('Bilan 2028 AMS'!$G$7:$G$19)</f>
        <v>5.1839314279819929E-2</v>
      </c>
      <c r="DF9" s="202">
        <f>'Bilan 2030 AMS'!$K$13*'Bilan 2030 AMS'!$G$17/SUM('Bilan 2030 AMS'!$G$7:$G$19)</f>
        <v>2.5502457248598089E-2</v>
      </c>
      <c r="DG9" s="202">
        <f>'Bilan 2033 AMS'!$K$13*'Bilan 2033 AMS'!$G$17/SUM('Bilan 2033 AMS'!$G$7:$G$19)</f>
        <v>2.5045917776310794E-2</v>
      </c>
      <c r="DH9" s="202">
        <f>'Bilan 2035 AMS'!$K$13*'Bilan 2035 AMS'!$G$17/SUM('Bilan 2035 AMS'!$G$7:$G$19)</f>
        <v>2.5011937621986325E-2</v>
      </c>
      <c r="DI9" s="202">
        <f>'Bilan 2038 AMS'!$K$13*'Bilan 2038 AMS'!$G$17/SUM('Bilan 2038 AMS'!$G$7:$G$19)</f>
        <v>1.1072871119457579E-2</v>
      </c>
      <c r="DJ9" s="202">
        <f>'Bilan 2040 AMS'!$K$13*'Bilan 2040 AMS'!$G$17/SUM('Bilan 2040 AMS'!$G$7:$G$19)</f>
        <v>2.0080650084343082E-3</v>
      </c>
      <c r="DK9" s="202">
        <f>'Bilan 2045 AMS'!$K$13*'Bilan 2045 AMS'!$G$17/SUM('Bilan 2045 AMS'!$G$7:$G$19)</f>
        <v>0</v>
      </c>
      <c r="DL9" s="202">
        <f>'Bilan 2050 AMS'!$K$13*'Bilan 2050 AMS'!$G$17/SUM('Bilan 2050 AMS'!$G$7:$G$19)</f>
        <v>0</v>
      </c>
    </row>
    <row r="10" spans="1:116" ht="15" x14ac:dyDescent="0.25">
      <c r="A10" s="203" t="s">
        <v>20</v>
      </c>
      <c r="B10" s="204">
        <f>'Bilan 2015'!$C10</f>
        <v>114.07243284087656</v>
      </c>
      <c r="C10" s="204">
        <f>'Bilan 2020'!$C10</f>
        <v>1068.7282415646853</v>
      </c>
      <c r="D10" s="204">
        <f>'Bilan 2023 réel'!$C10*(1-SUM('Bilan 2023 réel'!$M$13:$P$13)/'Bilan 2023 réel'!$D$13)</f>
        <v>1024.855403030303</v>
      </c>
      <c r="E10" s="204">
        <f>'Bilan 2025 AMS'!$C10*(1-SUM('Bilan 2025 AMS'!$M$13:$P$13)/'Bilan 2025 AMS'!$D$13)</f>
        <v>1180.1226108941369</v>
      </c>
      <c r="F10" s="204">
        <f>'Bilan 2028 AMS'!$C10*(1-SUM('Bilan 2028 AMS'!$M$13:$P$13)/'Bilan 2028 AMS'!$D$13)</f>
        <v>1166.3894013920822</v>
      </c>
      <c r="G10" s="204">
        <f>'Bilan 2030 AMS'!$C10*(1-SUM('Bilan 2030 AMS'!$M$13:$P$13)/'Bilan 2030 AMS'!$D$13)</f>
        <v>1155.6461815411585</v>
      </c>
      <c r="H10" s="204">
        <f>'Bilan 2033 AMS'!$C10*(1-SUM('Bilan 2033 AMS'!$M$13:$P$13)/'Bilan 2033 AMS'!$D$13)</f>
        <v>1145.0604721206103</v>
      </c>
      <c r="I10" s="204">
        <f>'Bilan 2035 AMS'!$C10*(1-SUM('Bilan 2035 AMS'!$M$13:$P$13)/'Bilan 2035 AMS'!$D$13)</f>
        <v>1138.1146332772501</v>
      </c>
      <c r="J10" s="204">
        <f>'Bilan 2038 AMS'!$C10*(1-SUM('Bilan 2038 AMS'!$M$13:$P$13)/'Bilan 2038 AMS'!$D$13)</f>
        <v>1162.8799920102547</v>
      </c>
      <c r="K10" s="204">
        <f>'Bilan 2040 AMS'!$C10*(1-SUM('Bilan 2040 AMS'!$M$13:$P$13)/'Bilan 2040 AMS'!$D$13)</f>
        <v>1179.582675605732</v>
      </c>
      <c r="L10" s="204">
        <f>'Bilan 2045 AMS'!$C10*(1-SUM('Bilan 2045 AMS'!$M$13:$P$13)/'Bilan 2045 AMS'!$D$13)</f>
        <v>955.18075692158675</v>
      </c>
      <c r="M10" s="204">
        <f>'Bilan 2050 AMS'!$C10*(1-SUM('Bilan 2050 AMS'!$M$13:$P$13)/'Bilan 2050 AMS'!$D$13)</f>
        <v>724.62560098525535</v>
      </c>
      <c r="N10" s="575"/>
      <c r="O10" s="575"/>
      <c r="P10" s="575"/>
      <c r="Q10" s="570" t="s">
        <v>32</v>
      </c>
      <c r="R10" s="205">
        <f t="shared" ref="R10:AC10" si="43">B12</f>
        <v>3.8621595626186735</v>
      </c>
      <c r="S10" s="205">
        <f t="shared" si="43"/>
        <v>60.547801107489889</v>
      </c>
      <c r="T10" s="205">
        <f t="shared" si="43"/>
        <v>52.478364285088631</v>
      </c>
      <c r="U10" s="205">
        <f t="shared" si="43"/>
        <v>64.980018541097138</v>
      </c>
      <c r="V10" s="205">
        <f t="shared" si="43"/>
        <v>63.399399973802588</v>
      </c>
      <c r="W10" s="205">
        <f t="shared" si="43"/>
        <v>47.799965385967084</v>
      </c>
      <c r="X10" s="205">
        <f t="shared" si="43"/>
        <v>39.305699030316497</v>
      </c>
      <c r="Y10" s="205">
        <f t="shared" si="43"/>
        <v>33.795272357025034</v>
      </c>
      <c r="Z10" s="205">
        <f t="shared" si="43"/>
        <v>13.360563797916061</v>
      </c>
      <c r="AA10" s="205">
        <f t="shared" si="43"/>
        <v>0.11470403792605417</v>
      </c>
      <c r="AB10" s="205">
        <f t="shared" si="43"/>
        <v>0.11128502515981105</v>
      </c>
      <c r="AC10" s="205">
        <f t="shared" si="43"/>
        <v>0.10628900655137696</v>
      </c>
      <c r="AD10" s="193">
        <f t="shared" ref="AD10:AD11" si="44">AD9+1</f>
        <v>2303</v>
      </c>
      <c r="AE10" s="205" t="s">
        <v>224</v>
      </c>
      <c r="AF10" s="205">
        <f>'Bilan 2015'!$S$13*'Bilan 2015'!$G$17/SUM('Bilan 2015'!$G$7:$G$19)</f>
        <v>0.23333728621019617</v>
      </c>
      <c r="AG10" s="205">
        <f>'Bilan 2020'!$S$13*'Bilan 2020'!$G$17/SUM('Bilan 2020'!$G$7:$G$19)</f>
        <v>1.1769395081011844</v>
      </c>
      <c r="AH10" s="205">
        <f>'Bilan 2023 AMS'!$S$13*'Bilan 2023 AMS'!$G$17/SUM('Bilan 2023 AMS'!$G$7:$G$19)</f>
        <v>2.6167871652426151</v>
      </c>
      <c r="AI10" s="205">
        <f>'Bilan 2025 AMS'!$S$13*'Bilan 2025 AMS'!$G$17/SUM('Bilan 2025 AMS'!$G$7:$G$19)</f>
        <v>0.93067615664520265</v>
      </c>
      <c r="AJ10" s="205">
        <f>'Bilan 2028 AMS'!$S$13*'Bilan 2028 AMS'!$G$17/SUM('Bilan 2028 AMS'!$G$7:$G$19)</f>
        <v>0.53077697006220725</v>
      </c>
      <c r="AK10" s="205">
        <f>'Bilan 2030 AMS'!$S$13*'Bilan 2030 AMS'!$G$17/SUM('Bilan 2030 AMS'!$G$7:$G$19)</f>
        <v>0.25862993414674429</v>
      </c>
      <c r="AL10" s="205">
        <f>'Bilan 2033 AMS'!$S$13*'Bilan 2033 AMS'!$G$17/SUM('Bilan 2033 AMS'!$G$7:$G$19)</f>
        <v>0.25027456715478191</v>
      </c>
      <c r="AM10" s="205">
        <f>'Bilan 2035 AMS'!$S$13*'Bilan 2035 AMS'!$G$17/SUM('Bilan 2035 AMS'!$G$7:$G$19)</f>
        <v>0.24782441787408077</v>
      </c>
      <c r="AN10" s="205">
        <f>'Bilan 2038 AMS'!$S$13*'Bilan 2038 AMS'!$G$17/SUM('Bilan 2038 AMS'!$G$7:$G$19)</f>
        <v>0.10831476584154495</v>
      </c>
      <c r="AO10" s="205">
        <f>'Bilan 2040 AMS'!$S$13*'Bilan 2040 AMS'!$G$17/SUM('Bilan 2040 AMS'!$G$7:$G$19)</f>
        <v>1.9487483842987572E-2</v>
      </c>
      <c r="AP10" s="205">
        <f>'Bilan 2045 AMS'!$S$13*'Bilan 2045 AMS'!$G$17/SUM('Bilan 2045 AMS'!$G$7:$G$19)</f>
        <v>0</v>
      </c>
      <c r="AQ10" s="205">
        <f>'Bilan 2050 AMS'!$S$13*'Bilan 2050 AMS'!$G$17/SUM('Bilan 2050 AMS'!$G$7:$G$19)</f>
        <v>0</v>
      </c>
      <c r="AR10" s="206"/>
      <c r="AS10" s="205" t="s">
        <v>224</v>
      </c>
      <c r="AT10" s="205">
        <f>'Bilan 2015'!$S$13*'Bilan 2015'!$G$17/SUM('Bilan 2015'!$G$7:$G$19)</f>
        <v>0.23333728621019617</v>
      </c>
      <c r="AU10" s="205">
        <f>'Bilan 2020'!$S$13*'Bilan 2020'!$G$17/SUM('Bilan 2020'!$G$7:$G$19)</f>
        <v>1.1769395081011844</v>
      </c>
      <c r="AV10" s="205">
        <f>'Bilan 2023 AMS'!$S$13*'Bilan 2023 AMS'!$G$17/SUM('Bilan 2023 AMS'!$G$7:$G$19)</f>
        <v>2.6167871652426151</v>
      </c>
      <c r="AW10" s="205">
        <f>'Bilan 2025 AMS'!$S$13*'Bilan 2025 AMS'!$G$17/SUM('Bilan 2025 AMS'!$G$7:$G$19)+0.6</f>
        <v>1.5306761566452027</v>
      </c>
      <c r="AX10" s="205">
        <f>'Bilan 2028 AMS'!$S$13*'Bilan 2028 AMS'!$G$17/SUM('Bilan 2028 AMS'!$G$7:$G$19)</f>
        <v>0.53077697006220725</v>
      </c>
      <c r="AY10" s="205">
        <f>'Bilan 2030 AMS'!$S$13*'Bilan 2030 AMS'!$G$17/SUM('Bilan 2030 AMS'!$G$7:$G$19)+0</f>
        <v>0.25862993414674429</v>
      </c>
      <c r="AZ10" s="205">
        <f>'Bilan 2033 AMS'!$S$13*'Bilan 2033 AMS'!$G$17/SUM('Bilan 2033 AMS'!$G$7:$G$19)+0</f>
        <v>0.25027456715478191</v>
      </c>
      <c r="BA10" s="205">
        <f>'Bilan 2035 AMS'!$S$13*'Bilan 2035 AMS'!$G$17/SUM('Bilan 2035 AMS'!$G$7:$G$19)+0</f>
        <v>0.24782441787408077</v>
      </c>
      <c r="BB10" s="205">
        <f>'Bilan 2038 AMS'!$S$13*'Bilan 2038 AMS'!$G$17/SUM('Bilan 2038 AMS'!$G$7:$G$19)</f>
        <v>0.10831476584154495</v>
      </c>
      <c r="BC10" s="205">
        <f>'Bilan 2040 AMS'!$S$13*'Bilan 2040 AMS'!$G$17/SUM('Bilan 2040 AMS'!$G$7:$G$19)+0.1</f>
        <v>0.11948748384298757</v>
      </c>
      <c r="BD10" s="205">
        <f>'Bilan 2045 AMS'!$S$13*'Bilan 2045 AMS'!$G$17/SUM('Bilan 2045 AMS'!$G$7:$G$19)+0.1</f>
        <v>0.1</v>
      </c>
      <c r="BE10" s="205">
        <f>'Bilan 2050 AMS'!$S$13*'Bilan 2050 AMS'!$G$17/SUM('Bilan 2050 AMS'!$G$7:$G$19)+0.1</f>
        <v>0.1</v>
      </c>
      <c r="BF10" s="216"/>
      <c r="BG10" s="205" t="s">
        <v>32</v>
      </c>
      <c r="BH10" s="202">
        <f t="shared" si="37"/>
        <v>1.2659435231846794</v>
      </c>
      <c r="BI10" s="202">
        <f t="shared" si="37"/>
        <v>1.2336304060359775</v>
      </c>
      <c r="BJ10" s="202">
        <f t="shared" si="37"/>
        <v>1.2525633818860951</v>
      </c>
      <c r="BK10" s="202">
        <f t="shared" si="37"/>
        <v>1.0017423627763757</v>
      </c>
      <c r="BL10" s="202">
        <f t="shared" si="37"/>
        <v>0.97837999749184357</v>
      </c>
      <c r="BM10" s="202">
        <f t="shared" si="37"/>
        <v>0.95199007355690357</v>
      </c>
      <c r="BN10" s="202">
        <f t="shared" si="37"/>
        <v>0.99890687366309061</v>
      </c>
      <c r="BO10" s="202">
        <f t="shared" si="37"/>
        <v>1.0191279185009305</v>
      </c>
      <c r="BP10" s="202">
        <f t="shared" si="37"/>
        <v>1.0474754206193628</v>
      </c>
      <c r="BQ10" s="202">
        <f t="shared" si="37"/>
        <v>1.3315393924561404E-3</v>
      </c>
      <c r="BR10" s="202">
        <f t="shared" si="37"/>
        <v>1.1931182845857711E-3</v>
      </c>
      <c r="BS10" s="202">
        <f t="shared" si="37"/>
        <v>0</v>
      </c>
      <c r="BU10" s="205" t="s">
        <v>32</v>
      </c>
      <c r="BV10" s="202">
        <f>'Bilan 2015'!$E19+'Bilan 2015'!$I$13*'Bilan 2015'!$G$19/'Bilan 2015'!$H$13</f>
        <v>1.9287506280736006</v>
      </c>
      <c r="BW10" s="202">
        <f>'Bilan 2020'!$E19+'Bilan 2020'!$I$13*'Bilan 2020'!$G$19/'Bilan 2020'!$H$13</f>
        <v>28.129408160462162</v>
      </c>
      <c r="BX10" s="202">
        <f>'Bilan 2023 réel'!$E19+'Bilan 2023 réel'!$I$13*'Bilan 2023 réel'!$G$19/'Bilan 2023 réel'!$H$13</f>
        <v>23.415695212215574</v>
      </c>
      <c r="BY10" s="202">
        <f>'Bilan 2025 AMS'!$E19+'Bilan 2025 AMS'!$I$13*'Bilan 2025 AMS'!$G$19/'Bilan 2025 AMS'!$H$13</f>
        <v>24.720123248097163</v>
      </c>
      <c r="BZ10" s="202">
        <f>'Bilan 2028 AMS'!$E19+'Bilan 2028 AMS'!$I$13*'Bilan 2028 AMS'!$G$19/'Bilan 2028 AMS'!$H$13</f>
        <v>22.73468887871153</v>
      </c>
      <c r="CA10" s="202">
        <f>'Bilan 2030 AMS'!$E19+'Bilan 2030 AMS'!$I$13*'Bilan 2030 AMS'!$G$19/'Bilan 2030 AMS'!$H$13</f>
        <v>16.077068336887464</v>
      </c>
      <c r="CB10" s="202">
        <f>'Bilan 2033 AMS'!$E19+'Bilan 2033 AMS'!$I$13*'Bilan 2033 AMS'!$G$19/'Bilan 2033 AMS'!$H$13</f>
        <v>12.982174024441239</v>
      </c>
      <c r="CC10" s="202">
        <f>'Bilan 2035 AMS'!$E19+'Bilan 2035 AMS'!$I$13*'Bilan 2035 AMS'!$G$19/'Bilan 2035 AMS'!$H$13</f>
        <v>11.067180118876774</v>
      </c>
      <c r="CD10" s="202">
        <f>'Bilan 2038 AMS'!$E19+'Bilan 2038 AMS'!$I$13*'Bilan 2038 AMS'!$G$19/'Bilan 2038 AMS'!$H$13</f>
        <v>3.7119370860033984</v>
      </c>
      <c r="CE10" s="202">
        <f>'Bilan 2040 AMS'!$E19+'Bilan 2040 AMS'!$I$13*'Bilan 2040 AMS'!$G$19/'Bilan 2040 AMS'!$H$13</f>
        <v>1.0665616400745265E-3</v>
      </c>
      <c r="CF10" s="202">
        <f>'Bilan 2045 AMS'!$E19+'Bilan 2045 AMS'!$I$13*'Bilan 2045 AMS'!$G$19/'Bilan 2045 AMS'!$H$13</f>
        <v>9.5559549349942964E-4</v>
      </c>
      <c r="CG10" s="202">
        <f>'Bilan 2050 AMS'!$E19+'Bilan 2050 AMS'!$I$13*'Bilan 2050 AMS'!$G$19/'Bilan 2050 AMS'!$H$13</f>
        <v>0</v>
      </c>
      <c r="CH10" s="206"/>
      <c r="CJ10" s="205" t="s">
        <v>32</v>
      </c>
      <c r="CK10" s="202">
        <f t="shared" si="38"/>
        <v>7.9921040170571458E-2</v>
      </c>
      <c r="CL10" s="202">
        <f t="shared" si="38"/>
        <v>8.7045000077838858E-2</v>
      </c>
      <c r="CM10" s="202">
        <f t="shared" si="38"/>
        <v>8.8706919811706697E-2</v>
      </c>
      <c r="CN10" s="202">
        <f t="shared" si="38"/>
        <v>9.6552997924493553E-2</v>
      </c>
      <c r="CO10" s="202">
        <f t="shared" si="38"/>
        <v>9.7666849173475512E-2</v>
      </c>
      <c r="CP10" s="202">
        <f t="shared" si="38"/>
        <v>9.8605976654381491E-2</v>
      </c>
      <c r="CQ10" s="202">
        <f t="shared" si="38"/>
        <v>0.10007376323148802</v>
      </c>
      <c r="CR10" s="202">
        <f t="shared" si="38"/>
        <v>0.10092604206053199</v>
      </c>
      <c r="CS10" s="202">
        <f t="shared" si="38"/>
        <v>0.10222863922040161</v>
      </c>
      <c r="CT10" s="202">
        <f t="shared" si="38"/>
        <v>1.2850761366048786E-4</v>
      </c>
      <c r="CU10" s="202">
        <f t="shared" si="38"/>
        <v>1.2570665897556103E-4</v>
      </c>
      <c r="CV10" s="202">
        <f t="shared" si="38"/>
        <v>0</v>
      </c>
      <c r="CW10" s="206"/>
      <c r="CX10" s="193">
        <f t="shared" ref="CX10:CX11" si="45">CX9+1</f>
        <v>2303</v>
      </c>
      <c r="CY10" s="205" t="s">
        <v>32</v>
      </c>
      <c r="CZ10" s="207" t="s">
        <v>274</v>
      </c>
      <c r="DA10" s="202">
        <f>'Bilan 2015'!$K$13*'Bilan 2015'!$G$19/SUM('Bilan 2015'!$G$7:$G$19)</f>
        <v>0.12176511321571624</v>
      </c>
      <c r="DB10" s="202">
        <f>'Bilan 2020'!$K$13*'Bilan 2020'!$G$19/SUM('Bilan 2020'!$G$7:$G$19)</f>
        <v>1.984811920601754</v>
      </c>
      <c r="DC10" s="202">
        <f>'Bilan 2023 réel'!$K$13*'Bilan 2023 réel'!$G$19/SUM('Bilan 2023 réel'!$G$7:$G$19)</f>
        <v>1.6583066594184219</v>
      </c>
      <c r="DD10" s="202">
        <f>'Bilan 2025 AMS'!$K$13*'Bilan 2025 AMS'!$G$19/SUM('Bilan 2025 AMS'!$G$7:$G$19)</f>
        <v>2.3826505670096823</v>
      </c>
      <c r="DE10" s="202">
        <f>'Bilan 2028 AMS'!$K$13*'Bilan 2028 AMS'!$G$19/SUM('Bilan 2028 AMS'!$G$7:$G$19)</f>
        <v>2.2694918491948433</v>
      </c>
      <c r="DF10" s="202">
        <f>'Bilan 2030 AMS'!$K$13*'Bilan 2030 AMS'!$G$19/SUM('Bilan 2030 AMS'!$G$7:$G$19)</f>
        <v>1.6652432300842295</v>
      </c>
      <c r="DG10" s="202">
        <f>'Bilan 2033 AMS'!$K$13*'Bilan 2033 AMS'!$G$19/SUM('Bilan 2033 AMS'!$G$7:$G$19)</f>
        <v>1.3005967260868903</v>
      </c>
      <c r="DH10" s="202">
        <f>'Bilan 2035 AMS'!$K$13*'Bilan 2035 AMS'!$G$19/SUM('Bilan 2035 AMS'!$G$7:$G$19)</f>
        <v>1.0960024408047073</v>
      </c>
      <c r="DI10" s="202">
        <f>'Bilan 2038 AMS'!$K$13*'Bilan 2038 AMS'!$G$19/SUM('Bilan 2038 AMS'!$G$7:$G$19)</f>
        <v>0.36226747635710183</v>
      </c>
      <c r="DJ10" s="202">
        <f>'Bilan 2040 AMS'!$K$13*'Bilan 2040 AMS'!$G$19/SUM('Bilan 2040 AMS'!$G$7:$G$19)</f>
        <v>1.0293446214533096E-4</v>
      </c>
      <c r="DK10" s="202">
        <f>'Bilan 2045 AMS'!$K$13*'Bilan 2045 AMS'!$G$19/SUM('Bilan 2045 AMS'!$G$7:$G$19)</f>
        <v>1.0068131414281431E-4</v>
      </c>
      <c r="DL10" s="202">
        <f>'Bilan 2050 AMS'!$K$13*'Bilan 2050 AMS'!$G$19/SUM('Bilan 2050 AMS'!$G$7:$G$19)</f>
        <v>0</v>
      </c>
    </row>
    <row r="11" spans="1:116" ht="15" x14ac:dyDescent="0.25">
      <c r="A11" s="203" t="s">
        <v>224</v>
      </c>
      <c r="B11" s="204">
        <f>'Bilan 2015'!$C$17</f>
        <v>0.70199999999999996</v>
      </c>
      <c r="C11" s="204">
        <f>'Bilan 2020'!$C$17</f>
        <v>3.4206184464582501</v>
      </c>
      <c r="D11" s="204">
        <f>'Bilan 2023 AMS'!$C$17*(1-SUM('Bilan 2023 AMS'!$M$13:$P$13)/'Bilan 2023 AMS'!$D$13)</f>
        <v>8.1095693809193072</v>
      </c>
      <c r="E11" s="204">
        <f>'Bilan 2025 AMS'!$C$17*(1-SUM('Bilan 2025 AMS'!$M$13:$P$13)/'Bilan 2025 AMS'!$D$13)</f>
        <v>2.9206513041206801</v>
      </c>
      <c r="F11" s="204">
        <f>'Bilan 2028 AMS'!$C$17*(1-SUM('Bilan 2028 AMS'!$M$13:$P$13)/'Bilan 2028 AMS'!$D$13)</f>
        <v>1.624995060752239</v>
      </c>
      <c r="G11" s="204">
        <f>'Bilan 2030 AMS'!$C$17*(1-SUM('Bilan 2030 AMS'!$M$13:$P$13)/'Bilan 2030 AMS'!$D$13)</f>
        <v>0.76872523663246439</v>
      </c>
      <c r="H11" s="204">
        <f>'Bilan 2033 AMS'!$C$17*(1-SUM('Bilan 2033 AMS'!$M$13:$P$13)/'Bilan 2033 AMS'!$D$13)</f>
        <v>0.77863805380115703</v>
      </c>
      <c r="I11" s="204">
        <f>'Bilan 2035 AMS'!$C$17*(1-SUM('Bilan 2035 AMS'!$M$13:$P$13)/'Bilan 2035 AMS'!$D$13)</f>
        <v>0.78522463398593978</v>
      </c>
      <c r="J11" s="204">
        <f>'Bilan 2038 AMS'!$C$17*(1-SUM('Bilan 2038 AMS'!$M$13:$P$13)/'Bilan 2038 AMS'!$D$13)</f>
        <v>0.35133907422808247</v>
      </c>
      <c r="K11" s="204">
        <f>'Bilan 2040 AMS'!$C$17*(1-SUM('Bilan 2040 AMS'!$M$13:$P$13)/'Bilan 2040 AMS'!$D$13)</f>
        <v>6.4279862984472108E-2</v>
      </c>
      <c r="L11" s="204">
        <f>'Bilan 2045 AMS'!$C$17*(1-SUM('Bilan 2045 AMS'!$M$13:$P$13)/'Bilan 2045 AMS'!$D$13)</f>
        <v>0</v>
      </c>
      <c r="M11" s="204">
        <f>'Bilan 2050 AMS'!$C$17*(1-SUM('Bilan 2050 AMS'!$M$13:$P$13)/'Bilan 2050 AMS'!$D$13)</f>
        <v>0</v>
      </c>
      <c r="N11" s="575"/>
      <c r="O11" s="575"/>
      <c r="P11" s="575"/>
      <c r="Q11" s="570" t="s">
        <v>42</v>
      </c>
      <c r="R11" s="205">
        <f t="shared" ref="R11:T12" si="46">B13</f>
        <v>2.993512517722364</v>
      </c>
      <c r="S11" s="205">
        <f t="shared" si="46"/>
        <v>9.3252829217432893</v>
      </c>
      <c r="T11" s="205">
        <f t="shared" si="46"/>
        <v>8.0663799447291211</v>
      </c>
      <c r="U11" s="205">
        <f t="shared" ref="U11:AC11" si="47">E13+0.0001</f>
        <v>1E-4</v>
      </c>
      <c r="V11" s="205">
        <f t="shared" si="47"/>
        <v>1E-4</v>
      </c>
      <c r="W11" s="205">
        <f t="shared" si="47"/>
        <v>1E-4</v>
      </c>
      <c r="X11" s="205">
        <f t="shared" si="47"/>
        <v>1E-4</v>
      </c>
      <c r="Y11" s="205">
        <f t="shared" si="47"/>
        <v>1E-4</v>
      </c>
      <c r="Z11" s="205">
        <f t="shared" si="47"/>
        <v>1E-4</v>
      </c>
      <c r="AA11" s="205">
        <f t="shared" si="47"/>
        <v>1E-4</v>
      </c>
      <c r="AB11" s="205">
        <f t="shared" si="47"/>
        <v>1E-4</v>
      </c>
      <c r="AC11" s="205">
        <f t="shared" si="47"/>
        <v>1E-4</v>
      </c>
      <c r="AD11" s="193">
        <f t="shared" si="44"/>
        <v>2304</v>
      </c>
      <c r="AE11" s="205" t="s">
        <v>32</v>
      </c>
      <c r="AF11" s="205">
        <f>'Bilan 2015'!$S$13*'Bilan 2015'!$G$19/SUM('Bilan 2015'!$G$7:$G$19)</f>
        <v>1.5235676732414778</v>
      </c>
      <c r="AG11" s="205">
        <f>'Bilan 2020'!$S$13*'Bilan 2020'!$G$19/SUM('Bilan 2020'!$G$7:$G$19)</f>
        <v>22.802135893237541</v>
      </c>
      <c r="AH11" s="205">
        <f>'Bilan 2023 réel'!$S$13*'Bilan 2023 réel'!$G$19/SUM('Bilan 2023 réel'!$G$7:$G$19)</f>
        <v>18.694219830182565</v>
      </c>
      <c r="AI11" s="205">
        <f>'Bilan 2025 AMS'!$S$13*'Bilan 2025 AMS'!$G$19/SUM('Bilan 2025 AMS'!$G$7:$G$19)</f>
        <v>24.677126741035678</v>
      </c>
      <c r="AJ11" s="205">
        <f>'Bilan 2028 AMS'!$S$13*'Bilan 2028 AMS'!$G$19/SUM('Bilan 2028 AMS'!$G$7:$G$19)</f>
        <v>23.237074487411586</v>
      </c>
      <c r="AK11" s="205">
        <f>'Bilan 2030 AMS'!$S$13*'Bilan 2030 AMS'!$G$19/SUM('Bilan 2030 AMS'!$G$7:$G$19)</f>
        <v>16.887852913023558</v>
      </c>
      <c r="AL11" s="205">
        <f>'Bilan 2033 AMS'!$S$13*'Bilan 2033 AMS'!$G$19/SUM('Bilan 2033 AMS'!$G$7:$G$19)</f>
        <v>12.996380710480366</v>
      </c>
      <c r="AM11" s="205">
        <f>'Bilan 2035 AMS'!$S$13*'Bilan 2035 AMS'!$G$19/SUM('Bilan 2035 AMS'!$G$7:$G$19)</f>
        <v>10.859461229514604</v>
      </c>
      <c r="AN11" s="205">
        <f>'Bilan 2038 AMS'!$S$13*'Bilan 2038 AMS'!$G$19/SUM('Bilan 2038 AMS'!$G$7:$G$19)</f>
        <v>3.54369850875218</v>
      </c>
      <c r="AO11" s="205">
        <f>'Bilan 2040 AMS'!$S$13*'Bilan 2040 AMS'!$G$19/SUM('Bilan 2040 AMS'!$G$7:$G$19)</f>
        <v>9.9893860981511897E-4</v>
      </c>
      <c r="AP11" s="205">
        <f>'Bilan 2045 AMS'!$S$13*'Bilan 2045 AMS'!$G$19/SUM('Bilan 2045 AMS'!$G$7:$G$19)</f>
        <v>9.2267954069184767E-4</v>
      </c>
      <c r="AQ11" s="205">
        <f>'Bilan 2050 AMS'!$S$13*'Bilan 2050 AMS'!$G$19/SUM('Bilan 2050 AMS'!$G$7:$G$19)</f>
        <v>0</v>
      </c>
      <c r="AR11" s="206"/>
      <c r="AS11" s="205" t="s">
        <v>32</v>
      </c>
      <c r="AT11" s="205">
        <f>'Bilan 2015'!$S$13*'Bilan 2015'!$G$19/SUM('Bilan 2015'!$G$7:$G$19)</f>
        <v>1.5235676732414778</v>
      </c>
      <c r="AU11" s="205">
        <f>'Bilan 2020'!$S$13*'Bilan 2020'!$G$19/SUM('Bilan 2020'!$G$7:$G$19)</f>
        <v>22.802135893237541</v>
      </c>
      <c r="AV11" s="205">
        <f>'Bilan 2023 réel'!$S$13*'Bilan 2023 réel'!$G$19/SUM('Bilan 2023 réel'!$G$7:$G$19)</f>
        <v>18.694219830182565</v>
      </c>
      <c r="AW11" s="205">
        <f>'Bilan 2025 AMS'!$S$13*'Bilan 2025 AMS'!$G$19/SUM('Bilan 2025 AMS'!$G$7:$G$19)</f>
        <v>24.677126741035678</v>
      </c>
      <c r="AX11" s="205">
        <f>'Bilan 2028 AMS'!$S$13*'Bilan 2028 AMS'!$G$19/SUM('Bilan 2028 AMS'!$G$7:$G$19)</f>
        <v>23.237074487411586</v>
      </c>
      <c r="AY11" s="205">
        <f>'Bilan 2030 AMS'!$S$13*'Bilan 2030 AMS'!$G$19/SUM('Bilan 2030 AMS'!$G$7:$G$19)</f>
        <v>16.887852913023558</v>
      </c>
      <c r="AZ11" s="205">
        <f>'Bilan 2033 AMS'!$S$13*'Bilan 2033 AMS'!$G$19/SUM('Bilan 2033 AMS'!$G$7:$G$19)</f>
        <v>12.996380710480366</v>
      </c>
      <c r="BA11" s="205">
        <f>'Bilan 2035 AMS'!$S$13*'Bilan 2035 AMS'!$G$19/SUM('Bilan 2035 AMS'!$G$7:$G$19)</f>
        <v>10.859461229514604</v>
      </c>
      <c r="BB11" s="205">
        <f>'Bilan 2038 AMS'!$S$13*'Bilan 2038 AMS'!$G$19/SUM('Bilan 2038 AMS'!$G$7:$G$19)</f>
        <v>3.54369850875218</v>
      </c>
      <c r="BC11" s="205">
        <f>'Bilan 2040 AMS'!$S$13*'Bilan 2040 AMS'!$G$19/SUM('Bilan 2040 AMS'!$G$7:$G$19)+0.8</f>
        <v>0.80099893860981519</v>
      </c>
      <c r="BD11" s="205">
        <f>'Bilan 2045 AMS'!$S$13*'Bilan 2045 AMS'!$G$19/SUM('Bilan 2045 AMS'!$G$7:$G$19)+0.8</f>
        <v>0.80092267954069185</v>
      </c>
      <c r="BE11" s="205">
        <f>'Bilan 2050 AMS'!$S$13*'Bilan 2050 AMS'!$G$19/SUM('Bilan 2050 AMS'!$G$7:$G$19)+0.8</f>
        <v>0.8</v>
      </c>
      <c r="BF11" s="216"/>
      <c r="BG11" s="205" t="s">
        <v>42</v>
      </c>
      <c r="BH11" s="202">
        <f t="shared" si="37"/>
        <v>2.9105546410597891</v>
      </c>
      <c r="BI11" s="202">
        <f t="shared" si="37"/>
        <v>2.8223993573954025</v>
      </c>
      <c r="BJ11" s="202">
        <f t="shared" si="37"/>
        <v>2.8642104635353127</v>
      </c>
      <c r="BK11" s="202">
        <f t="shared" si="37"/>
        <v>0</v>
      </c>
      <c r="BL11" s="202">
        <f t="shared" si="37"/>
        <v>0</v>
      </c>
      <c r="BM11" s="202">
        <f t="shared" si="37"/>
        <v>0</v>
      </c>
      <c r="BN11" s="202">
        <f t="shared" si="37"/>
        <v>0</v>
      </c>
      <c r="BO11" s="202">
        <f t="shared" si="37"/>
        <v>0</v>
      </c>
      <c r="BP11" s="202">
        <f t="shared" si="37"/>
        <v>0</v>
      </c>
      <c r="BQ11" s="202">
        <f t="shared" si="37"/>
        <v>0</v>
      </c>
      <c r="BR11" s="202">
        <f t="shared" si="37"/>
        <v>0</v>
      </c>
      <c r="BS11" s="202">
        <f t="shared" si="37"/>
        <v>0</v>
      </c>
      <c r="BU11" s="205" t="s">
        <v>42</v>
      </c>
      <c r="BV11" s="202">
        <f>'Bilan 2015'!$E18+'Bilan 2015'!$I$13*'Bilan 2015'!$G$18/'Bilan 2015'!$H$13</f>
        <v>2.0937924633385379</v>
      </c>
      <c r="BW11" s="202">
        <f>'Bilan 2020'!$E18+'Bilan 2020'!$I$13*'Bilan 2020'!$G$18/'Bilan 2020'!$H$13</f>
        <v>6.5472625385522827</v>
      </c>
      <c r="BX11" s="202">
        <f>'Bilan 2023 réel'!$E18+'Bilan 2023 réel'!$I$13*'Bilan 2023 réel'!$G$18/'Bilan 2023 réel'!$H$13</f>
        <v>5.6657012927211037</v>
      </c>
      <c r="BY11" s="202">
        <f>'Bilan 2025 AMS'!$E18+'Bilan 2025 AMS'!$I$13*'Bilan 2025 AMS'!$G$18/'Bilan 2025 AMS'!$H$13</f>
        <v>0</v>
      </c>
      <c r="BZ11" s="202">
        <f>'Bilan 2028 AMS'!$E18+'Bilan 2028 AMS'!$I$13*'Bilan 2028 AMS'!$G$18/'Bilan 2028 AMS'!$H$13</f>
        <v>0</v>
      </c>
      <c r="CA11" s="202">
        <f>'Bilan 2030 AMS'!$E18+'Bilan 2030 AMS'!$I$13*'Bilan 2030 AMS'!$G$18/'Bilan 2030 AMS'!$H$13</f>
        <v>0</v>
      </c>
      <c r="CB11" s="202">
        <f>'Bilan 2033 AMS'!$E18+'Bilan 2033 AMS'!$I$13*'Bilan 2033 AMS'!$G$18/'Bilan 2033 AMS'!$H$13</f>
        <v>0</v>
      </c>
      <c r="CC11" s="202">
        <f>'Bilan 2035 AMS'!$E18+'Bilan 2035 AMS'!$I$13*'Bilan 2035 AMS'!$G$18/'Bilan 2035 AMS'!$H$13</f>
        <v>0</v>
      </c>
      <c r="CD11" s="202">
        <f>'Bilan 2038 AMS'!$E18+'Bilan 2038 AMS'!$I$13*'Bilan 2038 AMS'!$G$18/'Bilan 2038 AMS'!$H$13</f>
        <v>0</v>
      </c>
      <c r="CE11" s="202">
        <f>'Bilan 2040 AMS'!$E18+'Bilan 2040 AMS'!$I$13*'Bilan 2040 AMS'!$G$18/'Bilan 2040 AMS'!$H$13</f>
        <v>0</v>
      </c>
      <c r="CF11" s="202">
        <f>'Bilan 2045 AMS'!$E18+'Bilan 2045 AMS'!$I$13*'Bilan 2045 AMS'!$G$18/'Bilan 2045 AMS'!$H$13</f>
        <v>0</v>
      </c>
      <c r="CG11" s="202">
        <f>'Bilan 2050 AMS'!$E18+'Bilan 2050 AMS'!$I$13*'Bilan 2050 AMS'!$G$18/'Bilan 2050 AMS'!$H$13</f>
        <v>0</v>
      </c>
      <c r="CH11" s="206"/>
      <c r="CJ11" s="205" t="s">
        <v>42</v>
      </c>
      <c r="CK11" s="202">
        <f t="shared" si="38"/>
        <v>7.9921040170571458E-2</v>
      </c>
      <c r="CL11" s="202">
        <f t="shared" si="38"/>
        <v>8.7045000077838858E-2</v>
      </c>
      <c r="CM11" s="202">
        <f t="shared" si="38"/>
        <v>8.8706919811706697E-2</v>
      </c>
      <c r="CN11" s="202">
        <f t="shared" si="38"/>
        <v>0</v>
      </c>
      <c r="CO11" s="202">
        <f t="shared" si="38"/>
        <v>0</v>
      </c>
      <c r="CP11" s="202">
        <f t="shared" si="38"/>
        <v>0</v>
      </c>
      <c r="CQ11" s="202">
        <f t="shared" si="38"/>
        <v>0</v>
      </c>
      <c r="CR11" s="202">
        <f t="shared" si="38"/>
        <v>0</v>
      </c>
      <c r="CS11" s="202">
        <f t="shared" si="38"/>
        <v>0</v>
      </c>
      <c r="CT11" s="202">
        <f t="shared" si="38"/>
        <v>0</v>
      </c>
      <c r="CU11" s="202">
        <f t="shared" si="38"/>
        <v>0</v>
      </c>
      <c r="CV11" s="202">
        <f t="shared" si="38"/>
        <v>0</v>
      </c>
      <c r="CW11" s="206"/>
      <c r="CX11" s="193">
        <f t="shared" si="45"/>
        <v>2304</v>
      </c>
      <c r="CY11" s="205" t="s">
        <v>42</v>
      </c>
      <c r="CZ11" s="207" t="s">
        <v>275</v>
      </c>
      <c r="DA11" s="202">
        <f>'Bilan 2015'!$K$13*'Bilan 2015'!$G$18/SUM('Bilan 2015'!$G$7:$G$19)</f>
        <v>5.7493533778973496E-2</v>
      </c>
      <c r="DB11" s="202">
        <f>'Bilan 2020'!$K$13*'Bilan 2020'!$G$18/SUM('Bilan 2020'!$G$7:$G$19)</f>
        <v>0.20192268917742462</v>
      </c>
      <c r="DC11" s="202">
        <f>'Bilan 2023 réel'!$K$13*'Bilan 2023 réel'!$G$18/SUM('Bilan 2023 réel'!$G$7:$G$19)</f>
        <v>0.1754713617064815</v>
      </c>
      <c r="DD11" s="202">
        <f>'Bilan 2025 AMS'!$K$13*'Bilan 2025 AMS'!$G$18/SUM('Bilan 2025 AMS'!$G$7:$G$19)</f>
        <v>0</v>
      </c>
      <c r="DE11" s="202">
        <f>'Bilan 2028 AMS'!$K$13*'Bilan 2028 AMS'!$G$18/SUM('Bilan 2028 AMS'!$G$7:$G$19)</f>
        <v>0</v>
      </c>
      <c r="DF11" s="202">
        <f>'Bilan 2030 AMS'!$K$13*'Bilan 2030 AMS'!$G$18/SUM('Bilan 2030 AMS'!$G$7:$G$19)</f>
        <v>0</v>
      </c>
      <c r="DG11" s="202">
        <f>'Bilan 2033 AMS'!$K$13*'Bilan 2033 AMS'!$G$18/SUM('Bilan 2033 AMS'!$G$7:$G$19)</f>
        <v>0</v>
      </c>
      <c r="DH11" s="202">
        <f>'Bilan 2035 AMS'!$K$13*'Bilan 2035 AMS'!$G$18/SUM('Bilan 2035 AMS'!$G$7:$G$19)</f>
        <v>0</v>
      </c>
      <c r="DI11" s="202">
        <f>'Bilan 2038 AMS'!$K$13*'Bilan 2038 AMS'!$G$18/SUM('Bilan 2038 AMS'!$G$7:$G$19)</f>
        <v>0</v>
      </c>
      <c r="DJ11" s="202">
        <f>'Bilan 2040 AMS'!$K$13*'Bilan 2040 AMS'!$G$18/SUM('Bilan 2040 AMS'!$G$7:$G$19)</f>
        <v>0</v>
      </c>
      <c r="DK11" s="202">
        <f>'Bilan 2045 AMS'!$K$13*'Bilan 2045 AMS'!$G$18/SUM('Bilan 2045 AMS'!$G$7:$G$19)</f>
        <v>0</v>
      </c>
      <c r="DL11" s="202">
        <f>'Bilan 2050 AMS'!$K$13*'Bilan 2050 AMS'!$G$18/SUM('Bilan 2050 AMS'!$G$7:$G$19)</f>
        <v>0</v>
      </c>
    </row>
    <row r="12" spans="1:116" ht="12.75" x14ac:dyDescent="0.2">
      <c r="A12" s="203" t="s">
        <v>409</v>
      </c>
      <c r="B12" s="204">
        <f>'Bilan 2015'!$C$11+'Bilan 2015'!$C$19</f>
        <v>3.8621595626186735</v>
      </c>
      <c r="C12" s="204">
        <f>'Bilan 2020'!$C$11+'Bilan 2020'!$C$19</f>
        <v>60.547801107489889</v>
      </c>
      <c r="D12" s="204">
        <f>('Bilan 2023 réel'!$C$11+'Bilan 2023 réel'!$C$19)*(1-SUM('Bilan 2023 réel'!$M$13:$P$13)/'Bilan 2023 réel'!$D$13)</f>
        <v>52.478364285088631</v>
      </c>
      <c r="E12" s="204">
        <f>('Bilan 2025 AMS'!$C$11+'Bilan 2025 AMS'!$C$19)*(1-SUM('Bilan 2025 AMS'!$M$13:$P$13)/'Bilan 2025 AMS'!$D$13)</f>
        <v>64.980018541097138</v>
      </c>
      <c r="F12" s="204">
        <f>('Bilan 2028 AMS'!$C$11+'Bilan 2028 AMS'!$C$19)*(1-SUM('Bilan 2028 AMS'!$M$13:$P$13)/'Bilan 2028 AMS'!$D$13)</f>
        <v>63.399399973802588</v>
      </c>
      <c r="G12" s="204">
        <f>('Bilan 2030 AMS'!$C$11+'Bilan 2030 AMS'!$C$19)*(1-SUM('Bilan 2030 AMS'!$M$13:$P$13)/'Bilan 2030 AMS'!$D$13)</f>
        <v>47.799965385967084</v>
      </c>
      <c r="H12" s="204">
        <f>('Bilan 2033 AMS'!$C$11+'Bilan 2033 AMS'!$C$19)*(1-SUM('Bilan 2033 AMS'!$M$13:$P$13)/'Bilan 2033 AMS'!$D$13)</f>
        <v>39.305699030316497</v>
      </c>
      <c r="I12" s="204">
        <f>('Bilan 2035 AMS'!$C$11+'Bilan 2035 AMS'!$C$19)*(1-SUM('Bilan 2035 AMS'!$M$13:$P$13)/'Bilan 2035 AMS'!$D$13)</f>
        <v>33.795272357025034</v>
      </c>
      <c r="J12" s="204">
        <f>('Bilan 2038 AMS'!$C$11+'Bilan 2038 AMS'!$C$19)*(1-SUM('Bilan 2038 AMS'!$M$13:$P$13)/'Bilan 2038 AMS'!$D$13)</f>
        <v>13.360563797916061</v>
      </c>
      <c r="K12" s="204">
        <f>('Bilan 2040 AMS'!$C$11+'Bilan 2040 AMS'!$C$19)*(1-SUM('Bilan 2040 AMS'!$M$13:$P$13)/'Bilan 2040 AMS'!$D$13)</f>
        <v>0.11470403792605417</v>
      </c>
      <c r="L12" s="204">
        <f>('Bilan 2045 AMS'!$C$11+'Bilan 2045 AMS'!$C$19)*(1-SUM('Bilan 2045 AMS'!$M$13:$P$13)/'Bilan 2045 AMS'!$D$13)</f>
        <v>0.11128502515981105</v>
      </c>
      <c r="M12" s="204">
        <f>('Bilan 2050 AMS'!$C$11+'Bilan 2050 AMS'!$C$19)*(1-SUM('Bilan 2050 AMS'!$M$13:$P$13)/'Bilan 2050 AMS'!$D$13)</f>
        <v>0.10628900655137696</v>
      </c>
      <c r="N12" s="575"/>
      <c r="O12" s="575"/>
      <c r="P12" s="575"/>
      <c r="Q12" s="570" t="s">
        <v>17</v>
      </c>
      <c r="R12" s="205">
        <f t="shared" si="46"/>
        <v>2.6944655873275929</v>
      </c>
      <c r="S12" s="205">
        <f t="shared" si="46"/>
        <v>43.442050197585424</v>
      </c>
      <c r="T12" s="205">
        <f t="shared" si="46"/>
        <v>50.187689179373137</v>
      </c>
      <c r="U12" s="205">
        <f t="shared" ref="U12:AC12" si="48">E14</f>
        <v>63.705014221396183</v>
      </c>
      <c r="V12" s="205">
        <f t="shared" si="48"/>
        <v>74.943678987283775</v>
      </c>
      <c r="W12" s="205">
        <f t="shared" si="48"/>
        <v>82.212204565562459</v>
      </c>
      <c r="X12" s="205">
        <f t="shared" si="48"/>
        <v>119.99195103676033</v>
      </c>
      <c r="Y12" s="205">
        <f t="shared" si="48"/>
        <v>144.29205075409007</v>
      </c>
      <c r="Z12" s="205">
        <f t="shared" si="48"/>
        <v>175.64323985448814</v>
      </c>
      <c r="AA12" s="205">
        <f t="shared" si="48"/>
        <v>196.45300762448855</v>
      </c>
      <c r="AB12" s="205">
        <f t="shared" si="48"/>
        <v>234.43167244862141</v>
      </c>
      <c r="AC12" s="205">
        <f t="shared" si="48"/>
        <v>277.45007108305208</v>
      </c>
      <c r="AE12" s="205" t="s">
        <v>42</v>
      </c>
      <c r="AF12" s="205">
        <f>'Bilan 2015'!$S$13*'Bilan 2015'!$G$18/SUM('Bilan 2015'!$G$7:$G$19)</f>
        <v>0.71937919797174732</v>
      </c>
      <c r="AG12" s="205">
        <f>'Bilan 2020'!$S$13*'Bilan 2020'!$G$18/SUM('Bilan 2020'!$G$7:$G$19)</f>
        <v>2.3197505772515123</v>
      </c>
      <c r="AH12" s="205">
        <f>'Bilan 2023 réel'!$S$13*'Bilan 2023 réel'!$G$18/SUM('Bilan 2023 réel'!$G$7:$G$19)</f>
        <v>1.9781022955023679</v>
      </c>
      <c r="AI12" s="205">
        <f>'Bilan 2025 AMS'!$S$13*'Bilan 2025 AMS'!$G$18/SUM('Bilan 2025 AMS'!$G$7:$G$19)</f>
        <v>0</v>
      </c>
      <c r="AJ12" s="205">
        <f>'Bilan 2028 AMS'!$S$13*'Bilan 2028 AMS'!$G$18/SUM('Bilan 2028 AMS'!$G$7:$G$19)</f>
        <v>0</v>
      </c>
      <c r="AK12" s="205">
        <f>'Bilan 2030 AMS'!$S$13*'Bilan 2030 AMS'!$G$18/SUM('Bilan 2030 AMS'!$G$7:$G$19)</f>
        <v>0</v>
      </c>
      <c r="AL12" s="205">
        <f>'Bilan 2033 AMS'!$S$13*'Bilan 2033 AMS'!$G$18/SUM('Bilan 2033 AMS'!$G$7:$G$19)</f>
        <v>0</v>
      </c>
      <c r="AM12" s="205">
        <f>'Bilan 2035 AMS'!$S$13*'Bilan 2035 AMS'!$G$18/SUM('Bilan 2035 AMS'!$G$7:$G$19)</f>
        <v>0</v>
      </c>
      <c r="AN12" s="205">
        <f>'Bilan 2038 AMS'!$S$13*'Bilan 2038 AMS'!$G$18/SUM('Bilan 2038 AMS'!$G$7:$G$19)</f>
        <v>0</v>
      </c>
      <c r="AO12" s="205">
        <f>'Bilan 2040 AMS'!$S$13*'Bilan 2040 AMS'!$G$18/SUM('Bilan 2040 AMS'!$G$7:$G$19)</f>
        <v>0</v>
      </c>
      <c r="AP12" s="205">
        <f>'Bilan 2045 AMS'!$S$13*'Bilan 2045 AMS'!$G$18/SUM('Bilan 2045 AMS'!$G$7:$G$19)</f>
        <v>0</v>
      </c>
      <c r="AQ12" s="205">
        <f>'Bilan 2050 AMS'!$S$13*'Bilan 2050 AMS'!$G$18/SUM('Bilan 2050 AMS'!$G$7:$G$19)</f>
        <v>0</v>
      </c>
      <c r="AR12" s="206"/>
      <c r="AS12" s="205" t="s">
        <v>42</v>
      </c>
      <c r="AT12" s="205">
        <f>'Bilan 2015'!$S$13*'Bilan 2015'!$G$18/SUM('Bilan 2015'!$G$7:$G$19)</f>
        <v>0.71937919797174732</v>
      </c>
      <c r="AU12" s="205">
        <f>'Bilan 2020'!$S$13*'Bilan 2020'!$G$18/SUM('Bilan 2020'!$G$7:$G$19)</f>
        <v>2.3197505772515123</v>
      </c>
      <c r="AV12" s="205">
        <f>'Bilan 2023 réel'!$S$13*'Bilan 2023 réel'!$G$18/SUM('Bilan 2023 réel'!$G$7:$G$19)</f>
        <v>1.9781022955023679</v>
      </c>
      <c r="AW12" s="205">
        <f>'Bilan 2025 AMS'!$S$13*'Bilan 2025 AMS'!$G$18/SUM('Bilan 2025 AMS'!$G$7:$G$19)+0.6</f>
        <v>0.6</v>
      </c>
      <c r="AX12" s="205">
        <f>'Bilan 2028 AMS'!$S$13*'Bilan 2028 AMS'!$G$18/SUM('Bilan 2028 AMS'!$G$7:$G$19)+0.2</f>
        <v>0.2</v>
      </c>
      <c r="AY12" s="205">
        <f>'Bilan 2030 AMS'!$S$13*'Bilan 2030 AMS'!$G$18/SUM('Bilan 2030 AMS'!$G$7:$G$19)+0.2</f>
        <v>0.2</v>
      </c>
      <c r="AZ12" s="205">
        <f>'Bilan 2033 AMS'!$S$13*'Bilan 2033 AMS'!$G$18/SUM('Bilan 2033 AMS'!$G$7:$G$19)+0.1</f>
        <v>0.1</v>
      </c>
      <c r="BA12" s="205">
        <f>'Bilan 2035 AMS'!$S$13*'Bilan 2035 AMS'!$G$18/SUM('Bilan 2035 AMS'!$G$7:$G$19)+0.1</f>
        <v>0.1</v>
      </c>
      <c r="BB12" s="205">
        <f>'Bilan 2038 AMS'!$S$13*'Bilan 2038 AMS'!$G$18/SUM('Bilan 2038 AMS'!$G$7:$G$19)+0.1</f>
        <v>0.1</v>
      </c>
      <c r="BC12" s="205">
        <f>'Bilan 2040 AMS'!$S$13*'Bilan 2040 AMS'!$G$18/SUM('Bilan 2040 AMS'!$G$7:$G$19)+0.1</f>
        <v>0.1</v>
      </c>
      <c r="BD12" s="205">
        <f>'Bilan 2045 AMS'!$S$13*'Bilan 2045 AMS'!$G$18/SUM('Bilan 2045 AMS'!$G$7:$G$19)+0.1</f>
        <v>0.1</v>
      </c>
      <c r="BE12" s="205">
        <f>'Bilan 2050 AMS'!$S$13*'Bilan 2050 AMS'!$G$18/SUM('Bilan 2050 AMS'!$G$7:$G$19)+0.1</f>
        <v>0.1</v>
      </c>
      <c r="BF12" s="216"/>
      <c r="BG12" s="205" t="s">
        <v>411</v>
      </c>
      <c r="BH12" s="202">
        <f t="shared" si="37"/>
        <v>1.2659435231846794</v>
      </c>
      <c r="BI12" s="202">
        <f t="shared" si="37"/>
        <v>1.2336304060359773</v>
      </c>
      <c r="BJ12" s="202">
        <f t="shared" si="37"/>
        <v>1.2525633818860953</v>
      </c>
      <c r="BK12" s="202">
        <f t="shared" si="37"/>
        <v>1.0017423627763757</v>
      </c>
      <c r="BL12" s="202">
        <f t="shared" si="37"/>
        <v>0.97837999749184368</v>
      </c>
      <c r="BM12" s="202">
        <f t="shared" si="37"/>
        <v>0.95199007355690357</v>
      </c>
      <c r="BN12" s="202">
        <f t="shared" si="37"/>
        <v>0.9989068736630905</v>
      </c>
      <c r="BO12" s="202">
        <f t="shared" si="37"/>
        <v>1.0191279185009303</v>
      </c>
      <c r="BP12" s="202">
        <f t="shared" si="37"/>
        <v>1.0474754206193628</v>
      </c>
      <c r="BQ12" s="202">
        <f t="shared" si="37"/>
        <v>9.0705073054362317E-2</v>
      </c>
      <c r="BR12" s="202">
        <f t="shared" si="37"/>
        <v>9.0656025142442143E-2</v>
      </c>
      <c r="BS12" s="202">
        <f t="shared" si="37"/>
        <v>9.1154953481099171E-2</v>
      </c>
      <c r="BU12" s="205" t="s">
        <v>411</v>
      </c>
      <c r="BV12" s="202">
        <f>'Bilan 2015'!$E$11+'Bilan 2015'!$I$13*'Bilan 2015'!$G$11/'Bilan 2015'!$H$13</f>
        <v>1.4033924673450996E-2</v>
      </c>
      <c r="BW12" s="202">
        <f>'Bilan 2020'!$E$11+'Bilan 2020'!$I$13*'Bilan 2020'!$G$11/'Bilan 2020'!$H$13</f>
        <v>2.5937613317043193</v>
      </c>
      <c r="BX12" s="202">
        <f>'Bilan 2023 réel'!$E$11+'Bilan 2023 réel'!$I$13*'Bilan 2023 réel'!$G$11/'Bilan 2023 réel'!$H$13</f>
        <v>3.2377513018932209</v>
      </c>
      <c r="BY12" s="202">
        <f>'Bilan 2025 AMS'!$E$11+'Bilan 2025 AMS'!$I$13*'Bilan 2025 AMS'!$G$11/'Bilan 2025 AMS'!$H$13</f>
        <v>3.5646904701054152</v>
      </c>
      <c r="BZ12" s="202">
        <f>'Bilan 2028 AMS'!$E$11+'Bilan 2028 AMS'!$I$13*'Bilan 2028 AMS'!$G$11/'Bilan 2028 AMS'!$H$13</f>
        <v>4.8934297697960627</v>
      </c>
      <c r="CA12" s="202">
        <f>'Bilan 2030 AMS'!$E$11+'Bilan 2030 AMS'!$I$13*'Bilan 2030 AMS'!$G$11/'Bilan 2030 AMS'!$H$13</f>
        <v>4.7998420199987351</v>
      </c>
      <c r="CB12" s="202">
        <f>'Bilan 2033 AMS'!$E$11+'Bilan 2033 AMS'!$I$13*'Bilan 2033 AMS'!$G$11/'Bilan 2033 AMS'!$H$13</f>
        <v>4.2270066423872734</v>
      </c>
      <c r="CC12" s="202">
        <f>'Bilan 2035 AMS'!$E$11+'Bilan 2035 AMS'!$I$13*'Bilan 2035 AMS'!$G$11/'Bilan 2035 AMS'!$H$13</f>
        <v>3.7557275237303469</v>
      </c>
      <c r="CD12" s="202">
        <f>'Bilan 2038 AMS'!$E$11+'Bilan 2038 AMS'!$I$13*'Bilan 2038 AMS'!$G$11/'Bilan 2038 AMS'!$H$13</f>
        <v>2.1714634066866658</v>
      </c>
      <c r="CE12" s="202">
        <f>'Bilan 2040 AMS'!$E$11+'Bilan 2040 AMS'!$I$13*'Bilan 2040 AMS'!$G$11/'Bilan 2040 AMS'!$H$13</f>
        <v>4.9563128189129564E-2</v>
      </c>
      <c r="CF12" s="202">
        <f>'Bilan 2045 AMS'!$E$11+'Bilan 2045 AMS'!$I$13*'Bilan 2045 AMS'!$G$11/'Bilan 2045 AMS'!$H$13</f>
        <v>4.967634902993244E-2</v>
      </c>
      <c r="CG12" s="202">
        <f>'Bilan 2050 AMS'!$E$11+'Bilan 2050 AMS'!$I$13*'Bilan 2050 AMS'!$G$11/'Bilan 2050 AMS'!$H$13</f>
        <v>4.9986749154391816E-2</v>
      </c>
      <c r="CH12" s="206"/>
      <c r="CJ12" s="205" t="s">
        <v>411</v>
      </c>
      <c r="CK12" s="202">
        <f t="shared" si="38"/>
        <v>7.9921040170571472E-2</v>
      </c>
      <c r="CL12" s="202">
        <f t="shared" si="38"/>
        <v>8.7045000077838844E-2</v>
      </c>
      <c r="CM12" s="202">
        <f t="shared" si="38"/>
        <v>8.8706919811706683E-2</v>
      </c>
      <c r="CN12" s="202">
        <f t="shared" si="38"/>
        <v>9.655299792449358E-2</v>
      </c>
      <c r="CO12" s="202">
        <f t="shared" si="38"/>
        <v>9.7666849173475512E-2</v>
      </c>
      <c r="CP12" s="202">
        <f t="shared" si="38"/>
        <v>9.8605976654381505E-2</v>
      </c>
      <c r="CQ12" s="202">
        <f t="shared" si="38"/>
        <v>0.10007376323148802</v>
      </c>
      <c r="CR12" s="202">
        <f t="shared" si="38"/>
        <v>0.10092604206053198</v>
      </c>
      <c r="CS12" s="202">
        <f t="shared" si="38"/>
        <v>0.10222863922040162</v>
      </c>
      <c r="CT12" s="202">
        <f t="shared" si="38"/>
        <v>8.7539974792749265E-3</v>
      </c>
      <c r="CU12" s="202">
        <f t="shared" si="38"/>
        <v>9.5514972688708448E-3</v>
      </c>
      <c r="CV12" s="202">
        <f t="shared" si="38"/>
        <v>1.0101430980503175E-2</v>
      </c>
      <c r="CW12" s="206"/>
      <c r="CY12" s="205" t="s">
        <v>21</v>
      </c>
      <c r="DA12" s="202">
        <f>'Bilan 2015'!$K$13*'Bilan 2015'!$G$11/SUM('Bilan 2015'!$G$7:$G$19)</f>
        <v>8.8598411938320583E-4</v>
      </c>
      <c r="DB12" s="202">
        <f>'Bilan 2020'!$K$13*'Bilan 2020'!$G$11/SUM('Bilan 2020'!$G$7:$G$19)</f>
        <v>0.18301588078197342</v>
      </c>
      <c r="DC12" s="202">
        <f>'Bilan 2023 réel'!$K$13*'Bilan 2023 réel'!$G$11/SUM('Bilan 2023 réel'!$G$7:$G$19)</f>
        <v>0.22929853232242189</v>
      </c>
      <c r="DD12" s="202">
        <f>'Bilan 2025 AMS'!$K$13*'Bilan 2025 AMS'!$G$11/SUM('Bilan 2025 AMS'!$G$7:$G$19)</f>
        <v>0.34358290549641418</v>
      </c>
      <c r="DE12" s="202">
        <f>'Bilan 2028 AMS'!$K$13*'Bilan 2028 AMS'!$G$11/SUM('Bilan 2028 AMS'!$G$7:$G$19)</f>
        <v>0.48848695649223073</v>
      </c>
      <c r="DF12" s="202">
        <f>'Bilan 2030 AMS'!$K$13*'Bilan 2030 AMS'!$G$11/SUM('Bilan 2030 AMS'!$G$7:$G$19)</f>
        <v>0.49716181220289196</v>
      </c>
      <c r="DG12" s="202">
        <f>'Bilan 2033 AMS'!$K$13*'Bilan 2033 AMS'!$G$11/SUM('Bilan 2033 AMS'!$G$7:$G$19)</f>
        <v>0.42347537399253499</v>
      </c>
      <c r="DH12" s="202">
        <f>'Bilan 2035 AMS'!$K$13*'Bilan 2035 AMS'!$G$11/SUM('Bilan 2035 AMS'!$G$7:$G$19)</f>
        <v>0.3719363459156973</v>
      </c>
      <c r="DI12" s="202">
        <f>'Bilan 2038 AMS'!$K$13*'Bilan 2038 AMS'!$G$11/SUM('Bilan 2038 AMS'!$G$7:$G$19)</f>
        <v>0.21192454239281072</v>
      </c>
      <c r="DJ12" s="202">
        <f>'Bilan 2040 AMS'!$K$13*'Bilan 2040 AMS'!$G$11/SUM('Bilan 2040 AMS'!$G$7:$G$19)</f>
        <v>4.7833653027607994E-3</v>
      </c>
      <c r="DK12" s="202">
        <f>'Bilan 2045 AMS'!$K$13*'Bilan 2045 AMS'!$G$11/SUM('Bilan 2045 AMS'!$G$7:$G$19)</f>
        <v>5.2338883305477852E-3</v>
      </c>
      <c r="DL12" s="202">
        <f>'Bilan 2050 AMS'!$K$13*'Bilan 2050 AMS'!$G$11/SUM('Bilan 2050 AMS'!$G$7:$G$19)</f>
        <v>5.5393335988867835E-3</v>
      </c>
    </row>
    <row r="13" spans="1:116" ht="15" x14ac:dyDescent="0.25">
      <c r="A13" s="203" t="s">
        <v>42</v>
      </c>
      <c r="B13" s="205">
        <f>'Bilan 2015'!$C$18</f>
        <v>2.993512517722364</v>
      </c>
      <c r="C13" s="205">
        <f>'Bilan 2020'!$C$18</f>
        <v>9.3252829217432893</v>
      </c>
      <c r="D13" s="205">
        <f>'Bilan 2023 réel'!$C$18*(1-SUM('Bilan 2023 réel'!$M$13:$P$13)/'Bilan 2023 réel'!$D$13)</f>
        <v>8.0663799447291211</v>
      </c>
      <c r="E13" s="205">
        <f>'Bilan 2025 AMS'!$C$18*(1-SUM('Bilan 2025 AMS'!$M$13:$P$13)/'Bilan 2025 AMS'!$D$13)</f>
        <v>0</v>
      </c>
      <c r="F13" s="205">
        <f>'Bilan 2028 AMS'!$C$18*(1-SUM('Bilan 2028 AMS'!$M$13:$P$13)/'Bilan 2028 AMS'!$D$13)</f>
        <v>0</v>
      </c>
      <c r="G13" s="205">
        <f>'Bilan 2030 AMS'!$C$18*(1-SUM('Bilan 2030 AMS'!$M$13:$P$13)/'Bilan 2030 AMS'!$D$13)</f>
        <v>0</v>
      </c>
      <c r="H13" s="205">
        <f>'Bilan 2033 AMS'!$C$18*(1-SUM('Bilan 2033 AMS'!$M$13:$P$13)/'Bilan 2033 AMS'!$D$13)</f>
        <v>0</v>
      </c>
      <c r="I13" s="205">
        <f>'Bilan 2035 AMS'!$C$18*(1-SUM('Bilan 2035 AMS'!$M$13:$P$13)/'Bilan 2035 AMS'!$D$13)</f>
        <v>0</v>
      </c>
      <c r="J13" s="205">
        <f>'Bilan 2038 AMS'!$C$18*(1-SUM('Bilan 2038 AMS'!$M$13:$P$13)/'Bilan 2038 AMS'!$D$13)</f>
        <v>0</v>
      </c>
      <c r="K13" s="205">
        <f>'Bilan 2040 AMS'!$C$18*(1-SUM('Bilan 2040 AMS'!$M$13:$P$13)/'Bilan 2040 AMS'!$D$13)</f>
        <v>0</v>
      </c>
      <c r="L13" s="205">
        <f>'Bilan 2045 AMS'!$C$18*(1-SUM('Bilan 2045 AMS'!$M$13:$P$13)/'Bilan 2045 AMS'!$D$13)</f>
        <v>0</v>
      </c>
      <c r="M13" s="205">
        <f>'Bilan 2050 AMS'!$C$18*(1-SUM('Bilan 2050 AMS'!$M$13:$P$13)/'Bilan 2050 AMS'!$D$13)</f>
        <v>0</v>
      </c>
      <c r="N13" s="575"/>
      <c r="O13" s="575"/>
      <c r="P13" s="575"/>
      <c r="Q13" s="570" t="s">
        <v>279</v>
      </c>
      <c r="R13" s="205">
        <f t="shared" ref="R13:AC14" si="49">B17</f>
        <v>1.1874648021075129</v>
      </c>
      <c r="S13" s="205">
        <f t="shared" si="49"/>
        <v>19.145134301820498</v>
      </c>
      <c r="T13" s="205">
        <f t="shared" si="49"/>
        <v>21.280148849125204</v>
      </c>
      <c r="U13" s="205">
        <f t="shared" si="49"/>
        <v>34.4554725850738</v>
      </c>
      <c r="V13" s="205">
        <f t="shared" si="49"/>
        <v>55.929797076784254</v>
      </c>
      <c r="W13" s="205">
        <f t="shared" si="49"/>
        <v>70.103776469794326</v>
      </c>
      <c r="X13" s="205">
        <f t="shared" si="49"/>
        <v>86.071786771446483</v>
      </c>
      <c r="Y13" s="205">
        <f t="shared" si="49"/>
        <v>96.676808506152653</v>
      </c>
      <c r="Z13" s="205">
        <f t="shared" si="49"/>
        <v>115.76506572561578</v>
      </c>
      <c r="AA13" s="205">
        <f t="shared" si="49"/>
        <v>128.43429844802384</v>
      </c>
      <c r="AB13" s="205">
        <f t="shared" si="49"/>
        <v>150.93411483937376</v>
      </c>
      <c r="AC13" s="205">
        <f t="shared" si="49"/>
        <v>176.85583904561736</v>
      </c>
      <c r="AD13" s="193">
        <f>AD11+1</f>
        <v>2305</v>
      </c>
      <c r="AE13" s="205" t="s">
        <v>21</v>
      </c>
      <c r="AF13" s="205">
        <f>'Bilan 2015'!$S$13*'Bilan 2015'!$G$11/'Bilan 2015'!$H$13</f>
        <v>1.1085743097090508E-2</v>
      </c>
      <c r="AG13" s="205">
        <f>'Bilan 2020'!$S$13*'Bilan 2020'!$G$11/'Bilan 2020'!$H$13</f>
        <v>2.1025432893137328</v>
      </c>
      <c r="AH13" s="205">
        <f>'Bilan 2023 réel'!$S$13*'Bilan 2023 réel'!$G$11/'Bilan 2023 réel'!$H$13</f>
        <v>2.5849001724909546</v>
      </c>
      <c r="AI13" s="205">
        <f>'Bilan 2025 AMS'!$S$13*'Bilan 2025 AMS'!$G$11/'Bilan 2025 AMS'!$H$13</f>
        <v>3.5584902890856176</v>
      </c>
      <c r="AJ13" s="205">
        <f>'Bilan 2028 AMS'!$S$13*'Bilan 2028 AMS'!$G$11/'Bilan 2028 AMS'!$H$13</f>
        <v>5.0015635870937327</v>
      </c>
      <c r="AK13" s="205">
        <f>'Bilan 2030 AMS'!$S$13*'Bilan 2030 AMS'!$G$11/'Bilan 2030 AMS'!$H$13</f>
        <v>5.0419034329477519</v>
      </c>
      <c r="AL13" s="205">
        <f>'Bilan 2033 AMS'!$S$13*'Bilan 2033 AMS'!$G$11/'Bilan 2033 AMS'!$H$13</f>
        <v>4.2316323511584431</v>
      </c>
      <c r="AM13" s="205">
        <f>'Bilan 2035 AMS'!$S$13*'Bilan 2035 AMS'!$G$11/'Bilan 2035 AMS'!$H$13</f>
        <v>3.6852366180437617</v>
      </c>
      <c r="AN13" s="205">
        <f>'Bilan 2038 AMS'!$S$13*'Bilan 2038 AMS'!$G$11/'Bilan 2038 AMS'!$H$13</f>
        <v>2.073044735887644</v>
      </c>
      <c r="AO13" s="205">
        <f>'Bilan 2040 AMS'!$S$13*'Bilan 2040 AMS'!$G$11/'Bilan 2040 AMS'!$H$13</f>
        <v>4.6420685416623496E-2</v>
      </c>
      <c r="AP13" s="205">
        <f>'Bilan 2045 AMS'!$S$13*'Bilan 2045 AMS'!$G$11/'Bilan 2045 AMS'!$H$13</f>
        <v>4.7965222960957107E-2</v>
      </c>
      <c r="AQ13" s="205">
        <f>'Bilan 2050 AMS'!$S$13*'Bilan 2050 AMS'!$G$11/'Bilan 2050 AMS'!$H$13</f>
        <v>4.8371177269664105E-2</v>
      </c>
      <c r="AR13" s="206"/>
      <c r="AS13" s="205" t="s">
        <v>411</v>
      </c>
      <c r="AT13" s="205">
        <f>'Bilan 2015'!$S$13*'Bilan 2015'!$G$11/'Bilan 2015'!$H$13</f>
        <v>1.1085743097090508E-2</v>
      </c>
      <c r="AU13" s="205">
        <f>'Bilan 2020'!$S$13*'Bilan 2020'!$G$11/'Bilan 2020'!$H$13</f>
        <v>2.1025432893137328</v>
      </c>
      <c r="AV13" s="205">
        <f>'Bilan 2023 réel'!$S$13*'Bilan 2023 réel'!$G$11/'Bilan 2023 réel'!$H$13</f>
        <v>2.5849001724909546</v>
      </c>
      <c r="AW13" s="205">
        <f>'Bilan 2025 AMS'!$S$13*'Bilan 2025 AMS'!$G$11/'Bilan 2025 AMS'!$H$13</f>
        <v>3.5584902890856176</v>
      </c>
      <c r="AX13" s="205">
        <f>'Bilan 2028 AMS'!$S$13*'Bilan 2028 AMS'!$G$11/'Bilan 2028 AMS'!$H$13</f>
        <v>5.0015635870937327</v>
      </c>
      <c r="AY13" s="205">
        <f>'Bilan 2030 AMS'!$S$13*'Bilan 2030 AMS'!$G$11/'Bilan 2030 AMS'!$H$13</f>
        <v>5.0419034329477519</v>
      </c>
      <c r="AZ13" s="205">
        <f>'Bilan 2033 AMS'!$S$13*'Bilan 2033 AMS'!$G$11/'Bilan 2033 AMS'!$H$13</f>
        <v>4.2316323511584431</v>
      </c>
      <c r="BA13" s="205">
        <f>'Bilan 2035 AMS'!$S$13*'Bilan 2035 AMS'!$G$11/'Bilan 2035 AMS'!$H$13</f>
        <v>3.6852366180437617</v>
      </c>
      <c r="BB13" s="205">
        <f>'Bilan 2038 AMS'!$S$13*'Bilan 2038 AMS'!$G$11/'Bilan 2038 AMS'!$H$13</f>
        <v>2.073044735887644</v>
      </c>
      <c r="BC13" s="205">
        <f>'Bilan 2040 AMS'!$S$13*'Bilan 2040 AMS'!$G$11/'Bilan 2040 AMS'!$H$13+0.5</f>
        <v>0.54642068541662348</v>
      </c>
      <c r="BD13" s="205">
        <f>'Bilan 2045 AMS'!$S$13*'Bilan 2045 AMS'!$G$11/'Bilan 2045 AMS'!$H$13+0.5</f>
        <v>0.54796522296095707</v>
      </c>
      <c r="BE13" s="205">
        <f>'Bilan 2050 AMS'!$S$13*'Bilan 2050 AMS'!$G$11/'Bilan 2050 AMS'!$H$13+0.5</f>
        <v>0.54837117726966411</v>
      </c>
      <c r="BF13" s="216"/>
      <c r="BG13" s="205" t="s">
        <v>17</v>
      </c>
      <c r="BH13" s="202">
        <f t="shared" si="37"/>
        <v>7.3059440569521336E-2</v>
      </c>
      <c r="BI13" s="202">
        <f t="shared" si="37"/>
        <v>8.1250264353294369E-2</v>
      </c>
      <c r="BJ13" s="202">
        <f t="shared" si="37"/>
        <v>8.3589069602188093E-2</v>
      </c>
      <c r="BK13" s="202">
        <f t="shared" si="37"/>
        <v>7.9974190952024529E-2</v>
      </c>
      <c r="BL13" s="202">
        <f t="shared" si="37"/>
        <v>7.3692370852456821E-2</v>
      </c>
      <c r="BM13" s="202">
        <f t="shared" si="37"/>
        <v>6.8873082581662956E-2</v>
      </c>
      <c r="BN13" s="202">
        <f t="shared" si="37"/>
        <v>6.9725612463465897E-2</v>
      </c>
      <c r="BO13" s="202">
        <f t="shared" si="37"/>
        <v>6.9596502412558145E-2</v>
      </c>
      <c r="BP13" s="202">
        <f t="shared" si="37"/>
        <v>7.0973545231121704E-2</v>
      </c>
      <c r="BQ13" s="202">
        <f t="shared" si="37"/>
        <v>7.1949449992820283E-2</v>
      </c>
      <c r="BR13" s="202">
        <f t="shared" si="37"/>
        <v>6.8493557460202192E-2</v>
      </c>
      <c r="BS13" s="202">
        <f t="shared" si="37"/>
        <v>6.5539114746845525E-2</v>
      </c>
      <c r="BU13" s="205" t="s">
        <v>17</v>
      </c>
      <c r="BV13" s="202">
        <f>'Bilan 2015'!$E7+'Bilan 2015'!$I$13*'Bilan 2015'!$G$7/'Bilan 2015'!$H$13</f>
        <v>0.14871108343599457</v>
      </c>
      <c r="BW13" s="202">
        <f>'Bilan 2020'!$E7+'Bilan 2020'!$I$13*'Bilan 2020'!$G$7/'Bilan 2020'!$H$13</f>
        <v>2.7601451899707077</v>
      </c>
      <c r="BX13" s="202">
        <f>'Bilan 2023 réel'!$E7+'Bilan 2023 réel'!$I$13*'Bilan 2023 réel'!$G$7/'Bilan 2023 réel'!$H$13</f>
        <v>3.2339575927557758</v>
      </c>
      <c r="BY13" s="202">
        <f>'Bilan 2025 AMS'!$E7+'Bilan 2025 AMS'!$I$13*'Bilan 2025 AMS'!$G$7/'Bilan 2025 AMS'!$H$13</f>
        <v>3.6896882547145955</v>
      </c>
      <c r="BZ13" s="202">
        <f>'Bilan 2028 AMS'!$E7+'Bilan 2028 AMS'!$I$13*'Bilan 2028 AMS'!$G$7/'Bilan 2028 AMS'!$H$13</f>
        <v>4.0998209185184331</v>
      </c>
      <c r="CA13" s="202">
        <f>'Bilan 2030 AMS'!$E7+'Bilan 2030 AMS'!$I$13*'Bilan 2030 AMS'!$G$7/'Bilan 2030 AMS'!$H$13</f>
        <v>4.3295303603467961</v>
      </c>
      <c r="CB13" s="202">
        <f>'Bilan 2033 AMS'!$E7+'Bilan 2033 AMS'!$I$13*'Bilan 2033 AMS'!$G$7/'Bilan 2033 AMS'!$H$13</f>
        <v>6.1118525786211544</v>
      </c>
      <c r="CC13" s="202">
        <f>'Bilan 2035 AMS'!$E7+'Bilan 2035 AMS'!$I$13*'Bilan 2035 AMS'!$G$7/'Bilan 2035 AMS'!$H$13</f>
        <v>7.2032306774926083</v>
      </c>
      <c r="CD13" s="202">
        <f>'Bilan 2038 AMS'!$E7+'Bilan 2038 AMS'!$I$13*'Bilan 2038 AMS'!$G$7/'Bilan 2038 AMS'!$H$13</f>
        <v>8.7344683375370593</v>
      </c>
      <c r="CE13" s="202">
        <f>'Bilan 2040 AMS'!$E7+'Bilan 2040 AMS'!$I$13*'Bilan 2040 AMS'!$G$7/'Bilan 2040 AMS'!$H$13</f>
        <v>9.7389987420916135</v>
      </c>
      <c r="CF13" s="202">
        <f>'Bilan 2045 AMS'!$E7+'Bilan 2045 AMS'!$I$13*'Bilan 2045 AMS'!$G$7/'Bilan 2045 AMS'!$H$13</f>
        <v>11.756537546158931</v>
      </c>
      <c r="CG13" s="202">
        <f>'Bilan 2050 AMS'!$E7+'Bilan 2050 AMS'!$I$13*'Bilan 2050 AMS'!$G$7/'Bilan 2050 AMS'!$H$13</f>
        <v>13.7921658416697</v>
      </c>
      <c r="CH13" s="206"/>
      <c r="CJ13" s="205" t="s">
        <v>17</v>
      </c>
      <c r="CK13" s="202">
        <f t="shared" si="38"/>
        <v>7.9921040170571458E-2</v>
      </c>
      <c r="CL13" s="202">
        <f t="shared" si="38"/>
        <v>8.7045000077838858E-2</v>
      </c>
      <c r="CM13" s="202">
        <f t="shared" si="38"/>
        <v>8.8706919811706711E-2</v>
      </c>
      <c r="CN13" s="202">
        <f t="shared" si="38"/>
        <v>9.6552997924493567E-2</v>
      </c>
      <c r="CO13" s="202">
        <f t="shared" si="38"/>
        <v>9.7666849173475526E-2</v>
      </c>
      <c r="CP13" s="202">
        <f t="shared" si="38"/>
        <v>9.8605976654381505E-2</v>
      </c>
      <c r="CQ13" s="202">
        <f t="shared" si="38"/>
        <v>0.10007376323148802</v>
      </c>
      <c r="CR13" s="202">
        <f t="shared" si="38"/>
        <v>0.10092604206053198</v>
      </c>
      <c r="CS13" s="202">
        <f t="shared" si="38"/>
        <v>0.10222863922040164</v>
      </c>
      <c r="CT13" s="202">
        <f t="shared" si="38"/>
        <v>0.10304383185707659</v>
      </c>
      <c r="CU13" s="202">
        <f t="shared" si="38"/>
        <v>0.10911839886177706</v>
      </c>
      <c r="CV13" s="202">
        <f t="shared" si="38"/>
        <v>0.11451723756909191</v>
      </c>
      <c r="CW13" s="206"/>
      <c r="CX13" s="193">
        <f>CX11+1</f>
        <v>2305</v>
      </c>
      <c r="CY13" s="205" t="s">
        <v>414</v>
      </c>
      <c r="CZ13" s="207" t="s">
        <v>276</v>
      </c>
      <c r="DA13" s="202">
        <f>'Bilan 2015'!$K$13*'Bilan 2015'!$G$7/SUM('Bilan 2015'!$G$7:$G$19)</f>
        <v>0.1626777372020492</v>
      </c>
      <c r="DB13" s="202">
        <f>'Bilan 2020'!$K$13*'Bilan 2020'!$G$7/SUM('Bilan 2020'!$G$7:$G$19)</f>
        <v>2.9569976194927343</v>
      </c>
      <c r="DC13" s="202">
        <f>'Bilan 2023 réel'!$K$13*'Bilan 2023 réel'!$G$7/SUM('Bilan 2023 réel'!$G$7:$G$19)</f>
        <v>3.4319608798174399</v>
      </c>
      <c r="DD13" s="202">
        <f>'Bilan 2025 AMS'!$K$13*'Bilan 2025 AMS'!$G$7/SUM('Bilan 2025 AMS'!$G$7:$G$19)</f>
        <v>4.4545678819457715</v>
      </c>
      <c r="DE13" s="202">
        <f>'Bilan 2028 AMS'!$K$13*'Bilan 2028 AMS'!$G$7/SUM('Bilan 2028 AMS'!$G$7:$G$19)</f>
        <v>5.4336234084379473</v>
      </c>
      <c r="DF13" s="202">
        <f>'Bilan 2030 AMS'!$K$13*'Bilan 2030 AMS'!$G$7/SUM('Bilan 2030 AMS'!$G$7:$G$19)</f>
        <v>6.198612776342558</v>
      </c>
      <c r="DG13" s="202">
        <f>'Bilan 2033 AMS'!$K$13*'Bilan 2033 AMS'!$G$7/SUM('Bilan 2033 AMS'!$G$7:$G$19)</f>
        <v>8.7720432456462341</v>
      </c>
      <c r="DH13" s="202">
        <f>'Bilan 2035 AMS'!$K$13*'Bilan 2035 AMS'!$G$7/SUM('Bilan 2035 AMS'!$G$7:$G$19)</f>
        <v>10.445834734895428</v>
      </c>
      <c r="DI13" s="202">
        <f>'Bilan 2038 AMS'!$K$13*'Bilan 2038 AMS'!$G$7/SUM('Bilan 2038 AMS'!$G$7:$G$19)</f>
        <v>12.580924477597568</v>
      </c>
      <c r="DJ13" s="202">
        <f>'Bilan 2040 AMS'!$K$13*'Bilan 2040 AMS'!$G$7/SUM('Bilan 2040 AMS'!$G$7:$G$19)</f>
        <v>13.947900212392321</v>
      </c>
      <c r="DK13" s="202">
        <f>'Bilan 2045 AMS'!$K$13*'Bilan 2045 AMS'!$G$7/SUM('Bilan 2045 AMS'!$G$7:$G$19)</f>
        <v>18.729565243280344</v>
      </c>
      <c r="DL13" s="202">
        <f>'Bilan 2050 AMS'!$K$13*'Bilan 2050 AMS'!$G$7/SUM('Bilan 2050 AMS'!$G$7:$G$19)</f>
        <v>24.099207601195495</v>
      </c>
    </row>
    <row r="14" spans="1:116" ht="15" x14ac:dyDescent="0.25">
      <c r="A14" s="203" t="s">
        <v>17</v>
      </c>
      <c r="B14" s="204">
        <f>'Bilan 2015'!$C7+'Bilan 2015'!$C15</f>
        <v>2.6944655873275929</v>
      </c>
      <c r="C14" s="204">
        <f>'Bilan 2020'!$C7+'Bilan 2020'!$C15</f>
        <v>43.442050197585424</v>
      </c>
      <c r="D14" s="204">
        <f>('Bilan 2023 réel'!$C7+'Bilan 2023 réel'!$C15)*(1-SUM('Bilan 2023 réel'!$M$13:$P$13)/'Bilan 2023 réel'!$D$13)</f>
        <v>50.187689179373137</v>
      </c>
      <c r="E14" s="204">
        <f>('Bilan 2025 AMS'!$C7+'Bilan 2025 AMS'!$C15)*(1-SUM('Bilan 2025 AMS'!$M$13:$P$13)/'Bilan 2025 AMS'!$D$13)</f>
        <v>63.705014221396183</v>
      </c>
      <c r="F14" s="204">
        <f>('Bilan 2028 AMS'!$C7+'Bilan 2028 AMS'!$C15)*(1-SUM('Bilan 2028 AMS'!$M$13:$P$13)/'Bilan 2028 AMS'!$D$13)</f>
        <v>74.943678987283775</v>
      </c>
      <c r="G14" s="204">
        <f>('Bilan 2030 AMS'!$C7+'Bilan 2030 AMS'!$C15)*(1-SUM('Bilan 2030 AMS'!$M$13:$P$13)/'Bilan 2030 AMS'!$D$13)</f>
        <v>82.212204565562459</v>
      </c>
      <c r="H14" s="204">
        <f>('Bilan 2033 AMS'!$C7+'Bilan 2033 AMS'!$C15)*(1-SUM('Bilan 2033 AMS'!$M$13:$P$13)/'Bilan 2033 AMS'!$D$13)</f>
        <v>119.99195103676033</v>
      </c>
      <c r="I14" s="204">
        <f>('Bilan 2035 AMS'!$C7+'Bilan 2035 AMS'!$C15)*(1-SUM('Bilan 2035 AMS'!$M$13:$P$13)/'Bilan 2035 AMS'!$D$13)</f>
        <v>144.29205075409007</v>
      </c>
      <c r="J14" s="204">
        <f>('Bilan 2038 AMS'!$C7+'Bilan 2038 AMS'!$C15)*(1-SUM('Bilan 2038 AMS'!$M$13:$P$13)/'Bilan 2038 AMS'!$D$13)</f>
        <v>175.64323985448814</v>
      </c>
      <c r="K14" s="204">
        <f>('Bilan 2040 AMS'!$C7+'Bilan 2040 AMS'!$C15)*(1-SUM('Bilan 2040 AMS'!$M$13:$P$13)/'Bilan 2040 AMS'!$D$13)</f>
        <v>196.45300762448855</v>
      </c>
      <c r="L14" s="204">
        <f>('Bilan 2045 AMS'!$C7+'Bilan 2045 AMS'!$C15)*(1-SUM('Bilan 2045 AMS'!$M$13:$P$13)/'Bilan 2045 AMS'!$D$13)</f>
        <v>234.43167244862141</v>
      </c>
      <c r="M14" s="204">
        <f>('Bilan 2050 AMS'!$C7+'Bilan 2050 AMS'!$C15)*(1-SUM('Bilan 2050 AMS'!$M$13:$P$13)/'Bilan 2050 AMS'!$D$13)</f>
        <v>277.45007108305208</v>
      </c>
      <c r="N14" s="575"/>
      <c r="O14" s="575"/>
      <c r="P14" s="575"/>
      <c r="Q14" s="570" t="s">
        <v>415</v>
      </c>
      <c r="R14" s="205">
        <f t="shared" si="49"/>
        <v>3.2925160422071951</v>
      </c>
      <c r="S14" s="205">
        <f t="shared" si="49"/>
        <v>53.084236018684109</v>
      </c>
      <c r="T14" s="205">
        <f t="shared" si="49"/>
        <v>60.531247971501685</v>
      </c>
      <c r="U14" s="205">
        <f t="shared" si="49"/>
        <v>54.312513862904204</v>
      </c>
      <c r="V14" s="205">
        <f t="shared" si="49"/>
        <v>55.466127814810058</v>
      </c>
      <c r="W14" s="205">
        <f t="shared" si="49"/>
        <v>56.050314631104172</v>
      </c>
      <c r="X14" s="205">
        <f t="shared" si="49"/>
        <v>53.402230675770234</v>
      </c>
      <c r="Y14" s="205">
        <f t="shared" si="49"/>
        <v>52.283475679460118</v>
      </c>
      <c r="Z14" s="205">
        <f t="shared" si="49"/>
        <v>52.367957274314918</v>
      </c>
      <c r="AA14" s="205">
        <f t="shared" si="49"/>
        <v>52.419026646683783</v>
      </c>
      <c r="AB14" s="205">
        <f t="shared" si="49"/>
        <v>49.637472224872695</v>
      </c>
      <c r="AC14" s="205">
        <f t="shared" si="49"/>
        <v>48.793664997867189</v>
      </c>
      <c r="AD14" s="193">
        <f>AD13+1</f>
        <v>2306</v>
      </c>
      <c r="AE14" s="205" t="s">
        <v>17</v>
      </c>
      <c r="AF14" s="205">
        <f>'Bilan 2015'!$S$13*('Bilan 2015'!$G$7+'Bilan 2015'!$G$15)/SUM('Bilan 2015'!$G$7:$G$19)</f>
        <v>2.0354807301663529</v>
      </c>
      <c r="AG14" s="205">
        <f>'Bilan 2020'!$S$13*('Bilan 2020'!$G$7+'Bilan 2020'!$G$15)/SUM('Bilan 2020'!$G$7:$G$19)</f>
        <v>33.970907195685882</v>
      </c>
      <c r="AH14" s="205">
        <f>'Bilan 2023 réel'!$S$13*('Bilan 2023 réel'!$G$7+'Bilan 2023 réel'!$G$15)/SUM('Bilan 2023 réel'!$G$7:$G$19)</f>
        <v>38.688761678370462</v>
      </c>
      <c r="AI14" s="205">
        <f>'Bilan 2025 AMS'!$S$13*('Bilan 2025 AMS'!$G$7+'Bilan 2025 AMS'!$G$15)/SUM('Bilan 2025 AMS'!$G$7:$G$19)</f>
        <v>46.13598725778909</v>
      </c>
      <c r="AJ14" s="205">
        <f>'Bilan 2028 AMS'!$S$13*('Bilan 2028 AMS'!$G$7+'Bilan 2028 AMS'!$G$15)/SUM('Bilan 2028 AMS'!$G$7:$G$19)</f>
        <v>55.634265407566943</v>
      </c>
      <c r="AK14" s="205">
        <f>'Bilan 2030 AMS'!$S$13*('Bilan 2030 AMS'!$G$7+'Bilan 2030 AMS'!$G$15)/SUM('Bilan 2030 AMS'!$G$7:$G$19)</f>
        <v>62.862444921254436</v>
      </c>
      <c r="AL14" s="205">
        <f>'Bilan 2033 AMS'!$S$13*('Bilan 2033 AMS'!$G$7+'Bilan 2033 AMS'!$G$15)/SUM('Bilan 2033 AMS'!$G$7:$G$19)</f>
        <v>87.655774724439738</v>
      </c>
      <c r="AM14" s="205">
        <f>'Bilan 2035 AMS'!$S$13*('Bilan 2035 AMS'!$G$7+'Bilan 2035 AMS'!$G$15)/SUM('Bilan 2035 AMS'!$G$7:$G$19)</f>
        <v>103.49989479058709</v>
      </c>
      <c r="AN14" s="205">
        <f>'Bilan 2038 AMS'!$S$13*('Bilan 2038 AMS'!$G$7+'Bilan 2038 AMS'!$G$15)/SUM('Bilan 2038 AMS'!$G$7:$G$19)</f>
        <v>123.06653569430287</v>
      </c>
      <c r="AO14" s="205">
        <f>'Bilan 2040 AMS'!$S$13*('Bilan 2040 AMS'!$G$7+'Bilan 2040 AMS'!$G$15)/SUM('Bilan 2040 AMS'!$G$7:$G$19)</f>
        <v>135.35890466241858</v>
      </c>
      <c r="AP14" s="205">
        <f>'Bilan 2045 AMS'!$S$13*('Bilan 2045 AMS'!$G$7+'Bilan 2045 AMS'!$G$15)/SUM('Bilan 2045 AMS'!$G$7:$G$19)</f>
        <v>171.64442879156925</v>
      </c>
      <c r="AQ14" s="205">
        <f>'Bilan 2050 AMS'!$S$13*('Bilan 2050 AMS'!$G$7+'Bilan 2050 AMS'!$G$15)/SUM('Bilan 2050 AMS'!$G$7:$G$19)</f>
        <v>210.44174757233097</v>
      </c>
      <c r="AR14" s="206"/>
      <c r="AS14" s="205" t="s">
        <v>17</v>
      </c>
      <c r="AT14" s="205">
        <f>'Bilan 2015'!$S$13*('Bilan 2015'!$G$7+'Bilan 2015'!$G$15)/SUM('Bilan 2015'!$G$7:$G$19)</f>
        <v>2.0354807301663529</v>
      </c>
      <c r="AU14" s="205">
        <f>'Bilan 2020'!$S$13*('Bilan 2020'!$G$7+'Bilan 2020'!$G$15)/SUM('Bilan 2020'!$G$7:$G$19)</f>
        <v>33.970907195685882</v>
      </c>
      <c r="AV14" s="205">
        <f>'Bilan 2023 réel'!$S$13*('Bilan 2023 réel'!$G$7+'Bilan 2023 réel'!$G$15)/SUM('Bilan 2023 réel'!$G$7:$G$19)</f>
        <v>38.688761678370462</v>
      </c>
      <c r="AW14" s="205">
        <f>'Bilan 2025 AMS'!$S$13*('Bilan 2025 AMS'!$G$7+'Bilan 2025 AMS'!$G$15)/SUM('Bilan 2025 AMS'!$G$7:$G$19)</f>
        <v>46.13598725778909</v>
      </c>
      <c r="AX14" s="205">
        <f>'Bilan 2028 AMS'!$S$13*('Bilan 2028 AMS'!$G$7+'Bilan 2028 AMS'!$G$15)/SUM('Bilan 2028 AMS'!$G$7:$G$19)</f>
        <v>55.634265407566943</v>
      </c>
      <c r="AY14" s="205">
        <f>'Bilan 2030 AMS'!$S$13*('Bilan 2030 AMS'!$G$7+'Bilan 2030 AMS'!$G$15)/SUM('Bilan 2030 AMS'!$G$7:$G$19)</f>
        <v>62.862444921254436</v>
      </c>
      <c r="AZ14" s="205">
        <f>'Bilan 2033 AMS'!$S$13*('Bilan 2033 AMS'!$G$7+'Bilan 2033 AMS'!$G$15)/SUM('Bilan 2033 AMS'!$G$7:$G$19)</f>
        <v>87.655774724439738</v>
      </c>
      <c r="BA14" s="205">
        <f>'Bilan 2035 AMS'!$S$13*('Bilan 2035 AMS'!$G$7+'Bilan 2035 AMS'!$G$15)/SUM('Bilan 2035 AMS'!$G$7:$G$19)</f>
        <v>103.49989479058709</v>
      </c>
      <c r="BB14" s="205">
        <f>'Bilan 2038 AMS'!$S$13*('Bilan 2038 AMS'!$G$7+'Bilan 2038 AMS'!$G$15)/SUM('Bilan 2038 AMS'!$G$7:$G$19)</f>
        <v>123.06653569430287</v>
      </c>
      <c r="BC14" s="205">
        <f>'Bilan 2040 AMS'!$S$13*('Bilan 2040 AMS'!$G$7+'Bilan 2040 AMS'!$G$15)/SUM('Bilan 2040 AMS'!$G$7:$G$19)</f>
        <v>135.35890466241858</v>
      </c>
      <c r="BD14" s="205">
        <f>'Bilan 2045 AMS'!$S$13*('Bilan 2045 AMS'!$G$7+'Bilan 2045 AMS'!$G$15)/SUM('Bilan 2045 AMS'!$G$7:$G$19)</f>
        <v>171.64442879156925</v>
      </c>
      <c r="BE14" s="205">
        <f>'Bilan 2050 AMS'!$S$13*('Bilan 2050 AMS'!$G$7+'Bilan 2050 AMS'!$G$15)/SUM('Bilan 2050 AMS'!$G$7:$G$19)</f>
        <v>210.44174757233097</v>
      </c>
      <c r="BF14" s="216"/>
      <c r="BG14" s="205" t="s">
        <v>279</v>
      </c>
      <c r="BH14" s="202">
        <f t="shared" si="37"/>
        <v>7.305944056952135E-2</v>
      </c>
      <c r="BI14" s="202">
        <f t="shared" si="37"/>
        <v>8.1250264353294355E-2</v>
      </c>
      <c r="BJ14" s="202">
        <f t="shared" si="37"/>
        <v>8.3589069602188093E-2</v>
      </c>
      <c r="BK14" s="202">
        <f t="shared" si="37"/>
        <v>7.9974190952024543E-2</v>
      </c>
      <c r="BL14" s="202">
        <f t="shared" si="37"/>
        <v>7.3692370852456821E-2</v>
      </c>
      <c r="BM14" s="202">
        <f t="shared" si="37"/>
        <v>6.8873082581662956E-2</v>
      </c>
      <c r="BN14" s="202">
        <f t="shared" si="37"/>
        <v>6.9725612463465883E-2</v>
      </c>
      <c r="BO14" s="202">
        <f t="shared" si="37"/>
        <v>6.9596502412558145E-2</v>
      </c>
      <c r="BP14" s="202">
        <f t="shared" si="37"/>
        <v>7.0973545231121704E-2</v>
      </c>
      <c r="BQ14" s="202">
        <f t="shared" si="37"/>
        <v>7.1949449992820269E-2</v>
      </c>
      <c r="BR14" s="202">
        <f t="shared" si="37"/>
        <v>6.8493557460202192E-2</v>
      </c>
      <c r="BS14" s="202">
        <f t="shared" si="37"/>
        <v>6.5539114746845539E-2</v>
      </c>
      <c r="BU14" s="205" t="s">
        <v>279</v>
      </c>
      <c r="BV14" s="202">
        <f>'Bilan 2015'!$E9+'Bilan 2015'!$I$13*'Bilan 2015'!$G$9/'Bilan 2015'!$H$13</f>
        <v>6.5537737091183504E-2</v>
      </c>
      <c r="BW14" s="202">
        <f>'Bilan 2020'!$E9+'Bilan 2020'!$I$13*'Bilan 2020'!$G$9/'Bilan 2020'!$H$13</f>
        <v>1.2164101398108085</v>
      </c>
      <c r="BX14" s="202">
        <f>'Bilan 2023 réel'!$E9+'Bilan 2023 réel'!$I$13*'Bilan 2023 réel'!$G$9/'Bilan 2023 réel'!$H$13</f>
        <v>1.3712346607479551</v>
      </c>
      <c r="BY14" s="202">
        <f>'Bilan 2025 AMS'!$E9+'Bilan 2025 AMS'!$I$13*'Bilan 2025 AMS'!$G$9/'Bilan 2025 AMS'!$H$13</f>
        <v>1.9956035496039377</v>
      </c>
      <c r="BZ14" s="202">
        <f>'Bilan 2028 AMS'!$E9+'Bilan 2028 AMS'!$I$13*'Bilan 2028 AMS'!$G$9/'Bilan 2028 AMS'!$H$13</f>
        <v>3.0596596687333499</v>
      </c>
      <c r="CA14" s="202">
        <f>'Bilan 2030 AMS'!$E9+'Bilan 2030 AMS'!$I$13*'Bilan 2030 AMS'!$G$9/'Bilan 2030 AMS'!$H$13</f>
        <v>3.6918658270365694</v>
      </c>
      <c r="CB14" s="202">
        <f>'Bilan 2033 AMS'!$E9+'Bilan 2033 AMS'!$I$13*'Bilan 2033 AMS'!$G$9/'Bilan 2033 AMS'!$H$13</f>
        <v>4.3841113289710067</v>
      </c>
      <c r="CC14" s="202">
        <f>'Bilan 2035 AMS'!$E9+'Bilan 2035 AMS'!$I$13*'Bilan 2035 AMS'!$G$9/'Bilan 2035 AMS'!$H$13</f>
        <v>4.8262211895540439</v>
      </c>
      <c r="CD14" s="202">
        <f>'Bilan 2038 AMS'!$E9+'Bilan 2038 AMS'!$I$13*'Bilan 2038 AMS'!$G$9/'Bilan 2038 AMS'!$H$13</f>
        <v>5.7568187765778696</v>
      </c>
      <c r="CE14" s="202">
        <f>'Bilan 2040 AMS'!$E9+'Bilan 2040 AMS'!$I$13*'Bilan 2040 AMS'!$G$9/'Bilan 2040 AMS'!$H$13</f>
        <v>6.3670263242679095</v>
      </c>
      <c r="CF14" s="202">
        <f>'Bilan 2045 AMS'!$E9+'Bilan 2045 AMS'!$I$13*'Bilan 2045 AMS'!$G$9/'Bilan 2045 AMS'!$H$13</f>
        <v>7.5692101223833435</v>
      </c>
      <c r="CG14" s="202">
        <f>'Bilan 2050 AMS'!$E9+'Bilan 2050 AMS'!$I$13*'Bilan 2050 AMS'!$G$9/'Bilan 2050 AMS'!$H$13</f>
        <v>8.7915820409166123</v>
      </c>
      <c r="CH14" s="206"/>
      <c r="CJ14" s="205" t="s">
        <v>279</v>
      </c>
      <c r="CK14" s="202">
        <f t="shared" si="38"/>
        <v>7.9921040170571458E-2</v>
      </c>
      <c r="CL14" s="202">
        <f t="shared" si="38"/>
        <v>8.7045000077838858E-2</v>
      </c>
      <c r="CM14" s="202">
        <f t="shared" si="38"/>
        <v>8.8706919811706697E-2</v>
      </c>
      <c r="CN14" s="202">
        <f t="shared" si="38"/>
        <v>9.6552997924493567E-2</v>
      </c>
      <c r="CO14" s="202">
        <f t="shared" si="38"/>
        <v>9.7666849173475512E-2</v>
      </c>
      <c r="CP14" s="202">
        <f t="shared" si="38"/>
        <v>9.8605976654381505E-2</v>
      </c>
      <c r="CQ14" s="202">
        <f t="shared" si="38"/>
        <v>0.10007376323148802</v>
      </c>
      <c r="CR14" s="202">
        <f t="shared" si="38"/>
        <v>0.10092604206053198</v>
      </c>
      <c r="CS14" s="202">
        <f t="shared" si="38"/>
        <v>0.10222863922040161</v>
      </c>
      <c r="CT14" s="202">
        <f t="shared" si="38"/>
        <v>0.10304383185707662</v>
      </c>
      <c r="CU14" s="202">
        <f t="shared" si="38"/>
        <v>0.10911839886177706</v>
      </c>
      <c r="CV14" s="202">
        <f t="shared" si="38"/>
        <v>0.11451723756909193</v>
      </c>
      <c r="CW14" s="206"/>
      <c r="CX14" s="193">
        <f>CX13+1</f>
        <v>2306</v>
      </c>
      <c r="CY14" s="205" t="s">
        <v>279</v>
      </c>
      <c r="CZ14" s="207" t="s">
        <v>277</v>
      </c>
      <c r="DA14" s="202">
        <f>+'Bilan 2015'!$K$13*'Bilan 2015'!$G$9/SUM('Bilan 2015'!$G$7:$G$19)</f>
        <v>7.1692913029749242E-2</v>
      </c>
      <c r="DB14" s="202">
        <f>+'Bilan 2020'!$K$13*'Bilan 2020'!$G$9/SUM('Bilan 2020'!$G$7:$G$19)</f>
        <v>1.3031640150008044</v>
      </c>
      <c r="DC14" s="202">
        <f>+'Bilan 2023 réel'!$K$13*'Bilan 2023 réel'!$G$9/SUM('Bilan 2023 réel'!$G$7:$G$19)</f>
        <v>1.4551902978809756</v>
      </c>
      <c r="DD14" s="202">
        <f>+'Bilan 2025 AMS'!$K$13*'Bilan 2025 AMS'!$G$9/SUM('Bilan 2025 AMS'!$G$7:$G$19)</f>
        <v>2.4092960877667156</v>
      </c>
      <c r="DE14" s="202">
        <f>+'Bilan 2028 AMS'!$K$13*'Bilan 2028 AMS'!$G$9/SUM('Bilan 2028 AMS'!$G$7:$G$19)</f>
        <v>4.0550645328896158</v>
      </c>
      <c r="DF14" s="202">
        <f>+'Bilan 2030 AMS'!$K$13*'Bilan 2030 AMS'!$G$9/SUM('Bilan 2030 AMS'!$G$7:$G$19)</f>
        <v>5.2856649057377938</v>
      </c>
      <c r="DG14" s="202">
        <f>+'Bilan 2033 AMS'!$K$13*'Bilan 2033 AMS'!$G$9/SUM('Bilan 2033 AMS'!$G$7:$G$19)</f>
        <v>6.2923006857173531</v>
      </c>
      <c r="DH14" s="202">
        <f>+'Bilan 2035 AMS'!$K$13*'Bilan 2035 AMS'!$G$9/SUM('Bilan 2035 AMS'!$G$7:$G$19)</f>
        <v>6.9987914030931284</v>
      </c>
      <c r="DI14" s="202">
        <f>+'Bilan 2038 AMS'!$K$13*'Bilan 2038 AMS'!$G$9/SUM('Bilan 2038 AMS'!$G$7:$G$19)</f>
        <v>8.2919874983214452</v>
      </c>
      <c r="DJ14" s="202">
        <f>+'Bilan 2040 AMS'!$K$13*'Bilan 2040 AMS'!$G$9/SUM('Bilan 2040 AMS'!$G$7:$G$19)</f>
        <v>9.1186630342957802</v>
      </c>
      <c r="DK14" s="202">
        <f>+'Bilan 2045 AMS'!$K$13*'Bilan 2045 AMS'!$G$9/SUM('Bilan 2045 AMS'!$G$7:$G$19)</f>
        <v>12.058653686994342</v>
      </c>
      <c r="DL14" s="202">
        <f>+'Bilan 2050 AMS'!$K$13*'Bilan 2050 AMS'!$G$9/SUM('Bilan 2050 AMS'!$G$7:$G$19)</f>
        <v>15.361630883735234</v>
      </c>
    </row>
    <row r="15" spans="1:116" ht="15" x14ac:dyDescent="0.25">
      <c r="A15" s="209" t="s">
        <v>17</v>
      </c>
      <c r="B15" s="210"/>
      <c r="C15" s="210"/>
      <c r="D15" s="576"/>
      <c r="E15" s="576"/>
      <c r="F15" s="576"/>
      <c r="G15" s="576"/>
      <c r="H15" s="576"/>
      <c r="I15" s="576"/>
      <c r="J15" s="576"/>
      <c r="K15" s="576"/>
      <c r="L15" s="576"/>
      <c r="M15" s="576"/>
      <c r="N15" s="573"/>
      <c r="O15" s="573"/>
      <c r="P15" s="573"/>
      <c r="Q15" s="570" t="s">
        <v>282</v>
      </c>
      <c r="R15" s="205">
        <f t="shared" ref="R15:AB15" si="50">B19</f>
        <v>3.5164878051160797</v>
      </c>
      <c r="S15" s="205">
        <f t="shared" si="50"/>
        <v>26.9657497815802</v>
      </c>
      <c r="T15" s="205">
        <f t="shared" si="50"/>
        <v>31.225950814182998</v>
      </c>
      <c r="U15" s="205">
        <f t="shared" si="50"/>
        <v>26.777337710413384</v>
      </c>
      <c r="V15" s="205">
        <f t="shared" si="50"/>
        <v>24.946652291139785</v>
      </c>
      <c r="W15" s="205">
        <f t="shared" si="50"/>
        <v>24.115584694214974</v>
      </c>
      <c r="X15" s="205">
        <f t="shared" si="50"/>
        <v>27.218791417954119</v>
      </c>
      <c r="Y15" s="205">
        <f t="shared" si="50"/>
        <v>29.053477598037702</v>
      </c>
      <c r="Z15" s="205">
        <f t="shared" si="50"/>
        <v>32.418728384619435</v>
      </c>
      <c r="AA15" s="205">
        <f t="shared" si="50"/>
        <v>34.26205215278403</v>
      </c>
      <c r="AB15" s="205">
        <f t="shared" si="50"/>
        <v>33.98815529549902</v>
      </c>
      <c r="AC15" s="205">
        <f>M19+0.0001</f>
        <v>33.031289133294287</v>
      </c>
      <c r="AD15" s="193">
        <f>AD14+1</f>
        <v>2307</v>
      </c>
      <c r="AE15" s="205" t="s">
        <v>279</v>
      </c>
      <c r="AF15" s="205">
        <f>'Bilan 2015'!$S$13*'Bilan 2015'!$G$9/SUM('Bilan 2015'!$G$7:$G$19)</f>
        <v>0.89704679614703042</v>
      </c>
      <c r="AG15" s="205">
        <f>'Bilan 2020'!$S$13*'Bilan 2020'!$G$9/SUM('Bilan 2020'!$G$7:$G$19)</f>
        <v>14.971153010919259</v>
      </c>
      <c r="AH15" s="205">
        <f>'Bilan 2023 réel'!$S$13*'Bilan 2023 réel'!$G$9/SUM('Bilan 2023 réel'!$G$7:$G$19)</f>
        <v>16.40447330343369</v>
      </c>
      <c r="AI15" s="205">
        <f>'Bilan 2025 AMS'!$S$13*'Bilan 2025 AMS'!$G$9/SUM('Bilan 2025 AMS'!$G$7:$G$19)</f>
        <v>24.953094565233851</v>
      </c>
      <c r="AJ15" s="205">
        <f>'Bilan 2028 AMS'!$S$13*'Bilan 2028 AMS'!$G$9/SUM('Bilan 2028 AMS'!$G$7:$G$19)</f>
        <v>41.51935449137941</v>
      </c>
      <c r="AK15" s="205">
        <f>'Bilan 2030 AMS'!$S$13*'Bilan 2030 AMS'!$G$9/SUM('Bilan 2030 AMS'!$G$7:$G$19)</f>
        <v>53.603899936656916</v>
      </c>
      <c r="AL15" s="205">
        <f>'Bilan 2033 AMS'!$S$13*'Bilan 2033 AMS'!$G$9/SUM('Bilan 2033 AMS'!$G$7:$G$19)</f>
        <v>62.876627025229055</v>
      </c>
      <c r="AM15" s="205">
        <f>'Bilan 2035 AMS'!$S$13*'Bilan 2035 AMS'!$G$9/SUM('Bilan 2035 AMS'!$G$7:$G$19)</f>
        <v>69.345743280961059</v>
      </c>
      <c r="AN15" s="205">
        <f>'Bilan 2038 AMS'!$S$13*'Bilan 2038 AMS'!$G$9/SUM('Bilan 2038 AMS'!$G$7:$G$19)</f>
        <v>81.112177189840025</v>
      </c>
      <c r="AO15" s="205">
        <f>'Bilan 2040 AMS'!$S$13*'Bilan 2040 AMS'!$G$9/SUM('Bilan 2040 AMS'!$G$7:$G$19)</f>
        <v>88.493050675206902</v>
      </c>
      <c r="AP15" s="205">
        <f>'Bilan 2045 AMS'!$S$13*'Bilan 2045 AMS'!$G$9/SUM('Bilan 2045 AMS'!$G$7:$G$19)</f>
        <v>110.50981147798304</v>
      </c>
      <c r="AQ15" s="205">
        <f>'Bilan 2050 AMS'!$S$13*'Bilan 2050 AMS'!$G$9/SUM('Bilan 2050 AMS'!$G$7:$G$19)</f>
        <v>134.14252046087881</v>
      </c>
      <c r="AR15" s="206"/>
      <c r="AS15" s="205" t="s">
        <v>279</v>
      </c>
      <c r="AT15" s="205">
        <f>'Bilan 2015'!$S$13*'Bilan 2015'!$G$9/SUM('Bilan 2015'!$G$7:$G$19)</f>
        <v>0.89704679614703042</v>
      </c>
      <c r="AU15" s="205">
        <f>'Bilan 2020'!$S$13*'Bilan 2020'!$G$9/SUM('Bilan 2020'!$G$7:$G$19)</f>
        <v>14.971153010919259</v>
      </c>
      <c r="AV15" s="205">
        <f>'Bilan 2023 réel'!$S$13*'Bilan 2023 réel'!$G$9/SUM('Bilan 2023 réel'!$G$7:$G$19)</f>
        <v>16.40447330343369</v>
      </c>
      <c r="AW15" s="205">
        <f>'Bilan 2025 AMS'!$S$13*'Bilan 2025 AMS'!$G$9/SUM('Bilan 2025 AMS'!$G$7:$G$19)</f>
        <v>24.953094565233851</v>
      </c>
      <c r="AX15" s="205">
        <f>'Bilan 2028 AMS'!$S$13*'Bilan 2028 AMS'!$G$9/SUM('Bilan 2028 AMS'!$G$7:$G$19)</f>
        <v>41.51935449137941</v>
      </c>
      <c r="AY15" s="205">
        <f>'Bilan 2030 AMS'!$S$13*'Bilan 2030 AMS'!$G$9/SUM('Bilan 2030 AMS'!$G$7:$G$19)</f>
        <v>53.603899936656916</v>
      </c>
      <c r="AZ15" s="205">
        <f>'Bilan 2033 AMS'!$S$13*'Bilan 2033 AMS'!$G$9/SUM('Bilan 2033 AMS'!$G$7:$G$19)</f>
        <v>62.876627025229055</v>
      </c>
      <c r="BA15" s="205">
        <f>'Bilan 2035 AMS'!$S$13*'Bilan 2035 AMS'!$G$9/SUM('Bilan 2035 AMS'!$G$7:$G$19)</f>
        <v>69.345743280961059</v>
      </c>
      <c r="BB15" s="205">
        <f>'Bilan 2038 AMS'!$S$13*'Bilan 2038 AMS'!$G$9/SUM('Bilan 2038 AMS'!$G$7:$G$19)</f>
        <v>81.112177189840025</v>
      </c>
      <c r="BC15" s="205">
        <f>'Bilan 2040 AMS'!$S$13*'Bilan 2040 AMS'!$G$9/SUM('Bilan 2040 AMS'!$G$7:$G$19)</f>
        <v>88.493050675206902</v>
      </c>
      <c r="BD15" s="205">
        <f>'Bilan 2045 AMS'!$S$13*'Bilan 2045 AMS'!$G$9/SUM('Bilan 2045 AMS'!$G$7:$G$19)</f>
        <v>110.50981147798304</v>
      </c>
      <c r="BE15" s="205">
        <f>'Bilan 2050 AMS'!$S$13*'Bilan 2050 AMS'!$G$9/SUM('Bilan 2050 AMS'!$G$7:$G$19)</f>
        <v>134.14252046087881</v>
      </c>
      <c r="BF15" s="216"/>
      <c r="BG15" s="205" t="s">
        <v>415</v>
      </c>
      <c r="BH15" s="202">
        <f t="shared" si="37"/>
        <v>7.305944056952135E-2</v>
      </c>
      <c r="BI15" s="202">
        <f t="shared" si="37"/>
        <v>8.1250264353294341E-2</v>
      </c>
      <c r="BJ15" s="202">
        <f t="shared" si="37"/>
        <v>8.3589069602188079E-2</v>
      </c>
      <c r="BK15" s="202">
        <f t="shared" si="37"/>
        <v>7.9974190952024543E-2</v>
      </c>
      <c r="BL15" s="202">
        <f t="shared" si="37"/>
        <v>7.3692370852456821E-2</v>
      </c>
      <c r="BM15" s="202">
        <f t="shared" si="37"/>
        <v>6.8873082581662956E-2</v>
      </c>
      <c r="BN15" s="202">
        <f t="shared" si="37"/>
        <v>6.9725612463465897E-2</v>
      </c>
      <c r="BO15" s="202">
        <f t="shared" si="37"/>
        <v>6.9596502412558145E-2</v>
      </c>
      <c r="BP15" s="202">
        <f t="shared" si="37"/>
        <v>7.0973545231121718E-2</v>
      </c>
      <c r="BQ15" s="202">
        <f t="shared" si="37"/>
        <v>7.1949449992820269E-2</v>
      </c>
      <c r="BR15" s="202">
        <f t="shared" si="37"/>
        <v>6.8493557460202192E-2</v>
      </c>
      <c r="BS15" s="202">
        <f t="shared" si="37"/>
        <v>6.5539114746845539E-2</v>
      </c>
      <c r="BU15" s="205" t="s">
        <v>415</v>
      </c>
      <c r="BV15" s="202">
        <f>'Bilan 2015'!$E$8+'Bilan 2015'!$I$13*'Bilan 2015'!$G$8/'Bilan 2015'!$H$13</f>
        <v>0.18171827102555427</v>
      </c>
      <c r="BW15" s="202">
        <f>'Bilan 2020'!$E$8+'Bilan 2020'!$I$13*'Bilan 2020'!$G$8/'Bilan 2020'!$H$13</f>
        <v>3.3727735694754233</v>
      </c>
      <c r="BX15" s="202">
        <f>'Bilan 2023 réel'!$E$8+'Bilan 2023 réel'!$I$13*'Bilan 2023 réel'!$G$8/'Bilan 2023 réel'!$H$13</f>
        <v>3.9004682657689473</v>
      </c>
      <c r="BY15" s="202">
        <f>'Bilan 2025 AMS'!$E$8+'Bilan 2025 AMS'!$I$13*'Bilan 2025 AMS'!$G$8/'Bilan 2025 AMS'!$H$13</f>
        <v>3.1456902872282151</v>
      </c>
      <c r="BZ15" s="202">
        <f>'Bilan 2028 AMS'!$E$8+'Bilan 2028 AMS'!$I$13*'Bilan 2028 AMS'!$G$8/'Bilan 2028 AMS'!$H$13</f>
        <v>3.034294474961126</v>
      </c>
      <c r="CA15" s="202">
        <f>'Bilan 2030 AMS'!$E$8+'Bilan 2030 AMS'!$I$13*'Bilan 2030 AMS'!$G$8/'Bilan 2030 AMS'!$H$13</f>
        <v>2.9517702412277536</v>
      </c>
      <c r="CB15" s="202">
        <f>'Bilan 2033 AMS'!$E$8+'Bilan 2033 AMS'!$I$13*'Bilan 2033 AMS'!$G$8/'Bilan 2033 AMS'!$H$13</f>
        <v>2.7200704583913073</v>
      </c>
      <c r="CC15" s="202">
        <f>'Bilan 2035 AMS'!$E$8+'Bilan 2035 AMS'!$I$13*'Bilan 2035 AMS'!$G$8/'Bilan 2035 AMS'!$H$13</f>
        <v>2.6100532494479811</v>
      </c>
      <c r="CD15" s="202">
        <f>'Bilan 2038 AMS'!$E$8+'Bilan 2038 AMS'!$I$13*'Bilan 2038 AMS'!$G$8/'Bilan 2038 AMS'!$H$13</f>
        <v>2.6041780207022822</v>
      </c>
      <c r="CE15" s="202">
        <f>'Bilan 2040 AMS'!$E$8+'Bilan 2040 AMS'!$I$13*'Bilan 2040 AMS'!$G$8/'Bilan 2040 AMS'!$H$13</f>
        <v>2.5986307908786799</v>
      </c>
      <c r="CF15" s="202">
        <f>'Bilan 2045 AMS'!$E$8+'Bilan 2045 AMS'!$I$13*'Bilan 2045 AMS'!$G$8/'Bilan 2045 AMS'!$H$13</f>
        <v>2.4892745925192012</v>
      </c>
      <c r="CG15" s="202">
        <f>'Bilan 2050 AMS'!$E$8+'Bilan 2050 AMS'!$I$13*'Bilan 2050 AMS'!$G$8/'Bilan 2050 AMS'!$H$13</f>
        <v>2.4255546846553555</v>
      </c>
      <c r="CH15" s="206"/>
      <c r="CJ15" s="205" t="s">
        <v>415</v>
      </c>
      <c r="CK15" s="202">
        <f t="shared" si="38"/>
        <v>7.9921040170571458E-2</v>
      </c>
      <c r="CL15" s="202">
        <f t="shared" si="38"/>
        <v>8.7045000077838844E-2</v>
      </c>
      <c r="CM15" s="202">
        <f t="shared" si="38"/>
        <v>8.8706919811706725E-2</v>
      </c>
      <c r="CN15" s="202">
        <f t="shared" si="38"/>
        <v>9.6552997924493567E-2</v>
      </c>
      <c r="CO15" s="202">
        <f t="shared" si="38"/>
        <v>9.7666849173475512E-2</v>
      </c>
      <c r="CP15" s="202">
        <f t="shared" si="38"/>
        <v>9.8605976654381519E-2</v>
      </c>
      <c r="CQ15" s="202">
        <f t="shared" si="38"/>
        <v>0.10007376323148803</v>
      </c>
      <c r="CR15" s="202">
        <f t="shared" si="38"/>
        <v>0.10092604206053196</v>
      </c>
      <c r="CS15" s="202">
        <f t="shared" si="38"/>
        <v>0.10222863922040165</v>
      </c>
      <c r="CT15" s="202">
        <f t="shared" si="38"/>
        <v>0.10304383185707659</v>
      </c>
      <c r="CU15" s="202">
        <f t="shared" si="38"/>
        <v>0.10911839886177707</v>
      </c>
      <c r="CV15" s="202">
        <f t="shared" si="38"/>
        <v>0.11451723756909192</v>
      </c>
      <c r="CW15" s="206"/>
      <c r="CX15" s="193">
        <f>CX14+1</f>
        <v>2307</v>
      </c>
      <c r="CY15" s="205" t="s">
        <v>415</v>
      </c>
      <c r="CZ15" s="207" t="s">
        <v>278</v>
      </c>
      <c r="DA15" s="202">
        <f>'Bilan 2015'!$K$13*'Bilan 2015'!$G$8/SUM('Bilan 2015'!$G$7:$G$19)</f>
        <v>0.1987848952188502</v>
      </c>
      <c r="DB15" s="202">
        <f>'Bilan 2020'!$K$13*'Bilan 2020'!$G$8/SUM('Bilan 2020'!$G$7:$G$19)</f>
        <v>3.6133184052295029</v>
      </c>
      <c r="DC15" s="202">
        <f>'Bilan 2023 réel'!$K$13*'Bilan 2023 réel'!$G$8/SUM('Bilan 2023 réel'!$G$7:$G$19)</f>
        <v>4.1392795412884427</v>
      </c>
      <c r="DD15" s="202">
        <f>'Bilan 2025 AMS'!$K$13*'Bilan 2025 AMS'!$G$8/SUM('Bilan 2025 AMS'!$G$7:$G$19)</f>
        <v>3.7977980665793356</v>
      </c>
      <c r="DE15" s="202">
        <f>'Bilan 2028 AMS'!$K$13*'Bilan 2028 AMS'!$G$8/SUM('Bilan 2028 AMS'!$G$7:$G$19)</f>
        <v>4.0214472326758965</v>
      </c>
      <c r="DF15" s="202">
        <f>'Bilan 2030 AMS'!$K$13*'Bilan 2030 AMS'!$G$8/SUM('Bilan 2030 AMS'!$G$7:$G$19)</f>
        <v>4.2260659256900386</v>
      </c>
      <c r="DG15" s="202">
        <f>'Bilan 2033 AMS'!$K$13*'Bilan 2033 AMS'!$G$8/SUM('Bilan 2033 AMS'!$G$7:$G$19)</f>
        <v>3.9039841660572776</v>
      </c>
      <c r="DH15" s="202">
        <f>'Bilan 2035 AMS'!$K$13*'Bilan 2035 AMS'!$G$8/SUM('Bilan 2035 AMS'!$G$7:$G$19)</f>
        <v>3.7849939997341386</v>
      </c>
      <c r="DI15" s="202">
        <f>'Bilan 2038 AMS'!$K$13*'Bilan 2038 AMS'!$G$8/SUM('Bilan 2038 AMS'!$G$7:$G$19)</f>
        <v>3.7509972832431622</v>
      </c>
      <c r="DJ15" s="202">
        <f>'Bilan 2040 AMS'!$K$13*'Bilan 2040 AMS'!$G$8/SUM('Bilan 2040 AMS'!$G$7:$G$19)</f>
        <v>3.7216806285613764</v>
      </c>
      <c r="DK15" s="202">
        <f>'Bilan 2045 AMS'!$K$13*'Bilan 2045 AMS'!$G$8/SUM('Bilan 2045 AMS'!$G$7:$G$19)</f>
        <v>3.9657110527632384</v>
      </c>
      <c r="DL15" s="202">
        <f>'Bilan 2050 AMS'!$K$13*'Bilan 2050 AMS'!$G$8/SUM('Bilan 2050 AMS'!$G$7:$G$19)</f>
        <v>4.238199175140223</v>
      </c>
    </row>
    <row r="16" spans="1:116" ht="15" x14ac:dyDescent="0.25">
      <c r="A16" s="211" t="s">
        <v>25</v>
      </c>
      <c r="B16" s="212"/>
      <c r="C16" s="212"/>
      <c r="D16" s="577"/>
      <c r="E16" s="577"/>
      <c r="F16" s="577"/>
      <c r="G16" s="577"/>
      <c r="H16" s="577"/>
      <c r="I16" s="577"/>
      <c r="J16" s="577"/>
      <c r="K16" s="577"/>
      <c r="L16" s="577"/>
      <c r="M16" s="577"/>
      <c r="N16" s="573"/>
      <c r="O16" s="573"/>
      <c r="P16" s="573"/>
      <c r="Q16" s="569" t="s">
        <v>285</v>
      </c>
      <c r="R16" s="201">
        <f t="shared" ref="R16" si="51">SUM(R17:R22)</f>
        <v>45.352678690233105</v>
      </c>
      <c r="S16" s="201">
        <f t="shared" ref="S16:AC16" si="52">SUM(S17:S22)</f>
        <v>514.01219611244392</v>
      </c>
      <c r="T16" s="201">
        <f t="shared" si="52"/>
        <v>494.7147333879505</v>
      </c>
      <c r="U16" s="201">
        <f t="shared" si="52"/>
        <v>596.74283127709282</v>
      </c>
      <c r="V16" s="201">
        <f t="shared" ref="V16:AB16" si="53">SUM(V17:V22)</f>
        <v>606.25055807716672</v>
      </c>
      <c r="W16" s="201">
        <f t="shared" si="53"/>
        <v>630.53393468124159</v>
      </c>
      <c r="X16" s="201">
        <f t="shared" si="53"/>
        <v>643.88603871312876</v>
      </c>
      <c r="Y16" s="201">
        <f t="shared" si="53"/>
        <v>665.78015956499337</v>
      </c>
      <c r="Z16" s="201">
        <f t="shared" si="53"/>
        <v>676.05018054514039</v>
      </c>
      <c r="AA16" s="201">
        <f t="shared" si="53"/>
        <v>685.42392304177201</v>
      </c>
      <c r="AB16" s="201">
        <f t="shared" si="53"/>
        <v>735.38457505770612</v>
      </c>
      <c r="AC16" s="201">
        <f t="shared" si="52"/>
        <v>746.51500826316169</v>
      </c>
      <c r="AD16" s="193">
        <f>AD15+1</f>
        <v>2308</v>
      </c>
      <c r="AE16" s="205" t="s">
        <v>415</v>
      </c>
      <c r="AF16" s="205">
        <f>'Bilan 2015'!$S$13*'Bilan 2015'!$G$8/SUM('Bilan 2015'!$G$7:$G$19)</f>
        <v>2.4872661165894936</v>
      </c>
      <c r="AG16" s="205">
        <f>'Bilan 2020'!$S$13*'Bilan 2020'!$G$8/SUM('Bilan 2020'!$G$7:$G$19)</f>
        <v>41.510924257548858</v>
      </c>
      <c r="AH16" s="205">
        <f>'Bilan 2023 réel'!$S$13*'Bilan 2023 réel'!$G$8/SUM('Bilan 2023 réel'!$G$7:$G$19)</f>
        <v>46.662419911261296</v>
      </c>
      <c r="AI16" s="205">
        <f>'Bilan 2025 AMS'!$S$13*'Bilan 2025 AMS'!$G$8/SUM('Bilan 2025 AMS'!$G$7:$G$19)</f>
        <v>39.333818195363463</v>
      </c>
      <c r="AJ16" s="205">
        <f>'Bilan 2028 AMS'!$S$13*'Bilan 2028 AMS'!$G$8/SUM('Bilan 2028 AMS'!$G$7:$G$19)</f>
        <v>41.175150695534533</v>
      </c>
      <c r="AK16" s="205">
        <f>'Bilan 2030 AMS'!$S$13*'Bilan 2030 AMS'!$G$8/SUM('Bilan 2030 AMS'!$G$7:$G$19)</f>
        <v>42.858111334392987</v>
      </c>
      <c r="AL16" s="205">
        <f>'Bilan 2033 AMS'!$S$13*'Bilan 2033 AMS'!$G$8/SUM('Bilan 2033 AMS'!$G$7:$G$19)</f>
        <v>39.011065837772911</v>
      </c>
      <c r="AM16" s="205">
        <f>'Bilan 2035 AMS'!$S$13*'Bilan 2035 AMS'!$G$8/SUM('Bilan 2035 AMS'!$G$7:$G$19)</f>
        <v>37.502649687421901</v>
      </c>
      <c r="AN16" s="205">
        <f>'Bilan 2038 AMS'!$S$13*'Bilan 2038 AMS'!$G$8/SUM('Bilan 2038 AMS'!$G$7:$G$19)</f>
        <v>36.692235286005648</v>
      </c>
      <c r="AO16" s="205">
        <f>'Bilan 2040 AMS'!$S$13*'Bilan 2040 AMS'!$G$8/SUM('Bilan 2040 AMS'!$G$7:$G$19)</f>
        <v>36.117451782299845</v>
      </c>
      <c r="AP16" s="205">
        <f>'Bilan 2045 AMS'!$S$13*'Bilan 2045 AMS'!$G$8/SUM('Bilan 2045 AMS'!$G$7:$G$19)</f>
        <v>36.343193211501401</v>
      </c>
      <c r="AQ16" s="205">
        <f>'Bilan 2050 AMS'!$S$13*'Bilan 2050 AMS'!$G$8/SUM('Bilan 2050 AMS'!$G$7:$G$19)</f>
        <v>37.009268343407093</v>
      </c>
      <c r="AR16" s="206"/>
      <c r="AS16" s="205" t="s">
        <v>415</v>
      </c>
      <c r="AT16" s="205">
        <f>'Bilan 2015'!$S$13*'Bilan 2015'!$G$8/SUM('Bilan 2015'!$G$7:$G$19)</f>
        <v>2.4872661165894936</v>
      </c>
      <c r="AU16" s="205">
        <f>'Bilan 2020'!$S$13*'Bilan 2020'!$G$8/SUM('Bilan 2020'!$G$7:$G$19)</f>
        <v>41.510924257548858</v>
      </c>
      <c r="AV16" s="205">
        <f>'Bilan 2023 réel'!$S$13*'Bilan 2023 réel'!$G$8/SUM('Bilan 2023 réel'!$G$7:$G$19)</f>
        <v>46.662419911261296</v>
      </c>
      <c r="AW16" s="205">
        <f>'Bilan 2025 AMS'!$S$13*'Bilan 2025 AMS'!$G$8/SUM('Bilan 2025 AMS'!$G$7:$G$19)</f>
        <v>39.333818195363463</v>
      </c>
      <c r="AX16" s="205">
        <f>'Bilan 2028 AMS'!$S$13*'Bilan 2028 AMS'!$G$8/SUM('Bilan 2028 AMS'!$G$7:$G$19)</f>
        <v>41.175150695534533</v>
      </c>
      <c r="AY16" s="205">
        <f>'Bilan 2030 AMS'!$S$13*'Bilan 2030 AMS'!$G$8/SUM('Bilan 2030 AMS'!$G$7:$G$19)</f>
        <v>42.858111334392987</v>
      </c>
      <c r="AZ16" s="205">
        <f>'Bilan 2033 AMS'!$S$13*'Bilan 2033 AMS'!$G$8/SUM('Bilan 2033 AMS'!$G$7:$G$19)</f>
        <v>39.011065837772911</v>
      </c>
      <c r="BA16" s="205">
        <f>'Bilan 2035 AMS'!$S$13*'Bilan 2035 AMS'!$G$8/SUM('Bilan 2035 AMS'!$G$7:$G$19)</f>
        <v>37.502649687421901</v>
      </c>
      <c r="BB16" s="205">
        <f>'Bilan 2038 AMS'!$S$13*'Bilan 2038 AMS'!$G$8/SUM('Bilan 2038 AMS'!$G$7:$G$19)</f>
        <v>36.692235286005648</v>
      </c>
      <c r="BC16" s="205">
        <f>'Bilan 2040 AMS'!$S$13*'Bilan 2040 AMS'!$G$8/SUM('Bilan 2040 AMS'!$G$7:$G$19)</f>
        <v>36.117451782299845</v>
      </c>
      <c r="BD16" s="205">
        <f>'Bilan 2045 AMS'!$S$13*'Bilan 2045 AMS'!$G$8/SUM('Bilan 2045 AMS'!$G$7:$G$19)</f>
        <v>36.343193211501401</v>
      </c>
      <c r="BE16" s="205">
        <f>'Bilan 2050 AMS'!$S$13*'Bilan 2050 AMS'!$G$8/SUM('Bilan 2050 AMS'!$G$7:$G$19)</f>
        <v>37.009268343407093</v>
      </c>
      <c r="BF16" s="216"/>
      <c r="BG16" s="205" t="s">
        <v>412</v>
      </c>
      <c r="BH16" s="202">
        <f t="shared" si="37"/>
        <v>4.4063574591689036</v>
      </c>
      <c r="BI16" s="202">
        <f t="shared" si="37"/>
        <v>4.2674127401567858</v>
      </c>
      <c r="BJ16" s="202">
        <f t="shared" si="37"/>
        <v>4.3300319093023445</v>
      </c>
      <c r="BK16" s="202">
        <f t="shared" si="37"/>
        <v>2.0257172714649125</v>
      </c>
      <c r="BL16" s="202">
        <f t="shared" si="37"/>
        <v>2.0201303973091562</v>
      </c>
      <c r="BM16" s="202">
        <f t="shared" si="37"/>
        <v>1.9971405445527273</v>
      </c>
      <c r="BN16" s="202">
        <f t="shared" si="37"/>
        <v>1.8207339761080656</v>
      </c>
      <c r="BO16" s="202">
        <f t="shared" si="37"/>
        <v>1.7197843298338207</v>
      </c>
      <c r="BP16" s="202">
        <f t="shared" si="37"/>
        <v>1.5579342867870907</v>
      </c>
      <c r="BQ16" s="202">
        <f t="shared" si="37"/>
        <v>1.4738022072556767</v>
      </c>
      <c r="BR16" s="202">
        <f t="shared" si="37"/>
        <v>1.4365750667868427</v>
      </c>
      <c r="BS16" s="202">
        <f t="shared" si="37"/>
        <v>1.4122476384223377</v>
      </c>
      <c r="BU16" s="205" t="s">
        <v>283</v>
      </c>
      <c r="BV16" s="202">
        <f>SUM('Bilan 2015'!$E$12:$E$16)+'Bilan 2015'!$I$13*SUM('Bilan 2015'!$G$12:$G$16)/'Bilan 2015'!$H$13</f>
        <v>2.7390442771279884</v>
      </c>
      <c r="BW16" s="202">
        <f>SUM('Bilan 2020'!$E$12:$E$16)+'Bilan 2020'!$I$13*SUM('Bilan 2020'!$G$12:$G$16)/'Bilan 2020'!$H$13</f>
        <v>21.05667717879976</v>
      </c>
      <c r="BX16" s="202">
        <f>SUM('Bilan 2023 réel'!$E$12:$E$16)+'Bilan 2023 réel'!$I$13*SUM('Bilan 2023 réel'!$G$12:$G$16)/'Bilan 2023 réel'!$H$13</f>
        <v>24.389913226732862</v>
      </c>
      <c r="BY16" s="202">
        <f>SUM('Bilan 2025 AMS'!$E$12:$E$16)+'Bilan 2025 AMS'!$I$13*SUM('Bilan 2025 AMS'!$G$12:$G$16)/'Bilan 2025 AMS'!$H$13</f>
        <v>16.318885315839466</v>
      </c>
      <c r="BZ16" s="202">
        <f>SUM('Bilan 2028 AMS'!$E$12:$E$16)+'Bilan 2028 AMS'!$I$13*SUM('Bilan 2028 AMS'!$G$12:$G$16)/'Bilan 2028 AMS'!$H$13</f>
        <v>15.368045555088511</v>
      </c>
      <c r="CA16" s="202">
        <f>SUM('Bilan 2030 AMS'!$E$12:$E$16)+'Bilan 2030 AMS'!$I$13*SUM('Bilan 2030 AMS'!$G$12:$G$16)/'Bilan 2030 AMS'!$H$13</f>
        <v>14.996656761868909</v>
      </c>
      <c r="CB16" s="202">
        <f>SUM('Bilan 2033 AMS'!$E$12:$E$16)+'Bilan 2033 AMS'!$I$13*SUM('Bilan 2033 AMS'!$G$12:$G$16)/'Bilan 2033 AMS'!$H$13</f>
        <v>16.045200537884696</v>
      </c>
      <c r="CC16" s="202">
        <f>SUM('Bilan 2035 AMS'!$E$12:$E$16)+'Bilan 2035 AMS'!$I$13*SUM('Bilan 2035 AMS'!$G$12:$G$16)/'Bilan 2035 AMS'!$H$13</f>
        <v>16.603430896326042</v>
      </c>
      <c r="CD16" s="202">
        <f>SUM('Bilan 2038 AMS'!$E$12:$E$16)+'Bilan 2038 AMS'!$I$13*SUM('Bilan 2038 AMS'!$G$12:$G$16)/'Bilan 2038 AMS'!$H$13</f>
        <v>17.560779036055855</v>
      </c>
      <c r="CE16" s="202">
        <f>SUM('Bilan 2040 AMS'!$E$12:$E$16)+'Bilan 2040 AMS'!$I$13*SUM('Bilan 2040 AMS'!$G$12:$G$16)/'Bilan 2040 AMS'!$H$13</f>
        <v>17.947381723768284</v>
      </c>
      <c r="CF16" s="202">
        <f>SUM('Bilan 2045 AMS'!$E$12:$E$16)+'Bilan 2045 AMS'!$I$13*SUM('Bilan 2045 AMS'!$G$12:$G$16)/'Bilan 2045 AMS'!$H$13</f>
        <v>18.399070145627924</v>
      </c>
      <c r="CG16" s="202">
        <f>SUM('Bilan 2050 AMS'!$E$12:$E$16)+'Bilan 2050 AMS'!$I$13*SUM('Bilan 2050 AMS'!$G$12:$G$16)/'Bilan 2050 AMS'!$H$13</f>
        <v>18.35527608683352</v>
      </c>
      <c r="CH16" s="206"/>
      <c r="CJ16" s="205" t="s">
        <v>412</v>
      </c>
      <c r="CK16" s="202">
        <f t="shared" si="38"/>
        <v>7.9921040170571445E-2</v>
      </c>
      <c r="CL16" s="202">
        <f t="shared" si="38"/>
        <v>8.7045000077838858E-2</v>
      </c>
      <c r="CM16" s="202">
        <f t="shared" si="38"/>
        <v>8.8706919811706683E-2</v>
      </c>
      <c r="CN16" s="202">
        <f t="shared" si="38"/>
        <v>9.6552997924493539E-2</v>
      </c>
      <c r="CO16" s="202">
        <f t="shared" si="38"/>
        <v>9.7666849173475498E-2</v>
      </c>
      <c r="CP16" s="202">
        <f t="shared" si="38"/>
        <v>9.8605976654381491E-2</v>
      </c>
      <c r="CQ16" s="202">
        <f t="shared" si="38"/>
        <v>0.10007376323148801</v>
      </c>
      <c r="CR16" s="202">
        <f t="shared" si="38"/>
        <v>0.10092604206053199</v>
      </c>
      <c r="CS16" s="202">
        <f t="shared" si="38"/>
        <v>0.10222863922040162</v>
      </c>
      <c r="CT16" s="202">
        <f t="shared" si="38"/>
        <v>0.10304383185707659</v>
      </c>
      <c r="CU16" s="202">
        <f t="shared" si="38"/>
        <v>0.10911839886177706</v>
      </c>
      <c r="CV16" s="202">
        <f t="shared" si="38"/>
        <v>0.11451723756909193</v>
      </c>
      <c r="CW16" s="206"/>
      <c r="CX16" s="193">
        <f>CX15+1</f>
        <v>2308</v>
      </c>
      <c r="CY16" s="205" t="s">
        <v>412</v>
      </c>
      <c r="CZ16" s="207" t="s">
        <v>280</v>
      </c>
      <c r="DA16" s="202">
        <f>'Bilan 2015'!$K$13*SUM('Bilan 2015'!$G$12:$G$16)/SUM('Bilan 2015'!$G$7:$G$19)</f>
        <v>4.9679870443967239E-2</v>
      </c>
      <c r="DB16" s="202">
        <f>'Bilan 2020'!$K$13*SUM('Bilan 2020'!$G$12:$G$16)/SUM('Bilan 2020'!$G$7:$G$19)</f>
        <v>0.42950578682490231</v>
      </c>
      <c r="DC16" s="202">
        <f>'Bilan 2023 réel'!$K$13*SUM('Bilan 2023 réel'!$G$12:$G$16)/SUM('Bilan 2023 réel'!$G$7:$G$19)</f>
        <v>0.49966238636030469</v>
      </c>
      <c r="DD16" s="202">
        <f>'Bilan 2025 AMS'!$K$13*SUM('Bilan 2025 AMS'!$G$12:$G$16)/SUM('Bilan 2025 AMS'!$G$7:$G$19)</f>
        <v>0.77781698474183536</v>
      </c>
      <c r="DE16" s="202">
        <f>'Bilan 2028 AMS'!$K$13*SUM('Bilan 2028 AMS'!$G$12:$G$16)/SUM('Bilan 2028 AMS'!$G$7:$G$19)</f>
        <v>0.74299589240338948</v>
      </c>
      <c r="DF16" s="202">
        <f>'Bilan 2030 AMS'!$K$13*SUM('Bilan 2030 AMS'!$G$12:$G$16)/SUM('Bilan 2030 AMS'!$G$7:$G$19)</f>
        <v>0.74043861889839901</v>
      </c>
      <c r="DG16" s="202">
        <f>'Bilan 2033 AMS'!$K$13*SUM('Bilan 2033 AMS'!$G$12:$G$16)/SUM('Bilan 2033 AMS'!$G$7:$G$19)</f>
        <v>0.88189906966107723</v>
      </c>
      <c r="DH16" s="202">
        <f>'Bilan 2035 AMS'!$K$13*SUM('Bilan 2035 AMS'!$G$12:$G$16)/SUM('Bilan 2035 AMS'!$G$7:$G$19)</f>
        <v>0.97437715643894718</v>
      </c>
      <c r="DI16" s="202">
        <f>'Bilan 2038 AMS'!$K$13*SUM('Bilan 2038 AMS'!$G$12:$G$16)/SUM('Bilan 2038 AMS'!$G$7:$G$19)</f>
        <v>1.152304407016034</v>
      </c>
      <c r="DJ16" s="202">
        <f>'Bilan 2040 AMS'!$K$13*SUM('Bilan 2040 AMS'!$G$12:$G$16)/SUM('Bilan 2040 AMS'!$G$7:$G$19)</f>
        <v>1.2548271236900912</v>
      </c>
      <c r="DK16" s="202">
        <f>'Bilan 2045 AMS'!$K$13*SUM('Bilan 2045 AMS'!$G$12:$G$16)/SUM('Bilan 2045 AMS'!$G$7:$G$19)</f>
        <v>1.397544145971412</v>
      </c>
      <c r="DL16" s="202">
        <f>'Bilan 2050 AMS'!$K$13*SUM('Bilan 2050 AMS'!$G$12:$G$16)/SUM('Bilan 2050 AMS'!$G$7:$G$19)</f>
        <v>1.4884043386543635</v>
      </c>
    </row>
    <row r="17" spans="1:116" ht="15" x14ac:dyDescent="0.25">
      <c r="A17" s="203" t="s">
        <v>279</v>
      </c>
      <c r="B17" s="204">
        <f>'Bilan 2015'!$C9</f>
        <v>1.1874648021075129</v>
      </c>
      <c r="C17" s="204">
        <f>'Bilan 2020'!$C9</f>
        <v>19.145134301820498</v>
      </c>
      <c r="D17" s="204">
        <f>'Bilan 2023 réel'!$C9*(1-SUM('Bilan 2023 réel'!$M$13:$P$13)/'Bilan 2023 réel'!$D$13)</f>
        <v>21.280148849125204</v>
      </c>
      <c r="E17" s="204">
        <f>'Bilan 2025 AMS'!$C9*(1-SUM('Bilan 2025 AMS'!$M$13:$P$13)/'Bilan 2025 AMS'!$D$13)</f>
        <v>34.4554725850738</v>
      </c>
      <c r="F17" s="204">
        <f>'Bilan 2028 AMS'!$C9*(1-SUM('Bilan 2028 AMS'!$M$13:$P$13)/'Bilan 2028 AMS'!$D$13)</f>
        <v>55.929797076784254</v>
      </c>
      <c r="G17" s="204">
        <f>'Bilan 2030 AMS'!$C9*(1-SUM('Bilan 2030 AMS'!$M$13:$P$13)/'Bilan 2030 AMS'!$D$13)</f>
        <v>70.103776469794326</v>
      </c>
      <c r="H17" s="204">
        <f>'Bilan 2033 AMS'!$C9*(1-SUM('Bilan 2033 AMS'!$M$13:$P$13)/'Bilan 2033 AMS'!$D$13)</f>
        <v>86.071786771446483</v>
      </c>
      <c r="I17" s="204">
        <f>'Bilan 2035 AMS'!$C9*(1-SUM('Bilan 2035 AMS'!$M$13:$P$13)/'Bilan 2035 AMS'!$D$13)</f>
        <v>96.676808506152653</v>
      </c>
      <c r="J17" s="204">
        <f>'Bilan 2038 AMS'!$C9*(1-SUM('Bilan 2038 AMS'!$M$13:$P$13)/'Bilan 2038 AMS'!$D$13)</f>
        <v>115.76506572561578</v>
      </c>
      <c r="K17" s="204">
        <f>'Bilan 2040 AMS'!$C9*(1-SUM('Bilan 2040 AMS'!$M$13:$P$13)/'Bilan 2040 AMS'!$D$13)</f>
        <v>128.43429844802384</v>
      </c>
      <c r="L17" s="204">
        <f>'Bilan 2045 AMS'!$C9*(1-SUM('Bilan 2045 AMS'!$M$13:$P$13)/'Bilan 2045 AMS'!$D$13)</f>
        <v>150.93411483937376</v>
      </c>
      <c r="M17" s="204">
        <f>'Bilan 2050 AMS'!$C9*(1-SUM('Bilan 2050 AMS'!$M$13:$P$13)/'Bilan 2050 AMS'!$D$13)</f>
        <v>176.85583904561736</v>
      </c>
      <c r="N17" s="575"/>
      <c r="O17" s="575"/>
      <c r="P17" s="575"/>
      <c r="Q17" s="570" t="s">
        <v>287</v>
      </c>
      <c r="R17" s="205">
        <f t="shared" ref="R17:AC22" si="54">B29</f>
        <v>31.150145872946307</v>
      </c>
      <c r="S17" s="205">
        <f t="shared" si="54"/>
        <v>351.08176898139908</v>
      </c>
      <c r="T17" s="205">
        <f t="shared" si="54"/>
        <v>296.66980754710573</v>
      </c>
      <c r="U17" s="205">
        <f t="shared" si="54"/>
        <v>312.49861915504704</v>
      </c>
      <c r="V17" s="205">
        <f t="shared" si="54"/>
        <v>266.06297549851041</v>
      </c>
      <c r="W17" s="205">
        <f t="shared" si="54"/>
        <v>244.85478712542087</v>
      </c>
      <c r="X17" s="205">
        <f t="shared" si="54"/>
        <v>221.0792032866056</v>
      </c>
      <c r="Y17" s="205">
        <f t="shared" si="54"/>
        <v>209.70852935706063</v>
      </c>
      <c r="Z17" s="205">
        <f t="shared" si="54"/>
        <v>170.84951027930288</v>
      </c>
      <c r="AA17" s="205">
        <f t="shared" si="54"/>
        <v>147.4550528031611</v>
      </c>
      <c r="AB17" s="205">
        <f t="shared" si="54"/>
        <v>147.76384763700943</v>
      </c>
      <c r="AC17" s="205">
        <f t="shared" si="54"/>
        <v>93.319701361819213</v>
      </c>
      <c r="AE17" s="205" t="s">
        <v>412</v>
      </c>
      <c r="AF17" s="205">
        <f>'Bilan 2015'!$S$13*SUM('Bilan 2015'!$G$12:$G$14,'Bilan 2015'!$G$16)/SUM('Bilan 2015'!$G$7:$G$19)</f>
        <v>0.62161191017957218</v>
      </c>
      <c r="AG17" s="205">
        <f>'Bilan 2020'!$S$13*SUM('Bilan 2020'!$G$12:$G$14,'Bilan 2020'!$G$16)/SUM('Bilan 2020'!$G$7:$G$19)</f>
        <v>4.9342958979932492</v>
      </c>
      <c r="AH17" s="205">
        <f>'Bilan 2023 réel'!$S$13*SUM('Bilan 2023 réel'!$G$12:$G$14,'Bilan 2023 réel'!$G$16)/SUM('Bilan 2023 réel'!$G$7:$G$19)</f>
        <v>5.6327329076571555</v>
      </c>
      <c r="AI17" s="205">
        <f>'Bilan 2025 AMS'!$S$13*SUM('Bilan 2025 AMS'!$G$12:$G$14,'Bilan 2025 AMS'!$G$16)/SUM('Bilan 2025 AMS'!$G$7:$G$19)</f>
        <v>8.0558553484802662</v>
      </c>
      <c r="AJ17" s="205">
        <f>'Bilan 2028 AMS'!$S$13*SUM('Bilan 2028 AMS'!$G$12:$G$14,'Bilan 2028 AMS'!$G$16)/SUM('Bilan 2028 AMS'!$G$7:$G$19)</f>
        <v>7.6074522592991904</v>
      </c>
      <c r="AK17" s="205">
        <f>'Bilan 2030 AMS'!$S$13*SUM('Bilan 2030 AMS'!$G$12:$G$14,'Bilan 2030 AMS'!$G$16)/SUM('Bilan 2030 AMS'!$G$7:$G$19)</f>
        <v>7.5090642983403599</v>
      </c>
      <c r="AL17" s="205">
        <f>'Bilan 2033 AMS'!$S$13*SUM('Bilan 2033 AMS'!$G$12:$G$14,'Bilan 2033 AMS'!$G$16)/SUM('Bilan 2033 AMS'!$G$7:$G$19)</f>
        <v>8.812490318976927</v>
      </c>
      <c r="AM17" s="205">
        <f>'Bilan 2035 AMS'!$S$13*SUM('Bilan 2035 AMS'!$G$12:$G$14,'Bilan 2035 AMS'!$G$16)/SUM('Bilan 2035 AMS'!$G$7:$G$19)</f>
        <v>9.6543680555168212</v>
      </c>
      <c r="AN17" s="205">
        <f>'Bilan 2038 AMS'!$S$13*SUM('Bilan 2038 AMS'!$G$12:$G$14,'Bilan 2038 AMS'!$G$16)/SUM('Bilan 2038 AMS'!$G$7:$G$19)</f>
        <v>11.271835522839183</v>
      </c>
      <c r="AO17" s="205">
        <f>'Bilan 2040 AMS'!$S$13*SUM('Bilan 2040 AMS'!$G$12:$G$14,'Bilan 2040 AMS'!$G$16)/SUM('Bilan 2040 AMS'!$G$7:$G$19)</f>
        <v>12.177605404179419</v>
      </c>
      <c r="AP17" s="205">
        <f>'Bilan 2045 AMS'!$S$13*SUM('Bilan 2045 AMS'!$G$12:$G$14,'Bilan 2045 AMS'!$G$16)/SUM('Bilan 2045 AMS'!$G$7:$G$19)</f>
        <v>12.807593958024579</v>
      </c>
      <c r="AQ17" s="205">
        <f>'Bilan 2050 AMS'!$S$13*SUM('Bilan 2050 AMS'!$G$12:$G$14,'Bilan 2050 AMS'!$G$16)/SUM('Bilan 2050 AMS'!$G$7:$G$19)</f>
        <v>12.997207846166926</v>
      </c>
      <c r="AR17" s="206"/>
      <c r="AS17" s="205" t="s">
        <v>412</v>
      </c>
      <c r="AT17" s="205">
        <f>'Bilan 2015'!$S$13*SUM('Bilan 2015'!$G$12:$G$14,'Bilan 2015'!$G$16)/SUM('Bilan 2015'!$G$7:$G$19)</f>
        <v>0.62161191017957218</v>
      </c>
      <c r="AU17" s="205">
        <f>'Bilan 2020'!$S$13*SUM('Bilan 2020'!$G$12:$G$14,'Bilan 2020'!$G$16)/SUM('Bilan 2020'!$G$7:$G$19)</f>
        <v>4.9342958979932492</v>
      </c>
      <c r="AV17" s="205">
        <f>'Bilan 2023 réel'!$S$13*SUM('Bilan 2023 réel'!$G$12:$G$14,'Bilan 2023 réel'!$G$16)/SUM('Bilan 2023 réel'!$G$7:$G$19)</f>
        <v>5.6327329076571555</v>
      </c>
      <c r="AW17" s="205">
        <f>'Bilan 2025 AMS'!$S$13*SUM('Bilan 2025 AMS'!$G$12:$G$14,'Bilan 2025 AMS'!$G$16)/SUM('Bilan 2025 AMS'!$G$7:$G$19)</f>
        <v>8.0558553484802662</v>
      </c>
      <c r="AX17" s="205">
        <f>'Bilan 2028 AMS'!$S$13*SUM('Bilan 2028 AMS'!$G$12:$G$14,'Bilan 2028 AMS'!$G$16)/SUM('Bilan 2028 AMS'!$G$7:$G$19)</f>
        <v>7.6074522592991904</v>
      </c>
      <c r="AY17" s="205">
        <f>'Bilan 2030 AMS'!$S$13*SUM('Bilan 2030 AMS'!$G$12:$G$14,'Bilan 2030 AMS'!$G$16)/SUM('Bilan 2030 AMS'!$G$7:$G$19)</f>
        <v>7.5090642983403599</v>
      </c>
      <c r="AZ17" s="205">
        <f>'Bilan 2033 AMS'!$S$13*SUM('Bilan 2033 AMS'!$G$12:$G$14,'Bilan 2033 AMS'!$G$16)/SUM('Bilan 2033 AMS'!$G$7:$G$19)</f>
        <v>8.812490318976927</v>
      </c>
      <c r="BA17" s="205">
        <f>'Bilan 2035 AMS'!$S$13*SUM('Bilan 2035 AMS'!$G$12:$G$14,'Bilan 2035 AMS'!$G$16)/SUM('Bilan 2035 AMS'!$G$7:$G$19)</f>
        <v>9.6543680555168212</v>
      </c>
      <c r="BB17" s="205">
        <f>'Bilan 2038 AMS'!$S$13*SUM('Bilan 2038 AMS'!$G$12:$G$14,'Bilan 2038 AMS'!$G$16)/SUM('Bilan 2038 AMS'!$G$7:$G$19)</f>
        <v>11.271835522839183</v>
      </c>
      <c r="BC17" s="205">
        <f>'Bilan 2040 AMS'!$S$13*SUM('Bilan 2040 AMS'!$G$12:$G$14,'Bilan 2040 AMS'!$G$16)/SUM('Bilan 2040 AMS'!$G$7:$G$19)</f>
        <v>12.177605404179419</v>
      </c>
      <c r="BD17" s="205">
        <f>'Bilan 2045 AMS'!$S$13*SUM('Bilan 2045 AMS'!$G$12:$G$14,'Bilan 2045 AMS'!$G$16)/SUM('Bilan 2045 AMS'!$G$7:$G$19)</f>
        <v>12.807593958024579</v>
      </c>
      <c r="BE17" s="205">
        <f>'Bilan 2050 AMS'!$S$13*SUM('Bilan 2050 AMS'!$G$12:$G$14,'Bilan 2050 AMS'!$G$16)/SUM('Bilan 2050 AMS'!$G$7:$G$19)</f>
        <v>12.997207846166926</v>
      </c>
      <c r="BF17" s="216"/>
      <c r="BG17" s="205" t="s">
        <v>287</v>
      </c>
      <c r="BH17" s="202">
        <f t="shared" ref="BH17:BS24" si="55">IF(AT19&gt;0,BV17/AT19,0)</f>
        <v>3.701010186305935E-2</v>
      </c>
      <c r="BI17" s="202">
        <f t="shared" si="55"/>
        <v>2.4778777091583257E-2</v>
      </c>
      <c r="BJ17" s="202">
        <f t="shared" si="55"/>
        <v>2.292490537547107E-2</v>
      </c>
      <c r="BK17" s="202">
        <f t="shared" si="55"/>
        <v>2.0071251692783541E-2</v>
      </c>
      <c r="BL17" s="202">
        <f t="shared" si="55"/>
        <v>1.5961140462557543E-2</v>
      </c>
      <c r="BM17" s="202">
        <f t="shared" si="55"/>
        <v>1.314752273500107E-2</v>
      </c>
      <c r="BN17" s="202">
        <f t="shared" si="55"/>
        <v>1.2071312423527217E-2</v>
      </c>
      <c r="BO17" s="202">
        <f t="shared" si="55"/>
        <v>1.0800338329931899E-2</v>
      </c>
      <c r="BP17" s="202">
        <f t="shared" si="55"/>
        <v>9.9906012189349587E-3</v>
      </c>
      <c r="BQ17" s="202">
        <f t="shared" si="55"/>
        <v>9.3845170618419346E-3</v>
      </c>
      <c r="BR17" s="202">
        <f t="shared" si="55"/>
        <v>8.5201820522477975E-3</v>
      </c>
      <c r="BS17" s="202">
        <f t="shared" si="55"/>
        <v>3.3527278686457667E-3</v>
      </c>
      <c r="BU17" s="205" t="s">
        <v>287</v>
      </c>
      <c r="BV17" s="208">
        <f>'Bilan 2015'!$E$24+'Bilan 2015'!$E32+'Bilan 2015'!$E$45</f>
        <v>1.0912391386437459</v>
      </c>
      <c r="BW17" s="208">
        <f>'Bilan 2020'!$E$24+'Bilan 2020'!$E32+'Bilan 2020'!$E$45</f>
        <v>8.3578458106421287</v>
      </c>
      <c r="BX17" s="208">
        <f>'Bilan 2023 réel'!$E$24+'Bilan 2023 réel'!$E32+'Bilan 2023 réel'!$E$45</f>
        <v>6.5343831115979736</v>
      </c>
      <c r="BY17" s="208">
        <f>'Bilan 2025 AMS'!$E$24+'Bilan 2025 AMS'!$E32+'Bilan 2025 AMS'!$E$45</f>
        <v>6.0015753754220693</v>
      </c>
      <c r="BZ17" s="208">
        <f>'Bilan 2028 AMS'!$E$24+'Bilan 2028 AMS'!$E32+'Bilan 2028 AMS'!$E$45</f>
        <v>3.9583106306280289</v>
      </c>
      <c r="CA17" s="208">
        <f>'Bilan 2030 AMS'!$E$24+'Bilan 2030 AMS'!$E32+'Bilan 2030 AMS'!$E$45</f>
        <v>2.9103231930876534</v>
      </c>
      <c r="CB17" s="208">
        <f>'Bilan 2033 AMS'!$E$24+'Bilan 2033 AMS'!$E32+'Bilan 2033 AMS'!$E$45</f>
        <v>2.3154284241058889</v>
      </c>
      <c r="CC17" s="208">
        <f>'Bilan 2035 AMS'!$E$24+'Bilan 2035 AMS'!$E32+'Bilan 2035 AMS'!$E$45</f>
        <v>1.9055075393693195</v>
      </c>
      <c r="CD17" s="208">
        <f>'Bilan 2038 AMS'!$E$24+'Bilan 2038 AMS'!$E32+'Bilan 2038 AMS'!$E$45</f>
        <v>1.3299250790323727</v>
      </c>
      <c r="CE17" s="208">
        <f>'Bilan 2040 AMS'!$E$24+'Bilan 2040 AMS'!$E32+'Bilan 2040 AMS'!$E$45</f>
        <v>1.0018232209641291</v>
      </c>
      <c r="CF17" s="208">
        <f>'Bilan 2045 AMS'!$E$24+'Bilan 2045 AMS'!$E32+'Bilan 2045 AMS'!$E$45</f>
        <v>0.69163457798572825</v>
      </c>
      <c r="CG17" s="208">
        <f>'Bilan 2050 AMS'!$E$24+'Bilan 2050 AMS'!$E32+'Bilan 2050 AMS'!$E$45</f>
        <v>2.4825809543263806E-2</v>
      </c>
      <c r="CH17" s="206"/>
      <c r="CJ17" s="205" t="s">
        <v>287</v>
      </c>
      <c r="CK17" s="202">
        <f t="shared" ref="CK17:CV24" si="56">IF(AT19&gt;0,DA17/AT19,0)</f>
        <v>1.9467833156530601E-2</v>
      </c>
      <c r="CL17" s="202">
        <f t="shared" si="56"/>
        <v>1.608475300989478E-2</v>
      </c>
      <c r="CM17" s="202">
        <f t="shared" si="56"/>
        <v>1.7896722255328543E-2</v>
      </c>
      <c r="CN17" s="202">
        <f t="shared" si="56"/>
        <v>1.865760374547611E-2</v>
      </c>
      <c r="CO17" s="202">
        <f t="shared" si="56"/>
        <v>1.9837298097490685E-2</v>
      </c>
      <c r="CP17" s="202">
        <f t="shared" si="56"/>
        <v>2.0384474056120979E-2</v>
      </c>
      <c r="CQ17" s="202">
        <f t="shared" si="56"/>
        <v>2.137403203496863E-2</v>
      </c>
      <c r="CR17" s="202">
        <f t="shared" si="56"/>
        <v>2.1933241268171567E-2</v>
      </c>
      <c r="CS17" s="202">
        <f t="shared" si="56"/>
        <v>2.091342384066849E-2</v>
      </c>
      <c r="CT17" s="202">
        <f t="shared" si="56"/>
        <v>2.0105571478293671E-2</v>
      </c>
      <c r="CU17" s="202">
        <f t="shared" si="56"/>
        <v>1.9909483786036821E-2</v>
      </c>
      <c r="CV17" s="202">
        <f t="shared" si="56"/>
        <v>4.3674594297863209E-3</v>
      </c>
      <c r="CW17" s="206"/>
      <c r="CX17" s="193">
        <v>2401</v>
      </c>
      <c r="CY17" s="205" t="s">
        <v>287</v>
      </c>
      <c r="CZ17" s="207" t="s">
        <v>281</v>
      </c>
      <c r="DA17" s="202">
        <f>'Bilan 2015'!$K$24+'Bilan 2015'!$K$30*'Bilan 2015'!$G$32/'Bilan 2015'!$H$30</f>
        <v>0.5740071065893716</v>
      </c>
      <c r="DB17" s="202">
        <f>'Bilan 2020'!$K$24+'Bilan 2020'!$K$30*'Bilan 2020'!$G$32/'Bilan 2020'!$H$30</f>
        <v>5.4253640146198476</v>
      </c>
      <c r="DC17" s="202">
        <f>'Bilan 2023 réel'!$K$24+'Bilan 2023 réel'!$K$30*'Bilan 2023 réel'!$G$32/'Bilan 2023 réel'!$H$30</f>
        <v>5.1011787286723065</v>
      </c>
      <c r="DD17" s="202">
        <f>'Bilan 2025 AMS'!$K$24+'Bilan 2025 AMS'!$K$30*'Bilan 2025 AMS'!$G$32/'Bilan 2025 AMS'!$H$30</f>
        <v>5.578875543845216</v>
      </c>
      <c r="DE17" s="202">
        <f>'Bilan 2028 AMS'!$K$24+'Bilan 2028 AMS'!$K$30*'Bilan 2028 AMS'!$G$32/'Bilan 2028 AMS'!$H$30</f>
        <v>4.9195850463465254</v>
      </c>
      <c r="DF17" s="202">
        <f>'Bilan 2030 AMS'!$K$24+'Bilan 2030 AMS'!$K$30*'Bilan 2030 AMS'!$G$32/'Bilan 2030 AMS'!$H$30</f>
        <v>4.5122878902873111</v>
      </c>
      <c r="DG17" s="202">
        <f>'Bilan 2033 AMS'!$K$24+'Bilan 2033 AMS'!$K$30*'Bilan 2033 AMS'!$G$32/'Bilan 2033 AMS'!$H$30</f>
        <v>4.099806183050914</v>
      </c>
      <c r="DH17" s="202">
        <f>'Bilan 2035 AMS'!$K$24+'Bilan 2035 AMS'!$K$30*'Bilan 2035 AMS'!$G$32/'Bilan 2035 AMS'!$H$30</f>
        <v>3.8696895710646455</v>
      </c>
      <c r="DI17" s="202">
        <f>'Bilan 2038 AMS'!$K$24+'Bilan 2038 AMS'!$K$30*'Bilan 2038 AMS'!$G$32/'Bilan 2038 AMS'!$H$30</f>
        <v>2.7839452546083674</v>
      </c>
      <c r="DJ17" s="202">
        <f>'Bilan 2040 AMS'!$K$24+'Bilan 2040 AMS'!$K$30*'Bilan 2040 AMS'!$G$32/'Bilan 2040 AMS'!$H$30</f>
        <v>2.1463255109427339</v>
      </c>
      <c r="DK17" s="202">
        <f>'Bilan 2045 AMS'!$K$24+'Bilan 2045 AMS'!$K$30*'Bilan 2045 AMS'!$G$32/'Bilan 2045 AMS'!$H$30</f>
        <v>1.6161729094317234</v>
      </c>
      <c r="DL17" s="202">
        <f>'Bilan 2050 AMS'!$K$24+'Bilan 2050 AMS'!$K$30*'Bilan 2050 AMS'!$G$32/'Bilan 2050 AMS'!$H$30</f>
        <v>3.2339551624749684E-2</v>
      </c>
    </row>
    <row r="18" spans="1:116" ht="15" x14ac:dyDescent="0.25">
      <c r="A18" s="203" t="s">
        <v>415</v>
      </c>
      <c r="B18" s="204">
        <f>'Bilan 2015'!$C8</f>
        <v>3.2925160422071951</v>
      </c>
      <c r="C18" s="204">
        <f>'Bilan 2020'!$C8</f>
        <v>53.084236018684109</v>
      </c>
      <c r="D18" s="204">
        <f>'Bilan 2023 réel'!$C8*(1-SUM('Bilan 2023 réel'!$M$13:$P$13)/'Bilan 2023 réel'!$D$13)</f>
        <v>60.531247971501685</v>
      </c>
      <c r="E18" s="204">
        <f>'Bilan 2025 AMS'!$C8*(1-SUM('Bilan 2025 AMS'!$M$13:$P$13)/'Bilan 2025 AMS'!$D$13)</f>
        <v>54.312513862904204</v>
      </c>
      <c r="F18" s="204">
        <f>'Bilan 2028 AMS'!$C8*(1-SUM('Bilan 2028 AMS'!$M$13:$P$13)/'Bilan 2028 AMS'!$D$13)</f>
        <v>55.466127814810058</v>
      </c>
      <c r="G18" s="204">
        <f>'Bilan 2030 AMS'!$C8*(1-SUM('Bilan 2030 AMS'!$M$13:$P$13)/'Bilan 2030 AMS'!$D$13)</f>
        <v>56.050314631104172</v>
      </c>
      <c r="H18" s="204">
        <f>'Bilan 2033 AMS'!$C8*(1-SUM('Bilan 2033 AMS'!$M$13:$P$13)/'Bilan 2033 AMS'!$D$13)</f>
        <v>53.402230675770234</v>
      </c>
      <c r="I18" s="204">
        <f>'Bilan 2035 AMS'!$C8*(1-SUM('Bilan 2035 AMS'!$M$13:$P$13)/'Bilan 2035 AMS'!$D$13)</f>
        <v>52.283475679460118</v>
      </c>
      <c r="J18" s="204">
        <f>'Bilan 2038 AMS'!$C8*(1-SUM('Bilan 2038 AMS'!$M$13:$P$13)/'Bilan 2038 AMS'!$D$13)</f>
        <v>52.367957274314918</v>
      </c>
      <c r="K18" s="204">
        <f>'Bilan 2040 AMS'!$C8*(1-SUM('Bilan 2040 AMS'!$M$13:$P$13)/'Bilan 2040 AMS'!$D$13)</f>
        <v>52.419026646683783</v>
      </c>
      <c r="L18" s="204">
        <f>'Bilan 2045 AMS'!$C8*(1-SUM('Bilan 2045 AMS'!$M$13:$P$13)/'Bilan 2045 AMS'!$D$13)</f>
        <v>49.637472224872695</v>
      </c>
      <c r="M18" s="204">
        <f>'Bilan 2050 AMS'!$C8*(1-SUM('Bilan 2050 AMS'!$M$13:$P$13)/'Bilan 2050 AMS'!$D$13)</f>
        <v>48.793664997867189</v>
      </c>
      <c r="N18" s="575"/>
      <c r="O18" s="575"/>
      <c r="P18" s="575"/>
      <c r="Q18" s="570" t="s">
        <v>289</v>
      </c>
      <c r="R18" s="205">
        <f t="shared" si="54"/>
        <v>7.8830796757637707</v>
      </c>
      <c r="S18" s="205">
        <f t="shared" si="54"/>
        <v>97.138025953204789</v>
      </c>
      <c r="T18" s="205">
        <f t="shared" si="54"/>
        <v>101.9464819297059</v>
      </c>
      <c r="U18" s="205">
        <f t="shared" si="54"/>
        <v>125.67546056583984</v>
      </c>
      <c r="V18" s="205">
        <f t="shared" si="54"/>
        <v>130.09162199428056</v>
      </c>
      <c r="W18" s="205">
        <f t="shared" si="54"/>
        <v>138.13819562493413</v>
      </c>
      <c r="X18" s="205">
        <f t="shared" si="54"/>
        <v>130.92770020325821</v>
      </c>
      <c r="Y18" s="205">
        <f t="shared" si="54"/>
        <v>128.75449384777207</v>
      </c>
      <c r="Z18" s="205">
        <f t="shared" si="54"/>
        <v>124.82550110438572</v>
      </c>
      <c r="AA18" s="205">
        <f t="shared" si="54"/>
        <v>122.63018043070034</v>
      </c>
      <c r="AB18" s="205">
        <f t="shared" si="54"/>
        <v>119.3382465545006</v>
      </c>
      <c r="AC18" s="205">
        <f t="shared" si="54"/>
        <v>116.33647141511968</v>
      </c>
      <c r="AD18" s="193">
        <v>2401</v>
      </c>
      <c r="AE18" s="201" t="s">
        <v>285</v>
      </c>
      <c r="AF18" s="201">
        <f t="shared" ref="AF18:AQ18" si="57">SUM(AF19:AF26)</f>
        <v>41.069670877404455</v>
      </c>
      <c r="AG18" s="201">
        <f t="shared" si="57"/>
        <v>481.16125940700761</v>
      </c>
      <c r="AH18" s="201">
        <f t="shared" si="57"/>
        <v>465.90465706835266</v>
      </c>
      <c r="AI18" s="201">
        <f t="shared" si="57"/>
        <v>536.56470538012843</v>
      </c>
      <c r="AJ18" s="201">
        <f t="shared" si="57"/>
        <v>542.53047558696039</v>
      </c>
      <c r="AK18" s="201">
        <f t="shared" si="57"/>
        <v>558.5489903249204</v>
      </c>
      <c r="AL18" s="201">
        <f t="shared" si="57"/>
        <v>553.1945387215419</v>
      </c>
      <c r="AM18" s="201">
        <f t="shared" si="57"/>
        <v>562.48901228319164</v>
      </c>
      <c r="AN18" s="201">
        <f t="shared" si="57"/>
        <v>566.38206380818178</v>
      </c>
      <c r="AO18" s="201">
        <f t="shared" si="57"/>
        <v>564.74160407488216</v>
      </c>
      <c r="AP18" s="201">
        <f t="shared" ref="AP18" si="58">SUM(AP19:AP26)</f>
        <v>565.23367172427925</v>
      </c>
      <c r="AQ18" s="201">
        <f t="shared" si="57"/>
        <v>566.12388889174474</v>
      </c>
      <c r="AR18" s="206"/>
      <c r="AS18" s="201" t="s">
        <v>285</v>
      </c>
      <c r="AT18" s="201">
        <f t="shared" ref="AT18:BE18" si="59">SUM(AT19:AT26)</f>
        <v>42.181257118729185</v>
      </c>
      <c r="AU18" s="201">
        <f t="shared" si="59"/>
        <v>493.19919590700761</v>
      </c>
      <c r="AV18" s="201">
        <f t="shared" si="59"/>
        <v>475.93032481835257</v>
      </c>
      <c r="AW18" s="201">
        <f t="shared" si="59"/>
        <v>549.92531911643016</v>
      </c>
      <c r="AX18" s="201">
        <f t="shared" si="59"/>
        <v>556.76369556567874</v>
      </c>
      <c r="AY18" s="201">
        <f t="shared" si="59"/>
        <v>573.35304895010734</v>
      </c>
      <c r="AZ18" s="201">
        <f t="shared" si="59"/>
        <v>567.97321901466978</v>
      </c>
      <c r="BA18" s="201">
        <f t="shared" si="59"/>
        <v>577.25104324796075</v>
      </c>
      <c r="BB18" s="201">
        <f t="shared" si="59"/>
        <v>581.23832581435795</v>
      </c>
      <c r="BC18" s="201">
        <f t="shared" si="59"/>
        <v>579.66047342372781</v>
      </c>
      <c r="BD18" s="201">
        <f t="shared" ref="BD18" si="60">SUM(BD19:BD26)</f>
        <v>579.85395963098222</v>
      </c>
      <c r="BE18" s="201">
        <f t="shared" si="59"/>
        <v>580.39427061862739</v>
      </c>
      <c r="BF18" s="216"/>
      <c r="BG18" s="205" t="s">
        <v>289</v>
      </c>
      <c r="BH18" s="202">
        <f t="shared" si="55"/>
        <v>1.1171130306090763E-2</v>
      </c>
      <c r="BI18" s="202">
        <f t="shared" si="55"/>
        <v>1.0046590873368977E-2</v>
      </c>
      <c r="BJ18" s="202">
        <f t="shared" si="55"/>
        <v>1.2639778425985595E-2</v>
      </c>
      <c r="BK18" s="202">
        <f t="shared" si="55"/>
        <v>1.9577303425607061E-2</v>
      </c>
      <c r="BL18" s="202">
        <f t="shared" si="55"/>
        <v>1.9451796181352572E-2</v>
      </c>
      <c r="BM18" s="202">
        <f t="shared" si="55"/>
        <v>2.0504310428389377E-2</v>
      </c>
      <c r="BN18" s="202">
        <f t="shared" si="55"/>
        <v>1.918842657042542E-2</v>
      </c>
      <c r="BO18" s="202">
        <f t="shared" si="55"/>
        <v>1.7508891301078817E-2</v>
      </c>
      <c r="BP18" s="202">
        <f t="shared" si="55"/>
        <v>1.6072456262465912E-2</v>
      </c>
      <c r="BQ18" s="202">
        <f t="shared" si="55"/>
        <v>1.4751216395133191E-2</v>
      </c>
      <c r="BR18" s="202">
        <f t="shared" si="55"/>
        <v>1.3796310539877022E-2</v>
      </c>
      <c r="BS18" s="202">
        <f t="shared" si="55"/>
        <v>1.1676677792003669E-2</v>
      </c>
      <c r="BU18" s="205" t="s">
        <v>289</v>
      </c>
      <c r="BV18" s="208">
        <f>'Bilan 2015'!$E29+'Bilan 2015'!$E37</f>
        <v>8.6368536335048207E-2</v>
      </c>
      <c r="BW18" s="208">
        <f>'Bilan 2020'!$E29+'Bilan 2020'!$E37</f>
        <v>0.96015244700034041</v>
      </c>
      <c r="BX18" s="208">
        <f>'Bilan 2023 réel'!$E29+'Bilan 2023 réel'!$E37</f>
        <v>1.2604143347517758</v>
      </c>
      <c r="BY18" s="208">
        <f>'Bilan 2025 AMS'!$E29+'Bilan 2025 AMS'!$E37</f>
        <v>2.3869666181099389</v>
      </c>
      <c r="BZ18" s="208">
        <f>'Bilan 2028 AMS'!$E29+'Bilan 2028 AMS'!$E37</f>
        <v>2.4531267214543342</v>
      </c>
      <c r="CA18" s="208">
        <f>'Bilan 2030 AMS'!$E29+'Bilan 2030 AMS'!$E37</f>
        <v>2.7401514757171319</v>
      </c>
      <c r="CB18" s="208">
        <f>'Bilan 2033 AMS'!$E29+'Bilan 2033 AMS'!$E37</f>
        <v>2.4316420149752922</v>
      </c>
      <c r="CC18" s="208">
        <f>'Bilan 2035 AMS'!$E29+'Bilan 2035 AMS'!$E37</f>
        <v>2.1854020642945216</v>
      </c>
      <c r="CD18" s="208">
        <f>'Bilan 2038 AMS'!$E29+'Bilan 2038 AMS'!$E37</f>
        <v>1.9468441537340855</v>
      </c>
      <c r="CE18" s="208">
        <f>'Bilan 2040 AMS'!$E29+'Bilan 2040 AMS'!$E37</f>
        <v>1.7573522941291828</v>
      </c>
      <c r="CF18" s="208">
        <f>'Bilan 2045 AMS'!$E29+'Bilan 2045 AMS'!$E37</f>
        <v>1.6006083304362488</v>
      </c>
      <c r="CG18" s="208">
        <f>'Bilan 2050 AMS'!$E29+'Bilan 2050 AMS'!$E37</f>
        <v>1.3228553495576785</v>
      </c>
      <c r="CH18" s="206"/>
      <c r="CJ18" s="205" t="s">
        <v>289</v>
      </c>
      <c r="CK18" s="202">
        <f t="shared" si="56"/>
        <v>8.4468232694062482E-3</v>
      </c>
      <c r="CL18" s="202">
        <f t="shared" si="56"/>
        <v>6.3607599045436202E-3</v>
      </c>
      <c r="CM18" s="202">
        <f t="shared" si="56"/>
        <v>9.7073239290492389E-3</v>
      </c>
      <c r="CN18" s="202">
        <f t="shared" si="56"/>
        <v>1.1181403455077406E-2</v>
      </c>
      <c r="CO18" s="202">
        <f t="shared" si="56"/>
        <v>1.2095287710870657E-2</v>
      </c>
      <c r="CP18" s="202">
        <f t="shared" si="56"/>
        <v>1.3171553921389618E-2</v>
      </c>
      <c r="CQ18" s="202">
        <f t="shared" si="56"/>
        <v>1.3980331788284202E-2</v>
      </c>
      <c r="CR18" s="202">
        <f t="shared" si="56"/>
        <v>1.4039707530229543E-2</v>
      </c>
      <c r="CS18" s="202">
        <f t="shared" si="56"/>
        <v>1.4442699813380365E-2</v>
      </c>
      <c r="CT18" s="202">
        <f t="shared" si="56"/>
        <v>1.4606604544162745E-2</v>
      </c>
      <c r="CU18" s="202">
        <f t="shared" si="56"/>
        <v>1.4829792075471958E-2</v>
      </c>
      <c r="CV18" s="202">
        <f t="shared" si="56"/>
        <v>1.5210723485250179E-2</v>
      </c>
      <c r="CW18" s="206"/>
      <c r="CX18" s="193">
        <f>CX17+1</f>
        <v>2402</v>
      </c>
      <c r="CY18" s="205" t="s">
        <v>289</v>
      </c>
      <c r="CZ18" s="207" t="s">
        <v>284</v>
      </c>
      <c r="DA18" s="202">
        <f>'Bilan 2015'!$K$30*'Bilan 2015'!$G$29/'Bilan 2015'!$H$30</f>
        <v>6.5305814404624934E-2</v>
      </c>
      <c r="DB18" s="202">
        <f>'Bilan 2020'!$K$30*'Bilan 2020'!$G$29/'Bilan 2020'!$H$30</f>
        <v>0.60789767037474829</v>
      </c>
      <c r="DC18" s="202">
        <f>'Bilan 2023 réel'!$K$30*'Bilan 2023 réel'!$G$29/'Bilan 2023 réel'!$H$30</f>
        <v>0.96799562618112411</v>
      </c>
      <c r="DD18" s="202">
        <f>'Bilan 2025 AMS'!$K$30*'Bilan 2025 AMS'!$G$29/'Bilan 2025 AMS'!$H$30</f>
        <v>1.3632948425358178</v>
      </c>
      <c r="DE18" s="202">
        <f>'Bilan 2028 AMS'!$K$30*'Bilan 2028 AMS'!$G$29/'Bilan 2028 AMS'!$H$30</f>
        <v>1.5253744801037628</v>
      </c>
      <c r="DF18" s="202">
        <f>'Bilan 2030 AMS'!$K$30*'Bilan 2030 AMS'!$G$29/'Bilan 2030 AMS'!$H$30</f>
        <v>1.7602178352319544</v>
      </c>
      <c r="DG18" s="202">
        <f>'Bilan 2033 AMS'!$K$30*'Bilan 2033 AMS'!$G$29/'Bilan 2033 AMS'!$H$30</f>
        <v>1.7716492821814953</v>
      </c>
      <c r="DH18" s="202">
        <f>'Bilan 2035 AMS'!$K$30*'Bilan 2035 AMS'!$G$29/'Bilan 2035 AMS'!$H$30</f>
        <v>1.7523899880950469</v>
      </c>
      <c r="DI18" s="202">
        <f>'Bilan 2038 AMS'!$K$30*'Bilan 2038 AMS'!$G$29/'Bilan 2038 AMS'!$H$30</f>
        <v>1.7494330198601507</v>
      </c>
      <c r="DJ18" s="202">
        <f>'Bilan 2040 AMS'!$K$30*'Bilan 2040 AMS'!$G$29/'Bilan 2040 AMS'!$H$30</f>
        <v>1.7401242933152956</v>
      </c>
      <c r="DK18" s="202">
        <f>'Bilan 2045 AMS'!$K$30*'Bilan 2045 AMS'!$G$29/'Bilan 2045 AMS'!$H$30</f>
        <v>1.7205098903818579</v>
      </c>
      <c r="DL18" s="202">
        <f>'Bilan 2050 AMS'!$K$30*'Bilan 2050 AMS'!$G$29/'Bilan 2050 AMS'!$H$30</f>
        <v>1.723228754919085</v>
      </c>
    </row>
    <row r="19" spans="1:116" ht="15" x14ac:dyDescent="0.25">
      <c r="A19" s="203" t="s">
        <v>408</v>
      </c>
      <c r="B19" s="204">
        <f>'Bilan 2015'!$C$12+'Bilan 2015'!$C$13+'Bilan 2015'!$C$14+'Bilan 2015'!$C$16</f>
        <v>3.5164878051160797</v>
      </c>
      <c r="C19" s="204">
        <f>'Bilan 2020'!$C$12+'Bilan 2020'!$C$13+'Bilan 2020'!$C$14+'Bilan 2020'!$C$16</f>
        <v>26.9657497815802</v>
      </c>
      <c r="D19" s="204">
        <f>('Bilan 2023 réel'!$C$12+'Bilan 2023 réel'!$C$13+'Bilan 2023 réel'!$C$14+'Bilan 2023 réel'!$C$16)*(1-SUM('Bilan 2023 réel'!$M$13:$P$13)/'Bilan 2023 réel'!$D$13)</f>
        <v>31.225950814182998</v>
      </c>
      <c r="E19" s="204">
        <f>('Bilan 2025 AMS'!$C$12+'Bilan 2025 AMS'!$C$13+'Bilan 2025 AMS'!$C$14+'Bilan 2025 AMS'!$C$16)*(1-SUM('Bilan 2025 AMS'!$M$13:$P$13)/'Bilan 2025 AMS'!$D$13)</f>
        <v>26.777337710413384</v>
      </c>
      <c r="F19" s="204">
        <f>('Bilan 2028 AMS'!$C$12+'Bilan 2028 AMS'!$C$13+'Bilan 2028 AMS'!$C$14+'Bilan 2028 AMS'!$C$16)*(1-SUM('Bilan 2028 AMS'!$M$13:$P$13)/'Bilan 2028 AMS'!$D$13)</f>
        <v>24.946652291139785</v>
      </c>
      <c r="G19" s="204">
        <f>('Bilan 2030 AMS'!$C$12+'Bilan 2030 AMS'!$C$13+'Bilan 2030 AMS'!$C$14+'Bilan 2030 AMS'!$C$16)*(1-SUM('Bilan 2030 AMS'!$M$13:$P$13)/'Bilan 2030 AMS'!$D$13)</f>
        <v>24.115584694214974</v>
      </c>
      <c r="H19" s="204">
        <f>('Bilan 2033 AMS'!$C$12+'Bilan 2033 AMS'!$C$13+'Bilan 2033 AMS'!$C$14+'Bilan 2033 AMS'!$C$16)*(1-SUM('Bilan 2033 AMS'!$M$13:$P$13)/'Bilan 2033 AMS'!$D$13)</f>
        <v>27.218791417954119</v>
      </c>
      <c r="I19" s="204">
        <f>('Bilan 2035 AMS'!$C$12+'Bilan 2035 AMS'!$C$13+'Bilan 2035 AMS'!$C$14+'Bilan 2035 AMS'!$C$16)*(1-SUM('Bilan 2035 AMS'!$M$13:$P$13)/'Bilan 2035 AMS'!$D$13)</f>
        <v>29.053477598037702</v>
      </c>
      <c r="J19" s="204">
        <f>('Bilan 2038 AMS'!$C$12+'Bilan 2038 AMS'!$C$13+'Bilan 2038 AMS'!$C$14+'Bilan 2038 AMS'!$C$16)*(1-SUM('Bilan 2038 AMS'!$M$13:$P$13)/'Bilan 2038 AMS'!$D$13)</f>
        <v>32.418728384619435</v>
      </c>
      <c r="K19" s="204">
        <f>('Bilan 2040 AMS'!$C$12+'Bilan 2040 AMS'!$C$13+'Bilan 2040 AMS'!$C$14+'Bilan 2040 AMS'!$C$16)*(1-SUM('Bilan 2040 AMS'!$M$13:$P$13)/'Bilan 2040 AMS'!$D$13)</f>
        <v>34.26205215278403</v>
      </c>
      <c r="L19" s="204">
        <f>('Bilan 2045 AMS'!$C$12+'Bilan 2045 AMS'!$C$13+'Bilan 2045 AMS'!$C$14+'Bilan 2045 AMS'!$C$16)*(1-SUM('Bilan 2045 AMS'!$M$13:$P$13)/'Bilan 2045 AMS'!$D$13)</f>
        <v>33.98815529549902</v>
      </c>
      <c r="M19" s="204">
        <f>('Bilan 2050 AMS'!$C$12+'Bilan 2050 AMS'!$C$13+'Bilan 2050 AMS'!$C$14+'Bilan 2050 AMS'!$C$16)*(1-SUM('Bilan 2050 AMS'!$M$13:$P$13)/'Bilan 2050 AMS'!$D$13)</f>
        <v>33.031189133294284</v>
      </c>
      <c r="Q19" s="205" t="s">
        <v>453</v>
      </c>
      <c r="R19" s="205">
        <f t="shared" si="54"/>
        <v>0.24671248523631389</v>
      </c>
      <c r="S19" s="205">
        <f t="shared" si="54"/>
        <v>5.9336589388889092</v>
      </c>
      <c r="T19" s="205">
        <f t="shared" si="54"/>
        <v>14.494867834472224</v>
      </c>
      <c r="U19" s="205">
        <f t="shared" si="54"/>
        <v>42.72849229793853</v>
      </c>
      <c r="V19" s="205">
        <f t="shared" si="54"/>
        <v>56.182924492441437</v>
      </c>
      <c r="W19" s="205">
        <f t="shared" si="54"/>
        <v>67.407783883394259</v>
      </c>
      <c r="X19" s="205">
        <f t="shared" si="54"/>
        <v>85.007831364743737</v>
      </c>
      <c r="Y19" s="205">
        <f t="shared" si="54"/>
        <v>96.955231697536831</v>
      </c>
      <c r="Z19" s="205">
        <f t="shared" si="54"/>
        <v>116.92973755449188</v>
      </c>
      <c r="AA19" s="205">
        <f t="shared" si="54"/>
        <v>132.73315388952119</v>
      </c>
      <c r="AB19" s="205">
        <f t="shared" si="54"/>
        <v>162.09846861647372</v>
      </c>
      <c r="AC19" s="205">
        <f t="shared" si="54"/>
        <v>191.4599897775754</v>
      </c>
      <c r="AD19" s="193">
        <f>AD18+1</f>
        <v>2402</v>
      </c>
      <c r="AE19" s="205" t="s">
        <v>287</v>
      </c>
      <c r="AF19" s="205">
        <f>'Bilan 2015'!$G$24-SUM('Bilan 2015'!$K$24:$P$24)+'Bilan 2015'!$G$32*(1-SUM('Bilan 2015'!$K$30:$P$30)/'Bilan 2015'!$H$30)+'Bilan 2015'!$G$45-'Bilan 2015'!$E$53</f>
        <v>28.383313386388462</v>
      </c>
      <c r="AG19" s="205">
        <f>'Bilan 2020'!$G$24-SUM('Bilan 2020'!$K$24:$P$24)+'Bilan 2020'!$G$32*(1-SUM('Bilan 2020'!$K$30:$P$30)/'Bilan 2020'!$H$30)+'Bilan 2020'!$G$45-'Bilan 2020'!$E$53</f>
        <v>325.27062265613705</v>
      </c>
      <c r="AH19" s="205">
        <f>'Bilan 2023 réel'!$G$24-SUM('Bilan 2023 réel'!$K$24:$P$24)+'Bilan 2023 réel'!$G$32*(1-SUM('Bilan 2023 réel'!$K$30:$P$30)/'Bilan 2023 réel'!$H$30)+'Bilan 2023 réel'!$G$45-'Bilan 2023 réel'!$E$53</f>
        <v>275.01857795683549</v>
      </c>
      <c r="AI19" s="205">
        <f>'Bilan 2025 AMS'!$G$24-SUM('Bilan 2025 AMS'!$K$24:$P$24)+'Bilan 2025 AMS'!$G$32*(1-SUM('Bilan 2025 AMS'!$K$30:$P$30)/'Bilan 2025 AMS'!$H$30)+'Bilan 2025 AMS'!$G$45-'Bilan 2025 AMS'!$E$53</f>
        <v>285.71250819079648</v>
      </c>
      <c r="AJ19" s="205">
        <f>'Bilan 2028 AMS'!$G$24-SUM('Bilan 2028 AMS'!$K$24:$P$24)+'Bilan 2028 AMS'!$G$32*(1-SUM('Bilan 2028 AMS'!$K$30:$P$30)/'Bilan 2028 AMS'!$H$30)+'Bilan 2028 AMS'!$G$45-'Bilan 2028 AMS'!$E$53</f>
        <v>234.50791632488009</v>
      </c>
      <c r="AK19" s="205">
        <f>'Bilan 2030 AMS'!$G$24-SUM('Bilan 2030 AMS'!$K$24:$P$24)+'Bilan 2030 AMS'!$G$32*(1-SUM('Bilan 2030 AMS'!$K$30:$P$30)/'Bilan 2030 AMS'!$H$30)+'Bilan 2030 AMS'!$G$45-'Bilan 2030 AMS'!$E$53</f>
        <v>207.82124294010708</v>
      </c>
      <c r="AL19" s="205">
        <f>'Bilan 2033 AMS'!$G$24-SUM('Bilan 2033 AMS'!$K$24:$P$24)+'Bilan 2033 AMS'!$G$32*(1-SUM('Bilan 2033 AMS'!$K$30:$P$30)/'Bilan 2033 AMS'!$H$30)+'Bilan 2033 AMS'!$G$45-'Bilan 2033 AMS'!$E$53</f>
        <v>178.61076037802593</v>
      </c>
      <c r="AM19" s="205">
        <f>'Bilan 2035 AMS'!$G$24-SUM('Bilan 2035 AMS'!$K$24:$P$24)+'Bilan 2035 AMS'!$G$32*(1-SUM('Bilan 2035 AMS'!$K$30:$P$30)/'Bilan 2035 AMS'!$H$30)+'Bilan 2035 AMS'!$G$45-'Bilan 2035 AMS'!$E$53</f>
        <v>163.45713844255147</v>
      </c>
      <c r="AN19" s="205">
        <f>'Bilan 2038 AMS'!$G$24-SUM('Bilan 2038 AMS'!$K$24:$P$24)+'Bilan 2038 AMS'!$G$32*(1-SUM('Bilan 2038 AMS'!$K$30:$P$30)/'Bilan 2038 AMS'!$H$30)+'Bilan 2038 AMS'!$G$45-'Bilan 2038 AMS'!$E$53</f>
        <v>120.38851358287208</v>
      </c>
      <c r="AO19" s="205">
        <f>'Bilan 2040 AMS'!$G$24-SUM('Bilan 2040 AMS'!$K$24:$P$24)+'Bilan 2040 AMS'!$G$32*(1-SUM('Bilan 2040 AMS'!$K$30:$P$30)/'Bilan 2040 AMS'!$H$30)+'Bilan 2040 AMS'!$G$45-'Bilan 2040 AMS'!$E$53</f>
        <v>94.197317140339607</v>
      </c>
      <c r="AP19" s="205">
        <f>'Bilan 2045 AMS'!$G$24-SUM('Bilan 2045 AMS'!$K$24:$P$24)+'Bilan 2045 AMS'!$G$32*(1-SUM('Bilan 2045 AMS'!$K$30:$P$30)/'Bilan 2045 AMS'!$H$30)+'Bilan 2045 AMS'!$G$45-'Bilan 2045 AMS'!$E$53</f>
        <v>71.47353023666389</v>
      </c>
      <c r="AQ19" s="205">
        <f>'Bilan 2050 AMS'!$G$24-SUM('Bilan 2050 AMS'!$K$24:$P$24)+'Bilan 2050 AMS'!$G$32*(1-SUM('Bilan 2050 AMS'!$K$30:$P$30)/'Bilan 2050 AMS'!$H$30)+'Bilan 2050 AMS'!$G$45-'Bilan 2050 AMS'!$E$53</f>
        <v>0.38467280266816584</v>
      </c>
      <c r="AR19" s="206"/>
      <c r="AS19" s="205" t="s">
        <v>287</v>
      </c>
      <c r="AT19" s="205">
        <f>'Bilan 2015'!$G$24-SUM('Bilan 2015'!$K$24:$P$24)+'Bilan 2015'!$G$32*(1-SUM('Bilan 2015'!$K$30:$P$30)/'Bilan 2015'!$H$30)+'Bilan 2015'!$G$45</f>
        <v>29.48489962771319</v>
      </c>
      <c r="AU19" s="205">
        <f>'Bilan 2020'!$G$24-SUM('Bilan 2020'!$K$24:$P$24)+'Bilan 2020'!$G$32*(1-SUM('Bilan 2020'!$K$30:$P$30)/'Bilan 2020'!$H$30)+'Bilan 2020'!$G$45</f>
        <v>337.29855915613706</v>
      </c>
      <c r="AV19" s="205">
        <f>'Bilan 2023 réel'!$G$24-SUM('Bilan 2023 réel'!$K$24:$P$24)+'Bilan 2023 réel'!$G$32*(1-SUM('Bilan 2023 réel'!$K$30:$P$30)/'Bilan 2023 réel'!$H$30)+'Bilan 2023 réel'!$G$45</f>
        <v>285.03424570683546</v>
      </c>
      <c r="AW19" s="205">
        <f>'Bilan 2025 AMS'!$G$24-SUM('Bilan 2025 AMS'!$K$24:$P$24)+'Bilan 2025 AMS'!$G$32*(1-SUM('Bilan 2025 AMS'!$K$30:$P$30)/'Bilan 2025 AMS'!$H$30)+'Bilan 2025 AMS'!$G$45</f>
        <v>299.0135078411621</v>
      </c>
      <c r="AX19" s="205">
        <f>'Bilan 2028 AMS'!$G$24-SUM('Bilan 2028 AMS'!$K$24:$P$24)+'Bilan 2028 AMS'!$G$32*(1-SUM('Bilan 2028 AMS'!$K$30:$P$30)/'Bilan 2028 AMS'!$H$30)+'Bilan 2028 AMS'!$G$45</f>
        <v>247.99672930099425</v>
      </c>
      <c r="AY19" s="205">
        <f>'Bilan 2030 AMS'!$G$24-SUM('Bilan 2030 AMS'!$K$24:$P$24)+'Bilan 2030 AMS'!$G$32*(1-SUM('Bilan 2030 AMS'!$K$30:$P$30)/'Bilan 2030 AMS'!$H$30)+'Bilan 2030 AMS'!$G$45</f>
        <v>221.35905384973015</v>
      </c>
      <c r="AZ19" s="205">
        <f>'Bilan 2033 AMS'!$G$24-SUM('Bilan 2033 AMS'!$K$24:$P$24)+'Bilan 2033 AMS'!$G$32*(1-SUM('Bilan 2033 AMS'!$K$30:$P$30)/'Bilan 2033 AMS'!$H$30)+'Bilan 2033 AMS'!$G$45</f>
        <v>191.81248424927475</v>
      </c>
      <c r="BA19" s="205">
        <f>'Bilan 2035 AMS'!$G$24-SUM('Bilan 2035 AMS'!$K$24:$P$24)+'Bilan 2035 AMS'!$G$32*(1-SUM('Bilan 2035 AMS'!$K$30:$P$30)/'Bilan 2035 AMS'!$H$30)+'Bilan 2035 AMS'!$G$45</f>
        <v>176.43035626841652</v>
      </c>
      <c r="BB19" s="205">
        <f>'Bilan 2038 AMS'!$G$24-SUM('Bilan 2038 AMS'!$K$24:$P$24)+'Bilan 2038 AMS'!$G$32*(1-SUM('Bilan 2038 AMS'!$K$30:$P$30)/'Bilan 2038 AMS'!$H$30)+'Bilan 2038 AMS'!$G$45</f>
        <v>133.11762224197238</v>
      </c>
      <c r="BC19" s="205">
        <f>'Bilan 2040 AMS'!$G$24-SUM('Bilan 2040 AMS'!$K$24:$P$24)+'Bilan 2040 AMS'!$G$32*(1-SUM('Bilan 2040 AMS'!$K$30:$P$30)/'Bilan 2040 AMS'!$H$30)+'Bilan 2040 AMS'!$G$45</f>
        <v>106.75277314350127</v>
      </c>
      <c r="BD19" s="205">
        <f>'Bilan 2045 AMS'!$G$24-SUM('Bilan 2045 AMS'!$K$24:$P$24)+'Bilan 2045 AMS'!$G$32*(1-SUM('Bilan 2045 AMS'!$K$30:$P$30)/'Bilan 2045 AMS'!$H$30)+'Bilan 2045 AMS'!$G$45</f>
        <v>81.176032829399574</v>
      </c>
      <c r="BE19" s="205">
        <f>'Bilan 2050 AMS'!$G$24-SUM('Bilan 2050 AMS'!$K$24:$P$24)+'Bilan 2050 AMS'!$G$32*(1-SUM('Bilan 2050 AMS'!$K$30:$P$30)/'Bilan 2050 AMS'!$H$30)+'Bilan 2050 AMS'!$G$45</f>
        <v>7.4046598817134068</v>
      </c>
      <c r="BF19" s="216"/>
      <c r="BG19" s="205" t="s">
        <v>520</v>
      </c>
      <c r="BH19" s="202">
        <f t="shared" si="55"/>
        <v>0.5326005166314316</v>
      </c>
      <c r="BI19" s="202">
        <f t="shared" si="55"/>
        <v>7.1695153825344554E-2</v>
      </c>
      <c r="BJ19" s="202">
        <f t="shared" si="55"/>
        <v>2.113203720443798E-2</v>
      </c>
      <c r="BK19" s="202">
        <f t="shared" si="55"/>
        <v>1.5438264996539282</v>
      </c>
      <c r="BL19" s="202">
        <f t="shared" si="55"/>
        <v>1.1308552684694202</v>
      </c>
      <c r="BM19" s="202">
        <f t="shared" si="55"/>
        <v>1.0465089495423312</v>
      </c>
      <c r="BN19" s="202">
        <f t="shared" si="55"/>
        <v>1.1944917647465385</v>
      </c>
      <c r="BO19" s="202">
        <f t="shared" si="55"/>
        <v>1.2854950461649286</v>
      </c>
      <c r="BP19" s="202">
        <f t="shared" si="55"/>
        <v>1.0856883607489241</v>
      </c>
      <c r="BQ19" s="202">
        <f t="shared" si="55"/>
        <v>1.0723397224440712</v>
      </c>
      <c r="BR19" s="202">
        <f t="shared" si="55"/>
        <v>1.4252183013330149</v>
      </c>
      <c r="BS19" s="202">
        <f t="shared" si="55"/>
        <v>1.0814927575451208</v>
      </c>
      <c r="BU19" s="205" t="s">
        <v>520</v>
      </c>
      <c r="BV19" s="208">
        <f>'Bilan 2015'!$E21+'Bilan 2015'!$E22+'Bilan 2015'!$E$26+'Bilan 2015'!$E$36</f>
        <v>6.7895488739272009E-2</v>
      </c>
      <c r="BW19" s="208">
        <f>'Bilan 2020'!$E21+'Bilan 2020'!$E22+'Bilan 2020'!$E$26+'Bilan 2020'!$E$36</f>
        <v>0.38082486073584376</v>
      </c>
      <c r="BX19" s="208">
        <f>'Bilan 2023 réel'!$E21+'Bilan 2023 réel'!$E22+'Bilan 2023 réel'!$E$26+'Bilan 2023 réel'!$E$36</f>
        <v>0.29527422825111405</v>
      </c>
      <c r="BY19" s="208">
        <f>'Bilan 2025 AMS'!$E21+'Bilan 2025 AMS'!$E22+'Bilan 2025 AMS'!$E$26+'Bilan 2025 AMS'!$E$36</f>
        <v>25.956760147894006</v>
      </c>
      <c r="BZ19" s="208">
        <f>'Bilan 2028 AMS'!$E21+'Bilan 2028 AMS'!$E22+'Bilan 2028 AMS'!$E$26+'Bilan 2028 AMS'!$E$36</f>
        <v>34.641453312950382</v>
      </c>
      <c r="CA19" s="208">
        <f>'Bilan 2030 AMS'!$E21+'Bilan 2030 AMS'!$E22+'Bilan 2030 AMS'!$E$26+'Bilan 2030 AMS'!$E$36</f>
        <v>40.004315054336224</v>
      </c>
      <c r="CB19" s="208">
        <f>'Bilan 2033 AMS'!$E21+'Bilan 2033 AMS'!$E22+'Bilan 2033 AMS'!$E$26+'Bilan 2033 AMS'!$E$36</f>
        <v>48.156533584067482</v>
      </c>
      <c r="CC19" s="208">
        <f>'Bilan 2035 AMS'!$E21+'Bilan 2035 AMS'!$E22+'Bilan 2035 AMS'!$E$26+'Bilan 2035 AMS'!$E$36</f>
        <v>53.566973261808435</v>
      </c>
      <c r="CD19" s="208">
        <f>'Bilan 2038 AMS'!$E21+'Bilan 2038 AMS'!$E22+'Bilan 2038 AMS'!$E$26+'Bilan 2038 AMS'!$E$36</f>
        <v>61.894407695175651</v>
      </c>
      <c r="CE19" s="208">
        <f>'Bilan 2040 AMS'!$E21+'Bilan 2040 AMS'!$E22+'Bilan 2040 AMS'!$E$26+'Bilan 2040 AMS'!$E$36</f>
        <v>67.395772165172062</v>
      </c>
      <c r="CF19" s="208">
        <f>'Bilan 2045 AMS'!$E21+'Bilan 2045 AMS'!$E22+'Bilan 2045 AMS'!$E$26+'Bilan 2045 AMS'!$E$36</f>
        <v>83.012747631763617</v>
      </c>
      <c r="CG19" s="208">
        <f>'Bilan 2050 AMS'!$E21+'Bilan 2050 AMS'!$E22+'Bilan 2050 AMS'!$E$26+'Bilan 2050 AMS'!$E$36</f>
        <v>99.059428249518078</v>
      </c>
      <c r="CH19" s="206"/>
      <c r="CJ19" s="205" t="s">
        <v>520</v>
      </c>
      <c r="CK19" s="202">
        <f t="shared" si="56"/>
        <v>0.40271506230012588</v>
      </c>
      <c r="CL19" s="202">
        <f t="shared" si="56"/>
        <v>4.5392080313649115E-2</v>
      </c>
      <c r="CM19" s="202">
        <f t="shared" si="56"/>
        <v>1.6229361268111312E-2</v>
      </c>
      <c r="CN19" s="202">
        <f t="shared" si="56"/>
        <v>2.6048821559642454E-2</v>
      </c>
      <c r="CO19" s="202">
        <f t="shared" si="56"/>
        <v>2.4256581724339716E-2</v>
      </c>
      <c r="CP19" s="202">
        <f t="shared" si="56"/>
        <v>2.4183930533003689E-2</v>
      </c>
      <c r="CQ19" s="202">
        <f t="shared" si="56"/>
        <v>2.4568365824426827E-2</v>
      </c>
      <c r="CR19" s="202">
        <f t="shared" si="56"/>
        <v>2.4773519740122027E-2</v>
      </c>
      <c r="CS19" s="202">
        <f t="shared" si="56"/>
        <v>2.3450897375860692E-2</v>
      </c>
      <c r="CT19" s="202">
        <f t="shared" si="56"/>
        <v>2.2783492354835521E-2</v>
      </c>
      <c r="CU19" s="202">
        <f t="shared" si="56"/>
        <v>2.2306880387596002E-2</v>
      </c>
      <c r="CV19" s="202">
        <f t="shared" si="56"/>
        <v>1.8914260203239823E-2</v>
      </c>
      <c r="CW19" s="206"/>
      <c r="CX19" s="193">
        <f t="shared" ref="CX19" si="61">CX18+1</f>
        <v>2403</v>
      </c>
      <c r="CY19" s="205" t="s">
        <v>520</v>
      </c>
      <c r="CZ19" s="207" t="s">
        <v>286</v>
      </c>
      <c r="DA19" s="202">
        <f>'Bilan 2015'!$K$21+'Bilan 2015'!$K$30*'Bilan 2015'!$G$26/'Bilan 2015'!$H$30</f>
        <v>5.1337794695484516E-2</v>
      </c>
      <c r="DB19" s="202">
        <f>'Bilan 2020'!$K$21+'Bilan 2020'!$K$30*'Bilan 2020'!$G$26/'Bilan 2020'!$H$30</f>
        <v>0.24111019701647993</v>
      </c>
      <c r="DC19" s="202">
        <f>'Bilan 2023 réel'!$K$21+'Bilan 2023 réel'!$K$22+'Bilan 2023 réel'!$K$30*'Bilan 2023 réel'!$G$26/'Bilan 2023 réel'!$H$30</f>
        <v>0.22677000220516785</v>
      </c>
      <c r="DD19" s="202">
        <f>'Bilan 2025 AMS'!$K$21+'Bilan 2025 AMS'!$K$22+'Bilan 2025 AMS'!$K$30*'Bilan 2025 AMS'!$G$26/'Bilan 2025 AMS'!$H$30</f>
        <v>0.43796567393453667</v>
      </c>
      <c r="DE19" s="202">
        <f>'Bilan 2028 AMS'!$K$21+'Bilan 2028 AMS'!$K$22+'Bilan 2028 AMS'!$K$30*'Bilan 2028 AMS'!$G$26/'Bilan 2028 AMS'!$H$30</f>
        <v>0.7430510930658516</v>
      </c>
      <c r="DF19" s="202">
        <f>'Bilan 2030 AMS'!$K$21+'Bilan 2030 AMS'!$K$22+'Bilan 2030 AMS'!$K$30*'Bilan 2030 AMS'!$G$26/'Bilan 2030 AMS'!$H$30</f>
        <v>0.92446565002388192</v>
      </c>
      <c r="DG19" s="202">
        <f>'Bilan 2033 AMS'!$K$21+'Bilan 2033 AMS'!$K$22+'Bilan 2033 AMS'!$K$30*'Bilan 2033 AMS'!$G$26/'Bilan 2033 AMS'!$H$30</f>
        <v>0.99048596972178904</v>
      </c>
      <c r="DH19" s="202">
        <f>'Bilan 2035 AMS'!$K$21+'Bilan 2035 AMS'!$K$22+'Bilan 2035 AMS'!$K$30*'Bilan 2035 AMS'!$G$26/'Bilan 2035 AMS'!$H$30</f>
        <v>1.032320173834214</v>
      </c>
      <c r="DI19" s="202">
        <f>'Bilan 2038 AMS'!$K$21+'Bilan 2038 AMS'!$K$22+'Bilan 2038 AMS'!$K$30*'Bilan 2038 AMS'!$G$26/'Bilan 2038 AMS'!$H$30</f>
        <v>1.3369208471554344</v>
      </c>
      <c r="DJ19" s="202">
        <f>'Bilan 2040 AMS'!$K$21+'Bilan 2040 AMS'!$K$22+'Bilan 2040 AMS'!$K$30*'Bilan 2040 AMS'!$G$26/'Bilan 2040 AMS'!$H$30</f>
        <v>1.4319259351632572</v>
      </c>
      <c r="DK19" s="202">
        <f>'Bilan 2045 AMS'!$K$21+'Bilan 2045 AMS'!$K$22+'Bilan 2045 AMS'!$K$30*'Bilan 2045 AMS'!$G$26/'Bilan 2045 AMS'!$H$30</f>
        <v>1.2992784546307656</v>
      </c>
      <c r="DL19" s="202">
        <f>'Bilan 2050 AMS'!$K$21+'Bilan 2050 AMS'!$K$22+'Bilan 2050 AMS'!$K$30*'Bilan 2050 AMS'!$G$26/'Bilan 2050 AMS'!$H$30</f>
        <v>1.7324533968664888</v>
      </c>
    </row>
    <row r="20" spans="1:116" ht="12.75" x14ac:dyDescent="0.2">
      <c r="A20" s="209" t="s">
        <v>21</v>
      </c>
      <c r="B20" s="210"/>
      <c r="C20" s="210"/>
      <c r="D20" s="576"/>
      <c r="E20" s="576"/>
      <c r="F20" s="576"/>
      <c r="G20" s="576"/>
      <c r="H20" s="576"/>
      <c r="I20" s="576"/>
      <c r="J20" s="576"/>
      <c r="K20" s="576"/>
      <c r="L20" s="576"/>
      <c r="M20" s="576"/>
      <c r="N20" s="573"/>
      <c r="O20" s="573"/>
      <c r="P20" s="573"/>
      <c r="Q20" s="570" t="s">
        <v>293</v>
      </c>
      <c r="R20" s="205">
        <f t="shared" si="54"/>
        <v>0.81249408070009255</v>
      </c>
      <c r="S20" s="205">
        <f t="shared" si="54"/>
        <v>22.30312628047551</v>
      </c>
      <c r="T20" s="205">
        <f t="shared" si="54"/>
        <v>23.661663021111114</v>
      </c>
      <c r="U20" s="205">
        <f t="shared" si="54"/>
        <v>17.981780283693809</v>
      </c>
      <c r="V20" s="205">
        <f t="shared" si="54"/>
        <v>22.804279698309344</v>
      </c>
      <c r="W20" s="205">
        <f t="shared" si="54"/>
        <v>27.789102718045811</v>
      </c>
      <c r="X20" s="205">
        <f t="shared" si="54"/>
        <v>27.761225773724579</v>
      </c>
      <c r="Y20" s="205">
        <f t="shared" si="54"/>
        <v>27.460757852255149</v>
      </c>
      <c r="Z20" s="205">
        <f t="shared" si="54"/>
        <v>24.805037798268717</v>
      </c>
      <c r="AA20" s="205">
        <f t="shared" si="54"/>
        <v>22.991585077795918</v>
      </c>
      <c r="AB20" s="205">
        <f t="shared" si="54"/>
        <v>20.051935910428757</v>
      </c>
      <c r="AC20" s="205">
        <f t="shared" si="54"/>
        <v>17.572256863622215</v>
      </c>
      <c r="AD20" s="193">
        <f>AD19+1</f>
        <v>2403</v>
      </c>
      <c r="AE20" s="205" t="s">
        <v>289</v>
      </c>
      <c r="AF20" s="205">
        <f>'Bilan 2015'!$G$29*(1-SUM('Bilan 2015'!$K$26:$P$34)/'Bilan 2015'!$H$30)+'Bilan 2015'!$G$37</f>
        <v>7.7314053250240979</v>
      </c>
      <c r="AG20" s="205">
        <f>'Bilan 2020'!$G$29*(1-SUM('Bilan 2020'!$K$26:$P$34)/'Bilan 2020'!$H$30)+'Bilan 2020'!$G$37</f>
        <v>95.569975835829709</v>
      </c>
      <c r="AH20" s="205">
        <f>'Bilan 2023 réel'!$G$29*(1-SUM('Bilan 2023 réel'!$K$26:$P$34)/'Bilan 2023 réel'!$H$30)+'Bilan 2023 réel'!$G$37-'Bilan 2023 réel'!$E$58</f>
        <v>99.718071968772989</v>
      </c>
      <c r="AI20" s="205">
        <f>'Bilan 2025 AMS'!$G$29*(1-SUM('Bilan 2025 AMS'!$K$26:$P$34)/'Bilan 2025 AMS'!$H$30)+'Bilan 2025 AMS'!$G$37-'Bilan 2025 AMS'!$E$58</f>
        <v>121.87558501925793</v>
      </c>
      <c r="AJ20" s="205">
        <f>'Bilan 2028 AMS'!$G$29*(1-SUM('Bilan 2028 AMS'!$K$26:$P$34)/'Bilan 2028 AMS'!$H$30)+'Bilan 2028 AMS'!$G$37-'Bilan 2028 AMS'!$E$58</f>
        <v>126.02253702992148</v>
      </c>
      <c r="AK20" s="205">
        <f>'Bilan 2030 AMS'!$G$29*(1-SUM('Bilan 2030 AMS'!$K$26:$P$34)/'Bilan 2030 AMS'!$H$30)+'Bilan 2030 AMS'!$G$37-'Bilan 2030 AMS'!$E$58</f>
        <v>133.51868667642407</v>
      </c>
      <c r="AL20" s="205">
        <f>'Bilan 2033 AMS'!$G$29*(1-SUM('Bilan 2033 AMS'!$K$26:$P$34)/'Bilan 2033 AMS'!$H$30)+'Bilan 2033 AMS'!$G$37-'Bilan 2033 AMS'!$E$58</f>
        <v>126.50439090340566</v>
      </c>
      <c r="AM20" s="205">
        <f>'Bilan 2035 AMS'!$G$29*(1-SUM('Bilan 2035 AMS'!$K$26:$P$34)/'Bilan 2035 AMS'!$H$30)+'Bilan 2035 AMS'!$G$37-'Bilan 2035 AMS'!$E$58</f>
        <v>124.52502065657124</v>
      </c>
      <c r="AN20" s="205">
        <f>'Bilan 2038 AMS'!$G$29*(1-SUM('Bilan 2038 AMS'!$K$26:$P$34)/'Bilan 2038 AMS'!$H$30)+'Bilan 2038 AMS'!$G$37-'Bilan 2038 AMS'!$E$58</f>
        <v>120.72263872995546</v>
      </c>
      <c r="AO20" s="205">
        <f>'Bilan 2040 AMS'!$G$29*(1-SUM('Bilan 2040 AMS'!$K$26:$P$34)/'Bilan 2040 AMS'!$H$30)+'Bilan 2040 AMS'!$G$37-'Bilan 2040 AMS'!$E$58</f>
        <v>118.64640062542632</v>
      </c>
      <c r="AP20" s="205">
        <f>'Bilan 2045 AMS'!$G$29*(1-SUM('Bilan 2045 AMS'!$K$26:$P$34)/'Bilan 2045 AMS'!$H$30)+'Bilan 2045 AMS'!$G$37-'Bilan 2045 AMS'!$E$58</f>
        <v>115.46661011145925</v>
      </c>
      <c r="AQ20" s="205">
        <f>'Bilan 2050 AMS'!$G$29*(1-SUM('Bilan 2050 AMS'!$K$26:$P$34)/'Bilan 2050 AMS'!$H$30)+'Bilan 2050 AMS'!$G$37-'Bilan 2050 AMS'!$E$58</f>
        <v>112.67854173052858</v>
      </c>
      <c r="AR20" s="206"/>
      <c r="AS20" s="205" t="s">
        <v>289</v>
      </c>
      <c r="AT20" s="205">
        <f>'Bilan 2015'!$G$29*(1-SUM('Bilan 2015'!$K$26:$P$34)/'Bilan 2015'!$H$30)+'Bilan 2015'!$G$37</f>
        <v>7.7314053250240979</v>
      </c>
      <c r="AU20" s="205">
        <f>'Bilan 2020'!$G$29*(1-SUM('Bilan 2020'!$K$26:$P$34)/'Bilan 2020'!$H$30)+'Bilan 2020'!$G$37</f>
        <v>95.569975835829709</v>
      </c>
      <c r="AV20" s="205">
        <f>'Bilan 2023 réel'!$G$29*(1-SUM('Bilan 2023 réel'!$K$26:$P$34)/'Bilan 2023 réel'!$H$30)+'Bilan 2023 réel'!$G$37</f>
        <v>99.718071968772989</v>
      </c>
      <c r="AW20" s="205">
        <f>'Bilan 2025 AMS'!$G$29*(1-SUM('Bilan 2025 AMS'!$K$26:$P$34)/'Bilan 2025 AMS'!$H$30)+'Bilan 2025 AMS'!$G$37</f>
        <v>121.92519910519408</v>
      </c>
      <c r="AX20" s="205">
        <f>'Bilan 2028 AMS'!$G$29*(1-SUM('Bilan 2028 AMS'!$K$26:$P$34)/'Bilan 2028 AMS'!$H$30)+'Bilan 2028 AMS'!$G$37</f>
        <v>126.11312079272246</v>
      </c>
      <c r="AY20" s="205">
        <f>'Bilan 2030 AMS'!$G$29*(1-SUM('Bilan 2030 AMS'!$K$26:$P$34)/'Bilan 2030 AMS'!$H$30)+'Bilan 2030 AMS'!$G$37</f>
        <v>133.63782631398504</v>
      </c>
      <c r="AZ20" s="205">
        <f>'Bilan 2033 AMS'!$G$29*(1-SUM('Bilan 2033 AMS'!$K$26:$P$34)/'Bilan 2033 AMS'!$H$30)+'Bilan 2033 AMS'!$G$37</f>
        <v>126.72440890610142</v>
      </c>
      <c r="BA20" s="205">
        <f>'Bilan 2035 AMS'!$G$29*(1-SUM('Bilan 2035 AMS'!$K$26:$P$34)/'Bilan 2035 AMS'!$H$30)+'Bilan 2035 AMS'!$G$37</f>
        <v>124.8167017953825</v>
      </c>
      <c r="BB20" s="205">
        <f>'Bilan 2038 AMS'!$G$29*(1-SUM('Bilan 2038 AMS'!$K$26:$P$34)/'Bilan 2038 AMS'!$H$30)+'Bilan 2038 AMS'!$G$37</f>
        <v>121.1292239307915</v>
      </c>
      <c r="BC20" s="205">
        <f>'Bilan 2040 AMS'!$G$29*(1-SUM('Bilan 2040 AMS'!$K$26:$P$34)/'Bilan 2040 AMS'!$H$30)+'Bilan 2040 AMS'!$G$37</f>
        <v>119.13270384325587</v>
      </c>
      <c r="BD20" s="205">
        <f>'Bilan 2045 AMS'!$G$29*(1-SUM('Bilan 2045 AMS'!$K$26:$P$34)/'Bilan 2045 AMS'!$H$30)+'Bilan 2045 AMS'!$G$37</f>
        <v>116.01712833368249</v>
      </c>
      <c r="BE20" s="205">
        <f>'Bilan 2050 AMS'!$G$29*(1-SUM('Bilan 2050 AMS'!$K$26:$P$34)/'Bilan 2050 AMS'!$H$30)+'Bilan 2050 AMS'!$G$37</f>
        <v>113.29038731064291</v>
      </c>
      <c r="BF20" s="216"/>
      <c r="BG20" s="205" t="s">
        <v>410</v>
      </c>
      <c r="BH20" s="202">
        <f t="shared" si="55"/>
        <v>0</v>
      </c>
      <c r="BI20" s="202">
        <f t="shared" si="55"/>
        <v>0</v>
      </c>
      <c r="BJ20" s="202">
        <f t="shared" si="55"/>
        <v>0</v>
      </c>
      <c r="BK20" s="202">
        <f t="shared" si="55"/>
        <v>7.0017911353073323</v>
      </c>
      <c r="BL20" s="202">
        <f t="shared" si="55"/>
        <v>2.1438664585740885</v>
      </c>
      <c r="BM20" s="202">
        <f t="shared" si="55"/>
        <v>1.6628619085518044</v>
      </c>
      <c r="BN20" s="202">
        <f t="shared" si="55"/>
        <v>1.3641603741468753</v>
      </c>
      <c r="BO20" s="202">
        <f t="shared" si="55"/>
        <v>1.2326071506271647</v>
      </c>
      <c r="BP20" s="202">
        <f t="shared" si="55"/>
        <v>1.1400780239562605</v>
      </c>
      <c r="BQ20" s="202">
        <f t="shared" si="55"/>
        <v>1.0864331669407723</v>
      </c>
      <c r="BR20" s="202">
        <f t="shared" si="55"/>
        <v>1.101452481324938</v>
      </c>
      <c r="BS20" s="202">
        <f t="shared" si="55"/>
        <v>1.2169211229435879</v>
      </c>
      <c r="BU20" s="205" t="s">
        <v>410</v>
      </c>
      <c r="BV20" s="208">
        <f>'Bilan 2015'!$E$23+'Bilan 2015'!$E$47</f>
        <v>0</v>
      </c>
      <c r="BW20" s="208">
        <f>'Bilan 2020'!$E$23+'Bilan 2020'!$E$47</f>
        <v>0</v>
      </c>
      <c r="BX20" s="208">
        <f>'Bilan 2023 réel'!$E$23+'Bilan 2023 réel'!$E$47</f>
        <v>0</v>
      </c>
      <c r="BY20" s="208">
        <f>'Bilan 2025 AMS'!$E$23+'Bilan 2025 AMS'!$E$47</f>
        <v>1.6666311381162084</v>
      </c>
      <c r="BZ20" s="208">
        <f>'Bilan 2028 AMS'!$E$23+'Bilan 2028 AMS'!$E$47</f>
        <v>6.1111025181979297</v>
      </c>
      <c r="CA20" s="208">
        <f>'Bilan 2030 AMS'!$E$23+'Bilan 2030 AMS'!$E$47</f>
        <v>9.7842258273244695</v>
      </c>
      <c r="CB20" s="208">
        <f>'Bilan 2033 AMS'!$E$23+'Bilan 2033 AMS'!$E$47</f>
        <v>12.31619991375868</v>
      </c>
      <c r="CC20" s="208">
        <f>'Bilan 2035 AMS'!$E$23+'Bilan 2035 AMS'!$E$47</f>
        <v>13.952411267571119</v>
      </c>
      <c r="CD20" s="208">
        <f>'Bilan 2038 AMS'!$E$23+'Bilan 2038 AMS'!$E$47</f>
        <v>15.824362315653007</v>
      </c>
      <c r="CE20" s="208">
        <f>'Bilan 2040 AMS'!$E$23+'Bilan 2040 AMS'!$E$47</f>
        <v>16.929108550950417</v>
      </c>
      <c r="CF20" s="208">
        <f>'Bilan 2045 AMS'!$E$23+'Bilan 2045 AMS'!$E$47</f>
        <v>27.826965292378315</v>
      </c>
      <c r="CG20" s="208">
        <f>'Bilan 2050 AMS'!$E$23+'Bilan 2050 AMS'!$E$47</f>
        <v>36.314214245612469</v>
      </c>
      <c r="CH20" s="206"/>
      <c r="CJ20" s="205" t="s">
        <v>410</v>
      </c>
      <c r="CK20" s="202">
        <f t="shared" si="56"/>
        <v>0</v>
      </c>
      <c r="CL20" s="202">
        <f t="shared" si="56"/>
        <v>0</v>
      </c>
      <c r="CM20" s="202">
        <f t="shared" si="56"/>
        <v>0</v>
      </c>
      <c r="CN20" s="202">
        <f t="shared" si="56"/>
        <v>0</v>
      </c>
      <c r="CO20" s="202">
        <f t="shared" si="56"/>
        <v>0</v>
      </c>
      <c r="CP20" s="202">
        <f t="shared" si="56"/>
        <v>0</v>
      </c>
      <c r="CQ20" s="202">
        <f t="shared" si="56"/>
        <v>0</v>
      </c>
      <c r="CR20" s="202">
        <f t="shared" si="56"/>
        <v>0</v>
      </c>
      <c r="CS20" s="202">
        <f t="shared" si="56"/>
        <v>0</v>
      </c>
      <c r="CT20" s="202">
        <f t="shared" si="56"/>
        <v>0</v>
      </c>
      <c r="CU20" s="202">
        <f t="shared" si="56"/>
        <v>0</v>
      </c>
      <c r="CV20" s="202">
        <f t="shared" si="56"/>
        <v>0</v>
      </c>
      <c r="CW20" s="206"/>
      <c r="CY20" s="205" t="s">
        <v>31</v>
      </c>
      <c r="DA20" s="202">
        <f>'Bilan 2015'!$K$23</f>
        <v>0</v>
      </c>
      <c r="DB20" s="202">
        <f>'Bilan 2020'!$K$23</f>
        <v>0</v>
      </c>
      <c r="DC20" s="202">
        <f>'Bilan 2023 réel'!$K$23</f>
        <v>0</v>
      </c>
      <c r="DD20" s="202">
        <f>'Bilan 2025 AMS'!$K$23</f>
        <v>0</v>
      </c>
      <c r="DE20" s="202">
        <f>'Bilan 2028 AMS'!$K$23</f>
        <v>0</v>
      </c>
      <c r="DF20" s="202">
        <f>'Bilan 2030 AMS'!$K$23</f>
        <v>0</v>
      </c>
      <c r="DG20" s="202">
        <f>'Bilan 2033 AMS'!$K$23</f>
        <v>0</v>
      </c>
      <c r="DH20" s="202">
        <f>'Bilan 2035 AMS'!$K$23</f>
        <v>0</v>
      </c>
      <c r="DI20" s="202">
        <f>'Bilan 2038 AMS'!$K$23</f>
        <v>0</v>
      </c>
      <c r="DJ20" s="202">
        <f>'Bilan 2040 AMS'!$K$23</f>
        <v>0</v>
      </c>
      <c r="DK20" s="202">
        <f>'Bilan 2045 AMS'!$K$23</f>
        <v>0</v>
      </c>
      <c r="DL20" s="202">
        <f>'Bilan 2050 AMS'!$K$23</f>
        <v>0</v>
      </c>
    </row>
    <row r="21" spans="1:116" ht="15" x14ac:dyDescent="0.25">
      <c r="A21" s="211" t="s">
        <v>22</v>
      </c>
      <c r="B21" s="212"/>
      <c r="C21" s="212"/>
      <c r="D21" s="577"/>
      <c r="E21" s="577"/>
      <c r="F21" s="577"/>
      <c r="G21" s="577"/>
      <c r="H21" s="577"/>
      <c r="I21" s="577"/>
      <c r="J21" s="577"/>
      <c r="K21" s="577"/>
      <c r="L21" s="577"/>
      <c r="M21" s="577"/>
      <c r="N21" s="573"/>
      <c r="O21" s="573"/>
      <c r="P21" s="573"/>
      <c r="Q21" s="570" t="s">
        <v>295</v>
      </c>
      <c r="R21" s="205">
        <f t="shared" si="54"/>
        <v>5.6427752579331782E-2</v>
      </c>
      <c r="S21" s="205">
        <f t="shared" si="54"/>
        <v>3.6793581777777802</v>
      </c>
      <c r="T21" s="205">
        <f t="shared" si="54"/>
        <v>4.6370516666666663</v>
      </c>
      <c r="U21" s="205">
        <f t="shared" si="54"/>
        <v>6.057358935027354</v>
      </c>
      <c r="V21" s="205">
        <f t="shared" si="54"/>
        <v>8.0512503201458188</v>
      </c>
      <c r="W21" s="205">
        <f t="shared" si="54"/>
        <v>10.223550533524911</v>
      </c>
      <c r="X21" s="205">
        <f t="shared" si="54"/>
        <v>12.465752150616991</v>
      </c>
      <c r="Y21" s="205">
        <f t="shared" si="54"/>
        <v>14.189843081655606</v>
      </c>
      <c r="Z21" s="205">
        <f t="shared" si="54"/>
        <v>15.123327125815617</v>
      </c>
      <c r="AA21" s="205">
        <f t="shared" si="54"/>
        <v>15.724500904765749</v>
      </c>
      <c r="AB21" s="205">
        <f t="shared" si="54"/>
        <v>12.221648755322821</v>
      </c>
      <c r="AC21" s="205">
        <f t="shared" si="54"/>
        <v>12.943396433622139</v>
      </c>
      <c r="AE21" s="205" t="s">
        <v>520</v>
      </c>
      <c r="AF21" s="205">
        <f>'Bilan 2015'!$G$21-SUM('Bilan 2015'!$K$21:$P$21)+'Bilan 2015'!$G$26*(1-SUM('Bilan 2015'!$K$26:$P$34)/'Bilan 2015'!$H$30)+'Bilan 2015'!$G$36-'Bilan 2015'!$E$55</f>
        <v>0.12747920180155742</v>
      </c>
      <c r="AG21" s="205">
        <f>'Bilan 2020'!$G$21-SUM('Bilan 2020'!$K$21:$P$21)+'Bilan 2020'!$G$26*(1-SUM('Bilan 2020'!$K$26:$P$34)/'Bilan 2020'!$H$30)+'Bilan 2020'!$G$36-'Bilan 2020'!$E$55</f>
        <v>5.3117238811365866</v>
      </c>
      <c r="AH21" s="205">
        <f>'Bilan 2023 réel'!$G$22-SUM('Bilan 2023 réel'!$K$22:$P$22)+'Bilan 2023 réel'!$G$21-SUM('Bilan 2023 réel'!$K$21:$P$21)+'Bilan 2023 réel'!$G$26*(1-SUM('Bilan 2023 réel'!$K$26:$P$34)/'Bilan 2023 réel'!$H$30)+'Bilan 2023 réel'!$G$36-'Bilan 2023 réel'!$E$55</f>
        <v>13.972823604015941</v>
      </c>
      <c r="AI21" s="205">
        <f>'Bilan 2025 AMS'!$G$22-SUM('Bilan 2025 AMS'!$K$22:$P$22)+'Bilan 2025 AMS'!$G$21-SUM('Bilan 2025 AMS'!$K$21:$P$21)+'Bilan 2025 AMS'!$G$26*(1-SUM('Bilan 2025 AMS'!$K$26:$P$34)/'Bilan 2025 AMS'!$H$30)+'Bilan 2025 AMS'!$G$36-'Bilan 2025 AMS'!$E$55</f>
        <v>16.813262470693825</v>
      </c>
      <c r="AJ21" s="205">
        <f>'Bilan 2028 AMS'!$G$22-SUM('Bilan 2028 AMS'!$K$22:$P$22)+'Bilan 2028 AMS'!$G$21-SUM('Bilan 2028 AMS'!$K$21:$P$21)+'Bilan 2028 AMS'!$G$26*(1-SUM('Bilan 2028 AMS'!$K$26:$P$34)/'Bilan 2028 AMS'!$H$30)+'Bilan 2028 AMS'!$G$36-'Bilan 2028 AMS'!$E$55</f>
        <v>30.632968054202536</v>
      </c>
      <c r="AK21" s="205">
        <f>'Bilan 2030 AMS'!$G$22-SUM('Bilan 2030 AMS'!$K$22:$P$22)+'Bilan 2030 AMS'!$G$21-SUM('Bilan 2030 AMS'!$K$21:$P$21)+'Bilan 2030 AMS'!$G$26*(1-SUM('Bilan 2030 AMS'!$K$26:$P$34)/'Bilan 2030 AMS'!$H$30)+'Bilan 2030 AMS'!$G$36-'Bilan 2030 AMS'!$E$55</f>
        <v>38.226443330304321</v>
      </c>
      <c r="AL21" s="205">
        <f>'Bilan 2033 AMS'!$G$22-SUM('Bilan 2033 AMS'!$K$22:$P$22)+'Bilan 2033 AMS'!$G$21-SUM('Bilan 2033 AMS'!$K$21:$P$21)+'Bilan 2033 AMS'!$G$26*(1-SUM('Bilan 2033 AMS'!$K$26:$P$34)/'Bilan 2033 AMS'!$H$30)+'Bilan 2033 AMS'!$G$36-'Bilan 2033 AMS'!$E$55</f>
        <v>40.315500705260959</v>
      </c>
      <c r="AM21" s="205">
        <f>'Bilan 2035 AMS'!$G$22-SUM('Bilan 2035 AMS'!$K$22:$P$22)+'Bilan 2035 AMS'!$G$21-SUM('Bilan 2035 AMS'!$K$21:$P$21)+'Bilan 2035 AMS'!$G$26*(1-SUM('Bilan 2035 AMS'!$K$26:$P$34)/'Bilan 2035 AMS'!$H$30)+'Bilan 2035 AMS'!$G$36-'Bilan 2035 AMS'!$E$55</f>
        <v>41.670307032000657</v>
      </c>
      <c r="AN21" s="205">
        <f>'Bilan 2038 AMS'!$G$22-SUM('Bilan 2038 AMS'!$K$22:$P$22)+'Bilan 2038 AMS'!$G$21-SUM('Bilan 2038 AMS'!$K$21:$P$21)+'Bilan 2038 AMS'!$G$26*(1-SUM('Bilan 2038 AMS'!$K$26:$P$34)/'Bilan 2038 AMS'!$H$30)+'Bilan 2038 AMS'!$G$36-'Bilan 2038 AMS'!$E$55</f>
        <v>57.009368372043667</v>
      </c>
      <c r="AO21" s="205">
        <f>'Bilan 2040 AMS'!$G$22-SUM('Bilan 2040 AMS'!$K$22:$P$22)+'Bilan 2040 AMS'!$G$21-SUM('Bilan 2040 AMS'!$K$21:$P$21)+'Bilan 2040 AMS'!$G$26*(1-SUM('Bilan 2040 AMS'!$K$26:$P$34)/'Bilan 2040 AMS'!$H$30)+'Bilan 2040 AMS'!$G$36-'Bilan 2040 AMS'!$E$55</f>
        <v>62.84927318701201</v>
      </c>
      <c r="AP21" s="205">
        <f>'Bilan 2045 AMS'!$G$22-SUM('Bilan 2045 AMS'!$K$22:$P$22)+'Bilan 2045 AMS'!$G$21-SUM('Bilan 2045 AMS'!$K$21:$P$21)+'Bilan 2045 AMS'!$G$26*(1-SUM('Bilan 2045 AMS'!$K$26:$P$34)/'Bilan 2045 AMS'!$H$30)+'Bilan 2045 AMS'!$G$36-'Bilan 2045 AMS'!$E$55</f>
        <v>58.245636864276385</v>
      </c>
      <c r="AQ21" s="205">
        <f>'Bilan 2050 AMS'!$G$22-SUM('Bilan 2050 AMS'!$K$22:$P$22)+'Bilan 2050 AMS'!$G$21-SUM('Bilan 2050 AMS'!$K$21:$P$21)+'Bilan 2050 AMS'!$G$26*(1-SUM('Bilan 2050 AMS'!$K$26:$P$34)/'Bilan 2050 AMS'!$H$30)+'Bilan 2050 AMS'!$G$36-'Bilan 2050 AMS'!$E$55</f>
        <v>91.595091653108213</v>
      </c>
      <c r="AR21" s="206"/>
      <c r="AS21" s="205" t="s">
        <v>520</v>
      </c>
      <c r="AT21" s="205">
        <f>'Bilan 2015'!$G$21-SUM('Bilan 2015'!$K$21:$P$21)+'Bilan 2015'!$G$26*(1-SUM('Bilan 2015'!$K$26:$P$34)/'Bilan 2015'!$H$30)+'Bilan 2015'!$G$36</f>
        <v>0.12747920180155742</v>
      </c>
      <c r="AU21" s="205">
        <f>'Bilan 2020'!$G$21-SUM('Bilan 2020'!$K$21:$P$21)+'Bilan 2020'!$G$26*(1-SUM('Bilan 2020'!$K$26:$P$34)/'Bilan 2020'!$H$30)+'Bilan 2020'!$G$36</f>
        <v>5.3117238811365866</v>
      </c>
      <c r="AV21" s="205">
        <f>'Bilan 2023 réel'!$G$22-SUM('Bilan 2023 réel'!$K$22:$P$22)+'Bilan 2023 réel'!$G$21-SUM('Bilan 2023 réel'!$K$21:$P$21)+'Bilan 2023 réel'!$G$26*(1-SUM('Bilan 2023 réel'!$K$26:$P$34)/'Bilan 2023 réel'!$H$30)+'Bilan 2023 réel'!$G$36</f>
        <v>13.972823604015941</v>
      </c>
      <c r="AW21" s="205">
        <f>'Bilan 2025 AMS'!$G$22-SUM('Bilan 2025 AMS'!$K$22:$P$22)+'Bilan 2025 AMS'!$G$21-SUM('Bilan 2025 AMS'!$K$21:$P$21)+'Bilan 2025 AMS'!$G$26*(1-SUM('Bilan 2025 AMS'!$K$26:$P$34)/'Bilan 2025 AMS'!$H$30)+'Bilan 2025 AMS'!$G$36</f>
        <v>16.813262470693825</v>
      </c>
      <c r="AX21" s="205">
        <f>'Bilan 2028 AMS'!$G$22-SUM('Bilan 2028 AMS'!$K$22:$P$22)+'Bilan 2028 AMS'!$G$21-SUM('Bilan 2028 AMS'!$K$21:$P$21)+'Bilan 2028 AMS'!$G$26*(1-SUM('Bilan 2028 AMS'!$K$26:$P$34)/'Bilan 2028 AMS'!$H$30)+'Bilan 2028 AMS'!$G$36</f>
        <v>30.632968054202536</v>
      </c>
      <c r="AY21" s="205">
        <f>'Bilan 2030 AMS'!$G$22-SUM('Bilan 2030 AMS'!$K$22:$P$22)+'Bilan 2030 AMS'!$G$21-SUM('Bilan 2030 AMS'!$K$21:$P$21)+'Bilan 2030 AMS'!$G$26*(1-SUM('Bilan 2030 AMS'!$K$26:$P$34)/'Bilan 2030 AMS'!$H$30)+'Bilan 2030 AMS'!$G$36</f>
        <v>38.226443330304321</v>
      </c>
      <c r="AZ21" s="205">
        <f>'Bilan 2033 AMS'!$G$22-SUM('Bilan 2033 AMS'!$K$22:$P$22)+'Bilan 2033 AMS'!$G$21-SUM('Bilan 2033 AMS'!$K$21:$P$21)+'Bilan 2033 AMS'!$G$26*(1-SUM('Bilan 2033 AMS'!$K$26:$P$34)/'Bilan 2033 AMS'!$H$30)+'Bilan 2033 AMS'!$G$36</f>
        <v>40.315500705260959</v>
      </c>
      <c r="BA21" s="205">
        <f>'Bilan 2035 AMS'!$G$22-SUM('Bilan 2035 AMS'!$K$22:$P$22)+'Bilan 2035 AMS'!$G$21-SUM('Bilan 2035 AMS'!$K$21:$P$21)+'Bilan 2035 AMS'!$G$26*(1-SUM('Bilan 2035 AMS'!$K$26:$P$34)/'Bilan 2035 AMS'!$H$30)+'Bilan 2035 AMS'!$G$36</f>
        <v>41.670307032000657</v>
      </c>
      <c r="BB21" s="205">
        <f>'Bilan 2038 AMS'!$G$22-SUM('Bilan 2038 AMS'!$K$22:$P$22)+'Bilan 2038 AMS'!$G$21-SUM('Bilan 2038 AMS'!$K$21:$P$21)+'Bilan 2038 AMS'!$G$26*(1-SUM('Bilan 2038 AMS'!$K$26:$P$34)/'Bilan 2038 AMS'!$H$30)+'Bilan 2038 AMS'!$G$36</f>
        <v>57.009368372043667</v>
      </c>
      <c r="BC21" s="205">
        <f>'Bilan 2040 AMS'!$G$22-SUM('Bilan 2040 AMS'!$K$22:$P$22)+'Bilan 2040 AMS'!$G$21-SUM('Bilan 2040 AMS'!$K$21:$P$21)+'Bilan 2040 AMS'!$G$26*(1-SUM('Bilan 2040 AMS'!$K$26:$P$34)/'Bilan 2040 AMS'!$H$30)+'Bilan 2040 AMS'!$G$36</f>
        <v>62.84927318701201</v>
      </c>
      <c r="BD21" s="205">
        <f>'Bilan 2045 AMS'!$G$22-SUM('Bilan 2045 AMS'!$K$22:$P$22)+'Bilan 2045 AMS'!$G$21-SUM('Bilan 2045 AMS'!$K$21:$P$21)+'Bilan 2045 AMS'!$G$26*(1-SUM('Bilan 2045 AMS'!$K$26:$P$34)/'Bilan 2045 AMS'!$H$30)+'Bilan 2045 AMS'!$G$36</f>
        <v>58.245636864276385</v>
      </c>
      <c r="BE21" s="205">
        <f>'Bilan 2050 AMS'!$G$22-SUM('Bilan 2050 AMS'!$K$22:$P$22)+'Bilan 2050 AMS'!$G$21-SUM('Bilan 2050 AMS'!$K$21:$P$21)+'Bilan 2050 AMS'!$G$26*(1-SUM('Bilan 2050 AMS'!$K$26:$P$34)/'Bilan 2050 AMS'!$H$30)+'Bilan 2050 AMS'!$G$36</f>
        <v>91.595091653108213</v>
      </c>
      <c r="BF21" s="216"/>
      <c r="BG21" s="205" t="s">
        <v>293</v>
      </c>
      <c r="BH21" s="202">
        <f t="shared" si="55"/>
        <v>0.34306886949284815</v>
      </c>
      <c r="BI21" s="202">
        <f t="shared" si="55"/>
        <v>0.12730619053573899</v>
      </c>
      <c r="BJ21" s="202">
        <f t="shared" si="55"/>
        <v>0.10028808094779193</v>
      </c>
      <c r="BK21" s="202">
        <f t="shared" si="55"/>
        <v>8.99557021984701E-2</v>
      </c>
      <c r="BL21" s="202">
        <f t="shared" si="55"/>
        <v>7.780870489880698E-2</v>
      </c>
      <c r="BM21" s="202">
        <f t="shared" si="55"/>
        <v>7.6435260010119868E-2</v>
      </c>
      <c r="BN21" s="202">
        <f t="shared" si="55"/>
        <v>6.9670090623761491E-2</v>
      </c>
      <c r="BO21" s="202">
        <f t="shared" si="55"/>
        <v>6.435489589742649E-2</v>
      </c>
      <c r="BP21" s="202">
        <f t="shared" si="55"/>
        <v>5.563678414506347E-2</v>
      </c>
      <c r="BQ21" s="202">
        <f t="shared" si="55"/>
        <v>4.9201353150739029E-2</v>
      </c>
      <c r="BR21" s="202">
        <f t="shared" si="55"/>
        <v>4.3971297978157936E-2</v>
      </c>
      <c r="BS21" s="202">
        <f t="shared" si="55"/>
        <v>3.5511247747141136E-2</v>
      </c>
      <c r="BU21" s="205" t="s">
        <v>293</v>
      </c>
      <c r="BV21" s="208">
        <f>'Bilan 2015'!$E27</f>
        <v>0.17394449174769955</v>
      </c>
      <c r="BW21" s="208">
        <f>'Bilan 2020'!$E27</f>
        <v>2.3506162866955846</v>
      </c>
      <c r="BX21" s="208">
        <f>'Bilan 2023 réel'!$E27</f>
        <v>2.0155987351865399</v>
      </c>
      <c r="BY21" s="208">
        <f>'Bilan 2025 AMS'!$E27</f>
        <v>1.4172581741804455</v>
      </c>
      <c r="BZ21" s="208">
        <f>'Bilan 2028 AMS'!$E27</f>
        <v>1.575551378951185</v>
      </c>
      <c r="CA21" s="208">
        <f>'Bilan 2030 AMS'!$E27</f>
        <v>1.887161150964886</v>
      </c>
      <c r="CB21" s="208">
        <f>'Bilan 2033 AMS'!$E27</f>
        <v>1.7262358012492811</v>
      </c>
      <c r="CC21" s="208">
        <f>'Bilan 2035 AMS'!$E27</f>
        <v>1.5836019260616989</v>
      </c>
      <c r="CD21" s="208">
        <f>'Bilan 2038 AMS'!$E27</f>
        <v>1.2482205437836473</v>
      </c>
      <c r="CE21" s="208">
        <f>'Bilan 2040 AMS'!$E27</f>
        <v>1.0303270905806901</v>
      </c>
      <c r="CF21" s="208">
        <f>'Bilan 2045 AMS'!$E27</f>
        <v>0.80799135712816006</v>
      </c>
      <c r="CG21" s="208">
        <f>'Bilan 2050 AMS'!$E27</f>
        <v>0.57684406818634937</v>
      </c>
      <c r="CH21" s="206"/>
      <c r="CJ21" s="205" t="s">
        <v>293</v>
      </c>
      <c r="CK21" s="202">
        <f t="shared" si="56"/>
        <v>0.25940455714325639</v>
      </c>
      <c r="CL21" s="202">
        <f t="shared" si="56"/>
        <v>8.060088467486054E-2</v>
      </c>
      <c r="CM21" s="202">
        <f t="shared" si="56"/>
        <v>7.7021040652222997E-2</v>
      </c>
      <c r="CN21" s="202">
        <f t="shared" si="56"/>
        <v>5.1377402571707774E-2</v>
      </c>
      <c r="CO21" s="202">
        <f t="shared" si="56"/>
        <v>4.8382096099870882E-2</v>
      </c>
      <c r="CP21" s="202">
        <f t="shared" si="56"/>
        <v>4.9100463643234636E-2</v>
      </c>
      <c r="CQ21" s="202">
        <f t="shared" si="56"/>
        <v>5.0760336136222314E-2</v>
      </c>
      <c r="CR21" s="202">
        <f t="shared" si="56"/>
        <v>5.1603719561761505E-2</v>
      </c>
      <c r="CS21" s="202">
        <f t="shared" si="56"/>
        <v>4.9995181748636361E-2</v>
      </c>
      <c r="CT21" s="202">
        <f t="shared" si="56"/>
        <v>4.8719013351851241E-2</v>
      </c>
      <c r="CU21" s="202">
        <f t="shared" si="56"/>
        <v>4.726518763258538E-2</v>
      </c>
      <c r="CV21" s="202">
        <f t="shared" si="56"/>
        <v>4.6259028442822966E-2</v>
      </c>
      <c r="CW21" s="206"/>
      <c r="CX21" s="193">
        <f>CX19+1</f>
        <v>2404</v>
      </c>
      <c r="CY21" s="205" t="s">
        <v>293</v>
      </c>
      <c r="CZ21" s="207" t="s">
        <v>288</v>
      </c>
      <c r="DA21" s="202">
        <f>'Bilan 2015'!$K$30*'Bilan 2015'!$G$27/'Bilan 2015'!$H$30</f>
        <v>0.13152459421929993</v>
      </c>
      <c r="DB21" s="202">
        <f>'Bilan 2020'!$K$30*'Bilan 2020'!$G$27/'Bilan 2020'!$H$30</f>
        <v>1.4882367577059157</v>
      </c>
      <c r="DC21" s="202">
        <f>'Bilan 2023 réel'!$K$30*'Bilan 2023 réel'!$G$27/'Bilan 2023 réel'!$H$30</f>
        <v>1.5479756981508954</v>
      </c>
      <c r="DD21" s="202">
        <f>'Bilan 2025 AMS'!$K$30*'Bilan 2025 AMS'!$G$27/'Bilan 2025 AMS'!$H$30</f>
        <v>0.80945445350712486</v>
      </c>
      <c r="DE21" s="202">
        <f>'Bilan 2028 AMS'!$K$30*'Bilan 2028 AMS'!$G$27/'Bilan 2028 AMS'!$H$30</f>
        <v>0.97969087553684642</v>
      </c>
      <c r="DF21" s="202">
        <f>'Bilan 2030 AMS'!$K$30*'Bilan 2030 AMS'!$G$27/'Bilan 2030 AMS'!$H$30</f>
        <v>1.2122741189028226</v>
      </c>
      <c r="DG21" s="202">
        <f>'Bilan 2033 AMS'!$K$30*'Bilan 2033 AMS'!$G$27/'Bilan 2033 AMS'!$H$30</f>
        <v>1.2577033952057135</v>
      </c>
      <c r="DH21" s="202">
        <f>'Bilan 2035 AMS'!$K$30*'Bilan 2035 AMS'!$G$27/'Bilan 2035 AMS'!$H$30</f>
        <v>1.2698295685258223</v>
      </c>
      <c r="DI21" s="202">
        <f>'Bilan 2038 AMS'!$K$30*'Bilan 2038 AMS'!$G$27/'Bilan 2038 AMS'!$H$30</f>
        <v>1.1216502518573805</v>
      </c>
      <c r="DJ21" s="202">
        <f>'Bilan 2040 AMS'!$K$30*'Bilan 2040 AMS'!$G$27/'Bilan 2040 AMS'!$H$30</f>
        <v>1.0202263976152595</v>
      </c>
      <c r="DK21" s="202">
        <f>'Bilan 2045 AMS'!$K$30*'Bilan 2045 AMS'!$G$27/'Bilan 2045 AMS'!$H$30</f>
        <v>0.86851798459849916</v>
      </c>
      <c r="DL21" s="202">
        <f>'Bilan 2050 AMS'!$K$30*'Bilan 2050 AMS'!$G$27/'Bilan 2050 AMS'!$H$30</f>
        <v>0.75143082403952666</v>
      </c>
    </row>
    <row r="22" spans="1:116" ht="15" x14ac:dyDescent="0.25">
      <c r="A22" s="209" t="s">
        <v>297</v>
      </c>
      <c r="B22" s="210"/>
      <c r="C22" s="210"/>
      <c r="D22" s="576"/>
      <c r="E22" s="576"/>
      <c r="F22" s="576"/>
      <c r="G22" s="576"/>
      <c r="H22" s="576"/>
      <c r="I22" s="576"/>
      <c r="J22" s="576"/>
      <c r="K22" s="576"/>
      <c r="L22" s="576"/>
      <c r="M22" s="576"/>
      <c r="N22" s="573"/>
      <c r="O22" s="573"/>
      <c r="P22" s="573"/>
      <c r="Q22" s="203" t="s">
        <v>613</v>
      </c>
      <c r="R22" s="205">
        <f t="shared" si="54"/>
        <v>5.2038188230072926</v>
      </c>
      <c r="S22" s="205">
        <f t="shared" si="54"/>
        <v>33.87625778069777</v>
      </c>
      <c r="T22" s="205">
        <f t="shared" si="54"/>
        <v>53.304861388888888</v>
      </c>
      <c r="U22" s="205">
        <f t="shared" si="54"/>
        <v>91.801120039546163</v>
      </c>
      <c r="V22" s="205">
        <f t="shared" si="54"/>
        <v>123.05750607347909</v>
      </c>
      <c r="W22" s="205">
        <f t="shared" si="54"/>
        <v>142.12051479592157</v>
      </c>
      <c r="X22" s="205">
        <f t="shared" si="54"/>
        <v>166.64432593417962</v>
      </c>
      <c r="Y22" s="205">
        <f t="shared" si="54"/>
        <v>188.71130372871315</v>
      </c>
      <c r="Z22" s="205">
        <f t="shared" si="54"/>
        <v>223.51706668287565</v>
      </c>
      <c r="AA22" s="205">
        <f t="shared" si="54"/>
        <v>243.88944993582768</v>
      </c>
      <c r="AB22" s="205">
        <f t="shared" si="54"/>
        <v>273.91042758397072</v>
      </c>
      <c r="AC22" s="205">
        <f t="shared" si="54"/>
        <v>314.883192411403</v>
      </c>
      <c r="AD22" s="193">
        <f>AD20+1</f>
        <v>2404</v>
      </c>
      <c r="AE22" s="205" t="s">
        <v>31</v>
      </c>
      <c r="AF22" s="205">
        <f>'Bilan 2015'!$G$23-SUM('Bilan 2015'!$K$23:$P$23)+'Bilan 2015'!$G$47-'Bilan 2015'!$E$57</f>
        <v>0</v>
      </c>
      <c r="AG22" s="205">
        <f>'Bilan 2020'!$G$23-SUM('Bilan 2020'!$K$23:$P$23)+'Bilan 2020'!$G$47-'Bilan 2020'!$E$57</f>
        <v>0</v>
      </c>
      <c r="AH22" s="205">
        <f>'Bilan 2023 réel'!$G$23-SUM('Bilan 2023 réel'!$K$23:$P$23)+'Bilan 2023 réel'!$G$47-'Bilan 2023 réel'!$E$57</f>
        <v>0</v>
      </c>
      <c r="AI22" s="205">
        <f>'Bilan 2025 AMS'!$G$23-SUM('Bilan 2025 AMS'!$K$23:$P$23)+'Bilan 2025 AMS'!$G$47-'Bilan 2025 AMS'!$E$57</f>
        <v>0.23802925650153006</v>
      </c>
      <c r="AJ22" s="205">
        <f>'Bilan 2028 AMS'!$G$23-SUM('Bilan 2028 AMS'!$K$23:$P$23)+'Bilan 2028 AMS'!$G$47-'Bilan 2028 AMS'!$E$57</f>
        <v>2.206681974156</v>
      </c>
      <c r="AK22" s="205">
        <f>'Bilan 2030 AMS'!$G$23-SUM('Bilan 2030 AMS'!$K$23:$P$23)+'Bilan 2030 AMS'!$G$47-'Bilan 2030 AMS'!$E$57</f>
        <v>4.7468596627973909</v>
      </c>
      <c r="AL22" s="205">
        <f>'Bilan 2033 AMS'!$G$23-SUM('Bilan 2033 AMS'!$K$23:$P$23)+'Bilan 2033 AMS'!$G$47-'Bilan 2033 AMS'!$E$57</f>
        <v>7.6814721307573208</v>
      </c>
      <c r="AM22" s="205">
        <f>'Bilan 2035 AMS'!$G$23-SUM('Bilan 2035 AMS'!$K$23:$P$23)+'Bilan 2035 AMS'!$G$47-'Bilan 2035 AMS'!$E$57</f>
        <v>9.8322987370014392</v>
      </c>
      <c r="AN22" s="205">
        <f>'Bilan 2038 AMS'!$G$23-SUM('Bilan 2038 AMS'!$K$23:$P$23)+'Bilan 2038 AMS'!$G$47-'Bilan 2038 AMS'!$E$57</f>
        <v>12.169501448242826</v>
      </c>
      <c r="AO22" s="205">
        <f>'Bilan 2040 AMS'!$G$23-SUM('Bilan 2040 AMS'!$K$23:$P$23)+'Bilan 2040 AMS'!$G$47-'Bilan 2040 AMS'!$E$57</f>
        <v>13.715172396362075</v>
      </c>
      <c r="AP22" s="205">
        <f>'Bilan 2045 AMS'!$G$23-SUM('Bilan 2045 AMS'!$K$23:$P$23)+'Bilan 2045 AMS'!$G$47-'Bilan 2045 AMS'!$E$57</f>
        <v>20.906614704504896</v>
      </c>
      <c r="AQ22" s="205">
        <f>'Bilan 2050 AMS'!$G$23-SUM('Bilan 2050 AMS'!$K$23:$P$23)+'Bilan 2050 AMS'!$G$47-'Bilan 2050 AMS'!$E$57</f>
        <v>23.212509289266166</v>
      </c>
      <c r="AR22" s="206"/>
      <c r="AS22" s="205" t="s">
        <v>31</v>
      </c>
      <c r="AT22" s="205">
        <f>'Bilan 2015'!$G$23-SUM('Bilan 2015'!$K$23:$P$23)+'Bilan 2015'!$G$47</f>
        <v>0</v>
      </c>
      <c r="AU22" s="205">
        <f>'Bilan 2020'!$G$23-SUM('Bilan 2020'!$K$23:$P$23)+'Bilan 2020'!$G$47</f>
        <v>0</v>
      </c>
      <c r="AV22" s="205">
        <f>'Bilan 2023 réel'!$G$23-SUM('Bilan 2023 réel'!$K$23:$P$23)+'Bilan 2023 réel'!$G$47</f>
        <v>0</v>
      </c>
      <c r="AW22" s="205">
        <f>'Bilan 2025 AMS'!$G$23-SUM('Bilan 2025 AMS'!$K$23:$P$23)+'Bilan 2025 AMS'!$G$47</f>
        <v>0.23802925650153006</v>
      </c>
      <c r="AX22" s="205">
        <f>'Bilan 2028 AMS'!$G$23-SUM('Bilan 2028 AMS'!$K$23:$P$23)+'Bilan 2028 AMS'!$G$47</f>
        <v>2.8505052139593143</v>
      </c>
      <c r="AY22" s="205">
        <f>'Bilan 2030 AMS'!$G$23-SUM('Bilan 2030 AMS'!$K$23:$P$23)+'Bilan 2030 AMS'!$G$47</f>
        <v>5.8839677408003208</v>
      </c>
      <c r="AZ22" s="205">
        <f>'Bilan 2033 AMS'!$G$23-SUM('Bilan 2033 AMS'!$K$23:$P$23)+'Bilan 2033 AMS'!$G$47</f>
        <v>9.0284105499406841</v>
      </c>
      <c r="BA22" s="205">
        <f>'Bilan 2035 AMS'!$G$23-SUM('Bilan 2035 AMS'!$K$23:$P$23)+'Bilan 2035 AMS'!$G$47</f>
        <v>11.319430737094111</v>
      </c>
      <c r="BB22" s="205">
        <f>'Bilan 2038 AMS'!$G$23-SUM('Bilan 2038 AMS'!$K$23:$P$23)+'Bilan 2038 AMS'!$G$47</f>
        <v>13.880069594482523</v>
      </c>
      <c r="BC22" s="205">
        <f>'Bilan 2040 AMS'!$G$23-SUM('Bilan 2040 AMS'!$K$23:$P$23)+'Bilan 2040 AMS'!$G$47</f>
        <v>15.582282524216531</v>
      </c>
      <c r="BD22" s="205">
        <f>'Bilan 2045 AMS'!$G$23-SUM('Bilan 2045 AMS'!$K$23:$P$23)+'Bilan 2045 AMS'!$G$47</f>
        <v>25.263881796248931</v>
      </c>
      <c r="BE22" s="205">
        <f>'Bilan 2050 AMS'!$G$23-SUM('Bilan 2050 AMS'!$K$23:$P$23)+'Bilan 2050 AMS'!$G$47</f>
        <v>29.84105835698923</v>
      </c>
      <c r="BF22" s="216"/>
      <c r="BG22" s="205" t="s">
        <v>296</v>
      </c>
      <c r="BH22" s="202">
        <f t="shared" si="55"/>
        <v>6.2959171762517988E-2</v>
      </c>
      <c r="BI22" s="202">
        <f t="shared" si="55"/>
        <v>9.9654327246176316E-2</v>
      </c>
      <c r="BJ22" s="202">
        <f t="shared" si="55"/>
        <v>6.7325803766651787E-2</v>
      </c>
      <c r="BK22" s="202">
        <f t="shared" si="55"/>
        <v>8.632075741850416E-2</v>
      </c>
      <c r="BL22" s="202">
        <f t="shared" si="55"/>
        <v>7.91473955921915E-2</v>
      </c>
      <c r="BM22" s="202">
        <f t="shared" si="55"/>
        <v>8.1998812377709465E-2</v>
      </c>
      <c r="BN22" s="202">
        <f t="shared" si="55"/>
        <v>8.607058183778897E-2</v>
      </c>
      <c r="BO22" s="202">
        <f t="shared" si="55"/>
        <v>8.5459483513666626E-2</v>
      </c>
      <c r="BP22" s="202">
        <f t="shared" si="55"/>
        <v>7.3472930504930908E-2</v>
      </c>
      <c r="BQ22" s="202">
        <f t="shared" si="55"/>
        <v>6.6087627008908661E-2</v>
      </c>
      <c r="BR22" s="202">
        <f t="shared" si="55"/>
        <v>5.8956257456242049E-2</v>
      </c>
      <c r="BS22" s="202">
        <f t="shared" si="55"/>
        <v>4.7192748533043775E-2</v>
      </c>
      <c r="BU22" s="205" t="s">
        <v>296</v>
      </c>
      <c r="BV22" s="208">
        <f>'Bilan 2015'!$E$39+'Bilan 2015'!$E$30+'Bilan 2015'!$E$31</f>
        <v>1.3951322371881562E-2</v>
      </c>
      <c r="BW22" s="208">
        <f>'Bilan 2020'!$E$39+'Bilan 2020'!$E$30+'Bilan 2020'!$E$31</f>
        <v>0.46163061338759365</v>
      </c>
      <c r="BX22" s="208">
        <f>'Bilan 2023 réel'!$E$39+'Bilan 2023 réel'!$E$30+'Bilan 2023 réel'!$E$31</f>
        <v>0.47783884831105328</v>
      </c>
      <c r="BY22" s="208">
        <f>'Bilan 2025 AMS'!$E$39+'Bilan 2025 AMS'!$E$30+'Bilan 2025 AMS'!$E$31</f>
        <v>1.0745222956182019</v>
      </c>
      <c r="BZ22" s="208">
        <f>'Bilan 2028 AMS'!$E$39+'Bilan 2028 AMS'!$E$30+'Bilan 2028 AMS'!$E$31</f>
        <v>1.3549207238363161</v>
      </c>
      <c r="CA22" s="208">
        <f>'Bilan 2030 AMS'!$E$39+'Bilan 2030 AMS'!$E$30+'Bilan 2030 AMS'!$E$31</f>
        <v>1.7036102964771704</v>
      </c>
      <c r="CB22" s="208">
        <f>'Bilan 2033 AMS'!$E$39+'Bilan 2033 AMS'!$E$30+'Bilan 2033 AMS'!$E$31</f>
        <v>2.2011980069311954</v>
      </c>
      <c r="CC22" s="208">
        <f>'Bilan 2035 AMS'!$E$39+'Bilan 2035 AMS'!$E$30+'Bilan 2035 AMS'!$E$31</f>
        <v>2.4997623357522794</v>
      </c>
      <c r="CD22" s="208">
        <f>'Bilan 2038 AMS'!$E$39+'Bilan 2038 AMS'!$E$30+'Bilan 2038 AMS'!$E$31</f>
        <v>2.462845690724047</v>
      </c>
      <c r="CE22" s="208">
        <f>'Bilan 2040 AMS'!$E$39+'Bilan 2040 AMS'!$E$30+'Bilan 2040 AMS'!$E$31</f>
        <v>2.376850321437022</v>
      </c>
      <c r="CF22" s="208">
        <f>'Bilan 2045 AMS'!$E$39+'Bilan 2045 AMS'!$E$30+'Bilan 2045 AMS'!$E$31</f>
        <v>2.1481520660044686</v>
      </c>
      <c r="CG22" s="208">
        <f>'Bilan 2050 AMS'!$E$39+'Bilan 2050 AMS'!$E$30+'Bilan 2050 AMS'!$E$31</f>
        <v>1.9955584613139004</v>
      </c>
      <c r="CH22" s="206"/>
      <c r="CJ22" s="205" t="s">
        <v>296</v>
      </c>
      <c r="CK22" s="202">
        <f t="shared" si="56"/>
        <v>4.7605298881549088E-2</v>
      </c>
      <c r="CL22" s="202">
        <f t="shared" si="56"/>
        <v>6.3093765542100319E-2</v>
      </c>
      <c r="CM22" s="202">
        <f t="shared" si="56"/>
        <v>5.1706079325162774E-2</v>
      </c>
      <c r="CN22" s="202">
        <f t="shared" si="56"/>
        <v>3.3230528011841683E-2</v>
      </c>
      <c r="CO22" s="202">
        <f t="shared" si="56"/>
        <v>3.2430612048084152E-2</v>
      </c>
      <c r="CP22" s="202">
        <f t="shared" si="56"/>
        <v>3.4049405879458358E-2</v>
      </c>
      <c r="CQ22" s="202">
        <f t="shared" si="56"/>
        <v>3.4161149163076714E-2</v>
      </c>
      <c r="CR22" s="202">
        <f t="shared" si="56"/>
        <v>3.4298817506024891E-2</v>
      </c>
      <c r="CS22" s="202">
        <f t="shared" si="56"/>
        <v>3.2205124710137097E-2</v>
      </c>
      <c r="CT22" s="202">
        <f t="shared" si="56"/>
        <v>3.1440517635897246E-2</v>
      </c>
      <c r="CU22" s="202">
        <f t="shared" si="56"/>
        <v>2.4260728454167518E-2</v>
      </c>
      <c r="CV22" s="202">
        <f t="shared" si="56"/>
        <v>2.2404220500579879E-2</v>
      </c>
      <c r="CX22" s="193">
        <f>CX21+1</f>
        <v>2405</v>
      </c>
      <c r="CY22" s="205" t="s">
        <v>296</v>
      </c>
      <c r="CZ22" s="207" t="s">
        <v>290</v>
      </c>
      <c r="DA22" s="202">
        <f>'Bilan 2015'!$K$30*('Bilan 2015'!$G$30/'Bilan 2015'!$H$30)</f>
        <v>1.0549009027810339E-2</v>
      </c>
      <c r="DB22" s="202">
        <f>'Bilan 2020'!$K$30*('Bilan 2020'!$G$30/'Bilan 2020'!$H$30)</f>
        <v>0.29227043614656822</v>
      </c>
      <c r="DC22" s="202">
        <f>'Bilan 2023 réel'!$K$30*('Bilan 2023 réel'!$G$30/'Bilan 2023 réel'!$H$30)</f>
        <v>0.36697925629005035</v>
      </c>
      <c r="DD22" s="202">
        <f>'Bilan 2025 AMS'!$K$30*('Bilan 2025 AMS'!$G$30/'Bilan 2025 AMS'!$H$30)</f>
        <v>0.41365419293963196</v>
      </c>
      <c r="DE22" s="202">
        <f>'Bilan 2028 AMS'!$K$30*('Bilan 2028 AMS'!$G$30/'Bilan 2028 AMS'!$H$30)</f>
        <v>0.5551781966023408</v>
      </c>
      <c r="DF22" s="202">
        <f>'Bilan 2030 AMS'!$K$30*('Bilan 2030 AMS'!$G$30/'Bilan 2030 AMS'!$H$30)</f>
        <v>0.70741169003740523</v>
      </c>
      <c r="DG22" s="202">
        <f>'Bilan 2033 AMS'!$K$30*('Bilan 2033 AMS'!$G$30/'Bilan 2033 AMS'!$H$30)</f>
        <v>0.87364871767637409</v>
      </c>
      <c r="DH22" s="202">
        <f>'Bilan 2035 AMS'!$K$30*('Bilan 2035 AMS'!$G$30/'Bilan 2035 AMS'!$H$30)</f>
        <v>1.0032694867467886</v>
      </c>
      <c r="DI22" s="202">
        <f>'Bilan 2038 AMS'!$K$30*('Bilan 2038 AMS'!$G$30/'Bilan 2038 AMS'!$H$30)</f>
        <v>1.0795302714415156</v>
      </c>
      <c r="DJ22" s="202">
        <f>'Bilan 2040 AMS'!$K$30*('Bilan 2040 AMS'!$G$30/'Bilan 2040 AMS'!$H$30)</f>
        <v>1.1307624109268617</v>
      </c>
      <c r="DK22" s="202">
        <f>'Bilan 2045 AMS'!$K$30*('Bilan 2045 AMS'!$G$30/'Bilan 2045 AMS'!$H$30)</f>
        <v>0.88397290126962691</v>
      </c>
      <c r="DL22" s="202">
        <f>'Bilan 2050 AMS'!$K$30*('Bilan 2050 AMS'!$G$30/'Bilan 2050 AMS'!$H$30)</f>
        <v>0.94736867800293267</v>
      </c>
    </row>
    <row r="23" spans="1:116" ht="15" x14ac:dyDescent="0.25">
      <c r="A23" s="211" t="s">
        <v>298</v>
      </c>
      <c r="B23" s="212"/>
      <c r="C23" s="212"/>
      <c r="D23" s="577"/>
      <c r="E23" s="577"/>
      <c r="F23" s="577"/>
      <c r="G23" s="577"/>
      <c r="H23" s="577"/>
      <c r="I23" s="577"/>
      <c r="J23" s="577"/>
      <c r="K23" s="577"/>
      <c r="L23" s="577"/>
      <c r="M23" s="577"/>
      <c r="N23" s="573"/>
      <c r="O23" s="573"/>
      <c r="P23" s="573"/>
      <c r="Q23" s="569" t="s">
        <v>42</v>
      </c>
      <c r="R23" s="201">
        <f t="shared" ref="R23:AC23" si="62">B38</f>
        <v>5.5315230259769379</v>
      </c>
      <c r="S23" s="201">
        <f t="shared" si="62"/>
        <v>49.830275396336631</v>
      </c>
      <c r="T23" s="201">
        <f t="shared" si="62"/>
        <v>43.903847385745323</v>
      </c>
      <c r="U23" s="201">
        <f t="shared" si="62"/>
        <v>46.39845744407102</v>
      </c>
      <c r="V23" s="201">
        <f t="shared" si="62"/>
        <v>31.56033221100661</v>
      </c>
      <c r="W23" s="201">
        <f t="shared" si="62"/>
        <v>22.464942871093751</v>
      </c>
      <c r="X23" s="201">
        <f t="shared" si="62"/>
        <v>16.733972167968751</v>
      </c>
      <c r="Y23" s="201">
        <f t="shared" si="62"/>
        <v>13.10897607421875</v>
      </c>
      <c r="Z23" s="201">
        <f t="shared" si="62"/>
        <v>12.531065673828124</v>
      </c>
      <c r="AA23" s="201">
        <f t="shared" si="62"/>
        <v>12.152793945312501</v>
      </c>
      <c r="AB23" s="201">
        <f t="shared" si="62"/>
        <v>7.2040588378906256E-2</v>
      </c>
      <c r="AC23" s="201">
        <f t="shared" si="62"/>
        <v>0</v>
      </c>
      <c r="AD23" s="193">
        <f>AD22+1</f>
        <v>2405</v>
      </c>
      <c r="AE23" s="205" t="s">
        <v>293</v>
      </c>
      <c r="AF23" s="205">
        <f>'Bilan 2015'!$G$27*(1-SUM('Bilan 2015'!$K$26:$P$34)/'Bilan 2015'!$H$30)+'Bilan 2015'!$G$44</f>
        <v>0.50702499473309315</v>
      </c>
      <c r="AG23" s="205">
        <f>'Bilan 2020'!$G$27*(1-SUM('Bilan 2020'!$K$26:$P$34)/'Bilan 2020'!$H$30)+'Bilan 2020'!$G$44</f>
        <v>18.464273236074014</v>
      </c>
      <c r="AH23" s="205">
        <f>'Bilan 2023 réel'!$G$27*(1-SUM('Bilan 2023 réel'!$K$26:$P$34)/'Bilan 2023 réel'!$H$30)+'Bilan 2023 réel'!$G$44</f>
        <v>20.098088587773677</v>
      </c>
      <c r="AI23" s="205">
        <f>'Bilan 2025 AMS'!$G$27*(1-SUM('Bilan 2025 AMS'!$K$26:$P$34)/'Bilan 2025 AMS'!$H$30)+'Bilan 2025 AMS'!$G$44</f>
        <v>15.755067656006238</v>
      </c>
      <c r="AJ23" s="205">
        <f>'Bilan 2028 AMS'!$G$27*(1-SUM('Bilan 2028 AMS'!$K$26:$P$34)/'Bilan 2028 AMS'!$H$30)+'Bilan 2028 AMS'!$G$44</f>
        <v>20.249037443821308</v>
      </c>
      <c r="AK23" s="205">
        <f>'Bilan 2030 AMS'!$G$27*(1-SUM('Bilan 2030 AMS'!$K$26:$P$34)/'Bilan 2030 AMS'!$H$30)+'Bilan 2030 AMS'!$G$44</f>
        <v>24.689667448178103</v>
      </c>
      <c r="AL23" s="205">
        <f>'Bilan 2033 AMS'!$G$27*(1-SUM('Bilan 2033 AMS'!$K$26:$P$34)/'Bilan 2033 AMS'!$H$30)+'Bilan 2033 AMS'!$G$44</f>
        <v>24.777286577269585</v>
      </c>
      <c r="AM23" s="205">
        <f>'Bilan 2035 AMS'!$G$27*(1-SUM('Bilan 2035 AMS'!$K$26:$P$34)/'Bilan 2035 AMS'!$H$30)+'Bilan 2035 AMS'!$G$44</f>
        <v>24.607326357667624</v>
      </c>
      <c r="AN23" s="205">
        <f>'Bilan 2038 AMS'!$G$27*(1-SUM('Bilan 2038 AMS'!$K$26:$P$34)/'Bilan 2038 AMS'!$H$30)+'Bilan 2038 AMS'!$G$44</f>
        <v>22.43516700262769</v>
      </c>
      <c r="AO23" s="205">
        <f>'Bilan 2040 AMS'!$G$27*(1-SUM('Bilan 2040 AMS'!$K$26:$P$34)/'Bilan 2040 AMS'!$H$30)+'Bilan 2040 AMS'!$G$44</f>
        <v>20.941031589599969</v>
      </c>
      <c r="AP23" s="205">
        <f>'Bilan 2045 AMS'!$G$27*(1-SUM('Bilan 2045 AMS'!$K$26:$P$34)/'Bilan 2045 AMS'!$H$30)+'Bilan 2045 AMS'!$G$44</f>
        <v>18.375426568702096</v>
      </c>
      <c r="AQ23" s="205">
        <f>'Bilan 2050 AMS'!$G$27*(1-SUM('Bilan 2050 AMS'!$K$26:$P$34)/'Bilan 2050 AMS'!$H$30)+'Bilan 2050 AMS'!$G$44</f>
        <v>16.243981971396337</v>
      </c>
      <c r="AR23" s="206"/>
      <c r="AS23" s="205" t="s">
        <v>293</v>
      </c>
      <c r="AT23" s="205">
        <f>'Bilan 2015'!$G$27*(1-SUM('Bilan 2015'!$K$26:$P$34)/'Bilan 2015'!$H$30)+'Bilan 2015'!$G$44</f>
        <v>0.50702499473309315</v>
      </c>
      <c r="AU23" s="205">
        <f>'Bilan 2020'!$G$27*(1-SUM('Bilan 2020'!$K$26:$P$34)/'Bilan 2020'!$H$30)+'Bilan 2020'!$G$44</f>
        <v>18.464273236074014</v>
      </c>
      <c r="AV23" s="205">
        <f>'Bilan 2023 réel'!$G$27*(1-SUM('Bilan 2023 réel'!$K$26:$P$34)/'Bilan 2023 réel'!$H$30)+'Bilan 2023 réel'!$G$44</f>
        <v>20.098088587773677</v>
      </c>
      <c r="AW23" s="205">
        <f>'Bilan 2025 AMS'!$G$27*(1-SUM('Bilan 2025 AMS'!$K$26:$P$34)/'Bilan 2025 AMS'!$H$30)+'Bilan 2025 AMS'!$G$44</f>
        <v>15.755067656006238</v>
      </c>
      <c r="AX23" s="205">
        <f>'Bilan 2028 AMS'!$G$27*(1-SUM('Bilan 2028 AMS'!$K$26:$P$34)/'Bilan 2028 AMS'!$H$30)+'Bilan 2028 AMS'!$G$44</f>
        <v>20.249037443821308</v>
      </c>
      <c r="AY23" s="205">
        <f>'Bilan 2030 AMS'!$G$27*(1-SUM('Bilan 2030 AMS'!$K$26:$P$34)/'Bilan 2030 AMS'!$H$30)+'Bilan 2030 AMS'!$G$44</f>
        <v>24.689667448178103</v>
      </c>
      <c r="AZ23" s="205">
        <f>'Bilan 2033 AMS'!$G$27*(1-SUM('Bilan 2033 AMS'!$K$26:$P$34)/'Bilan 2033 AMS'!$H$30)+'Bilan 2033 AMS'!$G$44</f>
        <v>24.777286577269585</v>
      </c>
      <c r="BA23" s="205">
        <f>'Bilan 2035 AMS'!$G$27*(1-SUM('Bilan 2035 AMS'!$K$26:$P$34)/'Bilan 2035 AMS'!$H$30)+'Bilan 2035 AMS'!$G$44</f>
        <v>24.607326357667624</v>
      </c>
      <c r="BB23" s="205">
        <f>'Bilan 2038 AMS'!$G$27*(1-SUM('Bilan 2038 AMS'!$K$26:$P$34)/'Bilan 2038 AMS'!$H$30)+'Bilan 2038 AMS'!$G$44</f>
        <v>22.43516700262769</v>
      </c>
      <c r="BC23" s="205">
        <f>'Bilan 2040 AMS'!$G$27*(1-SUM('Bilan 2040 AMS'!$K$26:$P$34)/'Bilan 2040 AMS'!$H$30)+'Bilan 2040 AMS'!$G$44</f>
        <v>20.941031589599969</v>
      </c>
      <c r="BD23" s="205">
        <f>'Bilan 2045 AMS'!$G$27*(1-SUM('Bilan 2045 AMS'!$K$26:$P$34)/'Bilan 2045 AMS'!$H$30)+'Bilan 2045 AMS'!$G$44</f>
        <v>18.375426568702096</v>
      </c>
      <c r="BE23" s="205">
        <f>'Bilan 2050 AMS'!$G$27*(1-SUM('Bilan 2050 AMS'!$K$26:$P$34)/'Bilan 2050 AMS'!$H$30)+'Bilan 2050 AMS'!$G$44</f>
        <v>16.243981971396337</v>
      </c>
      <c r="BF23" s="216"/>
      <c r="BG23" s="205" t="s">
        <v>249</v>
      </c>
      <c r="BH23" s="202">
        <f t="shared" si="55"/>
        <v>0.43333686262080229</v>
      </c>
      <c r="BI23" s="202">
        <f t="shared" si="55"/>
        <v>0</v>
      </c>
      <c r="BJ23" s="202">
        <f t="shared" si="55"/>
        <v>0</v>
      </c>
      <c r="BK23" s="202">
        <f t="shared" si="55"/>
        <v>0</v>
      </c>
      <c r="BL23" s="202">
        <f t="shared" si="55"/>
        <v>0</v>
      </c>
      <c r="BM23" s="202">
        <f t="shared" si="55"/>
        <v>0</v>
      </c>
      <c r="BN23" s="202">
        <f t="shared" si="55"/>
        <v>0</v>
      </c>
      <c r="BO23" s="202">
        <f t="shared" si="55"/>
        <v>0</v>
      </c>
      <c r="BP23" s="202">
        <f t="shared" si="55"/>
        <v>9.3007971372552539E-2</v>
      </c>
      <c r="BQ23" s="202">
        <f t="shared" si="55"/>
        <v>8.4601629063915162E-2</v>
      </c>
      <c r="BR23" s="202">
        <f t="shared" si="55"/>
        <v>7.8067507021937085E-2</v>
      </c>
      <c r="BS23" s="202">
        <f t="shared" si="55"/>
        <v>6.4459107462996615E-2</v>
      </c>
      <c r="BU23" s="205" t="s">
        <v>249</v>
      </c>
      <c r="BV23" s="208">
        <f>'Bilan 2015'!$E$28</f>
        <v>0.52120198248997962</v>
      </c>
      <c r="BW23" s="208">
        <f>'Bilan 2020'!$E$28</f>
        <v>0</v>
      </c>
      <c r="BX23" s="208">
        <f>'Bilan 2023 réel'!$E$28</f>
        <v>0</v>
      </c>
      <c r="BY23" s="208">
        <f>'Bilan 2025 AMS'!$E$28</f>
        <v>0</v>
      </c>
      <c r="BZ23" s="208">
        <f>'Bilan 2028 AMS'!$E$28</f>
        <v>0</v>
      </c>
      <c r="CA23" s="208">
        <f>'Bilan 2030 AMS'!$E$28</f>
        <v>0</v>
      </c>
      <c r="CB23" s="208">
        <f>'Bilan 2033 AMS'!$E$28</f>
        <v>0</v>
      </c>
      <c r="CC23" s="208">
        <f>'Bilan 2035 AMS'!$E$28</f>
        <v>0</v>
      </c>
      <c r="CD23" s="208">
        <f>'Bilan 2038 AMS'!$E$28</f>
        <v>0.16199401684532866</v>
      </c>
      <c r="CE23" s="208">
        <f>'Bilan 2040 AMS'!$E$28</f>
        <v>0.24678076337127666</v>
      </c>
      <c r="CF23" s="208">
        <f>'Bilan 2045 AMS'!$E$28</f>
        <v>0.43809173103720134</v>
      </c>
      <c r="CG23" s="208">
        <f>'Bilan 2050 AMS'!$E$28</f>
        <v>0.53086802364281249</v>
      </c>
      <c r="CH23" s="206"/>
      <c r="CJ23" s="205" t="s">
        <v>249</v>
      </c>
      <c r="CK23" s="202">
        <f t="shared" si="56"/>
        <v>0.32765886659483318</v>
      </c>
      <c r="CL23" s="202">
        <f t="shared" si="56"/>
        <v>0</v>
      </c>
      <c r="CM23" s="202">
        <f t="shared" si="56"/>
        <v>0</v>
      </c>
      <c r="CN23" s="202">
        <f t="shared" si="56"/>
        <v>0</v>
      </c>
      <c r="CO23" s="202">
        <f t="shared" si="56"/>
        <v>0</v>
      </c>
      <c r="CP23" s="202">
        <f t="shared" si="56"/>
        <v>0</v>
      </c>
      <c r="CQ23" s="202">
        <f t="shared" si="56"/>
        <v>0</v>
      </c>
      <c r="CR23" s="202">
        <f t="shared" si="56"/>
        <v>0</v>
      </c>
      <c r="CS23" s="202">
        <f t="shared" si="56"/>
        <v>8.3576908771699918E-2</v>
      </c>
      <c r="CT23" s="202">
        <f t="shared" si="56"/>
        <v>8.3772246737310263E-2</v>
      </c>
      <c r="CU23" s="202">
        <f t="shared" si="56"/>
        <v>8.3915543480952551E-2</v>
      </c>
      <c r="CV23" s="202">
        <f t="shared" si="56"/>
        <v>8.3968203729754817E-2</v>
      </c>
      <c r="CY23" s="205" t="s">
        <v>249</v>
      </c>
      <c r="CZ23" s="207"/>
      <c r="DA23" s="202">
        <f>'Bilan 2015'!$K$30*'Bilan 2015'!$G$28/'Bilan 2015'!$H$30</f>
        <v>0.3940962922397101</v>
      </c>
      <c r="DB23" s="202">
        <f>'Bilan 2020'!$K$30*'Bilan 2020'!$G$28/'Bilan 2020'!$H$30</f>
        <v>0</v>
      </c>
      <c r="DC23" s="202">
        <f>'Bilan 2023 réel'!$K$30*'Bilan 2023 réel'!$G$28/'Bilan 2023 réel'!$H$30</f>
        <v>0</v>
      </c>
      <c r="DD23" s="202">
        <f>'Bilan 2025 AMS'!$K$30*'Bilan 2025 AMS'!$G$28/'Bilan 2025 AMS'!$H$30</f>
        <v>0</v>
      </c>
      <c r="DE23" s="202">
        <f>'Bilan 2028 AMS'!$K$30*'Bilan 2028 AMS'!$G$28/'Bilan 2028 AMS'!$H$30</f>
        <v>0</v>
      </c>
      <c r="DF23" s="202">
        <f>'Bilan 2030 AMS'!$K$30*'Bilan 2030 AMS'!$G$28/'Bilan 2030 AMS'!$H$30</f>
        <v>0</v>
      </c>
      <c r="DG23" s="202">
        <f>'Bilan 2033 AMS'!$K$30*'Bilan 2033 AMS'!$G$28/'Bilan 2033 AMS'!$H$30</f>
        <v>0</v>
      </c>
      <c r="DH23" s="202">
        <f>'Bilan 2035 AMS'!$K$30*'Bilan 2035 AMS'!$G$28/'Bilan 2035 AMS'!$H$30</f>
        <v>0</v>
      </c>
      <c r="DI23" s="202">
        <f>'Bilan 2038 AMS'!$K$30*'Bilan 2038 AMS'!$G$28/'Bilan 2038 AMS'!$H$30</f>
        <v>0.14556772895531317</v>
      </c>
      <c r="DJ23" s="202">
        <f>'Bilan 2040 AMS'!$K$30*'Bilan 2040 AMS'!$G$28/'Bilan 2040 AMS'!$H$30</f>
        <v>0.24436147658033824</v>
      </c>
      <c r="DK23" s="202">
        <f>'Bilan 2045 AMS'!$K$30*'Bilan 2045 AMS'!$G$28/'Bilan 2045 AMS'!$H$30</f>
        <v>0.47090917984825187</v>
      </c>
      <c r="DL23" s="202">
        <f>'Bilan 2050 AMS'!$K$30*'Bilan 2050 AMS'!$G$28/'Bilan 2050 AMS'!$H$30</f>
        <v>0.69153973918179501</v>
      </c>
    </row>
    <row r="24" spans="1:116" ht="15" x14ac:dyDescent="0.25">
      <c r="A24" s="211"/>
      <c r="B24" s="212"/>
      <c r="C24" s="212"/>
      <c r="D24" s="577"/>
      <c r="E24" s="577"/>
      <c r="F24" s="577"/>
      <c r="G24" s="577"/>
      <c r="H24" s="577"/>
      <c r="I24" s="577"/>
      <c r="J24" s="577"/>
      <c r="K24" s="577"/>
      <c r="L24" s="577"/>
      <c r="M24" s="577"/>
      <c r="N24" s="573"/>
      <c r="O24" s="573"/>
      <c r="P24" s="573"/>
      <c r="Q24" s="562"/>
      <c r="R24" s="562"/>
      <c r="S24" s="562"/>
      <c r="T24" s="562"/>
      <c r="U24" s="562"/>
      <c r="V24" s="562"/>
      <c r="W24" s="562"/>
      <c r="X24" s="562"/>
      <c r="Y24" s="562"/>
      <c r="Z24" s="562"/>
      <c r="AA24" s="562"/>
      <c r="AB24" s="562"/>
      <c r="AC24" s="562"/>
      <c r="AE24" s="205" t="s">
        <v>296</v>
      </c>
      <c r="AF24" s="205">
        <f>'Bilan 2015'!$G$39+'Bilan 2015'!$G$30*(1-SUM('Bilan 2015'!$K$26:$P$34)/'Bilan 2015'!$H$30)</f>
        <v>0.22159316873649407</v>
      </c>
      <c r="AG24" s="205">
        <f>'Bilan 2020'!$G$39+'Bilan 2020'!$G$30*(1-SUM('Bilan 2020'!$K$26:$P$34)/'Bilan 2020'!$H$30)</f>
        <v>4.6323187978302887</v>
      </c>
      <c r="AH24" s="205">
        <f>'Bilan 2023 réel'!$G$39+'Bilan 2023 réel'!$G$30*(1-SUM('Bilan 2023 réel'!$K$26:$P$34)/'Bilan 2023 réel'!$H$30)</f>
        <v>7.0974102287322296</v>
      </c>
      <c r="AI24" s="205">
        <f>'Bilan 2025 AMS'!$G$39+'Bilan 2025 AMS'!$G$30*(1-SUM('Bilan 2025 AMS'!$K$26:$P$34)/'Bilan 2025 AMS'!$H$30)</f>
        <v>12.448017461300239</v>
      </c>
      <c r="AJ24" s="205">
        <f>'Bilan 2028 AMS'!$G$39+'Bilan 2028 AMS'!$G$30*(1-SUM('Bilan 2028 AMS'!$K$26:$P$34)/'Bilan 2028 AMS'!$H$30)</f>
        <v>17.118955256816935</v>
      </c>
      <c r="AK24" s="205">
        <f>'Bilan 2030 AMS'!$G$39+'Bilan 2030 AMS'!$G$30*(1-SUM('Bilan 2030 AMS'!$K$26:$P$34)/'Bilan 2030 AMS'!$H$30)</f>
        <v>20.77603622635246</v>
      </c>
      <c r="AL24" s="205">
        <f>'Bilan 2033 AMS'!$G$39+'Bilan 2033 AMS'!$G$30*(1-SUM('Bilan 2033 AMS'!$K$26:$P$34)/'Bilan 2033 AMS'!$H$30)</f>
        <v>25.574336317136034</v>
      </c>
      <c r="AM24" s="205">
        <f>'Bilan 2035 AMS'!$G$39+'Bilan 2035 AMS'!$G$30*(1-SUM('Bilan 2035 AMS'!$K$26:$P$34)/'Bilan 2035 AMS'!$H$30)</f>
        <v>29.250847687986777</v>
      </c>
      <c r="AN24" s="205">
        <f>'Bilan 2038 AMS'!$G$39+'Bilan 2038 AMS'!$G$30*(1-SUM('Bilan 2038 AMS'!$K$26:$P$34)/'Bilan 2038 AMS'!$H$30)</f>
        <v>33.520449964341097</v>
      </c>
      <c r="AO24" s="205">
        <f>'Bilan 2040 AMS'!$G$39+'Bilan 2040 AMS'!$G$30*(1-SUM('Bilan 2040 AMS'!$K$26:$P$34)/'Bilan 2040 AMS'!$H$30)</f>
        <v>35.965133399579031</v>
      </c>
      <c r="AP24" s="205">
        <f>'Bilan 2045 AMS'!$G$39+'Bilan 2045 AMS'!$G$30*(1-SUM('Bilan 2045 AMS'!$K$26:$P$34)/'Bilan 2045 AMS'!$H$30)</f>
        <v>36.43637094160615</v>
      </c>
      <c r="AQ24" s="205">
        <f>'Bilan 2050 AMS'!$G$39+'Bilan 2050 AMS'!$G$30*(1-SUM('Bilan 2050 AMS'!$K$26:$P$34)/'Bilan 2050 AMS'!$H$30)</f>
        <v>42.285277364522116</v>
      </c>
      <c r="AR24" s="206"/>
      <c r="AS24" s="205" t="s">
        <v>296</v>
      </c>
      <c r="AT24" s="205">
        <f>'Bilan 2015'!$G$39+'Bilan 2015'!$G$30*(1-SUM('Bilan 2015'!$K$26:$P$34)/'Bilan 2015'!$H$30)</f>
        <v>0.22159316873649407</v>
      </c>
      <c r="AU24" s="205">
        <f>'Bilan 2020'!$G$39+'Bilan 2020'!$G$30*(1-SUM('Bilan 2020'!$K$26:$P$34)/'Bilan 2020'!$H$30)</f>
        <v>4.6323187978302887</v>
      </c>
      <c r="AV24" s="205">
        <f>'Bilan 2023 réel'!$G$39+'Bilan 2023 réel'!$G$30*(1-SUM('Bilan 2023 réel'!$K$26:$P$34)/'Bilan 2023 réel'!$H$30)</f>
        <v>7.0974102287322296</v>
      </c>
      <c r="AW24" s="205">
        <f>'Bilan 2025 AMS'!$G$39+'Bilan 2025 AMS'!$G$30*(1-SUM('Bilan 2025 AMS'!$K$26:$P$34)/'Bilan 2025 AMS'!$H$30)</f>
        <v>12.448017461300239</v>
      </c>
      <c r="AX24" s="205">
        <f>'Bilan 2028 AMS'!$G$39+'Bilan 2028 AMS'!$G$30*(1-SUM('Bilan 2028 AMS'!$K$26:$P$34)/'Bilan 2028 AMS'!$H$30)</f>
        <v>17.118955256816935</v>
      </c>
      <c r="AY24" s="205">
        <f>'Bilan 2030 AMS'!$G$39+'Bilan 2030 AMS'!$G$30*(1-SUM('Bilan 2030 AMS'!$K$26:$P$34)/'Bilan 2030 AMS'!$H$30)</f>
        <v>20.77603622635246</v>
      </c>
      <c r="AZ24" s="205">
        <f>'Bilan 2033 AMS'!$G$39+'Bilan 2033 AMS'!$G$30*(1-SUM('Bilan 2033 AMS'!$K$26:$P$34)/'Bilan 2033 AMS'!$H$30)</f>
        <v>25.574336317136034</v>
      </c>
      <c r="BA24" s="205">
        <f>'Bilan 2035 AMS'!$G$39+'Bilan 2035 AMS'!$G$30*(1-SUM('Bilan 2035 AMS'!$K$26:$P$34)/'Bilan 2035 AMS'!$H$30)</f>
        <v>29.250847687986777</v>
      </c>
      <c r="BB24" s="205">
        <f>'Bilan 2038 AMS'!$G$39+'Bilan 2038 AMS'!$G$30*(1-SUM('Bilan 2038 AMS'!$K$26:$P$34)/'Bilan 2038 AMS'!$H$30)</f>
        <v>33.520449964341097</v>
      </c>
      <c r="BC24" s="205">
        <f>'Bilan 2040 AMS'!$G$39+'Bilan 2040 AMS'!$G$30*(1-SUM('Bilan 2040 AMS'!$K$26:$P$34)/'Bilan 2040 AMS'!$H$30)</f>
        <v>35.965133399579031</v>
      </c>
      <c r="BD24" s="205">
        <f>'Bilan 2045 AMS'!$G$39+'Bilan 2045 AMS'!$G$30*(1-SUM('Bilan 2045 AMS'!$K$26:$P$34)/'Bilan 2045 AMS'!$H$30)</f>
        <v>36.43637094160615</v>
      </c>
      <c r="BE24" s="205">
        <f>'Bilan 2050 AMS'!$G$39+'Bilan 2050 AMS'!$G$30*(1-SUM('Bilan 2050 AMS'!$K$26:$P$34)/'Bilan 2050 AMS'!$H$30)</f>
        <v>42.285277364522116</v>
      </c>
      <c r="BF24" s="216"/>
      <c r="BG24" s="203" t="s">
        <v>613</v>
      </c>
      <c r="BH24" s="202">
        <f t="shared" si="55"/>
        <v>0</v>
      </c>
      <c r="BI24" s="202">
        <f t="shared" si="55"/>
        <v>8.0549113865217709E-3</v>
      </c>
      <c r="BJ24" s="202">
        <f t="shared" si="55"/>
        <v>0</v>
      </c>
      <c r="BK24" s="202">
        <f t="shared" si="55"/>
        <v>0</v>
      </c>
      <c r="BL24" s="202">
        <f t="shared" si="55"/>
        <v>0</v>
      </c>
      <c r="BM24" s="202">
        <f t="shared" si="55"/>
        <v>0</v>
      </c>
      <c r="BN24" s="202">
        <f t="shared" si="55"/>
        <v>0</v>
      </c>
      <c r="BO24" s="202">
        <f t="shared" si="55"/>
        <v>0</v>
      </c>
      <c r="BP24" s="202">
        <f t="shared" si="55"/>
        <v>0</v>
      </c>
      <c r="BQ24" s="202">
        <f t="shared" si="55"/>
        <v>0</v>
      </c>
      <c r="BR24" s="202">
        <f t="shared" si="55"/>
        <v>0</v>
      </c>
      <c r="BS24" s="202">
        <f t="shared" si="55"/>
        <v>0</v>
      </c>
      <c r="BU24" s="203" t="s">
        <v>613</v>
      </c>
      <c r="BV24" s="208">
        <f>+'Bilan 2015'!$E$40</f>
        <v>0</v>
      </c>
      <c r="BW24" s="208">
        <f>+'Bilan 2020'!$E$40</f>
        <v>0.25705111111111101</v>
      </c>
      <c r="BX24" s="208">
        <f>+'Bilan 2023 réel'!$E$40</f>
        <v>0</v>
      </c>
      <c r="BY24" s="208">
        <f>+'Bilan 2025 AMS'!$E$40</f>
        <v>0</v>
      </c>
      <c r="BZ24" s="208">
        <f>+'Bilan 2028 AMS'!$E$40</f>
        <v>0</v>
      </c>
      <c r="CA24" s="208">
        <f>+'Bilan 2030 AMS'!$E$40</f>
        <v>0</v>
      </c>
      <c r="CB24" s="208">
        <f>+'Bilan 2033 AMS'!$E$40</f>
        <v>0</v>
      </c>
      <c r="CC24" s="208">
        <f>+'Bilan 2035 AMS'!$E$40</f>
        <v>0</v>
      </c>
      <c r="CD24" s="208">
        <f>+'Bilan 2038 AMS'!$E$40</f>
        <v>0</v>
      </c>
      <c r="CE24" s="208">
        <f>+'Bilan 2040 AMS'!$E$40</f>
        <v>0</v>
      </c>
      <c r="CF24" s="208">
        <f>+'Bilan 2045 AMS'!$E$40</f>
        <v>0</v>
      </c>
      <c r="CG24" s="208">
        <f>+'Bilan 2050 AMS'!$E$40</f>
        <v>0</v>
      </c>
      <c r="CJ24" s="203" t="s">
        <v>613</v>
      </c>
      <c r="CK24" s="202">
        <f t="shared" si="56"/>
        <v>0</v>
      </c>
      <c r="CL24" s="202">
        <f t="shared" si="56"/>
        <v>0</v>
      </c>
      <c r="CM24" s="202">
        <f t="shared" si="56"/>
        <v>0</v>
      </c>
      <c r="CN24" s="202">
        <f t="shared" si="56"/>
        <v>2.3894452694118535E-3</v>
      </c>
      <c r="CO24" s="202">
        <f t="shared" si="56"/>
        <v>2.5701457870764806E-3</v>
      </c>
      <c r="CP24" s="202">
        <f t="shared" si="56"/>
        <v>3.0049927268031417E-3</v>
      </c>
      <c r="CQ24" s="202">
        <f t="shared" si="56"/>
        <v>4.876106811631903E-3</v>
      </c>
      <c r="CR24" s="202">
        <f t="shared" si="56"/>
        <v>5.9191083217394469E-3</v>
      </c>
      <c r="CS24" s="202">
        <f t="shared" si="56"/>
        <v>5.7134806383588102E-3</v>
      </c>
      <c r="CT24" s="202">
        <f t="shared" si="56"/>
        <v>5.673649874388044E-3</v>
      </c>
      <c r="CU24" s="202">
        <f t="shared" si="56"/>
        <v>5.9695492155649142E-3</v>
      </c>
      <c r="CV24" s="202">
        <f t="shared" si="56"/>
        <v>6.0853560876300214E-3</v>
      </c>
      <c r="CX24" s="193">
        <f>CX22+1</f>
        <v>2406</v>
      </c>
      <c r="CY24" s="203" t="s">
        <v>613</v>
      </c>
      <c r="CZ24" s="207" t="s">
        <v>292</v>
      </c>
      <c r="DA24" s="202">
        <f>'Bilan 2015'!$K$30*'Bilan 2015'!$G$31/'Bilan 2015'!$H$30</f>
        <v>0</v>
      </c>
      <c r="DB24" s="202">
        <f>'Bilan 2020'!$K$30*'Bilan 2020'!$G$31/'Bilan 2020'!$H$30</f>
        <v>0</v>
      </c>
      <c r="DC24" s="202">
        <f>'Bilan 2023 réel'!$K$30*'Bilan 2023 réel'!$G$31/'Bilan 2023 réel'!$H$30</f>
        <v>0</v>
      </c>
      <c r="DD24" s="202">
        <f>'Bilan 2025 AMS'!$K$30*'Bilan 2025 AMS'!$G$31/'Bilan 2025 AMS'!$H$30</f>
        <v>0.20004969914327436</v>
      </c>
      <c r="DE24" s="202">
        <f>'Bilan 2028 AMS'!$K$30*'Bilan 2028 AMS'!$G$31/'Bilan 2028 AMS'!$H$30</f>
        <v>0.28732271320730696</v>
      </c>
      <c r="DF24" s="202">
        <f>'Bilan 2030 AMS'!$K$30*'Bilan 2030 AMS'!$G$31/'Bilan 2030 AMS'!$H$30</f>
        <v>0.38695307582252203</v>
      </c>
      <c r="DG24" s="202">
        <f>'Bilan 2033 AMS'!$K$30*'Bilan 2033 AMS'!$G$31/'Bilan 2033 AMS'!$H$30</f>
        <v>0.73010333336663935</v>
      </c>
      <c r="DH24" s="202">
        <f>'Bilan 2035 AMS'!$K$30*'Bilan 2035 AMS'!$G$31/'Bilan 2035 AMS'!$H$30</f>
        <v>1.0011939304704405</v>
      </c>
      <c r="DI24" s="202">
        <f>'Bilan 2038 AMS'!$K$30*'Bilan 2038 AMS'!$G$31/'Bilan 2038 AMS'!$H$30</f>
        <v>1.1335814282849264</v>
      </c>
      <c r="DJ24" s="202">
        <f>'Bilan 2040 AMS'!$K$30*'Bilan 2040 AMS'!$G$31/'Bilan 2040 AMS'!$H$30</f>
        <v>1.2227867321357375</v>
      </c>
      <c r="DK24" s="202">
        <f>'Bilan 2045 AMS'!$K$30*'Bilan 2045 AMS'!$G$31/'Bilan 2045 AMS'!$H$30</f>
        <v>1.4250972224611305</v>
      </c>
      <c r="DL24" s="202">
        <f>'Bilan 2050 AMS'!$K$30*'Bilan 2050 AMS'!$G$31/'Bilan 2050 AMS'!$H$30</f>
        <v>1.6521624981064027</v>
      </c>
    </row>
    <row r="25" spans="1:116" ht="12.75" x14ac:dyDescent="0.2">
      <c r="A25" s="209" t="s">
        <v>299</v>
      </c>
      <c r="B25" s="210"/>
      <c r="C25" s="210"/>
      <c r="D25" s="576"/>
      <c r="E25" s="576"/>
      <c r="F25" s="576"/>
      <c r="G25" s="576"/>
      <c r="H25" s="576"/>
      <c r="I25" s="576"/>
      <c r="J25" s="576"/>
      <c r="K25" s="576"/>
      <c r="L25" s="576"/>
      <c r="M25" s="576"/>
      <c r="N25" s="573"/>
      <c r="O25" s="573"/>
      <c r="P25" s="573"/>
      <c r="R25" s="216">
        <f>R2-'Bilan 2015'!$C$5</f>
        <v>1.5924045611399151E-2</v>
      </c>
      <c r="S25" s="215">
        <f>S2-'Bilan 2020'!$C$5</f>
        <v>1.0000000000218279E-2</v>
      </c>
      <c r="T25" s="215">
        <f>T2-'Bilan 2023 réel'!$C$5</f>
        <v>-5.9326549978577532</v>
      </c>
      <c r="U25" s="216">
        <f>U2-'Bilan 2025 AMS'!$C$5</f>
        <v>1.0099999999511056E-2</v>
      </c>
      <c r="V25" s="216">
        <f>V2-'Bilan 2028 AMS'!$C$5</f>
        <v>1.010000000042055E-2</v>
      </c>
      <c r="W25" s="216">
        <f>W2-'Bilan 2030 AMS'!$C$5</f>
        <v>1.0099999999965803E-2</v>
      </c>
      <c r="X25" s="216">
        <f>X2-'Bilan 2033 AMS'!$C$5</f>
        <v>1.0100000000875298E-2</v>
      </c>
      <c r="Y25" s="216">
        <f>Y2-'Bilan 2035 AMS'!$C$5</f>
        <v>1.0099999999965803E-2</v>
      </c>
      <c r="Z25" s="216">
        <f>Z2-'Bilan 2038 AMS'!$C$5</f>
        <v>1.010000000042055E-2</v>
      </c>
      <c r="AA25" s="216">
        <f>AA2-'Bilan 2040 AMS'!$C$5</f>
        <v>1.0099999999511056E-2</v>
      </c>
      <c r="AB25" s="216">
        <f>AB2-'Bilan 2045 AMS'!$C$5</f>
        <v>0.1936488287838074</v>
      </c>
      <c r="AC25" s="216">
        <f>AC2-'Bilan 2050 AMS'!$C$5</f>
        <v>0.45203816383673256</v>
      </c>
      <c r="AD25" s="193">
        <f>AD23+1</f>
        <v>2406</v>
      </c>
      <c r="AE25" s="205" t="s">
        <v>249</v>
      </c>
      <c r="AF25" s="205">
        <f>+'Bilan 2015'!$G$28*(1-SUM('Bilan 2015'!$K$26:$P$34)/'Bilan 2015'!$H$30)</f>
        <v>1.19276400982315</v>
      </c>
      <c r="AG25" s="205">
        <f>+'Bilan 2020'!$G$28*(1-SUM('Bilan 2020'!$K$26:$P$34)/'Bilan 2020'!$H$30)</f>
        <v>0</v>
      </c>
      <c r="AH25" s="205">
        <f>+'Bilan 2023 réel'!$G$28*(1-SUM('Bilan 2023 réel'!$K$26:$P$34)/'Bilan 2023 réel'!$H$30)</f>
        <v>0</v>
      </c>
      <c r="AI25" s="205">
        <f>+'Bilan 2025 AMS'!$G$28*(1-SUM('Bilan 2025 AMS'!$K$26:$P$34)/'Bilan 2025 AMS'!$H$30)</f>
        <v>0</v>
      </c>
      <c r="AJ25" s="205">
        <f>+'Bilan 2028 AMS'!$G$28*(1-SUM('Bilan 2028 AMS'!$K$26:$P$34)/'Bilan 2028 AMS'!$H$30)</f>
        <v>0</v>
      </c>
      <c r="AK25" s="205">
        <f>+'Bilan 2030 AMS'!$G$28*(1-SUM('Bilan 2030 AMS'!$K$26:$P$34)/'Bilan 2030 AMS'!$H$30)</f>
        <v>0</v>
      </c>
      <c r="AL25" s="205">
        <f>+'Bilan 2033 AMS'!$G$28*(1-SUM('Bilan 2033 AMS'!$K$26:$P$34)/'Bilan 2033 AMS'!$H$30)</f>
        <v>0</v>
      </c>
      <c r="AM25" s="205">
        <f>+'Bilan 2035 AMS'!$G$28*(1-SUM('Bilan 2035 AMS'!$K$26:$P$34)/'Bilan 2035 AMS'!$H$30)</f>
        <v>0</v>
      </c>
      <c r="AN25" s="205">
        <f>+'Bilan 2038 AMS'!$G$28*(1-SUM('Bilan 2038 AMS'!$K$26:$P$34)/'Bilan 2038 AMS'!$H$30)</f>
        <v>1.7317218594785362</v>
      </c>
      <c r="AO25" s="205">
        <f>+'Bilan 2040 AMS'!$G$28*(1-SUM('Bilan 2040 AMS'!$K$26:$P$34)/'Bilan 2040 AMS'!$H$30)</f>
        <v>2.9069741304252878</v>
      </c>
      <c r="AP25" s="205">
        <f>+'Bilan 2045 AMS'!$G$28*(1-SUM('Bilan 2045 AMS'!$K$26:$P$34)/'Bilan 2045 AMS'!$H$30)</f>
        <v>5.6017038669378403</v>
      </c>
      <c r="AQ25" s="205">
        <f>+'Bilan 2050 AMS'!$G$28*(1-SUM('Bilan 2050 AMS'!$K$26:$P$34)/'Bilan 2050 AMS'!$H$30)</f>
        <v>8.2257333903135805</v>
      </c>
      <c r="AR25" s="206"/>
      <c r="AS25" s="205" t="s">
        <v>249</v>
      </c>
      <c r="AT25" s="205">
        <f>+'Bilan 2015'!$G$28*(1-SUM('Bilan 2015'!$K$26:$P$34)/'Bilan 2015'!$H$30)+0.01</f>
        <v>1.20276400982315</v>
      </c>
      <c r="AU25" s="205">
        <f>+'Bilan 2020'!$G$28*(1-SUM('Bilan 2020'!$K$26:$P$34)/'Bilan 2020'!$H$30)+0.01</f>
        <v>0.01</v>
      </c>
      <c r="AV25" s="205">
        <f>+'Bilan 2023 réel'!$G$28*(1-SUM('Bilan 2023 réel'!$K$26:$P$34)/'Bilan 2023 réel'!$H$30)+0.01</f>
        <v>0.01</v>
      </c>
      <c r="AW25" s="205">
        <f>+'Bilan 2025 AMS'!$G$28*(1-SUM('Bilan 2025 AMS'!$K$26:$P$34)/'Bilan 2025 AMS'!$H$30)+0.01</f>
        <v>0.01</v>
      </c>
      <c r="AX25" s="205">
        <f>+'Bilan 2028 AMS'!$G$28*(1-SUM('Bilan 2028 AMS'!$K$26:$P$34)/'Bilan 2028 AMS'!$H$30)+0.01</f>
        <v>0.01</v>
      </c>
      <c r="AY25" s="205">
        <f>+'Bilan 2030 AMS'!$G$28*(1-SUM('Bilan 2030 AMS'!$K$26:$P$34)/'Bilan 2030 AMS'!$H$30)+0.01</f>
        <v>0.01</v>
      </c>
      <c r="AZ25" s="205">
        <f>+'Bilan 2033 AMS'!$G$28*(1-SUM('Bilan 2033 AMS'!$K$26:$P$34)/'Bilan 2033 AMS'!$H$30)+0.01</f>
        <v>0.01</v>
      </c>
      <c r="BA25" s="205">
        <f>+'Bilan 2035 AMS'!$G$28*(1-SUM('Bilan 2035 AMS'!$K$26:$P$34)/'Bilan 2035 AMS'!$H$30)+0.01</f>
        <v>0.01</v>
      </c>
      <c r="BB25" s="205">
        <f>+'Bilan 2038 AMS'!$G$28*(1-SUM('Bilan 2038 AMS'!$K$26:$P$34)/'Bilan 2038 AMS'!$H$30)+0.01</f>
        <v>1.7417218594785362</v>
      </c>
      <c r="BC25" s="205">
        <f>+'Bilan 2040 AMS'!$G$28*(1-SUM('Bilan 2040 AMS'!$K$26:$P$34)/'Bilan 2040 AMS'!$H$30)+0.01</f>
        <v>2.9169741304252876</v>
      </c>
      <c r="BD25" s="205">
        <f>+'Bilan 2045 AMS'!$G$28*(1-SUM('Bilan 2045 AMS'!$K$26:$P$34)/'Bilan 2045 AMS'!$H$30)+0.01</f>
        <v>5.6117038669378401</v>
      </c>
      <c r="BE25" s="205">
        <f>+'Bilan 2050 AMS'!$G$28*(1-SUM('Bilan 2050 AMS'!$K$26:$P$34)/'Bilan 2050 AMS'!$H$30)+0.01</f>
        <v>8.2357333903135803</v>
      </c>
      <c r="BG25" s="205" t="s">
        <v>42</v>
      </c>
      <c r="BH25" s="202">
        <f>BV25/AT27</f>
        <v>9.3073143713894631E-3</v>
      </c>
      <c r="BI25" s="202">
        <f t="shared" ref="BI25:BS25" si="63">BW25/AU27</f>
        <v>5.1069004756729925E-3</v>
      </c>
      <c r="BJ25" s="202">
        <f t="shared" si="63"/>
        <v>2.5596441226337051E-3</v>
      </c>
      <c r="BK25" s="202">
        <f t="shared" si="63"/>
        <v>7.9700316383213038E-4</v>
      </c>
      <c r="BL25" s="202">
        <f t="shared" si="63"/>
        <v>4.7356410191793361E-4</v>
      </c>
      <c r="BM25" s="728">
        <f t="shared" si="63"/>
        <v>0</v>
      </c>
      <c r="BN25" s="202">
        <f t="shared" si="63"/>
        <v>0</v>
      </c>
      <c r="BO25" s="202">
        <f t="shared" si="63"/>
        <v>0</v>
      </c>
      <c r="BP25" s="202">
        <f t="shared" si="63"/>
        <v>0</v>
      </c>
      <c r="BQ25" s="202">
        <f t="shared" si="63"/>
        <v>0</v>
      </c>
      <c r="BR25" s="202">
        <f t="shared" si="63"/>
        <v>0</v>
      </c>
      <c r="BS25" s="202">
        <f t="shared" si="63"/>
        <v>0</v>
      </c>
      <c r="BU25" s="205" t="s">
        <v>42</v>
      </c>
      <c r="BV25" s="208">
        <f>'Bilan 2015'!$E$34+'Bilan 2015'!$E$46</f>
        <v>4.1326852404115884E-2</v>
      </c>
      <c r="BW25" s="208">
        <f>'Bilan 2020'!$E$34+'Bilan 2020'!$E$46</f>
        <v>0.19734848511513534</v>
      </c>
      <c r="BX25" s="208">
        <f>'Bilan 2023 réel'!$E$34+'Bilan 2023 réel'!$E$46</f>
        <v>0.11727842648016122</v>
      </c>
      <c r="BY25" s="208">
        <f>'Bilan 2025 AMS'!$E$34+'Bilan 2025 AMS'!$E$46</f>
        <v>3.6933469125027457E-2</v>
      </c>
      <c r="BZ25" s="208">
        <f>'Bilan 2028 AMS'!$E$34+'Bilan 2028 AMS'!$E$46</f>
        <v>1.4934370332656663E-2</v>
      </c>
      <c r="CA25" s="208">
        <f>'Bilan 2030 AMS'!$E$34+'Bilan 2030 AMS'!$E$46</f>
        <v>0</v>
      </c>
      <c r="CB25" s="208">
        <f>'Bilan 2033 AMS'!$E$34+'Bilan 2033 AMS'!$E$46</f>
        <v>0</v>
      </c>
      <c r="CC25" s="208">
        <f>'Bilan 2035 AMS'!$E$34+'Bilan 2035 AMS'!$E$46</f>
        <v>0</v>
      </c>
      <c r="CD25" s="208">
        <f>'Bilan 2038 AMS'!$E$34+'Bilan 2038 AMS'!$E$46</f>
        <v>0</v>
      </c>
      <c r="CE25" s="208">
        <f>'Bilan 2040 AMS'!$E$34+'Bilan 2040 AMS'!$E$46</f>
        <v>0</v>
      </c>
      <c r="CF25" s="208">
        <f>'Bilan 2045 AMS'!$E$34+'Bilan 2045 AMS'!$E$46</f>
        <v>0</v>
      </c>
      <c r="CG25" s="208">
        <f>'Bilan 2050 AMS'!$E$34+'Bilan 2050 AMS'!$E$46</f>
        <v>0</v>
      </c>
      <c r="CJ25" s="205" t="s">
        <v>42</v>
      </c>
      <c r="CK25" s="202">
        <f t="shared" ref="CK25:CV25" si="64">IF(AT27&gt;0,DA25/AT27,0)</f>
        <v>7.0375367088026655E-3</v>
      </c>
      <c r="CL25" s="202">
        <f t="shared" si="64"/>
        <v>3.2333124929235383E-3</v>
      </c>
      <c r="CM25" s="202">
        <f t="shared" si="64"/>
        <v>1.965801440823511E-3</v>
      </c>
      <c r="CN25" s="202">
        <f t="shared" si="64"/>
        <v>4.5520129795423395E-4</v>
      </c>
      <c r="CO25" s="202">
        <f t="shared" si="64"/>
        <v>2.9446607443525024E-4</v>
      </c>
      <c r="CP25" s="202">
        <f t="shared" si="64"/>
        <v>0</v>
      </c>
      <c r="CQ25" s="202">
        <f t="shared" si="64"/>
        <v>0</v>
      </c>
      <c r="CR25" s="202">
        <f t="shared" si="64"/>
        <v>0</v>
      </c>
      <c r="CS25" s="202">
        <f t="shared" si="64"/>
        <v>0</v>
      </c>
      <c r="CT25" s="202">
        <f t="shared" si="64"/>
        <v>0</v>
      </c>
      <c r="CU25" s="202">
        <f t="shared" si="64"/>
        <v>0</v>
      </c>
      <c r="CV25" s="202">
        <f t="shared" si="64"/>
        <v>0</v>
      </c>
      <c r="CX25" s="559" t="s">
        <v>413</v>
      </c>
      <c r="CY25" s="202" t="s">
        <v>28</v>
      </c>
      <c r="CZ25" s="213" t="s">
        <v>294</v>
      </c>
      <c r="DA25" s="202">
        <f>'Bilan 2015'!$K$30*'Bilan 2015'!$G$34/'Bilan 2015'!$H$30</f>
        <v>3.1248460001229834E-2</v>
      </c>
      <c r="DB25" s="202">
        <f>'Bilan 2020'!$K$30*'Bilan 2020'!$G$34/'Bilan 2020'!$H$30</f>
        <v>0.12494649649466959</v>
      </c>
      <c r="DC25" s="202">
        <f>'Bilan 2023 réel'!$K$30*'Bilan 2023 réel'!$G$34/'Bilan 2023 réel'!$H$30</f>
        <v>9.0069591203560895E-2</v>
      </c>
      <c r="DD25" s="202">
        <f>'Bilan 2025 AMS'!$K$30*'Bilan 2025 AMS'!$G$34/'Bilan 2025 AMS'!$H$30</f>
        <v>2.1094223770492086E-2</v>
      </c>
      <c r="DE25" s="202">
        <f>'Bilan 2028 AMS'!$K$30*'Bilan 2028 AMS'!$G$34/'Bilan 2028 AMS'!$H$30</f>
        <v>9.2863149639280818E-3</v>
      </c>
      <c r="DF25" s="202">
        <f>'Bilan 2030 AMS'!$K$30*'Bilan 2030 AMS'!$G$34/'Bilan 2030 AMS'!$H$30</f>
        <v>0</v>
      </c>
      <c r="DG25" s="202">
        <f>'Bilan 2033 AMS'!$K$30*'Bilan 2033 AMS'!$G$34/'Bilan 2033 AMS'!$H$30</f>
        <v>0</v>
      </c>
      <c r="DH25" s="202">
        <f>'Bilan 2035 AMS'!$K$30*'Bilan 2035 AMS'!$G$34/'Bilan 2035 AMS'!$H$30</f>
        <v>0</v>
      </c>
      <c r="DI25" s="202">
        <f>'Bilan 2038 AMS'!$K$30*'Bilan 2038 AMS'!$G$34/'Bilan 2038 AMS'!$H$30</f>
        <v>0</v>
      </c>
      <c r="DJ25" s="202">
        <f>'Bilan 2040 AMS'!$K$30*'Bilan 2040 AMS'!$G$34/'Bilan 2040 AMS'!$H$30</f>
        <v>0</v>
      </c>
      <c r="DK25" s="202">
        <f>'Bilan 2045 AMS'!$K$30*'Bilan 2045 AMS'!$G$34/'Bilan 2045 AMS'!$H$30</f>
        <v>0</v>
      </c>
      <c r="DL25" s="202">
        <f>'Bilan 2050 AMS'!$K$30*'Bilan 2050 AMS'!$G$34/'Bilan 2050 AMS'!$H$30</f>
        <v>0</v>
      </c>
    </row>
    <row r="26" spans="1:116" ht="12.75" x14ac:dyDescent="0.2">
      <c r="A26" s="211" t="s">
        <v>300</v>
      </c>
      <c r="B26" s="212"/>
      <c r="C26" s="212"/>
      <c r="D26" s="577"/>
      <c r="E26" s="577"/>
      <c r="F26" s="577"/>
      <c r="G26" s="577"/>
      <c r="H26" s="577"/>
      <c r="I26" s="577"/>
      <c r="J26" s="577"/>
      <c r="K26" s="577"/>
      <c r="L26" s="577"/>
      <c r="M26" s="577"/>
      <c r="N26" s="573"/>
      <c r="O26" s="573"/>
      <c r="P26" s="573"/>
      <c r="AE26" s="203" t="s">
        <v>613</v>
      </c>
      <c r="AF26" s="205">
        <f>'Bilan 2015'!$G$40+'Bilan 2015'!$G$38+'Bilan 2015'!$G$31*(1-SUM('Bilan 2015'!$K$26:$P$34)/'Bilan 2015'!$H$30)</f>
        <v>2.9060907908975984</v>
      </c>
      <c r="AG26" s="205">
        <f>'Bilan 2020'!$G$40+'Bilan 2020'!$G$38+'Bilan 2020'!$G$31*(1-SUM('Bilan 2020'!$K$26:$P$34)/'Bilan 2020'!$H$30)</f>
        <v>31.912344999999988</v>
      </c>
      <c r="AH26" s="205">
        <f>'Bilan 2023 réel'!$G$40+'Bilan 2023 réel'!$G$38+'Bilan 2023 réel'!$G$31*(1-SUM('Bilan 2023 réel'!$K$26:$P$34)/'Bilan 2023 réel'!$H$30)</f>
        <v>49.99968472222222</v>
      </c>
      <c r="AI26" s="205">
        <f>'Bilan 2025 AMS'!$G$40+'Bilan 2025 AMS'!$G$38+'Bilan 2025 AMS'!$G$31*(1-SUM('Bilan 2025 AMS'!$K$26:$P$34)/'Bilan 2025 AMS'!$H$30)</f>
        <v>83.722235325572157</v>
      </c>
      <c r="AJ26" s="205">
        <f>'Bilan 2028 AMS'!$G$40+'Bilan 2028 AMS'!$G$38+'Bilan 2028 AMS'!$G$31*(1-SUM('Bilan 2028 AMS'!$K$26:$P$34)/'Bilan 2028 AMS'!$H$30)</f>
        <v>111.79237950316201</v>
      </c>
      <c r="AK26" s="205">
        <f>'Bilan 2030 AMS'!$G$40+'Bilan 2030 AMS'!$G$38+'Bilan 2030 AMS'!$G$31*(1-SUM('Bilan 2030 AMS'!$K$26:$P$34)/'Bilan 2030 AMS'!$H$30)</f>
        <v>128.77005404075692</v>
      </c>
      <c r="AL26" s="205">
        <f>'Bilan 2033 AMS'!$G$40+'Bilan 2033 AMS'!$G$38+'Bilan 2033 AMS'!$G$31*(1-SUM('Bilan 2033 AMS'!$K$26:$P$34)/'Bilan 2033 AMS'!$H$30)</f>
        <v>149.73079170968637</v>
      </c>
      <c r="AM26" s="205">
        <f>'Bilan 2035 AMS'!$G$40+'Bilan 2035 AMS'!$G$38+'Bilan 2035 AMS'!$G$31*(1-SUM('Bilan 2035 AMS'!$K$26:$P$34)/'Bilan 2035 AMS'!$H$30)</f>
        <v>169.14607336941248</v>
      </c>
      <c r="AN26" s="205">
        <f>'Bilan 2038 AMS'!$G$40+'Bilan 2038 AMS'!$G$38+'Bilan 2038 AMS'!$G$31*(1-SUM('Bilan 2038 AMS'!$K$26:$P$34)/'Bilan 2038 AMS'!$H$30)</f>
        <v>198.4047028486205</v>
      </c>
      <c r="AO26" s="205">
        <f>'Bilan 2040 AMS'!$G$40+'Bilan 2040 AMS'!$G$38+'Bilan 2040 AMS'!$G$31*(1-SUM('Bilan 2040 AMS'!$K$26:$P$34)/'Bilan 2040 AMS'!$H$30)</f>
        <v>215.52030160613788</v>
      </c>
      <c r="AP26" s="205">
        <f>'Bilan 2045 AMS'!$G$40+'Bilan 2045 AMS'!$G$38+'Bilan 2045 AMS'!$G$31*(1-SUM('Bilan 2045 AMS'!$K$26:$P$34)/'Bilan 2045 AMS'!$H$30)</f>
        <v>238.72777843012886</v>
      </c>
      <c r="AQ26" s="205">
        <f>'Bilan 2050 AMS'!$G$40+'Bilan 2050 AMS'!$G$38+'Bilan 2050 AMS'!$G$31*(1-SUM('Bilan 2050 AMS'!$K$26:$P$34)/'Bilan 2050 AMS'!$H$30)</f>
        <v>271.49808068994156</v>
      </c>
      <c r="AS26" s="203" t="s">
        <v>613</v>
      </c>
      <c r="AT26" s="205">
        <f>'Bilan 2015'!$G$40+'Bilan 2015'!$G$38+'Bilan 2015'!$G$31*(1-SUM('Bilan 2015'!$K$26:$P$34)/'Bilan 2015'!$H$30)</f>
        <v>2.9060907908975984</v>
      </c>
      <c r="AU26" s="205">
        <f>'Bilan 2020'!$G$40+'Bilan 2020'!$G$38+'Bilan 2020'!$G$31*(1-SUM('Bilan 2020'!$K$26:$P$34)/'Bilan 2020'!$H$30)</f>
        <v>31.912344999999988</v>
      </c>
      <c r="AV26" s="205">
        <f>'Bilan 2023 réel'!$G$40+'Bilan 2023 réel'!$G$38+'Bilan 2023 réel'!$G$31*(1-SUM('Bilan 2023 réel'!$K$26:$P$34)/'Bilan 2023 réel'!$H$30)</f>
        <v>49.99968472222222</v>
      </c>
      <c r="AW26" s="205">
        <f>'Bilan 2025 AMS'!$G$40+'Bilan 2025 AMS'!$G$38+'Bilan 2025 AMS'!$G$31*(1-SUM('Bilan 2025 AMS'!$K$26:$P$34)/'Bilan 2025 AMS'!$H$30)</f>
        <v>83.722235325572157</v>
      </c>
      <c r="AX26" s="205">
        <f>'Bilan 2028 AMS'!$G$40+'Bilan 2028 AMS'!$G$38+'Bilan 2028 AMS'!$G$31*(1-SUM('Bilan 2028 AMS'!$K$26:$P$34)/'Bilan 2028 AMS'!$H$30)</f>
        <v>111.79237950316201</v>
      </c>
      <c r="AY26" s="205">
        <f>'Bilan 2030 AMS'!$G$40+'Bilan 2030 AMS'!$G$38+'Bilan 2030 AMS'!$G$31*(1-SUM('Bilan 2030 AMS'!$K$26:$P$34)/'Bilan 2030 AMS'!$H$30)</f>
        <v>128.77005404075692</v>
      </c>
      <c r="AZ26" s="205">
        <f>'Bilan 2033 AMS'!$G$40+'Bilan 2033 AMS'!$G$38+'Bilan 2033 AMS'!$G$31*(1-SUM('Bilan 2033 AMS'!$K$26:$P$34)/'Bilan 2033 AMS'!$H$30)</f>
        <v>149.73079170968637</v>
      </c>
      <c r="BA26" s="205">
        <f>'Bilan 2035 AMS'!$G$40+'Bilan 2035 AMS'!$G$38+'Bilan 2035 AMS'!$G$31*(1-SUM('Bilan 2035 AMS'!$K$26:$P$34)/'Bilan 2035 AMS'!$H$30)</f>
        <v>169.14607336941248</v>
      </c>
      <c r="BB26" s="205">
        <f>'Bilan 2038 AMS'!$G$40+'Bilan 2038 AMS'!$G$38+'Bilan 2038 AMS'!$G$31*(1-SUM('Bilan 2038 AMS'!$K$26:$P$34)/'Bilan 2038 AMS'!$H$30)</f>
        <v>198.4047028486205</v>
      </c>
      <c r="BC26" s="205">
        <f>'Bilan 2040 AMS'!$G$40+'Bilan 2040 AMS'!$G$38+'Bilan 2040 AMS'!$G$31*(1-SUM('Bilan 2040 AMS'!$K$26:$P$34)/'Bilan 2040 AMS'!$H$30)</f>
        <v>215.52030160613788</v>
      </c>
      <c r="BD26" s="205">
        <f>'Bilan 2045 AMS'!$G$40+'Bilan 2045 AMS'!$G$38+'Bilan 2045 AMS'!$G$31*(1-SUM('Bilan 2045 AMS'!$K$26:$P$34)/'Bilan 2045 AMS'!$H$30)</f>
        <v>238.72777843012886</v>
      </c>
      <c r="BE26" s="205">
        <f>'Bilan 2050 AMS'!$G$40+'Bilan 2050 AMS'!$G$38+'Bilan 2050 AMS'!$G$31*(1-SUM('Bilan 2050 AMS'!$K$26:$P$34)/'Bilan 2050 AMS'!$H$30)</f>
        <v>271.49808068994156</v>
      </c>
      <c r="BV26" s="215">
        <f>SUM(BV4:BV25)-SUM('Bilan 2015'!$E$7:$E$48)-'Bilan 2015'!$I$13</f>
        <v>1.4210854715202004E-14</v>
      </c>
      <c r="BW26" s="215">
        <f>SUM(BW4:BW25)-SUM('Bilan 2020'!$E$7:$E$48)-'Bilan 2020'!$I$13</f>
        <v>0</v>
      </c>
      <c r="BX26" s="215">
        <f>SUM(BX4:BX25)-SUM('Bilan 2023 réel'!$E$7:$E$48)-'Bilan 2023 réel'!$I$13</f>
        <v>-3.5106277331581737</v>
      </c>
      <c r="BY26" s="215">
        <f>SUM(BY4:BY25)-SUM('Bilan 2025 AMS'!$E$7:$E$48)-'Bilan 2025 AMS'!$I$13</f>
        <v>-5.6843418860808015E-14</v>
      </c>
      <c r="BZ26" s="215">
        <f>SUM(BZ4:BZ25)-SUM('Bilan 2028 AMS'!$E$7:$E$48)-'Bilan 2028 AMS'!$I$13</f>
        <v>2.7000623958883807E-13</v>
      </c>
      <c r="CA26" s="215">
        <f>SUM(CA4:CA25)-SUM('Bilan 2030 AMS'!$E$7:$E$48)-'Bilan 2030 AMS'!$I$13</f>
        <v>8.5265128291212022E-14</v>
      </c>
      <c r="CB26" s="215">
        <f>SUM(CB4:CB25)-SUM('Bilan 2033 AMS'!$E$7:$E$48)-'Bilan 2033 AMS'!$I$13</f>
        <v>3.1263880373444408E-13</v>
      </c>
      <c r="CC26" s="215">
        <f>SUM(CC4:CC25)-SUM('Bilan 2035 AMS'!$E$7:$E$48)-'Bilan 2035 AMS'!$I$13</f>
        <v>0</v>
      </c>
      <c r="CD26" s="215">
        <f>SUM(CD4:CD25)-SUM('Bilan 2038 AMS'!$E$7:$E$48)-'Bilan 2038 AMS'!$I$13</f>
        <v>7.815970093361102E-14</v>
      </c>
      <c r="CE26" s="215">
        <f>SUM(CE4:CE25)-SUM('Bilan 2040 AMS'!$E$7:$E$48)-'Bilan 2040 AMS'!$I$13</f>
        <v>2.9842794901924208E-13</v>
      </c>
      <c r="CF26" s="215">
        <f>SUM(CF4:CF25)-SUM('Bilan 2045 AMS'!$E$7:$E$48)-'Bilan 2045 AMS'!$I$13</f>
        <v>0</v>
      </c>
      <c r="CG26" s="215">
        <f>SUM(CG4:CG25)-SUM('Bilan 2050 AMS'!$E$7:$E$48)-'Bilan 2050 AMS'!$I$13</f>
        <v>0</v>
      </c>
      <c r="CZ26" s="563"/>
      <c r="DA26" s="564"/>
      <c r="DB26" s="564"/>
      <c r="DC26" s="564"/>
      <c r="DD26" s="564"/>
      <c r="DE26" s="564"/>
      <c r="DF26" s="564"/>
      <c r="DG26" s="564"/>
      <c r="DH26" s="564"/>
      <c r="DI26" s="564"/>
      <c r="DJ26" s="564"/>
      <c r="DK26" s="564"/>
      <c r="DL26" s="564"/>
    </row>
    <row r="27" spans="1:116" ht="12.75" x14ac:dyDescent="0.2">
      <c r="A27" s="209" t="s">
        <v>30</v>
      </c>
      <c r="B27" s="210"/>
      <c r="C27" s="210"/>
      <c r="D27" s="576"/>
      <c r="E27" s="576"/>
      <c r="F27" s="576"/>
      <c r="G27" s="576"/>
      <c r="H27" s="576"/>
      <c r="I27" s="576"/>
      <c r="J27" s="576"/>
      <c r="K27" s="576"/>
      <c r="L27" s="576"/>
      <c r="M27" s="576"/>
      <c r="N27" s="573"/>
      <c r="O27" s="573"/>
      <c r="P27" s="573"/>
      <c r="R27" s="193">
        <v>2015</v>
      </c>
      <c r="S27" s="194">
        <v>2020</v>
      </c>
      <c r="T27" s="194">
        <v>2023</v>
      </c>
      <c r="U27" s="195">
        <v>2025</v>
      </c>
      <c r="V27" s="195">
        <v>2028</v>
      </c>
      <c r="W27" s="195">
        <v>2030</v>
      </c>
      <c r="X27" s="195">
        <v>2033</v>
      </c>
      <c r="Y27" s="195">
        <v>2035</v>
      </c>
      <c r="Z27" s="195">
        <v>2038</v>
      </c>
      <c r="AA27" s="195">
        <v>2040</v>
      </c>
      <c r="AB27" s="195">
        <v>2045</v>
      </c>
      <c r="AC27" s="195">
        <v>2050</v>
      </c>
      <c r="AE27" s="201" t="s">
        <v>42</v>
      </c>
      <c r="AF27" s="201">
        <f>SUM('Bilan 2015'!$S$46:$W$46)+'Bilan 2015'!$G$34*(1-SUM('Bilan 2015'!$K$26:$P$34)/'Bilan 2015'!$H$30)</f>
        <v>1.2259365414426089</v>
      </c>
      <c r="AG27" s="201">
        <f>SUM('Bilan 2020'!$S$46:$W$46)+'Bilan 2020'!$G$34*(1-SUM('Bilan 2020'!$K$26:$P$34)/'Bilan 2020'!$H$30)</f>
        <v>10.848284650540085</v>
      </c>
      <c r="AH27" s="201">
        <f>SUM('Bilan 2023 réel'!$S$46:$W$46)+'Bilan 2023 réel'!$G$34*(1-SUM('Bilan 2023 réel'!$K$26:$P$34)/'Bilan 2023 réel'!$H$30)</f>
        <v>8.2739146355060456</v>
      </c>
      <c r="AI27" s="201">
        <f>SUM('Bilan 2025 AMS'!$S$46:$W$46)+'Bilan 2025 AMS'!$G$34*(1-SUM('Bilan 2025 AMS'!$K$26:$P$34)/'Bilan 2025 AMS'!$H$30)</f>
        <v>5.1433740871129974</v>
      </c>
      <c r="AJ27" s="201">
        <f>SUM('Bilan 2028 AMS'!$S$46:$W$46)+'Bilan 2028 AMS'!$G$34*(1-SUM('Bilan 2028 AMS'!$K$26:$P$34)/'Bilan 2028 AMS'!$H$30)</f>
        <v>2.647329299147529</v>
      </c>
      <c r="AK27" s="201">
        <f>SUM('Bilan 2030 AMS'!$S$46:$W$46)+'Bilan 2030 AMS'!$G$34*(1-SUM('Bilan 2030 AMS'!$K$26:$P$34)/'Bilan 2030 AMS'!$H$30)</f>
        <v>0.92572558593749998</v>
      </c>
      <c r="AL27" s="201">
        <f>SUM('Bilan 2033 AMS'!$S$46:$W$46)+'Bilan 2033 AMS'!$G$34*(1-SUM('Bilan 2033 AMS'!$K$26:$P$34)/'Bilan 2033 AMS'!$H$30)</f>
        <v>0.72191845703125002</v>
      </c>
      <c r="AM27" s="201">
        <f>SUM('Bilan 2035 AMS'!$S$46:$W$46)+'Bilan 2035 AMS'!$G$34*(1-SUM('Bilan 2035 AMS'!$K$26:$P$34)/'Bilan 2035 AMS'!$H$30)</f>
        <v>0.59552978515624999</v>
      </c>
      <c r="AN27" s="201">
        <f>SUM('Bilan 2038 AMS'!$S$46:$W$46)+'Bilan 2038 AMS'!$G$34*(1-SUM('Bilan 2038 AMS'!$K$26:$P$34)/'Bilan 2038 AMS'!$H$30)</f>
        <v>0.420473388671875</v>
      </c>
      <c r="AO27" s="201">
        <f>SUM('Bilan 2040 AMS'!$S$46:$W$46)+'Bilan 2040 AMS'!$G$34*(1-SUM('Bilan 2040 AMS'!$K$26:$P$34)/'Bilan 2040 AMS'!$H$30)</f>
        <v>0.31248754882812502</v>
      </c>
      <c r="AP27" s="201">
        <f>SUM('Bilan 2045 AMS'!$S$46:$W$46)+'Bilan 2045 AMS'!$G$34*(1-SUM('Bilan 2045 AMS'!$K$26:$P$34)/'Bilan 2045 AMS'!$H$30)</f>
        <v>7.2040588378906256E-2</v>
      </c>
      <c r="AQ27" s="201">
        <f>SUM('Bilan 2050 AMS'!$S$46:$W$46)+'Bilan 2050 AMS'!$G$34*(1-SUM('Bilan 2050 AMS'!$K$26:$P$34)/'Bilan 2050 AMS'!$H$30)</f>
        <v>0</v>
      </c>
      <c r="AS27" s="201" t="s">
        <v>42</v>
      </c>
      <c r="AT27" s="201">
        <f>SUM('Bilan 2015'!$S$46:$W$46)+'Bilan 2015'!$G$34*(1-SUM('Bilan 2015'!$K$26:$P$34)/'Bilan 2015'!$H$30)+'Bilan 2015'!$E$52</f>
        <v>4.4402553470369472</v>
      </c>
      <c r="AU27" s="201">
        <f>SUM('Bilan 2020'!$S$46:$W$46)+'Bilan 2020'!$G$34*(1-SUM('Bilan 2020'!$K$26:$P$34)/'Bilan 2020'!$H$30)+'Bilan 2020'!$E$52</f>
        <v>38.643495414726786</v>
      </c>
      <c r="AV27" s="201">
        <f>SUM('Bilan 2023 réel'!$S$46:$W$46)+'Bilan 2023 réel'!$G$34*(1-SUM('Bilan 2023 réel'!$K$26:$P$34)/'Bilan 2023 réel'!$H$30)+'Bilan 2023 réel'!$E$52</f>
        <v>45.818254749996044</v>
      </c>
      <c r="AW27" s="201">
        <f>SUM('Bilan 2025 AMS'!$S$46:$W$46)+'Bilan 2025 AMS'!$G$34*(1-SUM('Bilan 2025 AMS'!$K$26:$P$34)/'Bilan 2025 AMS'!$H$30)+'Bilan 2025 AMS'!$E$52</f>
        <v>46.340429751175499</v>
      </c>
      <c r="AX27" s="201">
        <f>SUM('Bilan 2028 AMS'!$S$46:$W$46)+'Bilan 2028 AMS'!$G$34*(1-SUM('Bilan 2028 AMS'!$K$26:$P$34)/'Bilan 2028 AMS'!$H$30)+'Bilan 2028 AMS'!$E$52</f>
        <v>31.536111525710027</v>
      </c>
      <c r="AY27" s="201">
        <f>SUM('Bilan 2030 AMS'!$S$46:$W$46)+'Bilan 2030 AMS'!$G$34*(1-SUM('Bilan 2030 AMS'!$K$26:$P$34)/'Bilan 2030 AMS'!$H$30)+'Bilan 2030 AMS'!$E$52</f>
        <v>22.464942871093751</v>
      </c>
      <c r="AZ27" s="201">
        <f>SUM('Bilan 2033 AMS'!$S$46:$W$46)+'Bilan 2033 AMS'!$G$34*(1-SUM('Bilan 2033 AMS'!$K$26:$P$34)/'Bilan 2033 AMS'!$H$30)+'Bilan 2033 AMS'!$E$52</f>
        <v>16.733972167968751</v>
      </c>
      <c r="BA27" s="201">
        <f>SUM('Bilan 2035 AMS'!$S$46:$W$46)+'Bilan 2035 AMS'!$G$34*(1-SUM('Bilan 2035 AMS'!$K$26:$P$34)/'Bilan 2035 AMS'!$H$30)+'Bilan 2035 AMS'!$E$52</f>
        <v>13.10897607421875</v>
      </c>
      <c r="BB27" s="201">
        <f>SUM('Bilan 2038 AMS'!$S$46:$W$46)+'Bilan 2038 AMS'!$G$34*(1-SUM('Bilan 2038 AMS'!$K$26:$P$34)/'Bilan 2038 AMS'!$H$30)+'Bilan 2038 AMS'!$E$52</f>
        <v>12.531065673828124</v>
      </c>
      <c r="BC27" s="201">
        <f>SUM('Bilan 2040 AMS'!$S$46:$W$46)+'Bilan 2040 AMS'!$G$34*(1-SUM('Bilan 2040 AMS'!$K$26:$P$34)/'Bilan 2040 AMS'!$H$30)+'Bilan 2040 AMS'!$E$52</f>
        <v>12.152793945312501</v>
      </c>
      <c r="BD27" s="201">
        <f>SUM('Bilan 2045 AMS'!$S$46:$W$46)+'Bilan 2045 AMS'!$G$34*(1-SUM('Bilan 2045 AMS'!$K$26:$P$34)/'Bilan 2045 AMS'!$H$30)+'Bilan 2045 AMS'!$E$52</f>
        <v>7.2040588378906256E-2</v>
      </c>
      <c r="BE27" s="201">
        <f>SUM('Bilan 2050 AMS'!$S$46:$W$46)+'Bilan 2050 AMS'!$G$34*(1-SUM('Bilan 2050 AMS'!$K$26:$P$34)/'Bilan 2050 AMS'!$H$30)+'Bilan 2050 AMS'!$E$52+0.1</f>
        <v>0.1</v>
      </c>
      <c r="BV27" s="214"/>
      <c r="BW27" s="214"/>
      <c r="BX27" s="214"/>
      <c r="BY27" s="214"/>
      <c r="BZ27" s="214"/>
      <c r="CA27" s="214"/>
      <c r="CB27" s="214"/>
      <c r="CC27" s="214"/>
      <c r="CD27" s="214"/>
      <c r="CE27" s="214"/>
      <c r="CF27" s="214"/>
      <c r="CG27" s="214"/>
      <c r="DA27" s="215">
        <f>SUM(DA4:DA24,DA25)-SUM('Bilan 2015'!$K$7:$K$47)</f>
        <v>0</v>
      </c>
      <c r="DB27" s="215">
        <f>SUM(DB4:DB24,DB25)-SUM('Bilan 2020'!$K$7:$K$47)</f>
        <v>0</v>
      </c>
      <c r="DC27" s="215">
        <f>SUM(DC4:DC24,DC25)-SUM('Bilan 2023 réel'!$K$7:$K$47)</f>
        <v>-0.17025827965229468</v>
      </c>
      <c r="DD27" s="215">
        <f>SUM(DD4:DD24,DD25)-SUM('Bilan 2025 AMS'!$K$7:$K$47)</f>
        <v>0</v>
      </c>
      <c r="DE27" s="215">
        <f>SUM(DE4:DE24,DE25)-SUM('Bilan 2028 AMS'!$K$7:$K$47)</f>
        <v>0</v>
      </c>
      <c r="DF27" s="215">
        <f>SUM(DF4:DF24,DF25)-SUM('Bilan 2030 AMS'!$K$7:$K$47)</f>
        <v>0</v>
      </c>
      <c r="DG27" s="215">
        <f>SUM(DG4:DG24,DG25)-SUM('Bilan 2033 AMS'!$K$7:$K$47)</f>
        <v>0</v>
      </c>
      <c r="DH27" s="215">
        <f>SUM(DH4:DH24,DH25)-SUM('Bilan 2035 AMS'!$K$7:$K$47)</f>
        <v>0</v>
      </c>
      <c r="DI27" s="215">
        <f>SUM(DI4:DI24,DI25)-SUM('Bilan 2038 AMS'!$K$7:$K$47)</f>
        <v>0</v>
      </c>
      <c r="DJ27" s="215">
        <f>SUM(DJ4:DJ24,DJ25)-SUM('Bilan 2040 AMS'!$K$7:$K$47)</f>
        <v>0</v>
      </c>
      <c r="DK27" s="215">
        <f>SUM(DK4:DK24,DK25)-SUM('Bilan 2045 AMS'!$K$7:$K$47)</f>
        <v>0</v>
      </c>
      <c r="DL27" s="215">
        <f>SUM(DL4:DL24,DL25)-SUM('Bilan 2050 AMS'!$K$7:$K$47)</f>
        <v>0</v>
      </c>
    </row>
    <row r="28" spans="1:116" ht="60" x14ac:dyDescent="0.25">
      <c r="A28" s="199" t="s">
        <v>285</v>
      </c>
      <c r="B28" s="200">
        <f t="shared" ref="B28:M28" si="65">SUM(B29:B34)</f>
        <v>45.352678690233105</v>
      </c>
      <c r="C28" s="200">
        <f t="shared" si="65"/>
        <v>514.01219611244392</v>
      </c>
      <c r="D28" s="200">
        <f t="shared" si="65"/>
        <v>494.7147333879505</v>
      </c>
      <c r="E28" s="200">
        <f t="shared" si="65"/>
        <v>596.74283127709282</v>
      </c>
      <c r="F28" s="200">
        <f t="shared" si="65"/>
        <v>606.25055807716672</v>
      </c>
      <c r="G28" s="200">
        <f t="shared" si="65"/>
        <v>630.53393468124159</v>
      </c>
      <c r="H28" s="200">
        <f t="shared" si="65"/>
        <v>643.88603871312876</v>
      </c>
      <c r="I28" s="200">
        <f t="shared" si="65"/>
        <v>665.78015956499337</v>
      </c>
      <c r="J28" s="200">
        <f t="shared" si="65"/>
        <v>676.05018054514039</v>
      </c>
      <c r="K28" s="200">
        <f t="shared" si="65"/>
        <v>685.42392304177201</v>
      </c>
      <c r="L28" s="200">
        <f t="shared" ref="L28" si="66">SUM(L29:L34)</f>
        <v>735.38457505770612</v>
      </c>
      <c r="M28" s="200">
        <f t="shared" si="65"/>
        <v>746.51500826316169</v>
      </c>
      <c r="N28" s="216" cm="1">
        <f t="array" ref="N28">C28-SUM('Bilan 2020'!$C$21:$C$32,'Bilan 2020'!$C$36:$C$40,'Bilan 2020'!$C$44:$C$45,'Bilan 2020'!$C$47,-'Bilan 2020'!$M$21:$P$24,-'Bilan 2020'!$M$26:$P$34)</f>
        <v>0</v>
      </c>
      <c r="O28" s="216" cm="1">
        <f t="array" ref="O28">G28-SUM('Bilan 2030 AMS'!$C$21:$C$32,'Bilan 2030 AMS'!$C$36:$C$40,'Bilan 2030 AMS'!$C$44:$C$45,'Bilan 2030 AMS'!$C$47,-'Bilan 2030 AMS'!$M$21:$P$24,-'Bilan 2030 AMS'!$M$26:$P$34)</f>
        <v>0</v>
      </c>
      <c r="P28" s="216"/>
      <c r="Q28" s="571" t="s">
        <v>301</v>
      </c>
      <c r="R28" s="198"/>
      <c r="S28" s="198"/>
      <c r="T28" s="198"/>
      <c r="U28" s="198"/>
      <c r="V28" s="198"/>
      <c r="W28" s="198"/>
      <c r="X28" s="198"/>
      <c r="Y28" s="198"/>
      <c r="Z28" s="198"/>
      <c r="AA28" s="198"/>
      <c r="AB28" s="198"/>
      <c r="AC28" s="198"/>
      <c r="AF28" s="216">
        <f>AF2-'Bilan 2015'!$S$5</f>
        <v>-2.7739850805088793</v>
      </c>
      <c r="AG28" s="216">
        <f>AG2-'Bilan 2020'!$S$5</f>
        <v>4.2949055555936866E-2</v>
      </c>
      <c r="AH28" s="216">
        <f>AH2-'Bilan 2023 réel'!$S$5</f>
        <v>-2.0327256052307803</v>
      </c>
      <c r="AI28" s="216">
        <f>AI2-'Bilan 2025 AMS'!$S$5</f>
        <v>3.5656790648090464E-2</v>
      </c>
      <c r="AJ28" s="216">
        <f>AJ2-'Bilan 2028 AMS'!$S$5</f>
        <v>1.7212814876074845E-2</v>
      </c>
      <c r="AK28" s="216">
        <f>AK2-'Bilan 2030 AMS'!$S$5</f>
        <v>2.9583203740912722E-5</v>
      </c>
      <c r="AL28" s="216">
        <f>AL2-'Bilan 2033 AMS'!$S$5</f>
        <v>3.0274051596279605E-5</v>
      </c>
      <c r="AM28" s="216">
        <f>AM2-'Bilan 2035 AMS'!$S$5</f>
        <v>3.0734616302652285E-5</v>
      </c>
      <c r="AN28" s="216">
        <f>AN2-'Bilan 2038 AMS'!$S$5</f>
        <v>3.1425526003658888E-5</v>
      </c>
      <c r="AO28" s="216">
        <f>AO2-'Bilan 2040 AMS'!$S$5</f>
        <v>3.1886132319414173E-5</v>
      </c>
      <c r="AP28" s="216">
        <f>AP2-'Bilan 2045 AMS'!$S$5</f>
        <v>3.2925505593084381E-5</v>
      </c>
      <c r="AQ28" s="216">
        <f>AQ2-'Bilan 2050 AMS'!$S$5</f>
        <v>2.3249342712006182E-4</v>
      </c>
      <c r="AT28" s="216">
        <f>AT2-'Bilan 2015'!$S$5-SUM('Bilan 2015'!$E$52:$E$57)</f>
        <v>-2.7639850805088955</v>
      </c>
      <c r="AU28" s="216">
        <f>AU2-'Bilan 2020'!$S$5-SUM('Bilan 2020'!$E$52:$E$57)</f>
        <v>5.2949055555927771E-2</v>
      </c>
      <c r="AV28" s="216">
        <f>AV2-'Bilan 2023 réel'!$S$5-SUM('Bilan 2023 réel'!$E$52:$E$58)</f>
        <v>-2.022725605231301</v>
      </c>
      <c r="AW28" s="216">
        <f>AW2-'Bilan 2025 AMS'!$S$5-SUM('Bilan 2025 AMS'!$E$52:$E$58)</f>
        <v>1.2456567906483258</v>
      </c>
      <c r="AX28" s="216">
        <f>AX2-'Bilan 2028 AMS'!$S$5-SUM('Bilan 2028 AMS'!$E$52:$E$58)</f>
        <v>0.22721281487622491</v>
      </c>
      <c r="AY28" s="216">
        <f>AY2-'Bilan 2030 AMS'!$S$5-SUM('Bilan 2030 AMS'!$E$52:$E$58)</f>
        <v>0.21002958320408993</v>
      </c>
      <c r="AZ28" s="216">
        <f>AZ2-'Bilan 2033 AMS'!$S$5-SUM('Bilan 2033 AMS'!$E$52:$E$58)</f>
        <v>0.11003027405124044</v>
      </c>
      <c r="BA28" s="216">
        <f>BA2-'Bilan 2035 AMS'!$S$5-SUM('Bilan 2035 AMS'!$E$52:$E$58)</f>
        <v>0.11003073461657209</v>
      </c>
      <c r="BB28" s="216">
        <f>BB2-'Bilan 2038 AMS'!$S$5-SUM('Bilan 2038 AMS'!$E$52:$E$58)</f>
        <v>0.11003142552621625</v>
      </c>
      <c r="BC28" s="216">
        <f>BC2-'Bilan 2040 AMS'!$S$5-SUM('Bilan 2040 AMS'!$E$52:$E$58)</f>
        <v>1.5100318861319977</v>
      </c>
      <c r="BD28" s="216">
        <f>BD2-'Bilan 2045 AMS'!$S$5-SUM('Bilan 2045 AMS'!$E$52:$E$58)</f>
        <v>1.5100329255056408</v>
      </c>
      <c r="BE28" s="216">
        <f>BE2-'Bilan 2050 AMS'!$S$5-SUM('Bilan 2050 AMS'!$E$52:$E$58)</f>
        <v>1.6102324934272474</v>
      </c>
      <c r="BW28" s="215">
        <f>SUM(BW$17:BW$25)-SUM('Bilan 2020'!$E$21:$E$32)-'Bilan 2020'!$E$40-'Bilan 2020'!$E$34</f>
        <v>-6.3837823915946501E-16</v>
      </c>
      <c r="BX28" s="215">
        <f>SUM(BX$17:BX$25)-SUM('Bilan 2023 réel'!$E$21:$E$32)-'Bilan 2023 réel'!$E$40-'Bilan 2023 réel'!$E$34</f>
        <v>8.4654505627668186E-16</v>
      </c>
      <c r="BY28" s="215">
        <f>SUM(BY$17:BY$25)-SUM('Bilan 2025 AMS'!$E$21:$E$32)-'Bilan 2025 AMS'!$E$40-'Bilan 2025 AMS'!$E$34</f>
        <v>4.1355807667287081E-15</v>
      </c>
      <c r="BZ28" s="215">
        <f>SUM(BZ$17:BZ$25)-SUM('Bilan 2028 AMS'!$E$21:$E$32)-'Bilan 2028 AMS'!$E$40-'Bilan 2028 AMS'!$E$34</f>
        <v>4.0991515737331952E-15</v>
      </c>
      <c r="CA28" s="215">
        <f>SUM(CA$17:CA$25)-SUM('Bilan 2030 AMS'!$E$21:$E$32)-'Bilan 2030 AMS'!$E$40-'Bilan 2030 AMS'!$E$34</f>
        <v>-7.1054273576010019E-15</v>
      </c>
      <c r="CB28" s="215">
        <f>SUM(CB$17:CB$25)-SUM('Bilan 2033 AMS'!$E$21:$E$32)-'Bilan 2033 AMS'!$E$40-'Bilan 2033 AMS'!$E$34</f>
        <v>0</v>
      </c>
      <c r="CC28" s="215">
        <f>SUM(CC$17:CC$25)-SUM('Bilan 2035 AMS'!$E$21:$E$32)-'Bilan 2035 AMS'!$E$40-'Bilan 2035 AMS'!$E$34</f>
        <v>0</v>
      </c>
      <c r="CD28" s="215">
        <f>SUM(CD$17:CD$25)-SUM('Bilan 2038 AMS'!$E$21:$E$32)-'Bilan 2038 AMS'!$E$40-'Bilan 2038 AMS'!$E$34</f>
        <v>-1.4210854715202004E-14</v>
      </c>
      <c r="CE28" s="215">
        <f>SUM(CE$17:CE$25)-SUM('Bilan 2040 AMS'!$E$21:$E$32)-'Bilan 2040 AMS'!$E$40-'Bilan 2040 AMS'!$E$34</f>
        <v>1.4210854715202004E-14</v>
      </c>
      <c r="CF28" s="215">
        <f>SUM(CF$17:CF$25)-SUM('Bilan 2045 AMS'!$E$21:$E$32)-'Bilan 2045 AMS'!$E$40-'Bilan 2045 AMS'!$E$34</f>
        <v>1.4210854715202004E-14</v>
      </c>
      <c r="CG28" s="215">
        <f>SUM(CG$17:CG$25)-SUM('Bilan 2050 AMS'!$E$21:$E$32)-'Bilan 2050 AMS'!$E$40-'Bilan 2050 AMS'!$E$34</f>
        <v>0</v>
      </c>
    </row>
    <row r="29" spans="1:116" ht="12.75" x14ac:dyDescent="0.2">
      <c r="A29" s="203" t="s">
        <v>287</v>
      </c>
      <c r="B29" s="204">
        <f>'Bilan 2015'!$C$23-SUM('Bilan 2015'!$M$23:$P$23)+'Bilan 2015'!$C$24-SUM('Bilan 2015'!$M$24:$P$24)+'Bilan 2015'!$C$32*(1-SUM('Bilan 2015'!$M$26:$P$34)/'Bilan 2015'!$D$30)+'Bilan 2015'!$C$45+'Bilan 2015'!$C$47</f>
        <v>31.150145872946307</v>
      </c>
      <c r="C29" s="204">
        <f>'Bilan 2020'!$C$23-SUM('Bilan 2020'!$M$23:$P$23)+'Bilan 2020'!$C$24-SUM('Bilan 2020'!$M$24:$P$24)+'Bilan 2020'!$C$32*(1-SUM('Bilan 2020'!$M$26:$P$34)/'Bilan 2020'!$D$30)+'Bilan 2020'!$C$45+'Bilan 2020'!$C$47</f>
        <v>351.08176898139908</v>
      </c>
      <c r="D29" s="204">
        <f>'Bilan 2023 réel'!$C$22+'Bilan 2023 réel'!$C$23-SUM('Bilan 2023 réel'!$M$23:$P$23)+'Bilan 2023 réel'!$C$24-SUM('Bilan 2023 réel'!$M$24:$P$24)+'Bilan 2023 réel'!$C$32*(1-SUM('Bilan 2023 réel'!$M$26:$P$34)/'Bilan 2023 réel'!$D$30)+'Bilan 2023 réel'!$C$45+'Bilan 2023 réel'!$C$47</f>
        <v>296.66980754710573</v>
      </c>
      <c r="E29" s="204">
        <f>'Bilan 2025 AMS'!$C$22+'Bilan 2025 AMS'!$C$23-SUM('Bilan 2025 AMS'!$M$23:$P$23)+'Bilan 2025 AMS'!$C$24-SUM('Bilan 2025 AMS'!$M$24:$P$24)+'Bilan 2025 AMS'!$C$32*(1-SUM('Bilan 2025 AMS'!$M$26:$P$34)/'Bilan 2025 AMS'!$D$30)+'Bilan 2025 AMS'!$C$45+'Bilan 2025 AMS'!$C$47</f>
        <v>312.49861915504704</v>
      </c>
      <c r="F29" s="204">
        <f>'Bilan 2028 AMS'!$C$22+'Bilan 2028 AMS'!$C$23-SUM('Bilan 2028 AMS'!$M$23:$P$23)+'Bilan 2028 AMS'!$C$24-SUM('Bilan 2028 AMS'!$M$24:$P$24)+'Bilan 2028 AMS'!$C$32*(1-SUM('Bilan 2028 AMS'!$M$26:$P$34)/'Bilan 2028 AMS'!$D$30)+'Bilan 2028 AMS'!$C$45+'Bilan 2028 AMS'!$C$47</f>
        <v>266.06297549851041</v>
      </c>
      <c r="G29" s="204">
        <f>'Bilan 2030 AMS'!$C$22+'Bilan 2030 AMS'!$C$23-SUM('Bilan 2030 AMS'!$M$23:$P$23)+'Bilan 2030 AMS'!$C$24-SUM('Bilan 2030 AMS'!$M$24:$P$24)+'Bilan 2030 AMS'!$C$32*(1-SUM('Bilan 2030 AMS'!$M$26:$P$34)/'Bilan 2030 AMS'!$D$30)+'Bilan 2030 AMS'!$C$45+'Bilan 2030 AMS'!$C$47</f>
        <v>244.85478712542087</v>
      </c>
      <c r="H29" s="204">
        <f>'Bilan 2033 AMS'!$C$22+'Bilan 2033 AMS'!$C$23-SUM('Bilan 2033 AMS'!$M$23:$P$23)+'Bilan 2033 AMS'!$C$24-SUM('Bilan 2033 AMS'!$M$24:$P$24)+'Bilan 2033 AMS'!$C$32*(1-SUM('Bilan 2033 AMS'!$M$26:$P$34)/'Bilan 2033 AMS'!$D$30)+'Bilan 2033 AMS'!$C$45+'Bilan 2033 AMS'!$C$47</f>
        <v>221.0792032866056</v>
      </c>
      <c r="I29" s="204">
        <f>'Bilan 2035 AMS'!$C$22+'Bilan 2035 AMS'!$C$23-SUM('Bilan 2035 AMS'!$M$23:$P$23)+'Bilan 2035 AMS'!$C$24-SUM('Bilan 2035 AMS'!$M$24:$P$24)+'Bilan 2035 AMS'!$C$32*(1-SUM('Bilan 2035 AMS'!$M$26:$P$34)/'Bilan 2035 AMS'!$D$30)+'Bilan 2035 AMS'!$C$45+'Bilan 2035 AMS'!$C$47</f>
        <v>209.70852935706063</v>
      </c>
      <c r="J29" s="204">
        <f>'Bilan 2038 AMS'!$C$22+'Bilan 2038 AMS'!$C$23-SUM('Bilan 2038 AMS'!$M$23:$P$23)+'Bilan 2038 AMS'!$C$24-SUM('Bilan 2038 AMS'!$M$24:$P$24)+'Bilan 2038 AMS'!$C$32*(1-SUM('Bilan 2038 AMS'!$M$26:$P$34)/'Bilan 2038 AMS'!$D$30)+'Bilan 2038 AMS'!$C$45+'Bilan 2038 AMS'!$C$47</f>
        <v>170.84951027930288</v>
      </c>
      <c r="K29" s="204">
        <f>'Bilan 2040 AMS'!$C$22+'Bilan 2040 AMS'!$C$23-SUM('Bilan 2040 AMS'!$M$23:$P$23)+'Bilan 2040 AMS'!$C$24-SUM('Bilan 2040 AMS'!$M$24:$P$24)+'Bilan 2040 AMS'!$C$32*(1-SUM('Bilan 2040 AMS'!$M$26:$P$34)/'Bilan 2040 AMS'!$D$30)+'Bilan 2040 AMS'!$C$45+'Bilan 2040 AMS'!$C$47</f>
        <v>147.4550528031611</v>
      </c>
      <c r="L29" s="204">
        <f>'Bilan 2045 AMS'!$C$22+'Bilan 2045 AMS'!$C$23-SUM('Bilan 2045 AMS'!$M$23:$P$23)+'Bilan 2045 AMS'!$C$24-SUM('Bilan 2045 AMS'!$M$24:$P$24)+'Bilan 2045 AMS'!$C$32*(1-SUM('Bilan 2045 AMS'!$M$26:$P$34)/'Bilan 2045 AMS'!$D$30)+'Bilan 2045 AMS'!$C$45+'Bilan 2045 AMS'!$C$47</f>
        <v>147.76384763700943</v>
      </c>
      <c r="M29" s="204">
        <f>'Bilan 2050 AMS'!$C$22+'Bilan 2050 AMS'!$C$23-SUM('Bilan 2050 AMS'!$M$23:$P$23)+'Bilan 2050 AMS'!$C$24-SUM('Bilan 2050 AMS'!$M$24:$P$24)+'Bilan 2050 AMS'!$C$32*(1-SUM('Bilan 2050 AMS'!$M$26:$P$34)/'Bilan 2050 AMS'!$D$30)+'Bilan 2050 AMS'!$C$45+'Bilan 2050 AMS'!$C$47</f>
        <v>93.319701361819213</v>
      </c>
      <c r="N29" s="215">
        <f>'Bilan 2020'!$C$24-SUM('Bilan 2020'!$M$24:$P$24)+'Bilan 2020'!$C$32+'Bilan 2020'!$C$45+'Bilan 2020'!$C$23+'Bilan 2020'!$C$47-SUM('Bilan 2020'!$M$23:$P$23)-C29</f>
        <v>0</v>
      </c>
      <c r="O29" s="215">
        <f>'Bilan 2030 AMS'!$C$24-SUM('Bilan 2030 AMS'!$M$24:$P$24)+'Bilan 2030 AMS'!$C$32+'Bilan 2030 AMS'!$C$45+'Bilan 2030 AMS'!$C$23+'Bilan 2030 AMS'!$C$47-SUM('Bilan 2030 AMS'!$M$23:$P$23)-G29</f>
        <v>-0.31974408374446739</v>
      </c>
      <c r="P29" s="215"/>
      <c r="Q29" s="569" t="s">
        <v>264</v>
      </c>
      <c r="R29" s="201"/>
      <c r="S29" s="201"/>
      <c r="T29" s="201"/>
      <c r="U29" s="201"/>
      <c r="V29" s="201"/>
      <c r="W29" s="201"/>
      <c r="X29" s="201"/>
      <c r="Y29" s="201"/>
      <c r="Z29" s="201"/>
      <c r="AA29" s="201"/>
      <c r="AB29" s="201"/>
      <c r="AC29" s="201"/>
      <c r="AK29" s="217"/>
      <c r="AL29" s="217"/>
      <c r="AM29" s="217"/>
      <c r="AN29" s="217"/>
      <c r="AO29" s="217"/>
      <c r="AP29" s="206"/>
      <c r="AQ29" s="206"/>
      <c r="AY29" s="217"/>
      <c r="AZ29" s="217"/>
      <c r="BA29" s="206"/>
      <c r="BB29" s="206"/>
      <c r="BC29" s="206"/>
      <c r="BD29" s="206"/>
      <c r="BW29" s="215">
        <f>SUM(BW8:BW16)-SUM('Bilan 2020'!$E$7:$E$19)-'Bilan 2020'!$I$13</f>
        <v>-1.2079226507921703E-13</v>
      </c>
      <c r="BX29" s="215">
        <f>SUM(BX8:BX16)-SUM('Bilan 2023 réel'!$E$7:$E$19)-'Bilan 2023 réel'!$I$13</f>
        <v>-3.5106277331582874</v>
      </c>
      <c r="BY29" s="215">
        <f>SUM(BY8:BY16)-SUM('Bilan 2025 AMS'!$E$7:$E$19)-'Bilan 2025 AMS'!$I$13</f>
        <v>5.6843418860808015E-14</v>
      </c>
      <c r="BZ29" s="215">
        <f>SUM(BZ8:BZ16)-SUM('Bilan 2028 AMS'!$E$7:$E$19)-'Bilan 2028 AMS'!$I$13</f>
        <v>1.5631940186722204E-13</v>
      </c>
      <c r="CA29" s="215">
        <f>SUM(CA8:CA16)-SUM('Bilan 2030 AMS'!$E$7:$E$19)-'Bilan 2030 AMS'!$I$13</f>
        <v>1.9895196601282805E-13</v>
      </c>
      <c r="CB29" s="215">
        <f>SUM(CB8:CB16)-SUM('Bilan 2033 AMS'!$E$7:$E$19)-'Bilan 2033 AMS'!$I$13</f>
        <v>3.1263880373444408E-13</v>
      </c>
      <c r="CC29" s="215">
        <f>SUM(CC8:CC16)-SUM('Bilan 2035 AMS'!$E$7:$E$19)-'Bilan 2035 AMS'!$I$13</f>
        <v>0</v>
      </c>
      <c r="CD29" s="215">
        <f>SUM(CD8:CD16)-SUM('Bilan 2038 AMS'!$E$7:$E$19)-'Bilan 2038 AMS'!$I$13</f>
        <v>0</v>
      </c>
      <c r="CE29" s="215">
        <f>SUM(CE8:CE16)-SUM('Bilan 2040 AMS'!$E$7:$E$19)-'Bilan 2040 AMS'!$I$13</f>
        <v>1.8474111129762605E-13</v>
      </c>
      <c r="CF29" s="215">
        <f>SUM(CF8:CF16)-SUM('Bilan 2045 AMS'!$E$7:$E$19)-'Bilan 2045 AMS'!$I$13</f>
        <v>-1.2079226507921703E-13</v>
      </c>
      <c r="CG29" s="215">
        <f>SUM(CG8:CG16)-SUM('Bilan 2050 AMS'!$E$7:$E$19)-'Bilan 2050 AMS'!$I$13</f>
        <v>8.5265128291212022E-14</v>
      </c>
    </row>
    <row r="30" spans="1:116" ht="12.75" x14ac:dyDescent="0.2">
      <c r="A30" s="203" t="s">
        <v>304</v>
      </c>
      <c r="B30" s="204">
        <f>'Bilan 2015'!$C$29*(1-SUM('Bilan 2015'!$M$26:$P$34)/'Bilan 2015'!$D$30)+'Bilan 2015'!$C$37</f>
        <v>7.8830796757637707</v>
      </c>
      <c r="C30" s="204">
        <f>'Bilan 2020'!$C$29*(1-SUM('Bilan 2020'!$M$26:$P$34)/'Bilan 2020'!$D$30)+'Bilan 2020'!$C$37</f>
        <v>97.138025953204789</v>
      </c>
      <c r="D30" s="204">
        <f>'Bilan 2023 réel'!$C$29*(1-SUM('Bilan 2023 réel'!$M$26:$P$34)/'Bilan 2023 réel'!$D$30)+'Bilan 2023 réel'!$C$37</f>
        <v>101.9464819297059</v>
      </c>
      <c r="E30" s="204">
        <f>'Bilan 2025 AMS'!$C$29*(1-SUM('Bilan 2025 AMS'!$M$26:$P$34)/'Bilan 2025 AMS'!$D$30)+'Bilan 2025 AMS'!$C$37</f>
        <v>125.67546056583984</v>
      </c>
      <c r="F30" s="204">
        <f>'Bilan 2028 AMS'!$C$29*(1-SUM('Bilan 2028 AMS'!$M$26:$P$34)/'Bilan 2028 AMS'!$D$30)+'Bilan 2028 AMS'!$C$37</f>
        <v>130.09162199428056</v>
      </c>
      <c r="G30" s="204">
        <f>'Bilan 2030 AMS'!$C$29*(1-SUM('Bilan 2030 AMS'!$M$26:$P$34)/'Bilan 2030 AMS'!$D$30)+'Bilan 2030 AMS'!$C$37</f>
        <v>138.13819562493413</v>
      </c>
      <c r="H30" s="204">
        <f>'Bilan 2033 AMS'!$C$29*(1-SUM('Bilan 2033 AMS'!$M$26:$P$34)/'Bilan 2033 AMS'!$D$30)+'Bilan 2033 AMS'!$C$37</f>
        <v>130.92770020325821</v>
      </c>
      <c r="I30" s="204">
        <f>'Bilan 2035 AMS'!$C$29*(1-SUM('Bilan 2035 AMS'!$M$26:$P$34)/'Bilan 2035 AMS'!$D$30)+'Bilan 2035 AMS'!$C$37</f>
        <v>128.75449384777207</v>
      </c>
      <c r="J30" s="204">
        <f>'Bilan 2038 AMS'!$C$29*(1-SUM('Bilan 2038 AMS'!$M$26:$P$34)/'Bilan 2038 AMS'!$D$30)+'Bilan 2038 AMS'!$C$37</f>
        <v>124.82550110438572</v>
      </c>
      <c r="K30" s="204">
        <f>'Bilan 2040 AMS'!$C$29*(1-SUM('Bilan 2040 AMS'!$M$26:$P$34)/'Bilan 2040 AMS'!$D$30)+'Bilan 2040 AMS'!$C$37</f>
        <v>122.63018043070034</v>
      </c>
      <c r="L30" s="204">
        <f>'Bilan 2045 AMS'!$C$29*(1-SUM('Bilan 2045 AMS'!$M$26:$P$34)/'Bilan 2045 AMS'!$D$30)+'Bilan 2045 AMS'!$C$37</f>
        <v>119.3382465545006</v>
      </c>
      <c r="M30" s="204">
        <f>'Bilan 2050 AMS'!$C$29*(1-SUM('Bilan 2050 AMS'!$M$26:$P$34)/'Bilan 2050 AMS'!$D$30)+'Bilan 2050 AMS'!$C$37</f>
        <v>116.33647141511968</v>
      </c>
      <c r="N30" s="215">
        <f>'Bilan 2020'!$C$29+'Bilan 2020'!$C$37-C30</f>
        <v>0</v>
      </c>
      <c r="O30" s="215">
        <f>'Bilan 2030 AMS'!$C$29+'Bilan 2030 AMS'!$C$37-G30</f>
        <v>0</v>
      </c>
      <c r="P30" s="215"/>
      <c r="Q30" s="570" t="s">
        <v>266</v>
      </c>
      <c r="R30" s="219">
        <f t="shared" ref="R30:AC31" si="67">R4/R$3</f>
        <v>0.95707115986874225</v>
      </c>
      <c r="S30" s="219">
        <f t="shared" si="67"/>
        <v>0.9525763357643332</v>
      </c>
      <c r="T30" s="219">
        <f t="shared" si="67"/>
        <v>0.9719111909236583</v>
      </c>
      <c r="U30" s="219">
        <f t="shared" si="67"/>
        <v>0.91852973583098596</v>
      </c>
      <c r="V30" s="219">
        <f t="shared" si="67"/>
        <v>0.89020115952048373</v>
      </c>
      <c r="W30" s="219">
        <f t="shared" si="67"/>
        <v>0.86775088835556913</v>
      </c>
      <c r="X30" s="219">
        <f t="shared" si="67"/>
        <v>0.83341962606703512</v>
      </c>
      <c r="Y30" s="219">
        <f t="shared" si="67"/>
        <v>0.80403708518986605</v>
      </c>
      <c r="Z30" s="219">
        <f t="shared" si="67"/>
        <v>0.74738202882862437</v>
      </c>
      <c r="AA30" s="219">
        <f t="shared" si="67"/>
        <v>0.69623750390291361</v>
      </c>
      <c r="AB30" s="219">
        <f t="shared" si="67"/>
        <v>0.52127870737648208</v>
      </c>
      <c r="AC30" s="219">
        <f t="shared" si="67"/>
        <v>0.38709829078246066</v>
      </c>
      <c r="AF30" s="193">
        <v>2015</v>
      </c>
      <c r="AG30" s="194">
        <v>2020</v>
      </c>
      <c r="AH30" s="194">
        <v>2023</v>
      </c>
      <c r="AI30" s="195">
        <v>2025</v>
      </c>
      <c r="AJ30" s="195">
        <v>2028</v>
      </c>
      <c r="AK30" s="195">
        <v>2030</v>
      </c>
      <c r="AL30" s="195">
        <v>2033</v>
      </c>
      <c r="AM30" s="195">
        <v>2035</v>
      </c>
      <c r="AN30" s="195">
        <v>2038</v>
      </c>
      <c r="AO30" s="195">
        <v>2040</v>
      </c>
      <c r="AP30" s="195">
        <v>2045</v>
      </c>
      <c r="AQ30" s="195">
        <v>2050</v>
      </c>
      <c r="AT30" s="193">
        <v>2015</v>
      </c>
      <c r="AU30" s="194">
        <v>2020</v>
      </c>
      <c r="AV30" s="195">
        <v>2023</v>
      </c>
      <c r="AW30" s="195">
        <v>2025</v>
      </c>
      <c r="AX30" s="195">
        <v>2028</v>
      </c>
      <c r="AY30" s="195">
        <v>2030</v>
      </c>
      <c r="AZ30" s="195">
        <v>2033</v>
      </c>
      <c r="BA30" s="195">
        <v>2035</v>
      </c>
      <c r="BB30" s="547">
        <v>2038</v>
      </c>
      <c r="BC30" s="547">
        <v>2040</v>
      </c>
      <c r="BD30" s="547">
        <v>2045</v>
      </c>
      <c r="BE30" s="193">
        <v>2050</v>
      </c>
    </row>
    <row r="31" spans="1:116" ht="60" x14ac:dyDescent="0.25">
      <c r="A31" s="203" t="s">
        <v>305</v>
      </c>
      <c r="B31" s="204">
        <f>'Bilan 2015'!$C$21-SUM('Bilan 2015'!$M$21:$P$21)+'Bilan 2015'!$C$26*(1-SUM('Bilan 2015'!$M$26:$P$34)/'Bilan 2015'!$D$30)+'Bilan 2015'!$C$36</f>
        <v>0.24671248523631389</v>
      </c>
      <c r="C31" s="204">
        <f>'Bilan 2020'!$C$21-SUM('Bilan 2020'!$M$21:$P$21)+'Bilan 2020'!$C$26*(1-SUM('Bilan 2020'!$M$26:$P$34)/'Bilan 2020'!$D$30)+'Bilan 2020'!$C$36</f>
        <v>5.9336589388889092</v>
      </c>
      <c r="D31" s="204">
        <f>'Bilan 2023 réel'!$C$21-SUM('Bilan 2023 réel'!$M$21:$P$21)+'Bilan 2023 réel'!$C$26*(1-SUM('Bilan 2023 réel'!$M$26:$P$34)/'Bilan 2023 réel'!$D$30)+'Bilan 2023 réel'!$C$36</f>
        <v>14.494867834472224</v>
      </c>
      <c r="E31" s="204">
        <f>'Bilan 2025 AMS'!$C$21-SUM('Bilan 2025 AMS'!$M$21:$P$21)+'Bilan 2025 AMS'!$C$26*(1-SUM('Bilan 2025 AMS'!$M$26:$P$34)/'Bilan 2025 AMS'!$D$30)+'Bilan 2025 AMS'!$C$36</f>
        <v>42.72849229793853</v>
      </c>
      <c r="F31" s="204">
        <f>'Bilan 2028 AMS'!$C$21-SUM('Bilan 2028 AMS'!$M$21:$P$21)+'Bilan 2028 AMS'!$C$26*(1-SUM('Bilan 2028 AMS'!$M$26:$P$34)/'Bilan 2028 AMS'!$D$30)+'Bilan 2028 AMS'!$C$36</f>
        <v>56.182924492441437</v>
      </c>
      <c r="G31" s="204">
        <f>'Bilan 2030 AMS'!$C$21-SUM('Bilan 2030 AMS'!$M$21:$P$21)+'Bilan 2030 AMS'!$C$26*(1-SUM('Bilan 2030 AMS'!$M$26:$P$34)/'Bilan 2030 AMS'!$D$30)+'Bilan 2030 AMS'!$C$36</f>
        <v>67.407783883394259</v>
      </c>
      <c r="H31" s="204">
        <f>'Bilan 2033 AMS'!$C$21-SUM('Bilan 2033 AMS'!$M$21:$P$21)+'Bilan 2033 AMS'!$C$26*(1-SUM('Bilan 2033 AMS'!$M$26:$P$34)/'Bilan 2033 AMS'!$D$30)+'Bilan 2033 AMS'!$C$36</f>
        <v>85.007831364743737</v>
      </c>
      <c r="I31" s="204">
        <f>'Bilan 2035 AMS'!$C$21-SUM('Bilan 2035 AMS'!$M$21:$P$21)+'Bilan 2035 AMS'!$C$26*(1-SUM('Bilan 2035 AMS'!$M$26:$P$34)/'Bilan 2035 AMS'!$D$30)+'Bilan 2035 AMS'!$C$36</f>
        <v>96.955231697536831</v>
      </c>
      <c r="J31" s="204">
        <f>'Bilan 2038 AMS'!$C$21-SUM('Bilan 2038 AMS'!$M$21:$P$21)+'Bilan 2038 AMS'!$C$26*(1-SUM('Bilan 2038 AMS'!$M$26:$P$34)/'Bilan 2038 AMS'!$D$30)+'Bilan 2038 AMS'!$C$36</f>
        <v>116.92973755449188</v>
      </c>
      <c r="K31" s="204">
        <f>'Bilan 2040 AMS'!$C$21-SUM('Bilan 2040 AMS'!$M$21:$P$21)+'Bilan 2040 AMS'!$C$26*(1-SUM('Bilan 2040 AMS'!$M$26:$P$34)/'Bilan 2040 AMS'!$D$30)+'Bilan 2040 AMS'!$C$36</f>
        <v>132.73315388952119</v>
      </c>
      <c r="L31" s="204">
        <f>'Bilan 2045 AMS'!$C$21-SUM('Bilan 2045 AMS'!$M$21:$P$21)+'Bilan 2045 AMS'!$C$26*(1-SUM('Bilan 2045 AMS'!$M$26:$P$34)/'Bilan 2045 AMS'!$D$30)+'Bilan 2045 AMS'!$C$36</f>
        <v>162.09846861647372</v>
      </c>
      <c r="M31" s="204">
        <f>'Bilan 2050 AMS'!$C$21-SUM('Bilan 2050 AMS'!$M$21:$P$21)+'Bilan 2050 AMS'!$C$26*(1-SUM('Bilan 2050 AMS'!$M$26:$P$34)/'Bilan 2050 AMS'!$D$30)+'Bilan 2050 AMS'!$C$36</f>
        <v>191.4599897775754</v>
      </c>
      <c r="N31" s="216">
        <f>SUM('Bilan 2020'!$C$21:$C$22)-SUM('Bilan 2020'!$M$21:$P$22)+'Bilan 2020'!$C$26+'Bilan 2020'!$C$28+'Bilan 2020'!$C$36-C31</f>
        <v>0</v>
      </c>
      <c r="O31" s="216">
        <f>SUM('Bilan 2030 AMS'!$C$21:$C$22)-SUM('Bilan 2030 AMS'!$M$21:$P$22)+'Bilan 2030 AMS'!$C$26+'Bilan 2030 AMS'!$C$28+'Bilan 2030 AMS'!$C$36-G31</f>
        <v>0.31974408374445318</v>
      </c>
      <c r="P31" s="216"/>
      <c r="Q31" s="570" t="s">
        <v>268</v>
      </c>
      <c r="R31" s="219">
        <f t="shared" si="67"/>
        <v>4.2928840131257667E-2</v>
      </c>
      <c r="S31" s="219">
        <f t="shared" si="67"/>
        <v>4.7423664235666747E-2</v>
      </c>
      <c r="T31" s="219">
        <f t="shared" si="67"/>
        <v>2.8088809076341814E-2</v>
      </c>
      <c r="U31" s="219">
        <f t="shared" si="67"/>
        <v>8.1470264169014026E-2</v>
      </c>
      <c r="V31" s="219">
        <f t="shared" si="67"/>
        <v>0.10979884047951627</v>
      </c>
      <c r="W31" s="219">
        <f t="shared" si="67"/>
        <v>0.13224911164443079</v>
      </c>
      <c r="X31" s="219">
        <f t="shared" si="67"/>
        <v>0.16658037393296474</v>
      </c>
      <c r="Y31" s="219">
        <f t="shared" si="67"/>
        <v>0.19596291481013392</v>
      </c>
      <c r="Z31" s="219">
        <f t="shared" si="67"/>
        <v>0.25261797117137574</v>
      </c>
      <c r="AA31" s="219">
        <f t="shared" si="67"/>
        <v>0.30376249609708633</v>
      </c>
      <c r="AB31" s="219">
        <f t="shared" si="67"/>
        <v>0.47872129262351787</v>
      </c>
      <c r="AC31" s="219">
        <f t="shared" si="67"/>
        <v>0.61290170921753928</v>
      </c>
      <c r="AE31" s="218" t="s">
        <v>302</v>
      </c>
      <c r="AF31" s="198"/>
      <c r="AG31" s="198"/>
      <c r="AH31" s="198"/>
      <c r="AI31" s="198"/>
      <c r="AJ31" s="198"/>
      <c r="AK31" s="198"/>
      <c r="AL31" s="198"/>
      <c r="AM31" s="198"/>
      <c r="AN31" s="198"/>
      <c r="AO31" s="198"/>
      <c r="AP31" s="198"/>
      <c r="AQ31" s="198"/>
      <c r="AS31" s="218" t="s">
        <v>303</v>
      </c>
      <c r="AT31" s="198"/>
      <c r="AU31" s="198"/>
      <c r="AV31" s="198"/>
      <c r="AW31" s="198"/>
      <c r="AX31" s="198"/>
      <c r="AY31" s="198"/>
      <c r="AZ31" s="198"/>
      <c r="BA31" s="198"/>
      <c r="BB31" s="198"/>
      <c r="BC31" s="198"/>
      <c r="BD31" s="198"/>
      <c r="BE31" s="198"/>
    </row>
    <row r="32" spans="1:116" ht="12.75" x14ac:dyDescent="0.2">
      <c r="A32" s="203" t="s">
        <v>293</v>
      </c>
      <c r="B32" s="204">
        <f>'Bilan 2015'!$C$27*(1-SUM('Bilan 2015'!$M$26:$P$34)/'Bilan 2015'!$D$30)+'Bilan 2015'!$C$44</f>
        <v>0.81249408070009255</v>
      </c>
      <c r="C32" s="204">
        <f>'Bilan 2020'!$C$27*(1-SUM('Bilan 2020'!$M$26:$P$34)/'Bilan 2020'!$D$30)+'Bilan 2020'!$C$44</f>
        <v>22.30312628047551</v>
      </c>
      <c r="D32" s="204">
        <f>'Bilan 2023 réel'!$C$27*(1-SUM('Bilan 2023 réel'!$M$26:$P$34)/'Bilan 2023 réel'!$D$30)+'Bilan 2023 réel'!$C$44</f>
        <v>23.661663021111114</v>
      </c>
      <c r="E32" s="204">
        <f>'Bilan 2025 AMS'!$C$27*(1-SUM('Bilan 2025 AMS'!$M$26:$P$34)/'Bilan 2025 AMS'!$D$30)+'Bilan 2025 AMS'!$C$44</f>
        <v>17.981780283693809</v>
      </c>
      <c r="F32" s="204">
        <f>'Bilan 2028 AMS'!$C$27*(1-SUM('Bilan 2028 AMS'!$M$26:$P$34)/'Bilan 2028 AMS'!$D$30)+'Bilan 2028 AMS'!$C$44</f>
        <v>22.804279698309344</v>
      </c>
      <c r="G32" s="204">
        <f>'Bilan 2030 AMS'!$C$27*(1-SUM('Bilan 2030 AMS'!$M$26:$P$34)/'Bilan 2030 AMS'!$D$30)+'Bilan 2030 AMS'!$C$44</f>
        <v>27.789102718045811</v>
      </c>
      <c r="H32" s="204">
        <f>'Bilan 2033 AMS'!$C$27*(1-SUM('Bilan 2033 AMS'!$M$26:$P$34)/'Bilan 2033 AMS'!$D$30)+'Bilan 2033 AMS'!$C$44</f>
        <v>27.761225773724579</v>
      </c>
      <c r="I32" s="204">
        <f>'Bilan 2035 AMS'!$C$27*(1-SUM('Bilan 2035 AMS'!$M$26:$P$34)/'Bilan 2035 AMS'!$D$30)+'Bilan 2035 AMS'!$C$44</f>
        <v>27.460757852255149</v>
      </c>
      <c r="J32" s="204">
        <f>'Bilan 2038 AMS'!$C$27*(1-SUM('Bilan 2038 AMS'!$M$26:$P$34)/'Bilan 2038 AMS'!$D$30)+'Bilan 2038 AMS'!$C$44</f>
        <v>24.805037798268717</v>
      </c>
      <c r="K32" s="204">
        <f>'Bilan 2040 AMS'!$C$27*(1-SUM('Bilan 2040 AMS'!$M$26:$P$34)/'Bilan 2040 AMS'!$D$30)+'Bilan 2040 AMS'!$C$44</f>
        <v>22.991585077795918</v>
      </c>
      <c r="L32" s="204">
        <f>'Bilan 2045 AMS'!$C$27*(1-SUM('Bilan 2045 AMS'!$M$26:$P$34)/'Bilan 2045 AMS'!$D$30)+'Bilan 2045 AMS'!$C$44</f>
        <v>20.051935910428757</v>
      </c>
      <c r="M32" s="204">
        <f>'Bilan 2050 AMS'!$C$27*(1-SUM('Bilan 2050 AMS'!$M$26:$P$34)/'Bilan 2050 AMS'!$D$30)+'Bilan 2050 AMS'!$C$44</f>
        <v>17.572256863622215</v>
      </c>
      <c r="N32" s="216">
        <f>'Bilan 2020'!$C$27+'Bilan 2020'!$C$44-C32</f>
        <v>0</v>
      </c>
      <c r="O32" s="216">
        <f>'Bilan 2030 AMS'!$C$27+'Bilan 2030 AMS'!$C$44-G32</f>
        <v>0</v>
      </c>
      <c r="P32" s="216"/>
      <c r="Q32" s="570" t="s">
        <v>181</v>
      </c>
      <c r="R32" s="205"/>
      <c r="S32" s="205"/>
      <c r="T32" s="205"/>
      <c r="U32" s="205"/>
      <c r="V32" s="205"/>
      <c r="W32" s="205"/>
      <c r="X32" s="205"/>
      <c r="Y32" s="205"/>
      <c r="Z32" s="205"/>
      <c r="AA32" s="205"/>
      <c r="AB32" s="205"/>
      <c r="AC32" s="205"/>
      <c r="AE32" s="201" t="s">
        <v>264</v>
      </c>
      <c r="AF32" s="201"/>
      <c r="AG32" s="201"/>
      <c r="AH32" s="201"/>
      <c r="AI32" s="201"/>
      <c r="AJ32" s="201"/>
      <c r="AK32" s="201"/>
      <c r="AL32" s="201"/>
      <c r="AM32" s="201"/>
      <c r="AN32" s="201"/>
      <c r="AO32" s="201"/>
      <c r="AP32" s="201"/>
      <c r="AQ32" s="201"/>
      <c r="AS32" s="201" t="s">
        <v>264</v>
      </c>
      <c r="AT32" s="201"/>
      <c r="AU32" s="201"/>
      <c r="AV32" s="201"/>
      <c r="AW32" s="201"/>
      <c r="AX32" s="201"/>
      <c r="AY32" s="201"/>
      <c r="AZ32" s="201"/>
      <c r="BA32" s="201"/>
      <c r="BB32" s="201"/>
      <c r="BC32" s="201"/>
      <c r="BD32" s="201"/>
      <c r="BE32" s="201"/>
    </row>
    <row r="33" spans="1:57" ht="12.75" x14ac:dyDescent="0.2">
      <c r="A33" s="203" t="s">
        <v>298</v>
      </c>
      <c r="B33" s="205">
        <f>'Bilan 2015'!$C$30*(1-SUM('Bilan 2015'!$M$26:$P$34)/'Bilan 2015'!$D$30)</f>
        <v>5.6427752579331782E-2</v>
      </c>
      <c r="C33" s="205">
        <f>'Bilan 2020'!$C$30*(1-SUM('Bilan 2020'!$M$26:$P$34)/'Bilan 2020'!$D$30)</f>
        <v>3.6793581777777802</v>
      </c>
      <c r="D33" s="205">
        <f>'Bilan 2023 réel'!$C$30*(1-SUM('Bilan 2023 réel'!$M$26:$P$34)/'Bilan 2023 réel'!$D$30)</f>
        <v>4.6370516666666663</v>
      </c>
      <c r="E33" s="205">
        <f>'Bilan 2025 AMS'!$C$30*(1-SUM('Bilan 2025 AMS'!$M$26:$P$34)/'Bilan 2025 AMS'!$D$30)</f>
        <v>6.057358935027354</v>
      </c>
      <c r="F33" s="205">
        <f>'Bilan 2028 AMS'!$C$30*(1-SUM('Bilan 2028 AMS'!$M$26:$P$34)/'Bilan 2028 AMS'!$D$30)</f>
        <v>8.0512503201458188</v>
      </c>
      <c r="G33" s="205">
        <f>'Bilan 2030 AMS'!$C$30*(1-SUM('Bilan 2030 AMS'!$M$26:$P$34)/'Bilan 2030 AMS'!$D$30)</f>
        <v>10.223550533524911</v>
      </c>
      <c r="H33" s="205">
        <f>'Bilan 2033 AMS'!$C$30*(1-SUM('Bilan 2033 AMS'!$M$26:$P$34)/'Bilan 2033 AMS'!$D$30)</f>
        <v>12.465752150616991</v>
      </c>
      <c r="I33" s="205">
        <f>'Bilan 2035 AMS'!$C$30*(1-SUM('Bilan 2035 AMS'!$M$26:$P$34)/'Bilan 2035 AMS'!$D$30)</f>
        <v>14.189843081655606</v>
      </c>
      <c r="J33" s="205">
        <f>'Bilan 2038 AMS'!$C$30*(1-SUM('Bilan 2038 AMS'!$M$26:$P$34)/'Bilan 2038 AMS'!$D$30)</f>
        <v>15.123327125815617</v>
      </c>
      <c r="K33" s="205">
        <f>'Bilan 2040 AMS'!$C$30*(1-SUM('Bilan 2040 AMS'!$M$26:$P$34)/'Bilan 2040 AMS'!$D$30)</f>
        <v>15.724500904765749</v>
      </c>
      <c r="L33" s="205">
        <f>'Bilan 2045 AMS'!$C$30*(1-SUM('Bilan 2045 AMS'!$M$26:$P$34)/'Bilan 2045 AMS'!$D$30)</f>
        <v>12.221648755322821</v>
      </c>
      <c r="M33" s="205">
        <f>'Bilan 2050 AMS'!$C$30*(1-SUM('Bilan 2050 AMS'!$M$26:$P$34)/'Bilan 2050 AMS'!$D$30)</f>
        <v>12.943396433622139</v>
      </c>
      <c r="N33" s="216">
        <f>'Bilan 2020'!$C$30-C33</f>
        <v>0</v>
      </c>
      <c r="O33" s="216">
        <f>'Bilan 2030 AMS'!$C$30-G33</f>
        <v>0</v>
      </c>
      <c r="P33" s="216"/>
      <c r="Q33" s="569" t="s">
        <v>104</v>
      </c>
      <c r="R33" s="201"/>
      <c r="S33" s="201"/>
      <c r="T33" s="201"/>
      <c r="U33" s="201"/>
      <c r="V33" s="201"/>
      <c r="W33" s="201"/>
      <c r="X33" s="201"/>
      <c r="Y33" s="201"/>
      <c r="Z33" s="201"/>
      <c r="AA33" s="201"/>
      <c r="AB33" s="201"/>
      <c r="AC33" s="201"/>
      <c r="AE33" s="205" t="s">
        <v>266</v>
      </c>
      <c r="AF33" s="219">
        <f t="shared" ref="AF33:AO33" si="68">(AF4+AF6)/AF$3</f>
        <v>0.94615947068658013</v>
      </c>
      <c r="AG33" s="219">
        <f t="shared" si="68"/>
        <v>0.94047434318697465</v>
      </c>
      <c r="AH33" s="219">
        <f t="shared" si="68"/>
        <v>0.93401276016856827</v>
      </c>
      <c r="AI33" s="219">
        <f t="shared" si="68"/>
        <v>0.92905385392741313</v>
      </c>
      <c r="AJ33" s="219">
        <f t="shared" si="68"/>
        <v>0.91411266580907913</v>
      </c>
      <c r="AK33" s="219">
        <f t="shared" si="68"/>
        <v>0.90147068768564498</v>
      </c>
      <c r="AL33" s="219">
        <f t="shared" si="68"/>
        <v>0.86845434443014957</v>
      </c>
      <c r="AM33" s="219">
        <f t="shared" si="68"/>
        <v>0.83738649429298673</v>
      </c>
      <c r="AN33" s="219">
        <f t="shared" si="68"/>
        <v>0.78681202809419892</v>
      </c>
      <c r="AO33" s="219">
        <f t="shared" si="68"/>
        <v>0.72909131342107569</v>
      </c>
      <c r="AP33" s="219">
        <f>(AP4+AP6)/AP$3</f>
        <v>0.46454000978833054</v>
      </c>
      <c r="AQ33" s="219">
        <f>(AQ4+AQ6)/AQ$3</f>
        <v>8.4014018924681869E-2</v>
      </c>
      <c r="AS33" s="205" t="s">
        <v>266</v>
      </c>
      <c r="AT33" s="219">
        <f t="shared" ref="AT33:BD33" si="69">(AT4+AT6)/AT$3</f>
        <v>0.95568182778185551</v>
      </c>
      <c r="AU33" s="219">
        <f t="shared" si="69"/>
        <v>0.95161556420218441</v>
      </c>
      <c r="AV33" s="219">
        <f t="shared" si="69"/>
        <v>0.94420547129694565</v>
      </c>
      <c r="AW33" s="219">
        <f t="shared" si="69"/>
        <v>0.94081662958109269</v>
      </c>
      <c r="AX33" s="219">
        <f t="shared" si="69"/>
        <v>0.93040872791550489</v>
      </c>
      <c r="AY33" s="219">
        <f t="shared" si="69"/>
        <v>0.9220858032732917</v>
      </c>
      <c r="AZ33" s="219">
        <f t="shared" si="69"/>
        <v>0.89631094037571479</v>
      </c>
      <c r="BA33" s="219">
        <f t="shared" si="69"/>
        <v>0.8740631104234714</v>
      </c>
      <c r="BB33" s="219">
        <f t="shared" si="69"/>
        <v>0.84287018934503477</v>
      </c>
      <c r="BC33" s="219">
        <f t="shared" si="69"/>
        <v>0.81347132625375052</v>
      </c>
      <c r="BD33" s="219">
        <f t="shared" si="69"/>
        <v>0.73095310255630896</v>
      </c>
      <c r="BE33" s="219">
        <f>(BE4+BE6)/BE$3</f>
        <v>0.70311938771710503</v>
      </c>
    </row>
    <row r="34" spans="1:57" ht="12.75" x14ac:dyDescent="0.2">
      <c r="A34" s="203" t="s">
        <v>613</v>
      </c>
      <c r="B34" s="220">
        <f>('Bilan 2015'!$C$28+'Bilan 2015'!$C$31)*(1-SUM('Bilan 2015'!$M$26:$P$34)/'Bilan 2015'!$D$30)+'Bilan 2015'!$C$38+'Bilan 2015'!$C$39+'Bilan 2015'!$C$40</f>
        <v>5.2038188230072926</v>
      </c>
      <c r="C34" s="220">
        <f>('Bilan 2020'!$C$28+'Bilan 2020'!$C$31)*(1-SUM('Bilan 2020'!$M$26:$P$34)/'Bilan 2020'!$D$30)+'Bilan 2020'!$C$38+'Bilan 2020'!$C$39+'Bilan 2020'!$C$40</f>
        <v>33.87625778069777</v>
      </c>
      <c r="D34" s="220">
        <f>('Bilan 2023 réel'!$C$28+'Bilan 2023 réel'!$C$31)*(1-SUM('Bilan 2023 réel'!$M$26:$P$34)/'Bilan 2023 réel'!$D$30)+'Bilan 2023 réel'!$C$38+'Bilan 2023 réel'!$C$39+'Bilan 2023 réel'!$C$40</f>
        <v>53.304861388888888</v>
      </c>
      <c r="E34" s="220">
        <f>('Bilan 2025 AMS'!$C$28+'Bilan 2025 AMS'!$C$31)*(1-SUM('Bilan 2025 AMS'!$M$26:$P$34)/'Bilan 2025 AMS'!$D$30)+'Bilan 2025 AMS'!$C$38+'Bilan 2025 AMS'!$C$39+'Bilan 2025 AMS'!$C$40</f>
        <v>91.801120039546163</v>
      </c>
      <c r="F34" s="220">
        <f>('Bilan 2028 AMS'!$C$28+'Bilan 2028 AMS'!$C$31)*(1-SUM('Bilan 2028 AMS'!$M$26:$P$34)/'Bilan 2028 AMS'!$D$30)+'Bilan 2028 AMS'!$C$38+'Bilan 2028 AMS'!$C$39+'Bilan 2028 AMS'!$C$40</f>
        <v>123.05750607347909</v>
      </c>
      <c r="G34" s="220">
        <f>('Bilan 2030 AMS'!$C$28+'Bilan 2030 AMS'!$C$31)*(1-SUM('Bilan 2030 AMS'!$M$26:$P$34)/'Bilan 2030 AMS'!$D$30)+'Bilan 2030 AMS'!$C$38+'Bilan 2030 AMS'!$C$39+'Bilan 2030 AMS'!$C$40</f>
        <v>142.12051479592157</v>
      </c>
      <c r="H34" s="220">
        <f>('Bilan 2033 AMS'!$C$28+'Bilan 2033 AMS'!$C$31)*(1-SUM('Bilan 2033 AMS'!$M$26:$P$34)/'Bilan 2033 AMS'!$D$30)+'Bilan 2033 AMS'!$C$38+'Bilan 2033 AMS'!$C$39+'Bilan 2033 AMS'!$C$40</f>
        <v>166.64432593417962</v>
      </c>
      <c r="I34" s="220">
        <f>('Bilan 2035 AMS'!$C$28+'Bilan 2035 AMS'!$C$31)*(1-SUM('Bilan 2035 AMS'!$M$26:$P$34)/'Bilan 2035 AMS'!$D$30)+'Bilan 2035 AMS'!$C$38+'Bilan 2035 AMS'!$C$39+'Bilan 2035 AMS'!$C$40</f>
        <v>188.71130372871315</v>
      </c>
      <c r="J34" s="220">
        <f>('Bilan 2038 AMS'!$C$28+'Bilan 2038 AMS'!$C$31)*(1-SUM('Bilan 2038 AMS'!$M$26:$P$34)/'Bilan 2038 AMS'!$D$30)+'Bilan 2038 AMS'!$C$38+'Bilan 2038 AMS'!$C$39+'Bilan 2038 AMS'!$C$40</f>
        <v>223.51706668287565</v>
      </c>
      <c r="K34" s="220">
        <f>('Bilan 2040 AMS'!$C$28+'Bilan 2040 AMS'!$C$31)*(1-SUM('Bilan 2040 AMS'!$M$26:$P$34)/'Bilan 2040 AMS'!$D$30)+'Bilan 2040 AMS'!$C$38+'Bilan 2040 AMS'!$C$39+'Bilan 2040 AMS'!$C$40</f>
        <v>243.88944993582768</v>
      </c>
      <c r="L34" s="220">
        <f>('Bilan 2045 AMS'!$C$28+'Bilan 2045 AMS'!$C$31)*(1-SUM('Bilan 2045 AMS'!$M$26:$P$34)/'Bilan 2045 AMS'!$D$30)+'Bilan 2045 AMS'!$C$38+'Bilan 2045 AMS'!$C$39+'Bilan 2045 AMS'!$C$40</f>
        <v>273.91042758397072</v>
      </c>
      <c r="M34" s="220">
        <f>('Bilan 2050 AMS'!$C$28+'Bilan 2050 AMS'!$C$31)*(1-SUM('Bilan 2050 AMS'!$M$26:$P$34)/'Bilan 2050 AMS'!$D$30)+'Bilan 2050 AMS'!$C$38+'Bilan 2050 AMS'!$C$39+'Bilan 2050 AMS'!$C$40</f>
        <v>314.883192411403</v>
      </c>
      <c r="N34" s="216">
        <f>'Bilan 2020'!$C$31+'Bilan 2020'!$C$38+'Bilan 2020'!$C$39+'Bilan 2020'!$C$40-C34</f>
        <v>0</v>
      </c>
      <c r="O34" s="216">
        <f>'Bilan 2030 AMS'!$C$31+'Bilan 2030 AMS'!$C$38+'Bilan 2030 AMS'!$C$39+'Bilan 2030 AMS'!$C$40-G34</f>
        <v>0</v>
      </c>
      <c r="P34" s="216"/>
      <c r="Q34" s="570" t="s">
        <v>20</v>
      </c>
      <c r="R34" s="219">
        <f t="shared" ref="R34:AC41" si="70">R8/R$7</f>
        <v>0.86202325294746307</v>
      </c>
      <c r="S34" s="219">
        <f t="shared" si="70"/>
        <v>0.8319093450874363</v>
      </c>
      <c r="T34" s="219">
        <f t="shared" si="70"/>
        <v>0.81548413089660676</v>
      </c>
      <c r="U34" s="219">
        <f t="shared" si="70"/>
        <v>0.82683113040934686</v>
      </c>
      <c r="V34" s="219">
        <f t="shared" si="70"/>
        <v>0.80847105656861262</v>
      </c>
      <c r="W34" s="219">
        <f t="shared" si="70"/>
        <v>0.80437159432390515</v>
      </c>
      <c r="X34" s="219">
        <f t="shared" si="70"/>
        <v>0.77797908029996965</v>
      </c>
      <c r="Y34" s="219">
        <f t="shared" si="70"/>
        <v>0.76127506800291667</v>
      </c>
      <c r="Z34" s="219">
        <f t="shared" si="70"/>
        <v>0.74889377195075979</v>
      </c>
      <c r="AA34" s="219">
        <f t="shared" si="70"/>
        <v>0.74125112709095187</v>
      </c>
      <c r="AB34" s="219">
        <f t="shared" si="70"/>
        <v>0.67063475249984317</v>
      </c>
      <c r="AC34" s="219">
        <f t="shared" si="70"/>
        <v>0.57470156371582792</v>
      </c>
      <c r="AE34" s="205" t="s">
        <v>268</v>
      </c>
      <c r="AF34" s="219">
        <f t="shared" ref="AF34:AO34" si="71">(AF5+AF7)/AF$3</f>
        <v>5.384052931341992E-2</v>
      </c>
      <c r="AG34" s="219">
        <f t="shared" si="71"/>
        <v>5.9525656813025352E-2</v>
      </c>
      <c r="AH34" s="219">
        <f t="shared" si="71"/>
        <v>6.5987239831431621E-2</v>
      </c>
      <c r="AI34" s="219">
        <f t="shared" si="71"/>
        <v>7.094614607258691E-2</v>
      </c>
      <c r="AJ34" s="219">
        <f t="shared" si="71"/>
        <v>8.5887334190920886E-2</v>
      </c>
      <c r="AK34" s="219">
        <f t="shared" si="71"/>
        <v>9.8529312314355064E-2</v>
      </c>
      <c r="AL34" s="219">
        <f t="shared" si="71"/>
        <v>0.13154565556985032</v>
      </c>
      <c r="AM34" s="219">
        <f t="shared" si="71"/>
        <v>0.16261350570701338</v>
      </c>
      <c r="AN34" s="219">
        <f t="shared" si="71"/>
        <v>0.21318797190580116</v>
      </c>
      <c r="AO34" s="219">
        <f t="shared" si="71"/>
        <v>0.2709086865789242</v>
      </c>
      <c r="AP34" s="219">
        <f>(AP5+AP7)/AP$3</f>
        <v>0.53545999021166957</v>
      </c>
      <c r="AQ34" s="219">
        <f>(AQ5+AQ7)/AQ$3</f>
        <v>0.91598598107531815</v>
      </c>
      <c r="AS34" s="205" t="s">
        <v>268</v>
      </c>
      <c r="AT34" s="219">
        <f t="shared" ref="AT34:BD34" si="72">(AT5+AT7)/AT$3</f>
        <v>4.4318172218144609E-2</v>
      </c>
      <c r="AU34" s="219">
        <f t="shared" si="72"/>
        <v>4.8384435797815567E-2</v>
      </c>
      <c r="AV34" s="219">
        <f t="shared" si="72"/>
        <v>5.5794528703054319E-2</v>
      </c>
      <c r="AW34" s="219">
        <f t="shared" si="72"/>
        <v>5.9183370418907345E-2</v>
      </c>
      <c r="AX34" s="219">
        <f t="shared" si="72"/>
        <v>6.9591272084495101E-2</v>
      </c>
      <c r="AY34" s="219">
        <f t="shared" si="72"/>
        <v>7.7914196726708213E-2</v>
      </c>
      <c r="AZ34" s="219">
        <f t="shared" si="72"/>
        <v>0.10368905962428517</v>
      </c>
      <c r="BA34" s="219">
        <f t="shared" si="72"/>
        <v>0.12593688957652871</v>
      </c>
      <c r="BB34" s="219">
        <f t="shared" si="72"/>
        <v>0.15712981065496515</v>
      </c>
      <c r="BC34" s="219">
        <f t="shared" si="72"/>
        <v>0.1865286737462496</v>
      </c>
      <c r="BD34" s="219">
        <f t="shared" si="72"/>
        <v>0.26904689744369092</v>
      </c>
      <c r="BE34" s="219">
        <f>(BE5+BE7)/BE$3</f>
        <v>0.29688061228289492</v>
      </c>
    </row>
    <row r="35" spans="1:57" ht="12.75" x14ac:dyDescent="0.2">
      <c r="A35" s="211"/>
      <c r="B35" s="212"/>
      <c r="C35" s="212"/>
      <c r="D35" s="577"/>
      <c r="E35" s="577"/>
      <c r="F35" s="577"/>
      <c r="G35" s="577"/>
      <c r="H35" s="577"/>
      <c r="I35" s="577"/>
      <c r="J35" s="577"/>
      <c r="K35" s="577"/>
      <c r="L35" s="577"/>
      <c r="M35" s="577"/>
      <c r="N35" s="573"/>
      <c r="O35" s="573"/>
      <c r="P35" s="573"/>
      <c r="Q35" s="570" t="s">
        <v>306</v>
      </c>
      <c r="R35" s="219">
        <f t="shared" si="70"/>
        <v>5.3804459220638239E-3</v>
      </c>
      <c r="S35" s="219">
        <f t="shared" si="70"/>
        <v>2.6704296134811398E-3</v>
      </c>
      <c r="T35" s="219">
        <f t="shared" si="70"/>
        <v>6.4607943328156498E-3</v>
      </c>
      <c r="U35" s="219">
        <f t="shared" si="70"/>
        <v>2.0533067566477613E-3</v>
      </c>
      <c r="V35" s="219">
        <f t="shared" si="70"/>
        <v>1.1332803458889511E-3</v>
      </c>
      <c r="W35" s="219">
        <f t="shared" si="70"/>
        <v>5.4202096639559304E-4</v>
      </c>
      <c r="X35" s="219">
        <f t="shared" si="70"/>
        <v>5.3581790894372688E-4</v>
      </c>
      <c r="Y35" s="219">
        <f t="shared" si="70"/>
        <v>5.3191890308273222E-4</v>
      </c>
      <c r="Z35" s="219">
        <f t="shared" si="70"/>
        <v>2.3270207081650261E-4</v>
      </c>
      <c r="AA35" s="219">
        <f t="shared" si="70"/>
        <v>4.6677552405665278E-5</v>
      </c>
      <c r="AB35" s="219">
        <f t="shared" si="70"/>
        <v>7.0210245300711948E-6</v>
      </c>
      <c r="AC35" s="219">
        <f t="shared" si="70"/>
        <v>7.9310137943569844E-6</v>
      </c>
      <c r="AE35" s="205" t="s">
        <v>181</v>
      </c>
      <c r="AF35" s="205"/>
      <c r="AG35" s="205"/>
      <c r="AH35" s="205"/>
      <c r="AI35" s="205"/>
      <c r="AJ35" s="205"/>
      <c r="AK35" s="205"/>
      <c r="AL35" s="205"/>
      <c r="AM35" s="205"/>
      <c r="AN35" s="205"/>
      <c r="AO35" s="205"/>
      <c r="AP35" s="205"/>
      <c r="AQ35" s="205"/>
      <c r="AS35" s="205" t="s">
        <v>181</v>
      </c>
      <c r="AT35" s="205"/>
      <c r="AU35" s="205"/>
      <c r="AV35" s="205"/>
      <c r="AW35" s="205"/>
      <c r="AX35" s="205"/>
      <c r="AY35" s="205"/>
      <c r="AZ35" s="205"/>
      <c r="BA35" s="205"/>
      <c r="BB35" s="205"/>
      <c r="BC35" s="205"/>
      <c r="BD35" s="205"/>
      <c r="BE35" s="205"/>
    </row>
    <row r="36" spans="1:57" ht="12.75" x14ac:dyDescent="0.2">
      <c r="A36" s="211"/>
      <c r="B36" s="212"/>
      <c r="C36" s="212"/>
      <c r="D36" s="577"/>
      <c r="E36" s="577"/>
      <c r="F36" s="577"/>
      <c r="G36" s="577"/>
      <c r="H36" s="577"/>
      <c r="I36" s="577"/>
      <c r="J36" s="577"/>
      <c r="K36" s="577"/>
      <c r="L36" s="577"/>
      <c r="M36" s="577"/>
      <c r="N36" s="573"/>
      <c r="O36" s="573"/>
      <c r="P36" s="573"/>
      <c r="Q36" s="570" t="s">
        <v>307</v>
      </c>
      <c r="R36" s="219">
        <f t="shared" si="70"/>
        <v>2.9185590827319443E-2</v>
      </c>
      <c r="S36" s="219">
        <f t="shared" si="70"/>
        <v>4.7131047544950254E-2</v>
      </c>
      <c r="T36" s="219">
        <f t="shared" si="70"/>
        <v>4.1757376858592467E-2</v>
      </c>
      <c r="U36" s="219">
        <f t="shared" si="70"/>
        <v>4.5527050908420651E-2</v>
      </c>
      <c r="V36" s="219">
        <f t="shared" si="70"/>
        <v>4.3944655036698442E-2</v>
      </c>
      <c r="W36" s="219">
        <f t="shared" si="70"/>
        <v>3.3270506994504755E-2</v>
      </c>
      <c r="X36" s="219">
        <f t="shared" si="70"/>
        <v>2.6705149925856597E-2</v>
      </c>
      <c r="Y36" s="219">
        <f t="shared" si="70"/>
        <v>2.2605366374815763E-2</v>
      </c>
      <c r="Z36" s="219">
        <f t="shared" si="70"/>
        <v>8.6041922526446692E-3</v>
      </c>
      <c r="AA36" s="219">
        <f t="shared" si="70"/>
        <v>7.2080151016892216E-5</v>
      </c>
      <c r="AB36" s="219">
        <f t="shared" si="70"/>
        <v>7.8133489147662349E-5</v>
      </c>
      <c r="AC36" s="219">
        <f t="shared" si="70"/>
        <v>8.4297957714747049E-5</v>
      </c>
      <c r="AE36" s="201" t="s">
        <v>104</v>
      </c>
      <c r="AF36" s="201"/>
      <c r="AG36" s="201"/>
      <c r="AH36" s="201"/>
      <c r="AI36" s="201"/>
      <c r="AJ36" s="201"/>
      <c r="AK36" s="201"/>
      <c r="AL36" s="201"/>
      <c r="AM36" s="201"/>
      <c r="AN36" s="201"/>
      <c r="AO36" s="201"/>
      <c r="AP36" s="201"/>
      <c r="AQ36" s="201"/>
      <c r="AS36" s="201" t="s">
        <v>104</v>
      </c>
      <c r="AT36" s="201"/>
      <c r="AU36" s="201"/>
      <c r="AV36" s="201"/>
      <c r="AW36" s="201"/>
      <c r="AX36" s="201"/>
      <c r="AY36" s="201"/>
      <c r="AZ36" s="201"/>
      <c r="BA36" s="201"/>
      <c r="BB36" s="201"/>
      <c r="BC36" s="201"/>
      <c r="BD36" s="201"/>
      <c r="BE36" s="201"/>
    </row>
    <row r="37" spans="1:57" ht="12.75" x14ac:dyDescent="0.2">
      <c r="A37" s="209"/>
      <c r="B37" s="210"/>
      <c r="C37" s="210"/>
      <c r="D37" s="576"/>
      <c r="E37" s="576"/>
      <c r="F37" s="576"/>
      <c r="G37" s="576"/>
      <c r="H37" s="576"/>
      <c r="I37" s="576"/>
      <c r="J37" s="576"/>
      <c r="K37" s="576"/>
      <c r="L37" s="576"/>
      <c r="M37" s="576"/>
      <c r="N37" s="573"/>
      <c r="O37" s="573"/>
      <c r="P37" s="573"/>
      <c r="Q37" s="570" t="s">
        <v>309</v>
      </c>
      <c r="R37" s="219">
        <f t="shared" si="70"/>
        <v>2.2621393565486383E-2</v>
      </c>
      <c r="S37" s="219">
        <f t="shared" si="70"/>
        <v>7.2588986670967196E-3</v>
      </c>
      <c r="T37" s="219">
        <f t="shared" si="70"/>
        <v>6.4184711514027578E-3</v>
      </c>
      <c r="U37" s="219">
        <f t="shared" si="70"/>
        <v>7.0063154690586464E-8</v>
      </c>
      <c r="V37" s="219">
        <f t="shared" si="70"/>
        <v>6.9313992017048926E-8</v>
      </c>
      <c r="W37" s="219">
        <f t="shared" si="70"/>
        <v>6.9603621521182464E-8</v>
      </c>
      <c r="X37" s="219">
        <f t="shared" si="70"/>
        <v>6.7942182901413123E-8</v>
      </c>
      <c r="Y37" s="219">
        <f t="shared" si="70"/>
        <v>6.6889138030919821E-8</v>
      </c>
      <c r="Z37" s="219">
        <f t="shared" si="70"/>
        <v>6.4399918916496056E-8</v>
      </c>
      <c r="AA37" s="219">
        <f t="shared" si="70"/>
        <v>6.2840116459858074E-8</v>
      </c>
      <c r="AB37" s="219">
        <f t="shared" si="70"/>
        <v>7.021024530071195E-8</v>
      </c>
      <c r="AC37" s="219">
        <f t="shared" si="70"/>
        <v>7.9310137943569842E-8</v>
      </c>
      <c r="AE37" s="205" t="s">
        <v>20</v>
      </c>
      <c r="AF37" s="219">
        <f t="shared" ref="AF37:AQ45" si="73">AF9/AF$8</f>
        <v>0.77604484324903356</v>
      </c>
      <c r="AG37" s="219">
        <f t="shared" si="73"/>
        <v>0.694080913019545</v>
      </c>
      <c r="AH37" s="219">
        <f t="shared" si="73"/>
        <v>0.66755769496138961</v>
      </c>
      <c r="AI37" s="219">
        <f t="shared" si="73"/>
        <v>0.65454606693423378</v>
      </c>
      <c r="AJ37" s="219">
        <f t="shared" si="73"/>
        <v>0.61952867479111051</v>
      </c>
      <c r="AK37" s="219">
        <f t="shared" si="73"/>
        <v>0.60660512030331071</v>
      </c>
      <c r="AL37" s="219">
        <f t="shared" si="73"/>
        <v>0.5608554622966625</v>
      </c>
      <c r="AM37" s="219">
        <f t="shared" si="73"/>
        <v>0.53383115759278565</v>
      </c>
      <c r="AN37" s="219">
        <f t="shared" si="73"/>
        <v>0.50960887913195096</v>
      </c>
      <c r="AO37" s="219">
        <f t="shared" si="73"/>
        <v>0.49521678589577628</v>
      </c>
      <c r="AP37" s="219">
        <f t="shared" ref="AP37" si="74">AP9/AP$8</f>
        <v>0.40943509245427229</v>
      </c>
      <c r="AQ37" s="219">
        <f t="shared" si="73"/>
        <v>0.31359596460559275</v>
      </c>
      <c r="AS37" s="205" t="s">
        <v>20</v>
      </c>
      <c r="AT37" s="219">
        <f t="shared" ref="AT37:BE45" si="75">AT9/AT$8</f>
        <v>0.77604484324903356</v>
      </c>
      <c r="AU37" s="219">
        <f t="shared" si="75"/>
        <v>0.694080913019545</v>
      </c>
      <c r="AV37" s="219">
        <f t="shared" si="75"/>
        <v>0.66755769496138961</v>
      </c>
      <c r="AW37" s="219">
        <f>AW9/AW$8</f>
        <v>0.65271343583053132</v>
      </c>
      <c r="AX37" s="219">
        <f t="shared" ref="AX37:BE37" si="76">AX9/AX$8</f>
        <v>0.61925895221428851</v>
      </c>
      <c r="AY37" s="219">
        <f t="shared" si="76"/>
        <v>0.60635273044699911</v>
      </c>
      <c r="AZ37" s="219">
        <f t="shared" si="76"/>
        <v>0.56074137173153937</v>
      </c>
      <c r="BA37" s="219">
        <f t="shared" si="76"/>
        <v>0.53372519031689503</v>
      </c>
      <c r="BB37" s="219">
        <f t="shared" si="76"/>
        <v>0.50951198447788582</v>
      </c>
      <c r="BC37" s="219">
        <f t="shared" si="76"/>
        <v>0.49384313978850081</v>
      </c>
      <c r="BD37" s="219">
        <f t="shared" si="76"/>
        <v>0.40834342000263324</v>
      </c>
      <c r="BE37" s="219">
        <f t="shared" si="76"/>
        <v>0.3127799276386139</v>
      </c>
    </row>
    <row r="38" spans="1:57" ht="12.75" x14ac:dyDescent="0.2">
      <c r="A38" s="199" t="s">
        <v>42</v>
      </c>
      <c r="B38" s="200">
        <f>'Bilan 2015'!$C$34*(1-SUM('Bilan 2015'!$M$26:$P$34)/'Bilan 2015'!$D$30)+'Bilan 2015'!$C$46</f>
        <v>5.5315230259769379</v>
      </c>
      <c r="C38" s="200">
        <f>'Bilan 2020'!$C$34*(1-SUM('Bilan 2020'!$M$26:$P$34)/'Bilan 2020'!$D$30)+'Bilan 2020'!$C$46</f>
        <v>49.830275396336631</v>
      </c>
      <c r="D38" s="200">
        <f>'Bilan 2023 réel'!$C$34*(1-SUM('Bilan 2023 réel'!$M$26:$P$34)/'Bilan 2023 réel'!$D$30)+'Bilan 2023 réel'!$C$46</f>
        <v>43.903847385745323</v>
      </c>
      <c r="E38" s="200">
        <f>'Bilan 2025 AMS'!$C$34*(1-SUM('Bilan 2025 AMS'!$M$26:$P$34)/'Bilan 2025 AMS'!$D$30)+'Bilan 2025 AMS'!$C$46</f>
        <v>46.39845744407102</v>
      </c>
      <c r="F38" s="200">
        <f>'Bilan 2028 AMS'!$C$34*(1-SUM('Bilan 2028 AMS'!$M$26:$P$34)/'Bilan 2028 AMS'!$D$30)+'Bilan 2028 AMS'!$C$46</f>
        <v>31.56033221100661</v>
      </c>
      <c r="G38" s="200">
        <f>'Bilan 2030 AMS'!$C$34*(1-SUM('Bilan 2030 AMS'!$M$26:$P$34)/'Bilan 2030 AMS'!$D$30)+'Bilan 2030 AMS'!$C$46</f>
        <v>22.464942871093751</v>
      </c>
      <c r="H38" s="200">
        <f>'Bilan 2033 AMS'!$C$34*(1-SUM('Bilan 2033 AMS'!$M$26:$P$34)/'Bilan 2033 AMS'!$D$30)+'Bilan 2033 AMS'!$C$46</f>
        <v>16.733972167968751</v>
      </c>
      <c r="I38" s="200">
        <f>'Bilan 2035 AMS'!$C$34*(1-SUM('Bilan 2035 AMS'!$M$26:$P$34)/'Bilan 2035 AMS'!$D$30)+'Bilan 2035 AMS'!$C$46</f>
        <v>13.10897607421875</v>
      </c>
      <c r="J38" s="200">
        <f>'Bilan 2038 AMS'!$C$34*(1-SUM('Bilan 2038 AMS'!$M$26:$P$34)/'Bilan 2038 AMS'!$D$30)+'Bilan 2038 AMS'!$C$46</f>
        <v>12.531065673828124</v>
      </c>
      <c r="K38" s="200">
        <f>'Bilan 2040 AMS'!$C$34*(1-SUM('Bilan 2040 AMS'!$M$26:$P$34)/'Bilan 2040 AMS'!$D$30)+'Bilan 2040 AMS'!$C$46</f>
        <v>12.152793945312501</v>
      </c>
      <c r="L38" s="200">
        <f>'Bilan 2045 AMS'!$C$34*(1-SUM('Bilan 2045 AMS'!$M$26:$P$34)/'Bilan 2045 AMS'!$D$30)+'Bilan 2045 AMS'!$C$46</f>
        <v>7.2040588378906256E-2</v>
      </c>
      <c r="M38" s="200">
        <f>'Bilan 2050 AMS'!$C$34*(1-SUM('Bilan 2050 AMS'!$M$26:$P$34)/'Bilan 2050 AMS'!$D$30)+'Bilan 2050 AMS'!$C$46</f>
        <v>0</v>
      </c>
      <c r="N38" s="216"/>
      <c r="O38" s="216">
        <f>G38-'Bilan 2030 AMS'!$C$46</f>
        <v>0</v>
      </c>
      <c r="P38" s="216"/>
      <c r="Q38" s="570" t="s">
        <v>17</v>
      </c>
      <c r="R38" s="219">
        <f t="shared" si="70"/>
        <v>2.0361553906570299E-2</v>
      </c>
      <c r="S38" s="219">
        <f t="shared" si="70"/>
        <v>3.3815750462641292E-2</v>
      </c>
      <c r="T38" s="219">
        <f t="shared" si="70"/>
        <v>3.9934671731383743E-2</v>
      </c>
      <c r="U38" s="219">
        <f t="shared" si="70"/>
        <v>4.4633742659596909E-2</v>
      </c>
      <c r="V38" s="219">
        <f t="shared" si="70"/>
        <v>5.1946455670528649E-2</v>
      </c>
      <c r="W38" s="219">
        <f t="shared" si="70"/>
        <v>5.7222671710034381E-2</v>
      </c>
      <c r="X38" s="219">
        <f t="shared" si="70"/>
        <v>8.1525150840369778E-2</v>
      </c>
      <c r="Y38" s="219">
        <f t="shared" si="70"/>
        <v>9.6515708996548183E-2</v>
      </c>
      <c r="Z38" s="219">
        <f t="shared" si="70"/>
        <v>0.11311410404859705</v>
      </c>
      <c r="AA38" s="219">
        <f t="shared" si="70"/>
        <v>0.12345129878012247</v>
      </c>
      <c r="AB38" s="219">
        <f t="shared" si="70"/>
        <v>0.16459505228873864</v>
      </c>
      <c r="AC38" s="219">
        <f t="shared" si="70"/>
        <v>0.22004603410050116</v>
      </c>
      <c r="AE38" s="205" t="s">
        <v>306</v>
      </c>
      <c r="AF38" s="219">
        <f t="shared" si="73"/>
        <v>6.1271502331526019E-3</v>
      </c>
      <c r="AG38" s="219">
        <f t="shared" si="73"/>
        <v>2.9085724808014545E-3</v>
      </c>
      <c r="AH38" s="219">
        <f t="shared" si="73"/>
        <v>6.5279536828712834E-3</v>
      </c>
      <c r="AI38" s="219">
        <f t="shared" si="73"/>
        <v>2.1775585559635408E-3</v>
      </c>
      <c r="AJ38" s="219">
        <f t="shared" si="73"/>
        <v>1.1559181467711355E-3</v>
      </c>
      <c r="AK38" s="219">
        <f t="shared" si="73"/>
        <v>5.3826402223849793E-4</v>
      </c>
      <c r="AL38" s="219">
        <f t="shared" si="73"/>
        <v>5.0921812161712271E-4</v>
      </c>
      <c r="AM38" s="219">
        <f t="shared" si="73"/>
        <v>4.9203745556170963E-4</v>
      </c>
      <c r="AN38" s="219">
        <f t="shared" si="73"/>
        <v>2.0598380580032181E-4</v>
      </c>
      <c r="AO38" s="219">
        <f t="shared" si="73"/>
        <v>3.6136854215121293E-5</v>
      </c>
      <c r="AP38" s="219">
        <f t="shared" ref="AP38" si="77">AP10/AP$8</f>
        <v>0</v>
      </c>
      <c r="AQ38" s="219">
        <f t="shared" si="73"/>
        <v>0</v>
      </c>
      <c r="AS38" s="205" t="s">
        <v>306</v>
      </c>
      <c r="AT38" s="219">
        <f t="shared" si="75"/>
        <v>6.1271502331526019E-3</v>
      </c>
      <c r="AU38" s="219">
        <f t="shared" si="75"/>
        <v>2.9085724808014545E-3</v>
      </c>
      <c r="AV38" s="219">
        <f t="shared" si="75"/>
        <v>6.5279536828712834E-3</v>
      </c>
      <c r="AW38" s="219">
        <f>AW10/AW$8</f>
        <v>3.5713869454373874E-3</v>
      </c>
      <c r="AX38" s="219">
        <f t="shared" ref="AX38:BE38" si="78">AX10/AX$8</f>
        <v>1.1554148977145078E-3</v>
      </c>
      <c r="AY38" s="219">
        <f t="shared" si="78"/>
        <v>5.3804006702499346E-4</v>
      </c>
      <c r="AZ38" s="219">
        <f t="shared" si="78"/>
        <v>5.0911453524385593E-4</v>
      </c>
      <c r="BA38" s="219">
        <f t="shared" si="78"/>
        <v>4.9193978447589835E-4</v>
      </c>
      <c r="BB38" s="219">
        <f t="shared" si="78"/>
        <v>2.0594464100076013E-4</v>
      </c>
      <c r="BC38" s="219">
        <f t="shared" si="78"/>
        <v>2.2095847276549629E-4</v>
      </c>
      <c r="BD38" s="219">
        <f t="shared" si="78"/>
        <v>1.77752627422213E-4</v>
      </c>
      <c r="BE38" s="219">
        <f t="shared" si="78"/>
        <v>1.7347947870973948E-4</v>
      </c>
    </row>
    <row r="39" spans="1:57" ht="12.75" x14ac:dyDescent="0.2">
      <c r="B39" s="215">
        <f>B2-'Bilan 2015'!$C$5</f>
        <v>5.9240456114082463E-3</v>
      </c>
      <c r="C39" s="215">
        <f>C2-'Bilan 2020'!$C$5</f>
        <v>0</v>
      </c>
      <c r="D39" s="215">
        <f>D2-'Bilan 2023 réel'!$C$5</f>
        <v>-5.9426549978579715</v>
      </c>
      <c r="E39" s="215">
        <f>E2-'Bilan 2025 AMS'!$C$5</f>
        <v>0</v>
      </c>
      <c r="F39" s="215">
        <f>F2-'Bilan 2028 AMS'!$C$5</f>
        <v>0</v>
      </c>
      <c r="G39" s="215">
        <f>G2-'Bilan 2030 AMS'!$C$5</f>
        <v>0</v>
      </c>
      <c r="H39" s="215">
        <f>H2-'Bilan 2033 AMS'!$C$5</f>
        <v>0</v>
      </c>
      <c r="I39" s="215">
        <f>I2-'Bilan 2035 AMS'!$C$5</f>
        <v>0</v>
      </c>
      <c r="J39" s="215">
        <f>J2-'Bilan 2038 AMS'!$C$5</f>
        <v>0</v>
      </c>
      <c r="K39" s="215">
        <f>K2-'Bilan 2040 AMS'!$C$5</f>
        <v>0</v>
      </c>
      <c r="L39" s="215">
        <f>L2-'Bilan 2045 AMS'!$C$5</f>
        <v>0.1835488287838416</v>
      </c>
      <c r="M39" s="215">
        <f>M2-'Bilan 2050 AMS'!$C$5</f>
        <v>0.44183816383656449</v>
      </c>
      <c r="N39" s="215"/>
      <c r="Q39" s="570" t="s">
        <v>279</v>
      </c>
      <c r="R39" s="219">
        <f t="shared" si="70"/>
        <v>8.973441224850694E-3</v>
      </c>
      <c r="S39" s="219">
        <f t="shared" si="70"/>
        <v>1.4902774642990954E-2</v>
      </c>
      <c r="T39" s="219">
        <f t="shared" si="70"/>
        <v>1.6932753282334193E-2</v>
      </c>
      <c r="U39" s="219">
        <f t="shared" si="70"/>
        <v>2.4140591056652866E-2</v>
      </c>
      <c r="V39" s="219">
        <f t="shared" si="70"/>
        <v>3.8767175080953904E-2</v>
      </c>
      <c r="W39" s="219">
        <f t="shared" si="70"/>
        <v>4.8794767246091414E-2</v>
      </c>
      <c r="X39" s="219">
        <f t="shared" si="70"/>
        <v>5.8479050794770469E-2</v>
      </c>
      <c r="Y39" s="219">
        <f t="shared" si="70"/>
        <v>6.4666283885568485E-2</v>
      </c>
      <c r="Z39" s="219">
        <f t="shared" si="70"/>
        <v>7.455260846092493E-2</v>
      </c>
      <c r="AA39" s="219">
        <f t="shared" si="70"/>
        <v>8.0708262719139875E-2</v>
      </c>
      <c r="AB39" s="219">
        <f t="shared" si="70"/>
        <v>0.1059712122711826</v>
      </c>
      <c r="AC39" s="219">
        <f t="shared" si="70"/>
        <v>0.14026460990833697</v>
      </c>
      <c r="AE39" s="205" t="s">
        <v>307</v>
      </c>
      <c r="AF39" s="219">
        <f t="shared" si="73"/>
        <v>4.0007013777969315E-2</v>
      </c>
      <c r="AG39" s="219">
        <f t="shared" si="73"/>
        <v>5.6350954748359057E-2</v>
      </c>
      <c r="AH39" s="219">
        <f t="shared" si="73"/>
        <v>4.6635432491328045E-2</v>
      </c>
      <c r="AI39" s="219">
        <f t="shared" si="73"/>
        <v>5.7738546419025129E-2</v>
      </c>
      <c r="AJ39" s="219">
        <f t="shared" si="73"/>
        <v>5.0605353270552822E-2</v>
      </c>
      <c r="AK39" s="219">
        <f t="shared" si="73"/>
        <v>3.5147221708599824E-2</v>
      </c>
      <c r="AL39" s="219">
        <f t="shared" si="73"/>
        <v>2.6442928853889224E-2</v>
      </c>
      <c r="AM39" s="219">
        <f t="shared" si="73"/>
        <v>2.1560674763115167E-2</v>
      </c>
      <c r="AN39" s="219">
        <f t="shared" si="73"/>
        <v>6.7391043111291408E-3</v>
      </c>
      <c r="AO39" s="219">
        <f t="shared" si="73"/>
        <v>1.8523940393533497E-6</v>
      </c>
      <c r="AP39" s="219">
        <f t="shared" ref="AP39" si="79">AP11/AP$8</f>
        <v>1.6444717639183379E-6</v>
      </c>
      <c r="AQ39" s="219">
        <f t="shared" si="73"/>
        <v>0</v>
      </c>
      <c r="AS39" s="205" t="s">
        <v>307</v>
      </c>
      <c r="AT39" s="219">
        <f t="shared" si="75"/>
        <v>4.0007013777969315E-2</v>
      </c>
      <c r="AU39" s="219">
        <f t="shared" si="75"/>
        <v>5.6350954748359057E-2</v>
      </c>
      <c r="AV39" s="219">
        <f t="shared" si="75"/>
        <v>4.6635432491328045E-2</v>
      </c>
      <c r="AW39" s="219">
        <f>AW11/AW$8</f>
        <v>5.7576887123529423E-2</v>
      </c>
      <c r="AX39" s="219">
        <f t="shared" ref="AX39:BE39" si="80">AX11/AX$8</f>
        <v>5.058332135041655E-2</v>
      </c>
      <c r="AY39" s="219">
        <f t="shared" si="80"/>
        <v>3.5132598023537048E-2</v>
      </c>
      <c r="AZ39" s="219">
        <f t="shared" si="80"/>
        <v>2.643754976979491E-2</v>
      </c>
      <c r="BA39" s="219">
        <f t="shared" si="80"/>
        <v>2.1556394896834391E-2</v>
      </c>
      <c r="BB39" s="219">
        <f t="shared" si="80"/>
        <v>6.737822969285082E-3</v>
      </c>
      <c r="BC39" s="219">
        <f t="shared" si="80"/>
        <v>1.4812221035182106E-3</v>
      </c>
      <c r="BD39" s="219">
        <f t="shared" si="80"/>
        <v>1.4236611065039709E-3</v>
      </c>
      <c r="BE39" s="219">
        <f t="shared" si="80"/>
        <v>1.3878358296779158E-3</v>
      </c>
    </row>
    <row r="40" spans="1:57" ht="12.75" x14ac:dyDescent="0.2">
      <c r="A40" s="193" t="s">
        <v>310</v>
      </c>
      <c r="B40" s="222"/>
      <c r="M40" s="222"/>
      <c r="N40" s="221"/>
      <c r="Q40" s="570" t="s">
        <v>415</v>
      </c>
      <c r="R40" s="219">
        <f t="shared" si="70"/>
        <v>2.4880905214358741E-2</v>
      </c>
      <c r="S40" s="219">
        <f t="shared" si="70"/>
        <v>4.1321329691929462E-2</v>
      </c>
      <c r="T40" s="219">
        <f t="shared" si="70"/>
        <v>4.816510894919631E-2</v>
      </c>
      <c r="U40" s="219">
        <f t="shared" si="70"/>
        <v>3.8053060604112787E-2</v>
      </c>
      <c r="V40" s="219">
        <f t="shared" si="70"/>
        <v>3.8445787405723596E-2</v>
      </c>
      <c r="W40" s="219">
        <f t="shared" si="70"/>
        <v>3.9013048857265704E-2</v>
      </c>
      <c r="X40" s="219">
        <f t="shared" si="70"/>
        <v>3.6282641239166358E-2</v>
      </c>
      <c r="Y40" s="219">
        <f t="shared" si="70"/>
        <v>3.4971966214596473E-2</v>
      </c>
      <c r="Z40" s="219">
        <f t="shared" si="70"/>
        <v>3.3724922022884102E-2</v>
      </c>
      <c r="AA40" s="219">
        <f t="shared" si="70"/>
        <v>3.2940177391900125E-2</v>
      </c>
      <c r="AB40" s="219">
        <f t="shared" si="70"/>
        <v>3.4850591010155883E-2</v>
      </c>
      <c r="AC40" s="219">
        <f t="shared" si="70"/>
        <v>3.8698323017531816E-2</v>
      </c>
      <c r="AE40" s="205" t="s">
        <v>309</v>
      </c>
      <c r="AF40" s="219">
        <f t="shared" si="73"/>
        <v>1.8890013217206594E-2</v>
      </c>
      <c r="AG40" s="219">
        <f t="shared" si="73"/>
        <v>5.7328032960696287E-3</v>
      </c>
      <c r="AH40" s="219">
        <f t="shared" si="73"/>
        <v>4.9346619918259954E-3</v>
      </c>
      <c r="AI40" s="219">
        <f t="shared" si="73"/>
        <v>0</v>
      </c>
      <c r="AJ40" s="219">
        <f t="shared" si="73"/>
        <v>0</v>
      </c>
      <c r="AK40" s="219">
        <f t="shared" si="73"/>
        <v>0</v>
      </c>
      <c r="AL40" s="219">
        <f t="shared" si="73"/>
        <v>0</v>
      </c>
      <c r="AM40" s="219">
        <f t="shared" si="73"/>
        <v>0</v>
      </c>
      <c r="AN40" s="219">
        <f t="shared" si="73"/>
        <v>0</v>
      </c>
      <c r="AO40" s="219">
        <f t="shared" si="73"/>
        <v>0</v>
      </c>
      <c r="AP40" s="219">
        <f t="shared" ref="AP40" si="81">AP12/AP$8</f>
        <v>0</v>
      </c>
      <c r="AQ40" s="219">
        <f t="shared" si="73"/>
        <v>0</v>
      </c>
      <c r="AS40" s="205" t="s">
        <v>309</v>
      </c>
      <c r="AT40" s="219">
        <f t="shared" si="75"/>
        <v>1.8890013217206594E-2</v>
      </c>
      <c r="AU40" s="219">
        <f t="shared" si="75"/>
        <v>5.7328032960696287E-3</v>
      </c>
      <c r="AV40" s="219">
        <f t="shared" si="75"/>
        <v>4.9346619918259954E-3</v>
      </c>
      <c r="AW40" s="219">
        <f t="shared" si="75"/>
        <v>1.3999252277888078E-3</v>
      </c>
      <c r="AX40" s="219">
        <f t="shared" si="75"/>
        <v>4.3536738136136266E-4</v>
      </c>
      <c r="AY40" s="219">
        <f t="shared" si="75"/>
        <v>4.160694459441144E-4</v>
      </c>
      <c r="AZ40" s="219">
        <f t="shared" si="75"/>
        <v>2.0342240165737449E-4</v>
      </c>
      <c r="BA40" s="219">
        <f t="shared" si="75"/>
        <v>1.9850335519636014E-4</v>
      </c>
      <c r="BB40" s="219">
        <f t="shared" si="75"/>
        <v>1.9013533325829202E-4</v>
      </c>
      <c r="BC40" s="219">
        <f t="shared" si="75"/>
        <v>1.8492185596262665E-4</v>
      </c>
      <c r="BD40" s="219">
        <f t="shared" si="75"/>
        <v>1.77752627422213E-4</v>
      </c>
      <c r="BE40" s="219">
        <f t="shared" si="75"/>
        <v>1.7347947870973948E-4</v>
      </c>
    </row>
    <row r="41" spans="1:57" ht="12.75" x14ac:dyDescent="0.2">
      <c r="A41" s="193" t="s">
        <v>311</v>
      </c>
      <c r="B41" s="222">
        <f>B2-SUM('Bilan 2015'!D51:D55)</f>
        <v>255.89471571902516</v>
      </c>
      <c r="C41" s="222">
        <f>C2-SUM('Bilan 2020'!E51:E55)</f>
        <v>2389.4727507478074</v>
      </c>
      <c r="D41" s="222">
        <f>D2-SUM('Bilan 2023 réel'!F51:F55)</f>
        <v>2530.4302210668016</v>
      </c>
      <c r="E41" s="222">
        <f>E2-SUM('Bilan 2025 AMS'!G51:G55)</f>
        <v>2801.5112440082194</v>
      </c>
      <c r="F41" s="222">
        <f>F2-SUM('Bilan 2028 AMS'!B51:B55)</f>
        <v>2732.5762926742873</v>
      </c>
      <c r="G41" s="222">
        <f>G2-SUM('Bilan 2030 AMS'!H51:H55)</f>
        <v>2691.7283403348679</v>
      </c>
      <c r="H41" s="222">
        <f>H2-SUM('Bilan 2033 AMS'!D51:D55)</f>
        <v>2649.1369802195763</v>
      </c>
      <c r="I41" s="222">
        <f>I2-SUM('Bilan 2035 AMS'!E51:E55)</f>
        <v>2501.1794281584889</v>
      </c>
      <c r="J41" s="222">
        <f>J2-SUM('Bilan 2038 AMS'!F51:F55)</f>
        <v>2628.2756092433615</v>
      </c>
      <c r="K41" s="222">
        <f>K2-SUM('Bilan 2040 AMS'!G51:G55)</f>
        <v>2626.8425941457863</v>
      </c>
      <c r="L41" s="222">
        <f>L2-SUM('Bilan 2045 AMS'!H51:H55)</f>
        <v>2426.1916481055573</v>
      </c>
      <c r="M41" s="222">
        <f>M2-SUM('Bilan 2050 AMS'!I51:I55)</f>
        <v>2259.5593960248952</v>
      </c>
      <c r="N41" s="221"/>
      <c r="Q41" s="570" t="s">
        <v>282</v>
      </c>
      <c r="R41" s="219">
        <f t="shared" si="70"/>
        <v>2.6573416391887612E-2</v>
      </c>
      <c r="S41" s="219">
        <f t="shared" si="70"/>
        <v>2.0990424289473866E-2</v>
      </c>
      <c r="T41" s="219">
        <f t="shared" si="70"/>
        <v>2.4846692797668046E-2</v>
      </c>
      <c r="U41" s="219">
        <f t="shared" si="70"/>
        <v>1.8761047542067671E-2</v>
      </c>
      <c r="V41" s="219">
        <f t="shared" si="70"/>
        <v>1.7291520577601582E-2</v>
      </c>
      <c r="W41" s="219">
        <f t="shared" si="70"/>
        <v>1.6785320298181597E-2</v>
      </c>
      <c r="X41" s="219">
        <f t="shared" si="70"/>
        <v>1.8493041048740524E-2</v>
      </c>
      <c r="Y41" s="219">
        <f t="shared" si="70"/>
        <v>1.9433620733333806E-2</v>
      </c>
      <c r="Z41" s="219">
        <f t="shared" si="70"/>
        <v>2.0877634793454006E-2</v>
      </c>
      <c r="AA41" s="219">
        <f t="shared" si="70"/>
        <v>2.1530313474346797E-2</v>
      </c>
      <c r="AB41" s="219">
        <f t="shared" si="70"/>
        <v>2.386316720615678E-2</v>
      </c>
      <c r="AC41" s="219">
        <f t="shared" si="70"/>
        <v>2.6197160976155091E-2</v>
      </c>
      <c r="AE41" s="202" t="s">
        <v>21</v>
      </c>
      <c r="AF41" s="202"/>
      <c r="AG41" s="219">
        <f t="shared" si="73"/>
        <v>5.1960185794578144E-3</v>
      </c>
      <c r="AH41" s="219">
        <f t="shared" si="73"/>
        <v>6.4484069721056064E-3</v>
      </c>
      <c r="AI41" s="219">
        <f t="shared" si="73"/>
        <v>8.3260121364273944E-3</v>
      </c>
      <c r="AJ41" s="219">
        <f t="shared" si="73"/>
        <v>1.0892330373478334E-2</v>
      </c>
      <c r="AK41" s="219">
        <f t="shared" si="73"/>
        <v>1.0493275770687547E-2</v>
      </c>
      <c r="AL41" s="219">
        <f t="shared" si="73"/>
        <v>8.6098395922846755E-3</v>
      </c>
      <c r="AM41" s="219">
        <f t="shared" si="73"/>
        <v>7.316770737282291E-3</v>
      </c>
      <c r="AN41" s="219">
        <f t="shared" si="73"/>
        <v>3.9423400953212933E-3</v>
      </c>
      <c r="AO41" s="219">
        <f t="shared" si="73"/>
        <v>8.6080766248853907E-5</v>
      </c>
      <c r="AP41" s="219">
        <f t="shared" ref="AP41" si="82">AP13/AP$8</f>
        <v>8.5487378153196355E-5</v>
      </c>
      <c r="AQ41" s="219">
        <f t="shared" si="73"/>
        <v>8.4132996398539889E-5</v>
      </c>
      <c r="AS41" s="202" t="s">
        <v>21</v>
      </c>
      <c r="AT41" s="202"/>
      <c r="AU41" s="219">
        <f t="shared" si="75"/>
        <v>5.1960185794578144E-3</v>
      </c>
      <c r="AV41" s="219">
        <f t="shared" si="75"/>
        <v>6.4484069721056064E-3</v>
      </c>
      <c r="AW41" s="219">
        <f t="shared" si="75"/>
        <v>8.3027005475540729E-3</v>
      </c>
      <c r="AX41" s="219">
        <f t="shared" si="75"/>
        <v>1.088758820812671E-2</v>
      </c>
      <c r="AY41" s="219">
        <f t="shared" si="75"/>
        <v>1.0488909839251496E-2</v>
      </c>
      <c r="AZ41" s="219">
        <f t="shared" si="75"/>
        <v>8.6080881580369271E-3</v>
      </c>
      <c r="BA41" s="219">
        <f t="shared" si="75"/>
        <v>7.3153183337417377E-3</v>
      </c>
      <c r="BB41" s="219">
        <f t="shared" si="75"/>
        <v>3.9415905171734517E-3</v>
      </c>
      <c r="BC41" s="219">
        <f t="shared" si="75"/>
        <v>1.0104512728361258E-3</v>
      </c>
      <c r="BD41" s="219">
        <f t="shared" si="75"/>
        <v>9.7402258117308877E-4</v>
      </c>
      <c r="BE41" s="219">
        <f t="shared" si="75"/>
        <v>9.5131145972187465E-4</v>
      </c>
    </row>
    <row r="42" spans="1:57" ht="12.75" x14ac:dyDescent="0.2">
      <c r="A42" s="193" t="s">
        <v>312</v>
      </c>
      <c r="B42" s="222" t="str">
        <f>('Bilan 2015'!B13)</f>
        <v>Bois énergie</v>
      </c>
      <c r="C42" s="222">
        <f>('Bilan 2020'!C13)</f>
        <v>15.525267102350799</v>
      </c>
      <c r="D42" s="222">
        <f>('Bilan 2023 réel'!$C$13)</f>
        <v>19.77483105751633</v>
      </c>
      <c r="E42" s="222">
        <f>('Bilan 2025 AMS'!$C$13)</f>
        <v>13.326474331194433</v>
      </c>
      <c r="F42" s="222">
        <f>('Bilan 2028 AMS'!$C$13)</f>
        <v>13.303812367551458</v>
      </c>
      <c r="G42" s="222">
        <f>('Bilan 2030 AMS'!$C$13)</f>
        <v>13.643826551456822</v>
      </c>
      <c r="H42" s="222">
        <f>('Bilan 2033 AMS'!$C$13)</f>
        <v>15.154623225490525</v>
      </c>
      <c r="I42" s="222">
        <f>('Bilan 2035 AMS'!$C$13)</f>
        <v>15.921747993621487</v>
      </c>
      <c r="J42" s="222">
        <f>('Bilan 2038 AMS'!$C$13)</f>
        <v>17.169316423280179</v>
      </c>
      <c r="K42" s="222">
        <f>('Bilan 2040 AMS'!$C$13)</f>
        <v>17.586826213678588</v>
      </c>
      <c r="L42" s="222">
        <f>('Bilan 2045 AMS'!$C$13)</f>
        <v>17.968425297338086</v>
      </c>
      <c r="M42" s="222">
        <f>('Bilan 2050 AMS'!$C$13)</f>
        <v>18.017312138261726</v>
      </c>
      <c r="N42" s="221"/>
      <c r="Q42" s="569" t="s">
        <v>285</v>
      </c>
      <c r="R42" s="201"/>
      <c r="S42" s="201"/>
      <c r="T42" s="201"/>
      <c r="U42" s="201"/>
      <c r="V42" s="201"/>
      <c r="W42" s="201"/>
      <c r="X42" s="201"/>
      <c r="Y42" s="201"/>
      <c r="Z42" s="201"/>
      <c r="AA42" s="201"/>
      <c r="AB42" s="201"/>
      <c r="AC42" s="201"/>
      <c r="AE42" s="205" t="s">
        <v>17</v>
      </c>
      <c r="AF42" s="219">
        <f t="shared" ref="AF42:AF45" si="83">AF14/AF$8</f>
        <v>5.3449221223827795E-2</v>
      </c>
      <c r="AG42" s="219">
        <f t="shared" si="73"/>
        <v>8.3952357055837243E-2</v>
      </c>
      <c r="AH42" s="219">
        <f t="shared" si="73"/>
        <v>9.6514706139898057E-2</v>
      </c>
      <c r="AI42" s="219">
        <f t="shared" si="73"/>
        <v>0.10794712325409116</v>
      </c>
      <c r="AJ42" s="219">
        <f t="shared" si="73"/>
        <v>0.12115947110393896</v>
      </c>
      <c r="AK42" s="219">
        <f t="shared" si="73"/>
        <v>0.13083014757240694</v>
      </c>
      <c r="AL42" s="219">
        <f t="shared" si="73"/>
        <v>0.17834776206592282</v>
      </c>
      <c r="AM42" s="219">
        <f t="shared" si="73"/>
        <v>0.20549155454706025</v>
      </c>
      <c r="AN42" s="219">
        <f t="shared" si="73"/>
        <v>0.23403746656349764</v>
      </c>
      <c r="AO42" s="219">
        <f t="shared" si="73"/>
        <v>0.25100444182097281</v>
      </c>
      <c r="AP42" s="219">
        <f t="shared" ref="AP42" si="84">AP14/AP$8</f>
        <v>0.30591814832046532</v>
      </c>
      <c r="AQ42" s="219">
        <f t="shared" si="73"/>
        <v>0.36602571593205935</v>
      </c>
      <c r="AS42" s="205" t="s">
        <v>17</v>
      </c>
      <c r="AT42" s="219">
        <f t="shared" ref="AT42:AT45" si="85">AT14/AT$8</f>
        <v>5.3449221223827795E-2</v>
      </c>
      <c r="AU42" s="219">
        <f t="shared" si="75"/>
        <v>8.3952357055837243E-2</v>
      </c>
      <c r="AV42" s="219">
        <f t="shared" si="75"/>
        <v>9.6514706139898057E-2</v>
      </c>
      <c r="AW42" s="219">
        <f t="shared" si="75"/>
        <v>0.10764488745186988</v>
      </c>
      <c r="AX42" s="219">
        <f t="shared" si="75"/>
        <v>0.12110672222227732</v>
      </c>
      <c r="AY42" s="219">
        <f t="shared" si="75"/>
        <v>0.13077571314539368</v>
      </c>
      <c r="AZ42" s="219">
        <f t="shared" si="75"/>
        <v>0.17831148213583314</v>
      </c>
      <c r="BA42" s="219">
        <f t="shared" si="75"/>
        <v>0.20545076378401814</v>
      </c>
      <c r="BB42" s="219">
        <f t="shared" si="75"/>
        <v>0.23399296777179765</v>
      </c>
      <c r="BC42" s="219">
        <f t="shared" si="75"/>
        <v>0.25030819871242682</v>
      </c>
      <c r="BD42" s="219">
        <f t="shared" si="75"/>
        <v>0.30510248200086382</v>
      </c>
      <c r="BE42" s="219">
        <f t="shared" si="75"/>
        <v>0.3650732466761456</v>
      </c>
    </row>
    <row r="43" spans="1:57" ht="12.75" x14ac:dyDescent="0.2">
      <c r="A43" s="193" t="s">
        <v>308</v>
      </c>
      <c r="B43" s="222"/>
      <c r="M43" s="222"/>
      <c r="N43" s="221"/>
      <c r="Q43" s="570" t="s">
        <v>287</v>
      </c>
      <c r="R43" s="219">
        <f t="shared" ref="R43:AC48" si="86">R17/R$16</f>
        <v>0.68684247044606483</v>
      </c>
      <c r="S43" s="219">
        <f t="shared" si="86"/>
        <v>0.68302225440697006</v>
      </c>
      <c r="T43" s="219">
        <f t="shared" si="86"/>
        <v>0.599678536993278</v>
      </c>
      <c r="U43" s="219">
        <f t="shared" si="86"/>
        <v>0.52367385542992939</v>
      </c>
      <c r="V43" s="219">
        <f t="shared" si="86"/>
        <v>0.43886635971499516</v>
      </c>
      <c r="W43" s="219">
        <f t="shared" si="86"/>
        <v>0.38832927723264266</v>
      </c>
      <c r="X43" s="219">
        <f t="shared" si="86"/>
        <v>0.34335144729718742</v>
      </c>
      <c r="Y43" s="219">
        <f t="shared" si="86"/>
        <v>0.31498164423235403</v>
      </c>
      <c r="Z43" s="219">
        <f t="shared" si="86"/>
        <v>0.25271720235550638</v>
      </c>
      <c r="AA43" s="219">
        <f t="shared" si="86"/>
        <v>0.21512971439453929</v>
      </c>
      <c r="AB43" s="219">
        <f t="shared" si="86"/>
        <v>0.20093411345405812</v>
      </c>
      <c r="AC43" s="219">
        <f t="shared" si="86"/>
        <v>0.12500713358588247</v>
      </c>
      <c r="AE43" s="205" t="s">
        <v>279</v>
      </c>
      <c r="AF43" s="219">
        <f t="shared" si="83"/>
        <v>2.3555345891911286E-2</v>
      </c>
      <c r="AG43" s="219">
        <f t="shared" si="73"/>
        <v>3.6998234279415447E-2</v>
      </c>
      <c r="AH43" s="219">
        <f t="shared" si="73"/>
        <v>4.092332893523077E-2</v>
      </c>
      <c r="AI43" s="219">
        <f t="shared" si="73"/>
        <v>5.8384244809880609E-2</v>
      </c>
      <c r="AJ43" s="219">
        <f t="shared" si="73"/>
        <v>9.0420229222048426E-2</v>
      </c>
      <c r="AK43" s="219">
        <f t="shared" si="73"/>
        <v>0.11156114191794965</v>
      </c>
      <c r="AL43" s="219">
        <f t="shared" si="73"/>
        <v>0.12793116884148328</v>
      </c>
      <c r="AM43" s="219">
        <f t="shared" si="73"/>
        <v>0.13768095723051907</v>
      </c>
      <c r="AN43" s="219">
        <f t="shared" si="73"/>
        <v>0.15425223721348708</v>
      </c>
      <c r="AO43" s="219">
        <f t="shared" si="73"/>
        <v>0.16409817178383546</v>
      </c>
      <c r="AP43" s="219">
        <f t="shared" ref="AP43" si="87">AP15/AP$8</f>
        <v>0.19695924380767776</v>
      </c>
      <c r="AQ43" s="219">
        <f t="shared" si="73"/>
        <v>0.23331688058591157</v>
      </c>
      <c r="AS43" s="205" t="s">
        <v>279</v>
      </c>
      <c r="AT43" s="219">
        <f t="shared" si="85"/>
        <v>2.3555345891911286E-2</v>
      </c>
      <c r="AU43" s="219">
        <f t="shared" si="75"/>
        <v>3.6998234279415447E-2</v>
      </c>
      <c r="AV43" s="219">
        <f t="shared" si="75"/>
        <v>4.092332893523077E-2</v>
      </c>
      <c r="AW43" s="219">
        <f t="shared" si="75"/>
        <v>5.8220777655451104E-2</v>
      </c>
      <c r="AX43" s="219">
        <f t="shared" si="75"/>
        <v>9.0380863203629924E-2</v>
      </c>
      <c r="AY43" s="219">
        <f t="shared" si="75"/>
        <v>0.11151472473544295</v>
      </c>
      <c r="AZ43" s="219">
        <f t="shared" si="75"/>
        <v>0.12790514477587073</v>
      </c>
      <c r="BA43" s="219">
        <f t="shared" si="75"/>
        <v>0.13765362709856216</v>
      </c>
      <c r="BB43" s="219">
        <f t="shared" si="75"/>
        <v>0.15422290841295866</v>
      </c>
      <c r="BC43" s="219">
        <f t="shared" si="75"/>
        <v>0.16364299170654031</v>
      </c>
      <c r="BD43" s="219">
        <f t="shared" si="75"/>
        <v>0.19643409346144916</v>
      </c>
      <c r="BE43" s="219">
        <f t="shared" si="75"/>
        <v>0.23270974522363816</v>
      </c>
    </row>
    <row r="44" spans="1:57" ht="12.75" x14ac:dyDescent="0.2">
      <c r="A44" s="193" t="s">
        <v>313</v>
      </c>
      <c r="B44" s="222">
        <f>-'Bilan 2015'!$C26</f>
        <v>-0.3</v>
      </c>
      <c r="C44" s="222">
        <f>-'Bilan 2020'!$C26</f>
        <v>-3.0353079388888902</v>
      </c>
      <c r="D44" s="222">
        <f>-'Bilan 2023 réel'!$C26</f>
        <v>-2.8654050566944451</v>
      </c>
      <c r="E44" s="222">
        <f>-'Bilan 2025 AMS'!$C26</f>
        <v>-3.1139937286877846</v>
      </c>
      <c r="F44" s="222">
        <f>-'Bilan 2028 AMS'!$C26</f>
        <v>-4.3596905995520387</v>
      </c>
      <c r="G44" s="222">
        <f>-'Bilan 2030 AMS'!$C26</f>
        <v>-5.5617593110833985</v>
      </c>
      <c r="H44" s="222">
        <f>-'Bilan 2033 AMS'!$C26</f>
        <v>-6.0065134029812235</v>
      </c>
      <c r="I44" s="222">
        <f>-'Bilan 2035 AMS'!$C26</f>
        <v>-6.3205787341877624</v>
      </c>
      <c r="J44" s="222">
        <f>-'Bilan 2038 AMS'!$C26</f>
        <v>-8.2544124688387157</v>
      </c>
      <c r="K44" s="222">
        <f>-'Bilan 2040 AMS'!$C26</f>
        <v>-9.211082811707719</v>
      </c>
      <c r="L44" s="222">
        <f>-'Bilan 2045 AMS'!$C26</f>
        <v>-8.0912599085817618</v>
      </c>
      <c r="M44" s="222">
        <f>-'Bilan 2050 AMS'!$C26</f>
        <v>-8.4106289047241454</v>
      </c>
      <c r="N44" s="221"/>
      <c r="Q44" s="570" t="s">
        <v>289</v>
      </c>
      <c r="R44" s="219">
        <f t="shared" si="86"/>
        <v>0.17381728937350344</v>
      </c>
      <c r="S44" s="219">
        <f t="shared" si="86"/>
        <v>0.18898000220203945</v>
      </c>
      <c r="T44" s="219">
        <f t="shared" si="86"/>
        <v>0.20607124682045896</v>
      </c>
      <c r="U44" s="219">
        <f t="shared" si="86"/>
        <v>0.21060238008537288</v>
      </c>
      <c r="V44" s="219">
        <f t="shared" si="86"/>
        <v>0.21458392122044334</v>
      </c>
      <c r="W44" s="219">
        <f t="shared" si="86"/>
        <v>0.2190813024120076</v>
      </c>
      <c r="X44" s="219">
        <f t="shared" si="86"/>
        <v>0.203339865024765</v>
      </c>
      <c r="Y44" s="219">
        <f t="shared" si="86"/>
        <v>0.19338890172380252</v>
      </c>
      <c r="Z44" s="219">
        <f t="shared" si="86"/>
        <v>0.18463940206883953</v>
      </c>
      <c r="AA44" s="219">
        <f t="shared" si="86"/>
        <v>0.17891143905000065</v>
      </c>
      <c r="AB44" s="219">
        <f t="shared" si="86"/>
        <v>0.16228005128491585</v>
      </c>
      <c r="AC44" s="219">
        <f t="shared" si="86"/>
        <v>0.15583942737573028</v>
      </c>
      <c r="AE44" s="205" t="s">
        <v>415</v>
      </c>
      <c r="AF44" s="219">
        <f t="shared" si="83"/>
        <v>6.5312549973026754E-2</v>
      </c>
      <c r="AG44" s="219">
        <f t="shared" si="73"/>
        <v>0.1025860132292883</v>
      </c>
      <c r="AH44" s="219">
        <f t="shared" si="73"/>
        <v>0.11640614871449149</v>
      </c>
      <c r="AI44" s="219">
        <f t="shared" si="73"/>
        <v>9.2031682275793725E-2</v>
      </c>
      <c r="AJ44" s="219">
        <f t="shared" si="73"/>
        <v>8.9670627343583401E-2</v>
      </c>
      <c r="AK44" s="219">
        <f t="shared" si="73"/>
        <v>8.9196865275875586E-2</v>
      </c>
      <c r="AL44" s="219">
        <f t="shared" si="73"/>
        <v>7.9373393365643349E-2</v>
      </c>
      <c r="AM44" s="219">
        <f t="shared" si="73"/>
        <v>7.4458798238343935E-2</v>
      </c>
      <c r="AN44" s="219">
        <f t="shared" si="73"/>
        <v>6.9778171136786707E-2</v>
      </c>
      <c r="AO44" s="219">
        <f t="shared" si="73"/>
        <v>6.6974838834737427E-2</v>
      </c>
      <c r="AP44" s="219">
        <f t="shared" ref="AP44" si="88">AP16/AP$8</f>
        <v>6.4773686216266543E-2</v>
      </c>
      <c r="AQ44" s="219">
        <f t="shared" si="73"/>
        <v>6.4370991487139526E-2</v>
      </c>
      <c r="AS44" s="205" t="s">
        <v>415</v>
      </c>
      <c r="AT44" s="219">
        <f t="shared" si="85"/>
        <v>6.5312549973026754E-2</v>
      </c>
      <c r="AU44" s="219">
        <f t="shared" si="75"/>
        <v>0.1025860132292883</v>
      </c>
      <c r="AV44" s="219">
        <f t="shared" si="75"/>
        <v>0.11640614871449149</v>
      </c>
      <c r="AW44" s="219">
        <f t="shared" si="75"/>
        <v>9.1774007328246254E-2</v>
      </c>
      <c r="AX44" s="219">
        <f t="shared" si="75"/>
        <v>8.9631587677371796E-2</v>
      </c>
      <c r="AY44" s="219">
        <f t="shared" si="75"/>
        <v>8.9159753185560298E-2</v>
      </c>
      <c r="AZ44" s="219">
        <f t="shared" si="75"/>
        <v>7.9357247039337206E-2</v>
      </c>
      <c r="BA44" s="219">
        <f t="shared" si="75"/>
        <v>7.4444017917069741E-2</v>
      </c>
      <c r="BB44" s="219">
        <f t="shared" si="75"/>
        <v>6.9764903840963455E-2</v>
      </c>
      <c r="BC44" s="219">
        <f t="shared" si="75"/>
        <v>6.6789062162235652E-2</v>
      </c>
      <c r="BD44" s="219">
        <f t="shared" si="75"/>
        <v>6.4600980822575094E-2</v>
      </c>
      <c r="BE44" s="219">
        <f t="shared" si="75"/>
        <v>6.4203485796431259E-2</v>
      </c>
    </row>
    <row r="45" spans="1:57" ht="12.75" x14ac:dyDescent="0.2">
      <c r="A45" s="193" t="s">
        <v>314</v>
      </c>
      <c r="B45" s="222">
        <f>-'Bilan 2015'!$C16</f>
        <v>0</v>
      </c>
      <c r="C45" s="222">
        <f>-'Bilan 2020'!$C16</f>
        <v>0</v>
      </c>
      <c r="D45" s="222">
        <f>-'Bilan 2023 réel'!$C16</f>
        <v>0</v>
      </c>
      <c r="E45" s="222">
        <f>-'Bilan 2025 AMS'!$C16</f>
        <v>-5.5512316182098811</v>
      </c>
      <c r="F45" s="222">
        <f>-'Bilan 2028 AMS'!$C16</f>
        <v>-4.867247129818443</v>
      </c>
      <c r="G45" s="222">
        <f>-'Bilan 2030 AMS'!$C16</f>
        <v>-4.4112574708908179</v>
      </c>
      <c r="H45" s="222">
        <f>-'Bilan 2033 AMS'!$C16</f>
        <v>-4.7819832265678626</v>
      </c>
      <c r="I45" s="222">
        <f>-'Bilan 2035 AMS'!$C16</f>
        <v>-5.0291337303525587</v>
      </c>
      <c r="J45" s="222">
        <f>-'Bilan 2038 AMS'!$C16</f>
        <v>-5.3878161949008447</v>
      </c>
      <c r="K45" s="222">
        <f>-'Bilan 2040 AMS'!$C16</f>
        <v>-5.6269378379330357</v>
      </c>
      <c r="L45" s="222">
        <f>-'Bilan 2045 AMS'!$C16</f>
        <v>-6.3451610040287907</v>
      </c>
      <c r="M45" s="222">
        <f>-'Bilan 2050 AMS'!$C16</f>
        <v>-6.5561937148871507</v>
      </c>
      <c r="N45" s="221"/>
      <c r="Q45" s="570" t="s">
        <v>291</v>
      </c>
      <c r="R45" s="219">
        <f t="shared" si="86"/>
        <v>5.4398657887752173E-3</v>
      </c>
      <c r="S45" s="219">
        <f t="shared" si="86"/>
        <v>1.1543809628966232E-2</v>
      </c>
      <c r="T45" s="219">
        <f t="shared" si="86"/>
        <v>2.9299446440996711E-2</v>
      </c>
      <c r="U45" s="219">
        <f t="shared" si="86"/>
        <v>7.160285814660737E-2</v>
      </c>
      <c r="V45" s="219">
        <f t="shared" si="86"/>
        <v>9.2672779833202532E-2</v>
      </c>
      <c r="W45" s="219">
        <f t="shared" si="86"/>
        <v>0.10690587798017788</v>
      </c>
      <c r="X45" s="219">
        <f t="shared" si="86"/>
        <v>0.1320231007565259</v>
      </c>
      <c r="Y45" s="219">
        <f t="shared" si="86"/>
        <v>0.1456264959305566</v>
      </c>
      <c r="Z45" s="219">
        <f t="shared" si="86"/>
        <v>0.1729601454439437</v>
      </c>
      <c r="AA45" s="219">
        <f t="shared" si="86"/>
        <v>0.19365118349017998</v>
      </c>
      <c r="AB45" s="219">
        <f t="shared" si="86"/>
        <v>0.220426799955321</v>
      </c>
      <c r="AC45" s="219">
        <f t="shared" si="86"/>
        <v>0.25647172214665226</v>
      </c>
      <c r="AE45" s="205" t="s">
        <v>282</v>
      </c>
      <c r="AF45" s="219">
        <f t="shared" si="83"/>
        <v>1.6322764450753993E-2</v>
      </c>
      <c r="AG45" s="219">
        <f t="shared" si="73"/>
        <v>1.219413331122606E-2</v>
      </c>
      <c r="AH45" s="219">
        <f t="shared" si="73"/>
        <v>1.4051666110859137E-2</v>
      </c>
      <c r="AI45" s="219">
        <f t="shared" si="73"/>
        <v>1.8848765614584609E-2</v>
      </c>
      <c r="AJ45" s="219">
        <f t="shared" si="73"/>
        <v>1.6567395748516362E-2</v>
      </c>
      <c r="AK45" s="219">
        <f t="shared" si="73"/>
        <v>1.5627963428931128E-2</v>
      </c>
      <c r="AL45" s="219">
        <f t="shared" si="73"/>
        <v>1.7930226862497116E-2</v>
      </c>
      <c r="AM45" s="219">
        <f t="shared" si="73"/>
        <v>1.9168049435331964E-2</v>
      </c>
      <c r="AN45" s="219">
        <f t="shared" si="73"/>
        <v>2.1435817742026866E-2</v>
      </c>
      <c r="AO45" s="219">
        <f t="shared" si="73"/>
        <v>2.2581691650174599E-2</v>
      </c>
      <c r="AP45" s="219">
        <f t="shared" ref="AP45" si="89">AP17/AP$8</f>
        <v>2.282669735140104E-2</v>
      </c>
      <c r="AQ45" s="219">
        <f t="shared" si="73"/>
        <v>2.2606314392898168E-2</v>
      </c>
      <c r="AS45" s="205" t="s">
        <v>282</v>
      </c>
      <c r="AT45" s="219">
        <f t="shared" si="85"/>
        <v>1.6322764450753993E-2</v>
      </c>
      <c r="AU45" s="219">
        <f t="shared" si="75"/>
        <v>1.219413331122606E-2</v>
      </c>
      <c r="AV45" s="219">
        <f t="shared" si="75"/>
        <v>1.4051666110859137E-2</v>
      </c>
      <c r="AW45" s="219">
        <f t="shared" si="75"/>
        <v>1.8795991889591537E-2</v>
      </c>
      <c r="AX45" s="219">
        <f t="shared" si="75"/>
        <v>1.6560182844813354E-2</v>
      </c>
      <c r="AY45" s="219">
        <f t="shared" si="75"/>
        <v>1.5621461110846018E-2</v>
      </c>
      <c r="AZ45" s="219">
        <f t="shared" si="75"/>
        <v>1.7926579452686487E-2</v>
      </c>
      <c r="BA45" s="219">
        <f t="shared" si="75"/>
        <v>1.9164244513206481E-2</v>
      </c>
      <c r="BB45" s="219">
        <f t="shared" si="75"/>
        <v>2.1431742035676823E-2</v>
      </c>
      <c r="BC45" s="219">
        <f t="shared" si="75"/>
        <v>2.2519053925213705E-2</v>
      </c>
      <c r="BD45" s="219">
        <f t="shared" si="75"/>
        <v>2.2765834769957295E-2</v>
      </c>
      <c r="BE45" s="219">
        <f t="shared" si="75"/>
        <v>2.254748841835174E-2</v>
      </c>
    </row>
    <row r="46" spans="1:57" ht="12.75" x14ac:dyDescent="0.2">
      <c r="B46" s="222"/>
      <c r="M46" s="222"/>
      <c r="N46" s="221"/>
      <c r="Q46" s="570" t="s">
        <v>293</v>
      </c>
      <c r="R46" s="219">
        <f t="shared" si="86"/>
        <v>1.7915018564825514E-2</v>
      </c>
      <c r="S46" s="219">
        <f t="shared" si="86"/>
        <v>4.3390266707983988E-2</v>
      </c>
      <c r="T46" s="219">
        <f t="shared" si="86"/>
        <v>4.7828903050994978E-2</v>
      </c>
      <c r="U46" s="219">
        <f>U20/U$16</f>
        <v>3.0133215417453604E-2</v>
      </c>
      <c r="V46" s="219">
        <f t="shared" si="86"/>
        <v>3.7615272092511122E-2</v>
      </c>
      <c r="W46" s="219">
        <f t="shared" si="86"/>
        <v>4.4072334872974343E-2</v>
      </c>
      <c r="X46" s="219">
        <f t="shared" si="86"/>
        <v>4.3115123025820205E-2</v>
      </c>
      <c r="Y46" s="219">
        <f t="shared" si="86"/>
        <v>4.12459840650665E-2</v>
      </c>
      <c r="Z46" s="219">
        <f t="shared" si="86"/>
        <v>3.6691119257252332E-2</v>
      </c>
      <c r="AA46" s="219">
        <f t="shared" si="86"/>
        <v>3.3543598793231405E-2</v>
      </c>
      <c r="AB46" s="219">
        <f t="shared" si="86"/>
        <v>2.7267278360924647E-2</v>
      </c>
      <c r="AC46" s="219">
        <f t="shared" si="86"/>
        <v>2.3539053694989664E-2</v>
      </c>
      <c r="AE46" s="201" t="s">
        <v>285</v>
      </c>
      <c r="AF46" s="201"/>
      <c r="AG46" s="201"/>
      <c r="AH46" s="201"/>
      <c r="AI46" s="201"/>
      <c r="AJ46" s="201"/>
      <c r="AK46" s="201"/>
      <c r="AL46" s="201"/>
      <c r="AM46" s="201"/>
      <c r="AN46" s="201"/>
      <c r="AO46" s="201"/>
      <c r="AP46" s="201"/>
      <c r="AQ46" s="201"/>
      <c r="AS46" s="201" t="s">
        <v>285</v>
      </c>
      <c r="AT46" s="201"/>
      <c r="AU46" s="201"/>
      <c r="AV46" s="201"/>
      <c r="AW46" s="201"/>
      <c r="AX46" s="201"/>
      <c r="AY46" s="201"/>
      <c r="AZ46" s="201"/>
      <c r="BA46" s="201"/>
      <c r="BB46" s="201"/>
      <c r="BC46" s="201"/>
      <c r="BD46" s="201"/>
      <c r="BE46" s="201"/>
    </row>
    <row r="47" spans="1:57" ht="12.75" x14ac:dyDescent="0.2">
      <c r="A47" s="193" t="s">
        <v>10</v>
      </c>
      <c r="B47" s="222">
        <f t="shared" ref="B47:M47" si="90">B2</f>
        <v>255.89471571902516</v>
      </c>
      <c r="C47" s="222">
        <f t="shared" si="90"/>
        <v>2559.7800174335421</v>
      </c>
      <c r="D47" s="222">
        <f t="shared" si="90"/>
        <v>2530.4302210668016</v>
      </c>
      <c r="E47" s="222">
        <f t="shared" si="90"/>
        <v>2801.5112440082194</v>
      </c>
      <c r="F47" s="222">
        <f t="shared" si="90"/>
        <v>2732.5762926742873</v>
      </c>
      <c r="G47" s="222">
        <f t="shared" si="90"/>
        <v>2691.7283403348679</v>
      </c>
      <c r="H47" s="222">
        <f t="shared" si="90"/>
        <v>2649.1369802195763</v>
      </c>
      <c r="I47" s="222">
        <f t="shared" si="90"/>
        <v>2635.054409330598</v>
      </c>
      <c r="J47" s="222">
        <f t="shared" si="90"/>
        <v>2628.2756092433615</v>
      </c>
      <c r="K47" s="222">
        <f t="shared" si="90"/>
        <v>2626.8425941457863</v>
      </c>
      <c r="L47" s="222">
        <f t="shared" ref="L47" si="91">L2</f>
        <v>2426.1916481055573</v>
      </c>
      <c r="M47" s="222">
        <f t="shared" si="90"/>
        <v>2259.5593960248952</v>
      </c>
      <c r="N47" s="221"/>
      <c r="Q47" s="570" t="s">
        <v>295</v>
      </c>
      <c r="R47" s="219">
        <f t="shared" si="86"/>
        <v>1.2441988920818417E-3</v>
      </c>
      <c r="S47" s="219">
        <f t="shared" si="86"/>
        <v>7.1581145459297503E-3</v>
      </c>
      <c r="T47" s="219">
        <f t="shared" si="86"/>
        <v>9.3731828743219073E-3</v>
      </c>
      <c r="U47" s="219">
        <f>U21/U$16</f>
        <v>1.0150702476079963E-2</v>
      </c>
      <c r="V47" s="219">
        <f t="shared" si="86"/>
        <v>1.3280400674074124E-2</v>
      </c>
      <c r="W47" s="219">
        <f t="shared" si="86"/>
        <v>1.6214116277014173E-2</v>
      </c>
      <c r="X47" s="219">
        <f t="shared" si="86"/>
        <v>1.9360183947350458E-2</v>
      </c>
      <c r="Y47" s="219">
        <f t="shared" si="86"/>
        <v>2.1313105952161369E-2</v>
      </c>
      <c r="Z47" s="219">
        <f t="shared" si="86"/>
        <v>2.2370125119441222E-2</v>
      </c>
      <c r="AA47" s="219">
        <f t="shared" si="86"/>
        <v>2.2941278201939044E-2</v>
      </c>
      <c r="AB47" s="219">
        <f t="shared" si="86"/>
        <v>1.6619397754384202E-2</v>
      </c>
      <c r="AC47" s="219">
        <f t="shared" si="86"/>
        <v>1.7338427614116136E-2</v>
      </c>
      <c r="AE47" s="205" t="s">
        <v>287</v>
      </c>
      <c r="AF47" s="219">
        <f t="shared" ref="AF47:AQ54" si="92">AF19/AF$18</f>
        <v>0.69110155450513433</v>
      </c>
      <c r="AG47" s="219">
        <f t="shared" si="92"/>
        <v>0.67601166198834628</v>
      </c>
      <c r="AH47" s="219">
        <f t="shared" si="92"/>
        <v>0.59028939458848906</v>
      </c>
      <c r="AI47" s="219">
        <f t="shared" si="92"/>
        <v>0.53248472239407529</v>
      </c>
      <c r="AJ47" s="219">
        <f t="shared" si="92"/>
        <v>0.43224837475013256</v>
      </c>
      <c r="AK47" s="219">
        <f t="shared" si="92"/>
        <v>0.37207343767502443</v>
      </c>
      <c r="AL47" s="219">
        <f t="shared" si="92"/>
        <v>0.32287151784036705</v>
      </c>
      <c r="AM47" s="219">
        <f t="shared" si="92"/>
        <v>0.29059614476568135</v>
      </c>
      <c r="AN47" s="219">
        <f t="shared" si="92"/>
        <v>0.2125570728236274</v>
      </c>
      <c r="AO47" s="219">
        <f t="shared" si="92"/>
        <v>0.16679719797631462</v>
      </c>
      <c r="AP47" s="219">
        <f t="shared" ref="AP47" si="93">AP19/AP$18</f>
        <v>0.12644952665086209</v>
      </c>
      <c r="AQ47" s="219">
        <f t="shared" si="92"/>
        <v>6.794851978799356E-4</v>
      </c>
      <c r="AS47" s="205" t="s">
        <v>287</v>
      </c>
      <c r="AT47" s="219">
        <f t="shared" ref="AT47:BE53" si="94">AT19/AT$18</f>
        <v>0.69900476281967905</v>
      </c>
      <c r="AU47" s="219">
        <f t="shared" si="94"/>
        <v>0.68389924792118784</v>
      </c>
      <c r="AV47" s="219">
        <f t="shared" si="94"/>
        <v>0.5988991052747562</v>
      </c>
      <c r="AW47" s="219">
        <f t="shared" si="94"/>
        <v>0.54373475351451306</v>
      </c>
      <c r="AX47" s="219">
        <f t="shared" si="94"/>
        <v>0.44542546735024907</v>
      </c>
      <c r="AY47" s="219">
        <f t="shared" si="94"/>
        <v>0.38607809665453197</v>
      </c>
      <c r="AZ47" s="219">
        <f t="shared" si="94"/>
        <v>0.33771395873565047</v>
      </c>
      <c r="BA47" s="219">
        <f t="shared" si="94"/>
        <v>0.3056388694868587</v>
      </c>
      <c r="BB47" s="219">
        <f t="shared" si="94"/>
        <v>0.22902416501090966</v>
      </c>
      <c r="BC47" s="219">
        <f t="shared" si="94"/>
        <v>0.1841643134867775</v>
      </c>
      <c r="BD47" s="219">
        <f t="shared" si="94"/>
        <v>0.13999392688645226</v>
      </c>
      <c r="BE47" s="219">
        <f t="shared" si="94"/>
        <v>1.2757982386388773E-2</v>
      </c>
    </row>
    <row r="48" spans="1:57" ht="12.75" x14ac:dyDescent="0.2">
      <c r="A48" s="193" t="s">
        <v>315</v>
      </c>
      <c r="B48" s="222">
        <f>'Bilan 2015'!$C$5</f>
        <v>255.88879167341375</v>
      </c>
      <c r="C48" s="222">
        <f>'Bilan 2020'!$C$5</f>
        <v>2559.7800174335421</v>
      </c>
      <c r="D48" s="222">
        <f>'Bilan 2023 réel'!$C$5</f>
        <v>2536.3728760646595</v>
      </c>
      <c r="E48" s="222">
        <f>'Bilan 2025 AMS'!$C$5</f>
        <v>2801.5112440082203</v>
      </c>
      <c r="F48" s="222">
        <f>'Bilan 2028 AMS'!$C$5</f>
        <v>2732.5762926742873</v>
      </c>
      <c r="G48" s="222">
        <f>'Bilan 2030 AMS'!$C$5</f>
        <v>2691.7283403348679</v>
      </c>
      <c r="H48" s="222">
        <f>'Bilan 2033 AMS'!$C$5</f>
        <v>2649.1369802195759</v>
      </c>
      <c r="I48" s="222">
        <f>'Bilan 2035 AMS'!$C$5</f>
        <v>2635.054409330598</v>
      </c>
      <c r="J48" s="222">
        <f>'Bilan 2038 AMS'!$C$5</f>
        <v>2628.275609243361</v>
      </c>
      <c r="K48" s="222">
        <f>'Bilan 2040 AMS'!$C$5</f>
        <v>2626.8425941457867</v>
      </c>
      <c r="L48" s="222">
        <f>'Bilan 2045 AMS'!$C$5</f>
        <v>2426.0080992767735</v>
      </c>
      <c r="M48" s="222">
        <f>'Bilan 2050 AMS'!$C$5</f>
        <v>2259.1175578610587</v>
      </c>
      <c r="N48" s="221"/>
      <c r="Q48" s="203" t="s">
        <v>613</v>
      </c>
      <c r="R48" s="219">
        <f t="shared" si="86"/>
        <v>0.11474115693474921</v>
      </c>
      <c r="S48" s="219">
        <f t="shared" si="86"/>
        <v>6.5905552508110324E-2</v>
      </c>
      <c r="T48" s="219">
        <f t="shared" si="86"/>
        <v>0.1077486838199495</v>
      </c>
      <c r="U48" s="219">
        <f>U22/U$16</f>
        <v>0.15383698844455668</v>
      </c>
      <c r="V48" s="219">
        <f t="shared" si="86"/>
        <v>0.2029812664647736</v>
      </c>
      <c r="W48" s="219">
        <f t="shared" si="86"/>
        <v>0.22539709122518328</v>
      </c>
      <c r="X48" s="219">
        <f t="shared" si="86"/>
        <v>0.25881027994835099</v>
      </c>
      <c r="Y48" s="219">
        <f t="shared" si="86"/>
        <v>0.28344386809605909</v>
      </c>
      <c r="Z48" s="219">
        <f t="shared" si="86"/>
        <v>0.33062200575501693</v>
      </c>
      <c r="AA48" s="219">
        <f t="shared" si="86"/>
        <v>0.35582278607010959</v>
      </c>
      <c r="AB48" s="219">
        <f t="shared" si="86"/>
        <v>0.37247235919039612</v>
      </c>
      <c r="AC48" s="219">
        <f t="shared" si="86"/>
        <v>0.42180423558262914</v>
      </c>
      <c r="AE48" s="205" t="s">
        <v>289</v>
      </c>
      <c r="AF48" s="219">
        <f t="shared" si="92"/>
        <v>0.1882509686552597</v>
      </c>
      <c r="AG48" s="219">
        <f t="shared" si="92"/>
        <v>0.19862358817834166</v>
      </c>
      <c r="AH48" s="219">
        <f t="shared" si="92"/>
        <v>0.21403106935276545</v>
      </c>
      <c r="AI48" s="219">
        <f t="shared" si="92"/>
        <v>0.22714051781120295</v>
      </c>
      <c r="AJ48" s="219">
        <f t="shared" si="92"/>
        <v>0.23228655845292095</v>
      </c>
      <c r="AK48" s="219">
        <f t="shared" si="92"/>
        <v>0.2390456145999893</v>
      </c>
      <c r="AL48" s="219">
        <f t="shared" si="92"/>
        <v>0.22867975377299124</v>
      </c>
      <c r="AM48" s="219">
        <f t="shared" si="92"/>
        <v>0.2213821389170135</v>
      </c>
      <c r="AN48" s="219">
        <f t="shared" si="92"/>
        <v>0.21314700172221721</v>
      </c>
      <c r="AO48" s="219">
        <f t="shared" si="92"/>
        <v>0.21008971141728447</v>
      </c>
      <c r="AP48" s="219">
        <f t="shared" ref="AP48" si="95">AP20/AP$18</f>
        <v>0.20428119534921091</v>
      </c>
      <c r="AQ48" s="219">
        <f t="shared" si="92"/>
        <v>0.19903512983900098</v>
      </c>
      <c r="AS48" s="205" t="s">
        <v>289</v>
      </c>
      <c r="AT48" s="219">
        <f t="shared" si="94"/>
        <v>0.1832900641927816</v>
      </c>
      <c r="AU48" s="219">
        <f t="shared" si="94"/>
        <v>0.19377561161687168</v>
      </c>
      <c r="AV48" s="219">
        <f t="shared" si="94"/>
        <v>0.20952241697738466</v>
      </c>
      <c r="AW48" s="219">
        <f t="shared" si="94"/>
        <v>0.22171228504461726</v>
      </c>
      <c r="AX48" s="219">
        <f t="shared" si="94"/>
        <v>0.22651103474803611</v>
      </c>
      <c r="AY48" s="219">
        <f t="shared" si="94"/>
        <v>0.23308121681518099</v>
      </c>
      <c r="AZ48" s="219">
        <f t="shared" si="94"/>
        <v>0.2231168735841898</v>
      </c>
      <c r="BA48" s="219">
        <f t="shared" si="94"/>
        <v>0.21622603069383614</v>
      </c>
      <c r="BB48" s="219">
        <f t="shared" si="94"/>
        <v>0.2083985493576675</v>
      </c>
      <c r="BC48" s="219">
        <f t="shared" si="94"/>
        <v>0.20552152390106249</v>
      </c>
      <c r="BD48" s="219">
        <f t="shared" si="94"/>
        <v>0.20007991047869284</v>
      </c>
      <c r="BE48" s="219">
        <f t="shared" si="94"/>
        <v>0.19519556454251277</v>
      </c>
    </row>
    <row r="49" spans="1:57" ht="12.75" x14ac:dyDescent="0.2">
      <c r="Q49" s="569" t="s">
        <v>42</v>
      </c>
      <c r="R49" s="201"/>
      <c r="S49" s="201"/>
      <c r="T49" s="201"/>
      <c r="U49" s="201"/>
      <c r="V49" s="201"/>
      <c r="W49" s="201"/>
      <c r="X49" s="201"/>
      <c r="Y49" s="201"/>
      <c r="Z49" s="201"/>
      <c r="AA49" s="201"/>
      <c r="AB49" s="201"/>
      <c r="AC49" s="201"/>
      <c r="AE49" s="205" t="s">
        <v>291</v>
      </c>
      <c r="AF49" s="219">
        <f t="shared" si="92"/>
        <v>3.1039742729395332E-3</v>
      </c>
      <c r="AG49" s="219">
        <f t="shared" si="92"/>
        <v>1.1039383943093959E-2</v>
      </c>
      <c r="AH49" s="219">
        <f t="shared" si="92"/>
        <v>2.9990736070204155E-2</v>
      </c>
      <c r="AI49" s="219">
        <f t="shared" si="92"/>
        <v>3.1335013842892431E-2</v>
      </c>
      <c r="AJ49" s="219">
        <f t="shared" si="92"/>
        <v>5.6463128676893064E-2</v>
      </c>
      <c r="AK49" s="219">
        <f t="shared" si="92"/>
        <v>6.843883704465592E-2</v>
      </c>
      <c r="AL49" s="219">
        <f t="shared" si="92"/>
        <v>7.2877618782050776E-2</v>
      </c>
      <c r="AM49" s="219">
        <f t="shared" si="92"/>
        <v>7.4081992931483709E-2</v>
      </c>
      <c r="AN49" s="219">
        <f t="shared" si="92"/>
        <v>0.10065532087780095</v>
      </c>
      <c r="AO49" s="219">
        <f t="shared" si="92"/>
        <v>0.11128854813161328</v>
      </c>
      <c r="AP49" s="219">
        <f t="shared" ref="AP49" si="96">AP21/AP$18</f>
        <v>0.10304700476635544</v>
      </c>
      <c r="AQ49" s="219">
        <f t="shared" si="92"/>
        <v>0.16179336970290473</v>
      </c>
      <c r="AS49" s="205" t="s">
        <v>291</v>
      </c>
      <c r="AT49" s="219">
        <f t="shared" si="94"/>
        <v>3.0221764477700811E-3</v>
      </c>
      <c r="AU49" s="219">
        <f t="shared" si="94"/>
        <v>1.0769936214855688E-2</v>
      </c>
      <c r="AV49" s="219">
        <f t="shared" si="94"/>
        <v>2.9358968898123738E-2</v>
      </c>
      <c r="AW49" s="219">
        <f t="shared" si="94"/>
        <v>3.0573719532877377E-2</v>
      </c>
      <c r="AX49" s="219">
        <f t="shared" si="94"/>
        <v>5.5019693809380051E-2</v>
      </c>
      <c r="AY49" s="219">
        <f t="shared" si="94"/>
        <v>6.6671736376570229E-2</v>
      </c>
      <c r="AZ49" s="219">
        <f t="shared" si="94"/>
        <v>7.0981340942801882E-2</v>
      </c>
      <c r="BA49" s="219">
        <f t="shared" si="94"/>
        <v>7.2187495405012181E-2</v>
      </c>
      <c r="BB49" s="219">
        <f t="shared" si="94"/>
        <v>9.8082603710223884E-2</v>
      </c>
      <c r="BC49" s="219">
        <f t="shared" si="94"/>
        <v>0.10842428640303309</v>
      </c>
      <c r="BD49" s="219">
        <f t="shared" si="94"/>
        <v>0.10044880421501956</v>
      </c>
      <c r="BE49" s="219">
        <f t="shared" si="94"/>
        <v>0.15781529262078922</v>
      </c>
    </row>
    <row r="50" spans="1:57" ht="12.75" x14ac:dyDescent="0.2">
      <c r="AE50" s="202" t="s">
        <v>410</v>
      </c>
      <c r="AF50" s="202"/>
      <c r="AG50" s="219">
        <f>AG22/AG$18</f>
        <v>0</v>
      </c>
      <c r="AH50" s="219">
        <f t="shared" si="92"/>
        <v>0</v>
      </c>
      <c r="AI50" s="219">
        <f t="shared" si="92"/>
        <v>4.4361705888369717E-4</v>
      </c>
      <c r="AJ50" s="219">
        <f t="shared" si="92"/>
        <v>4.0673880518299075E-3</v>
      </c>
      <c r="AK50" s="219">
        <f t="shared" si="92"/>
        <v>8.498555623627637E-3</v>
      </c>
      <c r="AL50" s="219">
        <f t="shared" si="92"/>
        <v>1.3885661540530673E-2</v>
      </c>
      <c r="AM50" s="219">
        <f t="shared" si="92"/>
        <v>1.7479983648198364E-2</v>
      </c>
      <c r="AN50" s="219">
        <f t="shared" si="92"/>
        <v>2.1486382118845321E-2</v>
      </c>
      <c r="AO50" s="219">
        <f t="shared" si="92"/>
        <v>2.4285748203072898E-2</v>
      </c>
      <c r="AP50" s="219">
        <f t="shared" ref="AP50" si="97">AP22/AP$18</f>
        <v>3.6987560632628293E-2</v>
      </c>
      <c r="AQ50" s="219">
        <f t="shared" si="92"/>
        <v>4.1002525674561148E-2</v>
      </c>
      <c r="AS50" s="202" t="s">
        <v>410</v>
      </c>
      <c r="AT50" s="202"/>
      <c r="AU50" s="219">
        <f>AU22/AU$18</f>
        <v>0</v>
      </c>
      <c r="AV50" s="219">
        <f t="shared" si="94"/>
        <v>0</v>
      </c>
      <c r="AW50" s="219">
        <f t="shared" si="94"/>
        <v>4.3283923876058982E-4</v>
      </c>
      <c r="AX50" s="219">
        <f t="shared" si="94"/>
        <v>5.1197756546665025E-3</v>
      </c>
      <c r="AY50" s="219">
        <f t="shared" si="94"/>
        <v>1.0262381531893341E-2</v>
      </c>
      <c r="AZ50" s="219">
        <f t="shared" si="94"/>
        <v>1.5895838479151065E-2</v>
      </c>
      <c r="BA50" s="219">
        <f t="shared" si="94"/>
        <v>1.9609199272129854E-2</v>
      </c>
      <c r="BB50" s="219">
        <f t="shared" si="94"/>
        <v>2.3880169249052043E-2</v>
      </c>
      <c r="BC50" s="219">
        <f t="shared" si="94"/>
        <v>2.6881740671708676E-2</v>
      </c>
      <c r="BD50" s="219">
        <f t="shared" si="94"/>
        <v>4.3569387389070881E-2</v>
      </c>
      <c r="BE50" s="219">
        <f t="shared" si="94"/>
        <v>5.1415149782892258E-2</v>
      </c>
    </row>
    <row r="51" spans="1:57" ht="12.75" x14ac:dyDescent="0.2">
      <c r="A51" s="193" t="s">
        <v>316</v>
      </c>
      <c r="C51" s="193"/>
      <c r="D51" s="193"/>
      <c r="E51" s="193"/>
      <c r="F51" s="193"/>
      <c r="G51" s="193"/>
      <c r="H51" s="193"/>
      <c r="I51" s="193"/>
      <c r="J51" s="193"/>
      <c r="K51" s="193"/>
      <c r="L51" s="193"/>
      <c r="AE51" s="205" t="s">
        <v>293</v>
      </c>
      <c r="AF51" s="219">
        <f t="shared" ref="AF51:AF52" si="98">AF23/AF$18</f>
        <v>1.2345484731216732E-2</v>
      </c>
      <c r="AG51" s="219">
        <f>AG23/AG$18</f>
        <v>3.8374397096785681E-2</v>
      </c>
      <c r="AH51" s="219">
        <f t="shared" si="92"/>
        <v>4.3137771393482974E-2</v>
      </c>
      <c r="AI51" s="219">
        <f t="shared" si="92"/>
        <v>2.9362847570908686E-2</v>
      </c>
      <c r="AJ51" s="219">
        <f t="shared" si="92"/>
        <v>3.7323317960920074E-2</v>
      </c>
      <c r="AK51" s="219">
        <f t="shared" si="92"/>
        <v>4.4203226352294671E-2</v>
      </c>
      <c r="AL51" s="219">
        <f t="shared" si="92"/>
        <v>4.4789463458064928E-2</v>
      </c>
      <c r="AM51" s="219">
        <f t="shared" si="92"/>
        <v>4.3747212514933145E-2</v>
      </c>
      <c r="AN51" s="219">
        <f t="shared" si="92"/>
        <v>3.9611365606778595E-2</v>
      </c>
      <c r="AO51" s="219">
        <f t="shared" si="92"/>
        <v>3.7080731149432521E-2</v>
      </c>
      <c r="AP51" s="219">
        <f t="shared" ref="AP51" si="99">AP23/AP$18</f>
        <v>3.2509433687216038E-2</v>
      </c>
      <c r="AQ51" s="219">
        <f t="shared" si="92"/>
        <v>2.8693334250910831E-2</v>
      </c>
      <c r="AS51" s="205" t="s">
        <v>293</v>
      </c>
      <c r="AT51" s="219">
        <f t="shared" ref="AT51:AT52" si="100">AT23/AT$18</f>
        <v>1.2020148980054119E-2</v>
      </c>
      <c r="AU51" s="219">
        <f>AU23/AU$18</f>
        <v>3.7437760217994033E-2</v>
      </c>
      <c r="AV51" s="219">
        <f t="shared" si="94"/>
        <v>4.222905652302042E-2</v>
      </c>
      <c r="AW51" s="219">
        <f t="shared" si="94"/>
        <v>2.8649467679211504E-2</v>
      </c>
      <c r="AX51" s="219">
        <f t="shared" si="94"/>
        <v>3.6369177094508716E-2</v>
      </c>
      <c r="AY51" s="219">
        <f t="shared" si="94"/>
        <v>4.3061892656520218E-2</v>
      </c>
      <c r="AZ51" s="219">
        <f t="shared" si="94"/>
        <v>4.3624040267697249E-2</v>
      </c>
      <c r="BA51" s="219">
        <f t="shared" si="94"/>
        <v>4.2628465804430672E-2</v>
      </c>
      <c r="BB51" s="219">
        <f t="shared" si="94"/>
        <v>3.8598912023212438E-2</v>
      </c>
      <c r="BC51" s="219">
        <f t="shared" si="94"/>
        <v>3.6126374920672263E-2</v>
      </c>
      <c r="BD51" s="219">
        <f t="shared" si="94"/>
        <v>3.1689749226505547E-2</v>
      </c>
      <c r="BE51" s="219">
        <f t="shared" si="94"/>
        <v>2.7987839980023049E-2</v>
      </c>
    </row>
    <row r="52" spans="1:57" ht="12.75" x14ac:dyDescent="0.2">
      <c r="C52" s="193"/>
      <c r="D52" s="193"/>
      <c r="E52" s="193"/>
      <c r="F52" s="193"/>
      <c r="G52" s="193"/>
      <c r="H52" s="193"/>
      <c r="I52" s="193"/>
      <c r="J52" s="193"/>
      <c r="K52" s="193"/>
      <c r="L52" s="193"/>
      <c r="AE52" s="205" t="s">
        <v>295</v>
      </c>
      <c r="AF52" s="219">
        <f t="shared" si="98"/>
        <v>5.3955428422585508E-3</v>
      </c>
      <c r="AG52" s="219">
        <f>AG24/AG$18</f>
        <v>9.6273727513708132E-3</v>
      </c>
      <c r="AH52" s="219">
        <f t="shared" si="92"/>
        <v>1.5233610828000312E-2</v>
      </c>
      <c r="AI52" s="219">
        <f t="shared" si="92"/>
        <v>2.3199471259447563E-2</v>
      </c>
      <c r="AJ52" s="219">
        <f t="shared" si="92"/>
        <v>3.155390531434394E-2</v>
      </c>
      <c r="AK52" s="219">
        <f t="shared" si="92"/>
        <v>3.7196443975785504E-2</v>
      </c>
      <c r="AL52" s="219">
        <f t="shared" si="92"/>
        <v>4.6230276199471357E-2</v>
      </c>
      <c r="AM52" s="219">
        <f t="shared" si="92"/>
        <v>5.2002522803521176E-2</v>
      </c>
      <c r="AN52" s="219">
        <f t="shared" si="92"/>
        <v>5.9183459551949306E-2</v>
      </c>
      <c r="AO52" s="219">
        <f t="shared" si="92"/>
        <v>6.3684228574755794E-2</v>
      </c>
      <c r="AP52" s="219">
        <f t="shared" ref="AP52" si="101">AP24/AP$18</f>
        <v>6.4462491822992102E-2</v>
      </c>
      <c r="AQ52" s="219">
        <f t="shared" si="92"/>
        <v>7.4692621516644714E-2</v>
      </c>
      <c r="AS52" s="205" t="s">
        <v>295</v>
      </c>
      <c r="AT52" s="219">
        <f t="shared" si="100"/>
        <v>5.2533562030350912E-3</v>
      </c>
      <c r="AU52" s="219">
        <f>AU24/AU$18</f>
        <v>9.3923891933994745E-3</v>
      </c>
      <c r="AV52" s="219">
        <f t="shared" si="94"/>
        <v>1.4912708559684833E-2</v>
      </c>
      <c r="AW52" s="219">
        <f t="shared" si="94"/>
        <v>2.2635832591415463E-2</v>
      </c>
      <c r="AX52" s="219">
        <f t="shared" si="94"/>
        <v>3.0747254882385725E-2</v>
      </c>
      <c r="AY52" s="219">
        <f t="shared" si="94"/>
        <v>3.6236026414085347E-2</v>
      </c>
      <c r="AZ52" s="219">
        <f t="shared" si="94"/>
        <v>4.5027363018106475E-2</v>
      </c>
      <c r="BA52" s="219">
        <f t="shared" si="94"/>
        <v>5.0672663185507567E-2</v>
      </c>
      <c r="BB52" s="219">
        <f t="shared" si="94"/>
        <v>5.7670749631618771E-2</v>
      </c>
      <c r="BC52" s="219">
        <f t="shared" si="94"/>
        <v>6.2045171352038637E-2</v>
      </c>
      <c r="BD52" s="219">
        <f t="shared" si="94"/>
        <v>6.2837151210960382E-2</v>
      </c>
      <c r="BE52" s="219">
        <f t="shared" si="94"/>
        <v>7.2856124715792461E-2</v>
      </c>
    </row>
    <row r="53" spans="1:57" ht="12.75" x14ac:dyDescent="0.2">
      <c r="AE53" s="205" t="s">
        <v>249</v>
      </c>
      <c r="AF53" s="219"/>
      <c r="AG53" s="219">
        <f>AG25/AG$18</f>
        <v>0</v>
      </c>
      <c r="AH53" s="219">
        <f t="shared" si="92"/>
        <v>0</v>
      </c>
      <c r="AI53" s="219">
        <f t="shared" si="92"/>
        <v>0</v>
      </c>
      <c r="AJ53" s="219">
        <f t="shared" si="92"/>
        <v>0</v>
      </c>
      <c r="AK53" s="219">
        <f t="shared" si="92"/>
        <v>0</v>
      </c>
      <c r="AL53" s="219">
        <f t="shared" si="92"/>
        <v>0</v>
      </c>
      <c r="AM53" s="219">
        <f t="shared" si="92"/>
        <v>0</v>
      </c>
      <c r="AN53" s="219">
        <f t="shared" si="92"/>
        <v>3.0575153595701139E-3</v>
      </c>
      <c r="AO53" s="219">
        <f t="shared" si="92"/>
        <v>5.1474410765030808E-3</v>
      </c>
      <c r="AP53" s="219">
        <f t="shared" ref="AP53" si="102">AP25/AP$18</f>
        <v>9.9104213835129566E-3</v>
      </c>
      <c r="AQ53" s="219">
        <f t="shared" si="92"/>
        <v>1.4529917482225379E-2</v>
      </c>
      <c r="AS53" s="205" t="s">
        <v>249</v>
      </c>
      <c r="AT53" s="219"/>
      <c r="AU53" s="219">
        <f>AU25/AU$18</f>
        <v>2.027578325956049E-5</v>
      </c>
      <c r="AV53" s="219">
        <f t="shared" si="94"/>
        <v>2.1011478946664476E-5</v>
      </c>
      <c r="AW53" s="219">
        <f t="shared" si="94"/>
        <v>1.8184287306623903E-5</v>
      </c>
      <c r="AX53" s="219">
        <f t="shared" si="94"/>
        <v>1.7960941202963814E-5</v>
      </c>
      <c r="AY53" s="219">
        <f t="shared" si="94"/>
        <v>1.7441260700211593E-5</v>
      </c>
      <c r="AZ53" s="219">
        <f t="shared" si="94"/>
        <v>1.7606463940937534E-5</v>
      </c>
      <c r="BA53" s="219">
        <f t="shared" si="94"/>
        <v>1.7323485365628792E-5</v>
      </c>
      <c r="BB53" s="219">
        <f t="shared" si="94"/>
        <v>2.996570910974005E-3</v>
      </c>
      <c r="BC53" s="219">
        <f t="shared" si="94"/>
        <v>5.032211551697436E-3</v>
      </c>
      <c r="BD53" s="219">
        <f t="shared" si="94"/>
        <v>9.6777883012286684E-3</v>
      </c>
      <c r="BE53" s="219">
        <f t="shared" si="94"/>
        <v>1.4189894365317085E-2</v>
      </c>
    </row>
    <row r="54" spans="1:57" ht="12.75" x14ac:dyDescent="0.2">
      <c r="AE54" s="203" t="s">
        <v>613</v>
      </c>
      <c r="AF54" s="219">
        <f t="shared" ref="AF54" si="103">AF26/AF$18</f>
        <v>7.0760021417567764E-2</v>
      </c>
      <c r="AG54" s="219">
        <f>AG26/AG$18</f>
        <v>6.6323596042061603E-2</v>
      </c>
      <c r="AH54" s="219">
        <f t="shared" si="92"/>
        <v>0.10731741776705785</v>
      </c>
      <c r="AI54" s="219">
        <f t="shared" si="92"/>
        <v>0.15603381006258932</v>
      </c>
      <c r="AJ54" s="219">
        <f t="shared" si="92"/>
        <v>0.20605732679295946</v>
      </c>
      <c r="AK54" s="219">
        <f t="shared" si="92"/>
        <v>0.23054388472862247</v>
      </c>
      <c r="AL54" s="219">
        <f t="shared" si="92"/>
        <v>0.27066570840652393</v>
      </c>
      <c r="AM54" s="219">
        <f t="shared" si="92"/>
        <v>0.30071000441916884</v>
      </c>
      <c r="AN54" s="219">
        <f t="shared" si="92"/>
        <v>0.35030188193921125</v>
      </c>
      <c r="AO54" s="219">
        <f t="shared" si="92"/>
        <v>0.3816263934710234</v>
      </c>
      <c r="AP54" s="219">
        <f t="shared" ref="AP54" si="104">AP26/AP$18</f>
        <v>0.42235236570722234</v>
      </c>
      <c r="AQ54" s="219">
        <f t="shared" si="92"/>
        <v>0.47957361633587225</v>
      </c>
      <c r="AS54" s="203" t="s">
        <v>613</v>
      </c>
      <c r="AT54" s="219">
        <f t="shared" ref="AT54:BE54" si="105">AT26/AT$18</f>
        <v>6.8895310130698911E-2</v>
      </c>
      <c r="AU54" s="219">
        <f t="shared" si="105"/>
        <v>6.4704779052431868E-2</v>
      </c>
      <c r="AV54" s="219">
        <f t="shared" si="105"/>
        <v>0.10505673228808335</v>
      </c>
      <c r="AW54" s="219">
        <f t="shared" si="105"/>
        <v>0.15224291811129811</v>
      </c>
      <c r="AX54" s="219">
        <f t="shared" si="105"/>
        <v>0.20078963551957096</v>
      </c>
      <c r="AY54" s="219">
        <f t="shared" si="105"/>
        <v>0.22459120829051765</v>
      </c>
      <c r="AZ54" s="219">
        <f t="shared" si="105"/>
        <v>0.26362297850846217</v>
      </c>
      <c r="BA54" s="219">
        <f t="shared" si="105"/>
        <v>0.2930199526668591</v>
      </c>
      <c r="BB54" s="219">
        <f t="shared" si="105"/>
        <v>0.34134828010634161</v>
      </c>
      <c r="BC54" s="219">
        <f t="shared" si="105"/>
        <v>0.37180437771301</v>
      </c>
      <c r="BD54" s="219">
        <f t="shared" si="105"/>
        <v>0.41170328229207004</v>
      </c>
      <c r="BE54" s="219">
        <f t="shared" si="105"/>
        <v>0.46778215160628434</v>
      </c>
    </row>
    <row r="55" spans="1:57" ht="12.75" x14ac:dyDescent="0.2">
      <c r="AE55" s="201" t="s">
        <v>42</v>
      </c>
      <c r="AF55" s="201"/>
      <c r="AG55" s="201"/>
      <c r="AH55" s="201"/>
      <c r="AI55" s="201"/>
      <c r="AJ55" s="201"/>
      <c r="AK55" s="201"/>
      <c r="AL55" s="201"/>
      <c r="AM55" s="201"/>
      <c r="AN55" s="201"/>
      <c r="AO55" s="201"/>
      <c r="AP55" s="201"/>
      <c r="AQ55" s="201"/>
      <c r="AS55" s="201" t="s">
        <v>42</v>
      </c>
      <c r="AT55" s="201"/>
      <c r="AU55" s="201"/>
      <c r="AV55" s="201"/>
      <c r="AW55" s="201"/>
      <c r="AX55" s="201"/>
      <c r="AY55" s="201"/>
      <c r="AZ55" s="201"/>
      <c r="BA55" s="201"/>
      <c r="BB55" s="201"/>
      <c r="BC55" s="201"/>
      <c r="BD55" s="201"/>
      <c r="BE55" s="201"/>
    </row>
    <row r="56" spans="1:57" x14ac:dyDescent="0.2">
      <c r="AU56" s="560"/>
    </row>
    <row r="57" spans="1:57" x14ac:dyDescent="0.2">
      <c r="AG57" s="561">
        <f>SUM(AG47:AG54,AG37:AG45,AG33:AG35)-3</f>
        <v>0</v>
      </c>
      <c r="AH57" s="561">
        <f t="shared" ref="AH57:AQ57" si="106">SUM(AH47:AH54,AH37:AH45,AH33:AH35)-3</f>
        <v>0</v>
      </c>
      <c r="AI57" s="561">
        <f t="shared" si="106"/>
        <v>0</v>
      </c>
      <c r="AJ57" s="561">
        <f t="shared" si="106"/>
        <v>0</v>
      </c>
      <c r="AK57" s="561">
        <f t="shared" si="106"/>
        <v>0</v>
      </c>
      <c r="AL57" s="561">
        <f t="shared" si="106"/>
        <v>0</v>
      </c>
      <c r="AM57" s="561">
        <f t="shared" si="106"/>
        <v>0</v>
      </c>
      <c r="AN57" s="561">
        <f t="shared" si="106"/>
        <v>0</v>
      </c>
      <c r="AO57" s="561">
        <f t="shared" si="106"/>
        <v>0</v>
      </c>
      <c r="AP57" s="561">
        <f t="shared" ref="AP57" si="107">SUM(AP47:AP54,AP37:AP45,AP33:AP35)-3</f>
        <v>0</v>
      </c>
      <c r="AQ57" s="561">
        <f t="shared" si="106"/>
        <v>0</v>
      </c>
    </row>
  </sheetData>
  <mergeCells count="1">
    <mergeCell ref="M1:O1"/>
  </mergeCell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046C4-1B5E-45ED-98E9-F28A17F1AD84}">
  <dimension ref="A2:AM75"/>
  <sheetViews>
    <sheetView workbookViewId="0">
      <selection activeCell="D10" sqref="D10"/>
    </sheetView>
  </sheetViews>
  <sheetFormatPr baseColWidth="10" defaultRowHeight="15" x14ac:dyDescent="0.25"/>
  <cols>
    <col min="1" max="1" width="21.140625" customWidth="1"/>
    <col min="2" max="2" width="39" customWidth="1"/>
    <col min="3" max="3" width="6.7109375" customWidth="1"/>
    <col min="4" max="11" width="12.42578125" customWidth="1"/>
    <col min="12" max="14" width="11.42578125" customWidth="1"/>
    <col min="15" max="16" width="12.42578125" customWidth="1"/>
    <col min="17" max="18" width="11.42578125" customWidth="1"/>
    <col min="20" max="21" width="12.42578125" hidden="1" customWidth="1"/>
    <col min="22" max="24" width="11.42578125" hidden="1" customWidth="1"/>
    <col min="25" max="26" width="12.42578125" hidden="1" customWidth="1"/>
    <col min="27" max="28" width="11.42578125" hidden="1" customWidth="1"/>
    <col min="30" max="38" width="0" hidden="1" customWidth="1"/>
  </cols>
  <sheetData>
    <row r="2" spans="1:39" ht="15.75" thickBot="1" x14ac:dyDescent="0.3">
      <c r="D2" s="557">
        <v>2015</v>
      </c>
      <c r="E2" s="557">
        <v>2016</v>
      </c>
      <c r="F2" s="557">
        <v>2017</v>
      </c>
      <c r="G2" s="557">
        <v>2018</v>
      </c>
      <c r="H2" s="557">
        <v>2019</v>
      </c>
      <c r="I2" s="557">
        <v>2020</v>
      </c>
      <c r="J2" s="557">
        <v>2021</v>
      </c>
      <c r="K2" s="557">
        <v>2022</v>
      </c>
      <c r="L2" s="557">
        <v>2023</v>
      </c>
      <c r="M2" s="557">
        <v>2024</v>
      </c>
      <c r="N2" s="557">
        <v>2025</v>
      </c>
      <c r="O2" s="557">
        <v>2026</v>
      </c>
      <c r="P2" s="557">
        <v>2027</v>
      </c>
      <c r="Q2" s="557">
        <v>2028</v>
      </c>
      <c r="R2" s="557">
        <v>2029</v>
      </c>
      <c r="S2" s="557">
        <v>2030</v>
      </c>
      <c r="T2" s="557">
        <v>2031</v>
      </c>
      <c r="U2" s="557">
        <v>2032</v>
      </c>
      <c r="V2" s="557">
        <v>2033</v>
      </c>
      <c r="W2" s="557">
        <v>2034</v>
      </c>
      <c r="X2" s="557">
        <v>2035</v>
      </c>
      <c r="Y2" s="557">
        <v>2036</v>
      </c>
      <c r="Z2" s="557">
        <v>2037</v>
      </c>
      <c r="AA2" s="557">
        <v>2038</v>
      </c>
      <c r="AB2" s="557">
        <v>2039</v>
      </c>
      <c r="AC2" s="557">
        <v>2040</v>
      </c>
      <c r="AD2" s="557">
        <v>2041</v>
      </c>
      <c r="AE2" s="557">
        <v>2042</v>
      </c>
      <c r="AF2" s="557">
        <v>2043</v>
      </c>
      <c r="AG2" s="557">
        <v>2044</v>
      </c>
      <c r="AH2" s="557">
        <v>2045</v>
      </c>
      <c r="AI2" s="557">
        <v>2046</v>
      </c>
      <c r="AJ2" s="557">
        <v>2047</v>
      </c>
      <c r="AK2" s="557">
        <v>2048</v>
      </c>
      <c r="AL2" s="557">
        <v>2049</v>
      </c>
      <c r="AM2" s="557">
        <v>2050</v>
      </c>
    </row>
    <row r="3" spans="1:39" x14ac:dyDescent="0.25">
      <c r="A3" s="591" t="s">
        <v>475</v>
      </c>
      <c r="B3" s="588" t="s">
        <v>266</v>
      </c>
      <c r="C3">
        <v>2201</v>
      </c>
      <c r="D3">
        <f>'Cibles ThreeME v2 '!D3</f>
        <v>783.25856651127401</v>
      </c>
      <c r="E3">
        <f>'Cibles ThreeME v2 '!E3</f>
        <v>759.29147710674863</v>
      </c>
      <c r="F3">
        <f>'Cibles ThreeME v2 '!F3</f>
        <v>735.32438770222325</v>
      </c>
      <c r="G3">
        <f>'Cibles ThreeME v2 '!G3</f>
        <v>711.35729829769787</v>
      </c>
      <c r="H3">
        <f>'Cibles ThreeME v2 '!H3</f>
        <v>687.39020889317248</v>
      </c>
      <c r="I3">
        <f>'Cibles ThreeME v2 '!I3</f>
        <v>663.42311948864688</v>
      </c>
      <c r="J3">
        <f>'Cibles ThreeME v2 '!J3</f>
        <v>672.73407743391556</v>
      </c>
      <c r="K3">
        <f>'Cibles ThreeME v2 '!K3</f>
        <v>682.04503537918424</v>
      </c>
      <c r="L3">
        <f>'Cibles THREEME AMS'!$AV4+'Cibles THREEME AMS'!$AV6</f>
        <v>691.35599332445304</v>
      </c>
      <c r="M3">
        <f>(L3+N3)/2</f>
        <v>667.37400398918237</v>
      </c>
      <c r="N3">
        <f>'Cibles THREEME AMS'!$AW4+'Cibles THREEME AMS'!$AW6</f>
        <v>643.3920146539117</v>
      </c>
      <c r="O3">
        <f>N3+(Q3-N3)/3</f>
        <v>614.06124971664747</v>
      </c>
      <c r="P3">
        <f>O3+(Q3-N3)/3</f>
        <v>584.73048477938323</v>
      </c>
      <c r="Q3">
        <f>'Cibles THREEME AMS'!$AX4+'Cibles THREEME AMS'!$AX6</f>
        <v>555.39971984211911</v>
      </c>
      <c r="R3">
        <f>(Q3+S3)/2</f>
        <v>527.3933499073753</v>
      </c>
      <c r="S3">
        <f>'Cibles THREEME AMS'!$AY4+'Cibles THREEME AMS'!$AY6</f>
        <v>499.38697997263137</v>
      </c>
      <c r="T3">
        <f>S3+(V3-S3)/3</f>
        <v>469.75917275197622</v>
      </c>
      <c r="U3">
        <f>T3+(V3-S3)/3</f>
        <v>440.13136553132108</v>
      </c>
      <c r="V3">
        <f>'Cibles THREEME AMS'!$AZ4+'Cibles THREEME AMS'!$AZ6</f>
        <v>410.50355831066599</v>
      </c>
      <c r="W3">
        <f>(V3+X3)/2</f>
        <v>381.56265309221925</v>
      </c>
      <c r="X3">
        <f>'Cibles THREEME AMS'!$BA4+'Cibles THREEME AMS'!$BA6</f>
        <v>352.62174787377251</v>
      </c>
      <c r="Y3">
        <f>X3+(AA3-X3)/3</f>
        <v>326.38922338766207</v>
      </c>
      <c r="Z3">
        <f>Y3+(AA3-X3)/3</f>
        <v>300.15669890155164</v>
      </c>
      <c r="AA3">
        <f>'Cibles THREEME AMS'!$BB4+'Cibles THREEME AMS'!$BB6</f>
        <v>273.92417441544114</v>
      </c>
      <c r="AB3">
        <f>(AA3+AC3)/2</f>
        <v>247.9581125287018</v>
      </c>
      <c r="AC3">
        <f>'Cibles THREEME AMS'!$BC4+'Cibles THREEME AMS'!$BC6</f>
        <v>221.99205064196246</v>
      </c>
      <c r="AD3">
        <f>AC3+(AH3-AC3)/5</f>
        <v>203.68539247325594</v>
      </c>
      <c r="AE3">
        <f>AD3+(AH3-AC3)/5</f>
        <v>185.37873430454943</v>
      </c>
      <c r="AF3">
        <f>AE3+(AH3-AC3)/5</f>
        <v>167.07207613584291</v>
      </c>
      <c r="AG3">
        <f>AF3+(AH3-AC3)/5</f>
        <v>148.76541796713639</v>
      </c>
      <c r="AH3">
        <f>'Cibles THREEME AMS'!$BD4+'Cibles THREEME AMS'!$BD6</f>
        <v>130.45875979842981</v>
      </c>
      <c r="AI3">
        <f>AH3+(AM3-AH3)/5</f>
        <v>123.16988358704623</v>
      </c>
      <c r="AJ3">
        <f>AI3+(AM3-AH3)/5</f>
        <v>115.88100737566265</v>
      </c>
      <c r="AK3">
        <f>AJ3+(AM3-AH3)/5</f>
        <v>108.59213116427907</v>
      </c>
      <c r="AL3">
        <f>AK3+(AM3-AH3)/5</f>
        <v>101.30325495289549</v>
      </c>
      <c r="AM3">
        <f>'Cibles THREEME AMS'!$BE4+'Cibles THREEME AMS'!$BE6</f>
        <v>94.014378741511905</v>
      </c>
    </row>
    <row r="4" spans="1:39" ht="15.75" thickBot="1" x14ac:dyDescent="0.3">
      <c r="A4" s="592"/>
      <c r="B4" s="590" t="s">
        <v>343</v>
      </c>
      <c r="C4">
        <v>2202</v>
      </c>
      <c r="D4">
        <f>'Cibles ThreeME v2 '!D4</f>
        <v>36.322327193928011</v>
      </c>
      <c r="E4">
        <f>'Cibles ThreeME v2 '!E4</f>
        <v>35.804147658651445</v>
      </c>
      <c r="F4">
        <f>'Cibles ThreeME v2 '!F4</f>
        <v>35.285968123374879</v>
      </c>
      <c r="G4">
        <f>'Cibles ThreeME v2 '!G4</f>
        <v>34.767788588098313</v>
      </c>
      <c r="H4">
        <f>'Cibles ThreeME v2 '!H4</f>
        <v>34.249609052821747</v>
      </c>
      <c r="I4">
        <f>'Cibles ThreeME v2 '!I4</f>
        <v>33.731429517545166</v>
      </c>
      <c r="J4">
        <f>'Cibles ThreeME v2 '!J4</f>
        <v>36.105376613050325</v>
      </c>
      <c r="K4">
        <f>'Cibles ThreeME v2 '!K4</f>
        <v>38.479323708555484</v>
      </c>
      <c r="L4">
        <f>'Cibles THREEME AMS'!$AV5+'Cibles THREEME AMS'!$AV7</f>
        <v>40.853270804060642</v>
      </c>
      <c r="M4">
        <f t="shared" ref="M4:M12" si="0">(L4+N4)/2</f>
        <v>40.663367370078205</v>
      </c>
      <c r="N4">
        <f>'Cibles THREEME AMS'!$AW5+'Cibles THREEME AMS'!$AW7</f>
        <v>40.473463936095762</v>
      </c>
      <c r="O4">
        <f t="shared" ref="O4:O12" si="1">N4+(Q4-N4)/3</f>
        <v>40.829618851042142</v>
      </c>
      <c r="P4">
        <f t="shared" ref="P4:P12" si="2">O4+(Q4-N4)/3</f>
        <v>41.185773765988522</v>
      </c>
      <c r="Q4">
        <f>'Cibles THREEME AMS'!$AX5+'Cibles THREEME AMS'!$AX7</f>
        <v>41.541928680934895</v>
      </c>
      <c r="R4">
        <f t="shared" ref="R4:R12" si="3">(Q4+S4)/2</f>
        <v>41.869508132282107</v>
      </c>
      <c r="S4">
        <f>'Cibles THREEME AMS'!$AY5+'Cibles THREEME AMS'!$AY7</f>
        <v>42.197087583629326</v>
      </c>
      <c r="T4">
        <f t="shared" ref="T4:T12" si="4">S4+(V4-S4)/3</f>
        <v>43.960990587523817</v>
      </c>
      <c r="U4">
        <f t="shared" ref="U4:U12" si="5">T4+(V4-S4)/3</f>
        <v>45.724893591418308</v>
      </c>
      <c r="V4">
        <f>'Cibles THREEME AMS'!$AZ5+'Cibles THREEME AMS'!$AZ7</f>
        <v>47.488796595312806</v>
      </c>
      <c r="W4">
        <f t="shared" ref="W4:W12" si="6">(V4+X4)/2</f>
        <v>49.147647556595345</v>
      </c>
      <c r="X4">
        <f>'Cibles THREEME AMS'!$BA5+'Cibles THREEME AMS'!$BA7</f>
        <v>50.806498517877884</v>
      </c>
      <c r="Y4">
        <f t="shared" ref="Y4:Y12" si="7">X4+(AA4-X4)/3</f>
        <v>50.892858448803764</v>
      </c>
      <c r="Z4">
        <f t="shared" ref="Z4:Z12" si="8">Y4+(AA4-X4)/3</f>
        <v>50.979218379729645</v>
      </c>
      <c r="AA4">
        <f>'Cibles THREEME AMS'!$BB5+'Cibles THREEME AMS'!$BB7</f>
        <v>51.065578310655518</v>
      </c>
      <c r="AB4">
        <f t="shared" ref="AB4:AB12" si="9">(AA4+AC4)/2</f>
        <v>50.984136641138804</v>
      </c>
      <c r="AC4">
        <f>'Cibles THREEME AMS'!$BC5+'Cibles THREEME AMS'!$BC7</f>
        <v>50.902694971622083</v>
      </c>
      <c r="AD4">
        <f t="shared" ref="AD4:AD12" si="10">AC4+(AH4-AC4)/5</f>
        <v>50.325925205547264</v>
      </c>
      <c r="AE4">
        <f t="shared" ref="AE4:AE12" si="11">AD4+(AH4-AC4)/5</f>
        <v>49.749155439472446</v>
      </c>
      <c r="AF4">
        <f t="shared" ref="AF4:AF12" si="12">AE4+(AH4-AC4)/5</f>
        <v>49.172385673397628</v>
      </c>
      <c r="AG4">
        <f t="shared" ref="AG4:AG12" si="13">AF4+(AH4-AC4)/5</f>
        <v>48.595615907322809</v>
      </c>
      <c r="AH4">
        <f>'Cibles THREEME AMS'!$BD5+'Cibles THREEME AMS'!$BD7</f>
        <v>48.018846141247977</v>
      </c>
      <c r="AI4">
        <f t="shared" ref="AI4:AI12" si="14">AH4+(AM4-AH4)/5</f>
        <v>46.354282348592442</v>
      </c>
      <c r="AJ4">
        <f t="shared" ref="AJ4:AJ12" si="15">AI4+(AM4-AH4)/5</f>
        <v>44.689718555936906</v>
      </c>
      <c r="AK4">
        <f t="shared" ref="AK4:AK12" si="16">AJ4+(AM4-AH4)/5</f>
        <v>43.025154763281371</v>
      </c>
      <c r="AL4">
        <f t="shared" ref="AL4:AL12" si="17">AK4+(AM4-AH4)/5</f>
        <v>41.360590970625836</v>
      </c>
      <c r="AM4">
        <f>'Cibles THREEME AMS'!$BE5+'Cibles THREEME AMS'!$BE7</f>
        <v>39.696027177970294</v>
      </c>
    </row>
    <row r="5" spans="1:39" x14ac:dyDescent="0.25">
      <c r="A5" s="591"/>
      <c r="B5" s="588" t="s">
        <v>20</v>
      </c>
      <c r="C5">
        <v>2301</v>
      </c>
      <c r="D5">
        <f>'Cibles ThreeME v2 '!D5</f>
        <v>344.00551986413979</v>
      </c>
      <c r="E5">
        <f>'Cibles ThreeME v2 '!E5</f>
        <v>331.37569948446134</v>
      </c>
      <c r="F5">
        <f>'Cibles ThreeME v2 '!F5</f>
        <v>318.74587910478289</v>
      </c>
      <c r="G5">
        <f>'Cibles ThreeME v2 '!G5</f>
        <v>306.11605872510444</v>
      </c>
      <c r="H5">
        <f>'Cibles ThreeME v2 '!H5</f>
        <v>293.48623834542599</v>
      </c>
      <c r="I5">
        <f>'Cibles ThreeME v2 '!I5</f>
        <v>280.85641796574743</v>
      </c>
      <c r="J5">
        <f>'Cibles ThreeME v2 '!J5</f>
        <v>276.4363866160175</v>
      </c>
      <c r="K5">
        <f>'Cibles ThreeME v2 '!K5</f>
        <v>272.01635526628758</v>
      </c>
      <c r="L5">
        <f>'Cibles THREEME AMS'!$AV9</f>
        <v>267.59632391655759</v>
      </c>
      <c r="M5">
        <f t="shared" si="0"/>
        <v>273.67279730466021</v>
      </c>
      <c r="N5">
        <f>'Cibles THREEME AMS'!$AW9</f>
        <v>279.74927069276276</v>
      </c>
      <c r="O5">
        <f t="shared" si="1"/>
        <v>281.32501500412502</v>
      </c>
      <c r="P5">
        <f t="shared" si="2"/>
        <v>282.90075931548728</v>
      </c>
      <c r="Q5">
        <f>'Cibles THREEME AMS'!$AX9</f>
        <v>284.47650362684959</v>
      </c>
      <c r="R5">
        <f t="shared" si="3"/>
        <v>287.97179133616191</v>
      </c>
      <c r="S5">
        <f>'Cibles THREEME AMS'!$AY9</f>
        <v>291.46707904547418</v>
      </c>
      <c r="T5">
        <f t="shared" si="4"/>
        <v>286.19595186687513</v>
      </c>
      <c r="U5">
        <f t="shared" si="5"/>
        <v>280.92482468827609</v>
      </c>
      <c r="V5">
        <f>'Cibles THREEME AMS'!$AZ9</f>
        <v>275.6536975096771</v>
      </c>
      <c r="W5">
        <f t="shared" si="6"/>
        <v>272.26417093232328</v>
      </c>
      <c r="X5">
        <f>'Cibles THREEME AMS'!$BA9</f>
        <v>268.87464435496946</v>
      </c>
      <c r="Y5">
        <f t="shared" si="7"/>
        <v>268.57420631361663</v>
      </c>
      <c r="Z5">
        <f t="shared" si="8"/>
        <v>268.27376827226379</v>
      </c>
      <c r="AA5">
        <f>'Cibles THREEME AMS'!$BB9</f>
        <v>267.9733302309109</v>
      </c>
      <c r="AB5">
        <f t="shared" si="9"/>
        <v>267.51418602902129</v>
      </c>
      <c r="AC5">
        <f>'Cibles THREEME AMS'!$BC9</f>
        <v>267.05504182713167</v>
      </c>
      <c r="AD5">
        <f t="shared" si="10"/>
        <v>259.58916810466076</v>
      </c>
      <c r="AE5">
        <f t="shared" si="11"/>
        <v>252.12329438218984</v>
      </c>
      <c r="AF5">
        <f t="shared" si="12"/>
        <v>244.65742065971892</v>
      </c>
      <c r="AG5">
        <f t="shared" si="13"/>
        <v>237.19154693724801</v>
      </c>
      <c r="AH5">
        <f>'Cibles THREEME AMS'!$BD9</f>
        <v>229.72567321477706</v>
      </c>
      <c r="AI5">
        <f t="shared" si="14"/>
        <v>219.84012671042191</v>
      </c>
      <c r="AJ5">
        <f t="shared" si="15"/>
        <v>209.95458020606677</v>
      </c>
      <c r="AK5">
        <f t="shared" si="16"/>
        <v>200.06903370171162</v>
      </c>
      <c r="AL5">
        <f t="shared" si="17"/>
        <v>190.18348719735647</v>
      </c>
      <c r="AM5">
        <f>'Cibles THREEME AMS'!$BE9</f>
        <v>180.29794069300132</v>
      </c>
    </row>
    <row r="6" spans="1:39" x14ac:dyDescent="0.25">
      <c r="A6" s="593"/>
      <c r="B6" s="589" t="s">
        <v>224</v>
      </c>
      <c r="C6">
        <f>C5+1</f>
        <v>2302</v>
      </c>
      <c r="D6">
        <f>'Cibles ThreeME v2 '!D6</f>
        <v>2.7160460114866836</v>
      </c>
      <c r="E6">
        <f>'Cibles ThreeME v2 '!E6</f>
        <v>2.4082247108095838</v>
      </c>
      <c r="F6">
        <f>'Cibles ThreeME v2 '!F6</f>
        <v>2.100403410132484</v>
      </c>
      <c r="G6">
        <f>'Cibles ThreeME v2 '!G6</f>
        <v>1.7925821094553842</v>
      </c>
      <c r="H6">
        <f>'Cibles ThreeME v2 '!H6</f>
        <v>1.4847608087782844</v>
      </c>
      <c r="I6">
        <f>'Cibles ThreeME v2 '!I6</f>
        <v>1.1769395081011844</v>
      </c>
      <c r="J6">
        <f>'Cibles ThreeME v2 '!J6</f>
        <v>1.6568887271483279</v>
      </c>
      <c r="K6">
        <f>'Cibles ThreeME v2 '!K6</f>
        <v>2.1368379461954716</v>
      </c>
      <c r="L6">
        <f>'Cibles THREEME AMS'!$AV10</f>
        <v>2.6167871652426151</v>
      </c>
      <c r="M6">
        <f t="shared" si="0"/>
        <v>2.0737316609439089</v>
      </c>
      <c r="N6">
        <f>'Cibles THREEME AMS'!$AW10</f>
        <v>1.5306761566452027</v>
      </c>
      <c r="O6">
        <f t="shared" si="1"/>
        <v>1.1973764277842043</v>
      </c>
      <c r="P6">
        <f t="shared" si="2"/>
        <v>0.86407669892320582</v>
      </c>
      <c r="Q6">
        <f>'Cibles THREEME AMS'!$AX10</f>
        <v>0.53077697006220725</v>
      </c>
      <c r="R6">
        <f t="shared" si="3"/>
        <v>0.39470345210447577</v>
      </c>
      <c r="S6">
        <f>'Cibles THREEME AMS'!$AY10</f>
        <v>0.25862993414674429</v>
      </c>
      <c r="T6">
        <f t="shared" si="4"/>
        <v>0.25584481181609015</v>
      </c>
      <c r="U6">
        <f t="shared" si="5"/>
        <v>0.253059689485436</v>
      </c>
      <c r="V6">
        <f>'Cibles THREEME AMS'!$AZ10</f>
        <v>0.25027456715478191</v>
      </c>
      <c r="W6">
        <f t="shared" si="6"/>
        <v>0.24904949251443134</v>
      </c>
      <c r="X6">
        <f>'Cibles THREEME AMS'!$BA10</f>
        <v>0.24782441787408077</v>
      </c>
      <c r="Y6">
        <f t="shared" si="7"/>
        <v>0.20132120052990216</v>
      </c>
      <c r="Z6">
        <f t="shared" si="8"/>
        <v>0.15481798318572354</v>
      </c>
      <c r="AA6">
        <f>'Cibles THREEME AMS'!$BB10</f>
        <v>0.10831476584154495</v>
      </c>
      <c r="AB6">
        <f t="shared" si="9"/>
        <v>0.11390112484226626</v>
      </c>
      <c r="AC6">
        <f>'Cibles THREEME AMS'!$BC10</f>
        <v>0.11948748384298757</v>
      </c>
      <c r="AD6">
        <f t="shared" si="10"/>
        <v>0.11558998707439005</v>
      </c>
      <c r="AE6">
        <f t="shared" si="11"/>
        <v>0.11169249030579254</v>
      </c>
      <c r="AF6">
        <f t="shared" si="12"/>
        <v>0.10779499353719502</v>
      </c>
      <c r="AG6">
        <f t="shared" si="13"/>
        <v>0.1038974967685975</v>
      </c>
      <c r="AH6">
        <f>'Cibles THREEME AMS'!$BD10</f>
        <v>0.1</v>
      </c>
      <c r="AI6">
        <f t="shared" si="14"/>
        <v>0.1</v>
      </c>
      <c r="AJ6">
        <f t="shared" si="15"/>
        <v>0.1</v>
      </c>
      <c r="AK6">
        <f t="shared" si="16"/>
        <v>0.1</v>
      </c>
      <c r="AL6">
        <f t="shared" si="17"/>
        <v>0.1</v>
      </c>
      <c r="AM6">
        <f>'Cibles THREEME AMS'!$BE10</f>
        <v>0.1</v>
      </c>
    </row>
    <row r="7" spans="1:39" x14ac:dyDescent="0.25">
      <c r="A7" s="593"/>
      <c r="B7" s="589" t="s">
        <v>32</v>
      </c>
      <c r="C7">
        <f t="shared" ref="C7:C12" si="18">C6+1</f>
        <v>2303</v>
      </c>
      <c r="D7">
        <f>'Cibles ThreeME v2 '!D7</f>
        <v>17.863365766180937</v>
      </c>
      <c r="E7">
        <f>'Cibles ThreeME v2 '!E7</f>
        <v>19.271628449455005</v>
      </c>
      <c r="F7">
        <f>'Cibles ThreeME v2 '!F7</f>
        <v>20.679891132729072</v>
      </c>
      <c r="G7">
        <f>'Cibles ThreeME v2 '!G7</f>
        <v>22.088153816003139</v>
      </c>
      <c r="H7">
        <f>'Cibles ThreeME v2 '!H7</f>
        <v>23.496416499277206</v>
      </c>
      <c r="I7">
        <f>'Cibles ThreeME v2 '!I7</f>
        <v>24.904679182551273</v>
      </c>
      <c r="J7">
        <f>'Cibles ThreeME v2 '!J7</f>
        <v>23.696159455925354</v>
      </c>
      <c r="K7">
        <f>'Cibles ThreeME v2 '!K7</f>
        <v>22.487639729299435</v>
      </c>
      <c r="L7">
        <f>'Cibles THREEME AMS'!$AV11+'Cibles THREEME AMS'!$AV13</f>
        <v>21.279120002673519</v>
      </c>
      <c r="M7">
        <f t="shared" si="0"/>
        <v>24.757368516397406</v>
      </c>
      <c r="N7">
        <f>'Cibles THREEME AMS'!$AW11+'Cibles THREEME AMS'!$AW13</f>
        <v>28.235617030121297</v>
      </c>
      <c r="O7">
        <f t="shared" si="1"/>
        <v>28.23662404491597</v>
      </c>
      <c r="P7">
        <f t="shared" si="2"/>
        <v>28.237631059710644</v>
      </c>
      <c r="Q7">
        <f>'Cibles THREEME AMS'!$AX11+'Cibles THREEME AMS'!$AX13</f>
        <v>28.238638074505317</v>
      </c>
      <c r="R7">
        <f t="shared" si="3"/>
        <v>25.084197210238315</v>
      </c>
      <c r="S7">
        <f>'Cibles THREEME AMS'!$AY11+'Cibles THREEME AMS'!$AY13</f>
        <v>21.92975634597131</v>
      </c>
      <c r="T7">
        <f t="shared" si="4"/>
        <v>20.362508584527141</v>
      </c>
      <c r="U7">
        <f t="shared" si="5"/>
        <v>18.795260823082973</v>
      </c>
      <c r="V7">
        <f>'Cibles THREEME AMS'!$AZ11+'Cibles THREEME AMS'!$AZ13</f>
        <v>17.228013061638809</v>
      </c>
      <c r="W7">
        <f t="shared" si="6"/>
        <v>15.886355454598586</v>
      </c>
      <c r="X7">
        <f>'Cibles THREEME AMS'!$BA11+'Cibles THREEME AMS'!$BA13</f>
        <v>14.544697847558366</v>
      </c>
      <c r="Y7">
        <f t="shared" si="7"/>
        <v>11.568712979918852</v>
      </c>
      <c r="Z7">
        <f t="shared" si="8"/>
        <v>8.5927281122793371</v>
      </c>
      <c r="AA7">
        <f>'Cibles THREEME AMS'!$BB11+'Cibles THREEME AMS'!$BB13</f>
        <v>5.6167432446398244</v>
      </c>
      <c r="AB7">
        <f t="shared" si="9"/>
        <v>3.4820814343331317</v>
      </c>
      <c r="AC7">
        <f>'Cibles THREEME AMS'!$BC11+'Cibles THREEME AMS'!$BC13</f>
        <v>1.3474196240264387</v>
      </c>
      <c r="AD7">
        <f t="shared" si="10"/>
        <v>1.3477132797214808</v>
      </c>
      <c r="AE7">
        <f t="shared" si="11"/>
        <v>1.3480069354165229</v>
      </c>
      <c r="AF7">
        <f t="shared" si="12"/>
        <v>1.3483005911115651</v>
      </c>
      <c r="AG7">
        <f t="shared" si="13"/>
        <v>1.3485942468066072</v>
      </c>
      <c r="AH7">
        <f>'Cibles THREEME AMS'!$BD11+'Cibles THREEME AMS'!$BD13</f>
        <v>1.3488879025016489</v>
      </c>
      <c r="AI7">
        <f t="shared" si="14"/>
        <v>1.3487845574552519</v>
      </c>
      <c r="AJ7">
        <f t="shared" si="15"/>
        <v>1.348681212408855</v>
      </c>
      <c r="AK7">
        <f t="shared" si="16"/>
        <v>1.348577867362458</v>
      </c>
      <c r="AL7">
        <f t="shared" si="17"/>
        <v>1.348474522316061</v>
      </c>
      <c r="AM7">
        <f>'Cibles THREEME AMS'!$BE11+'Cibles THREEME AMS'!$BE13</f>
        <v>1.348371177269664</v>
      </c>
    </row>
    <row r="8" spans="1:39" x14ac:dyDescent="0.25">
      <c r="A8" s="593" t="s">
        <v>104</v>
      </c>
      <c r="B8" s="589" t="s">
        <v>42</v>
      </c>
      <c r="C8">
        <f t="shared" si="18"/>
        <v>2304</v>
      </c>
      <c r="D8">
        <f>'Cibles ThreeME v2 '!D8</f>
        <v>8.3735738643911386</v>
      </c>
      <c r="E8">
        <f>'Cibles ThreeME v2 '!E8</f>
        <v>7.1628092069632139</v>
      </c>
      <c r="F8">
        <f>'Cibles ThreeME v2 '!F8</f>
        <v>5.9520445495352892</v>
      </c>
      <c r="G8">
        <f>'Cibles ThreeME v2 '!G8</f>
        <v>4.7412798921073644</v>
      </c>
      <c r="H8">
        <f>'Cibles ThreeME v2 '!H8</f>
        <v>3.5305152346794393</v>
      </c>
      <c r="I8">
        <f>'Cibles ThreeME v2 '!I8</f>
        <v>2.3197505772515123</v>
      </c>
      <c r="J8">
        <f>'Cibles ThreeME v2 '!J8</f>
        <v>2.205867816668464</v>
      </c>
      <c r="K8">
        <f>'Cibles ThreeME v2 '!K8</f>
        <v>2.0919850560854156</v>
      </c>
      <c r="L8">
        <f>'Cibles THREEME AMS'!$AV12</f>
        <v>1.9781022955023679</v>
      </c>
      <c r="M8">
        <f t="shared" si="0"/>
        <v>1.2890511477511839</v>
      </c>
      <c r="N8">
        <f>'Cibles THREEME AMS'!$AW12</f>
        <v>0.6</v>
      </c>
      <c r="O8">
        <f t="shared" si="1"/>
        <v>0.46666666666666667</v>
      </c>
      <c r="P8">
        <f t="shared" si="2"/>
        <v>0.33333333333333337</v>
      </c>
      <c r="Q8">
        <f>'Cibles THREEME AMS'!$AX12</f>
        <v>0.2</v>
      </c>
      <c r="R8">
        <f t="shared" si="3"/>
        <v>0.2</v>
      </c>
      <c r="S8">
        <f>'Cibles THREEME AMS'!$AY12</f>
        <v>0.2</v>
      </c>
      <c r="T8">
        <f t="shared" si="4"/>
        <v>0.16666666666666669</v>
      </c>
      <c r="U8">
        <f t="shared" si="5"/>
        <v>0.13333333333333336</v>
      </c>
      <c r="V8">
        <f>'Cibles THREEME AMS'!$AZ12</f>
        <v>0.1</v>
      </c>
      <c r="W8">
        <f t="shared" si="6"/>
        <v>0.1</v>
      </c>
      <c r="X8">
        <f>'Cibles THREEME AMS'!$BA12</f>
        <v>0.1</v>
      </c>
      <c r="Y8">
        <f t="shared" si="7"/>
        <v>0.1</v>
      </c>
      <c r="Z8">
        <f t="shared" si="8"/>
        <v>0.1</v>
      </c>
      <c r="AA8">
        <f>'Cibles THREEME AMS'!$BB12</f>
        <v>0.1</v>
      </c>
      <c r="AB8">
        <f t="shared" si="9"/>
        <v>0.1</v>
      </c>
      <c r="AC8">
        <f>'Cibles THREEME AMS'!$BC12</f>
        <v>0.1</v>
      </c>
      <c r="AD8">
        <f t="shared" si="10"/>
        <v>0.1</v>
      </c>
      <c r="AE8">
        <f t="shared" si="11"/>
        <v>0.1</v>
      </c>
      <c r="AF8">
        <f t="shared" si="12"/>
        <v>0.1</v>
      </c>
      <c r="AG8">
        <f t="shared" si="13"/>
        <v>0.1</v>
      </c>
      <c r="AH8">
        <f>'Cibles THREEME AMS'!$BD12</f>
        <v>0.1</v>
      </c>
      <c r="AI8">
        <f t="shared" si="14"/>
        <v>0.1</v>
      </c>
      <c r="AJ8">
        <f t="shared" si="15"/>
        <v>0.1</v>
      </c>
      <c r="AK8">
        <f t="shared" si="16"/>
        <v>0.1</v>
      </c>
      <c r="AL8">
        <f t="shared" si="17"/>
        <v>0.1</v>
      </c>
      <c r="AM8">
        <f>'Cibles THREEME AMS'!$BE12</f>
        <v>0.1</v>
      </c>
    </row>
    <row r="9" spans="1:39" x14ac:dyDescent="0.25">
      <c r="A9" s="593"/>
      <c r="B9" s="589" t="s">
        <v>473</v>
      </c>
      <c r="C9">
        <f t="shared" si="18"/>
        <v>2305</v>
      </c>
      <c r="D9">
        <f>'Cibles ThreeME v2 '!D9</f>
        <v>23.69299569913635</v>
      </c>
      <c r="E9">
        <f>'Cibles ThreeME v2 '!E9</f>
        <v>25.748577998446258</v>
      </c>
      <c r="F9">
        <f>'Cibles ThreeME v2 '!F9</f>
        <v>27.804160297756166</v>
      </c>
      <c r="G9">
        <f>'Cibles ThreeME v2 '!G9</f>
        <v>29.859742597066074</v>
      </c>
      <c r="H9">
        <f>'Cibles ThreeME v2 '!H9</f>
        <v>31.915324896375981</v>
      </c>
      <c r="I9">
        <f>'Cibles ThreeME v2 '!I9</f>
        <v>33.970907195685882</v>
      </c>
      <c r="J9">
        <f>'Cibles ThreeME v2 '!J9</f>
        <v>35.543525356580744</v>
      </c>
      <c r="K9">
        <f>'Cibles ThreeME v2 '!K9</f>
        <v>37.116143517475606</v>
      </c>
      <c r="L9">
        <f>'Cibles THREEME AMS'!$AV14</f>
        <v>38.688761678370462</v>
      </c>
      <c r="M9">
        <f t="shared" si="0"/>
        <v>42.412374468079776</v>
      </c>
      <c r="N9">
        <f>'Cibles THREEME AMS'!$AW14</f>
        <v>46.13598725778909</v>
      </c>
      <c r="O9">
        <f t="shared" si="1"/>
        <v>49.302079974381705</v>
      </c>
      <c r="P9">
        <f t="shared" si="2"/>
        <v>52.46817269097432</v>
      </c>
      <c r="Q9">
        <f>'Cibles THREEME AMS'!$AX14</f>
        <v>55.634265407566943</v>
      </c>
      <c r="R9">
        <f t="shared" si="3"/>
        <v>59.24835516441069</v>
      </c>
      <c r="S9">
        <f>'Cibles THREEME AMS'!$AY14</f>
        <v>62.862444921254436</v>
      </c>
      <c r="T9">
        <f t="shared" si="4"/>
        <v>71.126888188982875</v>
      </c>
      <c r="U9">
        <f t="shared" si="5"/>
        <v>79.391331456711313</v>
      </c>
      <c r="V9">
        <f>'Cibles THREEME AMS'!$AZ14</f>
        <v>87.655774724439738</v>
      </c>
      <c r="W9">
        <f t="shared" si="6"/>
        <v>95.577834757513415</v>
      </c>
      <c r="X9">
        <f>'Cibles THREEME AMS'!$BA14</f>
        <v>103.49989479058709</v>
      </c>
      <c r="Y9">
        <f t="shared" si="7"/>
        <v>110.02210842515902</v>
      </c>
      <c r="Z9">
        <f t="shared" si="8"/>
        <v>116.54432205973094</v>
      </c>
      <c r="AA9">
        <f>'Cibles THREEME AMS'!$BB14</f>
        <v>123.06653569430287</v>
      </c>
      <c r="AB9">
        <f t="shared" si="9"/>
        <v>129.21272017836071</v>
      </c>
      <c r="AC9">
        <f>'Cibles THREEME AMS'!$BC14</f>
        <v>135.35890466241858</v>
      </c>
      <c r="AD9">
        <f t="shared" si="10"/>
        <v>142.61600948824872</v>
      </c>
      <c r="AE9">
        <f t="shared" si="11"/>
        <v>149.87311431407886</v>
      </c>
      <c r="AF9">
        <f t="shared" si="12"/>
        <v>157.130219139909</v>
      </c>
      <c r="AG9">
        <f t="shared" si="13"/>
        <v>164.38732396573914</v>
      </c>
      <c r="AH9">
        <f>'Cibles THREEME AMS'!$BD14</f>
        <v>171.64442879156925</v>
      </c>
      <c r="AI9">
        <f t="shared" si="14"/>
        <v>179.4038925477216</v>
      </c>
      <c r="AJ9">
        <f t="shared" si="15"/>
        <v>187.16335630387394</v>
      </c>
      <c r="AK9">
        <f t="shared" si="16"/>
        <v>194.92282006002628</v>
      </c>
      <c r="AL9">
        <f t="shared" si="17"/>
        <v>202.68228381617863</v>
      </c>
      <c r="AM9">
        <f>'Cibles THREEME AMS'!$BE14</f>
        <v>210.44174757233097</v>
      </c>
    </row>
    <row r="10" spans="1:39" x14ac:dyDescent="0.25">
      <c r="A10" s="593"/>
      <c r="B10" s="589" t="s">
        <v>279</v>
      </c>
      <c r="C10">
        <f t="shared" si="18"/>
        <v>2306</v>
      </c>
      <c r="D10">
        <f>'Cibles ThreeME v2 '!D10</f>
        <v>10.441624707151435</v>
      </c>
      <c r="E10">
        <f>'Cibles ThreeME v2 '!E10</f>
        <v>11.347530367905</v>
      </c>
      <c r="F10">
        <f>'Cibles ThreeME v2 '!F10</f>
        <v>12.253436028658564</v>
      </c>
      <c r="G10">
        <f>'Cibles ThreeME v2 '!G10</f>
        <v>13.159341689412129</v>
      </c>
      <c r="H10">
        <f>'Cibles ThreeME v2 '!H10</f>
        <v>14.065247350165693</v>
      </c>
      <c r="I10">
        <f>'Cibles ThreeME v2 '!I10</f>
        <v>14.971153010919259</v>
      </c>
      <c r="J10">
        <f>'Cibles ThreeME v2 '!J10</f>
        <v>15.448926441757402</v>
      </c>
      <c r="K10">
        <f>'Cibles ThreeME v2 '!K10</f>
        <v>15.926699872595545</v>
      </c>
      <c r="L10">
        <f>'Cibles THREEME AMS'!$AV15</f>
        <v>16.40447330343369</v>
      </c>
      <c r="M10">
        <f t="shared" si="0"/>
        <v>20.678783934333772</v>
      </c>
      <c r="N10">
        <f>'Cibles THREEME AMS'!$AW15</f>
        <v>24.953094565233851</v>
      </c>
      <c r="O10">
        <f t="shared" si="1"/>
        <v>30.475181207282372</v>
      </c>
      <c r="P10">
        <f t="shared" si="2"/>
        <v>35.997267849330889</v>
      </c>
      <c r="Q10">
        <f>'Cibles THREEME AMS'!$AX15</f>
        <v>41.51935449137941</v>
      </c>
      <c r="R10">
        <f t="shared" si="3"/>
        <v>47.561627214018159</v>
      </c>
      <c r="S10">
        <f>'Cibles THREEME AMS'!$AY15</f>
        <v>53.603899936656916</v>
      </c>
      <c r="T10">
        <f t="shared" si="4"/>
        <v>56.694808966180965</v>
      </c>
      <c r="U10">
        <f t="shared" si="5"/>
        <v>59.785717995705014</v>
      </c>
      <c r="V10">
        <f>'Cibles THREEME AMS'!$AZ15</f>
        <v>62.876627025229055</v>
      </c>
      <c r="W10">
        <f t="shared" si="6"/>
        <v>66.11118515309505</v>
      </c>
      <c r="X10">
        <f>'Cibles THREEME AMS'!$BA15</f>
        <v>69.345743280961059</v>
      </c>
      <c r="Y10">
        <f t="shared" si="7"/>
        <v>73.267887917254043</v>
      </c>
      <c r="Z10">
        <f t="shared" si="8"/>
        <v>77.190032553547027</v>
      </c>
      <c r="AA10">
        <f>'Cibles THREEME AMS'!$BB15</f>
        <v>81.112177189840025</v>
      </c>
      <c r="AB10">
        <f t="shared" si="9"/>
        <v>84.802613932523457</v>
      </c>
      <c r="AC10">
        <f>'Cibles THREEME AMS'!$BC15</f>
        <v>88.493050675206902</v>
      </c>
      <c r="AD10">
        <f t="shared" si="10"/>
        <v>92.896402835762132</v>
      </c>
      <c r="AE10">
        <f t="shared" si="11"/>
        <v>97.299754996317361</v>
      </c>
      <c r="AF10">
        <f t="shared" si="12"/>
        <v>101.70310715687259</v>
      </c>
      <c r="AG10">
        <f t="shared" si="13"/>
        <v>106.10645931742782</v>
      </c>
      <c r="AH10">
        <f>'Cibles THREEME AMS'!$BD15</f>
        <v>110.50981147798304</v>
      </c>
      <c r="AI10">
        <f t="shared" si="14"/>
        <v>115.23635327456219</v>
      </c>
      <c r="AJ10">
        <f t="shared" si="15"/>
        <v>119.96289507114135</v>
      </c>
      <c r="AK10">
        <f t="shared" si="16"/>
        <v>124.6894368677205</v>
      </c>
      <c r="AL10">
        <f t="shared" si="17"/>
        <v>129.41597866429964</v>
      </c>
      <c r="AM10">
        <f>'Cibles THREEME AMS'!$BE15</f>
        <v>134.14252046087881</v>
      </c>
    </row>
    <row r="11" spans="1:39" x14ac:dyDescent="0.25">
      <c r="A11" s="593"/>
      <c r="B11" s="589" t="s">
        <v>18</v>
      </c>
      <c r="C11">
        <f t="shared" si="18"/>
        <v>2307</v>
      </c>
      <c r="D11">
        <f>'Cibles ThreeME v2 '!D11</f>
        <v>28.951777597101707</v>
      </c>
      <c r="E11">
        <f>'Cibles ThreeME v2 '!E11</f>
        <v>31.463606929191137</v>
      </c>
      <c r="F11">
        <f>'Cibles ThreeME v2 '!F11</f>
        <v>33.975436261280564</v>
      </c>
      <c r="G11">
        <f>'Cibles ThreeME v2 '!G11</f>
        <v>36.487265593369997</v>
      </c>
      <c r="H11">
        <f>'Cibles ThreeME v2 '!H11</f>
        <v>38.999094925459431</v>
      </c>
      <c r="I11">
        <f>'Cibles ThreeME v2 '!I11</f>
        <v>41.510924257548858</v>
      </c>
      <c r="J11">
        <f>'Cibles ThreeME v2 '!J11</f>
        <v>43.228089475453004</v>
      </c>
      <c r="K11">
        <f>'Cibles ThreeME v2 '!K11</f>
        <v>44.94525469335715</v>
      </c>
      <c r="L11">
        <f>'Cibles THREEME AMS'!$AV16</f>
        <v>46.662419911261296</v>
      </c>
      <c r="M11">
        <f t="shared" si="0"/>
        <v>42.998119053312379</v>
      </c>
      <c r="N11">
        <f>'Cibles THREEME AMS'!$AW16</f>
        <v>39.333818195363463</v>
      </c>
      <c r="O11">
        <f t="shared" si="1"/>
        <v>39.947595695420489</v>
      </c>
      <c r="P11">
        <f t="shared" si="2"/>
        <v>40.561373195477515</v>
      </c>
      <c r="Q11">
        <f>'Cibles THREEME AMS'!$AX16</f>
        <v>41.175150695534533</v>
      </c>
      <c r="R11">
        <f t="shared" si="3"/>
        <v>42.016631014963764</v>
      </c>
      <c r="S11">
        <f>'Cibles THREEME AMS'!$AY16</f>
        <v>42.858111334392987</v>
      </c>
      <c r="T11">
        <f t="shared" si="4"/>
        <v>41.575762835519626</v>
      </c>
      <c r="U11">
        <f t="shared" si="5"/>
        <v>40.293414336646265</v>
      </c>
      <c r="V11">
        <f>'Cibles THREEME AMS'!$AZ16</f>
        <v>39.011065837772911</v>
      </c>
      <c r="W11">
        <f t="shared" si="6"/>
        <v>38.256857762597406</v>
      </c>
      <c r="X11">
        <f>'Cibles THREEME AMS'!$BA16</f>
        <v>37.502649687421901</v>
      </c>
      <c r="Y11">
        <f t="shared" si="7"/>
        <v>37.232511553616483</v>
      </c>
      <c r="Z11">
        <f t="shared" si="8"/>
        <v>36.962373419811065</v>
      </c>
      <c r="AA11">
        <f>'Cibles THREEME AMS'!$BB16</f>
        <v>36.692235286005648</v>
      </c>
      <c r="AB11">
        <f t="shared" si="9"/>
        <v>36.404843534152747</v>
      </c>
      <c r="AC11">
        <f>'Cibles THREEME AMS'!$BC16</f>
        <v>36.117451782299845</v>
      </c>
      <c r="AD11">
        <f t="shared" si="10"/>
        <v>36.162600068140158</v>
      </c>
      <c r="AE11">
        <f t="shared" si="11"/>
        <v>36.20774835398047</v>
      </c>
      <c r="AF11">
        <f t="shared" si="12"/>
        <v>36.252896639820783</v>
      </c>
      <c r="AG11">
        <f t="shared" si="13"/>
        <v>36.298044925661095</v>
      </c>
      <c r="AH11">
        <f>'Cibles THREEME AMS'!$BD16</f>
        <v>36.343193211501401</v>
      </c>
      <c r="AI11">
        <f t="shared" si="14"/>
        <v>36.476408237882538</v>
      </c>
      <c r="AJ11">
        <f t="shared" si="15"/>
        <v>36.609623264263675</v>
      </c>
      <c r="AK11">
        <f t="shared" si="16"/>
        <v>36.742838290644812</v>
      </c>
      <c r="AL11">
        <f t="shared" si="17"/>
        <v>36.876053317025949</v>
      </c>
      <c r="AM11">
        <f>'Cibles THREEME AMS'!$BE16</f>
        <v>37.009268343407093</v>
      </c>
    </row>
    <row r="12" spans="1:39" ht="15.75" thickBot="1" x14ac:dyDescent="0.3">
      <c r="A12" s="592"/>
      <c r="B12" s="590" t="s">
        <v>476</v>
      </c>
      <c r="C12">
        <f t="shared" si="18"/>
        <v>2308</v>
      </c>
      <c r="D12">
        <f>'Cibles ThreeME v2 '!D12</f>
        <v>7.2355626344902202</v>
      </c>
      <c r="E12">
        <f>'Cibles ThreeME v2 '!E12</f>
        <v>6.7753092871908258</v>
      </c>
      <c r="F12">
        <f>'Cibles ThreeME v2 '!F12</f>
        <v>6.3150559398914314</v>
      </c>
      <c r="G12">
        <f>'Cibles ThreeME v2 '!G12</f>
        <v>5.8548025925920371</v>
      </c>
      <c r="H12">
        <f>'Cibles ThreeME v2 '!H12</f>
        <v>5.3945492452926427</v>
      </c>
      <c r="I12">
        <f>'Cibles ThreeME v2 '!I12</f>
        <v>4.9342958979932492</v>
      </c>
      <c r="J12">
        <f>'Cibles ThreeME v2 '!J12</f>
        <v>5.1671082345478849</v>
      </c>
      <c r="K12">
        <f>'Cibles ThreeME v2 '!K12</f>
        <v>5.3999205711025207</v>
      </c>
      <c r="L12">
        <f>'Cibles THREEME AMS'!$AV17</f>
        <v>5.6327329076571555</v>
      </c>
      <c r="M12">
        <f t="shared" si="0"/>
        <v>6.8442941280687108</v>
      </c>
      <c r="N12">
        <f>'Cibles THREEME AMS'!$AW17</f>
        <v>8.0558553484802662</v>
      </c>
      <c r="O12">
        <f t="shared" si="1"/>
        <v>7.9063876520865746</v>
      </c>
      <c r="P12">
        <f t="shared" si="2"/>
        <v>7.756919955692883</v>
      </c>
      <c r="Q12">
        <f>'Cibles THREEME AMS'!$AX17</f>
        <v>7.6074522592991904</v>
      </c>
      <c r="R12">
        <f t="shared" si="3"/>
        <v>7.5582582788197747</v>
      </c>
      <c r="S12">
        <f>'Cibles THREEME AMS'!$AY17</f>
        <v>7.5090642983403599</v>
      </c>
      <c r="T12">
        <f t="shared" si="4"/>
        <v>7.943539638552549</v>
      </c>
      <c r="U12">
        <f t="shared" si="5"/>
        <v>8.3780149787647389</v>
      </c>
      <c r="V12">
        <f>'Cibles THREEME AMS'!$AZ17</f>
        <v>8.812490318976927</v>
      </c>
      <c r="W12">
        <f t="shared" si="6"/>
        <v>9.2334291872468732</v>
      </c>
      <c r="X12">
        <f>'Cibles THREEME AMS'!$BA17</f>
        <v>9.6543680555168212</v>
      </c>
      <c r="Y12">
        <f t="shared" si="7"/>
        <v>10.193523877957608</v>
      </c>
      <c r="Z12">
        <f t="shared" si="8"/>
        <v>10.732679700398394</v>
      </c>
      <c r="AA12">
        <f>'Cibles THREEME AMS'!$BB17</f>
        <v>11.271835522839183</v>
      </c>
      <c r="AB12">
        <f t="shared" si="9"/>
        <v>11.7247204635093</v>
      </c>
      <c r="AC12">
        <f>'Cibles THREEME AMS'!$BC17</f>
        <v>12.177605404179419</v>
      </c>
      <c r="AD12">
        <f t="shared" si="10"/>
        <v>12.303603114948451</v>
      </c>
      <c r="AE12">
        <f t="shared" si="11"/>
        <v>12.429600825717484</v>
      </c>
      <c r="AF12">
        <f t="shared" si="12"/>
        <v>12.555598536486517</v>
      </c>
      <c r="AG12">
        <f t="shared" si="13"/>
        <v>12.68159624725555</v>
      </c>
      <c r="AH12">
        <f>'Cibles THREEME AMS'!$BD17</f>
        <v>12.807593958024579</v>
      </c>
      <c r="AI12">
        <f t="shared" si="14"/>
        <v>12.84551673565305</v>
      </c>
      <c r="AJ12">
        <f t="shared" si="15"/>
        <v>12.88343951328152</v>
      </c>
      <c r="AK12">
        <f t="shared" si="16"/>
        <v>12.92136229090999</v>
      </c>
      <c r="AL12">
        <f t="shared" si="17"/>
        <v>12.95928506853846</v>
      </c>
      <c r="AM12">
        <f>'Cibles THREEME AMS'!$BE17</f>
        <v>12.997207846166926</v>
      </c>
    </row>
    <row r="13" spans="1:39" x14ac:dyDescent="0.25">
      <c r="A13" s="591"/>
      <c r="B13" s="588" t="s">
        <v>287</v>
      </c>
      <c r="C13">
        <v>2401</v>
      </c>
      <c r="D13">
        <f>'Cibles ThreeME v2 '!D13</f>
        <v>343.20423166658156</v>
      </c>
      <c r="E13">
        <f>'Cibles ThreeME v2 '!E13</f>
        <v>342.02309716449264</v>
      </c>
      <c r="F13">
        <f>'Cibles ThreeME v2 '!F13</f>
        <v>340.84196266240372</v>
      </c>
      <c r="G13">
        <f>'Cibles ThreeME v2 '!G13</f>
        <v>339.66082816031479</v>
      </c>
      <c r="H13">
        <f>'Cibles ThreeME v2 '!H13</f>
        <v>338.47969365822587</v>
      </c>
      <c r="I13">
        <f>'Cibles ThreeME v2 '!I13</f>
        <v>337.29855915613706</v>
      </c>
      <c r="J13">
        <f>'Cibles ThreeME v2 '!J13</f>
        <v>319.87712133970319</v>
      </c>
      <c r="K13">
        <f>'Cibles ThreeME v2 '!K13</f>
        <v>302.45568352326933</v>
      </c>
      <c r="L13">
        <f>'Cibles THREEME AMS'!$AV19</f>
        <v>285.03424570683546</v>
      </c>
      <c r="M13">
        <f t="shared" ref="M13:M18" si="19">(L13+N13)/2</f>
        <v>292.02387677399878</v>
      </c>
      <c r="N13">
        <f>'Cibles THREEME AMS'!$AW19</f>
        <v>299.0135078411621</v>
      </c>
      <c r="O13">
        <f t="shared" ref="O13:O18" si="20">N13+(Q13-N13)/3</f>
        <v>282.00791499443949</v>
      </c>
      <c r="P13">
        <f t="shared" ref="P13:P18" si="21">O13+(Q13-N13)/3</f>
        <v>265.00232214771688</v>
      </c>
      <c r="Q13">
        <f>'Cibles THREEME AMS'!$AX19</f>
        <v>247.99672930099425</v>
      </c>
      <c r="R13">
        <f t="shared" ref="R13:R18" si="22">(Q13+S13)/2</f>
        <v>234.6778915753622</v>
      </c>
      <c r="S13">
        <f>'Cibles THREEME AMS'!$AY19</f>
        <v>221.35905384973015</v>
      </c>
      <c r="T13">
        <f t="shared" ref="T13:T18" si="23">S13+(V13-S13)/3</f>
        <v>211.51019731624501</v>
      </c>
      <c r="U13">
        <f t="shared" ref="U13:U18" si="24">T13+(V13-S13)/3</f>
        <v>201.66134078275988</v>
      </c>
      <c r="V13">
        <f>'Cibles THREEME AMS'!$AZ19</f>
        <v>191.81248424927475</v>
      </c>
      <c r="W13">
        <f t="shared" ref="W13:W18" si="25">(V13+X13)/2</f>
        <v>184.12142025884563</v>
      </c>
      <c r="X13">
        <f>'Cibles THREEME AMS'!$BA19</f>
        <v>176.43035626841652</v>
      </c>
      <c r="Y13">
        <f t="shared" ref="Y13:Y18" si="26">X13+(AA13-X13)/3</f>
        <v>161.99277825960181</v>
      </c>
      <c r="Z13">
        <f t="shared" ref="Z13:Z18" si="27">Y13+(AA13-X13)/3</f>
        <v>147.5552002507871</v>
      </c>
      <c r="AA13">
        <f>'Cibles THREEME AMS'!$BB19</f>
        <v>133.11762224197238</v>
      </c>
      <c r="AB13">
        <f t="shared" ref="AB13:AB18" si="28">(AA13+AC13)/2</f>
        <v>119.93519769273684</v>
      </c>
      <c r="AC13">
        <f>'Cibles THREEME AMS'!$BC19</f>
        <v>106.75277314350127</v>
      </c>
      <c r="AD13">
        <f t="shared" ref="AD13:AD18" si="29">AC13+(AH13-AC13)/5</f>
        <v>101.63742508068093</v>
      </c>
      <c r="AE13">
        <f t="shared" ref="AE13:AE18" si="30">AD13+(AH13-AC13)/5</f>
        <v>96.522077017860582</v>
      </c>
      <c r="AF13">
        <f t="shared" ref="AF13:AF18" si="31">AE13+(AH13-AC13)/5</f>
        <v>91.406728955040236</v>
      </c>
      <c r="AG13">
        <f t="shared" ref="AG13:AG18" si="32">AF13+(AH13-AC13)/5</f>
        <v>86.291380892219891</v>
      </c>
      <c r="AH13">
        <f>'Cibles THREEME AMS'!$BD19</f>
        <v>81.176032829399574</v>
      </c>
      <c r="AI13">
        <f t="shared" ref="AI13:AI18" si="33">AH13+(AM13-AH13)/5</f>
        <v>66.421758239862342</v>
      </c>
      <c r="AJ13">
        <f t="shared" ref="AJ13:AJ18" si="34">AI13+(AM13-AH13)/5</f>
        <v>51.66748365032511</v>
      </c>
      <c r="AK13">
        <f t="shared" ref="AK13:AK18" si="35">AJ13+(AM13-AH13)/5</f>
        <v>36.913209060787878</v>
      </c>
      <c r="AL13">
        <f t="shared" ref="AL13:AL18" si="36">AK13+(AM13-AH13)/5</f>
        <v>22.158934471250646</v>
      </c>
      <c r="AM13">
        <f>'Cibles THREEME AMS'!$BE19</f>
        <v>7.4046598817134068</v>
      </c>
    </row>
    <row r="14" spans="1:39" x14ac:dyDescent="0.25">
      <c r="A14" s="593"/>
      <c r="B14" s="589" t="s">
        <v>289</v>
      </c>
      <c r="C14">
        <v>2402</v>
      </c>
      <c r="D14">
        <f>'Cibles ThreeME v2 '!D14</f>
        <v>89.99355798328051</v>
      </c>
      <c r="E14">
        <f>'Cibles ThreeME v2 '!E14</f>
        <v>91.108841553790356</v>
      </c>
      <c r="F14">
        <f>'Cibles ThreeME v2 '!F14</f>
        <v>92.224125124300201</v>
      </c>
      <c r="G14">
        <f>'Cibles ThreeME v2 '!G14</f>
        <v>93.339408694810047</v>
      </c>
      <c r="H14">
        <f>'Cibles ThreeME v2 '!H14</f>
        <v>94.454692265319892</v>
      </c>
      <c r="I14">
        <f>'Cibles ThreeME v2 '!I14</f>
        <v>95.569975835829709</v>
      </c>
      <c r="J14">
        <f>'Cibles ThreeME v2 '!J14</f>
        <v>96.952674546810798</v>
      </c>
      <c r="K14">
        <f>'Cibles ThreeME v2 '!K14</f>
        <v>98.335373257791886</v>
      </c>
      <c r="L14">
        <f>'Cibles THREEME AMS'!$AV20</f>
        <v>99.718071968772989</v>
      </c>
      <c r="M14">
        <f t="shared" si="19"/>
        <v>110.82163553698354</v>
      </c>
      <c r="N14">
        <f>'Cibles THREEME AMS'!$AW20</f>
        <v>121.92519910519408</v>
      </c>
      <c r="O14">
        <f t="shared" si="20"/>
        <v>123.32117300103687</v>
      </c>
      <c r="P14">
        <f t="shared" si="21"/>
        <v>124.71714689687965</v>
      </c>
      <c r="Q14">
        <f>'Cibles THREEME AMS'!$AX20</f>
        <v>126.11312079272246</v>
      </c>
      <c r="R14">
        <f t="shared" si="22"/>
        <v>129.87547355335374</v>
      </c>
      <c r="S14">
        <f>'Cibles THREEME AMS'!$AY20</f>
        <v>133.63782631398504</v>
      </c>
      <c r="T14">
        <f t="shared" si="23"/>
        <v>131.33335384469049</v>
      </c>
      <c r="U14">
        <f t="shared" si="24"/>
        <v>129.02888137539594</v>
      </c>
      <c r="V14">
        <f>'Cibles THREEME AMS'!$AZ20</f>
        <v>126.72440890610142</v>
      </c>
      <c r="W14">
        <f t="shared" si="25"/>
        <v>125.77055535074196</v>
      </c>
      <c r="X14">
        <f>'Cibles THREEME AMS'!$BA20</f>
        <v>124.8167017953825</v>
      </c>
      <c r="Y14">
        <f t="shared" si="26"/>
        <v>123.5875425071855</v>
      </c>
      <c r="Z14">
        <f t="shared" si="27"/>
        <v>122.35838321898851</v>
      </c>
      <c r="AA14">
        <f>'Cibles THREEME AMS'!$BB20</f>
        <v>121.1292239307915</v>
      </c>
      <c r="AB14">
        <f t="shared" si="28"/>
        <v>120.13096388702368</v>
      </c>
      <c r="AC14">
        <f>'Cibles THREEME AMS'!$BC20</f>
        <v>119.13270384325587</v>
      </c>
      <c r="AD14">
        <f t="shared" si="29"/>
        <v>118.50958874134119</v>
      </c>
      <c r="AE14">
        <f t="shared" si="30"/>
        <v>117.88647363942651</v>
      </c>
      <c r="AF14">
        <f t="shared" si="31"/>
        <v>117.26335853751183</v>
      </c>
      <c r="AG14">
        <f t="shared" si="32"/>
        <v>116.64024343559716</v>
      </c>
      <c r="AH14">
        <f>'Cibles THREEME AMS'!$BD20</f>
        <v>116.01712833368249</v>
      </c>
      <c r="AI14">
        <f t="shared" si="33"/>
        <v>115.47178012907457</v>
      </c>
      <c r="AJ14">
        <f t="shared" si="34"/>
        <v>114.92643192446666</v>
      </c>
      <c r="AK14">
        <f t="shared" si="35"/>
        <v>114.38108371985874</v>
      </c>
      <c r="AL14">
        <f t="shared" si="36"/>
        <v>113.83573551525082</v>
      </c>
      <c r="AM14">
        <f>'Cibles THREEME AMS'!$BE20</f>
        <v>113.29038731064291</v>
      </c>
    </row>
    <row r="15" spans="1:39" x14ac:dyDescent="0.25">
      <c r="A15" s="593" t="s">
        <v>474</v>
      </c>
      <c r="B15" s="589" t="s">
        <v>291</v>
      </c>
      <c r="C15">
        <v>2403</v>
      </c>
      <c r="D15">
        <f>'Cibles ThreeME v2 '!D15</f>
        <v>1.4838579089701285</v>
      </c>
      <c r="E15">
        <f>'Cibles ThreeME v2 '!E15</f>
        <v>2.24943110340342</v>
      </c>
      <c r="F15">
        <f>'Cibles ThreeME v2 '!F15</f>
        <v>3.0150042978367115</v>
      </c>
      <c r="G15">
        <f>'Cibles ThreeME v2 '!G15</f>
        <v>3.7805774922700031</v>
      </c>
      <c r="H15">
        <f>'Cibles ThreeME v2 '!H15</f>
        <v>4.546150686703295</v>
      </c>
      <c r="I15">
        <f>'Cibles ThreeME v2 '!I15</f>
        <v>5.3117238811365866</v>
      </c>
      <c r="J15">
        <f>'Cibles ThreeME v2 '!J15</f>
        <v>8.1987571220963709</v>
      </c>
      <c r="K15">
        <f>'Cibles ThreeME v2 '!K15</f>
        <v>11.085790363056155</v>
      </c>
      <c r="L15">
        <f>'Cibles THREEME AMS'!$AV21+'Cibles THREEME AMS'!$AV22</f>
        <v>13.972823604015941</v>
      </c>
      <c r="M15">
        <f t="shared" si="19"/>
        <v>15.512057665605649</v>
      </c>
      <c r="N15">
        <f>'Cibles THREEME AMS'!$AW21+'Cibles THREEME AMS'!$AW22</f>
        <v>17.051291727195355</v>
      </c>
      <c r="O15">
        <f t="shared" si="20"/>
        <v>22.528685574184188</v>
      </c>
      <c r="P15">
        <f t="shared" si="21"/>
        <v>28.00607942117302</v>
      </c>
      <c r="Q15">
        <f>'Cibles THREEME AMS'!$AX21+'Cibles THREEME AMS'!$AX22</f>
        <v>33.483473268161852</v>
      </c>
      <c r="R15">
        <f t="shared" si="22"/>
        <v>38.796942169633247</v>
      </c>
      <c r="S15">
        <f>'Cibles THREEME AMS'!$AY21+'Cibles THREEME AMS'!$AY22</f>
        <v>44.110411071104643</v>
      </c>
      <c r="T15">
        <f t="shared" si="23"/>
        <v>45.854911132470313</v>
      </c>
      <c r="U15">
        <f t="shared" si="24"/>
        <v>47.599411193835984</v>
      </c>
      <c r="V15">
        <f>'Cibles THREEME AMS'!$AZ21+'Cibles THREEME AMS'!$AZ22</f>
        <v>49.343911255201647</v>
      </c>
      <c r="W15">
        <f t="shared" si="25"/>
        <v>51.16682451214821</v>
      </c>
      <c r="X15">
        <f>'Cibles THREEME AMS'!$BA21+'Cibles THREEME AMS'!$BA22</f>
        <v>52.989737769094766</v>
      </c>
      <c r="Y15">
        <f t="shared" si="26"/>
        <v>58.956304501571907</v>
      </c>
      <c r="Z15">
        <f t="shared" si="27"/>
        <v>64.92287123404904</v>
      </c>
      <c r="AA15">
        <f>'Cibles THREEME AMS'!$BB21+'Cibles THREEME AMS'!$BB22</f>
        <v>70.889437966526188</v>
      </c>
      <c r="AB15">
        <f t="shared" si="28"/>
        <v>74.660496838877364</v>
      </c>
      <c r="AC15">
        <f>'Cibles THREEME AMS'!$BC21+'Cibles THREEME AMS'!$BC22</f>
        <v>78.43155571122854</v>
      </c>
      <c r="AD15">
        <f t="shared" si="29"/>
        <v>79.447148301087893</v>
      </c>
      <c r="AE15">
        <f t="shared" si="30"/>
        <v>80.462740890947245</v>
      </c>
      <c r="AF15">
        <f t="shared" si="31"/>
        <v>81.478333480806597</v>
      </c>
      <c r="AG15">
        <f t="shared" si="32"/>
        <v>82.49392607066595</v>
      </c>
      <c r="AH15">
        <f>'Cibles THREEME AMS'!$BD21+'Cibles THREEME AMS'!$BD22</f>
        <v>83.509518660525316</v>
      </c>
      <c r="AI15">
        <f t="shared" si="33"/>
        <v>91.094844930439734</v>
      </c>
      <c r="AJ15">
        <f t="shared" si="34"/>
        <v>98.680171200354152</v>
      </c>
      <c r="AK15">
        <f t="shared" si="35"/>
        <v>106.26549747026857</v>
      </c>
      <c r="AL15">
        <f t="shared" si="36"/>
        <v>113.85082374018299</v>
      </c>
      <c r="AM15">
        <f>'Cibles THREEME AMS'!$BE21+'Cibles THREEME AMS'!$BE22</f>
        <v>121.43615001009744</v>
      </c>
    </row>
    <row r="16" spans="1:39" x14ac:dyDescent="0.25">
      <c r="A16" s="593"/>
      <c r="B16" s="589" t="s">
        <v>293</v>
      </c>
      <c r="C16">
        <v>2404</v>
      </c>
      <c r="D16">
        <f>'Cibles ThreeME v2 '!D16</f>
        <v>5.9017709386932049</v>
      </c>
      <c r="E16">
        <f>'Cibles ThreeME v2 '!E16</f>
        <v>8.4142713981693671</v>
      </c>
      <c r="F16">
        <f>'Cibles ThreeME v2 '!F16</f>
        <v>10.92677185764553</v>
      </c>
      <c r="G16">
        <f>'Cibles ThreeME v2 '!G16</f>
        <v>13.439272317121691</v>
      </c>
      <c r="H16">
        <f>'Cibles ThreeME v2 '!H16</f>
        <v>15.951772776597853</v>
      </c>
      <c r="I16">
        <f>'Cibles ThreeME v2 '!I16</f>
        <v>18.464273236074014</v>
      </c>
      <c r="J16">
        <f>'Cibles ThreeME v2 '!J16</f>
        <v>19.008878353307235</v>
      </c>
      <c r="K16">
        <f>'Cibles ThreeME v2 '!K16</f>
        <v>19.553483470540456</v>
      </c>
      <c r="L16">
        <f>'Cibles THREEME AMS'!$AV23</f>
        <v>20.098088587773677</v>
      </c>
      <c r="M16">
        <f t="shared" si="19"/>
        <v>17.926578121889957</v>
      </c>
      <c r="N16">
        <f>'Cibles THREEME AMS'!$AW23</f>
        <v>15.755067656006238</v>
      </c>
      <c r="O16">
        <f t="shared" si="20"/>
        <v>17.253057585277929</v>
      </c>
      <c r="P16">
        <f t="shared" si="21"/>
        <v>18.751047514549619</v>
      </c>
      <c r="Q16">
        <f>'Cibles THREEME AMS'!$AX23</f>
        <v>20.249037443821308</v>
      </c>
      <c r="R16">
        <f t="shared" si="22"/>
        <v>22.469352445999704</v>
      </c>
      <c r="S16">
        <f>'Cibles THREEME AMS'!$AY23</f>
        <v>24.689667448178103</v>
      </c>
      <c r="T16">
        <f t="shared" si="23"/>
        <v>24.71887382454193</v>
      </c>
      <c r="U16">
        <f t="shared" si="24"/>
        <v>24.748080200905758</v>
      </c>
      <c r="V16">
        <f>'Cibles THREEME AMS'!$AZ23</f>
        <v>24.777286577269585</v>
      </c>
      <c r="W16">
        <f t="shared" si="25"/>
        <v>24.692306467468605</v>
      </c>
      <c r="X16">
        <f>'Cibles THREEME AMS'!$BA23</f>
        <v>24.607326357667624</v>
      </c>
      <c r="Y16">
        <f t="shared" si="26"/>
        <v>23.883273239320978</v>
      </c>
      <c r="Z16">
        <f t="shared" si="27"/>
        <v>23.159220120974332</v>
      </c>
      <c r="AA16">
        <f>'Cibles THREEME AMS'!$BB23</f>
        <v>22.43516700262769</v>
      </c>
      <c r="AB16">
        <f t="shared" si="28"/>
        <v>21.68809929611383</v>
      </c>
      <c r="AC16">
        <f>'Cibles THREEME AMS'!$BC23</f>
        <v>20.941031589599969</v>
      </c>
      <c r="AD16">
        <f t="shared" si="29"/>
        <v>20.427910585420396</v>
      </c>
      <c r="AE16">
        <f t="shared" si="30"/>
        <v>19.914789581240822</v>
      </c>
      <c r="AF16">
        <f t="shared" si="31"/>
        <v>19.401668577061248</v>
      </c>
      <c r="AG16">
        <f t="shared" si="32"/>
        <v>18.888547572881674</v>
      </c>
      <c r="AH16">
        <f>'Cibles THREEME AMS'!$BD23</f>
        <v>18.375426568702096</v>
      </c>
      <c r="AI16">
        <f t="shared" si="33"/>
        <v>17.949137649240946</v>
      </c>
      <c r="AJ16">
        <f t="shared" si="34"/>
        <v>17.522848729779795</v>
      </c>
      <c r="AK16">
        <f t="shared" si="35"/>
        <v>17.096559810318645</v>
      </c>
      <c r="AL16">
        <f t="shared" si="36"/>
        <v>16.670270890857495</v>
      </c>
      <c r="AM16">
        <f>'Cibles THREEME AMS'!$BE23</f>
        <v>16.243981971396337</v>
      </c>
    </row>
    <row r="17" spans="1:39" x14ac:dyDescent="0.25">
      <c r="A17" s="593"/>
      <c r="B17" s="589" t="s">
        <v>296</v>
      </c>
      <c r="C17">
        <v>2405</v>
      </c>
      <c r="D17">
        <f>'Cibles ThreeME v2 '!D17</f>
        <v>2.579344484092791</v>
      </c>
      <c r="E17">
        <f>'Cibles ThreeME v2 '!E17</f>
        <v>2.9899393468402904</v>
      </c>
      <c r="F17">
        <f>'Cibles ThreeME v2 '!F17</f>
        <v>3.4005342095877897</v>
      </c>
      <c r="G17">
        <f>'Cibles ThreeME v2 '!G17</f>
        <v>3.8111290723352891</v>
      </c>
      <c r="H17">
        <f>'Cibles ThreeME v2 '!H17</f>
        <v>4.2217239350827889</v>
      </c>
      <c r="I17">
        <f>'Cibles ThreeME v2 '!I17</f>
        <v>4.6323187978302887</v>
      </c>
      <c r="J17">
        <f>'Cibles ThreeME v2 '!J17</f>
        <v>5.4540159414642693</v>
      </c>
      <c r="K17">
        <f>'Cibles ThreeME v2 '!K17</f>
        <v>6.2757130850982499</v>
      </c>
      <c r="L17">
        <f>'Cibles THREEME AMS'!$AV24</f>
        <v>7.0974102287322296</v>
      </c>
      <c r="M17">
        <f t="shared" si="19"/>
        <v>9.7727138450162343</v>
      </c>
      <c r="N17">
        <f>'Cibles THREEME AMS'!$AW24</f>
        <v>12.448017461300239</v>
      </c>
      <c r="O17">
        <f t="shared" si="20"/>
        <v>14.004996726472472</v>
      </c>
      <c r="P17">
        <f t="shared" si="21"/>
        <v>15.561975991644704</v>
      </c>
      <c r="Q17">
        <f>'Cibles THREEME AMS'!$AX24</f>
        <v>17.118955256816935</v>
      </c>
      <c r="R17">
        <f t="shared" si="22"/>
        <v>18.947495741584696</v>
      </c>
      <c r="S17">
        <f>'Cibles THREEME AMS'!$AY24</f>
        <v>20.77603622635246</v>
      </c>
      <c r="T17">
        <f t="shared" si="23"/>
        <v>22.375469589946984</v>
      </c>
      <c r="U17">
        <f t="shared" si="24"/>
        <v>23.974902953541509</v>
      </c>
      <c r="V17">
        <f>'Cibles THREEME AMS'!$AZ24</f>
        <v>25.574336317136034</v>
      </c>
      <c r="W17">
        <f t="shared" si="25"/>
        <v>27.412592002561404</v>
      </c>
      <c r="X17">
        <f>'Cibles THREEME AMS'!$BA24</f>
        <v>29.250847687986777</v>
      </c>
      <c r="Y17">
        <f t="shared" si="26"/>
        <v>30.67404844677155</v>
      </c>
      <c r="Z17">
        <f t="shared" si="27"/>
        <v>32.097249205556324</v>
      </c>
      <c r="AA17">
        <f>'Cibles THREEME AMS'!$BB24</f>
        <v>33.520449964341097</v>
      </c>
      <c r="AB17">
        <f t="shared" si="28"/>
        <v>34.742791681960064</v>
      </c>
      <c r="AC17">
        <f>'Cibles THREEME AMS'!$BC24</f>
        <v>35.965133399579031</v>
      </c>
      <c r="AD17">
        <f t="shared" si="29"/>
        <v>36.059380907984455</v>
      </c>
      <c r="AE17">
        <f t="shared" si="30"/>
        <v>36.153628416389878</v>
      </c>
      <c r="AF17">
        <f t="shared" si="31"/>
        <v>36.247875924795302</v>
      </c>
      <c r="AG17">
        <f t="shared" si="32"/>
        <v>36.342123433200726</v>
      </c>
      <c r="AH17">
        <f>'Cibles THREEME AMS'!$BD24</f>
        <v>36.43637094160615</v>
      </c>
      <c r="AI17">
        <f t="shared" si="33"/>
        <v>37.606152226189344</v>
      </c>
      <c r="AJ17">
        <f t="shared" si="34"/>
        <v>38.775933510772539</v>
      </c>
      <c r="AK17">
        <f t="shared" si="35"/>
        <v>39.945714795355734</v>
      </c>
      <c r="AL17">
        <f t="shared" si="36"/>
        <v>41.115496079938929</v>
      </c>
      <c r="AM17">
        <f>'Cibles THREEME AMS'!$BE24</f>
        <v>42.285277364522116</v>
      </c>
    </row>
    <row r="18" spans="1:39" ht="15.75" thickBot="1" x14ac:dyDescent="0.3">
      <c r="A18" s="592"/>
      <c r="B18" s="203" t="s">
        <v>613</v>
      </c>
      <c r="C18">
        <v>2406</v>
      </c>
      <c r="D18">
        <f>'Cibles ThreeME v2 '!D18</f>
        <v>47.827069880389516</v>
      </c>
      <c r="E18">
        <f>'Cibles ThreeME v2 '!E18</f>
        <v>44.646124904311613</v>
      </c>
      <c r="F18">
        <f>'Cibles ThreeME v2 '!F18</f>
        <v>41.465179928233709</v>
      </c>
      <c r="G18">
        <f>'Cibles ThreeME v2 '!G18</f>
        <v>38.284234952155806</v>
      </c>
      <c r="H18">
        <f>'Cibles ThreeME v2 '!H18</f>
        <v>35.103289976077903</v>
      </c>
      <c r="I18">
        <f>'Cibles ThreeME v2 '!I18</f>
        <v>31.922344999999989</v>
      </c>
      <c r="J18">
        <f>'Cibles ThreeME v2 '!J18</f>
        <v>37.951458240740735</v>
      </c>
      <c r="K18">
        <f>'Cibles ThreeME v2 '!K18</f>
        <v>43.980571481481476</v>
      </c>
      <c r="L18">
        <f>'Cibles THREEME AMS'!$AV25+'Cibles THREEME AMS'!$AV26</f>
        <v>50.009684722222218</v>
      </c>
      <c r="M18">
        <f t="shared" si="19"/>
        <v>66.870960023897197</v>
      </c>
      <c r="N18">
        <f>'Cibles THREEME AMS'!$AW25+'Cibles THREEME AMS'!$AW26</f>
        <v>83.732235325572162</v>
      </c>
      <c r="O18">
        <f t="shared" si="20"/>
        <v>93.088950051435447</v>
      </c>
      <c r="P18">
        <f t="shared" si="21"/>
        <v>102.44566477729873</v>
      </c>
      <c r="Q18">
        <f>'Cibles THREEME AMS'!$AX25+'Cibles THREEME AMS'!$AX26</f>
        <v>111.80237950316202</v>
      </c>
      <c r="R18">
        <f t="shared" si="22"/>
        <v>120.29121677195945</v>
      </c>
      <c r="S18">
        <f>'Cibles THREEME AMS'!$AY25+'Cibles THREEME AMS'!$AY26</f>
        <v>128.78005404075691</v>
      </c>
      <c r="T18">
        <f t="shared" si="23"/>
        <v>135.76696659706673</v>
      </c>
      <c r="U18">
        <f t="shared" si="24"/>
        <v>142.75387915337654</v>
      </c>
      <c r="V18">
        <f>'Cibles THREEME AMS'!$AZ25+'Cibles THREEME AMS'!$AZ26</f>
        <v>149.74079170968636</v>
      </c>
      <c r="W18">
        <f t="shared" si="25"/>
        <v>159.4484325395494</v>
      </c>
      <c r="X18">
        <f>'Cibles THREEME AMS'!$BA25+'Cibles THREEME AMS'!$BA26</f>
        <v>169.15607336941247</v>
      </c>
      <c r="Y18">
        <f t="shared" si="26"/>
        <v>179.48619048230799</v>
      </c>
      <c r="Z18">
        <f t="shared" si="27"/>
        <v>189.81630759520351</v>
      </c>
      <c r="AA18">
        <f>'Cibles THREEME AMS'!$BB25+'Cibles THREEME AMS'!$BB26</f>
        <v>200.14642470809903</v>
      </c>
      <c r="AB18">
        <f t="shared" si="28"/>
        <v>209.29185022233111</v>
      </c>
      <c r="AC18">
        <f>'Cibles THREEME AMS'!$BC25+'Cibles THREEME AMS'!$BC26</f>
        <v>218.43727573656315</v>
      </c>
      <c r="AD18">
        <f t="shared" si="29"/>
        <v>223.61771704866385</v>
      </c>
      <c r="AE18">
        <f t="shared" si="30"/>
        <v>228.79815836076455</v>
      </c>
      <c r="AF18">
        <f t="shared" si="31"/>
        <v>233.97859967286524</v>
      </c>
      <c r="AG18">
        <f t="shared" si="32"/>
        <v>239.15904098496594</v>
      </c>
      <c r="AH18">
        <f>'Cibles THREEME AMS'!$BD25+'Cibles THREEME AMS'!$BD26</f>
        <v>244.3394822970667</v>
      </c>
      <c r="AI18">
        <f t="shared" si="33"/>
        <v>251.41834865370438</v>
      </c>
      <c r="AJ18">
        <f t="shared" si="34"/>
        <v>258.49721501034207</v>
      </c>
      <c r="AK18">
        <f t="shared" si="35"/>
        <v>265.57608136697974</v>
      </c>
      <c r="AL18">
        <f t="shared" si="36"/>
        <v>272.6549477236174</v>
      </c>
      <c r="AM18">
        <f>'Cibles THREEME AMS'!$BE25+'Cibles THREEME AMS'!$BE26</f>
        <v>279.73381408025512</v>
      </c>
    </row>
    <row r="19" spans="1:39" x14ac:dyDescent="0.25">
      <c r="D19" s="594">
        <f>SUM(D3:D18)-('Cibles THREEME AMS'!$AT2-'Cibles THREEME AMS'!$AT27)*11.64</f>
        <v>0</v>
      </c>
      <c r="E19" s="594"/>
      <c r="F19" s="594"/>
      <c r="G19" s="594"/>
      <c r="H19" s="594"/>
      <c r="I19" s="594">
        <f>SUM(I3:I18)-('Cibles THREEME AMS'!$AU2-'Cibles THREEME AMS'!$AU27)</f>
        <v>0</v>
      </c>
      <c r="S19" s="594">
        <f>SUM(S3:S18)-('Cibles THREEME AMS'!$AY2-'Cibles THREEME AMS'!$AY27)</f>
        <v>0</v>
      </c>
      <c r="AM19" s="594">
        <f>SUM(AM3:AM18)-('Cibles THREEME AMS'!$BE2-'Cibles THREEME AMS'!$BE27)</f>
        <v>0</v>
      </c>
    </row>
    <row r="20" spans="1:39" ht="15.75" thickBot="1" x14ac:dyDescent="0.3">
      <c r="B20" s="207" t="s">
        <v>526</v>
      </c>
      <c r="C20" s="207"/>
      <c r="D20" s="207"/>
      <c r="E20" s="207"/>
      <c r="F20" s="207"/>
      <c r="G20" s="207"/>
      <c r="H20" s="207"/>
      <c r="I20" s="207"/>
      <c r="J20" s="207"/>
      <c r="K20" s="557">
        <v>2022</v>
      </c>
      <c r="L20" s="557">
        <v>2023</v>
      </c>
      <c r="M20" s="557">
        <v>2024</v>
      </c>
      <c r="N20" s="557">
        <v>2025</v>
      </c>
      <c r="O20" s="557">
        <v>2026</v>
      </c>
      <c r="P20" s="557">
        <v>2027</v>
      </c>
      <c r="Q20" s="557">
        <v>2028</v>
      </c>
      <c r="R20" s="557">
        <v>2029</v>
      </c>
      <c r="S20" s="557">
        <v>2030</v>
      </c>
      <c r="T20" s="557">
        <v>2031</v>
      </c>
      <c r="U20" s="557">
        <v>2032</v>
      </c>
      <c r="V20" s="557">
        <v>2033</v>
      </c>
      <c r="W20" s="557">
        <v>2034</v>
      </c>
      <c r="X20" s="557">
        <v>2035</v>
      </c>
      <c r="Y20" s="557">
        <v>2036</v>
      </c>
      <c r="Z20" s="557">
        <v>2037</v>
      </c>
      <c r="AA20" s="557">
        <v>2038</v>
      </c>
      <c r="AB20" s="557">
        <v>2039</v>
      </c>
      <c r="AC20" s="557">
        <v>2040</v>
      </c>
      <c r="AD20" s="557">
        <v>2041</v>
      </c>
      <c r="AE20" s="557">
        <v>2042</v>
      </c>
      <c r="AF20" s="557">
        <v>2043</v>
      </c>
      <c r="AG20" s="557">
        <v>2044</v>
      </c>
      <c r="AH20" s="557">
        <v>2045</v>
      </c>
      <c r="AI20" s="557">
        <v>2046</v>
      </c>
      <c r="AJ20" s="557">
        <v>2047</v>
      </c>
      <c r="AK20" s="557">
        <v>2048</v>
      </c>
      <c r="AL20" s="557">
        <v>2049</v>
      </c>
      <c r="AM20" s="557">
        <v>2050</v>
      </c>
    </row>
    <row r="21" spans="1:39" ht="15.75" hidden="1" thickBot="1" x14ac:dyDescent="0.3">
      <c r="B21" s="207" t="s">
        <v>480</v>
      </c>
      <c r="C21" s="207"/>
      <c r="D21" s="678"/>
      <c r="E21" s="678"/>
      <c r="F21" s="678"/>
      <c r="G21" s="678"/>
      <c r="H21" s="678"/>
      <c r="I21" s="678"/>
      <c r="J21" s="207"/>
      <c r="K21" s="207"/>
      <c r="L21" s="678"/>
      <c r="M21" s="207"/>
      <c r="N21" s="678"/>
      <c r="O21" s="207"/>
      <c r="P21" s="207"/>
      <c r="Q21" s="678"/>
      <c r="R21" s="207"/>
      <c r="S21" s="678"/>
      <c r="T21" s="207"/>
      <c r="U21" s="207"/>
      <c r="V21" s="678"/>
      <c r="W21" s="207"/>
      <c r="X21" s="678"/>
      <c r="Y21" s="207"/>
      <c r="Z21" s="207"/>
      <c r="AA21" s="678"/>
      <c r="AB21" s="207"/>
      <c r="AC21" s="678"/>
      <c r="AD21" s="207"/>
      <c r="AE21" s="207"/>
      <c r="AF21" s="207"/>
      <c r="AG21" s="207"/>
      <c r="AH21" s="678"/>
      <c r="AI21" s="207"/>
      <c r="AJ21" s="207"/>
      <c r="AK21" s="207"/>
      <c r="AL21" s="207"/>
      <c r="AM21" s="678"/>
    </row>
    <row r="22" spans="1:39" x14ac:dyDescent="0.25">
      <c r="A22" s="675" t="s">
        <v>475</v>
      </c>
      <c r="B22" s="207" t="s">
        <v>266</v>
      </c>
      <c r="C22" s="207">
        <v>2201</v>
      </c>
      <c r="D22" s="207">
        <f t="shared" ref="D22:S23" si="37">D3/(D$3+D$4)</f>
        <v>0.9556818277818554</v>
      </c>
      <c r="E22" s="207">
        <f t="shared" si="37"/>
        <v>0.95496875275949888</v>
      </c>
      <c r="F22" s="207">
        <f t="shared" si="37"/>
        <v>0.95421036343902865</v>
      </c>
      <c r="G22" s="207">
        <f t="shared" si="37"/>
        <v>0.95340219864042719</v>
      </c>
      <c r="H22" s="207">
        <f t="shared" si="37"/>
        <v>0.95253919171158474</v>
      </c>
      <c r="I22" s="207">
        <f t="shared" si="37"/>
        <v>0.95161556420218441</v>
      </c>
      <c r="J22" s="207">
        <f t="shared" si="37"/>
        <v>0.94906409849661377</v>
      </c>
      <c r="K22" s="679">
        <f t="shared" si="37"/>
        <v>0.94659538817358735</v>
      </c>
      <c r="L22" s="679">
        <f t="shared" si="37"/>
        <v>0.94420547129694565</v>
      </c>
      <c r="M22" s="679">
        <f t="shared" si="37"/>
        <v>0.94256889676315481</v>
      </c>
      <c r="N22" s="679">
        <f t="shared" si="37"/>
        <v>0.94081662958109269</v>
      </c>
      <c r="O22" s="679">
        <f t="shared" si="37"/>
        <v>0.93765431645070807</v>
      </c>
      <c r="P22" s="679">
        <f t="shared" si="37"/>
        <v>0.93419922680758571</v>
      </c>
      <c r="Q22" s="679">
        <f t="shared" si="37"/>
        <v>0.93040872791550489</v>
      </c>
      <c r="R22" s="679">
        <f t="shared" si="37"/>
        <v>0.926449604886456</v>
      </c>
      <c r="S22" s="679">
        <f t="shared" si="37"/>
        <v>0.9220858032732917</v>
      </c>
      <c r="T22" s="679">
        <f t="shared" ref="E22:AM23" si="38">T3/(T$3+T$4)</f>
        <v>0.9144261920697252</v>
      </c>
      <c r="U22" s="679">
        <f t="shared" si="38"/>
        <v>0.90588802195534324</v>
      </c>
      <c r="V22" s="679">
        <f t="shared" si="38"/>
        <v>0.89631094037571479</v>
      </c>
      <c r="W22" s="679">
        <f t="shared" si="38"/>
        <v>0.88589163648382641</v>
      </c>
      <c r="X22" s="679">
        <f t="shared" si="38"/>
        <v>0.87406311042347129</v>
      </c>
      <c r="Y22" s="679">
        <f t="shared" si="38"/>
        <v>0.86510661147469103</v>
      </c>
      <c r="Z22" s="679">
        <f t="shared" si="38"/>
        <v>0.854816280902155</v>
      </c>
      <c r="AA22" s="679">
        <f t="shared" si="38"/>
        <v>0.84287018934503488</v>
      </c>
      <c r="AB22" s="679">
        <f t="shared" si="38"/>
        <v>0.82945155198798037</v>
      </c>
      <c r="AC22" s="679">
        <f t="shared" si="38"/>
        <v>0.81347132625375052</v>
      </c>
      <c r="AD22" s="679">
        <f t="shared" si="38"/>
        <v>0.80187526419911614</v>
      </c>
      <c r="AE22" s="679">
        <f t="shared" si="38"/>
        <v>0.78841661236515514</v>
      </c>
      <c r="AF22" s="679">
        <f t="shared" si="38"/>
        <v>0.77260742188729481</v>
      </c>
      <c r="AG22" s="679">
        <f t="shared" si="38"/>
        <v>0.75377299686099974</v>
      </c>
      <c r="AH22" s="679">
        <f t="shared" si="38"/>
        <v>0.73095310255630896</v>
      </c>
      <c r="AI22" s="679">
        <f t="shared" si="38"/>
        <v>0.72656239248986332</v>
      </c>
      <c r="AJ22" s="679">
        <f t="shared" si="38"/>
        <v>0.72168202954395322</v>
      </c>
      <c r="AK22" s="679">
        <f t="shared" si="38"/>
        <v>0.71622526745507187</v>
      </c>
      <c r="AL22" s="679">
        <f t="shared" si="38"/>
        <v>0.71008358352544165</v>
      </c>
      <c r="AM22" s="679">
        <f t="shared" si="38"/>
        <v>0.70311938771710514</v>
      </c>
    </row>
    <row r="23" spans="1:39" ht="15.75" thickBot="1" x14ac:dyDescent="0.3">
      <c r="A23" s="676"/>
      <c r="B23" s="207" t="s">
        <v>343</v>
      </c>
      <c r="C23" s="207">
        <v>2202</v>
      </c>
      <c r="D23" s="207">
        <f t="shared" si="37"/>
        <v>4.4318172218144603E-2</v>
      </c>
      <c r="E23" s="207">
        <f t="shared" si="38"/>
        <v>4.5031247240501129E-2</v>
      </c>
      <c r="F23" s="207">
        <f t="shared" si="38"/>
        <v>4.5789636560971257E-2</v>
      </c>
      <c r="G23" s="207">
        <f t="shared" si="38"/>
        <v>4.6597801359572776E-2</v>
      </c>
      <c r="H23" s="207">
        <f t="shared" si="38"/>
        <v>4.7460808288415299E-2</v>
      </c>
      <c r="I23" s="207">
        <f t="shared" si="38"/>
        <v>4.8384435797815567E-2</v>
      </c>
      <c r="J23" s="207">
        <f t="shared" si="38"/>
        <v>5.0935901503386227E-2</v>
      </c>
      <c r="K23" s="679">
        <f t="shared" si="38"/>
        <v>5.3404611826412623E-2</v>
      </c>
      <c r="L23" s="679">
        <f t="shared" si="38"/>
        <v>5.5794528703054319E-2</v>
      </c>
      <c r="M23" s="679">
        <f t="shared" si="38"/>
        <v>5.7431103236845214E-2</v>
      </c>
      <c r="N23" s="679">
        <f t="shared" si="38"/>
        <v>5.9183370418907345E-2</v>
      </c>
      <c r="O23" s="679">
        <f t="shared" si="38"/>
        <v>6.2345683549291979E-2</v>
      </c>
      <c r="P23" s="679">
        <f t="shared" si="38"/>
        <v>6.5800773192414244E-2</v>
      </c>
      <c r="Q23" s="679">
        <f t="shared" si="38"/>
        <v>6.9591272084495101E-2</v>
      </c>
      <c r="R23" s="679">
        <f t="shared" si="38"/>
        <v>7.3550395113543998E-2</v>
      </c>
      <c r="S23" s="679">
        <f t="shared" si="38"/>
        <v>7.7914196726708213E-2</v>
      </c>
      <c r="T23" s="679">
        <f t="shared" si="38"/>
        <v>8.5573807930274887E-2</v>
      </c>
      <c r="U23" s="679">
        <f t="shared" si="38"/>
        <v>9.4111978044656749E-2</v>
      </c>
      <c r="V23" s="679">
        <f t="shared" si="38"/>
        <v>0.10368905962428517</v>
      </c>
      <c r="W23" s="679">
        <f t="shared" si="38"/>
        <v>0.11410836351617357</v>
      </c>
      <c r="X23" s="679">
        <f t="shared" si="38"/>
        <v>0.12593688957652868</v>
      </c>
      <c r="Y23" s="679">
        <f t="shared" si="38"/>
        <v>0.13489338852530885</v>
      </c>
      <c r="Z23" s="679">
        <f t="shared" si="38"/>
        <v>0.14518371909784489</v>
      </c>
      <c r="AA23" s="679">
        <f t="shared" si="38"/>
        <v>0.15712981065496517</v>
      </c>
      <c r="AB23" s="679">
        <f t="shared" si="38"/>
        <v>0.17054844801201974</v>
      </c>
      <c r="AC23" s="679">
        <f t="shared" si="38"/>
        <v>0.1865286737462496</v>
      </c>
      <c r="AD23" s="679">
        <f t="shared" si="38"/>
        <v>0.19812473580088386</v>
      </c>
      <c r="AE23" s="679">
        <f t="shared" si="38"/>
        <v>0.21158338763484488</v>
      </c>
      <c r="AF23" s="679">
        <f t="shared" si="38"/>
        <v>0.22739257811270522</v>
      </c>
      <c r="AG23" s="679">
        <f t="shared" si="38"/>
        <v>0.24622700313900031</v>
      </c>
      <c r="AH23" s="679">
        <f t="shared" si="38"/>
        <v>0.26904689744369092</v>
      </c>
      <c r="AI23" s="679">
        <f t="shared" si="38"/>
        <v>0.27343760751013663</v>
      </c>
      <c r="AJ23" s="679">
        <f t="shared" si="38"/>
        <v>0.27831797045604678</v>
      </c>
      <c r="AK23" s="679">
        <f t="shared" si="38"/>
        <v>0.28377473254492824</v>
      </c>
      <c r="AL23" s="679">
        <f t="shared" si="38"/>
        <v>0.2899164164745584</v>
      </c>
      <c r="AM23" s="679">
        <f t="shared" si="38"/>
        <v>0.29688061228289497</v>
      </c>
    </row>
    <row r="24" spans="1:39" x14ac:dyDescent="0.25">
      <c r="A24" s="675"/>
      <c r="B24" s="207" t="s">
        <v>20</v>
      </c>
      <c r="C24" s="207">
        <v>2301</v>
      </c>
      <c r="D24" s="207">
        <f t="shared" ref="D24:D31" si="39">D5/SUM(D$5:D$12)</f>
        <v>0.77604484324903367</v>
      </c>
      <c r="E24" s="207">
        <f t="shared" ref="E24:AM24" si="40">E5/SUM(E$5:E$12)</f>
        <v>0.76081534389436734</v>
      </c>
      <c r="F24" s="207">
        <f t="shared" si="40"/>
        <v>0.74503571681916647</v>
      </c>
      <c r="G24" s="207">
        <f t="shared" si="40"/>
        <v>0.72867560576133539</v>
      </c>
      <c r="H24" s="207">
        <f t="shared" si="40"/>
        <v>0.71170237918137857</v>
      </c>
      <c r="I24" s="207">
        <f t="shared" si="40"/>
        <v>0.69408091301954511</v>
      </c>
      <c r="J24" s="207">
        <f t="shared" si="40"/>
        <v>0.68529516470734064</v>
      </c>
      <c r="K24" s="679">
        <f t="shared" si="40"/>
        <v>0.67645426566498457</v>
      </c>
      <c r="L24" s="679">
        <f t="shared" si="40"/>
        <v>0.66755769496138972</v>
      </c>
      <c r="M24" s="679">
        <f t="shared" si="40"/>
        <v>0.65988738111983525</v>
      </c>
      <c r="N24" s="679">
        <f t="shared" si="40"/>
        <v>0.65271343583053132</v>
      </c>
      <c r="O24" s="679">
        <f t="shared" si="40"/>
        <v>0.64104038903312399</v>
      </c>
      <c r="P24" s="679">
        <f t="shared" si="40"/>
        <v>0.62990081222601901</v>
      </c>
      <c r="Q24" s="679">
        <f t="shared" si="40"/>
        <v>0.61925895221428851</v>
      </c>
      <c r="R24" s="679">
        <f t="shared" si="40"/>
        <v>0.61265958066505</v>
      </c>
      <c r="S24" s="679">
        <f t="shared" si="40"/>
        <v>0.60635273044699911</v>
      </c>
      <c r="T24" s="679">
        <f t="shared" si="40"/>
        <v>0.59092085156813767</v>
      </c>
      <c r="U24" s="679">
        <f t="shared" si="40"/>
        <v>0.57571876355465745</v>
      </c>
      <c r="V24" s="679">
        <f t="shared" si="40"/>
        <v>0.56074137173153937</v>
      </c>
      <c r="W24" s="679">
        <f t="shared" si="40"/>
        <v>0.54706795963175647</v>
      </c>
      <c r="X24" s="679">
        <f t="shared" si="40"/>
        <v>0.53372519031689492</v>
      </c>
      <c r="Y24" s="679">
        <f t="shared" si="40"/>
        <v>0.52542073569593906</v>
      </c>
      <c r="Z24" s="679">
        <f t="shared" si="40"/>
        <v>0.51735299332954976</v>
      </c>
      <c r="AA24" s="679">
        <f t="shared" si="40"/>
        <v>0.50951198447788582</v>
      </c>
      <c r="AB24" s="679">
        <f t="shared" si="40"/>
        <v>0.50156865985324106</v>
      </c>
      <c r="AC24" s="679">
        <f t="shared" si="40"/>
        <v>0.49384313978850092</v>
      </c>
      <c r="AD24" s="679">
        <f t="shared" si="40"/>
        <v>0.47619586252378204</v>
      </c>
      <c r="AE24" s="679">
        <f t="shared" si="40"/>
        <v>0.45882876938151512</v>
      </c>
      <c r="AF24" s="679">
        <f t="shared" si="40"/>
        <v>0.4417352402307772</v>
      </c>
      <c r="AG24" s="679">
        <f t="shared" si="40"/>
        <v>0.42490886186961702</v>
      </c>
      <c r="AH24" s="679">
        <f t="shared" si="40"/>
        <v>0.40834342000263324</v>
      </c>
      <c r="AI24" s="679">
        <f t="shared" si="40"/>
        <v>0.38885594046789701</v>
      </c>
      <c r="AJ24" s="679">
        <f t="shared" si="40"/>
        <v>0.36955859392673401</v>
      </c>
      <c r="AK24" s="679">
        <f t="shared" si="40"/>
        <v>0.35044861128911986</v>
      </c>
      <c r="AL24" s="679">
        <f t="shared" si="40"/>
        <v>0.33152327697714978</v>
      </c>
      <c r="AM24" s="679">
        <f t="shared" si="40"/>
        <v>0.3127799276386139</v>
      </c>
    </row>
    <row r="25" spans="1:39" x14ac:dyDescent="0.25">
      <c r="A25" s="677"/>
      <c r="B25" s="207" t="s">
        <v>224</v>
      </c>
      <c r="C25" s="207">
        <f>C24+1</f>
        <v>2302</v>
      </c>
      <c r="D25" s="207">
        <f t="shared" si="39"/>
        <v>6.1271502331526027E-3</v>
      </c>
      <c r="E25" s="207">
        <f t="shared" ref="E25:AM25" si="41">E6/SUM(E$5:E$12)</f>
        <v>5.5291148819300246E-3</v>
      </c>
      <c r="F25" s="207">
        <f t="shared" si="41"/>
        <v>4.9094769936242778E-3</v>
      </c>
      <c r="G25" s="207">
        <f t="shared" si="41"/>
        <v>4.2670445318170195E-3</v>
      </c>
      <c r="H25" s="207">
        <f t="shared" si="41"/>
        <v>3.600536113993373E-3</v>
      </c>
      <c r="I25" s="207">
        <f t="shared" si="41"/>
        <v>2.908572480801455E-3</v>
      </c>
      <c r="J25" s="207">
        <f t="shared" si="41"/>
        <v>4.1074832697406477E-3</v>
      </c>
      <c r="K25" s="679">
        <f t="shared" si="41"/>
        <v>5.3139199748621756E-3</v>
      </c>
      <c r="L25" s="679">
        <f t="shared" si="41"/>
        <v>6.5279536828712851E-3</v>
      </c>
      <c r="M25" s="679">
        <f t="shared" si="41"/>
        <v>5.0002388558998368E-3</v>
      </c>
      <c r="N25" s="679">
        <f t="shared" si="41"/>
        <v>3.5713869454373874E-3</v>
      </c>
      <c r="O25" s="679">
        <f t="shared" si="41"/>
        <v>2.7283981521324147E-3</v>
      </c>
      <c r="P25" s="679">
        <f t="shared" si="41"/>
        <v>1.9239347953475363E-3</v>
      </c>
      <c r="Q25" s="679">
        <f t="shared" si="41"/>
        <v>1.1554148977145078E-3</v>
      </c>
      <c r="R25" s="679">
        <f t="shared" si="41"/>
        <v>8.3973103869430799E-4</v>
      </c>
      <c r="S25" s="679">
        <f t="shared" si="41"/>
        <v>5.3804006702499346E-4</v>
      </c>
      <c r="T25" s="679">
        <f t="shared" si="41"/>
        <v>5.2825357270593954E-4</v>
      </c>
      <c r="U25" s="679">
        <f t="shared" si="41"/>
        <v>5.1861280574881478E-4</v>
      </c>
      <c r="V25" s="679">
        <f t="shared" si="41"/>
        <v>5.0911453524385593E-4</v>
      </c>
      <c r="W25" s="679">
        <f t="shared" si="41"/>
        <v>5.0042206159789306E-4</v>
      </c>
      <c r="X25" s="679">
        <f t="shared" si="41"/>
        <v>4.9193978447589824E-4</v>
      </c>
      <c r="Y25" s="679">
        <f t="shared" si="41"/>
        <v>3.9385142283578973E-4</v>
      </c>
      <c r="Z25" s="679">
        <f t="shared" si="41"/>
        <v>2.9855899642447026E-4</v>
      </c>
      <c r="AA25" s="679">
        <f t="shared" si="41"/>
        <v>2.0594464100076013E-4</v>
      </c>
      <c r="AB25" s="679">
        <f t="shared" si="41"/>
        <v>2.1355590666400967E-4</v>
      </c>
      <c r="AC25" s="679">
        <f t="shared" si="41"/>
        <v>2.2095847276549631E-4</v>
      </c>
      <c r="AD25" s="679">
        <f t="shared" si="41"/>
        <v>2.1204071801566714E-4</v>
      </c>
      <c r="AE25" s="679">
        <f t="shared" si="41"/>
        <v>2.0326454959960165E-4</v>
      </c>
      <c r="AF25" s="679">
        <f t="shared" si="41"/>
        <v>1.9462662214548429E-4</v>
      </c>
      <c r="AG25" s="679">
        <f t="shared" si="41"/>
        <v>1.8612369484957494E-4</v>
      </c>
      <c r="AH25" s="679">
        <f t="shared" si="41"/>
        <v>1.77752627422213E-4</v>
      </c>
      <c r="AI25" s="679">
        <f t="shared" si="41"/>
        <v>1.7688123923805153E-4</v>
      </c>
      <c r="AJ25" s="679">
        <f t="shared" si="41"/>
        <v>1.7601835290471812E-4</v>
      </c>
      <c r="AK25" s="679">
        <f t="shared" si="41"/>
        <v>1.7516384460156552E-4</v>
      </c>
      <c r="AL25" s="679">
        <f t="shared" si="41"/>
        <v>1.7431759290075627E-4</v>
      </c>
      <c r="AM25" s="679">
        <f t="shared" si="41"/>
        <v>1.7347947870973948E-4</v>
      </c>
    </row>
    <row r="26" spans="1:39" x14ac:dyDescent="0.25">
      <c r="A26" s="677"/>
      <c r="B26" s="207" t="s">
        <v>32</v>
      </c>
      <c r="C26" s="207">
        <f t="shared" ref="C26:C31" si="42">C25+1</f>
        <v>2303</v>
      </c>
      <c r="D26" s="207">
        <f t="shared" si="39"/>
        <v>4.0298111761087288E-2</v>
      </c>
      <c r="E26" s="207">
        <f t="shared" ref="E26:AM26" si="43">E7/SUM(E$5:E$12)</f>
        <v>4.4246306077926845E-2</v>
      </c>
      <c r="F26" s="207">
        <f t="shared" si="43"/>
        <v>4.8337119077703355E-2</v>
      </c>
      <c r="G26" s="207">
        <f t="shared" si="43"/>
        <v>5.2578420514943366E-2</v>
      </c>
      <c r="H26" s="207">
        <f t="shared" si="43"/>
        <v>5.6978670001863164E-2</v>
      </c>
      <c r="I26" s="207">
        <f t="shared" si="43"/>
        <v>6.1546973327816876E-2</v>
      </c>
      <c r="J26" s="207">
        <f t="shared" si="43"/>
        <v>5.874358182751202E-2</v>
      </c>
      <c r="K26" s="679">
        <f t="shared" si="43"/>
        <v>5.5922592612971701E-2</v>
      </c>
      <c r="L26" s="679">
        <f t="shared" si="43"/>
        <v>5.3083839463433653E-2</v>
      </c>
      <c r="M26" s="679">
        <f t="shared" si="43"/>
        <v>5.9695648360393143E-2</v>
      </c>
      <c r="N26" s="679">
        <f t="shared" si="43"/>
        <v>6.5879587671083498E-2</v>
      </c>
      <c r="O26" s="679">
        <f t="shared" si="43"/>
        <v>6.4341297422376709E-2</v>
      </c>
      <c r="P26" s="679">
        <f t="shared" si="43"/>
        <v>6.2873308586685939E-2</v>
      </c>
      <c r="Q26" s="679">
        <f t="shared" si="43"/>
        <v>6.1470909558543257E-2</v>
      </c>
      <c r="R26" s="679">
        <f t="shared" si="43"/>
        <v>5.3366594251602256E-2</v>
      </c>
      <c r="S26" s="679">
        <f t="shared" si="43"/>
        <v>4.5621507862788548E-2</v>
      </c>
      <c r="T26" s="679">
        <f t="shared" si="43"/>
        <v>4.2043330223026018E-2</v>
      </c>
      <c r="U26" s="679">
        <f t="shared" si="43"/>
        <v>3.8518434010806062E-2</v>
      </c>
      <c r="V26" s="679">
        <f t="shared" si="43"/>
        <v>3.5045637927831837E-2</v>
      </c>
      <c r="W26" s="679">
        <f t="shared" si="43"/>
        <v>3.1920895190768142E-2</v>
      </c>
      <c r="X26" s="679">
        <f t="shared" si="43"/>
        <v>2.8871713230576121E-2</v>
      </c>
      <c r="Y26" s="679">
        <f t="shared" si="43"/>
        <v>2.2632261557784399E-2</v>
      </c>
      <c r="Z26" s="679">
        <f t="shared" si="43"/>
        <v>1.6570660778295311E-2</v>
      </c>
      <c r="AA26" s="679">
        <f t="shared" si="43"/>
        <v>1.0679413486458534E-2</v>
      </c>
      <c r="AB26" s="679">
        <f t="shared" si="43"/>
        <v>6.5286366470630863E-3</v>
      </c>
      <c r="AC26" s="679">
        <f t="shared" si="43"/>
        <v>2.4916733763543368E-3</v>
      </c>
      <c r="AD26" s="679">
        <f t="shared" si="43"/>
        <v>2.4722737560951527E-3</v>
      </c>
      <c r="AE26" s="679">
        <f t="shared" si="43"/>
        <v>2.4531821417394678E-3</v>
      </c>
      <c r="AF26" s="679">
        <f t="shared" si="43"/>
        <v>2.4343912557892263E-3</v>
      </c>
      <c r="AG26" s="679">
        <f t="shared" si="43"/>
        <v>2.4158940482230215E-3</v>
      </c>
      <c r="AH26" s="679">
        <f t="shared" si="43"/>
        <v>2.3976836876770597E-3</v>
      </c>
      <c r="AI26" s="679">
        <f t="shared" si="43"/>
        <v>2.3857468398783186E-3</v>
      </c>
      <c r="AJ26" s="679">
        <f t="shared" si="43"/>
        <v>2.3739264560174492E-3</v>
      </c>
      <c r="AK26" s="679">
        <f t="shared" si="43"/>
        <v>2.3622208399178822E-3</v>
      </c>
      <c r="AL26" s="679">
        <f t="shared" si="43"/>
        <v>2.3506283281813289E-3</v>
      </c>
      <c r="AM26" s="679">
        <f t="shared" si="43"/>
        <v>2.3391472893997903E-3</v>
      </c>
    </row>
    <row r="27" spans="1:39" x14ac:dyDescent="0.25">
      <c r="A27" s="677" t="s">
        <v>104</v>
      </c>
      <c r="B27" s="207" t="s">
        <v>42</v>
      </c>
      <c r="C27" s="207">
        <f t="shared" si="42"/>
        <v>2304</v>
      </c>
      <c r="D27" s="207">
        <f t="shared" si="39"/>
        <v>1.8890013217206594E-2</v>
      </c>
      <c r="E27" s="207">
        <f t="shared" ref="E27:AM27" si="44">E8/SUM(E$5:E$12)</f>
        <v>1.6445307119754556E-2</v>
      </c>
      <c r="F27" s="207">
        <f t="shared" si="44"/>
        <v>1.391229210541375E-2</v>
      </c>
      <c r="G27" s="207">
        <f t="shared" si="44"/>
        <v>1.1286095253721628E-2</v>
      </c>
      <c r="H27" s="207">
        <f t="shared" si="44"/>
        <v>8.5614784066982488E-3</v>
      </c>
      <c r="I27" s="207">
        <f t="shared" si="44"/>
        <v>5.7328032960696296E-3</v>
      </c>
      <c r="J27" s="207">
        <f t="shared" si="44"/>
        <v>5.4684210253631155E-3</v>
      </c>
      <c r="K27" s="679">
        <f t="shared" si="44"/>
        <v>5.2023791492649485E-3</v>
      </c>
      <c r="L27" s="679">
        <f t="shared" si="44"/>
        <v>4.9346619918259962E-3</v>
      </c>
      <c r="M27" s="679">
        <f t="shared" si="44"/>
        <v>3.1081956058354714E-3</v>
      </c>
      <c r="N27" s="679">
        <f t="shared" si="44"/>
        <v>1.3999252277888078E-3</v>
      </c>
      <c r="O27" s="679">
        <f t="shared" si="44"/>
        <v>1.0633685793792805E-3</v>
      </c>
      <c r="P27" s="679">
        <f t="shared" si="44"/>
        <v>7.4219290862531976E-4</v>
      </c>
      <c r="Q27" s="679">
        <f t="shared" si="44"/>
        <v>4.3536738136136266E-4</v>
      </c>
      <c r="R27" s="679">
        <f t="shared" si="44"/>
        <v>4.2549971844281514E-4</v>
      </c>
      <c r="S27" s="679">
        <f t="shared" si="44"/>
        <v>4.160694459441144E-4</v>
      </c>
      <c r="T27" s="679">
        <f t="shared" si="44"/>
        <v>3.4412369550391488E-4</v>
      </c>
      <c r="U27" s="679">
        <f t="shared" si="44"/>
        <v>2.7324926478984553E-4</v>
      </c>
      <c r="V27" s="679">
        <f t="shared" si="44"/>
        <v>2.0342240165737449E-4</v>
      </c>
      <c r="W27" s="679">
        <f t="shared" si="44"/>
        <v>2.0093277707397688E-4</v>
      </c>
      <c r="X27" s="679">
        <f t="shared" si="44"/>
        <v>1.9850335519636008E-4</v>
      </c>
      <c r="Y27" s="679">
        <f t="shared" si="44"/>
        <v>1.9563335694359284E-4</v>
      </c>
      <c r="Z27" s="679">
        <f t="shared" si="44"/>
        <v>1.9284516583988271E-4</v>
      </c>
      <c r="AA27" s="679">
        <f t="shared" si="44"/>
        <v>1.9013533325829202E-4</v>
      </c>
      <c r="AB27" s="679">
        <f t="shared" si="44"/>
        <v>1.8749235967577E-4</v>
      </c>
      <c r="AC27" s="679">
        <f t="shared" si="44"/>
        <v>1.8492185596262671E-4</v>
      </c>
      <c r="AD27" s="679">
        <f t="shared" si="44"/>
        <v>1.8344211586355179E-4</v>
      </c>
      <c r="AE27" s="679">
        <f t="shared" si="44"/>
        <v>1.8198586945559407E-4</v>
      </c>
      <c r="AF27" s="679">
        <f t="shared" si="44"/>
        <v>1.8055256163481076E-4</v>
      </c>
      <c r="AG27" s="679">
        <f t="shared" si="44"/>
        <v>1.7914165464843991E-4</v>
      </c>
      <c r="AH27" s="679">
        <f t="shared" si="44"/>
        <v>1.77752627422213E-4</v>
      </c>
      <c r="AI27" s="679">
        <f t="shared" si="44"/>
        <v>1.7688123923805153E-4</v>
      </c>
      <c r="AJ27" s="679">
        <f t="shared" si="44"/>
        <v>1.7601835290471812E-4</v>
      </c>
      <c r="AK27" s="679">
        <f t="shared" si="44"/>
        <v>1.7516384460156552E-4</v>
      </c>
      <c r="AL27" s="679">
        <f t="shared" si="44"/>
        <v>1.7431759290075627E-4</v>
      </c>
      <c r="AM27" s="679">
        <f t="shared" si="44"/>
        <v>1.7347947870973948E-4</v>
      </c>
    </row>
    <row r="28" spans="1:39" x14ac:dyDescent="0.25">
      <c r="A28" s="677"/>
      <c r="B28" s="207" t="s">
        <v>473</v>
      </c>
      <c r="C28" s="207">
        <f t="shared" si="42"/>
        <v>2305</v>
      </c>
      <c r="D28" s="207">
        <f t="shared" si="39"/>
        <v>5.3449221223827802E-2</v>
      </c>
      <c r="E28" s="207">
        <f t="shared" ref="E28:AM28" si="45">E9/SUM(E$5:E$12)</f>
        <v>5.9116927569389945E-2</v>
      </c>
      <c r="F28" s="207">
        <f t="shared" si="45"/>
        <v>6.4989365685835271E-2</v>
      </c>
      <c r="G28" s="207">
        <f t="shared" si="45"/>
        <v>7.1077832752098946E-2</v>
      </c>
      <c r="H28" s="207">
        <f t="shared" si="45"/>
        <v>7.7394472698796221E-2</v>
      </c>
      <c r="I28" s="207">
        <f t="shared" si="45"/>
        <v>8.3952357055837243E-2</v>
      </c>
      <c r="J28" s="207">
        <f t="shared" si="45"/>
        <v>8.8113603139197527E-2</v>
      </c>
      <c r="K28" s="679">
        <f t="shared" si="45"/>
        <v>9.2300970589990941E-2</v>
      </c>
      <c r="L28" s="679">
        <f t="shared" si="45"/>
        <v>9.6514706139898071E-2</v>
      </c>
      <c r="M28" s="679">
        <f t="shared" si="45"/>
        <v>0.10226588462739533</v>
      </c>
      <c r="N28" s="679">
        <f t="shared" si="45"/>
        <v>0.10764488745186988</v>
      </c>
      <c r="O28" s="679">
        <f t="shared" si="45"/>
        <v>0.11234203444886132</v>
      </c>
      <c r="P28" s="679">
        <f t="shared" si="45"/>
        <v>0.1168245170993094</v>
      </c>
      <c r="Q28" s="679">
        <f t="shared" si="45"/>
        <v>0.12110672222227732</v>
      </c>
      <c r="R28" s="679">
        <f t="shared" si="45"/>
        <v>0.1260507922032833</v>
      </c>
      <c r="S28" s="679">
        <f t="shared" si="45"/>
        <v>0.13077571314539368</v>
      </c>
      <c r="T28" s="679">
        <f t="shared" si="45"/>
        <v>0.14685868567971924</v>
      </c>
      <c r="U28" s="679">
        <f t="shared" si="45"/>
        <v>0.16270217213424973</v>
      </c>
      <c r="V28" s="679">
        <f t="shared" si="45"/>
        <v>0.17831148213583314</v>
      </c>
      <c r="W28" s="679">
        <f t="shared" si="45"/>
        <v>0.19204719764544842</v>
      </c>
      <c r="X28" s="679">
        <f t="shared" si="45"/>
        <v>0.20545076378401808</v>
      </c>
      <c r="Y28" s="679">
        <f t="shared" si="45"/>
        <v>0.21523994409225805</v>
      </c>
      <c r="Z28" s="679">
        <f t="shared" si="45"/>
        <v>0.22475009115305514</v>
      </c>
      <c r="AA28" s="679">
        <f t="shared" si="45"/>
        <v>0.23399296777179765</v>
      </c>
      <c r="AB28" s="679">
        <f t="shared" si="45"/>
        <v>0.24226397806365829</v>
      </c>
      <c r="AC28" s="679">
        <f t="shared" si="45"/>
        <v>0.25030819871242688</v>
      </c>
      <c r="AD28" s="679">
        <f t="shared" si="45"/>
        <v>0.26161782536540723</v>
      </c>
      <c r="AE28" s="679">
        <f t="shared" si="45"/>
        <v>0.27274789016465284</v>
      </c>
      <c r="AF28" s="679">
        <f t="shared" si="45"/>
        <v>0.28370263575949739</v>
      </c>
      <c r="AG28" s="679">
        <f t="shared" si="45"/>
        <v>0.2944861721845165</v>
      </c>
      <c r="AH28" s="679">
        <f t="shared" si="45"/>
        <v>0.30510248200086382</v>
      </c>
      <c r="AI28" s="679">
        <f t="shared" si="45"/>
        <v>0.31733182837971236</v>
      </c>
      <c r="AJ28" s="679">
        <f t="shared" si="45"/>
        <v>0.3294418570072678</v>
      </c>
      <c r="AK28" s="679">
        <f t="shared" si="45"/>
        <v>0.34143430562293359</v>
      </c>
      <c r="AL28" s="679">
        <f t="shared" si="45"/>
        <v>0.3533108783846417</v>
      </c>
      <c r="AM28" s="679">
        <f t="shared" si="45"/>
        <v>0.3650732466761456</v>
      </c>
    </row>
    <row r="29" spans="1:39" x14ac:dyDescent="0.25">
      <c r="A29" s="677"/>
      <c r="B29" s="207" t="s">
        <v>279</v>
      </c>
      <c r="C29" s="207">
        <f t="shared" si="42"/>
        <v>2306</v>
      </c>
      <c r="D29" s="207">
        <f t="shared" si="39"/>
        <v>2.355534589191129E-2</v>
      </c>
      <c r="E29" s="207">
        <f t="shared" ref="E29:AM29" si="46">E10/SUM(E$5:E$12)</f>
        <v>2.605313314356127E-2</v>
      </c>
      <c r="F29" s="207">
        <f t="shared" si="46"/>
        <v>2.8641146736545987E-2</v>
      </c>
      <c r="G29" s="207">
        <f t="shared" si="46"/>
        <v>3.1324365395556414E-2</v>
      </c>
      <c r="H29" s="207">
        <f t="shared" si="46"/>
        <v>3.4108141013091273E-2</v>
      </c>
      <c r="I29" s="207">
        <f t="shared" si="46"/>
        <v>3.6998234279415454E-2</v>
      </c>
      <c r="J29" s="207">
        <f t="shared" si="46"/>
        <v>3.8298411869931034E-2</v>
      </c>
      <c r="K29" s="679">
        <f t="shared" si="46"/>
        <v>3.9606751058172351E-2</v>
      </c>
      <c r="L29" s="679">
        <f t="shared" si="46"/>
        <v>4.0923328935230777E-2</v>
      </c>
      <c r="M29" s="679">
        <f t="shared" si="46"/>
        <v>4.9861252961797643E-2</v>
      </c>
      <c r="N29" s="679">
        <f t="shared" si="46"/>
        <v>5.8220777655451104E-2</v>
      </c>
      <c r="O29" s="679">
        <f t="shared" si="46"/>
        <v>6.944217888581572E-2</v>
      </c>
      <c r="P29" s="679">
        <f t="shared" si="46"/>
        <v>8.01507507829788E-2</v>
      </c>
      <c r="Q29" s="679">
        <f t="shared" si="46"/>
        <v>9.0380863203629924E-2</v>
      </c>
      <c r="R29" s="679">
        <f t="shared" si="46"/>
        <v>0.1011872949412343</v>
      </c>
      <c r="S29" s="679">
        <f t="shared" si="46"/>
        <v>0.11151472473544295</v>
      </c>
      <c r="T29" s="679">
        <f t="shared" si="46"/>
        <v>0.11706016306398408</v>
      </c>
      <c r="U29" s="679">
        <f t="shared" si="46"/>
        <v>0.1225230261544457</v>
      </c>
      <c r="V29" s="679">
        <f t="shared" si="46"/>
        <v>0.12790514477587073</v>
      </c>
      <c r="W29" s="679">
        <f t="shared" si="46"/>
        <v>0.13283904028463256</v>
      </c>
      <c r="X29" s="679">
        <f t="shared" si="46"/>
        <v>0.13765362709856213</v>
      </c>
      <c r="Y29" s="679">
        <f t="shared" si="46"/>
        <v>0.14333642869419311</v>
      </c>
      <c r="Z29" s="679">
        <f t="shared" si="46"/>
        <v>0.14885724628974722</v>
      </c>
      <c r="AA29" s="679">
        <f t="shared" si="46"/>
        <v>0.15422290841295866</v>
      </c>
      <c r="AB29" s="679">
        <f t="shared" si="46"/>
        <v>0.15899842192882152</v>
      </c>
      <c r="AC29" s="679">
        <f t="shared" si="46"/>
        <v>0.16364299170654034</v>
      </c>
      <c r="AD29" s="679">
        <f t="shared" si="46"/>
        <v>0.17041112692305058</v>
      </c>
      <c r="AE29" s="679">
        <f t="shared" si="46"/>
        <v>0.17707180510821097</v>
      </c>
      <c r="AF29" s="679">
        <f t="shared" si="46"/>
        <v>0.18362756523393001</v>
      </c>
      <c r="AG29" s="679">
        <f t="shared" si="46"/>
        <v>0.19008086691011392</v>
      </c>
      <c r="AH29" s="679">
        <f t="shared" si="46"/>
        <v>0.19643409346144916</v>
      </c>
      <c r="AI29" s="679">
        <f t="shared" si="46"/>
        <v>0.20383148972478457</v>
      </c>
      <c r="AJ29" s="679">
        <f t="shared" si="46"/>
        <v>0.21115671200103825</v>
      </c>
      <c r="AK29" s="679">
        <f t="shared" si="46"/>
        <v>0.21841081142954108</v>
      </c>
      <c r="AL29" s="679">
        <f t="shared" si="46"/>
        <v>0.22559481883656346</v>
      </c>
      <c r="AM29" s="679">
        <f t="shared" si="46"/>
        <v>0.23270974522363816</v>
      </c>
    </row>
    <row r="30" spans="1:39" x14ac:dyDescent="0.25">
      <c r="A30" s="677"/>
      <c r="B30" s="207" t="s">
        <v>18</v>
      </c>
      <c r="C30" s="207">
        <f t="shared" si="42"/>
        <v>2307</v>
      </c>
      <c r="D30" s="207">
        <f t="shared" si="39"/>
        <v>6.5312549973026754E-2</v>
      </c>
      <c r="E30" s="207">
        <f t="shared" ref="E30:AM30" si="47">E11/SUM(E$5:E$12)</f>
        <v>7.2238232807147154E-2</v>
      </c>
      <c r="F30" s="207">
        <f t="shared" si="47"/>
        <v>7.9414088678604777E-2</v>
      </c>
      <c r="G30" s="207">
        <f t="shared" si="47"/>
        <v>8.6853922233133707E-2</v>
      </c>
      <c r="H30" s="207">
        <f t="shared" si="47"/>
        <v>9.4572572809025826E-2</v>
      </c>
      <c r="I30" s="207">
        <f t="shared" si="47"/>
        <v>0.10258601322928831</v>
      </c>
      <c r="J30" s="207">
        <f t="shared" si="47"/>
        <v>0.10716389784899513</v>
      </c>
      <c r="K30" s="679">
        <f t="shared" si="47"/>
        <v>0.11177051919895592</v>
      </c>
      <c r="L30" s="679">
        <f t="shared" si="47"/>
        <v>0.11640614871449152</v>
      </c>
      <c r="M30" s="679">
        <f t="shared" si="47"/>
        <v>0.10367824809267601</v>
      </c>
      <c r="N30" s="679">
        <f t="shared" si="47"/>
        <v>9.1774007328246254E-2</v>
      </c>
      <c r="O30" s="679">
        <f t="shared" si="47"/>
        <v>9.1026467323408175E-2</v>
      </c>
      <c r="P30" s="679">
        <f t="shared" si="47"/>
        <v>9.0313090649365602E-2</v>
      </c>
      <c r="Q30" s="679">
        <f t="shared" si="47"/>
        <v>8.9631587677371796E-2</v>
      </c>
      <c r="R30" s="679">
        <f t="shared" si="47"/>
        <v>8.9390323333913668E-2</v>
      </c>
      <c r="S30" s="679">
        <f t="shared" si="47"/>
        <v>8.9159753185560298E-2</v>
      </c>
      <c r="T30" s="679">
        <f t="shared" si="47"/>
        <v>8.584323090212001E-2</v>
      </c>
      <c r="U30" s="679">
        <f t="shared" si="47"/>
        <v>8.2576093825209071E-2</v>
      </c>
      <c r="V30" s="679">
        <f t="shared" si="47"/>
        <v>7.9357247039337206E-2</v>
      </c>
      <c r="W30" s="679">
        <f t="shared" si="47"/>
        <v>7.6870566723628256E-2</v>
      </c>
      <c r="X30" s="679">
        <f t="shared" si="47"/>
        <v>7.4444017917069713E-2</v>
      </c>
      <c r="Y30" s="679">
        <f t="shared" si="47"/>
        <v>7.2839212226750966E-2</v>
      </c>
      <c r="Z30" s="679">
        <f t="shared" si="47"/>
        <v>7.1280150319791374E-2</v>
      </c>
      <c r="AA30" s="679">
        <f t="shared" si="47"/>
        <v>6.9764903840963455E-2</v>
      </c>
      <c r="AB30" s="679">
        <f t="shared" si="47"/>
        <v>6.8256300178454965E-2</v>
      </c>
      <c r="AC30" s="679">
        <f t="shared" si="47"/>
        <v>6.6789062162235666E-2</v>
      </c>
      <c r="AD30" s="679">
        <f t="shared" si="47"/>
        <v>6.6337438716270528E-2</v>
      </c>
      <c r="AE30" s="679">
        <f t="shared" si="47"/>
        <v>6.5892985652284908E-2</v>
      </c>
      <c r="AF30" s="679">
        <f t="shared" si="47"/>
        <v>6.5455533550016654E-2</v>
      </c>
      <c r="AG30" s="679">
        <f t="shared" si="47"/>
        <v>6.5024918284863356E-2</v>
      </c>
      <c r="AH30" s="679">
        <f t="shared" si="47"/>
        <v>6.4600980822575094E-2</v>
      </c>
      <c r="AI30" s="679">
        <f t="shared" si="47"/>
        <v>6.4519922920697345E-2</v>
      </c>
      <c r="AJ30" s="679">
        <f t="shared" si="47"/>
        <v>6.4439655874379415E-2</v>
      </c>
      <c r="AK30" s="679">
        <f t="shared" si="47"/>
        <v>6.4360168165629589E-2</v>
      </c>
      <c r="AL30" s="679">
        <f t="shared" si="47"/>
        <v>6.4281448499039121E-2</v>
      </c>
      <c r="AM30" s="679">
        <f t="shared" si="47"/>
        <v>6.4203485796431259E-2</v>
      </c>
    </row>
    <row r="31" spans="1:39" ht="15.75" thickBot="1" x14ac:dyDescent="0.3">
      <c r="A31" s="676"/>
      <c r="B31" s="207" t="s">
        <v>476</v>
      </c>
      <c r="C31" s="207">
        <f t="shared" si="42"/>
        <v>2308</v>
      </c>
      <c r="D31" s="207">
        <f t="shared" si="39"/>
        <v>1.6322764450753993E-2</v>
      </c>
      <c r="E31" s="207">
        <f t="shared" ref="E31:AM31" si="48">E12/SUM(E$5:E$12)</f>
        <v>1.5555634505922794E-2</v>
      </c>
      <c r="F31" s="207">
        <f t="shared" si="48"/>
        <v>1.4760793903106334E-2</v>
      </c>
      <c r="G31" s="207">
        <f t="shared" si="48"/>
        <v>1.3936713557393537E-2</v>
      </c>
      <c r="H31" s="207">
        <f t="shared" si="48"/>
        <v>1.3081749775153369E-2</v>
      </c>
      <c r="I31" s="207">
        <f t="shared" si="48"/>
        <v>1.2194133311226062E-2</v>
      </c>
      <c r="J31" s="207">
        <f t="shared" si="48"/>
        <v>1.2809436311919923E-2</v>
      </c>
      <c r="K31" s="679">
        <f t="shared" si="48"/>
        <v>1.3428601750797409E-2</v>
      </c>
      <c r="L31" s="679">
        <f t="shared" si="48"/>
        <v>1.4051666110859139E-2</v>
      </c>
      <c r="M31" s="679">
        <f t="shared" si="48"/>
        <v>1.6503150376167182E-2</v>
      </c>
      <c r="N31" s="679">
        <f t="shared" si="48"/>
        <v>1.8795991889591537E-2</v>
      </c>
      <c r="O31" s="679">
        <f t="shared" si="48"/>
        <v>1.8015866154902541E-2</v>
      </c>
      <c r="P31" s="679">
        <f t="shared" si="48"/>
        <v>1.7271392951668459E-2</v>
      </c>
      <c r="Q31" s="679">
        <f t="shared" si="48"/>
        <v>1.6560182844813354E-2</v>
      </c>
      <c r="R31" s="679">
        <f t="shared" si="48"/>
        <v>1.6080183847779452E-2</v>
      </c>
      <c r="S31" s="679">
        <f t="shared" si="48"/>
        <v>1.5621461110846018E-2</v>
      </c>
      <c r="T31" s="679">
        <f t="shared" si="48"/>
        <v>1.6401361294803209E-2</v>
      </c>
      <c r="U31" s="679">
        <f t="shared" si="48"/>
        <v>1.7169648250093331E-2</v>
      </c>
      <c r="V31" s="679">
        <f t="shared" si="48"/>
        <v>1.7926579452686487E-2</v>
      </c>
      <c r="W31" s="679">
        <f t="shared" si="48"/>
        <v>1.8552985685094274E-2</v>
      </c>
      <c r="X31" s="679">
        <f t="shared" si="48"/>
        <v>1.9164244513206478E-2</v>
      </c>
      <c r="Y31" s="679">
        <f t="shared" si="48"/>
        <v>1.9941932953295171E-2</v>
      </c>
      <c r="Z31" s="679">
        <f t="shared" si="48"/>
        <v>2.0697453967296709E-2</v>
      </c>
      <c r="AA31" s="679">
        <f t="shared" si="48"/>
        <v>2.1431742035676823E-2</v>
      </c>
      <c r="AB31" s="679">
        <f t="shared" si="48"/>
        <v>2.1982955062421462E-2</v>
      </c>
      <c r="AC31" s="679">
        <f t="shared" si="48"/>
        <v>2.2519053925213708E-2</v>
      </c>
      <c r="AD31" s="679">
        <f t="shared" si="48"/>
        <v>2.2569989881515307E-2</v>
      </c>
      <c r="AE31" s="679">
        <f t="shared" si="48"/>
        <v>2.2620117132541664E-2</v>
      </c>
      <c r="AF31" s="679">
        <f t="shared" si="48"/>
        <v>2.2669454786209214E-2</v>
      </c>
      <c r="AG31" s="679">
        <f t="shared" si="48"/>
        <v>2.2718021353168052E-2</v>
      </c>
      <c r="AH31" s="679">
        <f t="shared" si="48"/>
        <v>2.2765834769957295E-2</v>
      </c>
      <c r="AI31" s="679">
        <f t="shared" si="48"/>
        <v>2.2721309188554417E-2</v>
      </c>
      <c r="AJ31" s="679">
        <f t="shared" si="48"/>
        <v>2.2677218028753762E-2</v>
      </c>
      <c r="AK31" s="679">
        <f t="shared" si="48"/>
        <v>2.2633554963654861E-2</v>
      </c>
      <c r="AL31" s="679">
        <f t="shared" si="48"/>
        <v>2.2590313788623365E-2</v>
      </c>
      <c r="AM31" s="679">
        <f t="shared" si="48"/>
        <v>2.254748841835174E-2</v>
      </c>
    </row>
    <row r="32" spans="1:39" x14ac:dyDescent="0.25">
      <c r="A32" s="675"/>
      <c r="B32" s="207" t="s">
        <v>287</v>
      </c>
      <c r="C32" s="207">
        <v>2401</v>
      </c>
      <c r="D32" s="207">
        <f t="shared" ref="D32:D37" si="49">D13/SUM(D$13:D$18)</f>
        <v>0.69900476281967894</v>
      </c>
      <c r="E32" s="207">
        <f t="shared" ref="E32:AM32" si="50">E13/SUM(E$13:E$18)</f>
        <v>0.69597279409696233</v>
      </c>
      <c r="F32" s="207">
        <f t="shared" si="50"/>
        <v>0.69294627288754818</v>
      </c>
      <c r="G32" s="207">
        <f t="shared" si="50"/>
        <v>0.68992518452336005</v>
      </c>
      <c r="H32" s="207">
        <f t="shared" si="50"/>
        <v>0.68690951438893511</v>
      </c>
      <c r="I32" s="207">
        <f t="shared" si="50"/>
        <v>0.68389924792118773</v>
      </c>
      <c r="J32" s="207">
        <f t="shared" si="50"/>
        <v>0.6562350537908247</v>
      </c>
      <c r="K32" s="679">
        <f t="shared" si="50"/>
        <v>0.62790966987834718</v>
      </c>
      <c r="L32" s="679">
        <f t="shared" si="50"/>
        <v>0.5988991052747562</v>
      </c>
      <c r="M32" s="679">
        <f t="shared" si="50"/>
        <v>0.56932742633049005</v>
      </c>
      <c r="N32" s="679">
        <f t="shared" si="50"/>
        <v>0.54373475351451295</v>
      </c>
      <c r="O32" s="679">
        <f t="shared" si="50"/>
        <v>0.51069444934924935</v>
      </c>
      <c r="P32" s="679">
        <f t="shared" si="50"/>
        <v>0.4779257994804833</v>
      </c>
      <c r="Q32" s="679">
        <f t="shared" si="50"/>
        <v>0.44542546735024896</v>
      </c>
      <c r="R32" s="679">
        <f t="shared" si="50"/>
        <v>0.41531619226810607</v>
      </c>
      <c r="S32" s="679">
        <f t="shared" si="50"/>
        <v>0.38607809665453197</v>
      </c>
      <c r="T32" s="679">
        <f t="shared" si="50"/>
        <v>0.37005787944675655</v>
      </c>
      <c r="U32" s="679">
        <f t="shared" si="50"/>
        <v>0.35393681853691106</v>
      </c>
      <c r="V32" s="679">
        <f t="shared" si="50"/>
        <v>0.33771395873565047</v>
      </c>
      <c r="W32" s="679">
        <f t="shared" si="50"/>
        <v>0.32154648888607235</v>
      </c>
      <c r="X32" s="679">
        <f t="shared" si="50"/>
        <v>0.30563886948685881</v>
      </c>
      <c r="Y32" s="679">
        <f t="shared" si="50"/>
        <v>0.27998330357012646</v>
      </c>
      <c r="Z32" s="679">
        <f t="shared" si="50"/>
        <v>0.25444533765598321</v>
      </c>
      <c r="AA32" s="679">
        <f t="shared" si="50"/>
        <v>0.22902416501090969</v>
      </c>
      <c r="AB32" s="679">
        <f t="shared" si="50"/>
        <v>0.20662472520680011</v>
      </c>
      <c r="AC32" s="679">
        <f t="shared" si="50"/>
        <v>0.1841643134867775</v>
      </c>
      <c r="AD32" s="679">
        <f t="shared" si="50"/>
        <v>0.17532787732653909</v>
      </c>
      <c r="AE32" s="679">
        <f t="shared" si="50"/>
        <v>0.16649262082256469</v>
      </c>
      <c r="AF32" s="679">
        <f t="shared" si="50"/>
        <v>0.15765854373864541</v>
      </c>
      <c r="AG32" s="679">
        <f t="shared" si="50"/>
        <v>0.14882564583863547</v>
      </c>
      <c r="AH32" s="679">
        <f t="shared" si="50"/>
        <v>0.13999392688645226</v>
      </c>
      <c r="AI32" s="679">
        <f t="shared" si="50"/>
        <v>0.11452777206074118</v>
      </c>
      <c r="AJ32" s="679">
        <f t="shared" si="50"/>
        <v>8.9071105497668904E-2</v>
      </c>
      <c r="AK32" s="679">
        <f t="shared" si="50"/>
        <v>6.3623921895471613E-2</v>
      </c>
      <c r="AL32" s="679">
        <f t="shared" si="50"/>
        <v>3.818621595633459E-2</v>
      </c>
      <c r="AM32" s="679">
        <f t="shared" si="50"/>
        <v>1.2757982386388773E-2</v>
      </c>
    </row>
    <row r="33" spans="1:39" x14ac:dyDescent="0.25">
      <c r="A33" s="677"/>
      <c r="B33" s="207" t="s">
        <v>289</v>
      </c>
      <c r="C33" s="207">
        <v>2402</v>
      </c>
      <c r="D33" s="207">
        <f t="shared" si="49"/>
        <v>0.18329006419278157</v>
      </c>
      <c r="E33" s="207">
        <f t="shared" ref="E33:AM33" si="51">E14/SUM(E$13:E$18)</f>
        <v>0.18539471617214445</v>
      </c>
      <c r="F33" s="207">
        <f t="shared" si="51"/>
        <v>0.18749558674058139</v>
      </c>
      <c r="G33" s="207">
        <f t="shared" si="51"/>
        <v>0.18959268607999044</v>
      </c>
      <c r="H33" s="207">
        <f t="shared" si="51"/>
        <v>0.19168602433574794</v>
      </c>
      <c r="I33" s="207">
        <f t="shared" si="51"/>
        <v>0.19377561161687165</v>
      </c>
      <c r="J33" s="207">
        <f t="shared" si="51"/>
        <v>0.1989005757270885</v>
      </c>
      <c r="K33" s="679">
        <f t="shared" si="51"/>
        <v>0.20414802935886558</v>
      </c>
      <c r="L33" s="679">
        <f t="shared" si="51"/>
        <v>0.20952241697738466</v>
      </c>
      <c r="M33" s="679">
        <f t="shared" si="51"/>
        <v>0.21605697876148516</v>
      </c>
      <c r="N33" s="679">
        <f t="shared" si="51"/>
        <v>0.22171228504461724</v>
      </c>
      <c r="O33" s="679">
        <f t="shared" si="51"/>
        <v>0.22332507419201281</v>
      </c>
      <c r="P33" s="679">
        <f t="shared" si="51"/>
        <v>0.2249246031375941</v>
      </c>
      <c r="Q33" s="679">
        <f t="shared" si="51"/>
        <v>0.22651103474803605</v>
      </c>
      <c r="R33" s="679">
        <f t="shared" si="51"/>
        <v>0.22984434870753223</v>
      </c>
      <c r="S33" s="679">
        <f t="shared" si="51"/>
        <v>0.23308121681518099</v>
      </c>
      <c r="T33" s="679">
        <f t="shared" si="51"/>
        <v>0.22978061124745547</v>
      </c>
      <c r="U33" s="679">
        <f t="shared" si="51"/>
        <v>0.22645922910222124</v>
      </c>
      <c r="V33" s="679">
        <f t="shared" si="51"/>
        <v>0.2231168735841898</v>
      </c>
      <c r="W33" s="679">
        <f t="shared" si="51"/>
        <v>0.21964353968934588</v>
      </c>
      <c r="X33" s="679">
        <f t="shared" si="51"/>
        <v>0.2162260306938362</v>
      </c>
      <c r="Y33" s="679">
        <f t="shared" si="51"/>
        <v>0.21360488290300828</v>
      </c>
      <c r="Z33" s="679">
        <f t="shared" si="51"/>
        <v>0.21099574993142031</v>
      </c>
      <c r="AA33" s="679">
        <f t="shared" si="51"/>
        <v>0.20839854935766755</v>
      </c>
      <c r="AB33" s="679">
        <f t="shared" si="51"/>
        <v>0.20696199180474187</v>
      </c>
      <c r="AC33" s="679">
        <f t="shared" si="51"/>
        <v>0.20552152390106249</v>
      </c>
      <c r="AD33" s="679">
        <f t="shared" si="51"/>
        <v>0.20443291061699595</v>
      </c>
      <c r="AE33" s="679">
        <f t="shared" si="51"/>
        <v>0.20334444266182189</v>
      </c>
      <c r="AF33" s="679">
        <f t="shared" si="51"/>
        <v>0.20225612000644019</v>
      </c>
      <c r="AG33" s="679">
        <f t="shared" si="51"/>
        <v>0.20116794262175863</v>
      </c>
      <c r="AH33" s="679">
        <f t="shared" si="51"/>
        <v>0.20007991047869284</v>
      </c>
      <c r="AI33" s="679">
        <f t="shared" si="51"/>
        <v>0.19910231322563804</v>
      </c>
      <c r="AJ33" s="679">
        <f t="shared" si="51"/>
        <v>0.19812508020894146</v>
      </c>
      <c r="AK33" s="679">
        <f t="shared" si="51"/>
        <v>0.19714821122507856</v>
      </c>
      <c r="AL33" s="679">
        <f t="shared" si="51"/>
        <v>0.19617170607067616</v>
      </c>
      <c r="AM33" s="679">
        <f t="shared" si="51"/>
        <v>0.19519556454251277</v>
      </c>
    </row>
    <row r="34" spans="1:39" x14ac:dyDescent="0.25">
      <c r="A34" s="677" t="s">
        <v>474</v>
      </c>
      <c r="B34" s="207" t="s">
        <v>291</v>
      </c>
      <c r="C34" s="207">
        <v>2403</v>
      </c>
      <c r="D34" s="207">
        <f t="shared" si="49"/>
        <v>3.0221764477700811E-3</v>
      </c>
      <c r="E34" s="207">
        <f t="shared" ref="E34:AM34" si="52">E15/SUM(E$13:E$18)</f>
        <v>4.5773015423322674E-3</v>
      </c>
      <c r="F34" s="207">
        <f t="shared" si="52"/>
        <v>6.1296325564092289E-3</v>
      </c>
      <c r="G34" s="207">
        <f t="shared" si="52"/>
        <v>7.6791770133945447E-3</v>
      </c>
      <c r="H34" s="207">
        <f t="shared" si="52"/>
        <v>9.2259424096958458E-3</v>
      </c>
      <c r="I34" s="207">
        <f t="shared" si="52"/>
        <v>1.0769936214855688E-2</v>
      </c>
      <c r="J34" s="207">
        <f t="shared" si="52"/>
        <v>1.6819933224680467E-2</v>
      </c>
      <c r="K34" s="679">
        <f t="shared" si="52"/>
        <v>2.3014528562071541E-2</v>
      </c>
      <c r="L34" s="679">
        <f t="shared" si="52"/>
        <v>2.9358968898123738E-2</v>
      </c>
      <c r="M34" s="679">
        <f t="shared" si="52"/>
        <v>3.0242184185110949E-2</v>
      </c>
      <c r="N34" s="679">
        <f t="shared" si="52"/>
        <v>3.1006558771637958E-2</v>
      </c>
      <c r="O34" s="679">
        <f t="shared" si="52"/>
        <v>4.0797701277629841E-2</v>
      </c>
      <c r="P34" s="679">
        <f t="shared" si="52"/>
        <v>5.050834192395149E-2</v>
      </c>
      <c r="Q34" s="679">
        <f t="shared" si="52"/>
        <v>6.0139469464046545E-2</v>
      </c>
      <c r="R34" s="679">
        <f t="shared" si="52"/>
        <v>6.8660060755504196E-2</v>
      </c>
      <c r="S34" s="679">
        <f t="shared" si="52"/>
        <v>7.6934117908463565E-2</v>
      </c>
      <c r="T34" s="679">
        <f t="shared" si="52"/>
        <v>8.0227674084809408E-2</v>
      </c>
      <c r="U34" s="679">
        <f t="shared" si="52"/>
        <v>8.354196246431389E-2</v>
      </c>
      <c r="V34" s="679">
        <f t="shared" si="52"/>
        <v>8.6877179421952958E-2</v>
      </c>
      <c r="W34" s="679">
        <f t="shared" si="52"/>
        <v>8.9356864324647525E-2</v>
      </c>
      <c r="X34" s="679">
        <f t="shared" si="52"/>
        <v>9.1796694677142049E-2</v>
      </c>
      <c r="Y34" s="679">
        <f t="shared" si="52"/>
        <v>0.10189825174912089</v>
      </c>
      <c r="Z34" s="679">
        <f t="shared" si="52"/>
        <v>0.11195350529609958</v>
      </c>
      <c r="AA34" s="679">
        <f t="shared" si="52"/>
        <v>0.12196277295927595</v>
      </c>
      <c r="AB34" s="679">
        <f t="shared" si="52"/>
        <v>0.12862533217861558</v>
      </c>
      <c r="AC34" s="679">
        <f t="shared" si="52"/>
        <v>0.13530602707474176</v>
      </c>
      <c r="AD34" s="679">
        <f t="shared" si="52"/>
        <v>0.13704892523811246</v>
      </c>
      <c r="AE34" s="679">
        <f t="shared" si="52"/>
        <v>0.13879159072614913</v>
      </c>
      <c r="AF34" s="679">
        <f t="shared" si="52"/>
        <v>0.14053402358544151</v>
      </c>
      <c r="AG34" s="679">
        <f t="shared" si="52"/>
        <v>0.14227622386256694</v>
      </c>
      <c r="AH34" s="679">
        <f t="shared" si="52"/>
        <v>0.14401819160409043</v>
      </c>
      <c r="AI34" s="679">
        <f t="shared" si="52"/>
        <v>0.15707036237172015</v>
      </c>
      <c r="AJ34" s="679">
        <f t="shared" si="52"/>
        <v>0.1701176701191924</v>
      </c>
      <c r="AK34" s="679">
        <f t="shared" si="52"/>
        <v>0.18316011756382083</v>
      </c>
      <c r="AL34" s="679">
        <f t="shared" si="52"/>
        <v>0.19619770742089473</v>
      </c>
      <c r="AM34" s="679">
        <f t="shared" si="52"/>
        <v>0.20923044240368147</v>
      </c>
    </row>
    <row r="35" spans="1:39" x14ac:dyDescent="0.25">
      <c r="A35" s="677"/>
      <c r="B35" s="207" t="s">
        <v>293</v>
      </c>
      <c r="C35" s="207">
        <v>2404</v>
      </c>
      <c r="D35" s="207">
        <f t="shared" si="49"/>
        <v>1.2020148980054117E-2</v>
      </c>
      <c r="E35" s="207">
        <f t="shared" ref="E35:AM35" si="53">E16/SUM(E$13:E$18)</f>
        <v>1.7121954697865486E-2</v>
      </c>
      <c r="F35" s="207">
        <f t="shared" si="53"/>
        <v>2.2214594043244568E-2</v>
      </c>
      <c r="G35" s="207">
        <f t="shared" si="53"/>
        <v>2.7298091697737899E-2</v>
      </c>
      <c r="H35" s="207">
        <f t="shared" si="53"/>
        <v>3.2372472254360816E-2</v>
      </c>
      <c r="I35" s="207">
        <f t="shared" si="53"/>
        <v>3.7437760217994026E-2</v>
      </c>
      <c r="J35" s="207">
        <f t="shared" si="53"/>
        <v>3.8997138202448572E-2</v>
      </c>
      <c r="K35" s="679">
        <f t="shared" si="53"/>
        <v>4.0593786196827034E-2</v>
      </c>
      <c r="L35" s="679">
        <f t="shared" si="53"/>
        <v>4.222905652302042E-2</v>
      </c>
      <c r="M35" s="679">
        <f t="shared" si="53"/>
        <v>3.4949514052738613E-2</v>
      </c>
      <c r="N35" s="679">
        <f t="shared" si="53"/>
        <v>2.8649467679211497E-2</v>
      </c>
      <c r="O35" s="679">
        <f t="shared" si="53"/>
        <v>3.1243948395129739E-2</v>
      </c>
      <c r="P35" s="679">
        <f t="shared" si="53"/>
        <v>3.3817097532799351E-2</v>
      </c>
      <c r="Q35" s="679">
        <f t="shared" si="53"/>
        <v>3.6369177094508709E-2</v>
      </c>
      <c r="R35" s="679">
        <f t="shared" si="53"/>
        <v>3.9764657156065766E-2</v>
      </c>
      <c r="S35" s="679">
        <f t="shared" si="53"/>
        <v>4.3061892656520218E-2</v>
      </c>
      <c r="T35" s="679">
        <f t="shared" si="53"/>
        <v>4.3248099363005783E-2</v>
      </c>
      <c r="U35" s="679">
        <f t="shared" si="53"/>
        <v>4.3435478199268893E-2</v>
      </c>
      <c r="V35" s="679">
        <f t="shared" si="53"/>
        <v>4.3624040267697249E-2</v>
      </c>
      <c r="W35" s="679">
        <f t="shared" si="53"/>
        <v>4.3122220304141617E-2</v>
      </c>
      <c r="X35" s="679">
        <f t="shared" si="53"/>
        <v>4.2628465804430679E-2</v>
      </c>
      <c r="Y35" s="679">
        <f t="shared" si="53"/>
        <v>4.12791101767324E-2</v>
      </c>
      <c r="Z35" s="679">
        <f t="shared" si="53"/>
        <v>3.9935939726388064E-2</v>
      </c>
      <c r="AA35" s="679">
        <f t="shared" si="53"/>
        <v>3.8598912023212445E-2</v>
      </c>
      <c r="AB35" s="679">
        <f t="shared" si="53"/>
        <v>3.7364323764221372E-2</v>
      </c>
      <c r="AC35" s="679">
        <f t="shared" si="53"/>
        <v>3.6126374920672263E-2</v>
      </c>
      <c r="AD35" s="679">
        <f t="shared" si="53"/>
        <v>3.5238812851811199E-2</v>
      </c>
      <c r="AE35" s="679">
        <f t="shared" si="53"/>
        <v>3.4351369271686465E-2</v>
      </c>
      <c r="AF35" s="679">
        <f t="shared" si="53"/>
        <v>3.346404415657242E-2</v>
      </c>
      <c r="AG35" s="679">
        <f t="shared" si="53"/>
        <v>3.2576837482749768E-2</v>
      </c>
      <c r="AH35" s="679">
        <f t="shared" si="53"/>
        <v>3.1689749226505547E-2</v>
      </c>
      <c r="AI35" s="679">
        <f t="shared" si="53"/>
        <v>3.0948815566665362E-2</v>
      </c>
      <c r="AJ35" s="679">
        <f t="shared" si="53"/>
        <v>3.0208157966293541E-2</v>
      </c>
      <c r="AK35" s="679">
        <f t="shared" si="53"/>
        <v>2.9467776271136135E-2</v>
      </c>
      <c r="AL35" s="679">
        <f t="shared" si="53"/>
        <v>2.8727670327054061E-2</v>
      </c>
      <c r="AM35" s="679">
        <f t="shared" si="53"/>
        <v>2.7987839980023049E-2</v>
      </c>
    </row>
    <row r="36" spans="1:39" x14ac:dyDescent="0.25">
      <c r="A36" s="677"/>
      <c r="B36" s="207" t="s">
        <v>296</v>
      </c>
      <c r="C36" s="207">
        <v>2405</v>
      </c>
      <c r="D36" s="207">
        <f t="shared" si="49"/>
        <v>5.2533562030350903E-3</v>
      </c>
      <c r="E36" s="207">
        <f t="shared" ref="E36:AM36" si="54">E17/SUM(E$13:E$18)</f>
        <v>6.0841401023863807E-3</v>
      </c>
      <c r="F36" s="207">
        <f t="shared" si="54"/>
        <v>6.913431339128898E-3</v>
      </c>
      <c r="G36" s="207">
        <f t="shared" si="54"/>
        <v>7.7412339324340104E-3</v>
      </c>
      <c r="H36" s="207">
        <f t="shared" si="54"/>
        <v>8.5675518870565702E-3</v>
      </c>
      <c r="I36" s="207">
        <f t="shared" si="54"/>
        <v>9.3923891933994728E-3</v>
      </c>
      <c r="J36" s="207">
        <f t="shared" si="54"/>
        <v>1.1189035432521194E-2</v>
      </c>
      <c r="K36" s="679">
        <f t="shared" si="54"/>
        <v>1.3028622526156292E-2</v>
      </c>
      <c r="L36" s="679">
        <f t="shared" si="54"/>
        <v>1.4912708559684833E-2</v>
      </c>
      <c r="M36" s="679">
        <f t="shared" si="54"/>
        <v>1.905280514426359E-2</v>
      </c>
      <c r="N36" s="679">
        <f t="shared" si="54"/>
        <v>2.263583259141546E-2</v>
      </c>
      <c r="O36" s="679">
        <f t="shared" si="54"/>
        <v>2.5361962239623396E-2</v>
      </c>
      <c r="P36" s="679">
        <f t="shared" si="54"/>
        <v>2.8065677904350998E-2</v>
      </c>
      <c r="Q36" s="679">
        <f t="shared" si="54"/>
        <v>3.0747254882385718E-2</v>
      </c>
      <c r="R36" s="679">
        <f t="shared" si="54"/>
        <v>3.3531926384655075E-2</v>
      </c>
      <c r="S36" s="679">
        <f t="shared" si="54"/>
        <v>3.6236026414085347E-2</v>
      </c>
      <c r="T36" s="679">
        <f t="shared" si="54"/>
        <v>3.9148083322435669E-2</v>
      </c>
      <c r="U36" s="679">
        <f t="shared" si="54"/>
        <v>4.2078470980954179E-2</v>
      </c>
      <c r="V36" s="679">
        <f t="shared" si="54"/>
        <v>4.5027363018106475E-2</v>
      </c>
      <c r="W36" s="679">
        <f t="shared" si="54"/>
        <v>4.7872880283556143E-2</v>
      </c>
      <c r="X36" s="679">
        <f t="shared" si="54"/>
        <v>5.0672663185507574E-2</v>
      </c>
      <c r="Y36" s="679">
        <f t="shared" si="54"/>
        <v>5.3016075841567062E-2</v>
      </c>
      <c r="Z36" s="679">
        <f t="shared" si="54"/>
        <v>5.534874676090891E-2</v>
      </c>
      <c r="AA36" s="679">
        <f t="shared" si="54"/>
        <v>5.7670749631618785E-2</v>
      </c>
      <c r="AB36" s="679">
        <f t="shared" si="54"/>
        <v>5.9854987712559003E-2</v>
      </c>
      <c r="AC36" s="679">
        <f t="shared" si="54"/>
        <v>6.2045171352038637E-2</v>
      </c>
      <c r="AD36" s="679">
        <f t="shared" si="54"/>
        <v>6.2203609618085069E-2</v>
      </c>
      <c r="AE36" s="679">
        <f t="shared" si="54"/>
        <v>6.2362026732765787E-2</v>
      </c>
      <c r="AF36" s="679">
        <f t="shared" si="54"/>
        <v>6.2520422700316033E-2</v>
      </c>
      <c r="AG36" s="679">
        <f t="shared" si="54"/>
        <v>6.2678797524969895E-2</v>
      </c>
      <c r="AH36" s="679">
        <f t="shared" si="54"/>
        <v>6.2837151210960382E-2</v>
      </c>
      <c r="AI36" s="679">
        <f t="shared" si="54"/>
        <v>6.4842439350811645E-2</v>
      </c>
      <c r="AJ36" s="679">
        <f t="shared" si="54"/>
        <v>6.6846980353897759E-2</v>
      </c>
      <c r="AK36" s="679">
        <f t="shared" si="54"/>
        <v>6.8850774637696913E-2</v>
      </c>
      <c r="AL36" s="679">
        <f t="shared" si="54"/>
        <v>7.0853822619376311E-2</v>
      </c>
      <c r="AM36" s="679">
        <f t="shared" si="54"/>
        <v>7.2856124715792461E-2</v>
      </c>
    </row>
    <row r="37" spans="1:39" ht="15.75" thickBot="1" x14ac:dyDescent="0.3">
      <c r="A37" s="676"/>
      <c r="B37" s="203" t="s">
        <v>613</v>
      </c>
      <c r="C37" s="207">
        <v>2406</v>
      </c>
      <c r="D37" s="207">
        <f t="shared" si="49"/>
        <v>9.740949135668002E-2</v>
      </c>
      <c r="E37" s="207">
        <f t="shared" ref="E37:AM37" si="55">E18/SUM(E$13:E$18)</f>
        <v>9.0849093388309154E-2</v>
      </c>
      <c r="F37" s="207">
        <f t="shared" si="55"/>
        <v>8.430048243308777E-2</v>
      </c>
      <c r="G37" s="207">
        <f t="shared" si="55"/>
        <v>7.7763626753082946E-2</v>
      </c>
      <c r="H37" s="207">
        <f t="shared" si="55"/>
        <v>7.1238494724203807E-2</v>
      </c>
      <c r="I37" s="207">
        <f t="shared" si="55"/>
        <v>6.4725054835691423E-2</v>
      </c>
      <c r="J37" s="207">
        <f t="shared" si="55"/>
        <v>7.7858263622436544E-2</v>
      </c>
      <c r="K37" s="679">
        <f t="shared" si="55"/>
        <v>9.1305363477732326E-2</v>
      </c>
      <c r="L37" s="679">
        <f t="shared" si="55"/>
        <v>0.10507774376703001</v>
      </c>
      <c r="M37" s="679">
        <f t="shared" si="55"/>
        <v>0.13037109152591145</v>
      </c>
      <c r="N37" s="679">
        <f t="shared" si="55"/>
        <v>0.15226110239860471</v>
      </c>
      <c r="O37" s="679">
        <f t="shared" si="55"/>
        <v>0.16857686454635493</v>
      </c>
      <c r="P37" s="679">
        <f t="shared" si="55"/>
        <v>0.18475848002082088</v>
      </c>
      <c r="Q37" s="679">
        <f t="shared" si="55"/>
        <v>0.2008075964607739</v>
      </c>
      <c r="R37" s="679">
        <f t="shared" si="55"/>
        <v>0.21288281472813653</v>
      </c>
      <c r="S37" s="679">
        <f t="shared" si="55"/>
        <v>0.22460864955121784</v>
      </c>
      <c r="T37" s="679">
        <f t="shared" si="55"/>
        <v>0.2375376525355373</v>
      </c>
      <c r="U37" s="679">
        <f t="shared" si="55"/>
        <v>0.25054804071633069</v>
      </c>
      <c r="V37" s="679">
        <f t="shared" si="55"/>
        <v>0.26364058497240311</v>
      </c>
      <c r="W37" s="679">
        <f t="shared" si="55"/>
        <v>0.27845800651223651</v>
      </c>
      <c r="X37" s="679">
        <f t="shared" si="55"/>
        <v>0.29303727615222475</v>
      </c>
      <c r="Y37" s="679">
        <f t="shared" si="55"/>
        <v>0.31021837575944489</v>
      </c>
      <c r="Z37" s="679">
        <f t="shared" si="55"/>
        <v>0.32732072062919987</v>
      </c>
      <c r="AA37" s="679">
        <f t="shared" si="55"/>
        <v>0.34434485101731566</v>
      </c>
      <c r="AB37" s="679">
        <f t="shared" si="55"/>
        <v>0.3605686393330621</v>
      </c>
      <c r="AC37" s="679">
        <f t="shared" si="55"/>
        <v>0.37683658926470737</v>
      </c>
      <c r="AD37" s="679">
        <f t="shared" si="55"/>
        <v>0.38574786434845598</v>
      </c>
      <c r="AE37" s="679">
        <f t="shared" si="55"/>
        <v>0.39465794978501201</v>
      </c>
      <c r="AF37" s="679">
        <f t="shared" si="55"/>
        <v>0.40356684581258456</v>
      </c>
      <c r="AG37" s="679">
        <f t="shared" si="55"/>
        <v>0.41247455266931932</v>
      </c>
      <c r="AH37" s="679">
        <f t="shared" si="55"/>
        <v>0.42138107059329871</v>
      </c>
      <c r="AI37" s="679">
        <f t="shared" si="55"/>
        <v>0.43350829742442371</v>
      </c>
      <c r="AJ37" s="679">
        <f t="shared" si="55"/>
        <v>0.44563100585400589</v>
      </c>
      <c r="AK37" s="679">
        <f t="shared" si="55"/>
        <v>0.45774919840679607</v>
      </c>
      <c r="AL37" s="679">
        <f t="shared" si="55"/>
        <v>0.46986287760566409</v>
      </c>
      <c r="AM37" s="679">
        <f t="shared" si="55"/>
        <v>0.48197204597160137</v>
      </c>
    </row>
    <row r="38" spans="1:39" x14ac:dyDescent="0.25">
      <c r="D38" s="597">
        <f>SUM(D22:D37)-3</f>
        <v>0</v>
      </c>
      <c r="E38" s="597">
        <f t="shared" ref="E38:AM38" si="56">SUM(E22:E37)-3</f>
        <v>0</v>
      </c>
      <c r="F38" s="597">
        <f t="shared" si="56"/>
        <v>0</v>
      </c>
      <c r="G38" s="597">
        <f t="shared" si="56"/>
        <v>0</v>
      </c>
      <c r="H38" s="597">
        <f t="shared" si="56"/>
        <v>0</v>
      </c>
      <c r="I38" s="597">
        <f t="shared" si="56"/>
        <v>0</v>
      </c>
      <c r="J38" s="597">
        <f t="shared" si="56"/>
        <v>0</v>
      </c>
      <c r="K38" s="597">
        <f t="shared" si="56"/>
        <v>0</v>
      </c>
      <c r="L38" s="597">
        <f t="shared" si="56"/>
        <v>0</v>
      </c>
      <c r="M38" s="597">
        <f t="shared" si="56"/>
        <v>0</v>
      </c>
      <c r="N38" s="597">
        <f t="shared" si="56"/>
        <v>0</v>
      </c>
      <c r="O38" s="594">
        <f t="shared" si="56"/>
        <v>0</v>
      </c>
      <c r="P38" s="597">
        <f t="shared" si="56"/>
        <v>0</v>
      </c>
      <c r="Q38" s="597">
        <f t="shared" si="56"/>
        <v>0</v>
      </c>
      <c r="R38" s="597">
        <f t="shared" si="56"/>
        <v>0</v>
      </c>
      <c r="S38" s="597">
        <f t="shared" si="56"/>
        <v>0</v>
      </c>
      <c r="T38" s="597">
        <f t="shared" si="56"/>
        <v>0</v>
      </c>
      <c r="U38" s="597">
        <f t="shared" si="56"/>
        <v>0</v>
      </c>
      <c r="V38" s="597">
        <f t="shared" si="56"/>
        <v>0</v>
      </c>
      <c r="W38" s="597">
        <f t="shared" si="56"/>
        <v>0</v>
      </c>
      <c r="X38" s="597">
        <f t="shared" si="56"/>
        <v>0</v>
      </c>
      <c r="Y38" s="597">
        <f t="shared" si="56"/>
        <v>0</v>
      </c>
      <c r="Z38" s="597">
        <f t="shared" si="56"/>
        <v>0</v>
      </c>
      <c r="AA38" s="597">
        <f t="shared" si="56"/>
        <v>0</v>
      </c>
      <c r="AB38" s="597">
        <f t="shared" si="56"/>
        <v>0</v>
      </c>
      <c r="AC38" s="597">
        <f t="shared" si="56"/>
        <v>0</v>
      </c>
      <c r="AD38" s="597">
        <f t="shared" si="56"/>
        <v>0</v>
      </c>
      <c r="AE38" s="597">
        <f t="shared" si="56"/>
        <v>0</v>
      </c>
      <c r="AF38" s="597">
        <f t="shared" si="56"/>
        <v>0</v>
      </c>
      <c r="AG38" s="597">
        <f t="shared" si="56"/>
        <v>0</v>
      </c>
      <c r="AH38" s="597">
        <f t="shared" si="56"/>
        <v>0</v>
      </c>
      <c r="AI38" s="597">
        <f t="shared" si="56"/>
        <v>0</v>
      </c>
      <c r="AJ38" s="597">
        <f t="shared" si="56"/>
        <v>0</v>
      </c>
      <c r="AK38" s="597">
        <f t="shared" si="56"/>
        <v>0</v>
      </c>
      <c r="AL38" s="597">
        <f t="shared" si="56"/>
        <v>0</v>
      </c>
      <c r="AM38" s="597">
        <f t="shared" si="56"/>
        <v>0</v>
      </c>
    </row>
    <row r="39" spans="1:39" ht="15.75" thickBot="1" x14ac:dyDescent="0.3">
      <c r="B39" t="s">
        <v>446</v>
      </c>
    </row>
    <row r="40" spans="1:39" x14ac:dyDescent="0.25">
      <c r="A40" s="591" t="s">
        <v>475</v>
      </c>
      <c r="B40" s="588" t="s">
        <v>266</v>
      </c>
      <c r="C40">
        <v>2201</v>
      </c>
      <c r="D40" s="404">
        <f>('Cibles THREEME AMS'!$BV4+'Cibles THREEME AMS'!$BV6)*11.64/D3</f>
        <v>3.3598361093746261E-2</v>
      </c>
      <c r="E40">
        <f>D40+($I40-$D40)/5</f>
        <v>3.1131842822573075E-2</v>
      </c>
      <c r="F40">
        <f t="shared" ref="F40:H40" si="57">E40+($I40-$D40)/5</f>
        <v>2.866532455139989E-2</v>
      </c>
      <c r="G40">
        <f t="shared" si="57"/>
        <v>2.6198806280226705E-2</v>
      </c>
      <c r="H40">
        <f t="shared" si="57"/>
        <v>2.3732288009053519E-2</v>
      </c>
      <c r="I40" s="404">
        <f>('Cibles THREEME AMS'!$BW4+'Cibles THREEME AMS'!$BW6)/I3</f>
        <v>2.1265769737880327E-2</v>
      </c>
      <c r="J40">
        <f>I40+($L40-$I40)/3</f>
        <v>2.5213645548493185E-2</v>
      </c>
      <c r="K40">
        <f>J40+($L40-$I40)/3</f>
        <v>2.9161521359106043E-2</v>
      </c>
      <c r="L40" s="404">
        <f>('Cibles THREEME AMS'!$BX4+'Cibles THREEME AMS'!$BX6)/L3</f>
        <v>3.3109397169718897E-2</v>
      </c>
      <c r="M40">
        <f>(L40+N40)/2</f>
        <v>3.8355306776274849E-2</v>
      </c>
      <c r="N40" s="404">
        <f>('Cibles THREEME AMS'!$BY4+'Cibles THREEME AMS'!$BY6)/N3</f>
        <v>4.36012163828308E-2</v>
      </c>
      <c r="O40">
        <f>N40+($Q40-$N40)/3</f>
        <v>4.4091734604687995E-2</v>
      </c>
      <c r="P40">
        <f>O40+($Q40-$N40)/3</f>
        <v>4.4582252826545189E-2</v>
      </c>
      <c r="Q40" s="404">
        <f>('Cibles THREEME AMS'!$BZ4+'Cibles THREEME AMS'!$BZ6)/Q3</f>
        <v>4.5072771048402384E-2</v>
      </c>
      <c r="R40">
        <f>(Q40+S40)/2</f>
        <v>4.5592091916673336E-2</v>
      </c>
      <c r="S40" s="404">
        <f>('Cibles THREEME AMS'!$CA4+'Cibles THREEME AMS'!$CA6)/S3</f>
        <v>4.6111412784944288E-2</v>
      </c>
      <c r="T40">
        <f>S40+($V40-$S40)/3</f>
        <v>4.7073615209377022E-2</v>
      </c>
      <c r="U40">
        <f>T40+($V40-$S40)/3</f>
        <v>4.8035817633809756E-2</v>
      </c>
      <c r="V40" s="404">
        <f>('Cibles THREEME AMS'!$CB4+'Cibles THREEME AMS'!$CB6)/V3</f>
        <v>4.899802005824249E-2</v>
      </c>
      <c r="W40">
        <f>V40+(X40-V40)/2</f>
        <v>5.0265254786310151E-2</v>
      </c>
      <c r="X40" s="404">
        <f>('Cibles THREEME AMS'!$CC4+'Cibles THREEME AMS'!$CC6)/X3</f>
        <v>5.1532489514377819E-2</v>
      </c>
      <c r="Y40">
        <f>X40+($AA40-$X40)/3</f>
        <v>5.2904555339846907E-2</v>
      </c>
      <c r="Z40">
        <f>Y40+($AA40-$X40)/3</f>
        <v>5.4276621165315994E-2</v>
      </c>
      <c r="AA40" s="404">
        <f>('Cibles THREEME AMS'!$CD4+'Cibles THREEME AMS'!$CD6)/AA3</f>
        <v>5.5648686990785082E-2</v>
      </c>
      <c r="AB40">
        <f>AA40+(AC40-AA40)/2</f>
        <v>5.7761339017879706E-2</v>
      </c>
      <c r="AC40" s="404">
        <f>('Cibles THREEME AMS'!$CE4+'Cibles THREEME AMS'!$CE6)/AC3</f>
        <v>5.9873991044974331E-2</v>
      </c>
      <c r="AD40">
        <f>AC40+($AH40-$AC40)/5</f>
        <v>6.0833200757257982E-2</v>
      </c>
      <c r="AE40">
        <f t="shared" ref="AE40:AG40" si="58">AD40+($AH40-$AC40)/5</f>
        <v>6.1792410469541634E-2</v>
      </c>
      <c r="AF40">
        <f t="shared" si="58"/>
        <v>6.2751620181825285E-2</v>
      </c>
      <c r="AG40">
        <f t="shared" si="58"/>
        <v>6.3710829894108936E-2</v>
      </c>
      <c r="AH40" s="404">
        <f>('Cibles THREEME AMS'!$CF4+'Cibles THREEME AMS'!$CF6)/AH3</f>
        <v>6.4670039606392588E-2</v>
      </c>
      <c r="AI40">
        <f>AH40+($AM40-$AH40)/5</f>
        <v>5.9404516687212174E-2</v>
      </c>
      <c r="AJ40">
        <f t="shared" ref="AJ40:AL40" si="59">AI40+($AM40-$AH40)/5</f>
        <v>5.413899376803176E-2</v>
      </c>
      <c r="AK40">
        <f t="shared" si="59"/>
        <v>4.8873470848851346E-2</v>
      </c>
      <c r="AL40">
        <f t="shared" si="59"/>
        <v>4.3607947929670932E-2</v>
      </c>
      <c r="AM40" s="404">
        <f>('Cibles THREEME AMS'!$CG4+'Cibles THREEME AMS'!$CG6)/AM3</f>
        <v>3.8342425010490525E-2</v>
      </c>
    </row>
    <row r="41" spans="1:39" ht="15.75" thickBot="1" x14ac:dyDescent="0.3">
      <c r="A41" s="592"/>
      <c r="B41" s="590" t="s">
        <v>343</v>
      </c>
      <c r="C41">
        <v>2202</v>
      </c>
      <c r="D41" s="404">
        <f>('Cibles THREEME AMS'!$BV5+'Cibles THREEME AMS'!$BV7)*11.64/D4</f>
        <v>0</v>
      </c>
      <c r="E41">
        <f t="shared" ref="E41:H41" si="60">D41+($I41-$D41)/5</f>
        <v>0</v>
      </c>
      <c r="F41">
        <f t="shared" si="60"/>
        <v>0</v>
      </c>
      <c r="G41">
        <f t="shared" si="60"/>
        <v>0</v>
      </c>
      <c r="H41">
        <f t="shared" si="60"/>
        <v>0</v>
      </c>
      <c r="I41" s="404">
        <f>('Cibles THREEME AMS'!$BW5+'Cibles THREEME AMS'!$BW7)/I4</f>
        <v>0</v>
      </c>
      <c r="J41">
        <f t="shared" ref="J41:K41" si="61">I41+($L41-$I41)/3</f>
        <v>0</v>
      </c>
      <c r="K41">
        <f t="shared" si="61"/>
        <v>0</v>
      </c>
      <c r="L41" s="404">
        <f>('Cibles THREEME AMS'!$BX5+'Cibles THREEME AMS'!$BX7)/L4</f>
        <v>0</v>
      </c>
      <c r="M41">
        <f t="shared" ref="M41:M56" si="62">(L41+N41)/2</f>
        <v>0.31109248960302116</v>
      </c>
      <c r="N41" s="404">
        <f>('Cibles THREEME AMS'!$BY5+'Cibles THREEME AMS'!$BY7)/N4</f>
        <v>0.62218497920604232</v>
      </c>
      <c r="O41">
        <f t="shared" ref="O41:P41" si="63">N41+($Q41-$N41)/3</f>
        <v>0.67396569438070408</v>
      </c>
      <c r="P41">
        <f t="shared" si="63"/>
        <v>0.72574640955536585</v>
      </c>
      <c r="Q41" s="404">
        <f>('Cibles THREEME AMS'!$BZ5+'Cibles THREEME AMS'!$BZ7)/Q4</f>
        <v>0.77752712473002761</v>
      </c>
      <c r="R41">
        <f t="shared" ref="R41:R56" si="64">(Q41+S41)/2</f>
        <v>0.82771928792279503</v>
      </c>
      <c r="S41" s="404">
        <f>('Cibles THREEME AMS'!$CA5+'Cibles THREEME AMS'!$CA7)/S4</f>
        <v>0.87791145111556246</v>
      </c>
      <c r="T41">
        <f t="shared" ref="T41:U41" si="65">S41+($V41-$S41)/3</f>
        <v>0.86612893345571651</v>
      </c>
      <c r="U41">
        <f t="shared" si="65"/>
        <v>0.85434641579587056</v>
      </c>
      <c r="V41" s="404">
        <f>('Cibles THREEME AMS'!$CB5+'Cibles THREEME AMS'!$CB7)/V4</f>
        <v>0.8425638981360245</v>
      </c>
      <c r="W41">
        <f t="shared" ref="W41:W56" si="66">V41+(X41-V41)/2</f>
        <v>0.83452014619405412</v>
      </c>
      <c r="X41" s="404">
        <f>('Cibles THREEME AMS'!$CC5+'Cibles THREEME AMS'!$CC7)/X4</f>
        <v>0.82647639425208386</v>
      </c>
      <c r="Y41">
        <f t="shared" ref="Y41:Z41" si="67">X41+($AA41-$X41)/3</f>
        <v>0.84659441834724902</v>
      </c>
      <c r="Z41">
        <f t="shared" si="67"/>
        <v>0.86671244244241419</v>
      </c>
      <c r="AA41" s="404">
        <f>('Cibles THREEME AMS'!$CD5+'Cibles THREEME AMS'!$CD7)/AA4</f>
        <v>0.88683046653757946</v>
      </c>
      <c r="AB41">
        <f t="shared" ref="AB41:AB56" si="68">AA41+(AC41-AA41)/2</f>
        <v>0.90983392310569855</v>
      </c>
      <c r="AC41" s="404">
        <f>('Cibles THREEME AMS'!$CE5+'Cibles THREEME AMS'!$CE7)/AC4</f>
        <v>0.93283737967381763</v>
      </c>
      <c r="AD41">
        <f t="shared" ref="AD41:AG41" si="69">AC41+($AH41-$AC41)/5</f>
        <v>0.98824942446013253</v>
      </c>
      <c r="AE41">
        <f t="shared" si="69"/>
        <v>1.0436614692464474</v>
      </c>
      <c r="AF41">
        <f t="shared" si="69"/>
        <v>1.0990735140327623</v>
      </c>
      <c r="AG41">
        <f t="shared" si="69"/>
        <v>1.1544855588190772</v>
      </c>
      <c r="AH41" s="404">
        <f>('Cibles THREEME AMS'!$CF5+'Cibles THREEME AMS'!$CF7)/AH4</f>
        <v>1.2098976036053923</v>
      </c>
      <c r="AI41">
        <f t="shared" ref="AI41:AL41" si="70">AH41+($AM41-$AH41)/5</f>
        <v>1.3205683129645418</v>
      </c>
      <c r="AJ41">
        <f t="shared" si="70"/>
        <v>1.4312390223236913</v>
      </c>
      <c r="AK41">
        <f t="shared" si="70"/>
        <v>1.5419097316828407</v>
      </c>
      <c r="AL41">
        <f t="shared" si="70"/>
        <v>1.6525804410419902</v>
      </c>
      <c r="AM41" s="404">
        <f>('Cibles THREEME AMS'!$CG5+'Cibles THREEME AMS'!$CG7)/AM4</f>
        <v>1.7632511504011397</v>
      </c>
    </row>
    <row r="42" spans="1:39" x14ac:dyDescent="0.25">
      <c r="A42" s="591"/>
      <c r="B42" s="588" t="s">
        <v>20</v>
      </c>
      <c r="C42">
        <v>2301</v>
      </c>
      <c r="D42">
        <f>'Cibles THREEME AMS'!$BV8*11.64/D5</f>
        <v>2.6091412878646998</v>
      </c>
      <c r="E42">
        <f t="shared" ref="E42:H42" si="71">D42+($I42-$D42)/5</f>
        <v>2.6088523069837755</v>
      </c>
      <c r="F42">
        <f t="shared" si="71"/>
        <v>2.6085633261028511</v>
      </c>
      <c r="G42">
        <f t="shared" si="71"/>
        <v>2.6082743452219268</v>
      </c>
      <c r="H42">
        <f t="shared" si="71"/>
        <v>2.6079853643410025</v>
      </c>
      <c r="I42">
        <f>'Cibles THREEME AMS'!$BW8/I5</f>
        <v>2.6076963834600786</v>
      </c>
      <c r="J42">
        <f t="shared" ref="J42:K42" si="72">I42+($L42-$I42)/3</f>
        <v>2.6105405591587845</v>
      </c>
      <c r="K42">
        <f t="shared" si="72"/>
        <v>2.6133847348574903</v>
      </c>
      <c r="L42">
        <f>'Cibles THREEME AMS'!$BX8/L5</f>
        <v>2.6162289105561967</v>
      </c>
      <c r="M42">
        <f t="shared" si="62"/>
        <v>2.7688407216793625</v>
      </c>
      <c r="N42">
        <f>'Cibles THREEME AMS'!$BY8/N5</f>
        <v>2.9214525328025287</v>
      </c>
      <c r="O42">
        <f t="shared" ref="O42:P42" si="73">N42+($Q42-$N42)/3</f>
        <v>2.8966626548794805</v>
      </c>
      <c r="P42">
        <f t="shared" si="73"/>
        <v>2.8718727769564323</v>
      </c>
      <c r="Q42">
        <f>'Cibles THREEME AMS'!$BZ8/Q5</f>
        <v>2.8470828990333841</v>
      </c>
      <c r="R42">
        <f t="shared" si="64"/>
        <v>2.8036686799290598</v>
      </c>
      <c r="S42">
        <f>'Cibles THREEME AMS'!$CA8/S5</f>
        <v>2.7602544608247355</v>
      </c>
      <c r="T42">
        <f t="shared" ref="T42:U42" si="74">S42+($V42-$S42)/3</f>
        <v>2.8086402253416205</v>
      </c>
      <c r="U42">
        <f t="shared" si="74"/>
        <v>2.8570259898585055</v>
      </c>
      <c r="V42">
        <f>'Cibles THREEME AMS'!$CB8/V5</f>
        <v>2.9054117543753901</v>
      </c>
      <c r="W42">
        <f t="shared" si="66"/>
        <v>2.9375973849815589</v>
      </c>
      <c r="X42">
        <f>'Cibles THREEME AMS'!$CC8/X5</f>
        <v>2.9697830155877276</v>
      </c>
      <c r="Y42">
        <f t="shared" ref="Y42:Z42" si="75">X42+($AA42-$X42)/3</f>
        <v>2.9998126565605872</v>
      </c>
      <c r="Z42">
        <f t="shared" si="75"/>
        <v>3.0298422975334467</v>
      </c>
      <c r="AA42">
        <f>'Cibles THREEME AMS'!$CD8/AA5</f>
        <v>3.0598719385063062</v>
      </c>
      <c r="AB42">
        <f t="shared" si="68"/>
        <v>3.0919231727027929</v>
      </c>
      <c r="AC42">
        <f>'Cibles THREEME AMS'!$CE8/AC5</f>
        <v>3.1239744068992792</v>
      </c>
      <c r="AD42">
        <f t="shared" ref="AD42:AG42" si="76">AC42+($AH42-$AC42)/5</f>
        <v>3.1060446065404155</v>
      </c>
      <c r="AE42">
        <f t="shared" si="76"/>
        <v>3.0881148061815518</v>
      </c>
      <c r="AF42">
        <f t="shared" si="76"/>
        <v>3.0701850058226881</v>
      </c>
      <c r="AG42">
        <f t="shared" si="76"/>
        <v>3.0522552054638243</v>
      </c>
      <c r="AH42">
        <f>'Cibles THREEME AMS'!$CF8/AH5</f>
        <v>3.0343254051049597</v>
      </c>
      <c r="AI42">
        <f t="shared" ref="AI42:AL42" si="77">AH42+($AM42-$AH42)/5</f>
        <v>3.0353336464098915</v>
      </c>
      <c r="AJ42">
        <f t="shared" si="77"/>
        <v>3.0363418877148232</v>
      </c>
      <c r="AK42">
        <f t="shared" si="77"/>
        <v>3.0373501290197549</v>
      </c>
      <c r="AL42">
        <f t="shared" si="77"/>
        <v>3.0383583703246866</v>
      </c>
      <c r="AM42">
        <f>'Cibles THREEME AMS'!$CG8/AM5</f>
        <v>3.0393666116296187</v>
      </c>
    </row>
    <row r="43" spans="1:39" x14ac:dyDescent="0.25">
      <c r="A43" s="593"/>
      <c r="B43" s="589" t="s">
        <v>224</v>
      </c>
      <c r="C43">
        <f>C42+1</f>
        <v>2302</v>
      </c>
      <c r="D43">
        <f>'Cibles THREEME AMS'!$BV9*11.64/D6</f>
        <v>1.7578308990233045</v>
      </c>
      <c r="E43">
        <f t="shared" ref="E43:H43" si="78">D43+($I43-$D43)/5</f>
        <v>1.7480279045538702</v>
      </c>
      <c r="F43">
        <f t="shared" si="78"/>
        <v>1.738224910084436</v>
      </c>
      <c r="G43">
        <f t="shared" si="78"/>
        <v>1.7284219156150018</v>
      </c>
      <c r="H43">
        <f t="shared" si="78"/>
        <v>1.7186189211455676</v>
      </c>
      <c r="I43">
        <f>'Cibles THREEME AMS'!$BW9/I6</f>
        <v>1.7088159266761329</v>
      </c>
      <c r="J43">
        <f t="shared" ref="J43:K43" si="79">I43+($L43-$I43)/3</f>
        <v>1.7451740731762897</v>
      </c>
      <c r="K43">
        <f t="shared" si="79"/>
        <v>1.7815322196764465</v>
      </c>
      <c r="L43">
        <f>'Cibles THREEME AMS'!$BX9/L6</f>
        <v>1.8178903661766033</v>
      </c>
      <c r="M43">
        <f t="shared" si="62"/>
        <v>1.4682331210145407</v>
      </c>
      <c r="N43">
        <f>'Cibles THREEME AMS'!$BY9/N6</f>
        <v>1.118575875852478</v>
      </c>
      <c r="O43">
        <f t="shared" ref="O43:P43" si="80">N43+($Q43-$N43)/3</f>
        <v>1.3459916820472324</v>
      </c>
      <c r="P43">
        <f t="shared" si="80"/>
        <v>1.5734074882419868</v>
      </c>
      <c r="Q43">
        <f>'Cibles THREEME AMS'!$BZ9/Q6</f>
        <v>1.8008232944367411</v>
      </c>
      <c r="R43">
        <f t="shared" si="64"/>
        <v>1.7778234980764775</v>
      </c>
      <c r="S43">
        <f>'Cibles THREEME AMS'!$CA9/S6</f>
        <v>1.7548237017162138</v>
      </c>
      <c r="T43">
        <f t="shared" ref="T43:U43" si="81">S43+($V43-$S43)/3</f>
        <v>1.7844215048499077</v>
      </c>
      <c r="U43">
        <f t="shared" si="81"/>
        <v>1.8140193079836016</v>
      </c>
      <c r="V43">
        <f>'Cibles THREEME AMS'!$CB9/V6</f>
        <v>1.8436171111172952</v>
      </c>
      <c r="W43">
        <f t="shared" si="66"/>
        <v>1.8629777039401911</v>
      </c>
      <c r="X43">
        <f>'Cibles THREEME AMS'!$CC9/X6</f>
        <v>1.8823382967630871</v>
      </c>
      <c r="Y43">
        <f t="shared" ref="Y43:Z43" si="82">X43+($AA43-$X43)/3</f>
        <v>1.8999603305904036</v>
      </c>
      <c r="Z43">
        <f t="shared" si="82"/>
        <v>1.9175823644177201</v>
      </c>
      <c r="AA43">
        <f>'Cibles THREEME AMS'!$CD9/AA6</f>
        <v>1.9352043982450366</v>
      </c>
      <c r="AB43">
        <f t="shared" si="68"/>
        <v>1.1284860273349659</v>
      </c>
      <c r="AC43">
        <f>'Cibles THREEME AMS'!$CE9/AC6</f>
        <v>0.32176765642489547</v>
      </c>
      <c r="AD43">
        <f t="shared" ref="AD43:AG43" si="83">AC43+($AH43-$AC43)/5</f>
        <v>0.25741412513991635</v>
      </c>
      <c r="AE43">
        <f t="shared" si="83"/>
        <v>0.19306059385493726</v>
      </c>
      <c r="AF43">
        <f t="shared" si="83"/>
        <v>0.12870706256995817</v>
      </c>
      <c r="AG43">
        <f t="shared" si="83"/>
        <v>6.4353531284979087E-2</v>
      </c>
      <c r="AH43">
        <f>'Cibles THREEME AMS'!$CF9/AH6</f>
        <v>0</v>
      </c>
      <c r="AI43">
        <f t="shared" ref="AI43:AL43" si="84">AH43+($AM43-$AH43)/5</f>
        <v>0</v>
      </c>
      <c r="AJ43">
        <f t="shared" si="84"/>
        <v>0</v>
      </c>
      <c r="AK43">
        <f t="shared" si="84"/>
        <v>0</v>
      </c>
      <c r="AL43">
        <f t="shared" si="84"/>
        <v>0</v>
      </c>
      <c r="AM43">
        <f>'Cibles THREEME AMS'!$CG9/AM6</f>
        <v>0</v>
      </c>
    </row>
    <row r="44" spans="1:39" x14ac:dyDescent="0.25">
      <c r="A44" s="593"/>
      <c r="B44" s="589" t="s">
        <v>32</v>
      </c>
      <c r="C44">
        <f t="shared" ref="C44:C49" si="85">C43+1</f>
        <v>2303</v>
      </c>
      <c r="D44">
        <f>('Cibles THREEME AMS'!$BV10+'Cibles THREEME AMS'!$BV12)*11.64/D7</f>
        <v>1.2659435231846792</v>
      </c>
      <c r="E44">
        <f t="shared" ref="E44:H44" si="86">D44+($I44-$D44)/5</f>
        <v>1.2594808997549387</v>
      </c>
      <c r="F44">
        <f t="shared" si="86"/>
        <v>1.2530182763251982</v>
      </c>
      <c r="G44">
        <f t="shared" si="86"/>
        <v>1.2465556528954578</v>
      </c>
      <c r="H44">
        <f t="shared" si="86"/>
        <v>1.2400930294657173</v>
      </c>
      <c r="I44">
        <f>('Cibles THREEME AMS'!$BW10+'Cibles THREEME AMS'!$BW12)/I7</f>
        <v>1.2336304060359773</v>
      </c>
      <c r="J44">
        <f t="shared" ref="J44:K44" si="87">I44+($L44-$I44)/3</f>
        <v>1.2399413979860165</v>
      </c>
      <c r="K44">
        <f t="shared" si="87"/>
        <v>1.2462523899360558</v>
      </c>
      <c r="L44">
        <f>('Cibles THREEME AMS'!$BX10+'Cibles THREEME AMS'!$BX12)/L7</f>
        <v>1.2525633818860951</v>
      </c>
      <c r="M44">
        <f t="shared" si="62"/>
        <v>1.1271528723312354</v>
      </c>
      <c r="N44">
        <f>('Cibles THREEME AMS'!$BY10+'Cibles THREEME AMS'!$BY12)/N7</f>
        <v>1.0017423627763755</v>
      </c>
      <c r="O44">
        <f t="shared" ref="O44:P44" si="88">N44+($Q44-$N44)/3</f>
        <v>0.99395490768153161</v>
      </c>
      <c r="P44">
        <f t="shared" si="88"/>
        <v>0.9861674525866877</v>
      </c>
      <c r="Q44">
        <f>('Cibles THREEME AMS'!$BZ10+'Cibles THREEME AMS'!$BZ12)/Q7</f>
        <v>0.97837999749184368</v>
      </c>
      <c r="R44">
        <f t="shared" si="64"/>
        <v>0.96518503552437362</v>
      </c>
      <c r="S44">
        <f>('Cibles THREEME AMS'!$CA10+'Cibles THREEME AMS'!$CA12)/S7</f>
        <v>0.95199007355690357</v>
      </c>
      <c r="T44">
        <f t="shared" ref="T44:U44" si="89">S44+($V44-$S44)/3</f>
        <v>0.96762900692563258</v>
      </c>
      <c r="U44">
        <f t="shared" si="89"/>
        <v>0.9832679402943616</v>
      </c>
      <c r="V44">
        <f>('Cibles THREEME AMS'!$CB10+'Cibles THREEME AMS'!$CB12)/V7</f>
        <v>0.99890687366309061</v>
      </c>
      <c r="W44">
        <f t="shared" si="66"/>
        <v>1.0090173960820104</v>
      </c>
      <c r="X44">
        <f>('Cibles THREEME AMS'!$CC10+'Cibles THREEME AMS'!$CC12)/X7</f>
        <v>1.0191279185009303</v>
      </c>
      <c r="Y44">
        <f t="shared" ref="Y44:Z44" si="90">X44+($AA44-$X44)/3</f>
        <v>1.0285770858737411</v>
      </c>
      <c r="Z44">
        <f t="shared" si="90"/>
        <v>1.0380262532465518</v>
      </c>
      <c r="AA44">
        <f>('Cibles THREEME AMS'!$CD10+'Cibles THREEME AMS'!$CD12)/AA7</f>
        <v>1.0474754206193628</v>
      </c>
      <c r="AB44">
        <f t="shared" si="68"/>
        <v>0.54252535779766642</v>
      </c>
      <c r="AC44">
        <f>('Cibles THREEME AMS'!$CE10+'Cibles THREEME AMS'!$CE12)/AC7</f>
        <v>3.757529497597005E-2</v>
      </c>
      <c r="AD44">
        <f t="shared" ref="AD44:AG44" si="91">AC44+($AH44-$AC44)/5</f>
        <v>3.7567449060458911E-2</v>
      </c>
      <c r="AE44">
        <f t="shared" si="91"/>
        <v>3.7559603144947773E-2</v>
      </c>
      <c r="AF44">
        <f t="shared" si="91"/>
        <v>3.7551757229436634E-2</v>
      </c>
      <c r="AG44">
        <f t="shared" si="91"/>
        <v>3.7543911313925496E-2</v>
      </c>
      <c r="AH44">
        <f>('Cibles THREEME AMS'!$CF10+'Cibles THREEME AMS'!$CF12)/AH7</f>
        <v>3.7536065398414364E-2</v>
      </c>
      <c r="AI44">
        <f t="shared" ref="AI44:AL44" si="92">AH44+($AM44-$AH44)/5</f>
        <v>3.7443242361629131E-2</v>
      </c>
      <c r="AJ44">
        <f t="shared" si="92"/>
        <v>3.7350419324843898E-2</v>
      </c>
      <c r="AK44">
        <f t="shared" si="92"/>
        <v>3.7257596288058664E-2</v>
      </c>
      <c r="AL44">
        <f t="shared" si="92"/>
        <v>3.7164773251273431E-2</v>
      </c>
      <c r="AM44">
        <f>('Cibles THREEME AMS'!$CG10+'Cibles THREEME AMS'!$CG12)/AM7</f>
        <v>3.707195021448819E-2</v>
      </c>
    </row>
    <row r="45" spans="1:39" x14ac:dyDescent="0.25">
      <c r="A45" s="593" t="s">
        <v>104</v>
      </c>
      <c r="B45" s="589" t="s">
        <v>42</v>
      </c>
      <c r="C45">
        <f t="shared" si="85"/>
        <v>2304</v>
      </c>
      <c r="D45">
        <f>'Cibles THREEME AMS'!$BV11*11.64/D8</f>
        <v>2.9105546410597891</v>
      </c>
      <c r="E45">
        <f t="shared" ref="E45:H45" si="93">D45+($I45-$D45)/5</f>
        <v>2.8929235843269119</v>
      </c>
      <c r="F45">
        <f t="shared" si="93"/>
        <v>2.8752925275940346</v>
      </c>
      <c r="G45">
        <f t="shared" si="93"/>
        <v>2.8576614708611574</v>
      </c>
      <c r="H45">
        <f t="shared" si="93"/>
        <v>2.8400304141282802</v>
      </c>
      <c r="I45">
        <f>'Cibles THREEME AMS'!$BW11/I8</f>
        <v>2.8223993573954025</v>
      </c>
      <c r="J45">
        <f t="shared" ref="J45:K45" si="94">I45+($L45-$I45)/3</f>
        <v>2.8363363927753724</v>
      </c>
      <c r="K45">
        <f t="shared" si="94"/>
        <v>2.8502734281553423</v>
      </c>
      <c r="L45">
        <f>'Cibles THREEME AMS'!$BX11/L8</f>
        <v>2.8642104635353127</v>
      </c>
      <c r="M45">
        <f t="shared" si="62"/>
        <v>1.4321052317676564</v>
      </c>
      <c r="N45">
        <f>'Cibles THREEME AMS'!$BY11/N8</f>
        <v>0</v>
      </c>
      <c r="O45">
        <f t="shared" ref="O45:P45" si="95">N45+($Q45-$N45)/3</f>
        <v>0</v>
      </c>
      <c r="P45">
        <f t="shared" si="95"/>
        <v>0</v>
      </c>
      <c r="Q45">
        <f>'Cibles THREEME AMS'!$BZ11/Q8</f>
        <v>0</v>
      </c>
      <c r="R45">
        <f t="shared" si="64"/>
        <v>0</v>
      </c>
      <c r="S45">
        <f>'Cibles THREEME AMS'!$CA11/S8</f>
        <v>0</v>
      </c>
      <c r="T45">
        <f t="shared" ref="T45:U45" si="96">S45+($V45-$S45)/3</f>
        <v>0</v>
      </c>
      <c r="U45">
        <f t="shared" si="96"/>
        <v>0</v>
      </c>
      <c r="V45">
        <f>'Cibles THREEME AMS'!$CB11/V8</f>
        <v>0</v>
      </c>
      <c r="W45">
        <f t="shared" si="66"/>
        <v>0</v>
      </c>
      <c r="X45">
        <f>'Cibles THREEME AMS'!$CC11/X8</f>
        <v>0</v>
      </c>
      <c r="Y45">
        <f t="shared" ref="Y45:Z45" si="97">X45+($AA45-$X45)/3</f>
        <v>0</v>
      </c>
      <c r="Z45">
        <f t="shared" si="97"/>
        <v>0</v>
      </c>
      <c r="AA45">
        <f>'Cibles THREEME AMS'!$CD11/AA8</f>
        <v>0</v>
      </c>
      <c r="AB45">
        <f t="shared" si="68"/>
        <v>0</v>
      </c>
      <c r="AC45">
        <f>'Cibles THREEME AMS'!$CE11/AC8</f>
        <v>0</v>
      </c>
      <c r="AD45">
        <f t="shared" ref="AD45:AG45" si="98">AC45+($AH45-$AC45)/5</f>
        <v>0</v>
      </c>
      <c r="AE45">
        <f t="shared" si="98"/>
        <v>0</v>
      </c>
      <c r="AF45">
        <f t="shared" si="98"/>
        <v>0</v>
      </c>
      <c r="AG45">
        <f t="shared" si="98"/>
        <v>0</v>
      </c>
      <c r="AH45">
        <f>'Cibles THREEME AMS'!$CF11/AH8</f>
        <v>0</v>
      </c>
      <c r="AI45">
        <f t="shared" ref="AI45:AL45" si="99">AH45+($AM45-$AH45)/5</f>
        <v>0</v>
      </c>
      <c r="AJ45">
        <f t="shared" si="99"/>
        <v>0</v>
      </c>
      <c r="AK45">
        <f t="shared" si="99"/>
        <v>0</v>
      </c>
      <c r="AL45">
        <f t="shared" si="99"/>
        <v>0</v>
      </c>
      <c r="AM45">
        <f>'Cibles THREEME AMS'!$CG11/AM8</f>
        <v>0</v>
      </c>
    </row>
    <row r="46" spans="1:39" x14ac:dyDescent="0.25">
      <c r="A46" s="593"/>
      <c r="B46" s="589" t="s">
        <v>473</v>
      </c>
      <c r="C46">
        <f t="shared" si="85"/>
        <v>2305</v>
      </c>
      <c r="D46">
        <f>'Cibles THREEME AMS'!$BV13*11.64/D9</f>
        <v>7.3059440569521336E-2</v>
      </c>
      <c r="E46">
        <f t="shared" ref="E46:H46" si="100">D46+($I46-$D46)/5</f>
        <v>7.4697605326275937E-2</v>
      </c>
      <c r="F46">
        <f t="shared" si="100"/>
        <v>7.6335770083030538E-2</v>
      </c>
      <c r="G46">
        <f t="shared" si="100"/>
        <v>7.7973934839785139E-2</v>
      </c>
      <c r="H46">
        <f t="shared" si="100"/>
        <v>7.961209959653974E-2</v>
      </c>
      <c r="I46">
        <f>'Cibles THREEME AMS'!$BW13/I9</f>
        <v>8.1250264353294369E-2</v>
      </c>
      <c r="J46">
        <f t="shared" ref="J46:K46" si="101">I46+($L46-$I46)/3</f>
        <v>8.2029866102925605E-2</v>
      </c>
      <c r="K46">
        <f t="shared" si="101"/>
        <v>8.2809467852556842E-2</v>
      </c>
      <c r="L46">
        <f>'Cibles THREEME AMS'!$BX13/L9</f>
        <v>8.3589069602188093E-2</v>
      </c>
      <c r="M46">
        <f t="shared" si="62"/>
        <v>8.1781630277106304E-2</v>
      </c>
      <c r="N46">
        <f>'Cibles THREEME AMS'!$BY13/N9</f>
        <v>7.9974190952024529E-2</v>
      </c>
      <c r="O46">
        <f t="shared" ref="O46:P46" si="102">N46+($Q46-$N46)/3</f>
        <v>7.7880250918835298E-2</v>
      </c>
      <c r="P46">
        <f t="shared" si="102"/>
        <v>7.5786310885646066E-2</v>
      </c>
      <c r="Q46">
        <f>'Cibles THREEME AMS'!$BZ13/Q9</f>
        <v>7.3692370852456821E-2</v>
      </c>
      <c r="R46">
        <f t="shared" si="64"/>
        <v>7.1282726717059888E-2</v>
      </c>
      <c r="S46">
        <f>'Cibles THREEME AMS'!$CA13/S9</f>
        <v>6.8873082581662956E-2</v>
      </c>
      <c r="T46">
        <f t="shared" ref="T46:U46" si="103">S46+($V46-$S46)/3</f>
        <v>6.9157259208930608E-2</v>
      </c>
      <c r="U46">
        <f t="shared" si="103"/>
        <v>6.9441435836198259E-2</v>
      </c>
      <c r="V46">
        <f>'Cibles THREEME AMS'!$CB13/V9</f>
        <v>6.9725612463465897E-2</v>
      </c>
      <c r="W46">
        <f t="shared" si="66"/>
        <v>6.9661057438012014E-2</v>
      </c>
      <c r="X46">
        <f>'Cibles THREEME AMS'!$CC13/X9</f>
        <v>6.9596502412558145E-2</v>
      </c>
      <c r="Y46">
        <f t="shared" ref="Y46:Z46" si="104">X46+($AA46-$X46)/3</f>
        <v>7.0055516685412669E-2</v>
      </c>
      <c r="Z46">
        <f t="shared" si="104"/>
        <v>7.0514530958267194E-2</v>
      </c>
      <c r="AA46">
        <f>'Cibles THREEME AMS'!$CD13/AA9</f>
        <v>7.0973545231121704E-2</v>
      </c>
      <c r="AB46">
        <f t="shared" si="68"/>
        <v>7.1461497611970987E-2</v>
      </c>
      <c r="AC46">
        <f>'Cibles THREEME AMS'!$CE13/AC9</f>
        <v>7.1949449992820283E-2</v>
      </c>
      <c r="AD46">
        <f t="shared" ref="AD46:AG46" si="105">AC46+($AH46-$AC46)/5</f>
        <v>7.1258271486296668E-2</v>
      </c>
      <c r="AE46">
        <f t="shared" si="105"/>
        <v>7.0567092979773052E-2</v>
      </c>
      <c r="AF46">
        <f t="shared" si="105"/>
        <v>6.9875914473249437E-2</v>
      </c>
      <c r="AG46">
        <f t="shared" si="105"/>
        <v>6.9184735966725822E-2</v>
      </c>
      <c r="AH46">
        <f>'Cibles THREEME AMS'!$CF13/AH9</f>
        <v>6.8493557460202192E-2</v>
      </c>
      <c r="AI46">
        <f t="shared" ref="AI46:AL46" si="106">AH46+($AM46-$AH46)/5</f>
        <v>6.7902668917530856E-2</v>
      </c>
      <c r="AJ46">
        <f t="shared" si="106"/>
        <v>6.731178037485952E-2</v>
      </c>
      <c r="AK46">
        <f t="shared" si="106"/>
        <v>6.6720891832188184E-2</v>
      </c>
      <c r="AL46">
        <f t="shared" si="106"/>
        <v>6.6130003289516848E-2</v>
      </c>
      <c r="AM46">
        <f>'Cibles THREEME AMS'!$CG13/AM9</f>
        <v>6.5539114746845525E-2</v>
      </c>
    </row>
    <row r="47" spans="1:39" x14ac:dyDescent="0.25">
      <c r="A47" s="593"/>
      <c r="B47" s="589" t="s">
        <v>279</v>
      </c>
      <c r="C47">
        <f t="shared" si="85"/>
        <v>2306</v>
      </c>
      <c r="D47">
        <f>'Cibles THREEME AMS'!$BV14*11.64/D10</f>
        <v>7.305944056952135E-2</v>
      </c>
      <c r="E47">
        <f t="shared" ref="E47:H47" si="107">D47+($I47-$D47)/5</f>
        <v>7.4697605326275951E-2</v>
      </c>
      <c r="F47">
        <f t="shared" si="107"/>
        <v>7.6335770083030552E-2</v>
      </c>
      <c r="G47">
        <f t="shared" si="107"/>
        <v>7.7973934839785153E-2</v>
      </c>
      <c r="H47">
        <f t="shared" si="107"/>
        <v>7.9612099596539754E-2</v>
      </c>
      <c r="I47">
        <f>'Cibles THREEME AMS'!$BW14/I10</f>
        <v>8.1250264353294355E-2</v>
      </c>
      <c r="J47">
        <f t="shared" ref="J47:K47" si="108">I47+($L47-$I47)/3</f>
        <v>8.2029866102925605E-2</v>
      </c>
      <c r="K47">
        <f t="shared" si="108"/>
        <v>8.2809467852556856E-2</v>
      </c>
      <c r="L47">
        <f>'Cibles THREEME AMS'!$BX14/L10</f>
        <v>8.3589069602188093E-2</v>
      </c>
      <c r="M47">
        <f t="shared" si="62"/>
        <v>8.1781630277106318E-2</v>
      </c>
      <c r="N47">
        <f>'Cibles THREEME AMS'!$BY14/N10</f>
        <v>7.9974190952024543E-2</v>
      </c>
      <c r="O47">
        <f t="shared" ref="O47:P47" si="109">N47+($Q47-$N47)/3</f>
        <v>7.7880250918835298E-2</v>
      </c>
      <c r="P47">
        <f t="shared" si="109"/>
        <v>7.5786310885646052E-2</v>
      </c>
      <c r="Q47">
        <f>'Cibles THREEME AMS'!$BZ14/Q10</f>
        <v>7.3692370852456821E-2</v>
      </c>
      <c r="R47">
        <f t="shared" si="64"/>
        <v>7.1282726717059888E-2</v>
      </c>
      <c r="S47">
        <f>'Cibles THREEME AMS'!$CA14/S10</f>
        <v>6.8873082581662956E-2</v>
      </c>
      <c r="T47">
        <f t="shared" ref="T47:U47" si="110">S47+($V47-$S47)/3</f>
        <v>6.9157259208930594E-2</v>
      </c>
      <c r="U47">
        <f t="shared" si="110"/>
        <v>6.9441435836198231E-2</v>
      </c>
      <c r="V47">
        <f>'Cibles THREEME AMS'!$CB14/V10</f>
        <v>6.9725612463465883E-2</v>
      </c>
      <c r="W47">
        <f t="shared" si="66"/>
        <v>6.9661057438012014E-2</v>
      </c>
      <c r="X47">
        <f>'Cibles THREEME AMS'!$CC14/X10</f>
        <v>6.9596502412558145E-2</v>
      </c>
      <c r="Y47">
        <f t="shared" ref="Y47:Z47" si="111">X47+($AA47-$X47)/3</f>
        <v>7.0055516685412669E-2</v>
      </c>
      <c r="Z47">
        <f t="shared" si="111"/>
        <v>7.0514530958267194E-2</v>
      </c>
      <c r="AA47">
        <f>'Cibles THREEME AMS'!$CD14/AA10</f>
        <v>7.0973545231121704E-2</v>
      </c>
      <c r="AB47">
        <f t="shared" si="68"/>
        <v>7.1461497611970987E-2</v>
      </c>
      <c r="AC47">
        <f>'Cibles THREEME AMS'!$CE14/AC10</f>
        <v>7.1949449992820269E-2</v>
      </c>
      <c r="AD47">
        <f t="shared" ref="AD47:AG47" si="112">AC47+($AH47-$AC47)/5</f>
        <v>7.1258271486296654E-2</v>
      </c>
      <c r="AE47">
        <f t="shared" si="112"/>
        <v>7.0567092979773038E-2</v>
      </c>
      <c r="AF47">
        <f t="shared" si="112"/>
        <v>6.9875914473249423E-2</v>
      </c>
      <c r="AG47">
        <f t="shared" si="112"/>
        <v>6.9184735966725808E-2</v>
      </c>
      <c r="AH47">
        <f>'Cibles THREEME AMS'!$CF14/AH10</f>
        <v>6.8493557460202192E-2</v>
      </c>
      <c r="AI47">
        <f t="shared" ref="AI47:AL47" si="113">AH47+($AM47-$AH47)/5</f>
        <v>6.7902668917530856E-2</v>
      </c>
      <c r="AJ47">
        <f t="shared" si="113"/>
        <v>6.731178037485952E-2</v>
      </c>
      <c r="AK47">
        <f t="shared" si="113"/>
        <v>6.6720891832188184E-2</v>
      </c>
      <c r="AL47">
        <f t="shared" si="113"/>
        <v>6.6130003289516848E-2</v>
      </c>
      <c r="AM47">
        <f>'Cibles THREEME AMS'!$CG14/AM10</f>
        <v>6.5539114746845539E-2</v>
      </c>
    </row>
    <row r="48" spans="1:39" x14ac:dyDescent="0.25">
      <c r="A48" s="593"/>
      <c r="B48" s="589" t="s">
        <v>18</v>
      </c>
      <c r="C48">
        <f t="shared" si="85"/>
        <v>2307</v>
      </c>
      <c r="D48">
        <f>'Cibles THREEME AMS'!$BV15*11.64/D11</f>
        <v>7.305944056952135E-2</v>
      </c>
      <c r="E48">
        <f t="shared" ref="E48:H48" si="114">D48+($I48-$D48)/5</f>
        <v>7.4697605326275951E-2</v>
      </c>
      <c r="F48">
        <f t="shared" si="114"/>
        <v>7.6335770083030552E-2</v>
      </c>
      <c r="G48">
        <f t="shared" si="114"/>
        <v>7.7973934839785153E-2</v>
      </c>
      <c r="H48">
        <f t="shared" si="114"/>
        <v>7.9612099596539754E-2</v>
      </c>
      <c r="I48">
        <f>'Cibles THREEME AMS'!$BW15/I11</f>
        <v>8.1250264353294341E-2</v>
      </c>
      <c r="J48">
        <f t="shared" ref="J48:K48" si="115">I48+($L48-$I48)/3</f>
        <v>8.2029866102925592E-2</v>
      </c>
      <c r="K48">
        <f t="shared" si="115"/>
        <v>8.2809467852556842E-2</v>
      </c>
      <c r="L48">
        <f>'Cibles THREEME AMS'!$BX15/L11</f>
        <v>8.3589069602188079E-2</v>
      </c>
      <c r="M48">
        <f t="shared" si="62"/>
        <v>8.1781630277106304E-2</v>
      </c>
      <c r="N48">
        <f>'Cibles THREEME AMS'!$BY15/N11</f>
        <v>7.9974190952024543E-2</v>
      </c>
      <c r="O48">
        <f t="shared" ref="O48:P48" si="116">N48+($Q48-$N48)/3</f>
        <v>7.7880250918835298E-2</v>
      </c>
      <c r="P48">
        <f t="shared" si="116"/>
        <v>7.5786310885646052E-2</v>
      </c>
      <c r="Q48">
        <f>'Cibles THREEME AMS'!$BZ15/Q11</f>
        <v>7.3692370852456821E-2</v>
      </c>
      <c r="R48">
        <f t="shared" si="64"/>
        <v>7.1282726717059888E-2</v>
      </c>
      <c r="S48">
        <f>'Cibles THREEME AMS'!$CA15/S11</f>
        <v>6.8873082581662956E-2</v>
      </c>
      <c r="T48">
        <f t="shared" ref="T48:U48" si="117">S48+($V48-$S48)/3</f>
        <v>6.9157259208930608E-2</v>
      </c>
      <c r="U48">
        <f t="shared" si="117"/>
        <v>6.9441435836198259E-2</v>
      </c>
      <c r="V48">
        <f>'Cibles THREEME AMS'!$CB15/V11</f>
        <v>6.9725612463465897E-2</v>
      </c>
      <c r="W48">
        <f t="shared" si="66"/>
        <v>6.9661057438012014E-2</v>
      </c>
      <c r="X48">
        <f>'Cibles THREEME AMS'!$CC15/X11</f>
        <v>6.9596502412558145E-2</v>
      </c>
      <c r="Y48">
        <f t="shared" ref="Y48:Z48" si="118">X48+($AA48-$X48)/3</f>
        <v>7.0055516685412669E-2</v>
      </c>
      <c r="Z48">
        <f t="shared" si="118"/>
        <v>7.0514530958267194E-2</v>
      </c>
      <c r="AA48">
        <f>'Cibles THREEME AMS'!$CD15/AA11</f>
        <v>7.0973545231121718E-2</v>
      </c>
      <c r="AB48">
        <f t="shared" si="68"/>
        <v>7.1461497611970987E-2</v>
      </c>
      <c r="AC48">
        <f>'Cibles THREEME AMS'!$CE15/AC11</f>
        <v>7.1949449992820269E-2</v>
      </c>
      <c r="AD48">
        <f t="shared" ref="AD48:AG48" si="119">AC48+($AH48-$AC48)/5</f>
        <v>7.1258271486296654E-2</v>
      </c>
      <c r="AE48">
        <f t="shared" si="119"/>
        <v>7.0567092979773038E-2</v>
      </c>
      <c r="AF48">
        <f t="shared" si="119"/>
        <v>6.9875914473249423E-2</v>
      </c>
      <c r="AG48">
        <f t="shared" si="119"/>
        <v>6.9184735966725808E-2</v>
      </c>
      <c r="AH48">
        <f>'Cibles THREEME AMS'!$CF15/AH11</f>
        <v>6.8493557460202192E-2</v>
      </c>
      <c r="AI48">
        <f t="shared" ref="AI48:AL48" si="120">AH48+($AM48-$AH48)/5</f>
        <v>6.7902668917530856E-2</v>
      </c>
      <c r="AJ48">
        <f t="shared" si="120"/>
        <v>6.731178037485952E-2</v>
      </c>
      <c r="AK48">
        <f t="shared" si="120"/>
        <v>6.6720891832188184E-2</v>
      </c>
      <c r="AL48">
        <f t="shared" si="120"/>
        <v>6.6130003289516848E-2</v>
      </c>
      <c r="AM48">
        <f>'Cibles THREEME AMS'!$CG15/AM11</f>
        <v>6.5539114746845539E-2</v>
      </c>
    </row>
    <row r="49" spans="1:39" ht="15.75" thickBot="1" x14ac:dyDescent="0.3">
      <c r="A49" s="592"/>
      <c r="B49" s="590" t="s">
        <v>476</v>
      </c>
      <c r="C49">
        <f t="shared" si="85"/>
        <v>2308</v>
      </c>
      <c r="D49">
        <f>'Cibles THREEME AMS'!$BV16*11.64/D12</f>
        <v>4.4063574591689036</v>
      </c>
      <c r="E49">
        <f t="shared" ref="E49:H49" si="121">D49+($I49-$D49)/5</f>
        <v>4.3785685153664797</v>
      </c>
      <c r="F49">
        <f t="shared" si="121"/>
        <v>4.3507795715640558</v>
      </c>
      <c r="G49">
        <f t="shared" si="121"/>
        <v>4.3229906277616319</v>
      </c>
      <c r="H49">
        <f t="shared" si="121"/>
        <v>4.295201683959208</v>
      </c>
      <c r="I49">
        <f>'Cibles THREEME AMS'!$BW16/I12</f>
        <v>4.2674127401567858</v>
      </c>
      <c r="J49">
        <f t="shared" ref="J49:K49" si="122">I49+($L49-$I49)/3</f>
        <v>4.2882857965386387</v>
      </c>
      <c r="K49">
        <f t="shared" si="122"/>
        <v>4.3091588529204916</v>
      </c>
      <c r="L49">
        <f>'Cibles THREEME AMS'!$BX16/L12</f>
        <v>4.3300319093023445</v>
      </c>
      <c r="M49">
        <f t="shared" si="62"/>
        <v>3.1778745903836283</v>
      </c>
      <c r="N49">
        <f>'Cibles THREEME AMS'!$BY16/N12</f>
        <v>2.0257172714649125</v>
      </c>
      <c r="O49">
        <f t="shared" ref="O49:P49" si="123">N49+($Q49-$N49)/3</f>
        <v>2.0238549800796606</v>
      </c>
      <c r="P49">
        <f t="shared" si="123"/>
        <v>2.0219926886944086</v>
      </c>
      <c r="Q49">
        <f>'Cibles THREEME AMS'!$BZ16/Q12</f>
        <v>2.0201303973091562</v>
      </c>
      <c r="R49">
        <f t="shared" si="64"/>
        <v>2.0086354709309417</v>
      </c>
      <c r="S49">
        <f>'Cibles THREEME AMS'!$CA16/S12</f>
        <v>1.9971405445527273</v>
      </c>
      <c r="T49">
        <f t="shared" ref="T49:U49" si="124">S49+($V49-$S49)/3</f>
        <v>1.9383383550711735</v>
      </c>
      <c r="U49">
        <f t="shared" si="124"/>
        <v>1.8795361655896197</v>
      </c>
      <c r="V49">
        <f>'Cibles THREEME AMS'!$CB16/V12</f>
        <v>1.8207339761080656</v>
      </c>
      <c r="W49">
        <f t="shared" si="66"/>
        <v>1.7702591529709433</v>
      </c>
      <c r="X49">
        <f>'Cibles THREEME AMS'!$CC16/X12</f>
        <v>1.7197843298338207</v>
      </c>
      <c r="Y49">
        <f t="shared" ref="Y49:Z49" si="125">X49+($AA49-$X49)/3</f>
        <v>1.6658343154849107</v>
      </c>
      <c r="Z49">
        <f t="shared" si="125"/>
        <v>1.6118843011360007</v>
      </c>
      <c r="AA49">
        <f>'Cibles THREEME AMS'!$CD16/AA12</f>
        <v>1.5579342867870907</v>
      </c>
      <c r="AB49">
        <f t="shared" si="68"/>
        <v>1.5158682470213836</v>
      </c>
      <c r="AC49">
        <f>'Cibles THREEME AMS'!$CE16/AC12</f>
        <v>1.4738022072556767</v>
      </c>
      <c r="AD49">
        <f t="shared" ref="AD49:AG49" si="126">AC49+($AH49-$AC49)/5</f>
        <v>1.4663567791619099</v>
      </c>
      <c r="AE49">
        <f t="shared" si="126"/>
        <v>1.4589113510681431</v>
      </c>
      <c r="AF49">
        <f t="shared" si="126"/>
        <v>1.4514659229743763</v>
      </c>
      <c r="AG49">
        <f t="shared" si="126"/>
        <v>1.4440204948806095</v>
      </c>
      <c r="AH49">
        <f>'Cibles THREEME AMS'!$CF16/AH12</f>
        <v>1.4365750667868427</v>
      </c>
      <c r="AI49">
        <f t="shared" ref="AI49:AL49" si="127">AH49+($AM49-$AH49)/5</f>
        <v>1.4317095811139418</v>
      </c>
      <c r="AJ49">
        <f t="shared" si="127"/>
        <v>1.4268440954410408</v>
      </c>
      <c r="AK49">
        <f t="shared" si="127"/>
        <v>1.4219786097681399</v>
      </c>
      <c r="AL49">
        <f t="shared" si="127"/>
        <v>1.417113124095239</v>
      </c>
      <c r="AM49">
        <f>'Cibles THREEME AMS'!$CG16/AM12</f>
        <v>1.4122476384223377</v>
      </c>
    </row>
    <row r="50" spans="1:39" x14ac:dyDescent="0.25">
      <c r="A50" s="591"/>
      <c r="B50" s="588" t="s">
        <v>287</v>
      </c>
      <c r="C50">
        <v>2401</v>
      </c>
      <c r="D50" s="404">
        <f>'Cibles THREEME AMS'!$BV17*11.64/D13</f>
        <v>3.701010186305935E-2</v>
      </c>
      <c r="E50">
        <f t="shared" ref="E50:H50" si="128">D50+($I50-$D50)/5</f>
        <v>3.4563836908764134E-2</v>
      </c>
      <c r="F50">
        <f t="shared" si="128"/>
        <v>3.2117571954468918E-2</v>
      </c>
      <c r="G50">
        <f t="shared" si="128"/>
        <v>2.9671307000173699E-2</v>
      </c>
      <c r="H50">
        <f t="shared" si="128"/>
        <v>2.7225042045878479E-2</v>
      </c>
      <c r="I50" s="404">
        <f>'Cibles THREEME AMS'!$BW17/I13</f>
        <v>2.4778777091583257E-2</v>
      </c>
      <c r="J50">
        <f t="shared" ref="J50:K50" si="129">I50+($L50-$I50)/3</f>
        <v>2.4160819852879194E-2</v>
      </c>
      <c r="K50">
        <f t="shared" si="129"/>
        <v>2.3542862614175132E-2</v>
      </c>
      <c r="L50" s="404">
        <f>'Cibles THREEME AMS'!$BX17/L13</f>
        <v>2.292490537547107E-2</v>
      </c>
      <c r="M50">
        <f t="shared" si="62"/>
        <v>2.1498078534127305E-2</v>
      </c>
      <c r="N50" s="404">
        <f>'Cibles THREEME AMS'!$BY17/N13</f>
        <v>2.0071251692783541E-2</v>
      </c>
      <c r="O50">
        <f t="shared" ref="O50:P50" si="130">N50+($Q50-$N50)/3</f>
        <v>1.8701214616041541E-2</v>
      </c>
      <c r="P50">
        <f t="shared" si="130"/>
        <v>1.7331177539299542E-2</v>
      </c>
      <c r="Q50" s="404">
        <f>'Cibles THREEME AMS'!$BZ17/Q13</f>
        <v>1.5961140462557543E-2</v>
      </c>
      <c r="R50">
        <f t="shared" si="64"/>
        <v>1.4554331598779308E-2</v>
      </c>
      <c r="S50" s="404">
        <f>'Cibles THREEME AMS'!$CA17/S13</f>
        <v>1.314752273500107E-2</v>
      </c>
      <c r="T50">
        <f t="shared" ref="T50:U50" si="131">S50+($V50-$S50)/3</f>
        <v>1.2788785964509787E-2</v>
      </c>
      <c r="U50">
        <f t="shared" si="131"/>
        <v>1.2430049194018503E-2</v>
      </c>
      <c r="V50" s="404">
        <f>'Cibles THREEME AMS'!$CB17/V13</f>
        <v>1.2071312423527217E-2</v>
      </c>
      <c r="W50">
        <f t="shared" si="66"/>
        <v>1.1435825376729557E-2</v>
      </c>
      <c r="X50" s="404">
        <f>'Cibles THREEME AMS'!$CC17/X13</f>
        <v>1.0800338329931899E-2</v>
      </c>
      <c r="Y50">
        <f t="shared" ref="Y50:Z50" si="132">X50+($AA50-$X50)/3</f>
        <v>1.0530425959599585E-2</v>
      </c>
      <c r="Z50">
        <f t="shared" si="132"/>
        <v>1.0260513589267271E-2</v>
      </c>
      <c r="AA50" s="404">
        <f>'Cibles THREEME AMS'!$CD17/AA13</f>
        <v>9.9906012189349587E-3</v>
      </c>
      <c r="AB50">
        <f t="shared" si="68"/>
        <v>9.6875591403884458E-3</v>
      </c>
      <c r="AC50" s="404">
        <f>'Cibles THREEME AMS'!$CE17/AC13</f>
        <v>9.3845170618419346E-3</v>
      </c>
      <c r="AD50">
        <f t="shared" ref="AD50:AG50" si="133">AC50+($AH50-$AC50)/5</f>
        <v>9.2116500599231065E-3</v>
      </c>
      <c r="AE50">
        <f t="shared" si="133"/>
        <v>9.0387830580042784E-3</v>
      </c>
      <c r="AF50">
        <f t="shared" si="133"/>
        <v>8.8659160560854502E-3</v>
      </c>
      <c r="AG50">
        <f t="shared" si="133"/>
        <v>8.6930490541666221E-3</v>
      </c>
      <c r="AH50" s="404">
        <f>'Cibles THREEME AMS'!$CF17/AH13</f>
        <v>8.5201820522477975E-3</v>
      </c>
      <c r="AI50">
        <f t="shared" ref="AI50:AL50" si="134">AH50+($AM50-$AH50)/5</f>
        <v>7.4866912155273913E-3</v>
      </c>
      <c r="AJ50">
        <f t="shared" si="134"/>
        <v>6.453200378806985E-3</v>
      </c>
      <c r="AK50">
        <f t="shared" si="134"/>
        <v>5.4197095420865787E-3</v>
      </c>
      <c r="AL50">
        <f t="shared" si="134"/>
        <v>4.3862187053661725E-3</v>
      </c>
      <c r="AM50" s="404">
        <f>'Cibles THREEME AMS'!$CG17/AM13</f>
        <v>3.3527278686457667E-3</v>
      </c>
    </row>
    <row r="51" spans="1:39" x14ac:dyDescent="0.25">
      <c r="A51" s="593"/>
      <c r="B51" s="589" t="s">
        <v>289</v>
      </c>
      <c r="C51">
        <v>2402</v>
      </c>
      <c r="D51" s="404">
        <f>'Cibles THREEME AMS'!$BV18*11.64/D14</f>
        <v>1.1171130306090762E-2</v>
      </c>
      <c r="E51">
        <f t="shared" ref="E51:H51" si="135">D51+($I51-$D51)/5</f>
        <v>1.0946222419546405E-2</v>
      </c>
      <c r="F51">
        <f t="shared" si="135"/>
        <v>1.0721314533002048E-2</v>
      </c>
      <c r="G51">
        <f t="shared" si="135"/>
        <v>1.0496406646457691E-2</v>
      </c>
      <c r="H51">
        <f t="shared" si="135"/>
        <v>1.0271498759913334E-2</v>
      </c>
      <c r="I51" s="404">
        <f>'Cibles THREEME AMS'!$BW18/I14</f>
        <v>1.0046590873368977E-2</v>
      </c>
      <c r="J51">
        <f t="shared" ref="J51:K51" si="136">I51+($L51-$I51)/3</f>
        <v>1.0910986724241184E-2</v>
      </c>
      <c r="K51">
        <f t="shared" si="136"/>
        <v>1.177538257511339E-2</v>
      </c>
      <c r="L51" s="404">
        <f>'Cibles THREEME AMS'!$BX18/L14</f>
        <v>1.2639778425985595E-2</v>
      </c>
      <c r="M51">
        <f t="shared" si="62"/>
        <v>1.6108540925796326E-2</v>
      </c>
      <c r="N51" s="404">
        <f>'Cibles THREEME AMS'!$BY18/N14</f>
        <v>1.9577303425607061E-2</v>
      </c>
      <c r="O51">
        <f t="shared" ref="O51:P51" si="137">N51+($Q51-$N51)/3</f>
        <v>1.953546767752223E-2</v>
      </c>
      <c r="P51">
        <f t="shared" si="137"/>
        <v>1.9493631929437399E-2</v>
      </c>
      <c r="Q51" s="404">
        <f>'Cibles THREEME AMS'!$BZ18/Q14</f>
        <v>1.9451796181352572E-2</v>
      </c>
      <c r="R51">
        <f t="shared" si="64"/>
        <v>1.9978053304870975E-2</v>
      </c>
      <c r="S51" s="404">
        <f>'Cibles THREEME AMS'!$CA18/S14</f>
        <v>2.0504310428389377E-2</v>
      </c>
      <c r="T51">
        <f t="shared" ref="T51:U51" si="138">S51+($V51-$S51)/3</f>
        <v>2.0065682475734724E-2</v>
      </c>
      <c r="U51">
        <f t="shared" si="138"/>
        <v>1.962705452308007E-2</v>
      </c>
      <c r="V51" s="404">
        <f>'Cibles THREEME AMS'!$CB18/V14</f>
        <v>1.918842657042542E-2</v>
      </c>
      <c r="W51">
        <f t="shared" si="66"/>
        <v>1.8348658935752118E-2</v>
      </c>
      <c r="X51" s="404">
        <f>'Cibles THREEME AMS'!$CC18/X14</f>
        <v>1.7508891301078817E-2</v>
      </c>
      <c r="Y51">
        <f t="shared" ref="Y51:Z51" si="139">X51+($AA51-$X51)/3</f>
        <v>1.7030079621541183E-2</v>
      </c>
      <c r="Z51">
        <f t="shared" si="139"/>
        <v>1.655126794200355E-2</v>
      </c>
      <c r="AA51" s="404">
        <f>'Cibles THREEME AMS'!$CD18/AA14</f>
        <v>1.6072456262465912E-2</v>
      </c>
      <c r="AB51">
        <f t="shared" si="68"/>
        <v>1.5411836328799552E-2</v>
      </c>
      <c r="AC51" s="404">
        <f>'Cibles THREEME AMS'!$CE18/AC14</f>
        <v>1.4751216395133191E-2</v>
      </c>
      <c r="AD51">
        <f t="shared" ref="AD51:AG51" si="140">AC51+($AH51-$AC51)/5</f>
        <v>1.4560235224081957E-2</v>
      </c>
      <c r="AE51">
        <f t="shared" si="140"/>
        <v>1.4369254053030724E-2</v>
      </c>
      <c r="AF51">
        <f t="shared" si="140"/>
        <v>1.417827288197949E-2</v>
      </c>
      <c r="AG51">
        <f t="shared" si="140"/>
        <v>1.3987291710928256E-2</v>
      </c>
      <c r="AH51" s="404">
        <f>'Cibles THREEME AMS'!$CF18/AH14</f>
        <v>1.3796310539877022E-2</v>
      </c>
      <c r="AI51">
        <f t="shared" ref="AI51:AL51" si="141">AH51+($AM51-$AH51)/5</f>
        <v>1.3372383990302352E-2</v>
      </c>
      <c r="AJ51">
        <f t="shared" si="141"/>
        <v>1.2948457440727682E-2</v>
      </c>
      <c r="AK51">
        <f t="shared" si="141"/>
        <v>1.2524530891153011E-2</v>
      </c>
      <c r="AL51">
        <f t="shared" si="141"/>
        <v>1.2100604341578341E-2</v>
      </c>
      <c r="AM51" s="404">
        <f>'Cibles THREEME AMS'!$CG18/AM14</f>
        <v>1.1676677792003669E-2</v>
      </c>
    </row>
    <row r="52" spans="1:39" x14ac:dyDescent="0.25">
      <c r="A52" s="593" t="s">
        <v>474</v>
      </c>
      <c r="B52" s="589" t="s">
        <v>291</v>
      </c>
      <c r="C52">
        <v>2403</v>
      </c>
      <c r="D52" s="404">
        <f>('Cibles THREEME AMS'!$BV19+'Cibles THREEME AMS'!$BV20)*11.64/D15</f>
        <v>0.5326005166314316</v>
      </c>
      <c r="E52">
        <f t="shared" ref="E52:H52" si="142">D52+($I52-$D52)/5</f>
        <v>0.44041944407021416</v>
      </c>
      <c r="F52">
        <f t="shared" si="142"/>
        <v>0.34823837150899672</v>
      </c>
      <c r="G52">
        <f t="shared" si="142"/>
        <v>0.25605729894777929</v>
      </c>
      <c r="H52">
        <f t="shared" si="142"/>
        <v>0.16387622638656188</v>
      </c>
      <c r="I52" s="404">
        <f>('Cibles THREEME AMS'!$BW19+'Cibles THREEME AMS'!$BW20)/I15</f>
        <v>7.1695153825344554E-2</v>
      </c>
      <c r="J52">
        <f t="shared" ref="J52:K52" si="143">I52+($L52-$I52)/3</f>
        <v>5.4840781618375696E-2</v>
      </c>
      <c r="K52">
        <f t="shared" si="143"/>
        <v>3.7986409411406838E-2</v>
      </c>
      <c r="L52" s="404">
        <f>('Cibles THREEME AMS'!$BX19+'Cibles THREEME AMS'!$BX20)/L15</f>
        <v>2.113203720443798E-2</v>
      </c>
      <c r="M52">
        <f t="shared" si="62"/>
        <v>0.82057477711619309</v>
      </c>
      <c r="N52" s="404">
        <f>('Cibles THREEME AMS'!$BY19+'Cibles THREEME AMS'!$BY20)/N15</f>
        <v>1.6200175170279483</v>
      </c>
      <c r="O52">
        <f t="shared" ref="O52:P52" si="144">N52+($Q52-$N52)/3</f>
        <v>1.4857098912313611</v>
      </c>
      <c r="P52">
        <f t="shared" si="144"/>
        <v>1.3514022654347739</v>
      </c>
      <c r="Q52" s="404">
        <f>('Cibles THREEME AMS'!$BZ19+'Cibles THREEME AMS'!$BZ20)/Q15</f>
        <v>1.217094639638187</v>
      </c>
      <c r="R52">
        <f t="shared" si="64"/>
        <v>1.1729100141658213</v>
      </c>
      <c r="S52" s="404">
        <f>('Cibles THREEME AMS'!$CA19+'Cibles THREEME AMS'!$CA20)/S15</f>
        <v>1.1287253886934556</v>
      </c>
      <c r="T52">
        <f t="shared" ref="T52:U52" si="145">S52+($V52-$S52)/3</f>
        <v>1.1609955510777406</v>
      </c>
      <c r="U52">
        <f t="shared" si="145"/>
        <v>1.1932657134620255</v>
      </c>
      <c r="V52" s="404">
        <f>('Cibles THREEME AMS'!$CB19+'Cibles THREEME AMS'!$CB20)/V15</f>
        <v>1.2255358758463104</v>
      </c>
      <c r="W52">
        <f t="shared" si="66"/>
        <v>1.2498666231780096</v>
      </c>
      <c r="X52" s="404">
        <f>('Cibles THREEME AMS'!$CC19+'Cibles THREEME AMS'!$CC20)/X15</f>
        <v>1.2741973705097087</v>
      </c>
      <c r="Y52">
        <f t="shared" ref="Y52:Z52" si="146">X52+($AA52-$X52)/3</f>
        <v>1.2149108448781387</v>
      </c>
      <c r="Z52">
        <f t="shared" si="146"/>
        <v>1.1556243192465687</v>
      </c>
      <c r="AA52" s="404">
        <f>('Cibles THREEME AMS'!$CD19+'Cibles THREEME AMS'!$CD20)/AA15</f>
        <v>1.0963377936149989</v>
      </c>
      <c r="AB52">
        <f t="shared" si="68"/>
        <v>1.0857387559761238</v>
      </c>
      <c r="AC52" s="404">
        <f>('Cibles THREEME AMS'!$CE19+'Cibles THREEME AMS'!$CE20)/AC15</f>
        <v>1.0751397183372486</v>
      </c>
      <c r="AD52">
        <f t="shared" ref="AD52:AG52" si="147">AC52+($AH52-$AC52)/5</f>
        <v>1.1255658563169861</v>
      </c>
      <c r="AE52">
        <f t="shared" si="147"/>
        <v>1.1759919942967236</v>
      </c>
      <c r="AF52">
        <f t="shared" si="147"/>
        <v>1.2264181322764611</v>
      </c>
      <c r="AG52">
        <f t="shared" si="147"/>
        <v>1.2768442702561986</v>
      </c>
      <c r="AH52" s="404">
        <f>('Cibles THREEME AMS'!$CF19+'Cibles THREEME AMS'!$CF20)/AH15</f>
        <v>1.3272704082359359</v>
      </c>
      <c r="AI52">
        <f t="shared" ref="AI52:AL52" si="148">AH52+($AM52-$AH52)/5</f>
        <v>1.2847707639352459</v>
      </c>
      <c r="AJ52">
        <f t="shared" si="148"/>
        <v>1.2422711196345559</v>
      </c>
      <c r="AK52">
        <f t="shared" si="148"/>
        <v>1.199771475333866</v>
      </c>
      <c r="AL52">
        <f t="shared" si="148"/>
        <v>1.157271831033176</v>
      </c>
      <c r="AM52" s="404">
        <f>('Cibles THREEME AMS'!$CG19+'Cibles THREEME AMS'!$CG20)/AM15</f>
        <v>1.1147721867324862</v>
      </c>
    </row>
    <row r="53" spans="1:39" x14ac:dyDescent="0.25">
      <c r="A53" s="593"/>
      <c r="B53" s="589" t="s">
        <v>293</v>
      </c>
      <c r="C53">
        <v>2404</v>
      </c>
      <c r="D53">
        <f>'Cibles THREEME AMS'!$BV21*11.64/D16</f>
        <v>0.34306886949284809</v>
      </c>
      <c r="E53">
        <f t="shared" ref="E53:H53" si="149">D53+($I53-$D53)/5</f>
        <v>0.29991633370142629</v>
      </c>
      <c r="F53">
        <f t="shared" si="149"/>
        <v>0.25676379791000448</v>
      </c>
      <c r="G53">
        <f t="shared" si="149"/>
        <v>0.21361126211858267</v>
      </c>
      <c r="H53">
        <f t="shared" si="149"/>
        <v>0.17045872632716086</v>
      </c>
      <c r="I53">
        <f>'Cibles THREEME AMS'!$BW21/I16</f>
        <v>0.12730619053573899</v>
      </c>
      <c r="J53">
        <f t="shared" ref="J53:K53" si="150">I53+($L53-$I53)/3</f>
        <v>0.11830015400642331</v>
      </c>
      <c r="K53">
        <f t="shared" si="150"/>
        <v>0.10929411747710763</v>
      </c>
      <c r="L53">
        <f>'Cibles THREEME AMS'!$BX21/L16</f>
        <v>0.10028808094779193</v>
      </c>
      <c r="M53">
        <f t="shared" si="62"/>
        <v>9.5121891573131015E-2</v>
      </c>
      <c r="N53">
        <f>'Cibles THREEME AMS'!$BY21/N16</f>
        <v>8.99557021984701E-2</v>
      </c>
      <c r="O53">
        <f t="shared" ref="O53:P53" si="151">N53+($Q53-$N53)/3</f>
        <v>8.5906703098582393E-2</v>
      </c>
      <c r="P53">
        <f t="shared" si="151"/>
        <v>8.1857703998694686E-2</v>
      </c>
      <c r="Q53">
        <f>'Cibles THREEME AMS'!$BZ21/Q16</f>
        <v>7.780870489880698E-2</v>
      </c>
      <c r="R53">
        <f t="shared" si="64"/>
        <v>7.7121982454463417E-2</v>
      </c>
      <c r="S53">
        <f>'Cibles THREEME AMS'!$CA21/S16</f>
        <v>7.6435260010119868E-2</v>
      </c>
      <c r="T53">
        <f t="shared" ref="T53:U53" si="152">S53+($V53-$S53)/3</f>
        <v>7.4180203548000409E-2</v>
      </c>
      <c r="U53">
        <f t="shared" si="152"/>
        <v>7.192514708588095E-2</v>
      </c>
      <c r="V53">
        <f>'Cibles THREEME AMS'!$CB21/V16</f>
        <v>6.9670090623761491E-2</v>
      </c>
      <c r="W53">
        <f t="shared" si="66"/>
        <v>6.7012493260593997E-2</v>
      </c>
      <c r="X53">
        <f>'Cibles THREEME AMS'!$CC21/X16</f>
        <v>6.435489589742649E-2</v>
      </c>
      <c r="Y53">
        <f t="shared" ref="Y53:Z53" si="153">X53+($AA53-$X53)/3</f>
        <v>6.1448858646638814E-2</v>
      </c>
      <c r="Z53">
        <f t="shared" si="153"/>
        <v>5.8542821395851138E-2</v>
      </c>
      <c r="AA53">
        <f>'Cibles THREEME AMS'!$CD21/AA16</f>
        <v>5.563678414506347E-2</v>
      </c>
      <c r="AB53">
        <f t="shared" si="68"/>
        <v>5.2419068647901246E-2</v>
      </c>
      <c r="AC53">
        <f>'Cibles THREEME AMS'!$CE21/AC16</f>
        <v>4.9201353150739029E-2</v>
      </c>
      <c r="AD53">
        <f t="shared" ref="AD53:AG53" si="154">AC53+($AH53-$AC53)/5</f>
        <v>4.8155342116222813E-2</v>
      </c>
      <c r="AE53">
        <f t="shared" si="154"/>
        <v>4.7109331081706597E-2</v>
      </c>
      <c r="AF53">
        <f t="shared" si="154"/>
        <v>4.6063320047190381E-2</v>
      </c>
      <c r="AG53">
        <f t="shared" si="154"/>
        <v>4.5017309012674166E-2</v>
      </c>
      <c r="AH53">
        <f>'Cibles THREEME AMS'!$CF21/AH16</f>
        <v>4.3971297978157936E-2</v>
      </c>
      <c r="AI53">
        <f t="shared" ref="AI53:AL53" si="155">AH53+($AM53-$AH53)/5</f>
        <v>4.2279287931954575E-2</v>
      </c>
      <c r="AJ53">
        <f t="shared" si="155"/>
        <v>4.0587277885751213E-2</v>
      </c>
      <c r="AK53">
        <f t="shared" si="155"/>
        <v>3.8895267839547852E-2</v>
      </c>
      <c r="AL53">
        <f t="shared" si="155"/>
        <v>3.7203257793344491E-2</v>
      </c>
      <c r="AM53">
        <f>'Cibles THREEME AMS'!$CG21/AM16</f>
        <v>3.5511247747141136E-2</v>
      </c>
    </row>
    <row r="54" spans="1:39" x14ac:dyDescent="0.25">
      <c r="A54" s="593"/>
      <c r="B54" s="589" t="s">
        <v>296</v>
      </c>
      <c r="C54">
        <v>2405</v>
      </c>
      <c r="D54">
        <f>'Cibles THREEME AMS'!$BV22*11.64/D17</f>
        <v>6.2959171762518001E-2</v>
      </c>
      <c r="E54">
        <f t="shared" ref="E54:H54" si="156">D54+($I54-$D54)/5</f>
        <v>7.0298202859249662E-2</v>
      </c>
      <c r="F54">
        <f t="shared" si="156"/>
        <v>7.7637233955981322E-2</v>
      </c>
      <c r="G54">
        <f t="shared" si="156"/>
        <v>8.4976265052712982E-2</v>
      </c>
      <c r="H54">
        <f t="shared" si="156"/>
        <v>9.2315296149444642E-2</v>
      </c>
      <c r="I54">
        <f>'Cibles THREEME AMS'!$BW22/I17</f>
        <v>9.9654327246176316E-2</v>
      </c>
      <c r="J54">
        <f t="shared" ref="J54:K54" si="157">I54+($L54-$I54)/3</f>
        <v>8.8878152753001469E-2</v>
      </c>
      <c r="K54">
        <f t="shared" si="157"/>
        <v>7.8101978259826621E-2</v>
      </c>
      <c r="L54">
        <f>'Cibles THREEME AMS'!$BX22/L17</f>
        <v>6.7325803766651787E-2</v>
      </c>
      <c r="M54">
        <f t="shared" si="62"/>
        <v>7.682328059257798E-2</v>
      </c>
      <c r="N54">
        <f>'Cibles THREEME AMS'!$BY22/N17</f>
        <v>8.632075741850416E-2</v>
      </c>
      <c r="O54">
        <f t="shared" ref="O54:P54" si="158">N54+($Q54-$N54)/3</f>
        <v>8.3929636809733268E-2</v>
      </c>
      <c r="P54">
        <f t="shared" si="158"/>
        <v>8.1538516200962377E-2</v>
      </c>
      <c r="Q54">
        <f>'Cibles THREEME AMS'!$BZ22/Q17</f>
        <v>7.91473955921915E-2</v>
      </c>
      <c r="R54">
        <f t="shared" si="64"/>
        <v>8.0573103984950489E-2</v>
      </c>
      <c r="S54">
        <f>'Cibles THREEME AMS'!$CA22/S17</f>
        <v>8.1998812377709465E-2</v>
      </c>
      <c r="T54">
        <f t="shared" ref="T54:U54" si="159">S54+($V54-$S54)/3</f>
        <v>8.3356068864402638E-2</v>
      </c>
      <c r="U54">
        <f t="shared" si="159"/>
        <v>8.4713325351095811E-2</v>
      </c>
      <c r="V54">
        <f>'Cibles THREEME AMS'!$CB22/V17</f>
        <v>8.607058183778897E-2</v>
      </c>
      <c r="W54">
        <f t="shared" si="66"/>
        <v>8.5765032675727798E-2</v>
      </c>
      <c r="X54">
        <f>'Cibles THREEME AMS'!$CC22/X17</f>
        <v>8.5459483513666626E-2</v>
      </c>
      <c r="Y54">
        <f t="shared" ref="Y54:Z54" si="160">X54+($AA54-$X54)/3</f>
        <v>8.1463965844088049E-2</v>
      </c>
      <c r="Z54">
        <f t="shared" si="160"/>
        <v>7.7468448174509472E-2</v>
      </c>
      <c r="AA54">
        <f>'Cibles THREEME AMS'!$CD22/AA17</f>
        <v>7.3472930504930908E-2</v>
      </c>
      <c r="AB54">
        <f t="shared" si="68"/>
        <v>6.9780278756919778E-2</v>
      </c>
      <c r="AC54">
        <f>'Cibles THREEME AMS'!$CE22/AC17</f>
        <v>6.6087627008908661E-2</v>
      </c>
      <c r="AD54">
        <f t="shared" ref="AD54:AG54" si="161">AC54+($AH54-$AC54)/5</f>
        <v>6.466135309837534E-2</v>
      </c>
      <c r="AE54">
        <f t="shared" si="161"/>
        <v>6.3235079187842019E-2</v>
      </c>
      <c r="AF54">
        <f t="shared" si="161"/>
        <v>6.1808805277308698E-2</v>
      </c>
      <c r="AG54">
        <f t="shared" si="161"/>
        <v>6.0382531366775377E-2</v>
      </c>
      <c r="AH54">
        <f>'Cibles THREEME AMS'!$CF22/AH17</f>
        <v>5.8956257456242049E-2</v>
      </c>
      <c r="AI54">
        <f t="shared" ref="AI54:AL54" si="162">AH54+($AM54-$AH54)/5</f>
        <v>5.6603555671602392E-2</v>
      </c>
      <c r="AJ54">
        <f t="shared" si="162"/>
        <v>5.4250853886962734E-2</v>
      </c>
      <c r="AK54">
        <f t="shared" si="162"/>
        <v>5.1898152102323077E-2</v>
      </c>
      <c r="AL54">
        <f t="shared" si="162"/>
        <v>4.9545450317683419E-2</v>
      </c>
      <c r="AM54">
        <f>'Cibles THREEME AMS'!$CG22/AM17</f>
        <v>4.7192748533043775E-2</v>
      </c>
    </row>
    <row r="55" spans="1:39" ht="15.75" thickBot="1" x14ac:dyDescent="0.3">
      <c r="A55" s="592"/>
      <c r="B55" s="203" t="s">
        <v>613</v>
      </c>
      <c r="C55">
        <v>2406</v>
      </c>
      <c r="D55">
        <f>SUM('Cibles THREEME AMS'!$BV23:$BV24)*11.64/D18</f>
        <v>0.12684847914279029</v>
      </c>
      <c r="E55">
        <f t="shared" ref="E55:H56" si="163">D55+($I55-$D55)/5</f>
        <v>0.10308926093491524</v>
      </c>
      <c r="F55">
        <f t="shared" si="163"/>
        <v>7.9330042727040195E-2</v>
      </c>
      <c r="G55">
        <f t="shared" si="163"/>
        <v>5.5570824519165146E-2</v>
      </c>
      <c r="H55">
        <f t="shared" si="163"/>
        <v>3.1811606311290097E-2</v>
      </c>
      <c r="I55">
        <f>SUM('Cibles THREEME AMS'!$BW23:$BW24)/I18</f>
        <v>8.0523881034150566E-3</v>
      </c>
      <c r="J55">
        <f t="shared" ref="J55:K56" si="164">I55+($L55-$I55)/3</f>
        <v>5.3682587356100372E-3</v>
      </c>
      <c r="K55">
        <f t="shared" si="164"/>
        <v>2.6841293678050182E-3</v>
      </c>
      <c r="L55">
        <f>SUM('Cibles THREEME AMS'!$BX23:$BX24)/L18</f>
        <v>0</v>
      </c>
      <c r="M55">
        <f t="shared" si="62"/>
        <v>0</v>
      </c>
      <c r="N55">
        <f>SUM('Cibles THREEME AMS'!$BY23:$BY24)/N18</f>
        <v>0</v>
      </c>
      <c r="O55">
        <f t="shared" ref="O55:P56" si="165">N55+($Q55-$N55)/3</f>
        <v>0</v>
      </c>
      <c r="P55">
        <f t="shared" si="165"/>
        <v>0</v>
      </c>
      <c r="Q55">
        <f>SUM('Cibles THREEME AMS'!$BZ23:$BZ24)/Q18</f>
        <v>0</v>
      </c>
      <c r="R55">
        <f t="shared" si="64"/>
        <v>0</v>
      </c>
      <c r="S55">
        <f>SUM('Cibles THREEME AMS'!$CA23:$CA24)/S18</f>
        <v>0</v>
      </c>
      <c r="T55">
        <f t="shared" ref="T55:U55" si="166">S55+($V55-$S55)/3</f>
        <v>0</v>
      </c>
      <c r="U55">
        <f t="shared" si="166"/>
        <v>0</v>
      </c>
      <c r="V55">
        <f>SUM('Cibles THREEME AMS'!$CB23:$CB24)/V18</f>
        <v>0</v>
      </c>
      <c r="W55">
        <f t="shared" si="66"/>
        <v>0</v>
      </c>
      <c r="X55">
        <f>SUM('Cibles THREEME AMS'!$CC23:$CC24)/X18</f>
        <v>0</v>
      </c>
      <c r="Y55">
        <f t="shared" ref="Y55:Z56" si="167">X55+($AA55-$X55)/3</f>
        <v>2.6979250663039446E-4</v>
      </c>
      <c r="Z55">
        <f t="shared" si="167"/>
        <v>5.3958501326078893E-4</v>
      </c>
      <c r="AA55">
        <f>SUM('Cibles THREEME AMS'!$CD23:$CD24)/AA18</f>
        <v>8.0937751989118339E-4</v>
      </c>
      <c r="AB55">
        <f t="shared" si="68"/>
        <v>9.6956662371481379E-4</v>
      </c>
      <c r="AC55">
        <f>SUM('Cibles THREEME AMS'!$CE23:$CE24)/AC18</f>
        <v>1.1297557275384443E-3</v>
      </c>
      <c r="AD55">
        <f t="shared" ref="AD55:AG56" si="168">AC55+($AH55-$AC55)/5</f>
        <v>1.2623972473819669E-3</v>
      </c>
      <c r="AE55">
        <f t="shared" si="168"/>
        <v>1.3950387672254894E-3</v>
      </c>
      <c r="AF55">
        <f t="shared" si="168"/>
        <v>1.527680287069012E-3</v>
      </c>
      <c r="AG55">
        <f t="shared" si="168"/>
        <v>1.6603218069125346E-3</v>
      </c>
      <c r="AH55">
        <f>SUM('Cibles THREEME AMS'!$CF23:$CF24)/AH18</f>
        <v>1.7929633267560567E-3</v>
      </c>
      <c r="AI55">
        <f t="shared" ref="AI55:AL56" si="169">AH55+($AM55-$AH55)/5</f>
        <v>1.813922933544893E-3</v>
      </c>
      <c r="AJ55">
        <f t="shared" si="169"/>
        <v>1.8348825403337293E-3</v>
      </c>
      <c r="AK55">
        <f t="shared" si="169"/>
        <v>1.8558421471225656E-3</v>
      </c>
      <c r="AL55">
        <f t="shared" si="169"/>
        <v>1.8768017539114018E-3</v>
      </c>
      <c r="AM55">
        <f>SUM('Cibles THREEME AMS'!$CG23:$CG24)/AM18</f>
        <v>1.8977613607002385E-3</v>
      </c>
    </row>
    <row r="56" spans="1:39" x14ac:dyDescent="0.25">
      <c r="B56" s="589" t="s">
        <v>479</v>
      </c>
      <c r="C56">
        <v>21</v>
      </c>
      <c r="D56">
        <f>'Cibles THREEME AMS'!$BH25</f>
        <v>9.3073143713894631E-3</v>
      </c>
      <c r="E56">
        <f t="shared" si="163"/>
        <v>8.4672315922461692E-3</v>
      </c>
      <c r="F56">
        <f t="shared" si="163"/>
        <v>7.6271488131028752E-3</v>
      </c>
      <c r="G56">
        <f t="shared" si="163"/>
        <v>6.7870660339595813E-3</v>
      </c>
      <c r="H56">
        <f t="shared" si="163"/>
        <v>5.9469832548162873E-3</v>
      </c>
      <c r="I56">
        <f>'Cibles THREEME AMS'!$BI25</f>
        <v>5.1069004756729925E-3</v>
      </c>
      <c r="J56">
        <f t="shared" si="164"/>
        <v>4.2578150246598964E-3</v>
      </c>
      <c r="K56">
        <f t="shared" si="164"/>
        <v>3.4087295736468007E-3</v>
      </c>
      <c r="L56">
        <f>'Cibles THREEME AMS'!$BJ25</f>
        <v>2.5596441226337051E-3</v>
      </c>
      <c r="M56">
        <f t="shared" si="62"/>
        <v>1.6783236432329177E-3</v>
      </c>
      <c r="N56">
        <f>'Cibles THREEME AMS'!$BK25</f>
        <v>7.9700316383213038E-4</v>
      </c>
      <c r="O56">
        <f t="shared" si="165"/>
        <v>6.8919014319406479E-4</v>
      </c>
      <c r="P56">
        <f t="shared" si="165"/>
        <v>5.813771225559992E-4</v>
      </c>
      <c r="Q56">
        <f>'Cibles THREEME AMS'!$BL25</f>
        <v>4.7356410191793361E-4</v>
      </c>
      <c r="R56">
        <f t="shared" si="64"/>
        <v>2.3678205095896681E-4</v>
      </c>
      <c r="S56">
        <f>'Cibles THREEME AMS'!$BM25</f>
        <v>0</v>
      </c>
      <c r="T56">
        <f t="shared" ref="T56:U56" si="170">S56+($V56-$S56)/3</f>
        <v>0</v>
      </c>
      <c r="U56">
        <f t="shared" si="170"/>
        <v>0</v>
      </c>
      <c r="V56">
        <f>'Cibles THREEME AMS'!$BN25</f>
        <v>0</v>
      </c>
      <c r="W56">
        <f t="shared" si="66"/>
        <v>0</v>
      </c>
      <c r="X56">
        <f>'Cibles THREEME AMS'!$BO25</f>
        <v>0</v>
      </c>
      <c r="Y56">
        <f t="shared" si="167"/>
        <v>0</v>
      </c>
      <c r="Z56">
        <f t="shared" si="167"/>
        <v>0</v>
      </c>
      <c r="AA56">
        <f>'Cibles THREEME AMS'!$BP25</f>
        <v>0</v>
      </c>
      <c r="AB56">
        <f t="shared" si="68"/>
        <v>0</v>
      </c>
      <c r="AC56">
        <f>'Cibles THREEME AMS'!$BQ25</f>
        <v>0</v>
      </c>
      <c r="AD56">
        <f t="shared" si="168"/>
        <v>0</v>
      </c>
      <c r="AE56">
        <f t="shared" si="168"/>
        <v>0</v>
      </c>
      <c r="AF56">
        <f t="shared" si="168"/>
        <v>0</v>
      </c>
      <c r="AG56">
        <f t="shared" si="168"/>
        <v>0</v>
      </c>
      <c r="AH56">
        <f>'Cibles THREEME AMS'!$BR25</f>
        <v>0</v>
      </c>
      <c r="AI56">
        <f t="shared" si="169"/>
        <v>0</v>
      </c>
      <c r="AJ56">
        <f t="shared" si="169"/>
        <v>0</v>
      </c>
      <c r="AK56">
        <f t="shared" si="169"/>
        <v>0</v>
      </c>
      <c r="AL56">
        <f t="shared" si="169"/>
        <v>0</v>
      </c>
      <c r="AM56">
        <f>'Cibles THREEME AMS'!$BS25</f>
        <v>0</v>
      </c>
    </row>
    <row r="58" spans="1:39" ht="15.75" thickBot="1" x14ac:dyDescent="0.3">
      <c r="B58" t="s">
        <v>478</v>
      </c>
    </row>
    <row r="59" spans="1:39" x14ac:dyDescent="0.25">
      <c r="B59" s="588" t="s">
        <v>266</v>
      </c>
      <c r="C59">
        <v>2201</v>
      </c>
      <c r="D59" s="595">
        <f>('Cibles THREEME AMS'!$DA4+'Cibles THREEME AMS'!$DA6)*11.64/D3</f>
        <v>1.7801714064103889E-4</v>
      </c>
      <c r="E59">
        <f>D59+($I59-$D59)/5</f>
        <v>1.471404940283037E-4</v>
      </c>
      <c r="F59">
        <f t="shared" ref="F59:H59" si="171">E59+($I59-$D59)/5</f>
        <v>1.1626384741556851E-4</v>
      </c>
      <c r="G59">
        <f t="shared" si="171"/>
        <v>8.5387200802833319E-5</v>
      </c>
      <c r="H59">
        <f t="shared" si="171"/>
        <v>5.4510554190098121E-5</v>
      </c>
      <c r="I59" s="404">
        <f>('Cibles THREEME AMS'!$DB$4+'Cibles THREEME AMS'!$DB$6)/I3</f>
        <v>2.3633907577362915E-5</v>
      </c>
      <c r="J59">
        <f>I59+($L59-$I59)/3</f>
        <v>1.0402643661897018E-4</v>
      </c>
      <c r="K59">
        <f>J59+($L59-$I59)/3</f>
        <v>1.8441896566057743E-4</v>
      </c>
      <c r="L59" s="404">
        <f>('Cibles THREEME AMS'!$DC$4+'Cibles THREEME AMS'!$DC$6)/L3</f>
        <v>2.648114947021847E-4</v>
      </c>
      <c r="M59">
        <f>(L59+N59)/2</f>
        <v>2.0159795168784528E-4</v>
      </c>
      <c r="N59" s="404">
        <f>('Cibles THREEME AMS'!$DD$4+'Cibles THREEME AMS'!$DD$6)/N3</f>
        <v>1.3838440867350587E-4</v>
      </c>
      <c r="O59">
        <f>N59+($Q59-$N59)/3</f>
        <v>1.1398609423510193E-4</v>
      </c>
      <c r="P59">
        <f>O59+($Q59-$N59)/3</f>
        <v>8.9587779796697993E-5</v>
      </c>
      <c r="Q59" s="404">
        <f>('Cibles THREEME AMS'!$DE$4+'Cibles THREEME AMS'!$DE$6)/Q3</f>
        <v>6.518946535829407E-5</v>
      </c>
      <c r="R59">
        <f>(Q59+S59)/2</f>
        <v>3.2594732679147035E-5</v>
      </c>
      <c r="S59" s="404">
        <f>('Cibles THREEME AMS'!$DF$4+'Cibles THREEME AMS'!$DF$6)/S3</f>
        <v>0</v>
      </c>
      <c r="T59">
        <f t="shared" ref="T59:U59" si="172">S59+($V59-$S59)/3</f>
        <v>0</v>
      </c>
      <c r="U59">
        <f t="shared" si="172"/>
        <v>0</v>
      </c>
      <c r="V59" s="404">
        <f>('Cibles THREEME AMS'!$DG$4+'Cibles THREEME AMS'!$DG$6)/V3</f>
        <v>0</v>
      </c>
      <c r="W59">
        <f>V59+(X59-V59)/2</f>
        <v>0</v>
      </c>
      <c r="X59" s="404">
        <f>('Cibles THREEME AMS'!$DH$4+'Cibles THREEME AMS'!$DH$6)/X3</f>
        <v>0</v>
      </c>
      <c r="Y59">
        <f>X59+($AA59-$X59)/3</f>
        <v>0</v>
      </c>
      <c r="Z59">
        <f>Y59+($AA59-$X59)/3</f>
        <v>0</v>
      </c>
      <c r="AA59" s="404">
        <f>('Cibles THREEME AMS'!$DI$4+'Cibles THREEME AMS'!$DI$6)/AA3</f>
        <v>0</v>
      </c>
      <c r="AB59">
        <f>AA59+(AC59-AA59)/2</f>
        <v>0</v>
      </c>
      <c r="AC59" s="404">
        <f>('Cibles THREEME AMS'!$DJ$4+'Cibles THREEME AMS'!$DJ$6)/AC3</f>
        <v>0</v>
      </c>
      <c r="AD59">
        <f>AC59+($AH59-$AC59)/5</f>
        <v>0</v>
      </c>
      <c r="AE59">
        <f t="shared" ref="AE59:AG59" si="173">AD59+($AH59-$AC59)/5</f>
        <v>0</v>
      </c>
      <c r="AF59">
        <f t="shared" si="173"/>
        <v>0</v>
      </c>
      <c r="AG59">
        <f t="shared" si="173"/>
        <v>0</v>
      </c>
      <c r="AH59" s="404">
        <f>('Cibles THREEME AMS'!$DK$4+'Cibles THREEME AMS'!$DK$6)/AH3</f>
        <v>0</v>
      </c>
      <c r="AI59">
        <f>AH59+($AM59-$AH59)/5</f>
        <v>0</v>
      </c>
      <c r="AJ59">
        <f t="shared" ref="AJ59:AL59" si="174">AI59+($AM59-$AH59)/5</f>
        <v>0</v>
      </c>
      <c r="AK59">
        <f t="shared" si="174"/>
        <v>0</v>
      </c>
      <c r="AL59">
        <f t="shared" si="174"/>
        <v>0</v>
      </c>
      <c r="AM59" s="404">
        <f>('Cibles THREEME AMS'!$DL$4+'Cibles THREEME AMS'!$DL$6)/AM3</f>
        <v>0</v>
      </c>
    </row>
    <row r="60" spans="1:39" ht="15.75" thickBot="1" x14ac:dyDescent="0.3">
      <c r="B60" s="590" t="s">
        <v>343</v>
      </c>
      <c r="C60">
        <v>2202</v>
      </c>
      <c r="D60" s="595">
        <f>('Cibles THREEME AMS'!$DA5+'Cibles THREEME AMS'!$DA7)*11.64/D4</f>
        <v>0</v>
      </c>
      <c r="E60">
        <f t="shared" ref="E60:H60" si="175">D60+($I60-$D60)/5</f>
        <v>0</v>
      </c>
      <c r="F60">
        <f t="shared" si="175"/>
        <v>0</v>
      </c>
      <c r="G60">
        <f t="shared" si="175"/>
        <v>0</v>
      </c>
      <c r="H60">
        <f t="shared" si="175"/>
        <v>0</v>
      </c>
      <c r="I60">
        <f>('Cibles THREEME AMS'!$DB$5+'Cibles THREEME AMS'!$DB$7)/I4</f>
        <v>0</v>
      </c>
      <c r="J60">
        <f t="shared" ref="J60:K60" si="176">I60+($L60-$I60)/3</f>
        <v>0</v>
      </c>
      <c r="K60">
        <f t="shared" si="176"/>
        <v>0</v>
      </c>
      <c r="L60">
        <f>('Cibles THREEME AMS'!$DC$5+'Cibles THREEME AMS'!$DC$7)/L4</f>
        <v>0</v>
      </c>
      <c r="M60">
        <f t="shared" ref="M60:M75" si="177">(L60+N60)/2</f>
        <v>0</v>
      </c>
      <c r="N60">
        <f>('Cibles THREEME AMS'!$DD$5+'Cibles THREEME AMS'!$DD$7)/N4</f>
        <v>0</v>
      </c>
      <c r="O60">
        <f t="shared" ref="O60:P60" si="178">N60+($Q60-$N60)/3</f>
        <v>0</v>
      </c>
      <c r="P60">
        <f t="shared" si="178"/>
        <v>0</v>
      </c>
      <c r="Q60">
        <f>('Cibles THREEME AMS'!$DE$5+'Cibles THREEME AMS'!$DE$7)/Q4</f>
        <v>0</v>
      </c>
      <c r="R60">
        <f t="shared" ref="R60:R75" si="179">(Q60+S60)/2</f>
        <v>0</v>
      </c>
      <c r="S60">
        <f>('Cibles THREEME AMS'!$DF$5+'Cibles THREEME AMS'!$DF$7)/S4</f>
        <v>0</v>
      </c>
      <c r="T60">
        <f t="shared" ref="T60:U60" si="180">S60+($V60-$S60)/3</f>
        <v>0</v>
      </c>
      <c r="U60">
        <f t="shared" si="180"/>
        <v>0</v>
      </c>
      <c r="V60">
        <f>('Cibles THREEME AMS'!$DG$5+'Cibles THREEME AMS'!$DG$7)/V4</f>
        <v>0</v>
      </c>
      <c r="W60">
        <f t="shared" ref="W60:W75" si="181">V60+(X60-V60)/2</f>
        <v>0</v>
      </c>
      <c r="X60">
        <f>('Cibles THREEME AMS'!$DH$5+'Cibles THREEME AMS'!$DH$7)/X4</f>
        <v>0</v>
      </c>
      <c r="Y60">
        <f t="shared" ref="Y60:Z60" si="182">X60+($AA60-$X60)/3</f>
        <v>0</v>
      </c>
      <c r="Z60">
        <f t="shared" si="182"/>
        <v>0</v>
      </c>
      <c r="AA60">
        <f>('Cibles THREEME AMS'!$DI$5+'Cibles THREEME AMS'!$DI$7)/AA4</f>
        <v>0</v>
      </c>
      <c r="AB60">
        <f t="shared" ref="AB60:AB75" si="183">AA60+(AC60-AA60)/2</f>
        <v>0</v>
      </c>
      <c r="AC60">
        <f>('Cibles THREEME AMS'!$DJ$5+'Cibles THREEME AMS'!$DJ$7)/AC4</f>
        <v>0</v>
      </c>
      <c r="AD60">
        <f t="shared" ref="AD60:AG60" si="184">AC60+($AH60-$AC60)/5</f>
        <v>0</v>
      </c>
      <c r="AE60">
        <f t="shared" si="184"/>
        <v>0</v>
      </c>
      <c r="AF60">
        <f t="shared" si="184"/>
        <v>0</v>
      </c>
      <c r="AG60">
        <f t="shared" si="184"/>
        <v>0</v>
      </c>
      <c r="AH60">
        <f>('Cibles THREEME AMS'!$DK$5+'Cibles THREEME AMS'!$DK$7)/AH4</f>
        <v>0</v>
      </c>
      <c r="AI60">
        <f t="shared" ref="AI60:AL60" si="185">AH60+($AM60-$AH60)/5</f>
        <v>0</v>
      </c>
      <c r="AJ60">
        <f t="shared" si="185"/>
        <v>0</v>
      </c>
      <c r="AK60">
        <f t="shared" si="185"/>
        <v>0</v>
      </c>
      <c r="AL60">
        <f t="shared" si="185"/>
        <v>0</v>
      </c>
      <c r="AM60">
        <f>('Cibles THREEME AMS'!$DL$5+'Cibles THREEME AMS'!$DL$7)/AM4</f>
        <v>0</v>
      </c>
    </row>
    <row r="61" spans="1:39" x14ac:dyDescent="0.25">
      <c r="B61" s="588" t="s">
        <v>20</v>
      </c>
      <c r="C61">
        <v>2301</v>
      </c>
      <c r="D61" s="595">
        <f>'Cibles THREEME AMS'!$DA8*11.64/D5</f>
        <v>7.9921040170571458E-2</v>
      </c>
      <c r="E61">
        <f t="shared" ref="E61:H61" si="186">D61+($I61-$D61)/5</f>
        <v>8.1345832152024927E-2</v>
      </c>
      <c r="F61">
        <f t="shared" si="186"/>
        <v>8.2770624133478396E-2</v>
      </c>
      <c r="G61">
        <f t="shared" si="186"/>
        <v>8.4195416114931865E-2</v>
      </c>
      <c r="H61">
        <f t="shared" si="186"/>
        <v>8.5620208096385333E-2</v>
      </c>
      <c r="I61">
        <f>'Cibles THREEME AMS'!$DB$8/I5</f>
        <v>8.704500007783883E-2</v>
      </c>
      <c r="J61">
        <f t="shared" ref="J61:K61" si="187">I61+($L61-$I61)/3</f>
        <v>8.7598973322461443E-2</v>
      </c>
      <c r="K61">
        <f t="shared" si="187"/>
        <v>8.8152946567084056E-2</v>
      </c>
      <c r="L61">
        <f>'Cibles THREEME AMS'!$DC$8/L5</f>
        <v>8.8706919811706683E-2</v>
      </c>
      <c r="M61">
        <f t="shared" si="177"/>
        <v>9.2629958868100132E-2</v>
      </c>
      <c r="N61">
        <f>'Cibles THREEME AMS'!$DD$8/N5</f>
        <v>9.6552997924493567E-2</v>
      </c>
      <c r="O61">
        <f t="shared" ref="O61:P61" si="188">N61+($Q61-$N61)/3</f>
        <v>9.692428167415422E-2</v>
      </c>
      <c r="P61">
        <f t="shared" si="188"/>
        <v>9.7295565423814873E-2</v>
      </c>
      <c r="Q61">
        <f>'Cibles THREEME AMS'!$DE$8/Q5</f>
        <v>9.7666849173475512E-2</v>
      </c>
      <c r="R61">
        <f t="shared" si="179"/>
        <v>9.8136412913928495E-2</v>
      </c>
      <c r="S61">
        <f>'Cibles THREEME AMS'!$DF$8/S5</f>
        <v>9.8605976654381491E-2</v>
      </c>
      <c r="T61">
        <f t="shared" ref="T61:U61" si="189">S61+($V61-$S61)/3</f>
        <v>9.9095238846750339E-2</v>
      </c>
      <c r="U61">
        <f t="shared" si="189"/>
        <v>9.9584501039119186E-2</v>
      </c>
      <c r="V61">
        <f>'Cibles THREEME AMS'!$DG$8/V5</f>
        <v>0.10007376323148803</v>
      </c>
      <c r="W61">
        <f t="shared" si="181"/>
        <v>0.10049990264601</v>
      </c>
      <c r="X61">
        <f>'Cibles THREEME AMS'!$DH$8/X5</f>
        <v>0.10092604206053198</v>
      </c>
      <c r="Y61">
        <f t="shared" ref="Y61:Z61" si="190">X61+($AA61-$X61)/3</f>
        <v>0.10136024111382186</v>
      </c>
      <c r="Z61">
        <f t="shared" si="190"/>
        <v>0.10179444016711174</v>
      </c>
      <c r="AA61">
        <f>'Cibles THREEME AMS'!$DI$8/AA5</f>
        <v>0.10222863922040162</v>
      </c>
      <c r="AB61">
        <f t="shared" si="183"/>
        <v>0.1026362355387391</v>
      </c>
      <c r="AC61">
        <f>'Cibles THREEME AMS'!$DJ$8/AC5</f>
        <v>0.10304383185707659</v>
      </c>
      <c r="AD61">
        <f t="shared" ref="AD61:AG61" si="191">AC61+($AH61-$AC61)/5</f>
        <v>0.10425874525801668</v>
      </c>
      <c r="AE61">
        <f t="shared" si="191"/>
        <v>0.10547365865895676</v>
      </c>
      <c r="AF61">
        <f t="shared" si="191"/>
        <v>0.10668857205989685</v>
      </c>
      <c r="AG61">
        <f t="shared" si="191"/>
        <v>0.10790348546083693</v>
      </c>
      <c r="AH61">
        <f>'Cibles THREEME AMS'!$DK$8/AH5</f>
        <v>0.10911839886177704</v>
      </c>
      <c r="AI61">
        <f t="shared" ref="AI61:AL61" si="192">AH61+($AM61-$AH61)/5</f>
        <v>0.11019816660324001</v>
      </c>
      <c r="AJ61">
        <f t="shared" si="192"/>
        <v>0.11127793434470298</v>
      </c>
      <c r="AK61">
        <f t="shared" si="192"/>
        <v>0.11235770208616595</v>
      </c>
      <c r="AL61">
        <f t="shared" si="192"/>
        <v>0.11343746982762892</v>
      </c>
      <c r="AM61">
        <f>'Cibles THREEME AMS'!$DL$8/AM5</f>
        <v>0.11451723756909192</v>
      </c>
    </row>
    <row r="62" spans="1:39" x14ac:dyDescent="0.25">
      <c r="B62" s="589" t="s">
        <v>224</v>
      </c>
      <c r="C62">
        <f>C61+1</f>
        <v>2302</v>
      </c>
      <c r="D62" s="595">
        <f>'Cibles THREEME AMS'!$DA9*11.64/D6</f>
        <v>7.9921040170571458E-2</v>
      </c>
      <c r="E62">
        <f t="shared" ref="E62:H62" si="193">D62+($I62-$D62)/5</f>
        <v>8.1345832152024941E-2</v>
      </c>
      <c r="F62">
        <f t="shared" si="193"/>
        <v>8.2770624133478424E-2</v>
      </c>
      <c r="G62">
        <f t="shared" si="193"/>
        <v>8.4195416114931906E-2</v>
      </c>
      <c r="H62">
        <f t="shared" si="193"/>
        <v>8.5620208096385389E-2</v>
      </c>
      <c r="I62">
        <f>'Cibles THREEME AMS'!$DB$9/I6</f>
        <v>8.7045000077838844E-2</v>
      </c>
      <c r="J62">
        <f t="shared" ref="J62:K62" si="194">I62+($L62-$I62)/3</f>
        <v>9.0200418460916712E-2</v>
      </c>
      <c r="K62">
        <f t="shared" si="194"/>
        <v>9.335583684399458E-2</v>
      </c>
      <c r="L62">
        <f>'Cibles THREEME AMS'!$DC$9/L6</f>
        <v>9.6511255227072462E-2</v>
      </c>
      <c r="M62">
        <f t="shared" si="177"/>
        <v>7.7608529150163669E-2</v>
      </c>
      <c r="N62">
        <f>'Cibles THREEME AMS'!$DD$9/N6</f>
        <v>5.8705803073254875E-2</v>
      </c>
      <c r="O62">
        <f t="shared" ref="O62:P62" si="195">N62+($Q62-$N62)/3</f>
        <v>7.1692818439995087E-2</v>
      </c>
      <c r="P62">
        <f t="shared" si="195"/>
        <v>8.46798338067353E-2</v>
      </c>
      <c r="Q62">
        <f>'Cibles THREEME AMS'!$DE$9/Q6</f>
        <v>9.7666849173475526E-2</v>
      </c>
      <c r="R62">
        <f t="shared" si="179"/>
        <v>9.8136412913928509E-2</v>
      </c>
      <c r="S62">
        <f>'Cibles THREEME AMS'!$DF$9/S6</f>
        <v>9.8605976654381491E-2</v>
      </c>
      <c r="T62">
        <f t="shared" ref="T62:U62" si="196">S62+($V62-$S62)/3</f>
        <v>9.9095238846750339E-2</v>
      </c>
      <c r="U62">
        <f t="shared" si="196"/>
        <v>9.9584501039119186E-2</v>
      </c>
      <c r="V62">
        <f>'Cibles THREEME AMS'!$DG$9/V6</f>
        <v>0.10007376323148802</v>
      </c>
      <c r="W62">
        <f t="shared" si="181"/>
        <v>0.10049990264601</v>
      </c>
      <c r="X62">
        <f>'Cibles THREEME AMS'!$DH$9/X6</f>
        <v>0.10092604206053196</v>
      </c>
      <c r="Y62">
        <f t="shared" ref="Y62:Z62" si="197">X62+($AA62-$X62)/3</f>
        <v>0.10136024111382184</v>
      </c>
      <c r="Z62">
        <f t="shared" si="197"/>
        <v>0.10179444016711173</v>
      </c>
      <c r="AA62">
        <f>'Cibles THREEME AMS'!$DI$9/AA6</f>
        <v>0.10222863922040161</v>
      </c>
      <c r="AB62">
        <f t="shared" si="183"/>
        <v>5.9517145344957278E-2</v>
      </c>
      <c r="AC62">
        <f>'Cibles THREEME AMS'!$DJ$9/AC6</f>
        <v>1.6805651469512944E-2</v>
      </c>
      <c r="AD62">
        <f t="shared" ref="AD62:AG62" si="198">AC62+($AH62-$AC62)/5</f>
        <v>1.3444521175610355E-2</v>
      </c>
      <c r="AE62">
        <f t="shared" si="198"/>
        <v>1.0083390881707767E-2</v>
      </c>
      <c r="AF62">
        <f t="shared" si="198"/>
        <v>6.7222605878051785E-3</v>
      </c>
      <c r="AG62">
        <f t="shared" si="198"/>
        <v>3.3611302939025897E-3</v>
      </c>
      <c r="AH62">
        <f>'Cibles THREEME AMS'!$DK$9/AH6</f>
        <v>0</v>
      </c>
      <c r="AI62">
        <f t="shared" ref="AI62:AL62" si="199">AH62+($AM62-$AH62)/5</f>
        <v>0</v>
      </c>
      <c r="AJ62">
        <f t="shared" si="199"/>
        <v>0</v>
      </c>
      <c r="AK62">
        <f t="shared" si="199"/>
        <v>0</v>
      </c>
      <c r="AL62">
        <f t="shared" si="199"/>
        <v>0</v>
      </c>
      <c r="AM62">
        <f>'Cibles THREEME AMS'!$DL$9/AM6</f>
        <v>0</v>
      </c>
    </row>
    <row r="63" spans="1:39" x14ac:dyDescent="0.25">
      <c r="B63" s="589" t="s">
        <v>32</v>
      </c>
      <c r="C63">
        <f t="shared" ref="C63:C68" si="200">C62+1</f>
        <v>2303</v>
      </c>
      <c r="D63" s="595">
        <f>('Cibles THREEME AMS'!$DA10+'Cibles THREEME AMS'!$DA12)*11.64/D7</f>
        <v>7.9921040170571458E-2</v>
      </c>
      <c r="E63">
        <f t="shared" ref="E63:H63" si="201">D63+($I63-$D63)/5</f>
        <v>8.1345832152024941E-2</v>
      </c>
      <c r="F63">
        <f t="shared" si="201"/>
        <v>8.2770624133478424E-2</v>
      </c>
      <c r="G63">
        <f t="shared" si="201"/>
        <v>8.4195416114931906E-2</v>
      </c>
      <c r="H63">
        <f t="shared" si="201"/>
        <v>8.5620208096385389E-2</v>
      </c>
      <c r="I63">
        <f>('Cibles THREEME AMS'!$DB$10+'Cibles THREEME AMS'!$DB$12)/I7</f>
        <v>8.7045000077838858E-2</v>
      </c>
      <c r="J63">
        <f t="shared" ref="J63:K63" si="202">I63+($L63-$I63)/3</f>
        <v>8.7598973322461471E-2</v>
      </c>
      <c r="K63">
        <f t="shared" si="202"/>
        <v>8.8152946567084084E-2</v>
      </c>
      <c r="L63">
        <f>('Cibles THREEME AMS'!$DC$10+'Cibles THREEME AMS'!$DC$12)/L7</f>
        <v>8.8706919811706697E-2</v>
      </c>
      <c r="M63">
        <f t="shared" si="177"/>
        <v>9.2629958868100132E-2</v>
      </c>
      <c r="N63">
        <f>('Cibles THREEME AMS'!$DD$10+'Cibles THREEME AMS'!$DD$12)/N7</f>
        <v>9.6552997924493567E-2</v>
      </c>
      <c r="O63">
        <f t="shared" ref="O63:P63" si="203">N63+($Q63-$N63)/3</f>
        <v>9.692428167415422E-2</v>
      </c>
      <c r="P63">
        <f t="shared" si="203"/>
        <v>9.7295565423814873E-2</v>
      </c>
      <c r="Q63">
        <f>('Cibles THREEME AMS'!$DE$10+'Cibles THREEME AMS'!$DE$12)/Q7</f>
        <v>9.7666849173475526E-2</v>
      </c>
      <c r="R63">
        <f t="shared" si="179"/>
        <v>9.8136412913928522E-2</v>
      </c>
      <c r="S63">
        <f>('Cibles THREEME AMS'!$DF$10+'Cibles THREEME AMS'!$DF$12)/S7</f>
        <v>9.8605976654381505E-2</v>
      </c>
      <c r="T63">
        <f t="shared" ref="T63:U63" si="204">S63+($V63-$S63)/3</f>
        <v>9.9095238846750339E-2</v>
      </c>
      <c r="U63">
        <f t="shared" si="204"/>
        <v>9.9584501039119172E-2</v>
      </c>
      <c r="V63">
        <f>('Cibles THREEME AMS'!$DG$10+'Cibles THREEME AMS'!$DG$12)/V7</f>
        <v>0.10007376323148802</v>
      </c>
      <c r="W63">
        <f t="shared" si="181"/>
        <v>0.10049990264601</v>
      </c>
      <c r="X63">
        <f>('Cibles THREEME AMS'!$DH$10+'Cibles THREEME AMS'!$DH$12)/X7</f>
        <v>0.10092604206053198</v>
      </c>
      <c r="Y63">
        <f t="shared" ref="Y63:Z63" si="205">X63+($AA63-$X63)/3</f>
        <v>0.10136024111382186</v>
      </c>
      <c r="Z63">
        <f t="shared" si="205"/>
        <v>0.10179444016711174</v>
      </c>
      <c r="AA63">
        <f>('Cibles THREEME AMS'!$DI$10+'Cibles THREEME AMS'!$DI$12)/AA7</f>
        <v>0.10222863922040161</v>
      </c>
      <c r="AB63">
        <f t="shared" si="183"/>
        <v>5.2927526007738868E-2</v>
      </c>
      <c r="AC63">
        <f>('Cibles THREEME AMS'!$DJ$10+'Cibles THREEME AMS'!$DJ$12)/AC7</f>
        <v>3.6264127950761185E-3</v>
      </c>
      <c r="AD63">
        <f t="shared" ref="AD63:AG63" si="206">AC63+($AH63-$AC63)/5</f>
        <v>3.6920884224004862E-3</v>
      </c>
      <c r="AE63">
        <f t="shared" si="206"/>
        <v>3.7577640497248538E-3</v>
      </c>
      <c r="AF63">
        <f t="shared" si="206"/>
        <v>3.8234396770492215E-3</v>
      </c>
      <c r="AG63">
        <f t="shared" si="206"/>
        <v>3.8891153043735891E-3</v>
      </c>
      <c r="AH63">
        <f>('Cibles THREEME AMS'!$DK$10+'Cibles THREEME AMS'!$DK$12)/AH7</f>
        <v>3.9547909316979572E-3</v>
      </c>
      <c r="AI63">
        <f t="shared" ref="AI63:AL63" si="207">AH63+($AM63-$AH63)/5</f>
        <v>3.9854660896877009E-3</v>
      </c>
      <c r="AJ63">
        <f t="shared" si="207"/>
        <v>4.0161412476774445E-3</v>
      </c>
      <c r="AK63">
        <f t="shared" si="207"/>
        <v>4.0468164056671882E-3</v>
      </c>
      <c r="AL63">
        <f t="shared" si="207"/>
        <v>4.0774915636569318E-3</v>
      </c>
      <c r="AM63">
        <f>('Cibles THREEME AMS'!$DL$10+'Cibles THREEME AMS'!$DL$12)/AM7</f>
        <v>4.1081667216466755E-3</v>
      </c>
    </row>
    <row r="64" spans="1:39" x14ac:dyDescent="0.25">
      <c r="B64" s="589" t="s">
        <v>42</v>
      </c>
      <c r="C64">
        <f t="shared" si="200"/>
        <v>2304</v>
      </c>
      <c r="D64" s="595">
        <f>'Cibles THREEME AMS'!$DA11*11.64/D8</f>
        <v>7.9921040170571458E-2</v>
      </c>
      <c r="E64">
        <f t="shared" ref="E64:H64" si="208">D64+($I64-$D64)/5</f>
        <v>8.1345832152024941E-2</v>
      </c>
      <c r="F64">
        <f t="shared" si="208"/>
        <v>8.2770624133478424E-2</v>
      </c>
      <c r="G64">
        <f t="shared" si="208"/>
        <v>8.4195416114931906E-2</v>
      </c>
      <c r="H64">
        <f t="shared" si="208"/>
        <v>8.5620208096385389E-2</v>
      </c>
      <c r="I64">
        <f>'Cibles THREEME AMS'!$DB$11/I8</f>
        <v>8.7045000077838858E-2</v>
      </c>
      <c r="J64">
        <f t="shared" ref="J64:K64" si="209">I64+($L64-$I64)/3</f>
        <v>8.7598973322461471E-2</v>
      </c>
      <c r="K64">
        <f t="shared" si="209"/>
        <v>8.8152946567084084E-2</v>
      </c>
      <c r="L64">
        <f>'Cibles THREEME AMS'!$DC$11/L8</f>
        <v>8.8706919811706697E-2</v>
      </c>
      <c r="M64">
        <f t="shared" si="177"/>
        <v>4.4353459905853349E-2</v>
      </c>
      <c r="N64">
        <f>'Cibles THREEME AMS'!$DD$11/N8</f>
        <v>0</v>
      </c>
      <c r="O64">
        <f t="shared" ref="O64:P64" si="210">N64+($Q64-$N64)/3</f>
        <v>0</v>
      </c>
      <c r="P64">
        <f t="shared" si="210"/>
        <v>0</v>
      </c>
      <c r="Q64">
        <f>'Cibles THREEME AMS'!$DE$11/Q8</f>
        <v>0</v>
      </c>
      <c r="R64">
        <f t="shared" si="179"/>
        <v>0</v>
      </c>
      <c r="S64">
        <f>'Cibles THREEME AMS'!$DF$11/S8</f>
        <v>0</v>
      </c>
      <c r="T64">
        <f t="shared" ref="T64:U64" si="211">S64+($V64-$S64)/3</f>
        <v>0</v>
      </c>
      <c r="U64">
        <f t="shared" si="211"/>
        <v>0</v>
      </c>
      <c r="V64">
        <f>'Cibles THREEME AMS'!$DG$11/V8</f>
        <v>0</v>
      </c>
      <c r="W64">
        <f t="shared" si="181"/>
        <v>0</v>
      </c>
      <c r="X64">
        <f>'Cibles THREEME AMS'!$DH$11/X8</f>
        <v>0</v>
      </c>
      <c r="Y64">
        <f t="shared" ref="Y64:Z64" si="212">X64+($AA64-$X64)/3</f>
        <v>0</v>
      </c>
      <c r="Z64">
        <f t="shared" si="212"/>
        <v>0</v>
      </c>
      <c r="AA64">
        <f>'Cibles THREEME AMS'!$DI$11/AA8</f>
        <v>0</v>
      </c>
      <c r="AB64">
        <f t="shared" si="183"/>
        <v>0</v>
      </c>
      <c r="AC64">
        <f>'Cibles THREEME AMS'!$DJ$11/AC8</f>
        <v>0</v>
      </c>
      <c r="AD64">
        <f t="shared" ref="AD64:AG64" si="213">AC64+($AH64-$AC64)/5</f>
        <v>0</v>
      </c>
      <c r="AE64">
        <f t="shared" si="213"/>
        <v>0</v>
      </c>
      <c r="AF64">
        <f t="shared" si="213"/>
        <v>0</v>
      </c>
      <c r="AG64">
        <f t="shared" si="213"/>
        <v>0</v>
      </c>
      <c r="AH64">
        <f>'Cibles THREEME AMS'!$DK$11/AH8</f>
        <v>0</v>
      </c>
      <c r="AI64">
        <f t="shared" ref="AI64:AL64" si="214">AH64+($AM64-$AH64)/5</f>
        <v>0</v>
      </c>
      <c r="AJ64">
        <f t="shared" si="214"/>
        <v>0</v>
      </c>
      <c r="AK64">
        <f t="shared" si="214"/>
        <v>0</v>
      </c>
      <c r="AL64">
        <f t="shared" si="214"/>
        <v>0</v>
      </c>
      <c r="AM64">
        <f>'Cibles THREEME AMS'!$DL$11/AM8</f>
        <v>0</v>
      </c>
    </row>
    <row r="65" spans="2:39" x14ac:dyDescent="0.25">
      <c r="B65" s="589" t="s">
        <v>473</v>
      </c>
      <c r="C65">
        <f t="shared" si="200"/>
        <v>2305</v>
      </c>
      <c r="D65" s="595">
        <f>'Cibles THREEME AMS'!$DA13*11.64/D9</f>
        <v>7.9921040170571445E-2</v>
      </c>
      <c r="E65">
        <f t="shared" ref="E65:H65" si="215">D65+($I65-$D65)/5</f>
        <v>8.1345832152024927E-2</v>
      </c>
      <c r="F65">
        <f t="shared" si="215"/>
        <v>8.277062413347841E-2</v>
      </c>
      <c r="G65">
        <f t="shared" si="215"/>
        <v>8.4195416114931892E-2</v>
      </c>
      <c r="H65">
        <f t="shared" si="215"/>
        <v>8.5620208096385375E-2</v>
      </c>
      <c r="I65">
        <f>'Cibles THREEME AMS'!$DB$13/I9</f>
        <v>8.7045000077838858E-2</v>
      </c>
      <c r="J65">
        <f t="shared" ref="J65:K65" si="216">I65+($L65-$I65)/3</f>
        <v>8.7598973322461471E-2</v>
      </c>
      <c r="K65">
        <f t="shared" si="216"/>
        <v>8.8152946567084084E-2</v>
      </c>
      <c r="L65">
        <f>'Cibles THREEME AMS'!$DC$13/L9</f>
        <v>8.8706919811706711E-2</v>
      </c>
      <c r="M65">
        <f t="shared" si="177"/>
        <v>9.2629958868100132E-2</v>
      </c>
      <c r="N65">
        <f>'Cibles THREEME AMS'!$DD$13/N9</f>
        <v>9.6552997924493567E-2</v>
      </c>
      <c r="O65">
        <f t="shared" ref="O65:P65" si="217">N65+($Q65-$N65)/3</f>
        <v>9.692428167415422E-2</v>
      </c>
      <c r="P65">
        <f t="shared" si="217"/>
        <v>9.7295565423814873E-2</v>
      </c>
      <c r="Q65">
        <f>'Cibles THREEME AMS'!$DE$13/Q9</f>
        <v>9.7666849173475526E-2</v>
      </c>
      <c r="R65">
        <f t="shared" si="179"/>
        <v>9.8136412913928522E-2</v>
      </c>
      <c r="S65">
        <f>'Cibles THREEME AMS'!$DF$13/S9</f>
        <v>9.8605976654381505E-2</v>
      </c>
      <c r="T65">
        <f t="shared" ref="T65:U65" si="218">S65+($V65-$S65)/3</f>
        <v>9.9095238846750339E-2</v>
      </c>
      <c r="U65">
        <f t="shared" si="218"/>
        <v>9.9584501039119172E-2</v>
      </c>
      <c r="V65">
        <f>'Cibles THREEME AMS'!$DG$13/V9</f>
        <v>0.10007376323148802</v>
      </c>
      <c r="W65">
        <f t="shared" si="181"/>
        <v>0.10049990264601</v>
      </c>
      <c r="X65">
        <f>'Cibles THREEME AMS'!$DH$13/X9</f>
        <v>0.10092604206053198</v>
      </c>
      <c r="Y65">
        <f t="shared" ref="Y65:Z65" si="219">X65+($AA65-$X65)/3</f>
        <v>0.10136024111382186</v>
      </c>
      <c r="Z65">
        <f t="shared" si="219"/>
        <v>0.10179444016711174</v>
      </c>
      <c r="AA65">
        <f>'Cibles THREEME AMS'!$DI$13/AA9</f>
        <v>0.10222863922040164</v>
      </c>
      <c r="AB65">
        <f t="shared" si="183"/>
        <v>0.10263623553873912</v>
      </c>
      <c r="AC65">
        <f>'Cibles THREEME AMS'!$DJ$13/AC9</f>
        <v>0.10304383185707659</v>
      </c>
      <c r="AD65">
        <f t="shared" ref="AD65:AG65" si="220">AC65+($AH65-$AC65)/5</f>
        <v>0.10425874525801669</v>
      </c>
      <c r="AE65">
        <f t="shared" si="220"/>
        <v>0.10547365865895679</v>
      </c>
      <c r="AF65">
        <f t="shared" si="220"/>
        <v>0.10668857205989689</v>
      </c>
      <c r="AG65">
        <f t="shared" si="220"/>
        <v>0.10790348546083699</v>
      </c>
      <c r="AH65">
        <f>'Cibles THREEME AMS'!$DK$13/AH9</f>
        <v>0.10911839886177706</v>
      </c>
      <c r="AI65">
        <f t="shared" ref="AI65:AL65" si="221">AH65+($AM65-$AH65)/5</f>
        <v>0.11019816660324003</v>
      </c>
      <c r="AJ65">
        <f t="shared" si="221"/>
        <v>0.111277934344703</v>
      </c>
      <c r="AK65">
        <f t="shared" si="221"/>
        <v>0.11235770208616597</v>
      </c>
      <c r="AL65">
        <f t="shared" si="221"/>
        <v>0.11343746982762894</v>
      </c>
      <c r="AM65">
        <f>'Cibles THREEME AMS'!$DL$13/AM9</f>
        <v>0.11451723756909191</v>
      </c>
    </row>
    <row r="66" spans="2:39" x14ac:dyDescent="0.25">
      <c r="B66" s="589" t="s">
        <v>279</v>
      </c>
      <c r="C66">
        <f t="shared" si="200"/>
        <v>2306</v>
      </c>
      <c r="D66" s="595">
        <f>'Cibles THREEME AMS'!$DA14*11.64/D10</f>
        <v>7.9921040170571445E-2</v>
      </c>
      <c r="E66">
        <f t="shared" ref="E66:H66" si="222">D66+($I66-$D66)/5</f>
        <v>8.1345832152024927E-2</v>
      </c>
      <c r="F66">
        <f t="shared" si="222"/>
        <v>8.277062413347841E-2</v>
      </c>
      <c r="G66">
        <f t="shared" si="222"/>
        <v>8.4195416114931892E-2</v>
      </c>
      <c r="H66">
        <f t="shared" si="222"/>
        <v>8.5620208096385375E-2</v>
      </c>
      <c r="I66">
        <f>'Cibles THREEME AMS'!$DB$14/I10</f>
        <v>8.7045000077838858E-2</v>
      </c>
      <c r="J66">
        <f t="shared" ref="J66:K66" si="223">I66+($L66-$I66)/3</f>
        <v>8.7598973322461471E-2</v>
      </c>
      <c r="K66">
        <f t="shared" si="223"/>
        <v>8.8152946567084084E-2</v>
      </c>
      <c r="L66">
        <f>'Cibles THREEME AMS'!$DC$14/L10</f>
        <v>8.8706919811706697E-2</v>
      </c>
      <c r="M66">
        <f t="shared" si="177"/>
        <v>9.2629958868100132E-2</v>
      </c>
      <c r="N66">
        <f>'Cibles THREEME AMS'!$DD$14/N10</f>
        <v>9.6552997924493567E-2</v>
      </c>
      <c r="O66">
        <f t="shared" ref="O66:P66" si="224">N66+($Q66-$N66)/3</f>
        <v>9.692428167415422E-2</v>
      </c>
      <c r="P66">
        <f t="shared" si="224"/>
        <v>9.7295565423814873E-2</v>
      </c>
      <c r="Q66">
        <f>'Cibles THREEME AMS'!$DE$14/Q10</f>
        <v>9.7666849173475512E-2</v>
      </c>
      <c r="R66">
        <f t="shared" si="179"/>
        <v>9.8136412913928509E-2</v>
      </c>
      <c r="S66">
        <f>'Cibles THREEME AMS'!$DF$14/S10</f>
        <v>9.8605976654381505E-2</v>
      </c>
      <c r="T66">
        <f t="shared" ref="T66:U66" si="225">S66+($V66-$S66)/3</f>
        <v>9.9095238846750339E-2</v>
      </c>
      <c r="U66">
        <f t="shared" si="225"/>
        <v>9.9584501039119172E-2</v>
      </c>
      <c r="V66">
        <f>'Cibles THREEME AMS'!$DG$14/V10</f>
        <v>0.10007376323148802</v>
      </c>
      <c r="W66">
        <f t="shared" si="181"/>
        <v>0.10049990264601</v>
      </c>
      <c r="X66">
        <f>'Cibles THREEME AMS'!$DH$14/X10</f>
        <v>0.10092604206053198</v>
      </c>
      <c r="Y66">
        <f t="shared" ref="Y66:Z66" si="226">X66+($AA66-$X66)/3</f>
        <v>0.10136024111382186</v>
      </c>
      <c r="Z66">
        <f t="shared" si="226"/>
        <v>0.10179444016711174</v>
      </c>
      <c r="AA66">
        <f>'Cibles THREEME AMS'!$DI$14/AA10</f>
        <v>0.10222863922040161</v>
      </c>
      <c r="AB66">
        <f t="shared" si="183"/>
        <v>0.10263623553873912</v>
      </c>
      <c r="AC66">
        <f>'Cibles THREEME AMS'!$DJ$14/AC10</f>
        <v>0.10304383185707662</v>
      </c>
      <c r="AD66">
        <f t="shared" ref="AD66:AG66" si="227">AC66+($AH66-$AC66)/5</f>
        <v>0.10425874525801671</v>
      </c>
      <c r="AE66">
        <f t="shared" si="227"/>
        <v>0.10547365865895679</v>
      </c>
      <c r="AF66">
        <f t="shared" si="227"/>
        <v>0.10668857205989687</v>
      </c>
      <c r="AG66">
        <f t="shared" si="227"/>
        <v>0.10790348546083696</v>
      </c>
      <c r="AH66">
        <f>'Cibles THREEME AMS'!$DK$14/AH10</f>
        <v>0.10911839886177706</v>
      </c>
      <c r="AI66">
        <f t="shared" ref="AI66:AL66" si="228">AH66+($AM66-$AH66)/5</f>
        <v>0.11019816660324003</v>
      </c>
      <c r="AJ66">
        <f t="shared" si="228"/>
        <v>0.111277934344703</v>
      </c>
      <c r="AK66">
        <f t="shared" si="228"/>
        <v>0.11235770208616597</v>
      </c>
      <c r="AL66">
        <f t="shared" si="228"/>
        <v>0.11343746982762894</v>
      </c>
      <c r="AM66">
        <f>'Cibles THREEME AMS'!$DL$14/AM10</f>
        <v>0.11451723756909193</v>
      </c>
    </row>
    <row r="67" spans="2:39" x14ac:dyDescent="0.25">
      <c r="B67" s="589" t="s">
        <v>18</v>
      </c>
      <c r="C67">
        <f t="shared" si="200"/>
        <v>2307</v>
      </c>
      <c r="D67" s="595">
        <f>'Cibles THREEME AMS'!$DA15*11.64/D11</f>
        <v>7.9921040170571458E-2</v>
      </c>
      <c r="E67">
        <f t="shared" ref="E67:H67" si="229">D67+($I67-$D67)/5</f>
        <v>8.1345832152024941E-2</v>
      </c>
      <c r="F67">
        <f t="shared" si="229"/>
        <v>8.2770624133478424E-2</v>
      </c>
      <c r="G67">
        <f t="shared" si="229"/>
        <v>8.4195416114931906E-2</v>
      </c>
      <c r="H67">
        <f t="shared" si="229"/>
        <v>8.5620208096385389E-2</v>
      </c>
      <c r="I67">
        <f>'Cibles THREEME AMS'!$DB$15/I11</f>
        <v>8.7045000077838844E-2</v>
      </c>
      <c r="J67">
        <f t="shared" ref="J67:K67" si="230">I67+($L67-$I67)/3</f>
        <v>8.7598973322461471E-2</v>
      </c>
      <c r="K67">
        <f t="shared" si="230"/>
        <v>8.8152946567084098E-2</v>
      </c>
      <c r="L67">
        <f>'Cibles THREEME AMS'!$DC$15/L11</f>
        <v>8.8706919811706725E-2</v>
      </c>
      <c r="M67">
        <f t="shared" si="177"/>
        <v>9.2629958868100146E-2</v>
      </c>
      <c r="N67">
        <f>'Cibles THREEME AMS'!$DD$15/N11</f>
        <v>9.6552997924493567E-2</v>
      </c>
      <c r="O67">
        <f t="shared" ref="O67:P67" si="231">N67+($Q67-$N67)/3</f>
        <v>9.692428167415422E-2</v>
      </c>
      <c r="P67">
        <f t="shared" si="231"/>
        <v>9.7295565423814873E-2</v>
      </c>
      <c r="Q67">
        <f>'Cibles THREEME AMS'!$DE$15/Q11</f>
        <v>9.7666849173475512E-2</v>
      </c>
      <c r="R67">
        <f t="shared" si="179"/>
        <v>9.8136412913928522E-2</v>
      </c>
      <c r="S67">
        <f>'Cibles THREEME AMS'!$DF$15/S11</f>
        <v>9.8605976654381519E-2</v>
      </c>
      <c r="T67">
        <f t="shared" ref="T67:U67" si="232">S67+($V67-$S67)/3</f>
        <v>9.9095238846750353E-2</v>
      </c>
      <c r="U67">
        <f t="shared" si="232"/>
        <v>9.9584501039119186E-2</v>
      </c>
      <c r="V67">
        <f>'Cibles THREEME AMS'!$DG$15/V11</f>
        <v>0.10007376323148803</v>
      </c>
      <c r="W67">
        <f t="shared" si="181"/>
        <v>0.10049990264601</v>
      </c>
      <c r="X67">
        <f>'Cibles THREEME AMS'!$DH$15/X11</f>
        <v>0.10092604206053196</v>
      </c>
      <c r="Y67">
        <f t="shared" ref="Y67:Z67" si="233">X67+($AA67-$X67)/3</f>
        <v>0.10136024111382186</v>
      </c>
      <c r="Z67">
        <f t="shared" si="233"/>
        <v>0.10179444016711175</v>
      </c>
      <c r="AA67">
        <f>'Cibles THREEME AMS'!$DI$15/AA11</f>
        <v>0.10222863922040165</v>
      </c>
      <c r="AB67">
        <f t="shared" si="183"/>
        <v>0.10263623553873913</v>
      </c>
      <c r="AC67">
        <f>'Cibles THREEME AMS'!$DJ$15/AC11</f>
        <v>0.10304383185707659</v>
      </c>
      <c r="AD67">
        <f t="shared" ref="AD67:AG67" si="234">AC67+($AH67-$AC67)/5</f>
        <v>0.10425874525801669</v>
      </c>
      <c r="AE67">
        <f t="shared" si="234"/>
        <v>0.10547365865895679</v>
      </c>
      <c r="AF67">
        <f t="shared" si="234"/>
        <v>0.10668857205989689</v>
      </c>
      <c r="AG67">
        <f t="shared" si="234"/>
        <v>0.10790348546083699</v>
      </c>
      <c r="AH67">
        <f>'Cibles THREEME AMS'!$DK$15/AH11</f>
        <v>0.10911839886177707</v>
      </c>
      <c r="AI67">
        <f t="shared" ref="AI67:AL67" si="235">AH67+($AM67-$AH67)/5</f>
        <v>0.11019816660324004</v>
      </c>
      <c r="AJ67">
        <f t="shared" si="235"/>
        <v>0.11127793434470301</v>
      </c>
      <c r="AK67">
        <f t="shared" si="235"/>
        <v>0.11235770208616598</v>
      </c>
      <c r="AL67">
        <f t="shared" si="235"/>
        <v>0.11343746982762895</v>
      </c>
      <c r="AM67">
        <f>'Cibles THREEME AMS'!$DL$15/AM11</f>
        <v>0.11451723756909192</v>
      </c>
    </row>
    <row r="68" spans="2:39" ht="15.75" thickBot="1" x14ac:dyDescent="0.3">
      <c r="B68" s="590" t="s">
        <v>476</v>
      </c>
      <c r="C68">
        <f t="shared" si="200"/>
        <v>2308</v>
      </c>
      <c r="D68" s="595">
        <f>'Cibles THREEME AMS'!$DA16*11.64/D12</f>
        <v>7.9921040170571445E-2</v>
      </c>
      <c r="E68">
        <f t="shared" ref="E68:H68" si="236">D68+($I68-$D68)/5</f>
        <v>8.1345832152024927E-2</v>
      </c>
      <c r="F68">
        <f t="shared" si="236"/>
        <v>8.277062413347841E-2</v>
      </c>
      <c r="G68">
        <f t="shared" si="236"/>
        <v>8.4195416114931892E-2</v>
      </c>
      <c r="H68">
        <f t="shared" si="236"/>
        <v>8.5620208096385375E-2</v>
      </c>
      <c r="I68">
        <f>'Cibles THREEME AMS'!$DB$16/I12</f>
        <v>8.7045000077838858E-2</v>
      </c>
      <c r="J68">
        <f t="shared" ref="J68:K68" si="237">I68+($L68-$I68)/3</f>
        <v>8.7598973322461471E-2</v>
      </c>
      <c r="K68">
        <f t="shared" si="237"/>
        <v>8.8152946567084084E-2</v>
      </c>
      <c r="L68">
        <f>'Cibles THREEME AMS'!$DC$16/L12</f>
        <v>8.8706919811706683E-2</v>
      </c>
      <c r="M68">
        <f t="shared" si="177"/>
        <v>9.2629958868100104E-2</v>
      </c>
      <c r="N68">
        <f>'Cibles THREEME AMS'!$DD$16/N12</f>
        <v>9.6552997924493539E-2</v>
      </c>
      <c r="O68">
        <f t="shared" ref="O68:P68" si="238">N68+($Q68-$N68)/3</f>
        <v>9.6924281674154192E-2</v>
      </c>
      <c r="P68">
        <f t="shared" si="238"/>
        <v>9.7295565423814845E-2</v>
      </c>
      <c r="Q68">
        <f>'Cibles THREEME AMS'!$DE$16/Q12</f>
        <v>9.7666849173475498E-2</v>
      </c>
      <c r="R68">
        <f t="shared" si="179"/>
        <v>9.8136412913928495E-2</v>
      </c>
      <c r="S68">
        <f>'Cibles THREEME AMS'!$DF$16/S12</f>
        <v>9.8605976654381491E-2</v>
      </c>
      <c r="T68">
        <f t="shared" ref="T68:U68" si="239">S68+($V68-$S68)/3</f>
        <v>9.9095238846750325E-2</v>
      </c>
      <c r="U68">
        <f t="shared" si="239"/>
        <v>9.9584501039119158E-2</v>
      </c>
      <c r="V68">
        <f>'Cibles THREEME AMS'!$DG$16/V12</f>
        <v>0.10007376323148801</v>
      </c>
      <c r="W68">
        <f t="shared" si="181"/>
        <v>0.10049990264601</v>
      </c>
      <c r="X68">
        <f>'Cibles THREEME AMS'!$DH$16/X12</f>
        <v>0.10092604206053199</v>
      </c>
      <c r="Y68">
        <f t="shared" ref="Y68:Z68" si="240">X68+($AA68-$X68)/3</f>
        <v>0.10136024111382187</v>
      </c>
      <c r="Z68">
        <f t="shared" si="240"/>
        <v>0.10179444016711175</v>
      </c>
      <c r="AA68">
        <f>'Cibles THREEME AMS'!$DI$16/AA12</f>
        <v>0.10222863922040162</v>
      </c>
      <c r="AB68">
        <f t="shared" si="183"/>
        <v>0.1026362355387391</v>
      </c>
      <c r="AC68">
        <f>'Cibles THREEME AMS'!$DJ$16/AC12</f>
        <v>0.10304383185707659</v>
      </c>
      <c r="AD68">
        <f t="shared" ref="AD68:AG68" si="241">AC68+($AH68-$AC68)/5</f>
        <v>0.10425874525801669</v>
      </c>
      <c r="AE68">
        <f t="shared" si="241"/>
        <v>0.10547365865895679</v>
      </c>
      <c r="AF68">
        <f t="shared" si="241"/>
        <v>0.10668857205989689</v>
      </c>
      <c r="AG68">
        <f t="shared" si="241"/>
        <v>0.10790348546083699</v>
      </c>
      <c r="AH68">
        <f>'Cibles THREEME AMS'!$DK$16/AH12</f>
        <v>0.10911839886177706</v>
      </c>
      <c r="AI68">
        <f t="shared" ref="AI68:AL68" si="242">AH68+($AM68-$AH68)/5</f>
        <v>0.11019816660324003</v>
      </c>
      <c r="AJ68">
        <f t="shared" si="242"/>
        <v>0.111277934344703</v>
      </c>
      <c r="AK68">
        <f t="shared" si="242"/>
        <v>0.11235770208616597</v>
      </c>
      <c r="AL68">
        <f t="shared" si="242"/>
        <v>0.11343746982762894</v>
      </c>
      <c r="AM68">
        <f>'Cibles THREEME AMS'!$DL$16/AM12</f>
        <v>0.11451723756909193</v>
      </c>
    </row>
    <row r="69" spans="2:39" x14ac:dyDescent="0.25">
      <c r="B69" s="588" t="s">
        <v>287</v>
      </c>
      <c r="C69">
        <v>2401</v>
      </c>
      <c r="D69" s="595">
        <f>'Cibles THREEME AMS'!$DA17*11.64/D13</f>
        <v>1.9467833156530601E-2</v>
      </c>
      <c r="E69">
        <f t="shared" ref="E69:H69" si="243">D69+($I69-$D69)/5</f>
        <v>1.8791217127203438E-2</v>
      </c>
      <c r="F69">
        <f t="shared" si="243"/>
        <v>1.8114601097876274E-2</v>
      </c>
      <c r="G69">
        <f t="shared" si="243"/>
        <v>1.743798506854911E-2</v>
      </c>
      <c r="H69">
        <f t="shared" si="243"/>
        <v>1.6761369039221947E-2</v>
      </c>
      <c r="I69" s="404">
        <f>'Cibles THREEME AMS'!$DB$17/I13</f>
        <v>1.608475300989478E-2</v>
      </c>
      <c r="J69">
        <f t="shared" ref="J69:K69" si="244">I69+($L69-$I69)/3</f>
        <v>1.6688742758372701E-2</v>
      </c>
      <c r="K69">
        <f t="shared" si="244"/>
        <v>1.7292732506850622E-2</v>
      </c>
      <c r="L69" s="404">
        <f>'Cibles THREEME AMS'!$DC$17/L13</f>
        <v>1.7896722255328543E-2</v>
      </c>
      <c r="M69">
        <f t="shared" si="177"/>
        <v>1.8277163000402327E-2</v>
      </c>
      <c r="N69" s="404">
        <f>'Cibles THREEME AMS'!$DD$17/N13</f>
        <v>1.865760374547611E-2</v>
      </c>
      <c r="O69">
        <f t="shared" ref="O69:P69" si="245">N69+($Q69-$N69)/3</f>
        <v>1.9050835196147635E-2</v>
      </c>
      <c r="P69">
        <f t="shared" si="245"/>
        <v>1.944406664681916E-2</v>
      </c>
      <c r="Q69" s="404">
        <f>'Cibles THREEME AMS'!$DE$17/Q13</f>
        <v>1.9837298097490685E-2</v>
      </c>
      <c r="R69">
        <f t="shared" si="179"/>
        <v>2.0110886076805834E-2</v>
      </c>
      <c r="S69" s="404">
        <f>'Cibles THREEME AMS'!$DF$17/S13</f>
        <v>2.0384474056120979E-2</v>
      </c>
      <c r="T69">
        <f t="shared" ref="T69:U69" si="246">S69+($V69-$S69)/3</f>
        <v>2.0714326715736864E-2</v>
      </c>
      <c r="U69">
        <f t="shared" si="246"/>
        <v>2.1044179375352749E-2</v>
      </c>
      <c r="V69" s="404">
        <f>'Cibles THREEME AMS'!$DG$17/V13</f>
        <v>2.137403203496863E-2</v>
      </c>
      <c r="W69">
        <f t="shared" si="181"/>
        <v>2.16536366515701E-2</v>
      </c>
      <c r="X69" s="404">
        <f>'Cibles THREEME AMS'!$DH$17/X13</f>
        <v>2.1933241268171567E-2</v>
      </c>
      <c r="Y69">
        <f t="shared" ref="Y69:Z69" si="247">X69+($AA69-$X69)/3</f>
        <v>2.1593302125670542E-2</v>
      </c>
      <c r="Z69">
        <f t="shared" si="247"/>
        <v>2.1253362983169516E-2</v>
      </c>
      <c r="AA69" s="404">
        <f>'Cibles THREEME AMS'!$DI$17/AA13</f>
        <v>2.091342384066849E-2</v>
      </c>
      <c r="AB69">
        <f t="shared" si="183"/>
        <v>2.0509497659481082E-2</v>
      </c>
      <c r="AC69" s="404">
        <f>'Cibles THREEME AMS'!$DJ$17/AC13</f>
        <v>2.0105571478293671E-2</v>
      </c>
      <c r="AD69">
        <f t="shared" ref="AD69:AG69" si="248">AC69+($AH69-$AC69)/5</f>
        <v>2.00663539398423E-2</v>
      </c>
      <c r="AE69">
        <f t="shared" si="248"/>
        <v>2.0027136401390928E-2</v>
      </c>
      <c r="AF69">
        <f t="shared" si="248"/>
        <v>1.9987918862939557E-2</v>
      </c>
      <c r="AG69">
        <f t="shared" si="248"/>
        <v>1.9948701324488186E-2</v>
      </c>
      <c r="AH69" s="404">
        <f>'Cibles THREEME AMS'!$DK$17/AH13</f>
        <v>1.9909483786036821E-2</v>
      </c>
      <c r="AI69">
        <f t="shared" ref="AI69:AL69" si="249">AH69+($AM69-$AH69)/5</f>
        <v>1.6801078914786723E-2</v>
      </c>
      <c r="AJ69">
        <f t="shared" si="249"/>
        <v>1.3692674043536622E-2</v>
      </c>
      <c r="AK69">
        <f t="shared" si="249"/>
        <v>1.0584269172286522E-2</v>
      </c>
      <c r="AL69">
        <f t="shared" si="249"/>
        <v>7.475864301036422E-3</v>
      </c>
      <c r="AM69" s="404">
        <f>'Cibles THREEME AMS'!$DL$17/AM13</f>
        <v>4.3674594297863209E-3</v>
      </c>
    </row>
    <row r="70" spans="2:39" x14ac:dyDescent="0.25">
      <c r="B70" s="589" t="s">
        <v>289</v>
      </c>
      <c r="C70">
        <v>2402</v>
      </c>
      <c r="D70" s="595">
        <f>'Cibles THREEME AMS'!$DA18*11.64/D14</f>
        <v>8.4468232694062482E-3</v>
      </c>
      <c r="E70">
        <f t="shared" ref="E70:H70" si="250">D70+($I70-$D70)/5</f>
        <v>8.0296105964337231E-3</v>
      </c>
      <c r="F70">
        <f t="shared" si="250"/>
        <v>7.6123979234611972E-3</v>
      </c>
      <c r="G70">
        <f t="shared" si="250"/>
        <v>7.1951852504886712E-3</v>
      </c>
      <c r="H70">
        <f t="shared" si="250"/>
        <v>6.7779725775161453E-3</v>
      </c>
      <c r="I70" s="404">
        <f>'Cibles THREEME AMS'!$DB$18/I14</f>
        <v>6.3607599045436202E-3</v>
      </c>
      <c r="J70">
        <f t="shared" ref="J70:K70" si="251">I70+($L70-$I70)/3</f>
        <v>7.4762812460454934E-3</v>
      </c>
      <c r="K70">
        <f t="shared" si="251"/>
        <v>8.5918025875473657E-3</v>
      </c>
      <c r="L70" s="404">
        <f>'Cibles THREEME AMS'!$DC$18/L14</f>
        <v>9.7073239290492389E-3</v>
      </c>
      <c r="M70">
        <f t="shared" si="177"/>
        <v>1.0444363692063321E-2</v>
      </c>
      <c r="N70" s="404">
        <f>'Cibles THREEME AMS'!$DD$18/N14</f>
        <v>1.1181403455077406E-2</v>
      </c>
      <c r="O70">
        <f t="shared" ref="O70:P70" si="252">N70+($Q70-$N70)/3</f>
        <v>1.1486031540341822E-2</v>
      </c>
      <c r="P70">
        <f t="shared" si="252"/>
        <v>1.1790659625606239E-2</v>
      </c>
      <c r="Q70" s="404">
        <f>'Cibles THREEME AMS'!$DE$18/Q14</f>
        <v>1.2095287710870657E-2</v>
      </c>
      <c r="R70">
        <f t="shared" si="179"/>
        <v>1.2633420816130139E-2</v>
      </c>
      <c r="S70" s="404">
        <f>'Cibles THREEME AMS'!$DF$18/S14</f>
        <v>1.3171553921389618E-2</v>
      </c>
      <c r="T70">
        <f t="shared" ref="T70:U70" si="253">S70+($V70-$S70)/3</f>
        <v>1.3441146543687813E-2</v>
      </c>
      <c r="U70">
        <f t="shared" si="253"/>
        <v>1.3710739165986007E-2</v>
      </c>
      <c r="V70" s="404">
        <f>'Cibles THREEME AMS'!$DG$18/V14</f>
        <v>1.3980331788284202E-2</v>
      </c>
      <c r="W70">
        <f t="shared" si="181"/>
        <v>1.4010019659256873E-2</v>
      </c>
      <c r="X70" s="404">
        <f>'Cibles THREEME AMS'!$DH$18/X14</f>
        <v>1.4039707530229543E-2</v>
      </c>
      <c r="Y70">
        <f t="shared" ref="Y70:Z70" si="254">X70+($AA70-$X70)/3</f>
        <v>1.4174038291279816E-2</v>
      </c>
      <c r="Z70">
        <f t="shared" si="254"/>
        <v>1.430836905233009E-2</v>
      </c>
      <c r="AA70" s="404">
        <f>'Cibles THREEME AMS'!$DI$18/AA14</f>
        <v>1.4442699813380365E-2</v>
      </c>
      <c r="AB70">
        <f t="shared" si="183"/>
        <v>1.4524652178771556E-2</v>
      </c>
      <c r="AC70" s="404">
        <f>'Cibles THREEME AMS'!$DJ$18/AC14</f>
        <v>1.4606604544162745E-2</v>
      </c>
      <c r="AD70">
        <f t="shared" ref="AD70:AG70" si="255">AC70+($AH70-$AC70)/5</f>
        <v>1.4651242050424588E-2</v>
      </c>
      <c r="AE70">
        <f t="shared" si="255"/>
        <v>1.4695879556686432E-2</v>
      </c>
      <c r="AF70">
        <f t="shared" si="255"/>
        <v>1.4740517062948275E-2</v>
      </c>
      <c r="AG70">
        <f t="shared" si="255"/>
        <v>1.4785154569210118E-2</v>
      </c>
      <c r="AH70" s="404">
        <f>'Cibles THREEME AMS'!$DK$18/AH14</f>
        <v>1.4829792075471958E-2</v>
      </c>
      <c r="AI70">
        <f t="shared" ref="AI70:AL70" si="256">AH70+($AM70-$AH70)/5</f>
        <v>1.4905978357427602E-2</v>
      </c>
      <c r="AJ70">
        <f t="shared" si="256"/>
        <v>1.4982164639383245E-2</v>
      </c>
      <c r="AK70">
        <f t="shared" si="256"/>
        <v>1.5058350921338889E-2</v>
      </c>
      <c r="AL70">
        <f t="shared" si="256"/>
        <v>1.5134537203294532E-2</v>
      </c>
      <c r="AM70" s="404">
        <f>'Cibles THREEME AMS'!$DL$18/AM14</f>
        <v>1.5210723485250179E-2</v>
      </c>
    </row>
    <row r="71" spans="2:39" x14ac:dyDescent="0.25">
      <c r="B71" s="589" t="s">
        <v>291</v>
      </c>
      <c r="C71">
        <v>2403</v>
      </c>
      <c r="D71" s="595">
        <f>('Cibles THREEME AMS'!$DA19+'Cibles THREEME AMS'!$DA20)*11.64/D15</f>
        <v>0.40271506230012583</v>
      </c>
      <c r="E71">
        <f t="shared" ref="E71:H71" si="257">D71+($I71-$D71)/5</f>
        <v>0.34032888196556033</v>
      </c>
      <c r="F71">
        <f t="shared" si="257"/>
        <v>0.27794270163099483</v>
      </c>
      <c r="G71">
        <f t="shared" si="257"/>
        <v>0.2155565212964293</v>
      </c>
      <c r="H71">
        <f t="shared" si="257"/>
        <v>0.15317034096186377</v>
      </c>
      <c r="I71" s="404">
        <f>('Cibles THREEME AMS'!$DB$19+'Cibles THREEME AMS'!$DB$19)/I15</f>
        <v>9.078416062729823E-2</v>
      </c>
      <c r="J71">
        <f t="shared" ref="J71:K71" si="258">I71+($L71-$I71)/3</f>
        <v>7.1342347930273026E-2</v>
      </c>
      <c r="K71">
        <f t="shared" si="258"/>
        <v>5.1900535233247821E-2</v>
      </c>
      <c r="L71" s="404">
        <f>('Cibles THREEME AMS'!$DC$19+'Cibles THREEME AMS'!$DC$19)/L15</f>
        <v>3.2458722536222624E-2</v>
      </c>
      <c r="M71">
        <f t="shared" si="177"/>
        <v>4.1914551630318229E-2</v>
      </c>
      <c r="N71" s="404">
        <f>('Cibles THREEME AMS'!$DD$19+'Cibles THREEME AMS'!$DD$19)/N15</f>
        <v>5.1370380724413835E-2</v>
      </c>
      <c r="O71">
        <f t="shared" ref="O71:P71" si="259">N71+($Q71-$N71)/3</f>
        <v>4.9041305504172128E-2</v>
      </c>
      <c r="P71">
        <f t="shared" si="259"/>
        <v>4.6712230283930421E-2</v>
      </c>
      <c r="Q71" s="404">
        <f>('Cibles THREEME AMS'!$DE$19+'Cibles THREEME AMS'!$DE$19)/Q15</f>
        <v>4.4383155063688708E-2</v>
      </c>
      <c r="R71">
        <f t="shared" si="179"/>
        <v>4.3149569705929321E-2</v>
      </c>
      <c r="S71" s="404">
        <f>('Cibles THREEME AMS'!$DF$19+'Cibles THREEME AMS'!$DF$19)/S15</f>
        <v>4.1915984348169934E-2</v>
      </c>
      <c r="T71">
        <f t="shared" ref="T71:U71" si="260">S71+($V71-$S71)/3</f>
        <v>4.1326065753112373E-2</v>
      </c>
      <c r="U71">
        <f t="shared" si="260"/>
        <v>4.0736147158054813E-2</v>
      </c>
      <c r="V71" s="404">
        <f>('Cibles THREEME AMS'!$DG$19+'Cibles THREEME AMS'!$DG$19)/V15</f>
        <v>4.0146228562997252E-2</v>
      </c>
      <c r="W71">
        <f t="shared" si="181"/>
        <v>3.9554625556994967E-2</v>
      </c>
      <c r="X71" s="404">
        <f>('Cibles THREEME AMS'!$DH$19+'Cibles THREEME AMS'!$DH$19)/X15</f>
        <v>3.8963022550992682E-2</v>
      </c>
      <c r="Y71">
        <f t="shared" ref="Y71:Z71" si="261">X71+($AA71-$X71)/3</f>
        <v>3.854817431061143E-2</v>
      </c>
      <c r="Z71">
        <f t="shared" si="261"/>
        <v>3.8133326070230178E-2</v>
      </c>
      <c r="AA71" s="404">
        <f>('Cibles THREEME AMS'!$DI$19+'Cibles THREEME AMS'!$DI$19)/AA15</f>
        <v>3.7718477829848926E-2</v>
      </c>
      <c r="AB71">
        <f t="shared" si="183"/>
        <v>3.7116251952321828E-2</v>
      </c>
      <c r="AC71" s="404">
        <f>('Cibles THREEME AMS'!$DJ$19+'Cibles THREEME AMS'!$DJ$19)/AC15</f>
        <v>3.6514026074794731E-2</v>
      </c>
      <c r="AD71">
        <f t="shared" ref="AD71:AG71" si="262">AC71+($AH71-$AC71)/5</f>
        <v>3.543459982535211E-2</v>
      </c>
      <c r="AE71">
        <f t="shared" si="262"/>
        <v>3.435517357590949E-2</v>
      </c>
      <c r="AF71">
        <f t="shared" si="262"/>
        <v>3.3275747326466869E-2</v>
      </c>
      <c r="AG71">
        <f t="shared" si="262"/>
        <v>3.2196321077024248E-2</v>
      </c>
      <c r="AH71" s="404">
        <f>('Cibles THREEME AMS'!$DK$19+'Cibles THREEME AMS'!$DK$19)/AH15</f>
        <v>3.1116894827581624E-2</v>
      </c>
      <c r="AI71">
        <f t="shared" ref="AI71:AL71" si="263">AH71+($AM71-$AH71)/5</f>
        <v>3.0600065013112774E-2</v>
      </c>
      <c r="AJ71">
        <f t="shared" si="263"/>
        <v>3.0083235198643924E-2</v>
      </c>
      <c r="AK71">
        <f t="shared" si="263"/>
        <v>2.9566405384175074E-2</v>
      </c>
      <c r="AL71">
        <f t="shared" si="263"/>
        <v>2.9049575569706224E-2</v>
      </c>
      <c r="AM71" s="404">
        <f>('Cibles THREEME AMS'!$DL$19+'Cibles THREEME AMS'!$DL$19)/AM15</f>
        <v>2.8532745755237381E-2</v>
      </c>
    </row>
    <row r="72" spans="2:39" x14ac:dyDescent="0.25">
      <c r="B72" s="589" t="s">
        <v>293</v>
      </c>
      <c r="C72">
        <v>2404</v>
      </c>
      <c r="D72" s="595">
        <f>'Cibles THREEME AMS'!$DA21*11.64/D16</f>
        <v>0.25940455714325639</v>
      </c>
      <c r="E72">
        <f t="shared" ref="E72:H72" si="264">D72+($I72-$D72)/5</f>
        <v>0.22364382264957722</v>
      </c>
      <c r="F72">
        <f t="shared" si="264"/>
        <v>0.18788308815589805</v>
      </c>
      <c r="G72">
        <f t="shared" si="264"/>
        <v>0.15212235366221888</v>
      </c>
      <c r="H72">
        <f t="shared" si="264"/>
        <v>0.11636161916853971</v>
      </c>
      <c r="I72">
        <f>'Cibles THREEME AMS'!$DB$21/I16</f>
        <v>8.060088467486054E-2</v>
      </c>
      <c r="J72">
        <f t="shared" ref="J72:K72" si="265">I72+($L72-$I72)/3</f>
        <v>7.9407603333981364E-2</v>
      </c>
      <c r="K72">
        <f t="shared" si="265"/>
        <v>7.8214321993102187E-2</v>
      </c>
      <c r="L72">
        <f>'Cibles THREEME AMS'!$DC$21/L16</f>
        <v>7.7021040652222997E-2</v>
      </c>
      <c r="M72">
        <f t="shared" si="177"/>
        <v>6.4199221611965382E-2</v>
      </c>
      <c r="N72">
        <f>'Cibles THREEME AMS'!$DD$21/N16</f>
        <v>5.1377402571707774E-2</v>
      </c>
      <c r="O72">
        <f t="shared" ref="O72:P72" si="266">N72+($Q72-$N72)/3</f>
        <v>5.0378967081095474E-2</v>
      </c>
      <c r="P72">
        <f t="shared" si="266"/>
        <v>4.9380531590483175E-2</v>
      </c>
      <c r="Q72">
        <f>'Cibles THREEME AMS'!$DE$21/Q16</f>
        <v>4.8382096099870882E-2</v>
      </c>
      <c r="R72">
        <f t="shared" si="179"/>
        <v>4.8741279871552759E-2</v>
      </c>
      <c r="S72">
        <f>'Cibles THREEME AMS'!$DF$21/S16</f>
        <v>4.9100463643234636E-2</v>
      </c>
      <c r="T72">
        <f t="shared" ref="T72:U72" si="267">S72+($V72-$S72)/3</f>
        <v>4.9653754474230531E-2</v>
      </c>
      <c r="U72">
        <f t="shared" si="267"/>
        <v>5.0207045305226426E-2</v>
      </c>
      <c r="V72">
        <f>'Cibles THREEME AMS'!$DG$21/V16</f>
        <v>5.0760336136222314E-2</v>
      </c>
      <c r="W72">
        <f t="shared" si="181"/>
        <v>5.1182027848991909E-2</v>
      </c>
      <c r="X72">
        <f>'Cibles THREEME AMS'!$DH$21/X16</f>
        <v>5.1603719561761505E-2</v>
      </c>
      <c r="Y72">
        <f t="shared" ref="Y72:Z72" si="268">X72+($AA72-$X72)/3</f>
        <v>5.106754029071979E-2</v>
      </c>
      <c r="Z72">
        <f t="shared" si="268"/>
        <v>5.0531361019678075E-2</v>
      </c>
      <c r="AA72">
        <f>'Cibles THREEME AMS'!$DI$21/AA16</f>
        <v>4.9995181748636361E-2</v>
      </c>
      <c r="AB72">
        <f t="shared" si="183"/>
        <v>4.9357097550243798E-2</v>
      </c>
      <c r="AC72">
        <f>'Cibles THREEME AMS'!$DJ$21/AC16</f>
        <v>4.8719013351851241E-2</v>
      </c>
      <c r="AD72">
        <f t="shared" ref="AD72:AG72" si="269">AC72+($AH72-$AC72)/5</f>
        <v>4.842824820799807E-2</v>
      </c>
      <c r="AE72">
        <f t="shared" si="269"/>
        <v>4.8137483064144899E-2</v>
      </c>
      <c r="AF72">
        <f t="shared" si="269"/>
        <v>4.7846717920291729E-2</v>
      </c>
      <c r="AG72">
        <f t="shared" si="269"/>
        <v>4.7555952776438558E-2</v>
      </c>
      <c r="AH72">
        <f>'Cibles THREEME AMS'!$DK$21/AH16</f>
        <v>4.726518763258538E-2</v>
      </c>
      <c r="AI72">
        <f t="shared" ref="AI72:AL72" si="270">AH72+($AM72-$AH72)/5</f>
        <v>4.7063955794632899E-2</v>
      </c>
      <c r="AJ72">
        <f t="shared" si="270"/>
        <v>4.6862723956680417E-2</v>
      </c>
      <c r="AK72">
        <f t="shared" si="270"/>
        <v>4.6661492118727936E-2</v>
      </c>
      <c r="AL72">
        <f t="shared" si="270"/>
        <v>4.6460260280775455E-2</v>
      </c>
      <c r="AM72">
        <f>'Cibles THREEME AMS'!$DL$21/AM16</f>
        <v>4.6259028442822966E-2</v>
      </c>
    </row>
    <row r="73" spans="2:39" x14ac:dyDescent="0.25">
      <c r="B73" s="589" t="s">
        <v>296</v>
      </c>
      <c r="C73">
        <v>2405</v>
      </c>
      <c r="D73" s="595">
        <f>'Cibles THREEME AMS'!$DA22*11.64/D17</f>
        <v>4.7605298881549088E-2</v>
      </c>
      <c r="E73">
        <f t="shared" ref="E73:H73" si="271">D73+($I73-$D73)/5</f>
        <v>5.0702992213659336E-2</v>
      </c>
      <c r="F73">
        <f t="shared" si="271"/>
        <v>5.3800685545769583E-2</v>
      </c>
      <c r="G73">
        <f t="shared" si="271"/>
        <v>5.6898378877879831E-2</v>
      </c>
      <c r="H73">
        <f t="shared" si="271"/>
        <v>5.9996072209990078E-2</v>
      </c>
      <c r="I73">
        <f>'Cibles THREEME AMS'!$DB$22/I17</f>
        <v>6.3093765542100319E-2</v>
      </c>
      <c r="J73">
        <f t="shared" ref="J73:K73" si="272">I73+($L73-$I73)/3</f>
        <v>5.9297870136454468E-2</v>
      </c>
      <c r="K73">
        <f t="shared" si="272"/>
        <v>5.5501974730808618E-2</v>
      </c>
      <c r="L73">
        <f>'Cibles THREEME AMS'!$DC$22/L17</f>
        <v>5.1706079325162774E-2</v>
      </c>
      <c r="M73">
        <f t="shared" si="177"/>
        <v>4.2468303668502225E-2</v>
      </c>
      <c r="N73">
        <f>'Cibles THREEME AMS'!$DD$22/N17</f>
        <v>3.3230528011841683E-2</v>
      </c>
      <c r="O73">
        <f t="shared" ref="O73:P73" si="273">N73+($Q73-$N73)/3</f>
        <v>3.2963889357255839E-2</v>
      </c>
      <c r="P73">
        <f t="shared" si="273"/>
        <v>3.2697250702669996E-2</v>
      </c>
      <c r="Q73">
        <f>'Cibles THREEME AMS'!$DE$22/Q17</f>
        <v>3.2430612048084152E-2</v>
      </c>
      <c r="R73">
        <f t="shared" si="179"/>
        <v>3.3240008963771259E-2</v>
      </c>
      <c r="S73">
        <f>'Cibles THREEME AMS'!$DF$22/S17</f>
        <v>3.4049405879458358E-2</v>
      </c>
      <c r="T73">
        <f t="shared" ref="T73:U73" si="274">S73+($V73-$S73)/3</f>
        <v>3.4086653640664474E-2</v>
      </c>
      <c r="U73">
        <f t="shared" si="274"/>
        <v>3.4123901401870591E-2</v>
      </c>
      <c r="V73">
        <f>'Cibles THREEME AMS'!$DG$22/V17</f>
        <v>3.4161149163076714E-2</v>
      </c>
      <c r="W73">
        <f t="shared" si="181"/>
        <v>3.4229983334550802E-2</v>
      </c>
      <c r="X73">
        <f>'Cibles THREEME AMS'!$DH$22/X17</f>
        <v>3.4298817506024891E-2</v>
      </c>
      <c r="Y73">
        <f t="shared" ref="Y73:Z73" si="275">X73+($AA73-$X73)/3</f>
        <v>3.3600919907395624E-2</v>
      </c>
      <c r="Z73">
        <f t="shared" si="275"/>
        <v>3.2903022308766357E-2</v>
      </c>
      <c r="AA73">
        <f>'Cibles THREEME AMS'!$DI$22/AA17</f>
        <v>3.2205124710137097E-2</v>
      </c>
      <c r="AB73">
        <f t="shared" si="183"/>
        <v>3.1822821173017171E-2</v>
      </c>
      <c r="AC73">
        <f>'Cibles THREEME AMS'!$DJ$22/AC17</f>
        <v>3.1440517635897246E-2</v>
      </c>
      <c r="AD73">
        <f t="shared" ref="AD73:AG73" si="276">AC73+($AH73-$AC73)/5</f>
        <v>3.00045597995513E-2</v>
      </c>
      <c r="AE73">
        <f t="shared" si="276"/>
        <v>2.8568601963205355E-2</v>
      </c>
      <c r="AF73">
        <f t="shared" si="276"/>
        <v>2.7132644126859409E-2</v>
      </c>
      <c r="AG73">
        <f t="shared" si="276"/>
        <v>2.5696686290513464E-2</v>
      </c>
      <c r="AH73">
        <f>'Cibles THREEME AMS'!$DK$22/AH17</f>
        <v>2.4260728454167518E-2</v>
      </c>
      <c r="AI73">
        <f t="shared" ref="AI73:AL73" si="277">AH73+($AM73-$AH73)/5</f>
        <v>2.388942686344999E-2</v>
      </c>
      <c r="AJ73">
        <f t="shared" si="277"/>
        <v>2.3518125272732462E-2</v>
      </c>
      <c r="AK73">
        <f t="shared" si="277"/>
        <v>2.3146823682014935E-2</v>
      </c>
      <c r="AL73">
        <f t="shared" si="277"/>
        <v>2.2775522091297407E-2</v>
      </c>
      <c r="AM73">
        <f>'Cibles THREEME AMS'!$DL$22/AM17</f>
        <v>2.2404220500579879E-2</v>
      </c>
    </row>
    <row r="74" spans="2:39" x14ac:dyDescent="0.25">
      <c r="B74" s="203" t="s">
        <v>613</v>
      </c>
      <c r="C74">
        <v>2406</v>
      </c>
      <c r="D74" s="595">
        <f>SUM('Cibles THREEME AMS'!$DA23:$DA24)*11.64/D18</f>
        <v>9.5913900917253214E-2</v>
      </c>
      <c r="E74">
        <f t="shared" ref="E74:H75" si="278">D74+($I74-$D74)/5</f>
        <v>7.6731120733802574E-2</v>
      </c>
      <c r="F74">
        <f t="shared" si="278"/>
        <v>5.7548340550351934E-2</v>
      </c>
      <c r="G74">
        <f t="shared" si="278"/>
        <v>3.8365560366901294E-2</v>
      </c>
      <c r="H74">
        <f t="shared" si="278"/>
        <v>1.918278018345065E-2</v>
      </c>
      <c r="I74">
        <f>SUM('Cibles THREEME AMS'!$DB$23:$DB$24)/I18</f>
        <v>0</v>
      </c>
      <c r="J74">
        <f t="shared" ref="J74:K75" si="279">I74+($L74-$I74)/3</f>
        <v>0</v>
      </c>
      <c r="K74">
        <f t="shared" si="279"/>
        <v>0</v>
      </c>
      <c r="L74">
        <f>SUM('Cibles THREEME AMS'!$DC$23:$DC$24)/L18</f>
        <v>0</v>
      </c>
      <c r="M74">
        <f t="shared" si="177"/>
        <v>1.194579950991577E-3</v>
      </c>
      <c r="N74">
        <f>SUM('Cibles THREEME AMS'!$DD$23:$DD$24)/N18</f>
        <v>2.389159901983154E-3</v>
      </c>
      <c r="O74">
        <f t="shared" ref="O74:P75" si="280">N74+($Q74-$N74)/3</f>
        <v>2.4494119027063809E-3</v>
      </c>
      <c r="P74">
        <f t="shared" si="280"/>
        <v>2.5096639034296077E-3</v>
      </c>
      <c r="Q74">
        <f>SUM('Cibles THREEME AMS'!$DE$23:$DE$24)/Q18</f>
        <v>2.5699159041528345E-3</v>
      </c>
      <c r="R74">
        <f t="shared" si="179"/>
        <v>2.7873376439658823E-3</v>
      </c>
      <c r="S74">
        <f>SUM('Cibles THREEME AMS'!$DF$23:$DF$24)/S18</f>
        <v>3.0047593837789302E-3</v>
      </c>
      <c r="T74">
        <f t="shared" ref="T74:U74" si="281">S74+($V74-$S74)/3</f>
        <v>3.6284333142281478E-3</v>
      </c>
      <c r="U74">
        <f t="shared" si="281"/>
        <v>4.2521072446773649E-3</v>
      </c>
      <c r="V74">
        <f>SUM('Cibles THREEME AMS'!$DG$23:$DG$24)/V18</f>
        <v>4.8757811751265825E-3</v>
      </c>
      <c r="W74">
        <f t="shared" si="181"/>
        <v>5.3972697884625024E-3</v>
      </c>
      <c r="X74">
        <f>SUM('Cibles THREEME AMS'!$DH$23:$DH$24)/X18</f>
        <v>5.9187584017984223E-3</v>
      </c>
      <c r="Y74">
        <f t="shared" ref="Y74:Z75" si="282">X74+($AA74-$X74)/3</f>
        <v>6.07619451313063E-3</v>
      </c>
      <c r="Z74">
        <f t="shared" si="282"/>
        <v>6.2336306244628378E-3</v>
      </c>
      <c r="AA74">
        <f>SUM('Cibles THREEME AMS'!$DI$23:$DI$24)/AA18</f>
        <v>6.3910667357950464E-3</v>
      </c>
      <c r="AB74">
        <f t="shared" si="183"/>
        <v>6.5538159773306012E-3</v>
      </c>
      <c r="AC74">
        <f>SUM('Cibles THREEME AMS'!$DJ$23:$DJ$24)/AC18</f>
        <v>6.7165652188661551E-3</v>
      </c>
      <c r="AD74">
        <f t="shared" ref="AD74:AG75" si="283">AC74+($AH74-$AC74)/5</f>
        <v>6.9251965309414217E-3</v>
      </c>
      <c r="AE74">
        <f t="shared" si="283"/>
        <v>7.1338278430166883E-3</v>
      </c>
      <c r="AF74">
        <f t="shared" si="283"/>
        <v>7.3424591550919549E-3</v>
      </c>
      <c r="AG74">
        <f t="shared" si="283"/>
        <v>7.5510904671672215E-3</v>
      </c>
      <c r="AH74">
        <f>SUM('Cibles THREEME AMS'!$DK$23:$DK$24)/AH18</f>
        <v>7.7597217792424863E-3</v>
      </c>
      <c r="AI74">
        <f t="shared" ref="AI74:AL75" si="284">AH74+($AM74-$AH74)/5</f>
        <v>7.8834434453900239E-3</v>
      </c>
      <c r="AJ74">
        <f t="shared" si="284"/>
        <v>8.0071651115375606E-3</v>
      </c>
      <c r="AK74">
        <f t="shared" si="284"/>
        <v>8.1308867776850972E-3</v>
      </c>
      <c r="AL74">
        <f t="shared" si="284"/>
        <v>8.2546084438326339E-3</v>
      </c>
      <c r="AM74">
        <f>SUM('Cibles THREEME AMS'!$DL$23:$DL$24)/AM18</f>
        <v>8.3783301099801741E-3</v>
      </c>
    </row>
    <row r="75" spans="2:39" x14ac:dyDescent="0.25">
      <c r="B75" s="589" t="s">
        <v>42</v>
      </c>
      <c r="C75">
        <v>21</v>
      </c>
      <c r="D75">
        <f>'Cibles THREEME AMS'!$CK$25</f>
        <v>7.0375367088026655E-3</v>
      </c>
      <c r="E75">
        <f t="shared" si="278"/>
        <v>6.2766918656268402E-3</v>
      </c>
      <c r="F75">
        <f t="shared" si="278"/>
        <v>5.5158470224510149E-3</v>
      </c>
      <c r="G75">
        <f t="shared" si="278"/>
        <v>4.7550021792751897E-3</v>
      </c>
      <c r="H75">
        <f t="shared" si="278"/>
        <v>3.9941573360993644E-3</v>
      </c>
      <c r="I75">
        <f>'Cibles THREEME AMS'!$CL$25</f>
        <v>3.2333124929235383E-3</v>
      </c>
      <c r="J75">
        <f t="shared" si="279"/>
        <v>2.8108088088901959E-3</v>
      </c>
      <c r="K75">
        <f t="shared" si="279"/>
        <v>2.3883051248568534E-3</v>
      </c>
      <c r="L75" s="596">
        <f>'Cibles THREEME AMS'!$CM$25</f>
        <v>1.965801440823511E-3</v>
      </c>
      <c r="M75">
        <f t="shared" si="177"/>
        <v>1.2105013693888725E-3</v>
      </c>
      <c r="N75">
        <f>'Cibles THREEME AMS'!$CN$25</f>
        <v>4.5520129795423395E-4</v>
      </c>
      <c r="O75">
        <f t="shared" si="280"/>
        <v>4.0162289011457273E-4</v>
      </c>
      <c r="P75">
        <f t="shared" si="280"/>
        <v>3.4804448227491151E-4</v>
      </c>
      <c r="Q75">
        <f>'Cibles THREEME AMS'!$CO$25</f>
        <v>2.9446607443525024E-4</v>
      </c>
      <c r="R75">
        <f t="shared" si="179"/>
        <v>1.4723303721762512E-4</v>
      </c>
      <c r="S75">
        <f>'Cibles THREEME AMS'!$CP$25</f>
        <v>0</v>
      </c>
      <c r="T75">
        <f t="shared" ref="T75:U75" si="285">S75+($V75-$S75)/3</f>
        <v>0</v>
      </c>
      <c r="U75">
        <f t="shared" si="285"/>
        <v>0</v>
      </c>
      <c r="V75">
        <f>'Cibles THREEME AMS'!$CQ$25</f>
        <v>0</v>
      </c>
      <c r="W75">
        <f t="shared" si="181"/>
        <v>0</v>
      </c>
      <c r="X75">
        <f>'Cibles THREEME AMS'!$CR$25</f>
        <v>0</v>
      </c>
      <c r="Y75">
        <f t="shared" si="282"/>
        <v>0</v>
      </c>
      <c r="Z75">
        <f t="shared" si="282"/>
        <v>0</v>
      </c>
      <c r="AA75">
        <f>'Cibles THREEME AMS'!$CS$25</f>
        <v>0</v>
      </c>
      <c r="AB75">
        <f t="shared" si="183"/>
        <v>0</v>
      </c>
      <c r="AC75">
        <f>'Cibles THREEME AMS'!$CT$25</f>
        <v>0</v>
      </c>
      <c r="AD75">
        <f t="shared" si="283"/>
        <v>0</v>
      </c>
      <c r="AE75">
        <f t="shared" si="283"/>
        <v>0</v>
      </c>
      <c r="AF75">
        <f t="shared" si="283"/>
        <v>0</v>
      </c>
      <c r="AG75">
        <f t="shared" si="283"/>
        <v>0</v>
      </c>
      <c r="AH75">
        <f>'Cibles THREEME AMS'!$CU$25</f>
        <v>0</v>
      </c>
      <c r="AI75">
        <f t="shared" si="284"/>
        <v>0</v>
      </c>
      <c r="AJ75">
        <f t="shared" si="284"/>
        <v>0</v>
      </c>
      <c r="AK75">
        <f t="shared" si="284"/>
        <v>0</v>
      </c>
      <c r="AL75">
        <f t="shared" si="284"/>
        <v>0</v>
      </c>
      <c r="AM75">
        <f>'Cibles THREEME AMS'!$CV$25</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8ACA3-449E-435A-81A6-B0D48A59061C}">
  <dimension ref="A2:AM75"/>
  <sheetViews>
    <sheetView workbookViewId="0">
      <pane xSplit="2" topLeftCell="W1" activePane="topRight" state="frozen"/>
      <selection pane="topRight" activeCell="A26" sqref="A26:XFD26"/>
    </sheetView>
  </sheetViews>
  <sheetFormatPr baseColWidth="10" defaultRowHeight="15" x14ac:dyDescent="0.25"/>
  <cols>
    <col min="1" max="1" width="21.140625" customWidth="1"/>
    <col min="2" max="2" width="39" customWidth="1"/>
    <col min="3" max="3" width="6.7109375" customWidth="1"/>
    <col min="4" max="11" width="12.42578125" customWidth="1"/>
    <col min="12" max="14" width="11.42578125" customWidth="1"/>
    <col min="15" max="16" width="12.42578125" customWidth="1"/>
    <col min="17" max="18" width="11.42578125" customWidth="1"/>
    <col min="20" max="21" width="12.42578125" customWidth="1"/>
    <col min="22" max="24" width="11.42578125" customWidth="1"/>
    <col min="25" max="26" width="12.42578125" customWidth="1"/>
    <col min="27" max="28" width="11.42578125" customWidth="1"/>
    <col min="30" max="38" width="11.42578125" customWidth="1"/>
  </cols>
  <sheetData>
    <row r="2" spans="1:39" ht="15.75" thickBot="1" x14ac:dyDescent="0.3">
      <c r="D2" s="557">
        <v>2015</v>
      </c>
      <c r="E2" s="557">
        <v>2016</v>
      </c>
      <c r="F2" s="557">
        <v>2017</v>
      </c>
      <c r="G2" s="557">
        <v>2018</v>
      </c>
      <c r="H2" s="557">
        <v>2019</v>
      </c>
      <c r="I2" s="557">
        <v>2020</v>
      </c>
      <c r="J2" s="557">
        <v>2021</v>
      </c>
      <c r="K2" s="557">
        <v>2022</v>
      </c>
      <c r="L2" s="557">
        <v>2023</v>
      </c>
      <c r="M2" s="557">
        <v>2024</v>
      </c>
      <c r="N2" s="557">
        <v>2025</v>
      </c>
      <c r="O2" s="557">
        <v>2026</v>
      </c>
      <c r="P2" s="557">
        <v>2027</v>
      </c>
      <c r="Q2" s="557">
        <v>2028</v>
      </c>
      <c r="R2" s="557">
        <v>2029</v>
      </c>
      <c r="S2" s="557">
        <v>2030</v>
      </c>
      <c r="T2" s="557">
        <v>2031</v>
      </c>
      <c r="U2" s="557">
        <v>2032</v>
      </c>
      <c r="V2" s="557">
        <v>2033</v>
      </c>
      <c r="W2" s="557">
        <v>2034</v>
      </c>
      <c r="X2" s="557">
        <v>2035</v>
      </c>
      <c r="Y2" s="557">
        <v>2036</v>
      </c>
      <c r="Z2" s="557">
        <v>2037</v>
      </c>
      <c r="AA2" s="557">
        <v>2038</v>
      </c>
      <c r="AB2" s="557">
        <v>2039</v>
      </c>
      <c r="AC2" s="557">
        <v>2040</v>
      </c>
      <c r="AD2" s="557">
        <v>2041</v>
      </c>
      <c r="AE2" s="557">
        <v>2042</v>
      </c>
      <c r="AF2" s="557">
        <v>2043</v>
      </c>
      <c r="AG2" s="557">
        <v>2044</v>
      </c>
      <c r="AH2" s="557">
        <v>2045</v>
      </c>
      <c r="AI2" s="557">
        <v>2046</v>
      </c>
      <c r="AJ2" s="557">
        <v>2047</v>
      </c>
      <c r="AK2" s="557">
        <v>2048</v>
      </c>
      <c r="AL2" s="557">
        <v>2049</v>
      </c>
      <c r="AM2" s="557">
        <v>2050</v>
      </c>
    </row>
    <row r="3" spans="1:39" x14ac:dyDescent="0.25">
      <c r="A3" s="591" t="s">
        <v>475</v>
      </c>
      <c r="B3" s="588" t="s">
        <v>266</v>
      </c>
      <c r="C3">
        <v>2201</v>
      </c>
      <c r="D3">
        <f>'Cibles ThreeME v2 '!D3</f>
        <v>783.25856651127401</v>
      </c>
      <c r="E3">
        <f>'Cibles ThreeME v2 '!E3</f>
        <v>759.29147710674863</v>
      </c>
      <c r="F3">
        <f>'Cibles ThreeME v2 '!F3</f>
        <v>735.32438770222325</v>
      </c>
      <c r="G3">
        <f>'Cibles ThreeME v2 '!G3</f>
        <v>711.35729829769787</v>
      </c>
      <c r="H3">
        <f>'Cibles ThreeME v2 '!H3</f>
        <v>687.39020889317248</v>
      </c>
      <c r="I3">
        <f>'Cibles ThreeME v2 '!I3</f>
        <v>663.42311948864688</v>
      </c>
      <c r="J3">
        <f>'Cibles ThreeME v2 '!J3</f>
        <v>672.73407743391556</v>
      </c>
      <c r="K3">
        <f>'Cibles ThreeME v2 '!K3</f>
        <v>682.04503537918424</v>
      </c>
      <c r="L3">
        <f>'Cibles THREEME AMS'!$AV4+'Cibles THREEME AMS'!$AV6</f>
        <v>691.35599332445304</v>
      </c>
      <c r="M3">
        <f>(L3+N3)/2</f>
        <v>667.37400398918237</v>
      </c>
      <c r="N3">
        <f>'Cibles THREEME AMS'!$AW4+'Cibles THREEME AMS'!$AW6</f>
        <v>643.3920146539117</v>
      </c>
      <c r="O3">
        <f>N3+(Q3-N3)/3</f>
        <v>614.06124971664747</v>
      </c>
      <c r="P3">
        <f>O3+(Q3-N3)/3</f>
        <v>584.73048477938323</v>
      </c>
      <c r="Q3">
        <f>'Cibles THREEME AMS'!$AX4+'Cibles THREEME AMS'!$AX6</f>
        <v>555.39971984211911</v>
      </c>
      <c r="R3">
        <f>(Q3+S3)/2</f>
        <v>527.3933499073753</v>
      </c>
      <c r="S3">
        <f>'Cibles THREEME AMS'!$AY4+'Cibles THREEME AMS'!$AY6</f>
        <v>499.38697997263137</v>
      </c>
      <c r="T3">
        <f>S3+(V3-S3)/3</f>
        <v>469.75917275197622</v>
      </c>
      <c r="U3">
        <f>T3+(V3-S3)/3</f>
        <v>440.13136553132108</v>
      </c>
      <c r="V3">
        <f>'Cibles THREEME AMS'!$AZ4+'Cibles THREEME AMS'!$AZ6</f>
        <v>410.50355831066599</v>
      </c>
      <c r="W3">
        <f>(V3+X3)/2</f>
        <v>381.56265309221925</v>
      </c>
      <c r="X3">
        <f>'Cibles THREEME AMS'!$BA4+'Cibles THREEME AMS'!$BA6</f>
        <v>352.62174787377251</v>
      </c>
      <c r="Y3">
        <f>X3+(AA3-X3)/3</f>
        <v>326.38922338766207</v>
      </c>
      <c r="Z3">
        <f>Y3+(AA3-X3)/3</f>
        <v>300.15669890155164</v>
      </c>
      <c r="AA3">
        <f>'Cibles THREEME AMS'!$BB4+'Cibles THREEME AMS'!$BB6</f>
        <v>273.92417441544114</v>
      </c>
      <c r="AB3">
        <f>(AA3+AC3)/2</f>
        <v>247.9581125287018</v>
      </c>
      <c r="AC3">
        <f>'Cibles THREEME AMS'!$BC4+'Cibles THREEME AMS'!$BC6</f>
        <v>221.99205064196246</v>
      </c>
      <c r="AD3">
        <f>AC3+(AH3-AC3)/5</f>
        <v>203.68539247325594</v>
      </c>
      <c r="AE3">
        <f>AD3+(AH3-AC3)/5</f>
        <v>185.37873430454943</v>
      </c>
      <c r="AF3">
        <f>AE3+(AH3-AC3)/5</f>
        <v>167.07207613584291</v>
      </c>
      <c r="AG3">
        <f>AF3+(AH3-AC3)/5</f>
        <v>148.76541796713639</v>
      </c>
      <c r="AH3">
        <f>'Cibles THREEME AMS'!$BD4+'Cibles THREEME AMS'!$BD6</f>
        <v>130.45875979842981</v>
      </c>
      <c r="AI3">
        <f>AH3+(AM3-AH3)/5</f>
        <v>123.16988358704623</v>
      </c>
      <c r="AJ3">
        <f>AI3+(AM3-AH3)/5</f>
        <v>115.88100737566265</v>
      </c>
      <c r="AK3">
        <f>AJ3+(AM3-AH3)/5</f>
        <v>108.59213116427907</v>
      </c>
      <c r="AL3">
        <f>AK3+(AM3-AH3)/5</f>
        <v>101.30325495289549</v>
      </c>
      <c r="AM3">
        <f>'Cibles THREEME AMS'!$BE4+'Cibles THREEME AMS'!$BE6</f>
        <v>94.014378741511905</v>
      </c>
    </row>
    <row r="4" spans="1:39" ht="15.75" thickBot="1" x14ac:dyDescent="0.3">
      <c r="A4" s="592"/>
      <c r="B4" s="590" t="s">
        <v>343</v>
      </c>
      <c r="C4">
        <v>2202</v>
      </c>
      <c r="D4">
        <f>'Cibles ThreeME v2 '!D4</f>
        <v>36.322327193928011</v>
      </c>
      <c r="E4">
        <f>'Cibles ThreeME v2 '!E4</f>
        <v>35.804147658651445</v>
      </c>
      <c r="F4">
        <f>'Cibles ThreeME v2 '!F4</f>
        <v>35.285968123374879</v>
      </c>
      <c r="G4">
        <f>'Cibles ThreeME v2 '!G4</f>
        <v>34.767788588098313</v>
      </c>
      <c r="H4">
        <f>'Cibles ThreeME v2 '!H4</f>
        <v>34.249609052821747</v>
      </c>
      <c r="I4">
        <f>'Cibles ThreeME v2 '!I4</f>
        <v>33.731429517545166</v>
      </c>
      <c r="J4">
        <f>'Cibles ThreeME v2 '!J4</f>
        <v>36.105376613050325</v>
      </c>
      <c r="K4">
        <f>'Cibles ThreeME v2 '!K4</f>
        <v>38.479323708555484</v>
      </c>
      <c r="L4">
        <f>'Cibles THREEME AMS'!$AV5+'Cibles THREEME AMS'!$AV7</f>
        <v>40.853270804060642</v>
      </c>
      <c r="M4">
        <f t="shared" ref="M4:M18" si="0">(L4+N4)/2</f>
        <v>40.663367370078205</v>
      </c>
      <c r="N4">
        <f>'Cibles THREEME AMS'!$AW5+'Cibles THREEME AMS'!$AW7</f>
        <v>40.473463936095762</v>
      </c>
      <c r="O4">
        <f t="shared" ref="O4:O18" si="1">N4+(Q4-N4)/3</f>
        <v>40.829618851042142</v>
      </c>
      <c r="P4">
        <f t="shared" ref="P4:P18" si="2">O4+(Q4-N4)/3</f>
        <v>41.185773765988522</v>
      </c>
      <c r="Q4">
        <f>'Cibles THREEME AMS'!$AX5+'Cibles THREEME AMS'!$AX7</f>
        <v>41.541928680934895</v>
      </c>
      <c r="R4">
        <f t="shared" ref="R4:R18" si="3">(Q4+S4)/2</f>
        <v>41.869508132282107</v>
      </c>
      <c r="S4">
        <f>'Cibles THREEME AMS'!$AY5+'Cibles THREEME AMS'!$AY7</f>
        <v>42.197087583629326</v>
      </c>
      <c r="T4">
        <f t="shared" ref="T4:T18" si="4">S4+(V4-S4)/3</f>
        <v>43.960990587523817</v>
      </c>
      <c r="U4">
        <f t="shared" ref="U4:U18" si="5">T4+(V4-S4)/3</f>
        <v>45.724893591418308</v>
      </c>
      <c r="V4">
        <f>'Cibles THREEME AMS'!$AZ5+'Cibles THREEME AMS'!$AZ7</f>
        <v>47.488796595312806</v>
      </c>
      <c r="W4">
        <f t="shared" ref="W4:W18" si="6">(V4+X4)/2</f>
        <v>49.147647556595345</v>
      </c>
      <c r="X4">
        <f>'Cibles THREEME AMS'!$BA5+'Cibles THREEME AMS'!$BA7</f>
        <v>50.806498517877884</v>
      </c>
      <c r="Y4">
        <f t="shared" ref="Y4:Y18" si="7">X4+(AA4-X4)/3</f>
        <v>50.892858448803764</v>
      </c>
      <c r="Z4">
        <f t="shared" ref="Z4:Z18" si="8">Y4+(AA4-X4)/3</f>
        <v>50.979218379729645</v>
      </c>
      <c r="AA4">
        <f>'Cibles THREEME AMS'!$BB5+'Cibles THREEME AMS'!$BB7</f>
        <v>51.065578310655518</v>
      </c>
      <c r="AB4">
        <f t="shared" ref="AB4:AB18" si="9">(AA4+AC4)/2</f>
        <v>50.984136641138804</v>
      </c>
      <c r="AC4">
        <f>'Cibles THREEME AMS'!$BC5+'Cibles THREEME AMS'!$BC7</f>
        <v>50.902694971622083</v>
      </c>
      <c r="AD4">
        <f t="shared" ref="AD4:AD18" si="10">AC4+(AH4-AC4)/5</f>
        <v>50.325925205547264</v>
      </c>
      <c r="AE4">
        <f t="shared" ref="AE4:AE18" si="11">AD4+(AH4-AC4)/5</f>
        <v>49.749155439472446</v>
      </c>
      <c r="AF4">
        <f t="shared" ref="AF4:AF18" si="12">AE4+(AH4-AC4)/5</f>
        <v>49.172385673397628</v>
      </c>
      <c r="AG4">
        <f t="shared" ref="AG4:AG18" si="13">AF4+(AH4-AC4)/5</f>
        <v>48.595615907322809</v>
      </c>
      <c r="AH4">
        <f>'Cibles THREEME AMS'!$BD5+'Cibles THREEME AMS'!$BD7</f>
        <v>48.018846141247977</v>
      </c>
      <c r="AI4">
        <f t="shared" ref="AI4:AI18" si="14">AH4+(AM4-AH4)/5</f>
        <v>46.354282348592442</v>
      </c>
      <c r="AJ4">
        <f t="shared" ref="AJ4:AJ18" si="15">AI4+(AM4-AH4)/5</f>
        <v>44.689718555936906</v>
      </c>
      <c r="AK4">
        <f t="shared" ref="AK4:AK18" si="16">AJ4+(AM4-AH4)/5</f>
        <v>43.025154763281371</v>
      </c>
      <c r="AL4">
        <f t="shared" ref="AL4:AL18" si="17">AK4+(AM4-AH4)/5</f>
        <v>41.360590970625836</v>
      </c>
      <c r="AM4">
        <f>'Cibles THREEME AMS'!$BE5+'Cibles THREEME AMS'!$BE7</f>
        <v>39.696027177970294</v>
      </c>
    </row>
    <row r="5" spans="1:39" x14ac:dyDescent="0.25">
      <c r="A5" s="591"/>
      <c r="B5" s="588" t="s">
        <v>20</v>
      </c>
      <c r="C5">
        <v>2301</v>
      </c>
      <c r="D5">
        <f>'Cibles ThreeME v2 '!D5</f>
        <v>344.00551986413979</v>
      </c>
      <c r="E5">
        <f>'Cibles ThreeME v2 '!E5</f>
        <v>331.37569948446134</v>
      </c>
      <c r="F5">
        <f>'Cibles ThreeME v2 '!F5</f>
        <v>318.74587910478289</v>
      </c>
      <c r="G5">
        <f>'Cibles ThreeME v2 '!G5</f>
        <v>306.11605872510444</v>
      </c>
      <c r="H5">
        <f>'Cibles ThreeME v2 '!H5</f>
        <v>293.48623834542599</v>
      </c>
      <c r="I5">
        <f>'Cibles ThreeME v2 '!I5</f>
        <v>280.85641796574743</v>
      </c>
      <c r="J5">
        <f>'Cibles ThreeME v2 '!J5</f>
        <v>276.4363866160175</v>
      </c>
      <c r="K5">
        <f>'Cibles ThreeME v2 '!K5</f>
        <v>272.01635526628758</v>
      </c>
      <c r="L5">
        <f>'Cibles THREEME AMS'!$AV9</f>
        <v>267.59632391655759</v>
      </c>
      <c r="M5">
        <f t="shared" si="0"/>
        <v>273.67279730466021</v>
      </c>
      <c r="N5">
        <f>'Cibles THREEME AMS'!$AW9</f>
        <v>279.74927069276276</v>
      </c>
      <c r="O5">
        <f t="shared" si="1"/>
        <v>281.32501500412502</v>
      </c>
      <c r="P5">
        <f t="shared" si="2"/>
        <v>282.90075931548728</v>
      </c>
      <c r="Q5">
        <f>'Cibles THREEME AMS'!$AX9</f>
        <v>284.47650362684959</v>
      </c>
      <c r="R5">
        <f t="shared" si="3"/>
        <v>287.97179133616191</v>
      </c>
      <c r="S5">
        <f>'Cibles THREEME AMS'!$AY9</f>
        <v>291.46707904547418</v>
      </c>
      <c r="T5">
        <f t="shared" si="4"/>
        <v>286.19595186687513</v>
      </c>
      <c r="U5">
        <f t="shared" si="5"/>
        <v>280.92482468827609</v>
      </c>
      <c r="V5">
        <f>'Cibles THREEME AMS'!$AZ9</f>
        <v>275.6536975096771</v>
      </c>
      <c r="W5">
        <f t="shared" si="6"/>
        <v>272.26417093232328</v>
      </c>
      <c r="X5">
        <f>'Cibles THREEME AMS'!$BA9</f>
        <v>268.87464435496946</v>
      </c>
      <c r="Y5">
        <f t="shared" si="7"/>
        <v>268.57420631361663</v>
      </c>
      <c r="Z5">
        <f t="shared" si="8"/>
        <v>268.27376827226379</v>
      </c>
      <c r="AA5">
        <f>'Cibles THREEME AMS'!$BB9</f>
        <v>267.9733302309109</v>
      </c>
      <c r="AB5">
        <f t="shared" si="9"/>
        <v>267.51418602902129</v>
      </c>
      <c r="AC5">
        <f>'Cibles THREEME AMS'!$BC9</f>
        <v>267.05504182713167</v>
      </c>
      <c r="AD5">
        <f t="shared" si="10"/>
        <v>259.58916810466076</v>
      </c>
      <c r="AE5">
        <f t="shared" si="11"/>
        <v>252.12329438218984</v>
      </c>
      <c r="AF5">
        <f t="shared" si="12"/>
        <v>244.65742065971892</v>
      </c>
      <c r="AG5">
        <f t="shared" si="13"/>
        <v>237.19154693724801</v>
      </c>
      <c r="AH5">
        <f>'Cibles THREEME AMS'!$BD9</f>
        <v>229.72567321477706</v>
      </c>
      <c r="AI5">
        <f t="shared" si="14"/>
        <v>219.84012671042191</v>
      </c>
      <c r="AJ5">
        <f t="shared" si="15"/>
        <v>209.95458020606677</v>
      </c>
      <c r="AK5">
        <f t="shared" si="16"/>
        <v>200.06903370171162</v>
      </c>
      <c r="AL5">
        <f t="shared" si="17"/>
        <v>190.18348719735647</v>
      </c>
      <c r="AM5">
        <f>'Cibles THREEME AMS'!$BE9</f>
        <v>180.29794069300132</v>
      </c>
    </row>
    <row r="6" spans="1:39" x14ac:dyDescent="0.25">
      <c r="A6" s="593"/>
      <c r="B6" s="589" t="s">
        <v>224</v>
      </c>
      <c r="C6">
        <f>C5+1</f>
        <v>2302</v>
      </c>
      <c r="D6">
        <f>'Cibles ThreeME v2 '!D6</f>
        <v>2.7160460114866836</v>
      </c>
      <c r="E6">
        <f>'Cibles ThreeME v2 '!E6</f>
        <v>2.4082247108095838</v>
      </c>
      <c r="F6">
        <f>'Cibles ThreeME v2 '!F6</f>
        <v>2.100403410132484</v>
      </c>
      <c r="G6">
        <f>'Cibles ThreeME v2 '!G6</f>
        <v>1.7925821094553842</v>
      </c>
      <c r="H6">
        <f>'Cibles ThreeME v2 '!H6</f>
        <v>1.4847608087782844</v>
      </c>
      <c r="I6">
        <f>'Cibles ThreeME v2 '!I6</f>
        <v>1.1769395081011844</v>
      </c>
      <c r="J6">
        <f>'Cibles ThreeME v2 '!J6</f>
        <v>1.6568887271483279</v>
      </c>
      <c r="K6">
        <f>'Cibles ThreeME v2 '!K6</f>
        <v>2.1368379461954716</v>
      </c>
      <c r="L6">
        <f>'Cibles THREEME AMS'!$AV10</f>
        <v>2.6167871652426151</v>
      </c>
      <c r="M6">
        <f t="shared" si="0"/>
        <v>2.0737316609439089</v>
      </c>
      <c r="N6">
        <f>'Cibles THREEME AMS'!$AW10</f>
        <v>1.5306761566452027</v>
      </c>
      <c r="O6">
        <f t="shared" si="1"/>
        <v>1.1973764277842043</v>
      </c>
      <c r="P6">
        <f t="shared" si="2"/>
        <v>0.86407669892320582</v>
      </c>
      <c r="Q6">
        <f>'Cibles THREEME AMS'!$AX10</f>
        <v>0.53077697006220725</v>
      </c>
      <c r="R6">
        <f t="shared" si="3"/>
        <v>0.39470345210447577</v>
      </c>
      <c r="S6">
        <f>'Cibles THREEME AMS'!$AY10</f>
        <v>0.25862993414674429</v>
      </c>
      <c r="T6">
        <f t="shared" si="4"/>
        <v>0.25584481181609015</v>
      </c>
      <c r="U6">
        <f t="shared" si="5"/>
        <v>0.253059689485436</v>
      </c>
      <c r="V6">
        <f>'Cibles THREEME AMS'!$AZ10</f>
        <v>0.25027456715478191</v>
      </c>
      <c r="W6">
        <f t="shared" si="6"/>
        <v>0.24904949251443134</v>
      </c>
      <c r="X6">
        <f>'Cibles THREEME AMS'!$BA10</f>
        <v>0.24782441787408077</v>
      </c>
      <c r="Y6">
        <f t="shared" si="7"/>
        <v>0.20132120052990216</v>
      </c>
      <c r="Z6">
        <f t="shared" si="8"/>
        <v>0.15481798318572354</v>
      </c>
      <c r="AA6">
        <f>'Cibles THREEME AMS'!$BB10</f>
        <v>0.10831476584154495</v>
      </c>
      <c r="AB6">
        <f t="shared" si="9"/>
        <v>0.11390112484226626</v>
      </c>
      <c r="AC6">
        <f>'Cibles THREEME AMS'!$BC10</f>
        <v>0.11948748384298757</v>
      </c>
      <c r="AD6">
        <f t="shared" si="10"/>
        <v>0.11558998707439005</v>
      </c>
      <c r="AE6">
        <f t="shared" si="11"/>
        <v>0.11169249030579254</v>
      </c>
      <c r="AF6">
        <f t="shared" si="12"/>
        <v>0.10779499353719502</v>
      </c>
      <c r="AG6">
        <f t="shared" si="13"/>
        <v>0.1038974967685975</v>
      </c>
      <c r="AH6">
        <f>'Cibles THREEME AMS'!$BD10</f>
        <v>0.1</v>
      </c>
      <c r="AI6">
        <f t="shared" si="14"/>
        <v>0.1</v>
      </c>
      <c r="AJ6">
        <f t="shared" si="15"/>
        <v>0.1</v>
      </c>
      <c r="AK6">
        <f t="shared" si="16"/>
        <v>0.1</v>
      </c>
      <c r="AL6">
        <f t="shared" si="17"/>
        <v>0.1</v>
      </c>
      <c r="AM6">
        <f>'Cibles THREEME AMS'!$BE10</f>
        <v>0.1</v>
      </c>
    </row>
    <row r="7" spans="1:39" x14ac:dyDescent="0.25">
      <c r="A7" s="593"/>
      <c r="B7" s="589" t="s">
        <v>32</v>
      </c>
      <c r="C7">
        <f t="shared" ref="C7:C12" si="18">C6+1</f>
        <v>2303</v>
      </c>
      <c r="D7">
        <f>'Cibles ThreeME v2 '!D7</f>
        <v>17.863365766180937</v>
      </c>
      <c r="E7">
        <f>'Cibles ThreeME v2 '!E7</f>
        <v>19.271628449455005</v>
      </c>
      <c r="F7">
        <f>'Cibles ThreeME v2 '!F7</f>
        <v>20.679891132729072</v>
      </c>
      <c r="G7">
        <f>'Cibles ThreeME v2 '!G7</f>
        <v>22.088153816003139</v>
      </c>
      <c r="H7">
        <f>'Cibles ThreeME v2 '!H7</f>
        <v>23.496416499277206</v>
      </c>
      <c r="I7">
        <f>'Cibles ThreeME v2 '!I7</f>
        <v>24.904679182551273</v>
      </c>
      <c r="J7">
        <f>'Cibles ThreeME v2 '!J7</f>
        <v>23.696159455925354</v>
      </c>
      <c r="K7">
        <f>'Cibles ThreeME v2 '!K7</f>
        <v>22.487639729299435</v>
      </c>
      <c r="L7">
        <f>'Cibles THREEME AMS'!$AV11+'Cibles THREEME AMS'!$AV13</f>
        <v>21.279120002673519</v>
      </c>
      <c r="M7">
        <f t="shared" si="0"/>
        <v>24.757368516397406</v>
      </c>
      <c r="N7">
        <f>'Cibles THREEME AMS'!$AW11+'Cibles THREEME AMS'!$AW13</f>
        <v>28.235617030121297</v>
      </c>
      <c r="O7">
        <f t="shared" si="1"/>
        <v>28.23662404491597</v>
      </c>
      <c r="P7">
        <f t="shared" si="2"/>
        <v>28.237631059710644</v>
      </c>
      <c r="Q7">
        <f>'Cibles THREEME AMS'!$AX11+'Cibles THREEME AMS'!$AX13</f>
        <v>28.238638074505317</v>
      </c>
      <c r="R7">
        <f t="shared" si="3"/>
        <v>25.084197210238315</v>
      </c>
      <c r="S7">
        <f>'Cibles THREEME AMS'!$AY11+'Cibles THREEME AMS'!$AY13</f>
        <v>21.92975634597131</v>
      </c>
      <c r="T7">
        <f t="shared" si="4"/>
        <v>20.362508584527141</v>
      </c>
      <c r="U7">
        <f t="shared" si="5"/>
        <v>18.795260823082973</v>
      </c>
      <c r="V7">
        <f>'Cibles THREEME AMS'!$AZ11+'Cibles THREEME AMS'!$AZ13</f>
        <v>17.228013061638809</v>
      </c>
      <c r="W7">
        <f t="shared" si="6"/>
        <v>15.886355454598586</v>
      </c>
      <c r="X7">
        <f>'Cibles THREEME AMS'!$BA11+'Cibles THREEME AMS'!$BA13</f>
        <v>14.544697847558366</v>
      </c>
      <c r="Y7">
        <f t="shared" si="7"/>
        <v>11.568712979918852</v>
      </c>
      <c r="Z7">
        <f t="shared" si="8"/>
        <v>8.5927281122793371</v>
      </c>
      <c r="AA7">
        <f>'Cibles THREEME AMS'!$BB11+'Cibles THREEME AMS'!$BB13</f>
        <v>5.6167432446398244</v>
      </c>
      <c r="AB7">
        <f t="shared" si="9"/>
        <v>3.4820814343331317</v>
      </c>
      <c r="AC7">
        <f>'Cibles THREEME AMS'!$BC11+'Cibles THREEME AMS'!$BC13</f>
        <v>1.3474196240264387</v>
      </c>
      <c r="AD7">
        <f t="shared" si="10"/>
        <v>1.3477132797214808</v>
      </c>
      <c r="AE7">
        <f t="shared" si="11"/>
        <v>1.3480069354165229</v>
      </c>
      <c r="AF7">
        <f t="shared" si="12"/>
        <v>1.3483005911115651</v>
      </c>
      <c r="AG7">
        <f t="shared" si="13"/>
        <v>1.3485942468066072</v>
      </c>
      <c r="AH7">
        <f>'Cibles THREEME AMS'!$BD11+'Cibles THREEME AMS'!$BD13</f>
        <v>1.3488879025016489</v>
      </c>
      <c r="AI7">
        <f t="shared" si="14"/>
        <v>1.3487845574552519</v>
      </c>
      <c r="AJ7">
        <f t="shared" si="15"/>
        <v>1.348681212408855</v>
      </c>
      <c r="AK7">
        <f t="shared" si="16"/>
        <v>1.348577867362458</v>
      </c>
      <c r="AL7">
        <f t="shared" si="17"/>
        <v>1.348474522316061</v>
      </c>
      <c r="AM7">
        <f>'Cibles THREEME AMS'!$BE11+'Cibles THREEME AMS'!$BE13</f>
        <v>1.348371177269664</v>
      </c>
    </row>
    <row r="8" spans="1:39" x14ac:dyDescent="0.25">
      <c r="A8" s="593" t="s">
        <v>104</v>
      </c>
      <c r="B8" s="589" t="s">
        <v>42</v>
      </c>
      <c r="C8">
        <f t="shared" si="18"/>
        <v>2304</v>
      </c>
      <c r="D8">
        <f>'Cibles ThreeME v2 '!D8</f>
        <v>8.3735738643911386</v>
      </c>
      <c r="E8">
        <f>'Cibles ThreeME v2 '!E8</f>
        <v>7.1628092069632139</v>
      </c>
      <c r="F8">
        <f>'Cibles ThreeME v2 '!F8</f>
        <v>5.9520445495352892</v>
      </c>
      <c r="G8">
        <f>'Cibles ThreeME v2 '!G8</f>
        <v>4.7412798921073644</v>
      </c>
      <c r="H8">
        <f>'Cibles ThreeME v2 '!H8</f>
        <v>3.5305152346794393</v>
      </c>
      <c r="I8">
        <f>'Cibles ThreeME v2 '!I8</f>
        <v>2.3197505772515123</v>
      </c>
      <c r="J8">
        <f>'Cibles ThreeME v2 '!J8</f>
        <v>2.205867816668464</v>
      </c>
      <c r="K8">
        <f>'Cibles ThreeME v2 '!K8</f>
        <v>2.0919850560854156</v>
      </c>
      <c r="L8">
        <f>'Cibles THREEME AMS'!$AV12</f>
        <v>1.9781022955023679</v>
      </c>
      <c r="M8">
        <f t="shared" si="0"/>
        <v>1.2890511477511839</v>
      </c>
      <c r="N8">
        <f>'Cibles THREEME AMS'!$AW12</f>
        <v>0.6</v>
      </c>
      <c r="O8">
        <f t="shared" si="1"/>
        <v>0.46666666666666667</v>
      </c>
      <c r="P8">
        <f t="shared" si="2"/>
        <v>0.33333333333333337</v>
      </c>
      <c r="Q8">
        <f>'Cibles THREEME AMS'!$AX12</f>
        <v>0.2</v>
      </c>
      <c r="R8">
        <f t="shared" si="3"/>
        <v>0.2</v>
      </c>
      <c r="S8">
        <f>'Cibles THREEME AMS'!$AY12</f>
        <v>0.2</v>
      </c>
      <c r="T8">
        <f t="shared" si="4"/>
        <v>0.16666666666666669</v>
      </c>
      <c r="U8">
        <f t="shared" si="5"/>
        <v>0.13333333333333336</v>
      </c>
      <c r="V8">
        <f>'Cibles THREEME AMS'!$AZ12</f>
        <v>0.1</v>
      </c>
      <c r="W8">
        <f t="shared" si="6"/>
        <v>0.1</v>
      </c>
      <c r="X8">
        <f>'Cibles THREEME AMS'!$BA12</f>
        <v>0.1</v>
      </c>
      <c r="Y8">
        <f t="shared" si="7"/>
        <v>0.1</v>
      </c>
      <c r="Z8">
        <f t="shared" si="8"/>
        <v>0.1</v>
      </c>
      <c r="AA8">
        <f>'Cibles THREEME AMS'!$BB12</f>
        <v>0.1</v>
      </c>
      <c r="AB8">
        <f t="shared" si="9"/>
        <v>0.1</v>
      </c>
      <c r="AC8">
        <f>'Cibles THREEME AMS'!$BC12</f>
        <v>0.1</v>
      </c>
      <c r="AD8">
        <f t="shared" si="10"/>
        <v>0.1</v>
      </c>
      <c r="AE8">
        <f t="shared" si="11"/>
        <v>0.1</v>
      </c>
      <c r="AF8">
        <f t="shared" si="12"/>
        <v>0.1</v>
      </c>
      <c r="AG8">
        <f t="shared" si="13"/>
        <v>0.1</v>
      </c>
      <c r="AH8">
        <f>'Cibles THREEME AMS'!$BD12</f>
        <v>0.1</v>
      </c>
      <c r="AI8">
        <f t="shared" si="14"/>
        <v>0.1</v>
      </c>
      <c r="AJ8">
        <f t="shared" si="15"/>
        <v>0.1</v>
      </c>
      <c r="AK8">
        <f t="shared" si="16"/>
        <v>0.1</v>
      </c>
      <c r="AL8">
        <f t="shared" si="17"/>
        <v>0.1</v>
      </c>
      <c r="AM8">
        <f>'Cibles THREEME AMS'!$BE12</f>
        <v>0.1</v>
      </c>
    </row>
    <row r="9" spans="1:39" x14ac:dyDescent="0.25">
      <c r="A9" s="593"/>
      <c r="B9" s="589" t="s">
        <v>473</v>
      </c>
      <c r="C9">
        <f t="shared" si="18"/>
        <v>2305</v>
      </c>
      <c r="D9">
        <f>'Cibles ThreeME v2 '!D9</f>
        <v>23.69299569913635</v>
      </c>
      <c r="E9">
        <f>'Cibles ThreeME v2 '!E9</f>
        <v>25.748577998446258</v>
      </c>
      <c r="F9">
        <f>'Cibles ThreeME v2 '!F9</f>
        <v>27.804160297756166</v>
      </c>
      <c r="G9">
        <f>'Cibles ThreeME v2 '!G9</f>
        <v>29.859742597066074</v>
      </c>
      <c r="H9">
        <f>'Cibles ThreeME v2 '!H9</f>
        <v>31.915324896375981</v>
      </c>
      <c r="I9">
        <f>'Cibles ThreeME v2 '!I9</f>
        <v>33.970907195685882</v>
      </c>
      <c r="J9">
        <f>'Cibles ThreeME v2 '!J9</f>
        <v>35.543525356580744</v>
      </c>
      <c r="K9">
        <f>'Cibles ThreeME v2 '!K9</f>
        <v>37.116143517475606</v>
      </c>
      <c r="L9">
        <f>'Cibles THREEME AMS'!$AV14</f>
        <v>38.688761678370462</v>
      </c>
      <c r="M9">
        <f t="shared" si="0"/>
        <v>42.412374468079776</v>
      </c>
      <c r="N9">
        <f>'Cibles THREEME AMS'!$AW14</f>
        <v>46.13598725778909</v>
      </c>
      <c r="O9">
        <f t="shared" si="1"/>
        <v>49.302079974381705</v>
      </c>
      <c r="P9">
        <f t="shared" si="2"/>
        <v>52.46817269097432</v>
      </c>
      <c r="Q9">
        <f>'Cibles THREEME AMS'!$AX14</f>
        <v>55.634265407566943</v>
      </c>
      <c r="R9">
        <f t="shared" si="3"/>
        <v>59.24835516441069</v>
      </c>
      <c r="S9">
        <f>'Cibles THREEME AMS'!$AY14</f>
        <v>62.862444921254436</v>
      </c>
      <c r="T9">
        <f t="shared" si="4"/>
        <v>71.126888188982875</v>
      </c>
      <c r="U9">
        <f t="shared" si="5"/>
        <v>79.391331456711313</v>
      </c>
      <c r="V9">
        <f>'Cibles THREEME AMS'!$AZ14</f>
        <v>87.655774724439738</v>
      </c>
      <c r="W9">
        <f t="shared" si="6"/>
        <v>95.577834757513415</v>
      </c>
      <c r="X9">
        <f>'Cibles THREEME AMS'!$BA14</f>
        <v>103.49989479058709</v>
      </c>
      <c r="Y9">
        <f t="shared" si="7"/>
        <v>110.02210842515902</v>
      </c>
      <c r="Z9">
        <f t="shared" si="8"/>
        <v>116.54432205973094</v>
      </c>
      <c r="AA9">
        <f>'Cibles THREEME AMS'!$BB14</f>
        <v>123.06653569430287</v>
      </c>
      <c r="AB9">
        <f t="shared" si="9"/>
        <v>129.21272017836071</v>
      </c>
      <c r="AC9">
        <f>'Cibles THREEME AMS'!$BC14</f>
        <v>135.35890466241858</v>
      </c>
      <c r="AD9">
        <f t="shared" si="10"/>
        <v>142.61600948824872</v>
      </c>
      <c r="AE9">
        <f t="shared" si="11"/>
        <v>149.87311431407886</v>
      </c>
      <c r="AF9">
        <f t="shared" si="12"/>
        <v>157.130219139909</v>
      </c>
      <c r="AG9">
        <f t="shared" si="13"/>
        <v>164.38732396573914</v>
      </c>
      <c r="AH9">
        <f>'Cibles THREEME AMS'!$BD14</f>
        <v>171.64442879156925</v>
      </c>
      <c r="AI9">
        <f t="shared" si="14"/>
        <v>179.4038925477216</v>
      </c>
      <c r="AJ9">
        <f t="shared" si="15"/>
        <v>187.16335630387394</v>
      </c>
      <c r="AK9">
        <f t="shared" si="16"/>
        <v>194.92282006002628</v>
      </c>
      <c r="AL9">
        <f t="shared" si="17"/>
        <v>202.68228381617863</v>
      </c>
      <c r="AM9">
        <f>'Cibles THREEME AMS'!$BE14</f>
        <v>210.44174757233097</v>
      </c>
    </row>
    <row r="10" spans="1:39" x14ac:dyDescent="0.25">
      <c r="A10" s="593"/>
      <c r="B10" s="589" t="s">
        <v>279</v>
      </c>
      <c r="C10">
        <f t="shared" si="18"/>
        <v>2306</v>
      </c>
      <c r="D10">
        <f>'Cibles ThreeME v2 '!D10</f>
        <v>10.441624707151435</v>
      </c>
      <c r="E10">
        <f>'Cibles ThreeME v2 '!E10</f>
        <v>11.347530367905</v>
      </c>
      <c r="F10">
        <f>'Cibles ThreeME v2 '!F10</f>
        <v>12.253436028658564</v>
      </c>
      <c r="G10">
        <f>'Cibles ThreeME v2 '!G10</f>
        <v>13.159341689412129</v>
      </c>
      <c r="H10">
        <f>'Cibles ThreeME v2 '!H10</f>
        <v>14.065247350165693</v>
      </c>
      <c r="I10">
        <f>'Cibles ThreeME v2 '!I10</f>
        <v>14.971153010919259</v>
      </c>
      <c r="J10">
        <f>'Cibles ThreeME v2 '!J10</f>
        <v>15.448926441757402</v>
      </c>
      <c r="K10">
        <f>'Cibles ThreeME v2 '!K10</f>
        <v>15.926699872595545</v>
      </c>
      <c r="L10">
        <f>'Cibles THREEME AMS'!$AV15</f>
        <v>16.40447330343369</v>
      </c>
      <c r="M10">
        <f t="shared" si="0"/>
        <v>20.678783934333772</v>
      </c>
      <c r="N10">
        <f>'Cibles THREEME AMS'!$AW15</f>
        <v>24.953094565233851</v>
      </c>
      <c r="O10">
        <f t="shared" si="1"/>
        <v>30.475181207282372</v>
      </c>
      <c r="P10">
        <f t="shared" si="2"/>
        <v>35.997267849330889</v>
      </c>
      <c r="Q10">
        <f>'Cibles THREEME AMS'!$AX15</f>
        <v>41.51935449137941</v>
      </c>
      <c r="R10">
        <f t="shared" si="3"/>
        <v>47.561627214018159</v>
      </c>
      <c r="S10">
        <f>'Cibles THREEME AMS'!$AY15</f>
        <v>53.603899936656916</v>
      </c>
      <c r="T10">
        <f t="shared" si="4"/>
        <v>56.694808966180965</v>
      </c>
      <c r="U10">
        <f t="shared" si="5"/>
        <v>59.785717995705014</v>
      </c>
      <c r="V10">
        <f>'Cibles THREEME AMS'!$AZ15</f>
        <v>62.876627025229055</v>
      </c>
      <c r="W10">
        <f t="shared" si="6"/>
        <v>66.11118515309505</v>
      </c>
      <c r="X10">
        <f>'Cibles THREEME AMS'!$BA15</f>
        <v>69.345743280961059</v>
      </c>
      <c r="Y10">
        <f t="shared" si="7"/>
        <v>73.267887917254043</v>
      </c>
      <c r="Z10">
        <f t="shared" si="8"/>
        <v>77.190032553547027</v>
      </c>
      <c r="AA10">
        <f>'Cibles THREEME AMS'!$BB15</f>
        <v>81.112177189840025</v>
      </c>
      <c r="AB10">
        <f t="shared" si="9"/>
        <v>84.802613932523457</v>
      </c>
      <c r="AC10">
        <f>'Cibles THREEME AMS'!$BC15</f>
        <v>88.493050675206902</v>
      </c>
      <c r="AD10">
        <f t="shared" si="10"/>
        <v>92.896402835762132</v>
      </c>
      <c r="AE10">
        <f t="shared" si="11"/>
        <v>97.299754996317361</v>
      </c>
      <c r="AF10">
        <f t="shared" si="12"/>
        <v>101.70310715687259</v>
      </c>
      <c r="AG10">
        <f t="shared" si="13"/>
        <v>106.10645931742782</v>
      </c>
      <c r="AH10">
        <f>'Cibles THREEME AMS'!$BD15</f>
        <v>110.50981147798304</v>
      </c>
      <c r="AI10">
        <f t="shared" si="14"/>
        <v>115.23635327456219</v>
      </c>
      <c r="AJ10">
        <f t="shared" si="15"/>
        <v>119.96289507114135</v>
      </c>
      <c r="AK10">
        <f t="shared" si="16"/>
        <v>124.6894368677205</v>
      </c>
      <c r="AL10">
        <f t="shared" si="17"/>
        <v>129.41597866429964</v>
      </c>
      <c r="AM10">
        <f>'Cibles THREEME AMS'!$BE15</f>
        <v>134.14252046087881</v>
      </c>
    </row>
    <row r="11" spans="1:39" x14ac:dyDescent="0.25">
      <c r="A11" s="593"/>
      <c r="B11" s="589" t="s">
        <v>18</v>
      </c>
      <c r="C11">
        <f t="shared" si="18"/>
        <v>2307</v>
      </c>
      <c r="D11">
        <f>'Cibles ThreeME v2 '!D11</f>
        <v>28.951777597101707</v>
      </c>
      <c r="E11">
        <f>'Cibles ThreeME v2 '!E11</f>
        <v>31.463606929191137</v>
      </c>
      <c r="F11">
        <f>'Cibles ThreeME v2 '!F11</f>
        <v>33.975436261280564</v>
      </c>
      <c r="G11">
        <f>'Cibles ThreeME v2 '!G11</f>
        <v>36.487265593369997</v>
      </c>
      <c r="H11">
        <f>'Cibles ThreeME v2 '!H11</f>
        <v>38.999094925459431</v>
      </c>
      <c r="I11">
        <f>'Cibles ThreeME v2 '!I11</f>
        <v>41.510924257548858</v>
      </c>
      <c r="J11">
        <f>'Cibles ThreeME v2 '!J11</f>
        <v>43.228089475453004</v>
      </c>
      <c r="K11">
        <f>'Cibles ThreeME v2 '!K11</f>
        <v>44.94525469335715</v>
      </c>
      <c r="L11">
        <f>'Cibles THREEME AMS'!$AV16</f>
        <v>46.662419911261296</v>
      </c>
      <c r="M11">
        <f t="shared" si="0"/>
        <v>42.998119053312379</v>
      </c>
      <c r="N11">
        <f>'Cibles THREEME AMS'!$AW16</f>
        <v>39.333818195363463</v>
      </c>
      <c r="O11">
        <f t="shared" si="1"/>
        <v>39.947595695420489</v>
      </c>
      <c r="P11">
        <f t="shared" si="2"/>
        <v>40.561373195477515</v>
      </c>
      <c r="Q11">
        <f>'Cibles THREEME AMS'!$AX16</f>
        <v>41.175150695534533</v>
      </c>
      <c r="R11">
        <f t="shared" si="3"/>
        <v>42.016631014963764</v>
      </c>
      <c r="S11">
        <f>'Cibles THREEME AMS'!$AY16</f>
        <v>42.858111334392987</v>
      </c>
      <c r="T11">
        <f t="shared" si="4"/>
        <v>41.575762835519626</v>
      </c>
      <c r="U11">
        <f t="shared" si="5"/>
        <v>40.293414336646265</v>
      </c>
      <c r="V11">
        <f>'Cibles THREEME AMS'!$AZ16</f>
        <v>39.011065837772911</v>
      </c>
      <c r="W11">
        <f t="shared" si="6"/>
        <v>38.256857762597406</v>
      </c>
      <c r="X11">
        <f>'Cibles THREEME AMS'!$BA16</f>
        <v>37.502649687421901</v>
      </c>
      <c r="Y11">
        <f t="shared" si="7"/>
        <v>37.232511553616483</v>
      </c>
      <c r="Z11">
        <f t="shared" si="8"/>
        <v>36.962373419811065</v>
      </c>
      <c r="AA11">
        <f>'Cibles THREEME AMS'!$BB16</f>
        <v>36.692235286005648</v>
      </c>
      <c r="AB11">
        <f t="shared" si="9"/>
        <v>36.404843534152747</v>
      </c>
      <c r="AC11">
        <f>'Cibles THREEME AMS'!$BC16</f>
        <v>36.117451782299845</v>
      </c>
      <c r="AD11">
        <f t="shared" si="10"/>
        <v>36.162600068140158</v>
      </c>
      <c r="AE11">
        <f t="shared" si="11"/>
        <v>36.20774835398047</v>
      </c>
      <c r="AF11">
        <f t="shared" si="12"/>
        <v>36.252896639820783</v>
      </c>
      <c r="AG11">
        <f t="shared" si="13"/>
        <v>36.298044925661095</v>
      </c>
      <c r="AH11">
        <f>'Cibles THREEME AMS'!$BD16</f>
        <v>36.343193211501401</v>
      </c>
      <c r="AI11">
        <f t="shared" si="14"/>
        <v>36.476408237882538</v>
      </c>
      <c r="AJ11">
        <f t="shared" si="15"/>
        <v>36.609623264263675</v>
      </c>
      <c r="AK11">
        <f t="shared" si="16"/>
        <v>36.742838290644812</v>
      </c>
      <c r="AL11">
        <f t="shared" si="17"/>
        <v>36.876053317025949</v>
      </c>
      <c r="AM11">
        <f>'Cibles THREEME AMS'!$BE16</f>
        <v>37.009268343407093</v>
      </c>
    </row>
    <row r="12" spans="1:39" ht="15.75" thickBot="1" x14ac:dyDescent="0.3">
      <c r="A12" s="592"/>
      <c r="B12" s="590" t="s">
        <v>476</v>
      </c>
      <c r="C12">
        <f t="shared" si="18"/>
        <v>2308</v>
      </c>
      <c r="D12">
        <f>'Cibles ThreeME v2 '!D12</f>
        <v>7.2355626344902202</v>
      </c>
      <c r="E12">
        <f>'Cibles ThreeME v2 '!E12</f>
        <v>6.7753092871908258</v>
      </c>
      <c r="F12">
        <f>'Cibles ThreeME v2 '!F12</f>
        <v>6.3150559398914314</v>
      </c>
      <c r="G12">
        <f>'Cibles ThreeME v2 '!G12</f>
        <v>5.8548025925920371</v>
      </c>
      <c r="H12">
        <f>'Cibles ThreeME v2 '!H12</f>
        <v>5.3945492452926427</v>
      </c>
      <c r="I12">
        <f>'Cibles ThreeME v2 '!I12</f>
        <v>4.9342958979932492</v>
      </c>
      <c r="J12">
        <f>'Cibles ThreeME v2 '!J12</f>
        <v>5.1671082345478849</v>
      </c>
      <c r="K12">
        <f>'Cibles ThreeME v2 '!K12</f>
        <v>5.3999205711025207</v>
      </c>
      <c r="L12">
        <f>'Cibles THREEME AMS'!$AV17</f>
        <v>5.6327329076571555</v>
      </c>
      <c r="M12">
        <f t="shared" si="0"/>
        <v>6.8442941280687108</v>
      </c>
      <c r="N12">
        <f>'Cibles THREEME AMS'!$AW17</f>
        <v>8.0558553484802662</v>
      </c>
      <c r="O12">
        <f t="shared" si="1"/>
        <v>7.9063876520865746</v>
      </c>
      <c r="P12">
        <f t="shared" si="2"/>
        <v>7.756919955692883</v>
      </c>
      <c r="Q12">
        <f>'Cibles THREEME AMS'!$AX17</f>
        <v>7.6074522592991904</v>
      </c>
      <c r="R12">
        <f t="shared" si="3"/>
        <v>7.5582582788197747</v>
      </c>
      <c r="S12">
        <f>'Cibles THREEME AMS'!$AY17</f>
        <v>7.5090642983403599</v>
      </c>
      <c r="T12">
        <f t="shared" si="4"/>
        <v>7.943539638552549</v>
      </c>
      <c r="U12">
        <f t="shared" si="5"/>
        <v>8.3780149787647389</v>
      </c>
      <c r="V12">
        <f>'Cibles THREEME AMS'!$AZ17</f>
        <v>8.812490318976927</v>
      </c>
      <c r="W12">
        <f t="shared" si="6"/>
        <v>9.2334291872468732</v>
      </c>
      <c r="X12">
        <f>'Cibles THREEME AMS'!$BA17</f>
        <v>9.6543680555168212</v>
      </c>
      <c r="Y12">
        <f t="shared" si="7"/>
        <v>10.193523877957608</v>
      </c>
      <c r="Z12">
        <f t="shared" si="8"/>
        <v>10.732679700398394</v>
      </c>
      <c r="AA12">
        <f>'Cibles THREEME AMS'!$BB17</f>
        <v>11.271835522839183</v>
      </c>
      <c r="AB12">
        <f t="shared" si="9"/>
        <v>11.7247204635093</v>
      </c>
      <c r="AC12">
        <f>'Cibles THREEME AMS'!$BC17</f>
        <v>12.177605404179419</v>
      </c>
      <c r="AD12">
        <f t="shared" si="10"/>
        <v>12.303603114948451</v>
      </c>
      <c r="AE12">
        <f t="shared" si="11"/>
        <v>12.429600825717484</v>
      </c>
      <c r="AF12">
        <f t="shared" si="12"/>
        <v>12.555598536486517</v>
      </c>
      <c r="AG12">
        <f t="shared" si="13"/>
        <v>12.68159624725555</v>
      </c>
      <c r="AH12">
        <f>'Cibles THREEME AMS'!$BD17</f>
        <v>12.807593958024579</v>
      </c>
      <c r="AI12">
        <f t="shared" si="14"/>
        <v>12.84551673565305</v>
      </c>
      <c r="AJ12">
        <f t="shared" si="15"/>
        <v>12.88343951328152</v>
      </c>
      <c r="AK12">
        <f t="shared" si="16"/>
        <v>12.92136229090999</v>
      </c>
      <c r="AL12">
        <f t="shared" si="17"/>
        <v>12.95928506853846</v>
      </c>
      <c r="AM12">
        <f>'Cibles THREEME AMS'!$BE17</f>
        <v>12.997207846166926</v>
      </c>
    </row>
    <row r="13" spans="1:39" x14ac:dyDescent="0.25">
      <c r="A13" s="591"/>
      <c r="B13" s="588" t="s">
        <v>287</v>
      </c>
      <c r="C13">
        <v>2401</v>
      </c>
      <c r="D13">
        <f>'Cibles ThreeME v2 '!D13</f>
        <v>343.20423166658156</v>
      </c>
      <c r="E13">
        <f>'Cibles ThreeME v2 '!E13</f>
        <v>342.02309716449264</v>
      </c>
      <c r="F13">
        <f>'Cibles ThreeME v2 '!F13</f>
        <v>340.84196266240372</v>
      </c>
      <c r="G13">
        <f>'Cibles ThreeME v2 '!G13</f>
        <v>339.66082816031479</v>
      </c>
      <c r="H13">
        <f>'Cibles ThreeME v2 '!H13</f>
        <v>338.47969365822587</v>
      </c>
      <c r="I13">
        <f>'Cibles ThreeME v2 '!I13</f>
        <v>337.29855915613706</v>
      </c>
      <c r="J13">
        <f>'Cibles ThreeME v2 '!J13</f>
        <v>319.87712133970319</v>
      </c>
      <c r="K13">
        <f>'Cibles ThreeME v2 '!K13</f>
        <v>302.45568352326933</v>
      </c>
      <c r="L13">
        <f>'Cibles THREEME AMS'!$AV19+' fonds chaleur'!U2*11.64</f>
        <v>289.15014305553473</v>
      </c>
      <c r="M13">
        <f t="shared" si="0"/>
        <v>300.25567147139731</v>
      </c>
      <c r="N13">
        <f>'Cibles THREEME AMS'!$AW19+' fonds chaleur'!W2*11.64</f>
        <v>311.36119988725989</v>
      </c>
      <c r="O13">
        <f t="shared" si="1"/>
        <v>298.47150438923654</v>
      </c>
      <c r="P13">
        <f t="shared" si="2"/>
        <v>285.5818088912132</v>
      </c>
      <c r="Q13">
        <f>'Cibles THREEME AMS'!$AX19+' fonds chaleur'!Z2*11.64</f>
        <v>272.6921133931898</v>
      </c>
      <c r="R13">
        <f t="shared" si="3"/>
        <v>263.48917301625704</v>
      </c>
      <c r="S13">
        <f>'Cibles THREEME AMS'!$AY19+' fonds chaleur'!AB2*11.64</f>
        <v>254.28623263932423</v>
      </c>
      <c r="T13">
        <f t="shared" si="4"/>
        <v>233.46164984264107</v>
      </c>
      <c r="U13">
        <f t="shared" si="5"/>
        <v>212.63706704595791</v>
      </c>
      <c r="V13">
        <f>'Cibles THREEME AMS'!$AZ19</f>
        <v>191.81248424927475</v>
      </c>
      <c r="W13">
        <f t="shared" si="6"/>
        <v>184.12142025884563</v>
      </c>
      <c r="X13">
        <f>'Cibles THREEME AMS'!$BA19</f>
        <v>176.43035626841652</v>
      </c>
      <c r="Y13">
        <f t="shared" si="7"/>
        <v>161.99277825960181</v>
      </c>
      <c r="Z13">
        <f t="shared" si="8"/>
        <v>147.5552002507871</v>
      </c>
      <c r="AA13">
        <f>'Cibles THREEME AMS'!$BB19</f>
        <v>133.11762224197238</v>
      </c>
      <c r="AB13">
        <f t="shared" si="9"/>
        <v>156.97827383103021</v>
      </c>
      <c r="AC13">
        <f>'Cibles THREEME AMS'!$BC19+' fonds chaleur'!AL2*11.64</f>
        <v>180.838925420088</v>
      </c>
      <c r="AD13">
        <f t="shared" si="10"/>
        <v>160.90634690195031</v>
      </c>
      <c r="AE13">
        <f t="shared" si="11"/>
        <v>140.97376838381263</v>
      </c>
      <c r="AF13">
        <f t="shared" si="12"/>
        <v>121.04118986567494</v>
      </c>
      <c r="AG13">
        <f t="shared" si="13"/>
        <v>101.10861134753725</v>
      </c>
      <c r="AH13">
        <f>'Cibles THREEME AMS'!$BD19</f>
        <v>81.176032829399574</v>
      </c>
      <c r="AI13">
        <f t="shared" si="14"/>
        <v>89.470783392578213</v>
      </c>
      <c r="AJ13">
        <f t="shared" si="15"/>
        <v>97.765533955756851</v>
      </c>
      <c r="AK13">
        <f t="shared" si="16"/>
        <v>106.06028451893549</v>
      </c>
      <c r="AL13">
        <f t="shared" si="17"/>
        <v>114.35503508211413</v>
      </c>
      <c r="AM13">
        <f>'Cibles THREEME AMS'!$BE19+' fonds chaleur'!AV2*11.64</f>
        <v>122.64978564529278</v>
      </c>
    </row>
    <row r="14" spans="1:39" x14ac:dyDescent="0.25">
      <c r="A14" s="593"/>
      <c r="B14" s="589" t="s">
        <v>289</v>
      </c>
      <c r="C14">
        <v>2402</v>
      </c>
      <c r="D14">
        <f>'Cibles ThreeME v2 '!D14</f>
        <v>89.99355798328051</v>
      </c>
      <c r="E14">
        <f>'Cibles ThreeME v2 '!E14</f>
        <v>91.108841553790356</v>
      </c>
      <c r="F14">
        <f>'Cibles ThreeME v2 '!F14</f>
        <v>92.224125124300201</v>
      </c>
      <c r="G14">
        <f>'Cibles ThreeME v2 '!G14</f>
        <v>93.339408694810047</v>
      </c>
      <c r="H14">
        <f>'Cibles ThreeME v2 '!H14</f>
        <v>94.454692265319892</v>
      </c>
      <c r="I14">
        <f>'Cibles ThreeME v2 '!I14</f>
        <v>95.569975835829709</v>
      </c>
      <c r="J14">
        <f>'Cibles ThreeME v2 '!J14</f>
        <v>96.952674546810798</v>
      </c>
      <c r="K14">
        <f>'Cibles ThreeME v2 '!K14</f>
        <v>98.335373257791886</v>
      </c>
      <c r="L14">
        <f>'Cibles THREEME AMS'!$AV20-SUM(' fonds chaleur'!U24:U38)*11.64</f>
        <v>97.036479968772994</v>
      </c>
      <c r="M14">
        <f t="shared" si="0"/>
        <v>105.45845153698355</v>
      </c>
      <c r="N14">
        <f>'Cibles THREEME AMS'!$AW20-SUM(' fonds chaleur'!W24:W38)*11.64</f>
        <v>113.88042310519408</v>
      </c>
      <c r="O14">
        <f t="shared" si="1"/>
        <v>112.59480500103687</v>
      </c>
      <c r="P14">
        <f t="shared" si="2"/>
        <v>111.30918689687967</v>
      </c>
      <c r="Q14">
        <f>'Cibles THREEME AMS'!$AX20-SUM(' fonds chaleur'!Z24:Z38)*11.64</f>
        <v>110.02356879272246</v>
      </c>
      <c r="R14">
        <f t="shared" si="3"/>
        <v>111.10432955335375</v>
      </c>
      <c r="S14">
        <f>'Cibles THREEME AMS'!$AY20-SUM(' fonds chaleur'!AB24:AB38)*11.64</f>
        <v>112.18509031398504</v>
      </c>
      <c r="T14">
        <f t="shared" si="4"/>
        <v>117.0315298446905</v>
      </c>
      <c r="U14">
        <f t="shared" si="5"/>
        <v>121.87796937539595</v>
      </c>
      <c r="V14">
        <f>'Cibles THREEME AMS'!$AZ20</f>
        <v>126.72440890610142</v>
      </c>
      <c r="W14">
        <f t="shared" si="6"/>
        <v>125.77055535074196</v>
      </c>
      <c r="X14">
        <f>'Cibles THREEME AMS'!$BA20</f>
        <v>124.8167017953825</v>
      </c>
      <c r="Y14">
        <f t="shared" si="7"/>
        <v>123.5875425071855</v>
      </c>
      <c r="Z14">
        <f t="shared" si="8"/>
        <v>122.35838321898851</v>
      </c>
      <c r="AA14">
        <f>'Cibles THREEME AMS'!$BB20</f>
        <v>121.1292239307915</v>
      </c>
      <c r="AB14">
        <f t="shared" si="9"/>
        <v>95.996635887023672</v>
      </c>
      <c r="AC14">
        <f>'Cibles THREEME AMS'!$BC20-SUM(' fonds chaleur'!AL24:AL38)*11.64</f>
        <v>70.864047843255861</v>
      </c>
      <c r="AD14">
        <f t="shared" si="10"/>
        <v>79.894663941341193</v>
      </c>
      <c r="AE14">
        <f t="shared" si="11"/>
        <v>88.925280039426525</v>
      </c>
      <c r="AF14">
        <f t="shared" si="12"/>
        <v>97.955896137511857</v>
      </c>
      <c r="AG14">
        <f t="shared" si="13"/>
        <v>106.98651223559719</v>
      </c>
      <c r="AH14">
        <f>'Cibles THREEME AMS'!$BD20</f>
        <v>116.01712833368249</v>
      </c>
      <c r="AI14">
        <f t="shared" si="14"/>
        <v>100.45486492907457</v>
      </c>
      <c r="AJ14">
        <f t="shared" si="15"/>
        <v>84.892601524466656</v>
      </c>
      <c r="AK14">
        <f t="shared" si="16"/>
        <v>69.330338119858737</v>
      </c>
      <c r="AL14">
        <f t="shared" si="17"/>
        <v>53.768074715250819</v>
      </c>
      <c r="AM14">
        <f>'Cibles THREEME AMS'!$BE20-SUM(' fonds chaleur'!AV24:AV38)*11.64</f>
        <v>38.205811310642886</v>
      </c>
    </row>
    <row r="15" spans="1:39" x14ac:dyDescent="0.25">
      <c r="A15" s="593" t="s">
        <v>474</v>
      </c>
      <c r="B15" s="589" t="s">
        <v>291</v>
      </c>
      <c r="C15">
        <v>2403</v>
      </c>
      <c r="D15">
        <f>'Cibles ThreeME v2 '!D15</f>
        <v>1.4838579089701285</v>
      </c>
      <c r="E15">
        <f>'Cibles ThreeME v2 '!E15</f>
        <v>2.24943110340342</v>
      </c>
      <c r="F15">
        <f>'Cibles ThreeME v2 '!F15</f>
        <v>3.0150042978367115</v>
      </c>
      <c r="G15">
        <f>'Cibles ThreeME v2 '!G15</f>
        <v>3.7805774922700031</v>
      </c>
      <c r="H15">
        <f>'Cibles ThreeME v2 '!H15</f>
        <v>4.546150686703295</v>
      </c>
      <c r="I15">
        <f>'Cibles ThreeME v2 '!I15</f>
        <v>5.3117238811365866</v>
      </c>
      <c r="J15">
        <f>'Cibles ThreeME v2 '!J15</f>
        <v>8.1987571220963709</v>
      </c>
      <c r="K15">
        <f>'Cibles ThreeME v2 '!K15</f>
        <v>11.085790363056155</v>
      </c>
      <c r="L15">
        <f>'Cibles THREEME AMS'!$AV21+'Cibles THREEME AMS'!$AV22-' fonds chaleur'!U39*11.64</f>
        <v>13.675515604015942</v>
      </c>
      <c r="M15">
        <f t="shared" si="0"/>
        <v>14.917441665605649</v>
      </c>
      <c r="N15">
        <f>'Cibles THREEME AMS'!$AW21+'Cibles THREEME AMS'!$AW22-' fonds chaleur'!W39*11.64</f>
        <v>16.159367727195356</v>
      </c>
      <c r="O15">
        <f t="shared" si="1"/>
        <v>21.339453574184187</v>
      </c>
      <c r="P15">
        <f t="shared" si="2"/>
        <v>26.519539421173018</v>
      </c>
      <c r="Q15">
        <f>'Cibles THREEME AMS'!$AX21+'Cibles THREEME AMS'!$AX22-' fonds chaleur'!Z39*11.64</f>
        <v>31.699625268161853</v>
      </c>
      <c r="R15">
        <f t="shared" si="3"/>
        <v>36.715786169633247</v>
      </c>
      <c r="S15">
        <f>'Cibles THREEME AMS'!$AY21+'Cibles THREEME AMS'!$AY22-' fonds chaleur'!AB39*11.64</f>
        <v>41.731947071104642</v>
      </c>
      <c r="T15">
        <f t="shared" si="4"/>
        <v>44.269268465803641</v>
      </c>
      <c r="U15">
        <f t="shared" si="5"/>
        <v>46.80658986050264</v>
      </c>
      <c r="V15">
        <f>'Cibles THREEME AMS'!$AZ21+'Cibles THREEME AMS'!$AZ22</f>
        <v>49.343911255201647</v>
      </c>
      <c r="W15">
        <f t="shared" si="6"/>
        <v>51.16682451214821</v>
      </c>
      <c r="X15">
        <f>'Cibles THREEME AMS'!$BA21+'Cibles THREEME AMS'!$BA22</f>
        <v>52.989737769094766</v>
      </c>
      <c r="Y15">
        <f t="shared" si="7"/>
        <v>58.956304501571907</v>
      </c>
      <c r="Z15">
        <f t="shared" si="8"/>
        <v>64.92287123404904</v>
      </c>
      <c r="AA15">
        <f>'Cibles THREEME AMS'!$BB21+'Cibles THREEME AMS'!$BB22</f>
        <v>70.889437966526188</v>
      </c>
      <c r="AB15">
        <f t="shared" si="9"/>
        <v>71.984724838877355</v>
      </c>
      <c r="AC15">
        <f>'Cibles THREEME AMS'!$BC21+'Cibles THREEME AMS'!$BC22-' fonds chaleur'!AL39*11.64</f>
        <v>73.080011711228536</v>
      </c>
      <c r="AD15">
        <f t="shared" si="10"/>
        <v>75.165913101087895</v>
      </c>
      <c r="AE15">
        <f t="shared" si="11"/>
        <v>77.251814490947254</v>
      </c>
      <c r="AF15">
        <f t="shared" si="12"/>
        <v>79.337715880806613</v>
      </c>
      <c r="AG15">
        <f t="shared" si="13"/>
        <v>81.423617270665972</v>
      </c>
      <c r="AH15">
        <f>'Cibles THREEME AMS'!$BD21+'Cibles THREEME AMS'!$BD22</f>
        <v>83.509518660525316</v>
      </c>
      <c r="AI15">
        <f t="shared" si="14"/>
        <v>89.42992013043974</v>
      </c>
      <c r="AJ15">
        <f t="shared" si="15"/>
        <v>95.350321600354164</v>
      </c>
      <c r="AK15">
        <f t="shared" si="16"/>
        <v>101.27072307026859</v>
      </c>
      <c r="AL15">
        <f t="shared" si="17"/>
        <v>107.19112454018301</v>
      </c>
      <c r="AM15">
        <f>'Cibles THREEME AMS'!$BE21+'Cibles THREEME AMS'!$BE22-' fonds chaleur'!AV39*11.64</f>
        <v>113.11152601009744</v>
      </c>
    </row>
    <row r="16" spans="1:39" x14ac:dyDescent="0.25">
      <c r="A16" s="593"/>
      <c r="B16" s="589" t="s">
        <v>293</v>
      </c>
      <c r="C16">
        <v>2404</v>
      </c>
      <c r="D16">
        <f>'Cibles ThreeME v2 '!D16</f>
        <v>5.9017709386932049</v>
      </c>
      <c r="E16">
        <f>'Cibles ThreeME v2 '!E16</f>
        <v>8.4142713981693671</v>
      </c>
      <c r="F16">
        <f>'Cibles ThreeME v2 '!F16</f>
        <v>10.92677185764553</v>
      </c>
      <c r="G16">
        <f>'Cibles ThreeME v2 '!G16</f>
        <v>13.439272317121691</v>
      </c>
      <c r="H16">
        <f>'Cibles ThreeME v2 '!H16</f>
        <v>15.951772776597853</v>
      </c>
      <c r="I16">
        <f>'Cibles ThreeME v2 '!I16</f>
        <v>18.464273236074014</v>
      </c>
      <c r="J16">
        <f>'Cibles ThreeME v2 '!J16</f>
        <v>19.008878353307235</v>
      </c>
      <c r="K16">
        <f>'Cibles ThreeME v2 '!K16</f>
        <v>19.553483470540456</v>
      </c>
      <c r="L16">
        <f>'Cibles THREEME AMS'!$AV23-' fonds chaleur'!U40*11.64</f>
        <v>19.814976587773678</v>
      </c>
      <c r="M16">
        <f t="shared" si="0"/>
        <v>17.360354121889959</v>
      </c>
      <c r="N16">
        <f>'Cibles THREEME AMS'!$AW23-' fonds chaleur'!W40*11.64</f>
        <v>14.905731656006239</v>
      </c>
      <c r="O16">
        <f t="shared" si="1"/>
        <v>16.120609585277929</v>
      </c>
      <c r="P16">
        <f t="shared" si="2"/>
        <v>17.335487514549619</v>
      </c>
      <c r="Q16">
        <f>'Cibles THREEME AMS'!$AX23-' fonds chaleur'!Z40*11.64</f>
        <v>18.550365443821306</v>
      </c>
      <c r="R16">
        <f t="shared" si="3"/>
        <v>20.487568445999706</v>
      </c>
      <c r="S16">
        <f>'Cibles THREEME AMS'!$AY23-' fonds chaleur'!AB40*11.64</f>
        <v>22.424771448178102</v>
      </c>
      <c r="T16">
        <f t="shared" si="4"/>
        <v>23.208943157875265</v>
      </c>
      <c r="U16">
        <f t="shared" si="5"/>
        <v>23.993114867572427</v>
      </c>
      <c r="V16">
        <f>'Cibles THREEME AMS'!$AZ23</f>
        <v>24.777286577269585</v>
      </c>
      <c r="W16">
        <f t="shared" si="6"/>
        <v>24.692306467468605</v>
      </c>
      <c r="X16">
        <f>'Cibles THREEME AMS'!$BA23</f>
        <v>24.607326357667624</v>
      </c>
      <c r="Y16">
        <f t="shared" si="7"/>
        <v>23.883273239320978</v>
      </c>
      <c r="Z16">
        <f t="shared" si="8"/>
        <v>23.159220120974332</v>
      </c>
      <c r="AA16">
        <f>'Cibles THREEME AMS'!$BB23</f>
        <v>22.43516700262769</v>
      </c>
      <c r="AB16">
        <f t="shared" si="9"/>
        <v>19.14009129611383</v>
      </c>
      <c r="AC16">
        <f>'Cibles THREEME AMS'!$BC23-' fonds chaleur'!AL40*11.64</f>
        <v>15.845015589599967</v>
      </c>
      <c r="AD16">
        <f t="shared" si="10"/>
        <v>16.351097785420393</v>
      </c>
      <c r="AE16">
        <f t="shared" si="11"/>
        <v>16.857179981240819</v>
      </c>
      <c r="AF16">
        <f t="shared" si="12"/>
        <v>17.363262177061245</v>
      </c>
      <c r="AG16">
        <f t="shared" si="13"/>
        <v>17.86934437288167</v>
      </c>
      <c r="AH16">
        <f>'Cibles THREEME AMS'!$BD23</f>
        <v>18.375426568702096</v>
      </c>
      <c r="AI16">
        <f t="shared" si="14"/>
        <v>16.363710449240944</v>
      </c>
      <c r="AJ16">
        <f t="shared" si="15"/>
        <v>14.351994329779792</v>
      </c>
      <c r="AK16">
        <f t="shared" si="16"/>
        <v>12.34027821031864</v>
      </c>
      <c r="AL16">
        <f t="shared" si="17"/>
        <v>10.328562090857488</v>
      </c>
      <c r="AM16">
        <f>'Cibles THREEME AMS'!$BE23-' fonds chaleur'!AV40*11.64</f>
        <v>8.316845971396333</v>
      </c>
    </row>
    <row r="17" spans="1:39" x14ac:dyDescent="0.25">
      <c r="A17" s="593"/>
      <c r="B17" s="589" t="s">
        <v>296</v>
      </c>
      <c r="C17">
        <v>2405</v>
      </c>
      <c r="D17">
        <f>'Cibles ThreeME v2 '!D17</f>
        <v>2.579344484092791</v>
      </c>
      <c r="E17">
        <f>'Cibles ThreeME v2 '!E17</f>
        <v>2.9899393468402904</v>
      </c>
      <c r="F17">
        <f>'Cibles ThreeME v2 '!F17</f>
        <v>3.4005342095877897</v>
      </c>
      <c r="G17">
        <f>'Cibles ThreeME v2 '!G17</f>
        <v>3.8111290723352891</v>
      </c>
      <c r="H17">
        <f>'Cibles ThreeME v2 '!H17</f>
        <v>4.2217239350827889</v>
      </c>
      <c r="I17">
        <f>'Cibles ThreeME v2 '!I17</f>
        <v>4.6323187978302887</v>
      </c>
      <c r="J17">
        <f>'Cibles ThreeME v2 '!J17</f>
        <v>5.4540159414642693</v>
      </c>
      <c r="K17">
        <f>'Cibles ThreeME v2 '!K17</f>
        <v>6.2757130850982499</v>
      </c>
      <c r="L17">
        <f>'Cibles THREEME AMS'!$AV24-' fonds chaleur'!U41*11.64</f>
        <v>6.7563878798829675</v>
      </c>
      <c r="M17">
        <f t="shared" si="0"/>
        <v>9.0906691473177101</v>
      </c>
      <c r="N17">
        <f>'Cibles THREEME AMS'!$AW24-' fonds chaleur'!W41*11.64</f>
        <v>11.424950414752454</v>
      </c>
      <c r="O17">
        <f t="shared" si="1"/>
        <v>12.640907331075423</v>
      </c>
      <c r="P17">
        <f t="shared" si="2"/>
        <v>13.856864247398393</v>
      </c>
      <c r="Q17">
        <f>'Cibles THREEME AMS'!$AX24-' fonds chaleur'!Z41*11.64</f>
        <v>15.072821163721365</v>
      </c>
      <c r="R17">
        <f t="shared" si="3"/>
        <v>16.560339299639864</v>
      </c>
      <c r="S17">
        <f>'Cibles THREEME AMS'!$AY24-' fonds chaleur'!AB41*11.64</f>
        <v>18.047857435558367</v>
      </c>
      <c r="T17">
        <f t="shared" si="4"/>
        <v>20.556683729417589</v>
      </c>
      <c r="U17">
        <f t="shared" si="5"/>
        <v>23.065510023276811</v>
      </c>
      <c r="V17">
        <f>'Cibles THREEME AMS'!$AZ24</f>
        <v>25.574336317136034</v>
      </c>
      <c r="W17">
        <f t="shared" si="6"/>
        <v>27.412592002561404</v>
      </c>
      <c r="X17">
        <f>'Cibles THREEME AMS'!$BA24</f>
        <v>29.250847687986777</v>
      </c>
      <c r="Y17">
        <f t="shared" si="7"/>
        <v>30.67404844677155</v>
      </c>
      <c r="Z17">
        <f t="shared" si="8"/>
        <v>32.097249205556324</v>
      </c>
      <c r="AA17">
        <f>'Cibles THREEME AMS'!$BB24</f>
        <v>33.520449964341097</v>
      </c>
      <c r="AB17">
        <f t="shared" si="9"/>
        <v>31.67359054231671</v>
      </c>
      <c r="AC17">
        <f>'Cibles THREEME AMS'!$BC24-' fonds chaleur'!AL41*11.64</f>
        <v>29.826731120292319</v>
      </c>
      <c r="AD17">
        <f t="shared" si="10"/>
        <v>31.148659084555085</v>
      </c>
      <c r="AE17">
        <f t="shared" si="11"/>
        <v>32.470587048817848</v>
      </c>
      <c r="AF17">
        <f t="shared" si="12"/>
        <v>33.792515013080617</v>
      </c>
      <c r="AG17">
        <f t="shared" si="13"/>
        <v>35.114442977343387</v>
      </c>
      <c r="AH17">
        <f>'Cibles THREEME AMS'!$BD24</f>
        <v>36.43637094160615</v>
      </c>
      <c r="AI17">
        <f t="shared" si="14"/>
        <v>35.696427072633476</v>
      </c>
      <c r="AJ17">
        <f t="shared" si="15"/>
        <v>34.956483203660802</v>
      </c>
      <c r="AK17">
        <f t="shared" si="16"/>
        <v>34.216539334688129</v>
      </c>
      <c r="AL17">
        <f t="shared" si="17"/>
        <v>33.476595465715455</v>
      </c>
      <c r="AM17">
        <f>'Cibles THREEME AMS'!$BE24-' fonds chaleur'!AV41*11.64</f>
        <v>32.736651596742774</v>
      </c>
    </row>
    <row r="18" spans="1:39" ht="15.75" thickBot="1" x14ac:dyDescent="0.3">
      <c r="A18" s="592"/>
      <c r="B18" s="203" t="s">
        <v>613</v>
      </c>
      <c r="C18">
        <v>2406</v>
      </c>
      <c r="D18">
        <f>'Cibles ThreeME v2 '!D18</f>
        <v>47.827069880389516</v>
      </c>
      <c r="E18">
        <f>'Cibles ThreeME v2 '!E18</f>
        <v>44.646124904311613</v>
      </c>
      <c r="F18">
        <f>'Cibles ThreeME v2 '!F18</f>
        <v>41.465179928233709</v>
      </c>
      <c r="G18">
        <f>'Cibles ThreeME v2 '!G18</f>
        <v>38.284234952155806</v>
      </c>
      <c r="H18">
        <f>'Cibles ThreeME v2 '!H18</f>
        <v>35.103289976077903</v>
      </c>
      <c r="I18">
        <f>'Cibles ThreeME v2 '!I18</f>
        <v>31.922344999999989</v>
      </c>
      <c r="J18">
        <f>'Cibles ThreeME v2 '!J18</f>
        <v>37.951458240740735</v>
      </c>
      <c r="K18">
        <f>'Cibles ThreeME v2 '!K18</f>
        <v>43.980571481481476</v>
      </c>
      <c r="L18">
        <f>'Cibles THREEME AMS'!$AV25+'Cibles THREEME AMS'!$AV26-' fonds chaleur'!U42*11.64</f>
        <v>49.496821722372218</v>
      </c>
      <c r="M18">
        <f t="shared" si="0"/>
        <v>65.845234024197197</v>
      </c>
      <c r="N18">
        <f>'Cibles THREEME AMS'!$AW25+'Cibles THREEME AMS'!$AW26-' fonds chaleur'!W42*11.64</f>
        <v>82.193646326022161</v>
      </c>
      <c r="O18">
        <f t="shared" si="1"/>
        <v>91.037498052035446</v>
      </c>
      <c r="P18">
        <f t="shared" si="2"/>
        <v>99.88134977804873</v>
      </c>
      <c r="Q18">
        <f>'Cibles THREEME AMS'!$AX25+'Cibles THREEME AMS'!$AX26-' fonds chaleur'!Z42*11.64</f>
        <v>108.72520150406201</v>
      </c>
      <c r="R18">
        <f t="shared" si="3"/>
        <v>116.70117577300945</v>
      </c>
      <c r="S18">
        <f>'Cibles THREEME AMS'!$AY25+'Cibles THREEME AMS'!$AY26-' fonds chaleur'!AB42*11.64</f>
        <v>124.67715004195691</v>
      </c>
      <c r="T18">
        <f t="shared" si="4"/>
        <v>133.03169726453339</v>
      </c>
      <c r="U18">
        <f t="shared" si="5"/>
        <v>141.38624448710988</v>
      </c>
      <c r="V18">
        <f>'Cibles THREEME AMS'!$AZ25+'Cibles THREEME AMS'!$AZ26</f>
        <v>149.74079170968636</v>
      </c>
      <c r="W18">
        <f t="shared" si="6"/>
        <v>159.4484325395494</v>
      </c>
      <c r="X18">
        <f>'Cibles THREEME AMS'!$BA25+'Cibles THREEME AMS'!$BA26</f>
        <v>169.15607336941247</v>
      </c>
      <c r="Y18">
        <f t="shared" si="7"/>
        <v>179.48619048230799</v>
      </c>
      <c r="Z18">
        <f t="shared" si="8"/>
        <v>189.81630759520351</v>
      </c>
      <c r="AA18">
        <f>'Cibles THREEME AMS'!$BB25+'Cibles THREEME AMS'!$BB26</f>
        <v>200.14642470809903</v>
      </c>
      <c r="AB18">
        <f t="shared" si="9"/>
        <v>204.67608322368108</v>
      </c>
      <c r="AC18">
        <f>'Cibles THREEME AMS'!$BC25+'Cibles THREEME AMS'!$BC26-' fonds chaleur'!AL42*11.64</f>
        <v>209.20574173926315</v>
      </c>
      <c r="AD18">
        <f t="shared" si="10"/>
        <v>216.23248985082387</v>
      </c>
      <c r="AE18">
        <f t="shared" si="11"/>
        <v>223.25923796238459</v>
      </c>
      <c r="AF18">
        <f t="shared" si="12"/>
        <v>230.28598607394531</v>
      </c>
      <c r="AG18">
        <f t="shared" si="13"/>
        <v>237.31273418550603</v>
      </c>
      <c r="AH18">
        <f>'Cibles THREEME AMS'!$BD25+'Cibles THREEME AMS'!$BD26</f>
        <v>244.3394822970667</v>
      </c>
      <c r="AI18">
        <f t="shared" si="14"/>
        <v>248.54631585454439</v>
      </c>
      <c r="AJ18">
        <f t="shared" si="15"/>
        <v>252.75314941202208</v>
      </c>
      <c r="AK18">
        <f t="shared" si="16"/>
        <v>256.95998296949978</v>
      </c>
      <c r="AL18">
        <f t="shared" si="17"/>
        <v>261.16681652697747</v>
      </c>
      <c r="AM18">
        <f>'Cibles THREEME AMS'!$BE25+'Cibles THREEME AMS'!$BE26-' fonds chaleur'!AV42*11.64</f>
        <v>265.37365008445511</v>
      </c>
    </row>
    <row r="19" spans="1:39" x14ac:dyDescent="0.25">
      <c r="D19" s="594">
        <f>SUM(D3:D18)-('Cibles THREEME AMS'!$AT2-'Cibles THREEME AMS'!$AT27)*11.64</f>
        <v>0</v>
      </c>
      <c r="E19" s="594"/>
      <c r="F19" s="594"/>
      <c r="G19" s="594"/>
      <c r="H19" s="594"/>
      <c r="I19" s="594">
        <f>SUM(I3:I18)-('Cibles THREEME AMS'!$AU2-'Cibles THREEME AMS'!$AU27)</f>
        <v>0</v>
      </c>
      <c r="S19" s="594">
        <f>SUM(S3:S18)-('Cibles THREEME AMS'!$AY2-'Cibles THREEME AMS'!$AY27)</f>
        <v>0</v>
      </c>
      <c r="AM19" s="594">
        <f>SUM(AM3:AM18)-('Cibles THREEME AMS'!$BE2-'Cibles THREEME AMS'!$BE27)</f>
        <v>0</v>
      </c>
    </row>
    <row r="20" spans="1:39" ht="15.75" thickBot="1" x14ac:dyDescent="0.3">
      <c r="B20" s="207" t="s">
        <v>526</v>
      </c>
      <c r="C20" s="207"/>
      <c r="D20" s="207"/>
      <c r="E20" s="207"/>
      <c r="F20" s="207"/>
      <c r="G20" s="207"/>
      <c r="H20" s="207"/>
      <c r="I20" s="207"/>
      <c r="J20" s="207"/>
      <c r="K20" s="557">
        <v>2022</v>
      </c>
      <c r="L20" s="557">
        <v>2023</v>
      </c>
      <c r="M20" s="557">
        <v>2024</v>
      </c>
      <c r="N20" s="557">
        <v>2025</v>
      </c>
      <c r="O20" s="557">
        <v>2026</v>
      </c>
      <c r="P20" s="557">
        <v>2027</v>
      </c>
      <c r="Q20" s="557">
        <v>2028</v>
      </c>
      <c r="R20" s="557">
        <v>2029</v>
      </c>
      <c r="S20" s="557">
        <v>2030</v>
      </c>
      <c r="T20" s="557">
        <v>2031</v>
      </c>
      <c r="U20" s="557">
        <v>2032</v>
      </c>
      <c r="V20" s="557">
        <v>2033</v>
      </c>
      <c r="W20" s="557">
        <v>2034</v>
      </c>
      <c r="X20" s="557">
        <v>2035</v>
      </c>
      <c r="Y20" s="557">
        <v>2036</v>
      </c>
      <c r="Z20" s="557">
        <v>2037</v>
      </c>
      <c r="AA20" s="557">
        <v>2038</v>
      </c>
      <c r="AB20" s="557">
        <v>2039</v>
      </c>
      <c r="AC20" s="557">
        <v>2040</v>
      </c>
      <c r="AD20" s="557">
        <v>2041</v>
      </c>
      <c r="AE20" s="557">
        <v>2042</v>
      </c>
      <c r="AF20" s="557">
        <v>2043</v>
      </c>
      <c r="AG20" s="557">
        <v>2044</v>
      </c>
      <c r="AH20" s="557">
        <v>2045</v>
      </c>
      <c r="AI20" s="557">
        <v>2046</v>
      </c>
      <c r="AJ20" s="557">
        <v>2047</v>
      </c>
      <c r="AK20" s="557">
        <v>2048</v>
      </c>
      <c r="AL20" s="557">
        <v>2049</v>
      </c>
      <c r="AM20" s="557">
        <v>2050</v>
      </c>
    </row>
    <row r="21" spans="1:39" ht="15.75" hidden="1" thickBot="1" x14ac:dyDescent="0.3">
      <c r="B21" s="207" t="s">
        <v>480</v>
      </c>
      <c r="C21" s="207"/>
      <c r="D21" s="678"/>
      <c r="E21" s="678"/>
      <c r="F21" s="678"/>
      <c r="G21" s="678"/>
      <c r="H21" s="678"/>
      <c r="I21" s="678"/>
      <c r="J21" s="207"/>
      <c r="K21" s="207"/>
      <c r="L21" s="678"/>
      <c r="M21" s="207"/>
      <c r="N21" s="678"/>
      <c r="O21" s="207"/>
      <c r="P21" s="207"/>
      <c r="Q21" s="678"/>
      <c r="R21" s="207"/>
      <c r="S21" s="678"/>
      <c r="T21" s="207"/>
      <c r="U21" s="207"/>
      <c r="V21" s="678"/>
      <c r="W21" s="207"/>
      <c r="X21" s="678"/>
      <c r="Y21" s="207"/>
      <c r="Z21" s="207"/>
      <c r="AA21" s="678"/>
      <c r="AB21" s="207"/>
      <c r="AC21" s="678"/>
      <c r="AD21" s="207"/>
      <c r="AE21" s="207"/>
      <c r="AF21" s="207"/>
      <c r="AG21" s="207"/>
      <c r="AH21" s="678"/>
      <c r="AI21" s="207"/>
      <c r="AJ21" s="207"/>
      <c r="AK21" s="207"/>
      <c r="AL21" s="207"/>
      <c r="AM21" s="678"/>
    </row>
    <row r="22" spans="1:39" x14ac:dyDescent="0.25">
      <c r="A22" s="675" t="s">
        <v>475</v>
      </c>
      <c r="B22" s="207" t="s">
        <v>266</v>
      </c>
      <c r="C22" s="207">
        <v>2201</v>
      </c>
      <c r="D22" s="207">
        <f t="shared" ref="D22:AM23" si="19">D3/(D$3+D$4)</f>
        <v>0.9556818277818554</v>
      </c>
      <c r="E22" s="207">
        <f t="shared" si="19"/>
        <v>0.95496875275949888</v>
      </c>
      <c r="F22" s="207">
        <f t="shared" si="19"/>
        <v>0.95421036343902865</v>
      </c>
      <c r="G22" s="207">
        <f t="shared" si="19"/>
        <v>0.95340219864042719</v>
      </c>
      <c r="H22" s="207">
        <f t="shared" si="19"/>
        <v>0.95253919171158474</v>
      </c>
      <c r="I22" s="207">
        <f t="shared" si="19"/>
        <v>0.95161556420218441</v>
      </c>
      <c r="J22" s="207">
        <f t="shared" si="19"/>
        <v>0.94906409849661377</v>
      </c>
      <c r="K22" s="679">
        <f t="shared" si="19"/>
        <v>0.94659538817358735</v>
      </c>
      <c r="L22" s="679">
        <f t="shared" si="19"/>
        <v>0.94420547129694565</v>
      </c>
      <c r="M22" s="679">
        <f t="shared" si="19"/>
        <v>0.94256889676315481</v>
      </c>
      <c r="N22" s="679">
        <f t="shared" si="19"/>
        <v>0.94081662958109269</v>
      </c>
      <c r="O22" s="679">
        <f t="shared" si="19"/>
        <v>0.93765431645070807</v>
      </c>
      <c r="P22" s="679">
        <f t="shared" si="19"/>
        <v>0.93419922680758571</v>
      </c>
      <c r="Q22" s="679">
        <f t="shared" si="19"/>
        <v>0.93040872791550489</v>
      </c>
      <c r="R22" s="679">
        <f t="shared" si="19"/>
        <v>0.926449604886456</v>
      </c>
      <c r="S22" s="679">
        <f t="shared" si="19"/>
        <v>0.9220858032732917</v>
      </c>
      <c r="T22" s="679">
        <f t="shared" si="19"/>
        <v>0.9144261920697252</v>
      </c>
      <c r="U22" s="679">
        <f t="shared" si="19"/>
        <v>0.90588802195534324</v>
      </c>
      <c r="V22" s="679">
        <f t="shared" si="19"/>
        <v>0.89631094037571479</v>
      </c>
      <c r="W22" s="679">
        <f t="shared" si="19"/>
        <v>0.88589163648382641</v>
      </c>
      <c r="X22" s="679">
        <f t="shared" si="19"/>
        <v>0.87406311042347129</v>
      </c>
      <c r="Y22" s="679">
        <f t="shared" si="19"/>
        <v>0.86510661147469103</v>
      </c>
      <c r="Z22" s="679">
        <f t="shared" si="19"/>
        <v>0.854816280902155</v>
      </c>
      <c r="AA22" s="679">
        <f t="shared" si="19"/>
        <v>0.84287018934503488</v>
      </c>
      <c r="AB22" s="679">
        <f t="shared" si="19"/>
        <v>0.82945155198798037</v>
      </c>
      <c r="AC22" s="679">
        <f t="shared" si="19"/>
        <v>0.81347132625375052</v>
      </c>
      <c r="AD22" s="679">
        <f t="shared" si="19"/>
        <v>0.80187526419911614</v>
      </c>
      <c r="AE22" s="679">
        <f t="shared" si="19"/>
        <v>0.78841661236515514</v>
      </c>
      <c r="AF22" s="679">
        <f t="shared" si="19"/>
        <v>0.77260742188729481</v>
      </c>
      <c r="AG22" s="679">
        <f t="shared" si="19"/>
        <v>0.75377299686099974</v>
      </c>
      <c r="AH22" s="679">
        <f t="shared" si="19"/>
        <v>0.73095310255630896</v>
      </c>
      <c r="AI22" s="679">
        <f t="shared" si="19"/>
        <v>0.72656239248986332</v>
      </c>
      <c r="AJ22" s="679">
        <f t="shared" si="19"/>
        <v>0.72168202954395322</v>
      </c>
      <c r="AK22" s="679">
        <f t="shared" si="19"/>
        <v>0.71622526745507187</v>
      </c>
      <c r="AL22" s="679">
        <f t="shared" si="19"/>
        <v>0.71008358352544165</v>
      </c>
      <c r="AM22" s="679">
        <f t="shared" si="19"/>
        <v>0.70311938771710514</v>
      </c>
    </row>
    <row r="23" spans="1:39" ht="15.75" thickBot="1" x14ac:dyDescent="0.3">
      <c r="A23" s="676"/>
      <c r="B23" s="207" t="s">
        <v>343</v>
      </c>
      <c r="C23" s="207">
        <v>2202</v>
      </c>
      <c r="D23" s="207">
        <f t="shared" si="19"/>
        <v>4.4318172218144603E-2</v>
      </c>
      <c r="E23" s="207">
        <f t="shared" si="19"/>
        <v>4.5031247240501129E-2</v>
      </c>
      <c r="F23" s="207">
        <f t="shared" si="19"/>
        <v>4.5789636560971257E-2</v>
      </c>
      <c r="G23" s="207">
        <f t="shared" si="19"/>
        <v>4.6597801359572776E-2</v>
      </c>
      <c r="H23" s="207">
        <f t="shared" si="19"/>
        <v>4.7460808288415299E-2</v>
      </c>
      <c r="I23" s="207">
        <f t="shared" si="19"/>
        <v>4.8384435797815567E-2</v>
      </c>
      <c r="J23" s="207">
        <f t="shared" si="19"/>
        <v>5.0935901503386227E-2</v>
      </c>
      <c r="K23" s="679">
        <f t="shared" si="19"/>
        <v>5.3404611826412623E-2</v>
      </c>
      <c r="L23" s="679">
        <f t="shared" si="19"/>
        <v>5.5794528703054319E-2</v>
      </c>
      <c r="M23" s="679">
        <f t="shared" si="19"/>
        <v>5.7431103236845214E-2</v>
      </c>
      <c r="N23" s="679">
        <f t="shared" si="19"/>
        <v>5.9183370418907345E-2</v>
      </c>
      <c r="O23" s="679">
        <f t="shared" si="19"/>
        <v>6.2345683549291979E-2</v>
      </c>
      <c r="P23" s="679">
        <f t="shared" si="19"/>
        <v>6.5800773192414244E-2</v>
      </c>
      <c r="Q23" s="679">
        <f t="shared" si="19"/>
        <v>6.9591272084495101E-2</v>
      </c>
      <c r="R23" s="679">
        <f t="shared" si="19"/>
        <v>7.3550395113543998E-2</v>
      </c>
      <c r="S23" s="679">
        <f t="shared" si="19"/>
        <v>7.7914196726708213E-2</v>
      </c>
      <c r="T23" s="679">
        <f t="shared" si="19"/>
        <v>8.5573807930274887E-2</v>
      </c>
      <c r="U23" s="679">
        <f t="shared" si="19"/>
        <v>9.4111978044656749E-2</v>
      </c>
      <c r="V23" s="679">
        <f t="shared" si="19"/>
        <v>0.10368905962428517</v>
      </c>
      <c r="W23" s="679">
        <f t="shared" si="19"/>
        <v>0.11410836351617357</v>
      </c>
      <c r="X23" s="679">
        <f t="shared" si="19"/>
        <v>0.12593688957652868</v>
      </c>
      <c r="Y23" s="679">
        <f t="shared" si="19"/>
        <v>0.13489338852530885</v>
      </c>
      <c r="Z23" s="679">
        <f t="shared" si="19"/>
        <v>0.14518371909784489</v>
      </c>
      <c r="AA23" s="679">
        <f t="shared" si="19"/>
        <v>0.15712981065496517</v>
      </c>
      <c r="AB23" s="679">
        <f t="shared" si="19"/>
        <v>0.17054844801201974</v>
      </c>
      <c r="AC23" s="679">
        <f t="shared" si="19"/>
        <v>0.1865286737462496</v>
      </c>
      <c r="AD23" s="679">
        <f t="shared" si="19"/>
        <v>0.19812473580088386</v>
      </c>
      <c r="AE23" s="679">
        <f t="shared" si="19"/>
        <v>0.21158338763484488</v>
      </c>
      <c r="AF23" s="679">
        <f t="shared" si="19"/>
        <v>0.22739257811270522</v>
      </c>
      <c r="AG23" s="679">
        <f t="shared" si="19"/>
        <v>0.24622700313900031</v>
      </c>
      <c r="AH23" s="679">
        <f t="shared" si="19"/>
        <v>0.26904689744369092</v>
      </c>
      <c r="AI23" s="679">
        <f t="shared" si="19"/>
        <v>0.27343760751013663</v>
      </c>
      <c r="AJ23" s="679">
        <f t="shared" si="19"/>
        <v>0.27831797045604678</v>
      </c>
      <c r="AK23" s="679">
        <f t="shared" si="19"/>
        <v>0.28377473254492824</v>
      </c>
      <c r="AL23" s="679">
        <f t="shared" si="19"/>
        <v>0.2899164164745584</v>
      </c>
      <c r="AM23" s="679">
        <f t="shared" si="19"/>
        <v>0.29688061228289497</v>
      </c>
    </row>
    <row r="24" spans="1:39" x14ac:dyDescent="0.25">
      <c r="A24" s="675"/>
      <c r="B24" s="207" t="s">
        <v>20</v>
      </c>
      <c r="C24" s="207">
        <v>2301</v>
      </c>
      <c r="D24" s="207">
        <f t="shared" ref="D24:D31" si="20">D5/SUM(D$5:D$12)</f>
        <v>0.77604484324903367</v>
      </c>
      <c r="E24" s="207">
        <f t="shared" ref="E24:AM24" si="21">E5/SUM(E$5:E$12)</f>
        <v>0.76081534389436734</v>
      </c>
      <c r="F24" s="207">
        <f t="shared" si="21"/>
        <v>0.74503571681916647</v>
      </c>
      <c r="G24" s="207">
        <f t="shared" si="21"/>
        <v>0.72867560576133539</v>
      </c>
      <c r="H24" s="207">
        <f t="shared" si="21"/>
        <v>0.71170237918137857</v>
      </c>
      <c r="I24" s="207">
        <f t="shared" si="21"/>
        <v>0.69408091301954511</v>
      </c>
      <c r="J24" s="207">
        <f t="shared" si="21"/>
        <v>0.68529516470734064</v>
      </c>
      <c r="K24" s="679">
        <f t="shared" si="21"/>
        <v>0.67645426566498457</v>
      </c>
      <c r="L24" s="679">
        <f t="shared" si="21"/>
        <v>0.66755769496138972</v>
      </c>
      <c r="M24" s="679">
        <f t="shared" si="21"/>
        <v>0.65988738111983525</v>
      </c>
      <c r="N24" s="679">
        <f t="shared" si="21"/>
        <v>0.65271343583053132</v>
      </c>
      <c r="O24" s="679">
        <f t="shared" si="21"/>
        <v>0.64104038903312399</v>
      </c>
      <c r="P24" s="679">
        <f t="shared" si="21"/>
        <v>0.62990081222601901</v>
      </c>
      <c r="Q24" s="679">
        <f t="shared" si="21"/>
        <v>0.61925895221428851</v>
      </c>
      <c r="R24" s="679">
        <f t="shared" si="21"/>
        <v>0.61265958066505</v>
      </c>
      <c r="S24" s="679">
        <f t="shared" si="21"/>
        <v>0.60635273044699911</v>
      </c>
      <c r="T24" s="679">
        <f t="shared" si="21"/>
        <v>0.59092085156813767</v>
      </c>
      <c r="U24" s="679">
        <f t="shared" si="21"/>
        <v>0.57571876355465745</v>
      </c>
      <c r="V24" s="679">
        <f t="shared" si="21"/>
        <v>0.56074137173153937</v>
      </c>
      <c r="W24" s="679">
        <f t="shared" si="21"/>
        <v>0.54706795963175647</v>
      </c>
      <c r="X24" s="679">
        <f t="shared" si="21"/>
        <v>0.53372519031689492</v>
      </c>
      <c r="Y24" s="679">
        <f t="shared" si="21"/>
        <v>0.52542073569593906</v>
      </c>
      <c r="Z24" s="679">
        <f t="shared" si="21"/>
        <v>0.51735299332954976</v>
      </c>
      <c r="AA24" s="679">
        <f t="shared" si="21"/>
        <v>0.50951198447788582</v>
      </c>
      <c r="AB24" s="679">
        <f t="shared" si="21"/>
        <v>0.50156865985324106</v>
      </c>
      <c r="AC24" s="679">
        <f t="shared" si="21"/>
        <v>0.49384313978850092</v>
      </c>
      <c r="AD24" s="679">
        <f t="shared" si="21"/>
        <v>0.47619586252378204</v>
      </c>
      <c r="AE24" s="679">
        <f t="shared" si="21"/>
        <v>0.45882876938151512</v>
      </c>
      <c r="AF24" s="679">
        <f t="shared" si="21"/>
        <v>0.4417352402307772</v>
      </c>
      <c r="AG24" s="679">
        <f t="shared" si="21"/>
        <v>0.42490886186961702</v>
      </c>
      <c r="AH24" s="679">
        <f t="shared" si="21"/>
        <v>0.40834342000263324</v>
      </c>
      <c r="AI24" s="679">
        <f t="shared" si="21"/>
        <v>0.38885594046789701</v>
      </c>
      <c r="AJ24" s="679">
        <f t="shared" si="21"/>
        <v>0.36955859392673401</v>
      </c>
      <c r="AK24" s="679">
        <f t="shared" si="21"/>
        <v>0.35044861128911986</v>
      </c>
      <c r="AL24" s="679">
        <f t="shared" si="21"/>
        <v>0.33152327697714978</v>
      </c>
      <c r="AM24" s="679">
        <f t="shared" si="21"/>
        <v>0.3127799276386139</v>
      </c>
    </row>
    <row r="25" spans="1:39" x14ac:dyDescent="0.25">
      <c r="A25" s="677"/>
      <c r="B25" s="207" t="s">
        <v>224</v>
      </c>
      <c r="C25" s="207">
        <f>C24+1</f>
        <v>2302</v>
      </c>
      <c r="D25" s="207">
        <f t="shared" si="20"/>
        <v>6.1271502331526027E-3</v>
      </c>
      <c r="E25" s="207">
        <f t="shared" ref="E25:AM31" si="22">E6/SUM(E$5:E$12)</f>
        <v>5.5291148819300246E-3</v>
      </c>
      <c r="F25" s="207">
        <f t="shared" si="22"/>
        <v>4.9094769936242778E-3</v>
      </c>
      <c r="G25" s="207">
        <f t="shared" si="22"/>
        <v>4.2670445318170195E-3</v>
      </c>
      <c r="H25" s="207">
        <f t="shared" si="22"/>
        <v>3.600536113993373E-3</v>
      </c>
      <c r="I25" s="207">
        <f t="shared" si="22"/>
        <v>2.908572480801455E-3</v>
      </c>
      <c r="J25" s="207">
        <f t="shared" si="22"/>
        <v>4.1074832697406477E-3</v>
      </c>
      <c r="K25" s="679">
        <f t="shared" si="22"/>
        <v>5.3139199748621756E-3</v>
      </c>
      <c r="L25" s="679">
        <f t="shared" si="22"/>
        <v>6.5279536828712851E-3</v>
      </c>
      <c r="M25" s="679">
        <f t="shared" si="22"/>
        <v>5.0002388558998368E-3</v>
      </c>
      <c r="N25" s="679">
        <f t="shared" si="22"/>
        <v>3.5713869454373874E-3</v>
      </c>
      <c r="O25" s="679">
        <f t="shared" si="22"/>
        <v>2.7283981521324147E-3</v>
      </c>
      <c r="P25" s="679">
        <f t="shared" si="22"/>
        <v>1.9239347953475363E-3</v>
      </c>
      <c r="Q25" s="679">
        <f t="shared" si="22"/>
        <v>1.1554148977145078E-3</v>
      </c>
      <c r="R25" s="679">
        <f t="shared" si="22"/>
        <v>8.3973103869430799E-4</v>
      </c>
      <c r="S25" s="679">
        <f t="shared" si="22"/>
        <v>5.3804006702499346E-4</v>
      </c>
      <c r="T25" s="679">
        <f t="shared" si="22"/>
        <v>5.2825357270593954E-4</v>
      </c>
      <c r="U25" s="679">
        <f t="shared" si="22"/>
        <v>5.1861280574881478E-4</v>
      </c>
      <c r="V25" s="679">
        <f t="shared" si="22"/>
        <v>5.0911453524385593E-4</v>
      </c>
      <c r="W25" s="679">
        <f t="shared" si="22"/>
        <v>5.0042206159789306E-4</v>
      </c>
      <c r="X25" s="679">
        <f t="shared" si="22"/>
        <v>4.9193978447589824E-4</v>
      </c>
      <c r="Y25" s="679">
        <f t="shared" si="22"/>
        <v>3.9385142283578973E-4</v>
      </c>
      <c r="Z25" s="679">
        <f t="shared" si="22"/>
        <v>2.9855899642447026E-4</v>
      </c>
      <c r="AA25" s="679">
        <f t="shared" si="22"/>
        <v>2.0594464100076013E-4</v>
      </c>
      <c r="AB25" s="679">
        <f t="shared" si="22"/>
        <v>2.1355590666400967E-4</v>
      </c>
      <c r="AC25" s="679">
        <f t="shared" si="22"/>
        <v>2.2095847276549631E-4</v>
      </c>
      <c r="AD25" s="679">
        <f t="shared" si="22"/>
        <v>2.1204071801566714E-4</v>
      </c>
      <c r="AE25" s="679">
        <f t="shared" si="22"/>
        <v>2.0326454959960165E-4</v>
      </c>
      <c r="AF25" s="679">
        <f t="shared" si="22"/>
        <v>1.9462662214548429E-4</v>
      </c>
      <c r="AG25" s="679">
        <f t="shared" si="22"/>
        <v>1.8612369484957494E-4</v>
      </c>
      <c r="AH25" s="679">
        <f t="shared" si="22"/>
        <v>1.77752627422213E-4</v>
      </c>
      <c r="AI25" s="679">
        <f t="shared" si="22"/>
        <v>1.7688123923805153E-4</v>
      </c>
      <c r="AJ25" s="679">
        <f t="shared" si="22"/>
        <v>1.7601835290471812E-4</v>
      </c>
      <c r="AK25" s="679">
        <f t="shared" si="22"/>
        <v>1.7516384460156552E-4</v>
      </c>
      <c r="AL25" s="679">
        <f t="shared" si="22"/>
        <v>1.7431759290075627E-4</v>
      </c>
      <c r="AM25" s="679">
        <f t="shared" si="22"/>
        <v>1.7347947870973948E-4</v>
      </c>
    </row>
    <row r="26" spans="1:39" x14ac:dyDescent="0.25">
      <c r="A26" s="677"/>
      <c r="B26" s="207" t="s">
        <v>32</v>
      </c>
      <c r="C26" s="207">
        <f t="shared" ref="C26:C31" si="23">C25+1</f>
        <v>2303</v>
      </c>
      <c r="D26" s="207">
        <f t="shared" si="20"/>
        <v>4.0298111761087288E-2</v>
      </c>
      <c r="E26" s="207">
        <f t="shared" si="22"/>
        <v>4.4246306077926845E-2</v>
      </c>
      <c r="F26" s="207">
        <f t="shared" si="22"/>
        <v>4.8337119077703355E-2</v>
      </c>
      <c r="G26" s="207">
        <f t="shared" si="22"/>
        <v>5.2578420514943366E-2</v>
      </c>
      <c r="H26" s="207">
        <f t="shared" si="22"/>
        <v>5.6978670001863164E-2</v>
      </c>
      <c r="I26" s="207">
        <f t="shared" si="22"/>
        <v>6.1546973327816876E-2</v>
      </c>
      <c r="J26" s="207">
        <f t="shared" si="22"/>
        <v>5.874358182751202E-2</v>
      </c>
      <c r="K26" s="679">
        <f t="shared" si="22"/>
        <v>5.5922592612971701E-2</v>
      </c>
      <c r="L26" s="679">
        <f t="shared" si="22"/>
        <v>5.3083839463433653E-2</v>
      </c>
      <c r="M26" s="679">
        <f t="shared" si="22"/>
        <v>5.9695648360393143E-2</v>
      </c>
      <c r="N26" s="679">
        <f t="shared" si="22"/>
        <v>6.5879587671083498E-2</v>
      </c>
      <c r="O26" s="679">
        <f t="shared" si="22"/>
        <v>6.4341297422376709E-2</v>
      </c>
      <c r="P26" s="679">
        <f t="shared" si="22"/>
        <v>6.2873308586685939E-2</v>
      </c>
      <c r="Q26" s="679">
        <f t="shared" si="22"/>
        <v>6.1470909558543257E-2</v>
      </c>
      <c r="R26" s="679">
        <f t="shared" si="22"/>
        <v>5.3366594251602256E-2</v>
      </c>
      <c r="S26" s="679">
        <f t="shared" si="22"/>
        <v>4.5621507862788548E-2</v>
      </c>
      <c r="T26" s="679">
        <f t="shared" si="22"/>
        <v>4.2043330223026018E-2</v>
      </c>
      <c r="U26" s="679">
        <f t="shared" si="22"/>
        <v>3.8518434010806062E-2</v>
      </c>
      <c r="V26" s="679">
        <f t="shared" si="22"/>
        <v>3.5045637927831837E-2</v>
      </c>
      <c r="W26" s="679">
        <f t="shared" si="22"/>
        <v>3.1920895190768142E-2</v>
      </c>
      <c r="X26" s="679">
        <f t="shared" si="22"/>
        <v>2.8871713230576121E-2</v>
      </c>
      <c r="Y26" s="679">
        <f t="shared" si="22"/>
        <v>2.2632261557784399E-2</v>
      </c>
      <c r="Z26" s="679">
        <f t="shared" si="22"/>
        <v>1.6570660778295311E-2</v>
      </c>
      <c r="AA26" s="679">
        <f t="shared" si="22"/>
        <v>1.0679413486458534E-2</v>
      </c>
      <c r="AB26" s="679">
        <f t="shared" si="22"/>
        <v>6.5286366470630863E-3</v>
      </c>
      <c r="AC26" s="679">
        <f t="shared" si="22"/>
        <v>2.4916733763543368E-3</v>
      </c>
      <c r="AD26" s="679">
        <f t="shared" si="22"/>
        <v>2.4722737560951527E-3</v>
      </c>
      <c r="AE26" s="679">
        <f t="shared" si="22"/>
        <v>2.4531821417394678E-3</v>
      </c>
      <c r="AF26" s="679">
        <f t="shared" si="22"/>
        <v>2.4343912557892263E-3</v>
      </c>
      <c r="AG26" s="679">
        <f t="shared" si="22"/>
        <v>2.4158940482230215E-3</v>
      </c>
      <c r="AH26" s="679">
        <f t="shared" si="22"/>
        <v>2.3976836876770597E-3</v>
      </c>
      <c r="AI26" s="679">
        <f t="shared" si="22"/>
        <v>2.3857468398783186E-3</v>
      </c>
      <c r="AJ26" s="679">
        <f t="shared" si="22"/>
        <v>2.3739264560174492E-3</v>
      </c>
      <c r="AK26" s="679">
        <f t="shared" si="22"/>
        <v>2.3622208399178822E-3</v>
      </c>
      <c r="AL26" s="679">
        <f t="shared" si="22"/>
        <v>2.3506283281813289E-3</v>
      </c>
      <c r="AM26" s="679">
        <f t="shared" si="22"/>
        <v>2.3391472893997903E-3</v>
      </c>
    </row>
    <row r="27" spans="1:39" x14ac:dyDescent="0.25">
      <c r="A27" s="677" t="s">
        <v>104</v>
      </c>
      <c r="B27" s="207" t="s">
        <v>42</v>
      </c>
      <c r="C27" s="207">
        <f t="shared" si="23"/>
        <v>2304</v>
      </c>
      <c r="D27" s="207">
        <f t="shared" si="20"/>
        <v>1.8890013217206594E-2</v>
      </c>
      <c r="E27" s="207">
        <f t="shared" si="22"/>
        <v>1.6445307119754556E-2</v>
      </c>
      <c r="F27" s="207">
        <f t="shared" si="22"/>
        <v>1.391229210541375E-2</v>
      </c>
      <c r="G27" s="207">
        <f t="shared" si="22"/>
        <v>1.1286095253721628E-2</v>
      </c>
      <c r="H27" s="207">
        <f t="shared" si="22"/>
        <v>8.5614784066982488E-3</v>
      </c>
      <c r="I27" s="207">
        <f t="shared" si="22"/>
        <v>5.7328032960696296E-3</v>
      </c>
      <c r="J27" s="207">
        <f t="shared" si="22"/>
        <v>5.4684210253631155E-3</v>
      </c>
      <c r="K27" s="679">
        <f t="shared" si="22"/>
        <v>5.2023791492649485E-3</v>
      </c>
      <c r="L27" s="679">
        <f t="shared" si="22"/>
        <v>4.9346619918259962E-3</v>
      </c>
      <c r="M27" s="679">
        <f t="shared" si="22"/>
        <v>3.1081956058354714E-3</v>
      </c>
      <c r="N27" s="679">
        <f t="shared" si="22"/>
        <v>1.3999252277888078E-3</v>
      </c>
      <c r="O27" s="679">
        <f t="shared" si="22"/>
        <v>1.0633685793792805E-3</v>
      </c>
      <c r="P27" s="679">
        <f t="shared" si="22"/>
        <v>7.4219290862531976E-4</v>
      </c>
      <c r="Q27" s="679">
        <f t="shared" si="22"/>
        <v>4.3536738136136266E-4</v>
      </c>
      <c r="R27" s="679">
        <f t="shared" si="22"/>
        <v>4.2549971844281514E-4</v>
      </c>
      <c r="S27" s="679">
        <f t="shared" si="22"/>
        <v>4.160694459441144E-4</v>
      </c>
      <c r="T27" s="679">
        <f t="shared" si="22"/>
        <v>3.4412369550391488E-4</v>
      </c>
      <c r="U27" s="679">
        <f t="shared" si="22"/>
        <v>2.7324926478984553E-4</v>
      </c>
      <c r="V27" s="679">
        <f t="shared" si="22"/>
        <v>2.0342240165737449E-4</v>
      </c>
      <c r="W27" s="679">
        <f t="shared" si="22"/>
        <v>2.0093277707397688E-4</v>
      </c>
      <c r="X27" s="679">
        <f t="shared" si="22"/>
        <v>1.9850335519636008E-4</v>
      </c>
      <c r="Y27" s="679">
        <f t="shared" si="22"/>
        <v>1.9563335694359284E-4</v>
      </c>
      <c r="Z27" s="679">
        <f t="shared" si="22"/>
        <v>1.9284516583988271E-4</v>
      </c>
      <c r="AA27" s="679">
        <f t="shared" si="22"/>
        <v>1.9013533325829202E-4</v>
      </c>
      <c r="AB27" s="679">
        <f t="shared" si="22"/>
        <v>1.8749235967577E-4</v>
      </c>
      <c r="AC27" s="679">
        <f t="shared" si="22"/>
        <v>1.8492185596262671E-4</v>
      </c>
      <c r="AD27" s="679">
        <f t="shared" si="22"/>
        <v>1.8344211586355179E-4</v>
      </c>
      <c r="AE27" s="679">
        <f t="shared" si="22"/>
        <v>1.8198586945559407E-4</v>
      </c>
      <c r="AF27" s="679">
        <f t="shared" si="22"/>
        <v>1.8055256163481076E-4</v>
      </c>
      <c r="AG27" s="679">
        <f t="shared" si="22"/>
        <v>1.7914165464843991E-4</v>
      </c>
      <c r="AH27" s="679">
        <f t="shared" si="22"/>
        <v>1.77752627422213E-4</v>
      </c>
      <c r="AI27" s="679">
        <f t="shared" si="22"/>
        <v>1.7688123923805153E-4</v>
      </c>
      <c r="AJ27" s="679">
        <f t="shared" si="22"/>
        <v>1.7601835290471812E-4</v>
      </c>
      <c r="AK27" s="679">
        <f t="shared" si="22"/>
        <v>1.7516384460156552E-4</v>
      </c>
      <c r="AL27" s="679">
        <f t="shared" si="22"/>
        <v>1.7431759290075627E-4</v>
      </c>
      <c r="AM27" s="679">
        <f t="shared" si="22"/>
        <v>1.7347947870973948E-4</v>
      </c>
    </row>
    <row r="28" spans="1:39" x14ac:dyDescent="0.25">
      <c r="A28" s="677"/>
      <c r="B28" s="207" t="s">
        <v>473</v>
      </c>
      <c r="C28" s="207">
        <f t="shared" si="23"/>
        <v>2305</v>
      </c>
      <c r="D28" s="207">
        <f t="shared" si="20"/>
        <v>5.3449221223827802E-2</v>
      </c>
      <c r="E28" s="207">
        <f t="shared" si="22"/>
        <v>5.9116927569389945E-2</v>
      </c>
      <c r="F28" s="207">
        <f t="shared" si="22"/>
        <v>6.4989365685835271E-2</v>
      </c>
      <c r="G28" s="207">
        <f t="shared" si="22"/>
        <v>7.1077832752098946E-2</v>
      </c>
      <c r="H28" s="207">
        <f t="shared" si="22"/>
        <v>7.7394472698796221E-2</v>
      </c>
      <c r="I28" s="207">
        <f t="shared" si="22"/>
        <v>8.3952357055837243E-2</v>
      </c>
      <c r="J28" s="207">
        <f t="shared" si="22"/>
        <v>8.8113603139197527E-2</v>
      </c>
      <c r="K28" s="679">
        <f t="shared" si="22"/>
        <v>9.2300970589990941E-2</v>
      </c>
      <c r="L28" s="679">
        <f t="shared" si="22"/>
        <v>9.6514706139898071E-2</v>
      </c>
      <c r="M28" s="679">
        <f t="shared" si="22"/>
        <v>0.10226588462739533</v>
      </c>
      <c r="N28" s="679">
        <f t="shared" si="22"/>
        <v>0.10764488745186988</v>
      </c>
      <c r="O28" s="679">
        <f t="shared" si="22"/>
        <v>0.11234203444886132</v>
      </c>
      <c r="P28" s="679">
        <f t="shared" si="22"/>
        <v>0.1168245170993094</v>
      </c>
      <c r="Q28" s="679">
        <f t="shared" si="22"/>
        <v>0.12110672222227732</v>
      </c>
      <c r="R28" s="679">
        <f t="shared" si="22"/>
        <v>0.1260507922032833</v>
      </c>
      <c r="S28" s="679">
        <f t="shared" si="22"/>
        <v>0.13077571314539368</v>
      </c>
      <c r="T28" s="679">
        <f t="shared" si="22"/>
        <v>0.14685868567971924</v>
      </c>
      <c r="U28" s="679">
        <f t="shared" si="22"/>
        <v>0.16270217213424973</v>
      </c>
      <c r="V28" s="679">
        <f t="shared" si="22"/>
        <v>0.17831148213583314</v>
      </c>
      <c r="W28" s="679">
        <f t="shared" si="22"/>
        <v>0.19204719764544842</v>
      </c>
      <c r="X28" s="679">
        <f t="shared" si="22"/>
        <v>0.20545076378401808</v>
      </c>
      <c r="Y28" s="679">
        <f t="shared" si="22"/>
        <v>0.21523994409225805</v>
      </c>
      <c r="Z28" s="679">
        <f t="shared" si="22"/>
        <v>0.22475009115305514</v>
      </c>
      <c r="AA28" s="679">
        <f t="shared" si="22"/>
        <v>0.23399296777179765</v>
      </c>
      <c r="AB28" s="679">
        <f t="shared" si="22"/>
        <v>0.24226397806365829</v>
      </c>
      <c r="AC28" s="679">
        <f t="shared" si="22"/>
        <v>0.25030819871242688</v>
      </c>
      <c r="AD28" s="679">
        <f t="shared" si="22"/>
        <v>0.26161782536540723</v>
      </c>
      <c r="AE28" s="679">
        <f t="shared" si="22"/>
        <v>0.27274789016465284</v>
      </c>
      <c r="AF28" s="679">
        <f t="shared" si="22"/>
        <v>0.28370263575949739</v>
      </c>
      <c r="AG28" s="679">
        <f t="shared" si="22"/>
        <v>0.2944861721845165</v>
      </c>
      <c r="AH28" s="679">
        <f t="shared" si="22"/>
        <v>0.30510248200086382</v>
      </c>
      <c r="AI28" s="679">
        <f t="shared" si="22"/>
        <v>0.31733182837971236</v>
      </c>
      <c r="AJ28" s="679">
        <f t="shared" si="22"/>
        <v>0.3294418570072678</v>
      </c>
      <c r="AK28" s="679">
        <f t="shared" si="22"/>
        <v>0.34143430562293359</v>
      </c>
      <c r="AL28" s="679">
        <f t="shared" si="22"/>
        <v>0.3533108783846417</v>
      </c>
      <c r="AM28" s="679">
        <f t="shared" si="22"/>
        <v>0.3650732466761456</v>
      </c>
    </row>
    <row r="29" spans="1:39" x14ac:dyDescent="0.25">
      <c r="A29" s="677"/>
      <c r="B29" s="207" t="s">
        <v>279</v>
      </c>
      <c r="C29" s="207">
        <f t="shared" si="23"/>
        <v>2306</v>
      </c>
      <c r="D29" s="207">
        <f t="shared" si="20"/>
        <v>2.355534589191129E-2</v>
      </c>
      <c r="E29" s="207">
        <f t="shared" si="22"/>
        <v>2.605313314356127E-2</v>
      </c>
      <c r="F29" s="207">
        <f t="shared" si="22"/>
        <v>2.8641146736545987E-2</v>
      </c>
      <c r="G29" s="207">
        <f t="shared" si="22"/>
        <v>3.1324365395556414E-2</v>
      </c>
      <c r="H29" s="207">
        <f t="shared" si="22"/>
        <v>3.4108141013091273E-2</v>
      </c>
      <c r="I29" s="207">
        <f t="shared" si="22"/>
        <v>3.6998234279415454E-2</v>
      </c>
      <c r="J29" s="207">
        <f t="shared" si="22"/>
        <v>3.8298411869931034E-2</v>
      </c>
      <c r="K29" s="679">
        <f t="shared" si="22"/>
        <v>3.9606751058172351E-2</v>
      </c>
      <c r="L29" s="679">
        <f t="shared" si="22"/>
        <v>4.0923328935230777E-2</v>
      </c>
      <c r="M29" s="679">
        <f t="shared" si="22"/>
        <v>4.9861252961797643E-2</v>
      </c>
      <c r="N29" s="679">
        <f t="shared" si="22"/>
        <v>5.8220777655451104E-2</v>
      </c>
      <c r="O29" s="679">
        <f t="shared" si="22"/>
        <v>6.944217888581572E-2</v>
      </c>
      <c r="P29" s="679">
        <f t="shared" si="22"/>
        <v>8.01507507829788E-2</v>
      </c>
      <c r="Q29" s="679">
        <f t="shared" si="22"/>
        <v>9.0380863203629924E-2</v>
      </c>
      <c r="R29" s="679">
        <f t="shared" si="22"/>
        <v>0.1011872949412343</v>
      </c>
      <c r="S29" s="679">
        <f t="shared" si="22"/>
        <v>0.11151472473544295</v>
      </c>
      <c r="T29" s="679">
        <f t="shared" si="22"/>
        <v>0.11706016306398408</v>
      </c>
      <c r="U29" s="679">
        <f t="shared" si="22"/>
        <v>0.1225230261544457</v>
      </c>
      <c r="V29" s="679">
        <f t="shared" si="22"/>
        <v>0.12790514477587073</v>
      </c>
      <c r="W29" s="679">
        <f t="shared" si="22"/>
        <v>0.13283904028463256</v>
      </c>
      <c r="X29" s="679">
        <f t="shared" si="22"/>
        <v>0.13765362709856213</v>
      </c>
      <c r="Y29" s="679">
        <f t="shared" si="22"/>
        <v>0.14333642869419311</v>
      </c>
      <c r="Z29" s="679">
        <f t="shared" si="22"/>
        <v>0.14885724628974722</v>
      </c>
      <c r="AA29" s="679">
        <f t="shared" si="22"/>
        <v>0.15422290841295866</v>
      </c>
      <c r="AB29" s="679">
        <f t="shared" si="22"/>
        <v>0.15899842192882152</v>
      </c>
      <c r="AC29" s="679">
        <f t="shared" si="22"/>
        <v>0.16364299170654034</v>
      </c>
      <c r="AD29" s="679">
        <f t="shared" si="22"/>
        <v>0.17041112692305058</v>
      </c>
      <c r="AE29" s="679">
        <f t="shared" si="22"/>
        <v>0.17707180510821097</v>
      </c>
      <c r="AF29" s="679">
        <f t="shared" si="22"/>
        <v>0.18362756523393001</v>
      </c>
      <c r="AG29" s="679">
        <f t="shared" si="22"/>
        <v>0.19008086691011392</v>
      </c>
      <c r="AH29" s="679">
        <f t="shared" si="22"/>
        <v>0.19643409346144916</v>
      </c>
      <c r="AI29" s="679">
        <f t="shared" si="22"/>
        <v>0.20383148972478457</v>
      </c>
      <c r="AJ29" s="679">
        <f t="shared" si="22"/>
        <v>0.21115671200103825</v>
      </c>
      <c r="AK29" s="679">
        <f t="shared" si="22"/>
        <v>0.21841081142954108</v>
      </c>
      <c r="AL29" s="679">
        <f t="shared" si="22"/>
        <v>0.22559481883656346</v>
      </c>
      <c r="AM29" s="679">
        <f t="shared" si="22"/>
        <v>0.23270974522363816</v>
      </c>
    </row>
    <row r="30" spans="1:39" x14ac:dyDescent="0.25">
      <c r="A30" s="677"/>
      <c r="B30" s="207" t="s">
        <v>18</v>
      </c>
      <c r="C30" s="207">
        <f t="shared" si="23"/>
        <v>2307</v>
      </c>
      <c r="D30" s="207">
        <f t="shared" si="20"/>
        <v>6.5312549973026754E-2</v>
      </c>
      <c r="E30" s="207">
        <f t="shared" si="22"/>
        <v>7.2238232807147154E-2</v>
      </c>
      <c r="F30" s="207">
        <f t="shared" si="22"/>
        <v>7.9414088678604777E-2</v>
      </c>
      <c r="G30" s="207">
        <f t="shared" si="22"/>
        <v>8.6853922233133707E-2</v>
      </c>
      <c r="H30" s="207">
        <f t="shared" si="22"/>
        <v>9.4572572809025826E-2</v>
      </c>
      <c r="I30" s="207">
        <f t="shared" si="22"/>
        <v>0.10258601322928831</v>
      </c>
      <c r="J30" s="207">
        <f t="shared" si="22"/>
        <v>0.10716389784899513</v>
      </c>
      <c r="K30" s="679">
        <f t="shared" si="22"/>
        <v>0.11177051919895592</v>
      </c>
      <c r="L30" s="679">
        <f t="shared" si="22"/>
        <v>0.11640614871449152</v>
      </c>
      <c r="M30" s="679">
        <f t="shared" si="22"/>
        <v>0.10367824809267601</v>
      </c>
      <c r="N30" s="679">
        <f t="shared" si="22"/>
        <v>9.1774007328246254E-2</v>
      </c>
      <c r="O30" s="679">
        <f t="shared" si="22"/>
        <v>9.1026467323408175E-2</v>
      </c>
      <c r="P30" s="679">
        <f t="shared" si="22"/>
        <v>9.0313090649365602E-2</v>
      </c>
      <c r="Q30" s="679">
        <f t="shared" si="22"/>
        <v>8.9631587677371796E-2</v>
      </c>
      <c r="R30" s="679">
        <f t="shared" si="22"/>
        <v>8.9390323333913668E-2</v>
      </c>
      <c r="S30" s="679">
        <f t="shared" si="22"/>
        <v>8.9159753185560298E-2</v>
      </c>
      <c r="T30" s="679">
        <f t="shared" si="22"/>
        <v>8.584323090212001E-2</v>
      </c>
      <c r="U30" s="679">
        <f t="shared" si="22"/>
        <v>8.2576093825209071E-2</v>
      </c>
      <c r="V30" s="679">
        <f t="shared" si="22"/>
        <v>7.9357247039337206E-2</v>
      </c>
      <c r="W30" s="679">
        <f t="shared" si="22"/>
        <v>7.6870566723628256E-2</v>
      </c>
      <c r="X30" s="679">
        <f t="shared" si="22"/>
        <v>7.4444017917069713E-2</v>
      </c>
      <c r="Y30" s="679">
        <f t="shared" si="22"/>
        <v>7.2839212226750966E-2</v>
      </c>
      <c r="Z30" s="679">
        <f t="shared" si="22"/>
        <v>7.1280150319791374E-2</v>
      </c>
      <c r="AA30" s="679">
        <f t="shared" si="22"/>
        <v>6.9764903840963455E-2</v>
      </c>
      <c r="AB30" s="679">
        <f t="shared" si="22"/>
        <v>6.8256300178454965E-2</v>
      </c>
      <c r="AC30" s="679">
        <f t="shared" si="22"/>
        <v>6.6789062162235666E-2</v>
      </c>
      <c r="AD30" s="679">
        <f t="shared" si="22"/>
        <v>6.6337438716270528E-2</v>
      </c>
      <c r="AE30" s="679">
        <f t="shared" si="22"/>
        <v>6.5892985652284908E-2</v>
      </c>
      <c r="AF30" s="679">
        <f t="shared" si="22"/>
        <v>6.5455533550016654E-2</v>
      </c>
      <c r="AG30" s="679">
        <f t="shared" si="22"/>
        <v>6.5024918284863356E-2</v>
      </c>
      <c r="AH30" s="679">
        <f t="shared" si="22"/>
        <v>6.4600980822575094E-2</v>
      </c>
      <c r="AI30" s="679">
        <f t="shared" si="22"/>
        <v>6.4519922920697345E-2</v>
      </c>
      <c r="AJ30" s="679">
        <f t="shared" si="22"/>
        <v>6.4439655874379415E-2</v>
      </c>
      <c r="AK30" s="679">
        <f t="shared" si="22"/>
        <v>6.4360168165629589E-2</v>
      </c>
      <c r="AL30" s="679">
        <f t="shared" si="22"/>
        <v>6.4281448499039121E-2</v>
      </c>
      <c r="AM30" s="679">
        <f t="shared" si="22"/>
        <v>6.4203485796431259E-2</v>
      </c>
    </row>
    <row r="31" spans="1:39" ht="15.75" thickBot="1" x14ac:dyDescent="0.3">
      <c r="A31" s="676"/>
      <c r="B31" s="207" t="s">
        <v>476</v>
      </c>
      <c r="C31" s="207">
        <f t="shared" si="23"/>
        <v>2308</v>
      </c>
      <c r="D31" s="207">
        <f t="shared" si="20"/>
        <v>1.6322764450753993E-2</v>
      </c>
      <c r="E31" s="207">
        <f t="shared" si="22"/>
        <v>1.5555634505922794E-2</v>
      </c>
      <c r="F31" s="207">
        <f t="shared" si="22"/>
        <v>1.4760793903106334E-2</v>
      </c>
      <c r="G31" s="207">
        <f t="shared" si="22"/>
        <v>1.3936713557393537E-2</v>
      </c>
      <c r="H31" s="207">
        <f t="shared" si="22"/>
        <v>1.3081749775153369E-2</v>
      </c>
      <c r="I31" s="207">
        <f t="shared" si="22"/>
        <v>1.2194133311226062E-2</v>
      </c>
      <c r="J31" s="207">
        <f t="shared" si="22"/>
        <v>1.2809436311919923E-2</v>
      </c>
      <c r="K31" s="679">
        <f t="shared" si="22"/>
        <v>1.3428601750797409E-2</v>
      </c>
      <c r="L31" s="679">
        <f t="shared" si="22"/>
        <v>1.4051666110859139E-2</v>
      </c>
      <c r="M31" s="679">
        <f t="shared" si="22"/>
        <v>1.6503150376167182E-2</v>
      </c>
      <c r="N31" s="679">
        <f t="shared" si="22"/>
        <v>1.8795991889591537E-2</v>
      </c>
      <c r="O31" s="679">
        <f t="shared" si="22"/>
        <v>1.8015866154902541E-2</v>
      </c>
      <c r="P31" s="679">
        <f t="shared" si="22"/>
        <v>1.7271392951668459E-2</v>
      </c>
      <c r="Q31" s="679">
        <f t="shared" si="22"/>
        <v>1.6560182844813354E-2</v>
      </c>
      <c r="R31" s="679">
        <f t="shared" si="22"/>
        <v>1.6080183847779452E-2</v>
      </c>
      <c r="S31" s="679">
        <f t="shared" si="22"/>
        <v>1.5621461110846018E-2</v>
      </c>
      <c r="T31" s="679">
        <f t="shared" si="22"/>
        <v>1.6401361294803209E-2</v>
      </c>
      <c r="U31" s="679">
        <f t="shared" si="22"/>
        <v>1.7169648250093331E-2</v>
      </c>
      <c r="V31" s="679">
        <f t="shared" si="22"/>
        <v>1.7926579452686487E-2</v>
      </c>
      <c r="W31" s="679">
        <f t="shared" si="22"/>
        <v>1.8552985685094274E-2</v>
      </c>
      <c r="X31" s="679">
        <f t="shared" si="22"/>
        <v>1.9164244513206478E-2</v>
      </c>
      <c r="Y31" s="679">
        <f t="shared" si="22"/>
        <v>1.9941932953295171E-2</v>
      </c>
      <c r="Z31" s="679">
        <f t="shared" si="22"/>
        <v>2.0697453967296709E-2</v>
      </c>
      <c r="AA31" s="679">
        <f t="shared" si="22"/>
        <v>2.1431742035676823E-2</v>
      </c>
      <c r="AB31" s="679">
        <f t="shared" si="22"/>
        <v>2.1982955062421462E-2</v>
      </c>
      <c r="AC31" s="679">
        <f t="shared" si="22"/>
        <v>2.2519053925213708E-2</v>
      </c>
      <c r="AD31" s="679">
        <f t="shared" si="22"/>
        <v>2.2569989881515307E-2</v>
      </c>
      <c r="AE31" s="679">
        <f t="shared" si="22"/>
        <v>2.2620117132541664E-2</v>
      </c>
      <c r="AF31" s="679">
        <f t="shared" si="22"/>
        <v>2.2669454786209214E-2</v>
      </c>
      <c r="AG31" s="679">
        <f t="shared" si="22"/>
        <v>2.2718021353168052E-2</v>
      </c>
      <c r="AH31" s="679">
        <f t="shared" si="22"/>
        <v>2.2765834769957295E-2</v>
      </c>
      <c r="AI31" s="679">
        <f t="shared" si="22"/>
        <v>2.2721309188554417E-2</v>
      </c>
      <c r="AJ31" s="679">
        <f t="shared" si="22"/>
        <v>2.2677218028753762E-2</v>
      </c>
      <c r="AK31" s="679">
        <f t="shared" si="22"/>
        <v>2.2633554963654861E-2</v>
      </c>
      <c r="AL31" s="679">
        <f t="shared" si="22"/>
        <v>2.2590313788623365E-2</v>
      </c>
      <c r="AM31" s="679">
        <f t="shared" si="22"/>
        <v>2.254748841835174E-2</v>
      </c>
    </row>
    <row r="32" spans="1:39" x14ac:dyDescent="0.25">
      <c r="A32" s="675"/>
      <c r="B32" s="207" t="s">
        <v>287</v>
      </c>
      <c r="C32" s="207">
        <v>2401</v>
      </c>
      <c r="D32" s="207">
        <f t="shared" ref="D32:AM37" si="24">D13/SUM(D$13:D$18)</f>
        <v>0.69900476281967894</v>
      </c>
      <c r="E32" s="207">
        <f t="shared" si="24"/>
        <v>0.69597279409696233</v>
      </c>
      <c r="F32" s="207">
        <f t="shared" si="24"/>
        <v>0.69294627288754818</v>
      </c>
      <c r="G32" s="207">
        <f t="shared" si="24"/>
        <v>0.68992518452336005</v>
      </c>
      <c r="H32" s="207">
        <f t="shared" si="24"/>
        <v>0.68690951438893511</v>
      </c>
      <c r="I32" s="207">
        <f t="shared" si="24"/>
        <v>0.68389924792118773</v>
      </c>
      <c r="J32" s="207">
        <f t="shared" si="24"/>
        <v>0.6562350537908247</v>
      </c>
      <c r="K32" s="679">
        <f t="shared" si="24"/>
        <v>0.62790966987834718</v>
      </c>
      <c r="L32" s="679">
        <f t="shared" si="24"/>
        <v>0.6075472143236389</v>
      </c>
      <c r="M32" s="679">
        <f t="shared" si="24"/>
        <v>0.58537606776667628</v>
      </c>
      <c r="N32" s="679">
        <f t="shared" si="24"/>
        <v>0.56618815148850876</v>
      </c>
      <c r="O32" s="679">
        <f t="shared" si="24"/>
        <v>0.54050873211664541</v>
      </c>
      <c r="P32" s="679">
        <f t="shared" si="24"/>
        <v>0.51504044653365511</v>
      </c>
      <c r="Q32" s="679">
        <f t="shared" si="24"/>
        <v>0.48978070151670217</v>
      </c>
      <c r="R32" s="679">
        <f t="shared" si="24"/>
        <v>0.46630434297149104</v>
      </c>
      <c r="S32" s="679">
        <f t="shared" si="24"/>
        <v>0.44350724759371085</v>
      </c>
      <c r="T32" s="679">
        <f t="shared" si="24"/>
        <v>0.40846410324006366</v>
      </c>
      <c r="U32" s="679">
        <f t="shared" si="24"/>
        <v>0.37320037009146084</v>
      </c>
      <c r="V32" s="679">
        <f t="shared" si="24"/>
        <v>0.33771395873565047</v>
      </c>
      <c r="W32" s="679">
        <f t="shared" si="24"/>
        <v>0.32154648888607235</v>
      </c>
      <c r="X32" s="679">
        <f t="shared" si="24"/>
        <v>0.30563886948685881</v>
      </c>
      <c r="Y32" s="679">
        <f t="shared" si="24"/>
        <v>0.27998330357012646</v>
      </c>
      <c r="Z32" s="679">
        <f t="shared" si="24"/>
        <v>0.25444533765598321</v>
      </c>
      <c r="AA32" s="679">
        <f t="shared" si="24"/>
        <v>0.22902416501090969</v>
      </c>
      <c r="AB32" s="679">
        <f t="shared" si="24"/>
        <v>0.27044265001231332</v>
      </c>
      <c r="AC32" s="679">
        <f t="shared" si="24"/>
        <v>0.31197387731472248</v>
      </c>
      <c r="AD32" s="679">
        <f t="shared" si="24"/>
        <v>0.2775687029486647</v>
      </c>
      <c r="AE32" s="679">
        <f t="shared" si="24"/>
        <v>0.24316812164237878</v>
      </c>
      <c r="AF32" s="679">
        <f t="shared" si="24"/>
        <v>0.2087721324761718</v>
      </c>
      <c r="AG32" s="679">
        <f t="shared" si="24"/>
        <v>0.17438073453059688</v>
      </c>
      <c r="AH32" s="679">
        <f t="shared" si="24"/>
        <v>0.13999392688645226</v>
      </c>
      <c r="AI32" s="679">
        <f t="shared" si="24"/>
        <v>0.15427007291010822</v>
      </c>
      <c r="AJ32" s="679">
        <f t="shared" si="24"/>
        <v>0.16854089988093229</v>
      </c>
      <c r="AK32" s="679">
        <f t="shared" si="24"/>
        <v>0.18280641077105575</v>
      </c>
      <c r="AL32" s="679">
        <f t="shared" si="24"/>
        <v>0.19706660855039607</v>
      </c>
      <c r="AM32" s="679">
        <f t="shared" si="24"/>
        <v>0.21132149618665863</v>
      </c>
    </row>
    <row r="33" spans="1:39" x14ac:dyDescent="0.25">
      <c r="A33" s="677"/>
      <c r="B33" s="207" t="s">
        <v>289</v>
      </c>
      <c r="C33" s="207">
        <v>2402</v>
      </c>
      <c r="D33" s="207">
        <f t="shared" si="24"/>
        <v>0.18329006419278157</v>
      </c>
      <c r="E33" s="207">
        <f t="shared" si="24"/>
        <v>0.18539471617214445</v>
      </c>
      <c r="F33" s="207">
        <f t="shared" si="24"/>
        <v>0.18749558674058139</v>
      </c>
      <c r="G33" s="207">
        <f t="shared" si="24"/>
        <v>0.18959268607999044</v>
      </c>
      <c r="H33" s="207">
        <f t="shared" si="24"/>
        <v>0.19168602433574794</v>
      </c>
      <c r="I33" s="207">
        <f t="shared" si="24"/>
        <v>0.19377561161687165</v>
      </c>
      <c r="J33" s="207">
        <f t="shared" si="24"/>
        <v>0.1989005757270885</v>
      </c>
      <c r="K33" s="679">
        <f t="shared" si="24"/>
        <v>0.20414802935886558</v>
      </c>
      <c r="L33" s="679">
        <f t="shared" si="24"/>
        <v>0.20388799559223028</v>
      </c>
      <c r="M33" s="679">
        <f t="shared" si="24"/>
        <v>0.20560095791350527</v>
      </c>
      <c r="N33" s="679">
        <f t="shared" si="24"/>
        <v>0.20708343323447401</v>
      </c>
      <c r="O33" s="679">
        <f t="shared" si="24"/>
        <v>0.20390045414407756</v>
      </c>
      <c r="P33" s="679">
        <f t="shared" si="24"/>
        <v>0.20074364521062768</v>
      </c>
      <c r="Q33" s="679">
        <f t="shared" si="24"/>
        <v>0.19761268500263318</v>
      </c>
      <c r="R33" s="679">
        <f t="shared" si="24"/>
        <v>0.19662451705546211</v>
      </c>
      <c r="S33" s="679">
        <f t="shared" si="24"/>
        <v>0.19566494068429957</v>
      </c>
      <c r="T33" s="679">
        <f t="shared" si="24"/>
        <v>0.204758164439619</v>
      </c>
      <c r="U33" s="679">
        <f t="shared" si="24"/>
        <v>0.21390862801480753</v>
      </c>
      <c r="V33" s="679">
        <f t="shared" si="24"/>
        <v>0.2231168735841898</v>
      </c>
      <c r="W33" s="679">
        <f t="shared" si="24"/>
        <v>0.21964353968934588</v>
      </c>
      <c r="X33" s="679">
        <f t="shared" si="24"/>
        <v>0.2162260306938362</v>
      </c>
      <c r="Y33" s="679">
        <f t="shared" si="24"/>
        <v>0.21360488290300828</v>
      </c>
      <c r="Z33" s="679">
        <f t="shared" si="24"/>
        <v>0.21099574993142031</v>
      </c>
      <c r="AA33" s="679">
        <f t="shared" si="24"/>
        <v>0.20839854935766755</v>
      </c>
      <c r="AB33" s="679">
        <f t="shared" si="24"/>
        <v>0.16538329775175514</v>
      </c>
      <c r="AC33" s="679">
        <f t="shared" si="24"/>
        <v>0.12225095740046213</v>
      </c>
      <c r="AD33" s="679">
        <f t="shared" si="24"/>
        <v>0.13782090433157881</v>
      </c>
      <c r="AE33" s="679">
        <f t="shared" si="24"/>
        <v>0.15338877268881199</v>
      </c>
      <c r="AF33" s="679">
        <f t="shared" si="24"/>
        <v>0.16895456288836538</v>
      </c>
      <c r="AG33" s="679">
        <f t="shared" si="24"/>
        <v>0.18451827534633181</v>
      </c>
      <c r="AH33" s="679">
        <f t="shared" si="24"/>
        <v>0.20007991047869284</v>
      </c>
      <c r="AI33" s="679">
        <f t="shared" si="24"/>
        <v>0.17320938466342892</v>
      </c>
      <c r="AJ33" s="679">
        <f t="shared" si="24"/>
        <v>0.1463488703559063</v>
      </c>
      <c r="AK33" s="679">
        <f t="shared" si="24"/>
        <v>0.11949836196198703</v>
      </c>
      <c r="AL33" s="679">
        <f t="shared" si="24"/>
        <v>9.2657853891700198E-2</v>
      </c>
      <c r="AM33" s="679">
        <f t="shared" si="24"/>
        <v>6.5827340559237932E-2</v>
      </c>
    </row>
    <row r="34" spans="1:39" x14ac:dyDescent="0.25">
      <c r="A34" s="677" t="s">
        <v>474</v>
      </c>
      <c r="B34" s="207" t="s">
        <v>291</v>
      </c>
      <c r="C34" s="207">
        <v>2403</v>
      </c>
      <c r="D34" s="207">
        <f t="shared" si="24"/>
        <v>3.0221764477700811E-3</v>
      </c>
      <c r="E34" s="207">
        <f t="shared" si="24"/>
        <v>4.5773015423322674E-3</v>
      </c>
      <c r="F34" s="207">
        <f t="shared" si="24"/>
        <v>6.1296325564092289E-3</v>
      </c>
      <c r="G34" s="207">
        <f t="shared" si="24"/>
        <v>7.6791770133945447E-3</v>
      </c>
      <c r="H34" s="207">
        <f t="shared" si="24"/>
        <v>9.2259424096958458E-3</v>
      </c>
      <c r="I34" s="207">
        <f t="shared" si="24"/>
        <v>1.0769936214855688E-2</v>
      </c>
      <c r="J34" s="207">
        <f t="shared" si="24"/>
        <v>1.6819933224680467E-2</v>
      </c>
      <c r="K34" s="679">
        <f t="shared" si="24"/>
        <v>2.3014528562071541E-2</v>
      </c>
      <c r="L34" s="679">
        <f t="shared" si="24"/>
        <v>2.8734280819856246E-2</v>
      </c>
      <c r="M34" s="679">
        <f t="shared" si="24"/>
        <v>2.9082925563265711E-2</v>
      </c>
      <c r="N34" s="679">
        <f t="shared" si="24"/>
        <v>2.9384658544470647E-2</v>
      </c>
      <c r="O34" s="679">
        <f t="shared" si="24"/>
        <v>3.8644094413792414E-2</v>
      </c>
      <c r="P34" s="679">
        <f t="shared" si="24"/>
        <v>4.7827400065775239E-2</v>
      </c>
      <c r="Q34" s="679">
        <f t="shared" si="24"/>
        <v>5.6935510559744093E-2</v>
      </c>
      <c r="R34" s="679">
        <f t="shared" si="24"/>
        <v>6.4976979321485273E-2</v>
      </c>
      <c r="S34" s="679">
        <f t="shared" si="24"/>
        <v>7.2785776839456778E-2</v>
      </c>
      <c r="T34" s="679">
        <f t="shared" si="24"/>
        <v>7.7453436387372843E-2</v>
      </c>
      <c r="U34" s="679">
        <f t="shared" si="24"/>
        <v>8.2150477813368913E-2</v>
      </c>
      <c r="V34" s="679">
        <f t="shared" si="24"/>
        <v>8.6877179421952958E-2</v>
      </c>
      <c r="W34" s="679">
        <f t="shared" si="24"/>
        <v>8.9356864324647525E-2</v>
      </c>
      <c r="X34" s="679">
        <f t="shared" si="24"/>
        <v>9.1796694677142049E-2</v>
      </c>
      <c r="Y34" s="679">
        <f t="shared" si="24"/>
        <v>0.10189825174912089</v>
      </c>
      <c r="Z34" s="679">
        <f t="shared" si="24"/>
        <v>0.11195350529609958</v>
      </c>
      <c r="AA34" s="679">
        <f t="shared" si="24"/>
        <v>0.12196277295927595</v>
      </c>
      <c r="AB34" s="679">
        <f t="shared" si="24"/>
        <v>0.12401550399763002</v>
      </c>
      <c r="AC34" s="679">
        <f t="shared" si="24"/>
        <v>0.12607382262859168</v>
      </c>
      <c r="AD34" s="679">
        <f t="shared" si="24"/>
        <v>0.12966365471049127</v>
      </c>
      <c r="AE34" s="679">
        <f t="shared" si="24"/>
        <v>0.13325300755304317</v>
      </c>
      <c r="AF34" s="679">
        <f t="shared" si="24"/>
        <v>0.13684188125220786</v>
      </c>
      <c r="AG34" s="679">
        <f t="shared" si="24"/>
        <v>0.14043027590392052</v>
      </c>
      <c r="AH34" s="679">
        <f t="shared" si="24"/>
        <v>0.14401819160409043</v>
      </c>
      <c r="AI34" s="679">
        <f t="shared" si="24"/>
        <v>0.15419961439627375</v>
      </c>
      <c r="AJ34" s="679">
        <f t="shared" si="24"/>
        <v>0.16437724376089996</v>
      </c>
      <c r="AK34" s="679">
        <f t="shared" si="24"/>
        <v>0.17455108181762555</v>
      </c>
      <c r="AL34" s="679">
        <f t="shared" si="24"/>
        <v>0.18472113068452811</v>
      </c>
      <c r="AM34" s="679">
        <f t="shared" si="24"/>
        <v>0.1948873924781076</v>
      </c>
    </row>
    <row r="35" spans="1:39" x14ac:dyDescent="0.25">
      <c r="A35" s="677"/>
      <c r="B35" s="207" t="s">
        <v>293</v>
      </c>
      <c r="C35" s="207">
        <v>2404</v>
      </c>
      <c r="D35" s="207">
        <f t="shared" si="24"/>
        <v>1.2020148980054117E-2</v>
      </c>
      <c r="E35" s="207">
        <f t="shared" si="24"/>
        <v>1.7121954697865486E-2</v>
      </c>
      <c r="F35" s="207">
        <f t="shared" si="24"/>
        <v>2.2214594043244568E-2</v>
      </c>
      <c r="G35" s="207">
        <f t="shared" si="24"/>
        <v>2.7298091697737899E-2</v>
      </c>
      <c r="H35" s="207">
        <f t="shared" si="24"/>
        <v>3.2372472254360816E-2</v>
      </c>
      <c r="I35" s="207">
        <f t="shared" si="24"/>
        <v>3.7437760217994026E-2</v>
      </c>
      <c r="J35" s="207">
        <f t="shared" si="24"/>
        <v>3.8997138202448572E-2</v>
      </c>
      <c r="K35" s="679">
        <f t="shared" si="24"/>
        <v>4.0593786196827034E-2</v>
      </c>
      <c r="L35" s="679">
        <f t="shared" si="24"/>
        <v>4.1634196340265613E-2</v>
      </c>
      <c r="M35" s="679">
        <f t="shared" si="24"/>
        <v>3.3845608248159367E-2</v>
      </c>
      <c r="N35" s="679">
        <f t="shared" si="24"/>
        <v>2.7105010694825633E-2</v>
      </c>
      <c r="O35" s="679">
        <f t="shared" si="24"/>
        <v>2.919317294867441E-2</v>
      </c>
      <c r="P35" s="679">
        <f t="shared" si="24"/>
        <v>3.1264166527404304E-2</v>
      </c>
      <c r="Q35" s="679">
        <f t="shared" si="24"/>
        <v>3.3318202302996612E-2</v>
      </c>
      <c r="R35" s="679">
        <f t="shared" si="24"/>
        <v>3.6257437199159248E-2</v>
      </c>
      <c r="S35" s="679">
        <f t="shared" si="24"/>
        <v>3.9111628497033576E-2</v>
      </c>
      <c r="T35" s="679">
        <f t="shared" si="24"/>
        <v>4.0606327251267602E-2</v>
      </c>
      <c r="U35" s="679">
        <f t="shared" si="24"/>
        <v>4.2110434801518652E-2</v>
      </c>
      <c r="V35" s="679">
        <f t="shared" si="24"/>
        <v>4.3624040267697249E-2</v>
      </c>
      <c r="W35" s="679">
        <f t="shared" si="24"/>
        <v>4.3122220304141617E-2</v>
      </c>
      <c r="X35" s="679">
        <f t="shared" si="24"/>
        <v>4.2628465804430679E-2</v>
      </c>
      <c r="Y35" s="679">
        <f t="shared" si="24"/>
        <v>4.12791101767324E-2</v>
      </c>
      <c r="Z35" s="679">
        <f t="shared" si="24"/>
        <v>3.9935939726388064E-2</v>
      </c>
      <c r="AA35" s="679">
        <f t="shared" si="24"/>
        <v>3.8598912023212445E-2</v>
      </c>
      <c r="AB35" s="679">
        <f t="shared" si="24"/>
        <v>3.2974607792988921E-2</v>
      </c>
      <c r="AC35" s="679">
        <f t="shared" si="24"/>
        <v>2.7334994045759904E-2</v>
      </c>
      <c r="AD35" s="679">
        <f t="shared" si="24"/>
        <v>2.8206177639788999E-2</v>
      </c>
      <c r="AE35" s="679">
        <f t="shared" si="24"/>
        <v>2.9077244931593416E-2</v>
      </c>
      <c r="AF35" s="679">
        <f t="shared" si="24"/>
        <v>2.9948195944460944E-2</v>
      </c>
      <c r="AG35" s="679">
        <f t="shared" si="24"/>
        <v>3.0819030701673199E-2</v>
      </c>
      <c r="AH35" s="679">
        <f t="shared" si="24"/>
        <v>3.1689749226505547E-2</v>
      </c>
      <c r="AI35" s="679">
        <f t="shared" si="24"/>
        <v>2.8215141394343786E-2</v>
      </c>
      <c r="AJ35" s="679">
        <f t="shared" si="24"/>
        <v>2.4741828142848178E-2</v>
      </c>
      <c r="AK35" s="679">
        <f t="shared" si="24"/>
        <v>2.1269808748644869E-2</v>
      </c>
      <c r="AL35" s="679">
        <f t="shared" si="24"/>
        <v>1.7799082488898867E-2</v>
      </c>
      <c r="AM35" s="679">
        <f t="shared" si="24"/>
        <v>1.4329648641313465E-2</v>
      </c>
    </row>
    <row r="36" spans="1:39" x14ac:dyDescent="0.25">
      <c r="A36" s="677"/>
      <c r="B36" s="207" t="s">
        <v>296</v>
      </c>
      <c r="C36" s="207">
        <v>2405</v>
      </c>
      <c r="D36" s="207">
        <f t="shared" si="24"/>
        <v>5.2533562030350903E-3</v>
      </c>
      <c r="E36" s="207">
        <f t="shared" si="24"/>
        <v>6.0841401023863807E-3</v>
      </c>
      <c r="F36" s="207">
        <f t="shared" si="24"/>
        <v>6.913431339128898E-3</v>
      </c>
      <c r="G36" s="207">
        <f t="shared" si="24"/>
        <v>7.7412339324340104E-3</v>
      </c>
      <c r="H36" s="207">
        <f t="shared" si="24"/>
        <v>8.5675518870565702E-3</v>
      </c>
      <c r="I36" s="207">
        <f t="shared" si="24"/>
        <v>9.3923891933994728E-3</v>
      </c>
      <c r="J36" s="207">
        <f t="shared" si="24"/>
        <v>1.1189035432521194E-2</v>
      </c>
      <c r="K36" s="679">
        <f t="shared" si="24"/>
        <v>1.3028622526156292E-2</v>
      </c>
      <c r="L36" s="679">
        <f t="shared" si="24"/>
        <v>1.4196170169366E-2</v>
      </c>
      <c r="M36" s="679">
        <f t="shared" si="24"/>
        <v>1.7723096229113573E-2</v>
      </c>
      <c r="N36" s="679">
        <f t="shared" si="24"/>
        <v>2.0775458080579054E-2</v>
      </c>
      <c r="O36" s="679">
        <f t="shared" si="24"/>
        <v>2.2891702202208552E-2</v>
      </c>
      <c r="P36" s="679">
        <f t="shared" si="24"/>
        <v>2.4990546762223748E-2</v>
      </c>
      <c r="Q36" s="679">
        <f t="shared" si="24"/>
        <v>2.7072205468438797E-2</v>
      </c>
      <c r="R36" s="679">
        <f t="shared" si="24"/>
        <v>2.9307307196364683E-2</v>
      </c>
      <c r="S36" s="679">
        <f t="shared" si="24"/>
        <v>3.1477738661382579E-2</v>
      </c>
      <c r="T36" s="679">
        <f t="shared" si="24"/>
        <v>3.596593869179681E-2</v>
      </c>
      <c r="U36" s="679">
        <f t="shared" si="24"/>
        <v>4.0482390942566567E-2</v>
      </c>
      <c r="V36" s="679">
        <f t="shared" si="24"/>
        <v>4.5027363018106475E-2</v>
      </c>
      <c r="W36" s="679">
        <f t="shared" si="24"/>
        <v>4.7872880283556143E-2</v>
      </c>
      <c r="X36" s="679">
        <f t="shared" si="24"/>
        <v>5.0672663185507574E-2</v>
      </c>
      <c r="Y36" s="679">
        <f t="shared" si="24"/>
        <v>5.3016075841567062E-2</v>
      </c>
      <c r="Z36" s="679">
        <f t="shared" si="24"/>
        <v>5.534874676090891E-2</v>
      </c>
      <c r="AA36" s="679">
        <f t="shared" si="24"/>
        <v>5.7670749631618785E-2</v>
      </c>
      <c r="AB36" s="679">
        <f t="shared" si="24"/>
        <v>5.4567358607149105E-2</v>
      </c>
      <c r="AC36" s="679">
        <f t="shared" si="24"/>
        <v>5.1455520063534134E-2</v>
      </c>
      <c r="AD36" s="679">
        <f t="shared" si="24"/>
        <v>5.3732454108591177E-2</v>
      </c>
      <c r="AE36" s="679">
        <f t="shared" si="24"/>
        <v>5.6009084185005206E-2</v>
      </c>
      <c r="AF36" s="679">
        <f t="shared" si="24"/>
        <v>5.8285410353641452E-2</v>
      </c>
      <c r="AG36" s="679">
        <f t="shared" si="24"/>
        <v>6.0561432675348942E-2</v>
      </c>
      <c r="AH36" s="679">
        <f t="shared" si="24"/>
        <v>6.2837151210960382E-2</v>
      </c>
      <c r="AI36" s="679">
        <f t="shared" si="24"/>
        <v>6.1549594161509659E-2</v>
      </c>
      <c r="AJ36" s="679">
        <f t="shared" si="24"/>
        <v>6.0262516834244363E-2</v>
      </c>
      <c r="AK36" s="679">
        <f t="shared" si="24"/>
        <v>5.8975918961109777E-2</v>
      </c>
      <c r="AL36" s="679">
        <f t="shared" si="24"/>
        <v>5.7689800274250837E-2</v>
      </c>
      <c r="AM36" s="679">
        <f t="shared" si="24"/>
        <v>5.6404160506011915E-2</v>
      </c>
    </row>
    <row r="37" spans="1:39" ht="15.75" thickBot="1" x14ac:dyDescent="0.3">
      <c r="A37" s="676"/>
      <c r="B37" s="203" t="s">
        <v>613</v>
      </c>
      <c r="C37" s="207">
        <v>2406</v>
      </c>
      <c r="D37" s="207">
        <f t="shared" si="24"/>
        <v>9.740949135668002E-2</v>
      </c>
      <c r="E37" s="207">
        <f t="shared" si="24"/>
        <v>9.0849093388309154E-2</v>
      </c>
      <c r="F37" s="207">
        <f t="shared" si="24"/>
        <v>8.430048243308777E-2</v>
      </c>
      <c r="G37" s="207">
        <f t="shared" si="24"/>
        <v>7.7763626753082946E-2</v>
      </c>
      <c r="H37" s="207">
        <f t="shared" si="24"/>
        <v>7.1238494724203807E-2</v>
      </c>
      <c r="I37" s="207">
        <f t="shared" si="24"/>
        <v>6.4725054835691423E-2</v>
      </c>
      <c r="J37" s="207">
        <f t="shared" si="24"/>
        <v>7.7858263622436544E-2</v>
      </c>
      <c r="K37" s="679">
        <f t="shared" si="24"/>
        <v>9.1305363477732326E-2</v>
      </c>
      <c r="L37" s="679">
        <f t="shared" si="24"/>
        <v>0.10400014275464287</v>
      </c>
      <c r="M37" s="679">
        <f t="shared" si="24"/>
        <v>0.12837134427927993</v>
      </c>
      <c r="N37" s="679">
        <f t="shared" si="24"/>
        <v>0.14946328795714192</v>
      </c>
      <c r="O37" s="679">
        <f t="shared" si="24"/>
        <v>0.1648618441746017</v>
      </c>
      <c r="P37" s="679">
        <f t="shared" si="24"/>
        <v>0.18013379490031381</v>
      </c>
      <c r="Q37" s="679">
        <f t="shared" si="24"/>
        <v>0.19528069514948501</v>
      </c>
      <c r="R37" s="679">
        <f t="shared" si="24"/>
        <v>0.2065294162560376</v>
      </c>
      <c r="S37" s="679">
        <f t="shared" si="24"/>
        <v>0.21745266772411673</v>
      </c>
      <c r="T37" s="679">
        <f t="shared" si="24"/>
        <v>0.23275202998988001</v>
      </c>
      <c r="U37" s="679">
        <f t="shared" si="24"/>
        <v>0.24814769833627748</v>
      </c>
      <c r="V37" s="679">
        <f t="shared" si="24"/>
        <v>0.26364058497240311</v>
      </c>
      <c r="W37" s="679">
        <f t="shared" si="24"/>
        <v>0.27845800651223651</v>
      </c>
      <c r="X37" s="679">
        <f t="shared" si="24"/>
        <v>0.29303727615222475</v>
      </c>
      <c r="Y37" s="679">
        <f t="shared" si="24"/>
        <v>0.31021837575944489</v>
      </c>
      <c r="Z37" s="679">
        <f t="shared" si="24"/>
        <v>0.32732072062919987</v>
      </c>
      <c r="AA37" s="679">
        <f t="shared" si="24"/>
        <v>0.34434485101731566</v>
      </c>
      <c r="AB37" s="679">
        <f t="shared" si="24"/>
        <v>0.35261658183816347</v>
      </c>
      <c r="AC37" s="679">
        <f t="shared" si="24"/>
        <v>0.36091082854692974</v>
      </c>
      <c r="AD37" s="679">
        <f t="shared" si="24"/>
        <v>0.37300810626088488</v>
      </c>
      <c r="AE37" s="679">
        <f t="shared" si="24"/>
        <v>0.38510376899916754</v>
      </c>
      <c r="AF37" s="679">
        <f t="shared" si="24"/>
        <v>0.39719781708515245</v>
      </c>
      <c r="AG37" s="679">
        <f t="shared" si="24"/>
        <v>0.40929025084212878</v>
      </c>
      <c r="AH37" s="679">
        <f t="shared" si="24"/>
        <v>0.42138107059329871</v>
      </c>
      <c r="AI37" s="679">
        <f t="shared" si="24"/>
        <v>0.42855619247433574</v>
      </c>
      <c r="AJ37" s="679">
        <f t="shared" si="24"/>
        <v>0.43572864102516884</v>
      </c>
      <c r="AK37" s="679">
        <f t="shared" si="24"/>
        <v>0.44289841773957689</v>
      </c>
      <c r="AL37" s="679">
        <f t="shared" si="24"/>
        <v>0.45006552411022605</v>
      </c>
      <c r="AM37" s="679">
        <f t="shared" si="24"/>
        <v>0.45722996162867036</v>
      </c>
    </row>
    <row r="38" spans="1:39" x14ac:dyDescent="0.25">
      <c r="D38" s="597">
        <f>SUM(D22:D37)-3</f>
        <v>0</v>
      </c>
      <c r="E38" s="597">
        <f t="shared" ref="E38:AM38" si="25">SUM(E22:E37)-3</f>
        <v>0</v>
      </c>
      <c r="F38" s="597">
        <f t="shared" si="25"/>
        <v>0</v>
      </c>
      <c r="G38" s="597">
        <f t="shared" si="25"/>
        <v>0</v>
      </c>
      <c r="H38" s="597">
        <f t="shared" si="25"/>
        <v>0</v>
      </c>
      <c r="I38" s="597">
        <f t="shared" si="25"/>
        <v>0</v>
      </c>
      <c r="J38" s="597">
        <f t="shared" si="25"/>
        <v>0</v>
      </c>
      <c r="K38" s="597">
        <f t="shared" si="25"/>
        <v>0</v>
      </c>
      <c r="L38" s="597">
        <f t="shared" si="25"/>
        <v>0</v>
      </c>
      <c r="M38" s="597">
        <f t="shared" si="25"/>
        <v>0</v>
      </c>
      <c r="N38" s="597">
        <f t="shared" si="25"/>
        <v>0</v>
      </c>
      <c r="O38" s="594">
        <f t="shared" si="25"/>
        <v>0</v>
      </c>
      <c r="P38" s="597">
        <f t="shared" si="25"/>
        <v>0</v>
      </c>
      <c r="Q38" s="597">
        <f t="shared" si="25"/>
        <v>0</v>
      </c>
      <c r="R38" s="597">
        <f t="shared" si="25"/>
        <v>0</v>
      </c>
      <c r="S38" s="597">
        <f t="shared" si="25"/>
        <v>0</v>
      </c>
      <c r="T38" s="597">
        <f t="shared" si="25"/>
        <v>0</v>
      </c>
      <c r="U38" s="597">
        <f t="shared" si="25"/>
        <v>0</v>
      </c>
      <c r="V38" s="597">
        <f t="shared" si="25"/>
        <v>0</v>
      </c>
      <c r="W38" s="597">
        <f t="shared" si="25"/>
        <v>0</v>
      </c>
      <c r="X38" s="597">
        <f t="shared" si="25"/>
        <v>0</v>
      </c>
      <c r="Y38" s="597">
        <f t="shared" si="25"/>
        <v>0</v>
      </c>
      <c r="Z38" s="597">
        <f t="shared" si="25"/>
        <v>0</v>
      </c>
      <c r="AA38" s="597">
        <f t="shared" si="25"/>
        <v>0</v>
      </c>
      <c r="AB38" s="597">
        <f t="shared" si="25"/>
        <v>0</v>
      </c>
      <c r="AC38" s="597">
        <f t="shared" si="25"/>
        <v>0</v>
      </c>
      <c r="AD38" s="597">
        <f t="shared" si="25"/>
        <v>0</v>
      </c>
      <c r="AE38" s="597">
        <f t="shared" si="25"/>
        <v>0</v>
      </c>
      <c r="AF38" s="597">
        <f t="shared" si="25"/>
        <v>0</v>
      </c>
      <c r="AG38" s="597">
        <f t="shared" si="25"/>
        <v>0</v>
      </c>
      <c r="AH38" s="597">
        <f t="shared" si="25"/>
        <v>0</v>
      </c>
      <c r="AI38" s="597">
        <f t="shared" si="25"/>
        <v>0</v>
      </c>
      <c r="AJ38" s="597">
        <f t="shared" si="25"/>
        <v>0</v>
      </c>
      <c r="AK38" s="597">
        <f t="shared" si="25"/>
        <v>0</v>
      </c>
      <c r="AL38" s="597">
        <f t="shared" si="25"/>
        <v>0</v>
      </c>
      <c r="AM38" s="597">
        <f t="shared" si="25"/>
        <v>0</v>
      </c>
    </row>
    <row r="39" spans="1:39" ht="15.75" thickBot="1" x14ac:dyDescent="0.3">
      <c r="B39" t="s">
        <v>446</v>
      </c>
    </row>
    <row r="40" spans="1:39" x14ac:dyDescent="0.25">
      <c r="A40" s="591" t="s">
        <v>475</v>
      </c>
      <c r="B40" s="588" t="s">
        <v>266</v>
      </c>
      <c r="C40">
        <v>2201</v>
      </c>
      <c r="D40" s="404">
        <f>('Cibles THREEME AMS'!$BV4+'Cibles THREEME AMS'!$BV6)*11.64/D3</f>
        <v>3.3598361093746261E-2</v>
      </c>
      <c r="E40">
        <f>D40+($I40-$D40)/5</f>
        <v>3.1131842822573075E-2</v>
      </c>
      <c r="F40">
        <f t="shared" ref="F40:H40" si="26">E40+($I40-$D40)/5</f>
        <v>2.866532455139989E-2</v>
      </c>
      <c r="G40">
        <f t="shared" si="26"/>
        <v>2.6198806280226705E-2</v>
      </c>
      <c r="H40">
        <f t="shared" si="26"/>
        <v>2.3732288009053519E-2</v>
      </c>
      <c r="I40" s="404">
        <f>('Cibles THREEME AMS'!$BW4+'Cibles THREEME AMS'!$BW6)/I3</f>
        <v>2.1265769737880327E-2</v>
      </c>
      <c r="J40">
        <f>I40+($L40-$I40)/3</f>
        <v>2.5213645548493185E-2</v>
      </c>
      <c r="K40">
        <f>J40+($L40-$I40)/3</f>
        <v>2.9161521359106043E-2</v>
      </c>
      <c r="L40" s="404">
        <f>('Cibles THREEME AMS'!$BX4+'Cibles THREEME AMS'!$BX6)/L3</f>
        <v>3.3109397169718897E-2</v>
      </c>
      <c r="M40">
        <f>(L40+N40)/2</f>
        <v>3.8355306776274849E-2</v>
      </c>
      <c r="N40" s="404">
        <f>('Cibles THREEME AMS'!$BY4+'Cibles THREEME AMS'!$BY6)/N3</f>
        <v>4.36012163828308E-2</v>
      </c>
      <c r="O40">
        <f>N40+($Q40-$N40)/3</f>
        <v>4.4091734604687995E-2</v>
      </c>
      <c r="P40">
        <f>O40+($Q40-$N40)/3</f>
        <v>4.4582252826545189E-2</v>
      </c>
      <c r="Q40" s="404">
        <f>('Cibles THREEME AMS'!$BZ4+'Cibles THREEME AMS'!$BZ6)/Q3</f>
        <v>4.5072771048402384E-2</v>
      </c>
      <c r="R40">
        <f>(Q40+S40)/2</f>
        <v>4.5592091916673336E-2</v>
      </c>
      <c r="S40" s="404">
        <f>('Cibles THREEME AMS'!$CA4+'Cibles THREEME AMS'!$CA6)/S3</f>
        <v>4.6111412784944288E-2</v>
      </c>
      <c r="T40">
        <f>S40+($V40-$S40)/3</f>
        <v>4.7073615209377022E-2</v>
      </c>
      <c r="U40">
        <f>T40+($V40-$S40)/3</f>
        <v>4.8035817633809756E-2</v>
      </c>
      <c r="V40" s="404">
        <f>('Cibles THREEME AMS'!$CB4+'Cibles THREEME AMS'!$CB6)/V3</f>
        <v>4.899802005824249E-2</v>
      </c>
      <c r="W40">
        <f>V40+(X40-V40)/2</f>
        <v>5.0265254786310151E-2</v>
      </c>
      <c r="X40" s="404">
        <f>('Cibles THREEME AMS'!$CC4+'Cibles THREEME AMS'!$CC6)/X3</f>
        <v>5.1532489514377819E-2</v>
      </c>
      <c r="Y40">
        <f>X40+($AA40-$X40)/3</f>
        <v>5.2904555339846907E-2</v>
      </c>
      <c r="Z40">
        <f>Y40+($AA40-$X40)/3</f>
        <v>5.4276621165315994E-2</v>
      </c>
      <c r="AA40" s="404">
        <f>('Cibles THREEME AMS'!$CD4+'Cibles THREEME AMS'!$CD6)/AA3</f>
        <v>5.5648686990785082E-2</v>
      </c>
      <c r="AB40">
        <f>AA40+(AC40-AA40)/2</f>
        <v>5.7761339017879706E-2</v>
      </c>
      <c r="AC40" s="404">
        <f>('Cibles THREEME AMS'!$CE4+'Cibles THREEME AMS'!$CE6)/AC3</f>
        <v>5.9873991044974331E-2</v>
      </c>
      <c r="AD40">
        <f>AC40+($AH40-$AC40)/5</f>
        <v>6.0833200757257982E-2</v>
      </c>
      <c r="AE40">
        <f t="shared" ref="AE40:AG40" si="27">AD40+($AH40-$AC40)/5</f>
        <v>6.1792410469541634E-2</v>
      </c>
      <c r="AF40">
        <f t="shared" si="27"/>
        <v>6.2751620181825285E-2</v>
      </c>
      <c r="AG40">
        <f t="shared" si="27"/>
        <v>6.3710829894108936E-2</v>
      </c>
      <c r="AH40" s="404">
        <f>('Cibles THREEME AMS'!$CF4+'Cibles THREEME AMS'!$CF6)/AH3</f>
        <v>6.4670039606392588E-2</v>
      </c>
      <c r="AI40">
        <f>AH40+($AM40-$AH40)/5</f>
        <v>5.9404516687212174E-2</v>
      </c>
      <c r="AJ40">
        <f t="shared" ref="AJ40:AL40" si="28">AI40+($AM40-$AH40)/5</f>
        <v>5.413899376803176E-2</v>
      </c>
      <c r="AK40">
        <f t="shared" si="28"/>
        <v>4.8873470848851346E-2</v>
      </c>
      <c r="AL40">
        <f t="shared" si="28"/>
        <v>4.3607947929670932E-2</v>
      </c>
      <c r="AM40" s="404">
        <f>('Cibles THREEME AMS'!$CG4+'Cibles THREEME AMS'!$CG6)/AM3</f>
        <v>3.8342425010490525E-2</v>
      </c>
    </row>
    <row r="41" spans="1:39" ht="15.75" thickBot="1" x14ac:dyDescent="0.3">
      <c r="A41" s="592"/>
      <c r="B41" s="590" t="s">
        <v>343</v>
      </c>
      <c r="C41">
        <v>2202</v>
      </c>
      <c r="D41" s="404">
        <f>('Cibles THREEME AMS'!$BV5+'Cibles THREEME AMS'!$BV7)*11.64/D4</f>
        <v>0</v>
      </c>
      <c r="E41">
        <f t="shared" ref="E41:H56" si="29">D41+($I41-$D41)/5</f>
        <v>0</v>
      </c>
      <c r="F41">
        <f t="shared" si="29"/>
        <v>0</v>
      </c>
      <c r="G41">
        <f t="shared" si="29"/>
        <v>0</v>
      </c>
      <c r="H41">
        <f t="shared" si="29"/>
        <v>0</v>
      </c>
      <c r="I41" s="404">
        <f>('Cibles THREEME AMS'!$BW5+'Cibles THREEME AMS'!$BW7)/I4</f>
        <v>0</v>
      </c>
      <c r="J41">
        <f t="shared" ref="J41:K56" si="30">I41+($L41-$I41)/3</f>
        <v>0</v>
      </c>
      <c r="K41">
        <f t="shared" si="30"/>
        <v>0</v>
      </c>
      <c r="L41" s="404">
        <f>('Cibles THREEME AMS'!$BX5+'Cibles THREEME AMS'!$BX7)/L4</f>
        <v>0</v>
      </c>
      <c r="M41">
        <f t="shared" ref="M41:M56" si="31">(L41+N41)/2</f>
        <v>0.31109248960302116</v>
      </c>
      <c r="N41" s="404">
        <f>('Cibles THREEME AMS'!$BY5+'Cibles THREEME AMS'!$BY7)/N4</f>
        <v>0.62218497920604232</v>
      </c>
      <c r="O41">
        <f t="shared" ref="O41:P56" si="32">N41+($Q41-$N41)/3</f>
        <v>0.67396569438070408</v>
      </c>
      <c r="P41">
        <f t="shared" si="32"/>
        <v>0.72574640955536585</v>
      </c>
      <c r="Q41" s="404">
        <f>('Cibles THREEME AMS'!$BZ5+'Cibles THREEME AMS'!$BZ7)/Q4</f>
        <v>0.77752712473002761</v>
      </c>
      <c r="R41">
        <f t="shared" ref="R41:R56" si="33">(Q41+S41)/2</f>
        <v>0.82771928792279503</v>
      </c>
      <c r="S41" s="404">
        <f>('Cibles THREEME AMS'!$CA5+'Cibles THREEME AMS'!$CA7)/S4</f>
        <v>0.87791145111556246</v>
      </c>
      <c r="T41">
        <f t="shared" ref="T41:U41" si="34">S41+($V41-$S41)/3</f>
        <v>0.86612893345571651</v>
      </c>
      <c r="U41">
        <f t="shared" si="34"/>
        <v>0.85434641579587056</v>
      </c>
      <c r="V41" s="404">
        <f>('Cibles THREEME AMS'!$CB5+'Cibles THREEME AMS'!$CB7)/V4</f>
        <v>0.8425638981360245</v>
      </c>
      <c r="W41">
        <f t="shared" ref="W41:W56" si="35">V41+(X41-V41)/2</f>
        <v>0.83452014619405412</v>
      </c>
      <c r="X41" s="404">
        <f>('Cibles THREEME AMS'!$CC5+'Cibles THREEME AMS'!$CC7)/X4</f>
        <v>0.82647639425208386</v>
      </c>
      <c r="Y41">
        <f t="shared" ref="Y41:Z56" si="36">X41+($AA41-$X41)/3</f>
        <v>0.84659441834724902</v>
      </c>
      <c r="Z41">
        <f t="shared" si="36"/>
        <v>0.86671244244241419</v>
      </c>
      <c r="AA41" s="404">
        <f>('Cibles THREEME AMS'!$CD5+'Cibles THREEME AMS'!$CD7)/AA4</f>
        <v>0.88683046653757946</v>
      </c>
      <c r="AB41">
        <f t="shared" ref="AB41:AB56" si="37">AA41+(AC41-AA41)/2</f>
        <v>0.90983392310569855</v>
      </c>
      <c r="AC41" s="404">
        <f>('Cibles THREEME AMS'!$CE5+'Cibles THREEME AMS'!$CE7)/AC4</f>
        <v>0.93283737967381763</v>
      </c>
      <c r="AD41">
        <f t="shared" ref="AD41:AG56" si="38">AC41+($AH41-$AC41)/5</f>
        <v>0.98824942446013253</v>
      </c>
      <c r="AE41">
        <f t="shared" si="38"/>
        <v>1.0436614692464474</v>
      </c>
      <c r="AF41">
        <f t="shared" si="38"/>
        <v>1.0990735140327623</v>
      </c>
      <c r="AG41">
        <f t="shared" si="38"/>
        <v>1.1544855588190772</v>
      </c>
      <c r="AH41" s="404">
        <f>('Cibles THREEME AMS'!$CF5+'Cibles THREEME AMS'!$CF7)/AH4</f>
        <v>1.2098976036053923</v>
      </c>
      <c r="AI41">
        <f t="shared" ref="AI41:AL56" si="39">AH41+($AM41-$AH41)/5</f>
        <v>1.3205683129645418</v>
      </c>
      <c r="AJ41">
        <f t="shared" si="39"/>
        <v>1.4312390223236913</v>
      </c>
      <c r="AK41">
        <f t="shared" si="39"/>
        <v>1.5419097316828407</v>
      </c>
      <c r="AL41">
        <f t="shared" si="39"/>
        <v>1.6525804410419902</v>
      </c>
      <c r="AM41" s="404">
        <f>('Cibles THREEME AMS'!$CG5+'Cibles THREEME AMS'!$CG7)/AM4</f>
        <v>1.7632511504011397</v>
      </c>
    </row>
    <row r="42" spans="1:39" x14ac:dyDescent="0.25">
      <c r="A42" s="591"/>
      <c r="B42" s="588" t="s">
        <v>20</v>
      </c>
      <c r="C42">
        <v>2301</v>
      </c>
      <c r="D42">
        <f>'Cibles THREEME AMS'!$BV8*11.64/D5</f>
        <v>2.6091412878646998</v>
      </c>
      <c r="E42">
        <f t="shared" si="29"/>
        <v>2.6088523069837755</v>
      </c>
      <c r="F42">
        <f t="shared" si="29"/>
        <v>2.6085633261028511</v>
      </c>
      <c r="G42">
        <f t="shared" si="29"/>
        <v>2.6082743452219268</v>
      </c>
      <c r="H42">
        <f t="shared" si="29"/>
        <v>2.6079853643410025</v>
      </c>
      <c r="I42">
        <f>'Cibles THREEME AMS'!$BW8/I5</f>
        <v>2.6076963834600786</v>
      </c>
      <c r="J42">
        <f t="shared" si="30"/>
        <v>2.6105405591587845</v>
      </c>
      <c r="K42">
        <f t="shared" si="30"/>
        <v>2.6133847348574903</v>
      </c>
      <c r="L42">
        <f>'Cibles THREEME AMS'!$BX8/L5</f>
        <v>2.6162289105561967</v>
      </c>
      <c r="M42">
        <f t="shared" si="31"/>
        <v>2.7688407216793625</v>
      </c>
      <c r="N42">
        <f>'Cibles THREEME AMS'!$BY8/N5</f>
        <v>2.9214525328025287</v>
      </c>
      <c r="O42">
        <f t="shared" si="32"/>
        <v>2.8966626548794805</v>
      </c>
      <c r="P42">
        <f t="shared" si="32"/>
        <v>2.8718727769564323</v>
      </c>
      <c r="Q42">
        <f>'Cibles THREEME AMS'!$BZ8/Q5</f>
        <v>2.8470828990333841</v>
      </c>
      <c r="R42">
        <f t="shared" si="33"/>
        <v>2.8036686799290598</v>
      </c>
      <c r="S42">
        <f>'Cibles THREEME AMS'!$CA8/S5</f>
        <v>2.7602544608247355</v>
      </c>
      <c r="T42">
        <f t="shared" ref="T42:U42" si="40">S42+($V42-$S42)/3</f>
        <v>2.8086402253416205</v>
      </c>
      <c r="U42">
        <f t="shared" si="40"/>
        <v>2.8570259898585055</v>
      </c>
      <c r="V42">
        <f>'Cibles THREEME AMS'!$CB8/V5</f>
        <v>2.9054117543753901</v>
      </c>
      <c r="W42">
        <f t="shared" si="35"/>
        <v>2.9375973849815589</v>
      </c>
      <c r="X42">
        <f>'Cibles THREEME AMS'!$CC8/X5</f>
        <v>2.9697830155877276</v>
      </c>
      <c r="Y42">
        <f t="shared" si="36"/>
        <v>2.9998126565605872</v>
      </c>
      <c r="Z42">
        <f t="shared" si="36"/>
        <v>3.0298422975334467</v>
      </c>
      <c r="AA42">
        <f>'Cibles THREEME AMS'!$CD8/AA5</f>
        <v>3.0598719385063062</v>
      </c>
      <c r="AB42">
        <f t="shared" si="37"/>
        <v>3.0919231727027929</v>
      </c>
      <c r="AC42">
        <f>'Cibles THREEME AMS'!$CE8/AC5</f>
        <v>3.1239744068992792</v>
      </c>
      <c r="AD42">
        <f t="shared" si="38"/>
        <v>3.1060446065404155</v>
      </c>
      <c r="AE42">
        <f t="shared" si="38"/>
        <v>3.0881148061815518</v>
      </c>
      <c r="AF42">
        <f t="shared" si="38"/>
        <v>3.0701850058226881</v>
      </c>
      <c r="AG42">
        <f t="shared" si="38"/>
        <v>3.0522552054638243</v>
      </c>
      <c r="AH42">
        <f>'Cibles THREEME AMS'!$CF8/AH5</f>
        <v>3.0343254051049597</v>
      </c>
      <c r="AI42">
        <f t="shared" si="39"/>
        <v>3.0353336464098915</v>
      </c>
      <c r="AJ42">
        <f t="shared" si="39"/>
        <v>3.0363418877148232</v>
      </c>
      <c r="AK42">
        <f t="shared" si="39"/>
        <v>3.0373501290197549</v>
      </c>
      <c r="AL42">
        <f t="shared" si="39"/>
        <v>3.0383583703246866</v>
      </c>
      <c r="AM42">
        <f>'Cibles THREEME AMS'!$CG8/AM5</f>
        <v>3.0393666116296187</v>
      </c>
    </row>
    <row r="43" spans="1:39" x14ac:dyDescent="0.25">
      <c r="A43" s="593"/>
      <c r="B43" s="589" t="s">
        <v>224</v>
      </c>
      <c r="C43">
        <f>C42+1</f>
        <v>2302</v>
      </c>
      <c r="D43">
        <f>'Cibles THREEME AMS'!$BV9*11.64/D6</f>
        <v>1.7578308990233045</v>
      </c>
      <c r="E43">
        <f t="shared" si="29"/>
        <v>1.7480279045538702</v>
      </c>
      <c r="F43">
        <f t="shared" si="29"/>
        <v>1.738224910084436</v>
      </c>
      <c r="G43">
        <f t="shared" si="29"/>
        <v>1.7284219156150018</v>
      </c>
      <c r="H43">
        <f t="shared" si="29"/>
        <v>1.7186189211455676</v>
      </c>
      <c r="I43">
        <f>'Cibles THREEME AMS'!$BW9/I6</f>
        <v>1.7088159266761329</v>
      </c>
      <c r="J43">
        <f t="shared" si="30"/>
        <v>1.7451740731762897</v>
      </c>
      <c r="K43">
        <f t="shared" si="30"/>
        <v>1.7815322196764465</v>
      </c>
      <c r="L43">
        <f>'Cibles THREEME AMS'!$BX9/L6</f>
        <v>1.8178903661766033</v>
      </c>
      <c r="M43">
        <f t="shared" si="31"/>
        <v>1.4682331210145407</v>
      </c>
      <c r="N43">
        <f>'Cibles THREEME AMS'!$BY9/N6</f>
        <v>1.118575875852478</v>
      </c>
      <c r="O43">
        <f t="shared" si="32"/>
        <v>1.3459916820472324</v>
      </c>
      <c r="P43">
        <f t="shared" si="32"/>
        <v>1.5734074882419868</v>
      </c>
      <c r="Q43">
        <f>'Cibles THREEME AMS'!$BZ9/Q6</f>
        <v>1.8008232944367411</v>
      </c>
      <c r="R43">
        <f t="shared" si="33"/>
        <v>1.7778234980764775</v>
      </c>
      <c r="S43">
        <f>'Cibles THREEME AMS'!$CA9/S6</f>
        <v>1.7548237017162138</v>
      </c>
      <c r="T43">
        <f t="shared" ref="T43:U43" si="41">S43+($V43-$S43)/3</f>
        <v>1.7844215048499077</v>
      </c>
      <c r="U43">
        <f t="shared" si="41"/>
        <v>1.8140193079836016</v>
      </c>
      <c r="V43">
        <f>'Cibles THREEME AMS'!$CB9/V6</f>
        <v>1.8436171111172952</v>
      </c>
      <c r="W43">
        <f t="shared" si="35"/>
        <v>1.8629777039401911</v>
      </c>
      <c r="X43">
        <f>'Cibles THREEME AMS'!$CC9/X6</f>
        <v>1.8823382967630871</v>
      </c>
      <c r="Y43">
        <f t="shared" si="36"/>
        <v>1.8999603305904036</v>
      </c>
      <c r="Z43">
        <f t="shared" si="36"/>
        <v>1.9175823644177201</v>
      </c>
      <c r="AA43">
        <f>'Cibles THREEME AMS'!$CD9/AA6</f>
        <v>1.9352043982450366</v>
      </c>
      <c r="AB43">
        <f t="shared" si="37"/>
        <v>1.1284860273349659</v>
      </c>
      <c r="AC43">
        <f>'Cibles THREEME AMS'!$CE9/AC6</f>
        <v>0.32176765642489547</v>
      </c>
      <c r="AD43">
        <f t="shared" si="38"/>
        <v>0.25741412513991635</v>
      </c>
      <c r="AE43">
        <f t="shared" si="38"/>
        <v>0.19306059385493726</v>
      </c>
      <c r="AF43">
        <f t="shared" si="38"/>
        <v>0.12870706256995817</v>
      </c>
      <c r="AG43">
        <f t="shared" si="38"/>
        <v>6.4353531284979087E-2</v>
      </c>
      <c r="AH43">
        <f>'Cibles THREEME AMS'!$CF9/AH6</f>
        <v>0</v>
      </c>
      <c r="AI43">
        <f t="shared" si="39"/>
        <v>0</v>
      </c>
      <c r="AJ43">
        <f t="shared" si="39"/>
        <v>0</v>
      </c>
      <c r="AK43">
        <f t="shared" si="39"/>
        <v>0</v>
      </c>
      <c r="AL43">
        <f t="shared" si="39"/>
        <v>0</v>
      </c>
      <c r="AM43">
        <f>'Cibles THREEME AMS'!$CG9/AM6</f>
        <v>0</v>
      </c>
    </row>
    <row r="44" spans="1:39" x14ac:dyDescent="0.25">
      <c r="A44" s="593"/>
      <c r="B44" s="589" t="s">
        <v>32</v>
      </c>
      <c r="C44">
        <f t="shared" ref="C44:C49" si="42">C43+1</f>
        <v>2303</v>
      </c>
      <c r="D44">
        <f>('Cibles THREEME AMS'!$BV10+'Cibles THREEME AMS'!$BV12)*11.64/D7</f>
        <v>1.2659435231846792</v>
      </c>
      <c r="E44">
        <f t="shared" si="29"/>
        <v>1.2594808997549387</v>
      </c>
      <c r="F44">
        <f t="shared" si="29"/>
        <v>1.2530182763251982</v>
      </c>
      <c r="G44">
        <f t="shared" si="29"/>
        <v>1.2465556528954578</v>
      </c>
      <c r="H44">
        <f t="shared" si="29"/>
        <v>1.2400930294657173</v>
      </c>
      <c r="I44">
        <f>('Cibles THREEME AMS'!$BW10+'Cibles THREEME AMS'!$BW12)/I7</f>
        <v>1.2336304060359773</v>
      </c>
      <c r="J44">
        <f t="shared" si="30"/>
        <v>1.2399413979860165</v>
      </c>
      <c r="K44">
        <f t="shared" si="30"/>
        <v>1.2462523899360558</v>
      </c>
      <c r="L44">
        <f>('Cibles THREEME AMS'!$BX10+'Cibles THREEME AMS'!$BX12)/L7</f>
        <v>1.2525633818860951</v>
      </c>
      <c r="M44">
        <f t="shared" si="31"/>
        <v>1.1271528723312354</v>
      </c>
      <c r="N44">
        <f>('Cibles THREEME AMS'!$BY10+'Cibles THREEME AMS'!$BY12)/N7</f>
        <v>1.0017423627763755</v>
      </c>
      <c r="O44">
        <f t="shared" si="32"/>
        <v>0.99395490768153161</v>
      </c>
      <c r="P44">
        <f t="shared" si="32"/>
        <v>0.9861674525866877</v>
      </c>
      <c r="Q44">
        <f>('Cibles THREEME AMS'!$BZ10+'Cibles THREEME AMS'!$BZ12)/Q7</f>
        <v>0.97837999749184368</v>
      </c>
      <c r="R44">
        <f t="shared" si="33"/>
        <v>0.96518503552437362</v>
      </c>
      <c r="S44">
        <f>('Cibles THREEME AMS'!$CA10+'Cibles THREEME AMS'!$CA12)/S7</f>
        <v>0.95199007355690357</v>
      </c>
      <c r="T44">
        <f t="shared" ref="T44:U44" si="43">S44+($V44-$S44)/3</f>
        <v>0.96762900692563258</v>
      </c>
      <c r="U44">
        <f t="shared" si="43"/>
        <v>0.9832679402943616</v>
      </c>
      <c r="V44">
        <f>('Cibles THREEME AMS'!$CB10+'Cibles THREEME AMS'!$CB12)/V7</f>
        <v>0.99890687366309061</v>
      </c>
      <c r="W44">
        <f t="shared" si="35"/>
        <v>1.0090173960820104</v>
      </c>
      <c r="X44">
        <f>('Cibles THREEME AMS'!$CC10+'Cibles THREEME AMS'!$CC12)/X7</f>
        <v>1.0191279185009303</v>
      </c>
      <c r="Y44">
        <f t="shared" si="36"/>
        <v>1.0285770858737411</v>
      </c>
      <c r="Z44">
        <f t="shared" si="36"/>
        <v>1.0380262532465518</v>
      </c>
      <c r="AA44">
        <f>('Cibles THREEME AMS'!$CD10+'Cibles THREEME AMS'!$CD12)/AA7</f>
        <v>1.0474754206193628</v>
      </c>
      <c r="AB44">
        <f t="shared" si="37"/>
        <v>0.54252535779766642</v>
      </c>
      <c r="AC44">
        <f>('Cibles THREEME AMS'!$CE10+'Cibles THREEME AMS'!$CE12)/AC7</f>
        <v>3.757529497597005E-2</v>
      </c>
      <c r="AD44">
        <f t="shared" si="38"/>
        <v>3.7567449060458911E-2</v>
      </c>
      <c r="AE44">
        <f t="shared" si="38"/>
        <v>3.7559603144947773E-2</v>
      </c>
      <c r="AF44">
        <f t="shared" si="38"/>
        <v>3.7551757229436634E-2</v>
      </c>
      <c r="AG44">
        <f t="shared" si="38"/>
        <v>3.7543911313925496E-2</v>
      </c>
      <c r="AH44">
        <f>('Cibles THREEME AMS'!$CF10+'Cibles THREEME AMS'!$CF12)/AH7</f>
        <v>3.7536065398414364E-2</v>
      </c>
      <c r="AI44">
        <f t="shared" si="39"/>
        <v>3.7443242361629131E-2</v>
      </c>
      <c r="AJ44">
        <f t="shared" si="39"/>
        <v>3.7350419324843898E-2</v>
      </c>
      <c r="AK44">
        <f t="shared" si="39"/>
        <v>3.7257596288058664E-2</v>
      </c>
      <c r="AL44">
        <f t="shared" si="39"/>
        <v>3.7164773251273431E-2</v>
      </c>
      <c r="AM44">
        <f>('Cibles THREEME AMS'!$CG10+'Cibles THREEME AMS'!$CG12)/AM7</f>
        <v>3.707195021448819E-2</v>
      </c>
    </row>
    <row r="45" spans="1:39" x14ac:dyDescent="0.25">
      <c r="A45" s="593" t="s">
        <v>104</v>
      </c>
      <c r="B45" s="589" t="s">
        <v>42</v>
      </c>
      <c r="C45">
        <f t="shared" si="42"/>
        <v>2304</v>
      </c>
      <c r="D45">
        <f>'Cibles THREEME AMS'!$BV11*11.64/D8</f>
        <v>2.9105546410597891</v>
      </c>
      <c r="E45">
        <f t="shared" si="29"/>
        <v>2.8929235843269119</v>
      </c>
      <c r="F45">
        <f t="shared" si="29"/>
        <v>2.8752925275940346</v>
      </c>
      <c r="G45">
        <f t="shared" si="29"/>
        <v>2.8576614708611574</v>
      </c>
      <c r="H45">
        <f t="shared" si="29"/>
        <v>2.8400304141282802</v>
      </c>
      <c r="I45">
        <f>'Cibles THREEME AMS'!$BW11/I8</f>
        <v>2.8223993573954025</v>
      </c>
      <c r="J45">
        <f t="shared" si="30"/>
        <v>2.8363363927753724</v>
      </c>
      <c r="K45">
        <f t="shared" si="30"/>
        <v>2.8502734281553423</v>
      </c>
      <c r="L45">
        <f>'Cibles THREEME AMS'!$BX11/L8</f>
        <v>2.8642104635353127</v>
      </c>
      <c r="M45">
        <f t="shared" si="31"/>
        <v>1.4321052317676564</v>
      </c>
      <c r="N45">
        <f>'Cibles THREEME AMS'!$BY11/N8</f>
        <v>0</v>
      </c>
      <c r="O45">
        <f t="shared" si="32"/>
        <v>0</v>
      </c>
      <c r="P45">
        <f t="shared" si="32"/>
        <v>0</v>
      </c>
      <c r="Q45">
        <f>'Cibles THREEME AMS'!$BZ11/Q8</f>
        <v>0</v>
      </c>
      <c r="R45">
        <f t="shared" si="33"/>
        <v>0</v>
      </c>
      <c r="S45">
        <f>'Cibles THREEME AMS'!$CA11/S8</f>
        <v>0</v>
      </c>
      <c r="T45">
        <f t="shared" ref="T45:U45" si="44">S45+($V45-$S45)/3</f>
        <v>0</v>
      </c>
      <c r="U45">
        <f t="shared" si="44"/>
        <v>0</v>
      </c>
      <c r="V45">
        <f>'Cibles THREEME AMS'!$CB11/V8</f>
        <v>0</v>
      </c>
      <c r="W45">
        <f t="shared" si="35"/>
        <v>0</v>
      </c>
      <c r="X45">
        <f>'Cibles THREEME AMS'!$CC11/X8</f>
        <v>0</v>
      </c>
      <c r="Y45">
        <f t="shared" si="36"/>
        <v>0</v>
      </c>
      <c r="Z45">
        <f t="shared" si="36"/>
        <v>0</v>
      </c>
      <c r="AA45">
        <f>'Cibles THREEME AMS'!$CD11/AA8</f>
        <v>0</v>
      </c>
      <c r="AB45">
        <f t="shared" si="37"/>
        <v>0</v>
      </c>
      <c r="AC45">
        <f>'Cibles THREEME AMS'!$CE11/AC8</f>
        <v>0</v>
      </c>
      <c r="AD45">
        <f t="shared" si="38"/>
        <v>0</v>
      </c>
      <c r="AE45">
        <f t="shared" si="38"/>
        <v>0</v>
      </c>
      <c r="AF45">
        <f t="shared" si="38"/>
        <v>0</v>
      </c>
      <c r="AG45">
        <f t="shared" si="38"/>
        <v>0</v>
      </c>
      <c r="AH45">
        <f>'Cibles THREEME AMS'!$CF11/AH8</f>
        <v>0</v>
      </c>
      <c r="AI45">
        <f t="shared" si="39"/>
        <v>0</v>
      </c>
      <c r="AJ45">
        <f t="shared" si="39"/>
        <v>0</v>
      </c>
      <c r="AK45">
        <f t="shared" si="39"/>
        <v>0</v>
      </c>
      <c r="AL45">
        <f t="shared" si="39"/>
        <v>0</v>
      </c>
      <c r="AM45">
        <f>'Cibles THREEME AMS'!$CG11/AM8</f>
        <v>0</v>
      </c>
    </row>
    <row r="46" spans="1:39" x14ac:dyDescent="0.25">
      <c r="A46" s="593"/>
      <c r="B46" s="589" t="s">
        <v>473</v>
      </c>
      <c r="C46">
        <f t="shared" si="42"/>
        <v>2305</v>
      </c>
      <c r="D46">
        <f>'Cibles THREEME AMS'!$BV13*11.64/D9</f>
        <v>7.3059440569521336E-2</v>
      </c>
      <c r="E46">
        <f t="shared" si="29"/>
        <v>7.4697605326275937E-2</v>
      </c>
      <c r="F46">
        <f t="shared" si="29"/>
        <v>7.6335770083030538E-2</v>
      </c>
      <c r="G46">
        <f t="shared" si="29"/>
        <v>7.7973934839785139E-2</v>
      </c>
      <c r="H46">
        <f t="shared" si="29"/>
        <v>7.961209959653974E-2</v>
      </c>
      <c r="I46">
        <f>'Cibles THREEME AMS'!$BW13/I9</f>
        <v>8.1250264353294369E-2</v>
      </c>
      <c r="J46">
        <f t="shared" si="30"/>
        <v>8.2029866102925605E-2</v>
      </c>
      <c r="K46">
        <f t="shared" si="30"/>
        <v>8.2809467852556842E-2</v>
      </c>
      <c r="L46">
        <f>'Cibles THREEME AMS'!$BX13/L9</f>
        <v>8.3589069602188093E-2</v>
      </c>
      <c r="M46">
        <f t="shared" si="31"/>
        <v>8.1781630277106304E-2</v>
      </c>
      <c r="N46">
        <f>'Cibles THREEME AMS'!$BY13/N9</f>
        <v>7.9974190952024529E-2</v>
      </c>
      <c r="O46">
        <f t="shared" si="32"/>
        <v>7.7880250918835298E-2</v>
      </c>
      <c r="P46">
        <f t="shared" si="32"/>
        <v>7.5786310885646066E-2</v>
      </c>
      <c r="Q46">
        <f>'Cibles THREEME AMS'!$BZ13/Q9</f>
        <v>7.3692370852456821E-2</v>
      </c>
      <c r="R46">
        <f t="shared" si="33"/>
        <v>7.1282726717059888E-2</v>
      </c>
      <c r="S46">
        <f>'Cibles THREEME AMS'!$CA13/S9</f>
        <v>6.8873082581662956E-2</v>
      </c>
      <c r="T46">
        <f t="shared" ref="T46:U46" si="45">S46+($V46-$S46)/3</f>
        <v>6.9157259208930608E-2</v>
      </c>
      <c r="U46">
        <f t="shared" si="45"/>
        <v>6.9441435836198259E-2</v>
      </c>
      <c r="V46">
        <f>'Cibles THREEME AMS'!$CB13/V9</f>
        <v>6.9725612463465897E-2</v>
      </c>
      <c r="W46">
        <f t="shared" si="35"/>
        <v>6.9661057438012014E-2</v>
      </c>
      <c r="X46">
        <f>'Cibles THREEME AMS'!$CC13/X9</f>
        <v>6.9596502412558145E-2</v>
      </c>
      <c r="Y46">
        <f t="shared" si="36"/>
        <v>7.0055516685412669E-2</v>
      </c>
      <c r="Z46">
        <f t="shared" si="36"/>
        <v>7.0514530958267194E-2</v>
      </c>
      <c r="AA46">
        <f>'Cibles THREEME AMS'!$CD13/AA9</f>
        <v>7.0973545231121704E-2</v>
      </c>
      <c r="AB46">
        <f t="shared" si="37"/>
        <v>7.1461497611970987E-2</v>
      </c>
      <c r="AC46">
        <f>'Cibles THREEME AMS'!$CE13/AC9</f>
        <v>7.1949449992820283E-2</v>
      </c>
      <c r="AD46">
        <f t="shared" si="38"/>
        <v>7.1258271486296668E-2</v>
      </c>
      <c r="AE46">
        <f t="shared" si="38"/>
        <v>7.0567092979773052E-2</v>
      </c>
      <c r="AF46">
        <f t="shared" si="38"/>
        <v>6.9875914473249437E-2</v>
      </c>
      <c r="AG46">
        <f t="shared" si="38"/>
        <v>6.9184735966725822E-2</v>
      </c>
      <c r="AH46">
        <f>'Cibles THREEME AMS'!$CF13/AH9</f>
        <v>6.8493557460202192E-2</v>
      </c>
      <c r="AI46">
        <f t="shared" si="39"/>
        <v>6.7902668917530856E-2</v>
      </c>
      <c r="AJ46">
        <f t="shared" si="39"/>
        <v>6.731178037485952E-2</v>
      </c>
      <c r="AK46">
        <f t="shared" si="39"/>
        <v>6.6720891832188184E-2</v>
      </c>
      <c r="AL46">
        <f t="shared" si="39"/>
        <v>6.6130003289516848E-2</v>
      </c>
      <c r="AM46">
        <f>'Cibles THREEME AMS'!$CG13/AM9</f>
        <v>6.5539114746845525E-2</v>
      </c>
    </row>
    <row r="47" spans="1:39" x14ac:dyDescent="0.25">
      <c r="A47" s="593"/>
      <c r="B47" s="589" t="s">
        <v>279</v>
      </c>
      <c r="C47">
        <f t="shared" si="42"/>
        <v>2306</v>
      </c>
      <c r="D47">
        <f>'Cibles THREEME AMS'!$BV14*11.64/D10</f>
        <v>7.305944056952135E-2</v>
      </c>
      <c r="E47">
        <f t="shared" si="29"/>
        <v>7.4697605326275951E-2</v>
      </c>
      <c r="F47">
        <f t="shared" si="29"/>
        <v>7.6335770083030552E-2</v>
      </c>
      <c r="G47">
        <f t="shared" si="29"/>
        <v>7.7973934839785153E-2</v>
      </c>
      <c r="H47">
        <f t="shared" si="29"/>
        <v>7.9612099596539754E-2</v>
      </c>
      <c r="I47">
        <f>'Cibles THREEME AMS'!$BW14/I10</f>
        <v>8.1250264353294355E-2</v>
      </c>
      <c r="J47">
        <f t="shared" si="30"/>
        <v>8.2029866102925605E-2</v>
      </c>
      <c r="K47">
        <f t="shared" si="30"/>
        <v>8.2809467852556856E-2</v>
      </c>
      <c r="L47">
        <f>'Cibles THREEME AMS'!$BX14/L10</f>
        <v>8.3589069602188093E-2</v>
      </c>
      <c r="M47">
        <f t="shared" si="31"/>
        <v>8.1781630277106318E-2</v>
      </c>
      <c r="N47">
        <f>'Cibles THREEME AMS'!$BY14/N10</f>
        <v>7.9974190952024543E-2</v>
      </c>
      <c r="O47">
        <f t="shared" si="32"/>
        <v>7.7880250918835298E-2</v>
      </c>
      <c r="P47">
        <f t="shared" si="32"/>
        <v>7.5786310885646052E-2</v>
      </c>
      <c r="Q47">
        <f>'Cibles THREEME AMS'!$BZ14/Q10</f>
        <v>7.3692370852456821E-2</v>
      </c>
      <c r="R47">
        <f t="shared" si="33"/>
        <v>7.1282726717059888E-2</v>
      </c>
      <c r="S47">
        <f>'Cibles THREEME AMS'!$CA14/S10</f>
        <v>6.8873082581662956E-2</v>
      </c>
      <c r="T47">
        <f t="shared" ref="T47:U47" si="46">S47+($V47-$S47)/3</f>
        <v>6.9157259208930594E-2</v>
      </c>
      <c r="U47">
        <f t="shared" si="46"/>
        <v>6.9441435836198231E-2</v>
      </c>
      <c r="V47">
        <f>'Cibles THREEME AMS'!$CB14/V10</f>
        <v>6.9725612463465883E-2</v>
      </c>
      <c r="W47">
        <f t="shared" si="35"/>
        <v>6.9661057438012014E-2</v>
      </c>
      <c r="X47">
        <f>'Cibles THREEME AMS'!$CC14/X10</f>
        <v>6.9596502412558145E-2</v>
      </c>
      <c r="Y47">
        <f t="shared" si="36"/>
        <v>7.0055516685412669E-2</v>
      </c>
      <c r="Z47">
        <f t="shared" si="36"/>
        <v>7.0514530958267194E-2</v>
      </c>
      <c r="AA47">
        <f>'Cibles THREEME AMS'!$CD14/AA10</f>
        <v>7.0973545231121704E-2</v>
      </c>
      <c r="AB47">
        <f t="shared" si="37"/>
        <v>7.1461497611970987E-2</v>
      </c>
      <c r="AC47">
        <f>'Cibles THREEME AMS'!$CE14/AC10</f>
        <v>7.1949449992820269E-2</v>
      </c>
      <c r="AD47">
        <f t="shared" si="38"/>
        <v>7.1258271486296654E-2</v>
      </c>
      <c r="AE47">
        <f t="shared" si="38"/>
        <v>7.0567092979773038E-2</v>
      </c>
      <c r="AF47">
        <f t="shared" si="38"/>
        <v>6.9875914473249423E-2</v>
      </c>
      <c r="AG47">
        <f t="shared" si="38"/>
        <v>6.9184735966725808E-2</v>
      </c>
      <c r="AH47">
        <f>'Cibles THREEME AMS'!$CF14/AH10</f>
        <v>6.8493557460202192E-2</v>
      </c>
      <c r="AI47">
        <f t="shared" si="39"/>
        <v>6.7902668917530856E-2</v>
      </c>
      <c r="AJ47">
        <f t="shared" si="39"/>
        <v>6.731178037485952E-2</v>
      </c>
      <c r="AK47">
        <f t="shared" si="39"/>
        <v>6.6720891832188184E-2</v>
      </c>
      <c r="AL47">
        <f t="shared" si="39"/>
        <v>6.6130003289516848E-2</v>
      </c>
      <c r="AM47">
        <f>'Cibles THREEME AMS'!$CG14/AM10</f>
        <v>6.5539114746845539E-2</v>
      </c>
    </row>
    <row r="48" spans="1:39" x14ac:dyDescent="0.25">
      <c r="A48" s="593"/>
      <c r="B48" s="589" t="s">
        <v>18</v>
      </c>
      <c r="C48">
        <f t="shared" si="42"/>
        <v>2307</v>
      </c>
      <c r="D48">
        <f>'Cibles THREEME AMS'!$BV15*11.64/D11</f>
        <v>7.305944056952135E-2</v>
      </c>
      <c r="E48">
        <f t="shared" si="29"/>
        <v>7.4697605326275951E-2</v>
      </c>
      <c r="F48">
        <f t="shared" si="29"/>
        <v>7.6335770083030552E-2</v>
      </c>
      <c r="G48">
        <f t="shared" si="29"/>
        <v>7.7973934839785153E-2</v>
      </c>
      <c r="H48">
        <f t="shared" si="29"/>
        <v>7.9612099596539754E-2</v>
      </c>
      <c r="I48">
        <f>'Cibles THREEME AMS'!$BW15/I11</f>
        <v>8.1250264353294341E-2</v>
      </c>
      <c r="J48">
        <f t="shared" si="30"/>
        <v>8.2029866102925592E-2</v>
      </c>
      <c r="K48">
        <f t="shared" si="30"/>
        <v>8.2809467852556842E-2</v>
      </c>
      <c r="L48">
        <f>'Cibles THREEME AMS'!$BX15/L11</f>
        <v>8.3589069602188079E-2</v>
      </c>
      <c r="M48">
        <f t="shared" si="31"/>
        <v>8.1781630277106304E-2</v>
      </c>
      <c r="N48">
        <f>'Cibles THREEME AMS'!$BY15/N11</f>
        <v>7.9974190952024543E-2</v>
      </c>
      <c r="O48">
        <f t="shared" si="32"/>
        <v>7.7880250918835298E-2</v>
      </c>
      <c r="P48">
        <f t="shared" si="32"/>
        <v>7.5786310885646052E-2</v>
      </c>
      <c r="Q48">
        <f>'Cibles THREEME AMS'!$BZ15/Q11</f>
        <v>7.3692370852456821E-2</v>
      </c>
      <c r="R48">
        <f t="shared" si="33"/>
        <v>7.1282726717059888E-2</v>
      </c>
      <c r="S48">
        <f>'Cibles THREEME AMS'!$CA15/S11</f>
        <v>6.8873082581662956E-2</v>
      </c>
      <c r="T48">
        <f t="shared" ref="T48:U48" si="47">S48+($V48-$S48)/3</f>
        <v>6.9157259208930608E-2</v>
      </c>
      <c r="U48">
        <f t="shared" si="47"/>
        <v>6.9441435836198259E-2</v>
      </c>
      <c r="V48">
        <f>'Cibles THREEME AMS'!$CB15/V11</f>
        <v>6.9725612463465897E-2</v>
      </c>
      <c r="W48">
        <f t="shared" si="35"/>
        <v>6.9661057438012014E-2</v>
      </c>
      <c r="X48">
        <f>'Cibles THREEME AMS'!$CC15/X11</f>
        <v>6.9596502412558145E-2</v>
      </c>
      <c r="Y48">
        <f t="shared" si="36"/>
        <v>7.0055516685412669E-2</v>
      </c>
      <c r="Z48">
        <f t="shared" si="36"/>
        <v>7.0514530958267194E-2</v>
      </c>
      <c r="AA48">
        <f>'Cibles THREEME AMS'!$CD15/AA11</f>
        <v>7.0973545231121718E-2</v>
      </c>
      <c r="AB48">
        <f t="shared" si="37"/>
        <v>7.1461497611970987E-2</v>
      </c>
      <c r="AC48">
        <f>'Cibles THREEME AMS'!$CE15/AC11</f>
        <v>7.1949449992820269E-2</v>
      </c>
      <c r="AD48">
        <f t="shared" si="38"/>
        <v>7.1258271486296654E-2</v>
      </c>
      <c r="AE48">
        <f t="shared" si="38"/>
        <v>7.0567092979773038E-2</v>
      </c>
      <c r="AF48">
        <f t="shared" si="38"/>
        <v>6.9875914473249423E-2</v>
      </c>
      <c r="AG48">
        <f t="shared" si="38"/>
        <v>6.9184735966725808E-2</v>
      </c>
      <c r="AH48">
        <f>'Cibles THREEME AMS'!$CF15/AH11</f>
        <v>6.8493557460202192E-2</v>
      </c>
      <c r="AI48">
        <f t="shared" si="39"/>
        <v>6.7902668917530856E-2</v>
      </c>
      <c r="AJ48">
        <f t="shared" si="39"/>
        <v>6.731178037485952E-2</v>
      </c>
      <c r="AK48">
        <f t="shared" si="39"/>
        <v>6.6720891832188184E-2</v>
      </c>
      <c r="AL48">
        <f t="shared" si="39"/>
        <v>6.6130003289516848E-2</v>
      </c>
      <c r="AM48">
        <f>'Cibles THREEME AMS'!$CG15/AM11</f>
        <v>6.5539114746845539E-2</v>
      </c>
    </row>
    <row r="49" spans="1:39" ht="15.75" thickBot="1" x14ac:dyDescent="0.3">
      <c r="A49" s="592"/>
      <c r="B49" s="590" t="s">
        <v>476</v>
      </c>
      <c r="C49">
        <f t="shared" si="42"/>
        <v>2308</v>
      </c>
      <c r="D49">
        <f>'Cibles THREEME AMS'!$BV16*11.64/D12</f>
        <v>4.4063574591689036</v>
      </c>
      <c r="E49">
        <f t="shared" si="29"/>
        <v>4.3785685153664797</v>
      </c>
      <c r="F49">
        <f t="shared" si="29"/>
        <v>4.3507795715640558</v>
      </c>
      <c r="G49">
        <f t="shared" si="29"/>
        <v>4.3229906277616319</v>
      </c>
      <c r="H49">
        <f t="shared" si="29"/>
        <v>4.295201683959208</v>
      </c>
      <c r="I49">
        <f>'Cibles THREEME AMS'!$BW16/I12</f>
        <v>4.2674127401567858</v>
      </c>
      <c r="J49">
        <f t="shared" si="30"/>
        <v>4.2882857965386387</v>
      </c>
      <c r="K49">
        <f t="shared" si="30"/>
        <v>4.3091588529204916</v>
      </c>
      <c r="L49">
        <f>'Cibles THREEME AMS'!$BX16/L12</f>
        <v>4.3300319093023445</v>
      </c>
      <c r="M49">
        <f t="shared" si="31"/>
        <v>3.1778745903836283</v>
      </c>
      <c r="N49">
        <f>'Cibles THREEME AMS'!$BY16/N12</f>
        <v>2.0257172714649125</v>
      </c>
      <c r="O49">
        <f t="shared" si="32"/>
        <v>2.0238549800796606</v>
      </c>
      <c r="P49">
        <f t="shared" si="32"/>
        <v>2.0219926886944086</v>
      </c>
      <c r="Q49">
        <f>'Cibles THREEME AMS'!$BZ16/Q12</f>
        <v>2.0201303973091562</v>
      </c>
      <c r="R49">
        <f t="shared" si="33"/>
        <v>2.0086354709309417</v>
      </c>
      <c r="S49">
        <f>'Cibles THREEME AMS'!$CA16/S12</f>
        <v>1.9971405445527273</v>
      </c>
      <c r="T49">
        <f t="shared" ref="T49:U49" si="48">S49+($V49-$S49)/3</f>
        <v>1.9383383550711735</v>
      </c>
      <c r="U49">
        <f t="shared" si="48"/>
        <v>1.8795361655896197</v>
      </c>
      <c r="V49">
        <f>'Cibles THREEME AMS'!$CB16/V12</f>
        <v>1.8207339761080656</v>
      </c>
      <c r="W49">
        <f t="shared" si="35"/>
        <v>1.7702591529709433</v>
      </c>
      <c r="X49">
        <f>'Cibles THREEME AMS'!$CC16/X12</f>
        <v>1.7197843298338207</v>
      </c>
      <c r="Y49">
        <f t="shared" si="36"/>
        <v>1.6658343154849107</v>
      </c>
      <c r="Z49">
        <f t="shared" si="36"/>
        <v>1.6118843011360007</v>
      </c>
      <c r="AA49">
        <f>'Cibles THREEME AMS'!$CD16/AA12</f>
        <v>1.5579342867870907</v>
      </c>
      <c r="AB49">
        <f t="shared" si="37"/>
        <v>1.5158682470213836</v>
      </c>
      <c r="AC49">
        <f>'Cibles THREEME AMS'!$CE16/AC12</f>
        <v>1.4738022072556767</v>
      </c>
      <c r="AD49">
        <f t="shared" si="38"/>
        <v>1.4663567791619099</v>
      </c>
      <c r="AE49">
        <f t="shared" si="38"/>
        <v>1.4589113510681431</v>
      </c>
      <c r="AF49">
        <f t="shared" si="38"/>
        <v>1.4514659229743763</v>
      </c>
      <c r="AG49">
        <f t="shared" si="38"/>
        <v>1.4440204948806095</v>
      </c>
      <c r="AH49">
        <f>'Cibles THREEME AMS'!$CF16/AH12</f>
        <v>1.4365750667868427</v>
      </c>
      <c r="AI49">
        <f t="shared" si="39"/>
        <v>1.4317095811139418</v>
      </c>
      <c r="AJ49">
        <f t="shared" si="39"/>
        <v>1.4268440954410408</v>
      </c>
      <c r="AK49">
        <f t="shared" si="39"/>
        <v>1.4219786097681399</v>
      </c>
      <c r="AL49">
        <f t="shared" si="39"/>
        <v>1.417113124095239</v>
      </c>
      <c r="AM49">
        <f>'Cibles THREEME AMS'!$CG16/AM12</f>
        <v>1.4122476384223377</v>
      </c>
    </row>
    <row r="50" spans="1:39" x14ac:dyDescent="0.25">
      <c r="A50" s="591"/>
      <c r="B50" s="588" t="s">
        <v>287</v>
      </c>
      <c r="C50">
        <v>2401</v>
      </c>
      <c r="D50" s="404">
        <f>'Cibles THREEME AMS'!$BV17*11.64/D13</f>
        <v>3.701010186305935E-2</v>
      </c>
      <c r="E50">
        <f t="shared" si="29"/>
        <v>3.4563836908764134E-2</v>
      </c>
      <c r="F50">
        <f t="shared" si="29"/>
        <v>3.2117571954468918E-2</v>
      </c>
      <c r="G50">
        <f t="shared" si="29"/>
        <v>2.9671307000173699E-2</v>
      </c>
      <c r="H50">
        <f t="shared" si="29"/>
        <v>2.7225042045878479E-2</v>
      </c>
      <c r="I50" s="404">
        <f>'Cibles THREEME AMS'!$BW17/I13</f>
        <v>2.4778777091583257E-2</v>
      </c>
      <c r="J50">
        <f t="shared" si="30"/>
        <v>2.4052045271552702E-2</v>
      </c>
      <c r="K50">
        <f t="shared" si="30"/>
        <v>2.3325313451522146E-2</v>
      </c>
      <c r="L50" s="404">
        <f>'Cibles THREEME AMS'!$BX17/L13</f>
        <v>2.2598581631491595E-2</v>
      </c>
      <c r="M50">
        <f t="shared" si="31"/>
        <v>2.0936932528321364E-2</v>
      </c>
      <c r="N50" s="404">
        <f>'Cibles THREEME AMS'!$BY17/N13</f>
        <v>1.9275283425151134E-2</v>
      </c>
      <c r="O50">
        <f t="shared" si="32"/>
        <v>1.7688747940523546E-2</v>
      </c>
      <c r="P50">
        <f t="shared" si="32"/>
        <v>1.6102212455895958E-2</v>
      </c>
      <c r="Q50" s="404">
        <f>'Cibles THREEME AMS'!$BZ17/Q13</f>
        <v>1.4515676971268373E-2</v>
      </c>
      <c r="R50">
        <f t="shared" si="33"/>
        <v>1.298037242481054E-2</v>
      </c>
      <c r="S50" s="404">
        <f>'Cibles THREEME AMS'!$CA17/S13</f>
        <v>1.1445067878352706E-2</v>
      </c>
      <c r="T50">
        <f t="shared" ref="T50:U50" si="49">S50+($V50-$S50)/3</f>
        <v>1.1653816060077543E-2</v>
      </c>
      <c r="U50">
        <f t="shared" si="49"/>
        <v>1.1862564241802379E-2</v>
      </c>
      <c r="V50" s="404">
        <f>'Cibles THREEME AMS'!$CB17/V13</f>
        <v>1.2071312423527217E-2</v>
      </c>
      <c r="W50">
        <f t="shared" si="35"/>
        <v>1.1435825376729557E-2</v>
      </c>
      <c r="X50" s="404">
        <f>'Cibles THREEME AMS'!$CC17/X13</f>
        <v>1.0800338329931899E-2</v>
      </c>
      <c r="Y50">
        <f t="shared" si="36"/>
        <v>1.0530425959599585E-2</v>
      </c>
      <c r="Z50">
        <f t="shared" si="36"/>
        <v>1.0260513589267271E-2</v>
      </c>
      <c r="AA50" s="404">
        <f>'Cibles THREEME AMS'!$CD17/AA13</f>
        <v>9.9906012189349587E-3</v>
      </c>
      <c r="AB50">
        <f t="shared" si="37"/>
        <v>7.7652330746071016E-3</v>
      </c>
      <c r="AC50" s="404">
        <f>'Cibles THREEME AMS'!$CE17/AC13</f>
        <v>5.5398649302792436E-3</v>
      </c>
      <c r="AD50">
        <f t="shared" si="38"/>
        <v>6.1359283546729548E-3</v>
      </c>
      <c r="AE50">
        <f t="shared" si="38"/>
        <v>6.7319917790666659E-3</v>
      </c>
      <c r="AF50">
        <f t="shared" si="38"/>
        <v>7.328055203460377E-3</v>
      </c>
      <c r="AG50">
        <f t="shared" si="38"/>
        <v>7.9241186278540873E-3</v>
      </c>
      <c r="AH50" s="404">
        <f>'Cibles THREEME AMS'!$CF17/AH13</f>
        <v>8.5201820522477975E-3</v>
      </c>
      <c r="AI50">
        <f t="shared" si="39"/>
        <v>6.8566280762560709E-3</v>
      </c>
      <c r="AJ50">
        <f t="shared" si="39"/>
        <v>5.1930741002643444E-3</v>
      </c>
      <c r="AK50">
        <f t="shared" si="39"/>
        <v>3.5295201242726173E-3</v>
      </c>
      <c r="AL50">
        <f t="shared" si="39"/>
        <v>1.8659661482808903E-3</v>
      </c>
      <c r="AM50" s="404">
        <f>'Cibles THREEME AMS'!$CG17/AM13</f>
        <v>2.0241217228916212E-4</v>
      </c>
    </row>
    <row r="51" spans="1:39" x14ac:dyDescent="0.25">
      <c r="A51" s="593"/>
      <c r="B51" s="589" t="s">
        <v>289</v>
      </c>
      <c r="C51">
        <v>2402</v>
      </c>
      <c r="D51" s="404">
        <f>'Cibles THREEME AMS'!$BV18*11.64/D14</f>
        <v>1.1171130306090762E-2</v>
      </c>
      <c r="E51">
        <f t="shared" si="29"/>
        <v>1.0946222419546405E-2</v>
      </c>
      <c r="F51">
        <f t="shared" si="29"/>
        <v>1.0721314533002048E-2</v>
      </c>
      <c r="G51">
        <f t="shared" si="29"/>
        <v>1.0496406646457691E-2</v>
      </c>
      <c r="H51">
        <f t="shared" si="29"/>
        <v>1.0271498759913334E-2</v>
      </c>
      <c r="I51" s="404">
        <f>'Cibles THREEME AMS'!$BW18/I14</f>
        <v>1.0046590873368977E-2</v>
      </c>
      <c r="J51">
        <f t="shared" si="30"/>
        <v>1.1027419666847933E-2</v>
      </c>
      <c r="K51">
        <f t="shared" si="30"/>
        <v>1.2008248460326889E-2</v>
      </c>
      <c r="L51" s="404">
        <f>'Cibles THREEME AMS'!$BX18/L14</f>
        <v>1.2989077253805844E-2</v>
      </c>
      <c r="M51">
        <f t="shared" si="31"/>
        <v>1.6974683295425275E-2</v>
      </c>
      <c r="N51" s="404">
        <f>'Cibles THREEME AMS'!$BY18/N14</f>
        <v>2.0960289337044705E-2</v>
      </c>
      <c r="O51">
        <f t="shared" si="32"/>
        <v>2.1405651142330777E-2</v>
      </c>
      <c r="P51">
        <f t="shared" si="32"/>
        <v>2.1851012947616849E-2</v>
      </c>
      <c r="Q51" s="404">
        <f>'Cibles THREEME AMS'!$BZ18/Q14</f>
        <v>2.2296374752902918E-2</v>
      </c>
      <c r="R51">
        <f t="shared" si="33"/>
        <v>2.3360823957872222E-2</v>
      </c>
      <c r="S51" s="404">
        <f>'Cibles THREEME AMS'!$CA18/S14</f>
        <v>2.4425273162841529E-2</v>
      </c>
      <c r="T51">
        <f t="shared" ref="T51:U51" si="50">S51+($V51-$S51)/3</f>
        <v>2.2679657632036158E-2</v>
      </c>
      <c r="U51">
        <f t="shared" si="50"/>
        <v>2.0934042101230788E-2</v>
      </c>
      <c r="V51" s="404">
        <f>'Cibles THREEME AMS'!$CB18/V14</f>
        <v>1.918842657042542E-2</v>
      </c>
      <c r="W51">
        <f t="shared" si="35"/>
        <v>1.8348658935752118E-2</v>
      </c>
      <c r="X51" s="404">
        <f>'Cibles THREEME AMS'!$CC18/X14</f>
        <v>1.7508891301078817E-2</v>
      </c>
      <c r="Y51">
        <f t="shared" si="36"/>
        <v>1.7030079621541183E-2</v>
      </c>
      <c r="Z51">
        <f t="shared" si="36"/>
        <v>1.655126794200355E-2</v>
      </c>
      <c r="AA51" s="404">
        <f>'Cibles THREEME AMS'!$CD18/AA14</f>
        <v>1.6072456262465912E-2</v>
      </c>
      <c r="AB51">
        <f t="shared" si="37"/>
        <v>2.0435691241329837E-2</v>
      </c>
      <c r="AC51" s="404">
        <f>'Cibles THREEME AMS'!$CE18/AC14</f>
        <v>2.4798926220193758E-2</v>
      </c>
      <c r="AD51">
        <f t="shared" si="38"/>
        <v>2.2598403084130411E-2</v>
      </c>
      <c r="AE51">
        <f t="shared" si="38"/>
        <v>2.0397879948067063E-2</v>
      </c>
      <c r="AF51">
        <f t="shared" si="38"/>
        <v>1.8197356812003716E-2</v>
      </c>
      <c r="AG51">
        <f t="shared" si="38"/>
        <v>1.5996833675940368E-2</v>
      </c>
      <c r="AH51" s="404">
        <f>'Cibles THREEME AMS'!$CF18/AH14</f>
        <v>1.3796310539877022E-2</v>
      </c>
      <c r="AI51">
        <f t="shared" si="39"/>
        <v>1.7961939196826558E-2</v>
      </c>
      <c r="AJ51">
        <f t="shared" si="39"/>
        <v>2.2127567853776092E-2</v>
      </c>
      <c r="AK51">
        <f t="shared" si="39"/>
        <v>2.6293196510725626E-2</v>
      </c>
      <c r="AL51">
        <f t="shared" si="39"/>
        <v>3.045882516767516E-2</v>
      </c>
      <c r="AM51" s="404">
        <f>'Cibles THREEME AMS'!$CG18/AM14</f>
        <v>3.4624453824624694E-2</v>
      </c>
    </row>
    <row r="52" spans="1:39" x14ac:dyDescent="0.25">
      <c r="A52" s="593" t="s">
        <v>474</v>
      </c>
      <c r="B52" s="589" t="s">
        <v>291</v>
      </c>
      <c r="C52">
        <v>2403</v>
      </c>
      <c r="D52" s="404">
        <f>('Cibles THREEME AMS'!$BV19+'Cibles THREEME AMS'!$BV20)*11.64/D15</f>
        <v>0.5326005166314316</v>
      </c>
      <c r="E52">
        <f t="shared" si="29"/>
        <v>0.44041944407021416</v>
      </c>
      <c r="F52">
        <f t="shared" si="29"/>
        <v>0.34823837150899672</v>
      </c>
      <c r="G52">
        <f t="shared" si="29"/>
        <v>0.25605729894777929</v>
      </c>
      <c r="H52">
        <f t="shared" si="29"/>
        <v>0.16387622638656188</v>
      </c>
      <c r="I52" s="404">
        <f>('Cibles THREEME AMS'!$BW19+'Cibles THREEME AMS'!$BW20)/I15</f>
        <v>7.1695153825344554E-2</v>
      </c>
      <c r="J52">
        <f t="shared" si="30"/>
        <v>5.4993919627917651E-2</v>
      </c>
      <c r="K52">
        <f t="shared" si="30"/>
        <v>3.8292685430490747E-2</v>
      </c>
      <c r="L52" s="404">
        <f>('Cibles THREEME AMS'!$BX19+'Cibles THREEME AMS'!$BX20)/L15</f>
        <v>2.1591451233063857E-2</v>
      </c>
      <c r="M52">
        <f t="shared" si="31"/>
        <v>0.86551330344358757</v>
      </c>
      <c r="N52" s="404">
        <f>('Cibles THREEME AMS'!$BY19+'Cibles THREEME AMS'!$BY20)/N15</f>
        <v>1.7094351556541112</v>
      </c>
      <c r="O52">
        <f t="shared" si="32"/>
        <v>1.5681516976778898</v>
      </c>
      <c r="P52">
        <f t="shared" si="32"/>
        <v>1.4268682397016683</v>
      </c>
      <c r="Q52" s="404">
        <f>('Cibles THREEME AMS'!$BZ19+'Cibles THREEME AMS'!$BZ20)/Q15</f>
        <v>1.2855847817254469</v>
      </c>
      <c r="R52">
        <f t="shared" si="33"/>
        <v>1.2393202834725372</v>
      </c>
      <c r="S52" s="404">
        <f>('Cibles THREEME AMS'!$CA19+'Cibles THREEME AMS'!$CA20)/S15</f>
        <v>1.1930557852196277</v>
      </c>
      <c r="T52">
        <f t="shared" ref="T52:U52" si="51">S52+($V52-$S52)/3</f>
        <v>1.2038824820951886</v>
      </c>
      <c r="U52">
        <f t="shared" si="51"/>
        <v>1.2147091789707494</v>
      </c>
      <c r="V52" s="404">
        <f>('Cibles THREEME AMS'!$CB19+'Cibles THREEME AMS'!$CB20)/V15</f>
        <v>1.2255358758463104</v>
      </c>
      <c r="W52">
        <f t="shared" si="35"/>
        <v>1.2498666231780096</v>
      </c>
      <c r="X52" s="404">
        <f>('Cibles THREEME AMS'!$CC19+'Cibles THREEME AMS'!$CC20)/X15</f>
        <v>1.2741973705097087</v>
      </c>
      <c r="Y52">
        <f t="shared" si="36"/>
        <v>1.2149108448781387</v>
      </c>
      <c r="Z52">
        <f t="shared" si="36"/>
        <v>1.1556243192465687</v>
      </c>
      <c r="AA52" s="404">
        <f>('Cibles THREEME AMS'!$CD19+'Cibles THREEME AMS'!$CD20)/AA15</f>
        <v>1.0963377936149989</v>
      </c>
      <c r="AB52">
        <f t="shared" si="37"/>
        <v>1.1251042224976993</v>
      </c>
      <c r="AC52" s="404">
        <f>('Cibles THREEME AMS'!$CE19+'Cibles THREEME AMS'!$CE20)/AC15</f>
        <v>1.1538706513803993</v>
      </c>
      <c r="AD52">
        <f t="shared" si="38"/>
        <v>1.1885506027515067</v>
      </c>
      <c r="AE52">
        <f t="shared" si="38"/>
        <v>1.2232305541226141</v>
      </c>
      <c r="AF52">
        <f t="shared" si="38"/>
        <v>1.2579105054937214</v>
      </c>
      <c r="AG52">
        <f t="shared" si="38"/>
        <v>1.2925904568648288</v>
      </c>
      <c r="AH52" s="404">
        <f>('Cibles THREEME AMS'!$CF19+'Cibles THREEME AMS'!$CF20)/AH15</f>
        <v>1.3272704082359359</v>
      </c>
      <c r="AI52">
        <f t="shared" si="39"/>
        <v>1.3011794530008984</v>
      </c>
      <c r="AJ52">
        <f t="shared" si="39"/>
        <v>1.275088497765861</v>
      </c>
      <c r="AK52">
        <f t="shared" si="39"/>
        <v>1.2489975425308235</v>
      </c>
      <c r="AL52">
        <f t="shared" si="39"/>
        <v>1.2229065872957861</v>
      </c>
      <c r="AM52" s="404">
        <f>('Cibles THREEME AMS'!$CG19+'Cibles THREEME AMS'!$CG20)/AM15</f>
        <v>1.1968156320607484</v>
      </c>
    </row>
    <row r="53" spans="1:39" x14ac:dyDescent="0.25">
      <c r="A53" s="593"/>
      <c r="B53" s="589" t="s">
        <v>293</v>
      </c>
      <c r="C53">
        <v>2404</v>
      </c>
      <c r="D53">
        <f>'Cibles THREEME AMS'!$BV21*11.64/D16</f>
        <v>0.34306886949284809</v>
      </c>
      <c r="E53">
        <f t="shared" si="29"/>
        <v>0.29991633370142629</v>
      </c>
      <c r="F53">
        <f t="shared" si="29"/>
        <v>0.25676379791000448</v>
      </c>
      <c r="G53">
        <f t="shared" si="29"/>
        <v>0.21361126211858267</v>
      </c>
      <c r="H53">
        <f t="shared" si="29"/>
        <v>0.17045872632716086</v>
      </c>
      <c r="I53">
        <f>'Cibles THREEME AMS'!$BW21/I16</f>
        <v>0.12730619053573899</v>
      </c>
      <c r="J53">
        <f t="shared" si="30"/>
        <v>0.11877778530797142</v>
      </c>
      <c r="K53">
        <f t="shared" si="30"/>
        <v>0.11024938008020385</v>
      </c>
      <c r="L53">
        <f>'Cibles THREEME AMS'!$BX21/L16</f>
        <v>0.10172097485243628</v>
      </c>
      <c r="M53">
        <f t="shared" si="31"/>
        <v>9.8401198841392576E-2</v>
      </c>
      <c r="N53">
        <f>'Cibles THREEME AMS'!$BY21/N16</f>
        <v>9.5081422830348872E-2</v>
      </c>
      <c r="O53">
        <f t="shared" si="32"/>
        <v>9.1698852245412313E-2</v>
      </c>
      <c r="P53">
        <f t="shared" si="32"/>
        <v>8.8316281660475754E-2</v>
      </c>
      <c r="Q53">
        <f>'Cibles THREEME AMS'!$BZ21/Q16</f>
        <v>8.4933711075539181E-2</v>
      </c>
      <c r="R53">
        <f t="shared" si="33"/>
        <v>8.4544456090487996E-2</v>
      </c>
      <c r="S53">
        <f>'Cibles THREEME AMS'!$CA21/S16</f>
        <v>8.4155201105436825E-2</v>
      </c>
      <c r="T53">
        <f t="shared" ref="T53:U53" si="52">S53+($V53-$S53)/3</f>
        <v>7.9326830944878385E-2</v>
      </c>
      <c r="U53">
        <f t="shared" si="52"/>
        <v>7.4498460784319945E-2</v>
      </c>
      <c r="V53">
        <f>'Cibles THREEME AMS'!$CB21/V16</f>
        <v>6.9670090623761491E-2</v>
      </c>
      <c r="W53">
        <f t="shared" si="35"/>
        <v>6.7012493260593997E-2</v>
      </c>
      <c r="X53">
        <f>'Cibles THREEME AMS'!$CC21/X16</f>
        <v>6.435489589742649E-2</v>
      </c>
      <c r="Y53">
        <f t="shared" si="36"/>
        <v>6.1448858646638814E-2</v>
      </c>
      <c r="Z53">
        <f t="shared" si="36"/>
        <v>5.8542821395851138E-2</v>
      </c>
      <c r="AA53">
        <f>'Cibles THREEME AMS'!$CD21/AA16</f>
        <v>5.563678414506347E-2</v>
      </c>
      <c r="AB53">
        <f t="shared" si="37"/>
        <v>6.0331048331985195E-2</v>
      </c>
      <c r="AC53">
        <f>'Cibles THREEME AMS'!$CE21/AC16</f>
        <v>6.5025312518906919E-2</v>
      </c>
      <c r="AD53">
        <f t="shared" si="38"/>
        <v>6.0814509610757121E-2</v>
      </c>
      <c r="AE53">
        <f t="shared" si="38"/>
        <v>5.6603706702607323E-2</v>
      </c>
      <c r="AF53">
        <f t="shared" si="38"/>
        <v>5.2392903794457525E-2</v>
      </c>
      <c r="AG53">
        <f t="shared" si="38"/>
        <v>4.8182100886307727E-2</v>
      </c>
      <c r="AH53">
        <f>'Cibles THREEME AMS'!$CF21/AH16</f>
        <v>4.3971297978157936E-2</v>
      </c>
      <c r="AI53">
        <f t="shared" si="39"/>
        <v>4.9048740952713582E-2</v>
      </c>
      <c r="AJ53">
        <f t="shared" si="39"/>
        <v>5.4126183927269228E-2</v>
      </c>
      <c r="AK53">
        <f t="shared" si="39"/>
        <v>5.9203626901824874E-2</v>
      </c>
      <c r="AL53">
        <f t="shared" si="39"/>
        <v>6.428106987638052E-2</v>
      </c>
      <c r="AM53">
        <f>'Cibles THREEME AMS'!$CG21/AM16</f>
        <v>6.935851285093618E-2</v>
      </c>
    </row>
    <row r="54" spans="1:39" x14ac:dyDescent="0.25">
      <c r="A54" s="593"/>
      <c r="B54" s="589" t="s">
        <v>296</v>
      </c>
      <c r="C54">
        <v>2405</v>
      </c>
      <c r="D54">
        <f>'Cibles THREEME AMS'!$BV22*11.64/D17</f>
        <v>6.2959171762518001E-2</v>
      </c>
      <c r="E54">
        <f t="shared" si="29"/>
        <v>7.0298202859249662E-2</v>
      </c>
      <c r="F54">
        <f t="shared" si="29"/>
        <v>7.7637233955981322E-2</v>
      </c>
      <c r="G54">
        <f t="shared" si="29"/>
        <v>8.4976265052712982E-2</v>
      </c>
      <c r="H54">
        <f t="shared" si="29"/>
        <v>9.2315296149444642E-2</v>
      </c>
      <c r="I54">
        <f>'Cibles THREEME AMS'!$BW22/I17</f>
        <v>9.9654327246176316E-2</v>
      </c>
      <c r="J54">
        <f t="shared" si="30"/>
        <v>9.0010888377758891E-2</v>
      </c>
      <c r="K54">
        <f t="shared" si="30"/>
        <v>8.0367449509341465E-2</v>
      </c>
      <c r="L54">
        <f>'Cibles THREEME AMS'!$BX22/L17</f>
        <v>7.0724010640924054E-2</v>
      </c>
      <c r="M54">
        <f t="shared" si="31"/>
        <v>8.2387255173219653E-2</v>
      </c>
      <c r="N54">
        <f>'Cibles THREEME AMS'!$BY22/N17</f>
        <v>9.4050499705515239E-2</v>
      </c>
      <c r="O54">
        <f t="shared" si="32"/>
        <v>9.2664215569704361E-2</v>
      </c>
      <c r="P54">
        <f t="shared" si="32"/>
        <v>9.1277931433893483E-2</v>
      </c>
      <c r="Q54">
        <f>'Cibles THREEME AMS'!$BZ22/Q17</f>
        <v>8.9891647298082619E-2</v>
      </c>
      <c r="R54">
        <f t="shared" si="33"/>
        <v>9.2142846967739306E-2</v>
      </c>
      <c r="S54">
        <f>'Cibles THREEME AMS'!$CA22/S17</f>
        <v>9.4394046637395992E-2</v>
      </c>
      <c r="T54">
        <f t="shared" ref="T54:U54" si="53">S54+($V54-$S54)/3</f>
        <v>9.1619558370860318E-2</v>
      </c>
      <c r="U54">
        <f t="shared" si="53"/>
        <v>8.8845070104324644E-2</v>
      </c>
      <c r="V54">
        <f>'Cibles THREEME AMS'!$CB22/V17</f>
        <v>8.607058183778897E-2</v>
      </c>
      <c r="W54">
        <f t="shared" si="35"/>
        <v>8.5765032675727798E-2</v>
      </c>
      <c r="X54">
        <f>'Cibles THREEME AMS'!$CC22/X17</f>
        <v>8.5459483513666626E-2</v>
      </c>
      <c r="Y54">
        <f t="shared" si="36"/>
        <v>8.1463965844088049E-2</v>
      </c>
      <c r="Z54">
        <f t="shared" si="36"/>
        <v>7.7468448174509472E-2</v>
      </c>
      <c r="AA54">
        <f>'Cibles THREEME AMS'!$CD22/AA17</f>
        <v>7.3472930504930908E-2</v>
      </c>
      <c r="AB54">
        <f t="shared" si="37"/>
        <v>7.6580763171856886E-2</v>
      </c>
      <c r="AC54">
        <f>'Cibles THREEME AMS'!$CE22/AC17</f>
        <v>7.9688595838782864E-2</v>
      </c>
      <c r="AD54">
        <f t="shared" si="38"/>
        <v>7.5542128162274708E-2</v>
      </c>
      <c r="AE54">
        <f t="shared" si="38"/>
        <v>7.1395660485766538E-2</v>
      </c>
      <c r="AF54">
        <f t="shared" si="38"/>
        <v>6.7249192809258368E-2</v>
      </c>
      <c r="AG54">
        <f t="shared" si="38"/>
        <v>6.3102725132750198E-2</v>
      </c>
      <c r="AH54">
        <f>'Cibles THREEME AMS'!$CF22/AH17</f>
        <v>5.8956257456242049E-2</v>
      </c>
      <c r="AI54">
        <f t="shared" si="39"/>
        <v>5.9356591628033493E-2</v>
      </c>
      <c r="AJ54">
        <f t="shared" si="39"/>
        <v>5.9756925799824938E-2</v>
      </c>
      <c r="AK54">
        <f t="shared" si="39"/>
        <v>6.0157259971616382E-2</v>
      </c>
      <c r="AL54">
        <f t="shared" si="39"/>
        <v>6.0557594143407827E-2</v>
      </c>
      <c r="AM54">
        <f>'Cibles THREEME AMS'!$CG22/AM17</f>
        <v>6.0957928315199285E-2</v>
      </c>
    </row>
    <row r="55" spans="1:39" ht="15.75" thickBot="1" x14ac:dyDescent="0.3">
      <c r="A55" s="592"/>
      <c r="B55" s="203" t="s">
        <v>613</v>
      </c>
      <c r="C55">
        <v>2406</v>
      </c>
      <c r="D55">
        <f>SUM('Cibles THREEME AMS'!$BV23:$BV24)*11.64/D18</f>
        <v>0.12684847914279029</v>
      </c>
      <c r="E55">
        <f t="shared" si="29"/>
        <v>0.10308926093491524</v>
      </c>
      <c r="F55">
        <f t="shared" si="29"/>
        <v>7.9330042727040195E-2</v>
      </c>
      <c r="G55">
        <f t="shared" si="29"/>
        <v>5.5570824519165146E-2</v>
      </c>
      <c r="H55">
        <f t="shared" si="29"/>
        <v>3.1811606311290097E-2</v>
      </c>
      <c r="I55">
        <f>SUM('Cibles THREEME AMS'!$BW23:$BW24)/I18</f>
        <v>8.0523881034150566E-3</v>
      </c>
      <c r="J55">
        <f t="shared" si="30"/>
        <v>5.3682587356100372E-3</v>
      </c>
      <c r="K55">
        <f t="shared" si="30"/>
        <v>2.6841293678050182E-3</v>
      </c>
      <c r="L55">
        <f>SUM('Cibles THREEME AMS'!$BX23:$BX24)/L18</f>
        <v>0</v>
      </c>
      <c r="M55">
        <f t="shared" si="31"/>
        <v>0</v>
      </c>
      <c r="N55">
        <f>SUM('Cibles THREEME AMS'!$BY23:$BY24)/N18</f>
        <v>0</v>
      </c>
      <c r="O55">
        <f t="shared" si="32"/>
        <v>0</v>
      </c>
      <c r="P55">
        <f t="shared" si="32"/>
        <v>0</v>
      </c>
      <c r="Q55">
        <f>SUM('Cibles THREEME AMS'!$BZ23:$BZ24)/Q18</f>
        <v>0</v>
      </c>
      <c r="R55">
        <f t="shared" si="33"/>
        <v>0</v>
      </c>
      <c r="S55">
        <f>SUM('Cibles THREEME AMS'!$CA23:$CA24)/S18</f>
        <v>0</v>
      </c>
      <c r="T55">
        <f t="shared" ref="T55:U55" si="54">S55+($V55-$S55)/3</f>
        <v>0</v>
      </c>
      <c r="U55">
        <f t="shared" si="54"/>
        <v>0</v>
      </c>
      <c r="V55">
        <f>SUM('Cibles THREEME AMS'!$CB23:$CB24)/V18</f>
        <v>0</v>
      </c>
      <c r="W55">
        <f t="shared" si="35"/>
        <v>0</v>
      </c>
      <c r="X55">
        <f>SUM('Cibles THREEME AMS'!$CC23:$CC24)/X18</f>
        <v>0</v>
      </c>
      <c r="Y55">
        <f t="shared" si="36"/>
        <v>2.6979250663039446E-4</v>
      </c>
      <c r="Z55">
        <f t="shared" si="36"/>
        <v>5.3958501326078893E-4</v>
      </c>
      <c r="AA55">
        <f>SUM('Cibles THREEME AMS'!$CD23:$CD24)/AA18</f>
        <v>8.0937751989118339E-4</v>
      </c>
      <c r="AB55">
        <f t="shared" si="37"/>
        <v>9.944927522252203E-4</v>
      </c>
      <c r="AC55">
        <f>SUM('Cibles THREEME AMS'!$CE23:$CE24)/AC18</f>
        <v>1.1796079845592571E-3</v>
      </c>
      <c r="AD55">
        <f t="shared" si="38"/>
        <v>1.3022790529986169E-3</v>
      </c>
      <c r="AE55">
        <f t="shared" si="38"/>
        <v>1.4249501214379768E-3</v>
      </c>
      <c r="AF55">
        <f t="shared" si="38"/>
        <v>1.5476211898773366E-3</v>
      </c>
      <c r="AG55">
        <f t="shared" si="38"/>
        <v>1.6702922583166965E-3</v>
      </c>
      <c r="AH55">
        <f>SUM('Cibles THREEME AMS'!$CF23:$CF24)/AH18</f>
        <v>1.7929633267560567E-3</v>
      </c>
      <c r="AI55">
        <f t="shared" si="39"/>
        <v>1.8344616451734779E-3</v>
      </c>
      <c r="AJ55">
        <f t="shared" si="39"/>
        <v>1.8759599635908991E-3</v>
      </c>
      <c r="AK55">
        <f t="shared" si="39"/>
        <v>1.9174582820083203E-3</v>
      </c>
      <c r="AL55">
        <f t="shared" si="39"/>
        <v>1.9589566004257417E-3</v>
      </c>
      <c r="AM55">
        <f>SUM('Cibles THREEME AMS'!$CG23:$CG24)/AM18</f>
        <v>2.0004549188431626E-3</v>
      </c>
    </row>
    <row r="56" spans="1:39" x14ac:dyDescent="0.25">
      <c r="B56" s="589" t="s">
        <v>479</v>
      </c>
      <c r="C56">
        <v>21</v>
      </c>
      <c r="D56">
        <f>'Cibles THREEME AMS'!$BH25</f>
        <v>9.3073143713894631E-3</v>
      </c>
      <c r="E56">
        <f t="shared" si="29"/>
        <v>8.4672315922461692E-3</v>
      </c>
      <c r="F56">
        <f t="shared" si="29"/>
        <v>7.6271488131028752E-3</v>
      </c>
      <c r="G56">
        <f t="shared" si="29"/>
        <v>6.7870660339595813E-3</v>
      </c>
      <c r="H56">
        <f t="shared" si="29"/>
        <v>5.9469832548162873E-3</v>
      </c>
      <c r="I56">
        <f>'Cibles THREEME AMS'!$BI25</f>
        <v>5.1069004756729925E-3</v>
      </c>
      <c r="J56">
        <f t="shared" si="30"/>
        <v>4.2578150246598964E-3</v>
      </c>
      <c r="K56">
        <f t="shared" si="30"/>
        <v>3.4087295736468007E-3</v>
      </c>
      <c r="L56">
        <f>'Cibles THREEME AMS'!$BJ25</f>
        <v>2.5596441226337051E-3</v>
      </c>
      <c r="M56">
        <f t="shared" si="31"/>
        <v>1.6783236432329177E-3</v>
      </c>
      <c r="N56">
        <f>'Cibles THREEME AMS'!$BK25</f>
        <v>7.9700316383213038E-4</v>
      </c>
      <c r="O56">
        <f t="shared" si="32"/>
        <v>6.8919014319406479E-4</v>
      </c>
      <c r="P56">
        <f t="shared" si="32"/>
        <v>5.813771225559992E-4</v>
      </c>
      <c r="Q56">
        <f>'Cibles THREEME AMS'!$BL25</f>
        <v>4.7356410191793361E-4</v>
      </c>
      <c r="R56">
        <f t="shared" si="33"/>
        <v>2.3678205095896681E-4</v>
      </c>
      <c r="S56">
        <f>'Cibles THREEME AMS'!$BM25</f>
        <v>0</v>
      </c>
      <c r="T56">
        <f t="shared" ref="T56:U56" si="55">S56+($V56-$S56)/3</f>
        <v>0</v>
      </c>
      <c r="U56">
        <f t="shared" si="55"/>
        <v>0</v>
      </c>
      <c r="V56">
        <f>'Cibles THREEME AMS'!$BN25</f>
        <v>0</v>
      </c>
      <c r="W56">
        <f t="shared" si="35"/>
        <v>0</v>
      </c>
      <c r="X56">
        <f>'Cibles THREEME AMS'!$BO25</f>
        <v>0</v>
      </c>
      <c r="Y56">
        <f t="shared" si="36"/>
        <v>0</v>
      </c>
      <c r="Z56">
        <f t="shared" si="36"/>
        <v>0</v>
      </c>
      <c r="AA56">
        <f>'Cibles THREEME AMS'!$BP25</f>
        <v>0</v>
      </c>
      <c r="AB56">
        <f t="shared" si="37"/>
        <v>0</v>
      </c>
      <c r="AC56">
        <f>'Cibles THREEME AMS'!$BQ25</f>
        <v>0</v>
      </c>
      <c r="AD56">
        <f t="shared" si="38"/>
        <v>0</v>
      </c>
      <c r="AE56">
        <f t="shared" si="38"/>
        <v>0</v>
      </c>
      <c r="AF56">
        <f t="shared" si="38"/>
        <v>0</v>
      </c>
      <c r="AG56">
        <f t="shared" si="38"/>
        <v>0</v>
      </c>
      <c r="AH56">
        <f>'Cibles THREEME AMS'!$BR25</f>
        <v>0</v>
      </c>
      <c r="AI56">
        <f t="shared" si="39"/>
        <v>0</v>
      </c>
      <c r="AJ56">
        <f t="shared" si="39"/>
        <v>0</v>
      </c>
      <c r="AK56">
        <f t="shared" si="39"/>
        <v>0</v>
      </c>
      <c r="AL56">
        <f t="shared" si="39"/>
        <v>0</v>
      </c>
      <c r="AM56">
        <f>'Cibles THREEME AMS'!$BS25</f>
        <v>0</v>
      </c>
    </row>
    <row r="58" spans="1:39" ht="15.75" thickBot="1" x14ac:dyDescent="0.3">
      <c r="B58" t="s">
        <v>478</v>
      </c>
    </row>
    <row r="59" spans="1:39" x14ac:dyDescent="0.25">
      <c r="B59" s="588" t="s">
        <v>266</v>
      </c>
      <c r="C59">
        <v>2201</v>
      </c>
      <c r="D59" s="595">
        <f>('Cibles THREEME AMS'!$DA4+'Cibles THREEME AMS'!$DA6)*11.64/D3</f>
        <v>1.7801714064103889E-4</v>
      </c>
      <c r="E59">
        <f>D59+($I59-$D59)/5</f>
        <v>1.471404940283037E-4</v>
      </c>
      <c r="F59">
        <f t="shared" ref="F59:H59" si="56">E59+($I59-$D59)/5</f>
        <v>1.1626384741556851E-4</v>
      </c>
      <c r="G59">
        <f t="shared" si="56"/>
        <v>8.5387200802833319E-5</v>
      </c>
      <c r="H59">
        <f t="shared" si="56"/>
        <v>5.4510554190098121E-5</v>
      </c>
      <c r="I59" s="404">
        <f>('Cibles THREEME AMS'!$DB$4+'Cibles THREEME AMS'!$DB$6)/I3</f>
        <v>2.3633907577362915E-5</v>
      </c>
      <c r="J59">
        <f>I59+($L59-$I59)/3</f>
        <v>1.0402643661897018E-4</v>
      </c>
      <c r="K59">
        <f>J59+($L59-$I59)/3</f>
        <v>1.8441896566057743E-4</v>
      </c>
      <c r="L59" s="404">
        <f>('Cibles THREEME AMS'!$DC$4+'Cibles THREEME AMS'!$DC$6)/L3</f>
        <v>2.648114947021847E-4</v>
      </c>
      <c r="M59">
        <f>(L59+N59)/2</f>
        <v>2.0159795168784528E-4</v>
      </c>
      <c r="N59" s="404">
        <f>('Cibles THREEME AMS'!$DD$4+'Cibles THREEME AMS'!$DD$6)/N3</f>
        <v>1.3838440867350587E-4</v>
      </c>
      <c r="O59">
        <f>N59+($Q59-$N59)/3</f>
        <v>1.1398609423510193E-4</v>
      </c>
      <c r="P59">
        <f>O59+($Q59-$N59)/3</f>
        <v>8.9587779796697993E-5</v>
      </c>
      <c r="Q59" s="404">
        <f>('Cibles THREEME AMS'!$DE$4+'Cibles THREEME AMS'!$DE$6)/Q3</f>
        <v>6.518946535829407E-5</v>
      </c>
      <c r="R59">
        <f>(Q59+S59)/2</f>
        <v>3.2594732679147035E-5</v>
      </c>
      <c r="S59" s="404">
        <f>('Cibles THREEME AMS'!$DF$4+'Cibles THREEME AMS'!$DF$6)/S3</f>
        <v>0</v>
      </c>
      <c r="T59">
        <f>S59+($V59-$S59)/3</f>
        <v>0</v>
      </c>
      <c r="U59">
        <f>T59+($V59-$S59)/3</f>
        <v>0</v>
      </c>
      <c r="V59" s="404">
        <f>('Cibles THREEME AMS'!$DG$4+'Cibles THREEME AMS'!$DG$6)/V3</f>
        <v>0</v>
      </c>
      <c r="W59">
        <f>V59+(X59-V59)/2</f>
        <v>0</v>
      </c>
      <c r="X59" s="404">
        <f>('Cibles THREEME AMS'!$DH$4+'Cibles THREEME AMS'!$DH$6)/X3</f>
        <v>0</v>
      </c>
      <c r="Y59">
        <f>X59+($AA59-$X59)/3</f>
        <v>0</v>
      </c>
      <c r="Z59">
        <f>Y59+($AA59-$X59)/3</f>
        <v>0</v>
      </c>
      <c r="AA59" s="404">
        <f>('Cibles THREEME AMS'!$DI$4+'Cibles THREEME AMS'!$DI$6)/AA3</f>
        <v>0</v>
      </c>
      <c r="AB59">
        <f>AA59+(AC59-AA59)/2</f>
        <v>0</v>
      </c>
      <c r="AC59" s="404">
        <f>('Cibles THREEME AMS'!$DJ$4+'Cibles THREEME AMS'!$DJ$6)/AC3</f>
        <v>0</v>
      </c>
      <c r="AD59">
        <f>AC59+($AH59-$AC59)/5</f>
        <v>0</v>
      </c>
      <c r="AE59">
        <f t="shared" ref="AE59:AG59" si="57">AD59+($AH59-$AC59)/5</f>
        <v>0</v>
      </c>
      <c r="AF59">
        <f t="shared" si="57"/>
        <v>0</v>
      </c>
      <c r="AG59">
        <f t="shared" si="57"/>
        <v>0</v>
      </c>
      <c r="AH59" s="404">
        <f>('Cibles THREEME AMS'!$DK$4+'Cibles THREEME AMS'!$DK$6)/AH3</f>
        <v>0</v>
      </c>
      <c r="AI59">
        <f>AH59+($AM59-$AH59)/5</f>
        <v>0</v>
      </c>
      <c r="AJ59">
        <f t="shared" ref="AJ59:AL59" si="58">AI59+($AM59-$AH59)/5</f>
        <v>0</v>
      </c>
      <c r="AK59">
        <f t="shared" si="58"/>
        <v>0</v>
      </c>
      <c r="AL59">
        <f t="shared" si="58"/>
        <v>0</v>
      </c>
      <c r="AM59" s="404">
        <f>('Cibles THREEME AMS'!$DL$4+'Cibles THREEME AMS'!$DL$6)/AM3</f>
        <v>0</v>
      </c>
    </row>
    <row r="60" spans="1:39" ht="15.75" thickBot="1" x14ac:dyDescent="0.3">
      <c r="B60" s="590" t="s">
        <v>343</v>
      </c>
      <c r="C60">
        <v>2202</v>
      </c>
      <c r="D60" s="595">
        <f>('Cibles THREEME AMS'!$DA5+'Cibles THREEME AMS'!$DA7)*11.64/D4</f>
        <v>0</v>
      </c>
      <c r="E60">
        <f t="shared" ref="E60:H75" si="59">D60+($I60-$D60)/5</f>
        <v>0</v>
      </c>
      <c r="F60">
        <f t="shared" si="59"/>
        <v>0</v>
      </c>
      <c r="G60">
        <f t="shared" si="59"/>
        <v>0</v>
      </c>
      <c r="H60">
        <f t="shared" si="59"/>
        <v>0</v>
      </c>
      <c r="I60">
        <f>('Cibles THREEME AMS'!$DB$5+'Cibles THREEME AMS'!$DB$7)/I4</f>
        <v>0</v>
      </c>
      <c r="J60">
        <f t="shared" ref="J60:K75" si="60">I60+($L60-$I60)/3</f>
        <v>0</v>
      </c>
      <c r="K60">
        <f t="shared" si="60"/>
        <v>0</v>
      </c>
      <c r="L60">
        <f>('Cibles THREEME AMS'!$DC$5+'Cibles THREEME AMS'!$DC$7)/L4</f>
        <v>0</v>
      </c>
      <c r="M60">
        <f t="shared" ref="M60:M75" si="61">(L60+N60)/2</f>
        <v>0</v>
      </c>
      <c r="N60">
        <f>('Cibles THREEME AMS'!$DD$5+'Cibles THREEME AMS'!$DD$7)/N4</f>
        <v>0</v>
      </c>
      <c r="O60">
        <f t="shared" ref="O60:P75" si="62">N60+($Q60-$N60)/3</f>
        <v>0</v>
      </c>
      <c r="P60">
        <f t="shared" si="62"/>
        <v>0</v>
      </c>
      <c r="Q60">
        <f>('Cibles THREEME AMS'!$DE$5+'Cibles THREEME AMS'!$DE$7)/Q4</f>
        <v>0</v>
      </c>
      <c r="R60">
        <f t="shared" ref="R60:R75" si="63">(Q60+S60)/2</f>
        <v>0</v>
      </c>
      <c r="S60">
        <f>('Cibles THREEME AMS'!$DF$5+'Cibles THREEME AMS'!$DF$7)/S4</f>
        <v>0</v>
      </c>
      <c r="T60">
        <f t="shared" ref="T60:U60" si="64">S60+($V60-$S60)/3</f>
        <v>0</v>
      </c>
      <c r="U60">
        <f t="shared" si="64"/>
        <v>0</v>
      </c>
      <c r="V60">
        <f>('Cibles THREEME AMS'!$DG$5+'Cibles THREEME AMS'!$DG$7)/V4</f>
        <v>0</v>
      </c>
      <c r="W60">
        <f t="shared" ref="W60:W75" si="65">V60+(X60-V60)/2</f>
        <v>0</v>
      </c>
      <c r="X60">
        <f>('Cibles THREEME AMS'!$DH$5+'Cibles THREEME AMS'!$DH$7)/X4</f>
        <v>0</v>
      </c>
      <c r="Y60">
        <f t="shared" ref="Y60:Z75" si="66">X60+($AA60-$X60)/3</f>
        <v>0</v>
      </c>
      <c r="Z60">
        <f t="shared" si="66"/>
        <v>0</v>
      </c>
      <c r="AA60">
        <f>('Cibles THREEME AMS'!$DI$5+'Cibles THREEME AMS'!$DI$7)/AA4</f>
        <v>0</v>
      </c>
      <c r="AB60">
        <f t="shared" ref="AB60:AB75" si="67">AA60+(AC60-AA60)/2</f>
        <v>0</v>
      </c>
      <c r="AC60">
        <f>('Cibles THREEME AMS'!$DJ$5+'Cibles THREEME AMS'!$DJ$7)/AC4</f>
        <v>0</v>
      </c>
      <c r="AD60">
        <f t="shared" ref="AD60:AG75" si="68">AC60+($AH60-$AC60)/5</f>
        <v>0</v>
      </c>
      <c r="AE60">
        <f t="shared" si="68"/>
        <v>0</v>
      </c>
      <c r="AF60">
        <f t="shared" si="68"/>
        <v>0</v>
      </c>
      <c r="AG60">
        <f t="shared" si="68"/>
        <v>0</v>
      </c>
      <c r="AH60">
        <f>('Cibles THREEME AMS'!$DK$5+'Cibles THREEME AMS'!$DK$7)/AH4</f>
        <v>0</v>
      </c>
      <c r="AI60">
        <f t="shared" ref="AI60:AL75" si="69">AH60+($AM60-$AH60)/5</f>
        <v>0</v>
      </c>
      <c r="AJ60">
        <f t="shared" si="69"/>
        <v>0</v>
      </c>
      <c r="AK60">
        <f t="shared" si="69"/>
        <v>0</v>
      </c>
      <c r="AL60">
        <f t="shared" si="69"/>
        <v>0</v>
      </c>
      <c r="AM60">
        <f>('Cibles THREEME AMS'!$DL$5+'Cibles THREEME AMS'!$DL$7)/AM4</f>
        <v>0</v>
      </c>
    </row>
    <row r="61" spans="1:39" x14ac:dyDescent="0.25">
      <c r="B61" s="588" t="s">
        <v>20</v>
      </c>
      <c r="C61">
        <v>2301</v>
      </c>
      <c r="D61" s="595">
        <f>'Cibles THREEME AMS'!$DA8*11.64/D5</f>
        <v>7.9921040170571458E-2</v>
      </c>
      <c r="E61">
        <f t="shared" si="59"/>
        <v>8.1345832152024927E-2</v>
      </c>
      <c r="F61">
        <f t="shared" si="59"/>
        <v>8.2770624133478396E-2</v>
      </c>
      <c r="G61">
        <f t="shared" si="59"/>
        <v>8.4195416114931865E-2</v>
      </c>
      <c r="H61">
        <f t="shared" si="59"/>
        <v>8.5620208096385333E-2</v>
      </c>
      <c r="I61">
        <f>'Cibles THREEME AMS'!$DB$8/I5</f>
        <v>8.704500007783883E-2</v>
      </c>
      <c r="J61">
        <f t="shared" si="60"/>
        <v>8.7598973322461443E-2</v>
      </c>
      <c r="K61">
        <f t="shared" si="60"/>
        <v>8.8152946567084056E-2</v>
      </c>
      <c r="L61">
        <f>'Cibles THREEME AMS'!$DC$8/L5</f>
        <v>8.8706919811706683E-2</v>
      </c>
      <c r="M61">
        <f t="shared" si="61"/>
        <v>9.2629958868100132E-2</v>
      </c>
      <c r="N61">
        <f>'Cibles THREEME AMS'!$DD$8/N5</f>
        <v>9.6552997924493567E-2</v>
      </c>
      <c r="O61">
        <f t="shared" si="62"/>
        <v>9.692428167415422E-2</v>
      </c>
      <c r="P61">
        <f t="shared" si="62"/>
        <v>9.7295565423814873E-2</v>
      </c>
      <c r="Q61">
        <f>'Cibles THREEME AMS'!$DE$8/Q5</f>
        <v>9.7666849173475512E-2</v>
      </c>
      <c r="R61">
        <f t="shared" si="63"/>
        <v>9.8136412913928495E-2</v>
      </c>
      <c r="S61">
        <f>'Cibles THREEME AMS'!$DF$8/S5</f>
        <v>9.8605976654381491E-2</v>
      </c>
      <c r="T61">
        <f t="shared" ref="T61:U61" si="70">S61+($V61-$S61)/3</f>
        <v>9.9095238846750339E-2</v>
      </c>
      <c r="U61">
        <f t="shared" si="70"/>
        <v>9.9584501039119186E-2</v>
      </c>
      <c r="V61">
        <f>'Cibles THREEME AMS'!$DG$8/V5</f>
        <v>0.10007376323148803</v>
      </c>
      <c r="W61">
        <f t="shared" si="65"/>
        <v>0.10049990264601</v>
      </c>
      <c r="X61">
        <f>'Cibles THREEME AMS'!$DH$8/X5</f>
        <v>0.10092604206053198</v>
      </c>
      <c r="Y61">
        <f t="shared" si="66"/>
        <v>0.10136024111382186</v>
      </c>
      <c r="Z61">
        <f t="shared" si="66"/>
        <v>0.10179444016711174</v>
      </c>
      <c r="AA61">
        <f>'Cibles THREEME AMS'!$DI$8/AA5</f>
        <v>0.10222863922040162</v>
      </c>
      <c r="AB61">
        <f t="shared" si="67"/>
        <v>0.1026362355387391</v>
      </c>
      <c r="AC61">
        <f>'Cibles THREEME AMS'!$DJ$8/AC5</f>
        <v>0.10304383185707659</v>
      </c>
      <c r="AD61">
        <f t="shared" si="68"/>
        <v>0.10425874525801668</v>
      </c>
      <c r="AE61">
        <f t="shared" si="68"/>
        <v>0.10547365865895676</v>
      </c>
      <c r="AF61">
        <f t="shared" si="68"/>
        <v>0.10668857205989685</v>
      </c>
      <c r="AG61">
        <f t="shared" si="68"/>
        <v>0.10790348546083693</v>
      </c>
      <c r="AH61">
        <f>'Cibles THREEME AMS'!$DK$8/AH5</f>
        <v>0.10911839886177704</v>
      </c>
      <c r="AI61">
        <f t="shared" si="69"/>
        <v>0.11019816660324001</v>
      </c>
      <c r="AJ61">
        <f t="shared" si="69"/>
        <v>0.11127793434470298</v>
      </c>
      <c r="AK61">
        <f t="shared" si="69"/>
        <v>0.11235770208616595</v>
      </c>
      <c r="AL61">
        <f t="shared" si="69"/>
        <v>0.11343746982762892</v>
      </c>
      <c r="AM61">
        <f>'Cibles THREEME AMS'!$DL$8/AM5</f>
        <v>0.11451723756909192</v>
      </c>
    </row>
    <row r="62" spans="1:39" x14ac:dyDescent="0.25">
      <c r="B62" s="589" t="s">
        <v>224</v>
      </c>
      <c r="C62">
        <f>C61+1</f>
        <v>2302</v>
      </c>
      <c r="D62" s="595">
        <f>'Cibles THREEME AMS'!$DA9*11.64/D6</f>
        <v>7.9921040170571458E-2</v>
      </c>
      <c r="E62">
        <f t="shared" si="59"/>
        <v>8.1345832152024941E-2</v>
      </c>
      <c r="F62">
        <f t="shared" si="59"/>
        <v>8.2770624133478424E-2</v>
      </c>
      <c r="G62">
        <f t="shared" si="59"/>
        <v>8.4195416114931906E-2</v>
      </c>
      <c r="H62">
        <f t="shared" si="59"/>
        <v>8.5620208096385389E-2</v>
      </c>
      <c r="I62">
        <f>'Cibles THREEME AMS'!$DB$9/I6</f>
        <v>8.7045000077838844E-2</v>
      </c>
      <c r="J62">
        <f t="shared" si="60"/>
        <v>9.0200418460916712E-2</v>
      </c>
      <c r="K62">
        <f t="shared" si="60"/>
        <v>9.335583684399458E-2</v>
      </c>
      <c r="L62">
        <f>'Cibles THREEME AMS'!$DC$9/L6</f>
        <v>9.6511255227072462E-2</v>
      </c>
      <c r="M62">
        <f t="shared" si="61"/>
        <v>7.7608529150163669E-2</v>
      </c>
      <c r="N62">
        <f>'Cibles THREEME AMS'!$DD$9/N6</f>
        <v>5.8705803073254875E-2</v>
      </c>
      <c r="O62">
        <f t="shared" si="62"/>
        <v>7.1692818439995087E-2</v>
      </c>
      <c r="P62">
        <f t="shared" si="62"/>
        <v>8.46798338067353E-2</v>
      </c>
      <c r="Q62">
        <f>'Cibles THREEME AMS'!$DE$9/Q6</f>
        <v>9.7666849173475526E-2</v>
      </c>
      <c r="R62">
        <f t="shared" si="63"/>
        <v>9.8136412913928509E-2</v>
      </c>
      <c r="S62">
        <f>'Cibles THREEME AMS'!$DF$9/S6</f>
        <v>9.8605976654381491E-2</v>
      </c>
      <c r="T62">
        <f t="shared" ref="T62:U62" si="71">S62+($V62-$S62)/3</f>
        <v>9.9095238846750339E-2</v>
      </c>
      <c r="U62">
        <f t="shared" si="71"/>
        <v>9.9584501039119186E-2</v>
      </c>
      <c r="V62">
        <f>'Cibles THREEME AMS'!$DG$9/V6</f>
        <v>0.10007376323148802</v>
      </c>
      <c r="W62">
        <f t="shared" si="65"/>
        <v>0.10049990264601</v>
      </c>
      <c r="X62">
        <f>'Cibles THREEME AMS'!$DH$9/X6</f>
        <v>0.10092604206053196</v>
      </c>
      <c r="Y62">
        <f t="shared" si="66"/>
        <v>0.10136024111382184</v>
      </c>
      <c r="Z62">
        <f t="shared" si="66"/>
        <v>0.10179444016711173</v>
      </c>
      <c r="AA62">
        <f>'Cibles THREEME AMS'!$DI$9/AA6</f>
        <v>0.10222863922040161</v>
      </c>
      <c r="AB62">
        <f t="shared" si="67"/>
        <v>5.9517145344957278E-2</v>
      </c>
      <c r="AC62">
        <f>'Cibles THREEME AMS'!$DJ$9/AC6</f>
        <v>1.6805651469512944E-2</v>
      </c>
      <c r="AD62">
        <f t="shared" si="68"/>
        <v>1.3444521175610355E-2</v>
      </c>
      <c r="AE62">
        <f t="shared" si="68"/>
        <v>1.0083390881707767E-2</v>
      </c>
      <c r="AF62">
        <f t="shared" si="68"/>
        <v>6.7222605878051785E-3</v>
      </c>
      <c r="AG62">
        <f t="shared" si="68"/>
        <v>3.3611302939025897E-3</v>
      </c>
      <c r="AH62">
        <f>'Cibles THREEME AMS'!$DK$9/AH6</f>
        <v>0</v>
      </c>
      <c r="AI62">
        <f t="shared" si="69"/>
        <v>0</v>
      </c>
      <c r="AJ62">
        <f t="shared" si="69"/>
        <v>0</v>
      </c>
      <c r="AK62">
        <f t="shared" si="69"/>
        <v>0</v>
      </c>
      <c r="AL62">
        <f t="shared" si="69"/>
        <v>0</v>
      </c>
      <c r="AM62">
        <f>'Cibles THREEME AMS'!$DL$9/AM6</f>
        <v>0</v>
      </c>
    </row>
    <row r="63" spans="1:39" x14ac:dyDescent="0.25">
      <c r="B63" s="589" t="s">
        <v>32</v>
      </c>
      <c r="C63">
        <f t="shared" ref="C63:C68" si="72">C62+1</f>
        <v>2303</v>
      </c>
      <c r="D63" s="595">
        <f>('Cibles THREEME AMS'!$DA10+'Cibles THREEME AMS'!$DA12)*11.64/D7</f>
        <v>7.9921040170571458E-2</v>
      </c>
      <c r="E63">
        <f t="shared" si="59"/>
        <v>8.1345832152024941E-2</v>
      </c>
      <c r="F63">
        <f t="shared" si="59"/>
        <v>8.2770624133478424E-2</v>
      </c>
      <c r="G63">
        <f t="shared" si="59"/>
        <v>8.4195416114931906E-2</v>
      </c>
      <c r="H63">
        <f t="shared" si="59"/>
        <v>8.5620208096385389E-2</v>
      </c>
      <c r="I63">
        <f>('Cibles THREEME AMS'!$DB$10+'Cibles THREEME AMS'!$DB$12)/I7</f>
        <v>8.7045000077838858E-2</v>
      </c>
      <c r="J63">
        <f t="shared" si="60"/>
        <v>8.7598973322461471E-2</v>
      </c>
      <c r="K63">
        <f t="shared" si="60"/>
        <v>8.8152946567084084E-2</v>
      </c>
      <c r="L63">
        <f>('Cibles THREEME AMS'!$DC$10+'Cibles THREEME AMS'!$DC$12)/L7</f>
        <v>8.8706919811706697E-2</v>
      </c>
      <c r="M63">
        <f t="shared" si="61"/>
        <v>9.2629958868100132E-2</v>
      </c>
      <c r="N63">
        <f>('Cibles THREEME AMS'!$DD$10+'Cibles THREEME AMS'!$DD$12)/N7</f>
        <v>9.6552997924493567E-2</v>
      </c>
      <c r="O63">
        <f t="shared" si="62"/>
        <v>9.692428167415422E-2</v>
      </c>
      <c r="P63">
        <f t="shared" si="62"/>
        <v>9.7295565423814873E-2</v>
      </c>
      <c r="Q63">
        <f>('Cibles THREEME AMS'!$DE$10+'Cibles THREEME AMS'!$DE$12)/Q7</f>
        <v>9.7666849173475526E-2</v>
      </c>
      <c r="R63">
        <f t="shared" si="63"/>
        <v>9.8136412913928522E-2</v>
      </c>
      <c r="S63">
        <f>('Cibles THREEME AMS'!$DF$10+'Cibles THREEME AMS'!$DF$12)/S7</f>
        <v>9.8605976654381505E-2</v>
      </c>
      <c r="T63">
        <f t="shared" ref="T63:U63" si="73">S63+($V63-$S63)/3</f>
        <v>9.9095238846750339E-2</v>
      </c>
      <c r="U63">
        <f t="shared" si="73"/>
        <v>9.9584501039119172E-2</v>
      </c>
      <c r="V63">
        <f>('Cibles THREEME AMS'!$DG$10+'Cibles THREEME AMS'!$DG$12)/V7</f>
        <v>0.10007376323148802</v>
      </c>
      <c r="W63">
        <f t="shared" si="65"/>
        <v>8.7713925590524627E-2</v>
      </c>
      <c r="X63">
        <f>'Cibles THREEME AMS'!$DH$10/X7</f>
        <v>7.5354087949561249E-2</v>
      </c>
      <c r="Y63">
        <f t="shared" si="66"/>
        <v>8.4312271706508041E-2</v>
      </c>
      <c r="Z63">
        <f t="shared" si="66"/>
        <v>9.3270455463454832E-2</v>
      </c>
      <c r="AA63">
        <f>('Cibles THREEME AMS'!$DI$10+'Cibles THREEME AMS'!$DI$12)/AA7</f>
        <v>0.10222863922040161</v>
      </c>
      <c r="AB63">
        <f t="shared" si="67"/>
        <v>5.2927526007738868E-2</v>
      </c>
      <c r="AC63">
        <f>('Cibles THREEME AMS'!$DJ$10+'Cibles THREEME AMS'!$DJ$12)/AC7</f>
        <v>3.6264127950761185E-3</v>
      </c>
      <c r="AD63">
        <f t="shared" si="68"/>
        <v>3.6920884224004862E-3</v>
      </c>
      <c r="AE63">
        <f t="shared" si="68"/>
        <v>3.7577640497248538E-3</v>
      </c>
      <c r="AF63">
        <f t="shared" si="68"/>
        <v>3.8234396770492215E-3</v>
      </c>
      <c r="AG63">
        <f t="shared" si="68"/>
        <v>3.8891153043735891E-3</v>
      </c>
      <c r="AH63">
        <f>('Cibles THREEME AMS'!$DK$10+'Cibles THREEME AMS'!$DK$12)/AH7</f>
        <v>3.9547909316979572E-3</v>
      </c>
      <c r="AI63">
        <f t="shared" si="69"/>
        <v>3.9854660896877009E-3</v>
      </c>
      <c r="AJ63">
        <f t="shared" si="69"/>
        <v>4.0161412476774445E-3</v>
      </c>
      <c r="AK63">
        <f t="shared" si="69"/>
        <v>4.0468164056671882E-3</v>
      </c>
      <c r="AL63">
        <f t="shared" si="69"/>
        <v>4.0774915636569318E-3</v>
      </c>
      <c r="AM63">
        <f>('Cibles THREEME AMS'!$DL$10+'Cibles THREEME AMS'!$DL$12)/AM7</f>
        <v>4.1081667216466755E-3</v>
      </c>
    </row>
    <row r="64" spans="1:39" x14ac:dyDescent="0.25">
      <c r="B64" s="589" t="s">
        <v>42</v>
      </c>
      <c r="C64">
        <f t="shared" si="72"/>
        <v>2304</v>
      </c>
      <c r="D64" s="595">
        <f>'Cibles THREEME AMS'!$DA11*11.64/D8</f>
        <v>7.9921040170571458E-2</v>
      </c>
      <c r="E64">
        <f t="shared" si="59"/>
        <v>8.1345832152024941E-2</v>
      </c>
      <c r="F64">
        <f t="shared" si="59"/>
        <v>8.2770624133478424E-2</v>
      </c>
      <c r="G64">
        <f t="shared" si="59"/>
        <v>8.4195416114931906E-2</v>
      </c>
      <c r="H64">
        <f t="shared" si="59"/>
        <v>8.5620208096385389E-2</v>
      </c>
      <c r="I64">
        <f>'Cibles THREEME AMS'!$DB$11/I8</f>
        <v>8.7045000077838858E-2</v>
      </c>
      <c r="J64">
        <f t="shared" si="60"/>
        <v>8.7598973322461471E-2</v>
      </c>
      <c r="K64">
        <f t="shared" si="60"/>
        <v>8.8152946567084084E-2</v>
      </c>
      <c r="L64">
        <f>'Cibles THREEME AMS'!$DC$11/L8</f>
        <v>8.8706919811706697E-2</v>
      </c>
      <c r="M64">
        <f t="shared" si="61"/>
        <v>4.4353459905853349E-2</v>
      </c>
      <c r="N64">
        <f>'Cibles THREEME AMS'!$DD$11/N8</f>
        <v>0</v>
      </c>
      <c r="O64">
        <f t="shared" si="62"/>
        <v>0</v>
      </c>
      <c r="P64">
        <f t="shared" si="62"/>
        <v>0</v>
      </c>
      <c r="Q64">
        <f>'Cibles THREEME AMS'!$DE$11/Q8</f>
        <v>0</v>
      </c>
      <c r="R64">
        <f t="shared" si="63"/>
        <v>0</v>
      </c>
      <c r="S64">
        <f>'Cibles THREEME AMS'!$DF$11/S8</f>
        <v>0</v>
      </c>
      <c r="T64">
        <f t="shared" ref="T64:U64" si="74">S64+($V64-$S64)/3</f>
        <v>0</v>
      </c>
      <c r="U64">
        <f t="shared" si="74"/>
        <v>0</v>
      </c>
      <c r="V64">
        <f>'Cibles THREEME AMS'!$DG$11/V8</f>
        <v>0</v>
      </c>
      <c r="W64">
        <f t="shared" si="65"/>
        <v>0</v>
      </c>
      <c r="X64">
        <f>'Cibles THREEME AMS'!$DH$11/X8</f>
        <v>0</v>
      </c>
      <c r="Y64">
        <f t="shared" si="66"/>
        <v>0</v>
      </c>
      <c r="Z64">
        <f t="shared" si="66"/>
        <v>0</v>
      </c>
      <c r="AA64">
        <f>'Cibles THREEME AMS'!$DI$11/AA8</f>
        <v>0</v>
      </c>
      <c r="AB64">
        <f t="shared" si="67"/>
        <v>0</v>
      </c>
      <c r="AC64">
        <f>'Cibles THREEME AMS'!$DJ$11/AC8</f>
        <v>0</v>
      </c>
      <c r="AD64">
        <f t="shared" si="68"/>
        <v>0</v>
      </c>
      <c r="AE64">
        <f t="shared" si="68"/>
        <v>0</v>
      </c>
      <c r="AF64">
        <f t="shared" si="68"/>
        <v>0</v>
      </c>
      <c r="AG64">
        <f t="shared" si="68"/>
        <v>0</v>
      </c>
      <c r="AH64">
        <f>'Cibles THREEME AMS'!$DK$11/AH8</f>
        <v>0</v>
      </c>
      <c r="AI64">
        <f t="shared" si="69"/>
        <v>0</v>
      </c>
      <c r="AJ64">
        <f t="shared" si="69"/>
        <v>0</v>
      </c>
      <c r="AK64">
        <f t="shared" si="69"/>
        <v>0</v>
      </c>
      <c r="AL64">
        <f t="shared" si="69"/>
        <v>0</v>
      </c>
      <c r="AM64">
        <f>'Cibles THREEME AMS'!$DL$11/AM8</f>
        <v>0</v>
      </c>
    </row>
    <row r="65" spans="2:39" x14ac:dyDescent="0.25">
      <c r="B65" s="589" t="s">
        <v>473</v>
      </c>
      <c r="C65">
        <f t="shared" si="72"/>
        <v>2305</v>
      </c>
      <c r="D65" s="595">
        <f>'Cibles THREEME AMS'!$DA13*11.64/D9</f>
        <v>7.9921040170571445E-2</v>
      </c>
      <c r="E65">
        <f t="shared" si="59"/>
        <v>8.1345832152024927E-2</v>
      </c>
      <c r="F65">
        <f t="shared" si="59"/>
        <v>8.277062413347841E-2</v>
      </c>
      <c r="G65">
        <f t="shared" si="59"/>
        <v>8.4195416114931892E-2</v>
      </c>
      <c r="H65">
        <f t="shared" si="59"/>
        <v>8.5620208096385375E-2</v>
      </c>
      <c r="I65">
        <f>'Cibles THREEME AMS'!$DB$13/I9</f>
        <v>8.7045000077838858E-2</v>
      </c>
      <c r="J65">
        <f t="shared" si="60"/>
        <v>8.7598973322461471E-2</v>
      </c>
      <c r="K65">
        <f t="shared" si="60"/>
        <v>8.8152946567084084E-2</v>
      </c>
      <c r="L65">
        <f>'Cibles THREEME AMS'!$DC$13/L9</f>
        <v>8.8706919811706711E-2</v>
      </c>
      <c r="M65">
        <f t="shared" si="61"/>
        <v>9.2629958868100132E-2</v>
      </c>
      <c r="N65">
        <f>'Cibles THREEME AMS'!$DD$13/N9</f>
        <v>9.6552997924493567E-2</v>
      </c>
      <c r="O65">
        <f t="shared" si="62"/>
        <v>9.692428167415422E-2</v>
      </c>
      <c r="P65">
        <f t="shared" si="62"/>
        <v>9.7295565423814873E-2</v>
      </c>
      <c r="Q65">
        <f>'Cibles THREEME AMS'!$DE$13/Q9</f>
        <v>9.7666849173475526E-2</v>
      </c>
      <c r="R65">
        <f t="shared" si="63"/>
        <v>9.8136412913928522E-2</v>
      </c>
      <c r="S65">
        <f>'Cibles THREEME AMS'!$DF$13/S9</f>
        <v>9.8605976654381505E-2</v>
      </c>
      <c r="T65">
        <f t="shared" ref="T65:U65" si="75">S65+($V65-$S65)/3</f>
        <v>9.9095238846750339E-2</v>
      </c>
      <c r="U65">
        <f t="shared" si="75"/>
        <v>9.9584501039119172E-2</v>
      </c>
      <c r="V65">
        <f>'Cibles THREEME AMS'!$DG$13/V9</f>
        <v>0.10007376323148802</v>
      </c>
      <c r="W65">
        <f t="shared" si="65"/>
        <v>0.10049990264601</v>
      </c>
      <c r="X65">
        <f>'Cibles THREEME AMS'!$DH$13/X9</f>
        <v>0.10092604206053198</v>
      </c>
      <c r="Y65">
        <f t="shared" si="66"/>
        <v>0.10136024111382186</v>
      </c>
      <c r="Z65">
        <f t="shared" si="66"/>
        <v>0.10179444016711174</v>
      </c>
      <c r="AA65">
        <f>'Cibles THREEME AMS'!$DI$13/AA9</f>
        <v>0.10222863922040164</v>
      </c>
      <c r="AB65">
        <f t="shared" si="67"/>
        <v>0.10263623553873912</v>
      </c>
      <c r="AC65">
        <f>'Cibles THREEME AMS'!$DJ$13/AC9</f>
        <v>0.10304383185707659</v>
      </c>
      <c r="AD65">
        <f t="shared" si="68"/>
        <v>0.10425874525801669</v>
      </c>
      <c r="AE65">
        <f t="shared" si="68"/>
        <v>0.10547365865895679</v>
      </c>
      <c r="AF65">
        <f t="shared" si="68"/>
        <v>0.10668857205989689</v>
      </c>
      <c r="AG65">
        <f t="shared" si="68"/>
        <v>0.10790348546083699</v>
      </c>
      <c r="AH65">
        <f>'Cibles THREEME AMS'!$DK$13/AH9</f>
        <v>0.10911839886177706</v>
      </c>
      <c r="AI65">
        <f t="shared" si="69"/>
        <v>0.11019816660324003</v>
      </c>
      <c r="AJ65">
        <f t="shared" si="69"/>
        <v>0.111277934344703</v>
      </c>
      <c r="AK65">
        <f t="shared" si="69"/>
        <v>0.11235770208616597</v>
      </c>
      <c r="AL65">
        <f t="shared" si="69"/>
        <v>0.11343746982762894</v>
      </c>
      <c r="AM65">
        <f>'Cibles THREEME AMS'!$DL$13/AM9</f>
        <v>0.11451723756909191</v>
      </c>
    </row>
    <row r="66" spans="2:39" x14ac:dyDescent="0.25">
      <c r="B66" s="589" t="s">
        <v>279</v>
      </c>
      <c r="C66">
        <f t="shared" si="72"/>
        <v>2306</v>
      </c>
      <c r="D66" s="595">
        <f>'Cibles THREEME AMS'!$DA14*11.64/D10</f>
        <v>7.9921040170571445E-2</v>
      </c>
      <c r="E66">
        <f t="shared" si="59"/>
        <v>8.1345832152024927E-2</v>
      </c>
      <c r="F66">
        <f t="shared" si="59"/>
        <v>8.277062413347841E-2</v>
      </c>
      <c r="G66">
        <f t="shared" si="59"/>
        <v>8.4195416114931892E-2</v>
      </c>
      <c r="H66">
        <f t="shared" si="59"/>
        <v>8.5620208096385375E-2</v>
      </c>
      <c r="I66">
        <f>'Cibles THREEME AMS'!$DB$14/I10</f>
        <v>8.7045000077838858E-2</v>
      </c>
      <c r="J66">
        <f t="shared" si="60"/>
        <v>8.7598973322461471E-2</v>
      </c>
      <c r="K66">
        <f t="shared" si="60"/>
        <v>8.8152946567084084E-2</v>
      </c>
      <c r="L66">
        <f>'Cibles THREEME AMS'!$DC$14/L10</f>
        <v>8.8706919811706697E-2</v>
      </c>
      <c r="M66">
        <f t="shared" si="61"/>
        <v>9.2629958868100132E-2</v>
      </c>
      <c r="N66">
        <f>'Cibles THREEME AMS'!$DD$14/N10</f>
        <v>9.6552997924493567E-2</v>
      </c>
      <c r="O66">
        <f t="shared" si="62"/>
        <v>9.692428167415422E-2</v>
      </c>
      <c r="P66">
        <f t="shared" si="62"/>
        <v>9.7295565423814873E-2</v>
      </c>
      <c r="Q66">
        <f>'Cibles THREEME AMS'!$DE$14/Q10</f>
        <v>9.7666849173475512E-2</v>
      </c>
      <c r="R66">
        <f t="shared" si="63"/>
        <v>9.8136412913928509E-2</v>
      </c>
      <c r="S66">
        <f>'Cibles THREEME AMS'!$DF$14/S10</f>
        <v>9.8605976654381505E-2</v>
      </c>
      <c r="T66">
        <f t="shared" ref="T66:U66" si="76">S66+($V66-$S66)/3</f>
        <v>9.9095238846750339E-2</v>
      </c>
      <c r="U66">
        <f t="shared" si="76"/>
        <v>9.9584501039119172E-2</v>
      </c>
      <c r="V66">
        <f>'Cibles THREEME AMS'!$DG$14/V10</f>
        <v>0.10007376323148802</v>
      </c>
      <c r="W66">
        <f t="shared" si="65"/>
        <v>0.10049990264601</v>
      </c>
      <c r="X66">
        <f>'Cibles THREEME AMS'!$DH$14/X10</f>
        <v>0.10092604206053198</v>
      </c>
      <c r="Y66">
        <f t="shared" si="66"/>
        <v>0.10136024111382186</v>
      </c>
      <c r="Z66">
        <f t="shared" si="66"/>
        <v>0.10179444016711174</v>
      </c>
      <c r="AA66">
        <f>'Cibles THREEME AMS'!$DI$14/AA10</f>
        <v>0.10222863922040161</v>
      </c>
      <c r="AB66">
        <f t="shared" si="67"/>
        <v>0.10263623553873912</v>
      </c>
      <c r="AC66">
        <f>'Cibles THREEME AMS'!$DJ$14/AC10</f>
        <v>0.10304383185707662</v>
      </c>
      <c r="AD66">
        <f t="shared" si="68"/>
        <v>0.10425874525801671</v>
      </c>
      <c r="AE66">
        <f t="shared" si="68"/>
        <v>0.10547365865895679</v>
      </c>
      <c r="AF66">
        <f t="shared" si="68"/>
        <v>0.10668857205989687</v>
      </c>
      <c r="AG66">
        <f t="shared" si="68"/>
        <v>0.10790348546083696</v>
      </c>
      <c r="AH66">
        <f>'Cibles THREEME AMS'!$DK$14/AH10</f>
        <v>0.10911839886177706</v>
      </c>
      <c r="AI66">
        <f t="shared" si="69"/>
        <v>0.11019816660324003</v>
      </c>
      <c r="AJ66">
        <f t="shared" si="69"/>
        <v>0.111277934344703</v>
      </c>
      <c r="AK66">
        <f t="shared" si="69"/>
        <v>0.11235770208616597</v>
      </c>
      <c r="AL66">
        <f t="shared" si="69"/>
        <v>0.11343746982762894</v>
      </c>
      <c r="AM66">
        <f>'Cibles THREEME AMS'!$DL$14/AM10</f>
        <v>0.11451723756909193</v>
      </c>
    </row>
    <row r="67" spans="2:39" x14ac:dyDescent="0.25">
      <c r="B67" s="589" t="s">
        <v>18</v>
      </c>
      <c r="C67">
        <f t="shared" si="72"/>
        <v>2307</v>
      </c>
      <c r="D67" s="595">
        <f>'Cibles THREEME AMS'!$DA15*11.64/D11</f>
        <v>7.9921040170571458E-2</v>
      </c>
      <c r="E67">
        <f t="shared" si="59"/>
        <v>8.1345832152024941E-2</v>
      </c>
      <c r="F67">
        <f t="shared" si="59"/>
        <v>8.2770624133478424E-2</v>
      </c>
      <c r="G67">
        <f t="shared" si="59"/>
        <v>8.4195416114931906E-2</v>
      </c>
      <c r="H67">
        <f t="shared" si="59"/>
        <v>8.5620208096385389E-2</v>
      </c>
      <c r="I67">
        <f>'Cibles THREEME AMS'!$DB$15/I11</f>
        <v>8.7045000077838844E-2</v>
      </c>
      <c r="J67">
        <f t="shared" si="60"/>
        <v>8.7598973322461471E-2</v>
      </c>
      <c r="K67">
        <f t="shared" si="60"/>
        <v>8.8152946567084098E-2</v>
      </c>
      <c r="L67">
        <f>'Cibles THREEME AMS'!$DC$15/L11</f>
        <v>8.8706919811706725E-2</v>
      </c>
      <c r="M67">
        <f t="shared" si="61"/>
        <v>9.2629958868100146E-2</v>
      </c>
      <c r="N67">
        <f>'Cibles THREEME AMS'!$DD$15/N11</f>
        <v>9.6552997924493567E-2</v>
      </c>
      <c r="O67">
        <f t="shared" si="62"/>
        <v>9.692428167415422E-2</v>
      </c>
      <c r="P67">
        <f t="shared" si="62"/>
        <v>9.7295565423814873E-2</v>
      </c>
      <c r="Q67">
        <f>'Cibles THREEME AMS'!$DE$15/Q11</f>
        <v>9.7666849173475512E-2</v>
      </c>
      <c r="R67">
        <f t="shared" si="63"/>
        <v>9.8136412913928522E-2</v>
      </c>
      <c r="S67">
        <f>'Cibles THREEME AMS'!$DF$15/S11</f>
        <v>9.8605976654381519E-2</v>
      </c>
      <c r="T67">
        <f t="shared" ref="T67:U67" si="77">S67+($V67-$S67)/3</f>
        <v>9.9095238846750353E-2</v>
      </c>
      <c r="U67">
        <f t="shared" si="77"/>
        <v>9.9584501039119186E-2</v>
      </c>
      <c r="V67">
        <f>'Cibles THREEME AMS'!$DG$15/V11</f>
        <v>0.10007376323148803</v>
      </c>
      <c r="W67">
        <f t="shared" si="65"/>
        <v>0.10049990264601</v>
      </c>
      <c r="X67">
        <f>'Cibles THREEME AMS'!$DH$15/X11</f>
        <v>0.10092604206053196</v>
      </c>
      <c r="Y67">
        <f t="shared" si="66"/>
        <v>0.10136024111382186</v>
      </c>
      <c r="Z67">
        <f t="shared" si="66"/>
        <v>0.10179444016711175</v>
      </c>
      <c r="AA67">
        <f>'Cibles THREEME AMS'!$DI$15/AA11</f>
        <v>0.10222863922040165</v>
      </c>
      <c r="AB67">
        <f t="shared" si="67"/>
        <v>0.10263623553873913</v>
      </c>
      <c r="AC67">
        <f>'Cibles THREEME AMS'!$DJ$15/AC11</f>
        <v>0.10304383185707659</v>
      </c>
      <c r="AD67">
        <f t="shared" si="68"/>
        <v>0.10425874525801669</v>
      </c>
      <c r="AE67">
        <f t="shared" si="68"/>
        <v>0.10547365865895679</v>
      </c>
      <c r="AF67">
        <f t="shared" si="68"/>
        <v>0.10668857205989689</v>
      </c>
      <c r="AG67">
        <f t="shared" si="68"/>
        <v>0.10790348546083699</v>
      </c>
      <c r="AH67">
        <f>'Cibles THREEME AMS'!$DK$15/AH11</f>
        <v>0.10911839886177707</v>
      </c>
      <c r="AI67">
        <f t="shared" si="69"/>
        <v>0.11019816660324004</v>
      </c>
      <c r="AJ67">
        <f t="shared" si="69"/>
        <v>0.11127793434470301</v>
      </c>
      <c r="AK67">
        <f t="shared" si="69"/>
        <v>0.11235770208616598</v>
      </c>
      <c r="AL67">
        <f t="shared" si="69"/>
        <v>0.11343746982762895</v>
      </c>
      <c r="AM67">
        <f>'Cibles THREEME AMS'!$DL$15/AM11</f>
        <v>0.11451723756909192</v>
      </c>
    </row>
    <row r="68" spans="2:39" ht="15.75" thickBot="1" x14ac:dyDescent="0.3">
      <c r="B68" s="590" t="s">
        <v>476</v>
      </c>
      <c r="C68">
        <f t="shared" si="72"/>
        <v>2308</v>
      </c>
      <c r="D68" s="595">
        <f>'Cibles THREEME AMS'!$DA16*11.64/D12</f>
        <v>7.9921040170571445E-2</v>
      </c>
      <c r="E68">
        <f t="shared" si="59"/>
        <v>8.1345832152024927E-2</v>
      </c>
      <c r="F68">
        <f t="shared" si="59"/>
        <v>8.277062413347841E-2</v>
      </c>
      <c r="G68">
        <f t="shared" si="59"/>
        <v>8.4195416114931892E-2</v>
      </c>
      <c r="H68">
        <f t="shared" si="59"/>
        <v>8.5620208096385375E-2</v>
      </c>
      <c r="I68">
        <f>'Cibles THREEME AMS'!$DB$16/I12</f>
        <v>8.7045000077838858E-2</v>
      </c>
      <c r="J68">
        <f t="shared" si="60"/>
        <v>8.7598973322461471E-2</v>
      </c>
      <c r="K68">
        <f t="shared" si="60"/>
        <v>8.8152946567084084E-2</v>
      </c>
      <c r="L68">
        <f>'Cibles THREEME AMS'!$DC$16/L12</f>
        <v>8.8706919811706683E-2</v>
      </c>
      <c r="M68">
        <f t="shared" si="61"/>
        <v>9.2629958868100104E-2</v>
      </c>
      <c r="N68">
        <f>'Cibles THREEME AMS'!$DD$16/N12</f>
        <v>9.6552997924493539E-2</v>
      </c>
      <c r="O68">
        <f t="shared" si="62"/>
        <v>9.6924281674154192E-2</v>
      </c>
      <c r="P68">
        <f t="shared" si="62"/>
        <v>9.7295565423814845E-2</v>
      </c>
      <c r="Q68">
        <f>'Cibles THREEME AMS'!$DE$16/Q12</f>
        <v>9.7666849173475498E-2</v>
      </c>
      <c r="R68">
        <f t="shared" si="63"/>
        <v>9.8136412913928495E-2</v>
      </c>
      <c r="S68">
        <f>'Cibles THREEME AMS'!$DF$16/S12</f>
        <v>9.8605976654381491E-2</v>
      </c>
      <c r="T68">
        <f t="shared" ref="T68:U68" si="78">S68+($V68-$S68)/3</f>
        <v>9.9095238846750325E-2</v>
      </c>
      <c r="U68">
        <f t="shared" si="78"/>
        <v>9.9584501039119158E-2</v>
      </c>
      <c r="V68">
        <f>'Cibles THREEME AMS'!$DG$16/V12</f>
        <v>0.10007376323148801</v>
      </c>
      <c r="W68">
        <f t="shared" si="65"/>
        <v>0.10049990264601</v>
      </c>
      <c r="X68">
        <f>'Cibles THREEME AMS'!$DH$16/X12</f>
        <v>0.10092604206053199</v>
      </c>
      <c r="Y68">
        <f t="shared" si="66"/>
        <v>0.10136024111382187</v>
      </c>
      <c r="Z68">
        <f t="shared" si="66"/>
        <v>0.10179444016711175</v>
      </c>
      <c r="AA68">
        <f>'Cibles THREEME AMS'!$DI$16/AA12</f>
        <v>0.10222863922040162</v>
      </c>
      <c r="AB68">
        <f t="shared" si="67"/>
        <v>0.1026362355387391</v>
      </c>
      <c r="AC68">
        <f>'Cibles THREEME AMS'!$DJ$16/AC12</f>
        <v>0.10304383185707659</v>
      </c>
      <c r="AD68">
        <f t="shared" si="68"/>
        <v>0.10425874525801669</v>
      </c>
      <c r="AE68">
        <f t="shared" si="68"/>
        <v>0.10547365865895679</v>
      </c>
      <c r="AF68">
        <f t="shared" si="68"/>
        <v>0.10668857205989689</v>
      </c>
      <c r="AG68">
        <f t="shared" si="68"/>
        <v>0.10790348546083699</v>
      </c>
      <c r="AH68">
        <f>'Cibles THREEME AMS'!$DK$16/AH12</f>
        <v>0.10911839886177706</v>
      </c>
      <c r="AI68">
        <f t="shared" si="69"/>
        <v>0.11019816660324003</v>
      </c>
      <c r="AJ68">
        <f t="shared" si="69"/>
        <v>0.111277934344703</v>
      </c>
      <c r="AK68">
        <f t="shared" si="69"/>
        <v>0.11235770208616597</v>
      </c>
      <c r="AL68">
        <f t="shared" si="69"/>
        <v>0.11343746982762894</v>
      </c>
      <c r="AM68">
        <f>'Cibles THREEME AMS'!$DL$16/AM12</f>
        <v>0.11451723756909193</v>
      </c>
    </row>
    <row r="69" spans="2:39" x14ac:dyDescent="0.25">
      <c r="B69" s="588" t="s">
        <v>287</v>
      </c>
      <c r="C69">
        <v>2401</v>
      </c>
      <c r="D69" s="595">
        <f>'Cibles THREEME AMS'!$DA17*11.64/D13</f>
        <v>1.9467833156530601E-2</v>
      </c>
      <c r="E69">
        <f t="shared" si="59"/>
        <v>1.8791217127203438E-2</v>
      </c>
      <c r="F69">
        <f t="shared" si="59"/>
        <v>1.8114601097876274E-2</v>
      </c>
      <c r="G69">
        <f t="shared" si="59"/>
        <v>1.743798506854911E-2</v>
      </c>
      <c r="H69">
        <f t="shared" si="59"/>
        <v>1.6761369039221947E-2</v>
      </c>
      <c r="I69" s="404">
        <f>'Cibles THREEME AMS'!$DB$17/I13</f>
        <v>1.608475300989478E-2</v>
      </c>
      <c r="J69">
        <f t="shared" si="60"/>
        <v>1.660382600785373E-2</v>
      </c>
      <c r="K69">
        <f t="shared" si="60"/>
        <v>1.7122899005812681E-2</v>
      </c>
      <c r="L69" s="404">
        <f>'Cibles THREEME AMS'!$DC$17/L13</f>
        <v>1.7641972003771635E-2</v>
      </c>
      <c r="M69">
        <f t="shared" si="61"/>
        <v>1.7779834352074052E-2</v>
      </c>
      <c r="N69" s="404">
        <f>'Cibles THREEME AMS'!$DD$17/N13</f>
        <v>1.7917696700376472E-2</v>
      </c>
      <c r="O69">
        <f t="shared" si="62"/>
        <v>1.7958732560153706E-2</v>
      </c>
      <c r="P69">
        <f t="shared" si="62"/>
        <v>1.799976841993094E-2</v>
      </c>
      <c r="Q69" s="404">
        <f>'Cibles THREEME AMS'!$DE$17/Q13</f>
        <v>1.8040804279708174E-2</v>
      </c>
      <c r="R69">
        <f t="shared" si="63"/>
        <v>1.7892860242388234E-2</v>
      </c>
      <c r="S69" s="404">
        <f>'Cibles THREEME AMS'!$DF$17/S13</f>
        <v>1.7744916205068295E-2</v>
      </c>
      <c r="T69">
        <f t="shared" ref="T69:U69" si="79">S69+($V69-$S69)/3</f>
        <v>1.8954621481701739E-2</v>
      </c>
      <c r="U69">
        <f t="shared" si="79"/>
        <v>2.0164326758335183E-2</v>
      </c>
      <c r="V69" s="404">
        <f>'Cibles THREEME AMS'!$DG$17/V13</f>
        <v>2.137403203496863E-2</v>
      </c>
      <c r="W69">
        <f t="shared" si="65"/>
        <v>2.16536366515701E-2</v>
      </c>
      <c r="X69" s="404">
        <f>'Cibles THREEME AMS'!$DH$17/X13</f>
        <v>2.1933241268171567E-2</v>
      </c>
      <c r="Y69">
        <f t="shared" si="66"/>
        <v>2.1593302125670542E-2</v>
      </c>
      <c r="Z69">
        <f t="shared" si="66"/>
        <v>2.1253362983169516E-2</v>
      </c>
      <c r="AA69" s="404">
        <f>'Cibles THREEME AMS'!$DI$17/AA13</f>
        <v>2.091342384066849E-2</v>
      </c>
      <c r="AB69">
        <f t="shared" si="67"/>
        <v>1.6391068989634536E-2</v>
      </c>
      <c r="AC69" s="404">
        <f>'Cibles THREEME AMS'!$DJ$17/AC13</f>
        <v>1.1868714138600578E-2</v>
      </c>
      <c r="AD69">
        <f t="shared" si="68"/>
        <v>1.3476868068087827E-2</v>
      </c>
      <c r="AE69">
        <f t="shared" si="68"/>
        <v>1.5085021997575075E-2</v>
      </c>
      <c r="AF69">
        <f t="shared" si="68"/>
        <v>1.6693175927062324E-2</v>
      </c>
      <c r="AG69">
        <f t="shared" si="68"/>
        <v>1.8301329856549572E-2</v>
      </c>
      <c r="AH69" s="404">
        <f>'Cibles THREEME AMS'!$DK$17/AH13</f>
        <v>1.9909483786036821E-2</v>
      </c>
      <c r="AI69">
        <f t="shared" si="69"/>
        <v>1.598032181585677E-2</v>
      </c>
      <c r="AJ69">
        <f t="shared" si="69"/>
        <v>1.2051159845676717E-2</v>
      </c>
      <c r="AK69">
        <f t="shared" si="69"/>
        <v>8.1219978754966636E-3</v>
      </c>
      <c r="AL69">
        <f t="shared" si="69"/>
        <v>4.1928359053166105E-3</v>
      </c>
      <c r="AM69" s="404">
        <f>'Cibles THREEME AMS'!$DL$17/AM13</f>
        <v>2.6367393513655811E-4</v>
      </c>
    </row>
    <row r="70" spans="2:39" x14ac:dyDescent="0.25">
      <c r="B70" s="589" t="s">
        <v>289</v>
      </c>
      <c r="C70">
        <v>2402</v>
      </c>
      <c r="D70" s="595">
        <f>'Cibles THREEME AMS'!$DA18*11.64/D14</f>
        <v>8.4468232694062482E-3</v>
      </c>
      <c r="E70">
        <f t="shared" si="59"/>
        <v>8.0296105964337231E-3</v>
      </c>
      <c r="F70">
        <f t="shared" si="59"/>
        <v>7.6123979234611972E-3</v>
      </c>
      <c r="G70">
        <f t="shared" si="59"/>
        <v>7.1951852504886712E-3</v>
      </c>
      <c r="H70">
        <f t="shared" si="59"/>
        <v>6.7779725775161453E-3</v>
      </c>
      <c r="I70" s="404">
        <f>'Cibles THREEME AMS'!$DB$18/I14</f>
        <v>6.3607599045436202E-3</v>
      </c>
      <c r="J70">
        <f t="shared" si="60"/>
        <v>7.5657015073668848E-3</v>
      </c>
      <c r="K70">
        <f t="shared" si="60"/>
        <v>8.7706431101901485E-3</v>
      </c>
      <c r="L70" s="404">
        <f>'Cibles THREEME AMS'!$DC$18/L14</f>
        <v>9.9755847130134131E-3</v>
      </c>
      <c r="M70">
        <f t="shared" si="61"/>
        <v>1.097343416114116E-2</v>
      </c>
      <c r="N70" s="404">
        <f>'Cibles THREEME AMS'!$DD$18/N14</f>
        <v>1.1971283609268905E-2</v>
      </c>
      <c r="O70">
        <f t="shared" si="62"/>
        <v>1.260221246892838E-2</v>
      </c>
      <c r="P70">
        <f t="shared" si="62"/>
        <v>1.3233141328587855E-2</v>
      </c>
      <c r="Q70" s="404">
        <f>'Cibles THREEME AMS'!$DE$18/Q14</f>
        <v>1.386407018824733E-2</v>
      </c>
      <c r="R70">
        <f t="shared" si="63"/>
        <v>1.4777185596322462E-2</v>
      </c>
      <c r="S70" s="404">
        <f>'Cibles THREEME AMS'!$DF$18/S14</f>
        <v>1.5690301004397594E-2</v>
      </c>
      <c r="T70">
        <f t="shared" ref="T70:U70" si="80">S70+($V70-$S70)/3</f>
        <v>1.512031126569313E-2</v>
      </c>
      <c r="U70">
        <f t="shared" si="80"/>
        <v>1.4550321526988666E-2</v>
      </c>
      <c r="V70" s="404">
        <f>'Cibles THREEME AMS'!$DG$18/V14</f>
        <v>1.3980331788284202E-2</v>
      </c>
      <c r="W70">
        <f t="shared" si="65"/>
        <v>1.4010019659256873E-2</v>
      </c>
      <c r="X70" s="404">
        <f>'Cibles THREEME AMS'!$DH$18/X14</f>
        <v>1.4039707530229543E-2</v>
      </c>
      <c r="Y70">
        <f t="shared" si="66"/>
        <v>1.4174038291279816E-2</v>
      </c>
      <c r="Z70">
        <f t="shared" si="66"/>
        <v>1.430836905233009E-2</v>
      </c>
      <c r="AA70" s="404">
        <f>'Cibles THREEME AMS'!$DI$18/AA14</f>
        <v>1.4442699813380365E-2</v>
      </c>
      <c r="AB70">
        <f t="shared" si="67"/>
        <v>1.9499256308285216E-2</v>
      </c>
      <c r="AC70" s="404">
        <f>'Cibles THREEME AMS'!$DJ$18/AC14</f>
        <v>2.4555812803190066E-2</v>
      </c>
      <c r="AD70">
        <f t="shared" si="68"/>
        <v>2.2610608657646445E-2</v>
      </c>
      <c r="AE70">
        <f t="shared" si="68"/>
        <v>2.0665404512102824E-2</v>
      </c>
      <c r="AF70">
        <f t="shared" si="68"/>
        <v>1.8720200366559202E-2</v>
      </c>
      <c r="AG70">
        <f t="shared" si="68"/>
        <v>1.6774996221015581E-2</v>
      </c>
      <c r="AH70" s="404">
        <f>'Cibles THREEME AMS'!$DK$18/AH14</f>
        <v>1.4829792075471958E-2</v>
      </c>
      <c r="AI70">
        <f t="shared" si="69"/>
        <v>2.0884601422160705E-2</v>
      </c>
      <c r="AJ70">
        <f t="shared" si="69"/>
        <v>2.6939410768849453E-2</v>
      </c>
      <c r="AK70">
        <f t="shared" si="69"/>
        <v>3.2994220115538202E-2</v>
      </c>
      <c r="AL70">
        <f t="shared" si="69"/>
        <v>3.904902946222695E-2</v>
      </c>
      <c r="AM70" s="404">
        <f>'Cibles THREEME AMS'!$DL$18/AM14</f>
        <v>4.5103838808915699E-2</v>
      </c>
    </row>
    <row r="71" spans="2:39" x14ac:dyDescent="0.25">
      <c r="B71" s="589" t="s">
        <v>291</v>
      </c>
      <c r="C71">
        <v>2403</v>
      </c>
      <c r="D71" s="595">
        <f>('Cibles THREEME AMS'!$DA19+'Cibles THREEME AMS'!$DA20)*11.64/D15</f>
        <v>0.40271506230012583</v>
      </c>
      <c r="E71">
        <f t="shared" si="59"/>
        <v>0.34032888196556033</v>
      </c>
      <c r="F71">
        <f t="shared" si="59"/>
        <v>0.27794270163099483</v>
      </c>
      <c r="G71">
        <f t="shared" si="59"/>
        <v>0.2155565212964293</v>
      </c>
      <c r="H71">
        <f t="shared" si="59"/>
        <v>0.15317034096186377</v>
      </c>
      <c r="I71" s="404">
        <f>('Cibles THREEME AMS'!$DB$19+'Cibles THREEME AMS'!$DB$19)/I15</f>
        <v>9.078416062729823E-2</v>
      </c>
      <c r="J71">
        <f t="shared" si="60"/>
        <v>7.157756728529234E-2</v>
      </c>
      <c r="K71">
        <f t="shared" si="60"/>
        <v>5.237097394328645E-2</v>
      </c>
      <c r="L71" s="404">
        <f>('Cibles THREEME AMS'!$DC$19+'Cibles THREEME AMS'!$DC$19)/L15</f>
        <v>3.3164380601280546E-2</v>
      </c>
      <c r="M71">
        <f t="shared" si="61"/>
        <v>4.3685086981273623E-2</v>
      </c>
      <c r="N71" s="404">
        <f>('Cibles THREEME AMS'!$DD$19+'Cibles THREEME AMS'!$DD$19)/N15</f>
        <v>5.4205793361266699E-2</v>
      </c>
      <c r="O71">
        <f t="shared" si="62"/>
        <v>5.1764112018353133E-2</v>
      </c>
      <c r="P71">
        <f t="shared" si="62"/>
        <v>4.9322430675439566E-2</v>
      </c>
      <c r="Q71" s="404">
        <f>('Cibles THREEME AMS'!$DE$19+'Cibles THREEME AMS'!$DE$19)/Q15</f>
        <v>4.6880749332526006E-2</v>
      </c>
      <c r="R71">
        <f t="shared" si="63"/>
        <v>4.5592843336098574E-2</v>
      </c>
      <c r="S71" s="404">
        <f>('Cibles THREEME AMS'!$DF$19+'Cibles THREEME AMS'!$DF$19)/S15</f>
        <v>4.4304937339671141E-2</v>
      </c>
      <c r="T71">
        <f t="shared" ref="T71:U71" si="81">S71+($V71-$S71)/3</f>
        <v>4.2918701080779845E-2</v>
      </c>
      <c r="U71">
        <f t="shared" si="81"/>
        <v>4.1532464821888548E-2</v>
      </c>
      <c r="V71" s="404">
        <f>('Cibles THREEME AMS'!$DG$19+'Cibles THREEME AMS'!$DG$19)/V15</f>
        <v>4.0146228562997252E-2</v>
      </c>
      <c r="W71">
        <f t="shared" si="65"/>
        <v>3.9554625556994967E-2</v>
      </c>
      <c r="X71" s="404">
        <f>('Cibles THREEME AMS'!$DH$19+'Cibles THREEME AMS'!$DH$19)/X15</f>
        <v>3.8963022550992682E-2</v>
      </c>
      <c r="Y71">
        <f t="shared" si="66"/>
        <v>3.854817431061143E-2</v>
      </c>
      <c r="Z71">
        <f t="shared" si="66"/>
        <v>3.8133326070230178E-2</v>
      </c>
      <c r="AA71" s="404">
        <f>('Cibles THREEME AMS'!$DI$19+'Cibles THREEME AMS'!$DI$19)/AA15</f>
        <v>3.7718477829848926E-2</v>
      </c>
      <c r="AB71">
        <f t="shared" si="67"/>
        <v>3.8453186721356544E-2</v>
      </c>
      <c r="AC71" s="404">
        <f>('Cibles THREEME AMS'!$DJ$19+'Cibles THREEME AMS'!$DJ$19)/AC15</f>
        <v>3.9187895612864163E-2</v>
      </c>
      <c r="AD71">
        <f t="shared" si="68"/>
        <v>3.7573695455807653E-2</v>
      </c>
      <c r="AE71">
        <f t="shared" si="68"/>
        <v>3.5959495298751143E-2</v>
      </c>
      <c r="AF71">
        <f t="shared" si="68"/>
        <v>3.4345295141694633E-2</v>
      </c>
      <c r="AG71">
        <f t="shared" si="68"/>
        <v>3.2731094984638123E-2</v>
      </c>
      <c r="AH71" s="404">
        <f>('Cibles THREEME AMS'!$DK$19+'Cibles THREEME AMS'!$DK$19)/AH15</f>
        <v>3.1116894827581624E-2</v>
      </c>
      <c r="AI71">
        <f t="shared" si="69"/>
        <v>3.102004764172437E-2</v>
      </c>
      <c r="AJ71">
        <f t="shared" si="69"/>
        <v>3.0923200455867116E-2</v>
      </c>
      <c r="AK71">
        <f t="shared" si="69"/>
        <v>3.0826353270009862E-2</v>
      </c>
      <c r="AL71">
        <f t="shared" si="69"/>
        <v>3.0729506084152609E-2</v>
      </c>
      <c r="AM71" s="404">
        <f>('Cibles THREEME AMS'!$DL$19+'Cibles THREEME AMS'!$DL$19)/AM15</f>
        <v>3.0632658898295355E-2</v>
      </c>
    </row>
    <row r="72" spans="2:39" x14ac:dyDescent="0.25">
      <c r="B72" s="589" t="s">
        <v>293</v>
      </c>
      <c r="C72">
        <v>2404</v>
      </c>
      <c r="D72" s="595">
        <f>'Cibles THREEME AMS'!$DA21*11.64/D16</f>
        <v>0.25940455714325639</v>
      </c>
      <c r="E72">
        <f t="shared" si="59"/>
        <v>0.22364382264957722</v>
      </c>
      <c r="F72">
        <f t="shared" si="59"/>
        <v>0.18788308815589805</v>
      </c>
      <c r="G72">
        <f t="shared" si="59"/>
        <v>0.15212235366221888</v>
      </c>
      <c r="H72">
        <f t="shared" si="59"/>
        <v>0.11636161916853971</v>
      </c>
      <c r="I72">
        <f>'Cibles THREEME AMS'!$DB$21/I16</f>
        <v>8.060088467486054E-2</v>
      </c>
      <c r="J72">
        <f t="shared" si="60"/>
        <v>7.9774423194782784E-2</v>
      </c>
      <c r="K72">
        <f t="shared" si="60"/>
        <v>7.8947961714705028E-2</v>
      </c>
      <c r="L72">
        <f>'Cibles THREEME AMS'!$DC$21/L16</f>
        <v>7.8121500234627272E-2</v>
      </c>
      <c r="M72">
        <f t="shared" si="61"/>
        <v>6.6213206373325617E-2</v>
      </c>
      <c r="N72">
        <f>'Cibles THREEME AMS'!$DD$21/N16</f>
        <v>5.4304912512023962E-2</v>
      </c>
      <c r="O72">
        <f t="shared" si="62"/>
        <v>5.3807436293567337E-2</v>
      </c>
      <c r="P72">
        <f t="shared" si="62"/>
        <v>5.3309960075110713E-2</v>
      </c>
      <c r="Q72">
        <f>'Cibles THREEME AMS'!$DE$21/Q16</f>
        <v>5.2812483856654081E-2</v>
      </c>
      <c r="R72">
        <f t="shared" si="63"/>
        <v>5.3436040686907334E-2</v>
      </c>
      <c r="S72">
        <f>'Cibles THREEME AMS'!$DF$21/S16</f>
        <v>5.4059597517160586E-2</v>
      </c>
      <c r="T72">
        <f t="shared" ref="T72:U72" si="82">S72+($V72-$S72)/3</f>
        <v>5.2959843723514498E-2</v>
      </c>
      <c r="U72">
        <f t="shared" si="82"/>
        <v>5.186008992986841E-2</v>
      </c>
      <c r="V72">
        <f>'Cibles THREEME AMS'!$DG$21/V16</f>
        <v>5.0760336136222314E-2</v>
      </c>
      <c r="W72">
        <f t="shared" si="65"/>
        <v>5.1182027848991909E-2</v>
      </c>
      <c r="X72">
        <f>'Cibles THREEME AMS'!$DH$21/X16</f>
        <v>5.1603719561761505E-2</v>
      </c>
      <c r="Y72">
        <f t="shared" si="66"/>
        <v>5.106754029071979E-2</v>
      </c>
      <c r="Z72">
        <f t="shared" si="66"/>
        <v>5.0531361019678075E-2</v>
      </c>
      <c r="AA72">
        <f>'Cibles THREEME AMS'!$DI$21/AA16</f>
        <v>4.9995181748636361E-2</v>
      </c>
      <c r="AB72">
        <f t="shared" si="67"/>
        <v>5.7191513052750595E-2</v>
      </c>
      <c r="AC72">
        <f>'Cibles THREEME AMS'!$DJ$21/AC16</f>
        <v>6.4387844356864829E-2</v>
      </c>
      <c r="AD72">
        <f t="shared" si="68"/>
        <v>6.0963313012008941E-2</v>
      </c>
      <c r="AE72">
        <f t="shared" si="68"/>
        <v>5.7538781667153052E-2</v>
      </c>
      <c r="AF72">
        <f t="shared" si="68"/>
        <v>5.4114250322297164E-2</v>
      </c>
      <c r="AG72">
        <f t="shared" si="68"/>
        <v>5.0689718977441275E-2</v>
      </c>
      <c r="AH72">
        <f>'Cibles THREEME AMS'!$DK$21/AH16</f>
        <v>4.726518763258538E-2</v>
      </c>
      <c r="AI72">
        <f t="shared" si="69"/>
        <v>5.5882241258985672E-2</v>
      </c>
      <c r="AJ72">
        <f t="shared" si="69"/>
        <v>6.4499294885385958E-2</v>
      </c>
      <c r="AK72">
        <f t="shared" si="69"/>
        <v>7.311634851178625E-2</v>
      </c>
      <c r="AL72">
        <f t="shared" si="69"/>
        <v>8.1733402138186542E-2</v>
      </c>
      <c r="AM72">
        <f>'Cibles THREEME AMS'!$DL$21/AM16</f>
        <v>9.0350455764586834E-2</v>
      </c>
    </row>
    <row r="73" spans="2:39" x14ac:dyDescent="0.25">
      <c r="B73" s="589" t="s">
        <v>296</v>
      </c>
      <c r="C73">
        <v>2405</v>
      </c>
      <c r="D73" s="595">
        <f>'Cibles THREEME AMS'!$DA22*11.64/D17</f>
        <v>4.7605298881549088E-2</v>
      </c>
      <c r="E73">
        <f t="shared" si="59"/>
        <v>5.0702992213659336E-2</v>
      </c>
      <c r="F73">
        <f t="shared" si="59"/>
        <v>5.3800685545769583E-2</v>
      </c>
      <c r="G73">
        <f t="shared" si="59"/>
        <v>5.6898378877879831E-2</v>
      </c>
      <c r="H73">
        <f t="shared" si="59"/>
        <v>5.9996072209990078E-2</v>
      </c>
      <c r="I73">
        <f>'Cibles THREEME AMS'!$DB$22/I17</f>
        <v>6.3093765542100319E-2</v>
      </c>
      <c r="J73">
        <f t="shared" si="60"/>
        <v>6.0167808775005951E-2</v>
      </c>
      <c r="K73">
        <f t="shared" si="60"/>
        <v>5.7241852007911584E-2</v>
      </c>
      <c r="L73">
        <f>'Cibles THREEME AMS'!$DC$22/L17</f>
        <v>5.4315895240817209E-2</v>
      </c>
      <c r="M73">
        <f t="shared" si="61"/>
        <v>4.5261054326478048E-2</v>
      </c>
      <c r="N73">
        <f>'Cibles THREEME AMS'!$DD$22/N17</f>
        <v>3.620621341213888E-2</v>
      </c>
      <c r="O73">
        <f t="shared" si="62"/>
        <v>3.6415163829648926E-2</v>
      </c>
      <c r="P73">
        <f t="shared" si="62"/>
        <v>3.6624114247158973E-2</v>
      </c>
      <c r="Q73">
        <f>'Cibles THREEME AMS'!$DE$22/Q17</f>
        <v>3.683306466466902E-2</v>
      </c>
      <c r="R73">
        <f t="shared" si="63"/>
        <v>3.801475036356862E-2</v>
      </c>
      <c r="S73">
        <f>'Cibles THREEME AMS'!$DF$22/S17</f>
        <v>3.9196436062468226E-2</v>
      </c>
      <c r="T73">
        <f t="shared" ref="T73:U73" si="83">S73+($V73-$S73)/3</f>
        <v>3.7518007096004391E-2</v>
      </c>
      <c r="U73">
        <f t="shared" si="83"/>
        <v>3.5839578129540556E-2</v>
      </c>
      <c r="V73">
        <f>'Cibles THREEME AMS'!$DG$22/V17</f>
        <v>3.4161149163076714E-2</v>
      </c>
      <c r="W73">
        <f t="shared" si="65"/>
        <v>3.4229983334550802E-2</v>
      </c>
      <c r="X73">
        <f>'Cibles THREEME AMS'!$DH$22/X17</f>
        <v>3.4298817506024891E-2</v>
      </c>
      <c r="Y73">
        <f t="shared" si="66"/>
        <v>3.3600919907395624E-2</v>
      </c>
      <c r="Z73">
        <f t="shared" si="66"/>
        <v>3.2903022308766357E-2</v>
      </c>
      <c r="AA73">
        <f>'Cibles THREEME AMS'!$DI$22/AA17</f>
        <v>3.2205124710137097E-2</v>
      </c>
      <c r="AB73">
        <f t="shared" si="67"/>
        <v>3.5058082595728762E-2</v>
      </c>
      <c r="AC73">
        <f>'Cibles THREEME AMS'!$DJ$22/AC17</f>
        <v>3.7911040481320421E-2</v>
      </c>
      <c r="AD73">
        <f t="shared" si="68"/>
        <v>3.5180978075889838E-2</v>
      </c>
      <c r="AE73">
        <f t="shared" si="68"/>
        <v>3.2450915670459254E-2</v>
      </c>
      <c r="AF73">
        <f t="shared" si="68"/>
        <v>2.9720853265028675E-2</v>
      </c>
      <c r="AG73">
        <f t="shared" si="68"/>
        <v>2.6990790859598095E-2</v>
      </c>
      <c r="AH73">
        <f>'Cibles THREEME AMS'!$DK$22/AH17</f>
        <v>2.4260728454167518E-2</v>
      </c>
      <c r="AI73">
        <f t="shared" si="69"/>
        <v>2.5196399365183385E-2</v>
      </c>
      <c r="AJ73">
        <f t="shared" si="69"/>
        <v>2.6132070276199251E-2</v>
      </c>
      <c r="AK73">
        <f t="shared" si="69"/>
        <v>2.7067741187215118E-2</v>
      </c>
      <c r="AL73">
        <f t="shared" si="69"/>
        <v>2.8003412098230984E-2</v>
      </c>
      <c r="AM73">
        <f>'Cibles THREEME AMS'!$DL$22/AM17</f>
        <v>2.8939083009246854E-2</v>
      </c>
    </row>
    <row r="74" spans="2:39" x14ac:dyDescent="0.25">
      <c r="B74" s="203" t="s">
        <v>613</v>
      </c>
      <c r="C74">
        <v>2406</v>
      </c>
      <c r="D74" s="595">
        <f>SUM('Cibles THREEME AMS'!$DA23:$DA24)*11.64/D18</f>
        <v>9.5913900917253214E-2</v>
      </c>
      <c r="E74">
        <f t="shared" si="59"/>
        <v>7.6731120733802574E-2</v>
      </c>
      <c r="F74">
        <f t="shared" si="59"/>
        <v>5.7548340550351934E-2</v>
      </c>
      <c r="G74">
        <f t="shared" si="59"/>
        <v>3.8365560366901294E-2</v>
      </c>
      <c r="H74">
        <f t="shared" si="59"/>
        <v>1.918278018345065E-2</v>
      </c>
      <c r="I74">
        <f>SUM('Cibles THREEME AMS'!$DB$23:$DB$24)/I18</f>
        <v>0</v>
      </c>
      <c r="J74">
        <f t="shared" si="60"/>
        <v>0</v>
      </c>
      <c r="K74">
        <f t="shared" si="60"/>
        <v>0</v>
      </c>
      <c r="L74">
        <f>SUM('Cibles THREEME AMS'!$DC$23:$DC$24)/L18</f>
        <v>0</v>
      </c>
      <c r="M74">
        <f t="shared" si="61"/>
        <v>1.2169413822436751E-3</v>
      </c>
      <c r="N74">
        <f>SUM('Cibles THREEME AMS'!$DD$23:$DD$24)/N18</f>
        <v>2.4338827644873502E-3</v>
      </c>
      <c r="O74">
        <f t="shared" si="62"/>
        <v>2.5034720252633145E-3</v>
      </c>
      <c r="P74">
        <f t="shared" si="62"/>
        <v>2.5730612860392788E-3</v>
      </c>
      <c r="Q74">
        <f>SUM('Cibles THREEME AMS'!$DE$23:$DE$24)/Q18</f>
        <v>2.6426505468152431E-3</v>
      </c>
      <c r="R74">
        <f t="shared" si="63"/>
        <v>2.8731456177622321E-3</v>
      </c>
      <c r="S74">
        <f>SUM('Cibles THREEME AMS'!$DF$23:$DF$24)/S18</f>
        <v>3.1036406887092211E-3</v>
      </c>
      <c r="T74">
        <f t="shared" ref="T74:U74" si="84">S74+($V74-$S74)/3</f>
        <v>3.6943541841816751E-3</v>
      </c>
      <c r="U74">
        <f t="shared" si="84"/>
        <v>4.285067679654129E-3</v>
      </c>
      <c r="V74">
        <f>SUM('Cibles THREEME AMS'!$DG$23:$DG$24)/V18</f>
        <v>4.8757811751265825E-3</v>
      </c>
      <c r="W74">
        <f t="shared" si="65"/>
        <v>5.3972697884625024E-3</v>
      </c>
      <c r="X74">
        <f>SUM('Cibles THREEME AMS'!$DH$23:$DH$24)/X18</f>
        <v>5.9187584017984223E-3</v>
      </c>
      <c r="Y74">
        <f t="shared" si="66"/>
        <v>6.07619451313063E-3</v>
      </c>
      <c r="Z74">
        <f t="shared" si="66"/>
        <v>6.2336306244628378E-3</v>
      </c>
      <c r="AA74">
        <f>SUM('Cibles THREEME AMS'!$DI$23:$DI$24)/AA18</f>
        <v>6.3910667357950464E-3</v>
      </c>
      <c r="AB74">
        <f t="shared" si="67"/>
        <v>6.7020055051312342E-3</v>
      </c>
      <c r="AC74">
        <f>SUM('Cibles THREEME AMS'!$DJ$23:$DJ$24)/AC18</f>
        <v>7.0129442744674229E-3</v>
      </c>
      <c r="AD74">
        <f t="shared" si="68"/>
        <v>7.1622997754224359E-3</v>
      </c>
      <c r="AE74">
        <f t="shared" si="68"/>
        <v>7.3116552763774489E-3</v>
      </c>
      <c r="AF74">
        <f t="shared" si="68"/>
        <v>7.461010777332462E-3</v>
      </c>
      <c r="AG74">
        <f t="shared" si="68"/>
        <v>7.610366278287475E-3</v>
      </c>
      <c r="AH74">
        <f>SUM('Cibles THREEME AMS'!$DK$23:$DK$24)/AH18</f>
        <v>7.7597217792424863E-3</v>
      </c>
      <c r="AI74">
        <f t="shared" si="69"/>
        <v>7.9741187587468506E-3</v>
      </c>
      <c r="AJ74">
        <f t="shared" si="69"/>
        <v>8.188515738251214E-3</v>
      </c>
      <c r="AK74">
        <f t="shared" si="69"/>
        <v>8.4029127177555792E-3</v>
      </c>
      <c r="AL74">
        <f t="shared" si="69"/>
        <v>8.6173096972599443E-3</v>
      </c>
      <c r="AM74">
        <f>SUM('Cibles THREEME AMS'!$DL$23:$DL$24)/AM18</f>
        <v>8.8317066767643077E-3</v>
      </c>
    </row>
    <row r="75" spans="2:39" x14ac:dyDescent="0.25">
      <c r="B75" s="589" t="s">
        <v>42</v>
      </c>
      <c r="C75">
        <v>21</v>
      </c>
      <c r="D75">
        <f>'Cibles THREEME AMS'!$CK$25</f>
        <v>7.0375367088026655E-3</v>
      </c>
      <c r="E75">
        <f t="shared" si="59"/>
        <v>6.2766918656268402E-3</v>
      </c>
      <c r="F75">
        <f t="shared" si="59"/>
        <v>5.5158470224510149E-3</v>
      </c>
      <c r="G75">
        <f t="shared" si="59"/>
        <v>4.7550021792751897E-3</v>
      </c>
      <c r="H75">
        <f t="shared" si="59"/>
        <v>3.9941573360993644E-3</v>
      </c>
      <c r="I75">
        <f>'Cibles THREEME AMS'!$CL$25</f>
        <v>3.2333124929235383E-3</v>
      </c>
      <c r="J75">
        <f t="shared" si="60"/>
        <v>2.8108088088901959E-3</v>
      </c>
      <c r="K75">
        <f t="shared" si="60"/>
        <v>2.3883051248568534E-3</v>
      </c>
      <c r="L75" s="596">
        <f>'Cibles THREEME AMS'!$CM$25</f>
        <v>1.965801440823511E-3</v>
      </c>
      <c r="M75">
        <f t="shared" si="61"/>
        <v>1.2105013693888725E-3</v>
      </c>
      <c r="N75">
        <f>'Cibles THREEME AMS'!$CN$25</f>
        <v>4.5520129795423395E-4</v>
      </c>
      <c r="O75">
        <f t="shared" si="62"/>
        <v>4.0162289011457273E-4</v>
      </c>
      <c r="P75">
        <f t="shared" si="62"/>
        <v>3.4804448227491151E-4</v>
      </c>
      <c r="Q75">
        <f>'Cibles THREEME AMS'!$CO$25</f>
        <v>2.9446607443525024E-4</v>
      </c>
      <c r="R75">
        <f t="shared" si="63"/>
        <v>1.4723303721762512E-4</v>
      </c>
      <c r="S75">
        <f>'Cibles THREEME AMS'!$CP$25</f>
        <v>0</v>
      </c>
      <c r="T75">
        <f t="shared" ref="T75:U75" si="85">S75+($V75-$S75)/3</f>
        <v>0</v>
      </c>
      <c r="U75">
        <f t="shared" si="85"/>
        <v>0</v>
      </c>
      <c r="V75">
        <f>'Cibles THREEME AMS'!$CQ$25</f>
        <v>0</v>
      </c>
      <c r="W75">
        <f t="shared" si="65"/>
        <v>0</v>
      </c>
      <c r="X75">
        <f>'Cibles THREEME AMS'!$CR$25</f>
        <v>0</v>
      </c>
      <c r="Y75">
        <f t="shared" si="66"/>
        <v>0</v>
      </c>
      <c r="Z75">
        <f t="shared" si="66"/>
        <v>0</v>
      </c>
      <c r="AA75">
        <f>'Cibles THREEME AMS'!$CS$25</f>
        <v>0</v>
      </c>
      <c r="AB75">
        <f t="shared" si="67"/>
        <v>0</v>
      </c>
      <c r="AC75">
        <f>'Cibles THREEME AMS'!$CT$25</f>
        <v>0</v>
      </c>
      <c r="AD75">
        <f t="shared" si="68"/>
        <v>0</v>
      </c>
      <c r="AE75">
        <f t="shared" si="68"/>
        <v>0</v>
      </c>
      <c r="AF75">
        <f t="shared" si="68"/>
        <v>0</v>
      </c>
      <c r="AG75">
        <f t="shared" si="68"/>
        <v>0</v>
      </c>
      <c r="AH75">
        <f>'Cibles THREEME AMS'!$CU$25</f>
        <v>0</v>
      </c>
      <c r="AI75">
        <f t="shared" si="69"/>
        <v>0</v>
      </c>
      <c r="AJ75">
        <f t="shared" si="69"/>
        <v>0</v>
      </c>
      <c r="AK75">
        <f t="shared" si="69"/>
        <v>0</v>
      </c>
      <c r="AL75">
        <f t="shared" si="69"/>
        <v>0</v>
      </c>
      <c r="AM75">
        <f>'Cibles THREEME AMS'!$CV$25</f>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DF930-2890-4D8E-A330-E2FCB50C5239}">
  <dimension ref="B1:AM37"/>
  <sheetViews>
    <sheetView workbookViewId="0"/>
  </sheetViews>
  <sheetFormatPr baseColWidth="10" defaultRowHeight="15" x14ac:dyDescent="0.25"/>
  <cols>
    <col min="2" max="2" width="39" customWidth="1"/>
    <col min="3" max="3" width="24.5703125" customWidth="1"/>
    <col min="4" max="8" width="12.42578125" customWidth="1"/>
    <col min="9" max="9" width="12.42578125" bestFit="1" customWidth="1"/>
    <col min="10" max="11" width="12.42578125" customWidth="1"/>
    <col min="15" max="16" width="12.42578125" customWidth="1"/>
    <col min="20" max="21" width="12.42578125" customWidth="1"/>
    <col min="25" max="26" width="12.42578125" customWidth="1"/>
  </cols>
  <sheetData>
    <row r="1" spans="2:39" x14ac:dyDescent="0.25">
      <c r="D1" t="s">
        <v>469</v>
      </c>
    </row>
    <row r="2" spans="2:39" x14ac:dyDescent="0.25">
      <c r="D2" s="557">
        <v>2015</v>
      </c>
      <c r="E2" s="557">
        <v>2016</v>
      </c>
      <c r="F2" s="557">
        <v>2017</v>
      </c>
      <c r="G2" s="557">
        <v>2018</v>
      </c>
      <c r="H2" s="557">
        <v>2019</v>
      </c>
      <c r="I2" s="557">
        <v>2020</v>
      </c>
      <c r="J2" s="557">
        <v>2021</v>
      </c>
      <c r="K2" s="557">
        <v>2022</v>
      </c>
      <c r="L2" s="557">
        <v>2023</v>
      </c>
      <c r="M2" s="557">
        <v>2024</v>
      </c>
      <c r="N2" s="557">
        <v>2025</v>
      </c>
      <c r="O2" s="557">
        <v>2026</v>
      </c>
      <c r="P2" s="557">
        <v>2027</v>
      </c>
      <c r="Q2" s="557">
        <v>2028</v>
      </c>
      <c r="R2" s="557">
        <v>2029</v>
      </c>
      <c r="S2" s="557">
        <v>2030</v>
      </c>
      <c r="T2" s="557">
        <v>2031</v>
      </c>
      <c r="U2" s="557">
        <v>2032</v>
      </c>
      <c r="V2" s="557">
        <v>2033</v>
      </c>
      <c r="W2" s="557">
        <v>2034</v>
      </c>
      <c r="X2" s="557">
        <v>2035</v>
      </c>
      <c r="Y2" s="557">
        <v>2036</v>
      </c>
      <c r="Z2" s="557">
        <v>2037</v>
      </c>
      <c r="AA2" s="557">
        <v>2038</v>
      </c>
      <c r="AB2" s="557">
        <v>2039</v>
      </c>
      <c r="AC2" s="557">
        <v>2040</v>
      </c>
      <c r="AD2" s="557">
        <v>2041</v>
      </c>
      <c r="AE2" s="557">
        <v>2042</v>
      </c>
      <c r="AF2" s="557">
        <v>2043</v>
      </c>
      <c r="AG2" s="557">
        <v>2044</v>
      </c>
      <c r="AH2" s="557">
        <v>2045</v>
      </c>
      <c r="AI2" s="557">
        <v>2046</v>
      </c>
      <c r="AJ2" s="557">
        <v>2047</v>
      </c>
      <c r="AK2" s="557">
        <v>2048</v>
      </c>
      <c r="AL2" s="557">
        <v>2049</v>
      </c>
      <c r="AM2" s="557">
        <v>2050</v>
      </c>
    </row>
    <row r="3" spans="2:39" x14ac:dyDescent="0.25">
      <c r="B3" t="s">
        <v>445</v>
      </c>
      <c r="C3" t="s">
        <v>427</v>
      </c>
      <c r="D3">
        <f>'Cibles THREEME'!AT4*11.63</f>
        <v>603.27001485963751</v>
      </c>
      <c r="E3">
        <f>D3+(I3-D3)/5</f>
        <v>585.55780627214165</v>
      </c>
      <c r="F3">
        <f>E3+(I3-D3)/5</f>
        <v>567.84559768464578</v>
      </c>
      <c r="G3">
        <f>F3+(I3-D3)/5</f>
        <v>550.13338909714992</v>
      </c>
      <c r="H3">
        <f>G3+(I3-D3)/5</f>
        <v>532.42118050965405</v>
      </c>
      <c r="I3">
        <f>'Cibles THREEME'!AU4</f>
        <v>514.70897192215841</v>
      </c>
      <c r="J3">
        <f>I3+(L3-I3)/3</f>
        <v>532.25287686225727</v>
      </c>
      <c r="K3">
        <f>J3+(L3-I3)/3</f>
        <v>549.79678180235612</v>
      </c>
      <c r="L3">
        <f>'Cibles THREEME'!AV4</f>
        <v>567.34068674245509</v>
      </c>
      <c r="M3">
        <f>(L3+N3)/2</f>
        <v>551.6124662838298</v>
      </c>
      <c r="N3">
        <f>'Cibles THREEME'!AW4</f>
        <v>535.88424582520452</v>
      </c>
      <c r="O3">
        <f>N3+(Q3-N3)/3</f>
        <v>521.64347415217833</v>
      </c>
      <c r="P3">
        <f>O3+(Q3-N3)/3</f>
        <v>507.40270247915214</v>
      </c>
      <c r="Q3">
        <f>'Cibles THREEME'!AX4</f>
        <v>493.16193080612595</v>
      </c>
      <c r="R3">
        <f>(Q3+S3)/2</f>
        <v>478.91891655568253</v>
      </c>
      <c r="S3">
        <f>'Cibles THREEME'!AY4</f>
        <v>464.67590230523911</v>
      </c>
      <c r="T3">
        <f>S3+(V3-S3)/3</f>
        <v>452.97654518442272</v>
      </c>
      <c r="U3">
        <f>T3+(V3-S3)/3</f>
        <v>441.27718806360633</v>
      </c>
      <c r="V3">
        <f>'Cibles THREEME'!AZ4</f>
        <v>429.57783094278994</v>
      </c>
      <c r="W3">
        <f>(V3+X3)/2</f>
        <v>417.87477386971705</v>
      </c>
      <c r="X3">
        <f>'Cibles THREEME'!BA4</f>
        <v>406.17171679664409</v>
      </c>
      <c r="Y3">
        <f>X3+(AA3-X3)/3</f>
        <v>396.72530685105801</v>
      </c>
      <c r="Z3">
        <f>Y3+(AA3-X3)/3</f>
        <v>387.27889690547192</v>
      </c>
      <c r="AA3">
        <f>'Cibles THREEME'!BB4</f>
        <v>377.83248695988584</v>
      </c>
      <c r="AB3">
        <f>(AA3+AC3)/2</f>
        <v>368.37971030911478</v>
      </c>
      <c r="AC3">
        <f>'Cibles THREEME'!BC4</f>
        <v>358.92693365834373</v>
      </c>
      <c r="AD3">
        <f>AC3+(AH3-AC3)/5</f>
        <v>353.26820311630064</v>
      </c>
      <c r="AE3">
        <f>AD3+(AH3-AC3)/5</f>
        <v>347.60947257425755</v>
      </c>
      <c r="AF3">
        <f>AE3+(AH3-AC3)/5</f>
        <v>341.95074203221446</v>
      </c>
      <c r="AG3">
        <f>AF3+(AH3-AC3)/5</f>
        <v>336.29201149017138</v>
      </c>
      <c r="AH3">
        <f>'Cibles THREEME'!BD4</f>
        <v>330.63328094812829</v>
      </c>
      <c r="AI3">
        <f>AH3+(AM3-AH3)/5</f>
        <v>327.89268593204145</v>
      </c>
      <c r="AJ3">
        <f>AI3+(AM3-AH3)/5</f>
        <v>325.1520909159546</v>
      </c>
      <c r="AK3">
        <f>AJ3+(AM3-AH3)/5</f>
        <v>322.41149589986776</v>
      </c>
      <c r="AL3">
        <f>AK3+(AM3-AH3)/5</f>
        <v>319.67090088378092</v>
      </c>
      <c r="AM3">
        <f>'Cibles THREEME'!BE4</f>
        <v>316.93030586769407</v>
      </c>
    </row>
    <row r="4" spans="2:39" x14ac:dyDescent="0.25">
      <c r="B4" t="s">
        <v>444</v>
      </c>
      <c r="C4" t="s">
        <v>428</v>
      </c>
      <c r="D4">
        <f>'Cibles THREEME'!AT5*11.63</f>
        <v>34.211933560999114</v>
      </c>
      <c r="E4">
        <f t="shared" ref="E4:E18" si="0">D4+(I4-D4)/5</f>
        <v>33.519817255069832</v>
      </c>
      <c r="F4">
        <f t="shared" ref="F4:F18" si="1">E4+(I4-D4)/5</f>
        <v>32.827700949140549</v>
      </c>
      <c r="G4">
        <f t="shared" ref="G4:G18" si="2">F4+(I4-D4)/5</f>
        <v>32.135584643211267</v>
      </c>
      <c r="H4">
        <f t="shared" ref="H4:H18" si="3">G4+(I4-D4)/5</f>
        <v>31.443468337281985</v>
      </c>
      <c r="I4">
        <f>'Cibles THREEME'!AU5</f>
        <v>30.751352031352695</v>
      </c>
      <c r="J4">
        <f t="shared" ref="J4:J35" si="4">I4+(L4-I4)/3</f>
        <v>33.118525426865531</v>
      </c>
      <c r="K4">
        <f t="shared" ref="K4:K35" si="5">J4+(L4-I4)/3</f>
        <v>35.485698822378367</v>
      </c>
      <c r="L4">
        <f>'Cibles THREEME'!AV5</f>
        <v>37.852872217891196</v>
      </c>
      <c r="M4">
        <f t="shared" ref="M4:M35" si="6">(L4+N4)/2</f>
        <v>38.756954126143995</v>
      </c>
      <c r="N4">
        <f>'Cibles THREEME'!AW5</f>
        <v>39.661036034396801</v>
      </c>
      <c r="O4">
        <f t="shared" ref="O4:O35" si="7">N4+(Q4-N4)/3</f>
        <v>38.422348031360912</v>
      </c>
      <c r="P4">
        <f t="shared" ref="P4:P35" si="8">O4+(Q4-N4)/3</f>
        <v>37.183660028325022</v>
      </c>
      <c r="Q4">
        <f>'Cibles THREEME'!AX5</f>
        <v>35.944972025289132</v>
      </c>
      <c r="R4">
        <f t="shared" ref="R4:R35" si="9">(Q4+S4)/2</f>
        <v>34.706284022253236</v>
      </c>
      <c r="S4">
        <f>'Cibles THREEME'!AY5</f>
        <v>33.467596019217339</v>
      </c>
      <c r="T4">
        <f t="shared" ref="T4:T35" si="10">S4+(V4-S4)/3</f>
        <v>32.429894320187373</v>
      </c>
      <c r="U4">
        <f t="shared" ref="U4:U35" si="11">T4+(V4-S4)/3</f>
        <v>31.392192621157402</v>
      </c>
      <c r="V4">
        <f>'Cibles THREEME'!AZ5</f>
        <v>30.354490922127429</v>
      </c>
      <c r="W4">
        <f t="shared" ref="W4:W35" si="12">(V4+X4)/2</f>
        <v>29.316789223097452</v>
      </c>
      <c r="X4">
        <f>'Cibles THREEME'!BA5</f>
        <v>28.279087524067478</v>
      </c>
      <c r="Y4">
        <f t="shared" ref="Y4:Y35" si="13">X4+(AA4-X4)/3</f>
        <v>27.448152407896398</v>
      </c>
      <c r="Z4">
        <f t="shared" ref="Z4:Z35" si="14">Y4+(AA4-X4)/3</f>
        <v>26.617217291725318</v>
      </c>
      <c r="AA4">
        <f>'Cibles THREEME'!BB5</f>
        <v>25.786282175554238</v>
      </c>
      <c r="AB4">
        <f t="shared" ref="AB4:AB35" si="15">(AA4+AC4)/2</f>
        <v>24.955347059383158</v>
      </c>
      <c r="AC4">
        <f>'Cibles THREEME'!BC5</f>
        <v>24.124411943212081</v>
      </c>
      <c r="AD4">
        <f t="shared" ref="AD4:AD35" si="16">AC4+(AH4-AC4)/5</f>
        <v>23.655036948197075</v>
      </c>
      <c r="AE4">
        <f t="shared" ref="AE4:AE35" si="17">AD4+(AH4-AC4)/5</f>
        <v>23.18566195318207</v>
      </c>
      <c r="AF4">
        <f t="shared" ref="AF4:AF35" si="18">AE4+(AH4-AC4)/5</f>
        <v>22.716286958167064</v>
      </c>
      <c r="AG4">
        <f t="shared" ref="AG4:AG35" si="19">AF4+(AH4-AC4)/5</f>
        <v>22.246911963152058</v>
      </c>
      <c r="AH4">
        <f>'Cibles THREEME'!BD5</f>
        <v>21.777536968137049</v>
      </c>
      <c r="AI4">
        <f t="shared" ref="AI4:AI35" si="20">AH4+(AM4-AH4)/5</f>
        <v>21.599353541182538</v>
      </c>
      <c r="AJ4">
        <f t="shared" ref="AJ4:AJ35" si="21">AI4+(AM4-AH4)/5</f>
        <v>21.421170114228026</v>
      </c>
      <c r="AK4">
        <f t="shared" ref="AK4:AK35" si="22">AJ4+(AM4-AH4)/5</f>
        <v>21.242986687273515</v>
      </c>
      <c r="AL4">
        <f t="shared" ref="AL4:AL35" si="23">AK4+(AM4-AH4)/5</f>
        <v>21.064803260319003</v>
      </c>
      <c r="AM4">
        <f>'Cibles THREEME'!BE5</f>
        <v>20.886619833364488</v>
      </c>
    </row>
    <row r="5" spans="2:39" x14ac:dyDescent="0.25">
      <c r="B5" t="s">
        <v>443</v>
      </c>
      <c r="C5" t="s">
        <v>427</v>
      </c>
      <c r="D5">
        <f>'Cibles THREEME'!AT6*11.63</f>
        <v>179.31564910308737</v>
      </c>
      <c r="E5">
        <f t="shared" si="0"/>
        <v>173.19534879576759</v>
      </c>
      <c r="F5">
        <f t="shared" si="1"/>
        <v>167.07504848844781</v>
      </c>
      <c r="G5">
        <f t="shared" si="2"/>
        <v>160.95474818112802</v>
      </c>
      <c r="H5">
        <f t="shared" si="3"/>
        <v>154.83444787380824</v>
      </c>
      <c r="I5">
        <f>'Cibles THREEME'!AU6</f>
        <v>148.71414756648849</v>
      </c>
      <c r="J5">
        <f t="shared" si="4"/>
        <v>140.48120057165832</v>
      </c>
      <c r="K5">
        <f t="shared" si="5"/>
        <v>132.24825357682815</v>
      </c>
      <c r="L5">
        <f>'Cibles THREEME'!AV6</f>
        <v>124.015306581998</v>
      </c>
      <c r="M5">
        <f t="shared" si="6"/>
        <v>123.98914391000716</v>
      </c>
      <c r="N5">
        <f>'Cibles THREEME'!AW6</f>
        <v>123.96298123801631</v>
      </c>
      <c r="O5">
        <f t="shared" si="7"/>
        <v>119.75314909434951</v>
      </c>
      <c r="P5">
        <f t="shared" si="8"/>
        <v>115.54331695068271</v>
      </c>
      <c r="Q5">
        <f>'Cibles THREEME'!AX6</f>
        <v>111.33348480701592</v>
      </c>
      <c r="R5">
        <f t="shared" si="9"/>
        <v>107.0762154199702</v>
      </c>
      <c r="S5">
        <f>'Cibles THREEME'!AY6</f>
        <v>102.81894603292447</v>
      </c>
      <c r="T5">
        <f t="shared" si="10"/>
        <v>99.893017498911576</v>
      </c>
      <c r="U5">
        <f t="shared" si="11"/>
        <v>96.967088964898679</v>
      </c>
      <c r="V5">
        <f>'Cibles THREEME'!AZ6</f>
        <v>94.041160430885782</v>
      </c>
      <c r="W5">
        <f t="shared" si="12"/>
        <v>91.092110835845119</v>
      </c>
      <c r="X5">
        <f>'Cibles THREEME'!BA6</f>
        <v>88.143061240804457</v>
      </c>
      <c r="Y5">
        <f t="shared" si="13"/>
        <v>85.461978415628167</v>
      </c>
      <c r="Z5">
        <f t="shared" si="14"/>
        <v>82.780895590451877</v>
      </c>
      <c r="AA5">
        <f>'Cibles THREEME'!BB6</f>
        <v>80.099812765275587</v>
      </c>
      <c r="AB5">
        <f t="shared" si="15"/>
        <v>77.434334838655531</v>
      </c>
      <c r="AC5">
        <f>'Cibles THREEME'!BC6</f>
        <v>74.768856912035488</v>
      </c>
      <c r="AD5">
        <f t="shared" si="16"/>
        <v>72.271234983848018</v>
      </c>
      <c r="AE5">
        <f t="shared" si="17"/>
        <v>69.773613055660547</v>
      </c>
      <c r="AF5">
        <f t="shared" si="18"/>
        <v>67.275991127473077</v>
      </c>
      <c r="AG5">
        <f t="shared" si="19"/>
        <v>64.778369199285606</v>
      </c>
      <c r="AH5">
        <f>'Cibles THREEME'!BD6</f>
        <v>62.280747271098143</v>
      </c>
      <c r="AI5">
        <f t="shared" si="20"/>
        <v>60.653500619818857</v>
      </c>
      <c r="AJ5">
        <f t="shared" si="21"/>
        <v>59.026253968539571</v>
      </c>
      <c r="AK5">
        <f t="shared" si="22"/>
        <v>57.399007317260285</v>
      </c>
      <c r="AL5">
        <f t="shared" si="23"/>
        <v>55.771760665980999</v>
      </c>
      <c r="AM5">
        <f>'Cibles THREEME'!BE6</f>
        <v>54.144514014701699</v>
      </c>
    </row>
    <row r="6" spans="2:39" x14ac:dyDescent="0.25">
      <c r="B6" t="s">
        <v>442</v>
      </c>
      <c r="C6" t="s">
        <v>428</v>
      </c>
      <c r="D6">
        <f>'Cibles THREEME'!AT7*11.63</f>
        <v>2.0791888844805011</v>
      </c>
      <c r="E6">
        <f t="shared" si="0"/>
        <v>2.2593666048228949</v>
      </c>
      <c r="F6">
        <f t="shared" si="1"/>
        <v>2.4395443251652886</v>
      </c>
      <c r="G6">
        <f t="shared" si="2"/>
        <v>2.6197220455076824</v>
      </c>
      <c r="H6">
        <f t="shared" si="3"/>
        <v>2.7998997658500762</v>
      </c>
      <c r="I6">
        <f>'Cibles THREEME'!AU7</f>
        <v>2.9800774861924699</v>
      </c>
      <c r="J6">
        <f t="shared" si="4"/>
        <v>2.9868511861847953</v>
      </c>
      <c r="K6">
        <f t="shared" si="5"/>
        <v>2.9936248861771206</v>
      </c>
      <c r="L6">
        <f>'Cibles THREEME'!AV7</f>
        <v>3.0003985861694464</v>
      </c>
      <c r="M6">
        <f t="shared" si="6"/>
        <v>3.0470401416026514</v>
      </c>
      <c r="N6">
        <f>'Cibles THREEME'!AW7</f>
        <v>3.0936816970358563</v>
      </c>
      <c r="O6">
        <f t="shared" si="7"/>
        <v>3.1346514055987651</v>
      </c>
      <c r="P6">
        <f t="shared" si="8"/>
        <v>3.1756211141616739</v>
      </c>
      <c r="Q6">
        <f>'Cibles THREEME'!AX7</f>
        <v>3.2165908227245823</v>
      </c>
      <c r="R6">
        <f t="shared" si="9"/>
        <v>3.2666504043020881</v>
      </c>
      <c r="S6">
        <f>'Cibles THREEME'!AY7</f>
        <v>3.3167099858795943</v>
      </c>
      <c r="T6">
        <f t="shared" si="10"/>
        <v>3.3744768478548881</v>
      </c>
      <c r="U6">
        <f t="shared" si="11"/>
        <v>3.4322437098301819</v>
      </c>
      <c r="V6">
        <f>'Cibles THREEME'!AZ7</f>
        <v>3.4900105718054752</v>
      </c>
      <c r="W6">
        <f t="shared" si="12"/>
        <v>3.550935079856862</v>
      </c>
      <c r="X6">
        <f>'Cibles THREEME'!BA7</f>
        <v>3.6118595879082487</v>
      </c>
      <c r="Y6">
        <f t="shared" si="13"/>
        <v>3.6746590524279528</v>
      </c>
      <c r="Z6">
        <f t="shared" si="14"/>
        <v>3.7374585169476569</v>
      </c>
      <c r="AA6">
        <f>'Cibles THREEME'!BB7</f>
        <v>3.8002579814673605</v>
      </c>
      <c r="AB6">
        <f t="shared" si="15"/>
        <v>3.8584119873638105</v>
      </c>
      <c r="AC6">
        <f>'Cibles THREEME'!BC7</f>
        <v>3.916565993260261</v>
      </c>
      <c r="AD6">
        <f t="shared" si="16"/>
        <v>3.9641439352774741</v>
      </c>
      <c r="AE6">
        <f t="shared" si="17"/>
        <v>4.0117218772946872</v>
      </c>
      <c r="AF6">
        <f t="shared" si="18"/>
        <v>4.0592998193119003</v>
      </c>
      <c r="AG6">
        <f t="shared" si="19"/>
        <v>4.1068777613291134</v>
      </c>
      <c r="AH6">
        <f>'Cibles THREEME'!BD7</f>
        <v>4.1544557033463274</v>
      </c>
      <c r="AI6">
        <f t="shared" si="20"/>
        <v>4.1775578615097659</v>
      </c>
      <c r="AJ6">
        <f t="shared" si="21"/>
        <v>4.2006600196732045</v>
      </c>
      <c r="AK6">
        <f t="shared" si="22"/>
        <v>4.223762177836643</v>
      </c>
      <c r="AL6">
        <f t="shared" si="23"/>
        <v>4.2468643360000815</v>
      </c>
      <c r="AM6">
        <f>'Cibles THREEME'!BE7</f>
        <v>4.2699664941635191</v>
      </c>
    </row>
    <row r="7" spans="2:39" x14ac:dyDescent="0.25">
      <c r="B7" t="s">
        <v>416</v>
      </c>
      <c r="C7" t="s">
        <v>429</v>
      </c>
      <c r="D7">
        <f>('Cibles THREEME'!AT19*([11]SUT!$Z$29+[11]SUT!$AA$29)/SUM([11]SUT!$W$29:$AA$29))*11.63</f>
        <v>338.84234763180768</v>
      </c>
      <c r="E7">
        <f t="shared" si="0"/>
        <v>337.73349222698715</v>
      </c>
      <c r="F7">
        <f t="shared" si="1"/>
        <v>336.62463682216662</v>
      </c>
      <c r="G7">
        <f t="shared" si="2"/>
        <v>335.51578141734609</v>
      </c>
      <c r="H7">
        <f t="shared" si="3"/>
        <v>334.40692601252556</v>
      </c>
      <c r="I7">
        <f>'Cibles THREEME'!AU19*([11]SUT!$Z$29+[11]SUT!$AA$29)/SUM([11]SUT!$W$29:$AA$29)</f>
        <v>333.29807060770497</v>
      </c>
      <c r="J7">
        <f t="shared" si="4"/>
        <v>316.08325763620445</v>
      </c>
      <c r="K7">
        <f t="shared" si="5"/>
        <v>298.86844466470393</v>
      </c>
      <c r="L7">
        <f>'Cibles THREEME'!AV19*([11]SUT!$Z$29+[11]SUT!$AA$29)/SUM([11]SUT!$W$29:$AA$29)</f>
        <v>281.65363169320335</v>
      </c>
      <c r="M7">
        <f t="shared" si="6"/>
        <v>304.65420880086572</v>
      </c>
      <c r="N7">
        <f>'Cibles THREEME'!AW19*([11]SUT!$Z$29+[11]SUT!$AA$29)/SUM([11]SUT!$W$29:$AA$29)</f>
        <v>327.65478590852803</v>
      </c>
      <c r="O7">
        <f t="shared" si="7"/>
        <v>324.03597261561265</v>
      </c>
      <c r="P7">
        <f t="shared" si="8"/>
        <v>320.41715932269727</v>
      </c>
      <c r="Q7">
        <f>'Cibles THREEME'!AX19*([11]SUT!$Z$29+[11]SUT!$AA$29)/SUM([11]SUT!$W$29:$AA$29)</f>
        <v>316.7983460297819</v>
      </c>
      <c r="R7">
        <f t="shared" si="9"/>
        <v>313.16198176498096</v>
      </c>
      <c r="S7">
        <f>'Cibles THREEME'!AY19*([11]SUT!$Z$29+[11]SUT!$AA$29)/SUM([11]SUT!$W$29:$AA$29)</f>
        <v>309.52561750018003</v>
      </c>
      <c r="T7">
        <f t="shared" si="10"/>
        <v>307.54877158040796</v>
      </c>
      <c r="U7">
        <f t="shared" si="11"/>
        <v>305.57192566063588</v>
      </c>
      <c r="V7">
        <f>'Cibles THREEME'!AZ19*([11]SUT!$Z$29+[11]SUT!$AA$29)/SUM([11]SUT!$W$29:$AA$29)</f>
        <v>303.59507974086375</v>
      </c>
      <c r="W7">
        <f t="shared" si="12"/>
        <v>301.58191417695815</v>
      </c>
      <c r="X7">
        <f>'Cibles THREEME'!BA19*([11]SUT!$Z$29+[11]SUT!$AA$29)/SUM([11]SUT!$W$29:$AA$29)</f>
        <v>299.56874861305255</v>
      </c>
      <c r="Y7">
        <f t="shared" si="13"/>
        <v>298.86052845501638</v>
      </c>
      <c r="Z7">
        <f t="shared" si="14"/>
        <v>298.15230829698021</v>
      </c>
      <c r="AA7">
        <f>'Cibles THREEME'!BB19*([11]SUT!$Z$29+[11]SUT!$AA$29)/SUM([11]SUT!$W$29:$AA$29)</f>
        <v>297.44408813894404</v>
      </c>
      <c r="AB7">
        <f t="shared" si="15"/>
        <v>296.68689875057396</v>
      </c>
      <c r="AC7">
        <f>'Cibles THREEME'!BC19*([11]SUT!$Z$29+[11]SUT!$AA$29)/SUM([11]SUT!$W$29:$AA$29)</f>
        <v>295.92970936220388</v>
      </c>
      <c r="AD7">
        <f t="shared" si="16"/>
        <v>294.31914008986314</v>
      </c>
      <c r="AE7">
        <f t="shared" si="17"/>
        <v>292.7085708175224</v>
      </c>
      <c r="AF7">
        <f t="shared" si="18"/>
        <v>291.09800154518166</v>
      </c>
      <c r="AG7">
        <f t="shared" si="19"/>
        <v>289.48743227284092</v>
      </c>
      <c r="AH7">
        <f>'Cibles THREEME'!BD19*([11]SUT!$Z$29+[11]SUT!$AA$29)/SUM([11]SUT!$W$29:$AA$29)</f>
        <v>287.87686300050007</v>
      </c>
      <c r="AI7">
        <f t="shared" si="20"/>
        <v>285.52507308272578</v>
      </c>
      <c r="AJ7">
        <f t="shared" si="21"/>
        <v>283.1732831649515</v>
      </c>
      <c r="AK7">
        <f t="shared" si="22"/>
        <v>280.82149324717722</v>
      </c>
      <c r="AL7">
        <f t="shared" si="23"/>
        <v>278.46970332940293</v>
      </c>
      <c r="AM7">
        <f>'Cibles THREEME'!BE19*([11]SUT!$Z$29+[11]SUT!$AA$29)/SUM([11]SUT!$W$29:$AA$29)</f>
        <v>276.11791341162854</v>
      </c>
    </row>
    <row r="8" spans="2:39" x14ac:dyDescent="0.25">
      <c r="B8" t="s">
        <v>417</v>
      </c>
      <c r="C8" t="s">
        <v>430</v>
      </c>
      <c r="D8">
        <f>('Cibles THREEME'!AT21+'Cibles THREEME'!AT22+'Cibles THREEME'!AT23+'Cibles THREEME'!AT24+'Cibles THREEME'!AT25+'Cibles THREEME'!AT26)*11.63</f>
        <v>57.742393690485713</v>
      </c>
      <c r="E8">
        <f t="shared" si="0"/>
        <v>58.260047135396746</v>
      </c>
      <c r="F8">
        <f t="shared" si="1"/>
        <v>58.77770058030778</v>
      </c>
      <c r="G8">
        <f t="shared" si="2"/>
        <v>59.295354025218813</v>
      </c>
      <c r="H8">
        <f t="shared" si="3"/>
        <v>59.813007470129847</v>
      </c>
      <c r="I8">
        <f>'Cibles THREEME'!AU21+'Cibles THREEME'!AU22+'Cibles THREEME'!AU23+'Cibles THREEME'!AU24+'Cibles THREEME'!AU25+'Cibles THREEME'!AU26</f>
        <v>60.33066091504088</v>
      </c>
      <c r="J8">
        <f t="shared" si="4"/>
        <v>70.613109657608604</v>
      </c>
      <c r="K8">
        <f t="shared" si="5"/>
        <v>80.895558400176327</v>
      </c>
      <c r="L8">
        <f>'Cibles THREEME'!AV21+'Cibles THREEME'!AV22+'Cibles THREEME'!AV23+'Cibles THREEME'!AV24+'Cibles THREEME'!AV25+'Cibles THREEME'!AV26</f>
        <v>91.178007142744065</v>
      </c>
      <c r="M8">
        <f t="shared" si="6"/>
        <v>77.027033101779324</v>
      </c>
      <c r="N8">
        <f>'Cibles THREEME'!AW21+'Cibles THREEME'!AW22+'Cibles THREEME'!AW23+'Cibles THREEME'!AW24+'Cibles THREEME'!AW25+'Cibles THREEME'!AW26</f>
        <v>62.876059060814569</v>
      </c>
      <c r="O8">
        <f t="shared" si="7"/>
        <v>64.910110527954927</v>
      </c>
      <c r="P8">
        <f t="shared" si="8"/>
        <v>66.944161995095286</v>
      </c>
      <c r="Q8">
        <f>'Cibles THREEME'!AX21+'Cibles THREEME'!AX22+'Cibles THREEME'!AX23+'Cibles THREEME'!AX24+'Cibles THREEME'!AX25+'Cibles THREEME'!AX26</f>
        <v>68.97821346223563</v>
      </c>
      <c r="R8">
        <f t="shared" si="9"/>
        <v>71.106164019973022</v>
      </c>
      <c r="S8">
        <f>'Cibles THREEME'!AY21+'Cibles THREEME'!AY22+'Cibles THREEME'!AY23+'Cibles THREEME'!AY24+'Cibles THREEME'!AY25+'Cibles THREEME'!AY26</f>
        <v>73.2341145777104</v>
      </c>
      <c r="T8">
        <f t="shared" si="10"/>
        <v>75.094121676498887</v>
      </c>
      <c r="U8">
        <f t="shared" si="11"/>
        <v>76.954128775287373</v>
      </c>
      <c r="V8">
        <f>'Cibles THREEME'!AZ21+'Cibles THREEME'!AZ22+'Cibles THREEME'!AZ23+'Cibles THREEME'!AZ24+'Cibles THREEME'!AZ25+'Cibles THREEME'!AZ26</f>
        <v>78.814135874075873</v>
      </c>
      <c r="W8">
        <f t="shared" si="12"/>
        <v>80.752817839346093</v>
      </c>
      <c r="X8">
        <f>'Cibles THREEME'!BA21+'Cibles THREEME'!BA22+'Cibles THREEME'!BA23+'Cibles THREEME'!BA24+'Cibles THREEME'!BA25+'Cibles THREEME'!BA26</f>
        <v>82.691499804616313</v>
      </c>
      <c r="Y8">
        <f t="shared" si="13"/>
        <v>84.013420392613369</v>
      </c>
      <c r="Z8">
        <f t="shared" si="14"/>
        <v>85.335340980610425</v>
      </c>
      <c r="AA8">
        <f>'Cibles THREEME'!BB21+'Cibles THREEME'!BB22+'Cibles THREEME'!BB23+'Cibles THREEME'!BB24+'Cibles THREEME'!BB25+'Cibles THREEME'!BB26</f>
        <v>86.657261568607495</v>
      </c>
      <c r="AB8">
        <f t="shared" si="15"/>
        <v>88.013234551021156</v>
      </c>
      <c r="AC8">
        <f>'Cibles THREEME'!BC21+'Cibles THREEME'!BC22+'Cibles THREEME'!BC23+'Cibles THREEME'!BC24+'Cibles THREEME'!BC25+'Cibles THREEME'!BC26</f>
        <v>89.369207533434803</v>
      </c>
      <c r="AD8">
        <f t="shared" si="16"/>
        <v>90.67009293394149</v>
      </c>
      <c r="AE8">
        <f t="shared" si="17"/>
        <v>91.970978334448176</v>
      </c>
      <c r="AF8">
        <f t="shared" si="18"/>
        <v>93.271863734954863</v>
      </c>
      <c r="AG8">
        <f t="shared" si="19"/>
        <v>94.572749135461549</v>
      </c>
      <c r="AH8">
        <f>'Cibles THREEME'!BD21+'Cibles THREEME'!BD22+'Cibles THREEME'!BD23+'Cibles THREEME'!BD24+'Cibles THREEME'!BD25+'Cibles THREEME'!BD26</f>
        <v>95.873634535968222</v>
      </c>
      <c r="AI8">
        <f t="shared" si="20"/>
        <v>97.509828148585896</v>
      </c>
      <c r="AJ8">
        <f t="shared" si="21"/>
        <v>99.146021761203571</v>
      </c>
      <c r="AK8">
        <f t="shared" si="22"/>
        <v>100.78221537382124</v>
      </c>
      <c r="AL8">
        <f t="shared" si="23"/>
        <v>102.41840898643892</v>
      </c>
      <c r="AM8">
        <f>'Cibles THREEME'!BE21+'Cibles THREEME'!BE22+'Cibles THREEME'!BE23+'Cibles THREEME'!BE24+'Cibles THREEME'!BE25+'Cibles THREEME'!BE26</f>
        <v>104.05460259905659</v>
      </c>
    </row>
    <row r="9" spans="2:39" x14ac:dyDescent="0.25">
      <c r="B9" t="s">
        <v>441</v>
      </c>
      <c r="C9" t="s">
        <v>440</v>
      </c>
      <c r="D9">
        <f>('Cibles THREEME'!AT19*([11]SUT!$W$29)/SUM([11]SUT!$W$29:$AA$29))*11.63</f>
        <v>4.0670350384966891</v>
      </c>
      <c r="E9">
        <f t="shared" si="0"/>
        <v>4.0537257404837623</v>
      </c>
      <c r="F9">
        <f t="shared" si="1"/>
        <v>4.0404164424708355</v>
      </c>
      <c r="G9">
        <f t="shared" si="2"/>
        <v>4.0271071444579087</v>
      </c>
      <c r="H9">
        <f t="shared" si="3"/>
        <v>4.0137978464449819</v>
      </c>
      <c r="I9">
        <f>'Cibles THREEME'!AU19*([11]SUT!$W$29)/SUM([11]SUT!$W$29:$AA$29)</f>
        <v>4.0004885484320534</v>
      </c>
      <c r="J9">
        <f t="shared" si="4"/>
        <v>3.7938637034987464</v>
      </c>
      <c r="K9">
        <f t="shared" si="5"/>
        <v>3.5872388585654393</v>
      </c>
      <c r="L9">
        <f>'Cibles THREEME'!AV19*([11]SUT!$W$29)/SUM([11]SUT!$W$29:$AA$29)</f>
        <v>3.3806140136321319</v>
      </c>
      <c r="M9">
        <f t="shared" si="6"/>
        <v>3.6566838545368889</v>
      </c>
      <c r="N9">
        <f>'Cibles THREEME'!AW19*([11]SUT!$W$29)/SUM([11]SUT!$W$29:$AA$29)</f>
        <v>3.932753695441646</v>
      </c>
      <c r="O9">
        <f t="shared" si="7"/>
        <v>3.889318037050868</v>
      </c>
      <c r="P9">
        <f t="shared" si="8"/>
        <v>3.84588237866009</v>
      </c>
      <c r="Q9">
        <f>'Cibles THREEME'!AX19*([11]SUT!$W$29)/SUM([11]SUT!$W$29:$AA$29)</f>
        <v>3.802446720269312</v>
      </c>
      <c r="R9">
        <f t="shared" si="9"/>
        <v>3.7588004022071058</v>
      </c>
      <c r="S9">
        <f>'Cibles THREEME'!AY19*([11]SUT!$W$29)/SUM([11]SUT!$W$29:$AA$29)</f>
        <v>3.7151540841448996</v>
      </c>
      <c r="T9">
        <f t="shared" si="10"/>
        <v>3.6914265256575565</v>
      </c>
      <c r="U9">
        <f t="shared" si="11"/>
        <v>3.6676989671702134</v>
      </c>
      <c r="V9">
        <f>'Cibles THREEME'!AZ19*([11]SUT!$W$29)/SUM([11]SUT!$W$29:$AA$29)</f>
        <v>3.6439714086828707</v>
      </c>
      <c r="W9">
        <f t="shared" si="12"/>
        <v>3.6198079151174323</v>
      </c>
      <c r="X9">
        <f>'Cibles THREEME'!BA19*([11]SUT!$W$29)/SUM([11]SUT!$W$29:$AA$29)</f>
        <v>3.5956444215519943</v>
      </c>
      <c r="Y9">
        <f t="shared" si="13"/>
        <v>3.5871438423952458</v>
      </c>
      <c r="Z9">
        <f t="shared" si="14"/>
        <v>3.5786432632384972</v>
      </c>
      <c r="AA9">
        <f>'Cibles THREEME'!BB19*([11]SUT!$W$29)/SUM([11]SUT!$W$29:$AA$29)</f>
        <v>3.5701426840817483</v>
      </c>
      <c r="AB9">
        <f t="shared" si="15"/>
        <v>3.5610543402109127</v>
      </c>
      <c r="AC9">
        <f>'Cibles THREEME'!BC19*([11]SUT!$W$29)/SUM([11]SUT!$W$29:$AA$29)</f>
        <v>3.5519659963400771</v>
      </c>
      <c r="AD9">
        <f t="shared" si="16"/>
        <v>3.532634759532411</v>
      </c>
      <c r="AE9">
        <f t="shared" si="17"/>
        <v>3.5133035227247449</v>
      </c>
      <c r="AF9">
        <f t="shared" si="18"/>
        <v>3.4939722859170788</v>
      </c>
      <c r="AG9">
        <f t="shared" si="19"/>
        <v>3.4746410491094126</v>
      </c>
      <c r="AH9">
        <f>'Cibles THREEME'!BD19*([11]SUT!$W$29)/SUM([11]SUT!$W$29:$AA$29)</f>
        <v>3.4553098123017474</v>
      </c>
      <c r="AI9">
        <f t="shared" si="20"/>
        <v>3.4270819002192687</v>
      </c>
      <c r="AJ9">
        <f t="shared" si="21"/>
        <v>3.3988539881367901</v>
      </c>
      <c r="AK9">
        <f t="shared" si="22"/>
        <v>3.3706260760543114</v>
      </c>
      <c r="AL9">
        <f t="shared" si="23"/>
        <v>3.3423981639718328</v>
      </c>
      <c r="AM9">
        <f>'Cibles THREEME'!BE19*([11]SUT!$W$29)/SUM([11]SUT!$W$29:$AA$29)</f>
        <v>3.3141702518893537</v>
      </c>
    </row>
    <row r="10" spans="2:39" x14ac:dyDescent="0.25">
      <c r="B10" t="s">
        <v>418</v>
      </c>
      <c r="C10" t="s">
        <v>431</v>
      </c>
      <c r="D10">
        <f>'Cibles THREEME'!AT9*11.63</f>
        <v>343.70998247594031</v>
      </c>
      <c r="E10">
        <f t="shared" si="0"/>
        <v>331.13926957390174</v>
      </c>
      <c r="F10">
        <f t="shared" si="1"/>
        <v>318.56855667186318</v>
      </c>
      <c r="G10">
        <f t="shared" si="2"/>
        <v>305.99784376982461</v>
      </c>
      <c r="H10">
        <f t="shared" si="3"/>
        <v>293.42713086778605</v>
      </c>
      <c r="I10">
        <f>'Cibles THREEME'!AU9</f>
        <v>280.85641796574743</v>
      </c>
      <c r="J10">
        <f t="shared" si="4"/>
        <v>276.4363866160175</v>
      </c>
      <c r="K10">
        <f t="shared" si="5"/>
        <v>272.01635526628758</v>
      </c>
      <c r="L10">
        <f>'Cibles THREEME'!AV9</f>
        <v>267.59632391655759</v>
      </c>
      <c r="M10">
        <f t="shared" si="6"/>
        <v>283.46587576049478</v>
      </c>
      <c r="N10">
        <f>'Cibles THREEME'!AW9</f>
        <v>299.33542760443191</v>
      </c>
      <c r="O10">
        <f t="shared" si="7"/>
        <v>298.149305271841</v>
      </c>
      <c r="P10">
        <f t="shared" si="8"/>
        <v>296.96318293925009</v>
      </c>
      <c r="Q10">
        <f>'Cibles THREEME'!AX9</f>
        <v>295.77706060665918</v>
      </c>
      <c r="R10">
        <f t="shared" si="9"/>
        <v>295.32135850150115</v>
      </c>
      <c r="S10">
        <f>'Cibles THREEME'!AY9</f>
        <v>294.86565639634313</v>
      </c>
      <c r="T10">
        <f t="shared" si="10"/>
        <v>292.04769608569677</v>
      </c>
      <c r="U10">
        <f t="shared" si="11"/>
        <v>289.22973577505041</v>
      </c>
      <c r="V10">
        <f>'Cibles THREEME'!AZ9</f>
        <v>286.41177546440406</v>
      </c>
      <c r="W10">
        <f t="shared" si="12"/>
        <v>283.24401106313439</v>
      </c>
      <c r="X10">
        <f>'Cibles THREEME'!BA9</f>
        <v>280.07624666186479</v>
      </c>
      <c r="Y10">
        <f t="shared" si="13"/>
        <v>275.76154723572819</v>
      </c>
      <c r="Z10">
        <f t="shared" si="14"/>
        <v>271.44684780959159</v>
      </c>
      <c r="AA10">
        <f>'Cibles THREEME'!BB9</f>
        <v>267.13214838345505</v>
      </c>
      <c r="AB10">
        <f t="shared" si="15"/>
        <v>262.47766118293526</v>
      </c>
      <c r="AC10">
        <f>'Cibles THREEME'!BC9</f>
        <v>257.82317398241548</v>
      </c>
      <c r="AD10">
        <f t="shared" si="16"/>
        <v>252.87833141465856</v>
      </c>
      <c r="AE10">
        <f t="shared" si="17"/>
        <v>247.93348884690164</v>
      </c>
      <c r="AF10">
        <f t="shared" si="18"/>
        <v>242.98864627914472</v>
      </c>
      <c r="AG10">
        <f t="shared" si="19"/>
        <v>238.0438037113878</v>
      </c>
      <c r="AH10">
        <f>'Cibles THREEME'!BD9</f>
        <v>233.09896114363087</v>
      </c>
      <c r="AI10">
        <f t="shared" si="20"/>
        <v>226.90586773556015</v>
      </c>
      <c r="AJ10">
        <f t="shared" si="21"/>
        <v>220.71277432748943</v>
      </c>
      <c r="AK10">
        <f t="shared" si="22"/>
        <v>214.5196809194187</v>
      </c>
      <c r="AL10">
        <f t="shared" si="23"/>
        <v>208.32658751134798</v>
      </c>
      <c r="AM10">
        <f>'Cibles THREEME'!BE9</f>
        <v>202.13349410327723</v>
      </c>
    </row>
    <row r="11" spans="2:39" x14ac:dyDescent="0.25">
      <c r="B11" t="s">
        <v>419</v>
      </c>
      <c r="C11" t="s">
        <v>432</v>
      </c>
      <c r="D11">
        <f>'Cibles THREEME'!AT10*11.63</f>
        <v>2.7137126386245818</v>
      </c>
      <c r="E11">
        <f t="shared" si="0"/>
        <v>2.4063580125199024</v>
      </c>
      <c r="F11">
        <f t="shared" si="1"/>
        <v>2.0990033864152231</v>
      </c>
      <c r="G11">
        <f t="shared" si="2"/>
        <v>1.7916487603105438</v>
      </c>
      <c r="H11">
        <f t="shared" si="3"/>
        <v>1.4842941342058644</v>
      </c>
      <c r="I11">
        <f>'Cibles THREEME'!AU10</f>
        <v>1.1769395081011844</v>
      </c>
      <c r="J11">
        <f t="shared" si="4"/>
        <v>1.6568887271483279</v>
      </c>
      <c r="K11">
        <f t="shared" si="5"/>
        <v>2.1368379461954716</v>
      </c>
      <c r="L11">
        <f>'Cibles THREEME'!AV10</f>
        <v>2.6167871652426151</v>
      </c>
      <c r="M11">
        <f t="shared" si="6"/>
        <v>2.6118865357691528</v>
      </c>
      <c r="N11">
        <f>'Cibles THREEME'!AW10</f>
        <v>2.6069859062956899</v>
      </c>
      <c r="O11">
        <f t="shared" si="7"/>
        <v>2.5807139385860083</v>
      </c>
      <c r="P11">
        <f t="shared" si="8"/>
        <v>2.5544419708763266</v>
      </c>
      <c r="Q11">
        <f>'Cibles THREEME'!AX10</f>
        <v>2.528170003166645</v>
      </c>
      <c r="R11">
        <f t="shared" si="9"/>
        <v>2.5082086905602741</v>
      </c>
      <c r="S11">
        <f>'Cibles THREEME'!AY10</f>
        <v>2.4882473779539032</v>
      </c>
      <c r="T11">
        <f t="shared" si="10"/>
        <v>2.5446896016656289</v>
      </c>
      <c r="U11">
        <f t="shared" si="11"/>
        <v>2.6011318253773545</v>
      </c>
      <c r="V11">
        <f>'Cibles THREEME'!AZ10</f>
        <v>2.6575740490890798</v>
      </c>
      <c r="W11">
        <f t="shared" si="12"/>
        <v>2.7151624937759653</v>
      </c>
      <c r="X11">
        <f>'Cibles THREEME'!BA10</f>
        <v>2.7727509384628508</v>
      </c>
      <c r="Y11">
        <f t="shared" si="13"/>
        <v>2.7653873449268924</v>
      </c>
      <c r="Z11">
        <f t="shared" si="14"/>
        <v>2.758023751390934</v>
      </c>
      <c r="AA11">
        <f>'Cibles THREEME'!BB10</f>
        <v>2.7506601578549756</v>
      </c>
      <c r="AB11">
        <f t="shared" si="15"/>
        <v>2.7414584488741816</v>
      </c>
      <c r="AC11">
        <f>'Cibles THREEME'!BC10</f>
        <v>2.7322567398933875</v>
      </c>
      <c r="AD11">
        <f t="shared" si="16"/>
        <v>2.7796223875588288</v>
      </c>
      <c r="AE11">
        <f t="shared" si="17"/>
        <v>2.8269880352242702</v>
      </c>
      <c r="AF11">
        <f t="shared" si="18"/>
        <v>2.8743536828897116</v>
      </c>
      <c r="AG11">
        <f t="shared" si="19"/>
        <v>2.921719330555153</v>
      </c>
      <c r="AH11">
        <f>'Cibles THREEME'!BD10</f>
        <v>2.9690849782205939</v>
      </c>
      <c r="AI11">
        <f t="shared" si="20"/>
        <v>2.9861916660770471</v>
      </c>
      <c r="AJ11">
        <f t="shared" si="21"/>
        <v>3.0032983539335003</v>
      </c>
      <c r="AK11">
        <f t="shared" si="22"/>
        <v>3.0204050417899535</v>
      </c>
      <c r="AL11">
        <f t="shared" si="23"/>
        <v>3.0375117296464067</v>
      </c>
      <c r="AM11">
        <f>'Cibles THREEME'!BE10</f>
        <v>3.054618417502859</v>
      </c>
    </row>
    <row r="12" spans="2:39" x14ac:dyDescent="0.25">
      <c r="B12" t="s">
        <v>420</v>
      </c>
      <c r="C12" t="s">
        <v>433</v>
      </c>
      <c r="D12">
        <f>('Cibles THREEME'!AT11+'Cibles THREEME'!AT13)*11.63</f>
        <v>17.848019232017553</v>
      </c>
      <c r="E12">
        <f t="shared" si="0"/>
        <v>19.259351222124298</v>
      </c>
      <c r="F12">
        <f t="shared" si="1"/>
        <v>20.670683212231044</v>
      </c>
      <c r="G12">
        <f t="shared" si="2"/>
        <v>22.082015202337789</v>
      </c>
      <c r="H12">
        <f t="shared" si="3"/>
        <v>23.493347192444535</v>
      </c>
      <c r="I12">
        <f>'Cibles THREEME'!AU11+'Cibles THREEME'!AU13</f>
        <v>24.904679182551273</v>
      </c>
      <c r="J12">
        <f t="shared" si="4"/>
        <v>23.696159455925354</v>
      </c>
      <c r="K12">
        <f t="shared" si="5"/>
        <v>22.487639729299435</v>
      </c>
      <c r="L12">
        <f>'Cibles THREEME'!AV11+'Cibles THREEME'!AV13</f>
        <v>21.279120002673519</v>
      </c>
      <c r="M12">
        <f t="shared" si="6"/>
        <v>14.447722163723164</v>
      </c>
      <c r="N12">
        <f>'Cibles THREEME'!AW11+'Cibles THREEME'!AW13</f>
        <v>7.6163243247728092</v>
      </c>
      <c r="O12">
        <f t="shared" si="7"/>
        <v>7.5961937490397622</v>
      </c>
      <c r="P12">
        <f t="shared" si="8"/>
        <v>7.5760631733067152</v>
      </c>
      <c r="Q12">
        <f>'Cibles THREEME'!AX11+'Cibles THREEME'!AX13</f>
        <v>7.5559325975736691</v>
      </c>
      <c r="R12">
        <f t="shared" si="9"/>
        <v>7.554160351530312</v>
      </c>
      <c r="S12">
        <f>'Cibles THREEME'!AY11+'Cibles THREEME'!AY13</f>
        <v>7.5523881054869557</v>
      </c>
      <c r="T12">
        <f t="shared" si="10"/>
        <v>7.6347800552244367</v>
      </c>
      <c r="U12">
        <f t="shared" si="11"/>
        <v>7.7171720049619177</v>
      </c>
      <c r="V12">
        <f>'Cibles THREEME'!AZ11+'Cibles THREEME'!AZ13</f>
        <v>7.7995639546993987</v>
      </c>
      <c r="W12">
        <f t="shared" si="12"/>
        <v>7.8809491126368982</v>
      </c>
      <c r="X12">
        <f>'Cibles THREEME'!BA11+'Cibles THREEME'!BA13</f>
        <v>7.9623342705743987</v>
      </c>
      <c r="Y12">
        <f t="shared" si="13"/>
        <v>8.0334460771533944</v>
      </c>
      <c r="Z12">
        <f t="shared" si="14"/>
        <v>8.1045578837323902</v>
      </c>
      <c r="AA12">
        <f>'Cibles THREEME'!BB11+'Cibles THREEME'!BB13</f>
        <v>8.1756696903113859</v>
      </c>
      <c r="AB12">
        <f t="shared" si="15"/>
        <v>8.2454201483826068</v>
      </c>
      <c r="AC12">
        <f>'Cibles THREEME'!BC11+'Cibles THREEME'!BC13</f>
        <v>8.315170606453826</v>
      </c>
      <c r="AD12">
        <f t="shared" si="16"/>
        <v>8.3681155870389592</v>
      </c>
      <c r="AE12">
        <f t="shared" si="17"/>
        <v>8.4210605676240924</v>
      </c>
      <c r="AF12">
        <f t="shared" si="18"/>
        <v>8.4740055482092256</v>
      </c>
      <c r="AG12">
        <f t="shared" si="19"/>
        <v>8.5269505287943588</v>
      </c>
      <c r="AH12">
        <f>'Cibles THREEME'!BD11+'Cibles THREEME'!BD13</f>
        <v>8.579895509379492</v>
      </c>
      <c r="AI12">
        <f t="shared" si="20"/>
        <v>11.784552191595083</v>
      </c>
      <c r="AJ12">
        <f t="shared" si="21"/>
        <v>14.989208873810671</v>
      </c>
      <c r="AK12">
        <f t="shared" si="22"/>
        <v>18.19386555602626</v>
      </c>
      <c r="AL12">
        <f t="shared" si="23"/>
        <v>21.398522238241849</v>
      </c>
      <c r="AM12">
        <f>'Cibles THREEME'!BE11+'Cibles THREEME'!BE13</f>
        <v>24.603178920457438</v>
      </c>
    </row>
    <row r="13" spans="2:39" x14ac:dyDescent="0.25">
      <c r="B13" t="s">
        <v>421</v>
      </c>
      <c r="C13" t="s">
        <v>434</v>
      </c>
      <c r="D13">
        <f>'Cibles THREEME'!AT12*11.63</f>
        <v>8.3663800724114221</v>
      </c>
      <c r="E13">
        <f t="shared" si="0"/>
        <v>7.1570541733794402</v>
      </c>
      <c r="F13">
        <f t="shared" si="1"/>
        <v>5.9477282743474582</v>
      </c>
      <c r="G13">
        <f t="shared" si="2"/>
        <v>4.7384023753154763</v>
      </c>
      <c r="H13">
        <f t="shared" si="3"/>
        <v>3.5290764762834943</v>
      </c>
      <c r="I13">
        <f>'Cibles THREEME'!AU12</f>
        <v>2.3197505772515123</v>
      </c>
      <c r="J13">
        <f t="shared" si="4"/>
        <v>2.205867816668464</v>
      </c>
      <c r="K13">
        <f t="shared" si="5"/>
        <v>2.0919850560854156</v>
      </c>
      <c r="L13">
        <f>'Cibles THREEME'!AV12</f>
        <v>1.9781022955023679</v>
      </c>
      <c r="M13">
        <f t="shared" si="6"/>
        <v>1.3301519717427388</v>
      </c>
      <c r="N13">
        <f>'Cibles THREEME'!AW12</f>
        <v>0.68220164798310978</v>
      </c>
      <c r="O13">
        <f t="shared" si="7"/>
        <v>0.68015757410345934</v>
      </c>
      <c r="P13">
        <f t="shared" si="8"/>
        <v>0.6781135002238089</v>
      </c>
      <c r="Q13">
        <f>'Cibles THREEME'!AX12</f>
        <v>0.67606942634415856</v>
      </c>
      <c r="R13">
        <f t="shared" si="9"/>
        <v>0.67566923636338583</v>
      </c>
      <c r="S13">
        <f>'Cibles THREEME'!AY12</f>
        <v>0.67526904638261309</v>
      </c>
      <c r="T13">
        <f t="shared" si="10"/>
        <v>0.68246381499749575</v>
      </c>
      <c r="U13">
        <f t="shared" si="11"/>
        <v>0.68965858361237842</v>
      </c>
      <c r="V13">
        <f>'Cibles THREEME'!AZ12</f>
        <v>0.69685335222726119</v>
      </c>
      <c r="W13">
        <f t="shared" si="12"/>
        <v>0.70394582701361863</v>
      </c>
      <c r="X13">
        <f>'Cibles THREEME'!BA12</f>
        <v>0.71103830179997607</v>
      </c>
      <c r="Y13">
        <f t="shared" si="13"/>
        <v>0.7173564098296068</v>
      </c>
      <c r="Z13">
        <f t="shared" si="14"/>
        <v>0.72367451785923753</v>
      </c>
      <c r="AA13">
        <f>'Cibles THREEME'!BB12</f>
        <v>0.72999262588886837</v>
      </c>
      <c r="AB13">
        <f t="shared" si="15"/>
        <v>0.73618758308251886</v>
      </c>
      <c r="AC13">
        <f>'Cibles THREEME'!BC12</f>
        <v>0.74238254027616946</v>
      </c>
      <c r="AD13">
        <f t="shared" si="16"/>
        <v>0.74707872683629861</v>
      </c>
      <c r="AE13">
        <f t="shared" si="17"/>
        <v>0.75177491339642777</v>
      </c>
      <c r="AF13">
        <f t="shared" si="18"/>
        <v>0.75647109995655692</v>
      </c>
      <c r="AG13">
        <f t="shared" si="19"/>
        <v>0.76116728651668608</v>
      </c>
      <c r="AH13">
        <f>'Cibles THREEME'!BD12</f>
        <v>0.76586347307681524</v>
      </c>
      <c r="AI13">
        <f t="shared" si="20"/>
        <v>0.76760075237883396</v>
      </c>
      <c r="AJ13">
        <f t="shared" si="21"/>
        <v>0.76933803168085269</v>
      </c>
      <c r="AK13">
        <f t="shared" si="22"/>
        <v>0.77107531098287141</v>
      </c>
      <c r="AL13">
        <f t="shared" si="23"/>
        <v>0.77281259028489013</v>
      </c>
      <c r="AM13">
        <f>'Cibles THREEME'!BE12</f>
        <v>0.77454986958690908</v>
      </c>
    </row>
    <row r="14" spans="2:39" x14ac:dyDescent="0.25">
      <c r="B14" t="s">
        <v>422</v>
      </c>
      <c r="C14" t="s">
        <v>435</v>
      </c>
      <c r="D14">
        <f>'Cibles THREEME'!AT14*11.63</f>
        <v>23.672640891834686</v>
      </c>
      <c r="E14">
        <f t="shared" si="0"/>
        <v>25.732294152604926</v>
      </c>
      <c r="F14">
        <f t="shared" si="1"/>
        <v>27.791947413375166</v>
      </c>
      <c r="G14">
        <f t="shared" si="2"/>
        <v>29.851600674145406</v>
      </c>
      <c r="H14">
        <f t="shared" si="3"/>
        <v>31.911253934915646</v>
      </c>
      <c r="I14">
        <f>'Cibles THREEME'!AU14</f>
        <v>33.970907195685882</v>
      </c>
      <c r="J14">
        <f t="shared" si="4"/>
        <v>35.543525356580744</v>
      </c>
      <c r="K14">
        <f t="shared" si="5"/>
        <v>37.116143517475606</v>
      </c>
      <c r="L14">
        <f>'Cibles THREEME'!AV14</f>
        <v>38.688761678370462</v>
      </c>
      <c r="M14">
        <f t="shared" si="6"/>
        <v>43.861455561857632</v>
      </c>
      <c r="N14">
        <f>'Cibles THREEME'!AW14</f>
        <v>49.034149445344802</v>
      </c>
      <c r="O14">
        <f t="shared" si="7"/>
        <v>52.287243400538202</v>
      </c>
      <c r="P14">
        <f t="shared" si="8"/>
        <v>55.540337355731602</v>
      </c>
      <c r="Q14">
        <f>'Cibles THREEME'!AX14</f>
        <v>58.793431310925001</v>
      </c>
      <c r="R14">
        <f t="shared" si="9"/>
        <v>61.049379554557774</v>
      </c>
      <c r="S14">
        <f>'Cibles THREEME'!AY14</f>
        <v>63.305327798190547</v>
      </c>
      <c r="T14">
        <f t="shared" si="10"/>
        <v>67.132120768282348</v>
      </c>
      <c r="U14">
        <f t="shared" si="11"/>
        <v>70.95891373837415</v>
      </c>
      <c r="V14">
        <f>'Cibles THREEME'!AZ14</f>
        <v>74.785706708465952</v>
      </c>
      <c r="W14">
        <f t="shared" si="12"/>
        <v>78.762983861756652</v>
      </c>
      <c r="X14">
        <f>'Cibles THREEME'!BA14</f>
        <v>82.740261015047338</v>
      </c>
      <c r="Y14">
        <f t="shared" si="13"/>
        <v>86.777236861071472</v>
      </c>
      <c r="Z14">
        <f t="shared" si="14"/>
        <v>90.814212707095606</v>
      </c>
      <c r="AA14">
        <f>'Cibles THREEME'!BB14</f>
        <v>94.851188553119727</v>
      </c>
      <c r="AB14">
        <f t="shared" si="15"/>
        <v>99.013729509471688</v>
      </c>
      <c r="AC14">
        <f>'Cibles THREEME'!BC14</f>
        <v>103.17627046582365</v>
      </c>
      <c r="AD14">
        <f t="shared" si="16"/>
        <v>107.29167002780719</v>
      </c>
      <c r="AE14">
        <f t="shared" si="17"/>
        <v>111.40706958979072</v>
      </c>
      <c r="AF14">
        <f t="shared" si="18"/>
        <v>115.52246915177426</v>
      </c>
      <c r="AG14">
        <f t="shared" si="19"/>
        <v>119.6378687137578</v>
      </c>
      <c r="AH14">
        <f>'Cibles THREEME'!BD14</f>
        <v>123.75326827574135</v>
      </c>
      <c r="AI14">
        <f t="shared" si="20"/>
        <v>127.54667983265044</v>
      </c>
      <c r="AJ14">
        <f t="shared" si="21"/>
        <v>131.34009138955952</v>
      </c>
      <c r="AK14">
        <f t="shared" si="22"/>
        <v>135.13350294646861</v>
      </c>
      <c r="AL14">
        <f t="shared" si="23"/>
        <v>138.9269145033777</v>
      </c>
      <c r="AM14">
        <f>'Cibles THREEME'!BE14</f>
        <v>142.72032606028679</v>
      </c>
    </row>
    <row r="15" spans="2:39" x14ac:dyDescent="0.25">
      <c r="B15" t="s">
        <v>423</v>
      </c>
      <c r="C15" t="s">
        <v>436</v>
      </c>
      <c r="D15">
        <f>'Cibles THREEME'!AT15*11.63</f>
        <v>10.432654239189965</v>
      </c>
      <c r="E15">
        <f t="shared" si="0"/>
        <v>11.340353993535825</v>
      </c>
      <c r="F15">
        <f t="shared" si="1"/>
        <v>12.248053747881684</v>
      </c>
      <c r="G15">
        <f t="shared" si="2"/>
        <v>13.155753502227544</v>
      </c>
      <c r="H15">
        <f t="shared" si="3"/>
        <v>14.063453256573403</v>
      </c>
      <c r="I15">
        <f>'Cibles THREEME'!AU15</f>
        <v>14.971153010919259</v>
      </c>
      <c r="J15">
        <f t="shared" si="4"/>
        <v>15.448926441757402</v>
      </c>
      <c r="K15">
        <f t="shared" si="5"/>
        <v>15.926699872595545</v>
      </c>
      <c r="L15">
        <f>'Cibles THREEME'!AV15</f>
        <v>16.40447330343369</v>
      </c>
      <c r="M15">
        <f t="shared" si="6"/>
        <v>18.211091424821394</v>
      </c>
      <c r="N15">
        <f>'Cibles THREEME'!AW15</f>
        <v>20.017709546209097</v>
      </c>
      <c r="O15">
        <f t="shared" si="7"/>
        <v>21.481231212563543</v>
      </c>
      <c r="P15">
        <f t="shared" si="8"/>
        <v>22.944752878917988</v>
      </c>
      <c r="Q15">
        <f>'Cibles THREEME'!AX15</f>
        <v>24.408274545272437</v>
      </c>
      <c r="R15">
        <f t="shared" si="9"/>
        <v>25.919783642008266</v>
      </c>
      <c r="S15">
        <f>'Cibles THREEME'!AY15</f>
        <v>27.431292738744094</v>
      </c>
      <c r="T15">
        <f t="shared" si="10"/>
        <v>31.009658584663956</v>
      </c>
      <c r="U15">
        <f t="shared" si="11"/>
        <v>34.588024430583822</v>
      </c>
      <c r="V15">
        <f>'Cibles THREEME'!AZ15</f>
        <v>38.166390276503684</v>
      </c>
      <c r="W15">
        <f t="shared" si="12"/>
        <v>41.904229096723235</v>
      </c>
      <c r="X15">
        <f>'Cibles THREEME'!BA15</f>
        <v>45.642067916942786</v>
      </c>
      <c r="Y15">
        <f t="shared" si="13"/>
        <v>49.48370491107908</v>
      </c>
      <c r="Z15">
        <f t="shared" si="14"/>
        <v>53.325341905215375</v>
      </c>
      <c r="AA15">
        <f>'Cibles THREEME'!BB15</f>
        <v>57.166978899351662</v>
      </c>
      <c r="AB15">
        <f t="shared" si="15"/>
        <v>61.144377523531816</v>
      </c>
      <c r="AC15">
        <f>'Cibles THREEME'!BC15</f>
        <v>65.121776147711969</v>
      </c>
      <c r="AD15">
        <f t="shared" si="16"/>
        <v>69.133607470764161</v>
      </c>
      <c r="AE15">
        <f t="shared" si="17"/>
        <v>73.145438793816353</v>
      </c>
      <c r="AF15">
        <f t="shared" si="18"/>
        <v>77.157270116868546</v>
      </c>
      <c r="AG15">
        <f t="shared" si="19"/>
        <v>81.169101439920738</v>
      </c>
      <c r="AH15">
        <f>'Cibles THREEME'!BD15</f>
        <v>85.180932762972901</v>
      </c>
      <c r="AI15">
        <f t="shared" si="20"/>
        <v>87.280821133137394</v>
      </c>
      <c r="AJ15">
        <f t="shared" si="21"/>
        <v>89.380709503301887</v>
      </c>
      <c r="AK15">
        <f t="shared" si="22"/>
        <v>91.48059787346638</v>
      </c>
      <c r="AL15">
        <f t="shared" si="23"/>
        <v>93.580486243630872</v>
      </c>
      <c r="AM15">
        <f>'Cibles THREEME'!BE15</f>
        <v>95.680374613795379</v>
      </c>
    </row>
    <row r="16" spans="2:39" x14ac:dyDescent="0.25">
      <c r="B16" t="s">
        <v>424</v>
      </c>
      <c r="C16" t="s">
        <v>437</v>
      </c>
      <c r="D16">
        <f>'Cibles THREEME'!AT16*11.63</f>
        <v>28.926904935935813</v>
      </c>
      <c r="E16">
        <f t="shared" si="0"/>
        <v>31.44370880025842</v>
      </c>
      <c r="F16">
        <f t="shared" si="1"/>
        <v>33.960512664581032</v>
      </c>
      <c r="G16">
        <f t="shared" si="2"/>
        <v>36.477316528903643</v>
      </c>
      <c r="H16">
        <f t="shared" si="3"/>
        <v>38.994120393226254</v>
      </c>
      <c r="I16">
        <f>'Cibles THREEME'!AU16</f>
        <v>41.510924257548858</v>
      </c>
      <c r="J16">
        <f t="shared" si="4"/>
        <v>43.228089475453004</v>
      </c>
      <c r="K16">
        <f t="shared" si="5"/>
        <v>44.94525469335715</v>
      </c>
      <c r="L16">
        <f>'Cibles THREEME'!AV16</f>
        <v>46.662419911261296</v>
      </c>
      <c r="M16">
        <f t="shared" si="6"/>
        <v>46.813523077145163</v>
      </c>
      <c r="N16">
        <f>'Cibles THREEME'!AW16</f>
        <v>46.964626243029031</v>
      </c>
      <c r="O16">
        <f t="shared" si="7"/>
        <v>46.819175279327887</v>
      </c>
      <c r="P16">
        <f t="shared" si="8"/>
        <v>46.673724315626743</v>
      </c>
      <c r="Q16">
        <f>'Cibles THREEME'!AX16</f>
        <v>46.528273351925591</v>
      </c>
      <c r="R16">
        <f t="shared" si="9"/>
        <v>46.504537468509881</v>
      </c>
      <c r="S16">
        <f>'Cibles THREEME'!AY16</f>
        <v>46.48080158509417</v>
      </c>
      <c r="T16">
        <f t="shared" si="10"/>
        <v>46.955306727968988</v>
      </c>
      <c r="U16">
        <f t="shared" si="11"/>
        <v>47.429811870843807</v>
      </c>
      <c r="V16">
        <f>'Cibles THREEME'!AZ16</f>
        <v>47.904317013718618</v>
      </c>
      <c r="W16">
        <f t="shared" si="12"/>
        <v>48.374668532591855</v>
      </c>
      <c r="X16">
        <f>'Cibles THREEME'!BA16</f>
        <v>48.845020051465099</v>
      </c>
      <c r="Y16">
        <f t="shared" si="13"/>
        <v>49.264427701266257</v>
      </c>
      <c r="Z16">
        <f t="shared" si="14"/>
        <v>49.683835351067415</v>
      </c>
      <c r="AA16">
        <f>'Cibles THREEME'!BB16</f>
        <v>50.103243000868567</v>
      </c>
      <c r="AB16">
        <f t="shared" si="15"/>
        <v>50.515905763321655</v>
      </c>
      <c r="AC16">
        <f>'Cibles THREEME'!BC16</f>
        <v>50.928568525774743</v>
      </c>
      <c r="AD16">
        <f t="shared" si="16"/>
        <v>51.239899060097265</v>
      </c>
      <c r="AE16">
        <f t="shared" si="17"/>
        <v>51.551229594419787</v>
      </c>
      <c r="AF16">
        <f t="shared" si="18"/>
        <v>51.862560128742309</v>
      </c>
      <c r="AG16">
        <f t="shared" si="19"/>
        <v>52.173890663064832</v>
      </c>
      <c r="AH16">
        <f>'Cibles THREEME'!BD16</f>
        <v>52.485221197387347</v>
      </c>
      <c r="AI16">
        <f t="shared" si="20"/>
        <v>52.600000324167183</v>
      </c>
      <c r="AJ16">
        <f t="shared" si="21"/>
        <v>52.71477945094702</v>
      </c>
      <c r="AK16">
        <f t="shared" si="22"/>
        <v>52.829558577726857</v>
      </c>
      <c r="AL16">
        <f t="shared" si="23"/>
        <v>52.944337704506694</v>
      </c>
      <c r="AM16">
        <f>'Cibles THREEME'!BE16</f>
        <v>53.059116831286531</v>
      </c>
    </row>
    <row r="17" spans="2:39" x14ac:dyDescent="0.25">
      <c r="B17" t="s">
        <v>425</v>
      </c>
      <c r="C17" t="s">
        <v>438</v>
      </c>
      <c r="D17">
        <f>'Cibles THREEME'!AT25*11.63</f>
        <v>13.988145434243236</v>
      </c>
      <c r="E17">
        <f t="shared" si="0"/>
        <v>11.192516347394589</v>
      </c>
      <c r="F17">
        <f t="shared" si="1"/>
        <v>8.3968872605459417</v>
      </c>
      <c r="G17">
        <f t="shared" si="2"/>
        <v>5.6012581736972944</v>
      </c>
      <c r="H17">
        <f t="shared" si="3"/>
        <v>2.8056290868486471</v>
      </c>
      <c r="I17">
        <f>'Cibles THREEME'!AU25</f>
        <v>0.01</v>
      </c>
      <c r="J17">
        <f t="shared" si="4"/>
        <v>0.01</v>
      </c>
      <c r="K17">
        <f t="shared" si="5"/>
        <v>0.01</v>
      </c>
      <c r="L17">
        <f>'Cibles THREEME'!AV25</f>
        <v>0.01</v>
      </c>
      <c r="M17">
        <f t="shared" si="6"/>
        <v>0.01</v>
      </c>
      <c r="N17">
        <f>'Cibles THREEME'!AW25</f>
        <v>0.01</v>
      </c>
      <c r="O17">
        <f t="shared" si="7"/>
        <v>0.01</v>
      </c>
      <c r="P17">
        <f t="shared" si="8"/>
        <v>0.01</v>
      </c>
      <c r="Q17">
        <f>'Cibles THREEME'!AX25</f>
        <v>0.01</v>
      </c>
      <c r="R17">
        <f t="shared" si="9"/>
        <v>0.01</v>
      </c>
      <c r="S17">
        <f>'Cibles THREEME'!AY25</f>
        <v>0.01</v>
      </c>
      <c r="T17">
        <f t="shared" si="10"/>
        <v>0.01</v>
      </c>
      <c r="U17">
        <f t="shared" si="11"/>
        <v>0.01</v>
      </c>
      <c r="V17">
        <f>'Cibles THREEME'!AZ25</f>
        <v>0.01</v>
      </c>
      <c r="W17">
        <f t="shared" si="12"/>
        <v>0.01</v>
      </c>
      <c r="X17">
        <f>'Cibles THREEME'!BA25</f>
        <v>0.01</v>
      </c>
      <c r="Y17">
        <f t="shared" si="13"/>
        <v>0.01</v>
      </c>
      <c r="Z17">
        <f t="shared" si="14"/>
        <v>0.01</v>
      </c>
      <c r="AA17">
        <f>'Cibles THREEME'!BB25</f>
        <v>0.01</v>
      </c>
      <c r="AB17">
        <f t="shared" si="15"/>
        <v>0.01</v>
      </c>
      <c r="AC17">
        <f>'Cibles THREEME'!BC25</f>
        <v>0.01</v>
      </c>
      <c r="AD17">
        <f t="shared" si="16"/>
        <v>0.01</v>
      </c>
      <c r="AE17">
        <f t="shared" si="17"/>
        <v>0.01</v>
      </c>
      <c r="AF17">
        <f t="shared" si="18"/>
        <v>0.01</v>
      </c>
      <c r="AG17">
        <f t="shared" si="19"/>
        <v>0.01</v>
      </c>
      <c r="AH17">
        <f>'Cibles THREEME'!BD25</f>
        <v>0.01</v>
      </c>
      <c r="AI17">
        <f t="shared" si="20"/>
        <v>0.01</v>
      </c>
      <c r="AJ17">
        <f t="shared" si="21"/>
        <v>0.01</v>
      </c>
      <c r="AK17">
        <f t="shared" si="22"/>
        <v>0.01</v>
      </c>
      <c r="AL17">
        <f t="shared" si="23"/>
        <v>0.01</v>
      </c>
      <c r="AM17">
        <f>'Cibles THREEME'!BE25</f>
        <v>0.01</v>
      </c>
    </row>
    <row r="18" spans="2:39" x14ac:dyDescent="0.25">
      <c r="B18" t="s">
        <v>426</v>
      </c>
      <c r="C18" t="s">
        <v>439</v>
      </c>
      <c r="D18">
        <f>+'Cibles THREEME'!AT17*11.63</f>
        <v>7.2293465153884249</v>
      </c>
      <c r="E18">
        <f t="shared" si="0"/>
        <v>6.7703363919093897</v>
      </c>
      <c r="F18">
        <f t="shared" si="1"/>
        <v>6.3113262684303546</v>
      </c>
      <c r="G18">
        <f t="shared" si="2"/>
        <v>5.8523161449513195</v>
      </c>
      <c r="H18">
        <f t="shared" si="3"/>
        <v>5.3933060214722843</v>
      </c>
      <c r="I18">
        <f>+'Cibles THREEME'!AU17</f>
        <v>4.9342958979932492</v>
      </c>
      <c r="J18">
        <f t="shared" si="4"/>
        <v>5.1671082345478849</v>
      </c>
      <c r="K18">
        <f t="shared" si="5"/>
        <v>5.3999205711025207</v>
      </c>
      <c r="L18">
        <f>+'Cibles THREEME'!AV17</f>
        <v>5.6327329076571555</v>
      </c>
      <c r="M18">
        <f t="shared" si="6"/>
        <v>7.7786145478446835</v>
      </c>
      <c r="N18">
        <f>+'Cibles THREEME'!AW17</f>
        <v>9.9244961880322116</v>
      </c>
      <c r="O18">
        <f t="shared" si="7"/>
        <v>10.316123993623863</v>
      </c>
      <c r="P18">
        <f t="shared" si="8"/>
        <v>10.707751799215515</v>
      </c>
      <c r="Q18">
        <f>+'Cibles THREEME'!AX17</f>
        <v>11.099379604807165</v>
      </c>
      <c r="R18">
        <f t="shared" si="9"/>
        <v>11.505588085338676</v>
      </c>
      <c r="S18">
        <f>+'Cibles THREEME'!AY17</f>
        <v>11.911796565870185</v>
      </c>
      <c r="T18">
        <f t="shared" si="10"/>
        <v>12.13381317835734</v>
      </c>
      <c r="U18">
        <f t="shared" si="11"/>
        <v>12.355829790844494</v>
      </c>
      <c r="V18">
        <f>+'Cibles THREEME'!AZ17</f>
        <v>12.577846403331648</v>
      </c>
      <c r="W18">
        <f t="shared" si="12"/>
        <v>12.804712105659393</v>
      </c>
      <c r="X18">
        <f>+'Cibles THREEME'!BA17</f>
        <v>13.031577807987137</v>
      </c>
      <c r="Y18">
        <f t="shared" si="13"/>
        <v>13.882229593615756</v>
      </c>
      <c r="Z18">
        <f t="shared" si="14"/>
        <v>14.732881379244375</v>
      </c>
      <c r="AA18">
        <f>+'Cibles THREEME'!BB17</f>
        <v>15.583533164872994</v>
      </c>
      <c r="AB18">
        <f t="shared" si="15"/>
        <v>16.465706735899889</v>
      </c>
      <c r="AC18">
        <f>+'Cibles THREEME'!BC17</f>
        <v>17.347880306926783</v>
      </c>
      <c r="AD18">
        <f t="shared" si="16"/>
        <v>17.596935855302011</v>
      </c>
      <c r="AE18">
        <f t="shared" si="17"/>
        <v>17.845991403677239</v>
      </c>
      <c r="AF18">
        <f t="shared" si="18"/>
        <v>18.095046952052467</v>
      </c>
      <c r="AG18">
        <f t="shared" si="19"/>
        <v>18.344102500427695</v>
      </c>
      <c r="AH18">
        <f>+'Cibles THREEME'!BD17</f>
        <v>18.593158048802927</v>
      </c>
      <c r="AI18">
        <f t="shared" si="20"/>
        <v>18.850834395855191</v>
      </c>
      <c r="AJ18">
        <f t="shared" si="21"/>
        <v>19.108510742907455</v>
      </c>
      <c r="AK18">
        <f t="shared" si="22"/>
        <v>19.36618708995972</v>
      </c>
      <c r="AL18">
        <f t="shared" si="23"/>
        <v>19.623863437011984</v>
      </c>
      <c r="AM18">
        <f>+'Cibles THREEME'!BE17</f>
        <v>19.881539784064241</v>
      </c>
    </row>
    <row r="19" spans="2:39" x14ac:dyDescent="0.25">
      <c r="D19" s="578">
        <f>SUM(D3:D18)-('Cibles THREEME'!AT2-'Cibles THREEME'!AT27-'Cibles THREEME'!AT20)*11.63</f>
        <v>13.988145434243506</v>
      </c>
      <c r="E19" s="578"/>
      <c r="F19" s="578"/>
      <c r="G19" s="578"/>
      <c r="H19" s="578"/>
      <c r="I19" s="578">
        <f>SUM(I3:I18)-'Cibles THREEME'!AU2+'Cibles THREEME'!AU27+'Cibles THREEME'!AU20</f>
        <v>9.9999999999909051E-3</v>
      </c>
      <c r="L19" s="578">
        <f>SUM(L3:L18)-'Cibles THREEME'!AV2+'Cibles THREEME'!AV27+'Cibles THREEME'!AV20</f>
        <v>9.9999999999909051E-3</v>
      </c>
      <c r="N19" s="578">
        <f>SUM(N3:N18)-'Cibles THREEME'!AW2+'Cibles THREEME'!AW27+'Cibles THREEME'!AW20</f>
        <v>1.0000000000275122E-2</v>
      </c>
      <c r="Q19" s="578">
        <f>SUM(Q3:Q18)-'Cibles THREEME'!AX2+'Cibles THREEME'!AX27+'Cibles THREEME'!AX20</f>
        <v>1.0000000000047748E-2</v>
      </c>
      <c r="S19" s="578">
        <f>SUM(S3:S18)-'Cibles THREEME'!AY2+'Cibles THREEME'!AY27+'Cibles THREEME'!AY20</f>
        <v>1.000000000023249E-2</v>
      </c>
      <c r="V19" s="578">
        <f>SUM(V3:V18)-'Cibles THREEME'!AZ2+'Cibles THREEME'!AZ27+'Cibles THREEME'!AZ20</f>
        <v>1.0000000000033538E-2</v>
      </c>
      <c r="X19" s="578">
        <f>SUM(X3:X18)-'Cibles THREEME'!BA2+'Cibles THREEME'!BA27+'Cibles THREEME'!BA20</f>
        <v>1.0000000000289333E-2</v>
      </c>
      <c r="AA19" s="578">
        <f>SUM(AA3:AA18)-'Cibles THREEME'!BB2+'Cibles THREEME'!BB27+'Cibles THREEME'!BB20</f>
        <v>9.9999999999624833E-3</v>
      </c>
      <c r="AC19" s="578">
        <f>SUM(AC3:AC18)-'Cibles THREEME'!BC2+'Cibles THREEME'!BC27+'Cibles THREEME'!BC20</f>
        <v>9.9999999997493205E-3</v>
      </c>
      <c r="AH19" s="578">
        <f>SUM(AH3:AH18)-'Cibles THREEME'!BD2+'Cibles THREEME'!BD27+'Cibles THREEME'!BD20</f>
        <v>9.9999999997635314E-3</v>
      </c>
      <c r="AM19" s="578">
        <f>SUM(AM3:AM18)-'Cibles THREEME'!BE2+'Cibles THREEME'!BE27+'Cibles THREEME'!BE20</f>
        <v>1.00000000002467E-2</v>
      </c>
    </row>
    <row r="20" spans="2:39" x14ac:dyDescent="0.25">
      <c r="B20" t="s">
        <v>445</v>
      </c>
      <c r="C20" t="s">
        <v>466</v>
      </c>
      <c r="D20">
        <f>D3/SUM(D$3:D$4)</f>
        <v>0.94633270221100496</v>
      </c>
      <c r="E20">
        <f t="shared" ref="E20:H20" si="24">E3/SUM(E$3:E$4)</f>
        <v>0.94585522722645055</v>
      </c>
      <c r="F20">
        <f t="shared" si="24"/>
        <v>0.94534849305969459</v>
      </c>
      <c r="G20">
        <f t="shared" si="24"/>
        <v>0.94480972524299267</v>
      </c>
      <c r="H20">
        <f t="shared" si="24"/>
        <v>0.94423578707836775</v>
      </c>
      <c r="I20">
        <f>I3/SUM(I$3:I$4)</f>
        <v>0.94362311852773073</v>
      </c>
      <c r="J20">
        <f t="shared" si="4"/>
        <v>0.94156650560815647</v>
      </c>
      <c r="K20">
        <f t="shared" si="5"/>
        <v>0.9395098926885822</v>
      </c>
      <c r="L20">
        <f t="shared" ref="L20:AM20" si="25">L3/SUM(L$3:L$4)</f>
        <v>0.93745327976900783</v>
      </c>
      <c r="M20">
        <f t="shared" si="6"/>
        <v>0.93427145687418456</v>
      </c>
      <c r="N20">
        <f t="shared" si="25"/>
        <v>0.93108963397936129</v>
      </c>
      <c r="O20">
        <f t="shared" si="7"/>
        <v>0.93141469640065344</v>
      </c>
      <c r="P20">
        <f t="shared" si="8"/>
        <v>0.9317397588219456</v>
      </c>
      <c r="Q20">
        <f t="shared" si="25"/>
        <v>0.93206482124323764</v>
      </c>
      <c r="R20">
        <f t="shared" si="9"/>
        <v>0.93244008618921315</v>
      </c>
      <c r="S20">
        <f t="shared" si="25"/>
        <v>0.93281535113518865</v>
      </c>
      <c r="T20">
        <f t="shared" si="10"/>
        <v>0.93321098950630887</v>
      </c>
      <c r="U20">
        <f t="shared" si="11"/>
        <v>0.9336066278774291</v>
      </c>
      <c r="V20">
        <f t="shared" si="25"/>
        <v>0.93400226624854921</v>
      </c>
      <c r="W20">
        <f t="shared" si="12"/>
        <v>0.93445534515147588</v>
      </c>
      <c r="X20">
        <f t="shared" si="25"/>
        <v>0.93490842405440266</v>
      </c>
      <c r="Y20">
        <f t="shared" si="13"/>
        <v>0.9353097099755493</v>
      </c>
      <c r="Z20">
        <f t="shared" si="14"/>
        <v>0.93571099589669593</v>
      </c>
      <c r="AA20">
        <f t="shared" si="25"/>
        <v>0.93611228181784267</v>
      </c>
      <c r="AB20">
        <f t="shared" si="15"/>
        <v>0.93656635211138251</v>
      </c>
      <c r="AC20">
        <f t="shared" si="25"/>
        <v>0.93702042240492245</v>
      </c>
      <c r="AD20">
        <f t="shared" si="16"/>
        <v>0.93725716172333029</v>
      </c>
      <c r="AE20">
        <f t="shared" si="17"/>
        <v>0.93749390104173813</v>
      </c>
      <c r="AF20">
        <f t="shared" si="18"/>
        <v>0.93773064036014597</v>
      </c>
      <c r="AG20">
        <f t="shared" si="19"/>
        <v>0.93796737967855381</v>
      </c>
      <c r="AH20">
        <f t="shared" si="25"/>
        <v>0.93820411899696143</v>
      </c>
      <c r="AI20">
        <f t="shared" si="20"/>
        <v>0.93819765082375972</v>
      </c>
      <c r="AJ20">
        <f t="shared" si="21"/>
        <v>0.93819118265055801</v>
      </c>
      <c r="AK20">
        <f t="shared" si="22"/>
        <v>0.9381847144773563</v>
      </c>
      <c r="AL20">
        <f t="shared" si="23"/>
        <v>0.93817824630415458</v>
      </c>
      <c r="AM20">
        <f t="shared" si="25"/>
        <v>0.93817177813095276</v>
      </c>
    </row>
    <row r="21" spans="2:39" x14ac:dyDescent="0.25">
      <c r="B21" t="s">
        <v>444</v>
      </c>
      <c r="C21" t="s">
        <v>465</v>
      </c>
      <c r="D21">
        <f>D4/SUM(D$3:D$4)</f>
        <v>5.3667297788995087E-2</v>
      </c>
      <c r="E21">
        <f t="shared" ref="E21:H21" si="26">E4/SUM(E$3:E$4)</f>
        <v>5.4144772773549413E-2</v>
      </c>
      <c r="F21">
        <f t="shared" si="26"/>
        <v>5.4651506940305461E-2</v>
      </c>
      <c r="G21">
        <f t="shared" si="26"/>
        <v>5.5190274757007413E-2</v>
      </c>
      <c r="H21">
        <f t="shared" si="26"/>
        <v>5.5764212921632327E-2</v>
      </c>
      <c r="I21">
        <f>I4/SUM(I$3:I$4)</f>
        <v>5.6376881472269276E-2</v>
      </c>
      <c r="J21">
        <f t="shared" si="4"/>
        <v>5.8433494391843546E-2</v>
      </c>
      <c r="K21">
        <f t="shared" si="5"/>
        <v>6.0490107311417816E-2</v>
      </c>
      <c r="L21">
        <f t="shared" ref="L21:AM21" si="27">L4/SUM(L$3:L$4)</f>
        <v>6.2546720230992087E-2</v>
      </c>
      <c r="M21">
        <f t="shared" si="6"/>
        <v>6.57285431258154E-2</v>
      </c>
      <c r="N21">
        <f t="shared" si="27"/>
        <v>6.8910366020638714E-2</v>
      </c>
      <c r="O21">
        <f t="shared" si="7"/>
        <v>6.8585303599346628E-2</v>
      </c>
      <c r="P21">
        <f t="shared" si="8"/>
        <v>6.8260241178054543E-2</v>
      </c>
      <c r="Q21">
        <f t="shared" si="27"/>
        <v>6.7935178756762471E-2</v>
      </c>
      <c r="R21">
        <f t="shared" si="9"/>
        <v>6.7559913810786909E-2</v>
      </c>
      <c r="S21">
        <f t="shared" si="27"/>
        <v>6.7184648864811333E-2</v>
      </c>
      <c r="T21">
        <f t="shared" si="10"/>
        <v>6.6789010493691181E-2</v>
      </c>
      <c r="U21">
        <f t="shared" si="11"/>
        <v>6.6393372122571029E-2</v>
      </c>
      <c r="V21">
        <f t="shared" si="27"/>
        <v>6.599773375145089E-2</v>
      </c>
      <c r="W21">
        <f t="shared" si="12"/>
        <v>6.5544654848524148E-2</v>
      </c>
      <c r="X21">
        <f t="shared" si="27"/>
        <v>6.5091575945597419E-2</v>
      </c>
      <c r="Y21">
        <f t="shared" si="13"/>
        <v>6.4690290024450744E-2</v>
      </c>
      <c r="Z21">
        <f t="shared" si="14"/>
        <v>6.428900410330407E-2</v>
      </c>
      <c r="AA21">
        <f t="shared" si="27"/>
        <v>6.3887718182157383E-2</v>
      </c>
      <c r="AB21">
        <f t="shared" si="15"/>
        <v>6.3433647888617509E-2</v>
      </c>
      <c r="AC21">
        <f t="shared" si="27"/>
        <v>6.2979577595077635E-2</v>
      </c>
      <c r="AD21">
        <f t="shared" si="16"/>
        <v>6.2742838276669835E-2</v>
      </c>
      <c r="AE21">
        <f t="shared" si="17"/>
        <v>6.2506098958262035E-2</v>
      </c>
      <c r="AF21">
        <f t="shared" si="18"/>
        <v>6.2269359639854235E-2</v>
      </c>
      <c r="AG21">
        <f t="shared" si="19"/>
        <v>6.2032620321446436E-2</v>
      </c>
      <c r="AH21">
        <f t="shared" si="27"/>
        <v>6.1795881003038636E-2</v>
      </c>
      <c r="AI21">
        <f t="shared" si="20"/>
        <v>6.1802349176240355E-2</v>
      </c>
      <c r="AJ21">
        <f t="shared" si="21"/>
        <v>6.1808817349442075E-2</v>
      </c>
      <c r="AK21">
        <f t="shared" si="22"/>
        <v>6.1815285522643794E-2</v>
      </c>
      <c r="AL21">
        <f t="shared" si="23"/>
        <v>6.1821753695845513E-2</v>
      </c>
      <c r="AM21">
        <f t="shared" si="27"/>
        <v>6.1828221869047219E-2</v>
      </c>
    </row>
    <row r="22" spans="2:39" x14ac:dyDescent="0.25">
      <c r="B22" t="s">
        <v>443</v>
      </c>
      <c r="C22" t="s">
        <v>468</v>
      </c>
      <c r="D22">
        <f>D5/SUM(D$5:D$6)</f>
        <v>0.98853777258742614</v>
      </c>
      <c r="E22">
        <f t="shared" ref="E22:H22" si="28">E5/SUM(E$5:E$6)</f>
        <v>0.98712279348170029</v>
      </c>
      <c r="F22">
        <f t="shared" si="28"/>
        <v>0.98560864711011842</v>
      </c>
      <c r="G22">
        <f t="shared" si="28"/>
        <v>0.98398452984822149</v>
      </c>
      <c r="H22">
        <f t="shared" si="28"/>
        <v>0.98223800962306473</v>
      </c>
      <c r="I22">
        <f>I5/SUM(I$5:I$6)</f>
        <v>0.98035470707498895</v>
      </c>
      <c r="J22">
        <f t="shared" si="4"/>
        <v>0.97902904987536632</v>
      </c>
      <c r="K22">
        <f t="shared" si="5"/>
        <v>0.97770339267574369</v>
      </c>
      <c r="L22">
        <f t="shared" ref="L22:AM22" si="29">L5/SUM(L$5:L$6)</f>
        <v>0.97637773547612117</v>
      </c>
      <c r="M22">
        <f t="shared" si="6"/>
        <v>0.97601445033416079</v>
      </c>
      <c r="N22">
        <f t="shared" si="29"/>
        <v>0.97565116519220041</v>
      </c>
      <c r="O22">
        <f t="shared" si="7"/>
        <v>0.97440737158884894</v>
      </c>
      <c r="P22">
        <f t="shared" si="8"/>
        <v>0.97316357798549746</v>
      </c>
      <c r="Q22">
        <f t="shared" si="29"/>
        <v>0.9719197843821461</v>
      </c>
      <c r="R22">
        <f t="shared" si="9"/>
        <v>0.97033503005571309</v>
      </c>
      <c r="S22">
        <f t="shared" si="29"/>
        <v>0.96875027572928007</v>
      </c>
      <c r="T22">
        <f t="shared" si="10"/>
        <v>0.96723900377514505</v>
      </c>
      <c r="U22">
        <f t="shared" si="11"/>
        <v>0.96572773182101002</v>
      </c>
      <c r="V22">
        <f t="shared" si="29"/>
        <v>0.9642164598668751</v>
      </c>
      <c r="W22">
        <f t="shared" si="12"/>
        <v>0.96242612702665808</v>
      </c>
      <c r="X22">
        <f t="shared" si="29"/>
        <v>0.96063579418644118</v>
      </c>
      <c r="Y22">
        <f t="shared" si="13"/>
        <v>0.9586588457985491</v>
      </c>
      <c r="Z22">
        <f t="shared" si="14"/>
        <v>0.95668189741065701</v>
      </c>
      <c r="AA22">
        <f t="shared" si="29"/>
        <v>0.95470494902276493</v>
      </c>
      <c r="AB22">
        <f t="shared" si="15"/>
        <v>0.95246498043275141</v>
      </c>
      <c r="AC22">
        <f t="shared" si="29"/>
        <v>0.95022501184273778</v>
      </c>
      <c r="AD22">
        <f t="shared" si="16"/>
        <v>0.94767321934684035</v>
      </c>
      <c r="AE22">
        <f t="shared" si="17"/>
        <v>0.94512142685094291</v>
      </c>
      <c r="AF22">
        <f t="shared" si="18"/>
        <v>0.94256963435504548</v>
      </c>
      <c r="AG22">
        <f t="shared" si="19"/>
        <v>0.94001784185914805</v>
      </c>
      <c r="AH22">
        <f t="shared" si="29"/>
        <v>0.93746604936325084</v>
      </c>
      <c r="AI22">
        <f t="shared" si="20"/>
        <v>0.93535329153959046</v>
      </c>
      <c r="AJ22">
        <f t="shared" si="21"/>
        <v>0.93324053371593008</v>
      </c>
      <c r="AK22">
        <f t="shared" si="22"/>
        <v>0.93112777589226969</v>
      </c>
      <c r="AL22">
        <f t="shared" si="23"/>
        <v>0.92901501806860931</v>
      </c>
      <c r="AM22">
        <f t="shared" si="29"/>
        <v>0.92690226024494915</v>
      </c>
    </row>
    <row r="23" spans="2:39" x14ac:dyDescent="0.25">
      <c r="B23" t="s">
        <v>442</v>
      </c>
      <c r="C23" t="s">
        <v>467</v>
      </c>
      <c r="D23">
        <f>D6/SUM(D$5:D$6)</f>
        <v>1.1462227412573897E-2</v>
      </c>
      <c r="E23">
        <f t="shared" ref="E23:H23" si="30">E6/SUM(E$5:E$6)</f>
        <v>1.2877206518299655E-2</v>
      </c>
      <c r="F23">
        <f t="shared" si="30"/>
        <v>1.4391352889881571E-2</v>
      </c>
      <c r="G23">
        <f t="shared" si="30"/>
        <v>1.6015470151778607E-2</v>
      </c>
      <c r="H23">
        <f t="shared" si="30"/>
        <v>1.7761990376935245E-2</v>
      </c>
      <c r="I23">
        <f>I6/SUM(I$5:I$6)</f>
        <v>1.9645292925011066E-2</v>
      </c>
      <c r="J23">
        <f t="shared" si="4"/>
        <v>2.0970950124633632E-2</v>
      </c>
      <c r="K23">
        <f t="shared" si="5"/>
        <v>2.2296607324256198E-2</v>
      </c>
      <c r="L23">
        <f t="shared" ref="L23:AM23" si="31">L6/SUM(L$5:L$6)</f>
        <v>2.362226452387876E-2</v>
      </c>
      <c r="M23">
        <f t="shared" si="6"/>
        <v>2.3985549665839167E-2</v>
      </c>
      <c r="N23">
        <f t="shared" si="31"/>
        <v>2.4348834807799574E-2</v>
      </c>
      <c r="O23">
        <f t="shared" si="7"/>
        <v>2.5592628411151008E-2</v>
      </c>
      <c r="P23">
        <f t="shared" si="8"/>
        <v>2.6836422014502443E-2</v>
      </c>
      <c r="Q23">
        <f t="shared" si="31"/>
        <v>2.8080215617853878E-2</v>
      </c>
      <c r="R23">
        <f t="shared" si="9"/>
        <v>2.9664969944286863E-2</v>
      </c>
      <c r="S23">
        <f t="shared" si="31"/>
        <v>3.1249724270719845E-2</v>
      </c>
      <c r="T23">
        <f t="shared" si="10"/>
        <v>3.2760996224854885E-2</v>
      </c>
      <c r="U23">
        <f t="shared" si="11"/>
        <v>3.4272268178989922E-2</v>
      </c>
      <c r="V23">
        <f t="shared" si="31"/>
        <v>3.5783540133124958E-2</v>
      </c>
      <c r="W23">
        <f t="shared" si="12"/>
        <v>3.7573872973341929E-2</v>
      </c>
      <c r="X23">
        <f t="shared" si="31"/>
        <v>3.9364205813558893E-2</v>
      </c>
      <c r="Y23">
        <f t="shared" si="13"/>
        <v>4.1341154201450993E-2</v>
      </c>
      <c r="Z23">
        <f t="shared" si="14"/>
        <v>4.3318102589343092E-2</v>
      </c>
      <c r="AA23">
        <f t="shared" si="31"/>
        <v>4.5295050977235192E-2</v>
      </c>
      <c r="AB23">
        <f t="shared" si="15"/>
        <v>4.7535019567248676E-2</v>
      </c>
      <c r="AC23">
        <f t="shared" si="31"/>
        <v>4.9774988157262161E-2</v>
      </c>
      <c r="AD23">
        <f t="shared" si="16"/>
        <v>5.2326780653159578E-2</v>
      </c>
      <c r="AE23">
        <f t="shared" si="17"/>
        <v>5.4878573149056996E-2</v>
      </c>
      <c r="AF23">
        <f t="shared" si="18"/>
        <v>5.7430365644954413E-2</v>
      </c>
      <c r="AG23">
        <f t="shared" si="19"/>
        <v>5.9982158140851831E-2</v>
      </c>
      <c r="AH23">
        <f t="shared" si="31"/>
        <v>6.2533950636749255E-2</v>
      </c>
      <c r="AI23">
        <f t="shared" si="20"/>
        <v>6.4646708460409569E-2</v>
      </c>
      <c r="AJ23">
        <f t="shared" si="21"/>
        <v>6.6759466284069882E-2</v>
      </c>
      <c r="AK23">
        <f t="shared" si="22"/>
        <v>6.8872224107730196E-2</v>
      </c>
      <c r="AL23">
        <f t="shared" si="23"/>
        <v>7.0984981931390509E-2</v>
      </c>
      <c r="AM23">
        <f t="shared" si="31"/>
        <v>7.3097739755050836E-2</v>
      </c>
    </row>
    <row r="24" spans="2:39" x14ac:dyDescent="0.25">
      <c r="B24" t="s">
        <v>416</v>
      </c>
      <c r="C24" t="s">
        <v>463</v>
      </c>
      <c r="D24">
        <f>D7/SUM(D$7:D$9)</f>
        <v>0.84572780560113503</v>
      </c>
      <c r="E24">
        <f t="shared" ref="E24:H24" si="32">E7/SUM(E$7:E$9)</f>
        <v>0.84423397355345697</v>
      </c>
      <c r="F24">
        <f t="shared" si="32"/>
        <v>0.84273562001536972</v>
      </c>
      <c r="G24">
        <f t="shared" si="32"/>
        <v>0.84123272442747177</v>
      </c>
      <c r="H24">
        <f t="shared" si="32"/>
        <v>0.83972526610552656</v>
      </c>
      <c r="I24">
        <f>I7/SUM(I$7:I$9)</f>
        <v>0.83821322423951317</v>
      </c>
      <c r="J24">
        <f t="shared" si="4"/>
        <v>0.80836087935436407</v>
      </c>
      <c r="K24">
        <f t="shared" si="5"/>
        <v>0.77850853446921497</v>
      </c>
      <c r="L24">
        <f t="shared" ref="L24:AM24" si="33">L7/SUM(L$7:L$9)</f>
        <v>0.74865618958406599</v>
      </c>
      <c r="M24">
        <f t="shared" si="6"/>
        <v>0.78964497956619639</v>
      </c>
      <c r="N24">
        <f t="shared" si="33"/>
        <v>0.83063376954832668</v>
      </c>
      <c r="O24">
        <f t="shared" si="7"/>
        <v>0.82481626541454733</v>
      </c>
      <c r="P24">
        <f t="shared" si="8"/>
        <v>0.81899876128076798</v>
      </c>
      <c r="Q24">
        <f t="shared" si="33"/>
        <v>0.81318125714698852</v>
      </c>
      <c r="R24">
        <f t="shared" si="9"/>
        <v>0.80703788735139947</v>
      </c>
      <c r="S24">
        <f t="shared" si="33"/>
        <v>0.80089451755581043</v>
      </c>
      <c r="T24">
        <f t="shared" si="10"/>
        <v>0.79606547549693196</v>
      </c>
      <c r="U24">
        <f t="shared" si="11"/>
        <v>0.7912364334380535</v>
      </c>
      <c r="V24">
        <f t="shared" si="33"/>
        <v>0.78640739137917504</v>
      </c>
      <c r="W24">
        <f t="shared" si="12"/>
        <v>0.78139103994491732</v>
      </c>
      <c r="X24">
        <f t="shared" si="33"/>
        <v>0.77637468851065961</v>
      </c>
      <c r="Y24">
        <f t="shared" si="13"/>
        <v>0.77333582177216642</v>
      </c>
      <c r="Z24">
        <f t="shared" si="14"/>
        <v>0.77029695503367324</v>
      </c>
      <c r="AA24">
        <f t="shared" si="33"/>
        <v>0.76725808829518016</v>
      </c>
      <c r="AB24">
        <f t="shared" si="15"/>
        <v>0.76414728697798118</v>
      </c>
      <c r="AC24">
        <f t="shared" si="33"/>
        <v>0.76103648566078219</v>
      </c>
      <c r="AD24">
        <f t="shared" si="16"/>
        <v>0.75752368511772217</v>
      </c>
      <c r="AE24">
        <f t="shared" si="17"/>
        <v>0.75401088457466214</v>
      </c>
      <c r="AF24">
        <f t="shared" si="18"/>
        <v>0.75049808403160212</v>
      </c>
      <c r="AG24">
        <f t="shared" si="19"/>
        <v>0.7469852834885421</v>
      </c>
      <c r="AH24">
        <f t="shared" si="33"/>
        <v>0.74347248294548218</v>
      </c>
      <c r="AI24">
        <f t="shared" si="20"/>
        <v>0.73878189747134415</v>
      </c>
      <c r="AJ24">
        <f t="shared" si="21"/>
        <v>0.73409131199720612</v>
      </c>
      <c r="AK24">
        <f t="shared" si="22"/>
        <v>0.72940072652306809</v>
      </c>
      <c r="AL24">
        <f t="shared" si="23"/>
        <v>0.72471014104893006</v>
      </c>
      <c r="AM24">
        <f t="shared" si="33"/>
        <v>0.72001955557479191</v>
      </c>
    </row>
    <row r="25" spans="2:39" x14ac:dyDescent="0.25">
      <c r="B25" t="s">
        <v>417</v>
      </c>
      <c r="C25" t="s">
        <v>462</v>
      </c>
      <c r="D25">
        <f t="shared" ref="D25:H25" si="34">D8/SUM(D$7:D$9)</f>
        <v>0.14412114733390882</v>
      </c>
      <c r="E25">
        <f t="shared" si="34"/>
        <v>0.14563290945237642</v>
      </c>
      <c r="F25">
        <f t="shared" si="34"/>
        <v>0.14714924733150617</v>
      </c>
      <c r="G25">
        <f t="shared" si="34"/>
        <v>0.14867018177746863</v>
      </c>
      <c r="H25">
        <f t="shared" si="34"/>
        <v>0.1501957337227679</v>
      </c>
      <c r="I25">
        <f t="shared" ref="I25:AM26" si="35">I8/SUM(I$7:I$9)</f>
        <v>0.1517259242272018</v>
      </c>
      <c r="J25">
        <f t="shared" si="4"/>
        <v>0.18193657890886167</v>
      </c>
      <c r="K25">
        <f t="shared" si="5"/>
        <v>0.21214723359052154</v>
      </c>
      <c r="L25">
        <f t="shared" si="35"/>
        <v>0.24235788827218144</v>
      </c>
      <c r="M25">
        <f t="shared" si="6"/>
        <v>0.20087712068982483</v>
      </c>
      <c r="N25">
        <f t="shared" si="35"/>
        <v>0.15939635310746819</v>
      </c>
      <c r="O25">
        <f t="shared" si="7"/>
        <v>0.16528368320401177</v>
      </c>
      <c r="P25">
        <f t="shared" si="8"/>
        <v>0.17117101330055534</v>
      </c>
      <c r="Q25">
        <f t="shared" si="35"/>
        <v>0.17705834339709894</v>
      </c>
      <c r="R25">
        <f t="shared" si="9"/>
        <v>0.18327545043476456</v>
      </c>
      <c r="S25">
        <f t="shared" si="35"/>
        <v>0.18949255747243021</v>
      </c>
      <c r="T25">
        <f t="shared" si="10"/>
        <v>0.19437956124534203</v>
      </c>
      <c r="U25">
        <f t="shared" si="11"/>
        <v>0.19926656501825385</v>
      </c>
      <c r="V25">
        <f t="shared" si="35"/>
        <v>0.2041535687911657</v>
      </c>
      <c r="W25">
        <f t="shared" si="12"/>
        <v>0.20923013016432607</v>
      </c>
      <c r="X25">
        <f t="shared" si="35"/>
        <v>0.21430669153748641</v>
      </c>
      <c r="Y25">
        <f t="shared" si="13"/>
        <v>0.21738203298933564</v>
      </c>
      <c r="Z25">
        <f t="shared" si="14"/>
        <v>0.22045737444118488</v>
      </c>
      <c r="AA25">
        <f t="shared" si="35"/>
        <v>0.22353271589303408</v>
      </c>
      <c r="AB25">
        <f t="shared" si="15"/>
        <v>0.22668085533530297</v>
      </c>
      <c r="AC25">
        <f t="shared" si="35"/>
        <v>0.22982899477757188</v>
      </c>
      <c r="AD25">
        <f t="shared" si="16"/>
        <v>0.23338395853603788</v>
      </c>
      <c r="AE25">
        <f t="shared" si="17"/>
        <v>0.23693892229450389</v>
      </c>
      <c r="AF25">
        <f t="shared" si="18"/>
        <v>0.2404938860529699</v>
      </c>
      <c r="AG25">
        <f t="shared" si="19"/>
        <v>0.2440488498114359</v>
      </c>
      <c r="AH25">
        <f t="shared" si="35"/>
        <v>0.24760381356990196</v>
      </c>
      <c r="AI25">
        <f t="shared" si="20"/>
        <v>0.25235069890032336</v>
      </c>
      <c r="AJ25">
        <f t="shared" si="21"/>
        <v>0.25709758423074475</v>
      </c>
      <c r="AK25">
        <f t="shared" si="22"/>
        <v>0.26184446956116614</v>
      </c>
      <c r="AL25">
        <f t="shared" si="23"/>
        <v>0.26659135489158753</v>
      </c>
      <c r="AM25">
        <f t="shared" si="35"/>
        <v>0.27133824022200886</v>
      </c>
    </row>
    <row r="26" spans="2:39" x14ac:dyDescent="0.25">
      <c r="B26" t="s">
        <v>441</v>
      </c>
      <c r="C26" t="s">
        <v>464</v>
      </c>
      <c r="D26">
        <f t="shared" ref="D26:H26" si="36">D9/SUM(D$7:D$9)</f>
        <v>1.0151047064956209E-2</v>
      </c>
      <c r="E26">
        <f t="shared" si="36"/>
        <v>1.0133116994166658E-2</v>
      </c>
      <c r="F26">
        <f t="shared" si="36"/>
        <v>1.0115132653124144E-2</v>
      </c>
      <c r="G26">
        <f t="shared" si="36"/>
        <v>1.0097093795059613E-2</v>
      </c>
      <c r="H26">
        <f t="shared" si="36"/>
        <v>1.0079000171705644E-2</v>
      </c>
      <c r="I26">
        <f t="shared" si="35"/>
        <v>1.0060851533285063E-2</v>
      </c>
      <c r="J26">
        <f t="shared" si="4"/>
        <v>9.7025417367742808E-3</v>
      </c>
      <c r="K26">
        <f t="shared" si="5"/>
        <v>9.3442319402634987E-3</v>
      </c>
      <c r="L26">
        <f t="shared" si="35"/>
        <v>8.9859221437527149E-3</v>
      </c>
      <c r="M26">
        <f t="shared" si="6"/>
        <v>9.4778997439789077E-3</v>
      </c>
      <c r="N26">
        <f t="shared" si="35"/>
        <v>9.9698773442051022E-3</v>
      </c>
      <c r="O26">
        <f t="shared" si="7"/>
        <v>9.9000513814408806E-3</v>
      </c>
      <c r="P26">
        <f t="shared" si="8"/>
        <v>9.830225418676659E-3</v>
      </c>
      <c r="Q26">
        <f t="shared" si="35"/>
        <v>9.7603994559124357E-3</v>
      </c>
      <c r="R26">
        <f t="shared" si="9"/>
        <v>9.6866622138359164E-3</v>
      </c>
      <c r="S26">
        <f t="shared" si="35"/>
        <v>9.612924971759397E-3</v>
      </c>
      <c r="T26">
        <f t="shared" si="10"/>
        <v>9.5549632577260207E-3</v>
      </c>
      <c r="U26">
        <f t="shared" si="11"/>
        <v>9.4970015436926444E-3</v>
      </c>
      <c r="V26">
        <f t="shared" si="35"/>
        <v>9.4390398296592664E-3</v>
      </c>
      <c r="W26">
        <f t="shared" si="12"/>
        <v>9.378829890756623E-3</v>
      </c>
      <c r="X26">
        <f t="shared" si="35"/>
        <v>9.3186199518539778E-3</v>
      </c>
      <c r="Y26">
        <f t="shared" si="13"/>
        <v>9.2821452384978919E-3</v>
      </c>
      <c r="Z26">
        <f t="shared" si="14"/>
        <v>9.245670525141806E-3</v>
      </c>
      <c r="AA26">
        <f t="shared" si="35"/>
        <v>9.2091958117857184E-3</v>
      </c>
      <c r="AB26">
        <f t="shared" si="15"/>
        <v>9.171857686715832E-3</v>
      </c>
      <c r="AC26">
        <f t="shared" si="35"/>
        <v>9.1345195616459474E-3</v>
      </c>
      <c r="AD26">
        <f t="shared" si="16"/>
        <v>9.0923563462399458E-3</v>
      </c>
      <c r="AE26">
        <f t="shared" si="17"/>
        <v>9.0501931308339442E-3</v>
      </c>
      <c r="AF26">
        <f t="shared" si="18"/>
        <v>9.0080299154279425E-3</v>
      </c>
      <c r="AG26">
        <f t="shared" si="19"/>
        <v>8.9658667000219409E-3</v>
      </c>
      <c r="AH26">
        <f t="shared" si="35"/>
        <v>8.923703484615941E-3</v>
      </c>
      <c r="AI26">
        <f t="shared" si="20"/>
        <v>8.8674036283325919E-3</v>
      </c>
      <c r="AJ26">
        <f t="shared" si="21"/>
        <v>8.8111037720492429E-3</v>
      </c>
      <c r="AK26">
        <f t="shared" si="22"/>
        <v>8.7548039157658939E-3</v>
      </c>
      <c r="AL26">
        <f t="shared" si="23"/>
        <v>8.6985040594825449E-3</v>
      </c>
      <c r="AM26">
        <f t="shared" si="35"/>
        <v>8.6422042031991993E-3</v>
      </c>
    </row>
    <row r="27" spans="2:39" x14ac:dyDescent="0.25">
      <c r="B27" t="s">
        <v>418</v>
      </c>
      <c r="C27" t="s">
        <v>458</v>
      </c>
      <c r="D27">
        <f>D10/SUM(D$10:D$18)</f>
        <v>0.75228533718836454</v>
      </c>
      <c r="E27">
        <f t="shared" ref="E27:H27" si="37">E10/SUM(E$10:E$18)</f>
        <v>0.74173091087023957</v>
      </c>
      <c r="F27">
        <f t="shared" si="37"/>
        <v>0.73067071107938075</v>
      </c>
      <c r="G27">
        <f t="shared" si="37"/>
        <v>0.71906748996506309</v>
      </c>
      <c r="H27">
        <f t="shared" si="37"/>
        <v>0.70688025012423772</v>
      </c>
      <c r="I27">
        <f>I10/SUM(I$10:I$18)</f>
        <v>0.69406376061077524</v>
      </c>
      <c r="J27">
        <f t="shared" si="4"/>
        <v>0.68522285446903797</v>
      </c>
      <c r="K27">
        <f t="shared" si="5"/>
        <v>0.6763819483273007</v>
      </c>
      <c r="L27">
        <f t="shared" ref="L27:AM27" si="38">L10/SUM(L$10:L$18)</f>
        <v>0.66754104218556343</v>
      </c>
      <c r="M27">
        <f t="shared" si="6"/>
        <v>0.67689405600675312</v>
      </c>
      <c r="N27">
        <f t="shared" si="38"/>
        <v>0.6862470698279427</v>
      </c>
      <c r="O27">
        <f t="shared" si="7"/>
        <v>0.67787692962390955</v>
      </c>
      <c r="P27">
        <f t="shared" si="8"/>
        <v>0.6695067894198764</v>
      </c>
      <c r="Q27">
        <f t="shared" si="38"/>
        <v>0.66113664921584336</v>
      </c>
      <c r="R27">
        <f t="shared" si="9"/>
        <v>0.65479548731489534</v>
      </c>
      <c r="S27">
        <f t="shared" si="38"/>
        <v>0.64845432541394732</v>
      </c>
      <c r="T27">
        <f t="shared" si="10"/>
        <v>0.63499621560577602</v>
      </c>
      <c r="U27">
        <f t="shared" si="11"/>
        <v>0.62153810579760471</v>
      </c>
      <c r="V27">
        <f t="shared" si="38"/>
        <v>0.6080799959894333</v>
      </c>
      <c r="W27">
        <f t="shared" si="12"/>
        <v>0.59470137816770519</v>
      </c>
      <c r="X27">
        <f t="shared" si="38"/>
        <v>0.58132276034597707</v>
      </c>
      <c r="Y27">
        <f t="shared" si="13"/>
        <v>0.56689077699061974</v>
      </c>
      <c r="Z27">
        <f t="shared" si="14"/>
        <v>0.5524587936352624</v>
      </c>
      <c r="AA27">
        <f t="shared" si="38"/>
        <v>0.53802681027990518</v>
      </c>
      <c r="AB27">
        <f t="shared" si="15"/>
        <v>0.52367999724859771</v>
      </c>
      <c r="AC27">
        <f t="shared" si="38"/>
        <v>0.50933318421729024</v>
      </c>
      <c r="AD27">
        <f t="shared" si="16"/>
        <v>0.49619240177805846</v>
      </c>
      <c r="AE27">
        <f t="shared" si="17"/>
        <v>0.48305161933882668</v>
      </c>
      <c r="AF27">
        <f t="shared" si="18"/>
        <v>0.4699108368995949</v>
      </c>
      <c r="AG27">
        <f t="shared" si="19"/>
        <v>0.45677005446036312</v>
      </c>
      <c r="AH27">
        <f t="shared" si="38"/>
        <v>0.44362927202113134</v>
      </c>
      <c r="AI27">
        <f t="shared" si="20"/>
        <v>0.42950281937989659</v>
      </c>
      <c r="AJ27">
        <f t="shared" si="21"/>
        <v>0.41537636673866185</v>
      </c>
      <c r="AK27">
        <f t="shared" si="22"/>
        <v>0.40124991409742711</v>
      </c>
      <c r="AL27">
        <f t="shared" si="23"/>
        <v>0.38712346145619236</v>
      </c>
      <c r="AM27">
        <f t="shared" si="38"/>
        <v>0.37299700881495751</v>
      </c>
    </row>
    <row r="28" spans="2:39" x14ac:dyDescent="0.25">
      <c r="B28" t="s">
        <v>419</v>
      </c>
      <c r="C28" t="s">
        <v>459</v>
      </c>
      <c r="D28">
        <f t="shared" ref="D28:H28" si="39">D11/SUM(D$10:D$18)</f>
        <v>5.9395604767543348E-3</v>
      </c>
      <c r="E28">
        <f t="shared" si="39"/>
        <v>5.3900889580477543E-3</v>
      </c>
      <c r="F28">
        <f t="shared" si="39"/>
        <v>4.8142864849332377E-3</v>
      </c>
      <c r="G28">
        <f t="shared" si="39"/>
        <v>4.2102139057705497E-3</v>
      </c>
      <c r="H28">
        <f t="shared" si="39"/>
        <v>3.5757368643533605E-3</v>
      </c>
      <c r="I28">
        <f t="shared" ref="I28:AM35" si="40">I11/SUM(I$10:I$18)</f>
        <v>2.9085006029797322E-3</v>
      </c>
      <c r="J28">
        <f t="shared" si="4"/>
        <v>4.114930681218769E-3</v>
      </c>
      <c r="K28">
        <f t="shared" si="5"/>
        <v>5.3213607594578063E-3</v>
      </c>
      <c r="L28">
        <f t="shared" si="40"/>
        <v>6.5277908376968436E-3</v>
      </c>
      <c r="M28">
        <f t="shared" si="6"/>
        <v>6.252242728078972E-3</v>
      </c>
      <c r="N28">
        <f t="shared" si="40"/>
        <v>5.9766946184611012E-3</v>
      </c>
      <c r="O28">
        <f t="shared" si="7"/>
        <v>5.8681631886820483E-3</v>
      </c>
      <c r="P28">
        <f t="shared" si="8"/>
        <v>5.7596317589029954E-3</v>
      </c>
      <c r="Q28">
        <f t="shared" si="40"/>
        <v>5.6511003291239417E-3</v>
      </c>
      <c r="R28">
        <f t="shared" si="9"/>
        <v>5.5615669571811126E-3</v>
      </c>
      <c r="S28">
        <f t="shared" si="40"/>
        <v>5.4720335852382843E-3</v>
      </c>
      <c r="T28">
        <f t="shared" si="10"/>
        <v>5.5287849327037737E-3</v>
      </c>
      <c r="U28">
        <f t="shared" si="11"/>
        <v>5.5855362801692631E-3</v>
      </c>
      <c r="V28">
        <f t="shared" si="40"/>
        <v>5.6422876276347525E-3</v>
      </c>
      <c r="W28">
        <f t="shared" si="12"/>
        <v>5.6986874265128155E-3</v>
      </c>
      <c r="X28">
        <f t="shared" si="40"/>
        <v>5.7550872253908786E-3</v>
      </c>
      <c r="Y28">
        <f t="shared" si="13"/>
        <v>5.6834124580448214E-3</v>
      </c>
      <c r="Z28">
        <f t="shared" si="14"/>
        <v>5.6117376906987641E-3</v>
      </c>
      <c r="AA28">
        <f t="shared" si="40"/>
        <v>5.540062923352706E-3</v>
      </c>
      <c r="AB28">
        <f t="shared" si="15"/>
        <v>5.4688366232402358E-3</v>
      </c>
      <c r="AC28">
        <f t="shared" si="40"/>
        <v>5.3976103231277656E-3</v>
      </c>
      <c r="AD28">
        <f t="shared" si="16"/>
        <v>5.4482288657314859E-3</v>
      </c>
      <c r="AE28">
        <f t="shared" si="17"/>
        <v>5.4988474083352062E-3</v>
      </c>
      <c r="AF28">
        <f t="shared" si="18"/>
        <v>5.5494659509389265E-3</v>
      </c>
      <c r="AG28">
        <f t="shared" si="19"/>
        <v>5.6000844935426468E-3</v>
      </c>
      <c r="AH28">
        <f t="shared" si="40"/>
        <v>5.6507030361463654E-3</v>
      </c>
      <c r="AI28">
        <f t="shared" si="20"/>
        <v>5.6479001201336738E-3</v>
      </c>
      <c r="AJ28">
        <f t="shared" si="21"/>
        <v>5.6450972041209822E-3</v>
      </c>
      <c r="AK28">
        <f t="shared" si="22"/>
        <v>5.6422942881082907E-3</v>
      </c>
      <c r="AL28">
        <f t="shared" si="23"/>
        <v>5.6394913720955991E-3</v>
      </c>
      <c r="AM28">
        <f t="shared" si="40"/>
        <v>5.6366884560829084E-3</v>
      </c>
    </row>
    <row r="29" spans="2:39" x14ac:dyDescent="0.25">
      <c r="B29" t="s">
        <v>420</v>
      </c>
      <c r="C29" t="s">
        <v>456</v>
      </c>
      <c r="D29">
        <f t="shared" ref="D29:H29" si="41">D12/SUM(D$10:D$18)</f>
        <v>3.9064338688628616E-2</v>
      </c>
      <c r="E29">
        <f t="shared" si="41"/>
        <v>4.3139722277994626E-2</v>
      </c>
      <c r="F29">
        <f t="shared" si="41"/>
        <v>4.7410400319999477E-2</v>
      </c>
      <c r="G29">
        <f t="shared" si="41"/>
        <v>5.1890755337672817E-2</v>
      </c>
      <c r="H29">
        <f t="shared" si="41"/>
        <v>5.6596617669732847E-2</v>
      </c>
      <c r="I29">
        <f t="shared" si="40"/>
        <v>6.1545452354072661E-2</v>
      </c>
      <c r="J29">
        <f t="shared" si="4"/>
        <v>5.8724473317179129E-2</v>
      </c>
      <c r="K29">
        <f t="shared" si="5"/>
        <v>5.5903494280285598E-2</v>
      </c>
      <c r="L29">
        <f t="shared" si="40"/>
        <v>5.3082515243392067E-2</v>
      </c>
      <c r="M29">
        <f t="shared" si="6"/>
        <v>3.5271731479340471E-2</v>
      </c>
      <c r="N29">
        <f t="shared" si="40"/>
        <v>1.7460947715288878E-2</v>
      </c>
      <c r="O29">
        <f t="shared" si="7"/>
        <v>1.7270439554595857E-2</v>
      </c>
      <c r="P29">
        <f t="shared" si="8"/>
        <v>1.7079931393902837E-2</v>
      </c>
      <c r="Q29">
        <f t="shared" si="40"/>
        <v>1.688942323320982E-2</v>
      </c>
      <c r="R29">
        <f t="shared" si="9"/>
        <v>1.6749135390571081E-2</v>
      </c>
      <c r="S29">
        <f t="shared" si="40"/>
        <v>1.6608847547932341E-2</v>
      </c>
      <c r="T29">
        <f t="shared" si="10"/>
        <v>1.6592308776897834E-2</v>
      </c>
      <c r="U29">
        <f t="shared" si="11"/>
        <v>1.6575770005863327E-2</v>
      </c>
      <c r="V29">
        <f t="shared" si="40"/>
        <v>1.6559231234828824E-2</v>
      </c>
      <c r="W29">
        <f t="shared" si="12"/>
        <v>1.6542876411814945E-2</v>
      </c>
      <c r="X29">
        <f t="shared" si="40"/>
        <v>1.6526521588801066E-2</v>
      </c>
      <c r="Y29">
        <f t="shared" si="13"/>
        <v>1.6506511851998907E-2</v>
      </c>
      <c r="Z29">
        <f t="shared" si="14"/>
        <v>1.6486502115196748E-2</v>
      </c>
      <c r="AA29">
        <f t="shared" si="40"/>
        <v>1.6466492378394589E-2</v>
      </c>
      <c r="AB29">
        <f t="shared" si="15"/>
        <v>1.6446612460500741E-2</v>
      </c>
      <c r="AC29">
        <f t="shared" si="40"/>
        <v>1.6426732542606896E-2</v>
      </c>
      <c r="AD29">
        <f t="shared" si="16"/>
        <v>1.6407203076056833E-2</v>
      </c>
      <c r="AE29">
        <f t="shared" si="17"/>
        <v>1.638767360950677E-2</v>
      </c>
      <c r="AF29">
        <f t="shared" si="18"/>
        <v>1.6368144142956707E-2</v>
      </c>
      <c r="AG29">
        <f t="shared" si="19"/>
        <v>1.6348614676406643E-2</v>
      </c>
      <c r="AH29">
        <f t="shared" si="40"/>
        <v>1.6329085209856587E-2</v>
      </c>
      <c r="AI29">
        <f t="shared" si="20"/>
        <v>2.2143319136559494E-2</v>
      </c>
      <c r="AJ29">
        <f t="shared" si="21"/>
        <v>2.7957553063262398E-2</v>
      </c>
      <c r="AK29">
        <f t="shared" si="22"/>
        <v>3.3771786989965302E-2</v>
      </c>
      <c r="AL29">
        <f t="shared" si="23"/>
        <v>3.9586020916668206E-2</v>
      </c>
      <c r="AM29">
        <f t="shared" si="40"/>
        <v>4.5400254843371117E-2</v>
      </c>
    </row>
    <row r="30" spans="2:39" x14ac:dyDescent="0.25">
      <c r="B30" t="s">
        <v>421</v>
      </c>
      <c r="C30" t="s">
        <v>455</v>
      </c>
      <c r="D30">
        <f t="shared" ref="D30:H30" si="42">D13/SUM(D$10:D$18)</f>
        <v>1.8311673721203642E-2</v>
      </c>
      <c r="E30">
        <f t="shared" si="42"/>
        <v>1.6031346321441459E-2</v>
      </c>
      <c r="F30">
        <f t="shared" si="42"/>
        <v>1.3641744473861411E-2</v>
      </c>
      <c r="G30">
        <f t="shared" si="42"/>
        <v>1.1134820626466747E-2</v>
      </c>
      <c r="H30">
        <f t="shared" si="42"/>
        <v>8.5017171209941251E-3</v>
      </c>
      <c r="I30">
        <f t="shared" si="40"/>
        <v>5.7326616247115984E-3</v>
      </c>
      <c r="J30">
        <f t="shared" si="4"/>
        <v>5.4666207140155361E-3</v>
      </c>
      <c r="K30">
        <f t="shared" si="5"/>
        <v>5.2005798033194738E-3</v>
      </c>
      <c r="L30">
        <f t="shared" si="40"/>
        <v>4.9345388926234123E-3</v>
      </c>
      <c r="M30">
        <f t="shared" si="6"/>
        <v>3.2492665619001573E-3</v>
      </c>
      <c r="N30">
        <f t="shared" si="40"/>
        <v>1.563994231176902E-3</v>
      </c>
      <c r="O30">
        <f t="shared" si="7"/>
        <v>1.5463916250104139E-3</v>
      </c>
      <c r="P30">
        <f t="shared" si="8"/>
        <v>1.5287890188439258E-3</v>
      </c>
      <c r="Q30">
        <f t="shared" si="40"/>
        <v>1.5111864126774379E-3</v>
      </c>
      <c r="R30">
        <f t="shared" si="9"/>
        <v>1.498102760174958E-3</v>
      </c>
      <c r="S30">
        <f t="shared" si="40"/>
        <v>1.4850191076724779E-3</v>
      </c>
      <c r="T30">
        <f t="shared" si="10"/>
        <v>1.4831751709175566E-3</v>
      </c>
      <c r="U30">
        <f t="shared" si="11"/>
        <v>1.4813312341626353E-3</v>
      </c>
      <c r="V30">
        <f t="shared" si="40"/>
        <v>1.4794872974077139E-3</v>
      </c>
      <c r="W30">
        <f t="shared" si="12"/>
        <v>1.4776547590542922E-3</v>
      </c>
      <c r="X30">
        <f t="shared" si="40"/>
        <v>1.4758222207008702E-3</v>
      </c>
      <c r="Y30">
        <f t="shared" si="13"/>
        <v>1.4739705074545673E-3</v>
      </c>
      <c r="Z30">
        <f t="shared" si="14"/>
        <v>1.4721187942082644E-3</v>
      </c>
      <c r="AA30">
        <f t="shared" si="40"/>
        <v>1.4702670809619612E-3</v>
      </c>
      <c r="AB30">
        <f t="shared" si="15"/>
        <v>1.4684269394133267E-3</v>
      </c>
      <c r="AC30">
        <f t="shared" si="40"/>
        <v>1.4665867978646923E-3</v>
      </c>
      <c r="AD30">
        <f t="shared" si="16"/>
        <v>1.4647846414155377E-3</v>
      </c>
      <c r="AE30">
        <f t="shared" si="17"/>
        <v>1.4629824849663831E-3</v>
      </c>
      <c r="AF30">
        <f t="shared" si="18"/>
        <v>1.4611803285172285E-3</v>
      </c>
      <c r="AG30">
        <f t="shared" si="19"/>
        <v>1.4593781720680739E-3</v>
      </c>
      <c r="AH30">
        <f t="shared" si="40"/>
        <v>1.4575760156189197E-3</v>
      </c>
      <c r="AI30">
        <f t="shared" si="20"/>
        <v>1.4519162426558797E-3</v>
      </c>
      <c r="AJ30">
        <f t="shared" si="21"/>
        <v>1.4462564696928397E-3</v>
      </c>
      <c r="AK30">
        <f t="shared" si="22"/>
        <v>1.4405966967297997E-3</v>
      </c>
      <c r="AL30">
        <f t="shared" si="23"/>
        <v>1.4349369237667596E-3</v>
      </c>
      <c r="AM30">
        <f t="shared" si="40"/>
        <v>1.4292771508037194E-3</v>
      </c>
    </row>
    <row r="31" spans="2:39" x14ac:dyDescent="0.25">
      <c r="B31" t="s">
        <v>422</v>
      </c>
      <c r="C31" t="s">
        <v>470</v>
      </c>
      <c r="D31">
        <f t="shared" ref="D31:H31" si="43">D14/SUM(D$10:D$18)</f>
        <v>5.1812811798969273E-2</v>
      </c>
      <c r="E31">
        <f t="shared" si="43"/>
        <v>5.7638702909359983E-2</v>
      </c>
      <c r="F31">
        <f t="shared" si="43"/>
        <v>6.3743773682373384E-2</v>
      </c>
      <c r="G31">
        <f t="shared" si="43"/>
        <v>7.0148584394416846E-2</v>
      </c>
      <c r="H31">
        <f t="shared" si="43"/>
        <v>7.6875765020703854E-2</v>
      </c>
      <c r="I31">
        <f t="shared" si="40"/>
        <v>8.3950282391171499E-2</v>
      </c>
      <c r="J31">
        <f t="shared" si="4"/>
        <v>8.8137621094501489E-2</v>
      </c>
      <c r="K31">
        <f t="shared" si="5"/>
        <v>9.232495979783148E-2</v>
      </c>
      <c r="L31">
        <f t="shared" si="40"/>
        <v>9.6512298501161484E-2</v>
      </c>
      <c r="M31">
        <f t="shared" si="6"/>
        <v>0.10446323046323421</v>
      </c>
      <c r="N31">
        <f t="shared" si="40"/>
        <v>0.11241416242530693</v>
      </c>
      <c r="O31">
        <f t="shared" si="7"/>
        <v>0.11874884529823491</v>
      </c>
      <c r="P31">
        <f t="shared" si="8"/>
        <v>0.12508352817116292</v>
      </c>
      <c r="Q31">
        <f t="shared" si="40"/>
        <v>0.1314182110440909</v>
      </c>
      <c r="R31">
        <f t="shared" si="9"/>
        <v>0.13531811684974371</v>
      </c>
      <c r="S31">
        <f t="shared" si="40"/>
        <v>0.13921802265539651</v>
      </c>
      <c r="T31">
        <f t="shared" si="10"/>
        <v>0.14573778623808181</v>
      </c>
      <c r="U31">
        <f t="shared" si="11"/>
        <v>0.15225754982076711</v>
      </c>
      <c r="V31">
        <f t="shared" si="40"/>
        <v>0.15877731340345239</v>
      </c>
      <c r="W31">
        <f t="shared" si="12"/>
        <v>0.16525598300712951</v>
      </c>
      <c r="X31">
        <f t="shared" si="40"/>
        <v>0.17173465261080667</v>
      </c>
      <c r="Y31">
        <f t="shared" si="13"/>
        <v>0.17816921537420177</v>
      </c>
      <c r="Z31">
        <f t="shared" si="14"/>
        <v>0.18460377813759687</v>
      </c>
      <c r="AA31">
        <f t="shared" si="40"/>
        <v>0.19103834090099198</v>
      </c>
      <c r="AB31">
        <f t="shared" si="15"/>
        <v>0.19743223272550797</v>
      </c>
      <c r="AC31">
        <f t="shared" si="40"/>
        <v>0.203826124550024</v>
      </c>
      <c r="AD31">
        <f t="shared" si="16"/>
        <v>0.21016584772391417</v>
      </c>
      <c r="AE31">
        <f t="shared" si="17"/>
        <v>0.21650557089780434</v>
      </c>
      <c r="AF31">
        <f t="shared" si="18"/>
        <v>0.22284529407169451</v>
      </c>
      <c r="AG31">
        <f t="shared" si="19"/>
        <v>0.22918501724558468</v>
      </c>
      <c r="AH31">
        <f t="shared" si="40"/>
        <v>0.2355247404194748</v>
      </c>
      <c r="AI31">
        <f t="shared" si="20"/>
        <v>0.24109216605943495</v>
      </c>
      <c r="AJ31">
        <f t="shared" si="21"/>
        <v>0.24665959169939511</v>
      </c>
      <c r="AK31">
        <f t="shared" si="22"/>
        <v>0.25222701733935526</v>
      </c>
      <c r="AL31">
        <f t="shared" si="23"/>
        <v>0.25779444297931542</v>
      </c>
      <c r="AM31">
        <f t="shared" si="40"/>
        <v>0.26336186861927552</v>
      </c>
    </row>
    <row r="32" spans="2:39" x14ac:dyDescent="0.25">
      <c r="B32" t="s">
        <v>423</v>
      </c>
      <c r="C32" t="s">
        <v>461</v>
      </c>
      <c r="D32">
        <f t="shared" ref="D32:H32" si="44">D15/SUM(D$10:D$18)</f>
        <v>2.2834171866532933E-2</v>
      </c>
      <c r="E32">
        <f t="shared" si="44"/>
        <v>2.5401671955246789E-2</v>
      </c>
      <c r="F32">
        <f t="shared" si="44"/>
        <v>2.8092207952969045E-2</v>
      </c>
      <c r="G32">
        <f t="shared" si="44"/>
        <v>3.0914840878949731E-2</v>
      </c>
      <c r="H32">
        <f t="shared" si="44"/>
        <v>3.3879543879316604E-2</v>
      </c>
      <c r="I32">
        <f t="shared" si="40"/>
        <v>3.6997319964057952E-2</v>
      </c>
      <c r="J32">
        <f t="shared" si="4"/>
        <v>3.830564933241444E-2</v>
      </c>
      <c r="K32">
        <f t="shared" si="5"/>
        <v>3.9613978700770928E-2</v>
      </c>
      <c r="L32">
        <f t="shared" si="40"/>
        <v>4.092230806912741E-2</v>
      </c>
      <c r="M32">
        <f t="shared" si="6"/>
        <v>4.3407142470830981E-2</v>
      </c>
      <c r="N32">
        <f t="shared" si="40"/>
        <v>4.5891976872534546E-2</v>
      </c>
      <c r="O32">
        <f t="shared" si="7"/>
        <v>4.8780876613392289E-2</v>
      </c>
      <c r="P32">
        <f t="shared" si="8"/>
        <v>5.1669776354250033E-2</v>
      </c>
      <c r="Q32">
        <f t="shared" si="40"/>
        <v>5.4558676095107776E-2</v>
      </c>
      <c r="R32">
        <f t="shared" si="9"/>
        <v>5.7442125815935413E-2</v>
      </c>
      <c r="S32">
        <f t="shared" si="40"/>
        <v>6.0325575536763043E-2</v>
      </c>
      <c r="T32">
        <f t="shared" si="10"/>
        <v>6.7227367244704669E-2</v>
      </c>
      <c r="U32">
        <f t="shared" si="11"/>
        <v>7.4129158952646296E-2</v>
      </c>
      <c r="V32">
        <f t="shared" si="40"/>
        <v>8.1030950660587908E-2</v>
      </c>
      <c r="W32">
        <f t="shared" si="12"/>
        <v>8.7882528455310804E-2</v>
      </c>
      <c r="X32">
        <f t="shared" si="40"/>
        <v>9.4734106250033687E-2</v>
      </c>
      <c r="Y32">
        <f t="shared" si="13"/>
        <v>0.10153578601263369</v>
      </c>
      <c r="Z32">
        <f t="shared" si="14"/>
        <v>0.10833746577523369</v>
      </c>
      <c r="AA32">
        <f t="shared" si="40"/>
        <v>0.11513914553783369</v>
      </c>
      <c r="AB32">
        <f t="shared" si="15"/>
        <v>0.12189404968630588</v>
      </c>
      <c r="AC32">
        <f t="shared" si="40"/>
        <v>0.12864895383477806</v>
      </c>
      <c r="AD32">
        <f t="shared" si="16"/>
        <v>0.13534209194431276</v>
      </c>
      <c r="AE32">
        <f t="shared" si="17"/>
        <v>0.14203523005384747</v>
      </c>
      <c r="AF32">
        <f t="shared" si="18"/>
        <v>0.14872836816338217</v>
      </c>
      <c r="AG32">
        <f t="shared" si="19"/>
        <v>0.15542150627291687</v>
      </c>
      <c r="AH32">
        <f t="shared" si="40"/>
        <v>0.16211464438245152</v>
      </c>
      <c r="AI32">
        <f t="shared" si="20"/>
        <v>0.16500352139104205</v>
      </c>
      <c r="AJ32">
        <f t="shared" si="21"/>
        <v>0.16789239839963258</v>
      </c>
      <c r="AK32">
        <f t="shared" si="22"/>
        <v>0.1707812754082231</v>
      </c>
      <c r="AL32">
        <f t="shared" si="23"/>
        <v>0.17367015241681363</v>
      </c>
      <c r="AM32">
        <f t="shared" si="40"/>
        <v>0.17655902942540411</v>
      </c>
    </row>
    <row r="33" spans="2:39" x14ac:dyDescent="0.25">
      <c r="B33" t="s">
        <v>424</v>
      </c>
      <c r="C33" t="s">
        <v>457</v>
      </c>
      <c r="D33">
        <f t="shared" ref="D33:H33" si="45">D16/SUM(D$10:D$18)</f>
        <v>6.3312931084477678E-2</v>
      </c>
      <c r="E33">
        <f t="shared" si="45"/>
        <v>7.0431908603184268E-2</v>
      </c>
      <c r="F33">
        <f t="shared" si="45"/>
        <v>7.7892031142323251E-2</v>
      </c>
      <c r="G33">
        <f t="shared" si="45"/>
        <v>8.5718422437087896E-2</v>
      </c>
      <c r="H33">
        <f t="shared" si="45"/>
        <v>9.3938735301741502E-2</v>
      </c>
      <c r="I33">
        <f t="shared" si="40"/>
        <v>0.10258347808216069</v>
      </c>
      <c r="J33">
        <f t="shared" si="4"/>
        <v>0.10719006701055961</v>
      </c>
      <c r="K33">
        <f t="shared" si="5"/>
        <v>0.11179665593895853</v>
      </c>
      <c r="L33">
        <f t="shared" si="40"/>
        <v>0.11640324486735744</v>
      </c>
      <c r="M33">
        <f t="shared" si="6"/>
        <v>0.11203644145722885</v>
      </c>
      <c r="N33">
        <f t="shared" si="40"/>
        <v>0.10766963804710028</v>
      </c>
      <c r="O33">
        <f t="shared" si="7"/>
        <v>0.10644725080016659</v>
      </c>
      <c r="P33">
        <f t="shared" si="8"/>
        <v>0.10522486355323291</v>
      </c>
      <c r="Q33">
        <f t="shared" si="40"/>
        <v>0.10400247630629922</v>
      </c>
      <c r="R33">
        <f t="shared" si="9"/>
        <v>0.10311040631624054</v>
      </c>
      <c r="S33">
        <f t="shared" si="40"/>
        <v>0.10221833632618185</v>
      </c>
      <c r="T33">
        <f t="shared" si="10"/>
        <v>0.10204739561866076</v>
      </c>
      <c r="U33">
        <f t="shared" si="11"/>
        <v>0.10187645491113967</v>
      </c>
      <c r="V33">
        <f t="shared" si="40"/>
        <v>0.10170551420361858</v>
      </c>
      <c r="W33">
        <f t="shared" si="12"/>
        <v>0.1015438139548975</v>
      </c>
      <c r="X33">
        <f t="shared" si="40"/>
        <v>0.10138211370617642</v>
      </c>
      <c r="Y33">
        <f t="shared" si="13"/>
        <v>0.10122546985492152</v>
      </c>
      <c r="Z33">
        <f t="shared" si="14"/>
        <v>0.10106882600366662</v>
      </c>
      <c r="AA33">
        <f t="shared" si="40"/>
        <v>0.10091218215241174</v>
      </c>
      <c r="AB33">
        <f t="shared" si="15"/>
        <v>0.10076113071672806</v>
      </c>
      <c r="AC33">
        <f t="shared" si="40"/>
        <v>0.10061007928104437</v>
      </c>
      <c r="AD33">
        <f t="shared" si="16"/>
        <v>0.1004658276820669</v>
      </c>
      <c r="AE33">
        <f t="shared" si="17"/>
        <v>0.10032157608308942</v>
      </c>
      <c r="AF33">
        <f t="shared" si="18"/>
        <v>0.10017732448411194</v>
      </c>
      <c r="AG33">
        <f t="shared" si="19"/>
        <v>0.10003307288513447</v>
      </c>
      <c r="AH33">
        <f t="shared" si="40"/>
        <v>9.9888821286157004E-2</v>
      </c>
      <c r="AI33">
        <f t="shared" si="20"/>
        <v>9.9493058474288604E-2</v>
      </c>
      <c r="AJ33">
        <f t="shared" si="21"/>
        <v>9.9097295662420204E-2</v>
      </c>
      <c r="AK33">
        <f t="shared" si="22"/>
        <v>9.8701532850551804E-2</v>
      </c>
      <c r="AL33">
        <f t="shared" si="23"/>
        <v>9.8305770038683404E-2</v>
      </c>
      <c r="AM33">
        <f t="shared" si="40"/>
        <v>9.7910007226815005E-2</v>
      </c>
    </row>
    <row r="34" spans="2:39" x14ac:dyDescent="0.25">
      <c r="B34" t="s">
        <v>425</v>
      </c>
      <c r="C34" t="s">
        <v>454</v>
      </c>
      <c r="D34">
        <f t="shared" ref="D34:H34" si="46">D17/SUM(D$10:D$18)</f>
        <v>3.0616150944571912E-2</v>
      </c>
      <c r="E34">
        <f t="shared" si="46"/>
        <v>2.5070525027024254E-2</v>
      </c>
      <c r="F34">
        <f t="shared" si="46"/>
        <v>1.9259149897320634E-2</v>
      </c>
      <c r="G34">
        <f t="shared" si="46"/>
        <v>1.3162454368915357E-2</v>
      </c>
      <c r="H34">
        <f t="shared" si="46"/>
        <v>6.7588971231192282E-3</v>
      </c>
      <c r="I34">
        <f t="shared" si="40"/>
        <v>2.4712405208252053E-5</v>
      </c>
      <c r="J34">
        <f t="shared" si="4"/>
        <v>2.479021100179062E-5</v>
      </c>
      <c r="K34">
        <f t="shared" si="5"/>
        <v>2.4868016795329186E-5</v>
      </c>
      <c r="L34">
        <f t="shared" si="40"/>
        <v>2.4945822588867752E-5</v>
      </c>
      <c r="M34">
        <f t="shared" si="6"/>
        <v>2.3935755424177345E-5</v>
      </c>
      <c r="N34">
        <f t="shared" si="40"/>
        <v>2.2925688259486938E-5</v>
      </c>
      <c r="O34">
        <f t="shared" si="7"/>
        <v>2.2734636488636847E-5</v>
      </c>
      <c r="P34">
        <f t="shared" si="8"/>
        <v>2.2543584717786756E-5</v>
      </c>
      <c r="Q34">
        <f t="shared" si="40"/>
        <v>2.2352532946936669E-5</v>
      </c>
      <c r="R34">
        <f t="shared" si="9"/>
        <v>2.2172025242714908E-5</v>
      </c>
      <c r="S34">
        <f t="shared" si="40"/>
        <v>2.1991517538493147E-5</v>
      </c>
      <c r="T34">
        <f t="shared" si="10"/>
        <v>2.1738001863833392E-5</v>
      </c>
      <c r="U34">
        <f t="shared" si="11"/>
        <v>2.1484486189173637E-5</v>
      </c>
      <c r="V34">
        <f t="shared" si="40"/>
        <v>2.1230970514513882E-5</v>
      </c>
      <c r="W34">
        <f t="shared" si="12"/>
        <v>2.0993422823804778E-5</v>
      </c>
      <c r="X34">
        <f t="shared" si="40"/>
        <v>2.0755875133095677E-5</v>
      </c>
      <c r="Y34">
        <f t="shared" si="13"/>
        <v>2.0550866221366972E-5</v>
      </c>
      <c r="Z34">
        <f t="shared" si="14"/>
        <v>2.0345857309638268E-5</v>
      </c>
      <c r="AA34">
        <f t="shared" si="40"/>
        <v>2.0140848397909566E-5</v>
      </c>
      <c r="AB34">
        <f t="shared" si="15"/>
        <v>1.9947992152796447E-5</v>
      </c>
      <c r="AC34">
        <f t="shared" si="40"/>
        <v>1.9755135907683331E-5</v>
      </c>
      <c r="AD34">
        <f t="shared" si="16"/>
        <v>1.9610468650228661E-5</v>
      </c>
      <c r="AE34">
        <f t="shared" si="17"/>
        <v>1.9465801392773991E-5</v>
      </c>
      <c r="AF34">
        <f t="shared" si="18"/>
        <v>1.9321134135319321E-5</v>
      </c>
      <c r="AG34">
        <f t="shared" si="19"/>
        <v>1.9176466877864651E-5</v>
      </c>
      <c r="AH34">
        <f t="shared" si="40"/>
        <v>1.9031799620409974E-5</v>
      </c>
      <c r="AI34">
        <f t="shared" si="20"/>
        <v>1.891604041017484E-5</v>
      </c>
      <c r="AJ34">
        <f t="shared" si="21"/>
        <v>1.8800281199939706E-5</v>
      </c>
      <c r="AK34">
        <f t="shared" si="22"/>
        <v>1.8684521989704573E-5</v>
      </c>
      <c r="AL34">
        <f t="shared" si="23"/>
        <v>1.8568762779469439E-5</v>
      </c>
      <c r="AM34">
        <f t="shared" si="40"/>
        <v>1.8453003569234299E-5</v>
      </c>
    </row>
    <row r="35" spans="2:39" x14ac:dyDescent="0.25">
      <c r="B35" t="s">
        <v>426</v>
      </c>
      <c r="C35" t="s">
        <v>460</v>
      </c>
      <c r="D35">
        <f t="shared" ref="D35:H35" si="47">D18/SUM(D$10:D$18)</f>
        <v>1.5823024230497019E-2</v>
      </c>
      <c r="E35">
        <f t="shared" si="47"/>
        <v>1.5165123077461382E-2</v>
      </c>
      <c r="F35">
        <f t="shared" si="47"/>
        <v>1.4475694966838771E-2</v>
      </c>
      <c r="G35">
        <f t="shared" si="47"/>
        <v>1.3752418085656928E-2</v>
      </c>
      <c r="H35">
        <f t="shared" si="47"/>
        <v>1.299273689580091E-2</v>
      </c>
      <c r="I35">
        <f t="shared" si="40"/>
        <v>1.2193831964862512E-2</v>
      </c>
      <c r="J35">
        <f t="shared" si="4"/>
        <v>1.2812993170071427E-2</v>
      </c>
      <c r="K35">
        <f t="shared" si="5"/>
        <v>1.3432154375280343E-2</v>
      </c>
      <c r="L35">
        <f t="shared" si="40"/>
        <v>1.4051315580489259E-2</v>
      </c>
      <c r="M35">
        <f t="shared" si="6"/>
        <v>1.8401953077209276E-2</v>
      </c>
      <c r="N35">
        <f t="shared" si="40"/>
        <v>2.2752590573929293E-2</v>
      </c>
      <c r="O35">
        <f t="shared" si="7"/>
        <v>2.3438368659519829E-2</v>
      </c>
      <c r="P35">
        <f t="shared" si="8"/>
        <v>2.4124146745110365E-2</v>
      </c>
      <c r="Q35">
        <f t="shared" si="40"/>
        <v>2.4809924830700904E-2</v>
      </c>
      <c r="R35">
        <f t="shared" si="9"/>
        <v>2.550288657001528E-2</v>
      </c>
      <c r="S35">
        <f t="shared" si="40"/>
        <v>2.619584830932966E-2</v>
      </c>
      <c r="T35">
        <f t="shared" si="10"/>
        <v>2.636522841039373E-2</v>
      </c>
      <c r="U35">
        <f t="shared" si="11"/>
        <v>2.6534608511457801E-2</v>
      </c>
      <c r="V35">
        <f t="shared" si="40"/>
        <v>2.6703988612521871E-2</v>
      </c>
      <c r="W35">
        <f t="shared" si="12"/>
        <v>2.6876084394751022E-2</v>
      </c>
      <c r="X35">
        <f t="shared" si="40"/>
        <v>2.7048180176980172E-2</v>
      </c>
      <c r="Y35">
        <f t="shared" si="13"/>
        <v>2.8494306083903544E-2</v>
      </c>
      <c r="Z35">
        <f t="shared" si="14"/>
        <v>2.9940431990826917E-2</v>
      </c>
      <c r="AA35">
        <f t="shared" si="40"/>
        <v>3.1386557897750286E-2</v>
      </c>
      <c r="AB35">
        <f t="shared" si="15"/>
        <v>3.2828765607553233E-2</v>
      </c>
      <c r="AC35">
        <f t="shared" si="40"/>
        <v>3.4270973317356179E-2</v>
      </c>
      <c r="AD35">
        <f t="shared" si="16"/>
        <v>3.4494003819793548E-2</v>
      </c>
      <c r="AE35">
        <f t="shared" si="17"/>
        <v>3.4717034322230916E-2</v>
      </c>
      <c r="AF35">
        <f t="shared" si="18"/>
        <v>3.4940064824668285E-2</v>
      </c>
      <c r="AG35">
        <f t="shared" si="19"/>
        <v>3.5163095327105653E-2</v>
      </c>
      <c r="AH35">
        <f t="shared" si="40"/>
        <v>3.5386125829543022E-2</v>
      </c>
      <c r="AI35">
        <f t="shared" si="20"/>
        <v>3.5646383155578644E-2</v>
      </c>
      <c r="AJ35">
        <f t="shared" si="21"/>
        <v>3.5906640481614266E-2</v>
      </c>
      <c r="AK35">
        <f t="shared" si="22"/>
        <v>3.6166897807649888E-2</v>
      </c>
      <c r="AL35">
        <f t="shared" si="23"/>
        <v>3.642715513368551E-2</v>
      </c>
      <c r="AM35">
        <f t="shared" si="40"/>
        <v>3.6687412459721118E-2</v>
      </c>
    </row>
    <row r="37" spans="2:39" x14ac:dyDescent="0.25">
      <c r="D37" s="587"/>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D4CFC-C667-4893-8FC8-17D9E5EC6012}">
  <dimension ref="B1:AM35"/>
  <sheetViews>
    <sheetView workbookViewId="0"/>
  </sheetViews>
  <sheetFormatPr baseColWidth="10" defaultRowHeight="15" x14ac:dyDescent="0.25"/>
  <cols>
    <col min="2" max="2" width="39" customWidth="1"/>
    <col min="3" max="3" width="24.5703125" customWidth="1"/>
    <col min="4" max="8" width="12.42578125" customWidth="1"/>
    <col min="9" max="9" width="12.42578125" bestFit="1" customWidth="1"/>
    <col min="10" max="11" width="12.42578125" customWidth="1"/>
    <col min="15" max="16" width="12.42578125" customWidth="1"/>
    <col min="20" max="21" width="12.42578125" customWidth="1"/>
    <col min="25" max="26" width="12.42578125" customWidth="1"/>
  </cols>
  <sheetData>
    <row r="1" spans="2:39" x14ac:dyDescent="0.25">
      <c r="D1" t="s">
        <v>469</v>
      </c>
    </row>
    <row r="2" spans="2:39" x14ac:dyDescent="0.25">
      <c r="D2" s="557">
        <v>2015</v>
      </c>
      <c r="E2" s="557">
        <v>2016</v>
      </c>
      <c r="F2" s="557">
        <v>2017</v>
      </c>
      <c r="G2" s="557">
        <v>2018</v>
      </c>
      <c r="H2" s="557">
        <v>2019</v>
      </c>
      <c r="I2" s="557">
        <v>2020</v>
      </c>
      <c r="J2" s="557">
        <v>2021</v>
      </c>
      <c r="K2" s="557">
        <v>2022</v>
      </c>
      <c r="L2" s="557">
        <v>2023</v>
      </c>
      <c r="M2" s="557">
        <v>2024</v>
      </c>
      <c r="N2" s="557">
        <v>2025</v>
      </c>
      <c r="O2" s="557">
        <v>2026</v>
      </c>
      <c r="P2" s="557">
        <v>2027</v>
      </c>
      <c r="Q2" s="557">
        <v>2028</v>
      </c>
      <c r="R2" s="557">
        <v>2029</v>
      </c>
      <c r="S2" s="557">
        <v>2030</v>
      </c>
      <c r="T2" s="557">
        <v>2031</v>
      </c>
      <c r="U2" s="557">
        <v>2032</v>
      </c>
      <c r="V2" s="557">
        <v>2033</v>
      </c>
      <c r="W2" s="557">
        <v>2034</v>
      </c>
      <c r="X2" s="557">
        <v>2035</v>
      </c>
      <c r="Y2" s="557">
        <v>2036</v>
      </c>
      <c r="Z2" s="557">
        <v>2037</v>
      </c>
      <c r="AA2" s="557">
        <v>2038</v>
      </c>
      <c r="AB2" s="557">
        <v>2039</v>
      </c>
      <c r="AC2" s="557">
        <v>2040</v>
      </c>
      <c r="AD2" s="557">
        <v>2041</v>
      </c>
      <c r="AE2" s="557">
        <v>2042</v>
      </c>
      <c r="AF2" s="557">
        <v>2043</v>
      </c>
      <c r="AG2" s="557">
        <v>2044</v>
      </c>
      <c r="AH2" s="557">
        <v>2045</v>
      </c>
      <c r="AI2" s="557">
        <v>2046</v>
      </c>
      <c r="AJ2" s="557">
        <v>2047</v>
      </c>
      <c r="AK2" s="557">
        <v>2048</v>
      </c>
      <c r="AL2" s="557">
        <v>2049</v>
      </c>
      <c r="AM2" s="557">
        <v>2050</v>
      </c>
    </row>
    <row r="3" spans="2:39" x14ac:dyDescent="0.25">
      <c r="B3" t="s">
        <v>445</v>
      </c>
      <c r="C3" t="s">
        <v>427</v>
      </c>
      <c r="D3">
        <f>'Cibles THREEME AMS'!AT4*11.63</f>
        <v>603.27001485963751</v>
      </c>
      <c r="E3">
        <f>D3+(I3-D3)/5</f>
        <v>585.55780627214165</v>
      </c>
      <c r="F3">
        <f>E3+(I3-D3)/5</f>
        <v>567.84559768464578</v>
      </c>
      <c r="G3">
        <f>F3+(I3-D3)/5</f>
        <v>550.13338909714992</v>
      </c>
      <c r="H3">
        <f>G3+(I3-D3)/5</f>
        <v>532.42118050965405</v>
      </c>
      <c r="I3">
        <f>'Cibles THREEME AMS'!AU4</f>
        <v>514.70897192215841</v>
      </c>
      <c r="J3">
        <f>I3+(L3-I3)/3</f>
        <v>532.25287686225727</v>
      </c>
      <c r="K3">
        <f>J3+(L3-I3)/3</f>
        <v>549.79678180235612</v>
      </c>
      <c r="L3">
        <f>'Cibles THREEME AMS'!AV4</f>
        <v>567.34068674245509</v>
      </c>
      <c r="M3">
        <f>(L3+N3)/2</f>
        <v>551.36949480411204</v>
      </c>
      <c r="N3">
        <f>'Cibles THREEME AMS'!AW4</f>
        <v>535.3983028657691</v>
      </c>
      <c r="O3">
        <f>N3+(Q3-N3)/3</f>
        <v>516.83305086403618</v>
      </c>
      <c r="P3">
        <f>O3+(Q3-N3)/3</f>
        <v>498.26779886230327</v>
      </c>
      <c r="Q3">
        <f>'Cibles THREEME AMS'!AX4</f>
        <v>479.70254686057035</v>
      </c>
      <c r="R3">
        <f>(Q3+S3)/2</f>
        <v>461.12594074055494</v>
      </c>
      <c r="S3">
        <f>'Cibles THREEME AMS'!AY4</f>
        <v>442.54933462053958</v>
      </c>
      <c r="T3">
        <f>S3+(V3-S3)/3</f>
        <v>418.05481146540944</v>
      </c>
      <c r="U3">
        <f>T3+(V3-S3)/3</f>
        <v>393.5602883102793</v>
      </c>
      <c r="V3">
        <f>'Cibles THREEME AMS'!AZ4</f>
        <v>369.06576515514922</v>
      </c>
      <c r="W3">
        <f>(V3+X3)/2</f>
        <v>344.58211776461656</v>
      </c>
      <c r="X3">
        <f>'Cibles THREEME AMS'!BA4</f>
        <v>320.09847037408394</v>
      </c>
      <c r="Y3">
        <f>X3+(AA3-X3)/3</f>
        <v>296.83635562756126</v>
      </c>
      <c r="Z3">
        <f>Y3+(AA3-X3)/3</f>
        <v>273.57424088103858</v>
      </c>
      <c r="AA3">
        <f>'Cibles THREEME AMS'!BB4</f>
        <v>250.31212613451584</v>
      </c>
      <c r="AB3">
        <f>(AA3+AC3)/2</f>
        <v>227.06079291953469</v>
      </c>
      <c r="AC3">
        <f>'Cibles THREEME AMS'!BC4</f>
        <v>203.80945970455355</v>
      </c>
      <c r="AD3">
        <f>AC3+(AH3-AC3)/5</f>
        <v>187.8949150262973</v>
      </c>
      <c r="AE3">
        <f>AD3+(AH3-AC3)/5</f>
        <v>171.98037034804105</v>
      </c>
      <c r="AF3">
        <f>AE3+(AH3-AC3)/5</f>
        <v>156.0658256697848</v>
      </c>
      <c r="AG3">
        <f>AF3+(AH3-AC3)/5</f>
        <v>140.15128099152855</v>
      </c>
      <c r="AH3">
        <f>'Cibles THREEME AMS'!BD4</f>
        <v>124.23673631327225</v>
      </c>
      <c r="AI3">
        <f>AH3+(AM3-AH3)/5</f>
        <v>118.17767675903318</v>
      </c>
      <c r="AJ3">
        <f>AI3+(AM3-AH3)/5</f>
        <v>112.11861720479411</v>
      </c>
      <c r="AK3">
        <f>AJ3+(AM3-AH3)/5</f>
        <v>106.05955765055504</v>
      </c>
      <c r="AL3">
        <f>AK3+(AM3-AH3)/5</f>
        <v>100.00049809631597</v>
      </c>
      <c r="AM3">
        <f>'Cibles THREEME AMS'!BE4</f>
        <v>93.941438542076909</v>
      </c>
    </row>
    <row r="4" spans="2:39" x14ac:dyDescent="0.25">
      <c r="B4" t="s">
        <v>444</v>
      </c>
      <c r="C4" t="s">
        <v>428</v>
      </c>
      <c r="D4">
        <f>'Cibles THREEME AMS'!AT5*11.63</f>
        <v>34.211933560999114</v>
      </c>
      <c r="E4">
        <f t="shared" ref="E4:E18" si="0">D4+(I4-D4)/5</f>
        <v>33.519817255069832</v>
      </c>
      <c r="F4">
        <f t="shared" ref="F4:F18" si="1">E4+(I4-D4)/5</f>
        <v>32.827700949140549</v>
      </c>
      <c r="G4">
        <f t="shared" ref="G4:G18" si="2">F4+(I4-D4)/5</f>
        <v>32.135584643211267</v>
      </c>
      <c r="H4">
        <f t="shared" ref="H4:H18" si="3">G4+(I4-D4)/5</f>
        <v>31.443468337281985</v>
      </c>
      <c r="I4">
        <f>'Cibles THREEME AMS'!AU5</f>
        <v>30.751352031352695</v>
      </c>
      <c r="J4">
        <f t="shared" ref="J4:J35" si="4">I4+(L4-I4)/3</f>
        <v>33.118525426865531</v>
      </c>
      <c r="K4">
        <f t="shared" ref="K4:K35" si="5">J4+(L4-I4)/3</f>
        <v>35.485698822378367</v>
      </c>
      <c r="L4">
        <f>'Cibles THREEME AMS'!AV5</f>
        <v>37.852872217891196</v>
      </c>
      <c r="M4">
        <f t="shared" ref="M4:M35" si="6">(L4+N4)/2</f>
        <v>37.300563101680368</v>
      </c>
      <c r="N4">
        <f>'Cibles THREEME AMS'!AW5</f>
        <v>36.748253985469546</v>
      </c>
      <c r="O4">
        <f t="shared" ref="O4:O35" si="7">N4+(Q4-N4)/3</f>
        <v>36.840868503611503</v>
      </c>
      <c r="P4">
        <f t="shared" ref="P4:P35" si="8">O4+(Q4-N4)/3</f>
        <v>36.93348302175346</v>
      </c>
      <c r="Q4">
        <f>'Cibles THREEME AMS'!AX5</f>
        <v>37.02609753989541</v>
      </c>
      <c r="R4">
        <f t="shared" ref="R4:R35" si="9">(Q4+S4)/2</f>
        <v>37.119872095888326</v>
      </c>
      <c r="S4">
        <f>'Cibles THREEME AMS'!AY5</f>
        <v>37.213646651881248</v>
      </c>
      <c r="T4">
        <f t="shared" ref="T4:T35" si="10">S4+(V4-S4)/3</f>
        <v>38.659812658773362</v>
      </c>
      <c r="U4">
        <f t="shared" ref="U4:U35" si="11">T4+(V4-S4)/3</f>
        <v>40.105978665665475</v>
      </c>
      <c r="V4">
        <f>'Cibles THREEME AMS'!AZ5</f>
        <v>41.552144672557588</v>
      </c>
      <c r="W4">
        <f t="shared" ref="W4:W35" si="12">(V4+X4)/2</f>
        <v>42.974151975763576</v>
      </c>
      <c r="X4">
        <f>'Cibles THREEME AMS'!BA5</f>
        <v>44.396159278969556</v>
      </c>
      <c r="Y4">
        <f t="shared" ref="Y4:Y35" si="13">X4+(AA4-X4)/3</f>
        <v>44.184281736481033</v>
      </c>
      <c r="Z4">
        <f t="shared" ref="Z4:Z35" si="14">Y4+(AA4-X4)/3</f>
        <v>43.97240419399251</v>
      </c>
      <c r="AA4">
        <f>'Cibles THREEME AMS'!BB5</f>
        <v>43.76052665150398</v>
      </c>
      <c r="AB4">
        <f t="shared" ref="AB4:AB35" si="15">(AA4+AC4)/2</f>
        <v>43.525740944257677</v>
      </c>
      <c r="AC4">
        <f>'Cibles THREEME AMS'!BC5</f>
        <v>43.290955237011374</v>
      </c>
      <c r="AD4">
        <f t="shared" ref="AD4:AD35" si="16">AC4+(AH4-AC4)/5</f>
        <v>42.589052383161409</v>
      </c>
      <c r="AE4">
        <f t="shared" ref="AE4:AE35" si="17">AD4+(AH4-AC4)/5</f>
        <v>41.887149529311444</v>
      </c>
      <c r="AF4">
        <f t="shared" ref="AF4:AF35" si="18">AE4+(AH4-AC4)/5</f>
        <v>41.185246675461478</v>
      </c>
      <c r="AG4">
        <f t="shared" ref="AG4:AG35" si="19">AF4+(AH4-AC4)/5</f>
        <v>40.483343821611513</v>
      </c>
      <c r="AH4">
        <f>'Cibles THREEME AMS'!BD5</f>
        <v>39.78144096776154</v>
      </c>
      <c r="AI4">
        <f t="shared" ref="AI4:AI35" si="20">AH4+(AM4-AH4)/5</f>
        <v>38.392433815881006</v>
      </c>
      <c r="AJ4">
        <f t="shared" ref="AJ4:AJ35" si="21">AI4+(AM4-AH4)/5</f>
        <v>37.003426664000472</v>
      </c>
      <c r="AK4">
        <f t="shared" ref="AK4:AK35" si="22">AJ4+(AM4-AH4)/5</f>
        <v>35.614419512119937</v>
      </c>
      <c r="AL4">
        <f t="shared" ref="AL4:AL35" si="23">AK4+(AM4-AH4)/5</f>
        <v>34.225412360239403</v>
      </c>
      <c r="AM4">
        <f>'Cibles THREEME AMS'!BE5</f>
        <v>32.836405208358862</v>
      </c>
    </row>
    <row r="5" spans="2:39" x14ac:dyDescent="0.25">
      <c r="B5" t="s">
        <v>443</v>
      </c>
      <c r="C5" t="s">
        <v>427</v>
      </c>
      <c r="D5">
        <f>'Cibles THREEME AMS'!AT6*11.63</f>
        <v>179.31564910308737</v>
      </c>
      <c r="E5">
        <f t="shared" si="0"/>
        <v>173.19534879576759</v>
      </c>
      <c r="F5">
        <f t="shared" si="1"/>
        <v>167.07504848844781</v>
      </c>
      <c r="G5">
        <f t="shared" si="2"/>
        <v>160.95474818112802</v>
      </c>
      <c r="H5">
        <f t="shared" si="3"/>
        <v>154.83444787380824</v>
      </c>
      <c r="I5">
        <f>'Cibles THREEME AMS'!AU6</f>
        <v>148.71414756648849</v>
      </c>
      <c r="J5">
        <f t="shared" si="4"/>
        <v>140.48120057165832</v>
      </c>
      <c r="K5">
        <f t="shared" si="5"/>
        <v>132.24825357682815</v>
      </c>
      <c r="L5">
        <f>'Cibles THREEME AMS'!AV6</f>
        <v>124.015306581998</v>
      </c>
      <c r="M5">
        <f t="shared" si="6"/>
        <v>116.00450918507028</v>
      </c>
      <c r="N5">
        <f>'Cibles THREEME AMS'!AW6</f>
        <v>107.99371178814256</v>
      </c>
      <c r="O5">
        <f t="shared" si="7"/>
        <v>97.2281988526113</v>
      </c>
      <c r="P5">
        <f t="shared" si="8"/>
        <v>86.462685917080037</v>
      </c>
      <c r="Q5">
        <f>'Cibles THREEME AMS'!AX6</f>
        <v>75.697172981548761</v>
      </c>
      <c r="R5">
        <f t="shared" si="9"/>
        <v>66.267409166820272</v>
      </c>
      <c r="S5">
        <f>'Cibles THREEME AMS'!AY6</f>
        <v>56.837645352091783</v>
      </c>
      <c r="T5">
        <f t="shared" si="10"/>
        <v>51.704361286566787</v>
      </c>
      <c r="U5">
        <f t="shared" si="11"/>
        <v>46.57107722104179</v>
      </c>
      <c r="V5">
        <f>'Cibles THREEME AMS'!AZ6</f>
        <v>41.437793155516786</v>
      </c>
      <c r="W5">
        <f t="shared" si="12"/>
        <v>36.980535327602659</v>
      </c>
      <c r="X5">
        <f>'Cibles THREEME AMS'!BA6</f>
        <v>32.523277499688533</v>
      </c>
      <c r="Y5">
        <f t="shared" si="13"/>
        <v>29.552867760100789</v>
      </c>
      <c r="Z5">
        <f t="shared" si="14"/>
        <v>26.582458020513045</v>
      </c>
      <c r="AA5">
        <f>'Cibles THREEME AMS'!BB6</f>
        <v>23.612048280925297</v>
      </c>
      <c r="AB5">
        <f t="shared" si="15"/>
        <v>20.897319609167106</v>
      </c>
      <c r="AC5">
        <f>'Cibles THREEME AMS'!BC6</f>
        <v>18.182590937408918</v>
      </c>
      <c r="AD5">
        <f t="shared" si="16"/>
        <v>15.790477446958647</v>
      </c>
      <c r="AE5">
        <f t="shared" si="17"/>
        <v>13.398363956508376</v>
      </c>
      <c r="AF5">
        <f t="shared" si="18"/>
        <v>11.006250466058106</v>
      </c>
      <c r="AG5">
        <f t="shared" si="19"/>
        <v>8.6141369756078348</v>
      </c>
      <c r="AH5">
        <f>'Cibles THREEME AMS'!BD6</f>
        <v>6.2220234851575658</v>
      </c>
      <c r="AI5">
        <f t="shared" si="20"/>
        <v>4.9922068280130514</v>
      </c>
      <c r="AJ5">
        <f t="shared" si="21"/>
        <v>3.7623901708685374</v>
      </c>
      <c r="AK5">
        <f t="shared" si="22"/>
        <v>2.5325735137240235</v>
      </c>
      <c r="AL5">
        <f t="shared" si="23"/>
        <v>1.3027568565795096</v>
      </c>
      <c r="AM5">
        <f>'Cibles THREEME AMS'!BE6</f>
        <v>7.2940199434995523E-2</v>
      </c>
    </row>
    <row r="6" spans="2:39" x14ac:dyDescent="0.25">
      <c r="B6" t="s">
        <v>442</v>
      </c>
      <c r="C6" t="s">
        <v>428</v>
      </c>
      <c r="D6">
        <f>'Cibles THREEME AMS'!AT7*11.63</f>
        <v>2.0791888844805011</v>
      </c>
      <c r="E6">
        <f t="shared" si="0"/>
        <v>2.2593666048228949</v>
      </c>
      <c r="F6">
        <f t="shared" si="1"/>
        <v>2.4395443251652886</v>
      </c>
      <c r="G6">
        <f t="shared" si="2"/>
        <v>2.6197220455076824</v>
      </c>
      <c r="H6">
        <f t="shared" si="3"/>
        <v>2.7998997658500762</v>
      </c>
      <c r="I6">
        <f>'Cibles THREEME AMS'!AU7</f>
        <v>2.9800774861924699</v>
      </c>
      <c r="J6">
        <f t="shared" si="4"/>
        <v>2.9868511861847953</v>
      </c>
      <c r="K6">
        <f t="shared" si="5"/>
        <v>2.9936248861771206</v>
      </c>
      <c r="L6">
        <f>'Cibles THREEME AMS'!AV7</f>
        <v>3.0003985861694464</v>
      </c>
      <c r="M6">
        <f t="shared" si="6"/>
        <v>3.3628042683978308</v>
      </c>
      <c r="N6">
        <f>'Cibles THREEME AMS'!AW7</f>
        <v>3.7252099506262146</v>
      </c>
      <c r="O6">
        <f t="shared" si="7"/>
        <v>3.9887503474306385</v>
      </c>
      <c r="P6">
        <f t="shared" si="8"/>
        <v>4.2522907442350624</v>
      </c>
      <c r="Q6">
        <f>'Cibles THREEME AMS'!AX7</f>
        <v>4.5158311410394862</v>
      </c>
      <c r="R6">
        <f t="shared" si="9"/>
        <v>4.7496360363937828</v>
      </c>
      <c r="S6">
        <f>'Cibles THREEME AMS'!AY7</f>
        <v>4.9834409317480794</v>
      </c>
      <c r="T6">
        <f t="shared" si="10"/>
        <v>5.3011779287504597</v>
      </c>
      <c r="U6">
        <f t="shared" si="11"/>
        <v>5.6189149257528399</v>
      </c>
      <c r="V6">
        <f>'Cibles THREEME AMS'!AZ7</f>
        <v>5.9366519227552201</v>
      </c>
      <c r="W6">
        <f t="shared" si="12"/>
        <v>6.1734955808317746</v>
      </c>
      <c r="X6">
        <f>'Cibles THREEME AMS'!BA7</f>
        <v>6.4103392389083282</v>
      </c>
      <c r="Y6">
        <f t="shared" si="13"/>
        <v>6.7085767123227313</v>
      </c>
      <c r="Z6">
        <f t="shared" si="14"/>
        <v>7.0068141857371344</v>
      </c>
      <c r="AA6">
        <f>'Cibles THREEME AMS'!BB7</f>
        <v>7.3050516591515366</v>
      </c>
      <c r="AB6">
        <f t="shared" si="15"/>
        <v>7.4583956968811247</v>
      </c>
      <c r="AC6">
        <f>'Cibles THREEME AMS'!BC7</f>
        <v>7.6117397346107118</v>
      </c>
      <c r="AD6">
        <f t="shared" si="16"/>
        <v>7.7368728223858572</v>
      </c>
      <c r="AE6">
        <f t="shared" si="17"/>
        <v>7.8620059101610025</v>
      </c>
      <c r="AF6">
        <f t="shared" si="18"/>
        <v>7.9871389979361478</v>
      </c>
      <c r="AG6">
        <f t="shared" si="19"/>
        <v>8.1122720857112931</v>
      </c>
      <c r="AH6">
        <f>'Cibles THREEME AMS'!BD7</f>
        <v>8.2374051734864402</v>
      </c>
      <c r="AI6">
        <f t="shared" si="20"/>
        <v>7.9618485327114383</v>
      </c>
      <c r="AJ6">
        <f t="shared" si="21"/>
        <v>7.6862918919364365</v>
      </c>
      <c r="AK6">
        <f t="shared" si="22"/>
        <v>7.4107352511614346</v>
      </c>
      <c r="AL6">
        <f t="shared" si="23"/>
        <v>7.1351786103864328</v>
      </c>
      <c r="AM6">
        <f>'Cibles THREEME AMS'!BE7</f>
        <v>6.8596219696114309</v>
      </c>
    </row>
    <row r="7" spans="2:39" x14ac:dyDescent="0.25">
      <c r="B7" t="s">
        <v>416</v>
      </c>
      <c r="C7" t="s">
        <v>429</v>
      </c>
      <c r="D7">
        <f>('Cibles THREEME AMS'!AT19*([11]SUT!$Z$29+[11]SUT!$AA$29)/SUM([11]SUT!$W$29:$AA$29))*11.63</f>
        <v>338.84234763180768</v>
      </c>
      <c r="E7">
        <f t="shared" si="0"/>
        <v>337.73349222698715</v>
      </c>
      <c r="F7">
        <f t="shared" si="1"/>
        <v>336.62463682216662</v>
      </c>
      <c r="G7">
        <f t="shared" si="2"/>
        <v>335.51578141734609</v>
      </c>
      <c r="H7">
        <f t="shared" si="3"/>
        <v>334.40692601252556</v>
      </c>
      <c r="I7">
        <f>'Cibles THREEME AMS'!AU19*([11]SUT!$Z$29+[11]SUT!$AA$29)/SUM([11]SUT!$W$29:$AA$29)</f>
        <v>333.29807060770497</v>
      </c>
      <c r="J7">
        <f t="shared" si="4"/>
        <v>316.08325763620445</v>
      </c>
      <c r="K7">
        <f t="shared" si="5"/>
        <v>298.86844466470393</v>
      </c>
      <c r="L7">
        <f>'Cibles THREEME AMS'!AV19*([11]SUT!$Z$29+[11]SUT!$AA$29)/SUM([11]SUT!$W$29:$AA$29)</f>
        <v>281.65363169320335</v>
      </c>
      <c r="M7">
        <f t="shared" si="6"/>
        <v>288.56036309097016</v>
      </c>
      <c r="N7">
        <f>'Cibles THREEME AMS'!AW19*([11]SUT!$Z$29+[11]SUT!$AA$29)/SUM([11]SUT!$W$29:$AA$29)</f>
        <v>295.46709448873696</v>
      </c>
      <c r="O7">
        <f t="shared" si="7"/>
        <v>278.66319440824736</v>
      </c>
      <c r="P7">
        <f t="shared" si="8"/>
        <v>261.85929432775777</v>
      </c>
      <c r="Q7">
        <f>'Cibles THREEME AMS'!AX19*([11]SUT!$Z$29+[11]SUT!$AA$29)/SUM([11]SUT!$W$29:$AA$29)</f>
        <v>245.0553942472682</v>
      </c>
      <c r="R7">
        <f t="shared" si="9"/>
        <v>231.89452297703139</v>
      </c>
      <c r="S7">
        <f>'Cibles THREEME AMS'!AY19*([11]SUT!$Z$29+[11]SUT!$AA$29)/SUM([11]SUT!$W$29:$AA$29)</f>
        <v>218.73365170679457</v>
      </c>
      <c r="T7">
        <f t="shared" si="10"/>
        <v>209.00160633869339</v>
      </c>
      <c r="U7">
        <f t="shared" si="11"/>
        <v>199.26956097059221</v>
      </c>
      <c r="V7">
        <f>'Cibles THREEME AMS'!AZ19*([11]SUT!$Z$29+[11]SUT!$AA$29)/SUM([11]SUT!$W$29:$AA$29)</f>
        <v>189.53751560249106</v>
      </c>
      <c r="W7">
        <f t="shared" si="12"/>
        <v>181.93767054135694</v>
      </c>
      <c r="X7">
        <f>'Cibles THREEME AMS'!BA19*([11]SUT!$Z$29+[11]SUT!$AA$29)/SUM([11]SUT!$W$29:$AA$29)</f>
        <v>174.33782548022282</v>
      </c>
      <c r="Y7">
        <f t="shared" si="13"/>
        <v>160.07148260990337</v>
      </c>
      <c r="Z7">
        <f t="shared" si="14"/>
        <v>145.80513973958392</v>
      </c>
      <c r="AA7">
        <f>'Cibles THREEME AMS'!BB19*([11]SUT!$Z$29+[11]SUT!$AA$29)/SUM([11]SUT!$W$29:$AA$29)</f>
        <v>131.5387968692645</v>
      </c>
      <c r="AB7">
        <f t="shared" si="15"/>
        <v>118.51272086353214</v>
      </c>
      <c r="AC7">
        <f>'Cibles THREEME AMS'!BC19*([11]SUT!$Z$29+[11]SUT!$AA$29)/SUM([11]SUT!$W$29:$AA$29)</f>
        <v>105.48664485779977</v>
      </c>
      <c r="AD7">
        <f t="shared" si="16"/>
        <v>100.43196675869868</v>
      </c>
      <c r="AE7">
        <f t="shared" si="17"/>
        <v>95.377288659597582</v>
      </c>
      <c r="AF7">
        <f t="shared" si="18"/>
        <v>90.322610560496486</v>
      </c>
      <c r="AG7">
        <f t="shared" si="19"/>
        <v>85.26793246139539</v>
      </c>
      <c r="AH7">
        <f>'Cibles THREEME AMS'!BD19*([11]SUT!$Z$29+[11]SUT!$AA$29)/SUM([11]SUT!$W$29:$AA$29)</f>
        <v>80.213254362294307</v>
      </c>
      <c r="AI7">
        <f t="shared" si="20"/>
        <v>65.633971052540588</v>
      </c>
      <c r="AJ7">
        <f t="shared" si="21"/>
        <v>51.054687742786868</v>
      </c>
      <c r="AK7">
        <f t="shared" si="22"/>
        <v>36.475404433033148</v>
      </c>
      <c r="AL7">
        <f t="shared" si="23"/>
        <v>21.896121123279425</v>
      </c>
      <c r="AM7">
        <f>'Cibles THREEME AMS'!BE19*([11]SUT!$Z$29+[11]SUT!$AA$29)/SUM([11]SUT!$W$29:$AA$29)</f>
        <v>7.3168378135256908</v>
      </c>
    </row>
    <row r="8" spans="2:39" x14ac:dyDescent="0.25">
      <c r="B8" t="s">
        <v>417</v>
      </c>
      <c r="C8" t="s">
        <v>430</v>
      </c>
      <c r="D8">
        <f>('Cibles THREEME AMS'!AT21+'Cibles THREEME AMS'!AT22+'Cibles THREEME AMS'!AT23+'Cibles THREEME AMS'!AT24+'Cibles THREEME AMS'!AT25+'Cibles THREEME AMS'!AT26)*11.63</f>
        <v>57.742393690485713</v>
      </c>
      <c r="E8">
        <f t="shared" si="0"/>
        <v>58.260047135396746</v>
      </c>
      <c r="F8">
        <f t="shared" si="1"/>
        <v>58.77770058030778</v>
      </c>
      <c r="G8">
        <f t="shared" si="2"/>
        <v>59.295354025218813</v>
      </c>
      <c r="H8">
        <f t="shared" si="3"/>
        <v>59.813007470129847</v>
      </c>
      <c r="I8">
        <f>'Cibles THREEME AMS'!AU21+'Cibles THREEME AMS'!AU22+'Cibles THREEME AMS'!AU23+'Cibles THREEME AMS'!AU24+'Cibles THREEME AMS'!AU25+'Cibles THREEME AMS'!AU26</f>
        <v>60.33066091504088</v>
      </c>
      <c r="J8">
        <f t="shared" si="4"/>
        <v>70.613109657608604</v>
      </c>
      <c r="K8">
        <f t="shared" si="5"/>
        <v>80.895558400176327</v>
      </c>
      <c r="L8">
        <f>'Cibles THREEME AMS'!AV21+'Cibles THREEME AMS'!AV22+'Cibles THREEME AMS'!AV23+'Cibles THREEME AMS'!AV24+'Cibles THREEME AMS'!AV25+'Cibles THREEME AMS'!AV26</f>
        <v>91.178007142744065</v>
      </c>
      <c r="M8">
        <f t="shared" si="6"/>
        <v>110.08230965640902</v>
      </c>
      <c r="N8">
        <f>'Cibles THREEME AMS'!AW21+'Cibles THREEME AMS'!AW22+'Cibles THREEME AMS'!AW23+'Cibles THREEME AMS'!AW24+'Cibles THREEME AMS'!AW25+'Cibles THREEME AMS'!AW26</f>
        <v>128.98661217007398</v>
      </c>
      <c r="O8">
        <f t="shared" si="7"/>
        <v>146.87568993737003</v>
      </c>
      <c r="P8">
        <f t="shared" si="8"/>
        <v>164.76476770466607</v>
      </c>
      <c r="Q8">
        <f>'Cibles THREEME AMS'!AX21+'Cibles THREEME AMS'!AX22+'Cibles THREEME AMS'!AX23+'Cibles THREEME AMS'!AX24+'Cibles THREEME AMS'!AX25+'Cibles THREEME AMS'!AX26</f>
        <v>182.65384547196211</v>
      </c>
      <c r="R8">
        <f t="shared" si="9"/>
        <v>200.5050071291771</v>
      </c>
      <c r="S8">
        <f>'Cibles THREEME AMS'!AY21+'Cibles THREEME AMS'!AY22+'Cibles THREEME AMS'!AY23+'Cibles THREEME AMS'!AY24+'Cibles THREEME AMS'!AY25+'Cibles THREEME AMS'!AY26</f>
        <v>218.35616878639212</v>
      </c>
      <c r="T8">
        <f t="shared" si="10"/>
        <v>228.71622114402595</v>
      </c>
      <c r="U8">
        <f t="shared" si="11"/>
        <v>239.07627350165978</v>
      </c>
      <c r="V8">
        <f>'Cibles THREEME AMS'!AZ21+'Cibles THREEME AMS'!AZ22+'Cibles THREEME AMS'!AZ23+'Cibles THREEME AMS'!AZ24+'Cibles THREEME AMS'!AZ25+'Cibles THREEME AMS'!AZ26</f>
        <v>249.43632585929365</v>
      </c>
      <c r="W8">
        <f t="shared" si="12"/>
        <v>262.72015552172763</v>
      </c>
      <c r="X8">
        <f>'Cibles THREEME AMS'!BA21+'Cibles THREEME AMS'!BA22+'Cibles THREEME AMS'!BA23+'Cibles THREEME AMS'!BA24+'Cibles THREEME AMS'!BA25+'Cibles THREEME AMS'!BA26</f>
        <v>276.00398518416165</v>
      </c>
      <c r="Y8">
        <f t="shared" si="13"/>
        <v>292.99981666997246</v>
      </c>
      <c r="Z8">
        <f t="shared" si="14"/>
        <v>309.99564815578327</v>
      </c>
      <c r="AA8">
        <f>'Cibles THREEME AMS'!BB21+'Cibles THREEME AMS'!BB22+'Cibles THREEME AMS'!BB23+'Cibles THREEME AMS'!BB24+'Cibles THREEME AMS'!BB25+'Cibles THREEME AMS'!BB26</f>
        <v>326.99147964159403</v>
      </c>
      <c r="AB8">
        <f t="shared" si="15"/>
        <v>340.38323803928233</v>
      </c>
      <c r="AC8">
        <f>'Cibles THREEME AMS'!BC21+'Cibles THREEME AMS'!BC22+'Cibles THREEME AMS'!BC23+'Cibles THREEME AMS'!BC24+'Cibles THREEME AMS'!BC25+'Cibles THREEME AMS'!BC26</f>
        <v>353.7749964369707</v>
      </c>
      <c r="AD8">
        <f t="shared" si="16"/>
        <v>359.55215684315658</v>
      </c>
      <c r="AE8">
        <f t="shared" si="17"/>
        <v>365.32931724934247</v>
      </c>
      <c r="AF8">
        <f t="shared" si="18"/>
        <v>371.10647765552835</v>
      </c>
      <c r="AG8">
        <f t="shared" si="19"/>
        <v>376.88363806171424</v>
      </c>
      <c r="AH8">
        <f>'Cibles THREEME AMS'!BD21+'Cibles THREEME AMS'!BD22+'Cibles THREEME AMS'!BD23+'Cibles THREEME AMS'!BD24+'Cibles THREEME AMS'!BD25+'Cibles THREEME AMS'!BD26</f>
        <v>382.66079846790024</v>
      </c>
      <c r="AI8">
        <f t="shared" si="20"/>
        <v>398.0684834595744</v>
      </c>
      <c r="AJ8">
        <f t="shared" si="21"/>
        <v>413.47616845124855</v>
      </c>
      <c r="AK8">
        <f t="shared" si="22"/>
        <v>428.88385344292271</v>
      </c>
      <c r="AL8">
        <f t="shared" si="23"/>
        <v>444.29153843459687</v>
      </c>
      <c r="AM8">
        <f>'Cibles THREEME AMS'!BE21+'Cibles THREEME AMS'!BE22+'Cibles THREEME AMS'!BE23+'Cibles THREEME AMS'!BE24+'Cibles THREEME AMS'!BE25+'Cibles THREEME AMS'!BE26</f>
        <v>459.69922342627103</v>
      </c>
    </row>
    <row r="9" spans="2:39" x14ac:dyDescent="0.25">
      <c r="B9" t="s">
        <v>441</v>
      </c>
      <c r="C9" t="s">
        <v>440</v>
      </c>
      <c r="D9">
        <f>('Cibles THREEME AMS'!AT19*([11]SUT!$W$29)/SUM([11]SUT!$W$29:$AA$29))*11.63</f>
        <v>4.0670350384966891</v>
      </c>
      <c r="E9">
        <f t="shared" si="0"/>
        <v>4.0537257404837623</v>
      </c>
      <c r="F9">
        <f t="shared" si="1"/>
        <v>4.0404164424708355</v>
      </c>
      <c r="G9">
        <f t="shared" si="2"/>
        <v>4.0271071444579087</v>
      </c>
      <c r="H9">
        <f t="shared" si="3"/>
        <v>4.0137978464449819</v>
      </c>
      <c r="I9">
        <f>'Cibles THREEME AMS'!AU19*([11]SUT!$W$29)/SUM([11]SUT!$W$29:$AA$29)</f>
        <v>4.0004885484320534</v>
      </c>
      <c r="J9">
        <f t="shared" si="4"/>
        <v>3.7938637034987464</v>
      </c>
      <c r="K9">
        <f t="shared" si="5"/>
        <v>3.5872388585654393</v>
      </c>
      <c r="L9">
        <f>'Cibles THREEME AMS'!AV19*([11]SUT!$W$29)/SUM([11]SUT!$W$29:$AA$29)</f>
        <v>3.3806140136321319</v>
      </c>
      <c r="M9">
        <f t="shared" si="6"/>
        <v>3.4635136830286086</v>
      </c>
      <c r="N9">
        <f>'Cibles THREEME AMS'!AW19*([11]SUT!$W$29)/SUM([11]SUT!$W$29:$AA$29)</f>
        <v>3.5464133524250854</v>
      </c>
      <c r="O9">
        <f t="shared" si="7"/>
        <v>3.3447205861920692</v>
      </c>
      <c r="P9">
        <f t="shared" si="8"/>
        <v>3.1430278199590531</v>
      </c>
      <c r="Q9">
        <f>'Cibles THREEME AMS'!AX19*([11]SUT!$W$29)/SUM([11]SUT!$W$29:$AA$29)</f>
        <v>2.9413350537260374</v>
      </c>
      <c r="R9">
        <f t="shared" si="9"/>
        <v>2.7833685983307994</v>
      </c>
      <c r="S9">
        <f>'Cibles THREEME AMS'!AY19*([11]SUT!$W$29)/SUM([11]SUT!$W$29:$AA$29)</f>
        <v>2.6254021429355618</v>
      </c>
      <c r="T9">
        <f t="shared" si="10"/>
        <v>2.5085909775516062</v>
      </c>
      <c r="U9">
        <f t="shared" si="11"/>
        <v>2.3917798121676506</v>
      </c>
      <c r="V9">
        <f>'Cibles THREEME AMS'!AZ19*([11]SUT!$W$29)/SUM([11]SUT!$W$29:$AA$29)</f>
        <v>2.2749686467836949</v>
      </c>
      <c r="W9">
        <f t="shared" si="12"/>
        <v>2.1837497174886931</v>
      </c>
      <c r="X9">
        <f>'Cibles THREEME AMS'!BA19*([11]SUT!$W$29)/SUM([11]SUT!$W$29:$AA$29)</f>
        <v>2.0925307881936908</v>
      </c>
      <c r="Y9">
        <f t="shared" si="13"/>
        <v>1.9212956496984162</v>
      </c>
      <c r="Z9">
        <f t="shared" si="14"/>
        <v>1.7500605112031415</v>
      </c>
      <c r="AA9">
        <f>'Cibles THREEME AMS'!BB19*([11]SUT!$W$29)/SUM([11]SUT!$W$29:$AA$29)</f>
        <v>1.5788253727078667</v>
      </c>
      <c r="AB9">
        <f t="shared" si="15"/>
        <v>1.4224768292046772</v>
      </c>
      <c r="AC9">
        <f>'Cibles THREEME AMS'!BC19*([11]SUT!$W$29)/SUM([11]SUT!$W$29:$AA$29)</f>
        <v>1.2661282857014877</v>
      </c>
      <c r="AD9">
        <f t="shared" si="16"/>
        <v>1.2054583219822415</v>
      </c>
      <c r="AE9">
        <f t="shared" si="17"/>
        <v>1.1447883582629952</v>
      </c>
      <c r="AF9">
        <f t="shared" si="18"/>
        <v>1.0841183945437489</v>
      </c>
      <c r="AG9">
        <f t="shared" si="19"/>
        <v>1.0234484308245027</v>
      </c>
      <c r="AH9">
        <f>'Cibles THREEME AMS'!BD19*([11]SUT!$W$29)/SUM([11]SUT!$W$29:$AA$29)</f>
        <v>0.96277846710525672</v>
      </c>
      <c r="AI9">
        <f t="shared" si="20"/>
        <v>0.78778718732174857</v>
      </c>
      <c r="AJ9">
        <f t="shared" si="21"/>
        <v>0.61279590753824054</v>
      </c>
      <c r="AK9">
        <f t="shared" si="22"/>
        <v>0.43780462775473244</v>
      </c>
      <c r="AL9">
        <f t="shared" si="23"/>
        <v>0.26281334797122435</v>
      </c>
      <c r="AM9">
        <f>'Cibles THREEME AMS'!BE19*([11]SUT!$W$29)/SUM([11]SUT!$W$29:$AA$29)</f>
        <v>8.782206818771629E-2</v>
      </c>
    </row>
    <row r="10" spans="2:39" x14ac:dyDescent="0.25">
      <c r="B10" t="s">
        <v>418</v>
      </c>
      <c r="C10" t="s">
        <v>431</v>
      </c>
      <c r="D10">
        <f>'Cibles THREEME AMS'!AT9*11.63</f>
        <v>343.70998247594031</v>
      </c>
      <c r="E10">
        <f t="shared" si="0"/>
        <v>331.13926957390174</v>
      </c>
      <c r="F10">
        <f t="shared" si="1"/>
        <v>318.56855667186318</v>
      </c>
      <c r="G10">
        <f t="shared" si="2"/>
        <v>305.99784376982461</v>
      </c>
      <c r="H10">
        <f t="shared" si="3"/>
        <v>293.42713086778605</v>
      </c>
      <c r="I10">
        <f>'Cibles THREEME AMS'!AU9</f>
        <v>280.85641796574743</v>
      </c>
      <c r="J10">
        <f t="shared" si="4"/>
        <v>276.4363866160175</v>
      </c>
      <c r="K10">
        <f t="shared" si="5"/>
        <v>272.01635526628758</v>
      </c>
      <c r="L10">
        <f>'Cibles THREEME AMS'!AV9</f>
        <v>267.59632391655759</v>
      </c>
      <c r="M10">
        <f t="shared" si="6"/>
        <v>273.67279730466021</v>
      </c>
      <c r="N10">
        <f>'Cibles THREEME AMS'!AW9</f>
        <v>279.74927069276276</v>
      </c>
      <c r="O10">
        <f t="shared" si="7"/>
        <v>281.32501500412502</v>
      </c>
      <c r="P10">
        <f t="shared" si="8"/>
        <v>282.90075931548728</v>
      </c>
      <c r="Q10">
        <f>'Cibles THREEME AMS'!AX9</f>
        <v>284.47650362684959</v>
      </c>
      <c r="R10">
        <f t="shared" si="9"/>
        <v>287.97179133616191</v>
      </c>
      <c r="S10">
        <f>'Cibles THREEME AMS'!AY9</f>
        <v>291.46707904547418</v>
      </c>
      <c r="T10">
        <f t="shared" si="10"/>
        <v>286.19595186687513</v>
      </c>
      <c r="U10">
        <f t="shared" si="11"/>
        <v>280.92482468827609</v>
      </c>
      <c r="V10">
        <f>'Cibles THREEME AMS'!AZ9</f>
        <v>275.6536975096771</v>
      </c>
      <c r="W10">
        <f t="shared" si="12"/>
        <v>272.26417093232328</v>
      </c>
      <c r="X10">
        <f>'Cibles THREEME AMS'!BA9</f>
        <v>268.87464435496946</v>
      </c>
      <c r="Y10">
        <f t="shared" si="13"/>
        <v>268.57420631361663</v>
      </c>
      <c r="Z10">
        <f t="shared" si="14"/>
        <v>268.27376827226379</v>
      </c>
      <c r="AA10">
        <f>'Cibles THREEME AMS'!BB9</f>
        <v>267.9733302309109</v>
      </c>
      <c r="AB10">
        <f t="shared" si="15"/>
        <v>267.51418602902129</v>
      </c>
      <c r="AC10">
        <f>'Cibles THREEME AMS'!BC9</f>
        <v>267.05504182713167</v>
      </c>
      <c r="AD10">
        <f t="shared" si="16"/>
        <v>259.58916810466076</v>
      </c>
      <c r="AE10">
        <f t="shared" si="17"/>
        <v>252.12329438218984</v>
      </c>
      <c r="AF10">
        <f t="shared" si="18"/>
        <v>244.65742065971892</v>
      </c>
      <c r="AG10">
        <f t="shared" si="19"/>
        <v>237.19154693724801</v>
      </c>
      <c r="AH10">
        <f>'Cibles THREEME AMS'!BD9</f>
        <v>229.72567321477706</v>
      </c>
      <c r="AI10">
        <f t="shared" si="20"/>
        <v>219.84012671042191</v>
      </c>
      <c r="AJ10">
        <f t="shared" si="21"/>
        <v>209.95458020606677</v>
      </c>
      <c r="AK10">
        <f t="shared" si="22"/>
        <v>200.06903370171162</v>
      </c>
      <c r="AL10">
        <f t="shared" si="23"/>
        <v>190.18348719735647</v>
      </c>
      <c r="AM10">
        <f>'Cibles THREEME AMS'!BE9</f>
        <v>180.29794069300132</v>
      </c>
    </row>
    <row r="11" spans="2:39" x14ac:dyDescent="0.25">
      <c r="B11" t="s">
        <v>419</v>
      </c>
      <c r="C11" t="s">
        <v>432</v>
      </c>
      <c r="D11">
        <f>'Cibles THREEME AMS'!AT10*11.63</f>
        <v>2.7137126386245818</v>
      </c>
      <c r="E11">
        <f t="shared" si="0"/>
        <v>2.4063580125199024</v>
      </c>
      <c r="F11">
        <f t="shared" si="1"/>
        <v>2.0990033864152231</v>
      </c>
      <c r="G11">
        <f t="shared" si="2"/>
        <v>1.7916487603105438</v>
      </c>
      <c r="H11">
        <f t="shared" si="3"/>
        <v>1.4842941342058644</v>
      </c>
      <c r="I11">
        <f>'Cibles THREEME AMS'!AU10</f>
        <v>1.1769395081011844</v>
      </c>
      <c r="J11">
        <f t="shared" si="4"/>
        <v>1.6568887271483279</v>
      </c>
      <c r="K11">
        <f t="shared" si="5"/>
        <v>2.1368379461954716</v>
      </c>
      <c r="L11">
        <f>'Cibles THREEME AMS'!AV10</f>
        <v>2.6167871652426151</v>
      </c>
      <c r="M11">
        <f t="shared" si="6"/>
        <v>2.0737316609439089</v>
      </c>
      <c r="N11">
        <f>'Cibles THREEME AMS'!AW10</f>
        <v>1.5306761566452027</v>
      </c>
      <c r="O11">
        <f t="shared" si="7"/>
        <v>1.1973764277842043</v>
      </c>
      <c r="P11">
        <f t="shared" si="8"/>
        <v>0.86407669892320582</v>
      </c>
      <c r="Q11">
        <f>'Cibles THREEME AMS'!AX10</f>
        <v>0.53077697006220725</v>
      </c>
      <c r="R11">
        <f t="shared" si="9"/>
        <v>0.39470345210447577</v>
      </c>
      <c r="S11">
        <f>'Cibles THREEME AMS'!AY10</f>
        <v>0.25862993414674429</v>
      </c>
      <c r="T11">
        <f t="shared" si="10"/>
        <v>0.25584481181609015</v>
      </c>
      <c r="U11">
        <f t="shared" si="11"/>
        <v>0.253059689485436</v>
      </c>
      <c r="V11">
        <f>'Cibles THREEME AMS'!AZ10</f>
        <v>0.25027456715478191</v>
      </c>
      <c r="W11">
        <f t="shared" si="12"/>
        <v>0.24904949251443134</v>
      </c>
      <c r="X11">
        <f>'Cibles THREEME AMS'!BA10</f>
        <v>0.24782441787408077</v>
      </c>
      <c r="Y11">
        <f t="shared" si="13"/>
        <v>0.20132120052990216</v>
      </c>
      <c r="Z11">
        <f t="shared" si="14"/>
        <v>0.15481798318572354</v>
      </c>
      <c r="AA11">
        <f>'Cibles THREEME AMS'!BB10</f>
        <v>0.10831476584154495</v>
      </c>
      <c r="AB11">
        <f t="shared" si="15"/>
        <v>0.11390112484226626</v>
      </c>
      <c r="AC11">
        <f>'Cibles THREEME AMS'!BC10</f>
        <v>0.11948748384298757</v>
      </c>
      <c r="AD11">
        <f t="shared" si="16"/>
        <v>0.11558998707439005</v>
      </c>
      <c r="AE11">
        <f t="shared" si="17"/>
        <v>0.11169249030579254</v>
      </c>
      <c r="AF11">
        <f t="shared" si="18"/>
        <v>0.10779499353719502</v>
      </c>
      <c r="AG11">
        <f t="shared" si="19"/>
        <v>0.1038974967685975</v>
      </c>
      <c r="AH11">
        <f>'Cibles THREEME AMS'!BD10</f>
        <v>0.1</v>
      </c>
      <c r="AI11">
        <f t="shared" si="20"/>
        <v>0.1</v>
      </c>
      <c r="AJ11">
        <f t="shared" si="21"/>
        <v>0.1</v>
      </c>
      <c r="AK11">
        <f t="shared" si="22"/>
        <v>0.1</v>
      </c>
      <c r="AL11">
        <f t="shared" si="23"/>
        <v>0.1</v>
      </c>
      <c r="AM11">
        <f>'Cibles THREEME AMS'!BE10</f>
        <v>0.1</v>
      </c>
    </row>
    <row r="12" spans="2:39" x14ac:dyDescent="0.25">
      <c r="B12" t="s">
        <v>420</v>
      </c>
      <c r="C12" t="s">
        <v>433</v>
      </c>
      <c r="D12">
        <f>('Cibles THREEME AMS'!AT11+'Cibles THREEME AMS'!AT13)*11.63</f>
        <v>17.848019232017553</v>
      </c>
      <c r="E12">
        <f t="shared" si="0"/>
        <v>19.259351222124298</v>
      </c>
      <c r="F12">
        <f t="shared" si="1"/>
        <v>20.670683212231044</v>
      </c>
      <c r="G12">
        <f t="shared" si="2"/>
        <v>22.082015202337789</v>
      </c>
      <c r="H12">
        <f t="shared" si="3"/>
        <v>23.493347192444535</v>
      </c>
      <c r="I12">
        <f>'Cibles THREEME AMS'!AU11+'Cibles THREEME AMS'!AU13</f>
        <v>24.904679182551273</v>
      </c>
      <c r="J12">
        <f t="shared" si="4"/>
        <v>23.696159455925354</v>
      </c>
      <c r="K12">
        <f t="shared" si="5"/>
        <v>22.487639729299435</v>
      </c>
      <c r="L12">
        <f>'Cibles THREEME AMS'!AV11+'Cibles THREEME AMS'!AV13</f>
        <v>21.279120002673519</v>
      </c>
      <c r="M12">
        <f t="shared" si="6"/>
        <v>24.757368516397406</v>
      </c>
      <c r="N12">
        <f>'Cibles THREEME AMS'!AW11+'Cibles THREEME AMS'!AW13</f>
        <v>28.235617030121297</v>
      </c>
      <c r="O12">
        <f t="shared" si="7"/>
        <v>28.23662404491597</v>
      </c>
      <c r="P12">
        <f t="shared" si="8"/>
        <v>28.237631059710644</v>
      </c>
      <c r="Q12">
        <f>'Cibles THREEME AMS'!AX11+'Cibles THREEME AMS'!AX13</f>
        <v>28.238638074505317</v>
      </c>
      <c r="R12">
        <f t="shared" si="9"/>
        <v>25.084197210238315</v>
      </c>
      <c r="S12">
        <f>'Cibles THREEME AMS'!AY11+'Cibles THREEME AMS'!AY13</f>
        <v>21.92975634597131</v>
      </c>
      <c r="T12">
        <f t="shared" si="10"/>
        <v>20.362508584527141</v>
      </c>
      <c r="U12">
        <f t="shared" si="11"/>
        <v>18.795260823082973</v>
      </c>
      <c r="V12">
        <f>'Cibles THREEME AMS'!AZ11+'Cibles THREEME AMS'!AZ13</f>
        <v>17.228013061638809</v>
      </c>
      <c r="W12">
        <f t="shared" si="12"/>
        <v>15.886355454598586</v>
      </c>
      <c r="X12">
        <f>'Cibles THREEME AMS'!BA11+'Cibles THREEME AMS'!BA13</f>
        <v>14.544697847558366</v>
      </c>
      <c r="Y12">
        <f t="shared" si="13"/>
        <v>11.568712979918852</v>
      </c>
      <c r="Z12">
        <f t="shared" si="14"/>
        <v>8.5927281122793371</v>
      </c>
      <c r="AA12">
        <f>'Cibles THREEME AMS'!BB11+'Cibles THREEME AMS'!BB13</f>
        <v>5.6167432446398244</v>
      </c>
      <c r="AB12">
        <f t="shared" si="15"/>
        <v>3.4820814343331317</v>
      </c>
      <c r="AC12">
        <f>'Cibles THREEME AMS'!BC11+'Cibles THREEME AMS'!BC13</f>
        <v>1.3474196240264387</v>
      </c>
      <c r="AD12">
        <f t="shared" si="16"/>
        <v>1.3477132797214808</v>
      </c>
      <c r="AE12">
        <f t="shared" si="17"/>
        <v>1.3480069354165229</v>
      </c>
      <c r="AF12">
        <f t="shared" si="18"/>
        <v>1.3483005911115651</v>
      </c>
      <c r="AG12">
        <f t="shared" si="19"/>
        <v>1.3485942468066072</v>
      </c>
      <c r="AH12">
        <f>'Cibles THREEME AMS'!BD11+'Cibles THREEME AMS'!BD13</f>
        <v>1.3488879025016489</v>
      </c>
      <c r="AI12">
        <f t="shared" si="20"/>
        <v>1.3487845574552519</v>
      </c>
      <c r="AJ12">
        <f t="shared" si="21"/>
        <v>1.348681212408855</v>
      </c>
      <c r="AK12">
        <f t="shared" si="22"/>
        <v>1.348577867362458</v>
      </c>
      <c r="AL12">
        <f t="shared" si="23"/>
        <v>1.348474522316061</v>
      </c>
      <c r="AM12">
        <f>'Cibles THREEME AMS'!BE11+'Cibles THREEME AMS'!BE13</f>
        <v>1.348371177269664</v>
      </c>
    </row>
    <row r="13" spans="2:39" x14ac:dyDescent="0.25">
      <c r="B13" t="s">
        <v>421</v>
      </c>
      <c r="C13" t="s">
        <v>434</v>
      </c>
      <c r="D13">
        <f>'Cibles THREEME AMS'!AT12*11.63</f>
        <v>8.3663800724114221</v>
      </c>
      <c r="E13">
        <f t="shared" si="0"/>
        <v>7.1570541733794402</v>
      </c>
      <c r="F13">
        <f t="shared" si="1"/>
        <v>5.9477282743474582</v>
      </c>
      <c r="G13">
        <f t="shared" si="2"/>
        <v>4.7384023753154763</v>
      </c>
      <c r="H13">
        <f t="shared" si="3"/>
        <v>3.5290764762834943</v>
      </c>
      <c r="I13">
        <f>'Cibles THREEME AMS'!AU12</f>
        <v>2.3197505772515123</v>
      </c>
      <c r="J13">
        <f t="shared" si="4"/>
        <v>2.205867816668464</v>
      </c>
      <c r="K13">
        <f t="shared" si="5"/>
        <v>2.0919850560854156</v>
      </c>
      <c r="L13">
        <f>'Cibles THREEME AMS'!AV12</f>
        <v>1.9781022955023679</v>
      </c>
      <c r="M13">
        <f t="shared" si="6"/>
        <v>1.2890511477511839</v>
      </c>
      <c r="N13">
        <f>'Cibles THREEME AMS'!AW12</f>
        <v>0.6</v>
      </c>
      <c r="O13">
        <f t="shared" si="7"/>
        <v>0.46666666666666667</v>
      </c>
      <c r="P13">
        <f t="shared" si="8"/>
        <v>0.33333333333333337</v>
      </c>
      <c r="Q13">
        <f>'Cibles THREEME AMS'!AX12</f>
        <v>0.2</v>
      </c>
      <c r="R13">
        <f t="shared" si="9"/>
        <v>0.2</v>
      </c>
      <c r="S13">
        <f>'Cibles THREEME AMS'!AY12</f>
        <v>0.2</v>
      </c>
      <c r="T13">
        <f t="shared" si="10"/>
        <v>0.16666666666666669</v>
      </c>
      <c r="U13">
        <f t="shared" si="11"/>
        <v>0.13333333333333336</v>
      </c>
      <c r="V13">
        <f>'Cibles THREEME AMS'!AZ12</f>
        <v>0.1</v>
      </c>
      <c r="W13">
        <f t="shared" si="12"/>
        <v>0.1</v>
      </c>
      <c r="X13">
        <f>'Cibles THREEME AMS'!BA12</f>
        <v>0.1</v>
      </c>
      <c r="Y13">
        <f t="shared" si="13"/>
        <v>0.1</v>
      </c>
      <c r="Z13">
        <f t="shared" si="14"/>
        <v>0.1</v>
      </c>
      <c r="AA13">
        <f>'Cibles THREEME AMS'!BB12</f>
        <v>0.1</v>
      </c>
      <c r="AB13">
        <f t="shared" si="15"/>
        <v>0.1</v>
      </c>
      <c r="AC13">
        <f>'Cibles THREEME AMS'!BC12</f>
        <v>0.1</v>
      </c>
      <c r="AD13">
        <f t="shared" si="16"/>
        <v>0.1</v>
      </c>
      <c r="AE13">
        <f t="shared" si="17"/>
        <v>0.1</v>
      </c>
      <c r="AF13">
        <f t="shared" si="18"/>
        <v>0.1</v>
      </c>
      <c r="AG13">
        <f t="shared" si="19"/>
        <v>0.1</v>
      </c>
      <c r="AH13">
        <f>'Cibles THREEME AMS'!BD12</f>
        <v>0.1</v>
      </c>
      <c r="AI13">
        <f t="shared" si="20"/>
        <v>0.1</v>
      </c>
      <c r="AJ13">
        <f t="shared" si="21"/>
        <v>0.1</v>
      </c>
      <c r="AK13">
        <f t="shared" si="22"/>
        <v>0.1</v>
      </c>
      <c r="AL13">
        <f t="shared" si="23"/>
        <v>0.1</v>
      </c>
      <c r="AM13">
        <f>'Cibles THREEME AMS'!BE12</f>
        <v>0.1</v>
      </c>
    </row>
    <row r="14" spans="2:39" x14ac:dyDescent="0.25">
      <c r="B14" t="s">
        <v>422</v>
      </c>
      <c r="C14" t="s">
        <v>435</v>
      </c>
      <c r="D14">
        <f>'Cibles THREEME AMS'!AT14*11.63</f>
        <v>23.672640891834686</v>
      </c>
      <c r="E14">
        <f t="shared" si="0"/>
        <v>25.732294152604926</v>
      </c>
      <c r="F14">
        <f t="shared" si="1"/>
        <v>27.791947413375166</v>
      </c>
      <c r="G14">
        <f t="shared" si="2"/>
        <v>29.851600674145406</v>
      </c>
      <c r="H14">
        <f t="shared" si="3"/>
        <v>31.911253934915646</v>
      </c>
      <c r="I14">
        <f>'Cibles THREEME AMS'!AU14</f>
        <v>33.970907195685882</v>
      </c>
      <c r="J14">
        <f t="shared" si="4"/>
        <v>35.543525356580744</v>
      </c>
      <c r="K14">
        <f t="shared" si="5"/>
        <v>37.116143517475606</v>
      </c>
      <c r="L14">
        <f>'Cibles THREEME AMS'!AV14</f>
        <v>38.688761678370462</v>
      </c>
      <c r="M14">
        <f t="shared" si="6"/>
        <v>42.412374468079776</v>
      </c>
      <c r="N14">
        <f>'Cibles THREEME AMS'!AW14</f>
        <v>46.13598725778909</v>
      </c>
      <c r="O14">
        <f t="shared" si="7"/>
        <v>49.302079974381705</v>
      </c>
      <c r="P14">
        <f t="shared" si="8"/>
        <v>52.46817269097432</v>
      </c>
      <c r="Q14">
        <f>'Cibles THREEME AMS'!AX14</f>
        <v>55.634265407566943</v>
      </c>
      <c r="R14">
        <f t="shared" si="9"/>
        <v>59.24835516441069</v>
      </c>
      <c r="S14">
        <f>'Cibles THREEME AMS'!AY14</f>
        <v>62.862444921254436</v>
      </c>
      <c r="T14">
        <f t="shared" si="10"/>
        <v>71.126888188982875</v>
      </c>
      <c r="U14">
        <f t="shared" si="11"/>
        <v>79.391331456711313</v>
      </c>
      <c r="V14">
        <f>'Cibles THREEME AMS'!AZ14</f>
        <v>87.655774724439738</v>
      </c>
      <c r="W14">
        <f t="shared" si="12"/>
        <v>95.577834757513415</v>
      </c>
      <c r="X14">
        <f>'Cibles THREEME AMS'!BA14</f>
        <v>103.49989479058709</v>
      </c>
      <c r="Y14">
        <f t="shared" si="13"/>
        <v>110.02210842515902</v>
      </c>
      <c r="Z14">
        <f t="shared" si="14"/>
        <v>116.54432205973094</v>
      </c>
      <c r="AA14">
        <f>'Cibles THREEME AMS'!BB14</f>
        <v>123.06653569430287</v>
      </c>
      <c r="AB14">
        <f t="shared" si="15"/>
        <v>129.21272017836071</v>
      </c>
      <c r="AC14">
        <f>'Cibles THREEME AMS'!BC14</f>
        <v>135.35890466241858</v>
      </c>
      <c r="AD14">
        <f t="shared" si="16"/>
        <v>142.61600948824872</v>
      </c>
      <c r="AE14">
        <f t="shared" si="17"/>
        <v>149.87311431407886</v>
      </c>
      <c r="AF14">
        <f t="shared" si="18"/>
        <v>157.130219139909</v>
      </c>
      <c r="AG14">
        <f t="shared" si="19"/>
        <v>164.38732396573914</v>
      </c>
      <c r="AH14">
        <f>'Cibles THREEME AMS'!BD14</f>
        <v>171.64442879156925</v>
      </c>
      <c r="AI14">
        <f t="shared" si="20"/>
        <v>179.4038925477216</v>
      </c>
      <c r="AJ14">
        <f t="shared" si="21"/>
        <v>187.16335630387394</v>
      </c>
      <c r="AK14">
        <f t="shared" si="22"/>
        <v>194.92282006002628</v>
      </c>
      <c r="AL14">
        <f t="shared" si="23"/>
        <v>202.68228381617863</v>
      </c>
      <c r="AM14">
        <f>'Cibles THREEME AMS'!BE14</f>
        <v>210.44174757233097</v>
      </c>
    </row>
    <row r="15" spans="2:39" x14ac:dyDescent="0.25">
      <c r="B15" t="s">
        <v>423</v>
      </c>
      <c r="C15" t="s">
        <v>436</v>
      </c>
      <c r="D15">
        <f>'Cibles THREEME AMS'!AT15*11.63</f>
        <v>10.432654239189965</v>
      </c>
      <c r="E15">
        <f t="shared" si="0"/>
        <v>11.340353993535825</v>
      </c>
      <c r="F15">
        <f t="shared" si="1"/>
        <v>12.248053747881684</v>
      </c>
      <c r="G15">
        <f t="shared" si="2"/>
        <v>13.155753502227544</v>
      </c>
      <c r="H15">
        <f t="shared" si="3"/>
        <v>14.063453256573403</v>
      </c>
      <c r="I15">
        <f>'Cibles THREEME AMS'!AU15</f>
        <v>14.971153010919259</v>
      </c>
      <c r="J15">
        <f t="shared" si="4"/>
        <v>15.448926441757402</v>
      </c>
      <c r="K15">
        <f t="shared" si="5"/>
        <v>15.926699872595545</v>
      </c>
      <c r="L15">
        <f>'Cibles THREEME AMS'!AV15</f>
        <v>16.40447330343369</v>
      </c>
      <c r="M15">
        <f t="shared" si="6"/>
        <v>20.678783934333772</v>
      </c>
      <c r="N15">
        <f>'Cibles THREEME AMS'!AW15</f>
        <v>24.953094565233851</v>
      </c>
      <c r="O15">
        <f t="shared" si="7"/>
        <v>30.475181207282372</v>
      </c>
      <c r="P15">
        <f t="shared" si="8"/>
        <v>35.997267849330889</v>
      </c>
      <c r="Q15">
        <f>'Cibles THREEME AMS'!AX15</f>
        <v>41.51935449137941</v>
      </c>
      <c r="R15">
        <f t="shared" si="9"/>
        <v>47.561627214018159</v>
      </c>
      <c r="S15">
        <f>'Cibles THREEME AMS'!AY15</f>
        <v>53.603899936656916</v>
      </c>
      <c r="T15">
        <f t="shared" si="10"/>
        <v>56.694808966180965</v>
      </c>
      <c r="U15">
        <f t="shared" si="11"/>
        <v>59.785717995705014</v>
      </c>
      <c r="V15">
        <f>'Cibles THREEME AMS'!AZ15</f>
        <v>62.876627025229055</v>
      </c>
      <c r="W15">
        <f t="shared" si="12"/>
        <v>66.11118515309505</v>
      </c>
      <c r="X15">
        <f>'Cibles THREEME AMS'!BA15</f>
        <v>69.345743280961059</v>
      </c>
      <c r="Y15">
        <f t="shared" si="13"/>
        <v>73.267887917254043</v>
      </c>
      <c r="Z15">
        <f t="shared" si="14"/>
        <v>77.190032553547027</v>
      </c>
      <c r="AA15">
        <f>'Cibles THREEME AMS'!BB15</f>
        <v>81.112177189840025</v>
      </c>
      <c r="AB15">
        <f t="shared" si="15"/>
        <v>84.802613932523457</v>
      </c>
      <c r="AC15">
        <f>'Cibles THREEME AMS'!BC15</f>
        <v>88.493050675206902</v>
      </c>
      <c r="AD15">
        <f t="shared" si="16"/>
        <v>92.896402835762132</v>
      </c>
      <c r="AE15">
        <f t="shared" si="17"/>
        <v>97.299754996317361</v>
      </c>
      <c r="AF15">
        <f t="shared" si="18"/>
        <v>101.70310715687259</v>
      </c>
      <c r="AG15">
        <f t="shared" si="19"/>
        <v>106.10645931742782</v>
      </c>
      <c r="AH15">
        <f>'Cibles THREEME AMS'!BD15</f>
        <v>110.50981147798304</v>
      </c>
      <c r="AI15">
        <f t="shared" si="20"/>
        <v>115.23635327456219</v>
      </c>
      <c r="AJ15">
        <f t="shared" si="21"/>
        <v>119.96289507114135</v>
      </c>
      <c r="AK15">
        <f t="shared" si="22"/>
        <v>124.6894368677205</v>
      </c>
      <c r="AL15">
        <f t="shared" si="23"/>
        <v>129.41597866429964</v>
      </c>
      <c r="AM15">
        <f>'Cibles THREEME AMS'!BE15</f>
        <v>134.14252046087881</v>
      </c>
    </row>
    <row r="16" spans="2:39" x14ac:dyDescent="0.25">
      <c r="B16" t="s">
        <v>424</v>
      </c>
      <c r="C16" t="s">
        <v>437</v>
      </c>
      <c r="D16">
        <f>'Cibles THREEME AMS'!AT16*11.63</f>
        <v>28.926904935935813</v>
      </c>
      <c r="E16">
        <f t="shared" si="0"/>
        <v>31.44370880025842</v>
      </c>
      <c r="F16">
        <f t="shared" si="1"/>
        <v>33.960512664581032</v>
      </c>
      <c r="G16">
        <f t="shared" si="2"/>
        <v>36.477316528903643</v>
      </c>
      <c r="H16">
        <f t="shared" si="3"/>
        <v>38.994120393226254</v>
      </c>
      <c r="I16">
        <f>'Cibles THREEME AMS'!AU16</f>
        <v>41.510924257548858</v>
      </c>
      <c r="J16">
        <f t="shared" si="4"/>
        <v>43.228089475453004</v>
      </c>
      <c r="K16">
        <f t="shared" si="5"/>
        <v>44.94525469335715</v>
      </c>
      <c r="L16">
        <f>'Cibles THREEME AMS'!AV16</f>
        <v>46.662419911261296</v>
      </c>
      <c r="M16">
        <f t="shared" si="6"/>
        <v>42.998119053312379</v>
      </c>
      <c r="N16">
        <f>'Cibles THREEME AMS'!AW16</f>
        <v>39.333818195363463</v>
      </c>
      <c r="O16">
        <f t="shared" si="7"/>
        <v>39.947595695420489</v>
      </c>
      <c r="P16">
        <f t="shared" si="8"/>
        <v>40.561373195477515</v>
      </c>
      <c r="Q16">
        <f>'Cibles THREEME AMS'!AX16</f>
        <v>41.175150695534533</v>
      </c>
      <c r="R16">
        <f t="shared" si="9"/>
        <v>42.016631014963764</v>
      </c>
      <c r="S16">
        <f>'Cibles THREEME AMS'!AY16</f>
        <v>42.858111334392987</v>
      </c>
      <c r="T16">
        <f t="shared" si="10"/>
        <v>41.575762835519626</v>
      </c>
      <c r="U16">
        <f t="shared" si="11"/>
        <v>40.293414336646265</v>
      </c>
      <c r="V16">
        <f>'Cibles THREEME AMS'!AZ16</f>
        <v>39.011065837772911</v>
      </c>
      <c r="W16">
        <f t="shared" si="12"/>
        <v>38.256857762597406</v>
      </c>
      <c r="X16">
        <f>'Cibles THREEME AMS'!BA16</f>
        <v>37.502649687421901</v>
      </c>
      <c r="Y16">
        <f t="shared" si="13"/>
        <v>37.232511553616483</v>
      </c>
      <c r="Z16">
        <f t="shared" si="14"/>
        <v>36.962373419811065</v>
      </c>
      <c r="AA16">
        <f>'Cibles THREEME AMS'!BB16</f>
        <v>36.692235286005648</v>
      </c>
      <c r="AB16">
        <f t="shared" si="15"/>
        <v>36.404843534152747</v>
      </c>
      <c r="AC16">
        <f>'Cibles THREEME AMS'!BC16</f>
        <v>36.117451782299845</v>
      </c>
      <c r="AD16">
        <f t="shared" si="16"/>
        <v>36.162600068140158</v>
      </c>
      <c r="AE16">
        <f t="shared" si="17"/>
        <v>36.20774835398047</v>
      </c>
      <c r="AF16">
        <f t="shared" si="18"/>
        <v>36.252896639820783</v>
      </c>
      <c r="AG16">
        <f t="shared" si="19"/>
        <v>36.298044925661095</v>
      </c>
      <c r="AH16">
        <f>'Cibles THREEME AMS'!BD16</f>
        <v>36.343193211501401</v>
      </c>
      <c r="AI16">
        <f t="shared" si="20"/>
        <v>36.476408237882538</v>
      </c>
      <c r="AJ16">
        <f t="shared" si="21"/>
        <v>36.609623264263675</v>
      </c>
      <c r="AK16">
        <f t="shared" si="22"/>
        <v>36.742838290644812</v>
      </c>
      <c r="AL16">
        <f t="shared" si="23"/>
        <v>36.876053317025949</v>
      </c>
      <c r="AM16">
        <f>'Cibles THREEME AMS'!BE16</f>
        <v>37.009268343407093</v>
      </c>
    </row>
    <row r="17" spans="2:39" x14ac:dyDescent="0.25">
      <c r="B17" t="s">
        <v>425</v>
      </c>
      <c r="C17" t="s">
        <v>438</v>
      </c>
      <c r="D17">
        <f>'Cibles THREEME AMS'!AT25*11.63</f>
        <v>13.988145434243236</v>
      </c>
      <c r="E17">
        <f t="shared" si="0"/>
        <v>11.192516347394589</v>
      </c>
      <c r="F17">
        <f t="shared" si="1"/>
        <v>8.3968872605459417</v>
      </c>
      <c r="G17">
        <f t="shared" si="2"/>
        <v>5.6012581736972944</v>
      </c>
      <c r="H17">
        <f t="shared" si="3"/>
        <v>2.8056290868486471</v>
      </c>
      <c r="I17">
        <f>'Cibles THREEME AMS'!AU25</f>
        <v>0.01</v>
      </c>
      <c r="J17">
        <f t="shared" si="4"/>
        <v>0.01</v>
      </c>
      <c r="K17">
        <f t="shared" si="5"/>
        <v>0.01</v>
      </c>
      <c r="L17">
        <f>'Cibles THREEME AMS'!AV25</f>
        <v>0.01</v>
      </c>
      <c r="M17">
        <f t="shared" si="6"/>
        <v>0.01</v>
      </c>
      <c r="N17">
        <f>'Cibles THREEME AMS'!AW25</f>
        <v>0.01</v>
      </c>
      <c r="O17">
        <f t="shared" si="7"/>
        <v>0.01</v>
      </c>
      <c r="P17">
        <f t="shared" si="8"/>
        <v>0.01</v>
      </c>
      <c r="Q17">
        <f>'Cibles THREEME AMS'!AX25</f>
        <v>0.01</v>
      </c>
      <c r="R17">
        <f t="shared" si="9"/>
        <v>0.01</v>
      </c>
      <c r="S17">
        <f>'Cibles THREEME AMS'!AY25</f>
        <v>0.01</v>
      </c>
      <c r="T17">
        <f t="shared" si="10"/>
        <v>0.01</v>
      </c>
      <c r="U17">
        <f t="shared" si="11"/>
        <v>0.01</v>
      </c>
      <c r="V17">
        <f>'Cibles THREEME AMS'!AZ25</f>
        <v>0.01</v>
      </c>
      <c r="W17">
        <f t="shared" si="12"/>
        <v>0.01</v>
      </c>
      <c r="X17">
        <f>'Cibles THREEME AMS'!BA25</f>
        <v>0.01</v>
      </c>
      <c r="Y17">
        <f t="shared" si="13"/>
        <v>0.5872406198261787</v>
      </c>
      <c r="Z17">
        <f t="shared" si="14"/>
        <v>1.1644812396523574</v>
      </c>
      <c r="AA17">
        <f>'Cibles THREEME AMS'!BB25</f>
        <v>1.7417218594785362</v>
      </c>
      <c r="AB17">
        <f t="shared" si="15"/>
        <v>2.3293479949519118</v>
      </c>
      <c r="AC17">
        <f>'Cibles THREEME AMS'!BC25</f>
        <v>2.9169741304252876</v>
      </c>
      <c r="AD17">
        <f t="shared" si="16"/>
        <v>3.4559200777277983</v>
      </c>
      <c r="AE17">
        <f t="shared" si="17"/>
        <v>3.9948660250303085</v>
      </c>
      <c r="AF17">
        <f t="shared" si="18"/>
        <v>4.5338119723328187</v>
      </c>
      <c r="AG17">
        <f t="shared" si="19"/>
        <v>5.072757919635329</v>
      </c>
      <c r="AH17">
        <f>'Cibles THREEME AMS'!BD25</f>
        <v>5.6117038669378401</v>
      </c>
      <c r="AI17">
        <f t="shared" si="20"/>
        <v>6.1365097716129879</v>
      </c>
      <c r="AJ17">
        <f t="shared" si="21"/>
        <v>6.6613156762881358</v>
      </c>
      <c r="AK17">
        <f t="shared" si="22"/>
        <v>7.1861215809632837</v>
      </c>
      <c r="AL17">
        <f t="shared" si="23"/>
        <v>7.7109274856384316</v>
      </c>
      <c r="AM17">
        <f>'Cibles THREEME AMS'!BE25</f>
        <v>8.2357333903135803</v>
      </c>
    </row>
    <row r="18" spans="2:39" x14ac:dyDescent="0.25">
      <c r="B18" t="s">
        <v>426</v>
      </c>
      <c r="C18" t="s">
        <v>439</v>
      </c>
      <c r="D18">
        <f>+'Cibles THREEME AMS'!AT17*11.63</f>
        <v>7.2293465153884249</v>
      </c>
      <c r="E18">
        <f t="shared" si="0"/>
        <v>6.7703363919093897</v>
      </c>
      <c r="F18">
        <f t="shared" si="1"/>
        <v>6.3113262684303546</v>
      </c>
      <c r="G18">
        <f t="shared" si="2"/>
        <v>5.8523161449513195</v>
      </c>
      <c r="H18">
        <f t="shared" si="3"/>
        <v>5.3933060214722843</v>
      </c>
      <c r="I18">
        <f>+'Cibles THREEME AMS'!AU17</f>
        <v>4.9342958979932492</v>
      </c>
      <c r="J18">
        <f t="shared" si="4"/>
        <v>5.1671082345478849</v>
      </c>
      <c r="K18">
        <f t="shared" si="5"/>
        <v>5.3999205711025207</v>
      </c>
      <c r="L18">
        <f>+'Cibles THREEME AMS'!AV17</f>
        <v>5.6327329076571555</v>
      </c>
      <c r="M18">
        <f t="shared" si="6"/>
        <v>6.8442941280687108</v>
      </c>
      <c r="N18">
        <f>+'Cibles THREEME AMS'!AW17</f>
        <v>8.0558553484802662</v>
      </c>
      <c r="O18">
        <f t="shared" si="7"/>
        <v>7.9063876520865746</v>
      </c>
      <c r="P18">
        <f t="shared" si="8"/>
        <v>7.756919955692883</v>
      </c>
      <c r="Q18">
        <f>+'Cibles THREEME AMS'!AX17</f>
        <v>7.6074522592991904</v>
      </c>
      <c r="R18">
        <f t="shared" si="9"/>
        <v>7.5582582788197747</v>
      </c>
      <c r="S18">
        <f>+'Cibles THREEME AMS'!AY17</f>
        <v>7.5090642983403599</v>
      </c>
      <c r="T18">
        <f t="shared" si="10"/>
        <v>7.943539638552549</v>
      </c>
      <c r="U18">
        <f t="shared" si="11"/>
        <v>8.3780149787647389</v>
      </c>
      <c r="V18">
        <f>+'Cibles THREEME AMS'!AZ17</f>
        <v>8.812490318976927</v>
      </c>
      <c r="W18">
        <f t="shared" si="12"/>
        <v>9.2334291872468732</v>
      </c>
      <c r="X18">
        <f>+'Cibles THREEME AMS'!BA17</f>
        <v>9.6543680555168212</v>
      </c>
      <c r="Y18">
        <f t="shared" si="13"/>
        <v>10.193523877957608</v>
      </c>
      <c r="Z18">
        <f t="shared" si="14"/>
        <v>10.732679700398394</v>
      </c>
      <c r="AA18">
        <f>+'Cibles THREEME AMS'!BB17</f>
        <v>11.271835522839183</v>
      </c>
      <c r="AB18">
        <f t="shared" si="15"/>
        <v>11.7247204635093</v>
      </c>
      <c r="AC18">
        <f>+'Cibles THREEME AMS'!BC17</f>
        <v>12.177605404179419</v>
      </c>
      <c r="AD18">
        <f t="shared" si="16"/>
        <v>12.303603114948451</v>
      </c>
      <c r="AE18">
        <f t="shared" si="17"/>
        <v>12.429600825717484</v>
      </c>
      <c r="AF18">
        <f t="shared" si="18"/>
        <v>12.555598536486517</v>
      </c>
      <c r="AG18">
        <f t="shared" si="19"/>
        <v>12.68159624725555</v>
      </c>
      <c r="AH18">
        <f>+'Cibles THREEME AMS'!BD17</f>
        <v>12.807593958024579</v>
      </c>
      <c r="AI18">
        <f t="shared" si="20"/>
        <v>12.84551673565305</v>
      </c>
      <c r="AJ18">
        <f t="shared" si="21"/>
        <v>12.88343951328152</v>
      </c>
      <c r="AK18">
        <f t="shared" si="22"/>
        <v>12.92136229090999</v>
      </c>
      <c r="AL18">
        <f t="shared" si="23"/>
        <v>12.95928506853846</v>
      </c>
      <c r="AM18">
        <f>+'Cibles THREEME AMS'!BE17</f>
        <v>12.997207846166926</v>
      </c>
    </row>
    <row r="19" spans="2:39" x14ac:dyDescent="0.25">
      <c r="D19" s="578">
        <f>SUM(D3:D18)-('Cibles THREEME AMS'!AT2-'Cibles THREEME AMS'!AT27-'Cibles THREEME AMS'!AT20)*11.63</f>
        <v>13.988145434243506</v>
      </c>
      <c r="E19" s="578"/>
      <c r="F19" s="578"/>
      <c r="G19" s="578"/>
      <c r="H19" s="578"/>
      <c r="I19" s="578">
        <f>SUM(I3:I18)-'Cibles THREEME AMS'!AU2+'Cibles THREEME AMS'!AU27+'Cibles THREEME AMS'!AU20</f>
        <v>9.9999999999909051E-3</v>
      </c>
      <c r="L19" s="578">
        <f>SUM(L3:L18)-'Cibles THREEME AMS'!AV2+'Cibles THREEME AMS'!AV27+'Cibles THREEME AMS'!AV20</f>
        <v>9.9999999999909051E-3</v>
      </c>
      <c r="N19" s="578">
        <f>SUM(N3:N18)-'Cibles THREEME AMS'!AW2+'Cibles THREEME AMS'!AW27+'Cibles THREEME AMS'!AW20</f>
        <v>9.9999999999340616E-3</v>
      </c>
      <c r="Q19" s="578">
        <f>SUM(Q3:Q18)-'Cibles THREEME AMS'!AX2+'Cibles THREEME AMS'!AX27+'Cibles THREEME AMS'!AX20</f>
        <v>9.9999999997493205E-3</v>
      </c>
      <c r="S19" s="578">
        <f>SUM(S3:S18)-'Cibles THREEME AMS'!AY2+'Cibles THREEME AMS'!AY27+'Cibles THREEME AMS'!AY20</f>
        <v>9.9999999994793143E-3</v>
      </c>
      <c r="V19" s="578">
        <f>SUM(V3:V18)-'Cibles THREEME AMS'!AZ2+'Cibles THREEME AMS'!AZ27+'Cibles THREEME AMS'!AZ20</f>
        <v>1.0000000000303544E-2</v>
      </c>
      <c r="X19" s="578">
        <f>SUM(X3:X18)-'Cibles THREEME AMS'!BA2+'Cibles THREEME AMS'!BA27+'Cibles THREEME AMS'!BA20</f>
        <v>9.9999999995219468E-3</v>
      </c>
      <c r="AA19" s="578">
        <f>SUM(AA3:AA18)-'Cibles THREEME AMS'!BB2+'Cibles THREEME AMS'!BB27+'Cibles THREEME AMS'!BB20</f>
        <v>1.7417218594781758</v>
      </c>
      <c r="AC19" s="578">
        <f>SUM(AC3:AC18)-'Cibles THREEME AMS'!BC2+'Cibles THREEME AMS'!BC27+'Cibles THREEME AMS'!BC20</f>
        <v>2.9169741304256149</v>
      </c>
      <c r="AH19" s="578">
        <f>SUM(AH3:AH18)-'Cibles THREEME AMS'!BD2+'Cibles THREEME AMS'!BD27+'Cibles THREEME AMS'!BD20</f>
        <v>5.6117038669381287</v>
      </c>
      <c r="AM19" s="578">
        <f>SUM(AM3:AM18)-'Cibles THREEME AMS'!BE2+'Cibles THREEME AMS'!BE27+'Cibles THREEME AMS'!BE20</f>
        <v>8.2357333903135697</v>
      </c>
    </row>
    <row r="20" spans="2:39" x14ac:dyDescent="0.25">
      <c r="B20" t="s">
        <v>445</v>
      </c>
      <c r="C20" t="s">
        <v>466</v>
      </c>
      <c r="D20">
        <f>D3/SUM(D$3:D$4)</f>
        <v>0.94633270221100496</v>
      </c>
      <c r="E20">
        <f t="shared" ref="E20:H20" si="24">E3/SUM(E$3:E$4)</f>
        <v>0.94585522722645055</v>
      </c>
      <c r="F20">
        <f t="shared" si="24"/>
        <v>0.94534849305969459</v>
      </c>
      <c r="G20">
        <f t="shared" si="24"/>
        <v>0.94480972524299267</v>
      </c>
      <c r="H20">
        <f t="shared" si="24"/>
        <v>0.94423578707836775</v>
      </c>
      <c r="I20">
        <f>I3/SUM(I$3:I$4)</f>
        <v>0.94362311852773073</v>
      </c>
      <c r="J20">
        <f t="shared" si="4"/>
        <v>0.94156650560815647</v>
      </c>
      <c r="K20">
        <f t="shared" si="5"/>
        <v>0.9395098926885822</v>
      </c>
      <c r="L20">
        <f t="shared" ref="L20:AM20" si="25">L3/SUM(L$3:L$4)</f>
        <v>0.93745327976900783</v>
      </c>
      <c r="M20">
        <f t="shared" si="6"/>
        <v>0.93661226853556978</v>
      </c>
      <c r="N20">
        <f t="shared" si="25"/>
        <v>0.93577125730213162</v>
      </c>
      <c r="O20">
        <f t="shared" si="7"/>
        <v>0.93329589850039418</v>
      </c>
      <c r="P20">
        <f t="shared" si="8"/>
        <v>0.93082053969865675</v>
      </c>
      <c r="Q20">
        <f t="shared" si="25"/>
        <v>0.92834518089691942</v>
      </c>
      <c r="R20">
        <f t="shared" si="9"/>
        <v>0.92538922438592641</v>
      </c>
      <c r="S20">
        <f t="shared" si="25"/>
        <v>0.9224332678749334</v>
      </c>
      <c r="T20">
        <f t="shared" si="10"/>
        <v>0.91455745029773783</v>
      </c>
      <c r="U20">
        <f t="shared" si="11"/>
        <v>0.90668163272054225</v>
      </c>
      <c r="V20">
        <f t="shared" si="25"/>
        <v>0.89880581514334668</v>
      </c>
      <c r="W20">
        <f t="shared" si="12"/>
        <v>0.88850192897395253</v>
      </c>
      <c r="X20">
        <f t="shared" si="25"/>
        <v>0.87819804280455838</v>
      </c>
      <c r="Y20">
        <f t="shared" si="13"/>
        <v>0.86919584339423084</v>
      </c>
      <c r="Z20">
        <f t="shared" si="14"/>
        <v>0.8601936439839033</v>
      </c>
      <c r="AA20">
        <f t="shared" si="25"/>
        <v>0.85119144457357587</v>
      </c>
      <c r="AB20">
        <f t="shared" si="15"/>
        <v>0.83799782155633196</v>
      </c>
      <c r="AC20">
        <f t="shared" si="25"/>
        <v>0.82480419853908804</v>
      </c>
      <c r="AD20">
        <f t="shared" si="16"/>
        <v>0.81133478298043804</v>
      </c>
      <c r="AE20">
        <f t="shared" si="17"/>
        <v>0.79786536742178804</v>
      </c>
      <c r="AF20">
        <f t="shared" si="18"/>
        <v>0.78439595186313804</v>
      </c>
      <c r="AG20">
        <f t="shared" si="19"/>
        <v>0.77092653630448804</v>
      </c>
      <c r="AH20">
        <f t="shared" si="25"/>
        <v>0.75745712074583782</v>
      </c>
      <c r="AI20">
        <f t="shared" si="20"/>
        <v>0.75416420788702176</v>
      </c>
      <c r="AJ20">
        <f t="shared" si="21"/>
        <v>0.75087129502820571</v>
      </c>
      <c r="AK20">
        <f t="shared" si="22"/>
        <v>0.74757838216938965</v>
      </c>
      <c r="AL20">
        <f t="shared" si="23"/>
        <v>0.7442854693105736</v>
      </c>
      <c r="AM20">
        <f t="shared" si="25"/>
        <v>0.74099255645175777</v>
      </c>
    </row>
    <row r="21" spans="2:39" x14ac:dyDescent="0.25">
      <c r="B21" t="s">
        <v>444</v>
      </c>
      <c r="C21" t="s">
        <v>465</v>
      </c>
      <c r="D21">
        <f>D4/SUM(D$3:D$4)</f>
        <v>5.3667297788995087E-2</v>
      </c>
      <c r="E21">
        <f t="shared" ref="E21:H21" si="26">E4/SUM(E$3:E$4)</f>
        <v>5.4144772773549413E-2</v>
      </c>
      <c r="F21">
        <f t="shared" si="26"/>
        <v>5.4651506940305461E-2</v>
      </c>
      <c r="G21">
        <f t="shared" si="26"/>
        <v>5.5190274757007413E-2</v>
      </c>
      <c r="H21">
        <f t="shared" si="26"/>
        <v>5.5764212921632327E-2</v>
      </c>
      <c r="I21">
        <f>I4/SUM(I$3:I$4)</f>
        <v>5.6376881472269276E-2</v>
      </c>
      <c r="J21">
        <f t="shared" si="4"/>
        <v>5.8433494391843546E-2</v>
      </c>
      <c r="K21">
        <f t="shared" si="5"/>
        <v>6.0490107311417816E-2</v>
      </c>
      <c r="L21">
        <f t="shared" ref="L21:AM21" si="27">L4/SUM(L$3:L$4)</f>
        <v>6.2546720230992087E-2</v>
      </c>
      <c r="M21">
        <f t="shared" si="6"/>
        <v>6.3387731464430247E-2</v>
      </c>
      <c r="N21">
        <f t="shared" si="27"/>
        <v>6.4228742697868407E-2</v>
      </c>
      <c r="O21">
        <f t="shared" si="7"/>
        <v>6.6704101499605789E-2</v>
      </c>
      <c r="P21">
        <f t="shared" si="8"/>
        <v>6.9179460301343171E-2</v>
      </c>
      <c r="Q21">
        <f t="shared" si="27"/>
        <v>7.1654819103080553E-2</v>
      </c>
      <c r="R21">
        <f t="shared" si="9"/>
        <v>7.4610775614073616E-2</v>
      </c>
      <c r="S21">
        <f t="shared" si="27"/>
        <v>7.7566732125066679E-2</v>
      </c>
      <c r="T21">
        <f t="shared" si="10"/>
        <v>8.5442549702262241E-2</v>
      </c>
      <c r="U21">
        <f t="shared" si="11"/>
        <v>9.3318367279457803E-2</v>
      </c>
      <c r="V21">
        <f t="shared" si="27"/>
        <v>0.10119418485665338</v>
      </c>
      <c r="W21">
        <f t="shared" si="12"/>
        <v>0.11149807102604747</v>
      </c>
      <c r="X21">
        <f t="shared" si="27"/>
        <v>0.12180195719544158</v>
      </c>
      <c r="Y21">
        <f t="shared" si="13"/>
        <v>0.13080415660576905</v>
      </c>
      <c r="Z21">
        <f t="shared" si="14"/>
        <v>0.13980635601609653</v>
      </c>
      <c r="AA21">
        <f t="shared" si="27"/>
        <v>0.14880855542642402</v>
      </c>
      <c r="AB21">
        <f t="shared" si="15"/>
        <v>0.16200217844366799</v>
      </c>
      <c r="AC21">
        <f t="shared" si="27"/>
        <v>0.17519580146091199</v>
      </c>
      <c r="AD21">
        <f t="shared" si="16"/>
        <v>0.18866521701956201</v>
      </c>
      <c r="AE21">
        <f t="shared" si="17"/>
        <v>0.20213463257821204</v>
      </c>
      <c r="AF21">
        <f t="shared" si="18"/>
        <v>0.21560404813686207</v>
      </c>
      <c r="AG21">
        <f t="shared" si="19"/>
        <v>0.2290734636955121</v>
      </c>
      <c r="AH21">
        <f t="shared" si="27"/>
        <v>0.24254287925416215</v>
      </c>
      <c r="AI21">
        <f t="shared" si="20"/>
        <v>0.24583579211297815</v>
      </c>
      <c r="AJ21">
        <f t="shared" si="21"/>
        <v>0.24912870497179415</v>
      </c>
      <c r="AK21">
        <f t="shared" si="22"/>
        <v>0.25242161783061018</v>
      </c>
      <c r="AL21">
        <f t="shared" si="23"/>
        <v>0.25571453068942618</v>
      </c>
      <c r="AM21">
        <f t="shared" si="27"/>
        <v>0.25900744354824218</v>
      </c>
    </row>
    <row r="22" spans="2:39" x14ac:dyDescent="0.25">
      <c r="B22" t="s">
        <v>443</v>
      </c>
      <c r="C22" t="s">
        <v>468</v>
      </c>
      <c r="D22">
        <f>D5/SUM(D$5:D$6)</f>
        <v>0.98853777258742614</v>
      </c>
      <c r="E22">
        <f t="shared" ref="E22:H23" si="28">E5/SUM(E$5:E$6)</f>
        <v>0.98712279348170029</v>
      </c>
      <c r="F22">
        <f t="shared" si="28"/>
        <v>0.98560864711011842</v>
      </c>
      <c r="G22">
        <f t="shared" si="28"/>
        <v>0.98398452984822149</v>
      </c>
      <c r="H22">
        <f t="shared" si="28"/>
        <v>0.98223800962306473</v>
      </c>
      <c r="I22">
        <f>I5/SUM(I$5:I$6)</f>
        <v>0.98035470707498895</v>
      </c>
      <c r="J22">
        <f t="shared" si="4"/>
        <v>0.97902904987536632</v>
      </c>
      <c r="K22">
        <f t="shared" si="5"/>
        <v>0.97770339267574369</v>
      </c>
      <c r="L22">
        <f t="shared" ref="L22:AM23" si="29">L5/SUM(L$5:L$6)</f>
        <v>0.97637773547612117</v>
      </c>
      <c r="M22">
        <f t="shared" si="6"/>
        <v>0.97151662505683944</v>
      </c>
      <c r="N22">
        <f t="shared" si="29"/>
        <v>0.96665551463755772</v>
      </c>
      <c r="O22">
        <f t="shared" si="7"/>
        <v>0.9590043454398447</v>
      </c>
      <c r="P22">
        <f t="shared" si="8"/>
        <v>0.95135317624213167</v>
      </c>
      <c r="Q22">
        <f t="shared" si="29"/>
        <v>0.94370200704441876</v>
      </c>
      <c r="R22">
        <f t="shared" si="9"/>
        <v>0.93154565439854997</v>
      </c>
      <c r="S22">
        <f t="shared" si="29"/>
        <v>0.91938930175268119</v>
      </c>
      <c r="T22">
        <f t="shared" si="10"/>
        <v>0.90448840724146329</v>
      </c>
      <c r="U22">
        <f t="shared" si="11"/>
        <v>0.88958751273024539</v>
      </c>
      <c r="V22">
        <f t="shared" si="29"/>
        <v>0.87468661821902738</v>
      </c>
      <c r="W22">
        <f t="shared" si="12"/>
        <v>0.85501934622227649</v>
      </c>
      <c r="X22">
        <f t="shared" si="29"/>
        <v>0.8353520742255256</v>
      </c>
      <c r="Y22">
        <f t="shared" si="13"/>
        <v>0.81147515511659563</v>
      </c>
      <c r="Z22">
        <f t="shared" si="14"/>
        <v>0.78759823600766565</v>
      </c>
      <c r="AA22">
        <f t="shared" si="29"/>
        <v>0.76372131689873557</v>
      </c>
      <c r="AB22">
        <f t="shared" si="15"/>
        <v>0.73431390037691391</v>
      </c>
      <c r="AC22">
        <f t="shared" si="29"/>
        <v>0.70490648385509236</v>
      </c>
      <c r="AD22">
        <f t="shared" si="16"/>
        <v>0.64998700366128659</v>
      </c>
      <c r="AE22">
        <f t="shared" si="17"/>
        <v>0.59506752346748082</v>
      </c>
      <c r="AF22">
        <f t="shared" si="18"/>
        <v>0.54014804327367505</v>
      </c>
      <c r="AG22">
        <f t="shared" si="19"/>
        <v>0.48522856307986928</v>
      </c>
      <c r="AH22">
        <f t="shared" si="29"/>
        <v>0.43030908288606351</v>
      </c>
      <c r="AI22">
        <f t="shared" si="20"/>
        <v>0.34635154457297285</v>
      </c>
      <c r="AJ22">
        <f t="shared" si="21"/>
        <v>0.26239400625988218</v>
      </c>
      <c r="AK22">
        <f t="shared" si="22"/>
        <v>0.17843646794679152</v>
      </c>
      <c r="AL22">
        <f t="shared" si="23"/>
        <v>9.4478929633700859E-2</v>
      </c>
      <c r="AM22">
        <f t="shared" si="29"/>
        <v>1.0521391320610175E-2</v>
      </c>
    </row>
    <row r="23" spans="2:39" x14ac:dyDescent="0.25">
      <c r="B23" t="s">
        <v>442</v>
      </c>
      <c r="C23" t="s">
        <v>467</v>
      </c>
      <c r="D23">
        <f>D6/SUM(D$5:D$6)</f>
        <v>1.1462227412573897E-2</v>
      </c>
      <c r="E23">
        <f t="shared" si="28"/>
        <v>1.2877206518299655E-2</v>
      </c>
      <c r="F23">
        <f t="shared" si="28"/>
        <v>1.4391352889881571E-2</v>
      </c>
      <c r="G23">
        <f t="shared" si="28"/>
        <v>1.6015470151778607E-2</v>
      </c>
      <c r="H23">
        <f t="shared" si="28"/>
        <v>1.7761990376935245E-2</v>
      </c>
      <c r="I23">
        <f>I6/SUM(I$5:I$6)</f>
        <v>1.9645292925011066E-2</v>
      </c>
      <c r="J23">
        <f t="shared" si="4"/>
        <v>2.0970950124633632E-2</v>
      </c>
      <c r="K23">
        <f t="shared" si="5"/>
        <v>2.2296607324256198E-2</v>
      </c>
      <c r="L23">
        <f t="shared" si="29"/>
        <v>2.362226452387876E-2</v>
      </c>
      <c r="M23">
        <f t="shared" si="6"/>
        <v>2.8483374943160542E-2</v>
      </c>
      <c r="N23">
        <f t="shared" si="29"/>
        <v>3.3344485362442319E-2</v>
      </c>
      <c r="O23">
        <f t="shared" si="7"/>
        <v>4.099565456015531E-2</v>
      </c>
      <c r="P23">
        <f t="shared" si="8"/>
        <v>4.8646823757868302E-2</v>
      </c>
      <c r="Q23">
        <f t="shared" si="29"/>
        <v>5.6297992955581293E-2</v>
      </c>
      <c r="R23">
        <f t="shared" si="9"/>
        <v>6.8454345601450084E-2</v>
      </c>
      <c r="S23">
        <f t="shared" si="29"/>
        <v>8.0610698247318882E-2</v>
      </c>
      <c r="T23">
        <f t="shared" si="10"/>
        <v>9.5511592758536809E-2</v>
      </c>
      <c r="U23">
        <f t="shared" si="11"/>
        <v>0.11041248726975474</v>
      </c>
      <c r="V23">
        <f t="shared" si="29"/>
        <v>0.12531338178097265</v>
      </c>
      <c r="W23">
        <f t="shared" si="12"/>
        <v>0.14498065377772351</v>
      </c>
      <c r="X23">
        <f t="shared" si="29"/>
        <v>0.16464792577447435</v>
      </c>
      <c r="Y23">
        <f t="shared" si="13"/>
        <v>0.18852484488340437</v>
      </c>
      <c r="Z23">
        <f t="shared" si="14"/>
        <v>0.2124017639923344</v>
      </c>
      <c r="AA23">
        <f t="shared" si="29"/>
        <v>0.23627868310126446</v>
      </c>
      <c r="AB23">
        <f t="shared" si="15"/>
        <v>0.26568609962308609</v>
      </c>
      <c r="AC23">
        <f t="shared" si="29"/>
        <v>0.2950935161449077</v>
      </c>
      <c r="AD23">
        <f t="shared" si="16"/>
        <v>0.35001299633871347</v>
      </c>
      <c r="AE23">
        <f t="shared" si="17"/>
        <v>0.40493247653251924</v>
      </c>
      <c r="AF23">
        <f t="shared" si="18"/>
        <v>0.45985195672632501</v>
      </c>
      <c r="AG23">
        <f t="shared" si="19"/>
        <v>0.51477143692013072</v>
      </c>
      <c r="AH23">
        <f t="shared" si="29"/>
        <v>0.56969091711393649</v>
      </c>
      <c r="AI23">
        <f t="shared" si="20"/>
        <v>0.65364845542702721</v>
      </c>
      <c r="AJ23">
        <f t="shared" si="21"/>
        <v>0.73760599374011793</v>
      </c>
      <c r="AK23">
        <f t="shared" si="22"/>
        <v>0.82156353205320864</v>
      </c>
      <c r="AL23">
        <f t="shared" si="23"/>
        <v>0.90552107036629936</v>
      </c>
      <c r="AM23">
        <f t="shared" si="29"/>
        <v>0.98947860867938986</v>
      </c>
    </row>
    <row r="24" spans="2:39" x14ac:dyDescent="0.25">
      <c r="B24" t="s">
        <v>416</v>
      </c>
      <c r="C24" t="s">
        <v>463</v>
      </c>
      <c r="D24">
        <f>D7/SUM(D$7:D$9)</f>
        <v>0.84572780560113503</v>
      </c>
      <c r="E24">
        <f t="shared" ref="E24:H24" si="30">E7/SUM(E$7:E$9)</f>
        <v>0.84423397355345697</v>
      </c>
      <c r="F24">
        <f t="shared" si="30"/>
        <v>0.84273562001536972</v>
      </c>
      <c r="G24">
        <f t="shared" si="30"/>
        <v>0.84123272442747177</v>
      </c>
      <c r="H24">
        <f t="shared" si="30"/>
        <v>0.83972526610552656</v>
      </c>
      <c r="I24">
        <f>I7/SUM(I$7:I$9)</f>
        <v>0.83821322423951317</v>
      </c>
      <c r="J24">
        <f t="shared" si="4"/>
        <v>0.80836087935436407</v>
      </c>
      <c r="K24">
        <f t="shared" si="5"/>
        <v>0.77850853446921497</v>
      </c>
      <c r="L24">
        <f t="shared" ref="L24:AM24" si="31">L7/SUM(L$7:L$9)</f>
        <v>0.74865618958406599</v>
      </c>
      <c r="M24">
        <f t="shared" si="6"/>
        <v>0.71949983736184842</v>
      </c>
      <c r="N24">
        <f t="shared" si="31"/>
        <v>0.69034348513963095</v>
      </c>
      <c r="O24">
        <f t="shared" si="7"/>
        <v>0.64990743521955985</v>
      </c>
      <c r="P24">
        <f t="shared" si="8"/>
        <v>0.60947138529948874</v>
      </c>
      <c r="Q24">
        <f t="shared" si="31"/>
        <v>0.56903533537941764</v>
      </c>
      <c r="R24">
        <f t="shared" si="9"/>
        <v>0.53323961367496675</v>
      </c>
      <c r="S24">
        <f t="shared" si="31"/>
        <v>0.49744389197051592</v>
      </c>
      <c r="T24">
        <f t="shared" si="10"/>
        <v>0.47481190661520661</v>
      </c>
      <c r="U24">
        <f t="shared" si="11"/>
        <v>0.45217992125989731</v>
      </c>
      <c r="V24">
        <f t="shared" si="31"/>
        <v>0.42954793590458801</v>
      </c>
      <c r="W24">
        <f t="shared" si="12"/>
        <v>0.40744040538550996</v>
      </c>
      <c r="X24">
        <f t="shared" si="31"/>
        <v>0.38533287486643186</v>
      </c>
      <c r="Y24">
        <f t="shared" si="13"/>
        <v>0.35218395002489061</v>
      </c>
      <c r="Z24">
        <f t="shared" si="14"/>
        <v>0.31903502518334936</v>
      </c>
      <c r="AA24">
        <f t="shared" si="31"/>
        <v>0.28588610034180817</v>
      </c>
      <c r="AB24">
        <f t="shared" si="15"/>
        <v>0.25747104590273062</v>
      </c>
      <c r="AC24">
        <f t="shared" si="31"/>
        <v>0.22905599146365307</v>
      </c>
      <c r="AD24">
        <f t="shared" si="16"/>
        <v>0.21783163446937942</v>
      </c>
      <c r="AE24">
        <f t="shared" si="17"/>
        <v>0.20660727747510577</v>
      </c>
      <c r="AF24">
        <f t="shared" si="18"/>
        <v>0.19538292048083211</v>
      </c>
      <c r="AG24">
        <f t="shared" si="19"/>
        <v>0.18415856348655846</v>
      </c>
      <c r="AH24">
        <f t="shared" si="31"/>
        <v>0.1729342064922848</v>
      </c>
      <c r="AI24">
        <f t="shared" si="20"/>
        <v>0.14148021768124822</v>
      </c>
      <c r="AJ24">
        <f t="shared" si="21"/>
        <v>0.11002622887021163</v>
      </c>
      <c r="AK24">
        <f t="shared" si="22"/>
        <v>7.8572240059175041E-2</v>
      </c>
      <c r="AL24">
        <f t="shared" si="23"/>
        <v>4.7118251248138461E-2</v>
      </c>
      <c r="AM24">
        <f t="shared" si="31"/>
        <v>1.5664262437101902E-2</v>
      </c>
    </row>
    <row r="25" spans="2:39" x14ac:dyDescent="0.25">
      <c r="B25" t="s">
        <v>417</v>
      </c>
      <c r="C25" t="s">
        <v>462</v>
      </c>
      <c r="D25">
        <f t="shared" ref="D25:AM26" si="32">D8/SUM(D$7:D$9)</f>
        <v>0.14412114733390882</v>
      </c>
      <c r="E25">
        <f t="shared" si="32"/>
        <v>0.14563290945237642</v>
      </c>
      <c r="F25">
        <f t="shared" si="32"/>
        <v>0.14714924733150617</v>
      </c>
      <c r="G25">
        <f t="shared" si="32"/>
        <v>0.14867018177746863</v>
      </c>
      <c r="H25">
        <f t="shared" si="32"/>
        <v>0.1501957337227679</v>
      </c>
      <c r="I25">
        <f t="shared" si="32"/>
        <v>0.1517259242272018</v>
      </c>
      <c r="J25">
        <f t="shared" si="4"/>
        <v>0.18193657890886167</v>
      </c>
      <c r="K25">
        <f t="shared" si="5"/>
        <v>0.21214723359052154</v>
      </c>
      <c r="L25">
        <f t="shared" si="32"/>
        <v>0.24235788827218144</v>
      </c>
      <c r="M25">
        <f t="shared" si="6"/>
        <v>0.27186419647514121</v>
      </c>
      <c r="N25">
        <f t="shared" si="32"/>
        <v>0.301370504678101</v>
      </c>
      <c r="O25">
        <f t="shared" si="7"/>
        <v>0.34229189780569236</v>
      </c>
      <c r="P25">
        <f t="shared" si="8"/>
        <v>0.38321329093328371</v>
      </c>
      <c r="Q25">
        <f t="shared" si="32"/>
        <v>0.42413468406087512</v>
      </c>
      <c r="R25">
        <f t="shared" si="9"/>
        <v>0.46036005234113841</v>
      </c>
      <c r="S25">
        <f t="shared" si="32"/>
        <v>0.49658542062140176</v>
      </c>
      <c r="T25">
        <f t="shared" si="10"/>
        <v>0.51948905170834447</v>
      </c>
      <c r="U25">
        <f t="shared" si="11"/>
        <v>0.54239268279528718</v>
      </c>
      <c r="V25">
        <f t="shared" si="32"/>
        <v>0.56529631388222978</v>
      </c>
      <c r="W25">
        <f t="shared" si="12"/>
        <v>0.58766919524031636</v>
      </c>
      <c r="X25">
        <f t="shared" si="32"/>
        <v>0.61004207659840293</v>
      </c>
      <c r="Y25">
        <f t="shared" si="13"/>
        <v>0.64358887921337271</v>
      </c>
      <c r="Z25">
        <f t="shared" si="14"/>
        <v>0.67713568182834249</v>
      </c>
      <c r="AA25">
        <f t="shared" si="32"/>
        <v>0.71068248444331228</v>
      </c>
      <c r="AB25">
        <f t="shared" si="15"/>
        <v>0.73943859726199379</v>
      </c>
      <c r="AC25">
        <f t="shared" si="32"/>
        <v>0.7681947100806753</v>
      </c>
      <c r="AD25">
        <f t="shared" si="16"/>
        <v>0.7795537900619055</v>
      </c>
      <c r="AE25">
        <f t="shared" si="17"/>
        <v>0.79091287004313571</v>
      </c>
      <c r="AF25">
        <f t="shared" si="18"/>
        <v>0.80227195002436591</v>
      </c>
      <c r="AG25">
        <f t="shared" si="19"/>
        <v>0.81363103000559611</v>
      </c>
      <c r="AH25">
        <f t="shared" si="32"/>
        <v>0.82499010998682609</v>
      </c>
      <c r="AI25">
        <f t="shared" si="20"/>
        <v>0.85682163270260936</v>
      </c>
      <c r="AJ25">
        <f t="shared" si="21"/>
        <v>0.88865315541839263</v>
      </c>
      <c r="AK25">
        <f t="shared" si="22"/>
        <v>0.92048467813417589</v>
      </c>
      <c r="AL25">
        <f t="shared" si="23"/>
        <v>0.95231620084995916</v>
      </c>
      <c r="AM25">
        <f t="shared" si="32"/>
        <v>0.98414772356574232</v>
      </c>
    </row>
    <row r="26" spans="2:39" x14ac:dyDescent="0.25">
      <c r="B26" t="s">
        <v>441</v>
      </c>
      <c r="C26" t="s">
        <v>464</v>
      </c>
      <c r="D26">
        <f t="shared" si="32"/>
        <v>1.0151047064956209E-2</v>
      </c>
      <c r="E26">
        <f t="shared" si="32"/>
        <v>1.0133116994166658E-2</v>
      </c>
      <c r="F26">
        <f t="shared" si="32"/>
        <v>1.0115132653124144E-2</v>
      </c>
      <c r="G26">
        <f t="shared" si="32"/>
        <v>1.0097093795059613E-2</v>
      </c>
      <c r="H26">
        <f t="shared" si="32"/>
        <v>1.0079000171705644E-2</v>
      </c>
      <c r="I26">
        <f t="shared" si="32"/>
        <v>1.0060851533285063E-2</v>
      </c>
      <c r="J26">
        <f t="shared" si="4"/>
        <v>9.7025417367742808E-3</v>
      </c>
      <c r="K26">
        <f t="shared" si="5"/>
        <v>9.3442319402634987E-3</v>
      </c>
      <c r="L26">
        <f t="shared" si="32"/>
        <v>8.9859221437527149E-3</v>
      </c>
      <c r="M26">
        <f t="shared" si="6"/>
        <v>8.6359661630104265E-3</v>
      </c>
      <c r="N26">
        <f t="shared" si="32"/>
        <v>8.2860101822681363E-3</v>
      </c>
      <c r="O26">
        <f t="shared" si="7"/>
        <v>7.8006669747478349E-3</v>
      </c>
      <c r="P26">
        <f t="shared" si="8"/>
        <v>7.3153237672275336E-3</v>
      </c>
      <c r="Q26">
        <f t="shared" si="32"/>
        <v>6.8299805597072313E-3</v>
      </c>
      <c r="R26">
        <f t="shared" si="9"/>
        <v>6.400333983894722E-3</v>
      </c>
      <c r="S26">
        <f t="shared" si="32"/>
        <v>5.9706874080822118E-3</v>
      </c>
      <c r="T26">
        <f t="shared" si="10"/>
        <v>5.6990416764489136E-3</v>
      </c>
      <c r="U26">
        <f t="shared" si="11"/>
        <v>5.4273959448156153E-3</v>
      </c>
      <c r="V26">
        <f t="shared" si="32"/>
        <v>5.155750213182317E-3</v>
      </c>
      <c r="W26">
        <f t="shared" si="12"/>
        <v>4.890399374173772E-3</v>
      </c>
      <c r="X26">
        <f t="shared" si="32"/>
        <v>4.6250485351652269E-3</v>
      </c>
      <c r="Y26">
        <f t="shared" si="13"/>
        <v>4.2271707617366908E-3</v>
      </c>
      <c r="Z26">
        <f t="shared" si="14"/>
        <v>3.8292929883081551E-3</v>
      </c>
      <c r="AA26">
        <f t="shared" si="32"/>
        <v>3.4314152148796195E-3</v>
      </c>
      <c r="AB26">
        <f t="shared" si="15"/>
        <v>3.0903568352756202E-3</v>
      </c>
      <c r="AC26">
        <f t="shared" si="32"/>
        <v>2.7492984556716209E-3</v>
      </c>
      <c r="AD26">
        <f t="shared" si="16"/>
        <v>2.6145754687151314E-3</v>
      </c>
      <c r="AE26">
        <f t="shared" si="17"/>
        <v>2.4798524817586419E-3</v>
      </c>
      <c r="AF26">
        <f t="shared" si="18"/>
        <v>2.3451294948021524E-3</v>
      </c>
      <c r="AG26">
        <f t="shared" si="19"/>
        <v>2.2104065078456629E-3</v>
      </c>
      <c r="AH26">
        <f t="shared" si="32"/>
        <v>2.0756835208891734E-3</v>
      </c>
      <c r="AI26">
        <f t="shared" si="20"/>
        <v>1.6981496161424926E-3</v>
      </c>
      <c r="AJ26">
        <f t="shared" si="21"/>
        <v>1.3206157113958119E-3</v>
      </c>
      <c r="AK26">
        <f t="shared" si="22"/>
        <v>9.4308180664913108E-4</v>
      </c>
      <c r="AL26">
        <f t="shared" si="23"/>
        <v>5.655479019024503E-4</v>
      </c>
      <c r="AM26">
        <f t="shared" si="32"/>
        <v>1.8801399715576953E-4</v>
      </c>
    </row>
    <row r="27" spans="2:39" x14ac:dyDescent="0.25">
      <c r="B27" t="s">
        <v>418</v>
      </c>
      <c r="C27" t="s">
        <v>458</v>
      </c>
      <c r="D27">
        <f>D10/SUM(D$10:D$18)</f>
        <v>0.75228533718836454</v>
      </c>
      <c r="E27">
        <f t="shared" ref="E27:H27" si="33">E10/SUM(E$10:E$18)</f>
        <v>0.74173091087023957</v>
      </c>
      <c r="F27">
        <f t="shared" si="33"/>
        <v>0.73067071107938075</v>
      </c>
      <c r="G27">
        <f t="shared" si="33"/>
        <v>0.71906748996506309</v>
      </c>
      <c r="H27">
        <f t="shared" si="33"/>
        <v>0.70688025012423772</v>
      </c>
      <c r="I27">
        <f>I10/SUM(I$10:I$18)</f>
        <v>0.69406376061077524</v>
      </c>
      <c r="J27">
        <f t="shared" si="4"/>
        <v>0.68522285446903797</v>
      </c>
      <c r="K27">
        <f t="shared" si="5"/>
        <v>0.6763819483273007</v>
      </c>
      <c r="L27">
        <f t="shared" ref="L27:AM27" si="34">L10/SUM(L$10:L$18)</f>
        <v>0.66754104218556343</v>
      </c>
      <c r="M27">
        <f t="shared" si="6"/>
        <v>0.66011962460232954</v>
      </c>
      <c r="N27">
        <f t="shared" si="34"/>
        <v>0.65269820701909564</v>
      </c>
      <c r="O27">
        <f t="shared" si="7"/>
        <v>0.64154729542949873</v>
      </c>
      <c r="P27">
        <f t="shared" si="8"/>
        <v>0.63039638383990182</v>
      </c>
      <c r="Q27">
        <f t="shared" si="34"/>
        <v>0.6192454722503048</v>
      </c>
      <c r="R27">
        <f t="shared" si="9"/>
        <v>0.61279279435874412</v>
      </c>
      <c r="S27">
        <f t="shared" si="34"/>
        <v>0.60634011646718355</v>
      </c>
      <c r="T27">
        <f t="shared" si="10"/>
        <v>0.59113673272076195</v>
      </c>
      <c r="U27">
        <f t="shared" si="11"/>
        <v>0.57593334897434034</v>
      </c>
      <c r="V27">
        <f t="shared" si="34"/>
        <v>0.56072996522791863</v>
      </c>
      <c r="W27">
        <f t="shared" si="12"/>
        <v>0.54722228056550659</v>
      </c>
      <c r="X27">
        <f t="shared" si="34"/>
        <v>0.53371459590309456</v>
      </c>
      <c r="Y27">
        <f t="shared" si="13"/>
        <v>0.52508647703606548</v>
      </c>
      <c r="Z27">
        <f t="shared" si="14"/>
        <v>0.5164583581690364</v>
      </c>
      <c r="AA27">
        <f t="shared" si="34"/>
        <v>0.50783023930200732</v>
      </c>
      <c r="AB27">
        <f t="shared" si="15"/>
        <v>0.49951191032166697</v>
      </c>
      <c r="AC27">
        <f t="shared" si="34"/>
        <v>0.49119358134132668</v>
      </c>
      <c r="AD27">
        <f t="shared" si="16"/>
        <v>0.47381695369642396</v>
      </c>
      <c r="AE27">
        <f t="shared" si="17"/>
        <v>0.45644032605152124</v>
      </c>
      <c r="AF27">
        <f t="shared" si="18"/>
        <v>0.43906369840661852</v>
      </c>
      <c r="AG27">
        <f t="shared" si="19"/>
        <v>0.4216870707617158</v>
      </c>
      <c r="AH27">
        <f t="shared" si="34"/>
        <v>0.40431044311681308</v>
      </c>
      <c r="AI27">
        <f t="shared" si="20"/>
        <v>0.38512317293414344</v>
      </c>
      <c r="AJ27">
        <f t="shared" si="21"/>
        <v>0.36593590275147381</v>
      </c>
      <c r="AK27">
        <f t="shared" si="22"/>
        <v>0.34674863256880417</v>
      </c>
      <c r="AL27">
        <f t="shared" si="23"/>
        <v>0.32756136238613454</v>
      </c>
      <c r="AM27">
        <f t="shared" si="34"/>
        <v>0.30837409220346496</v>
      </c>
    </row>
    <row r="28" spans="2:39" x14ac:dyDescent="0.25">
      <c r="B28" t="s">
        <v>419</v>
      </c>
      <c r="C28" t="s">
        <v>459</v>
      </c>
      <c r="D28">
        <f t="shared" ref="D28:AM35" si="35">D11/SUM(D$10:D$18)</f>
        <v>5.9395604767543348E-3</v>
      </c>
      <c r="E28">
        <f t="shared" si="35"/>
        <v>5.3900889580477543E-3</v>
      </c>
      <c r="F28">
        <f t="shared" si="35"/>
        <v>4.8142864849332377E-3</v>
      </c>
      <c r="G28">
        <f t="shared" si="35"/>
        <v>4.2102139057705497E-3</v>
      </c>
      <c r="H28">
        <f t="shared" si="35"/>
        <v>3.5757368643533605E-3</v>
      </c>
      <c r="I28">
        <f t="shared" si="35"/>
        <v>2.9085006029797322E-3</v>
      </c>
      <c r="J28">
        <f t="shared" si="4"/>
        <v>4.114930681218769E-3</v>
      </c>
      <c r="K28">
        <f t="shared" si="5"/>
        <v>5.3213607594578063E-3</v>
      </c>
      <c r="L28">
        <f t="shared" si="35"/>
        <v>6.5277908376968436E-3</v>
      </c>
      <c r="M28">
        <f t="shared" si="6"/>
        <v>5.0495472285835077E-3</v>
      </c>
      <c r="N28">
        <f t="shared" si="35"/>
        <v>3.571303619470171E-3</v>
      </c>
      <c r="O28">
        <f t="shared" si="7"/>
        <v>2.7659989952348082E-3</v>
      </c>
      <c r="P28">
        <f t="shared" si="8"/>
        <v>1.9606943709994454E-3</v>
      </c>
      <c r="Q28">
        <f t="shared" si="35"/>
        <v>1.1553897467640828E-3</v>
      </c>
      <c r="R28">
        <f t="shared" si="9"/>
        <v>8.4670931046014887E-4</v>
      </c>
      <c r="S28">
        <f t="shared" si="35"/>
        <v>5.3802887415621483E-4</v>
      </c>
      <c r="T28">
        <f t="shared" si="10"/>
        <v>5.2838730907893612E-4</v>
      </c>
      <c r="U28">
        <f t="shared" si="11"/>
        <v>5.1874574400165741E-4</v>
      </c>
      <c r="V28">
        <f t="shared" si="35"/>
        <v>5.0910417892437881E-4</v>
      </c>
      <c r="W28">
        <f t="shared" si="12"/>
        <v>5.0051709921216888E-4</v>
      </c>
      <c r="X28">
        <f t="shared" si="35"/>
        <v>4.9193001949995895E-4</v>
      </c>
      <c r="Y28">
        <f t="shared" si="13"/>
        <v>3.9637497298032436E-4</v>
      </c>
      <c r="Z28">
        <f t="shared" si="14"/>
        <v>3.0081992646068976E-4</v>
      </c>
      <c r="AA28">
        <f t="shared" si="35"/>
        <v>2.0526487994105519E-4</v>
      </c>
      <c r="AB28">
        <f t="shared" si="15"/>
        <v>2.1251893511539883E-4</v>
      </c>
      <c r="AC28">
        <f t="shared" si="35"/>
        <v>2.1977299028974246E-4</v>
      </c>
      <c r="AD28">
        <f t="shared" si="16"/>
        <v>2.11017805293373E-4</v>
      </c>
      <c r="AE28">
        <f t="shared" si="17"/>
        <v>2.0226262029700355E-4</v>
      </c>
      <c r="AF28">
        <f t="shared" si="18"/>
        <v>1.935074353006341E-4</v>
      </c>
      <c r="AG28">
        <f t="shared" si="19"/>
        <v>1.8475225030426464E-4</v>
      </c>
      <c r="AH28">
        <f t="shared" si="35"/>
        <v>1.7599706530789522E-4</v>
      </c>
      <c r="AI28">
        <f t="shared" si="20"/>
        <v>1.7500481967354072E-4</v>
      </c>
      <c r="AJ28">
        <f t="shared" si="21"/>
        <v>1.7401257403918622E-4</v>
      </c>
      <c r="AK28">
        <f t="shared" si="22"/>
        <v>1.7302032840483172E-4</v>
      </c>
      <c r="AL28">
        <f t="shared" si="23"/>
        <v>1.7202808277047723E-4</v>
      </c>
      <c r="AM28">
        <f t="shared" si="35"/>
        <v>1.7103583713612278E-4</v>
      </c>
    </row>
    <row r="29" spans="2:39" x14ac:dyDescent="0.25">
      <c r="B29" t="s">
        <v>420</v>
      </c>
      <c r="C29" t="s">
        <v>456</v>
      </c>
      <c r="D29">
        <f t="shared" si="35"/>
        <v>3.9064338688628616E-2</v>
      </c>
      <c r="E29">
        <f t="shared" si="35"/>
        <v>4.3139722277994626E-2</v>
      </c>
      <c r="F29">
        <f t="shared" si="35"/>
        <v>4.7410400319999477E-2</v>
      </c>
      <c r="G29">
        <f t="shared" si="35"/>
        <v>5.1890755337672817E-2</v>
      </c>
      <c r="H29">
        <f t="shared" si="35"/>
        <v>5.6596617669732847E-2</v>
      </c>
      <c r="I29">
        <f t="shared" si="35"/>
        <v>6.1545452354072661E-2</v>
      </c>
      <c r="J29">
        <f t="shared" si="4"/>
        <v>5.8724473317179129E-2</v>
      </c>
      <c r="K29">
        <f t="shared" si="5"/>
        <v>5.5903494280285598E-2</v>
      </c>
      <c r="L29">
        <f t="shared" si="35"/>
        <v>5.3082515243392067E-2</v>
      </c>
      <c r="M29">
        <f t="shared" si="6"/>
        <v>5.9480282921029526E-2</v>
      </c>
      <c r="N29">
        <f t="shared" si="35"/>
        <v>6.5878050598666985E-2</v>
      </c>
      <c r="O29">
        <f t="shared" si="7"/>
        <v>6.4408557554519699E-2</v>
      </c>
      <c r="P29">
        <f t="shared" si="8"/>
        <v>6.2939064510372414E-2</v>
      </c>
      <c r="Q29">
        <f t="shared" si="35"/>
        <v>6.1469571466225129E-2</v>
      </c>
      <c r="R29">
        <f t="shared" si="9"/>
        <v>5.3545065131491279E-2</v>
      </c>
      <c r="S29">
        <f t="shared" si="35"/>
        <v>4.5620558796757436E-2</v>
      </c>
      <c r="T29">
        <f t="shared" si="10"/>
        <v>4.2095347543021681E-2</v>
      </c>
      <c r="U29">
        <f t="shared" si="11"/>
        <v>3.8570136289285926E-2</v>
      </c>
      <c r="V29">
        <f t="shared" si="35"/>
        <v>3.5044925035550172E-2</v>
      </c>
      <c r="W29">
        <f t="shared" si="12"/>
        <v>3.1958032582153954E-2</v>
      </c>
      <c r="X29">
        <f t="shared" si="35"/>
        <v>2.8871140128757734E-2</v>
      </c>
      <c r="Y29">
        <f t="shared" si="13"/>
        <v>2.2795481408498373E-2</v>
      </c>
      <c r="Z29">
        <f t="shared" si="14"/>
        <v>1.6719822688239013E-2</v>
      </c>
      <c r="AA29">
        <f t="shared" si="35"/>
        <v>1.0644163967979656E-2</v>
      </c>
      <c r="AB29">
        <f t="shared" si="15"/>
        <v>6.5612345312829638E-3</v>
      </c>
      <c r="AC29">
        <f t="shared" si="35"/>
        <v>2.4783050945862716E-3</v>
      </c>
      <c r="AD29">
        <f t="shared" si="16"/>
        <v>2.4574447002082421E-3</v>
      </c>
      <c r="AE29">
        <f t="shared" si="17"/>
        <v>2.4365843058302126E-3</v>
      </c>
      <c r="AF29">
        <f t="shared" si="18"/>
        <v>2.4157239114521831E-3</v>
      </c>
      <c r="AG29">
        <f t="shared" si="19"/>
        <v>2.3948635170741536E-3</v>
      </c>
      <c r="AH29">
        <f t="shared" si="35"/>
        <v>2.3740031226961249E-3</v>
      </c>
      <c r="AI29">
        <f t="shared" si="20"/>
        <v>2.3604420843059727E-3</v>
      </c>
      <c r="AJ29">
        <f t="shared" si="21"/>
        <v>2.3468810459158205E-3</v>
      </c>
      <c r="AK29">
        <f t="shared" si="22"/>
        <v>2.3333200075256683E-3</v>
      </c>
      <c r="AL29">
        <f t="shared" si="23"/>
        <v>2.3197589691355161E-3</v>
      </c>
      <c r="AM29">
        <f t="shared" si="35"/>
        <v>2.3061979307453639E-3</v>
      </c>
    </row>
    <row r="30" spans="2:39" x14ac:dyDescent="0.25">
      <c r="B30" t="s">
        <v>421</v>
      </c>
      <c r="C30" t="s">
        <v>455</v>
      </c>
      <c r="D30">
        <f t="shared" si="35"/>
        <v>1.8311673721203642E-2</v>
      </c>
      <c r="E30">
        <f t="shared" si="35"/>
        <v>1.6031346321441459E-2</v>
      </c>
      <c r="F30">
        <f t="shared" si="35"/>
        <v>1.3641744473861411E-2</v>
      </c>
      <c r="G30">
        <f t="shared" si="35"/>
        <v>1.1134820626466747E-2</v>
      </c>
      <c r="H30">
        <f t="shared" si="35"/>
        <v>8.5017171209941251E-3</v>
      </c>
      <c r="I30">
        <f t="shared" si="35"/>
        <v>5.7326616247115984E-3</v>
      </c>
      <c r="J30">
        <f t="shared" si="4"/>
        <v>5.4666207140155361E-3</v>
      </c>
      <c r="K30">
        <f t="shared" si="5"/>
        <v>5.2005798033194738E-3</v>
      </c>
      <c r="L30">
        <f t="shared" si="35"/>
        <v>4.9345388926234123E-3</v>
      </c>
      <c r="M30">
        <f t="shared" si="6"/>
        <v>3.1672157289984564E-3</v>
      </c>
      <c r="N30">
        <f t="shared" si="35"/>
        <v>1.3998925653735002E-3</v>
      </c>
      <c r="O30">
        <f t="shared" si="7"/>
        <v>1.078381011692275E-3</v>
      </c>
      <c r="P30">
        <f t="shared" si="8"/>
        <v>7.5686945801104973E-4</v>
      </c>
      <c r="Q30">
        <f t="shared" si="35"/>
        <v>4.3535790432982455E-4</v>
      </c>
      <c r="R30">
        <f t="shared" si="9"/>
        <v>4.2570934738240558E-4</v>
      </c>
      <c r="S30">
        <f t="shared" si="35"/>
        <v>4.1606079043498661E-4</v>
      </c>
      <c r="T30">
        <f t="shared" si="10"/>
        <v>3.451799481813913E-4</v>
      </c>
      <c r="U30">
        <f t="shared" si="11"/>
        <v>2.7429910592779603E-4</v>
      </c>
      <c r="V30">
        <f t="shared" si="35"/>
        <v>2.0341826367420074E-4</v>
      </c>
      <c r="W30">
        <f t="shared" si="12"/>
        <v>2.0095883929528713E-4</v>
      </c>
      <c r="X30">
        <f t="shared" si="35"/>
        <v>1.9849941491637354E-4</v>
      </c>
      <c r="Y30">
        <f t="shared" si="13"/>
        <v>1.9550219459380021E-4</v>
      </c>
      <c r="Z30">
        <f t="shared" si="14"/>
        <v>1.9250497427122687E-4</v>
      </c>
      <c r="AA30">
        <f t="shared" si="35"/>
        <v>1.8950775394865351E-4</v>
      </c>
      <c r="AB30">
        <f t="shared" si="15"/>
        <v>1.8671873522614792E-4</v>
      </c>
      <c r="AC30">
        <f t="shared" si="35"/>
        <v>1.8392971650364233E-4</v>
      </c>
      <c r="AD30">
        <f t="shared" si="16"/>
        <v>1.8234318626449291E-4</v>
      </c>
      <c r="AE30">
        <f t="shared" si="17"/>
        <v>1.8075665602534349E-4</v>
      </c>
      <c r="AF30">
        <f t="shared" si="18"/>
        <v>1.7917012578619408E-4</v>
      </c>
      <c r="AG30">
        <f t="shared" si="19"/>
        <v>1.7758359554704466E-4</v>
      </c>
      <c r="AH30">
        <f t="shared" si="35"/>
        <v>1.7599706530789522E-4</v>
      </c>
      <c r="AI30">
        <f t="shared" si="20"/>
        <v>1.7500481967354072E-4</v>
      </c>
      <c r="AJ30">
        <f t="shared" si="21"/>
        <v>1.7401257403918622E-4</v>
      </c>
      <c r="AK30">
        <f t="shared" si="22"/>
        <v>1.7302032840483172E-4</v>
      </c>
      <c r="AL30">
        <f t="shared" si="23"/>
        <v>1.7202808277047723E-4</v>
      </c>
      <c r="AM30">
        <f t="shared" si="35"/>
        <v>1.7103583713612278E-4</v>
      </c>
    </row>
    <row r="31" spans="2:39" x14ac:dyDescent="0.25">
      <c r="B31" t="s">
        <v>422</v>
      </c>
      <c r="C31" t="s">
        <v>470</v>
      </c>
      <c r="D31">
        <f t="shared" si="35"/>
        <v>5.1812811798969273E-2</v>
      </c>
      <c r="E31">
        <f t="shared" si="35"/>
        <v>5.7638702909359983E-2</v>
      </c>
      <c r="F31">
        <f t="shared" si="35"/>
        <v>6.3743773682373384E-2</v>
      </c>
      <c r="G31">
        <f t="shared" si="35"/>
        <v>7.0148584394416846E-2</v>
      </c>
      <c r="H31">
        <f t="shared" si="35"/>
        <v>7.6875765020703854E-2</v>
      </c>
      <c r="I31">
        <f t="shared" si="35"/>
        <v>8.3950282391171499E-2</v>
      </c>
      <c r="J31">
        <f t="shared" si="4"/>
        <v>8.8137621094501489E-2</v>
      </c>
      <c r="K31">
        <f t="shared" si="5"/>
        <v>9.232495979783148E-2</v>
      </c>
      <c r="L31">
        <f t="shared" si="35"/>
        <v>9.6512298501161484E-2</v>
      </c>
      <c r="M31">
        <f t="shared" si="6"/>
        <v>0.10207733721586865</v>
      </c>
      <c r="N31">
        <f t="shared" si="35"/>
        <v>0.10764237593057581</v>
      </c>
      <c r="O31">
        <f t="shared" si="7"/>
        <v>0.11212961261499653</v>
      </c>
      <c r="P31">
        <f t="shared" si="8"/>
        <v>0.11661684929941725</v>
      </c>
      <c r="Q31">
        <f t="shared" si="35"/>
        <v>0.12110408598383797</v>
      </c>
      <c r="R31">
        <f t="shared" si="9"/>
        <v>0.12593853929845131</v>
      </c>
      <c r="S31">
        <f t="shared" si="35"/>
        <v>0.13077299261306466</v>
      </c>
      <c r="T31">
        <f t="shared" si="10"/>
        <v>0.14661794672691786</v>
      </c>
      <c r="U31">
        <f t="shared" si="11"/>
        <v>0.16246290084077106</v>
      </c>
      <c r="V31">
        <f t="shared" si="35"/>
        <v>0.17830785495462423</v>
      </c>
      <c r="W31">
        <f t="shared" si="12"/>
        <v>0.19187727027650089</v>
      </c>
      <c r="X31">
        <f t="shared" si="35"/>
        <v>0.20544668559837756</v>
      </c>
      <c r="Y31">
        <f t="shared" si="13"/>
        <v>0.21470466628448215</v>
      </c>
      <c r="Z31">
        <f t="shared" si="14"/>
        <v>0.22396264697058674</v>
      </c>
      <c r="AA31">
        <f t="shared" si="35"/>
        <v>0.23322062765669133</v>
      </c>
      <c r="AB31">
        <f t="shared" si="15"/>
        <v>0.24109293863235665</v>
      </c>
      <c r="AC31">
        <f t="shared" si="35"/>
        <v>0.24896524960802199</v>
      </c>
      <c r="AD31">
        <f t="shared" si="16"/>
        <v>0.25959003117394996</v>
      </c>
      <c r="AE31">
        <f t="shared" si="17"/>
        <v>0.27021481273987791</v>
      </c>
      <c r="AF31">
        <f t="shared" si="18"/>
        <v>0.28083959430580585</v>
      </c>
      <c r="AG31">
        <f t="shared" si="19"/>
        <v>0.29146437587173379</v>
      </c>
      <c r="AH31">
        <f t="shared" si="35"/>
        <v>0.30208915743766179</v>
      </c>
      <c r="AI31">
        <f t="shared" si="20"/>
        <v>0.31365748687897393</v>
      </c>
      <c r="AJ31">
        <f t="shared" si="21"/>
        <v>0.32522581632028608</v>
      </c>
      <c r="AK31">
        <f t="shared" si="22"/>
        <v>0.33679414576159822</v>
      </c>
      <c r="AL31">
        <f t="shared" si="23"/>
        <v>0.34836247520291036</v>
      </c>
      <c r="AM31">
        <f t="shared" si="35"/>
        <v>0.35993080464422261</v>
      </c>
    </row>
    <row r="32" spans="2:39" x14ac:dyDescent="0.25">
      <c r="B32" t="s">
        <v>423</v>
      </c>
      <c r="C32" t="s">
        <v>461</v>
      </c>
      <c r="D32">
        <f t="shared" si="35"/>
        <v>2.2834171866532933E-2</v>
      </c>
      <c r="E32">
        <f t="shared" si="35"/>
        <v>2.5401671955246789E-2</v>
      </c>
      <c r="F32">
        <f t="shared" si="35"/>
        <v>2.8092207952969045E-2</v>
      </c>
      <c r="G32">
        <f t="shared" si="35"/>
        <v>3.0914840878949731E-2</v>
      </c>
      <c r="H32">
        <f t="shared" si="35"/>
        <v>3.3879543879316604E-2</v>
      </c>
      <c r="I32">
        <f t="shared" si="35"/>
        <v>3.6997319964057952E-2</v>
      </c>
      <c r="J32">
        <f t="shared" si="4"/>
        <v>3.830564933241444E-2</v>
      </c>
      <c r="K32">
        <f t="shared" si="5"/>
        <v>3.9613978700770928E-2</v>
      </c>
      <c r="L32">
        <f t="shared" si="35"/>
        <v>4.092230806912741E-2</v>
      </c>
      <c r="M32">
        <f t="shared" si="6"/>
        <v>4.9570863672007678E-2</v>
      </c>
      <c r="N32">
        <f t="shared" si="35"/>
        <v>5.821941927488794E-2</v>
      </c>
      <c r="O32">
        <f t="shared" si="7"/>
        <v>6.8939244784082004E-2</v>
      </c>
      <c r="P32">
        <f t="shared" si="8"/>
        <v>7.9659070293276069E-2</v>
      </c>
      <c r="Q32">
        <f t="shared" si="35"/>
        <v>9.0378895802470133E-2</v>
      </c>
      <c r="R32">
        <f t="shared" si="9"/>
        <v>0.10094565034634358</v>
      </c>
      <c r="S32">
        <f t="shared" si="35"/>
        <v>0.11151240489021702</v>
      </c>
      <c r="T32">
        <f t="shared" si="10"/>
        <v>0.11697578424401942</v>
      </c>
      <c r="U32">
        <f t="shared" si="11"/>
        <v>0.12243916359782181</v>
      </c>
      <c r="V32">
        <f t="shared" si="35"/>
        <v>0.1279025429516242</v>
      </c>
      <c r="W32">
        <f t="shared" si="12"/>
        <v>0.13277671881687114</v>
      </c>
      <c r="X32">
        <f t="shared" si="35"/>
        <v>0.13765089468211811</v>
      </c>
      <c r="Y32">
        <f t="shared" si="13"/>
        <v>0.14300521817851802</v>
      </c>
      <c r="Z32">
        <f t="shared" si="14"/>
        <v>0.14835954167491794</v>
      </c>
      <c r="AA32">
        <f t="shared" si="35"/>
        <v>0.15371386517131788</v>
      </c>
      <c r="AB32">
        <f t="shared" si="15"/>
        <v>0.15823944120182523</v>
      </c>
      <c r="AC32">
        <f t="shared" si="35"/>
        <v>0.16276501723233258</v>
      </c>
      <c r="AD32">
        <f t="shared" si="16"/>
        <v>0.16911081880157361</v>
      </c>
      <c r="AE32">
        <f t="shared" si="17"/>
        <v>0.17545662037081464</v>
      </c>
      <c r="AF32">
        <f t="shared" si="18"/>
        <v>0.18180242194005566</v>
      </c>
      <c r="AG32">
        <f t="shared" si="19"/>
        <v>0.18814822350929669</v>
      </c>
      <c r="AH32">
        <f t="shared" si="35"/>
        <v>0.19449402507853766</v>
      </c>
      <c r="AI32">
        <f t="shared" si="20"/>
        <v>0.20148157662798191</v>
      </c>
      <c r="AJ32">
        <f t="shared" si="21"/>
        <v>0.20846912817742616</v>
      </c>
      <c r="AK32">
        <f t="shared" si="22"/>
        <v>0.21545667972687041</v>
      </c>
      <c r="AL32">
        <f t="shared" si="23"/>
        <v>0.22244423127631466</v>
      </c>
      <c r="AM32">
        <f t="shared" si="35"/>
        <v>0.22943178282575885</v>
      </c>
    </row>
    <row r="33" spans="2:39" x14ac:dyDescent="0.25">
      <c r="B33" t="s">
        <v>424</v>
      </c>
      <c r="C33" t="s">
        <v>457</v>
      </c>
      <c r="D33">
        <f t="shared" si="35"/>
        <v>6.3312931084477678E-2</v>
      </c>
      <c r="E33">
        <f t="shared" si="35"/>
        <v>7.0431908603184268E-2</v>
      </c>
      <c r="F33">
        <f t="shared" si="35"/>
        <v>7.7892031142323251E-2</v>
      </c>
      <c r="G33">
        <f t="shared" si="35"/>
        <v>8.5718422437087896E-2</v>
      </c>
      <c r="H33">
        <f t="shared" si="35"/>
        <v>9.3938735301741502E-2</v>
      </c>
      <c r="I33">
        <f t="shared" si="35"/>
        <v>0.10258347808216069</v>
      </c>
      <c r="J33">
        <f t="shared" si="4"/>
        <v>0.10719006701055961</v>
      </c>
      <c r="K33">
        <f t="shared" si="5"/>
        <v>0.11179665593895853</v>
      </c>
      <c r="L33">
        <f t="shared" si="35"/>
        <v>0.11640324486735744</v>
      </c>
      <c r="M33">
        <f t="shared" si="6"/>
        <v>0.10408755548321391</v>
      </c>
      <c r="N33">
        <f t="shared" si="35"/>
        <v>9.1771866099070371E-2</v>
      </c>
      <c r="O33">
        <f t="shared" si="7"/>
        <v>9.1057789594834626E-2</v>
      </c>
      <c r="P33">
        <f t="shared" si="8"/>
        <v>9.0343713090598882E-2</v>
      </c>
      <c r="Q33">
        <f t="shared" si="35"/>
        <v>8.9629636586363151E-2</v>
      </c>
      <c r="R33">
        <f t="shared" si="9"/>
        <v>8.9393767489027082E-2</v>
      </c>
      <c r="S33">
        <f t="shared" si="35"/>
        <v>8.9157898391691026E-2</v>
      </c>
      <c r="T33">
        <f t="shared" si="10"/>
        <v>8.5890476517126335E-2</v>
      </c>
      <c r="U33">
        <f t="shared" si="11"/>
        <v>8.2623054642561644E-2</v>
      </c>
      <c r="V33">
        <f t="shared" si="35"/>
        <v>7.9355632767996939E-2</v>
      </c>
      <c r="W33">
        <f t="shared" si="12"/>
        <v>7.6899086487833307E-2</v>
      </c>
      <c r="X33">
        <f t="shared" si="35"/>
        <v>7.4442540207669661E-2</v>
      </c>
      <c r="Y33">
        <f t="shared" si="13"/>
        <v>7.2806570459801309E-2</v>
      </c>
      <c r="Z33">
        <f t="shared" si="14"/>
        <v>7.1170600711932958E-2</v>
      </c>
      <c r="AA33">
        <f t="shared" si="35"/>
        <v>6.9534630964064606E-2</v>
      </c>
      <c r="AB33">
        <f t="shared" si="15"/>
        <v>6.7982678817794212E-2</v>
      </c>
      <c r="AC33">
        <f t="shared" si="35"/>
        <v>6.6430726671523818E-2</v>
      </c>
      <c r="AD33">
        <f t="shared" si="16"/>
        <v>6.5937172035503186E-2</v>
      </c>
      <c r="AE33">
        <f t="shared" si="17"/>
        <v>6.5443617399482554E-2</v>
      </c>
      <c r="AF33">
        <f t="shared" si="18"/>
        <v>6.4950062763461922E-2</v>
      </c>
      <c r="AG33">
        <f t="shared" si="19"/>
        <v>6.4456508127441289E-2</v>
      </c>
      <c r="AH33">
        <f t="shared" si="35"/>
        <v>6.3962953491420657E-2</v>
      </c>
      <c r="AI33">
        <f t="shared" si="20"/>
        <v>6.3830185178956611E-2</v>
      </c>
      <c r="AJ33">
        <f t="shared" si="21"/>
        <v>6.3697416866492565E-2</v>
      </c>
      <c r="AK33">
        <f t="shared" si="22"/>
        <v>6.3564648554028519E-2</v>
      </c>
      <c r="AL33">
        <f t="shared" si="23"/>
        <v>6.3431880241564473E-2</v>
      </c>
      <c r="AM33">
        <f t="shared" si="35"/>
        <v>6.3299111929100399E-2</v>
      </c>
    </row>
    <row r="34" spans="2:39" x14ac:dyDescent="0.25">
      <c r="B34" t="s">
        <v>425</v>
      </c>
      <c r="C34" t="s">
        <v>454</v>
      </c>
      <c r="D34">
        <f t="shared" si="35"/>
        <v>3.0616150944571912E-2</v>
      </c>
      <c r="E34">
        <f t="shared" si="35"/>
        <v>2.5070525027024254E-2</v>
      </c>
      <c r="F34">
        <f t="shared" si="35"/>
        <v>1.9259149897320634E-2</v>
      </c>
      <c r="G34">
        <f t="shared" si="35"/>
        <v>1.3162454368915357E-2</v>
      </c>
      <c r="H34">
        <f t="shared" si="35"/>
        <v>6.7588971231192282E-3</v>
      </c>
      <c r="I34">
        <f t="shared" si="35"/>
        <v>2.4712405208252053E-5</v>
      </c>
      <c r="J34">
        <f t="shared" si="4"/>
        <v>2.479021100179062E-5</v>
      </c>
      <c r="K34">
        <f t="shared" si="5"/>
        <v>2.4868016795329186E-5</v>
      </c>
      <c r="L34">
        <f t="shared" si="35"/>
        <v>2.4945822588867752E-5</v>
      </c>
      <c r="M34">
        <f t="shared" si="6"/>
        <v>2.413868267254638E-5</v>
      </c>
      <c r="N34">
        <f t="shared" si="35"/>
        <v>2.3331542756225005E-5</v>
      </c>
      <c r="O34">
        <f t="shared" si="7"/>
        <v>2.2810326909647078E-5</v>
      </c>
      <c r="P34">
        <f t="shared" si="8"/>
        <v>2.2289111063069152E-5</v>
      </c>
      <c r="Q34">
        <f t="shared" si="35"/>
        <v>2.1767895216491225E-5</v>
      </c>
      <c r="R34">
        <f t="shared" si="9"/>
        <v>2.1285467369120276E-5</v>
      </c>
      <c r="S34">
        <f t="shared" si="35"/>
        <v>2.0803039521749331E-5</v>
      </c>
      <c r="T34">
        <f t="shared" si="10"/>
        <v>2.064930180363958E-5</v>
      </c>
      <c r="U34">
        <f t="shared" si="11"/>
        <v>2.0495564085529828E-5</v>
      </c>
      <c r="V34">
        <f t="shared" si="35"/>
        <v>2.0341826367420074E-5</v>
      </c>
      <c r="W34">
        <f t="shared" si="12"/>
        <v>2.0095883929528714E-5</v>
      </c>
      <c r="X34">
        <f t="shared" si="35"/>
        <v>1.9849941491637353E-5</v>
      </c>
      <c r="Y34">
        <f t="shared" si="13"/>
        <v>1.1134659529712574E-3</v>
      </c>
      <c r="Z34">
        <f t="shared" si="14"/>
        <v>2.2070819644508773E-3</v>
      </c>
      <c r="AA34">
        <f t="shared" si="35"/>
        <v>3.300697975930497E-3</v>
      </c>
      <c r="AB34">
        <f t="shared" si="15"/>
        <v>4.3329401122531568E-3</v>
      </c>
      <c r="AC34">
        <f t="shared" si="35"/>
        <v>5.3651822485758175E-3</v>
      </c>
      <c r="AD34">
        <f t="shared" si="16"/>
        <v>6.2674326227767085E-3</v>
      </c>
      <c r="AE34">
        <f t="shared" si="17"/>
        <v>7.1696829969775996E-3</v>
      </c>
      <c r="AF34">
        <f t="shared" si="18"/>
        <v>8.0719333711784906E-3</v>
      </c>
      <c r="AG34">
        <f t="shared" si="19"/>
        <v>8.9741837453793816E-3</v>
      </c>
      <c r="AH34">
        <f t="shared" si="35"/>
        <v>9.8764341195802709E-3</v>
      </c>
      <c r="AI34">
        <f t="shared" si="20"/>
        <v>1.071835840534862E-2</v>
      </c>
      <c r="AJ34">
        <f t="shared" si="21"/>
        <v>1.1560282691116969E-2</v>
      </c>
      <c r="AK34">
        <f t="shared" si="22"/>
        <v>1.2402206976885318E-2</v>
      </c>
      <c r="AL34">
        <f t="shared" si="23"/>
        <v>1.3244131262653667E-2</v>
      </c>
      <c r="AM34">
        <f t="shared" si="35"/>
        <v>1.4086055548422018E-2</v>
      </c>
    </row>
    <row r="35" spans="2:39" x14ac:dyDescent="0.25">
      <c r="B35" t="s">
        <v>426</v>
      </c>
      <c r="C35" t="s">
        <v>460</v>
      </c>
      <c r="D35">
        <f t="shared" si="35"/>
        <v>1.5823024230497019E-2</v>
      </c>
      <c r="E35">
        <f t="shared" si="35"/>
        <v>1.5165123077461382E-2</v>
      </c>
      <c r="F35">
        <f t="shared" si="35"/>
        <v>1.4475694966838771E-2</v>
      </c>
      <c r="G35">
        <f t="shared" si="35"/>
        <v>1.3752418085656928E-2</v>
      </c>
      <c r="H35">
        <f t="shared" si="35"/>
        <v>1.299273689580091E-2</v>
      </c>
      <c r="I35">
        <f t="shared" si="35"/>
        <v>1.2193831964862512E-2</v>
      </c>
      <c r="J35">
        <f t="shared" si="4"/>
        <v>1.2812993170071427E-2</v>
      </c>
      <c r="K35">
        <f t="shared" si="5"/>
        <v>1.3432154375280343E-2</v>
      </c>
      <c r="L35">
        <f t="shared" si="35"/>
        <v>1.4051315580489259E-2</v>
      </c>
      <c r="M35">
        <f t="shared" si="6"/>
        <v>1.6423434465296191E-2</v>
      </c>
      <c r="N35">
        <f t="shared" si="35"/>
        <v>1.879555335010312E-2</v>
      </c>
      <c r="O35">
        <f t="shared" si="7"/>
        <v>1.8050309688231552E-2</v>
      </c>
      <c r="P35">
        <f t="shared" si="8"/>
        <v>1.7305066026359985E-2</v>
      </c>
      <c r="Q35">
        <f t="shared" si="35"/>
        <v>1.655982236448842E-2</v>
      </c>
      <c r="R35">
        <f t="shared" si="9"/>
        <v>1.6090479250730781E-2</v>
      </c>
      <c r="S35">
        <f t="shared" si="35"/>
        <v>1.5621136136973142E-2</v>
      </c>
      <c r="T35">
        <f t="shared" si="10"/>
        <v>1.6389495689088728E-2</v>
      </c>
      <c r="U35">
        <f t="shared" si="11"/>
        <v>1.7157855241204313E-2</v>
      </c>
      <c r="V35">
        <f t="shared" si="35"/>
        <v>1.7926214793319899E-2</v>
      </c>
      <c r="W35">
        <f t="shared" si="12"/>
        <v>1.854503944869703E-2</v>
      </c>
      <c r="X35">
        <f t="shared" si="35"/>
        <v>1.9163864104074158E-2</v>
      </c>
      <c r="Y35">
        <f t="shared" si="13"/>
        <v>1.9896243512089105E-2</v>
      </c>
      <c r="Z35">
        <f t="shared" si="14"/>
        <v>2.0628622920104051E-2</v>
      </c>
      <c r="AA35">
        <f t="shared" si="35"/>
        <v>2.1361002328119001E-2</v>
      </c>
      <c r="AB35">
        <f t="shared" si="15"/>
        <v>2.1879618712479218E-2</v>
      </c>
      <c r="AC35">
        <f t="shared" si="35"/>
        <v>2.2398235096839431E-2</v>
      </c>
      <c r="AD35">
        <f t="shared" si="16"/>
        <v>2.2426785978006458E-2</v>
      </c>
      <c r="AE35">
        <f t="shared" si="17"/>
        <v>2.2455336859173485E-2</v>
      </c>
      <c r="AF35">
        <f t="shared" si="18"/>
        <v>2.2483887740340512E-2</v>
      </c>
      <c r="AG35">
        <f t="shared" si="19"/>
        <v>2.2512438621507539E-2</v>
      </c>
      <c r="AH35">
        <f t="shared" si="35"/>
        <v>2.2540989502674559E-2</v>
      </c>
      <c r="AI35">
        <f t="shared" si="20"/>
        <v>2.2478768250942333E-2</v>
      </c>
      <c r="AJ35">
        <f t="shared" si="21"/>
        <v>2.2416546999210106E-2</v>
      </c>
      <c r="AK35">
        <f t="shared" si="22"/>
        <v>2.2354325747477879E-2</v>
      </c>
      <c r="AL35">
        <f t="shared" si="23"/>
        <v>2.2292104495745653E-2</v>
      </c>
      <c r="AM35">
        <f t="shared" si="35"/>
        <v>2.2229883244013433E-2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519BF-38F8-4EAC-A483-E6740895A9DB}">
  <dimension ref="A1:Z57"/>
  <sheetViews>
    <sheetView workbookViewId="0"/>
  </sheetViews>
  <sheetFormatPr baseColWidth="10" defaultColWidth="11.42578125" defaultRowHeight="15" x14ac:dyDescent="0.25"/>
  <cols>
    <col min="2" max="2" width="25.85546875" customWidth="1"/>
    <col min="5" max="5" width="11.5703125" customWidth="1"/>
    <col min="17" max="17" width="15.85546875" bestFit="1"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t="e">
        <f>SUM(C7:C47)-M13-N13-O13-M30-N30-O30-P13-P30-SUM(M21:P24)</f>
        <v>#REF!</v>
      </c>
      <c r="D5" s="18"/>
      <c r="E5" s="20"/>
      <c r="F5" s="494"/>
      <c r="G5" s="21"/>
      <c r="H5" s="493"/>
      <c r="I5" s="21"/>
      <c r="J5" s="22"/>
      <c r="K5" s="23"/>
      <c r="L5" s="14"/>
      <c r="M5" s="14"/>
      <c r="N5" s="15"/>
      <c r="O5" s="16"/>
      <c r="P5" s="16"/>
      <c r="Q5" s="24" t="e">
        <f>Q13+Q22+Q30+Q42+Q46+Q38+Q43</f>
        <v>#REF!</v>
      </c>
      <c r="R5" s="487"/>
      <c r="S5" s="79" t="e">
        <f>SUM(S13,S22,S27:S32,S41)</f>
        <v>#REF!</v>
      </c>
      <c r="T5" s="79" t="e">
        <f>SUM(T8:T46)</f>
        <v>#REF!</v>
      </c>
      <c r="U5" s="79" t="e">
        <f>SUM(U8:U46)</f>
        <v>#REF!</v>
      </c>
      <c r="V5" s="79" t="e">
        <f>SUM(V8:V46)</f>
        <v>#REF!</v>
      </c>
      <c r="W5" s="173" t="e">
        <f>SUM(W8:W46)</f>
        <v>#REF!</v>
      </c>
      <c r="X5" s="79" t="e">
        <f>SUM(X8:X46)</f>
        <v>#REF!</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t="e">
        <f>'P1_G4-G5'!O10/100*#REF!</f>
        <v>#REF!</v>
      </c>
      <c r="D7" s="516"/>
      <c r="E7" s="28">
        <v>0</v>
      </c>
      <c r="F7" s="516"/>
      <c r="G7" s="17"/>
      <c r="H7" s="516"/>
      <c r="I7" s="21"/>
      <c r="J7" s="516"/>
      <c r="K7" s="523"/>
      <c r="L7" s="523"/>
      <c r="M7" s="523"/>
      <c r="N7" s="523"/>
      <c r="O7" s="523"/>
      <c r="P7" s="513"/>
      <c r="Q7" s="526"/>
      <c r="R7" s="498"/>
      <c r="S7" s="526"/>
      <c r="T7" s="523"/>
      <c r="U7" s="523"/>
      <c r="V7" s="523"/>
      <c r="W7" s="523"/>
      <c r="X7" s="523"/>
    </row>
    <row r="8" spans="1:24" x14ac:dyDescent="0.25">
      <c r="A8" s="736"/>
      <c r="B8" s="1" t="s">
        <v>18</v>
      </c>
      <c r="C8" s="486" t="e">
        <f>('P1_G4-G5'!O9+SUM('P1_G4-G5'!O12:O14))/100*#REF!</f>
        <v>#REF!</v>
      </c>
      <c r="D8" s="81"/>
      <c r="E8" s="28">
        <v>0</v>
      </c>
      <c r="F8" s="81"/>
      <c r="G8" s="17"/>
      <c r="H8" s="81"/>
      <c r="I8" s="21"/>
      <c r="J8" s="81"/>
      <c r="K8" s="524"/>
      <c r="L8" s="524"/>
      <c r="M8" s="524"/>
      <c r="N8" s="524"/>
      <c r="O8" s="524"/>
      <c r="P8" s="29"/>
      <c r="Q8" s="527"/>
      <c r="R8" s="498"/>
      <c r="S8" s="527"/>
      <c r="T8" s="524"/>
      <c r="U8" s="524"/>
      <c r="V8" s="524"/>
      <c r="W8" s="524"/>
      <c r="X8" s="524"/>
    </row>
    <row r="9" spans="1:24" x14ac:dyDescent="0.25">
      <c r="A9" s="736"/>
      <c r="B9" s="1" t="s">
        <v>19</v>
      </c>
      <c r="C9" s="486" t="e">
        <f>'P1_G4-G5'!O11/100*#REF!</f>
        <v>#REF!</v>
      </c>
      <c r="D9" s="81"/>
      <c r="E9" s="28">
        <v>0</v>
      </c>
      <c r="F9" s="81"/>
      <c r="G9" s="17"/>
      <c r="H9" s="81"/>
      <c r="I9" s="21"/>
      <c r="J9" s="81"/>
      <c r="K9" s="524"/>
      <c r="L9" s="524"/>
      <c r="M9" s="524"/>
      <c r="N9" s="524"/>
      <c r="O9" s="524"/>
      <c r="P9" s="29"/>
      <c r="Q9" s="527"/>
      <c r="R9" s="498"/>
      <c r="S9" s="527"/>
      <c r="T9" s="524"/>
      <c r="U9" s="524"/>
      <c r="V9" s="524"/>
      <c r="W9" s="524"/>
      <c r="X9" s="524"/>
    </row>
    <row r="10" spans="1:24" x14ac:dyDescent="0.25">
      <c r="A10" s="736"/>
      <c r="B10" s="1" t="s">
        <v>20</v>
      </c>
      <c r="C10" s="17" t="e">
        <f>#REF!-(#REF!+#REF!)</f>
        <v>#REF!</v>
      </c>
      <c r="D10" s="81"/>
      <c r="E10" s="28" t="e">
        <f>F13-SUM(E11:E19)</f>
        <v>#REF!</v>
      </c>
      <c r="F10" s="81"/>
      <c r="G10" s="17"/>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t="e">
        <f>#REF!</f>
        <v>#REF!</v>
      </c>
      <c r="D11" s="81"/>
      <c r="E11" s="28" t="e">
        <f>C11*(1-0.47)</f>
        <v>#REF!</v>
      </c>
      <c r="F11" s="81"/>
      <c r="G11" s="17"/>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t="e">
        <f>#REF!</f>
        <v>#REF!</v>
      </c>
      <c r="D12" s="81"/>
      <c r="E12" s="28" t="e">
        <f>C12*(1-0.23)</f>
        <v>#REF!</v>
      </c>
      <c r="F12" s="81"/>
      <c r="G12" s="17" t="e">
        <f t="shared" ref="G12:G15" si="0">C12-E12</f>
        <v>#REF!</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t="e">
        <f>#REF!</f>
        <v>#REF!</v>
      </c>
      <c r="D13" s="81" t="e">
        <f>SUM(C7:C19)</f>
        <v>#REF!</v>
      </c>
      <c r="E13" s="28" t="e">
        <f>C13*(1-0.23)</f>
        <v>#REF!</v>
      </c>
      <c r="F13" s="81" t="e">
        <f>#REF!</f>
        <v>#REF!</v>
      </c>
      <c r="G13" s="17"/>
      <c r="H13" s="81" t="e">
        <f>SUM(G7:G19)</f>
        <v>#REF!</v>
      </c>
      <c r="I13" s="33" t="e">
        <f>#REF!</f>
        <v>#REF!</v>
      </c>
      <c r="J13" s="81" t="e">
        <f>H13-I13</f>
        <v>#REF!</v>
      </c>
      <c r="K13" s="29" t="e">
        <f>#REF!</f>
        <v>#REF!</v>
      </c>
      <c r="L13" s="29" t="e">
        <f>-(#REF!+#REF!)</f>
        <v>#REF!</v>
      </c>
      <c r="M13" s="29" t="e">
        <f>#REF!</f>
        <v>#REF!</v>
      </c>
      <c r="N13" s="29"/>
      <c r="O13" s="29"/>
      <c r="P13" s="29"/>
      <c r="Q13" s="81" t="e">
        <f>J13-K13-L13-M13-N13-O13-P13</f>
        <v>#REF!</v>
      </c>
      <c r="R13" s="508" t="e">
        <f>Q13-S13</f>
        <v>#REF!</v>
      </c>
      <c r="S13" s="81" t="e">
        <f>SUM(T8:X19)</f>
        <v>#REF!</v>
      </c>
      <c r="T13" s="29" t="e">
        <f>#REF!</f>
        <v>#REF!</v>
      </c>
      <c r="U13" s="29" t="e">
        <f>#REF!+#REF!</f>
        <v>#REF!</v>
      </c>
      <c r="V13" s="29" t="e">
        <f>#REF!</f>
        <v>#REF!</v>
      </c>
      <c r="W13" s="29" t="e">
        <f>#REF!</f>
        <v>#REF!</v>
      </c>
      <c r="X13" s="29" t="e">
        <f>#REF!</f>
        <v>#REF!</v>
      </c>
    </row>
    <row r="14" spans="1:24" x14ac:dyDescent="0.25">
      <c r="A14" s="736"/>
      <c r="B14" s="1" t="s">
        <v>24</v>
      </c>
      <c r="C14" s="486" t="e">
        <f>'P1_G4-G5'!O16/100*#REF!</f>
        <v>#REF!</v>
      </c>
      <c r="D14" s="81"/>
      <c r="E14" s="28">
        <v>0</v>
      </c>
      <c r="F14" s="81"/>
      <c r="G14" s="17"/>
      <c r="H14" s="81"/>
      <c r="I14" s="21"/>
      <c r="J14" s="81"/>
      <c r="K14" s="524"/>
      <c r="L14" s="524"/>
      <c r="M14" s="524"/>
      <c r="N14" s="524"/>
      <c r="O14" s="524"/>
      <c r="P14" s="29"/>
      <c r="Q14" s="527"/>
      <c r="R14" s="498"/>
      <c r="S14" s="527"/>
      <c r="T14" s="524"/>
      <c r="U14" s="524"/>
      <c r="V14" s="524"/>
      <c r="W14" s="524"/>
      <c r="X14" s="524"/>
    </row>
    <row r="15" spans="1:24" x14ac:dyDescent="0.25">
      <c r="A15" s="736"/>
      <c r="B15" s="1" t="s">
        <v>25</v>
      </c>
      <c r="C15" s="486" t="e">
        <f>'P1_G4-G5'!O15/100*#REF!</f>
        <v>#REF!</v>
      </c>
      <c r="D15" s="81"/>
      <c r="E15" s="28">
        <v>0</v>
      </c>
      <c r="F15" s="81"/>
      <c r="G15" s="17" t="e">
        <f t="shared" si="0"/>
        <v>#REF!</v>
      </c>
      <c r="H15" s="81"/>
      <c r="I15" s="21"/>
      <c r="J15" s="81"/>
      <c r="K15" s="524"/>
      <c r="L15" s="524"/>
      <c r="M15" s="524"/>
      <c r="N15" s="524"/>
      <c r="O15" s="524"/>
      <c r="P15" s="29"/>
      <c r="Q15" s="527"/>
      <c r="R15" s="498"/>
      <c r="S15" s="527"/>
      <c r="T15" s="524"/>
      <c r="U15" s="524"/>
      <c r="V15" s="524"/>
      <c r="W15" s="524"/>
      <c r="X15" s="524"/>
    </row>
    <row r="16" spans="1:24" x14ac:dyDescent="0.25">
      <c r="A16" s="736"/>
      <c r="B16" s="1" t="s">
        <v>26</v>
      </c>
      <c r="C16" s="17"/>
      <c r="D16" s="81"/>
      <c r="E16" s="28"/>
      <c r="F16" s="81"/>
      <c r="G16" s="17"/>
      <c r="H16" s="81"/>
      <c r="I16" s="21"/>
      <c r="J16" s="81"/>
      <c r="K16" s="524"/>
      <c r="L16" s="524"/>
      <c r="M16" s="524"/>
      <c r="N16" s="524"/>
      <c r="O16" s="524"/>
      <c r="P16" s="29"/>
      <c r="Q16" s="527"/>
      <c r="R16" s="498"/>
      <c r="S16" s="527"/>
      <c r="T16" s="524"/>
      <c r="U16" s="524"/>
      <c r="V16" s="524"/>
      <c r="W16" s="524"/>
      <c r="X16" s="524"/>
    </row>
    <row r="17" spans="1:24" x14ac:dyDescent="0.25">
      <c r="A17" s="736"/>
      <c r="B17" s="1" t="s">
        <v>27</v>
      </c>
      <c r="C17" s="17" t="e">
        <f>#REF!</f>
        <v>#REF!</v>
      </c>
      <c r="D17" s="81"/>
      <c r="E17" s="28" t="e">
        <f>C17*(1-0.38)</f>
        <v>#REF!</v>
      </c>
      <c r="F17" s="81"/>
      <c r="G17" s="17"/>
      <c r="H17" s="81"/>
      <c r="I17" s="21"/>
      <c r="J17" s="81"/>
      <c r="K17" s="524"/>
      <c r="L17" s="524"/>
      <c r="M17" s="524"/>
      <c r="N17" s="524"/>
      <c r="O17" s="524"/>
      <c r="P17" s="29"/>
      <c r="Q17" s="527"/>
      <c r="R17" s="498"/>
      <c r="S17" s="527"/>
      <c r="T17" s="524"/>
      <c r="U17" s="524"/>
      <c r="V17" s="524"/>
      <c r="W17" s="524"/>
      <c r="X17" s="524"/>
    </row>
    <row r="18" spans="1:24" x14ac:dyDescent="0.25">
      <c r="A18" s="736"/>
      <c r="B18" s="1" t="s">
        <v>28</v>
      </c>
      <c r="C18" s="17" t="e">
        <f>#REF!</f>
        <v>#REF!</v>
      </c>
      <c r="D18" s="81"/>
      <c r="E18" s="28" t="e">
        <f>C18*(1-0.31)</f>
        <v>#REF!</v>
      </c>
      <c r="F18" s="81"/>
      <c r="G18" s="17"/>
      <c r="H18" s="81"/>
      <c r="I18" s="21"/>
      <c r="J18" s="81"/>
      <c r="K18" s="524"/>
      <c r="L18" s="524"/>
      <c r="M18" s="524"/>
      <c r="N18" s="524"/>
      <c r="O18" s="524"/>
      <c r="P18" s="29"/>
      <c r="Q18" s="527"/>
      <c r="R18" s="498"/>
      <c r="S18" s="527"/>
      <c r="T18" s="524"/>
      <c r="U18" s="524"/>
      <c r="V18" s="524"/>
      <c r="W18" s="524"/>
      <c r="X18" s="524"/>
    </row>
    <row r="19" spans="1:24" x14ac:dyDescent="0.25">
      <c r="A19" s="736"/>
      <c r="B19" s="1" t="s">
        <v>260</v>
      </c>
      <c r="C19" s="17" t="e">
        <f>#REF!+#REF!</f>
        <v>#REF!</v>
      </c>
      <c r="D19" s="82"/>
      <c r="E19" s="28" t="e">
        <f>C19*(1-0.47)</f>
        <v>#REF!</v>
      </c>
      <c r="F19" s="82"/>
      <c r="G19" s="17"/>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499"/>
      <c r="H20" s="499"/>
      <c r="I20" s="17"/>
      <c r="J20" s="1"/>
      <c r="K20" s="17"/>
      <c r="L20" s="1"/>
      <c r="M20" s="1"/>
      <c r="N20" s="1"/>
      <c r="O20" s="1"/>
      <c r="P20" s="1"/>
      <c r="Q20" s="499"/>
      <c r="R20" s="498"/>
      <c r="S20" s="408"/>
      <c r="T20" s="495"/>
      <c r="U20" s="408"/>
      <c r="V20" s="495"/>
      <c r="W20" s="408"/>
      <c r="X20" s="495"/>
    </row>
    <row r="21" spans="1:24" x14ac:dyDescent="0.25">
      <c r="A21" s="737" t="s">
        <v>13</v>
      </c>
      <c r="B21" s="1" t="s">
        <v>21</v>
      </c>
      <c r="C21" s="17" t="e">
        <f>#REF!</f>
        <v>#REF!</v>
      </c>
      <c r="D21" s="529"/>
      <c r="E21" s="33" t="e">
        <f>#REF!+#REF!</f>
        <v>#REF!</v>
      </c>
      <c r="F21" s="529"/>
      <c r="G21" s="17" t="e">
        <f t="shared" ref="G21:G45" si="1">C21-E21</f>
        <v>#REF!</v>
      </c>
      <c r="H21" s="529"/>
      <c r="I21" s="17"/>
      <c r="J21" s="529"/>
      <c r="K21" s="545" t="e">
        <f>#REF!</f>
        <v>#REF!</v>
      </c>
      <c r="L21" s="545" t="e">
        <f>-(#REF!+#REF!+#REF!+#REF!)</f>
        <v>#REF!</v>
      </c>
      <c r="M21" s="545" t="e">
        <f>#REF!</f>
        <v>#REF!</v>
      </c>
      <c r="N21" s="545" t="e">
        <f>#REF!</f>
        <v>#REF!</v>
      </c>
      <c r="O21" s="545" t="e">
        <f>#REF!</f>
        <v>#REF!</v>
      </c>
      <c r="P21" s="529"/>
      <c r="Q21" s="529"/>
      <c r="R21" s="498"/>
      <c r="S21" s="529"/>
      <c r="T21" s="529"/>
      <c r="U21" s="529"/>
      <c r="V21" s="529"/>
      <c r="W21" s="529"/>
      <c r="X21" s="529"/>
    </row>
    <row r="22" spans="1:24" x14ac:dyDescent="0.25">
      <c r="A22" s="737"/>
      <c r="B22" s="1" t="s">
        <v>30</v>
      </c>
      <c r="C22" s="17"/>
      <c r="D22" s="85" t="e">
        <f>SUM(C21:C24)</f>
        <v>#REF!</v>
      </c>
      <c r="E22" s="497"/>
      <c r="F22" s="85" t="e">
        <f>SUM(E21:E24)</f>
        <v>#REF!</v>
      </c>
      <c r="G22" s="17">
        <f t="shared" si="1"/>
        <v>0</v>
      </c>
      <c r="H22" s="85" t="e">
        <f>SUM(G21:G24)</f>
        <v>#REF!</v>
      </c>
      <c r="I22" s="408"/>
      <c r="J22" s="85" t="e">
        <f>H22-I22</f>
        <v>#REF!</v>
      </c>
      <c r="K22" s="32"/>
      <c r="L22" s="32"/>
      <c r="M22" s="32"/>
      <c r="N22" s="32"/>
      <c r="O22" s="32"/>
      <c r="P22" s="32"/>
      <c r="Q22" s="85" t="e">
        <f>J22-SUM(K21:P24)</f>
        <v>#REF!</v>
      </c>
      <c r="R22" s="508" t="e">
        <f>Q22-S22</f>
        <v>#REF!</v>
      </c>
      <c r="S22" s="85" t="e">
        <f>SUM(T22:X24)</f>
        <v>#REF!</v>
      </c>
      <c r="T22" s="32" t="e">
        <f>#REF!+#REF!+#REF!</f>
        <v>#REF!</v>
      </c>
      <c r="U22" s="32" t="e">
        <f>#REF!+#REF!+#REF!</f>
        <v>#REF!</v>
      </c>
      <c r="V22" s="32" t="e">
        <f>#REF!+#REF!+#REF!</f>
        <v>#REF!</v>
      </c>
      <c r="W22" s="32" t="e">
        <f>#REF!+#REF!+#REF!+#REF!</f>
        <v>#REF!</v>
      </c>
      <c r="X22" s="32" t="e">
        <f>#REF!+#REF!+#REF!</f>
        <v>#REF!</v>
      </c>
    </row>
    <row r="23" spans="1:24" x14ac:dyDescent="0.25">
      <c r="A23" s="737"/>
      <c r="B23" s="1" t="s">
        <v>31</v>
      </c>
      <c r="C23" s="17" t="e">
        <f>SUM(#REF!)-C47</f>
        <v>#REF!</v>
      </c>
      <c r="D23" s="530"/>
      <c r="E23" s="33" t="e">
        <f>#REF!+#REF!</f>
        <v>#REF!</v>
      </c>
      <c r="F23" s="532"/>
      <c r="G23" s="17" t="e">
        <f t="shared" si="1"/>
        <v>#REF!</v>
      </c>
      <c r="H23" s="532"/>
      <c r="I23" s="17"/>
      <c r="J23" s="532"/>
      <c r="K23" s="534" t="e">
        <f>#REF!</f>
        <v>#REF!</v>
      </c>
      <c r="L23" s="534" t="e">
        <f>-(#REF!+#REF!+#REF!+#REF!)</f>
        <v>#REF!</v>
      </c>
      <c r="M23" s="534"/>
      <c r="N23" s="534" t="e">
        <f>#REF!</f>
        <v>#REF!</v>
      </c>
      <c r="O23" s="534" t="e">
        <f>#REF!</f>
        <v>#REF!</v>
      </c>
      <c r="P23" s="534" t="e">
        <f>-#REF!</f>
        <v>#REF!</v>
      </c>
      <c r="Q23" s="532"/>
      <c r="S23" s="532"/>
      <c r="T23" s="536"/>
      <c r="U23" s="536"/>
      <c r="V23" s="536"/>
      <c r="W23" s="536"/>
      <c r="X23" s="536"/>
    </row>
    <row r="24" spans="1:24" x14ac:dyDescent="0.25">
      <c r="A24" s="737"/>
      <c r="B24" s="1" t="s">
        <v>32</v>
      </c>
      <c r="C24" s="17" t="e">
        <f>#REF!-C45-(#REF!+#REF!)</f>
        <v>#REF!</v>
      </c>
      <c r="D24" s="531"/>
      <c r="E24" s="33" t="e">
        <f>#REF!</f>
        <v>#REF!</v>
      </c>
      <c r="F24" s="533"/>
      <c r="G24" s="17" t="e">
        <f t="shared" si="1"/>
        <v>#REF!</v>
      </c>
      <c r="H24" s="533"/>
      <c r="I24" s="34"/>
      <c r="J24" s="533"/>
      <c r="K24" s="535" t="e">
        <f>#REF!</f>
        <v>#REF!</v>
      </c>
      <c r="L24" s="535"/>
      <c r="M24" s="535" t="e">
        <f>#REF!</f>
        <v>#REF!</v>
      </c>
      <c r="N24" s="535" t="e">
        <f>#REF!</f>
        <v>#REF!</v>
      </c>
      <c r="O24" s="535" t="e">
        <f>#REF!</f>
        <v>#REF!</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38" t="s">
        <v>14</v>
      </c>
      <c r="B26" s="1" t="s">
        <v>21</v>
      </c>
      <c r="C26" s="17" t="e">
        <f>#REF!</f>
        <v>#REF!</v>
      </c>
      <c r="D26" s="512"/>
      <c r="E26" s="190" t="e">
        <f>C26*F$35</f>
        <v>#REF!</v>
      </c>
      <c r="F26" s="512"/>
      <c r="G26" s="33" t="e">
        <f t="shared" ref="G26:G31" si="2">C26-E26</f>
        <v>#REF!</v>
      </c>
      <c r="H26" s="512"/>
      <c r="I26" s="1"/>
      <c r="J26" s="512"/>
      <c r="K26" s="512"/>
      <c r="L26" s="512"/>
      <c r="M26" s="512"/>
      <c r="N26" s="512"/>
      <c r="O26" s="512"/>
      <c r="P26" s="512"/>
      <c r="Q26" s="512"/>
      <c r="R26" s="498"/>
      <c r="S26" s="512"/>
      <c r="T26" s="512"/>
      <c r="U26" s="512"/>
      <c r="V26" s="512"/>
      <c r="W26" s="512"/>
      <c r="X26" s="512"/>
    </row>
    <row r="27" spans="1:24" x14ac:dyDescent="0.25">
      <c r="A27" s="738"/>
      <c r="B27" s="1" t="s">
        <v>22</v>
      </c>
      <c r="C27" s="17" t="e">
        <f>#REF!-#REF!-(#REF!+#REF!+#REF!+#REF!)</f>
        <v>#REF!</v>
      </c>
      <c r="D27" s="87"/>
      <c r="E27" s="190" t="e">
        <f t="shared" ref="E27:E34" si="3">C27*F$35</f>
        <v>#REF!</v>
      </c>
      <c r="F27" s="87"/>
      <c r="G27" s="33" t="e">
        <f t="shared" si="2"/>
        <v>#REF!</v>
      </c>
      <c r="H27" s="87"/>
      <c r="I27" s="500"/>
      <c r="J27" s="87"/>
      <c r="K27" s="87"/>
      <c r="L27" s="87"/>
      <c r="M27" s="87"/>
      <c r="N27" s="87"/>
      <c r="O27" s="87"/>
      <c r="P27" s="87"/>
      <c r="Q27" s="87"/>
      <c r="R27" s="498"/>
      <c r="S27" s="87"/>
      <c r="T27" s="87"/>
      <c r="U27" s="87"/>
      <c r="V27" s="87"/>
      <c r="W27" s="87"/>
      <c r="X27" s="87"/>
    </row>
    <row r="28" spans="1:24" x14ac:dyDescent="0.25">
      <c r="A28" s="738"/>
      <c r="B28" s="1" t="s">
        <v>26</v>
      </c>
      <c r="C28" s="17"/>
      <c r="D28" s="87"/>
      <c r="E28" s="190" t="e">
        <f t="shared" si="3"/>
        <v>#REF!</v>
      </c>
      <c r="F28" s="87"/>
      <c r="G28" s="33" t="e">
        <f>C28-E28</f>
        <v>#REF!</v>
      </c>
      <c r="H28" s="87"/>
      <c r="I28" s="1"/>
      <c r="J28" s="87"/>
      <c r="K28" s="87"/>
      <c r="L28" s="87"/>
      <c r="M28" s="87"/>
      <c r="N28" s="87"/>
      <c r="O28" s="87"/>
      <c r="P28" s="87"/>
      <c r="Q28" s="87"/>
      <c r="R28" s="498"/>
      <c r="S28" s="87"/>
      <c r="T28" s="87"/>
      <c r="U28" s="87"/>
      <c r="V28" s="87"/>
      <c r="W28" s="87"/>
      <c r="X28" s="87"/>
    </row>
    <row r="29" spans="1:24" x14ac:dyDescent="0.25">
      <c r="A29" s="738"/>
      <c r="B29" s="1" t="s">
        <v>23</v>
      </c>
      <c r="C29" s="17" t="e">
        <f>#REF!</f>
        <v>#REF!</v>
      </c>
      <c r="D29" s="87"/>
      <c r="E29" s="190" t="e">
        <f t="shared" si="3"/>
        <v>#REF!</v>
      </c>
      <c r="F29" s="87"/>
      <c r="G29" s="33" t="e">
        <f t="shared" si="2"/>
        <v>#REF!</v>
      </c>
      <c r="H29" s="87"/>
      <c r="I29" s="1"/>
      <c r="J29" s="87"/>
      <c r="K29" s="87"/>
      <c r="L29" s="87"/>
      <c r="M29" s="87"/>
      <c r="N29" s="87"/>
      <c r="O29" s="87"/>
      <c r="P29" s="87"/>
      <c r="Q29" s="87"/>
      <c r="R29" s="498"/>
      <c r="S29" s="87"/>
      <c r="T29" s="87"/>
      <c r="U29" s="87"/>
      <c r="V29" s="87"/>
      <c r="W29" s="87"/>
      <c r="X29" s="87"/>
    </row>
    <row r="30" spans="1:24" x14ac:dyDescent="0.25">
      <c r="A30" s="738"/>
      <c r="B30" s="1" t="s">
        <v>24</v>
      </c>
      <c r="C30" s="17" t="e">
        <f>#REF!</f>
        <v>#REF!</v>
      </c>
      <c r="D30" s="86" t="e">
        <f>SUM(C26:C34)</f>
        <v>#REF!</v>
      </c>
      <c r="E30" s="190" t="e">
        <f t="shared" si="3"/>
        <v>#REF!</v>
      </c>
      <c r="F30" s="86" t="e">
        <f>#REF!</f>
        <v>#REF!</v>
      </c>
      <c r="G30" s="33" t="e">
        <f t="shared" si="2"/>
        <v>#REF!</v>
      </c>
      <c r="H30" s="86" t="e">
        <f>SUM(G26:G34)</f>
        <v>#REF!</v>
      </c>
      <c r="I30" s="1"/>
      <c r="J30" s="86" t="e">
        <f>H30</f>
        <v>#REF!</v>
      </c>
      <c r="K30" s="87" t="e">
        <f>#REF!</f>
        <v>#REF!</v>
      </c>
      <c r="L30" s="87"/>
      <c r="M30" s="87" t="e">
        <f>#REF!</f>
        <v>#REF!</v>
      </c>
      <c r="N30" s="87"/>
      <c r="O30" s="87"/>
      <c r="P30" s="87"/>
      <c r="Q30" s="86" t="e">
        <f>J30-K30-L30-M30-N30-O30-P30</f>
        <v>#REF!</v>
      </c>
      <c r="R30" s="508" t="e">
        <f>Q30-S30</f>
        <v>#REF!</v>
      </c>
      <c r="S30" s="86" t="e">
        <f>SUM(T27:X34)</f>
        <v>#REF!</v>
      </c>
      <c r="T30" s="87" t="e">
        <f>#REF!</f>
        <v>#REF!</v>
      </c>
      <c r="U30" s="87" t="e">
        <f>#REF!+#REF!</f>
        <v>#REF!</v>
      </c>
      <c r="V30" s="87" t="e">
        <f>#REF!</f>
        <v>#REF!</v>
      </c>
      <c r="W30" s="87" t="e">
        <f>#REF!</f>
        <v>#REF!</v>
      </c>
      <c r="X30" s="87" t="e">
        <f>#REF!</f>
        <v>#REF!</v>
      </c>
    </row>
    <row r="31" spans="1:24" x14ac:dyDescent="0.25">
      <c r="A31" s="738"/>
      <c r="B31" s="1" t="s">
        <v>33</v>
      </c>
      <c r="C31" s="17">
        <v>0</v>
      </c>
      <c r="D31" s="86"/>
      <c r="E31" s="190" t="e">
        <f t="shared" si="3"/>
        <v>#REF!</v>
      </c>
      <c r="F31" s="86"/>
      <c r="G31" s="33" t="e">
        <f t="shared" si="2"/>
        <v>#REF!</v>
      </c>
      <c r="H31" s="86"/>
      <c r="I31" s="1"/>
      <c r="J31" s="517"/>
      <c r="K31" s="87"/>
      <c r="L31" s="87"/>
      <c r="M31" s="87"/>
      <c r="N31" s="87"/>
      <c r="O31" s="87"/>
      <c r="P31" s="87"/>
      <c r="Q31" s="517"/>
      <c r="R31" s="498"/>
      <c r="S31" s="519"/>
      <c r="T31" s="521"/>
      <c r="U31" s="521"/>
      <c r="V31" s="521"/>
      <c r="W31" s="521"/>
      <c r="X31" s="521"/>
    </row>
    <row r="32" spans="1:24" x14ac:dyDescent="0.25">
      <c r="A32" s="738"/>
      <c r="B32" s="1" t="s">
        <v>29</v>
      </c>
      <c r="C32" s="17" t="e">
        <f>#REF!</f>
        <v>#REF!</v>
      </c>
      <c r="D32" s="86"/>
      <c r="E32" s="190" t="e">
        <f t="shared" si="3"/>
        <v>#REF!</v>
      </c>
      <c r="F32" s="86"/>
      <c r="G32" s="33" t="e">
        <f>C32-E32</f>
        <v>#REF!</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t="e">
        <f>#REF!</f>
        <v>#REF!</v>
      </c>
      <c r="D33" s="86"/>
      <c r="E33" s="190" t="e">
        <f t="shared" si="3"/>
        <v>#REF!</v>
      </c>
      <c r="F33" s="86"/>
      <c r="G33" s="33" t="e">
        <f t="shared" ref="G33:G34" si="4">C33-E33</f>
        <v>#REF!</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t="e">
        <f>#REF!</f>
        <v>#REF!</v>
      </c>
      <c r="D34" s="88"/>
      <c r="E34" s="190" t="e">
        <f t="shared" si="3"/>
        <v>#REF!</v>
      </c>
      <c r="F34" s="88"/>
      <c r="G34" s="33" t="e">
        <f t="shared" si="4"/>
        <v>#REF!</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t="e">
        <f>F30/D30</f>
        <v>#REF!</v>
      </c>
      <c r="G35" s="17"/>
      <c r="H35" s="501"/>
      <c r="I35" s="1"/>
      <c r="J35" s="1"/>
      <c r="K35" s="1"/>
      <c r="L35" s="1"/>
      <c r="M35" s="1"/>
      <c r="N35" s="1"/>
      <c r="O35" s="1"/>
      <c r="P35" s="1"/>
      <c r="Q35" s="502"/>
      <c r="R35" s="498"/>
      <c r="U35" s="33"/>
      <c r="V35" s="33"/>
      <c r="W35" s="33"/>
    </row>
    <row r="36" spans="1:26" x14ac:dyDescent="0.25">
      <c r="A36" s="739" t="s">
        <v>34</v>
      </c>
      <c r="B36" s="1" t="s">
        <v>21</v>
      </c>
      <c r="C36" s="33">
        <v>0</v>
      </c>
      <c r="D36" s="538"/>
      <c r="E36" s="17"/>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39"/>
      <c r="B37" s="1" t="s">
        <v>23</v>
      </c>
      <c r="C37" s="33" t="e">
        <f>SUM(T37:X37)</f>
        <v>#REF!</v>
      </c>
      <c r="D37" s="539"/>
      <c r="E37" s="504"/>
      <c r="F37" s="539"/>
      <c r="G37" s="17" t="e">
        <f t="shared" ref="G37:G42" si="5">C37-E37</f>
        <v>#REF!</v>
      </c>
      <c r="H37" s="539"/>
      <c r="I37" s="498"/>
      <c r="J37" s="37"/>
      <c r="K37" s="35"/>
      <c r="L37" s="35"/>
      <c r="M37" s="505"/>
      <c r="N37" s="35"/>
      <c r="P37" s="35"/>
      <c r="Q37" s="541"/>
      <c r="R37" s="498"/>
      <c r="S37" s="539"/>
      <c r="T37" s="506" t="e">
        <f>#REF!</f>
        <v>#REF!</v>
      </c>
      <c r="U37" s="93" t="e">
        <f>#REF!</f>
        <v>#REF!</v>
      </c>
      <c r="V37" s="506" t="e">
        <f>#REF!</f>
        <v>#REF!</v>
      </c>
      <c r="W37" s="507" t="e">
        <f>#REF!</f>
        <v>#REF!</v>
      </c>
      <c r="X37" s="506" t="e">
        <f>#REF!</f>
        <v>#REF!</v>
      </c>
      <c r="Y37" s="489" t="e">
        <f t="shared" ref="Y37:Y47" si="6">SUM(T37:X37)</f>
        <v>#REF!</v>
      </c>
      <c r="Z37" s="489" t="e">
        <f t="shared" ref="Z37:Z44" si="7">G37-Y37</f>
        <v>#REF!</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t="e">
        <f>SUM(G36:G41)-E55-E56-L41-L36</f>
        <v>#REF!</v>
      </c>
      <c r="R38" s="498"/>
      <c r="S38" s="539"/>
      <c r="T38" s="84">
        <v>0</v>
      </c>
      <c r="U38" s="83">
        <v>0</v>
      </c>
      <c r="V38" s="84">
        <v>0</v>
      </c>
      <c r="W38" s="91">
        <v>0</v>
      </c>
      <c r="X38" s="91">
        <v>0</v>
      </c>
      <c r="Y38" s="489">
        <f t="shared" si="6"/>
        <v>0</v>
      </c>
      <c r="Z38" s="489">
        <f t="shared" si="7"/>
        <v>0</v>
      </c>
    </row>
    <row r="39" spans="1:26" x14ac:dyDescent="0.25">
      <c r="A39" s="739"/>
      <c r="B39" s="1" t="s">
        <v>35</v>
      </c>
      <c r="C39" s="33" t="e">
        <f>SUM(T39:X39)</f>
        <v>#REF!</v>
      </c>
      <c r="D39" s="539"/>
      <c r="E39" s="35"/>
      <c r="F39" s="539"/>
      <c r="G39" s="17" t="e">
        <f t="shared" si="5"/>
        <v>#REF!</v>
      </c>
      <c r="H39" s="539"/>
      <c r="I39" s="35"/>
      <c r="J39" s="37"/>
      <c r="K39" s="35"/>
      <c r="L39" s="35"/>
      <c r="M39" s="37"/>
      <c r="N39" s="35"/>
      <c r="O39" s="35"/>
      <c r="P39" s="35"/>
      <c r="Q39" s="541"/>
      <c r="R39" s="498"/>
      <c r="S39" s="539"/>
      <c r="T39" s="84" t="e">
        <f>#REF!</f>
        <v>#REF!</v>
      </c>
      <c r="U39" s="83" t="e">
        <f>#REF!</f>
        <v>#REF!</v>
      </c>
      <c r="V39" s="84" t="e">
        <f>#REF!</f>
        <v>#REF!</v>
      </c>
      <c r="W39" s="91" t="e">
        <f>#REF!</f>
        <v>#REF!</v>
      </c>
      <c r="X39" s="91" t="e">
        <f>#REF!</f>
        <v>#REF!</v>
      </c>
      <c r="Y39" s="489" t="e">
        <f t="shared" si="6"/>
        <v>#REF!</v>
      </c>
      <c r="Z39" s="489" t="e">
        <f t="shared" si="7"/>
        <v>#REF!</v>
      </c>
    </row>
    <row r="40" spans="1:26" x14ac:dyDescent="0.25">
      <c r="A40" s="739"/>
      <c r="B40" s="1" t="s">
        <v>36</v>
      </c>
      <c r="C40" s="33" t="e">
        <f>#REF!</f>
        <v>#REF!</v>
      </c>
      <c r="D40" s="539"/>
      <c r="E40" s="35"/>
      <c r="F40" s="539"/>
      <c r="G40" s="17" t="e">
        <f t="shared" si="5"/>
        <v>#REF!</v>
      </c>
      <c r="H40" s="539"/>
      <c r="I40" s="35"/>
      <c r="J40" s="37"/>
      <c r="K40" s="35"/>
      <c r="L40" s="35"/>
      <c r="M40" s="37"/>
      <c r="N40" s="35"/>
      <c r="O40" s="35"/>
      <c r="P40" s="35"/>
      <c r="Q40" s="541"/>
      <c r="R40" s="498"/>
      <c r="S40" s="539"/>
      <c r="T40" s="83" t="e">
        <f>#REF!</f>
        <v>#REF!</v>
      </c>
      <c r="U40" s="83" t="e">
        <f>#REF!</f>
        <v>#REF!</v>
      </c>
      <c r="V40" s="83" t="e">
        <f>#REF!</f>
        <v>#REF!</v>
      </c>
      <c r="W40" s="83" t="e">
        <f>#REF!</f>
        <v>#REF!</v>
      </c>
      <c r="X40" s="84" t="e">
        <f>#REF!</f>
        <v>#REF!</v>
      </c>
      <c r="Y40" s="489" t="e">
        <f t="shared" si="6"/>
        <v>#REF!</v>
      </c>
      <c r="Z40" s="489" t="e">
        <f t="shared" si="7"/>
        <v>#REF!</v>
      </c>
    </row>
    <row r="41" spans="1:26" x14ac:dyDescent="0.25">
      <c r="A41" s="739"/>
      <c r="B41" s="1" t="s">
        <v>37</v>
      </c>
      <c r="C41" s="33" t="e">
        <f>-#REF!-#REF!</f>
        <v>#REF!</v>
      </c>
      <c r="D41" s="191" t="e">
        <f>SUM(C36:C47)</f>
        <v>#REF!</v>
      </c>
      <c r="E41" s="38"/>
      <c r="F41" s="191" t="e">
        <f>SUM(E36:E47)</f>
        <v>#REF!</v>
      </c>
      <c r="G41" s="17" t="e">
        <f t="shared" si="5"/>
        <v>#REF!</v>
      </c>
      <c r="H41" s="191" t="e">
        <f>SUM(G36:G47)</f>
        <v>#REF!</v>
      </c>
      <c r="I41" s="35"/>
      <c r="J41" s="37"/>
      <c r="K41" s="35"/>
      <c r="L41" s="37" t="e">
        <f>-(#REF!+#REF!)</f>
        <v>#REF!</v>
      </c>
      <c r="M41" s="35"/>
      <c r="N41" s="35"/>
      <c r="O41" s="35"/>
      <c r="P41" s="35"/>
      <c r="Q41" s="541"/>
      <c r="R41" s="508" t="e">
        <f>SUM(Q36:Q47)-S41</f>
        <v>#REF!</v>
      </c>
      <c r="S41" s="191" t="e">
        <f>SUM(T36:X46)</f>
        <v>#REF!</v>
      </c>
      <c r="T41" s="83" t="e">
        <f>#REF!</f>
        <v>#REF!</v>
      </c>
      <c r="U41" s="83" t="e">
        <f>#REF!</f>
        <v>#REF!</v>
      </c>
      <c r="V41" s="83" t="e">
        <f>#REF!</f>
        <v>#REF!</v>
      </c>
      <c r="W41" s="83" t="e">
        <f>#REF!</f>
        <v>#REF!</v>
      </c>
      <c r="X41" s="84" t="e">
        <f>#REF!</f>
        <v>#REF!</v>
      </c>
      <c r="Y41" s="489" t="e">
        <f t="shared" si="6"/>
        <v>#REF!</v>
      </c>
      <c r="Z41" s="489" t="e">
        <f>G41-Y41-L41</f>
        <v>#REF!</v>
      </c>
    </row>
    <row r="42" spans="1:26" x14ac:dyDescent="0.25">
      <c r="A42" s="739"/>
      <c r="B42" s="1" t="s">
        <v>38</v>
      </c>
      <c r="C42" s="33" t="e">
        <f>#REF!+#REF!-#REF!-#REF!-E54-SUM(T43:X43)-(#REF!+#REF!+#REF!+#REF!)</f>
        <v>#REF!</v>
      </c>
      <c r="D42" s="539"/>
      <c r="E42" s="17" t="e">
        <f>#REF!+#REF!+#REF!+#REF!</f>
        <v>#REF!</v>
      </c>
      <c r="F42" s="539"/>
      <c r="G42" s="17" t="e">
        <f t="shared" si="5"/>
        <v>#REF!</v>
      </c>
      <c r="H42" s="539"/>
      <c r="I42" s="498"/>
      <c r="J42" s="37"/>
      <c r="K42" s="35"/>
      <c r="L42" s="35"/>
      <c r="M42" s="35"/>
      <c r="N42" s="35"/>
      <c r="O42" s="35"/>
      <c r="P42" s="35"/>
      <c r="Q42" s="36" t="e">
        <f>G42</f>
        <v>#REF!</v>
      </c>
      <c r="R42" s="498"/>
      <c r="S42" s="539"/>
      <c r="T42" s="83">
        <v>0</v>
      </c>
      <c r="U42" s="83">
        <v>0</v>
      </c>
      <c r="V42" s="83">
        <v>0</v>
      </c>
      <c r="W42" s="83">
        <v>0</v>
      </c>
      <c r="X42" s="84" t="e">
        <f>#REF!</f>
        <v>#REF!</v>
      </c>
      <c r="Y42" s="489" t="e">
        <f t="shared" si="6"/>
        <v>#REF!</v>
      </c>
      <c r="Z42" s="489" t="e">
        <f>Q42-SUM(T42:X42)</f>
        <v>#REF!</v>
      </c>
    </row>
    <row r="43" spans="1:26" x14ac:dyDescent="0.25">
      <c r="A43" s="739"/>
      <c r="B43" s="1" t="s">
        <v>39</v>
      </c>
      <c r="C43" s="33" t="e">
        <f>#REF!+SUM(T43:X43)</f>
        <v>#REF!</v>
      </c>
      <c r="D43" s="539"/>
      <c r="E43" s="38"/>
      <c r="F43" s="539"/>
      <c r="G43" s="17" t="e">
        <f>C43-E43</f>
        <v>#REF!</v>
      </c>
      <c r="H43" s="539"/>
      <c r="I43" s="35"/>
      <c r="J43" s="37"/>
      <c r="K43" s="35"/>
      <c r="L43" s="35"/>
      <c r="M43" s="35"/>
      <c r="N43" s="35"/>
      <c r="O43" s="35"/>
      <c r="P43" s="35"/>
      <c r="Q43" s="36" t="e">
        <f>G43-#REF!</f>
        <v>#REF!</v>
      </c>
      <c r="R43" s="498"/>
      <c r="S43" s="539"/>
      <c r="T43" s="83" t="e">
        <f>#REF!</f>
        <v>#REF!</v>
      </c>
      <c r="U43" s="83" t="e">
        <f>#REF!</f>
        <v>#REF!</v>
      </c>
      <c r="V43" s="83" t="e">
        <f>#REF!</f>
        <v>#REF!</v>
      </c>
      <c r="W43" s="83" t="e">
        <f>#REF!</f>
        <v>#REF!</v>
      </c>
      <c r="X43" s="84">
        <v>0</v>
      </c>
      <c r="Y43" s="489" t="e">
        <f t="shared" si="6"/>
        <v>#REF!</v>
      </c>
      <c r="Z43" s="489" t="e">
        <f>Q43-SUM(T43:X43)</f>
        <v>#REF!</v>
      </c>
    </row>
    <row r="44" spans="1:26" x14ac:dyDescent="0.25">
      <c r="A44" s="739"/>
      <c r="B44" s="1" t="s">
        <v>40</v>
      </c>
      <c r="C44" s="33">
        <v>0</v>
      </c>
      <c r="D44" s="539"/>
      <c r="E44" s="38"/>
      <c r="F44" s="539"/>
      <c r="G44" s="17">
        <f t="shared" si="1"/>
        <v>0</v>
      </c>
      <c r="H44" s="539"/>
      <c r="I44" s="35"/>
      <c r="J44" s="37"/>
      <c r="K44" s="35"/>
      <c r="L44" s="35"/>
      <c r="M44" s="35"/>
      <c r="N44" s="35"/>
      <c r="O44" s="35"/>
      <c r="P44" s="35"/>
      <c r="Q44" s="36" t="e">
        <f>G44-#REF!</f>
        <v>#REF!</v>
      </c>
      <c r="R44" s="498"/>
      <c r="S44" s="539"/>
      <c r="T44" s="83" t="e">
        <f>#REF!</f>
        <v>#REF!</v>
      </c>
      <c r="U44" s="83">
        <v>0</v>
      </c>
      <c r="V44" s="83" t="e">
        <f>#REF!</f>
        <v>#REF!</v>
      </c>
      <c r="W44" s="83">
        <v>0</v>
      </c>
      <c r="X44" s="84" t="e">
        <f>#REF!</f>
        <v>#REF!</v>
      </c>
      <c r="Y44" s="489" t="e">
        <f t="shared" si="6"/>
        <v>#REF!</v>
      </c>
      <c r="Z44" s="489" t="e">
        <f t="shared" si="7"/>
        <v>#REF!</v>
      </c>
    </row>
    <row r="45" spans="1:26" x14ac:dyDescent="0.25">
      <c r="A45" s="739"/>
      <c r="B45" s="1" t="s">
        <v>41</v>
      </c>
      <c r="C45" s="33" t="e">
        <f>E53</f>
        <v>#REF!</v>
      </c>
      <c r="D45" s="539"/>
      <c r="E45" s="38"/>
      <c r="F45" s="539"/>
      <c r="G45" s="17" t="e">
        <f t="shared" si="1"/>
        <v>#REF!</v>
      </c>
      <c r="H45" s="539"/>
      <c r="I45" s="35"/>
      <c r="J45" s="37"/>
      <c r="K45" s="35"/>
      <c r="L45" s="35"/>
      <c r="M45" s="35"/>
      <c r="N45" s="35"/>
      <c r="O45" s="35"/>
      <c r="P45" s="35"/>
      <c r="Q45" s="36" t="e">
        <f>G45-#REF!</f>
        <v>#REF!</v>
      </c>
      <c r="R45" s="498"/>
      <c r="S45" s="539"/>
      <c r="T45" s="84">
        <v>0</v>
      </c>
      <c r="U45" s="83">
        <v>0</v>
      </c>
      <c r="V45" s="84">
        <v>0</v>
      </c>
      <c r="W45" s="92">
        <v>0</v>
      </c>
      <c r="X45" s="84">
        <v>0</v>
      </c>
      <c r="Y45" s="489">
        <f t="shared" si="6"/>
        <v>0</v>
      </c>
      <c r="Z45" s="489" t="e">
        <f>Q45-Y45</f>
        <v>#REF!</v>
      </c>
    </row>
    <row r="46" spans="1:26" x14ac:dyDescent="0.25">
      <c r="A46" s="739"/>
      <c r="B46" s="1" t="s">
        <v>42</v>
      </c>
      <c r="C46" s="33" t="e">
        <f>#REF!-C18-C34</f>
        <v>#REF!</v>
      </c>
      <c r="D46" s="539"/>
      <c r="E46" s="511"/>
      <c r="F46" s="539"/>
      <c r="G46" s="17" t="e">
        <f>C46-E46</f>
        <v>#REF!</v>
      </c>
      <c r="H46" s="539"/>
      <c r="I46" s="38"/>
      <c r="J46" s="37"/>
      <c r="K46" s="35"/>
      <c r="L46" s="35"/>
      <c r="M46" s="35"/>
      <c r="N46" s="35"/>
      <c r="O46" s="35"/>
      <c r="P46" s="35"/>
      <c r="Q46" s="36" t="e">
        <f>G46-(#REF!+#REF!+#REF!)</f>
        <v>#REF!</v>
      </c>
      <c r="R46" s="498"/>
      <c r="S46" s="539"/>
      <c r="T46" s="506" t="e">
        <f>#REF!</f>
        <v>#REF!</v>
      </c>
      <c r="U46" s="93" t="e">
        <f>#REF!</f>
        <v>#REF!</v>
      </c>
      <c r="V46" s="506" t="e">
        <f>#REF!</f>
        <v>#REF!</v>
      </c>
      <c r="W46" s="507" t="e">
        <f>#REF!</f>
        <v>#REF!</v>
      </c>
      <c r="X46" s="506" t="e">
        <f>#REF!</f>
        <v>#REF!</v>
      </c>
      <c r="Y46" s="489" t="e">
        <f t="shared" si="6"/>
        <v>#REF!</v>
      </c>
      <c r="Z46" s="489" t="e">
        <f>Q46-Y46</f>
        <v>#REF!</v>
      </c>
    </row>
    <row r="47" spans="1:26" x14ac:dyDescent="0.25">
      <c r="A47" s="90"/>
      <c r="B47" s="1" t="s">
        <v>31</v>
      </c>
      <c r="C47" s="33" t="e">
        <f>E57</f>
        <v>#REF!</v>
      </c>
      <c r="D47" s="192"/>
      <c r="E47" s="511"/>
      <c r="F47" s="192"/>
      <c r="G47" s="17" t="e">
        <f>C47-E47</f>
        <v>#REF!</v>
      </c>
      <c r="H47" s="192"/>
      <c r="I47" s="38"/>
      <c r="J47" s="37"/>
      <c r="K47" s="35"/>
      <c r="L47" s="35"/>
      <c r="M47" s="35"/>
      <c r="N47" s="35"/>
      <c r="O47" s="35"/>
      <c r="P47" s="35"/>
      <c r="Q47" s="542" t="e">
        <f>G47-#REF!</f>
        <v>#REF!</v>
      </c>
      <c r="R47" s="498"/>
      <c r="S47" s="192"/>
      <c r="T47" s="543">
        <v>0</v>
      </c>
      <c r="U47" s="543">
        <v>0</v>
      </c>
      <c r="V47" s="543">
        <v>0</v>
      </c>
      <c r="W47" s="543">
        <v>0</v>
      </c>
      <c r="X47" s="543">
        <v>0</v>
      </c>
      <c r="Y47" s="489">
        <f t="shared" si="6"/>
        <v>0</v>
      </c>
      <c r="Z47" s="489" t="e">
        <f>Q47-Y47</f>
        <v>#REF!</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t="e">
        <f>C5-L13-SUM(L21:L24)-L30-L41-#REF!</f>
        <v>#REF!</v>
      </c>
      <c r="D49" s="1"/>
      <c r="E49" s="34" t="e">
        <f>SUM(E7:E47)+I13-#REF!+K13+SUM(K21:K24)+K30+#REF!+#REF!</f>
        <v>#REF!</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t="e">
        <f>Q22+Q30+SUM(G36:G40)+(G44)</f>
        <v>#REF!</v>
      </c>
    </row>
    <row r="52" spans="1:19" x14ac:dyDescent="0.25">
      <c r="A52" s="21"/>
      <c r="B52" s="1" t="s">
        <v>44</v>
      </c>
      <c r="C52" s="44"/>
      <c r="D52" s="1"/>
      <c r="E52" s="39" t="e">
        <f>#REF!+#REF!+#REF!</f>
        <v>#REF!</v>
      </c>
      <c r="F52" s="187"/>
      <c r="G52" s="1"/>
      <c r="H52" s="1"/>
      <c r="I52" s="30"/>
      <c r="J52" s="17"/>
      <c r="K52" s="17"/>
      <c r="L52" s="21"/>
      <c r="M52" s="1"/>
      <c r="N52" s="17"/>
      <c r="O52" s="17"/>
      <c r="P52" s="17"/>
      <c r="Q52" s="1"/>
      <c r="S52" s="33"/>
    </row>
    <row r="53" spans="1:19" x14ac:dyDescent="0.25">
      <c r="A53" s="21"/>
      <c r="B53" s="1" t="s">
        <v>41</v>
      </c>
      <c r="C53" s="45"/>
      <c r="D53" s="17"/>
      <c r="E53" s="433" t="e">
        <f>#REF!+#REF!</f>
        <v>#REF!</v>
      </c>
      <c r="F53" s="187"/>
      <c r="G53" s="1"/>
      <c r="H53" s="1"/>
      <c r="I53" s="30"/>
      <c r="J53" s="17"/>
      <c r="K53" s="17"/>
      <c r="L53" s="21"/>
      <c r="M53" s="1"/>
      <c r="N53" s="17"/>
      <c r="O53" s="17"/>
      <c r="P53" s="17"/>
      <c r="Q53" s="1"/>
    </row>
    <row r="54" spans="1:19" x14ac:dyDescent="0.25">
      <c r="A54" s="21"/>
      <c r="B54" s="1" t="s">
        <v>39</v>
      </c>
      <c r="C54" s="45"/>
      <c r="D54" s="17"/>
      <c r="E54" s="435" t="e">
        <f>#REF!</f>
        <v>#REF!</v>
      </c>
      <c r="F54" s="187"/>
      <c r="G54" s="1"/>
      <c r="H54" s="1"/>
      <c r="I54" s="30"/>
      <c r="J54" s="17"/>
      <c r="K54" s="17"/>
      <c r="L54" s="21"/>
      <c r="M54" s="21"/>
      <c r="N54" s="17"/>
      <c r="O54" s="17"/>
      <c r="P54" s="17"/>
      <c r="Q54" s="1"/>
    </row>
    <row r="55" spans="1:19" x14ac:dyDescent="0.25">
      <c r="B55" s="1" t="s">
        <v>21</v>
      </c>
      <c r="E55" s="434" t="e">
        <f>#REF!+#REF!</f>
        <v>#REF!</v>
      </c>
    </row>
    <row r="56" spans="1:19" x14ac:dyDescent="0.25">
      <c r="B56" s="1" t="s">
        <v>37</v>
      </c>
      <c r="E56" s="515" t="e">
        <f>#REF!+#REF!</f>
        <v>#REF!</v>
      </c>
    </row>
    <row r="57" spans="1:19" x14ac:dyDescent="0.25">
      <c r="B57" s="1" t="s">
        <v>31</v>
      </c>
      <c r="E57" s="515" t="e">
        <f>#REF!</f>
        <v>#REF!</v>
      </c>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852EC-8D51-4215-A551-6D1E05166B12}">
  <dimension ref="A1:CG220"/>
  <sheetViews>
    <sheetView topLeftCell="A10" workbookViewId="0"/>
  </sheetViews>
  <sheetFormatPr baseColWidth="10" defaultColWidth="11.42578125" defaultRowHeight="15" x14ac:dyDescent="0.25"/>
  <cols>
    <col min="3" max="3" width="52.140625" style="51" customWidth="1"/>
    <col min="4" max="19" width="15.85546875" style="51" customWidth="1"/>
    <col min="20" max="22" width="11.42578125" style="51"/>
    <col min="23" max="23" width="52.140625" style="51" customWidth="1"/>
    <col min="24" max="33" width="15.7109375" style="51" customWidth="1"/>
    <col min="34" max="85" width="11.42578125" style="51"/>
  </cols>
  <sheetData>
    <row r="1" spans="1:22" ht="28.5" x14ac:dyDescent="0.45">
      <c r="C1" s="46" t="s">
        <v>45</v>
      </c>
      <c r="D1" s="47"/>
      <c r="E1" s="47"/>
      <c r="F1" s="47"/>
      <c r="G1" s="48" t="s">
        <v>46</v>
      </c>
      <c r="H1" s="49" t="s">
        <v>47</v>
      </c>
      <c r="I1" s="49"/>
      <c r="J1" s="49"/>
      <c r="K1" s="49"/>
      <c r="L1" s="49"/>
      <c r="M1" s="49"/>
      <c r="N1" s="49"/>
      <c r="O1" s="48" t="s">
        <v>48</v>
      </c>
      <c r="P1" s="49">
        <v>4</v>
      </c>
      <c r="Q1" s="48" t="s">
        <v>49</v>
      </c>
      <c r="R1" s="48"/>
      <c r="S1" s="50">
        <v>43278</v>
      </c>
    </row>
    <row r="5" spans="1:22" ht="21" x14ac:dyDescent="0.35">
      <c r="C5" s="52" t="s">
        <v>50</v>
      </c>
      <c r="D5" s="52"/>
      <c r="E5" s="52"/>
      <c r="F5" s="52"/>
      <c r="G5" s="52"/>
      <c r="H5" s="52"/>
      <c r="I5" s="52"/>
      <c r="J5" s="52"/>
      <c r="K5" s="52"/>
      <c r="L5" s="52"/>
      <c r="M5" s="52"/>
      <c r="N5" s="52"/>
      <c r="O5" s="52"/>
      <c r="P5" s="52"/>
      <c r="Q5" s="52"/>
      <c r="R5" s="52"/>
      <c r="S5" s="52"/>
    </row>
    <row r="7" spans="1:22" ht="15.75" x14ac:dyDescent="0.25">
      <c r="C7" s="579">
        <v>2015</v>
      </c>
      <c r="D7" s="53"/>
      <c r="E7" s="53"/>
      <c r="F7" s="53"/>
      <c r="G7" s="53"/>
      <c r="H7" s="53"/>
      <c r="I7" s="54"/>
      <c r="J7" s="54"/>
      <c r="K7" s="54"/>
      <c r="L7" s="54"/>
      <c r="M7" s="54"/>
      <c r="N7" s="54"/>
      <c r="O7" s="53"/>
      <c r="P7" s="53"/>
      <c r="Q7" s="53"/>
      <c r="R7" s="53"/>
      <c r="S7" s="53"/>
    </row>
    <row r="9" spans="1:22" x14ac:dyDescent="0.25">
      <c r="V9" s="55"/>
    </row>
    <row r="10" spans="1:22" ht="45" x14ac:dyDescent="0.25">
      <c r="C10" s="56" t="s">
        <v>51</v>
      </c>
      <c r="D10" s="174" t="s">
        <v>42</v>
      </c>
      <c r="E10" s="174" t="s">
        <v>52</v>
      </c>
      <c r="F10" s="174" t="s">
        <v>53</v>
      </c>
      <c r="G10" s="174" t="s">
        <v>54</v>
      </c>
      <c r="H10" s="174" t="s">
        <v>20</v>
      </c>
      <c r="I10" s="174" t="s">
        <v>55</v>
      </c>
      <c r="J10" s="418" t="s">
        <v>335</v>
      </c>
      <c r="K10" s="418" t="s">
        <v>40</v>
      </c>
      <c r="L10" s="418" t="s">
        <v>343</v>
      </c>
      <c r="M10" s="418" t="s">
        <v>344</v>
      </c>
      <c r="N10" s="419" t="s">
        <v>345</v>
      </c>
      <c r="O10" s="418" t="s">
        <v>346</v>
      </c>
      <c r="P10" s="174" t="s">
        <v>57</v>
      </c>
      <c r="Q10" s="174" t="s">
        <v>58</v>
      </c>
      <c r="R10" s="174" t="s">
        <v>31</v>
      </c>
      <c r="S10" s="174" t="s">
        <v>10</v>
      </c>
      <c r="U10" s="174" t="s">
        <v>472</v>
      </c>
    </row>
    <row r="11" spans="1:22" ht="15.75" x14ac:dyDescent="0.25">
      <c r="C11" s="57"/>
      <c r="D11" s="580"/>
      <c r="E11" s="580"/>
      <c r="F11" s="580"/>
      <c r="G11" s="580"/>
      <c r="H11" s="580"/>
      <c r="I11" s="580"/>
      <c r="J11" s="580"/>
      <c r="K11" s="580"/>
      <c r="L11" s="580"/>
      <c r="M11" s="580"/>
      <c r="N11" s="580"/>
      <c r="O11" s="580"/>
      <c r="P11" s="580"/>
      <c r="Q11" s="580"/>
      <c r="R11" s="580"/>
      <c r="S11" s="580"/>
      <c r="U11" s="580"/>
    </row>
    <row r="12" spans="1:22" x14ac:dyDescent="0.25">
      <c r="C12" s="175" t="s">
        <v>59</v>
      </c>
      <c r="D12" s="58">
        <v>0</v>
      </c>
      <c r="E12" s="58">
        <v>0.99</v>
      </c>
      <c r="F12" s="58">
        <v>0</v>
      </c>
      <c r="G12" s="58">
        <v>1.9114359415305201E-2</v>
      </c>
      <c r="H12" s="58">
        <v>113.97587222178799</v>
      </c>
      <c r="I12" s="58">
        <v>7.1744464316423002</v>
      </c>
      <c r="J12" s="58">
        <f>$U$12*Bilan_E_KP_AME_2023!J12/SUM(Bilan_E_KP_AME_2023!$J$12:$O$12)</f>
        <v>13.031127961490707</v>
      </c>
      <c r="K12" s="58">
        <f>$U$12*Bilan_E_KP_AME_2023!K12/SUM(Bilan_E_KP_AME_2023!$J$12:$O$12)</f>
        <v>1.6588596670919593</v>
      </c>
      <c r="L12" s="58">
        <f>$U$12*Bilan_E_KP_AME_2023!L12/SUM(Bilan_E_KP_AME_2023!$J$12:$O$12)</f>
        <v>1.1992574719624441E-2</v>
      </c>
      <c r="M12" s="58">
        <f>$U$12*Bilan_E_KP_AME_2023!M12/SUM(Bilan_E_KP_AME_2023!$J$12:$O$12)</f>
        <v>1.0105541939310713E-2</v>
      </c>
      <c r="N12" s="58">
        <f>$U$12*Bilan_E_KP_AME_2023!N12/SUM(Bilan_E_KP_AME_2023!$J$12:$O$12)</f>
        <v>2.5060907908975985</v>
      </c>
      <c r="O12" s="58">
        <f>$U$12*Bilan_E_KP_AME_2023!O12/SUM(Bilan_E_KP_AME_2023!$J$12:$O$12)</f>
        <v>0.40488715575180168</v>
      </c>
      <c r="P12" s="58">
        <v>0</v>
      </c>
      <c r="Q12" s="58">
        <v>0</v>
      </c>
      <c r="R12" s="58"/>
      <c r="S12" s="58">
        <f>SUM(D12:R12)</f>
        <v>139.78249670473656</v>
      </c>
      <c r="U12" s="58">
        <v>17.623063691891002</v>
      </c>
    </row>
    <row r="13" spans="1:22" x14ac:dyDescent="0.25">
      <c r="C13" s="175" t="s">
        <v>60</v>
      </c>
      <c r="D13" s="58">
        <v>8.8097723628054307</v>
      </c>
      <c r="E13" s="58">
        <v>58.756</v>
      </c>
      <c r="F13" s="58">
        <v>41.304000000000002</v>
      </c>
      <c r="G13" s="58">
        <v>39.381556147893399</v>
      </c>
      <c r="H13" s="58">
        <v>0</v>
      </c>
      <c r="I13" s="58">
        <v>0</v>
      </c>
      <c r="J13" s="58">
        <v>0</v>
      </c>
      <c r="K13" s="58">
        <v>0</v>
      </c>
      <c r="L13" s="58">
        <v>0.8</v>
      </c>
      <c r="M13" s="58">
        <v>0</v>
      </c>
      <c r="N13" s="58">
        <v>0</v>
      </c>
      <c r="O13" s="58">
        <v>0</v>
      </c>
      <c r="P13" s="58">
        <v>0.85649183147033503</v>
      </c>
      <c r="Q13" s="58">
        <v>0</v>
      </c>
      <c r="R13" s="58"/>
      <c r="S13" s="58">
        <f t="shared" ref="S13:S17" si="0">SUM(D13:R13)</f>
        <v>149.90782034216917</v>
      </c>
      <c r="U13" s="58">
        <v>0.607627199770708</v>
      </c>
    </row>
    <row r="14" spans="1:22" x14ac:dyDescent="0.25">
      <c r="C14" s="175" t="s">
        <v>61</v>
      </c>
      <c r="D14" s="58">
        <v>-0.129456001503714</v>
      </c>
      <c r="E14" s="58">
        <v>-9.7000000000000003E-2</v>
      </c>
      <c r="F14" s="58">
        <v>-21.164999999999999</v>
      </c>
      <c r="G14" s="58">
        <v>-4.8649527085124697</v>
      </c>
      <c r="H14" s="58">
        <v>0</v>
      </c>
      <c r="I14" s="58">
        <v>0</v>
      </c>
      <c r="J14" s="58">
        <v>0</v>
      </c>
      <c r="K14" s="58">
        <v>0</v>
      </c>
      <c r="L14" s="58">
        <v>0</v>
      </c>
      <c r="M14" s="58">
        <v>0</v>
      </c>
      <c r="N14" s="58">
        <v>0</v>
      </c>
      <c r="O14" s="58">
        <v>0</v>
      </c>
      <c r="P14" s="58">
        <v>-6.3649183147033499</v>
      </c>
      <c r="Q14" s="58">
        <v>0</v>
      </c>
      <c r="R14" s="58"/>
      <c r="S14" s="58">
        <f t="shared" si="0"/>
        <v>-32.621327024719534</v>
      </c>
      <c r="U14" s="58">
        <v>-0.178425728479985</v>
      </c>
    </row>
    <row r="15" spans="1:22" x14ac:dyDescent="0.25">
      <c r="C15" s="175" t="s">
        <v>62</v>
      </c>
      <c r="D15" s="58">
        <v>0</v>
      </c>
      <c r="E15" s="58">
        <v>0</v>
      </c>
      <c r="F15" s="58">
        <v>-1.6180000000000001</v>
      </c>
      <c r="G15" s="58">
        <v>0</v>
      </c>
      <c r="H15" s="58">
        <v>0</v>
      </c>
      <c r="I15" s="58">
        <v>0</v>
      </c>
      <c r="J15" s="58">
        <v>0</v>
      </c>
      <c r="K15" s="58">
        <v>0</v>
      </c>
      <c r="L15" s="58">
        <v>0</v>
      </c>
      <c r="M15" s="58">
        <v>0</v>
      </c>
      <c r="N15" s="58">
        <v>0</v>
      </c>
      <c r="O15" s="58">
        <v>0</v>
      </c>
      <c r="P15" s="58">
        <v>0</v>
      </c>
      <c r="Q15" s="58">
        <v>0</v>
      </c>
      <c r="R15" s="58"/>
      <c r="S15" s="58">
        <f t="shared" si="0"/>
        <v>-1.6180000000000001</v>
      </c>
      <c r="U15" s="58">
        <v>0</v>
      </c>
    </row>
    <row r="16" spans="1:22" x14ac:dyDescent="0.25">
      <c r="C16" s="175" t="s">
        <v>63</v>
      </c>
      <c r="D16" s="58">
        <v>0</v>
      </c>
      <c r="E16" s="58">
        <v>0</v>
      </c>
      <c r="F16" s="58">
        <v>-5.9379999999999997</v>
      </c>
      <c r="G16" s="58">
        <v>0</v>
      </c>
      <c r="H16" s="58">
        <v>0</v>
      </c>
      <c r="I16" s="58">
        <v>0</v>
      </c>
      <c r="J16" s="58">
        <f>$U$16*Bilan_E_KP_AME_2023!J16/SUM(Bilan_E_KP_AME_2023!$J$16:$O$16)</f>
        <v>0</v>
      </c>
      <c r="K16" s="58">
        <f>$U$16*Bilan_E_KP_AME_2023!K16/SUM(Bilan_E_KP_AME_2023!$J$16:$O$16)</f>
        <v>0</v>
      </c>
      <c r="L16" s="58">
        <f>$U$16*Bilan_E_KP_AME_2023!L16/SUM(Bilan_E_KP_AME_2023!$J$16:$O$16)</f>
        <v>0</v>
      </c>
      <c r="M16" s="58">
        <f>$U$16*Bilan_E_KP_AME_2023!M16/SUM(Bilan_E_KP_AME_2023!$J$16:$O$16)</f>
        <v>0</v>
      </c>
      <c r="N16" s="58">
        <f>$U$16*Bilan_E_KP_AME_2023!N16/SUM(Bilan_E_KP_AME_2023!$J$16:$O$16)</f>
        <v>0</v>
      </c>
      <c r="O16" s="58">
        <f>$U$16*Bilan_E_KP_AME_2023!O16/SUM(Bilan_E_KP_AME_2023!$J$16:$O$16)</f>
        <v>0</v>
      </c>
      <c r="P16" s="58">
        <v>0</v>
      </c>
      <c r="Q16" s="58">
        <v>0</v>
      </c>
      <c r="R16" s="58"/>
      <c r="S16" s="58">
        <f t="shared" si="0"/>
        <v>-5.9379999999999997</v>
      </c>
      <c r="U16" s="58">
        <v>0</v>
      </c>
    </row>
    <row r="17" spans="3:21" x14ac:dyDescent="0.25">
      <c r="C17" s="175" t="s">
        <v>64</v>
      </c>
      <c r="D17" s="58">
        <v>0.114672336797846</v>
      </c>
      <c r="E17" s="58">
        <v>0.107</v>
      </c>
      <c r="F17" s="58">
        <v>-6.5000000000000002E-2</v>
      </c>
      <c r="G17" s="58">
        <v>0.50447579385934005</v>
      </c>
      <c r="H17" s="58">
        <v>0</v>
      </c>
      <c r="I17" s="58">
        <v>0</v>
      </c>
      <c r="J17" s="58">
        <v>0</v>
      </c>
      <c r="K17" s="58">
        <f>J17</f>
        <v>0</v>
      </c>
      <c r="L17" s="58">
        <f t="shared" ref="L17:R17" si="1">K17</f>
        <v>0</v>
      </c>
      <c r="M17" s="58">
        <f t="shared" si="1"/>
        <v>0</v>
      </c>
      <c r="N17" s="58">
        <f t="shared" si="1"/>
        <v>0</v>
      </c>
      <c r="O17" s="58">
        <f t="shared" si="1"/>
        <v>0</v>
      </c>
      <c r="P17" s="58">
        <f t="shared" si="1"/>
        <v>0</v>
      </c>
      <c r="Q17" s="58">
        <f t="shared" si="1"/>
        <v>0</v>
      </c>
      <c r="R17" s="58">
        <f t="shared" si="1"/>
        <v>0</v>
      </c>
      <c r="S17" s="58">
        <f t="shared" si="0"/>
        <v>0.66114813065718603</v>
      </c>
      <c r="U17" s="58">
        <v>0</v>
      </c>
    </row>
    <row r="18" spans="3:21" ht="15.75" x14ac:dyDescent="0.25">
      <c r="C18" s="176" t="s">
        <v>65</v>
      </c>
      <c r="D18" s="581">
        <f>SUM(D12:D17)</f>
        <v>8.7949886980995622</v>
      </c>
      <c r="E18" s="581">
        <f t="shared" ref="E18:O18" si="2">SUM(E12:E17)</f>
        <v>59.756</v>
      </c>
      <c r="F18" s="581">
        <f t="shared" si="2"/>
        <v>12.518000000000006</v>
      </c>
      <c r="G18" s="581">
        <f t="shared" si="2"/>
        <v>35.040193592655577</v>
      </c>
      <c r="H18" s="581">
        <f t="shared" si="2"/>
        <v>113.97587222178799</v>
      </c>
      <c r="I18" s="581">
        <f t="shared" si="2"/>
        <v>7.1744464316423002</v>
      </c>
      <c r="J18" s="581">
        <f t="shared" si="2"/>
        <v>13.031127961490707</v>
      </c>
      <c r="K18" s="581">
        <f t="shared" si="2"/>
        <v>1.6588596670919593</v>
      </c>
      <c r="L18" s="581">
        <f t="shared" si="2"/>
        <v>0.81199257471962449</v>
      </c>
      <c r="M18" s="581">
        <f t="shared" si="2"/>
        <v>1.0105541939310713E-2</v>
      </c>
      <c r="N18" s="581">
        <f t="shared" si="2"/>
        <v>2.5060907908975985</v>
      </c>
      <c r="O18" s="581">
        <f t="shared" si="2"/>
        <v>0.40488715575180168</v>
      </c>
      <c r="P18" s="581">
        <v>-5.5084264832330199</v>
      </c>
      <c r="Q18" s="581">
        <v>0</v>
      </c>
      <c r="R18" s="582"/>
      <c r="S18" s="582">
        <f>SUM(S12:S17)</f>
        <v>250.1741381528434</v>
      </c>
      <c r="U18" s="582">
        <v>18.052265163181701</v>
      </c>
    </row>
    <row r="19" spans="3:21" x14ac:dyDescent="0.25">
      <c r="C19" s="426"/>
      <c r="D19" s="583"/>
      <c r="E19" s="583"/>
      <c r="F19" s="583"/>
      <c r="G19" s="583"/>
      <c r="H19" s="583"/>
      <c r="I19" s="583"/>
      <c r="J19" s="583"/>
      <c r="K19" s="583"/>
      <c r="L19" s="583"/>
      <c r="M19" s="583"/>
      <c r="N19" s="583"/>
      <c r="O19" s="583"/>
      <c r="P19" s="583"/>
      <c r="Q19" s="583"/>
      <c r="R19" s="583"/>
      <c r="S19" s="583"/>
      <c r="U19" s="583"/>
    </row>
    <row r="20" spans="3:21" s="51" customFormat="1" x14ac:dyDescent="0.25">
      <c r="C20" s="428" t="s">
        <v>67</v>
      </c>
      <c r="D20" s="58">
        <v>0.25449943513061202</v>
      </c>
      <c r="E20" s="58">
        <v>9.6000000000003596E-2</v>
      </c>
      <c r="F20" s="58">
        <v>1.90700000000001</v>
      </c>
      <c r="G20" s="58">
        <v>9.2719287991815895E-6</v>
      </c>
      <c r="H20" s="58">
        <v>0</v>
      </c>
      <c r="I20" s="58">
        <v>0</v>
      </c>
      <c r="J20" s="58"/>
      <c r="K20" s="58"/>
      <c r="L20" s="58"/>
      <c r="M20" s="58"/>
      <c r="N20" s="58"/>
      <c r="O20" s="58"/>
      <c r="P20" s="58">
        <v>-9.6560619088564101E-2</v>
      </c>
      <c r="Q20" s="58">
        <v>0</v>
      </c>
      <c r="R20" s="58"/>
      <c r="S20" s="58">
        <f>SUM(D20:R20)</f>
        <v>2.1609480879708607</v>
      </c>
      <c r="U20" s="58">
        <v>2.3884589662749601E-5</v>
      </c>
    </row>
    <row r="21" spans="3:21" s="51" customFormat="1" x14ac:dyDescent="0.25">
      <c r="C21" s="428" t="s">
        <v>347</v>
      </c>
      <c r="D21" s="58">
        <v>2.993512517722364</v>
      </c>
      <c r="E21" s="58">
        <v>0</v>
      </c>
      <c r="F21" s="58">
        <v>0.70199999999999996</v>
      </c>
      <c r="G21" s="58">
        <v>3.8342608147611204</v>
      </c>
      <c r="H21" s="58">
        <v>113.97587222178799</v>
      </c>
      <c r="I21" s="58">
        <v>7.1744464316423002</v>
      </c>
      <c r="J21" s="58">
        <f>$U$21*Bilan_E_KP_AME_2023!J21/(SUM(Bilan_E_KP_AME_2023!$J$21:$M$21))</f>
        <v>2.7351668371162696</v>
      </c>
      <c r="K21" s="58">
        <f>$U$21*Bilan_E_KP_AME_2023!K21/(SUM(Bilan_E_KP_AME_2023!$J$21:$M$21))</f>
        <v>0.7813209679998101</v>
      </c>
      <c r="L21" s="58">
        <f>$U$21*Bilan_E_KP_AME_2023!L21/(SUM(Bilan_E_KP_AME_2023!$J$21:$M$21))</f>
        <v>0.13278933314463687</v>
      </c>
      <c r="M21" s="58">
        <f>$U$21*Bilan_E_KP_AME_2023!M21/(SUM(Bilan_E_KP_AME_2023!$J$21:$M$21))</f>
        <v>2.789874785755302E-2</v>
      </c>
      <c r="N21" s="58">
        <f>$U$21*Bilan_E_KP_AME_2023!N21/(SUM(Bilan_E_KP_AME_2023!$J$21:$M$21))</f>
        <v>0</v>
      </c>
      <c r="O21" s="58">
        <f>$U$21*Bilan_E_KP_AME_2023!O21/(SUM(Bilan_E_KP_AME_2023!$J$21:$M$21))</f>
        <v>8.6817939773972036E-2</v>
      </c>
      <c r="P21" s="58">
        <v>-48.612725709372263</v>
      </c>
      <c r="Q21" s="58">
        <v>-1.9220112484952701</v>
      </c>
      <c r="R21" s="58">
        <v>0</v>
      </c>
      <c r="S21" s="58">
        <f t="shared" ref="S21:S31" si="3">SUM(D21:R21)</f>
        <v>81.909348853938525</v>
      </c>
      <c r="U21" s="58">
        <v>3.67717588611827</v>
      </c>
    </row>
    <row r="22" spans="3:21" s="51" customFormat="1" x14ac:dyDescent="0.25">
      <c r="C22" s="428" t="s">
        <v>348</v>
      </c>
      <c r="D22" s="58">
        <v>0.18260499999999999</v>
      </c>
      <c r="E22" s="58">
        <v>0</v>
      </c>
      <c r="F22" s="58">
        <v>7.0000000000000007E-2</v>
      </c>
      <c r="G22" s="58">
        <v>0.65908241891659503</v>
      </c>
      <c r="H22" s="58">
        <v>0</v>
      </c>
      <c r="I22" s="58">
        <v>0</v>
      </c>
      <c r="J22" s="58">
        <f>$U$22*Bilan_E_KP_AME_2023!J22/SUM(Bilan_E_KP_AME_2023!$J$22:$O$22)</f>
        <v>0.38162419008447779</v>
      </c>
      <c r="K22" s="58">
        <f>$U$22*Bilan_E_KP_AME_2023!K22/SUM(Bilan_E_KP_AME_2023!$J$22:$O$22)+0.3</f>
        <v>0.62642447930779421</v>
      </c>
      <c r="L22" s="58">
        <f>$U$22*Bilan_E_KP_AME_2023!L22/SUM(Bilan_E_KP_AME_2023!$J$22:$O$22)</f>
        <v>0</v>
      </c>
      <c r="M22" s="58">
        <v>-0.3</v>
      </c>
      <c r="N22" s="58">
        <v>-0.4</v>
      </c>
      <c r="O22" s="58">
        <f>$U$22*Bilan_E_KP_AME_2023!O22/SUM(Bilan_E_KP_AME_2023!$J$22:$O$22)</f>
        <v>6.1644695240901291E-2</v>
      </c>
      <c r="P22" s="58">
        <v>0</v>
      </c>
      <c r="Q22" s="58">
        <v>-1.90296</v>
      </c>
      <c r="R22" s="58"/>
      <c r="S22" s="58">
        <f t="shared" si="3"/>
        <v>-0.62157921645023162</v>
      </c>
      <c r="U22" s="58">
        <v>0.77558039552880498</v>
      </c>
    </row>
    <row r="23" spans="3:21" s="51" customFormat="1" x14ac:dyDescent="0.25">
      <c r="C23" s="428" t="s">
        <v>349</v>
      </c>
      <c r="D23" s="58">
        <v>0</v>
      </c>
      <c r="E23" s="58">
        <v>0</v>
      </c>
      <c r="F23" s="58">
        <v>0</v>
      </c>
      <c r="G23" s="58">
        <v>-6.3456577815993098E-3</v>
      </c>
      <c r="H23" s="58">
        <v>0</v>
      </c>
      <c r="I23" s="58">
        <v>0</v>
      </c>
      <c r="J23" s="58"/>
      <c r="K23" s="58"/>
      <c r="L23" s="58"/>
      <c r="M23" s="58"/>
      <c r="N23" s="58"/>
      <c r="O23" s="58"/>
      <c r="P23" s="58">
        <v>0</v>
      </c>
      <c r="Q23" s="58">
        <v>0</v>
      </c>
      <c r="R23" s="58"/>
      <c r="S23" s="58">
        <f t="shared" si="3"/>
        <v>-6.3456577815993098E-3</v>
      </c>
      <c r="U23" s="58">
        <v>6.3533008502913903E-3</v>
      </c>
    </row>
    <row r="24" spans="3:21" s="51" customFormat="1" x14ac:dyDescent="0.25">
      <c r="C24" s="428" t="s">
        <v>350</v>
      </c>
      <c r="D24" s="58">
        <v>0</v>
      </c>
      <c r="E24" s="58"/>
      <c r="F24" s="58"/>
      <c r="G24" s="58"/>
      <c r="H24" s="58"/>
      <c r="I24" s="58"/>
      <c r="J24" s="58"/>
      <c r="K24" s="58"/>
      <c r="L24" s="58"/>
      <c r="M24" s="58"/>
      <c r="N24" s="58"/>
      <c r="O24" s="58"/>
      <c r="P24" s="58"/>
      <c r="Q24" s="58"/>
      <c r="R24" s="58"/>
      <c r="S24" s="58">
        <f t="shared" si="3"/>
        <v>0</v>
      </c>
      <c r="U24" s="58"/>
    </row>
    <row r="25" spans="3:21" s="51" customFormat="1" x14ac:dyDescent="0.25">
      <c r="C25" s="428" t="s">
        <v>72</v>
      </c>
      <c r="D25" s="58">
        <v>0</v>
      </c>
      <c r="E25" s="58">
        <v>61.207000000000001</v>
      </c>
      <c r="F25" s="58">
        <v>-60.67</v>
      </c>
      <c r="G25" s="58">
        <v>0</v>
      </c>
      <c r="H25" s="58">
        <v>0</v>
      </c>
      <c r="I25" s="58">
        <v>0</v>
      </c>
      <c r="J25" s="58"/>
      <c r="K25" s="58"/>
      <c r="L25" s="58"/>
      <c r="M25" s="58"/>
      <c r="N25" s="58"/>
      <c r="O25" s="58"/>
      <c r="P25" s="58">
        <v>0</v>
      </c>
      <c r="Q25" s="58">
        <v>0</v>
      </c>
      <c r="R25" s="58"/>
      <c r="S25" s="58">
        <f t="shared" si="3"/>
        <v>0.53699999999999903</v>
      </c>
      <c r="U25" s="58">
        <v>0</v>
      </c>
    </row>
    <row r="26" spans="3:21" s="51" customFormat="1" x14ac:dyDescent="0.25">
      <c r="C26" s="428" t="s">
        <v>351</v>
      </c>
      <c r="D26" s="58">
        <v>0</v>
      </c>
      <c r="E26" s="58"/>
      <c r="F26" s="58"/>
      <c r="G26" s="58"/>
      <c r="H26" s="58"/>
      <c r="I26" s="58"/>
      <c r="J26" s="58">
        <f>-L26</f>
        <v>2.3204748448391763</v>
      </c>
      <c r="K26" s="58"/>
      <c r="L26" s="58">
        <f>-SUM(L34:L39)+L13</f>
        <v>-2.3204748448391763</v>
      </c>
      <c r="M26" s="58"/>
      <c r="N26" s="58"/>
      <c r="O26" s="58"/>
      <c r="P26" s="58"/>
      <c r="Q26" s="58"/>
      <c r="R26" s="58"/>
      <c r="S26" s="58">
        <f t="shared" si="3"/>
        <v>0</v>
      </c>
      <c r="U26" s="58"/>
    </row>
    <row r="27" spans="3:21" s="51" customFormat="1" x14ac:dyDescent="0.25">
      <c r="C27" s="428" t="s">
        <v>352</v>
      </c>
      <c r="D27" s="58">
        <v>0</v>
      </c>
      <c r="E27" s="58"/>
      <c r="F27" s="58"/>
      <c r="G27" s="58"/>
      <c r="H27" s="58"/>
      <c r="I27" s="58"/>
      <c r="J27" s="58"/>
      <c r="K27" s="58"/>
      <c r="L27" s="58"/>
      <c r="M27" s="58"/>
      <c r="N27" s="58"/>
      <c r="O27" s="58"/>
      <c r="P27" s="58"/>
      <c r="Q27" s="58"/>
      <c r="R27" s="58"/>
      <c r="S27" s="58">
        <f t="shared" si="3"/>
        <v>0</v>
      </c>
      <c r="U27" s="58"/>
    </row>
    <row r="28" spans="3:21" s="51" customFormat="1" x14ac:dyDescent="0.25">
      <c r="C28" s="428" t="s">
        <v>73</v>
      </c>
      <c r="D28" s="58">
        <v>0</v>
      </c>
      <c r="E28" s="58"/>
      <c r="F28" s="58"/>
      <c r="G28" s="58"/>
      <c r="H28" s="58"/>
      <c r="I28" s="58"/>
      <c r="J28" s="58"/>
      <c r="K28" s="58"/>
      <c r="L28" s="58"/>
      <c r="M28" s="58"/>
      <c r="N28" s="58"/>
      <c r="O28" s="584"/>
      <c r="P28" s="58"/>
      <c r="Q28" s="58"/>
      <c r="R28" s="58"/>
      <c r="S28" s="58">
        <f t="shared" si="3"/>
        <v>0</v>
      </c>
      <c r="U28" s="58"/>
    </row>
    <row r="29" spans="3:21" x14ac:dyDescent="0.25">
      <c r="C29" s="428" t="s">
        <v>353</v>
      </c>
      <c r="D29" s="586">
        <v>2.9093146706792798</v>
      </c>
      <c r="E29" s="586">
        <v>-1.5469999999999999</v>
      </c>
      <c r="F29" s="586">
        <v>1.458</v>
      </c>
      <c r="G29" s="586">
        <v>0</v>
      </c>
      <c r="H29" s="586">
        <v>0</v>
      </c>
      <c r="I29" s="586">
        <v>0</v>
      </c>
      <c r="J29" s="586">
        <v>0</v>
      </c>
      <c r="K29" s="586">
        <v>0</v>
      </c>
      <c r="L29" s="586">
        <v>0</v>
      </c>
      <c r="M29" s="586">
        <v>0</v>
      </c>
      <c r="N29" s="586">
        <v>0</v>
      </c>
      <c r="O29" s="586"/>
      <c r="P29" s="586">
        <v>0</v>
      </c>
      <c r="Q29" s="586">
        <v>0</v>
      </c>
      <c r="R29" s="586">
        <v>0</v>
      </c>
      <c r="S29" s="58">
        <f t="shared" si="3"/>
        <v>2.8203146706792799</v>
      </c>
      <c r="U29" s="586">
        <v>0</v>
      </c>
    </row>
    <row r="30" spans="3:21" s="51" customFormat="1" x14ac:dyDescent="0.25">
      <c r="C30" s="428" t="s">
        <v>75</v>
      </c>
      <c r="D30" s="58">
        <v>1.0374988057705199</v>
      </c>
      <c r="E30" s="58">
        <v>0</v>
      </c>
      <c r="F30" s="58">
        <v>1.7969999999999999</v>
      </c>
      <c r="G30" s="58">
        <v>1.2420767288043999</v>
      </c>
      <c r="H30" s="58">
        <v>0</v>
      </c>
      <c r="I30" s="58">
        <v>0</v>
      </c>
      <c r="J30" s="58">
        <f>U30</f>
        <v>5.1017483519633103E-2</v>
      </c>
      <c r="K30" s="58"/>
      <c r="L30" s="58"/>
      <c r="M30" s="58"/>
      <c r="N30" s="58"/>
      <c r="O30" s="58"/>
      <c r="P30" s="58">
        <v>2.7822871883060998</v>
      </c>
      <c r="Q30" s="58">
        <v>5.6328571847727903E-2</v>
      </c>
      <c r="R30" s="58"/>
      <c r="S30" s="58">
        <f t="shared" si="3"/>
        <v>6.9662087782483804</v>
      </c>
      <c r="U30" s="58">
        <v>5.1017483519633103E-2</v>
      </c>
    </row>
    <row r="31" spans="3:21" s="51" customFormat="1" x14ac:dyDescent="0.25">
      <c r="C31" s="428" t="s">
        <v>76</v>
      </c>
      <c r="D31" s="58">
        <v>0</v>
      </c>
      <c r="E31" s="58">
        <v>0</v>
      </c>
      <c r="F31" s="58">
        <v>0</v>
      </c>
      <c r="G31" s="58">
        <v>0.46122098022356001</v>
      </c>
      <c r="H31" s="58">
        <v>0</v>
      </c>
      <c r="I31" s="58">
        <v>0</v>
      </c>
      <c r="J31" s="58"/>
      <c r="K31" s="58"/>
      <c r="L31" s="58"/>
      <c r="M31" s="58"/>
      <c r="N31" s="58"/>
      <c r="O31" s="58"/>
      <c r="P31" s="58">
        <v>3.04359415305245</v>
      </c>
      <c r="Q31" s="58">
        <v>0.80882690971625104</v>
      </c>
      <c r="R31" s="58"/>
      <c r="S31" s="58">
        <f t="shared" si="3"/>
        <v>4.3136420429922611</v>
      </c>
      <c r="U31" s="58">
        <v>0</v>
      </c>
    </row>
    <row r="32" spans="3:21" s="51" customFormat="1" ht="15.75" x14ac:dyDescent="0.25">
      <c r="C32" s="176" t="s">
        <v>77</v>
      </c>
      <c r="D32" s="582">
        <f>SUM(D20:D31)</f>
        <v>7.3774304293027759</v>
      </c>
      <c r="E32" s="582">
        <f t="shared" ref="E32:R32" si="4">SUM(E20:E31)</f>
        <v>59.756000000000007</v>
      </c>
      <c r="F32" s="582">
        <f t="shared" si="4"/>
        <v>-54.735999999999997</v>
      </c>
      <c r="G32" s="582">
        <f t="shared" si="4"/>
        <v>6.1903045568528752</v>
      </c>
      <c r="H32" s="582">
        <f t="shared" si="4"/>
        <v>113.97587222178799</v>
      </c>
      <c r="I32" s="582">
        <f t="shared" si="4"/>
        <v>7.1744464316423002</v>
      </c>
      <c r="J32" s="582">
        <f t="shared" si="4"/>
        <v>5.4882833555595569</v>
      </c>
      <c r="K32" s="582">
        <f t="shared" si="4"/>
        <v>1.4077454473076043</v>
      </c>
      <c r="L32" s="582">
        <f t="shared" si="4"/>
        <v>-2.1876855116945393</v>
      </c>
      <c r="M32" s="582">
        <f t="shared" si="4"/>
        <v>-0.27210125214244696</v>
      </c>
      <c r="N32" s="582">
        <f t="shared" si="4"/>
        <v>-0.4</v>
      </c>
      <c r="O32" s="582">
        <f t="shared" si="4"/>
        <v>0.14846263501487333</v>
      </c>
      <c r="P32" s="582">
        <f t="shared" si="4"/>
        <v>-42.883404987102274</v>
      </c>
      <c r="Q32" s="582">
        <f t="shared" si="4"/>
        <v>-2.9598157669312912</v>
      </c>
      <c r="R32" s="582">
        <f t="shared" si="4"/>
        <v>0</v>
      </c>
      <c r="S32" s="582">
        <f>SUM(S20:S31)</f>
        <v>98.079537559597483</v>
      </c>
      <c r="U32" s="582">
        <v>4.5101509506066702</v>
      </c>
    </row>
    <row r="33" spans="3:21" s="51" customFormat="1" ht="15.75" x14ac:dyDescent="0.25">
      <c r="C33" s="57"/>
      <c r="D33" s="583">
        <f t="shared" ref="D33:E33" si="5">D18-D32-D42</f>
        <v>-1.8806439235875327E-2</v>
      </c>
      <c r="E33" s="583">
        <f t="shared" si="5"/>
        <v>-7.1054273576010019E-15</v>
      </c>
      <c r="F33" s="583">
        <f>F18-F32-F42</f>
        <v>-0.42437051617260124</v>
      </c>
      <c r="G33" s="583">
        <f t="shared" ref="G33:S33" si="6">G18-G32-G42</f>
        <v>-1.6434573995402637</v>
      </c>
      <c r="H33" s="583">
        <f t="shared" si="6"/>
        <v>0</v>
      </c>
      <c r="I33" s="583">
        <f t="shared" si="6"/>
        <v>0</v>
      </c>
      <c r="J33" s="583">
        <f t="shared" si="6"/>
        <v>9.092561559201684E-3</v>
      </c>
      <c r="K33" s="583">
        <f t="shared" si="6"/>
        <v>0.14010483555093534</v>
      </c>
      <c r="L33" s="583">
        <f t="shared" si="6"/>
        <v>-0.12079675842501292</v>
      </c>
      <c r="M33" s="583">
        <f t="shared" si="6"/>
        <v>-1.5808097404283905E-2</v>
      </c>
      <c r="N33" s="583">
        <f t="shared" si="6"/>
        <v>-4.9236979676254844E-2</v>
      </c>
      <c r="O33" s="583">
        <f t="shared" si="6"/>
        <v>6.6758773180074144E-2</v>
      </c>
      <c r="P33" s="583">
        <f t="shared" si="6"/>
        <v>-0.70746299815124303</v>
      </c>
      <c r="Q33" s="583">
        <f t="shared" si="6"/>
        <v>-0.11077046581449856</v>
      </c>
      <c r="R33" s="583">
        <f t="shared" si="6"/>
        <v>0</v>
      </c>
      <c r="S33" s="583">
        <f t="shared" si="6"/>
        <v>-2.8748262556556483</v>
      </c>
      <c r="U33" s="583"/>
    </row>
    <row r="34" spans="3:21" s="51" customFormat="1" ht="15.75" x14ac:dyDescent="0.25">
      <c r="C34" s="178" t="s">
        <v>78</v>
      </c>
      <c r="D34" s="58">
        <v>1.0493092649428299</v>
      </c>
      <c r="E34" s="58">
        <v>0</v>
      </c>
      <c r="F34" s="58">
        <v>2.3566094604778201</v>
      </c>
      <c r="G34" s="58">
        <v>10.2038364932448</v>
      </c>
      <c r="H34" s="58">
        <v>0</v>
      </c>
      <c r="I34" s="58">
        <v>0</v>
      </c>
      <c r="J34" s="58">
        <f>$U$34*Bilan_E_KP_AME_2023!J34/SUM(Bilan_E_KP_AME_2023!$J$34:$O$34)</f>
        <v>1.1062928918353545</v>
      </c>
      <c r="K34" s="58">
        <f>$U$34*Bilan_E_KP_AME_2023!K34/SUM(Bilan_E_KP_AME_2023!$J$34:$O$34)</f>
        <v>0.10895527045374473</v>
      </c>
      <c r="L34" s="58">
        <f>$U$34*Bilan_E_KP_AME_2023!L34/SUM(Bilan_E_KP_AME_2023!$J$34:$O$34)</f>
        <v>5.6111288464125664E-2</v>
      </c>
      <c r="M34" s="58">
        <f>$U$34*Bilan_E_KP_AME_2023!M34/SUM(Bilan_E_KP_AME_2023!$J$34:$O$34)</f>
        <v>9.4169183949296117E-2</v>
      </c>
      <c r="N34" s="58">
        <f>$U$34*Bilan_E_KP_AME_2023!N34/SUM(Bilan_E_KP_AME_2023!$J$34:$O$34)</f>
        <v>0</v>
      </c>
      <c r="O34" s="58">
        <f>$U$34*Bilan_E_KP_AME_2023!O34/SUM(Bilan_E_KP_AME_2023!$J$34:$O$34)</f>
        <v>2.5010085858689085E-5</v>
      </c>
      <c r="P34" s="58">
        <v>10.069552160228</v>
      </c>
      <c r="Q34" s="58">
        <v>1.1415347236508699</v>
      </c>
      <c r="R34" s="58"/>
      <c r="S34" s="58">
        <f>SUM(D34:R34)</f>
        <v>26.186395747332696</v>
      </c>
      <c r="U34" s="58">
        <v>1.36555364478838</v>
      </c>
    </row>
    <row r="35" spans="3:21" s="51" customFormat="1" ht="15.75" x14ac:dyDescent="0.25">
      <c r="C35" s="178" t="s">
        <v>79</v>
      </c>
      <c r="D35" s="58">
        <v>0</v>
      </c>
      <c r="E35" s="58">
        <v>0</v>
      </c>
      <c r="F35" s="58">
        <v>39.807000000000002</v>
      </c>
      <c r="G35" s="58">
        <v>6.6215426095074303E-2</v>
      </c>
      <c r="H35" s="58">
        <v>0</v>
      </c>
      <c r="I35" s="58">
        <v>0</v>
      </c>
      <c r="J35" s="58">
        <f>$U$35*Bilan_E_KP_AME_2023!J35/SUM(Bilan_E_KP_AME_2023!$J$35:$O$35)</f>
        <v>0</v>
      </c>
      <c r="K35" s="58">
        <f>$U$35*Bilan_E_KP_AME_2023!K35/SUM(Bilan_E_KP_AME_2023!$J$35:$O$35)</f>
        <v>0</v>
      </c>
      <c r="L35" s="58">
        <f>$U$35*Bilan_E_KP_AME_2023!L35/SUM(Bilan_E_KP_AME_2023!$J$35:$O$35)</f>
        <v>2.9416967808253762</v>
      </c>
      <c r="M35" s="58">
        <f>$U$35*Bilan_E_KP_AME_2023!M35/SUM(Bilan_E_KP_AME_2023!$J$35:$O$35)</f>
        <v>6.458640976473742E-3</v>
      </c>
      <c r="N35" s="58">
        <f>$U$35*Bilan_E_KP_AME_2023!N35/SUM(Bilan_E_KP_AME_2023!$J$35:$O$35)</f>
        <v>0</v>
      </c>
      <c r="O35" s="58">
        <f>$U$35*Bilan_E_KP_AME_2023!O35/SUM(Bilan_E_KP_AME_2023!$J$35:$O$35)</f>
        <v>0</v>
      </c>
      <c r="P35" s="58">
        <v>0.94471195184866696</v>
      </c>
      <c r="Q35" s="58">
        <v>0</v>
      </c>
      <c r="R35" s="58"/>
      <c r="S35" s="58">
        <f t="shared" ref="S35:S39" si="7">SUM(D35:R35)</f>
        <v>43.766082799745597</v>
      </c>
      <c r="U35" s="58">
        <v>2.9481554218018502</v>
      </c>
    </row>
    <row r="36" spans="3:21" s="51" customFormat="1" x14ac:dyDescent="0.25">
      <c r="C36" s="175" t="s">
        <v>80</v>
      </c>
      <c r="D36" s="58">
        <v>3.6764196608413298E-2</v>
      </c>
      <c r="E36" s="58">
        <v>0</v>
      </c>
      <c r="F36" s="58">
        <v>6.6752954110546101</v>
      </c>
      <c r="G36" s="58">
        <v>11.7825435723501</v>
      </c>
      <c r="H36" s="58">
        <v>0</v>
      </c>
      <c r="I36" s="58">
        <v>0</v>
      </c>
      <c r="J36" s="58">
        <f>$U$36*Bilan_E_KP_AME_2023!J36/SUM(Bilan_E_KP_AME_2023!$J$36:$O$36)</f>
        <v>6.0818806018488383</v>
      </c>
      <c r="K36" s="58">
        <f>$U$36*Bilan_E_KP_AME_2023!K36/SUM(Bilan_E_KP_AME_2023!$J$36:$O$36)</f>
        <v>0</v>
      </c>
      <c r="L36" s="58">
        <f>$U$36*Bilan_E_KP_AME_2023!L36/SUM(Bilan_E_KP_AME_2023!$J$36:$O$36)</f>
        <v>0</v>
      </c>
      <c r="M36" s="58">
        <f>$U$36*Bilan_E_KP_AME_2023!M36/SUM(Bilan_E_KP_AME_2023!$J$36:$O$36)</f>
        <v>0.13020610811482114</v>
      </c>
      <c r="N36" s="58">
        <f>$U$36*Bilan_E_KP_AME_2023!N36/SUM(Bilan_E_KP_AME_2023!$J$36:$O$36)</f>
        <v>2.5168214298503164</v>
      </c>
      <c r="O36" s="58">
        <f>$U$36*Bilan_E_KP_AME_2023!O36/SUM(Bilan_E_KP_AME_2023!$J$36:$O$36)</f>
        <v>0.10956763115778498</v>
      </c>
      <c r="P36" s="58">
        <v>13.6203670581426</v>
      </c>
      <c r="Q36" s="58">
        <v>1.21184436300186</v>
      </c>
      <c r="R36" s="58"/>
      <c r="S36" s="58">
        <f t="shared" si="7"/>
        <v>42.165290372129341</v>
      </c>
      <c r="U36" s="58">
        <v>8.8384757709717601</v>
      </c>
    </row>
    <row r="37" spans="3:21" s="51" customFormat="1" x14ac:dyDescent="0.25">
      <c r="C37" s="175" t="s">
        <v>81</v>
      </c>
      <c r="D37" s="58">
        <v>4.3073392295861899E-2</v>
      </c>
      <c r="E37" s="58">
        <v>0</v>
      </c>
      <c r="F37" s="58">
        <v>3.01546564464017</v>
      </c>
      <c r="G37" s="58">
        <v>7.13877632922933</v>
      </c>
      <c r="H37" s="58">
        <v>0</v>
      </c>
      <c r="I37" s="58">
        <v>0</v>
      </c>
      <c r="J37" s="58">
        <f>$U$37*Bilan_E_KP_AME_2023!J37/SUM(Bilan_E_KP_AME_2023!$J$37:$O$37)</f>
        <v>0.31568062817324566</v>
      </c>
      <c r="K37" s="58">
        <f>$U$37*Bilan_E_KP_AME_2023!K37/SUM(Bilan_E_KP_AME_2023!$J$37:$O$37)</f>
        <v>2.054113779674932E-3</v>
      </c>
      <c r="L37" s="58">
        <f>$U$37*Bilan_E_KP_AME_2023!L37/SUM(Bilan_E_KP_AME_2023!$J$37:$O$37)</f>
        <v>0</v>
      </c>
      <c r="M37" s="58">
        <f>$U$37*Bilan_E_KP_AME_2023!M37/SUM(Bilan_E_KP_AME_2023!$J$37:$O$37)</f>
        <v>6.5415024931853333E-2</v>
      </c>
      <c r="N37" s="58">
        <f>$U$37*Bilan_E_KP_AME_2023!N37/SUM(Bilan_E_KP_AME_2023!$J$37:$O$37)</f>
        <v>0.43850634072353678</v>
      </c>
      <c r="O37" s="58">
        <f>$U$37*Bilan_E_KP_AME_2023!O37/SUM(Bilan_E_KP_AME_2023!$J$37:$O$37)</f>
        <v>7.4926332712814264E-2</v>
      </c>
      <c r="P37" s="58">
        <v>12.701365476499801</v>
      </c>
      <c r="Q37" s="58">
        <v>0.710753475039681</v>
      </c>
      <c r="R37" s="58"/>
      <c r="S37" s="58">
        <f t="shared" si="7"/>
        <v>24.506016758025972</v>
      </c>
      <c r="U37" s="58">
        <v>0.896582440321125</v>
      </c>
    </row>
    <row r="38" spans="3:21" s="51" customFormat="1" x14ac:dyDescent="0.25">
      <c r="C38" s="175" t="s">
        <v>82</v>
      </c>
      <c r="D38" s="58">
        <v>2.2137192704974398E-3</v>
      </c>
      <c r="E38" s="58">
        <v>0</v>
      </c>
      <c r="F38" s="58">
        <v>3.371</v>
      </c>
      <c r="G38" s="58">
        <v>0.20038837309893301</v>
      </c>
      <c r="H38" s="58">
        <v>0</v>
      </c>
      <c r="I38" s="58">
        <v>0</v>
      </c>
      <c r="J38" s="58">
        <f>$U$38*Bilan_E_KP_AME_2023!J38/SUM(Bilan_E_KP_AME_2023!$J$38:$O$38)</f>
        <v>2.9897922514510483E-2</v>
      </c>
      <c r="K38" s="58">
        <f>$U$38*Bilan_E_KP_AME_2023!K38/SUM(Bilan_E_KP_AME_2023!$J$38:$O$38)</f>
        <v>0</v>
      </c>
      <c r="L38" s="58">
        <f>$U$38*Bilan_E_KP_AME_2023!L38/SUM(Bilan_E_KP_AME_2023!$J$38:$O$38)</f>
        <v>0.12266677554967495</v>
      </c>
      <c r="M38" s="58">
        <f>$U$38*Bilan_E_KP_AME_2023!M38/SUM(Bilan_E_KP_AME_2023!$J$38:$O$38)</f>
        <v>1.7659335135972959E-3</v>
      </c>
      <c r="N38" s="58">
        <f>$U$38*Bilan_E_KP_AME_2023!N38/SUM(Bilan_E_KP_AME_2023!$J$38:$O$38)</f>
        <v>0</v>
      </c>
      <c r="O38" s="58">
        <f>$U$38*Bilan_E_KP_AME_2023!O38/SUM(Bilan_E_KP_AME_2023!$J$38:$O$38)</f>
        <v>5.1467736003962539E-3</v>
      </c>
      <c r="P38" s="58">
        <v>0.74651762682717104</v>
      </c>
      <c r="Q38" s="58">
        <v>6.4536710533781398E-3</v>
      </c>
      <c r="R38" s="58"/>
      <c r="S38" s="58">
        <f t="shared" si="7"/>
        <v>4.4860507954281585</v>
      </c>
      <c r="U38" s="58">
        <v>0.15947740517817899</v>
      </c>
    </row>
    <row r="39" spans="3:21" s="51" customFormat="1" x14ac:dyDescent="0.25">
      <c r="C39" s="428" t="s">
        <v>354</v>
      </c>
      <c r="D39" s="58">
        <v>0</v>
      </c>
      <c r="E39" s="58">
        <v>0</v>
      </c>
      <c r="F39" s="58">
        <v>0</v>
      </c>
      <c r="G39" s="58">
        <v>0</v>
      </c>
      <c r="H39" s="58">
        <v>0</v>
      </c>
      <c r="I39" s="58">
        <v>0</v>
      </c>
      <c r="J39" s="58">
        <v>0</v>
      </c>
      <c r="K39" s="58">
        <f>J39</f>
        <v>0</v>
      </c>
      <c r="L39" s="58">
        <f t="shared" ref="L39:R39" si="8">K39</f>
        <v>0</v>
      </c>
      <c r="M39" s="58">
        <f t="shared" si="8"/>
        <v>0</v>
      </c>
      <c r="N39" s="58">
        <f t="shared" si="8"/>
        <v>0</v>
      </c>
      <c r="O39" s="58">
        <f t="shared" si="8"/>
        <v>0</v>
      </c>
      <c r="P39" s="58">
        <f t="shared" si="8"/>
        <v>0</v>
      </c>
      <c r="Q39" s="58">
        <f t="shared" si="8"/>
        <v>0</v>
      </c>
      <c r="R39" s="58">
        <f t="shared" si="8"/>
        <v>0</v>
      </c>
      <c r="S39" s="58">
        <f t="shared" si="7"/>
        <v>0</v>
      </c>
      <c r="U39" s="58">
        <v>0</v>
      </c>
    </row>
    <row r="40" spans="3:21" s="51" customFormat="1" ht="15.75" x14ac:dyDescent="0.25">
      <c r="C40" s="176" t="s">
        <v>83</v>
      </c>
      <c r="D40" s="582">
        <f>SUM(D34:D39)</f>
        <v>1.1313605731176026</v>
      </c>
      <c r="E40" s="582">
        <f t="shared" ref="E40:R40" si="9">SUM(E34:E39)</f>
        <v>0</v>
      </c>
      <c r="F40" s="582">
        <f t="shared" si="9"/>
        <v>55.22537051617261</v>
      </c>
      <c r="G40" s="582">
        <f t="shared" si="9"/>
        <v>29.391760194018236</v>
      </c>
      <c r="H40" s="582">
        <f t="shared" si="9"/>
        <v>0</v>
      </c>
      <c r="I40" s="582">
        <f t="shared" si="9"/>
        <v>0</v>
      </c>
      <c r="J40" s="582">
        <f>SUM(J34:J39)</f>
        <v>7.5337520443719486</v>
      </c>
      <c r="K40" s="582">
        <f t="shared" si="9"/>
        <v>0.11100938423341966</v>
      </c>
      <c r="L40" s="582">
        <f t="shared" si="9"/>
        <v>3.1204748448391766</v>
      </c>
      <c r="M40" s="582">
        <f t="shared" si="9"/>
        <v>0.2980148914860416</v>
      </c>
      <c r="N40" s="582">
        <f t="shared" si="9"/>
        <v>2.9553277705738532</v>
      </c>
      <c r="O40" s="582">
        <f t="shared" si="9"/>
        <v>0.1896657475568542</v>
      </c>
      <c r="P40" s="582">
        <f t="shared" si="9"/>
        <v>38.082514273546238</v>
      </c>
      <c r="Q40" s="582">
        <f t="shared" si="9"/>
        <v>3.0705862327457889</v>
      </c>
      <c r="R40" s="582">
        <f t="shared" si="9"/>
        <v>0</v>
      </c>
      <c r="S40" s="582">
        <f>SUM(S34:S39)</f>
        <v>141.10983647266175</v>
      </c>
      <c r="U40" s="582">
        <v>14.208244683061301</v>
      </c>
    </row>
    <row r="41" spans="3:21" s="51" customFormat="1" x14ac:dyDescent="0.25">
      <c r="C41" s="175" t="s">
        <v>84</v>
      </c>
      <c r="D41" s="585">
        <v>0.30500413491505901</v>
      </c>
      <c r="E41" s="585">
        <v>0</v>
      </c>
      <c r="F41" s="585">
        <v>12.452999999999999</v>
      </c>
      <c r="G41" s="585">
        <v>1.1015862413247299</v>
      </c>
      <c r="H41" s="585">
        <v>0</v>
      </c>
      <c r="I41" s="585">
        <v>0</v>
      </c>
      <c r="J41" s="585">
        <f>I41</f>
        <v>0</v>
      </c>
      <c r="K41" s="585">
        <f t="shared" ref="K41:R41" si="10">J41</f>
        <v>0</v>
      </c>
      <c r="L41" s="585">
        <f t="shared" si="10"/>
        <v>0</v>
      </c>
      <c r="M41" s="585">
        <f t="shared" si="10"/>
        <v>0</v>
      </c>
      <c r="N41" s="585">
        <f t="shared" si="10"/>
        <v>0</v>
      </c>
      <c r="O41" s="585">
        <f t="shared" si="10"/>
        <v>0</v>
      </c>
      <c r="P41" s="585">
        <f t="shared" si="10"/>
        <v>0</v>
      </c>
      <c r="Q41" s="585">
        <f t="shared" si="10"/>
        <v>0</v>
      </c>
      <c r="R41" s="585">
        <f t="shared" si="10"/>
        <v>0</v>
      </c>
      <c r="S41" s="585">
        <v>13.859590376239799</v>
      </c>
      <c r="U41" s="585">
        <v>0</v>
      </c>
    </row>
    <row r="42" spans="3:21" s="51" customFormat="1" ht="15.75" x14ac:dyDescent="0.25">
      <c r="C42" s="176" t="s">
        <v>85</v>
      </c>
      <c r="D42" s="582">
        <f>SUM(D40:D41)</f>
        <v>1.4363647080326616</v>
      </c>
      <c r="E42" s="582">
        <f t="shared" ref="E42:O42" si="11">SUM(E40:E41)</f>
        <v>0</v>
      </c>
      <c r="F42" s="582">
        <f t="shared" si="11"/>
        <v>67.678370516172606</v>
      </c>
      <c r="G42" s="582">
        <f t="shared" si="11"/>
        <v>30.493346435342964</v>
      </c>
      <c r="H42" s="582">
        <f t="shared" si="11"/>
        <v>0</v>
      </c>
      <c r="I42" s="582">
        <f t="shared" si="11"/>
        <v>0</v>
      </c>
      <c r="J42" s="582">
        <f t="shared" si="11"/>
        <v>7.5337520443719486</v>
      </c>
      <c r="K42" s="582">
        <f t="shared" si="11"/>
        <v>0.11100938423341966</v>
      </c>
      <c r="L42" s="582">
        <f t="shared" si="11"/>
        <v>3.1204748448391766</v>
      </c>
      <c r="M42" s="582">
        <f t="shared" si="11"/>
        <v>0.2980148914860416</v>
      </c>
      <c r="N42" s="582">
        <f t="shared" si="11"/>
        <v>2.9553277705738532</v>
      </c>
      <c r="O42" s="582">
        <f t="shared" si="11"/>
        <v>0.1896657475568542</v>
      </c>
      <c r="P42" s="582">
        <v>38.082441502020501</v>
      </c>
      <c r="Q42" s="582">
        <v>3.0705862327457898</v>
      </c>
      <c r="R42" s="582"/>
      <c r="S42" s="582">
        <f>S40+S41</f>
        <v>154.96942684890155</v>
      </c>
      <c r="U42" s="582">
        <v>14.208244683061301</v>
      </c>
    </row>
    <row r="45" spans="3:21" s="51" customFormat="1" x14ac:dyDescent="0.25">
      <c r="C45" s="175" t="s">
        <v>66</v>
      </c>
      <c r="D45" s="58">
        <v>0</v>
      </c>
      <c r="E45" s="58">
        <v>-0.32500000000000001</v>
      </c>
      <c r="F45" s="58">
        <v>0.25</v>
      </c>
      <c r="G45" s="58">
        <v>0</v>
      </c>
      <c r="H45" s="58">
        <v>0</v>
      </c>
      <c r="I45" s="58">
        <v>0</v>
      </c>
      <c r="J45" s="58"/>
      <c r="K45" s="58"/>
      <c r="L45" s="58"/>
      <c r="M45" s="58"/>
      <c r="N45" s="58"/>
      <c r="O45" s="58"/>
      <c r="P45" s="58">
        <v>0</v>
      </c>
      <c r="Q45" s="58">
        <v>0</v>
      </c>
      <c r="R45" s="58"/>
      <c r="S45" s="58">
        <v>-7.5000000000000011E-2</v>
      </c>
      <c r="U45" s="58">
        <v>0</v>
      </c>
    </row>
    <row r="46" spans="3:21" s="51" customFormat="1" x14ac:dyDescent="0.25">
      <c r="C46" s="175" t="s">
        <v>471</v>
      </c>
      <c r="D46" s="58">
        <v>2.9093146706792798</v>
      </c>
      <c r="E46" s="58">
        <v>-1.222</v>
      </c>
      <c r="F46" s="58">
        <v>1.208</v>
      </c>
      <c r="G46" s="58">
        <v>0</v>
      </c>
      <c r="H46" s="58">
        <v>0</v>
      </c>
      <c r="I46" s="58">
        <v>0</v>
      </c>
      <c r="J46" s="58"/>
      <c r="K46" s="58"/>
      <c r="L46" s="58"/>
      <c r="M46" s="58"/>
      <c r="N46" s="58"/>
      <c r="O46" s="58"/>
      <c r="P46" s="58">
        <v>0</v>
      </c>
      <c r="Q46" s="58">
        <v>0</v>
      </c>
      <c r="R46" s="58"/>
      <c r="S46" s="58">
        <v>2.8953146706792801</v>
      </c>
      <c r="U46" s="58">
        <v>0</v>
      </c>
    </row>
    <row r="47" spans="3:21" s="51" customFormat="1" x14ac:dyDescent="0.25">
      <c r="C47" s="175" t="s">
        <v>69</v>
      </c>
      <c r="D47" s="58">
        <v>0.17574077042132399</v>
      </c>
      <c r="E47" s="58">
        <v>0</v>
      </c>
      <c r="F47" s="58">
        <v>0.24</v>
      </c>
      <c r="G47" s="58">
        <v>2.0854259827438901</v>
      </c>
      <c r="H47" s="58">
        <v>0</v>
      </c>
      <c r="I47" s="58">
        <v>0</v>
      </c>
      <c r="J47" s="58"/>
      <c r="K47" s="58"/>
      <c r="L47" s="58"/>
      <c r="M47" s="58"/>
      <c r="N47" s="58"/>
      <c r="O47" s="58"/>
      <c r="P47" s="58">
        <v>-1.4459157351676699</v>
      </c>
      <c r="Q47" s="58">
        <v>-1.9220112484952701</v>
      </c>
      <c r="R47" s="58"/>
      <c r="S47" s="58">
        <v>1.502280564381415</v>
      </c>
      <c r="U47" s="58">
        <v>2.3690407948791399</v>
      </c>
    </row>
    <row r="48" spans="3:21" s="51" customFormat="1" x14ac:dyDescent="0.25">
      <c r="C48" s="175" t="s">
        <v>68</v>
      </c>
      <c r="D48" s="58">
        <v>2.8177717473010402</v>
      </c>
      <c r="E48" s="58">
        <v>0</v>
      </c>
      <c r="F48" s="58">
        <v>0.46200000000000002</v>
      </c>
      <c r="G48" s="58">
        <v>1.74883483201723</v>
      </c>
      <c r="H48" s="58">
        <v>113.97587222178799</v>
      </c>
      <c r="I48" s="58">
        <v>7.1744464316423002</v>
      </c>
      <c r="J48" s="58"/>
      <c r="K48" s="58"/>
      <c r="L48" s="58"/>
      <c r="M48" s="58"/>
      <c r="N48" s="58"/>
      <c r="O48" s="58"/>
      <c r="P48" s="58">
        <v>-47.166809974204597</v>
      </c>
      <c r="Q48" s="58">
        <v>0</v>
      </c>
      <c r="R48" s="58"/>
      <c r="S48" s="58">
        <v>80.320250349783009</v>
      </c>
      <c r="U48" s="58">
        <v>1.3081350912391301</v>
      </c>
    </row>
    <row r="55" spans="3:21" s="51" customFormat="1" ht="15.75" x14ac:dyDescent="0.25">
      <c r="C55" s="59" t="s">
        <v>86</v>
      </c>
      <c r="D55" s="53"/>
      <c r="E55" s="53"/>
      <c r="F55" s="53"/>
      <c r="G55" s="53"/>
      <c r="H55" s="53"/>
      <c r="I55" s="54"/>
      <c r="J55" s="54"/>
      <c r="K55" s="54"/>
      <c r="L55" s="54"/>
      <c r="M55" s="54"/>
      <c r="N55" s="54"/>
      <c r="O55" s="53"/>
      <c r="P55" s="53"/>
      <c r="Q55" s="53"/>
      <c r="R55" s="53"/>
      <c r="S55" s="53"/>
    </row>
    <row r="58" spans="3:21" s="51" customFormat="1" ht="45" x14ac:dyDescent="0.25">
      <c r="C58" s="56" t="s">
        <v>51</v>
      </c>
      <c r="D58" s="174" t="s">
        <v>42</v>
      </c>
      <c r="E58" s="174" t="s">
        <v>52</v>
      </c>
      <c r="F58" s="174" t="s">
        <v>53</v>
      </c>
      <c r="G58" s="174" t="s">
        <v>54</v>
      </c>
      <c r="H58" s="174" t="s">
        <v>20</v>
      </c>
      <c r="I58" s="174" t="s">
        <v>55</v>
      </c>
      <c r="J58" s="174"/>
      <c r="K58" s="174"/>
      <c r="L58" s="174"/>
      <c r="M58" s="174"/>
      <c r="N58" s="174"/>
      <c r="O58" s="174" t="s">
        <v>56</v>
      </c>
      <c r="P58" s="174" t="s">
        <v>57</v>
      </c>
      <c r="Q58" s="174" t="s">
        <v>58</v>
      </c>
      <c r="R58" s="174" t="s">
        <v>31</v>
      </c>
      <c r="S58" s="174" t="s">
        <v>10</v>
      </c>
    </row>
    <row r="59" spans="3:21" s="51" customFormat="1" ht="15.75" x14ac:dyDescent="0.25">
      <c r="C59" s="60"/>
      <c r="D59" s="61"/>
      <c r="E59" s="61"/>
      <c r="F59" s="61"/>
      <c r="G59" s="61"/>
      <c r="H59" s="61"/>
      <c r="I59" s="61"/>
      <c r="J59" s="61"/>
      <c r="K59" s="61"/>
      <c r="L59" s="61"/>
      <c r="M59" s="61"/>
      <c r="N59" s="61"/>
      <c r="O59" s="61"/>
      <c r="P59" s="61"/>
      <c r="Q59" s="61"/>
      <c r="R59" s="61"/>
      <c r="S59" s="61"/>
    </row>
    <row r="60" spans="3:21" s="51" customFormat="1" x14ac:dyDescent="0.25">
      <c r="C60" s="175" t="s">
        <v>59</v>
      </c>
      <c r="D60" s="62">
        <v>0</v>
      </c>
      <c r="E60" s="62">
        <v>0.8</v>
      </c>
      <c r="F60" s="62">
        <v>0</v>
      </c>
      <c r="G60" s="62">
        <v>0.03</v>
      </c>
      <c r="H60" s="63">
        <v>109.38183514566988</v>
      </c>
      <c r="I60" s="63">
        <v>10.318142734307823</v>
      </c>
      <c r="J60" s="63"/>
      <c r="K60" s="63"/>
      <c r="L60" s="63"/>
      <c r="M60" s="63"/>
      <c r="N60" s="63"/>
      <c r="O60" s="62">
        <v>19.853132642623823</v>
      </c>
      <c r="P60" s="63"/>
      <c r="Q60" s="63"/>
      <c r="R60" s="63"/>
      <c r="S60" s="63">
        <v>140.38311052260153</v>
      </c>
    </row>
    <row r="61" spans="3:21" s="51" customFormat="1" x14ac:dyDescent="0.25">
      <c r="C61" s="175" t="s">
        <v>60</v>
      </c>
      <c r="D61" s="62">
        <v>6.0924579523016948</v>
      </c>
      <c r="E61" s="62">
        <v>47.800000000000004</v>
      </c>
      <c r="F61" s="62">
        <v>25.349495228581368</v>
      </c>
      <c r="G61" s="62">
        <v>36.698715601251486</v>
      </c>
      <c r="H61" s="63"/>
      <c r="I61" s="63"/>
      <c r="J61" s="63"/>
      <c r="K61" s="63"/>
      <c r="L61" s="63"/>
      <c r="M61" s="63"/>
      <c r="N61" s="63"/>
      <c r="O61" s="63">
        <v>2.2308964938133506</v>
      </c>
      <c r="P61" s="63">
        <v>0</v>
      </c>
      <c r="Q61" s="63"/>
      <c r="R61" s="63"/>
      <c r="S61" s="63">
        <v>118.17156527594788</v>
      </c>
    </row>
    <row r="62" spans="3:21" s="51" customFormat="1" x14ac:dyDescent="0.25">
      <c r="C62" s="175" t="s">
        <v>61</v>
      </c>
      <c r="D62" s="62">
        <v>0</v>
      </c>
      <c r="E62" s="62">
        <v>0</v>
      </c>
      <c r="F62" s="62">
        <v>0</v>
      </c>
      <c r="G62" s="62">
        <v>0</v>
      </c>
      <c r="H62" s="63"/>
      <c r="I62" s="63"/>
      <c r="J62" s="63"/>
      <c r="K62" s="63"/>
      <c r="L62" s="63"/>
      <c r="M62" s="63"/>
      <c r="N62" s="63"/>
      <c r="O62" s="62">
        <v>0</v>
      </c>
      <c r="P62" s="63">
        <v>-4.5928786597159572</v>
      </c>
      <c r="Q62" s="63"/>
      <c r="R62" s="63"/>
      <c r="S62" s="63">
        <v>-4.5928786597159572</v>
      </c>
    </row>
    <row r="63" spans="3:21" s="51" customFormat="1" x14ac:dyDescent="0.25">
      <c r="C63" s="175" t="s">
        <v>62</v>
      </c>
      <c r="D63" s="62"/>
      <c r="E63" s="62"/>
      <c r="F63" s="62">
        <v>-1.1000000000000001</v>
      </c>
      <c r="G63" s="62"/>
      <c r="H63" s="63"/>
      <c r="I63" s="63"/>
      <c r="J63" s="63"/>
      <c r="K63" s="63"/>
      <c r="L63" s="63"/>
      <c r="M63" s="63"/>
      <c r="N63" s="63"/>
      <c r="O63" s="63"/>
      <c r="P63" s="63"/>
      <c r="Q63" s="63"/>
      <c r="R63" s="63"/>
      <c r="S63" s="63">
        <v>-1.1000000000000001</v>
      </c>
    </row>
    <row r="64" spans="3:21" s="51" customFormat="1" x14ac:dyDescent="0.25">
      <c r="C64" s="175" t="s">
        <v>63</v>
      </c>
      <c r="D64" s="62"/>
      <c r="E64" s="62"/>
      <c r="F64" s="62">
        <v>-6.3128842627624397</v>
      </c>
      <c r="G64" s="62"/>
      <c r="H64" s="63"/>
      <c r="I64" s="63"/>
      <c r="J64" s="63"/>
      <c r="K64" s="63"/>
      <c r="L64" s="63"/>
      <c r="M64" s="63"/>
      <c r="N64" s="63"/>
      <c r="O64" s="63"/>
      <c r="P64" s="63"/>
      <c r="Q64" s="63"/>
      <c r="R64" s="63"/>
      <c r="S64" s="63">
        <v>-6.3128842627624397</v>
      </c>
      <c r="U64" s="64"/>
    </row>
    <row r="65" spans="3:21" s="51" customFormat="1" x14ac:dyDescent="0.25">
      <c r="C65" s="175" t="s">
        <v>64</v>
      </c>
      <c r="D65" s="62"/>
      <c r="E65" s="62"/>
      <c r="F65" s="62"/>
      <c r="G65" s="62"/>
      <c r="H65" s="63"/>
      <c r="I65" s="63"/>
      <c r="J65" s="63"/>
      <c r="K65" s="63"/>
      <c r="L65" s="63"/>
      <c r="M65" s="63"/>
      <c r="N65" s="63"/>
      <c r="O65" s="63"/>
      <c r="P65" s="63"/>
      <c r="Q65" s="63"/>
      <c r="R65" s="63"/>
      <c r="S65" s="63">
        <v>0</v>
      </c>
    </row>
    <row r="66" spans="3:21" s="51" customFormat="1" ht="15.75" x14ac:dyDescent="0.25">
      <c r="C66" s="176" t="s">
        <v>65</v>
      </c>
      <c r="D66" s="65">
        <v>6.0924579523016948</v>
      </c>
      <c r="E66" s="65">
        <v>48.6</v>
      </c>
      <c r="F66" s="65">
        <v>17.936610965818929</v>
      </c>
      <c r="G66" s="65">
        <v>36.728715601251487</v>
      </c>
      <c r="H66" s="65">
        <v>109.38183514566988</v>
      </c>
      <c r="I66" s="65">
        <v>10.318142734307823</v>
      </c>
      <c r="J66" s="65"/>
      <c r="K66" s="65"/>
      <c r="L66" s="65"/>
      <c r="M66" s="65"/>
      <c r="N66" s="65"/>
      <c r="O66" s="65">
        <v>22.084029136437174</v>
      </c>
      <c r="P66" s="65">
        <v>-4.5928786597159572</v>
      </c>
      <c r="Q66" s="65">
        <v>0</v>
      </c>
      <c r="R66" s="65"/>
      <c r="S66" s="65">
        <v>246.548912876071</v>
      </c>
      <c r="U66" s="55"/>
    </row>
    <row r="67" spans="3:21" s="51" customFormat="1" ht="15.75" x14ac:dyDescent="0.25">
      <c r="C67" s="57"/>
      <c r="D67" s="66"/>
      <c r="E67" s="66"/>
      <c r="F67" s="66"/>
      <c r="G67" s="66"/>
      <c r="H67" s="66"/>
      <c r="I67" s="66"/>
      <c r="J67" s="66"/>
      <c r="K67" s="66"/>
      <c r="L67" s="66"/>
      <c r="M67" s="66"/>
      <c r="N67" s="66"/>
      <c r="O67" s="66"/>
      <c r="P67" s="66"/>
      <c r="Q67" s="66"/>
      <c r="R67" s="66"/>
      <c r="S67" s="66"/>
    </row>
    <row r="68" spans="3:21" s="51" customFormat="1" x14ac:dyDescent="0.25">
      <c r="C68" s="175" t="s">
        <v>66</v>
      </c>
      <c r="D68" s="62"/>
      <c r="E68" s="62"/>
      <c r="F68" s="62"/>
      <c r="G68" s="62"/>
      <c r="H68" s="63"/>
      <c r="I68" s="63"/>
      <c r="J68" s="63"/>
      <c r="K68" s="63"/>
      <c r="L68" s="63"/>
      <c r="M68" s="63"/>
      <c r="N68" s="63"/>
      <c r="O68" s="63"/>
      <c r="P68" s="63"/>
      <c r="Q68" s="63"/>
      <c r="R68" s="63"/>
      <c r="S68" s="63">
        <v>0</v>
      </c>
    </row>
    <row r="69" spans="3:21" s="51" customFormat="1" x14ac:dyDescent="0.25">
      <c r="C69" s="175" t="s">
        <v>67</v>
      </c>
      <c r="D69" s="62"/>
      <c r="E69" s="62"/>
      <c r="F69" s="62"/>
      <c r="G69" s="62"/>
      <c r="H69" s="63"/>
      <c r="I69" s="63"/>
      <c r="J69" s="63"/>
      <c r="K69" s="63"/>
      <c r="L69" s="63"/>
      <c r="M69" s="63"/>
      <c r="N69" s="63"/>
      <c r="O69" s="62"/>
      <c r="P69" s="62"/>
      <c r="Q69" s="63"/>
      <c r="R69" s="63"/>
      <c r="S69" s="63">
        <v>0</v>
      </c>
    </row>
    <row r="70" spans="3:21" s="51" customFormat="1" x14ac:dyDescent="0.25">
      <c r="C70" s="175" t="s">
        <v>68</v>
      </c>
      <c r="D70" s="62">
        <v>2.56997984007758</v>
      </c>
      <c r="E70" s="62">
        <v>0</v>
      </c>
      <c r="F70" s="62"/>
      <c r="G70" s="62">
        <v>4.1842754045985986</v>
      </c>
      <c r="H70" s="63">
        <v>109.38183514566988</v>
      </c>
      <c r="I70" s="63">
        <v>10.318142734307823</v>
      </c>
      <c r="J70" s="63"/>
      <c r="K70" s="63"/>
      <c r="L70" s="63"/>
      <c r="M70" s="63"/>
      <c r="N70" s="63"/>
      <c r="O70" s="62">
        <v>2.7631806275096813</v>
      </c>
      <c r="P70" s="62">
        <v>-48.340599999999995</v>
      </c>
      <c r="Q70" s="63"/>
      <c r="R70" s="63"/>
      <c r="S70" s="63">
        <v>80.876813752163571</v>
      </c>
    </row>
    <row r="71" spans="3:21" s="51" customFormat="1" x14ac:dyDescent="0.25">
      <c r="C71" s="175" t="s">
        <v>69</v>
      </c>
      <c r="D71" s="62"/>
      <c r="E71" s="62"/>
      <c r="F71" s="62"/>
      <c r="G71" s="62"/>
      <c r="H71" s="63"/>
      <c r="I71" s="63"/>
      <c r="J71" s="63"/>
      <c r="K71" s="63"/>
      <c r="L71" s="63"/>
      <c r="M71" s="63"/>
      <c r="N71" s="63"/>
      <c r="O71" s="62"/>
      <c r="P71" s="62"/>
      <c r="Q71" s="63"/>
      <c r="R71" s="63"/>
      <c r="S71" s="63">
        <v>0</v>
      </c>
    </row>
    <row r="72" spans="3:21" s="51" customFormat="1" x14ac:dyDescent="0.25">
      <c r="C72" s="175" t="s">
        <v>70</v>
      </c>
      <c r="D72" s="62">
        <v>0.23610978878389122</v>
      </c>
      <c r="E72" s="62"/>
      <c r="F72" s="62">
        <v>4.4938385611804459E-2</v>
      </c>
      <c r="G72" s="62">
        <v>1.5659570450451636</v>
      </c>
      <c r="H72" s="63"/>
      <c r="I72" s="63"/>
      <c r="J72" s="63"/>
      <c r="K72" s="63"/>
      <c r="L72" s="63"/>
      <c r="M72" s="63"/>
      <c r="N72" s="63"/>
      <c r="O72" s="62">
        <v>2.6132241323505561</v>
      </c>
      <c r="P72" s="62"/>
      <c r="Q72" s="63">
        <v>-4.0575435552405965</v>
      </c>
      <c r="R72" s="63"/>
      <c r="S72" s="63">
        <v>0.40268579655081904</v>
      </c>
    </row>
    <row r="73" spans="3:21" s="51" customFormat="1" x14ac:dyDescent="0.25">
      <c r="C73" s="175" t="s">
        <v>71</v>
      </c>
      <c r="D73" s="62"/>
      <c r="E73" s="62"/>
      <c r="F73" s="62"/>
      <c r="G73" s="62">
        <v>-0.74956562451533659</v>
      </c>
      <c r="H73" s="63"/>
      <c r="I73" s="63"/>
      <c r="J73" s="63"/>
      <c r="K73" s="63"/>
      <c r="L73" s="63"/>
      <c r="M73" s="63"/>
      <c r="N73" s="63"/>
      <c r="O73" s="62">
        <v>0.93695703064417069</v>
      </c>
      <c r="P73" s="62"/>
      <c r="Q73" s="63"/>
      <c r="R73" s="63"/>
      <c r="S73" s="63">
        <v>0.18739140612883409</v>
      </c>
    </row>
    <row r="74" spans="3:21" s="51" customFormat="1" x14ac:dyDescent="0.25">
      <c r="C74" s="175" t="s">
        <v>72</v>
      </c>
      <c r="D74" s="62"/>
      <c r="E74" s="62">
        <v>48.6</v>
      </c>
      <c r="F74" s="62">
        <v>-46.5</v>
      </c>
      <c r="G74" s="62">
        <v>0.50416821869521233</v>
      </c>
      <c r="H74" s="63"/>
      <c r="I74" s="63"/>
      <c r="J74" s="63"/>
      <c r="K74" s="63"/>
      <c r="L74" s="63"/>
      <c r="M74" s="63"/>
      <c r="N74" s="63"/>
      <c r="O74" s="62"/>
      <c r="P74" s="62"/>
      <c r="Q74" s="63"/>
      <c r="R74" s="63"/>
      <c r="S74" s="63">
        <v>2.6041682186952135</v>
      </c>
    </row>
    <row r="75" spans="3:21" s="51" customFormat="1" x14ac:dyDescent="0.25">
      <c r="C75" s="175" t="s">
        <v>73</v>
      </c>
      <c r="D75" s="62"/>
      <c r="E75" s="62"/>
      <c r="F75" s="62"/>
      <c r="G75" s="62"/>
      <c r="H75" s="63"/>
      <c r="I75" s="63"/>
      <c r="J75" s="63"/>
      <c r="K75" s="63"/>
      <c r="L75" s="63"/>
      <c r="M75" s="63"/>
      <c r="N75" s="63"/>
      <c r="O75" s="62"/>
      <c r="P75" s="62">
        <v>0</v>
      </c>
      <c r="Q75" s="63"/>
      <c r="R75" s="63">
        <v>0</v>
      </c>
      <c r="S75" s="63">
        <v>0</v>
      </c>
    </row>
    <row r="76" spans="3:21" s="51" customFormat="1" x14ac:dyDescent="0.25">
      <c r="C76" s="175" t="s">
        <v>74</v>
      </c>
      <c r="D76" s="62">
        <v>2.7441420256170312</v>
      </c>
      <c r="E76" s="62"/>
      <c r="F76" s="62"/>
      <c r="G76" s="62"/>
      <c r="H76" s="63"/>
      <c r="I76" s="63"/>
      <c r="J76" s="63"/>
      <c r="K76" s="63"/>
      <c r="L76" s="63"/>
      <c r="M76" s="63"/>
      <c r="N76" s="63"/>
      <c r="O76" s="62"/>
      <c r="P76" s="62"/>
      <c r="Q76" s="63"/>
      <c r="R76" s="63"/>
      <c r="S76" s="63">
        <v>2.7441420256170312</v>
      </c>
    </row>
    <row r="77" spans="3:21" s="51" customFormat="1" x14ac:dyDescent="0.25">
      <c r="C77" s="175" t="s">
        <v>75</v>
      </c>
      <c r="D77" s="62">
        <v>0</v>
      </c>
      <c r="E77" s="62"/>
      <c r="F77" s="62">
        <v>1.70001406904591</v>
      </c>
      <c r="G77" s="62">
        <v>1.2420767288044043</v>
      </c>
      <c r="H77" s="63"/>
      <c r="I77" s="63"/>
      <c r="J77" s="63"/>
      <c r="K77" s="63"/>
      <c r="L77" s="63"/>
      <c r="M77" s="63"/>
      <c r="N77" s="63"/>
      <c r="O77" s="62">
        <v>5.1017483519633131E-2</v>
      </c>
      <c r="P77" s="62">
        <v>2.4572470482821185</v>
      </c>
      <c r="Q77" s="63"/>
      <c r="R77" s="63"/>
      <c r="S77" s="63">
        <v>5.4503553296520657</v>
      </c>
    </row>
    <row r="78" spans="3:21" s="51" customFormat="1" x14ac:dyDescent="0.25">
      <c r="C78" s="175" t="s">
        <v>76</v>
      </c>
      <c r="D78" s="62"/>
      <c r="E78" s="62"/>
      <c r="F78" s="62"/>
      <c r="G78" s="62">
        <v>0.44732624375977414</v>
      </c>
      <c r="H78" s="63"/>
      <c r="I78" s="63"/>
      <c r="J78" s="63"/>
      <c r="K78" s="63"/>
      <c r="L78" s="63"/>
      <c r="M78" s="63"/>
      <c r="N78" s="63"/>
      <c r="O78" s="62"/>
      <c r="P78" s="62">
        <v>3.1333411601296381</v>
      </c>
      <c r="Q78" s="63">
        <v>0.84596568973356112</v>
      </c>
      <c r="R78" s="63"/>
      <c r="S78" s="63">
        <v>4.4266330936229732</v>
      </c>
    </row>
    <row r="79" spans="3:21" s="51" customFormat="1" ht="15.75" x14ac:dyDescent="0.25">
      <c r="C79" s="176" t="s">
        <v>77</v>
      </c>
      <c r="D79" s="65">
        <v>5.5502316544785026</v>
      </c>
      <c r="E79" s="65">
        <v>48.6</v>
      </c>
      <c r="F79" s="65">
        <v>-44.755047545342279</v>
      </c>
      <c r="G79" s="65">
        <v>7.1942380163878168</v>
      </c>
      <c r="H79" s="65">
        <v>109.38183514566988</v>
      </c>
      <c r="I79" s="65">
        <v>10.318142734307823</v>
      </c>
      <c r="J79" s="65"/>
      <c r="K79" s="65"/>
      <c r="L79" s="65"/>
      <c r="M79" s="65"/>
      <c r="N79" s="65"/>
      <c r="O79" s="65">
        <v>6.3643792740240412</v>
      </c>
      <c r="P79" s="65">
        <v>-42.750011791588236</v>
      </c>
      <c r="Q79" s="65">
        <v>-3.2115778655070355</v>
      </c>
      <c r="R79" s="65">
        <v>0</v>
      </c>
      <c r="S79" s="65">
        <v>96.692189622430504</v>
      </c>
    </row>
    <row r="80" spans="3:21" s="51" customFormat="1" ht="15.75" x14ac:dyDescent="0.25">
      <c r="C80" s="57"/>
      <c r="D80" s="66"/>
      <c r="E80" s="66"/>
      <c r="F80" s="66"/>
      <c r="G80" s="66"/>
      <c r="H80" s="66"/>
      <c r="I80" s="66"/>
      <c r="J80" s="66"/>
      <c r="K80" s="66"/>
      <c r="L80" s="66"/>
      <c r="M80" s="66"/>
      <c r="N80" s="66"/>
      <c r="O80" s="66"/>
      <c r="P80" s="66"/>
      <c r="Q80" s="66"/>
      <c r="R80" s="66"/>
      <c r="S80" s="66"/>
    </row>
    <row r="81" spans="3:24" s="51" customFormat="1" ht="15.75" x14ac:dyDescent="0.25">
      <c r="C81" s="178" t="s">
        <v>78</v>
      </c>
      <c r="D81" s="62">
        <v>0.32210674831575531</v>
      </c>
      <c r="E81" s="63"/>
      <c r="F81" s="62">
        <v>1.9299776400292732</v>
      </c>
      <c r="G81" s="62">
        <v>10.885100099493346</v>
      </c>
      <c r="H81" s="63"/>
      <c r="I81" s="63"/>
      <c r="J81" s="63"/>
      <c r="K81" s="63"/>
      <c r="L81" s="63"/>
      <c r="M81" s="63"/>
      <c r="N81" s="63"/>
      <c r="O81" s="62">
        <v>1.844034937757657</v>
      </c>
      <c r="P81" s="62">
        <v>10.072222086615001</v>
      </c>
      <c r="Q81" s="62">
        <v>1.1461133930541632</v>
      </c>
      <c r="R81" s="62"/>
      <c r="S81" s="63">
        <v>26.199554905265195</v>
      </c>
      <c r="T81" s="67"/>
      <c r="X81" s="67"/>
    </row>
    <row r="82" spans="3:24" s="51" customFormat="1" ht="15.75" x14ac:dyDescent="0.25">
      <c r="C82" s="178" t="s">
        <v>79</v>
      </c>
      <c r="D82" s="63"/>
      <c r="E82" s="63"/>
      <c r="F82" s="62">
        <v>38.438862637881712</v>
      </c>
      <c r="G82" s="62">
        <v>0.17718839974083389</v>
      </c>
      <c r="H82" s="63"/>
      <c r="I82" s="63"/>
      <c r="J82" s="63"/>
      <c r="K82" s="63"/>
      <c r="L82" s="63"/>
      <c r="M82" s="63"/>
      <c r="N82" s="63"/>
      <c r="O82" s="62">
        <v>3.0072968916095459</v>
      </c>
      <c r="P82" s="62">
        <v>1.2661303855523829</v>
      </c>
      <c r="Q82" s="62"/>
      <c r="R82" s="62"/>
      <c r="S82" s="63">
        <v>42.889478314784476</v>
      </c>
      <c r="T82" s="67"/>
      <c r="X82" s="67"/>
    </row>
    <row r="83" spans="3:24" s="51" customFormat="1" x14ac:dyDescent="0.25">
      <c r="C83" s="175" t="s">
        <v>80</v>
      </c>
      <c r="D83" s="62">
        <v>0</v>
      </c>
      <c r="E83" s="63"/>
      <c r="F83" s="62">
        <v>5.666777520480518</v>
      </c>
      <c r="G83" s="62">
        <v>11.041115748636887</v>
      </c>
      <c r="H83" s="63"/>
      <c r="I83" s="63"/>
      <c r="J83" s="63"/>
      <c r="K83" s="63"/>
      <c r="L83" s="63"/>
      <c r="M83" s="63"/>
      <c r="N83" s="63"/>
      <c r="O83" s="62">
        <v>9.2185082939483429</v>
      </c>
      <c r="P83" s="62">
        <v>13.00983683571549</v>
      </c>
      <c r="Q83" s="62">
        <v>1.289495245663796</v>
      </c>
      <c r="R83" s="62"/>
      <c r="S83" s="63">
        <v>40.225733644445036</v>
      </c>
      <c r="T83" s="67"/>
      <c r="X83" s="67"/>
    </row>
    <row r="84" spans="3:24" s="51" customFormat="1" x14ac:dyDescent="0.25">
      <c r="C84" s="175" t="s">
        <v>81</v>
      </c>
      <c r="D84" s="62">
        <v>0</v>
      </c>
      <c r="E84" s="63"/>
      <c r="F84" s="62">
        <v>1.9715966805851073</v>
      </c>
      <c r="G84" s="62">
        <v>6.057342656522982</v>
      </c>
      <c r="H84" s="63"/>
      <c r="I84" s="63"/>
      <c r="J84" s="63"/>
      <c r="K84" s="63"/>
      <c r="L84" s="63"/>
      <c r="M84" s="63"/>
      <c r="N84" s="63"/>
      <c r="O84" s="62">
        <v>1.4770309618520476</v>
      </c>
      <c r="P84" s="62">
        <v>13.031439326384481</v>
      </c>
      <c r="Q84" s="62">
        <v>0.76951555573569785</v>
      </c>
      <c r="R84" s="62"/>
      <c r="S84" s="63">
        <v>23.306925181080313</v>
      </c>
      <c r="T84" s="67"/>
      <c r="X84" s="67"/>
    </row>
    <row r="85" spans="3:24" s="51" customFormat="1" x14ac:dyDescent="0.25">
      <c r="C85" s="175" t="s">
        <v>82</v>
      </c>
      <c r="D85" s="62">
        <v>2.2137192704974398E-3</v>
      </c>
      <c r="E85" s="63"/>
      <c r="F85" s="62">
        <v>3.02362860179693</v>
      </c>
      <c r="G85" s="62">
        <v>0.345557554491078</v>
      </c>
      <c r="H85" s="63"/>
      <c r="I85" s="63"/>
      <c r="J85" s="63"/>
      <c r="K85" s="63"/>
      <c r="L85" s="63"/>
      <c r="M85" s="63"/>
      <c r="N85" s="63"/>
      <c r="O85" s="62">
        <v>0.172778777245539</v>
      </c>
      <c r="P85" s="62">
        <v>0.77750449760492502</v>
      </c>
      <c r="Q85" s="62">
        <v>6.4536710533781346E-3</v>
      </c>
      <c r="R85" s="62"/>
      <c r="S85" s="63">
        <v>4.3281368214623477</v>
      </c>
      <c r="T85" s="67"/>
      <c r="X85" s="67"/>
    </row>
    <row r="86" spans="3:24" s="51" customFormat="1" ht="15.75" x14ac:dyDescent="0.25">
      <c r="C86" s="176" t="s">
        <v>83</v>
      </c>
      <c r="D86" s="65">
        <v>0.32432046758625277</v>
      </c>
      <c r="E86" s="65">
        <v>0</v>
      </c>
      <c r="F86" s="65">
        <v>51.030843080773536</v>
      </c>
      <c r="G86" s="65">
        <v>28.506304458885129</v>
      </c>
      <c r="H86" s="65">
        <v>0</v>
      </c>
      <c r="I86" s="65">
        <v>0</v>
      </c>
      <c r="J86" s="65"/>
      <c r="K86" s="65"/>
      <c r="L86" s="65"/>
      <c r="M86" s="65"/>
      <c r="N86" s="65"/>
      <c r="O86" s="65">
        <v>15.719649862413132</v>
      </c>
      <c r="P86" s="65">
        <v>38.157133131872278</v>
      </c>
      <c r="Q86" s="65">
        <v>3.2115778655070355</v>
      </c>
      <c r="R86" s="65">
        <v>0</v>
      </c>
      <c r="S86" s="65">
        <v>136.94982886703738</v>
      </c>
    </row>
    <row r="87" spans="3:24" s="51" customFormat="1" x14ac:dyDescent="0.25">
      <c r="C87" s="175" t="s">
        <v>84</v>
      </c>
      <c r="D87" s="63">
        <v>0.21790583023693955</v>
      </c>
      <c r="E87" s="63"/>
      <c r="F87" s="68">
        <v>11.660815430387672</v>
      </c>
      <c r="G87" s="68">
        <v>1.0281731259785394</v>
      </c>
      <c r="H87" s="63"/>
      <c r="I87" s="63"/>
      <c r="J87" s="63"/>
      <c r="K87" s="63"/>
      <c r="L87" s="63"/>
      <c r="M87" s="63"/>
      <c r="N87" s="63"/>
      <c r="O87" s="63"/>
      <c r="P87" s="63"/>
      <c r="Q87" s="63"/>
      <c r="R87" s="63">
        <v>0</v>
      </c>
      <c r="S87" s="63">
        <v>12.906894386603149</v>
      </c>
    </row>
    <row r="88" spans="3:24" s="51" customFormat="1" ht="15.75" x14ac:dyDescent="0.25">
      <c r="C88" s="176" t="s">
        <v>85</v>
      </c>
      <c r="D88" s="65">
        <v>0.54222629782319232</v>
      </c>
      <c r="E88" s="65">
        <v>0</v>
      </c>
      <c r="F88" s="65">
        <v>62.691658511161208</v>
      </c>
      <c r="G88" s="65">
        <v>29.534477584863669</v>
      </c>
      <c r="H88" s="65">
        <v>0</v>
      </c>
      <c r="I88" s="65">
        <v>0</v>
      </c>
      <c r="J88" s="65"/>
      <c r="K88" s="65"/>
      <c r="L88" s="65"/>
      <c r="M88" s="65"/>
      <c r="N88" s="65"/>
      <c r="O88" s="65">
        <v>15.719649862413132</v>
      </c>
      <c r="P88" s="65">
        <v>38.157133131872278</v>
      </c>
      <c r="Q88" s="65">
        <v>3.2115778655070355</v>
      </c>
      <c r="R88" s="65"/>
      <c r="S88" s="65">
        <v>149.85672325364052</v>
      </c>
    </row>
    <row r="99" spans="3:19" s="51" customFormat="1" ht="15.75" x14ac:dyDescent="0.25">
      <c r="C99" s="59" t="s">
        <v>87</v>
      </c>
      <c r="D99" s="53"/>
      <c r="E99" s="53"/>
      <c r="F99" s="53"/>
      <c r="G99" s="53"/>
      <c r="H99" s="53"/>
      <c r="I99" s="54"/>
      <c r="J99" s="54"/>
      <c r="K99" s="54"/>
      <c r="L99" s="54"/>
      <c r="M99" s="54"/>
      <c r="N99" s="54"/>
      <c r="O99" s="53"/>
      <c r="P99" s="53"/>
      <c r="Q99" s="53"/>
      <c r="R99" s="53"/>
      <c r="S99" s="53"/>
    </row>
    <row r="102" spans="3:19" s="51" customFormat="1" ht="45" x14ac:dyDescent="0.25">
      <c r="C102" s="56" t="s">
        <v>51</v>
      </c>
      <c r="D102" s="174" t="s">
        <v>42</v>
      </c>
      <c r="E102" s="174" t="s">
        <v>52</v>
      </c>
      <c r="F102" s="174" t="s">
        <v>53</v>
      </c>
      <c r="G102" s="174" t="s">
        <v>54</v>
      </c>
      <c r="H102" s="174" t="s">
        <v>20</v>
      </c>
      <c r="I102" s="174" t="s">
        <v>55</v>
      </c>
      <c r="J102" s="174"/>
      <c r="K102" s="174"/>
      <c r="L102" s="174"/>
      <c r="M102" s="174"/>
      <c r="N102" s="174"/>
      <c r="O102" s="174" t="s">
        <v>56</v>
      </c>
      <c r="P102" s="174" t="s">
        <v>57</v>
      </c>
      <c r="Q102" s="174" t="s">
        <v>58</v>
      </c>
      <c r="R102" s="174" t="s">
        <v>31</v>
      </c>
      <c r="S102" s="174" t="s">
        <v>10</v>
      </c>
    </row>
    <row r="103" spans="3:19" s="51" customFormat="1" ht="15.75" x14ac:dyDescent="0.25">
      <c r="C103" s="60"/>
      <c r="D103" s="61"/>
      <c r="E103" s="61"/>
      <c r="F103" s="61"/>
      <c r="G103" s="61"/>
      <c r="H103" s="61"/>
      <c r="I103" s="61"/>
      <c r="J103" s="61"/>
      <c r="K103" s="61"/>
      <c r="L103" s="61"/>
      <c r="M103" s="61"/>
      <c r="N103" s="61"/>
      <c r="O103" s="61"/>
      <c r="P103" s="61"/>
      <c r="Q103" s="61"/>
      <c r="R103" s="61"/>
      <c r="S103" s="61"/>
    </row>
    <row r="104" spans="3:19" s="51" customFormat="1" x14ac:dyDescent="0.25">
      <c r="C104" s="175" t="s">
        <v>59</v>
      </c>
      <c r="D104" s="62">
        <v>0</v>
      </c>
      <c r="E104" s="62">
        <v>0.7</v>
      </c>
      <c r="F104" s="62">
        <v>0</v>
      </c>
      <c r="G104" s="62">
        <v>0.02</v>
      </c>
      <c r="H104" s="63">
        <v>103.91274338838639</v>
      </c>
      <c r="I104" s="63">
        <v>14.961306964746345</v>
      </c>
      <c r="J104" s="63"/>
      <c r="K104" s="63"/>
      <c r="L104" s="63"/>
      <c r="M104" s="63"/>
      <c r="N104" s="63"/>
      <c r="O104" s="62">
        <v>23.557057880608284</v>
      </c>
      <c r="P104" s="63"/>
      <c r="Q104" s="63"/>
      <c r="R104" s="63"/>
      <c r="S104" s="63">
        <v>143.15110823374101</v>
      </c>
    </row>
    <row r="105" spans="3:19" s="51" customFormat="1" x14ac:dyDescent="0.25">
      <c r="C105" s="175" t="s">
        <v>60</v>
      </c>
      <c r="D105" s="62">
        <v>2.6488212454034969</v>
      </c>
      <c r="E105" s="62">
        <v>47.0782111969732</v>
      </c>
      <c r="F105" s="62">
        <v>15.597678413553723</v>
      </c>
      <c r="G105" s="62">
        <v>32.40491197538708</v>
      </c>
      <c r="H105" s="63"/>
      <c r="I105" s="63"/>
      <c r="J105" s="63"/>
      <c r="K105" s="63"/>
      <c r="L105" s="63"/>
      <c r="M105" s="63"/>
      <c r="N105" s="63"/>
      <c r="O105" s="63">
        <v>1.6146683170390475</v>
      </c>
      <c r="P105" s="63">
        <v>0</v>
      </c>
      <c r="Q105" s="63"/>
      <c r="R105" s="63"/>
      <c r="S105" s="63">
        <v>99.344291148356547</v>
      </c>
    </row>
    <row r="106" spans="3:19" s="51" customFormat="1" x14ac:dyDescent="0.25">
      <c r="C106" s="175" t="s">
        <v>61</v>
      </c>
      <c r="D106" s="62">
        <v>0</v>
      </c>
      <c r="E106" s="62">
        <v>0</v>
      </c>
      <c r="F106" s="62">
        <v>0</v>
      </c>
      <c r="G106" s="62">
        <v>0</v>
      </c>
      <c r="H106" s="63"/>
      <c r="I106" s="63"/>
      <c r="J106" s="63"/>
      <c r="K106" s="63"/>
      <c r="L106" s="63"/>
      <c r="M106" s="63"/>
      <c r="N106" s="63"/>
      <c r="O106" s="62">
        <v>0</v>
      </c>
      <c r="P106" s="63">
        <v>-6.8529198133149265</v>
      </c>
      <c r="Q106" s="63"/>
      <c r="R106" s="63"/>
      <c r="S106" s="63">
        <v>-6.8529198133149265</v>
      </c>
    </row>
    <row r="107" spans="3:19" s="51" customFormat="1" x14ac:dyDescent="0.25">
      <c r="C107" s="175" t="s">
        <v>62</v>
      </c>
      <c r="D107" s="62"/>
      <c r="E107" s="62"/>
      <c r="F107" s="62">
        <v>-1.1000000000000001</v>
      </c>
      <c r="G107" s="62"/>
      <c r="H107" s="63"/>
      <c r="I107" s="63"/>
      <c r="J107" s="63"/>
      <c r="K107" s="63"/>
      <c r="L107" s="63"/>
      <c r="M107" s="63"/>
      <c r="N107" s="63"/>
      <c r="O107" s="62"/>
      <c r="P107" s="63"/>
      <c r="Q107" s="63"/>
      <c r="R107" s="63"/>
      <c r="S107" s="63">
        <v>-1.1000000000000001</v>
      </c>
    </row>
    <row r="108" spans="3:19" s="51" customFormat="1" x14ac:dyDescent="0.25">
      <c r="C108" s="175" t="s">
        <v>63</v>
      </c>
      <c r="D108" s="62"/>
      <c r="E108" s="62"/>
      <c r="F108" s="62">
        <v>-6.8007692346473698</v>
      </c>
      <c r="G108" s="62"/>
      <c r="H108" s="63"/>
      <c r="I108" s="63"/>
      <c r="J108" s="63"/>
      <c r="K108" s="63"/>
      <c r="L108" s="63"/>
      <c r="M108" s="63"/>
      <c r="N108" s="63"/>
      <c r="O108" s="63"/>
      <c r="P108" s="63"/>
      <c r="Q108" s="63"/>
      <c r="R108" s="63"/>
      <c r="S108" s="63">
        <v>-6.8007692346473698</v>
      </c>
    </row>
    <row r="109" spans="3:19" s="51" customFormat="1" x14ac:dyDescent="0.25">
      <c r="C109" s="175" t="s">
        <v>64</v>
      </c>
      <c r="D109" s="63"/>
      <c r="E109" s="63"/>
      <c r="F109" s="63"/>
      <c r="G109" s="63"/>
      <c r="H109" s="63"/>
      <c r="I109" s="63"/>
      <c r="J109" s="63"/>
      <c r="K109" s="63"/>
      <c r="L109" s="63"/>
      <c r="M109" s="63"/>
      <c r="N109" s="63"/>
      <c r="O109" s="63"/>
      <c r="P109" s="63"/>
      <c r="Q109" s="63"/>
      <c r="R109" s="63"/>
      <c r="S109" s="63">
        <v>0</v>
      </c>
    </row>
    <row r="110" spans="3:19" s="51" customFormat="1" ht="15.75" x14ac:dyDescent="0.25">
      <c r="C110" s="176" t="s">
        <v>65</v>
      </c>
      <c r="D110" s="65">
        <v>2.6488212454034969</v>
      </c>
      <c r="E110" s="65">
        <v>47.778211196973203</v>
      </c>
      <c r="F110" s="65">
        <v>7.6969091789063535</v>
      </c>
      <c r="G110" s="65">
        <v>32.424911975387083</v>
      </c>
      <c r="H110" s="65">
        <v>103.91274338838639</v>
      </c>
      <c r="I110" s="65">
        <v>14.961306964746345</v>
      </c>
      <c r="J110" s="65"/>
      <c r="K110" s="65"/>
      <c r="L110" s="65"/>
      <c r="M110" s="65"/>
      <c r="N110" s="65"/>
      <c r="O110" s="65">
        <v>25.171726197647331</v>
      </c>
      <c r="P110" s="65">
        <v>-6.8529198133149265</v>
      </c>
      <c r="Q110" s="65">
        <v>0</v>
      </c>
      <c r="R110" s="65">
        <v>0</v>
      </c>
      <c r="S110" s="65">
        <v>227.74171033413526</v>
      </c>
    </row>
    <row r="111" spans="3:19" s="51" customFormat="1" ht="15.75" x14ac:dyDescent="0.25">
      <c r="C111" s="57"/>
      <c r="D111" s="66"/>
      <c r="E111" s="66"/>
      <c r="F111" s="66"/>
      <c r="G111" s="66"/>
      <c r="H111" s="66"/>
      <c r="I111" s="66"/>
      <c r="J111" s="66"/>
      <c r="K111" s="66"/>
      <c r="L111" s="66"/>
      <c r="M111" s="66"/>
      <c r="N111" s="66"/>
      <c r="O111" s="66"/>
      <c r="P111" s="66"/>
      <c r="Q111" s="66"/>
      <c r="R111" s="66"/>
      <c r="S111" s="66"/>
    </row>
    <row r="112" spans="3:19" s="51" customFormat="1" x14ac:dyDescent="0.25">
      <c r="C112" s="175" t="s">
        <v>66</v>
      </c>
      <c r="D112" s="62"/>
      <c r="E112" s="62"/>
      <c r="F112" s="62"/>
      <c r="G112" s="62"/>
      <c r="H112" s="63"/>
      <c r="I112" s="63"/>
      <c r="J112" s="63"/>
      <c r="K112" s="63"/>
      <c r="L112" s="63"/>
      <c r="M112" s="63"/>
      <c r="N112" s="63"/>
      <c r="O112" s="63"/>
      <c r="P112" s="63"/>
      <c r="Q112" s="63"/>
      <c r="R112" s="63"/>
      <c r="S112" s="63">
        <v>0</v>
      </c>
    </row>
    <row r="113" spans="3:20" s="51" customFormat="1" x14ac:dyDescent="0.25">
      <c r="C113" s="175" t="s">
        <v>67</v>
      </c>
      <c r="D113" s="62"/>
      <c r="E113" s="62"/>
      <c r="F113" s="62"/>
      <c r="G113" s="62"/>
      <c r="H113" s="63"/>
      <c r="I113" s="63"/>
      <c r="J113" s="63"/>
      <c r="K113" s="63"/>
      <c r="L113" s="63"/>
      <c r="M113" s="63"/>
      <c r="N113" s="63"/>
      <c r="O113" s="62"/>
      <c r="P113" s="62"/>
      <c r="Q113" s="63"/>
      <c r="R113" s="63"/>
      <c r="S113" s="63">
        <v>0</v>
      </c>
    </row>
    <row r="114" spans="3:20" s="51" customFormat="1" x14ac:dyDescent="0.25">
      <c r="C114" s="175" t="s">
        <v>68</v>
      </c>
      <c r="D114" s="62">
        <v>0</v>
      </c>
      <c r="E114" s="62">
        <v>0</v>
      </c>
      <c r="F114" s="62"/>
      <c r="G114" s="62">
        <v>4.20632773002602</v>
      </c>
      <c r="H114" s="63">
        <v>103.91274338838639</v>
      </c>
      <c r="I114" s="63">
        <v>14.961306964746345</v>
      </c>
      <c r="J114" s="63"/>
      <c r="K114" s="63"/>
      <c r="L114" s="63"/>
      <c r="M114" s="63"/>
      <c r="N114" s="63"/>
      <c r="O114" s="62">
        <v>2.4180820758374684</v>
      </c>
      <c r="P114" s="62">
        <v>-50.696999999999996</v>
      </c>
      <c r="Q114" s="63"/>
      <c r="R114" s="63"/>
      <c r="S114" s="63">
        <v>74.801460158996235</v>
      </c>
    </row>
    <row r="115" spans="3:20" s="51" customFormat="1" x14ac:dyDescent="0.25">
      <c r="C115" s="175" t="s">
        <v>69</v>
      </c>
      <c r="D115" s="62"/>
      <c r="E115" s="62"/>
      <c r="F115" s="62"/>
      <c r="G115" s="62"/>
      <c r="H115" s="63"/>
      <c r="I115" s="63"/>
      <c r="J115" s="63"/>
      <c r="K115" s="63"/>
      <c r="L115" s="63"/>
      <c r="M115" s="63"/>
      <c r="N115" s="63"/>
      <c r="O115" s="62"/>
      <c r="P115" s="62"/>
      <c r="Q115" s="63"/>
      <c r="R115" s="63"/>
      <c r="S115" s="63">
        <v>0</v>
      </c>
    </row>
    <row r="116" spans="3:20" s="51" customFormat="1" x14ac:dyDescent="0.25">
      <c r="C116" s="175" t="s">
        <v>70</v>
      </c>
      <c r="D116" s="62">
        <v>5.3419770632032383E-2</v>
      </c>
      <c r="E116" s="62"/>
      <c r="F116" s="62">
        <v>0</v>
      </c>
      <c r="G116" s="62">
        <v>1.2147336798111752</v>
      </c>
      <c r="H116" s="63"/>
      <c r="I116" s="63"/>
      <c r="J116" s="63"/>
      <c r="K116" s="63"/>
      <c r="L116" s="63"/>
      <c r="M116" s="63"/>
      <c r="N116" s="63"/>
      <c r="O116" s="62">
        <v>3.3160878375169278</v>
      </c>
      <c r="P116" s="62"/>
      <c r="Q116" s="63">
        <v>-4.5900902111438011</v>
      </c>
      <c r="R116" s="63"/>
      <c r="S116" s="63">
        <v>-5.8489231836658107E-3</v>
      </c>
    </row>
    <row r="117" spans="3:20" s="51" customFormat="1" x14ac:dyDescent="0.25">
      <c r="C117" s="175" t="s">
        <v>71</v>
      </c>
      <c r="D117" s="62"/>
      <c r="E117" s="62"/>
      <c r="F117" s="62"/>
      <c r="G117" s="62">
        <v>-1.7065743144940571</v>
      </c>
      <c r="H117" s="63"/>
      <c r="I117" s="63"/>
      <c r="J117" s="63"/>
      <c r="K117" s="63"/>
      <c r="L117" s="63"/>
      <c r="M117" s="63"/>
      <c r="N117" s="63"/>
      <c r="O117" s="62">
        <v>2.1332178931175712</v>
      </c>
      <c r="P117" s="62"/>
      <c r="Q117" s="63"/>
      <c r="R117" s="63"/>
      <c r="S117" s="63">
        <v>0.4266435786235141</v>
      </c>
    </row>
    <row r="118" spans="3:20" s="51" customFormat="1" x14ac:dyDescent="0.25">
      <c r="C118" s="175" t="s">
        <v>72</v>
      </c>
      <c r="D118" s="62"/>
      <c r="E118" s="62">
        <v>47.778211196973203</v>
      </c>
      <c r="F118" s="62">
        <v>-46.473309251920703</v>
      </c>
      <c r="G118" s="62">
        <v>0.42321213691880566</v>
      </c>
      <c r="H118" s="63"/>
      <c r="I118" s="63"/>
      <c r="J118" s="63"/>
      <c r="K118" s="63"/>
      <c r="L118" s="63"/>
      <c r="M118" s="63"/>
      <c r="N118" s="63"/>
      <c r="O118" s="62"/>
      <c r="P118" s="62"/>
      <c r="Q118" s="63"/>
      <c r="R118" s="63"/>
      <c r="S118" s="63">
        <v>1.728114081971305</v>
      </c>
    </row>
    <row r="119" spans="3:20" s="51" customFormat="1" x14ac:dyDescent="0.25">
      <c r="C119" s="175" t="s">
        <v>73</v>
      </c>
      <c r="D119" s="62"/>
      <c r="E119" s="62"/>
      <c r="F119" s="62"/>
      <c r="G119" s="62"/>
      <c r="H119" s="63"/>
      <c r="I119" s="63"/>
      <c r="J119" s="63"/>
      <c r="K119" s="63"/>
      <c r="L119" s="63"/>
      <c r="M119" s="63"/>
      <c r="N119" s="63"/>
      <c r="O119" s="62"/>
      <c r="P119" s="62">
        <v>0.53740326741186584</v>
      </c>
      <c r="Q119" s="63"/>
      <c r="R119" s="63">
        <v>-0.42992261392949266</v>
      </c>
      <c r="S119" s="63">
        <v>0.10748065348237318</v>
      </c>
    </row>
    <row r="120" spans="3:20" s="51" customFormat="1" x14ac:dyDescent="0.25">
      <c r="C120" s="175" t="s">
        <v>74</v>
      </c>
      <c r="D120" s="62">
        <v>2.4786780164701674</v>
      </c>
      <c r="E120" s="62"/>
      <c r="F120" s="62"/>
      <c r="G120" s="188">
        <v>0</v>
      </c>
      <c r="H120" s="63"/>
      <c r="I120" s="63"/>
      <c r="J120" s="63"/>
      <c r="K120" s="63"/>
      <c r="L120" s="63"/>
      <c r="M120" s="63"/>
      <c r="N120" s="63"/>
      <c r="O120" s="62"/>
      <c r="P120" s="69">
        <v>-3.4393809114359415E-2</v>
      </c>
      <c r="Q120" s="63"/>
      <c r="R120" s="74">
        <v>4.2992261392949267E-2</v>
      </c>
      <c r="S120" s="63">
        <v>2.4872764687487572</v>
      </c>
    </row>
    <row r="121" spans="3:20" s="51" customFormat="1" x14ac:dyDescent="0.25">
      <c r="C121" s="175" t="s">
        <v>75</v>
      </c>
      <c r="D121" s="62">
        <v>0</v>
      </c>
      <c r="E121" s="62"/>
      <c r="F121" s="62">
        <v>1.0782</v>
      </c>
      <c r="G121" s="62">
        <v>1.2420767288044043</v>
      </c>
      <c r="H121" s="63"/>
      <c r="I121" s="63"/>
      <c r="J121" s="63"/>
      <c r="K121" s="63"/>
      <c r="L121" s="63"/>
      <c r="M121" s="63"/>
      <c r="N121" s="63"/>
      <c r="O121" s="62">
        <v>5.1017483519633131E-2</v>
      </c>
      <c r="P121" s="62">
        <v>2.3564918314703358</v>
      </c>
      <c r="Q121" s="63"/>
      <c r="R121" s="63"/>
      <c r="S121" s="63">
        <v>4.7277860437943726</v>
      </c>
    </row>
    <row r="122" spans="3:20" s="51" customFormat="1" x14ac:dyDescent="0.25">
      <c r="C122" s="175" t="s">
        <v>76</v>
      </c>
      <c r="D122" s="62"/>
      <c r="E122" s="62"/>
      <c r="F122" s="62"/>
      <c r="G122" s="62">
        <v>0.40459209271542057</v>
      </c>
      <c r="H122" s="63"/>
      <c r="I122" s="63"/>
      <c r="J122" s="63"/>
      <c r="K122" s="63"/>
      <c r="L122" s="63"/>
      <c r="M122" s="63"/>
      <c r="N122" s="63"/>
      <c r="O122" s="62"/>
      <c r="P122" s="62">
        <v>3.2860783026088267</v>
      </c>
      <c r="Q122" s="63">
        <v>0.95699744896004757</v>
      </c>
      <c r="R122" s="63"/>
      <c r="S122" s="63">
        <v>4.6476678442842951</v>
      </c>
    </row>
    <row r="123" spans="3:20" s="51" customFormat="1" ht="15.75" x14ac:dyDescent="0.25">
      <c r="C123" s="176" t="s">
        <v>77</v>
      </c>
      <c r="D123" s="65">
        <v>2.5320977871021997</v>
      </c>
      <c r="E123" s="65">
        <v>47.778211196973203</v>
      </c>
      <c r="F123" s="65">
        <v>-45.395109251920701</v>
      </c>
      <c r="G123" s="65">
        <v>5.7843680537817681</v>
      </c>
      <c r="H123" s="65">
        <v>103.91274338838639</v>
      </c>
      <c r="I123" s="65">
        <v>14.961306964746345</v>
      </c>
      <c r="J123" s="65"/>
      <c r="K123" s="65"/>
      <c r="L123" s="65"/>
      <c r="M123" s="65"/>
      <c r="N123" s="65"/>
      <c r="O123" s="65">
        <v>7.9184052899916004</v>
      </c>
      <c r="P123" s="65">
        <v>-44.551420407623326</v>
      </c>
      <c r="Q123" s="65">
        <v>-3.6330927621837534</v>
      </c>
      <c r="R123" s="65">
        <v>-0.3869303525365434</v>
      </c>
      <c r="S123" s="65">
        <v>88.92057990671718</v>
      </c>
    </row>
    <row r="124" spans="3:20" s="51" customFormat="1" ht="15.75" x14ac:dyDescent="0.25">
      <c r="C124" s="57"/>
      <c r="D124" s="66"/>
      <c r="E124" s="66"/>
      <c r="F124" s="66"/>
      <c r="G124" s="66"/>
      <c r="H124" s="66"/>
      <c r="I124" s="66"/>
      <c r="J124" s="66"/>
      <c r="K124" s="66"/>
      <c r="L124" s="66"/>
      <c r="M124" s="66"/>
      <c r="N124" s="66"/>
      <c r="O124" s="66"/>
      <c r="P124" s="66"/>
      <c r="Q124" s="66"/>
      <c r="R124" s="66"/>
      <c r="S124" s="66"/>
    </row>
    <row r="125" spans="3:20" s="51" customFormat="1" ht="15.75" x14ac:dyDescent="0.25">
      <c r="C125" s="178" t="s">
        <v>78</v>
      </c>
      <c r="D125" s="62">
        <v>0</v>
      </c>
      <c r="E125" s="63"/>
      <c r="F125" s="62">
        <v>1.4729206178416236</v>
      </c>
      <c r="G125" s="62">
        <v>10.500396800049039</v>
      </c>
      <c r="H125" s="63"/>
      <c r="I125" s="63"/>
      <c r="J125" s="63"/>
      <c r="K125" s="63"/>
      <c r="L125" s="63"/>
      <c r="M125" s="63"/>
      <c r="N125" s="63"/>
      <c r="O125" s="62">
        <v>2.2533883417615286</v>
      </c>
      <c r="P125" s="62">
        <v>9.9189000147829578</v>
      </c>
      <c r="Q125" s="62">
        <v>1.0888044989932395</v>
      </c>
      <c r="R125" s="62"/>
      <c r="S125" s="63">
        <v>25.234410273428388</v>
      </c>
      <c r="T125" s="67"/>
    </row>
    <row r="126" spans="3:20" s="51" customFormat="1" ht="15.75" x14ac:dyDescent="0.25">
      <c r="C126" s="178" t="s">
        <v>79</v>
      </c>
      <c r="D126" s="63"/>
      <c r="E126" s="63"/>
      <c r="F126" s="62">
        <v>33.467243817501647</v>
      </c>
      <c r="G126" s="62">
        <v>0.45902890397400081</v>
      </c>
      <c r="H126" s="63"/>
      <c r="I126" s="63"/>
      <c r="J126" s="63"/>
      <c r="K126" s="63"/>
      <c r="L126" s="63"/>
      <c r="M126" s="63"/>
      <c r="N126" s="63"/>
      <c r="O126" s="62">
        <v>3.0649318006802346</v>
      </c>
      <c r="P126" s="62">
        <v>2.1184928132217893</v>
      </c>
      <c r="Q126" s="62"/>
      <c r="R126" s="70">
        <v>0</v>
      </c>
      <c r="S126" s="63">
        <v>39.109697335377675</v>
      </c>
      <c r="T126" s="67"/>
    </row>
    <row r="127" spans="3:20" s="51" customFormat="1" x14ac:dyDescent="0.25">
      <c r="C127" s="175" t="s">
        <v>80</v>
      </c>
      <c r="D127" s="62">
        <v>0</v>
      </c>
      <c r="E127" s="63"/>
      <c r="F127" s="62">
        <v>3.9393678084627735</v>
      </c>
      <c r="G127" s="62">
        <v>9.6715864226456425</v>
      </c>
      <c r="H127" s="63"/>
      <c r="I127" s="63"/>
      <c r="J127" s="63"/>
      <c r="K127" s="63"/>
      <c r="L127" s="63"/>
      <c r="M127" s="63"/>
      <c r="N127" s="63"/>
      <c r="O127" s="62">
        <v>9.5694574161932415</v>
      </c>
      <c r="P127" s="62">
        <v>12.545996400325794</v>
      </c>
      <c r="Q127" s="62">
        <v>1.7548492723748692</v>
      </c>
      <c r="R127" s="62"/>
      <c r="S127" s="63">
        <v>37.481257320002321</v>
      </c>
      <c r="T127" s="67"/>
    </row>
    <row r="128" spans="3:20" s="51" customFormat="1" x14ac:dyDescent="0.25">
      <c r="C128" s="175" t="s">
        <v>81</v>
      </c>
      <c r="D128" s="62">
        <v>0</v>
      </c>
      <c r="E128" s="63"/>
      <c r="F128" s="62">
        <v>1.2037428576368416</v>
      </c>
      <c r="G128" s="62">
        <v>4.7420165632308739</v>
      </c>
      <c r="H128" s="63"/>
      <c r="I128" s="63"/>
      <c r="J128" s="63"/>
      <c r="K128" s="63"/>
      <c r="L128" s="63"/>
      <c r="M128" s="63"/>
      <c r="N128" s="63"/>
      <c r="O128" s="62">
        <v>2.1255433490207265</v>
      </c>
      <c r="P128" s="62">
        <v>12.383405198063125</v>
      </c>
      <c r="Q128" s="62">
        <v>0.78298531976226649</v>
      </c>
      <c r="R128" s="62"/>
      <c r="S128" s="63">
        <v>21.237693287713832</v>
      </c>
      <c r="T128" s="67"/>
    </row>
    <row r="129" spans="3:20" s="51" customFormat="1" x14ac:dyDescent="0.25">
      <c r="C129" s="175" t="s">
        <v>82</v>
      </c>
      <c r="D129" s="62">
        <v>2.2137192704974398E-3</v>
      </c>
      <c r="E129" s="63"/>
      <c r="F129" s="62">
        <v>2.65</v>
      </c>
      <c r="G129" s="62">
        <v>0.41</v>
      </c>
      <c r="H129" s="63"/>
      <c r="I129" s="63"/>
      <c r="J129" s="63"/>
      <c r="K129" s="63"/>
      <c r="L129" s="63"/>
      <c r="M129" s="63"/>
      <c r="N129" s="63"/>
      <c r="O129" s="62">
        <v>0.24</v>
      </c>
      <c r="P129" s="62">
        <v>0.73170616791472998</v>
      </c>
      <c r="Q129" s="62">
        <v>6.4536710533781346E-3</v>
      </c>
      <c r="R129" s="62"/>
      <c r="S129" s="63">
        <v>4.0403735582386053</v>
      </c>
      <c r="T129" s="67"/>
    </row>
    <row r="130" spans="3:20" s="51" customFormat="1" ht="15.75" x14ac:dyDescent="0.25">
      <c r="C130" s="176" t="s">
        <v>83</v>
      </c>
      <c r="D130" s="65">
        <v>2.2137192704974398E-3</v>
      </c>
      <c r="E130" s="65">
        <v>0</v>
      </c>
      <c r="F130" s="65">
        <v>42.733275101442885</v>
      </c>
      <c r="G130" s="65">
        <v>25.783028689899556</v>
      </c>
      <c r="H130" s="65">
        <v>0</v>
      </c>
      <c r="I130" s="65">
        <v>0</v>
      </c>
      <c r="J130" s="65"/>
      <c r="K130" s="65"/>
      <c r="L130" s="65"/>
      <c r="M130" s="65"/>
      <c r="N130" s="65"/>
      <c r="O130" s="65">
        <v>17.253320907655731</v>
      </c>
      <c r="P130" s="65">
        <v>37.698500594308399</v>
      </c>
      <c r="Q130" s="65">
        <v>3.6330927621837534</v>
      </c>
      <c r="R130" s="65">
        <v>0</v>
      </c>
      <c r="S130" s="65">
        <v>127.10343177476082</v>
      </c>
    </row>
    <row r="131" spans="3:20" s="51" customFormat="1" x14ac:dyDescent="0.25">
      <c r="C131" s="175" t="s">
        <v>84</v>
      </c>
      <c r="D131" s="63">
        <v>0.11450973903079993</v>
      </c>
      <c r="E131" s="63"/>
      <c r="F131" s="68">
        <v>10.358743329384168</v>
      </c>
      <c r="G131" s="68">
        <v>0.8575152317057565</v>
      </c>
      <c r="H131" s="63"/>
      <c r="I131" s="63"/>
      <c r="J131" s="63"/>
      <c r="K131" s="63"/>
      <c r="L131" s="63"/>
      <c r="M131" s="63"/>
      <c r="N131" s="63"/>
      <c r="O131" s="63"/>
      <c r="P131" s="63"/>
      <c r="Q131" s="63"/>
      <c r="R131" s="63">
        <v>0.3869303525365434</v>
      </c>
      <c r="S131" s="63">
        <v>11.717698652657267</v>
      </c>
    </row>
    <row r="132" spans="3:20" s="51" customFormat="1" ht="15.75" x14ac:dyDescent="0.25">
      <c r="C132" s="176" t="s">
        <v>85</v>
      </c>
      <c r="D132" s="65">
        <v>0.11672345830129738</v>
      </c>
      <c r="E132" s="65">
        <v>0</v>
      </c>
      <c r="F132" s="65">
        <v>53.092018430827054</v>
      </c>
      <c r="G132" s="65">
        <v>26.640543921605314</v>
      </c>
      <c r="H132" s="65">
        <v>0</v>
      </c>
      <c r="I132" s="65">
        <v>0</v>
      </c>
      <c r="J132" s="65"/>
      <c r="K132" s="65"/>
      <c r="L132" s="65"/>
      <c r="M132" s="65"/>
      <c r="N132" s="65"/>
      <c r="O132" s="65">
        <v>17.253320907655731</v>
      </c>
      <c r="P132" s="65">
        <v>37.698500594308399</v>
      </c>
      <c r="Q132" s="65">
        <v>3.6330927621837534</v>
      </c>
      <c r="R132" s="65">
        <v>0.3869303525365434</v>
      </c>
      <c r="S132" s="65">
        <v>138.8211304274181</v>
      </c>
    </row>
    <row r="143" spans="3:20" s="51" customFormat="1" ht="15.75" x14ac:dyDescent="0.25">
      <c r="C143" s="59" t="s">
        <v>88</v>
      </c>
      <c r="D143" s="53"/>
      <c r="E143" s="53"/>
      <c r="F143" s="53"/>
      <c r="G143" s="53"/>
      <c r="H143" s="53"/>
      <c r="I143" s="54"/>
      <c r="J143" s="54"/>
      <c r="K143" s="54"/>
      <c r="L143" s="54"/>
      <c r="M143" s="54"/>
      <c r="N143" s="54"/>
      <c r="O143" s="53"/>
      <c r="P143" s="53"/>
      <c r="Q143" s="53"/>
      <c r="R143" s="53"/>
      <c r="S143" s="53"/>
    </row>
    <row r="146" spans="3:19" s="51" customFormat="1" ht="45" x14ac:dyDescent="0.25">
      <c r="C146" s="56" t="s">
        <v>51</v>
      </c>
      <c r="D146" s="174" t="s">
        <v>42</v>
      </c>
      <c r="E146" s="174" t="s">
        <v>52</v>
      </c>
      <c r="F146" s="174" t="s">
        <v>53</v>
      </c>
      <c r="G146" s="174" t="s">
        <v>54</v>
      </c>
      <c r="H146" s="174" t="s">
        <v>20</v>
      </c>
      <c r="I146" s="174" t="s">
        <v>55</v>
      </c>
      <c r="J146" s="174"/>
      <c r="K146" s="174"/>
      <c r="L146" s="174"/>
      <c r="M146" s="174"/>
      <c r="N146" s="174"/>
      <c r="O146" s="174" t="s">
        <v>56</v>
      </c>
      <c r="P146" s="174" t="s">
        <v>57</v>
      </c>
      <c r="Q146" s="174" t="s">
        <v>58</v>
      </c>
      <c r="R146" s="174" t="s">
        <v>31</v>
      </c>
      <c r="S146" s="174" t="s">
        <v>10</v>
      </c>
    </row>
    <row r="147" spans="3:19" s="51" customFormat="1" ht="15.75" x14ac:dyDescent="0.25">
      <c r="C147" s="60"/>
      <c r="D147" s="61"/>
      <c r="E147" s="61"/>
      <c r="F147" s="61"/>
      <c r="G147" s="61"/>
      <c r="H147" s="61"/>
      <c r="I147" s="61"/>
      <c r="J147" s="61"/>
      <c r="K147" s="61"/>
      <c r="L147" s="61"/>
      <c r="M147" s="61"/>
      <c r="N147" s="61"/>
      <c r="O147" s="61"/>
      <c r="P147" s="61"/>
      <c r="Q147" s="61"/>
      <c r="R147" s="61"/>
      <c r="S147" s="61"/>
    </row>
    <row r="148" spans="3:19" s="51" customFormat="1" x14ac:dyDescent="0.25">
      <c r="C148" s="175" t="s">
        <v>59</v>
      </c>
      <c r="D148" s="62">
        <v>0</v>
      </c>
      <c r="E148" s="62">
        <v>0.6</v>
      </c>
      <c r="F148" s="62">
        <v>0</v>
      </c>
      <c r="G148" s="62">
        <v>0.01</v>
      </c>
      <c r="H148" s="63">
        <v>87.505468116535909</v>
      </c>
      <c r="I148" s="63">
        <v>19.604471195184864</v>
      </c>
      <c r="J148" s="63"/>
      <c r="K148" s="63"/>
      <c r="L148" s="63"/>
      <c r="M148" s="63"/>
      <c r="N148" s="63"/>
      <c r="O148" s="62">
        <v>27.652813608001015</v>
      </c>
      <c r="P148" s="63"/>
      <c r="Q148" s="63"/>
      <c r="R148" s="63"/>
      <c r="S148" s="63">
        <v>135.37275291972179</v>
      </c>
    </row>
    <row r="149" spans="3:19" s="51" customFormat="1" x14ac:dyDescent="0.25">
      <c r="C149" s="175" t="s">
        <v>60</v>
      </c>
      <c r="D149" s="62">
        <v>2.1426447253399448</v>
      </c>
      <c r="E149" s="62">
        <v>40.135568603962227</v>
      </c>
      <c r="F149" s="62">
        <v>11.603738828489348</v>
      </c>
      <c r="G149" s="62">
        <v>27.110364556531959</v>
      </c>
      <c r="H149" s="63"/>
      <c r="I149" s="63"/>
      <c r="J149" s="63"/>
      <c r="K149" s="63"/>
      <c r="L149" s="63"/>
      <c r="M149" s="63"/>
      <c r="N149" s="63"/>
      <c r="O149" s="63">
        <v>1.1840600232316554</v>
      </c>
      <c r="P149" s="63">
        <v>0</v>
      </c>
      <c r="Q149" s="63"/>
      <c r="R149" s="63"/>
      <c r="S149" s="63">
        <v>82.176376737555131</v>
      </c>
    </row>
    <row r="150" spans="3:19" s="51" customFormat="1" x14ac:dyDescent="0.25">
      <c r="C150" s="175" t="s">
        <v>61</v>
      </c>
      <c r="D150" s="71">
        <v>0</v>
      </c>
      <c r="E150" s="71">
        <v>0</v>
      </c>
      <c r="F150" s="62">
        <v>0</v>
      </c>
      <c r="G150" s="71">
        <v>0</v>
      </c>
      <c r="H150" s="63"/>
      <c r="I150" s="63"/>
      <c r="J150" s="63"/>
      <c r="K150" s="63"/>
      <c r="L150" s="63"/>
      <c r="M150" s="63"/>
      <c r="N150" s="63"/>
      <c r="O150" s="71">
        <v>0</v>
      </c>
      <c r="P150" s="63">
        <v>-5.338388011490764</v>
      </c>
      <c r="Q150" s="63"/>
      <c r="R150" s="63"/>
      <c r="S150" s="63">
        <v>-5.338388011490764</v>
      </c>
    </row>
    <row r="151" spans="3:19" s="51" customFormat="1" x14ac:dyDescent="0.25">
      <c r="C151" s="175" t="s">
        <v>62</v>
      </c>
      <c r="D151" s="63"/>
      <c r="E151" s="63"/>
      <c r="F151" s="63">
        <v>-1.1000000000000001</v>
      </c>
      <c r="G151" s="63"/>
      <c r="H151" s="63"/>
      <c r="I151" s="63"/>
      <c r="J151" s="63"/>
      <c r="K151" s="63"/>
      <c r="L151" s="63"/>
      <c r="M151" s="63"/>
      <c r="N151" s="63"/>
      <c r="O151" s="63"/>
      <c r="P151" s="63"/>
      <c r="Q151" s="63"/>
      <c r="R151" s="63"/>
      <c r="S151" s="63">
        <v>-1.1000000000000001</v>
      </c>
    </row>
    <row r="152" spans="3:19" s="51" customFormat="1" x14ac:dyDescent="0.25">
      <c r="C152" s="175" t="s">
        <v>63</v>
      </c>
      <c r="D152" s="63"/>
      <c r="E152" s="63"/>
      <c r="F152" s="63">
        <v>-7.3263599105945998</v>
      </c>
      <c r="G152" s="63"/>
      <c r="H152" s="63"/>
      <c r="I152" s="63"/>
      <c r="J152" s="63"/>
      <c r="K152" s="63"/>
      <c r="L152" s="63"/>
      <c r="M152" s="63"/>
      <c r="N152" s="63"/>
      <c r="O152" s="63"/>
      <c r="P152" s="63"/>
      <c r="Q152" s="63"/>
      <c r="R152" s="63"/>
      <c r="S152" s="63">
        <v>-7.3263599105945998</v>
      </c>
    </row>
    <row r="153" spans="3:19" s="51" customFormat="1" x14ac:dyDescent="0.25">
      <c r="C153" s="175" t="s">
        <v>64</v>
      </c>
      <c r="D153" s="63"/>
      <c r="E153" s="63"/>
      <c r="F153" s="63"/>
      <c r="G153" s="63"/>
      <c r="H153" s="63"/>
      <c r="I153" s="63"/>
      <c r="J153" s="63"/>
      <c r="K153" s="63"/>
      <c r="L153" s="63"/>
      <c r="M153" s="63"/>
      <c r="N153" s="63"/>
      <c r="O153" s="63"/>
      <c r="P153" s="63"/>
      <c r="Q153" s="63"/>
      <c r="R153" s="63"/>
      <c r="S153" s="63">
        <v>0</v>
      </c>
    </row>
    <row r="154" spans="3:19" s="51" customFormat="1" ht="15.75" x14ac:dyDescent="0.25">
      <c r="C154" s="176" t="s">
        <v>65</v>
      </c>
      <c r="D154" s="72">
        <v>2.1426447253399448</v>
      </c>
      <c r="E154" s="72">
        <v>40.735568603962228</v>
      </c>
      <c r="F154" s="72">
        <v>3.1773789178947487</v>
      </c>
      <c r="G154" s="72">
        <v>27.12036455653196</v>
      </c>
      <c r="H154" s="72">
        <v>87.505468116535909</v>
      </c>
      <c r="I154" s="72">
        <v>19.604471195184864</v>
      </c>
      <c r="J154" s="72"/>
      <c r="K154" s="72"/>
      <c r="L154" s="72"/>
      <c r="M154" s="72"/>
      <c r="N154" s="72"/>
      <c r="O154" s="72">
        <v>28.83687363123267</v>
      </c>
      <c r="P154" s="72">
        <v>-5.338388011490764</v>
      </c>
      <c r="Q154" s="72">
        <v>0</v>
      </c>
      <c r="R154" s="72"/>
      <c r="S154" s="72">
        <v>203.78438173519157</v>
      </c>
    </row>
    <row r="155" spans="3:19" s="51" customFormat="1" ht="15.75" x14ac:dyDescent="0.25">
      <c r="C155" s="57"/>
      <c r="D155" s="73"/>
      <c r="E155" s="73"/>
      <c r="F155" s="73"/>
      <c r="G155" s="73"/>
      <c r="H155" s="73"/>
      <c r="I155" s="73"/>
      <c r="J155" s="73"/>
      <c r="K155" s="73"/>
      <c r="L155" s="73"/>
      <c r="M155" s="73"/>
      <c r="N155" s="73"/>
      <c r="O155" s="73"/>
      <c r="P155" s="73"/>
      <c r="Q155" s="73"/>
      <c r="R155" s="73"/>
      <c r="S155" s="73"/>
    </row>
    <row r="156" spans="3:19" s="51" customFormat="1" x14ac:dyDescent="0.25">
      <c r="C156" s="175" t="s">
        <v>66</v>
      </c>
      <c r="D156" s="63"/>
      <c r="E156" s="63"/>
      <c r="F156" s="63"/>
      <c r="G156" s="63"/>
      <c r="H156" s="63"/>
      <c r="I156" s="63"/>
      <c r="J156" s="63"/>
      <c r="K156" s="63"/>
      <c r="L156" s="63"/>
      <c r="M156" s="63"/>
      <c r="N156" s="63"/>
      <c r="O156" s="63"/>
      <c r="P156" s="63"/>
      <c r="Q156" s="63"/>
      <c r="R156" s="63"/>
      <c r="S156" s="63">
        <v>0</v>
      </c>
    </row>
    <row r="157" spans="3:19" s="51" customFormat="1" x14ac:dyDescent="0.25">
      <c r="C157" s="175" t="s">
        <v>67</v>
      </c>
      <c r="D157" s="62"/>
      <c r="E157" s="62"/>
      <c r="F157" s="62"/>
      <c r="G157" s="62"/>
      <c r="H157" s="63"/>
      <c r="I157" s="63"/>
      <c r="J157" s="63"/>
      <c r="K157" s="63"/>
      <c r="L157" s="63"/>
      <c r="M157" s="63"/>
      <c r="N157" s="63"/>
      <c r="O157" s="63"/>
      <c r="P157" s="63"/>
      <c r="Q157" s="63"/>
      <c r="R157" s="63"/>
      <c r="S157" s="63">
        <v>0</v>
      </c>
    </row>
    <row r="158" spans="3:19" s="51" customFormat="1" x14ac:dyDescent="0.25">
      <c r="C158" s="175" t="s">
        <v>68</v>
      </c>
      <c r="D158" s="62">
        <v>0</v>
      </c>
      <c r="E158" s="62">
        <v>0</v>
      </c>
      <c r="F158" s="62"/>
      <c r="G158" s="62">
        <v>4.0829815025015792</v>
      </c>
      <c r="H158" s="63">
        <v>87.505468116535909</v>
      </c>
      <c r="I158" s="63">
        <v>19.604471195184864</v>
      </c>
      <c r="J158" s="63"/>
      <c r="K158" s="63"/>
      <c r="L158" s="63"/>
      <c r="M158" s="63"/>
      <c r="N158" s="63"/>
      <c r="O158" s="62">
        <v>2.3645743766122096</v>
      </c>
      <c r="P158" s="62">
        <v>-50.266999999999996</v>
      </c>
      <c r="Q158" s="63"/>
      <c r="R158" s="63"/>
      <c r="S158" s="63">
        <v>63.290495190834577</v>
      </c>
    </row>
    <row r="159" spans="3:19" s="51" customFormat="1" x14ac:dyDescent="0.25">
      <c r="C159" s="175" t="s">
        <v>69</v>
      </c>
      <c r="D159" s="62"/>
      <c r="E159" s="62"/>
      <c r="F159" s="62"/>
      <c r="G159" s="62"/>
      <c r="H159" s="63"/>
      <c r="I159" s="63"/>
      <c r="J159" s="63"/>
      <c r="K159" s="63"/>
      <c r="L159" s="63"/>
      <c r="M159" s="63"/>
      <c r="N159" s="63"/>
      <c r="O159" s="62"/>
      <c r="P159" s="62"/>
      <c r="Q159" s="63"/>
      <c r="R159" s="63"/>
      <c r="S159" s="63">
        <v>0</v>
      </c>
    </row>
    <row r="160" spans="3:19" s="51" customFormat="1" x14ac:dyDescent="0.25">
      <c r="C160" s="175" t="s">
        <v>70</v>
      </c>
      <c r="D160" s="62">
        <v>0</v>
      </c>
      <c r="E160" s="62"/>
      <c r="F160" s="62">
        <v>0</v>
      </c>
      <c r="G160" s="62">
        <v>1.1033714738962501</v>
      </c>
      <c r="H160" s="63"/>
      <c r="I160" s="63"/>
      <c r="J160" s="63"/>
      <c r="K160" s="63"/>
      <c r="L160" s="63"/>
      <c r="M160" s="63"/>
      <c r="N160" s="63"/>
      <c r="O160" s="62">
        <v>3.4223564102833111</v>
      </c>
      <c r="P160" s="62"/>
      <c r="Q160" s="63">
        <v>-5.0031456465819746</v>
      </c>
      <c r="R160" s="63"/>
      <c r="S160" s="63">
        <v>-0.47741776240241318</v>
      </c>
    </row>
    <row r="161" spans="3:20" s="51" customFormat="1" x14ac:dyDescent="0.25">
      <c r="C161" s="175" t="s">
        <v>71</v>
      </c>
      <c r="D161" s="62"/>
      <c r="E161" s="62"/>
      <c r="F161" s="62"/>
      <c r="G161" s="62">
        <v>-3.0305707441718415</v>
      </c>
      <c r="H161" s="63"/>
      <c r="I161" s="63"/>
      <c r="J161" s="63"/>
      <c r="K161" s="63"/>
      <c r="L161" s="63"/>
      <c r="M161" s="63"/>
      <c r="N161" s="63"/>
      <c r="O161" s="62">
        <v>3.7882134302148018</v>
      </c>
      <c r="P161" s="62"/>
      <c r="Q161" s="63"/>
      <c r="R161" s="63"/>
      <c r="S161" s="63">
        <v>0.75764268604296037</v>
      </c>
    </row>
    <row r="162" spans="3:20" s="51" customFormat="1" x14ac:dyDescent="0.25">
      <c r="C162" s="175" t="s">
        <v>72</v>
      </c>
      <c r="D162" s="62"/>
      <c r="E162" s="62">
        <v>40.735568603962228</v>
      </c>
      <c r="F162" s="62">
        <v>-39.731196478800598</v>
      </c>
      <c r="G162" s="62">
        <v>0.33698049084305848</v>
      </c>
      <c r="H162" s="63"/>
      <c r="I162" s="63"/>
      <c r="J162" s="63"/>
      <c r="K162" s="63"/>
      <c r="L162" s="63"/>
      <c r="M162" s="63"/>
      <c r="N162" s="63"/>
      <c r="O162" s="62"/>
      <c r="P162" s="62"/>
      <c r="Q162" s="63"/>
      <c r="R162" s="63"/>
      <c r="S162" s="63">
        <v>1.3413526160046889</v>
      </c>
    </row>
    <row r="163" spans="3:20" s="51" customFormat="1" x14ac:dyDescent="0.25">
      <c r="C163" s="175" t="s">
        <v>73</v>
      </c>
      <c r="D163" s="62"/>
      <c r="E163" s="62"/>
      <c r="F163" s="62"/>
      <c r="G163" s="62"/>
      <c r="H163" s="63"/>
      <c r="I163" s="63"/>
      <c r="J163" s="63"/>
      <c r="K163" s="63"/>
      <c r="L163" s="63"/>
      <c r="M163" s="63"/>
      <c r="N163" s="63"/>
      <c r="O163" s="62"/>
      <c r="P163" s="62">
        <v>2.1496130696474633</v>
      </c>
      <c r="Q163" s="63"/>
      <c r="R163" s="63">
        <v>-1.7196904557179706</v>
      </c>
      <c r="S163" s="63">
        <v>0.42992261392949271</v>
      </c>
    </row>
    <row r="164" spans="3:20" s="51" customFormat="1" x14ac:dyDescent="0.25">
      <c r="C164" s="175" t="s">
        <v>74</v>
      </c>
      <c r="D164" s="62">
        <v>2.1404310060694471</v>
      </c>
      <c r="E164" s="62"/>
      <c r="F164" s="62"/>
      <c r="G164" s="69">
        <v>-0.15477214101461736</v>
      </c>
      <c r="H164" s="74"/>
      <c r="I164" s="74"/>
      <c r="J164" s="74"/>
      <c r="K164" s="74"/>
      <c r="L164" s="74"/>
      <c r="M164" s="74"/>
      <c r="N164" s="74"/>
      <c r="O164" s="69"/>
      <c r="P164" s="69">
        <v>-0.2063628546861565</v>
      </c>
      <c r="Q164" s="63"/>
      <c r="R164" s="74">
        <v>0.42992261392949271</v>
      </c>
      <c r="S164" s="63">
        <v>2.209218624298166</v>
      </c>
    </row>
    <row r="165" spans="3:20" s="51" customFormat="1" x14ac:dyDescent="0.25">
      <c r="C165" s="175" t="s">
        <v>75</v>
      </c>
      <c r="D165" s="62">
        <v>0</v>
      </c>
      <c r="E165" s="62"/>
      <c r="F165" s="62">
        <v>1.0782</v>
      </c>
      <c r="G165" s="62">
        <v>1.2420767288044043</v>
      </c>
      <c r="H165" s="63"/>
      <c r="I165" s="63"/>
      <c r="J165" s="63"/>
      <c r="K165" s="63"/>
      <c r="L165" s="63"/>
      <c r="M165" s="63"/>
      <c r="N165" s="63"/>
      <c r="O165" s="62">
        <v>5.1017483519633131E-2</v>
      </c>
      <c r="P165" s="62">
        <v>2.3520206362854692</v>
      </c>
      <c r="Q165" s="63"/>
      <c r="R165" s="63"/>
      <c r="S165" s="63">
        <v>4.7233148486095065</v>
      </c>
    </row>
    <row r="166" spans="3:20" s="51" customFormat="1" x14ac:dyDescent="0.25">
      <c r="C166" s="175" t="s">
        <v>76</v>
      </c>
      <c r="D166" s="62"/>
      <c r="E166" s="62"/>
      <c r="F166" s="62"/>
      <c r="G166" s="62">
        <v>0.3535258483957765</v>
      </c>
      <c r="H166" s="63"/>
      <c r="I166" s="63"/>
      <c r="J166" s="63"/>
      <c r="K166" s="63"/>
      <c r="L166" s="63"/>
      <c r="M166" s="63"/>
      <c r="N166" s="63"/>
      <c r="O166" s="62"/>
      <c r="P166" s="62">
        <v>3.2582065612805073</v>
      </c>
      <c r="Q166" s="63">
        <v>1.0431162352605265</v>
      </c>
      <c r="R166" s="63"/>
      <c r="S166" s="63">
        <v>4.6548486449368109</v>
      </c>
    </row>
    <row r="167" spans="3:20" s="51" customFormat="1" ht="15.75" x14ac:dyDescent="0.25">
      <c r="C167" s="176" t="s">
        <v>77</v>
      </c>
      <c r="D167" s="72">
        <v>2.1404310060694471</v>
      </c>
      <c r="E167" s="72">
        <v>40.735568603962228</v>
      </c>
      <c r="F167" s="72">
        <v>-38.652996478800596</v>
      </c>
      <c r="G167" s="72">
        <v>3.9335931592546101</v>
      </c>
      <c r="H167" s="72">
        <v>87.505468116535909</v>
      </c>
      <c r="I167" s="72">
        <v>19.604471195184864</v>
      </c>
      <c r="J167" s="72"/>
      <c r="K167" s="72"/>
      <c r="L167" s="72"/>
      <c r="M167" s="72"/>
      <c r="N167" s="72"/>
      <c r="O167" s="72">
        <v>9.6261617006299556</v>
      </c>
      <c r="P167" s="72">
        <v>-42.71352258747271</v>
      </c>
      <c r="Q167" s="72">
        <v>-3.960029411321448</v>
      </c>
      <c r="R167" s="65">
        <v>-1.2897678417884779</v>
      </c>
      <c r="S167" s="72">
        <v>76.929377462253782</v>
      </c>
    </row>
    <row r="168" spans="3:20" s="51" customFormat="1" ht="15.75" x14ac:dyDescent="0.25">
      <c r="C168" s="57"/>
      <c r="D168" s="73"/>
      <c r="E168" s="73"/>
      <c r="F168" s="73"/>
      <c r="G168" s="73"/>
      <c r="H168" s="73"/>
      <c r="I168" s="73"/>
      <c r="J168" s="73"/>
      <c r="K168" s="73"/>
      <c r="L168" s="73"/>
      <c r="M168" s="73"/>
      <c r="N168" s="73"/>
      <c r="O168" s="73"/>
      <c r="P168" s="73"/>
      <c r="Q168" s="73"/>
      <c r="R168" s="73"/>
      <c r="S168" s="73"/>
    </row>
    <row r="169" spans="3:20" s="51" customFormat="1" ht="15.75" x14ac:dyDescent="0.25">
      <c r="C169" s="178" t="s">
        <v>78</v>
      </c>
      <c r="D169" s="62">
        <v>0</v>
      </c>
      <c r="E169" s="63"/>
      <c r="F169" s="62">
        <v>0.91047471072988595</v>
      </c>
      <c r="G169" s="62">
        <v>9.2828412206946656</v>
      </c>
      <c r="H169" s="63"/>
      <c r="I169" s="63"/>
      <c r="J169" s="63"/>
      <c r="K169" s="63"/>
      <c r="L169" s="63"/>
      <c r="M169" s="63"/>
      <c r="N169" s="63"/>
      <c r="O169" s="62">
        <v>2.797481014933286</v>
      </c>
      <c r="P169" s="62">
        <v>9.8446264808181319</v>
      </c>
      <c r="Q169" s="62">
        <v>1.0065715207299948</v>
      </c>
      <c r="R169" s="62"/>
      <c r="S169" s="63">
        <v>23.841994947905963</v>
      </c>
      <c r="T169" s="67"/>
    </row>
    <row r="170" spans="3:20" s="51" customFormat="1" ht="15.75" x14ac:dyDescent="0.25">
      <c r="C170" s="178" t="s">
        <v>79</v>
      </c>
      <c r="D170" s="63"/>
      <c r="E170" s="63"/>
      <c r="F170" s="62">
        <v>27.751715068457877</v>
      </c>
      <c r="G170" s="62">
        <v>0.93047307809883106</v>
      </c>
      <c r="H170" s="63"/>
      <c r="I170" s="63"/>
      <c r="J170" s="63"/>
      <c r="K170" s="63"/>
      <c r="L170" s="63"/>
      <c r="M170" s="63"/>
      <c r="N170" s="63"/>
      <c r="O170" s="62">
        <v>3.2186817504954033</v>
      </c>
      <c r="P170" s="62">
        <v>3.1579242402183425</v>
      </c>
      <c r="Q170" s="62"/>
      <c r="R170" s="70">
        <v>0</v>
      </c>
      <c r="S170" s="75">
        <v>35.058794137270453</v>
      </c>
      <c r="T170" s="67"/>
    </row>
    <row r="171" spans="3:20" s="51" customFormat="1" x14ac:dyDescent="0.25">
      <c r="C171" s="175" t="s">
        <v>80</v>
      </c>
      <c r="D171" s="62">
        <v>0</v>
      </c>
      <c r="E171" s="63"/>
      <c r="F171" s="62">
        <v>1.746497298641001</v>
      </c>
      <c r="G171" s="62">
        <v>8.4644882734430098</v>
      </c>
      <c r="H171" s="63"/>
      <c r="I171" s="63"/>
      <c r="J171" s="63"/>
      <c r="K171" s="63"/>
      <c r="L171" s="63"/>
      <c r="M171" s="63"/>
      <c r="N171" s="63"/>
      <c r="O171" s="62">
        <v>10.300321992032506</v>
      </c>
      <c r="P171" s="62">
        <v>11.885627565252159</v>
      </c>
      <c r="Q171" s="62">
        <v>2.1555790280909841</v>
      </c>
      <c r="R171" s="62"/>
      <c r="S171" s="63">
        <v>34.552514157459662</v>
      </c>
      <c r="T171" s="67"/>
    </row>
    <row r="172" spans="3:20" s="51" customFormat="1" x14ac:dyDescent="0.25">
      <c r="C172" s="175" t="s">
        <v>81</v>
      </c>
      <c r="D172" s="62">
        <v>0</v>
      </c>
      <c r="E172" s="63"/>
      <c r="F172" s="62">
        <v>0.60659804706016329</v>
      </c>
      <c r="G172" s="62">
        <v>3.373347366526199</v>
      </c>
      <c r="H172" s="63"/>
      <c r="I172" s="63"/>
      <c r="J172" s="63"/>
      <c r="K172" s="63"/>
      <c r="L172" s="63"/>
      <c r="M172" s="63"/>
      <c r="N172" s="63"/>
      <c r="O172" s="62">
        <v>2.5554110979101758</v>
      </c>
      <c r="P172" s="62">
        <v>11.711297347178387</v>
      </c>
      <c r="Q172" s="62">
        <v>0.79142519144709034</v>
      </c>
      <c r="R172" s="62"/>
      <c r="S172" s="63">
        <v>19.038079050122015</v>
      </c>
      <c r="T172" s="67"/>
    </row>
    <row r="173" spans="3:20" s="51" customFormat="1" x14ac:dyDescent="0.25">
      <c r="C173" s="175" t="s">
        <v>82</v>
      </c>
      <c r="D173" s="62">
        <v>2.2137192704974398E-3</v>
      </c>
      <c r="E173" s="63"/>
      <c r="F173" s="62">
        <v>2.28816075231342</v>
      </c>
      <c r="G173" s="62">
        <v>0.47763215046268398</v>
      </c>
      <c r="H173" s="63"/>
      <c r="I173" s="63"/>
      <c r="J173" s="63"/>
      <c r="K173" s="63"/>
      <c r="L173" s="63"/>
      <c r="M173" s="63"/>
      <c r="N173" s="63"/>
      <c r="O173" s="62">
        <v>0.338816075231342</v>
      </c>
      <c r="P173" s="62">
        <v>0.77565894251492096</v>
      </c>
      <c r="Q173" s="62">
        <v>6.4536710533781346E-3</v>
      </c>
      <c r="R173" s="62"/>
      <c r="S173" s="63">
        <v>3.8889353108462426</v>
      </c>
      <c r="T173" s="67"/>
    </row>
    <row r="174" spans="3:20" s="51" customFormat="1" ht="15.75" x14ac:dyDescent="0.25">
      <c r="C174" s="176" t="s">
        <v>83</v>
      </c>
      <c r="D174" s="72">
        <v>2.2137192704974398E-3</v>
      </c>
      <c r="E174" s="72">
        <v>0</v>
      </c>
      <c r="F174" s="72">
        <v>33.30344587720235</v>
      </c>
      <c r="G174" s="72">
        <v>22.528782089225395</v>
      </c>
      <c r="H174" s="72">
        <v>0</v>
      </c>
      <c r="I174" s="72">
        <v>0</v>
      </c>
      <c r="J174" s="72"/>
      <c r="K174" s="72"/>
      <c r="L174" s="72"/>
      <c r="M174" s="72"/>
      <c r="N174" s="72"/>
      <c r="O174" s="72">
        <v>19.210711930602717</v>
      </c>
      <c r="P174" s="72">
        <v>37.375134575981946</v>
      </c>
      <c r="Q174" s="72">
        <v>3.9600294113214476</v>
      </c>
      <c r="R174" s="65">
        <v>0</v>
      </c>
      <c r="S174" s="72">
        <v>116.38031760360433</v>
      </c>
    </row>
    <row r="175" spans="3:20" s="51" customFormat="1" x14ac:dyDescent="0.25">
      <c r="C175" s="175" t="s">
        <v>84</v>
      </c>
      <c r="D175" s="63">
        <v>0</v>
      </c>
      <c r="E175" s="63"/>
      <c r="F175" s="62">
        <v>8.5269295194929953</v>
      </c>
      <c r="G175" s="62">
        <v>0.65798930805195532</v>
      </c>
      <c r="H175" s="63"/>
      <c r="I175" s="63"/>
      <c r="J175" s="63"/>
      <c r="K175" s="63"/>
      <c r="L175" s="63"/>
      <c r="M175" s="63"/>
      <c r="N175" s="63"/>
      <c r="O175" s="63"/>
      <c r="P175" s="63"/>
      <c r="Q175" s="63"/>
      <c r="R175" s="63">
        <v>1.2897678417884779</v>
      </c>
      <c r="S175" s="63">
        <v>10.47468666933343</v>
      </c>
    </row>
    <row r="176" spans="3:20" s="51" customFormat="1" ht="15.75" x14ac:dyDescent="0.25">
      <c r="C176" s="176" t="s">
        <v>85</v>
      </c>
      <c r="D176" s="72">
        <v>2.2137192704974398E-3</v>
      </c>
      <c r="E176" s="72">
        <v>0</v>
      </c>
      <c r="F176" s="72">
        <v>41.830375396695345</v>
      </c>
      <c r="G176" s="72">
        <v>23.186771397277351</v>
      </c>
      <c r="H176" s="72">
        <v>0</v>
      </c>
      <c r="I176" s="72">
        <v>0</v>
      </c>
      <c r="J176" s="72"/>
      <c r="K176" s="72"/>
      <c r="L176" s="72"/>
      <c r="M176" s="72"/>
      <c r="N176" s="72"/>
      <c r="O176" s="72">
        <v>19.210711930602717</v>
      </c>
      <c r="P176" s="72">
        <v>37.375134575981946</v>
      </c>
      <c r="Q176" s="72">
        <v>3.9600294113214476</v>
      </c>
      <c r="R176" s="72">
        <v>1.2897678417884779</v>
      </c>
      <c r="S176" s="72">
        <v>126.85500427293775</v>
      </c>
    </row>
    <row r="187" spans="3:21" s="51" customFormat="1" ht="15.75" x14ac:dyDescent="0.25">
      <c r="C187" s="59" t="s">
        <v>89</v>
      </c>
      <c r="D187" s="53"/>
      <c r="E187" s="53"/>
      <c r="F187" s="53"/>
      <c r="G187" s="53"/>
      <c r="H187" s="53"/>
      <c r="I187" s="54"/>
      <c r="J187" s="54"/>
      <c r="K187" s="54"/>
      <c r="L187" s="54"/>
      <c r="M187" s="54"/>
      <c r="N187" s="54"/>
      <c r="O187" s="53"/>
      <c r="P187" s="53"/>
      <c r="Q187" s="53"/>
      <c r="R187" s="53"/>
      <c r="S187" s="53"/>
    </row>
    <row r="190" spans="3:21" s="51" customFormat="1" ht="45" x14ac:dyDescent="0.25">
      <c r="C190" s="56" t="s">
        <v>51</v>
      </c>
      <c r="D190" s="174" t="s">
        <v>42</v>
      </c>
      <c r="E190" s="174" t="s">
        <v>52</v>
      </c>
      <c r="F190" s="174" t="s">
        <v>53</v>
      </c>
      <c r="G190" s="174" t="s">
        <v>54</v>
      </c>
      <c r="H190" s="174" t="s">
        <v>20</v>
      </c>
      <c r="I190" s="174" t="s">
        <v>55</v>
      </c>
      <c r="J190" s="174"/>
      <c r="K190" s="174"/>
      <c r="L190" s="174"/>
      <c r="M190" s="174"/>
      <c r="N190" s="174"/>
      <c r="O190" s="174" t="s">
        <v>56</v>
      </c>
      <c r="P190" s="174" t="s">
        <v>57</v>
      </c>
      <c r="Q190" s="174" t="s">
        <v>58</v>
      </c>
      <c r="R190" s="174" t="s">
        <v>31</v>
      </c>
      <c r="S190" s="174" t="s">
        <v>10</v>
      </c>
    </row>
    <row r="191" spans="3:21" s="51" customFormat="1" ht="15.75" x14ac:dyDescent="0.25">
      <c r="C191" s="60"/>
      <c r="D191" s="61"/>
      <c r="E191" s="61"/>
      <c r="F191" s="61"/>
      <c r="G191" s="61"/>
      <c r="H191" s="61"/>
      <c r="I191" s="61"/>
      <c r="J191" s="61"/>
      <c r="K191" s="61"/>
      <c r="L191" s="61"/>
      <c r="M191" s="61"/>
      <c r="N191" s="61"/>
      <c r="O191" s="61"/>
      <c r="P191" s="61"/>
      <c r="Q191" s="61"/>
      <c r="R191" s="61"/>
      <c r="S191" s="61"/>
      <c r="U191" s="55"/>
    </row>
    <row r="192" spans="3:21" s="51" customFormat="1" x14ac:dyDescent="0.25">
      <c r="C192" s="175" t="s">
        <v>59</v>
      </c>
      <c r="D192" s="62">
        <v>0</v>
      </c>
      <c r="E192" s="62">
        <v>0</v>
      </c>
      <c r="F192" s="62">
        <v>0</v>
      </c>
      <c r="G192" s="62">
        <v>0</v>
      </c>
      <c r="H192" s="63">
        <v>27.345458786417471</v>
      </c>
      <c r="I192" s="63">
        <v>46.775580395528799</v>
      </c>
      <c r="J192" s="63"/>
      <c r="K192" s="63"/>
      <c r="L192" s="63"/>
      <c r="M192" s="63"/>
      <c r="N192" s="63"/>
      <c r="O192" s="62">
        <v>39.150228110130641</v>
      </c>
      <c r="P192" s="63"/>
      <c r="Q192" s="63"/>
      <c r="R192" s="63"/>
      <c r="S192" s="63">
        <v>113.27126729207691</v>
      </c>
    </row>
    <row r="193" spans="3:19" s="51" customFormat="1" x14ac:dyDescent="0.25">
      <c r="C193" s="175" t="s">
        <v>60</v>
      </c>
      <c r="D193" s="62">
        <v>0.74697394369004599</v>
      </c>
      <c r="E193" s="62">
        <v>0</v>
      </c>
      <c r="F193" s="62">
        <v>15.265776616616671</v>
      </c>
      <c r="G193" s="62">
        <v>0</v>
      </c>
      <c r="H193" s="63"/>
      <c r="I193" s="63"/>
      <c r="J193" s="63"/>
      <c r="K193" s="63"/>
      <c r="L193" s="63"/>
      <c r="M193" s="63"/>
      <c r="N193" s="63"/>
      <c r="O193" s="63">
        <v>0</v>
      </c>
      <c r="P193" s="75">
        <v>0</v>
      </c>
      <c r="Q193" s="63"/>
      <c r="R193" s="63"/>
      <c r="S193" s="63">
        <v>16.012750560306717</v>
      </c>
    </row>
    <row r="194" spans="3:19" s="51" customFormat="1" x14ac:dyDescent="0.25">
      <c r="C194" s="175" t="s">
        <v>61</v>
      </c>
      <c r="D194" s="62">
        <v>0</v>
      </c>
      <c r="E194" s="62">
        <v>0</v>
      </c>
      <c r="F194" s="62">
        <v>0</v>
      </c>
      <c r="G194" s="62">
        <v>0</v>
      </c>
      <c r="H194" s="63"/>
      <c r="I194" s="63"/>
      <c r="J194" s="63"/>
      <c r="K194" s="63"/>
      <c r="L194" s="63"/>
      <c r="M194" s="63"/>
      <c r="N194" s="63"/>
      <c r="O194" s="62">
        <v>0</v>
      </c>
      <c r="P194" s="63">
        <v>-1.7515441453990022</v>
      </c>
      <c r="Q194" s="63"/>
      <c r="R194" s="63"/>
      <c r="S194" s="63">
        <v>-1.7515441453990022</v>
      </c>
    </row>
    <row r="195" spans="3:19" s="51" customFormat="1" x14ac:dyDescent="0.25">
      <c r="C195" s="175" t="s">
        <v>62</v>
      </c>
      <c r="D195" s="62"/>
      <c r="E195" s="62"/>
      <c r="F195" s="62">
        <v>-1.1000000000000001</v>
      </c>
      <c r="G195" s="62"/>
      <c r="H195" s="63"/>
      <c r="I195" s="63"/>
      <c r="J195" s="63"/>
      <c r="K195" s="63"/>
      <c r="L195" s="63"/>
      <c r="M195" s="63"/>
      <c r="N195" s="63"/>
      <c r="O195" s="63"/>
      <c r="P195" s="63"/>
      <c r="Q195" s="63"/>
      <c r="R195" s="63"/>
      <c r="S195" s="63">
        <v>-1.1000000000000001</v>
      </c>
    </row>
    <row r="196" spans="3:19" s="51" customFormat="1" x14ac:dyDescent="0.25">
      <c r="C196" s="175" t="s">
        <v>63</v>
      </c>
      <c r="D196" s="62"/>
      <c r="E196" s="62"/>
      <c r="F196" s="62">
        <v>-9.8675445253719403</v>
      </c>
      <c r="G196" s="62"/>
      <c r="H196" s="63"/>
      <c r="I196" s="63"/>
      <c r="J196" s="63"/>
      <c r="K196" s="63"/>
      <c r="L196" s="63"/>
      <c r="M196" s="63"/>
      <c r="N196" s="63"/>
      <c r="O196" s="63"/>
      <c r="P196" s="63"/>
      <c r="Q196" s="63"/>
      <c r="R196" s="63"/>
      <c r="S196" s="63">
        <v>-9.8675445253719403</v>
      </c>
    </row>
    <row r="197" spans="3:19" s="51" customFormat="1" x14ac:dyDescent="0.25">
      <c r="C197" s="175" t="s">
        <v>64</v>
      </c>
      <c r="D197" s="63"/>
      <c r="E197" s="63"/>
      <c r="F197" s="63"/>
      <c r="G197" s="63"/>
      <c r="H197" s="63"/>
      <c r="I197" s="63"/>
      <c r="J197" s="63"/>
      <c r="K197" s="63"/>
      <c r="L197" s="63"/>
      <c r="M197" s="63"/>
      <c r="N197" s="63"/>
      <c r="O197" s="63"/>
      <c r="P197" s="63"/>
      <c r="Q197" s="63"/>
      <c r="R197" s="63"/>
      <c r="S197" s="63">
        <v>0</v>
      </c>
    </row>
    <row r="198" spans="3:19" s="51" customFormat="1" ht="15.75" x14ac:dyDescent="0.25">
      <c r="C198" s="176" t="s">
        <v>65</v>
      </c>
      <c r="D198" s="65">
        <v>0.74697394369004599</v>
      </c>
      <c r="E198" s="65">
        <v>0</v>
      </c>
      <c r="F198" s="65">
        <v>4.2982320912447314</v>
      </c>
      <c r="G198" s="65">
        <v>0</v>
      </c>
      <c r="H198" s="65">
        <v>27.345458786417471</v>
      </c>
      <c r="I198" s="65">
        <v>46.775580395528799</v>
      </c>
      <c r="J198" s="65"/>
      <c r="K198" s="65"/>
      <c r="L198" s="65"/>
      <c r="M198" s="65"/>
      <c r="N198" s="65"/>
      <c r="O198" s="65">
        <v>39.150228110130641</v>
      </c>
      <c r="P198" s="65">
        <v>-1.7515441453990022</v>
      </c>
      <c r="Q198" s="65">
        <v>0</v>
      </c>
      <c r="R198" s="65"/>
      <c r="S198" s="65">
        <v>116.5649291816127</v>
      </c>
    </row>
    <row r="199" spans="3:19" s="51" customFormat="1" ht="15.75" x14ac:dyDescent="0.25">
      <c r="C199" s="57"/>
      <c r="D199" s="66"/>
      <c r="E199" s="66"/>
      <c r="F199" s="66"/>
      <c r="G199" s="66"/>
      <c r="H199" s="66"/>
      <c r="I199" s="66"/>
      <c r="J199" s="66"/>
      <c r="K199" s="66"/>
      <c r="L199" s="66"/>
      <c r="M199" s="66"/>
      <c r="N199" s="66"/>
      <c r="O199" s="66"/>
      <c r="P199" s="66"/>
      <c r="Q199" s="66"/>
      <c r="R199" s="66"/>
      <c r="S199" s="66"/>
    </row>
    <row r="200" spans="3:19" s="51" customFormat="1" x14ac:dyDescent="0.25">
      <c r="C200" s="175" t="s">
        <v>66</v>
      </c>
      <c r="D200" s="63"/>
      <c r="E200" s="63"/>
      <c r="F200" s="63"/>
      <c r="G200" s="63"/>
      <c r="H200" s="63"/>
      <c r="I200" s="63"/>
      <c r="J200" s="63"/>
      <c r="K200" s="63"/>
      <c r="L200" s="63"/>
      <c r="M200" s="63"/>
      <c r="N200" s="63"/>
      <c r="O200" s="63"/>
      <c r="P200" s="63"/>
      <c r="Q200" s="63"/>
      <c r="R200" s="63"/>
      <c r="S200" s="63">
        <v>0</v>
      </c>
    </row>
    <row r="201" spans="3:19" s="51" customFormat="1" x14ac:dyDescent="0.25">
      <c r="C201" s="175" t="s">
        <v>67</v>
      </c>
      <c r="D201" s="62"/>
      <c r="E201" s="62"/>
      <c r="F201" s="62"/>
      <c r="G201" s="62"/>
      <c r="H201" s="63"/>
      <c r="I201" s="63"/>
      <c r="J201" s="63"/>
      <c r="K201" s="63"/>
      <c r="L201" s="63"/>
      <c r="M201" s="63"/>
      <c r="N201" s="63"/>
      <c r="O201" s="62"/>
      <c r="P201" s="62"/>
      <c r="Q201" s="63"/>
      <c r="R201" s="63"/>
      <c r="S201" s="63">
        <v>0</v>
      </c>
    </row>
    <row r="202" spans="3:19" s="51" customFormat="1" x14ac:dyDescent="0.25">
      <c r="C202" s="175" t="s">
        <v>68</v>
      </c>
      <c r="D202" s="62">
        <v>0</v>
      </c>
      <c r="E202" s="62">
        <v>0</v>
      </c>
      <c r="F202" s="62"/>
      <c r="G202" s="62">
        <v>2.1496130696474633</v>
      </c>
      <c r="H202" s="62">
        <v>27.345458786417471</v>
      </c>
      <c r="I202" s="62">
        <v>46.775580395528799</v>
      </c>
      <c r="J202" s="62"/>
      <c r="K202" s="62"/>
      <c r="L202" s="62"/>
      <c r="M202" s="62"/>
      <c r="N202" s="62"/>
      <c r="O202" s="62">
        <v>0</v>
      </c>
      <c r="P202" s="62">
        <v>-56.673999999999992</v>
      </c>
      <c r="Q202" s="63"/>
      <c r="R202" s="63"/>
      <c r="S202" s="63">
        <v>19.596652251593738</v>
      </c>
    </row>
    <row r="203" spans="3:19" s="51" customFormat="1" x14ac:dyDescent="0.25">
      <c r="C203" s="175" t="s">
        <v>69</v>
      </c>
      <c r="D203" s="62"/>
      <c r="E203" s="62"/>
      <c r="F203" s="62"/>
      <c r="G203" s="62"/>
      <c r="H203" s="63"/>
      <c r="I203" s="63"/>
      <c r="J203" s="63"/>
      <c r="K203" s="63"/>
      <c r="L203" s="63"/>
      <c r="M203" s="63"/>
      <c r="N203" s="63"/>
      <c r="O203" s="62"/>
      <c r="P203" s="62"/>
      <c r="Q203" s="63"/>
      <c r="R203" s="63"/>
      <c r="S203" s="63">
        <v>0</v>
      </c>
    </row>
    <row r="204" spans="3:19" s="51" customFormat="1" x14ac:dyDescent="0.25">
      <c r="C204" s="175" t="s">
        <v>70</v>
      </c>
      <c r="D204" s="62">
        <v>0</v>
      </c>
      <c r="E204" s="62"/>
      <c r="F204" s="62">
        <v>0</v>
      </c>
      <c r="G204" s="62">
        <v>0.85449177920296737</v>
      </c>
      <c r="H204" s="63"/>
      <c r="I204" s="63"/>
      <c r="J204" s="63"/>
      <c r="K204" s="63"/>
      <c r="L204" s="63"/>
      <c r="M204" s="63"/>
      <c r="N204" s="63"/>
      <c r="O204" s="62">
        <v>3.403615539978218</v>
      </c>
      <c r="P204" s="62"/>
      <c r="Q204" s="63">
        <v>-5.1661619878122789</v>
      </c>
      <c r="R204" s="63"/>
      <c r="S204" s="63">
        <v>-0.90805466863109352</v>
      </c>
    </row>
    <row r="205" spans="3:19" s="51" customFormat="1" x14ac:dyDescent="0.25">
      <c r="C205" s="175" t="s">
        <v>71</v>
      </c>
      <c r="D205" s="62"/>
      <c r="E205" s="62"/>
      <c r="F205" s="62"/>
      <c r="G205" s="62">
        <v>-13.268132354256622</v>
      </c>
      <c r="H205" s="63"/>
      <c r="I205" s="63"/>
      <c r="J205" s="63"/>
      <c r="K205" s="63"/>
      <c r="L205" s="63"/>
      <c r="M205" s="63"/>
      <c r="N205" s="63"/>
      <c r="O205" s="62">
        <v>16.585165442820777</v>
      </c>
      <c r="P205" s="62"/>
      <c r="Q205" s="63"/>
      <c r="R205" s="63"/>
      <c r="S205" s="63">
        <v>3.3170330885641555</v>
      </c>
    </row>
    <row r="206" spans="3:19" s="51" customFormat="1" x14ac:dyDescent="0.25">
      <c r="C206" s="175" t="s">
        <v>72</v>
      </c>
      <c r="D206" s="62"/>
      <c r="E206" s="62">
        <v>0</v>
      </c>
      <c r="F206" s="62">
        <v>0</v>
      </c>
      <c r="G206" s="62">
        <v>0</v>
      </c>
      <c r="H206" s="63"/>
      <c r="I206" s="63"/>
      <c r="J206" s="63"/>
      <c r="K206" s="63"/>
      <c r="L206" s="63"/>
      <c r="M206" s="63"/>
      <c r="N206" s="63"/>
      <c r="O206" s="62"/>
      <c r="P206" s="62"/>
      <c r="Q206" s="63"/>
      <c r="R206" s="63"/>
      <c r="S206" s="63">
        <v>0</v>
      </c>
    </row>
    <row r="207" spans="3:19" s="51" customFormat="1" x14ac:dyDescent="0.25">
      <c r="C207" s="175" t="s">
        <v>73</v>
      </c>
      <c r="D207" s="62"/>
      <c r="E207" s="62"/>
      <c r="F207" s="62"/>
      <c r="G207" s="62"/>
      <c r="H207" s="63"/>
      <c r="I207" s="63"/>
      <c r="J207" s="63"/>
      <c r="K207" s="63"/>
      <c r="L207" s="63"/>
      <c r="M207" s="63"/>
      <c r="N207" s="63"/>
      <c r="O207" s="62"/>
      <c r="P207" s="62">
        <v>4.2992261392949267</v>
      </c>
      <c r="Q207" s="63"/>
      <c r="R207" s="63">
        <v>-3.4393809114359413</v>
      </c>
      <c r="S207" s="63">
        <v>0.85984522785898543</v>
      </c>
    </row>
    <row r="208" spans="3:19" s="51" customFormat="1" x14ac:dyDescent="0.25">
      <c r="C208" s="175" t="s">
        <v>74</v>
      </c>
      <c r="D208" s="62">
        <v>0.74476022441954859</v>
      </c>
      <c r="E208" s="62"/>
      <c r="F208" s="62"/>
      <c r="G208" s="69">
        <v>-0.30954428202923473</v>
      </c>
      <c r="H208" s="63"/>
      <c r="I208" s="63"/>
      <c r="J208" s="63"/>
      <c r="K208" s="63"/>
      <c r="L208" s="63"/>
      <c r="M208" s="63"/>
      <c r="N208" s="63"/>
      <c r="O208" s="62"/>
      <c r="P208" s="62">
        <v>-1.0318142734307825</v>
      </c>
      <c r="Q208" s="63"/>
      <c r="R208" s="74">
        <v>1.633705932932072</v>
      </c>
      <c r="S208" s="63">
        <v>1.0371076018916034</v>
      </c>
    </row>
    <row r="209" spans="3:21" s="51" customFormat="1" x14ac:dyDescent="0.25">
      <c r="C209" s="175" t="s">
        <v>75</v>
      </c>
      <c r="D209" s="62">
        <v>0</v>
      </c>
      <c r="E209" s="62"/>
      <c r="F209" s="62">
        <v>0</v>
      </c>
      <c r="G209" s="188">
        <v>0</v>
      </c>
      <c r="H209" s="63"/>
      <c r="I209" s="63"/>
      <c r="J209" s="63"/>
      <c r="K209" s="63"/>
      <c r="L209" s="63"/>
      <c r="M209" s="63"/>
      <c r="N209" s="63"/>
      <c r="O209" s="62">
        <v>5.1017483519633131E-2</v>
      </c>
      <c r="P209" s="62">
        <v>2.3441960447119525</v>
      </c>
      <c r="Q209" s="63"/>
      <c r="R209" s="63"/>
      <c r="S209" s="63">
        <v>2.3952135282315856</v>
      </c>
      <c r="U209" s="64"/>
    </row>
    <row r="210" spans="3:21" s="51" customFormat="1" x14ac:dyDescent="0.25">
      <c r="C210" s="175" t="s">
        <v>76</v>
      </c>
      <c r="D210" s="62"/>
      <c r="E210" s="62"/>
      <c r="F210" s="62"/>
      <c r="G210" s="62">
        <v>0.15893900909970565</v>
      </c>
      <c r="H210" s="63"/>
      <c r="I210" s="63"/>
      <c r="J210" s="63"/>
      <c r="K210" s="63"/>
      <c r="L210" s="63"/>
      <c r="M210" s="63"/>
      <c r="N210" s="63"/>
      <c r="O210" s="62"/>
      <c r="P210" s="62">
        <v>3.6734955070724626</v>
      </c>
      <c r="Q210" s="63">
        <v>1.077103851085037</v>
      </c>
      <c r="R210" s="63"/>
      <c r="S210" s="63">
        <v>4.9095383672572055</v>
      </c>
    </row>
    <row r="211" spans="3:21" s="51" customFormat="1" ht="15.75" x14ac:dyDescent="0.25">
      <c r="C211" s="176" t="s">
        <v>77</v>
      </c>
      <c r="D211" s="65">
        <v>0.74476022441954859</v>
      </c>
      <c r="E211" s="65">
        <v>0</v>
      </c>
      <c r="F211" s="65">
        <v>0</v>
      </c>
      <c r="G211" s="65">
        <v>-10.414632778335719</v>
      </c>
      <c r="H211" s="65">
        <v>27.345458786417471</v>
      </c>
      <c r="I211" s="65">
        <v>46.775580395528799</v>
      </c>
      <c r="J211" s="65"/>
      <c r="K211" s="65"/>
      <c r="L211" s="65"/>
      <c r="M211" s="65"/>
      <c r="N211" s="65"/>
      <c r="O211" s="65">
        <v>20.039798466318629</v>
      </c>
      <c r="P211" s="65">
        <v>-47.388896582351435</v>
      </c>
      <c r="Q211" s="65">
        <v>-4.0890581367272416</v>
      </c>
      <c r="R211" s="65">
        <v>-1.8056749785038693</v>
      </c>
      <c r="S211" s="65">
        <v>31.20733539676618</v>
      </c>
    </row>
    <row r="212" spans="3:21" s="51" customFormat="1" ht="15.75" x14ac:dyDescent="0.25">
      <c r="C212" s="57"/>
      <c r="D212" s="66"/>
      <c r="E212" s="66"/>
      <c r="F212" s="66"/>
      <c r="G212" s="66"/>
      <c r="H212" s="66"/>
      <c r="I212" s="66"/>
      <c r="J212" s="66"/>
      <c r="K212" s="66"/>
      <c r="L212" s="66"/>
      <c r="M212" s="66"/>
      <c r="N212" s="66"/>
      <c r="O212" s="66"/>
      <c r="P212" s="66"/>
      <c r="Q212" s="66"/>
      <c r="R212" s="66"/>
      <c r="S212" s="66"/>
    </row>
    <row r="213" spans="3:21" s="51" customFormat="1" ht="15.75" x14ac:dyDescent="0.25">
      <c r="C213" s="178" t="s">
        <v>78</v>
      </c>
      <c r="D213" s="62">
        <v>0</v>
      </c>
      <c r="E213" s="63"/>
      <c r="F213" s="62">
        <v>0</v>
      </c>
      <c r="G213" s="62">
        <v>2.6196131084152277</v>
      </c>
      <c r="H213" s="63"/>
      <c r="I213" s="63"/>
      <c r="J213" s="63"/>
      <c r="K213" s="63"/>
      <c r="L213" s="63"/>
      <c r="M213" s="63"/>
      <c r="N213" s="63"/>
      <c r="O213" s="62">
        <v>2.4941614081810051</v>
      </c>
      <c r="P213" s="62">
        <v>15.692222796920932</v>
      </c>
      <c r="Q213" s="62">
        <v>0.41499583184774225</v>
      </c>
      <c r="R213" s="62"/>
      <c r="S213" s="63">
        <v>21.220993145364908</v>
      </c>
      <c r="T213" s="67"/>
    </row>
    <row r="214" spans="3:21" s="51" customFormat="1" ht="15.75" x14ac:dyDescent="0.25">
      <c r="C214" s="178" t="s">
        <v>79</v>
      </c>
      <c r="D214" s="75"/>
      <c r="E214" s="75"/>
      <c r="F214" s="62">
        <v>0.93045123347554903</v>
      </c>
      <c r="G214" s="62">
        <v>3.6028639370370201</v>
      </c>
      <c r="H214" s="63"/>
      <c r="I214" s="63"/>
      <c r="J214" s="63"/>
      <c r="K214" s="63"/>
      <c r="L214" s="63"/>
      <c r="M214" s="63"/>
      <c r="N214" s="63"/>
      <c r="O214" s="62">
        <v>4.2184772740988761</v>
      </c>
      <c r="P214" s="62">
        <v>8.1773954821011205</v>
      </c>
      <c r="Q214" s="62"/>
      <c r="R214" s="62">
        <v>8.5984522785898534E-2</v>
      </c>
      <c r="S214" s="63">
        <v>17.015172449498465</v>
      </c>
      <c r="T214" s="67"/>
    </row>
    <row r="215" spans="3:21" s="51" customFormat="1" x14ac:dyDescent="0.25">
      <c r="C215" s="175" t="s">
        <v>80</v>
      </c>
      <c r="D215" s="62">
        <v>0</v>
      </c>
      <c r="E215" s="63"/>
      <c r="F215" s="62">
        <v>0.16812387266585074</v>
      </c>
      <c r="G215" s="62">
        <v>2.6677723755245331</v>
      </c>
      <c r="H215" s="63"/>
      <c r="I215" s="63"/>
      <c r="J215" s="63"/>
      <c r="K215" s="63"/>
      <c r="L215" s="63"/>
      <c r="M215" s="63"/>
      <c r="N215" s="63"/>
      <c r="O215" s="62">
        <v>9.1119423382098859</v>
      </c>
      <c r="P215" s="62">
        <v>11.1263428965709</v>
      </c>
      <c r="Q215" s="62">
        <v>2.1285056205612118</v>
      </c>
      <c r="R215" s="62"/>
      <c r="S215" s="63">
        <v>25.202687103532384</v>
      </c>
      <c r="T215" s="67"/>
    </row>
    <row r="216" spans="3:21" s="51" customFormat="1" x14ac:dyDescent="0.25">
      <c r="C216" s="175" t="s">
        <v>81</v>
      </c>
      <c r="D216" s="62">
        <v>0</v>
      </c>
      <c r="E216" s="63"/>
      <c r="F216" s="62">
        <v>4.3808247608083023E-2</v>
      </c>
      <c r="G216" s="62">
        <v>0.54387058176361458</v>
      </c>
      <c r="H216" s="63"/>
      <c r="I216" s="63"/>
      <c r="J216" s="63"/>
      <c r="K216" s="63"/>
      <c r="L216" s="63"/>
      <c r="M216" s="63"/>
      <c r="N216" s="63"/>
      <c r="O216" s="62">
        <v>2.4071612194730982</v>
      </c>
      <c r="P216" s="62">
        <v>9.9325738092989031</v>
      </c>
      <c r="Q216" s="62">
        <v>1.5391030132649095</v>
      </c>
      <c r="R216" s="62"/>
      <c r="S216" s="63">
        <v>14.466516871408608</v>
      </c>
      <c r="T216" s="67"/>
    </row>
    <row r="217" spans="3:21" s="51" customFormat="1" x14ac:dyDescent="0.25">
      <c r="C217" s="175" t="s">
        <v>82</v>
      </c>
      <c r="D217" s="62">
        <v>2.2137192704974398E-3</v>
      </c>
      <c r="E217" s="63"/>
      <c r="F217" s="62">
        <v>0</v>
      </c>
      <c r="G217" s="62">
        <v>0.69442453716561003</v>
      </c>
      <c r="H217" s="63"/>
      <c r="I217" s="63"/>
      <c r="J217" s="63"/>
      <c r="K217" s="63"/>
      <c r="L217" s="63"/>
      <c r="M217" s="63"/>
      <c r="N217" s="63"/>
      <c r="O217" s="62">
        <v>0.87868740384914412</v>
      </c>
      <c r="P217" s="62">
        <v>0.708817452060579</v>
      </c>
      <c r="Q217" s="62">
        <v>6.4536710533781346E-3</v>
      </c>
      <c r="R217" s="62"/>
      <c r="S217" s="63">
        <v>2.2905967833992089</v>
      </c>
      <c r="T217" s="67"/>
    </row>
    <row r="218" spans="3:21" s="51" customFormat="1" ht="15.75" x14ac:dyDescent="0.25">
      <c r="C218" s="176" t="s">
        <v>83</v>
      </c>
      <c r="D218" s="65">
        <v>2.2137192704974398E-3</v>
      </c>
      <c r="E218" s="65">
        <v>0</v>
      </c>
      <c r="F218" s="65">
        <v>1.1423833537494827</v>
      </c>
      <c r="G218" s="65">
        <v>10.128544539906006</v>
      </c>
      <c r="H218" s="65">
        <v>0</v>
      </c>
      <c r="I218" s="65">
        <v>0</v>
      </c>
      <c r="J218" s="65"/>
      <c r="K218" s="65"/>
      <c r="L218" s="65"/>
      <c r="M218" s="65"/>
      <c r="N218" s="65"/>
      <c r="O218" s="65">
        <v>19.110429643812012</v>
      </c>
      <c r="P218" s="65">
        <v>45.637352436952433</v>
      </c>
      <c r="Q218" s="65">
        <v>4.0890581367272416</v>
      </c>
      <c r="R218" s="65">
        <v>8.5984522785898534E-2</v>
      </c>
      <c r="S218" s="65">
        <v>80.195966353203573</v>
      </c>
    </row>
    <row r="219" spans="3:21" s="51" customFormat="1" x14ac:dyDescent="0.25">
      <c r="C219" s="175" t="s">
        <v>84</v>
      </c>
      <c r="D219" s="63">
        <v>0</v>
      </c>
      <c r="E219" s="63"/>
      <c r="F219" s="68">
        <v>3.1558487374952491</v>
      </c>
      <c r="G219" s="68">
        <v>0.28608823842971293</v>
      </c>
      <c r="H219" s="63"/>
      <c r="I219" s="63"/>
      <c r="J219" s="63"/>
      <c r="K219" s="63"/>
      <c r="L219" s="63"/>
      <c r="M219" s="63"/>
      <c r="N219" s="63"/>
      <c r="O219" s="63"/>
      <c r="P219" s="63"/>
      <c r="Q219" s="63"/>
      <c r="R219" s="63">
        <v>1.7196904557179706</v>
      </c>
      <c r="S219" s="63">
        <v>5.1616274316429323</v>
      </c>
    </row>
    <row r="220" spans="3:21" s="51" customFormat="1" ht="15.75" x14ac:dyDescent="0.25">
      <c r="C220" s="176" t="s">
        <v>85</v>
      </c>
      <c r="D220" s="65">
        <v>2.2137192704974398E-3</v>
      </c>
      <c r="E220" s="65">
        <v>0</v>
      </c>
      <c r="F220" s="65">
        <v>4.2982320912447314</v>
      </c>
      <c r="G220" s="65">
        <v>10.414632778335719</v>
      </c>
      <c r="H220" s="65">
        <v>0</v>
      </c>
      <c r="I220" s="65">
        <v>0</v>
      </c>
      <c r="J220" s="65"/>
      <c r="K220" s="65"/>
      <c r="L220" s="65"/>
      <c r="M220" s="65"/>
      <c r="N220" s="65"/>
      <c r="O220" s="65">
        <v>19.110429643812012</v>
      </c>
      <c r="P220" s="65">
        <v>45.637352436952433</v>
      </c>
      <c r="Q220" s="65">
        <v>4.0890581367272416</v>
      </c>
      <c r="R220" s="65">
        <v>1.8056749785038693</v>
      </c>
      <c r="S220" s="65">
        <v>85.3575937848465</v>
      </c>
    </row>
  </sheetData>
  <conditionalFormatting sqref="D21:R28">
    <cfRule type="cellIs" dxfId="3176" priority="1" operator="equal">
      <formula>0</formula>
    </cfRule>
  </conditionalFormatting>
  <conditionalFormatting sqref="D11:S20 S21:S31 D30:R31 D32:S42 D45:S48">
    <cfRule type="cellIs" dxfId="3175" priority="4" operator="equal">
      <formula>0</formula>
    </cfRule>
  </conditionalFormatting>
  <conditionalFormatting sqref="D59:S88">
    <cfRule type="cellIs" dxfId="3174" priority="11" operator="equal">
      <formula>0</formula>
    </cfRule>
  </conditionalFormatting>
  <conditionalFormatting sqref="D103:S132">
    <cfRule type="cellIs" dxfId="3173" priority="12" operator="equal">
      <formula>0</formula>
    </cfRule>
  </conditionalFormatting>
  <conditionalFormatting sqref="D147:S176">
    <cfRule type="cellIs" dxfId="3172" priority="13" operator="equal">
      <formula>0</formula>
    </cfRule>
  </conditionalFormatting>
  <conditionalFormatting sqref="D191:S220">
    <cfRule type="cellIs" dxfId="3171" priority="9" operator="equal">
      <formula>0</formula>
    </cfRule>
  </conditionalFormatting>
  <conditionalFormatting sqref="J10:O10">
    <cfRule type="cellIs" dxfId="3170" priority="3" operator="equal">
      <formula>0</formula>
    </cfRule>
  </conditionalFormatting>
  <conditionalFormatting sqref="U11:U28 U30:U42 U45:U48">
    <cfRule type="cellIs" dxfId="3169" priority="2" operator="equal">
      <formula>0</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B7972-CF68-4F3F-AC21-AD18919F4BF9}">
  <dimension ref="A1:Z57"/>
  <sheetViews>
    <sheetView topLeftCell="A3" zoomScale="70" zoomScaleNormal="70" workbookViewId="0">
      <selection activeCell="C44" sqref="C44"/>
    </sheetView>
  </sheetViews>
  <sheetFormatPr baseColWidth="10" defaultColWidth="11.42578125" defaultRowHeight="15" x14ac:dyDescent="0.25"/>
  <cols>
    <col min="2" max="2" width="25.85546875" customWidth="1"/>
    <col min="5" max="5" width="11.7109375" customWidth="1"/>
    <col min="17" max="17" width="15.85546875" bestFit="1"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255.88879167341375</v>
      </c>
      <c r="D5" s="18"/>
      <c r="E5" s="20"/>
      <c r="F5" s="494"/>
      <c r="G5" s="21"/>
      <c r="H5" s="493"/>
      <c r="I5" s="21"/>
      <c r="J5" s="22"/>
      <c r="K5" s="23"/>
      <c r="L5" s="14"/>
      <c r="M5" s="14"/>
      <c r="N5" s="15"/>
      <c r="O5" s="16"/>
      <c r="P5" s="16"/>
      <c r="Q5" s="24">
        <f>Q13+Q22+Q30+Q42+Q46+Q38+Q43</f>
        <v>139.20295788836296</v>
      </c>
      <c r="R5" s="487"/>
      <c r="S5" s="79">
        <f>SUM(S13,S22,S27:S32,S41)</f>
        <v>141.10983647266181</v>
      </c>
      <c r="T5" s="79">
        <f>SUM(T8:T46)</f>
        <v>4.4860507954281585</v>
      </c>
      <c r="U5" s="79">
        <f>SUM(U8:U46)</f>
        <v>26.186395747332707</v>
      </c>
      <c r="V5" s="79">
        <f>SUM(V8:V46)</f>
        <v>42.165290372129355</v>
      </c>
      <c r="W5" s="173">
        <f>SUM(W8:W46)</f>
        <v>24.506016758025972</v>
      </c>
      <c r="X5" s="79">
        <f>SUM(X8:X46)</f>
        <v>43.76608279974559</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f>(([12]Offre_calc!$L$81+[12]Offre_calc!$L$82+[12]Offre_calc!$L$127+[12]Offre_calc!$L$128)/([12]Offre_calc!$L$78+[12]Offre_calc!$L$124))*Bilan_enerdata_2015!I21</f>
        <v>2.6944655873275929</v>
      </c>
      <c r="D7" s="516"/>
      <c r="E7" s="28">
        <v>0</v>
      </c>
      <c r="F7" s="516"/>
      <c r="G7" s="17">
        <f>C7-E7</f>
        <v>2.6944655873275929</v>
      </c>
      <c r="H7" s="516"/>
      <c r="I7" s="21"/>
      <c r="J7" s="516"/>
      <c r="K7" s="523"/>
      <c r="L7" s="523"/>
      <c r="M7" s="523"/>
      <c r="N7" s="523"/>
      <c r="O7" s="523"/>
      <c r="P7" s="513"/>
      <c r="Q7" s="526"/>
      <c r="R7" s="498"/>
      <c r="S7" s="526"/>
      <c r="T7" s="523"/>
      <c r="U7" s="523"/>
      <c r="V7" s="523"/>
      <c r="W7" s="523"/>
      <c r="X7" s="523"/>
    </row>
    <row r="8" spans="1:24" x14ac:dyDescent="0.25">
      <c r="A8" s="736"/>
      <c r="B8" s="1" t="s">
        <v>18</v>
      </c>
      <c r="C8" s="486">
        <f>(([12]Offre_calc!$L$80+[12]Offre_calc!$L$126)/([12]Offre_calc!$L$78+[12]Offre_calc!$L$124))*Bilan_enerdata_2015!I21</f>
        <v>3.2925160422071951</v>
      </c>
      <c r="D8" s="81"/>
      <c r="E8" s="28">
        <v>0</v>
      </c>
      <c r="F8" s="81"/>
      <c r="G8" s="17">
        <f t="shared" ref="G8:G19" si="0">C8-E8</f>
        <v>3.2925160422071951</v>
      </c>
      <c r="H8" s="81"/>
      <c r="I8" s="21"/>
      <c r="J8" s="81"/>
      <c r="K8" s="524"/>
      <c r="L8" s="524"/>
      <c r="M8" s="524"/>
      <c r="N8" s="524"/>
      <c r="O8" s="524"/>
      <c r="P8" s="29"/>
      <c r="Q8" s="527"/>
      <c r="R8" s="498"/>
      <c r="S8" s="527"/>
      <c r="T8" s="524"/>
      <c r="U8" s="524"/>
      <c r="V8" s="524"/>
      <c r="W8" s="524"/>
      <c r="X8" s="524"/>
    </row>
    <row r="9" spans="1:24" x14ac:dyDescent="0.25">
      <c r="A9" s="736"/>
      <c r="B9" s="1" t="s">
        <v>19</v>
      </c>
      <c r="C9" s="486">
        <f>(([12]Offre_calc!$L$79+[12]Offre_calc!$L$125)/([12]Offre_calc!$L$78+[12]Offre_calc!$L$124))*Bilan_enerdata_2015!I21</f>
        <v>1.1874648021075129</v>
      </c>
      <c r="D9" s="81"/>
      <c r="E9" s="28">
        <v>0</v>
      </c>
      <c r="F9" s="81"/>
      <c r="G9" s="17">
        <f t="shared" si="0"/>
        <v>1.1874648021075129</v>
      </c>
      <c r="H9" s="81"/>
      <c r="I9" s="21"/>
      <c r="J9" s="81"/>
      <c r="K9" s="524"/>
      <c r="L9" s="524"/>
      <c r="M9" s="524"/>
      <c r="N9" s="524"/>
      <c r="O9" s="524"/>
      <c r="P9" s="29"/>
      <c r="Q9" s="527"/>
      <c r="R9" s="498"/>
      <c r="S9" s="527"/>
      <c r="T9" s="524"/>
      <c r="U9" s="524"/>
      <c r="V9" s="524"/>
      <c r="W9" s="524"/>
      <c r="X9" s="524"/>
    </row>
    <row r="10" spans="1:24" x14ac:dyDescent="0.25">
      <c r="A10" s="736"/>
      <c r="B10" s="1" t="s">
        <v>20</v>
      </c>
      <c r="C10" s="17">
        <f>Bilan_enerdata_2015!H21-(Bilan_enerdata_2015!P20+Bilan_enerdata_2015!P19)</f>
        <v>114.07243284087656</v>
      </c>
      <c r="D10" s="81"/>
      <c r="E10" s="28">
        <f>F13-SUM(E11:E19)</f>
        <v>74.95070054096098</v>
      </c>
      <c r="F10" s="81"/>
      <c r="G10" s="17">
        <f t="shared" si="0"/>
        <v>39.121732299915578</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f>Bilan_enerdata_2015!M21</f>
        <v>2.789874785755302E-2</v>
      </c>
      <c r="D11" s="81"/>
      <c r="E11" s="28">
        <f>C11*(1-[12]Offre_calc!$L$161)</f>
        <v>1.3224006484480131E-2</v>
      </c>
      <c r="F11" s="81"/>
      <c r="G11" s="17">
        <f t="shared" si="0"/>
        <v>1.4674741373072888E-2</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f>Bilan_enerdata_2015!K21</f>
        <v>0.7813209679998101</v>
      </c>
      <c r="D12" s="81"/>
      <c r="E12" s="28">
        <f>C12*(1-[12]Offre_calc!$L$171)</f>
        <v>0.59849186148785449</v>
      </c>
      <c r="F12" s="81"/>
      <c r="G12" s="17">
        <f t="shared" si="0"/>
        <v>0.18282910651195561</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f>Bilan_enerdata_2015!J21</f>
        <v>2.7351668371162696</v>
      </c>
      <c r="D13" s="81">
        <f>SUM(C7:C19)</f>
        <v>132.32103915797595</v>
      </c>
      <c r="E13" s="28">
        <f>C13*(1-[12]Offre_calc!$L$170)</f>
        <v>2.0951377972310627</v>
      </c>
      <c r="F13" s="81">
        <f>Bilan_enerdata_2015!S21</f>
        <v>81.909348853938525</v>
      </c>
      <c r="G13" s="17">
        <f t="shared" si="0"/>
        <v>0.64002903988520687</v>
      </c>
      <c r="H13" s="81">
        <f>SUM(G7:G19)</f>
        <v>50.411690304037457</v>
      </c>
      <c r="I13" s="33">
        <f>Bilan_enerdata_2015!P30</f>
        <v>2.7822871883060998</v>
      </c>
      <c r="J13" s="81">
        <f>H13-I13</f>
        <v>47.629403115731357</v>
      </c>
      <c r="K13" s="29">
        <f>Bilan_enerdata_2015!P31</f>
        <v>3.04359415305245</v>
      </c>
      <c r="L13" s="29">
        <f>-(Bilan_enerdata_2015!P14+Bilan_enerdata_2015!P13)</f>
        <v>5.5084264832330145</v>
      </c>
      <c r="M13" s="29">
        <f>Bilan_enerdata_2015!P28</f>
        <v>0</v>
      </c>
      <c r="N13" s="29"/>
      <c r="O13" s="29"/>
      <c r="P13" s="29"/>
      <c r="Q13" s="81">
        <f>J13-K13-L13-M13-N13-O13-P13</f>
        <v>39.077382479445887</v>
      </c>
      <c r="R13" s="508">
        <f>Q13-S13</f>
        <v>0.99486820589964964</v>
      </c>
      <c r="S13" s="81">
        <f>SUM(T8:X19)</f>
        <v>38.082514273546238</v>
      </c>
      <c r="T13" s="29">
        <f>Bilan_enerdata_2015!P38</f>
        <v>0.74651762682717104</v>
      </c>
      <c r="U13" s="29">
        <f>Bilan_enerdata_2015!P34+Bilan_enerdata_2015!P39</f>
        <v>10.069552160228</v>
      </c>
      <c r="V13" s="29">
        <f>Bilan_enerdata_2015!P36</f>
        <v>13.6203670581426</v>
      </c>
      <c r="W13" s="29">
        <f>Bilan_enerdata_2015!P37</f>
        <v>12.701365476499801</v>
      </c>
      <c r="X13" s="29">
        <f>Bilan_enerdata_2015!P35</f>
        <v>0.94471195184866696</v>
      </c>
    </row>
    <row r="14" spans="1:24" x14ac:dyDescent="0.25">
      <c r="A14" s="736"/>
      <c r="B14" s="1" t="s">
        <v>24</v>
      </c>
      <c r="C14" s="486">
        <v>0</v>
      </c>
      <c r="D14" s="81"/>
      <c r="E14" s="28">
        <v>0</v>
      </c>
      <c r="F14" s="81"/>
      <c r="G14" s="17">
        <f t="shared" si="0"/>
        <v>0</v>
      </c>
      <c r="H14" s="81"/>
      <c r="I14" s="21"/>
      <c r="J14" s="81"/>
      <c r="K14" s="524"/>
      <c r="L14" s="524"/>
      <c r="M14" s="524"/>
      <c r="N14" s="524"/>
      <c r="O14" s="524"/>
      <c r="P14" s="29"/>
      <c r="Q14" s="527"/>
      <c r="R14" s="498"/>
      <c r="S14" s="527"/>
      <c r="T14" s="524"/>
      <c r="U14" s="524"/>
      <c r="V14" s="524"/>
      <c r="W14" s="524"/>
      <c r="X14" s="524"/>
    </row>
    <row r="15" spans="1:24" x14ac:dyDescent="0.25">
      <c r="A15" s="736"/>
      <c r="B15" s="1" t="s">
        <v>25</v>
      </c>
      <c r="C15" s="486">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36"/>
      <c r="B16" s="1" t="s">
        <v>26</v>
      </c>
      <c r="C16" s="17"/>
      <c r="D16" s="81"/>
      <c r="E16" s="28">
        <f>C16*(1-[12]Offre_calc!$L$158)</f>
        <v>0</v>
      </c>
      <c r="F16" s="81"/>
      <c r="G16" s="17">
        <f t="shared" si="0"/>
        <v>0</v>
      </c>
      <c r="H16" s="81"/>
      <c r="I16" s="21"/>
      <c r="J16" s="81"/>
      <c r="K16" s="524"/>
      <c r="L16" s="524"/>
      <c r="M16" s="524"/>
      <c r="N16" s="524"/>
      <c r="O16" s="524"/>
      <c r="P16" s="29"/>
      <c r="Q16" s="527"/>
      <c r="R16" s="498"/>
      <c r="S16" s="527"/>
      <c r="T16" s="524"/>
      <c r="U16" s="524"/>
      <c r="V16" s="524"/>
      <c r="W16" s="524"/>
      <c r="X16" s="524"/>
    </row>
    <row r="17" spans="1:24" x14ac:dyDescent="0.25">
      <c r="A17" s="736"/>
      <c r="B17" s="1" t="s">
        <v>27</v>
      </c>
      <c r="C17" s="17">
        <f>Bilan_enerdata_2015!F21</f>
        <v>0.70199999999999996</v>
      </c>
      <c r="D17" s="81"/>
      <c r="E17" s="28">
        <f>C17*(1-[12]Offre_calc!$L$158)</f>
        <v>0.39312000000000002</v>
      </c>
      <c r="F17" s="81"/>
      <c r="G17" s="17">
        <f t="shared" si="0"/>
        <v>0.30887999999999993</v>
      </c>
      <c r="H17" s="81"/>
      <c r="I17" s="21"/>
      <c r="J17" s="81"/>
      <c r="K17" s="524"/>
      <c r="L17" s="524"/>
      <c r="M17" s="524"/>
      <c r="N17" s="524"/>
      <c r="O17" s="524"/>
      <c r="P17" s="29"/>
      <c r="Q17" s="527"/>
      <c r="R17" s="498"/>
      <c r="S17" s="527"/>
      <c r="T17" s="524"/>
      <c r="U17" s="524"/>
      <c r="V17" s="524"/>
      <c r="W17" s="524"/>
      <c r="X17" s="524"/>
    </row>
    <row r="18" spans="1:24" x14ac:dyDescent="0.25">
      <c r="A18" s="736"/>
      <c r="B18" s="1" t="s">
        <v>28</v>
      </c>
      <c r="C18" s="17">
        <f>Bilan_enerdata_2015!D21</f>
        <v>2.993512517722364</v>
      </c>
      <c r="D18" s="81"/>
      <c r="E18" s="28">
        <f>C18*(1-[12]Offre_calc!$L$157)</f>
        <v>2.0412350215773709</v>
      </c>
      <c r="F18" s="81"/>
      <c r="G18" s="17">
        <f t="shared" si="0"/>
        <v>0.95227749614499313</v>
      </c>
      <c r="H18" s="81"/>
      <c r="I18" s="21"/>
      <c r="J18" s="81"/>
      <c r="K18" s="524"/>
      <c r="L18" s="524"/>
      <c r="M18" s="524"/>
      <c r="N18" s="524"/>
      <c r="O18" s="524"/>
      <c r="P18" s="29"/>
      <c r="Q18" s="527"/>
      <c r="R18" s="498"/>
      <c r="S18" s="527"/>
      <c r="T18" s="524"/>
      <c r="U18" s="524"/>
      <c r="V18" s="524"/>
      <c r="W18" s="524"/>
      <c r="X18" s="524"/>
    </row>
    <row r="19" spans="1:24" x14ac:dyDescent="0.25">
      <c r="A19" s="736"/>
      <c r="B19" s="1" t="s">
        <v>260</v>
      </c>
      <c r="C19" s="17">
        <f>Bilan_enerdata_2015!G21</f>
        <v>3.8342608147611204</v>
      </c>
      <c r="D19" s="82"/>
      <c r="E19" s="28">
        <f>C19*(1-[12]Offre_calc!$L$160)</f>
        <v>1.8174396261967709</v>
      </c>
      <c r="F19" s="82"/>
      <c r="G19" s="17">
        <f t="shared" si="0"/>
        <v>2.0168211885643492</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0.34295518492612309</v>
      </c>
      <c r="H20" s="499"/>
      <c r="I20" s="17"/>
      <c r="J20" s="1"/>
      <c r="K20" s="17"/>
      <c r="L20" s="1"/>
      <c r="M20" s="1"/>
      <c r="N20" s="1"/>
      <c r="O20" s="1"/>
      <c r="P20" s="1"/>
      <c r="Q20" s="499"/>
      <c r="R20" s="498"/>
      <c r="S20" s="408"/>
      <c r="T20" s="495"/>
      <c r="U20" s="408"/>
      <c r="V20" s="495"/>
      <c r="W20" s="408"/>
      <c r="X20" s="495"/>
    </row>
    <row r="21" spans="1:24" x14ac:dyDescent="0.25">
      <c r="A21" s="737" t="s">
        <v>13</v>
      </c>
      <c r="B21" s="1" t="s">
        <v>21</v>
      </c>
      <c r="C21" s="553">
        <f>-Bilan_enerdata_2015!M23</f>
        <v>0</v>
      </c>
      <c r="D21" s="529"/>
      <c r="E21" s="189">
        <v>0</v>
      </c>
      <c r="F21" s="529"/>
      <c r="G21" s="17">
        <f t="shared" ref="G21:G24" si="1">C21-E21</f>
        <v>0</v>
      </c>
      <c r="H21" s="529"/>
      <c r="I21" s="17"/>
      <c r="J21" s="529"/>
      <c r="K21" s="545">
        <f>Bilan_enerdata_2015!M31</f>
        <v>0</v>
      </c>
      <c r="L21" s="545">
        <f>-(Bilan_enerdata_2015!M13+Bilan_enerdata_2015!M14+Bilan_enerdata_2015!M15+Bilan_enerdata_2015!M16)</f>
        <v>0</v>
      </c>
      <c r="M21" s="545">
        <f>Bilan_enerdata_2015!M28</f>
        <v>0</v>
      </c>
      <c r="N21" s="545">
        <v>0</v>
      </c>
      <c r="O21" s="545">
        <f>Bilan_enerdata_2015!M21</f>
        <v>2.789874785755302E-2</v>
      </c>
      <c r="P21" s="529"/>
      <c r="Q21" s="529"/>
      <c r="R21" s="498"/>
      <c r="S21" s="529"/>
      <c r="T21" s="529"/>
      <c r="U21" s="529"/>
      <c r="V21" s="529"/>
      <c r="W21" s="529"/>
      <c r="X21" s="529"/>
    </row>
    <row r="22" spans="1:24" x14ac:dyDescent="0.25">
      <c r="A22" s="737"/>
      <c r="B22" s="1" t="s">
        <v>30</v>
      </c>
      <c r="C22" s="17"/>
      <c r="D22" s="85">
        <f>SUM(C21:C24)</f>
        <v>33.938598079402048</v>
      </c>
      <c r="E22" s="497"/>
      <c r="F22" s="85">
        <f>SUM(E21:E24)</f>
        <v>0.94207672880439985</v>
      </c>
      <c r="G22" s="17"/>
      <c r="H22" s="85">
        <f>SUM(G21:G24)</f>
        <v>32.996521350597646</v>
      </c>
      <c r="I22" s="408"/>
      <c r="J22" s="85">
        <f>H22-I22</f>
        <v>32.996521350597646</v>
      </c>
      <c r="K22" s="32"/>
      <c r="L22" s="32"/>
      <c r="M22" s="32"/>
      <c r="N22" s="32"/>
      <c r="O22" s="32"/>
      <c r="P22" s="32"/>
      <c r="Q22" s="85">
        <f>J22-SUM(K21:P24)</f>
        <v>28.014058388838819</v>
      </c>
      <c r="R22" s="508">
        <f>Q22-S22</f>
        <v>-1.6777708104451357</v>
      </c>
      <c r="S22" s="85">
        <f>SUM(T22:X24)</f>
        <v>29.691829199283955</v>
      </c>
      <c r="T22" s="32">
        <f>Bilan_enerdata_2015!G38+Bilan_enerdata_2015!R38+Bilan_enerdata_2015!M$38</f>
        <v>0.20215430661253031</v>
      </c>
      <c r="U22" s="32">
        <f>Bilan_enerdata_2015!G34+Bilan_enerdata_2015!R34+Bilan_enerdata_2015!M$34</f>
        <v>10.298005677194096</v>
      </c>
      <c r="V22" s="32">
        <f>Bilan_enerdata_2015!G36+Bilan_enerdata_2015!R36+Bilan_enerdata_2015!M$36</f>
        <v>11.912749680464922</v>
      </c>
      <c r="W22" s="32">
        <f>Bilan_enerdata_2015!G37+Bilan_enerdata_2015!K37+Bilan_enerdata_2015!R37+Bilan_enerdata_2015!M$37</f>
        <v>7.2062454679408585</v>
      </c>
      <c r="X22" s="32">
        <f>Bilan_enerdata_2015!G35+Bilan_enerdata_2015!R35+Bilan_enerdata_2015!M$35</f>
        <v>7.267406707154804E-2</v>
      </c>
    </row>
    <row r="23" spans="1:24" x14ac:dyDescent="0.25">
      <c r="A23" s="737"/>
      <c r="B23" s="1" t="s">
        <v>31</v>
      </c>
      <c r="C23" s="17">
        <f>SUM(Bilan_enerdata_2015!D28:Q28)-C47</f>
        <v>0</v>
      </c>
      <c r="D23" s="530"/>
      <c r="E23" s="33">
        <f>Bilan_enerdata_2015!S28+Bilan_enerdata_2015!S27</f>
        <v>0</v>
      </c>
      <c r="F23" s="532"/>
      <c r="G23" s="17">
        <f t="shared" si="1"/>
        <v>0</v>
      </c>
      <c r="H23" s="532"/>
      <c r="I23" s="17"/>
      <c r="J23" s="532"/>
      <c r="K23" s="534">
        <f>Bilan_enerdata_2015!R31</f>
        <v>0</v>
      </c>
      <c r="L23" s="534">
        <f>-(Bilan_enerdata_2015!R13+Bilan_enerdata_2015!R14+Bilan_enerdata_2015!R15+Bilan_enerdata_2015!R16)</f>
        <v>0</v>
      </c>
      <c r="M23" s="534"/>
      <c r="N23" s="534">
        <f>Bilan_enerdata_2015!R22</f>
        <v>0</v>
      </c>
      <c r="O23" s="534">
        <f>Bilan_enerdata_2015!R21</f>
        <v>0</v>
      </c>
      <c r="P23" s="534">
        <f>-Bilan_enerdata_2015!L27</f>
        <v>0</v>
      </c>
      <c r="Q23" s="532"/>
      <c r="S23" s="532"/>
      <c r="T23" s="536"/>
      <c r="U23" s="536"/>
      <c r="V23" s="536"/>
      <c r="W23" s="536"/>
      <c r="X23" s="536"/>
    </row>
    <row r="24" spans="1:24" x14ac:dyDescent="0.25">
      <c r="A24" s="737"/>
      <c r="B24" s="1" t="s">
        <v>32</v>
      </c>
      <c r="C24" s="553">
        <f>Bilan_enerdata_2015!G18-C45-(Bilan_enerdata_2015!G20+Bilan_enerdata_2015!G19)-Bilan_enerdata_2015!G19</f>
        <v>33.938598079402048</v>
      </c>
      <c r="D24" s="531"/>
      <c r="E24" s="548">
        <f>Bilan_enerdata_2015!G30-0.3</f>
        <v>0.94207672880439985</v>
      </c>
      <c r="F24" s="533"/>
      <c r="G24" s="17">
        <f t="shared" si="1"/>
        <v>32.996521350597646</v>
      </c>
      <c r="H24" s="533"/>
      <c r="I24" s="34"/>
      <c r="J24" s="533"/>
      <c r="K24" s="535">
        <f>Bilan_enerdata_2015!G31</f>
        <v>0.46122098022356001</v>
      </c>
      <c r="L24" s="535"/>
      <c r="M24" s="535">
        <f>Bilan_enerdata_2015!G28</f>
        <v>0</v>
      </c>
      <c r="N24" s="535">
        <f>Bilan_enerdata_2015!G22</f>
        <v>0.65908241891659503</v>
      </c>
      <c r="O24" s="535">
        <f>Bilan_enerdata_2015!G21</f>
        <v>3.8342608147611204</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38" t="s">
        <v>14</v>
      </c>
      <c r="B26" s="1" t="s">
        <v>21</v>
      </c>
      <c r="C26" s="17">
        <f>-Bilan_enerdata_2015!M22</f>
        <v>0.3</v>
      </c>
      <c r="D26" s="512"/>
      <c r="E26" s="190">
        <f>C26*F$35</f>
        <v>6.7895488739272009E-2</v>
      </c>
      <c r="F26" s="512"/>
      <c r="G26" s="33">
        <f t="shared" ref="G26:G31" si="2">C26-E26</f>
        <v>0.23210451126072798</v>
      </c>
      <c r="H26" s="512"/>
      <c r="I26" s="1"/>
      <c r="J26" s="512"/>
      <c r="K26" s="512"/>
      <c r="L26" s="512"/>
      <c r="M26" s="512"/>
      <c r="N26" s="512"/>
      <c r="O26" s="512"/>
      <c r="P26" s="512"/>
      <c r="Q26" s="512"/>
      <c r="R26" s="498"/>
      <c r="S26" s="512"/>
      <c r="T26" s="512"/>
      <c r="U26" s="512"/>
      <c r="V26" s="512"/>
      <c r="W26" s="512"/>
      <c r="X26" s="512"/>
    </row>
    <row r="27" spans="1:24" x14ac:dyDescent="0.25">
      <c r="A27" s="738"/>
      <c r="B27" s="1" t="s">
        <v>22</v>
      </c>
      <c r="C27" s="17">
        <f>Bilan_enerdata_2015!K18-Bilan_enerdata_2015!K21-Bilan_enerdata_2015!K34-(Bilan_enerdata_2015!Q20+Bilan_enerdata_2015!Q19+Bilan_enerdata_2015!K20+Bilan_enerdata_2015!K19)</f>
        <v>0.76858342863840445</v>
      </c>
      <c r="D27" s="87"/>
      <c r="E27" s="190">
        <f t="shared" ref="E27:E34" si="3">C27*F$35</f>
        <v>0.17394449174769955</v>
      </c>
      <c r="F27" s="87"/>
      <c r="G27" s="33">
        <f t="shared" si="2"/>
        <v>0.59463893689070491</v>
      </c>
      <c r="H27" s="87"/>
      <c r="I27" s="500"/>
      <c r="J27" s="87"/>
      <c r="K27" s="87"/>
      <c r="L27" s="87"/>
      <c r="M27" s="87"/>
      <c r="N27" s="87"/>
      <c r="O27" s="87"/>
      <c r="P27" s="87"/>
      <c r="Q27" s="87"/>
      <c r="R27" s="498"/>
      <c r="S27" s="87"/>
      <c r="T27" s="87"/>
      <c r="U27" s="87"/>
      <c r="V27" s="87"/>
      <c r="W27" s="87"/>
      <c r="X27" s="87"/>
    </row>
    <row r="28" spans="1:24" x14ac:dyDescent="0.25">
      <c r="A28" s="738"/>
      <c r="B28" s="1" t="s">
        <v>26</v>
      </c>
      <c r="C28" s="17">
        <f>-Bilan_enerdata_2015!N22-Bilan_enerdata_2015!Q22</f>
        <v>2.3029600000000001</v>
      </c>
      <c r="D28" s="87"/>
      <c r="E28" s="190">
        <f t="shared" si="3"/>
        <v>0.52120198248997962</v>
      </c>
      <c r="F28" s="87"/>
      <c r="G28" s="33">
        <f>C28-E28</f>
        <v>1.7817580175100205</v>
      </c>
      <c r="H28" s="87"/>
      <c r="I28" s="1"/>
      <c r="J28" s="87"/>
      <c r="K28" s="87"/>
      <c r="L28" s="87"/>
      <c r="M28" s="87"/>
      <c r="N28" s="87"/>
      <c r="O28" s="87"/>
      <c r="P28" s="87"/>
      <c r="Q28" s="87"/>
      <c r="R28" s="498"/>
      <c r="S28" s="87"/>
      <c r="T28" s="87"/>
      <c r="U28" s="87"/>
      <c r="V28" s="87"/>
      <c r="W28" s="87"/>
      <c r="X28" s="87"/>
    </row>
    <row r="29" spans="1:24" x14ac:dyDescent="0.25">
      <c r="A29" s="738"/>
      <c r="B29" s="1" t="s">
        <v>23</v>
      </c>
      <c r="C29" s="17">
        <f>Bilan_enerdata_2015!J22</f>
        <v>0.38162419008447779</v>
      </c>
      <c r="D29" s="87"/>
      <c r="E29" s="190">
        <f t="shared" si="3"/>
        <v>8.6368536335048207E-2</v>
      </c>
      <c r="F29" s="87"/>
      <c r="G29" s="33">
        <f t="shared" si="2"/>
        <v>0.29525565374942958</v>
      </c>
      <c r="H29" s="87"/>
      <c r="I29" s="1"/>
      <c r="J29" s="87"/>
      <c r="K29" s="87"/>
      <c r="L29" s="87"/>
      <c r="M29" s="87"/>
      <c r="N29" s="87"/>
      <c r="O29" s="87"/>
      <c r="P29" s="87"/>
      <c r="Q29" s="87"/>
      <c r="R29" s="498"/>
      <c r="S29" s="87"/>
      <c r="T29" s="87"/>
      <c r="U29" s="87"/>
      <c r="V29" s="87"/>
      <c r="W29" s="87"/>
      <c r="X29" s="87"/>
    </row>
    <row r="30" spans="1:24" x14ac:dyDescent="0.25">
      <c r="A30" s="738"/>
      <c r="B30" s="1" t="s">
        <v>24</v>
      </c>
      <c r="C30" s="17">
        <f>Bilan_enerdata_2015!O22</f>
        <v>6.1644695240901291E-2</v>
      </c>
      <c r="D30" s="86">
        <f>SUM(C26:C34)</f>
        <v>4.7264997328803791</v>
      </c>
      <c r="E30" s="190">
        <f t="shared" si="3"/>
        <v>1.3951322371881562E-2</v>
      </c>
      <c r="F30" s="86">
        <f>Bilan_enerdata_2015!I22+Bilan_enerdata_2015!J22+Bilan_enerdata_2015!K22+Bilan_enerdata_2015!L22+Bilan_enerdata_2015!O22+Bilan_enerdata_2015!P22</f>
        <v>1.0696933646331732</v>
      </c>
      <c r="G30" s="33">
        <f t="shared" si="2"/>
        <v>4.7693372869019729E-2</v>
      </c>
      <c r="H30" s="86">
        <f>SUM(G26:G34)</f>
        <v>3.6568063682472061</v>
      </c>
      <c r="I30" s="1"/>
      <c r="J30" s="86">
        <f>H30</f>
        <v>3.6568063682472061</v>
      </c>
      <c r="K30" s="87">
        <f>Bilan_enerdata_2015!Q31</f>
        <v>0.80882690971625104</v>
      </c>
      <c r="L30" s="87"/>
      <c r="M30" s="87">
        <f>Bilan_enerdata_2015!K28</f>
        <v>0</v>
      </c>
      <c r="N30" s="87"/>
      <c r="O30" s="87"/>
      <c r="P30" s="87">
        <f>-Bilan_enerdata_2015!N22</f>
        <v>0.4</v>
      </c>
      <c r="Q30" s="86">
        <f>J30-K30-L30-M30-N30-O30-P30</f>
        <v>2.4479794585309551</v>
      </c>
      <c r="R30" s="508">
        <f>Q30-S30</f>
        <v>-0.62260677421483424</v>
      </c>
      <c r="S30" s="86">
        <f>SUM(T27:X34)</f>
        <v>3.0705862327457893</v>
      </c>
      <c r="T30" s="87">
        <f>Bilan_enerdata_2015!Q$38</f>
        <v>6.4536710533781398E-3</v>
      </c>
      <c r="U30" s="87">
        <f>Bilan_enerdata_2015!Q$34</f>
        <v>1.1415347236508699</v>
      </c>
      <c r="V30" s="87">
        <f>Bilan_enerdata_2015!Q$36</f>
        <v>1.21184436300186</v>
      </c>
      <c r="W30" s="87">
        <f>Bilan_enerdata_2015!Q$37</f>
        <v>0.710753475039681</v>
      </c>
      <c r="X30" s="87">
        <f>Bilan_enerdata_2015!Q$35</f>
        <v>0</v>
      </c>
    </row>
    <row r="31" spans="1:24" x14ac:dyDescent="0.25">
      <c r="A31" s="738"/>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38"/>
      <c r="B32" s="1" t="s">
        <v>29</v>
      </c>
      <c r="C32" s="553">
        <f>Bilan_enerdata_2015!G22+Bilan_enerdata_2015!G19</f>
        <v>0.65908241891659503</v>
      </c>
      <c r="D32" s="86"/>
      <c r="E32" s="190">
        <f t="shared" si="3"/>
        <v>0.14916240983934612</v>
      </c>
      <c r="F32" s="86"/>
      <c r="G32" s="33">
        <f>C32-E32</f>
        <v>0.50992000907724888</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Bilan_enerdata_2015!F22</f>
        <v>7.0000000000000007E-2</v>
      </c>
      <c r="D33" s="86"/>
      <c r="E33" s="190">
        <f t="shared" si="3"/>
        <v>1.5842280705830138E-2</v>
      </c>
      <c r="F33" s="86"/>
      <c r="G33" s="33">
        <f t="shared" ref="G33:G34" si="4">C33-E33</f>
        <v>5.4157719294169869E-2</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Bilan_enerdata_2015!D22</f>
        <v>0.18260499999999999</v>
      </c>
      <c r="D34" s="88"/>
      <c r="E34" s="190">
        <f t="shared" si="3"/>
        <v>4.1326852404115884E-2</v>
      </c>
      <c r="F34" s="88"/>
      <c r="G34" s="33">
        <f t="shared" si="4"/>
        <v>0.14127814759588411</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0.22631829579757337</v>
      </c>
      <c r="G35" s="17"/>
      <c r="H35" s="501"/>
      <c r="I35" s="1"/>
      <c r="J35" s="1"/>
      <c r="K35" s="1"/>
      <c r="L35" s="1"/>
      <c r="M35" s="1"/>
      <c r="N35" s="1"/>
      <c r="O35" s="1"/>
      <c r="P35" s="1"/>
      <c r="Q35" s="502"/>
      <c r="R35" s="498"/>
      <c r="U35" s="33"/>
      <c r="V35" s="33"/>
      <c r="W35" s="33"/>
    </row>
    <row r="36" spans="1:26" x14ac:dyDescent="0.25">
      <c r="A36" s="739" t="s">
        <v>34</v>
      </c>
      <c r="B36" s="1" t="s">
        <v>21</v>
      </c>
      <c r="C36" s="551">
        <v>0</v>
      </c>
      <c r="D36" s="538"/>
      <c r="E36" s="17">
        <f>Bilan_enerdata_2015!M30</f>
        <v>0</v>
      </c>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39"/>
      <c r="B37" s="1" t="s">
        <v>23</v>
      </c>
      <c r="C37" s="33">
        <f>SUM(T37:X37)</f>
        <v>7.5337520443719486</v>
      </c>
      <c r="D37" s="539"/>
      <c r="E37" s="504"/>
      <c r="F37" s="539"/>
      <c r="G37" s="17">
        <f t="shared" ref="G37:G42" si="5">C37-E37</f>
        <v>7.5337520443719486</v>
      </c>
      <c r="H37" s="539"/>
      <c r="I37" s="498"/>
      <c r="J37" s="37"/>
      <c r="K37" s="35"/>
      <c r="L37" s="35"/>
      <c r="M37" s="505"/>
      <c r="N37" s="35"/>
      <c r="P37" s="35"/>
      <c r="Q37" s="541"/>
      <c r="R37" s="498"/>
      <c r="S37" s="539"/>
      <c r="T37" s="506">
        <f>Bilan_enerdata_2015!J38</f>
        <v>2.9897922514510483E-2</v>
      </c>
      <c r="U37" s="93">
        <f>Bilan_enerdata_2015!J34</f>
        <v>1.1062928918353545</v>
      </c>
      <c r="V37" s="506">
        <f>Bilan_enerdata_2015!J36</f>
        <v>6.0818806018488383</v>
      </c>
      <c r="W37" s="507">
        <f>Bilan_enerdata_2015!J37</f>
        <v>0.31568062817324566</v>
      </c>
      <c r="X37" s="506">
        <f>Bilan_enerdata_2015!J35</f>
        <v>0</v>
      </c>
      <c r="Y37" s="489">
        <f t="shared" ref="Y37:Y47" si="6">SUM(T37:X37)</f>
        <v>7.5337520443719486</v>
      </c>
      <c r="Z37" s="489">
        <f t="shared" ref="Z37:Z44" si="7">G37-Y37</f>
        <v>0</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f>SUM(G36:G41)-E55-E56-L41-L36</f>
        <v>13.749983427665578</v>
      </c>
      <c r="R38" s="498"/>
      <c r="S38" s="539"/>
      <c r="T38" s="84">
        <v>0</v>
      </c>
      <c r="U38" s="83">
        <v>0</v>
      </c>
      <c r="V38" s="84">
        <v>0</v>
      </c>
      <c r="W38" s="91">
        <v>0</v>
      </c>
      <c r="X38" s="91">
        <v>0</v>
      </c>
      <c r="Y38" s="489">
        <f t="shared" si="6"/>
        <v>0</v>
      </c>
      <c r="Z38" s="489">
        <f t="shared" si="7"/>
        <v>0</v>
      </c>
    </row>
    <row r="39" spans="1:26" x14ac:dyDescent="0.25">
      <c r="A39" s="739"/>
      <c r="B39" s="1" t="s">
        <v>35</v>
      </c>
      <c r="C39" s="33">
        <f>SUM(T39:X39)</f>
        <v>0.18966574755685417</v>
      </c>
      <c r="D39" s="539"/>
      <c r="E39" s="35"/>
      <c r="F39" s="539"/>
      <c r="G39" s="17">
        <f t="shared" si="5"/>
        <v>0.18966574755685417</v>
      </c>
      <c r="H39" s="539"/>
      <c r="I39" s="35"/>
      <c r="J39" s="37"/>
      <c r="K39" s="35"/>
      <c r="L39" s="35"/>
      <c r="M39" s="37"/>
      <c r="N39" s="35"/>
      <c r="O39" s="35"/>
      <c r="P39" s="35"/>
      <c r="Q39" s="541"/>
      <c r="R39" s="498"/>
      <c r="S39" s="539"/>
      <c r="T39" s="84">
        <f>Bilan_enerdata_2015!O38</f>
        <v>5.1467736003962539E-3</v>
      </c>
      <c r="U39" s="83">
        <f>Bilan_enerdata_2015!O34</f>
        <v>2.5010085858689085E-5</v>
      </c>
      <c r="V39" s="84">
        <f>Bilan_enerdata_2015!O36</f>
        <v>0.10956763115778498</v>
      </c>
      <c r="W39" s="91">
        <f>Bilan_enerdata_2015!O37</f>
        <v>7.4926332712814264E-2</v>
      </c>
      <c r="X39" s="91">
        <f>Bilan_enerdata_2015!O35</f>
        <v>0</v>
      </c>
      <c r="Y39" s="489">
        <f t="shared" si="6"/>
        <v>0.18966574755685417</v>
      </c>
      <c r="Z39" s="489">
        <f t="shared" si="7"/>
        <v>0</v>
      </c>
    </row>
    <row r="40" spans="1:26" x14ac:dyDescent="0.25">
      <c r="A40" s="739"/>
      <c r="B40" s="1" t="s">
        <v>36</v>
      </c>
      <c r="C40" s="33">
        <f>Bilan_enerdata_2015!N12+P30</f>
        <v>2.9060907908975984</v>
      </c>
      <c r="D40" s="539"/>
      <c r="E40" s="552"/>
      <c r="F40" s="539"/>
      <c r="G40" s="17">
        <f t="shared" si="5"/>
        <v>2.9060907908975984</v>
      </c>
      <c r="H40" s="539"/>
      <c r="I40" s="35"/>
      <c r="J40" s="37"/>
      <c r="K40" s="35"/>
      <c r="L40" s="35"/>
      <c r="M40" s="37"/>
      <c r="N40" s="35"/>
      <c r="O40" s="35"/>
      <c r="P40" s="35"/>
      <c r="Q40" s="541"/>
      <c r="R40" s="498"/>
      <c r="S40" s="539"/>
      <c r="T40" s="83">
        <f>Bilan_enerdata_2015!N$38</f>
        <v>0</v>
      </c>
      <c r="U40" s="83">
        <f>Bilan_enerdata_2015!N$34</f>
        <v>0</v>
      </c>
      <c r="V40" s="83">
        <f>Bilan_enerdata_2015!N$36</f>
        <v>2.5168214298503164</v>
      </c>
      <c r="W40" s="83">
        <f>Bilan_enerdata_2015!N$37</f>
        <v>0.43850634072353678</v>
      </c>
      <c r="X40" s="84">
        <f>Bilan_enerdata_2015!N$35</f>
        <v>0</v>
      </c>
      <c r="Y40" s="489">
        <f t="shared" si="6"/>
        <v>2.9553277705738532</v>
      </c>
      <c r="Z40" s="489">
        <f t="shared" si="7"/>
        <v>-4.9236979676254844E-2</v>
      </c>
    </row>
    <row r="41" spans="1:26" x14ac:dyDescent="0.25">
      <c r="A41" s="739"/>
      <c r="B41" s="1" t="s">
        <v>37</v>
      </c>
      <c r="C41" s="548">
        <f>-Bilan_enerdata_2015!L26-Bilan_enerdata_2015!L27+Bilan_enerdata_2015!L13+Bilan_enerdata_2015!L14-Bilan_enerdata_2015!L19</f>
        <v>3.1204748448391761</v>
      </c>
      <c r="D41" s="191">
        <f>SUM(C36:C47)</f>
        <v>89.823896684690624</v>
      </c>
      <c r="E41" s="38"/>
      <c r="F41" s="191">
        <f>SUM(E36:E47)</f>
        <v>2.2449999999999992</v>
      </c>
      <c r="G41" s="17">
        <f t="shared" si="5"/>
        <v>3.1204748448391761</v>
      </c>
      <c r="H41" s="191">
        <f>SUM(G36:G47)</f>
        <v>87.578896684690633</v>
      </c>
      <c r="I41" s="35"/>
      <c r="J41" s="37"/>
      <c r="K41" s="35"/>
      <c r="L41" s="37">
        <f>-(Bilan_enerdata_2015!L15+Bilan_enerdata_2015!L16)</f>
        <v>0</v>
      </c>
      <c r="M41" s="35"/>
      <c r="N41" s="35"/>
      <c r="O41" s="35"/>
      <c r="P41" s="35"/>
      <c r="Q41" s="541"/>
      <c r="R41" s="508">
        <f>SUM(Q36:Q47)-S41</f>
        <v>-0.49241393508475539</v>
      </c>
      <c r="S41" s="191">
        <f>SUM(T36:X46)</f>
        <v>70.264906767085805</v>
      </c>
      <c r="T41" s="83">
        <f>Bilan_enerdata_2015!L$38</f>
        <v>0.12266677554967495</v>
      </c>
      <c r="U41" s="83">
        <f>Bilan_enerdata_2015!L$34</f>
        <v>5.6111288464125664E-2</v>
      </c>
      <c r="V41" s="83">
        <f>Bilan_enerdata_2015!L$36</f>
        <v>0</v>
      </c>
      <c r="W41" s="83">
        <f>Bilan_enerdata_2015!L$37</f>
        <v>0</v>
      </c>
      <c r="X41" s="84">
        <f>Bilan_enerdata_2015!L$35</f>
        <v>2.9416967808253762</v>
      </c>
      <c r="Y41" s="489">
        <f t="shared" si="6"/>
        <v>3.120474844839177</v>
      </c>
      <c r="Z41" s="489">
        <f>G41-Y41-L41</f>
        <v>-8.8817841970012523E-16</v>
      </c>
    </row>
    <row r="42" spans="1:26" x14ac:dyDescent="0.25">
      <c r="A42" s="739"/>
      <c r="B42" s="1" t="s">
        <v>38</v>
      </c>
      <c r="C42" s="33">
        <f>Bilan_enerdata_2015!E18+Bilan_enerdata_2015!F18-Bilan_enerdata_2015!F21-Bilan_enerdata_2015!F22-E54-SUM(T43:X43)-(Bilan_enerdata_2015!E20+Bilan_enerdata_2015!F20+Bilan_enerdata_2015!E19+Bilan_enerdata_2015!F19)</f>
        <v>41.627629483827391</v>
      </c>
      <c r="D42" s="539"/>
      <c r="E42" s="17">
        <f>Bilan_enerdata_2015!F30+Bilan_enerdata_2015!S25+Bilan_enerdata_2015!F29+Bilan_enerdata_2015!E29</f>
        <v>2.2449999999999992</v>
      </c>
      <c r="F42" s="539"/>
      <c r="G42" s="17">
        <f t="shared" si="5"/>
        <v>39.382629483827394</v>
      </c>
      <c r="H42" s="539"/>
      <c r="I42" s="498"/>
      <c r="J42" s="37"/>
      <c r="K42" s="35"/>
      <c r="L42" s="35"/>
      <c r="M42" s="35"/>
      <c r="N42" s="35"/>
      <c r="O42" s="35"/>
      <c r="P42" s="35"/>
      <c r="Q42" s="36">
        <f>G42</f>
        <v>39.382629483827394</v>
      </c>
      <c r="R42" s="498"/>
      <c r="S42" s="539"/>
      <c r="T42" s="83">
        <v>0</v>
      </c>
      <c r="U42" s="83">
        <v>0</v>
      </c>
      <c r="V42" s="83">
        <v>0</v>
      </c>
      <c r="W42" s="83">
        <v>0</v>
      </c>
      <c r="X42" s="84">
        <f>Bilan_enerdata_2015!F35</f>
        <v>39.807000000000002</v>
      </c>
      <c r="Y42" s="489">
        <f t="shared" si="6"/>
        <v>39.807000000000002</v>
      </c>
      <c r="Z42" s="489">
        <f>Q42-SUM(T42:X42)</f>
        <v>-0.42437051617260835</v>
      </c>
    </row>
    <row r="43" spans="1:26" x14ac:dyDescent="0.25">
      <c r="A43" s="739"/>
      <c r="B43" s="1" t="s">
        <v>39</v>
      </c>
      <c r="C43" s="33">
        <f>Bilan_enerdata_2015!F41+SUM(T43:X43)</f>
        <v>27.8713705161726</v>
      </c>
      <c r="D43" s="539"/>
      <c r="E43" s="38"/>
      <c r="F43" s="539"/>
      <c r="G43" s="17">
        <f>C43-E43</f>
        <v>27.8713705161726</v>
      </c>
      <c r="H43" s="539"/>
      <c r="I43" s="35"/>
      <c r="J43" s="37"/>
      <c r="K43" s="35"/>
      <c r="L43" s="35"/>
      <c r="M43" s="35"/>
      <c r="N43" s="35"/>
      <c r="O43" s="35"/>
      <c r="P43" s="35"/>
      <c r="Q43" s="36">
        <f>G43-Bilan_enerdata_2015!F41</f>
        <v>15.418370516172601</v>
      </c>
      <c r="R43" s="498"/>
      <c r="S43" s="539"/>
      <c r="T43" s="83">
        <f>Bilan_enerdata_2015!F38</f>
        <v>3.371</v>
      </c>
      <c r="U43" s="83">
        <f>Bilan_enerdata_2015!F34</f>
        <v>2.3566094604778201</v>
      </c>
      <c r="V43" s="83">
        <f>Bilan_enerdata_2015!F36</f>
        <v>6.6752954110546101</v>
      </c>
      <c r="W43" s="83">
        <f>Bilan_enerdata_2015!F37</f>
        <v>3.01546564464017</v>
      </c>
      <c r="X43" s="84">
        <v>0</v>
      </c>
      <c r="Y43" s="489">
        <f t="shared" si="6"/>
        <v>15.418370516172601</v>
      </c>
      <c r="Z43" s="489">
        <f>Q43-SUM(T43:X43)</f>
        <v>0</v>
      </c>
    </row>
    <row r="44" spans="1:26" x14ac:dyDescent="0.25">
      <c r="A44" s="739"/>
      <c r="B44" s="1" t="s">
        <v>40</v>
      </c>
      <c r="C44" s="33">
        <f>SUM(T44:X44)</f>
        <v>0.10895527045374473</v>
      </c>
      <c r="D44" s="539"/>
      <c r="E44" s="38"/>
      <c r="F44" s="539"/>
      <c r="G44" s="17">
        <f t="shared" ref="G44:G45" si="8">C44-E44</f>
        <v>0.10895527045374473</v>
      </c>
      <c r="H44" s="539"/>
      <c r="I44" s="35"/>
      <c r="J44" s="37"/>
      <c r="K44" s="35"/>
      <c r="L44" s="35"/>
      <c r="M44" s="35"/>
      <c r="N44" s="35"/>
      <c r="O44" s="35"/>
      <c r="P44" s="35"/>
      <c r="Q44" s="36">
        <f>G44-Bilan_enerdata_2015!K41</f>
        <v>0.10895527045374473</v>
      </c>
      <c r="R44" s="498"/>
      <c r="S44" s="539"/>
      <c r="T44" s="83">
        <f>Bilan_enerdata_2015!K$38</f>
        <v>0</v>
      </c>
      <c r="U44" s="83">
        <f>Bilan_enerdata_2015!K34</f>
        <v>0.10895527045374473</v>
      </c>
      <c r="V44" s="83">
        <f>Bilan_enerdata_2015!K$36</f>
        <v>0</v>
      </c>
      <c r="W44" s="83">
        <v>0</v>
      </c>
      <c r="X44" s="84">
        <f>Bilan_enerdata_2015!K$35</f>
        <v>0</v>
      </c>
      <c r="Y44" s="489">
        <f t="shared" si="6"/>
        <v>0.10895527045374473</v>
      </c>
      <c r="Z44" s="489">
        <f t="shared" si="7"/>
        <v>0</v>
      </c>
    </row>
    <row r="45" spans="1:26" x14ac:dyDescent="0.25">
      <c r="A45" s="739"/>
      <c r="B45" s="1" t="s">
        <v>41</v>
      </c>
      <c r="C45" s="33">
        <f>E53</f>
        <v>1.1015862413247299</v>
      </c>
      <c r="D45" s="539"/>
      <c r="E45" s="38"/>
      <c r="F45" s="539"/>
      <c r="G45" s="17">
        <f t="shared" si="8"/>
        <v>1.1015862413247299</v>
      </c>
      <c r="H45" s="539"/>
      <c r="I45" s="35"/>
      <c r="J45" s="37"/>
      <c r="K45" s="35"/>
      <c r="L45" s="35"/>
      <c r="M45" s="35"/>
      <c r="N45" s="35"/>
      <c r="O45" s="35"/>
      <c r="P45" s="35"/>
      <c r="Q45" s="36">
        <f>G45-Bilan_enerdata_2015!G41</f>
        <v>0</v>
      </c>
      <c r="R45" s="498"/>
      <c r="S45" s="539"/>
      <c r="T45" s="84">
        <v>0</v>
      </c>
      <c r="U45" s="83">
        <v>0</v>
      </c>
      <c r="V45" s="84">
        <v>0</v>
      </c>
      <c r="W45" s="92">
        <v>0</v>
      </c>
      <c r="X45" s="84">
        <v>0</v>
      </c>
      <c r="Y45" s="489">
        <f t="shared" si="6"/>
        <v>0</v>
      </c>
      <c r="Z45" s="489">
        <f>Q45-Y45</f>
        <v>0</v>
      </c>
    </row>
    <row r="46" spans="1:26" x14ac:dyDescent="0.25">
      <c r="A46" s="739"/>
      <c r="B46" s="1" t="s">
        <v>42</v>
      </c>
      <c r="C46" s="548">
        <f>Bilan_enerdata_2015!D18-C18-C34-Bilan_enerdata_2015!D20</f>
        <v>5.3643717452465864</v>
      </c>
      <c r="D46" s="539"/>
      <c r="E46" s="37"/>
      <c r="F46" s="539"/>
      <c r="G46" s="17">
        <f>C46-E46</f>
        <v>5.3643717452465864</v>
      </c>
      <c r="H46" s="539"/>
      <c r="I46" s="38"/>
      <c r="J46" s="37"/>
      <c r="K46" s="35"/>
      <c r="L46" s="35"/>
      <c r="M46" s="35"/>
      <c r="N46" s="35"/>
      <c r="O46" s="35"/>
      <c r="P46" s="35"/>
      <c r="Q46" s="36">
        <f>G46-(Bilan_enerdata_2015!D41+Bilan_enerdata_2015!D29+Bilan_enerdata_2015!D30)</f>
        <v>1.1125541338817282</v>
      </c>
      <c r="R46" s="498"/>
      <c r="S46" s="539"/>
      <c r="T46" s="506">
        <f>Bilan_enerdata_2015!D38</f>
        <v>2.2137192704974398E-3</v>
      </c>
      <c r="U46" s="93">
        <f>Bilan_enerdata_2015!D34</f>
        <v>1.0493092649428299</v>
      </c>
      <c r="V46" s="506">
        <f>Bilan_enerdata_2015!D36</f>
        <v>3.6764196608413298E-2</v>
      </c>
      <c r="W46" s="507">
        <f>Bilan_enerdata_2015!D37</f>
        <v>4.3073392295861899E-2</v>
      </c>
      <c r="X46" s="506">
        <f>Bilan_enerdata_2015!D35</f>
        <v>0</v>
      </c>
      <c r="Y46" s="489">
        <f t="shared" si="6"/>
        <v>1.1313605731176026</v>
      </c>
      <c r="Z46" s="489">
        <f>Q46-Y46</f>
        <v>-1.8806439235874439E-2</v>
      </c>
    </row>
    <row r="47" spans="1:26" x14ac:dyDescent="0.25">
      <c r="A47" s="90"/>
      <c r="B47" s="1" t="s">
        <v>31</v>
      </c>
      <c r="C47" s="33">
        <f>E57</f>
        <v>0</v>
      </c>
      <c r="D47" s="192"/>
      <c r="E47" s="511"/>
      <c r="F47" s="192"/>
      <c r="G47" s="17">
        <f>C47-E47</f>
        <v>0</v>
      </c>
      <c r="H47" s="192"/>
      <c r="I47" s="38"/>
      <c r="J47" s="37"/>
      <c r="K47" s="35"/>
      <c r="L47" s="35"/>
      <c r="M47" s="35"/>
      <c r="N47" s="35"/>
      <c r="O47" s="35"/>
      <c r="P47" s="35"/>
      <c r="Q47" s="542">
        <f>G47-Bilan_enerdata_2015!R41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C5-L13-SUM(L21:L24)-L30-L41-Bilan_enerdata_2015!S18</f>
        <v>0.20622703733732806</v>
      </c>
      <c r="D49" s="1"/>
      <c r="E49" s="554">
        <f>SUM(E7:E47)+I13-Bilan_enerdata_2015!S32+K13+SUM(K21:K24)+K30+Bilan_enerdata_2015!D29+Bilan_enerdata_2015!D30-Bilan_enerdata_2015!S29</f>
        <v>-3.6909905751525263</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41.200501700649923</v>
      </c>
    </row>
    <row r="52" spans="1:19" x14ac:dyDescent="0.25">
      <c r="A52" s="21"/>
      <c r="B52" s="1" t="s">
        <v>44</v>
      </c>
      <c r="C52" s="44"/>
      <c r="D52" s="1"/>
      <c r="E52" s="39">
        <f>Bilan_enerdata_2015!D41+Bilan_enerdata_2015!D29</f>
        <v>3.2143188055943388</v>
      </c>
      <c r="F52" s="187"/>
      <c r="G52" s="1"/>
      <c r="H52" s="1"/>
      <c r="I52" s="30"/>
      <c r="J52" s="17"/>
      <c r="K52" s="17"/>
      <c r="L52" s="21"/>
      <c r="M52" s="1"/>
      <c r="N52" s="17"/>
      <c r="O52" s="17"/>
      <c r="P52" s="17"/>
      <c r="Q52" s="1"/>
      <c r="S52" s="33"/>
    </row>
    <row r="53" spans="1:19" x14ac:dyDescent="0.25">
      <c r="A53" s="21"/>
      <c r="B53" s="1" t="s">
        <v>41</v>
      </c>
      <c r="C53" s="45"/>
      <c r="D53" s="17"/>
      <c r="E53" s="433">
        <f>Bilan_enerdata_2015!G41+Bilan_enerdata_2015!G29</f>
        <v>1.1015862413247299</v>
      </c>
      <c r="F53" s="187"/>
      <c r="G53" s="1"/>
      <c r="H53" s="1"/>
      <c r="I53" s="30"/>
      <c r="J53" s="17"/>
      <c r="K53" s="17"/>
      <c r="L53" s="21"/>
      <c r="M53" s="1"/>
      <c r="N53" s="17"/>
      <c r="O53" s="17"/>
      <c r="P53" s="17"/>
      <c r="Q53" s="1"/>
    </row>
    <row r="54" spans="1:19" x14ac:dyDescent="0.25">
      <c r="A54" s="21"/>
      <c r="B54" s="1" t="s">
        <v>39</v>
      </c>
      <c r="C54" s="45"/>
      <c r="D54" s="17"/>
      <c r="E54" s="435">
        <f>Bilan_enerdata_2015!F41</f>
        <v>12.452999999999999</v>
      </c>
      <c r="F54" s="187"/>
      <c r="G54" s="1"/>
      <c r="H54" s="1"/>
      <c r="I54" s="30"/>
      <c r="J54" s="17"/>
      <c r="K54" s="17"/>
      <c r="L54" s="21"/>
      <c r="M54" s="21"/>
      <c r="N54" s="17"/>
      <c r="O54" s="17"/>
      <c r="P54" s="17"/>
      <c r="Q54" s="1"/>
    </row>
    <row r="55" spans="1:19" x14ac:dyDescent="0.25">
      <c r="B55" s="1" t="s">
        <v>21</v>
      </c>
      <c r="E55" s="434">
        <f>Bilan_enerdata_2015!M41+Bilan_enerdata_2015!M29</f>
        <v>0</v>
      </c>
    </row>
    <row r="56" spans="1:19" x14ac:dyDescent="0.25">
      <c r="B56" s="1" t="s">
        <v>37</v>
      </c>
      <c r="E56" s="434">
        <f>Bilan_enerdata_2015!L41+Bilan_enerdata_2015!L29</f>
        <v>0</v>
      </c>
    </row>
    <row r="57" spans="1:19" x14ac:dyDescent="0.25">
      <c r="B57" s="1" t="s">
        <v>31</v>
      </c>
      <c r="E57" s="515">
        <f>Bilan_enerdata_2015!R41</f>
        <v>0</v>
      </c>
    </row>
  </sheetData>
  <mergeCells count="12">
    <mergeCell ref="S2:X3"/>
    <mergeCell ref="G3:H3"/>
    <mergeCell ref="A7:A19"/>
    <mergeCell ref="A21:A24"/>
    <mergeCell ref="A26:A32"/>
    <mergeCell ref="A36:A46"/>
    <mergeCell ref="C1:H1"/>
    <mergeCell ref="J1:Q1"/>
    <mergeCell ref="C2:D2"/>
    <mergeCell ref="E2:H2"/>
    <mergeCell ref="J2:J4"/>
    <mergeCell ref="K2:Q3"/>
  </mergeCells>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05FF6-566F-4062-8EC5-E08DDBE8DE6E}">
  <dimension ref="A1:Z57"/>
  <sheetViews>
    <sheetView topLeftCell="A16" workbookViewId="0">
      <selection activeCell="U45" sqref="U45"/>
    </sheetView>
  </sheetViews>
  <sheetFormatPr baseColWidth="10" defaultColWidth="11.42578125" defaultRowHeight="15" x14ac:dyDescent="0.25"/>
  <cols>
    <col min="2" max="2" width="25.85546875" customWidth="1"/>
    <col min="5" max="5" width="11.7109375" customWidth="1"/>
    <col min="17" max="17" width="15.85546875" bestFit="1"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2559.7800174335421</v>
      </c>
      <c r="D5" s="18"/>
      <c r="E5" s="20"/>
      <c r="F5" s="494"/>
      <c r="G5" s="21"/>
      <c r="H5" s="493"/>
      <c r="I5" s="21"/>
      <c r="J5" s="22"/>
      <c r="K5" s="23"/>
      <c r="L5" s="14"/>
      <c r="M5" s="14"/>
      <c r="N5" s="15"/>
      <c r="O5" s="16"/>
      <c r="P5" s="16"/>
      <c r="Q5" s="24">
        <f>Q13+Q22+Q30+Q42+Q46+Q38+Q43</f>
        <v>1459.4337989449693</v>
      </c>
      <c r="R5" s="487"/>
      <c r="S5" s="79">
        <f>SUM(S13,S22,S27:S32,S41)</f>
        <v>1463.2820921824346</v>
      </c>
      <c r="T5" s="79">
        <f>SUM(T8:T46)</f>
        <v>51.881876855801558</v>
      </c>
      <c r="U5" s="79">
        <f>SUM(U8:U46)</f>
        <v>299.96348503204933</v>
      </c>
      <c r="V5" s="79">
        <f>SUM(V8:V46)</f>
        <v>445.83971890251252</v>
      </c>
      <c r="W5" s="173">
        <f>SUM(W8:W46)</f>
        <v>240.1928337732686</v>
      </c>
      <c r="X5" s="79">
        <f>SUM(X8:X46)</f>
        <v>425.40417761880269</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f>(([12]Offre_calc!$L$81+[12]Offre_calc!$L$82+[12]Offre_calc!$L$127+[12]Offre_calc!$L$128)/([12]Offre_calc!$L$78+[12]Offre_calc!$L$124))*Bilan_E_KP_AME_2020!I$21</f>
        <v>43.442050197585424</v>
      </c>
      <c r="D7" s="516"/>
      <c r="E7" s="28">
        <v>0</v>
      </c>
      <c r="F7" s="516"/>
      <c r="G7" s="17">
        <f>C7-E7</f>
        <v>43.442050197585424</v>
      </c>
      <c r="H7" s="516"/>
      <c r="I7" s="21"/>
      <c r="J7" s="516"/>
      <c r="K7" s="523"/>
      <c r="L7" s="523"/>
      <c r="M7" s="523"/>
      <c r="N7" s="523"/>
      <c r="O7" s="523"/>
      <c r="P7" s="513"/>
      <c r="Q7" s="526"/>
      <c r="R7" s="498"/>
      <c r="S7" s="526"/>
      <c r="T7" s="523"/>
      <c r="U7" s="523"/>
      <c r="V7" s="523"/>
      <c r="W7" s="523"/>
      <c r="X7" s="523"/>
    </row>
    <row r="8" spans="1:24" x14ac:dyDescent="0.25">
      <c r="A8" s="736"/>
      <c r="B8" s="1" t="s">
        <v>18</v>
      </c>
      <c r="C8" s="486">
        <f>(([12]Offre_calc!$L$80+[12]Offre_calc!$L$126)/([12]Offre_calc!$L$78+[12]Offre_calc!$L$124))*Bilan_E_KP_AME_2020!I$21</f>
        <v>53.084236018684109</v>
      </c>
      <c r="D8" s="81"/>
      <c r="E8" s="28">
        <v>0</v>
      </c>
      <c r="F8" s="81"/>
      <c r="G8" s="17">
        <f t="shared" ref="G8:G19" si="0">C8-E8</f>
        <v>53.084236018684109</v>
      </c>
      <c r="H8" s="81"/>
      <c r="I8" s="21"/>
      <c r="J8" s="81"/>
      <c r="K8" s="524"/>
      <c r="L8" s="524"/>
      <c r="M8" s="524"/>
      <c r="N8" s="524"/>
      <c r="O8" s="524"/>
      <c r="P8" s="29"/>
      <c r="Q8" s="527"/>
      <c r="R8" s="498"/>
      <c r="S8" s="527"/>
      <c r="T8" s="524"/>
      <c r="U8" s="524"/>
      <c r="V8" s="524"/>
      <c r="W8" s="524"/>
      <c r="X8" s="524"/>
    </row>
    <row r="9" spans="1:24" x14ac:dyDescent="0.25">
      <c r="A9" s="736"/>
      <c r="B9" s="1" t="s">
        <v>19</v>
      </c>
      <c r="C9" s="486">
        <f>(([12]Offre_calc!$L$79+[12]Offre_calc!$L$125)/([12]Offre_calc!$L$78+[12]Offre_calc!$L$124))*Bilan_E_KP_AME_2020!I$21</f>
        <v>19.145134301820498</v>
      </c>
      <c r="D9" s="81"/>
      <c r="E9" s="28">
        <v>0</v>
      </c>
      <c r="F9" s="81"/>
      <c r="G9" s="17">
        <f t="shared" si="0"/>
        <v>19.145134301820498</v>
      </c>
      <c r="H9" s="81"/>
      <c r="I9" s="21"/>
      <c r="J9" s="81"/>
      <c r="K9" s="524"/>
      <c r="L9" s="524"/>
      <c r="M9" s="524"/>
      <c r="N9" s="524"/>
      <c r="O9" s="524"/>
      <c r="P9" s="29"/>
      <c r="Q9" s="527"/>
      <c r="R9" s="498"/>
      <c r="S9" s="527"/>
      <c r="T9" s="524"/>
      <c r="U9" s="524"/>
      <c r="V9" s="524"/>
      <c r="W9" s="524"/>
      <c r="X9" s="524"/>
    </row>
    <row r="10" spans="1:24" x14ac:dyDescent="0.25">
      <c r="A10" s="736"/>
      <c r="B10" s="1" t="s">
        <v>20</v>
      </c>
      <c r="C10" s="17">
        <f>Bilan_E_AME_Met_2020!H21-(Bilan_E_AME_Met_2020!P20+Bilan_E_AME_Met_2020!P19)</f>
        <v>1068.7282415646853</v>
      </c>
      <c r="D10" s="81"/>
      <c r="E10" s="28">
        <f>F13-SUM(E11:E19)</f>
        <v>709.56860719579549</v>
      </c>
      <c r="F10" s="81"/>
      <c r="G10" s="17">
        <f t="shared" si="0"/>
        <v>359.15963436888978</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f>Bilan_E_AME_Met_2020!M21</f>
        <v>5.1116648388888901</v>
      </c>
      <c r="D11" s="81"/>
      <c r="E11" s="28">
        <f>C11*(1-[12]Offre_calc!$L$161)</f>
        <v>2.4229291336333336</v>
      </c>
      <c r="F11" s="81"/>
      <c r="G11" s="17">
        <f t="shared" si="0"/>
        <v>2.6887357052555565</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f>Bilan_E_AME_Met_2020!K21</f>
        <v>11.440482679229399</v>
      </c>
      <c r="D12" s="81"/>
      <c r="E12" s="28">
        <f>C12*(1-[12]Offre_calc!$L$171)</f>
        <v>8.7634097322897198</v>
      </c>
      <c r="F12" s="81"/>
      <c r="G12" s="17">
        <f t="shared" si="0"/>
        <v>2.6770729469396795</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f>Bilan_E_AME_Met_2020!J21</f>
        <v>15.525267102350799</v>
      </c>
      <c r="D13" s="81">
        <f>SUM(C7:C19)</f>
        <v>1284.6591143400472</v>
      </c>
      <c r="E13" s="28">
        <f>C13*(1-[12]Offre_calc!$L$170)</f>
        <v>11.892354600400713</v>
      </c>
      <c r="F13" s="81">
        <f>Bilan_E_AME_Met_2020!S21</f>
        <v>767.1983577743697</v>
      </c>
      <c r="G13" s="17">
        <f t="shared" si="0"/>
        <v>3.6329125019500861</v>
      </c>
      <c r="H13" s="81">
        <f>SUM(G7:G19)</f>
        <v>517.46075656567734</v>
      </c>
      <c r="I13" s="33">
        <f>Bilan_E_AME_Met_2020!P30</f>
        <v>32.877518711415298</v>
      </c>
      <c r="J13" s="81">
        <f>H13-I13</f>
        <v>484.58323785426205</v>
      </c>
      <c r="K13" s="29">
        <f>Bilan_E_AME_Met_2020!P31</f>
        <v>35.222329940373399</v>
      </c>
      <c r="L13" s="29">
        <f>-(Bilan_E_AME_Met_2020!P14+Bilan_E_AME_Met_2020!P13)</f>
        <v>45.039193999999995</v>
      </c>
      <c r="M13" s="29">
        <f>Bilan_E_AME_Met_2020!P28</f>
        <v>0</v>
      </c>
      <c r="N13" s="29"/>
      <c r="O13" s="29"/>
      <c r="P13" s="29"/>
      <c r="Q13" s="81">
        <f>J13-K13-L13-M13-N13-O13-P13</f>
        <v>404.32171391388863</v>
      </c>
      <c r="R13" s="508">
        <f>Q13-S13</f>
        <v>-0.3233536819100209</v>
      </c>
      <c r="S13" s="81">
        <f>SUM(T8:X19)</f>
        <v>404.64506759579865</v>
      </c>
      <c r="T13" s="29">
        <f>Bilan_E_AME_Met_2020!P38</f>
        <v>8.0414155849497</v>
      </c>
      <c r="U13" s="29">
        <f>Bilan_E_AME_Met_2020!P34+Bilan_E_AME_Met_2020!P39</f>
        <v>105.150592236873</v>
      </c>
      <c r="V13" s="29">
        <f>Bilan_E_AME_Met_2020!P36</f>
        <v>158.3858485003</v>
      </c>
      <c r="W13" s="29">
        <f>Bilan_E_AME_Met_2020!P37</f>
        <v>124.730012203676</v>
      </c>
      <c r="X13" s="29">
        <f>Bilan_E_AME_Met_2020!P35</f>
        <v>8.3371990700000005</v>
      </c>
    </row>
    <row r="14" spans="1:24" x14ac:dyDescent="0.25">
      <c r="A14" s="736"/>
      <c r="B14" s="1" t="s">
        <v>24</v>
      </c>
      <c r="C14" s="486">
        <v>0</v>
      </c>
      <c r="D14" s="81"/>
      <c r="E14" s="28">
        <v>0</v>
      </c>
      <c r="F14" s="81"/>
      <c r="G14" s="17">
        <f t="shared" si="0"/>
        <v>0</v>
      </c>
      <c r="H14" s="81"/>
      <c r="I14" s="21"/>
      <c r="J14" s="81"/>
      <c r="K14" s="524"/>
      <c r="L14" s="524"/>
      <c r="M14" s="524"/>
      <c r="N14" s="524"/>
      <c r="O14" s="524"/>
      <c r="P14" s="29"/>
      <c r="Q14" s="527"/>
      <c r="R14" s="498"/>
      <c r="S14" s="527"/>
      <c r="T14" s="524"/>
      <c r="U14" s="524"/>
      <c r="V14" s="524"/>
      <c r="W14" s="524"/>
      <c r="X14" s="524"/>
    </row>
    <row r="15" spans="1:24" x14ac:dyDescent="0.25">
      <c r="A15" s="736"/>
      <c r="B15" s="1" t="s">
        <v>25</v>
      </c>
      <c r="C15" s="486">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36"/>
      <c r="B16" s="1" t="s">
        <v>26</v>
      </c>
      <c r="C16" s="17"/>
      <c r="D16" s="81"/>
      <c r="E16" s="28">
        <f>C16*(1-[12]Offre_calc!$L$158)</f>
        <v>0</v>
      </c>
      <c r="F16" s="81"/>
      <c r="G16" s="17">
        <f t="shared" si="0"/>
        <v>0</v>
      </c>
      <c r="H16" s="81"/>
      <c r="I16" s="21"/>
      <c r="J16" s="81"/>
      <c r="K16" s="524"/>
      <c r="L16" s="524"/>
      <c r="M16" s="524"/>
      <c r="N16" s="524"/>
      <c r="O16" s="524"/>
      <c r="P16" s="29"/>
      <c r="Q16" s="527"/>
      <c r="R16" s="498"/>
      <c r="S16" s="527"/>
      <c r="T16" s="524"/>
      <c r="U16" s="524"/>
      <c r="V16" s="524"/>
      <c r="W16" s="524"/>
      <c r="X16" s="524"/>
    </row>
    <row r="17" spans="1:24" x14ac:dyDescent="0.25">
      <c r="A17" s="736"/>
      <c r="B17" s="1" t="s">
        <v>27</v>
      </c>
      <c r="C17" s="17">
        <f>Bilan_E_AME_Met_2020!F21</f>
        <v>3.4206184464582501</v>
      </c>
      <c r="D17" s="81"/>
      <c r="E17" s="28">
        <f>C17*(1-[12]Offre_calc!$L$158)</f>
        <v>1.9155463300166202</v>
      </c>
      <c r="F17" s="81"/>
      <c r="G17" s="17">
        <f t="shared" si="0"/>
        <v>1.5050721164416299</v>
      </c>
      <c r="H17" s="81"/>
      <c r="I17" s="21"/>
      <c r="J17" s="81"/>
      <c r="K17" s="524"/>
      <c r="L17" s="524"/>
      <c r="M17" s="524"/>
      <c r="N17" s="524"/>
      <c r="O17" s="524"/>
      <c r="P17" s="29"/>
      <c r="Q17" s="527"/>
      <c r="R17" s="498"/>
      <c r="S17" s="527"/>
      <c r="T17" s="524"/>
      <c r="U17" s="524"/>
      <c r="V17" s="524"/>
      <c r="W17" s="524"/>
      <c r="X17" s="524"/>
    </row>
    <row r="18" spans="1:24" x14ac:dyDescent="0.25">
      <c r="A18" s="736"/>
      <c r="B18" s="1" t="s">
        <v>28</v>
      </c>
      <c r="C18" s="17">
        <f>Bilan_E_AME_Met_2020!D21</f>
        <v>9.3252829217432893</v>
      </c>
      <c r="D18" s="81"/>
      <c r="E18" s="28">
        <f>C18*(1-[12]Offre_calc!$L$157)</f>
        <v>6.35878219091689</v>
      </c>
      <c r="F18" s="81"/>
      <c r="G18" s="17">
        <f t="shared" si="0"/>
        <v>2.9665007308263993</v>
      </c>
      <c r="H18" s="81"/>
      <c r="I18" s="21"/>
      <c r="J18" s="81"/>
      <c r="K18" s="524"/>
      <c r="L18" s="524"/>
      <c r="M18" s="524"/>
      <c r="N18" s="524"/>
      <c r="O18" s="524"/>
      <c r="P18" s="29"/>
      <c r="Q18" s="527"/>
      <c r="R18" s="498"/>
      <c r="S18" s="527"/>
      <c r="T18" s="524"/>
      <c r="U18" s="524"/>
      <c r="V18" s="524"/>
      <c r="W18" s="524"/>
      <c r="X18" s="524"/>
    </row>
    <row r="19" spans="1:24" x14ac:dyDescent="0.25">
      <c r="A19" s="736"/>
      <c r="B19" s="1" t="s">
        <v>260</v>
      </c>
      <c r="C19" s="17">
        <f>Bilan_E_AME_Met_2020!G21</f>
        <v>55.436136268600997</v>
      </c>
      <c r="D19" s="82"/>
      <c r="E19" s="28">
        <f>C19*(1-[12]Offre_calc!$L$160)</f>
        <v>26.276728591316871</v>
      </c>
      <c r="F19" s="82"/>
      <c r="G19" s="17">
        <f t="shared" si="0"/>
        <v>29.159407677284126</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0.33606264006185288</v>
      </c>
      <c r="H20" s="499"/>
      <c r="I20" s="17"/>
      <c r="J20" s="1"/>
      <c r="K20" s="17"/>
      <c r="L20" s="1"/>
      <c r="M20" s="1"/>
      <c r="N20" s="1"/>
      <c r="O20" s="1"/>
      <c r="P20" s="1"/>
      <c r="Q20" s="499"/>
      <c r="R20" s="498"/>
      <c r="S20" s="408"/>
      <c r="T20" s="495"/>
      <c r="U20" s="408"/>
      <c r="V20" s="495"/>
      <c r="W20" s="408"/>
      <c r="X20" s="495"/>
    </row>
    <row r="21" spans="1:24" x14ac:dyDescent="0.25">
      <c r="A21" s="737" t="s">
        <v>13</v>
      </c>
      <c r="B21" s="1" t="s">
        <v>21</v>
      </c>
      <c r="C21" s="553">
        <f>-Bilan_E_AME_Met_2020!M23</f>
        <v>11.045323777777799</v>
      </c>
      <c r="D21" s="529"/>
      <c r="E21" s="189">
        <v>0</v>
      </c>
      <c r="F21" s="529"/>
      <c r="G21" s="17">
        <f t="shared" ref="G21:G24" si="1">C21-E21</f>
        <v>11.045323777777799</v>
      </c>
      <c r="H21" s="529"/>
      <c r="I21" s="17"/>
      <c r="J21" s="529"/>
      <c r="K21" s="545">
        <f>Bilan_E_AME_Met_2020!M31</f>
        <v>0</v>
      </c>
      <c r="L21" s="545">
        <f>-(Bilan_E_AME_Met_2020!M13+Bilan_E_AME_Met_2020!M14+Bilan_E_AME_Met_2020!M15+Bilan_E_AME_Met_2020!M16)</f>
        <v>0</v>
      </c>
      <c r="M21" s="545">
        <f>Bilan_E_AME_Met_2020!M28</f>
        <v>0</v>
      </c>
      <c r="N21" s="545">
        <f>Bilan_E_AME_Met_2020!M22</f>
        <v>3.0353079388888902</v>
      </c>
      <c r="O21" s="545">
        <f>Bilan_E_AME_Met_2020!M21</f>
        <v>5.1116648388888901</v>
      </c>
      <c r="P21" s="529"/>
      <c r="Q21" s="529"/>
      <c r="R21" s="498"/>
      <c r="S21" s="529"/>
      <c r="T21" s="529"/>
      <c r="U21" s="529"/>
      <c r="V21" s="529"/>
      <c r="W21" s="529"/>
      <c r="X21" s="529"/>
    </row>
    <row r="22" spans="1:24" x14ac:dyDescent="0.25">
      <c r="A22" s="737"/>
      <c r="B22" s="1" t="s">
        <v>30</v>
      </c>
      <c r="C22" s="17"/>
      <c r="D22" s="85">
        <f>SUM(C21:C24)</f>
        <v>407.52265652777788</v>
      </c>
      <c r="E22" s="497"/>
      <c r="F22" s="85">
        <f>SUM(E21:E24)</f>
        <v>5.9612449999999999</v>
      </c>
      <c r="G22" s="17"/>
      <c r="H22" s="85">
        <f>SUM(G21:G24)</f>
        <v>401.56141152777786</v>
      </c>
      <c r="I22" s="408"/>
      <c r="J22" s="85">
        <f>H22-I22</f>
        <v>401.56141152777786</v>
      </c>
      <c r="K22" s="32"/>
      <c r="L22" s="32"/>
      <c r="M22" s="32"/>
      <c r="N22" s="32"/>
      <c r="O22" s="32"/>
      <c r="P22" s="32"/>
      <c r="Q22" s="85">
        <f>J22-SUM(K21:P24)</f>
        <v>312.98117475000009</v>
      </c>
      <c r="R22" s="508">
        <f>Q22-S22</f>
        <v>3.8549320872789394E-3</v>
      </c>
      <c r="S22" s="85">
        <f>SUM(T22:X24)</f>
        <v>312.97731981791281</v>
      </c>
      <c r="T22" s="32">
        <f>Bilan_E_AME_Met_2020!G38+Bilan_E_AME_Met_2020!R38+Bilan_E_AME_Met_2020!M$38</f>
        <v>2.7076685555555562</v>
      </c>
      <c r="U22" s="32">
        <f>Bilan_E_AME_Met_2020!G34+Bilan_E_AME_Met_2020!R34+Bilan_E_AME_Met_2020!M$34</f>
        <v>116.5874281388889</v>
      </c>
      <c r="V22" s="32">
        <f>Bilan_E_AME_Met_2020!G36+Bilan_E_AME_Met_2020!R36+Bilan_E_AME_Met_2020!M$36</f>
        <v>125.05981224999999</v>
      </c>
      <c r="W22" s="32">
        <f>Bilan_E_AME_Met_2020!G37+Bilan_E_AME_Met_2020!K37+Bilan_E_AME_Met_2020!R37+Bilan_E_AME_Met_2020!M$37</f>
        <v>66.374696373468396</v>
      </c>
      <c r="X22" s="32">
        <f>Bilan_E_AME_Met_2020!G35+Bilan_E_AME_Met_2020!R35+Bilan_E_AME_Met_2020!M$35</f>
        <v>2.2477144999999998</v>
      </c>
    </row>
    <row r="23" spans="1:24" x14ac:dyDescent="0.25">
      <c r="A23" s="737"/>
      <c r="B23" s="1" t="s">
        <v>31</v>
      </c>
      <c r="C23" s="17">
        <f>SUM(Bilan_E_AME_Met_2020!D28:Q28)-C47</f>
        <v>0</v>
      </c>
      <c r="D23" s="530"/>
      <c r="E23" s="33">
        <f>Bilan_E_AME_Met_2020!S28+Bilan_E_AME_Met_2020!S27</f>
        <v>0</v>
      </c>
      <c r="F23" s="532"/>
      <c r="G23" s="17">
        <f t="shared" si="1"/>
        <v>0</v>
      </c>
      <c r="H23" s="532"/>
      <c r="I23" s="17"/>
      <c r="J23" s="532"/>
      <c r="K23" s="534">
        <f>Bilan_E_AME_Met_2020!R31</f>
        <v>0</v>
      </c>
      <c r="L23" s="534">
        <f>-(Bilan_E_AME_Met_2020!R13+Bilan_E_AME_Met_2020!R14+Bilan_E_AME_Met_2020!R15+Bilan_E_AME_Met_2020!R16)</f>
        <v>0</v>
      </c>
      <c r="M23" s="534"/>
      <c r="N23" s="534">
        <f>Bilan_E_AME_Met_2020!R22</f>
        <v>0</v>
      </c>
      <c r="O23" s="534">
        <f>Bilan_E_AME_Met_2020!R21</f>
        <v>0</v>
      </c>
      <c r="P23" s="534">
        <f>-Bilan_E_AME_Met_2020!L27</f>
        <v>0</v>
      </c>
      <c r="Q23" s="532"/>
      <c r="S23" s="532"/>
      <c r="T23" s="536"/>
      <c r="U23" s="536"/>
      <c r="V23" s="536"/>
      <c r="W23" s="536"/>
      <c r="X23" s="536"/>
    </row>
    <row r="24" spans="1:24" x14ac:dyDescent="0.25">
      <c r="A24" s="737"/>
      <c r="B24" s="1" t="s">
        <v>32</v>
      </c>
      <c r="C24" s="553">
        <f>Bilan_E_AME_Met_2020!G18-C45-(Bilan_E_AME_Met_2020!G20+Bilan_E_AME_Met_2020!G19)-Bilan_E_AME_Met_2020!G19</f>
        <v>396.47733275000007</v>
      </c>
      <c r="D24" s="531"/>
      <c r="E24" s="548">
        <f>Bilan_E_AME_Met_2020!G30-0.3</f>
        <v>5.9612449999999999</v>
      </c>
      <c r="F24" s="533"/>
      <c r="G24" s="17">
        <f t="shared" si="1"/>
        <v>390.51608775000005</v>
      </c>
      <c r="H24" s="533"/>
      <c r="I24" s="34"/>
      <c r="J24" s="533"/>
      <c r="K24" s="535">
        <f>Bilan_E_AME_Met_2020!G31</f>
        <v>3.9080132500000002</v>
      </c>
      <c r="L24" s="535"/>
      <c r="M24" s="535">
        <f>Bilan_E_AME_Met_2020!G28</f>
        <v>0</v>
      </c>
      <c r="N24" s="535">
        <f>Bilan_E_AME_Met_2020!G22</f>
        <v>21.089114481399001</v>
      </c>
      <c r="O24" s="535">
        <f>Bilan_E_AME_Met_2020!G21</f>
        <v>55.436136268600997</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38" t="s">
        <v>14</v>
      </c>
      <c r="B26" s="1" t="s">
        <v>21</v>
      </c>
      <c r="C26" s="17">
        <f>Bilan_E_AME_Met_2020!M22</f>
        <v>3.0353079388888902</v>
      </c>
      <c r="D26" s="512"/>
      <c r="E26" s="190">
        <f>C26*F$35</f>
        <v>0.38082486073584376</v>
      </c>
      <c r="F26" s="512"/>
      <c r="G26" s="33">
        <f t="shared" ref="G26:G31" si="2">C26-E26</f>
        <v>2.6544830781530466</v>
      </c>
      <c r="H26" s="512"/>
      <c r="I26" s="1"/>
      <c r="J26" s="512"/>
      <c r="K26" s="512"/>
      <c r="L26" s="512"/>
      <c r="M26" s="512"/>
      <c r="N26" s="512"/>
      <c r="O26" s="512"/>
      <c r="P26" s="512"/>
      <c r="Q26" s="512"/>
      <c r="R26" s="498"/>
      <c r="S26" s="512"/>
      <c r="T26" s="512"/>
      <c r="U26" s="512"/>
      <c r="V26" s="512"/>
      <c r="W26" s="512"/>
      <c r="X26" s="512"/>
    </row>
    <row r="27" spans="1:24" x14ac:dyDescent="0.25">
      <c r="A27" s="738"/>
      <c r="B27" s="1" t="s">
        <v>22</v>
      </c>
      <c r="C27" s="17">
        <f>Bilan_E_AME_Met_2020!K18-Bilan_E_AME_Met_2020!K21-Bilan_E_AME_Met_2020!K34-(Bilan_E_AME_Met_2020!Q20+Bilan_E_AME_Met_2020!Q19+Bilan_E_AME_Met_2020!K20+Bilan_E_AME_Met_2020!K19)</f>
        <v>18.735237669364402</v>
      </c>
      <c r="D27" s="87"/>
      <c r="E27" s="190">
        <f t="shared" ref="E27:E34" si="3">C27*F$35</f>
        <v>2.3506162866955846</v>
      </c>
      <c r="F27" s="87"/>
      <c r="G27" s="33">
        <f t="shared" si="2"/>
        <v>16.384621382668819</v>
      </c>
      <c r="H27" s="87"/>
      <c r="I27" s="500"/>
      <c r="J27" s="87"/>
      <c r="K27" s="87"/>
      <c r="L27" s="87"/>
      <c r="M27" s="87"/>
      <c r="N27" s="87"/>
      <c r="O27" s="87"/>
      <c r="P27" s="87"/>
      <c r="Q27" s="87"/>
      <c r="R27" s="498"/>
      <c r="S27" s="87"/>
      <c r="T27" s="87"/>
      <c r="U27" s="87"/>
      <c r="V27" s="87"/>
      <c r="W27" s="87"/>
      <c r="X27" s="87"/>
    </row>
    <row r="28" spans="1:24" x14ac:dyDescent="0.25">
      <c r="A28" s="738"/>
      <c r="B28" s="1" t="s">
        <v>26</v>
      </c>
      <c r="C28" s="17"/>
      <c r="D28" s="87"/>
      <c r="E28" s="190">
        <f t="shared" si="3"/>
        <v>0</v>
      </c>
      <c r="F28" s="87"/>
      <c r="G28" s="33">
        <f>C28-E28</f>
        <v>0</v>
      </c>
      <c r="H28" s="87"/>
      <c r="I28" s="1"/>
      <c r="J28" s="87"/>
      <c r="K28" s="87"/>
      <c r="L28" s="87"/>
      <c r="M28" s="87"/>
      <c r="N28" s="87"/>
      <c r="O28" s="87"/>
      <c r="P28" s="87"/>
      <c r="Q28" s="87"/>
      <c r="R28" s="498"/>
      <c r="S28" s="87"/>
      <c r="T28" s="87"/>
      <c r="U28" s="87"/>
      <c r="V28" s="87"/>
      <c r="W28" s="87"/>
      <c r="X28" s="87"/>
    </row>
    <row r="29" spans="1:24" x14ac:dyDescent="0.25">
      <c r="A29" s="738"/>
      <c r="B29" s="1" t="s">
        <v>23</v>
      </c>
      <c r="C29" s="17">
        <f>Bilan_E_AME_Met_2020!J22</f>
        <v>7.65275234209368</v>
      </c>
      <c r="D29" s="87"/>
      <c r="E29" s="190">
        <f t="shared" si="3"/>
        <v>0.96015244700034041</v>
      </c>
      <c r="F29" s="87"/>
      <c r="G29" s="33">
        <f t="shared" si="2"/>
        <v>6.6925998950933394</v>
      </c>
      <c r="H29" s="87"/>
      <c r="I29" s="1"/>
      <c r="J29" s="87"/>
      <c r="K29" s="87"/>
      <c r="L29" s="87"/>
      <c r="M29" s="87"/>
      <c r="N29" s="87"/>
      <c r="O29" s="87"/>
      <c r="P29" s="87"/>
      <c r="Q29" s="87"/>
      <c r="R29" s="498"/>
      <c r="S29" s="87"/>
      <c r="T29" s="87"/>
      <c r="U29" s="87"/>
      <c r="V29" s="87"/>
      <c r="W29" s="87"/>
      <c r="X29" s="87"/>
    </row>
    <row r="30" spans="1:24" x14ac:dyDescent="0.25">
      <c r="A30" s="738"/>
      <c r="B30" s="1" t="s">
        <v>24</v>
      </c>
      <c r="C30" s="17">
        <f>Bilan_E_AME_Met_2020!O22</f>
        <v>3.6793581777777802</v>
      </c>
      <c r="D30" s="86">
        <f>SUM(C26:C34)</f>
        <v>53.974727994454383</v>
      </c>
      <c r="E30" s="190">
        <f t="shared" si="3"/>
        <v>0.46163061338759365</v>
      </c>
      <c r="F30" s="86">
        <f>Bilan_E_AME_Met_2020!S22</f>
        <v>6.7719383619664981</v>
      </c>
      <c r="G30" s="33">
        <f t="shared" si="2"/>
        <v>3.2177275643901866</v>
      </c>
      <c r="H30" s="86">
        <f>SUM(G26:G34)</f>
        <v>47.202789632487885</v>
      </c>
      <c r="I30" s="1"/>
      <c r="J30" s="86">
        <f>H30</f>
        <v>47.202789632487885</v>
      </c>
      <c r="K30" s="87">
        <f>Bilan_E_AME_Met_2020!Q31</f>
        <v>4.2874916030489096</v>
      </c>
      <c r="L30" s="87"/>
      <c r="M30" s="87">
        <f>Bilan_E_AME_Met_2020!K28</f>
        <v>0</v>
      </c>
      <c r="N30" s="87"/>
      <c r="O30" s="87"/>
      <c r="P30" s="87"/>
      <c r="Q30" s="86">
        <f>J30-K30-L30-M30-N30-O30-P30</f>
        <v>42.915298029438972</v>
      </c>
      <c r="R30" s="508">
        <f>Q30-S30</f>
        <v>3.909412346838792E-2</v>
      </c>
      <c r="S30" s="86">
        <f>SUM(T27:X34)</f>
        <v>42.876203905970584</v>
      </c>
      <c r="T30" s="87">
        <f>Bilan_E_AME_Met_2020!Q$38</f>
        <v>0.189373333333333</v>
      </c>
      <c r="U30" s="87">
        <f>Bilan_E_AME_Met_2020!Q$34</f>
        <v>18.686166128192799</v>
      </c>
      <c r="V30" s="87">
        <f>Bilan_E_AME_Met_2020!Q$36</f>
        <v>14.411899999999999</v>
      </c>
      <c r="W30" s="87">
        <f>Bilan_E_AME_Met_2020!Q$37</f>
        <v>9.5887644444444504</v>
      </c>
      <c r="X30" s="87">
        <f>Bilan_E_AME_Met_2020!Q$35</f>
        <v>0</v>
      </c>
    </row>
    <row r="31" spans="1:24" x14ac:dyDescent="0.25">
      <c r="A31" s="738"/>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38"/>
      <c r="B32" s="1" t="s">
        <v>29</v>
      </c>
      <c r="C32" s="553">
        <f>Bilan_E_AME_Met_2020!G22+Bilan_E_AME_Met_2020!G19</f>
        <v>19.101750481398987</v>
      </c>
      <c r="D32" s="86"/>
      <c r="E32" s="190">
        <f t="shared" si="3"/>
        <v>2.3966008106421293</v>
      </c>
      <c r="F32" s="86"/>
      <c r="G32" s="33">
        <f>C32-E32</f>
        <v>16.705149670756857</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Bilan_E_AME_Met_2020!F22</f>
        <v>0.19738462224074599</v>
      </c>
      <c r="D33" s="86"/>
      <c r="E33" s="190">
        <f t="shared" si="3"/>
        <v>2.4764858389869231E-2</v>
      </c>
      <c r="F33" s="86"/>
      <c r="G33" s="33">
        <f t="shared" ref="G33:G34" si="4">C33-E33</f>
        <v>0.17261976385087677</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Bilan_E_AME_Met_2020!D22</f>
        <v>1.57293676268989</v>
      </c>
      <c r="D34" s="88"/>
      <c r="E34" s="190">
        <f t="shared" si="3"/>
        <v>0.19734848511513534</v>
      </c>
      <c r="F34" s="88"/>
      <c r="G34" s="33">
        <f t="shared" si="4"/>
        <v>1.3755882775747548</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0.12546498358754635</v>
      </c>
      <c r="G35" s="17"/>
      <c r="H35" s="501"/>
      <c r="I35" s="1"/>
      <c r="J35" s="1"/>
      <c r="K35" s="1"/>
      <c r="L35" s="1"/>
      <c r="M35" s="1"/>
      <c r="N35" s="1"/>
      <c r="O35" s="1"/>
      <c r="P35" s="1"/>
      <c r="Q35" s="502"/>
      <c r="R35" s="498"/>
      <c r="U35" s="33"/>
      <c r="V35" s="33"/>
      <c r="W35" s="33"/>
    </row>
    <row r="36" spans="1:26" x14ac:dyDescent="0.25">
      <c r="A36" s="739" t="s">
        <v>34</v>
      </c>
      <c r="B36" s="1" t="s">
        <v>21</v>
      </c>
      <c r="C36" s="551">
        <v>0</v>
      </c>
      <c r="D36" s="538"/>
      <c r="E36" s="17">
        <f>Bilan_E_AME_Met_2020!M30</f>
        <v>0</v>
      </c>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39"/>
      <c r="B37" s="1" t="s">
        <v>23</v>
      </c>
      <c r="C37" s="33">
        <f>SUM(T37:X37)</f>
        <v>89.485273611111111</v>
      </c>
      <c r="D37" s="539"/>
      <c r="E37" s="504"/>
      <c r="F37" s="539"/>
      <c r="G37" s="17">
        <f t="shared" ref="G37:G42" si="5">C37-E37</f>
        <v>89.485273611111111</v>
      </c>
      <c r="H37" s="539"/>
      <c r="I37" s="498"/>
      <c r="J37" s="37"/>
      <c r="K37" s="35"/>
      <c r="L37" s="35"/>
      <c r="M37" s="505"/>
      <c r="N37" s="35"/>
      <c r="P37" s="35"/>
      <c r="Q37" s="541"/>
      <c r="R37" s="498"/>
      <c r="S37" s="539"/>
      <c r="T37" s="506">
        <f>Bilan_E_AME_Met_2020!J38</f>
        <v>1.69047944444444</v>
      </c>
      <c r="U37" s="93">
        <f>Bilan_E_AME_Met_2020!J34</f>
        <v>15.5648575</v>
      </c>
      <c r="V37" s="506">
        <f>Bilan_E_AME_Met_2020!J36</f>
        <v>69.4067088888889</v>
      </c>
      <c r="W37" s="507">
        <f>Bilan_E_AME_Met_2020!J37</f>
        <v>2.8232277777777801</v>
      </c>
      <c r="X37" s="506">
        <f>Bilan_E_AME_Met_2020!J35</f>
        <v>0</v>
      </c>
      <c r="Y37" s="489">
        <f t="shared" ref="Y37:Y47" si="6">SUM(T37:X37)</f>
        <v>89.485273611111111</v>
      </c>
      <c r="Z37" s="489">
        <f t="shared" ref="Z37:Z44" si="7">G37-Y37</f>
        <v>0</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f>SUM(G36:G41)-E55-E56-L41-L36</f>
        <v>156.83590979824294</v>
      </c>
      <c r="R38" s="498"/>
      <c r="S38" s="539"/>
      <c r="T38" s="84">
        <v>0</v>
      </c>
      <c r="U38" s="83">
        <v>0</v>
      </c>
      <c r="V38" s="84">
        <v>0</v>
      </c>
      <c r="W38" s="91">
        <v>0</v>
      </c>
      <c r="X38" s="91">
        <v>0</v>
      </c>
      <c r="Y38" s="489">
        <f t="shared" si="6"/>
        <v>0</v>
      </c>
      <c r="Z38" s="489">
        <f t="shared" si="7"/>
        <v>0</v>
      </c>
    </row>
    <row r="39" spans="1:26" x14ac:dyDescent="0.25">
      <c r="A39" s="739"/>
      <c r="B39" s="1" t="s">
        <v>35</v>
      </c>
      <c r="C39" s="33">
        <f>SUM(T39:X39)</f>
        <v>1.7068616695866707</v>
      </c>
      <c r="D39" s="539"/>
      <c r="E39" s="35"/>
      <c r="F39" s="539"/>
      <c r="G39" s="17">
        <f t="shared" si="5"/>
        <v>1.7068616695866707</v>
      </c>
      <c r="H39" s="539"/>
      <c r="I39" s="35"/>
      <c r="J39" s="37"/>
      <c r="K39" s="35"/>
      <c r="L39" s="35"/>
      <c r="M39" s="37"/>
      <c r="N39" s="35"/>
      <c r="O39" s="35"/>
      <c r="P39" s="35"/>
      <c r="Q39" s="541"/>
      <c r="R39" s="498"/>
      <c r="S39" s="539"/>
      <c r="T39" s="84">
        <f>Bilan_E_AME_Met_2020!O38</f>
        <v>0.29232166666666698</v>
      </c>
      <c r="U39" s="83">
        <f>Bilan_E_AME_Met_2020!O34</f>
        <v>1.51127777777778E-2</v>
      </c>
      <c r="V39" s="84">
        <f>Bilan_E_AME_Met_2020!O36</f>
        <v>1.04480216638667</v>
      </c>
      <c r="W39" s="91">
        <f>Bilan_E_AME_Met_2020!O37</f>
        <v>0.354625058755556</v>
      </c>
      <c r="X39" s="91">
        <f>Bilan_E_AME_Met_2020!O35</f>
        <v>0</v>
      </c>
      <c r="Y39" s="489">
        <f t="shared" si="6"/>
        <v>1.7068616695866707</v>
      </c>
      <c r="Z39" s="489">
        <f t="shared" si="7"/>
        <v>0</v>
      </c>
    </row>
    <row r="40" spans="1:26" x14ac:dyDescent="0.25">
      <c r="A40" s="739"/>
      <c r="B40" s="1" t="s">
        <v>36</v>
      </c>
      <c r="C40" s="33">
        <f>Bilan_E_AME_Met_2020!N12</f>
        <v>32.169396111111098</v>
      </c>
      <c r="D40" s="539"/>
      <c r="E40" s="552">
        <f>Bilan_E_AME_Met_2020!N22</f>
        <v>0.25705111111111101</v>
      </c>
      <c r="F40" s="539"/>
      <c r="G40" s="17">
        <f t="shared" si="5"/>
        <v>31.912344999999988</v>
      </c>
      <c r="H40" s="539"/>
      <c r="I40" s="35"/>
      <c r="J40" s="37"/>
      <c r="K40" s="35"/>
      <c r="L40" s="35"/>
      <c r="M40" s="37"/>
      <c r="N40" s="35"/>
      <c r="O40" s="35"/>
      <c r="P40" s="35"/>
      <c r="Q40" s="541"/>
      <c r="R40" s="498"/>
      <c r="S40" s="539"/>
      <c r="T40" s="83">
        <f>Bilan_E_AME_Met_2020!N$38</f>
        <v>0</v>
      </c>
      <c r="U40" s="83">
        <f>Bilan_E_AME_Met_2020!N$34</f>
        <v>0</v>
      </c>
      <c r="V40" s="83">
        <f>Bilan_E_AME_Met_2020!N$36</f>
        <v>27.426589444444399</v>
      </c>
      <c r="W40" s="83">
        <f>Bilan_E_AME_Met_2020!N$37</f>
        <v>4.4857555555555599</v>
      </c>
      <c r="X40" s="84">
        <f>Bilan_E_AME_Met_2020!N$35</f>
        <v>0</v>
      </c>
      <c r="Y40" s="489">
        <f t="shared" si="6"/>
        <v>31.912344999999959</v>
      </c>
      <c r="Z40" s="489">
        <f t="shared" si="7"/>
        <v>2.8421709430404007E-14</v>
      </c>
    </row>
    <row r="41" spans="1:26" x14ac:dyDescent="0.25">
      <c r="A41" s="739"/>
      <c r="B41" s="1" t="s">
        <v>37</v>
      </c>
      <c r="C41" s="548">
        <f>-Bilan_E_AME_Met_2020!L26-Bilan_E_AME_Met_2020!L27+Bilan_E_AME_Met_2020!L13+Bilan_E_AME_Met_2020!L14-Bilan_E_AME_Met_2020!L19</f>
        <v>33.731429517545166</v>
      </c>
      <c r="D41" s="191">
        <f>SUM(C36:C47)</f>
        <v>898.29574209904058</v>
      </c>
      <c r="E41" s="38"/>
      <c r="F41" s="191">
        <f>SUM(E36:E47)</f>
        <v>14.340489550553073</v>
      </c>
      <c r="G41" s="17">
        <f t="shared" si="5"/>
        <v>33.731429517545166</v>
      </c>
      <c r="H41" s="191">
        <f>SUM(G36:G47)</f>
        <v>883.95525254848758</v>
      </c>
      <c r="I41" s="35"/>
      <c r="J41" s="37"/>
      <c r="K41" s="35"/>
      <c r="L41" s="37">
        <f>-(Bilan_E_AME_Met_2020!L15+Bilan_E_AME_Met_2020!L16)</f>
        <v>0</v>
      </c>
      <c r="M41" s="35"/>
      <c r="N41" s="35"/>
      <c r="O41" s="35"/>
      <c r="P41" s="35"/>
      <c r="Q41" s="541"/>
      <c r="R41" s="508">
        <f>SUM(Q36:Q47)-S41</f>
        <v>0</v>
      </c>
      <c r="S41" s="191">
        <f>SUM(T36:X46)</f>
        <v>702.78350086275236</v>
      </c>
      <c r="T41" s="83">
        <f>Bilan_E_AME_Met_2020!L$38</f>
        <v>1.93666726391606</v>
      </c>
      <c r="U41" s="83">
        <f>Bilan_E_AME_Met_2020!L$34</f>
        <v>1.0434102222764099</v>
      </c>
      <c r="V41" s="83">
        <f>Bilan_E_AME_Met_2020!L$36</f>
        <v>0</v>
      </c>
      <c r="W41" s="83">
        <f>Bilan_E_AME_Met_2020!L$37</f>
        <v>0</v>
      </c>
      <c r="X41" s="84">
        <f>Bilan_E_AME_Met_2020!L$35</f>
        <v>30.751352031352699</v>
      </c>
      <c r="Y41" s="489">
        <f t="shared" si="6"/>
        <v>33.731429517545166</v>
      </c>
      <c r="Z41" s="489">
        <f>G41-Y41-L41</f>
        <v>0</v>
      </c>
    </row>
    <row r="42" spans="1:26" x14ac:dyDescent="0.25">
      <c r="A42" s="739"/>
      <c r="B42" s="1" t="s">
        <v>38</v>
      </c>
      <c r="C42" s="33">
        <f>Bilan_E_AME_Met_2020!E18+Bilan_E_AME_Met_2020!F18-Bilan_E_AME_Met_2020!F21-Bilan_E_AME_Met_2020!F22-E54-SUM(T43:X43)-(Bilan_E_AME_Met_2020!E20+Bilan_E_AME_Met_2020!F20+Bilan_E_AME_Met_2020!E19+Bilan_E_AME_Met_2020!F19)</f>
        <v>398.15135045689215</v>
      </c>
      <c r="D42" s="539"/>
      <c r="E42" s="17">
        <f>Bilan_E_AME_Met_2020!F30+Bilan_E_AME_Met_2020!S25+Bilan_E_AME_Met_2020!F29+Bilan_E_AME_Met_2020!E29</f>
        <v>14.083438439441963</v>
      </c>
      <c r="F42" s="539"/>
      <c r="G42" s="17">
        <f t="shared" si="5"/>
        <v>384.06791201745017</v>
      </c>
      <c r="H42" s="539"/>
      <c r="I42" s="498"/>
      <c r="J42" s="37"/>
      <c r="K42" s="35"/>
      <c r="L42" s="35"/>
      <c r="M42" s="35"/>
      <c r="N42" s="35"/>
      <c r="O42" s="35"/>
      <c r="P42" s="35"/>
      <c r="Q42" s="36">
        <f>G42</f>
        <v>384.06791201745017</v>
      </c>
      <c r="R42" s="498"/>
      <c r="S42" s="539"/>
      <c r="T42" s="83">
        <v>0</v>
      </c>
      <c r="U42" s="83">
        <v>0</v>
      </c>
      <c r="V42" s="83">
        <v>0</v>
      </c>
      <c r="W42" s="83">
        <v>0</v>
      </c>
      <c r="X42" s="84">
        <f>Bilan_E_AME_Met_2020!F35</f>
        <v>384.06791201745</v>
      </c>
      <c r="Y42" s="489">
        <f t="shared" si="6"/>
        <v>384.06791201745</v>
      </c>
      <c r="Z42" s="489">
        <f>Q42-SUM(T42:X42)</f>
        <v>0</v>
      </c>
    </row>
    <row r="43" spans="1:26" x14ac:dyDescent="0.25">
      <c r="A43" s="739"/>
      <c r="B43" s="1" t="s">
        <v>39</v>
      </c>
      <c r="C43" s="33">
        <f>Bilan_E_AME_Met_2020!F41+SUM(T43:X43)</f>
        <v>279.19826698803649</v>
      </c>
      <c r="D43" s="539"/>
      <c r="E43" s="38"/>
      <c r="F43" s="539"/>
      <c r="G43" s="17">
        <f>C43-E43</f>
        <v>279.19826698803649</v>
      </c>
      <c r="H43" s="539"/>
      <c r="I43" s="35"/>
      <c r="J43" s="37"/>
      <c r="K43" s="35"/>
      <c r="L43" s="35"/>
      <c r="M43" s="35"/>
      <c r="N43" s="35"/>
      <c r="O43" s="35"/>
      <c r="P43" s="35"/>
      <c r="Q43" s="36">
        <f>G43-Bilan_E_AME_Met_2020!F41</f>
        <v>148.71414756648849</v>
      </c>
      <c r="R43" s="498"/>
      <c r="S43" s="539"/>
      <c r="T43" s="83">
        <f>Bilan_E_AME_Met_2020!F38</f>
        <v>37.008579624305803</v>
      </c>
      <c r="U43" s="83">
        <f>Bilan_E_AME_Met_2020!F34</f>
        <v>30.361762354379302</v>
      </c>
      <c r="V43" s="83">
        <f>Bilan_E_AME_Met_2020!F36</f>
        <v>49.863308104442503</v>
      </c>
      <c r="W43" s="83">
        <f>Bilan_E_AME_Met_2020!F37</f>
        <v>31.480497483360899</v>
      </c>
      <c r="X43" s="84">
        <v>0</v>
      </c>
      <c r="Y43" s="489">
        <f t="shared" si="6"/>
        <v>148.71414756648849</v>
      </c>
      <c r="Z43" s="489">
        <f>Q43-SUM(T43:X43)</f>
        <v>0</v>
      </c>
    </row>
    <row r="44" spans="1:26" x14ac:dyDescent="0.25">
      <c r="A44" s="739"/>
      <c r="B44" s="1" t="s">
        <v>40</v>
      </c>
      <c r="C44" s="33">
        <f>SUM(T44:X44)</f>
        <v>3.5678886111111101</v>
      </c>
      <c r="D44" s="539"/>
      <c r="E44" s="38"/>
      <c r="F44" s="539"/>
      <c r="G44" s="17">
        <f t="shared" ref="G44:G45" si="8">C44-E44</f>
        <v>3.5678886111111101</v>
      </c>
      <c r="H44" s="539"/>
      <c r="I44" s="35"/>
      <c r="J44" s="37"/>
      <c r="K44" s="35"/>
      <c r="L44" s="35"/>
      <c r="M44" s="35"/>
      <c r="N44" s="35"/>
      <c r="O44" s="35"/>
      <c r="P44" s="35"/>
      <c r="Q44" s="36">
        <f>G44-Bilan_E_AME_Met_2020!K41</f>
        <v>3.5678886111111101</v>
      </c>
      <c r="R44" s="498"/>
      <c r="S44" s="539"/>
      <c r="T44" s="83">
        <f>Bilan_E_AME_Met_2020!K$38</f>
        <v>0</v>
      </c>
      <c r="U44" s="83">
        <f>Bilan_E_AME_Met_2020!K34</f>
        <v>3.5678886111111101</v>
      </c>
      <c r="V44" s="83">
        <f>Bilan_E_AME_Met_2020!K$36</f>
        <v>0</v>
      </c>
      <c r="W44" s="83">
        <v>0</v>
      </c>
      <c r="X44" s="84">
        <f>Bilan_E_AME_Met_2020!K$35</f>
        <v>0</v>
      </c>
      <c r="Y44" s="489">
        <f t="shared" si="6"/>
        <v>3.5678886111111101</v>
      </c>
      <c r="Z44" s="489">
        <f t="shared" si="7"/>
        <v>0</v>
      </c>
    </row>
    <row r="45" spans="1:26" x14ac:dyDescent="0.25">
      <c r="A45" s="739"/>
      <c r="B45" s="1" t="s">
        <v>41</v>
      </c>
      <c r="C45" s="33">
        <f>E53</f>
        <v>12.027936499999999</v>
      </c>
      <c r="D45" s="539"/>
      <c r="E45" s="38"/>
      <c r="F45" s="539"/>
      <c r="G45" s="17">
        <f t="shared" si="8"/>
        <v>12.027936499999999</v>
      </c>
      <c r="H45" s="539"/>
      <c r="I45" s="35"/>
      <c r="J45" s="37"/>
      <c r="K45" s="35"/>
      <c r="L45" s="35"/>
      <c r="M45" s="35"/>
      <c r="N45" s="35"/>
      <c r="O45" s="35"/>
      <c r="P45" s="35"/>
      <c r="Q45" s="36">
        <f>G45-Bilan_E_AME_Met_2020!G41</f>
        <v>0</v>
      </c>
      <c r="R45" s="498"/>
      <c r="S45" s="539"/>
      <c r="T45" s="84">
        <v>0</v>
      </c>
      <c r="U45" s="83">
        <v>0</v>
      </c>
      <c r="V45" s="84">
        <v>0</v>
      </c>
      <c r="W45" s="92">
        <v>0</v>
      </c>
      <c r="X45" s="84">
        <v>0</v>
      </c>
      <c r="Y45" s="489">
        <f t="shared" si="6"/>
        <v>0</v>
      </c>
      <c r="Z45" s="489">
        <f>Q45-Y45</f>
        <v>0</v>
      </c>
    </row>
    <row r="46" spans="1:26" x14ac:dyDescent="0.25">
      <c r="A46" s="739"/>
      <c r="B46" s="1" t="s">
        <v>42</v>
      </c>
      <c r="C46" s="548">
        <f>Bilan_E_AME_Met_2020!D18-C18-C34-Bilan_E_AME_Met_2020!D20</f>
        <v>48.257338633646739</v>
      </c>
      <c r="D46" s="539"/>
      <c r="E46" s="37"/>
      <c r="F46" s="539"/>
      <c r="G46" s="17">
        <f>C46-E46</f>
        <v>48.257338633646739</v>
      </c>
      <c r="H46" s="539"/>
      <c r="I46" s="38"/>
      <c r="J46" s="37"/>
      <c r="K46" s="35"/>
      <c r="L46" s="35"/>
      <c r="M46" s="35"/>
      <c r="N46" s="35"/>
      <c r="O46" s="35"/>
      <c r="P46" s="35"/>
      <c r="Q46" s="36">
        <f>G46-(Bilan_E_AME_Met_2020!D41+Bilan_E_AME_Met_2020!D29+Bilan_E_AME_Met_2020!D30)</f>
        <v>9.5976428694600386</v>
      </c>
      <c r="R46" s="498"/>
      <c r="S46" s="539"/>
      <c r="T46" s="506">
        <f>Bilan_E_AME_Met_2020!D38</f>
        <v>1.5371382629999999E-2</v>
      </c>
      <c r="U46" s="93">
        <f>Bilan_E_AME_Met_2020!D34</f>
        <v>8.9862670625500005</v>
      </c>
      <c r="V46" s="506">
        <f>Bilan_E_AME_Met_2020!D36</f>
        <v>0.24074954805000001</v>
      </c>
      <c r="W46" s="507">
        <f>Bilan_E_AME_Met_2020!D37</f>
        <v>0.35525487623000002</v>
      </c>
      <c r="X46" s="506">
        <f>Bilan_E_AME_Met_2020!D35</f>
        <v>0</v>
      </c>
      <c r="Y46" s="489">
        <f t="shared" si="6"/>
        <v>9.5976428694599996</v>
      </c>
      <c r="Z46" s="489">
        <f>Q46-Y46</f>
        <v>3.907985046680551E-14</v>
      </c>
    </row>
    <row r="47" spans="1:26" x14ac:dyDescent="0.25">
      <c r="A47" s="90"/>
      <c r="B47" s="1" t="s">
        <v>31</v>
      </c>
      <c r="C47" s="33">
        <f>E57</f>
        <v>0</v>
      </c>
      <c r="D47" s="192"/>
      <c r="E47" s="511"/>
      <c r="F47" s="192"/>
      <c r="G47" s="17">
        <f>C47-E47</f>
        <v>0</v>
      </c>
      <c r="H47" s="192"/>
      <c r="I47" s="38"/>
      <c r="J47" s="37"/>
      <c r="K47" s="35"/>
      <c r="L47" s="35"/>
      <c r="M47" s="35"/>
      <c r="N47" s="35"/>
      <c r="O47" s="35"/>
      <c r="P47" s="35"/>
      <c r="Q47" s="542">
        <f>G47-Bilan_E_AME_Met_2020!R41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C5-L13-SUM(L21:L24)-L30-L41-Bilan_E_AME_Met_2020!S18</f>
        <v>26.352964952749971</v>
      </c>
      <c r="D49" s="1"/>
      <c r="E49" s="554">
        <f>SUM(E7:E47)+I13-Bilan_E_AME_Met_2020!S32+K13+SUM(K21:K24)+K30+Bilan_E_AME_Met_2020!D29+Bilan_E_AME_Met_2020!D30-Bilan_E_AME_Met_2020!S29</f>
        <v>2.6935955689424418E-3</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482.56884167124798</v>
      </c>
    </row>
    <row r="52" spans="1:19" x14ac:dyDescent="0.25">
      <c r="A52" s="21"/>
      <c r="B52" s="1" t="s">
        <v>44</v>
      </c>
      <c r="C52" s="44"/>
      <c r="D52" s="1"/>
      <c r="E52" s="39">
        <f>Bilan_E_AME_Met_2020!D41+Bilan_E_AME_Met_2020!D29</f>
        <v>27.795210764186699</v>
      </c>
      <c r="F52" s="187"/>
      <c r="G52" s="1"/>
      <c r="H52" s="1"/>
      <c r="I52" s="30"/>
      <c r="J52" s="17"/>
      <c r="K52" s="17"/>
      <c r="L52" s="21"/>
      <c r="M52" s="1"/>
      <c r="N52" s="17"/>
      <c r="O52" s="17"/>
      <c r="P52" s="17"/>
      <c r="Q52" s="1"/>
      <c r="S52" s="33"/>
    </row>
    <row r="53" spans="1:19" x14ac:dyDescent="0.25">
      <c r="A53" s="21"/>
      <c r="B53" s="1" t="s">
        <v>41</v>
      </c>
      <c r="C53" s="45"/>
      <c r="D53" s="17"/>
      <c r="E53" s="433">
        <f>Bilan_E_AME_Met_2020!G41+Bilan_E_AME_Met_2020!G29</f>
        <v>12.027936499999999</v>
      </c>
      <c r="F53" s="187"/>
      <c r="G53" s="1"/>
      <c r="H53" s="1"/>
      <c r="I53" s="30"/>
      <c r="J53" s="17"/>
      <c r="K53" s="17"/>
      <c r="L53" s="21"/>
      <c r="M53" s="1"/>
      <c r="N53" s="17"/>
      <c r="O53" s="17"/>
      <c r="P53" s="17"/>
      <c r="Q53" s="1"/>
    </row>
    <row r="54" spans="1:19" x14ac:dyDescent="0.25">
      <c r="A54" s="21"/>
      <c r="B54" s="1" t="s">
        <v>39</v>
      </c>
      <c r="C54" s="45"/>
      <c r="D54" s="17"/>
      <c r="E54" s="435">
        <f>Bilan_E_AME_Met_2020!F41</f>
        <v>130.484119421548</v>
      </c>
      <c r="F54" s="187"/>
      <c r="G54" s="1"/>
      <c r="H54" s="1"/>
      <c r="I54" s="30"/>
      <c r="J54" s="17"/>
      <c r="K54" s="17"/>
      <c r="L54" s="21"/>
      <c r="M54" s="21"/>
      <c r="N54" s="17"/>
      <c r="O54" s="17"/>
      <c r="P54" s="17"/>
      <c r="Q54" s="1"/>
    </row>
    <row r="55" spans="1:19" x14ac:dyDescent="0.25">
      <c r="B55" s="1" t="s">
        <v>21</v>
      </c>
      <c r="E55" s="434">
        <f>Bilan_E_AME_Met_2020!M41+Bilan_E_AME_Met_2020!M29</f>
        <v>0</v>
      </c>
    </row>
    <row r="56" spans="1:19" x14ac:dyDescent="0.25">
      <c r="B56" s="1" t="s">
        <v>37</v>
      </c>
      <c r="E56" s="434">
        <f>Bilan_E_AME_Met_2020!L41+Bilan_E_AME_Met_2020!L29</f>
        <v>0</v>
      </c>
    </row>
    <row r="57" spans="1:19" x14ac:dyDescent="0.25">
      <c r="B57" s="1" t="s">
        <v>31</v>
      </c>
      <c r="E57" s="515">
        <f>Bilan_E_AME_Met_2020!R41</f>
        <v>0</v>
      </c>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40874-33B8-4324-91A8-9B987D7E0090}">
  <dimension ref="A1:Z57"/>
  <sheetViews>
    <sheetView topLeftCell="A13" workbookViewId="0"/>
  </sheetViews>
  <sheetFormatPr baseColWidth="10" defaultColWidth="11.42578125" defaultRowHeight="15" x14ac:dyDescent="0.25"/>
  <cols>
    <col min="2" max="2" width="25.85546875" customWidth="1"/>
    <col min="5" max="5" width="11.7109375" customWidth="1"/>
    <col min="17" max="17" width="15.85546875" bestFit="1"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2555.8020964745742</v>
      </c>
      <c r="D5" s="18"/>
      <c r="E5" s="20"/>
      <c r="F5" s="494"/>
      <c r="G5" s="21"/>
      <c r="H5" s="493"/>
      <c r="I5" s="21"/>
      <c r="J5" s="22"/>
      <c r="K5" s="23"/>
      <c r="L5" s="14"/>
      <c r="M5" s="14"/>
      <c r="N5" s="15"/>
      <c r="O5" s="16"/>
      <c r="P5" s="16"/>
      <c r="Q5" s="24">
        <f>Q13+Q22+Q30+Q42+Q46+Q38+Q43</f>
        <v>1451.9766606674593</v>
      </c>
      <c r="R5" s="487"/>
      <c r="S5" s="79">
        <f>SUM(S13,S22,S27:S32,S41)</f>
        <v>1484.558051231169</v>
      </c>
      <c r="T5" s="79">
        <f>SUM(T8:T46)</f>
        <v>52.290674104473801</v>
      </c>
      <c r="U5" s="79">
        <f>SUM(U8:U46)</f>
        <v>300.03695671177758</v>
      </c>
      <c r="V5" s="79">
        <f>SUM(V8:V46)</f>
        <v>451.09413762312141</v>
      </c>
      <c r="W5" s="173">
        <f>SUM(W8:W46)</f>
        <v>243.59928965013313</v>
      </c>
      <c r="X5" s="79">
        <f>SUM(X8:X46)</f>
        <v>437.53699314166317</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f>(([12]Offre_calc!$L$81+[12]Offre_calc!$L$82+[12]Offre_calc!$L$127+[12]Offre_calc!$L$128)/([12]Offre_calc!$L$78+[12]Offre_calc!$L$124))*Bilan_E_KP_AME_2020!I$21</f>
        <v>43.442050197585424</v>
      </c>
      <c r="D7" s="516"/>
      <c r="E7" s="28">
        <v>0</v>
      </c>
      <c r="F7" s="516"/>
      <c r="G7" s="17">
        <f>C7-E7</f>
        <v>43.442050197585424</v>
      </c>
      <c r="H7" s="516"/>
      <c r="I7" s="21"/>
      <c r="J7" s="516"/>
      <c r="K7" s="523"/>
      <c r="L7" s="523"/>
      <c r="M7" s="523"/>
      <c r="N7" s="523"/>
      <c r="O7" s="523"/>
      <c r="P7" s="513"/>
      <c r="Q7" s="526"/>
      <c r="R7" s="498"/>
      <c r="S7" s="526"/>
      <c r="T7" s="523"/>
      <c r="U7" s="523"/>
      <c r="V7" s="523"/>
      <c r="W7" s="523"/>
      <c r="X7" s="523"/>
    </row>
    <row r="8" spans="1:24" x14ac:dyDescent="0.25">
      <c r="A8" s="736"/>
      <c r="B8" s="1" t="s">
        <v>18</v>
      </c>
      <c r="C8" s="486">
        <f>(([12]Offre_calc!$L$80+[12]Offre_calc!$L$126)/([12]Offre_calc!$L$78+[12]Offre_calc!$L$124))*Bilan_E_KP_AME_2020!I$21</f>
        <v>53.084236018684109</v>
      </c>
      <c r="D8" s="81"/>
      <c r="E8" s="28">
        <v>0</v>
      </c>
      <c r="F8" s="81"/>
      <c r="G8" s="17">
        <f t="shared" ref="G8:G19" si="0">C8-E8</f>
        <v>53.084236018684109</v>
      </c>
      <c r="H8" s="81"/>
      <c r="I8" s="21"/>
      <c r="J8" s="81"/>
      <c r="K8" s="524"/>
      <c r="L8" s="524"/>
      <c r="M8" s="524"/>
      <c r="N8" s="524"/>
      <c r="O8" s="524"/>
      <c r="P8" s="29"/>
      <c r="Q8" s="527"/>
      <c r="R8" s="498"/>
      <c r="S8" s="527"/>
      <c r="T8" s="524"/>
      <c r="U8" s="524"/>
      <c r="V8" s="524"/>
      <c r="W8" s="524"/>
      <c r="X8" s="524"/>
    </row>
    <row r="9" spans="1:24" x14ac:dyDescent="0.25">
      <c r="A9" s="736"/>
      <c r="B9" s="1" t="s">
        <v>19</v>
      </c>
      <c r="C9" s="486">
        <f>(([12]Offre_calc!$L$79+[12]Offre_calc!$L$125)/([12]Offre_calc!$L$78+[12]Offre_calc!$L$124))*Bilan_E_KP_AME_2020!I$21</f>
        <v>19.145134301820498</v>
      </c>
      <c r="D9" s="81"/>
      <c r="E9" s="28">
        <v>0</v>
      </c>
      <c r="F9" s="81"/>
      <c r="G9" s="17">
        <f t="shared" si="0"/>
        <v>19.145134301820498</v>
      </c>
      <c r="H9" s="81"/>
      <c r="I9" s="21"/>
      <c r="J9" s="81"/>
      <c r="K9" s="524"/>
      <c r="L9" s="524"/>
      <c r="M9" s="524"/>
      <c r="N9" s="524"/>
      <c r="O9" s="524"/>
      <c r="P9" s="29"/>
      <c r="Q9" s="527"/>
      <c r="R9" s="498"/>
      <c r="S9" s="527"/>
      <c r="T9" s="524"/>
      <c r="U9" s="524"/>
      <c r="V9" s="524"/>
      <c r="W9" s="524"/>
      <c r="X9" s="524"/>
    </row>
    <row r="10" spans="1:24" x14ac:dyDescent="0.25">
      <c r="A10" s="736"/>
      <c r="B10" s="1" t="s">
        <v>20</v>
      </c>
      <c r="C10" s="17">
        <f>Bilan_E_KP_AME_2020!H21-(Bilan_E_KP_AME_2020!P20+Bilan_E_KP_AME_2020!P19)</f>
        <v>1070.1365028608072</v>
      </c>
      <c r="D10" s="81"/>
      <c r="E10" s="28">
        <f>F13-SUM(E11:E19)</f>
        <v>711.37011187889914</v>
      </c>
      <c r="F10" s="81"/>
      <c r="G10" s="17">
        <f t="shared" si="0"/>
        <v>358.7663909819081</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f>Bilan_E_KP_AME_2020!M21</f>
        <v>5.2886919634287652</v>
      </c>
      <c r="D11" s="81"/>
      <c r="E11" s="28">
        <f>C11*(1-[12]Offre_calc!$L$161)</f>
        <v>2.5068399906652346</v>
      </c>
      <c r="F11" s="81"/>
      <c r="G11" s="17">
        <f t="shared" si="0"/>
        <v>2.7818519727635307</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f>Bilan_E_KP_AME_2020!K21</f>
        <v>11.678824122543197</v>
      </c>
      <c r="D12" s="81"/>
      <c r="E12" s="28">
        <f>C12*(1-[12]Offre_calc!$L$171)</f>
        <v>8.9459792778680889</v>
      </c>
      <c r="F12" s="81"/>
      <c r="G12" s="17">
        <f t="shared" si="0"/>
        <v>2.7328448446751086</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f>Bilan_E_KP_AME_2020!J21</f>
        <v>17.347825951117827</v>
      </c>
      <c r="D13" s="81">
        <f>SUM(C7:C19)</f>
        <v>1303.841985429013</v>
      </c>
      <c r="E13" s="28">
        <f>C13*(1-[12]Offre_calc!$L$170)</f>
        <v>13.288434678556255</v>
      </c>
      <c r="F13" s="81">
        <f>Bilan_E_KP_AME_2020!S21</f>
        <v>780.03811107943307</v>
      </c>
      <c r="G13" s="17">
        <f t="shared" si="0"/>
        <v>4.0593912725615713</v>
      </c>
      <c r="H13" s="81">
        <f>SUM(G7:G19)</f>
        <v>523.80387434958004</v>
      </c>
      <c r="I13" s="33">
        <f>Bilan_E_KP_AME_2020!P30</f>
        <v>32.903944582120353</v>
      </c>
      <c r="J13" s="81">
        <f>H13-I13</f>
        <v>490.8999297674597</v>
      </c>
      <c r="K13" s="29">
        <f>Bilan_E_KP_AME_2020!P31</f>
        <v>35.893531999999993</v>
      </c>
      <c r="L13" s="29">
        <f>-(Bilan_E_KP_AME_2020!P14+Bilan_E_KP_AME_2020!P13)</f>
        <v>45.039194000000009</v>
      </c>
      <c r="M13" s="29">
        <f>Bilan_E_KP_AME_2020!P28</f>
        <v>0</v>
      </c>
      <c r="N13" s="29"/>
      <c r="O13" s="29"/>
      <c r="P13" s="29"/>
      <c r="Q13" s="81">
        <f>J13-K13-L13-M13-N13-O13-P13</f>
        <v>409.96720376745969</v>
      </c>
      <c r="R13" s="508">
        <f>Q13-S13</f>
        <v>-1.3922112325403191</v>
      </c>
      <c r="S13" s="81">
        <f>SUM(T8:X19)</f>
        <v>411.35941500000001</v>
      </c>
      <c r="T13" s="29">
        <f>Bilan_E_KP_AME_2020!P38</f>
        <v>8.079485</v>
      </c>
      <c r="U13" s="29">
        <f>Bilan_E_KP_AME_2020!P34+Bilan_E_KP_AME_2020!P39</f>
        <v>105.80333299999998</v>
      </c>
      <c r="V13" s="29">
        <f>Bilan_E_KP_AME_2020!P36</f>
        <v>161.49853200000001</v>
      </c>
      <c r="W13" s="29">
        <f>Bilan_E_KP_AME_2020!P37</f>
        <v>127.64086592999999</v>
      </c>
      <c r="X13" s="29">
        <f>Bilan_E_KP_AME_2020!P35</f>
        <v>8.3371990700000005</v>
      </c>
    </row>
    <row r="14" spans="1:24" x14ac:dyDescent="0.25">
      <c r="A14" s="736"/>
      <c r="B14" s="1" t="s">
        <v>24</v>
      </c>
      <c r="C14" s="486">
        <v>0</v>
      </c>
      <c r="D14" s="81"/>
      <c r="E14" s="28">
        <v>0</v>
      </c>
      <c r="F14" s="81"/>
      <c r="G14" s="17">
        <f t="shared" si="0"/>
        <v>0</v>
      </c>
      <c r="H14" s="81"/>
      <c r="I14" s="21"/>
      <c r="J14" s="81"/>
      <c r="K14" s="524"/>
      <c r="L14" s="524"/>
      <c r="M14" s="524"/>
      <c r="N14" s="524"/>
      <c r="O14" s="524"/>
      <c r="P14" s="29"/>
      <c r="Q14" s="527"/>
      <c r="R14" s="498"/>
      <c r="S14" s="527"/>
      <c r="T14" s="524"/>
      <c r="U14" s="524"/>
      <c r="V14" s="524"/>
      <c r="W14" s="524"/>
      <c r="X14" s="524"/>
    </row>
    <row r="15" spans="1:24" x14ac:dyDescent="0.25">
      <c r="A15" s="736"/>
      <c r="B15" s="1" t="s">
        <v>25</v>
      </c>
      <c r="C15" s="486">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36"/>
      <c r="B16" s="1" t="s">
        <v>26</v>
      </c>
      <c r="C16" s="17"/>
      <c r="D16" s="81"/>
      <c r="E16" s="28">
        <f>C16*(1-[12]Offre_calc!$L$158)</f>
        <v>0</v>
      </c>
      <c r="F16" s="81"/>
      <c r="G16" s="17">
        <f t="shared" si="0"/>
        <v>0</v>
      </c>
      <c r="H16" s="81"/>
      <c r="I16" s="21"/>
      <c r="J16" s="81"/>
      <c r="K16" s="524"/>
      <c r="L16" s="524"/>
      <c r="M16" s="524"/>
      <c r="N16" s="524"/>
      <c r="O16" s="524"/>
      <c r="P16" s="29"/>
      <c r="Q16" s="527"/>
      <c r="R16" s="498"/>
      <c r="S16" s="527"/>
      <c r="T16" s="524"/>
      <c r="U16" s="524"/>
      <c r="V16" s="524"/>
      <c r="W16" s="524"/>
      <c r="X16" s="524"/>
    </row>
    <row r="17" spans="1:24" x14ac:dyDescent="0.25">
      <c r="A17" s="736"/>
      <c r="B17" s="1" t="s">
        <v>27</v>
      </c>
      <c r="C17" s="17">
        <f>Bilan_E_KP_AME_2020!F21</f>
        <v>13.418152502737103</v>
      </c>
      <c r="D17" s="81"/>
      <c r="E17" s="28">
        <f>C17*(1-[12]Offre_calc!$L$158)</f>
        <v>7.5141654015327779</v>
      </c>
      <c r="F17" s="81"/>
      <c r="G17" s="17">
        <f t="shared" si="0"/>
        <v>5.9039871012043248</v>
      </c>
      <c r="H17" s="81"/>
      <c r="I17" s="21"/>
      <c r="J17" s="81"/>
      <c r="K17" s="524"/>
      <c r="L17" s="524"/>
      <c r="M17" s="524"/>
      <c r="N17" s="524"/>
      <c r="O17" s="524"/>
      <c r="P17" s="29"/>
      <c r="Q17" s="527"/>
      <c r="R17" s="498"/>
      <c r="S17" s="527"/>
      <c r="T17" s="524"/>
      <c r="U17" s="524"/>
      <c r="V17" s="524"/>
      <c r="W17" s="524"/>
      <c r="X17" s="524"/>
    </row>
    <row r="18" spans="1:24" x14ac:dyDescent="0.25">
      <c r="A18" s="736"/>
      <c r="B18" s="1" t="s">
        <v>28</v>
      </c>
      <c r="C18" s="17">
        <f>Bilan_E_KP_AME_2020!D21</f>
        <v>14.864431241687887</v>
      </c>
      <c r="D18" s="81"/>
      <c r="E18" s="28">
        <f>C18*(1-[12]Offre_calc!$L$157)</f>
        <v>10.135851260594659</v>
      </c>
      <c r="F18" s="81"/>
      <c r="G18" s="17">
        <f t="shared" si="0"/>
        <v>4.7285799810932279</v>
      </c>
      <c r="H18" s="81"/>
      <c r="I18" s="21"/>
      <c r="J18" s="81"/>
      <c r="K18" s="524"/>
      <c r="L18" s="524"/>
      <c r="M18" s="524"/>
      <c r="N18" s="524"/>
      <c r="O18" s="524"/>
      <c r="P18" s="29"/>
      <c r="Q18" s="527"/>
      <c r="R18" s="498"/>
      <c r="S18" s="527"/>
      <c r="T18" s="524"/>
      <c r="U18" s="524"/>
      <c r="V18" s="524"/>
      <c r="W18" s="524"/>
      <c r="X18" s="524"/>
    </row>
    <row r="19" spans="1:24" x14ac:dyDescent="0.25">
      <c r="A19" s="736"/>
      <c r="B19" s="1" t="s">
        <v>260</v>
      </c>
      <c r="C19" s="17">
        <f>Bilan_E_KP_AME_2020!G21</f>
        <v>55.436136268601025</v>
      </c>
      <c r="D19" s="82"/>
      <c r="E19" s="28">
        <f>C19*(1-[12]Offre_calc!$L$160)</f>
        <v>26.276728591316886</v>
      </c>
      <c r="F19" s="82"/>
      <c r="G19" s="17">
        <f t="shared" si="0"/>
        <v>29.15940767728414</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0.33525292336334112</v>
      </c>
      <c r="H20" s="499"/>
      <c r="I20" s="17"/>
      <c r="J20" s="1"/>
      <c r="K20" s="17"/>
      <c r="L20" s="1"/>
      <c r="M20" s="1"/>
      <c r="N20" s="1"/>
      <c r="O20" s="1"/>
      <c r="P20" s="1"/>
      <c r="Q20" s="499"/>
      <c r="R20" s="498"/>
      <c r="S20" s="408"/>
      <c r="T20" s="495"/>
      <c r="U20" s="408"/>
      <c r="V20" s="495"/>
      <c r="W20" s="408"/>
      <c r="X20" s="495"/>
    </row>
    <row r="21" spans="1:24" x14ac:dyDescent="0.25">
      <c r="A21" s="737" t="s">
        <v>13</v>
      </c>
      <c r="B21" s="1" t="s">
        <v>21</v>
      </c>
      <c r="C21" s="17">
        <f>Bilan_E_KP_AME_2020!J23+Bilan_E_KP_AME_2020!M12</f>
        <v>9.2815441223735728</v>
      </c>
      <c r="D21" s="529"/>
      <c r="E21" s="33">
        <f>Bilan_E_KP_AME_2020!S23+Bilan_E_KP_AME_2020!M30</f>
        <v>-1.9873640000000001</v>
      </c>
      <c r="F21" s="529"/>
      <c r="G21" s="17">
        <f t="shared" ref="G21:G45" si="1">C21-E21</f>
        <v>11.268908122373572</v>
      </c>
      <c r="H21" s="529"/>
      <c r="I21" s="17"/>
      <c r="J21" s="529"/>
      <c r="K21" s="545">
        <f>Bilan_E_KP_AME_2020!M31</f>
        <v>0</v>
      </c>
      <c r="L21" s="545">
        <f>-(Bilan_E_KP_AME_2020!M13+Bilan_E_KP_AME_2020!M14+Bilan_E_KP_AME_2020!M15+Bilan_E_KP_AME_2020!M16)</f>
        <v>0</v>
      </c>
      <c r="M21" s="545">
        <f>Bilan_E_KP_AME_2020!M28</f>
        <v>0</v>
      </c>
      <c r="N21" s="545">
        <f>Bilan_E_KP_AME_2020!M22</f>
        <v>3.0673174902469076</v>
      </c>
      <c r="O21" s="545">
        <f>Bilan_E_KP_AME_2020!M21</f>
        <v>5.2886919634287652</v>
      </c>
      <c r="P21" s="529"/>
      <c r="Q21" s="529"/>
      <c r="R21" s="498"/>
      <c r="S21" s="529"/>
      <c r="T21" s="529"/>
      <c r="U21" s="529"/>
      <c r="V21" s="529"/>
      <c r="W21" s="529"/>
      <c r="X21" s="529"/>
    </row>
    <row r="22" spans="1:24" x14ac:dyDescent="0.25">
      <c r="A22" s="737"/>
      <c r="B22" s="1" t="s">
        <v>30</v>
      </c>
      <c r="C22" s="17"/>
      <c r="D22" s="85">
        <f>SUM(C21:C24)</f>
        <v>403.77151287237365</v>
      </c>
      <c r="E22" s="497"/>
      <c r="F22" s="85">
        <f>SUM(E21:E24)</f>
        <v>4.2738809999999985</v>
      </c>
      <c r="G22" s="17"/>
      <c r="H22" s="85">
        <f>SUM(G21:G24)</f>
        <v>399.49763187237363</v>
      </c>
      <c r="I22" s="408"/>
      <c r="J22" s="85">
        <f>H22-I22</f>
        <v>399.49763187237363</v>
      </c>
      <c r="K22" s="32"/>
      <c r="L22" s="32"/>
      <c r="M22" s="32"/>
      <c r="N22" s="32"/>
      <c r="O22" s="32"/>
      <c r="P22" s="32"/>
      <c r="Q22" s="85">
        <f>J22-SUM(K21:P24)</f>
        <v>310.70835841869797</v>
      </c>
      <c r="R22" s="508">
        <f>Q22-S22</f>
        <v>-2.285946714912086</v>
      </c>
      <c r="S22" s="85">
        <f>SUM(T22:X24)</f>
        <v>312.99430513361006</v>
      </c>
      <c r="T22" s="32">
        <f>Bilan_E_KP_AME_2020!G38+Bilan_E_KP_AME_2020!R38+Bilan_E_KP_AME_2020!M$38</f>
        <v>2.7076685555555557</v>
      </c>
      <c r="U22" s="32">
        <f>Bilan_E_KP_AME_2020!G34+Bilan_E_KP_AME_2020!R34+Bilan_E_KP_AME_2020!M$34</f>
        <v>116.60197580758677</v>
      </c>
      <c r="V22" s="32">
        <f>Bilan_E_KP_AME_2020!G36+Bilan_E_KP_AME_2020!R36+Bilan_E_KP_AME_2020!M$36</f>
        <v>125.05981225000002</v>
      </c>
      <c r="W22" s="32">
        <f>Bilan_E_KP_AME_2020!G37+Bilan_E_KP_AME_2020!K37+Bilan_E_KP_AME_2020!R37+Bilan_E_KP_AME_2020!M$37</f>
        <v>66.377134020467722</v>
      </c>
      <c r="X22" s="32">
        <f>Bilan_E_KP_AME_2020!G35+Bilan_E_KP_AME_2020!R35+Bilan_E_KP_AME_2020!M$35</f>
        <v>2.2477145000000003</v>
      </c>
    </row>
    <row r="23" spans="1:24" x14ac:dyDescent="0.25">
      <c r="A23" s="737"/>
      <c r="B23" s="1" t="s">
        <v>31</v>
      </c>
      <c r="C23" s="17">
        <f>SUM(Bilan_E_KP_AME_2020!D28:Q28)-C47</f>
        <v>0</v>
      </c>
      <c r="D23" s="530"/>
      <c r="E23" s="33">
        <f>Bilan_E_KP_AME_2020!S28+Bilan_E_KP_AME_2020!S27</f>
        <v>0</v>
      </c>
      <c r="F23" s="532"/>
      <c r="G23" s="17">
        <f t="shared" si="1"/>
        <v>0</v>
      </c>
      <c r="H23" s="532"/>
      <c r="I23" s="17"/>
      <c r="J23" s="532"/>
      <c r="K23" s="534">
        <f>Bilan_E_KP_AME_2020!R31</f>
        <v>0</v>
      </c>
      <c r="L23" s="534">
        <f>-(Bilan_E_KP_AME_2020!R13+Bilan_E_KP_AME_2020!R14+Bilan_E_KP_AME_2020!R15+Bilan_E_KP_AME_2020!R16)</f>
        <v>0</v>
      </c>
      <c r="M23" s="534"/>
      <c r="N23" s="534">
        <f>Bilan_E_KP_AME_2020!R22</f>
        <v>0</v>
      </c>
      <c r="O23" s="534">
        <f>Bilan_E_KP_AME_2020!R21</f>
        <v>0</v>
      </c>
      <c r="P23" s="534">
        <f>-Bilan_E_KP_AME_2020!L27</f>
        <v>0</v>
      </c>
      <c r="Q23" s="532"/>
      <c r="S23" s="532"/>
      <c r="T23" s="536"/>
      <c r="U23" s="536"/>
      <c r="V23" s="536"/>
      <c r="W23" s="536"/>
      <c r="X23" s="536"/>
    </row>
    <row r="24" spans="1:24" x14ac:dyDescent="0.25">
      <c r="A24" s="737"/>
      <c r="B24" s="1" t="s">
        <v>32</v>
      </c>
      <c r="C24" s="17">
        <f>Bilan_E_KP_AME_2020!G18-C45-(Bilan_E_KP_AME_2020!G20+Bilan_E_KP_AME_2020!G19)</f>
        <v>394.48996875000006</v>
      </c>
      <c r="D24" s="531"/>
      <c r="E24" s="33">
        <f>Bilan_E_KP_AME_2020!G30</f>
        <v>6.2612449999999988</v>
      </c>
      <c r="F24" s="533"/>
      <c r="G24" s="17">
        <f t="shared" si="1"/>
        <v>388.22872375000009</v>
      </c>
      <c r="H24" s="533"/>
      <c r="I24" s="34"/>
      <c r="J24" s="533"/>
      <c r="K24" s="535">
        <f>Bilan_E_KP_AME_2020!G31</f>
        <v>3.9080132499999998</v>
      </c>
      <c r="L24" s="535"/>
      <c r="M24" s="535">
        <f>Bilan_E_KP_AME_2020!G28</f>
        <v>0</v>
      </c>
      <c r="N24" s="535">
        <f>Bilan_E_KP_AME_2020!G22</f>
        <v>21.08911448139898</v>
      </c>
      <c r="O24" s="535">
        <f>Bilan_E_KP_AME_2020!G21</f>
        <v>55.436136268601025</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38" t="s">
        <v>14</v>
      </c>
      <c r="B26" s="1" t="s">
        <v>21</v>
      </c>
      <c r="C26" s="17">
        <f>Bilan_E_KP_AME_2020!M22</f>
        <v>3.0673174902469076</v>
      </c>
      <c r="D26" s="512"/>
      <c r="E26" s="190">
        <f>C26*F$35</f>
        <v>0.44875246448143952</v>
      </c>
      <c r="F26" s="512"/>
      <c r="G26" s="33">
        <f t="shared" ref="G26:G31" si="2">C26-E26</f>
        <v>2.6185650257654682</v>
      </c>
      <c r="H26" s="512"/>
      <c r="I26" s="1"/>
      <c r="J26" s="512"/>
      <c r="K26" s="512"/>
      <c r="L26" s="512"/>
      <c r="M26" s="512"/>
      <c r="N26" s="512"/>
      <c r="O26" s="512"/>
      <c r="P26" s="512"/>
      <c r="Q26" s="512"/>
      <c r="R26" s="498"/>
      <c r="S26" s="512"/>
      <c r="T26" s="512"/>
      <c r="U26" s="512"/>
      <c r="V26" s="512"/>
      <c r="W26" s="512"/>
      <c r="X26" s="512"/>
    </row>
    <row r="27" spans="1:24" x14ac:dyDescent="0.25">
      <c r="A27" s="738"/>
      <c r="B27" s="1" t="s">
        <v>22</v>
      </c>
      <c r="C27" s="17">
        <f>Bilan_E_KP_AME_2020!K18-Bilan_E_KP_AME_2020!K21-(Bilan_E_KP_AME_2020!Q20+Bilan_E_KP_AME_2020!Q19+Bilan_E_KP_AME_2020!K20+Bilan_E_KP_AME_2020!K19)</f>
        <v>21.952783932862559</v>
      </c>
      <c r="D27" s="87"/>
      <c r="E27" s="190">
        <f t="shared" ref="E27:E34" si="3">C27*F$35</f>
        <v>3.2117203137349906</v>
      </c>
      <c r="F27" s="87"/>
      <c r="G27" s="33">
        <f t="shared" si="2"/>
        <v>18.741063619127569</v>
      </c>
      <c r="H27" s="87"/>
      <c r="I27" s="500"/>
      <c r="J27" s="87"/>
      <c r="K27" s="87"/>
      <c r="L27" s="87"/>
      <c r="M27" s="87"/>
      <c r="N27" s="87"/>
      <c r="O27" s="87"/>
      <c r="P27" s="87"/>
      <c r="Q27" s="87"/>
      <c r="R27" s="498"/>
      <c r="S27" s="87"/>
      <c r="T27" s="87"/>
      <c r="U27" s="87"/>
      <c r="V27" s="87"/>
      <c r="W27" s="87"/>
      <c r="X27" s="87"/>
    </row>
    <row r="28" spans="1:24" x14ac:dyDescent="0.25">
      <c r="A28" s="738"/>
      <c r="B28" s="1" t="s">
        <v>26</v>
      </c>
      <c r="C28" s="17"/>
      <c r="D28" s="87"/>
      <c r="E28" s="190">
        <f t="shared" si="3"/>
        <v>0</v>
      </c>
      <c r="F28" s="87"/>
      <c r="G28" s="33">
        <f>C28-E28</f>
        <v>0</v>
      </c>
      <c r="H28" s="87"/>
      <c r="I28" s="1"/>
      <c r="J28" s="87"/>
      <c r="K28" s="87"/>
      <c r="L28" s="87"/>
      <c r="M28" s="87"/>
      <c r="N28" s="87"/>
      <c r="O28" s="87"/>
      <c r="P28" s="87"/>
      <c r="Q28" s="87"/>
      <c r="R28" s="498"/>
      <c r="S28" s="87"/>
      <c r="T28" s="87"/>
      <c r="U28" s="87"/>
      <c r="V28" s="87"/>
      <c r="W28" s="87"/>
      <c r="X28" s="87"/>
    </row>
    <row r="29" spans="1:24" x14ac:dyDescent="0.25">
      <c r="A29" s="738"/>
      <c r="B29" s="1" t="s">
        <v>23</v>
      </c>
      <c r="C29" s="17">
        <f>Bilan_E_KP_AME_2020!J22</f>
        <v>7.8982729217883261</v>
      </c>
      <c r="D29" s="87"/>
      <c r="E29" s="190">
        <f t="shared" si="3"/>
        <v>1.1555274111889287</v>
      </c>
      <c r="F29" s="87"/>
      <c r="G29" s="33">
        <f t="shared" si="2"/>
        <v>6.7427455105993976</v>
      </c>
      <c r="H29" s="87"/>
      <c r="I29" s="1"/>
      <c r="J29" s="87"/>
      <c r="K29" s="87"/>
      <c r="L29" s="87"/>
      <c r="M29" s="87"/>
      <c r="N29" s="87"/>
      <c r="O29" s="87"/>
      <c r="P29" s="87"/>
      <c r="Q29" s="87"/>
      <c r="R29" s="498"/>
      <c r="S29" s="87"/>
      <c r="T29" s="87"/>
      <c r="U29" s="87"/>
      <c r="V29" s="87"/>
      <c r="W29" s="87"/>
      <c r="X29" s="87"/>
    </row>
    <row r="30" spans="1:24" x14ac:dyDescent="0.25">
      <c r="A30" s="738"/>
      <c r="B30" s="1" t="s">
        <v>24</v>
      </c>
      <c r="C30" s="17">
        <f>Bilan_E_KP_AME_2020!O22</f>
        <v>3.9939867016268904</v>
      </c>
      <c r="D30" s="86">
        <f>SUM(C26:C34)</f>
        <v>59.777994185139299</v>
      </c>
      <c r="E30" s="190">
        <f t="shared" si="3"/>
        <v>0.58432535306832178</v>
      </c>
      <c r="F30" s="86">
        <f>Bilan_E_KP_AME_2020!S22</f>
        <v>8.7455968603299254</v>
      </c>
      <c r="G30" s="33">
        <f t="shared" si="2"/>
        <v>3.4096613485585685</v>
      </c>
      <c r="H30" s="86">
        <f>SUM(G26:G34)</f>
        <v>51.032397324809374</v>
      </c>
      <c r="I30" s="1"/>
      <c r="J30" s="86">
        <f>H30</f>
        <v>51.032397324809374</v>
      </c>
      <c r="K30" s="87">
        <f>Bilan_E_KP_AME_2020!Q31</f>
        <v>4.1669160064579911</v>
      </c>
      <c r="L30" s="87"/>
      <c r="M30" s="87">
        <f>Bilan_E_KP_AME_2020!K28</f>
        <v>0</v>
      </c>
      <c r="N30" s="87"/>
      <c r="O30" s="87"/>
      <c r="P30" s="87"/>
      <c r="Q30" s="86">
        <f>J30-K30-L30-M30-N30-O30-P30</f>
        <v>46.865481318351385</v>
      </c>
      <c r="R30" s="508">
        <f>Q30-S30</f>
        <v>1.6322632766965555</v>
      </c>
      <c r="S30" s="86">
        <f>SUM(T27:X34)</f>
        <v>45.23321804165483</v>
      </c>
      <c r="T30" s="87">
        <f>Bilan_E_KP_AME_2020!Q$38</f>
        <v>0.18937333333333334</v>
      </c>
      <c r="U30" s="87">
        <f>Bilan_E_KP_AME_2020!Q$34+Bilan_E_KP_AME_2020!K34</f>
        <v>21.043180263877051</v>
      </c>
      <c r="V30" s="87">
        <f>Bilan_E_KP_AME_2020!Q$36</f>
        <v>14.411899999999999</v>
      </c>
      <c r="W30" s="87">
        <f>Bilan_E_KP_AME_2020!Q$37</f>
        <v>9.5887644444444451</v>
      </c>
      <c r="X30" s="87">
        <f>Bilan_E_KP_AME_2020!Q$35</f>
        <v>0</v>
      </c>
    </row>
    <row r="31" spans="1:24" x14ac:dyDescent="0.25">
      <c r="A31" s="738"/>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38"/>
      <c r="B32" s="1" t="s">
        <v>29</v>
      </c>
      <c r="C32" s="17">
        <f>Bilan_E_KP_AME_2020!G22</f>
        <v>21.08911448139898</v>
      </c>
      <c r="D32" s="86"/>
      <c r="E32" s="190">
        <f t="shared" si="3"/>
        <v>3.0853643704477451</v>
      </c>
      <c r="F32" s="86"/>
      <c r="G32" s="33">
        <f>C32-E32</f>
        <v>18.003750110951234</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Bilan_E_KP_AME_2020!F22</f>
        <v>0.20358189452574635</v>
      </c>
      <c r="D33" s="86"/>
      <c r="E33" s="190">
        <f t="shared" si="3"/>
        <v>2.9784291056507223E-2</v>
      </c>
      <c r="F33" s="86"/>
      <c r="G33" s="33">
        <f t="shared" ref="G33:G34" si="4">C33-E33</f>
        <v>0.17379760346923911</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Bilan_E_KP_AME_2020!D22</f>
        <v>1.5729367626898902</v>
      </c>
      <c r="D34" s="88"/>
      <c r="E34" s="190">
        <f t="shared" si="3"/>
        <v>0.23012265635199258</v>
      </c>
      <c r="F34" s="88"/>
      <c r="G34" s="33">
        <f t="shared" si="4"/>
        <v>1.3428141063378978</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0.14630127657418229</v>
      </c>
      <c r="G35" s="17"/>
      <c r="H35" s="501"/>
      <c r="I35" s="1"/>
      <c r="J35" s="1"/>
      <c r="K35" s="1"/>
      <c r="L35" s="1"/>
      <c r="M35" s="1"/>
      <c r="N35" s="1"/>
      <c r="O35" s="1"/>
      <c r="P35" s="1"/>
      <c r="Q35" s="502"/>
      <c r="R35" s="498"/>
      <c r="U35" s="33"/>
      <c r="V35" s="33"/>
      <c r="W35" s="33"/>
    </row>
    <row r="36" spans="1:26" x14ac:dyDescent="0.25">
      <c r="A36" s="739" t="s">
        <v>34</v>
      </c>
      <c r="B36" s="1" t="s">
        <v>21</v>
      </c>
      <c r="C36" s="33">
        <v>0</v>
      </c>
      <c r="D36" s="538"/>
      <c r="E36" s="17"/>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39"/>
      <c r="B37" s="1" t="s">
        <v>23</v>
      </c>
      <c r="C37" s="33">
        <f>SUM(T37:X37)</f>
        <v>89.631369661912075</v>
      </c>
      <c r="D37" s="539"/>
      <c r="E37" s="504"/>
      <c r="F37" s="539"/>
      <c r="G37" s="17">
        <f t="shared" ref="G37:G42" si="5">C37-E37</f>
        <v>89.631369661912075</v>
      </c>
      <c r="H37" s="539"/>
      <c r="I37" s="498"/>
      <c r="J37" s="37"/>
      <c r="K37" s="35"/>
      <c r="L37" s="35"/>
      <c r="M37" s="505"/>
      <c r="N37" s="35"/>
      <c r="P37" s="35"/>
      <c r="Q37" s="541"/>
      <c r="R37" s="498"/>
      <c r="S37" s="539"/>
      <c r="T37" s="506">
        <f>Bilan_E_KP_AME_2020!J38</f>
        <v>1.7493453935920653</v>
      </c>
      <c r="U37" s="93">
        <f>Bilan_E_KP_AME_2020!J34</f>
        <v>15.652087601653344</v>
      </c>
      <c r="V37" s="506">
        <f>Bilan_E_KP_AME_2020!J36</f>
        <v>69.406708888888886</v>
      </c>
      <c r="W37" s="507">
        <f>Bilan_E_KP_AME_2020!J37</f>
        <v>2.8232277777777779</v>
      </c>
      <c r="X37" s="506">
        <f>Bilan_E_KP_AME_2020!J35</f>
        <v>0</v>
      </c>
      <c r="Y37" s="489">
        <f t="shared" ref="Y37:Y47" si="6">SUM(T37:X37)</f>
        <v>89.631369661912075</v>
      </c>
      <c r="Z37" s="489">
        <f t="shared" ref="Z37:Z44" si="7">G37-Y37</f>
        <v>0</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f>SUM(G36:G41)-E55-E56-L41-L36</f>
        <v>132.09575003428824</v>
      </c>
      <c r="R38" s="498"/>
      <c r="S38" s="539"/>
      <c r="T38" s="84">
        <v>0</v>
      </c>
      <c r="U38" s="83">
        <v>0</v>
      </c>
      <c r="V38" s="84">
        <v>0</v>
      </c>
      <c r="W38" s="91">
        <v>0</v>
      </c>
      <c r="X38" s="91">
        <v>0</v>
      </c>
      <c r="Y38" s="489">
        <f t="shared" si="6"/>
        <v>0</v>
      </c>
      <c r="Z38" s="489">
        <f t="shared" si="7"/>
        <v>0</v>
      </c>
    </row>
    <row r="39" spans="1:26" x14ac:dyDescent="0.25">
      <c r="A39" s="739"/>
      <c r="B39" s="1" t="s">
        <v>35</v>
      </c>
      <c r="C39" s="33">
        <f>SUM(T39:X39)</f>
        <v>2.7271105977250838</v>
      </c>
      <c r="D39" s="539"/>
      <c r="E39" s="35"/>
      <c r="F39" s="539"/>
      <c r="G39" s="17">
        <f t="shared" si="5"/>
        <v>2.7271105977250838</v>
      </c>
      <c r="H39" s="539"/>
      <c r="I39" s="35"/>
      <c r="J39" s="37"/>
      <c r="K39" s="35"/>
      <c r="L39" s="35"/>
      <c r="M39" s="37"/>
      <c r="N39" s="35"/>
      <c r="O39" s="35"/>
      <c r="P39" s="35"/>
      <c r="Q39" s="541"/>
      <c r="R39" s="498"/>
      <c r="S39" s="539"/>
      <c r="T39" s="84">
        <f>Bilan_E_KP_AME_2020!O38</f>
        <v>0.29232166666666665</v>
      </c>
      <c r="U39" s="83">
        <f>Bilan_E_KP_AME_2020!O34</f>
        <v>1.540935583552362E-2</v>
      </c>
      <c r="V39" s="84">
        <f>Bilan_E_KP_AME_2020!O36</f>
        <v>2.0645206826866662</v>
      </c>
      <c r="W39" s="91">
        <f>Bilan_E_KP_AME_2020!O37</f>
        <v>0.35485889253622721</v>
      </c>
      <c r="X39" s="91">
        <f>Bilan_E_KP_AME_2020!O35</f>
        <v>0</v>
      </c>
      <c r="Y39" s="489">
        <f t="shared" si="6"/>
        <v>2.7271105977250838</v>
      </c>
      <c r="Z39" s="489">
        <f t="shared" si="7"/>
        <v>0</v>
      </c>
    </row>
    <row r="40" spans="1:26" x14ac:dyDescent="0.25">
      <c r="A40" s="739"/>
      <c r="B40" s="1" t="s">
        <v>36</v>
      </c>
      <c r="C40" s="33">
        <f>Bilan_E_KP_AME_2020!N12</f>
        <v>32.908596666666668</v>
      </c>
      <c r="D40" s="539"/>
      <c r="E40" s="35"/>
      <c r="F40" s="539"/>
      <c r="G40" s="17">
        <f t="shared" si="5"/>
        <v>32.908596666666668</v>
      </c>
      <c r="H40" s="539"/>
      <c r="I40" s="35"/>
      <c r="J40" s="37"/>
      <c r="K40" s="35"/>
      <c r="L40" s="35"/>
      <c r="M40" s="37"/>
      <c r="N40" s="35"/>
      <c r="O40" s="35"/>
      <c r="P40" s="35"/>
      <c r="Q40" s="541"/>
      <c r="R40" s="498"/>
      <c r="S40" s="539"/>
      <c r="T40" s="83">
        <f>Bilan_E_KP_AME_2020!N$38</f>
        <v>0</v>
      </c>
      <c r="U40" s="83">
        <f>Bilan_E_KP_AME_2020!N$34</f>
        <v>0</v>
      </c>
      <c r="V40" s="83">
        <f>Bilan_E_KP_AME_2020!N$36</f>
        <v>28.099863055555552</v>
      </c>
      <c r="W40" s="83">
        <f>Bilan_E_KP_AME_2020!N$37</f>
        <v>4.5516825000000001</v>
      </c>
      <c r="X40" s="84">
        <f>Bilan_E_KP_AME_2020!N$35</f>
        <v>0</v>
      </c>
      <c r="Y40" s="489">
        <f t="shared" si="6"/>
        <v>32.65154555555555</v>
      </c>
      <c r="Z40" s="489">
        <f t="shared" si="7"/>
        <v>0.25705111111111734</v>
      </c>
    </row>
    <row r="41" spans="1:26" x14ac:dyDescent="0.25">
      <c r="A41" s="739"/>
      <c r="B41" s="1" t="s">
        <v>37</v>
      </c>
      <c r="C41" s="33">
        <f>Bilan_E_KP_AME_2020!L12+Bilan_E_KP_AME_2020!J26+Bilan_E_KP_AME_2020!J27-Bilan_E_KP_AME_2020!L21</f>
        <v>0</v>
      </c>
      <c r="D41" s="191">
        <f>SUM(C36:C47)</f>
        <v>873.29186419172345</v>
      </c>
      <c r="E41" s="38"/>
      <c r="F41" s="191">
        <f>SUM(E36:E47)</f>
        <v>14.16395184099261</v>
      </c>
      <c r="G41" s="17">
        <f t="shared" si="5"/>
        <v>0</v>
      </c>
      <c r="H41" s="191">
        <f>SUM(G36:G47)</f>
        <v>859.12791235073098</v>
      </c>
      <c r="I41" s="35"/>
      <c r="J41" s="37"/>
      <c r="K41" s="35"/>
      <c r="L41" s="37">
        <f>-SUM(Bilan_E_KP_AME_2020!L13:L16)</f>
        <v>-6.8286731079844092</v>
      </c>
      <c r="M41" s="35"/>
      <c r="N41" s="35"/>
      <c r="O41" s="35"/>
      <c r="P41" s="35"/>
      <c r="Q41" s="541"/>
      <c r="R41" s="508">
        <f>SUM(Q36:Q47)-S41</f>
        <v>-30.535495892953804</v>
      </c>
      <c r="S41" s="191">
        <f>SUM(T36:X46)</f>
        <v>714.97111305590408</v>
      </c>
      <c r="T41" s="83">
        <f>Bilan_E_KP_AME_2020!L$38</f>
        <v>1.9048961095281811</v>
      </c>
      <c r="U41" s="83">
        <f>Bilan_E_KP_AME_2020!L$34</f>
        <v>1.0751813257923004</v>
      </c>
      <c r="V41" s="83">
        <f>Bilan_E_KP_AME_2020!L$36</f>
        <v>0</v>
      </c>
      <c r="W41" s="83">
        <f>Bilan_E_KP_AME_2020!L$37</f>
        <v>0</v>
      </c>
      <c r="X41" s="84">
        <f>Bilan_E_KP_AME_2020!L$35</f>
        <v>30.751352031352695</v>
      </c>
      <c r="Y41" s="489">
        <f t="shared" si="6"/>
        <v>33.731429466673177</v>
      </c>
      <c r="Z41" s="489">
        <f>G41-Y41-L41</f>
        <v>-26.902756358688769</v>
      </c>
    </row>
    <row r="42" spans="1:26" x14ac:dyDescent="0.25">
      <c r="A42" s="739"/>
      <c r="B42" s="1" t="s">
        <v>38</v>
      </c>
      <c r="C42" s="33">
        <f>Bilan_E_KP_AME_2020!E18+Bilan_E_KP_AME_2020!F18-Bilan_E_KP_AME_2020!F21-Bilan_E_KP_AME_2020!F22-E54-SUM(T43:X43)-(Bilan_E_KP_AME_2020!E20+Bilan_E_KP_AME_2020!F20+Bilan_E_KP_AME_2020!E19+Bilan_E_KP_AME_2020!F19)</f>
        <v>409.64457407516454</v>
      </c>
      <c r="D42" s="539"/>
      <c r="E42" s="17">
        <f>Bilan_E_KP_AME_2020!F30+Bilan_E_KP_AME_2020!S25+Bilan_E_KP_AME_2020!F29+Bilan_E_KP_AME_2020!E29</f>
        <v>14.16395184099261</v>
      </c>
      <c r="F42" s="539"/>
      <c r="G42" s="17">
        <f t="shared" si="5"/>
        <v>395.48062223417196</v>
      </c>
      <c r="H42" s="539"/>
      <c r="I42" s="498"/>
      <c r="J42" s="37"/>
      <c r="K42" s="35"/>
      <c r="L42" s="35"/>
      <c r="M42" s="35"/>
      <c r="N42" s="35"/>
      <c r="O42" s="35"/>
      <c r="P42" s="35"/>
      <c r="Q42" s="36">
        <f>G42</f>
        <v>395.48062223417196</v>
      </c>
      <c r="R42" s="498"/>
      <c r="S42" s="539"/>
      <c r="T42" s="83">
        <v>0</v>
      </c>
      <c r="U42" s="83">
        <v>0</v>
      </c>
      <c r="V42" s="83">
        <v>0</v>
      </c>
      <c r="W42" s="83">
        <v>0</v>
      </c>
      <c r="X42" s="84">
        <f>Bilan_E_KP_AME_2020!F35</f>
        <v>396.20072754031048</v>
      </c>
      <c r="Y42" s="489">
        <f t="shared" si="6"/>
        <v>396.20072754031048</v>
      </c>
      <c r="Z42" s="489">
        <f>Q42-SUM(T42:X42)</f>
        <v>-0.72010530613852097</v>
      </c>
    </row>
    <row r="43" spans="1:26" x14ac:dyDescent="0.25">
      <c r="A43" s="739"/>
      <c r="B43" s="1" t="s">
        <v>39</v>
      </c>
      <c r="C43" s="33">
        <f>Bilan_E_KP_AME_2020!F41+SUM(T43:X43)</f>
        <v>281.26462339584617</v>
      </c>
      <c r="D43" s="539"/>
      <c r="E43" s="38"/>
      <c r="F43" s="539"/>
      <c r="G43" s="17">
        <f>C43-E43</f>
        <v>281.26462339584617</v>
      </c>
      <c r="H43" s="539"/>
      <c r="I43" s="35"/>
      <c r="J43" s="37"/>
      <c r="K43" s="35"/>
      <c r="L43" s="35"/>
      <c r="M43" s="35"/>
      <c r="N43" s="35"/>
      <c r="O43" s="35"/>
      <c r="P43" s="35"/>
      <c r="Q43" s="36">
        <f>G43-Bilan_E_KP_AME_2020!F41</f>
        <v>150.31438594207788</v>
      </c>
      <c r="R43" s="498"/>
      <c r="S43" s="539"/>
      <c r="T43" s="83">
        <f>Bilan_E_KP_AME_2020!F38</f>
        <v>37.352212663167997</v>
      </c>
      <c r="U43" s="83">
        <f>Bilan_E_KP_AME_2020!F34</f>
        <v>30.742620872292591</v>
      </c>
      <c r="V43" s="83">
        <f>Bilan_E_KP_AME_2020!F36</f>
        <v>50.312051197940285</v>
      </c>
      <c r="W43" s="83">
        <f>Bilan_E_KP_AME_2020!F37</f>
        <v>31.907501208676987</v>
      </c>
      <c r="X43" s="84">
        <v>0</v>
      </c>
      <c r="Y43" s="489">
        <f t="shared" si="6"/>
        <v>150.31438594207788</v>
      </c>
      <c r="Z43" s="489">
        <f>Q43-SUM(T43:X43)</f>
        <v>0</v>
      </c>
    </row>
    <row r="44" spans="1:26" x14ac:dyDescent="0.25">
      <c r="A44" s="739"/>
      <c r="B44" s="1" t="s">
        <v>40</v>
      </c>
      <c r="C44" s="33">
        <v>0</v>
      </c>
      <c r="D44" s="539"/>
      <c r="E44" s="38"/>
      <c r="F44" s="539"/>
      <c r="G44" s="17">
        <f t="shared" si="1"/>
        <v>0</v>
      </c>
      <c r="H44" s="539"/>
      <c r="I44" s="35"/>
      <c r="J44" s="37"/>
      <c r="K44" s="35"/>
      <c r="L44" s="35"/>
      <c r="M44" s="35"/>
      <c r="N44" s="35"/>
      <c r="O44" s="35"/>
      <c r="P44" s="35"/>
      <c r="Q44" s="36">
        <f>G44-Bilan_E_KP_AME_2020!K41</f>
        <v>0</v>
      </c>
      <c r="R44" s="498"/>
      <c r="S44" s="539"/>
      <c r="T44" s="83">
        <f>Bilan_E_KP_AME_2020!K$38</f>
        <v>0</v>
      </c>
      <c r="U44" s="83">
        <v>0</v>
      </c>
      <c r="V44" s="83">
        <f>Bilan_E_KP_AME_2020!K$36</f>
        <v>0</v>
      </c>
      <c r="W44" s="83">
        <v>0</v>
      </c>
      <c r="X44" s="84">
        <f>Bilan_E_KP_AME_2020!K$35</f>
        <v>0</v>
      </c>
      <c r="Y44" s="489">
        <f t="shared" si="6"/>
        <v>0</v>
      </c>
      <c r="Z44" s="489">
        <f t="shared" si="7"/>
        <v>0</v>
      </c>
    </row>
    <row r="45" spans="1:26" x14ac:dyDescent="0.25">
      <c r="A45" s="739"/>
      <c r="B45" s="1" t="s">
        <v>41</v>
      </c>
      <c r="C45" s="33">
        <f>E53</f>
        <v>12.027936500000001</v>
      </c>
      <c r="D45" s="539"/>
      <c r="E45" s="38"/>
      <c r="F45" s="539"/>
      <c r="G45" s="17">
        <f t="shared" si="1"/>
        <v>12.027936500000001</v>
      </c>
      <c r="H45" s="539"/>
      <c r="I45" s="35"/>
      <c r="J45" s="37"/>
      <c r="K45" s="35"/>
      <c r="L45" s="35"/>
      <c r="M45" s="35"/>
      <c r="N45" s="35"/>
      <c r="O45" s="35"/>
      <c r="P45" s="35"/>
      <c r="Q45" s="36">
        <f>G45-Bilan_E_KP_AME_2020!G41</f>
        <v>0</v>
      </c>
      <c r="R45" s="498"/>
      <c r="S45" s="539"/>
      <c r="T45" s="84">
        <v>0</v>
      </c>
      <c r="U45" s="83">
        <v>0</v>
      </c>
      <c r="V45" s="84">
        <v>0</v>
      </c>
      <c r="W45" s="92">
        <v>0</v>
      </c>
      <c r="X45" s="84">
        <v>0</v>
      </c>
      <c r="Y45" s="489">
        <f t="shared" si="6"/>
        <v>0</v>
      </c>
      <c r="Z45" s="489">
        <f>Q45-Y45</f>
        <v>0</v>
      </c>
    </row>
    <row r="46" spans="1:26" x14ac:dyDescent="0.25">
      <c r="A46" s="739"/>
      <c r="B46" s="1" t="s">
        <v>42</v>
      </c>
      <c r="C46" s="33">
        <f>Bilan_E_KP_AME_2020!D18-C18-C34</f>
        <v>45.087653294408909</v>
      </c>
      <c r="D46" s="539"/>
      <c r="E46" s="511"/>
      <c r="F46" s="539"/>
      <c r="G46" s="17">
        <f>C46-E46</f>
        <v>45.087653294408909</v>
      </c>
      <c r="H46" s="539"/>
      <c r="I46" s="38"/>
      <c r="J46" s="37"/>
      <c r="K46" s="35"/>
      <c r="L46" s="35"/>
      <c r="M46" s="35"/>
      <c r="N46" s="35"/>
      <c r="O46" s="35"/>
      <c r="P46" s="35"/>
      <c r="Q46" s="36">
        <f>G46-(Bilan_E_KP_AME_2020!D41+Bilan_E_KP_AME_2020!D29+Bilan_E_KP_AME_2020!D30)</f>
        <v>6.544858952412234</v>
      </c>
      <c r="R46" s="498"/>
      <c r="S46" s="539"/>
      <c r="T46" s="506">
        <f>Bilan_E_KP_AME_2020!D38</f>
        <v>1.5371382629999998E-2</v>
      </c>
      <c r="U46" s="93">
        <f>Bilan_E_KP_AME_2020!D34</f>
        <v>9.103168484740003</v>
      </c>
      <c r="V46" s="506">
        <f>Bilan_E_KP_AME_2020!D36</f>
        <v>0.24074954804999998</v>
      </c>
      <c r="W46" s="507">
        <f>Bilan_E_KP_AME_2020!D37</f>
        <v>0.35525487623000002</v>
      </c>
      <c r="X46" s="506">
        <f>Bilan_E_KP_AME_2020!D35</f>
        <v>0</v>
      </c>
      <c r="Y46" s="489">
        <f t="shared" si="6"/>
        <v>9.714544291650002</v>
      </c>
      <c r="Z46" s="489">
        <f>Q46-Y46</f>
        <v>-3.169685339237768</v>
      </c>
    </row>
    <row r="47" spans="1:26" x14ac:dyDescent="0.25">
      <c r="A47" s="90"/>
      <c r="B47" s="1" t="s">
        <v>31</v>
      </c>
      <c r="C47" s="33">
        <f>E57</f>
        <v>0</v>
      </c>
      <c r="D47" s="192"/>
      <c r="E47" s="511"/>
      <c r="F47" s="192"/>
      <c r="G47" s="17">
        <f>C47-E47</f>
        <v>0</v>
      </c>
      <c r="H47" s="192"/>
      <c r="I47" s="38"/>
      <c r="J47" s="37"/>
      <c r="K47" s="35"/>
      <c r="L47" s="35"/>
      <c r="M47" s="35"/>
      <c r="N47" s="35"/>
      <c r="O47" s="35"/>
      <c r="P47" s="35"/>
      <c r="Q47" s="542">
        <f>G47-Bilan_E_KP_AME_2020!R41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C5-L13-SUM(L21:L24)-L30-L41-Bilan_E_KP_AME_2020!S18</f>
        <v>-14.256794163692575</v>
      </c>
      <c r="D49" s="1"/>
      <c r="E49" s="34">
        <f>SUM(E7:E47)+I13-Bilan_E_KP_AME_2020!S32+K13+SUM(K21:K24)+K30+Bilan_E_KP_AME_2020!D29+Bilan_E_KP_AME_2020!D30</f>
        <v>17.672974825780003</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482.8409166633532</v>
      </c>
    </row>
    <row r="52" spans="1:19" x14ac:dyDescent="0.25">
      <c r="A52" s="21"/>
      <c r="B52" s="1" t="s">
        <v>44</v>
      </c>
      <c r="C52" s="44"/>
      <c r="D52" s="1"/>
      <c r="E52" s="39">
        <f>Bilan_E_KP_AME_2020!D41+Bilan_E_KP_AME_2020!D29+Bilan_E_KP_AME_2020!D30</f>
        <v>38.542794341996675</v>
      </c>
      <c r="F52" s="187"/>
      <c r="G52" s="1"/>
      <c r="H52" s="1"/>
      <c r="I52" s="30"/>
      <c r="J52" s="17"/>
      <c r="K52" s="17"/>
      <c r="L52" s="21"/>
      <c r="M52" s="1"/>
      <c r="N52" s="17"/>
      <c r="O52" s="17"/>
      <c r="P52" s="17"/>
      <c r="Q52" s="1"/>
      <c r="S52" s="33"/>
    </row>
    <row r="53" spans="1:19" x14ac:dyDescent="0.25">
      <c r="A53" s="21"/>
      <c r="B53" s="1" t="s">
        <v>41</v>
      </c>
      <c r="C53" s="45"/>
      <c r="D53" s="17"/>
      <c r="E53" s="433">
        <f>Bilan_E_KP_AME_2020!G41+Bilan_E_KP_AME_2020!G29</f>
        <v>12.027936500000001</v>
      </c>
      <c r="F53" s="187"/>
      <c r="G53" s="1"/>
      <c r="H53" s="1"/>
      <c r="I53" s="30"/>
      <c r="J53" s="17"/>
      <c r="K53" s="17"/>
      <c r="L53" s="21"/>
      <c r="M53" s="1"/>
      <c r="N53" s="17"/>
      <c r="O53" s="17"/>
      <c r="P53" s="17"/>
      <c r="Q53" s="1"/>
    </row>
    <row r="54" spans="1:19" x14ac:dyDescent="0.25">
      <c r="A54" s="21"/>
      <c r="B54" s="1" t="s">
        <v>39</v>
      </c>
      <c r="C54" s="45"/>
      <c r="D54" s="17"/>
      <c r="E54" s="435">
        <f>Bilan_E_KP_AME_2020!F41</f>
        <v>130.9502374537683</v>
      </c>
      <c r="F54" s="187"/>
      <c r="G54" s="1"/>
      <c r="H54" s="1"/>
      <c r="I54" s="30"/>
      <c r="J54" s="17"/>
      <c r="K54" s="17"/>
      <c r="L54" s="21"/>
      <c r="M54" s="21"/>
      <c r="N54" s="17"/>
      <c r="O54" s="17"/>
      <c r="P54" s="17"/>
      <c r="Q54" s="1"/>
    </row>
    <row r="55" spans="1:19" x14ac:dyDescent="0.25">
      <c r="B55" s="1" t="s">
        <v>21</v>
      </c>
      <c r="E55" s="434">
        <f>Bilan_E_KP_AME_2020!M41+Bilan_E_KP_AME_2020!M29</f>
        <v>0</v>
      </c>
    </row>
    <row r="56" spans="1:19" x14ac:dyDescent="0.25">
      <c r="B56" s="1" t="s">
        <v>37</v>
      </c>
      <c r="E56" s="515">
        <f>Bilan_E_KP_AME_2020!L41+Bilan_E_KP_AME_2020!L29</f>
        <v>0</v>
      </c>
    </row>
    <row r="57" spans="1:19" x14ac:dyDescent="0.25">
      <c r="B57" s="1" t="s">
        <v>31</v>
      </c>
      <c r="E57" s="515">
        <f>Bilan_E_KP_AME_2020!R41</f>
        <v>0</v>
      </c>
    </row>
  </sheetData>
  <mergeCells count="12">
    <mergeCell ref="S2:X3"/>
    <mergeCell ref="G3:H3"/>
    <mergeCell ref="A7:A19"/>
    <mergeCell ref="A21:A24"/>
    <mergeCell ref="A26:A32"/>
    <mergeCell ref="A36:A46"/>
    <mergeCell ref="C1:H1"/>
    <mergeCell ref="J1:Q1"/>
    <mergeCell ref="C2:D2"/>
    <mergeCell ref="E2:H2"/>
    <mergeCell ref="J2:J4"/>
    <mergeCell ref="K2:Q3"/>
  </mergeCells>
  <pageMargins left="0.7" right="0.7"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104D8-4D04-489F-A163-34D9FD27D8D8}">
  <dimension ref="A1:Z59"/>
  <sheetViews>
    <sheetView topLeftCell="A16" workbookViewId="0">
      <selection activeCell="U44" sqref="U44"/>
    </sheetView>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2451.4702248884246</v>
      </c>
      <c r="D5" s="18"/>
      <c r="E5" s="20"/>
      <c r="F5" s="494"/>
      <c r="G5" s="21"/>
      <c r="H5" s="493"/>
      <c r="I5" s="21"/>
      <c r="J5" s="22"/>
      <c r="K5" s="23"/>
      <c r="L5" s="14"/>
      <c r="M5" s="14"/>
      <c r="N5" s="15"/>
      <c r="O5" s="16"/>
      <c r="P5" s="16"/>
      <c r="Q5" s="24">
        <f>Q13+Q22+Q30+Q42+Q46+Q38+Q43</f>
        <v>1537.4511747351542</v>
      </c>
      <c r="R5" s="487"/>
      <c r="S5" s="79">
        <f>SUM(S13,S22,S27:S32,S41)</f>
        <v>1544.7420704363522</v>
      </c>
      <c r="T5" s="79">
        <f>SUM(T8:T46)</f>
        <v>54.478514927775635</v>
      </c>
      <c r="U5" s="79">
        <f>SUM(U8:U46)</f>
        <v>294.16757218061497</v>
      </c>
      <c r="V5" s="79">
        <f>SUM(V8:V46)</f>
        <v>433.16429706620238</v>
      </c>
      <c r="W5" s="173">
        <f>SUM(W8:W46)</f>
        <v>243.70606413173968</v>
      </c>
      <c r="X5" s="79">
        <f>SUM(X8:X46)</f>
        <v>519.22562213001947</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f>(([12]Offre_calc!$L$106+[12]Offre_calc!$L$107+[12]Offre_calc!$L$144+[12]Offre_calc!$L$145)/([12]Offre_calc!$L$103+[12]Offre_calc!$L$141))*Bilan_E_KP_réel_2022!K$21</f>
        <v>39.40655634279242</v>
      </c>
      <c r="D7" s="516"/>
      <c r="E7" s="28">
        <v>0</v>
      </c>
      <c r="F7" s="516"/>
      <c r="G7" s="17">
        <f>C7-E7</f>
        <v>39.40655634279242</v>
      </c>
      <c r="H7" s="516"/>
      <c r="I7" s="21"/>
      <c r="J7" s="516"/>
      <c r="K7" s="523"/>
      <c r="L7" s="523"/>
      <c r="M7" s="523"/>
      <c r="N7" s="523"/>
      <c r="O7" s="523"/>
      <c r="P7" s="513"/>
      <c r="Q7" s="526"/>
      <c r="R7" s="498"/>
      <c r="S7" s="526"/>
      <c r="T7" s="523"/>
      <c r="U7" s="523"/>
      <c r="V7" s="523"/>
      <c r="W7" s="523"/>
      <c r="X7" s="523"/>
    </row>
    <row r="8" spans="1:24" x14ac:dyDescent="0.25">
      <c r="A8" s="736"/>
      <c r="B8" s="1" t="s">
        <v>18</v>
      </c>
      <c r="C8" s="486">
        <f>(([12]Offre_calc!$L$105+[12]Offre_calc!$L$143)/([12]Offre_calc!$L$103+[12]Offre_calc!$L$141))*Bilan_E_KP_réel_2022!K$21</f>
        <v>47.528150283294522</v>
      </c>
      <c r="D8" s="81"/>
      <c r="E8" s="28">
        <v>0</v>
      </c>
      <c r="F8" s="81"/>
      <c r="G8" s="17">
        <f t="shared" ref="G8:G19" si="0">C8-E8</f>
        <v>47.528150283294522</v>
      </c>
      <c r="H8" s="81"/>
      <c r="I8" s="21"/>
      <c r="J8" s="81"/>
      <c r="K8" s="524"/>
      <c r="L8" s="524"/>
      <c r="M8" s="524"/>
      <c r="N8" s="524"/>
      <c r="O8" s="524"/>
      <c r="P8" s="29"/>
      <c r="Q8" s="527"/>
      <c r="R8" s="498"/>
      <c r="S8" s="527"/>
      <c r="T8" s="524"/>
      <c r="U8" s="524"/>
      <c r="V8" s="524"/>
      <c r="W8" s="524"/>
      <c r="X8" s="524"/>
    </row>
    <row r="9" spans="1:24" x14ac:dyDescent="0.25">
      <c r="A9" s="736"/>
      <c r="B9" s="1" t="s">
        <v>19</v>
      </c>
      <c r="C9" s="486">
        <f>(([12]Offre_calc!$L$104+[12]Offre_calc!$L$142)/([12]Offre_calc!$L$103+[12]Offre_calc!$L$141))*Bilan_E_KP_réel_2022!K$21</f>
        <v>16.708826373913073</v>
      </c>
      <c r="D9" s="81"/>
      <c r="E9" s="28">
        <v>0</v>
      </c>
      <c r="F9" s="81"/>
      <c r="G9" s="17">
        <f t="shared" si="0"/>
        <v>16.708826373913073</v>
      </c>
      <c r="H9" s="81"/>
      <c r="I9" s="21"/>
      <c r="J9" s="81"/>
      <c r="K9" s="524"/>
      <c r="L9" s="524"/>
      <c r="M9" s="524"/>
      <c r="N9" s="524"/>
      <c r="O9" s="524"/>
      <c r="P9" s="29"/>
      <c r="Q9" s="527"/>
      <c r="R9" s="498"/>
      <c r="S9" s="527"/>
      <c r="T9" s="524"/>
      <c r="U9" s="524"/>
      <c r="V9" s="524"/>
      <c r="W9" s="524"/>
      <c r="X9" s="524"/>
    </row>
    <row r="10" spans="1:24" x14ac:dyDescent="0.25">
      <c r="A10" s="736"/>
      <c r="B10" s="1" t="s">
        <v>20</v>
      </c>
      <c r="C10" s="17">
        <f>Bilan_E_KP_réel_2022!J21-(Bilan_E_KP_réel_2022!R20+Bilan_E_KP_réel_2022!R19)</f>
        <v>891.94349557575754</v>
      </c>
      <c r="D10" s="81"/>
      <c r="E10" s="28">
        <f>F13-SUM(E11:E19)</f>
        <v>587.25092807553756</v>
      </c>
      <c r="F10" s="81"/>
      <c r="G10" s="17">
        <f t="shared" si="0"/>
        <v>304.69256750021998</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f>Bilan_E_KP_réel_2022!O21</f>
        <v>6.5700616208055544</v>
      </c>
      <c r="D11" s="81"/>
      <c r="E11" s="28">
        <f>C11*(1-[12]Offre_calc!$L$161)</f>
        <v>3.1142092082618325</v>
      </c>
      <c r="F11" s="81"/>
      <c r="G11" s="17">
        <f t="shared" si="0"/>
        <v>3.455852412543722</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f>Bilan_E_KP_réel_2022!M21</f>
        <v>11.527321338888887</v>
      </c>
      <c r="D12" s="81"/>
      <c r="E12" s="28">
        <f>C12*(1-[12]Offre_calc!$L$171)</f>
        <v>8.8299281455888874</v>
      </c>
      <c r="F12" s="81"/>
      <c r="G12" s="17">
        <f t="shared" si="0"/>
        <v>2.6973931932999999</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f>Bilan_E_KP_réel_2022!L21</f>
        <v>20.200103710650659</v>
      </c>
      <c r="D13" s="81">
        <f>SUM(C7:C19)</f>
        <v>1135.5857508333374</v>
      </c>
      <c r="E13" s="28">
        <f>C13*(1-[12]Offre_calc!$L$170)</f>
        <v>15.473279442358406</v>
      </c>
      <c r="F13" s="81">
        <f>Bilan_E_KP_réel_2022!U21</f>
        <v>667.55013383333755</v>
      </c>
      <c r="G13" s="17">
        <f t="shared" si="0"/>
        <v>4.726824268292253</v>
      </c>
      <c r="H13" s="81">
        <f>SUM(G7:G19)</f>
        <v>468.03561700000006</v>
      </c>
      <c r="I13" s="33">
        <f>Bilan_E_KP_réel_2022!R30</f>
        <v>33.088101000000023</v>
      </c>
      <c r="J13" s="81">
        <f>H13-I13</f>
        <v>434.94751600000006</v>
      </c>
      <c r="K13" s="29">
        <f>Bilan_E_KP_réel_2022!R31</f>
        <v>35.191692000000003</v>
      </c>
      <c r="L13" s="29">
        <f>-(Bilan_E_KP_réel_2022!R14+Bilan_E_KP_réel_2022!R13)</f>
        <v>-14.944523000000004</v>
      </c>
      <c r="M13" s="29">
        <f>Bilan_E_KP_réel_2022!R28</f>
        <v>0</v>
      </c>
      <c r="N13" s="29"/>
      <c r="O13" s="29"/>
      <c r="P13" s="29"/>
      <c r="Q13" s="81">
        <f>J13-K13-L13-M13-N13-O13-P13</f>
        <v>414.70034700000008</v>
      </c>
      <c r="R13" s="508">
        <f>Q13-S13</f>
        <v>0</v>
      </c>
      <c r="S13" s="81">
        <f>SUM(T8:X19)</f>
        <v>414.70034700000002</v>
      </c>
      <c r="T13" s="29">
        <f>Bilan_E_KP_réel_2022!R38</f>
        <v>7.8260000000000005</v>
      </c>
      <c r="U13" s="29">
        <f>Bilan_E_KP_réel_2022!R34+Bilan_E_KP_réel_2022!R39</f>
        <v>107.64707300000001</v>
      </c>
      <c r="V13" s="29">
        <f>Bilan_E_KP_réel_2022!R36</f>
        <v>155.36990600000001</v>
      </c>
      <c r="W13" s="29">
        <f>Bilan_E_KP_réel_2022!R37</f>
        <v>133.03417000000002</v>
      </c>
      <c r="X13" s="29">
        <f>Bilan_E_KP_réel_2022!R35</f>
        <v>10.823198000000001</v>
      </c>
    </row>
    <row r="14" spans="1:24" x14ac:dyDescent="0.25">
      <c r="A14" s="736"/>
      <c r="B14" s="1" t="s">
        <v>24</v>
      </c>
      <c r="C14" s="17">
        <f>Bilan_E_KP_réel_2022!Q21</f>
        <v>0</v>
      </c>
      <c r="D14" s="81"/>
      <c r="E14" s="28">
        <v>0</v>
      </c>
      <c r="F14" s="81"/>
      <c r="G14" s="17">
        <f t="shared" si="0"/>
        <v>0</v>
      </c>
      <c r="H14" s="81"/>
      <c r="I14" s="21"/>
      <c r="J14" s="81"/>
      <c r="K14" s="524"/>
      <c r="L14" s="524"/>
      <c r="M14" s="524"/>
      <c r="N14" s="524"/>
      <c r="O14" s="524"/>
      <c r="P14" s="29"/>
      <c r="Q14" s="527"/>
      <c r="R14" s="508"/>
      <c r="S14" s="527"/>
      <c r="T14" s="524"/>
      <c r="U14" s="524"/>
      <c r="V14" s="524"/>
      <c r="W14" s="524"/>
      <c r="X14" s="524"/>
    </row>
    <row r="15" spans="1:24" x14ac:dyDescent="0.25">
      <c r="A15" s="736"/>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36"/>
      <c r="B16" s="1" t="s">
        <v>343</v>
      </c>
      <c r="C16" s="17">
        <f>Bilan_E_KP_réel_2022!N21</f>
        <v>0</v>
      </c>
      <c r="D16" s="81"/>
      <c r="E16" s="28">
        <f>C16*(1-[12]Offre_calc!$L$158)</f>
        <v>0</v>
      </c>
      <c r="F16" s="81"/>
      <c r="G16" s="17">
        <f t="shared" si="0"/>
        <v>0</v>
      </c>
      <c r="H16" s="81"/>
      <c r="I16" s="21"/>
      <c r="J16" s="81"/>
      <c r="K16" s="524"/>
      <c r="L16" s="524"/>
      <c r="M16" s="524"/>
      <c r="N16" s="524"/>
      <c r="O16" s="524"/>
      <c r="P16" s="29"/>
      <c r="Q16" s="527"/>
      <c r="R16" s="508"/>
      <c r="S16" s="527"/>
      <c r="T16" s="524"/>
      <c r="U16" s="524"/>
      <c r="V16" s="524"/>
      <c r="W16" s="524"/>
      <c r="X16" s="524"/>
    </row>
    <row r="17" spans="1:24" x14ac:dyDescent="0.25">
      <c r="A17" s="736"/>
      <c r="B17" s="1" t="s">
        <v>27</v>
      </c>
      <c r="C17" s="17">
        <f>Bilan_E_KP_réel_2022!F21</f>
        <v>15.094581533775113</v>
      </c>
      <c r="D17" s="81"/>
      <c r="E17" s="28">
        <f>C17*(1-[12]Offre_calc!$L$158)</f>
        <v>8.4529656589140636</v>
      </c>
      <c r="F17" s="81"/>
      <c r="G17" s="17">
        <f t="shared" si="0"/>
        <v>6.6416158748610492</v>
      </c>
      <c r="H17" s="81"/>
      <c r="I17" s="21"/>
      <c r="J17" s="81"/>
      <c r="K17" s="524"/>
      <c r="L17" s="524"/>
      <c r="M17" s="524"/>
      <c r="N17" s="524"/>
      <c r="O17" s="524"/>
      <c r="P17" s="29"/>
      <c r="Q17" s="527"/>
      <c r="R17" s="508"/>
      <c r="S17" s="527"/>
      <c r="T17" s="524"/>
      <c r="U17" s="524"/>
      <c r="V17" s="524"/>
      <c r="W17" s="524"/>
      <c r="X17" s="524"/>
    </row>
    <row r="18" spans="1:24" x14ac:dyDescent="0.25">
      <c r="A18" s="736"/>
      <c r="B18" s="1" t="s">
        <v>28</v>
      </c>
      <c r="C18" s="17">
        <f>Bilan_E_KP_réel_2022!D21</f>
        <v>16.245756033005371</v>
      </c>
      <c r="D18" s="81"/>
      <c r="E18" s="28">
        <f>C18*(1-[12]Offre_calc!$L$157)</f>
        <v>11.07775764098141</v>
      </c>
      <c r="F18" s="81"/>
      <c r="G18" s="17">
        <f t="shared" si="0"/>
        <v>5.1679983920239607</v>
      </c>
      <c r="H18" s="81"/>
      <c r="I18" s="21"/>
      <c r="J18" s="81"/>
      <c r="K18" s="524"/>
      <c r="L18" s="524"/>
      <c r="M18" s="524"/>
      <c r="N18" s="524"/>
      <c r="O18" s="524"/>
      <c r="P18" s="29"/>
      <c r="Q18" s="527"/>
      <c r="R18" s="508"/>
      <c r="S18" s="527"/>
      <c r="T18" s="524"/>
      <c r="U18" s="524"/>
      <c r="V18" s="524"/>
      <c r="W18" s="524"/>
      <c r="X18" s="524"/>
    </row>
    <row r="19" spans="1:24" x14ac:dyDescent="0.25">
      <c r="A19" s="736"/>
      <c r="B19" s="1" t="s">
        <v>260</v>
      </c>
      <c r="C19" s="17">
        <f>Bilan_E_KP_réel_2022!H21+Bilan_E_KP_réel_2022!T21</f>
        <v>70.360898020454528</v>
      </c>
      <c r="D19" s="82"/>
      <c r="E19" s="28">
        <f>C19*(1-[12]Offre_calc!$L$160)</f>
        <v>33.351065661695444</v>
      </c>
      <c r="F19" s="82"/>
      <c r="G19" s="17">
        <f t="shared" si="0"/>
        <v>37.009832358759084</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f>G10/C10</f>
        <v>0.34160523509792307</v>
      </c>
      <c r="H20" s="499"/>
      <c r="I20" s="17"/>
      <c r="J20" s="1"/>
      <c r="K20" s="17"/>
      <c r="L20" s="1"/>
      <c r="M20" s="1"/>
      <c r="N20" s="1"/>
      <c r="O20" s="1"/>
      <c r="P20" s="1"/>
      <c r="Q20" s="499"/>
      <c r="R20" s="508"/>
      <c r="S20" s="408"/>
      <c r="T20" s="495"/>
      <c r="U20" s="408"/>
      <c r="V20" s="495"/>
      <c r="W20" s="408"/>
      <c r="X20" s="495"/>
    </row>
    <row r="21" spans="1:24" x14ac:dyDescent="0.25">
      <c r="A21" s="737" t="s">
        <v>13</v>
      </c>
      <c r="B21" s="1" t="s">
        <v>21</v>
      </c>
      <c r="C21" s="17">
        <f>Bilan_E_KP_réel_2022!L23+Bilan_E_KP_réel_2022!O12</f>
        <v>19.09634888888889</v>
      </c>
      <c r="D21" s="529"/>
      <c r="E21" s="33">
        <f>Bilan_E_KP_réel_2022!U23+Bilan_E_KP_réel_2022!O30</f>
        <v>0</v>
      </c>
      <c r="F21" s="529"/>
      <c r="G21" s="17">
        <f t="shared" ref="G21:G45" si="1">C21-E21</f>
        <v>19.09634888888889</v>
      </c>
      <c r="H21" s="529"/>
      <c r="I21" s="17"/>
      <c r="J21" s="529"/>
      <c r="K21" s="545">
        <f>Bilan_E_KP_réel_2022!O31</f>
        <v>0</v>
      </c>
      <c r="L21" s="545">
        <f>-(Bilan_E_KP_réel_2022!O13+Bilan_E_KP_réel_2022!O14+Bilan_E_KP_réel_2022!O15+Bilan_E_KP_réel_2022!O16)</f>
        <v>0</v>
      </c>
      <c r="M21" s="545">
        <f>Bilan_E_KP_réel_2022!O28</f>
        <v>0</v>
      </c>
      <c r="N21" s="545">
        <f>Bilan_E_KP_réel_2022!O22</f>
        <v>2.9531469903055561</v>
      </c>
      <c r="O21" s="545">
        <f>Bilan_E_KP_réel_2022!O21</f>
        <v>6.5700616208055544</v>
      </c>
      <c r="P21" s="545">
        <f>C36</f>
        <v>0</v>
      </c>
      <c r="Q21" s="529"/>
      <c r="R21" s="508"/>
      <c r="S21" s="529"/>
      <c r="T21" s="529"/>
      <c r="U21" s="529"/>
      <c r="V21" s="529"/>
      <c r="W21" s="529"/>
      <c r="X21" s="529"/>
    </row>
    <row r="22" spans="1:24" x14ac:dyDescent="0.25">
      <c r="A22" s="737"/>
      <c r="B22" s="1" t="s">
        <v>519</v>
      </c>
      <c r="C22" s="17">
        <f>Bilan_E_KP_réel_2022!T24</f>
        <v>0</v>
      </c>
      <c r="D22" s="85">
        <f>SUM(C21:C24)</f>
        <v>400.03834063888894</v>
      </c>
      <c r="E22" s="630">
        <f>Bilan_E_KP_réel_2022!I30+Bilan_E_KP_réel_2022!U24</f>
        <v>0</v>
      </c>
      <c r="F22" s="85">
        <f>SUM(E21:E24)</f>
        <v>5.0310437499999994</v>
      </c>
      <c r="G22" s="17">
        <f t="shared" si="1"/>
        <v>0</v>
      </c>
      <c r="H22" s="85">
        <f>SUM(G21:G24)</f>
        <v>395.00729688888896</v>
      </c>
      <c r="I22" s="408"/>
      <c r="J22" s="85">
        <f>H22-I22</f>
        <v>395.00729688888896</v>
      </c>
      <c r="K22" s="626">
        <f>Bilan_E_KP_réel_2022!I31</f>
        <v>0</v>
      </c>
      <c r="L22" s="626">
        <f>-SUM(Bilan_E_KP_réel_2022!I13:I16)</f>
        <v>0</v>
      </c>
      <c r="M22" s="32"/>
      <c r="N22" s="32"/>
      <c r="O22" s="32"/>
      <c r="P22" s="32"/>
      <c r="Q22" s="85">
        <f>J22-SUM(K21:P24)</f>
        <v>290.41729127777785</v>
      </c>
      <c r="R22" s="508">
        <f>Q22-S22</f>
        <v>-3.0579652777777255</v>
      </c>
      <c r="S22" s="85">
        <f>SUM(T22:X24)</f>
        <v>293.47525655555557</v>
      </c>
      <c r="T22" s="32">
        <f>Bilan_E_KP_réel_2022!H38+Bilan_E_KP_réel_2022!T38+Bilan_E_KP_réel_2022!O$38+Bilan_E_KP_réel_2022!I38</f>
        <v>2.7474958333333332</v>
      </c>
      <c r="U22" s="32">
        <f>Bilan_E_KP_réel_2022!H34+Bilan_E_KP_réel_2022!T34+Bilan_E_KP_réel_2022!O$34+Bilan_E_KP_réel_2022!I34</f>
        <v>108.57266219444446</v>
      </c>
      <c r="V22" s="32">
        <f>Bilan_E_KP_réel_2022!H36+Bilan_E_KP_réel_2022!T36+Bilan_E_KP_réel_2022!O$36+Bilan_E_KP_réel_2022!I36</f>
        <v>110.55954550000001</v>
      </c>
      <c r="W22" s="32">
        <f>Bilan_E_KP_réel_2022!H37+Bilan_E_KP_réel_2022!M37+Bilan_E_KP_réel_2022!T37+Bilan_E_KP_réel_2022!O$37+Bilan_E_KP_réel_2022!I37</f>
        <v>67.887248027777787</v>
      </c>
      <c r="X22" s="32">
        <f>Bilan_E_KP_réel_2022!H35+Bilan_E_KP_réel_2022!T35+Bilan_E_KP_réel_2022!O$35+Bilan_E_KP_réel_2022!I35</f>
        <v>3.7083049999999997</v>
      </c>
    </row>
    <row r="23" spans="1:24" x14ac:dyDescent="0.25">
      <c r="A23" s="737"/>
      <c r="B23" s="1" t="s">
        <v>31</v>
      </c>
      <c r="C23" s="17">
        <f>SUM(Bilan_E_KP_réel_2022!D28:S28)-C47</f>
        <v>0</v>
      </c>
      <c r="D23" s="530"/>
      <c r="E23" s="33">
        <f>Bilan_E_KP_réel_2022!U28</f>
        <v>0</v>
      </c>
      <c r="F23" s="532"/>
      <c r="G23" s="17">
        <f t="shared" si="1"/>
        <v>0</v>
      </c>
      <c r="H23" s="532"/>
      <c r="I23" s="17"/>
      <c r="J23" s="532"/>
      <c r="K23" s="534">
        <f>Bilan_E_KP_réel_2022!T31</f>
        <v>0</v>
      </c>
      <c r="L23" s="534">
        <f>-(Bilan_E_KP_réel_2022!T13+Bilan_E_KP_réel_2022!T14+Bilan_E_KP_réel_2022!T15+Bilan_E_KP_réel_2022!T16)</f>
        <v>0</v>
      </c>
      <c r="M23" s="534">
        <f>Bilan_E_KP_réel_2022!T24</f>
        <v>0</v>
      </c>
      <c r="N23" s="534">
        <f>Bilan_E_KP_réel_2022!T22</f>
        <v>0</v>
      </c>
      <c r="O23" s="534">
        <f>Bilan_E_KP_réel_2022!T21</f>
        <v>0</v>
      </c>
      <c r="P23" s="534">
        <f>Bilan_E_KP_réel_2022!T27</f>
        <v>0</v>
      </c>
      <c r="Q23" s="532"/>
      <c r="R23" s="489"/>
      <c r="S23" s="532"/>
      <c r="T23" s="536"/>
      <c r="U23" s="536"/>
      <c r="V23" s="536"/>
      <c r="W23" s="536"/>
      <c r="X23" s="536"/>
    </row>
    <row r="24" spans="1:24" x14ac:dyDescent="0.25">
      <c r="A24" s="737"/>
      <c r="B24" s="1" t="s">
        <v>32</v>
      </c>
      <c r="C24" s="17">
        <f>Bilan_E_KP_réel_2022!H18-C45-(Bilan_E_KP_réel_2022!H20+Bilan_E_KP_réel_2022!H19)</f>
        <v>380.94199175000006</v>
      </c>
      <c r="D24" s="531"/>
      <c r="E24" s="33">
        <f>Bilan_E_KP_réel_2022!H30</f>
        <v>5.0310437499999994</v>
      </c>
      <c r="F24" s="533"/>
      <c r="G24" s="17">
        <f t="shared" si="1"/>
        <v>375.91094800000008</v>
      </c>
      <c r="H24" s="533"/>
      <c r="I24" s="34"/>
      <c r="J24" s="533"/>
      <c r="K24" s="535">
        <f>Bilan_E_KP_réel_2022!H31</f>
        <v>4.1836710000000004</v>
      </c>
      <c r="L24" s="535"/>
      <c r="M24" s="535">
        <f>Bilan_E_KP_réel_2022!H28</f>
        <v>0</v>
      </c>
      <c r="N24" s="535">
        <f>Bilan_E_KP_réel_2022!H22</f>
        <v>20.52222797954547</v>
      </c>
      <c r="O24" s="535">
        <f>Bilan_E_KP_réel_2022!H21</f>
        <v>70.360898020454528</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38" t="s">
        <v>14</v>
      </c>
      <c r="B26" s="1" t="s">
        <v>21</v>
      </c>
      <c r="C26" s="17">
        <f>Bilan_E_KP_réel_2022!O22</f>
        <v>2.9531469903055561</v>
      </c>
      <c r="D26" s="512"/>
      <c r="E26" s="190">
        <f>C26*F$35</f>
        <v>0.40078073759361205</v>
      </c>
      <c r="F26" s="512"/>
      <c r="G26" s="33">
        <f t="shared" ref="G26:G31" si="2">C26-E26</f>
        <v>2.552366252711944</v>
      </c>
      <c r="H26" s="512"/>
      <c r="I26" s="1"/>
      <c r="J26" s="512"/>
      <c r="K26" s="512"/>
      <c r="L26" s="512"/>
      <c r="M26" s="512"/>
      <c r="N26" s="512"/>
      <c r="O26" s="512"/>
      <c r="P26" s="512"/>
      <c r="Q26" s="512"/>
      <c r="R26" s="508"/>
      <c r="S26" s="512"/>
      <c r="T26" s="512"/>
      <c r="U26" s="512"/>
      <c r="V26" s="512"/>
      <c r="W26" s="512"/>
      <c r="X26" s="512"/>
    </row>
    <row r="27" spans="1:24" x14ac:dyDescent="0.25">
      <c r="A27" s="738"/>
      <c r="B27" s="1" t="s">
        <v>22</v>
      </c>
      <c r="C27" s="17">
        <f>Bilan_E_KP_réel_2022!M18-Bilan_E_KP_réel_2022!M21-Bilan_E_KP_réel_2022!M34-(Bilan_E_KP_réel_2022!S20+Bilan_E_KP_réel_2022!S19+Bilan_E_KP_réel_2022!M20+Bilan_E_KP_réel_2022!M19)</f>
        <v>20.121548383333341</v>
      </c>
      <c r="D27" s="87"/>
      <c r="E27" s="190">
        <f t="shared" ref="E27:E34" si="3">C27*F$35</f>
        <v>2.7307577404955006</v>
      </c>
      <c r="F27" s="87"/>
      <c r="G27" s="33">
        <f t="shared" si="2"/>
        <v>17.390790642837839</v>
      </c>
      <c r="H27" s="87"/>
      <c r="I27" s="500"/>
      <c r="J27" s="87"/>
      <c r="K27" s="87"/>
      <c r="L27" s="87"/>
      <c r="M27" s="87"/>
      <c r="N27" s="87"/>
      <c r="O27" s="87"/>
      <c r="P27" s="87"/>
      <c r="Q27" s="87"/>
      <c r="R27" s="508"/>
      <c r="S27" s="87"/>
      <c r="T27" s="87"/>
      <c r="U27" s="87"/>
      <c r="V27" s="87"/>
      <c r="W27" s="87"/>
      <c r="X27" s="87"/>
    </row>
    <row r="28" spans="1:24" x14ac:dyDescent="0.25">
      <c r="A28" s="738"/>
      <c r="B28" s="1" t="s">
        <v>26</v>
      </c>
      <c r="C28" s="17"/>
      <c r="D28" s="87"/>
      <c r="E28" s="190">
        <f t="shared" si="3"/>
        <v>0</v>
      </c>
      <c r="F28" s="87"/>
      <c r="G28" s="33">
        <f>C28-E28</f>
        <v>0</v>
      </c>
      <c r="H28" s="87"/>
      <c r="I28" s="1"/>
      <c r="J28" s="87"/>
      <c r="K28" s="87"/>
      <c r="L28" s="87"/>
      <c r="M28" s="87"/>
      <c r="N28" s="87"/>
      <c r="O28" s="87"/>
      <c r="P28" s="87"/>
      <c r="Q28" s="87"/>
      <c r="R28" s="508"/>
      <c r="S28" s="87"/>
      <c r="T28" s="87"/>
      <c r="U28" s="87"/>
      <c r="V28" s="87"/>
      <c r="W28" s="87"/>
      <c r="X28" s="87"/>
    </row>
    <row r="29" spans="1:24" x14ac:dyDescent="0.25">
      <c r="A29" s="738"/>
      <c r="B29" s="1" t="s">
        <v>23</v>
      </c>
      <c r="C29" s="17">
        <f>Bilan_E_KP_réel_2022!L22</f>
        <v>9.4859154560160093</v>
      </c>
      <c r="D29" s="87"/>
      <c r="E29" s="190">
        <f t="shared" si="3"/>
        <v>1.2873630082393492</v>
      </c>
      <c r="F29" s="87"/>
      <c r="G29" s="33">
        <f t="shared" si="2"/>
        <v>8.1985524477766596</v>
      </c>
      <c r="H29" s="87"/>
      <c r="I29" s="1"/>
      <c r="J29" s="87"/>
      <c r="K29" s="87"/>
      <c r="L29" s="87"/>
      <c r="M29" s="87"/>
      <c r="N29" s="87"/>
      <c r="O29" s="87"/>
      <c r="P29" s="87"/>
      <c r="Q29" s="87"/>
      <c r="R29" s="508"/>
      <c r="S29" s="87"/>
      <c r="T29" s="87"/>
      <c r="U29" s="87"/>
      <c r="V29" s="87"/>
      <c r="W29" s="87"/>
      <c r="X29" s="87"/>
    </row>
    <row r="30" spans="1:24" x14ac:dyDescent="0.25">
      <c r="A30" s="738"/>
      <c r="B30" s="1" t="s">
        <v>24</v>
      </c>
      <c r="C30" s="17">
        <f>Bilan_E_KP_réel_2022!Q22</f>
        <v>4.6370516666666663</v>
      </c>
      <c r="D30" s="86">
        <f>SUM(C26:C34)</f>
        <v>61.947427848462887</v>
      </c>
      <c r="E30" s="190">
        <f t="shared" si="3"/>
        <v>0.62930866405470243</v>
      </c>
      <c r="F30" s="86">
        <f>Bilan_E_KP_réel_2022!U22</f>
        <v>8.4070775706850895</v>
      </c>
      <c r="G30" s="33">
        <f t="shared" si="2"/>
        <v>4.0077430026119636</v>
      </c>
      <c r="H30" s="86">
        <f>SUM(G26:G34)</f>
        <v>53.540350277777804</v>
      </c>
      <c r="I30" s="1"/>
      <c r="J30" s="86">
        <f>H30</f>
        <v>53.540350277777804</v>
      </c>
      <c r="K30" s="87">
        <f>Bilan_E_KP_réel_2022!S31</f>
        <v>4.6798827777777792</v>
      </c>
      <c r="L30" s="87"/>
      <c r="M30" s="87">
        <f>Bilan_E_KP_réel_2022!M28</f>
        <v>0</v>
      </c>
      <c r="N30" s="87"/>
      <c r="O30" s="87"/>
      <c r="P30" s="87"/>
      <c r="Q30" s="86">
        <f>J30-K30-L30-M30-N30-O30-P30</f>
        <v>48.860467500000027</v>
      </c>
      <c r="R30" s="508">
        <f>Q30-S30</f>
        <v>2.5866013888889157</v>
      </c>
      <c r="S30" s="86">
        <f>SUM(T27:X34)</f>
        <v>46.273866111111111</v>
      </c>
      <c r="T30" s="87">
        <f>Bilan_E_KP_réel_2022!S$38</f>
        <v>0.23347250000000003</v>
      </c>
      <c r="U30" s="87">
        <f>Bilan_E_KP_réel_2022!S$34</f>
        <v>21.793321666666667</v>
      </c>
      <c r="V30" s="87">
        <f>Bilan_E_KP_réel_2022!S$36</f>
        <v>14.53032638888889</v>
      </c>
      <c r="W30" s="87">
        <f>Bilan_E_KP_réel_2022!S$37</f>
        <v>9.7167455555555549</v>
      </c>
      <c r="X30" s="87">
        <f>Bilan_E_KP_réel_2022!S$35</f>
        <v>0</v>
      </c>
    </row>
    <row r="31" spans="1:24" x14ac:dyDescent="0.25">
      <c r="A31" s="738"/>
      <c r="B31" s="1" t="s">
        <v>33</v>
      </c>
      <c r="C31" s="17">
        <v>0</v>
      </c>
      <c r="D31" s="86"/>
      <c r="E31" s="190">
        <f t="shared" si="3"/>
        <v>0</v>
      </c>
      <c r="F31" s="86"/>
      <c r="G31" s="33">
        <f t="shared" si="2"/>
        <v>0</v>
      </c>
      <c r="H31" s="86"/>
      <c r="I31" s="1"/>
      <c r="J31" s="517"/>
      <c r="K31" s="87"/>
      <c r="L31" s="87"/>
      <c r="M31" s="87"/>
      <c r="N31" s="87"/>
      <c r="O31" s="87"/>
      <c r="P31" s="87"/>
      <c r="Q31" s="517"/>
      <c r="R31" s="508"/>
      <c r="S31" s="519"/>
      <c r="T31" s="521"/>
      <c r="U31" s="521"/>
      <c r="V31" s="521"/>
      <c r="W31" s="521"/>
      <c r="X31" s="521"/>
    </row>
    <row r="32" spans="1:24" x14ac:dyDescent="0.25">
      <c r="A32" s="738"/>
      <c r="B32" s="1" t="s">
        <v>29</v>
      </c>
      <c r="C32" s="17">
        <f>Bilan_E_KP_réel_2022!H22</f>
        <v>20.52222797954547</v>
      </c>
      <c r="D32" s="86"/>
      <c r="E32" s="190">
        <f t="shared" si="3"/>
        <v>2.7851352112532268</v>
      </c>
      <c r="F32" s="86"/>
      <c r="G32" s="33">
        <f>C32-E32</f>
        <v>17.737092768292243</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f>Bilan_E_KP_réel_2022!F22</f>
        <v>2.5787453844178874</v>
      </c>
      <c r="D33" s="86"/>
      <c r="E33" s="190">
        <f t="shared" si="3"/>
        <v>0.349969534407154</v>
      </c>
      <c r="F33" s="86"/>
      <c r="G33" s="33">
        <f t="shared" ref="G33:G34" si="4">C33-E33</f>
        <v>2.2287758500107335</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f>Bilan_E_KP_réel_2022!D22</f>
        <v>1.6487919881779634</v>
      </c>
      <c r="D34" s="88"/>
      <c r="E34" s="190">
        <f t="shared" si="3"/>
        <v>0.22376267464154576</v>
      </c>
      <c r="F34" s="88"/>
      <c r="G34" s="33">
        <f t="shared" si="4"/>
        <v>1.4250293135364176</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f>F30/D30</f>
        <v>0.13571310161982289</v>
      </c>
      <c r="G35" s="17"/>
      <c r="H35" s="501"/>
      <c r="I35" s="1"/>
      <c r="J35" s="1"/>
      <c r="K35" s="1"/>
      <c r="L35" s="1"/>
      <c r="M35" s="1"/>
      <c r="N35" s="1"/>
      <c r="O35" s="1"/>
      <c r="P35" s="1"/>
      <c r="Q35" s="502"/>
      <c r="R35" s="508"/>
      <c r="U35" s="33"/>
      <c r="V35" s="33"/>
      <c r="W35" s="33"/>
    </row>
    <row r="36" spans="1:26" x14ac:dyDescent="0.25">
      <c r="A36" s="739" t="s">
        <v>34</v>
      </c>
      <c r="B36" s="1" t="s">
        <v>21</v>
      </c>
      <c r="C36" s="33">
        <f>E55</f>
        <v>0</v>
      </c>
      <c r="D36" s="538"/>
      <c r="E36" s="17"/>
      <c r="F36" s="538"/>
      <c r="G36" s="17">
        <f t="shared" ref="G36:G42" si="5">C36-E36</f>
        <v>0</v>
      </c>
      <c r="H36" s="538"/>
      <c r="I36" s="35"/>
      <c r="J36" s="37"/>
      <c r="K36" s="35"/>
      <c r="L36" s="35"/>
      <c r="M36" s="35"/>
      <c r="N36" s="35"/>
      <c r="O36" s="35"/>
      <c r="P36" s="35"/>
      <c r="Q36" s="540"/>
      <c r="R36" s="508"/>
      <c r="S36" s="538"/>
      <c r="T36" s="503">
        <v>0</v>
      </c>
      <c r="U36" s="503">
        <v>0</v>
      </c>
      <c r="V36" s="503">
        <v>0</v>
      </c>
      <c r="W36" s="503">
        <v>0</v>
      </c>
      <c r="X36" s="503">
        <v>0</v>
      </c>
      <c r="Y36" s="489">
        <f>SUM(T36:X36)</f>
        <v>0</v>
      </c>
      <c r="Z36" s="489">
        <f>G36-Y36</f>
        <v>0</v>
      </c>
    </row>
    <row r="37" spans="1:26" x14ac:dyDescent="0.25">
      <c r="A37" s="739"/>
      <c r="B37" s="1" t="s">
        <v>23</v>
      </c>
      <c r="C37" s="33">
        <f>SUM(T37:X37)+E58</f>
        <v>90.228692680138892</v>
      </c>
      <c r="D37" s="539"/>
      <c r="E37" s="504"/>
      <c r="F37" s="539"/>
      <c r="G37" s="17">
        <f t="shared" si="5"/>
        <v>90.228692680138892</v>
      </c>
      <c r="H37" s="539"/>
      <c r="I37" s="498"/>
      <c r="J37" s="37"/>
      <c r="K37" s="35"/>
      <c r="L37" s="35"/>
      <c r="M37" s="505"/>
      <c r="N37" s="35"/>
      <c r="P37" s="35"/>
      <c r="Q37" s="541"/>
      <c r="R37" s="508"/>
      <c r="S37" s="539"/>
      <c r="T37" s="506">
        <f>Bilan_E_KP_réel_2022!L38</f>
        <v>1.8437186111111112</v>
      </c>
      <c r="U37" s="93">
        <f>Bilan_E_KP_réel_2022!L34</f>
        <v>15.531573611111112</v>
      </c>
      <c r="V37" s="506">
        <f>Bilan_E_KP_réel_2022!L36</f>
        <v>69.611392402361105</v>
      </c>
      <c r="W37" s="507">
        <f>Bilan_E_KP_réel_2022!L37</f>
        <v>3.2420080555555599</v>
      </c>
      <c r="X37" s="506">
        <f>Bilan_E_KP_réel_2022!L35</f>
        <v>0</v>
      </c>
      <c r="Y37" s="489">
        <f t="shared" ref="Y37:Y47" si="6">SUM(T37:X37)</f>
        <v>90.228692680138892</v>
      </c>
      <c r="Z37" s="489">
        <f t="shared" ref="Z37:Z44" si="7">G37-Y37</f>
        <v>0</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f>SUM(G36:G41)-E55-E56-E58-L41-L36</f>
        <v>177.46750224720228</v>
      </c>
      <c r="R38" s="508"/>
      <c r="S38" s="539"/>
      <c r="T38" s="84">
        <v>0</v>
      </c>
      <c r="U38" s="83">
        <v>0</v>
      </c>
      <c r="V38" s="84">
        <v>0</v>
      </c>
      <c r="W38" s="91">
        <v>0</v>
      </c>
      <c r="X38" s="91">
        <v>0</v>
      </c>
      <c r="Y38" s="489">
        <f t="shared" si="6"/>
        <v>0</v>
      </c>
      <c r="Z38" s="489">
        <f t="shared" si="7"/>
        <v>0</v>
      </c>
    </row>
    <row r="39" spans="1:26" x14ac:dyDescent="0.25">
      <c r="A39" s="739"/>
      <c r="B39" s="1" t="s">
        <v>35</v>
      </c>
      <c r="C39" s="33">
        <f>SUM(T39:X39)</f>
        <v>3.1892602777777772</v>
      </c>
      <c r="D39" s="539"/>
      <c r="E39" s="35"/>
      <c r="F39" s="539"/>
      <c r="G39" s="17">
        <f t="shared" si="5"/>
        <v>3.1892602777777772</v>
      </c>
      <c r="H39" s="539"/>
      <c r="I39" s="35"/>
      <c r="J39" s="37"/>
      <c r="K39" s="35"/>
      <c r="L39" s="35"/>
      <c r="M39" s="37"/>
      <c r="N39" s="35"/>
      <c r="O39" s="35"/>
      <c r="P39" s="35"/>
      <c r="Q39" s="541"/>
      <c r="R39" s="508"/>
      <c r="S39" s="539"/>
      <c r="T39" s="84">
        <f>Bilan_E_KP_réel_2022!Q38</f>
        <v>0.29211333333333334</v>
      </c>
      <c r="U39" s="83">
        <f>Bilan_E_KP_réel_2022!Q34</f>
        <v>2.4585833333333335E-2</v>
      </c>
      <c r="V39" s="84">
        <f>Bilan_E_KP_réel_2022!Q36</f>
        <v>2.5257802777777778</v>
      </c>
      <c r="W39" s="91">
        <f>Bilan_E_KP_réel_2022!Q37</f>
        <v>0.34678083333333298</v>
      </c>
      <c r="X39" s="91">
        <f>Bilan_E_KP_réel_2022!Q35</f>
        <v>0</v>
      </c>
      <c r="Y39" s="489">
        <f t="shared" si="6"/>
        <v>3.1892602777777772</v>
      </c>
      <c r="Z39" s="489">
        <f t="shared" si="7"/>
        <v>0</v>
      </c>
    </row>
    <row r="40" spans="1:26" x14ac:dyDescent="0.25">
      <c r="A40" s="739"/>
      <c r="B40" s="1" t="s">
        <v>36</v>
      </c>
      <c r="C40" s="33">
        <f>Bilan_E_KP_réel_2022!P12</f>
        <v>44.937632500000007</v>
      </c>
      <c r="D40" s="539"/>
      <c r="E40" s="35"/>
      <c r="F40" s="539"/>
      <c r="G40" s="17">
        <f t="shared" si="5"/>
        <v>44.937632500000007</v>
      </c>
      <c r="H40" s="539"/>
      <c r="I40" s="35"/>
      <c r="J40" s="37"/>
      <c r="K40" s="35"/>
      <c r="L40" s="35"/>
      <c r="M40" s="37"/>
      <c r="N40" s="35"/>
      <c r="O40" s="35"/>
      <c r="P40" s="35"/>
      <c r="Q40" s="541"/>
      <c r="R40" s="508"/>
      <c r="S40" s="539"/>
      <c r="T40" s="83">
        <f>Bilan_E_KP_réel_2022!P$38</f>
        <v>0</v>
      </c>
      <c r="U40" s="83">
        <f>Bilan_E_KP_réel_2022!P$34</f>
        <v>0</v>
      </c>
      <c r="V40" s="83">
        <f>Bilan_E_KP_réel_2022!P$36</f>
        <v>39.547388055555558</v>
      </c>
      <c r="W40" s="83">
        <f>Bilan_E_KP_réel_2022!P$37</f>
        <v>4.8885494444444442</v>
      </c>
      <c r="X40" s="84">
        <f>Bilan_E_KP_réel_2022!P$35</f>
        <v>0</v>
      </c>
      <c r="Y40" s="489">
        <f t="shared" si="6"/>
        <v>44.435937500000001</v>
      </c>
      <c r="Z40" s="489">
        <f t="shared" si="7"/>
        <v>0.50169500000000511</v>
      </c>
    </row>
    <row r="41" spans="1:26" x14ac:dyDescent="0.25">
      <c r="A41" s="739"/>
      <c r="B41" s="1" t="s">
        <v>37</v>
      </c>
      <c r="C41" s="33">
        <f>Bilan_E_KP_réel_2022!N12+Bilan_E_KP_réel_2022!L26-Bilan_E_KP_réel_2022!N21+Bilan_E_KP_réel_2022!T27</f>
        <v>21.293747609813924</v>
      </c>
      <c r="D41" s="191">
        <f>SUM(C36:C47)</f>
        <v>954.30504017884562</v>
      </c>
      <c r="E41" s="511">
        <f>Bilan_E_KP_réel_2022!U27+Bilan_E_KP_réel_2022!U26</f>
        <v>0</v>
      </c>
      <c r="F41" s="191">
        <f>SUM(E36:E47)</f>
        <v>21.28581159724898</v>
      </c>
      <c r="G41" s="17">
        <f t="shared" si="5"/>
        <v>21.293747609813924</v>
      </c>
      <c r="H41" s="191">
        <f>SUM(G36:G47)</f>
        <v>933.01922858159662</v>
      </c>
      <c r="I41" s="35"/>
      <c r="J41" s="37"/>
      <c r="K41" s="35"/>
      <c r="L41" s="37">
        <f>-(SUM(Bilan_E_KP_réel_2022!N13:N16)+SUM(Bilan_E_KP_réel_2022!G13:G16))</f>
        <v>-17.818169179471667</v>
      </c>
      <c r="M41" s="35"/>
      <c r="N41" s="35"/>
      <c r="O41" s="35"/>
      <c r="P41" s="35"/>
      <c r="Q41" s="541"/>
      <c r="R41" s="508">
        <f>SUM(Q36:Q47)-S41</f>
        <v>-2.4091240345313736</v>
      </c>
      <c r="S41" s="191">
        <f>SUM(T36:X46)</f>
        <v>790.29260076968535</v>
      </c>
      <c r="T41" s="83">
        <f>Bilan_E_KP_réel_2022!N$38+Bilan_E_KP_réel_2022!G$38</f>
        <v>2.0636319502888534</v>
      </c>
      <c r="U41" s="83">
        <f>Bilan_E_KP_réel_2022!N$34+Bilan_E_KP_réel_2022!G$34</f>
        <v>0.8896092618446092</v>
      </c>
      <c r="V41" s="83">
        <f>Bilan_E_KP_réel_2022!N$36+Bilan_E_KP_réel_2022!G$36</f>
        <v>0</v>
      </c>
      <c r="W41" s="83">
        <f>Bilan_E_KP_réel_2022!N$37+Bilan_E_KP_réel_2022!G$37</f>
        <v>0</v>
      </c>
      <c r="X41" s="84">
        <f>Bilan_E_KP_réel_2022!N$35+Bilan_E_KP_réel_2022!G$35</f>
        <v>35.98692255406236</v>
      </c>
      <c r="Y41" s="489">
        <f t="shared" si="6"/>
        <v>38.940163766195823</v>
      </c>
      <c r="Z41" s="489">
        <f>G41-Y41-L41</f>
        <v>0.17175302308976725</v>
      </c>
    </row>
    <row r="42" spans="1:26" x14ac:dyDescent="0.25">
      <c r="A42" s="739"/>
      <c r="B42" s="1" t="s">
        <v>38</v>
      </c>
      <c r="C42" s="33">
        <f>Bilan_E_KP_réel_2022!E18+Bilan_E_KP_réel_2022!F18-Bilan_E_KP_réel_2022!F21-Bilan_E_KP_réel_2022!F22-E54-SUM(T43:X43)-(Bilan_E_KP_réel_2022!E20+Bilan_E_KP_réel_2022!F20+Bilan_E_KP_réel_2022!E19+Bilan_E_KP_réel_2022!F19)</f>
        <v>489.99300817320602</v>
      </c>
      <c r="D42" s="539"/>
      <c r="E42" s="17">
        <f>Bilan_E_KP_réel_2022!F30+Bilan_E_KP_réel_2022!U25+Bilan_E_KP_réel_2022!F29+Bilan_E_KP_réel_2022!E29</f>
        <v>21.28581159724898</v>
      </c>
      <c r="F42" s="539"/>
      <c r="G42" s="17">
        <f t="shared" si="5"/>
        <v>468.70719657595703</v>
      </c>
      <c r="H42" s="539"/>
      <c r="I42" s="498"/>
      <c r="J42" s="37"/>
      <c r="K42" s="35"/>
      <c r="L42" s="35"/>
      <c r="M42" s="35"/>
      <c r="N42" s="35"/>
      <c r="O42" s="35"/>
      <c r="P42" s="35"/>
      <c r="Q42" s="36">
        <f>G42</f>
        <v>468.70719657595703</v>
      </c>
      <c r="R42" s="508"/>
      <c r="S42" s="539"/>
      <c r="T42" s="83">
        <v>0</v>
      </c>
      <c r="U42" s="83">
        <v>0</v>
      </c>
      <c r="V42" s="83">
        <v>0</v>
      </c>
      <c r="W42" s="83">
        <v>0</v>
      </c>
      <c r="X42" s="84">
        <f>Bilan_E_KP_réel_2022!F35</f>
        <v>468.70719657595708</v>
      </c>
      <c r="Y42" s="489">
        <f t="shared" si="6"/>
        <v>468.70719657595708</v>
      </c>
      <c r="Z42" s="489">
        <f>Q42-SUM(T42:X42)</f>
        <v>0</v>
      </c>
    </row>
    <row r="43" spans="1:26" x14ac:dyDescent="0.25">
      <c r="A43" s="739"/>
      <c r="B43" s="1" t="s">
        <v>39</v>
      </c>
      <c r="C43" s="33">
        <f>Bilan_E_KP_réel_2022!F41+SUM(T43:X43)</f>
        <v>240.10944653385803</v>
      </c>
      <c r="D43" s="539"/>
      <c r="E43" s="38"/>
      <c r="F43" s="539"/>
      <c r="G43" s="17">
        <f>C43-E43</f>
        <v>240.10944653385803</v>
      </c>
      <c r="H43" s="539"/>
      <c r="I43" s="35"/>
      <c r="J43" s="37"/>
      <c r="K43" s="35"/>
      <c r="L43" s="35"/>
      <c r="M43" s="35"/>
      <c r="N43" s="35"/>
      <c r="O43" s="35"/>
      <c r="P43" s="35"/>
      <c r="Q43" s="36">
        <f>G43-Bilan_E_KP_réel_2022!F41</f>
        <v>132.29827639940805</v>
      </c>
      <c r="R43" s="508"/>
      <c r="S43" s="539"/>
      <c r="T43" s="83">
        <f>Bilan_E_KP_réel_2022!F38</f>
        <v>39.452873847389007</v>
      </c>
      <c r="U43" s="83">
        <f>Bilan_E_KP_réel_2022!F34</f>
        <v>27.924680978677003</v>
      </c>
      <c r="V43" s="83">
        <f>Bilan_E_KP_réel_2022!F36</f>
        <v>40.712038874909005</v>
      </c>
      <c r="W43" s="83">
        <f>Bilan_E_KP_réel_2022!F37</f>
        <v>24.208682698433005</v>
      </c>
      <c r="X43" s="84">
        <v>0</v>
      </c>
      <c r="Y43" s="489">
        <f t="shared" si="6"/>
        <v>132.29827639940802</v>
      </c>
      <c r="Z43" s="489">
        <f>Q43-SUM(T43:X43)</f>
        <v>0</v>
      </c>
    </row>
    <row r="44" spans="1:26" x14ac:dyDescent="0.25">
      <c r="A44" s="739"/>
      <c r="B44" s="1" t="s">
        <v>40</v>
      </c>
      <c r="C44" s="33">
        <f>SUM(T44:X44)</f>
        <v>4.4104077777777784</v>
      </c>
      <c r="D44" s="539"/>
      <c r="E44" s="38"/>
      <c r="F44" s="539"/>
      <c r="G44" s="17">
        <f t="shared" si="1"/>
        <v>4.4104077777777784</v>
      </c>
      <c r="H44" s="539"/>
      <c r="I44" s="35"/>
      <c r="J44" s="37"/>
      <c r="K44" s="35"/>
      <c r="L44" s="35"/>
      <c r="M44" s="35"/>
      <c r="N44" s="35"/>
      <c r="O44" s="35"/>
      <c r="P44" s="35"/>
      <c r="Q44" s="36">
        <f>G44-Bilan_E_KP_réel_2022!M41</f>
        <v>4.4104077777777784</v>
      </c>
      <c r="R44" s="498"/>
      <c r="S44" s="539"/>
      <c r="T44" s="83">
        <f>Bilan_E_KP_réel_2022!M$38</f>
        <v>0</v>
      </c>
      <c r="U44" s="83">
        <f>Bilan_E_KP_réel_2022!M34</f>
        <v>4.4104077777777784</v>
      </c>
      <c r="V44" s="83">
        <f>Bilan_E_KP_réel_2022!M$36</f>
        <v>0</v>
      </c>
      <c r="W44" s="83">
        <v>0</v>
      </c>
      <c r="X44" s="84">
        <f>Bilan_E_KP_réel_2022!M$35</f>
        <v>0</v>
      </c>
      <c r="Y44" s="489">
        <f t="shared" si="6"/>
        <v>4.4104077777777784</v>
      </c>
      <c r="Z44" s="489">
        <f t="shared" si="7"/>
        <v>0</v>
      </c>
    </row>
    <row r="45" spans="1:26" x14ac:dyDescent="0.25">
      <c r="A45" s="739"/>
      <c r="B45" s="1" t="s">
        <v>41</v>
      </c>
      <c r="C45" s="33">
        <f>E53</f>
        <v>10.145451250000001</v>
      </c>
      <c r="D45" s="539"/>
      <c r="E45" s="38"/>
      <c r="F45" s="539"/>
      <c r="G45" s="17">
        <f t="shared" si="1"/>
        <v>10.145451250000001</v>
      </c>
      <c r="H45" s="539"/>
      <c r="I45" s="35"/>
      <c r="J45" s="37"/>
      <c r="K45" s="35"/>
      <c r="L45" s="35"/>
      <c r="M45" s="35"/>
      <c r="N45" s="35"/>
      <c r="O45" s="35"/>
      <c r="P45" s="35"/>
      <c r="Q45" s="36">
        <f>G45-Bilan_E_KP_réel_2022!H41</f>
        <v>0</v>
      </c>
      <c r="R45" s="498"/>
      <c r="S45" s="539"/>
      <c r="T45" s="84">
        <v>0</v>
      </c>
      <c r="U45" s="83">
        <v>0</v>
      </c>
      <c r="V45" s="84">
        <v>0</v>
      </c>
      <c r="W45" s="92">
        <v>0</v>
      </c>
      <c r="X45" s="84">
        <v>0</v>
      </c>
      <c r="Y45" s="489">
        <f t="shared" si="6"/>
        <v>0</v>
      </c>
      <c r="Z45" s="489">
        <f>Q45-Y45</f>
        <v>0</v>
      </c>
    </row>
    <row r="46" spans="1:26" x14ac:dyDescent="0.25">
      <c r="A46" s="739"/>
      <c r="B46" s="1" t="s">
        <v>42</v>
      </c>
      <c r="C46" s="33">
        <f>Bilan_E_KP_réel_2022!D18-C18-C34</f>
        <v>49.99739337627333</v>
      </c>
      <c r="D46" s="539"/>
      <c r="E46" s="511"/>
      <c r="F46" s="539"/>
      <c r="G46" s="17">
        <f>C46-E46</f>
        <v>49.99739337627333</v>
      </c>
      <c r="H46" s="539"/>
      <c r="I46" s="38"/>
      <c r="J46" s="37"/>
      <c r="K46" s="35"/>
      <c r="L46" s="35"/>
      <c r="M46" s="35"/>
      <c r="N46" s="35"/>
      <c r="O46" s="35"/>
      <c r="P46" s="35"/>
      <c r="Q46" s="36">
        <f>G46-(Bilan_E_KP_réel_2022!D41+Bilan_E_KP_réel_2022!D29+Bilan_E_KP_réel_2022!D30)</f>
        <v>5.0000937348088783</v>
      </c>
      <c r="R46" s="498"/>
      <c r="S46" s="539"/>
      <c r="T46" s="506">
        <f>Bilan_E_KP_réel_2022!D38</f>
        <v>1.9208852320000001E-2</v>
      </c>
      <c r="U46" s="93">
        <f>Bilan_E_KP_réel_2022!D34</f>
        <v>7.3736578567600004</v>
      </c>
      <c r="V46" s="506">
        <f>Bilan_E_KP_réel_2022!D36</f>
        <v>0.30791956671000004</v>
      </c>
      <c r="W46" s="507">
        <f>Bilan_E_KP_réel_2022!D37</f>
        <v>0.38187951663999997</v>
      </c>
      <c r="X46" s="506">
        <f>Bilan_E_KP_réel_2022!D35</f>
        <v>0</v>
      </c>
      <c r="Y46" s="489">
        <f t="shared" si="6"/>
        <v>8.0826657924300012</v>
      </c>
      <c r="Z46" s="489">
        <f>Q46-Y46</f>
        <v>-3.0825720576211229</v>
      </c>
    </row>
    <row r="47" spans="1:26" x14ac:dyDescent="0.25">
      <c r="A47" s="90"/>
      <c r="B47" s="1" t="s">
        <v>31</v>
      </c>
      <c r="C47" s="33">
        <f>E57</f>
        <v>0</v>
      </c>
      <c r="D47" s="192"/>
      <c r="E47" s="511"/>
      <c r="F47" s="192"/>
      <c r="G47" s="17">
        <f>C47-E47</f>
        <v>0</v>
      </c>
      <c r="H47" s="192"/>
      <c r="I47" s="38"/>
      <c r="J47" s="37"/>
      <c r="K47" s="35"/>
      <c r="L47" s="35"/>
      <c r="M47" s="35"/>
      <c r="N47" s="35"/>
      <c r="O47" s="35"/>
      <c r="P47" s="35"/>
      <c r="Q47" s="542">
        <f>G47-Bilan_E_KP_réel_2022!T41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C5-L13-SUM(L21:L24)-L30-L41-Bilan_E_KP_réel_2022!U18</f>
        <v>2.6037763799517961</v>
      </c>
      <c r="D49" s="1"/>
      <c r="E49" s="34">
        <f>SUM(E7:E47)+I13-Bilan_E_KP_réel_2022!U32+K13+SUM(K21:K24)+K30+Bilan_E_KP_réel_2022!D29+Bilan_E_KP_réel_2022!D30</f>
        <v>5.4850138713229413</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482.04375201347233</v>
      </c>
    </row>
    <row r="52" spans="1:19" x14ac:dyDescent="0.25">
      <c r="A52" s="21"/>
      <c r="B52" s="1" t="s">
        <v>44</v>
      </c>
      <c r="C52" s="44"/>
      <c r="D52" s="1"/>
      <c r="E52" s="39">
        <f>Bilan_E_KP_réel_2022!D41+Bilan_E_KP_réel_2022!D29+Bilan_E_KP_réel_2022!D30</f>
        <v>44.997299641464451</v>
      </c>
      <c r="F52" s="187"/>
      <c r="G52" s="1"/>
      <c r="H52" s="1"/>
      <c r="I52" s="30"/>
      <c r="J52" s="17"/>
      <c r="K52" s="17"/>
      <c r="L52" s="21"/>
      <c r="M52" s="1"/>
      <c r="N52" s="17"/>
      <c r="O52" s="17"/>
      <c r="P52" s="17"/>
      <c r="Q52" s="1"/>
      <c r="S52" s="33"/>
    </row>
    <row r="53" spans="1:19" x14ac:dyDescent="0.25">
      <c r="A53" s="21"/>
      <c r="B53" s="1" t="s">
        <v>41</v>
      </c>
      <c r="C53" s="45"/>
      <c r="D53" s="17"/>
      <c r="E53" s="433">
        <f>Bilan_E_KP_réel_2022!H41+Bilan_E_KP_réel_2022!H29</f>
        <v>10.145451250000001</v>
      </c>
      <c r="F53" s="187"/>
      <c r="G53" s="1"/>
      <c r="H53" s="1"/>
      <c r="I53" s="30"/>
      <c r="J53" s="17"/>
      <c r="K53" s="17"/>
      <c r="L53" s="21"/>
      <c r="M53" s="1"/>
      <c r="N53" s="17"/>
      <c r="O53" s="17"/>
      <c r="P53" s="17"/>
      <c r="Q53" s="1"/>
    </row>
    <row r="54" spans="1:19" x14ac:dyDescent="0.25">
      <c r="A54" s="21"/>
      <c r="B54" s="1" t="s">
        <v>39</v>
      </c>
      <c r="C54" s="45"/>
      <c r="D54" s="17"/>
      <c r="E54" s="435">
        <f>Bilan_E_KP_réel_2022!F41</f>
        <v>107.81117013444999</v>
      </c>
      <c r="F54" s="187"/>
      <c r="G54" s="1"/>
      <c r="H54" s="1"/>
      <c r="I54" s="30"/>
      <c r="J54" s="17"/>
      <c r="K54" s="17"/>
      <c r="L54" s="21"/>
      <c r="M54" s="21"/>
      <c r="N54" s="17"/>
      <c r="O54" s="17"/>
      <c r="P54" s="17"/>
      <c r="Q54" s="1"/>
    </row>
    <row r="55" spans="1:19" x14ac:dyDescent="0.25">
      <c r="B55" s="1" t="s">
        <v>21</v>
      </c>
      <c r="E55" s="631">
        <f>Bilan_E_KP_réel_2022!O41+Bilan_E_KP_réel_2022!O29</f>
        <v>0</v>
      </c>
    </row>
    <row r="56" spans="1:19" x14ac:dyDescent="0.25">
      <c r="B56" s="1" t="s">
        <v>37</v>
      </c>
      <c r="E56" s="631">
        <f>Bilan_E_KP_réel_2022!N41+Bilan_E_KP_réel_2022!N29+Bilan_E_KP_réel_2022!G41</f>
        <v>0</v>
      </c>
    </row>
    <row r="57" spans="1:19" x14ac:dyDescent="0.25">
      <c r="B57" s="1" t="s">
        <v>31</v>
      </c>
      <c r="E57" s="631">
        <f>Bilan_E_KP_réel_2022!T41</f>
        <v>0</v>
      </c>
    </row>
    <row r="58" spans="1:19" x14ac:dyDescent="0.25">
      <c r="B58" s="1" t="s">
        <v>335</v>
      </c>
      <c r="E58" s="631">
        <f>Bilan_E_KP_réel_2022!L41</f>
        <v>0</v>
      </c>
    </row>
    <row r="59" spans="1:19" x14ac:dyDescent="0.25">
      <c r="E59" s="632"/>
    </row>
  </sheetData>
  <mergeCells count="12">
    <mergeCell ref="S2:X3"/>
    <mergeCell ref="G3:H3"/>
    <mergeCell ref="A7:A19"/>
    <mergeCell ref="A21:A24"/>
    <mergeCell ref="A26:A32"/>
    <mergeCell ref="A36:A46"/>
    <mergeCell ref="C1:H1"/>
    <mergeCell ref="J1:Q1"/>
    <mergeCell ref="C2:D2"/>
    <mergeCell ref="E2:H2"/>
    <mergeCell ref="J2:J4"/>
    <mergeCell ref="K2:Q3"/>
  </mergeCells>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4381D-3743-438E-B0E9-A97F4F2E67F3}">
  <dimension ref="A1:Z59"/>
  <sheetViews>
    <sheetView topLeftCell="A16" workbookViewId="0">
      <selection activeCell="U44" sqref="U44"/>
    </sheetView>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2536.3728760646595</v>
      </c>
      <c r="D5" s="18"/>
      <c r="E5" s="20"/>
      <c r="F5" s="494"/>
      <c r="G5" s="21"/>
      <c r="H5" s="493"/>
      <c r="I5" s="21"/>
      <c r="J5" s="22"/>
      <c r="K5" s="23"/>
      <c r="L5" s="14"/>
      <c r="M5" s="14"/>
      <c r="N5" s="15"/>
      <c r="O5" s="16"/>
      <c r="P5" s="16"/>
      <c r="Q5" s="24">
        <f>Q13+Q22+Q30+Q42+Q46+Q38+Q43</f>
        <v>1490.0718854294719</v>
      </c>
      <c r="R5" s="487"/>
      <c r="S5" s="79">
        <f>SUM(S13,S22,S27:S32,S41)</f>
        <v>1496.1786659862253</v>
      </c>
      <c r="T5" s="79">
        <f>SUM(T8:T46)</f>
        <v>52.556008374766634</v>
      </c>
      <c r="U5" s="79">
        <f>SUM(U8:U46)</f>
        <v>279.04795596746658</v>
      </c>
      <c r="V5" s="79">
        <f>SUM(V8:V46)</f>
        <v>423.48599877609183</v>
      </c>
      <c r="W5" s="173">
        <f>SUM(W8:W46)</f>
        <v>236.75327495160809</v>
      </c>
      <c r="X5" s="79">
        <f>SUM(X8:X46)</f>
        <v>504.33542791629202</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f>(([12]Offre_calc!$L$106+[12]Offre_calc!$L$107+[12]Offre_calc!$L$144+[12]Offre_calc!$L$145)/([12]Offre_calc!$L$103+[12]Offre_calc!$L$141))*Bilan_E_KP_réel_2023!K$21</f>
        <v>50.187689179373137</v>
      </c>
      <c r="D7" s="516"/>
      <c r="E7" s="28">
        <v>0</v>
      </c>
      <c r="F7" s="516"/>
      <c r="G7" s="17">
        <f>C7-E7</f>
        <v>50.187689179373137</v>
      </c>
      <c r="H7" s="516"/>
      <c r="I7" s="21"/>
      <c r="J7" s="516"/>
      <c r="K7" s="523"/>
      <c r="L7" s="523"/>
      <c r="M7" s="523"/>
      <c r="N7" s="523"/>
      <c r="O7" s="523"/>
      <c r="P7" s="513"/>
      <c r="Q7" s="526"/>
      <c r="R7" s="498"/>
      <c r="S7" s="526"/>
      <c r="T7" s="523"/>
      <c r="U7" s="523"/>
      <c r="V7" s="523"/>
      <c r="W7" s="523"/>
      <c r="X7" s="523"/>
    </row>
    <row r="8" spans="1:24" x14ac:dyDescent="0.25">
      <c r="A8" s="736"/>
      <c r="B8" s="1" t="s">
        <v>18</v>
      </c>
      <c r="C8" s="486">
        <f>(([12]Offre_calc!$L$105+[12]Offre_calc!$L$143)/([12]Offre_calc!$L$103+[12]Offre_calc!$L$141))*Bilan_E_KP_réel_2023!K$21</f>
        <v>60.531247971501685</v>
      </c>
      <c r="D8" s="81"/>
      <c r="E8" s="28">
        <v>0</v>
      </c>
      <c r="F8" s="81"/>
      <c r="G8" s="17">
        <f t="shared" ref="G8:G19" si="0">C8-E8</f>
        <v>60.531247971501685</v>
      </c>
      <c r="H8" s="81"/>
      <c r="I8" s="21"/>
      <c r="J8" s="81"/>
      <c r="K8" s="524"/>
      <c r="L8" s="524"/>
      <c r="M8" s="524"/>
      <c r="N8" s="524"/>
      <c r="O8" s="524"/>
      <c r="P8" s="29"/>
      <c r="Q8" s="527"/>
      <c r="R8" s="498"/>
      <c r="S8" s="527"/>
      <c r="T8" s="524"/>
      <c r="U8" s="524"/>
      <c r="V8" s="524"/>
      <c r="W8" s="524"/>
      <c r="X8" s="524"/>
    </row>
    <row r="9" spans="1:24" x14ac:dyDescent="0.25">
      <c r="A9" s="736"/>
      <c r="B9" s="1" t="s">
        <v>19</v>
      </c>
      <c r="C9" s="486">
        <f>(([12]Offre_calc!$L$104+[12]Offre_calc!$L$142)/([12]Offre_calc!$L$103+[12]Offre_calc!$L$141))*Bilan_E_KP_réel_2023!K$21</f>
        <v>21.280148849125204</v>
      </c>
      <c r="D9" s="81"/>
      <c r="E9" s="28">
        <v>0</v>
      </c>
      <c r="F9" s="81"/>
      <c r="G9" s="17">
        <f t="shared" si="0"/>
        <v>21.280148849125204</v>
      </c>
      <c r="H9" s="81"/>
      <c r="I9" s="21"/>
      <c r="J9" s="81"/>
      <c r="K9" s="524"/>
      <c r="L9" s="524"/>
      <c r="M9" s="524"/>
      <c r="N9" s="524"/>
      <c r="O9" s="524"/>
      <c r="P9" s="29"/>
      <c r="Q9" s="527"/>
      <c r="R9" s="498"/>
      <c r="S9" s="527"/>
      <c r="T9" s="524"/>
      <c r="U9" s="524"/>
      <c r="V9" s="524"/>
      <c r="W9" s="524"/>
      <c r="X9" s="524"/>
    </row>
    <row r="10" spans="1:24" x14ac:dyDescent="0.25">
      <c r="A10" s="736"/>
      <c r="B10" s="1" t="s">
        <v>20</v>
      </c>
      <c r="C10" s="17">
        <f>Bilan_E_KP_réel_2023!J21-(Bilan_E_KP_réel_2023!R20+Bilan_E_KP_réel_2023!R19)</f>
        <v>1024.855403030303</v>
      </c>
      <c r="D10" s="81"/>
      <c r="E10" s="28">
        <f>F13-SUM(E11:E19)</f>
        <v>677.7251112439078</v>
      </c>
      <c r="F10" s="81"/>
      <c r="G10" s="17">
        <f t="shared" si="0"/>
        <v>347.13029178639522</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f>Bilan_E_KP_réel_2023!O21</f>
        <v>6.3748563321944447</v>
      </c>
      <c r="D11" s="81"/>
      <c r="E11" s="28">
        <f>C11*(1-[12]Offre_calc!$L$161)</f>
        <v>3.0216819014601666</v>
      </c>
      <c r="F11" s="81"/>
      <c r="G11" s="17">
        <f t="shared" si="0"/>
        <v>3.3531744307342781</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f>Bilan_E_KP_réel_2023!M21</f>
        <v>11.451119756666667</v>
      </c>
      <c r="D12" s="81"/>
      <c r="E12" s="28">
        <f>C12*(1-[12]Offre_calc!$L$171)</f>
        <v>8.7715577336066666</v>
      </c>
      <c r="F12" s="81"/>
      <c r="G12" s="17">
        <f t="shared" si="0"/>
        <v>2.6795620230600008</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f>Bilan_E_KP_réel_2023!L21</f>
        <v>19.77483105751633</v>
      </c>
      <c r="D13" s="81">
        <f>SUM(C7:C19)</f>
        <v>1262.6774084530816</v>
      </c>
      <c r="E13" s="28">
        <f>C13*(1-[12]Offre_calc!$L$170)</f>
        <v>15.147520590057509</v>
      </c>
      <c r="F13" s="81">
        <f>Bilan_E_KP_réel_2023!U21</f>
        <v>739.88853345308155</v>
      </c>
      <c r="G13" s="17">
        <f t="shared" si="0"/>
        <v>4.6273104674588215</v>
      </c>
      <c r="H13" s="81">
        <f>SUM(G7:G19)</f>
        <v>522.78887499999985</v>
      </c>
      <c r="I13" s="33">
        <f>Bilan_E_KP_réel_2023!R30</f>
        <v>33.687086999999963</v>
      </c>
      <c r="J13" s="81">
        <f>H13-I13</f>
        <v>489.10178799999989</v>
      </c>
      <c r="K13" s="29">
        <f>Bilan_E_KP_réel_2023!R31</f>
        <v>35.749623</v>
      </c>
      <c r="L13" s="29">
        <f>-(Bilan_E_KP_réel_2023!R14+Bilan_E_KP_réel_2023!R13)</f>
        <v>50.343887000000002</v>
      </c>
      <c r="M13" s="29">
        <f>Bilan_E_KP_réel_2023!R28</f>
        <v>0</v>
      </c>
      <c r="N13" s="29"/>
      <c r="O13" s="29"/>
      <c r="P13" s="29"/>
      <c r="Q13" s="81">
        <f>J13-K13-L13-M13-N13-O13-P13</f>
        <v>403.0082779999999</v>
      </c>
      <c r="R13" s="508">
        <f>Q13-S13</f>
        <v>0</v>
      </c>
      <c r="S13" s="81">
        <f>SUM(T8:X19)</f>
        <v>403.00827800000002</v>
      </c>
      <c r="T13" s="29">
        <f>Bilan_E_KP_réel_2023!R38</f>
        <v>7.6348390000000004</v>
      </c>
      <c r="U13" s="29">
        <f>Bilan_E_KP_réel_2023!R34+Bilan_E_KP_réel_2023!R39</f>
        <v>103.14419500000001</v>
      </c>
      <c r="V13" s="29">
        <f>Bilan_E_KP_réel_2023!R36</f>
        <v>151.42570800000004</v>
      </c>
      <c r="W13" s="29">
        <f>Bilan_E_KP_réel_2023!R37</f>
        <v>130.260345</v>
      </c>
      <c r="X13" s="29">
        <f>Bilan_E_KP_réel_2023!R35</f>
        <v>10.543191</v>
      </c>
    </row>
    <row r="14" spans="1:24" x14ac:dyDescent="0.25">
      <c r="A14" s="736"/>
      <c r="B14" s="1" t="s">
        <v>24</v>
      </c>
      <c r="C14" s="17">
        <f>Bilan_E_KP_réel_2023!Q21</f>
        <v>0</v>
      </c>
      <c r="D14" s="81"/>
      <c r="E14" s="28">
        <v>0</v>
      </c>
      <c r="F14" s="81"/>
      <c r="G14" s="17">
        <f t="shared" si="0"/>
        <v>0</v>
      </c>
      <c r="H14" s="81"/>
      <c r="I14" s="21"/>
      <c r="J14" s="81"/>
      <c r="K14" s="524"/>
      <c r="L14" s="524"/>
      <c r="M14" s="524"/>
      <c r="N14" s="524"/>
      <c r="O14" s="524"/>
      <c r="P14" s="29"/>
      <c r="Q14" s="527"/>
      <c r="R14" s="508"/>
      <c r="S14" s="527"/>
      <c r="T14" s="524"/>
      <c r="U14" s="524"/>
      <c r="V14" s="524"/>
      <c r="W14" s="524"/>
      <c r="X14" s="524"/>
    </row>
    <row r="15" spans="1:24" x14ac:dyDescent="0.25">
      <c r="A15" s="736"/>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36"/>
      <c r="B16" s="1" t="s">
        <v>343</v>
      </c>
      <c r="C16" s="17">
        <f>Bilan_E_KP_réel_2023!N21</f>
        <v>0</v>
      </c>
      <c r="D16" s="81"/>
      <c r="E16" s="28">
        <f>C16*(1-[12]Offre_calc!$L$158)</f>
        <v>0</v>
      </c>
      <c r="F16" s="81"/>
      <c r="G16" s="17">
        <f t="shared" si="0"/>
        <v>0</v>
      </c>
      <c r="H16" s="81"/>
      <c r="I16" s="21"/>
      <c r="J16" s="81"/>
      <c r="K16" s="524"/>
      <c r="L16" s="524"/>
      <c r="M16" s="524"/>
      <c r="N16" s="524"/>
      <c r="O16" s="524"/>
      <c r="P16" s="29"/>
      <c r="Q16" s="527"/>
      <c r="R16" s="508"/>
      <c r="S16" s="527"/>
      <c r="T16" s="524"/>
      <c r="U16" s="524"/>
      <c r="V16" s="524"/>
      <c r="W16" s="524"/>
      <c r="X16" s="524"/>
    </row>
    <row r="17" spans="1:24" x14ac:dyDescent="0.25">
      <c r="A17" s="736"/>
      <c r="B17" s="1" t="s">
        <v>27</v>
      </c>
      <c r="C17" s="17">
        <f>Bilan_E_KP_réel_2023!F21</f>
        <v>14.052224378777671</v>
      </c>
      <c r="D17" s="81"/>
      <c r="E17" s="28">
        <f>C17*(1-[12]Offre_calc!$L$158)</f>
        <v>7.869245652115497</v>
      </c>
      <c r="F17" s="81"/>
      <c r="G17" s="17">
        <f t="shared" si="0"/>
        <v>6.1829787266621743</v>
      </c>
      <c r="H17" s="81"/>
      <c r="I17" s="21"/>
      <c r="J17" s="81"/>
      <c r="K17" s="524"/>
      <c r="L17" s="524"/>
      <c r="M17" s="524"/>
      <c r="N17" s="524"/>
      <c r="O17" s="524"/>
      <c r="P17" s="29"/>
      <c r="Q17" s="527"/>
      <c r="R17" s="508"/>
      <c r="S17" s="527"/>
      <c r="T17" s="524"/>
      <c r="U17" s="524"/>
      <c r="V17" s="524"/>
      <c r="W17" s="524"/>
      <c r="X17" s="524"/>
    </row>
    <row r="18" spans="1:24" x14ac:dyDescent="0.25">
      <c r="A18" s="736"/>
      <c r="B18" s="1" t="s">
        <v>28</v>
      </c>
      <c r="C18" s="17">
        <f>Bilan_E_KP_réel_2023!D21</f>
        <v>8.0663799447291211</v>
      </c>
      <c r="D18" s="81"/>
      <c r="E18" s="28">
        <f>C18*(1-[12]Offre_calc!$L$157)</f>
        <v>5.5003535622621085</v>
      </c>
      <c r="F18" s="81"/>
      <c r="G18" s="17">
        <f t="shared" si="0"/>
        <v>2.5660263824670126</v>
      </c>
      <c r="H18" s="81"/>
      <c r="I18" s="21"/>
      <c r="J18" s="81"/>
      <c r="K18" s="524"/>
      <c r="L18" s="524"/>
      <c r="M18" s="524"/>
      <c r="N18" s="524"/>
      <c r="O18" s="524"/>
      <c r="P18" s="29"/>
      <c r="Q18" s="527"/>
      <c r="R18" s="508"/>
      <c r="S18" s="527"/>
      <c r="T18" s="524"/>
      <c r="U18" s="524"/>
      <c r="V18" s="524"/>
      <c r="W18" s="524"/>
      <c r="X18" s="524"/>
    </row>
    <row r="19" spans="1:24" x14ac:dyDescent="0.25">
      <c r="A19" s="736"/>
      <c r="B19" s="1" t="s">
        <v>260</v>
      </c>
      <c r="C19" s="17">
        <f>Bilan_E_KP_réel_2023!H21+Bilan_E_KP_réel_2023!T21</f>
        <v>46.103507952894184</v>
      </c>
      <c r="D19" s="82"/>
      <c r="E19" s="28">
        <f>C19*(1-[12]Offre_calc!$L$160)</f>
        <v>21.85306276967184</v>
      </c>
      <c r="F19" s="82"/>
      <c r="G19" s="17">
        <f t="shared" si="0"/>
        <v>24.250445183222343</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f>G10/C10</f>
        <v>0.33871148140508095</v>
      </c>
      <c r="H20" s="499"/>
      <c r="I20" s="17"/>
      <c r="J20" s="1"/>
      <c r="K20" s="17"/>
      <c r="L20" s="1"/>
      <c r="M20" s="1"/>
      <c r="N20" s="1"/>
      <c r="O20" s="1"/>
      <c r="P20" s="1"/>
      <c r="Q20" s="499"/>
      <c r="R20" s="508"/>
      <c r="S20" s="408"/>
      <c r="T20" s="495"/>
      <c r="U20" s="408"/>
      <c r="V20" s="495"/>
      <c r="W20" s="408"/>
      <c r="X20" s="495"/>
    </row>
    <row r="21" spans="1:24" x14ac:dyDescent="0.25">
      <c r="A21" s="737" t="s">
        <v>13</v>
      </c>
      <c r="B21" s="1" t="s">
        <v>21</v>
      </c>
      <c r="C21" s="17">
        <f>Bilan_E_KP_réel_2023!L23+Bilan_E_KP_réel_2023!O12</f>
        <v>20.869724166666668</v>
      </c>
      <c r="D21" s="529"/>
      <c r="E21" s="33">
        <f>Bilan_E_KP_réel_2023!U23+Bilan_E_KP_réel_2023!O30</f>
        <v>0</v>
      </c>
      <c r="F21" s="529"/>
      <c r="G21" s="17">
        <f t="shared" ref="G21:G45" si="1">C21-E21</f>
        <v>20.869724166666668</v>
      </c>
      <c r="H21" s="529"/>
      <c r="I21" s="17"/>
      <c r="J21" s="529"/>
      <c r="K21" s="545">
        <f>Bilan_E_KP_réel_2023!O31</f>
        <v>0</v>
      </c>
      <c r="L21" s="545">
        <f>-(Bilan_E_KP_réel_2023!O13+Bilan_E_KP_réel_2023!O14+Bilan_E_KP_réel_2023!O15+Bilan_E_KP_réel_2023!O16)</f>
        <v>0</v>
      </c>
      <c r="M21" s="545">
        <f>Bilan_E_KP_réel_2023!O28</f>
        <v>0</v>
      </c>
      <c r="N21" s="545">
        <f>Bilan_E_KP_réel_2023!O22</f>
        <v>2.8654050566944451</v>
      </c>
      <c r="O21" s="545">
        <f>Bilan_E_KP_réel_2023!O21</f>
        <v>6.3748563321944447</v>
      </c>
      <c r="P21" s="545">
        <f>C36</f>
        <v>0</v>
      </c>
      <c r="Q21" s="529"/>
      <c r="R21" s="508"/>
      <c r="S21" s="529"/>
      <c r="T21" s="529"/>
      <c r="U21" s="529"/>
      <c r="V21" s="529"/>
      <c r="W21" s="529"/>
      <c r="X21" s="529"/>
    </row>
    <row r="22" spans="1:24" x14ac:dyDescent="0.25">
      <c r="A22" s="737"/>
      <c r="B22" s="1" t="s">
        <v>519</v>
      </c>
      <c r="C22" s="17">
        <f>Bilan_E_KP_réel_2023!T24</f>
        <v>0</v>
      </c>
      <c r="D22" s="85">
        <f>SUM(C21:C24)</f>
        <v>353.62737191666662</v>
      </c>
      <c r="E22" s="630">
        <f>Bilan_E_KP_réel_2023!I30+Bilan_E_KP_réel_2023!U24</f>
        <v>0</v>
      </c>
      <c r="F22" s="85">
        <f>SUM(E21:E24)</f>
        <v>4.6688085000000008</v>
      </c>
      <c r="G22" s="17">
        <f t="shared" si="1"/>
        <v>0</v>
      </c>
      <c r="H22" s="85">
        <f>SUM(G21:G24)</f>
        <v>348.95856341666661</v>
      </c>
      <c r="I22" s="408"/>
      <c r="J22" s="85">
        <f>H22-I22</f>
        <v>348.95856341666661</v>
      </c>
      <c r="K22" s="626">
        <f>Bilan_E_KP_réel_2023!I31</f>
        <v>0</v>
      </c>
      <c r="L22" s="626">
        <f>-SUM(Bilan_E_KP_réel_2023!I13:I16)</f>
        <v>0</v>
      </c>
      <c r="M22" s="32"/>
      <c r="N22" s="32"/>
      <c r="O22" s="32"/>
      <c r="P22" s="32"/>
      <c r="Q22" s="85">
        <f>J22-SUM(K21:P24)</f>
        <v>271.84243277777773</v>
      </c>
      <c r="R22" s="508">
        <f>Q22-S22</f>
        <v>-2.6486400000000572</v>
      </c>
      <c r="S22" s="85">
        <f>SUM(T22:X24)</f>
        <v>274.49107277777779</v>
      </c>
      <c r="T22" s="32">
        <f>Bilan_E_KP_réel_2023!H38+Bilan_E_KP_réel_2023!T38+Bilan_E_KP_réel_2023!O$38+Bilan_E_KP_réel_2023!I38</f>
        <v>2.7313033333333334</v>
      </c>
      <c r="U22" s="32">
        <f>Bilan_E_KP_réel_2023!H34+Bilan_E_KP_réel_2023!T34+Bilan_E_KP_réel_2023!O$34+Bilan_E_KP_réel_2023!I34</f>
        <v>100.79992327777778</v>
      </c>
      <c r="V22" s="32">
        <f>Bilan_E_KP_réel_2023!H36+Bilan_E_KP_réel_2023!T36+Bilan_E_KP_réel_2023!O$36+Bilan_E_KP_réel_2023!I36</f>
        <v>103.59429425</v>
      </c>
      <c r="W22" s="32">
        <f>Bilan_E_KP_réel_2023!H37+Bilan_E_KP_réel_2023!M37+Bilan_E_KP_réel_2023!T37+Bilan_E_KP_réel_2023!O$37+Bilan_E_KP_réel_2023!I37</f>
        <v>63.657246916666658</v>
      </c>
      <c r="X22" s="32">
        <f>Bilan_E_KP_réel_2023!H35+Bilan_E_KP_réel_2023!T35+Bilan_E_KP_réel_2023!O$35+Bilan_E_KP_réel_2023!I35</f>
        <v>3.7083049999999997</v>
      </c>
    </row>
    <row r="23" spans="1:24" x14ac:dyDescent="0.25">
      <c r="A23" s="737"/>
      <c r="B23" s="1" t="s">
        <v>31</v>
      </c>
      <c r="C23" s="17">
        <f>SUM(Bilan_E_KP_réel_2023!D28:S28)-C47</f>
        <v>0</v>
      </c>
      <c r="D23" s="530"/>
      <c r="E23" s="33">
        <f>Bilan_E_KP_réel_2023!U28</f>
        <v>0</v>
      </c>
      <c r="F23" s="532"/>
      <c r="G23" s="17">
        <f t="shared" si="1"/>
        <v>0</v>
      </c>
      <c r="H23" s="532"/>
      <c r="I23" s="17"/>
      <c r="J23" s="532"/>
      <c r="K23" s="534">
        <f>Bilan_E_KP_réel_2023!T31</f>
        <v>0</v>
      </c>
      <c r="L23" s="534">
        <f>-(Bilan_E_KP_réel_2023!T13+Bilan_E_KP_réel_2023!T14+Bilan_E_KP_réel_2023!T15+Bilan_E_KP_réel_2023!T16)</f>
        <v>0</v>
      </c>
      <c r="M23" s="534">
        <f>Bilan_E_KP_réel_2023!T24</f>
        <v>0</v>
      </c>
      <c r="N23" s="534">
        <f>Bilan_E_KP_réel_2023!T22</f>
        <v>0</v>
      </c>
      <c r="O23" s="534">
        <f>Bilan_E_KP_réel_2023!T21</f>
        <v>0</v>
      </c>
      <c r="P23" s="534">
        <f>Bilan_E_KP_réel_2023!T27</f>
        <v>0</v>
      </c>
      <c r="Q23" s="532"/>
      <c r="R23" s="489"/>
      <c r="S23" s="532"/>
      <c r="T23" s="536"/>
      <c r="U23" s="536"/>
      <c r="V23" s="536"/>
      <c r="W23" s="536"/>
      <c r="X23" s="536"/>
    </row>
    <row r="24" spans="1:24" x14ac:dyDescent="0.25">
      <c r="A24" s="737"/>
      <c r="B24" s="1" t="s">
        <v>32</v>
      </c>
      <c r="C24" s="17">
        <f>Bilan_E_KP_réel_2023!H18-C45-(Bilan_E_KP_réel_2023!H20+Bilan_E_KP_réel_2023!H19)</f>
        <v>332.75764774999993</v>
      </c>
      <c r="D24" s="531"/>
      <c r="E24" s="33">
        <f>Bilan_E_KP_réel_2023!H30</f>
        <v>4.6688085000000008</v>
      </c>
      <c r="F24" s="533"/>
      <c r="G24" s="17">
        <f t="shared" si="1"/>
        <v>328.08883924999992</v>
      </c>
      <c r="H24" s="533"/>
      <c r="I24" s="34"/>
      <c r="J24" s="533"/>
      <c r="K24" s="535">
        <f>Bilan_E_KP_réel_2023!H31</f>
        <v>3.6684212499999997</v>
      </c>
      <c r="L24" s="535"/>
      <c r="M24" s="535">
        <f>Bilan_E_KP_réel_2023!H28</f>
        <v>0</v>
      </c>
      <c r="N24" s="535">
        <f>Bilan_E_KP_réel_2023!H22</f>
        <v>18.103940047105812</v>
      </c>
      <c r="O24" s="535">
        <f>Bilan_E_KP_réel_2023!H21</f>
        <v>46.103507952894184</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38" t="s">
        <v>14</v>
      </c>
      <c r="B26" s="1" t="s">
        <v>21</v>
      </c>
      <c r="C26" s="17">
        <f>Bilan_E_KP_réel_2023!O22</f>
        <v>2.8654050566944451</v>
      </c>
      <c r="D26" s="512"/>
      <c r="E26" s="190">
        <f>C26*F$35</f>
        <v>0.29527422825111405</v>
      </c>
      <c r="F26" s="512"/>
      <c r="G26" s="33">
        <f t="shared" ref="G26:G31" si="2">C26-E26</f>
        <v>2.5701308284433311</v>
      </c>
      <c r="H26" s="512"/>
      <c r="I26" s="1"/>
      <c r="J26" s="512"/>
      <c r="K26" s="512"/>
      <c r="L26" s="512"/>
      <c r="M26" s="512"/>
      <c r="N26" s="512"/>
      <c r="O26" s="512"/>
      <c r="P26" s="512"/>
      <c r="Q26" s="512"/>
      <c r="R26" s="508"/>
      <c r="S26" s="512"/>
      <c r="T26" s="512"/>
      <c r="U26" s="512"/>
      <c r="V26" s="512"/>
      <c r="W26" s="512"/>
      <c r="X26" s="512"/>
    </row>
    <row r="27" spans="1:24" x14ac:dyDescent="0.25">
      <c r="A27" s="738"/>
      <c r="B27" s="1" t="s">
        <v>22</v>
      </c>
      <c r="C27" s="17">
        <f>Bilan_E_KP_réel_2023!M18-Bilan_E_KP_réel_2023!M21-Bilan_E_KP_réel_2023!M34-(Bilan_E_KP_réel_2023!S20+Bilan_E_KP_réel_2023!S19+Bilan_E_KP_réel_2023!M20+Bilan_E_KP_réel_2023!M19)</f>
        <v>19.559806632222223</v>
      </c>
      <c r="D27" s="87"/>
      <c r="E27" s="190">
        <f t="shared" ref="E27:E34" si="3">C27*F$35</f>
        <v>2.0155987351865399</v>
      </c>
      <c r="F27" s="87"/>
      <c r="G27" s="33">
        <f t="shared" si="2"/>
        <v>17.544207897035683</v>
      </c>
      <c r="H27" s="87"/>
      <c r="I27" s="500"/>
      <c r="J27" s="87"/>
      <c r="K27" s="87"/>
      <c r="L27" s="87"/>
      <c r="M27" s="87"/>
      <c r="N27" s="87"/>
      <c r="O27" s="87"/>
      <c r="P27" s="87"/>
      <c r="Q27" s="87"/>
      <c r="R27" s="508"/>
      <c r="S27" s="87"/>
      <c r="T27" s="87"/>
      <c r="U27" s="87"/>
      <c r="V27" s="87"/>
      <c r="W27" s="87"/>
      <c r="X27" s="87"/>
    </row>
    <row r="28" spans="1:24" x14ac:dyDescent="0.25">
      <c r="A28" s="738"/>
      <c r="B28" s="1" t="s">
        <v>26</v>
      </c>
      <c r="C28" s="17"/>
      <c r="D28" s="87"/>
      <c r="E28" s="190">
        <f t="shared" si="3"/>
        <v>0</v>
      </c>
      <c r="F28" s="87"/>
      <c r="G28" s="33">
        <f>C28-E28</f>
        <v>0</v>
      </c>
      <c r="H28" s="87"/>
      <c r="I28" s="1"/>
      <c r="J28" s="87"/>
      <c r="K28" s="87"/>
      <c r="L28" s="87"/>
      <c r="M28" s="87"/>
      <c r="N28" s="87"/>
      <c r="O28" s="87"/>
      <c r="P28" s="87"/>
      <c r="Q28" s="87"/>
      <c r="R28" s="508"/>
      <c r="S28" s="87"/>
      <c r="T28" s="87"/>
      <c r="U28" s="87"/>
      <c r="V28" s="87"/>
      <c r="W28" s="87"/>
      <c r="X28" s="87"/>
    </row>
    <row r="29" spans="1:24" x14ac:dyDescent="0.25">
      <c r="A29" s="738"/>
      <c r="B29" s="1" t="s">
        <v>23</v>
      </c>
      <c r="C29" s="17">
        <f>Bilan_E_KP_réel_2023!L22</f>
        <v>12.231333664705893</v>
      </c>
      <c r="D29" s="87"/>
      <c r="E29" s="190">
        <f t="shared" si="3"/>
        <v>1.2604143347517758</v>
      </c>
      <c r="F29" s="87"/>
      <c r="G29" s="33">
        <f t="shared" si="2"/>
        <v>10.970919329954118</v>
      </c>
      <c r="H29" s="87"/>
      <c r="I29" s="1"/>
      <c r="J29" s="87"/>
      <c r="K29" s="87"/>
      <c r="L29" s="87"/>
      <c r="M29" s="87"/>
      <c r="N29" s="87"/>
      <c r="O29" s="87"/>
      <c r="P29" s="87"/>
      <c r="Q29" s="87"/>
      <c r="R29" s="508"/>
      <c r="S29" s="87"/>
      <c r="T29" s="87"/>
      <c r="U29" s="87"/>
      <c r="V29" s="87"/>
      <c r="W29" s="87"/>
      <c r="X29" s="87"/>
    </row>
    <row r="30" spans="1:24" x14ac:dyDescent="0.25">
      <c r="A30" s="738"/>
      <c r="B30" s="1" t="s">
        <v>24</v>
      </c>
      <c r="C30" s="17">
        <f>Bilan_E_KP_réel_2023!Q22</f>
        <v>4.6370516666666663</v>
      </c>
      <c r="D30" s="86">
        <f>SUM(C26:C34)</f>
        <v>60.848969738665133</v>
      </c>
      <c r="E30" s="190">
        <f t="shared" si="3"/>
        <v>0.47783884831105328</v>
      </c>
      <c r="F30" s="86">
        <f>Bilan_E_KP_réel_2023!U22</f>
        <v>6.2703639534254094</v>
      </c>
      <c r="G30" s="33">
        <f t="shared" si="2"/>
        <v>4.1592128183556127</v>
      </c>
      <c r="H30" s="86">
        <f>SUM(G26:G34)</f>
        <v>54.578605785239731</v>
      </c>
      <c r="I30" s="1"/>
      <c r="J30" s="86">
        <f>H30</f>
        <v>54.578605785239731</v>
      </c>
      <c r="K30" s="87">
        <f>Bilan_E_KP_réel_2023!S31</f>
        <v>4.8156266666666676</v>
      </c>
      <c r="L30" s="87"/>
      <c r="M30" s="87">
        <f>Bilan_E_KP_réel_2023!M28</f>
        <v>0</v>
      </c>
      <c r="N30" s="87"/>
      <c r="O30" s="87"/>
      <c r="P30" s="87"/>
      <c r="Q30" s="86">
        <f>J30-K30-L30-M30-N30-O30-P30</f>
        <v>49.762979118573064</v>
      </c>
      <c r="R30" s="508">
        <f>Q30-S30</f>
        <v>2.1469030074619511</v>
      </c>
      <c r="S30" s="86">
        <f>SUM(T27:X34)</f>
        <v>47.616076111111113</v>
      </c>
      <c r="T30" s="87">
        <f>Bilan_E_KP_réel_2023!S$38</f>
        <v>0.26707805555555558</v>
      </c>
      <c r="U30" s="87">
        <f>Bilan_E_KP_réel_2023!S$34</f>
        <v>21.859968333333335</v>
      </c>
      <c r="V30" s="87">
        <f>Bilan_E_KP_réel_2023!S$36</f>
        <v>15.629575833333334</v>
      </c>
      <c r="W30" s="87">
        <f>Bilan_E_KP_réel_2023!S$37</f>
        <v>9.8594538888888898</v>
      </c>
      <c r="X30" s="87">
        <f>Bilan_E_KP_réel_2023!S$35</f>
        <v>0</v>
      </c>
    </row>
    <row r="31" spans="1:24" x14ac:dyDescent="0.25">
      <c r="A31" s="738"/>
      <c r="B31" s="1" t="s">
        <v>33</v>
      </c>
      <c r="C31" s="17">
        <v>0</v>
      </c>
      <c r="D31" s="86"/>
      <c r="E31" s="190">
        <f t="shared" si="3"/>
        <v>0</v>
      </c>
      <c r="F31" s="86"/>
      <c r="G31" s="33">
        <f t="shared" si="2"/>
        <v>0</v>
      </c>
      <c r="H31" s="86"/>
      <c r="I31" s="1"/>
      <c r="J31" s="517"/>
      <c r="K31" s="87"/>
      <c r="L31" s="87"/>
      <c r="M31" s="87"/>
      <c r="N31" s="87"/>
      <c r="O31" s="87"/>
      <c r="P31" s="87"/>
      <c r="Q31" s="517"/>
      <c r="R31" s="508"/>
      <c r="S31" s="519"/>
      <c r="T31" s="521"/>
      <c r="U31" s="521"/>
      <c r="V31" s="521"/>
      <c r="W31" s="521"/>
      <c r="X31" s="521"/>
    </row>
    <row r="32" spans="1:24" x14ac:dyDescent="0.25">
      <c r="A32" s="738"/>
      <c r="B32" s="1" t="s">
        <v>29</v>
      </c>
      <c r="C32" s="17">
        <f>Bilan_E_KP_réel_2023!H22</f>
        <v>18.103940047105812</v>
      </c>
      <c r="D32" s="86"/>
      <c r="E32" s="190">
        <f t="shared" si="3"/>
        <v>1.8655746115979726</v>
      </c>
      <c r="F32" s="86"/>
      <c r="G32" s="33">
        <f>C32-E32</f>
        <v>16.238365435507841</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f>Bilan_E_KP_réel_2023!F22</f>
        <v>2.3133374224303318</v>
      </c>
      <c r="D33" s="86"/>
      <c r="E33" s="190">
        <f t="shared" si="3"/>
        <v>0.23838476884679319</v>
      </c>
      <c r="F33" s="86"/>
      <c r="G33" s="33">
        <f t="shared" ref="G33:G34" si="4">C33-E33</f>
        <v>2.0749526535835385</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f>Bilan_E_KP_réel_2023!D22</f>
        <v>1.1380952488397666</v>
      </c>
      <c r="D34" s="88"/>
      <c r="E34" s="190">
        <f t="shared" si="3"/>
        <v>0.11727842648016122</v>
      </c>
      <c r="F34" s="88"/>
      <c r="G34" s="33">
        <f t="shared" si="4"/>
        <v>1.0208168223596055</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f>F30/D30</f>
        <v>0.10304798882142856</v>
      </c>
      <c r="G35" s="17"/>
      <c r="H35" s="501"/>
      <c r="I35" s="1"/>
      <c r="J35" s="1"/>
      <c r="K35" s="1"/>
      <c r="L35" s="1"/>
      <c r="M35" s="1"/>
      <c r="N35" s="1"/>
      <c r="O35" s="1"/>
      <c r="P35" s="1"/>
      <c r="Q35" s="502"/>
      <c r="R35" s="508"/>
      <c r="U35" s="33"/>
      <c r="V35" s="33"/>
      <c r="W35" s="33"/>
    </row>
    <row r="36" spans="1:26" x14ac:dyDescent="0.25">
      <c r="A36" s="739" t="s">
        <v>34</v>
      </c>
      <c r="B36" s="1" t="s">
        <v>21</v>
      </c>
      <c r="C36" s="33">
        <f>E55</f>
        <v>0</v>
      </c>
      <c r="D36" s="538"/>
      <c r="E36" s="17"/>
      <c r="F36" s="538"/>
      <c r="G36" s="17">
        <f t="shared" ref="G36:G42" si="5">C36-E36</f>
        <v>0</v>
      </c>
      <c r="H36" s="538"/>
      <c r="I36" s="35"/>
      <c r="J36" s="37"/>
      <c r="K36" s="35"/>
      <c r="L36" s="35"/>
      <c r="M36" s="35"/>
      <c r="N36" s="35"/>
      <c r="O36" s="35"/>
      <c r="P36" s="35"/>
      <c r="Q36" s="540"/>
      <c r="R36" s="508"/>
      <c r="S36" s="538"/>
      <c r="T36" s="503">
        <v>0</v>
      </c>
      <c r="U36" s="503">
        <v>0</v>
      </c>
      <c r="V36" s="503">
        <v>0</v>
      </c>
      <c r="W36" s="503">
        <v>0</v>
      </c>
      <c r="X36" s="503">
        <v>0</v>
      </c>
      <c r="Y36" s="489">
        <f>SUM(T36:X36)</f>
        <v>0</v>
      </c>
      <c r="Z36" s="489">
        <f>G36-Y36</f>
        <v>0</v>
      </c>
    </row>
    <row r="37" spans="1:26" x14ac:dyDescent="0.25">
      <c r="A37" s="739"/>
      <c r="B37" s="1" t="s">
        <v>23</v>
      </c>
      <c r="C37" s="33">
        <f>SUM(T37:X37)+E58</f>
        <v>89.715148264999996</v>
      </c>
      <c r="D37" s="539"/>
      <c r="E37" s="504"/>
      <c r="F37" s="539"/>
      <c r="G37" s="17">
        <f t="shared" si="5"/>
        <v>89.715148264999996</v>
      </c>
      <c r="H37" s="539"/>
      <c r="I37" s="498"/>
      <c r="J37" s="37"/>
      <c r="K37" s="35"/>
      <c r="L37" s="35"/>
      <c r="M37" s="505"/>
      <c r="N37" s="35"/>
      <c r="P37" s="35"/>
      <c r="Q37" s="541"/>
      <c r="R37" s="508"/>
      <c r="S37" s="539"/>
      <c r="T37" s="506">
        <f>Bilan_E_KP_réel_2023!L38</f>
        <v>1.8475597222222224</v>
      </c>
      <c r="U37" s="93">
        <f>Bilan_E_KP_réel_2023!L34</f>
        <v>14.497804722222222</v>
      </c>
      <c r="V37" s="506">
        <f>Bilan_E_KP_réel_2023!L36</f>
        <v>70.150979653888882</v>
      </c>
      <c r="W37" s="507">
        <f>Bilan_E_KP_réel_2023!L37</f>
        <v>3.2188041666666698</v>
      </c>
      <c r="X37" s="506">
        <f>Bilan_E_KP_réel_2023!L35</f>
        <v>0</v>
      </c>
      <c r="Y37" s="489">
        <f t="shared" ref="Y37:Y47" si="6">SUM(T37:X37)</f>
        <v>89.715148264999996</v>
      </c>
      <c r="Z37" s="489">
        <f t="shared" ref="Z37:Z44" si="7">G37-Y37</f>
        <v>0</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f>SUM(G36:G41)-E55-E56-E58-L41-L36</f>
        <v>183.87328045794951</v>
      </c>
      <c r="R38" s="508"/>
      <c r="S38" s="539"/>
      <c r="T38" s="84">
        <v>0</v>
      </c>
      <c r="U38" s="83">
        <v>0</v>
      </c>
      <c r="V38" s="84">
        <v>0</v>
      </c>
      <c r="W38" s="91">
        <v>0</v>
      </c>
      <c r="X38" s="91">
        <v>0</v>
      </c>
      <c r="Y38" s="489">
        <f t="shared" si="6"/>
        <v>0</v>
      </c>
      <c r="Z38" s="489">
        <f t="shared" si="7"/>
        <v>0</v>
      </c>
    </row>
    <row r="39" spans="1:26" x14ac:dyDescent="0.25">
      <c r="A39" s="739"/>
      <c r="B39" s="1" t="s">
        <v>35</v>
      </c>
      <c r="C39" s="33">
        <f>SUM(T39:X39)</f>
        <v>3.3051766666666667</v>
      </c>
      <c r="D39" s="539"/>
      <c r="E39" s="35"/>
      <c r="F39" s="539"/>
      <c r="G39" s="17">
        <f t="shared" si="5"/>
        <v>3.3051766666666667</v>
      </c>
      <c r="H39" s="539"/>
      <c r="I39" s="35"/>
      <c r="J39" s="37"/>
      <c r="K39" s="35"/>
      <c r="L39" s="35"/>
      <c r="M39" s="37"/>
      <c r="N39" s="35"/>
      <c r="O39" s="35"/>
      <c r="P39" s="35"/>
      <c r="Q39" s="541"/>
      <c r="R39" s="508"/>
      <c r="S39" s="539"/>
      <c r="T39" s="84">
        <f>Bilan_E_KP_réel_2023!Q38</f>
        <v>0.29294666666666669</v>
      </c>
      <c r="U39" s="83">
        <f>Bilan_E_KP_réel_2023!Q34</f>
        <v>2.5632777777777779E-2</v>
      </c>
      <c r="V39" s="84">
        <f>Bilan_E_KP_réel_2023!Q36</f>
        <v>2.6333313888888892</v>
      </c>
      <c r="W39" s="91">
        <f>Bilan_E_KP_réel_2023!Q37</f>
        <v>0.353265833333333</v>
      </c>
      <c r="X39" s="91">
        <f>Bilan_E_KP_réel_2023!Q35</f>
        <v>0</v>
      </c>
      <c r="Y39" s="489">
        <f t="shared" si="6"/>
        <v>3.3051766666666667</v>
      </c>
      <c r="Z39" s="489">
        <f t="shared" si="7"/>
        <v>0</v>
      </c>
    </row>
    <row r="40" spans="1:26" x14ac:dyDescent="0.25">
      <c r="A40" s="739"/>
      <c r="B40" s="1" t="s">
        <v>36</v>
      </c>
      <c r="C40" s="33">
        <f>Bilan_E_KP_réel_2023!P12</f>
        <v>49.99968472222222</v>
      </c>
      <c r="D40" s="539"/>
      <c r="E40" s="35"/>
      <c r="F40" s="539"/>
      <c r="G40" s="17">
        <f t="shared" si="5"/>
        <v>49.99968472222222</v>
      </c>
      <c r="H40" s="539"/>
      <c r="I40" s="35"/>
      <c r="J40" s="37"/>
      <c r="K40" s="35"/>
      <c r="L40" s="35"/>
      <c r="M40" s="37"/>
      <c r="N40" s="35"/>
      <c r="O40" s="35"/>
      <c r="P40" s="35"/>
      <c r="Q40" s="541"/>
      <c r="R40" s="508"/>
      <c r="S40" s="539"/>
      <c r="T40" s="83">
        <f>Bilan_E_KP_réel_2023!P$38</f>
        <v>0</v>
      </c>
      <c r="U40" s="83">
        <f>Bilan_E_KP_réel_2023!P$34</f>
        <v>2.6356574892997744E-4</v>
      </c>
      <c r="V40" s="83">
        <f>Bilan_E_KP_réel_2023!P$36</f>
        <v>44.439514166666662</v>
      </c>
      <c r="W40" s="83">
        <f>Bilan_E_KP_réel_2023!P$37</f>
        <v>5.0584755555555549</v>
      </c>
      <c r="X40" s="84">
        <f>Bilan_E_KP_réel_2023!P$35</f>
        <v>0</v>
      </c>
      <c r="Y40" s="489">
        <f t="shared" si="6"/>
        <v>49.498253287971146</v>
      </c>
      <c r="Z40" s="489">
        <f t="shared" si="7"/>
        <v>0.50143143425107439</v>
      </c>
    </row>
    <row r="41" spans="1:26" x14ac:dyDescent="0.25">
      <c r="A41" s="739"/>
      <c r="B41" s="1" t="s">
        <v>37</v>
      </c>
      <c r="C41" s="33">
        <f>Bilan_E_KP_réel_2023!N12+Bilan_E_KP_réel_2023!L26-Bilan_E_KP_réel_2023!N21+Bilan_E_KP_réel_2023!T27</f>
        <v>20.647434330821</v>
      </c>
      <c r="D41" s="191">
        <f>SUM(C36:C47)</f>
        <v>932.66683534513561</v>
      </c>
      <c r="E41" s="511">
        <f>Bilan_E_KP_réel_2023!U27+Bilan_E_KP_réel_2023!U26</f>
        <v>0</v>
      </c>
      <c r="F41" s="191">
        <f>SUM(E36:E47)</f>
        <v>22.65199539979805</v>
      </c>
      <c r="G41" s="17">
        <f t="shared" si="5"/>
        <v>20.647434330821</v>
      </c>
      <c r="H41" s="191">
        <f>SUM(G36:G47)</f>
        <v>910.01483994533749</v>
      </c>
      <c r="I41" s="35"/>
      <c r="J41" s="37"/>
      <c r="K41" s="35"/>
      <c r="L41" s="37">
        <f>-(SUM(Bilan_E_KP_réel_2023!N13:N16)+SUM(Bilan_E_KP_réel_2023!G13:G16))</f>
        <v>-20.205836473239639</v>
      </c>
      <c r="M41" s="35"/>
      <c r="N41" s="35"/>
      <c r="O41" s="35"/>
      <c r="P41" s="35"/>
      <c r="Q41" s="541"/>
      <c r="R41" s="508">
        <f>SUM(Q36:Q47)-S41</f>
        <v>-1.5031871753261612</v>
      </c>
      <c r="S41" s="191">
        <f>SUM(T36:X46)</f>
        <v>771.06323909733624</v>
      </c>
      <c r="T41" s="83">
        <f>Bilan_E_KP_réel_2023!N$38+Bilan_E_KP_réel_2023!G$38</f>
        <v>2.0636319502888525</v>
      </c>
      <c r="U41" s="83">
        <f>Bilan_E_KP_réel_2023!N$34+Bilan_E_KP_réel_2023!G$34</f>
        <v>0.89176663588059402</v>
      </c>
      <c r="V41" s="83">
        <f>Bilan_E_KP_réel_2023!N$36+Bilan_E_KP_réel_2023!G$36</f>
        <v>0</v>
      </c>
      <c r="W41" s="83">
        <f>Bilan_E_KP_réel_2023!N$37+Bilan_E_KP_réel_2023!G$37</f>
        <v>4.4999999999999929E-2</v>
      </c>
      <c r="X41" s="84">
        <f>Bilan_E_KP_réel_2023!N$35+Bilan_E_KP_réel_2023!G$35</f>
        <v>37.735735445533919</v>
      </c>
      <c r="Y41" s="489">
        <f t="shared" si="6"/>
        <v>40.736134031703365</v>
      </c>
      <c r="Z41" s="489">
        <f>G41-Y41-L41</f>
        <v>0.1171367723572736</v>
      </c>
    </row>
    <row r="42" spans="1:26" x14ac:dyDescent="0.25">
      <c r="A42" s="739"/>
      <c r="B42" s="1" t="s">
        <v>38</v>
      </c>
      <c r="C42" s="33">
        <f>Bilan_E_KP_réel_2023!E18+Bilan_E_KP_réel_2023!F18-Bilan_E_KP_réel_2023!F21-Bilan_E_KP_réel_2023!F22-E54-SUM(T43:X43)-(Bilan_E_KP_réel_2023!E20+Bilan_E_KP_réel_2023!F20+Bilan_E_KP_réel_2023!E19+Bilan_E_KP_réel_2023!F19)</f>
        <v>475.00019187055619</v>
      </c>
      <c r="D42" s="539"/>
      <c r="E42" s="17">
        <f>Bilan_E_KP_réel_2023!F30+Bilan_E_KP_réel_2023!U25+Bilan_E_KP_réel_2023!F29+Bilan_E_KP_réel_2023!E29</f>
        <v>22.65199539979805</v>
      </c>
      <c r="F42" s="539"/>
      <c r="G42" s="17">
        <f t="shared" si="5"/>
        <v>452.34819647075813</v>
      </c>
      <c r="H42" s="539"/>
      <c r="I42" s="498"/>
      <c r="J42" s="37"/>
      <c r="K42" s="35"/>
      <c r="L42" s="35"/>
      <c r="M42" s="35"/>
      <c r="N42" s="35"/>
      <c r="O42" s="35"/>
      <c r="P42" s="35"/>
      <c r="Q42" s="36">
        <f>G42</f>
        <v>452.34819647075813</v>
      </c>
      <c r="R42" s="508"/>
      <c r="S42" s="539"/>
      <c r="T42" s="83">
        <v>0</v>
      </c>
      <c r="U42" s="83">
        <v>0</v>
      </c>
      <c r="V42" s="83">
        <v>0</v>
      </c>
      <c r="W42" s="83">
        <v>0</v>
      </c>
      <c r="X42" s="84">
        <f>Bilan_E_KP_réel_2023!F35</f>
        <v>452.34819647075807</v>
      </c>
      <c r="Y42" s="489">
        <f t="shared" si="6"/>
        <v>452.34819647075807</v>
      </c>
      <c r="Z42" s="489">
        <f>Q42-SUM(T42:X42)</f>
        <v>0</v>
      </c>
    </row>
    <row r="43" spans="1:26" x14ac:dyDescent="0.25">
      <c r="A43" s="739"/>
      <c r="B43" s="1" t="s">
        <v>39</v>
      </c>
      <c r="C43" s="33">
        <f>Bilan_E_KP_réel_2023!F41+SUM(T43:X43)</f>
        <v>237.115923214075</v>
      </c>
      <c r="D43" s="539"/>
      <c r="E43" s="38"/>
      <c r="F43" s="539"/>
      <c r="G43" s="17">
        <f>C43-E43</f>
        <v>237.115923214075</v>
      </c>
      <c r="H43" s="539"/>
      <c r="I43" s="35"/>
      <c r="J43" s="37"/>
      <c r="K43" s="35"/>
      <c r="L43" s="35"/>
      <c r="M43" s="35"/>
      <c r="N43" s="35"/>
      <c r="O43" s="35"/>
      <c r="P43" s="35"/>
      <c r="Q43" s="36">
        <f>G43-Bilan_E_KP_réel_2023!F41</f>
        <v>124.01530658199802</v>
      </c>
      <c r="R43" s="508"/>
      <c r="S43" s="539"/>
      <c r="T43" s="83">
        <f>Bilan_E_KP_réel_2023!F38</f>
        <v>37.704445299680003</v>
      </c>
      <c r="U43" s="83">
        <f>Bilan_E_KP_réel_2023!F34</f>
        <v>26.970422859407002</v>
      </c>
      <c r="V43" s="83">
        <f>Bilan_E_KP_réel_2023!F36</f>
        <v>35.382495305294</v>
      </c>
      <c r="W43" s="83">
        <f>Bilan_E_KP_réel_2023!F37</f>
        <v>23.957943117617006</v>
      </c>
      <c r="X43" s="84">
        <v>0</v>
      </c>
      <c r="Y43" s="489">
        <f t="shared" si="6"/>
        <v>124.015306581998</v>
      </c>
      <c r="Z43" s="489">
        <f>Q43-SUM(T43:X43)</f>
        <v>0</v>
      </c>
    </row>
    <row r="44" spans="1:26" x14ac:dyDescent="0.25">
      <c r="A44" s="739"/>
      <c r="B44" s="1" t="s">
        <v>40</v>
      </c>
      <c r="C44" s="33">
        <f>SUM(T44:X44)</f>
        <v>4.1018563888888897</v>
      </c>
      <c r="D44" s="539"/>
      <c r="E44" s="38"/>
      <c r="F44" s="539"/>
      <c r="G44" s="17">
        <f t="shared" si="1"/>
        <v>4.1018563888888897</v>
      </c>
      <c r="H44" s="539"/>
      <c r="I44" s="35"/>
      <c r="J44" s="37"/>
      <c r="K44" s="35"/>
      <c r="L44" s="35"/>
      <c r="M44" s="35"/>
      <c r="N44" s="35"/>
      <c r="O44" s="35"/>
      <c r="P44" s="35"/>
      <c r="Q44" s="36">
        <f>G44-Bilan_E_KP_réel_2023!M41</f>
        <v>4.1018563888888897</v>
      </c>
      <c r="R44" s="498"/>
      <c r="S44" s="539"/>
      <c r="T44" s="83">
        <f>Bilan_E_KP_réel_2023!M$38</f>
        <v>0</v>
      </c>
      <c r="U44" s="83">
        <f>Bilan_E_KP_réel_2023!M34</f>
        <v>4.1018563888888897</v>
      </c>
      <c r="V44" s="83">
        <f>Bilan_E_KP_réel_2023!M$36</f>
        <v>0</v>
      </c>
      <c r="W44" s="83">
        <v>0</v>
      </c>
      <c r="X44" s="84">
        <f>Bilan_E_KP_réel_2023!M$35</f>
        <v>0</v>
      </c>
      <c r="Y44" s="489">
        <f t="shared" si="6"/>
        <v>4.1018563888888897</v>
      </c>
      <c r="Z44" s="489">
        <f t="shared" si="7"/>
        <v>0</v>
      </c>
    </row>
    <row r="45" spans="1:26" x14ac:dyDescent="0.25">
      <c r="A45" s="739"/>
      <c r="B45" s="1" t="s">
        <v>41</v>
      </c>
      <c r="C45" s="33">
        <f>E53</f>
        <v>10.01566775</v>
      </c>
      <c r="D45" s="539"/>
      <c r="E45" s="38"/>
      <c r="F45" s="539"/>
      <c r="G45" s="17">
        <f t="shared" si="1"/>
        <v>10.01566775</v>
      </c>
      <c r="H45" s="539"/>
      <c r="I45" s="35"/>
      <c r="J45" s="37"/>
      <c r="K45" s="35"/>
      <c r="L45" s="35"/>
      <c r="M45" s="35"/>
      <c r="N45" s="35"/>
      <c r="O45" s="35"/>
      <c r="P45" s="35"/>
      <c r="Q45" s="36">
        <f>G45-Bilan_E_KP_réel_2023!H41</f>
        <v>0</v>
      </c>
      <c r="R45" s="498"/>
      <c r="S45" s="539"/>
      <c r="T45" s="84">
        <v>0</v>
      </c>
      <c r="U45" s="83">
        <v>0</v>
      </c>
      <c r="V45" s="84">
        <v>0</v>
      </c>
      <c r="W45" s="92">
        <v>0</v>
      </c>
      <c r="X45" s="84">
        <v>0</v>
      </c>
      <c r="Y45" s="489">
        <f t="shared" si="6"/>
        <v>0</v>
      </c>
      <c r="Z45" s="489">
        <f>Q45-Y45</f>
        <v>0</v>
      </c>
    </row>
    <row r="46" spans="1:26" x14ac:dyDescent="0.25">
      <c r="A46" s="739"/>
      <c r="B46" s="1" t="s">
        <v>42</v>
      </c>
      <c r="C46" s="33">
        <f>Bilan_E_KP_réel_2023!D18-C18-C34</f>
        <v>42.765752136905554</v>
      </c>
      <c r="D46" s="539"/>
      <c r="E46" s="511"/>
      <c r="F46" s="539"/>
      <c r="G46" s="17">
        <f>C46-E46</f>
        <v>42.765752136905554</v>
      </c>
      <c r="H46" s="539"/>
      <c r="I46" s="38"/>
      <c r="J46" s="37"/>
      <c r="K46" s="35"/>
      <c r="L46" s="35"/>
      <c r="M46" s="35"/>
      <c r="N46" s="35"/>
      <c r="O46" s="35"/>
      <c r="P46" s="35"/>
      <c r="Q46" s="36">
        <f>G46-(Bilan_E_KP_réel_2023!D41+Bilan_E_KP_réel_2023!D29+Bilan_E_KP_réel_2023!D30)</f>
        <v>5.2214120224155565</v>
      </c>
      <c r="R46" s="498"/>
      <c r="S46" s="539"/>
      <c r="T46" s="506">
        <f>Bilan_E_KP_réel_2023!D38</f>
        <v>1.4204347020000001E-2</v>
      </c>
      <c r="U46" s="93">
        <f>Bilan_E_KP_réel_2023!D34</f>
        <v>6.7561224064300012</v>
      </c>
      <c r="V46" s="506">
        <f>Bilan_E_KP_réel_2023!D36</f>
        <v>0.23010017802000002</v>
      </c>
      <c r="W46" s="507">
        <f>Bilan_E_KP_réel_2023!D37</f>
        <v>0.34274047288000004</v>
      </c>
      <c r="X46" s="506">
        <f>Bilan_E_KP_réel_2023!D35</f>
        <v>0</v>
      </c>
      <c r="Y46" s="489">
        <f t="shared" si="6"/>
        <v>7.3431674043500008</v>
      </c>
      <c r="Z46" s="489">
        <f>Q46-Y46</f>
        <v>-2.1217553819344444</v>
      </c>
    </row>
    <row r="47" spans="1:26" x14ac:dyDescent="0.25">
      <c r="A47" s="90"/>
      <c r="B47" s="1" t="s">
        <v>31</v>
      </c>
      <c r="C47" s="33">
        <f>E57</f>
        <v>0</v>
      </c>
      <c r="D47" s="192"/>
      <c r="E47" s="511"/>
      <c r="F47" s="192"/>
      <c r="G47" s="17">
        <f>C47-E47</f>
        <v>0</v>
      </c>
      <c r="H47" s="192"/>
      <c r="I47" s="38"/>
      <c r="J47" s="37"/>
      <c r="K47" s="35"/>
      <c r="L47" s="35"/>
      <c r="M47" s="35"/>
      <c r="N47" s="35"/>
      <c r="O47" s="35"/>
      <c r="P47" s="35"/>
      <c r="Q47" s="542">
        <f>G47-Bilan_E_KP_réel_2023!T41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C5-L13-SUM(L21:L24)-L30-L41-Bilan_E_KP_réel_2023!U18</f>
        <v>-16.822355276704911</v>
      </c>
      <c r="D49" s="1"/>
      <c r="E49" s="34">
        <f>SUM(E7:E47)+I13-Bilan_E_KP_réel_2023!U32+K13+SUM(K21:K24)+K30+Bilan_E_KP_réel_2023!D29+Bilan_E_KP_réel_2023!D30</f>
        <v>-14.817602973779117</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468.72727793912861</v>
      </c>
    </row>
    <row r="52" spans="1:19" x14ac:dyDescent="0.25">
      <c r="A52" s="21"/>
      <c r="B52" s="1" t="s">
        <v>44</v>
      </c>
      <c r="C52" s="44"/>
      <c r="D52" s="1"/>
      <c r="E52" s="39">
        <f>Bilan_E_KP_réel_2023!D41+Bilan_E_KP_réel_2023!D29+Bilan_E_KP_réel_2023!D30</f>
        <v>37.544340114489998</v>
      </c>
      <c r="F52" s="187"/>
      <c r="G52" s="1"/>
      <c r="H52" s="1"/>
      <c r="I52" s="30"/>
      <c r="J52" s="17"/>
      <c r="K52" s="17"/>
      <c r="L52" s="21"/>
      <c r="M52" s="1"/>
      <c r="N52" s="17"/>
      <c r="O52" s="17"/>
      <c r="P52" s="17"/>
      <c r="Q52" s="1"/>
      <c r="S52" s="33"/>
    </row>
    <row r="53" spans="1:19" x14ac:dyDescent="0.25">
      <c r="A53" s="21"/>
      <c r="B53" s="1" t="s">
        <v>41</v>
      </c>
      <c r="C53" s="45"/>
      <c r="D53" s="17"/>
      <c r="E53" s="433">
        <f>Bilan_E_KP_réel_2023!H41+Bilan_E_KP_réel_2023!H29</f>
        <v>10.01566775</v>
      </c>
      <c r="F53" s="187"/>
      <c r="G53" s="1"/>
      <c r="H53" s="1"/>
      <c r="I53" s="30"/>
      <c r="J53" s="17"/>
      <c r="K53" s="17"/>
      <c r="L53" s="21"/>
      <c r="M53" s="1"/>
      <c r="N53" s="17"/>
      <c r="O53" s="17"/>
      <c r="P53" s="17"/>
      <c r="Q53" s="1"/>
    </row>
    <row r="54" spans="1:19" x14ac:dyDescent="0.25">
      <c r="A54" s="21"/>
      <c r="B54" s="1" t="s">
        <v>39</v>
      </c>
      <c r="C54" s="45"/>
      <c r="D54" s="17"/>
      <c r="E54" s="435">
        <f>Bilan_E_KP_réel_2023!F41</f>
        <v>113.10061663207698</v>
      </c>
      <c r="F54" s="187"/>
      <c r="G54" s="1"/>
      <c r="H54" s="1"/>
      <c r="I54" s="30"/>
      <c r="J54" s="17"/>
      <c r="K54" s="17"/>
      <c r="L54" s="21"/>
      <c r="M54" s="21"/>
      <c r="N54" s="17"/>
      <c r="O54" s="17"/>
      <c r="P54" s="17"/>
      <c r="Q54" s="1"/>
    </row>
    <row r="55" spans="1:19" x14ac:dyDescent="0.25">
      <c r="B55" s="1" t="s">
        <v>21</v>
      </c>
      <c r="E55" s="631">
        <f>Bilan_E_KP_réel_2023!O41+Bilan_E_KP_réel_2023!O29</f>
        <v>0</v>
      </c>
    </row>
    <row r="56" spans="1:19" x14ac:dyDescent="0.25">
      <c r="B56" s="1" t="s">
        <v>37</v>
      </c>
      <c r="E56" s="631">
        <f>Bilan_E_KP_réel_2023!N41+Bilan_E_KP_réel_2023!N29+Bilan_E_KP_réel_2023!G41</f>
        <v>0</v>
      </c>
    </row>
    <row r="57" spans="1:19" x14ac:dyDescent="0.25">
      <c r="B57" s="1" t="s">
        <v>31</v>
      </c>
      <c r="E57" s="631">
        <f>Bilan_E_KP_réel_2023!T41</f>
        <v>0</v>
      </c>
    </row>
    <row r="58" spans="1:19" x14ac:dyDescent="0.25">
      <c r="B58" s="1" t="s">
        <v>335</v>
      </c>
      <c r="E58" s="631">
        <f>Bilan_E_KP_réel_2023!L41</f>
        <v>0</v>
      </c>
    </row>
    <row r="59" spans="1:19" x14ac:dyDescent="0.25">
      <c r="E59" s="632"/>
    </row>
  </sheetData>
  <mergeCells count="12">
    <mergeCell ref="S2:X3"/>
    <mergeCell ref="G3:H3"/>
    <mergeCell ref="A7:A19"/>
    <mergeCell ref="A21:A24"/>
    <mergeCell ref="A26:A32"/>
    <mergeCell ref="A36:A46"/>
    <mergeCell ref="C1:H1"/>
    <mergeCell ref="J1:Q1"/>
    <mergeCell ref="C2:D2"/>
    <mergeCell ref="E2:H2"/>
    <mergeCell ref="J2:J4"/>
    <mergeCell ref="K2:Q3"/>
  </mergeCells>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5961A-2002-47DA-848A-89FA15DE979F}">
  <dimension ref="A1:Z57"/>
  <sheetViews>
    <sheetView topLeftCell="A13" workbookViewId="0">
      <selection activeCell="C44" sqref="C44"/>
    </sheetView>
  </sheetViews>
  <sheetFormatPr baseColWidth="10" defaultColWidth="11.42578125" defaultRowHeight="15" x14ac:dyDescent="0.25"/>
  <cols>
    <col min="2" max="2" width="25.85546875" customWidth="1"/>
    <col min="5" max="5" width="11.28515625" customWidth="1"/>
    <col min="17" max="17" width="15.85546875" bestFit="1"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2630.0020993744988</v>
      </c>
      <c r="D5" s="18"/>
      <c r="E5" s="20"/>
      <c r="F5" s="494"/>
      <c r="G5" s="21"/>
      <c r="H5" s="493"/>
      <c r="I5" s="21"/>
      <c r="J5" s="22"/>
      <c r="K5" s="23"/>
      <c r="L5" s="14"/>
      <c r="M5" s="14"/>
      <c r="N5" s="15"/>
      <c r="O5" s="16"/>
      <c r="P5" s="16"/>
      <c r="Q5" s="24">
        <f>Q13+Q22+Q30+Q42+Q46+Q38+Q43</f>
        <v>1509.2560461497176</v>
      </c>
      <c r="R5" s="487"/>
      <c r="S5" s="79">
        <f>SUM(S13,S22,S27:S32,S41)</f>
        <v>1510.9344263171051</v>
      </c>
      <c r="T5" s="79">
        <f>SUM(T8:T46)</f>
        <v>48.622419121780844</v>
      </c>
      <c r="U5" s="79">
        <f>SUM(U8:U46)</f>
        <v>299.8934025409539</v>
      </c>
      <c r="V5" s="79">
        <f>SUM(V8:V46)</f>
        <v>462.18068804179131</v>
      </c>
      <c r="W5" s="173">
        <f>SUM(W8:W46)</f>
        <v>242.00883156393084</v>
      </c>
      <c r="X5" s="79">
        <f>SUM(X8:X46)</f>
        <v>458.2290850486479</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f>(([12]Offre_calc!$L$81+[12]Offre_calc!$L$82+[12]Offre_calc!$L$127+[12]Offre_calc!$L$128)/([12]Offre_calc!$L$78+[12]Offre_calc!$L$124))*Bilan_E_KP_AME_2023!I$21</f>
        <v>50.717065359842749</v>
      </c>
      <c r="D7" s="516"/>
      <c r="E7" s="28">
        <v>0</v>
      </c>
      <c r="F7" s="516"/>
      <c r="G7" s="17">
        <f>C7-E7</f>
        <v>50.717065359842749</v>
      </c>
      <c r="H7" s="516"/>
      <c r="I7" s="21"/>
      <c r="J7" s="516"/>
      <c r="K7" s="523"/>
      <c r="L7" s="523"/>
      <c r="M7" s="523"/>
      <c r="N7" s="523"/>
      <c r="O7" s="523"/>
      <c r="P7" s="513"/>
      <c r="Q7" s="526"/>
      <c r="R7" s="498"/>
      <c r="S7" s="526"/>
      <c r="T7" s="523"/>
      <c r="U7" s="523"/>
      <c r="V7" s="523"/>
      <c r="W7" s="523"/>
      <c r="X7" s="523"/>
    </row>
    <row r="8" spans="1:24" x14ac:dyDescent="0.25">
      <c r="A8" s="736"/>
      <c r="B8" s="1" t="s">
        <v>18</v>
      </c>
      <c r="C8" s="486">
        <f>(([12]Offre_calc!$L$80+[12]Offre_calc!$L$126)/([12]Offre_calc!$L$78+[12]Offre_calc!$L$124))*Bilan_E_KP_AME_2023!I$21</f>
        <v>61.973978103974517</v>
      </c>
      <c r="D8" s="81"/>
      <c r="E8" s="28">
        <v>0</v>
      </c>
      <c r="F8" s="81"/>
      <c r="G8" s="17">
        <f t="shared" ref="G8:G19" si="0">C8-E8</f>
        <v>61.973978103974517</v>
      </c>
      <c r="H8" s="81"/>
      <c r="I8" s="21"/>
      <c r="J8" s="81"/>
      <c r="K8" s="524"/>
      <c r="L8" s="524"/>
      <c r="M8" s="524"/>
      <c r="N8" s="524"/>
      <c r="O8" s="524"/>
      <c r="P8" s="29"/>
      <c r="Q8" s="527"/>
      <c r="R8" s="498"/>
      <c r="S8" s="527"/>
      <c r="T8" s="524"/>
      <c r="U8" s="524"/>
      <c r="V8" s="524"/>
      <c r="W8" s="524"/>
      <c r="X8" s="524"/>
    </row>
    <row r="9" spans="1:24" x14ac:dyDescent="0.25">
      <c r="A9" s="736"/>
      <c r="B9" s="1" t="s">
        <v>19</v>
      </c>
      <c r="C9" s="486">
        <f>(([12]Offre_calc!$L$79+[12]Offre_calc!$L$125)/([12]Offre_calc!$L$78+[12]Offre_calc!$L$124))*Bilan_E_KP_AME_2023!I$21</f>
        <v>22.351270791597365</v>
      </c>
      <c r="D9" s="81"/>
      <c r="E9" s="28">
        <v>0</v>
      </c>
      <c r="F9" s="81"/>
      <c r="G9" s="17">
        <f t="shared" si="0"/>
        <v>22.351270791597365</v>
      </c>
      <c r="H9" s="81"/>
      <c r="I9" s="21"/>
      <c r="J9" s="81"/>
      <c r="K9" s="524"/>
      <c r="L9" s="524"/>
      <c r="M9" s="524"/>
      <c r="N9" s="524"/>
      <c r="O9" s="524"/>
      <c r="P9" s="29"/>
      <c r="Q9" s="527"/>
      <c r="R9" s="498"/>
      <c r="S9" s="527"/>
      <c r="T9" s="524"/>
      <c r="U9" s="524"/>
      <c r="V9" s="524"/>
      <c r="W9" s="524"/>
      <c r="X9" s="524"/>
    </row>
    <row r="10" spans="1:24" x14ac:dyDescent="0.25">
      <c r="A10" s="736"/>
      <c r="B10" s="1" t="s">
        <v>20</v>
      </c>
      <c r="C10" s="17">
        <f>Bilan_E_KP_AME_2023!H21-(Bilan_E_KP_AME_2023!P20+Bilan_E_KP_AME_2023!P19)</f>
        <v>1099.8082367406996</v>
      </c>
      <c r="D10" s="81"/>
      <c r="E10" s="28">
        <f>F13-SUM(E11:E19)</f>
        <v>734.90364523570804</v>
      </c>
      <c r="F10" s="81"/>
      <c r="G10" s="17">
        <f>C10-E10</f>
        <v>364.90459150499157</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f>Bilan_E_KP_AME_2023!M21</f>
        <v>0.35186004718702235</v>
      </c>
      <c r="D11" s="81"/>
      <c r="E11" s="28">
        <f>C11*(1-[12]Offre_calc!$L$161)</f>
        <v>0.1667816623666486</v>
      </c>
      <c r="F11" s="81"/>
      <c r="G11" s="17">
        <f t="shared" si="0"/>
        <v>0.18507838482037375</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f>Bilan_E_KP_AME_2023!K21</f>
        <v>9.8540491520373141</v>
      </c>
      <c r="D12" s="81"/>
      <c r="E12" s="28">
        <f>C12*(1-[12]Offre_calc!$L$171)</f>
        <v>7.5482016504605829</v>
      </c>
      <c r="F12" s="81"/>
      <c r="G12" s="17">
        <f t="shared" si="0"/>
        <v>2.3058475015767312</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f>Bilan_E_KP_AME_2023!J21</f>
        <v>34.496026032636451</v>
      </c>
      <c r="D13" s="81">
        <f>SUM(C7:C19)</f>
        <v>1315.4239714979749</v>
      </c>
      <c r="E13" s="28">
        <f>C13*(1-[12]Offre_calc!$L$170)</f>
        <v>26.423955940999523</v>
      </c>
      <c r="F13" s="81">
        <f>Bilan_E_KP_AME_2023!S21</f>
        <v>787.45248977514632</v>
      </c>
      <c r="G13" s="17">
        <f t="shared" si="0"/>
        <v>8.0720700916369275</v>
      </c>
      <c r="H13" s="81">
        <f>SUM(G7:G19)</f>
        <v>527.97148172282857</v>
      </c>
      <c r="I13" s="33">
        <f>Bilan_E_KP_AME_2023!P30</f>
        <v>34.108085964069424</v>
      </c>
      <c r="J13" s="81">
        <f>H13-I13</f>
        <v>493.86339575875917</v>
      </c>
      <c r="K13" s="29">
        <f>Bilan_E_KP_AME_2023!P31</f>
        <v>38.59518094579407</v>
      </c>
      <c r="L13" s="29">
        <f>-(Bilan_E_KP_AME_2023!P14+Bilan_E_KP_AME_2023!P13)</f>
        <v>24.298097404469559</v>
      </c>
      <c r="M13" s="29">
        <f>Bilan_E_KP_AME_2023!P28</f>
        <v>2.54864504300631E-2</v>
      </c>
      <c r="N13" s="29"/>
      <c r="O13" s="29"/>
      <c r="P13" s="29"/>
      <c r="Q13" s="81">
        <f>J13-K13-L13-M13-N13-O13-P13</f>
        <v>430.94463095806549</v>
      </c>
      <c r="R13" s="508">
        <f>Q13-S13</f>
        <v>0</v>
      </c>
      <c r="S13" s="81">
        <f>SUM(T8:X19)</f>
        <v>430.94463095806555</v>
      </c>
      <c r="T13" s="29">
        <f>Bilan_E_KP_AME_2023!P38</f>
        <v>8.3662824168205496</v>
      </c>
      <c r="U13" s="29">
        <f>Bilan_E_KP_AME_2023!P34+Bilan_E_KP_AME_2023!P39</f>
        <v>111.09265177846828</v>
      </c>
      <c r="V13" s="29">
        <f>Bilan_E_KP_AME_2023!P36</f>
        <v>167.04585454887541</v>
      </c>
      <c r="W13" s="29">
        <f>Bilan_E_KP_AME_2023!P37</f>
        <v>130.24280942426404</v>
      </c>
      <c r="X13" s="29">
        <f>Bilan_E_KP_AME_2023!P35</f>
        <v>14.197032789637335</v>
      </c>
    </row>
    <row r="14" spans="1:24" x14ac:dyDescent="0.25">
      <c r="A14" s="736"/>
      <c r="B14" s="1" t="s">
        <v>24</v>
      </c>
      <c r="C14" s="17">
        <f>Bilan_E_KP_AME_2023!O21</f>
        <v>1.0949510903328832</v>
      </c>
      <c r="D14" s="81"/>
      <c r="E14" s="28">
        <v>0</v>
      </c>
      <c r="F14" s="81"/>
      <c r="G14" s="17">
        <f t="shared" si="0"/>
        <v>1.0949510903328832</v>
      </c>
      <c r="H14" s="81"/>
      <c r="I14" s="21"/>
      <c r="J14" s="81"/>
      <c r="K14" s="524"/>
      <c r="L14" s="524"/>
      <c r="M14" s="524"/>
      <c r="N14" s="524"/>
      <c r="O14" s="524"/>
      <c r="P14" s="29"/>
      <c r="Q14" s="527"/>
      <c r="R14" s="498"/>
      <c r="S14" s="527"/>
      <c r="T14" s="524"/>
      <c r="U14" s="524"/>
      <c r="V14" s="524"/>
      <c r="W14" s="524"/>
      <c r="X14" s="524"/>
    </row>
    <row r="15" spans="1:24" x14ac:dyDescent="0.25">
      <c r="A15" s="736"/>
      <c r="B15" s="1" t="s">
        <v>25</v>
      </c>
      <c r="C15" s="17">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36"/>
      <c r="B16" s="1" t="s">
        <v>343</v>
      </c>
      <c r="C16" s="17">
        <f>Bilan_E_KP_AME_2023!L21</f>
        <v>1.6747440159238469</v>
      </c>
      <c r="D16" s="81"/>
      <c r="E16" s="28">
        <f>C16*(1-[12]Offre_calc!$L$158)</f>
        <v>0.93785664891735432</v>
      </c>
      <c r="F16" s="81"/>
      <c r="G16" s="17">
        <f t="shared" si="0"/>
        <v>0.7368873670064926</v>
      </c>
      <c r="H16" s="81"/>
      <c r="I16" s="21"/>
      <c r="J16" s="81"/>
      <c r="K16" s="524"/>
      <c r="L16" s="524"/>
      <c r="M16" s="524"/>
      <c r="N16" s="524"/>
      <c r="O16" s="524"/>
      <c r="P16" s="29"/>
      <c r="Q16" s="527"/>
      <c r="R16" s="498"/>
      <c r="S16" s="527"/>
      <c r="T16" s="524"/>
      <c r="U16" s="524"/>
      <c r="V16" s="524"/>
      <c r="W16" s="524"/>
      <c r="X16" s="524"/>
    </row>
    <row r="17" spans="1:24" x14ac:dyDescent="0.25">
      <c r="A17" s="736"/>
      <c r="B17" s="1" t="s">
        <v>27</v>
      </c>
      <c r="C17" s="17">
        <f>Bilan_E_KP_AME_2023!F21</f>
        <v>9.8157441879701768</v>
      </c>
      <c r="D17" s="81"/>
      <c r="E17" s="28">
        <f>C17*(1-[12]Offre_calc!$L$158)</f>
        <v>5.4968167452632999</v>
      </c>
      <c r="F17" s="81"/>
      <c r="G17" s="17">
        <f t="shared" si="0"/>
        <v>4.3189274427068769</v>
      </c>
      <c r="H17" s="81"/>
      <c r="I17" s="21"/>
      <c r="J17" s="81"/>
      <c r="K17" s="524"/>
      <c r="L17" s="524"/>
      <c r="M17" s="524"/>
      <c r="N17" s="524"/>
      <c r="O17" s="524"/>
      <c r="P17" s="29"/>
      <c r="Q17" s="527"/>
      <c r="R17" s="498"/>
      <c r="S17" s="527"/>
      <c r="T17" s="524"/>
      <c r="U17" s="524"/>
      <c r="V17" s="524"/>
      <c r="W17" s="524"/>
      <c r="X17" s="524"/>
    </row>
    <row r="18" spans="1:24" x14ac:dyDescent="0.25">
      <c r="A18" s="736"/>
      <c r="B18" s="1" t="s">
        <v>28</v>
      </c>
      <c r="C18" s="17">
        <f>Bilan_E_KP_AME_2023!D21</f>
        <v>4.5103805765333682</v>
      </c>
      <c r="D18" s="81"/>
      <c r="E18" s="28">
        <f>C18*(1-[12]Offre_calc!$L$157)</f>
        <v>3.0755664921913421</v>
      </c>
      <c r="F18" s="81"/>
      <c r="G18" s="17">
        <f t="shared" si="0"/>
        <v>1.4348140843420261</v>
      </c>
      <c r="H18" s="81"/>
      <c r="I18" s="21"/>
      <c r="J18" s="81"/>
      <c r="K18" s="524"/>
      <c r="L18" s="524"/>
      <c r="M18" s="524"/>
      <c r="N18" s="524"/>
      <c r="O18" s="524"/>
      <c r="P18" s="29"/>
      <c r="Q18" s="527"/>
      <c r="R18" s="498"/>
      <c r="S18" s="527"/>
      <c r="T18" s="524"/>
      <c r="U18" s="524"/>
      <c r="V18" s="524"/>
      <c r="W18" s="524"/>
      <c r="X18" s="524"/>
    </row>
    <row r="19" spans="1:24" x14ac:dyDescent="0.25">
      <c r="A19" s="736"/>
      <c r="B19" s="1" t="s">
        <v>260</v>
      </c>
      <c r="C19" s="17">
        <f>Bilan_E_KP_AME_2023!G21+Bilan_E_KP_AME_2023!R21</f>
        <v>18.775665399239546</v>
      </c>
      <c r="D19" s="82"/>
      <c r="E19" s="28">
        <f>C19*(1-[12]Offre_calc!$L$160)</f>
        <v>8.8996653992395451</v>
      </c>
      <c r="F19" s="82"/>
      <c r="G19" s="17">
        <f t="shared" si="0"/>
        <v>9.8760000000000012</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0.33178928772746102</v>
      </c>
      <c r="H20" s="499"/>
      <c r="I20" s="17"/>
      <c r="J20" s="1"/>
      <c r="K20" s="17"/>
      <c r="L20" s="1"/>
      <c r="M20" s="1"/>
      <c r="N20" s="1"/>
      <c r="O20" s="1"/>
      <c r="P20" s="1"/>
      <c r="Q20" s="499"/>
      <c r="R20" s="498"/>
      <c r="S20" s="408"/>
      <c r="T20" s="495"/>
      <c r="U20" s="408"/>
      <c r="V20" s="495"/>
      <c r="W20" s="408"/>
      <c r="X20" s="495"/>
    </row>
    <row r="21" spans="1:24" x14ac:dyDescent="0.25">
      <c r="A21" s="737" t="s">
        <v>13</v>
      </c>
      <c r="B21" s="1" t="s">
        <v>21</v>
      </c>
      <c r="C21" s="17">
        <f>Bilan_E_KP_AME_2023!J23+Bilan_E_KP_AME_2023!M12</f>
        <v>5.3857442432423364</v>
      </c>
      <c r="D21" s="529"/>
      <c r="E21" s="33">
        <f>Bilan_E_KP_AME_2023!S23+Bilan_E_KP_AME_2023!M30</f>
        <v>0.74561654260248589</v>
      </c>
      <c r="F21" s="529"/>
      <c r="G21" s="17">
        <f t="shared" ref="G21:G45" si="1">C21-E21</f>
        <v>4.6401277006398507</v>
      </c>
      <c r="H21" s="529"/>
      <c r="I21" s="17"/>
      <c r="J21" s="529"/>
      <c r="K21" s="545">
        <f>Bilan_E_KP_AME_2023!M31</f>
        <v>5.4041471906535486E-2</v>
      </c>
      <c r="L21" s="545">
        <f>-(Bilan_E_KP_AME_2023!M13+Bilan_E_KP_AME_2023!M14+Bilan_E_KP_AME_2023!M15+Bilan_E_KP_AME_2023!M16)</f>
        <v>0</v>
      </c>
      <c r="M21" s="545">
        <f>Bilan_E_KP_AME_2023!M28</f>
        <v>4.6306720562744137E-3</v>
      </c>
      <c r="N21" s="545">
        <f>Bilan_E_KP_AME_2023!M22</f>
        <v>0.22730502357401322</v>
      </c>
      <c r="O21" s="545">
        <f>Bilan_E_KP_AME_2023!M21</f>
        <v>0.35186004718702235</v>
      </c>
      <c r="P21" s="529"/>
      <c r="Q21" s="529"/>
      <c r="R21" s="498"/>
      <c r="S21" s="529"/>
      <c r="T21" s="529"/>
      <c r="U21" s="529"/>
      <c r="V21" s="529"/>
      <c r="W21" s="529"/>
      <c r="X21" s="529"/>
    </row>
    <row r="22" spans="1:24" x14ac:dyDescent="0.25">
      <c r="A22" s="737"/>
      <c r="B22" s="1" t="s">
        <v>30</v>
      </c>
      <c r="C22" s="17"/>
      <c r="D22" s="85">
        <f>SUM(C21:C24)</f>
        <v>368.77130378312614</v>
      </c>
      <c r="E22" s="497"/>
      <c r="F22" s="85">
        <f>SUM(E21:E24)</f>
        <v>6.0137399504415079</v>
      </c>
      <c r="G22" s="17"/>
      <c r="H22" s="85">
        <f>SUM(G21:G24)</f>
        <v>362.75756383268458</v>
      </c>
      <c r="I22" s="408"/>
      <c r="J22" s="85">
        <f>H22-I22</f>
        <v>362.75756383268458</v>
      </c>
      <c r="K22" s="32"/>
      <c r="L22" s="32"/>
      <c r="M22" s="32"/>
      <c r="N22" s="32"/>
      <c r="O22" s="32"/>
      <c r="P22" s="32"/>
      <c r="Q22" s="85">
        <f>J22-SUM(K21:P24)</f>
        <v>321.5384788757994</v>
      </c>
      <c r="R22" s="508">
        <f>Q22-S22</f>
        <v>-2.7283295480174274E-2</v>
      </c>
      <c r="S22" s="85">
        <f>SUM(T22:X24)</f>
        <v>321.56576217127957</v>
      </c>
      <c r="T22" s="32">
        <f>Bilan_E_KP_AME_2023!G38+Bilan_E_KP_AME_2023!R38+Bilan_E_KP_AME_2023!M$38</f>
        <v>2.5616339360839078</v>
      </c>
      <c r="U22" s="32">
        <f>Bilan_E_KP_AME_2023!G34+Bilan_E_KP_AME_2023!R34+Bilan_E_KP_AME_2023!M$34</f>
        <v>115.95574870449366</v>
      </c>
      <c r="V22" s="32">
        <f>Bilan_E_KP_AME_2023!G36+Bilan_E_KP_AME_2023!R36+Bilan_E_KP_AME_2023!M$36</f>
        <v>128.04372090293501</v>
      </c>
      <c r="W22" s="32">
        <f>Bilan_E_KP_AME_2023!G37+Bilan_E_KP_AME_2023!K37+Bilan_E_KP_AME_2023!R37+Bilan_E_KP_AME_2023!M$37</f>
        <v>70.096644237528054</v>
      </c>
      <c r="X22" s="32">
        <f>Bilan_E_KP_AME_2023!G35+Bilan_E_KP_AME_2023!R35+Bilan_E_KP_AME_2023!M$35</f>
        <v>4.9080143902389493</v>
      </c>
    </row>
    <row r="23" spans="1:24" x14ac:dyDescent="0.25">
      <c r="A23" s="737"/>
      <c r="B23" s="1" t="s">
        <v>31</v>
      </c>
      <c r="C23" s="17">
        <f>SUM(Bilan_E_KP_AME_2023!D28:Q28)-C47</f>
        <v>0.40293892998328584</v>
      </c>
      <c r="D23" s="530"/>
      <c r="E23" s="33">
        <f>Bilan_E_KP_AME_2023!S28+Bilan_E_KP_AME_2023!S27</f>
        <v>0.12215600151648892</v>
      </c>
      <c r="F23" s="532"/>
      <c r="G23" s="17">
        <f t="shared" si="1"/>
        <v>0.28078292846679692</v>
      </c>
      <c r="H23" s="532"/>
      <c r="I23" s="17"/>
      <c r="J23" s="532"/>
      <c r="K23" s="534">
        <f>Bilan_E_KP_AME_2023!R31</f>
        <v>0</v>
      </c>
      <c r="L23" s="534">
        <f>-(Bilan_E_KP_AME_2023!R13+Bilan_E_KP_AME_2023!R14+Bilan_E_KP_AME_2023!R15+Bilan_E_KP_AME_2023!R16)</f>
        <v>0</v>
      </c>
      <c r="M23" s="534"/>
      <c r="N23" s="534">
        <f>Bilan_E_KP_AME_2023!R22</f>
        <v>0</v>
      </c>
      <c r="O23" s="534">
        <f>Bilan_E_KP_AME_2023!R21</f>
        <v>0</v>
      </c>
      <c r="P23" s="534">
        <f>-Bilan_E_KP_AME_2023!L27</f>
        <v>0</v>
      </c>
      <c r="Q23" s="532"/>
      <c r="S23" s="532"/>
      <c r="T23" s="536"/>
      <c r="U23" s="536"/>
      <c r="V23" s="536"/>
      <c r="W23" s="536"/>
      <c r="X23" s="536"/>
    </row>
    <row r="24" spans="1:24" x14ac:dyDescent="0.25">
      <c r="A24" s="737"/>
      <c r="B24" s="1" t="s">
        <v>32</v>
      </c>
      <c r="C24" s="17">
        <f>Bilan_E_KP_AME_2023!G18-C45-(Bilan_E_KP_AME_2023!G20+Bilan_E_KP_AME_2023!G19)</f>
        <v>362.98262060990049</v>
      </c>
      <c r="D24" s="531"/>
      <c r="E24" s="33">
        <f>Bilan_E_KP_AME_2023!G30</f>
        <v>5.1459674063225336</v>
      </c>
      <c r="F24" s="533"/>
      <c r="G24" s="17">
        <f t="shared" si="1"/>
        <v>357.83665320357795</v>
      </c>
      <c r="H24" s="533"/>
      <c r="I24" s="34"/>
      <c r="J24" s="533"/>
      <c r="K24" s="535">
        <f>Bilan_E_KP_AME_2023!G31</f>
        <v>4.3041417463624567</v>
      </c>
      <c r="L24" s="535"/>
      <c r="M24" s="535">
        <f>Bilan_E_KP_AME_2023!G28</f>
        <v>0.3688106228045655</v>
      </c>
      <c r="N24" s="535">
        <f>Bilan_E_KP_AME_2023!G22</f>
        <v>17.132629973754788</v>
      </c>
      <c r="O24" s="535">
        <f>Bilan_E_KP_AME_2023!G21</f>
        <v>18.775665399239546</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38" t="s">
        <v>14</v>
      </c>
      <c r="B26" s="1" t="s">
        <v>21</v>
      </c>
      <c r="C26" s="17">
        <f>Bilan_E_KP_AME_2023!M22</f>
        <v>0.22730502357401322</v>
      </c>
      <c r="D26" s="512"/>
      <c r="E26" s="190">
        <f>C26*F$35</f>
        <v>2.6860693409832694E-2</v>
      </c>
      <c r="F26" s="512"/>
      <c r="G26" s="33">
        <f t="shared" ref="G26:G31" si="2">C26-E26</f>
        <v>0.20044433016418053</v>
      </c>
      <c r="H26" s="512"/>
      <c r="I26" s="1"/>
      <c r="J26" s="512"/>
      <c r="K26" s="512"/>
      <c r="L26" s="512"/>
      <c r="M26" s="512"/>
      <c r="N26" s="512"/>
      <c r="O26" s="512"/>
      <c r="P26" s="512"/>
      <c r="Q26" s="512"/>
      <c r="R26" s="498"/>
      <c r="S26" s="512"/>
      <c r="T26" s="512"/>
      <c r="U26" s="512"/>
      <c r="V26" s="512"/>
      <c r="W26" s="512"/>
      <c r="X26" s="512"/>
    </row>
    <row r="27" spans="1:24" x14ac:dyDescent="0.25">
      <c r="A27" s="738"/>
      <c r="B27" s="1" t="s">
        <v>22</v>
      </c>
      <c r="C27" s="17">
        <f>Bilan_E_KP_AME_2023!K18-Bilan_E_KP_AME_2023!K21-Bilan_E_KP_AME_2023!K34-(Bilan_E_KP_AME_2023!Q20+Bilan_E_KP_AME_2023!Q19+Bilan_E_KP_AME_2023!K20+Bilan_E_KP_AME_2023!K19)</f>
        <v>12.634918493637201</v>
      </c>
      <c r="D27" s="87"/>
      <c r="E27" s="190">
        <f t="shared" ref="E27:E34" si="3">C27*F$35</f>
        <v>1.4930715853946226</v>
      </c>
      <c r="F27" s="87"/>
      <c r="G27" s="33">
        <f t="shared" si="2"/>
        <v>11.141846908242579</v>
      </c>
      <c r="H27" s="87"/>
      <c r="I27" s="500"/>
      <c r="J27" s="87"/>
      <c r="K27" s="87"/>
      <c r="L27" s="87"/>
      <c r="M27" s="87"/>
      <c r="N27" s="87"/>
      <c r="O27" s="87"/>
      <c r="P27" s="87"/>
      <c r="Q27" s="87"/>
      <c r="R27" s="498"/>
      <c r="S27" s="87"/>
      <c r="T27" s="87"/>
      <c r="U27" s="87"/>
      <c r="V27" s="87"/>
      <c r="W27" s="87"/>
      <c r="X27" s="87"/>
    </row>
    <row r="28" spans="1:24" x14ac:dyDescent="0.25">
      <c r="A28" s="738"/>
      <c r="B28" s="1" t="s">
        <v>26</v>
      </c>
      <c r="C28" s="17"/>
      <c r="D28" s="87"/>
      <c r="E28" s="190">
        <f t="shared" si="3"/>
        <v>0</v>
      </c>
      <c r="F28" s="87"/>
      <c r="G28" s="33">
        <f>C28-E28</f>
        <v>0</v>
      </c>
      <c r="H28" s="87"/>
      <c r="I28" s="1"/>
      <c r="J28" s="87"/>
      <c r="K28" s="87"/>
      <c r="L28" s="87"/>
      <c r="M28" s="87"/>
      <c r="N28" s="87"/>
      <c r="O28" s="87"/>
      <c r="P28" s="87"/>
      <c r="Q28" s="87"/>
      <c r="R28" s="498"/>
      <c r="S28" s="87"/>
      <c r="T28" s="87"/>
      <c r="U28" s="87"/>
      <c r="V28" s="87"/>
      <c r="W28" s="87"/>
      <c r="X28" s="87"/>
    </row>
    <row r="29" spans="1:24" x14ac:dyDescent="0.25">
      <c r="A29" s="738"/>
      <c r="B29" s="1" t="s">
        <v>23</v>
      </c>
      <c r="C29" s="17">
        <f>Bilan_E_KP_AME_2023!J22</f>
        <v>14.734948238156928</v>
      </c>
      <c r="D29" s="87"/>
      <c r="E29" s="190">
        <f t="shared" si="3"/>
        <v>1.7412326433076539</v>
      </c>
      <c r="F29" s="87"/>
      <c r="G29" s="33">
        <f t="shared" si="2"/>
        <v>12.993715594849274</v>
      </c>
      <c r="H29" s="87"/>
      <c r="I29" s="1"/>
      <c r="J29" s="87"/>
      <c r="K29" s="87"/>
      <c r="L29" s="87"/>
      <c r="M29" s="87"/>
      <c r="N29" s="87"/>
      <c r="O29" s="87"/>
      <c r="P29" s="87"/>
      <c r="Q29" s="87"/>
      <c r="R29" s="498"/>
      <c r="S29" s="87"/>
      <c r="T29" s="87"/>
      <c r="U29" s="87"/>
      <c r="V29" s="87"/>
      <c r="W29" s="87"/>
      <c r="X29" s="87"/>
    </row>
    <row r="30" spans="1:24" x14ac:dyDescent="0.25">
      <c r="A30" s="738"/>
      <c r="B30" s="1" t="s">
        <v>24</v>
      </c>
      <c r="C30" s="17">
        <f>Bilan_E_KP_AME_2023!O22</f>
        <v>2.3801724763059897</v>
      </c>
      <c r="D30" s="86">
        <f>SUM(C26:C34)</f>
        <v>47.907165102808392</v>
      </c>
      <c r="E30" s="190">
        <f t="shared" si="3"/>
        <v>0.2812655969645127</v>
      </c>
      <c r="F30" s="86">
        <f>Bilan_E_KP_AME_2023!S22</f>
        <v>5.6612020875190572</v>
      </c>
      <c r="G30" s="33">
        <f t="shared" si="2"/>
        <v>2.0989068793414769</v>
      </c>
      <c r="H30" s="86">
        <f>SUM(G26:G34)</f>
        <v>42.24596301528932</v>
      </c>
      <c r="I30" s="1"/>
      <c r="J30" s="86">
        <f>H30</f>
        <v>42.24596301528932</v>
      </c>
      <c r="K30" s="87">
        <f>Bilan_E_KP_AME_2023!Q31</f>
        <v>3.2740395369373112</v>
      </c>
      <c r="L30" s="87"/>
      <c r="M30" s="87">
        <f>Bilan_E_KP_AME_2023!K28</f>
        <v>4.0111846923828126E-3</v>
      </c>
      <c r="N30" s="87"/>
      <c r="O30" s="87"/>
      <c r="P30" s="87"/>
      <c r="Q30" s="86">
        <f>J30-K30-L30-M30-N30-O30-P30</f>
        <v>38.96791229365963</v>
      </c>
      <c r="R30" s="508">
        <f>Q30-S30</f>
        <v>2.7283295480295067E-2</v>
      </c>
      <c r="S30" s="86">
        <f>SUM(T27:X34)</f>
        <v>38.940628998179335</v>
      </c>
      <c r="T30" s="87">
        <f>Bilan_E_KP_AME_2023!Q$38</f>
        <v>0</v>
      </c>
      <c r="U30" s="87">
        <f>Bilan_E_KP_AME_2023!Q$34</f>
        <v>17.201720519477085</v>
      </c>
      <c r="V30" s="87">
        <f>Bilan_E_KP_AME_2023!Q$36</f>
        <v>15.952552032300854</v>
      </c>
      <c r="W30" s="87">
        <f>Bilan_E_KP_AME_2023!Q$37</f>
        <v>5.7863564464014026</v>
      </c>
      <c r="X30" s="87">
        <f>Bilan_E_KP_AME_2023!Q$35</f>
        <v>0</v>
      </c>
    </row>
    <row r="31" spans="1:24" x14ac:dyDescent="0.25">
      <c r="A31" s="738"/>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38"/>
      <c r="B32" s="1" t="s">
        <v>29</v>
      </c>
      <c r="C32" s="17">
        <f>Bilan_E_KP_AME_2023!G22</f>
        <v>17.132629973754788</v>
      </c>
      <c r="D32" s="86"/>
      <c r="E32" s="190">
        <f t="shared" si="3"/>
        <v>2.0245673139700431</v>
      </c>
      <c r="F32" s="86"/>
      <c r="G32" s="33">
        <f>C32-E32</f>
        <v>15.108062659784746</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Bilan_E_KP_AME_2023!F22</f>
        <v>9.7194502166343774E-2</v>
      </c>
      <c r="D33" s="86"/>
      <c r="E33" s="190">
        <f t="shared" si="3"/>
        <v>1.1485499452507264E-2</v>
      </c>
      <c r="F33" s="86"/>
      <c r="G33" s="33">
        <f t="shared" ref="G33:G34" si="4">C33-E33</f>
        <v>8.570900271383651E-2</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Bilan_E_KP_AME_2023!D22</f>
        <v>0.6999963952131163</v>
      </c>
      <c r="D34" s="88"/>
      <c r="E34" s="190">
        <f t="shared" si="3"/>
        <v>8.271875501988328E-2</v>
      </c>
      <c r="F34" s="88"/>
      <c r="G34" s="33">
        <f t="shared" si="4"/>
        <v>0.61727764019323306</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0.11817025856925917</v>
      </c>
      <c r="G35" s="17"/>
      <c r="H35" s="501"/>
      <c r="I35" s="1"/>
      <c r="J35" s="1"/>
      <c r="K35" s="1"/>
      <c r="L35" s="1"/>
      <c r="M35" s="1"/>
      <c r="N35" s="1"/>
      <c r="O35" s="1"/>
      <c r="P35" s="1"/>
      <c r="Q35" s="502"/>
      <c r="R35" s="498"/>
      <c r="U35" s="33"/>
      <c r="V35" s="33"/>
      <c r="W35" s="33"/>
    </row>
    <row r="36" spans="1:26" x14ac:dyDescent="0.25">
      <c r="A36" s="739" t="s">
        <v>34</v>
      </c>
      <c r="B36" s="1" t="s">
        <v>21</v>
      </c>
      <c r="C36" s="33">
        <v>0</v>
      </c>
      <c r="D36" s="538"/>
      <c r="E36" s="17"/>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39"/>
      <c r="B37" s="1" t="s">
        <v>23</v>
      </c>
      <c r="C37" s="33">
        <f>SUM(T37:X37)</f>
        <v>95.96410250359429</v>
      </c>
      <c r="D37" s="539"/>
      <c r="E37" s="504"/>
      <c r="F37" s="539"/>
      <c r="G37" s="17">
        <f t="shared" ref="G37:G42" si="5">C37-E37</f>
        <v>95.96410250359429</v>
      </c>
      <c r="H37" s="539"/>
      <c r="I37" s="498"/>
      <c r="J37" s="37"/>
      <c r="K37" s="35"/>
      <c r="L37" s="35"/>
      <c r="M37" s="505"/>
      <c r="N37" s="35"/>
      <c r="P37" s="35"/>
      <c r="Q37" s="541"/>
      <c r="R37" s="498"/>
      <c r="S37" s="539"/>
      <c r="T37" s="506">
        <f>Bilan_E_KP_AME_2023!J38</f>
        <v>0.53778095326873299</v>
      </c>
      <c r="U37" s="93">
        <f>Bilan_E_KP_AME_2023!J34</f>
        <v>17.070500200938145</v>
      </c>
      <c r="V37" s="506">
        <f>Bilan_E_KP_AME_2023!J36</f>
        <v>74.162865758963164</v>
      </c>
      <c r="W37" s="507">
        <f>Bilan_E_KP_AME_2023!J37</f>
        <v>4.1929555904242415</v>
      </c>
      <c r="X37" s="506">
        <f>Bilan_E_KP_AME_2023!J35</f>
        <v>0</v>
      </c>
      <c r="Y37" s="489">
        <f t="shared" ref="Y37:Y47" si="6">SUM(T37:X37)</f>
        <v>95.96410250359429</v>
      </c>
      <c r="Z37" s="489">
        <f t="shared" ref="Z37:Z44" si="7">G37-Y37</f>
        <v>0</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f>SUM(G36:G41)-E55-E56-L41-L36</f>
        <v>175.4389904670299</v>
      </c>
      <c r="R38" s="498"/>
      <c r="S38" s="539"/>
      <c r="T38" s="84">
        <v>0</v>
      </c>
      <c r="U38" s="83">
        <v>0</v>
      </c>
      <c r="V38" s="84">
        <v>0</v>
      </c>
      <c r="W38" s="91">
        <v>0</v>
      </c>
      <c r="X38" s="91">
        <v>0</v>
      </c>
      <c r="Y38" s="489">
        <f t="shared" si="6"/>
        <v>0</v>
      </c>
      <c r="Z38" s="489">
        <f t="shared" si="7"/>
        <v>0</v>
      </c>
    </row>
    <row r="39" spans="1:26" x14ac:dyDescent="0.25">
      <c r="A39" s="739"/>
      <c r="B39" s="1" t="s">
        <v>35</v>
      </c>
      <c r="C39" s="33">
        <f>SUM(T39:X39)</f>
        <v>2.4242291286961541</v>
      </c>
      <c r="D39" s="539"/>
      <c r="E39" s="35"/>
      <c r="F39" s="539"/>
      <c r="G39" s="17">
        <f t="shared" si="5"/>
        <v>2.4242291286961541</v>
      </c>
      <c r="H39" s="539"/>
      <c r="I39" s="35"/>
      <c r="J39" s="37"/>
      <c r="K39" s="35"/>
      <c r="L39" s="35"/>
      <c r="M39" s="37"/>
      <c r="N39" s="35"/>
      <c r="O39" s="35"/>
      <c r="P39" s="35"/>
      <c r="Q39" s="541"/>
      <c r="R39" s="498"/>
      <c r="S39" s="539"/>
      <c r="T39" s="84">
        <f>Bilan_E_KP_AME_2023!O38</f>
        <v>9.2576225379409571E-2</v>
      </c>
      <c r="U39" s="83">
        <f>Bilan_E_KP_AME_2023!O34</f>
        <v>3.8591468753626534E-4</v>
      </c>
      <c r="V39" s="84">
        <f>Bilan_E_KP_AME_2023!O36</f>
        <v>1.3360751473174615</v>
      </c>
      <c r="W39" s="91">
        <f>Bilan_E_KP_AME_2023!O37</f>
        <v>0.99519184131174698</v>
      </c>
      <c r="X39" s="91">
        <f>Bilan_E_KP_AME_2023!O35</f>
        <v>0</v>
      </c>
      <c r="Y39" s="489">
        <f t="shared" si="6"/>
        <v>2.4242291286961541</v>
      </c>
      <c r="Z39" s="489">
        <f t="shared" si="7"/>
        <v>0</v>
      </c>
    </row>
    <row r="40" spans="1:26" x14ac:dyDescent="0.25">
      <c r="A40" s="739"/>
      <c r="B40" s="1" t="s">
        <v>36</v>
      </c>
      <c r="C40" s="33">
        <f>Bilan_E_KP_AME_2023!N12</f>
        <v>36.514651680131124</v>
      </c>
      <c r="D40" s="539"/>
      <c r="E40" s="35"/>
      <c r="F40" s="539"/>
      <c r="G40" s="17">
        <f t="shared" si="5"/>
        <v>36.514651680131124</v>
      </c>
      <c r="H40" s="539"/>
      <c r="I40" s="35"/>
      <c r="J40" s="37"/>
      <c r="K40" s="35"/>
      <c r="L40" s="35"/>
      <c r="M40" s="37"/>
      <c r="N40" s="35"/>
      <c r="O40" s="35"/>
      <c r="P40" s="35"/>
      <c r="Q40" s="541"/>
      <c r="R40" s="498"/>
      <c r="S40" s="539"/>
      <c r="T40" s="83">
        <f>Bilan_E_KP_AME_2023!N$38</f>
        <v>0</v>
      </c>
      <c r="U40" s="83">
        <f>Bilan_E_KP_AME_2023!N$34</f>
        <v>0</v>
      </c>
      <c r="V40" s="83">
        <f>Bilan_E_KP_AME_2023!N$36</f>
        <v>30.690291714133512</v>
      </c>
      <c r="W40" s="83">
        <f>Bilan_E_KP_AME_2023!N$37</f>
        <v>5.8243599659976146</v>
      </c>
      <c r="X40" s="84">
        <f>Bilan_E_KP_AME_2023!N$35</f>
        <v>0</v>
      </c>
      <c r="Y40" s="489">
        <f t="shared" si="6"/>
        <v>36.514651680131124</v>
      </c>
      <c r="Z40" s="489">
        <f t="shared" si="7"/>
        <v>0</v>
      </c>
    </row>
    <row r="41" spans="1:26" x14ac:dyDescent="0.25">
      <c r="A41" s="739"/>
      <c r="B41" s="1" t="s">
        <v>37</v>
      </c>
      <c r="C41" s="33">
        <f>Bilan_E_KP_AME_2023!L12+Bilan_E_KP_AME_2023!J26+Bilan_E_KP_AME_2023!J27-Bilan_E_KP_AME_2023!L21</f>
        <v>39.523628531639027</v>
      </c>
      <c r="D41" s="191">
        <f>SUM(C36:C47)</f>
        <v>934.79005836432771</v>
      </c>
      <c r="E41" s="38"/>
      <c r="F41" s="191">
        <f>SUM(E36:E47)</f>
        <v>28.942766247169097</v>
      </c>
      <c r="G41" s="17">
        <f t="shared" si="5"/>
        <v>39.523628531639027</v>
      </c>
      <c r="H41" s="191">
        <f>SUM(G36:G47)</f>
        <v>905.84729211715853</v>
      </c>
      <c r="I41" s="35"/>
      <c r="J41" s="37"/>
      <c r="K41" s="35"/>
      <c r="L41" s="37">
        <f>-SUM(Bilan_E_KP_AME_2023!L13:L16)</f>
        <v>-1.012378622969333</v>
      </c>
      <c r="M41" s="35"/>
      <c r="N41" s="35"/>
      <c r="O41" s="35"/>
      <c r="P41" s="35"/>
      <c r="Q41" s="541"/>
      <c r="R41" s="508">
        <f>SUM(Q36:Q47)-S41</f>
        <v>2.8391371027964851E-3</v>
      </c>
      <c r="S41" s="191">
        <f>SUM(T36:X46)</f>
        <v>719.48340418958048</v>
      </c>
      <c r="T41" s="83">
        <f>Bilan_E_KP_AME_2023!L$38</f>
        <v>2.2064360979425728</v>
      </c>
      <c r="U41" s="83">
        <f>Bilan_E_KP_AME_2023!L$34</f>
        <v>0.86581751367187498</v>
      </c>
      <c r="V41" s="83">
        <f>Bilan_E_KP_AME_2023!L$36</f>
        <v>0</v>
      </c>
      <c r="W41" s="83">
        <f>Bilan_E_KP_AME_2023!L$37</f>
        <v>0</v>
      </c>
      <c r="X41" s="84">
        <f>Bilan_E_KP_AME_2023!L$35</f>
        <v>37.460895129674924</v>
      </c>
      <c r="Y41" s="489">
        <f t="shared" si="6"/>
        <v>40.533148741289374</v>
      </c>
      <c r="Z41" s="489">
        <f>G41-Y41-L41</f>
        <v>2.8584133189859529E-3</v>
      </c>
    </row>
    <row r="42" spans="1:26" x14ac:dyDescent="0.25">
      <c r="A42" s="739"/>
      <c r="B42" s="1" t="s">
        <v>38</v>
      </c>
      <c r="C42" s="33">
        <f>Bilan_E_KP_AME_2023!E18+Bilan_E_KP_AME_2023!F18-Bilan_E_KP_AME_2023!F21-Bilan_E_KP_AME_2023!F22-E54-SUM(T43:X43)-(Bilan_E_KP_AME_2023!E20+Bilan_E_KP_AME_2023!F20+Bilan_E_KP_AME_2023!E19+Bilan_E_KP_AME_2023!F19)</f>
        <v>430.60588971004984</v>
      </c>
      <c r="D42" s="539"/>
      <c r="E42" s="17">
        <f>Bilan_E_KP_AME_2023!F30+Bilan_E_KP_AME_2023!S25+Bilan_E_KP_AME_2023!F29+Bilan_E_KP_AME_2023!E29</f>
        <v>28.942766247169097</v>
      </c>
      <c r="F42" s="539"/>
      <c r="G42" s="17">
        <f t="shared" si="5"/>
        <v>401.66312346288072</v>
      </c>
      <c r="H42" s="539"/>
      <c r="I42" s="498"/>
      <c r="J42" s="37"/>
      <c r="K42" s="35"/>
      <c r="L42" s="35"/>
      <c r="M42" s="35"/>
      <c r="N42" s="35"/>
      <c r="O42" s="35"/>
      <c r="P42" s="35"/>
      <c r="Q42" s="36">
        <f>G42</f>
        <v>401.66312346288072</v>
      </c>
      <c r="R42" s="498"/>
      <c r="S42" s="539"/>
      <c r="T42" s="83">
        <v>0</v>
      </c>
      <c r="U42" s="83">
        <v>0</v>
      </c>
      <c r="V42" s="83">
        <v>0</v>
      </c>
      <c r="W42" s="83">
        <v>0</v>
      </c>
      <c r="X42" s="84">
        <f>Bilan_E_KP_AME_2023!F35</f>
        <v>401.66314273909671</v>
      </c>
      <c r="Y42" s="489">
        <f t="shared" si="6"/>
        <v>401.66314273909671</v>
      </c>
      <c r="Z42" s="489">
        <f>Q42-SUM(T42:X42)</f>
        <v>-1.927621599406848E-5</v>
      </c>
    </row>
    <row r="43" spans="1:26" x14ac:dyDescent="0.25">
      <c r="A43" s="739"/>
      <c r="B43" s="1" t="s">
        <v>39</v>
      </c>
      <c r="C43" s="33">
        <f>Bilan_E_KP_AME_2023!F41+SUM(T43:X43)</f>
        <v>266.07456588845696</v>
      </c>
      <c r="D43" s="539"/>
      <c r="E43" s="38"/>
      <c r="F43" s="539"/>
      <c r="G43" s="17">
        <f>C43-E43</f>
        <v>266.07456588845696</v>
      </c>
      <c r="H43" s="539"/>
      <c r="I43" s="35"/>
      <c r="J43" s="37"/>
      <c r="K43" s="35"/>
      <c r="L43" s="35"/>
      <c r="M43" s="35"/>
      <c r="N43" s="35"/>
      <c r="O43" s="35"/>
      <c r="P43" s="35"/>
      <c r="Q43" s="36">
        <f>G43-Bilan_E_KP_AME_2023!F41</f>
        <v>132.96711825598967</v>
      </c>
      <c r="R43" s="498"/>
      <c r="S43" s="539"/>
      <c r="T43" s="83">
        <f>Bilan_E_KP_AME_2023!F38</f>
        <v>34.857709492285672</v>
      </c>
      <c r="U43" s="83">
        <f>Bilan_E_KP_AME_2023!F34</f>
        <v>28.289566768434444</v>
      </c>
      <c r="V43" s="83">
        <f>Bilan_E_KP_AME_2023!F36</f>
        <v>44.949327937265863</v>
      </c>
      <c r="W43" s="83">
        <f>Bilan_E_KP_AME_2023!F37</f>
        <v>24.870514058003725</v>
      </c>
      <c r="X43" s="84">
        <v>0</v>
      </c>
      <c r="Y43" s="489">
        <f t="shared" si="6"/>
        <v>132.9671182559897</v>
      </c>
      <c r="Z43" s="489">
        <f>Q43-SUM(T43:X43)</f>
        <v>0</v>
      </c>
    </row>
    <row r="44" spans="1:26" x14ac:dyDescent="0.25">
      <c r="A44" s="739"/>
      <c r="B44" s="1" t="s">
        <v>40</v>
      </c>
      <c r="C44" s="33">
        <f>SUM(T44:X44)</f>
        <v>1.6812193044902295</v>
      </c>
      <c r="D44" s="539"/>
      <c r="E44" s="38"/>
      <c r="F44" s="539"/>
      <c r="G44" s="17">
        <f t="shared" si="1"/>
        <v>1.6812193044902295</v>
      </c>
      <c r="H44" s="539"/>
      <c r="I44" s="35"/>
      <c r="J44" s="37"/>
      <c r="K44" s="35"/>
      <c r="L44" s="35"/>
      <c r="M44" s="35"/>
      <c r="N44" s="35"/>
      <c r="O44" s="35"/>
      <c r="P44" s="35"/>
      <c r="Q44" s="36">
        <f>G44-Bilan_E_KP_AME_2023!K41</f>
        <v>1.6812193044902295</v>
      </c>
      <c r="R44" s="498"/>
      <c r="S44" s="539"/>
      <c r="T44" s="83">
        <f>Bilan_E_KP_AME_2023!K$38</f>
        <v>0</v>
      </c>
      <c r="U44" s="83">
        <f>Bilan_E_KP_AME_2023!K34</f>
        <v>1.6812193044902295</v>
      </c>
      <c r="V44" s="83">
        <f>Bilan_E_KP_AME_2023!K$36</f>
        <v>0</v>
      </c>
      <c r="W44" s="83">
        <v>0</v>
      </c>
      <c r="X44" s="84">
        <f>Bilan_E_KP_AME_2023!K$35</f>
        <v>0</v>
      </c>
      <c r="Y44" s="489">
        <f t="shared" si="6"/>
        <v>1.6812193044902295</v>
      </c>
      <c r="Z44" s="489">
        <f t="shared" si="7"/>
        <v>0</v>
      </c>
    </row>
    <row r="45" spans="1:26" x14ac:dyDescent="0.25">
      <c r="A45" s="739"/>
      <c r="B45" s="1" t="s">
        <v>41</v>
      </c>
      <c r="C45" s="33">
        <f>E53</f>
        <v>12.012561812227283</v>
      </c>
      <c r="D45" s="539"/>
      <c r="E45" s="38"/>
      <c r="F45" s="539"/>
      <c r="G45" s="17">
        <f t="shared" si="1"/>
        <v>12.012561812227283</v>
      </c>
      <c r="H45" s="539"/>
      <c r="I45" s="35"/>
      <c r="J45" s="37"/>
      <c r="K45" s="35"/>
      <c r="L45" s="35"/>
      <c r="M45" s="35"/>
      <c r="N45" s="35"/>
      <c r="O45" s="35"/>
      <c r="P45" s="35"/>
      <c r="Q45" s="36">
        <f>G45-Bilan_E_KP_AME_2023!G41</f>
        <v>0</v>
      </c>
      <c r="R45" s="498"/>
      <c r="S45" s="539"/>
      <c r="T45" s="84">
        <v>0</v>
      </c>
      <c r="U45" s="83">
        <v>0</v>
      </c>
      <c r="V45" s="84">
        <v>0</v>
      </c>
      <c r="W45" s="92">
        <v>0</v>
      </c>
      <c r="X45" s="84">
        <v>0</v>
      </c>
      <c r="Y45" s="489">
        <f t="shared" si="6"/>
        <v>0</v>
      </c>
      <c r="Z45" s="489">
        <f>Q45-Y45</f>
        <v>0</v>
      </c>
    </row>
    <row r="46" spans="1:26" x14ac:dyDescent="0.25">
      <c r="A46" s="739"/>
      <c r="B46" s="1" t="s">
        <v>42</v>
      </c>
      <c r="C46" s="33">
        <f>Bilan_E_KP_AME_2023!D18-C18-C34</f>
        <v>49.989209805042663</v>
      </c>
      <c r="D46" s="539"/>
      <c r="E46" s="511"/>
      <c r="F46" s="539"/>
      <c r="G46" s="17">
        <f>C46-E46</f>
        <v>49.989209805042663</v>
      </c>
      <c r="H46" s="539"/>
      <c r="I46" s="38"/>
      <c r="J46" s="37"/>
      <c r="K46" s="35"/>
      <c r="L46" s="35"/>
      <c r="M46" s="35"/>
      <c r="N46" s="35"/>
      <c r="O46" s="35"/>
      <c r="P46" s="35"/>
      <c r="Q46" s="36">
        <f>G46-(Bilan_E_KP_AME_2023!D41+Bilan_E_KP_AME_2023!D29+Bilan_E_KP_AME_2023!D30)</f>
        <v>7.7357918362926625</v>
      </c>
      <c r="R46" s="498"/>
      <c r="S46" s="539"/>
      <c r="T46" s="506">
        <f>Bilan_E_KP_AME_2023!D38</f>
        <v>0</v>
      </c>
      <c r="U46" s="93">
        <f>Bilan_E_KP_AME_2023!D34</f>
        <v>7.7357918362926714</v>
      </c>
      <c r="V46" s="506">
        <f>Bilan_E_KP_AME_2023!D36</f>
        <v>0</v>
      </c>
      <c r="W46" s="507">
        <f>Bilan_E_KP_AME_2023!D37</f>
        <v>0</v>
      </c>
      <c r="X46" s="506">
        <f>Bilan_E_KP_AME_2023!D35</f>
        <v>0</v>
      </c>
      <c r="Y46" s="489">
        <f t="shared" si="6"/>
        <v>7.7357918362926714</v>
      </c>
      <c r="Z46" s="489">
        <f>Q46-Y46</f>
        <v>-8.8817841970012523E-15</v>
      </c>
    </row>
    <row r="47" spans="1:26" x14ac:dyDescent="0.25">
      <c r="A47" s="90"/>
      <c r="B47" s="1" t="s">
        <v>31</v>
      </c>
      <c r="C47" s="33">
        <f>E57</f>
        <v>0</v>
      </c>
      <c r="D47" s="192"/>
      <c r="E47" s="511"/>
      <c r="F47" s="192"/>
      <c r="G47" s="17">
        <f>C47-E47</f>
        <v>0</v>
      </c>
      <c r="H47" s="192"/>
      <c r="I47" s="38"/>
      <c r="J47" s="37"/>
      <c r="K47" s="35"/>
      <c r="L47" s="35"/>
      <c r="M47" s="35"/>
      <c r="N47" s="35"/>
      <c r="O47" s="35"/>
      <c r="P47" s="35"/>
      <c r="Q47" s="542">
        <f>G47-Bilan_E_KP_AME_2023!R41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C5-L13-SUM(L21:L24)-L30-L41-Bilan_E_KP_AME_2023!S18</f>
        <v>0.20438153623263133</v>
      </c>
      <c r="D49" s="1"/>
      <c r="E49" s="34">
        <f>SUM(E7:E47)+I13-Bilan_E_KP_AME_2023!S32+K13+SUM(K21:K24)+K30+Bilan_E_KP_AME_2023!D29+Bilan_E_KP_AME_2023!D30</f>
        <v>0.20438153623292976</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497.09059378637085</v>
      </c>
    </row>
    <row r="52" spans="1:19" x14ac:dyDescent="0.25">
      <c r="A52" s="21"/>
      <c r="B52" s="1" t="s">
        <v>44</v>
      </c>
      <c r="C52" s="44"/>
      <c r="D52" s="1"/>
      <c r="E52" s="39">
        <f>Bilan_E_KP_AME_2023!D41+Bilan_E_KP_AME_2023!D29+Bilan_E_KP_AME_2023!D30</f>
        <v>42.25341796875</v>
      </c>
      <c r="F52" s="187"/>
      <c r="G52" s="1"/>
      <c r="H52" s="1"/>
      <c r="I52" s="30"/>
      <c r="J52" s="17"/>
      <c r="K52" s="17"/>
      <c r="L52" s="21"/>
      <c r="M52" s="1"/>
      <c r="N52" s="17"/>
      <c r="O52" s="17"/>
      <c r="P52" s="17"/>
      <c r="Q52" s="1"/>
      <c r="S52" s="33"/>
    </row>
    <row r="53" spans="1:19" x14ac:dyDescent="0.25">
      <c r="A53" s="21"/>
      <c r="B53" s="1" t="s">
        <v>41</v>
      </c>
      <c r="C53" s="45"/>
      <c r="D53" s="17"/>
      <c r="E53" s="433">
        <f>Bilan_E_KP_AME_2023!G41+Bilan_E_KP_AME_2023!G29</f>
        <v>12.012561812227283</v>
      </c>
      <c r="F53" s="187"/>
      <c r="G53" s="1"/>
      <c r="H53" s="1"/>
      <c r="I53" s="30"/>
      <c r="J53" s="17"/>
      <c r="K53" s="17"/>
      <c r="L53" s="21"/>
      <c r="M53" s="1"/>
      <c r="N53" s="17"/>
      <c r="O53" s="17"/>
      <c r="P53" s="17"/>
      <c r="Q53" s="1"/>
    </row>
    <row r="54" spans="1:19" x14ac:dyDescent="0.25">
      <c r="A54" s="21"/>
      <c r="B54" s="1" t="s">
        <v>39</v>
      </c>
      <c r="C54" s="45"/>
      <c r="D54" s="17"/>
      <c r="E54" s="435">
        <f>Bilan_E_KP_AME_2023!F41</f>
        <v>133.10744763246728</v>
      </c>
      <c r="F54" s="187"/>
      <c r="G54" s="1"/>
      <c r="H54" s="1"/>
      <c r="I54" s="30"/>
      <c r="J54" s="17"/>
      <c r="K54" s="17"/>
      <c r="L54" s="21"/>
      <c r="M54" s="21"/>
      <c r="N54" s="17"/>
      <c r="O54" s="17"/>
      <c r="P54" s="17"/>
      <c r="Q54" s="1"/>
    </row>
    <row r="55" spans="1:19" x14ac:dyDescent="0.25">
      <c r="B55" s="1" t="s">
        <v>21</v>
      </c>
      <c r="E55" s="434">
        <f>Bilan_E_KP_AME_2023!M41+Bilan_E_KP_AME_2023!M29</f>
        <v>0</v>
      </c>
    </row>
    <row r="56" spans="1:19" x14ac:dyDescent="0.25">
      <c r="B56" s="1" t="s">
        <v>37</v>
      </c>
      <c r="E56" s="515">
        <f>Bilan_E_KP_AME_2023!L41+Bilan_E_KP_AME_2023!L29</f>
        <v>0</v>
      </c>
    </row>
    <row r="57" spans="1:19" x14ac:dyDescent="0.25">
      <c r="B57" s="1" t="s">
        <v>31</v>
      </c>
      <c r="E57" s="515">
        <f>Bilan_E_KP_AME_2023!R41</f>
        <v>0</v>
      </c>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69D53-F4B7-4A97-BBB0-B5AF86BBCBF4}">
  <dimension ref="A1:Z57"/>
  <sheetViews>
    <sheetView topLeftCell="A16" workbookViewId="0">
      <selection activeCell="C44" sqref="C44"/>
    </sheetView>
  </sheetViews>
  <sheetFormatPr baseColWidth="10" defaultColWidth="11.42578125" defaultRowHeight="15" x14ac:dyDescent="0.25"/>
  <cols>
    <col min="2" max="2" width="25.85546875" customWidth="1"/>
    <col min="5" max="5" width="11.28515625" customWidth="1"/>
    <col min="17" max="17" width="15.85546875" bestFit="1"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2724.295673872386</v>
      </c>
      <c r="D5" s="18"/>
      <c r="E5" s="20"/>
      <c r="F5" s="494"/>
      <c r="G5" s="21"/>
      <c r="H5" s="493"/>
      <c r="I5" s="21"/>
      <c r="J5" s="22"/>
      <c r="K5" s="23"/>
      <c r="L5" s="14"/>
      <c r="M5" s="14"/>
      <c r="N5" s="15"/>
      <c r="O5" s="16"/>
      <c r="P5" s="16"/>
      <c r="Q5" s="24">
        <f>Q13+Q22+Q30+Q42+Q46+Q38+Q43</f>
        <v>1506.0785873571449</v>
      </c>
      <c r="R5" s="487"/>
      <c r="S5" s="79">
        <f>SUM(S13,S22,S27:S32,S41)</f>
        <v>1507.7975880545159</v>
      </c>
      <c r="T5" s="79">
        <f>SUM(T8:T46)</f>
        <v>48.285830055440421</v>
      </c>
      <c r="U5" s="79">
        <f>SUM(U8:U46)</f>
        <v>293.94325612951479</v>
      </c>
      <c r="V5" s="79">
        <f>SUM(V8:V46)</f>
        <v>454.79689587774709</v>
      </c>
      <c r="W5" s="173">
        <f>SUM(W8:W46)</f>
        <v>237.78986949513609</v>
      </c>
      <c r="X5" s="79">
        <f>SUM(X8:X46)</f>
        <v>472.98173649667729</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f>(([12]Offre_calc!$M$81+[12]Offre_calc!$M$82+[12]Offre_calc!$M$127+[12]Offre_calc!$M$128)/([12]Offre_calc!$M$78+[12]Offre_calc!$M$124))*Bilan_E_KP_AME_2025!I$21</f>
        <v>64.725058264068068</v>
      </c>
      <c r="D7" s="516"/>
      <c r="E7" s="28">
        <v>0</v>
      </c>
      <c r="F7" s="516"/>
      <c r="G7" s="17">
        <f>C7-E7</f>
        <v>64.725058264068068</v>
      </c>
      <c r="H7" s="516"/>
      <c r="I7" s="21"/>
      <c r="J7" s="516"/>
      <c r="K7" s="523"/>
      <c r="L7" s="523"/>
      <c r="M7" s="523"/>
      <c r="N7" s="523"/>
      <c r="O7" s="523"/>
      <c r="P7" s="513"/>
      <c r="Q7" s="526"/>
      <c r="R7" s="498"/>
      <c r="S7" s="526"/>
      <c r="T7" s="523"/>
      <c r="U7" s="523"/>
      <c r="V7" s="523"/>
      <c r="W7" s="523"/>
      <c r="X7" s="523"/>
    </row>
    <row r="8" spans="1:24" x14ac:dyDescent="0.25">
      <c r="A8" s="736"/>
      <c r="B8" s="1" t="s">
        <v>18</v>
      </c>
      <c r="C8" s="486">
        <f>(([12]Offre_calc!$M$80+[12]Offre_calc!$M$126)/([12]Offre_calc!$M$78+[12]Offre_calc!$M$124))*Bilan_E_KP_AME_2025!I$21</f>
        <v>61.993288439080395</v>
      </c>
      <c r="D8" s="81"/>
      <c r="E8" s="28">
        <v>0</v>
      </c>
      <c r="F8" s="81"/>
      <c r="G8" s="17">
        <f t="shared" ref="G8:G19" si="0">C8-E8</f>
        <v>61.993288439080395</v>
      </c>
      <c r="H8" s="81"/>
      <c r="I8" s="21"/>
      <c r="J8" s="81"/>
      <c r="K8" s="524"/>
      <c r="L8" s="524"/>
      <c r="M8" s="524"/>
      <c r="N8" s="524"/>
      <c r="O8" s="524"/>
      <c r="P8" s="29"/>
      <c r="Q8" s="527"/>
      <c r="R8" s="498"/>
      <c r="S8" s="527"/>
      <c r="T8" s="524"/>
      <c r="U8" s="524"/>
      <c r="V8" s="524"/>
      <c r="W8" s="524"/>
      <c r="X8" s="524"/>
    </row>
    <row r="9" spans="1:24" x14ac:dyDescent="0.25">
      <c r="A9" s="736"/>
      <c r="B9" s="1" t="s">
        <v>19</v>
      </c>
      <c r="C9" s="486">
        <f>(([12]Offre_calc!$M$79+[12]Offre_calc!$M$125)/([12]Offre_calc!$M$78+[12]Offre_calc!$M$124))*Bilan_E_KP_AME_2025!I$21</f>
        <v>26.423368842886727</v>
      </c>
      <c r="D9" s="81"/>
      <c r="E9" s="28">
        <v>0</v>
      </c>
      <c r="F9" s="81"/>
      <c r="G9" s="17">
        <f t="shared" si="0"/>
        <v>26.423368842886727</v>
      </c>
      <c r="H9" s="81"/>
      <c r="I9" s="21"/>
      <c r="J9" s="81"/>
      <c r="K9" s="524"/>
      <c r="L9" s="524"/>
      <c r="M9" s="524"/>
      <c r="N9" s="524"/>
      <c r="O9" s="524"/>
      <c r="P9" s="29"/>
      <c r="Q9" s="527"/>
      <c r="R9" s="498"/>
      <c r="S9" s="527"/>
      <c r="T9" s="524"/>
      <c r="U9" s="524"/>
      <c r="V9" s="524"/>
      <c r="W9" s="524"/>
      <c r="X9" s="524"/>
    </row>
    <row r="10" spans="1:24" x14ac:dyDescent="0.25">
      <c r="A10" s="736"/>
      <c r="B10" s="1" t="s">
        <v>20</v>
      </c>
      <c r="C10" s="17">
        <f>Bilan_E_KP_AME_2025!H21-(Bilan_E_KP_AME_2025!P20+Bilan_E_KP_AME_2025!P19)</f>
        <v>1190.909090909091</v>
      </c>
      <c r="D10" s="81"/>
      <c r="E10" s="28">
        <f>F13-SUM(E11:E19)</f>
        <v>795.78644248236355</v>
      </c>
      <c r="F10" s="81"/>
      <c r="G10" s="17">
        <f>C10-E10</f>
        <v>395.12264842672744</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f>Bilan_E_KP_AME_2025!M21</f>
        <v>0.47838708849063555</v>
      </c>
      <c r="D11" s="81"/>
      <c r="E11" s="28">
        <f>C11*(1-[12]Offre_calc!$M$161)</f>
        <v>0.2248419315905987</v>
      </c>
      <c r="F11" s="81"/>
      <c r="G11" s="17">
        <f t="shared" si="0"/>
        <v>0.25354515690003687</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f>Bilan_E_KP_AME_2025!K21</f>
        <v>9.4182266439786773</v>
      </c>
      <c r="D12" s="81"/>
      <c r="E12" s="28">
        <f>C12*(1-[12]Offre_calc!$M$171)</f>
        <v>7.0636699829840079</v>
      </c>
      <c r="F12" s="81"/>
      <c r="G12" s="17">
        <f t="shared" si="0"/>
        <v>2.3545566609946693</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f>Bilan_E_KP_AME_2025!J21</f>
        <v>34.217577807887082</v>
      </c>
      <c r="D13" s="81">
        <f>SUM(C7:C19)</f>
        <v>1420.9054514441093</v>
      </c>
      <c r="E13" s="28">
        <f>C13*(1-[12]Offre_calc!$M$170)</f>
        <v>25.663183355915312</v>
      </c>
      <c r="F13" s="81">
        <f>Bilan_E_KP_AME_2025!S21</f>
        <v>845.14548489572212</v>
      </c>
      <c r="G13" s="17">
        <f t="shared" si="0"/>
        <v>8.5543944519717705</v>
      </c>
      <c r="H13" s="81">
        <f>SUM(G7:G19)</f>
        <v>575.75996654838787</v>
      </c>
      <c r="I13" s="33">
        <f>Bilan_E_KP_AME_2025!P30</f>
        <v>36.290441897725728</v>
      </c>
      <c r="J13" s="81">
        <f>H13-I13</f>
        <v>539.46952465066215</v>
      </c>
      <c r="K13" s="29">
        <f>Bilan_E_KP_AME_2025!P31</f>
        <v>39.192716927085932</v>
      </c>
      <c r="L13" s="29">
        <f>-(Bilan_E_KP_AME_2025!P14+Bilan_E_KP_AME_2025!P13)</f>
        <v>64.055272794649682</v>
      </c>
      <c r="M13" s="29">
        <f>Bilan_E_KP_AME_2025!P28</f>
        <v>3.9614022827148432E-2</v>
      </c>
      <c r="N13" s="29"/>
      <c r="O13" s="29"/>
      <c r="P13" s="29"/>
      <c r="Q13" s="81">
        <f>J13-K13-L13-M13-N13-O13-P13</f>
        <v>436.18192090609938</v>
      </c>
      <c r="R13" s="508">
        <f>Q13-S13</f>
        <v>5.6843418860808015E-13</v>
      </c>
      <c r="S13" s="81">
        <f>SUM(T8:X19)</f>
        <v>436.18192090609881</v>
      </c>
      <c r="T13" s="29">
        <f>Bilan_E_KP_AME_2025!P38</f>
        <v>8.2455072704191767</v>
      </c>
      <c r="U13" s="29">
        <f>Bilan_E_KP_AME_2025!P34+Bilan_E_KP_AME_2025!P39</f>
        <v>110.31623789955354</v>
      </c>
      <c r="V13" s="29">
        <f>Bilan_E_KP_AME_2025!P36</f>
        <v>168.17343522041736</v>
      </c>
      <c r="W13" s="29">
        <f>Bilan_E_KP_AME_2025!P37</f>
        <v>131.53831129097264</v>
      </c>
      <c r="X13" s="29">
        <f>Bilan_E_KP_AME_2025!P35</f>
        <v>17.908429224736064</v>
      </c>
    </row>
    <row r="14" spans="1:24" x14ac:dyDescent="0.25">
      <c r="A14" s="736"/>
      <c r="B14" s="1" t="s">
        <v>24</v>
      </c>
      <c r="C14" s="17">
        <f>Bilan_E_KP_AME_2025!O21</f>
        <v>1.0860489583659068</v>
      </c>
      <c r="D14" s="81"/>
      <c r="E14" s="28">
        <v>0</v>
      </c>
      <c r="F14" s="81"/>
      <c r="G14" s="17">
        <f t="shared" si="0"/>
        <v>1.0860489583659068</v>
      </c>
      <c r="H14" s="81"/>
      <c r="I14" s="21"/>
      <c r="J14" s="81"/>
      <c r="K14" s="524"/>
      <c r="L14" s="524"/>
      <c r="M14" s="524"/>
      <c r="N14" s="524"/>
      <c r="O14" s="524"/>
      <c r="P14" s="29"/>
      <c r="Q14" s="527"/>
      <c r="R14" s="498"/>
      <c r="S14" s="527"/>
      <c r="T14" s="524"/>
      <c r="U14" s="524"/>
      <c r="V14" s="524"/>
      <c r="W14" s="524"/>
      <c r="X14" s="524"/>
    </row>
    <row r="15" spans="1:24" x14ac:dyDescent="0.25">
      <c r="A15" s="736"/>
      <c r="B15" s="1" t="s">
        <v>25</v>
      </c>
      <c r="C15" s="17">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36"/>
      <c r="B16" s="1" t="s">
        <v>343</v>
      </c>
      <c r="C16" s="17">
        <f>Bilan_E_KP_AME_2025!L21</f>
        <v>2.5121160238857705</v>
      </c>
      <c r="D16" s="81"/>
      <c r="E16" s="28">
        <f>C16*(1-[12]Offre_calc!$M$158)</f>
        <v>1.4067849733760316</v>
      </c>
      <c r="F16" s="81"/>
      <c r="G16" s="17">
        <f t="shared" si="0"/>
        <v>1.1053310505097389</v>
      </c>
      <c r="H16" s="81"/>
      <c r="I16" s="21"/>
      <c r="J16" s="81"/>
      <c r="K16" s="524"/>
      <c r="L16" s="524"/>
      <c r="M16" s="524"/>
      <c r="N16" s="524"/>
      <c r="O16" s="524"/>
      <c r="P16" s="29"/>
      <c r="Q16" s="527"/>
      <c r="R16" s="498"/>
      <c r="S16" s="527"/>
      <c r="T16" s="524"/>
      <c r="U16" s="524"/>
      <c r="V16" s="524"/>
      <c r="W16" s="524"/>
      <c r="X16" s="524"/>
    </row>
    <row r="17" spans="1:24" x14ac:dyDescent="0.25">
      <c r="A17" s="736"/>
      <c r="B17" s="1" t="s">
        <v>27</v>
      </c>
      <c r="C17" s="17">
        <f>Bilan_E_KP_AME_2025!F21</f>
        <v>7.8209554225929372</v>
      </c>
      <c r="D17" s="81"/>
      <c r="E17" s="28">
        <f>C17*(1-[12]Offre_calc!$M$158)</f>
        <v>4.3797350366520451</v>
      </c>
      <c r="F17" s="81"/>
      <c r="G17" s="17">
        <f t="shared" si="0"/>
        <v>3.4412203859408921</v>
      </c>
      <c r="H17" s="81"/>
      <c r="I17" s="21"/>
      <c r="J17" s="81"/>
      <c r="K17" s="524"/>
      <c r="L17" s="524"/>
      <c r="M17" s="524"/>
      <c r="N17" s="524"/>
      <c r="O17" s="524"/>
      <c r="P17" s="29"/>
      <c r="Q17" s="527"/>
      <c r="R17" s="498"/>
      <c r="S17" s="527"/>
      <c r="T17" s="524"/>
      <c r="U17" s="524"/>
      <c r="V17" s="524"/>
      <c r="W17" s="524"/>
      <c r="X17" s="524"/>
    </row>
    <row r="18" spans="1:24" x14ac:dyDescent="0.25">
      <c r="A18" s="736"/>
      <c r="B18" s="1" t="s">
        <v>28</v>
      </c>
      <c r="C18" s="17">
        <f>Bilan_E_KP_AME_2025!D21</f>
        <v>2.8307670060467731</v>
      </c>
      <c r="D18" s="81"/>
      <c r="E18" s="28">
        <f>C18*(1-[12]Offre_calc!$M$157)</f>
        <v>1.9302610951046988</v>
      </c>
      <c r="F18" s="81"/>
      <c r="G18" s="17">
        <f t="shared" si="0"/>
        <v>0.90050591094207433</v>
      </c>
      <c r="H18" s="81"/>
      <c r="I18" s="21"/>
      <c r="J18" s="81"/>
      <c r="K18" s="524"/>
      <c r="L18" s="524"/>
      <c r="M18" s="524"/>
      <c r="N18" s="524"/>
      <c r="O18" s="524"/>
      <c r="P18" s="29"/>
      <c r="Q18" s="527"/>
      <c r="R18" s="498"/>
      <c r="S18" s="527"/>
      <c r="T18" s="524"/>
      <c r="U18" s="524"/>
      <c r="V18" s="524"/>
      <c r="W18" s="524"/>
      <c r="X18" s="524"/>
    </row>
    <row r="19" spans="1:24" x14ac:dyDescent="0.25">
      <c r="A19" s="736"/>
      <c r="B19" s="1" t="s">
        <v>260</v>
      </c>
      <c r="C19" s="17">
        <f>Bilan_E_KP_AME_2025!G21+Bilan_E_KP_AME_2025!R21</f>
        <v>18.490566037735849</v>
      </c>
      <c r="D19" s="82"/>
      <c r="E19" s="28">
        <f>C19*(1-[12]Offre_calc!$M$160)</f>
        <v>8.6905660377358487</v>
      </c>
      <c r="F19" s="82"/>
      <c r="G19" s="17">
        <f t="shared" si="0"/>
        <v>9.8000000000000007</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0.33178237654152681</v>
      </c>
      <c r="H20" s="499"/>
      <c r="I20" s="17"/>
      <c r="J20" s="1"/>
      <c r="K20" s="17"/>
      <c r="L20" s="1"/>
      <c r="M20" s="1"/>
      <c r="N20" s="1"/>
      <c r="O20" s="1"/>
      <c r="P20" s="1"/>
      <c r="Q20" s="499"/>
      <c r="R20" s="498"/>
      <c r="S20" s="408"/>
      <c r="T20" s="495"/>
      <c r="U20" s="408"/>
      <c r="V20" s="495"/>
      <c r="W20" s="408"/>
      <c r="X20" s="495"/>
    </row>
    <row r="21" spans="1:24" x14ac:dyDescent="0.25">
      <c r="A21" s="737" t="s">
        <v>13</v>
      </c>
      <c r="B21" s="1" t="s">
        <v>21</v>
      </c>
      <c r="C21" s="17">
        <f>Bilan_E_KP_AME_2025!J23+Bilan_E_KP_AME_2025!M12</f>
        <v>8.2451986166011366</v>
      </c>
      <c r="D21" s="529"/>
      <c r="E21" s="33">
        <f>Bilan_E_KP_AME_2025!S23+Bilan_E_KP_AME_2025!M30</f>
        <v>1.0667723264940798</v>
      </c>
      <c r="F21" s="529"/>
      <c r="G21" s="17">
        <f t="shared" ref="G21:G45" si="1">C21-E21</f>
        <v>7.1784262901070566</v>
      </c>
      <c r="H21" s="529"/>
      <c r="I21" s="17"/>
      <c r="J21" s="529"/>
      <c r="K21" s="545">
        <f>Bilan_E_KP_AME_2025!M31</f>
        <v>8.4921041097376401E-2</v>
      </c>
      <c r="L21" s="545">
        <f>-(Bilan_E_KP_AME_2025!M13+Bilan_E_KP_AME_2025!M14+Bilan_E_KP_AME_2025!M15+Bilan_E_KP_AME_2025!M16)</f>
        <v>0</v>
      </c>
      <c r="M21" s="545">
        <f>Bilan_E_KP_AME_2025!M28</f>
        <v>1.0469420318603517E-2</v>
      </c>
      <c r="N21" s="545">
        <f>Bilan_E_KP_AME_2025!M22</f>
        <v>0.35468000245125708</v>
      </c>
      <c r="O21" s="545">
        <f>Bilan_E_KP_AME_2025!M21</f>
        <v>0.47838708849063555</v>
      </c>
      <c r="P21" s="529"/>
      <c r="Q21" s="529"/>
      <c r="R21" s="498"/>
      <c r="S21" s="529"/>
      <c r="T21" s="529"/>
      <c r="U21" s="529"/>
      <c r="V21" s="529"/>
      <c r="W21" s="529"/>
      <c r="X21" s="529"/>
    </row>
    <row r="22" spans="1:24" x14ac:dyDescent="0.25">
      <c r="A22" s="737"/>
      <c r="B22" s="1" t="s">
        <v>30</v>
      </c>
      <c r="C22" s="17"/>
      <c r="D22" s="85">
        <f>SUM(C21:C24)</f>
        <v>359.73599162953508</v>
      </c>
      <c r="E22" s="497"/>
      <c r="F22" s="85">
        <f>SUM(E21:E24)</f>
        <v>6.9005035154175332</v>
      </c>
      <c r="G22" s="17"/>
      <c r="H22" s="85">
        <f>SUM(G21:G24)</f>
        <v>352.83548811411754</v>
      </c>
      <c r="I22" s="408"/>
      <c r="J22" s="85">
        <f>H22-I22</f>
        <v>352.83548811411754</v>
      </c>
      <c r="K22" s="32"/>
      <c r="L22" s="32"/>
      <c r="M22" s="32"/>
      <c r="N22" s="32"/>
      <c r="O22" s="32"/>
      <c r="P22" s="32"/>
      <c r="Q22" s="85">
        <f>J22-SUM(K21:P24)</f>
        <v>311.97426399190113</v>
      </c>
      <c r="R22" s="508">
        <f>Q22-S22</f>
        <v>-2.6432002044032288E-2</v>
      </c>
      <c r="S22" s="85">
        <f>SUM(T22:X24)</f>
        <v>312.00069599394516</v>
      </c>
      <c r="T22" s="32">
        <f>Bilan_E_KP_AME_2025!G38+Bilan_E_KP_AME_2025!R38+Bilan_E_KP_AME_2025!M$38</f>
        <v>2.4899238027122088</v>
      </c>
      <c r="U22" s="32">
        <f>Bilan_E_KP_AME_2025!G34+Bilan_E_KP_AME_2025!R34+Bilan_E_KP_AME_2025!M$34</f>
        <v>112.28992403957399</v>
      </c>
      <c r="V22" s="32">
        <f>Bilan_E_KP_AME_2025!G36+Bilan_E_KP_AME_2025!R36+Bilan_E_KP_AME_2025!M$36</f>
        <v>122.23887735132044</v>
      </c>
      <c r="W22" s="32">
        <f>Bilan_E_KP_AME_2025!G37+Bilan_E_KP_AME_2025!K37+Bilan_E_KP_AME_2025!R37+Bilan_E_KP_AME_2025!M$37</f>
        <v>68.197827273818135</v>
      </c>
      <c r="X22" s="32">
        <f>Bilan_E_KP_AME_2025!G35+Bilan_E_KP_AME_2025!R35+Bilan_E_KP_AME_2025!M$35</f>
        <v>6.7841435265203538</v>
      </c>
    </row>
    <row r="23" spans="1:24" x14ac:dyDescent="0.25">
      <c r="A23" s="737"/>
      <c r="B23" s="1" t="s">
        <v>31</v>
      </c>
      <c r="C23" s="17">
        <f>SUM(Bilan_E_KP_AME_2025!D28:Q28)-C47</f>
        <v>0.56874418487548839</v>
      </c>
      <c r="D23" s="530"/>
      <c r="E23" s="33">
        <f>Bilan_E_KP_AME_2025!S28+Bilan_E_KP_AME_2025!S27</f>
        <v>0.17260395660400402</v>
      </c>
      <c r="F23" s="532"/>
      <c r="G23" s="17">
        <f t="shared" si="1"/>
        <v>0.39614022827148437</v>
      </c>
      <c r="H23" s="532"/>
      <c r="I23" s="17"/>
      <c r="J23" s="532"/>
      <c r="K23" s="534">
        <f>Bilan_E_KP_AME_2025!R31</f>
        <v>0</v>
      </c>
      <c r="L23" s="534">
        <f>-(Bilan_E_KP_AME_2025!R13+Bilan_E_KP_AME_2025!R14+Bilan_E_KP_AME_2025!R15+Bilan_E_KP_AME_2025!R16)</f>
        <v>0</v>
      </c>
      <c r="M23" s="534"/>
      <c r="N23" s="534">
        <f>Bilan_E_KP_AME_2025!R22</f>
        <v>0</v>
      </c>
      <c r="O23" s="534">
        <f>Bilan_E_KP_AME_2025!R21</f>
        <v>0</v>
      </c>
      <c r="P23" s="534">
        <f>-Bilan_E_KP_AME_2025!L27</f>
        <v>0</v>
      </c>
      <c r="Q23" s="532"/>
      <c r="S23" s="532"/>
      <c r="T23" s="536"/>
      <c r="U23" s="536"/>
      <c r="V23" s="536"/>
      <c r="W23" s="536"/>
      <c r="X23" s="536"/>
    </row>
    <row r="24" spans="1:24" x14ac:dyDescent="0.25">
      <c r="A24" s="737"/>
      <c r="B24" s="1" t="s">
        <v>32</v>
      </c>
      <c r="C24" s="17">
        <f>Bilan_E_KP_AME_2025!G18-C45-(Bilan_E_KP_AME_2025!G20+Bilan_E_KP_AME_2025!G19)</f>
        <v>350.92204882805845</v>
      </c>
      <c r="D24" s="531"/>
      <c r="E24" s="33">
        <f>Bilan_E_KP_AME_2025!G30</f>
        <v>5.6611272323194495</v>
      </c>
      <c r="F24" s="533"/>
      <c r="G24" s="17">
        <f t="shared" si="1"/>
        <v>345.26092159573898</v>
      </c>
      <c r="H24" s="533"/>
      <c r="I24" s="34"/>
      <c r="J24" s="533"/>
      <c r="K24" s="535">
        <f>Bilan_E_KP_AME_2025!G31</f>
        <v>4.1611310137714437</v>
      </c>
      <c r="L24" s="535"/>
      <c r="M24" s="535">
        <f>Bilan_E_KP_AME_2025!G28</f>
        <v>0.51300159561157233</v>
      </c>
      <c r="N24" s="535">
        <f>Bilan_E_KP_AME_2025!G22</f>
        <v>16.768067922739682</v>
      </c>
      <c r="O24" s="535">
        <f>Bilan_E_KP_AME_2025!G21</f>
        <v>18.490566037735849</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38" t="s">
        <v>14</v>
      </c>
      <c r="B26" s="1" t="s">
        <v>21</v>
      </c>
      <c r="C26" s="17">
        <f>Bilan_E_KP_AME_2025!M22</f>
        <v>0.35468000245125708</v>
      </c>
      <c r="D26" s="512"/>
      <c r="E26" s="190">
        <f>C26*F$35</f>
        <v>4.0018465788449052E-2</v>
      </c>
      <c r="F26" s="512"/>
      <c r="G26" s="33">
        <f t="shared" ref="G26:G31" si="2">C26-E26</f>
        <v>0.31466153666280805</v>
      </c>
      <c r="H26" s="512"/>
      <c r="I26" s="1"/>
      <c r="J26" s="512"/>
      <c r="K26" s="512"/>
      <c r="L26" s="512"/>
      <c r="M26" s="512"/>
      <c r="N26" s="512"/>
      <c r="O26" s="512"/>
      <c r="P26" s="512"/>
      <c r="Q26" s="512"/>
      <c r="R26" s="498"/>
      <c r="S26" s="512"/>
      <c r="T26" s="512"/>
      <c r="U26" s="512"/>
      <c r="V26" s="512"/>
      <c r="W26" s="512"/>
      <c r="X26" s="512"/>
    </row>
    <row r="27" spans="1:24" x14ac:dyDescent="0.25">
      <c r="A27" s="738"/>
      <c r="B27" s="1" t="s">
        <v>22</v>
      </c>
      <c r="C27" s="17">
        <f>Bilan_E_KP_AME_2025!K18-Bilan_E_KP_AME_2025!K21-Bilan_E_KP_AME_2025!K34-(Bilan_E_KP_AME_2025!Q20+Bilan_E_KP_AME_2025!Q19+Bilan_E_KP_AME_2025!K20+Bilan_E_KP_AME_2025!K19)</f>
        <v>12.753451857766812</v>
      </c>
      <c r="D27" s="87"/>
      <c r="E27" s="190">
        <f t="shared" ref="E27:E34" si="3">C27*F$35</f>
        <v>1.4389691364818706</v>
      </c>
      <c r="F27" s="87"/>
      <c r="G27" s="33">
        <f t="shared" si="2"/>
        <v>11.314482721284941</v>
      </c>
      <c r="H27" s="87"/>
      <c r="I27" s="500"/>
      <c r="J27" s="87"/>
      <c r="K27" s="87"/>
      <c r="L27" s="87"/>
      <c r="M27" s="87"/>
      <c r="N27" s="87"/>
      <c r="O27" s="87"/>
      <c r="P27" s="87"/>
      <c r="Q27" s="87"/>
      <c r="R27" s="498"/>
      <c r="S27" s="87"/>
      <c r="T27" s="87"/>
      <c r="U27" s="87"/>
      <c r="V27" s="87"/>
      <c r="W27" s="87"/>
      <c r="X27" s="87"/>
    </row>
    <row r="28" spans="1:24" x14ac:dyDescent="0.25">
      <c r="A28" s="738"/>
      <c r="B28" s="1" t="s">
        <v>26</v>
      </c>
      <c r="C28" s="17"/>
      <c r="D28" s="87"/>
      <c r="E28" s="190">
        <f t="shared" si="3"/>
        <v>0</v>
      </c>
      <c r="F28" s="87"/>
      <c r="G28" s="33">
        <f>C28-E28</f>
        <v>0</v>
      </c>
      <c r="H28" s="87"/>
      <c r="I28" s="1"/>
      <c r="J28" s="87"/>
      <c r="K28" s="87"/>
      <c r="L28" s="87"/>
      <c r="M28" s="87"/>
      <c r="N28" s="87"/>
      <c r="O28" s="87"/>
      <c r="P28" s="87"/>
      <c r="Q28" s="87"/>
      <c r="R28" s="498"/>
      <c r="S28" s="87"/>
      <c r="T28" s="87"/>
      <c r="U28" s="87"/>
      <c r="V28" s="87"/>
      <c r="W28" s="87"/>
      <c r="X28" s="87"/>
    </row>
    <row r="29" spans="1:24" x14ac:dyDescent="0.25">
      <c r="A29" s="738"/>
      <c r="B29" s="1" t="s">
        <v>23</v>
      </c>
      <c r="C29" s="17">
        <f>Bilan_E_KP_AME_2025!J22</f>
        <v>14.511462263372906</v>
      </c>
      <c r="D29" s="87"/>
      <c r="E29" s="190">
        <f t="shared" si="3"/>
        <v>1.6373250595287396</v>
      </c>
      <c r="F29" s="87"/>
      <c r="G29" s="33">
        <f t="shared" si="2"/>
        <v>12.874137203844166</v>
      </c>
      <c r="H29" s="87"/>
      <c r="I29" s="1"/>
      <c r="J29" s="87"/>
      <c r="K29" s="87"/>
      <c r="L29" s="87"/>
      <c r="M29" s="87"/>
      <c r="N29" s="87"/>
      <c r="O29" s="87"/>
      <c r="P29" s="87"/>
      <c r="Q29" s="87"/>
      <c r="R29" s="498"/>
      <c r="S29" s="87"/>
      <c r="T29" s="87"/>
      <c r="U29" s="87"/>
      <c r="V29" s="87"/>
      <c r="W29" s="87"/>
      <c r="X29" s="87"/>
    </row>
    <row r="30" spans="1:24" x14ac:dyDescent="0.25">
      <c r="A30" s="738"/>
      <c r="B30" s="1" t="s">
        <v>24</v>
      </c>
      <c r="C30" s="17">
        <f>Bilan_E_KP_AME_2025!O22</f>
        <v>2.3429154336529705</v>
      </c>
      <c r="D30" s="86">
        <f>SUM(C26:C34)</f>
        <v>46.854068667352351</v>
      </c>
      <c r="E30" s="190">
        <f t="shared" si="3"/>
        <v>0.26435062726649183</v>
      </c>
      <c r="F30" s="86">
        <f>Bilan_E_KP_AME_2025!S22</f>
        <v>5.2865341464289735</v>
      </c>
      <c r="G30" s="33">
        <f t="shared" si="2"/>
        <v>2.0785648063864786</v>
      </c>
      <c r="H30" s="86">
        <f>SUM(G26:G34)</f>
        <v>41.567534520923381</v>
      </c>
      <c r="I30" s="1"/>
      <c r="J30" s="86">
        <f>H30</f>
        <v>41.567534520923381</v>
      </c>
      <c r="K30" s="87">
        <f>Bilan_E_KP_AME_2025!Q31</f>
        <v>3.2227514144892391</v>
      </c>
      <c r="L30" s="87"/>
      <c r="M30" s="87">
        <f>Bilan_E_KP_AME_2025!K28</f>
        <v>5.6591461181640631E-3</v>
      </c>
      <c r="N30" s="87"/>
      <c r="O30" s="87"/>
      <c r="P30" s="87"/>
      <c r="Q30" s="86">
        <f>J30-K30-L30-M30-N30-O30-P30</f>
        <v>38.33912396031598</v>
      </c>
      <c r="R30" s="508">
        <f>Q30-S30</f>
        <v>2.6432002043975444E-2</v>
      </c>
      <c r="S30" s="86">
        <f>SUM(T27:X34)</f>
        <v>38.312691958272005</v>
      </c>
      <c r="T30" s="87">
        <f>Bilan_E_KP_AME_2025!Q$38</f>
        <v>0</v>
      </c>
      <c r="U30" s="87">
        <f>Bilan_E_KP_AME_2025!Q$34</f>
        <v>16.994133911313323</v>
      </c>
      <c r="V30" s="87">
        <f>Bilan_E_KP_AME_2025!Q$36</f>
        <v>15.992572069761611</v>
      </c>
      <c r="W30" s="87">
        <f>Bilan_E_KP_AME_2025!Q$37</f>
        <v>5.3259859771970728</v>
      </c>
      <c r="X30" s="87">
        <f>Bilan_E_KP_AME_2025!Q$35</f>
        <v>0</v>
      </c>
    </row>
    <row r="31" spans="1:24" x14ac:dyDescent="0.25">
      <c r="A31" s="738"/>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38"/>
      <c r="B32" s="1" t="s">
        <v>29</v>
      </c>
      <c r="C32" s="17">
        <f>Bilan_E_KP_AME_2025!G22</f>
        <v>16.768067922739682</v>
      </c>
      <c r="D32" s="86"/>
      <c r="E32" s="190">
        <f t="shared" si="3"/>
        <v>1.8919373741595891</v>
      </c>
      <c r="F32" s="86"/>
      <c r="G32" s="33">
        <f>C32-E32</f>
        <v>14.876130548580093</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Bilan_E_KP_AME_2025!F22</f>
        <v>0</v>
      </c>
      <c r="D33" s="86"/>
      <c r="E33" s="190">
        <f t="shared" si="3"/>
        <v>0</v>
      </c>
      <c r="F33" s="86"/>
      <c r="G33" s="33">
        <f t="shared" ref="G33:G34" si="4">C33-E33</f>
        <v>0</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Bilan_E_KP_AME_2025!D22</f>
        <v>0.12349118736872708</v>
      </c>
      <c r="D34" s="88"/>
      <c r="E34" s="190">
        <f t="shared" si="3"/>
        <v>1.3933483203833898E-2</v>
      </c>
      <c r="F34" s="88"/>
      <c r="G34" s="33">
        <f t="shared" si="4"/>
        <v>0.10955770416489319</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0.11282977757943571</v>
      </c>
      <c r="G35" s="17"/>
      <c r="H35" s="501"/>
      <c r="I35" s="1"/>
      <c r="J35" s="1"/>
      <c r="K35" s="1"/>
      <c r="L35" s="1"/>
      <c r="M35" s="1"/>
      <c r="N35" s="1"/>
      <c r="O35" s="1"/>
      <c r="P35" s="1"/>
      <c r="Q35" s="502"/>
      <c r="R35" s="498"/>
      <c r="U35" s="33"/>
      <c r="V35" s="33"/>
      <c r="W35" s="33"/>
    </row>
    <row r="36" spans="1:26" x14ac:dyDescent="0.25">
      <c r="A36" s="739" t="s">
        <v>34</v>
      </c>
      <c r="B36" s="1" t="s">
        <v>21</v>
      </c>
      <c r="C36" s="33">
        <v>0</v>
      </c>
      <c r="D36" s="538"/>
      <c r="E36" s="17"/>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39"/>
      <c r="B37" s="1" t="s">
        <v>23</v>
      </c>
      <c r="C37" s="33">
        <f>SUM(T37:X37)</f>
        <v>95.295180518049435</v>
      </c>
      <c r="D37" s="539"/>
      <c r="E37" s="504"/>
      <c r="F37" s="539"/>
      <c r="G37" s="17">
        <f t="shared" ref="G37:G42" si="5">C37-E37</f>
        <v>95.295180518049435</v>
      </c>
      <c r="H37" s="539"/>
      <c r="I37" s="498"/>
      <c r="J37" s="37"/>
      <c r="K37" s="35"/>
      <c r="L37" s="35"/>
      <c r="M37" s="505"/>
      <c r="N37" s="35"/>
      <c r="P37" s="35"/>
      <c r="Q37" s="541"/>
      <c r="R37" s="498"/>
      <c r="S37" s="539"/>
      <c r="T37" s="506">
        <f>Bilan_E_KP_AME_2025!J38</f>
        <v>0.70706396927287185</v>
      </c>
      <c r="U37" s="93">
        <f>Bilan_E_KP_AME_2025!J34</f>
        <v>17.593885172405454</v>
      </c>
      <c r="V37" s="506">
        <f>Bilan_E_KP_AME_2025!J36</f>
        <v>72.996556103181632</v>
      </c>
      <c r="W37" s="507">
        <f>Bilan_E_KP_AME_2025!J37</f>
        <v>3.9976752731894716</v>
      </c>
      <c r="X37" s="506">
        <f>Bilan_E_KP_AME_2025!J35</f>
        <v>0</v>
      </c>
      <c r="Y37" s="489">
        <f t="shared" ref="Y37:Y47" si="6">SUM(T37:X37)</f>
        <v>95.295180518049435</v>
      </c>
      <c r="Z37" s="489">
        <f t="shared" ref="Z37:Z44" si="7">G37-Y37</f>
        <v>0</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f>SUM(G36:G41)-E55-E56-L41-L36</f>
        <v>179.90300620656154</v>
      </c>
      <c r="R38" s="498"/>
      <c r="S38" s="539"/>
      <c r="T38" s="84">
        <v>0</v>
      </c>
      <c r="U38" s="83">
        <v>0</v>
      </c>
      <c r="V38" s="84">
        <v>0</v>
      </c>
      <c r="W38" s="91">
        <v>0</v>
      </c>
      <c r="X38" s="91">
        <v>0</v>
      </c>
      <c r="Y38" s="489">
        <f t="shared" si="6"/>
        <v>0</v>
      </c>
      <c r="Z38" s="489">
        <f t="shared" si="7"/>
        <v>0</v>
      </c>
    </row>
    <row r="39" spans="1:26" x14ac:dyDescent="0.25">
      <c r="A39" s="739"/>
      <c r="B39" s="1" t="s">
        <v>35</v>
      </c>
      <c r="C39" s="33">
        <f>SUM(T39:X39)</f>
        <v>2.5338661060098264</v>
      </c>
      <c r="D39" s="539"/>
      <c r="E39" s="35"/>
      <c r="F39" s="539"/>
      <c r="G39" s="17">
        <f t="shared" si="5"/>
        <v>2.5338661060098264</v>
      </c>
      <c r="H39" s="539"/>
      <c r="I39" s="35"/>
      <c r="J39" s="37"/>
      <c r="K39" s="35"/>
      <c r="L39" s="35"/>
      <c r="M39" s="37"/>
      <c r="N39" s="35"/>
      <c r="O39" s="35"/>
      <c r="P39" s="35"/>
      <c r="Q39" s="541"/>
      <c r="R39" s="498"/>
      <c r="S39" s="539"/>
      <c r="T39" s="84">
        <f>Bilan_E_KP_AME_2025!O38</f>
        <v>9.0201671928645533E-2</v>
      </c>
      <c r="U39" s="83">
        <f>Bilan_E_KP_AME_2025!O34</f>
        <v>3.8289980908217579E-4</v>
      </c>
      <c r="V39" s="84">
        <f>Bilan_E_KP_AME_2025!O36</f>
        <v>1.4994987295121316</v>
      </c>
      <c r="W39" s="91">
        <f>Bilan_E_KP_AME_2025!O37</f>
        <v>0.94378280475996701</v>
      </c>
      <c r="X39" s="91">
        <f>Bilan_E_KP_AME_2025!O35</f>
        <v>0</v>
      </c>
      <c r="Y39" s="489">
        <f t="shared" si="6"/>
        <v>2.5338661060098264</v>
      </c>
      <c r="Z39" s="489">
        <f t="shared" si="7"/>
        <v>0</v>
      </c>
    </row>
    <row r="40" spans="1:26" x14ac:dyDescent="0.25">
      <c r="A40" s="739"/>
      <c r="B40" s="1" t="s">
        <v>36</v>
      </c>
      <c r="C40" s="33">
        <f>Bilan_E_KP_AME_2025!N12</f>
        <v>39.319241851069634</v>
      </c>
      <c r="D40" s="539"/>
      <c r="E40" s="35"/>
      <c r="F40" s="539"/>
      <c r="G40" s="17">
        <f t="shared" si="5"/>
        <v>39.319241851069634</v>
      </c>
      <c r="H40" s="539"/>
      <c r="I40" s="35"/>
      <c r="J40" s="37"/>
      <c r="K40" s="35"/>
      <c r="L40" s="35"/>
      <c r="M40" s="37"/>
      <c r="N40" s="35"/>
      <c r="O40" s="35"/>
      <c r="P40" s="35"/>
      <c r="Q40" s="541"/>
      <c r="R40" s="498"/>
      <c r="S40" s="539"/>
      <c r="T40" s="83">
        <f>Bilan_E_KP_AME_2025!N$38</f>
        <v>0</v>
      </c>
      <c r="U40" s="83">
        <f>Bilan_E_KP_AME_2025!N$34</f>
        <v>0</v>
      </c>
      <c r="V40" s="83">
        <f>Bilan_E_KP_AME_2025!N$36</f>
        <v>32.811205728954405</v>
      </c>
      <c r="W40" s="83">
        <f>Bilan_E_KP_AME_2025!N$37</f>
        <v>6.5080361221152287</v>
      </c>
      <c r="X40" s="84">
        <f>Bilan_E_KP_AME_2025!N$35</f>
        <v>0</v>
      </c>
      <c r="Y40" s="489">
        <f t="shared" si="6"/>
        <v>39.319241851069634</v>
      </c>
      <c r="Z40" s="489">
        <f t="shared" si="7"/>
        <v>0</v>
      </c>
    </row>
    <row r="41" spans="1:26" x14ac:dyDescent="0.25">
      <c r="A41" s="739"/>
      <c r="B41" s="1" t="s">
        <v>37</v>
      </c>
      <c r="C41" s="33">
        <f>Bilan_E_KP_AME_2025!L12+Bilan_E_KP_AME_2025!J26+Bilan_E_KP_AME_2025!J27-Bilan_E_KP_AME_2025!L21</f>
        <v>41.317421335324099</v>
      </c>
      <c r="D41" s="191">
        <f>SUM(C36:C47)</f>
        <v>933.46060736768197</v>
      </c>
      <c r="E41" s="38"/>
      <c r="F41" s="191">
        <f>SUM(E36:E47)</f>
        <v>31.900092161950717</v>
      </c>
      <c r="G41" s="17">
        <f t="shared" si="5"/>
        <v>41.317421335324099</v>
      </c>
      <c r="H41" s="191">
        <f>SUM(G36:G47)</f>
        <v>901.56051520573135</v>
      </c>
      <c r="I41" s="35"/>
      <c r="J41" s="37"/>
      <c r="K41" s="35"/>
      <c r="L41" s="37">
        <f>-SUM(Bilan_E_KP_AME_2025!L13:L16)</f>
        <v>-1.4372963961085583</v>
      </c>
      <c r="M41" s="35"/>
      <c r="N41" s="35"/>
      <c r="O41" s="35"/>
      <c r="P41" s="35"/>
      <c r="Q41" s="541"/>
      <c r="R41" s="508">
        <f>SUM(Q36:Q47)-S41</f>
        <v>4.7640221979463604E-3</v>
      </c>
      <c r="S41" s="191">
        <f>SUM(T36:X46)</f>
        <v>721.30227919619995</v>
      </c>
      <c r="T41" s="83">
        <f>Bilan_E_KP_AME_2025!L$38</f>
        <v>2.2606527751608563</v>
      </c>
      <c r="U41" s="83">
        <f>Bilan_E_KP_AME_2025!L$34</f>
        <v>0.83302892187499988</v>
      </c>
      <c r="V41" s="83">
        <f>Bilan_E_KP_AME_2025!L$36</f>
        <v>0</v>
      </c>
      <c r="W41" s="83">
        <f>Bilan_E_KP_AME_2025!L$37</f>
        <v>0</v>
      </c>
      <c r="X41" s="84">
        <f>Bilan_E_KP_AME_2025!L$35</f>
        <v>39.656272012198485</v>
      </c>
      <c r="Y41" s="489">
        <f t="shared" si="6"/>
        <v>42.74995370923434</v>
      </c>
      <c r="Z41" s="489">
        <f>G41-Y41-L41</f>
        <v>4.7640221983167308E-3</v>
      </c>
    </row>
    <row r="42" spans="1:26" x14ac:dyDescent="0.25">
      <c r="A42" s="739"/>
      <c r="B42" s="1" t="s">
        <v>38</v>
      </c>
      <c r="C42" s="33">
        <f>Bilan_E_KP_AME_2025!E18+Bilan_E_KP_AME_2025!F18-Bilan_E_KP_AME_2025!F21-Bilan_E_KP_AME_2025!F22-E54-SUM(T43:X43)-(Bilan_E_KP_AME_2025!E20+Bilan_E_KP_AME_2025!F20+Bilan_E_KP_AME_2025!E19+Bilan_E_KP_AME_2025!F19)</f>
        <v>440.53298389517289</v>
      </c>
      <c r="D42" s="539"/>
      <c r="E42" s="17">
        <f>Bilan_E_KP_AME_2025!F30+Bilan_E_KP_AME_2025!S25+Bilan_E_KP_AME_2025!F29+Bilan_E_KP_AME_2025!E29</f>
        <v>31.900092161950717</v>
      </c>
      <c r="F42" s="539"/>
      <c r="G42" s="17">
        <f t="shared" si="5"/>
        <v>408.63289173322215</v>
      </c>
      <c r="H42" s="539"/>
      <c r="I42" s="498"/>
      <c r="J42" s="37"/>
      <c r="K42" s="35"/>
      <c r="L42" s="35"/>
      <c r="M42" s="35"/>
      <c r="N42" s="35"/>
      <c r="O42" s="35"/>
      <c r="P42" s="35"/>
      <c r="Q42" s="36">
        <f>G42</f>
        <v>408.63289173322215</v>
      </c>
      <c r="R42" s="498"/>
      <c r="S42" s="539"/>
      <c r="T42" s="83">
        <v>0</v>
      </c>
      <c r="U42" s="83">
        <v>0</v>
      </c>
      <c r="V42" s="83">
        <v>0</v>
      </c>
      <c r="W42" s="83">
        <v>0</v>
      </c>
      <c r="X42" s="84">
        <f>Bilan_E_KP_AME_2025!F35</f>
        <v>408.63289173322238</v>
      </c>
      <c r="Y42" s="489">
        <f t="shared" si="6"/>
        <v>408.63289173322238</v>
      </c>
      <c r="Z42" s="489">
        <f>Q42-SUM(T42:X42)</f>
        <v>0</v>
      </c>
    </row>
    <row r="43" spans="1:26" x14ac:dyDescent="0.25">
      <c r="A43" s="739"/>
      <c r="B43" s="1" t="s">
        <v>39</v>
      </c>
      <c r="C43" s="33">
        <f>Bilan_E_KP_AME_2025!F41+SUM(T43:X43)</f>
        <v>251.21433532999862</v>
      </c>
      <c r="D43" s="539"/>
      <c r="E43" s="38"/>
      <c r="F43" s="539"/>
      <c r="G43" s="17">
        <f>C43-E43</f>
        <v>251.21433532999862</v>
      </c>
      <c r="H43" s="539"/>
      <c r="I43" s="35"/>
      <c r="J43" s="37"/>
      <c r="K43" s="35"/>
      <c r="L43" s="35"/>
      <c r="M43" s="35"/>
      <c r="N43" s="35"/>
      <c r="O43" s="35"/>
      <c r="P43" s="35"/>
      <c r="Q43" s="36">
        <f>G43-Bilan_E_KP_AME_2025!F41</f>
        <v>123.96298123801633</v>
      </c>
      <c r="R43" s="498"/>
      <c r="S43" s="539"/>
      <c r="T43" s="83">
        <f>Bilan_E_KP_AME_2025!F38</f>
        <v>34.492480565946664</v>
      </c>
      <c r="U43" s="83">
        <f>Bilan_E_KP_AME_2025!F34</f>
        <v>27.107499244386606</v>
      </c>
      <c r="V43" s="83">
        <f>Bilan_E_KP_AME_2025!F36</f>
        <v>41.084750674599483</v>
      </c>
      <c r="W43" s="83">
        <f>Bilan_E_KP_AME_2025!F37</f>
        <v>21.278250753083572</v>
      </c>
      <c r="X43" s="84">
        <v>0</v>
      </c>
      <c r="Y43" s="489">
        <f t="shared" si="6"/>
        <v>123.96298123801631</v>
      </c>
      <c r="Z43" s="489">
        <f>Q43-SUM(T43:X43)</f>
        <v>0</v>
      </c>
    </row>
    <row r="44" spans="1:26" x14ac:dyDescent="0.25">
      <c r="A44" s="739"/>
      <c r="B44" s="1" t="s">
        <v>40</v>
      </c>
      <c r="C44" s="33">
        <f>SUM(T44:X44)</f>
        <v>1.7237647195692531</v>
      </c>
      <c r="D44" s="539"/>
      <c r="E44" s="38"/>
      <c r="F44" s="539"/>
      <c r="G44" s="17">
        <f t="shared" si="1"/>
        <v>1.7237647195692531</v>
      </c>
      <c r="H44" s="539"/>
      <c r="I44" s="35"/>
      <c r="J44" s="37"/>
      <c r="K44" s="35"/>
      <c r="L44" s="35"/>
      <c r="M44" s="35"/>
      <c r="N44" s="35"/>
      <c r="O44" s="35"/>
      <c r="P44" s="35"/>
      <c r="Q44" s="36">
        <f>G44-Bilan_E_KP_AME_2025!K41</f>
        <v>1.7237647195692531</v>
      </c>
      <c r="R44" s="498"/>
      <c r="S44" s="539"/>
      <c r="T44" s="83">
        <f>Bilan_E_KP_AME_2025!K$38</f>
        <v>0</v>
      </c>
      <c r="U44" s="83">
        <f>Bilan_E_KP_AME_2025!K34</f>
        <v>1.7237647195692531</v>
      </c>
      <c r="V44" s="83">
        <f>Bilan_E_KP_AME_2025!K$36</f>
        <v>0</v>
      </c>
      <c r="W44" s="83">
        <v>0</v>
      </c>
      <c r="X44" s="84">
        <f>Bilan_E_KP_AME_2025!K$35</f>
        <v>0</v>
      </c>
      <c r="Y44" s="489">
        <f t="shared" si="6"/>
        <v>1.7237647195692531</v>
      </c>
      <c r="Z44" s="489">
        <f t="shared" si="7"/>
        <v>0</v>
      </c>
    </row>
    <row r="45" spans="1:26" x14ac:dyDescent="0.25">
      <c r="A45" s="739"/>
      <c r="B45" s="1" t="s">
        <v>41</v>
      </c>
      <c r="C45" s="33">
        <f>E53</f>
        <v>12.538633041459809</v>
      </c>
      <c r="D45" s="539"/>
      <c r="E45" s="38"/>
      <c r="F45" s="539"/>
      <c r="G45" s="17">
        <f t="shared" si="1"/>
        <v>12.538633041459809</v>
      </c>
      <c r="H45" s="539"/>
      <c r="I45" s="35"/>
      <c r="J45" s="37"/>
      <c r="K45" s="35"/>
      <c r="L45" s="35"/>
      <c r="M45" s="35"/>
      <c r="N45" s="35"/>
      <c r="O45" s="35"/>
      <c r="P45" s="35"/>
      <c r="Q45" s="36">
        <f>G45-Bilan_E_KP_AME_2025!G41</f>
        <v>0</v>
      </c>
      <c r="R45" s="498"/>
      <c r="S45" s="539"/>
      <c r="T45" s="84">
        <v>0</v>
      </c>
      <c r="U45" s="83">
        <v>0</v>
      </c>
      <c r="V45" s="84">
        <v>0</v>
      </c>
      <c r="W45" s="92">
        <v>0</v>
      </c>
      <c r="X45" s="84">
        <v>0</v>
      </c>
      <c r="Y45" s="489">
        <f t="shared" si="6"/>
        <v>0</v>
      </c>
      <c r="Z45" s="489">
        <f>Q45-Y45</f>
        <v>0</v>
      </c>
    </row>
    <row r="46" spans="1:26" x14ac:dyDescent="0.25">
      <c r="A46" s="739"/>
      <c r="B46" s="1" t="s">
        <v>42</v>
      </c>
      <c r="C46" s="33">
        <f>Bilan_E_KP_AME_2025!D18-C18-C34</f>
        <v>48.985180571028572</v>
      </c>
      <c r="D46" s="539"/>
      <c r="E46" s="511"/>
      <c r="F46" s="539"/>
      <c r="G46" s="17">
        <f>C46-E46</f>
        <v>48.985180571028572</v>
      </c>
      <c r="H46" s="539"/>
      <c r="I46" s="38"/>
      <c r="J46" s="37"/>
      <c r="K46" s="35"/>
      <c r="L46" s="35"/>
      <c r="M46" s="35"/>
      <c r="N46" s="35"/>
      <c r="O46" s="35"/>
      <c r="P46" s="35"/>
      <c r="Q46" s="36">
        <f>G46-(Bilan_E_KP_AME_2025!D41+Bilan_E_KP_AME_2025!D29+Bilan_E_KP_AME_2025!D30)</f>
        <v>7.0843993210285774</v>
      </c>
      <c r="R46" s="498"/>
      <c r="S46" s="539"/>
      <c r="T46" s="506">
        <f>Bilan_E_KP_AME_2025!D38</f>
        <v>0</v>
      </c>
      <c r="U46" s="93">
        <f>Bilan_E_KP_AME_2025!D34</f>
        <v>7.0843993210285721</v>
      </c>
      <c r="V46" s="506">
        <f>Bilan_E_KP_AME_2025!D36</f>
        <v>0</v>
      </c>
      <c r="W46" s="507">
        <f>Bilan_E_KP_AME_2025!D37</f>
        <v>0</v>
      </c>
      <c r="X46" s="506">
        <f>Bilan_E_KP_AME_2025!D35</f>
        <v>0</v>
      </c>
      <c r="Y46" s="489">
        <f t="shared" si="6"/>
        <v>7.0843993210285721</v>
      </c>
      <c r="Z46" s="489">
        <f>Q46-Y46</f>
        <v>0</v>
      </c>
    </row>
    <row r="47" spans="1:26" x14ac:dyDescent="0.25">
      <c r="A47" s="90"/>
      <c r="B47" s="1" t="s">
        <v>31</v>
      </c>
      <c r="C47" s="33">
        <f>E57</f>
        <v>0</v>
      </c>
      <c r="D47" s="192"/>
      <c r="E47" s="511"/>
      <c r="F47" s="192"/>
      <c r="G47" s="17">
        <f>C47-E47</f>
        <v>0</v>
      </c>
      <c r="H47" s="192"/>
      <c r="I47" s="38"/>
      <c r="J47" s="37"/>
      <c r="K47" s="35"/>
      <c r="L47" s="35"/>
      <c r="M47" s="35"/>
      <c r="N47" s="35"/>
      <c r="O47" s="35"/>
      <c r="P47" s="35"/>
      <c r="Q47" s="542">
        <f>G47-Bilan_E_KP_AME_2025!R41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C5-L13-SUM(L21:L24)-L30-L41-Bilan_E_KP_AME_2025!S18</f>
        <v>0</v>
      </c>
      <c r="D49" s="1"/>
      <c r="E49" s="34">
        <f>SUM(E7:E47)+I13-Bilan_E_KP_AME_2025!S32+K13+SUM(K21:K24)+K30+Bilan_E_KP_AME_2025!D29+Bilan_E_KP_AME_2025!D30</f>
        <v>0</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489.18544114691525</v>
      </c>
    </row>
    <row r="52" spans="1:19" x14ac:dyDescent="0.25">
      <c r="A52" s="21"/>
      <c r="B52" s="1" t="s">
        <v>44</v>
      </c>
      <c r="C52" s="44"/>
      <c r="D52" s="1"/>
      <c r="E52" s="39">
        <f>Bilan_E_KP_AME_2025!D41+Bilan_E_KP_AME_2025!D29+Bilan_E_KP_AME_2025!D30</f>
        <v>41.900781249999994</v>
      </c>
      <c r="F52" s="187"/>
      <c r="G52" s="1"/>
      <c r="H52" s="1"/>
      <c r="I52" s="30"/>
      <c r="J52" s="17"/>
      <c r="K52" s="17"/>
      <c r="L52" s="21"/>
      <c r="M52" s="1"/>
      <c r="N52" s="17"/>
      <c r="O52" s="17"/>
      <c r="P52" s="17"/>
      <c r="Q52" s="1"/>
      <c r="S52" s="33"/>
    </row>
    <row r="53" spans="1:19" x14ac:dyDescent="0.25">
      <c r="A53" s="21"/>
      <c r="B53" s="1" t="s">
        <v>41</v>
      </c>
      <c r="C53" s="45"/>
      <c r="D53" s="17"/>
      <c r="E53" s="433">
        <f>Bilan_E_KP_AME_2025!G41+Bilan_E_KP_AME_2025!G29</f>
        <v>12.538633041459809</v>
      </c>
      <c r="F53" s="187"/>
      <c r="G53" s="1"/>
      <c r="H53" s="1"/>
      <c r="I53" s="30"/>
      <c r="J53" s="17"/>
      <c r="K53" s="17"/>
      <c r="L53" s="21"/>
      <c r="M53" s="1"/>
      <c r="N53" s="17"/>
      <c r="O53" s="17"/>
      <c r="P53" s="17"/>
      <c r="Q53" s="1"/>
    </row>
    <row r="54" spans="1:19" x14ac:dyDescent="0.25">
      <c r="A54" s="21"/>
      <c r="B54" s="1" t="s">
        <v>39</v>
      </c>
      <c r="C54" s="45"/>
      <c r="D54" s="17"/>
      <c r="E54" s="435">
        <f>Bilan_E_KP_AME_2025!F41</f>
        <v>127.25135409198229</v>
      </c>
      <c r="F54" s="187"/>
      <c r="G54" s="1"/>
      <c r="H54" s="1"/>
      <c r="I54" s="30"/>
      <c r="J54" s="17"/>
      <c r="K54" s="17"/>
      <c r="L54" s="21"/>
      <c r="M54" s="21"/>
      <c r="N54" s="17"/>
      <c r="O54" s="17"/>
      <c r="P54" s="17"/>
      <c r="Q54" s="1"/>
    </row>
    <row r="55" spans="1:19" x14ac:dyDescent="0.25">
      <c r="B55" s="1" t="s">
        <v>21</v>
      </c>
      <c r="E55" s="434">
        <f>Bilan_E_KP_AME_2025!M41+Bilan_E_KP_AME_2025!M29</f>
        <v>0</v>
      </c>
    </row>
    <row r="56" spans="1:19" x14ac:dyDescent="0.25">
      <c r="B56" s="1" t="s">
        <v>37</v>
      </c>
      <c r="E56" s="515">
        <f>Bilan_E_KP_AME_2025!L41+Bilan_E_KP_AME_2025!L29</f>
        <v>0</v>
      </c>
    </row>
    <row r="57" spans="1:19" x14ac:dyDescent="0.25">
      <c r="B57" s="1" t="s">
        <v>31</v>
      </c>
      <c r="E57" s="515">
        <f>Bilan_E_KP_AME_2025!R41</f>
        <v>0</v>
      </c>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86149-9FFD-4DDF-B381-3402FD8341C7}">
  <dimension ref="A1:Z57"/>
  <sheetViews>
    <sheetView topLeftCell="A16" workbookViewId="0">
      <selection activeCell="C44" sqref="C44"/>
    </sheetView>
  </sheetViews>
  <sheetFormatPr baseColWidth="10" defaultColWidth="11.42578125" defaultRowHeight="15" x14ac:dyDescent="0.25"/>
  <cols>
    <col min="2" max="2" width="25.85546875" customWidth="1"/>
    <col min="5" max="5" width="11.28515625" customWidth="1"/>
    <col min="17" max="17" width="15.85546875" bestFit="1"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2678.5122863720321</v>
      </c>
      <c r="D5" s="18"/>
      <c r="E5" s="20"/>
      <c r="F5" s="494"/>
      <c r="G5" s="21"/>
      <c r="H5" s="493"/>
      <c r="I5" s="21"/>
      <c r="J5" s="22"/>
      <c r="K5" s="23"/>
      <c r="L5" s="14"/>
      <c r="M5" s="14"/>
      <c r="N5" s="15"/>
      <c r="O5" s="16"/>
      <c r="P5" s="16"/>
      <c r="Q5" s="24">
        <f>Q13+Q22+Q30+Q42+Q46+Q38+Q43</f>
        <v>1460.8238793511557</v>
      </c>
      <c r="R5" s="487"/>
      <c r="S5" s="79">
        <f>SUM(S13,S22,S27:S32,S41)</f>
        <v>1462.5783361299455</v>
      </c>
      <c r="T5" s="79">
        <f>SUM(T8:T46)</f>
        <v>47.660377109201285</v>
      </c>
      <c r="U5" s="79">
        <f>SUM(U8:U46)</f>
        <v>289.29550978783186</v>
      </c>
      <c r="V5" s="79">
        <f>SUM(V8:V46)</f>
        <v>452.50766316336291</v>
      </c>
      <c r="W5" s="173">
        <f>SUM(W8:W46)</f>
        <v>229.99427065596049</v>
      </c>
      <c r="X5" s="79">
        <f>SUM(X8:X46)</f>
        <v>443.12051541358881</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f>(([12]Offre_calc!$N$81+[12]Offre_calc!$N$82+[12]Offre_calc!$N$127+[12]Offre_calc!$N$128)/([12]Offre_calc!$N$78+[12]Offre_calc!$N$124))*Bilan_E_KP_AME_2028!I$21</f>
        <v>78.245150984789163</v>
      </c>
      <c r="D7" s="516"/>
      <c r="E7" s="28">
        <v>0</v>
      </c>
      <c r="F7" s="516"/>
      <c r="G7" s="17">
        <f>C7-E7</f>
        <v>78.245150984789163</v>
      </c>
      <c r="H7" s="516"/>
      <c r="I7" s="21"/>
      <c r="J7" s="516"/>
      <c r="K7" s="523"/>
      <c r="L7" s="523"/>
      <c r="M7" s="523"/>
      <c r="N7" s="523"/>
      <c r="O7" s="523"/>
      <c r="P7" s="513"/>
      <c r="Q7" s="526"/>
      <c r="R7" s="498"/>
      <c r="S7" s="526"/>
      <c r="T7" s="523"/>
      <c r="U7" s="523"/>
      <c r="V7" s="523"/>
      <c r="W7" s="523"/>
      <c r="X7" s="523"/>
    </row>
    <row r="8" spans="1:24" x14ac:dyDescent="0.25">
      <c r="A8" s="736"/>
      <c r="B8" s="1" t="s">
        <v>18</v>
      </c>
      <c r="C8" s="486">
        <f>(([12]Offre_calc!$N$80+[12]Offre_calc!$N$126)/([12]Offre_calc!$N$78+[12]Offre_calc!$N$124))*Bilan_E_KP_AME_2028!I$21</f>
        <v>61.922083680230124</v>
      </c>
      <c r="D8" s="81"/>
      <c r="E8" s="28">
        <v>0</v>
      </c>
      <c r="F8" s="81"/>
      <c r="G8" s="17">
        <f t="shared" ref="G8:G19" si="0">C8-E8</f>
        <v>61.922083680230124</v>
      </c>
      <c r="H8" s="81"/>
      <c r="I8" s="21"/>
      <c r="J8" s="81"/>
      <c r="K8" s="524"/>
      <c r="L8" s="524"/>
      <c r="M8" s="524"/>
      <c r="N8" s="524"/>
      <c r="O8" s="524"/>
      <c r="P8" s="29"/>
      <c r="Q8" s="527"/>
      <c r="R8" s="498"/>
      <c r="S8" s="527"/>
      <c r="T8" s="524"/>
      <c r="U8" s="524"/>
      <c r="V8" s="524"/>
      <c r="W8" s="524"/>
      <c r="X8" s="524"/>
    </row>
    <row r="9" spans="1:24" x14ac:dyDescent="0.25">
      <c r="A9" s="736"/>
      <c r="B9" s="1" t="s">
        <v>19</v>
      </c>
      <c r="C9" s="486">
        <f>(([12]Offre_calc!$N$79+[12]Offre_calc!$N$125)/([12]Offre_calc!$N$78+[12]Offre_calc!$N$124))*Bilan_E_KP_AME_2028!I$21</f>
        <v>32.483716028973177</v>
      </c>
      <c r="D9" s="81"/>
      <c r="E9" s="28">
        <v>0</v>
      </c>
      <c r="F9" s="81"/>
      <c r="G9" s="17">
        <f t="shared" si="0"/>
        <v>32.483716028973177</v>
      </c>
      <c r="H9" s="81"/>
      <c r="I9" s="21"/>
      <c r="J9" s="81"/>
      <c r="K9" s="524"/>
      <c r="L9" s="524"/>
      <c r="M9" s="524"/>
      <c r="N9" s="524"/>
      <c r="O9" s="524"/>
      <c r="P9" s="29"/>
      <c r="Q9" s="527"/>
      <c r="R9" s="498"/>
      <c r="S9" s="527"/>
      <c r="T9" s="524"/>
      <c r="U9" s="524"/>
      <c r="V9" s="524"/>
      <c r="W9" s="524"/>
      <c r="X9" s="524"/>
    </row>
    <row r="10" spans="1:24" x14ac:dyDescent="0.25">
      <c r="A10" s="736"/>
      <c r="B10" s="1" t="s">
        <v>20</v>
      </c>
      <c r="C10" s="17">
        <f>Bilan_E_KP_AME_2028!H21-(Bilan_E_KP_AME_2028!P20+Bilan_E_KP_AME_2028!P19)</f>
        <v>1190.909090909091</v>
      </c>
      <c r="D10" s="81"/>
      <c r="E10" s="28">
        <f>F13-SUM(E11:E19)</f>
        <v>797.27462785803368</v>
      </c>
      <c r="F10" s="81"/>
      <c r="G10" s="17">
        <f>C10-E10</f>
        <v>393.63446305105731</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f>Bilan_E_KP_AME_2028!M21</f>
        <v>0.47195886872926307</v>
      </c>
      <c r="D11" s="81"/>
      <c r="E11" s="28">
        <f>C11*(1-[12]Offre_calc!$N$161)</f>
        <v>0.21615716187800246</v>
      </c>
      <c r="F11" s="81"/>
      <c r="G11" s="17">
        <f t="shared" si="0"/>
        <v>0.25580170685126058</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f>Bilan_E_KP_AME_2028!K21</f>
        <v>8.5008344637363535</v>
      </c>
      <c r="D12" s="81"/>
      <c r="E12" s="28">
        <f>C12*(1-[12]Offre_calc!$N$171)</f>
        <v>6.1206008138901744</v>
      </c>
      <c r="F12" s="81"/>
      <c r="G12" s="17">
        <f t="shared" si="0"/>
        <v>2.3802336498461791</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f>Bilan_E_KP_AME_2028!J21</f>
        <v>32.565743560582284</v>
      </c>
      <c r="D13" s="81">
        <f>SUM(C7:C19)</f>
        <v>1438.1860151985877</v>
      </c>
      <c r="E13" s="28">
        <f>C13*(1-[12]Offre_calc!$N$170)</f>
        <v>23.447335363619242</v>
      </c>
      <c r="F13" s="81">
        <f>Bilan_E_KP_AME_2028!S21</f>
        <v>842.80884953908037</v>
      </c>
      <c r="G13" s="17">
        <f t="shared" si="0"/>
        <v>9.1184081969630419</v>
      </c>
      <c r="H13" s="81">
        <f>SUM(G7:G19)</f>
        <v>595.37716565950768</v>
      </c>
      <c r="I13" s="33">
        <f>Bilan_E_KP_AME_2028!P30</f>
        <v>36.293113930785914</v>
      </c>
      <c r="J13" s="81">
        <f>H13-I13</f>
        <v>559.08405172872176</v>
      </c>
      <c r="K13" s="29">
        <f>Bilan_E_KP_AME_2028!P31</f>
        <v>40.115929077638647</v>
      </c>
      <c r="L13" s="29">
        <f>-(Bilan_E_KP_AME_2028!P14+Bilan_E_KP_AME_2028!P13)</f>
        <v>71.534753758802367</v>
      </c>
      <c r="M13" s="29">
        <f>Bilan_E_KP_AME_2028!P28</f>
        <v>6.6777445606960792E-2</v>
      </c>
      <c r="N13" s="29"/>
      <c r="O13" s="29"/>
      <c r="P13" s="29"/>
      <c r="Q13" s="81">
        <f>J13-K13-L13-M13-N13-O13-P13</f>
        <v>447.36659144667379</v>
      </c>
      <c r="R13" s="508">
        <f>Q13-S13</f>
        <v>0</v>
      </c>
      <c r="S13" s="81">
        <f>SUM(T8:X19)</f>
        <v>447.36659144667379</v>
      </c>
      <c r="T13" s="29">
        <f>Bilan_E_KP_AME_2028!P38</f>
        <v>7.9913059260342072</v>
      </c>
      <c r="U13" s="29">
        <f>Bilan_E_KP_AME_2028!P34+Bilan_E_KP_AME_2028!P39</f>
        <v>109.87696924977793</v>
      </c>
      <c r="V13" s="29">
        <f>Bilan_E_KP_AME_2028!P36</f>
        <v>172.83410671700432</v>
      </c>
      <c r="W13" s="29">
        <f>Bilan_E_KP_AME_2028!P37</f>
        <v>131.35942241830159</v>
      </c>
      <c r="X13" s="29">
        <f>Bilan_E_KP_AME_2028!P35</f>
        <v>25.304787135555738</v>
      </c>
    </row>
    <row r="14" spans="1:24" x14ac:dyDescent="0.25">
      <c r="A14" s="736"/>
      <c r="B14" s="1" t="s">
        <v>24</v>
      </c>
      <c r="C14" s="17">
        <f>Bilan_E_KP_AME_2028!O21</f>
        <v>2.2844574579320316</v>
      </c>
      <c r="D14" s="81"/>
      <c r="E14" s="28">
        <v>0</v>
      </c>
      <c r="F14" s="81"/>
      <c r="G14" s="17">
        <f t="shared" si="0"/>
        <v>2.2844574579320316</v>
      </c>
      <c r="H14" s="81"/>
      <c r="I14" s="21"/>
      <c r="J14" s="81"/>
      <c r="K14" s="524"/>
      <c r="L14" s="524"/>
      <c r="M14" s="524"/>
      <c r="N14" s="524"/>
      <c r="O14" s="524"/>
      <c r="P14" s="29"/>
      <c r="Q14" s="527"/>
      <c r="R14" s="498"/>
      <c r="S14" s="527"/>
      <c r="T14" s="524"/>
      <c r="U14" s="524"/>
      <c r="V14" s="524"/>
      <c r="W14" s="524"/>
      <c r="X14" s="524"/>
    </row>
    <row r="15" spans="1:24" x14ac:dyDescent="0.25">
      <c r="A15" s="736"/>
      <c r="B15" s="1" t="s">
        <v>25</v>
      </c>
      <c r="C15" s="17">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36"/>
      <c r="B16" s="1" t="s">
        <v>343</v>
      </c>
      <c r="C16" s="17">
        <f>Bilan_E_KP_AME_2028!L21</f>
        <v>2.2465763720546779</v>
      </c>
      <c r="D16" s="81"/>
      <c r="E16" s="28">
        <f>C16*(1-[12]Offre_calc!$N$158)</f>
        <v>1.2580827683506197</v>
      </c>
      <c r="F16" s="81"/>
      <c r="G16" s="17">
        <f t="shared" si="0"/>
        <v>0.98849360370405814</v>
      </c>
      <c r="H16" s="81"/>
      <c r="I16" s="21"/>
      <c r="J16" s="81"/>
      <c r="K16" s="524"/>
      <c r="L16" s="524"/>
      <c r="M16" s="524"/>
      <c r="N16" s="524"/>
      <c r="O16" s="524"/>
      <c r="P16" s="29"/>
      <c r="Q16" s="527"/>
      <c r="R16" s="498"/>
      <c r="S16" s="527"/>
      <c r="T16" s="524"/>
      <c r="U16" s="524"/>
      <c r="V16" s="524"/>
      <c r="W16" s="524"/>
      <c r="X16" s="524"/>
    </row>
    <row r="17" spans="1:24" x14ac:dyDescent="0.25">
      <c r="A17" s="736"/>
      <c r="B17" s="1" t="s">
        <v>27</v>
      </c>
      <c r="C17" s="17">
        <f>Bilan_E_KP_AME_2028!F21</f>
        <v>7.6468438736280877</v>
      </c>
      <c r="D17" s="81"/>
      <c r="E17" s="28">
        <f>C17*(1-[12]Offre_calc!$N$158)</f>
        <v>4.2822325692317298</v>
      </c>
      <c r="F17" s="81"/>
      <c r="G17" s="17">
        <f t="shared" si="0"/>
        <v>3.3646113043963579</v>
      </c>
      <c r="H17" s="81"/>
      <c r="I17" s="21"/>
      <c r="J17" s="81"/>
      <c r="K17" s="524"/>
      <c r="L17" s="524"/>
      <c r="M17" s="524"/>
      <c r="N17" s="524"/>
      <c r="O17" s="524"/>
      <c r="P17" s="29"/>
      <c r="Q17" s="527"/>
      <c r="R17" s="498"/>
      <c r="S17" s="527"/>
      <c r="T17" s="524"/>
      <c r="U17" s="524"/>
      <c r="V17" s="524"/>
      <c r="W17" s="524"/>
      <c r="X17" s="524"/>
    </row>
    <row r="18" spans="1:24" x14ac:dyDescent="0.25">
      <c r="A18" s="736"/>
      <c r="B18" s="1" t="s">
        <v>28</v>
      </c>
      <c r="C18" s="17">
        <f>Bilan_E_KP_AME_2028!D21</f>
        <v>2.8283781870338589</v>
      </c>
      <c r="D18" s="81"/>
      <c r="E18" s="28">
        <f>C18*(1-[12]Offre_calc!$N$157)</f>
        <v>1.9286321922688152</v>
      </c>
      <c r="F18" s="81"/>
      <c r="G18" s="17">
        <f t="shared" si="0"/>
        <v>0.89974599476504369</v>
      </c>
      <c r="H18" s="81"/>
      <c r="I18" s="21"/>
      <c r="J18" s="81"/>
      <c r="K18" s="524"/>
      <c r="L18" s="524"/>
      <c r="M18" s="524"/>
      <c r="N18" s="524"/>
      <c r="O18" s="524"/>
      <c r="P18" s="29"/>
      <c r="Q18" s="527"/>
      <c r="R18" s="498"/>
      <c r="S18" s="527"/>
      <c r="T18" s="524"/>
      <c r="U18" s="524"/>
      <c r="V18" s="524"/>
      <c r="W18" s="524"/>
      <c r="X18" s="524"/>
    </row>
    <row r="19" spans="1:24" x14ac:dyDescent="0.25">
      <c r="A19" s="736"/>
      <c r="B19" s="1" t="s">
        <v>260</v>
      </c>
      <c r="C19" s="17">
        <f>Bilan_E_KP_AME_2028!G21+Bilan_E_KP_AME_2028!R21</f>
        <v>18.081180811808117</v>
      </c>
      <c r="D19" s="82"/>
      <c r="E19" s="28">
        <f>C19*(1-[12]Offre_calc!$N$160)</f>
        <v>8.2811808118081167</v>
      </c>
      <c r="F19" s="82"/>
      <c r="G19" s="17">
        <f t="shared" si="0"/>
        <v>9.8000000000000007</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0.33053275523371223</v>
      </c>
      <c r="H20" s="499"/>
      <c r="I20" s="17"/>
      <c r="J20" s="1"/>
      <c r="K20" s="17"/>
      <c r="L20" s="1"/>
      <c r="M20" s="1"/>
      <c r="N20" s="1"/>
      <c r="O20" s="1"/>
      <c r="P20" s="1"/>
      <c r="Q20" s="499"/>
      <c r="R20" s="498"/>
      <c r="S20" s="408"/>
      <c r="T20" s="495"/>
      <c r="U20" s="408"/>
      <c r="V20" s="495"/>
      <c r="W20" s="408"/>
      <c r="X20" s="495"/>
    </row>
    <row r="21" spans="1:24" x14ac:dyDescent="0.25">
      <c r="A21" s="737" t="s">
        <v>13</v>
      </c>
      <c r="B21" s="1" t="s">
        <v>21</v>
      </c>
      <c r="C21" s="17">
        <f>Bilan_E_KP_AME_2028!J23+Bilan_E_KP_AME_2028!M12</f>
        <v>7.9048852453387051</v>
      </c>
      <c r="D21" s="529"/>
      <c r="E21" s="33">
        <f>Bilan_E_KP_AME_2028!S23+Bilan_E_KP_AME_2028!M30</f>
        <v>0.95812627189144406</v>
      </c>
      <c r="F21" s="529"/>
      <c r="G21" s="17">
        <f t="shared" ref="G21:G45" si="1">C21-E21</f>
        <v>6.9467589734472615</v>
      </c>
      <c r="H21" s="529"/>
      <c r="I21" s="17"/>
      <c r="J21" s="529"/>
      <c r="K21" s="545">
        <f>Bilan_E_KP_AME_2028!M31</f>
        <v>8.211764297814271E-2</v>
      </c>
      <c r="L21" s="545">
        <f>-(Bilan_E_KP_AME_2028!M13+Bilan_E_KP_AME_2028!M14+Bilan_E_KP_AME_2028!M15+Bilan_E_KP_AME_2028!M16)</f>
        <v>0</v>
      </c>
      <c r="M21" s="545">
        <f>Bilan_E_KP_AME_2028!M28</f>
        <v>1.5351077650341492E-2</v>
      </c>
      <c r="N21" s="545">
        <f>Bilan_E_KP_AME_2028!M22</f>
        <v>0.33966953640978992</v>
      </c>
      <c r="O21" s="545">
        <f>Bilan_E_KP_AME_2028!M21</f>
        <v>0.47195886872926307</v>
      </c>
      <c r="P21" s="529"/>
      <c r="Q21" s="529"/>
      <c r="R21" s="498"/>
      <c r="S21" s="529"/>
      <c r="T21" s="529"/>
      <c r="U21" s="529"/>
      <c r="V21" s="529"/>
      <c r="W21" s="529"/>
      <c r="X21" s="529"/>
    </row>
    <row r="22" spans="1:24" x14ac:dyDescent="0.25">
      <c r="A22" s="737"/>
      <c r="B22" s="1" t="s">
        <v>30</v>
      </c>
      <c r="C22" s="17"/>
      <c r="D22" s="85">
        <f>SUM(C21:C24)</f>
        <v>348.08506931600567</v>
      </c>
      <c r="E22" s="497"/>
      <c r="F22" s="85">
        <f>SUM(E21:E24)</f>
        <v>6.7566309334894523</v>
      </c>
      <c r="G22" s="17"/>
      <c r="H22" s="85">
        <f>SUM(G21:G24)</f>
        <v>341.32843838251625</v>
      </c>
      <c r="I22" s="408"/>
      <c r="J22" s="85">
        <f>H22-I22</f>
        <v>341.32843838251625</v>
      </c>
      <c r="K22" s="32"/>
      <c r="L22" s="32"/>
      <c r="M22" s="32"/>
      <c r="N22" s="32"/>
      <c r="O22" s="32"/>
      <c r="P22" s="32"/>
      <c r="Q22" s="85">
        <f>J22-SUM(K21:P24)</f>
        <v>301.54966275036384</v>
      </c>
      <c r="R22" s="508">
        <f>Q22-S22</f>
        <v>-2.5571216676155473E-2</v>
      </c>
      <c r="S22" s="85">
        <f>SUM(T22:X24)</f>
        <v>301.57523396703999</v>
      </c>
      <c r="T22" s="32">
        <f>Bilan_E_KP_AME_2028!G38+Bilan_E_KP_AME_2028!R38+Bilan_E_KP_AME_2028!M$38</f>
        <v>2.3374591353422414</v>
      </c>
      <c r="U22" s="32">
        <f>Bilan_E_KP_AME_2028!G34+Bilan_E_KP_AME_2028!R34+Bilan_E_KP_AME_2028!M$34</f>
        <v>109.46493147547221</v>
      </c>
      <c r="V22" s="32">
        <f>Bilan_E_KP_AME_2028!G36+Bilan_E_KP_AME_2028!R36+Bilan_E_KP_AME_2028!M$36</f>
        <v>112.39978162627901</v>
      </c>
      <c r="W22" s="32">
        <f>Bilan_E_KP_AME_2028!G37+Bilan_E_KP_AME_2028!K37+Bilan_E_KP_AME_2028!R37+Bilan_E_KP_AME_2028!M$37</f>
        <v>65.455223414858708</v>
      </c>
      <c r="X22" s="32">
        <f>Bilan_E_KP_AME_2028!G35+Bilan_E_KP_AME_2028!R35+Bilan_E_KP_AME_2028!M$35</f>
        <v>11.917838315087831</v>
      </c>
    </row>
    <row r="23" spans="1:24" x14ac:dyDescent="0.25">
      <c r="A23" s="737"/>
      <c r="B23" s="1" t="s">
        <v>31</v>
      </c>
      <c r="C23" s="17">
        <f>SUM(Bilan_E_KP_AME_2028!D28:Q28)-C47</f>
        <v>0.84271073732182</v>
      </c>
      <c r="D23" s="530"/>
      <c r="E23" s="33">
        <f>Bilan_E_KP_AME_2028!S28+Bilan_E_KP_AME_2028!S27</f>
        <v>0.25615209347689405</v>
      </c>
      <c r="F23" s="532"/>
      <c r="G23" s="17">
        <f t="shared" si="1"/>
        <v>0.58655864384492595</v>
      </c>
      <c r="H23" s="532"/>
      <c r="I23" s="17"/>
      <c r="J23" s="532"/>
      <c r="K23" s="534">
        <f>Bilan_E_KP_AME_2028!R31</f>
        <v>0</v>
      </c>
      <c r="L23" s="534">
        <f>-(Bilan_E_KP_AME_2028!R13+Bilan_E_KP_AME_2028!R14+Bilan_E_KP_AME_2028!R15+Bilan_E_KP_AME_2028!R16)</f>
        <v>0</v>
      </c>
      <c r="M23" s="534"/>
      <c r="N23" s="534">
        <f>Bilan_E_KP_AME_2028!R22</f>
        <v>0</v>
      </c>
      <c r="O23" s="534">
        <f>Bilan_E_KP_AME_2028!R21</f>
        <v>0</v>
      </c>
      <c r="P23" s="534">
        <f>-Bilan_E_KP_AME_2028!L27</f>
        <v>0</v>
      </c>
      <c r="Q23" s="532"/>
      <c r="S23" s="532"/>
      <c r="T23" s="536"/>
      <c r="U23" s="536"/>
      <c r="V23" s="536"/>
      <c r="W23" s="536"/>
      <c r="X23" s="536"/>
    </row>
    <row r="24" spans="1:24" x14ac:dyDescent="0.25">
      <c r="A24" s="737"/>
      <c r="B24" s="1" t="s">
        <v>32</v>
      </c>
      <c r="C24" s="17">
        <f>Bilan_E_KP_AME_2028!G18-C45-(Bilan_E_KP_AME_2028!G20+Bilan_E_KP_AME_2028!G19)</f>
        <v>339.33747333334514</v>
      </c>
      <c r="D24" s="531"/>
      <c r="E24" s="33">
        <f>Bilan_E_KP_AME_2028!G30</f>
        <v>5.5423525681211148</v>
      </c>
      <c r="F24" s="533"/>
      <c r="G24" s="17">
        <f t="shared" si="1"/>
        <v>333.79512076522406</v>
      </c>
      <c r="H24" s="533"/>
      <c r="I24" s="34"/>
      <c r="J24" s="533"/>
      <c r="K24" s="535">
        <f>Bilan_E_KP_AME_2028!G31</f>
        <v>4.0237645059289928</v>
      </c>
      <c r="L24" s="535"/>
      <c r="M24" s="535">
        <f>Bilan_E_KP_AME_2028!G28</f>
        <v>0.75220280486673308</v>
      </c>
      <c r="N24" s="535">
        <f>Bilan_E_KP_AME_2028!G22</f>
        <v>16.012530383781044</v>
      </c>
      <c r="O24" s="535">
        <f>Bilan_E_KP_AME_2028!G21</f>
        <v>18.081180811808117</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38" t="s">
        <v>14</v>
      </c>
      <c r="B26" s="1" t="s">
        <v>21</v>
      </c>
      <c r="C26" s="17">
        <f>Bilan_E_KP_AME_2028!M22</f>
        <v>0.33966953640978992</v>
      </c>
      <c r="D26" s="512"/>
      <c r="E26" s="190">
        <f>C26*F$35</f>
        <v>3.5792283187842583E-2</v>
      </c>
      <c r="F26" s="512"/>
      <c r="G26" s="33">
        <f t="shared" ref="G26:G31" si="2">C26-E26</f>
        <v>0.30387725322194736</v>
      </c>
      <c r="H26" s="512"/>
      <c r="I26" s="1"/>
      <c r="J26" s="512"/>
      <c r="K26" s="512"/>
      <c r="L26" s="512"/>
      <c r="M26" s="512"/>
      <c r="N26" s="512"/>
      <c r="O26" s="512"/>
      <c r="P26" s="512"/>
      <c r="Q26" s="512"/>
      <c r="R26" s="498"/>
      <c r="S26" s="512"/>
      <c r="T26" s="512"/>
      <c r="U26" s="512"/>
      <c r="V26" s="512"/>
      <c r="W26" s="512"/>
      <c r="X26" s="512"/>
    </row>
    <row r="27" spans="1:24" x14ac:dyDescent="0.25">
      <c r="A27" s="738"/>
      <c r="B27" s="1" t="s">
        <v>22</v>
      </c>
      <c r="C27" s="17">
        <f>Bilan_E_KP_AME_2028!K18-Bilan_E_KP_AME_2028!K21-Bilan_E_KP_AME_2028!K34-(Bilan_E_KP_AME_2028!Q20+Bilan_E_KP_AME_2028!Q19+Bilan_E_KP_AME_2028!K20+Bilan_E_KP_AME_2028!K19)</f>
        <v>12.602349705659984</v>
      </c>
      <c r="D27" s="87"/>
      <c r="E27" s="190">
        <f t="shared" ref="E27:E34" si="3">C27*F$35</f>
        <v>1.3279579742854037</v>
      </c>
      <c r="F27" s="87"/>
      <c r="G27" s="33">
        <f t="shared" si="2"/>
        <v>11.27439173137458</v>
      </c>
      <c r="H27" s="87"/>
      <c r="I27" s="500"/>
      <c r="J27" s="87"/>
      <c r="K27" s="87"/>
      <c r="L27" s="87"/>
      <c r="M27" s="87"/>
      <c r="N27" s="87"/>
      <c r="O27" s="87"/>
      <c r="P27" s="87"/>
      <c r="Q27" s="87"/>
      <c r="R27" s="498"/>
      <c r="S27" s="87"/>
      <c r="T27" s="87"/>
      <c r="U27" s="87"/>
      <c r="V27" s="87"/>
      <c r="W27" s="87"/>
      <c r="X27" s="87"/>
    </row>
    <row r="28" spans="1:24" x14ac:dyDescent="0.25">
      <c r="A28" s="738"/>
      <c r="B28" s="1" t="s">
        <v>26</v>
      </c>
      <c r="C28" s="17"/>
      <c r="D28" s="87"/>
      <c r="E28" s="190">
        <f t="shared" si="3"/>
        <v>0</v>
      </c>
      <c r="F28" s="87"/>
      <c r="G28" s="33">
        <f>C28-E28</f>
        <v>0</v>
      </c>
      <c r="H28" s="87"/>
      <c r="I28" s="1"/>
      <c r="J28" s="87"/>
      <c r="K28" s="87"/>
      <c r="L28" s="87"/>
      <c r="M28" s="87"/>
      <c r="N28" s="87"/>
      <c r="O28" s="87"/>
      <c r="P28" s="87"/>
      <c r="Q28" s="87"/>
      <c r="R28" s="498"/>
      <c r="S28" s="87"/>
      <c r="T28" s="87"/>
      <c r="U28" s="87"/>
      <c r="V28" s="87"/>
      <c r="W28" s="87"/>
      <c r="X28" s="87"/>
    </row>
    <row r="29" spans="1:24" x14ac:dyDescent="0.25">
      <c r="A29" s="738"/>
      <c r="B29" s="1" t="s">
        <v>23</v>
      </c>
      <c r="C29" s="17">
        <f>Bilan_E_KP_AME_2028!J22</f>
        <v>13.847709445189022</v>
      </c>
      <c r="D29" s="87"/>
      <c r="E29" s="190">
        <f t="shared" si="3"/>
        <v>1.4591863115072179</v>
      </c>
      <c r="F29" s="87"/>
      <c r="G29" s="33">
        <f t="shared" si="2"/>
        <v>12.388523133681804</v>
      </c>
      <c r="H29" s="87"/>
      <c r="I29" s="1"/>
      <c r="J29" s="87"/>
      <c r="K29" s="87"/>
      <c r="L29" s="87"/>
      <c r="M29" s="87"/>
      <c r="N29" s="87"/>
      <c r="O29" s="87"/>
      <c r="P29" s="87"/>
      <c r="Q29" s="87"/>
      <c r="R29" s="498"/>
      <c r="S29" s="87"/>
      <c r="T29" s="87"/>
      <c r="U29" s="87"/>
      <c r="V29" s="87"/>
      <c r="W29" s="87"/>
      <c r="X29" s="87"/>
    </row>
    <row r="30" spans="1:24" x14ac:dyDescent="0.25">
      <c r="A30" s="738"/>
      <c r="B30" s="1" t="s">
        <v>24</v>
      </c>
      <c r="C30" s="17">
        <f>Bilan_E_KP_AME_2028!O22</f>
        <v>2.2653429264336893</v>
      </c>
      <c r="D30" s="86">
        <f>SUM(C26:C34)</f>
        <v>45.116998472421024</v>
      </c>
      <c r="E30" s="190">
        <f t="shared" si="3"/>
        <v>0.23870788177680607</v>
      </c>
      <c r="F30" s="86">
        <f>Bilan_E_KP_AME_2028!S22</f>
        <v>4.7541513524549677</v>
      </c>
      <c r="G30" s="33">
        <f t="shared" si="2"/>
        <v>2.0266350446568833</v>
      </c>
      <c r="H30" s="86">
        <f>SUM(G26:G34)</f>
        <v>40.362847119966055</v>
      </c>
      <c r="I30" s="1"/>
      <c r="J30" s="86">
        <f>H30</f>
        <v>40.362847119966055</v>
      </c>
      <c r="K30" s="87">
        <f>Bilan_E_KP_AME_2028!Q31</f>
        <v>3.1293610589936001</v>
      </c>
      <c r="L30" s="87"/>
      <c r="M30" s="87">
        <f>Bilan_E_KP_AME_2028!K28</f>
        <v>8.3794091977846576E-3</v>
      </c>
      <c r="N30" s="87"/>
      <c r="O30" s="87"/>
      <c r="P30" s="87"/>
      <c r="Q30" s="86">
        <f>J30-K30-L30-M30-N30-O30-P30</f>
        <v>37.225106651774666</v>
      </c>
      <c r="R30" s="508">
        <f>Q30-S30</f>
        <v>2.5571216676262054E-2</v>
      </c>
      <c r="S30" s="86">
        <f>SUM(T27:X34)</f>
        <v>37.199535435098404</v>
      </c>
      <c r="T30" s="87">
        <f>Bilan_E_KP_AME_2028!Q$38</f>
        <v>0</v>
      </c>
      <c r="U30" s="87">
        <f>Bilan_E_KP_AME_2028!Q$34</f>
        <v>16.590503969858354</v>
      </c>
      <c r="V30" s="87">
        <f>Bilan_E_KP_AME_2028!Q$36</f>
        <v>15.866907360541454</v>
      </c>
      <c r="W30" s="87">
        <f>Bilan_E_KP_AME_2028!Q$37</f>
        <v>4.7421241046985951</v>
      </c>
      <c r="X30" s="87">
        <f>Bilan_E_KP_AME_2028!Q$35</f>
        <v>0</v>
      </c>
    </row>
    <row r="31" spans="1:24" x14ac:dyDescent="0.25">
      <c r="A31" s="738"/>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38"/>
      <c r="B32" s="1" t="s">
        <v>29</v>
      </c>
      <c r="C32" s="17">
        <f>Bilan_E_KP_AME_2028!G22</f>
        <v>16.012530383781044</v>
      </c>
      <c r="D32" s="86"/>
      <c r="E32" s="190">
        <f t="shared" si="3"/>
        <v>1.6873018054783269</v>
      </c>
      <c r="F32" s="86"/>
      <c r="G32" s="33">
        <f>C32-E32</f>
        <v>14.325228578302717</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Bilan_E_KP_AME_2028!F22</f>
        <v>0</v>
      </c>
      <c r="D33" s="86"/>
      <c r="E33" s="190">
        <f t="shared" si="3"/>
        <v>0</v>
      </c>
      <c r="F33" s="86"/>
      <c r="G33" s="33">
        <f t="shared" ref="G33:G34" si="4">C33-E33</f>
        <v>0</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Bilan_E_KP_AME_2028!D22</f>
        <v>4.9396474947490832E-2</v>
      </c>
      <c r="D34" s="88"/>
      <c r="E34" s="190">
        <f t="shared" si="3"/>
        <v>5.2050962193700163E-3</v>
      </c>
      <c r="F34" s="88"/>
      <c r="G34" s="33">
        <f t="shared" si="4"/>
        <v>4.4191378728120817E-2</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0.10537383942686414</v>
      </c>
      <c r="G35" s="17"/>
      <c r="H35" s="501"/>
      <c r="I35" s="1"/>
      <c r="J35" s="1"/>
      <c r="K35" s="1"/>
      <c r="L35" s="1"/>
      <c r="M35" s="1"/>
      <c r="N35" s="1"/>
      <c r="O35" s="1"/>
      <c r="P35" s="1"/>
      <c r="Q35" s="502"/>
      <c r="R35" s="498"/>
      <c r="U35" s="33"/>
      <c r="V35" s="33"/>
      <c r="W35" s="33"/>
    </row>
    <row r="36" spans="1:26" x14ac:dyDescent="0.25">
      <c r="A36" s="739" t="s">
        <v>34</v>
      </c>
      <c r="B36" s="1" t="s">
        <v>21</v>
      </c>
      <c r="C36" s="33">
        <v>0</v>
      </c>
      <c r="D36" s="538"/>
      <c r="E36" s="17"/>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39"/>
      <c r="B37" s="1" t="s">
        <v>23</v>
      </c>
      <c r="C37" s="33">
        <f>SUM(T37:X37)</f>
        <v>99.463524740250676</v>
      </c>
      <c r="D37" s="539"/>
      <c r="E37" s="504"/>
      <c r="F37" s="539"/>
      <c r="G37" s="17">
        <f t="shared" ref="G37:G42" si="5">C37-E37</f>
        <v>99.463524740250676</v>
      </c>
      <c r="H37" s="539"/>
      <c r="I37" s="498"/>
      <c r="J37" s="37"/>
      <c r="K37" s="35"/>
      <c r="L37" s="35"/>
      <c r="M37" s="505"/>
      <c r="N37" s="35"/>
      <c r="P37" s="35"/>
      <c r="Q37" s="541"/>
      <c r="R37" s="498"/>
      <c r="S37" s="539"/>
      <c r="T37" s="506">
        <f>Bilan_E_KP_AME_2028!J38</f>
        <v>1.1066179688825246</v>
      </c>
      <c r="U37" s="93">
        <f>Bilan_E_KP_AME_2028!J34</f>
        <v>18.169859613838756</v>
      </c>
      <c r="V37" s="506">
        <f>Bilan_E_KP_AME_2028!J36</f>
        <v>76.439784825488388</v>
      </c>
      <c r="W37" s="507">
        <f>Bilan_E_KP_AME_2028!J37</f>
        <v>3.7472623320410015</v>
      </c>
      <c r="X37" s="506">
        <f>Bilan_E_KP_AME_2028!J35</f>
        <v>0</v>
      </c>
      <c r="Y37" s="489">
        <f t="shared" ref="Y37:Y47" si="6">SUM(T37:X37)</f>
        <v>99.463524740250676</v>
      </c>
      <c r="Z37" s="489">
        <f t="shared" ref="Z37:Z44" si="7">G37-Y37</f>
        <v>0</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f>SUM(G36:G41)-E55-E56-L41-L36</f>
        <v>186.66502922131878</v>
      </c>
      <c r="R38" s="498"/>
      <c r="S38" s="539"/>
      <c r="T38" s="84">
        <v>0</v>
      </c>
      <c r="U38" s="83">
        <v>0</v>
      </c>
      <c r="V38" s="84">
        <v>0</v>
      </c>
      <c r="W38" s="91">
        <v>0</v>
      </c>
      <c r="X38" s="91">
        <v>0</v>
      </c>
      <c r="Y38" s="489">
        <f t="shared" si="6"/>
        <v>0</v>
      </c>
      <c r="Z38" s="489">
        <f t="shared" si="7"/>
        <v>0</v>
      </c>
    </row>
    <row r="39" spans="1:26" x14ac:dyDescent="0.25">
      <c r="A39" s="739"/>
      <c r="B39" s="1" t="s">
        <v>35</v>
      </c>
      <c r="C39" s="33">
        <f>SUM(T39:X39)</f>
        <v>2.7231373652307198</v>
      </c>
      <c r="D39" s="539"/>
      <c r="E39" s="35"/>
      <c r="F39" s="539"/>
      <c r="G39" s="17">
        <f t="shared" si="5"/>
        <v>2.7231373652307198</v>
      </c>
      <c r="H39" s="539"/>
      <c r="I39" s="35"/>
      <c r="J39" s="37"/>
      <c r="K39" s="35"/>
      <c r="L39" s="35"/>
      <c r="M39" s="37"/>
      <c r="N39" s="35"/>
      <c r="O39" s="35"/>
      <c r="P39" s="35"/>
      <c r="Q39" s="541"/>
      <c r="R39" s="498"/>
      <c r="S39" s="539"/>
      <c r="T39" s="84">
        <f>Bilan_E_KP_AME_2028!O38</f>
        <v>8.6639841752499475E-2</v>
      </c>
      <c r="U39" s="83">
        <f>Bilan_E_KP_AME_2028!O34</f>
        <v>3.8276465550578692E-4</v>
      </c>
      <c r="V39" s="84">
        <f>Bilan_E_KP_AME_2028!O36</f>
        <v>1.7588356807089602</v>
      </c>
      <c r="W39" s="91">
        <f>Bilan_E_KP_AME_2028!O37</f>
        <v>0.8772790781137545</v>
      </c>
      <c r="X39" s="91">
        <f>Bilan_E_KP_AME_2028!O35</f>
        <v>0</v>
      </c>
      <c r="Y39" s="489">
        <f t="shared" si="6"/>
        <v>2.7231373652307198</v>
      </c>
      <c r="Z39" s="489">
        <f t="shared" si="7"/>
        <v>0</v>
      </c>
    </row>
    <row r="40" spans="1:26" x14ac:dyDescent="0.25">
      <c r="A40" s="739"/>
      <c r="B40" s="1" t="s">
        <v>36</v>
      </c>
      <c r="C40" s="33">
        <f>Bilan_E_KP_AME_2028!N12</f>
        <v>45.31680426782367</v>
      </c>
      <c r="D40" s="539"/>
      <c r="E40" s="35"/>
      <c r="F40" s="539"/>
      <c r="G40" s="17">
        <f t="shared" si="5"/>
        <v>45.31680426782367</v>
      </c>
      <c r="H40" s="539"/>
      <c r="I40" s="35"/>
      <c r="J40" s="37"/>
      <c r="K40" s="35"/>
      <c r="L40" s="35"/>
      <c r="M40" s="37"/>
      <c r="N40" s="35"/>
      <c r="O40" s="35"/>
      <c r="P40" s="35"/>
      <c r="Q40" s="541"/>
      <c r="R40" s="498"/>
      <c r="S40" s="539"/>
      <c r="T40" s="83">
        <f>Bilan_E_KP_AME_2028!N$38</f>
        <v>0</v>
      </c>
      <c r="U40" s="83">
        <f>Bilan_E_KP_AME_2028!N$34</f>
        <v>0</v>
      </c>
      <c r="V40" s="83">
        <f>Bilan_E_KP_AME_2028!N$36</f>
        <v>37.868836361528707</v>
      </c>
      <c r="W40" s="83">
        <f>Bilan_E_KP_AME_2028!N$37</f>
        <v>7.447967906294962</v>
      </c>
      <c r="X40" s="84">
        <f>Bilan_E_KP_AME_2028!N$35</f>
        <v>0</v>
      </c>
      <c r="Y40" s="489">
        <f t="shared" si="6"/>
        <v>45.31680426782367</v>
      </c>
      <c r="Z40" s="489">
        <f t="shared" si="7"/>
        <v>0</v>
      </c>
    </row>
    <row r="41" spans="1:26" x14ac:dyDescent="0.25">
      <c r="A41" s="739"/>
      <c r="B41" s="1" t="s">
        <v>37</v>
      </c>
      <c r="C41" s="33">
        <f>Bilan_E_KP_AME_2028!L12+Bilan_E_KP_AME_2028!J26+Bilan_E_KP_AME_2028!J27-Bilan_E_KP_AME_2028!L21</f>
        <v>38.027520916026305</v>
      </c>
      <c r="D41" s="191">
        <f>SUM(C36:C47)</f>
        <v>882.87225372306807</v>
      </c>
      <c r="E41" s="38"/>
      <c r="F41" s="191">
        <f>SUM(E36:E47)</f>
        <v>31.230804477900737</v>
      </c>
      <c r="G41" s="17">
        <f t="shared" si="5"/>
        <v>38.027520916026305</v>
      </c>
      <c r="H41" s="191">
        <f>SUM(G36:G47)</f>
        <v>851.64144924516734</v>
      </c>
      <c r="I41" s="35"/>
      <c r="J41" s="37"/>
      <c r="K41" s="35"/>
      <c r="L41" s="37">
        <f>-SUM(Bilan_E_KP_AME_2028!L13:L16)</f>
        <v>-1.134041931987412</v>
      </c>
      <c r="M41" s="35"/>
      <c r="N41" s="35"/>
      <c r="O41" s="35"/>
      <c r="P41" s="35"/>
      <c r="Q41" s="541"/>
      <c r="R41" s="508">
        <f>SUM(Q36:Q47)-S41</f>
        <v>2.3130955229362371E-3</v>
      </c>
      <c r="S41" s="191">
        <f>SUM(T36:X46)</f>
        <v>676.4369752811333</v>
      </c>
      <c r="T41" s="83">
        <f>Bilan_E_KP_AME_2028!L$38</f>
        <v>2.3728212231152073</v>
      </c>
      <c r="U41" s="83">
        <f>Bilan_E_KP_AME_2028!L$34</f>
        <v>0.84376959960937503</v>
      </c>
      <c r="V41" s="83">
        <f>Bilan_E_KP_AME_2028!L$36</f>
        <v>0</v>
      </c>
      <c r="W41" s="83">
        <f>Bilan_E_KP_AME_2028!L$37</f>
        <v>0</v>
      </c>
      <c r="X41" s="84">
        <f>Bilan_E_KP_AME_2028!L$35</f>
        <v>35.942658929765898</v>
      </c>
      <c r="Y41" s="489">
        <f t="shared" si="6"/>
        <v>39.159249752490481</v>
      </c>
      <c r="Z41" s="489">
        <f>G41-Y41-L41</f>
        <v>2.3130955232351091E-3</v>
      </c>
    </row>
    <row r="42" spans="1:26" x14ac:dyDescent="0.25">
      <c r="A42" s="739"/>
      <c r="B42" s="1" t="s">
        <v>38</v>
      </c>
      <c r="C42" s="33">
        <f>Bilan_E_KP_AME_2028!E18+Bilan_E_KP_AME_2028!F18-Bilan_E_KP_AME_2028!F21-Bilan_E_KP_AME_2028!F22-E54-SUM(T43:X43)-(Bilan_E_KP_AME_2028!E20+Bilan_E_KP_AME_2028!F20+Bilan_E_KP_AME_2028!E19+Bilan_E_KP_AME_2028!F19)</f>
        <v>401.18603551107992</v>
      </c>
      <c r="D42" s="539"/>
      <c r="E42" s="17">
        <f>Bilan_E_KP_AME_2028!F30+Bilan_E_KP_AME_2028!S25+Bilan_E_KP_AME_2028!F29+Bilan_E_KP_AME_2028!E29</f>
        <v>31.230804477900737</v>
      </c>
      <c r="F42" s="539"/>
      <c r="G42" s="17">
        <f t="shared" si="5"/>
        <v>369.95523103317919</v>
      </c>
      <c r="H42" s="539"/>
      <c r="I42" s="498"/>
      <c r="J42" s="37"/>
      <c r="K42" s="35"/>
      <c r="L42" s="35"/>
      <c r="M42" s="35"/>
      <c r="N42" s="35"/>
      <c r="O42" s="35"/>
      <c r="P42" s="35"/>
      <c r="Q42" s="36">
        <f>G42</f>
        <v>369.95523103317919</v>
      </c>
      <c r="R42" s="498"/>
      <c r="S42" s="539"/>
      <c r="T42" s="83">
        <v>0</v>
      </c>
      <c r="U42" s="83">
        <v>0</v>
      </c>
      <c r="V42" s="83">
        <v>0</v>
      </c>
      <c r="W42" s="83">
        <v>0</v>
      </c>
      <c r="X42" s="84">
        <f>Bilan_E_KP_AME_2028!F35</f>
        <v>369.9552310331793</v>
      </c>
      <c r="Y42" s="489">
        <f t="shared" si="6"/>
        <v>369.9552310331793</v>
      </c>
      <c r="Z42" s="489">
        <f>Q42-SUM(T42:X42)</f>
        <v>0</v>
      </c>
    </row>
    <row r="43" spans="1:26" x14ac:dyDescent="0.25">
      <c r="A43" s="739"/>
      <c r="B43" s="1" t="s">
        <v>39</v>
      </c>
      <c r="C43" s="33">
        <f>Bilan_E_KP_AME_2028!F41+SUM(T43:X43)</f>
        <v>234.54018457996267</v>
      </c>
      <c r="D43" s="539"/>
      <c r="E43" s="38"/>
      <c r="F43" s="539"/>
      <c r="G43" s="17">
        <f>C43-E43</f>
        <v>234.54018457996267</v>
      </c>
      <c r="H43" s="539"/>
      <c r="I43" s="35"/>
      <c r="J43" s="37"/>
      <c r="K43" s="35"/>
      <c r="L43" s="35"/>
      <c r="M43" s="35"/>
      <c r="N43" s="35"/>
      <c r="O43" s="35"/>
      <c r="P43" s="35"/>
      <c r="Q43" s="36">
        <f>G43-Bilan_E_KP_AME_2028!F41</f>
        <v>111.33348480701592</v>
      </c>
      <c r="R43" s="498"/>
      <c r="S43" s="539"/>
      <c r="T43" s="83">
        <f>Bilan_E_KP_AME_2028!F38</f>
        <v>33.765533014074606</v>
      </c>
      <c r="U43" s="83">
        <f>Bilan_E_KP_AME_2028!F34</f>
        <v>25.863549799477383</v>
      </c>
      <c r="V43" s="83">
        <f>Bilan_E_KP_AME_2028!F36</f>
        <v>35.339410591812062</v>
      </c>
      <c r="W43" s="83">
        <f>Bilan_E_KP_AME_2028!F37</f>
        <v>16.364991401651867</v>
      </c>
      <c r="X43" s="84">
        <v>0</v>
      </c>
      <c r="Y43" s="489">
        <f t="shared" si="6"/>
        <v>111.33348480701592</v>
      </c>
      <c r="Z43" s="489">
        <f>Q43-SUM(T43:X43)</f>
        <v>0</v>
      </c>
    </row>
    <row r="44" spans="1:26" x14ac:dyDescent="0.25">
      <c r="A44" s="739"/>
      <c r="B44" s="1" t="s">
        <v>40</v>
      </c>
      <c r="C44" s="33">
        <f>SUM(T44:X44)</f>
        <v>1.7567698743130979</v>
      </c>
      <c r="D44" s="539"/>
      <c r="E44" s="38"/>
      <c r="F44" s="539"/>
      <c r="G44" s="17">
        <f t="shared" si="1"/>
        <v>1.7567698743130979</v>
      </c>
      <c r="H44" s="539"/>
      <c r="I44" s="35"/>
      <c r="J44" s="37"/>
      <c r="K44" s="35"/>
      <c r="L44" s="35"/>
      <c r="M44" s="35"/>
      <c r="N44" s="35"/>
      <c r="O44" s="35"/>
      <c r="P44" s="35"/>
      <c r="Q44" s="36">
        <f>G44-Bilan_E_KP_AME_2028!K41</f>
        <v>1.7567698743130979</v>
      </c>
      <c r="R44" s="498"/>
      <c r="S44" s="539"/>
      <c r="T44" s="83">
        <f>Bilan_E_KP_AME_2028!K$38</f>
        <v>0</v>
      </c>
      <c r="U44" s="83">
        <f>Bilan_E_KP_AME_2028!K34</f>
        <v>1.7567698743130979</v>
      </c>
      <c r="V44" s="83">
        <f>Bilan_E_KP_AME_2028!K$36</f>
        <v>0</v>
      </c>
      <c r="W44" s="83">
        <v>0</v>
      </c>
      <c r="X44" s="84">
        <f>Bilan_E_KP_AME_2028!K$35</f>
        <v>0</v>
      </c>
      <c r="Y44" s="489">
        <f t="shared" si="6"/>
        <v>1.7567698743130979</v>
      </c>
      <c r="Z44" s="489">
        <f t="shared" si="7"/>
        <v>0</v>
      </c>
    </row>
    <row r="45" spans="1:26" x14ac:dyDescent="0.25">
      <c r="A45" s="739"/>
      <c r="B45" s="1" t="s">
        <v>41</v>
      </c>
      <c r="C45" s="33">
        <f>E53</f>
        <v>12.463741308801668</v>
      </c>
      <c r="D45" s="539"/>
      <c r="E45" s="38"/>
      <c r="F45" s="539"/>
      <c r="G45" s="17">
        <f t="shared" si="1"/>
        <v>12.463741308801668</v>
      </c>
      <c r="H45" s="539"/>
      <c r="I45" s="35"/>
      <c r="J45" s="37"/>
      <c r="K45" s="35"/>
      <c r="L45" s="35"/>
      <c r="M45" s="35"/>
      <c r="N45" s="35"/>
      <c r="O45" s="35"/>
      <c r="P45" s="35"/>
      <c r="Q45" s="36">
        <f>G45-Bilan_E_KP_AME_2028!G41</f>
        <v>0</v>
      </c>
      <c r="R45" s="498"/>
      <c r="S45" s="539"/>
      <c r="T45" s="84">
        <v>0</v>
      </c>
      <c r="U45" s="83">
        <v>0</v>
      </c>
      <c r="V45" s="84">
        <v>0</v>
      </c>
      <c r="W45" s="92">
        <v>0</v>
      </c>
      <c r="X45" s="84">
        <v>0</v>
      </c>
      <c r="Y45" s="489">
        <f t="shared" si="6"/>
        <v>0</v>
      </c>
      <c r="Z45" s="489">
        <f>Q45-Y45</f>
        <v>0</v>
      </c>
    </row>
    <row r="46" spans="1:26" x14ac:dyDescent="0.25">
      <c r="A46" s="739"/>
      <c r="B46" s="1" t="s">
        <v>42</v>
      </c>
      <c r="C46" s="33">
        <f>Bilan_E_KP_AME_2028!D18-C18-C34</f>
        <v>47.394535159579299</v>
      </c>
      <c r="D46" s="539"/>
      <c r="E46" s="511"/>
      <c r="F46" s="539"/>
      <c r="G46" s="17">
        <f>C46-E46</f>
        <v>47.394535159579299</v>
      </c>
      <c r="H46" s="539"/>
      <c r="I46" s="38"/>
      <c r="J46" s="37"/>
      <c r="K46" s="35"/>
      <c r="L46" s="35"/>
      <c r="M46" s="35"/>
      <c r="N46" s="35"/>
      <c r="O46" s="35"/>
      <c r="P46" s="35"/>
      <c r="Q46" s="36">
        <f>G46-(Bilan_E_KP_AME_2028!D41+Bilan_E_KP_AME_2028!D29+Bilan_E_KP_AME_2028!D30)</f>
        <v>6.7287734408292934</v>
      </c>
      <c r="R46" s="498"/>
      <c r="S46" s="539"/>
      <c r="T46" s="506">
        <f>Bilan_E_KP_AME_2028!D38</f>
        <v>0</v>
      </c>
      <c r="U46" s="93">
        <f>Bilan_E_KP_AME_2028!D34</f>
        <v>6.728773440829297</v>
      </c>
      <c r="V46" s="506">
        <f>Bilan_E_KP_AME_2028!D36</f>
        <v>0</v>
      </c>
      <c r="W46" s="507">
        <f>Bilan_E_KP_AME_2028!D37</f>
        <v>0</v>
      </c>
      <c r="X46" s="506">
        <f>Bilan_E_KP_AME_2028!D35</f>
        <v>0</v>
      </c>
      <c r="Y46" s="489">
        <f t="shared" si="6"/>
        <v>6.728773440829297</v>
      </c>
      <c r="Z46" s="489">
        <f>Q46-Y46</f>
        <v>0</v>
      </c>
    </row>
    <row r="47" spans="1:26" x14ac:dyDescent="0.25">
      <c r="A47" s="90"/>
      <c r="B47" s="1" t="s">
        <v>31</v>
      </c>
      <c r="C47" s="33">
        <f>E57</f>
        <v>0</v>
      </c>
      <c r="D47" s="192"/>
      <c r="E47" s="511"/>
      <c r="F47" s="192"/>
      <c r="G47" s="17">
        <f>C47-E47</f>
        <v>0</v>
      </c>
      <c r="H47" s="192"/>
      <c r="I47" s="38"/>
      <c r="J47" s="37"/>
      <c r="K47" s="35"/>
      <c r="L47" s="35"/>
      <c r="M47" s="35"/>
      <c r="N47" s="35"/>
      <c r="O47" s="35"/>
      <c r="P47" s="35"/>
      <c r="Q47" s="542">
        <f>G47-Bilan_E_KP_AME_2028!R41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C5-L13-SUM(L21:L24)-L30-L41-Bilan_E_KP_AME_2028!S18</f>
        <v>0</v>
      </c>
      <c r="D49" s="1"/>
      <c r="E49" s="34">
        <f>SUM(E7:E47)+I13-Bilan_E_KP_AME_2028!S32+K13+SUM(K21:K24)+K30+Bilan_E_KP_AME_2028!D29+Bilan_E_KP_AME_2028!D30</f>
        <v>-3.4994229736184934E-13</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488.03500564975667</v>
      </c>
    </row>
    <row r="52" spans="1:19" x14ac:dyDescent="0.25">
      <c r="A52" s="21"/>
      <c r="B52" s="1" t="s">
        <v>44</v>
      </c>
      <c r="C52" s="44"/>
      <c r="D52" s="1"/>
      <c r="E52" s="39">
        <f>Bilan_E_KP_AME_2028!D41+Bilan_E_KP_AME_2028!D29+Bilan_E_KP_AME_2028!D30</f>
        <v>40.665761718750005</v>
      </c>
      <c r="F52" s="187"/>
      <c r="G52" s="1"/>
      <c r="H52" s="1"/>
      <c r="I52" s="30"/>
      <c r="J52" s="17"/>
      <c r="K52" s="17"/>
      <c r="L52" s="21"/>
      <c r="M52" s="1"/>
      <c r="N52" s="17"/>
      <c r="O52" s="17"/>
      <c r="P52" s="17"/>
      <c r="Q52" s="1"/>
      <c r="S52" s="33"/>
    </row>
    <row r="53" spans="1:19" x14ac:dyDescent="0.25">
      <c r="A53" s="21"/>
      <c r="B53" s="1" t="s">
        <v>41</v>
      </c>
      <c r="C53" s="45"/>
      <c r="D53" s="17"/>
      <c r="E53" s="433">
        <f>Bilan_E_KP_AME_2028!G41+Bilan_E_KP_AME_2028!G29</f>
        <v>12.463741308801668</v>
      </c>
      <c r="F53" s="187"/>
      <c r="G53" s="1"/>
      <c r="H53" s="1"/>
      <c r="I53" s="30"/>
      <c r="J53" s="17"/>
      <c r="K53" s="17"/>
      <c r="L53" s="21"/>
      <c r="M53" s="1"/>
      <c r="N53" s="17"/>
      <c r="O53" s="17"/>
      <c r="P53" s="17"/>
      <c r="Q53" s="1"/>
    </row>
    <row r="54" spans="1:19" x14ac:dyDescent="0.25">
      <c r="A54" s="21"/>
      <c r="B54" s="1" t="s">
        <v>39</v>
      </c>
      <c r="C54" s="45"/>
      <c r="D54" s="17"/>
      <c r="E54" s="435">
        <f>Bilan_E_KP_AME_2028!F41</f>
        <v>123.20669977294675</v>
      </c>
      <c r="F54" s="187"/>
      <c r="G54" s="1"/>
      <c r="H54" s="1"/>
      <c r="I54" s="30"/>
      <c r="J54" s="17"/>
      <c r="K54" s="17"/>
      <c r="L54" s="21"/>
      <c r="M54" s="21"/>
      <c r="N54" s="17"/>
      <c r="O54" s="17"/>
      <c r="P54" s="17"/>
      <c r="Q54" s="1"/>
    </row>
    <row r="55" spans="1:19" x14ac:dyDescent="0.25">
      <c r="B55" s="1" t="s">
        <v>21</v>
      </c>
      <c r="E55" s="434">
        <f>Bilan_E_KP_AME_2028!M41+Bilan_E_KP_AME_2028!M29</f>
        <v>0</v>
      </c>
    </row>
    <row r="56" spans="1:19" x14ac:dyDescent="0.25">
      <c r="B56" s="1" t="s">
        <v>37</v>
      </c>
      <c r="E56" s="515">
        <f>Bilan_E_KP_AME_2028!L41+Bilan_E_KP_AME_2028!L29</f>
        <v>0</v>
      </c>
    </row>
    <row r="57" spans="1:19" x14ac:dyDescent="0.25">
      <c r="B57" s="1" t="s">
        <v>31</v>
      </c>
      <c r="E57" s="515">
        <f>Bilan_E_KP_AME_2028!R41</f>
        <v>0</v>
      </c>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10213-E0AD-4E58-930A-FE57F18E73A7}">
  <dimension ref="A1:Z57"/>
  <sheetViews>
    <sheetView topLeftCell="A16" workbookViewId="0">
      <selection activeCell="C44" sqref="C44"/>
    </sheetView>
  </sheetViews>
  <sheetFormatPr baseColWidth="10" defaultColWidth="11.42578125" defaultRowHeight="15" x14ac:dyDescent="0.25"/>
  <cols>
    <col min="2" max="2" width="25.85546875" customWidth="1"/>
    <col min="5" max="5" width="11.28515625" customWidth="1"/>
    <col min="17" max="17" width="15.85546875" bestFit="1"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2645.6934582813487</v>
      </c>
      <c r="D5" s="18"/>
      <c r="E5" s="20"/>
      <c r="F5" s="494"/>
      <c r="G5" s="21"/>
      <c r="H5" s="493"/>
      <c r="I5" s="21"/>
      <c r="J5" s="22"/>
      <c r="K5" s="23"/>
      <c r="L5" s="14"/>
      <c r="M5" s="14"/>
      <c r="N5" s="15"/>
      <c r="O5" s="16"/>
      <c r="P5" s="16"/>
      <c r="Q5" s="24">
        <f>Q13+Q22+Q30+Q42+Q46+Q38+Q43</f>
        <v>1430.697294255076</v>
      </c>
      <c r="R5" s="487"/>
      <c r="S5" s="79">
        <f>SUM(S13,S22,S27:S32,S41)</f>
        <v>1432.4742909353799</v>
      </c>
      <c r="T5" s="79">
        <f>SUM(T8:T46)</f>
        <v>47.147872325239078</v>
      </c>
      <c r="U5" s="79">
        <f>SUM(U8:U46)</f>
        <v>286.13549908159882</v>
      </c>
      <c r="V5" s="79">
        <f>SUM(V8:V46)</f>
        <v>451.18068007383562</v>
      </c>
      <c r="W5" s="173">
        <f>SUM(W8:W46)</f>
        <v>224.79720476317669</v>
      </c>
      <c r="X5" s="79">
        <f>SUM(X8:X46)</f>
        <v>423.21303469152963</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f>(([12]Offre_calc!$O$81+[12]Offre_calc!$O$82+[12]Offre_calc!$O$127+[12]Offre_calc!$O$128)/([12]Offre_calc!$O$78+[12]Offre_calc!$O$124))*Bilan_E_KP_AME_2030!I$21</f>
        <v>84.30216707973355</v>
      </c>
      <c r="D7" s="516"/>
      <c r="E7" s="28">
        <v>0</v>
      </c>
      <c r="F7" s="516"/>
      <c r="G7" s="17">
        <f>C7-E7</f>
        <v>84.30216707973355</v>
      </c>
      <c r="H7" s="516"/>
      <c r="I7" s="21"/>
      <c r="J7" s="516"/>
      <c r="K7" s="523"/>
      <c r="L7" s="523"/>
      <c r="M7" s="523"/>
      <c r="N7" s="523"/>
      <c r="O7" s="523"/>
      <c r="P7" s="513"/>
      <c r="Q7" s="526"/>
      <c r="R7" s="498"/>
      <c r="S7" s="526"/>
      <c r="T7" s="523"/>
      <c r="U7" s="523"/>
      <c r="V7" s="523"/>
      <c r="W7" s="523"/>
      <c r="X7" s="523"/>
    </row>
    <row r="8" spans="1:24" x14ac:dyDescent="0.25">
      <c r="A8" s="736"/>
      <c r="B8" s="1" t="s">
        <v>18</v>
      </c>
      <c r="C8" s="486">
        <f>(([12]Offre_calc!$O$80+[12]Offre_calc!$O$126)/([12]Offre_calc!$O$78+[12]Offre_calc!$O$124))*Bilan_E_KP_AME_2030!I$21</f>
        <v>61.897354259313275</v>
      </c>
      <c r="D8" s="81"/>
      <c r="E8" s="28">
        <v>0</v>
      </c>
      <c r="F8" s="81"/>
      <c r="G8" s="17">
        <f t="shared" ref="G8:G19" si="0">C8-E8</f>
        <v>61.897354259313275</v>
      </c>
      <c r="H8" s="81"/>
      <c r="I8" s="21"/>
      <c r="J8" s="81"/>
      <c r="K8" s="524"/>
      <c r="L8" s="524"/>
      <c r="M8" s="524"/>
      <c r="N8" s="524"/>
      <c r="O8" s="524"/>
      <c r="P8" s="29"/>
      <c r="Q8" s="527"/>
      <c r="R8" s="498"/>
      <c r="S8" s="527"/>
      <c r="T8" s="524"/>
      <c r="U8" s="524"/>
      <c r="V8" s="524"/>
      <c r="W8" s="524"/>
      <c r="X8" s="524"/>
    </row>
    <row r="9" spans="1:24" x14ac:dyDescent="0.25">
      <c r="A9" s="736"/>
      <c r="B9" s="1" t="s">
        <v>19</v>
      </c>
      <c r="C9" s="486">
        <f>(([12]Offre_calc!$O$79+[12]Offre_calc!$O$125)/([12]Offre_calc!$O$78+[12]Offre_calc!$O$124))*Bilan_E_KP_AME_2030!I$21</f>
        <v>36.529586120250457</v>
      </c>
      <c r="D9" s="81"/>
      <c r="E9" s="28">
        <v>0</v>
      </c>
      <c r="F9" s="81"/>
      <c r="G9" s="17">
        <f t="shared" si="0"/>
        <v>36.529586120250457</v>
      </c>
      <c r="H9" s="81"/>
      <c r="I9" s="21"/>
      <c r="J9" s="81"/>
      <c r="K9" s="524"/>
      <c r="L9" s="524"/>
      <c r="M9" s="524"/>
      <c r="N9" s="524"/>
      <c r="O9" s="524"/>
      <c r="P9" s="29"/>
      <c r="Q9" s="527"/>
      <c r="R9" s="498"/>
      <c r="S9" s="527"/>
      <c r="T9" s="524"/>
      <c r="U9" s="524"/>
      <c r="V9" s="524"/>
      <c r="W9" s="524"/>
      <c r="X9" s="524"/>
    </row>
    <row r="10" spans="1:24" x14ac:dyDescent="0.25">
      <c r="A10" s="736"/>
      <c r="B10" s="1" t="s">
        <v>20</v>
      </c>
      <c r="C10" s="17">
        <f>Bilan_E_KP_AME_2030!H21-(Bilan_E_KP_AME_2030!P20+Bilan_E_KP_AME_2030!P19)</f>
        <v>1190.909090909091</v>
      </c>
      <c r="D10" s="81"/>
      <c r="E10" s="28">
        <f>F13-SUM(E11:E19)</f>
        <v>798.24365979650884</v>
      </c>
      <c r="F10" s="81"/>
      <c r="G10" s="17">
        <f>C10-E10</f>
        <v>392.66543111258216</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f>Bilan_E_KP_AME_2030!M21</f>
        <v>0.46787592950723628</v>
      </c>
      <c r="D11" s="81"/>
      <c r="E11" s="28">
        <f>C11*(1-[12]Offre_calc!$O$161)</f>
        <v>0.21054416827825631</v>
      </c>
      <c r="F11" s="81"/>
      <c r="G11" s="17">
        <f t="shared" si="0"/>
        <v>0.25733176122897994</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f>Bilan_E_KP_AME_2030!K21</f>
        <v>7.9944017148664477</v>
      </c>
      <c r="D12" s="81"/>
      <c r="E12" s="28">
        <f>C12*(1-[12]Offre_calc!$O$171)</f>
        <v>5.5960812004065135</v>
      </c>
      <c r="F12" s="81"/>
      <c r="G12" s="17">
        <f t="shared" si="0"/>
        <v>2.3983205144599342</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f>Bilan_E_KP_AME_2030!J21</f>
        <v>31.567770517320518</v>
      </c>
      <c r="D13" s="81">
        <f>SUM(C7:C19)</f>
        <v>1446.9969298920842</v>
      </c>
      <c r="E13" s="28">
        <f>C13*(1-[12]Offre_calc!$O$170)</f>
        <v>22.097439362124362</v>
      </c>
      <c r="F13" s="81">
        <f>Bilan_E_KP_AME_2030!S21</f>
        <v>841.46963149182989</v>
      </c>
      <c r="G13" s="17">
        <f t="shared" si="0"/>
        <v>9.4703311551961562</v>
      </c>
      <c r="H13" s="81">
        <f>SUM(G7:G19)</f>
        <v>605.52729840025461</v>
      </c>
      <c r="I13" s="33">
        <f>Bilan_E_KP_AME_2030!P30</f>
        <v>36.294895286159367</v>
      </c>
      <c r="J13" s="81">
        <f>H13-I13</f>
        <v>569.23240311409529</v>
      </c>
      <c r="K13" s="29">
        <f>Bilan_E_KP_AME_2030!P31</f>
        <v>40.722330861669313</v>
      </c>
      <c r="L13" s="29">
        <f>-(Bilan_E_KP_AME_2030!P14+Bilan_E_KP_AME_2030!P13)</f>
        <v>73.711460432822037</v>
      </c>
      <c r="M13" s="29">
        <f>Bilan_E_KP_AME_2030!P28</f>
        <v>8.7832205538302136E-2</v>
      </c>
      <c r="N13" s="29"/>
      <c r="O13" s="29"/>
      <c r="P13" s="29"/>
      <c r="Q13" s="81">
        <f>J13-K13-L13-M13-N13-O13-P13</f>
        <v>454.71077961406564</v>
      </c>
      <c r="R13" s="508">
        <f>Q13-S13</f>
        <v>0</v>
      </c>
      <c r="S13" s="81">
        <f>SUM(T8:X19)</f>
        <v>454.71077961406559</v>
      </c>
      <c r="T13" s="29">
        <f>Bilan_E_KP_AME_2030!P38</f>
        <v>7.7746258142900144</v>
      </c>
      <c r="U13" s="29">
        <f>Bilan_E_KP_AME_2030!P34+Bilan_E_KP_AME_2030!P39</f>
        <v>109.51907717242362</v>
      </c>
      <c r="V13" s="29">
        <f>Bilan_E_KP_AME_2030!P36</f>
        <v>175.94122104806229</v>
      </c>
      <c r="W13" s="29">
        <f>Bilan_E_KP_AME_2030!P37</f>
        <v>131.24016316985416</v>
      </c>
      <c r="X13" s="29">
        <f>Bilan_E_KP_AME_2030!P35</f>
        <v>30.235692409435519</v>
      </c>
    </row>
    <row r="14" spans="1:24" x14ac:dyDescent="0.25">
      <c r="A14" s="736"/>
      <c r="B14" s="1" t="s">
        <v>24</v>
      </c>
      <c r="C14" s="17">
        <f>Bilan_E_KP_AME_2030!O21</f>
        <v>3.0833964576427819</v>
      </c>
      <c r="D14" s="81"/>
      <c r="E14" s="28">
        <v>0</v>
      </c>
      <c r="F14" s="81"/>
      <c r="G14" s="17">
        <f t="shared" si="0"/>
        <v>3.0833964576427819</v>
      </c>
      <c r="H14" s="81"/>
      <c r="I14" s="21"/>
      <c r="J14" s="81"/>
      <c r="K14" s="524"/>
      <c r="L14" s="524"/>
      <c r="M14" s="524"/>
      <c r="N14" s="524"/>
      <c r="O14" s="524"/>
      <c r="P14" s="29"/>
      <c r="Q14" s="527"/>
      <c r="R14" s="498"/>
      <c r="S14" s="527"/>
      <c r="T14" s="524"/>
      <c r="U14" s="524"/>
      <c r="V14" s="524"/>
      <c r="W14" s="524"/>
      <c r="X14" s="524"/>
    </row>
    <row r="15" spans="1:24" x14ac:dyDescent="0.25">
      <c r="A15" s="736"/>
      <c r="B15" s="1" t="s">
        <v>25</v>
      </c>
      <c r="C15" s="17">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36"/>
      <c r="B16" s="1" t="s">
        <v>343</v>
      </c>
      <c r="C16" s="17">
        <f>Bilan_E_KP_AME_2030!L21</f>
        <v>2.0695499375006161</v>
      </c>
      <c r="D16" s="81"/>
      <c r="E16" s="28">
        <f>C16*(1-[12]Offre_calc!$O$158)</f>
        <v>1.1589479650003451</v>
      </c>
      <c r="F16" s="81"/>
      <c r="G16" s="17">
        <f t="shared" si="0"/>
        <v>0.91060197250027097</v>
      </c>
      <c r="H16" s="81"/>
      <c r="I16" s="21"/>
      <c r="J16" s="81"/>
      <c r="K16" s="524"/>
      <c r="L16" s="524"/>
      <c r="M16" s="524"/>
      <c r="N16" s="524"/>
      <c r="O16" s="524"/>
      <c r="P16" s="29"/>
      <c r="Q16" s="527"/>
      <c r="R16" s="498"/>
      <c r="S16" s="527"/>
      <c r="T16" s="524"/>
      <c r="U16" s="524"/>
      <c r="V16" s="524"/>
      <c r="W16" s="524"/>
      <c r="X16" s="524"/>
    </row>
    <row r="17" spans="1:24" x14ac:dyDescent="0.25">
      <c r="A17" s="736"/>
      <c r="B17" s="1" t="s">
        <v>27</v>
      </c>
      <c r="C17" s="17">
        <f>Bilan_E_KP_AME_2030!F21</f>
        <v>7.5307695076515202</v>
      </c>
      <c r="D17" s="81"/>
      <c r="E17" s="28">
        <f>C17*(1-[12]Offre_calc!$O$158)</f>
        <v>4.217230924284852</v>
      </c>
      <c r="F17" s="81"/>
      <c r="G17" s="17">
        <f t="shared" si="0"/>
        <v>3.3135385833666682</v>
      </c>
      <c r="H17" s="81"/>
      <c r="I17" s="21"/>
      <c r="J17" s="81"/>
      <c r="K17" s="524"/>
      <c r="L17" s="524"/>
      <c r="M17" s="524"/>
      <c r="N17" s="524"/>
      <c r="O17" s="524"/>
      <c r="P17" s="29"/>
      <c r="Q17" s="527"/>
      <c r="R17" s="498"/>
      <c r="S17" s="527"/>
      <c r="T17" s="524"/>
      <c r="U17" s="524"/>
      <c r="V17" s="524"/>
      <c r="W17" s="524"/>
      <c r="X17" s="524"/>
    </row>
    <row r="18" spans="1:24" x14ac:dyDescent="0.25">
      <c r="A18" s="736"/>
      <c r="B18" s="1" t="s">
        <v>28</v>
      </c>
      <c r="C18" s="17">
        <f>Bilan_E_KP_AME_2030!D21</f>
        <v>2.8267856410252494</v>
      </c>
      <c r="D18" s="81"/>
      <c r="E18" s="28">
        <f>C18*(1-[12]Offre_calc!$O$157)</f>
        <v>1.9275462570448931</v>
      </c>
      <c r="F18" s="81"/>
      <c r="G18" s="17">
        <f t="shared" si="0"/>
        <v>0.8992393839803563</v>
      </c>
      <c r="H18" s="81"/>
      <c r="I18" s="21"/>
      <c r="J18" s="81"/>
      <c r="K18" s="524"/>
      <c r="L18" s="524"/>
      <c r="M18" s="524"/>
      <c r="N18" s="524"/>
      <c r="O18" s="524"/>
      <c r="P18" s="29"/>
      <c r="Q18" s="527"/>
      <c r="R18" s="498"/>
      <c r="S18" s="527"/>
      <c r="T18" s="524"/>
      <c r="U18" s="524"/>
      <c r="V18" s="524"/>
      <c r="W18" s="524"/>
      <c r="X18" s="524"/>
    </row>
    <row r="19" spans="1:24" x14ac:dyDescent="0.25">
      <c r="A19" s="736"/>
      <c r="B19" s="1" t="s">
        <v>260</v>
      </c>
      <c r="C19" s="17">
        <f>Bilan_E_KP_AME_2030!G21+Bilan_E_KP_AME_2030!R21</f>
        <v>17.818181818181817</v>
      </c>
      <c r="D19" s="82"/>
      <c r="E19" s="28">
        <f>C19*(1-[12]Offre_calc!$O$160)</f>
        <v>8.0181818181818159</v>
      </c>
      <c r="F19" s="82"/>
      <c r="G19" s="17">
        <f t="shared" si="0"/>
        <v>9.8000000000000007</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0.3297190642930079</v>
      </c>
      <c r="H20" s="499"/>
      <c r="I20" s="17"/>
      <c r="J20" s="1"/>
      <c r="K20" s="17"/>
      <c r="L20" s="1"/>
      <c r="M20" s="1"/>
      <c r="N20" s="1"/>
      <c r="O20" s="1"/>
      <c r="P20" s="1"/>
      <c r="Q20" s="499"/>
      <c r="R20" s="498"/>
      <c r="S20" s="408"/>
      <c r="T20" s="495"/>
      <c r="U20" s="408"/>
      <c r="V20" s="495"/>
      <c r="W20" s="408"/>
      <c r="X20" s="495"/>
    </row>
    <row r="21" spans="1:24" x14ac:dyDescent="0.25">
      <c r="A21" s="737" t="s">
        <v>13</v>
      </c>
      <c r="B21" s="1" t="s">
        <v>21</v>
      </c>
      <c r="C21" s="17">
        <f>Bilan_E_KP_AME_2030!J23+Bilan_E_KP_AME_2030!M12</f>
        <v>7.9147659811273154</v>
      </c>
      <c r="D21" s="529"/>
      <c r="E21" s="33">
        <f>Bilan_E_KP_AME_2030!S23+Bilan_E_KP_AME_2030!M30</f>
        <v>1.1227112434658622</v>
      </c>
      <c r="F21" s="529"/>
      <c r="G21" s="17">
        <f t="shared" ref="G21:G45" si="1">C21-E21</f>
        <v>6.7920547376614531</v>
      </c>
      <c r="H21" s="529"/>
      <c r="I21" s="17"/>
      <c r="J21" s="529"/>
      <c r="K21" s="545">
        <f>Bilan_E_KP_AME_2030!M31</f>
        <v>8.0245635507199722E-2</v>
      </c>
      <c r="L21" s="545">
        <f>-(Bilan_E_KP_AME_2030!M13+Bilan_E_KP_AME_2030!M14+Bilan_E_KP_AME_2030!M15+Bilan_E_KP_AME_2030!M16)</f>
        <v>0</v>
      </c>
      <c r="M21" s="545">
        <f>Bilan_E_KP_AME_2030!M28</f>
        <v>1.8554553419966327E-2</v>
      </c>
      <c r="N21" s="545">
        <f>Bilan_E_KP_AME_2030!M22</f>
        <v>0.33007353312586968</v>
      </c>
      <c r="O21" s="545">
        <f>Bilan_E_KP_AME_2030!M21</f>
        <v>0.46787592950723628</v>
      </c>
      <c r="P21" s="529"/>
      <c r="Q21" s="529"/>
      <c r="R21" s="498"/>
      <c r="S21" s="529"/>
      <c r="T21" s="529"/>
      <c r="U21" s="529"/>
      <c r="V21" s="529"/>
      <c r="W21" s="529"/>
      <c r="X21" s="529"/>
    </row>
    <row r="22" spans="1:24" x14ac:dyDescent="0.25">
      <c r="A22" s="737"/>
      <c r="B22" s="1" t="s">
        <v>30</v>
      </c>
      <c r="C22" s="17"/>
      <c r="D22" s="85">
        <f>SUM(C21:C24)</f>
        <v>340.54223512815361</v>
      </c>
      <c r="E22" s="497"/>
      <c r="F22" s="85">
        <f>SUM(E21:E24)</f>
        <v>6.8979987182307463</v>
      </c>
      <c r="G22" s="17"/>
      <c r="H22" s="85">
        <f>SUM(G21:G24)</f>
        <v>333.64423640992288</v>
      </c>
      <c r="I22" s="408"/>
      <c r="J22" s="85">
        <f>H22-I22</f>
        <v>333.64423640992288</v>
      </c>
      <c r="K22" s="32"/>
      <c r="L22" s="32"/>
      <c r="M22" s="32"/>
      <c r="N22" s="32"/>
      <c r="O22" s="32"/>
      <c r="P22" s="32"/>
      <c r="Q22" s="85">
        <f>J22-SUM(K21:P24)</f>
        <v>294.55911926183188</v>
      </c>
      <c r="R22" s="508">
        <f>Q22-S22</f>
        <v>-2.4997359764427074E-2</v>
      </c>
      <c r="S22" s="85">
        <f>SUM(T22:X24)</f>
        <v>294.58411662159631</v>
      </c>
      <c r="T22" s="32">
        <f>Bilan_E_KP_AME_2030!G38+Bilan_E_KP_AME_2030!R38+Bilan_E_KP_AME_2030!M$38</f>
        <v>2.2065468915632476</v>
      </c>
      <c r="U22" s="32">
        <f>Bilan_E_KP_AME_2030!G34+Bilan_E_KP_AME_2030!R34+Bilan_E_KP_AME_2030!M$34</f>
        <v>107.57006290409642</v>
      </c>
      <c r="V22" s="32">
        <f>Bilan_E_KP_AME_2030!G36+Bilan_E_KP_AME_2030!R36+Bilan_E_KP_AME_2030!M$36</f>
        <v>105.84038447625139</v>
      </c>
      <c r="W22" s="32">
        <f>Bilan_E_KP_AME_2030!G37+Bilan_E_KP_AME_2030!K37+Bilan_E_KP_AME_2030!R37+Bilan_E_KP_AME_2030!M$37</f>
        <v>63.626820842219111</v>
      </c>
      <c r="X22" s="32">
        <f>Bilan_E_KP_AME_2030!G35+Bilan_E_KP_AME_2030!R35+Bilan_E_KP_AME_2030!M$35</f>
        <v>15.340301507466149</v>
      </c>
    </row>
    <row r="23" spans="1:24" x14ac:dyDescent="0.25">
      <c r="A23" s="737"/>
      <c r="B23" s="1" t="s">
        <v>31</v>
      </c>
      <c r="C23" s="17">
        <f>SUM(Bilan_E_KP_AME_2030!D28:Q28)-C47</f>
        <v>1.0257546861080284</v>
      </c>
      <c r="D23" s="530"/>
      <c r="E23" s="33">
        <f>Bilan_E_KP_AME_2030!S28+Bilan_E_KP_AME_2030!S27</f>
        <v>0.31211801610932366</v>
      </c>
      <c r="F23" s="532"/>
      <c r="G23" s="17">
        <f t="shared" si="1"/>
        <v>0.71363666999870479</v>
      </c>
      <c r="H23" s="532"/>
      <c r="I23" s="17"/>
      <c r="J23" s="532"/>
      <c r="K23" s="534">
        <f>Bilan_E_KP_AME_2030!R31</f>
        <v>0</v>
      </c>
      <c r="L23" s="534">
        <f>-(Bilan_E_KP_AME_2030!R13+Bilan_E_KP_AME_2030!R14+Bilan_E_KP_AME_2030!R15+Bilan_E_KP_AME_2030!R16)</f>
        <v>0</v>
      </c>
      <c r="M23" s="534"/>
      <c r="N23" s="534">
        <f>Bilan_E_KP_AME_2030!R22</f>
        <v>0</v>
      </c>
      <c r="O23" s="534">
        <f>Bilan_E_KP_AME_2030!R21</f>
        <v>0</v>
      </c>
      <c r="P23" s="534">
        <f>-Bilan_E_KP_AME_2030!L27</f>
        <v>0</v>
      </c>
      <c r="Q23" s="532"/>
      <c r="S23" s="532"/>
      <c r="T23" s="536"/>
      <c r="U23" s="536"/>
      <c r="V23" s="536"/>
      <c r="W23" s="536"/>
      <c r="X23" s="536"/>
    </row>
    <row r="24" spans="1:24" x14ac:dyDescent="0.25">
      <c r="A24" s="737"/>
      <c r="B24" s="1" t="s">
        <v>32</v>
      </c>
      <c r="C24" s="17">
        <f>Bilan_E_KP_AME_2030!G18-C45-(Bilan_E_KP_AME_2030!G20+Bilan_E_KP_AME_2030!G19)</f>
        <v>331.60171446091829</v>
      </c>
      <c r="D24" s="531"/>
      <c r="E24" s="33">
        <f>Bilan_E_KP_AME_2030!G30</f>
        <v>5.4631694586555604</v>
      </c>
      <c r="F24" s="533"/>
      <c r="G24" s="17">
        <f t="shared" si="1"/>
        <v>326.13854500226273</v>
      </c>
      <c r="H24" s="533"/>
      <c r="I24" s="34"/>
      <c r="J24" s="533"/>
      <c r="K24" s="535">
        <f>Bilan_E_KP_AME_2030!G31</f>
        <v>3.9320361398527859</v>
      </c>
      <c r="L24" s="535"/>
      <c r="M24" s="535">
        <f>Bilan_E_KP_AME_2030!G28</f>
        <v>0.90917311757834995</v>
      </c>
      <c r="N24" s="535">
        <f>Bilan_E_KP_AME_2030!G22</f>
        <v>15.528976420917793</v>
      </c>
      <c r="O24" s="535">
        <f>Bilan_E_KP_AME_2030!G21</f>
        <v>17.818181818181817</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38" t="s">
        <v>14</v>
      </c>
      <c r="B26" s="1" t="s">
        <v>21</v>
      </c>
      <c r="C26" s="17">
        <f>Bilan_E_KP_AME_2030!M22</f>
        <v>0.33007353312586968</v>
      </c>
      <c r="D26" s="512"/>
      <c r="E26" s="190">
        <f>C26*F$35</f>
        <v>3.3228590982117293E-2</v>
      </c>
      <c r="F26" s="512"/>
      <c r="G26" s="33">
        <f t="shared" ref="G26:G31" si="2">C26-E26</f>
        <v>0.2968449421437524</v>
      </c>
      <c r="H26" s="512"/>
      <c r="I26" s="1"/>
      <c r="J26" s="512"/>
      <c r="K26" s="512"/>
      <c r="L26" s="512"/>
      <c r="M26" s="512"/>
      <c r="N26" s="512"/>
      <c r="O26" s="512"/>
      <c r="P26" s="512"/>
      <c r="Q26" s="512"/>
      <c r="R26" s="498"/>
      <c r="S26" s="512"/>
      <c r="T26" s="512"/>
      <c r="U26" s="512"/>
      <c r="V26" s="512"/>
      <c r="W26" s="512"/>
      <c r="X26" s="512"/>
    </row>
    <row r="27" spans="1:24" x14ac:dyDescent="0.25">
      <c r="A27" s="738"/>
      <c r="B27" s="1" t="s">
        <v>22</v>
      </c>
      <c r="C27" s="17">
        <f>Bilan_E_KP_AME_2030!K18-Bilan_E_KP_AME_2030!K21-Bilan_E_KP_AME_2030!K34-(Bilan_E_KP_AME_2030!Q20+Bilan_E_KP_AME_2030!Q19+Bilan_E_KP_AME_2030!K20+Bilan_E_KP_AME_2030!K19)</f>
        <v>12.496006012041679</v>
      </c>
      <c r="D27" s="87"/>
      <c r="E27" s="190">
        <f t="shared" ref="E27:E34" si="3">C27*F$35</f>
        <v>1.2579762719898857</v>
      </c>
      <c r="F27" s="87"/>
      <c r="G27" s="33">
        <f t="shared" si="2"/>
        <v>11.238029740051793</v>
      </c>
      <c r="H27" s="87"/>
      <c r="I27" s="500"/>
      <c r="J27" s="87"/>
      <c r="K27" s="87"/>
      <c r="L27" s="87"/>
      <c r="M27" s="87"/>
      <c r="N27" s="87"/>
      <c r="O27" s="87"/>
      <c r="P27" s="87"/>
      <c r="Q27" s="87"/>
      <c r="R27" s="498"/>
      <c r="S27" s="87"/>
      <c r="T27" s="87"/>
      <c r="U27" s="87"/>
      <c r="V27" s="87"/>
      <c r="W27" s="87"/>
      <c r="X27" s="87"/>
    </row>
    <row r="28" spans="1:24" x14ac:dyDescent="0.25">
      <c r="A28" s="738"/>
      <c r="B28" s="1" t="s">
        <v>26</v>
      </c>
      <c r="C28" s="17"/>
      <c r="D28" s="87"/>
      <c r="E28" s="190">
        <f t="shared" si="3"/>
        <v>0</v>
      </c>
      <c r="F28" s="87"/>
      <c r="G28" s="33">
        <f>C28-E28</f>
        <v>0</v>
      </c>
      <c r="H28" s="87"/>
      <c r="I28" s="1"/>
      <c r="J28" s="87"/>
      <c r="K28" s="87"/>
      <c r="L28" s="87"/>
      <c r="M28" s="87"/>
      <c r="N28" s="87"/>
      <c r="O28" s="87"/>
      <c r="P28" s="87"/>
      <c r="Q28" s="87"/>
      <c r="R28" s="498"/>
      <c r="S28" s="87"/>
      <c r="T28" s="87"/>
      <c r="U28" s="87"/>
      <c r="V28" s="87"/>
      <c r="W28" s="87"/>
      <c r="X28" s="87"/>
    </row>
    <row r="29" spans="1:24" x14ac:dyDescent="0.25">
      <c r="A29" s="738"/>
      <c r="B29" s="1" t="s">
        <v>23</v>
      </c>
      <c r="C29" s="17">
        <f>Bilan_E_KP_AME_2030!J22</f>
        <v>13.425934567091144</v>
      </c>
      <c r="D29" s="87"/>
      <c r="E29" s="190">
        <f t="shared" si="3"/>
        <v>1.3515924286859349</v>
      </c>
      <c r="F29" s="87"/>
      <c r="G29" s="33">
        <f t="shared" si="2"/>
        <v>12.074342138405209</v>
      </c>
      <c r="H29" s="87"/>
      <c r="I29" s="1"/>
      <c r="J29" s="87"/>
      <c r="K29" s="87"/>
      <c r="L29" s="87"/>
      <c r="M29" s="87"/>
      <c r="N29" s="87"/>
      <c r="O29" s="87"/>
      <c r="P29" s="87"/>
      <c r="Q29" s="87"/>
      <c r="R29" s="498"/>
      <c r="S29" s="87"/>
      <c r="T29" s="87"/>
      <c r="U29" s="87"/>
      <c r="V29" s="87"/>
      <c r="W29" s="87"/>
      <c r="X29" s="87"/>
    </row>
    <row r="30" spans="1:24" x14ac:dyDescent="0.25">
      <c r="A30" s="738"/>
      <c r="B30" s="1" t="s">
        <v>24</v>
      </c>
      <c r="C30" s="17">
        <f>Bilan_E_KP_AME_2030!O22</f>
        <v>2.2140049259569654</v>
      </c>
      <c r="D30" s="86">
        <f>SUM(C26:C34)</f>
        <v>43.994995459133449</v>
      </c>
      <c r="E30" s="190">
        <f t="shared" si="3"/>
        <v>0.22288446886458627</v>
      </c>
      <c r="F30" s="86">
        <f>Bilan_E_KP_AME_2030!S22</f>
        <v>4.4289879758828699</v>
      </c>
      <c r="G30" s="33">
        <f t="shared" si="2"/>
        <v>1.9911204570923791</v>
      </c>
      <c r="H30" s="86">
        <f>SUM(G26:G34)</f>
        <v>39.56600748325058</v>
      </c>
      <c r="I30" s="1"/>
      <c r="J30" s="86">
        <f>H30</f>
        <v>39.56600748325058</v>
      </c>
      <c r="K30" s="87">
        <f>Bilan_E_KP_AME_2030!Q31</f>
        <v>3.067587727965682</v>
      </c>
      <c r="L30" s="87"/>
      <c r="M30" s="87">
        <f>Bilan_E_KP_AME_2030!K28</f>
        <v>1.0194809571410069E-2</v>
      </c>
      <c r="N30" s="87"/>
      <c r="O30" s="87"/>
      <c r="P30" s="87"/>
      <c r="Q30" s="86">
        <f>J30-K30-L30-M30-N30-O30-P30</f>
        <v>36.48822494571349</v>
      </c>
      <c r="R30" s="508">
        <f>Q30-S30</f>
        <v>2.4997359764462601E-2</v>
      </c>
      <c r="S30" s="86">
        <f>SUM(T27:X34)</f>
        <v>36.463227585949028</v>
      </c>
      <c r="T30" s="87">
        <f>Bilan_E_KP_AME_2030!Q$38</f>
        <v>0</v>
      </c>
      <c r="U30" s="87">
        <f>Bilan_E_KP_AME_2030!Q$34</f>
        <v>16.327213841854732</v>
      </c>
      <c r="V30" s="87">
        <f>Bilan_E_KP_AME_2030!Q$36</f>
        <v>15.783130887728015</v>
      </c>
      <c r="W30" s="87">
        <f>Bilan_E_KP_AME_2030!Q$37</f>
        <v>4.3528828563662758</v>
      </c>
      <c r="X30" s="87">
        <f>Bilan_E_KP_AME_2030!Q$35</f>
        <v>0</v>
      </c>
    </row>
    <row r="31" spans="1:24" x14ac:dyDescent="0.25">
      <c r="A31" s="738"/>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38"/>
      <c r="B32" s="1" t="s">
        <v>29</v>
      </c>
      <c r="C32" s="17">
        <f>Bilan_E_KP_AME_2030!G22</f>
        <v>15.528976420917793</v>
      </c>
      <c r="D32" s="86"/>
      <c r="E32" s="190">
        <f t="shared" si="3"/>
        <v>1.5633062153603456</v>
      </c>
      <c r="F32" s="86"/>
      <c r="G32" s="33">
        <f>C32-E32</f>
        <v>13.965670205557448</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Bilan_E_KP_AME_2030!F22</f>
        <v>0</v>
      </c>
      <c r="D33" s="86"/>
      <c r="E33" s="190">
        <f t="shared" si="3"/>
        <v>0</v>
      </c>
      <c r="F33" s="86"/>
      <c r="G33" s="33">
        <f t="shared" ref="G33:G34" si="4">C33-E33</f>
        <v>0</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Bilan_E_KP_AME_2030!D22</f>
        <v>0</v>
      </c>
      <c r="D34" s="88"/>
      <c r="E34" s="190">
        <f t="shared" si="3"/>
        <v>0</v>
      </c>
      <c r="F34" s="88"/>
      <c r="G34" s="33">
        <f t="shared" si="4"/>
        <v>0</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0.10067026782618756</v>
      </c>
      <c r="G35" s="17"/>
      <c r="H35" s="501"/>
      <c r="I35" s="1"/>
      <c r="J35" s="1"/>
      <c r="K35" s="1"/>
      <c r="L35" s="1"/>
      <c r="M35" s="1"/>
      <c r="N35" s="1"/>
      <c r="O35" s="1"/>
      <c r="P35" s="1"/>
      <c r="Q35" s="502"/>
      <c r="R35" s="498"/>
      <c r="U35" s="33"/>
      <c r="V35" s="33"/>
      <c r="W35" s="33"/>
    </row>
    <row r="36" spans="1:26" x14ac:dyDescent="0.25">
      <c r="A36" s="739" t="s">
        <v>34</v>
      </c>
      <c r="B36" s="1" t="s">
        <v>21</v>
      </c>
      <c r="C36" s="33">
        <v>0</v>
      </c>
      <c r="D36" s="538"/>
      <c r="E36" s="17"/>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39"/>
      <c r="B37" s="1" t="s">
        <v>23</v>
      </c>
      <c r="C37" s="33">
        <f>SUM(T37:X37)</f>
        <v>102.29885085722037</v>
      </c>
      <c r="D37" s="539"/>
      <c r="E37" s="504"/>
      <c r="F37" s="539"/>
      <c r="G37" s="17">
        <f t="shared" ref="G37:G42" si="5">C37-E37</f>
        <v>102.29885085722037</v>
      </c>
      <c r="H37" s="539"/>
      <c r="I37" s="498"/>
      <c r="J37" s="37"/>
      <c r="K37" s="35"/>
      <c r="L37" s="35"/>
      <c r="M37" s="505"/>
      <c r="N37" s="35"/>
      <c r="P37" s="35"/>
      <c r="Q37" s="541"/>
      <c r="R37" s="498"/>
      <c r="S37" s="539"/>
      <c r="T37" s="506">
        <f>Bilan_E_KP_AME_2030!J38</f>
        <v>1.4487991994826963</v>
      </c>
      <c r="U37" s="93">
        <f>Bilan_E_KP_AME_2030!J34</f>
        <v>18.534460646102772</v>
      </c>
      <c r="V37" s="506">
        <f>Bilan_E_KP_AME_2030!J36</f>
        <v>78.735270640359559</v>
      </c>
      <c r="W37" s="507">
        <f>Bilan_E_KP_AME_2030!J37</f>
        <v>3.5803203712753549</v>
      </c>
      <c r="X37" s="506">
        <f>Bilan_E_KP_AME_2030!J35</f>
        <v>0</v>
      </c>
      <c r="Y37" s="489">
        <f t="shared" ref="Y37:Y47" si="6">SUM(T37:X37)</f>
        <v>102.29885085722037</v>
      </c>
      <c r="Z37" s="489">
        <f t="shared" ref="Z37:Z44" si="7">G37-Y37</f>
        <v>0</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f>SUM(G36:G41)-E55-E56-L41-L36</f>
        <v>191.44682633275042</v>
      </c>
      <c r="R38" s="498"/>
      <c r="S38" s="539"/>
      <c r="T38" s="84">
        <v>0</v>
      </c>
      <c r="U38" s="83">
        <v>0</v>
      </c>
      <c r="V38" s="84">
        <v>0</v>
      </c>
      <c r="W38" s="91">
        <v>0</v>
      </c>
      <c r="X38" s="91">
        <v>0</v>
      </c>
      <c r="Y38" s="489">
        <f t="shared" si="6"/>
        <v>0</v>
      </c>
      <c r="Z38" s="489">
        <f t="shared" si="7"/>
        <v>0</v>
      </c>
    </row>
    <row r="39" spans="1:26" x14ac:dyDescent="0.25">
      <c r="A39" s="739"/>
      <c r="B39" s="1" t="s">
        <v>35</v>
      </c>
      <c r="C39" s="33">
        <f>SUM(T39:X39)</f>
        <v>2.8493182047113157</v>
      </c>
      <c r="D39" s="539"/>
      <c r="E39" s="35"/>
      <c r="F39" s="539"/>
      <c r="G39" s="17">
        <f t="shared" si="5"/>
        <v>2.8493182047113157</v>
      </c>
      <c r="H39" s="539"/>
      <c r="I39" s="35"/>
      <c r="J39" s="37"/>
      <c r="K39" s="35"/>
      <c r="L39" s="35"/>
      <c r="M39" s="37"/>
      <c r="N39" s="35"/>
      <c r="O39" s="35"/>
      <c r="P39" s="35"/>
      <c r="Q39" s="541"/>
      <c r="R39" s="498"/>
      <c r="S39" s="539"/>
      <c r="T39" s="84">
        <f>Bilan_E_KP_AME_2030!O38</f>
        <v>8.4265288301735436E-2</v>
      </c>
      <c r="U39" s="83">
        <f>Bilan_E_KP_AME_2030!O34</f>
        <v>3.8267455312152764E-4</v>
      </c>
      <c r="V39" s="84">
        <f>Bilan_E_KP_AME_2030!O36</f>
        <v>1.9317269815068459</v>
      </c>
      <c r="W39" s="91">
        <f>Bilan_E_KP_AME_2030!O37</f>
        <v>0.83294326034961275</v>
      </c>
      <c r="X39" s="91">
        <f>Bilan_E_KP_AME_2030!O35</f>
        <v>0</v>
      </c>
      <c r="Y39" s="489">
        <f t="shared" si="6"/>
        <v>2.8493182047113157</v>
      </c>
      <c r="Z39" s="489">
        <f t="shared" si="7"/>
        <v>0</v>
      </c>
    </row>
    <row r="40" spans="1:26" x14ac:dyDescent="0.25">
      <c r="A40" s="739"/>
      <c r="B40" s="1" t="s">
        <v>36</v>
      </c>
      <c r="C40" s="33">
        <f>Bilan_E_KP_AME_2030!N12</f>
        <v>49.514351265721807</v>
      </c>
      <c r="D40" s="539"/>
      <c r="E40" s="35"/>
      <c r="F40" s="539"/>
      <c r="G40" s="17">
        <f t="shared" si="5"/>
        <v>49.514351265721807</v>
      </c>
      <c r="H40" s="539"/>
      <c r="I40" s="35"/>
      <c r="J40" s="37"/>
      <c r="K40" s="35"/>
      <c r="L40" s="35"/>
      <c r="M40" s="37"/>
      <c r="N40" s="35"/>
      <c r="O40" s="35"/>
      <c r="P40" s="35"/>
      <c r="Q40" s="541"/>
      <c r="R40" s="498"/>
      <c r="S40" s="539"/>
      <c r="T40" s="83">
        <f>Bilan_E_KP_AME_2030!N$38</f>
        <v>0</v>
      </c>
      <c r="U40" s="83">
        <f>Bilan_E_KP_AME_2030!N$34</f>
        <v>0</v>
      </c>
      <c r="V40" s="83">
        <f>Bilan_E_KP_AME_2030!N$36</f>
        <v>41.43976216997369</v>
      </c>
      <c r="W40" s="83">
        <f>Bilan_E_KP_AME_2030!N$37</f>
        <v>8.0745890957481183</v>
      </c>
      <c r="X40" s="84">
        <f>Bilan_E_KP_AME_2030!N$35</f>
        <v>0</v>
      </c>
      <c r="Y40" s="489">
        <f t="shared" si="6"/>
        <v>49.514351265721807</v>
      </c>
      <c r="Z40" s="489">
        <f t="shared" si="7"/>
        <v>0</v>
      </c>
    </row>
    <row r="41" spans="1:26" x14ac:dyDescent="0.25">
      <c r="A41" s="739"/>
      <c r="B41" s="1" t="s">
        <v>37</v>
      </c>
      <c r="C41" s="33">
        <f>Bilan_E_KP_AME_2030!L12+Bilan_E_KP_AME_2030!J26+Bilan_E_KP_AME_2030!J27-Bilan_E_KP_AME_2030!L21</f>
        <v>35.852433715856947</v>
      </c>
      <c r="D41" s="191">
        <f>SUM(C36:C47)</f>
        <v>849.33016018981755</v>
      </c>
      <c r="E41" s="38"/>
      <c r="F41" s="191">
        <f>SUM(E36:E47)</f>
        <v>30.784612688534001</v>
      </c>
      <c r="G41" s="17">
        <f t="shared" si="5"/>
        <v>35.852433715856947</v>
      </c>
      <c r="H41" s="191">
        <f>SUM(G36:G47)</f>
        <v>818.54554750128352</v>
      </c>
      <c r="I41" s="35"/>
      <c r="J41" s="37"/>
      <c r="K41" s="35"/>
      <c r="L41" s="37">
        <f>-SUM(Bilan_E_KP_AME_2030!L13:L16)</f>
        <v>-0.93187228923998122</v>
      </c>
      <c r="M41" s="35"/>
      <c r="N41" s="35"/>
      <c r="O41" s="35"/>
      <c r="P41" s="35"/>
      <c r="Q41" s="541"/>
      <c r="R41" s="508">
        <f>SUM(Q36:Q47)-S41</f>
        <v>6.7914440660388209E-4</v>
      </c>
      <c r="S41" s="191">
        <f>SUM(T36:X46)</f>
        <v>646.71616711376885</v>
      </c>
      <c r="T41" s="83">
        <f>Bilan_E_KP_AME_2030!L$38</f>
        <v>2.4657875210358444</v>
      </c>
      <c r="U41" s="83">
        <f>Bilan_E_KP_AME_2030!L$34</f>
        <v>0.85092246484375</v>
      </c>
      <c r="V41" s="83">
        <f>Bilan_E_KP_AME_2030!L$36</f>
        <v>0</v>
      </c>
      <c r="W41" s="83">
        <f>Bilan_E_KP_AME_2030!L$37</f>
        <v>0</v>
      </c>
      <c r="X41" s="84">
        <f>Bilan_E_KP_AME_2030!L$35</f>
        <v>33.466916874810835</v>
      </c>
      <c r="Y41" s="489">
        <f t="shared" si="6"/>
        <v>36.783626860690433</v>
      </c>
      <c r="Z41" s="489">
        <f>G41-Y41-L41</f>
        <v>6.7914440649519126E-4</v>
      </c>
    </row>
    <row r="42" spans="1:26" x14ac:dyDescent="0.25">
      <c r="A42" s="739"/>
      <c r="B42" s="1" t="s">
        <v>38</v>
      </c>
      <c r="C42" s="33">
        <f>Bilan_E_KP_AME_2030!E18+Bilan_E_KP_AME_2030!F18-Bilan_E_KP_AME_2030!F21-Bilan_E_KP_AME_2030!F22-E54-SUM(T43:X43)-(Bilan_E_KP_AME_2030!E20+Bilan_E_KP_AME_2030!F20+Bilan_E_KP_AME_2030!E19+Bilan_E_KP_AME_2030!F19)</f>
        <v>374.9547365883513</v>
      </c>
      <c r="D42" s="539"/>
      <c r="E42" s="17">
        <f>Bilan_E_KP_AME_2030!F30+Bilan_E_KP_AME_2030!S25+Bilan_E_KP_AME_2030!F29+Bilan_E_KP_AME_2030!E29</f>
        <v>30.784612688534001</v>
      </c>
      <c r="F42" s="539"/>
      <c r="G42" s="17">
        <f t="shared" si="5"/>
        <v>344.17012389981727</v>
      </c>
      <c r="H42" s="539"/>
      <c r="I42" s="498"/>
      <c r="J42" s="37"/>
      <c r="K42" s="35"/>
      <c r="L42" s="35"/>
      <c r="M42" s="35"/>
      <c r="N42" s="35"/>
      <c r="O42" s="35"/>
      <c r="P42" s="35"/>
      <c r="Q42" s="36">
        <f>G42</f>
        <v>344.17012389981727</v>
      </c>
      <c r="R42" s="498"/>
      <c r="S42" s="539"/>
      <c r="T42" s="83">
        <v>0</v>
      </c>
      <c r="U42" s="83">
        <v>0</v>
      </c>
      <c r="V42" s="83">
        <v>0</v>
      </c>
      <c r="W42" s="83">
        <v>0</v>
      </c>
      <c r="X42" s="84">
        <f>Bilan_E_KP_AME_2030!F35</f>
        <v>344.1701238998171</v>
      </c>
      <c r="Y42" s="489">
        <f t="shared" si="6"/>
        <v>344.1701238998171</v>
      </c>
      <c r="Z42" s="489">
        <f>Q42-SUM(T42:X42)</f>
        <v>0</v>
      </c>
    </row>
    <row r="43" spans="1:26" x14ac:dyDescent="0.25">
      <c r="A43" s="739"/>
      <c r="B43" s="1" t="s">
        <v>39</v>
      </c>
      <c r="C43" s="33">
        <f>Bilan_E_KP_AME_2030!F41+SUM(T43:X43)</f>
        <v>223.32472443834632</v>
      </c>
      <c r="D43" s="539"/>
      <c r="E43" s="38"/>
      <c r="F43" s="539"/>
      <c r="G43" s="17">
        <f>C43-E43</f>
        <v>223.32472443834632</v>
      </c>
      <c r="H43" s="539"/>
      <c r="I43" s="35"/>
      <c r="J43" s="37"/>
      <c r="K43" s="35"/>
      <c r="L43" s="35"/>
      <c r="M43" s="35"/>
      <c r="N43" s="35"/>
      <c r="O43" s="35"/>
      <c r="P43" s="35"/>
      <c r="Q43" s="36">
        <f>G43-Bilan_E_KP_AME_2030!F41</f>
        <v>102.81894603292447</v>
      </c>
      <c r="R43" s="498"/>
      <c r="S43" s="539"/>
      <c r="T43" s="83">
        <f>Bilan_E_KP_AME_2030!F38</f>
        <v>33.167847610565538</v>
      </c>
      <c r="U43" s="83">
        <f>Bilan_E_KP_AME_2030!F34</f>
        <v>25.052429385041094</v>
      </c>
      <c r="V43" s="83">
        <f>Bilan_E_KP_AME_2030!F36</f>
        <v>31.509183869953784</v>
      </c>
      <c r="W43" s="83">
        <f>Bilan_E_KP_AME_2030!F37</f>
        <v>13.089485167364064</v>
      </c>
      <c r="X43" s="84">
        <v>0</v>
      </c>
      <c r="Y43" s="489">
        <f t="shared" si="6"/>
        <v>102.81894603292447</v>
      </c>
      <c r="Z43" s="489">
        <f>Q43-SUM(T43:X43)</f>
        <v>0</v>
      </c>
    </row>
    <row r="44" spans="1:26" x14ac:dyDescent="0.25">
      <c r="A44" s="739"/>
      <c r="B44" s="1" t="s">
        <v>40</v>
      </c>
      <c r="C44" s="33">
        <f>SUM(T44:X44)</f>
        <v>1.777675824710524</v>
      </c>
      <c r="D44" s="539"/>
      <c r="E44" s="38"/>
      <c r="F44" s="539"/>
      <c r="G44" s="17">
        <f t="shared" si="1"/>
        <v>1.777675824710524</v>
      </c>
      <c r="H44" s="539"/>
      <c r="I44" s="35"/>
      <c r="J44" s="37"/>
      <c r="K44" s="35"/>
      <c r="L44" s="35"/>
      <c r="M44" s="35"/>
      <c r="N44" s="35"/>
      <c r="O44" s="35"/>
      <c r="P44" s="35"/>
      <c r="Q44" s="36">
        <f>G44-Bilan_E_KP_AME_2030!K41</f>
        <v>1.777675824710524</v>
      </c>
      <c r="R44" s="498"/>
      <c r="S44" s="539"/>
      <c r="T44" s="83">
        <f>Bilan_E_KP_AME_2030!K$38</f>
        <v>0</v>
      </c>
      <c r="U44" s="83">
        <f>Bilan_E_KP_AME_2030!K34</f>
        <v>1.777675824710524</v>
      </c>
      <c r="V44" s="83">
        <f>Bilan_E_KP_AME_2030!K$36</f>
        <v>0</v>
      </c>
      <c r="W44" s="83">
        <v>0</v>
      </c>
      <c r="X44" s="84">
        <f>Bilan_E_KP_AME_2030!K$35</f>
        <v>0</v>
      </c>
      <c r="Y44" s="489">
        <f t="shared" si="6"/>
        <v>1.777675824710524</v>
      </c>
      <c r="Z44" s="489">
        <f t="shared" si="7"/>
        <v>0</v>
      </c>
    </row>
    <row r="45" spans="1:26" x14ac:dyDescent="0.25">
      <c r="A45" s="739"/>
      <c r="B45" s="1" t="s">
        <v>41</v>
      </c>
      <c r="C45" s="33">
        <f>E53</f>
        <v>12.411293173801123</v>
      </c>
      <c r="D45" s="539"/>
      <c r="E45" s="38"/>
      <c r="F45" s="539"/>
      <c r="G45" s="17">
        <f t="shared" si="1"/>
        <v>12.411293173801123</v>
      </c>
      <c r="H45" s="539"/>
      <c r="I45" s="35"/>
      <c r="J45" s="37"/>
      <c r="K45" s="35"/>
      <c r="L45" s="35"/>
      <c r="M45" s="35"/>
      <c r="N45" s="35"/>
      <c r="O45" s="35"/>
      <c r="P45" s="35"/>
      <c r="Q45" s="36">
        <f>G45-Bilan_E_KP_AME_2030!G41</f>
        <v>0</v>
      </c>
      <c r="R45" s="498"/>
      <c r="S45" s="539"/>
      <c r="T45" s="84">
        <v>0</v>
      </c>
      <c r="U45" s="83">
        <v>0</v>
      </c>
      <c r="V45" s="84">
        <v>0</v>
      </c>
      <c r="W45" s="92">
        <v>0</v>
      </c>
      <c r="X45" s="84">
        <v>0</v>
      </c>
      <c r="Y45" s="489">
        <f t="shared" si="6"/>
        <v>0</v>
      </c>
      <c r="Z45" s="489">
        <f>Q45-Y45</f>
        <v>0</v>
      </c>
    </row>
    <row r="46" spans="1:26" x14ac:dyDescent="0.25">
      <c r="A46" s="739"/>
      <c r="B46" s="1" t="s">
        <v>42</v>
      </c>
      <c r="C46" s="33">
        <f>Bilan_E_KP_AME_2030!D18-C18-C34</f>
        <v>46.34677612109779</v>
      </c>
      <c r="D46" s="539"/>
      <c r="E46" s="511"/>
      <c r="F46" s="539"/>
      <c r="G46" s="17">
        <f>C46-E46</f>
        <v>46.34677612109779</v>
      </c>
      <c r="H46" s="539"/>
      <c r="I46" s="38"/>
      <c r="J46" s="37"/>
      <c r="K46" s="35"/>
      <c r="L46" s="35"/>
      <c r="M46" s="35"/>
      <c r="N46" s="35"/>
      <c r="O46" s="35"/>
      <c r="P46" s="35"/>
      <c r="Q46" s="36">
        <f>G46-(Bilan_E_KP_AME_2030!D41+Bilan_E_KP_AME_2030!D29+Bilan_E_KP_AME_2030!D30)</f>
        <v>6.5032741679727906</v>
      </c>
      <c r="R46" s="498"/>
      <c r="S46" s="539"/>
      <c r="T46" s="506">
        <f>Bilan_E_KP_AME_2030!D38</f>
        <v>0</v>
      </c>
      <c r="U46" s="93">
        <f>Bilan_E_KP_AME_2030!D34</f>
        <v>6.5032741679727843</v>
      </c>
      <c r="V46" s="506">
        <f>Bilan_E_KP_AME_2030!D36</f>
        <v>0</v>
      </c>
      <c r="W46" s="507">
        <f>Bilan_E_KP_AME_2030!D37</f>
        <v>0</v>
      </c>
      <c r="X46" s="506">
        <f>Bilan_E_KP_AME_2030!D35</f>
        <v>0</v>
      </c>
      <c r="Y46" s="489">
        <f t="shared" si="6"/>
        <v>6.5032741679727843</v>
      </c>
      <c r="Z46" s="489">
        <f>Q46-Y46</f>
        <v>0</v>
      </c>
    </row>
    <row r="47" spans="1:26" x14ac:dyDescent="0.25">
      <c r="A47" s="90"/>
      <c r="B47" s="1" t="s">
        <v>31</v>
      </c>
      <c r="C47" s="33">
        <f>E57</f>
        <v>0</v>
      </c>
      <c r="D47" s="192"/>
      <c r="E47" s="511"/>
      <c r="F47" s="192"/>
      <c r="G47" s="17">
        <f>C47-E47</f>
        <v>0</v>
      </c>
      <c r="H47" s="192"/>
      <c r="I47" s="38"/>
      <c r="J47" s="37"/>
      <c r="K47" s="35"/>
      <c r="L47" s="35"/>
      <c r="M47" s="35"/>
      <c r="N47" s="35"/>
      <c r="O47" s="35"/>
      <c r="P47" s="35"/>
      <c r="Q47" s="542">
        <f>G47-Bilan_E_KP_AME_2030!R41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C5-L13-SUM(L21:L24)-L30-L41-Bilan_E_KP_AME_2030!S18</f>
        <v>0</v>
      </c>
      <c r="D49" s="1"/>
      <c r="E49" s="34">
        <f>SUM(E7:E47)+I13-Bilan_E_KP_AME_2030!S32+K13+SUM(K21:K24)+K30+Bilan_E_KP_AME_2030!D29+Bilan_E_KP_AME_2030!D30</f>
        <v>7.9936057773011271E-14</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487.48754035990942</v>
      </c>
    </row>
    <row r="52" spans="1:19" x14ac:dyDescent="0.25">
      <c r="A52" s="21"/>
      <c r="B52" s="1" t="s">
        <v>44</v>
      </c>
      <c r="C52" s="44"/>
      <c r="D52" s="1"/>
      <c r="E52" s="39">
        <f>Bilan_E_KP_AME_2030!D41+Bilan_E_KP_AME_2030!D29+Bilan_E_KP_AME_2030!D30</f>
        <v>39.843501953124999</v>
      </c>
      <c r="F52" s="187"/>
      <c r="G52" s="1"/>
      <c r="H52" s="1"/>
      <c r="I52" s="30"/>
      <c r="J52" s="17"/>
      <c r="K52" s="17"/>
      <c r="L52" s="21"/>
      <c r="M52" s="1"/>
      <c r="N52" s="17"/>
      <c r="O52" s="17"/>
      <c r="P52" s="17"/>
      <c r="Q52" s="1"/>
      <c r="S52" s="33"/>
    </row>
    <row r="53" spans="1:19" x14ac:dyDescent="0.25">
      <c r="A53" s="21"/>
      <c r="B53" s="1" t="s">
        <v>41</v>
      </c>
      <c r="C53" s="45"/>
      <c r="D53" s="17"/>
      <c r="E53" s="433">
        <f>Bilan_E_KP_AME_2030!G41+Bilan_E_KP_AME_2030!G29</f>
        <v>12.411293173801123</v>
      </c>
      <c r="F53" s="187"/>
      <c r="G53" s="1"/>
      <c r="H53" s="1"/>
      <c r="I53" s="30"/>
      <c r="J53" s="17"/>
      <c r="K53" s="17"/>
      <c r="L53" s="21"/>
      <c r="M53" s="1"/>
      <c r="N53" s="17"/>
      <c r="O53" s="17"/>
      <c r="P53" s="17"/>
      <c r="Q53" s="1"/>
    </row>
    <row r="54" spans="1:19" x14ac:dyDescent="0.25">
      <c r="A54" s="21"/>
      <c r="B54" s="1" t="s">
        <v>39</v>
      </c>
      <c r="C54" s="45"/>
      <c r="D54" s="17"/>
      <c r="E54" s="435">
        <f>Bilan_E_KP_AME_2030!F41</f>
        <v>120.50577840542185</v>
      </c>
      <c r="F54" s="187"/>
      <c r="G54" s="1"/>
      <c r="H54" s="1"/>
      <c r="I54" s="30"/>
      <c r="J54" s="17"/>
      <c r="K54" s="17"/>
      <c r="L54" s="21"/>
      <c r="M54" s="21"/>
      <c r="N54" s="17"/>
      <c r="O54" s="17"/>
      <c r="P54" s="17"/>
      <c r="Q54" s="1"/>
    </row>
    <row r="55" spans="1:19" x14ac:dyDescent="0.25">
      <c r="B55" s="1" t="s">
        <v>21</v>
      </c>
      <c r="E55" s="434">
        <f>Bilan_E_KP_AME_2030!M41+Bilan_E_KP_AME_2030!M29</f>
        <v>0</v>
      </c>
    </row>
    <row r="56" spans="1:19" x14ac:dyDescent="0.25">
      <c r="B56" s="1" t="s">
        <v>37</v>
      </c>
      <c r="E56" s="515">
        <f>Bilan_E_KP_AME_2030!L41+Bilan_E_KP_AME_2030!L29</f>
        <v>0</v>
      </c>
    </row>
    <row r="57" spans="1:19" x14ac:dyDescent="0.25">
      <c r="B57" s="1" t="s">
        <v>31</v>
      </c>
      <c r="E57" s="515">
        <f>Bilan_E_KP_AME_2030!R41</f>
        <v>0</v>
      </c>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8ABA0-5C50-4574-9AC2-4BA42536EAF7}">
  <dimension ref="A1:Z57"/>
  <sheetViews>
    <sheetView topLeftCell="A10" zoomScale="85" zoomScaleNormal="85" workbookViewId="0">
      <selection activeCell="C44" sqref="C44"/>
    </sheetView>
  </sheetViews>
  <sheetFormatPr baseColWidth="10" defaultColWidth="11.42578125" defaultRowHeight="15" x14ac:dyDescent="0.25"/>
  <cols>
    <col min="2" max="2" width="25.85546875" customWidth="1"/>
    <col min="5" max="5" width="11.28515625" customWidth="1"/>
    <col min="17" max="17" width="15.85546875" bestFit="1"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2557.1577904897672</v>
      </c>
      <c r="D5" s="18"/>
      <c r="E5" s="20"/>
      <c r="F5" s="494"/>
      <c r="G5" s="21"/>
      <c r="H5" s="493"/>
      <c r="I5" s="21"/>
      <c r="J5" s="22"/>
      <c r="K5" s="23"/>
      <c r="L5" s="14"/>
      <c r="M5" s="14"/>
      <c r="N5" s="15"/>
      <c r="O5" s="16"/>
      <c r="P5" s="16"/>
      <c r="Q5" s="24">
        <f>Q13+Q22+Q30+Q42+Q46+Q38+Q43</f>
        <v>1408.1659648805005</v>
      </c>
      <c r="R5" s="487"/>
      <c r="S5" s="79">
        <f>SUM(S13,S22,S27:S32,S41)</f>
        <v>1409.9432361019374</v>
      </c>
      <c r="T5" s="79">
        <f>SUM(T8:T46)</f>
        <v>46.257798340783566</v>
      </c>
      <c r="U5" s="79">
        <f>SUM(U8:U46)</f>
        <v>283.32534705645605</v>
      </c>
      <c r="V5" s="79">
        <f>SUM(V8:V46)</f>
        <v>451.16087209850525</v>
      </c>
      <c r="W5" s="173">
        <f>SUM(W8:W46)</f>
        <v>224.74593228110416</v>
      </c>
      <c r="X5" s="79">
        <f>SUM(X8:X46)</f>
        <v>404.4532863250883</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f>(([12]Offre_calc!$P$81+[12]Offre_calc!$P$82+[12]Offre_calc!$P$127+[12]Offre_calc!$P$128)/([12]Offre_calc!$P$78+[12]Offre_calc!$P$124))*Bilan_E_KP_AME_2033!I$21</f>
        <v>96.505602816020541</v>
      </c>
      <c r="D7" s="516"/>
      <c r="E7" s="28">
        <v>0</v>
      </c>
      <c r="F7" s="516"/>
      <c r="G7" s="17">
        <f>C7-E7</f>
        <v>96.505602816020541</v>
      </c>
      <c r="H7" s="516"/>
      <c r="I7" s="21"/>
      <c r="J7" s="516"/>
      <c r="K7" s="523"/>
      <c r="L7" s="523"/>
      <c r="M7" s="523"/>
      <c r="N7" s="523"/>
      <c r="O7" s="523"/>
      <c r="P7" s="513"/>
      <c r="Q7" s="526"/>
      <c r="R7" s="498"/>
      <c r="S7" s="526"/>
      <c r="T7" s="523"/>
      <c r="U7" s="523"/>
      <c r="V7" s="523"/>
      <c r="W7" s="523"/>
      <c r="X7" s="523"/>
    </row>
    <row r="8" spans="1:24" x14ac:dyDescent="0.25">
      <c r="A8" s="736"/>
      <c r="B8" s="1" t="s">
        <v>18</v>
      </c>
      <c r="C8" s="486">
        <f>(([12]Offre_calc!$P$80+[12]Offre_calc!$P$126)/([12]Offre_calc!$P$78+[12]Offre_calc!$P$124))*Bilan_E_KP_AME_2033!I$21</f>
        <v>61.817093056570968</v>
      </c>
      <c r="D8" s="81"/>
      <c r="E8" s="28">
        <v>0</v>
      </c>
      <c r="F8" s="81"/>
      <c r="G8" s="17">
        <f t="shared" ref="G8:G19" si="0">C8-E8</f>
        <v>61.817093056570968</v>
      </c>
      <c r="H8" s="81"/>
      <c r="I8" s="21"/>
      <c r="J8" s="81"/>
      <c r="K8" s="524"/>
      <c r="L8" s="524"/>
      <c r="M8" s="524"/>
      <c r="N8" s="524"/>
      <c r="O8" s="524"/>
      <c r="P8" s="29"/>
      <c r="Q8" s="527"/>
      <c r="R8" s="498"/>
      <c r="S8" s="527"/>
      <c r="T8" s="524"/>
      <c r="U8" s="524"/>
      <c r="V8" s="524"/>
      <c r="W8" s="524"/>
      <c r="X8" s="524"/>
    </row>
    <row r="9" spans="1:24" x14ac:dyDescent="0.25">
      <c r="A9" s="736"/>
      <c r="B9" s="1" t="s">
        <v>19</v>
      </c>
      <c r="C9" s="486">
        <f>(([12]Offre_calc!$P$79+[12]Offre_calc!$P$125)/([12]Offre_calc!$P$78+[12]Offre_calc!$P$124))*Bilan_E_KP_AME_2033!I$21</f>
        <v>49.250995451628675</v>
      </c>
      <c r="D9" s="81"/>
      <c r="E9" s="28">
        <v>0</v>
      </c>
      <c r="F9" s="81"/>
      <c r="G9" s="17">
        <f t="shared" si="0"/>
        <v>49.250995451628675</v>
      </c>
      <c r="H9" s="81"/>
      <c r="I9" s="21"/>
      <c r="J9" s="81"/>
      <c r="K9" s="524"/>
      <c r="L9" s="524"/>
      <c r="M9" s="524"/>
      <c r="N9" s="524"/>
      <c r="O9" s="524"/>
      <c r="P9" s="29"/>
      <c r="Q9" s="527"/>
      <c r="R9" s="498"/>
      <c r="S9" s="527"/>
      <c r="T9" s="524"/>
      <c r="U9" s="524"/>
      <c r="V9" s="524"/>
      <c r="W9" s="524"/>
      <c r="X9" s="524"/>
    </row>
    <row r="10" spans="1:24" x14ac:dyDescent="0.25">
      <c r="A10" s="736"/>
      <c r="B10" s="1" t="s">
        <v>20</v>
      </c>
      <c r="C10" s="17">
        <f>Bilan_E_KP_AME_2033!H21-(Bilan_E_KP_AME_2033!P20+Bilan_E_KP_AME_2033!P19)</f>
        <v>1121.3636363636365</v>
      </c>
      <c r="D10" s="81"/>
      <c r="E10" s="28">
        <f>F13-SUM(E11:E19)</f>
        <v>751.769735853366</v>
      </c>
      <c r="F10" s="81"/>
      <c r="G10" s="17">
        <f>C10-E10</f>
        <v>369.59390051027049</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f>Bilan_E_KP_AME_2033!M21</f>
        <v>0.47494016865067573</v>
      </c>
      <c r="D11" s="81"/>
      <c r="E11" s="28">
        <f>C11*(1-[12]Offre_calc!$P$161)</f>
        <v>0.21016102462792402</v>
      </c>
      <c r="F11" s="81"/>
      <c r="G11" s="17">
        <f t="shared" si="0"/>
        <v>0.26477914402275171</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f>Bilan_E_KP_AME_2033!K21</f>
        <v>7.6561165469613854</v>
      </c>
      <c r="D12" s="81"/>
      <c r="E12" s="28">
        <f>C12*(1-[12]Offre_calc!$P$171)</f>
        <v>5.2444398346685492</v>
      </c>
      <c r="F12" s="81"/>
      <c r="G12" s="17">
        <f t="shared" si="0"/>
        <v>2.4116767122928362</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f>Bilan_E_KP_AME_2033!J21</f>
        <v>30.869450548245954</v>
      </c>
      <c r="D13" s="81">
        <f>SUM(C7:C19)</f>
        <v>1401.5202872712844</v>
      </c>
      <c r="E13" s="28">
        <f>C13*(1-[12]Offre_calc!$P$170)</f>
        <v>21.145573625548479</v>
      </c>
      <c r="F13" s="81">
        <f>Bilan_E_KP_AME_2033!S21</f>
        <v>793.72845706694284</v>
      </c>
      <c r="G13" s="17">
        <f t="shared" si="0"/>
        <v>9.7238769226974746</v>
      </c>
      <c r="H13" s="81">
        <f>SUM(G7:G19)</f>
        <v>607.79183020434164</v>
      </c>
      <c r="I13" s="33">
        <f>Bilan_E_KP_AME_2033!P30</f>
        <v>34.631314570260251</v>
      </c>
      <c r="J13" s="81">
        <f>H13-I13</f>
        <v>573.16051563408143</v>
      </c>
      <c r="K13" s="29">
        <f>Bilan_E_KP_AME_2033!P31</f>
        <v>41.938968757160723</v>
      </c>
      <c r="L13" s="29">
        <f>-(Bilan_E_KP_AME_2033!P14+Bilan_E_KP_AME_2033!P13)</f>
        <v>60.003896317889257</v>
      </c>
      <c r="M13" s="29">
        <f>Bilan_E_KP_AME_2033!P28</f>
        <v>0.21762333659139796</v>
      </c>
      <c r="N13" s="29"/>
      <c r="O13" s="29"/>
      <c r="P13" s="29"/>
      <c r="Q13" s="81">
        <f>J13-K13-L13-M13-N13-O13-P13</f>
        <v>471.00002722244005</v>
      </c>
      <c r="R13" s="508">
        <f>Q13-S13</f>
        <v>0</v>
      </c>
      <c r="S13" s="81">
        <f>SUM(T8:X19)</f>
        <v>471.00002722243977</v>
      </c>
      <c r="T13" s="29">
        <f>Bilan_E_KP_AME_2033!P38</f>
        <v>7.3892266408052469</v>
      </c>
      <c r="U13" s="29">
        <f>Bilan_E_KP_AME_2033!P34+Bilan_E_KP_AME_2033!P39</f>
        <v>109.83356944385173</v>
      </c>
      <c r="V13" s="29">
        <f>Bilan_E_KP_AME_2033!P36</f>
        <v>180.22551264292704</v>
      </c>
      <c r="W13" s="29">
        <f>Bilan_E_KP_AME_2033!P37</f>
        <v>133.46461699259584</v>
      </c>
      <c r="X13" s="29">
        <f>Bilan_E_KP_AME_2033!P35</f>
        <v>40.087101502259863</v>
      </c>
    </row>
    <row r="14" spans="1:24" x14ac:dyDescent="0.25">
      <c r="A14" s="736"/>
      <c r="B14" s="1" t="s">
        <v>24</v>
      </c>
      <c r="C14" s="17">
        <f>Bilan_E_KP_AME_2033!O21</f>
        <v>3.0833964576427819</v>
      </c>
      <c r="D14" s="81"/>
      <c r="E14" s="28">
        <v>0</v>
      </c>
      <c r="F14" s="81"/>
      <c r="G14" s="17">
        <f t="shared" si="0"/>
        <v>3.0833964576427819</v>
      </c>
      <c r="H14" s="81"/>
      <c r="I14" s="21"/>
      <c r="J14" s="81"/>
      <c r="K14" s="524"/>
      <c r="L14" s="524"/>
      <c r="M14" s="524"/>
      <c r="N14" s="524"/>
      <c r="O14" s="524"/>
      <c r="P14" s="29"/>
      <c r="Q14" s="527"/>
      <c r="R14" s="498"/>
      <c r="S14" s="527"/>
      <c r="T14" s="524"/>
      <c r="U14" s="524"/>
      <c r="V14" s="524"/>
      <c r="W14" s="524"/>
      <c r="X14" s="524"/>
    </row>
    <row r="15" spans="1:24" x14ac:dyDescent="0.25">
      <c r="A15" s="736"/>
      <c r="B15" s="1" t="s">
        <v>25</v>
      </c>
      <c r="C15" s="17">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36"/>
      <c r="B16" s="1" t="s">
        <v>343</v>
      </c>
      <c r="C16" s="17">
        <f>Bilan_E_KP_AME_2033!L21</f>
        <v>2.2996832177069302</v>
      </c>
      <c r="D16" s="81"/>
      <c r="E16" s="28">
        <f>C16*(1-[12]Offre_calc!$P$158)</f>
        <v>1.2878226019158809</v>
      </c>
      <c r="F16" s="81"/>
      <c r="G16" s="17">
        <f t="shared" si="0"/>
        <v>1.0118606157910492</v>
      </c>
      <c r="H16" s="81"/>
      <c r="I16" s="21"/>
      <c r="J16" s="81"/>
      <c r="K16" s="524"/>
      <c r="L16" s="524"/>
      <c r="M16" s="524"/>
      <c r="N16" s="524"/>
      <c r="O16" s="524"/>
      <c r="P16" s="29"/>
      <c r="Q16" s="527"/>
      <c r="R16" s="498"/>
      <c r="S16" s="527"/>
      <c r="T16" s="524"/>
      <c r="U16" s="524"/>
      <c r="V16" s="524"/>
      <c r="W16" s="524"/>
      <c r="X16" s="524"/>
    </row>
    <row r="17" spans="1:24" x14ac:dyDescent="0.25">
      <c r="A17" s="736"/>
      <c r="B17" s="1" t="s">
        <v>27</v>
      </c>
      <c r="C17" s="17">
        <f>Bilan_E_KP_AME_2033!F21</f>
        <v>7.7941116668718937</v>
      </c>
      <c r="D17" s="81"/>
      <c r="E17" s="28">
        <f>C17*(1-[12]Offre_calc!$P$158)</f>
        <v>4.364702533448261</v>
      </c>
      <c r="F17" s="81"/>
      <c r="G17" s="17">
        <f t="shared" si="0"/>
        <v>3.4294091334236327</v>
      </c>
      <c r="H17" s="81"/>
      <c r="I17" s="21"/>
      <c r="J17" s="81"/>
      <c r="K17" s="524"/>
      <c r="L17" s="524"/>
      <c r="M17" s="524"/>
      <c r="N17" s="524"/>
      <c r="O17" s="524"/>
      <c r="P17" s="29"/>
      <c r="Q17" s="527"/>
      <c r="R17" s="498"/>
      <c r="S17" s="527"/>
      <c r="T17" s="524"/>
      <c r="U17" s="524"/>
      <c r="V17" s="524"/>
      <c r="W17" s="524"/>
      <c r="X17" s="524"/>
    </row>
    <row r="18" spans="1:24" x14ac:dyDescent="0.25">
      <c r="A18" s="736"/>
      <c r="B18" s="1" t="s">
        <v>28</v>
      </c>
      <c r="C18" s="17">
        <f>Bilan_E_KP_AME_2033!D21</f>
        <v>2.8267856410252494</v>
      </c>
      <c r="D18" s="81"/>
      <c r="E18" s="28">
        <f>C18*(1-[12]Offre_calc!$P$157)</f>
        <v>1.9275462570448931</v>
      </c>
      <c r="F18" s="81"/>
      <c r="G18" s="17">
        <f t="shared" si="0"/>
        <v>0.8992393839803563</v>
      </c>
      <c r="H18" s="81"/>
      <c r="I18" s="21"/>
      <c r="J18" s="81"/>
      <c r="K18" s="524"/>
      <c r="L18" s="524"/>
      <c r="M18" s="524"/>
      <c r="N18" s="524"/>
      <c r="O18" s="524"/>
      <c r="P18" s="29"/>
      <c r="Q18" s="527"/>
      <c r="R18" s="498"/>
      <c r="S18" s="527"/>
      <c r="T18" s="524"/>
      <c r="U18" s="524"/>
      <c r="V18" s="524"/>
      <c r="W18" s="524"/>
      <c r="X18" s="524"/>
    </row>
    <row r="19" spans="1:24" x14ac:dyDescent="0.25">
      <c r="A19" s="736"/>
      <c r="B19" s="1" t="s">
        <v>260</v>
      </c>
      <c r="C19" s="17">
        <f>Bilan_E_KP_AME_2033!G21+Bilan_E_KP_AME_2033!R21</f>
        <v>17.578475336322871</v>
      </c>
      <c r="D19" s="82"/>
      <c r="E19" s="28">
        <f>C19*(1-[12]Offre_calc!$P$160)</f>
        <v>7.7784753363228702</v>
      </c>
      <c r="F19" s="82"/>
      <c r="G19" s="17">
        <f t="shared" si="0"/>
        <v>9.8000000000000007</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0.32959326352760232</v>
      </c>
      <c r="H20" s="499"/>
      <c r="I20" s="17"/>
      <c r="J20" s="1"/>
      <c r="K20" s="17"/>
      <c r="L20" s="1"/>
      <c r="M20" s="1"/>
      <c r="N20" s="1"/>
      <c r="O20" s="1"/>
      <c r="P20" s="1"/>
      <c r="Q20" s="499"/>
      <c r="R20" s="498"/>
      <c r="S20" s="408"/>
      <c r="T20" s="495"/>
      <c r="U20" s="408"/>
      <c r="V20" s="495"/>
      <c r="W20" s="408"/>
      <c r="X20" s="495"/>
    </row>
    <row r="21" spans="1:24" x14ac:dyDescent="0.25">
      <c r="A21" s="737" t="s">
        <v>13</v>
      </c>
      <c r="B21" s="1" t="s">
        <v>21</v>
      </c>
      <c r="C21" s="17">
        <f>Bilan_E_KP_AME_2033!J23+Bilan_E_KP_AME_2033!M12</f>
        <v>7.6978510421922888</v>
      </c>
      <c r="D21" s="529"/>
      <c r="E21" s="33">
        <f>Bilan_E_KP_AME_2033!S23+Bilan_E_KP_AME_2033!M30</f>
        <v>0.99423482550395781</v>
      </c>
      <c r="F21" s="529"/>
      <c r="G21" s="17">
        <f t="shared" ref="G21:G45" si="1">C21-E21</f>
        <v>6.7036162166883306</v>
      </c>
      <c r="H21" s="529"/>
      <c r="I21" s="17"/>
      <c r="J21" s="529"/>
      <c r="K21" s="545">
        <f>Bilan_E_KP_AME_2033!M31</f>
        <v>7.9022380537406095E-2</v>
      </c>
      <c r="L21" s="545">
        <f>-(Bilan_E_KP_AME_2033!M13+Bilan_E_KP_AME_2033!M14+Bilan_E_KP_AME_2033!M15+Bilan_E_KP_AME_2033!M16)</f>
        <v>0</v>
      </c>
      <c r="M21" s="545">
        <f>Bilan_E_KP_AME_2033!M28</f>
        <v>4.3169818369445515E-2</v>
      </c>
      <c r="N21" s="545">
        <f>Bilan_E_KP_AME_2033!M22</f>
        <v>0.32594257421966627</v>
      </c>
      <c r="O21" s="545">
        <f>Bilan_E_KP_AME_2033!M21</f>
        <v>0.47494016865067573</v>
      </c>
      <c r="P21" s="529"/>
      <c r="Q21" s="529"/>
      <c r="R21" s="498"/>
      <c r="S21" s="529"/>
      <c r="T21" s="529"/>
      <c r="U21" s="529"/>
      <c r="V21" s="529"/>
      <c r="W21" s="529"/>
      <c r="X21" s="529"/>
    </row>
    <row r="22" spans="1:24" x14ac:dyDescent="0.25">
      <c r="A22" s="737"/>
      <c r="B22" s="1" t="s">
        <v>30</v>
      </c>
      <c r="C22" s="17"/>
      <c r="D22" s="85">
        <f>SUM(C21:C24)</f>
        <v>336.12400870450335</v>
      </c>
      <c r="E22" s="497"/>
      <c r="F22" s="85">
        <f>SUM(E21:E24)</f>
        <v>7.0672231518546464</v>
      </c>
      <c r="G22" s="17"/>
      <c r="H22" s="85">
        <f>SUM(G21:G24)</f>
        <v>329.05678555264871</v>
      </c>
      <c r="I22" s="408"/>
      <c r="J22" s="85">
        <f>H22-I22</f>
        <v>329.05678555264871</v>
      </c>
      <c r="K22" s="32"/>
      <c r="L22" s="32"/>
      <c r="M22" s="32"/>
      <c r="N22" s="32"/>
      <c r="O22" s="32"/>
      <c r="P22" s="32"/>
      <c r="Q22" s="85">
        <f>J22-SUM(K21:P24)</f>
        <v>289.26092707408321</v>
      </c>
      <c r="R22" s="508">
        <f>Q22-S22</f>
        <v>-2.5030873755326866E-2</v>
      </c>
      <c r="S22" s="85">
        <f>SUM(T22:X24)</f>
        <v>289.28595794783854</v>
      </c>
      <c r="T22" s="32">
        <f>Bilan_E_KP_AME_2033!G38+Bilan_E_KP_AME_2033!R38+Bilan_E_KP_AME_2033!M$38</f>
        <v>1.9723172621187404</v>
      </c>
      <c r="U22" s="32">
        <f>Bilan_E_KP_AME_2033!G34+Bilan_E_KP_AME_2033!R34+Bilan_E_KP_AME_2033!M$34</f>
        <v>105.18237111341841</v>
      </c>
      <c r="V22" s="32">
        <f>Bilan_E_KP_AME_2033!G36+Bilan_E_KP_AME_2033!R36+Bilan_E_KP_AME_2033!M$36</f>
        <v>96.722252319174757</v>
      </c>
      <c r="W22" s="32">
        <f>Bilan_E_KP_AME_2033!G37+Bilan_E_KP_AME_2033!K37+Bilan_E_KP_AME_2033!R37+Bilan_E_KP_AME_2033!M$37</f>
        <v>63.898149326649992</v>
      </c>
      <c r="X22" s="32">
        <f>Bilan_E_KP_AME_2033!G35+Bilan_E_KP_AME_2033!R35+Bilan_E_KP_AME_2033!M$35</f>
        <v>21.510867926476621</v>
      </c>
    </row>
    <row r="23" spans="1:24" x14ac:dyDescent="0.25">
      <c r="A23" s="737"/>
      <c r="B23" s="1" t="s">
        <v>31</v>
      </c>
      <c r="C23" s="17">
        <f>SUM(Bilan_E_KP_AME_2033!D28:Q28)-C47</f>
        <v>1.8793404882366878</v>
      </c>
      <c r="D23" s="530"/>
      <c r="E23" s="33">
        <f>Bilan_E_KP_AME_2033!S28+Bilan_E_KP_AME_2033!S27</f>
        <v>0.72859353189346332</v>
      </c>
      <c r="F23" s="532"/>
      <c r="G23" s="17">
        <f t="shared" si="1"/>
        <v>1.1507469563432244</v>
      </c>
      <c r="H23" s="532"/>
      <c r="I23" s="17"/>
      <c r="J23" s="532"/>
      <c r="K23" s="534">
        <f>Bilan_E_KP_AME_2033!R31</f>
        <v>0</v>
      </c>
      <c r="L23" s="534">
        <f>-(Bilan_E_KP_AME_2033!R13+Bilan_E_KP_AME_2033!R14+Bilan_E_KP_AME_2033!R15+Bilan_E_KP_AME_2033!R16)</f>
        <v>0</v>
      </c>
      <c r="M23" s="534"/>
      <c r="N23" s="534">
        <f>Bilan_E_KP_AME_2033!R22</f>
        <v>0</v>
      </c>
      <c r="O23" s="534">
        <f>Bilan_E_KP_AME_2033!R21</f>
        <v>0</v>
      </c>
      <c r="P23" s="534">
        <f>-Bilan_E_KP_AME_2033!L27</f>
        <v>0</v>
      </c>
      <c r="Q23" s="532"/>
      <c r="S23" s="532"/>
      <c r="T23" s="536"/>
      <c r="U23" s="536"/>
      <c r="V23" s="536"/>
      <c r="W23" s="536"/>
      <c r="X23" s="536"/>
    </row>
    <row r="24" spans="1:24" x14ac:dyDescent="0.25">
      <c r="A24" s="737"/>
      <c r="B24" s="1" t="s">
        <v>32</v>
      </c>
      <c r="C24" s="17">
        <f>Bilan_E_KP_AME_2033!G18-C45-(Bilan_E_KP_AME_2033!G20+Bilan_E_KP_AME_2033!G19)</f>
        <v>326.54681717407436</v>
      </c>
      <c r="D24" s="531"/>
      <c r="E24" s="33">
        <f>Bilan_E_KP_AME_2033!G30</f>
        <v>5.3443947944572248</v>
      </c>
      <c r="F24" s="533"/>
      <c r="G24" s="17">
        <f t="shared" si="1"/>
        <v>321.20242237961713</v>
      </c>
      <c r="H24" s="533"/>
      <c r="I24" s="34"/>
      <c r="J24" s="533"/>
      <c r="K24" s="535">
        <f>Bilan_E_KP_AME_2033!G31</f>
        <v>3.8720966463328983</v>
      </c>
      <c r="L24" s="535"/>
      <c r="M24" s="535">
        <f>Bilan_E_KP_AME_2033!G28</f>
        <v>2.1153211001028303</v>
      </c>
      <c r="N24" s="535">
        <f>Bilan_E_KP_AME_2033!G22</f>
        <v>15.306890454029709</v>
      </c>
      <c r="O24" s="535">
        <f>Bilan_E_KP_AME_2033!G21</f>
        <v>17.578475336322871</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38" t="s">
        <v>14</v>
      </c>
      <c r="B26" s="1" t="s">
        <v>21</v>
      </c>
      <c r="C26" s="17">
        <f>Bilan_E_KP_AME_2033!M22</f>
        <v>0.32594257421966627</v>
      </c>
      <c r="D26" s="512"/>
      <c r="E26" s="190">
        <f>C26*F$35</f>
        <v>3.2038826368578056E-2</v>
      </c>
      <c r="F26" s="512"/>
      <c r="G26" s="33">
        <f t="shared" ref="G26:G31" si="2">C26-E26</f>
        <v>0.29390374785108819</v>
      </c>
      <c r="H26" s="512"/>
      <c r="I26" s="1"/>
      <c r="J26" s="512"/>
      <c r="K26" s="512"/>
      <c r="L26" s="512"/>
      <c r="M26" s="512"/>
      <c r="N26" s="512"/>
      <c r="O26" s="512"/>
      <c r="P26" s="512"/>
      <c r="Q26" s="512"/>
      <c r="R26" s="498"/>
      <c r="S26" s="512"/>
      <c r="T26" s="512"/>
      <c r="U26" s="512"/>
      <c r="V26" s="512"/>
      <c r="W26" s="512"/>
      <c r="X26" s="512"/>
    </row>
    <row r="27" spans="1:24" x14ac:dyDescent="0.25">
      <c r="A27" s="738"/>
      <c r="B27" s="1" t="s">
        <v>22</v>
      </c>
      <c r="C27" s="17">
        <f>Bilan_E_KP_AME_2033!K18-Bilan_E_KP_AME_2033!K21-Bilan_E_KP_AME_2033!K34-(Bilan_E_KP_AME_2033!Q20+Bilan_E_KP_AME_2033!Q19+Bilan_E_KP_AME_2033!K20+Bilan_E_KP_AME_2033!K19)</f>
        <v>12.323235074823625</v>
      </c>
      <c r="D27" s="87"/>
      <c r="E27" s="190">
        <f t="shared" ref="E27:E34" si="3">C27*F$35</f>
        <v>1.2113237732342328</v>
      </c>
      <c r="F27" s="87"/>
      <c r="G27" s="33">
        <f t="shared" si="2"/>
        <v>11.111911301589393</v>
      </c>
      <c r="H27" s="87"/>
      <c r="I27" s="500"/>
      <c r="J27" s="87"/>
      <c r="K27" s="87"/>
      <c r="L27" s="87"/>
      <c r="M27" s="87"/>
      <c r="N27" s="87"/>
      <c r="O27" s="87"/>
      <c r="P27" s="87"/>
      <c r="Q27" s="87"/>
      <c r="R27" s="498"/>
      <c r="S27" s="87"/>
      <c r="T27" s="87"/>
      <c r="U27" s="87"/>
      <c r="V27" s="87"/>
      <c r="W27" s="87"/>
      <c r="X27" s="87"/>
    </row>
    <row r="28" spans="1:24" x14ac:dyDescent="0.25">
      <c r="A28" s="738"/>
      <c r="B28" s="1" t="s">
        <v>26</v>
      </c>
      <c r="C28" s="17"/>
      <c r="D28" s="87"/>
      <c r="E28" s="190">
        <f t="shared" si="3"/>
        <v>0</v>
      </c>
      <c r="F28" s="87"/>
      <c r="G28" s="33">
        <f>C28-E28</f>
        <v>0</v>
      </c>
      <c r="H28" s="87"/>
      <c r="I28" s="1"/>
      <c r="J28" s="87"/>
      <c r="K28" s="87"/>
      <c r="L28" s="87"/>
      <c r="M28" s="87"/>
      <c r="N28" s="87"/>
      <c r="O28" s="87"/>
      <c r="P28" s="87"/>
      <c r="Q28" s="87"/>
      <c r="R28" s="498"/>
      <c r="S28" s="87"/>
      <c r="T28" s="87"/>
      <c r="U28" s="87"/>
      <c r="V28" s="87"/>
      <c r="W28" s="87"/>
      <c r="X28" s="87"/>
    </row>
    <row r="29" spans="1:24" x14ac:dyDescent="0.25">
      <c r="A29" s="738"/>
      <c r="B29" s="1" t="s">
        <v>23</v>
      </c>
      <c r="C29" s="17">
        <f>Bilan_E_KP_AME_2033!J22</f>
        <v>13.130836985616687</v>
      </c>
      <c r="D29" s="87"/>
      <c r="E29" s="190">
        <f t="shared" si="3"/>
        <v>1.2907077489446068</v>
      </c>
      <c r="F29" s="87"/>
      <c r="G29" s="33">
        <f t="shared" si="2"/>
        <v>11.84012923667208</v>
      </c>
      <c r="H29" s="87"/>
      <c r="I29" s="1"/>
      <c r="J29" s="87"/>
      <c r="K29" s="87"/>
      <c r="L29" s="87"/>
      <c r="M29" s="87"/>
      <c r="N29" s="87"/>
      <c r="O29" s="87"/>
      <c r="P29" s="87"/>
      <c r="Q29" s="87"/>
      <c r="R29" s="498"/>
      <c r="S29" s="87"/>
      <c r="T29" s="87"/>
      <c r="U29" s="87"/>
      <c r="V29" s="87"/>
      <c r="W29" s="87"/>
      <c r="X29" s="87"/>
    </row>
    <row r="30" spans="1:24" x14ac:dyDescent="0.25">
      <c r="A30" s="738"/>
      <c r="B30" s="1" t="s">
        <v>24</v>
      </c>
      <c r="C30" s="17">
        <f>Bilan_E_KP_AME_2033!O22</f>
        <v>2.1777173090422202</v>
      </c>
      <c r="D30" s="86">
        <f>SUM(C26:C34)</f>
        <v>43.264622397731905</v>
      </c>
      <c r="E30" s="190">
        <f t="shared" si="3"/>
        <v>0.21406073419923599</v>
      </c>
      <c r="F30" s="86">
        <f>Bilan_E_KP_AME_2033!S22</f>
        <v>4.2527360171391511</v>
      </c>
      <c r="G30" s="33">
        <f t="shared" si="2"/>
        <v>1.9636565748429842</v>
      </c>
      <c r="H30" s="86">
        <f>SUM(G26:G34)</f>
        <v>39.011886380592756</v>
      </c>
      <c r="I30" s="1"/>
      <c r="J30" s="86">
        <f>H30</f>
        <v>39.011886380592756</v>
      </c>
      <c r="K30" s="87">
        <f>Bilan_E_KP_AME_2033!Q31</f>
        <v>3.0236871210614171</v>
      </c>
      <c r="L30" s="87"/>
      <c r="M30" s="87">
        <f>Bilan_E_KP_AME_2033!K28</f>
        <v>2.387711193000305E-2</v>
      </c>
      <c r="N30" s="87"/>
      <c r="O30" s="87"/>
      <c r="P30" s="87"/>
      <c r="Q30" s="86">
        <f>J30-K30-L30-M30-N30-O30-P30</f>
        <v>35.964322147601337</v>
      </c>
      <c r="R30" s="508">
        <f>Q30-S30</f>
        <v>2.5030873755326866E-2</v>
      </c>
      <c r="S30" s="86">
        <f>SUM(T27:X34)</f>
        <v>35.93929127384601</v>
      </c>
      <c r="T30" s="87">
        <f>Bilan_E_KP_AME_2033!Q$38</f>
        <v>0</v>
      </c>
      <c r="U30" s="87">
        <f>Bilan_E_KP_AME_2033!Q$34</f>
        <v>16.190109766233334</v>
      </c>
      <c r="V30" s="87">
        <f>Bilan_E_KP_AME_2033!Q$36</f>
        <v>15.690776641240536</v>
      </c>
      <c r="W30" s="87">
        <f>Bilan_E_KP_AME_2033!Q$37</f>
        <v>4.0584048663721433</v>
      </c>
      <c r="X30" s="87">
        <f>Bilan_E_KP_AME_2033!Q$35</f>
        <v>0</v>
      </c>
    </row>
    <row r="31" spans="1:24" x14ac:dyDescent="0.25">
      <c r="A31" s="738"/>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38"/>
      <c r="B32" s="1" t="s">
        <v>29</v>
      </c>
      <c r="C32" s="17">
        <f>Bilan_E_KP_AME_2033!G22</f>
        <v>15.306890454029709</v>
      </c>
      <c r="D32" s="86"/>
      <c r="E32" s="190">
        <f t="shared" si="3"/>
        <v>1.5046049343924977</v>
      </c>
      <c r="F32" s="86"/>
      <c r="G32" s="33">
        <f>C32-E32</f>
        <v>13.802285519637211</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Bilan_E_KP_AME_2033!F22</f>
        <v>0</v>
      </c>
      <c r="D33" s="86"/>
      <c r="E33" s="190">
        <f t="shared" si="3"/>
        <v>0</v>
      </c>
      <c r="F33" s="86"/>
      <c r="G33" s="33">
        <f t="shared" ref="G33:G34" si="4">C33-E33</f>
        <v>0</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Bilan_E_KP_AME_2033!D22</f>
        <v>0</v>
      </c>
      <c r="D34" s="88"/>
      <c r="E34" s="190">
        <f t="shared" si="3"/>
        <v>0</v>
      </c>
      <c r="F34" s="88"/>
      <c r="G34" s="33">
        <f t="shared" si="4"/>
        <v>0</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9.8295923584949527E-2</v>
      </c>
      <c r="G35" s="17"/>
      <c r="H35" s="501"/>
      <c r="I35" s="1"/>
      <c r="J35" s="1"/>
      <c r="K35" s="1"/>
      <c r="L35" s="1"/>
      <c r="M35" s="1"/>
      <c r="N35" s="1"/>
      <c r="O35" s="1"/>
      <c r="P35" s="1"/>
      <c r="Q35" s="502"/>
      <c r="R35" s="498"/>
      <c r="U35" s="33"/>
      <c r="V35" s="33"/>
      <c r="W35" s="33"/>
    </row>
    <row r="36" spans="1:26" x14ac:dyDescent="0.25">
      <c r="A36" s="739" t="s">
        <v>34</v>
      </c>
      <c r="B36" s="1" t="s">
        <v>21</v>
      </c>
      <c r="C36" s="33">
        <v>0</v>
      </c>
      <c r="D36" s="538"/>
      <c r="E36" s="17"/>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39"/>
      <c r="B37" s="1" t="s">
        <v>23</v>
      </c>
      <c r="C37" s="33">
        <f>SUM(T37:X37)</f>
        <v>107.95666307793716</v>
      </c>
      <c r="D37" s="539"/>
      <c r="E37" s="504"/>
      <c r="F37" s="539"/>
      <c r="G37" s="17">
        <f t="shared" ref="G37:G42" si="5">C37-E37</f>
        <v>107.95666307793716</v>
      </c>
      <c r="H37" s="539"/>
      <c r="I37" s="498"/>
      <c r="J37" s="37"/>
      <c r="K37" s="35"/>
      <c r="L37" s="35"/>
      <c r="M37" s="505"/>
      <c r="N37" s="35"/>
      <c r="P37" s="35"/>
      <c r="Q37" s="541"/>
      <c r="R37" s="498"/>
      <c r="S37" s="539"/>
      <c r="T37" s="506">
        <f>Bilan_E_KP_AME_2033!J38</f>
        <v>2.05899706998358</v>
      </c>
      <c r="U37" s="93">
        <f>Bilan_E_KP_AME_2033!J34</f>
        <v>19.164817057512749</v>
      </c>
      <c r="V37" s="506">
        <f>Bilan_E_KP_AME_2033!J36</f>
        <v>83.273177408961004</v>
      </c>
      <c r="W37" s="507">
        <f>Bilan_E_KP_AME_2033!J37</f>
        <v>3.4596715414798309</v>
      </c>
      <c r="X37" s="506">
        <f>Bilan_E_KP_AME_2033!J35</f>
        <v>0</v>
      </c>
      <c r="Y37" s="489">
        <f t="shared" ref="Y37:Y47" si="6">SUM(T37:X37)</f>
        <v>107.95666307793716</v>
      </c>
      <c r="Z37" s="489">
        <f t="shared" ref="Z37:Z44" si="7">G37-Y37</f>
        <v>0</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f>SUM(G36:G41)-E55-E56-L41-L36</f>
        <v>199.05132730656317</v>
      </c>
      <c r="R38" s="498"/>
      <c r="S38" s="539"/>
      <c r="T38" s="84">
        <v>0</v>
      </c>
      <c r="U38" s="83">
        <v>0</v>
      </c>
      <c r="V38" s="84">
        <v>0</v>
      </c>
      <c r="W38" s="91">
        <v>0</v>
      </c>
      <c r="X38" s="91">
        <v>0</v>
      </c>
      <c r="Y38" s="489">
        <f t="shared" si="6"/>
        <v>0</v>
      </c>
      <c r="Z38" s="489">
        <f t="shared" si="7"/>
        <v>0</v>
      </c>
    </row>
    <row r="39" spans="1:26" x14ac:dyDescent="0.25">
      <c r="A39" s="739"/>
      <c r="B39" s="1" t="s">
        <v>35</v>
      </c>
      <c r="C39" s="33">
        <f>SUM(T39:X39)</f>
        <v>2.8404482619184632</v>
      </c>
      <c r="D39" s="539"/>
      <c r="E39" s="35"/>
      <c r="F39" s="539"/>
      <c r="G39" s="17">
        <f t="shared" si="5"/>
        <v>2.8404482619184632</v>
      </c>
      <c r="H39" s="539"/>
      <c r="I39" s="35"/>
      <c r="J39" s="37"/>
      <c r="K39" s="35"/>
      <c r="L39" s="35"/>
      <c r="M39" s="37"/>
      <c r="N39" s="35"/>
      <c r="O39" s="35"/>
      <c r="P39" s="35"/>
      <c r="Q39" s="541"/>
      <c r="R39" s="498"/>
      <c r="S39" s="539"/>
      <c r="T39" s="84">
        <f>Bilan_E_KP_AME_2033!O38</f>
        <v>8.070345812558942E-2</v>
      </c>
      <c r="U39" s="83">
        <f>Bilan_E_KP_AME_2033!O34</f>
        <v>3.8147295409713907E-4</v>
      </c>
      <c r="V39" s="84">
        <f>Bilan_E_KP_AME_2033!O36</f>
        <v>1.9582561857397398</v>
      </c>
      <c r="W39" s="91">
        <f>Bilan_E_KP_AME_2033!O37</f>
        <v>0.80110714509903691</v>
      </c>
      <c r="X39" s="91">
        <f>Bilan_E_KP_AME_2033!O35</f>
        <v>0</v>
      </c>
      <c r="Y39" s="489">
        <f t="shared" si="6"/>
        <v>2.8404482619184632</v>
      </c>
      <c r="Z39" s="489">
        <f t="shared" si="7"/>
        <v>0</v>
      </c>
    </row>
    <row r="40" spans="1:26" x14ac:dyDescent="0.25">
      <c r="A40" s="739"/>
      <c r="B40" s="1" t="s">
        <v>36</v>
      </c>
      <c r="C40" s="33">
        <f>Bilan_E_KP_AME_2033!N12</f>
        <v>54.409714472774652</v>
      </c>
      <c r="D40" s="539"/>
      <c r="E40" s="35"/>
      <c r="F40" s="539"/>
      <c r="G40" s="17">
        <f t="shared" si="5"/>
        <v>54.409714472774652</v>
      </c>
      <c r="H40" s="539"/>
      <c r="I40" s="35"/>
      <c r="J40" s="37"/>
      <c r="K40" s="35"/>
      <c r="L40" s="35"/>
      <c r="M40" s="37"/>
      <c r="N40" s="35"/>
      <c r="O40" s="35"/>
      <c r="P40" s="35"/>
      <c r="Q40" s="541"/>
      <c r="R40" s="498"/>
      <c r="S40" s="539"/>
      <c r="T40" s="83">
        <f>Bilan_E_KP_AME_2033!N$38</f>
        <v>0</v>
      </c>
      <c r="U40" s="83">
        <f>Bilan_E_KP_AME_2033!N$34</f>
        <v>0</v>
      </c>
      <c r="V40" s="83">
        <f>Bilan_E_KP_AME_2033!N$36</f>
        <v>46.067590504591024</v>
      </c>
      <c r="W40" s="83">
        <f>Bilan_E_KP_AME_2033!N$37</f>
        <v>8.3421239681836319</v>
      </c>
      <c r="X40" s="84">
        <f>Bilan_E_KP_AME_2033!N$35</f>
        <v>0</v>
      </c>
      <c r="Y40" s="489">
        <f t="shared" si="6"/>
        <v>54.409714472774652</v>
      </c>
      <c r="Z40" s="489">
        <f t="shared" si="7"/>
        <v>0</v>
      </c>
    </row>
    <row r="41" spans="1:26" x14ac:dyDescent="0.25">
      <c r="A41" s="739"/>
      <c r="B41" s="1" t="s">
        <v>37</v>
      </c>
      <c r="C41" s="33">
        <f>Bilan_E_KP_AME_2033!L12+Bilan_E_KP_AME_2033!J26+Bilan_E_KP_AME_2033!J27-Bilan_E_KP_AME_2033!L21</f>
        <v>32.744325399970521</v>
      </c>
      <c r="D41" s="191">
        <f>SUM(C36:C47)</f>
        <v>812.33511201646388</v>
      </c>
      <c r="E41" s="38"/>
      <c r="F41" s="191">
        <f>SUM(E36:E47)</f>
        <v>30.11532500448401</v>
      </c>
      <c r="G41" s="17">
        <f t="shared" si="5"/>
        <v>32.744325399970521</v>
      </c>
      <c r="H41" s="191">
        <f>SUM(G36:G47)</f>
        <v>782.21978701197986</v>
      </c>
      <c r="I41" s="35"/>
      <c r="J41" s="37"/>
      <c r="K41" s="35"/>
      <c r="L41" s="37">
        <f>-SUM(Bilan_E_KP_AME_2033!L13:L16)</f>
        <v>-1.1001760939623788</v>
      </c>
      <c r="M41" s="35"/>
      <c r="N41" s="35"/>
      <c r="O41" s="35"/>
      <c r="P41" s="35"/>
      <c r="Q41" s="541"/>
      <c r="R41" s="508">
        <f>SUM(Q36:Q47)-S41</f>
        <v>-3.008854262134264E-4</v>
      </c>
      <c r="S41" s="191">
        <f>SUM(T36:X46)</f>
        <v>613.71795965781303</v>
      </c>
      <c r="T41" s="83">
        <f>Bilan_E_KP_AME_2033!L$38</f>
        <v>2.6244824682898504</v>
      </c>
      <c r="U41" s="83">
        <f>Bilan_E_KP_AME_2033!L$34</f>
        <v>0.86552810351562492</v>
      </c>
      <c r="V41" s="83">
        <f>Bilan_E_KP_AME_2033!L$36</f>
        <v>0</v>
      </c>
      <c r="W41" s="83">
        <f>Bilan_E_KP_AME_2033!L$37</f>
        <v>0</v>
      </c>
      <c r="X41" s="84">
        <f>Bilan_E_KP_AME_2033!L$35</f>
        <v>30.35479180755361</v>
      </c>
      <c r="Y41" s="489">
        <f t="shared" si="6"/>
        <v>33.844802379359088</v>
      </c>
      <c r="Z41" s="489">
        <f>G41-Y41-L41</f>
        <v>-3.0088542618833536E-4</v>
      </c>
    </row>
    <row r="42" spans="1:26" x14ac:dyDescent="0.25">
      <c r="A42" s="739"/>
      <c r="B42" s="1" t="s">
        <v>38</v>
      </c>
      <c r="C42" s="33">
        <f>Bilan_E_KP_AME_2033!E18+Bilan_E_KP_AME_2033!F18-Bilan_E_KP_AME_2033!F21-Bilan_E_KP_AME_2033!F22-E54-SUM(T43:X43)-(Bilan_E_KP_AME_2033!E20+Bilan_E_KP_AME_2033!F20+Bilan_E_KP_AME_2033!E19+Bilan_E_KP_AME_2033!F19)</f>
        <v>342.61585009328218</v>
      </c>
      <c r="D42" s="539"/>
      <c r="E42" s="17">
        <f>Bilan_E_KP_AME_2033!F30+Bilan_E_KP_AME_2033!S25+Bilan_E_KP_AME_2033!F29+Bilan_E_KP_AME_2033!E29</f>
        <v>30.11532500448401</v>
      </c>
      <c r="F42" s="539"/>
      <c r="G42" s="17">
        <f t="shared" si="5"/>
        <v>312.50052508879816</v>
      </c>
      <c r="H42" s="539"/>
      <c r="I42" s="498"/>
      <c r="J42" s="37"/>
      <c r="K42" s="35"/>
      <c r="L42" s="35"/>
      <c r="M42" s="35"/>
      <c r="N42" s="35"/>
      <c r="O42" s="35"/>
      <c r="P42" s="35"/>
      <c r="Q42" s="36">
        <f>G42</f>
        <v>312.50052508879816</v>
      </c>
      <c r="R42" s="498"/>
      <c r="S42" s="539"/>
      <c r="T42" s="83">
        <v>0</v>
      </c>
      <c r="U42" s="83">
        <v>0</v>
      </c>
      <c r="V42" s="83">
        <v>0</v>
      </c>
      <c r="W42" s="83">
        <v>0</v>
      </c>
      <c r="X42" s="84">
        <f>Bilan_E_KP_AME_2033!F35</f>
        <v>312.50052508879821</v>
      </c>
      <c r="Y42" s="489">
        <f t="shared" si="6"/>
        <v>312.50052508879821</v>
      </c>
      <c r="Z42" s="489">
        <f>Q42-SUM(T42:X42)</f>
        <v>0</v>
      </c>
    </row>
    <row r="43" spans="1:26" x14ac:dyDescent="0.25">
      <c r="A43" s="739"/>
      <c r="B43" s="1" t="s">
        <v>39</v>
      </c>
      <c r="C43" s="33">
        <f>Bilan_E_KP_AME_2033!F41+SUM(T43:X43)</f>
        <v>211.11846628487757</v>
      </c>
      <c r="D43" s="539"/>
      <c r="E43" s="38"/>
      <c r="F43" s="539"/>
      <c r="G43" s="17">
        <f>C43-E43</f>
        <v>211.11846628487757</v>
      </c>
      <c r="H43" s="539"/>
      <c r="I43" s="35"/>
      <c r="J43" s="37"/>
      <c r="K43" s="35"/>
      <c r="L43" s="35"/>
      <c r="M43" s="35"/>
      <c r="N43" s="35"/>
      <c r="O43" s="35"/>
      <c r="P43" s="35"/>
      <c r="Q43" s="36">
        <f>G43-Bilan_E_KP_AME_2033!F41</f>
        <v>94.041160430885768</v>
      </c>
      <c r="R43" s="498"/>
      <c r="S43" s="539"/>
      <c r="T43" s="83">
        <f>Bilan_E_KP_AME_2033!F38</f>
        <v>32.13207144146056</v>
      </c>
      <c r="U43" s="83">
        <f>Bilan_E_KP_AME_2033!F34</f>
        <v>23.963924152830415</v>
      </c>
      <c r="V43" s="83">
        <f>Bilan_E_KP_AME_2033!F36</f>
        <v>27.223306395871116</v>
      </c>
      <c r="W43" s="83">
        <f>Bilan_E_KP_AME_2033!F37</f>
        <v>10.721858440723695</v>
      </c>
      <c r="X43" s="84">
        <v>0</v>
      </c>
      <c r="Y43" s="489">
        <f t="shared" si="6"/>
        <v>94.041160430885782</v>
      </c>
      <c r="Z43" s="489">
        <f>Q43-SUM(T43:X43)</f>
        <v>0</v>
      </c>
    </row>
    <row r="44" spans="1:26" x14ac:dyDescent="0.25">
      <c r="A44" s="739"/>
      <c r="B44" s="1" t="s">
        <v>40</v>
      </c>
      <c r="C44" s="33">
        <f>SUM(T44:X44)</f>
        <v>1.7769703360109936</v>
      </c>
      <c r="D44" s="539"/>
      <c r="E44" s="38"/>
      <c r="F44" s="539"/>
      <c r="G44" s="17">
        <f t="shared" si="1"/>
        <v>1.7769703360109936</v>
      </c>
      <c r="H44" s="539"/>
      <c r="I44" s="35"/>
      <c r="J44" s="37"/>
      <c r="K44" s="35"/>
      <c r="L44" s="35"/>
      <c r="M44" s="35"/>
      <c r="N44" s="35"/>
      <c r="O44" s="35"/>
      <c r="P44" s="35"/>
      <c r="Q44" s="36">
        <f>G44-Bilan_E_KP_AME_2033!K41</f>
        <v>1.7769703360109936</v>
      </c>
      <c r="R44" s="498"/>
      <c r="S44" s="539"/>
      <c r="T44" s="83">
        <f>Bilan_E_KP_AME_2033!K$38</f>
        <v>0</v>
      </c>
      <c r="U44" s="83">
        <f>Bilan_E_KP_AME_2033!K34</f>
        <v>1.7769703360109936</v>
      </c>
      <c r="V44" s="83">
        <f>Bilan_E_KP_AME_2033!K$36</f>
        <v>0</v>
      </c>
      <c r="W44" s="83">
        <v>0</v>
      </c>
      <c r="X44" s="84">
        <f>Bilan_E_KP_AME_2033!K$35</f>
        <v>0</v>
      </c>
      <c r="Y44" s="489">
        <f t="shared" si="6"/>
        <v>1.7769703360109936</v>
      </c>
      <c r="Z44" s="489">
        <f t="shared" si="7"/>
        <v>0</v>
      </c>
    </row>
    <row r="45" spans="1:26" x14ac:dyDescent="0.25">
      <c r="A45" s="739"/>
      <c r="B45" s="1" t="s">
        <v>41</v>
      </c>
      <c r="C45" s="33">
        <f>E53</f>
        <v>12.185345647681713</v>
      </c>
      <c r="D45" s="539"/>
      <c r="E45" s="38"/>
      <c r="F45" s="539"/>
      <c r="G45" s="17">
        <f t="shared" si="1"/>
        <v>12.185345647681713</v>
      </c>
      <c r="H45" s="539"/>
      <c r="I45" s="35"/>
      <c r="J45" s="37"/>
      <c r="K45" s="35"/>
      <c r="L45" s="35"/>
      <c r="M45" s="35"/>
      <c r="N45" s="35"/>
      <c r="O45" s="35"/>
      <c r="P45" s="35"/>
      <c r="Q45" s="36">
        <f>G45-Bilan_E_KP_AME_2033!G41</f>
        <v>0</v>
      </c>
      <c r="R45" s="498"/>
      <c r="S45" s="539"/>
      <c r="T45" s="84">
        <v>0</v>
      </c>
      <c r="U45" s="83">
        <v>0</v>
      </c>
      <c r="V45" s="84">
        <v>0</v>
      </c>
      <c r="W45" s="92">
        <v>0</v>
      </c>
      <c r="X45" s="84">
        <v>0</v>
      </c>
      <c r="Y45" s="489">
        <f t="shared" si="6"/>
        <v>0</v>
      </c>
      <c r="Z45" s="489">
        <f>Q45-Y45</f>
        <v>0</v>
      </c>
    </row>
    <row r="46" spans="1:26" x14ac:dyDescent="0.25">
      <c r="A46" s="739"/>
      <c r="B46" s="1" t="s">
        <v>42</v>
      </c>
      <c r="C46" s="33">
        <f>Bilan_E_KP_AME_2033!D18-C18-C34</f>
        <v>46.166677563253685</v>
      </c>
      <c r="D46" s="539"/>
      <c r="E46" s="511"/>
      <c r="F46" s="539"/>
      <c r="G46" s="17">
        <f>C46-E46</f>
        <v>46.166677563253685</v>
      </c>
      <c r="H46" s="539"/>
      <c r="I46" s="38"/>
      <c r="J46" s="37"/>
      <c r="K46" s="35"/>
      <c r="L46" s="35"/>
      <c r="M46" s="35"/>
      <c r="N46" s="35"/>
      <c r="O46" s="35"/>
      <c r="P46" s="35"/>
      <c r="Q46" s="36">
        <f>G46-(Bilan_E_KP_AME_2033!D41+Bilan_E_KP_AME_2033!D29+Bilan_E_KP_AME_2033!D30)</f>
        <v>6.3476756101286895</v>
      </c>
      <c r="R46" s="498"/>
      <c r="S46" s="539"/>
      <c r="T46" s="506">
        <f>Bilan_E_KP_AME_2033!D38</f>
        <v>0</v>
      </c>
      <c r="U46" s="93">
        <f>Bilan_E_KP_AME_2033!D34</f>
        <v>6.3476756101286895</v>
      </c>
      <c r="V46" s="506">
        <f>Bilan_E_KP_AME_2033!D36</f>
        <v>0</v>
      </c>
      <c r="W46" s="507">
        <f>Bilan_E_KP_AME_2033!D37</f>
        <v>0</v>
      </c>
      <c r="X46" s="506">
        <f>Bilan_E_KP_AME_2033!D35</f>
        <v>0</v>
      </c>
      <c r="Y46" s="489">
        <f t="shared" si="6"/>
        <v>6.3476756101286895</v>
      </c>
      <c r="Z46" s="489">
        <f>Q46-Y46</f>
        <v>0</v>
      </c>
    </row>
    <row r="47" spans="1:26" x14ac:dyDescent="0.25">
      <c r="A47" s="90"/>
      <c r="B47" s="1" t="s">
        <v>31</v>
      </c>
      <c r="C47" s="33">
        <f>E57</f>
        <v>0.52065087875698901</v>
      </c>
      <c r="D47" s="192"/>
      <c r="E47" s="511"/>
      <c r="F47" s="192"/>
      <c r="G47" s="17">
        <f>C47-E47</f>
        <v>0.52065087875698901</v>
      </c>
      <c r="H47" s="192"/>
      <c r="I47" s="38"/>
      <c r="J47" s="37"/>
      <c r="K47" s="35"/>
      <c r="L47" s="35"/>
      <c r="M47" s="35"/>
      <c r="N47" s="35"/>
      <c r="O47" s="35"/>
      <c r="P47" s="35"/>
      <c r="Q47" s="542">
        <f>G47-Bilan_E_KP_AME_2033!R41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C5-L13-SUM(L21:L24)-L30-L41-Bilan_E_KP_AME_2033!S18</f>
        <v>0</v>
      </c>
      <c r="D49" s="1"/>
      <c r="E49" s="34">
        <f>SUM(E7:E47)+I13-Bilan_E_KP_AME_2033!S32+K13+SUM(K21:K24)+K30+Bilan_E_KP_AME_2033!D29+Bilan_E_KP_AME_2033!D30</f>
        <v>9.9475983006414026E-14</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492.20904537032584</v>
      </c>
    </row>
    <row r="52" spans="1:19" x14ac:dyDescent="0.25">
      <c r="A52" s="21"/>
      <c r="B52" s="1" t="s">
        <v>44</v>
      </c>
      <c r="C52" s="44"/>
      <c r="D52" s="1"/>
      <c r="E52" s="39">
        <f>Bilan_E_KP_AME_2033!D41+Bilan_E_KP_AME_2033!D29+Bilan_E_KP_AME_2033!D30</f>
        <v>39.819001953124996</v>
      </c>
      <c r="F52" s="187"/>
      <c r="G52" s="1"/>
      <c r="H52" s="1"/>
      <c r="I52" s="30"/>
      <c r="J52" s="17"/>
      <c r="K52" s="17"/>
      <c r="L52" s="21"/>
      <c r="M52" s="1"/>
      <c r="N52" s="17"/>
      <c r="O52" s="17"/>
      <c r="P52" s="17"/>
      <c r="Q52" s="1"/>
      <c r="S52" s="33"/>
    </row>
    <row r="53" spans="1:19" x14ac:dyDescent="0.25">
      <c r="A53" s="21"/>
      <c r="B53" s="1" t="s">
        <v>41</v>
      </c>
      <c r="C53" s="45"/>
      <c r="D53" s="17"/>
      <c r="E53" s="433">
        <f>Bilan_E_KP_AME_2033!G41+Bilan_E_KP_AME_2033!G29</f>
        <v>12.185345647681713</v>
      </c>
      <c r="F53" s="187"/>
      <c r="G53" s="1"/>
      <c r="H53" s="1"/>
      <c r="I53" s="30"/>
      <c r="J53" s="17"/>
      <c r="K53" s="17"/>
      <c r="L53" s="21"/>
      <c r="M53" s="1"/>
      <c r="N53" s="17"/>
      <c r="O53" s="17"/>
      <c r="P53" s="17"/>
      <c r="Q53" s="1"/>
    </row>
    <row r="54" spans="1:19" x14ac:dyDescent="0.25">
      <c r="A54" s="21"/>
      <c r="B54" s="1" t="s">
        <v>39</v>
      </c>
      <c r="C54" s="45"/>
      <c r="D54" s="17"/>
      <c r="E54" s="435">
        <f>Bilan_E_KP_AME_2033!F41</f>
        <v>117.0773058539918</v>
      </c>
      <c r="F54" s="187"/>
      <c r="G54" s="1"/>
      <c r="H54" s="1"/>
      <c r="I54" s="30"/>
      <c r="J54" s="17"/>
      <c r="K54" s="17"/>
      <c r="L54" s="21"/>
      <c r="M54" s="21"/>
      <c r="N54" s="17"/>
      <c r="O54" s="17"/>
      <c r="P54" s="17"/>
      <c r="Q54" s="1"/>
    </row>
    <row r="55" spans="1:19" x14ac:dyDescent="0.25">
      <c r="B55" s="1" t="s">
        <v>21</v>
      </c>
      <c r="E55" s="434">
        <f>Bilan_E_KP_AME_2033!M41+Bilan_E_KP_AME_2033!M29</f>
        <v>0</v>
      </c>
    </row>
    <row r="56" spans="1:19" x14ac:dyDescent="0.25">
      <c r="B56" s="1" t="s">
        <v>37</v>
      </c>
      <c r="E56" s="515">
        <f>Bilan_E_KP_AME_2033!L41+Bilan_E_KP_AME_2033!L29</f>
        <v>0</v>
      </c>
    </row>
    <row r="57" spans="1:19" x14ac:dyDescent="0.25">
      <c r="B57" s="1" t="s">
        <v>31</v>
      </c>
      <c r="E57" s="515">
        <f>Bilan_E_KP_AME_2033!R41</f>
        <v>0.52065087875698901</v>
      </c>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5324E-1296-4BB3-9DBA-9D0CF68806F7}">
  <dimension ref="A1:Z57"/>
  <sheetViews>
    <sheetView topLeftCell="A16" workbookViewId="0">
      <selection activeCell="C44" sqref="C44"/>
    </sheetView>
  </sheetViews>
  <sheetFormatPr baseColWidth="10" defaultColWidth="11.42578125" defaultRowHeight="15" x14ac:dyDescent="0.25"/>
  <cols>
    <col min="2" max="2" width="25.85546875" customWidth="1"/>
    <col min="5" max="5" width="11.28515625" customWidth="1"/>
    <col min="17" max="17" width="15.85546875" bestFit="1"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2498.2261063021301</v>
      </c>
      <c r="D5" s="18"/>
      <c r="E5" s="20"/>
      <c r="F5" s="494"/>
      <c r="G5" s="21"/>
      <c r="H5" s="493"/>
      <c r="I5" s="21"/>
      <c r="J5" s="22"/>
      <c r="K5" s="23"/>
      <c r="L5" s="14"/>
      <c r="M5" s="14"/>
      <c r="N5" s="15"/>
      <c r="O5" s="16"/>
      <c r="P5" s="16"/>
      <c r="Q5" s="24">
        <f>Q13+Q22+Q30+Q42+Q46+Q38+Q43</f>
        <v>1393.0992023245337</v>
      </c>
      <c r="R5" s="487"/>
      <c r="S5" s="79">
        <f>SUM(S13,S22,S27:S32,S41)</f>
        <v>1394.8746154847647</v>
      </c>
      <c r="T5" s="79">
        <f>SUM(T8:T46)</f>
        <v>45.606635190834453</v>
      </c>
      <c r="U5" s="79">
        <f>SUM(U8:U46)</f>
        <v>281.3086707137744</v>
      </c>
      <c r="V5" s="79">
        <f>SUM(V8:V46)</f>
        <v>451.3007715396393</v>
      </c>
      <c r="W5" s="173">
        <f>SUM(W8:W46)</f>
        <v>224.71175062638912</v>
      </c>
      <c r="X5" s="79">
        <f>SUM(X8:X46)</f>
        <v>391.94678741412747</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f>(([12]Offre_calc!$Q$81+[12]Offre_calc!$Q$82+[12]Offre_calc!$Q$127+[12]Offre_calc!$Q$128)/([12]Offre_calc!$Q$78+[12]Offre_calc!$Q$124))*Bilan_E_KP_AME_2035!I$21</f>
        <v>104.64035644380186</v>
      </c>
      <c r="D7" s="516"/>
      <c r="E7" s="28">
        <v>0</v>
      </c>
      <c r="F7" s="516"/>
      <c r="G7" s="17">
        <f>C7-E7</f>
        <v>104.64035644380186</v>
      </c>
      <c r="H7" s="516"/>
      <c r="I7" s="21"/>
      <c r="J7" s="516"/>
      <c r="K7" s="523"/>
      <c r="L7" s="523"/>
      <c r="M7" s="523"/>
      <c r="N7" s="523"/>
      <c r="O7" s="523"/>
      <c r="P7" s="513"/>
      <c r="Q7" s="526"/>
      <c r="R7" s="498"/>
      <c r="S7" s="526"/>
      <c r="T7" s="523"/>
      <c r="U7" s="523"/>
      <c r="V7" s="523"/>
      <c r="W7" s="523"/>
      <c r="X7" s="523"/>
    </row>
    <row r="8" spans="1:24" x14ac:dyDescent="0.25">
      <c r="A8" s="736"/>
      <c r="B8" s="1" t="s">
        <v>18</v>
      </c>
      <c r="C8" s="486">
        <f>(([12]Offre_calc!$Q$80+[12]Offre_calc!$Q$126)/([12]Offre_calc!$Q$78+[12]Offre_calc!$Q$124))*Bilan_E_KP_AME_2035!I$21</f>
        <v>61.77355795095243</v>
      </c>
      <c r="D8" s="81"/>
      <c r="E8" s="28">
        <v>0</v>
      </c>
      <c r="F8" s="81"/>
      <c r="G8" s="17">
        <f t="shared" ref="G8:G19" si="0">C8-E8</f>
        <v>61.77355795095243</v>
      </c>
      <c r="H8" s="81"/>
      <c r="I8" s="21"/>
      <c r="J8" s="81"/>
      <c r="K8" s="524"/>
      <c r="L8" s="524"/>
      <c r="M8" s="524"/>
      <c r="N8" s="524"/>
      <c r="O8" s="524"/>
      <c r="P8" s="29"/>
      <c r="Q8" s="527"/>
      <c r="R8" s="498"/>
      <c r="S8" s="527"/>
      <c r="T8" s="524"/>
      <c r="U8" s="524"/>
      <c r="V8" s="524"/>
      <c r="W8" s="524"/>
      <c r="X8" s="524"/>
    </row>
    <row r="9" spans="1:24" x14ac:dyDescent="0.25">
      <c r="A9" s="736"/>
      <c r="B9" s="1" t="s">
        <v>19</v>
      </c>
      <c r="C9" s="486">
        <f>(([12]Offre_calc!$Q$79+[12]Offre_calc!$Q$125)/([12]Offre_calc!$Q$78+[12]Offre_calc!$Q$124))*Bilan_E_KP_AME_2035!I$21</f>
        <v>57.722832839414558</v>
      </c>
      <c r="D9" s="81"/>
      <c r="E9" s="28">
        <v>0</v>
      </c>
      <c r="F9" s="81"/>
      <c r="G9" s="17">
        <f t="shared" si="0"/>
        <v>57.722832839414558</v>
      </c>
      <c r="H9" s="81"/>
      <c r="I9" s="21"/>
      <c r="J9" s="81"/>
      <c r="K9" s="524"/>
      <c r="L9" s="524"/>
      <c r="M9" s="524"/>
      <c r="N9" s="524"/>
      <c r="O9" s="524"/>
      <c r="P9" s="29"/>
      <c r="Q9" s="527"/>
      <c r="R9" s="498"/>
      <c r="S9" s="527"/>
      <c r="T9" s="524"/>
      <c r="U9" s="524"/>
      <c r="V9" s="524"/>
      <c r="W9" s="524"/>
      <c r="X9" s="524"/>
    </row>
    <row r="10" spans="1:24" x14ac:dyDescent="0.25">
      <c r="A10" s="736"/>
      <c r="B10" s="1" t="s">
        <v>20</v>
      </c>
      <c r="C10" s="17">
        <f>Bilan_E_KP_AME_2035!H21-(Bilan_E_KP_AME_2035!P20+Bilan_E_KP_AME_2035!P19)</f>
        <v>1075.0000000000002</v>
      </c>
      <c r="D10" s="81"/>
      <c r="E10" s="28">
        <f>F13-SUM(E11:E19)</f>
        <v>720.79180772937377</v>
      </c>
      <c r="F10" s="81"/>
      <c r="G10" s="17">
        <f>C10-E10</f>
        <v>354.20819227062645</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f>Bilan_E_KP_AME_2035!M21</f>
        <v>0.47972213502804317</v>
      </c>
      <c r="D11" s="81"/>
      <c r="E11" s="28">
        <f>C11*(1-[12]Offre_calc!$Q$161)</f>
        <v>0.20987843407476889</v>
      </c>
      <c r="F11" s="81"/>
      <c r="G11" s="17">
        <f t="shared" si="0"/>
        <v>0.26984370095327426</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f>Bilan_E_KP_AME_2035!K21</f>
        <v>7.4482212846984126</v>
      </c>
      <c r="D12" s="81"/>
      <c r="E12" s="28">
        <f>C12*(1-[12]Offre_calc!$Q$171)</f>
        <v>5.0275493671714289</v>
      </c>
      <c r="F12" s="81"/>
      <c r="G12" s="17">
        <f t="shared" si="0"/>
        <v>2.4206719175269837</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f>Bilan_E_KP_AME_2035!J21</f>
        <v>30.45355250478201</v>
      </c>
      <c r="D13" s="81">
        <f>SUM(C7:C19)</f>
        <v>1371.2734259904307</v>
      </c>
      <c r="E13" s="28">
        <f>C13*(1-[12]Offre_calc!$Q$170)</f>
        <v>20.556147940727858</v>
      </c>
      <c r="F13" s="81">
        <f>Bilan_E_KP_AME_2035!S21</f>
        <v>761.97190791669834</v>
      </c>
      <c r="G13" s="17">
        <f t="shared" si="0"/>
        <v>9.8974045640541526</v>
      </c>
      <c r="H13" s="81">
        <f>SUM(G7:G19)</f>
        <v>609.30151807373272</v>
      </c>
      <c r="I13" s="33">
        <f>Bilan_E_KP_AME_2035!P30</f>
        <v>33.522260759660846</v>
      </c>
      <c r="J13" s="81">
        <f>H13-I13</f>
        <v>575.77925731407186</v>
      </c>
      <c r="K13" s="29">
        <f>Bilan_E_KP_AME_2035!P31</f>
        <v>42.744249460921445</v>
      </c>
      <c r="L13" s="29">
        <f>-(Bilan_E_KP_AME_2035!P14+Bilan_E_KP_AME_2035!P13)</f>
        <v>50.941346245748719</v>
      </c>
      <c r="M13" s="29">
        <f>Bilan_E_KP_AME_2035!P28</f>
        <v>0.31236464325712177</v>
      </c>
      <c r="N13" s="29"/>
      <c r="O13" s="29"/>
      <c r="P13" s="29"/>
      <c r="Q13" s="81">
        <f>J13-K13-L13-M13-N13-O13-P13</f>
        <v>481.78129696414459</v>
      </c>
      <c r="R13" s="508">
        <f>Q13-S13</f>
        <v>0</v>
      </c>
      <c r="S13" s="81">
        <f>SUM(T8:X19)</f>
        <v>481.78129696414442</v>
      </c>
      <c r="T13" s="29">
        <f>Bilan_E_KP_AME_2035!P38</f>
        <v>7.1029233048090266</v>
      </c>
      <c r="U13" s="29">
        <f>Bilan_E_KP_AME_2035!P34+Bilan_E_KP_AME_2035!P39</f>
        <v>109.99437284793218</v>
      </c>
      <c r="V13" s="29">
        <f>Bilan_E_KP_AME_2035!P36</f>
        <v>183.08170703950353</v>
      </c>
      <c r="W13" s="29">
        <f>Bilan_E_KP_AME_2035!P37</f>
        <v>134.9475862077569</v>
      </c>
      <c r="X13" s="29">
        <f>Bilan_E_KP_AME_2035!P35</f>
        <v>46.654707564142761</v>
      </c>
    </row>
    <row r="14" spans="1:24" x14ac:dyDescent="0.25">
      <c r="A14" s="736"/>
      <c r="B14" s="1" t="s">
        <v>24</v>
      </c>
      <c r="C14" s="17">
        <f>Bilan_E_KP_AME_2035!O21</f>
        <v>3.0833964576427819</v>
      </c>
      <c r="D14" s="81"/>
      <c r="E14" s="28">
        <v>0</v>
      </c>
      <c r="F14" s="81"/>
      <c r="G14" s="17">
        <f t="shared" si="0"/>
        <v>3.0833964576427819</v>
      </c>
      <c r="H14" s="81"/>
      <c r="I14" s="21"/>
      <c r="J14" s="81"/>
      <c r="K14" s="524"/>
      <c r="L14" s="524"/>
      <c r="M14" s="524"/>
      <c r="N14" s="524"/>
      <c r="O14" s="524"/>
      <c r="P14" s="29"/>
      <c r="Q14" s="527"/>
      <c r="R14" s="498"/>
      <c r="S14" s="527"/>
      <c r="T14" s="524"/>
      <c r="U14" s="524"/>
      <c r="V14" s="524"/>
      <c r="W14" s="524"/>
      <c r="X14" s="524"/>
    </row>
    <row r="15" spans="1:24" x14ac:dyDescent="0.25">
      <c r="A15" s="736"/>
      <c r="B15" s="1" t="s">
        <v>25</v>
      </c>
      <c r="C15" s="17">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36"/>
      <c r="B16" s="1" t="s">
        <v>343</v>
      </c>
      <c r="C16" s="17">
        <f>Bilan_E_KP_AME_2035!L21</f>
        <v>2.4531054045111396</v>
      </c>
      <c r="D16" s="81"/>
      <c r="E16" s="28">
        <f>C16*(1-[12]Offre_calc!$Q$158)</f>
        <v>1.3737390265262384</v>
      </c>
      <c r="F16" s="81"/>
      <c r="G16" s="17">
        <f t="shared" si="0"/>
        <v>1.0793663779849012</v>
      </c>
      <c r="H16" s="81"/>
      <c r="I16" s="21"/>
      <c r="J16" s="81"/>
      <c r="K16" s="524"/>
      <c r="L16" s="524"/>
      <c r="M16" s="524"/>
      <c r="N16" s="524"/>
      <c r="O16" s="524"/>
      <c r="P16" s="29"/>
      <c r="Q16" s="527"/>
      <c r="R16" s="498"/>
      <c r="S16" s="527"/>
      <c r="T16" s="524"/>
      <c r="U16" s="524"/>
      <c r="V16" s="524"/>
      <c r="W16" s="524"/>
      <c r="X16" s="524"/>
    </row>
    <row r="17" spans="1:24" x14ac:dyDescent="0.25">
      <c r="A17" s="736"/>
      <c r="B17" s="1" t="s">
        <v>27</v>
      </c>
      <c r="C17" s="17">
        <f>Bilan_E_KP_AME_2035!F21</f>
        <v>7.9696731063521415</v>
      </c>
      <c r="D17" s="81"/>
      <c r="E17" s="28">
        <f>C17*(1-[12]Offre_calc!$Q$158)</f>
        <v>4.4630169395571997</v>
      </c>
      <c r="F17" s="81"/>
      <c r="G17" s="17">
        <f t="shared" si="0"/>
        <v>3.5066561667949419</v>
      </c>
      <c r="H17" s="81"/>
      <c r="I17" s="21"/>
      <c r="J17" s="81"/>
      <c r="K17" s="524"/>
      <c r="L17" s="524"/>
      <c r="M17" s="524"/>
      <c r="N17" s="524"/>
      <c r="O17" s="524"/>
      <c r="P17" s="29"/>
      <c r="Q17" s="527"/>
      <c r="R17" s="498"/>
      <c r="S17" s="527"/>
      <c r="T17" s="524"/>
      <c r="U17" s="524"/>
      <c r="V17" s="524"/>
      <c r="W17" s="524"/>
      <c r="X17" s="524"/>
    </row>
    <row r="18" spans="1:24" x14ac:dyDescent="0.25">
      <c r="A18" s="736"/>
      <c r="B18" s="1" t="s">
        <v>28</v>
      </c>
      <c r="C18" s="17">
        <f>Bilan_E_KP_AME_2035!D21</f>
        <v>2.8267856410252494</v>
      </c>
      <c r="D18" s="81"/>
      <c r="E18" s="28">
        <f>C18*(1-[12]Offre_calc!$Q$157)</f>
        <v>1.9275462570448931</v>
      </c>
      <c r="F18" s="81"/>
      <c r="G18" s="17">
        <f t="shared" si="0"/>
        <v>0.8992393839803563</v>
      </c>
      <c r="H18" s="81"/>
      <c r="I18" s="21"/>
      <c r="J18" s="81"/>
      <c r="K18" s="524"/>
      <c r="L18" s="524"/>
      <c r="M18" s="524"/>
      <c r="N18" s="524"/>
      <c r="O18" s="524"/>
      <c r="P18" s="29"/>
      <c r="Q18" s="527"/>
      <c r="R18" s="498"/>
      <c r="S18" s="527"/>
      <c r="T18" s="524"/>
      <c r="U18" s="524"/>
      <c r="V18" s="524"/>
      <c r="W18" s="524"/>
      <c r="X18" s="524"/>
    </row>
    <row r="19" spans="1:24" x14ac:dyDescent="0.25">
      <c r="A19" s="736"/>
      <c r="B19" s="1" t="s">
        <v>260</v>
      </c>
      <c r="C19" s="17">
        <f>Bilan_E_KP_AME_2035!G21+Bilan_E_KP_AME_2035!R21</f>
        <v>17.422222222222224</v>
      </c>
      <c r="D19" s="82"/>
      <c r="E19" s="28">
        <f>C19*(1-[12]Offre_calc!$Q$160)</f>
        <v>7.6222222222222236</v>
      </c>
      <c r="F19" s="82"/>
      <c r="G19" s="17">
        <f t="shared" si="0"/>
        <v>9.8000000000000007</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0.32949599280988501</v>
      </c>
      <c r="H20" s="499"/>
      <c r="I20" s="17"/>
      <c r="J20" s="1"/>
      <c r="K20" s="17"/>
      <c r="L20" s="1"/>
      <c r="M20" s="1"/>
      <c r="N20" s="1"/>
      <c r="O20" s="1"/>
      <c r="P20" s="1"/>
      <c r="Q20" s="499"/>
      <c r="R20" s="498"/>
      <c r="S20" s="408"/>
      <c r="T20" s="495"/>
      <c r="U20" s="408"/>
      <c r="V20" s="495"/>
      <c r="W20" s="408"/>
      <c r="X20" s="495"/>
    </row>
    <row r="21" spans="1:24" x14ac:dyDescent="0.25">
      <c r="A21" s="737" t="s">
        <v>13</v>
      </c>
      <c r="B21" s="1" t="s">
        <v>21</v>
      </c>
      <c r="C21" s="17">
        <f>Bilan_E_KP_AME_2035!J23+Bilan_E_KP_AME_2035!M12</f>
        <v>7.5554230965137767</v>
      </c>
      <c r="D21" s="529"/>
      <c r="E21" s="33">
        <f>Bilan_E_KP_AME_2035!S23+Bilan_E_KP_AME_2035!M30</f>
        <v>0.9120683670461246</v>
      </c>
      <c r="F21" s="529"/>
      <c r="G21" s="17">
        <f t="shared" ref="G21:G45" si="1">C21-E21</f>
        <v>6.643354729467652</v>
      </c>
      <c r="H21" s="529"/>
      <c r="I21" s="17"/>
      <c r="J21" s="529"/>
      <c r="K21" s="545">
        <f>Bilan_E_KP_AME_2035!M31</f>
        <v>7.8191432877507586E-2</v>
      </c>
      <c r="L21" s="545">
        <f>-(Bilan_E_KP_AME_2035!M13+Bilan_E_KP_AME_2035!M14+Bilan_E_KP_AME_2035!M15+Bilan_E_KP_AME_2035!M16)</f>
        <v>0</v>
      </c>
      <c r="M21" s="545">
        <f>Bilan_E_KP_AME_2035!M28</f>
        <v>5.9572399821179664E-2</v>
      </c>
      <c r="N21" s="545">
        <f>Bilan_E_KP_AME_2035!M22</f>
        <v>0.32322722394029924</v>
      </c>
      <c r="O21" s="545">
        <f>Bilan_E_KP_AME_2035!M21</f>
        <v>0.47972213502804317</v>
      </c>
      <c r="P21" s="529"/>
      <c r="Q21" s="529"/>
      <c r="R21" s="498"/>
      <c r="S21" s="529"/>
      <c r="T21" s="529"/>
      <c r="U21" s="529"/>
      <c r="V21" s="529"/>
      <c r="W21" s="529"/>
      <c r="X21" s="529"/>
    </row>
    <row r="22" spans="1:24" x14ac:dyDescent="0.25">
      <c r="A22" s="737"/>
      <c r="B22" s="1" t="s">
        <v>30</v>
      </c>
      <c r="C22" s="17"/>
      <c r="D22" s="85">
        <f>SUM(C21:C24)</f>
        <v>333.11807804520765</v>
      </c>
      <c r="E22" s="497"/>
      <c r="F22" s="85">
        <f>SUM(E21:E24)</f>
        <v>7.1846560265420125</v>
      </c>
      <c r="G22" s="17"/>
      <c r="H22" s="85">
        <f>SUM(G21:G24)</f>
        <v>325.93342201866557</v>
      </c>
      <c r="I22" s="408"/>
      <c r="J22" s="85">
        <f>H22-I22</f>
        <v>325.93342201866557</v>
      </c>
      <c r="K22" s="32"/>
      <c r="L22" s="32"/>
      <c r="M22" s="32"/>
      <c r="N22" s="32"/>
      <c r="O22" s="32"/>
      <c r="P22" s="32"/>
      <c r="Q22" s="85">
        <f>J22-SUM(K21:P24)</f>
        <v>285.65933316585597</v>
      </c>
      <c r="R22" s="508">
        <f>Q22-S22</f>
        <v>-2.505321641598357E-2</v>
      </c>
      <c r="S22" s="85">
        <f>SUM(T22:X24)</f>
        <v>285.68438638227195</v>
      </c>
      <c r="T22" s="32">
        <f>Bilan_E_KP_AME_2035!G38+Bilan_E_KP_AME_2035!R38+Bilan_E_KP_AME_2035!M$38</f>
        <v>1.7974129621234143</v>
      </c>
      <c r="U22" s="32">
        <f>Bilan_E_KP_AME_2035!G34+Bilan_E_KP_AME_2035!R34+Bilan_E_KP_AME_2035!M$34</f>
        <v>103.53986201693733</v>
      </c>
      <c r="V22" s="32">
        <f>Bilan_E_KP_AME_2035!G36+Bilan_E_KP_AME_2035!R36+Bilan_E_KP_AME_2035!M$36</f>
        <v>90.643497547790304</v>
      </c>
      <c r="W22" s="32">
        <f>Bilan_E_KP_AME_2035!G37+Bilan_E_KP_AME_2035!K37+Bilan_E_KP_AME_2035!R37+Bilan_E_KP_AME_2035!M$37</f>
        <v>64.079034982937259</v>
      </c>
      <c r="X22" s="32">
        <f>Bilan_E_KP_AME_2035!G35+Bilan_E_KP_AME_2035!R35+Bilan_E_KP_AME_2035!M$35</f>
        <v>25.624578872483603</v>
      </c>
    </row>
    <row r="23" spans="1:24" x14ac:dyDescent="0.25">
      <c r="A23" s="737"/>
      <c r="B23" s="1" t="s">
        <v>31</v>
      </c>
      <c r="C23" s="17">
        <f>SUM(Bilan_E_KP_AME_2035!D28:Q28)-C47</f>
        <v>2.4495904878733459</v>
      </c>
      <c r="D23" s="530"/>
      <c r="E23" s="33">
        <f>Bilan_E_KP_AME_2035!S28+Bilan_E_KP_AME_2035!S27</f>
        <v>1.0073759745042175</v>
      </c>
      <c r="F23" s="532"/>
      <c r="G23" s="17">
        <f t="shared" si="1"/>
        <v>1.4422145133691284</v>
      </c>
      <c r="H23" s="532"/>
      <c r="I23" s="17"/>
      <c r="J23" s="532"/>
      <c r="K23" s="534">
        <f>Bilan_E_KP_AME_2035!R31</f>
        <v>0</v>
      </c>
      <c r="L23" s="534">
        <f>-(Bilan_E_KP_AME_2035!R13+Bilan_E_KP_AME_2035!R14+Bilan_E_KP_AME_2035!R15+Bilan_E_KP_AME_2035!R16)</f>
        <v>0</v>
      </c>
      <c r="M23" s="534"/>
      <c r="N23" s="534">
        <f>Bilan_E_KP_AME_2035!R22</f>
        <v>0</v>
      </c>
      <c r="O23" s="534">
        <f>Bilan_E_KP_AME_2035!R21</f>
        <v>0</v>
      </c>
      <c r="P23" s="534">
        <f>-Bilan_E_KP_AME_2035!L27</f>
        <v>0</v>
      </c>
      <c r="Q23" s="532"/>
      <c r="S23" s="532"/>
      <c r="T23" s="536"/>
      <c r="U23" s="536"/>
      <c r="V23" s="536"/>
      <c r="W23" s="536"/>
      <c r="X23" s="536"/>
    </row>
    <row r="24" spans="1:24" x14ac:dyDescent="0.25">
      <c r="A24" s="737"/>
      <c r="B24" s="1" t="s">
        <v>32</v>
      </c>
      <c r="C24" s="17">
        <f>Bilan_E_KP_AME_2035!G18-C45-(Bilan_E_KP_AME_2035!G20+Bilan_E_KP_AME_2035!G19)</f>
        <v>323.11306446082051</v>
      </c>
      <c r="D24" s="531"/>
      <c r="E24" s="33">
        <f>Bilan_E_KP_AME_2035!G30</f>
        <v>5.2652116849916704</v>
      </c>
      <c r="F24" s="533"/>
      <c r="G24" s="17">
        <f t="shared" si="1"/>
        <v>317.84785277582881</v>
      </c>
      <c r="H24" s="533"/>
      <c r="I24" s="34"/>
      <c r="J24" s="533"/>
      <c r="K24" s="535">
        <f>Bilan_E_KP_AME_2035!G31</f>
        <v>3.8313802109978718</v>
      </c>
      <c r="L24" s="535"/>
      <c r="M24" s="535">
        <f>Bilan_E_KP_AME_2035!G28</f>
        <v>2.9190475912378031</v>
      </c>
      <c r="N24" s="535">
        <f>Bilan_E_KP_AME_2035!G22</f>
        <v>15.160725636684646</v>
      </c>
      <c r="O24" s="535">
        <f>Bilan_E_KP_AME_2035!G21</f>
        <v>17.422222222222224</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38" t="s">
        <v>14</v>
      </c>
      <c r="B26" s="1" t="s">
        <v>21</v>
      </c>
      <c r="C26" s="17">
        <f>Bilan_E_KP_AME_2035!M22</f>
        <v>0.32322722394029924</v>
      </c>
      <c r="D26" s="512"/>
      <c r="E26" s="190">
        <f>C26*F$35</f>
        <v>3.1268815109897659E-2</v>
      </c>
      <c r="F26" s="512"/>
      <c r="G26" s="33">
        <f t="shared" ref="G26:G31" si="2">C26-E26</f>
        <v>0.29195840883040158</v>
      </c>
      <c r="H26" s="512"/>
      <c r="I26" s="1"/>
      <c r="J26" s="512"/>
      <c r="K26" s="512"/>
      <c r="L26" s="512"/>
      <c r="M26" s="512"/>
      <c r="N26" s="512"/>
      <c r="O26" s="512"/>
      <c r="P26" s="512"/>
      <c r="Q26" s="512"/>
      <c r="R26" s="498"/>
      <c r="S26" s="512"/>
      <c r="T26" s="512"/>
      <c r="U26" s="512"/>
      <c r="V26" s="512"/>
      <c r="W26" s="512"/>
      <c r="X26" s="512"/>
    </row>
    <row r="27" spans="1:24" x14ac:dyDescent="0.25">
      <c r="A27" s="738"/>
      <c r="B27" s="1" t="s">
        <v>22</v>
      </c>
      <c r="C27" s="17">
        <f>Bilan_E_KP_AME_2035!K18-Bilan_E_KP_AME_2035!K21-Bilan_E_KP_AME_2035!K34-(Bilan_E_KP_AME_2035!Q20+Bilan_E_KP_AME_2035!Q19+Bilan_E_KP_AME_2035!K20+Bilan_E_KP_AME_2035!K19)</f>
        <v>12.20987367268307</v>
      </c>
      <c r="D27" s="87"/>
      <c r="E27" s="190">
        <f t="shared" ref="E27:E34" si="3">C27*F$35</f>
        <v>1.1811761327902599</v>
      </c>
      <c r="F27" s="87"/>
      <c r="G27" s="33">
        <f t="shared" si="2"/>
        <v>11.028697539892811</v>
      </c>
      <c r="H27" s="87"/>
      <c r="I27" s="500"/>
      <c r="J27" s="87"/>
      <c r="K27" s="87"/>
      <c r="L27" s="87"/>
      <c r="M27" s="87"/>
      <c r="N27" s="87"/>
      <c r="O27" s="87"/>
      <c r="P27" s="87"/>
      <c r="Q27" s="87"/>
      <c r="R27" s="498"/>
      <c r="S27" s="87"/>
      <c r="T27" s="87"/>
      <c r="U27" s="87"/>
      <c r="V27" s="87"/>
      <c r="W27" s="87"/>
      <c r="X27" s="87"/>
    </row>
    <row r="28" spans="1:24" x14ac:dyDescent="0.25">
      <c r="A28" s="738"/>
      <c r="B28" s="1" t="s">
        <v>26</v>
      </c>
      <c r="C28" s="17"/>
      <c r="D28" s="87"/>
      <c r="E28" s="190">
        <f t="shared" si="3"/>
        <v>0</v>
      </c>
      <c r="F28" s="87"/>
      <c r="G28" s="33">
        <f>C28-E28</f>
        <v>0</v>
      </c>
      <c r="H28" s="87"/>
      <c r="I28" s="1"/>
      <c r="J28" s="87"/>
      <c r="K28" s="87"/>
      <c r="L28" s="87"/>
      <c r="M28" s="87"/>
      <c r="N28" s="87"/>
      <c r="O28" s="87"/>
      <c r="P28" s="87"/>
      <c r="Q28" s="87"/>
      <c r="R28" s="498"/>
      <c r="S28" s="87"/>
      <c r="T28" s="87"/>
      <c r="U28" s="87"/>
      <c r="V28" s="87"/>
      <c r="W28" s="87"/>
      <c r="X28" s="87"/>
    </row>
    <row r="29" spans="1:24" x14ac:dyDescent="0.25">
      <c r="A29" s="738"/>
      <c r="B29" s="1" t="s">
        <v>23</v>
      </c>
      <c r="C29" s="17">
        <f>Bilan_E_KP_AME_2035!J22</f>
        <v>12.939045348987106</v>
      </c>
      <c r="D29" s="87"/>
      <c r="E29" s="190">
        <f t="shared" si="3"/>
        <v>1.2517157799517142</v>
      </c>
      <c r="F29" s="87"/>
      <c r="G29" s="33">
        <f t="shared" si="2"/>
        <v>11.687329569035391</v>
      </c>
      <c r="H29" s="87"/>
      <c r="I29" s="1"/>
      <c r="J29" s="87"/>
      <c r="K29" s="87"/>
      <c r="L29" s="87"/>
      <c r="M29" s="87"/>
      <c r="N29" s="87"/>
      <c r="O29" s="87"/>
      <c r="P29" s="87"/>
      <c r="Q29" s="87"/>
      <c r="R29" s="498"/>
      <c r="S29" s="87"/>
      <c r="T29" s="87"/>
      <c r="U29" s="87"/>
      <c r="V29" s="87"/>
      <c r="W29" s="87"/>
      <c r="X29" s="87"/>
    </row>
    <row r="30" spans="1:24" x14ac:dyDescent="0.25">
      <c r="A30" s="738"/>
      <c r="B30" s="1" t="s">
        <v>24</v>
      </c>
      <c r="C30" s="17">
        <f>Bilan_E_KP_AME_2035!O22</f>
        <v>2.1538235080806043</v>
      </c>
      <c r="D30" s="86">
        <f>SUM(C26:C34)</f>
        <v>42.786695390375726</v>
      </c>
      <c r="E30" s="190">
        <f t="shared" si="3"/>
        <v>0.2083596432024637</v>
      </c>
      <c r="F30" s="86">
        <f>Bilan_E_KP_AME_2035!S22</f>
        <v>4.1391602199085806</v>
      </c>
      <c r="G30" s="33">
        <f t="shared" si="2"/>
        <v>1.9454638648781406</v>
      </c>
      <c r="H30" s="86">
        <f>SUM(G26:G34)</f>
        <v>38.647535170467144</v>
      </c>
      <c r="I30" s="1"/>
      <c r="J30" s="86">
        <f>H30</f>
        <v>38.647535170467144</v>
      </c>
      <c r="K30" s="87">
        <f>Bilan_E_KP_AME_2035!Q31</f>
        <v>2.9948048478615572</v>
      </c>
      <c r="L30" s="87"/>
      <c r="M30" s="87">
        <f>Bilan_E_KP_AME_2035!K28</f>
        <v>3.3095777678433143E-2</v>
      </c>
      <c r="N30" s="87"/>
      <c r="O30" s="87"/>
      <c r="P30" s="87"/>
      <c r="Q30" s="86">
        <f>J30-K30-L30-M30-N30-O30-P30</f>
        <v>35.619634544927152</v>
      </c>
      <c r="R30" s="508">
        <f>Q30-S30</f>
        <v>2.5053216415898305E-2</v>
      </c>
      <c r="S30" s="86">
        <f>SUM(T27:X34)</f>
        <v>35.594581328511254</v>
      </c>
      <c r="T30" s="87">
        <f>Bilan_E_KP_AME_2035!Q$38</f>
        <v>0</v>
      </c>
      <c r="U30" s="87">
        <f>Bilan_E_KP_AME_2035!Q$34</f>
        <v>16.103287978552984</v>
      </c>
      <c r="V30" s="87">
        <f>Bilan_E_KP_AME_2035!Q$36</f>
        <v>15.629207143582217</v>
      </c>
      <c r="W30" s="87">
        <f>Bilan_E_KP_AME_2035!Q$37</f>
        <v>3.8620862063760555</v>
      </c>
      <c r="X30" s="87">
        <f>Bilan_E_KP_AME_2035!Q$35</f>
        <v>0</v>
      </c>
    </row>
    <row r="31" spans="1:24" x14ac:dyDescent="0.25">
      <c r="A31" s="738"/>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38"/>
      <c r="B32" s="1" t="s">
        <v>29</v>
      </c>
      <c r="C32" s="17">
        <f>Bilan_E_KP_AME_2035!G22</f>
        <v>15.160725636684646</v>
      </c>
      <c r="D32" s="86"/>
      <c r="E32" s="190">
        <f t="shared" si="3"/>
        <v>1.4666398488542449</v>
      </c>
      <c r="F32" s="86"/>
      <c r="G32" s="33">
        <f>C32-E32</f>
        <v>13.694085787830401</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Bilan_E_KP_AME_2035!F22</f>
        <v>0</v>
      </c>
      <c r="D33" s="86"/>
      <c r="E33" s="190">
        <f t="shared" si="3"/>
        <v>0</v>
      </c>
      <c r="F33" s="86"/>
      <c r="G33" s="33">
        <f t="shared" ref="G33:G34" si="4">C33-E33</f>
        <v>0</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Bilan_E_KP_AME_2035!D22</f>
        <v>0</v>
      </c>
      <c r="D34" s="88"/>
      <c r="E34" s="190">
        <f t="shared" si="3"/>
        <v>0</v>
      </c>
      <c r="F34" s="88"/>
      <c r="G34" s="33">
        <f t="shared" si="4"/>
        <v>0</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9.6739422901064409E-2</v>
      </c>
      <c r="G35" s="17"/>
      <c r="H35" s="501"/>
      <c r="I35" s="1"/>
      <c r="J35" s="1"/>
      <c r="K35" s="1"/>
      <c r="L35" s="1"/>
      <c r="M35" s="1"/>
      <c r="N35" s="1"/>
      <c r="O35" s="1"/>
      <c r="P35" s="1"/>
      <c r="Q35" s="502"/>
      <c r="R35" s="498"/>
      <c r="U35" s="33"/>
      <c r="V35" s="33"/>
      <c r="W35" s="33"/>
    </row>
    <row r="36" spans="1:26" x14ac:dyDescent="0.25">
      <c r="A36" s="739" t="s">
        <v>34</v>
      </c>
      <c r="B36" s="1" t="s">
        <v>21</v>
      </c>
      <c r="C36" s="33">
        <v>0</v>
      </c>
      <c r="D36" s="538"/>
      <c r="E36" s="17"/>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39"/>
      <c r="B37" s="1" t="s">
        <v>23</v>
      </c>
      <c r="C37" s="33">
        <f>SUM(T37:X37)</f>
        <v>111.75633230751156</v>
      </c>
      <c r="D37" s="539"/>
      <c r="E37" s="504"/>
      <c r="F37" s="539"/>
      <c r="G37" s="17">
        <f t="shared" ref="G37:G42" si="5">C37-E37</f>
        <v>111.75633230751156</v>
      </c>
      <c r="H37" s="539"/>
      <c r="I37" s="498"/>
      <c r="J37" s="37"/>
      <c r="K37" s="35"/>
      <c r="L37" s="35"/>
      <c r="M37" s="505"/>
      <c r="N37" s="35"/>
      <c r="P37" s="35"/>
      <c r="Q37" s="541"/>
      <c r="R37" s="498"/>
      <c r="S37" s="539"/>
      <c r="T37" s="506">
        <f>Bilan_E_KP_AME_2035!J38</f>
        <v>2.5129576329044134</v>
      </c>
      <c r="U37" s="93">
        <f>Bilan_E_KP_AME_2035!J34</f>
        <v>19.565687098295676</v>
      </c>
      <c r="V37" s="506">
        <f>Bilan_E_KP_AME_2035!J36</f>
        <v>86.298448588028648</v>
      </c>
      <c r="W37" s="507">
        <f>Bilan_E_KP_AME_2035!J37</f>
        <v>3.3792389882828151</v>
      </c>
      <c r="X37" s="506">
        <f>Bilan_E_KP_AME_2035!J35</f>
        <v>0</v>
      </c>
      <c r="Y37" s="489">
        <f t="shared" ref="Y37:Y47" si="6">SUM(T37:X37)</f>
        <v>111.75633230751156</v>
      </c>
      <c r="Z37" s="489">
        <f t="shared" ref="Z37:Z44" si="7">G37-Y37</f>
        <v>0</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f>SUM(G36:G41)-E55-E56-L41-L36</f>
        <v>204.30820908837475</v>
      </c>
      <c r="R38" s="498"/>
      <c r="S38" s="539"/>
      <c r="T38" s="84">
        <v>0</v>
      </c>
      <c r="U38" s="83">
        <v>0</v>
      </c>
      <c r="V38" s="84">
        <v>0</v>
      </c>
      <c r="W38" s="91">
        <v>0</v>
      </c>
      <c r="X38" s="91">
        <v>0</v>
      </c>
      <c r="Y38" s="489">
        <f t="shared" si="6"/>
        <v>0</v>
      </c>
      <c r="Z38" s="489">
        <f t="shared" si="7"/>
        <v>0</v>
      </c>
    </row>
    <row r="39" spans="1:26" x14ac:dyDescent="0.25">
      <c r="A39" s="739"/>
      <c r="B39" s="1" t="s">
        <v>35</v>
      </c>
      <c r="C39" s="33">
        <f>SUM(T39:X39)</f>
        <v>2.8345349667232287</v>
      </c>
      <c r="D39" s="539"/>
      <c r="E39" s="35"/>
      <c r="F39" s="539"/>
      <c r="G39" s="17">
        <f t="shared" si="5"/>
        <v>2.8345349667232287</v>
      </c>
      <c r="H39" s="539"/>
      <c r="I39" s="35"/>
      <c r="J39" s="37"/>
      <c r="K39" s="35"/>
      <c r="L39" s="35"/>
      <c r="M39" s="37"/>
      <c r="N39" s="35"/>
      <c r="O39" s="35"/>
      <c r="P39" s="35"/>
      <c r="Q39" s="541"/>
      <c r="R39" s="498"/>
      <c r="S39" s="539"/>
      <c r="T39" s="84">
        <f>Bilan_E_KP_AME_2035!O38</f>
        <v>7.8328904674825409E-2</v>
      </c>
      <c r="U39" s="83">
        <f>Bilan_E_KP_AME_2035!O34</f>
        <v>3.8067188808088001E-4</v>
      </c>
      <c r="V39" s="84">
        <f>Bilan_E_KP_AME_2035!O36</f>
        <v>1.9759423218950023</v>
      </c>
      <c r="W39" s="91">
        <f>Bilan_E_KP_AME_2035!O37</f>
        <v>0.77988306826531983</v>
      </c>
      <c r="X39" s="91">
        <f>Bilan_E_KP_AME_2035!O35</f>
        <v>0</v>
      </c>
      <c r="Y39" s="489">
        <f t="shared" si="6"/>
        <v>2.8345349667232287</v>
      </c>
      <c r="Z39" s="489">
        <f t="shared" si="7"/>
        <v>0</v>
      </c>
    </row>
    <row r="40" spans="1:26" x14ac:dyDescent="0.25">
      <c r="A40" s="739"/>
      <c r="B40" s="1" t="s">
        <v>36</v>
      </c>
      <c r="C40" s="33">
        <f>Bilan_E_KP_AME_2035!N12</f>
        <v>57.826394702164251</v>
      </c>
      <c r="D40" s="539"/>
      <c r="E40" s="35"/>
      <c r="F40" s="539"/>
      <c r="G40" s="17">
        <f t="shared" si="5"/>
        <v>57.826394702164251</v>
      </c>
      <c r="H40" s="539"/>
      <c r="I40" s="35"/>
      <c r="J40" s="37"/>
      <c r="K40" s="35"/>
      <c r="L40" s="35"/>
      <c r="M40" s="37"/>
      <c r="N40" s="35"/>
      <c r="O40" s="35"/>
      <c r="P40" s="35"/>
      <c r="Q40" s="541"/>
      <c r="R40" s="498"/>
      <c r="S40" s="539"/>
      <c r="T40" s="83">
        <f>Bilan_E_KP_AME_2035!N$38</f>
        <v>0</v>
      </c>
      <c r="U40" s="83">
        <f>Bilan_E_KP_AME_2035!N$34</f>
        <v>0</v>
      </c>
      <c r="V40" s="83">
        <f>Bilan_E_KP_AME_2035!N$36</f>
        <v>49.305914152356948</v>
      </c>
      <c r="W40" s="83">
        <f>Bilan_E_KP_AME_2035!N$37</f>
        <v>8.5204805498073064</v>
      </c>
      <c r="X40" s="84">
        <f>Bilan_E_KP_AME_2035!N$35</f>
        <v>0</v>
      </c>
      <c r="Y40" s="489">
        <f t="shared" si="6"/>
        <v>57.826394702164251</v>
      </c>
      <c r="Z40" s="489">
        <f t="shared" si="7"/>
        <v>0</v>
      </c>
    </row>
    <row r="41" spans="1:26" x14ac:dyDescent="0.25">
      <c r="A41" s="739"/>
      <c r="B41" s="1" t="s">
        <v>37</v>
      </c>
      <c r="C41" s="33">
        <f>Bilan_E_KP_AME_2035!L12+Bilan_E_KP_AME_2035!J26+Bilan_E_KP_AME_2035!J27-Bilan_E_KP_AME_2035!L21</f>
        <v>30.678568481531752</v>
      </c>
      <c r="D41" s="191">
        <f>SUM(C36:C47)</f>
        <v>787.75788450598679</v>
      </c>
      <c r="E41" s="38"/>
      <c r="F41" s="191">
        <f>SUM(E36:E47)</f>
        <v>29.669133215117284</v>
      </c>
      <c r="G41" s="17">
        <f t="shared" si="5"/>
        <v>30.678568481531752</v>
      </c>
      <c r="H41" s="191">
        <f>SUM(G36:G47)</f>
        <v>758.0887512908696</v>
      </c>
      <c r="I41" s="35"/>
      <c r="J41" s="37"/>
      <c r="K41" s="35"/>
      <c r="L41" s="37">
        <f>-SUM(Bilan_E_KP_AME_2035!L13:L16)</f>
        <v>-1.2123786304439772</v>
      </c>
      <c r="M41" s="35"/>
      <c r="N41" s="35"/>
      <c r="O41" s="35"/>
      <c r="P41" s="35"/>
      <c r="Q41" s="541"/>
      <c r="R41" s="508">
        <f>SUM(Q36:Q47)-S41</f>
        <v>-9.5423864797794522E-4</v>
      </c>
      <c r="S41" s="191">
        <f>SUM(T36:X46)</f>
        <v>591.81435080983704</v>
      </c>
      <c r="T41" s="83">
        <f>Bilan_E_KP_AME_2035!L$38</f>
        <v>2.7366524531426237</v>
      </c>
      <c r="U41" s="83">
        <f>Bilan_E_KP_AME_2035!L$34</f>
        <v>0.87520713476562495</v>
      </c>
      <c r="V41" s="83">
        <f>Bilan_E_KP_AME_2035!L$36</f>
        <v>0</v>
      </c>
      <c r="W41" s="83">
        <f>Bilan_E_KP_AME_2035!L$37</f>
        <v>0</v>
      </c>
      <c r="X41" s="84">
        <f>Bilan_E_KP_AME_2035!L$35</f>
        <v>28.280041762715456</v>
      </c>
      <c r="Y41" s="489">
        <f t="shared" si="6"/>
        <v>31.891901350623705</v>
      </c>
      <c r="Z41" s="489">
        <f>G41-Y41-L41</f>
        <v>-9.5423864797616886E-4</v>
      </c>
    </row>
    <row r="42" spans="1:26" x14ac:dyDescent="0.25">
      <c r="A42" s="739"/>
      <c r="B42" s="1" t="s">
        <v>38</v>
      </c>
      <c r="C42" s="33">
        <f>Bilan_E_KP_AME_2035!E18+Bilan_E_KP_AME_2035!F18-Bilan_E_KP_AME_2035!F21-Bilan_E_KP_AME_2035!F22-E54-SUM(T43:X43)-(Bilan_E_KP_AME_2035!E20+Bilan_E_KP_AME_2035!F20+Bilan_E_KP_AME_2035!E19+Bilan_E_KP_AME_2035!F19)</f>
        <v>321.05659242990276</v>
      </c>
      <c r="D42" s="539"/>
      <c r="E42" s="17">
        <f>Bilan_E_KP_AME_2035!F30+Bilan_E_KP_AME_2035!S25+Bilan_E_KP_AME_2035!F29+Bilan_E_KP_AME_2035!E29</f>
        <v>29.669133215117284</v>
      </c>
      <c r="F42" s="539"/>
      <c r="G42" s="17">
        <f t="shared" si="5"/>
        <v>291.38745921478551</v>
      </c>
      <c r="H42" s="539"/>
      <c r="I42" s="498"/>
      <c r="J42" s="37"/>
      <c r="K42" s="35"/>
      <c r="L42" s="35"/>
      <c r="M42" s="35"/>
      <c r="N42" s="35"/>
      <c r="O42" s="35"/>
      <c r="P42" s="35"/>
      <c r="Q42" s="36">
        <f>G42</f>
        <v>291.38745921478551</v>
      </c>
      <c r="R42" s="498"/>
      <c r="S42" s="539"/>
      <c r="T42" s="83">
        <v>0</v>
      </c>
      <c r="U42" s="83">
        <v>0</v>
      </c>
      <c r="V42" s="83">
        <v>0</v>
      </c>
      <c r="W42" s="83">
        <v>0</v>
      </c>
      <c r="X42" s="84">
        <f>Bilan_E_KP_AME_2035!F35</f>
        <v>291.38745921478562</v>
      </c>
      <c r="Y42" s="489">
        <f t="shared" si="6"/>
        <v>291.38745921478562</v>
      </c>
      <c r="Z42" s="489">
        <f>Q42-SUM(T42:X42)</f>
        <v>0</v>
      </c>
    </row>
    <row r="43" spans="1:26" x14ac:dyDescent="0.25">
      <c r="A43" s="739"/>
      <c r="B43" s="1" t="s">
        <v>39</v>
      </c>
      <c r="C43" s="33">
        <f>Bilan_E_KP_AME_2035!F41+SUM(T43:X43)</f>
        <v>202.92731882266304</v>
      </c>
      <c r="D43" s="539"/>
      <c r="E43" s="38"/>
      <c r="F43" s="539"/>
      <c r="G43" s="17">
        <f>C43-E43</f>
        <v>202.92731882266304</v>
      </c>
      <c r="H43" s="539"/>
      <c r="I43" s="35"/>
      <c r="J43" s="37"/>
      <c r="K43" s="35"/>
      <c r="L43" s="35"/>
      <c r="M43" s="35"/>
      <c r="N43" s="35"/>
      <c r="O43" s="35"/>
      <c r="P43" s="35"/>
      <c r="Q43" s="36">
        <f>G43-Bilan_E_KP_AME_2035!F41</f>
        <v>88.143061240804471</v>
      </c>
      <c r="R43" s="498"/>
      <c r="S43" s="539"/>
      <c r="T43" s="83">
        <f>Bilan_E_KP_AME_2035!F38</f>
        <v>31.378359933180146</v>
      </c>
      <c r="U43" s="83">
        <f>Bilan_E_KP_AME_2035!F34</f>
        <v>23.255205938178186</v>
      </c>
      <c r="V43" s="83">
        <f>Bilan_E_KP_AME_2035!F36</f>
        <v>24.366054746482678</v>
      </c>
      <c r="W43" s="83">
        <f>Bilan_E_KP_AME_2035!F37</f>
        <v>9.1434406229634497</v>
      </c>
      <c r="X43" s="84">
        <v>0</v>
      </c>
      <c r="Y43" s="489">
        <f t="shared" si="6"/>
        <v>88.143061240804457</v>
      </c>
      <c r="Z43" s="489">
        <f>Q43-SUM(T43:X43)</f>
        <v>0</v>
      </c>
    </row>
    <row r="44" spans="1:26" x14ac:dyDescent="0.25">
      <c r="A44" s="739"/>
      <c r="B44" s="1" t="s">
        <v>40</v>
      </c>
      <c r="C44" s="33">
        <f>SUM(T44:X44)</f>
        <v>1.7744589215827917</v>
      </c>
      <c r="D44" s="539"/>
      <c r="E44" s="38"/>
      <c r="F44" s="539"/>
      <c r="G44" s="17">
        <f t="shared" si="1"/>
        <v>1.7744589215827917</v>
      </c>
      <c r="H44" s="539"/>
      <c r="I44" s="35"/>
      <c r="J44" s="37"/>
      <c r="K44" s="35"/>
      <c r="L44" s="35"/>
      <c r="M44" s="35"/>
      <c r="N44" s="35"/>
      <c r="O44" s="35"/>
      <c r="P44" s="35"/>
      <c r="Q44" s="36">
        <f>G44-Bilan_E_KP_AME_2035!K41</f>
        <v>1.7744589215827917</v>
      </c>
      <c r="R44" s="498"/>
      <c r="S44" s="539"/>
      <c r="T44" s="83">
        <f>Bilan_E_KP_AME_2035!K$38</f>
        <v>0</v>
      </c>
      <c r="U44" s="83">
        <f>Bilan_E_KP_AME_2035!K34</f>
        <v>1.7744589215827917</v>
      </c>
      <c r="V44" s="83">
        <f>Bilan_E_KP_AME_2035!K$36</f>
        <v>0</v>
      </c>
      <c r="W44" s="83">
        <v>0</v>
      </c>
      <c r="X44" s="84">
        <f>Bilan_E_KP_AME_2035!K$35</f>
        <v>0</v>
      </c>
      <c r="Y44" s="489">
        <f t="shared" si="6"/>
        <v>1.7744589215827917</v>
      </c>
      <c r="Z44" s="489">
        <f t="shared" si="7"/>
        <v>0</v>
      </c>
    </row>
    <row r="45" spans="1:26" x14ac:dyDescent="0.25">
      <c r="A45" s="739"/>
      <c r="B45" s="1" t="s">
        <v>41</v>
      </c>
      <c r="C45" s="33">
        <f>E53</f>
        <v>12.028714359769619</v>
      </c>
      <c r="D45" s="539"/>
      <c r="E45" s="38"/>
      <c r="F45" s="539"/>
      <c r="G45" s="17">
        <f t="shared" si="1"/>
        <v>12.028714359769619</v>
      </c>
      <c r="H45" s="539"/>
      <c r="I45" s="35"/>
      <c r="J45" s="37"/>
      <c r="K45" s="35"/>
      <c r="L45" s="35"/>
      <c r="M45" s="35"/>
      <c r="N45" s="35"/>
      <c r="O45" s="35"/>
      <c r="P45" s="35"/>
      <c r="Q45" s="36">
        <f>G45-Bilan_E_KP_AME_2035!G41</f>
        <v>0</v>
      </c>
      <c r="R45" s="498"/>
      <c r="S45" s="539"/>
      <c r="T45" s="84">
        <v>0</v>
      </c>
      <c r="U45" s="83">
        <v>0</v>
      </c>
      <c r="V45" s="84">
        <v>0</v>
      </c>
      <c r="W45" s="92">
        <v>0</v>
      </c>
      <c r="X45" s="84">
        <v>0</v>
      </c>
      <c r="Y45" s="489">
        <f t="shared" si="6"/>
        <v>0</v>
      </c>
      <c r="Z45" s="489">
        <f>Q45-Y45</f>
        <v>0</v>
      </c>
    </row>
    <row r="46" spans="1:26" x14ac:dyDescent="0.25">
      <c r="A46" s="739"/>
      <c r="B46" s="1" t="s">
        <v>42</v>
      </c>
      <c r="C46" s="33">
        <f>Bilan_E_KP_AME_2035!D18-C18-C34</f>
        <v>46.000479590016539</v>
      </c>
      <c r="D46" s="539"/>
      <c r="E46" s="511"/>
      <c r="F46" s="539"/>
      <c r="G46" s="17">
        <f>C46-E46</f>
        <v>46.000479590016539</v>
      </c>
      <c r="H46" s="539"/>
      <c r="I46" s="38"/>
      <c r="J46" s="37"/>
      <c r="K46" s="35"/>
      <c r="L46" s="35"/>
      <c r="M46" s="35"/>
      <c r="N46" s="35"/>
      <c r="O46" s="35"/>
      <c r="P46" s="35"/>
      <c r="Q46" s="36">
        <f>G46-(Bilan_E_KP_AME_2035!D41+Bilan_E_KP_AME_2035!D29+Bilan_E_KP_AME_2035!D30)</f>
        <v>6.2002081056415363</v>
      </c>
      <c r="R46" s="498"/>
      <c r="S46" s="539"/>
      <c r="T46" s="506">
        <f>Bilan_E_KP_AME_2035!D38</f>
        <v>0</v>
      </c>
      <c r="U46" s="93">
        <f>Bilan_E_KP_AME_2035!D34</f>
        <v>6.2002081056415257</v>
      </c>
      <c r="V46" s="506">
        <f>Bilan_E_KP_AME_2035!D36</f>
        <v>0</v>
      </c>
      <c r="W46" s="507">
        <f>Bilan_E_KP_AME_2035!D37</f>
        <v>0</v>
      </c>
      <c r="X46" s="506">
        <f>Bilan_E_KP_AME_2035!D35</f>
        <v>0</v>
      </c>
      <c r="Y46" s="489">
        <f t="shared" si="6"/>
        <v>6.2002081056415257</v>
      </c>
      <c r="Z46" s="489">
        <f>Q46-Y46</f>
        <v>1.0658141036401503E-14</v>
      </c>
    </row>
    <row r="47" spans="1:26" x14ac:dyDescent="0.25">
      <c r="A47" s="90"/>
      <c r="B47" s="1" t="s">
        <v>31</v>
      </c>
      <c r="C47" s="33">
        <f>E57</f>
        <v>0.87448992412119186</v>
      </c>
      <c r="D47" s="192"/>
      <c r="E47" s="511"/>
      <c r="F47" s="192"/>
      <c r="G47" s="17">
        <f>C47-E47</f>
        <v>0.87448992412119186</v>
      </c>
      <c r="H47" s="192"/>
      <c r="I47" s="38"/>
      <c r="J47" s="37"/>
      <c r="K47" s="35"/>
      <c r="L47" s="35"/>
      <c r="M47" s="35"/>
      <c r="N47" s="35"/>
      <c r="O47" s="35"/>
      <c r="P47" s="35"/>
      <c r="Q47" s="542">
        <f>G47-Bilan_E_KP_AME_2035!R41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C5-L13-SUM(L21:L24)-L30-L41-Bilan_E_KP_AME_2035!S18</f>
        <v>0</v>
      </c>
      <c r="D49" s="1"/>
      <c r="E49" s="34">
        <f>SUM(E7:E47)+I13-Bilan_E_KP_AME_2035!S32+K13+SUM(K21:K24)+K30+Bilan_E_KP_AME_2035!D29+Bilan_E_KP_AME_2035!D30</f>
        <v>5.1514348342607263E-14</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495.47068860876493</v>
      </c>
    </row>
    <row r="52" spans="1:19" x14ac:dyDescent="0.25">
      <c r="A52" s="21"/>
      <c r="B52" s="1" t="s">
        <v>44</v>
      </c>
      <c r="C52" s="44"/>
      <c r="D52" s="1"/>
      <c r="E52" s="39">
        <f>Bilan_E_KP_AME_2035!D41+Bilan_E_KP_AME_2035!D29+Bilan_E_KP_AME_2035!D30</f>
        <v>39.800271484375003</v>
      </c>
      <c r="F52" s="187"/>
      <c r="G52" s="1"/>
      <c r="H52" s="1"/>
      <c r="I52" s="30"/>
      <c r="J52" s="17"/>
      <c r="K52" s="17"/>
      <c r="L52" s="21"/>
      <c r="M52" s="1"/>
      <c r="N52" s="17"/>
      <c r="O52" s="17"/>
      <c r="P52" s="17"/>
      <c r="Q52" s="1"/>
      <c r="S52" s="33"/>
    </row>
    <row r="53" spans="1:19" x14ac:dyDescent="0.25">
      <c r="A53" s="21"/>
      <c r="B53" s="1" t="s">
        <v>41</v>
      </c>
      <c r="C53" s="45"/>
      <c r="D53" s="17"/>
      <c r="E53" s="433">
        <f>Bilan_E_KP_AME_2035!G41+Bilan_E_KP_AME_2035!G29</f>
        <v>12.028714359769619</v>
      </c>
      <c r="F53" s="187"/>
      <c r="G53" s="1"/>
      <c r="H53" s="1"/>
      <c r="I53" s="30"/>
      <c r="J53" s="17"/>
      <c r="K53" s="17"/>
      <c r="L53" s="21"/>
      <c r="M53" s="1"/>
      <c r="N53" s="17"/>
      <c r="O53" s="17"/>
      <c r="P53" s="17"/>
      <c r="Q53" s="1"/>
    </row>
    <row r="54" spans="1:19" x14ac:dyDescent="0.25">
      <c r="A54" s="21"/>
      <c r="B54" s="1" t="s">
        <v>39</v>
      </c>
      <c r="C54" s="45"/>
      <c r="D54" s="17"/>
      <c r="E54" s="435">
        <f>Bilan_E_KP_AME_2035!F41</f>
        <v>114.78425758185857</v>
      </c>
      <c r="F54" s="187"/>
      <c r="G54" s="1"/>
      <c r="H54" s="1"/>
      <c r="I54" s="30"/>
      <c r="J54" s="17"/>
      <c r="K54" s="17"/>
      <c r="L54" s="21"/>
      <c r="M54" s="21"/>
      <c r="N54" s="17"/>
      <c r="O54" s="17"/>
      <c r="P54" s="17"/>
      <c r="Q54" s="1"/>
    </row>
    <row r="55" spans="1:19" x14ac:dyDescent="0.25">
      <c r="B55" s="1" t="s">
        <v>21</v>
      </c>
      <c r="E55" s="434">
        <f>Bilan_E_KP_AME_2035!M41+Bilan_E_KP_AME_2035!M29</f>
        <v>0</v>
      </c>
    </row>
    <row r="56" spans="1:19" x14ac:dyDescent="0.25">
      <c r="B56" s="1" t="s">
        <v>37</v>
      </c>
      <c r="E56" s="515">
        <f>Bilan_E_KP_AME_2035!L41+Bilan_E_KP_AME_2035!L29</f>
        <v>0</v>
      </c>
    </row>
    <row r="57" spans="1:19" x14ac:dyDescent="0.25">
      <c r="B57" s="1" t="s">
        <v>31</v>
      </c>
      <c r="E57" s="515">
        <f>Bilan_E_KP_AME_2035!R41</f>
        <v>0.87448992412119186</v>
      </c>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7E576-15AE-4832-B3F2-6BAE61FAFC4C}">
  <dimension ref="A1:Z57"/>
  <sheetViews>
    <sheetView topLeftCell="A19" workbookViewId="0">
      <selection activeCell="C27" sqref="C27"/>
    </sheetView>
  </sheetViews>
  <sheetFormatPr baseColWidth="10" defaultColWidth="11.42578125" defaultRowHeight="15" x14ac:dyDescent="0.25"/>
  <cols>
    <col min="2" max="2" width="25.85546875" customWidth="1"/>
    <col min="5" max="5" width="11.28515625" customWidth="1"/>
    <col min="17" max="17" width="15.85546875" bestFit="1"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2418.1247907368252</v>
      </c>
      <c r="D5" s="18"/>
      <c r="E5" s="20"/>
      <c r="F5" s="494"/>
      <c r="G5" s="21"/>
      <c r="H5" s="493"/>
      <c r="I5" s="21"/>
      <c r="J5" s="22"/>
      <c r="K5" s="23"/>
      <c r="L5" s="14"/>
      <c r="M5" s="14"/>
      <c r="N5" s="15"/>
      <c r="O5" s="16"/>
      <c r="P5" s="16"/>
      <c r="Q5" s="24">
        <f>Q13+Q22+Q30+Q42+Q46+Q38+Q43</f>
        <v>1374.7765166964787</v>
      </c>
      <c r="R5" s="487"/>
      <c r="S5" s="79">
        <f>SUM(S13,S22,S27:S32,S41)</f>
        <v>1376.5452925385243</v>
      </c>
      <c r="T5" s="79">
        <f>SUM(T8:T46)</f>
        <v>44.5965244298065</v>
      </c>
      <c r="U5" s="79">
        <f>SUM(U8:U46)</f>
        <v>279.9847427711224</v>
      </c>
      <c r="V5" s="79">
        <f>SUM(V8:V46)</f>
        <v>449.42060390656781</v>
      </c>
      <c r="W5" s="173">
        <f>SUM(W8:W46)</f>
        <v>225.03070763733538</v>
      </c>
      <c r="X5" s="79">
        <f>SUM(X8:X46)</f>
        <v>377.51271379369234</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f>(([12]Offre_calc!$R$81+[12]Offre_calc!$R$82+[12]Offre_calc!$R$127+[12]Offre_calc!$R$128)/([12]Offre_calc!$R$78+[12]Offre_calc!$R$124))*Bilan_E_KP_AME_2038!I$21</f>
        <v>116.84217256366757</v>
      </c>
      <c r="D7" s="516"/>
      <c r="E7" s="28">
        <v>0</v>
      </c>
      <c r="F7" s="516"/>
      <c r="G7" s="17">
        <f>C7-E7</f>
        <v>116.84217256366757</v>
      </c>
      <c r="H7" s="516"/>
      <c r="I7" s="21"/>
      <c r="J7" s="516"/>
      <c r="K7" s="523"/>
      <c r="L7" s="523"/>
      <c r="M7" s="523"/>
      <c r="N7" s="523"/>
      <c r="O7" s="523"/>
      <c r="P7" s="513"/>
      <c r="Q7" s="526"/>
      <c r="R7" s="498"/>
      <c r="S7" s="526"/>
      <c r="T7" s="523"/>
      <c r="U7" s="523"/>
      <c r="V7" s="523"/>
      <c r="W7" s="523"/>
      <c r="X7" s="523"/>
    </row>
    <row r="8" spans="1:24" x14ac:dyDescent="0.25">
      <c r="A8" s="736"/>
      <c r="B8" s="1" t="s">
        <v>18</v>
      </c>
      <c r="C8" s="486">
        <f>(([12]Offre_calc!$R$80+[12]Offre_calc!$R$126)/([12]Offre_calc!$R$78+[12]Offre_calc!$R$124))*Bilan_E_KP_AME_2038!I$21</f>
        <v>61.719540408587818</v>
      </c>
      <c r="D8" s="81"/>
      <c r="E8" s="28">
        <v>0</v>
      </c>
      <c r="F8" s="81"/>
      <c r="G8" s="17">
        <f t="shared" ref="G8:G19" si="0">C8-E8</f>
        <v>61.719540408587818</v>
      </c>
      <c r="H8" s="81"/>
      <c r="I8" s="21"/>
      <c r="J8" s="81"/>
      <c r="K8" s="524"/>
      <c r="L8" s="524"/>
      <c r="M8" s="524"/>
      <c r="N8" s="524"/>
      <c r="O8" s="524"/>
      <c r="P8" s="29"/>
      <c r="Q8" s="527"/>
      <c r="R8" s="498"/>
      <c r="S8" s="527"/>
      <c r="T8" s="524"/>
      <c r="U8" s="524"/>
      <c r="V8" s="524"/>
      <c r="W8" s="524"/>
      <c r="X8" s="524"/>
    </row>
    <row r="9" spans="1:24" x14ac:dyDescent="0.25">
      <c r="A9" s="736"/>
      <c r="B9" s="1" t="s">
        <v>19</v>
      </c>
      <c r="C9" s="486">
        <f>(([12]Offre_calc!$R$79+[12]Offre_calc!$R$125)/([12]Offre_calc!$R$78+[12]Offre_calc!$R$124))*Bilan_E_KP_AME_2038!I$21</f>
        <v>70.420983810454288</v>
      </c>
      <c r="D9" s="81"/>
      <c r="E9" s="28">
        <v>0</v>
      </c>
      <c r="F9" s="81"/>
      <c r="G9" s="17">
        <f t="shared" si="0"/>
        <v>70.420983810454288</v>
      </c>
      <c r="H9" s="81"/>
      <c r="I9" s="21"/>
      <c r="J9" s="81"/>
      <c r="K9" s="524"/>
      <c r="L9" s="524"/>
      <c r="M9" s="524"/>
      <c r="N9" s="524"/>
      <c r="O9" s="524"/>
      <c r="P9" s="29"/>
      <c r="Q9" s="527"/>
      <c r="R9" s="498"/>
      <c r="S9" s="527"/>
      <c r="T9" s="524"/>
      <c r="U9" s="524"/>
      <c r="V9" s="524"/>
      <c r="W9" s="524"/>
      <c r="X9" s="524"/>
    </row>
    <row r="10" spans="1:24" x14ac:dyDescent="0.25">
      <c r="A10" s="736"/>
      <c r="B10" s="1" t="s">
        <v>20</v>
      </c>
      <c r="C10" s="17">
        <f>Bilan_E_KP_AME_2038!H21-(Bilan_E_KP_AME_2038!P20+Bilan_E_KP_AME_2038!P19)</f>
        <v>1005.4545454545456</v>
      </c>
      <c r="D10" s="81"/>
      <c r="E10" s="28">
        <f>F13-SUM(E11:E19)</f>
        <v>676.38855213551608</v>
      </c>
      <c r="F10" s="81"/>
      <c r="G10" s="17">
        <f>C10-E10</f>
        <v>329.06599331902953</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f>Bilan_E_KP_AME_2038!M21</f>
        <v>0.47574727688811397</v>
      </c>
      <c r="D11" s="81"/>
      <c r="E11" s="28">
        <f>C11*(1-[12]Offre_calc!$R$161)</f>
        <v>0.20457132906188899</v>
      </c>
      <c r="F11" s="81"/>
      <c r="G11" s="17">
        <f t="shared" si="0"/>
        <v>0.27117594782622501</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f>Bilan_E_KP_AME_2038!K21</f>
        <v>7.1699357941539494</v>
      </c>
      <c r="D12" s="81"/>
      <c r="E12" s="28">
        <f>C12*(1-[12]Offre_calc!$R$171)</f>
        <v>4.7321576241416059</v>
      </c>
      <c r="F12" s="81"/>
      <c r="G12" s="17">
        <f t="shared" si="0"/>
        <v>2.4377781700123435</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f>Bilan_E_KP_AME_2038!J21</f>
        <v>29.95115714704033</v>
      </c>
      <c r="D13" s="81">
        <f>SUM(C7:C19)</f>
        <v>1327.8567095118585</v>
      </c>
      <c r="E13" s="28">
        <f>C13*(1-[12]Offre_calc!$R$170)</f>
        <v>19.767763717046616</v>
      </c>
      <c r="F13" s="81">
        <f>Bilan_E_KP_AME_2038!S21</f>
        <v>716.25267907413024</v>
      </c>
      <c r="G13" s="17">
        <f t="shared" si="0"/>
        <v>10.183393429993714</v>
      </c>
      <c r="H13" s="81">
        <f>SUM(G7:G19)</f>
        <v>611.60403043772885</v>
      </c>
      <c r="I13" s="33">
        <f>Bilan_E_KP_AME_2038!P30</f>
        <v>31.859130537431355</v>
      </c>
      <c r="J13" s="81">
        <f>H13-I13</f>
        <v>579.74489990029747</v>
      </c>
      <c r="K13" s="29">
        <f>Bilan_E_KP_AME_2038!P31</f>
        <v>43.831436480126726</v>
      </c>
      <c r="L13" s="29">
        <f>-(Bilan_E_KP_AME_2038!P14+Bilan_E_KP_AME_2038!P13)</f>
        <v>38.942042128507637</v>
      </c>
      <c r="M13" s="29">
        <f>Bilan_E_KP_AME_2038!P28</f>
        <v>0.47800681593948002</v>
      </c>
      <c r="N13" s="29"/>
      <c r="O13" s="29"/>
      <c r="P13" s="29"/>
      <c r="Q13" s="81">
        <f>J13-K13-L13-M13-N13-O13-P13</f>
        <v>496.49341447572363</v>
      </c>
      <c r="R13" s="508">
        <f>Q13-S13</f>
        <v>0</v>
      </c>
      <c r="S13" s="81">
        <f>SUM(T8:X19)</f>
        <v>496.49341447572328</v>
      </c>
      <c r="T13" s="29">
        <f>Bilan_E_KP_AME_2038!P38</f>
        <v>6.6555854929198803</v>
      </c>
      <c r="U13" s="29">
        <f>Bilan_E_KP_AME_2038!P34+Bilan_E_KP_AME_2038!P39</f>
        <v>111.15293457022204</v>
      </c>
      <c r="V13" s="29">
        <f>Bilan_E_KP_AME_2038!P36</f>
        <v>185.58174281281848</v>
      </c>
      <c r="W13" s="29">
        <f>Bilan_E_KP_AME_2038!P37</f>
        <v>137.18962935697431</v>
      </c>
      <c r="X13" s="29">
        <f>Bilan_E_KP_AME_2038!P35</f>
        <v>55.913522242788574</v>
      </c>
    </row>
    <row r="14" spans="1:24" x14ac:dyDescent="0.25">
      <c r="A14" s="736"/>
      <c r="B14" s="1" t="s">
        <v>24</v>
      </c>
      <c r="C14" s="17">
        <f>Bilan_E_KP_AME_2038!O21</f>
        <v>5.3758847536792693</v>
      </c>
      <c r="D14" s="81"/>
      <c r="E14" s="28">
        <v>0</v>
      </c>
      <c r="F14" s="81"/>
      <c r="G14" s="17">
        <f t="shared" si="0"/>
        <v>5.3758847536792693</v>
      </c>
      <c r="H14" s="81"/>
      <c r="I14" s="21"/>
      <c r="J14" s="81"/>
      <c r="K14" s="524"/>
      <c r="L14" s="524"/>
      <c r="M14" s="524"/>
      <c r="N14" s="524"/>
      <c r="O14" s="524"/>
      <c r="P14" s="29"/>
      <c r="Q14" s="527"/>
      <c r="R14" s="498"/>
      <c r="S14" s="527"/>
      <c r="T14" s="524"/>
      <c r="U14" s="524"/>
      <c r="V14" s="524"/>
      <c r="W14" s="524"/>
      <c r="X14" s="524"/>
    </row>
    <row r="15" spans="1:24" x14ac:dyDescent="0.25">
      <c r="A15" s="736"/>
      <c r="B15" s="1" t="s">
        <v>25</v>
      </c>
      <c r="C15" s="17">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36"/>
      <c r="B16" s="1" t="s">
        <v>343</v>
      </c>
      <c r="C16" s="17">
        <f>Bilan_E_KP_AME_2038!L21</f>
        <v>2.7260808922399375</v>
      </c>
      <c r="D16" s="81"/>
      <c r="E16" s="28">
        <f>C16*(1-[12]Offre_calc!$R$158)</f>
        <v>1.5266052996543651</v>
      </c>
      <c r="F16" s="81"/>
      <c r="G16" s="17">
        <f t="shared" si="0"/>
        <v>1.1994755925855725</v>
      </c>
      <c r="H16" s="81"/>
      <c r="I16" s="21"/>
      <c r="J16" s="81"/>
      <c r="K16" s="524"/>
      <c r="L16" s="524"/>
      <c r="M16" s="524"/>
      <c r="N16" s="524"/>
      <c r="O16" s="524"/>
      <c r="P16" s="29"/>
      <c r="Q16" s="527"/>
      <c r="R16" s="498"/>
      <c r="S16" s="527"/>
      <c r="T16" s="524"/>
      <c r="U16" s="524"/>
      <c r="V16" s="524"/>
      <c r="W16" s="524"/>
      <c r="X16" s="524"/>
    </row>
    <row r="17" spans="1:24" x14ac:dyDescent="0.25">
      <c r="A17" s="736"/>
      <c r="B17" s="1" t="s">
        <v>27</v>
      </c>
      <c r="C17" s="17">
        <f>Bilan_E_KP_AME_2038!F21</f>
        <v>7.7008933134364401</v>
      </c>
      <c r="D17" s="81"/>
      <c r="E17" s="28">
        <f>C17*(1-[12]Offre_calc!$R$158)</f>
        <v>4.312500255524407</v>
      </c>
      <c r="F17" s="81"/>
      <c r="G17" s="17">
        <f t="shared" si="0"/>
        <v>3.3883930579120332</v>
      </c>
      <c r="H17" s="81"/>
      <c r="I17" s="21"/>
      <c r="J17" s="81"/>
      <c r="K17" s="524"/>
      <c r="L17" s="524"/>
      <c r="M17" s="524"/>
      <c r="N17" s="524"/>
      <c r="O17" s="524"/>
      <c r="P17" s="29"/>
      <c r="Q17" s="527"/>
      <c r="R17" s="498"/>
      <c r="S17" s="527"/>
      <c r="T17" s="524"/>
      <c r="U17" s="524"/>
      <c r="V17" s="524"/>
      <c r="W17" s="524"/>
      <c r="X17" s="524"/>
    </row>
    <row r="18" spans="1:24" x14ac:dyDescent="0.25">
      <c r="A18" s="736"/>
      <c r="B18" s="1" t="s">
        <v>28</v>
      </c>
      <c r="C18" s="17">
        <f>Bilan_E_KP_AME_2038!D21</f>
        <v>2.8267856410252494</v>
      </c>
      <c r="D18" s="81"/>
      <c r="E18" s="28">
        <f>C18*(1-[12]Offre_calc!$R$157)</f>
        <v>1.9275462570448931</v>
      </c>
      <c r="F18" s="81"/>
      <c r="G18" s="17">
        <f t="shared" si="0"/>
        <v>0.8992393839803563</v>
      </c>
      <c r="H18" s="81"/>
      <c r="I18" s="21"/>
      <c r="J18" s="81"/>
      <c r="K18" s="524"/>
      <c r="L18" s="524"/>
      <c r="M18" s="524"/>
      <c r="N18" s="524"/>
      <c r="O18" s="524"/>
      <c r="P18" s="29"/>
      <c r="Q18" s="527"/>
      <c r="R18" s="498"/>
      <c r="S18" s="527"/>
      <c r="T18" s="524"/>
      <c r="U18" s="524"/>
      <c r="V18" s="524"/>
      <c r="W18" s="524"/>
      <c r="X18" s="524"/>
    </row>
    <row r="19" spans="1:24" x14ac:dyDescent="0.25">
      <c r="A19" s="736"/>
      <c r="B19" s="1" t="s">
        <v>260</v>
      </c>
      <c r="C19" s="17">
        <f>Bilan_E_KP_AME_2038!G21+Bilan_E_KP_AME_2038!R21</f>
        <v>17.192982456140349</v>
      </c>
      <c r="D19" s="82"/>
      <c r="E19" s="28">
        <f>C19*(1-[12]Offre_calc!$R$160)</f>
        <v>7.3929824561403494</v>
      </c>
      <c r="F19" s="82"/>
      <c r="G19" s="17">
        <f t="shared" si="0"/>
        <v>9.8000000000000007</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0.32728082518167489</v>
      </c>
      <c r="H20" s="499"/>
      <c r="I20" s="17"/>
      <c r="J20" s="1"/>
      <c r="K20" s="17"/>
      <c r="L20" s="1"/>
      <c r="M20" s="1"/>
      <c r="N20" s="1"/>
      <c r="O20" s="1"/>
      <c r="P20" s="1"/>
      <c r="Q20" s="499"/>
      <c r="R20" s="498"/>
      <c r="S20" s="408"/>
      <c r="T20" s="495"/>
      <c r="U20" s="408"/>
      <c r="V20" s="495"/>
      <c r="W20" s="408"/>
      <c r="X20" s="495"/>
    </row>
    <row r="21" spans="1:24" x14ac:dyDescent="0.25">
      <c r="A21" s="737" t="s">
        <v>13</v>
      </c>
      <c r="B21" s="1" t="s">
        <v>21</v>
      </c>
      <c r="C21" s="17">
        <f>Bilan_E_KP_AME_2038!J23+Bilan_E_KP_AME_2038!M12</f>
        <v>7.4272291037730369</v>
      </c>
      <c r="D21" s="529"/>
      <c r="E21" s="33">
        <f>Bilan_E_KP_AME_2038!S23+Bilan_E_KP_AME_2038!M30</f>
        <v>0.80290318959561247</v>
      </c>
      <c r="F21" s="529"/>
      <c r="G21" s="17">
        <f t="shared" ref="G21:G45" si="1">C21-E21</f>
        <v>6.6243259141774242</v>
      </c>
      <c r="H21" s="529"/>
      <c r="I21" s="17"/>
      <c r="J21" s="529"/>
      <c r="K21" s="545">
        <f>Bilan_E_KP_AME_2038!M31</f>
        <v>7.7924650670348858E-2</v>
      </c>
      <c r="L21" s="545">
        <f>-(Bilan_E_KP_AME_2038!M13+Bilan_E_KP_AME_2038!M14+Bilan_E_KP_AME_2038!M15+Bilan_E_KP_AME_2038!M16)</f>
        <v>0</v>
      </c>
      <c r="M21" s="545">
        <f>Bilan_E_KP_AME_2038!M28</f>
        <v>8.6230722428282419E-2</v>
      </c>
      <c r="N21" s="545">
        <f>Bilan_E_KP_AME_2038!M22</f>
        <v>0.32133708059977345</v>
      </c>
      <c r="O21" s="545">
        <f>Bilan_E_KP_AME_2038!M21</f>
        <v>0.47574727688811397</v>
      </c>
      <c r="P21" s="529"/>
      <c r="Q21" s="529"/>
      <c r="R21" s="498"/>
      <c r="S21" s="529"/>
      <c r="T21" s="529"/>
      <c r="U21" s="529"/>
      <c r="V21" s="529"/>
      <c r="W21" s="529"/>
      <c r="X21" s="529"/>
    </row>
    <row r="22" spans="1:24" x14ac:dyDescent="0.25">
      <c r="A22" s="737"/>
      <c r="B22" s="1" t="s">
        <v>30</v>
      </c>
      <c r="C22" s="17"/>
      <c r="D22" s="85">
        <f>SUM(C21:C24)</f>
        <v>332.8448619038677</v>
      </c>
      <c r="E22" s="497"/>
      <c r="F22" s="85">
        <f>SUM(E21:E24)</f>
        <v>7.4111874835638654</v>
      </c>
      <c r="G22" s="17"/>
      <c r="H22" s="85">
        <f>SUM(G21:G24)</f>
        <v>325.43367442030387</v>
      </c>
      <c r="I22" s="408"/>
      <c r="J22" s="85">
        <f>H22-I22</f>
        <v>325.43367442030387</v>
      </c>
      <c r="K22" s="32"/>
      <c r="L22" s="32"/>
      <c r="M22" s="32"/>
      <c r="N22" s="32"/>
      <c r="O22" s="32"/>
      <c r="P22" s="32"/>
      <c r="Q22" s="85">
        <f>J22-SUM(K21:P24)</f>
        <v>284.18740287422014</v>
      </c>
      <c r="R22" s="508">
        <f>Q22-S22</f>
        <v>-2.5104122720961186E-2</v>
      </c>
      <c r="S22" s="85">
        <f>SUM(T22:X24)</f>
        <v>284.2125069969411</v>
      </c>
      <c r="T22" s="32">
        <f>Bilan_E_KP_AME_2038!G38+Bilan_E_KP_AME_2038!R38+Bilan_E_KP_AME_2038!M$38</f>
        <v>1.5228966049376753</v>
      </c>
      <c r="U22" s="32">
        <f>Bilan_E_KP_AME_2038!G34+Bilan_E_KP_AME_2038!R34+Bilan_E_KP_AME_2038!M$34</f>
        <v>101.6359229462508</v>
      </c>
      <c r="V22" s="32">
        <f>Bilan_E_KP_AME_2038!G36+Bilan_E_KP_AME_2038!R36+Bilan_E_KP_AME_2038!M$36</f>
        <v>86.970656357910485</v>
      </c>
      <c r="W22" s="32">
        <f>Bilan_E_KP_AME_2038!G37+Bilan_E_KP_AME_2038!K37+Bilan_E_KP_AME_2038!R37+Bilan_E_KP_AME_2038!M$37</f>
        <v>64.366616771086314</v>
      </c>
      <c r="X22" s="32">
        <f>Bilan_E_KP_AME_2038!G35+Bilan_E_KP_AME_2038!R35+Bilan_E_KP_AME_2038!M$35</f>
        <v>29.716414316755817</v>
      </c>
    </row>
    <row r="23" spans="1:24" x14ac:dyDescent="0.25">
      <c r="A23" s="737"/>
      <c r="B23" s="1" t="s">
        <v>31</v>
      </c>
      <c r="C23" s="17">
        <f>SUM(Bilan_E_KP_AME_2038!D28:Q28)-C47</f>
        <v>3.4070013466564246</v>
      </c>
      <c r="D23" s="530"/>
      <c r="E23" s="33">
        <f>Bilan_E_KP_AME_2038!S28+Bilan_E_KP_AME_2038!S27</f>
        <v>1.4618472731749175</v>
      </c>
      <c r="F23" s="532"/>
      <c r="G23" s="17">
        <f t="shared" si="1"/>
        <v>1.9451540734815072</v>
      </c>
      <c r="H23" s="532"/>
      <c r="I23" s="17"/>
      <c r="J23" s="532"/>
      <c r="K23" s="534">
        <f>Bilan_E_KP_AME_2038!R31</f>
        <v>0</v>
      </c>
      <c r="L23" s="534">
        <f>-(Bilan_E_KP_AME_2038!R13+Bilan_E_KP_AME_2038!R14+Bilan_E_KP_AME_2038!R15+Bilan_E_KP_AME_2038!R16)</f>
        <v>0</v>
      </c>
      <c r="M23" s="534"/>
      <c r="N23" s="534">
        <f>Bilan_E_KP_AME_2038!R22</f>
        <v>0</v>
      </c>
      <c r="O23" s="534">
        <f>Bilan_E_KP_AME_2038!R21</f>
        <v>0</v>
      </c>
      <c r="P23" s="534">
        <f>-Bilan_E_KP_AME_2038!L27</f>
        <v>0</v>
      </c>
      <c r="Q23" s="532"/>
      <c r="S23" s="532"/>
      <c r="T23" s="536"/>
      <c r="U23" s="536"/>
      <c r="V23" s="536"/>
      <c r="W23" s="536"/>
      <c r="X23" s="536"/>
    </row>
    <row r="24" spans="1:24" x14ac:dyDescent="0.25">
      <c r="A24" s="737"/>
      <c r="B24" s="1" t="s">
        <v>32</v>
      </c>
      <c r="C24" s="17">
        <f>Bilan_E_KP_AME_2038!G18-C45-(Bilan_E_KP_AME_2038!G20+Bilan_E_KP_AME_2038!G19)</f>
        <v>322.01063145343824</v>
      </c>
      <c r="D24" s="531"/>
      <c r="E24" s="33">
        <f>Bilan_E_KP_AME_2038!G30</f>
        <v>5.1464370207933356</v>
      </c>
      <c r="F24" s="533"/>
      <c r="G24" s="17">
        <f t="shared" si="1"/>
        <v>316.86419443264492</v>
      </c>
      <c r="H24" s="533"/>
      <c r="I24" s="34"/>
      <c r="J24" s="533"/>
      <c r="K24" s="535">
        <f>Bilan_E_KP_AME_2038!G31</f>
        <v>3.818307882847094</v>
      </c>
      <c r="L24" s="535"/>
      <c r="M24" s="535">
        <f>Bilan_E_KP_AME_2038!G28</f>
        <v>4.2253053989858387</v>
      </c>
      <c r="N24" s="535">
        <f>Bilan_E_KP_AME_2038!G22</f>
        <v>15.048436077523924</v>
      </c>
      <c r="O24" s="535">
        <f>Bilan_E_KP_AME_2038!G21</f>
        <v>17.192982456140349</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38" t="s">
        <v>14</v>
      </c>
      <c r="B26" s="1" t="s">
        <v>21</v>
      </c>
      <c r="C26" s="17">
        <f>Bilan_E_KP_AME_2038!M22</f>
        <v>0.32133708059977345</v>
      </c>
      <c r="D26" s="512"/>
      <c r="E26" s="190">
        <f>C26*F$35</f>
        <v>3.0304755191528518E-2</v>
      </c>
      <c r="F26" s="512"/>
      <c r="G26" s="33">
        <f t="shared" ref="G26:G31" si="2">C26-E26</f>
        <v>0.29103232540824492</v>
      </c>
      <c r="H26" s="512"/>
      <c r="I26" s="1"/>
      <c r="J26" s="512"/>
      <c r="K26" s="512"/>
      <c r="L26" s="512"/>
      <c r="M26" s="512"/>
      <c r="N26" s="512"/>
      <c r="O26" s="512"/>
      <c r="P26" s="512"/>
      <c r="Q26" s="512"/>
      <c r="R26" s="498"/>
      <c r="S26" s="512"/>
      <c r="T26" s="512"/>
      <c r="U26" s="512"/>
      <c r="V26" s="512"/>
      <c r="W26" s="512"/>
      <c r="X26" s="512"/>
    </row>
    <row r="27" spans="1:24" x14ac:dyDescent="0.25">
      <c r="A27" s="738"/>
      <c r="B27" s="1" t="s">
        <v>22</v>
      </c>
      <c r="C27" s="17">
        <f>Bilan_E_KP_AME_2038!K18-Bilan_E_KP_AME_2038!K21-Bilan_E_KP_AME_2038!K34-(Bilan_E_KP_AME_2038!Q20+Bilan_E_KP_AME_2038!Q19+Bilan_E_KP_AME_2038!K20+Bilan_E_KP_AME_2038!K19)</f>
        <v>12.129812547575231</v>
      </c>
      <c r="D27" s="87"/>
      <c r="E27" s="190">
        <f t="shared" ref="E27:E34" si="3">C27*F$35</f>
        <v>1.1439420532709521</v>
      </c>
      <c r="F27" s="87"/>
      <c r="G27" s="33">
        <f t="shared" si="2"/>
        <v>10.98587049430428</v>
      </c>
      <c r="H27" s="87"/>
      <c r="I27" s="500"/>
      <c r="J27" s="87"/>
      <c r="K27" s="87"/>
      <c r="L27" s="87"/>
      <c r="M27" s="87"/>
      <c r="N27" s="87"/>
      <c r="O27" s="87"/>
      <c r="P27" s="87"/>
      <c r="Q27" s="87"/>
      <c r="R27" s="498"/>
      <c r="S27" s="87"/>
      <c r="T27" s="87"/>
      <c r="U27" s="87"/>
      <c r="V27" s="87"/>
      <c r="W27" s="87"/>
      <c r="X27" s="87"/>
    </row>
    <row r="28" spans="1:24" x14ac:dyDescent="0.25">
      <c r="A28" s="738"/>
      <c r="B28" s="1" t="s">
        <v>26</v>
      </c>
      <c r="C28" s="17"/>
      <c r="D28" s="87"/>
      <c r="E28" s="190">
        <f t="shared" si="3"/>
        <v>0</v>
      </c>
      <c r="F28" s="87"/>
      <c r="G28" s="33">
        <f>C28-E28</f>
        <v>0</v>
      </c>
      <c r="H28" s="87"/>
      <c r="I28" s="1"/>
      <c r="J28" s="87"/>
      <c r="K28" s="87"/>
      <c r="L28" s="87"/>
      <c r="M28" s="87"/>
      <c r="N28" s="87"/>
      <c r="O28" s="87"/>
      <c r="P28" s="87"/>
      <c r="Q28" s="87"/>
      <c r="R28" s="498"/>
      <c r="S28" s="87"/>
      <c r="T28" s="87"/>
      <c r="U28" s="87"/>
      <c r="V28" s="87"/>
      <c r="W28" s="87"/>
      <c r="X28" s="87"/>
    </row>
    <row r="29" spans="1:24" x14ac:dyDescent="0.25">
      <c r="A29" s="738"/>
      <c r="B29" s="1" t="s">
        <v>23</v>
      </c>
      <c r="C29" s="17">
        <f>Bilan_E_KP_AME_2038!J22</f>
        <v>12.74533322609016</v>
      </c>
      <c r="D29" s="87"/>
      <c r="E29" s="190">
        <f t="shared" si="3"/>
        <v>1.2019907647452157</v>
      </c>
      <c r="F29" s="87"/>
      <c r="G29" s="33">
        <f t="shared" si="2"/>
        <v>11.543342461344945</v>
      </c>
      <c r="H29" s="87"/>
      <c r="I29" s="1"/>
      <c r="J29" s="87"/>
      <c r="K29" s="87"/>
      <c r="L29" s="87"/>
      <c r="M29" s="87"/>
      <c r="N29" s="87"/>
      <c r="O29" s="87"/>
      <c r="P29" s="87"/>
      <c r="Q29" s="87"/>
      <c r="R29" s="498"/>
      <c r="S29" s="87"/>
      <c r="T29" s="87"/>
      <c r="U29" s="87"/>
      <c r="V29" s="87"/>
      <c r="W29" s="87"/>
      <c r="X29" s="87"/>
    </row>
    <row r="30" spans="1:24" x14ac:dyDescent="0.25">
      <c r="A30" s="738"/>
      <c r="B30" s="1" t="s">
        <v>24</v>
      </c>
      <c r="C30" s="17">
        <f>Bilan_E_KP_AME_2038!O22</f>
        <v>2.1348201063802894</v>
      </c>
      <c r="D30" s="86">
        <f>SUM(C26:C34)</f>
        <v>42.379739038169376</v>
      </c>
      <c r="E30" s="190">
        <f t="shared" si="3"/>
        <v>0.20133126429434908</v>
      </c>
      <c r="F30" s="86">
        <f>Bilan_E_KP_AME_2038!S22</f>
        <v>3.9967613268765492</v>
      </c>
      <c r="G30" s="33">
        <f t="shared" si="2"/>
        <v>1.9334888420859404</v>
      </c>
      <c r="H30" s="86">
        <f>SUM(G26:G34)</f>
        <v>38.382977711292831</v>
      </c>
      <c r="I30" s="1"/>
      <c r="J30" s="86">
        <f>H30</f>
        <v>38.382977711292831</v>
      </c>
      <c r="K30" s="87">
        <f>Bilan_E_KP_AME_2038!Q31</f>
        <v>2.9732290990631256</v>
      </c>
      <c r="L30" s="87"/>
      <c r="M30" s="87">
        <f>Bilan_E_KP_AME_2038!K28</f>
        <v>4.8227473393893973E-2</v>
      </c>
      <c r="N30" s="87"/>
      <c r="O30" s="87"/>
      <c r="P30" s="87"/>
      <c r="Q30" s="86">
        <f>J30-K30-L30-M30-N30-O30-P30</f>
        <v>35.361521138835812</v>
      </c>
      <c r="R30" s="508">
        <f>Q30-S30</f>
        <v>2.5104122720961186E-2</v>
      </c>
      <c r="S30" s="86">
        <f>SUM(T27:X34)</f>
        <v>35.336417016114851</v>
      </c>
      <c r="T30" s="87">
        <f>Bilan_E_KP_AME_2038!Q$38</f>
        <v>0</v>
      </c>
      <c r="U30" s="87">
        <f>Bilan_E_KP_AME_2038!Q$34</f>
        <v>16.091742927144434</v>
      </c>
      <c r="V30" s="87">
        <f>Bilan_E_KP_AME_2038!Q$36</f>
        <v>15.554343379011728</v>
      </c>
      <c r="W30" s="87">
        <f>Bilan_E_KP_AME_2038!Q$37</f>
        <v>3.6903307099586842</v>
      </c>
      <c r="X30" s="87">
        <f>Bilan_E_KP_AME_2038!Q$35</f>
        <v>0</v>
      </c>
    </row>
    <row r="31" spans="1:24" x14ac:dyDescent="0.25">
      <c r="A31" s="738"/>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38"/>
      <c r="B32" s="1" t="s">
        <v>29</v>
      </c>
      <c r="C32" s="17">
        <f>Bilan_E_KP_AME_2038!G22</f>
        <v>15.048436077523924</v>
      </c>
      <c r="D32" s="86"/>
      <c r="E32" s="190">
        <f t="shared" si="3"/>
        <v>1.4191924893745043</v>
      </c>
      <c r="F32" s="86"/>
      <c r="G32" s="33">
        <f>C32-E32</f>
        <v>13.62924358814942</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Bilan_E_KP_AME_2038!F22</f>
        <v>0</v>
      </c>
      <c r="D33" s="86"/>
      <c r="E33" s="190">
        <f t="shared" si="3"/>
        <v>0</v>
      </c>
      <c r="F33" s="86"/>
      <c r="G33" s="33">
        <f t="shared" ref="G33:G34" si="4">C33-E33</f>
        <v>0</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Bilan_E_KP_AME_2038!D22</f>
        <v>0</v>
      </c>
      <c r="D34" s="88"/>
      <c r="E34" s="190">
        <f t="shared" si="3"/>
        <v>0</v>
      </c>
      <c r="F34" s="88"/>
      <c r="G34" s="33">
        <f t="shared" si="4"/>
        <v>0</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9.4308304335636903E-2</v>
      </c>
      <c r="G35" s="17"/>
      <c r="H35" s="501"/>
      <c r="I35" s="1"/>
      <c r="J35" s="1"/>
      <c r="K35" s="1"/>
      <c r="L35" s="1"/>
      <c r="M35" s="1"/>
      <c r="N35" s="1"/>
      <c r="O35" s="1"/>
      <c r="P35" s="1"/>
      <c r="Q35" s="502"/>
      <c r="R35" s="498"/>
      <c r="U35" s="33"/>
      <c r="V35" s="33"/>
      <c r="W35" s="33"/>
    </row>
    <row r="36" spans="1:26" x14ac:dyDescent="0.25">
      <c r="A36" s="739" t="s">
        <v>34</v>
      </c>
      <c r="B36" s="1" t="s">
        <v>21</v>
      </c>
      <c r="C36" s="33">
        <v>0</v>
      </c>
      <c r="D36" s="538"/>
      <c r="E36" s="17"/>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39"/>
      <c r="B37" s="1" t="s">
        <v>23</v>
      </c>
      <c r="C37" s="33">
        <f>SUM(T37:X37)</f>
        <v>113.50572884864341</v>
      </c>
      <c r="D37" s="539"/>
      <c r="E37" s="504"/>
      <c r="F37" s="539"/>
      <c r="G37" s="17">
        <f t="shared" ref="G37:G42" si="5">C37-E37</f>
        <v>113.50572884864341</v>
      </c>
      <c r="H37" s="539"/>
      <c r="I37" s="498"/>
      <c r="J37" s="37"/>
      <c r="K37" s="35"/>
      <c r="L37" s="35"/>
      <c r="M37" s="505"/>
      <c r="N37" s="35"/>
      <c r="P37" s="35"/>
      <c r="Q37" s="541"/>
      <c r="R37" s="498"/>
      <c r="S37" s="539"/>
      <c r="T37" s="506">
        <f>Bilan_E_KP_AME_2038!J38</f>
        <v>3.2225859194218685</v>
      </c>
      <c r="U37" s="93">
        <f>Bilan_E_KP_AME_2038!J34</f>
        <v>20.258622771310847</v>
      </c>
      <c r="V37" s="506">
        <f>Bilan_E_KP_AME_2038!J36</f>
        <v>86.726820353783026</v>
      </c>
      <c r="W37" s="507">
        <f>Bilan_E_KP_AME_2038!J37</f>
        <v>3.2976998041276677</v>
      </c>
      <c r="X37" s="506">
        <f>Bilan_E_KP_AME_2038!J35</f>
        <v>0</v>
      </c>
      <c r="Y37" s="489">
        <f t="shared" ref="Y37:Y47" si="6">SUM(T37:X37)</f>
        <v>113.50572884864341</v>
      </c>
      <c r="Z37" s="489">
        <f t="shared" ref="Z37:Z44" si="7">G37-Y37</f>
        <v>0</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f>SUM(G36:G41)-E55-E56-L41-L36</f>
        <v>206.76245905473863</v>
      </c>
      <c r="R38" s="498"/>
      <c r="S38" s="539"/>
      <c r="T38" s="84">
        <v>0</v>
      </c>
      <c r="U38" s="83">
        <v>0</v>
      </c>
      <c r="V38" s="84">
        <v>0</v>
      </c>
      <c r="W38" s="91">
        <v>0</v>
      </c>
      <c r="X38" s="91">
        <v>0</v>
      </c>
      <c r="Y38" s="489">
        <f t="shared" si="6"/>
        <v>0</v>
      </c>
      <c r="Z38" s="489">
        <f t="shared" si="7"/>
        <v>0</v>
      </c>
    </row>
    <row r="39" spans="1:26" x14ac:dyDescent="0.25">
      <c r="A39" s="739"/>
      <c r="B39" s="1" t="s">
        <v>35</v>
      </c>
      <c r="C39" s="33">
        <f>SUM(T39:X39)</f>
        <v>2.8372848935198816</v>
      </c>
      <c r="D39" s="539"/>
      <c r="E39" s="35"/>
      <c r="F39" s="539"/>
      <c r="G39" s="17">
        <f t="shared" si="5"/>
        <v>2.8372848935198816</v>
      </c>
      <c r="H39" s="539"/>
      <c r="I39" s="35"/>
      <c r="J39" s="37"/>
      <c r="K39" s="35"/>
      <c r="L39" s="35"/>
      <c r="M39" s="37"/>
      <c r="N39" s="35"/>
      <c r="O39" s="35"/>
      <c r="P39" s="35"/>
      <c r="Q39" s="541"/>
      <c r="R39" s="498"/>
      <c r="S39" s="539"/>
      <c r="T39" s="84">
        <f>Bilan_E_KP_AME_2038!O38</f>
        <v>7.4767074498679406E-2</v>
      </c>
      <c r="U39" s="83">
        <f>Bilan_E_KP_AME_2038!O34</f>
        <v>3.7946622282562846E-4</v>
      </c>
      <c r="V39" s="84">
        <f>Bilan_E_KP_AME_2038!O36</f>
        <v>2.0042749347218733</v>
      </c>
      <c r="W39" s="91">
        <f>Bilan_E_KP_AME_2038!O37</f>
        <v>0.75786341807650337</v>
      </c>
      <c r="X39" s="91">
        <f>Bilan_E_KP_AME_2038!O35</f>
        <v>0</v>
      </c>
      <c r="Y39" s="489">
        <f t="shared" si="6"/>
        <v>2.8372848935198816</v>
      </c>
      <c r="Z39" s="489">
        <f t="shared" si="7"/>
        <v>0</v>
      </c>
    </row>
    <row r="40" spans="1:26" x14ac:dyDescent="0.25">
      <c r="A40" s="739"/>
      <c r="B40" s="1" t="s">
        <v>36</v>
      </c>
      <c r="C40" s="33">
        <f>Bilan_E_KP_AME_2038!N12</f>
        <v>60.832905155553725</v>
      </c>
      <c r="D40" s="539"/>
      <c r="E40" s="35"/>
      <c r="F40" s="539"/>
      <c r="G40" s="17">
        <f t="shared" si="5"/>
        <v>60.832905155553725</v>
      </c>
      <c r="H40" s="539"/>
      <c r="I40" s="35"/>
      <c r="J40" s="37"/>
      <c r="K40" s="35"/>
      <c r="L40" s="35"/>
      <c r="M40" s="37"/>
      <c r="N40" s="35"/>
      <c r="O40" s="35"/>
      <c r="P40" s="35"/>
      <c r="Q40" s="541"/>
      <c r="R40" s="498"/>
      <c r="S40" s="539"/>
      <c r="T40" s="83">
        <f>Bilan_E_KP_AME_2038!N$38</f>
        <v>0</v>
      </c>
      <c r="U40" s="83">
        <f>Bilan_E_KP_AME_2038!N$34</f>
        <v>0</v>
      </c>
      <c r="V40" s="83">
        <f>Bilan_E_KP_AME_2038!N$36</f>
        <v>52.217429119397167</v>
      </c>
      <c r="W40" s="83">
        <f>Bilan_E_KP_AME_2038!N$37</f>
        <v>8.6154760361565579</v>
      </c>
      <c r="X40" s="84">
        <f>Bilan_E_KP_AME_2038!N$35</f>
        <v>0</v>
      </c>
      <c r="Y40" s="489">
        <f t="shared" si="6"/>
        <v>60.832905155553725</v>
      </c>
      <c r="Z40" s="489">
        <f t="shared" si="7"/>
        <v>0</v>
      </c>
    </row>
    <row r="41" spans="1:26" x14ac:dyDescent="0.25">
      <c r="A41" s="739"/>
      <c r="B41" s="1" t="s">
        <v>37</v>
      </c>
      <c r="C41" s="33">
        <f>Bilan_E_KP_AME_2038!L12+Bilan_E_KP_AME_2038!J26+Bilan_E_KP_AME_2038!J27-Bilan_E_KP_AME_2038!L21</f>
        <v>28.189429270151923</v>
      </c>
      <c r="D41" s="191">
        <f>SUM(C36:C47)</f>
        <v>752.91975358482841</v>
      </c>
      <c r="E41" s="38"/>
      <c r="F41" s="191">
        <f>SUM(E36:E47)</f>
        <v>28.999845531067304</v>
      </c>
      <c r="G41" s="17">
        <f t="shared" si="5"/>
        <v>28.189429270151923</v>
      </c>
      <c r="H41" s="191">
        <f>SUM(G36:G47)</f>
        <v>723.91990805376122</v>
      </c>
      <c r="I41" s="35"/>
      <c r="J41" s="37"/>
      <c r="K41" s="35"/>
      <c r="L41" s="37">
        <f>-SUM(Bilan_E_KP_AME_2038!L13:L16)</f>
        <v>-1.397110886869676</v>
      </c>
      <c r="M41" s="35"/>
      <c r="N41" s="35"/>
      <c r="O41" s="35"/>
      <c r="P41" s="35"/>
      <c r="Q41" s="541"/>
      <c r="R41" s="508">
        <f>SUM(Q36:Q47)-S41</f>
        <v>-1.2009757083433215E-3</v>
      </c>
      <c r="S41" s="191">
        <f>SUM(T36:X46)</f>
        <v>560.50295404974509</v>
      </c>
      <c r="T41" s="83">
        <f>Bilan_E_KP_AME_2038!L$38</f>
        <v>2.9019247412329854</v>
      </c>
      <c r="U41" s="83">
        <f>Bilan_E_KP_AME_2038!L$34</f>
        <v>0.898333240234375</v>
      </c>
      <c r="V41" s="83">
        <f>Bilan_E_KP_AME_2038!L$36</f>
        <v>0</v>
      </c>
      <c r="W41" s="83">
        <f>Bilan_E_KP_AME_2038!L$37</f>
        <v>0</v>
      </c>
      <c r="X41" s="84">
        <f>Bilan_E_KP_AME_2038!L$35</f>
        <v>25.787483151262677</v>
      </c>
      <c r="Y41" s="489">
        <f t="shared" si="6"/>
        <v>29.587741132730038</v>
      </c>
      <c r="Z41" s="489">
        <f>G41-Y41-L41</f>
        <v>-1.2009757084392447E-3</v>
      </c>
    </row>
    <row r="42" spans="1:26" x14ac:dyDescent="0.25">
      <c r="A42" s="739"/>
      <c r="B42" s="1" t="s">
        <v>38</v>
      </c>
      <c r="C42" s="33">
        <f>Bilan_E_KP_AME_2038!E18+Bilan_E_KP_AME_2038!F18-Bilan_E_KP_AME_2038!F21-Bilan_E_KP_AME_2038!F22-E54-SUM(T43:X43)-(Bilan_E_KP_AME_2038!E20+Bilan_E_KP_AME_2038!F20+Bilan_E_KP_AME_2038!E19+Bilan_E_KP_AME_2038!F19)</f>
        <v>295.09513961395248</v>
      </c>
      <c r="D42" s="539"/>
      <c r="E42" s="17">
        <f>Bilan_E_KP_AME_2038!F30+Bilan_E_KP_AME_2038!S25+Bilan_E_KP_AME_2038!F29+Bilan_E_KP_AME_2038!E29</f>
        <v>28.999845531067304</v>
      </c>
      <c r="F42" s="539"/>
      <c r="G42" s="17">
        <f t="shared" si="5"/>
        <v>266.09529408288518</v>
      </c>
      <c r="H42" s="539"/>
      <c r="I42" s="498"/>
      <c r="J42" s="37"/>
      <c r="K42" s="35"/>
      <c r="L42" s="35"/>
      <c r="M42" s="35"/>
      <c r="N42" s="35"/>
      <c r="O42" s="35"/>
      <c r="P42" s="35"/>
      <c r="Q42" s="36">
        <f>G42</f>
        <v>266.09529408288518</v>
      </c>
      <c r="R42" s="498"/>
      <c r="S42" s="539"/>
      <c r="T42" s="83">
        <v>0</v>
      </c>
      <c r="U42" s="83">
        <v>0</v>
      </c>
      <c r="V42" s="83">
        <v>0</v>
      </c>
      <c r="W42" s="83">
        <v>0</v>
      </c>
      <c r="X42" s="84">
        <f>Bilan_E_KP_AME_2038!F35</f>
        <v>266.09529408288529</v>
      </c>
      <c r="Y42" s="489">
        <f t="shared" si="6"/>
        <v>266.09529408288529</v>
      </c>
      <c r="Z42" s="489">
        <f>Q42-SUM(T42:X42)</f>
        <v>0</v>
      </c>
    </row>
    <row r="43" spans="1:26" x14ac:dyDescent="0.25">
      <c r="A43" s="739"/>
      <c r="B43" s="1" t="s">
        <v>39</v>
      </c>
      <c r="C43" s="33">
        <f>Bilan_E_KP_AME_2038!F41+SUM(T43:X43)</f>
        <v>191.83700564227627</v>
      </c>
      <c r="D43" s="539"/>
      <c r="E43" s="38"/>
      <c r="F43" s="539"/>
      <c r="G43" s="17">
        <f>C43-E43</f>
        <v>191.83700564227627</v>
      </c>
      <c r="H43" s="539"/>
      <c r="I43" s="35"/>
      <c r="J43" s="37"/>
      <c r="K43" s="35"/>
      <c r="L43" s="35"/>
      <c r="M43" s="35"/>
      <c r="N43" s="35"/>
      <c r="O43" s="35"/>
      <c r="P43" s="35"/>
      <c r="Q43" s="36">
        <f>G43-Bilan_E_KP_AME_2038!F41</f>
        <v>80.099812765275573</v>
      </c>
      <c r="R43" s="498"/>
      <c r="S43" s="539"/>
      <c r="T43" s="83">
        <f>Bilan_E_KP_AME_2038!F38</f>
        <v>30.218764596795413</v>
      </c>
      <c r="U43" s="83">
        <f>Bilan_E_KP_AME_2038!F34</f>
        <v>22.402619678599791</v>
      </c>
      <c r="V43" s="83">
        <f>Bilan_E_KP_AME_2038!F36</f>
        <v>20.365336948925044</v>
      </c>
      <c r="W43" s="83">
        <f>Bilan_E_KP_AME_2038!F37</f>
        <v>7.1130915409553364</v>
      </c>
      <c r="X43" s="84">
        <v>0</v>
      </c>
      <c r="Y43" s="489">
        <f t="shared" si="6"/>
        <v>80.099812765275587</v>
      </c>
      <c r="Z43" s="489">
        <f>Q43-SUM(T43:X43)</f>
        <v>0</v>
      </c>
    </row>
    <row r="44" spans="1:26" x14ac:dyDescent="0.25">
      <c r="A44" s="739"/>
      <c r="B44" s="1" t="s">
        <v>40</v>
      </c>
      <c r="C44" s="33">
        <f>SUM(T44:X44)</f>
        <v>1.7675748663376085</v>
      </c>
      <c r="D44" s="539"/>
      <c r="E44" s="38"/>
      <c r="F44" s="539"/>
      <c r="G44" s="17">
        <f t="shared" si="1"/>
        <v>1.7675748663376085</v>
      </c>
      <c r="H44" s="539"/>
      <c r="I44" s="35"/>
      <c r="J44" s="37"/>
      <c r="K44" s="35"/>
      <c r="L44" s="35"/>
      <c r="M44" s="35"/>
      <c r="N44" s="35"/>
      <c r="O44" s="35"/>
      <c r="P44" s="35"/>
      <c r="Q44" s="36">
        <f>G44-Bilan_E_KP_AME_2038!K41</f>
        <v>1.7675748663376085</v>
      </c>
      <c r="R44" s="498"/>
      <c r="S44" s="539"/>
      <c r="T44" s="83">
        <f>Bilan_E_KP_AME_2038!K$38</f>
        <v>0</v>
      </c>
      <c r="U44" s="83">
        <f>Bilan_E_KP_AME_2038!K34</f>
        <v>1.7675748663376085</v>
      </c>
      <c r="V44" s="83">
        <f>Bilan_E_KP_AME_2038!K$36</f>
        <v>0</v>
      </c>
      <c r="W44" s="83">
        <v>0</v>
      </c>
      <c r="X44" s="84">
        <f>Bilan_E_KP_AME_2038!K$35</f>
        <v>0</v>
      </c>
      <c r="Y44" s="489">
        <f t="shared" si="6"/>
        <v>1.7675748663376085</v>
      </c>
      <c r="Z44" s="489">
        <f t="shared" si="7"/>
        <v>0</v>
      </c>
    </row>
    <row r="45" spans="1:26" x14ac:dyDescent="0.25">
      <c r="A45" s="739"/>
      <c r="B45" s="1" t="s">
        <v>41</v>
      </c>
      <c r="C45" s="33">
        <f>E53</f>
        <v>11.878700409877391</v>
      </c>
      <c r="D45" s="539"/>
      <c r="E45" s="38"/>
      <c r="F45" s="539"/>
      <c r="G45" s="17">
        <f t="shared" si="1"/>
        <v>11.878700409877391</v>
      </c>
      <c r="H45" s="539"/>
      <c r="I45" s="35"/>
      <c r="J45" s="37"/>
      <c r="K45" s="35"/>
      <c r="L45" s="35"/>
      <c r="M45" s="35"/>
      <c r="N45" s="35"/>
      <c r="O45" s="35"/>
      <c r="P45" s="35"/>
      <c r="Q45" s="36">
        <f>G45-Bilan_E_KP_AME_2038!G41</f>
        <v>0</v>
      </c>
      <c r="R45" s="498"/>
      <c r="S45" s="539"/>
      <c r="T45" s="84">
        <v>0</v>
      </c>
      <c r="U45" s="83">
        <v>0</v>
      </c>
      <c r="V45" s="84">
        <v>0</v>
      </c>
      <c r="W45" s="92">
        <v>0</v>
      </c>
      <c r="X45" s="84">
        <v>0</v>
      </c>
      <c r="Y45" s="489">
        <f t="shared" si="6"/>
        <v>0</v>
      </c>
      <c r="Z45" s="489">
        <f>Q45-Y45</f>
        <v>0</v>
      </c>
    </row>
    <row r="46" spans="1:26" x14ac:dyDescent="0.25">
      <c r="A46" s="739"/>
      <c r="B46" s="1" t="s">
        <v>42</v>
      </c>
      <c r="C46" s="33">
        <f>Bilan_E_KP_AME_2038!D18-C18-C34</f>
        <v>45.545215820424701</v>
      </c>
      <c r="D46" s="539"/>
      <c r="E46" s="511"/>
      <c r="F46" s="539"/>
      <c r="G46" s="17">
        <f>C46-E46</f>
        <v>45.545215820424701</v>
      </c>
      <c r="H46" s="539"/>
      <c r="I46" s="38"/>
      <c r="J46" s="37"/>
      <c r="K46" s="35"/>
      <c r="L46" s="35"/>
      <c r="M46" s="35"/>
      <c r="N46" s="35"/>
      <c r="O46" s="35"/>
      <c r="P46" s="35"/>
      <c r="Q46" s="36">
        <f>G46-(Bilan_E_KP_AME_2038!D41+Bilan_E_KP_AME_2038!D29+Bilan_E_KP_AME_2038!D30)</f>
        <v>5.7766123047996984</v>
      </c>
      <c r="R46" s="498"/>
      <c r="S46" s="539"/>
      <c r="T46" s="506">
        <f>Bilan_E_KP_AME_2038!D38</f>
        <v>0</v>
      </c>
      <c r="U46" s="93">
        <f>Bilan_E_KP_AME_2038!D34</f>
        <v>5.7766123047996905</v>
      </c>
      <c r="V46" s="506">
        <f>Bilan_E_KP_AME_2038!D36</f>
        <v>0</v>
      </c>
      <c r="W46" s="507">
        <f>Bilan_E_KP_AME_2038!D37</f>
        <v>0</v>
      </c>
      <c r="X46" s="506">
        <f>Bilan_E_KP_AME_2038!D35</f>
        <v>0</v>
      </c>
      <c r="Y46" s="489">
        <f t="shared" si="6"/>
        <v>5.7766123047996905</v>
      </c>
      <c r="Z46" s="489">
        <f>Q46-Y46</f>
        <v>7.9936057773011271E-15</v>
      </c>
    </row>
    <row r="47" spans="1:26" x14ac:dyDescent="0.25">
      <c r="A47" s="90"/>
      <c r="B47" s="1" t="s">
        <v>31</v>
      </c>
      <c r="C47" s="33">
        <f>E57</f>
        <v>1.43076906409107</v>
      </c>
      <c r="D47" s="192"/>
      <c r="E47" s="511"/>
      <c r="F47" s="192"/>
      <c r="G47" s="17">
        <f>C47-E47</f>
        <v>1.43076906409107</v>
      </c>
      <c r="H47" s="192"/>
      <c r="I47" s="38"/>
      <c r="J47" s="37"/>
      <c r="K47" s="35"/>
      <c r="L47" s="35"/>
      <c r="M47" s="35"/>
      <c r="N47" s="35"/>
      <c r="O47" s="35"/>
      <c r="P47" s="35"/>
      <c r="Q47" s="542">
        <f>G47-Bilan_E_KP_AME_2038!R41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C5-L13-SUM(L21:L24)-L30-L41-Bilan_E_KP_AME_2038!S18</f>
        <v>0</v>
      </c>
      <c r="D49" s="1"/>
      <c r="E49" s="34">
        <f>SUM(E7:E47)+I13-Bilan_E_KP_AME_2038!S32+K13+SUM(K21:K24)+K30+Bilan_E_KP_AME_2038!D29+Bilan_E_KP_AME_2038!D30</f>
        <v>-1.1368683772161603E-13</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498.49241777711057</v>
      </c>
    </row>
    <row r="52" spans="1:19" x14ac:dyDescent="0.25">
      <c r="A52" s="21"/>
      <c r="B52" s="1" t="s">
        <v>44</v>
      </c>
      <c r="C52" s="44"/>
      <c r="D52" s="1"/>
      <c r="E52" s="39">
        <f>Bilan_E_KP_AME_2038!D41+Bilan_E_KP_AME_2038!D29+Bilan_E_KP_AME_2038!D30</f>
        <v>39.768603515625003</v>
      </c>
      <c r="F52" s="187"/>
      <c r="G52" s="1"/>
      <c r="H52" s="1"/>
      <c r="I52" s="30"/>
      <c r="J52" s="17"/>
      <c r="K52" s="17"/>
      <c r="L52" s="21"/>
      <c r="M52" s="1"/>
      <c r="N52" s="17"/>
      <c r="O52" s="17"/>
      <c r="P52" s="17"/>
      <c r="Q52" s="1"/>
      <c r="S52" s="33"/>
    </row>
    <row r="53" spans="1:19" x14ac:dyDescent="0.25">
      <c r="A53" s="21"/>
      <c r="B53" s="1" t="s">
        <v>41</v>
      </c>
      <c r="C53" s="45"/>
      <c r="D53" s="17"/>
      <c r="E53" s="433">
        <f>Bilan_E_KP_AME_2038!G41+Bilan_E_KP_AME_2038!G29</f>
        <v>11.878700409877391</v>
      </c>
      <c r="F53" s="187"/>
      <c r="G53" s="1"/>
      <c r="H53" s="1"/>
      <c r="I53" s="30"/>
      <c r="J53" s="17"/>
      <c r="K53" s="17"/>
      <c r="L53" s="21"/>
      <c r="M53" s="1"/>
      <c r="N53" s="17"/>
      <c r="O53" s="17"/>
      <c r="P53" s="17"/>
      <c r="Q53" s="1"/>
    </row>
    <row r="54" spans="1:19" x14ac:dyDescent="0.25">
      <c r="A54" s="21"/>
      <c r="B54" s="1" t="s">
        <v>39</v>
      </c>
      <c r="C54" s="45"/>
      <c r="D54" s="17"/>
      <c r="E54" s="435">
        <f>Bilan_E_KP_AME_2038!F41</f>
        <v>111.73719287700069</v>
      </c>
      <c r="F54" s="187"/>
      <c r="G54" s="1"/>
      <c r="H54" s="1"/>
      <c r="I54" s="30"/>
      <c r="J54" s="17"/>
      <c r="K54" s="17"/>
      <c r="L54" s="21"/>
      <c r="M54" s="21"/>
      <c r="N54" s="17"/>
      <c r="O54" s="17"/>
      <c r="P54" s="17"/>
      <c r="Q54" s="1"/>
    </row>
    <row r="55" spans="1:19" x14ac:dyDescent="0.25">
      <c r="B55" s="1" t="s">
        <v>21</v>
      </c>
      <c r="E55" s="434">
        <f>Bilan_E_KP_AME_2038!M41+Bilan_E_KP_AME_2038!M29</f>
        <v>0</v>
      </c>
    </row>
    <row r="56" spans="1:19" x14ac:dyDescent="0.25">
      <c r="B56" s="1" t="s">
        <v>37</v>
      </c>
      <c r="E56" s="515">
        <f>Bilan_E_KP_AME_2038!L41+Bilan_E_KP_AME_2038!L29</f>
        <v>0</v>
      </c>
    </row>
    <row r="57" spans="1:19" x14ac:dyDescent="0.25">
      <c r="B57" s="1" t="s">
        <v>31</v>
      </c>
      <c r="E57" s="515">
        <f>Bilan_E_KP_AME_2038!R41</f>
        <v>1.43076906409107</v>
      </c>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4D064-A07C-4579-B3BC-F4967FDC9F53}">
  <dimension ref="A1:Z57"/>
  <sheetViews>
    <sheetView topLeftCell="A16" workbookViewId="0">
      <selection activeCell="C27" sqref="C27"/>
    </sheetView>
  </sheetViews>
  <sheetFormatPr baseColWidth="10" defaultColWidth="11.42578125" defaultRowHeight="15" x14ac:dyDescent="0.25"/>
  <cols>
    <col min="2" max="2" width="25.85546875" customWidth="1"/>
    <col min="5" max="5" width="11.28515625" customWidth="1"/>
    <col min="17" max="17" width="15.85546875" bestFit="1"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2364.6954821727309</v>
      </c>
      <c r="D5" s="18"/>
      <c r="E5" s="20"/>
      <c r="F5" s="494"/>
      <c r="G5" s="21"/>
      <c r="H5" s="493"/>
      <c r="I5" s="21"/>
      <c r="J5" s="22"/>
      <c r="K5" s="23"/>
      <c r="L5" s="14"/>
      <c r="M5" s="14"/>
      <c r="N5" s="15"/>
      <c r="O5" s="16"/>
      <c r="P5" s="16"/>
      <c r="Q5" s="24">
        <f>Q13+Q22+Q30+Q42+Q46+Q38+Q43</f>
        <v>1362.3810824300899</v>
      </c>
      <c r="R5" s="487"/>
      <c r="S5" s="79">
        <f>SUM(S13,S22,S27:S32,S41)</f>
        <v>1364.1433253283431</v>
      </c>
      <c r="T5" s="79">
        <f>SUM(T8:T46)</f>
        <v>43.939381581557811</v>
      </c>
      <c r="U5" s="79">
        <f>SUM(U8:U46)</f>
        <v>278.84285467134782</v>
      </c>
      <c r="V5" s="79">
        <f>SUM(V8:V46)</f>
        <v>448.22774538406884</v>
      </c>
      <c r="W5" s="173">
        <f>SUM(W8:W46)</f>
        <v>225.24334564463291</v>
      </c>
      <c r="X5" s="79">
        <f>SUM(X8:X46)</f>
        <v>367.88999804673574</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f>(([12]Offre_calc!$S$81+[12]Offre_calc!$S$82+[12]Offre_calc!$S$127+[12]Offre_calc!$S$128)/([12]Offre_calc!$S$78+[12]Offre_calc!$S$124))*Bilan_E_KP_AME_2040!I$21</f>
        <v>124.97622298682195</v>
      </c>
      <c r="D7" s="516"/>
      <c r="E7" s="28">
        <v>0</v>
      </c>
      <c r="F7" s="516"/>
      <c r="G7" s="17">
        <f>C7-E7</f>
        <v>124.97622298682195</v>
      </c>
      <c r="H7" s="516"/>
      <c r="I7" s="21"/>
      <c r="J7" s="516"/>
      <c r="K7" s="523"/>
      <c r="L7" s="523"/>
      <c r="M7" s="523"/>
      <c r="N7" s="523"/>
      <c r="O7" s="523"/>
      <c r="P7" s="513"/>
      <c r="Q7" s="526"/>
      <c r="R7" s="498"/>
      <c r="S7" s="526"/>
      <c r="T7" s="523"/>
      <c r="U7" s="523"/>
      <c r="V7" s="523"/>
      <c r="W7" s="523"/>
      <c r="X7" s="523"/>
    </row>
    <row r="8" spans="1:24" x14ac:dyDescent="0.25">
      <c r="A8" s="736"/>
      <c r="B8" s="1" t="s">
        <v>18</v>
      </c>
      <c r="C8" s="486">
        <f>(([12]Offre_calc!$S$80+[12]Offre_calc!$S$126)/([12]Offre_calc!$S$78+[12]Offre_calc!$S$124))*Bilan_E_KP_AME_2040!I$21</f>
        <v>61.689185970190479</v>
      </c>
      <c r="D8" s="81"/>
      <c r="E8" s="28">
        <v>0</v>
      </c>
      <c r="F8" s="81"/>
      <c r="G8" s="17">
        <f t="shared" ref="G8:G19" si="0">C8-E8</f>
        <v>61.689185970190479</v>
      </c>
      <c r="H8" s="81"/>
      <c r="I8" s="21"/>
      <c r="J8" s="81"/>
      <c r="K8" s="524"/>
      <c r="L8" s="524"/>
      <c r="M8" s="524"/>
      <c r="N8" s="524"/>
      <c r="O8" s="524"/>
      <c r="P8" s="29"/>
      <c r="Q8" s="527"/>
      <c r="R8" s="498"/>
      <c r="S8" s="527"/>
      <c r="T8" s="524"/>
      <c r="U8" s="524"/>
      <c r="V8" s="524"/>
      <c r="W8" s="524"/>
      <c r="X8" s="524"/>
    </row>
    <row r="9" spans="1:24" x14ac:dyDescent="0.25">
      <c r="A9" s="736"/>
      <c r="B9" s="1" t="s">
        <v>19</v>
      </c>
      <c r="C9" s="486">
        <f>(([12]Offre_calc!$S$79+[12]Offre_calc!$S$125)/([12]Offre_calc!$S$78+[12]Offre_calc!$S$124))*Bilan_E_KP_AME_2040!I$21</f>
        <v>78.881254191391108</v>
      </c>
      <c r="D9" s="81"/>
      <c r="E9" s="28">
        <v>0</v>
      </c>
      <c r="F9" s="81"/>
      <c r="G9" s="17">
        <f t="shared" si="0"/>
        <v>78.881254191391108</v>
      </c>
      <c r="H9" s="81"/>
      <c r="I9" s="21"/>
      <c r="J9" s="81"/>
      <c r="K9" s="524"/>
      <c r="L9" s="524"/>
      <c r="M9" s="524"/>
      <c r="N9" s="524"/>
      <c r="O9" s="524"/>
      <c r="P9" s="29"/>
      <c r="Q9" s="527"/>
      <c r="R9" s="498"/>
      <c r="S9" s="527"/>
      <c r="T9" s="524"/>
      <c r="U9" s="524"/>
      <c r="V9" s="524"/>
      <c r="W9" s="524"/>
      <c r="X9" s="524"/>
    </row>
    <row r="10" spans="1:24" x14ac:dyDescent="0.25">
      <c r="A10" s="736"/>
      <c r="B10" s="1" t="s">
        <v>20</v>
      </c>
      <c r="C10" s="17">
        <f>Bilan_E_KP_AME_2040!H21-(Bilan_E_KP_AME_2040!P20+Bilan_E_KP_AME_2040!P19)</f>
        <v>959.09090909090924</v>
      </c>
      <c r="D10" s="81"/>
      <c r="E10" s="28">
        <f>F13-SUM(E11:E19)</f>
        <v>646.79268065795031</v>
      </c>
      <c r="F10" s="81"/>
      <c r="G10" s="17">
        <f>C10-E10</f>
        <v>312.29822843295892</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f>Bilan_E_KP_AME_2040!M21</f>
        <v>0.47316517381762646</v>
      </c>
      <c r="D11" s="81"/>
      <c r="E11" s="28">
        <f>C11*(1-[12]Offre_calc!$S$161)</f>
        <v>0.20109519887249128</v>
      </c>
      <c r="F11" s="81"/>
      <c r="G11" s="17">
        <f t="shared" si="0"/>
        <v>0.27206997494513518</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f>Bilan_E_KP_AME_2040!K21</f>
        <v>6.9984717304001904</v>
      </c>
      <c r="D12" s="81"/>
      <c r="E12" s="28">
        <f>C12*(1-[12]Offre_calc!$S$171)</f>
        <v>4.5490066247601231</v>
      </c>
      <c r="F12" s="81"/>
      <c r="G12" s="17">
        <f t="shared" si="0"/>
        <v>2.4494651056400674</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f>Bilan_E_KP_AME_2040!J21</f>
        <v>29.657322749860491</v>
      </c>
      <c r="D13" s="81">
        <f>SUM(C7:C19)</f>
        <v>1298.970777415208</v>
      </c>
      <c r="E13" s="28">
        <f>C13*(1-[12]Offre_calc!$S$170)</f>
        <v>19.277259787409317</v>
      </c>
      <c r="F13" s="81">
        <f>Bilan_E_KP_AME_2040!S21</f>
        <v>685.83173873481564</v>
      </c>
      <c r="G13" s="17">
        <f t="shared" si="0"/>
        <v>10.380062962451174</v>
      </c>
      <c r="H13" s="81">
        <f>SUM(G7:G19)</f>
        <v>613.1390386803921</v>
      </c>
      <c r="I13" s="33">
        <f>Bilan_E_KP_AME_2040!P30</f>
        <v>30.750377055945027</v>
      </c>
      <c r="J13" s="81">
        <f>H13-I13</f>
        <v>582.38866162444708</v>
      </c>
      <c r="K13" s="29">
        <f>Bilan_E_KP_AME_2040!P31</f>
        <v>44.547532005203358</v>
      </c>
      <c r="L13" s="29">
        <f>-(Bilan_E_KP_AME_2040!P14+Bilan_E_KP_AME_2040!P13)</f>
        <v>31.055970799843635</v>
      </c>
      <c r="M13" s="29">
        <f>Bilan_E_KP_AME_2040!P28</f>
        <v>0.59767950412449788</v>
      </c>
      <c r="N13" s="29"/>
      <c r="O13" s="29"/>
      <c r="P13" s="29"/>
      <c r="Q13" s="81">
        <f>J13-K13-L13-M13-N13-O13-P13</f>
        <v>506.1874793152756</v>
      </c>
      <c r="R13" s="508">
        <f>Q13-S13</f>
        <v>0</v>
      </c>
      <c r="S13" s="81">
        <f>SUM(T8:X19)</f>
        <v>506.18747931527588</v>
      </c>
      <c r="T13" s="29">
        <f>Bilan_E_KP_AME_2040!P38</f>
        <v>6.3643203530837074</v>
      </c>
      <c r="U13" s="29">
        <f>Bilan_E_KP_AME_2040!P34+Bilan_E_KP_AME_2040!P39</f>
        <v>111.80433548215856</v>
      </c>
      <c r="V13" s="29">
        <f>Bilan_E_KP_AME_2040!P36</f>
        <v>187.24843332836184</v>
      </c>
      <c r="W13" s="29">
        <f>Bilan_E_KP_AME_2040!P37</f>
        <v>138.68432478978596</v>
      </c>
      <c r="X13" s="29">
        <f>Bilan_E_KP_AME_2040!P35</f>
        <v>62.086065361885787</v>
      </c>
    </row>
    <row r="14" spans="1:24" x14ac:dyDescent="0.25">
      <c r="A14" s="736"/>
      <c r="B14" s="1" t="s">
        <v>24</v>
      </c>
      <c r="C14" s="17">
        <f>Bilan_E_KP_AME_2040!O21</f>
        <v>6.9042102843702597</v>
      </c>
      <c r="D14" s="81"/>
      <c r="E14" s="28">
        <v>0</v>
      </c>
      <c r="F14" s="81"/>
      <c r="G14" s="17">
        <f t="shared" si="0"/>
        <v>6.9042102843702597</v>
      </c>
      <c r="H14" s="81"/>
      <c r="I14" s="21"/>
      <c r="J14" s="81"/>
      <c r="K14" s="524"/>
      <c r="L14" s="524"/>
      <c r="M14" s="524"/>
      <c r="N14" s="524"/>
      <c r="O14" s="524"/>
      <c r="P14" s="29"/>
      <c r="Q14" s="527"/>
      <c r="R14" s="498"/>
      <c r="S14" s="527"/>
      <c r="T14" s="524"/>
      <c r="U14" s="524"/>
      <c r="V14" s="524"/>
      <c r="W14" s="524"/>
      <c r="X14" s="524"/>
    </row>
    <row r="15" spans="1:24" x14ac:dyDescent="0.25">
      <c r="A15" s="736"/>
      <c r="B15" s="1" t="s">
        <v>25</v>
      </c>
      <c r="C15" s="17">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36"/>
      <c r="B16" s="1" t="s">
        <v>343</v>
      </c>
      <c r="C16" s="17">
        <f>Bilan_E_KP_AME_2040!L21</f>
        <v>2.9080645507258027</v>
      </c>
      <c r="D16" s="81"/>
      <c r="E16" s="28">
        <f>C16*(1-[12]Offre_calc!$S$158)</f>
        <v>1.6285161484064496</v>
      </c>
      <c r="F16" s="81"/>
      <c r="G16" s="17">
        <f t="shared" si="0"/>
        <v>1.2795484023193531</v>
      </c>
      <c r="H16" s="81"/>
      <c r="I16" s="21"/>
      <c r="J16" s="81"/>
      <c r="K16" s="524"/>
      <c r="L16" s="524"/>
      <c r="M16" s="524"/>
      <c r="N16" s="524"/>
      <c r="O16" s="524"/>
      <c r="P16" s="29"/>
      <c r="Q16" s="527"/>
      <c r="R16" s="498"/>
      <c r="S16" s="527"/>
      <c r="T16" s="524"/>
      <c r="U16" s="524"/>
      <c r="V16" s="524"/>
      <c r="W16" s="524"/>
      <c r="X16" s="524"/>
    </row>
    <row r="17" spans="1:24" x14ac:dyDescent="0.25">
      <c r="A17" s="736"/>
      <c r="B17" s="1" t="s">
        <v>27</v>
      </c>
      <c r="C17" s="17">
        <f>Bilan_E_KP_AME_2040!F21</f>
        <v>7.5217067848259731</v>
      </c>
      <c r="D17" s="81"/>
      <c r="E17" s="28">
        <f>C17*(1-[12]Offre_calc!$S$158)</f>
        <v>4.2121557995025452</v>
      </c>
      <c r="F17" s="81"/>
      <c r="G17" s="17">
        <f t="shared" si="0"/>
        <v>3.309550985323428</v>
      </c>
      <c r="H17" s="81"/>
      <c r="I17" s="21"/>
      <c r="J17" s="81"/>
      <c r="K17" s="524"/>
      <c r="L17" s="524"/>
      <c r="M17" s="524"/>
      <c r="N17" s="524"/>
      <c r="O17" s="524"/>
      <c r="P17" s="29"/>
      <c r="Q17" s="527"/>
      <c r="R17" s="498"/>
      <c r="S17" s="527"/>
      <c r="T17" s="524"/>
      <c r="U17" s="524"/>
      <c r="V17" s="524"/>
      <c r="W17" s="524"/>
      <c r="X17" s="524"/>
    </row>
    <row r="18" spans="1:24" x14ac:dyDescent="0.25">
      <c r="A18" s="736"/>
      <c r="B18" s="1" t="s">
        <v>28</v>
      </c>
      <c r="C18" s="17">
        <f>Bilan_E_KP_AME_2040!D21</f>
        <v>2.8267856410252494</v>
      </c>
      <c r="D18" s="81"/>
      <c r="E18" s="28">
        <f>C18*(1-[12]Offre_calc!$S$157)</f>
        <v>1.9275462570448931</v>
      </c>
      <c r="F18" s="81"/>
      <c r="G18" s="17">
        <f t="shared" si="0"/>
        <v>0.8992393839803563</v>
      </c>
      <c r="H18" s="81"/>
      <c r="I18" s="21"/>
      <c r="J18" s="81"/>
      <c r="K18" s="524"/>
      <c r="L18" s="524"/>
      <c r="M18" s="524"/>
      <c r="N18" s="524"/>
      <c r="O18" s="524"/>
      <c r="P18" s="29"/>
      <c r="Q18" s="527"/>
      <c r="R18" s="498"/>
      <c r="S18" s="527"/>
      <c r="T18" s="524"/>
      <c r="U18" s="524"/>
      <c r="V18" s="524"/>
      <c r="W18" s="524"/>
      <c r="X18" s="524"/>
    </row>
    <row r="19" spans="1:24" x14ac:dyDescent="0.25">
      <c r="A19" s="736"/>
      <c r="B19" s="1" t="s">
        <v>260</v>
      </c>
      <c r="C19" s="17">
        <f>Bilan_E_KP_AME_2040!G21+Bilan_E_KP_AME_2040!R21</f>
        <v>17.043478260869566</v>
      </c>
      <c r="D19" s="82"/>
      <c r="E19" s="28">
        <f>C19*(1-[12]Offre_calc!$S$160)</f>
        <v>7.2434782608695665</v>
      </c>
      <c r="F19" s="82"/>
      <c r="G19" s="17">
        <f t="shared" si="0"/>
        <v>9.8000000000000007</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0.32561900594905663</v>
      </c>
      <c r="H20" s="499"/>
      <c r="I20" s="17"/>
      <c r="J20" s="1"/>
      <c r="K20" s="17"/>
      <c r="L20" s="1"/>
      <c r="M20" s="1"/>
      <c r="N20" s="1"/>
      <c r="O20" s="1"/>
      <c r="P20" s="1"/>
      <c r="Q20" s="499"/>
      <c r="R20" s="498"/>
      <c r="S20" s="408"/>
      <c r="T20" s="495"/>
      <c r="U20" s="408"/>
      <c r="V20" s="495"/>
      <c r="W20" s="408"/>
      <c r="X20" s="495"/>
    </row>
    <row r="21" spans="1:24" x14ac:dyDescent="0.25">
      <c r="A21" s="737" t="s">
        <v>13</v>
      </c>
      <c r="B21" s="1" t="s">
        <v>21</v>
      </c>
      <c r="C21" s="17">
        <f>Bilan_E_KP_AME_2040!J23+Bilan_E_KP_AME_2040!M12</f>
        <v>7.3420221843750157</v>
      </c>
      <c r="D21" s="529"/>
      <c r="E21" s="33">
        <f>Bilan_E_KP_AME_2040!S23+Bilan_E_KP_AME_2040!M30</f>
        <v>0.73197967978929057</v>
      </c>
      <c r="F21" s="529"/>
      <c r="G21" s="17">
        <f t="shared" ref="G21:G45" si="1">C21-E21</f>
        <v>6.6100425045857252</v>
      </c>
      <c r="H21" s="529"/>
      <c r="I21" s="17"/>
      <c r="J21" s="529"/>
      <c r="K21" s="545">
        <f>Bilan_E_KP_AME_2040!M31</f>
        <v>7.7727852789708229E-2</v>
      </c>
      <c r="L21" s="545">
        <f>-(Bilan_E_KP_AME_2040!M13+Bilan_E_KP_AME_2040!M14+Bilan_E_KP_AME_2040!M15+Bilan_E_KP_AME_2040!M16)</f>
        <v>0</v>
      </c>
      <c r="M21" s="545">
        <f>Bilan_E_KP_AME_2040!M28</f>
        <v>0.10410723133985722</v>
      </c>
      <c r="N21" s="545">
        <f>Bilan_E_KP_AME_2040!M22</f>
        <v>0.32007470171399477</v>
      </c>
      <c r="O21" s="545">
        <f>Bilan_E_KP_AME_2040!M21</f>
        <v>0.47316517381762646</v>
      </c>
      <c r="P21" s="529"/>
      <c r="Q21" s="529"/>
      <c r="R21" s="498"/>
      <c r="S21" s="529"/>
      <c r="T21" s="529"/>
      <c r="U21" s="529"/>
      <c r="V21" s="529"/>
      <c r="W21" s="529"/>
      <c r="X21" s="529"/>
    </row>
    <row r="22" spans="1:24" x14ac:dyDescent="0.25">
      <c r="A22" s="737"/>
      <c r="B22" s="1" t="s">
        <v>30</v>
      </c>
      <c r="C22" s="17"/>
      <c r="D22" s="85">
        <f>SUM(C21:C24)</f>
        <v>332.58735010538044</v>
      </c>
      <c r="E22" s="497"/>
      <c r="F22" s="85">
        <f>SUM(E21:E24)</f>
        <v>7.566657267599517</v>
      </c>
      <c r="G22" s="17"/>
      <c r="H22" s="85">
        <f>SUM(G21:G24)</f>
        <v>325.02069283778093</v>
      </c>
      <c r="I22" s="408"/>
      <c r="J22" s="85">
        <f>H22-I22</f>
        <v>325.02069283778093</v>
      </c>
      <c r="K22" s="32"/>
      <c r="L22" s="32"/>
      <c r="M22" s="32"/>
      <c r="N22" s="32"/>
      <c r="O22" s="32"/>
      <c r="P22" s="32"/>
      <c r="Q22" s="85">
        <f>J22-SUM(K21:P24)</f>
        <v>283.11875600643066</v>
      </c>
      <c r="R22" s="508">
        <f>Q22-S22</f>
        <v>-2.5138060257631878E-2</v>
      </c>
      <c r="S22" s="85">
        <f>SUM(T22:X24)</f>
        <v>283.14389406668829</v>
      </c>
      <c r="T22" s="32">
        <f>Bilan_E_KP_AME_2040!G38+Bilan_E_KP_AME_2040!R38+Bilan_E_KP_AME_2040!M$38</f>
        <v>1.3434836260904512</v>
      </c>
      <c r="U22" s="32">
        <f>Bilan_E_KP_AME_2040!G34+Bilan_E_KP_AME_2040!R34+Bilan_E_KP_AME_2040!M$34</f>
        <v>100.27567229981769</v>
      </c>
      <c r="V22" s="32">
        <f>Bilan_E_KP_AME_2040!G36+Bilan_E_KP_AME_2040!R36+Bilan_E_KP_AME_2040!M$36</f>
        <v>84.522095564657249</v>
      </c>
      <c r="W22" s="32">
        <f>Bilan_E_KP_AME_2040!G37+Bilan_E_KP_AME_2040!K37+Bilan_E_KP_AME_2040!R37+Bilan_E_KP_AME_2040!M$37</f>
        <v>64.55833796318565</v>
      </c>
      <c r="X22" s="32">
        <f>Bilan_E_KP_AME_2040!G35+Bilan_E_KP_AME_2040!R35+Bilan_E_KP_AME_2040!M$35</f>
        <v>32.444304612937295</v>
      </c>
    </row>
    <row r="23" spans="1:24" x14ac:dyDescent="0.25">
      <c r="A23" s="737"/>
      <c r="B23" s="1" t="s">
        <v>31</v>
      </c>
      <c r="C23" s="17">
        <f>SUM(Bilan_E_KP_AME_2040!D28:Q28)-C47</f>
        <v>4.0479309096677776</v>
      </c>
      <c r="D23" s="530"/>
      <c r="E23" s="33">
        <f>Bilan_E_KP_AME_2040!S28+Bilan_E_KP_AME_2040!S27</f>
        <v>1.7674236764824451</v>
      </c>
      <c r="F23" s="532"/>
      <c r="G23" s="17">
        <f t="shared" si="1"/>
        <v>2.2805072331853324</v>
      </c>
      <c r="H23" s="532"/>
      <c r="I23" s="17"/>
      <c r="J23" s="532"/>
      <c r="K23" s="534">
        <f>Bilan_E_KP_AME_2040!R31</f>
        <v>0</v>
      </c>
      <c r="L23" s="534">
        <f>-(Bilan_E_KP_AME_2040!R13+Bilan_E_KP_AME_2040!R14+Bilan_E_KP_AME_2040!R15+Bilan_E_KP_AME_2040!R16)</f>
        <v>0</v>
      </c>
      <c r="M23" s="534"/>
      <c r="N23" s="534">
        <f>Bilan_E_KP_AME_2040!R22</f>
        <v>0</v>
      </c>
      <c r="O23" s="534">
        <f>Bilan_E_KP_AME_2040!R21</f>
        <v>0</v>
      </c>
      <c r="P23" s="534">
        <f>-Bilan_E_KP_AME_2040!L27</f>
        <v>0</v>
      </c>
      <c r="Q23" s="532"/>
      <c r="S23" s="532"/>
      <c r="T23" s="536"/>
      <c r="U23" s="536"/>
      <c r="V23" s="536"/>
      <c r="W23" s="536"/>
      <c r="X23" s="536"/>
    </row>
    <row r="24" spans="1:24" x14ac:dyDescent="0.25">
      <c r="A24" s="737"/>
      <c r="B24" s="1" t="s">
        <v>32</v>
      </c>
      <c r="C24" s="17">
        <f>Bilan_E_KP_AME_2040!G18-C45-(Bilan_E_KP_AME_2040!G20+Bilan_E_KP_AME_2040!G19)</f>
        <v>321.19739701133767</v>
      </c>
      <c r="D24" s="531"/>
      <c r="E24" s="33">
        <f>Bilan_E_KP_AME_2040!G30</f>
        <v>5.0672539113277812</v>
      </c>
      <c r="F24" s="533"/>
      <c r="G24" s="17">
        <f t="shared" si="1"/>
        <v>316.13014310000989</v>
      </c>
      <c r="H24" s="533"/>
      <c r="I24" s="34"/>
      <c r="J24" s="533"/>
      <c r="K24" s="535">
        <f>Bilan_E_KP_AME_2040!G31</f>
        <v>3.8086647866957031</v>
      </c>
      <c r="L24" s="535"/>
      <c r="M24" s="535">
        <f>Bilan_E_KP_AME_2040!G28</f>
        <v>5.1012543356530031</v>
      </c>
      <c r="N24" s="535">
        <f>Bilan_E_KP_AME_2040!G22</f>
        <v>14.973464488470796</v>
      </c>
      <c r="O24" s="535">
        <f>Bilan_E_KP_AME_2040!G21</f>
        <v>17.043478260869566</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38" t="s">
        <v>14</v>
      </c>
      <c r="B26" s="1" t="s">
        <v>21</v>
      </c>
      <c r="C26" s="17">
        <f>Bilan_E_KP_AME_2040!M22</f>
        <v>0.32007470171399477</v>
      </c>
      <c r="D26" s="512"/>
      <c r="E26" s="190">
        <f>C26*F$35</f>
        <v>2.967821235581676E-2</v>
      </c>
      <c r="F26" s="512"/>
      <c r="G26" s="33">
        <f t="shared" ref="G26:G31" si="2">C26-E26</f>
        <v>0.29039648935817802</v>
      </c>
      <c r="H26" s="512"/>
      <c r="I26" s="1"/>
      <c r="J26" s="512"/>
      <c r="K26" s="512"/>
      <c r="L26" s="512"/>
      <c r="M26" s="512"/>
      <c r="N26" s="512"/>
      <c r="O26" s="512"/>
      <c r="P26" s="512"/>
      <c r="Q26" s="512"/>
      <c r="R26" s="498"/>
      <c r="S26" s="512"/>
      <c r="T26" s="512"/>
      <c r="U26" s="512"/>
      <c r="V26" s="512"/>
      <c r="W26" s="512"/>
      <c r="X26" s="512"/>
    </row>
    <row r="27" spans="1:24" x14ac:dyDescent="0.25">
      <c r="A27" s="738"/>
      <c r="B27" s="1" t="s">
        <v>22</v>
      </c>
      <c r="C27" s="17">
        <f>Bilan_E_KP_AME_2040!K18-Bilan_E_KP_AME_2040!K21-Bilan_E_KP_AME_2040!K34-(Bilan_E_KP_AME_2040!Q20+Bilan_E_KP_AME_2040!Q19+Bilan_E_KP_AME_2040!K20+Bilan_E_KP_AME_2040!K19)</f>
        <v>12.076614459785906</v>
      </c>
      <c r="D27" s="87"/>
      <c r="E27" s="190">
        <f t="shared" ref="E27:E34" si="3">C27*F$35</f>
        <v>1.1197771225203408</v>
      </c>
      <c r="F27" s="87"/>
      <c r="G27" s="33">
        <f t="shared" si="2"/>
        <v>10.956837337265565</v>
      </c>
      <c r="H27" s="87"/>
      <c r="I27" s="500"/>
      <c r="J27" s="87"/>
      <c r="K27" s="87"/>
      <c r="L27" s="87"/>
      <c r="M27" s="87"/>
      <c r="N27" s="87"/>
      <c r="O27" s="87"/>
      <c r="P27" s="87"/>
      <c r="Q27" s="87"/>
      <c r="R27" s="498"/>
      <c r="S27" s="87"/>
      <c r="T27" s="87"/>
      <c r="U27" s="87"/>
      <c r="V27" s="87"/>
      <c r="W27" s="87"/>
      <c r="X27" s="87"/>
    </row>
    <row r="28" spans="1:24" x14ac:dyDescent="0.25">
      <c r="A28" s="738"/>
      <c r="B28" s="1" t="s">
        <v>26</v>
      </c>
      <c r="C28" s="17"/>
      <c r="D28" s="87"/>
      <c r="E28" s="190">
        <f t="shared" si="3"/>
        <v>0</v>
      </c>
      <c r="F28" s="87"/>
      <c r="G28" s="33">
        <f>C28-E28</f>
        <v>0</v>
      </c>
      <c r="H28" s="87"/>
      <c r="I28" s="1"/>
      <c r="J28" s="87"/>
      <c r="K28" s="87"/>
      <c r="L28" s="87"/>
      <c r="M28" s="87"/>
      <c r="N28" s="87"/>
      <c r="O28" s="87"/>
      <c r="P28" s="87"/>
      <c r="Q28" s="87"/>
      <c r="R28" s="498"/>
      <c r="S28" s="87"/>
      <c r="T28" s="87"/>
      <c r="U28" s="87"/>
      <c r="V28" s="87"/>
      <c r="W28" s="87"/>
      <c r="X28" s="87"/>
    </row>
    <row r="29" spans="1:24" x14ac:dyDescent="0.25">
      <c r="A29" s="738"/>
      <c r="B29" s="1" t="s">
        <v>23</v>
      </c>
      <c r="C29" s="17">
        <f>Bilan_E_KP_AME_2040!J22</f>
        <v>12.61885930635281</v>
      </c>
      <c r="D29" s="87"/>
      <c r="E29" s="190">
        <f t="shared" si="3"/>
        <v>1.1700555657058935</v>
      </c>
      <c r="F29" s="87"/>
      <c r="G29" s="33">
        <f t="shared" si="2"/>
        <v>11.448803740646916</v>
      </c>
      <c r="H29" s="87"/>
      <c r="I29" s="1"/>
      <c r="J29" s="87"/>
      <c r="K29" s="87"/>
      <c r="L29" s="87"/>
      <c r="M29" s="87"/>
      <c r="N29" s="87"/>
      <c r="O29" s="87"/>
      <c r="P29" s="87"/>
      <c r="Q29" s="87"/>
      <c r="R29" s="498"/>
      <c r="S29" s="87"/>
      <c r="T29" s="87"/>
      <c r="U29" s="87"/>
      <c r="V29" s="87"/>
      <c r="W29" s="87"/>
      <c r="X29" s="87"/>
    </row>
    <row r="30" spans="1:24" x14ac:dyDescent="0.25">
      <c r="A30" s="738"/>
      <c r="B30" s="1" t="s">
        <v>24</v>
      </c>
      <c r="C30" s="17">
        <f>Bilan_E_KP_AME_2040!O22</f>
        <v>2.1221335576886813</v>
      </c>
      <c r="D30" s="86">
        <f>SUM(C26:C34)</f>
        <v>42.111146514012191</v>
      </c>
      <c r="E30" s="190">
        <f t="shared" si="3"/>
        <v>0.19677009784036878</v>
      </c>
      <c r="F30" s="86">
        <f>Bilan_E_KP_AME_2040!S22</f>
        <v>3.9046620745007217</v>
      </c>
      <c r="G30" s="33">
        <f t="shared" si="2"/>
        <v>1.9253634598483125</v>
      </c>
      <c r="H30" s="86">
        <f>SUM(G26:G34)</f>
        <v>38.206484439511463</v>
      </c>
      <c r="I30" s="1"/>
      <c r="J30" s="86">
        <f>H30</f>
        <v>38.206484439511463</v>
      </c>
      <c r="K30" s="87">
        <f>Bilan_E_KP_AME_2040!Q31</f>
        <v>2.958822517532107</v>
      </c>
      <c r="L30" s="87"/>
      <c r="M30" s="87">
        <f>Bilan_E_KP_AME_2040!K28</f>
        <v>5.8487208617897309E-2</v>
      </c>
      <c r="N30" s="87"/>
      <c r="O30" s="87"/>
      <c r="P30" s="87"/>
      <c r="Q30" s="86">
        <f>J30-K30-L30-M30-N30-O30-P30</f>
        <v>35.18917471336146</v>
      </c>
      <c r="R30" s="508">
        <f>Q30-S30</f>
        <v>2.513806025767451E-2</v>
      </c>
      <c r="S30" s="86">
        <f>SUM(T27:X34)</f>
        <v>35.164036653103786</v>
      </c>
      <c r="T30" s="87">
        <f>Bilan_E_KP_AME_2040!Q$38</f>
        <v>0</v>
      </c>
      <c r="U30" s="87">
        <f>Bilan_E_KP_AME_2040!Q$34</f>
        <v>16.083775404791947</v>
      </c>
      <c r="V30" s="87">
        <f>Bilan_E_KP_AME_2040!Q$36</f>
        <v>15.504434202631401</v>
      </c>
      <c r="W30" s="87">
        <f>Bilan_E_KP_AME_2040!Q$37</f>
        <v>3.5758270456804375</v>
      </c>
      <c r="X30" s="87">
        <f>Bilan_E_KP_AME_2040!Q$35</f>
        <v>0</v>
      </c>
    </row>
    <row r="31" spans="1:24" x14ac:dyDescent="0.25">
      <c r="A31" s="738"/>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38"/>
      <c r="B32" s="1" t="s">
        <v>29</v>
      </c>
      <c r="C32" s="17">
        <f>Bilan_E_KP_AME_2040!G22</f>
        <v>14.973464488470796</v>
      </c>
      <c r="D32" s="86"/>
      <c r="E32" s="190">
        <f t="shared" si="3"/>
        <v>1.3883810760783015</v>
      </c>
      <c r="F32" s="86"/>
      <c r="G32" s="33">
        <f>C32-E32</f>
        <v>13.585083412392494</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Bilan_E_KP_AME_2040!F22</f>
        <v>0</v>
      </c>
      <c r="D33" s="86"/>
      <c r="E33" s="190">
        <f t="shared" si="3"/>
        <v>0</v>
      </c>
      <c r="F33" s="86"/>
      <c r="G33" s="33">
        <f t="shared" ref="G33:G34" si="4">C33-E33</f>
        <v>0</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Bilan_E_KP_AME_2040!D22</f>
        <v>0</v>
      </c>
      <c r="D34" s="88"/>
      <c r="E34" s="190">
        <f t="shared" si="3"/>
        <v>0</v>
      </c>
      <c r="F34" s="88"/>
      <c r="G34" s="33">
        <f t="shared" si="4"/>
        <v>0</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9.2722768144093928E-2</v>
      </c>
      <c r="G35" s="17"/>
      <c r="H35" s="501"/>
      <c r="I35" s="1"/>
      <c r="J35" s="1"/>
      <c r="K35" s="1"/>
      <c r="L35" s="1"/>
      <c r="M35" s="1"/>
      <c r="N35" s="1"/>
      <c r="O35" s="1"/>
      <c r="P35" s="1"/>
      <c r="Q35" s="502"/>
      <c r="R35" s="498"/>
      <c r="U35" s="33"/>
      <c r="V35" s="33"/>
      <c r="W35" s="33"/>
    </row>
    <row r="36" spans="1:26" x14ac:dyDescent="0.25">
      <c r="A36" s="739" t="s">
        <v>34</v>
      </c>
      <c r="B36" s="1" t="s">
        <v>21</v>
      </c>
      <c r="C36" s="33">
        <v>0</v>
      </c>
      <c r="D36" s="538"/>
      <c r="E36" s="17"/>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39"/>
      <c r="B37" s="1" t="s">
        <v>23</v>
      </c>
      <c r="C37" s="33">
        <f>SUM(T37:X37)</f>
        <v>114.6393068570419</v>
      </c>
      <c r="D37" s="539"/>
      <c r="E37" s="504"/>
      <c r="F37" s="539"/>
      <c r="G37" s="17">
        <f t="shared" ref="G37:G42" si="5">C37-E37</f>
        <v>114.6393068570419</v>
      </c>
      <c r="H37" s="539"/>
      <c r="I37" s="498"/>
      <c r="J37" s="37"/>
      <c r="K37" s="35"/>
      <c r="L37" s="35"/>
      <c r="M37" s="505"/>
      <c r="N37" s="35"/>
      <c r="P37" s="35"/>
      <c r="Q37" s="541"/>
      <c r="R37" s="498"/>
      <c r="S37" s="539"/>
      <c r="T37" s="506">
        <f>Bilan_E_KP_AME_2040!J38</f>
        <v>3.6844952632387193</v>
      </c>
      <c r="U37" s="93">
        <f>Bilan_E_KP_AME_2040!J34</f>
        <v>20.699069714826329</v>
      </c>
      <c r="V37" s="506">
        <f>Bilan_E_KP_AME_2040!J36</f>
        <v>87.012401530952616</v>
      </c>
      <c r="W37" s="507">
        <f>Bilan_E_KP_AME_2040!J37</f>
        <v>3.243340348024236</v>
      </c>
      <c r="X37" s="506">
        <f>Bilan_E_KP_AME_2040!J35</f>
        <v>0</v>
      </c>
      <c r="Y37" s="489">
        <f t="shared" ref="Y37:Y47" si="6">SUM(T37:X37)</f>
        <v>114.6393068570419</v>
      </c>
      <c r="Z37" s="489">
        <f t="shared" ref="Z37:Z44" si="7">G37-Y37</f>
        <v>0</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f>SUM(G36:G41)-E55-E56-L41-L36</f>
        <v>208.41723499559396</v>
      </c>
      <c r="R38" s="498"/>
      <c r="S38" s="539"/>
      <c r="T38" s="84">
        <v>0</v>
      </c>
      <c r="U38" s="83">
        <v>0</v>
      </c>
      <c r="V38" s="84">
        <v>0</v>
      </c>
      <c r="W38" s="91">
        <v>0</v>
      </c>
      <c r="X38" s="91">
        <v>0</v>
      </c>
      <c r="Y38" s="489">
        <f t="shared" si="6"/>
        <v>0</v>
      </c>
      <c r="Z38" s="489">
        <f t="shared" si="7"/>
        <v>0</v>
      </c>
    </row>
    <row r="39" spans="1:26" x14ac:dyDescent="0.25">
      <c r="A39" s="739"/>
      <c r="B39" s="1" t="s">
        <v>35</v>
      </c>
      <c r="C39" s="33">
        <f>SUM(T39:X39)</f>
        <v>2.8391181780509847</v>
      </c>
      <c r="D39" s="539"/>
      <c r="E39" s="35"/>
      <c r="F39" s="539"/>
      <c r="G39" s="17">
        <f t="shared" si="5"/>
        <v>2.8391181780509847</v>
      </c>
      <c r="H39" s="539"/>
      <c r="I39" s="35"/>
      <c r="J39" s="37"/>
      <c r="K39" s="35"/>
      <c r="L39" s="35"/>
      <c r="M39" s="37"/>
      <c r="N39" s="35"/>
      <c r="O39" s="35"/>
      <c r="P39" s="35"/>
      <c r="Q39" s="541"/>
      <c r="R39" s="498"/>
      <c r="S39" s="539"/>
      <c r="T39" s="84">
        <f>Bilan_E_KP_AME_2040!O38</f>
        <v>7.2392521047915395E-2</v>
      </c>
      <c r="U39" s="83">
        <f>Bilan_E_KP_AME_2040!O34</f>
        <v>3.7866244598879411E-4</v>
      </c>
      <c r="V39" s="84">
        <f>Bilan_E_KP_AME_2040!O36</f>
        <v>2.0231633432731213</v>
      </c>
      <c r="W39" s="91">
        <f>Bilan_E_KP_AME_2040!O37</f>
        <v>0.74318365128395913</v>
      </c>
      <c r="X39" s="91">
        <f>Bilan_E_KP_AME_2040!O35</f>
        <v>0</v>
      </c>
      <c r="Y39" s="489">
        <f t="shared" si="6"/>
        <v>2.8391181780509847</v>
      </c>
      <c r="Z39" s="489">
        <f t="shared" si="7"/>
        <v>0</v>
      </c>
    </row>
    <row r="40" spans="1:26" x14ac:dyDescent="0.25">
      <c r="A40" s="739"/>
      <c r="B40" s="1" t="s">
        <v>36</v>
      </c>
      <c r="C40" s="33">
        <f>Bilan_E_KP_AME_2040!N12</f>
        <v>62.897832024028709</v>
      </c>
      <c r="D40" s="539"/>
      <c r="E40" s="35"/>
      <c r="F40" s="539"/>
      <c r="G40" s="17">
        <f t="shared" si="5"/>
        <v>62.897832024028709</v>
      </c>
      <c r="H40" s="539"/>
      <c r="I40" s="35"/>
      <c r="J40" s="37"/>
      <c r="K40" s="35"/>
      <c r="L40" s="35"/>
      <c r="M40" s="37"/>
      <c r="N40" s="35"/>
      <c r="O40" s="35"/>
      <c r="P40" s="35"/>
      <c r="Q40" s="541"/>
      <c r="R40" s="498"/>
      <c r="S40" s="539"/>
      <c r="T40" s="83">
        <f>Bilan_E_KP_AME_2040!N$38</f>
        <v>0</v>
      </c>
      <c r="U40" s="83">
        <f>Bilan_E_KP_AME_2040!N$34</f>
        <v>0</v>
      </c>
      <c r="V40" s="83">
        <f>Bilan_E_KP_AME_2040!N$36</f>
        <v>54.219025663639314</v>
      </c>
      <c r="W40" s="83">
        <f>Bilan_E_KP_AME_2040!N$37</f>
        <v>8.6788063603893928</v>
      </c>
      <c r="X40" s="84">
        <f>Bilan_E_KP_AME_2040!N$35</f>
        <v>0</v>
      </c>
      <c r="Y40" s="489">
        <f t="shared" si="6"/>
        <v>62.897832024028709</v>
      </c>
      <c r="Z40" s="489">
        <f t="shared" si="7"/>
        <v>0</v>
      </c>
    </row>
    <row r="41" spans="1:26" x14ac:dyDescent="0.25">
      <c r="A41" s="739"/>
      <c r="B41" s="1" t="s">
        <v>37</v>
      </c>
      <c r="C41" s="33">
        <f>Bilan_E_KP_AME_2040!L12+Bilan_E_KP_AME_2040!J26+Bilan_E_KP_AME_2040!J27-Bilan_E_KP_AME_2040!L21</f>
        <v>26.520712211985533</v>
      </c>
      <c r="D41" s="191">
        <f>SUM(C36:C47)</f>
        <v>729.69791904273768</v>
      </c>
      <c r="E41" s="38"/>
      <c r="F41" s="191">
        <f>SUM(E36:E47)</f>
        <v>28.553653741700561</v>
      </c>
      <c r="G41" s="17">
        <f t="shared" si="5"/>
        <v>26.520712211985533</v>
      </c>
      <c r="H41" s="191">
        <f>SUM(G36:G47)</f>
        <v>701.14426530103708</v>
      </c>
      <c r="I41" s="35"/>
      <c r="J41" s="37"/>
      <c r="K41" s="35"/>
      <c r="L41" s="37">
        <f>-SUM(Bilan_E_KP_AME_2040!L13:L16)</f>
        <v>-1.5202657244868087</v>
      </c>
      <c r="M41" s="35"/>
      <c r="N41" s="35"/>
      <c r="O41" s="35"/>
      <c r="P41" s="35"/>
      <c r="Q41" s="541"/>
      <c r="R41" s="508">
        <f>SUM(Q36:Q47)-S41</f>
        <v>-1.365467082109717E-3</v>
      </c>
      <c r="S41" s="191">
        <f>SUM(T36:X46)</f>
        <v>539.64791529327499</v>
      </c>
      <c r="T41" s="83">
        <f>Bilan_E_KP_AME_2040!L$38</f>
        <v>3.0029030850571363</v>
      </c>
      <c r="U41" s="83">
        <f>Bilan_E_KP_AME_2040!L$34</f>
        <v>0.9136629082031249</v>
      </c>
      <c r="V41" s="83">
        <f>Bilan_E_KP_AME_2040!L$36</f>
        <v>0</v>
      </c>
      <c r="W41" s="83">
        <f>Bilan_E_KP_AME_2040!L$37</f>
        <v>0</v>
      </c>
      <c r="X41" s="84">
        <f>Bilan_E_KP_AME_2040!L$35</f>
        <v>24.125777410294155</v>
      </c>
      <c r="Y41" s="489">
        <f t="shared" si="6"/>
        <v>28.042343403554415</v>
      </c>
      <c r="Z41" s="489">
        <f>G41-Y41-L41</f>
        <v>-1.3654670820739678E-3</v>
      </c>
    </row>
    <row r="42" spans="1:26" x14ac:dyDescent="0.25">
      <c r="A42" s="739"/>
      <c r="B42" s="1" t="s">
        <v>38</v>
      </c>
      <c r="C42" s="33">
        <f>Bilan_E_KP_AME_2040!E18+Bilan_E_KP_AME_2040!F18-Bilan_E_KP_AME_2040!F21-Bilan_E_KP_AME_2040!F22-E54-SUM(T43:X43)-(Bilan_E_KP_AME_2040!E20+Bilan_E_KP_AME_2040!F20+Bilan_E_KP_AME_2040!E19+Bilan_E_KP_AME_2040!F19)</f>
        <v>277.78750440331896</v>
      </c>
      <c r="D42" s="539"/>
      <c r="E42" s="17">
        <f>Bilan_E_KP_AME_2040!F30+Bilan_E_KP_AME_2040!S25+Bilan_E_KP_AME_2040!F29+Bilan_E_KP_AME_2040!E29</f>
        <v>28.553653741700561</v>
      </c>
      <c r="F42" s="539"/>
      <c r="G42" s="17">
        <f t="shared" si="5"/>
        <v>249.23385066161839</v>
      </c>
      <c r="H42" s="539"/>
      <c r="I42" s="498"/>
      <c r="J42" s="37"/>
      <c r="K42" s="35"/>
      <c r="L42" s="35"/>
      <c r="M42" s="35"/>
      <c r="N42" s="35"/>
      <c r="O42" s="35"/>
      <c r="P42" s="35"/>
      <c r="Q42" s="36">
        <f>G42</f>
        <v>249.23385066161839</v>
      </c>
      <c r="R42" s="498"/>
      <c r="S42" s="539"/>
      <c r="T42" s="83">
        <v>0</v>
      </c>
      <c r="U42" s="83">
        <v>0</v>
      </c>
      <c r="V42" s="83">
        <v>0</v>
      </c>
      <c r="W42" s="83">
        <v>0</v>
      </c>
      <c r="X42" s="84">
        <f>Bilan_E_KP_AME_2040!F35</f>
        <v>249.23385066161848</v>
      </c>
      <c r="Y42" s="489">
        <f t="shared" si="6"/>
        <v>249.23385066161848</v>
      </c>
      <c r="Z42" s="489">
        <f>Q42-SUM(T42:X42)</f>
        <v>0</v>
      </c>
    </row>
    <row r="43" spans="1:26" x14ac:dyDescent="0.25">
      <c r="A43" s="739"/>
      <c r="B43" s="1" t="s">
        <v>39</v>
      </c>
      <c r="C43" s="33">
        <f>Bilan_E_KP_AME_2040!F41+SUM(T43:X43)</f>
        <v>184.4619399087608</v>
      </c>
      <c r="D43" s="539"/>
      <c r="E43" s="38"/>
      <c r="F43" s="539"/>
      <c r="G43" s="17">
        <f>C43-E43</f>
        <v>184.4619399087608</v>
      </c>
      <c r="H43" s="539"/>
      <c r="I43" s="35"/>
      <c r="J43" s="37"/>
      <c r="K43" s="35"/>
      <c r="L43" s="35"/>
      <c r="M43" s="35"/>
      <c r="N43" s="35"/>
      <c r="O43" s="35"/>
      <c r="P43" s="35"/>
      <c r="Q43" s="36">
        <f>G43-Bilan_E_KP_AME_2040!F41</f>
        <v>74.768856912035488</v>
      </c>
      <c r="R43" s="498"/>
      <c r="S43" s="539"/>
      <c r="T43" s="83">
        <f>Bilan_E_KP_AME_2040!F38</f>
        <v>29.471786733039881</v>
      </c>
      <c r="U43" s="83">
        <f>Bilan_E_KP_AME_2040!F34</f>
        <v>21.83935294215906</v>
      </c>
      <c r="V43" s="83">
        <f>Bilan_E_KP_AME_2040!F36</f>
        <v>17.698191750553285</v>
      </c>
      <c r="W43" s="83">
        <f>Bilan_E_KP_AME_2040!F37</f>
        <v>5.759525486283259</v>
      </c>
      <c r="X43" s="84">
        <v>0</v>
      </c>
      <c r="Y43" s="489">
        <f t="shared" si="6"/>
        <v>74.768856912035488</v>
      </c>
      <c r="Z43" s="489">
        <f>Q43-SUM(T43:X43)</f>
        <v>0</v>
      </c>
    </row>
    <row r="44" spans="1:26" x14ac:dyDescent="0.25">
      <c r="A44" s="739"/>
      <c r="B44" s="1" t="s">
        <v>40</v>
      </c>
      <c r="C44" s="33">
        <f>SUM(T44:X44)</f>
        <v>1.7608774311708451</v>
      </c>
      <c r="D44" s="539"/>
      <c r="E44" s="38"/>
      <c r="F44" s="539"/>
      <c r="G44" s="17">
        <f t="shared" si="1"/>
        <v>1.7608774311708451</v>
      </c>
      <c r="H44" s="539"/>
      <c r="I44" s="35"/>
      <c r="J44" s="37"/>
      <c r="K44" s="35"/>
      <c r="L44" s="35"/>
      <c r="M44" s="35"/>
      <c r="N44" s="35"/>
      <c r="O44" s="35"/>
      <c r="P44" s="35"/>
      <c r="Q44" s="36">
        <f>G44-Bilan_E_KP_AME_2040!K41</f>
        <v>1.7608774311708451</v>
      </c>
      <c r="R44" s="498"/>
      <c r="S44" s="539"/>
      <c r="T44" s="83">
        <f>Bilan_E_KP_AME_2040!K$38</f>
        <v>0</v>
      </c>
      <c r="U44" s="83">
        <f>Bilan_E_KP_AME_2040!K34</f>
        <v>1.7608774311708451</v>
      </c>
      <c r="V44" s="83">
        <f>Bilan_E_KP_AME_2040!K$36</f>
        <v>0</v>
      </c>
      <c r="W44" s="83">
        <v>0</v>
      </c>
      <c r="X44" s="84">
        <f>Bilan_E_KP_AME_2040!K$35</f>
        <v>0</v>
      </c>
      <c r="Y44" s="489">
        <f t="shared" si="6"/>
        <v>1.7608774311708451</v>
      </c>
      <c r="Z44" s="489">
        <f t="shared" si="7"/>
        <v>0</v>
      </c>
    </row>
    <row r="45" spans="1:26" x14ac:dyDescent="0.25">
      <c r="A45" s="739"/>
      <c r="B45" s="1" t="s">
        <v>41</v>
      </c>
      <c r="C45" s="33">
        <f>E53</f>
        <v>11.766175832538266</v>
      </c>
      <c r="D45" s="539"/>
      <c r="E45" s="38"/>
      <c r="F45" s="539"/>
      <c r="G45" s="17">
        <f t="shared" si="1"/>
        <v>11.766175832538266</v>
      </c>
      <c r="H45" s="539"/>
      <c r="I45" s="35"/>
      <c r="J45" s="37"/>
      <c r="K45" s="35"/>
      <c r="L45" s="35"/>
      <c r="M45" s="35"/>
      <c r="N45" s="35"/>
      <c r="O45" s="35"/>
      <c r="P45" s="35"/>
      <c r="Q45" s="36">
        <f>G45-Bilan_E_KP_AME_2040!G41</f>
        <v>0</v>
      </c>
      <c r="R45" s="498"/>
      <c r="S45" s="539"/>
      <c r="T45" s="84">
        <v>0</v>
      </c>
      <c r="U45" s="83">
        <v>0</v>
      </c>
      <c r="V45" s="84">
        <v>0</v>
      </c>
      <c r="W45" s="92">
        <v>0</v>
      </c>
      <c r="X45" s="84">
        <v>0</v>
      </c>
      <c r="Y45" s="489">
        <f t="shared" si="6"/>
        <v>0</v>
      </c>
      <c r="Z45" s="489">
        <f>Q45-Y45</f>
        <v>0</v>
      </c>
    </row>
    <row r="46" spans="1:26" x14ac:dyDescent="0.25">
      <c r="A46" s="739"/>
      <c r="B46" s="1" t="s">
        <v>42</v>
      </c>
      <c r="C46" s="33">
        <f>Bilan_E_KP_AME_2040!D18-C18-C34</f>
        <v>45.210854825774298</v>
      </c>
      <c r="D46" s="539"/>
      <c r="E46" s="511"/>
      <c r="F46" s="539"/>
      <c r="G46" s="17">
        <f>C46-E46</f>
        <v>45.210854825774298</v>
      </c>
      <c r="H46" s="539"/>
      <c r="I46" s="38"/>
      <c r="J46" s="37"/>
      <c r="K46" s="35"/>
      <c r="L46" s="35"/>
      <c r="M46" s="35"/>
      <c r="N46" s="35"/>
      <c r="O46" s="35"/>
      <c r="P46" s="35"/>
      <c r="Q46" s="36">
        <f>G46-(Bilan_E_KP_AME_2040!D41+Bilan_E_KP_AME_2040!D29+Bilan_E_KP_AME_2040!D30)</f>
        <v>5.4657298257742966</v>
      </c>
      <c r="R46" s="498"/>
      <c r="S46" s="539"/>
      <c r="T46" s="506">
        <f>Bilan_E_KP_AME_2040!D38</f>
        <v>0</v>
      </c>
      <c r="U46" s="93">
        <f>Bilan_E_KP_AME_2040!D34</f>
        <v>5.4657298257742912</v>
      </c>
      <c r="V46" s="506">
        <f>Bilan_E_KP_AME_2040!D36</f>
        <v>0</v>
      </c>
      <c r="W46" s="507">
        <f>Bilan_E_KP_AME_2040!D37</f>
        <v>0</v>
      </c>
      <c r="X46" s="506">
        <f>Bilan_E_KP_AME_2040!D35</f>
        <v>0</v>
      </c>
      <c r="Y46" s="489">
        <f t="shared" si="6"/>
        <v>5.4657298257742912</v>
      </c>
      <c r="Z46" s="489">
        <f>Q46-Y46</f>
        <v>0</v>
      </c>
    </row>
    <row r="47" spans="1:26" x14ac:dyDescent="0.25">
      <c r="A47" s="90"/>
      <c r="B47" s="1" t="s">
        <v>31</v>
      </c>
      <c r="C47" s="33">
        <f>E57</f>
        <v>1.8135973700674786</v>
      </c>
      <c r="D47" s="192"/>
      <c r="E47" s="511"/>
      <c r="F47" s="192"/>
      <c r="G47" s="17">
        <f>C47-E47</f>
        <v>1.8135973700674786</v>
      </c>
      <c r="H47" s="192"/>
      <c r="I47" s="38"/>
      <c r="J47" s="37"/>
      <c r="K47" s="35"/>
      <c r="L47" s="35"/>
      <c r="M47" s="35"/>
      <c r="N47" s="35"/>
      <c r="O47" s="35"/>
      <c r="P47" s="35"/>
      <c r="Q47" s="542">
        <f>G47-Bilan_E_KP_AME_2040!R41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C5-L13-SUM(L21:L24)-L30-L41-Bilan_E_KP_AME_2040!S18</f>
        <v>0</v>
      </c>
      <c r="D49" s="1"/>
      <c r="E49" s="34">
        <f>SUM(E7:E47)+I13-Bilan_E_KP_AME_2040!S32+K13+SUM(K21:K24)+K30+Bilan_E_KP_AME_2040!D29+Bilan_E_KP_AME_2040!D30</f>
        <v>-2.3092638912203256E-14</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500.44506521008458</v>
      </c>
    </row>
    <row r="52" spans="1:19" x14ac:dyDescent="0.25">
      <c r="A52" s="21"/>
      <c r="B52" s="1" t="s">
        <v>44</v>
      </c>
      <c r="C52" s="44"/>
      <c r="D52" s="1"/>
      <c r="E52" s="39">
        <f>Bilan_E_KP_AME_2040!D41+Bilan_E_KP_AME_2040!D29+Bilan_E_KP_AME_2040!D30</f>
        <v>39.745125000000002</v>
      </c>
      <c r="F52" s="187"/>
      <c r="G52" s="1"/>
      <c r="H52" s="1"/>
      <c r="I52" s="30"/>
      <c r="J52" s="17"/>
      <c r="K52" s="17"/>
      <c r="L52" s="21"/>
      <c r="M52" s="1"/>
      <c r="N52" s="17"/>
      <c r="O52" s="17"/>
      <c r="P52" s="17"/>
      <c r="Q52" s="1"/>
      <c r="S52" s="33"/>
    </row>
    <row r="53" spans="1:19" x14ac:dyDescent="0.25">
      <c r="A53" s="21"/>
      <c r="B53" s="1" t="s">
        <v>41</v>
      </c>
      <c r="C53" s="45"/>
      <c r="D53" s="17"/>
      <c r="E53" s="433">
        <f>Bilan_E_KP_AME_2040!G41+Bilan_E_KP_AME_2040!G29</f>
        <v>11.766175832538266</v>
      </c>
      <c r="F53" s="187"/>
      <c r="G53" s="1"/>
      <c r="H53" s="1"/>
      <c r="I53" s="30"/>
      <c r="J53" s="17"/>
      <c r="K53" s="17"/>
      <c r="L53" s="21"/>
      <c r="M53" s="1"/>
      <c r="N53" s="17"/>
      <c r="O53" s="17"/>
      <c r="P53" s="17"/>
      <c r="Q53" s="1"/>
    </row>
    <row r="54" spans="1:19" x14ac:dyDescent="0.25">
      <c r="A54" s="21"/>
      <c r="B54" s="1" t="s">
        <v>39</v>
      </c>
      <c r="C54" s="45"/>
      <c r="D54" s="17"/>
      <c r="E54" s="435">
        <f>Bilan_E_KP_AME_2040!F41</f>
        <v>109.69308299672531</v>
      </c>
      <c r="F54" s="187"/>
      <c r="G54" s="1"/>
      <c r="H54" s="1"/>
      <c r="I54" s="30"/>
      <c r="J54" s="17"/>
      <c r="K54" s="17"/>
      <c r="L54" s="21"/>
      <c r="M54" s="21"/>
      <c r="N54" s="17"/>
      <c r="O54" s="17"/>
      <c r="P54" s="17"/>
      <c r="Q54" s="1"/>
    </row>
    <row r="55" spans="1:19" x14ac:dyDescent="0.25">
      <c r="B55" s="1" t="s">
        <v>21</v>
      </c>
      <c r="E55" s="434">
        <f>Bilan_E_KP_AME_2040!M41+Bilan_E_KP_AME_2040!M29</f>
        <v>0</v>
      </c>
    </row>
    <row r="56" spans="1:19" x14ac:dyDescent="0.25">
      <c r="B56" s="1" t="s">
        <v>37</v>
      </c>
      <c r="E56" s="515">
        <f>Bilan_E_KP_AME_2040!L41+Bilan_E_KP_AME_2040!L29</f>
        <v>0</v>
      </c>
    </row>
    <row r="57" spans="1:19" x14ac:dyDescent="0.25">
      <c r="B57" s="1" t="s">
        <v>31</v>
      </c>
      <c r="E57" s="515">
        <f>Bilan_E_KP_AME_2040!R41</f>
        <v>1.8135973700674786</v>
      </c>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DC025-0EA8-48D4-9002-444FB9A53105}">
  <dimension ref="A1:Z57"/>
  <sheetViews>
    <sheetView topLeftCell="A16" workbookViewId="0">
      <selection activeCell="C44" sqref="C44"/>
    </sheetView>
  </sheetViews>
  <sheetFormatPr baseColWidth="10" defaultColWidth="11.42578125" defaultRowHeight="15" x14ac:dyDescent="0.25"/>
  <cols>
    <col min="2" max="2" width="25.85546875" customWidth="1"/>
    <col min="5" max="5" width="11.28515625" customWidth="1"/>
    <col min="17" max="17" width="15.85546875" bestFit="1"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2245.6361672888593</v>
      </c>
      <c r="D5" s="18"/>
      <c r="E5" s="20"/>
      <c r="F5" s="494"/>
      <c r="G5" s="21"/>
      <c r="H5" s="493"/>
      <c r="I5" s="21"/>
      <c r="J5" s="22"/>
      <c r="K5" s="23"/>
      <c r="L5" s="14"/>
      <c r="M5" s="14"/>
      <c r="N5" s="15"/>
      <c r="O5" s="16"/>
      <c r="P5" s="16"/>
      <c r="Q5" s="24">
        <f>Q13+Q22+Q30+Q42+Q46+Q38+Q43</f>
        <v>1343.3998954543779</v>
      </c>
      <c r="R5" s="487"/>
      <c r="S5" s="79">
        <f>SUM(S13,S22,S27:S32,S41)</f>
        <v>1345.1363162441849</v>
      </c>
      <c r="T5" s="79">
        <f>SUM(T8:T46)</f>
        <v>42.562560224867269</v>
      </c>
      <c r="U5" s="79">
        <f>SUM(U8:U46)</f>
        <v>276.77870199899871</v>
      </c>
      <c r="V5" s="79">
        <f>SUM(V8:V46)</f>
        <v>445.60779995221736</v>
      </c>
      <c r="W5" s="173">
        <f>SUM(W8:W46)</f>
        <v>224.56622437081768</v>
      </c>
      <c r="X5" s="79">
        <f>SUM(X8:X46)</f>
        <v>355.62102969728386</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f>(([12]Offre_calc!$U$81+[12]Offre_calc!$U$82+[12]Offre_calc!$U$127+[12]Offre_calc!$U$128)/([12]Offre_calc!$U$78+[12]Offre_calc!$U$124))*Bilan_E_KP_AME_2045!I$21</f>
        <v>145.30502712547016</v>
      </c>
      <c r="D7" s="516"/>
      <c r="E7" s="28">
        <v>0</v>
      </c>
      <c r="F7" s="516"/>
      <c r="G7" s="17">
        <f>C7-E7</f>
        <v>145.30502712547016</v>
      </c>
      <c r="H7" s="516"/>
      <c r="I7" s="21"/>
      <c r="J7" s="516"/>
      <c r="K7" s="523"/>
      <c r="L7" s="523"/>
      <c r="M7" s="523"/>
      <c r="N7" s="523"/>
      <c r="O7" s="523"/>
      <c r="P7" s="513"/>
      <c r="Q7" s="526"/>
      <c r="R7" s="498"/>
      <c r="S7" s="526"/>
      <c r="T7" s="523"/>
      <c r="U7" s="523"/>
      <c r="V7" s="523"/>
      <c r="W7" s="523"/>
      <c r="X7" s="523"/>
    </row>
    <row r="8" spans="1:24" x14ac:dyDescent="0.25">
      <c r="A8" s="736"/>
      <c r="B8" s="1" t="s">
        <v>18</v>
      </c>
      <c r="C8" s="486">
        <f>(([12]Offre_calc!$U$80+[12]Offre_calc!$U$126)/([12]Offre_calc!$U$78+[12]Offre_calc!$U$124))*Bilan_E_KP_AME_2045!I$21</f>
        <v>61.625576407242434</v>
      </c>
      <c r="D8" s="81"/>
      <c r="E8" s="28">
        <v>0</v>
      </c>
      <c r="F8" s="81"/>
      <c r="G8" s="17">
        <f t="shared" ref="G8:G19" si="0">C8-E8</f>
        <v>61.625576407242434</v>
      </c>
      <c r="H8" s="81"/>
      <c r="I8" s="21"/>
      <c r="J8" s="81"/>
      <c r="K8" s="524"/>
      <c r="L8" s="524"/>
      <c r="M8" s="524"/>
      <c r="N8" s="524"/>
      <c r="O8" s="524"/>
      <c r="P8" s="29"/>
      <c r="Q8" s="527"/>
      <c r="R8" s="498"/>
      <c r="S8" s="527"/>
      <c r="T8" s="524"/>
      <c r="U8" s="524"/>
      <c r="V8" s="524"/>
      <c r="W8" s="524"/>
      <c r="X8" s="524"/>
    </row>
    <row r="9" spans="1:24" x14ac:dyDescent="0.25">
      <c r="A9" s="736"/>
      <c r="B9" s="1" t="s">
        <v>19</v>
      </c>
      <c r="C9" s="486">
        <f>(([12]Offre_calc!$U$79+[12]Offre_calc!$U$125)/([12]Offre_calc!$U$78+[12]Offre_calc!$U$124))*Bilan_E_KP_AME_2045!I$21</f>
        <v>100.01527974290165</v>
      </c>
      <c r="D9" s="81"/>
      <c r="E9" s="28">
        <v>0</v>
      </c>
      <c r="F9" s="81"/>
      <c r="G9" s="17">
        <f t="shared" si="0"/>
        <v>100.01527974290165</v>
      </c>
      <c r="H9" s="81"/>
      <c r="I9" s="21"/>
      <c r="J9" s="81"/>
      <c r="K9" s="524"/>
      <c r="L9" s="524"/>
      <c r="M9" s="524"/>
      <c r="N9" s="524"/>
      <c r="O9" s="524"/>
      <c r="P9" s="29"/>
      <c r="Q9" s="527"/>
      <c r="R9" s="498"/>
      <c r="S9" s="527"/>
      <c r="T9" s="524"/>
      <c r="U9" s="524"/>
      <c r="V9" s="524"/>
      <c r="W9" s="524"/>
      <c r="X9" s="524"/>
    </row>
    <row r="10" spans="1:24" x14ac:dyDescent="0.25">
      <c r="A10" s="736"/>
      <c r="B10" s="1" t="s">
        <v>20</v>
      </c>
      <c r="C10" s="17">
        <f>Bilan_E_KP_AME_2045!H21-(Bilan_E_KP_AME_2045!P20+Bilan_E_KP_AME_2045!P19)</f>
        <v>843.18181818181824</v>
      </c>
      <c r="D10" s="81"/>
      <c r="E10" s="28">
        <f>F13-SUM(E11:E19)</f>
        <v>569.48843340247151</v>
      </c>
      <c r="F10" s="81"/>
      <c r="G10" s="17">
        <f>C10-E10</f>
        <v>273.69338477934673</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f>Bilan_E_KP_AME_2045!M21</f>
        <v>0.46654149749263618</v>
      </c>
      <c r="D11" s="81"/>
      <c r="E11" s="28">
        <f>C11*(1-[12]Offre_calc!$U$161)</f>
        <v>0.19244836771571242</v>
      </c>
      <c r="F11" s="81"/>
      <c r="G11" s="17">
        <f t="shared" si="0"/>
        <v>0.27409312977692379</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f>Bilan_E_KP_AME_2045!K21</f>
        <v>6.5903281241207718</v>
      </c>
      <c r="D12" s="81"/>
      <c r="E12" s="28">
        <f>C12*(1-[12]Offre_calc!$U$171)</f>
        <v>4.1189550775754826</v>
      </c>
      <c r="F12" s="81"/>
      <c r="G12" s="17">
        <f t="shared" si="0"/>
        <v>2.4713730465452892</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f>Bilan_E_KP_AME_2045!J21</f>
        <v>28.98717588629853</v>
      </c>
      <c r="D13" s="81">
        <f>SUM(C7:C19)</f>
        <v>1223.9645095572178</v>
      </c>
      <c r="E13" s="28">
        <f>C13*(1-[12]Offre_calc!$U$170)</f>
        <v>18.116984928936581</v>
      </c>
      <c r="F13" s="81">
        <f>Bilan_E_KP_AME_2045!S21</f>
        <v>607.03457917910316</v>
      </c>
      <c r="G13" s="17">
        <f t="shared" si="0"/>
        <v>10.870190957361949</v>
      </c>
      <c r="H13" s="81">
        <f>SUM(G7:G19)</f>
        <v>616.92993037811436</v>
      </c>
      <c r="I13" s="33">
        <f>Bilan_E_KP_AME_2045!P30</f>
        <v>27.977940148174714</v>
      </c>
      <c r="J13" s="81">
        <f>H13-I13</f>
        <v>588.95199022993961</v>
      </c>
      <c r="K13" s="29">
        <f>Bilan_E_KP_AME_2045!P31</f>
        <v>45.919010237367587</v>
      </c>
      <c r="L13" s="29">
        <f>-(Bilan_E_KP_AME_2045!P14+Bilan_E_KP_AME_2045!P13)</f>
        <v>16.706363002811486</v>
      </c>
      <c r="M13" s="29">
        <f>Bilan_E_KP_AME_2045!P28</f>
        <v>0.90023160054861806</v>
      </c>
      <c r="N13" s="29"/>
      <c r="O13" s="29"/>
      <c r="P13" s="29"/>
      <c r="Q13" s="81">
        <f>J13-K13-L13-M13-N13-O13-P13</f>
        <v>525.42638538921187</v>
      </c>
      <c r="R13" s="508">
        <f>Q13-S13</f>
        <v>0</v>
      </c>
      <c r="S13" s="81">
        <f>SUM(T8:X19)</f>
        <v>525.42638538921221</v>
      </c>
      <c r="T13" s="29">
        <f>Bilan_E_KP_AME_2045!P38</f>
        <v>5.7660712732306445</v>
      </c>
      <c r="U13" s="29">
        <f>Bilan_E_KP_AME_2045!P34+Bilan_E_KP_AME_2045!P39</f>
        <v>113.809965125608</v>
      </c>
      <c r="V13" s="29">
        <f>Bilan_E_KP_AME_2045!P36</f>
        <v>190.93239321884863</v>
      </c>
      <c r="W13" s="29">
        <f>Bilan_E_KP_AME_2045!P37</f>
        <v>142.0321146826426</v>
      </c>
      <c r="X13" s="29">
        <f>Bilan_E_KP_AME_2045!P35</f>
        <v>72.885841088882287</v>
      </c>
    </row>
    <row r="14" spans="1:24" x14ac:dyDescent="0.25">
      <c r="A14" s="736"/>
      <c r="B14" s="1" t="s">
        <v>24</v>
      </c>
      <c r="C14" s="17">
        <f>Bilan_E_KP_AME_2045!O21</f>
        <v>7.0184114557160298</v>
      </c>
      <c r="D14" s="81"/>
      <c r="E14" s="28">
        <v>0</v>
      </c>
      <c r="F14" s="81"/>
      <c r="G14" s="17">
        <f t="shared" si="0"/>
        <v>7.0184114557160298</v>
      </c>
      <c r="H14" s="81"/>
      <c r="I14" s="21"/>
      <c r="J14" s="81"/>
      <c r="K14" s="524"/>
      <c r="L14" s="524"/>
      <c r="M14" s="524"/>
      <c r="N14" s="524"/>
      <c r="O14" s="524"/>
      <c r="P14" s="29"/>
      <c r="Q14" s="527"/>
      <c r="R14" s="498"/>
      <c r="S14" s="527"/>
      <c r="T14" s="524"/>
      <c r="U14" s="524"/>
      <c r="V14" s="524"/>
      <c r="W14" s="524"/>
      <c r="X14" s="524"/>
    </row>
    <row r="15" spans="1:24" x14ac:dyDescent="0.25">
      <c r="A15" s="736"/>
      <c r="B15" s="1" t="s">
        <v>25</v>
      </c>
      <c r="C15" s="17">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36"/>
      <c r="B16" s="1" t="s">
        <v>343</v>
      </c>
      <c r="C16" s="17">
        <f>Bilan_E_KP_AME_2045!L21</f>
        <v>3.3436367529727189</v>
      </c>
      <c r="D16" s="81"/>
      <c r="E16" s="28">
        <f>C16*(1-[12]Offre_calc!$U$158)</f>
        <v>1.8724365816647228</v>
      </c>
      <c r="F16" s="81"/>
      <c r="G16" s="17">
        <f t="shared" si="0"/>
        <v>1.4712001713079961</v>
      </c>
      <c r="H16" s="81"/>
      <c r="I16" s="21"/>
      <c r="J16" s="81"/>
      <c r="K16" s="524"/>
      <c r="L16" s="524"/>
      <c r="M16" s="524"/>
      <c r="N16" s="524"/>
      <c r="O16" s="524"/>
      <c r="P16" s="29"/>
      <c r="Q16" s="527"/>
      <c r="R16" s="498"/>
      <c r="S16" s="527"/>
      <c r="T16" s="524"/>
      <c r="U16" s="524"/>
      <c r="V16" s="524"/>
      <c r="W16" s="524"/>
      <c r="X16" s="524"/>
    </row>
    <row r="17" spans="1:24" x14ac:dyDescent="0.25">
      <c r="A17" s="736"/>
      <c r="B17" s="1" t="s">
        <v>27</v>
      </c>
      <c r="C17" s="17">
        <f>Bilan_E_KP_AME_2045!F21</f>
        <v>7.9230776783294274</v>
      </c>
      <c r="D17" s="81"/>
      <c r="E17" s="28">
        <f>C17*(1-[12]Offre_calc!$U$158)</f>
        <v>4.4369234998644798</v>
      </c>
      <c r="F17" s="81"/>
      <c r="G17" s="17">
        <f t="shared" si="0"/>
        <v>3.4861541784649477</v>
      </c>
      <c r="H17" s="81"/>
      <c r="I17" s="21"/>
      <c r="J17" s="81"/>
      <c r="K17" s="524"/>
      <c r="L17" s="524"/>
      <c r="M17" s="524"/>
      <c r="N17" s="524"/>
      <c r="O17" s="524"/>
      <c r="P17" s="29"/>
      <c r="Q17" s="527"/>
      <c r="R17" s="498"/>
      <c r="S17" s="527"/>
      <c r="T17" s="524"/>
      <c r="U17" s="524"/>
      <c r="V17" s="524"/>
      <c r="W17" s="524"/>
      <c r="X17" s="524"/>
    </row>
    <row r="18" spans="1:24" x14ac:dyDescent="0.25">
      <c r="A18" s="736"/>
      <c r="B18" s="1" t="s">
        <v>28</v>
      </c>
      <c r="C18" s="17">
        <f>Bilan_E_KP_AME_2045!D21</f>
        <v>2.8267856410252494</v>
      </c>
      <c r="D18" s="81"/>
      <c r="E18" s="28">
        <f>C18*(1-[12]Offre_calc!$U$157)</f>
        <v>1.9275462570448931</v>
      </c>
      <c r="F18" s="81"/>
      <c r="G18" s="17">
        <f t="shared" si="0"/>
        <v>0.8992393839803563</v>
      </c>
      <c r="H18" s="81"/>
      <c r="I18" s="21"/>
      <c r="J18" s="81"/>
      <c r="K18" s="524"/>
      <c r="L18" s="524"/>
      <c r="M18" s="524"/>
      <c r="N18" s="524"/>
      <c r="O18" s="524"/>
      <c r="P18" s="29"/>
      <c r="Q18" s="527"/>
      <c r="R18" s="498"/>
      <c r="S18" s="527"/>
      <c r="T18" s="524"/>
      <c r="U18" s="524"/>
      <c r="V18" s="524"/>
      <c r="W18" s="524"/>
      <c r="X18" s="524"/>
    </row>
    <row r="19" spans="1:24" x14ac:dyDescent="0.25">
      <c r="A19" s="736"/>
      <c r="B19" s="1" t="s">
        <v>260</v>
      </c>
      <c r="C19" s="17">
        <f>Bilan_E_KP_AME_2045!G21+Bilan_E_KP_AME_2045!R21</f>
        <v>16.680851063829788</v>
      </c>
      <c r="D19" s="82"/>
      <c r="E19" s="28">
        <f>C19*(1-[12]Offre_calc!$U$160)</f>
        <v>6.8808510638297875</v>
      </c>
      <c r="F19" s="82"/>
      <c r="G19" s="17">
        <f t="shared" si="0"/>
        <v>9.8000000000000007</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0.32459592804019555</v>
      </c>
      <c r="H20" s="499"/>
      <c r="I20" s="17"/>
      <c r="J20" s="1"/>
      <c r="K20" s="17"/>
      <c r="L20" s="1"/>
      <c r="M20" s="1"/>
      <c r="N20" s="1"/>
      <c r="O20" s="1"/>
      <c r="P20" s="1"/>
      <c r="Q20" s="499"/>
      <c r="R20" s="498"/>
      <c r="S20" s="408"/>
      <c r="T20" s="495"/>
      <c r="U20" s="408"/>
      <c r="V20" s="495"/>
      <c r="W20" s="408"/>
      <c r="X20" s="495"/>
    </row>
    <row r="21" spans="1:24" x14ac:dyDescent="0.25">
      <c r="A21" s="737" t="s">
        <v>13</v>
      </c>
      <c r="B21" s="1" t="s">
        <v>21</v>
      </c>
      <c r="C21" s="17">
        <f>Bilan_E_KP_AME_2045!J23+Bilan_E_KP_AME_2045!M12</f>
        <v>7.0352393931843382</v>
      </c>
      <c r="D21" s="529"/>
      <c r="E21" s="33">
        <f>Bilan_E_KP_AME_2045!S23+Bilan_E_KP_AME_2045!M30</f>
        <v>0.55488183254628975</v>
      </c>
      <c r="F21" s="529"/>
      <c r="G21" s="17">
        <f t="shared" ref="G21:G45" si="1">C21-E21</f>
        <v>6.4803575606380486</v>
      </c>
      <c r="H21" s="529"/>
      <c r="I21" s="17"/>
      <c r="J21" s="529"/>
      <c r="K21" s="545">
        <f>Bilan_E_KP_AME_2045!M31</f>
        <v>7.6127557497280507E-2</v>
      </c>
      <c r="L21" s="545">
        <f>-(Bilan_E_KP_AME_2045!M13+Bilan_E_KP_AME_2045!M14+Bilan_E_KP_AME_2045!M15+Bilan_E_KP_AME_2045!M16)</f>
        <v>0</v>
      </c>
      <c r="M21" s="545">
        <f>Bilan_E_KP_AME_2045!M28</f>
        <v>0.14455147414523528</v>
      </c>
      <c r="N21" s="545">
        <f>Bilan_E_KP_AME_2045!M22</f>
        <v>0.31804644322561132</v>
      </c>
      <c r="O21" s="545">
        <f>Bilan_E_KP_AME_2045!M21</f>
        <v>0.46654149749263618</v>
      </c>
      <c r="P21" s="529"/>
      <c r="Q21" s="529"/>
      <c r="R21" s="498"/>
      <c r="S21" s="529"/>
      <c r="T21" s="529"/>
      <c r="U21" s="529"/>
      <c r="V21" s="529"/>
      <c r="W21" s="529"/>
      <c r="X21" s="529"/>
    </row>
    <row r="22" spans="1:24" x14ac:dyDescent="0.25">
      <c r="A22" s="737"/>
      <c r="B22" s="1" t="s">
        <v>30</v>
      </c>
      <c r="C22" s="17"/>
      <c r="D22" s="85">
        <f>SUM(C21:C24)</f>
        <v>326.99949885161192</v>
      </c>
      <c r="E22" s="497"/>
      <c r="F22" s="85">
        <f>SUM(E21:E24)</f>
        <v>7.8849084393721336</v>
      </c>
      <c r="G22" s="17"/>
      <c r="H22" s="85">
        <f>SUM(G21:G24)</f>
        <v>319.11459041223981</v>
      </c>
      <c r="I22" s="408"/>
      <c r="J22" s="85">
        <f>H22-I22</f>
        <v>319.11459041223981</v>
      </c>
      <c r="K22" s="32"/>
      <c r="L22" s="32"/>
      <c r="M22" s="32"/>
      <c r="N22" s="32"/>
      <c r="O22" s="32"/>
      <c r="P22" s="32"/>
      <c r="Q22" s="85">
        <f>J22-SUM(K21:P24)</f>
        <v>275.77138476823654</v>
      </c>
      <c r="R22" s="508">
        <f>Q22-S22</f>
        <v>-2.5274117631681747E-2</v>
      </c>
      <c r="S22" s="85">
        <f>SUM(T22:X24)</f>
        <v>275.79665888586823</v>
      </c>
      <c r="T22" s="32">
        <f>Bilan_E_KP_AME_2045!G38+Bilan_E_KP_AME_2045!R38+Bilan_E_KP_AME_2045!M$38</f>
        <v>0.9742107091049319</v>
      </c>
      <c r="U22" s="32">
        <f>Bilan_E_KP_AME_2045!G34+Bilan_E_KP_AME_2045!R34+Bilan_E_KP_AME_2045!M$34</f>
        <v>97.060575759304228</v>
      </c>
      <c r="V22" s="32">
        <f>Bilan_E_KP_AME_2045!G36+Bilan_E_KP_AME_2045!R36+Bilan_E_KP_AME_2045!M$36</f>
        <v>78.22933809519904</v>
      </c>
      <c r="W22" s="32">
        <f>Bilan_E_KP_AME_2045!G37+Bilan_E_KP_AME_2045!K37+Bilan_E_KP_AME_2045!R37+Bilan_E_KP_AME_2045!M$37</f>
        <v>64.297950825716597</v>
      </c>
      <c r="X22" s="32">
        <f>Bilan_E_KP_AME_2045!G35+Bilan_E_KP_AME_2045!R35+Bilan_E_KP_AME_2045!M$35</f>
        <v>35.234583496543372</v>
      </c>
    </row>
    <row r="23" spans="1:24" x14ac:dyDescent="0.25">
      <c r="A23" s="737"/>
      <c r="B23" s="1" t="s">
        <v>31</v>
      </c>
      <c r="C23" s="17">
        <f>SUM(Bilan_E_KP_AME_2045!D28:Q28)-C47</f>
        <v>5.3798160271654041</v>
      </c>
      <c r="D23" s="530"/>
      <c r="E23" s="33">
        <f>Bilan_E_KP_AME_2045!S28+Bilan_E_KP_AME_2045!S27</f>
        <v>2.4607304691619536</v>
      </c>
      <c r="F23" s="532"/>
      <c r="G23" s="17">
        <f t="shared" si="1"/>
        <v>2.9190855580034505</v>
      </c>
      <c r="H23" s="532"/>
      <c r="I23" s="17"/>
      <c r="J23" s="532"/>
      <c r="K23" s="534">
        <f>Bilan_E_KP_AME_2045!R31</f>
        <v>0</v>
      </c>
      <c r="L23" s="534">
        <f>-(Bilan_E_KP_AME_2045!R13+Bilan_E_KP_AME_2045!R14+Bilan_E_KP_AME_2045!R15+Bilan_E_KP_AME_2045!R16)</f>
        <v>0</v>
      </c>
      <c r="M23" s="534"/>
      <c r="N23" s="534">
        <f>Bilan_E_KP_AME_2045!R22</f>
        <v>0</v>
      </c>
      <c r="O23" s="534">
        <f>Bilan_E_KP_AME_2045!R21</f>
        <v>0</v>
      </c>
      <c r="P23" s="534">
        <f>-Bilan_E_KP_AME_2045!L27</f>
        <v>0</v>
      </c>
      <c r="Q23" s="532"/>
      <c r="S23" s="532"/>
      <c r="T23" s="536"/>
      <c r="U23" s="536"/>
      <c r="V23" s="536"/>
      <c r="W23" s="536"/>
      <c r="X23" s="536"/>
    </row>
    <row r="24" spans="1:24" x14ac:dyDescent="0.25">
      <c r="A24" s="737"/>
      <c r="B24" s="1" t="s">
        <v>32</v>
      </c>
      <c r="C24" s="17">
        <f>Bilan_E_KP_AME_2045!G18-C45-(Bilan_E_KP_AME_2045!G20+Bilan_E_KP_AME_2045!G19)</f>
        <v>314.58444343126217</v>
      </c>
      <c r="D24" s="531"/>
      <c r="E24" s="33">
        <f>Bilan_E_KP_AME_2045!G30</f>
        <v>4.8692961376638904</v>
      </c>
      <c r="F24" s="533"/>
      <c r="G24" s="17">
        <f t="shared" si="1"/>
        <v>309.71514729359831</v>
      </c>
      <c r="H24" s="533"/>
      <c r="I24" s="34"/>
      <c r="J24" s="533"/>
      <c r="K24" s="535">
        <f>Bilan_E_KP_AME_2045!G31</f>
        <v>3.7302503173667452</v>
      </c>
      <c r="L24" s="535"/>
      <c r="M24" s="535">
        <f>Bilan_E_KP_AME_2045!G28</f>
        <v>7.0830222331165276</v>
      </c>
      <c r="N24" s="535">
        <f>Bilan_E_KP_AME_2045!G22</f>
        <v>14.843815057329421</v>
      </c>
      <c r="O24" s="535">
        <f>Bilan_E_KP_AME_2045!G21</f>
        <v>16.680851063829788</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38" t="s">
        <v>14</v>
      </c>
      <c r="B26" s="1" t="s">
        <v>21</v>
      </c>
      <c r="C26" s="17">
        <f>Bilan_E_KP_AME_2045!M22</f>
        <v>0.31804644322561132</v>
      </c>
      <c r="D26" s="512"/>
      <c r="E26" s="190">
        <f>C26*F$35</f>
        <v>2.8247632498206034E-2</v>
      </c>
      <c r="F26" s="512"/>
      <c r="G26" s="33">
        <f t="shared" ref="G26:G31" si="2">C26-E26</f>
        <v>0.28979881072740526</v>
      </c>
      <c r="H26" s="512"/>
      <c r="I26" s="1"/>
      <c r="J26" s="512"/>
      <c r="K26" s="512"/>
      <c r="L26" s="512"/>
      <c r="M26" s="512"/>
      <c r="N26" s="512"/>
      <c r="O26" s="512"/>
      <c r="P26" s="512"/>
      <c r="Q26" s="512"/>
      <c r="R26" s="498"/>
      <c r="S26" s="512"/>
      <c r="T26" s="512"/>
      <c r="U26" s="512"/>
      <c r="V26" s="512"/>
      <c r="W26" s="512"/>
      <c r="X26" s="512"/>
    </row>
    <row r="27" spans="1:24" x14ac:dyDescent="0.25">
      <c r="A27" s="738"/>
      <c r="B27" s="1" t="s">
        <v>22</v>
      </c>
      <c r="C27" s="17">
        <f>Bilan_E_KP_AME_2045!K18-Bilan_E_KP_AME_2045!K21-Bilan_E_KP_AME_2045!K34-(Bilan_E_KP_AME_2045!Q20+Bilan_E_KP_AME_2045!Q19+Bilan_E_KP_AME_2045!K20+Bilan_E_KP_AME_2045!K19)</f>
        <v>11.989709697669296</v>
      </c>
      <c r="D27" s="87"/>
      <c r="E27" s="190">
        <f t="shared" ref="E27:E34" si="3">C27*F$35</f>
        <v>1.0648787952635286</v>
      </c>
      <c r="F27" s="87"/>
      <c r="G27" s="33">
        <f t="shared" si="2"/>
        <v>10.924830902405768</v>
      </c>
      <c r="H27" s="87"/>
      <c r="I27" s="500"/>
      <c r="J27" s="87"/>
      <c r="K27" s="87"/>
      <c r="L27" s="87"/>
      <c r="M27" s="87"/>
      <c r="N27" s="87"/>
      <c r="O27" s="87"/>
      <c r="P27" s="87"/>
      <c r="Q27" s="87"/>
      <c r="R27" s="498"/>
      <c r="S27" s="87"/>
      <c r="T27" s="87"/>
      <c r="U27" s="87"/>
      <c r="V27" s="87"/>
      <c r="W27" s="87"/>
      <c r="X27" s="87"/>
    </row>
    <row r="28" spans="1:24" x14ac:dyDescent="0.25">
      <c r="A28" s="738"/>
      <c r="B28" s="1" t="s">
        <v>26</v>
      </c>
      <c r="C28" s="17"/>
      <c r="D28" s="87"/>
      <c r="E28" s="190">
        <f t="shared" si="3"/>
        <v>0</v>
      </c>
      <c r="F28" s="87"/>
      <c r="G28" s="33">
        <f>C28-E28</f>
        <v>0</v>
      </c>
      <c r="H28" s="87"/>
      <c r="I28" s="1"/>
      <c r="J28" s="87"/>
      <c r="K28" s="87"/>
      <c r="L28" s="87"/>
      <c r="M28" s="87"/>
      <c r="N28" s="87"/>
      <c r="O28" s="87"/>
      <c r="P28" s="87"/>
      <c r="Q28" s="87"/>
      <c r="R28" s="498"/>
      <c r="S28" s="87"/>
      <c r="T28" s="87"/>
      <c r="U28" s="87"/>
      <c r="V28" s="87"/>
      <c r="W28" s="87"/>
      <c r="X28" s="87"/>
    </row>
    <row r="29" spans="1:24" x14ac:dyDescent="0.25">
      <c r="A29" s="738"/>
      <c r="B29" s="1" t="s">
        <v>23</v>
      </c>
      <c r="C29" s="17">
        <f>Bilan_E_KP_AME_2045!J22</f>
        <v>12.357161229114668</v>
      </c>
      <c r="D29" s="87"/>
      <c r="E29" s="190">
        <f t="shared" si="3"/>
        <v>1.0975143931211941</v>
      </c>
      <c r="F29" s="87"/>
      <c r="G29" s="33">
        <f t="shared" si="2"/>
        <v>11.259646835993474</v>
      </c>
      <c r="H29" s="87"/>
      <c r="I29" s="1"/>
      <c r="J29" s="87"/>
      <c r="K29" s="87"/>
      <c r="L29" s="87"/>
      <c r="M29" s="87"/>
      <c r="N29" s="87"/>
      <c r="O29" s="87"/>
      <c r="P29" s="87"/>
      <c r="Q29" s="87"/>
      <c r="R29" s="498"/>
      <c r="S29" s="87"/>
      <c r="T29" s="87"/>
      <c r="U29" s="87"/>
      <c r="V29" s="87"/>
      <c r="W29" s="87"/>
      <c r="X29" s="87"/>
    </row>
    <row r="30" spans="1:24" x14ac:dyDescent="0.25">
      <c r="A30" s="738"/>
      <c r="B30" s="1" t="s">
        <v>24</v>
      </c>
      <c r="C30" s="17">
        <f>Bilan_E_KP_AME_2045!O22</f>
        <v>2.0992086164963606</v>
      </c>
      <c r="D30" s="86">
        <f>SUM(C26:C34)</f>
        <v>41.607941043835361</v>
      </c>
      <c r="E30" s="190">
        <f t="shared" si="3"/>
        <v>0.18644344182712011</v>
      </c>
      <c r="F30" s="86">
        <f>Bilan_E_KP_AME_2045!S22</f>
        <v>3.6954534554550835</v>
      </c>
      <c r="G30" s="33">
        <f t="shared" si="2"/>
        <v>1.9127651746692405</v>
      </c>
      <c r="H30" s="86">
        <f>SUM(G26:G34)</f>
        <v>37.912487588380273</v>
      </c>
      <c r="I30" s="1"/>
      <c r="J30" s="86">
        <f>H30</f>
        <v>37.912487588380273</v>
      </c>
      <c r="K30" s="87">
        <f>Bilan_E_KP_AME_2045!Q31</f>
        <v>2.9343505562312622</v>
      </c>
      <c r="L30" s="87"/>
      <c r="M30" s="87">
        <f>Bilan_E_KP_AME_2045!K28</f>
        <v>8.2131519400701847E-2</v>
      </c>
      <c r="N30" s="87"/>
      <c r="O30" s="87"/>
      <c r="P30" s="87"/>
      <c r="Q30" s="86">
        <f>J30-K30-L30-M30-N30-O30-P30</f>
        <v>34.896005512748303</v>
      </c>
      <c r="R30" s="508">
        <f>Q30-S30</f>
        <v>2.5274117631639115E-2</v>
      </c>
      <c r="S30" s="86">
        <f>SUM(T27:X34)</f>
        <v>34.870731395116664</v>
      </c>
      <c r="T30" s="87">
        <f>Bilan_E_KP_AME_2045!Q$38</f>
        <v>0</v>
      </c>
      <c r="U30" s="87">
        <f>Bilan_E_KP_AME_2045!Q$34</f>
        <v>16.150451210263412</v>
      </c>
      <c r="V30" s="87">
        <f>Bilan_E_KP_AME_2045!Q$36</f>
        <v>15.360003531773184</v>
      </c>
      <c r="W30" s="87">
        <f>Bilan_E_KP_AME_2045!Q$37</f>
        <v>3.3602766530800707</v>
      </c>
      <c r="X30" s="87">
        <f>Bilan_E_KP_AME_2045!Q$35</f>
        <v>0</v>
      </c>
    </row>
    <row r="31" spans="1:24" x14ac:dyDescent="0.25">
      <c r="A31" s="738"/>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38"/>
      <c r="B32" s="1" t="s">
        <v>29</v>
      </c>
      <c r="C32" s="17">
        <f>Bilan_E_KP_AME_2045!G22</f>
        <v>14.843815057329421</v>
      </c>
      <c r="D32" s="86"/>
      <c r="E32" s="190">
        <f t="shared" si="3"/>
        <v>1.3183691927450343</v>
      </c>
      <c r="F32" s="86"/>
      <c r="G32" s="33">
        <f>C32-E32</f>
        <v>13.525445864584386</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Bilan_E_KP_AME_2045!F22</f>
        <v>0</v>
      </c>
      <c r="D33" s="86"/>
      <c r="E33" s="190">
        <f t="shared" si="3"/>
        <v>0</v>
      </c>
      <c r="F33" s="86"/>
      <c r="G33" s="33">
        <f t="shared" ref="G33:G34" si="4">C33-E33</f>
        <v>0</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Bilan_E_KP_AME_2045!D22</f>
        <v>0</v>
      </c>
      <c r="D34" s="88"/>
      <c r="E34" s="190">
        <f t="shared" si="3"/>
        <v>0</v>
      </c>
      <c r="F34" s="88"/>
      <c r="G34" s="33">
        <f t="shared" si="4"/>
        <v>0</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8.8816061615781455E-2</v>
      </c>
      <c r="G35" s="17"/>
      <c r="H35" s="501"/>
      <c r="I35" s="1"/>
      <c r="J35" s="1"/>
      <c r="K35" s="1"/>
      <c r="L35" s="1"/>
      <c r="M35" s="1"/>
      <c r="N35" s="1"/>
      <c r="O35" s="1"/>
      <c r="P35" s="1"/>
      <c r="Q35" s="502"/>
      <c r="R35" s="498"/>
      <c r="U35" s="33"/>
      <c r="V35" s="33"/>
      <c r="W35" s="33"/>
    </row>
    <row r="36" spans="1:26" x14ac:dyDescent="0.25">
      <c r="A36" s="739" t="s">
        <v>34</v>
      </c>
      <c r="B36" s="1" t="s">
        <v>21</v>
      </c>
      <c r="C36" s="33">
        <v>0</v>
      </c>
      <c r="D36" s="538"/>
      <c r="E36" s="17"/>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39"/>
      <c r="B37" s="1" t="s">
        <v>23</v>
      </c>
      <c r="C37" s="33">
        <f>SUM(T37:X37)</f>
        <v>117.9104978732921</v>
      </c>
      <c r="D37" s="539"/>
      <c r="E37" s="504"/>
      <c r="F37" s="539"/>
      <c r="G37" s="17">
        <f t="shared" ref="G37:G42" si="5">C37-E37</f>
        <v>117.9104978732921</v>
      </c>
      <c r="H37" s="539"/>
      <c r="I37" s="498"/>
      <c r="J37" s="37"/>
      <c r="K37" s="35"/>
      <c r="L37" s="35"/>
      <c r="M37" s="505"/>
      <c r="N37" s="35"/>
      <c r="P37" s="35"/>
      <c r="Q37" s="541"/>
      <c r="R37" s="498"/>
      <c r="S37" s="539"/>
      <c r="T37" s="506">
        <f>Bilan_E_KP_AME_2045!J38</f>
        <v>4.6306119511950978</v>
      </c>
      <c r="U37" s="93">
        <f>Bilan_E_KP_AME_2045!J34</f>
        <v>21.821162214793436</v>
      </c>
      <c r="V37" s="506">
        <f>Bilan_E_KP_AME_2045!J36</f>
        <v>88.320247059496523</v>
      </c>
      <c r="W37" s="507">
        <f>Bilan_E_KP_AME_2045!J37</f>
        <v>3.1384766478070549</v>
      </c>
      <c r="X37" s="506">
        <f>Bilan_E_KP_AME_2045!J35</f>
        <v>0</v>
      </c>
      <c r="Y37" s="489">
        <f t="shared" ref="Y37:Y47" si="6">SUM(T37:X37)</f>
        <v>117.9104978732921</v>
      </c>
      <c r="Z37" s="489">
        <f t="shared" ref="Z37:Z44" si="7">G37-Y37</f>
        <v>0</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f>SUM(G36:G41)-E55-E56-L41-L36</f>
        <v>214.66230474731617</v>
      </c>
      <c r="R38" s="498"/>
      <c r="S38" s="539"/>
      <c r="T38" s="84">
        <v>0</v>
      </c>
      <c r="U38" s="83">
        <v>0</v>
      </c>
      <c r="V38" s="84">
        <v>0</v>
      </c>
      <c r="W38" s="91">
        <v>0</v>
      </c>
      <c r="X38" s="91">
        <v>0</v>
      </c>
      <c r="Y38" s="489">
        <f t="shared" si="6"/>
        <v>0</v>
      </c>
      <c r="Z38" s="489">
        <f t="shared" si="7"/>
        <v>0</v>
      </c>
    </row>
    <row r="39" spans="1:26" x14ac:dyDescent="0.25">
      <c r="A39" s="739"/>
      <c r="B39" s="1" t="s">
        <v>35</v>
      </c>
      <c r="C39" s="33">
        <f>SUM(T39:X39)</f>
        <v>2.8554061636244761</v>
      </c>
      <c r="D39" s="539"/>
      <c r="E39" s="35"/>
      <c r="F39" s="539"/>
      <c r="G39" s="17">
        <f t="shared" si="5"/>
        <v>2.8554061636244761</v>
      </c>
      <c r="H39" s="539"/>
      <c r="I39" s="35"/>
      <c r="J39" s="37"/>
      <c r="K39" s="35"/>
      <c r="L39" s="35"/>
      <c r="M39" s="37"/>
      <c r="N39" s="35"/>
      <c r="O39" s="35"/>
      <c r="P39" s="35"/>
      <c r="Q39" s="541"/>
      <c r="R39" s="498"/>
      <c r="S39" s="539"/>
      <c r="T39" s="84">
        <f>Bilan_E_KP_AME_2045!O38</f>
        <v>6.6456137421005312E-2</v>
      </c>
      <c r="U39" s="83">
        <f>Bilan_E_KP_AME_2045!O34</f>
        <v>3.7537634069694789E-4</v>
      </c>
      <c r="V39" s="84">
        <f>Bilan_E_KP_AME_2045!O36</f>
        <v>2.0734984243972754</v>
      </c>
      <c r="W39" s="91">
        <f>Bilan_E_KP_AME_2045!O37</f>
        <v>0.71507622546549865</v>
      </c>
      <c r="X39" s="91">
        <f>Bilan_E_KP_AME_2045!O35</f>
        <v>0</v>
      </c>
      <c r="Y39" s="489">
        <f t="shared" si="6"/>
        <v>2.8554061636244761</v>
      </c>
      <c r="Z39" s="489">
        <f t="shared" si="7"/>
        <v>0</v>
      </c>
    </row>
    <row r="40" spans="1:26" x14ac:dyDescent="0.25">
      <c r="A40" s="739"/>
      <c r="B40" s="1" t="s">
        <v>36</v>
      </c>
      <c r="C40" s="33">
        <f>Bilan_E_KP_AME_2045!N12</f>
        <v>67.964408038916218</v>
      </c>
      <c r="D40" s="539"/>
      <c r="E40" s="35"/>
      <c r="F40" s="539"/>
      <c r="G40" s="17">
        <f t="shared" si="5"/>
        <v>67.964408038916218</v>
      </c>
      <c r="H40" s="539"/>
      <c r="I40" s="35"/>
      <c r="J40" s="37"/>
      <c r="K40" s="35"/>
      <c r="L40" s="35"/>
      <c r="M40" s="37"/>
      <c r="N40" s="35"/>
      <c r="O40" s="35"/>
      <c r="P40" s="35"/>
      <c r="Q40" s="541"/>
      <c r="R40" s="498"/>
      <c r="S40" s="539"/>
      <c r="T40" s="83">
        <f>Bilan_E_KP_AME_2045!N$38</f>
        <v>0</v>
      </c>
      <c r="U40" s="83">
        <f>Bilan_E_KP_AME_2045!N$34</f>
        <v>0</v>
      </c>
      <c r="V40" s="83">
        <f>Bilan_E_KP_AME_2045!N$36</f>
        <v>59.616390446150973</v>
      </c>
      <c r="W40" s="83">
        <f>Bilan_E_KP_AME_2045!N$37</f>
        <v>8.34801759276524</v>
      </c>
      <c r="X40" s="84">
        <f>Bilan_E_KP_AME_2045!N$35</f>
        <v>0</v>
      </c>
      <c r="Y40" s="489">
        <f t="shared" si="6"/>
        <v>67.964408038916218</v>
      </c>
      <c r="Z40" s="489">
        <f t="shared" si="7"/>
        <v>0</v>
      </c>
    </row>
    <row r="41" spans="1:26" x14ac:dyDescent="0.25">
      <c r="A41" s="739"/>
      <c r="B41" s="1" t="s">
        <v>37</v>
      </c>
      <c r="C41" s="33">
        <f>Bilan_E_KP_AME_2045!L12+Bilan_E_KP_AME_2045!J26+Bilan_E_KP_AME_2045!J27-Bilan_E_KP_AME_2045!L21</f>
        <v>24.110476598437344</v>
      </c>
      <c r="D41" s="191">
        <f>SUM(C36:C47)</f>
        <v>693.58340872528277</v>
      </c>
      <c r="E41" s="38"/>
      <c r="F41" s="191">
        <f>SUM(E36:E47)</f>
        <v>27.438174268283912</v>
      </c>
      <c r="G41" s="17">
        <f t="shared" si="5"/>
        <v>24.110476598437344</v>
      </c>
      <c r="H41" s="191">
        <f>SUM(G36:G47)</f>
        <v>666.14523445699888</v>
      </c>
      <c r="I41" s="35"/>
      <c r="J41" s="37"/>
      <c r="K41" s="35"/>
      <c r="L41" s="37">
        <f>-SUM(Bilan_E_KP_AME_2045!L13:L16)</f>
        <v>-1.821516073046034</v>
      </c>
      <c r="M41" s="35"/>
      <c r="N41" s="35"/>
      <c r="O41" s="35"/>
      <c r="P41" s="35"/>
      <c r="Q41" s="541"/>
      <c r="R41" s="508">
        <f>SUM(Q36:Q47)-S41</f>
        <v>1.8022759036284697E-4</v>
      </c>
      <c r="S41" s="191">
        <f>SUM(T36:X46)</f>
        <v>509.04254057398782</v>
      </c>
      <c r="T41" s="83">
        <f>Bilan_E_KP_AME_2045!L$38</f>
        <v>3.1934862443619529</v>
      </c>
      <c r="U41" s="83">
        <f>Bilan_E_KP_AME_2045!L$34</f>
        <v>0.96096945898437491</v>
      </c>
      <c r="V41" s="83">
        <f>Bilan_E_KP_AME_2045!L$36</f>
        <v>0</v>
      </c>
      <c r="W41" s="83">
        <f>Bilan_E_KP_AME_2045!L$37</f>
        <v>0</v>
      </c>
      <c r="X41" s="84">
        <f>Bilan_E_KP_AME_2045!L$35</f>
        <v>21.777356740546686</v>
      </c>
      <c r="Y41" s="489">
        <f t="shared" si="6"/>
        <v>25.931812443893016</v>
      </c>
      <c r="Z41" s="489">
        <f>G41-Y41-L41</f>
        <v>1.8022759036284697E-4</v>
      </c>
    </row>
    <row r="42" spans="1:26" x14ac:dyDescent="0.25">
      <c r="A42" s="739"/>
      <c r="B42" s="1" t="s">
        <v>38</v>
      </c>
      <c r="C42" s="33">
        <f>Bilan_E_KP_AME_2045!E18+Bilan_E_KP_AME_2045!F18-Bilan_E_KP_AME_2045!F21-Bilan_E_KP_AME_2045!F22-E54-SUM(T43:X43)-(Bilan_E_KP_AME_2045!E20+Bilan_E_KP_AME_2045!F20+Bilan_E_KP_AME_2045!E19+Bilan_E_KP_AME_2045!F19)</f>
        <v>253.16142263959537</v>
      </c>
      <c r="D42" s="539"/>
      <c r="E42" s="17">
        <f>Bilan_E_KP_AME_2045!F30+Bilan_E_KP_AME_2045!S25+Bilan_E_KP_AME_2045!F29+Bilan_E_KP_AME_2045!E29</f>
        <v>27.438174268283912</v>
      </c>
      <c r="F42" s="539"/>
      <c r="G42" s="17">
        <f t="shared" si="5"/>
        <v>225.72324837131146</v>
      </c>
      <c r="H42" s="539"/>
      <c r="I42" s="498"/>
      <c r="J42" s="37"/>
      <c r="K42" s="35"/>
      <c r="L42" s="35"/>
      <c r="M42" s="35"/>
      <c r="N42" s="35"/>
      <c r="O42" s="35"/>
      <c r="P42" s="35"/>
      <c r="Q42" s="36">
        <f>G42</f>
        <v>225.72324837131146</v>
      </c>
      <c r="R42" s="498"/>
      <c r="S42" s="539"/>
      <c r="T42" s="83">
        <v>0</v>
      </c>
      <c r="U42" s="83">
        <v>0</v>
      </c>
      <c r="V42" s="83">
        <v>0</v>
      </c>
      <c r="W42" s="83">
        <v>0</v>
      </c>
      <c r="X42" s="84">
        <f>Bilan_E_KP_AME_2045!F35</f>
        <v>225.72324837131151</v>
      </c>
      <c r="Y42" s="489">
        <f t="shared" si="6"/>
        <v>225.72324837131151</v>
      </c>
      <c r="Z42" s="489">
        <f>Q42-SUM(T42:X42)</f>
        <v>0</v>
      </c>
    </row>
    <row r="43" spans="1:26" x14ac:dyDescent="0.25">
      <c r="A43" s="739"/>
      <c r="B43" s="1" t="s">
        <v>39</v>
      </c>
      <c r="C43" s="33">
        <f>Bilan_E_KP_AME_2045!F41+SUM(T43:X43)</f>
        <v>167.190779847915</v>
      </c>
      <c r="D43" s="539"/>
      <c r="E43" s="38"/>
      <c r="F43" s="539"/>
      <c r="G43" s="17">
        <f>C43-E43</f>
        <v>167.190779847915</v>
      </c>
      <c r="H43" s="539"/>
      <c r="I43" s="35"/>
      <c r="J43" s="37"/>
      <c r="K43" s="35"/>
      <c r="L43" s="35"/>
      <c r="M43" s="35"/>
      <c r="N43" s="35"/>
      <c r="O43" s="35"/>
      <c r="P43" s="35"/>
      <c r="Q43" s="36">
        <f>G43-Bilan_E_KP_AME_2045!F41</f>
        <v>62.28074727109815</v>
      </c>
      <c r="R43" s="498"/>
      <c r="S43" s="539"/>
      <c r="T43" s="83">
        <f>Bilan_E_KP_AME_2045!F38</f>
        <v>27.931723909553636</v>
      </c>
      <c r="U43" s="83">
        <f>Bilan_E_KP_AME_2045!F34</f>
        <v>20.598782441852151</v>
      </c>
      <c r="V43" s="83">
        <f>Bilan_E_KP_AME_2045!F36</f>
        <v>11.075929176351762</v>
      </c>
      <c r="W43" s="83">
        <f>Bilan_E_KP_AME_2045!F37</f>
        <v>2.6743117433405894</v>
      </c>
      <c r="X43" s="84">
        <v>0</v>
      </c>
      <c r="Y43" s="489">
        <f t="shared" si="6"/>
        <v>62.280747271098143</v>
      </c>
      <c r="Z43" s="489">
        <f>Q43-SUM(T43:X43)</f>
        <v>0</v>
      </c>
    </row>
    <row r="44" spans="1:26" x14ac:dyDescent="0.25">
      <c r="A44" s="739"/>
      <c r="B44" s="1" t="s">
        <v>40</v>
      </c>
      <c r="C44" s="33">
        <f>SUM(T44:X44)</f>
        <v>1.7366010173968038</v>
      </c>
      <c r="D44" s="539"/>
      <c r="E44" s="38"/>
      <c r="F44" s="539"/>
      <c r="G44" s="17">
        <f t="shared" si="1"/>
        <v>1.7366010173968038</v>
      </c>
      <c r="H44" s="539"/>
      <c r="I44" s="35"/>
      <c r="J44" s="37"/>
      <c r="K44" s="35"/>
      <c r="L44" s="35"/>
      <c r="M44" s="35"/>
      <c r="N44" s="35"/>
      <c r="O44" s="35"/>
      <c r="P44" s="35"/>
      <c r="Q44" s="36">
        <f>G44-Bilan_E_KP_AME_2045!K41</f>
        <v>1.7366010173968038</v>
      </c>
      <c r="R44" s="498"/>
      <c r="S44" s="539"/>
      <c r="T44" s="83">
        <f>Bilan_E_KP_AME_2045!K$38</f>
        <v>0</v>
      </c>
      <c r="U44" s="83">
        <f>Bilan_E_KP_AME_2045!K34</f>
        <v>1.7366010173968038</v>
      </c>
      <c r="V44" s="83">
        <f>Bilan_E_KP_AME_2045!K$36</f>
        <v>0</v>
      </c>
      <c r="W44" s="83">
        <v>0</v>
      </c>
      <c r="X44" s="84">
        <f>Bilan_E_KP_AME_2045!K$35</f>
        <v>0</v>
      </c>
      <c r="Y44" s="489">
        <f t="shared" si="6"/>
        <v>1.7366010173968038</v>
      </c>
      <c r="Z44" s="489">
        <f t="shared" si="7"/>
        <v>0</v>
      </c>
    </row>
    <row r="45" spans="1:26" x14ac:dyDescent="0.25">
      <c r="A45" s="739"/>
      <c r="B45" s="1" t="s">
        <v>41</v>
      </c>
      <c r="C45" s="33">
        <f>E53</f>
        <v>11.505661507854215</v>
      </c>
      <c r="D45" s="539"/>
      <c r="E45" s="38"/>
      <c r="F45" s="539"/>
      <c r="G45" s="17">
        <f t="shared" si="1"/>
        <v>11.505661507854215</v>
      </c>
      <c r="H45" s="539"/>
      <c r="I45" s="35"/>
      <c r="J45" s="37"/>
      <c r="K45" s="35"/>
      <c r="L45" s="35"/>
      <c r="M45" s="35"/>
      <c r="N45" s="35"/>
      <c r="O45" s="35"/>
      <c r="P45" s="35"/>
      <c r="Q45" s="36">
        <f>G45-Bilan_E_KP_AME_2045!G41</f>
        <v>0</v>
      </c>
      <c r="R45" s="498"/>
      <c r="S45" s="539"/>
      <c r="T45" s="84">
        <v>0</v>
      </c>
      <c r="U45" s="83">
        <v>0</v>
      </c>
      <c r="V45" s="84">
        <v>0</v>
      </c>
      <c r="W45" s="92">
        <v>0</v>
      </c>
      <c r="X45" s="84">
        <v>0</v>
      </c>
      <c r="Y45" s="489">
        <f t="shared" si="6"/>
        <v>0</v>
      </c>
      <c r="Z45" s="489">
        <f>Q45-Y45</f>
        <v>0</v>
      </c>
    </row>
    <row r="46" spans="1:26" x14ac:dyDescent="0.25">
      <c r="A46" s="739"/>
      <c r="B46" s="1" t="s">
        <v>42</v>
      </c>
      <c r="C46" s="33">
        <f>Bilan_E_KP_AME_2045!D18-C18-C34</f>
        <v>44.318034238205584</v>
      </c>
      <c r="D46" s="539"/>
      <c r="E46" s="511"/>
      <c r="F46" s="539"/>
      <c r="G46" s="17">
        <f>C46-E46</f>
        <v>44.318034238205584</v>
      </c>
      <c r="H46" s="539"/>
      <c r="I46" s="38"/>
      <c r="J46" s="37"/>
      <c r="K46" s="35"/>
      <c r="L46" s="35"/>
      <c r="M46" s="35"/>
      <c r="N46" s="35"/>
      <c r="O46" s="35"/>
      <c r="P46" s="35"/>
      <c r="Q46" s="36">
        <f>G46-(Bilan_E_KP_AME_2045!D41+Bilan_E_KP_AME_2045!D29+Bilan_E_KP_AME_2045!D30)</f>
        <v>4.6398193944555857</v>
      </c>
      <c r="R46" s="498"/>
      <c r="S46" s="539"/>
      <c r="T46" s="506">
        <f>Bilan_E_KP_AME_2045!D38</f>
        <v>0</v>
      </c>
      <c r="U46" s="93">
        <f>Bilan_E_KP_AME_2045!D34</f>
        <v>4.6398193944555786</v>
      </c>
      <c r="V46" s="506">
        <f>Bilan_E_KP_AME_2045!D36</f>
        <v>0</v>
      </c>
      <c r="W46" s="507">
        <f>Bilan_E_KP_AME_2045!D37</f>
        <v>0</v>
      </c>
      <c r="X46" s="506">
        <f>Bilan_E_KP_AME_2045!D35</f>
        <v>0</v>
      </c>
      <c r="Y46" s="489">
        <f t="shared" si="6"/>
        <v>4.6398193944555786</v>
      </c>
      <c r="Z46" s="489">
        <f>Q46-Y46</f>
        <v>7.1054273576010019E-15</v>
      </c>
    </row>
    <row r="47" spans="1:26" x14ac:dyDescent="0.25">
      <c r="A47" s="90"/>
      <c r="B47" s="1" t="s">
        <v>31</v>
      </c>
      <c r="C47" s="33">
        <f>E57</f>
        <v>2.8301208000456781</v>
      </c>
      <c r="D47" s="192"/>
      <c r="E47" s="511"/>
      <c r="F47" s="192"/>
      <c r="G47" s="17">
        <f>C47-E47</f>
        <v>2.8301208000456781</v>
      </c>
      <c r="H47" s="192"/>
      <c r="I47" s="38"/>
      <c r="J47" s="37"/>
      <c r="K47" s="35"/>
      <c r="L47" s="35"/>
      <c r="M47" s="35"/>
      <c r="N47" s="35"/>
      <c r="O47" s="35"/>
      <c r="P47" s="35"/>
      <c r="Q47" s="542">
        <f>G47-Bilan_E_KP_AME_2045!R41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C5-L13-SUM(L21:L24)-L30-L41-Bilan_E_KP_AME_2045!S18</f>
        <v>0</v>
      </c>
      <c r="D49" s="1"/>
      <c r="E49" s="34">
        <f>SUM(E7:E47)+I13-Bilan_E_KP_AME_2045!S32+K13+SUM(K21:K24)+K30+Bilan_E_KP_AME_2045!D29+Bilan_E_KP_AME_2045!D30</f>
        <v>1.5809575870662229E-13</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501.13430337421443</v>
      </c>
    </row>
    <row r="52" spans="1:19" x14ac:dyDescent="0.25">
      <c r="A52" s="21"/>
      <c r="B52" s="1" t="s">
        <v>44</v>
      </c>
      <c r="C52" s="44"/>
      <c r="D52" s="1"/>
      <c r="E52" s="39">
        <f>Bilan_E_KP_AME_2045!D41+Bilan_E_KP_AME_2045!D29+Bilan_E_KP_AME_2045!D30</f>
        <v>39.678214843749998</v>
      </c>
      <c r="F52" s="187"/>
      <c r="G52" s="1"/>
      <c r="H52" s="1"/>
      <c r="I52" s="30"/>
      <c r="J52" s="17"/>
      <c r="K52" s="17"/>
      <c r="L52" s="21"/>
      <c r="M52" s="1"/>
      <c r="N52" s="17"/>
      <c r="O52" s="17"/>
      <c r="P52" s="17"/>
      <c r="Q52" s="1"/>
      <c r="S52" s="33"/>
    </row>
    <row r="53" spans="1:19" x14ac:dyDescent="0.25">
      <c r="A53" s="21"/>
      <c r="B53" s="1" t="s">
        <v>41</v>
      </c>
      <c r="C53" s="45"/>
      <c r="D53" s="17"/>
      <c r="E53" s="433">
        <f>Bilan_E_KP_AME_2045!G41+Bilan_E_KP_AME_2045!G29</f>
        <v>11.505661507854215</v>
      </c>
      <c r="F53" s="187"/>
      <c r="G53" s="1"/>
      <c r="H53" s="1"/>
      <c r="I53" s="30"/>
      <c r="J53" s="17"/>
      <c r="K53" s="17"/>
      <c r="L53" s="21"/>
      <c r="M53" s="1"/>
      <c r="N53" s="17"/>
      <c r="O53" s="17"/>
      <c r="P53" s="17"/>
      <c r="Q53" s="1"/>
    </row>
    <row r="54" spans="1:19" x14ac:dyDescent="0.25">
      <c r="A54" s="21"/>
      <c r="B54" s="1" t="s">
        <v>39</v>
      </c>
      <c r="C54" s="45"/>
      <c r="D54" s="17"/>
      <c r="E54" s="435">
        <f>Bilan_E_KP_AME_2045!F41</f>
        <v>104.91003257681685</v>
      </c>
      <c r="F54" s="187"/>
      <c r="G54" s="1"/>
      <c r="H54" s="1"/>
      <c r="I54" s="30"/>
      <c r="J54" s="17"/>
      <c r="K54" s="17"/>
      <c r="L54" s="21"/>
      <c r="M54" s="21"/>
      <c r="N54" s="17"/>
      <c r="O54" s="17"/>
      <c r="P54" s="17"/>
      <c r="Q54" s="1"/>
    </row>
    <row r="55" spans="1:19" x14ac:dyDescent="0.25">
      <c r="B55" s="1" t="s">
        <v>21</v>
      </c>
      <c r="E55" s="434">
        <f>Bilan_E_KP_AME_2045!M41+Bilan_E_KP_AME_2045!M29</f>
        <v>0</v>
      </c>
    </row>
    <row r="56" spans="1:19" x14ac:dyDescent="0.25">
      <c r="B56" s="1" t="s">
        <v>37</v>
      </c>
      <c r="E56" s="515">
        <f>Bilan_E_KP_AME_2045!L41+Bilan_E_KP_AME_2045!L29</f>
        <v>0</v>
      </c>
    </row>
    <row r="57" spans="1:19" x14ac:dyDescent="0.25">
      <c r="B57" s="1" t="s">
        <v>31</v>
      </c>
      <c r="E57" s="515">
        <f>Bilan_E_KP_AME_2045!R41</f>
        <v>2.8301208000456781</v>
      </c>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2804B-06F0-469B-8E0E-CB729205DABC}">
  <dimension ref="A1:Z57"/>
  <sheetViews>
    <sheetView topLeftCell="A19" workbookViewId="0">
      <selection activeCell="C44" sqref="C44"/>
    </sheetView>
  </sheetViews>
  <sheetFormatPr baseColWidth="10" defaultColWidth="11.42578125" defaultRowHeight="15" x14ac:dyDescent="0.25"/>
  <cols>
    <col min="2" max="2" width="25.85546875" customWidth="1"/>
    <col min="5" max="5" width="11.28515625" customWidth="1"/>
    <col min="17" max="17" width="15.85546875" bestFit="1"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2161.9320758013632</v>
      </c>
      <c r="D5" s="18"/>
      <c r="E5" s="20"/>
      <c r="F5" s="494"/>
      <c r="G5" s="21"/>
      <c r="H5" s="493"/>
      <c r="I5" s="21"/>
      <c r="J5" s="22"/>
      <c r="K5" s="23"/>
      <c r="L5" s="14"/>
      <c r="M5" s="14"/>
      <c r="N5" s="15"/>
      <c r="O5" s="16"/>
      <c r="P5" s="16"/>
      <c r="Q5" s="24">
        <f>Q13+Q22+Q30+Q42+Q46+Q38+Q43</f>
        <v>1335.6193091503544</v>
      </c>
      <c r="R5" s="487"/>
      <c r="S5" s="79">
        <f>SUM(S13,S22,S27:S32,S41)</f>
        <v>1337.3305910951583</v>
      </c>
      <c r="T5" s="79">
        <f>SUM(T8:T46)</f>
        <v>41.899452717118891</v>
      </c>
      <c r="U5" s="79">
        <f>SUM(U8:U46)</f>
        <v>273.02383748439536</v>
      </c>
      <c r="V5" s="79">
        <f>SUM(V8:V46)</f>
        <v>439.5744830744099</v>
      </c>
      <c r="W5" s="173">
        <f>SUM(W8:W46)</f>
        <v>227.90858744515975</v>
      </c>
      <c r="X5" s="79">
        <f>SUM(X8:X46)</f>
        <v>354.92423037407423</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f>(([12]Offre_calc!$V$81+[12]Offre_calc!$V$82+[12]Offre_calc!$V$127+[12]Offre_calc!$V$128)/([12]Offre_calc!$V$78+[12]Offre_calc!$V$124))*Bilan_E_KP_AME_2050!I$21</f>
        <v>165.69590045425397</v>
      </c>
      <c r="D7" s="516"/>
      <c r="E7" s="28">
        <v>0</v>
      </c>
      <c r="F7" s="516"/>
      <c r="G7" s="17">
        <f>C7-E7</f>
        <v>165.69590045425397</v>
      </c>
      <c r="H7" s="516"/>
      <c r="I7" s="21"/>
      <c r="J7" s="516"/>
      <c r="K7" s="523"/>
      <c r="L7" s="523"/>
      <c r="M7" s="523"/>
      <c r="N7" s="523"/>
      <c r="O7" s="523"/>
      <c r="P7" s="513"/>
      <c r="Q7" s="526"/>
      <c r="R7" s="498"/>
      <c r="S7" s="526"/>
      <c r="T7" s="523"/>
      <c r="U7" s="523"/>
      <c r="V7" s="523"/>
      <c r="W7" s="523"/>
      <c r="X7" s="523"/>
    </row>
    <row r="8" spans="1:24" x14ac:dyDescent="0.25">
      <c r="A8" s="736"/>
      <c r="B8" s="1" t="s">
        <v>18</v>
      </c>
      <c r="C8" s="486">
        <f>(([12]Offre_calc!$V$80+[12]Offre_calc!$V$126)/([12]Offre_calc!$V$78+[12]Offre_calc!$V$124))*Bilan_E_KP_AME_2050!I$21</f>
        <v>61.600743099155849</v>
      </c>
      <c r="D8" s="81"/>
      <c r="E8" s="28">
        <v>0</v>
      </c>
      <c r="F8" s="81"/>
      <c r="G8" s="17">
        <f t="shared" ref="G8:G19" si="0">C8-E8</f>
        <v>61.600743099155849</v>
      </c>
      <c r="H8" s="81"/>
      <c r="I8" s="21"/>
      <c r="J8" s="81"/>
      <c r="K8" s="524"/>
      <c r="L8" s="524"/>
      <c r="M8" s="524"/>
      <c r="N8" s="524"/>
      <c r="O8" s="524"/>
      <c r="P8" s="29"/>
      <c r="Q8" s="527"/>
      <c r="R8" s="498"/>
      <c r="S8" s="527"/>
      <c r="T8" s="524"/>
      <c r="U8" s="524"/>
      <c r="V8" s="524"/>
      <c r="W8" s="524"/>
      <c r="X8" s="524"/>
    </row>
    <row r="9" spans="1:24" x14ac:dyDescent="0.25">
      <c r="A9" s="736"/>
      <c r="B9" s="1" t="s">
        <v>19</v>
      </c>
      <c r="C9" s="486">
        <f>(([12]Offre_calc!$V$79+[12]Offre_calc!$V$125)/([12]Offre_calc!$V$78+[12]Offre_calc!$V$124))*Bilan_E_KP_AME_2050!I$21</f>
        <v>111.08330722798594</v>
      </c>
      <c r="D9" s="81"/>
      <c r="E9" s="28">
        <v>0</v>
      </c>
      <c r="F9" s="81"/>
      <c r="G9" s="17">
        <f t="shared" si="0"/>
        <v>111.08330722798594</v>
      </c>
      <c r="H9" s="81"/>
      <c r="I9" s="21"/>
      <c r="J9" s="81"/>
      <c r="K9" s="524"/>
      <c r="L9" s="524"/>
      <c r="M9" s="524"/>
      <c r="N9" s="524"/>
      <c r="O9" s="524"/>
      <c r="P9" s="29"/>
      <c r="Q9" s="527"/>
      <c r="R9" s="498"/>
      <c r="S9" s="527"/>
      <c r="T9" s="524"/>
      <c r="U9" s="524"/>
      <c r="V9" s="524"/>
      <c r="W9" s="524"/>
      <c r="X9" s="524"/>
    </row>
    <row r="10" spans="1:24" x14ac:dyDescent="0.25">
      <c r="A10" s="736"/>
      <c r="B10" s="1" t="s">
        <v>20</v>
      </c>
      <c r="C10" s="17">
        <f>Bilan_E_KP_AME_2050!H21-(Bilan_E_KP_AME_2050!P20+Bilan_E_KP_AME_2050!P19)</f>
        <v>727.27272727272737</v>
      </c>
      <c r="D10" s="81"/>
      <c r="E10" s="28">
        <f>F13-SUM(E11:E19)</f>
        <v>492.5991370284097</v>
      </c>
      <c r="F10" s="81"/>
      <c r="G10" s="17">
        <f>C10-E10</f>
        <v>234.67359024431767</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f>Bilan_E_KP_AME_2050!M21</f>
        <v>1.0761160081227215</v>
      </c>
      <c r="D11" s="81"/>
      <c r="E11" s="28">
        <f>C11*(1-[12]Offre_calc!$V$161)</f>
        <v>0.43044640324908862</v>
      </c>
      <c r="F11" s="81"/>
      <c r="G11" s="17">
        <f t="shared" si="0"/>
        <v>0.64566960487363279</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f>Bilan_E_KP_AME_2050!K21</f>
        <v>6.2305848357200952</v>
      </c>
      <c r="D12" s="81"/>
      <c r="E12" s="28">
        <f>C12*(1-[12]Offre_calc!$V$171)</f>
        <v>3.7383509014320571</v>
      </c>
      <c r="F12" s="81"/>
      <c r="G12" s="17">
        <f t="shared" si="0"/>
        <v>2.4922339342880382</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f>Bilan_E_KP_AME_2050!J21</f>
        <v>28.452469116356035</v>
      </c>
      <c r="D13" s="81">
        <f>SUM(C7:C19)</f>
        <v>1170.1282237174314</v>
      </c>
      <c r="E13" s="28">
        <f>C13*(1-[12]Offre_calc!$V$170)</f>
        <v>17.071481469813619</v>
      </c>
      <c r="F13" s="81">
        <f>Bilan_E_KP_AME_2050!S21</f>
        <v>540.98307170325586</v>
      </c>
      <c r="G13" s="17">
        <f t="shared" si="0"/>
        <v>11.380987646542415</v>
      </c>
      <c r="H13" s="81">
        <f>SUM(G7:G19)</f>
        <v>629.14515201417589</v>
      </c>
      <c r="I13" s="33">
        <f>Bilan_E_KP_AME_2050!P30</f>
        <v>26.129145836866744</v>
      </c>
      <c r="J13" s="81">
        <f>H13-I13</f>
        <v>603.01600617730912</v>
      </c>
      <c r="K13" s="29">
        <f>Bilan_E_KP_AME_2050!P31</f>
        <v>47.131742012269626</v>
      </c>
      <c r="L13" s="29">
        <f>-(Bilan_E_KP_AME_2050!P14+Bilan_E_KP_AME_2050!P13)</f>
        <v>12.7985093299136</v>
      </c>
      <c r="M13" s="29">
        <f>Bilan_E_KP_AME_2050!P28</f>
        <v>1.1785562348680418</v>
      </c>
      <c r="N13" s="29"/>
      <c r="O13" s="29"/>
      <c r="P13" s="29"/>
      <c r="Q13" s="81">
        <f>J13-K13-L13-M13-N13-O13-P13</f>
        <v>541.90719860025774</v>
      </c>
      <c r="R13" s="508">
        <f>Q13-S13</f>
        <v>0</v>
      </c>
      <c r="S13" s="81">
        <f>SUM(T8:X19)</f>
        <v>541.9071986002574</v>
      </c>
      <c r="T13" s="29">
        <f>Bilan_E_KP_AME_2050!P38</f>
        <v>5.5235547180923223</v>
      </c>
      <c r="U13" s="29">
        <f>Bilan_E_KP_AME_2050!P34+Bilan_E_KP_AME_2050!P39</f>
        <v>114.99790196708234</v>
      </c>
      <c r="V13" s="29">
        <f>Bilan_E_KP_AME_2050!P36</f>
        <v>194.47767196350526</v>
      </c>
      <c r="W13" s="29">
        <f>Bilan_E_KP_AME_2050!P37</f>
        <v>146.08879967332064</v>
      </c>
      <c r="X13" s="29">
        <f>Bilan_E_KP_AME_2050!P35</f>
        <v>80.819270278256823</v>
      </c>
    </row>
    <row r="14" spans="1:24" x14ac:dyDescent="0.25">
      <c r="A14" s="736"/>
      <c r="B14" s="1" t="s">
        <v>24</v>
      </c>
      <c r="C14" s="17">
        <f>Bilan_E_KP_AME_2050!O21</f>
        <v>7.5664382136221358</v>
      </c>
      <c r="D14" s="81"/>
      <c r="E14" s="28">
        <v>0</v>
      </c>
      <c r="F14" s="81"/>
      <c r="G14" s="17">
        <f t="shared" si="0"/>
        <v>7.5664382136221358</v>
      </c>
      <c r="H14" s="81"/>
      <c r="I14" s="21"/>
      <c r="J14" s="81"/>
      <c r="K14" s="524"/>
      <c r="L14" s="524"/>
      <c r="M14" s="524"/>
      <c r="N14" s="524"/>
      <c r="O14" s="524"/>
      <c r="P14" s="29"/>
      <c r="Q14" s="527"/>
      <c r="R14" s="498"/>
      <c r="S14" s="527"/>
      <c r="T14" s="524"/>
      <c r="U14" s="524"/>
      <c r="V14" s="524"/>
      <c r="W14" s="524"/>
      <c r="X14" s="524"/>
    </row>
    <row r="15" spans="1:24" x14ac:dyDescent="0.25">
      <c r="A15" s="736"/>
      <c r="B15" s="1" t="s">
        <v>25</v>
      </c>
      <c r="C15" s="17">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36"/>
      <c r="B16" s="1" t="s">
        <v>343</v>
      </c>
      <c r="C16" s="17">
        <f>Bilan_E_KP_AME_2050!L21</f>
        <v>3.7328950664080915</v>
      </c>
      <c r="D16" s="81"/>
      <c r="E16" s="28">
        <f>C16*(1-[12]Offre_calc!$V$158)</f>
        <v>2.0904212371885316</v>
      </c>
      <c r="F16" s="81"/>
      <c r="G16" s="17">
        <f t="shared" si="0"/>
        <v>1.64247382921956</v>
      </c>
      <c r="H16" s="81"/>
      <c r="I16" s="21"/>
      <c r="J16" s="81"/>
      <c r="K16" s="524"/>
      <c r="L16" s="524"/>
      <c r="M16" s="524"/>
      <c r="N16" s="524"/>
      <c r="O16" s="524"/>
      <c r="P16" s="29"/>
      <c r="Q16" s="527"/>
      <c r="R16" s="498"/>
      <c r="S16" s="527"/>
      <c r="T16" s="524"/>
      <c r="U16" s="524"/>
      <c r="V16" s="524"/>
      <c r="W16" s="524"/>
      <c r="X16" s="524"/>
    </row>
    <row r="17" spans="1:24" x14ac:dyDescent="0.25">
      <c r="A17" s="736"/>
      <c r="B17" s="1" t="s">
        <v>27</v>
      </c>
      <c r="C17" s="17">
        <f>Bilan_E_KP_AME_2050!F21</f>
        <v>8.0599105831015567</v>
      </c>
      <c r="D17" s="81"/>
      <c r="E17" s="28">
        <f>C17*(1-[12]Offre_calc!$V$158)</f>
        <v>4.5135499265368724</v>
      </c>
      <c r="F17" s="81"/>
      <c r="G17" s="17">
        <f t="shared" si="0"/>
        <v>3.5463606565646844</v>
      </c>
      <c r="H17" s="81"/>
      <c r="I17" s="21"/>
      <c r="J17" s="81"/>
      <c r="K17" s="524"/>
      <c r="L17" s="524"/>
      <c r="M17" s="524"/>
      <c r="N17" s="524"/>
      <c r="O17" s="524"/>
      <c r="P17" s="29"/>
      <c r="Q17" s="527"/>
      <c r="R17" s="498"/>
      <c r="S17" s="527"/>
      <c r="T17" s="524"/>
      <c r="U17" s="524"/>
      <c r="V17" s="524"/>
      <c r="W17" s="524"/>
      <c r="X17" s="524"/>
    </row>
    <row r="18" spans="1:24" x14ac:dyDescent="0.25">
      <c r="A18" s="736"/>
      <c r="B18" s="1" t="s">
        <v>28</v>
      </c>
      <c r="C18" s="17">
        <f>Bilan_E_KP_AME_2050!D21</f>
        <v>2.8267856410252494</v>
      </c>
      <c r="D18" s="81"/>
      <c r="E18" s="28">
        <f>C18*(1-[12]Offre_calc!$V$157)</f>
        <v>1.9275462570448931</v>
      </c>
      <c r="F18" s="81"/>
      <c r="G18" s="17">
        <f t="shared" si="0"/>
        <v>0.8992393839803563</v>
      </c>
      <c r="H18" s="81"/>
      <c r="I18" s="21"/>
      <c r="J18" s="81"/>
      <c r="K18" s="524"/>
      <c r="L18" s="524"/>
      <c r="M18" s="524"/>
      <c r="N18" s="524"/>
      <c r="O18" s="524"/>
      <c r="P18" s="29"/>
      <c r="Q18" s="527"/>
      <c r="R18" s="498"/>
      <c r="S18" s="527"/>
      <c r="T18" s="524"/>
      <c r="U18" s="524"/>
      <c r="V18" s="524"/>
      <c r="W18" s="524"/>
      <c r="X18" s="524"/>
    </row>
    <row r="19" spans="1:24" x14ac:dyDescent="0.25">
      <c r="A19" s="736"/>
      <c r="B19" s="1" t="s">
        <v>260</v>
      </c>
      <c r="C19" s="17">
        <f>Bilan_E_KP_AME_2050!G21+Bilan_E_KP_AME_2050!R21</f>
        <v>46.530346198952707</v>
      </c>
      <c r="D19" s="82"/>
      <c r="E19" s="28">
        <f>C19*(1-[12]Offre_calc!$V$160)</f>
        <v>18.612138479581084</v>
      </c>
      <c r="F19" s="82"/>
      <c r="G19" s="17">
        <f t="shared" si="0"/>
        <v>27.918207719371622</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0.32267618658593678</v>
      </c>
      <c r="H20" s="499"/>
      <c r="I20" s="17"/>
      <c r="J20" s="1"/>
      <c r="K20" s="17"/>
      <c r="L20" s="1"/>
      <c r="M20" s="1"/>
      <c r="N20" s="1"/>
      <c r="O20" s="1"/>
      <c r="P20" s="1"/>
      <c r="Q20" s="499"/>
      <c r="R20" s="498"/>
      <c r="S20" s="408"/>
      <c r="T20" s="495"/>
      <c r="U20" s="408"/>
      <c r="V20" s="495"/>
      <c r="W20" s="408"/>
      <c r="X20" s="495"/>
    </row>
    <row r="21" spans="1:24" x14ac:dyDescent="0.25">
      <c r="A21" s="737" t="s">
        <v>13</v>
      </c>
      <c r="B21" s="1" t="s">
        <v>21</v>
      </c>
      <c r="C21" s="17">
        <f>Bilan_E_KP_AME_2050!J23+Bilan_E_KP_AME_2050!M12</f>
        <v>7.3054951444669856</v>
      </c>
      <c r="D21" s="529"/>
      <c r="E21" s="33">
        <f>Bilan_E_KP_AME_2050!S23+Bilan_E_KP_AME_2050!M30</f>
        <v>0.41686200173574783</v>
      </c>
      <c r="F21" s="529"/>
      <c r="G21" s="17">
        <f t="shared" ref="G21:G45" si="1">C21-E21</f>
        <v>6.8886331427312379</v>
      </c>
      <c r="H21" s="529"/>
      <c r="I21" s="17"/>
      <c r="J21" s="529"/>
      <c r="K21" s="545">
        <f>Bilan_E_KP_AME_2050!M31</f>
        <v>8.0911668057348868E-2</v>
      </c>
      <c r="L21" s="545">
        <f>-(Bilan_E_KP_AME_2050!M13+Bilan_E_KP_AME_2050!M14+Bilan_E_KP_AME_2050!M15+Bilan_E_KP_AME_2050!M16)</f>
        <v>0</v>
      </c>
      <c r="M21" s="545">
        <f>Bilan_E_KP_AME_2050!M28</f>
        <v>0.17577324417174797</v>
      </c>
      <c r="N21" s="545">
        <f>Bilan_E_KP_AME_2050!M22</f>
        <v>0.31740804730172578</v>
      </c>
      <c r="O21" s="545">
        <f>Bilan_E_KP_AME_2050!M21</f>
        <v>1.0761160081227215</v>
      </c>
      <c r="P21" s="529"/>
      <c r="Q21" s="529"/>
      <c r="R21" s="498"/>
      <c r="S21" s="529"/>
      <c r="T21" s="529"/>
      <c r="U21" s="529"/>
      <c r="V21" s="529"/>
      <c r="W21" s="529"/>
      <c r="X21" s="529"/>
    </row>
    <row r="22" spans="1:24" x14ac:dyDescent="0.25">
      <c r="A22" s="737"/>
      <c r="B22" s="1" t="s">
        <v>30</v>
      </c>
      <c r="C22" s="17"/>
      <c r="D22" s="85">
        <f>SUM(C21:C24)</f>
        <v>347.81228089014149</v>
      </c>
      <c r="E22" s="497"/>
      <c r="F22" s="85">
        <f>SUM(E21:E24)</f>
        <v>8.0851005058287679</v>
      </c>
      <c r="G22" s="17"/>
      <c r="H22" s="85">
        <f>SUM(G21:G24)</f>
        <v>339.7271803843127</v>
      </c>
      <c r="I22" s="408"/>
      <c r="J22" s="85">
        <f>H22-I22</f>
        <v>339.7271803843127</v>
      </c>
      <c r="K22" s="32"/>
      <c r="L22" s="32"/>
      <c r="M22" s="32"/>
      <c r="N22" s="32"/>
      <c r="O22" s="32"/>
      <c r="P22" s="32"/>
      <c r="Q22" s="85">
        <f>J22-SUM(K21:P24)</f>
        <v>264.18555600069658</v>
      </c>
      <c r="R22" s="508">
        <f>Q22-S22</f>
        <v>-2.5363417285348078E-2</v>
      </c>
      <c r="S22" s="85">
        <f>SUM(T22:X24)</f>
        <v>264.21091941798193</v>
      </c>
      <c r="T22" s="32">
        <f>Bilan_E_KP_AME_2050!G38+Bilan_E_KP_AME_2050!R38+Bilan_E_KP_AME_2050!M$38</f>
        <v>0.82724150114229067</v>
      </c>
      <c r="U22" s="32">
        <f>Bilan_E_KP_AME_2050!G34+Bilan_E_KP_AME_2050!R34+Bilan_E_KP_AME_2050!M$34</f>
        <v>93.244653189496177</v>
      </c>
      <c r="V22" s="32">
        <f>Bilan_E_KP_AME_2050!G36+Bilan_E_KP_AME_2050!R36+Bilan_E_KP_AME_2050!M$36</f>
        <v>69.950393796181032</v>
      </c>
      <c r="W22" s="32">
        <f>Bilan_E_KP_AME_2050!G37+Bilan_E_KP_AME_2050!K37+Bilan_E_KP_AME_2050!R37+Bilan_E_KP_AME_2050!M$37</f>
        <v>63.855416891592903</v>
      </c>
      <c r="X22" s="32">
        <f>Bilan_E_KP_AME_2050!G35+Bilan_E_KP_AME_2050!R35+Bilan_E_KP_AME_2050!M$35</f>
        <v>36.333214039569555</v>
      </c>
    </row>
    <row r="23" spans="1:24" x14ac:dyDescent="0.25">
      <c r="A23" s="737"/>
      <c r="B23" s="1" t="s">
        <v>31</v>
      </c>
      <c r="C23" s="17">
        <f>SUM(Bilan_E_KP_AME_2050!D28:Q28)-C47</f>
        <v>6.1528027766898798</v>
      </c>
      <c r="D23" s="530"/>
      <c r="E23" s="33">
        <f>Bilan_E_KP_AME_2050!S28+Bilan_E_KP_AME_2050!S27</f>
        <v>2.99690014009302</v>
      </c>
      <c r="F23" s="532"/>
      <c r="G23" s="17">
        <f t="shared" si="1"/>
        <v>3.1559026365968599</v>
      </c>
      <c r="H23" s="532"/>
      <c r="I23" s="17"/>
      <c r="J23" s="532"/>
      <c r="K23" s="534">
        <f>Bilan_E_KP_AME_2050!R31</f>
        <v>0</v>
      </c>
      <c r="L23" s="534">
        <f>-(Bilan_E_KP_AME_2050!R13+Bilan_E_KP_AME_2050!R14+Bilan_E_KP_AME_2050!R15+Bilan_E_KP_AME_2050!R16)</f>
        <v>0</v>
      </c>
      <c r="M23" s="534"/>
      <c r="N23" s="534">
        <f>Bilan_E_KP_AME_2050!R22</f>
        <v>0</v>
      </c>
      <c r="O23" s="534">
        <f>Bilan_E_KP_AME_2050!R21</f>
        <v>0</v>
      </c>
      <c r="P23" s="534">
        <f>-Bilan_E_KP_AME_2050!L27</f>
        <v>0</v>
      </c>
      <c r="Q23" s="532"/>
      <c r="S23" s="532"/>
      <c r="T23" s="536"/>
      <c r="U23" s="536"/>
      <c r="V23" s="536"/>
      <c r="W23" s="536"/>
      <c r="X23" s="536"/>
    </row>
    <row r="24" spans="1:24" x14ac:dyDescent="0.25">
      <c r="A24" s="737"/>
      <c r="B24" s="1" t="s">
        <v>32</v>
      </c>
      <c r="C24" s="17">
        <f>Bilan_E_KP_AME_2050!G18-C45-(Bilan_E_KP_AME_2050!G20+Bilan_E_KP_AME_2050!G19)</f>
        <v>334.35398296898461</v>
      </c>
      <c r="D24" s="531"/>
      <c r="E24" s="33">
        <f>Bilan_E_KP_AME_2050!G30</f>
        <v>4.6713383640000004</v>
      </c>
      <c r="F24" s="533"/>
      <c r="G24" s="17">
        <f t="shared" si="1"/>
        <v>329.6826446049846</v>
      </c>
      <c r="H24" s="533"/>
      <c r="I24" s="34"/>
      <c r="J24" s="533"/>
      <c r="K24" s="535">
        <f>Bilan_E_KP_AME_2050!G31</f>
        <v>3.9646717348100942</v>
      </c>
      <c r="L24" s="535"/>
      <c r="M24" s="535">
        <f>Bilan_E_KP_AME_2050!G28</f>
        <v>8.6128889644156494</v>
      </c>
      <c r="N24" s="535">
        <f>Bilan_E_KP_AME_2050!G22</f>
        <v>14.783508517784153</v>
      </c>
      <c r="O24" s="535">
        <f>Bilan_E_KP_AME_2050!G21</f>
        <v>46.530346198952707</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38" t="s">
        <v>14</v>
      </c>
      <c r="B26" s="1" t="s">
        <v>21</v>
      </c>
      <c r="C26" s="17">
        <f>Bilan_E_KP_AME_2050!M22</f>
        <v>0.31740804730172578</v>
      </c>
      <c r="D26" s="512"/>
      <c r="E26" s="190">
        <f>C26*F$35</f>
        <v>2.6988495202354305E-2</v>
      </c>
      <c r="F26" s="512"/>
      <c r="G26" s="33">
        <f t="shared" ref="G26:G31" si="2">C26-E26</f>
        <v>0.29041955209937148</v>
      </c>
      <c r="H26" s="512"/>
      <c r="I26" s="1"/>
      <c r="J26" s="512"/>
      <c r="K26" s="512"/>
      <c r="L26" s="512"/>
      <c r="M26" s="512"/>
      <c r="N26" s="512"/>
      <c r="O26" s="512"/>
      <c r="P26" s="512"/>
      <c r="Q26" s="512"/>
      <c r="R26" s="498"/>
      <c r="S26" s="512"/>
      <c r="T26" s="512"/>
      <c r="U26" s="512"/>
      <c r="V26" s="512"/>
      <c r="W26" s="512"/>
      <c r="X26" s="512"/>
    </row>
    <row r="27" spans="1:24" x14ac:dyDescent="0.25">
      <c r="A27" s="738"/>
      <c r="B27" s="1" t="s">
        <v>22</v>
      </c>
      <c r="C27" s="17">
        <f>Bilan_E_KP_AME_2050!K18-Bilan_E_KP_AME_2050!K21-Bilan_E_KP_AME_2050!K34-(Bilan_E_KP_AME_2050!Q20+Bilan_E_KP_AME_2050!Q19+Bilan_E_KP_AME_2050!K20+Bilan_E_KP_AME_2050!K19)</f>
        <v>11.955597520710706</v>
      </c>
      <c r="D27" s="87"/>
      <c r="E27" s="190">
        <f t="shared" ref="E27:E34" si="3">C27*F$35</f>
        <v>1.0165576741734537</v>
      </c>
      <c r="F27" s="87"/>
      <c r="G27" s="33">
        <f t="shared" si="2"/>
        <v>10.939039846537252</v>
      </c>
      <c r="H27" s="87"/>
      <c r="I27" s="500"/>
      <c r="J27" s="87"/>
      <c r="K27" s="87"/>
      <c r="L27" s="87"/>
      <c r="M27" s="87"/>
      <c r="N27" s="87"/>
      <c r="O27" s="87"/>
      <c r="P27" s="87"/>
      <c r="Q27" s="87"/>
      <c r="R27" s="498"/>
      <c r="S27" s="87"/>
      <c r="T27" s="87"/>
      <c r="U27" s="87"/>
      <c r="V27" s="87"/>
      <c r="W27" s="87"/>
      <c r="X27" s="87"/>
    </row>
    <row r="28" spans="1:24" x14ac:dyDescent="0.25">
      <c r="A28" s="738"/>
      <c r="B28" s="1" t="s">
        <v>26</v>
      </c>
      <c r="C28" s="17"/>
      <c r="D28" s="87"/>
      <c r="E28" s="190">
        <f t="shared" si="3"/>
        <v>0</v>
      </c>
      <c r="F28" s="87"/>
      <c r="G28" s="33">
        <f>C28-E28</f>
        <v>0</v>
      </c>
      <c r="H28" s="87"/>
      <c r="I28" s="1"/>
      <c r="J28" s="87"/>
      <c r="K28" s="87"/>
      <c r="L28" s="87"/>
      <c r="M28" s="87"/>
      <c r="N28" s="87"/>
      <c r="O28" s="87"/>
      <c r="P28" s="87"/>
      <c r="Q28" s="87"/>
      <c r="R28" s="498"/>
      <c r="S28" s="87"/>
      <c r="T28" s="87"/>
      <c r="U28" s="87"/>
      <c r="V28" s="87"/>
      <c r="W28" s="87"/>
      <c r="X28" s="87"/>
    </row>
    <row r="29" spans="1:24" x14ac:dyDescent="0.25">
      <c r="A29" s="738"/>
      <c r="B29" s="1" t="s">
        <v>23</v>
      </c>
      <c r="C29" s="17">
        <f>Bilan_E_KP_AME_2050!J22</f>
        <v>12.163067049530284</v>
      </c>
      <c r="D29" s="87"/>
      <c r="E29" s="190">
        <f t="shared" si="3"/>
        <v>1.0341983434343034</v>
      </c>
      <c r="F29" s="87"/>
      <c r="G29" s="33">
        <f t="shared" si="2"/>
        <v>11.128868706095981</v>
      </c>
      <c r="H29" s="87"/>
      <c r="I29" s="1"/>
      <c r="J29" s="87"/>
      <c r="K29" s="87"/>
      <c r="L29" s="87"/>
      <c r="M29" s="87"/>
      <c r="N29" s="87"/>
      <c r="O29" s="87"/>
      <c r="P29" s="87"/>
      <c r="Q29" s="87"/>
      <c r="R29" s="498"/>
      <c r="S29" s="87"/>
      <c r="T29" s="87"/>
      <c r="U29" s="87"/>
      <c r="V29" s="87"/>
      <c r="W29" s="87"/>
      <c r="X29" s="87"/>
    </row>
    <row r="30" spans="1:24" x14ac:dyDescent="0.25">
      <c r="A30" s="738"/>
      <c r="B30" s="1" t="s">
        <v>24</v>
      </c>
      <c r="C30" s="17">
        <f>Bilan_E_KP_AME_2050!O22</f>
        <v>2.086875550337155</v>
      </c>
      <c r="D30" s="86">
        <f>SUM(C26:C34)</f>
        <v>41.306456685664017</v>
      </c>
      <c r="E30" s="190">
        <f t="shared" si="3"/>
        <v>0.17744235301207054</v>
      </c>
      <c r="F30" s="86">
        <f>Bilan_E_KP_AME_2050!S22</f>
        <v>3.5121954769709394</v>
      </c>
      <c r="G30" s="33">
        <f t="shared" si="2"/>
        <v>1.9094331973250844</v>
      </c>
      <c r="H30" s="86">
        <f>SUM(G26:G34)</f>
        <v>37.794261208693086</v>
      </c>
      <c r="I30" s="1"/>
      <c r="J30" s="86">
        <f>H30</f>
        <v>37.794261208693086</v>
      </c>
      <c r="K30" s="87">
        <f>Bilan_E_KP_AME_2050!Q31</f>
        <v>2.9238621334994321</v>
      </c>
      <c r="L30" s="87"/>
      <c r="M30" s="87">
        <f>Bilan_E_KP_AME_2050!K28</f>
        <v>0.10101910584583218</v>
      </c>
      <c r="N30" s="87"/>
      <c r="O30" s="87"/>
      <c r="P30" s="87"/>
      <c r="Q30" s="86">
        <f>J30-K30-L30-M30-N30-O30-P30</f>
        <v>34.769379969347824</v>
      </c>
      <c r="R30" s="508">
        <f>Q30-S30</f>
        <v>2.5363417285404921E-2</v>
      </c>
      <c r="S30" s="86">
        <f>SUM(T27:X34)</f>
        <v>34.744016552062419</v>
      </c>
      <c r="T30" s="87">
        <f>Bilan_E_KP_AME_2050!Q$38</f>
        <v>0</v>
      </c>
      <c r="U30" s="87">
        <f>Bilan_E_KP_AME_2050!Q$34</f>
        <v>16.21056036467343</v>
      </c>
      <c r="V30" s="87">
        <f>Bilan_E_KP_AME_2050!Q$36</f>
        <v>15.182773802844931</v>
      </c>
      <c r="W30" s="87">
        <f>Bilan_E_KP_AME_2050!Q$37</f>
        <v>3.3506823845440552</v>
      </c>
      <c r="X30" s="87">
        <f>Bilan_E_KP_AME_2050!Q$35</f>
        <v>0</v>
      </c>
    </row>
    <row r="31" spans="1:24" x14ac:dyDescent="0.25">
      <c r="A31" s="738"/>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38"/>
      <c r="B32" s="1" t="s">
        <v>29</v>
      </c>
      <c r="C32" s="17">
        <f>Bilan_E_KP_AME_2050!G22</f>
        <v>14.783508517784153</v>
      </c>
      <c r="D32" s="86"/>
      <c r="E32" s="190">
        <f t="shared" si="3"/>
        <v>1.2570086111487579</v>
      </c>
      <c r="F32" s="86"/>
      <c r="G32" s="33">
        <f>C32-E32</f>
        <v>13.526499906635395</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Bilan_E_KP_AME_2050!F22</f>
        <v>0</v>
      </c>
      <c r="D33" s="86"/>
      <c r="E33" s="190">
        <f t="shared" si="3"/>
        <v>0</v>
      </c>
      <c r="F33" s="86"/>
      <c r="G33" s="33">
        <f t="shared" ref="G33:G34" si="4">C33-E33</f>
        <v>0</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Bilan_E_KP_AME_2050!D22</f>
        <v>0</v>
      </c>
      <c r="D34" s="88"/>
      <c r="E34" s="190">
        <f t="shared" si="3"/>
        <v>0</v>
      </c>
      <c r="F34" s="88"/>
      <c r="G34" s="33">
        <f t="shared" si="4"/>
        <v>0</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8.5027759793056656E-2</v>
      </c>
      <c r="G35" s="17"/>
      <c r="H35" s="501"/>
      <c r="I35" s="1"/>
      <c r="J35" s="1"/>
      <c r="K35" s="1"/>
      <c r="L35" s="1"/>
      <c r="M35" s="1"/>
      <c r="N35" s="1"/>
      <c r="O35" s="1"/>
      <c r="P35" s="1"/>
      <c r="Q35" s="502"/>
      <c r="R35" s="498"/>
      <c r="U35" s="33"/>
      <c r="V35" s="33"/>
      <c r="W35" s="33"/>
    </row>
    <row r="36" spans="1:26" x14ac:dyDescent="0.25">
      <c r="A36" s="739" t="s">
        <v>34</v>
      </c>
      <c r="B36" s="1" t="s">
        <v>21</v>
      </c>
      <c r="C36" s="33">
        <v>0</v>
      </c>
      <c r="D36" s="538"/>
      <c r="E36" s="17"/>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39"/>
      <c r="B37" s="1" t="s">
        <v>23</v>
      </c>
      <c r="C37" s="33">
        <f>SUM(T37:X37)</f>
        <v>116.96131138117599</v>
      </c>
      <c r="D37" s="539"/>
      <c r="E37" s="504"/>
      <c r="F37" s="539"/>
      <c r="G37" s="17">
        <f t="shared" ref="G37:G42" si="5">C37-E37</f>
        <v>116.96131138117599</v>
      </c>
      <c r="H37" s="539"/>
      <c r="I37" s="498"/>
      <c r="J37" s="37"/>
      <c r="K37" s="35"/>
      <c r="L37" s="35"/>
      <c r="M37" s="505"/>
      <c r="N37" s="35"/>
      <c r="P37" s="35"/>
      <c r="Q37" s="541"/>
      <c r="R37" s="498"/>
      <c r="S37" s="539"/>
      <c r="T37" s="506">
        <f>Bilan_E_KP_AME_2050!J38</f>
        <v>5.0054618408177598</v>
      </c>
      <c r="U37" s="93">
        <f>Bilan_E_KP_AME_2050!J34</f>
        <v>22.791437377983073</v>
      </c>
      <c r="V37" s="506">
        <f>Bilan_E_KP_AME_2050!J36</f>
        <v>86.155325304334795</v>
      </c>
      <c r="W37" s="507">
        <f>Bilan_E_KP_AME_2050!J37</f>
        <v>3.0090868580403627</v>
      </c>
      <c r="X37" s="506">
        <f>Bilan_E_KP_AME_2050!J35</f>
        <v>0</v>
      </c>
      <c r="Y37" s="489">
        <f t="shared" ref="Y37:Y47" si="6">SUM(T37:X37)</f>
        <v>116.96131138117599</v>
      </c>
      <c r="Z37" s="489">
        <f t="shared" ref="Z37:Z44" si="7">G37-Y37</f>
        <v>0</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f>SUM(G36:G41)-E55-E56-L41-L36</f>
        <v>220.06411362383321</v>
      </c>
      <c r="R38" s="498"/>
      <c r="S38" s="539"/>
      <c r="T38" s="84">
        <v>0</v>
      </c>
      <c r="U38" s="83">
        <v>0</v>
      </c>
      <c r="V38" s="84">
        <v>0</v>
      </c>
      <c r="W38" s="91">
        <v>0</v>
      </c>
      <c r="X38" s="91">
        <v>0</v>
      </c>
      <c r="Y38" s="489">
        <f t="shared" si="6"/>
        <v>0</v>
      </c>
      <c r="Z38" s="489">
        <f t="shared" si="7"/>
        <v>0</v>
      </c>
    </row>
    <row r="39" spans="1:26" x14ac:dyDescent="0.25">
      <c r="A39" s="739"/>
      <c r="B39" s="1" t="s">
        <v>35</v>
      </c>
      <c r="C39" s="33">
        <f>SUM(T39:X39)</f>
        <v>2.8624530156397006</v>
      </c>
      <c r="D39" s="539"/>
      <c r="E39" s="35"/>
      <c r="F39" s="539"/>
      <c r="G39" s="17">
        <f t="shared" si="5"/>
        <v>2.8624530156397006</v>
      </c>
      <c r="H39" s="539"/>
      <c r="I39" s="35"/>
      <c r="J39" s="37"/>
      <c r="K39" s="35"/>
      <c r="L39" s="35"/>
      <c r="M39" s="37"/>
      <c r="N39" s="35"/>
      <c r="O39" s="35"/>
      <c r="P39" s="35"/>
      <c r="Q39" s="541"/>
      <c r="R39" s="498"/>
      <c r="S39" s="539"/>
      <c r="T39" s="84">
        <f>Bilan_E_KP_AME_2050!O38</f>
        <v>6.051975379409523E-2</v>
      </c>
      <c r="U39" s="83">
        <f>Bilan_E_KP_AME_2050!O34</f>
        <v>3.7093504340600874E-4</v>
      </c>
      <c r="V39" s="84">
        <f>Bilan_E_KP_AME_2050!O36</f>
        <v>2.1206229173139883</v>
      </c>
      <c r="W39" s="91">
        <f>Bilan_E_KP_AME_2050!O37</f>
        <v>0.68093940948821108</v>
      </c>
      <c r="X39" s="91">
        <f>Bilan_E_KP_AME_2050!O35</f>
        <v>0</v>
      </c>
      <c r="Y39" s="489">
        <f t="shared" si="6"/>
        <v>2.8624530156397006</v>
      </c>
      <c r="Z39" s="489">
        <f t="shared" si="7"/>
        <v>0</v>
      </c>
    </row>
    <row r="40" spans="1:26" x14ac:dyDescent="0.25">
      <c r="A40" s="739"/>
      <c r="B40" s="1" t="s">
        <v>36</v>
      </c>
      <c r="C40" s="33">
        <f>Bilan_E_KP_AME_2050!N12</f>
        <v>75.083762899489528</v>
      </c>
      <c r="D40" s="539"/>
      <c r="E40" s="35"/>
      <c r="F40" s="539"/>
      <c r="G40" s="17">
        <f t="shared" si="5"/>
        <v>75.083762899489528</v>
      </c>
      <c r="H40" s="539"/>
      <c r="I40" s="35"/>
      <c r="J40" s="37"/>
      <c r="K40" s="35"/>
      <c r="L40" s="35"/>
      <c r="M40" s="37"/>
      <c r="N40" s="35"/>
      <c r="O40" s="35"/>
      <c r="P40" s="35"/>
      <c r="Q40" s="541"/>
      <c r="R40" s="498"/>
      <c r="S40" s="539"/>
      <c r="T40" s="83">
        <f>Bilan_E_KP_AME_2050!N$38</f>
        <v>0</v>
      </c>
      <c r="U40" s="83">
        <f>Bilan_E_KP_AME_2050!N$34</f>
        <v>0</v>
      </c>
      <c r="V40" s="83">
        <f>Bilan_E_KP_AME_2050!N$36</f>
        <v>66.478227859390046</v>
      </c>
      <c r="W40" s="83">
        <f>Bilan_E_KP_AME_2050!N$37</f>
        <v>8.6055350400994808</v>
      </c>
      <c r="X40" s="84">
        <f>Bilan_E_KP_AME_2050!N$35</f>
        <v>0</v>
      </c>
      <c r="Y40" s="489">
        <f t="shared" si="6"/>
        <v>75.083762899489528</v>
      </c>
      <c r="Z40" s="489">
        <f t="shared" si="7"/>
        <v>0</v>
      </c>
    </row>
    <row r="41" spans="1:26" x14ac:dyDescent="0.25">
      <c r="A41" s="739"/>
      <c r="B41" s="1" t="s">
        <v>37</v>
      </c>
      <c r="C41" s="33">
        <f>Bilan_E_KP_AME_2050!L12+Bilan_E_KP_AME_2050!J26+Bilan_E_KP_AME_2050!J27-Bilan_E_KP_AME_2050!L21</f>
        <v>23.068884262667186</v>
      </c>
      <c r="D41" s="191">
        <f>SUM(C36:C47)</f>
        <v>675.46073082958867</v>
      </c>
      <c r="E41" s="38"/>
      <c r="F41" s="191">
        <f>SUM(E36:E47)</f>
        <v>26.322694794867193</v>
      </c>
      <c r="G41" s="17">
        <f t="shared" si="5"/>
        <v>23.068884262667186</v>
      </c>
      <c r="H41" s="191">
        <f>SUM(G36:G47)</f>
        <v>649.13803603472149</v>
      </c>
      <c r="I41" s="35"/>
      <c r="J41" s="37"/>
      <c r="K41" s="35"/>
      <c r="L41" s="37">
        <f>-SUM(Bilan_E_KP_AME_2050!L13:L16)</f>
        <v>-2.0877020648608209</v>
      </c>
      <c r="M41" s="35"/>
      <c r="N41" s="35"/>
      <c r="O41" s="35"/>
      <c r="P41" s="35"/>
      <c r="Q41" s="541"/>
      <c r="R41" s="508">
        <f>SUM(Q36:Q47)-S41</f>
        <v>-9.9720733372237191E-3</v>
      </c>
      <c r="S41" s="191">
        <f>SUM(T36:X46)</f>
        <v>496.46845652485644</v>
      </c>
      <c r="T41" s="83">
        <f>Bilan_E_KP_AME_2050!L$38</f>
        <v>3.2629555410385191</v>
      </c>
      <c r="U41" s="83">
        <f>Bilan_E_KP_AME_2050!L$34</f>
        <v>1.007010953125</v>
      </c>
      <c r="V41" s="83">
        <f>Bilan_E_KP_AME_2050!L$36</f>
        <v>0</v>
      </c>
      <c r="W41" s="83">
        <f>Bilan_E_KP_AME_2050!L$37</f>
        <v>0</v>
      </c>
      <c r="X41" s="84">
        <f>Bilan_E_KP_AME_2050!L$35</f>
        <v>20.896591906701669</v>
      </c>
      <c r="Y41" s="489">
        <f t="shared" si="6"/>
        <v>25.166558400865188</v>
      </c>
      <c r="Z41" s="489">
        <f>G41-Y41-L41</f>
        <v>-9.9720733371810866E-3</v>
      </c>
    </row>
    <row r="42" spans="1:26" x14ac:dyDescent="0.25">
      <c r="A42" s="739"/>
      <c r="B42" s="1" t="s">
        <v>38</v>
      </c>
      <c r="C42" s="33">
        <f>Bilan_E_KP_AME_2050!E18+Bilan_E_KP_AME_2050!F18-Bilan_E_KP_AME_2050!F21-Bilan_E_KP_AME_2050!F22-E54-SUM(T43:X43)-(Bilan_E_KP_AME_2050!E20+Bilan_E_KP_AME_2050!F20+Bilan_E_KP_AME_2050!E19+Bilan_E_KP_AME_2050!F19)</f>
        <v>243.19784894441341</v>
      </c>
      <c r="D42" s="539"/>
      <c r="E42" s="17">
        <f>Bilan_E_KP_AME_2050!F30+Bilan_E_KP_AME_2050!S25+Bilan_E_KP_AME_2050!F29+Bilan_E_KP_AME_2050!E29</f>
        <v>26.322694794867193</v>
      </c>
      <c r="F42" s="539"/>
      <c r="G42" s="17">
        <f t="shared" si="5"/>
        <v>216.8751541495462</v>
      </c>
      <c r="H42" s="539"/>
      <c r="I42" s="498"/>
      <c r="J42" s="37"/>
      <c r="K42" s="35"/>
      <c r="L42" s="35"/>
      <c r="M42" s="35"/>
      <c r="N42" s="35"/>
      <c r="O42" s="35"/>
      <c r="P42" s="35"/>
      <c r="Q42" s="36">
        <f>G42</f>
        <v>216.8751541495462</v>
      </c>
      <c r="R42" s="498"/>
      <c r="S42" s="539"/>
      <c r="T42" s="83">
        <v>0</v>
      </c>
      <c r="U42" s="83">
        <v>0</v>
      </c>
      <c r="V42" s="83">
        <v>0</v>
      </c>
      <c r="W42" s="83">
        <v>0</v>
      </c>
      <c r="X42" s="84">
        <f>Bilan_E_KP_AME_2050!F35</f>
        <v>216.8751541495462</v>
      </c>
      <c r="Y42" s="489">
        <f t="shared" si="6"/>
        <v>216.8751541495462</v>
      </c>
      <c r="Z42" s="489">
        <f>Q42-SUM(T42:X42)</f>
        <v>0</v>
      </c>
    </row>
    <row r="43" spans="1:26" x14ac:dyDescent="0.25">
      <c r="A43" s="739"/>
      <c r="B43" s="1" t="s">
        <v>39</v>
      </c>
      <c r="C43" s="33">
        <f>Bilan_E_KP_AME_2050!F41+SUM(T43:X43)</f>
        <v>154.19966573284961</v>
      </c>
      <c r="D43" s="539"/>
      <c r="E43" s="38"/>
      <c r="F43" s="539"/>
      <c r="G43" s="17">
        <f>C43-E43</f>
        <v>154.19966573284961</v>
      </c>
      <c r="H43" s="539"/>
      <c r="I43" s="35"/>
      <c r="J43" s="37"/>
      <c r="K43" s="35"/>
      <c r="L43" s="35"/>
      <c r="M43" s="35"/>
      <c r="N43" s="35"/>
      <c r="O43" s="35"/>
      <c r="P43" s="35"/>
      <c r="Q43" s="36">
        <f>G43-Bilan_E_KP_AME_2050!F41</f>
        <v>54.144514014701684</v>
      </c>
      <c r="R43" s="498"/>
      <c r="S43" s="539"/>
      <c r="T43" s="83">
        <f>Bilan_E_KP_AME_2050!F38</f>
        <v>27.219719362233906</v>
      </c>
      <c r="U43" s="83">
        <f>Bilan_E_KP_AME_2050!F34</f>
        <v>19.397200033553816</v>
      </c>
      <c r="V43" s="83">
        <f>Bilan_E_KP_AME_2050!F36</f>
        <v>5.2094674308398901</v>
      </c>
      <c r="W43" s="83">
        <f>Bilan_E_KP_AME_2050!F37</f>
        <v>2.3181271880740835</v>
      </c>
      <c r="X43" s="84">
        <v>0</v>
      </c>
      <c r="Y43" s="489">
        <f t="shared" si="6"/>
        <v>54.144514014701699</v>
      </c>
      <c r="Z43" s="489">
        <f>Q43-SUM(T43:X43)</f>
        <v>0</v>
      </c>
    </row>
    <row r="44" spans="1:26" x14ac:dyDescent="0.25">
      <c r="A44" s="739"/>
      <c r="B44" s="1" t="s">
        <v>40</v>
      </c>
      <c r="C44" s="33">
        <f>SUM(T44:X44)</f>
        <v>1.7013098714668424</v>
      </c>
      <c r="D44" s="539"/>
      <c r="E44" s="38"/>
      <c r="F44" s="539"/>
      <c r="G44" s="17">
        <f t="shared" si="1"/>
        <v>1.7013098714668424</v>
      </c>
      <c r="H44" s="539"/>
      <c r="I44" s="35"/>
      <c r="J44" s="37"/>
      <c r="K44" s="35"/>
      <c r="L44" s="35"/>
      <c r="M44" s="35"/>
      <c r="N44" s="35"/>
      <c r="O44" s="35"/>
      <c r="P44" s="35"/>
      <c r="Q44" s="36">
        <f>G44-Bilan_E_KP_AME_2050!K41</f>
        <v>1.7013098714668424</v>
      </c>
      <c r="R44" s="498"/>
      <c r="S44" s="539"/>
      <c r="T44" s="83">
        <f>Bilan_E_KP_AME_2050!K$38</f>
        <v>0</v>
      </c>
      <c r="U44" s="83">
        <f>Bilan_E_KP_AME_2050!K34</f>
        <v>1.7013098714668424</v>
      </c>
      <c r="V44" s="83">
        <f>Bilan_E_KP_AME_2050!K$36</f>
        <v>0</v>
      </c>
      <c r="W44" s="83">
        <v>0</v>
      </c>
      <c r="X44" s="84">
        <f>Bilan_E_KP_AME_2050!K$35</f>
        <v>0</v>
      </c>
      <c r="Y44" s="489">
        <f t="shared" si="6"/>
        <v>1.7013098714668424</v>
      </c>
      <c r="Z44" s="489">
        <f t="shared" si="7"/>
        <v>0</v>
      </c>
    </row>
    <row r="45" spans="1:26" x14ac:dyDescent="0.25">
      <c r="A45" s="739"/>
      <c r="B45" s="1" t="s">
        <v>41</v>
      </c>
      <c r="C45" s="33">
        <f>E53</f>
        <v>11.196954266678716</v>
      </c>
      <c r="D45" s="539"/>
      <c r="E45" s="38"/>
      <c r="F45" s="539"/>
      <c r="G45" s="17">
        <f t="shared" si="1"/>
        <v>11.196954266678716</v>
      </c>
      <c r="H45" s="539"/>
      <c r="I45" s="35"/>
      <c r="J45" s="37"/>
      <c r="K45" s="35"/>
      <c r="L45" s="35"/>
      <c r="M45" s="35"/>
      <c r="N45" s="35"/>
      <c r="O45" s="35"/>
      <c r="P45" s="35"/>
      <c r="Q45" s="36">
        <f>G45-Bilan_E_KP_AME_2050!G41</f>
        <v>0</v>
      </c>
      <c r="R45" s="498"/>
      <c r="S45" s="539"/>
      <c r="T45" s="84">
        <v>0</v>
      </c>
      <c r="U45" s="83">
        <v>0</v>
      </c>
      <c r="V45" s="84">
        <v>0</v>
      </c>
      <c r="W45" s="92">
        <v>0</v>
      </c>
      <c r="X45" s="84">
        <v>0</v>
      </c>
      <c r="Y45" s="489">
        <f t="shared" si="6"/>
        <v>0</v>
      </c>
      <c r="Z45" s="489">
        <f>Q45-Y45</f>
        <v>0</v>
      </c>
    </row>
    <row r="46" spans="1:26" x14ac:dyDescent="0.25">
      <c r="A46" s="739"/>
      <c r="B46" s="1" t="s">
        <v>42</v>
      </c>
      <c r="C46" s="33">
        <f>Bilan_E_KP_AME_2050!D18-C18-C34</f>
        <v>43.273105682596288</v>
      </c>
      <c r="D46" s="539"/>
      <c r="E46" s="511"/>
      <c r="F46" s="539"/>
      <c r="G46" s="17">
        <f>C46-E46</f>
        <v>43.273105682596288</v>
      </c>
      <c r="H46" s="539"/>
      <c r="I46" s="38"/>
      <c r="J46" s="37"/>
      <c r="K46" s="35"/>
      <c r="L46" s="35"/>
      <c r="M46" s="35"/>
      <c r="N46" s="35"/>
      <c r="O46" s="35"/>
      <c r="P46" s="35"/>
      <c r="Q46" s="36">
        <f>G46-(Bilan_E_KP_AME_2050!D41+Bilan_E_KP_AME_2050!D29+Bilan_E_KP_AME_2050!D30)</f>
        <v>3.6733927919712883</v>
      </c>
      <c r="R46" s="498"/>
      <c r="S46" s="539"/>
      <c r="T46" s="506">
        <f>Bilan_E_KP_AME_2050!D38</f>
        <v>0</v>
      </c>
      <c r="U46" s="93">
        <f>Bilan_E_KP_AME_2050!D34</f>
        <v>3.6733927919712848</v>
      </c>
      <c r="V46" s="506">
        <f>Bilan_E_KP_AME_2050!D36</f>
        <v>0</v>
      </c>
      <c r="W46" s="507">
        <f>Bilan_E_KP_AME_2050!D37</f>
        <v>0</v>
      </c>
      <c r="X46" s="506">
        <f>Bilan_E_KP_AME_2050!D35</f>
        <v>0</v>
      </c>
      <c r="Y46" s="489">
        <f t="shared" si="6"/>
        <v>3.6733927919712848</v>
      </c>
      <c r="Z46" s="489">
        <f>Q46-Y46</f>
        <v>3.5527136788005009E-15</v>
      </c>
    </row>
    <row r="47" spans="1:26" x14ac:dyDescent="0.25">
      <c r="A47" s="90"/>
      <c r="B47" s="1" t="s">
        <v>31</v>
      </c>
      <c r="C47" s="33">
        <f>E57</f>
        <v>3.9154347726113912</v>
      </c>
      <c r="D47" s="192"/>
      <c r="E47" s="511"/>
      <c r="F47" s="192"/>
      <c r="G47" s="17">
        <f>C47-E47</f>
        <v>3.9154347726113912</v>
      </c>
      <c r="H47" s="192"/>
      <c r="I47" s="38"/>
      <c r="J47" s="37"/>
      <c r="K47" s="35"/>
      <c r="L47" s="35"/>
      <c r="M47" s="35"/>
      <c r="N47" s="35"/>
      <c r="O47" s="35"/>
      <c r="P47" s="35"/>
      <c r="Q47" s="542">
        <f>G47-Bilan_E_KP_AME_2050!R41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C5-L13-SUM(L21:L24)-L30-L41-Bilan_E_KP_AME_2050!S18</f>
        <v>0</v>
      </c>
      <c r="D49" s="1"/>
      <c r="E49" s="34">
        <f>SUM(E7:E47)+I13-Bilan_E_KP_AME_2050!S32+K13+SUM(K21:K24)+K30+Bilan_E_KP_AME_2050!D29+Bilan_E_KP_AME_2050!D30</f>
        <v>-1.5454304502782179E-13</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495.56377313781644</v>
      </c>
    </row>
    <row r="52" spans="1:19" x14ac:dyDescent="0.25">
      <c r="A52" s="21"/>
      <c r="B52" s="1" t="s">
        <v>44</v>
      </c>
      <c r="C52" s="44"/>
      <c r="D52" s="1"/>
      <c r="E52" s="39">
        <f>Bilan_E_KP_AME_2050!D41+Bilan_E_KP_AME_2050!D29+Bilan_E_KP_AME_2050!D30</f>
        <v>39.599712890625</v>
      </c>
      <c r="F52" s="187"/>
      <c r="G52" s="1"/>
      <c r="H52" s="1"/>
      <c r="I52" s="30"/>
      <c r="J52" s="17"/>
      <c r="K52" s="17"/>
      <c r="L52" s="21"/>
      <c r="M52" s="1"/>
      <c r="N52" s="17"/>
      <c r="O52" s="17"/>
      <c r="P52" s="17"/>
      <c r="Q52" s="1"/>
      <c r="S52" s="33"/>
    </row>
    <row r="53" spans="1:19" x14ac:dyDescent="0.25">
      <c r="A53" s="21"/>
      <c r="B53" s="1" t="s">
        <v>41</v>
      </c>
      <c r="C53" s="45"/>
      <c r="D53" s="17"/>
      <c r="E53" s="433">
        <f>Bilan_E_KP_AME_2050!G41+Bilan_E_KP_AME_2050!G29</f>
        <v>11.196954266678716</v>
      </c>
      <c r="F53" s="187"/>
      <c r="G53" s="1"/>
      <c r="H53" s="1"/>
      <c r="I53" s="30"/>
      <c r="J53" s="17"/>
      <c r="K53" s="17"/>
      <c r="L53" s="21"/>
      <c r="M53" s="1"/>
      <c r="N53" s="17"/>
      <c r="O53" s="17"/>
      <c r="P53" s="17"/>
      <c r="Q53" s="1"/>
    </row>
    <row r="54" spans="1:19" x14ac:dyDescent="0.25">
      <c r="A54" s="21"/>
      <c r="B54" s="1" t="s">
        <v>39</v>
      </c>
      <c r="C54" s="45"/>
      <c r="D54" s="17"/>
      <c r="E54" s="435">
        <f>Bilan_E_KP_AME_2050!F41</f>
        <v>100.05515171814793</v>
      </c>
      <c r="F54" s="187"/>
      <c r="G54" s="1"/>
      <c r="H54" s="1"/>
      <c r="I54" s="30"/>
      <c r="J54" s="17"/>
      <c r="K54" s="17"/>
      <c r="L54" s="21"/>
      <c r="M54" s="21"/>
      <c r="N54" s="17"/>
      <c r="O54" s="17"/>
      <c r="P54" s="17"/>
      <c r="Q54" s="1"/>
    </row>
    <row r="55" spans="1:19" x14ac:dyDescent="0.25">
      <c r="B55" s="1" t="s">
        <v>21</v>
      </c>
      <c r="E55" s="434">
        <f>Bilan_E_KP_AME_2050!M41+Bilan_E_KP_AME_2050!M29</f>
        <v>0</v>
      </c>
    </row>
    <row r="56" spans="1:19" x14ac:dyDescent="0.25">
      <c r="B56" s="1" t="s">
        <v>37</v>
      </c>
      <c r="E56" s="515">
        <f>Bilan_E_KP_AME_2050!L41+Bilan_E_KP_AME_2050!L29</f>
        <v>0</v>
      </c>
    </row>
    <row r="57" spans="1:19" x14ac:dyDescent="0.25">
      <c r="B57" s="1" t="s">
        <v>31</v>
      </c>
      <c r="E57" s="515">
        <f>Bilan_E_KP_AME_2050!R41</f>
        <v>3.9154347726113912</v>
      </c>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960AA-BFDE-43AA-9C0D-13FB70901EB3}">
  <dimension ref="A1:Z59"/>
  <sheetViews>
    <sheetView topLeftCell="A19" workbookViewId="0">
      <selection activeCell="C44" sqref="C44"/>
    </sheetView>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2754.151507561784</v>
      </c>
      <c r="D5" s="18"/>
      <c r="E5" s="20"/>
      <c r="F5" s="494"/>
      <c r="G5" s="21"/>
      <c r="H5" s="493"/>
      <c r="I5" s="21"/>
      <c r="J5" s="22"/>
      <c r="K5" s="23"/>
      <c r="L5" s="14"/>
      <c r="M5" s="14"/>
      <c r="N5" s="15"/>
      <c r="O5" s="16"/>
      <c r="P5" s="16"/>
      <c r="Q5" s="24">
        <f>Q13+Q22+Q30+Q42+Q46+Q38+Q43</f>
        <v>1543.236714435594</v>
      </c>
      <c r="R5" s="487"/>
      <c r="S5" s="79">
        <f>SUM(S13,S22,S27:S32,S41)</f>
        <v>1547.3485011944047</v>
      </c>
      <c r="T5" s="79">
        <f>SUM(T8:T46)</f>
        <v>53.273764057584458</v>
      </c>
      <c r="U5" s="79">
        <f>SUM(U8:U46)</f>
        <v>283.57167291365431</v>
      </c>
      <c r="V5" s="79">
        <f>SUM(V8:V46)</f>
        <v>453.18375281732602</v>
      </c>
      <c r="W5" s="173">
        <f>SUM(W8:W46)</f>
        <v>253.37716424721981</v>
      </c>
      <c r="X5" s="79">
        <f>SUM(X8:X46)</f>
        <v>503.94214715862023</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f>(([13]Offre_calc!$M$108+[13]Offre_calc!$M$109+[13]Offre_calc!$M$147+[13]Offre_calc!$M$148)/([13]Offre_calc!$M$105+[13]Offre_calc!$M$144))*Bilans_E_AMS_Kyoto_run3_2023!K$21</f>
        <v>51.990691797878171</v>
      </c>
      <c r="D7" s="516"/>
      <c r="E7" s="28">
        <v>0</v>
      </c>
      <c r="F7" s="516"/>
      <c r="G7" s="17">
        <f>C7-E7</f>
        <v>51.990691797878171</v>
      </c>
      <c r="H7" s="516"/>
      <c r="I7" s="21"/>
      <c r="J7" s="516"/>
      <c r="K7" s="523"/>
      <c r="L7" s="523"/>
      <c r="M7" s="523"/>
      <c r="N7" s="523"/>
      <c r="O7" s="523"/>
      <c r="P7" s="513"/>
      <c r="Q7" s="526"/>
      <c r="R7" s="498"/>
      <c r="S7" s="526"/>
      <c r="T7" s="523"/>
      <c r="U7" s="523"/>
      <c r="V7" s="523"/>
      <c r="W7" s="523"/>
      <c r="X7" s="523"/>
    </row>
    <row r="8" spans="1:24" x14ac:dyDescent="0.25">
      <c r="A8" s="736"/>
      <c r="B8" s="1" t="s">
        <v>18</v>
      </c>
      <c r="C8" s="486">
        <f>(([13]Offre_calc!$M$107+[13]Offre_calc!$M$146)/([13]Offre_calc!$M$105+[13]Offre_calc!$M$144))*Bilans_E_AMS_Kyoto_run3_2023!K$21</f>
        <v>54.299519277087022</v>
      </c>
      <c r="D8" s="81"/>
      <c r="E8" s="28">
        <v>0</v>
      </c>
      <c r="F8" s="81"/>
      <c r="G8" s="17">
        <f t="shared" ref="G8:G19" si="0">C8-E8</f>
        <v>54.299519277087022</v>
      </c>
      <c r="H8" s="81"/>
      <c r="I8" s="21"/>
      <c r="J8" s="81"/>
      <c r="K8" s="524"/>
      <c r="L8" s="524"/>
      <c r="M8" s="524"/>
      <c r="N8" s="524"/>
      <c r="O8" s="524"/>
      <c r="P8" s="29"/>
      <c r="Q8" s="527"/>
      <c r="R8" s="498"/>
      <c r="S8" s="527"/>
      <c r="T8" s="524"/>
      <c r="U8" s="524"/>
      <c r="V8" s="524"/>
      <c r="W8" s="524"/>
      <c r="X8" s="524"/>
    </row>
    <row r="9" spans="1:24" x14ac:dyDescent="0.25">
      <c r="A9" s="736"/>
      <c r="B9" s="1" t="s">
        <v>19</v>
      </c>
      <c r="C9" s="486">
        <f>(([13]Offre_calc!$M$106+[13]Offre_calc!$M$145)/([13]Offre_calc!$M$105+[13]Offre_calc!$M$144))*Bilans_E_AMS_Kyoto_run3_2023!K$21</f>
        <v>23.915957026690059</v>
      </c>
      <c r="D9" s="81"/>
      <c r="E9" s="28">
        <v>0</v>
      </c>
      <c r="F9" s="81"/>
      <c r="G9" s="17">
        <f t="shared" si="0"/>
        <v>23.915957026690059</v>
      </c>
      <c r="H9" s="81"/>
      <c r="I9" s="21"/>
      <c r="J9" s="81"/>
      <c r="K9" s="524"/>
      <c r="L9" s="524"/>
      <c r="M9" s="524"/>
      <c r="N9" s="524"/>
      <c r="O9" s="524"/>
      <c r="P9" s="29"/>
      <c r="Q9" s="527"/>
      <c r="R9" s="498"/>
      <c r="S9" s="527"/>
      <c r="T9" s="524"/>
      <c r="U9" s="524"/>
      <c r="V9" s="524"/>
      <c r="W9" s="524"/>
      <c r="X9" s="524"/>
    </row>
    <row r="10" spans="1:24" x14ac:dyDescent="0.25">
      <c r="A10" s="736"/>
      <c r="B10" s="1" t="s">
        <v>20</v>
      </c>
      <c r="C10" s="17">
        <f>Bilans_E_AMS_Kyoto_run3_2023!J21-(Bilans_E_AMS_Kyoto_run3_2023!R20+Bilans_E_AMS_Kyoto_run3_2023!R19)</f>
        <v>1140.1112670437299</v>
      </c>
      <c r="D10" s="81"/>
      <c r="E10" s="28">
        <f>F13-SUM(E11:E19)</f>
        <v>769.80719117509364</v>
      </c>
      <c r="F10" s="81"/>
      <c r="G10" s="17">
        <f t="shared" si="0"/>
        <v>370.30407586863623</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f>Bilans_E_AMS_Kyoto_run3_2023!O21</f>
        <v>7.539554687040062</v>
      </c>
      <c r="D11" s="81"/>
      <c r="E11" s="727">
        <f>C11*(1-[12]Offre_calc!$V$161)</f>
        <v>3.0158218748160248</v>
      </c>
      <c r="F11" s="81"/>
      <c r="G11" s="17">
        <f t="shared" si="0"/>
        <v>4.5237328122240372</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f>Bilans_E_AMS_Kyoto_run3_2023!M21</f>
        <v>7.9664341186397536</v>
      </c>
      <c r="D12" s="81"/>
      <c r="E12" s="727">
        <f>C12*(1-[12]Offre_calc!$V$171)</f>
        <v>4.7798604711838522</v>
      </c>
      <c r="F12" s="81"/>
      <c r="G12" s="17">
        <f t="shared" si="0"/>
        <v>3.1865736474559014</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f>Bilans_E_AMS_Kyoto_run3_2023!L21</f>
        <v>11.146900070965362</v>
      </c>
      <c r="D13" s="81">
        <f>SUM(C7:C19)</f>
        <v>1375.5039907423154</v>
      </c>
      <c r="E13" s="727">
        <f>C13*(1-[12]Offre_calc!$V$170)</f>
        <v>6.6881400425792172</v>
      </c>
      <c r="F13" s="81">
        <f>Bilans_E_AMS_Kyoto_run3_2023!U21</f>
        <v>820.06508160433202</v>
      </c>
      <c r="G13" s="17">
        <f t="shared" si="0"/>
        <v>4.4587600283861448</v>
      </c>
      <c r="H13" s="81">
        <f>SUM(G7:G19)</f>
        <v>555.43890913798384</v>
      </c>
      <c r="I13" s="33">
        <f>Bilans_E_AMS_Kyoto_run3_2023!R30</f>
        <v>33.231447681695045</v>
      </c>
      <c r="J13" s="81">
        <f>H13-I13</f>
        <v>522.2074614562888</v>
      </c>
      <c r="K13" s="29">
        <f>Bilans_E_AMS_Kyoto_run3_2023!R31</f>
        <v>39.294538086384733</v>
      </c>
      <c r="L13" s="29">
        <f>-(Bilans_E_AMS_Kyoto_run3_2023!R14+Bilans_E_AMS_Kyoto_run3_2023!R13)</f>
        <v>75.129808237977386</v>
      </c>
      <c r="M13" s="29">
        <f>Bilans_E_AMS_Kyoto_run3_2023!R28</f>
        <v>0.6333169666013263</v>
      </c>
      <c r="N13" s="29"/>
      <c r="O13" s="29"/>
      <c r="P13" s="29"/>
      <c r="Q13" s="81">
        <f>J13-K13-L13-M13-N13-O13-P13</f>
        <v>407.14979816532536</v>
      </c>
      <c r="R13" s="508">
        <f>Q13-S13</f>
        <v>0</v>
      </c>
      <c r="S13" s="81">
        <f>SUM(T8:X19)</f>
        <v>407.14979816532508</v>
      </c>
      <c r="T13" s="29">
        <f>Bilans_E_AMS_Kyoto_run3_2023!R38</f>
        <v>8.3953936629447945</v>
      </c>
      <c r="U13" s="29">
        <f>Bilans_E_AMS_Kyoto_run3_2023!R34+Bilans_E_AMS_Kyoto_run3_2023!R39</f>
        <v>103.00128036008387</v>
      </c>
      <c r="V13" s="29">
        <f>Bilans_E_AMS_Kyoto_run3_2023!R36</f>
        <v>154.83297768687936</v>
      </c>
      <c r="W13" s="29">
        <f>Bilans_E_AMS_Kyoto_run3_2023!R37</f>
        <v>127.47303589741009</v>
      </c>
      <c r="X13" s="29">
        <f>Bilans_E_AMS_Kyoto_run3_2023!R35</f>
        <v>13.447110558006974</v>
      </c>
    </row>
    <row r="14" spans="1:24" x14ac:dyDescent="0.25">
      <c r="A14" s="736"/>
      <c r="B14" s="1" t="s">
        <v>24</v>
      </c>
      <c r="C14" s="17">
        <f>Bilans_E_AMS_Kyoto_run3_2023!Q21</f>
        <v>0.58332819125492874</v>
      </c>
      <c r="D14" s="81"/>
      <c r="E14" s="28">
        <v>0</v>
      </c>
      <c r="F14" s="81"/>
      <c r="G14" s="17">
        <f t="shared" si="0"/>
        <v>0.58332819125492874</v>
      </c>
      <c r="H14" s="81"/>
      <c r="I14" s="21"/>
      <c r="J14" s="81"/>
      <c r="K14" s="524"/>
      <c r="L14" s="524"/>
      <c r="M14" s="524"/>
      <c r="N14" s="524"/>
      <c r="O14" s="524"/>
      <c r="P14" s="29"/>
      <c r="Q14" s="527"/>
      <c r="R14" s="508"/>
      <c r="S14" s="527"/>
      <c r="T14" s="524"/>
      <c r="U14" s="524"/>
      <c r="V14" s="524"/>
      <c r="W14" s="524"/>
      <c r="X14" s="524"/>
    </row>
    <row r="15" spans="1:24" x14ac:dyDescent="0.25">
      <c r="A15" s="736"/>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36"/>
      <c r="B16" s="1" t="s">
        <v>343</v>
      </c>
      <c r="C16" s="17">
        <f>Bilans_E_AMS_Kyoto_run3_2023!N21</f>
        <v>3.7008210788065874</v>
      </c>
      <c r="D16" s="81"/>
      <c r="E16" s="727">
        <f>C16*(1-[12]Offre_calc!$V$158)</f>
        <v>2.0724598041316891</v>
      </c>
      <c r="F16" s="81"/>
      <c r="G16" s="17">
        <f t="shared" si="0"/>
        <v>1.6283612746748983</v>
      </c>
      <c r="H16" s="81"/>
      <c r="I16" s="21"/>
      <c r="J16" s="81"/>
      <c r="K16" s="524"/>
      <c r="L16" s="524"/>
      <c r="M16" s="524"/>
      <c r="N16" s="524"/>
      <c r="O16" s="524"/>
      <c r="P16" s="29"/>
      <c r="Q16" s="527"/>
      <c r="R16" s="508"/>
      <c r="S16" s="527"/>
      <c r="T16" s="524"/>
      <c r="U16" s="524"/>
      <c r="V16" s="524"/>
      <c r="W16" s="524"/>
      <c r="X16" s="524"/>
    </row>
    <row r="17" spans="1:24" x14ac:dyDescent="0.25">
      <c r="A17" s="736"/>
      <c r="B17" s="1" t="s">
        <v>27</v>
      </c>
      <c r="C17" s="17">
        <f>Bilans_E_AMS_Kyoto_run3_2023!F21</f>
        <v>8.1133049525470469</v>
      </c>
      <c r="D17" s="81"/>
      <c r="E17" s="727">
        <f>C17*(1-[12]Offre_calc!$V$158)</f>
        <v>4.543450773426347</v>
      </c>
      <c r="F17" s="81"/>
      <c r="G17" s="17">
        <f t="shared" si="0"/>
        <v>3.5698541791206999</v>
      </c>
      <c r="H17" s="81"/>
      <c r="I17" s="21"/>
      <c r="J17" s="81"/>
      <c r="K17" s="524"/>
      <c r="L17" s="524"/>
      <c r="M17" s="524"/>
      <c r="N17" s="524"/>
      <c r="O17" s="524"/>
      <c r="P17" s="29"/>
      <c r="Q17" s="527"/>
      <c r="R17" s="508"/>
      <c r="S17" s="527"/>
      <c r="T17" s="524"/>
      <c r="U17" s="524"/>
      <c r="V17" s="524"/>
      <c r="W17" s="524"/>
      <c r="X17" s="524"/>
    </row>
    <row r="18" spans="1:24" x14ac:dyDescent="0.25">
      <c r="A18" s="736"/>
      <c r="B18" s="1" t="s">
        <v>28</v>
      </c>
      <c r="C18" s="17">
        <f>Bilans_E_AMS_Kyoto_run3_2023!D21</f>
        <v>9.5913599017962916</v>
      </c>
      <c r="D18" s="81"/>
      <c r="E18" s="727">
        <f>C18*(1-[12]Offre_calc!$V$157)</f>
        <v>6.5402164247489818</v>
      </c>
      <c r="F18" s="81"/>
      <c r="G18" s="17">
        <f t="shared" si="0"/>
        <v>3.0511434770473098</v>
      </c>
      <c r="H18" s="81"/>
      <c r="I18" s="21"/>
      <c r="J18" s="81"/>
      <c r="K18" s="524"/>
      <c r="L18" s="524"/>
      <c r="M18" s="524"/>
      <c r="N18" s="524"/>
      <c r="O18" s="524"/>
      <c r="P18" s="29"/>
      <c r="Q18" s="527"/>
      <c r="R18" s="508"/>
      <c r="S18" s="527"/>
      <c r="T18" s="524"/>
      <c r="U18" s="524"/>
      <c r="V18" s="524"/>
      <c r="W18" s="524"/>
      <c r="X18" s="524"/>
    </row>
    <row r="19" spans="1:24" x14ac:dyDescent="0.25">
      <c r="A19" s="736"/>
      <c r="B19" s="1" t="s">
        <v>260</v>
      </c>
      <c r="C19" s="17">
        <f>Bilans_E_AMS_Kyoto_run3_2023!H21+Bilans_E_AMS_Kyoto_run3_2023!T21</f>
        <v>56.544852595880776</v>
      </c>
      <c r="D19" s="82"/>
      <c r="E19" s="727">
        <f>C19*(1-[12]Offre_calc!$V$160)</f>
        <v>22.617941038352313</v>
      </c>
      <c r="F19" s="82"/>
      <c r="G19" s="17">
        <f t="shared" si="0"/>
        <v>33.926911557528463</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f>G10/C10</f>
        <v>0.3247964357275604</v>
      </c>
      <c r="H20" s="499"/>
      <c r="I20" s="17"/>
      <c r="J20" s="1"/>
      <c r="K20" s="17"/>
      <c r="L20" s="1"/>
      <c r="M20" s="1"/>
      <c r="N20" s="1"/>
      <c r="O20" s="1"/>
      <c r="P20" s="1"/>
      <c r="Q20" s="499"/>
      <c r="R20" s="508"/>
      <c r="S20" s="408"/>
      <c r="T20" s="495"/>
      <c r="U20" s="408"/>
      <c r="V20" s="495"/>
      <c r="W20" s="408"/>
      <c r="X20" s="495"/>
    </row>
    <row r="21" spans="1:24" x14ac:dyDescent="0.25">
      <c r="A21" s="737" t="s">
        <v>13</v>
      </c>
      <c r="B21" s="1" t="s">
        <v>21</v>
      </c>
      <c r="C21" s="17">
        <f>Bilans_E_AMS_Kyoto_run3_2023!L23+Bilans_E_AMS_Kyoto_run3_2023!O12+Bilans_E_AMS_Kyoto_run3_2023!M23</f>
        <v>40.002406504553925</v>
      </c>
      <c r="D21" s="529"/>
      <c r="E21" s="33">
        <f>Bilans_E_AMS_Kyoto_run3_2023!U23+Bilans_E_AMS_Kyoto_run3_2023!O30</f>
        <v>20.046369389091669</v>
      </c>
      <c r="F21" s="529"/>
      <c r="G21" s="17">
        <f t="shared" ref="G21:G45" si="1">C21-E21</f>
        <v>19.956037115462255</v>
      </c>
      <c r="H21" s="529"/>
      <c r="I21" s="17"/>
      <c r="J21" s="529"/>
      <c r="K21" s="545">
        <f>Bilans_E_AMS_Kyoto_run3_2023!O31</f>
        <v>0.13219638878631548</v>
      </c>
      <c r="L21" s="545">
        <f>-(Bilans_E_AMS_Kyoto_run3_2023!O13+Bilans_E_AMS_Kyoto_run3_2023!O14+Bilans_E_AMS_Kyoto_run3_2023!O15+Bilans_E_AMS_Kyoto_run3_2023!O16)</f>
        <v>0.8245514716811293</v>
      </c>
      <c r="M21" s="545">
        <f>Bilans_E_AMS_Kyoto_run3_2023!O28</f>
        <v>0</v>
      </c>
      <c r="N21" s="545">
        <f>Bilans_E_AMS_Kyoto_run3_2023!O22</f>
        <v>2.9558578730887866</v>
      </c>
      <c r="O21" s="545">
        <f>Bilans_E_AMS_Kyoto_run3_2023!O21</f>
        <v>7.539554687040062</v>
      </c>
      <c r="P21" s="545">
        <f>C36</f>
        <v>0</v>
      </c>
      <c r="Q21" s="529"/>
      <c r="R21" s="508"/>
      <c r="S21" s="529"/>
      <c r="T21" s="529"/>
      <c r="U21" s="529"/>
      <c r="V21" s="529"/>
      <c r="W21" s="529"/>
      <c r="X21" s="529"/>
    </row>
    <row r="22" spans="1:24" x14ac:dyDescent="0.25">
      <c r="A22" s="737"/>
      <c r="B22" s="1" t="s">
        <v>519</v>
      </c>
      <c r="C22" s="17">
        <f>Bilans_E_AMS_Kyoto_run3_2023!T24</f>
        <v>0</v>
      </c>
      <c r="D22" s="85">
        <f>SUM(C21:C24)</f>
        <v>408.24157423336425</v>
      </c>
      <c r="E22" s="630">
        <f>Bilans_E_AMS_Kyoto_run3_2023!I30+Bilans_E_AMS_Kyoto_run3_2023!U24</f>
        <v>0</v>
      </c>
      <c r="F22" s="85">
        <f>SUM(E21:E24)</f>
        <v>24.829020995534371</v>
      </c>
      <c r="G22" s="17">
        <f t="shared" si="1"/>
        <v>0</v>
      </c>
      <c r="H22" s="85">
        <f>SUM(G21:G24)</f>
        <v>383.41255323782985</v>
      </c>
      <c r="I22" s="408"/>
      <c r="J22" s="85">
        <f>H22-I22</f>
        <v>383.41255323782985</v>
      </c>
      <c r="K22" s="626">
        <f>Bilans_E_AMS_Kyoto_run3_2023!I31</f>
        <v>0</v>
      </c>
      <c r="L22" s="626">
        <f>-SUM(Bilans_E_AMS_Kyoto_run3_2023!I13:I16)</f>
        <v>0</v>
      </c>
      <c r="M22" s="32"/>
      <c r="N22" s="534">
        <f>Bilans_E_AMS_Kyoto_run3_2023!I22</f>
        <v>0</v>
      </c>
      <c r="O22" s="32"/>
      <c r="P22" s="32"/>
      <c r="Q22" s="85">
        <f>J22-SUM(K21:P24)</f>
        <v>291.53236921592986</v>
      </c>
      <c r="R22" s="508">
        <f>Q22-S22</f>
        <v>8.21634663527675E-2</v>
      </c>
      <c r="S22" s="85">
        <f>SUM(T22:X24)</f>
        <v>291.45020574957709</v>
      </c>
      <c r="T22" s="32">
        <f>Bilans_E_AMS_Kyoto_run3_2023!H38+Bilans_E_AMS_Kyoto_run3_2023!T38+Bilans_E_AMS_Kyoto_run3_2023!O$38+Bilans_E_AMS_Kyoto_run3_2023!I38</f>
        <v>2.718159862690491</v>
      </c>
      <c r="U22" s="32">
        <f>Bilans_E_AMS_Kyoto_run3_2023!H34+Bilans_E_AMS_Kyoto_run3_2023!T34+Bilans_E_AMS_Kyoto_run3_2023!O$34+Bilans_E_AMS_Kyoto_run3_2023!I34</f>
        <v>102.9778730136929</v>
      </c>
      <c r="V22" s="32">
        <f>Bilans_E_AMS_Kyoto_run3_2023!H36+Bilans_E_AMS_Kyoto_run3_2023!T36+Bilans_E_AMS_Kyoto_run3_2023!O$36+Bilans_E_AMS_Kyoto_run3_2023!I36</f>
        <v>113.82007258471337</v>
      </c>
      <c r="W22" s="32">
        <f>Bilans_E_AMS_Kyoto_run3_2023!H37+Bilans_E_AMS_Kyoto_run3_2023!M37+Bilans_E_AMS_Kyoto_run3_2023!T37+Bilans_E_AMS_Kyoto_run3_2023!O$37+Bilans_E_AMS_Kyoto_run3_2023!I37</f>
        <v>68.236694933612938</v>
      </c>
      <c r="X22" s="32">
        <f>Bilans_E_AMS_Kyoto_run3_2023!H35+Bilans_E_AMS_Kyoto_run3_2023!T35+Bilans_E_AMS_Kyoto_run3_2023!O$35+Bilans_E_AMS_Kyoto_run3_2023!I35</f>
        <v>3.697405354867437</v>
      </c>
    </row>
    <row r="23" spans="1:24" x14ac:dyDescent="0.25">
      <c r="A23" s="737"/>
      <c r="B23" s="1" t="s">
        <v>31</v>
      </c>
      <c r="C23" s="17">
        <f>SUM(Bilans_E_AMS_Kyoto_run3_2023!D28:S28)-C47</f>
        <v>0.62724570275159108</v>
      </c>
      <c r="D23" s="530"/>
      <c r="E23" s="33">
        <f>Bilans_E_AMS_Kyoto_run3_2023!U28+Bilans_E_AMS_Kyoto_run3_2023!T30</f>
        <v>0.55499427164379744</v>
      </c>
      <c r="F23" s="532"/>
      <c r="G23" s="17">
        <f t="shared" si="1"/>
        <v>7.225143110779364E-2</v>
      </c>
      <c r="H23" s="532"/>
      <c r="I23" s="17"/>
      <c r="J23" s="532"/>
      <c r="K23" s="534">
        <f>Bilans_E_AMS_Kyoto_run3_2023!T31</f>
        <v>0</v>
      </c>
      <c r="L23" s="534">
        <f>-(Bilans_E_AMS_Kyoto_run3_2023!T13+Bilans_E_AMS_Kyoto_run3_2023!T14+Bilans_E_AMS_Kyoto_run3_2023!T15+Bilans_E_AMS_Kyoto_run3_2023!T16)</f>
        <v>0</v>
      </c>
      <c r="M23" s="534">
        <f>Bilans_E_AMS_Kyoto_run3_2023!T24</f>
        <v>0</v>
      </c>
      <c r="N23" s="534">
        <f>Bilans_E_AMS_Kyoto_run3_2023!T22</f>
        <v>0</v>
      </c>
      <c r="O23" s="534">
        <f>Bilans_E_AMS_Kyoto_run3_2023!T21</f>
        <v>0</v>
      </c>
      <c r="P23" s="534">
        <f>Bilans_E_AMS_Kyoto_run3_2023!T27</f>
        <v>0</v>
      </c>
      <c r="Q23" s="532"/>
      <c r="R23" s="489"/>
      <c r="S23" s="532"/>
      <c r="T23" s="536"/>
      <c r="U23" s="536"/>
      <c r="V23" s="536"/>
      <c r="W23" s="536"/>
      <c r="X23" s="536"/>
    </row>
    <row r="24" spans="1:24" x14ac:dyDescent="0.25">
      <c r="A24" s="737"/>
      <c r="B24" s="1" t="s">
        <v>32</v>
      </c>
      <c r="C24" s="17">
        <f>Bilans_E_AMS_Kyoto_run3_2023!H18-C45-(Bilans_E_AMS_Kyoto_run3_2023!H20+Bilans_E_AMS_Kyoto_run3_2023!H19)</f>
        <v>367.61192202605872</v>
      </c>
      <c r="D24" s="531"/>
      <c r="E24" s="33">
        <f>Bilans_E_AMS_Kyoto_run3_2023!H30</f>
        <v>4.2276573347989057</v>
      </c>
      <c r="F24" s="533"/>
      <c r="G24" s="17">
        <f t="shared" si="1"/>
        <v>363.38426469125983</v>
      </c>
      <c r="H24" s="533"/>
      <c r="I24" s="34"/>
      <c r="J24" s="533"/>
      <c r="K24" s="535">
        <f>Bilans_E_AMS_Kyoto_run3_2023!H31</f>
        <v>4.4532768259942888</v>
      </c>
      <c r="L24" s="535"/>
      <c r="M24" s="535">
        <f>Bilans_E_AMS_Kyoto_run3_2023!H28</f>
        <v>0</v>
      </c>
      <c r="N24" s="535">
        <f>Bilans_E_AMS_Kyoto_run3_2023!H22</f>
        <v>19.429894179428665</v>
      </c>
      <c r="O24" s="535">
        <f>Bilans_E_AMS_Kyoto_run3_2023!H21</f>
        <v>56.544852595880776</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38" t="s">
        <v>14</v>
      </c>
      <c r="B26" s="1" t="s">
        <v>21</v>
      </c>
      <c r="C26" s="17">
        <f>Bilans_E_AMS_Kyoto_run3_2023!O22</f>
        <v>2.9558578730887866</v>
      </c>
      <c r="D26" s="512"/>
      <c r="E26" s="190">
        <f>C26*F$35</f>
        <v>0.38719986282215163</v>
      </c>
      <c r="F26" s="512"/>
      <c r="G26" s="33">
        <f t="shared" ref="G26:G31" si="2">C26-E26</f>
        <v>2.5686580102666348</v>
      </c>
      <c r="H26" s="512"/>
      <c r="I26" s="1"/>
      <c r="J26" s="512"/>
      <c r="K26" s="512"/>
      <c r="L26" s="512"/>
      <c r="M26" s="512"/>
      <c r="N26" s="512"/>
      <c r="O26" s="512"/>
      <c r="P26" s="512"/>
      <c r="Q26" s="512"/>
      <c r="R26" s="508"/>
      <c r="S26" s="512"/>
      <c r="T26" s="512"/>
      <c r="U26" s="512"/>
      <c r="V26" s="512"/>
      <c r="W26" s="512"/>
      <c r="X26" s="512"/>
    </row>
    <row r="27" spans="1:24" x14ac:dyDescent="0.25">
      <c r="A27" s="738"/>
      <c r="B27" s="1" t="s">
        <v>22</v>
      </c>
      <c r="C27" s="17">
        <f>Bilans_E_AMS_Kyoto_run3_2023!M18-(Bilans_E_AMS_Kyoto_run3_2023!M21+Bilans_E_AMS_Kyoto_run3_2023!M23+Bilans_E_AMS_Kyoto_run3_2023!M26+Bilans_E_AMS_Kyoto_run3_2023!M34)-(Bilans_E_AMS_Kyoto_run3_2023!S20+Bilans_E_AMS_Kyoto_run3_2023!S19+Bilans_E_AMS_Kyoto_run3_2023!M20+Bilans_E_AMS_Kyoto_run3_2023!M19)</f>
        <v>10.492811230087565</v>
      </c>
      <c r="D27" s="87"/>
      <c r="E27" s="190">
        <f t="shared" ref="E27:E34" si="3">C27*F$35</f>
        <v>1.3744960831500035</v>
      </c>
      <c r="F27" s="87"/>
      <c r="G27" s="33">
        <f t="shared" si="2"/>
        <v>9.1183151469375616</v>
      </c>
      <c r="H27" s="87"/>
      <c r="I27" s="500"/>
      <c r="J27" s="87"/>
      <c r="K27" s="87"/>
      <c r="L27" s="87"/>
      <c r="M27" s="87"/>
      <c r="N27" s="87"/>
      <c r="O27" s="87"/>
      <c r="P27" s="87"/>
      <c r="Q27" s="87"/>
      <c r="R27" s="508"/>
      <c r="S27" s="87"/>
      <c r="T27" s="87"/>
      <c r="U27" s="87"/>
      <c r="V27" s="87"/>
      <c r="W27" s="87"/>
      <c r="X27" s="87"/>
    </row>
    <row r="28" spans="1:24" x14ac:dyDescent="0.25">
      <c r="A28" s="738"/>
      <c r="B28" s="1" t="s">
        <v>612</v>
      </c>
      <c r="C28" s="17">
        <f>Bilans_E_AMS_Kyoto_run3_2023!J22</f>
        <v>0</v>
      </c>
      <c r="D28" s="87"/>
      <c r="E28" s="190">
        <f t="shared" si="3"/>
        <v>0</v>
      </c>
      <c r="F28" s="87"/>
      <c r="G28" s="33">
        <f>C28-E28</f>
        <v>0</v>
      </c>
      <c r="H28" s="87"/>
      <c r="I28" s="1"/>
      <c r="J28" s="87"/>
      <c r="K28" s="87"/>
      <c r="L28" s="87"/>
      <c r="M28" s="87"/>
      <c r="N28" s="87"/>
      <c r="O28" s="87"/>
      <c r="P28" s="87"/>
      <c r="Q28" s="87"/>
      <c r="R28" s="508"/>
      <c r="S28" s="87"/>
      <c r="T28" s="87"/>
      <c r="U28" s="87"/>
      <c r="V28" s="87"/>
      <c r="W28" s="87"/>
      <c r="X28" s="87"/>
    </row>
    <row r="29" spans="1:24" x14ac:dyDescent="0.25">
      <c r="A29" s="738"/>
      <c r="B29" s="1" t="s">
        <v>23</v>
      </c>
      <c r="C29" s="17">
        <f>Bilans_E_AMS_Kyoto_run3_2023!L22</f>
        <v>18.808573921863989</v>
      </c>
      <c r="D29" s="87"/>
      <c r="E29" s="190">
        <f t="shared" si="3"/>
        <v>2.4638117105460982</v>
      </c>
      <c r="F29" s="87"/>
      <c r="G29" s="33">
        <f t="shared" si="2"/>
        <v>16.344762211317892</v>
      </c>
      <c r="H29" s="87"/>
      <c r="I29" s="1"/>
      <c r="J29" s="87"/>
      <c r="K29" s="87"/>
      <c r="L29" s="87"/>
      <c r="M29" s="87"/>
      <c r="N29" s="87"/>
      <c r="O29" s="87"/>
      <c r="P29" s="87"/>
      <c r="Q29" s="87"/>
      <c r="R29" s="508"/>
      <c r="S29" s="87"/>
      <c r="T29" s="87"/>
      <c r="U29" s="87"/>
      <c r="V29" s="87"/>
      <c r="W29" s="87"/>
      <c r="X29" s="87"/>
    </row>
    <row r="30" spans="1:24" x14ac:dyDescent="0.25">
      <c r="A30" s="738"/>
      <c r="B30" s="1" t="s">
        <v>24</v>
      </c>
      <c r="C30" s="17">
        <f>Bilans_E_AMS_Kyoto_run3_2023!Q22</f>
        <v>3.3768189784020444</v>
      </c>
      <c r="D30" s="86">
        <f>SUM(C26:C34)</f>
        <v>59.653175870093314</v>
      </c>
      <c r="E30" s="190">
        <f t="shared" si="3"/>
        <v>0.44234327269809015</v>
      </c>
      <c r="F30" s="86">
        <f>Bilans_E_AMS_Kyoto_run3_2023!U22</f>
        <v>7.8142124910997097</v>
      </c>
      <c r="G30" s="33">
        <f t="shared" si="2"/>
        <v>2.9344757057039543</v>
      </c>
      <c r="H30" s="86">
        <f>SUM(G26:G34)</f>
        <v>51.838963378993618</v>
      </c>
      <c r="I30" s="1"/>
      <c r="J30" s="86">
        <f>H30</f>
        <v>51.838963378993618</v>
      </c>
      <c r="K30" s="87">
        <f>Bilans_E_AMS_Kyoto_run3_2023!S31</f>
        <v>4.0190531050512117</v>
      </c>
      <c r="L30" s="87"/>
      <c r="M30" s="87">
        <f>Bilans_E_AMS_Kyoto_run3_2023!M28</f>
        <v>0</v>
      </c>
      <c r="N30" s="87"/>
      <c r="O30" s="87"/>
      <c r="P30" s="87"/>
      <c r="Q30" s="86">
        <f>J30-K30-L30-M30-N30-O30-P30</f>
        <v>47.819910273942405</v>
      </c>
      <c r="R30" s="508">
        <f>Q30-S30</f>
        <v>1.0072131549961227E-2</v>
      </c>
      <c r="S30" s="86">
        <f>SUM(T27:X34)</f>
        <v>47.809838142392444</v>
      </c>
      <c r="T30" s="87">
        <f>Bilans_E_AMS_Kyoto_run3_2023!S$38</f>
        <v>0</v>
      </c>
      <c r="U30" s="87">
        <f>Bilans_E_AMS_Kyoto_run3_2023!S$34</f>
        <v>17.635997064742035</v>
      </c>
      <c r="V30" s="87">
        <f>Bilans_E_AMS_Kyoto_run3_2023!S$36</f>
        <v>16.208688156863516</v>
      </c>
      <c r="W30" s="87">
        <f>Bilans_E_AMS_Kyoto_run3_2023!S$37</f>
        <v>13.96515292078689</v>
      </c>
      <c r="X30" s="87">
        <f>Bilans_E_AMS_Kyoto_run3_2023!S$35</f>
        <v>0</v>
      </c>
    </row>
    <row r="31" spans="1:24" x14ac:dyDescent="0.25">
      <c r="A31" s="738"/>
      <c r="B31" s="1" t="s">
        <v>611</v>
      </c>
      <c r="C31" s="17">
        <f>Bilans_E_AMS_Kyoto_run3_2023!P22</f>
        <v>1.2517894765449027</v>
      </c>
      <c r="D31" s="86"/>
      <c r="E31" s="190">
        <f t="shared" si="3"/>
        <v>0.16397700241720667</v>
      </c>
      <c r="F31" s="86"/>
      <c r="G31" s="33">
        <f t="shared" si="2"/>
        <v>1.087812474127696</v>
      </c>
      <c r="H31" s="86"/>
      <c r="I31" s="1"/>
      <c r="J31" s="517"/>
      <c r="K31" s="87"/>
      <c r="L31" s="87"/>
      <c r="M31" s="87"/>
      <c r="N31" s="87"/>
      <c r="O31" s="87"/>
      <c r="P31" s="87"/>
      <c r="Q31" s="517"/>
      <c r="R31" s="508"/>
      <c r="S31" s="519"/>
      <c r="T31" s="521"/>
      <c r="U31" s="521"/>
      <c r="V31" s="521"/>
      <c r="W31" s="521"/>
      <c r="X31" s="521"/>
    </row>
    <row r="32" spans="1:24" x14ac:dyDescent="0.25">
      <c r="A32" s="738"/>
      <c r="B32" s="1" t="s">
        <v>29</v>
      </c>
      <c r="C32" s="17">
        <f>Bilans_E_AMS_Kyoto_run3_2023!H22+Bilans_E_AMS_Kyoto_run3_2023!I22</f>
        <v>19.429894179428665</v>
      </c>
      <c r="D32" s="86"/>
      <c r="E32" s="190">
        <f t="shared" si="3"/>
        <v>2.5452009818936658</v>
      </c>
      <c r="F32" s="86"/>
      <c r="G32" s="33">
        <f>C32-E32</f>
        <v>16.884693197535</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f>Bilans_E_AMS_Kyoto_run3_2023!F22</f>
        <v>2.658988310925126</v>
      </c>
      <c r="D33" s="86"/>
      <c r="E33" s="190">
        <f t="shared" si="3"/>
        <v>0.34831170964253871</v>
      </c>
      <c r="F33" s="86"/>
      <c r="G33" s="33">
        <f t="shared" ref="G33:G34" si="4">C33-E33</f>
        <v>2.3106766012825872</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f>Bilans_E_AMS_Kyoto_run3_2023!D22</f>
        <v>0.67844189975224567</v>
      </c>
      <c r="D34" s="88"/>
      <c r="E34" s="190">
        <f t="shared" si="3"/>
        <v>8.8871867929956744E-2</v>
      </c>
      <c r="F34" s="88"/>
      <c r="G34" s="33">
        <f t="shared" si="4"/>
        <v>0.58957003182228895</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f>F30/D30</f>
        <v>0.13099407327644577</v>
      </c>
      <c r="G35" s="17"/>
      <c r="H35" s="501"/>
      <c r="I35" s="1"/>
      <c r="J35" s="1"/>
      <c r="K35" s="1"/>
      <c r="L35" s="1"/>
      <c r="M35" s="1"/>
      <c r="N35" s="1"/>
      <c r="O35" s="1"/>
      <c r="P35" s="1"/>
      <c r="Q35" s="502"/>
      <c r="R35" s="508"/>
      <c r="U35" s="33"/>
      <c r="V35" s="33"/>
      <c r="W35" s="33"/>
    </row>
    <row r="36" spans="1:26" x14ac:dyDescent="0.25">
      <c r="A36" s="739" t="s">
        <v>34</v>
      </c>
      <c r="B36" s="1" t="s">
        <v>21</v>
      </c>
      <c r="C36" s="33">
        <f>E55</f>
        <v>0</v>
      </c>
      <c r="D36" s="538"/>
      <c r="E36" s="17"/>
      <c r="F36" s="538"/>
      <c r="G36" s="17">
        <f t="shared" ref="G36:G42" si="5">C36-E36</f>
        <v>0</v>
      </c>
      <c r="H36" s="538"/>
      <c r="I36" s="35"/>
      <c r="J36" s="37"/>
      <c r="K36" s="35"/>
      <c r="L36" s="35"/>
      <c r="M36" s="35"/>
      <c r="N36" s="35"/>
      <c r="O36" s="35"/>
      <c r="P36" s="35"/>
      <c r="Q36" s="540"/>
      <c r="R36" s="508"/>
      <c r="S36" s="538"/>
      <c r="T36" s="503">
        <v>0</v>
      </c>
      <c r="U36" s="503">
        <v>0</v>
      </c>
      <c r="V36" s="503">
        <v>0</v>
      </c>
      <c r="W36" s="503">
        <v>0</v>
      </c>
      <c r="X36" s="503">
        <v>0</v>
      </c>
      <c r="Y36" s="489">
        <f>SUM(T36:X36)</f>
        <v>0</v>
      </c>
      <c r="Z36" s="489">
        <f>G36-Y36</f>
        <v>0</v>
      </c>
    </row>
    <row r="37" spans="1:26" x14ac:dyDescent="0.25">
      <c r="A37" s="739"/>
      <c r="B37" s="1" t="s">
        <v>23</v>
      </c>
      <c r="C37" s="33">
        <f>SUM(T37:X37)+E58</f>
        <v>100.44541609092921</v>
      </c>
      <c r="D37" s="539"/>
      <c r="E37" s="504"/>
      <c r="F37" s="539"/>
      <c r="G37" s="17">
        <f t="shared" si="5"/>
        <v>100.44541609092921</v>
      </c>
      <c r="H37" s="539"/>
      <c r="I37" s="498"/>
      <c r="J37" s="37"/>
      <c r="K37" s="35"/>
      <c r="L37" s="35"/>
      <c r="M37" s="505"/>
      <c r="N37" s="35"/>
      <c r="P37" s="35"/>
      <c r="Q37" s="541"/>
      <c r="R37" s="508"/>
      <c r="S37" s="539"/>
      <c r="T37" s="506">
        <f>Bilans_E_AMS_Kyoto_run3_2023!L38</f>
        <v>2.3925466209960313</v>
      </c>
      <c r="U37" s="93">
        <f>Bilans_E_AMS_Kyoto_run3_2023!L34</f>
        <v>20.013743119160708</v>
      </c>
      <c r="V37" s="506">
        <f>Bilans_E_AMS_Kyoto_run3_2023!L36</f>
        <v>77.649161359941488</v>
      </c>
      <c r="W37" s="507">
        <f>Bilans_E_AMS_Kyoto_run3_2023!L37</f>
        <v>0.36773887950875994</v>
      </c>
      <c r="X37" s="506">
        <f>Bilans_E_AMS_Kyoto_run3_2023!L35</f>
        <v>0</v>
      </c>
      <c r="Y37" s="489">
        <f t="shared" ref="Y37:Y47" si="6">SUM(T37:X37)</f>
        <v>100.42318997960699</v>
      </c>
      <c r="Z37" s="489">
        <f t="shared" ref="Z37:Z44" si="7">G37-Y37</f>
        <v>2.2226111322225961E-2</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f>SUM(G36:G41)-E55-E56-E58-L41-L36</f>
        <v>211.93682753520108</v>
      </c>
      <c r="R38" s="508"/>
      <c r="S38" s="539"/>
      <c r="T38" s="84">
        <v>0</v>
      </c>
      <c r="U38" s="83">
        <v>0</v>
      </c>
      <c r="V38" s="84">
        <v>0</v>
      </c>
      <c r="W38" s="91">
        <v>0</v>
      </c>
      <c r="X38" s="91">
        <v>0</v>
      </c>
      <c r="Y38" s="489">
        <f t="shared" si="6"/>
        <v>0</v>
      </c>
      <c r="Z38" s="489">
        <f t="shared" si="7"/>
        <v>0</v>
      </c>
    </row>
    <row r="39" spans="1:26" x14ac:dyDescent="0.25">
      <c r="A39" s="739"/>
      <c r="B39" s="1" t="s">
        <v>35</v>
      </c>
      <c r="C39" s="33">
        <f>SUM(T39:X39)</f>
        <v>5.7428517415488773</v>
      </c>
      <c r="D39" s="539"/>
      <c r="E39" s="35"/>
      <c r="F39" s="539"/>
      <c r="G39" s="17">
        <f t="shared" si="5"/>
        <v>5.7428517415488773</v>
      </c>
      <c r="H39" s="539"/>
      <c r="I39" s="35"/>
      <c r="J39" s="37"/>
      <c r="K39" s="35"/>
      <c r="L39" s="35"/>
      <c r="M39" s="37"/>
      <c r="N39" s="35"/>
      <c r="O39" s="35"/>
      <c r="P39" s="35"/>
      <c r="Q39" s="541"/>
      <c r="R39" s="508"/>
      <c r="S39" s="539"/>
      <c r="T39" s="84">
        <f>Bilans_E_AMS_Kyoto_run3_2023!Q38</f>
        <v>0.25485200979833694</v>
      </c>
      <c r="U39" s="83">
        <f>Bilans_E_AMS_Kyoto_run3_2023!Q34</f>
        <v>4.5058902280570805E-4</v>
      </c>
      <c r="V39" s="84">
        <f>Bilans_E_AMS_Kyoto_run3_2023!Q36</f>
        <v>2.8618874630600963</v>
      </c>
      <c r="W39" s="91">
        <f>Bilans_E_AMS_Kyoto_run3_2023!Q37</f>
        <v>2.6256616796676382</v>
      </c>
      <c r="X39" s="91">
        <f>Bilans_E_AMS_Kyoto_run3_2023!Q35</f>
        <v>0</v>
      </c>
      <c r="Y39" s="489">
        <f t="shared" si="6"/>
        <v>5.7428517415488773</v>
      </c>
      <c r="Z39" s="489">
        <f t="shared" si="7"/>
        <v>0</v>
      </c>
    </row>
    <row r="40" spans="1:26" x14ac:dyDescent="0.25">
      <c r="A40" s="739"/>
      <c r="B40" s="1" t="s">
        <v>36</v>
      </c>
      <c r="C40" s="33">
        <f>Bilans_E_AMS_Kyoto_run3_2023!P12-Bilans_E_AMS_Kyoto_run3_2023!P22</f>
        <v>66.242349111523026</v>
      </c>
      <c r="D40" s="539"/>
      <c r="E40" s="35"/>
      <c r="F40" s="539"/>
      <c r="G40" s="17">
        <f t="shared" si="5"/>
        <v>66.242349111523026</v>
      </c>
      <c r="H40" s="539"/>
      <c r="I40" s="35"/>
      <c r="J40" s="37"/>
      <c r="K40" s="35"/>
      <c r="L40" s="35"/>
      <c r="M40" s="37"/>
      <c r="N40" s="35"/>
      <c r="O40" s="35"/>
      <c r="P40" s="35"/>
      <c r="Q40" s="541"/>
      <c r="R40" s="508"/>
      <c r="S40" s="539"/>
      <c r="T40" s="83">
        <f>Bilans_E_AMS_Kyoto_run3_2023!P$38</f>
        <v>0.15</v>
      </c>
      <c r="U40" s="83">
        <f>Bilans_E_AMS_Kyoto_run3_2023!P$34</f>
        <v>0</v>
      </c>
      <c r="V40" s="83">
        <f>Bilans_E_AMS_Kyoto_run3_2023!P$36</f>
        <v>49.821924717249296</v>
      </c>
      <c r="W40" s="83">
        <f>Bilans_E_AMS_Kyoto_run3_2023!P$37</f>
        <v>16.270424394273732</v>
      </c>
      <c r="X40" s="84">
        <f>Bilans_E_AMS_Kyoto_run3_2023!P$35</f>
        <v>0</v>
      </c>
      <c r="Y40" s="489">
        <f t="shared" si="6"/>
        <v>66.242349111523026</v>
      </c>
      <c r="Z40" s="489">
        <f t="shared" si="7"/>
        <v>0</v>
      </c>
    </row>
    <row r="41" spans="1:26" x14ac:dyDescent="0.25">
      <c r="A41" s="739"/>
      <c r="B41" s="1" t="s">
        <v>37</v>
      </c>
      <c r="C41" s="33">
        <f>Bilans_E_AMS_Kyoto_run3_2023!N12+Bilans_E_AMS_Kyoto_run3_2023!L26+Bilans_E_AMS_Kyoto_run3_2023!M26-Bilans_E_AMS_Kyoto_run3_2023!N21+Bilans_E_AMS_Kyoto_run3_2023!T27</f>
        <v>63.01034079756775</v>
      </c>
      <c r="D41" s="191">
        <f>SUM(C36:C47)</f>
        <v>997.85624301805092</v>
      </c>
      <c r="E41" s="511">
        <f>Bilans_E_AMS_Kyoto_run3_2023!U27+Bilans_E_AMS_Kyoto_run3_2023!U26</f>
        <v>27.273857411710175</v>
      </c>
      <c r="F41" s="191">
        <f>SUM(E36:E47)</f>
        <v>53.795752416744101</v>
      </c>
      <c r="G41" s="17">
        <f t="shared" si="5"/>
        <v>35.736483385857575</v>
      </c>
      <c r="H41" s="191">
        <f>SUM(G36:G47)</f>
        <v>944.06049060130681</v>
      </c>
      <c r="I41" s="35"/>
      <c r="J41" s="37"/>
      <c r="K41" s="35"/>
      <c r="L41" s="37">
        <f>-(SUM(Bilans_E_AMS_Kyoto_run3_2023!N13:N16)+SUM(Bilans_E_AMS_Kyoto_run3_2023!G13:G16))</f>
        <v>-3.835837100249317</v>
      </c>
      <c r="M41" s="35"/>
      <c r="N41" s="35"/>
      <c r="O41" s="35"/>
      <c r="P41" s="35"/>
      <c r="Q41" s="541"/>
      <c r="R41" s="508">
        <f>SUM(Q36:Q47)-S41</f>
        <v>3.8723760987522837E-2</v>
      </c>
      <c r="S41" s="191">
        <f>SUM(T36:X46)</f>
        <v>800.93865913711011</v>
      </c>
      <c r="T41" s="83">
        <f>Bilans_E_AMS_Kyoto_run3_2023!N$38+Bilans_E_AMS_Kyoto_run3_2023!G$38</f>
        <v>2.3864124631637864</v>
      </c>
      <c r="U41" s="83">
        <f>Bilans_E_AMS_Kyoto_run3_2023!N$34+Bilans_E_AMS_Kyoto_run3_2023!G$34</f>
        <v>0.93084916373849025</v>
      </c>
      <c r="V41" s="83">
        <f>Bilans_E_AMS_Kyoto_run3_2023!N$36+Bilans_E_AMS_Kyoto_run3_2023!G$36</f>
        <v>0</v>
      </c>
      <c r="W41" s="83">
        <f>Bilans_E_AMS_Kyoto_run3_2023!N$37+Bilans_E_AMS_Kyoto_run3_2023!G$37</f>
        <v>0</v>
      </c>
      <c r="X41" s="84">
        <f>Bilans_E_AMS_Kyoto_run3_2023!N$35+Bilans_E_AMS_Kyoto_run3_2023!G$35</f>
        <v>36.211175075619899</v>
      </c>
      <c r="Y41" s="489">
        <f t="shared" si="6"/>
        <v>39.528436702522178</v>
      </c>
      <c r="Z41" s="489">
        <f>G41-Y41-L41</f>
        <v>4.3883783584713676E-2</v>
      </c>
    </row>
    <row r="42" spans="1:26" x14ac:dyDescent="0.25">
      <c r="A42" s="739"/>
      <c r="B42" s="1" t="s">
        <v>38</v>
      </c>
      <c r="C42" s="33">
        <f>Bilans_E_AMS_Kyoto_run3_2023!E18+Bilans_E_AMS_Kyoto_run3_2023!F18-Bilans_E_AMS_Kyoto_run3_2023!F21-Bilans_E_AMS_Kyoto_run3_2023!F22-E54-SUM(T43:X43)-(Bilans_E_AMS_Kyoto_run3_2023!E20+Bilans_E_AMS_Kyoto_run3_2023!F20+Bilans_E_AMS_Kyoto_run3_2023!E19+Bilans_E_AMS_Kyoto_run3_2023!F19)</f>
        <v>477.14707493614731</v>
      </c>
      <c r="D42" s="539"/>
      <c r="E42" s="17">
        <f>Bilans_E_AMS_Kyoto_run3_2023!F30+Bilans_E_AMS_Kyoto_run3_2023!U25+Bilans_E_AMS_Kyoto_run3_2023!F29+Bilans_E_AMS_Kyoto_run3_2023!E29</f>
        <v>26.521895005033926</v>
      </c>
      <c r="F42" s="539"/>
      <c r="G42" s="17">
        <f t="shared" si="5"/>
        <v>450.62517993111339</v>
      </c>
      <c r="H42" s="539"/>
      <c r="I42" s="498"/>
      <c r="J42" s="37"/>
      <c r="K42" s="35"/>
      <c r="L42" s="35"/>
      <c r="M42" s="35"/>
      <c r="N42" s="35"/>
      <c r="O42" s="35"/>
      <c r="P42" s="35"/>
      <c r="Q42" s="36">
        <f>G42</f>
        <v>450.62517993111339</v>
      </c>
      <c r="R42" s="508"/>
      <c r="S42" s="539"/>
      <c r="T42" s="83">
        <v>0</v>
      </c>
      <c r="U42" s="83">
        <v>0</v>
      </c>
      <c r="V42" s="83">
        <v>0</v>
      </c>
      <c r="W42" s="83">
        <v>0</v>
      </c>
      <c r="X42" s="84">
        <f>Bilans_E_AMS_Kyoto_run3_2023!F35</f>
        <v>450.58645617012593</v>
      </c>
      <c r="Y42" s="489">
        <f t="shared" si="6"/>
        <v>450.58645617012593</v>
      </c>
      <c r="Z42" s="489">
        <f>Q42-SUM(T42:X42)</f>
        <v>3.8723760987465994E-2</v>
      </c>
    </row>
    <row r="43" spans="1:26" x14ac:dyDescent="0.25">
      <c r="A43" s="739"/>
      <c r="B43" s="1" t="s">
        <v>39</v>
      </c>
      <c r="C43" s="33">
        <f>Bilans_E_AMS_Kyoto_run3_2023!F41+SUM(T43:X43)</f>
        <v>233.53562781034634</v>
      </c>
      <c r="D43" s="539"/>
      <c r="E43" s="38"/>
      <c r="F43" s="539"/>
      <c r="G43" s="17">
        <f>C43-E43</f>
        <v>233.53562781034634</v>
      </c>
      <c r="H43" s="539"/>
      <c r="I43" s="35"/>
      <c r="J43" s="37"/>
      <c r="K43" s="35"/>
      <c r="L43" s="35"/>
      <c r="M43" s="35"/>
      <c r="N43" s="35"/>
      <c r="O43" s="35"/>
      <c r="P43" s="35"/>
      <c r="Q43" s="36">
        <f>G43-Bilans_E_AMS_Kyoto_run3_2023!F41</f>
        <v>127.99833927501955</v>
      </c>
      <c r="R43" s="508"/>
      <c r="S43" s="539"/>
      <c r="T43" s="83">
        <f>Bilans_E_AMS_Kyoto_run3_2023!F38</f>
        <v>36.976399437991013</v>
      </c>
      <c r="U43" s="83">
        <f>Bilans_E_AMS_Kyoto_run3_2023!F34</f>
        <v>28.594443446449898</v>
      </c>
      <c r="V43" s="83">
        <f>Bilans_E_AMS_Kyoto_run3_2023!F36</f>
        <v>37.989040848618878</v>
      </c>
      <c r="W43" s="83">
        <f>Bilans_E_AMS_Kyoto_run3_2023!F37</f>
        <v>24.438455541959776</v>
      </c>
      <c r="X43" s="84">
        <v>0</v>
      </c>
      <c r="Y43" s="489">
        <f t="shared" si="6"/>
        <v>127.99833927501956</v>
      </c>
      <c r="Z43" s="489">
        <f>Q43-SUM(T43:X43)</f>
        <v>0</v>
      </c>
    </row>
    <row r="44" spans="1:26" x14ac:dyDescent="0.25">
      <c r="A44" s="739"/>
      <c r="B44" s="1" t="s">
        <v>40</v>
      </c>
      <c r="C44" s="33">
        <f>SUM(T44:X44)</f>
        <v>4.2427461177010644</v>
      </c>
      <c r="D44" s="539"/>
      <c r="E44" s="38"/>
      <c r="F44" s="539"/>
      <c r="G44" s="17">
        <f t="shared" si="1"/>
        <v>4.2427461177010644</v>
      </c>
      <c r="H44" s="539"/>
      <c r="I44" s="35"/>
      <c r="J44" s="37"/>
      <c r="K44" s="35"/>
      <c r="L44" s="35"/>
      <c r="M44" s="35"/>
      <c r="N44" s="35"/>
      <c r="O44" s="35"/>
      <c r="P44" s="35"/>
      <c r="Q44" s="36">
        <f>G44-Bilans_E_AMS_Kyoto_run3_2023!M41</f>
        <v>4.2427461177010644</v>
      </c>
      <c r="R44" s="498"/>
      <c r="S44" s="539"/>
      <c r="T44" s="83">
        <f>Bilans_E_AMS_Kyoto_run3_2023!M$38</f>
        <v>0</v>
      </c>
      <c r="U44" s="83">
        <f>Bilans_E_AMS_Kyoto_run3_2023!M$34</f>
        <v>4.2427461177010644</v>
      </c>
      <c r="V44" s="83">
        <f>Bilans_E_AMS_Kyoto_run3_2023!M$36</f>
        <v>0</v>
      </c>
      <c r="W44" s="83">
        <f>Bilans_E_AMS_Kyoto_run3_2023!M$37</f>
        <v>0</v>
      </c>
      <c r="X44" s="84">
        <f>Bilans_E_AMS_Kyoto_run3_2023!M$35</f>
        <v>0</v>
      </c>
      <c r="Y44" s="489">
        <f t="shared" si="6"/>
        <v>4.2427461177010644</v>
      </c>
      <c r="Z44" s="489">
        <f t="shared" si="7"/>
        <v>0</v>
      </c>
    </row>
    <row r="45" spans="1:26" x14ac:dyDescent="0.25">
      <c r="A45" s="739"/>
      <c r="B45" s="1" t="s">
        <v>41</v>
      </c>
      <c r="C45" s="33">
        <f>E53</f>
        <v>10.495531750000001</v>
      </c>
      <c r="D45" s="539"/>
      <c r="E45" s="38"/>
      <c r="F45" s="539"/>
      <c r="G45" s="17">
        <f t="shared" si="1"/>
        <v>10.495531750000001</v>
      </c>
      <c r="H45" s="539"/>
      <c r="I45" s="35"/>
      <c r="J45" s="37"/>
      <c r="K45" s="35"/>
      <c r="L45" s="35"/>
      <c r="M45" s="35"/>
      <c r="N45" s="35"/>
      <c r="O45" s="35"/>
      <c r="P45" s="35"/>
      <c r="Q45" s="36">
        <f>G45-Bilans_E_AMS_Kyoto_run3_2023!H41</f>
        <v>0</v>
      </c>
      <c r="R45" s="498"/>
      <c r="S45" s="539"/>
      <c r="T45" s="84">
        <v>0</v>
      </c>
      <c r="U45" s="83">
        <v>0</v>
      </c>
      <c r="V45" s="84">
        <v>0</v>
      </c>
      <c r="W45" s="92">
        <v>0</v>
      </c>
      <c r="X45" s="84">
        <v>0</v>
      </c>
      <c r="Y45" s="489">
        <f t="shared" si="6"/>
        <v>0</v>
      </c>
      <c r="Z45" s="489">
        <f>Q45-Y45</f>
        <v>0</v>
      </c>
    </row>
    <row r="46" spans="1:26" x14ac:dyDescent="0.25">
      <c r="A46" s="739"/>
      <c r="B46" s="1" t="s">
        <v>42</v>
      </c>
      <c r="C46" s="33">
        <f>Bilans_E_AMS_Kyoto_run3_2023!D18-C18-C34</f>
        <v>36.988233398437501</v>
      </c>
      <c r="D46" s="539"/>
      <c r="E46" s="511"/>
      <c r="F46" s="539"/>
      <c r="G46" s="17">
        <f>C46-E46</f>
        <v>36.988233398437501</v>
      </c>
      <c r="H46" s="539"/>
      <c r="I46" s="38"/>
      <c r="J46" s="37"/>
      <c r="K46" s="35"/>
      <c r="L46" s="35"/>
      <c r="M46" s="35"/>
      <c r="N46" s="35"/>
      <c r="O46" s="35"/>
      <c r="P46" s="35"/>
      <c r="Q46" s="36">
        <f>G46-(Bilans_E_AMS_Kyoto_run3_2023!D41+Bilans_E_AMS_Kyoto_run3_2023!D29+Bilans_E_AMS_Kyoto_run3_2023!D30)</f>
        <v>6.1742900390625053</v>
      </c>
      <c r="R46" s="498"/>
      <c r="S46" s="539"/>
      <c r="T46" s="506">
        <f>Bilans_E_AMS_Kyoto_run3_2023!D38</f>
        <v>0</v>
      </c>
      <c r="U46" s="93">
        <f>Bilans_E_AMS_Kyoto_run3_2023!D34</f>
        <v>6.1742900390625</v>
      </c>
      <c r="V46" s="506">
        <f>Bilans_E_AMS_Kyoto_run3_2023!D36</f>
        <v>0</v>
      </c>
      <c r="W46" s="507">
        <f>Bilans_E_AMS_Kyoto_run3_2023!D37</f>
        <v>0</v>
      </c>
      <c r="X46" s="506">
        <f>Bilans_E_AMS_Kyoto_run3_2023!D35</f>
        <v>0</v>
      </c>
      <c r="Y46" s="489">
        <f t="shared" si="6"/>
        <v>6.1742900390625</v>
      </c>
      <c r="Z46" s="489">
        <f>Q46-Y46</f>
        <v>0</v>
      </c>
    </row>
    <row r="47" spans="1:26" x14ac:dyDescent="0.25">
      <c r="A47" s="90"/>
      <c r="B47" s="1" t="s">
        <v>31</v>
      </c>
      <c r="C47" s="33">
        <f>E57</f>
        <v>6.0712638497352599E-3</v>
      </c>
      <c r="D47" s="192"/>
      <c r="E47" s="511"/>
      <c r="F47" s="192"/>
      <c r="G47" s="17">
        <f>C47-E47</f>
        <v>6.0712638497352599E-3</v>
      </c>
      <c r="H47" s="192"/>
      <c r="I47" s="38"/>
      <c r="J47" s="37"/>
      <c r="K47" s="35"/>
      <c r="L47" s="35"/>
      <c r="M47" s="35"/>
      <c r="N47" s="35"/>
      <c r="O47" s="35"/>
      <c r="P47" s="35"/>
      <c r="Q47" s="542">
        <f>G47-Bilans_E_AMS_Kyoto_run3_2023!T41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C5-L13-SUM(L21:L24)-L30-L41-Bilans_E_AMS_Kyoto_run3_2023!U18</f>
        <v>0.20438153623172184</v>
      </c>
      <c r="D49" s="1"/>
      <c r="E49" s="34">
        <f>SUM(E7:E47)+I13-Bilans_E_AMS_Kyoto_run3_2023!U32+K13+SUM(K21:K24)+K30+Bilans_E_AMS_Kyoto_run3_2023!D29+Bilans_E_AMS_Kyoto_run3_2023!D30</f>
        <v>0.20438153623251232</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516.02564255157438</v>
      </c>
    </row>
    <row r="52" spans="1:19" x14ac:dyDescent="0.25">
      <c r="A52" s="21"/>
      <c r="B52" s="1" t="s">
        <v>44</v>
      </c>
      <c r="C52" s="44"/>
      <c r="D52" s="1"/>
      <c r="E52" s="39">
        <f>Bilans_E_AMS_Kyoto_run3_2023!D41+Bilans_E_AMS_Kyoto_run3_2023!D29+Bilans_E_AMS_Kyoto_run3_2023!D30</f>
        <v>30.813943359374996</v>
      </c>
      <c r="F52" s="187"/>
      <c r="G52" s="1"/>
      <c r="H52" s="1"/>
      <c r="I52" s="30"/>
      <c r="J52" s="17"/>
      <c r="K52" s="17"/>
      <c r="L52" s="21"/>
      <c r="M52" s="1"/>
      <c r="N52" s="17"/>
      <c r="O52" s="17"/>
      <c r="P52" s="17"/>
      <c r="Q52" s="1"/>
      <c r="S52" s="33"/>
    </row>
    <row r="53" spans="1:19" x14ac:dyDescent="0.25">
      <c r="A53" s="21"/>
      <c r="B53" s="1" t="s">
        <v>41</v>
      </c>
      <c r="C53" s="45"/>
      <c r="D53" s="17"/>
      <c r="E53" s="433">
        <f>Bilans_E_AMS_Kyoto_run3_2023!H41+Bilans_E_AMS_Kyoto_run3_2023!H29</f>
        <v>10.495531750000001</v>
      </c>
      <c r="F53" s="187"/>
      <c r="G53" s="1"/>
      <c r="H53" s="1"/>
      <c r="I53" s="30"/>
      <c r="J53" s="17"/>
      <c r="K53" s="17"/>
      <c r="L53" s="21"/>
      <c r="M53" s="1"/>
      <c r="N53" s="17"/>
      <c r="O53" s="17"/>
      <c r="P53" s="17"/>
      <c r="Q53" s="1"/>
    </row>
    <row r="54" spans="1:19" x14ac:dyDescent="0.25">
      <c r="A54" s="21"/>
      <c r="B54" s="1" t="s">
        <v>39</v>
      </c>
      <c r="C54" s="45"/>
      <c r="D54" s="17"/>
      <c r="E54" s="435">
        <f>Bilans_E_AMS_Kyoto_run3_2023!F41</f>
        <v>105.53728853532679</v>
      </c>
      <c r="F54" s="187"/>
      <c r="G54" s="1"/>
      <c r="H54" s="1"/>
      <c r="I54" s="30"/>
      <c r="J54" s="17"/>
      <c r="K54" s="17"/>
      <c r="L54" s="21"/>
      <c r="M54" s="21"/>
      <c r="N54" s="17"/>
      <c r="O54" s="17"/>
      <c r="P54" s="17"/>
      <c r="Q54" s="1"/>
    </row>
    <row r="55" spans="1:19" x14ac:dyDescent="0.25">
      <c r="B55" s="1" t="s">
        <v>21</v>
      </c>
      <c r="E55" s="631">
        <f>Bilans_E_AMS_Kyoto_run3_2023!O41+Bilans_E_AMS_Kyoto_run3_2023!O29</f>
        <v>0</v>
      </c>
    </row>
    <row r="56" spans="1:19" x14ac:dyDescent="0.25">
      <c r="B56" s="1" t="s">
        <v>37</v>
      </c>
      <c r="E56" s="631">
        <f>Bilans_E_AMS_Kyoto_run3_2023!N41+Bilans_E_AMS_Kyoto_run3_2023!N29+Bilans_E_AMS_Kyoto_run3_2023!G41</f>
        <v>4.3883783584696544E-2</v>
      </c>
    </row>
    <row r="57" spans="1:19" x14ac:dyDescent="0.25">
      <c r="B57" s="1" t="s">
        <v>31</v>
      </c>
      <c r="E57" s="631">
        <f>Bilans_E_AMS_Kyoto_run3_2023!T41</f>
        <v>6.0712638497352599E-3</v>
      </c>
    </row>
    <row r="58" spans="1:19" x14ac:dyDescent="0.25">
      <c r="B58" s="1" t="s">
        <v>335</v>
      </c>
      <c r="E58" s="631">
        <f>Bilans_E_AMS_Kyoto_run3_2023!L41</f>
        <v>2.2226111322227553E-2</v>
      </c>
    </row>
    <row r="59" spans="1:19" x14ac:dyDescent="0.25">
      <c r="E59" s="632"/>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A0C0A-B9C6-428B-8F54-A1CEA81FC1B6}">
  <dimension ref="A1:Z59"/>
  <sheetViews>
    <sheetView topLeftCell="A19" workbookViewId="0">
      <selection activeCell="C27" sqref="C27"/>
    </sheetView>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2801.5112440082203</v>
      </c>
      <c r="D5" s="18"/>
      <c r="E5" s="20"/>
      <c r="F5" s="494"/>
      <c r="G5" s="21"/>
      <c r="H5" s="493"/>
      <c r="I5" s="21"/>
      <c r="J5" s="22"/>
      <c r="K5" s="23"/>
      <c r="L5" s="14"/>
      <c r="M5" s="14"/>
      <c r="N5" s="15"/>
      <c r="O5" s="16"/>
      <c r="P5" s="16"/>
      <c r="Q5" s="24">
        <f>Q13+Q22+Q30+Q42+Q46+Q38+Q43</f>
        <v>1532.2069269139029</v>
      </c>
      <c r="R5" s="487"/>
      <c r="S5" s="79">
        <f>SUM(S13,S22,S27:S32,S41)</f>
        <v>1538.2997771895182</v>
      </c>
      <c r="T5" s="79">
        <f>SUM(T8:T46)</f>
        <v>54.209652766052798</v>
      </c>
      <c r="U5" s="79">
        <f>SUM(U8:U46)</f>
        <v>303.15754941194768</v>
      </c>
      <c r="V5" s="79">
        <f>SUM(V8:V46)</f>
        <v>454.61375290298372</v>
      </c>
      <c r="W5" s="173">
        <f>SUM(W8:W46)</f>
        <v>248.73109521521096</v>
      </c>
      <c r="X5" s="79">
        <f>SUM(X8:X46)</f>
        <v>477.58772689332295</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f>(([13]Offre_calc!$N$108+[13]Offre_calc!$N$109+[13]Offre_calc!$N$147+[13]Offre_calc!$N$148)/([13]Offre_calc!$N$105+[13]Offre_calc!$N$144))*Bilans_E_AMS_Kyoto_run3_2025!K$21</f>
        <v>63.790026944885696</v>
      </c>
      <c r="D7" s="516"/>
      <c r="E7" s="28">
        <v>0</v>
      </c>
      <c r="F7" s="516"/>
      <c r="G7" s="17">
        <f>C7-E7</f>
        <v>63.790026944885696</v>
      </c>
      <c r="H7" s="516"/>
      <c r="I7" s="21"/>
      <c r="J7" s="516"/>
      <c r="K7" s="523"/>
      <c r="L7" s="523"/>
      <c r="M7" s="523"/>
      <c r="N7" s="523"/>
      <c r="O7" s="523"/>
      <c r="P7" s="513"/>
      <c r="Q7" s="526"/>
      <c r="R7" s="498"/>
      <c r="S7" s="526"/>
      <c r="T7" s="523"/>
      <c r="U7" s="523"/>
      <c r="V7" s="523"/>
      <c r="W7" s="523"/>
      <c r="X7" s="523"/>
    </row>
    <row r="8" spans="1:24" x14ac:dyDescent="0.25">
      <c r="A8" s="736"/>
      <c r="B8" s="1" t="s">
        <v>18</v>
      </c>
      <c r="C8" s="486">
        <f>(([13]Offre_calc!$N$107+[13]Offre_calc!$N$146)/([13]Offre_calc!$N$105+[13]Offre_calc!$N$144))*Bilans_E_AMS_Kyoto_run3_2025!K$21</f>
        <v>54.384992533217357</v>
      </c>
      <c r="D8" s="81"/>
      <c r="E8" s="28">
        <v>0</v>
      </c>
      <c r="F8" s="81"/>
      <c r="G8" s="17">
        <f t="shared" ref="G8:G19" si="0">C8-E8</f>
        <v>54.384992533217357</v>
      </c>
      <c r="H8" s="81"/>
      <c r="I8" s="21"/>
      <c r="J8" s="81"/>
      <c r="K8" s="524"/>
      <c r="L8" s="524"/>
      <c r="M8" s="524"/>
      <c r="N8" s="524"/>
      <c r="O8" s="524"/>
      <c r="P8" s="29"/>
      <c r="Q8" s="527"/>
      <c r="R8" s="498"/>
      <c r="S8" s="527"/>
      <c r="T8" s="524"/>
      <c r="U8" s="524"/>
      <c r="V8" s="524"/>
      <c r="W8" s="524"/>
      <c r="X8" s="524"/>
    </row>
    <row r="9" spans="1:24" x14ac:dyDescent="0.25">
      <c r="A9" s="736"/>
      <c r="B9" s="1" t="s">
        <v>19</v>
      </c>
      <c r="C9" s="486">
        <f>(([13]Offre_calc!$N$106+[13]Offre_calc!$N$145)/([13]Offre_calc!$N$105+[13]Offre_calc!$N$144))*Bilans_E_AMS_Kyoto_run3_2025!K$21</f>
        <v>34.501452538133627</v>
      </c>
      <c r="D9" s="81"/>
      <c r="E9" s="28">
        <v>0</v>
      </c>
      <c r="F9" s="81"/>
      <c r="G9" s="17">
        <f t="shared" si="0"/>
        <v>34.501452538133627</v>
      </c>
      <c r="H9" s="81"/>
      <c r="I9" s="21"/>
      <c r="J9" s="81"/>
      <c r="K9" s="524"/>
      <c r="L9" s="524"/>
      <c r="M9" s="524"/>
      <c r="N9" s="524"/>
      <c r="O9" s="524"/>
      <c r="P9" s="29"/>
      <c r="Q9" s="527"/>
      <c r="R9" s="498"/>
      <c r="S9" s="527"/>
      <c r="T9" s="524"/>
      <c r="U9" s="524"/>
      <c r="V9" s="524"/>
      <c r="W9" s="524"/>
      <c r="X9" s="524"/>
    </row>
    <row r="10" spans="1:24" x14ac:dyDescent="0.25">
      <c r="A10" s="736"/>
      <c r="B10" s="1" t="s">
        <v>20</v>
      </c>
      <c r="C10" s="17">
        <f>Bilans_E_AMS_Kyoto_run3_2025!J21-(Bilans_E_AMS_Kyoto_run3_2025!R20+Bilans_E_AMS_Kyoto_run3_2025!R19)</f>
        <v>1181.6974545454545</v>
      </c>
      <c r="D10" s="81"/>
      <c r="E10" s="28">
        <f>F13-SUM(E11:E19)</f>
        <v>794.90149382195943</v>
      </c>
      <c r="F10" s="81"/>
      <c r="G10" s="17">
        <f t="shared" si="0"/>
        <v>386.79596072349511</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f>Bilans_E_AMS_Kyoto_run3_2025!O21</f>
        <v>8.2002577205628917</v>
      </c>
      <c r="D11" s="81"/>
      <c r="E11" s="727">
        <f>C11*(1-[12]Offre_calc!$V$161)</f>
        <v>3.2801030882251569</v>
      </c>
      <c r="F11" s="81"/>
      <c r="G11" s="17">
        <f t="shared" si="0"/>
        <v>4.9201546323377343</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f>Bilans_E_AMS_Kyoto_run3_2025!M21</f>
        <v>7.616750828340038</v>
      </c>
      <c r="D12" s="81"/>
      <c r="E12" s="727">
        <f>C12*(1-[12]Offre_calc!$V$171)</f>
        <v>4.570050497004023</v>
      </c>
      <c r="F12" s="81"/>
      <c r="G12" s="17">
        <f t="shared" si="0"/>
        <v>3.046700331336015</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f>Bilans_E_AMS_Kyoto_run3_2025!L21</f>
        <v>13.326474331194433</v>
      </c>
      <c r="D13" s="81">
        <f>SUM(C7:C19)</f>
        <v>1429.1782795137597</v>
      </c>
      <c r="E13" s="727">
        <f>C13*(1-[12]Offre_calc!$V$170)</f>
        <v>7.9958845987166596</v>
      </c>
      <c r="F13" s="81">
        <f>Bilans_E_AMS_Kyoto_run3_2025!U21</f>
        <v>838.24055906396495</v>
      </c>
      <c r="G13" s="17">
        <f t="shared" si="0"/>
        <v>5.3305897324777733</v>
      </c>
      <c r="H13" s="81">
        <f>SUM(G7:G19)</f>
        <v>590.93772044979505</v>
      </c>
      <c r="I13" s="33">
        <f>Bilans_E_AMS_Kyoto_run3_2025!R30</f>
        <v>34.180514899221805</v>
      </c>
      <c r="J13" s="81">
        <f>H13-I13</f>
        <v>556.75720555057319</v>
      </c>
      <c r="K13" s="29">
        <f>Bilans_E_AMS_Kyoto_run3_2025!R31</f>
        <v>41.266202819137604</v>
      </c>
      <c r="L13" s="29">
        <f>-(Bilans_E_AMS_Kyoto_run3_2025!R14+Bilans_E_AMS_Kyoto_run3_2025!R13)</f>
        <v>86.192023090421856</v>
      </c>
      <c r="M13" s="29">
        <f>Bilans_E_AMS_Kyoto_run3_2025!R28</f>
        <v>1.9046603946177385</v>
      </c>
      <c r="N13" s="29"/>
      <c r="O13" s="29"/>
      <c r="P13" s="29"/>
      <c r="Q13" s="81">
        <f>J13-K13-L13-M13-N13-O13-P13</f>
        <v>427.39431924639604</v>
      </c>
      <c r="R13" s="508">
        <f>Q13-S13</f>
        <v>0</v>
      </c>
      <c r="S13" s="81">
        <f>SUM(T8:X19)</f>
        <v>427.39431924639592</v>
      </c>
      <c r="T13" s="29">
        <f>Bilans_E_AMS_Kyoto_run3_2025!R38</f>
        <v>8.2175953615538209</v>
      </c>
      <c r="U13" s="29">
        <f>Bilans_E_AMS_Kyoto_run3_2025!R34+Bilans_E_AMS_Kyoto_run3_2025!R39</f>
        <v>120.70181135843518</v>
      </c>
      <c r="V13" s="29">
        <f>Bilans_E_AMS_Kyoto_run3_2025!R36</f>
        <v>155.95540999328384</v>
      </c>
      <c r="W13" s="29">
        <f>Bilans_E_AMS_Kyoto_run3_2025!R37</f>
        <v>125.61536332451628</v>
      </c>
      <c r="X13" s="29">
        <f>Bilans_E_AMS_Kyoto_run3_2025!R35</f>
        <v>16.904139208606786</v>
      </c>
    </row>
    <row r="14" spans="1:24" x14ac:dyDescent="0.25">
      <c r="A14" s="736"/>
      <c r="B14" s="1" t="s">
        <v>24</v>
      </c>
      <c r="C14" s="17">
        <f>Bilans_E_AMS_Kyoto_run3_2025!Q21</f>
        <v>0.31861460974897526</v>
      </c>
      <c r="D14" s="81"/>
      <c r="E14" s="28">
        <v>0</v>
      </c>
      <c r="F14" s="81"/>
      <c r="G14" s="17">
        <f t="shared" si="0"/>
        <v>0.31861460974897526</v>
      </c>
      <c r="H14" s="81"/>
      <c r="I14" s="21"/>
      <c r="J14" s="81"/>
      <c r="K14" s="524"/>
      <c r="L14" s="524"/>
      <c r="M14" s="524"/>
      <c r="N14" s="524"/>
      <c r="O14" s="524"/>
      <c r="P14" s="29"/>
      <c r="Q14" s="527"/>
      <c r="R14" s="508"/>
      <c r="S14" s="527"/>
      <c r="T14" s="524"/>
      <c r="U14" s="524"/>
      <c r="V14" s="524"/>
      <c r="W14" s="524"/>
      <c r="X14" s="524"/>
    </row>
    <row r="15" spans="1:24" x14ac:dyDescent="0.25">
      <c r="A15" s="736"/>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36"/>
      <c r="B16" s="1" t="s">
        <v>343</v>
      </c>
      <c r="C16" s="17">
        <f>Bilans_E_AMS_Kyoto_run3_2025!N21</f>
        <v>5.5512316182098811</v>
      </c>
      <c r="D16" s="81"/>
      <c r="E16" s="727">
        <f>C16*(1-[12]Offre_calc!$V$158)</f>
        <v>3.1086897061975338</v>
      </c>
      <c r="F16" s="81"/>
      <c r="G16" s="17">
        <f t="shared" si="0"/>
        <v>2.4425419120123473</v>
      </c>
      <c r="H16" s="81"/>
      <c r="I16" s="21"/>
      <c r="J16" s="81"/>
      <c r="K16" s="524"/>
      <c r="L16" s="524"/>
      <c r="M16" s="524"/>
      <c r="N16" s="524"/>
      <c r="O16" s="524"/>
      <c r="P16" s="29"/>
      <c r="Q16" s="527"/>
      <c r="R16" s="508"/>
      <c r="S16" s="527"/>
      <c r="T16" s="524"/>
      <c r="U16" s="524"/>
      <c r="V16" s="524"/>
      <c r="W16" s="524"/>
      <c r="X16" s="524"/>
    </row>
    <row r="17" spans="1:24" x14ac:dyDescent="0.25">
      <c r="A17" s="736"/>
      <c r="B17" s="1" t="s">
        <v>27</v>
      </c>
      <c r="C17" s="17">
        <f>Bilans_E_AMS_Kyoto_run3_2025!F21</f>
        <v>2.9245488391069152</v>
      </c>
      <c r="D17" s="81"/>
      <c r="E17" s="727">
        <f>C17*(1-[12]Offre_calc!$V$158)</f>
        <v>1.6377473498998727</v>
      </c>
      <c r="F17" s="81"/>
      <c r="G17" s="17">
        <f t="shared" si="0"/>
        <v>1.2868014892070425</v>
      </c>
      <c r="H17" s="81"/>
      <c r="I17" s="21"/>
      <c r="J17" s="81"/>
      <c r="K17" s="524"/>
      <c r="L17" s="524"/>
      <c r="M17" s="524"/>
      <c r="N17" s="524"/>
      <c r="O17" s="524"/>
      <c r="P17" s="29"/>
      <c r="Q17" s="527"/>
      <c r="R17" s="508"/>
      <c r="S17" s="527"/>
      <c r="T17" s="524"/>
      <c r="U17" s="524"/>
      <c r="V17" s="524"/>
      <c r="W17" s="524"/>
      <c r="X17" s="524"/>
    </row>
    <row r="18" spans="1:24" x14ac:dyDescent="0.25">
      <c r="A18" s="736"/>
      <c r="B18" s="1" t="s">
        <v>28</v>
      </c>
      <c r="C18" s="17">
        <f>Bilans_E_AMS_Kyoto_run3_2025!D21</f>
        <v>0</v>
      </c>
      <c r="D18" s="81"/>
      <c r="E18" s="727">
        <f>C18*(1-[12]Offre_calc!$V$157)</f>
        <v>0</v>
      </c>
      <c r="F18" s="81"/>
      <c r="G18" s="17">
        <f t="shared" si="0"/>
        <v>0</v>
      </c>
      <c r="H18" s="81"/>
      <c r="I18" s="21"/>
      <c r="J18" s="81"/>
      <c r="K18" s="524"/>
      <c r="L18" s="524"/>
      <c r="M18" s="524"/>
      <c r="N18" s="524"/>
      <c r="O18" s="524"/>
      <c r="P18" s="29"/>
      <c r="Q18" s="527"/>
      <c r="R18" s="508"/>
      <c r="S18" s="527"/>
      <c r="T18" s="524"/>
      <c r="U18" s="524"/>
      <c r="V18" s="524"/>
      <c r="W18" s="524"/>
      <c r="X18" s="524"/>
    </row>
    <row r="19" spans="1:24" x14ac:dyDescent="0.25">
      <c r="A19" s="736"/>
      <c r="B19" s="1" t="s">
        <v>260</v>
      </c>
      <c r="C19" s="17">
        <f>Bilans_E_AMS_Kyoto_run3_2025!H21+Bilans_E_AMS_Kyoto_run3_2025!T21</f>
        <v>56.866475004905659</v>
      </c>
      <c r="D19" s="82"/>
      <c r="E19" s="727">
        <f>C19*(1-[12]Offre_calc!$V$160)</f>
        <v>22.746590001962264</v>
      </c>
      <c r="F19" s="82"/>
      <c r="G19" s="17">
        <f t="shared" si="0"/>
        <v>34.119885002943391</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f>G10/C10</f>
        <v>0.32732232707760039</v>
      </c>
      <c r="H20" s="499"/>
      <c r="I20" s="17"/>
      <c r="J20" s="1"/>
      <c r="K20" s="17"/>
      <c r="L20" s="1"/>
      <c r="M20" s="1"/>
      <c r="N20" s="1"/>
      <c r="O20" s="1"/>
      <c r="P20" s="1"/>
      <c r="Q20" s="499"/>
      <c r="R20" s="508"/>
      <c r="S20" s="408"/>
      <c r="T20" s="495"/>
      <c r="U20" s="408"/>
      <c r="V20" s="495"/>
      <c r="W20" s="408"/>
      <c r="X20" s="495"/>
    </row>
    <row r="21" spans="1:24" x14ac:dyDescent="0.25">
      <c r="A21" s="737" t="s">
        <v>13</v>
      </c>
      <c r="B21" s="1" t="s">
        <v>21</v>
      </c>
      <c r="C21" s="17">
        <f>Bilans_E_AMS_Kyoto_run3_2025!L23+Bilans_E_AMS_Kyoto_run3_2025!O12+Bilans_E_AMS_Kyoto_run3_2025!M23</f>
        <v>50.928750018501418</v>
      </c>
      <c r="D21" s="529"/>
      <c r="E21" s="33">
        <f>Bilans_E_AMS_Kyoto_run3_2025!U23+Bilans_E_AMS_Kyoto_run3_2025!O30</f>
        <v>25.584429823149648</v>
      </c>
      <c r="F21" s="529"/>
      <c r="G21" s="17">
        <f t="shared" ref="G21:G45" si="1">C21-E21</f>
        <v>25.34432019535177</v>
      </c>
      <c r="H21" s="529"/>
      <c r="I21" s="17"/>
      <c r="J21" s="529"/>
      <c r="K21" s="545">
        <f>Bilans_E_AMS_Kyoto_run3_2025!O31</f>
        <v>0.22531250669183908</v>
      </c>
      <c r="L21" s="545">
        <f>-(Bilans_E_AMS_Kyoto_run3_2025!O13+Bilans_E_AMS_Kyoto_run3_2025!O14+Bilans_E_AMS_Kyoto_run3_2025!O15+Bilans_E_AMS_Kyoto_run3_2025!O16)</f>
        <v>-0.47949599458384118</v>
      </c>
      <c r="M21" s="545">
        <f>Bilans_E_AMS_Kyoto_run3_2025!O28</f>
        <v>0</v>
      </c>
      <c r="N21" s="545">
        <f>Bilans_E_AMS_Kyoto_run3_2025!O22</f>
        <v>3.1139937286877846</v>
      </c>
      <c r="O21" s="545">
        <f>Bilans_E_AMS_Kyoto_run3_2025!O21</f>
        <v>8.2002577205628917</v>
      </c>
      <c r="P21" s="545">
        <f>C36</f>
        <v>0</v>
      </c>
      <c r="Q21" s="529"/>
      <c r="R21" s="508"/>
      <c r="S21" s="529"/>
      <c r="T21" s="529"/>
      <c r="U21" s="529"/>
      <c r="V21" s="529"/>
      <c r="W21" s="529"/>
      <c r="X21" s="529"/>
    </row>
    <row r="22" spans="1:24" x14ac:dyDescent="0.25">
      <c r="A22" s="737"/>
      <c r="B22" s="1" t="s">
        <v>519</v>
      </c>
      <c r="C22" s="17">
        <f>Bilans_E_AMS_Kyoto_run3_2025!T24</f>
        <v>0</v>
      </c>
      <c r="D22" s="85">
        <f>SUM(C21:C24)</f>
        <v>406.99284452808854</v>
      </c>
      <c r="E22" s="630">
        <f>Bilans_E_AMS_Kyoto_run3_2025!I30+Bilans_E_AMS_Kyoto_run3_2025!U24</f>
        <v>0</v>
      </c>
      <c r="F22" s="85">
        <f>SUM(E21:E24)</f>
        <v>30.980101898150785</v>
      </c>
      <c r="G22" s="17">
        <f t="shared" si="1"/>
        <v>0</v>
      </c>
      <c r="H22" s="85">
        <f>SUM(G21:G24)</f>
        <v>376.01274262993775</v>
      </c>
      <c r="I22" s="408"/>
      <c r="J22" s="85">
        <f>H22-I22</f>
        <v>376.01274262993775</v>
      </c>
      <c r="K22" s="626">
        <f>Bilans_E_AMS_Kyoto_run3_2025!I31</f>
        <v>0</v>
      </c>
      <c r="L22" s="626">
        <f>-SUM(Bilans_E_AMS_Kyoto_run3_2025!I13:I16)</f>
        <v>0</v>
      </c>
      <c r="M22" s="32"/>
      <c r="N22" s="534">
        <f>Bilans_E_AMS_Kyoto_run3_2025!I22</f>
        <v>0</v>
      </c>
      <c r="O22" s="32"/>
      <c r="P22" s="32"/>
      <c r="Q22" s="85">
        <f>J22-SUM(K21:P24)</f>
        <v>284.79886497582572</v>
      </c>
      <c r="R22" s="508">
        <f>Q22-S22</f>
        <v>3.562840950945656E-2</v>
      </c>
      <c r="S22" s="85">
        <f>SUM(T22:X24)</f>
        <v>284.76323656631627</v>
      </c>
      <c r="T22" s="32">
        <f>Bilans_E_AMS_Kyoto_run3_2025!H38+Bilans_E_AMS_Kyoto_run3_2025!T38+Bilans_E_AMS_Kyoto_run3_2025!O$38+Bilans_E_AMS_Kyoto_run3_2025!I38</f>
        <v>2.4841856077042066</v>
      </c>
      <c r="U22" s="32">
        <f>Bilans_E_AMS_Kyoto_run3_2025!H34+Bilans_E_AMS_Kyoto_run3_2025!T34+Bilans_E_AMS_Kyoto_run3_2025!O$34+Bilans_E_AMS_Kyoto_run3_2025!I34</f>
        <v>99.196233029113813</v>
      </c>
      <c r="V22" s="32">
        <f>Bilans_E_AMS_Kyoto_run3_2025!H36+Bilans_E_AMS_Kyoto_run3_2025!T36+Bilans_E_AMS_Kyoto_run3_2025!O$36+Bilans_E_AMS_Kyoto_run3_2025!I36</f>
        <v>115.18135311514705</v>
      </c>
      <c r="W22" s="32">
        <f>Bilans_E_AMS_Kyoto_run3_2025!H37+Bilans_E_AMS_Kyoto_run3_2025!M37+Bilans_E_AMS_Kyoto_run3_2025!T37+Bilans_E_AMS_Kyoto_run3_2025!O$37+Bilans_E_AMS_Kyoto_run3_2025!I37</f>
        <v>63.673123299044839</v>
      </c>
      <c r="X22" s="32">
        <f>Bilans_E_AMS_Kyoto_run3_2025!H35+Bilans_E_AMS_Kyoto_run3_2025!T35+Bilans_E_AMS_Kyoto_run3_2025!O$35+Bilans_E_AMS_Kyoto_run3_2025!I35</f>
        <v>4.2283415153063242</v>
      </c>
    </row>
    <row r="23" spans="1:24" x14ac:dyDescent="0.25">
      <c r="A23" s="737"/>
      <c r="B23" s="1" t="s">
        <v>31</v>
      </c>
      <c r="C23" s="17">
        <f>SUM(Bilans_E_AMS_Kyoto_run3_2025!D28:S28)-C47</f>
        <v>1.9046603946177385</v>
      </c>
      <c r="D23" s="530"/>
      <c r="E23" s="33">
        <f>Bilans_E_AMS_Kyoto_run3_2025!U28+Bilans_E_AMS_Kyoto_run3_2025!T30</f>
        <v>1.6666311381162084</v>
      </c>
      <c r="F23" s="532"/>
      <c r="G23" s="17">
        <f t="shared" si="1"/>
        <v>0.23802925650153006</v>
      </c>
      <c r="H23" s="532"/>
      <c r="I23" s="17"/>
      <c r="J23" s="532"/>
      <c r="K23" s="534">
        <f>Bilans_E_AMS_Kyoto_run3_2025!T31</f>
        <v>0</v>
      </c>
      <c r="L23" s="534">
        <f>-(Bilans_E_AMS_Kyoto_run3_2025!T13+Bilans_E_AMS_Kyoto_run3_2025!T14+Bilans_E_AMS_Kyoto_run3_2025!T15+Bilans_E_AMS_Kyoto_run3_2025!T16)</f>
        <v>0</v>
      </c>
      <c r="M23" s="534">
        <f>Bilans_E_AMS_Kyoto_run3_2025!T24</f>
        <v>0</v>
      </c>
      <c r="N23" s="534">
        <f>Bilans_E_AMS_Kyoto_run3_2025!T22</f>
        <v>0</v>
      </c>
      <c r="O23" s="534">
        <f>Bilans_E_AMS_Kyoto_run3_2025!T21</f>
        <v>0</v>
      </c>
      <c r="P23" s="534">
        <f>Bilans_E_AMS_Kyoto_run3_2025!T27</f>
        <v>0</v>
      </c>
      <c r="Q23" s="532"/>
      <c r="R23" s="489"/>
      <c r="S23" s="532"/>
      <c r="T23" s="536"/>
      <c r="U23" s="536"/>
      <c r="V23" s="536"/>
      <c r="W23" s="536"/>
      <c r="X23" s="536"/>
    </row>
    <row r="24" spans="1:24" x14ac:dyDescent="0.25">
      <c r="A24" s="737"/>
      <c r="B24" s="1" t="s">
        <v>32</v>
      </c>
      <c r="C24" s="17">
        <f>Bilans_E_AMS_Kyoto_run3_2025!H18-C45-(Bilans_E_AMS_Kyoto_run3_2025!H20+Bilans_E_AMS_Kyoto_run3_2025!H19)</f>
        <v>354.15943411496937</v>
      </c>
      <c r="D24" s="531"/>
      <c r="E24" s="33">
        <f>Bilans_E_AMS_Kyoto_run3_2025!H30</f>
        <v>3.72904093688493</v>
      </c>
      <c r="F24" s="533"/>
      <c r="G24" s="17">
        <f t="shared" si="1"/>
        <v>350.43039317808444</v>
      </c>
      <c r="H24" s="533"/>
      <c r="I24" s="34"/>
      <c r="J24" s="533"/>
      <c r="K24" s="535">
        <f>Bilans_E_AMS_Kyoto_run3_2025!H31</f>
        <v>4.280937627144942</v>
      </c>
      <c r="L24" s="535"/>
      <c r="M24" s="535">
        <f>Bilans_E_AMS_Kyoto_run3_2025!H28</f>
        <v>0</v>
      </c>
      <c r="N24" s="535">
        <f>Bilans_E_AMS_Kyoto_run3_2025!H22</f>
        <v>19.006397060702763</v>
      </c>
      <c r="O24" s="535">
        <f>Bilans_E_AMS_Kyoto_run3_2025!H21</f>
        <v>56.866475004905659</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38" t="s">
        <v>14</v>
      </c>
      <c r="B26" s="1" t="s">
        <v>21</v>
      </c>
      <c r="C26" s="17">
        <f>Bilans_E_AMS_Kyoto_run3_2025!O22</f>
        <v>3.1139937286877846</v>
      </c>
      <c r="D26" s="512"/>
      <c r="E26" s="190">
        <f>C26*F$35</f>
        <v>0.3723303247443579</v>
      </c>
      <c r="F26" s="512"/>
      <c r="G26" s="33">
        <f t="shared" ref="G26:G31" si="2">C26-E26</f>
        <v>2.7416634039434267</v>
      </c>
      <c r="H26" s="512"/>
      <c r="I26" s="1"/>
      <c r="J26" s="512"/>
      <c r="K26" s="512"/>
      <c r="L26" s="512"/>
      <c r="M26" s="512"/>
      <c r="N26" s="512"/>
      <c r="O26" s="512"/>
      <c r="P26" s="512"/>
      <c r="Q26" s="512"/>
      <c r="R26" s="508"/>
      <c r="S26" s="512"/>
      <c r="T26" s="512"/>
      <c r="U26" s="512"/>
      <c r="V26" s="512"/>
      <c r="W26" s="512"/>
      <c r="X26" s="512"/>
    </row>
    <row r="27" spans="1:24" x14ac:dyDescent="0.25">
      <c r="A27" s="738"/>
      <c r="B27" s="1" t="s">
        <v>22</v>
      </c>
      <c r="C27" s="17">
        <f>Bilans_E_AMS_Kyoto_run3_2025!M18-(Bilans_E_AMS_Kyoto_run3_2025!M21+Bilans_E_AMS_Kyoto_run3_2025!M23+Bilans_E_AMS_Kyoto_run3_2025!M26+Bilans_E_AMS_Kyoto_run3_2025!M34)-(Bilans_E_AMS_Kyoto_run3_2025!S20+Bilans_E_AMS_Kyoto_run3_2025!S19+Bilans_E_AMS_Kyoto_run3_2025!M20+Bilans_E_AMS_Kyoto_run3_2025!M19)</f>
        <v>11.853273217430257</v>
      </c>
      <c r="D27" s="87"/>
      <c r="E27" s="190">
        <f t="shared" ref="E27:E34" si="3">C27*F$35</f>
        <v>1.4172581741804455</v>
      </c>
      <c r="F27" s="87"/>
      <c r="G27" s="33">
        <f t="shared" si="2"/>
        <v>10.43601504324981</v>
      </c>
      <c r="H27" s="87"/>
      <c r="I27" s="500"/>
      <c r="J27" s="87"/>
      <c r="K27" s="87"/>
      <c r="L27" s="87"/>
      <c r="M27" s="87"/>
      <c r="N27" s="87"/>
      <c r="O27" s="87"/>
      <c r="P27" s="87"/>
      <c r="Q27" s="87"/>
      <c r="R27" s="508"/>
      <c r="S27" s="87"/>
      <c r="T27" s="87"/>
      <c r="U27" s="87"/>
      <c r="V27" s="87"/>
      <c r="W27" s="87"/>
      <c r="X27" s="87"/>
    </row>
    <row r="28" spans="1:24" x14ac:dyDescent="0.25">
      <c r="A28" s="738"/>
      <c r="B28" s="1" t="s">
        <v>612</v>
      </c>
      <c r="C28" s="17">
        <f>Bilans_E_AMS_Kyoto_run3_2025!J22</f>
        <v>0</v>
      </c>
      <c r="D28" s="87"/>
      <c r="E28" s="190">
        <f t="shared" si="3"/>
        <v>0</v>
      </c>
      <c r="F28" s="87"/>
      <c r="G28" s="33">
        <f>C28-E28</f>
        <v>0</v>
      </c>
      <c r="H28" s="87"/>
      <c r="I28" s="1"/>
      <c r="J28" s="87"/>
      <c r="K28" s="87"/>
      <c r="L28" s="87"/>
      <c r="M28" s="87"/>
      <c r="N28" s="87"/>
      <c r="O28" s="87"/>
      <c r="P28" s="87"/>
      <c r="Q28" s="87"/>
      <c r="R28" s="508"/>
      <c r="S28" s="87"/>
      <c r="T28" s="87"/>
      <c r="U28" s="87"/>
      <c r="V28" s="87"/>
      <c r="W28" s="87"/>
      <c r="X28" s="87"/>
    </row>
    <row r="29" spans="1:24" x14ac:dyDescent="0.25">
      <c r="A29" s="738"/>
      <c r="B29" s="1" t="s">
        <v>23</v>
      </c>
      <c r="C29" s="17">
        <f>Bilans_E_AMS_Kyoto_run3_2025!L22</f>
        <v>19.963453378354124</v>
      </c>
      <c r="D29" s="87"/>
      <c r="E29" s="190">
        <f t="shared" si="3"/>
        <v>2.3869666181099389</v>
      </c>
      <c r="F29" s="87"/>
      <c r="G29" s="33">
        <f t="shared" si="2"/>
        <v>17.576486760244187</v>
      </c>
      <c r="H29" s="87"/>
      <c r="I29" s="1"/>
      <c r="J29" s="87"/>
      <c r="K29" s="87"/>
      <c r="L29" s="87"/>
      <c r="M29" s="87"/>
      <c r="N29" s="87"/>
      <c r="O29" s="87"/>
      <c r="P29" s="87"/>
      <c r="Q29" s="87"/>
      <c r="R29" s="508"/>
      <c r="S29" s="87"/>
      <c r="T29" s="87"/>
      <c r="U29" s="87"/>
      <c r="V29" s="87"/>
      <c r="W29" s="87"/>
      <c r="X29" s="87"/>
    </row>
    <row r="30" spans="1:24" x14ac:dyDescent="0.25">
      <c r="A30" s="738"/>
      <c r="B30" s="1" t="s">
        <v>24</v>
      </c>
      <c r="C30" s="17">
        <f>Bilans_E_AMS_Kyoto_run3_2025!Q22</f>
        <v>6.057358935027354</v>
      </c>
      <c r="D30" s="86">
        <f>SUM(C26:C34)</f>
        <v>64.5365978978095</v>
      </c>
      <c r="E30" s="190">
        <f t="shared" si="3"/>
        <v>0.72425913982885781</v>
      </c>
      <c r="F30" s="86">
        <f>Bilans_E_AMS_Kyoto_run3_2025!U22</f>
        <v>7.7164357242662405</v>
      </c>
      <c r="G30" s="33">
        <f t="shared" si="2"/>
        <v>5.3330997951984962</v>
      </c>
      <c r="H30" s="86">
        <f>SUM(G26:G34)</f>
        <v>56.82016217354326</v>
      </c>
      <c r="I30" s="1"/>
      <c r="J30" s="86">
        <f>H30</f>
        <v>56.82016217354326</v>
      </c>
      <c r="K30" s="87">
        <f>Bilans_E_AMS_Kyoto_run3_2025!S31</f>
        <v>4.4071739193324495</v>
      </c>
      <c r="L30" s="87"/>
      <c r="M30" s="87">
        <f>Bilans_E_AMS_Kyoto_run3_2025!M28</f>
        <v>0</v>
      </c>
      <c r="N30" s="87"/>
      <c r="O30" s="87"/>
      <c r="P30" s="87"/>
      <c r="Q30" s="86">
        <f>J30-K30-L30-M30-N30-O30-P30</f>
        <v>52.412988254210809</v>
      </c>
      <c r="R30" s="508">
        <f>Q30-S30</f>
        <v>2.8381138669431039E-5</v>
      </c>
      <c r="S30" s="86">
        <f>SUM(T27:X34)</f>
        <v>52.41295987307214</v>
      </c>
      <c r="T30" s="87">
        <f>Bilans_E_AMS_Kyoto_run3_2025!S$38</f>
        <v>0</v>
      </c>
      <c r="U30" s="87">
        <f>Bilans_E_AMS_Kyoto_run3_2025!S$34</f>
        <v>18.813292152120741</v>
      </c>
      <c r="V30" s="87">
        <f>Bilans_E_AMS_Kyoto_run3_2025!S$36</f>
        <v>17.330040012113464</v>
      </c>
      <c r="W30" s="87">
        <f>Bilans_E_AMS_Kyoto_run3_2025!S$37</f>
        <v>16.26962770883793</v>
      </c>
      <c r="X30" s="87">
        <f>Bilans_E_AMS_Kyoto_run3_2025!S$35</f>
        <v>0</v>
      </c>
    </row>
    <row r="31" spans="1:24" x14ac:dyDescent="0.25">
      <c r="A31" s="738"/>
      <c r="B31" s="1" t="s">
        <v>611</v>
      </c>
      <c r="C31" s="17">
        <f>Bilans_E_AMS_Kyoto_run3_2025!P22</f>
        <v>2.9294344243040014</v>
      </c>
      <c r="D31" s="86"/>
      <c r="E31" s="190">
        <f t="shared" si="3"/>
        <v>0.35026315578934408</v>
      </c>
      <c r="F31" s="86"/>
      <c r="G31" s="33">
        <f t="shared" si="2"/>
        <v>2.5791712685146573</v>
      </c>
      <c r="H31" s="86"/>
      <c r="I31" s="1"/>
      <c r="J31" s="517"/>
      <c r="K31" s="87"/>
      <c r="L31" s="87"/>
      <c r="M31" s="87"/>
      <c r="N31" s="87"/>
      <c r="O31" s="87"/>
      <c r="P31" s="87"/>
      <c r="Q31" s="517"/>
      <c r="R31" s="508"/>
      <c r="S31" s="519"/>
      <c r="T31" s="521"/>
      <c r="U31" s="521"/>
      <c r="V31" s="521"/>
      <c r="W31" s="521"/>
      <c r="X31" s="521"/>
    </row>
    <row r="32" spans="1:24" x14ac:dyDescent="0.25">
      <c r="A32" s="738"/>
      <c r="B32" s="1" t="s">
        <v>29</v>
      </c>
      <c r="C32" s="17">
        <f>Bilans_E_AMS_Kyoto_run3_2025!H22+Bilans_E_AMS_Kyoto_run3_2025!I22</f>
        <v>19.006397060702763</v>
      </c>
      <c r="D32" s="86"/>
      <c r="E32" s="190">
        <f t="shared" si="3"/>
        <v>2.2725344385371398</v>
      </c>
      <c r="F32" s="86"/>
      <c r="G32" s="33">
        <f>C32-E32</f>
        <v>16.733862622165624</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f>Bilans_E_AMS_Kyoto_run3_2025!F22</f>
        <v>1.3037931857947018</v>
      </c>
      <c r="D33" s="86"/>
      <c r="E33" s="190">
        <f t="shared" si="3"/>
        <v>0.15589040395112938</v>
      </c>
      <c r="F33" s="86"/>
      <c r="G33" s="33">
        <f t="shared" ref="G33:G34" si="4">C33-E33</f>
        <v>1.1479027818435725</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f>Bilans_E_AMS_Kyoto_run3_2025!D22</f>
        <v>0.30889396750851739</v>
      </c>
      <c r="D34" s="88"/>
      <c r="E34" s="190">
        <f t="shared" si="3"/>
        <v>3.6933469125027457E-2</v>
      </c>
      <c r="F34" s="88"/>
      <c r="G34" s="33">
        <f t="shared" si="4"/>
        <v>0.2719604983834899</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f>F30/D30</f>
        <v>0.11956681907039528</v>
      </c>
      <c r="G35" s="17"/>
      <c r="H35" s="501"/>
      <c r="I35" s="1"/>
      <c r="J35" s="1"/>
      <c r="K35" s="1"/>
      <c r="L35" s="1"/>
      <c r="M35" s="1"/>
      <c r="N35" s="1"/>
      <c r="O35" s="1"/>
      <c r="P35" s="1"/>
      <c r="Q35" s="502"/>
      <c r="R35" s="508"/>
      <c r="U35" s="33"/>
      <c r="V35" s="33"/>
      <c r="W35" s="33"/>
    </row>
    <row r="36" spans="1:26" x14ac:dyDescent="0.25">
      <c r="A36" s="739" t="s">
        <v>34</v>
      </c>
      <c r="B36" s="1" t="s">
        <v>21</v>
      </c>
      <c r="C36" s="33">
        <f>E55</f>
        <v>0</v>
      </c>
      <c r="D36" s="538"/>
      <c r="E36" s="17"/>
      <c r="F36" s="538"/>
      <c r="G36" s="17">
        <f t="shared" ref="G36:G42" si="5">C36-E36</f>
        <v>0</v>
      </c>
      <c r="H36" s="538"/>
      <c r="I36" s="35"/>
      <c r="J36" s="37"/>
      <c r="K36" s="35"/>
      <c r="L36" s="35"/>
      <c r="M36" s="35"/>
      <c r="N36" s="35"/>
      <c r="O36" s="35"/>
      <c r="P36" s="35"/>
      <c r="Q36" s="540"/>
      <c r="R36" s="508"/>
      <c r="S36" s="538"/>
      <c r="T36" s="503">
        <v>0</v>
      </c>
      <c r="U36" s="503">
        <v>0</v>
      </c>
      <c r="V36" s="503">
        <v>0</v>
      </c>
      <c r="W36" s="503">
        <v>0</v>
      </c>
      <c r="X36" s="503">
        <v>0</v>
      </c>
      <c r="Y36" s="489">
        <f>SUM(T36:X36)</f>
        <v>0</v>
      </c>
      <c r="Z36" s="489">
        <f>G36-Y36</f>
        <v>0</v>
      </c>
    </row>
    <row r="37" spans="1:26" x14ac:dyDescent="0.25">
      <c r="A37" s="739"/>
      <c r="B37" s="1" t="s">
        <v>23</v>
      </c>
      <c r="C37" s="33">
        <f>SUM(T37:X37)+E58</f>
        <v>105.71200718748571</v>
      </c>
      <c r="D37" s="539"/>
      <c r="E37" s="504"/>
      <c r="F37" s="539"/>
      <c r="G37" s="17">
        <f t="shared" si="5"/>
        <v>105.71200718748571</v>
      </c>
      <c r="H37" s="539"/>
      <c r="I37" s="498"/>
      <c r="J37" s="37"/>
      <c r="K37" s="35"/>
      <c r="L37" s="35"/>
      <c r="M37" s="505"/>
      <c r="N37" s="35"/>
      <c r="P37" s="35"/>
      <c r="Q37" s="541"/>
      <c r="R37" s="508"/>
      <c r="S37" s="539"/>
      <c r="T37" s="506">
        <f>Bilans_E_AMS_Kyoto_run3_2025!L38</f>
        <v>4.8413821640415255</v>
      </c>
      <c r="U37" s="93">
        <f>Bilans_E_AMS_Kyoto_run3_2025!L34</f>
        <v>26.937463537570867</v>
      </c>
      <c r="V37" s="506">
        <f>Bilans_E_AMS_Kyoto_run3_2025!L36</f>
        <v>73.413726167362853</v>
      </c>
      <c r="W37" s="507">
        <f>Bilans_E_AMS_Kyoto_run3_2025!L37</f>
        <v>0.46982123257429881</v>
      </c>
      <c r="X37" s="506">
        <f>Bilans_E_AMS_Kyoto_run3_2025!L35</f>
        <v>0</v>
      </c>
      <c r="Y37" s="489">
        <f t="shared" ref="Y37:Y47" si="6">SUM(T37:X37)</f>
        <v>105.66239310154955</v>
      </c>
      <c r="Z37" s="489">
        <f t="shared" ref="Z37:Z44" si="7">G37-Y37</f>
        <v>4.9614085936156016E-2</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f>SUM(G36:G41)-E55-E56-E58-L41-L36</f>
        <v>234.91896878615287</v>
      </c>
      <c r="R38" s="508"/>
      <c r="S38" s="539"/>
      <c r="T38" s="84">
        <v>0</v>
      </c>
      <c r="U38" s="83">
        <v>0</v>
      </c>
      <c r="V38" s="84">
        <v>0</v>
      </c>
      <c r="W38" s="91">
        <v>0</v>
      </c>
      <c r="X38" s="91">
        <v>0</v>
      </c>
      <c r="Y38" s="489">
        <f t="shared" si="6"/>
        <v>0</v>
      </c>
      <c r="Z38" s="489">
        <f t="shared" si="7"/>
        <v>0</v>
      </c>
    </row>
    <row r="39" spans="1:26" x14ac:dyDescent="0.25">
      <c r="A39" s="739"/>
      <c r="B39" s="1" t="s">
        <v>35</v>
      </c>
      <c r="C39" s="33">
        <f>SUM(T39:X39)</f>
        <v>7.5285718590413762</v>
      </c>
      <c r="D39" s="539"/>
      <c r="E39" s="35"/>
      <c r="F39" s="539"/>
      <c r="G39" s="17">
        <f t="shared" si="5"/>
        <v>7.5285718590413762</v>
      </c>
      <c r="H39" s="539"/>
      <c r="I39" s="35"/>
      <c r="J39" s="37"/>
      <c r="K39" s="35"/>
      <c r="L39" s="35"/>
      <c r="M39" s="37"/>
      <c r="N39" s="35"/>
      <c r="O39" s="35"/>
      <c r="P39" s="35"/>
      <c r="Q39" s="541"/>
      <c r="R39" s="508"/>
      <c r="S39" s="539"/>
      <c r="T39" s="84">
        <f>Bilans_E_AMS_Kyoto_run3_2025!Q38</f>
        <v>0.36066131262685786</v>
      </c>
      <c r="U39" s="83">
        <f>Bilans_E_AMS_Kyoto_run3_2025!Q34</f>
        <v>4.7991131198633983E-4</v>
      </c>
      <c r="V39" s="84">
        <f>Bilans_E_AMS_Kyoto_run3_2025!Q36</f>
        <v>3.6562035035050702</v>
      </c>
      <c r="W39" s="91">
        <f>Bilans_E_AMS_Kyoto_run3_2025!Q37</f>
        <v>3.5112271315974612</v>
      </c>
      <c r="X39" s="91">
        <f>Bilans_E_AMS_Kyoto_run3_2025!Q35</f>
        <v>0</v>
      </c>
      <c r="Y39" s="489">
        <f t="shared" si="6"/>
        <v>7.5285718590413762</v>
      </c>
      <c r="Z39" s="489">
        <f t="shared" si="7"/>
        <v>0</v>
      </c>
    </row>
    <row r="40" spans="1:26" x14ac:dyDescent="0.25">
      <c r="A40" s="739"/>
      <c r="B40" s="1" t="s">
        <v>36</v>
      </c>
      <c r="C40" s="33">
        <f>Bilans_E_AMS_Kyoto_run3_2025!P12-Bilans_E_AMS_Kyoto_run3_2025!P22</f>
        <v>81.343113756200779</v>
      </c>
      <c r="D40" s="539"/>
      <c r="E40" s="35"/>
      <c r="F40" s="539"/>
      <c r="G40" s="17">
        <f t="shared" si="5"/>
        <v>81.343113756200779</v>
      </c>
      <c r="H40" s="539"/>
      <c r="I40" s="35"/>
      <c r="J40" s="37"/>
      <c r="K40" s="35"/>
      <c r="L40" s="35"/>
      <c r="M40" s="37"/>
      <c r="N40" s="35"/>
      <c r="O40" s="35"/>
      <c r="P40" s="35"/>
      <c r="Q40" s="541"/>
      <c r="R40" s="508"/>
      <c r="S40" s="539"/>
      <c r="T40" s="83">
        <f>Bilans_E_AMS_Kyoto_run3_2025!P$38</f>
        <v>0.25</v>
      </c>
      <c r="U40" s="83">
        <f>Bilans_E_AMS_Kyoto_run3_2025!P$34</f>
        <v>1.390278564453125</v>
      </c>
      <c r="V40" s="83">
        <f>Bilans_E_AMS_Kyoto_run3_2025!P$36</f>
        <v>58.81291503857112</v>
      </c>
      <c r="W40" s="83">
        <f>Bilans_E_AMS_Kyoto_run3_2025!P$37</f>
        <v>20.889920153176526</v>
      </c>
      <c r="X40" s="84">
        <f>Bilans_E_AMS_Kyoto_run3_2025!P$35</f>
        <v>0</v>
      </c>
      <c r="Y40" s="489">
        <f t="shared" si="6"/>
        <v>81.343113756200779</v>
      </c>
      <c r="Z40" s="489">
        <f t="shared" si="7"/>
        <v>0</v>
      </c>
    </row>
    <row r="41" spans="1:26" x14ac:dyDescent="0.25">
      <c r="A41" s="739"/>
      <c r="B41" s="1" t="s">
        <v>37</v>
      </c>
      <c r="C41" s="33">
        <f>Bilans_E_AMS_Kyoto_run3_2025!N12+Bilans_E_AMS_Kyoto_run3_2025!L26+Bilans_E_AMS_Kyoto_run3_2025!M26-Bilans_E_AMS_Kyoto_run3_2025!N21+Bilans_E_AMS_Kyoto_run3_2025!T27</f>
        <v>59.56261164059822</v>
      </c>
      <c r="D41" s="191">
        <f>SUM(C36:C47)</f>
        <v>989.89530597803855</v>
      </c>
      <c r="E41" s="511">
        <f>Bilans_E_AMS_Kyoto_run3_2025!U27+Bilans_E_AMS_Kyoto_run3_2025!U26</f>
        <v>25.181981317476243</v>
      </c>
      <c r="F41" s="191">
        <f>SUM(E36:E47)</f>
        <v>53.078765363435764</v>
      </c>
      <c r="G41" s="17">
        <f t="shared" si="5"/>
        <v>34.380630323121977</v>
      </c>
      <c r="H41" s="191">
        <f>SUM(G36:G47)</f>
        <v>936.81654061460279</v>
      </c>
      <c r="I41" s="35"/>
      <c r="J41" s="37"/>
      <c r="K41" s="35"/>
      <c r="L41" s="37">
        <f>-(SUM(Bilans_E_AMS_Kyoto_run3_2025!N13:N16)+SUM(Bilans_E_AMS_Kyoto_run3_2025!G13:G16))</f>
        <v>-6.0928336129737843</v>
      </c>
      <c r="M41" s="35"/>
      <c r="N41" s="35"/>
      <c r="O41" s="35"/>
      <c r="P41" s="35"/>
      <c r="Q41" s="541"/>
      <c r="R41" s="508">
        <f>SUM(Q36:Q47)-S41</f>
        <v>0</v>
      </c>
      <c r="S41" s="191">
        <f>SUM(T36:X46)</f>
        <v>773.72926150373382</v>
      </c>
      <c r="T41" s="83">
        <f>Bilans_E_AMS_Kyoto_run3_2025!N$38+Bilans_E_AMS_Kyoto_run3_2025!G$38</f>
        <v>2.7934691016396722</v>
      </c>
      <c r="U41" s="83">
        <f>Bilans_E_AMS_Kyoto_run3_2025!N$34+Bilans_E_AMS_Kyoto_run3_2025!G$34</f>
        <v>0.93174084898654219</v>
      </c>
      <c r="V41" s="83">
        <f>Bilans_E_AMS_Kyoto_run3_2025!N$36+Bilans_E_AMS_Kyoto_run3_2025!G$36</f>
        <v>0</v>
      </c>
      <c r="W41" s="83">
        <f>Bilans_E_AMS_Kyoto_run3_2025!N$37+Bilans_E_AMS_Kyoto_run3_2025!G$37</f>
        <v>0</v>
      </c>
      <c r="X41" s="84">
        <f>Bilans_E_AMS_Kyoto_run3_2025!N$35+Bilans_E_AMS_Kyoto_run3_2025!G$35</f>
        <v>36.659680118734968</v>
      </c>
      <c r="Y41" s="489">
        <f t="shared" si="6"/>
        <v>40.384890069361184</v>
      </c>
      <c r="Z41" s="489">
        <f>G41-Y41-L41</f>
        <v>8.8573866734577678E-2</v>
      </c>
    </row>
    <row r="42" spans="1:26" x14ac:dyDescent="0.25">
      <c r="A42" s="739"/>
      <c r="B42" s="1" t="s">
        <v>38</v>
      </c>
      <c r="C42" s="33">
        <f>Bilans_E_AMS_Kyoto_run3_2025!E18+Bilans_E_AMS_Kyoto_run3_2025!F18-Bilans_E_AMS_Kyoto_run3_2025!F21-Bilans_E_AMS_Kyoto_run3_2025!F22-E54-SUM(T43:X43)-(Bilans_E_AMS_Kyoto_run3_2025!E20+Bilans_E_AMS_Kyoto_run3_2025!F20+Bilans_E_AMS_Kyoto_run3_2025!E19+Bilans_E_AMS_Kyoto_run3_2025!F19)</f>
        <v>447.69235009663436</v>
      </c>
      <c r="D42" s="539"/>
      <c r="E42" s="17">
        <f>Bilans_E_AMS_Kyoto_run3_2025!F30+Bilans_E_AMS_Kyoto_run3_2025!U25+Bilans_E_AMS_Kyoto_run3_2025!F29+Bilans_E_AMS_Kyoto_run3_2025!E29</f>
        <v>27.896784045959517</v>
      </c>
      <c r="F42" s="539"/>
      <c r="G42" s="17">
        <f t="shared" si="5"/>
        <v>419.79556605067484</v>
      </c>
      <c r="H42" s="539"/>
      <c r="I42" s="498"/>
      <c r="J42" s="37"/>
      <c r="K42" s="35"/>
      <c r="L42" s="35"/>
      <c r="M42" s="35"/>
      <c r="N42" s="35"/>
      <c r="O42" s="35"/>
      <c r="P42" s="35"/>
      <c r="Q42" s="36">
        <f>G42</f>
        <v>419.79556605067484</v>
      </c>
      <c r="R42" s="508"/>
      <c r="S42" s="539"/>
      <c r="T42" s="83">
        <v>0</v>
      </c>
      <c r="U42" s="83">
        <v>0</v>
      </c>
      <c r="V42" s="83">
        <v>0</v>
      </c>
      <c r="W42" s="83">
        <v>0</v>
      </c>
      <c r="X42" s="84">
        <f>Bilans_E_AMS_Kyoto_run3_2025!F35</f>
        <v>419.79556605067489</v>
      </c>
      <c r="Y42" s="489">
        <f t="shared" si="6"/>
        <v>419.79556605067489</v>
      </c>
      <c r="Z42" s="489">
        <f>Q42-SUM(T42:X42)</f>
        <v>0</v>
      </c>
    </row>
    <row r="43" spans="1:26" x14ac:dyDescent="0.25">
      <c r="A43" s="739"/>
      <c r="B43" s="1" t="s">
        <v>39</v>
      </c>
      <c r="C43" s="33">
        <f>Bilans_E_AMS_Kyoto_run3_2025!F41+SUM(T43:X43)</f>
        <v>222.5375812448865</v>
      </c>
      <c r="D43" s="539"/>
      <c r="E43" s="38"/>
      <c r="F43" s="539"/>
      <c r="G43" s="17">
        <f>C43-E43</f>
        <v>222.5375812448865</v>
      </c>
      <c r="H43" s="539"/>
      <c r="I43" s="35"/>
      <c r="J43" s="37"/>
      <c r="K43" s="35"/>
      <c r="L43" s="35"/>
      <c r="M43" s="35"/>
      <c r="N43" s="35"/>
      <c r="O43" s="35"/>
      <c r="P43" s="35"/>
      <c r="Q43" s="36">
        <f>G43-Bilans_E_AMS_Kyoto_run3_2025!F41</f>
        <v>107.99371178814256</v>
      </c>
      <c r="R43" s="508"/>
      <c r="S43" s="539"/>
      <c r="T43" s="83">
        <f>Bilans_E_AMS_Kyoto_run3_2025!F38</f>
        <v>35.262359218486715</v>
      </c>
      <c r="U43" s="83">
        <f>Bilans_E_AMS_Kyoto_run3_2025!F34</f>
        <v>24.165235131191906</v>
      </c>
      <c r="V43" s="83">
        <f>Bilans_E_AMS_Kyoto_run3_2025!F36</f>
        <v>30.264105073000309</v>
      </c>
      <c r="W43" s="83">
        <f>Bilans_E_AMS_Kyoto_run3_2025!F37</f>
        <v>18.302012365463629</v>
      </c>
      <c r="X43" s="84">
        <v>0</v>
      </c>
      <c r="Y43" s="489">
        <f t="shared" si="6"/>
        <v>107.99371178814256</v>
      </c>
      <c r="Z43" s="489">
        <f>Q43-SUM(T43:X43)</f>
        <v>0</v>
      </c>
    </row>
    <row r="44" spans="1:26" x14ac:dyDescent="0.25">
      <c r="A44" s="739"/>
      <c r="B44" s="1" t="s">
        <v>40</v>
      </c>
      <c r="C44" s="33">
        <f>SUM(T44:X44)</f>
        <v>6.1285070662635537</v>
      </c>
      <c r="D44" s="539"/>
      <c r="E44" s="38"/>
      <c r="F44" s="539"/>
      <c r="G44" s="17">
        <f t="shared" si="1"/>
        <v>6.1285070662635537</v>
      </c>
      <c r="H44" s="539"/>
      <c r="I44" s="35"/>
      <c r="J44" s="37"/>
      <c r="K44" s="35"/>
      <c r="L44" s="35"/>
      <c r="M44" s="35"/>
      <c r="N44" s="35"/>
      <c r="O44" s="35"/>
      <c r="P44" s="35"/>
      <c r="Q44" s="36">
        <f>G44-Bilans_E_AMS_Kyoto_run3_2025!M41</f>
        <v>6.1285070662635537</v>
      </c>
      <c r="R44" s="498"/>
      <c r="S44" s="539"/>
      <c r="T44" s="83">
        <f>Bilans_E_AMS_Kyoto_run3_2025!M$38</f>
        <v>0</v>
      </c>
      <c r="U44" s="83">
        <f>Bilans_E_AMS_Kyoto_run3_2025!M$34</f>
        <v>6.1285070662635537</v>
      </c>
      <c r="V44" s="83">
        <f>Bilans_E_AMS_Kyoto_run3_2025!M$36</f>
        <v>0</v>
      </c>
      <c r="W44" s="83">
        <f>Bilans_E_AMS_Kyoto_run3_2025!M$37</f>
        <v>0</v>
      </c>
      <c r="X44" s="84">
        <f>Bilans_E_AMS_Kyoto_run3_2025!M$35</f>
        <v>0</v>
      </c>
      <c r="Y44" s="489">
        <f t="shared" si="6"/>
        <v>6.1285070662635537</v>
      </c>
      <c r="Z44" s="489">
        <f t="shared" si="7"/>
        <v>0</v>
      </c>
    </row>
    <row r="45" spans="1:26" x14ac:dyDescent="0.25">
      <c r="A45" s="739"/>
      <c r="B45" s="1" t="s">
        <v>41</v>
      </c>
      <c r="C45" s="33">
        <f>E53</f>
        <v>13.300999650365602</v>
      </c>
      <c r="D45" s="539"/>
      <c r="E45" s="38"/>
      <c r="F45" s="539"/>
      <c r="G45" s="17">
        <f t="shared" si="1"/>
        <v>13.300999650365602</v>
      </c>
      <c r="H45" s="539"/>
      <c r="I45" s="35"/>
      <c r="J45" s="37"/>
      <c r="K45" s="35"/>
      <c r="L45" s="35"/>
      <c r="M45" s="35"/>
      <c r="N45" s="35"/>
      <c r="O45" s="35"/>
      <c r="P45" s="35"/>
      <c r="Q45" s="36">
        <f>G45-Bilans_E_AMS_Kyoto_run3_2025!H41</f>
        <v>0</v>
      </c>
      <c r="R45" s="498"/>
      <c r="S45" s="539"/>
      <c r="T45" s="84">
        <v>0</v>
      </c>
      <c r="U45" s="83">
        <v>0</v>
      </c>
      <c r="V45" s="84">
        <v>0</v>
      </c>
      <c r="W45" s="92">
        <v>0</v>
      </c>
      <c r="X45" s="84">
        <v>0</v>
      </c>
      <c r="Y45" s="489">
        <f t="shared" si="6"/>
        <v>0</v>
      </c>
      <c r="Z45" s="489">
        <f>Q45-Y45</f>
        <v>0</v>
      </c>
    </row>
    <row r="46" spans="1:26" x14ac:dyDescent="0.25">
      <c r="A46" s="739"/>
      <c r="B46" s="1" t="s">
        <v>42</v>
      </c>
      <c r="C46" s="33">
        <f>Bilans_E_AMS_Kyoto_run3_2025!D18-C18-C34</f>
        <v>46.089563476562503</v>
      </c>
      <c r="D46" s="539"/>
      <c r="E46" s="511"/>
      <c r="F46" s="539"/>
      <c r="G46" s="17">
        <f>C46-E46</f>
        <v>46.089563476562503</v>
      </c>
      <c r="H46" s="539"/>
      <c r="I46" s="38"/>
      <c r="J46" s="37"/>
      <c r="K46" s="35"/>
      <c r="L46" s="35"/>
      <c r="M46" s="35"/>
      <c r="N46" s="35"/>
      <c r="O46" s="35"/>
      <c r="P46" s="35"/>
      <c r="Q46" s="36">
        <f>G46-(Bilans_E_AMS_Kyoto_run3_2025!D41+Bilans_E_AMS_Kyoto_run3_2025!D29+Bilans_E_AMS_Kyoto_run3_2025!D30)</f>
        <v>4.8925078124999999</v>
      </c>
      <c r="R46" s="498"/>
      <c r="S46" s="539"/>
      <c r="T46" s="506">
        <f>Bilans_E_AMS_Kyoto_run3_2025!D38</f>
        <v>0</v>
      </c>
      <c r="U46" s="93">
        <f>Bilans_E_AMS_Kyoto_run3_2025!D34</f>
        <v>4.8925078124999999</v>
      </c>
      <c r="V46" s="506">
        <f>Bilans_E_AMS_Kyoto_run3_2025!D36</f>
        <v>0</v>
      </c>
      <c r="W46" s="507">
        <f>Bilans_E_AMS_Kyoto_run3_2025!D37</f>
        <v>0</v>
      </c>
      <c r="X46" s="506">
        <f>Bilans_E_AMS_Kyoto_run3_2025!D35</f>
        <v>0</v>
      </c>
      <c r="Y46" s="489">
        <f t="shared" si="6"/>
        <v>4.8925078124999999</v>
      </c>
      <c r="Z46" s="489">
        <f>Q46-Y46</f>
        <v>0</v>
      </c>
    </row>
    <row r="47" spans="1:26" x14ac:dyDescent="0.25">
      <c r="A47" s="90"/>
      <c r="B47" s="1" t="s">
        <v>31</v>
      </c>
      <c r="C47" s="33">
        <f>E57</f>
        <v>0</v>
      </c>
      <c r="D47" s="192"/>
      <c r="E47" s="511"/>
      <c r="F47" s="192"/>
      <c r="G47" s="17">
        <f>C47-E47</f>
        <v>0</v>
      </c>
      <c r="H47" s="192"/>
      <c r="I47" s="38"/>
      <c r="J47" s="37"/>
      <c r="K47" s="35"/>
      <c r="L47" s="35"/>
      <c r="M47" s="35"/>
      <c r="N47" s="35"/>
      <c r="O47" s="35"/>
      <c r="P47" s="35"/>
      <c r="Q47" s="542">
        <f>G47-Bilans_E_AMS_Kyoto_run3_2025!T41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C5-L13-SUM(L21:L24)-L30-L41-Bilans_E_AMS_Kyoto_run3_2025!U18</f>
        <v>0</v>
      </c>
      <c r="D49" s="1"/>
      <c r="E49" s="34">
        <f>SUM(E7:E47)+I13-Bilans_E_AMS_Kyoto_run3_2025!U32+K13+SUM(K21:K24)+K30+Bilans_E_AMS_Kyoto_run3_2025!D29+Bilans_E_AMS_Kyoto_run3_2025!D30</f>
        <v>0</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537.9240530990279</v>
      </c>
    </row>
    <row r="52" spans="1:19" x14ac:dyDescent="0.25">
      <c r="A52" s="21"/>
      <c r="B52" s="1" t="s">
        <v>44</v>
      </c>
      <c r="C52" s="44"/>
      <c r="D52" s="1"/>
      <c r="E52" s="39">
        <f>Bilans_E_AMS_Kyoto_run3_2025!D41+Bilans_E_AMS_Kyoto_run3_2025!D29+Bilans_E_AMS_Kyoto_run3_2025!D30</f>
        <v>41.197055664062503</v>
      </c>
      <c r="F52" s="187"/>
      <c r="G52" s="1"/>
      <c r="H52" s="1"/>
      <c r="I52" s="30"/>
      <c r="J52" s="17"/>
      <c r="K52" s="17"/>
      <c r="L52" s="21"/>
      <c r="M52" s="1"/>
      <c r="N52" s="17"/>
      <c r="O52" s="17"/>
      <c r="P52" s="17"/>
      <c r="Q52" s="1"/>
      <c r="S52" s="33"/>
    </row>
    <row r="53" spans="1:19" x14ac:dyDescent="0.25">
      <c r="A53" s="21"/>
      <c r="B53" s="1" t="s">
        <v>41</v>
      </c>
      <c r="C53" s="45"/>
      <c r="D53" s="17"/>
      <c r="E53" s="433">
        <f>Bilans_E_AMS_Kyoto_run3_2025!H41+Bilans_E_AMS_Kyoto_run3_2025!H29</f>
        <v>13.300999650365602</v>
      </c>
      <c r="F53" s="187"/>
      <c r="G53" s="1"/>
      <c r="H53" s="1"/>
      <c r="I53" s="30"/>
      <c r="J53" s="17"/>
      <c r="K53" s="17"/>
      <c r="L53" s="21"/>
      <c r="M53" s="1"/>
      <c r="N53" s="17"/>
      <c r="O53" s="17"/>
      <c r="P53" s="17"/>
      <c r="Q53" s="1"/>
    </row>
    <row r="54" spans="1:19" x14ac:dyDescent="0.25">
      <c r="A54" s="21"/>
      <c r="B54" s="1" t="s">
        <v>39</v>
      </c>
      <c r="C54" s="45"/>
      <c r="D54" s="17"/>
      <c r="E54" s="435">
        <f>Bilans_E_AMS_Kyoto_run3_2025!F41</f>
        <v>114.54386945674393</v>
      </c>
      <c r="F54" s="187"/>
      <c r="G54" s="1"/>
      <c r="H54" s="1"/>
      <c r="I54" s="30"/>
      <c r="J54" s="17"/>
      <c r="K54" s="17"/>
      <c r="L54" s="21"/>
      <c r="M54" s="21"/>
      <c r="N54" s="17"/>
      <c r="O54" s="17"/>
      <c r="P54" s="17"/>
      <c r="Q54" s="1"/>
    </row>
    <row r="55" spans="1:19" x14ac:dyDescent="0.25">
      <c r="B55" s="1" t="s">
        <v>21</v>
      </c>
      <c r="E55" s="631">
        <f>Bilans_E_AMS_Kyoto_run3_2025!O41+Bilans_E_AMS_Kyoto_run3_2025!O29</f>
        <v>0</v>
      </c>
    </row>
    <row r="56" spans="1:19" x14ac:dyDescent="0.25">
      <c r="B56" s="1" t="s">
        <v>37</v>
      </c>
      <c r="E56" s="631">
        <f>Bilans_E_AMS_Kyoto_run3_2025!N41+Bilans_E_AMS_Kyoto_run3_2025!N29+Bilans_E_AMS_Kyoto_run3_2025!G41</f>
        <v>8.8573866734579565E-2</v>
      </c>
    </row>
    <row r="57" spans="1:19" x14ac:dyDescent="0.25">
      <c r="B57" s="1" t="s">
        <v>31</v>
      </c>
      <c r="E57" s="631">
        <f>Bilans_E_AMS_Kyoto_run3_2025!T41</f>
        <v>0</v>
      </c>
    </row>
    <row r="58" spans="1:19" x14ac:dyDescent="0.25">
      <c r="B58" s="1" t="s">
        <v>335</v>
      </c>
      <c r="E58" s="631">
        <f>Bilans_E_AMS_Kyoto_run3_2025!L41</f>
        <v>4.9614085936159999E-2</v>
      </c>
    </row>
    <row r="59" spans="1:19" x14ac:dyDescent="0.25">
      <c r="E59" s="632"/>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84EDD-6D23-473E-9A9C-E67109EBD1BD}">
  <dimension ref="A1:Z59"/>
  <sheetViews>
    <sheetView workbookViewId="0">
      <selection activeCell="C7" sqref="C7:C9"/>
    </sheetView>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2732.5762926742873</v>
      </c>
      <c r="D5" s="18"/>
      <c r="E5" s="20"/>
      <c r="F5" s="494"/>
      <c r="G5" s="21"/>
      <c r="H5" s="493"/>
      <c r="I5" s="21"/>
      <c r="J5" s="22"/>
      <c r="K5" s="23"/>
      <c r="L5" s="14"/>
      <c r="M5" s="14"/>
      <c r="N5" s="15"/>
      <c r="O5" s="16"/>
      <c r="P5" s="16"/>
      <c r="Q5" s="24">
        <f>Q13+Q22+Q30+Q42+Q46+Q38+Q43</f>
        <v>1477.5785500819675</v>
      </c>
      <c r="R5" s="487"/>
      <c r="S5" s="79">
        <f>SUM(S13,S22,S27:S32,S41)</f>
        <v>1486.1580408689645</v>
      </c>
      <c r="T5" s="79">
        <f>SUM(T8:T46)</f>
        <v>55.62626523284942</v>
      </c>
      <c r="U5" s="79">
        <f>SUM(U8:U46)</f>
        <v>310.86463068335934</v>
      </c>
      <c r="V5" s="79">
        <f>SUM(V8:V46)</f>
        <v>441.98426481338669</v>
      </c>
      <c r="W5" s="173">
        <f>SUM(W8:W46)</f>
        <v>242.92858514072921</v>
      </c>
      <c r="X5" s="79">
        <f>SUM(X8:X46)</f>
        <v>434.75429499863986</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f>(([13]Offre_calc!$O$108+[13]Offre_calc!$O$109+[13]Offre_calc!$O$147+[13]Offre_calc!$O$148)/([13]Offre_calc!$O$105+[13]Offre_calc!$O$144))*Bilans_E_AMS_Kyoto_run3_2028!K$21</f>
        <v>75.497447297096215</v>
      </c>
      <c r="D7" s="516"/>
      <c r="E7" s="28">
        <v>0</v>
      </c>
      <c r="F7" s="516"/>
      <c r="G7" s="17">
        <f>C7-E7</f>
        <v>75.497447297096215</v>
      </c>
      <c r="H7" s="516"/>
      <c r="I7" s="21"/>
      <c r="J7" s="516"/>
      <c r="K7" s="523"/>
      <c r="L7" s="523"/>
      <c r="M7" s="523"/>
      <c r="N7" s="523"/>
      <c r="O7" s="523"/>
      <c r="P7" s="513"/>
      <c r="Q7" s="526"/>
      <c r="R7" s="498"/>
      <c r="S7" s="526"/>
      <c r="T7" s="523"/>
      <c r="U7" s="523"/>
      <c r="V7" s="523"/>
      <c r="W7" s="523"/>
      <c r="X7" s="523"/>
    </row>
    <row r="8" spans="1:24" x14ac:dyDescent="0.25">
      <c r="A8" s="736"/>
      <c r="B8" s="1" t="s">
        <v>18</v>
      </c>
      <c r="C8" s="486">
        <f>(([13]Offre_calc!$O$107+[13]Offre_calc!$O$146)/([13]Offre_calc!$O$105+[13]Offre_calc!$O$144))*Bilans_E_AMS_Kyoto_run3_2028!K$21</f>
        <v>55.875974038893347</v>
      </c>
      <c r="D8" s="81"/>
      <c r="E8" s="28">
        <v>0</v>
      </c>
      <c r="F8" s="81"/>
      <c r="G8" s="17">
        <f t="shared" ref="G8:G19" si="0">C8-E8</f>
        <v>55.875974038893347</v>
      </c>
      <c r="H8" s="81"/>
      <c r="I8" s="21"/>
      <c r="J8" s="81"/>
      <c r="K8" s="524"/>
      <c r="L8" s="524"/>
      <c r="M8" s="524"/>
      <c r="N8" s="524"/>
      <c r="O8" s="524"/>
      <c r="P8" s="29"/>
      <c r="Q8" s="527"/>
      <c r="R8" s="498"/>
      <c r="S8" s="527"/>
      <c r="T8" s="524"/>
      <c r="U8" s="524"/>
      <c r="V8" s="524"/>
      <c r="W8" s="524"/>
      <c r="X8" s="524"/>
    </row>
    <row r="9" spans="1:24" x14ac:dyDescent="0.25">
      <c r="A9" s="736"/>
      <c r="B9" s="1" t="s">
        <v>19</v>
      </c>
      <c r="C9" s="486">
        <f>(([13]Offre_calc!$O$106+[13]Offre_calc!$O$145)/([13]Offre_calc!$O$105+[13]Offre_calc!$O$144))*Bilans_E_AMS_Kyoto_run3_2028!K$21</f>
        <v>56.343069411608106</v>
      </c>
      <c r="D9" s="81"/>
      <c r="E9" s="28">
        <v>0</v>
      </c>
      <c r="F9" s="81"/>
      <c r="G9" s="17">
        <f t="shared" si="0"/>
        <v>56.343069411608106</v>
      </c>
      <c r="H9" s="81"/>
      <c r="I9" s="21"/>
      <c r="J9" s="81"/>
      <c r="K9" s="524"/>
      <c r="L9" s="524"/>
      <c r="M9" s="524"/>
      <c r="N9" s="524"/>
      <c r="O9" s="524"/>
      <c r="P9" s="29"/>
      <c r="Q9" s="527"/>
      <c r="R9" s="498"/>
      <c r="S9" s="527"/>
      <c r="T9" s="524"/>
      <c r="U9" s="524"/>
      <c r="V9" s="524"/>
      <c r="W9" s="524"/>
      <c r="X9" s="524"/>
    </row>
    <row r="10" spans="1:24" x14ac:dyDescent="0.25">
      <c r="A10" s="736"/>
      <c r="B10" s="1" t="s">
        <v>20</v>
      </c>
      <c r="C10" s="17">
        <f>Bilans_E_AMS_Kyoto_run3_2028!J21-(Bilans_E_AMS_Kyoto_run3_2028!R20+Bilans_E_AMS_Kyoto_run3_2028!R19)</f>
        <v>1175.008</v>
      </c>
      <c r="D10" s="81"/>
      <c r="E10" s="28">
        <f>F13-SUM(E11:E19)</f>
        <v>788.96444064873185</v>
      </c>
      <c r="F10" s="81"/>
      <c r="G10" s="17">
        <f t="shared" si="0"/>
        <v>386.04355935126819</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f>Bilans_E_AMS_Kyoto_run3_2028!O21</f>
        <v>11.312131727734517</v>
      </c>
      <c r="D11" s="81"/>
      <c r="E11" s="727">
        <f>C11*(1-[12]Offre_calc!$V$161)</f>
        <v>4.5248526910938072</v>
      </c>
      <c r="F11" s="81"/>
      <c r="G11" s="17">
        <f t="shared" si="0"/>
        <v>6.7872790366407099</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f>Bilans_E_AMS_Kyoto_run3_2028!M21</f>
        <v>6.8324809145411169</v>
      </c>
      <c r="D12" s="81"/>
      <c r="E12" s="727">
        <f>C12*(1-[12]Offre_calc!$V$171)</f>
        <v>4.0994885487246702</v>
      </c>
      <c r="F12" s="81"/>
      <c r="G12" s="17">
        <f t="shared" si="0"/>
        <v>2.7329923658164468</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f>Bilans_E_AMS_Kyoto_run3_2028!L21</f>
        <v>13.303812367551458</v>
      </c>
      <c r="D13" s="81">
        <f>SUM(C7:C19)</f>
        <v>1453.3603455057917</v>
      </c>
      <c r="E13" s="727">
        <f>C13*(1-[12]Offre_calc!$V$170)</f>
        <v>7.9822874205308745</v>
      </c>
      <c r="F13" s="81">
        <f>Bilans_E_AMS_Kyoto_run3_2028!U21</f>
        <v>830.2357427883594</v>
      </c>
      <c r="G13" s="17">
        <f t="shared" si="0"/>
        <v>5.3215249470205839</v>
      </c>
      <c r="H13" s="81">
        <f>SUM(G7:G19)</f>
        <v>623.12460271743248</v>
      </c>
      <c r="I13" s="33">
        <f>Bilans_E_AMS_Kyoto_run3_2028!R30</f>
        <v>33.838220662100142</v>
      </c>
      <c r="J13" s="81">
        <f>H13-I13</f>
        <v>589.2863820553323</v>
      </c>
      <c r="K13" s="29">
        <f>Bilans_E_AMS_Kyoto_run3_2028!R31</f>
        <v>44.846872959494924</v>
      </c>
      <c r="L13" s="29">
        <f>-(Bilans_E_AMS_Kyoto_run3_2028!R14+Bilans_E_AMS_Kyoto_run3_2028!R13)</f>
        <v>74.597074661503257</v>
      </c>
      <c r="M13" s="29">
        <f>Bilans_E_AMS_Kyoto_run3_2028!R28</f>
        <v>10.660292909136944</v>
      </c>
      <c r="N13" s="29"/>
      <c r="O13" s="29"/>
      <c r="P13" s="29"/>
      <c r="Q13" s="81">
        <f>J13-K13-L13-M13-N13-O13-P13</f>
        <v>459.18214152519715</v>
      </c>
      <c r="R13" s="508">
        <f>Q13-S13</f>
        <v>0</v>
      </c>
      <c r="S13" s="81">
        <f>SUM(T8:X19)</f>
        <v>459.18214152519721</v>
      </c>
      <c r="T13" s="29">
        <f>Bilans_E_AMS_Kyoto_run3_2028!R38</f>
        <v>7.9507920990780674</v>
      </c>
      <c r="U13" s="29">
        <f>Bilans_E_AMS_Kyoto_run3_2028!R34+Bilans_E_AMS_Kyoto_run3_2028!R39</f>
        <v>137.10141781088788</v>
      </c>
      <c r="V13" s="29">
        <f>Bilans_E_AMS_Kyoto_run3_2028!R36</f>
        <v>163.30202311057991</v>
      </c>
      <c r="W13" s="29">
        <f>Bilans_E_AMS_Kyoto_run3_2028!R37</f>
        <v>123.43882708375831</v>
      </c>
      <c r="X13" s="29">
        <f>Bilans_E_AMS_Kyoto_run3_2028!R35</f>
        <v>27.389081420893032</v>
      </c>
    </row>
    <row r="14" spans="1:24" x14ac:dyDescent="0.25">
      <c r="A14" s="736"/>
      <c r="B14" s="1" t="s">
        <v>24</v>
      </c>
      <c r="C14" s="17">
        <f>Bilans_E_AMS_Kyoto_run3_2028!Q21</f>
        <v>0.1274458438995901</v>
      </c>
      <c r="D14" s="81"/>
      <c r="E14" s="28">
        <v>0</v>
      </c>
      <c r="F14" s="81"/>
      <c r="G14" s="17">
        <f t="shared" si="0"/>
        <v>0.1274458438995901</v>
      </c>
      <c r="H14" s="81"/>
      <c r="I14" s="21"/>
      <c r="J14" s="81"/>
      <c r="K14" s="524"/>
      <c r="L14" s="524"/>
      <c r="M14" s="524"/>
      <c r="N14" s="524"/>
      <c r="O14" s="524"/>
      <c r="P14" s="29"/>
      <c r="Q14" s="527"/>
      <c r="R14" s="508"/>
      <c r="S14" s="527"/>
      <c r="T14" s="524"/>
      <c r="U14" s="524"/>
      <c r="V14" s="524"/>
      <c r="W14" s="524"/>
      <c r="X14" s="524"/>
    </row>
    <row r="15" spans="1:24" x14ac:dyDescent="0.25">
      <c r="A15" s="736"/>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36"/>
      <c r="B16" s="1" t="s">
        <v>343</v>
      </c>
      <c r="C16" s="17">
        <f>Bilans_E_AMS_Kyoto_run3_2028!N21</f>
        <v>4.867247129818443</v>
      </c>
      <c r="D16" s="81"/>
      <c r="E16" s="727">
        <f>C16*(1-[12]Offre_calc!$V$158)</f>
        <v>2.7256583926983282</v>
      </c>
      <c r="F16" s="81"/>
      <c r="G16" s="17">
        <f t="shared" si="0"/>
        <v>2.1415887371201148</v>
      </c>
      <c r="H16" s="81"/>
      <c r="I16" s="21"/>
      <c r="J16" s="81"/>
      <c r="K16" s="524"/>
      <c r="L16" s="524"/>
      <c r="M16" s="524"/>
      <c r="N16" s="524"/>
      <c r="O16" s="524"/>
      <c r="P16" s="29"/>
      <c r="Q16" s="527"/>
      <c r="R16" s="508"/>
      <c r="S16" s="527"/>
      <c r="T16" s="524"/>
      <c r="U16" s="524"/>
      <c r="V16" s="524"/>
      <c r="W16" s="524"/>
      <c r="X16" s="524"/>
    </row>
    <row r="17" spans="1:24" x14ac:dyDescent="0.25">
      <c r="A17" s="736"/>
      <c r="B17" s="1" t="s">
        <v>27</v>
      </c>
      <c r="C17" s="17">
        <f>Bilans_E_AMS_Kyoto_run3_2028!F21</f>
        <v>1.6370023545014427</v>
      </c>
      <c r="D17" s="81"/>
      <c r="E17" s="727">
        <f>C17*(1-[12]Offre_calc!$V$158)</f>
        <v>0.91672131852080796</v>
      </c>
      <c r="F17" s="81"/>
      <c r="G17" s="17">
        <f t="shared" si="0"/>
        <v>0.72028103598063475</v>
      </c>
      <c r="H17" s="81"/>
      <c r="I17" s="21"/>
      <c r="J17" s="81"/>
      <c r="K17" s="524"/>
      <c r="L17" s="524"/>
      <c r="M17" s="524"/>
      <c r="N17" s="524"/>
      <c r="O17" s="524"/>
      <c r="P17" s="29"/>
      <c r="Q17" s="527"/>
      <c r="R17" s="508"/>
      <c r="S17" s="527"/>
      <c r="T17" s="524"/>
      <c r="U17" s="524"/>
      <c r="V17" s="524"/>
      <c r="W17" s="524"/>
      <c r="X17" s="524"/>
    </row>
    <row r="18" spans="1:24" x14ac:dyDescent="0.25">
      <c r="A18" s="736"/>
      <c r="B18" s="1" t="s">
        <v>28</v>
      </c>
      <c r="C18" s="17">
        <f>Bilans_E_AMS_Kyoto_run3_2028!D21</f>
        <v>0</v>
      </c>
      <c r="D18" s="81"/>
      <c r="E18" s="727">
        <f>C18*(1-[12]Offre_calc!$V$157)</f>
        <v>0</v>
      </c>
      <c r="F18" s="81"/>
      <c r="G18" s="17">
        <f t="shared" si="0"/>
        <v>0</v>
      </c>
      <c r="H18" s="81"/>
      <c r="I18" s="21"/>
      <c r="J18" s="81"/>
      <c r="K18" s="524"/>
      <c r="L18" s="524"/>
      <c r="M18" s="524"/>
      <c r="N18" s="524"/>
      <c r="O18" s="524"/>
      <c r="P18" s="29"/>
      <c r="Q18" s="527"/>
      <c r="R18" s="508"/>
      <c r="S18" s="527"/>
      <c r="T18" s="524"/>
      <c r="U18" s="524"/>
      <c r="V18" s="524"/>
      <c r="W18" s="524"/>
      <c r="X18" s="524"/>
    </row>
    <row r="19" spans="1:24" x14ac:dyDescent="0.25">
      <c r="A19" s="736"/>
      <c r="B19" s="1" t="s">
        <v>260</v>
      </c>
      <c r="C19" s="17">
        <f>Bilans_E_AMS_Kyoto_run3_2028!H21+Bilans_E_AMS_Kyoto_run3_2028!T21</f>
        <v>52.55573442014758</v>
      </c>
      <c r="D19" s="82"/>
      <c r="E19" s="727">
        <f>C19*(1-[12]Offre_calc!$V$160)</f>
        <v>21.022293768059033</v>
      </c>
      <c r="F19" s="82"/>
      <c r="G19" s="17">
        <f t="shared" si="0"/>
        <v>31.533440652088547</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f>G10/C10</f>
        <v>0.32854547318083638</v>
      </c>
      <c r="H20" s="499"/>
      <c r="I20" s="17"/>
      <c r="J20" s="1"/>
      <c r="K20" s="17"/>
      <c r="L20" s="1"/>
      <c r="M20" s="1"/>
      <c r="N20" s="1"/>
      <c r="O20" s="1"/>
      <c r="P20" s="1"/>
      <c r="Q20" s="499"/>
      <c r="R20" s="508"/>
      <c r="S20" s="408"/>
      <c r="T20" s="495"/>
      <c r="U20" s="408"/>
      <c r="V20" s="495"/>
      <c r="W20" s="408"/>
      <c r="X20" s="495"/>
    </row>
    <row r="21" spans="1:24" x14ac:dyDescent="0.25">
      <c r="A21" s="737" t="s">
        <v>13</v>
      </c>
      <c r="B21" s="1" t="s">
        <v>21</v>
      </c>
      <c r="C21" s="17">
        <f>Bilans_E_AMS_Kyoto_run3_2028!L23+Bilans_E_AMS_Kyoto_run3_2028!O12+Bilans_E_AMS_Kyoto_run3_2028!M23</f>
        <v>67.495056220175954</v>
      </c>
      <c r="D21" s="529"/>
      <c r="E21" s="33">
        <f>Bilans_E_AMS_Kyoto_run3_2028!U23+Bilans_E_AMS_Kyoto_run3_2028!O30</f>
        <v>34.108807762364357</v>
      </c>
      <c r="F21" s="529"/>
      <c r="G21" s="17">
        <f t="shared" ref="G21:G45" si="1">C21-E21</f>
        <v>33.386248457811597</v>
      </c>
      <c r="H21" s="529"/>
      <c r="I21" s="17"/>
      <c r="J21" s="529"/>
      <c r="K21" s="545">
        <f>Bilans_E_AMS_Kyoto_run3_2028!O31</f>
        <v>0.44242633684045557</v>
      </c>
      <c r="L21" s="545">
        <f>-(Bilans_E_AMS_Kyoto_run3_2028!O13+Bilans_E_AMS_Kyoto_run3_2028!O14+Bilans_E_AMS_Kyoto_run3_2028!O15+Bilans_E_AMS_Kyoto_run3_2028!O16)</f>
        <v>-9.7853709898247274</v>
      </c>
      <c r="M21" s="545">
        <f>Bilans_E_AMS_Kyoto_run3_2028!O28</f>
        <v>0</v>
      </c>
      <c r="N21" s="545">
        <f>Bilans_E_AMS_Kyoto_run3_2028!O22</f>
        <v>4.3596905995520387</v>
      </c>
      <c r="O21" s="545">
        <f>Bilans_E_AMS_Kyoto_run3_2028!O21</f>
        <v>11.312131727734517</v>
      </c>
      <c r="P21" s="545">
        <f>C36</f>
        <v>0</v>
      </c>
      <c r="Q21" s="529"/>
      <c r="R21" s="508"/>
      <c r="S21" s="529"/>
      <c r="T21" s="529"/>
      <c r="U21" s="529"/>
      <c r="V21" s="529"/>
      <c r="W21" s="529"/>
      <c r="X21" s="529"/>
    </row>
    <row r="22" spans="1:24" x14ac:dyDescent="0.25">
      <c r="A22" s="737"/>
      <c r="B22" s="1" t="s">
        <v>519</v>
      </c>
      <c r="C22" s="17">
        <f>Bilans_E_AMS_Kyoto_run3_2028!T24</f>
        <v>0.17563206411643928</v>
      </c>
      <c r="D22" s="85">
        <f>SUM(C21:C24)</f>
        <v>373.62870437562822</v>
      </c>
      <c r="E22" s="630">
        <f>Bilans_E_AMS_Kyoto_run3_2028!I30+Bilans_E_AMS_Kyoto_run3_2028!U24</f>
        <v>4.9176977952603007E-2</v>
      </c>
      <c r="F22" s="85">
        <f>SUM(E21:E24)</f>
        <v>42.072467113007818</v>
      </c>
      <c r="G22" s="17">
        <f t="shared" si="1"/>
        <v>0.12645508616383627</v>
      </c>
      <c r="H22" s="85">
        <f>SUM(G21:G24)</f>
        <v>331.55623726262041</v>
      </c>
      <c r="I22" s="408"/>
      <c r="J22" s="85">
        <f>H22-I22</f>
        <v>331.55623726262041</v>
      </c>
      <c r="K22" s="626">
        <f>Bilans_E_AMS_Kyoto_run3_2028!I31</f>
        <v>0</v>
      </c>
      <c r="L22" s="626">
        <f>-SUM(Bilans_E_AMS_Kyoto_run3_2028!I13:I16)</f>
        <v>0.12645508616383627</v>
      </c>
      <c r="M22" s="32"/>
      <c r="N22" s="534">
        <f>Bilans_E_AMS_Kyoto_run3_2028!I22</f>
        <v>0</v>
      </c>
      <c r="O22" s="32"/>
      <c r="P22" s="32"/>
      <c r="Q22" s="85">
        <f>J22-SUM(K21:P24)</f>
        <v>247.83470854932813</v>
      </c>
      <c r="R22" s="508">
        <f>Q22-S22</f>
        <v>1.718371249808115E-2</v>
      </c>
      <c r="S22" s="85">
        <f>SUM(T22:X24)</f>
        <v>247.81752483683005</v>
      </c>
      <c r="T22" s="32">
        <f>Bilans_E_AMS_Kyoto_run3_2028!H38+Bilans_E_AMS_Kyoto_run3_2028!T38+Bilans_E_AMS_Kyoto_run3_2028!O$38+Bilans_E_AMS_Kyoto_run3_2028!I38</f>
        <v>2.1332242252247782</v>
      </c>
      <c r="U22" s="32">
        <f>Bilans_E_AMS_Kyoto_run3_2028!H34+Bilans_E_AMS_Kyoto_run3_2028!T34+Bilans_E_AMS_Kyoto_run3_2028!O$34+Bilans_E_AMS_Kyoto_run3_2028!I34</f>
        <v>87.185336813908762</v>
      </c>
      <c r="V22" s="32">
        <f>Bilans_E_AMS_Kyoto_run3_2028!H36+Bilans_E_AMS_Kyoto_run3_2028!T36+Bilans_E_AMS_Kyoto_run3_2028!O$36+Bilans_E_AMS_Kyoto_run3_2028!I36</f>
        <v>95.19291665979047</v>
      </c>
      <c r="W22" s="32">
        <f>Bilans_E_AMS_Kyoto_run3_2028!H37+Bilans_E_AMS_Kyoto_run3_2028!M37+Bilans_E_AMS_Kyoto_run3_2028!T37+Bilans_E_AMS_Kyoto_run3_2028!O$37+Bilans_E_AMS_Kyoto_run3_2028!I37</f>
        <v>57.112504083132706</v>
      </c>
      <c r="X22" s="32">
        <f>Bilans_E_AMS_Kyoto_run3_2028!H35+Bilans_E_AMS_Kyoto_run3_2028!T35+Bilans_E_AMS_Kyoto_run3_2028!O$35+Bilans_E_AMS_Kyoto_run3_2028!I35</f>
        <v>6.1935430547733166</v>
      </c>
    </row>
    <row r="23" spans="1:24" x14ac:dyDescent="0.25">
      <c r="A23" s="737"/>
      <c r="B23" s="1" t="s">
        <v>31</v>
      </c>
      <c r="C23" s="17">
        <f>SUM(Bilans_E_AMS_Kyoto_run3_2028!D28:S28)-C47</f>
        <v>10.016469669333629</v>
      </c>
      <c r="D23" s="530"/>
      <c r="E23" s="33">
        <f>Bilans_E_AMS_Kyoto_run3_2028!U28+Bilans_E_AMS_Kyoto_run3_2028!T30</f>
        <v>6.1111025181979297</v>
      </c>
      <c r="F23" s="532"/>
      <c r="G23" s="17">
        <f t="shared" si="1"/>
        <v>3.9053671511356995</v>
      </c>
      <c r="H23" s="532"/>
      <c r="I23" s="17"/>
      <c r="J23" s="532"/>
      <c r="K23" s="534">
        <f>Bilans_E_AMS_Kyoto_run3_2028!T31</f>
        <v>0</v>
      </c>
      <c r="L23" s="534">
        <f>-(Bilans_E_AMS_Kyoto_run3_2028!T13+Bilans_E_AMS_Kyoto_run3_2028!T14+Bilans_E_AMS_Kyoto_run3_2028!T15+Bilans_E_AMS_Kyoto_run3_2028!T16)</f>
        <v>5.1110724267898235E-2</v>
      </c>
      <c r="M23" s="534">
        <f>Bilans_E_AMS_Kyoto_run3_2028!T24</f>
        <v>0.17563206411643928</v>
      </c>
      <c r="N23" s="534">
        <f>Bilans_E_AMS_Kyoto_run3_2028!T22</f>
        <v>0</v>
      </c>
      <c r="O23" s="534">
        <f>Bilans_E_AMS_Kyoto_run3_2028!T21</f>
        <v>0</v>
      </c>
      <c r="P23" s="534">
        <f>Bilans_E_AMS_Kyoto_run3_2028!T27</f>
        <v>1.471942388595362</v>
      </c>
      <c r="Q23" s="532"/>
      <c r="R23" s="489"/>
      <c r="S23" s="532"/>
      <c r="T23" s="536"/>
      <c r="U23" s="536"/>
      <c r="V23" s="536"/>
      <c r="W23" s="536"/>
      <c r="X23" s="536"/>
    </row>
    <row r="24" spans="1:24" x14ac:dyDescent="0.25">
      <c r="A24" s="737"/>
      <c r="B24" s="1" t="s">
        <v>32</v>
      </c>
      <c r="C24" s="17">
        <f>Bilans_E_AMS_Kyoto_run3_2028!H18-C45-(Bilans_E_AMS_Kyoto_run3_2028!H20+Bilans_E_AMS_Kyoto_run3_2028!H19)</f>
        <v>295.9415464220022</v>
      </c>
      <c r="D24" s="531"/>
      <c r="E24" s="33">
        <f>Bilans_E_AMS_Kyoto_run3_2028!H30</f>
        <v>1.8033798544929234</v>
      </c>
      <c r="F24" s="533"/>
      <c r="G24" s="17">
        <f t="shared" si="1"/>
        <v>294.1381665675093</v>
      </c>
      <c r="H24" s="533"/>
      <c r="I24" s="34"/>
      <c r="J24" s="533"/>
      <c r="K24" s="535">
        <f>Bilans_E_AMS_Kyoto_run3_2028!H31</f>
        <v>3.5796312708000495</v>
      </c>
      <c r="L24" s="535"/>
      <c r="M24" s="535">
        <f>Bilans_E_AMS_Kyoto_run3_2028!H28</f>
        <v>0</v>
      </c>
      <c r="N24" s="535">
        <f>Bilans_E_AMS_Kyoto_run3_2028!H22</f>
        <v>19.432145084898821</v>
      </c>
      <c r="O24" s="535">
        <f>Bilans_E_AMS_Kyoto_run3_2028!H21</f>
        <v>52.55573442014758</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38" t="s">
        <v>14</v>
      </c>
      <c r="B26" s="1" t="s">
        <v>21</v>
      </c>
      <c r="C26" s="17">
        <f>Bilans_E_AMS_Kyoto_run3_2028!O22</f>
        <v>4.3596905995520387</v>
      </c>
      <c r="D26" s="512"/>
      <c r="E26" s="190">
        <f>C26*F$35</f>
        <v>0.48346857263342186</v>
      </c>
      <c r="F26" s="512"/>
      <c r="G26" s="33">
        <f t="shared" ref="G26:G31" si="2">C26-E26</f>
        <v>3.8762220269186169</v>
      </c>
      <c r="H26" s="512"/>
      <c r="I26" s="1"/>
      <c r="J26" s="512"/>
      <c r="K26" s="512"/>
      <c r="L26" s="512"/>
      <c r="M26" s="512"/>
      <c r="N26" s="512"/>
      <c r="O26" s="512"/>
      <c r="P26" s="512"/>
      <c r="Q26" s="512"/>
      <c r="R26" s="508"/>
      <c r="S26" s="512"/>
      <c r="T26" s="512"/>
      <c r="U26" s="512"/>
      <c r="V26" s="512"/>
      <c r="W26" s="512"/>
      <c r="X26" s="512"/>
    </row>
    <row r="27" spans="1:24" x14ac:dyDescent="0.25">
      <c r="A27" s="738"/>
      <c r="B27" s="1" t="s">
        <v>22</v>
      </c>
      <c r="C27" s="17">
        <f>Bilans_E_AMS_Kyoto_run3_2028!M18-(Bilans_E_AMS_Kyoto_run3_2028!M21+Bilans_E_AMS_Kyoto_run3_2028!M23+Bilans_E_AMS_Kyoto_run3_2028!M26+Bilans_E_AMS_Kyoto_run3_2028!M34)-(Bilans_E_AMS_Kyoto_run3_2028!S20+Bilans_E_AMS_Kyoto_run3_2028!S19+Bilans_E_AMS_Kyoto_run3_2028!M20+Bilans_E_AMS_Kyoto_run3_2028!M19)</f>
        <v>14.207576096436199</v>
      </c>
      <c r="D27" s="87"/>
      <c r="E27" s="190">
        <f t="shared" ref="E27:E34" si="3">C27*F$35</f>
        <v>1.575551378951185</v>
      </c>
      <c r="F27" s="87"/>
      <c r="G27" s="33">
        <f t="shared" si="2"/>
        <v>12.632024717485013</v>
      </c>
      <c r="H27" s="87"/>
      <c r="I27" s="500"/>
      <c r="J27" s="87"/>
      <c r="K27" s="87"/>
      <c r="L27" s="87"/>
      <c r="M27" s="87"/>
      <c r="N27" s="87"/>
      <c r="O27" s="87"/>
      <c r="P27" s="87"/>
      <c r="Q27" s="87"/>
      <c r="R27" s="508"/>
      <c r="S27" s="87"/>
      <c r="T27" s="87"/>
      <c r="U27" s="87"/>
      <c r="V27" s="87"/>
      <c r="W27" s="87"/>
      <c r="X27" s="87"/>
    </row>
    <row r="28" spans="1:24" x14ac:dyDescent="0.25">
      <c r="A28" s="738"/>
      <c r="B28" s="1" t="s">
        <v>612</v>
      </c>
      <c r="C28" s="17">
        <f>Bilans_E_AMS_Kyoto_run3_2028!J22</f>
        <v>0</v>
      </c>
      <c r="D28" s="87"/>
      <c r="E28" s="190">
        <f t="shared" si="3"/>
        <v>0</v>
      </c>
      <c r="F28" s="87"/>
      <c r="G28" s="33">
        <f>C28-E28</f>
        <v>0</v>
      </c>
      <c r="H28" s="87"/>
      <c r="I28" s="1"/>
      <c r="J28" s="87"/>
      <c r="K28" s="87"/>
      <c r="L28" s="87"/>
      <c r="M28" s="87"/>
      <c r="N28" s="87"/>
      <c r="O28" s="87"/>
      <c r="P28" s="87"/>
      <c r="Q28" s="87"/>
      <c r="R28" s="508"/>
      <c r="S28" s="87"/>
      <c r="T28" s="87"/>
      <c r="U28" s="87"/>
      <c r="V28" s="87"/>
      <c r="W28" s="87"/>
      <c r="X28" s="87"/>
    </row>
    <row r="29" spans="1:24" x14ac:dyDescent="0.25">
      <c r="A29" s="738"/>
      <c r="B29" s="1" t="s">
        <v>23</v>
      </c>
      <c r="C29" s="17">
        <f>Bilans_E_AMS_Kyoto_run3_2028!L22</f>
        <v>22.121134883246068</v>
      </c>
      <c r="D29" s="87"/>
      <c r="E29" s="190">
        <f t="shared" si="3"/>
        <v>2.4531267214543342</v>
      </c>
      <c r="F29" s="87"/>
      <c r="G29" s="33">
        <f t="shared" si="2"/>
        <v>19.668008161791732</v>
      </c>
      <c r="H29" s="87"/>
      <c r="I29" s="1"/>
      <c r="J29" s="87"/>
      <c r="K29" s="87"/>
      <c r="L29" s="87"/>
      <c r="M29" s="87"/>
      <c r="N29" s="87"/>
      <c r="O29" s="87"/>
      <c r="P29" s="87"/>
      <c r="Q29" s="87"/>
      <c r="R29" s="508"/>
      <c r="S29" s="87"/>
      <c r="T29" s="87"/>
      <c r="U29" s="87"/>
      <c r="V29" s="87"/>
      <c r="W29" s="87"/>
      <c r="X29" s="87"/>
    </row>
    <row r="30" spans="1:24" x14ac:dyDescent="0.25">
      <c r="A30" s="738"/>
      <c r="B30" s="1" t="s">
        <v>24</v>
      </c>
      <c r="C30" s="17">
        <f>Bilans_E_AMS_Kyoto_run3_2028!Q22</f>
        <v>8.0512503201458188</v>
      </c>
      <c r="D30" s="86">
        <f>SUM(C26:C34)</f>
        <v>72.998317218121883</v>
      </c>
      <c r="E30" s="190">
        <f t="shared" si="3"/>
        <v>0.89284466668236495</v>
      </c>
      <c r="F30" s="86">
        <f>Bilans_E_AMS_Kyoto_run3_2028!U22</f>
        <v>8.0951598339830468</v>
      </c>
      <c r="G30" s="33">
        <f t="shared" si="2"/>
        <v>7.1584056534634541</v>
      </c>
      <c r="H30" s="86">
        <f>SUM(G26:G34)</f>
        <v>64.903157384138837</v>
      </c>
      <c r="I30" s="1"/>
      <c r="J30" s="86">
        <f>H30</f>
        <v>64.903157384138837</v>
      </c>
      <c r="K30" s="87">
        <f>Bilans_E_AMS_Kyoto_run3_2028!S31</f>
        <v>5.0336373229827123</v>
      </c>
      <c r="L30" s="87"/>
      <c r="M30" s="87">
        <f>Bilans_E_AMS_Kyoto_run3_2028!M28</f>
        <v>0</v>
      </c>
      <c r="N30" s="87"/>
      <c r="O30" s="87"/>
      <c r="P30" s="87"/>
      <c r="Q30" s="86">
        <f>J30-K30-L30-M30-N30-O30-P30</f>
        <v>59.869520061156123</v>
      </c>
      <c r="R30" s="508">
        <f>Q30-S30</f>
        <v>2.9102377823164716E-5</v>
      </c>
      <c r="S30" s="86">
        <f>SUM(T27:X34)</f>
        <v>59.8694909587783</v>
      </c>
      <c r="T30" s="87">
        <f>Bilans_E_AMS_Kyoto_run3_2028!S$38</f>
        <v>0</v>
      </c>
      <c r="U30" s="87">
        <f>Bilans_E_AMS_Kyoto_run3_2028!S$34</f>
        <v>19.328552980825005</v>
      </c>
      <c r="V30" s="87">
        <f>Bilans_E_AMS_Kyoto_run3_2028!S$36</f>
        <v>21.019199389729597</v>
      </c>
      <c r="W30" s="87">
        <f>Bilans_E_AMS_Kyoto_run3_2028!S$37</f>
        <v>19.521738588223698</v>
      </c>
      <c r="X30" s="87">
        <f>Bilans_E_AMS_Kyoto_run3_2028!S$35</f>
        <v>0</v>
      </c>
    </row>
    <row r="31" spans="1:24" x14ac:dyDescent="0.25">
      <c r="A31" s="738"/>
      <c r="B31" s="1" t="s">
        <v>611</v>
      </c>
      <c r="C31" s="17">
        <f>Bilans_E_AMS_Kyoto_run3_2028!P22</f>
        <v>4.1667830272384689</v>
      </c>
      <c r="D31" s="86"/>
      <c r="E31" s="190">
        <f t="shared" si="3"/>
        <v>0.46207605715395111</v>
      </c>
      <c r="F31" s="86"/>
      <c r="G31" s="33">
        <f t="shared" si="2"/>
        <v>3.7047069700845179</v>
      </c>
      <c r="H31" s="86"/>
      <c r="I31" s="1"/>
      <c r="J31" s="517"/>
      <c r="K31" s="87"/>
      <c r="L31" s="87"/>
      <c r="M31" s="87"/>
      <c r="N31" s="87"/>
      <c r="O31" s="87"/>
      <c r="P31" s="87"/>
      <c r="Q31" s="517"/>
      <c r="R31" s="508"/>
      <c r="S31" s="519"/>
      <c r="T31" s="521"/>
      <c r="U31" s="521"/>
      <c r="V31" s="521"/>
      <c r="W31" s="521"/>
      <c r="X31" s="521"/>
    </row>
    <row r="32" spans="1:24" x14ac:dyDescent="0.25">
      <c r="A32" s="738"/>
      <c r="B32" s="1" t="s">
        <v>29</v>
      </c>
      <c r="C32" s="17">
        <f>Bilans_E_AMS_Kyoto_run3_2028!H22+Bilans_E_AMS_Kyoto_run3_2028!I22</f>
        <v>19.432145084898821</v>
      </c>
      <c r="D32" s="86"/>
      <c r="E32" s="190">
        <f t="shared" si="3"/>
        <v>2.1549307761351053</v>
      </c>
      <c r="F32" s="86"/>
      <c r="G32" s="33">
        <f>C32-E32</f>
        <v>17.277214308763714</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f>Bilans_E_AMS_Kyoto_run3_2028!F22</f>
        <v>0.52506612841034428</v>
      </c>
      <c r="D33" s="86"/>
      <c r="E33" s="190">
        <f t="shared" si="3"/>
        <v>5.8227290640026089E-2</v>
      </c>
      <c r="F33" s="86"/>
      <c r="G33" s="33">
        <f t="shared" ref="G33:G34" si="4">C33-E33</f>
        <v>0.4668388377703182</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f>Bilans_E_AMS_Kyoto_run3_2028!D22</f>
        <v>0.13467107819411372</v>
      </c>
      <c r="D34" s="88"/>
      <c r="E34" s="190">
        <f t="shared" si="3"/>
        <v>1.4934370332656663E-2</v>
      </c>
      <c r="F34" s="88"/>
      <c r="G34" s="33">
        <f t="shared" si="4"/>
        <v>0.11973670786145706</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f>F30/D30</f>
        <v>0.110895156799223</v>
      </c>
      <c r="G35" s="17"/>
      <c r="H35" s="501"/>
      <c r="I35" s="1"/>
      <c r="J35" s="1"/>
      <c r="K35" s="1"/>
      <c r="L35" s="1"/>
      <c r="M35" s="1"/>
      <c r="N35" s="1"/>
      <c r="O35" s="1"/>
      <c r="P35" s="1"/>
      <c r="Q35" s="502"/>
      <c r="R35" s="508"/>
      <c r="U35" s="33"/>
      <c r="V35" s="33"/>
      <c r="W35" s="33"/>
    </row>
    <row r="36" spans="1:26" x14ac:dyDescent="0.25">
      <c r="A36" s="739" t="s">
        <v>34</v>
      </c>
      <c r="B36" s="1" t="s">
        <v>21</v>
      </c>
      <c r="C36" s="33">
        <f>E55</f>
        <v>0</v>
      </c>
      <c r="D36" s="538"/>
      <c r="E36" s="17"/>
      <c r="F36" s="538"/>
      <c r="G36" s="17">
        <f t="shared" ref="G36:G42" si="5">C36-E36</f>
        <v>0</v>
      </c>
      <c r="H36" s="538"/>
      <c r="I36" s="35"/>
      <c r="J36" s="37"/>
      <c r="K36" s="35"/>
      <c r="L36" s="35"/>
      <c r="M36" s="35"/>
      <c r="N36" s="35"/>
      <c r="O36" s="35"/>
      <c r="P36" s="35"/>
      <c r="Q36" s="540"/>
      <c r="R36" s="508"/>
      <c r="S36" s="538"/>
      <c r="T36" s="503">
        <v>0</v>
      </c>
      <c r="U36" s="503">
        <v>0</v>
      </c>
      <c r="V36" s="503">
        <v>0</v>
      </c>
      <c r="W36" s="503">
        <v>0</v>
      </c>
      <c r="X36" s="503">
        <v>0</v>
      </c>
      <c r="Y36" s="489">
        <f>SUM(T36:X36)</f>
        <v>0</v>
      </c>
      <c r="Z36" s="489">
        <f>G36-Y36</f>
        <v>0</v>
      </c>
    </row>
    <row r="37" spans="1:26" x14ac:dyDescent="0.25">
      <c r="A37" s="739"/>
      <c r="B37" s="1" t="s">
        <v>23</v>
      </c>
      <c r="C37" s="33">
        <f>SUM(T37:X37)+E58</f>
        <v>107.97048711103449</v>
      </c>
      <c r="D37" s="539"/>
      <c r="E37" s="504"/>
      <c r="F37" s="539"/>
      <c r="G37" s="17">
        <f t="shared" si="5"/>
        <v>107.97048711103449</v>
      </c>
      <c r="H37" s="539"/>
      <c r="I37" s="498"/>
      <c r="J37" s="37"/>
      <c r="K37" s="35"/>
      <c r="L37" s="35"/>
      <c r="M37" s="505"/>
      <c r="N37" s="35"/>
      <c r="P37" s="35"/>
      <c r="Q37" s="541"/>
      <c r="R37" s="508"/>
      <c r="S37" s="539"/>
      <c r="T37" s="506">
        <f>Bilans_E_AMS_Kyoto_run3_2028!L38</f>
        <v>8.5431833600547655</v>
      </c>
      <c r="U37" s="93">
        <f>Bilans_E_AMS_Kyoto_run3_2028!L34</f>
        <v>35.20744335762226</v>
      </c>
      <c r="V37" s="506">
        <f>Bilans_E_AMS_Kyoto_run3_2028!L36</f>
        <v>63.543536708801859</v>
      </c>
      <c r="W37" s="507">
        <f>Bilans_E_AMS_Kyoto_run3_2028!L37</f>
        <v>0.5857399217546202</v>
      </c>
      <c r="X37" s="506">
        <f>Bilans_E_AMS_Kyoto_run3_2028!L35</f>
        <v>0</v>
      </c>
      <c r="Y37" s="489">
        <f t="shared" ref="Y37:Y47" si="6">SUM(T37:X37)</f>
        <v>107.87990334823351</v>
      </c>
      <c r="Z37" s="489">
        <f t="shared" ref="Z37:Z44" si="7">G37-Y37</f>
        <v>9.058376280097491E-2</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f>SUM(G36:G41)-E55-E56-E58-L41-L36</f>
        <v>268.15245870849168</v>
      </c>
      <c r="R38" s="508"/>
      <c r="S38" s="539"/>
      <c r="T38" s="84">
        <v>0</v>
      </c>
      <c r="U38" s="83">
        <v>0</v>
      </c>
      <c r="V38" s="84">
        <v>0</v>
      </c>
      <c r="W38" s="91">
        <v>0</v>
      </c>
      <c r="X38" s="91">
        <v>0</v>
      </c>
      <c r="Y38" s="489">
        <f t="shared" si="6"/>
        <v>0</v>
      </c>
      <c r="Z38" s="489">
        <f t="shared" si="7"/>
        <v>0</v>
      </c>
    </row>
    <row r="39" spans="1:26" x14ac:dyDescent="0.25">
      <c r="A39" s="739"/>
      <c r="B39" s="1" t="s">
        <v>35</v>
      </c>
      <c r="C39" s="33">
        <f>SUM(T39:X39)</f>
        <v>10.515727799955823</v>
      </c>
      <c r="D39" s="539"/>
      <c r="E39" s="35"/>
      <c r="F39" s="539"/>
      <c r="G39" s="17">
        <f t="shared" si="5"/>
        <v>10.515727799955823</v>
      </c>
      <c r="H39" s="539"/>
      <c r="I39" s="35"/>
      <c r="J39" s="37"/>
      <c r="K39" s="35"/>
      <c r="L39" s="35"/>
      <c r="M39" s="37"/>
      <c r="N39" s="35"/>
      <c r="O39" s="35"/>
      <c r="P39" s="35"/>
      <c r="Q39" s="541"/>
      <c r="R39" s="508"/>
      <c r="S39" s="539"/>
      <c r="T39" s="84">
        <f>Bilans_E_AMS_Kyoto_run3_2028!Q38</f>
        <v>0.5193752668696392</v>
      </c>
      <c r="U39" s="83">
        <f>Bilans_E_AMS_Kyoto_run3_2028!Q34</f>
        <v>5.2671642446208732E-4</v>
      </c>
      <c r="V39" s="84">
        <f>Bilans_E_AMS_Kyoto_run3_2028!Q36</f>
        <v>5.1637337172047761</v>
      </c>
      <c r="W39" s="91">
        <f>Bilans_E_AMS_Kyoto_run3_2028!Q37</f>
        <v>4.8320920994569443</v>
      </c>
      <c r="X39" s="91">
        <f>Bilans_E_AMS_Kyoto_run3_2028!Q35</f>
        <v>0</v>
      </c>
      <c r="Y39" s="489">
        <f t="shared" si="6"/>
        <v>10.515727799955823</v>
      </c>
      <c r="Z39" s="489">
        <f t="shared" si="7"/>
        <v>0</v>
      </c>
    </row>
    <row r="40" spans="1:26" x14ac:dyDescent="0.25">
      <c r="A40" s="739"/>
      <c r="B40" s="1" t="s">
        <v>36</v>
      </c>
      <c r="C40" s="33">
        <f>Bilans_E_AMS_Kyoto_run3_2028!P12-Bilans_E_AMS_Kyoto_run3_2028!P22</f>
        <v>108.3749952462848</v>
      </c>
      <c r="D40" s="539"/>
      <c r="E40" s="35"/>
      <c r="F40" s="539"/>
      <c r="G40" s="17">
        <f t="shared" si="5"/>
        <v>108.3749952462848</v>
      </c>
      <c r="H40" s="539"/>
      <c r="I40" s="35"/>
      <c r="J40" s="37"/>
      <c r="K40" s="35"/>
      <c r="L40" s="35"/>
      <c r="M40" s="37"/>
      <c r="N40" s="35"/>
      <c r="O40" s="35"/>
      <c r="P40" s="35"/>
      <c r="Q40" s="541"/>
      <c r="R40" s="508"/>
      <c r="S40" s="539"/>
      <c r="T40" s="83">
        <f>Bilans_E_AMS_Kyoto_run3_2028!P$38</f>
        <v>0.4</v>
      </c>
      <c r="U40" s="83">
        <f>Bilans_E_AMS_Kyoto_run3_2028!P$34</f>
        <v>3.4855932617187499</v>
      </c>
      <c r="V40" s="83">
        <f>Bilans_E_AMS_Kyoto_run3_2028!P$36</f>
        <v>76.561231385743284</v>
      </c>
      <c r="W40" s="83">
        <f>Bilans_E_AMS_Kyoto_run3_2028!P$37</f>
        <v>27.92817059882276</v>
      </c>
      <c r="X40" s="84">
        <f>Bilans_E_AMS_Kyoto_run3_2028!P$35</f>
        <v>0</v>
      </c>
      <c r="Y40" s="489">
        <f t="shared" si="6"/>
        <v>108.3749952462848</v>
      </c>
      <c r="Z40" s="489">
        <f t="shared" si="7"/>
        <v>0</v>
      </c>
    </row>
    <row r="41" spans="1:26" x14ac:dyDescent="0.25">
      <c r="A41" s="739"/>
      <c r="B41" s="1" t="s">
        <v>37</v>
      </c>
      <c r="C41" s="33">
        <f>Bilans_E_AMS_Kyoto_run3_2028!N12+Bilans_E_AMS_Kyoto_run3_2028!L26+Bilans_E_AMS_Kyoto_run3_2028!M26-Bilans_E_AMS_Kyoto_run3_2028!N21+Bilans_E_AMS_Kyoto_run3_2028!T27</f>
        <v>71.596019323752813</v>
      </c>
      <c r="D41" s="191">
        <f>SUM(C36:C47)</f>
        <v>932.55649476892711</v>
      </c>
      <c r="E41" s="511">
        <f>Bilans_E_AMS_Kyoto_run3_2028!U27+Bilans_E_AMS_Kyoto_run3_2028!U26</f>
        <v>32.299976363027177</v>
      </c>
      <c r="F41" s="191">
        <f>SUM(E36:E47)</f>
        <v>57.27515348517781</v>
      </c>
      <c r="G41" s="17">
        <f t="shared" si="5"/>
        <v>39.296042960725636</v>
      </c>
      <c r="H41" s="191">
        <f>SUM(G36:G47)</f>
        <v>875.28134128374938</v>
      </c>
      <c r="I41" s="35"/>
      <c r="J41" s="37"/>
      <c r="K41" s="35"/>
      <c r="L41" s="37">
        <f>-(SUM(Bilans_E_AMS_Kyoto_run3_2028!N13:N16)+SUM(Bilans_E_AMS_Kyoto_run3_2028!G13:G16))</f>
        <v>-2.2458857202092619</v>
      </c>
      <c r="M41" s="35"/>
      <c r="N41" s="35"/>
      <c r="O41" s="35"/>
      <c r="P41" s="35"/>
      <c r="Q41" s="541"/>
      <c r="R41" s="508">
        <f>SUM(Q36:Q47)-S41</f>
        <v>0</v>
      </c>
      <c r="S41" s="191">
        <f>SUM(T36:X46)</f>
        <v>719.28888354815888</v>
      </c>
      <c r="T41" s="83">
        <f>Bilans_E_AMS_Kyoto_run3_2028!N$38+Bilans_E_AMS_Kyoto_run3_2028!G$38</f>
        <v>3.5579100416915854</v>
      </c>
      <c r="U41" s="83">
        <f>Bilans_E_AMS_Kyoto_run3_2028!N$34+Bilans_E_AMS_Kyoto_run3_2028!G$34</f>
        <v>0.95792109934790093</v>
      </c>
      <c r="V41" s="83">
        <f>Bilans_E_AMS_Kyoto_run3_2028!N$36+Bilans_E_AMS_Kyoto_run3_2028!G$36</f>
        <v>0</v>
      </c>
      <c r="W41" s="83">
        <f>Bilans_E_AMS_Kyoto_run3_2028!N$37+Bilans_E_AMS_Kyoto_run3_2028!G$37</f>
        <v>0</v>
      </c>
      <c r="X41" s="84">
        <f>Bilans_E_AMS_Kyoto_run3_2028!N$35+Bilans_E_AMS_Kyoto_run3_2028!G$35</f>
        <v>36.866001172977988</v>
      </c>
      <c r="Y41" s="489">
        <f t="shared" si="6"/>
        <v>41.381832314017473</v>
      </c>
      <c r="Z41" s="489">
        <f>G41-Y41-L41</f>
        <v>0.16009636691742513</v>
      </c>
    </row>
    <row r="42" spans="1:26" x14ac:dyDescent="0.25">
      <c r="A42" s="739"/>
      <c r="B42" s="1" t="s">
        <v>38</v>
      </c>
      <c r="C42" s="33">
        <f>Bilans_E_AMS_Kyoto_run3_2028!E18+Bilans_E_AMS_Kyoto_run3_2028!F18-Bilans_E_AMS_Kyoto_run3_2028!F21-Bilans_E_AMS_Kyoto_run3_2028!F22-E54-SUM(T43:X43)-(Bilans_E_AMS_Kyoto_run3_2028!E20+Bilans_E_AMS_Kyoto_run3_2028!F20+Bilans_E_AMS_Kyoto_run3_2028!E19+Bilans_E_AMS_Kyoto_run3_2028!F19)</f>
        <v>389.28084647214615</v>
      </c>
      <c r="D42" s="539"/>
      <c r="E42" s="17">
        <f>Bilans_E_AMS_Kyoto_run3_2028!F30+Bilans_E_AMS_Kyoto_run3_2028!U25+Bilans_E_AMS_Kyoto_run3_2028!F29+Bilans_E_AMS_Kyoto_run3_2028!E29</f>
        <v>24.975177122150633</v>
      </c>
      <c r="F42" s="539"/>
      <c r="G42" s="17">
        <f t="shared" si="5"/>
        <v>364.30566934999553</v>
      </c>
      <c r="H42" s="539"/>
      <c r="I42" s="498"/>
      <c r="J42" s="37"/>
      <c r="K42" s="35"/>
      <c r="L42" s="35"/>
      <c r="M42" s="35"/>
      <c r="N42" s="35"/>
      <c r="O42" s="35"/>
      <c r="P42" s="35"/>
      <c r="Q42" s="36">
        <f>G42</f>
        <v>364.30566934999553</v>
      </c>
      <c r="R42" s="508"/>
      <c r="S42" s="539"/>
      <c r="T42" s="83">
        <v>0</v>
      </c>
      <c r="U42" s="83">
        <v>0</v>
      </c>
      <c r="V42" s="83">
        <v>0</v>
      </c>
      <c r="W42" s="83">
        <v>0</v>
      </c>
      <c r="X42" s="84">
        <f>Bilans_E_AMS_Kyoto_run3_2028!F35</f>
        <v>364.30566934999553</v>
      </c>
      <c r="Y42" s="489">
        <f t="shared" si="6"/>
        <v>364.30566934999553</v>
      </c>
      <c r="Z42" s="489">
        <f>Q42-SUM(T42:X42)</f>
        <v>0</v>
      </c>
    </row>
    <row r="43" spans="1:26" x14ac:dyDescent="0.25">
      <c r="A43" s="739"/>
      <c r="B43" s="1" t="s">
        <v>39</v>
      </c>
      <c r="C43" s="33">
        <f>Bilans_E_AMS_Kyoto_run3_2028!F41+SUM(T43:X43)</f>
        <v>190.66341786514994</v>
      </c>
      <c r="D43" s="539"/>
      <c r="E43" s="38"/>
      <c r="F43" s="539"/>
      <c r="G43" s="17">
        <f>C43-E43</f>
        <v>190.66341786514994</v>
      </c>
      <c r="H43" s="539"/>
      <c r="I43" s="35"/>
      <c r="J43" s="37"/>
      <c r="K43" s="35"/>
      <c r="L43" s="35"/>
      <c r="M43" s="35"/>
      <c r="N43" s="35"/>
      <c r="O43" s="35"/>
      <c r="P43" s="35"/>
      <c r="Q43" s="36">
        <f>G43-Bilans_E_AMS_Kyoto_run3_2028!F41</f>
        <v>75.697172981548761</v>
      </c>
      <c r="R43" s="508"/>
      <c r="S43" s="539"/>
      <c r="T43" s="83">
        <f>Bilans_E_AMS_Kyoto_run3_2028!F38</f>
        <v>32.521780239930585</v>
      </c>
      <c r="U43" s="83">
        <f>Bilans_E_AMS_Kyoto_run3_2028!F34</f>
        <v>16.464256134501195</v>
      </c>
      <c r="V43" s="83">
        <f>Bilans_E_AMS_Kyoto_run3_2028!F36</f>
        <v>17.201623841536829</v>
      </c>
      <c r="W43" s="83">
        <f>Bilans_E_AMS_Kyoto_run3_2028!F37</f>
        <v>9.5095127655801548</v>
      </c>
      <c r="X43" s="84">
        <v>0</v>
      </c>
      <c r="Y43" s="489">
        <f t="shared" si="6"/>
        <v>75.697172981548761</v>
      </c>
      <c r="Z43" s="489">
        <f>Q43-SUM(T43:X43)</f>
        <v>0</v>
      </c>
    </row>
    <row r="44" spans="1:26" x14ac:dyDescent="0.25">
      <c r="A44" s="739"/>
      <c r="B44" s="1" t="s">
        <v>40</v>
      </c>
      <c r="C44" s="33">
        <f>SUM(T44:X44)</f>
        <v>8.5967036018731431</v>
      </c>
      <c r="D44" s="539"/>
      <c r="E44" s="38"/>
      <c r="F44" s="539"/>
      <c r="G44" s="17">
        <f t="shared" si="1"/>
        <v>8.5967036018731431</v>
      </c>
      <c r="H44" s="539"/>
      <c r="I44" s="35"/>
      <c r="J44" s="37"/>
      <c r="K44" s="35"/>
      <c r="L44" s="35"/>
      <c r="M44" s="35"/>
      <c r="N44" s="35"/>
      <c r="O44" s="35"/>
      <c r="P44" s="35"/>
      <c r="Q44" s="36">
        <f>G44-Bilans_E_AMS_Kyoto_run3_2028!M41</f>
        <v>8.5967036018731431</v>
      </c>
      <c r="R44" s="498"/>
      <c r="S44" s="539"/>
      <c r="T44" s="83">
        <f>Bilans_E_AMS_Kyoto_run3_2028!M$38</f>
        <v>0</v>
      </c>
      <c r="U44" s="83">
        <f>Bilans_E_AMS_Kyoto_run3_2028!M$34</f>
        <v>8.5967036018731431</v>
      </c>
      <c r="V44" s="83">
        <f>Bilans_E_AMS_Kyoto_run3_2028!M$36</f>
        <v>0</v>
      </c>
      <c r="W44" s="83">
        <f>Bilans_E_AMS_Kyoto_run3_2028!M$37</f>
        <v>0</v>
      </c>
      <c r="X44" s="84">
        <f>Bilans_E_AMS_Kyoto_run3_2028!M$35</f>
        <v>0</v>
      </c>
      <c r="Y44" s="489">
        <f t="shared" si="6"/>
        <v>8.5967036018731431</v>
      </c>
      <c r="Z44" s="489">
        <f t="shared" si="7"/>
        <v>0</v>
      </c>
    </row>
    <row r="45" spans="1:26" x14ac:dyDescent="0.25">
      <c r="A45" s="739"/>
      <c r="B45" s="1" t="s">
        <v>41</v>
      </c>
      <c r="C45" s="33">
        <f>E53</f>
        <v>13.488812976114151</v>
      </c>
      <c r="D45" s="539"/>
      <c r="E45" s="38"/>
      <c r="F45" s="539"/>
      <c r="G45" s="17">
        <f t="shared" si="1"/>
        <v>13.488812976114151</v>
      </c>
      <c r="H45" s="539"/>
      <c r="I45" s="35"/>
      <c r="J45" s="37"/>
      <c r="K45" s="35"/>
      <c r="L45" s="35"/>
      <c r="M45" s="35"/>
      <c r="N45" s="35"/>
      <c r="O45" s="35"/>
      <c r="P45" s="35"/>
      <c r="Q45" s="36">
        <f>G45-Bilans_E_AMS_Kyoto_run3_2028!H41</f>
        <v>0</v>
      </c>
      <c r="R45" s="498"/>
      <c r="S45" s="539"/>
      <c r="T45" s="84">
        <v>0</v>
      </c>
      <c r="U45" s="83">
        <v>0</v>
      </c>
      <c r="V45" s="84">
        <v>0</v>
      </c>
      <c r="W45" s="92">
        <v>0</v>
      </c>
      <c r="X45" s="84">
        <v>0</v>
      </c>
      <c r="Y45" s="489">
        <f t="shared" si="6"/>
        <v>0</v>
      </c>
      <c r="Z45" s="489">
        <f>Q45-Y45</f>
        <v>0</v>
      </c>
    </row>
    <row r="46" spans="1:26" x14ac:dyDescent="0.25">
      <c r="A46" s="739"/>
      <c r="B46" s="1" t="s">
        <v>42</v>
      </c>
      <c r="C46" s="33">
        <f>Bilans_E_AMS_Kyoto_run3_2028!D18-C18-C34</f>
        <v>31.425661132812497</v>
      </c>
      <c r="D46" s="539"/>
      <c r="E46" s="511"/>
      <c r="F46" s="539"/>
      <c r="G46" s="17">
        <f>C46-E46</f>
        <v>31.425661132812497</v>
      </c>
      <c r="H46" s="539"/>
      <c r="I46" s="38"/>
      <c r="J46" s="37"/>
      <c r="K46" s="35"/>
      <c r="L46" s="35"/>
      <c r="M46" s="35"/>
      <c r="N46" s="35"/>
      <c r="O46" s="35"/>
      <c r="P46" s="35"/>
      <c r="Q46" s="36">
        <f>G46-(Bilans_E_AMS_Kyoto_run3_2028!D41+Bilans_E_AMS_Kyoto_run3_2028!D29+Bilans_E_AMS_Kyoto_run3_2028!D30)</f>
        <v>2.5368789062499992</v>
      </c>
      <c r="R46" s="498"/>
      <c r="S46" s="539"/>
      <c r="T46" s="506">
        <f>Bilans_E_AMS_Kyoto_run3_2028!D38</f>
        <v>0</v>
      </c>
      <c r="U46" s="93">
        <f>Bilans_E_AMS_Kyoto_run3_2028!D34</f>
        <v>2.5368789062500001</v>
      </c>
      <c r="V46" s="506">
        <f>Bilans_E_AMS_Kyoto_run3_2028!D36</f>
        <v>0</v>
      </c>
      <c r="W46" s="507">
        <f>Bilans_E_AMS_Kyoto_run3_2028!D37</f>
        <v>0</v>
      </c>
      <c r="X46" s="506">
        <f>Bilans_E_AMS_Kyoto_run3_2028!D35</f>
        <v>0</v>
      </c>
      <c r="Y46" s="489">
        <f t="shared" si="6"/>
        <v>2.5368789062500001</v>
      </c>
      <c r="Z46" s="489">
        <f>Q46-Y46</f>
        <v>0</v>
      </c>
    </row>
    <row r="47" spans="1:26" x14ac:dyDescent="0.25">
      <c r="A47" s="90"/>
      <c r="B47" s="1" t="s">
        <v>31</v>
      </c>
      <c r="C47" s="33">
        <f>E57</f>
        <v>0.64382323980331424</v>
      </c>
      <c r="D47" s="192"/>
      <c r="E47" s="511"/>
      <c r="F47" s="192"/>
      <c r="G47" s="17">
        <f>C47-E47</f>
        <v>0.64382323980331424</v>
      </c>
      <c r="H47" s="192"/>
      <c r="I47" s="38"/>
      <c r="J47" s="37"/>
      <c r="K47" s="35"/>
      <c r="L47" s="35"/>
      <c r="M47" s="35"/>
      <c r="N47" s="35"/>
      <c r="O47" s="35"/>
      <c r="P47" s="35"/>
      <c r="Q47" s="542">
        <f>G47-Bilans_E_AMS_Kyoto_run3_2028!T41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C5-L13-SUM(L21:L24)-L30-L41-Bilans_E_AMS_Kyoto_run3_2028!U18</f>
        <v>0</v>
      </c>
      <c r="D49" s="1"/>
      <c r="E49" s="34">
        <f>SUM(E7:E47)+I13-Bilans_E_AMS_Kyoto_run3_2028!U32+K13+SUM(K21:K24)+K30+Bilans_E_AMS_Kyoto_run3_2028!D29+Bilans_E_AMS_Kyoto_run3_2028!D30</f>
        <v>-2.2026824808563106E-13</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543.16214236963253</v>
      </c>
    </row>
    <row r="52" spans="1:19" x14ac:dyDescent="0.25">
      <c r="A52" s="21"/>
      <c r="B52" s="1" t="s">
        <v>44</v>
      </c>
      <c r="C52" s="44"/>
      <c r="D52" s="1"/>
      <c r="E52" s="39">
        <f>Bilans_E_AMS_Kyoto_run3_2028!D41+Bilans_E_AMS_Kyoto_run3_2028!D29+Bilans_E_AMS_Kyoto_run3_2028!D30</f>
        <v>28.888782226562498</v>
      </c>
      <c r="F52" s="187"/>
      <c r="G52" s="1"/>
      <c r="H52" s="1"/>
      <c r="I52" s="30"/>
      <c r="J52" s="17"/>
      <c r="K52" s="17"/>
      <c r="L52" s="21"/>
      <c r="M52" s="1"/>
      <c r="N52" s="17"/>
      <c r="O52" s="17"/>
      <c r="P52" s="17"/>
      <c r="Q52" s="1"/>
      <c r="S52" s="33"/>
    </row>
    <row r="53" spans="1:19" x14ac:dyDescent="0.25">
      <c r="A53" s="21"/>
      <c r="B53" s="1" t="s">
        <v>41</v>
      </c>
      <c r="C53" s="45"/>
      <c r="D53" s="17"/>
      <c r="E53" s="433">
        <f>Bilans_E_AMS_Kyoto_run3_2028!H41+Bilans_E_AMS_Kyoto_run3_2028!H29</f>
        <v>13.488812976114151</v>
      </c>
      <c r="F53" s="187"/>
      <c r="G53" s="1"/>
      <c r="H53" s="1"/>
      <c r="I53" s="30"/>
      <c r="J53" s="17"/>
      <c r="K53" s="17"/>
      <c r="L53" s="21"/>
      <c r="M53" s="1"/>
      <c r="N53" s="17"/>
      <c r="O53" s="17"/>
      <c r="P53" s="17"/>
      <c r="Q53" s="1"/>
    </row>
    <row r="54" spans="1:19" x14ac:dyDescent="0.25">
      <c r="A54" s="21"/>
      <c r="B54" s="1" t="s">
        <v>39</v>
      </c>
      <c r="C54" s="45"/>
      <c r="D54" s="17"/>
      <c r="E54" s="435">
        <f>Bilans_E_AMS_Kyoto_run3_2028!F41</f>
        <v>114.96624488360118</v>
      </c>
      <c r="F54" s="187"/>
      <c r="G54" s="1"/>
      <c r="H54" s="1"/>
      <c r="I54" s="30"/>
      <c r="J54" s="17"/>
      <c r="K54" s="17"/>
      <c r="L54" s="21"/>
      <c r="M54" s="21"/>
      <c r="N54" s="17"/>
      <c r="O54" s="17"/>
      <c r="P54" s="17"/>
      <c r="Q54" s="1"/>
    </row>
    <row r="55" spans="1:19" x14ac:dyDescent="0.25">
      <c r="B55" s="1" t="s">
        <v>21</v>
      </c>
      <c r="E55" s="631">
        <f>Bilans_E_AMS_Kyoto_run3_2028!O41+Bilans_E_AMS_Kyoto_run3_2028!O29</f>
        <v>0</v>
      </c>
    </row>
    <row r="56" spans="1:19" x14ac:dyDescent="0.25">
      <c r="B56" s="1" t="s">
        <v>37</v>
      </c>
      <c r="E56" s="631">
        <f>Bilans_E_AMS_Kyoto_run3_2028!N41+Bilans_E_AMS_Kyoto_run3_2028!N29+Bilans_E_AMS_Kyoto_run3_2028!G41</f>
        <v>0.16009636691741183</v>
      </c>
    </row>
    <row r="57" spans="1:19" x14ac:dyDescent="0.25">
      <c r="B57" s="1" t="s">
        <v>31</v>
      </c>
      <c r="E57" s="631">
        <f>Bilans_E_AMS_Kyoto_run3_2028!T41</f>
        <v>0.64382323980331424</v>
      </c>
    </row>
    <row r="58" spans="1:19" x14ac:dyDescent="0.25">
      <c r="B58" s="1" t="s">
        <v>335</v>
      </c>
      <c r="E58" s="631">
        <f>Bilans_E_AMS_Kyoto_run3_2028!L41</f>
        <v>9.0583762800977241E-2</v>
      </c>
    </row>
    <row r="59" spans="1:19" x14ac:dyDescent="0.25">
      <c r="E59" s="632"/>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62B65-CFCC-4559-9B27-04280274D973}">
  <dimension ref="A1:Z59"/>
  <sheetViews>
    <sheetView workbookViewId="0">
      <selection activeCell="C7" sqref="C7:C9"/>
    </sheetView>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2691.7283403348679</v>
      </c>
      <c r="D5" s="18"/>
      <c r="E5" s="20"/>
      <c r="F5" s="494"/>
      <c r="G5" s="21"/>
      <c r="H5" s="493"/>
      <c r="I5" s="21"/>
      <c r="J5" s="22"/>
      <c r="K5" s="23"/>
      <c r="L5" s="14"/>
      <c r="M5" s="14"/>
      <c r="N5" s="15"/>
      <c r="O5" s="16"/>
      <c r="P5" s="16"/>
      <c r="Q5" s="24">
        <f>Q13+Q22+Q30+Q42+Q46+Q38+Q43</f>
        <v>1455.8314873292106</v>
      </c>
      <c r="R5" s="487"/>
      <c r="S5" s="79">
        <f>SUM(S13,S22,S27:S32,S41)</f>
        <v>1466.1007118530802</v>
      </c>
      <c r="T5" s="79">
        <f>SUM(T8:T46)</f>
        <v>56.573610442151178</v>
      </c>
      <c r="U5" s="79">
        <f>SUM(U8:U46)</f>
        <v>320.17756895540134</v>
      </c>
      <c r="V5" s="79">
        <f>SUM(V8:V46)</f>
        <v>444.10022447148577</v>
      </c>
      <c r="W5" s="173">
        <f>SUM(W8:W46)</f>
        <v>239.05063424852406</v>
      </c>
      <c r="X5" s="79">
        <f>SUM(X8:X46)</f>
        <v>406.19867373551779</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f>(([13]Offre_calc!$P$108+[13]Offre_calc!$P$109+[13]Offre_calc!$P$147+[13]Offre_calc!$P$148)/([13]Offre_calc!$P$105+[13]Offre_calc!$P$144))*Bilans_E_AMS_Kyoto_run3_2030!K$21</f>
        <v>83.272339806307528</v>
      </c>
      <c r="D7" s="516"/>
      <c r="E7" s="28">
        <v>0</v>
      </c>
      <c r="F7" s="516"/>
      <c r="G7" s="17">
        <f>C7-E7</f>
        <v>83.272339806307528</v>
      </c>
      <c r="H7" s="516"/>
      <c r="I7" s="21"/>
      <c r="J7" s="516"/>
      <c r="K7" s="523"/>
      <c r="L7" s="523"/>
      <c r="M7" s="523"/>
      <c r="N7" s="523"/>
      <c r="O7" s="523"/>
      <c r="P7" s="513"/>
      <c r="Q7" s="526"/>
      <c r="R7" s="498"/>
      <c r="S7" s="526"/>
      <c r="T7" s="523"/>
      <c r="U7" s="523"/>
      <c r="V7" s="523"/>
      <c r="W7" s="523"/>
      <c r="X7" s="523"/>
    </row>
    <row r="8" spans="1:24" x14ac:dyDescent="0.25">
      <c r="A8" s="736"/>
      <c r="B8" s="1" t="s">
        <v>18</v>
      </c>
      <c r="C8" s="486">
        <f>(([13]Offre_calc!$P$107+[13]Offre_calc!$P$146)/([13]Offre_calc!$P$105+[13]Offre_calc!$P$144))*Bilans_E_AMS_Kyoto_run3_2030!K$21</f>
        <v>56.773089480766494</v>
      </c>
      <c r="D8" s="81"/>
      <c r="E8" s="28">
        <v>0</v>
      </c>
      <c r="F8" s="81"/>
      <c r="G8" s="17">
        <f t="shared" ref="G8:G19" si="0">C8-E8</f>
        <v>56.773089480766494</v>
      </c>
      <c r="H8" s="81"/>
      <c r="I8" s="21"/>
      <c r="J8" s="81"/>
      <c r="K8" s="524"/>
      <c r="L8" s="524"/>
      <c r="M8" s="524"/>
      <c r="N8" s="524"/>
      <c r="O8" s="524"/>
      <c r="P8" s="29"/>
      <c r="Q8" s="527"/>
      <c r="R8" s="498"/>
      <c r="S8" s="527"/>
      <c r="T8" s="524"/>
      <c r="U8" s="524"/>
      <c r="V8" s="524"/>
      <c r="W8" s="524"/>
      <c r="X8" s="524"/>
    </row>
    <row r="9" spans="1:24" x14ac:dyDescent="0.25">
      <c r="A9" s="736"/>
      <c r="B9" s="1" t="s">
        <v>19</v>
      </c>
      <c r="C9" s="486">
        <f>(([13]Offre_calc!$P$106+[13]Offre_calc!$P$145)/([13]Offre_calc!$P$105+[13]Offre_calc!$P$144))*Bilans_E_AMS_Kyoto_run3_2030!K$21</f>
        <v>71.007772224897522</v>
      </c>
      <c r="D9" s="81"/>
      <c r="E9" s="28">
        <v>0</v>
      </c>
      <c r="F9" s="81"/>
      <c r="G9" s="17">
        <f t="shared" si="0"/>
        <v>71.007772224897522</v>
      </c>
      <c r="H9" s="81"/>
      <c r="I9" s="21"/>
      <c r="J9" s="81"/>
      <c r="K9" s="524"/>
      <c r="L9" s="524"/>
      <c r="M9" s="524"/>
      <c r="N9" s="524"/>
      <c r="O9" s="524"/>
      <c r="P9" s="29"/>
      <c r="Q9" s="527"/>
      <c r="R9" s="498"/>
      <c r="S9" s="527"/>
      <c r="T9" s="524"/>
      <c r="U9" s="524"/>
      <c r="V9" s="524"/>
      <c r="W9" s="524"/>
      <c r="X9" s="524"/>
    </row>
    <row r="10" spans="1:24" x14ac:dyDescent="0.25">
      <c r="A10" s="736"/>
      <c r="B10" s="1" t="s">
        <v>20</v>
      </c>
      <c r="C10" s="17">
        <f>Bilans_E_AMS_Kyoto_run3_2030!J21-(Bilans_E_AMS_Kyoto_run3_2030!R20+Bilans_E_AMS_Kyoto_run3_2030!R19)</f>
        <v>1170.5483636363635</v>
      </c>
      <c r="D10" s="81"/>
      <c r="E10" s="28">
        <f>F13-SUM(E11:E19)</f>
        <v>784.44906891389087</v>
      </c>
      <c r="F10" s="81"/>
      <c r="G10" s="17">
        <f t="shared" si="0"/>
        <v>386.09929472247268</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f>Bilans_E_AMS_Kyoto_run3_2030!O21</f>
        <v>11.131476471231387</v>
      </c>
      <c r="D11" s="81"/>
      <c r="E11" s="727">
        <f>C11*(1-[12]Offre_calc!$V$161)</f>
        <v>4.452590588492555</v>
      </c>
      <c r="F11" s="81"/>
      <c r="G11" s="17">
        <f t="shared" si="0"/>
        <v>6.6788858827388324</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f>Bilans_E_AMS_Kyoto_run3_2030!M21</f>
        <v>6.3714737362755738</v>
      </c>
      <c r="D12" s="81"/>
      <c r="E12" s="727">
        <f>C12*(1-[12]Offre_calc!$V$171)</f>
        <v>3.8228842417653439</v>
      </c>
      <c r="F12" s="81"/>
      <c r="G12" s="17">
        <f t="shared" si="0"/>
        <v>2.5485894945102299</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f>Bilans_E_AMS_Kyoto_run3_2030!L21</f>
        <v>13.643826551456822</v>
      </c>
      <c r="D13" s="81">
        <f>SUM(C7:C19)</f>
        <v>1455.2231120310755</v>
      </c>
      <c r="E13" s="727">
        <f>C13*(1-[12]Offre_calc!$V$170)</f>
        <v>8.1862959308740937</v>
      </c>
      <c r="F13" s="81">
        <f>Bilans_E_AMS_Kyoto_run3_2030!U21</f>
        <v>818.73113100490491</v>
      </c>
      <c r="G13" s="17">
        <f t="shared" si="0"/>
        <v>5.4575306205827285</v>
      </c>
      <c r="H13" s="81">
        <f>SUM(G7:G19)</f>
        <v>636.49198102617049</v>
      </c>
      <c r="I13" s="33">
        <f>Bilans_E_AMS_Kyoto_run3_2030!R30</f>
        <v>33.092757599701173</v>
      </c>
      <c r="J13" s="81">
        <f>H13-I13</f>
        <v>603.39922342646935</v>
      </c>
      <c r="K13" s="29">
        <f>Bilans_E_AMS_Kyoto_run3_2030!R31</f>
        <v>47.37908571808331</v>
      </c>
      <c r="L13" s="29">
        <f>-(Bilans_E_AMS_Kyoto_run3_2030!R14+Bilans_E_AMS_Kyoto_run3_2030!R13)</f>
        <v>57.004792385507699</v>
      </c>
      <c r="M13" s="29">
        <f>Bilans_E_AMS_Kyoto_run3_2030!R28</f>
        <v>18.526359506641338</v>
      </c>
      <c r="N13" s="29"/>
      <c r="O13" s="29"/>
      <c r="P13" s="29"/>
      <c r="Q13" s="81">
        <f>J13-K13-L13-M13-N13-O13-P13</f>
        <v>480.48898581623706</v>
      </c>
      <c r="R13" s="508">
        <f>Q13-S13</f>
        <v>0</v>
      </c>
      <c r="S13" s="81">
        <f>SUM(T8:X19)</f>
        <v>480.488985816237</v>
      </c>
      <c r="T13" s="29">
        <f>Bilans_E_AMS_Kyoto_run3_2030!R38</f>
        <v>7.7729232574275695</v>
      </c>
      <c r="U13" s="29">
        <f>Bilans_E_AMS_Kyoto_run3_2030!R34+Bilans_E_AMS_Kyoto_run3_2030!R39</f>
        <v>149.97591807761651</v>
      </c>
      <c r="V13" s="29">
        <f>Bilans_E_AMS_Kyoto_run3_2030!R36</f>
        <v>166.37329866218946</v>
      </c>
      <c r="W13" s="29">
        <f>Bilans_E_AMS_Kyoto_run3_2030!R37</f>
        <v>121.98780292325297</v>
      </c>
      <c r="X13" s="29">
        <f>Bilans_E_AMS_Kyoto_run3_2030!R35</f>
        <v>34.37904289575053</v>
      </c>
    </row>
    <row r="14" spans="1:24" x14ac:dyDescent="0.25">
      <c r="A14" s="736"/>
      <c r="B14" s="1" t="s">
        <v>24</v>
      </c>
      <c r="C14" s="17">
        <f>Bilans_E_AMS_Kyoto_run3_2030!Q21</f>
        <v>0</v>
      </c>
      <c r="D14" s="81"/>
      <c r="E14" s="28">
        <v>0</v>
      </c>
      <c r="F14" s="81"/>
      <c r="G14" s="17">
        <f t="shared" si="0"/>
        <v>0</v>
      </c>
      <c r="H14" s="81"/>
      <c r="I14" s="21"/>
      <c r="J14" s="81"/>
      <c r="K14" s="524"/>
      <c r="L14" s="524"/>
      <c r="M14" s="524"/>
      <c r="N14" s="524"/>
      <c r="O14" s="524"/>
      <c r="P14" s="29"/>
      <c r="Q14" s="527"/>
      <c r="R14" s="508"/>
      <c r="S14" s="527"/>
      <c r="T14" s="524"/>
      <c r="U14" s="524"/>
      <c r="V14" s="524"/>
      <c r="W14" s="524"/>
      <c r="X14" s="524"/>
    </row>
    <row r="15" spans="1:24" x14ac:dyDescent="0.25">
      <c r="A15" s="736"/>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36"/>
      <c r="B16" s="1" t="s">
        <v>343</v>
      </c>
      <c r="C16" s="17">
        <f>Bilans_E_AMS_Kyoto_run3_2030!N21</f>
        <v>4.4112574708908179</v>
      </c>
      <c r="D16" s="81"/>
      <c r="E16" s="727">
        <f>C16*(1-[12]Offre_calc!$V$158)</f>
        <v>2.4703041836988584</v>
      </c>
      <c r="F16" s="81"/>
      <c r="G16" s="17">
        <f t="shared" si="0"/>
        <v>1.9409532871919595</v>
      </c>
      <c r="H16" s="81"/>
      <c r="I16" s="21"/>
      <c r="J16" s="81"/>
      <c r="K16" s="524"/>
      <c r="L16" s="524"/>
      <c r="M16" s="524"/>
      <c r="N16" s="524"/>
      <c r="O16" s="524"/>
      <c r="P16" s="29"/>
      <c r="Q16" s="527"/>
      <c r="R16" s="508"/>
      <c r="S16" s="527"/>
      <c r="T16" s="524"/>
      <c r="U16" s="524"/>
      <c r="V16" s="524"/>
      <c r="W16" s="524"/>
      <c r="X16" s="524"/>
    </row>
    <row r="17" spans="1:24" x14ac:dyDescent="0.25">
      <c r="A17" s="736"/>
      <c r="B17" s="1" t="s">
        <v>27</v>
      </c>
      <c r="C17" s="17">
        <f>Bilans_E_AMS_Kyoto_run3_2030!F21</f>
        <v>0.77863803143112786</v>
      </c>
      <c r="D17" s="81"/>
      <c r="E17" s="727">
        <f>C17*(1-[12]Offre_calc!$V$158)</f>
        <v>0.43603729760143167</v>
      </c>
      <c r="F17" s="81"/>
      <c r="G17" s="17">
        <f t="shared" si="0"/>
        <v>0.34260073382969619</v>
      </c>
      <c r="H17" s="81"/>
      <c r="I17" s="21"/>
      <c r="J17" s="81"/>
      <c r="K17" s="524"/>
      <c r="L17" s="524"/>
      <c r="M17" s="524"/>
      <c r="N17" s="524"/>
      <c r="O17" s="524"/>
      <c r="P17" s="29"/>
      <c r="Q17" s="527"/>
      <c r="R17" s="508"/>
      <c r="S17" s="527"/>
      <c r="T17" s="524"/>
      <c r="U17" s="524"/>
      <c r="V17" s="524"/>
      <c r="W17" s="524"/>
      <c r="X17" s="524"/>
    </row>
    <row r="18" spans="1:24" x14ac:dyDescent="0.25">
      <c r="A18" s="736"/>
      <c r="B18" s="1" t="s">
        <v>28</v>
      </c>
      <c r="C18" s="17">
        <f>Bilans_E_AMS_Kyoto_run3_2030!D21</f>
        <v>0</v>
      </c>
      <c r="D18" s="81"/>
      <c r="E18" s="727">
        <f>C18*(1-[12]Offre_calc!$V$157)</f>
        <v>0</v>
      </c>
      <c r="F18" s="81"/>
      <c r="G18" s="17">
        <f t="shared" si="0"/>
        <v>0</v>
      </c>
      <c r="H18" s="81"/>
      <c r="I18" s="21"/>
      <c r="J18" s="81"/>
      <c r="K18" s="524"/>
      <c r="L18" s="524"/>
      <c r="M18" s="524"/>
      <c r="N18" s="524"/>
      <c r="O18" s="524"/>
      <c r="P18" s="29"/>
      <c r="Q18" s="527"/>
      <c r="R18" s="508"/>
      <c r="S18" s="527"/>
      <c r="T18" s="524"/>
      <c r="U18" s="524"/>
      <c r="V18" s="524"/>
      <c r="W18" s="524"/>
      <c r="X18" s="524"/>
    </row>
    <row r="19" spans="1:24" x14ac:dyDescent="0.25">
      <c r="A19" s="736"/>
      <c r="B19" s="1" t="s">
        <v>260</v>
      </c>
      <c r="C19" s="17">
        <f>Bilans_E_AMS_Kyoto_run3_2030!H21+Bilans_E_AMS_Kyoto_run3_2030!T21</f>
        <v>37.284874621454541</v>
      </c>
      <c r="D19" s="82"/>
      <c r="E19" s="727">
        <f>C19*(1-[12]Offre_calc!$V$160)</f>
        <v>14.913949848581817</v>
      </c>
      <c r="F19" s="82"/>
      <c r="G19" s="17">
        <f t="shared" si="0"/>
        <v>22.370924772872726</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f>G10/C10</f>
        <v>0.32984480327069704</v>
      </c>
      <c r="H20" s="499"/>
      <c r="I20" s="17"/>
      <c r="J20" s="1"/>
      <c r="K20" s="17"/>
      <c r="L20" s="1"/>
      <c r="M20" s="1"/>
      <c r="N20" s="1"/>
      <c r="O20" s="1"/>
      <c r="P20" s="1"/>
      <c r="Q20" s="499"/>
      <c r="R20" s="508"/>
      <c r="S20" s="408"/>
      <c r="T20" s="495"/>
      <c r="U20" s="408"/>
      <c r="V20" s="495"/>
      <c r="W20" s="408"/>
      <c r="X20" s="495"/>
    </row>
    <row r="21" spans="1:24" x14ac:dyDescent="0.25">
      <c r="A21" s="737" t="s">
        <v>13</v>
      </c>
      <c r="B21" s="1" t="s">
        <v>21</v>
      </c>
      <c r="C21" s="17">
        <f>Bilans_E_AMS_Kyoto_run3_2030!L23+Bilans_E_AMS_Kyoto_run3_2030!O12+Bilans_E_AMS_Kyoto_run3_2030!M23</f>
        <v>78.539260354625654</v>
      </c>
      <c r="D21" s="529"/>
      <c r="E21" s="33">
        <f>Bilans_E_AMS_Kyoto_run3_2030!U23+Bilans_E_AMS_Kyoto_run3_2030!O30</f>
        <v>39.315698423314309</v>
      </c>
      <c r="F21" s="529"/>
      <c r="G21" s="17">
        <f t="shared" ref="G21:G45" si="1">C21-E21</f>
        <v>39.223561931311345</v>
      </c>
      <c r="H21" s="529"/>
      <c r="I21" s="17"/>
      <c r="J21" s="529"/>
      <c r="K21" s="545">
        <f>Bilans_E_AMS_Kyoto_run3_2030!O31</f>
        <v>0.53962346227971403</v>
      </c>
      <c r="L21" s="545">
        <f>-(Bilans_E_AMS_Kyoto_run3_2030!O13+Bilans_E_AMS_Kyoto_run3_2030!O14+Bilans_E_AMS_Kyoto_run3_2030!O15+Bilans_E_AMS_Kyoto_run3_2030!O16)</f>
        <v>-11.657911807821721</v>
      </c>
      <c r="M21" s="545">
        <f>Bilans_E_AMS_Kyoto_run3_2030!O28</f>
        <v>0</v>
      </c>
      <c r="N21" s="545">
        <f>Bilans_E_AMS_Kyoto_run3_2030!O22</f>
        <v>5.5617593110833985</v>
      </c>
      <c r="O21" s="545">
        <f>Bilans_E_AMS_Kyoto_run3_2030!O21</f>
        <v>11.131476471231387</v>
      </c>
      <c r="P21" s="545">
        <f>C36</f>
        <v>0</v>
      </c>
      <c r="Q21" s="529"/>
      <c r="R21" s="508"/>
      <c r="S21" s="529"/>
      <c r="T21" s="529"/>
      <c r="U21" s="529"/>
      <c r="V21" s="529"/>
      <c r="W21" s="529"/>
      <c r="X21" s="529"/>
    </row>
    <row r="22" spans="1:24" x14ac:dyDescent="0.25">
      <c r="A22" s="737"/>
      <c r="B22" s="1" t="s">
        <v>519</v>
      </c>
      <c r="C22" s="17">
        <f>Bilans_E_AMS_Kyoto_run3_2030!T24</f>
        <v>0.31974408374444868</v>
      </c>
      <c r="D22" s="85">
        <f>SUM(C21:C24)</f>
        <v>348.7769845119451</v>
      </c>
      <c r="E22" s="630">
        <f>Bilans_E_AMS_Kyoto_run3_2030!I30+Bilans_E_AMS_Kyoto_run3_2030!U24</f>
        <v>8.9528343448445652E-2</v>
      </c>
      <c r="F22" s="85">
        <f>SUM(E21:E24)</f>
        <v>49.835660843646963</v>
      </c>
      <c r="G22" s="17">
        <f t="shared" si="1"/>
        <v>0.23021574029600303</v>
      </c>
      <c r="H22" s="85">
        <f>SUM(G21:G24)</f>
        <v>298.94132366829814</v>
      </c>
      <c r="I22" s="408"/>
      <c r="J22" s="85">
        <f>H22-I22</f>
        <v>298.94132366829814</v>
      </c>
      <c r="K22" s="626">
        <f>Bilans_E_AMS_Kyoto_run3_2030!I31</f>
        <v>0</v>
      </c>
      <c r="L22" s="626">
        <f>-SUM(Bilans_E_AMS_Kyoto_run3_2030!I13:I16)</f>
        <v>0.23021574029600303</v>
      </c>
      <c r="M22" s="32"/>
      <c r="N22" s="534">
        <f>Bilans_E_AMS_Kyoto_run3_2030!I22</f>
        <v>0</v>
      </c>
      <c r="O22" s="32"/>
      <c r="P22" s="32"/>
      <c r="Q22" s="85">
        <f>J22-SUM(K21:P24)</f>
        <v>228.91587698596086</v>
      </c>
      <c r="R22" s="508">
        <f>Q22-S22</f>
        <v>0</v>
      </c>
      <c r="S22" s="85">
        <f>SUM(T22:X24)</f>
        <v>228.91587698596092</v>
      </c>
      <c r="T22" s="32">
        <f>Bilans_E_AMS_Kyoto_run3_2030!H38+Bilans_E_AMS_Kyoto_run3_2030!T38+Bilans_E_AMS_Kyoto_run3_2030!O$38+Bilans_E_AMS_Kyoto_run3_2030!I38</f>
        <v>1.8992499702384933</v>
      </c>
      <c r="U22" s="32">
        <f>Bilans_E_AMS_Kyoto_run3_2030!H34+Bilans_E_AMS_Kyoto_run3_2030!T34+Bilans_E_AMS_Kyoto_run3_2030!O$34+Bilans_E_AMS_Kyoto_run3_2030!I34</f>
        <v>81.675242038488676</v>
      </c>
      <c r="V22" s="32">
        <f>Bilans_E_AMS_Kyoto_run3_2030!H36+Bilans_E_AMS_Kyoto_run3_2030!T36+Bilans_E_AMS_Kyoto_run3_2030!O$36+Bilans_E_AMS_Kyoto_run3_2030!I36</f>
        <v>85.098949623624506</v>
      </c>
      <c r="W22" s="32">
        <f>Bilans_E_AMS_Kyoto_run3_2030!H37+Bilans_E_AMS_Kyoto_run3_2030!M37+Bilans_E_AMS_Kyoto_run3_2030!T37+Bilans_E_AMS_Kyoto_run3_2030!O$37+Bilans_E_AMS_Kyoto_run3_2030!I37</f>
        <v>52.738757939191267</v>
      </c>
      <c r="X22" s="32">
        <f>Bilans_E_AMS_Kyoto_run3_2030!H35+Bilans_E_AMS_Kyoto_run3_2030!T35+Bilans_E_AMS_Kyoto_run3_2030!O$35+Bilans_E_AMS_Kyoto_run3_2030!I35</f>
        <v>7.503677414417977</v>
      </c>
    </row>
    <row r="23" spans="1:24" x14ac:dyDescent="0.25">
      <c r="A23" s="737"/>
      <c r="B23" s="1" t="s">
        <v>31</v>
      </c>
      <c r="C23" s="17">
        <f>SUM(Bilans_E_AMS_Kyoto_run3_2030!D28:S28)-C47</f>
        <v>17.38925142863841</v>
      </c>
      <c r="D23" s="530"/>
      <c r="E23" s="33">
        <f>Bilans_E_AMS_Kyoto_run3_2030!U28+Bilans_E_AMS_Kyoto_run3_2030!T30</f>
        <v>9.7842258273244695</v>
      </c>
      <c r="F23" s="532"/>
      <c r="G23" s="17">
        <f t="shared" si="1"/>
        <v>7.6050256013139403</v>
      </c>
      <c r="H23" s="532"/>
      <c r="I23" s="17"/>
      <c r="J23" s="532"/>
      <c r="K23" s="534">
        <f>Bilans_E_AMS_Kyoto_run3_2030!T31</f>
        <v>0</v>
      </c>
      <c r="L23" s="534">
        <f>-(Bilans_E_AMS_Kyoto_run3_2030!T13+Bilans_E_AMS_Kyoto_run3_2030!T14+Bilans_E_AMS_Kyoto_run3_2030!T15+Bilans_E_AMS_Kyoto_run3_2030!T16)</f>
        <v>8.5184540446497051E-2</v>
      </c>
      <c r="M23" s="534">
        <f>Bilans_E_AMS_Kyoto_run3_2030!T24</f>
        <v>0.31974408374444868</v>
      </c>
      <c r="N23" s="534">
        <f>Bilans_E_AMS_Kyoto_run3_2030!T22</f>
        <v>0</v>
      </c>
      <c r="O23" s="534">
        <f>Bilans_E_AMS_Kyoto_run3_2030!T21</f>
        <v>0</v>
      </c>
      <c r="P23" s="534">
        <f>Bilans_E_AMS_Kyoto_run3_2030!T27</f>
        <v>2.4532373143256034</v>
      </c>
      <c r="Q23" s="532"/>
      <c r="R23" s="489"/>
      <c r="S23" s="532"/>
      <c r="T23" s="536"/>
      <c r="U23" s="536"/>
      <c r="V23" s="536"/>
      <c r="W23" s="536"/>
      <c r="X23" s="536"/>
    </row>
    <row r="24" spans="1:24" x14ac:dyDescent="0.25">
      <c r="A24" s="737"/>
      <c r="B24" s="1" t="s">
        <v>32</v>
      </c>
      <c r="C24" s="17">
        <f>Bilans_E_AMS_Kyoto_run3_2030!H18-C45-(Bilans_E_AMS_Kyoto_run3_2030!H20+Bilans_E_AMS_Kyoto_run3_2030!H19)</f>
        <v>252.52872864493659</v>
      </c>
      <c r="D24" s="531"/>
      <c r="E24" s="33">
        <f>Bilans_E_AMS_Kyoto_run3_2030!H30</f>
        <v>0.64620824955973954</v>
      </c>
      <c r="F24" s="533"/>
      <c r="G24" s="17">
        <f t="shared" si="1"/>
        <v>251.88252039537684</v>
      </c>
      <c r="H24" s="533"/>
      <c r="I24" s="34"/>
      <c r="J24" s="533"/>
      <c r="K24" s="535">
        <f>Bilans_E_AMS_Kyoto_run3_2030!H31</f>
        <v>3.0578662862517128</v>
      </c>
      <c r="L24" s="535"/>
      <c r="M24" s="535">
        <f>Bilans_E_AMS_Kyoto_run3_2030!H28</f>
        <v>0</v>
      </c>
      <c r="N24" s="535">
        <f>Bilans_E_AMS_Kyoto_run3_2030!H22</f>
        <v>21.01937665904569</v>
      </c>
      <c r="O24" s="535">
        <f>Bilans_E_AMS_Kyoto_run3_2030!H21</f>
        <v>37.284874621454541</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38" t="s">
        <v>14</v>
      </c>
      <c r="B26" s="1" t="s">
        <v>21</v>
      </c>
      <c r="C26" s="17">
        <f>Bilans_E_AMS_Kyoto_run3_2030!O22</f>
        <v>5.5617593110833985</v>
      </c>
      <c r="D26" s="512"/>
      <c r="E26" s="190">
        <f>C26*F$35</f>
        <v>0.59908828757346955</v>
      </c>
      <c r="F26" s="512"/>
      <c r="G26" s="33">
        <f t="shared" ref="G26:G31" si="2">C26-E26</f>
        <v>4.9626710235099285</v>
      </c>
      <c r="H26" s="512"/>
      <c r="I26" s="1"/>
      <c r="J26" s="512"/>
      <c r="K26" s="512"/>
      <c r="L26" s="512"/>
      <c r="M26" s="512"/>
      <c r="N26" s="512"/>
      <c r="O26" s="512"/>
      <c r="P26" s="512"/>
      <c r="Q26" s="512"/>
      <c r="R26" s="508"/>
      <c r="S26" s="512"/>
      <c r="T26" s="512"/>
      <c r="U26" s="512"/>
      <c r="V26" s="512"/>
      <c r="W26" s="512"/>
      <c r="X26" s="512"/>
    </row>
    <row r="27" spans="1:24" x14ac:dyDescent="0.25">
      <c r="A27" s="738"/>
      <c r="B27" s="1" t="s">
        <v>22</v>
      </c>
      <c r="C27" s="17">
        <f>Bilans_E_AMS_Kyoto_run3_2030!M18-(Bilans_E_AMS_Kyoto_run3_2030!M21+Bilans_E_AMS_Kyoto_run3_2030!M23+Bilans_E_AMS_Kyoto_run3_2030!M26+Bilans_E_AMS_Kyoto_run3_2030!M34)-(Bilans_E_AMS_Kyoto_run3_2030!S20+Bilans_E_AMS_Kyoto_run3_2030!S19+Bilans_E_AMS_Kyoto_run3_2030!M20+Bilans_E_AMS_Kyoto_run3_2030!M19)</f>
        <v>17.519848610972289</v>
      </c>
      <c r="D27" s="87"/>
      <c r="E27" s="190">
        <f t="shared" ref="E27:E34" si="3">C27*F$35</f>
        <v>1.887161150964886</v>
      </c>
      <c r="F27" s="87"/>
      <c r="G27" s="33">
        <f t="shared" si="2"/>
        <v>15.632687460007404</v>
      </c>
      <c r="H27" s="87"/>
      <c r="I27" s="500"/>
      <c r="J27" s="87"/>
      <c r="K27" s="87"/>
      <c r="L27" s="87"/>
      <c r="M27" s="87"/>
      <c r="N27" s="87"/>
      <c r="O27" s="87"/>
      <c r="P27" s="87"/>
      <c r="Q27" s="87"/>
      <c r="R27" s="508"/>
      <c r="S27" s="87"/>
      <c r="T27" s="87"/>
      <c r="U27" s="87"/>
      <c r="V27" s="87"/>
      <c r="W27" s="87"/>
      <c r="X27" s="87"/>
    </row>
    <row r="28" spans="1:24" x14ac:dyDescent="0.25">
      <c r="A28" s="738"/>
      <c r="B28" s="1" t="s">
        <v>612</v>
      </c>
      <c r="C28" s="17">
        <f>Bilans_E_AMS_Kyoto_run3_2030!J22</f>
        <v>0</v>
      </c>
      <c r="D28" s="87"/>
      <c r="E28" s="190">
        <f t="shared" si="3"/>
        <v>0</v>
      </c>
      <c r="F28" s="87"/>
      <c r="G28" s="33">
        <f>C28-E28</f>
        <v>0</v>
      </c>
      <c r="H28" s="87"/>
      <c r="I28" s="1"/>
      <c r="J28" s="87"/>
      <c r="K28" s="87"/>
      <c r="L28" s="87"/>
      <c r="M28" s="87"/>
      <c r="N28" s="87"/>
      <c r="O28" s="87"/>
      <c r="P28" s="87"/>
      <c r="Q28" s="87"/>
      <c r="R28" s="508"/>
      <c r="S28" s="87"/>
      <c r="T28" s="87"/>
      <c r="U28" s="87"/>
      <c r="V28" s="87"/>
      <c r="W28" s="87"/>
      <c r="X28" s="87"/>
    </row>
    <row r="29" spans="1:24" x14ac:dyDescent="0.25">
      <c r="A29" s="738"/>
      <c r="B29" s="1" t="s">
        <v>23</v>
      </c>
      <c r="C29" s="17">
        <f>Bilans_E_AMS_Kyoto_run3_2030!L22</f>
        <v>25.438759695297328</v>
      </c>
      <c r="D29" s="87"/>
      <c r="E29" s="190">
        <f t="shared" si="3"/>
        <v>2.7401514757171319</v>
      </c>
      <c r="F29" s="87"/>
      <c r="G29" s="33">
        <f t="shared" si="2"/>
        <v>22.698608219580198</v>
      </c>
      <c r="H29" s="87"/>
      <c r="I29" s="1"/>
      <c r="J29" s="87"/>
      <c r="K29" s="87"/>
      <c r="L29" s="87"/>
      <c r="M29" s="87"/>
      <c r="N29" s="87"/>
      <c r="O29" s="87"/>
      <c r="P29" s="87"/>
      <c r="Q29" s="87"/>
      <c r="R29" s="508"/>
      <c r="S29" s="87"/>
      <c r="T29" s="87"/>
      <c r="U29" s="87"/>
      <c r="V29" s="87"/>
      <c r="W29" s="87"/>
      <c r="X29" s="87"/>
    </row>
    <row r="30" spans="1:24" x14ac:dyDescent="0.25">
      <c r="A30" s="738"/>
      <c r="B30" s="1" t="s">
        <v>24</v>
      </c>
      <c r="C30" s="17">
        <f>Bilans_E_AMS_Kyoto_run3_2030!Q22</f>
        <v>10.223550533524911</v>
      </c>
      <c r="D30" s="86">
        <f>SUM(C26:C34)</f>
        <v>85.35556078529261</v>
      </c>
      <c r="E30" s="190">
        <f t="shared" si="3"/>
        <v>1.1012359650020871</v>
      </c>
      <c r="F30" s="86">
        <f>Bilans_E_AMS_Kyoto_run3_2030!U22</f>
        <v>9.194126154260573</v>
      </c>
      <c r="G30" s="33">
        <f t="shared" si="2"/>
        <v>9.1223145685228246</v>
      </c>
      <c r="H30" s="86">
        <f>SUM(G26:G34)</f>
        <v>76.161434631032023</v>
      </c>
      <c r="I30" s="1"/>
      <c r="J30" s="86">
        <f>H30</f>
        <v>76.161434631032023</v>
      </c>
      <c r="K30" s="87">
        <f>Bilans_E_AMS_Kyoto_run3_2030!S31</f>
        <v>5.9061205117744695</v>
      </c>
      <c r="L30" s="87"/>
      <c r="M30" s="87">
        <f>Bilans_E_AMS_Kyoto_run3_2030!M28</f>
        <v>0</v>
      </c>
      <c r="N30" s="87"/>
      <c r="O30" s="87"/>
      <c r="P30" s="87"/>
      <c r="Q30" s="86">
        <f>J30-K30-L30-M30-N30-O30-P30</f>
        <v>70.255314119257548</v>
      </c>
      <c r="R30" s="508">
        <f>Q30-S30</f>
        <v>2.9583203911442979E-5</v>
      </c>
      <c r="S30" s="86">
        <f>SUM(T27:X34)</f>
        <v>70.255284536053637</v>
      </c>
      <c r="T30" s="87">
        <f>Bilans_E_AMS_Kyoto_run3_2030!S$38</f>
        <v>0</v>
      </c>
      <c r="U30" s="87">
        <f>Bilans_E_AMS_Kyoto_run3_2030!S$34</f>
        <v>19.64973892074547</v>
      </c>
      <c r="V30" s="87">
        <f>Bilans_E_AMS_Kyoto_run3_2030!S$36</f>
        <v>28.91573310749396</v>
      </c>
      <c r="W30" s="87">
        <f>Bilans_E_AMS_Kyoto_run3_2030!S$37</f>
        <v>21.68981250781421</v>
      </c>
      <c r="X30" s="87">
        <f>Bilans_E_AMS_Kyoto_run3_2030!S$35</f>
        <v>0</v>
      </c>
    </row>
    <row r="31" spans="1:24" x14ac:dyDescent="0.25">
      <c r="A31" s="738"/>
      <c r="B31" s="1" t="s">
        <v>611</v>
      </c>
      <c r="C31" s="17">
        <f>Bilans_E_AMS_Kyoto_run3_2030!P22</f>
        <v>5.5922659753689832</v>
      </c>
      <c r="D31" s="86"/>
      <c r="E31" s="190">
        <f t="shared" si="3"/>
        <v>0.60237433147508335</v>
      </c>
      <c r="F31" s="86"/>
      <c r="G31" s="33">
        <f t="shared" si="2"/>
        <v>4.9898916438939001</v>
      </c>
      <c r="H31" s="86"/>
      <c r="I31" s="1"/>
      <c r="J31" s="517"/>
      <c r="K31" s="87"/>
      <c r="L31" s="87"/>
      <c r="M31" s="87"/>
      <c r="N31" s="87"/>
      <c r="O31" s="87"/>
      <c r="P31" s="87"/>
      <c r="Q31" s="517"/>
      <c r="R31" s="508"/>
      <c r="S31" s="519"/>
      <c r="T31" s="521"/>
      <c r="U31" s="521"/>
      <c r="V31" s="521"/>
      <c r="W31" s="521"/>
      <c r="X31" s="521"/>
    </row>
    <row r="32" spans="1:24" x14ac:dyDescent="0.25">
      <c r="A32" s="738"/>
      <c r="B32" s="1" t="s">
        <v>29</v>
      </c>
      <c r="C32" s="17">
        <f>Bilans_E_AMS_Kyoto_run3_2030!H22+Bilans_E_AMS_Kyoto_run3_2030!I22</f>
        <v>21.01937665904569</v>
      </c>
      <c r="D32" s="86"/>
      <c r="E32" s="190">
        <f t="shared" si="3"/>
        <v>2.2641149435279138</v>
      </c>
      <c r="F32" s="86"/>
      <c r="G32" s="33">
        <f>C32-E32</f>
        <v>18.755261715517776</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f>Bilans_E_AMS_Kyoto_run3_2030!F22</f>
        <v>0</v>
      </c>
      <c r="D33" s="86"/>
      <c r="E33" s="190">
        <f t="shared" si="3"/>
        <v>0</v>
      </c>
      <c r="F33" s="86"/>
      <c r="G33" s="33">
        <f t="shared" ref="G33:G34" si="4">C33-E33</f>
        <v>0</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f>Bilans_E_AMS_Kyoto_run3_2030!D22</f>
        <v>0</v>
      </c>
      <c r="D34" s="88"/>
      <c r="E34" s="190">
        <f t="shared" si="3"/>
        <v>0</v>
      </c>
      <c r="F34" s="88"/>
      <c r="G34" s="33">
        <f t="shared" si="4"/>
        <v>0</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f>F30/D30</f>
        <v>0.10771560832911531</v>
      </c>
      <c r="G35" s="17"/>
      <c r="H35" s="501"/>
      <c r="I35" s="1"/>
      <c r="J35" s="1"/>
      <c r="K35" s="1"/>
      <c r="L35" s="1"/>
      <c r="M35" s="1"/>
      <c r="N35" s="1"/>
      <c r="O35" s="1"/>
      <c r="P35" s="1"/>
      <c r="Q35" s="502"/>
      <c r="R35" s="508"/>
      <c r="U35" s="33"/>
      <c r="V35" s="33"/>
      <c r="W35" s="33"/>
    </row>
    <row r="36" spans="1:26" x14ac:dyDescent="0.25">
      <c r="A36" s="739" t="s">
        <v>34</v>
      </c>
      <c r="B36" s="1" t="s">
        <v>21</v>
      </c>
      <c r="C36" s="33">
        <f>E55</f>
        <v>0</v>
      </c>
      <c r="D36" s="538"/>
      <c r="E36" s="17"/>
      <c r="F36" s="538"/>
      <c r="G36" s="17">
        <f t="shared" ref="G36:G42" si="5">C36-E36</f>
        <v>0</v>
      </c>
      <c r="H36" s="538"/>
      <c r="I36" s="35"/>
      <c r="J36" s="37"/>
      <c r="K36" s="35"/>
      <c r="L36" s="35"/>
      <c r="M36" s="35"/>
      <c r="N36" s="35"/>
      <c r="O36" s="35"/>
      <c r="P36" s="35"/>
      <c r="Q36" s="540"/>
      <c r="R36" s="508"/>
      <c r="S36" s="538"/>
      <c r="T36" s="503">
        <v>0</v>
      </c>
      <c r="U36" s="503">
        <v>0</v>
      </c>
      <c r="V36" s="503">
        <v>0</v>
      </c>
      <c r="W36" s="503">
        <v>0</v>
      </c>
      <c r="X36" s="503">
        <v>0</v>
      </c>
      <c r="Y36" s="489">
        <f>SUM(T36:X36)</f>
        <v>0</v>
      </c>
      <c r="Z36" s="489">
        <f>G36-Y36</f>
        <v>0</v>
      </c>
    </row>
    <row r="37" spans="1:26" x14ac:dyDescent="0.25">
      <c r="A37" s="739"/>
      <c r="B37" s="1" t="s">
        <v>23</v>
      </c>
      <c r="C37" s="33">
        <f>SUM(T37:X37)+E58</f>
        <v>112.69943592963679</v>
      </c>
      <c r="D37" s="539"/>
      <c r="E37" s="504"/>
      <c r="F37" s="539"/>
      <c r="G37" s="17">
        <f t="shared" si="5"/>
        <v>112.69943592963679</v>
      </c>
      <c r="H37" s="539"/>
      <c r="I37" s="498"/>
      <c r="J37" s="37"/>
      <c r="K37" s="35"/>
      <c r="L37" s="35"/>
      <c r="M37" s="505"/>
      <c r="N37" s="35"/>
      <c r="P37" s="35"/>
      <c r="Q37" s="541"/>
      <c r="R37" s="508"/>
      <c r="S37" s="539"/>
      <c r="T37" s="506">
        <f>Bilans_E_AMS_Kyoto_run3_2030!L38</f>
        <v>11.011050824063592</v>
      </c>
      <c r="U37" s="93">
        <f>Bilans_E_AMS_Kyoto_run3_2030!L34</f>
        <v>40.443549417210768</v>
      </c>
      <c r="V37" s="506">
        <f>Bilans_E_AMS_Kyoto_run3_2030!L36</f>
        <v>60.462677002926597</v>
      </c>
      <c r="W37" s="507">
        <f>Bilans_E_AMS_Kyoto_run3_2030!L37</f>
        <v>0.66301904787483434</v>
      </c>
      <c r="X37" s="506">
        <f>Bilans_E_AMS_Kyoto_run3_2030!L35</f>
        <v>0</v>
      </c>
      <c r="Y37" s="489">
        <f t="shared" ref="Y37:Y47" si="6">SUM(T37:X37)</f>
        <v>112.5802962920758</v>
      </c>
      <c r="Z37" s="489">
        <f t="shared" ref="Z37:Z44" si="7">G37-Y37</f>
        <v>0.11913963756099122</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f>SUM(G36:G41)-E55-E56-E58-L41-L36</f>
        <v>291.09553458684985</v>
      </c>
      <c r="R38" s="508"/>
      <c r="S38" s="539"/>
      <c r="T38" s="84">
        <v>0</v>
      </c>
      <c r="U38" s="83">
        <v>0</v>
      </c>
      <c r="V38" s="84">
        <v>0</v>
      </c>
      <c r="W38" s="91">
        <v>0</v>
      </c>
      <c r="X38" s="91">
        <v>0</v>
      </c>
      <c r="Y38" s="489">
        <f t="shared" si="6"/>
        <v>0</v>
      </c>
      <c r="Z38" s="489">
        <f t="shared" si="7"/>
        <v>0</v>
      </c>
    </row>
    <row r="39" spans="1:26" x14ac:dyDescent="0.25">
      <c r="A39" s="739"/>
      <c r="B39" s="1" t="s">
        <v>35</v>
      </c>
      <c r="C39" s="33">
        <f>SUM(T39:X39)</f>
        <v>12.361133347867039</v>
      </c>
      <c r="D39" s="539"/>
      <c r="E39" s="35"/>
      <c r="F39" s="539"/>
      <c r="G39" s="17">
        <f t="shared" si="5"/>
        <v>12.361133347867039</v>
      </c>
      <c r="H39" s="539"/>
      <c r="I39" s="35"/>
      <c r="J39" s="37"/>
      <c r="K39" s="35"/>
      <c r="L39" s="35"/>
      <c r="M39" s="37"/>
      <c r="N39" s="35"/>
      <c r="O39" s="35"/>
      <c r="P39" s="35"/>
      <c r="Q39" s="541"/>
      <c r="R39" s="508"/>
      <c r="S39" s="539"/>
      <c r="T39" s="84">
        <f>Bilans_E_AMS_Kyoto_run3_2030!Q38</f>
        <v>0.62518456969816016</v>
      </c>
      <c r="U39" s="83">
        <f>Bilans_E_AMS_Kyoto_run3_2030!Q34</f>
        <v>5.5791983277925228E-4</v>
      </c>
      <c r="V39" s="84">
        <f>Bilans_E_AMS_Kyoto_run3_2030!Q36</f>
        <v>6.0227221136395004</v>
      </c>
      <c r="W39" s="91">
        <f>Bilans_E_AMS_Kyoto_run3_2030!Q37</f>
        <v>5.7126687446965985</v>
      </c>
      <c r="X39" s="91">
        <f>Bilans_E_AMS_Kyoto_run3_2030!Q35</f>
        <v>0</v>
      </c>
      <c r="Y39" s="489">
        <f t="shared" si="6"/>
        <v>12.361133347867039</v>
      </c>
      <c r="Z39" s="489">
        <f t="shared" si="7"/>
        <v>0</v>
      </c>
    </row>
    <row r="40" spans="1:26" x14ac:dyDescent="0.25">
      <c r="A40" s="739"/>
      <c r="B40" s="1" t="s">
        <v>36</v>
      </c>
      <c r="C40" s="33">
        <f>Bilans_E_AMS_Kyoto_run3_2030!P12-Bilans_E_AMS_Kyoto_run3_2030!P22</f>
        <v>124.16711547268555</v>
      </c>
      <c r="D40" s="539"/>
      <c r="E40" s="35"/>
      <c r="F40" s="539"/>
      <c r="G40" s="17">
        <f t="shared" si="5"/>
        <v>124.16711547268555</v>
      </c>
      <c r="H40" s="539"/>
      <c r="I40" s="35"/>
      <c r="J40" s="37"/>
      <c r="K40" s="35"/>
      <c r="L40" s="35"/>
      <c r="M40" s="37"/>
      <c r="N40" s="35"/>
      <c r="O40" s="35"/>
      <c r="P40" s="35"/>
      <c r="Q40" s="541"/>
      <c r="R40" s="508"/>
      <c r="S40" s="539"/>
      <c r="T40" s="83">
        <f>Bilans_E_AMS_Kyoto_run3_2030!P$38</f>
        <v>0.5</v>
      </c>
      <c r="U40" s="83">
        <f>Bilans_E_AMS_Kyoto_run3_2030!P$34</f>
        <v>4.88145654296875</v>
      </c>
      <c r="V40" s="83">
        <f>Bilans_E_AMS_Kyoto_run3_2030!P$36</f>
        <v>86.174932209680449</v>
      </c>
      <c r="W40" s="83">
        <f>Bilans_E_AMS_Kyoto_run3_2030!P$37</f>
        <v>32.610726720036368</v>
      </c>
      <c r="X40" s="84">
        <f>Bilans_E_AMS_Kyoto_run3_2030!P$35</f>
        <v>0</v>
      </c>
      <c r="Y40" s="489">
        <f t="shared" si="6"/>
        <v>124.16711547268557</v>
      </c>
      <c r="Z40" s="489">
        <f t="shared" si="7"/>
        <v>0</v>
      </c>
    </row>
    <row r="41" spans="1:26" x14ac:dyDescent="0.25">
      <c r="A41" s="739"/>
      <c r="B41" s="1" t="s">
        <v>37</v>
      </c>
      <c r="C41" s="33">
        <f>Bilans_E_AMS_Kyoto_run3_2030!N12+Bilans_E_AMS_Kyoto_run3_2030!L26+Bilans_E_AMS_Kyoto_run3_2030!M26-Bilans_E_AMS_Kyoto_run3_2030!N21+Bilans_E_AMS_Kyoto_run3_2030!T27</f>
        <v>79.618291112522542</v>
      </c>
      <c r="D41" s="191">
        <f>SUM(C36:C47)</f>
        <v>898.66951097408139</v>
      </c>
      <c r="E41" s="511">
        <f>Bilans_E_AMS_Kyoto_run3_2030!U27+Bilans_E_AMS_Kyoto_run3_2030!U26</f>
        <v>37.045306393394497</v>
      </c>
      <c r="F41" s="191">
        <f>SUM(E36:E47)</f>
        <v>60.072745566339208</v>
      </c>
      <c r="G41" s="17">
        <f t="shared" si="5"/>
        <v>42.572984719128044</v>
      </c>
      <c r="H41" s="191">
        <f>SUM(G36:G47)</f>
        <v>838.59676540774205</v>
      </c>
      <c r="I41" s="35"/>
      <c r="J41" s="37"/>
      <c r="K41" s="35"/>
      <c r="L41" s="37">
        <f>-(SUM(Bilans_E_AMS_Kyoto_run3_2030!N13:N16)+SUM(Bilans_E_AMS_Kyoto_run3_2030!G13:G16))</f>
        <v>0.37589713549871773</v>
      </c>
      <c r="M41" s="35"/>
      <c r="N41" s="35"/>
      <c r="O41" s="35"/>
      <c r="P41" s="35"/>
      <c r="Q41" s="541"/>
      <c r="R41" s="508">
        <f>SUM(Q36:Q47)-S41</f>
        <v>0</v>
      </c>
      <c r="S41" s="191">
        <f>SUM(T36:X46)</f>
        <v>686.44056451482857</v>
      </c>
      <c r="T41" s="83">
        <f>Bilans_E_AMS_Kyoto_run3_2030!N$38+Bilans_E_AMS_Kyoto_run3_2030!G$38</f>
        <v>4.0387192002052101</v>
      </c>
      <c r="U41" s="83">
        <f>Bilans_E_AMS_Kyoto_run3_2030!N$34+Bilans_E_AMS_Kyoto_run3_2030!G$34</f>
        <v>0.94472173154286976</v>
      </c>
      <c r="V41" s="83">
        <f>Bilans_E_AMS_Kyoto_run3_2030!N$36+Bilans_E_AMS_Kyoto_run3_2030!G$36</f>
        <v>0</v>
      </c>
      <c r="W41" s="83">
        <f>Bilans_E_AMS_Kyoto_run3_2030!N$37+Bilans_E_AMS_Kyoto_run3_2030!G$37</f>
        <v>0</v>
      </c>
      <c r="X41" s="84">
        <f>Bilans_E_AMS_Kyoto_run3_2030!N$35+Bilans_E_AMS_Kyoto_run3_2030!G$35</f>
        <v>37.003548542473339</v>
      </c>
      <c r="Y41" s="489">
        <f t="shared" si="6"/>
        <v>41.986989474221417</v>
      </c>
      <c r="Z41" s="489">
        <f>G41-Y41-L41</f>
        <v>0.21009810940790929</v>
      </c>
    </row>
    <row r="42" spans="1:26" x14ac:dyDescent="0.25">
      <c r="A42" s="739"/>
      <c r="B42" s="1" t="s">
        <v>38</v>
      </c>
      <c r="C42" s="33">
        <f>Bilans_E_AMS_Kyoto_run3_2030!E18+Bilans_E_AMS_Kyoto_run3_2030!F18-Bilans_E_AMS_Kyoto_run3_2030!F21-Bilans_E_AMS_Kyoto_run3_2030!F22-E54-SUM(T43:X43)-(Bilans_E_AMS_Kyoto_run3_2030!E20+Bilans_E_AMS_Kyoto_run3_2030!F20+Bilans_E_AMS_Kyoto_run3_2030!E19+Bilans_E_AMS_Kyoto_run3_2030!F19)</f>
        <v>350.33984405582061</v>
      </c>
      <c r="D42" s="539"/>
      <c r="E42" s="17">
        <f>Bilans_E_AMS_Kyoto_run3_2030!F30+Bilans_E_AMS_Kyoto_run3_2030!U25+Bilans_E_AMS_Kyoto_run3_2030!F29+Bilans_E_AMS_Kyoto_run3_2030!E29</f>
        <v>23.02743917294471</v>
      </c>
      <c r="F42" s="539"/>
      <c r="G42" s="17">
        <f t="shared" si="5"/>
        <v>327.31240488287591</v>
      </c>
      <c r="H42" s="539"/>
      <c r="I42" s="498"/>
      <c r="J42" s="37"/>
      <c r="K42" s="35"/>
      <c r="L42" s="35"/>
      <c r="M42" s="35"/>
      <c r="N42" s="35"/>
      <c r="O42" s="35"/>
      <c r="P42" s="35"/>
      <c r="Q42" s="36">
        <f>G42</f>
        <v>327.31240488287591</v>
      </c>
      <c r="R42" s="508"/>
      <c r="S42" s="539"/>
      <c r="T42" s="83">
        <v>0</v>
      </c>
      <c r="U42" s="83">
        <v>0</v>
      </c>
      <c r="V42" s="83">
        <v>0</v>
      </c>
      <c r="W42" s="83">
        <v>0</v>
      </c>
      <c r="X42" s="84">
        <f>Bilans_E_AMS_Kyoto_run3_2030!F35</f>
        <v>327.31240488287597</v>
      </c>
      <c r="Y42" s="489">
        <f t="shared" si="6"/>
        <v>327.31240488287597</v>
      </c>
      <c r="Z42" s="489">
        <f>Q42-SUM(T42:X42)</f>
        <v>0</v>
      </c>
    </row>
    <row r="43" spans="1:26" x14ac:dyDescent="0.25">
      <c r="A43" s="739"/>
      <c r="B43" s="1" t="s">
        <v>39</v>
      </c>
      <c r="C43" s="33">
        <f>Bilans_E_AMS_Kyoto_run3_2030!F41+SUM(T43:X43)</f>
        <v>172.07457508975548</v>
      </c>
      <c r="D43" s="539"/>
      <c r="E43" s="38"/>
      <c r="F43" s="539"/>
      <c r="G43" s="17">
        <f>C43-E43</f>
        <v>172.07457508975548</v>
      </c>
      <c r="H43" s="539"/>
      <c r="I43" s="35"/>
      <c r="J43" s="37"/>
      <c r="K43" s="35"/>
      <c r="L43" s="35"/>
      <c r="M43" s="35"/>
      <c r="N43" s="35"/>
      <c r="O43" s="35"/>
      <c r="P43" s="35"/>
      <c r="Q43" s="36">
        <f>G43-Bilans_E_AMS_Kyoto_run3_2030!F41</f>
        <v>56.837645352091783</v>
      </c>
      <c r="R43" s="508"/>
      <c r="S43" s="539"/>
      <c r="T43" s="83">
        <f>Bilans_E_AMS_Kyoto_run3_2030!F38</f>
        <v>30.726482620518151</v>
      </c>
      <c r="U43" s="83">
        <f>Bilans_E_AMS_Kyoto_run3_2030!F34</f>
        <v>11.411404613984462</v>
      </c>
      <c r="V43" s="83">
        <f>Bilans_E_AMS_Kyoto_run3_2030!F36</f>
        <v>11.051911751931332</v>
      </c>
      <c r="W43" s="83">
        <f>Bilans_E_AMS_Kyoto_run3_2030!F37</f>
        <v>3.647846365657839</v>
      </c>
      <c r="X43" s="84">
        <v>0</v>
      </c>
      <c r="Y43" s="489">
        <f t="shared" si="6"/>
        <v>56.837645352091783</v>
      </c>
      <c r="Z43" s="489">
        <f>Q43-SUM(T43:X43)</f>
        <v>0</v>
      </c>
    </row>
    <row r="44" spans="1:26" x14ac:dyDescent="0.25">
      <c r="A44" s="739"/>
      <c r="B44" s="1" t="s">
        <v>40</v>
      </c>
      <c r="C44" s="33">
        <f>SUM(T44:X44)</f>
        <v>10.269254107073522</v>
      </c>
      <c r="D44" s="539"/>
      <c r="E44" s="38"/>
      <c r="F44" s="539"/>
      <c r="G44" s="17">
        <f t="shared" si="1"/>
        <v>10.269254107073522</v>
      </c>
      <c r="H44" s="539"/>
      <c r="I44" s="35"/>
      <c r="J44" s="37"/>
      <c r="K44" s="35"/>
      <c r="L44" s="35"/>
      <c r="M44" s="35"/>
      <c r="N44" s="35"/>
      <c r="O44" s="35"/>
      <c r="P44" s="35"/>
      <c r="Q44" s="36">
        <f>G44-Bilans_E_AMS_Kyoto_run3_2030!M41</f>
        <v>10.269254107073522</v>
      </c>
      <c r="R44" s="498"/>
      <c r="S44" s="539"/>
      <c r="T44" s="83">
        <f>Bilans_E_AMS_Kyoto_run3_2030!M$38</f>
        <v>0</v>
      </c>
      <c r="U44" s="83">
        <f>Bilans_E_AMS_Kyoto_run3_2030!M$34</f>
        <v>10.269254107073522</v>
      </c>
      <c r="V44" s="83">
        <f>Bilans_E_AMS_Kyoto_run3_2030!M$36</f>
        <v>0</v>
      </c>
      <c r="W44" s="83">
        <f>Bilans_E_AMS_Kyoto_run3_2030!M$37</f>
        <v>0</v>
      </c>
      <c r="X44" s="84">
        <f>Bilans_E_AMS_Kyoto_run3_2030!M$35</f>
        <v>0</v>
      </c>
      <c r="Y44" s="489">
        <f t="shared" si="6"/>
        <v>10.269254107073522</v>
      </c>
      <c r="Z44" s="489">
        <f t="shared" si="7"/>
        <v>0</v>
      </c>
    </row>
    <row r="45" spans="1:26" x14ac:dyDescent="0.25">
      <c r="A45" s="739"/>
      <c r="B45" s="1" t="s">
        <v>41</v>
      </c>
      <c r="C45" s="33">
        <f>E53</f>
        <v>13.537810909623058</v>
      </c>
      <c r="D45" s="539"/>
      <c r="E45" s="38"/>
      <c r="F45" s="539"/>
      <c r="G45" s="17">
        <f t="shared" si="1"/>
        <v>13.537810909623058</v>
      </c>
      <c r="H45" s="539"/>
      <c r="I45" s="35"/>
      <c r="J45" s="37"/>
      <c r="K45" s="35"/>
      <c r="L45" s="35"/>
      <c r="M45" s="35"/>
      <c r="N45" s="35"/>
      <c r="O45" s="35"/>
      <c r="P45" s="35"/>
      <c r="Q45" s="36">
        <f>G45-Bilans_E_AMS_Kyoto_run3_2030!H41</f>
        <v>0</v>
      </c>
      <c r="R45" s="498"/>
      <c r="S45" s="539"/>
      <c r="T45" s="84">
        <v>0</v>
      </c>
      <c r="U45" s="83">
        <v>0</v>
      </c>
      <c r="V45" s="84">
        <v>0</v>
      </c>
      <c r="W45" s="92">
        <v>0</v>
      </c>
      <c r="X45" s="84">
        <v>0</v>
      </c>
      <c r="Y45" s="489">
        <f t="shared" si="6"/>
        <v>0</v>
      </c>
      <c r="Z45" s="489">
        <f>Q45-Y45</f>
        <v>0</v>
      </c>
    </row>
    <row r="46" spans="1:26" x14ac:dyDescent="0.25">
      <c r="A46" s="739"/>
      <c r="B46" s="1" t="s">
        <v>42</v>
      </c>
      <c r="C46" s="33">
        <f>Bilans_E_AMS_Kyoto_run3_2030!D18-C18-C34</f>
        <v>22.464942871093751</v>
      </c>
      <c r="D46" s="539"/>
      <c r="E46" s="511"/>
      <c r="F46" s="539"/>
      <c r="G46" s="17">
        <f>C46-E46</f>
        <v>22.464942871093751</v>
      </c>
      <c r="H46" s="539"/>
      <c r="I46" s="38"/>
      <c r="J46" s="37"/>
      <c r="K46" s="35"/>
      <c r="L46" s="35"/>
      <c r="M46" s="35"/>
      <c r="N46" s="35"/>
      <c r="O46" s="35"/>
      <c r="P46" s="35"/>
      <c r="Q46" s="36">
        <f>G46-(Bilans_E_AMS_Kyoto_run3_2030!D41+Bilans_E_AMS_Kyoto_run3_2030!D29+Bilans_E_AMS_Kyoto_run3_2030!D30)</f>
        <v>0.92572558593749932</v>
      </c>
      <c r="R46" s="498"/>
      <c r="S46" s="539"/>
      <c r="T46" s="506">
        <f>Bilans_E_AMS_Kyoto_run3_2030!D38</f>
        <v>0</v>
      </c>
      <c r="U46" s="93">
        <f>Bilans_E_AMS_Kyoto_run3_2030!D34</f>
        <v>0.92572558593749998</v>
      </c>
      <c r="V46" s="506">
        <f>Bilans_E_AMS_Kyoto_run3_2030!D36</f>
        <v>0</v>
      </c>
      <c r="W46" s="507">
        <f>Bilans_E_AMS_Kyoto_run3_2030!D37</f>
        <v>0</v>
      </c>
      <c r="X46" s="506">
        <f>Bilans_E_AMS_Kyoto_run3_2030!D35</f>
        <v>0</v>
      </c>
      <c r="Y46" s="489">
        <f t="shared" si="6"/>
        <v>0.92572558593749998</v>
      </c>
      <c r="Z46" s="489">
        <f>Q46-Y46</f>
        <v>0</v>
      </c>
    </row>
    <row r="47" spans="1:26" x14ac:dyDescent="0.25">
      <c r="A47" s="90"/>
      <c r="B47" s="1" t="s">
        <v>31</v>
      </c>
      <c r="C47" s="33">
        <f>E57</f>
        <v>1.1371080780029297</v>
      </c>
      <c r="D47" s="192"/>
      <c r="E47" s="511"/>
      <c r="F47" s="192"/>
      <c r="G47" s="17">
        <f>C47-E47</f>
        <v>1.1371080780029297</v>
      </c>
      <c r="H47" s="192"/>
      <c r="I47" s="38"/>
      <c r="J47" s="37"/>
      <c r="K47" s="35"/>
      <c r="L47" s="35"/>
      <c r="M47" s="35"/>
      <c r="N47" s="35"/>
      <c r="O47" s="35"/>
      <c r="P47" s="35"/>
      <c r="Q47" s="542">
        <f>G47-Bilans_E_AMS_Kyoto_run3_2030!T41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C5-L13-SUM(L21:L24)-L30-L41-Bilans_E_AMS_Kyoto_run3_2030!U18</f>
        <v>0</v>
      </c>
      <c r="D49" s="1"/>
      <c r="E49" s="34">
        <f>SUM(E7:E47)+I13-Bilans_E_AMS_Kyoto_run3_2030!U32+K13+SUM(K21:K24)+K30+Bilans_E_AMS_Kyoto_run3_2030!D29+Bilans_E_AMS_Kyoto_run3_2030!D30</f>
        <v>-8.9706020389712648E-14</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558.66812996248132</v>
      </c>
    </row>
    <row r="52" spans="1:19" x14ac:dyDescent="0.25">
      <c r="A52" s="21"/>
      <c r="B52" s="1" t="s">
        <v>44</v>
      </c>
      <c r="C52" s="44"/>
      <c r="D52" s="1"/>
      <c r="E52" s="39">
        <f>Bilans_E_AMS_Kyoto_run3_2030!D41+Bilans_E_AMS_Kyoto_run3_2030!D29+Bilans_E_AMS_Kyoto_run3_2030!D30</f>
        <v>21.539217285156251</v>
      </c>
      <c r="F52" s="187"/>
      <c r="G52" s="1"/>
      <c r="H52" s="1"/>
      <c r="I52" s="30"/>
      <c r="J52" s="17"/>
      <c r="K52" s="17"/>
      <c r="L52" s="21"/>
      <c r="M52" s="1"/>
      <c r="N52" s="17"/>
      <c r="O52" s="17"/>
      <c r="P52" s="17"/>
      <c r="Q52" s="1"/>
      <c r="S52" s="33"/>
    </row>
    <row r="53" spans="1:19" x14ac:dyDescent="0.25">
      <c r="A53" s="21"/>
      <c r="B53" s="1" t="s">
        <v>41</v>
      </c>
      <c r="C53" s="45"/>
      <c r="D53" s="17"/>
      <c r="E53" s="433">
        <f>Bilans_E_AMS_Kyoto_run3_2030!H41+Bilans_E_AMS_Kyoto_run3_2030!H29</f>
        <v>13.537810909623058</v>
      </c>
      <c r="F53" s="187"/>
      <c r="G53" s="1"/>
      <c r="H53" s="1"/>
      <c r="I53" s="30"/>
      <c r="J53" s="17"/>
      <c r="K53" s="17"/>
      <c r="L53" s="21"/>
      <c r="M53" s="1"/>
      <c r="N53" s="17"/>
      <c r="O53" s="17"/>
      <c r="P53" s="17"/>
      <c r="Q53" s="1"/>
    </row>
    <row r="54" spans="1:19" x14ac:dyDescent="0.25">
      <c r="A54" s="21"/>
      <c r="B54" s="1" t="s">
        <v>39</v>
      </c>
      <c r="C54" s="45"/>
      <c r="D54" s="17"/>
      <c r="E54" s="435">
        <f>Bilans_E_AMS_Kyoto_run3_2030!F41</f>
        <v>115.2369297376637</v>
      </c>
      <c r="F54" s="187"/>
      <c r="G54" s="1"/>
      <c r="H54" s="1"/>
      <c r="I54" s="30"/>
      <c r="J54" s="17"/>
      <c r="K54" s="17"/>
      <c r="L54" s="21"/>
      <c r="M54" s="21"/>
      <c r="N54" s="17"/>
      <c r="O54" s="17"/>
      <c r="P54" s="17"/>
      <c r="Q54" s="1"/>
    </row>
    <row r="55" spans="1:19" x14ac:dyDescent="0.25">
      <c r="B55" s="1" t="s">
        <v>21</v>
      </c>
      <c r="E55" s="631">
        <f>Bilans_E_AMS_Kyoto_run3_2030!O41+Bilans_E_AMS_Kyoto_run3_2030!O29</f>
        <v>0</v>
      </c>
    </row>
    <row r="56" spans="1:19" x14ac:dyDescent="0.25">
      <c r="B56" s="1" t="s">
        <v>37</v>
      </c>
      <c r="E56" s="631">
        <f>Bilans_E_AMS_Kyoto_run3_2030!N41+Bilans_E_AMS_Kyoto_run3_2030!N29+Bilans_E_AMS_Kyoto_run3_2030!G41</f>
        <v>0.21009810940790719</v>
      </c>
    </row>
    <row r="57" spans="1:19" x14ac:dyDescent="0.25">
      <c r="B57" s="1" t="s">
        <v>31</v>
      </c>
      <c r="E57" s="631">
        <f>Bilans_E_AMS_Kyoto_run3_2030!T41</f>
        <v>1.1371080780029297</v>
      </c>
    </row>
    <row r="58" spans="1:19" x14ac:dyDescent="0.25">
      <c r="B58" s="1" t="s">
        <v>335</v>
      </c>
      <c r="E58" s="631">
        <f>Bilans_E_AMS_Kyoto_run3_2030!L41</f>
        <v>0.11913963756098579</v>
      </c>
    </row>
    <row r="59" spans="1:19" x14ac:dyDescent="0.25">
      <c r="E59" s="632"/>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57A5-7165-45D0-BB55-20AE2E1949E4}">
  <dimension ref="A1:Z59"/>
  <sheetViews>
    <sheetView workbookViewId="0">
      <selection activeCell="C24" sqref="C24"/>
    </sheetView>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2649.1369802195759</v>
      </c>
      <c r="D5" s="18"/>
      <c r="E5" s="20"/>
      <c r="F5" s="494"/>
      <c r="G5" s="21"/>
      <c r="H5" s="493"/>
      <c r="I5" s="21"/>
      <c r="J5" s="22"/>
      <c r="K5" s="23"/>
      <c r="L5" s="14"/>
      <c r="M5" s="14"/>
      <c r="N5" s="15"/>
      <c r="O5" s="16"/>
      <c r="P5" s="16"/>
      <c r="Q5" s="24">
        <f>Q13+Q22+Q30+Q42+Q46+Q38+Q43</f>
        <v>1380.326430479789</v>
      </c>
      <c r="R5" s="487"/>
      <c r="S5" s="79">
        <f>SUM(S13,S22,S27:S32,S41)</f>
        <v>1390.1419477149498</v>
      </c>
      <c r="T5" s="79">
        <f>SUM(T8:T46)</f>
        <v>54.541144706266778</v>
      </c>
      <c r="U5" s="79">
        <f>SUM(U8:U46)</f>
        <v>317.01554304985581</v>
      </c>
      <c r="V5" s="79">
        <f>SUM(V8:V46)</f>
        <v>420.99978695158404</v>
      </c>
      <c r="W5" s="173">
        <f>SUM(W8:W46)</f>
        <v>238.49323588489858</v>
      </c>
      <c r="X5" s="79">
        <f>SUM(X8:X46)</f>
        <v>359.0922371223445</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f>(([13]Offre_calc!$Q$108+[13]Offre_calc!$Q$109+[13]Offre_calc!$Q$147+[13]Offre_calc!$Q$148)/([13]Offre_calc!$Q$105+[13]Offre_calc!$Q$144))*Bilans_E_AMS_Kyoto_run3_2033!K$21</f>
        <v>122.17215496482764</v>
      </c>
      <c r="D7" s="516"/>
      <c r="E7" s="28">
        <v>0</v>
      </c>
      <c r="F7" s="516"/>
      <c r="G7" s="17">
        <f>C7-E7</f>
        <v>122.17215496482764</v>
      </c>
      <c r="H7" s="516"/>
      <c r="I7" s="21"/>
      <c r="J7" s="516"/>
      <c r="K7" s="523"/>
      <c r="L7" s="523"/>
      <c r="M7" s="523"/>
      <c r="N7" s="523"/>
      <c r="O7" s="523"/>
      <c r="P7" s="513"/>
      <c r="Q7" s="526"/>
      <c r="R7" s="498"/>
      <c r="S7" s="526"/>
      <c r="T7" s="523"/>
      <c r="U7" s="523"/>
      <c r="V7" s="523"/>
      <c r="W7" s="523"/>
      <c r="X7" s="523"/>
    </row>
    <row r="8" spans="1:24" x14ac:dyDescent="0.25">
      <c r="A8" s="736"/>
      <c r="B8" s="1" t="s">
        <v>18</v>
      </c>
      <c r="C8" s="486">
        <f>(([13]Offre_calc!$Q$107+[13]Offre_calc!$Q$146)/([13]Offre_calc!$Q$105+[13]Offre_calc!$Q$144))*Bilans_E_AMS_Kyoto_run3_2033!K$21</f>
        <v>54.372527033825136</v>
      </c>
      <c r="D8" s="81"/>
      <c r="E8" s="28">
        <v>0</v>
      </c>
      <c r="F8" s="81"/>
      <c r="G8" s="17">
        <f t="shared" ref="G8:G19" si="0">C8-E8</f>
        <v>54.372527033825136</v>
      </c>
      <c r="H8" s="81"/>
      <c r="I8" s="21"/>
      <c r="J8" s="81"/>
      <c r="K8" s="524"/>
      <c r="L8" s="524"/>
      <c r="M8" s="524"/>
      <c r="N8" s="524"/>
      <c r="O8" s="524"/>
      <c r="P8" s="29"/>
      <c r="Q8" s="527"/>
      <c r="R8" s="498"/>
      <c r="S8" s="527"/>
      <c r="T8" s="524"/>
      <c r="U8" s="524"/>
      <c r="V8" s="524"/>
      <c r="W8" s="524"/>
      <c r="X8" s="524"/>
    </row>
    <row r="9" spans="1:24" x14ac:dyDescent="0.25">
      <c r="A9" s="736"/>
      <c r="B9" s="1" t="s">
        <v>19</v>
      </c>
      <c r="C9" s="486">
        <f>(([13]Offre_calc!$Q$106+[13]Offre_calc!$Q$145)/([13]Offre_calc!$Q$105+[13]Offre_calc!$Q$144))*Bilans_E_AMS_Kyoto_run3_2033!K$21</f>
        <v>87.635675398921094</v>
      </c>
      <c r="D9" s="81"/>
      <c r="E9" s="28">
        <v>0</v>
      </c>
      <c r="F9" s="81"/>
      <c r="G9" s="17">
        <f t="shared" si="0"/>
        <v>87.635675398921094</v>
      </c>
      <c r="H9" s="81"/>
      <c r="I9" s="21"/>
      <c r="J9" s="81"/>
      <c r="K9" s="524"/>
      <c r="L9" s="524"/>
      <c r="M9" s="524"/>
      <c r="N9" s="524"/>
      <c r="O9" s="524"/>
      <c r="P9" s="29"/>
      <c r="Q9" s="527"/>
      <c r="R9" s="498"/>
      <c r="S9" s="527"/>
      <c r="T9" s="524"/>
      <c r="U9" s="524"/>
      <c r="V9" s="524"/>
      <c r="W9" s="524"/>
      <c r="X9" s="524"/>
    </row>
    <row r="10" spans="1:24" x14ac:dyDescent="0.25">
      <c r="A10" s="736"/>
      <c r="B10" s="1" t="s">
        <v>20</v>
      </c>
      <c r="C10" s="17">
        <f>Bilans_E_AMS_Kyoto_run3_2033!J21-(Bilans_E_AMS_Kyoto_run3_2033!R20+Bilans_E_AMS_Kyoto_run3_2033!R19)</f>
        <v>1165.8657454545453</v>
      </c>
      <c r="D10" s="81"/>
      <c r="E10" s="28">
        <f>F13-SUM(E11:E19)</f>
        <v>781.66736999497289</v>
      </c>
      <c r="F10" s="81"/>
      <c r="G10" s="17">
        <f t="shared" si="0"/>
        <v>384.19837545957239</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f>Bilans_E_AMS_Kyoto_run3_2033!O21</f>
        <v>9.8298837124563363</v>
      </c>
      <c r="D11" s="81"/>
      <c r="E11" s="727">
        <f>C11*(1-[12]Offre_calc!$V$161)</f>
        <v>3.9319534849825346</v>
      </c>
      <c r="F11" s="81"/>
      <c r="G11" s="17">
        <f t="shared" si="0"/>
        <v>5.8979302274738021</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f>Bilans_E_AMS_Kyoto_run3_2033!M21</f>
        <v>6.1000995181555853</v>
      </c>
      <c r="D12" s="81"/>
      <c r="E12" s="727">
        <f>C12*(1-[12]Offre_calc!$V$171)</f>
        <v>3.6600597108933508</v>
      </c>
      <c r="F12" s="81"/>
      <c r="G12" s="17">
        <f t="shared" si="0"/>
        <v>2.4400398072622345</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f>Bilans_E_AMS_Kyoto_run3_2033!L21</f>
        <v>15.154623225490525</v>
      </c>
      <c r="D13" s="81">
        <f>SUM(C7:C19)</f>
        <v>1498.57210125391</v>
      </c>
      <c r="E13" s="727">
        <f>C13*(1-[12]Offre_calc!$V$170)</f>
        <v>9.0927739352943142</v>
      </c>
      <c r="F13" s="81">
        <f>Bilans_E_AMS_Kyoto_run3_2033!U21</f>
        <v>813.55002107962082</v>
      </c>
      <c r="G13" s="17">
        <f t="shared" si="0"/>
        <v>6.0618492901962107</v>
      </c>
      <c r="H13" s="81">
        <f>SUM(G7:G19)</f>
        <v>685.02208017428927</v>
      </c>
      <c r="I13" s="33">
        <f>Bilans_E_AMS_Kyoto_run3_2033!R30</f>
        <v>34.269297847213949</v>
      </c>
      <c r="J13" s="81">
        <f>H13-I13</f>
        <v>650.75278232707535</v>
      </c>
      <c r="K13" s="29">
        <f>Bilans_E_AMS_Kyoto_run3_2033!R31</f>
        <v>49.185048043405324</v>
      </c>
      <c r="L13" s="29">
        <f>-(Bilans_E_AMS_Kyoto_run3_2033!R14+Bilans_E_AMS_Kyoto_run3_2033!R13)</f>
        <v>83.337259091529631</v>
      </c>
      <c r="M13" s="29">
        <f>Bilans_E_AMS_Kyoto_run3_2033!R28</f>
        <v>26.742532147251133</v>
      </c>
      <c r="N13" s="29"/>
      <c r="O13" s="29"/>
      <c r="P13" s="29"/>
      <c r="Q13" s="81">
        <f>J13-K13-L13-M13-N13-O13-P13</f>
        <v>491.48794304488922</v>
      </c>
      <c r="R13" s="508">
        <f>Q13-S13</f>
        <v>0</v>
      </c>
      <c r="S13" s="81">
        <f>SUM(T8:X19)</f>
        <v>491.48794304488933</v>
      </c>
      <c r="T13" s="29">
        <f>Bilans_E_AMS_Kyoto_run3_2033!R38</f>
        <v>8.2928422498969727</v>
      </c>
      <c r="U13" s="29">
        <f>Bilans_E_AMS_Kyoto_run3_2033!R34+Bilans_E_AMS_Kyoto_run3_2033!R39</f>
        <v>152.36640904233067</v>
      </c>
      <c r="V13" s="29">
        <f>Bilans_E_AMS_Kyoto_run3_2033!R36</f>
        <v>156.27303977046446</v>
      </c>
      <c r="W13" s="29">
        <f>Bilans_E_AMS_Kyoto_run3_2033!R37</f>
        <v>121.89305236123509</v>
      </c>
      <c r="X13" s="29">
        <f>Bilans_E_AMS_Kyoto_run3_2033!R35</f>
        <v>52.662599620962098</v>
      </c>
    </row>
    <row r="14" spans="1:24" x14ac:dyDescent="0.25">
      <c r="A14" s="736"/>
      <c r="B14" s="1" t="s">
        <v>24</v>
      </c>
      <c r="C14" s="17">
        <f>Bilans_E_AMS_Kyoto_run3_2033!Q21</f>
        <v>1.6766395861963883</v>
      </c>
      <c r="D14" s="81"/>
      <c r="E14" s="28">
        <v>0</v>
      </c>
      <c r="F14" s="81"/>
      <c r="G14" s="17">
        <f t="shared" si="0"/>
        <v>1.6766395861963883</v>
      </c>
      <c r="H14" s="81"/>
      <c r="I14" s="21"/>
      <c r="J14" s="81"/>
      <c r="K14" s="524"/>
      <c r="L14" s="524"/>
      <c r="M14" s="524"/>
      <c r="N14" s="524"/>
      <c r="O14" s="524"/>
      <c r="P14" s="29"/>
      <c r="Q14" s="527"/>
      <c r="R14" s="508"/>
      <c r="S14" s="527"/>
      <c r="T14" s="524"/>
      <c r="U14" s="524"/>
      <c r="V14" s="524"/>
      <c r="W14" s="524"/>
      <c r="X14" s="524"/>
    </row>
    <row r="15" spans="1:24" x14ac:dyDescent="0.25">
      <c r="A15" s="736"/>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36"/>
      <c r="B16" s="1" t="s">
        <v>343</v>
      </c>
      <c r="C16" s="17">
        <f>Bilans_E_AMS_Kyoto_run3_2033!N21</f>
        <v>4.7819832265678626</v>
      </c>
      <c r="D16" s="81"/>
      <c r="E16" s="727">
        <f>C16*(1-[12]Offre_calc!$V$158)</f>
        <v>2.6779106068780032</v>
      </c>
      <c r="F16" s="81"/>
      <c r="G16" s="17">
        <f t="shared" si="0"/>
        <v>2.1040726196898594</v>
      </c>
      <c r="H16" s="81"/>
      <c r="I16" s="21"/>
      <c r="J16" s="81"/>
      <c r="K16" s="524"/>
      <c r="L16" s="524"/>
      <c r="M16" s="524"/>
      <c r="N16" s="524"/>
      <c r="O16" s="524"/>
      <c r="P16" s="29"/>
      <c r="Q16" s="527"/>
      <c r="R16" s="508"/>
      <c r="S16" s="527"/>
      <c r="T16" s="524"/>
      <c r="U16" s="524"/>
      <c r="V16" s="524"/>
      <c r="W16" s="524"/>
      <c r="X16" s="524"/>
    </row>
    <row r="17" spans="1:24" x14ac:dyDescent="0.25">
      <c r="A17" s="736"/>
      <c r="B17" s="1" t="s">
        <v>27</v>
      </c>
      <c r="C17" s="17">
        <f>Bilans_E_AMS_Kyoto_run3_2033!F21</f>
        <v>0.79278558393774012</v>
      </c>
      <c r="D17" s="81"/>
      <c r="E17" s="727">
        <f>C17*(1-[12]Offre_calc!$V$158)</f>
        <v>0.44395992700513454</v>
      </c>
      <c r="F17" s="81"/>
      <c r="G17" s="17">
        <f t="shared" si="0"/>
        <v>0.34882565693260559</v>
      </c>
      <c r="H17" s="81"/>
      <c r="I17" s="21"/>
      <c r="J17" s="81"/>
      <c r="K17" s="524"/>
      <c r="L17" s="524"/>
      <c r="M17" s="524"/>
      <c r="N17" s="524"/>
      <c r="O17" s="524"/>
      <c r="P17" s="29"/>
      <c r="Q17" s="527"/>
      <c r="R17" s="508"/>
      <c r="S17" s="527"/>
      <c r="T17" s="524"/>
      <c r="U17" s="524"/>
      <c r="V17" s="524"/>
      <c r="W17" s="524"/>
      <c r="X17" s="524"/>
    </row>
    <row r="18" spans="1:24" x14ac:dyDescent="0.25">
      <c r="A18" s="736"/>
      <c r="B18" s="1" t="s">
        <v>28</v>
      </c>
      <c r="C18" s="17">
        <f>Bilans_E_AMS_Kyoto_run3_2033!D21</f>
        <v>0</v>
      </c>
      <c r="D18" s="81"/>
      <c r="E18" s="727">
        <f>C18*(1-[12]Offre_calc!$V$157)</f>
        <v>0</v>
      </c>
      <c r="F18" s="81"/>
      <c r="G18" s="17">
        <f t="shared" si="0"/>
        <v>0</v>
      </c>
      <c r="H18" s="81"/>
      <c r="I18" s="21"/>
      <c r="J18" s="81"/>
      <c r="K18" s="524"/>
      <c r="L18" s="524"/>
      <c r="M18" s="524"/>
      <c r="N18" s="524"/>
      <c r="O18" s="524"/>
      <c r="P18" s="29"/>
      <c r="Q18" s="527"/>
      <c r="R18" s="508"/>
      <c r="S18" s="527"/>
      <c r="T18" s="524"/>
      <c r="U18" s="524"/>
      <c r="V18" s="524"/>
      <c r="W18" s="524"/>
      <c r="X18" s="524"/>
    </row>
    <row r="19" spans="1:24" x14ac:dyDescent="0.25">
      <c r="A19" s="736"/>
      <c r="B19" s="1" t="s">
        <v>260</v>
      </c>
      <c r="C19" s="17">
        <f>Bilans_E_AMS_Kyoto_run3_2033!H21+Bilans_E_AMS_Kyoto_run3_2033!T21</f>
        <v>30.18998354898655</v>
      </c>
      <c r="D19" s="82"/>
      <c r="E19" s="727">
        <f>C19*(1-[12]Offre_calc!$V$160)</f>
        <v>12.075993419594621</v>
      </c>
      <c r="F19" s="82"/>
      <c r="G19" s="17">
        <f t="shared" si="0"/>
        <v>18.113990129391929</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f>G10/C10</f>
        <v>0.32953912314301842</v>
      </c>
      <c r="H20" s="499"/>
      <c r="I20" s="17"/>
      <c r="J20" s="1"/>
      <c r="K20" s="17"/>
      <c r="L20" s="1"/>
      <c r="M20" s="1"/>
      <c r="N20" s="1"/>
      <c r="O20" s="1"/>
      <c r="P20" s="1"/>
      <c r="Q20" s="499"/>
      <c r="R20" s="508"/>
      <c r="S20" s="408"/>
      <c r="T20" s="495"/>
      <c r="U20" s="408"/>
      <c r="V20" s="495"/>
      <c r="W20" s="408"/>
      <c r="X20" s="495"/>
    </row>
    <row r="21" spans="1:24" x14ac:dyDescent="0.25">
      <c r="A21" s="737" t="s">
        <v>13</v>
      </c>
      <c r="B21" s="1" t="s">
        <v>21</v>
      </c>
      <c r="C21" s="17">
        <f>Bilans_E_AMS_Kyoto_run3_2033!L23+Bilans_E_AMS_Kyoto_run3_2033!O12+Bilans_E_AMS_Kyoto_run3_2033!M23</f>
        <v>94.837715077200073</v>
      </c>
      <c r="D21" s="529"/>
      <c r="E21" s="33">
        <f>Bilans_E_AMS_Kyoto_run3_2033!U23+Bilans_E_AMS_Kyoto_run3_2033!O30</f>
        <v>47.398149076699035</v>
      </c>
      <c r="F21" s="529"/>
      <c r="G21" s="17">
        <f t="shared" ref="G21:G45" si="1">C21-E21</f>
        <v>47.439566000501038</v>
      </c>
      <c r="H21" s="529"/>
      <c r="I21" s="17"/>
      <c r="J21" s="529"/>
      <c r="K21" s="545">
        <f>Bilans_E_AMS_Kyoto_run3_2033!O31</f>
        <v>0.56952599323446806</v>
      </c>
      <c r="L21" s="545">
        <f>-(Bilans_E_AMS_Kyoto_run3_2033!O13+Bilans_E_AMS_Kyoto_run3_2033!O14+Bilans_E_AMS_Kyoto_run3_2033!O15+Bilans_E_AMS_Kyoto_run3_2033!O16)</f>
        <v>-4.2740846370952097</v>
      </c>
      <c r="M21" s="545">
        <f>Bilans_E_AMS_Kyoto_run3_2033!O28</f>
        <v>0</v>
      </c>
      <c r="N21" s="545">
        <f>Bilans_E_AMS_Kyoto_run3_2033!O22</f>
        <v>6.0065134029812235</v>
      </c>
      <c r="O21" s="545">
        <f>Bilans_E_AMS_Kyoto_run3_2033!O21</f>
        <v>9.8298837124563363</v>
      </c>
      <c r="P21" s="545">
        <f>C36</f>
        <v>0</v>
      </c>
      <c r="Q21" s="529"/>
      <c r="R21" s="508"/>
      <c r="S21" s="529"/>
      <c r="T21" s="529"/>
      <c r="U21" s="529"/>
      <c r="V21" s="529"/>
      <c r="W21" s="529"/>
      <c r="X21" s="529"/>
    </row>
    <row r="22" spans="1:24" x14ac:dyDescent="0.25">
      <c r="A22" s="737"/>
      <c r="B22" s="1" t="s">
        <v>519</v>
      </c>
      <c r="C22" s="17">
        <f>Bilans_E_AMS_Kyoto_run3_2033!T24</f>
        <v>0.64501520432602055</v>
      </c>
      <c r="D22" s="85">
        <f>SUM(C21:C24)</f>
        <v>336.09430254376315</v>
      </c>
      <c r="E22" s="630">
        <f>Bilans_E_AMS_Kyoto_run3_2033!I30+Bilans_E_AMS_Kyoto_run3_2033!U24</f>
        <v>0.18060425721128576</v>
      </c>
      <c r="F22" s="85">
        <f>SUM(E21:E24)</f>
        <v>60.144313607499114</v>
      </c>
      <c r="G22" s="17">
        <f t="shared" si="1"/>
        <v>0.4644109471147348</v>
      </c>
      <c r="H22" s="85">
        <f>SUM(G21:G24)</f>
        <v>275.94998893626405</v>
      </c>
      <c r="I22" s="408"/>
      <c r="J22" s="85">
        <f>H22-I22</f>
        <v>275.94998893626405</v>
      </c>
      <c r="K22" s="626">
        <f>Bilans_E_AMS_Kyoto_run3_2033!I31</f>
        <v>0</v>
      </c>
      <c r="L22" s="626">
        <f>-SUM(Bilans_E_AMS_Kyoto_run3_2033!I13:I16)</f>
        <v>0.4644109471147348</v>
      </c>
      <c r="M22" s="32"/>
      <c r="N22" s="534">
        <f>Bilans_E_AMS_Kyoto_run3_2033!I22</f>
        <v>0</v>
      </c>
      <c r="O22" s="32"/>
      <c r="P22" s="32"/>
      <c r="Q22" s="85">
        <f>J22-SUM(K21:P24)</f>
        <v>203.6928054924424</v>
      </c>
      <c r="R22" s="508">
        <f>Q22-S22</f>
        <v>0</v>
      </c>
      <c r="S22" s="85">
        <f>SUM(T22:X24)</f>
        <v>203.69280549244243</v>
      </c>
      <c r="T22" s="32">
        <f>Bilans_E_AMS_Kyoto_run3_2033!H38+Bilans_E_AMS_Kyoto_run3_2033!T38+Bilans_E_AMS_Kyoto_run3_2033!O$38+Bilans_E_AMS_Kyoto_run3_2033!I38</f>
        <v>1.8382900378130951</v>
      </c>
      <c r="U22" s="32">
        <f>Bilans_E_AMS_Kyoto_run3_2033!H34+Bilans_E_AMS_Kyoto_run3_2033!T34+Bilans_E_AMS_Kyoto_run3_2033!O$34+Bilans_E_AMS_Kyoto_run3_2033!I34</f>
        <v>78.885059853969935</v>
      </c>
      <c r="V22" s="32">
        <f>Bilans_E_AMS_Kyoto_run3_2033!H36+Bilans_E_AMS_Kyoto_run3_2033!T36+Bilans_E_AMS_Kyoto_run3_2033!O$36+Bilans_E_AMS_Kyoto_run3_2033!I36</f>
        <v>68.836177942743788</v>
      </c>
      <c r="W22" s="32">
        <f>Bilans_E_AMS_Kyoto_run3_2033!H37+Bilans_E_AMS_Kyoto_run3_2033!M37+Bilans_E_AMS_Kyoto_run3_2033!T37+Bilans_E_AMS_Kyoto_run3_2033!O$37+Bilans_E_AMS_Kyoto_run3_2033!I37</f>
        <v>45.066772843800052</v>
      </c>
      <c r="X22" s="32">
        <f>Bilans_E_AMS_Kyoto_run3_2033!H35+Bilans_E_AMS_Kyoto_run3_2033!T35+Bilans_E_AMS_Kyoto_run3_2033!O$35+Bilans_E_AMS_Kyoto_run3_2033!I35</f>
        <v>9.0665048141155644</v>
      </c>
    </row>
    <row r="23" spans="1:24" x14ac:dyDescent="0.25">
      <c r="A23" s="737"/>
      <c r="B23" s="1" t="s">
        <v>31</v>
      </c>
      <c r="C23" s="17">
        <f>SUM(Bilans_E_AMS_Kyoto_run3_2033!D28:S28)-C47</f>
        <v>25.395593728067769</v>
      </c>
      <c r="D23" s="530"/>
      <c r="E23" s="33">
        <f>Bilans_E_AMS_Kyoto_run3_2033!U28+Bilans_E_AMS_Kyoto_run3_2033!T30</f>
        <v>12.31619991375868</v>
      </c>
      <c r="F23" s="532"/>
      <c r="G23" s="17">
        <f t="shared" si="1"/>
        <v>13.079393814309089</v>
      </c>
      <c r="H23" s="532"/>
      <c r="I23" s="17"/>
      <c r="J23" s="532"/>
      <c r="K23" s="534">
        <f>Bilans_E_AMS_Kyoto_run3_2033!T31</f>
        <v>0</v>
      </c>
      <c r="L23" s="534">
        <f>-(Bilans_E_AMS_Kyoto_run3_2033!T13+Bilans_E_AMS_Kyoto_run3_2033!T14+Bilans_E_AMS_Kyoto_run3_2033!T15+Bilans_E_AMS_Kyoto_run3_2033!T16)</f>
        <v>0.86185876214866841</v>
      </c>
      <c r="M23" s="534">
        <f>Bilans_E_AMS_Kyoto_run3_2033!T24</f>
        <v>0.64501520432602055</v>
      </c>
      <c r="N23" s="534">
        <f>Bilans_E_AMS_Kyoto_run3_2033!T22</f>
        <v>0</v>
      </c>
      <c r="O23" s="534">
        <f>Bilans_E_AMS_Kyoto_run3_2033!T21</f>
        <v>0</v>
      </c>
      <c r="P23" s="534">
        <f>Bilans_E_AMS_Kyoto_run3_2033!T27</f>
        <v>3.8910477170770799</v>
      </c>
      <c r="Q23" s="532"/>
      <c r="R23" s="489"/>
      <c r="S23" s="532"/>
      <c r="T23" s="536"/>
      <c r="U23" s="536"/>
      <c r="V23" s="536"/>
      <c r="W23" s="536"/>
      <c r="X23" s="536"/>
    </row>
    <row r="24" spans="1:24" x14ac:dyDescent="0.25">
      <c r="A24" s="737"/>
      <c r="B24" s="1" t="s">
        <v>32</v>
      </c>
      <c r="C24" s="17">
        <f>Bilans_E_AMS_Kyoto_run3_2033!H18-C45-(Bilans_E_AMS_Kyoto_run3_2033!H20+Bilans_E_AMS_Kyoto_run3_2033!H19)</f>
        <v>215.2159785341693</v>
      </c>
      <c r="D24" s="531"/>
      <c r="E24" s="33">
        <f>Bilans_E_AMS_Kyoto_run3_2033!H30</f>
        <v>0.24936035983011146</v>
      </c>
      <c r="F24" s="533"/>
      <c r="G24" s="17">
        <f t="shared" si="1"/>
        <v>214.96661817433917</v>
      </c>
      <c r="H24" s="533"/>
      <c r="I24" s="34"/>
      <c r="J24" s="533"/>
      <c r="K24" s="535">
        <f>Bilans_E_AMS_Kyoto_run3_2033!H31</f>
        <v>2.5945073025125769</v>
      </c>
      <c r="L24" s="535"/>
      <c r="M24" s="535">
        <f>Bilans_E_AMS_Kyoto_run3_2033!H28</f>
        <v>0</v>
      </c>
      <c r="N24" s="535">
        <f>Bilans_E_AMS_Kyoto_run3_2033!H22</f>
        <v>21.478521490079181</v>
      </c>
      <c r="O24" s="535">
        <f>Bilans_E_AMS_Kyoto_run3_2033!H21</f>
        <v>30.18998354898655</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38" t="s">
        <v>14</v>
      </c>
      <c r="B26" s="1" t="s">
        <v>21</v>
      </c>
      <c r="C26" s="17">
        <f>Bilans_E_AMS_Kyoto_run3_2033!O22</f>
        <v>6.0065134029812235</v>
      </c>
      <c r="D26" s="512"/>
      <c r="E26" s="190">
        <f>C26*F$35</f>
        <v>0.57778025015716195</v>
      </c>
      <c r="F26" s="512"/>
      <c r="G26" s="33">
        <f t="shared" ref="G26:G31" si="2">C26-E26</f>
        <v>5.4287331528240612</v>
      </c>
      <c r="H26" s="512"/>
      <c r="I26" s="1"/>
      <c r="J26" s="512"/>
      <c r="K26" s="512"/>
      <c r="L26" s="512"/>
      <c r="M26" s="512"/>
      <c r="N26" s="512"/>
      <c r="O26" s="512"/>
      <c r="P26" s="512"/>
      <c r="Q26" s="512"/>
      <c r="R26" s="508"/>
      <c r="S26" s="512"/>
      <c r="T26" s="512"/>
      <c r="U26" s="512"/>
      <c r="V26" s="512"/>
      <c r="W26" s="512"/>
      <c r="X26" s="512"/>
    </row>
    <row r="27" spans="1:24" x14ac:dyDescent="0.25">
      <c r="A27" s="738"/>
      <c r="B27" s="1" t="s">
        <v>22</v>
      </c>
      <c r="C27" s="17">
        <f>Bilans_E_AMS_Kyoto_run3_2033!M18-(Bilans_E_AMS_Kyoto_run3_2033!M21+Bilans_E_AMS_Kyoto_run3_2033!M23+Bilans_E_AMS_Kyoto_run3_2033!M26+Bilans_E_AMS_Kyoto_run3_2033!M34)-(Bilans_E_AMS_Kyoto_run3_2033!S20+Bilans_E_AMS_Kyoto_run3_2033!S19+Bilans_E_AMS_Kyoto_run3_2033!M20+Bilans_E_AMS_Kyoto_run3_2033!M19)</f>
        <v>17.94567826451226</v>
      </c>
      <c r="D27" s="87"/>
      <c r="E27" s="190">
        <f t="shared" ref="E27:E34" si="3">C27*F$35</f>
        <v>1.7262358012492811</v>
      </c>
      <c r="F27" s="87"/>
      <c r="G27" s="33">
        <f t="shared" si="2"/>
        <v>16.219442463262979</v>
      </c>
      <c r="H27" s="87"/>
      <c r="I27" s="500"/>
      <c r="J27" s="87"/>
      <c r="K27" s="87"/>
      <c r="L27" s="87"/>
      <c r="M27" s="87"/>
      <c r="N27" s="87"/>
      <c r="O27" s="87"/>
      <c r="P27" s="87"/>
      <c r="Q27" s="87"/>
      <c r="R27" s="508"/>
      <c r="S27" s="87"/>
      <c r="T27" s="87"/>
      <c r="U27" s="87"/>
      <c r="V27" s="87"/>
      <c r="W27" s="87"/>
      <c r="X27" s="87"/>
    </row>
    <row r="28" spans="1:24" x14ac:dyDescent="0.25">
      <c r="A28" s="738"/>
      <c r="B28" s="1" t="s">
        <v>612</v>
      </c>
      <c r="C28" s="17">
        <f>Bilans_E_AMS_Kyoto_run3_2033!J22</f>
        <v>0</v>
      </c>
      <c r="D28" s="87"/>
      <c r="E28" s="190">
        <f t="shared" si="3"/>
        <v>0</v>
      </c>
      <c r="F28" s="87"/>
      <c r="G28" s="33">
        <f>C28-E28</f>
        <v>0</v>
      </c>
      <c r="H28" s="87"/>
      <c r="I28" s="1"/>
      <c r="J28" s="87"/>
      <c r="K28" s="87"/>
      <c r="L28" s="87"/>
      <c r="M28" s="87"/>
      <c r="N28" s="87"/>
      <c r="O28" s="87"/>
      <c r="P28" s="87"/>
      <c r="Q28" s="87"/>
      <c r="R28" s="508"/>
      <c r="S28" s="87"/>
      <c r="T28" s="87"/>
      <c r="U28" s="87"/>
      <c r="V28" s="87"/>
      <c r="W28" s="87"/>
      <c r="X28" s="87"/>
    </row>
    <row r="29" spans="1:24" x14ac:dyDescent="0.25">
      <c r="A29" s="738"/>
      <c r="B29" s="1" t="s">
        <v>23</v>
      </c>
      <c r="C29" s="17">
        <f>Bilans_E_AMS_Kyoto_run3_2033!L22</f>
        <v>25.278971287489433</v>
      </c>
      <c r="D29" s="87"/>
      <c r="E29" s="190">
        <f t="shared" si="3"/>
        <v>2.4316420149752922</v>
      </c>
      <c r="F29" s="87"/>
      <c r="G29" s="33">
        <f t="shared" si="2"/>
        <v>22.847329272514141</v>
      </c>
      <c r="H29" s="87"/>
      <c r="I29" s="1"/>
      <c r="J29" s="87"/>
      <c r="K29" s="87"/>
      <c r="L29" s="87"/>
      <c r="M29" s="87"/>
      <c r="N29" s="87"/>
      <c r="O29" s="87"/>
      <c r="P29" s="87"/>
      <c r="Q29" s="87"/>
      <c r="R29" s="508"/>
      <c r="S29" s="87"/>
      <c r="T29" s="87"/>
      <c r="U29" s="87"/>
      <c r="V29" s="87"/>
      <c r="W29" s="87"/>
      <c r="X29" s="87"/>
    </row>
    <row r="30" spans="1:24" x14ac:dyDescent="0.25">
      <c r="A30" s="738"/>
      <c r="B30" s="1" t="s">
        <v>24</v>
      </c>
      <c r="C30" s="17">
        <f>Bilans_E_AMS_Kyoto_run3_2033!Q22</f>
        <v>12.465752150616991</v>
      </c>
      <c r="D30" s="86">
        <f>SUM(C26:C34)</f>
        <v>93.592995751828624</v>
      </c>
      <c r="E30" s="190">
        <f t="shared" si="3"/>
        <v>1.1991091857725402</v>
      </c>
      <c r="F30" s="86">
        <f>Bilans_E_AMS_Kyoto_run3_2033!U22</f>
        <v>9.0029241375887068</v>
      </c>
      <c r="G30" s="33">
        <f t="shared" si="2"/>
        <v>11.266642964844451</v>
      </c>
      <c r="H30" s="86">
        <f>SUM(G26:G34)</f>
        <v>84.590071614239932</v>
      </c>
      <c r="I30" s="1"/>
      <c r="J30" s="86">
        <f>H30</f>
        <v>84.590071614239932</v>
      </c>
      <c r="K30" s="87">
        <f>Bilans_E_AMS_Kyoto_run3_2033!S31</f>
        <v>6.5593635854558805</v>
      </c>
      <c r="L30" s="87"/>
      <c r="M30" s="87">
        <f>Bilans_E_AMS_Kyoto_run3_2033!M28</f>
        <v>0</v>
      </c>
      <c r="N30" s="87"/>
      <c r="O30" s="87"/>
      <c r="P30" s="87"/>
      <c r="Q30" s="86">
        <f>J30-K30-L30-M30-N30-O30-P30</f>
        <v>78.030708028784048</v>
      </c>
      <c r="R30" s="508">
        <f>Q30-S30</f>
        <v>3.0274051582068751E-5</v>
      </c>
      <c r="S30" s="86">
        <f>SUM(T27:X34)</f>
        <v>78.030677754732466</v>
      </c>
      <c r="T30" s="87">
        <f>Bilans_E_AMS_Kyoto_run3_2033!S$38</f>
        <v>0</v>
      </c>
      <c r="U30" s="87">
        <f>Bilans_E_AMS_Kyoto_run3_2033!S$34</f>
        <v>19.594153264133379</v>
      </c>
      <c r="V30" s="87">
        <f>Bilans_E_AMS_Kyoto_run3_2033!S$36</f>
        <v>35.751867080837265</v>
      </c>
      <c r="W30" s="87">
        <f>Bilans_E_AMS_Kyoto_run3_2033!S$37</f>
        <v>22.684657409761833</v>
      </c>
      <c r="X30" s="87">
        <f>Bilans_E_AMS_Kyoto_run3_2033!S$35</f>
        <v>0</v>
      </c>
    </row>
    <row r="31" spans="1:24" x14ac:dyDescent="0.25">
      <c r="A31" s="738"/>
      <c r="B31" s="1" t="s">
        <v>611</v>
      </c>
      <c r="C31" s="17">
        <f>Bilans_E_AMS_Kyoto_run3_2033!P22</f>
        <v>10.417559156149544</v>
      </c>
      <c r="D31" s="86"/>
      <c r="E31" s="190">
        <f t="shared" si="3"/>
        <v>1.0020888211586552</v>
      </c>
      <c r="F31" s="86"/>
      <c r="G31" s="33">
        <f t="shared" si="2"/>
        <v>9.4154703349908893</v>
      </c>
      <c r="H31" s="86"/>
      <c r="I31" s="1"/>
      <c r="J31" s="517"/>
      <c r="K31" s="87"/>
      <c r="L31" s="87"/>
      <c r="M31" s="87"/>
      <c r="N31" s="87"/>
      <c r="O31" s="87"/>
      <c r="P31" s="87"/>
      <c r="Q31" s="517"/>
      <c r="R31" s="508"/>
      <c r="S31" s="519"/>
      <c r="T31" s="521"/>
      <c r="U31" s="521"/>
      <c r="V31" s="521"/>
      <c r="W31" s="521"/>
      <c r="X31" s="521"/>
    </row>
    <row r="32" spans="1:24" x14ac:dyDescent="0.25">
      <c r="A32" s="738"/>
      <c r="B32" s="1" t="s">
        <v>29</v>
      </c>
      <c r="C32" s="17">
        <f>Bilans_E_AMS_Kyoto_run3_2033!H22+Bilans_E_AMS_Kyoto_run3_2033!I22</f>
        <v>21.478521490079181</v>
      </c>
      <c r="D32" s="86"/>
      <c r="E32" s="190">
        <f t="shared" si="3"/>
        <v>2.0660680642757776</v>
      </c>
      <c r="F32" s="86"/>
      <c r="G32" s="33">
        <f>C32-E32</f>
        <v>19.412453425803402</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f>Bilans_E_AMS_Kyoto_run3_2033!F22</f>
        <v>0</v>
      </c>
      <c r="D33" s="86"/>
      <c r="E33" s="190">
        <f t="shared" si="3"/>
        <v>0</v>
      </c>
      <c r="F33" s="86"/>
      <c r="G33" s="33">
        <f t="shared" ref="G33:G34" si="4">C33-E33</f>
        <v>0</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f>Bilans_E_AMS_Kyoto_run3_2033!D22</f>
        <v>0</v>
      </c>
      <c r="D34" s="88"/>
      <c r="E34" s="190">
        <f t="shared" si="3"/>
        <v>0</v>
      </c>
      <c r="F34" s="88"/>
      <c r="G34" s="33">
        <f t="shared" si="4"/>
        <v>0</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f>F30/D30</f>
        <v>9.6192285173357192E-2</v>
      </c>
      <c r="G35" s="17"/>
      <c r="H35" s="501"/>
      <c r="I35" s="1"/>
      <c r="J35" s="1"/>
      <c r="K35" s="1"/>
      <c r="L35" s="1"/>
      <c r="M35" s="1"/>
      <c r="N35" s="1"/>
      <c r="O35" s="1"/>
      <c r="P35" s="1"/>
      <c r="Q35" s="502"/>
      <c r="R35" s="508"/>
      <c r="U35" s="33"/>
      <c r="V35" s="33"/>
      <c r="W35" s="33"/>
    </row>
    <row r="36" spans="1:26" x14ac:dyDescent="0.25">
      <c r="A36" s="739" t="s">
        <v>34</v>
      </c>
      <c r="B36" s="1" t="s">
        <v>21</v>
      </c>
      <c r="C36" s="33">
        <f>E55</f>
        <v>0</v>
      </c>
      <c r="D36" s="538"/>
      <c r="E36" s="17"/>
      <c r="F36" s="538"/>
      <c r="G36" s="17">
        <f t="shared" ref="G36:G42" si="5">C36-E36</f>
        <v>0</v>
      </c>
      <c r="H36" s="538"/>
      <c r="I36" s="35"/>
      <c r="J36" s="37"/>
      <c r="K36" s="35"/>
      <c r="L36" s="35"/>
      <c r="M36" s="35"/>
      <c r="N36" s="35"/>
      <c r="O36" s="35"/>
      <c r="P36" s="35"/>
      <c r="Q36" s="540"/>
      <c r="R36" s="508"/>
      <c r="S36" s="538"/>
      <c r="T36" s="503">
        <v>0</v>
      </c>
      <c r="U36" s="503">
        <v>0</v>
      </c>
      <c r="V36" s="503">
        <v>0</v>
      </c>
      <c r="W36" s="503">
        <v>0</v>
      </c>
      <c r="X36" s="503">
        <v>0</v>
      </c>
      <c r="Y36" s="489">
        <f>SUM(T36:X36)</f>
        <v>0</v>
      </c>
      <c r="Z36" s="489">
        <f>G36-Y36</f>
        <v>0</v>
      </c>
    </row>
    <row r="37" spans="1:26" x14ac:dyDescent="0.25">
      <c r="A37" s="739"/>
      <c r="B37" s="1" t="s">
        <v>23</v>
      </c>
      <c r="C37" s="33">
        <f>SUM(T37:X37)+E58</f>
        <v>105.64872891576877</v>
      </c>
      <c r="D37" s="539"/>
      <c r="E37" s="504"/>
      <c r="F37" s="539"/>
      <c r="G37" s="17">
        <f t="shared" si="5"/>
        <v>105.64872891576877</v>
      </c>
      <c r="H37" s="539"/>
      <c r="I37" s="498"/>
      <c r="J37" s="37"/>
      <c r="K37" s="35"/>
      <c r="L37" s="35"/>
      <c r="M37" s="505"/>
      <c r="N37" s="35"/>
      <c r="P37" s="35"/>
      <c r="Q37" s="541"/>
      <c r="R37" s="508"/>
      <c r="S37" s="539"/>
      <c r="T37" s="506">
        <f>Bilans_E_AMS_Kyoto_run3_2033!L38</f>
        <v>12.365635061857649</v>
      </c>
      <c r="U37" s="93">
        <f>Bilans_E_AMS_Kyoto_run3_2033!L34</f>
        <v>39.297286819626784</v>
      </c>
      <c r="V37" s="506">
        <f>Bilans_E_AMS_Kyoto_run3_2033!L36</f>
        <v>53.14163083232755</v>
      </c>
      <c r="W37" s="507">
        <f>Bilans_E_AMS_Kyoto_run3_2033!L37</f>
        <v>0.62415819926103555</v>
      </c>
      <c r="X37" s="506">
        <f>Bilans_E_AMS_Kyoto_run3_2033!L35</f>
        <v>0</v>
      </c>
      <c r="Y37" s="489">
        <f t="shared" ref="Y37:Y47" si="6">SUM(T37:X37)</f>
        <v>105.42871091307302</v>
      </c>
      <c r="Z37" s="489">
        <f t="shared" ref="Z37:Z44" si="7">G37-Y37</f>
        <v>0.22001800269575256</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f>SUM(G36:G41)-E55-E56-E58-L41-L36</f>
        <v>307.00420835783314</v>
      </c>
      <c r="R38" s="508"/>
      <c r="S38" s="539"/>
      <c r="T38" s="84">
        <v>0</v>
      </c>
      <c r="U38" s="83">
        <v>0</v>
      </c>
      <c r="V38" s="84">
        <v>0</v>
      </c>
      <c r="W38" s="91">
        <v>0</v>
      </c>
      <c r="X38" s="91">
        <v>0</v>
      </c>
      <c r="Y38" s="489">
        <f t="shared" si="6"/>
        <v>0</v>
      </c>
      <c r="Z38" s="489">
        <f t="shared" si="7"/>
        <v>0</v>
      </c>
    </row>
    <row r="39" spans="1:26" x14ac:dyDescent="0.25">
      <c r="A39" s="739"/>
      <c r="B39" s="1" t="s">
        <v>35</v>
      </c>
      <c r="C39" s="33">
        <f>SUM(T39:X39)</f>
        <v>15.181342069967958</v>
      </c>
      <c r="D39" s="539"/>
      <c r="E39" s="35"/>
      <c r="F39" s="539"/>
      <c r="G39" s="17">
        <f t="shared" si="5"/>
        <v>15.181342069967958</v>
      </c>
      <c r="H39" s="539"/>
      <c r="I39" s="35"/>
      <c r="J39" s="37"/>
      <c r="K39" s="35"/>
      <c r="L39" s="35"/>
      <c r="M39" s="37"/>
      <c r="N39" s="35"/>
      <c r="O39" s="35"/>
      <c r="P39" s="35"/>
      <c r="Q39" s="541"/>
      <c r="R39" s="508"/>
      <c r="S39" s="539"/>
      <c r="T39" s="84">
        <f>Bilans_E_AMS_Kyoto_run3_2033!Q38</f>
        <v>0.82781531321025892</v>
      </c>
      <c r="U39" s="83">
        <f>Bilans_E_AMS_Kyoto_run3_2033!Q34</f>
        <v>6.3863689419622622E-4</v>
      </c>
      <c r="V39" s="84">
        <f>Bilans_E_AMS_Kyoto_run3_2033!Q36</f>
        <v>7.3206839966503274</v>
      </c>
      <c r="W39" s="91">
        <f>Bilans_E_AMS_Kyoto_run3_2033!Q37</f>
        <v>7.0322041232131749</v>
      </c>
      <c r="X39" s="91">
        <f>Bilans_E_AMS_Kyoto_run3_2033!Q35</f>
        <v>0</v>
      </c>
      <c r="Y39" s="489">
        <f t="shared" si="6"/>
        <v>15.181342069967958</v>
      </c>
      <c r="Z39" s="489">
        <f t="shared" si="7"/>
        <v>0</v>
      </c>
    </row>
    <row r="40" spans="1:26" x14ac:dyDescent="0.25">
      <c r="A40" s="739"/>
      <c r="B40" s="1" t="s">
        <v>36</v>
      </c>
      <c r="C40" s="33">
        <f>Bilans_E_AMS_Kyoto_run3_2033!P12-Bilans_E_AMS_Kyoto_run3_2033!P22</f>
        <v>141.04542470806211</v>
      </c>
      <c r="D40" s="539"/>
      <c r="E40" s="35"/>
      <c r="F40" s="539"/>
      <c r="G40" s="17">
        <f t="shared" si="5"/>
        <v>141.04542470806211</v>
      </c>
      <c r="H40" s="539"/>
      <c r="I40" s="35"/>
      <c r="J40" s="37"/>
      <c r="K40" s="35"/>
      <c r="L40" s="35"/>
      <c r="M40" s="37"/>
      <c r="N40" s="35"/>
      <c r="O40" s="35"/>
      <c r="P40" s="35"/>
      <c r="Q40" s="541"/>
      <c r="R40" s="508"/>
      <c r="S40" s="539"/>
      <c r="T40" s="83">
        <f>Bilans_E_AMS_Kyoto_run3_2033!P$38</f>
        <v>0.65</v>
      </c>
      <c r="U40" s="83">
        <f>Bilans_E_AMS_Kyoto_run3_2033!P$34</f>
        <v>6.7746367187500001</v>
      </c>
      <c r="V40" s="83">
        <f>Bilans_E_AMS_Kyoto_run3_2033!P$36</f>
        <v>95.189251128952151</v>
      </c>
      <c r="W40" s="83">
        <f>Bilans_E_AMS_Kyoto_run3_2033!P$37</f>
        <v>38.431536860359955</v>
      </c>
      <c r="X40" s="84">
        <f>Bilans_E_AMS_Kyoto_run3_2033!P$35</f>
        <v>0</v>
      </c>
      <c r="Y40" s="489">
        <f t="shared" si="6"/>
        <v>141.04542470806211</v>
      </c>
      <c r="Z40" s="489">
        <f t="shared" si="7"/>
        <v>0</v>
      </c>
    </row>
    <row r="41" spans="1:26" x14ac:dyDescent="0.25">
      <c r="A41" s="739"/>
      <c r="B41" s="1" t="s">
        <v>37</v>
      </c>
      <c r="C41" s="33">
        <f>Bilans_E_AMS_Kyoto_run3_2033!N12+Bilans_E_AMS_Kyoto_run3_2033!L26+Bilans_E_AMS_Kyoto_run3_2033!M26-Bilans_E_AMS_Kyoto_run3_2033!N21+Bilans_E_AMS_Kyoto_run3_2033!T27</f>
        <v>86.069980337067989</v>
      </c>
      <c r="D41" s="191">
        <f>SUM(C36:C47)</f>
        <v>819.66107789323212</v>
      </c>
      <c r="E41" s="511">
        <f>Bilans_E_AMS_Kyoto_run3_2033!U27+Bilans_E_AMS_Kyoto_run3_2033!U26</f>
        <v>40.01234557713552</v>
      </c>
      <c r="F41" s="191">
        <f>SUM(E36:E47)</f>
        <v>60.126207161221444</v>
      </c>
      <c r="G41" s="17">
        <f t="shared" si="5"/>
        <v>46.057634759932469</v>
      </c>
      <c r="H41" s="191">
        <f>SUM(G36:G47)</f>
        <v>759.53487073201075</v>
      </c>
      <c r="I41" s="35"/>
      <c r="J41" s="37"/>
      <c r="K41" s="35"/>
      <c r="L41" s="37">
        <f>-(SUM(Bilans_E_AMS_Kyoto_run3_2033!N13:N16)+SUM(Bilans_E_AMS_Kyoto_run3_2033!G13:G16))</f>
        <v>-1.4311618353803395</v>
      </c>
      <c r="M41" s="35"/>
      <c r="N41" s="35"/>
      <c r="O41" s="35"/>
      <c r="P41" s="35"/>
      <c r="Q41" s="541"/>
      <c r="R41" s="508">
        <f>SUM(Q36:Q47)-S41</f>
        <v>0</v>
      </c>
      <c r="S41" s="191">
        <f>SUM(T36:X46)</f>
        <v>616.93052142288559</v>
      </c>
      <c r="T41" s="83">
        <f>Bilans_E_AMS_Kyoto_run3_2033!N$38+Bilans_E_AMS_Kyoto_run3_2033!G$38</f>
        <v>5.004323315399402</v>
      </c>
      <c r="U41" s="83">
        <f>Bilans_E_AMS_Kyoto_run3_2033!N$34+Bilans_E_AMS_Kyoto_run3_2033!G$34</f>
        <v>0.93232860735581835</v>
      </c>
      <c r="V41" s="83">
        <f>Bilans_E_AMS_Kyoto_run3_2033!N$36+Bilans_E_AMS_Kyoto_run3_2033!G$36</f>
        <v>0</v>
      </c>
      <c r="W41" s="83">
        <f>Bilans_E_AMS_Kyoto_run3_2033!N$37+Bilans_E_AMS_Kyoto_run3_2033!G$37</f>
        <v>0</v>
      </c>
      <c r="X41" s="84">
        <f>Bilans_E_AMS_Kyoto_run3_2033!N$35+Bilans_E_AMS_Kyoto_run3_2033!G$35</f>
        <v>39.412078743974838</v>
      </c>
      <c r="Y41" s="489">
        <f t="shared" si="6"/>
        <v>45.348730666730056</v>
      </c>
      <c r="Z41" s="489">
        <f>G41-Y41-L41</f>
        <v>2.1400659285827528</v>
      </c>
    </row>
    <row r="42" spans="1:26" x14ac:dyDescent="0.25">
      <c r="A42" s="739"/>
      <c r="B42" s="1" t="s">
        <v>38</v>
      </c>
      <c r="C42" s="33">
        <f>Bilans_E_AMS_Kyoto_run3_2033!E18+Bilans_E_AMS_Kyoto_run3_2033!F18-Bilans_E_AMS_Kyoto_run3_2033!F21-Bilans_E_AMS_Kyoto_run3_2033!F22-E54-SUM(T43:X43)-(Bilans_E_AMS_Kyoto_run3_2033!E20+Bilans_E_AMS_Kyoto_run3_2033!F20+Bilans_E_AMS_Kyoto_run3_2033!E19+Bilans_E_AMS_Kyoto_run3_2033!F19)</f>
        <v>278.06491552737799</v>
      </c>
      <c r="D42" s="539"/>
      <c r="E42" s="17">
        <f>Bilans_E_AMS_Kyoto_run3_2033!F30+Bilans_E_AMS_Kyoto_run3_2033!U25+Bilans_E_AMS_Kyoto_run3_2033!F29+Bilans_E_AMS_Kyoto_run3_2033!E29</f>
        <v>20.113861584085928</v>
      </c>
      <c r="F42" s="539"/>
      <c r="G42" s="17">
        <f t="shared" si="5"/>
        <v>257.95105394329204</v>
      </c>
      <c r="H42" s="539"/>
      <c r="I42" s="498"/>
      <c r="J42" s="37"/>
      <c r="K42" s="35"/>
      <c r="L42" s="35"/>
      <c r="M42" s="35"/>
      <c r="N42" s="35"/>
      <c r="O42" s="35"/>
      <c r="P42" s="35"/>
      <c r="Q42" s="36">
        <f>G42</f>
        <v>257.95105394329204</v>
      </c>
      <c r="R42" s="508"/>
      <c r="S42" s="539"/>
      <c r="T42" s="83">
        <v>0</v>
      </c>
      <c r="U42" s="83">
        <v>0</v>
      </c>
      <c r="V42" s="83">
        <v>0</v>
      </c>
      <c r="W42" s="83">
        <v>0</v>
      </c>
      <c r="X42" s="84">
        <f>Bilans_E_AMS_Kyoto_run3_2033!F35</f>
        <v>257.95105394329198</v>
      </c>
      <c r="Y42" s="489">
        <f t="shared" si="6"/>
        <v>257.95105394329198</v>
      </c>
      <c r="Z42" s="489">
        <f>Q42-SUM(T42:X42)</f>
        <v>0</v>
      </c>
    </row>
    <row r="43" spans="1:26" x14ac:dyDescent="0.25">
      <c r="A43" s="739"/>
      <c r="B43" s="1" t="s">
        <v>39</v>
      </c>
      <c r="C43" s="33">
        <f>Bilans_E_AMS_Kyoto_run3_2033!F41+SUM(T43:X43)</f>
        <v>152.55250436737396</v>
      </c>
      <c r="D43" s="539"/>
      <c r="E43" s="38"/>
      <c r="F43" s="539"/>
      <c r="G43" s="17">
        <f>C43-E43</f>
        <v>152.55250436737396</v>
      </c>
      <c r="H43" s="539"/>
      <c r="I43" s="35"/>
      <c r="J43" s="37"/>
      <c r="K43" s="35"/>
      <c r="L43" s="35"/>
      <c r="M43" s="35"/>
      <c r="N43" s="35"/>
      <c r="O43" s="35"/>
      <c r="P43" s="35"/>
      <c r="Q43" s="36">
        <f>G43-Bilans_E_AMS_Kyoto_run3_2033!F41</f>
        <v>41.4377931555168</v>
      </c>
      <c r="R43" s="508"/>
      <c r="S43" s="539"/>
      <c r="T43" s="83">
        <f>Bilans_E_AMS_Kyoto_run3_2033!F38</f>
        <v>25.562238728089401</v>
      </c>
      <c r="U43" s="83">
        <f>Bilans_E_AMS_Kyoto_run3_2033!F34</f>
        <v>8.6275641405514261</v>
      </c>
      <c r="V43" s="83">
        <f>Bilans_E_AMS_Kyoto_run3_2033!F36</f>
        <v>4.4871361996085151</v>
      </c>
      <c r="W43" s="83">
        <f>Bilans_E_AMS_Kyoto_run3_2033!F37</f>
        <v>2.7608540872674436</v>
      </c>
      <c r="X43" s="84">
        <v>0</v>
      </c>
      <c r="Y43" s="489">
        <f t="shared" si="6"/>
        <v>41.437793155516786</v>
      </c>
      <c r="Z43" s="489">
        <f>Q43-SUM(T43:X43)</f>
        <v>0</v>
      </c>
    </row>
    <row r="44" spans="1:26" x14ac:dyDescent="0.25">
      <c r="A44" s="739"/>
      <c r="B44" s="1" t="s">
        <v>40</v>
      </c>
      <c r="C44" s="33">
        <f>SUM(T44:X44)</f>
        <v>9.815547509212319</v>
      </c>
      <c r="D44" s="539"/>
      <c r="E44" s="38"/>
      <c r="F44" s="539"/>
      <c r="G44" s="17">
        <f t="shared" si="1"/>
        <v>9.815547509212319</v>
      </c>
      <c r="H44" s="539"/>
      <c r="I44" s="35"/>
      <c r="J44" s="37"/>
      <c r="K44" s="35"/>
      <c r="L44" s="35"/>
      <c r="M44" s="35"/>
      <c r="N44" s="35"/>
      <c r="O44" s="35"/>
      <c r="P44" s="35"/>
      <c r="Q44" s="36">
        <f>G44-Bilans_E_AMS_Kyoto_run3_2033!M41</f>
        <v>9.815547509212319</v>
      </c>
      <c r="R44" s="498"/>
      <c r="S44" s="539"/>
      <c r="T44" s="83">
        <f>Bilans_E_AMS_Kyoto_run3_2033!M$38</f>
        <v>0</v>
      </c>
      <c r="U44" s="83">
        <f>Bilans_E_AMS_Kyoto_run3_2033!M$34</f>
        <v>9.815547509212319</v>
      </c>
      <c r="V44" s="83">
        <f>Bilans_E_AMS_Kyoto_run3_2033!M$36</f>
        <v>0</v>
      </c>
      <c r="W44" s="83">
        <f>Bilans_E_AMS_Kyoto_run3_2033!M$37</f>
        <v>0</v>
      </c>
      <c r="X44" s="84">
        <f>Bilans_E_AMS_Kyoto_run3_2033!M$35</f>
        <v>0</v>
      </c>
      <c r="Y44" s="489">
        <f t="shared" si="6"/>
        <v>9.815547509212319</v>
      </c>
      <c r="Z44" s="489">
        <f t="shared" si="7"/>
        <v>0</v>
      </c>
    </row>
    <row r="45" spans="1:26" x14ac:dyDescent="0.25">
      <c r="A45" s="739"/>
      <c r="B45" s="1" t="s">
        <v>41</v>
      </c>
      <c r="C45" s="33">
        <f>E53</f>
        <v>13.201723871248829</v>
      </c>
      <c r="D45" s="539"/>
      <c r="E45" s="38"/>
      <c r="F45" s="539"/>
      <c r="G45" s="17">
        <f t="shared" si="1"/>
        <v>13.201723871248829</v>
      </c>
      <c r="H45" s="539"/>
      <c r="I45" s="35"/>
      <c r="J45" s="37"/>
      <c r="K45" s="35"/>
      <c r="L45" s="35"/>
      <c r="M45" s="35"/>
      <c r="N45" s="35"/>
      <c r="O45" s="35"/>
      <c r="P45" s="35"/>
      <c r="Q45" s="36">
        <f>G45-Bilans_E_AMS_Kyoto_run3_2033!H41</f>
        <v>0</v>
      </c>
      <c r="R45" s="498"/>
      <c r="S45" s="539"/>
      <c r="T45" s="84">
        <v>0</v>
      </c>
      <c r="U45" s="83">
        <v>0</v>
      </c>
      <c r="V45" s="84">
        <v>0</v>
      </c>
      <c r="W45" s="92">
        <v>0</v>
      </c>
      <c r="X45" s="84">
        <v>0</v>
      </c>
      <c r="Y45" s="489">
        <f t="shared" si="6"/>
        <v>0</v>
      </c>
      <c r="Z45" s="489">
        <f>Q45-Y45</f>
        <v>0</v>
      </c>
    </row>
    <row r="46" spans="1:26" x14ac:dyDescent="0.25">
      <c r="A46" s="739"/>
      <c r="B46" s="1" t="s">
        <v>42</v>
      </c>
      <c r="C46" s="33">
        <f>Bilans_E_AMS_Kyoto_run3_2033!D18-C18-C34</f>
        <v>16.733972167968751</v>
      </c>
      <c r="D46" s="539"/>
      <c r="E46" s="511"/>
      <c r="F46" s="539"/>
      <c r="G46" s="17">
        <f>C46-E46</f>
        <v>16.733972167968751</v>
      </c>
      <c r="H46" s="539"/>
      <c r="I46" s="38"/>
      <c r="J46" s="37"/>
      <c r="K46" s="35"/>
      <c r="L46" s="35"/>
      <c r="M46" s="35"/>
      <c r="N46" s="35"/>
      <c r="O46" s="35"/>
      <c r="P46" s="35"/>
      <c r="Q46" s="36">
        <f>G46-(Bilans_E_AMS_Kyoto_run3_2033!D41+Bilans_E_AMS_Kyoto_run3_2033!D29+Bilans_E_AMS_Kyoto_run3_2033!D30)</f>
        <v>0.72191845703125068</v>
      </c>
      <c r="R46" s="498"/>
      <c r="S46" s="539"/>
      <c r="T46" s="506">
        <f>Bilans_E_AMS_Kyoto_run3_2033!D38</f>
        <v>0</v>
      </c>
      <c r="U46" s="93">
        <f>Bilans_E_AMS_Kyoto_run3_2033!D34</f>
        <v>0.72191845703125002</v>
      </c>
      <c r="V46" s="506">
        <f>Bilans_E_AMS_Kyoto_run3_2033!D36</f>
        <v>0</v>
      </c>
      <c r="W46" s="507">
        <f>Bilans_E_AMS_Kyoto_run3_2033!D37</f>
        <v>0</v>
      </c>
      <c r="X46" s="506">
        <f>Bilans_E_AMS_Kyoto_run3_2033!D35</f>
        <v>0</v>
      </c>
      <c r="Y46" s="489">
        <f t="shared" si="6"/>
        <v>0.72191845703125002</v>
      </c>
      <c r="Z46" s="489">
        <f>Q46-Y46</f>
        <v>0</v>
      </c>
    </row>
    <row r="47" spans="1:26" x14ac:dyDescent="0.25">
      <c r="A47" s="90"/>
      <c r="B47" s="1" t="s">
        <v>31</v>
      </c>
      <c r="C47" s="33">
        <f>E57</f>
        <v>1.3469384191833629</v>
      </c>
      <c r="D47" s="192"/>
      <c r="E47" s="511"/>
      <c r="F47" s="192"/>
      <c r="G47" s="17">
        <f>C47-E47</f>
        <v>1.3469384191833629</v>
      </c>
      <c r="H47" s="192"/>
      <c r="I47" s="38"/>
      <c r="J47" s="37"/>
      <c r="K47" s="35"/>
      <c r="L47" s="35"/>
      <c r="M47" s="35"/>
      <c r="N47" s="35"/>
      <c r="O47" s="35"/>
      <c r="P47" s="35"/>
      <c r="Q47" s="542">
        <f>G47-Bilans_E_AMS_Kyoto_run3_2033!T41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C5-L13-SUM(L21:L24)-L30-L41-Bilans_E_AMS_Kyoto_run3_2033!U18</f>
        <v>0</v>
      </c>
      <c r="D49" s="1"/>
      <c r="E49" s="34">
        <f>SUM(E7:E47)+I13-Bilans_E_AMS_Kyoto_run3_2033!U32+K13+SUM(K21:K24)+K30+Bilans_E_AMS_Kyoto_run3_2033!D29+Bilans_E_AMS_Kyoto_run3_2033!D30</f>
        <v>-1.1812772982011666E-13</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553.41455672423763</v>
      </c>
    </row>
    <row r="52" spans="1:19" x14ac:dyDescent="0.25">
      <c r="A52" s="21"/>
      <c r="B52" s="1" t="s">
        <v>44</v>
      </c>
      <c r="C52" s="44"/>
      <c r="D52" s="1"/>
      <c r="E52" s="39">
        <f>Bilans_E_AMS_Kyoto_run3_2033!D41+Bilans_E_AMS_Kyoto_run3_2033!D29+Bilans_E_AMS_Kyoto_run3_2033!D30</f>
        <v>16.012053710937501</v>
      </c>
      <c r="F52" s="187"/>
      <c r="G52" s="1"/>
      <c r="H52" s="1"/>
      <c r="I52" s="30"/>
      <c r="J52" s="17"/>
      <c r="K52" s="17"/>
      <c r="L52" s="21"/>
      <c r="M52" s="1"/>
      <c r="N52" s="17"/>
      <c r="O52" s="17"/>
      <c r="P52" s="17"/>
      <c r="Q52" s="1"/>
      <c r="S52" s="33"/>
    </row>
    <row r="53" spans="1:19" x14ac:dyDescent="0.25">
      <c r="A53" s="21"/>
      <c r="B53" s="1" t="s">
        <v>41</v>
      </c>
      <c r="C53" s="45"/>
      <c r="D53" s="17"/>
      <c r="E53" s="433">
        <f>Bilans_E_AMS_Kyoto_run3_2033!H41+Bilans_E_AMS_Kyoto_run3_2033!H29</f>
        <v>13.201723871248829</v>
      </c>
      <c r="F53" s="187"/>
      <c r="G53" s="1"/>
      <c r="H53" s="1"/>
      <c r="I53" s="30"/>
      <c r="J53" s="17"/>
      <c r="K53" s="17"/>
      <c r="L53" s="21"/>
      <c r="M53" s="1"/>
      <c r="N53" s="17"/>
      <c r="O53" s="17"/>
      <c r="P53" s="17"/>
      <c r="Q53" s="1"/>
    </row>
    <row r="54" spans="1:19" x14ac:dyDescent="0.25">
      <c r="A54" s="21"/>
      <c r="B54" s="1" t="s">
        <v>39</v>
      </c>
      <c r="C54" s="45"/>
      <c r="D54" s="17"/>
      <c r="E54" s="435">
        <f>Bilans_E_AMS_Kyoto_run3_2033!F41</f>
        <v>111.11471121185716</v>
      </c>
      <c r="F54" s="187"/>
      <c r="G54" s="1"/>
      <c r="H54" s="1"/>
      <c r="I54" s="30"/>
      <c r="J54" s="17"/>
      <c r="K54" s="17"/>
      <c r="L54" s="21"/>
      <c r="M54" s="21"/>
      <c r="N54" s="17"/>
      <c r="O54" s="17"/>
      <c r="P54" s="17"/>
      <c r="Q54" s="1"/>
    </row>
    <row r="55" spans="1:19" x14ac:dyDescent="0.25">
      <c r="B55" s="1" t="s">
        <v>21</v>
      </c>
      <c r="E55" s="631">
        <f>Bilans_E_AMS_Kyoto_run3_2033!O41+Bilans_E_AMS_Kyoto_run3_2033!O29</f>
        <v>0</v>
      </c>
    </row>
    <row r="56" spans="1:19" x14ac:dyDescent="0.25">
      <c r="B56" s="1" t="s">
        <v>37</v>
      </c>
      <c r="E56" s="631">
        <f>Bilans_E_AMS_Kyoto_run3_2033!N41+Bilans_E_AMS_Kyoto_run3_2033!N29+Bilans_E_AMS_Kyoto_run3_2033!G41</f>
        <v>2.1400659285827377</v>
      </c>
    </row>
    <row r="57" spans="1:19" x14ac:dyDescent="0.25">
      <c r="B57" s="1" t="s">
        <v>31</v>
      </c>
      <c r="E57" s="631">
        <f>Bilans_E_AMS_Kyoto_run3_2033!T41</f>
        <v>1.3469384191833629</v>
      </c>
    </row>
    <row r="58" spans="1:19" x14ac:dyDescent="0.25">
      <c r="B58" s="1" t="s">
        <v>335</v>
      </c>
      <c r="E58" s="631">
        <f>Bilans_E_AMS_Kyoto_run3_2033!L41</f>
        <v>0.22001800269575944</v>
      </c>
    </row>
    <row r="59" spans="1:19" x14ac:dyDescent="0.25">
      <c r="E59" s="632"/>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F3EC4-12B4-4951-8DFA-90EA4BBA06FD}">
  <dimension ref="A1:Z59"/>
  <sheetViews>
    <sheetView topLeftCell="A4" workbookViewId="0">
      <selection activeCell="C7" sqref="C7:C9"/>
    </sheetView>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2635.054409330598</v>
      </c>
      <c r="D5" s="18"/>
      <c r="E5" s="20"/>
      <c r="F5" s="494"/>
      <c r="G5" s="21"/>
      <c r="H5" s="493"/>
      <c r="I5" s="21"/>
      <c r="J5" s="22"/>
      <c r="K5" s="23"/>
      <c r="L5" s="14"/>
      <c r="M5" s="14"/>
      <c r="N5" s="15"/>
      <c r="O5" s="16"/>
      <c r="P5" s="16"/>
      <c r="Q5" s="24">
        <f>Q13+Q22+Q30+Q42+Q46+Q38+Q43</f>
        <v>1348.9151047100531</v>
      </c>
      <c r="R5" s="487"/>
      <c r="S5" s="79">
        <f>SUM(S13,S22,S27:S32,S41)</f>
        <v>1358.4158693690956</v>
      </c>
      <c r="T5" s="79">
        <f>SUM(T8:T46)</f>
        <v>53.197007504979084</v>
      </c>
      <c r="U5" s="79">
        <f>SUM(U8:U46)</f>
        <v>314.63546616843848</v>
      </c>
      <c r="V5" s="79">
        <f>SUM(V8:V46)</f>
        <v>424.6978004578109</v>
      </c>
      <c r="W5" s="173">
        <f>SUM(W8:W46)</f>
        <v>238.19764919097139</v>
      </c>
      <c r="X5" s="79">
        <f>SUM(X8:X46)</f>
        <v>327.6879460468956</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f>(([13]Offre_calc!$R$108+[13]Offre_calc!$R$109+[13]Offre_calc!$R$147+[13]Offre_calc!$R$148)/([13]Offre_calc!$R$105+[13]Offre_calc!$R$144))*Bilans_E_AMS_Kyoto_run3_2035!K$21</f>
        <v>147.41460249825553</v>
      </c>
      <c r="D7" s="516"/>
      <c r="E7" s="28">
        <v>0</v>
      </c>
      <c r="F7" s="516"/>
      <c r="G7" s="17">
        <f>C7-E7</f>
        <v>147.41460249825553</v>
      </c>
      <c r="H7" s="516"/>
      <c r="I7" s="21"/>
      <c r="J7" s="516"/>
      <c r="K7" s="523"/>
      <c r="L7" s="523"/>
      <c r="M7" s="523"/>
      <c r="N7" s="523"/>
      <c r="O7" s="523"/>
      <c r="P7" s="513"/>
      <c r="Q7" s="526"/>
      <c r="R7" s="498"/>
      <c r="S7" s="526"/>
      <c r="T7" s="523"/>
      <c r="U7" s="523"/>
      <c r="V7" s="523"/>
      <c r="W7" s="523"/>
      <c r="X7" s="523"/>
    </row>
    <row r="8" spans="1:24" x14ac:dyDescent="0.25">
      <c r="A8" s="736"/>
      <c r="B8" s="1" t="s">
        <v>18</v>
      </c>
      <c r="C8" s="486">
        <f>(([13]Offre_calc!$R$107+[13]Offre_calc!$R$146)/([13]Offre_calc!$R$105+[13]Offre_calc!$R$144))*Bilans_E_AMS_Kyoto_run3_2035!K$21</f>
        <v>53.414916097145792</v>
      </c>
      <c r="D8" s="81"/>
      <c r="E8" s="28">
        <v>0</v>
      </c>
      <c r="F8" s="81"/>
      <c r="G8" s="17">
        <f t="shared" ref="G8:G19" si="0">C8-E8</f>
        <v>53.414916097145792</v>
      </c>
      <c r="H8" s="81"/>
      <c r="I8" s="21"/>
      <c r="J8" s="81"/>
      <c r="K8" s="524"/>
      <c r="L8" s="524"/>
      <c r="M8" s="524"/>
      <c r="N8" s="524"/>
      <c r="O8" s="524"/>
      <c r="P8" s="29"/>
      <c r="Q8" s="527"/>
      <c r="R8" s="498"/>
      <c r="S8" s="527"/>
      <c r="T8" s="524"/>
      <c r="U8" s="524"/>
      <c r="V8" s="524"/>
      <c r="W8" s="524"/>
      <c r="X8" s="524"/>
    </row>
    <row r="9" spans="1:24" x14ac:dyDescent="0.25">
      <c r="A9" s="736"/>
      <c r="B9" s="1" t="s">
        <v>19</v>
      </c>
      <c r="C9" s="486">
        <f>(([13]Offre_calc!$R$106+[13]Offre_calc!$R$145)/([13]Offre_calc!$R$105+[13]Offre_calc!$R$144))*Bilans_E_AMS_Kyoto_run3_2035!K$21</f>
        <v>98.768942725907507</v>
      </c>
      <c r="D9" s="81"/>
      <c r="E9" s="28">
        <v>0</v>
      </c>
      <c r="F9" s="81"/>
      <c r="G9" s="17">
        <f t="shared" si="0"/>
        <v>98.768942725907507</v>
      </c>
      <c r="H9" s="81"/>
      <c r="I9" s="21"/>
      <c r="J9" s="81"/>
      <c r="K9" s="524"/>
      <c r="L9" s="524"/>
      <c r="M9" s="524"/>
      <c r="N9" s="524"/>
      <c r="O9" s="524"/>
      <c r="P9" s="29"/>
      <c r="Q9" s="527"/>
      <c r="R9" s="498"/>
      <c r="S9" s="527"/>
      <c r="T9" s="524"/>
      <c r="U9" s="524"/>
      <c r="V9" s="524"/>
      <c r="W9" s="524"/>
      <c r="X9" s="524"/>
    </row>
    <row r="10" spans="1:24" x14ac:dyDescent="0.25">
      <c r="A10" s="736"/>
      <c r="B10" s="1" t="s">
        <v>20</v>
      </c>
      <c r="C10" s="17">
        <f>Bilans_E_AMS_Kyoto_run3_2035!J21-(Bilans_E_AMS_Kyoto_run3_2035!R20+Bilans_E_AMS_Kyoto_run3_2035!R19)</f>
        <v>1162.7439999999999</v>
      </c>
      <c r="D10" s="81"/>
      <c r="E10" s="28">
        <f>F13-SUM(E11:E19)</f>
        <v>779.78661729305259</v>
      </c>
      <c r="F10" s="81"/>
      <c r="G10" s="17">
        <f t="shared" si="0"/>
        <v>382.95738270694733</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f>Bilans_E_AMS_Kyoto_run3_2035!O21</f>
        <v>8.748119861379541</v>
      </c>
      <c r="D11" s="81"/>
      <c r="E11" s="727">
        <f>C11*(1-[12]Offre_calc!$V$161)</f>
        <v>3.4992479445518168</v>
      </c>
      <c r="F11" s="81"/>
      <c r="G11" s="17">
        <f t="shared" si="0"/>
        <v>5.2488719168277242</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f>Bilans_E_AMS_Kyoto_run3_2035!M21</f>
        <v>5.93692826914703</v>
      </c>
      <c r="D12" s="81"/>
      <c r="E12" s="727">
        <f>C12*(1-[12]Offre_calc!$V$171)</f>
        <v>3.5621569614882178</v>
      </c>
      <c r="F12" s="81"/>
      <c r="G12" s="17">
        <f t="shared" si="0"/>
        <v>2.3747713076588122</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f>Bilans_E_AMS_Kyoto_run3_2035!L21</f>
        <v>15.921747993621487</v>
      </c>
      <c r="D13" s="81">
        <f>SUM(C7:C19)</f>
        <v>1527.3535067697899</v>
      </c>
      <c r="E13" s="727">
        <f>C13*(1-[12]Offre_calc!$V$170)</f>
        <v>9.5530487961728916</v>
      </c>
      <c r="F13" s="81">
        <f>Bilans_E_AMS_Kyoto_run3_2035!U21</f>
        <v>809.97802716342164</v>
      </c>
      <c r="G13" s="17">
        <f t="shared" si="0"/>
        <v>6.3686991974485956</v>
      </c>
      <c r="H13" s="81">
        <f>SUM(G7:G19)</f>
        <v>717.37547960636823</v>
      </c>
      <c r="I13" s="33">
        <f>Bilans_E_AMS_Kyoto_run3_2035!R30</f>
        <v>35.053658012222463</v>
      </c>
      <c r="J13" s="81">
        <f>H13-I13</f>
        <v>682.32182159414572</v>
      </c>
      <c r="K13" s="29">
        <f>Bilans_E_AMS_Kyoto_run3_2035!R31</f>
        <v>50.833401683684251</v>
      </c>
      <c r="L13" s="29">
        <f>-(Bilans_E_AMS_Kyoto_run3_2035!R14+Bilans_E_AMS_Kyoto_run3_2035!R13)</f>
        <v>95.466033511784872</v>
      </c>
      <c r="M13" s="29">
        <f>Bilans_E_AMS_Kyoto_run3_2035!R28</f>
        <v>32.352563963788228</v>
      </c>
      <c r="N13" s="29"/>
      <c r="O13" s="29"/>
      <c r="P13" s="29"/>
      <c r="Q13" s="81">
        <f>J13-K13-L13-M13-N13-O13-P13</f>
        <v>503.66982243488843</v>
      </c>
      <c r="R13" s="508">
        <f>Q13-S13</f>
        <v>0</v>
      </c>
      <c r="S13" s="81">
        <f>SUM(T8:X19)</f>
        <v>503.66982243488872</v>
      </c>
      <c r="T13" s="29">
        <f>Bilans_E_AMS_Kyoto_run3_2035!R38</f>
        <v>8.6394549115432451</v>
      </c>
      <c r="U13" s="29">
        <f>Bilans_E_AMS_Kyoto_run3_2035!R34+Bilans_E_AMS_Kyoto_run3_2035!R39</f>
        <v>153.63376409766943</v>
      </c>
      <c r="V13" s="29">
        <f>Bilans_E_AMS_Kyoto_run3_2035!R36</f>
        <v>154.71508066801636</v>
      </c>
      <c r="W13" s="29">
        <f>Bilans_E_AMS_Kyoto_run3_2035!R37</f>
        <v>121.82988531988985</v>
      </c>
      <c r="X13" s="29">
        <f>Bilans_E_AMS_Kyoto_run3_2035!R35</f>
        <v>64.85163743776981</v>
      </c>
    </row>
    <row r="14" spans="1:24" x14ac:dyDescent="0.25">
      <c r="A14" s="736"/>
      <c r="B14" s="1" t="s">
        <v>24</v>
      </c>
      <c r="C14" s="17">
        <f>Bilans_E_AMS_Kyoto_run3_2035!Q21</f>
        <v>2.7943993103273139</v>
      </c>
      <c r="D14" s="81"/>
      <c r="E14" s="28">
        <v>0</v>
      </c>
      <c r="F14" s="81"/>
      <c r="G14" s="17">
        <f t="shared" si="0"/>
        <v>2.7943993103273139</v>
      </c>
      <c r="H14" s="81"/>
      <c r="I14" s="21"/>
      <c r="J14" s="81"/>
      <c r="K14" s="524"/>
      <c r="L14" s="524"/>
      <c r="M14" s="524"/>
      <c r="N14" s="524"/>
      <c r="O14" s="524"/>
      <c r="P14" s="29"/>
      <c r="Q14" s="527"/>
      <c r="R14" s="508"/>
      <c r="S14" s="527"/>
      <c r="T14" s="524"/>
      <c r="U14" s="524"/>
      <c r="V14" s="524"/>
      <c r="W14" s="524"/>
      <c r="X14" s="524"/>
    </row>
    <row r="15" spans="1:24" x14ac:dyDescent="0.25">
      <c r="A15" s="736"/>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36"/>
      <c r="B16" s="1" t="s">
        <v>343</v>
      </c>
      <c r="C16" s="17">
        <f>Bilans_E_AMS_Kyoto_run3_2035!N21</f>
        <v>5.0291337303525587</v>
      </c>
      <c r="D16" s="81"/>
      <c r="E16" s="727">
        <f>C16*(1-[12]Offre_calc!$V$158)</f>
        <v>2.8163148889974332</v>
      </c>
      <c r="F16" s="81"/>
      <c r="G16" s="17">
        <f t="shared" si="0"/>
        <v>2.2128188413551255</v>
      </c>
      <c r="H16" s="81"/>
      <c r="I16" s="21"/>
      <c r="J16" s="81"/>
      <c r="K16" s="524"/>
      <c r="L16" s="524"/>
      <c r="M16" s="524"/>
      <c r="N16" s="524"/>
      <c r="O16" s="524"/>
      <c r="P16" s="29"/>
      <c r="Q16" s="527"/>
      <c r="R16" s="508"/>
      <c r="S16" s="527"/>
      <c r="T16" s="524"/>
      <c r="U16" s="524"/>
      <c r="V16" s="524"/>
      <c r="W16" s="524"/>
      <c r="X16" s="524"/>
    </row>
    <row r="17" spans="1:24" x14ac:dyDescent="0.25">
      <c r="A17" s="736"/>
      <c r="B17" s="1" t="s">
        <v>27</v>
      </c>
      <c r="C17" s="17">
        <f>Bilans_E_AMS_Kyoto_run3_2035!F21</f>
        <v>0.802217285608815</v>
      </c>
      <c r="D17" s="81"/>
      <c r="E17" s="727">
        <f>C17*(1-[12]Offre_calc!$V$158)</f>
        <v>0.44924167994093644</v>
      </c>
      <c r="F17" s="81"/>
      <c r="G17" s="17">
        <f t="shared" si="0"/>
        <v>0.35297560566787856</v>
      </c>
      <c r="H17" s="81"/>
      <c r="I17" s="21"/>
      <c r="J17" s="81"/>
      <c r="K17" s="524"/>
      <c r="L17" s="524"/>
      <c r="M17" s="524"/>
      <c r="N17" s="524"/>
      <c r="O17" s="524"/>
      <c r="P17" s="29"/>
      <c r="Q17" s="527"/>
      <c r="R17" s="508"/>
      <c r="S17" s="527"/>
      <c r="T17" s="524"/>
      <c r="U17" s="524"/>
      <c r="V17" s="524"/>
      <c r="W17" s="524"/>
      <c r="X17" s="524"/>
    </row>
    <row r="18" spans="1:24" x14ac:dyDescent="0.25">
      <c r="A18" s="736"/>
      <c r="B18" s="1" t="s">
        <v>28</v>
      </c>
      <c r="C18" s="17">
        <f>Bilans_E_AMS_Kyoto_run3_2035!D21</f>
        <v>0</v>
      </c>
      <c r="D18" s="81"/>
      <c r="E18" s="727">
        <f>C18*(1-[12]Offre_calc!$V$157)</f>
        <v>0</v>
      </c>
      <c r="F18" s="81"/>
      <c r="G18" s="17">
        <f t="shared" si="0"/>
        <v>0</v>
      </c>
      <c r="H18" s="81"/>
      <c r="I18" s="21"/>
      <c r="J18" s="81"/>
      <c r="K18" s="524"/>
      <c r="L18" s="524"/>
      <c r="M18" s="524"/>
      <c r="N18" s="524"/>
      <c r="O18" s="524"/>
      <c r="P18" s="29"/>
      <c r="Q18" s="527"/>
      <c r="R18" s="508"/>
      <c r="S18" s="527"/>
      <c r="T18" s="524"/>
      <c r="U18" s="524"/>
      <c r="V18" s="524"/>
      <c r="W18" s="524"/>
      <c r="X18" s="524"/>
    </row>
    <row r="19" spans="1:24" x14ac:dyDescent="0.25">
      <c r="A19" s="736"/>
      <c r="B19" s="1" t="s">
        <v>260</v>
      </c>
      <c r="C19" s="17">
        <f>Bilans_E_AMS_Kyoto_run3_2035!H21+Bilans_E_AMS_Kyoto_run3_2035!T21</f>
        <v>25.778498998044444</v>
      </c>
      <c r="D19" s="82"/>
      <c r="E19" s="727">
        <f>C19*(1-[12]Offre_calc!$V$160)</f>
        <v>10.311399599217779</v>
      </c>
      <c r="F19" s="82"/>
      <c r="G19" s="17">
        <f t="shared" si="0"/>
        <v>15.467099398826665</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f>G10/C10</f>
        <v>0.3293565760880704</v>
      </c>
      <c r="H20" s="499"/>
      <c r="I20" s="17"/>
      <c r="J20" s="1"/>
      <c r="K20" s="17"/>
      <c r="L20" s="1"/>
      <c r="M20" s="1"/>
      <c r="N20" s="1"/>
      <c r="O20" s="1"/>
      <c r="P20" s="1"/>
      <c r="Q20" s="499"/>
      <c r="R20" s="508"/>
      <c r="S20" s="408"/>
      <c r="T20" s="495"/>
      <c r="U20" s="408"/>
      <c r="V20" s="495"/>
      <c r="W20" s="408"/>
      <c r="X20" s="495"/>
    </row>
    <row r="21" spans="1:24" x14ac:dyDescent="0.25">
      <c r="A21" s="737" t="s">
        <v>13</v>
      </c>
      <c r="B21" s="1" t="s">
        <v>21</v>
      </c>
      <c r="C21" s="17">
        <f>Bilans_E_AMS_Kyoto_run3_2035!L23+Bilans_E_AMS_Kyoto_run3_2035!O12+Bilans_E_AMS_Kyoto_run3_2035!M23</f>
        <v>105.70335155891637</v>
      </c>
      <c r="D21" s="529"/>
      <c r="E21" s="33">
        <f>Bilans_E_AMS_Kyoto_run3_2035!U23+Bilans_E_AMS_Kyoto_run3_2035!O30</f>
        <v>52.771244612299228</v>
      </c>
      <c r="F21" s="529"/>
      <c r="G21" s="17">
        <f t="shared" ref="G21:G45" si="1">C21-E21</f>
        <v>52.932106946617139</v>
      </c>
      <c r="H21" s="529"/>
      <c r="I21" s="17"/>
      <c r="J21" s="529"/>
      <c r="K21" s="545">
        <f>Bilans_E_AMS_Kyoto_run3_2035!O31</f>
        <v>0.58543406338884363</v>
      </c>
      <c r="L21" s="545">
        <f>-(Bilans_E_AMS_Kyoto_run3_2035!O13+Bilans_E_AMS_Kyoto_run3_2035!O14+Bilans_E_AMS_Kyoto_run3_2035!O15+Bilans_E_AMS_Kyoto_run3_2035!O16)</f>
        <v>0.92404910103339888</v>
      </c>
      <c r="M21" s="545">
        <f>Bilans_E_AMS_Kyoto_run3_2035!O28</f>
        <v>0</v>
      </c>
      <c r="N21" s="545">
        <f>Bilans_E_AMS_Kyoto_run3_2035!O22</f>
        <v>6.3205787341877624</v>
      </c>
      <c r="O21" s="545">
        <f>Bilans_E_AMS_Kyoto_run3_2035!O21</f>
        <v>8.748119861379541</v>
      </c>
      <c r="P21" s="545">
        <f>C36</f>
        <v>0</v>
      </c>
      <c r="Q21" s="529"/>
      <c r="R21" s="508"/>
      <c r="S21" s="529"/>
      <c r="T21" s="529"/>
      <c r="U21" s="529"/>
      <c r="V21" s="529"/>
      <c r="W21" s="529"/>
      <c r="X21" s="529"/>
    </row>
    <row r="22" spans="1:24" x14ac:dyDescent="0.25">
      <c r="A22" s="737"/>
      <c r="B22" s="1" t="s">
        <v>519</v>
      </c>
      <c r="C22" s="17">
        <f>Bilans_E_AMS_Kyoto_run3_2035!T24</f>
        <v>0.85149239692815148</v>
      </c>
      <c r="D22" s="85">
        <f>SUM(C21:C24)</f>
        <v>332.43111047056993</v>
      </c>
      <c r="E22" s="630">
        <f>Bilans_E_AMS_Kyoto_run3_2035!I30+Bilans_E_AMS_Kyoto_run3_2035!U24</f>
        <v>0.23841787113988244</v>
      </c>
      <c r="F22" s="85">
        <f>SUM(E21:E24)</f>
        <v>66.962073751010223</v>
      </c>
      <c r="G22" s="17">
        <f t="shared" si="1"/>
        <v>0.61307452578826904</v>
      </c>
      <c r="H22" s="85">
        <f>SUM(G21:G24)</f>
        <v>265.46903671955971</v>
      </c>
      <c r="I22" s="408"/>
      <c r="J22" s="85">
        <f>H22-I22</f>
        <v>265.46903671955971</v>
      </c>
      <c r="K22" s="626">
        <f>Bilans_E_AMS_Kyoto_run3_2035!I31</f>
        <v>0</v>
      </c>
      <c r="L22" s="626">
        <f>-SUM(Bilans_E_AMS_Kyoto_run3_2035!I13:I16)</f>
        <v>0.61307452578826904</v>
      </c>
      <c r="M22" s="32"/>
      <c r="N22" s="534">
        <f>Bilans_E_AMS_Kyoto_run3_2035!I22</f>
        <v>0</v>
      </c>
      <c r="O22" s="32"/>
      <c r="P22" s="32"/>
      <c r="Q22" s="85">
        <f>J22-SUM(K21:P24)</f>
        <v>191.46606151051458</v>
      </c>
      <c r="R22" s="508">
        <f>Q22-S22</f>
        <v>0</v>
      </c>
      <c r="S22" s="85">
        <f>SUM(T22:X24)</f>
        <v>191.46606151051466</v>
      </c>
      <c r="T22" s="32">
        <f>Bilans_E_AMS_Kyoto_run3_2035!H38+Bilans_E_AMS_Kyoto_run3_2035!T38+Bilans_E_AMS_Kyoto_run3_2035!O$38+Bilans_E_AMS_Kyoto_run3_2035!I38</f>
        <v>1.7976500828628292</v>
      </c>
      <c r="U22" s="32">
        <f>Bilans_E_AMS_Kyoto_run3_2035!H34+Bilans_E_AMS_Kyoto_run3_2035!T34+Bilans_E_AMS_Kyoto_run3_2035!O$34+Bilans_E_AMS_Kyoto_run3_2035!I34</f>
        <v>77.127391103588607</v>
      </c>
      <c r="V22" s="32">
        <f>Bilans_E_AMS_Kyoto_run3_2035!H36+Bilans_E_AMS_Kyoto_run3_2035!T36+Bilans_E_AMS_Kyoto_run3_2035!O$36+Bilans_E_AMS_Kyoto_run3_2035!I36</f>
        <v>62.480514463276663</v>
      </c>
      <c r="W22" s="32">
        <f>Bilans_E_AMS_Kyoto_run3_2035!H37+Bilans_E_AMS_Kyoto_run3_2035!M37+Bilans_E_AMS_Kyoto_run3_2035!T37+Bilans_E_AMS_Kyoto_run3_2035!O$37+Bilans_E_AMS_Kyoto_run3_2035!I37</f>
        <v>39.952116113539262</v>
      </c>
      <c r="X22" s="32">
        <f>Bilans_E_AMS_Kyoto_run3_2035!H35+Bilans_E_AMS_Kyoto_run3_2035!T35+Bilans_E_AMS_Kyoto_run3_2035!O$35+Bilans_E_AMS_Kyoto_run3_2035!I35</f>
        <v>10.108389747247291</v>
      </c>
    </row>
    <row r="23" spans="1:24" x14ac:dyDescent="0.25">
      <c r="A23" s="737"/>
      <c r="B23" s="1" t="s">
        <v>31</v>
      </c>
      <c r="C23" s="17">
        <f>SUM(Bilans_E_AMS_Kyoto_run3_2035!D28:S28)-C47</f>
        <v>30.865431963695556</v>
      </c>
      <c r="D23" s="530"/>
      <c r="E23" s="33">
        <f>Bilans_E_AMS_Kyoto_run3_2035!U28+Bilans_E_AMS_Kyoto_run3_2035!T30</f>
        <v>13.952411267571119</v>
      </c>
      <c r="F23" s="532"/>
      <c r="G23" s="17">
        <f t="shared" si="1"/>
        <v>16.913020696124438</v>
      </c>
      <c r="H23" s="532"/>
      <c r="I23" s="17"/>
      <c r="J23" s="532"/>
      <c r="K23" s="534">
        <f>Bilans_E_AMS_Kyoto_run3_2035!T31</f>
        <v>0</v>
      </c>
      <c r="L23" s="534">
        <f>-(Bilans_E_AMS_Kyoto_run3_2035!T13+Bilans_E_AMS_Kyoto_run3_2035!T14+Bilans_E_AMS_Kyoto_run3_2035!T15+Bilans_E_AMS_Kyoto_run3_2035!T16)</f>
        <v>1.3796415766167827</v>
      </c>
      <c r="M23" s="534">
        <f>Bilans_E_AMS_Kyoto_run3_2035!T24</f>
        <v>0.85149239692815148</v>
      </c>
      <c r="N23" s="534">
        <f>Bilans_E_AMS_Kyoto_run3_2035!T22</f>
        <v>0</v>
      </c>
      <c r="O23" s="534">
        <f>Bilans_E_AMS_Kyoto_run3_2035!T21</f>
        <v>0</v>
      </c>
      <c r="P23" s="534">
        <f>Bilans_E_AMS_Kyoto_run3_2035!T27</f>
        <v>4.8495879855780641</v>
      </c>
      <c r="Q23" s="532"/>
      <c r="R23" s="489"/>
      <c r="S23" s="532"/>
      <c r="T23" s="536"/>
      <c r="U23" s="536"/>
      <c r="V23" s="536"/>
      <c r="W23" s="536"/>
      <c r="X23" s="536"/>
    </row>
    <row r="24" spans="1:24" x14ac:dyDescent="0.25">
      <c r="A24" s="737"/>
      <c r="B24" s="1" t="s">
        <v>32</v>
      </c>
      <c r="C24" s="17">
        <f>Bilans_E_AMS_Kyoto_run3_2035!H18-C45-(Bilans_E_AMS_Kyoto_run3_2035!H20+Bilans_E_AMS_Kyoto_run3_2035!H19)</f>
        <v>195.01083455102986</v>
      </c>
      <c r="D24" s="531"/>
      <c r="E24" s="33">
        <f>Bilans_E_AMS_Kyoto_run3_2035!H30</f>
        <v>0</v>
      </c>
      <c r="F24" s="533"/>
      <c r="G24" s="17">
        <f t="shared" si="1"/>
        <v>195.01083455102986</v>
      </c>
      <c r="H24" s="533"/>
      <c r="I24" s="34"/>
      <c r="J24" s="533"/>
      <c r="K24" s="535">
        <f>Bilans_E_AMS_Kyoto_run3_2035!H31</f>
        <v>2.3417362535553745</v>
      </c>
      <c r="L24" s="535"/>
      <c r="M24" s="535">
        <f>Bilans_E_AMS_Kyoto_run3_2035!H28</f>
        <v>0</v>
      </c>
      <c r="N24" s="535">
        <f>Bilans_E_AMS_Kyoto_run3_2035!H22</f>
        <v>21.610761712544495</v>
      </c>
      <c r="O24" s="535">
        <f>Bilans_E_AMS_Kyoto_run3_2035!H21</f>
        <v>25.778498998044444</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38" t="s">
        <v>14</v>
      </c>
      <c r="B26" s="1" t="s">
        <v>21</v>
      </c>
      <c r="C26" s="17">
        <f>Bilans_E_AMS_Kyoto_run3_2035!O22</f>
        <v>6.3205787341877624</v>
      </c>
      <c r="D26" s="512"/>
      <c r="E26" s="190">
        <f>C26*F$35</f>
        <v>0.55731077836932463</v>
      </c>
      <c r="F26" s="512"/>
      <c r="G26" s="33">
        <f t="shared" ref="G26:G31" si="2">C26-E26</f>
        <v>5.7632679558184376</v>
      </c>
      <c r="H26" s="512"/>
      <c r="I26" s="1"/>
      <c r="J26" s="512"/>
      <c r="K26" s="512"/>
      <c r="L26" s="512"/>
      <c r="M26" s="512"/>
      <c r="N26" s="512"/>
      <c r="O26" s="512"/>
      <c r="P26" s="512"/>
      <c r="Q26" s="512"/>
      <c r="R26" s="508"/>
      <c r="S26" s="512"/>
      <c r="T26" s="512"/>
      <c r="U26" s="512"/>
      <c r="V26" s="512"/>
      <c r="W26" s="512"/>
      <c r="X26" s="512"/>
    </row>
    <row r="27" spans="1:24" x14ac:dyDescent="0.25">
      <c r="A27" s="738"/>
      <c r="B27" s="1" t="s">
        <v>22</v>
      </c>
      <c r="C27" s="17">
        <f>Bilans_E_AMS_Kyoto_run3_2035!M18-(Bilans_E_AMS_Kyoto_run3_2035!M21+Bilans_E_AMS_Kyoto_run3_2035!M23+Bilans_E_AMS_Kyoto_run3_2035!M26+Bilans_E_AMS_Kyoto_run3_2035!M34)-(Bilans_E_AMS_Kyoto_run3_2035!S20+Bilans_E_AMS_Kyoto_run3_2035!S19+Bilans_E_AMS_Kyoto_run3_2035!M20+Bilans_E_AMS_Kyoto_run3_2035!M19)</f>
        <v>17.959962458596664</v>
      </c>
      <c r="D27" s="87"/>
      <c r="E27" s="190">
        <f t="shared" ref="E27:E34" si="3">C27*F$35</f>
        <v>1.5836019260616989</v>
      </c>
      <c r="F27" s="87"/>
      <c r="G27" s="33">
        <f t="shared" si="2"/>
        <v>16.376360532534964</v>
      </c>
      <c r="H27" s="87"/>
      <c r="I27" s="500"/>
      <c r="J27" s="87"/>
      <c r="K27" s="87"/>
      <c r="L27" s="87"/>
      <c r="M27" s="87"/>
      <c r="N27" s="87"/>
      <c r="O27" s="87"/>
      <c r="P27" s="87"/>
      <c r="Q27" s="87"/>
      <c r="R27" s="508"/>
      <c r="S27" s="87"/>
      <c r="T27" s="87"/>
      <c r="U27" s="87"/>
      <c r="V27" s="87"/>
      <c r="W27" s="87"/>
      <c r="X27" s="87"/>
    </row>
    <row r="28" spans="1:24" x14ac:dyDescent="0.25">
      <c r="A28" s="738"/>
      <c r="B28" s="1" t="s">
        <v>612</v>
      </c>
      <c r="C28" s="17">
        <f>Bilans_E_AMS_Kyoto_run3_2035!J22</f>
        <v>0</v>
      </c>
      <c r="D28" s="87"/>
      <c r="E28" s="190">
        <f t="shared" si="3"/>
        <v>0</v>
      </c>
      <c r="F28" s="87"/>
      <c r="G28" s="33">
        <f>C28-E28</f>
        <v>0</v>
      </c>
      <c r="H28" s="87"/>
      <c r="I28" s="1"/>
      <c r="J28" s="87"/>
      <c r="K28" s="87"/>
      <c r="L28" s="87"/>
      <c r="M28" s="87"/>
      <c r="N28" s="87"/>
      <c r="O28" s="87"/>
      <c r="P28" s="87"/>
      <c r="Q28" s="87"/>
      <c r="R28" s="508"/>
      <c r="S28" s="87"/>
      <c r="T28" s="87"/>
      <c r="U28" s="87"/>
      <c r="V28" s="87"/>
      <c r="W28" s="87"/>
      <c r="X28" s="87"/>
    </row>
    <row r="29" spans="1:24" x14ac:dyDescent="0.25">
      <c r="A29" s="738"/>
      <c r="B29" s="1" t="s">
        <v>23</v>
      </c>
      <c r="C29" s="17">
        <f>Bilans_E_AMS_Kyoto_run3_2035!L22</f>
        <v>24.785104378649287</v>
      </c>
      <c r="D29" s="87"/>
      <c r="E29" s="190">
        <f t="shared" si="3"/>
        <v>2.1854020642945216</v>
      </c>
      <c r="F29" s="87"/>
      <c r="G29" s="33">
        <f t="shared" si="2"/>
        <v>22.599702314354765</v>
      </c>
      <c r="H29" s="87"/>
      <c r="I29" s="1"/>
      <c r="J29" s="87"/>
      <c r="K29" s="87"/>
      <c r="L29" s="87"/>
      <c r="M29" s="87"/>
      <c r="N29" s="87"/>
      <c r="O29" s="87"/>
      <c r="P29" s="87"/>
      <c r="Q29" s="87"/>
      <c r="R29" s="508"/>
      <c r="S29" s="87"/>
      <c r="T29" s="87"/>
      <c r="U29" s="87"/>
      <c r="V29" s="87"/>
      <c r="W29" s="87"/>
      <c r="X29" s="87"/>
    </row>
    <row r="30" spans="1:24" x14ac:dyDescent="0.25">
      <c r="A30" s="738"/>
      <c r="B30" s="1" t="s">
        <v>24</v>
      </c>
      <c r="C30" s="17">
        <f>Bilans_E_AMS_Kyoto_run3_2035!Q22</f>
        <v>14.189843081655606</v>
      </c>
      <c r="D30" s="86">
        <f>SUM(C26:C34)</f>
        <v>99.026737607948547</v>
      </c>
      <c r="E30" s="190">
        <f t="shared" si="3"/>
        <v>1.2511753789255367</v>
      </c>
      <c r="F30" s="86">
        <f>Bilans_E_AMS_Kyoto_run3_2035!U22</f>
        <v>8.7315846438471425</v>
      </c>
      <c r="G30" s="33">
        <f t="shared" si="2"/>
        <v>12.93866770273007</v>
      </c>
      <c r="H30" s="86">
        <f>SUM(G26:G34)</f>
        <v>90.295152964101419</v>
      </c>
      <c r="I30" s="1"/>
      <c r="J30" s="86">
        <f>H30</f>
        <v>90.295152964101419</v>
      </c>
      <c r="K30" s="87">
        <f>Bilans_E_AMS_Kyoto_run3_2035!S31</f>
        <v>7.00152240179274</v>
      </c>
      <c r="L30" s="87"/>
      <c r="M30" s="87">
        <f>Bilans_E_AMS_Kyoto_run3_2035!M28</f>
        <v>0</v>
      </c>
      <c r="N30" s="87"/>
      <c r="O30" s="87"/>
      <c r="P30" s="87"/>
      <c r="Q30" s="86">
        <f>J30-K30-L30-M30-N30-O30-P30</f>
        <v>83.293630562308678</v>
      </c>
      <c r="R30" s="508">
        <f>Q30-S30</f>
        <v>3.0734616686345362E-5</v>
      </c>
      <c r="S30" s="86">
        <f>SUM(T27:X34)</f>
        <v>83.293599827691992</v>
      </c>
      <c r="T30" s="87">
        <f>Bilans_E_AMS_Kyoto_run3_2035!S$38</f>
        <v>0</v>
      </c>
      <c r="U30" s="87">
        <f>Bilans_E_AMS_Kyoto_run3_2035!S$34</f>
        <v>19.531581585374159</v>
      </c>
      <c r="V30" s="87">
        <f>Bilans_E_AMS_Kyoto_run3_2035!S$36</f>
        <v>40.414130897924252</v>
      </c>
      <c r="W30" s="87">
        <f>Bilans_E_AMS_Kyoto_run3_2035!S$37</f>
        <v>23.34788734439358</v>
      </c>
      <c r="X30" s="87">
        <f>Bilans_E_AMS_Kyoto_run3_2035!S$35</f>
        <v>0</v>
      </c>
    </row>
    <row r="31" spans="1:24" x14ac:dyDescent="0.25">
      <c r="A31" s="738"/>
      <c r="B31" s="1" t="s">
        <v>611</v>
      </c>
      <c r="C31" s="17">
        <f>Bilans_E_AMS_Kyoto_run3_2035!P22</f>
        <v>14.160487242314748</v>
      </c>
      <c r="D31" s="86"/>
      <c r="E31" s="190">
        <f t="shared" si="3"/>
        <v>1.2485869568267427</v>
      </c>
      <c r="F31" s="86"/>
      <c r="G31" s="33">
        <f t="shared" si="2"/>
        <v>12.911900285488006</v>
      </c>
      <c r="H31" s="86"/>
      <c r="I31" s="1"/>
      <c r="J31" s="517"/>
      <c r="K31" s="87"/>
      <c r="L31" s="87"/>
      <c r="M31" s="87"/>
      <c r="N31" s="87"/>
      <c r="O31" s="87"/>
      <c r="P31" s="87"/>
      <c r="Q31" s="517"/>
      <c r="R31" s="508"/>
      <c r="S31" s="519"/>
      <c r="T31" s="521"/>
      <c r="U31" s="521"/>
      <c r="V31" s="521"/>
      <c r="W31" s="521"/>
      <c r="X31" s="521"/>
    </row>
    <row r="32" spans="1:24" x14ac:dyDescent="0.25">
      <c r="A32" s="738"/>
      <c r="B32" s="1" t="s">
        <v>29</v>
      </c>
      <c r="C32" s="17">
        <f>Bilans_E_AMS_Kyoto_run3_2035!H22+Bilans_E_AMS_Kyoto_run3_2035!I22</f>
        <v>21.610761712544495</v>
      </c>
      <c r="D32" s="86"/>
      <c r="E32" s="190">
        <f t="shared" si="3"/>
        <v>1.9055075393693195</v>
      </c>
      <c r="F32" s="86"/>
      <c r="G32" s="33">
        <f>C32-E32</f>
        <v>19.705254173175174</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f>Bilans_E_AMS_Kyoto_run3_2035!F22</f>
        <v>0</v>
      </c>
      <c r="D33" s="86"/>
      <c r="E33" s="190">
        <f t="shared" si="3"/>
        <v>0</v>
      </c>
      <c r="F33" s="86"/>
      <c r="G33" s="33">
        <f t="shared" ref="G33:G34" si="4">C33-E33</f>
        <v>0</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f>Bilans_E_AMS_Kyoto_run3_2035!D22</f>
        <v>0</v>
      </c>
      <c r="D34" s="88"/>
      <c r="E34" s="190">
        <f t="shared" si="3"/>
        <v>0</v>
      </c>
      <c r="F34" s="88"/>
      <c r="G34" s="33">
        <f t="shared" si="4"/>
        <v>0</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f>F30/D30</f>
        <v>8.8174010926381233E-2</v>
      </c>
      <c r="G35" s="17"/>
      <c r="H35" s="501"/>
      <c r="I35" s="1"/>
      <c r="J35" s="1"/>
      <c r="K35" s="1"/>
      <c r="L35" s="1"/>
      <c r="M35" s="1"/>
      <c r="N35" s="1"/>
      <c r="O35" s="1"/>
      <c r="P35" s="1"/>
      <c r="Q35" s="502"/>
      <c r="R35" s="508"/>
      <c r="U35" s="33"/>
      <c r="V35" s="33"/>
      <c r="W35" s="33"/>
    </row>
    <row r="36" spans="1:26" x14ac:dyDescent="0.25">
      <c r="A36" s="739" t="s">
        <v>34</v>
      </c>
      <c r="B36" s="1" t="s">
        <v>21</v>
      </c>
      <c r="C36" s="33">
        <f>E55</f>
        <v>0</v>
      </c>
      <c r="D36" s="538"/>
      <c r="E36" s="17"/>
      <c r="F36" s="538"/>
      <c r="G36" s="17">
        <f t="shared" ref="G36:G42" si="5">C36-E36</f>
        <v>0</v>
      </c>
      <c r="H36" s="538"/>
      <c r="I36" s="35"/>
      <c r="J36" s="37"/>
      <c r="K36" s="35"/>
      <c r="L36" s="35"/>
      <c r="M36" s="35"/>
      <c r="N36" s="35"/>
      <c r="O36" s="35"/>
      <c r="P36" s="35"/>
      <c r="Q36" s="540"/>
      <c r="R36" s="508"/>
      <c r="S36" s="538"/>
      <c r="T36" s="503">
        <v>0</v>
      </c>
      <c r="U36" s="503">
        <v>0</v>
      </c>
      <c r="V36" s="503">
        <v>0</v>
      </c>
      <c r="W36" s="503">
        <v>0</v>
      </c>
      <c r="X36" s="503">
        <v>0</v>
      </c>
      <c r="Y36" s="489">
        <f>SUM(T36:X36)</f>
        <v>0</v>
      </c>
      <c r="Z36" s="489">
        <f>G36-Y36</f>
        <v>0</v>
      </c>
    </row>
    <row r="37" spans="1:26" x14ac:dyDescent="0.25">
      <c r="A37" s="739"/>
      <c r="B37" s="1" t="s">
        <v>23</v>
      </c>
      <c r="C37" s="33">
        <f>SUM(T37:X37)+E58</f>
        <v>103.96938946912277</v>
      </c>
      <c r="D37" s="539"/>
      <c r="E37" s="504"/>
      <c r="F37" s="539"/>
      <c r="G37" s="17">
        <f t="shared" si="5"/>
        <v>103.96938946912277</v>
      </c>
      <c r="H37" s="539"/>
      <c r="I37" s="498"/>
      <c r="J37" s="37"/>
      <c r="K37" s="35"/>
      <c r="L37" s="35"/>
      <c r="M37" s="505"/>
      <c r="N37" s="35"/>
      <c r="P37" s="35"/>
      <c r="Q37" s="541"/>
      <c r="R37" s="508"/>
      <c r="S37" s="539"/>
      <c r="T37" s="506">
        <f>Bilans_E_AMS_Kyoto_run3_2035!L38</f>
        <v>13.268691220387016</v>
      </c>
      <c r="U37" s="93">
        <f>Bilans_E_AMS_Kyoto_run3_2035!L34</f>
        <v>38.482812658254467</v>
      </c>
      <c r="V37" s="506">
        <f>Bilans_E_AMS_Kyoto_run3_2035!L36</f>
        <v>51.327953484818188</v>
      </c>
      <c r="W37" s="507">
        <f>Bilans_E_AMS_Kyoto_run3_2035!L37</f>
        <v>0.59825096685183632</v>
      </c>
      <c r="X37" s="506">
        <f>Bilans_E_AMS_Kyoto_run3_2035!L35</f>
        <v>0</v>
      </c>
      <c r="Y37" s="489">
        <f t="shared" ref="Y37:Y47" si="6">SUM(T37:X37)</f>
        <v>103.67770833031152</v>
      </c>
      <c r="Z37" s="489">
        <f t="shared" ref="Z37:Z44" si="7">G37-Y37</f>
        <v>0.29168113881125635</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f>SUM(G36:G41)-E55-E56-E58-L41-L36</f>
        <v>325.6566296005941</v>
      </c>
      <c r="R38" s="508"/>
      <c r="S38" s="539"/>
      <c r="T38" s="84">
        <v>0</v>
      </c>
      <c r="U38" s="83">
        <v>0</v>
      </c>
      <c r="V38" s="84">
        <v>0</v>
      </c>
      <c r="W38" s="91">
        <v>0</v>
      </c>
      <c r="X38" s="91">
        <v>0</v>
      </c>
      <c r="Y38" s="489">
        <f t="shared" si="6"/>
        <v>0</v>
      </c>
      <c r="Z38" s="489">
        <f t="shared" si="7"/>
        <v>0</v>
      </c>
    </row>
    <row r="39" spans="1:26" x14ac:dyDescent="0.25">
      <c r="A39" s="739"/>
      <c r="B39" s="1" t="s">
        <v>35</v>
      </c>
      <c r="C39" s="33">
        <f>SUM(T39:X39)</f>
        <v>17.315449472003493</v>
      </c>
      <c r="D39" s="539"/>
      <c r="E39" s="35"/>
      <c r="F39" s="539"/>
      <c r="G39" s="17">
        <f t="shared" si="5"/>
        <v>17.315449472003493</v>
      </c>
      <c r="H39" s="539"/>
      <c r="I39" s="35"/>
      <c r="J39" s="37"/>
      <c r="K39" s="35"/>
      <c r="L39" s="35"/>
      <c r="M39" s="37"/>
      <c r="N39" s="35"/>
      <c r="O39" s="35"/>
      <c r="P39" s="35"/>
      <c r="Q39" s="541"/>
      <c r="R39" s="508"/>
      <c r="S39" s="539"/>
      <c r="T39" s="84">
        <f>Bilans_E_AMS_Kyoto_run3_2035!Q38</f>
        <v>0.96290247555165809</v>
      </c>
      <c r="U39" s="83">
        <f>Bilans_E_AMS_Kyoto_run3_2035!Q34</f>
        <v>6.9244826847420892E-4</v>
      </c>
      <c r="V39" s="84">
        <f>Bilans_E_AMS_Kyoto_run3_2035!Q36</f>
        <v>8.4399601726258009</v>
      </c>
      <c r="W39" s="91">
        <f>Bilans_E_AMS_Kyoto_run3_2035!Q37</f>
        <v>7.9118943755575595</v>
      </c>
      <c r="X39" s="91">
        <f>Bilans_E_AMS_Kyoto_run3_2035!Q35</f>
        <v>0</v>
      </c>
      <c r="Y39" s="489">
        <f t="shared" si="6"/>
        <v>17.315449472003493</v>
      </c>
      <c r="Z39" s="489">
        <f t="shared" si="7"/>
        <v>0</v>
      </c>
    </row>
    <row r="40" spans="1:26" x14ac:dyDescent="0.25">
      <c r="A40" s="739"/>
      <c r="B40" s="1" t="s">
        <v>36</v>
      </c>
      <c r="C40" s="33">
        <f>Bilans_E_AMS_Kyoto_run3_2035!P12-Bilans_E_AMS_Kyoto_run3_2035!P22</f>
        <v>157.23536701439491</v>
      </c>
      <c r="D40" s="539"/>
      <c r="E40" s="35"/>
      <c r="F40" s="539"/>
      <c r="G40" s="17">
        <f t="shared" si="5"/>
        <v>157.23536701439491</v>
      </c>
      <c r="H40" s="539"/>
      <c r="I40" s="35"/>
      <c r="J40" s="37"/>
      <c r="K40" s="35"/>
      <c r="L40" s="35"/>
      <c r="M40" s="37"/>
      <c r="N40" s="35"/>
      <c r="O40" s="35"/>
      <c r="P40" s="35"/>
      <c r="Q40" s="541"/>
      <c r="R40" s="508"/>
      <c r="S40" s="539"/>
      <c r="T40" s="83">
        <f>Bilans_E_AMS_Kyoto_run3_2035!P$38</f>
        <v>0.75</v>
      </c>
      <c r="U40" s="83">
        <f>Bilans_E_AMS_Kyoto_run3_2035!P$34</f>
        <v>7.96939501953125</v>
      </c>
      <c r="V40" s="83">
        <f>Bilans_E_AMS_Kyoto_run3_2035!P$36</f>
        <v>106.12788282579821</v>
      </c>
      <c r="W40" s="83">
        <f>Bilans_E_AMS_Kyoto_run3_2035!P$37</f>
        <v>42.388089169065466</v>
      </c>
      <c r="X40" s="84">
        <f>Bilans_E_AMS_Kyoto_run3_2035!P$35</f>
        <v>0</v>
      </c>
      <c r="Y40" s="489">
        <f t="shared" si="6"/>
        <v>157.23536701439491</v>
      </c>
      <c r="Z40" s="489">
        <f t="shared" si="7"/>
        <v>0</v>
      </c>
    </row>
    <row r="41" spans="1:26" x14ac:dyDescent="0.25">
      <c r="A41" s="739"/>
      <c r="B41" s="1" t="s">
        <v>37</v>
      </c>
      <c r="C41" s="33">
        <f>Bilans_E_AMS_Kyoto_run3_2035!N12+Bilans_E_AMS_Kyoto_run3_2035!L26+Bilans_E_AMS_Kyoto_run3_2035!M26-Bilans_E_AMS_Kyoto_run3_2035!N21+Bilans_E_AMS_Kyoto_run3_2035!T27</f>
        <v>90.371106486764958</v>
      </c>
      <c r="D41" s="191">
        <f>SUM(C36:C47)</f>
        <v>776.75465813474034</v>
      </c>
      <c r="E41" s="511">
        <f>Bilans_E_AMS_Kyoto_run3_2035!U27+Bilans_E_AMS_Kyoto_run3_2035!U26</f>
        <v>41.990371699629556</v>
      </c>
      <c r="F41" s="191">
        <f>SUM(E36:E47)</f>
        <v>60.161848224476316</v>
      </c>
      <c r="G41" s="17">
        <f t="shared" si="5"/>
        <v>48.380734787135403</v>
      </c>
      <c r="H41" s="191">
        <f>SUM(G36:G47)</f>
        <v>716.59280991026401</v>
      </c>
      <c r="I41" s="35"/>
      <c r="J41" s="37"/>
      <c r="K41" s="35"/>
      <c r="L41" s="37">
        <f>-(SUM(Bilans_E_AMS_Kyoto_run3_2035!N13:N16)+SUM(Bilans_E_AMS_Kyoto_run3_2035!G13:G16))</f>
        <v>-2.4257637307424895</v>
      </c>
      <c r="M41" s="35"/>
      <c r="N41" s="35"/>
      <c r="O41" s="35"/>
      <c r="P41" s="35"/>
      <c r="Q41" s="541"/>
      <c r="R41" s="508">
        <f>SUM(Q36:Q47)-S41</f>
        <v>0</v>
      </c>
      <c r="S41" s="191">
        <f>SUM(T36:X46)</f>
        <v>579.9863855960001</v>
      </c>
      <c r="T41" s="83">
        <f>Bilans_E_AMS_Kyoto_run3_2035!N$38+Bilans_E_AMS_Kyoto_run3_2035!G$38</f>
        <v>5.5416929804733215</v>
      </c>
      <c r="U41" s="83">
        <f>Bilans_E_AMS_Kyoto_run3_2035!N$34+Bilans_E_AMS_Kyoto_run3_2035!G$34</f>
        <v>0.86864625843500676</v>
      </c>
      <c r="V41" s="83">
        <f>Bilans_E_AMS_Kyoto_run3_2035!N$36+Bilans_E_AMS_Kyoto_run3_2035!G$36</f>
        <v>0</v>
      </c>
      <c r="W41" s="83">
        <f>Bilans_E_AMS_Kyoto_run3_2035!N$37+Bilans_E_AMS_Kyoto_run3_2035!G$37</f>
        <v>0</v>
      </c>
      <c r="X41" s="84">
        <f>Bilans_E_AMS_Kyoto_run3_2035!N$35+Bilans_E_AMS_Kyoto_run3_2035!G$35</f>
        <v>41.017765544975838</v>
      </c>
      <c r="Y41" s="489">
        <f t="shared" si="6"/>
        <v>47.428104783884166</v>
      </c>
      <c r="Z41" s="489">
        <f>G41-Y41-L41</f>
        <v>3.3783937339937262</v>
      </c>
    </row>
    <row r="42" spans="1:26" x14ac:dyDescent="0.25">
      <c r="A42" s="739"/>
      <c r="B42" s="1" t="s">
        <v>38</v>
      </c>
      <c r="C42" s="33">
        <f>Bilans_E_AMS_Kyoto_run3_2035!E18+Bilans_E_AMS_Kyoto_run3_2035!F18-Bilans_E_AMS_Kyoto_run3_2035!F21-Bilans_E_AMS_Kyoto_run3_2035!F22-E54-SUM(T43:X43)-(Bilans_E_AMS_Kyoto_run3_2035!E20+Bilans_E_AMS_Kyoto_run3_2035!F20+Bilans_E_AMS_Kyoto_run3_2035!E19+Bilans_E_AMS_Kyoto_run3_2035!F19)</f>
        <v>229.8816298417494</v>
      </c>
      <c r="D42" s="539"/>
      <c r="E42" s="17">
        <f>Bilans_E_AMS_Kyoto_run3_2035!F30+Bilans_E_AMS_Kyoto_run3_2035!U25+Bilans_E_AMS_Kyoto_run3_2035!F29+Bilans_E_AMS_Kyoto_run3_2035!E29</f>
        <v>18.17147652484676</v>
      </c>
      <c r="F42" s="539"/>
      <c r="G42" s="17">
        <f t="shared" si="5"/>
        <v>211.71015331690265</v>
      </c>
      <c r="H42" s="539"/>
      <c r="I42" s="498"/>
      <c r="J42" s="37"/>
      <c r="K42" s="35"/>
      <c r="L42" s="35"/>
      <c r="M42" s="35"/>
      <c r="N42" s="35"/>
      <c r="O42" s="35"/>
      <c r="P42" s="35"/>
      <c r="Q42" s="36">
        <f>G42</f>
        <v>211.71015331690265</v>
      </c>
      <c r="R42" s="508"/>
      <c r="S42" s="539"/>
      <c r="T42" s="83">
        <v>0</v>
      </c>
      <c r="U42" s="83">
        <v>0</v>
      </c>
      <c r="V42" s="83">
        <v>0</v>
      </c>
      <c r="W42" s="83">
        <v>0</v>
      </c>
      <c r="X42" s="84">
        <f>Bilans_E_AMS_Kyoto_run3_2035!F35</f>
        <v>211.71015331690265</v>
      </c>
      <c r="Y42" s="489">
        <f t="shared" si="6"/>
        <v>211.71015331690265</v>
      </c>
      <c r="Z42" s="489">
        <f>Q42-SUM(T42:X42)</f>
        <v>0</v>
      </c>
    </row>
    <row r="43" spans="1:26" x14ac:dyDescent="0.25">
      <c r="A43" s="739"/>
      <c r="B43" s="1" t="s">
        <v>39</v>
      </c>
      <c r="C43" s="33">
        <f>Bilans_E_AMS_Kyoto_run3_2035!F41+SUM(T43:X43)</f>
        <v>140.91159455686989</v>
      </c>
      <c r="D43" s="539"/>
      <c r="E43" s="38"/>
      <c r="F43" s="539"/>
      <c r="G43" s="17">
        <f>C43-E43</f>
        <v>140.91159455686989</v>
      </c>
      <c r="H43" s="539"/>
      <c r="I43" s="35"/>
      <c r="J43" s="37"/>
      <c r="K43" s="35"/>
      <c r="L43" s="35"/>
      <c r="M43" s="35"/>
      <c r="N43" s="35"/>
      <c r="O43" s="35"/>
      <c r="P43" s="35"/>
      <c r="Q43" s="36">
        <f>G43-Bilans_E_AMS_Kyoto_run3_2035!F41</f>
        <v>32.523277499688518</v>
      </c>
      <c r="R43" s="508"/>
      <c r="S43" s="539"/>
      <c r="T43" s="83">
        <f>Bilans_E_AMS_Kyoto_run3_2035!F38</f>
        <v>22.236615834161011</v>
      </c>
      <c r="U43" s="83">
        <f>Bilans_E_AMS_Kyoto_run3_2035!F34</f>
        <v>6.9248578185022795</v>
      </c>
      <c r="V43" s="83">
        <f>Bilans_E_AMS_Kyoto_run3_2035!F36</f>
        <v>1.1922779453513948</v>
      </c>
      <c r="W43" s="83">
        <f>Bilans_E_AMS_Kyoto_run3_2035!F37</f>
        <v>2.1695259016738468</v>
      </c>
      <c r="X43" s="84">
        <v>0</v>
      </c>
      <c r="Y43" s="489">
        <f t="shared" si="6"/>
        <v>32.523277499688533</v>
      </c>
      <c r="Z43" s="489">
        <f>Q43-SUM(T43:X43)</f>
        <v>0</v>
      </c>
    </row>
    <row r="44" spans="1:26" x14ac:dyDescent="0.25">
      <c r="A44" s="739"/>
      <c r="B44" s="1" t="s">
        <v>40</v>
      </c>
      <c r="C44" s="33">
        <f>SUM(T44:X44)</f>
        <v>9.5007953936584837</v>
      </c>
      <c r="D44" s="539"/>
      <c r="E44" s="38"/>
      <c r="F44" s="539"/>
      <c r="G44" s="17">
        <f t="shared" si="1"/>
        <v>9.5007953936584837</v>
      </c>
      <c r="H44" s="539"/>
      <c r="I44" s="35"/>
      <c r="J44" s="37"/>
      <c r="K44" s="35"/>
      <c r="L44" s="35"/>
      <c r="M44" s="35"/>
      <c r="N44" s="35"/>
      <c r="O44" s="35"/>
      <c r="P44" s="35"/>
      <c r="Q44" s="36">
        <f>G44-Bilans_E_AMS_Kyoto_run3_2035!M41</f>
        <v>9.5007953936584837</v>
      </c>
      <c r="R44" s="498"/>
      <c r="S44" s="539"/>
      <c r="T44" s="83">
        <f>Bilans_E_AMS_Kyoto_run3_2035!M$38</f>
        <v>0</v>
      </c>
      <c r="U44" s="83">
        <f>Bilans_E_AMS_Kyoto_run3_2035!M$34</f>
        <v>9.5007953936584837</v>
      </c>
      <c r="V44" s="83">
        <f>Bilans_E_AMS_Kyoto_run3_2035!M$36</f>
        <v>0</v>
      </c>
      <c r="W44" s="83">
        <f>Bilans_E_AMS_Kyoto_run3_2035!M$37</f>
        <v>0</v>
      </c>
      <c r="X44" s="84">
        <f>Bilans_E_AMS_Kyoto_run3_2035!M$35</f>
        <v>0</v>
      </c>
      <c r="Y44" s="489">
        <f t="shared" si="6"/>
        <v>9.5007953936584837</v>
      </c>
      <c r="Z44" s="489">
        <f t="shared" si="7"/>
        <v>0</v>
      </c>
    </row>
    <row r="45" spans="1:26" x14ac:dyDescent="0.25">
      <c r="A45" s="739"/>
      <c r="B45" s="1" t="s">
        <v>41</v>
      </c>
      <c r="C45" s="33">
        <f>E53</f>
        <v>12.973217825865042</v>
      </c>
      <c r="D45" s="539"/>
      <c r="E45" s="38"/>
      <c r="F45" s="539"/>
      <c r="G45" s="17">
        <f t="shared" si="1"/>
        <v>12.973217825865042</v>
      </c>
      <c r="H45" s="539"/>
      <c r="I45" s="35"/>
      <c r="J45" s="37"/>
      <c r="K45" s="35"/>
      <c r="L45" s="35"/>
      <c r="M45" s="35"/>
      <c r="N45" s="35"/>
      <c r="O45" s="35"/>
      <c r="P45" s="35"/>
      <c r="Q45" s="36">
        <f>G45-Bilans_E_AMS_Kyoto_run3_2035!H41</f>
        <v>0</v>
      </c>
      <c r="R45" s="498"/>
      <c r="S45" s="539"/>
      <c r="T45" s="84">
        <v>0</v>
      </c>
      <c r="U45" s="83">
        <v>0</v>
      </c>
      <c r="V45" s="84">
        <v>0</v>
      </c>
      <c r="W45" s="92">
        <v>0</v>
      </c>
      <c r="X45" s="84">
        <v>0</v>
      </c>
      <c r="Y45" s="489">
        <f t="shared" si="6"/>
        <v>0</v>
      </c>
      <c r="Z45" s="489">
        <f>Q45-Y45</f>
        <v>0</v>
      </c>
    </row>
    <row r="46" spans="1:26" x14ac:dyDescent="0.25">
      <c r="A46" s="739"/>
      <c r="B46" s="1" t="s">
        <v>42</v>
      </c>
      <c r="C46" s="33">
        <f>Bilans_E_AMS_Kyoto_run3_2035!D18-C18-C34</f>
        <v>13.10897607421875</v>
      </c>
      <c r="D46" s="539"/>
      <c r="E46" s="511"/>
      <c r="F46" s="539"/>
      <c r="G46" s="17">
        <f>C46-E46</f>
        <v>13.10897607421875</v>
      </c>
      <c r="H46" s="539"/>
      <c r="I46" s="38"/>
      <c r="J46" s="37"/>
      <c r="K46" s="35"/>
      <c r="L46" s="35"/>
      <c r="M46" s="35"/>
      <c r="N46" s="35"/>
      <c r="O46" s="35"/>
      <c r="P46" s="35"/>
      <c r="Q46" s="36">
        <f>G46-(Bilans_E_AMS_Kyoto_run3_2035!D41+Bilans_E_AMS_Kyoto_run3_2035!D29+Bilans_E_AMS_Kyoto_run3_2035!D30)</f>
        <v>0.59552978515625021</v>
      </c>
      <c r="R46" s="498"/>
      <c r="S46" s="539"/>
      <c r="T46" s="506">
        <f>Bilans_E_AMS_Kyoto_run3_2035!D38</f>
        <v>0</v>
      </c>
      <c r="U46" s="93">
        <f>Bilans_E_AMS_Kyoto_run3_2035!D34</f>
        <v>0.59552978515624999</v>
      </c>
      <c r="V46" s="506">
        <f>Bilans_E_AMS_Kyoto_run3_2035!D36</f>
        <v>0</v>
      </c>
      <c r="W46" s="507">
        <f>Bilans_E_AMS_Kyoto_run3_2035!D37</f>
        <v>0</v>
      </c>
      <c r="X46" s="506">
        <f>Bilans_E_AMS_Kyoto_run3_2035!D35</f>
        <v>0</v>
      </c>
      <c r="Y46" s="489">
        <f t="shared" si="6"/>
        <v>0.59552978515624999</v>
      </c>
      <c r="Z46" s="489">
        <f>Q46-Y46</f>
        <v>0</v>
      </c>
    </row>
    <row r="47" spans="1:26" x14ac:dyDescent="0.25">
      <c r="A47" s="90"/>
      <c r="B47" s="1" t="s">
        <v>31</v>
      </c>
      <c r="C47" s="33">
        <f>E57</f>
        <v>1.487132000092672</v>
      </c>
      <c r="D47" s="192"/>
      <c r="E47" s="511"/>
      <c r="F47" s="192"/>
      <c r="G47" s="17">
        <f>C47-E47</f>
        <v>1.487132000092672</v>
      </c>
      <c r="H47" s="192"/>
      <c r="I47" s="38"/>
      <c r="J47" s="37"/>
      <c r="K47" s="35"/>
      <c r="L47" s="35"/>
      <c r="M47" s="35"/>
      <c r="N47" s="35"/>
      <c r="O47" s="35"/>
      <c r="P47" s="35"/>
      <c r="Q47" s="542">
        <f>G47-Bilans_E_AMS_Kyoto_run3_2035!T41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C5-L13-SUM(L21:L24)-L30-L41-Bilans_E_AMS_Kyoto_run3_2035!U18</f>
        <v>0</v>
      </c>
      <c r="D49" s="1"/>
      <c r="E49" s="34">
        <f>SUM(E7:E47)+I13-Bilans_E_AMS_Kyoto_run3_2035!U32+K13+SUM(K21:K24)+K30+Bilans_E_AMS_Kyoto_run3_2035!D29+Bilans_E_AMS_Kyoto_run3_2035!D30</f>
        <v>1.3855583347321954E-13</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562.78069342200286</v>
      </c>
    </row>
    <row r="52" spans="1:19" x14ac:dyDescent="0.25">
      <c r="A52" s="21"/>
      <c r="B52" s="1" t="s">
        <v>44</v>
      </c>
      <c r="C52" s="44"/>
      <c r="D52" s="1"/>
      <c r="E52" s="39">
        <f>Bilans_E_AMS_Kyoto_run3_2035!D41+Bilans_E_AMS_Kyoto_run3_2035!D29+Bilans_E_AMS_Kyoto_run3_2035!D30</f>
        <v>12.5134462890625</v>
      </c>
      <c r="F52" s="187"/>
      <c r="G52" s="1"/>
      <c r="H52" s="1"/>
      <c r="I52" s="30"/>
      <c r="J52" s="17"/>
      <c r="K52" s="17"/>
      <c r="L52" s="21"/>
      <c r="M52" s="1"/>
      <c r="N52" s="17"/>
      <c r="O52" s="17"/>
      <c r="P52" s="17"/>
      <c r="Q52" s="1"/>
      <c r="S52" s="33"/>
    </row>
    <row r="53" spans="1:19" x14ac:dyDescent="0.25">
      <c r="A53" s="21"/>
      <c r="B53" s="1" t="s">
        <v>41</v>
      </c>
      <c r="C53" s="45"/>
      <c r="D53" s="17"/>
      <c r="E53" s="433">
        <f>Bilans_E_AMS_Kyoto_run3_2035!H41+Bilans_E_AMS_Kyoto_run3_2035!H29</f>
        <v>12.973217825865042</v>
      </c>
      <c r="F53" s="187"/>
      <c r="G53" s="1"/>
      <c r="H53" s="1"/>
      <c r="I53" s="30"/>
      <c r="J53" s="17"/>
      <c r="K53" s="17"/>
      <c r="L53" s="21"/>
      <c r="M53" s="1"/>
      <c r="N53" s="17"/>
      <c r="O53" s="17"/>
      <c r="P53" s="17"/>
      <c r="Q53" s="1"/>
    </row>
    <row r="54" spans="1:19" x14ac:dyDescent="0.25">
      <c r="A54" s="21"/>
      <c r="B54" s="1" t="s">
        <v>39</v>
      </c>
      <c r="C54" s="45"/>
      <c r="D54" s="17"/>
      <c r="E54" s="435">
        <f>Bilans_E_AMS_Kyoto_run3_2035!F41</f>
        <v>108.38831705718137</v>
      </c>
      <c r="F54" s="187"/>
      <c r="G54" s="1"/>
      <c r="H54" s="1"/>
      <c r="I54" s="30"/>
      <c r="J54" s="17"/>
      <c r="K54" s="17"/>
      <c r="L54" s="21"/>
      <c r="M54" s="21"/>
      <c r="N54" s="17"/>
      <c r="O54" s="17"/>
      <c r="P54" s="17"/>
      <c r="Q54" s="1"/>
    </row>
    <row r="55" spans="1:19" x14ac:dyDescent="0.25">
      <c r="B55" s="1" t="s">
        <v>21</v>
      </c>
      <c r="E55" s="631">
        <f>Bilans_E_AMS_Kyoto_run3_2035!O41+Bilans_E_AMS_Kyoto_run3_2035!O29</f>
        <v>0</v>
      </c>
    </row>
    <row r="56" spans="1:19" x14ac:dyDescent="0.25">
      <c r="B56" s="1" t="s">
        <v>37</v>
      </c>
      <c r="E56" s="631">
        <f>Bilans_E_AMS_Kyoto_run3_2035!N41+Bilans_E_AMS_Kyoto_run3_2035!N29+Bilans_E_AMS_Kyoto_run3_2035!G41</f>
        <v>3.3783937339937218</v>
      </c>
    </row>
    <row r="57" spans="1:19" x14ac:dyDescent="0.25">
      <c r="B57" s="1" t="s">
        <v>31</v>
      </c>
      <c r="E57" s="631">
        <f>Bilans_E_AMS_Kyoto_run3_2035!T41</f>
        <v>1.487132000092672</v>
      </c>
    </row>
    <row r="58" spans="1:19" x14ac:dyDescent="0.25">
      <c r="B58" s="1" t="s">
        <v>335</v>
      </c>
      <c r="E58" s="631">
        <f>Bilans_E_AMS_Kyoto_run3_2035!L41</f>
        <v>0.29168113881125463</v>
      </c>
    </row>
    <row r="59" spans="1:19" x14ac:dyDescent="0.25">
      <c r="E59" s="632"/>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AB2CC-4857-4519-88A9-1F98D67C3C7B}">
  <dimension ref="A1:Z59"/>
  <sheetViews>
    <sheetView workbookViewId="0">
      <selection activeCell="C7" sqref="C7:C9"/>
    </sheetView>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2628.275609243361</v>
      </c>
      <c r="D5" s="18"/>
      <c r="E5" s="20"/>
      <c r="F5" s="494"/>
      <c r="G5" s="21"/>
      <c r="H5" s="493"/>
      <c r="I5" s="21"/>
      <c r="J5" s="22"/>
      <c r="K5" s="23"/>
      <c r="L5" s="14"/>
      <c r="M5" s="14"/>
      <c r="N5" s="15"/>
      <c r="O5" s="16"/>
      <c r="P5" s="16"/>
      <c r="Q5" s="24">
        <f>Q13+Q22+Q30+Q42+Q46+Q38+Q43</f>
        <v>1298.8010865275089</v>
      </c>
      <c r="R5" s="487"/>
      <c r="S5" s="79">
        <f>SUM(S13,S22,S27:S32,S41)</f>
        <v>1307.8926996510359</v>
      </c>
      <c r="T5" s="79">
        <f>SUM(T8:T46)</f>
        <v>51.16454176909469</v>
      </c>
      <c r="U5" s="79">
        <f>SUM(U8:U46)</f>
        <v>312.02436594572339</v>
      </c>
      <c r="V5" s="79">
        <f>SUM(V8:V46)</f>
        <v>427.37810303237865</v>
      </c>
      <c r="W5" s="173">
        <f>SUM(W8:W46)</f>
        <v>236.64024040927214</v>
      </c>
      <c r="X5" s="79">
        <f>SUM(X8:X46)</f>
        <v>280.68544849456714</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f>(([13]Offre_calc!$S$108+[13]Offre_calc!$S$109+[13]Offre_calc!$S$147+[13]Offre_calc!$S$148)/([13]Offre_calc!$S$105+[13]Offre_calc!$S$144))*Bilans_E_AMS_Kyoto_run3_2038!K$21</f>
        <v>180.26205435453099</v>
      </c>
      <c r="D7" s="516"/>
      <c r="E7" s="28">
        <v>0</v>
      </c>
      <c r="F7" s="516"/>
      <c r="G7" s="17">
        <f>C7-E7</f>
        <v>180.26205435453099</v>
      </c>
      <c r="H7" s="516"/>
      <c r="I7" s="21"/>
      <c r="J7" s="516"/>
      <c r="K7" s="523"/>
      <c r="L7" s="523"/>
      <c r="M7" s="523"/>
      <c r="N7" s="523"/>
      <c r="O7" s="523"/>
      <c r="P7" s="513"/>
      <c r="Q7" s="526"/>
      <c r="R7" s="498"/>
      <c r="S7" s="526"/>
      <c r="T7" s="523"/>
      <c r="U7" s="523"/>
      <c r="V7" s="523"/>
      <c r="W7" s="523"/>
      <c r="X7" s="523"/>
    </row>
    <row r="8" spans="1:24" x14ac:dyDescent="0.25">
      <c r="A8" s="736"/>
      <c r="B8" s="1" t="s">
        <v>18</v>
      </c>
      <c r="C8" s="486">
        <f>(([13]Offre_calc!$S$107+[13]Offre_calc!$S$146)/([13]Offre_calc!$S$105+[13]Offre_calc!$S$144))*Bilans_E_AMS_Kyoto_run3_2038!K$21</f>
        <v>53.745054853456665</v>
      </c>
      <c r="D8" s="81"/>
      <c r="E8" s="28">
        <v>0</v>
      </c>
      <c r="F8" s="81"/>
      <c r="G8" s="17">
        <f t="shared" ref="G8:G19" si="0">C8-E8</f>
        <v>53.745054853456665</v>
      </c>
      <c r="H8" s="81"/>
      <c r="I8" s="21"/>
      <c r="J8" s="81"/>
      <c r="K8" s="524"/>
      <c r="L8" s="524"/>
      <c r="M8" s="524"/>
      <c r="N8" s="524"/>
      <c r="O8" s="524"/>
      <c r="P8" s="29"/>
      <c r="Q8" s="527"/>
      <c r="R8" s="498"/>
      <c r="S8" s="527"/>
      <c r="T8" s="524"/>
      <c r="U8" s="524"/>
      <c r="V8" s="524"/>
      <c r="W8" s="524"/>
      <c r="X8" s="524"/>
    </row>
    <row r="9" spans="1:24" x14ac:dyDescent="0.25">
      <c r="A9" s="736"/>
      <c r="B9" s="1" t="s">
        <v>19</v>
      </c>
      <c r="C9" s="486">
        <f>(([13]Offre_calc!$S$106+[13]Offre_calc!$S$145)/([13]Offre_calc!$S$105+[13]Offre_calc!$S$144))*Bilans_E_AMS_Kyoto_run3_2038!K$21</f>
        <v>118.80928971405312</v>
      </c>
      <c r="D9" s="81"/>
      <c r="E9" s="28">
        <v>0</v>
      </c>
      <c r="F9" s="81"/>
      <c r="G9" s="17">
        <f t="shared" si="0"/>
        <v>118.80928971405312</v>
      </c>
      <c r="H9" s="81"/>
      <c r="I9" s="21"/>
      <c r="J9" s="81"/>
      <c r="K9" s="524"/>
      <c r="L9" s="524"/>
      <c r="M9" s="524"/>
      <c r="N9" s="524"/>
      <c r="O9" s="524"/>
      <c r="P9" s="29"/>
      <c r="Q9" s="527"/>
      <c r="R9" s="498"/>
      <c r="S9" s="527"/>
      <c r="T9" s="524"/>
      <c r="U9" s="524"/>
      <c r="V9" s="524"/>
      <c r="W9" s="524"/>
      <c r="X9" s="524"/>
    </row>
    <row r="10" spans="1:24" x14ac:dyDescent="0.25">
      <c r="A10" s="736"/>
      <c r="B10" s="1" t="s">
        <v>20</v>
      </c>
      <c r="C10" s="17">
        <f>Bilans_E_AMS_Kyoto_run3_2038!J21-(Bilans_E_AMS_Kyoto_run3_2038!R20+Bilans_E_AMS_Kyoto_run3_2038!R19)</f>
        <v>1193.4597454545453</v>
      </c>
      <c r="D10" s="81"/>
      <c r="E10" s="28">
        <f>F13-SUM(E11:E19)</f>
        <v>800.94505616776996</v>
      </c>
      <c r="F10" s="81"/>
      <c r="G10" s="17">
        <f t="shared" si="0"/>
        <v>392.51468928677536</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f>Bilans_E_AMS_Kyoto_run3_2038!O21</f>
        <v>5.0608301808950129</v>
      </c>
      <c r="D11" s="81"/>
      <c r="E11" s="727">
        <f>C11*(1-[12]Offre_calc!$V$161)</f>
        <v>2.0243320723580052</v>
      </c>
      <c r="F11" s="81"/>
      <c r="G11" s="17">
        <f t="shared" si="0"/>
        <v>3.0364981085370077</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f>Bilans_E_AMS_Kyoto_run3_2038!M21</f>
        <v>5.7366833077088035</v>
      </c>
      <c r="D12" s="81"/>
      <c r="E12" s="727">
        <f>C12*(1-[12]Offre_calc!$V$171)</f>
        <v>3.4420099846252818</v>
      </c>
      <c r="F12" s="81"/>
      <c r="G12" s="17">
        <f t="shared" si="0"/>
        <v>2.2946733230835217</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f>Bilans_E_AMS_Kyoto_run3_2038!L21</f>
        <v>17.169316423280179</v>
      </c>
      <c r="D13" s="81">
        <f>SUM(C7:C19)</f>
        <v>1593.6198529412004</v>
      </c>
      <c r="E13" s="727">
        <f>C13*(1-[12]Offre_calc!$V$170)</f>
        <v>10.301589853968107</v>
      </c>
      <c r="F13" s="81">
        <f>Bilans_E_AMS_Kyoto_run3_2038!U21</f>
        <v>823.39251711579163</v>
      </c>
      <c r="G13" s="17">
        <f t="shared" si="0"/>
        <v>6.8677265693120724</v>
      </c>
      <c r="H13" s="81">
        <f>SUM(G7:G19)</f>
        <v>770.22733582540877</v>
      </c>
      <c r="I13" s="33">
        <f>Bilans_E_AMS_Kyoto_run3_2038!R30</f>
        <v>37.320812200670765</v>
      </c>
      <c r="J13" s="81">
        <f>H13-I13</f>
        <v>732.90652362473804</v>
      </c>
      <c r="K13" s="29">
        <f>Bilans_E_AMS_Kyoto_run3_2038!R31</f>
        <v>53.75602745291291</v>
      </c>
      <c r="L13" s="29">
        <f>-(Bilans_E_AMS_Kyoto_run3_2038!R14+Bilans_E_AMS_Kyoto_run3_2038!R13)</f>
        <v>112.47635741768158</v>
      </c>
      <c r="M13" s="29">
        <f>Bilans_E_AMS_Kyoto_run3_2038!R28</f>
        <v>40.8329668197633</v>
      </c>
      <c r="N13" s="29"/>
      <c r="O13" s="29"/>
      <c r="P13" s="29"/>
      <c r="Q13" s="81">
        <f>J13-K13-L13-M13-N13-O13-P13</f>
        <v>525.84117193438021</v>
      </c>
      <c r="R13" s="508">
        <f>Q13-S13</f>
        <v>0</v>
      </c>
      <c r="S13" s="81">
        <f>SUM(T8:X19)</f>
        <v>525.84117193437999</v>
      </c>
      <c r="T13" s="29">
        <f>Bilans_E_AMS_Kyoto_run3_2038!R38</f>
        <v>9.1593739040126536</v>
      </c>
      <c r="U13" s="29">
        <f>Bilans_E_AMS_Kyoto_run3_2038!R34+Bilans_E_AMS_Kyoto_run3_2038!R39</f>
        <v>156.77632550799115</v>
      </c>
      <c r="V13" s="29">
        <f>Bilans_E_AMS_Kyoto_run3_2038!R36</f>
        <v>153.25630739971572</v>
      </c>
      <c r="W13" s="29">
        <f>Bilans_E_AMS_Kyoto_run3_2038!R37</f>
        <v>121.55538254836378</v>
      </c>
      <c r="X13" s="29">
        <f>Bilans_E_AMS_Kyoto_run3_2038!R35</f>
        <v>85.093782574296696</v>
      </c>
    </row>
    <row r="14" spans="1:24" x14ac:dyDescent="0.25">
      <c r="A14" s="736"/>
      <c r="B14" s="1" t="s">
        <v>24</v>
      </c>
      <c r="C14" s="17">
        <f>Bilans_E_AMS_Kyoto_run3_2038!Q21</f>
        <v>4.9774137725284184</v>
      </c>
      <c r="D14" s="81"/>
      <c r="E14" s="28">
        <v>0</v>
      </c>
      <c r="F14" s="81"/>
      <c r="G14" s="17">
        <f t="shared" si="0"/>
        <v>4.9774137725284184</v>
      </c>
      <c r="H14" s="81"/>
      <c r="I14" s="21"/>
      <c r="J14" s="81"/>
      <c r="K14" s="524"/>
      <c r="L14" s="524"/>
      <c r="M14" s="524"/>
      <c r="N14" s="524"/>
      <c r="O14" s="524"/>
      <c r="P14" s="29"/>
      <c r="Q14" s="527"/>
      <c r="R14" s="508"/>
      <c r="S14" s="527"/>
      <c r="T14" s="524"/>
      <c r="U14" s="524"/>
      <c r="V14" s="524"/>
      <c r="W14" s="524"/>
      <c r="X14" s="524"/>
    </row>
    <row r="15" spans="1:24" x14ac:dyDescent="0.25">
      <c r="A15" s="736"/>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36"/>
      <c r="B16" s="1" t="s">
        <v>343</v>
      </c>
      <c r="C16" s="17">
        <f>Bilans_E_AMS_Kyoto_run3_2038!N21</f>
        <v>5.3878161949008447</v>
      </c>
      <c r="D16" s="81"/>
      <c r="E16" s="727">
        <f>C16*(1-[12]Offre_calc!$V$158)</f>
        <v>3.0171770691444735</v>
      </c>
      <c r="F16" s="81"/>
      <c r="G16" s="17">
        <f t="shared" si="0"/>
        <v>2.3706391257563713</v>
      </c>
      <c r="H16" s="81"/>
      <c r="I16" s="21"/>
      <c r="J16" s="81"/>
      <c r="K16" s="524"/>
      <c r="L16" s="524"/>
      <c r="M16" s="524"/>
      <c r="N16" s="524"/>
      <c r="O16" s="524"/>
      <c r="P16" s="29"/>
      <c r="Q16" s="527"/>
      <c r="R16" s="508"/>
      <c r="S16" s="527"/>
      <c r="T16" s="524"/>
      <c r="U16" s="524"/>
      <c r="V16" s="524"/>
      <c r="W16" s="524"/>
      <c r="X16" s="524"/>
    </row>
    <row r="17" spans="1:24" x14ac:dyDescent="0.25">
      <c r="A17" s="736"/>
      <c r="B17" s="1" t="s">
        <v>27</v>
      </c>
      <c r="C17" s="17">
        <f>Bilans_E_AMS_Kyoto_run3_2038!F21</f>
        <v>0.36057808628354604</v>
      </c>
      <c r="D17" s="81"/>
      <c r="E17" s="727">
        <f>C17*(1-[12]Offre_calc!$V$158)</f>
        <v>0.2019237283187858</v>
      </c>
      <c r="F17" s="81"/>
      <c r="G17" s="17">
        <f t="shared" si="0"/>
        <v>0.15865435796476024</v>
      </c>
      <c r="H17" s="81"/>
      <c r="I17" s="21"/>
      <c r="J17" s="81"/>
      <c r="K17" s="524"/>
      <c r="L17" s="524"/>
      <c r="M17" s="524"/>
      <c r="N17" s="524"/>
      <c r="O17" s="524"/>
      <c r="P17" s="29"/>
      <c r="Q17" s="527"/>
      <c r="R17" s="508"/>
      <c r="S17" s="527"/>
      <c r="T17" s="524"/>
      <c r="U17" s="524"/>
      <c r="V17" s="524"/>
      <c r="W17" s="524"/>
      <c r="X17" s="524"/>
    </row>
    <row r="18" spans="1:24" x14ac:dyDescent="0.25">
      <c r="A18" s="736"/>
      <c r="B18" s="1" t="s">
        <v>28</v>
      </c>
      <c r="C18" s="17">
        <f>Bilans_E_AMS_Kyoto_run3_2038!D21</f>
        <v>0</v>
      </c>
      <c r="D18" s="81"/>
      <c r="E18" s="727">
        <f>C18*(1-[12]Offre_calc!$V$157)</f>
        <v>0</v>
      </c>
      <c r="F18" s="81"/>
      <c r="G18" s="17">
        <f t="shared" si="0"/>
        <v>0</v>
      </c>
      <c r="H18" s="81"/>
      <c r="I18" s="21"/>
      <c r="J18" s="81"/>
      <c r="K18" s="524"/>
      <c r="L18" s="524"/>
      <c r="M18" s="524"/>
      <c r="N18" s="524"/>
      <c r="O18" s="524"/>
      <c r="P18" s="29"/>
      <c r="Q18" s="527"/>
      <c r="R18" s="508"/>
      <c r="S18" s="527"/>
      <c r="T18" s="524"/>
      <c r="U18" s="524"/>
      <c r="V18" s="524"/>
      <c r="W18" s="524"/>
      <c r="X18" s="524"/>
    </row>
    <row r="19" spans="1:24" x14ac:dyDescent="0.25">
      <c r="A19" s="736"/>
      <c r="B19" s="1" t="s">
        <v>260</v>
      </c>
      <c r="C19" s="17">
        <f>Bilans_E_AMS_Kyoto_run3_2038!H21+Bilans_E_AMS_Kyoto_run3_2038!T21</f>
        <v>8.6510705990175421</v>
      </c>
      <c r="D19" s="82"/>
      <c r="E19" s="727">
        <f>C19*(1-[12]Offre_calc!$V$160)</f>
        <v>3.4604282396070172</v>
      </c>
      <c r="F19" s="82"/>
      <c r="G19" s="17">
        <f t="shared" si="0"/>
        <v>5.1906423594105249</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f>G10/C10</f>
        <v>0.32888808422883237</v>
      </c>
      <c r="H20" s="499"/>
      <c r="I20" s="17"/>
      <c r="J20" s="1"/>
      <c r="K20" s="17"/>
      <c r="L20" s="1"/>
      <c r="M20" s="1"/>
      <c r="N20" s="1"/>
      <c r="O20" s="1"/>
      <c r="P20" s="1"/>
      <c r="Q20" s="499"/>
      <c r="R20" s="508"/>
      <c r="S20" s="408"/>
      <c r="T20" s="495"/>
      <c r="U20" s="408"/>
      <c r="V20" s="495"/>
      <c r="W20" s="408"/>
      <c r="X20" s="495"/>
    </row>
    <row r="21" spans="1:24" x14ac:dyDescent="0.25">
      <c r="A21" s="737" t="s">
        <v>13</v>
      </c>
      <c r="B21" s="1" t="s">
        <v>21</v>
      </c>
      <c r="C21" s="17">
        <f>Bilans_E_AMS_Kyoto_run3_2038!L23+Bilans_E_AMS_Kyoto_run3_2038!O12+Bilans_E_AMS_Kyoto_run3_2038!M23</f>
        <v>121.99056773538689</v>
      </c>
      <c r="D21" s="529"/>
      <c r="E21" s="33">
        <f>Bilans_E_AMS_Kyoto_run3_2038!U23+Bilans_E_AMS_Kyoto_run3_2038!O30</f>
        <v>60.912994375643549</v>
      </c>
      <c r="F21" s="529"/>
      <c r="G21" s="17">
        <f t="shared" ref="G21:G45" si="1">C21-E21</f>
        <v>61.07757335974334</v>
      </c>
      <c r="H21" s="529"/>
      <c r="I21" s="17"/>
      <c r="J21" s="529"/>
      <c r="K21" s="545">
        <f>Bilans_E_AMS_Kyoto_run3_2038!O31</f>
        <v>0.74770604944966079</v>
      </c>
      <c r="L21" s="545">
        <f>-(Bilans_E_AMS_Kyoto_run3_2038!O13+Bilans_E_AMS_Kyoto_run3_2038!O14+Bilans_E_AMS_Kyoto_run3_2038!O15+Bilans_E_AMS_Kyoto_run3_2038!O16)</f>
        <v>-2.9852495575387552</v>
      </c>
      <c r="M21" s="545">
        <f>Bilans_E_AMS_Kyoto_run3_2038!O28</f>
        <v>0</v>
      </c>
      <c r="N21" s="545">
        <f>Bilans_E_AMS_Kyoto_run3_2038!O22</f>
        <v>8.2544124688387157</v>
      </c>
      <c r="O21" s="545">
        <f>Bilans_E_AMS_Kyoto_run3_2038!O21</f>
        <v>5.0608301808950129</v>
      </c>
      <c r="P21" s="545">
        <f>C36</f>
        <v>0</v>
      </c>
      <c r="Q21" s="529"/>
      <c r="R21" s="508"/>
      <c r="S21" s="529"/>
      <c r="T21" s="529"/>
      <c r="U21" s="529"/>
      <c r="V21" s="529"/>
      <c r="W21" s="529"/>
      <c r="X21" s="529"/>
    </row>
    <row r="22" spans="1:24" x14ac:dyDescent="0.25">
      <c r="A22" s="737"/>
      <c r="B22" s="1" t="s">
        <v>519</v>
      </c>
      <c r="C22" s="17">
        <f>Bilans_E_AMS_Kyoto_run3_2038!T24</f>
        <v>1.1632492940861165</v>
      </c>
      <c r="D22" s="85">
        <f>SUM(C21:C24)</f>
        <v>295.42967021852701</v>
      </c>
      <c r="E22" s="630">
        <f>Bilans_E_AMS_Kyoto_run3_2038!I30+Bilans_E_AMS_Kyoto_run3_2038!U24</f>
        <v>0.32570980234411273</v>
      </c>
      <c r="F22" s="85">
        <f>SUM(E21:E24)</f>
        <v>77.063066493640676</v>
      </c>
      <c r="G22" s="17">
        <f t="shared" si="1"/>
        <v>0.83753949174200382</v>
      </c>
      <c r="H22" s="85">
        <f>SUM(G21:G24)</f>
        <v>218.36660372488632</v>
      </c>
      <c r="I22" s="408"/>
      <c r="J22" s="85">
        <f>H22-I22</f>
        <v>218.36660372488632</v>
      </c>
      <c r="K22" s="626">
        <f>Bilans_E_AMS_Kyoto_run3_2038!I31</f>
        <v>0</v>
      </c>
      <c r="L22" s="626">
        <f>-SUM(Bilans_E_AMS_Kyoto_run3_2038!I13:I16)</f>
        <v>0.83753949174200382</v>
      </c>
      <c r="M22" s="32"/>
      <c r="N22" s="534">
        <f>Bilans_E_AMS_Kyoto_run3_2038!I22</f>
        <v>0</v>
      </c>
      <c r="O22" s="32"/>
      <c r="P22" s="32"/>
      <c r="Q22" s="85">
        <f>J22-SUM(K21:P24)</f>
        <v>168.34094237871264</v>
      </c>
      <c r="R22" s="508">
        <f>Q22-S22</f>
        <v>0</v>
      </c>
      <c r="S22" s="85">
        <f>SUM(T22:X24)</f>
        <v>168.34094237871258</v>
      </c>
      <c r="T22" s="32">
        <f>Bilans_E_AMS_Kyoto_run3_2038!H38+Bilans_E_AMS_Kyoto_run3_2038!T38+Bilans_E_AMS_Kyoto_run3_2038!O$38+Bilans_E_AMS_Kyoto_run3_2038!I38</f>
        <v>1.7366901504374312</v>
      </c>
      <c r="U22" s="32">
        <f>Bilans_E_AMS_Kyoto_run3_2038!H34+Bilans_E_AMS_Kyoto_run3_2038!T34+Bilans_E_AMS_Kyoto_run3_2038!O$34+Bilans_E_AMS_Kyoto_run3_2038!I34</f>
        <v>73.137493964413309</v>
      </c>
      <c r="V22" s="32">
        <f>Bilans_E_AMS_Kyoto_run3_2038!H36+Bilans_E_AMS_Kyoto_run3_2038!T36+Bilans_E_AMS_Kyoto_run3_2038!O$36+Bilans_E_AMS_Kyoto_run3_2038!I36</f>
        <v>49.696235755446423</v>
      </c>
      <c r="W22" s="32">
        <f>Bilans_E_AMS_Kyoto_run3_2038!H37+Bilans_E_AMS_Kyoto_run3_2038!M37+Bilans_E_AMS_Kyoto_run3_2038!T37+Bilans_E_AMS_Kyoto_run3_2038!O$37+Bilans_E_AMS_Kyoto_run3_2038!I37</f>
        <v>32.51077859339641</v>
      </c>
      <c r="X22" s="32">
        <f>Bilans_E_AMS_Kyoto_run3_2038!H35+Bilans_E_AMS_Kyoto_run3_2038!T35+Bilans_E_AMS_Kyoto_run3_2038!O$35+Bilans_E_AMS_Kyoto_run3_2038!I35</f>
        <v>11.259743915019012</v>
      </c>
    </row>
    <row r="23" spans="1:24" x14ac:dyDescent="0.25">
      <c r="A23" s="737"/>
      <c r="B23" s="1" t="s">
        <v>31</v>
      </c>
      <c r="C23" s="17">
        <f>SUM(Bilans_E_AMS_Kyoto_run3_2038!D28:S28)-C47</f>
        <v>39.122398673523605</v>
      </c>
      <c r="D23" s="530"/>
      <c r="E23" s="33">
        <f>Bilans_E_AMS_Kyoto_run3_2038!U28+Bilans_E_AMS_Kyoto_run3_2038!T30</f>
        <v>15.824362315653007</v>
      </c>
      <c r="F23" s="532"/>
      <c r="G23" s="17">
        <f t="shared" si="1"/>
        <v>23.2980363578706</v>
      </c>
      <c r="H23" s="532"/>
      <c r="I23" s="17"/>
      <c r="J23" s="532"/>
      <c r="K23" s="534">
        <f>Bilans_E_AMS_Kyoto_run3_2038!T31</f>
        <v>0</v>
      </c>
      <c r="L23" s="534">
        <f>-(Bilans_E_AMS_Kyoto_run3_2038!T13+Bilans_E_AMS_Kyoto_run3_2038!T14+Bilans_E_AMS_Kyoto_run3_2038!T15+Bilans_E_AMS_Kyoto_run3_2038!T16)</f>
        <v>2.7503364994681085</v>
      </c>
      <c r="M23" s="534">
        <f>Bilans_E_AMS_Kyoto_run3_2038!T24</f>
        <v>1.1632492940861165</v>
      </c>
      <c r="N23" s="534">
        <f>Bilans_E_AMS_Kyoto_run3_2038!T22</f>
        <v>0</v>
      </c>
      <c r="O23" s="534">
        <f>Bilans_E_AMS_Kyoto_run3_2038!T21</f>
        <v>0</v>
      </c>
      <c r="P23" s="534">
        <f>Bilans_E_AMS_Kyoto_run3_2038!T27</f>
        <v>7.2149491160735479</v>
      </c>
      <c r="Q23" s="532"/>
      <c r="R23" s="489"/>
      <c r="S23" s="532"/>
      <c r="T23" s="536"/>
      <c r="U23" s="536"/>
      <c r="V23" s="536"/>
      <c r="W23" s="536"/>
      <c r="X23" s="536"/>
    </row>
    <row r="24" spans="1:24" x14ac:dyDescent="0.25">
      <c r="A24" s="737"/>
      <c r="B24" s="1" t="s">
        <v>32</v>
      </c>
      <c r="C24" s="17">
        <f>Bilans_E_AMS_Kyoto_run3_2038!H18-C45-(Bilans_E_AMS_Kyoto_run3_2038!H20+Bilans_E_AMS_Kyoto_run3_2038!H19)</f>
        <v>133.15345451553037</v>
      </c>
      <c r="D24" s="531"/>
      <c r="E24" s="33">
        <f>Bilans_E_AMS_Kyoto_run3_2038!H30</f>
        <v>0</v>
      </c>
      <c r="F24" s="533"/>
      <c r="G24" s="17">
        <f t="shared" si="1"/>
        <v>133.15345451553037</v>
      </c>
      <c r="H24" s="533"/>
      <c r="I24" s="34"/>
      <c r="J24" s="533"/>
      <c r="K24" s="535">
        <f>Bilans_E_AMS_Kyoto_run3_2038!H31</f>
        <v>1.5888753550805288</v>
      </c>
      <c r="L24" s="535"/>
      <c r="M24" s="535">
        <f>Bilans_E_AMS_Kyoto_run3_2038!H28</f>
        <v>0</v>
      </c>
      <c r="N24" s="535">
        <f>Bilans_E_AMS_Kyoto_run3_2038!H22</f>
        <v>16.741941849061199</v>
      </c>
      <c r="O24" s="535">
        <f>Bilans_E_AMS_Kyoto_run3_2038!H21</f>
        <v>8.6510705990175421</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38" t="s">
        <v>14</v>
      </c>
      <c r="B26" s="1" t="s">
        <v>21</v>
      </c>
      <c r="C26" s="17">
        <f>Bilans_E_AMS_Kyoto_run3_2038!O22</f>
        <v>8.2544124688387157</v>
      </c>
      <c r="D26" s="512"/>
      <c r="E26" s="190">
        <f>C26*F$35</f>
        <v>0.65570351718798425</v>
      </c>
      <c r="F26" s="512"/>
      <c r="G26" s="33">
        <f t="shared" ref="G26:G31" si="2">C26-E26</f>
        <v>7.5987089516507318</v>
      </c>
      <c r="H26" s="512"/>
      <c r="I26" s="1"/>
      <c r="J26" s="512"/>
      <c r="K26" s="512"/>
      <c r="L26" s="512"/>
      <c r="M26" s="512"/>
      <c r="N26" s="512"/>
      <c r="O26" s="512"/>
      <c r="P26" s="512"/>
      <c r="Q26" s="512"/>
      <c r="R26" s="508"/>
      <c r="S26" s="512"/>
      <c r="T26" s="512"/>
      <c r="U26" s="512"/>
      <c r="V26" s="512"/>
      <c r="W26" s="512"/>
      <c r="X26" s="512"/>
    </row>
    <row r="27" spans="1:24" x14ac:dyDescent="0.25">
      <c r="A27" s="738"/>
      <c r="B27" s="1" t="s">
        <v>22</v>
      </c>
      <c r="C27" s="17">
        <f>Bilans_E_AMS_Kyoto_run3_2038!M18-(Bilans_E_AMS_Kyoto_run3_2038!M21+Bilans_E_AMS_Kyoto_run3_2038!M23+Bilans_E_AMS_Kyoto_run3_2038!M26+Bilans_E_AMS_Kyoto_run3_2038!M34)-(Bilans_E_AMS_Kyoto_run3_2038!S20+Bilans_E_AMS_Kyoto_run3_2038!S19+Bilans_E_AMS_Kyoto_run3_2038!M20+Bilans_E_AMS_Kyoto_run3_2038!M19)</f>
        <v>15.713393249215272</v>
      </c>
      <c r="D27" s="87"/>
      <c r="E27" s="190">
        <f t="shared" ref="E27:E34" si="3">C27*F$35</f>
        <v>1.2482205437836473</v>
      </c>
      <c r="F27" s="87"/>
      <c r="G27" s="33">
        <f t="shared" si="2"/>
        <v>14.465172705431625</v>
      </c>
      <c r="H27" s="87"/>
      <c r="I27" s="500"/>
      <c r="J27" s="87"/>
      <c r="K27" s="87"/>
      <c r="L27" s="87"/>
      <c r="M27" s="87"/>
      <c r="N27" s="87"/>
      <c r="O27" s="87"/>
      <c r="P27" s="87"/>
      <c r="Q27" s="87"/>
      <c r="R27" s="508"/>
      <c r="S27" s="87"/>
      <c r="T27" s="87"/>
      <c r="U27" s="87"/>
      <c r="V27" s="87"/>
      <c r="W27" s="87"/>
      <c r="X27" s="87"/>
    </row>
    <row r="28" spans="1:24" x14ac:dyDescent="0.25">
      <c r="A28" s="738"/>
      <c r="B28" s="1" t="s">
        <v>612</v>
      </c>
      <c r="C28" s="17">
        <f>Bilans_E_AMS_Kyoto_run3_2038!J22</f>
        <v>2.0392836052791781</v>
      </c>
      <c r="D28" s="87"/>
      <c r="E28" s="190">
        <f t="shared" si="3"/>
        <v>0.16199401684532866</v>
      </c>
      <c r="F28" s="87"/>
      <c r="G28" s="33">
        <f>C28-E28</f>
        <v>1.8772895884338494</v>
      </c>
      <c r="H28" s="87"/>
      <c r="I28" s="1"/>
      <c r="J28" s="87"/>
      <c r="K28" s="87"/>
      <c r="L28" s="87"/>
      <c r="M28" s="87"/>
      <c r="N28" s="87"/>
      <c r="O28" s="87"/>
      <c r="P28" s="87"/>
      <c r="Q28" s="87"/>
      <c r="R28" s="508"/>
      <c r="S28" s="87"/>
      <c r="T28" s="87"/>
      <c r="U28" s="87"/>
      <c r="V28" s="87"/>
      <c r="W28" s="87"/>
      <c r="X28" s="87"/>
    </row>
    <row r="29" spans="1:24" x14ac:dyDescent="0.25">
      <c r="A29" s="738"/>
      <c r="B29" s="1" t="s">
        <v>23</v>
      </c>
      <c r="C29" s="17">
        <f>Bilans_E_AMS_Kyoto_run3_2038!L22</f>
        <v>24.508111114586647</v>
      </c>
      <c r="D29" s="87"/>
      <c r="E29" s="190">
        <f t="shared" si="3"/>
        <v>1.9468441537340855</v>
      </c>
      <c r="F29" s="87"/>
      <c r="G29" s="33">
        <f t="shared" si="2"/>
        <v>22.561266960852564</v>
      </c>
      <c r="H29" s="87"/>
      <c r="I29" s="1"/>
      <c r="J29" s="87"/>
      <c r="K29" s="87"/>
      <c r="L29" s="87"/>
      <c r="M29" s="87"/>
      <c r="N29" s="87"/>
      <c r="O29" s="87"/>
      <c r="P29" s="87"/>
      <c r="Q29" s="87"/>
      <c r="R29" s="508"/>
      <c r="S29" s="87"/>
      <c r="T29" s="87"/>
      <c r="U29" s="87"/>
      <c r="V29" s="87"/>
      <c r="W29" s="87"/>
      <c r="X29" s="87"/>
    </row>
    <row r="30" spans="1:24" x14ac:dyDescent="0.25">
      <c r="A30" s="738"/>
      <c r="B30" s="1" t="s">
        <v>24</v>
      </c>
      <c r="C30" s="17">
        <f>Bilans_E_AMS_Kyoto_run3_2038!Q22</f>
        <v>15.123327125815617</v>
      </c>
      <c r="D30" s="86">
        <f>SUM(C26:C34)</f>
        <v>98.261008585459393</v>
      </c>
      <c r="E30" s="190">
        <f t="shared" si="3"/>
        <v>1.201347621701397</v>
      </c>
      <c r="F30" s="86">
        <f>Bilans_E_AMS_Kyoto_run3_2038!U22</f>
        <v>7.8055330013074666</v>
      </c>
      <c r="G30" s="33">
        <f t="shared" si="2"/>
        <v>13.921979504114221</v>
      </c>
      <c r="H30" s="86">
        <f>SUM(G26:G34)</f>
        <v>90.455475584151912</v>
      </c>
      <c r="I30" s="1"/>
      <c r="J30" s="86">
        <f>H30</f>
        <v>90.455475584151912</v>
      </c>
      <c r="K30" s="87">
        <f>Bilans_E_AMS_Kyoto_run3_2038!S31</f>
        <v>7.0140473976328979</v>
      </c>
      <c r="L30" s="87"/>
      <c r="M30" s="87">
        <f>Bilans_E_AMS_Kyoto_run3_2038!M28</f>
        <v>0</v>
      </c>
      <c r="N30" s="87"/>
      <c r="O30" s="87"/>
      <c r="P30" s="87"/>
      <c r="Q30" s="86">
        <f>J30-K30-L30-M30-N30-O30-P30</f>
        <v>83.441428186519019</v>
      </c>
      <c r="R30" s="508">
        <f>Q30-S30</f>
        <v>3.1425525932604614E-5</v>
      </c>
      <c r="S30" s="86">
        <f>SUM(T27:X34)</f>
        <v>83.441396760993086</v>
      </c>
      <c r="T30" s="87">
        <f>Bilans_E_AMS_Kyoto_run3_2038!S$38</f>
        <v>0</v>
      </c>
      <c r="U30" s="87">
        <f>Bilans_E_AMS_Kyoto_run3_2038!S$34</f>
        <v>19.58585971983296</v>
      </c>
      <c r="V30" s="87">
        <f>Bilans_E_AMS_Kyoto_run3_2038!S$36</f>
        <v>40.560183148779373</v>
      </c>
      <c r="W30" s="87">
        <f>Bilans_E_AMS_Kyoto_run3_2038!S$37</f>
        <v>23.29535389238076</v>
      </c>
      <c r="X30" s="87">
        <f>Bilans_E_AMS_Kyoto_run3_2038!S$35</f>
        <v>0</v>
      </c>
    </row>
    <row r="31" spans="1:24" x14ac:dyDescent="0.25">
      <c r="A31" s="738"/>
      <c r="B31" s="1" t="s">
        <v>611</v>
      </c>
      <c r="C31" s="17">
        <f>Bilans_E_AMS_Kyoto_run3_2038!P22</f>
        <v>15.880539172662751</v>
      </c>
      <c r="D31" s="86"/>
      <c r="E31" s="190">
        <f t="shared" si="3"/>
        <v>1.26149806902265</v>
      </c>
      <c r="F31" s="86"/>
      <c r="G31" s="33">
        <f t="shared" si="2"/>
        <v>14.6190411036401</v>
      </c>
      <c r="H31" s="86"/>
      <c r="I31" s="1"/>
      <c r="J31" s="517"/>
      <c r="K31" s="87"/>
      <c r="L31" s="87"/>
      <c r="M31" s="87"/>
      <c r="N31" s="87"/>
      <c r="O31" s="87"/>
      <c r="P31" s="87"/>
      <c r="Q31" s="517"/>
      <c r="R31" s="508"/>
      <c r="S31" s="519"/>
      <c r="T31" s="521"/>
      <c r="U31" s="521"/>
      <c r="V31" s="521"/>
      <c r="W31" s="521"/>
      <c r="X31" s="521"/>
    </row>
    <row r="32" spans="1:24" x14ac:dyDescent="0.25">
      <c r="A32" s="738"/>
      <c r="B32" s="1" t="s">
        <v>29</v>
      </c>
      <c r="C32" s="17">
        <f>Bilans_E_AMS_Kyoto_run3_2038!H22+Bilans_E_AMS_Kyoto_run3_2038!I22</f>
        <v>16.741941849061199</v>
      </c>
      <c r="D32" s="86"/>
      <c r="E32" s="190">
        <f t="shared" si="3"/>
        <v>1.3299250790323727</v>
      </c>
      <c r="F32" s="86"/>
      <c r="G32" s="33">
        <f>C32-E32</f>
        <v>15.412016770028826</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f>Bilans_E_AMS_Kyoto_run3_2038!F22</f>
        <v>0</v>
      </c>
      <c r="D33" s="86"/>
      <c r="E33" s="190">
        <f t="shared" si="3"/>
        <v>0</v>
      </c>
      <c r="F33" s="86"/>
      <c r="G33" s="33">
        <f t="shared" ref="G33:G34" si="4">C33-E33</f>
        <v>0</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f>Bilans_E_AMS_Kyoto_run3_2038!D22</f>
        <v>0</v>
      </c>
      <c r="D34" s="88"/>
      <c r="E34" s="190">
        <f t="shared" si="3"/>
        <v>0</v>
      </c>
      <c r="F34" s="88"/>
      <c r="G34" s="33">
        <f t="shared" si="4"/>
        <v>0</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f>F30/D30</f>
        <v>7.9436727891092754E-2</v>
      </c>
      <c r="G35" s="17"/>
      <c r="H35" s="501"/>
      <c r="I35" s="1"/>
      <c r="J35" s="1"/>
      <c r="K35" s="1"/>
      <c r="L35" s="1"/>
      <c r="M35" s="1"/>
      <c r="N35" s="1"/>
      <c r="O35" s="1"/>
      <c r="P35" s="1"/>
      <c r="Q35" s="502"/>
      <c r="R35" s="508"/>
      <c r="U35" s="33"/>
      <c r="V35" s="33"/>
      <c r="W35" s="33"/>
    </row>
    <row r="36" spans="1:26" x14ac:dyDescent="0.25">
      <c r="A36" s="739" t="s">
        <v>34</v>
      </c>
      <c r="B36" s="1" t="s">
        <v>21</v>
      </c>
      <c r="C36" s="33">
        <f>E55</f>
        <v>0</v>
      </c>
      <c r="D36" s="538"/>
      <c r="E36" s="17"/>
      <c r="F36" s="538"/>
      <c r="G36" s="17">
        <f t="shared" ref="G36:G42" si="5">C36-E36</f>
        <v>0</v>
      </c>
      <c r="H36" s="538"/>
      <c r="I36" s="35"/>
      <c r="J36" s="37"/>
      <c r="K36" s="35"/>
      <c r="L36" s="35"/>
      <c r="M36" s="35"/>
      <c r="N36" s="35"/>
      <c r="O36" s="35"/>
      <c r="P36" s="35"/>
      <c r="Q36" s="540"/>
      <c r="R36" s="508"/>
      <c r="S36" s="538"/>
      <c r="T36" s="503">
        <v>0</v>
      </c>
      <c r="U36" s="503">
        <v>0</v>
      </c>
      <c r="V36" s="503">
        <v>0</v>
      </c>
      <c r="W36" s="503">
        <v>0</v>
      </c>
      <c r="X36" s="503">
        <v>0</v>
      </c>
      <c r="Y36" s="489">
        <f>SUM(T36:X36)</f>
        <v>0</v>
      </c>
      <c r="Z36" s="489">
        <f>G36-Y36</f>
        <v>0</v>
      </c>
    </row>
    <row r="37" spans="1:26" x14ac:dyDescent="0.25">
      <c r="A37" s="739"/>
      <c r="B37" s="1" t="s">
        <v>23</v>
      </c>
      <c r="C37" s="33">
        <f>SUM(T37:X37)+E58</f>
        <v>100.31738998979908</v>
      </c>
      <c r="D37" s="539"/>
      <c r="E37" s="504"/>
      <c r="F37" s="539"/>
      <c r="G37" s="17">
        <f t="shared" si="5"/>
        <v>100.31738998979908</v>
      </c>
      <c r="H37" s="539"/>
      <c r="I37" s="498"/>
      <c r="J37" s="37"/>
      <c r="K37" s="35"/>
      <c r="L37" s="35"/>
      <c r="M37" s="505"/>
      <c r="N37" s="35"/>
      <c r="P37" s="35"/>
      <c r="Q37" s="541"/>
      <c r="R37" s="508"/>
      <c r="S37" s="539"/>
      <c r="T37" s="506">
        <f>Bilans_E_AMS_Kyoto_run3_2038!L38</f>
        <v>14.623275458181073</v>
      </c>
      <c r="U37" s="93">
        <f>Bilans_E_AMS_Kyoto_run3_2038!L34</f>
        <v>37.859111409249969</v>
      </c>
      <c r="V37" s="506">
        <f>Bilans_E_AMS_Kyoto_run3_2038!L36</f>
        <v>46.869025063770188</v>
      </c>
      <c r="W37" s="507">
        <f>Bilans_E_AMS_Kyoto_run3_2038!L37</f>
        <v>0.55939285776182701</v>
      </c>
      <c r="X37" s="506">
        <f>Bilans_E_AMS_Kyoto_run3_2038!L35</f>
        <v>0</v>
      </c>
      <c r="Y37" s="489">
        <f t="shared" ref="Y37:Y47" si="6">SUM(T37:X37)</f>
        <v>99.910804788963048</v>
      </c>
      <c r="Z37" s="489">
        <f t="shared" ref="Z37:Z44" si="7">G37-Y37</f>
        <v>0.40658520083603378</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f>SUM(G36:G41)-E55-E56-E58-L41-L36</f>
        <v>351.3965511371286</v>
      </c>
      <c r="R38" s="508"/>
      <c r="S38" s="539"/>
      <c r="T38" s="84">
        <v>0</v>
      </c>
      <c r="U38" s="83">
        <v>0</v>
      </c>
      <c r="V38" s="84">
        <v>0</v>
      </c>
      <c r="W38" s="91">
        <v>0</v>
      </c>
      <c r="X38" s="91">
        <v>0</v>
      </c>
      <c r="Y38" s="489">
        <f t="shared" si="6"/>
        <v>0</v>
      </c>
      <c r="Z38" s="489">
        <f t="shared" si="7"/>
        <v>0</v>
      </c>
    </row>
    <row r="39" spans="1:26" x14ac:dyDescent="0.25">
      <c r="A39" s="739"/>
      <c r="B39" s="1" t="s">
        <v>35</v>
      </c>
      <c r="C39" s="33">
        <f>SUM(T39:X39)</f>
        <v>20.678000731668394</v>
      </c>
      <c r="D39" s="539"/>
      <c r="E39" s="35"/>
      <c r="F39" s="539"/>
      <c r="G39" s="17">
        <f t="shared" si="5"/>
        <v>20.678000731668394</v>
      </c>
      <c r="H39" s="539"/>
      <c r="I39" s="35"/>
      <c r="J39" s="37"/>
      <c r="K39" s="35"/>
      <c r="L39" s="35"/>
      <c r="M39" s="37"/>
      <c r="N39" s="35"/>
      <c r="O39" s="35"/>
      <c r="P39" s="35"/>
      <c r="Q39" s="541"/>
      <c r="R39" s="508"/>
      <c r="S39" s="539"/>
      <c r="T39" s="84">
        <f>Bilans_E_AMS_Kyoto_run3_2038!Q38</f>
        <v>1.1655332190637568</v>
      </c>
      <c r="U39" s="83">
        <f>Bilans_E_AMS_Kyoto_run3_2038!Q34</f>
        <v>7.4990210834655101E-4</v>
      </c>
      <c r="V39" s="84">
        <f>Bilans_E_AMS_Kyoto_run3_2038!Q36</f>
        <v>10.28748002838279</v>
      </c>
      <c r="W39" s="91">
        <f>Bilans_E_AMS_Kyoto_run3_2038!Q37</f>
        <v>9.224237582113501</v>
      </c>
      <c r="X39" s="91">
        <f>Bilans_E_AMS_Kyoto_run3_2038!Q35</f>
        <v>0</v>
      </c>
      <c r="Y39" s="489">
        <f t="shared" si="6"/>
        <v>20.678000731668394</v>
      </c>
      <c r="Z39" s="489">
        <f t="shared" si="7"/>
        <v>0</v>
      </c>
    </row>
    <row r="40" spans="1:26" x14ac:dyDescent="0.25">
      <c r="A40" s="739"/>
      <c r="B40" s="1" t="s">
        <v>36</v>
      </c>
      <c r="C40" s="33">
        <f>Bilans_E_AMS_Kyoto_run3_2038!P12-Bilans_E_AMS_Kyoto_run3_2038!P22</f>
        <v>184.91924317326533</v>
      </c>
      <c r="D40" s="539"/>
      <c r="E40" s="35"/>
      <c r="F40" s="539"/>
      <c r="G40" s="17">
        <f t="shared" si="5"/>
        <v>184.91924317326533</v>
      </c>
      <c r="H40" s="539"/>
      <c r="I40" s="35"/>
      <c r="J40" s="37"/>
      <c r="K40" s="35"/>
      <c r="L40" s="35"/>
      <c r="M40" s="37"/>
      <c r="N40" s="35"/>
      <c r="O40" s="35"/>
      <c r="P40" s="35"/>
      <c r="Q40" s="541"/>
      <c r="R40" s="508"/>
      <c r="S40" s="539"/>
      <c r="T40" s="83">
        <f>Bilans_E_AMS_Kyoto_run3_2038!P$38</f>
        <v>0.9</v>
      </c>
      <c r="U40" s="83">
        <f>Bilans_E_AMS_Kyoto_run3_2038!P$34</f>
        <v>9.7897363281250005</v>
      </c>
      <c r="V40" s="83">
        <f>Bilans_E_AMS_Kyoto_run3_2038!P$36</f>
        <v>126.0368711002035</v>
      </c>
      <c r="W40" s="83">
        <f>Bilans_E_AMS_Kyoto_run3_2038!P$37</f>
        <v>48.192635744936815</v>
      </c>
      <c r="X40" s="84">
        <f>Bilans_E_AMS_Kyoto_run3_2038!P$35</f>
        <v>0</v>
      </c>
      <c r="Y40" s="489">
        <f t="shared" si="6"/>
        <v>184.9192431732653</v>
      </c>
      <c r="Z40" s="489">
        <f t="shared" si="7"/>
        <v>0</v>
      </c>
    </row>
    <row r="41" spans="1:26" x14ac:dyDescent="0.25">
      <c r="A41" s="739"/>
      <c r="B41" s="1" t="s">
        <v>37</v>
      </c>
      <c r="C41" s="33">
        <f>Bilans_E_AMS_Kyoto_run3_2038!N12+Bilans_E_AMS_Kyoto_run3_2038!L26+Bilans_E_AMS_Kyoto_run3_2038!M26-Bilans_E_AMS_Kyoto_run3_2038!N21+Bilans_E_AMS_Kyoto_run3_2038!T27</f>
        <v>97.739781846260627</v>
      </c>
      <c r="D41" s="191">
        <f>SUM(C36:C47)</f>
        <v>728.88449782591022</v>
      </c>
      <c r="E41" s="511">
        <f>Bilans_E_AMS_Kyoto_run3_2038!U27+Bilans_E_AMS_Kyoto_run3_2038!U26</f>
        <v>45.286510637249926</v>
      </c>
      <c r="F41" s="191">
        <f>SUM(E36:E47)</f>
        <v>60.530031278504026</v>
      </c>
      <c r="G41" s="17">
        <f t="shared" si="5"/>
        <v>52.453271209010701</v>
      </c>
      <c r="H41" s="191">
        <f>SUM(G36:G47)</f>
        <v>668.35446654740622</v>
      </c>
      <c r="I41" s="35"/>
      <c r="J41" s="37"/>
      <c r="K41" s="35"/>
      <c r="L41" s="37">
        <f>-(SUM(Bilans_E_AMS_Kyoto_run3_2038!N13:N16)+SUM(Bilans_E_AMS_Kyoto_run3_2038!G13:G16))</f>
        <v>1.3876928983551844</v>
      </c>
      <c r="M41" s="35"/>
      <c r="N41" s="35"/>
      <c r="O41" s="35"/>
      <c r="P41" s="35"/>
      <c r="Q41" s="541"/>
      <c r="R41" s="508">
        <f>SUM(Q36:Q47)-S41</f>
        <v>0</v>
      </c>
      <c r="S41" s="191">
        <f>SUM(T36:X46)</f>
        <v>530.26918857695023</v>
      </c>
      <c r="T41" s="83">
        <f>Bilans_E_AMS_Kyoto_run3_2038!N$38+Bilans_E_AMS_Kyoto_run3_2038!G$38</f>
        <v>6.5072970956675134</v>
      </c>
      <c r="U41" s="83">
        <f>Bilans_E_AMS_Kyoto_run3_2038!N$34+Bilans_E_AMS_Kyoto_run3_2038!G$34</f>
        <v>0.79775456348402363</v>
      </c>
      <c r="V41" s="83">
        <f>Bilans_E_AMS_Kyoto_run3_2038!N$36+Bilans_E_AMS_Kyoto_run3_2038!G$36</f>
        <v>0</v>
      </c>
      <c r="W41" s="83">
        <f>Bilans_E_AMS_Kyoto_run3_2038!N$37+Bilans_E_AMS_Kyoto_run3_2038!G$37</f>
        <v>0</v>
      </c>
      <c r="X41" s="84">
        <f>Bilans_E_AMS_Kyoto_run3_2038!N$35+Bilans_E_AMS_Kyoto_run3_2038!G$35</f>
        <v>38.58345078408027</v>
      </c>
      <c r="Y41" s="489">
        <f t="shared" si="6"/>
        <v>45.888502443231808</v>
      </c>
      <c r="Z41" s="489">
        <f>G41-Y41-L41</f>
        <v>5.1770758674237092</v>
      </c>
    </row>
    <row r="42" spans="1:26" x14ac:dyDescent="0.25">
      <c r="A42" s="739"/>
      <c r="B42" s="1" t="s">
        <v>38</v>
      </c>
      <c r="C42" s="33">
        <f>Bilans_E_AMS_Kyoto_run3_2038!E18+Bilans_E_AMS_Kyoto_run3_2038!F18-Bilans_E_AMS_Kyoto_run3_2038!F21-Bilans_E_AMS_Kyoto_run3_2038!F22-E54-SUM(T43:X43)-(Bilans_E_AMS_Kyoto_run3_2038!E20+Bilans_E_AMS_Kyoto_run3_2038!F20+Bilans_E_AMS_Kyoto_run3_2038!E19+Bilans_E_AMS_Kyoto_run3_2038!F19)</f>
        <v>160.99199186242527</v>
      </c>
      <c r="D42" s="539"/>
      <c r="E42" s="17">
        <f>Bilans_E_AMS_Kyoto_run3_2038!F30+Bilans_E_AMS_Kyoto_run3_2038!U25+Bilans_E_AMS_Kyoto_run3_2038!F29+Bilans_E_AMS_Kyoto_run3_2038!E29</f>
        <v>15.243520641254104</v>
      </c>
      <c r="F42" s="539"/>
      <c r="G42" s="17">
        <f t="shared" si="5"/>
        <v>145.74847122117117</v>
      </c>
      <c r="H42" s="539"/>
      <c r="I42" s="498"/>
      <c r="J42" s="37"/>
      <c r="K42" s="35"/>
      <c r="L42" s="35"/>
      <c r="M42" s="35"/>
      <c r="N42" s="35"/>
      <c r="O42" s="35"/>
      <c r="P42" s="35"/>
      <c r="Q42" s="36">
        <f>G42</f>
        <v>145.74847122117117</v>
      </c>
      <c r="R42" s="508"/>
      <c r="S42" s="539"/>
      <c r="T42" s="83">
        <v>0</v>
      </c>
      <c r="U42" s="83">
        <v>0</v>
      </c>
      <c r="V42" s="83">
        <v>0</v>
      </c>
      <c r="W42" s="83">
        <v>0</v>
      </c>
      <c r="X42" s="84">
        <f>Bilans_E_AMS_Kyoto_run3_2038!F35</f>
        <v>145.74847122117117</v>
      </c>
      <c r="Y42" s="489">
        <f t="shared" si="6"/>
        <v>145.74847122117117</v>
      </c>
      <c r="Z42" s="489">
        <f>Q42-SUM(T42:X42)</f>
        <v>0</v>
      </c>
    </row>
    <row r="43" spans="1:26" x14ac:dyDescent="0.25">
      <c r="A43" s="739"/>
      <c r="B43" s="1" t="s">
        <v>39</v>
      </c>
      <c r="C43" s="33">
        <f>Bilans_E_AMS_Kyoto_run3_2038!F41+SUM(T43:X43)</f>
        <v>128.17570319426997</v>
      </c>
      <c r="D43" s="539"/>
      <c r="E43" s="38"/>
      <c r="F43" s="539"/>
      <c r="G43" s="17">
        <f>C43-E43</f>
        <v>128.17570319426997</v>
      </c>
      <c r="H43" s="539"/>
      <c r="I43" s="35"/>
      <c r="J43" s="37"/>
      <c r="K43" s="35"/>
      <c r="L43" s="35"/>
      <c r="M43" s="35"/>
      <c r="N43" s="35"/>
      <c r="O43" s="35"/>
      <c r="P43" s="35"/>
      <c r="Q43" s="36">
        <f>G43-Bilans_E_AMS_Kyoto_run3_2038!F41</f>
        <v>23.612048280925293</v>
      </c>
      <c r="R43" s="508"/>
      <c r="S43" s="539"/>
      <c r="T43" s="83">
        <f>Bilans_E_AMS_Kyoto_run3_2038!F38</f>
        <v>17.072371941732264</v>
      </c>
      <c r="U43" s="83">
        <f>Bilans_E_AMS_Kyoto_run3_2038!F34</f>
        <v>4.5652166127933009</v>
      </c>
      <c r="V43" s="83">
        <f>Bilans_E_AMS_Kyoto_run3_2038!F36</f>
        <v>0.67200053608066723</v>
      </c>
      <c r="W43" s="83">
        <f>Bilans_E_AMS_Kyoto_run3_2038!F37</f>
        <v>1.3024591903190665</v>
      </c>
      <c r="X43" s="84">
        <v>0</v>
      </c>
      <c r="Y43" s="489">
        <f t="shared" si="6"/>
        <v>23.612048280925297</v>
      </c>
      <c r="Z43" s="489">
        <f>Q43-SUM(T43:X43)</f>
        <v>0</v>
      </c>
    </row>
    <row r="44" spans="1:26" x14ac:dyDescent="0.25">
      <c r="A44" s="739"/>
      <c r="B44" s="1" t="s">
        <v>40</v>
      </c>
      <c r="C44" s="33">
        <f>SUM(T44:X44)</f>
        <v>9.091644549053445</v>
      </c>
      <c r="D44" s="539"/>
      <c r="E44" s="38"/>
      <c r="F44" s="539"/>
      <c r="G44" s="17">
        <f t="shared" si="1"/>
        <v>9.091644549053445</v>
      </c>
      <c r="H44" s="539"/>
      <c r="I44" s="35"/>
      <c r="J44" s="37"/>
      <c r="K44" s="35"/>
      <c r="L44" s="35"/>
      <c r="M44" s="35"/>
      <c r="N44" s="35"/>
      <c r="O44" s="35"/>
      <c r="P44" s="35"/>
      <c r="Q44" s="36">
        <f>G44-Bilans_E_AMS_Kyoto_run3_2038!M41</f>
        <v>9.091644549053445</v>
      </c>
      <c r="R44" s="498"/>
      <c r="S44" s="539"/>
      <c r="T44" s="83">
        <f>Bilans_E_AMS_Kyoto_run3_2038!M$38</f>
        <v>0</v>
      </c>
      <c r="U44" s="83">
        <f>Bilans_E_AMS_Kyoto_run3_2038!M$34</f>
        <v>9.091644549053445</v>
      </c>
      <c r="V44" s="83">
        <f>Bilans_E_AMS_Kyoto_run3_2038!M$36</f>
        <v>0</v>
      </c>
      <c r="W44" s="83">
        <f>Bilans_E_AMS_Kyoto_run3_2038!M$37</f>
        <v>0</v>
      </c>
      <c r="X44" s="84">
        <f>Bilans_E_AMS_Kyoto_run3_2038!M$35</f>
        <v>0</v>
      </c>
      <c r="Y44" s="489">
        <f t="shared" si="6"/>
        <v>9.091644549053445</v>
      </c>
      <c r="Z44" s="489">
        <f t="shared" si="7"/>
        <v>0</v>
      </c>
    </row>
    <row r="45" spans="1:26" x14ac:dyDescent="0.25">
      <c r="A45" s="739"/>
      <c r="B45" s="1" t="s">
        <v>41</v>
      </c>
      <c r="C45" s="33">
        <f>E53</f>
        <v>12.7291086591003</v>
      </c>
      <c r="D45" s="539"/>
      <c r="E45" s="38"/>
      <c r="F45" s="539"/>
      <c r="G45" s="17">
        <f t="shared" si="1"/>
        <v>12.7291086591003</v>
      </c>
      <c r="H45" s="539"/>
      <c r="I45" s="35"/>
      <c r="J45" s="37"/>
      <c r="K45" s="35"/>
      <c r="L45" s="35"/>
      <c r="M45" s="35"/>
      <c r="N45" s="35"/>
      <c r="O45" s="35"/>
      <c r="P45" s="35"/>
      <c r="Q45" s="36">
        <f>G45-Bilans_E_AMS_Kyoto_run3_2038!H41</f>
        <v>0</v>
      </c>
      <c r="R45" s="498"/>
      <c r="S45" s="539"/>
      <c r="T45" s="84">
        <v>0</v>
      </c>
      <c r="U45" s="83">
        <v>0</v>
      </c>
      <c r="V45" s="84">
        <v>0</v>
      </c>
      <c r="W45" s="92">
        <v>0</v>
      </c>
      <c r="X45" s="84">
        <v>0</v>
      </c>
      <c r="Y45" s="489">
        <f t="shared" si="6"/>
        <v>0</v>
      </c>
      <c r="Z45" s="489">
        <f>Q45-Y45</f>
        <v>0</v>
      </c>
    </row>
    <row r="46" spans="1:26" x14ac:dyDescent="0.25">
      <c r="A46" s="739"/>
      <c r="B46" s="1" t="s">
        <v>42</v>
      </c>
      <c r="C46" s="33">
        <f>Bilans_E_AMS_Kyoto_run3_2038!D18-C18-C34</f>
        <v>12.531065673828124</v>
      </c>
      <c r="D46" s="539"/>
      <c r="E46" s="511"/>
      <c r="F46" s="539"/>
      <c r="G46" s="17">
        <f>C46-E46</f>
        <v>12.531065673828124</v>
      </c>
      <c r="H46" s="539"/>
      <c r="I46" s="38"/>
      <c r="J46" s="37"/>
      <c r="K46" s="35"/>
      <c r="L46" s="35"/>
      <c r="M46" s="35"/>
      <c r="N46" s="35"/>
      <c r="O46" s="35"/>
      <c r="P46" s="35"/>
      <c r="Q46" s="36">
        <f>G46-(Bilans_E_AMS_Kyoto_run3_2038!D41+Bilans_E_AMS_Kyoto_run3_2038!D29+Bilans_E_AMS_Kyoto_run3_2038!D30)</f>
        <v>0.42047338867187456</v>
      </c>
      <c r="R46" s="498"/>
      <c r="S46" s="539"/>
      <c r="T46" s="506">
        <f>Bilans_E_AMS_Kyoto_run3_2038!D38</f>
        <v>0</v>
      </c>
      <c r="U46" s="93">
        <f>Bilans_E_AMS_Kyoto_run3_2038!D34</f>
        <v>0.420473388671875</v>
      </c>
      <c r="V46" s="506">
        <f>Bilans_E_AMS_Kyoto_run3_2038!D36</f>
        <v>0</v>
      </c>
      <c r="W46" s="507">
        <f>Bilans_E_AMS_Kyoto_run3_2038!D37</f>
        <v>0</v>
      </c>
      <c r="X46" s="506">
        <f>Bilans_E_AMS_Kyoto_run3_2038!D35</f>
        <v>0</v>
      </c>
      <c r="Y46" s="489">
        <f t="shared" si="6"/>
        <v>0.420473388671875</v>
      </c>
      <c r="Z46" s="489">
        <f>Q46-Y46</f>
        <v>-4.4408920985006262E-16</v>
      </c>
    </row>
    <row r="47" spans="1:26" x14ac:dyDescent="0.25">
      <c r="A47" s="90"/>
      <c r="B47" s="1" t="s">
        <v>31</v>
      </c>
      <c r="C47" s="33">
        <f>E57</f>
        <v>1.710568146239696</v>
      </c>
      <c r="D47" s="192"/>
      <c r="E47" s="511"/>
      <c r="F47" s="192"/>
      <c r="G47" s="17">
        <f>C47-E47</f>
        <v>1.710568146239696</v>
      </c>
      <c r="H47" s="192"/>
      <c r="I47" s="38"/>
      <c r="J47" s="37"/>
      <c r="K47" s="35"/>
      <c r="L47" s="35"/>
      <c r="M47" s="35"/>
      <c r="N47" s="35"/>
      <c r="O47" s="35"/>
      <c r="P47" s="35"/>
      <c r="Q47" s="542">
        <f>G47-Bilans_E_AMS_Kyoto_run3_2038!T41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C5-L13-SUM(L21:L24)-L30-L41-Bilans_E_AMS_Kyoto_run3_2038!U18</f>
        <v>0</v>
      </c>
      <c r="D49" s="1"/>
      <c r="E49" s="34">
        <f>SUM(E7:E47)+I13-Bilans_E_AMS_Kyoto_run3_2038!U32+K13+SUM(K21:K24)+K30+Bilans_E_AMS_Kyoto_run3_2038!D29+Bilans_E_AMS_Kyoto_run3_2038!D30</f>
        <v>1.9761969838327786E-13</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566.78864900901783</v>
      </c>
    </row>
    <row r="52" spans="1:19" x14ac:dyDescent="0.25">
      <c r="A52" s="21"/>
      <c r="B52" s="1" t="s">
        <v>44</v>
      </c>
      <c r="C52" s="44"/>
      <c r="D52" s="1"/>
      <c r="E52" s="39">
        <f>Bilans_E_AMS_Kyoto_run3_2038!D41+Bilans_E_AMS_Kyoto_run3_2038!D29+Bilans_E_AMS_Kyoto_run3_2038!D30</f>
        <v>12.110592285156249</v>
      </c>
      <c r="F52" s="187"/>
      <c r="G52" s="1"/>
      <c r="H52" s="1"/>
      <c r="I52" s="30"/>
      <c r="J52" s="17"/>
      <c r="K52" s="17"/>
      <c r="L52" s="21"/>
      <c r="M52" s="1"/>
      <c r="N52" s="17"/>
      <c r="O52" s="17"/>
      <c r="P52" s="17"/>
      <c r="Q52" s="1"/>
      <c r="S52" s="33"/>
    </row>
    <row r="53" spans="1:19" x14ac:dyDescent="0.25">
      <c r="A53" s="21"/>
      <c r="B53" s="1" t="s">
        <v>41</v>
      </c>
      <c r="C53" s="45"/>
      <c r="D53" s="17"/>
      <c r="E53" s="433">
        <f>Bilans_E_AMS_Kyoto_run3_2038!H41+Bilans_E_AMS_Kyoto_run3_2038!H29</f>
        <v>12.7291086591003</v>
      </c>
      <c r="F53" s="187"/>
      <c r="G53" s="1"/>
      <c r="H53" s="1"/>
      <c r="I53" s="30"/>
      <c r="J53" s="17"/>
      <c r="K53" s="17"/>
      <c r="L53" s="21"/>
      <c r="M53" s="1"/>
      <c r="N53" s="17"/>
      <c r="O53" s="17"/>
      <c r="P53" s="17"/>
      <c r="Q53" s="1"/>
    </row>
    <row r="54" spans="1:19" x14ac:dyDescent="0.25">
      <c r="A54" s="21"/>
      <c r="B54" s="1" t="s">
        <v>39</v>
      </c>
      <c r="C54" s="45"/>
      <c r="D54" s="17"/>
      <c r="E54" s="435">
        <f>Bilans_E_AMS_Kyoto_run3_2038!F41</f>
        <v>104.56365491334468</v>
      </c>
      <c r="F54" s="187"/>
      <c r="G54" s="1"/>
      <c r="H54" s="1"/>
      <c r="I54" s="30"/>
      <c r="J54" s="17"/>
      <c r="K54" s="17"/>
      <c r="L54" s="21"/>
      <c r="M54" s="21"/>
      <c r="N54" s="17"/>
      <c r="O54" s="17"/>
      <c r="P54" s="17"/>
      <c r="Q54" s="1"/>
    </row>
    <row r="55" spans="1:19" x14ac:dyDescent="0.25">
      <c r="B55" s="1" t="s">
        <v>21</v>
      </c>
      <c r="E55" s="631">
        <f>Bilans_E_AMS_Kyoto_run3_2038!O41+Bilans_E_AMS_Kyoto_run3_2038!O29</f>
        <v>0</v>
      </c>
    </row>
    <row r="56" spans="1:19" x14ac:dyDescent="0.25">
      <c r="B56" s="1" t="s">
        <v>37</v>
      </c>
      <c r="E56" s="631">
        <f>Bilans_E_AMS_Kyoto_run3_2038!N41+Bilans_E_AMS_Kyoto_run3_2038!N29+Bilans_E_AMS_Kyoto_run3_2038!G41</f>
        <v>5.1770758674237047</v>
      </c>
    </row>
    <row r="57" spans="1:19" x14ac:dyDescent="0.25">
      <c r="B57" s="1" t="s">
        <v>31</v>
      </c>
      <c r="E57" s="631">
        <f>Bilans_E_AMS_Kyoto_run3_2038!T41</f>
        <v>1.710568146239696</v>
      </c>
    </row>
    <row r="58" spans="1:19" x14ac:dyDescent="0.25">
      <c r="B58" s="1" t="s">
        <v>335</v>
      </c>
      <c r="E58" s="631">
        <f>Bilans_E_AMS_Kyoto_run3_2038!L41</f>
        <v>0.40658520083603628</v>
      </c>
    </row>
    <row r="59" spans="1:19" x14ac:dyDescent="0.25">
      <c r="E59" s="632"/>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374D0-8C96-43CD-A426-FD8BF5C283B2}">
  <dimension ref="A1:Z59"/>
  <sheetViews>
    <sheetView topLeftCell="A25" zoomScale="85" zoomScaleNormal="85" workbookViewId="0">
      <selection activeCell="A36" sqref="A36:A46"/>
    </sheetView>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2626.8425941457867</v>
      </c>
      <c r="D5" s="18"/>
      <c r="E5" s="20"/>
      <c r="F5" s="494"/>
      <c r="G5" s="21"/>
      <c r="H5" s="493"/>
      <c r="I5" s="21"/>
      <c r="J5" s="22"/>
      <c r="K5" s="23"/>
      <c r="L5" s="14"/>
      <c r="M5" s="14"/>
      <c r="N5" s="15"/>
      <c r="O5" s="16"/>
      <c r="P5" s="16"/>
      <c r="Q5" s="24">
        <f>Q13+Q22+Q30+Q42+Q46+Q38+Q43</f>
        <v>1260.0477649332752</v>
      </c>
      <c r="R5" s="487"/>
      <c r="S5" s="79">
        <f>SUM(S13,S22,S27:S32,S41)</f>
        <v>1268.8519426362036</v>
      </c>
      <c r="T5" s="79">
        <f>SUM(T8:T46)</f>
        <v>49.82943786444747</v>
      </c>
      <c r="U5" s="79">
        <f>SUM(U8:U46)</f>
        <v>309.94560932510439</v>
      </c>
      <c r="V5" s="79">
        <f>SUM(V8:V46)</f>
        <v>424.0802202793073</v>
      </c>
      <c r="W5" s="173">
        <f>SUM(W8:W46)</f>
        <v>235.64622504099643</v>
      </c>
      <c r="X5" s="79">
        <f>SUM(X8:X46)</f>
        <v>249.35045012634814</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f>(([13]Offre_calc!$T$108+[13]Offre_calc!$T$109+[13]Offre_calc!$T$147+[13]Offre_calc!$T$148)/([13]Offre_calc!$T$105+[13]Offre_calc!$T$144))*Bilans_E_AMS_Kyoto_run3_2040!K$21</f>
        <v>202.17451628375332</v>
      </c>
      <c r="D7" s="516"/>
      <c r="E7" s="28">
        <v>0</v>
      </c>
      <c r="F7" s="516"/>
      <c r="G7" s="17">
        <f>C7-E7</f>
        <v>202.17451628375332</v>
      </c>
      <c r="H7" s="516"/>
      <c r="I7" s="21"/>
      <c r="J7" s="516"/>
      <c r="K7" s="523"/>
      <c r="L7" s="523"/>
      <c r="M7" s="523"/>
      <c r="N7" s="523"/>
      <c r="O7" s="523"/>
      <c r="P7" s="513"/>
      <c r="Q7" s="526"/>
      <c r="R7" s="498"/>
      <c r="S7" s="526"/>
      <c r="T7" s="523"/>
      <c r="U7" s="523"/>
      <c r="V7" s="523"/>
      <c r="W7" s="523"/>
      <c r="X7" s="523"/>
    </row>
    <row r="8" spans="1:24" x14ac:dyDescent="0.25">
      <c r="A8" s="736"/>
      <c r="B8" s="1" t="s">
        <v>18</v>
      </c>
      <c r="C8" s="486">
        <f>(([13]Offre_calc!$T$107+[13]Offre_calc!$T$146)/([13]Offre_calc!$T$105+[13]Offre_calc!$T$144))*Bilans_E_AMS_Kyoto_run3_2040!K$21</f>
        <v>53.945681384607205</v>
      </c>
      <c r="D8" s="81"/>
      <c r="E8" s="28">
        <v>0</v>
      </c>
      <c r="F8" s="81"/>
      <c r="G8" s="17">
        <f t="shared" ref="G8:G19" si="0">C8-E8</f>
        <v>53.945681384607205</v>
      </c>
      <c r="H8" s="81"/>
      <c r="I8" s="21"/>
      <c r="J8" s="81"/>
      <c r="K8" s="524"/>
      <c r="L8" s="524"/>
      <c r="M8" s="524"/>
      <c r="N8" s="524"/>
      <c r="O8" s="524"/>
      <c r="P8" s="29"/>
      <c r="Q8" s="527"/>
      <c r="R8" s="498"/>
      <c r="S8" s="527"/>
      <c r="T8" s="524"/>
      <c r="U8" s="524"/>
      <c r="V8" s="524"/>
      <c r="W8" s="524"/>
      <c r="X8" s="524"/>
    </row>
    <row r="9" spans="1:24" x14ac:dyDescent="0.25">
      <c r="A9" s="736"/>
      <c r="B9" s="1" t="s">
        <v>19</v>
      </c>
      <c r="C9" s="486">
        <f>(([13]Offre_calc!$T$106+[13]Offre_calc!$T$145)/([13]Offre_calc!$T$105+[13]Offre_calc!$T$144))*Bilans_E_AMS_Kyoto_run3_2040!K$21</f>
        <v>132.17482632083491</v>
      </c>
      <c r="D9" s="81"/>
      <c r="E9" s="28">
        <v>0</v>
      </c>
      <c r="F9" s="81"/>
      <c r="G9" s="17">
        <f t="shared" si="0"/>
        <v>132.17482632083491</v>
      </c>
      <c r="H9" s="81"/>
      <c r="I9" s="21"/>
      <c r="J9" s="81"/>
      <c r="K9" s="524"/>
      <c r="L9" s="524"/>
      <c r="M9" s="524"/>
      <c r="N9" s="524"/>
      <c r="O9" s="524"/>
      <c r="P9" s="29"/>
      <c r="Q9" s="527"/>
      <c r="R9" s="498"/>
      <c r="S9" s="527"/>
      <c r="T9" s="524"/>
      <c r="U9" s="524"/>
      <c r="V9" s="524"/>
      <c r="W9" s="524"/>
      <c r="X9" s="524"/>
    </row>
    <row r="10" spans="1:24" x14ac:dyDescent="0.25">
      <c r="A10" s="736"/>
      <c r="B10" s="1" t="s">
        <v>20</v>
      </c>
      <c r="C10" s="17">
        <f>Bilans_E_AMS_Kyoto_run3_2040!J21-(Bilans_E_AMS_Kyoto_run3_2040!R20+Bilans_E_AMS_Kyoto_run3_2040!R19)</f>
        <v>1213.9369090909088</v>
      </c>
      <c r="D10" s="81"/>
      <c r="E10" s="28">
        <f>F13-SUM(E11:E19)</f>
        <v>815.0586525241041</v>
      </c>
      <c r="F10" s="81"/>
      <c r="G10" s="17">
        <f t="shared" si="0"/>
        <v>398.87825656680468</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f>Bilans_E_AMS_Kyoto_run3_2040!O21</f>
        <v>0.11555796351278441</v>
      </c>
      <c r="D11" s="81"/>
      <c r="E11" s="727">
        <f>C11*(1-[12]Offre_calc!$V$161)</f>
        <v>4.6223185405113769E-2</v>
      </c>
      <c r="F11" s="81"/>
      <c r="G11" s="17">
        <f t="shared" si="0"/>
        <v>6.9334778107670636E-2</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f>Bilans_E_AMS_Kyoto_run3_2040!M21</f>
        <v>5.6133813254305416</v>
      </c>
      <c r="D12" s="81"/>
      <c r="E12" s="727">
        <f>C12*(1-[12]Offre_calc!$V$171)</f>
        <v>3.3680287952583248</v>
      </c>
      <c r="F12" s="81"/>
      <c r="G12" s="17">
        <f t="shared" si="0"/>
        <v>2.2453525301722168</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f>Bilans_E_AMS_Kyoto_run3_2040!L21</f>
        <v>17.586826213678588</v>
      </c>
      <c r="D13" s="81">
        <f>SUM(C7:C19)</f>
        <v>1637.6760318427796</v>
      </c>
      <c r="E13" s="727">
        <f>C13*(1-[12]Offre_calc!$V$170)</f>
        <v>10.552095728207153</v>
      </c>
      <c r="F13" s="81">
        <f>Bilans_E_AMS_Kyoto_run3_2040!U21</f>
        <v>832.21412520467777</v>
      </c>
      <c r="G13" s="17">
        <f t="shared" si="0"/>
        <v>7.0347304854714352</v>
      </c>
      <c r="H13" s="81">
        <f>SUM(G7:G19)</f>
        <v>805.46190663810182</v>
      </c>
      <c r="I13" s="33">
        <f>Bilans_E_AMS_Kyoto_run3_2040!R30</f>
        <v>38.800105175182054</v>
      </c>
      <c r="J13" s="81">
        <f>H13-I13</f>
        <v>766.66180146291981</v>
      </c>
      <c r="K13" s="29">
        <f>Bilans_E_AMS_Kyoto_run3_2040!R31</f>
        <v>55.568340190332414</v>
      </c>
      <c r="L13" s="29">
        <f>-(Bilans_E_AMS_Kyoto_run3_2040!R14+Bilans_E_AMS_Kyoto_run3_2040!R13)</f>
        <v>125.47851234932489</v>
      </c>
      <c r="M13" s="29">
        <f>Bilans_E_AMS_Kyoto_run3_2040!R28</f>
        <v>46.345987464156821</v>
      </c>
      <c r="N13" s="29"/>
      <c r="O13" s="29"/>
      <c r="P13" s="29"/>
      <c r="Q13" s="81">
        <f>J13-K13-L13-M13-N13-O13-P13</f>
        <v>539.26896145910575</v>
      </c>
      <c r="R13" s="508">
        <f>Q13-S13</f>
        <v>0</v>
      </c>
      <c r="S13" s="81">
        <f>SUM(T8:X19)</f>
        <v>539.26896145910575</v>
      </c>
      <c r="T13" s="29">
        <f>Bilans_E_AMS_Kyoto_run3_2040!R38</f>
        <v>9.5059865656589242</v>
      </c>
      <c r="U13" s="29">
        <f>Bilans_E_AMS_Kyoto_run3_2040!R34+Bilans_E_AMS_Kyoto_run3_2040!R39</f>
        <v>158.55335920514725</v>
      </c>
      <c r="V13" s="29">
        <f>Bilans_E_AMS_Kyoto_run3_2040!R36</f>
        <v>151.24868898897191</v>
      </c>
      <c r="W13" s="29">
        <f>Bilans_E_AMS_Kyoto_run3_2040!R37</f>
        <v>121.37238070067973</v>
      </c>
      <c r="X13" s="29">
        <f>Bilans_E_AMS_Kyoto_run3_2040!R35</f>
        <v>98.588545998647945</v>
      </c>
    </row>
    <row r="14" spans="1:24" x14ac:dyDescent="0.25">
      <c r="A14" s="736"/>
      <c r="B14" s="1" t="s">
        <v>24</v>
      </c>
      <c r="C14" s="17">
        <f>Bilans_E_AMS_Kyoto_run3_2040!Q21</f>
        <v>6.4327567473291545</v>
      </c>
      <c r="D14" s="81"/>
      <c r="E14" s="28">
        <v>0</v>
      </c>
      <c r="F14" s="81"/>
      <c r="G14" s="17">
        <f t="shared" si="0"/>
        <v>6.4327567473291545</v>
      </c>
      <c r="H14" s="81"/>
      <c r="I14" s="21"/>
      <c r="J14" s="81"/>
      <c r="K14" s="524"/>
      <c r="L14" s="524"/>
      <c r="M14" s="524"/>
      <c r="N14" s="524"/>
      <c r="O14" s="524"/>
      <c r="P14" s="29"/>
      <c r="Q14" s="527"/>
      <c r="R14" s="508"/>
      <c r="S14" s="527"/>
      <c r="T14" s="524"/>
      <c r="U14" s="524"/>
      <c r="V14" s="524"/>
      <c r="W14" s="524"/>
      <c r="X14" s="524"/>
    </row>
    <row r="15" spans="1:24" x14ac:dyDescent="0.25">
      <c r="A15" s="736"/>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36"/>
      <c r="B16" s="1" t="s">
        <v>343</v>
      </c>
      <c r="C16" s="17">
        <f>Bilans_E_AMS_Kyoto_run3_2040!N21</f>
        <v>5.6269378379330357</v>
      </c>
      <c r="D16" s="81"/>
      <c r="E16" s="727">
        <f>C16*(1-[12]Offre_calc!$V$158)</f>
        <v>3.1510851892425005</v>
      </c>
      <c r="F16" s="81"/>
      <c r="G16" s="17">
        <f t="shared" si="0"/>
        <v>2.4758526486905352</v>
      </c>
      <c r="H16" s="81"/>
      <c r="I16" s="21"/>
      <c r="J16" s="81"/>
      <c r="K16" s="524"/>
      <c r="L16" s="524"/>
      <c r="M16" s="524"/>
      <c r="N16" s="524"/>
      <c r="O16" s="524"/>
      <c r="P16" s="29"/>
      <c r="Q16" s="527"/>
      <c r="R16" s="508"/>
      <c r="S16" s="527"/>
      <c r="T16" s="524"/>
      <c r="U16" s="524"/>
      <c r="V16" s="524"/>
      <c r="W16" s="524"/>
      <c r="X16" s="524"/>
    </row>
    <row r="17" spans="1:24" x14ac:dyDescent="0.25">
      <c r="A17" s="736"/>
      <c r="B17" s="1" t="s">
        <v>27</v>
      </c>
      <c r="C17" s="17">
        <f>Bilans_E_AMS_Kyoto_run3_2040!F21</f>
        <v>6.6151953400033478E-2</v>
      </c>
      <c r="D17" s="81"/>
      <c r="E17" s="727">
        <f>C17*(1-[12]Offre_calc!$V$158)</f>
        <v>3.704509390401875E-2</v>
      </c>
      <c r="F17" s="81"/>
      <c r="G17" s="17">
        <f t="shared" si="0"/>
        <v>2.9106859496014728E-2</v>
      </c>
      <c r="H17" s="81"/>
      <c r="I17" s="21"/>
      <c r="J17" s="81"/>
      <c r="K17" s="524"/>
      <c r="L17" s="524"/>
      <c r="M17" s="524"/>
      <c r="N17" s="524"/>
      <c r="O17" s="524"/>
      <c r="P17" s="29"/>
      <c r="Q17" s="527"/>
      <c r="R17" s="508"/>
      <c r="S17" s="527"/>
      <c r="T17" s="524"/>
      <c r="U17" s="524"/>
      <c r="V17" s="524"/>
      <c r="W17" s="524"/>
      <c r="X17" s="524"/>
    </row>
    <row r="18" spans="1:24" x14ac:dyDescent="0.25">
      <c r="A18" s="736"/>
      <c r="B18" s="1" t="s">
        <v>28</v>
      </c>
      <c r="C18" s="17">
        <f>Bilans_E_AMS_Kyoto_run3_2040!D21</f>
        <v>0</v>
      </c>
      <c r="D18" s="81"/>
      <c r="E18" s="727">
        <f>C18*(1-[12]Offre_calc!$V$157)</f>
        <v>0</v>
      </c>
      <c r="F18" s="81"/>
      <c r="G18" s="17">
        <f t="shared" si="0"/>
        <v>0</v>
      </c>
      <c r="H18" s="81"/>
      <c r="I18" s="21"/>
      <c r="J18" s="81"/>
      <c r="K18" s="524"/>
      <c r="L18" s="524"/>
      <c r="M18" s="524"/>
      <c r="N18" s="524"/>
      <c r="O18" s="524"/>
      <c r="P18" s="29"/>
      <c r="Q18" s="527"/>
      <c r="R18" s="508"/>
      <c r="S18" s="527"/>
      <c r="T18" s="524"/>
      <c r="U18" s="524"/>
      <c r="V18" s="524"/>
      <c r="W18" s="524"/>
      <c r="X18" s="524"/>
    </row>
    <row r="19" spans="1:24" x14ac:dyDescent="0.25">
      <c r="A19" s="736"/>
      <c r="B19" s="1" t="s">
        <v>260</v>
      </c>
      <c r="C19" s="17">
        <f>Bilans_E_AMS_Kyoto_run3_2040!H21+Bilans_E_AMS_Kyoto_run3_2040!T21</f>
        <v>2.4867213913043404E-3</v>
      </c>
      <c r="D19" s="82"/>
      <c r="E19" s="727">
        <f>C19*(1-[12]Offre_calc!$V$160)</f>
        <v>9.9468855652173611E-4</v>
      </c>
      <c r="F19" s="82"/>
      <c r="G19" s="17">
        <f t="shared" si="0"/>
        <v>1.4920328347826043E-3</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f>G10/C10</f>
        <v>0.32858236171887717</v>
      </c>
      <c r="H20" s="499"/>
      <c r="I20" s="17"/>
      <c r="J20" s="1"/>
      <c r="K20" s="17"/>
      <c r="L20" s="1"/>
      <c r="M20" s="1"/>
      <c r="N20" s="1"/>
      <c r="O20" s="1"/>
      <c r="P20" s="1"/>
      <c r="Q20" s="499"/>
      <c r="R20" s="508"/>
      <c r="S20" s="408"/>
      <c r="T20" s="495"/>
      <c r="U20" s="408"/>
      <c r="V20" s="495"/>
      <c r="W20" s="408"/>
      <c r="X20" s="495"/>
    </row>
    <row r="21" spans="1:24" x14ac:dyDescent="0.25">
      <c r="A21" s="737" t="s">
        <v>13</v>
      </c>
      <c r="B21" s="1" t="s">
        <v>21</v>
      </c>
      <c r="C21" s="17">
        <f>Bilans_E_AMS_Kyoto_run3_2040!L23+Bilans_E_AMS_Kyoto_run3_2040!O12+Bilans_E_AMS_Kyoto_run3_2040!M23</f>
        <v>132.84871185303399</v>
      </c>
      <c r="D21" s="529"/>
      <c r="E21" s="33">
        <f>Bilans_E_AMS_Kyoto_run3_2040!U23+Bilans_E_AMS_Kyoto_run3_2040!O30</f>
        <v>66.340827551206502</v>
      </c>
      <c r="F21" s="529"/>
      <c r="G21" s="17">
        <f t="shared" ref="G21:G45" si="1">C21-E21</f>
        <v>66.507884301827488</v>
      </c>
      <c r="H21" s="529"/>
      <c r="I21" s="17"/>
      <c r="J21" s="529"/>
      <c r="K21" s="545">
        <f>Bilans_E_AMS_Kyoto_run3_2040!O31</f>
        <v>0.76954903236077299</v>
      </c>
      <c r="L21" s="545">
        <f>-(Bilans_E_AMS_Kyoto_run3_2040!O13+Bilans_E_AMS_Kyoto_run3_2040!O14+Bilans_E_AMS_Kyoto_run3_2040!O15+Bilans_E_AMS_Kyoto_run3_2040!O16)</f>
        <v>1.442192488781304</v>
      </c>
      <c r="M21" s="545">
        <f>Bilans_E_AMS_Kyoto_run3_2040!O28</f>
        <v>0</v>
      </c>
      <c r="N21" s="545">
        <f>Bilans_E_AMS_Kyoto_run3_2040!O22</f>
        <v>9.211082811707719</v>
      </c>
      <c r="O21" s="545">
        <f>Bilans_E_AMS_Kyoto_run3_2040!O21</f>
        <v>0.11555796351278441</v>
      </c>
      <c r="P21" s="545">
        <f>C36</f>
        <v>0</v>
      </c>
      <c r="Q21" s="529"/>
      <c r="R21" s="508"/>
      <c r="S21" s="529"/>
      <c r="T21" s="529"/>
      <c r="U21" s="529"/>
      <c r="V21" s="529"/>
      <c r="W21" s="529"/>
      <c r="X21" s="529"/>
    </row>
    <row r="22" spans="1:24" x14ac:dyDescent="0.25">
      <c r="A22" s="737"/>
      <c r="B22" s="1" t="s">
        <v>519</v>
      </c>
      <c r="C22" s="17">
        <f>Bilans_E_AMS_Kyoto_run3_2040!T24</f>
        <v>1.3786067378836733</v>
      </c>
      <c r="D22" s="85">
        <f>SUM(C21:C24)</f>
        <v>276.05414852085778</v>
      </c>
      <c r="E22" s="630">
        <f>Bilans_E_AMS_Kyoto_run3_2040!I30+Bilans_E_AMS_Kyoto_run3_2040!U24</f>
        <v>0.38600988660742852</v>
      </c>
      <c r="F22" s="85">
        <f>SUM(E21:E24)</f>
        <v>83.655945988764344</v>
      </c>
      <c r="G22" s="17">
        <f t="shared" si="1"/>
        <v>0.99259685127624475</v>
      </c>
      <c r="H22" s="85">
        <f>SUM(G21:G24)</f>
        <v>192.39820253209345</v>
      </c>
      <c r="I22" s="408"/>
      <c r="J22" s="85">
        <f>H22-I22</f>
        <v>192.39820253209345</v>
      </c>
      <c r="K22" s="626">
        <f>Bilans_E_AMS_Kyoto_run3_2040!I31</f>
        <v>0</v>
      </c>
      <c r="L22" s="626">
        <f>-SUM(Bilans_E_AMS_Kyoto_run3_2040!I13:I16)</f>
        <v>0.99259685127624475</v>
      </c>
      <c r="M22" s="32"/>
      <c r="N22" s="534">
        <f>Bilans_E_AMS_Kyoto_run3_2040!I22</f>
        <v>0</v>
      </c>
      <c r="O22" s="32"/>
      <c r="P22" s="32"/>
      <c r="Q22" s="85">
        <f>J22-SUM(K21:P24)</f>
        <v>151.08093319864975</v>
      </c>
      <c r="R22" s="508">
        <f>Q22-S22</f>
        <v>0</v>
      </c>
      <c r="S22" s="85">
        <f>SUM(T22:X24)</f>
        <v>151.08093319864977</v>
      </c>
      <c r="T22" s="32">
        <f>Bilans_E_AMS_Kyoto_run3_2040!H38+Bilans_E_AMS_Kyoto_run3_2040!T38+Bilans_E_AMS_Kyoto_run3_2040!O$38+Bilans_E_AMS_Kyoto_run3_2040!I38</f>
        <v>1.6960501954871656</v>
      </c>
      <c r="U22" s="32">
        <f>Bilans_E_AMS_Kyoto_run3_2040!H34+Bilans_E_AMS_Kyoto_run3_2040!T34+Bilans_E_AMS_Kyoto_run3_2040!O$34+Bilans_E_AMS_Kyoto_run3_2040!I34</f>
        <v>70.544008247711929</v>
      </c>
      <c r="V22" s="32">
        <f>Bilans_E_AMS_Kyoto_run3_2040!H36+Bilans_E_AMS_Kyoto_run3_2040!T36+Bilans_E_AMS_Kyoto_run3_2040!O$36+Bilans_E_AMS_Kyoto_run3_2040!I36</f>
        <v>39.26367448194933</v>
      </c>
      <c r="W22" s="32">
        <f>Bilans_E_AMS_Kyoto_run3_2040!H37+Bilans_E_AMS_Kyoto_run3_2040!M37+Bilans_E_AMS_Kyoto_run3_2040!T37+Bilans_E_AMS_Kyoto_run3_2040!O$37+Bilans_E_AMS_Kyoto_run3_2040!I37</f>
        <v>27.549886913301172</v>
      </c>
      <c r="X22" s="32">
        <f>Bilans_E_AMS_Kyoto_run3_2040!H35+Bilans_E_AMS_Kyoto_run3_2040!T35+Bilans_E_AMS_Kyoto_run3_2040!O$35+Bilans_E_AMS_Kyoto_run3_2040!I35</f>
        <v>12.027313360200161</v>
      </c>
    </row>
    <row r="23" spans="1:24" x14ac:dyDescent="0.25">
      <c r="A23" s="737"/>
      <c r="B23" s="1" t="s">
        <v>31</v>
      </c>
      <c r="C23" s="17">
        <f>SUM(Bilans_E_AMS_Kyoto_run3_2040!D28:S28)-C47</f>
        <v>44.478877336302361</v>
      </c>
      <c r="D23" s="530"/>
      <c r="E23" s="33">
        <f>Bilans_E_AMS_Kyoto_run3_2040!U28+Bilans_E_AMS_Kyoto_run3_2040!T30</f>
        <v>16.929108550950417</v>
      </c>
      <c r="F23" s="532"/>
      <c r="G23" s="17">
        <f t="shared" si="1"/>
        <v>27.549768785351944</v>
      </c>
      <c r="H23" s="532"/>
      <c r="I23" s="17"/>
      <c r="J23" s="532"/>
      <c r="K23" s="534">
        <f>Bilans_E_AMS_Kyoto_run3_2040!T31</f>
        <v>0</v>
      </c>
      <c r="L23" s="534">
        <f>-(Bilans_E_AMS_Kyoto_run3_2040!T13+Bilans_E_AMS_Kyoto_run3_2040!T14+Bilans_E_AMS_Kyoto_run3_2040!T15+Bilans_E_AMS_Kyoto_run3_2040!T16)</f>
        <v>3.6641331147023255</v>
      </c>
      <c r="M23" s="534">
        <f>Bilans_E_AMS_Kyoto_run3_2040!T24</f>
        <v>1.3786067378836733</v>
      </c>
      <c r="N23" s="534">
        <f>Bilans_E_AMS_Kyoto_run3_2040!T22</f>
        <v>0</v>
      </c>
      <c r="O23" s="534">
        <f>Bilans_E_AMS_Kyoto_run3_2040!T21</f>
        <v>0</v>
      </c>
      <c r="P23" s="534">
        <f>Bilans_E_AMS_Kyoto_run3_2040!T27</f>
        <v>8.7918565364038699</v>
      </c>
      <c r="Q23" s="532"/>
      <c r="R23" s="489"/>
      <c r="S23" s="532"/>
      <c r="T23" s="536"/>
      <c r="U23" s="536"/>
      <c r="V23" s="536"/>
      <c r="W23" s="536"/>
      <c r="X23" s="536"/>
    </row>
    <row r="24" spans="1:24" x14ac:dyDescent="0.25">
      <c r="A24" s="737"/>
      <c r="B24" s="1" t="s">
        <v>32</v>
      </c>
      <c r="C24" s="17">
        <f>Bilans_E_AMS_Kyoto_run3_2040!H18-C45-(Bilans_E_AMS_Kyoto_run3_2040!H20+Bilans_E_AMS_Kyoto_run3_2040!H19)</f>
        <v>97.347952593637771</v>
      </c>
      <c r="D24" s="531"/>
      <c r="E24" s="33">
        <f>Bilans_E_AMS_Kyoto_run3_2040!H30</f>
        <v>0</v>
      </c>
      <c r="F24" s="533"/>
      <c r="G24" s="17">
        <f t="shared" si="1"/>
        <v>97.347952593637771</v>
      </c>
      <c r="H24" s="533"/>
      <c r="I24" s="34"/>
      <c r="J24" s="533"/>
      <c r="K24" s="535">
        <f>Bilans_E_AMS_Kyoto_run3_2040!H31</f>
        <v>1.1543235485411594</v>
      </c>
      <c r="L24" s="535"/>
      <c r="M24" s="535">
        <f>Bilans_E_AMS_Kyoto_run3_2040!H28</f>
        <v>0</v>
      </c>
      <c r="N24" s="535">
        <f>Bilans_E_AMS_Kyoto_run3_2040!H22</f>
        <v>13.794883526882547</v>
      </c>
      <c r="O24" s="535">
        <f>Bilans_E_AMS_Kyoto_run3_2040!H21</f>
        <v>2.4867213913043404E-3</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38" t="s">
        <v>14</v>
      </c>
      <c r="B26" s="1" t="s">
        <v>21</v>
      </c>
      <c r="C26" s="17">
        <f>Bilans_E_AMS_Kyoto_run3_2040!O22</f>
        <v>9.211082811707719</v>
      </c>
      <c r="D26" s="512"/>
      <c r="E26" s="190">
        <f>C26*F$35</f>
        <v>0.66893472735813131</v>
      </c>
      <c r="F26" s="512"/>
      <c r="G26" s="33">
        <f t="shared" ref="G26:G31" si="2">C26-E26</f>
        <v>8.5421480843495878</v>
      </c>
      <c r="H26" s="512"/>
      <c r="I26" s="1"/>
      <c r="J26" s="512"/>
      <c r="K26" s="512"/>
      <c r="L26" s="512"/>
      <c r="M26" s="512"/>
      <c r="N26" s="512"/>
      <c r="O26" s="512"/>
      <c r="P26" s="512"/>
      <c r="Q26" s="512"/>
      <c r="R26" s="508"/>
      <c r="S26" s="512"/>
      <c r="T26" s="512"/>
      <c r="U26" s="512"/>
      <c r="V26" s="512"/>
      <c r="W26" s="512"/>
      <c r="X26" s="512"/>
    </row>
    <row r="27" spans="1:24" x14ac:dyDescent="0.25">
      <c r="A27" s="738"/>
      <c r="B27" s="1" t="s">
        <v>22</v>
      </c>
      <c r="C27" s="17">
        <f>Bilans_E_AMS_Kyoto_run3_2040!M18-(Bilans_E_AMS_Kyoto_run3_2040!M21+Bilans_E_AMS_Kyoto_run3_2040!M23+Bilans_E_AMS_Kyoto_run3_2040!M26+Bilans_E_AMS_Kyoto_run3_2040!M34)-(Bilans_E_AMS_Kyoto_run3_2040!S20+Bilans_E_AMS_Kyoto_run3_2040!S19+Bilans_E_AMS_Kyoto_run3_2040!M20+Bilans_E_AMS_Kyoto_run3_2040!M19)</f>
        <v>14.187375488735348</v>
      </c>
      <c r="D27" s="87"/>
      <c r="E27" s="190">
        <f t="shared" ref="E27:E34" si="3">C27*F$35</f>
        <v>1.0303270905806901</v>
      </c>
      <c r="F27" s="87"/>
      <c r="G27" s="33">
        <f t="shared" si="2"/>
        <v>13.157048398154659</v>
      </c>
      <c r="H27" s="87"/>
      <c r="I27" s="500"/>
      <c r="J27" s="87"/>
      <c r="K27" s="87"/>
      <c r="L27" s="87"/>
      <c r="M27" s="87"/>
      <c r="N27" s="87"/>
      <c r="O27" s="87"/>
      <c r="P27" s="87"/>
      <c r="Q27" s="87"/>
      <c r="R27" s="508"/>
      <c r="S27" s="87"/>
      <c r="T27" s="87"/>
      <c r="U27" s="87"/>
      <c r="V27" s="87"/>
      <c r="W27" s="87"/>
      <c r="X27" s="87"/>
    </row>
    <row r="28" spans="1:24" x14ac:dyDescent="0.25">
      <c r="A28" s="738"/>
      <c r="B28" s="1" t="s">
        <v>612</v>
      </c>
      <c r="C28" s="17">
        <f>Bilans_E_AMS_Kyoto_run3_2040!J22</f>
        <v>3.3981163703769028</v>
      </c>
      <c r="D28" s="87"/>
      <c r="E28" s="190">
        <f t="shared" si="3"/>
        <v>0.24678076337127666</v>
      </c>
      <c r="F28" s="87"/>
      <c r="G28" s="33">
        <f>C28-E28</f>
        <v>3.1513356070056262</v>
      </c>
      <c r="H28" s="87"/>
      <c r="I28" s="1"/>
      <c r="J28" s="87"/>
      <c r="K28" s="87"/>
      <c r="L28" s="87"/>
      <c r="M28" s="87"/>
      <c r="N28" s="87"/>
      <c r="O28" s="87"/>
      <c r="P28" s="87"/>
      <c r="Q28" s="87"/>
      <c r="R28" s="508"/>
      <c r="S28" s="87"/>
      <c r="T28" s="87"/>
      <c r="U28" s="87"/>
      <c r="V28" s="87"/>
      <c r="W28" s="87"/>
      <c r="X28" s="87"/>
    </row>
    <row r="29" spans="1:24" x14ac:dyDescent="0.25">
      <c r="A29" s="738"/>
      <c r="B29" s="1" t="s">
        <v>23</v>
      </c>
      <c r="C29" s="17">
        <f>Bilans_E_AMS_Kyoto_run3_2040!L22</f>
        <v>24.198351271875673</v>
      </c>
      <c r="D29" s="87"/>
      <c r="E29" s="190">
        <f t="shared" si="3"/>
        <v>1.7573522941291828</v>
      </c>
      <c r="F29" s="87"/>
      <c r="G29" s="33">
        <f t="shared" si="2"/>
        <v>22.440998977746489</v>
      </c>
      <c r="H29" s="87"/>
      <c r="I29" s="1"/>
      <c r="J29" s="87"/>
      <c r="K29" s="87"/>
      <c r="L29" s="87"/>
      <c r="M29" s="87"/>
      <c r="N29" s="87"/>
      <c r="O29" s="87"/>
      <c r="P29" s="87"/>
      <c r="Q29" s="87"/>
      <c r="R29" s="508"/>
      <c r="S29" s="87"/>
      <c r="T29" s="87"/>
      <c r="U29" s="87"/>
      <c r="V29" s="87"/>
      <c r="W29" s="87"/>
      <c r="X29" s="87"/>
    </row>
    <row r="30" spans="1:24" x14ac:dyDescent="0.25">
      <c r="A30" s="738"/>
      <c r="B30" s="1" t="s">
        <v>24</v>
      </c>
      <c r="C30" s="17">
        <f>Bilans_E_AMS_Kyoto_run3_2040!Q22</f>
        <v>15.724500904765749</v>
      </c>
      <c r="D30" s="86">
        <f>SUM(C26:C34)</f>
        <v>97.518511159585302</v>
      </c>
      <c r="E30" s="190">
        <f t="shared" si="3"/>
        <v>1.1419574593556416</v>
      </c>
      <c r="F30" s="86">
        <f>Bilans_E_AMS_Kyoto_run3_2040!U22</f>
        <v>7.0820684178404321</v>
      </c>
      <c r="G30" s="33">
        <f t="shared" si="2"/>
        <v>14.582543445410108</v>
      </c>
      <c r="H30" s="86">
        <f>SUM(G26:G34)</f>
        <v>90.43644274174487</v>
      </c>
      <c r="I30" s="1"/>
      <c r="J30" s="86">
        <f>H30</f>
        <v>90.43644274174487</v>
      </c>
      <c r="K30" s="87">
        <f>Bilans_E_AMS_Kyoto_run3_2040!S31</f>
        <v>7.0126401757775509</v>
      </c>
      <c r="L30" s="87"/>
      <c r="M30" s="87">
        <f>Bilans_E_AMS_Kyoto_run3_2040!M28</f>
        <v>0</v>
      </c>
      <c r="N30" s="87"/>
      <c r="O30" s="87"/>
      <c r="P30" s="87"/>
      <c r="Q30" s="86">
        <f>J30-K30-L30-M30-N30-O30-P30</f>
        <v>83.423802565967321</v>
      </c>
      <c r="R30" s="508">
        <f>Q30-S30</f>
        <v>3.1886132063618788E-5</v>
      </c>
      <c r="S30" s="86">
        <f>SUM(T27:X34)</f>
        <v>83.423770679835258</v>
      </c>
      <c r="T30" s="87">
        <f>Bilans_E_AMS_Kyoto_run3_2040!S$38</f>
        <v>0</v>
      </c>
      <c r="U30" s="87">
        <f>Bilans_E_AMS_Kyoto_run3_2040!S$34</f>
        <v>19.589550837757145</v>
      </c>
      <c r="V30" s="87">
        <f>Bilans_E_AMS_Kyoto_run3_2040!S$36</f>
        <v>40.573888251039236</v>
      </c>
      <c r="W30" s="87">
        <f>Bilans_E_AMS_Kyoto_run3_2040!S$37</f>
        <v>23.260331591038877</v>
      </c>
      <c r="X30" s="87">
        <f>Bilans_E_AMS_Kyoto_run3_2040!S$35</f>
        <v>0</v>
      </c>
    </row>
    <row r="31" spans="1:24" x14ac:dyDescent="0.25">
      <c r="A31" s="738"/>
      <c r="B31" s="1" t="s">
        <v>611</v>
      </c>
      <c r="C31" s="17">
        <f>Bilans_E_AMS_Kyoto_run3_2040!P22</f>
        <v>17.004200785241363</v>
      </c>
      <c r="D31" s="86"/>
      <c r="E31" s="190">
        <f t="shared" si="3"/>
        <v>1.2348928620813804</v>
      </c>
      <c r="F31" s="86"/>
      <c r="G31" s="33">
        <f t="shared" si="2"/>
        <v>15.769307923159982</v>
      </c>
      <c r="H31" s="86"/>
      <c r="I31" s="1"/>
      <c r="J31" s="517"/>
      <c r="K31" s="87"/>
      <c r="L31" s="87"/>
      <c r="M31" s="87"/>
      <c r="N31" s="87"/>
      <c r="O31" s="87"/>
      <c r="P31" s="87"/>
      <c r="Q31" s="517"/>
      <c r="R31" s="508"/>
      <c r="S31" s="519"/>
      <c r="T31" s="521"/>
      <c r="U31" s="521"/>
      <c r="V31" s="521"/>
      <c r="W31" s="521"/>
      <c r="X31" s="521"/>
    </row>
    <row r="32" spans="1:24" x14ac:dyDescent="0.25">
      <c r="A32" s="738"/>
      <c r="B32" s="1" t="s">
        <v>29</v>
      </c>
      <c r="C32" s="17">
        <f>Bilans_E_AMS_Kyoto_run3_2040!H22+Bilans_E_AMS_Kyoto_run3_2040!I22</f>
        <v>13.794883526882547</v>
      </c>
      <c r="D32" s="86"/>
      <c r="E32" s="190">
        <f t="shared" si="3"/>
        <v>1.0018232209641291</v>
      </c>
      <c r="F32" s="86"/>
      <c r="G32" s="33">
        <f>C32-E32</f>
        <v>12.793060305918418</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f>Bilans_E_AMS_Kyoto_run3_2040!F22</f>
        <v>0</v>
      </c>
      <c r="D33" s="86"/>
      <c r="E33" s="190">
        <f t="shared" si="3"/>
        <v>0</v>
      </c>
      <c r="F33" s="86"/>
      <c r="G33" s="33">
        <f t="shared" ref="G33:G34" si="4">C33-E33</f>
        <v>0</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f>Bilans_E_AMS_Kyoto_run3_2040!D22</f>
        <v>0</v>
      </c>
      <c r="D34" s="88"/>
      <c r="E34" s="190">
        <f t="shared" si="3"/>
        <v>0</v>
      </c>
      <c r="F34" s="88"/>
      <c r="G34" s="33">
        <f t="shared" si="4"/>
        <v>0</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f>F30/D30</f>
        <v>7.2622811132246459E-2</v>
      </c>
      <c r="G35" s="17"/>
      <c r="H35" s="501"/>
      <c r="I35" s="1"/>
      <c r="J35" s="1"/>
      <c r="K35" s="1"/>
      <c r="L35" s="1"/>
      <c r="M35" s="1"/>
      <c r="N35" s="1"/>
      <c r="O35" s="1"/>
      <c r="P35" s="1"/>
      <c r="Q35" s="502"/>
      <c r="R35" s="508"/>
      <c r="U35" s="33"/>
      <c r="V35" s="33"/>
      <c r="W35" s="33"/>
    </row>
    <row r="36" spans="1:26" x14ac:dyDescent="0.25">
      <c r="A36" s="739" t="s">
        <v>34</v>
      </c>
      <c r="B36" s="1" t="s">
        <v>21</v>
      </c>
      <c r="C36" s="33">
        <f>E55</f>
        <v>0</v>
      </c>
      <c r="D36" s="538"/>
      <c r="E36" s="17"/>
      <c r="F36" s="538"/>
      <c r="G36" s="17">
        <f t="shared" ref="G36:G42" si="5">C36-E36</f>
        <v>0</v>
      </c>
      <c r="H36" s="538"/>
      <c r="I36" s="35"/>
      <c r="J36" s="37"/>
      <c r="K36" s="35"/>
      <c r="L36" s="35"/>
      <c r="M36" s="35"/>
      <c r="N36" s="35"/>
      <c r="O36" s="35"/>
      <c r="P36" s="35"/>
      <c r="Q36" s="540"/>
      <c r="R36" s="508"/>
      <c r="S36" s="538"/>
      <c r="T36" s="503">
        <v>0</v>
      </c>
      <c r="U36" s="503">
        <v>0</v>
      </c>
      <c r="V36" s="503">
        <v>0</v>
      </c>
      <c r="W36" s="503">
        <v>0</v>
      </c>
      <c r="X36" s="503">
        <v>0</v>
      </c>
      <c r="Y36" s="489">
        <f>SUM(T36:X36)</f>
        <v>0</v>
      </c>
      <c r="Z36" s="489">
        <f>G36-Y36</f>
        <v>0</v>
      </c>
    </row>
    <row r="37" spans="1:26" x14ac:dyDescent="0.25">
      <c r="A37" s="739"/>
      <c r="B37" s="1" t="s">
        <v>23</v>
      </c>
      <c r="C37" s="33">
        <f>SUM(T37:X37)+E58</f>
        <v>98.431829158824669</v>
      </c>
      <c r="D37" s="539"/>
      <c r="E37" s="504"/>
      <c r="F37" s="539"/>
      <c r="G37" s="17">
        <f t="shared" si="5"/>
        <v>98.431829158824669</v>
      </c>
      <c r="H37" s="539"/>
      <c r="I37" s="498"/>
      <c r="J37" s="37"/>
      <c r="K37" s="35"/>
      <c r="L37" s="35"/>
      <c r="M37" s="505"/>
      <c r="N37" s="35"/>
      <c r="P37" s="35"/>
      <c r="Q37" s="541"/>
      <c r="R37" s="508"/>
      <c r="S37" s="539"/>
      <c r="T37" s="506">
        <f>Bilans_E_AMS_Kyoto_run3_2040!L38</f>
        <v>15.52633161671044</v>
      </c>
      <c r="U37" s="93">
        <f>Bilans_E_AMS_Kyoto_run3_2040!L34</f>
        <v>37.391289864504934</v>
      </c>
      <c r="V37" s="506">
        <f>Bilans_E_AMS_Kyoto_run3_2040!L36</f>
        <v>44.494417008077924</v>
      </c>
      <c r="W37" s="507">
        <f>Bilans_E_AMS_Kyoto_run3_2040!L37</f>
        <v>0.53348745170182088</v>
      </c>
      <c r="X37" s="506">
        <f>Bilans_E_AMS_Kyoto_run3_2040!L35</f>
        <v>0</v>
      </c>
      <c r="Y37" s="489">
        <f t="shared" ref="Y37:Y47" si="6">SUM(T37:X37)</f>
        <v>97.945525940995125</v>
      </c>
      <c r="Z37" s="489">
        <f t="shared" ref="Z37:Z44" si="7">G37-Y37</f>
        <v>0.48630321782954411</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f>SUM(G36:G41)-E55-E56-E58-L41-L36</f>
        <v>366.00497273263187</v>
      </c>
      <c r="R38" s="508"/>
      <c r="S38" s="539"/>
      <c r="T38" s="84">
        <v>0</v>
      </c>
      <c r="U38" s="83">
        <v>0</v>
      </c>
      <c r="V38" s="84">
        <v>0</v>
      </c>
      <c r="W38" s="91">
        <v>0</v>
      </c>
      <c r="X38" s="91">
        <v>0</v>
      </c>
      <c r="Y38" s="489">
        <f t="shared" si="6"/>
        <v>0</v>
      </c>
      <c r="Z38" s="489">
        <f t="shared" si="7"/>
        <v>0</v>
      </c>
    </row>
    <row r="39" spans="1:26" x14ac:dyDescent="0.25">
      <c r="A39" s="739"/>
      <c r="B39" s="1" t="s">
        <v>35</v>
      </c>
      <c r="C39" s="33">
        <f>SUM(T39:X39)</f>
        <v>22.513352365095788</v>
      </c>
      <c r="D39" s="539"/>
      <c r="E39" s="35"/>
      <c r="F39" s="539"/>
      <c r="G39" s="17">
        <f t="shared" si="5"/>
        <v>22.513352365095788</v>
      </c>
      <c r="H39" s="539"/>
      <c r="I39" s="35"/>
      <c r="J39" s="37"/>
      <c r="K39" s="35"/>
      <c r="L39" s="35"/>
      <c r="M39" s="37"/>
      <c r="N39" s="35"/>
      <c r="O39" s="35"/>
      <c r="P39" s="35"/>
      <c r="Q39" s="541"/>
      <c r="R39" s="508"/>
      <c r="S39" s="539"/>
      <c r="T39" s="84">
        <f>Bilans_E_AMS_Kyoto_run3_2040!Q38</f>
        <v>1.300620381405156</v>
      </c>
      <c r="U39" s="83">
        <f>Bilans_E_AMS_Kyoto_run3_2040!Q34</f>
        <v>7.8820466826144567E-4</v>
      </c>
      <c r="V39" s="84">
        <f>Bilans_E_AMS_Kyoto_run3_2040!Q36</f>
        <v>11.112810725871574</v>
      </c>
      <c r="W39" s="91">
        <f>Bilans_E_AMS_Kyoto_run3_2040!Q37</f>
        <v>10.099133053150796</v>
      </c>
      <c r="X39" s="91">
        <f>Bilans_E_AMS_Kyoto_run3_2040!Q35</f>
        <v>0</v>
      </c>
      <c r="Y39" s="489">
        <f t="shared" si="6"/>
        <v>22.513352365095788</v>
      </c>
      <c r="Z39" s="489">
        <f t="shared" si="7"/>
        <v>0</v>
      </c>
    </row>
    <row r="40" spans="1:26" x14ac:dyDescent="0.25">
      <c r="A40" s="739"/>
      <c r="B40" s="1" t="s">
        <v>36</v>
      </c>
      <c r="C40" s="33">
        <f>Bilans_E_AMS_Kyoto_run3_2040!P12-Bilans_E_AMS_Kyoto_run3_2040!P22</f>
        <v>200.97378041511362</v>
      </c>
      <c r="D40" s="539"/>
      <c r="E40" s="35"/>
      <c r="F40" s="539"/>
      <c r="G40" s="17">
        <f t="shared" si="5"/>
        <v>200.97378041511362</v>
      </c>
      <c r="H40" s="539"/>
      <c r="I40" s="35"/>
      <c r="J40" s="37"/>
      <c r="K40" s="35"/>
      <c r="L40" s="35"/>
      <c r="M40" s="37"/>
      <c r="N40" s="35"/>
      <c r="O40" s="35"/>
      <c r="P40" s="35"/>
      <c r="Q40" s="541"/>
      <c r="R40" s="508"/>
      <c r="S40" s="539"/>
      <c r="T40" s="83">
        <f>Bilans_E_AMS_Kyoto_run3_2040!P$38</f>
        <v>1</v>
      </c>
      <c r="U40" s="83">
        <f>Bilans_E_AMS_Kyoto_run3_2040!P$34</f>
        <v>10.938740234375</v>
      </c>
      <c r="V40" s="83">
        <f>Bilans_E_AMS_Kyoto_run3_2040!P$36</f>
        <v>136.92844956569715</v>
      </c>
      <c r="W40" s="83">
        <f>Bilans_E_AMS_Kyoto_run3_2040!P$37</f>
        <v>52.106590615041483</v>
      </c>
      <c r="X40" s="84">
        <f>Bilans_E_AMS_Kyoto_run3_2040!P$35</f>
        <v>0</v>
      </c>
      <c r="Y40" s="489">
        <f t="shared" si="6"/>
        <v>200.97378041511362</v>
      </c>
      <c r="Z40" s="489">
        <f t="shared" si="7"/>
        <v>0</v>
      </c>
    </row>
    <row r="41" spans="1:26" x14ac:dyDescent="0.25">
      <c r="A41" s="739"/>
      <c r="B41" s="1" t="s">
        <v>37</v>
      </c>
      <c r="C41" s="33">
        <f>Bilans_E_AMS_Kyoto_run3_2040!N12+Bilans_E_AMS_Kyoto_run3_2040!L26+Bilans_E_AMS_Kyoto_run3_2040!M26-Bilans_E_AMS_Kyoto_run3_2040!N21+Bilans_E_AMS_Kyoto_run3_2040!T27</f>
        <v>102.65223208592445</v>
      </c>
      <c r="D41" s="191">
        <f>SUM(C36:C47)</f>
        <v>695.23436438450256</v>
      </c>
      <c r="E41" s="511">
        <f>Bilans_E_AMS_Kyoto_run3_2040!U27+Bilans_E_AMS_Kyoto_run3_2040!U26</f>
        <v>47.483936595663558</v>
      </c>
      <c r="F41" s="191">
        <f>SUM(E36:E47)</f>
        <v>60.775486647855907</v>
      </c>
      <c r="G41" s="17">
        <f t="shared" si="5"/>
        <v>55.168295490260896</v>
      </c>
      <c r="H41" s="191">
        <f>SUM(G36:G47)</f>
        <v>634.45887773664663</v>
      </c>
      <c r="I41" s="35"/>
      <c r="J41" s="37"/>
      <c r="K41" s="35"/>
      <c r="L41" s="37">
        <f>-(SUM(Bilans_E_AMS_Kyoto_run3_2040!N13:N16)+SUM(Bilans_E_AMS_Kyoto_run3_2040!G13:G16))</f>
        <v>4.2656005186388128</v>
      </c>
      <c r="M41" s="35"/>
      <c r="N41" s="35"/>
      <c r="O41" s="35"/>
      <c r="P41" s="35"/>
      <c r="Q41" s="541"/>
      <c r="R41" s="508">
        <f>SUM(Q36:Q47)-S41</f>
        <v>0</v>
      </c>
      <c r="S41" s="191">
        <f>SUM(T36:X46)</f>
        <v>495.07827729861293</v>
      </c>
      <c r="T41" s="83">
        <f>Bilans_E_AMS_Kyoto_run3_2040!N$38+Bilans_E_AMS_Kyoto_run3_2040!G$38</f>
        <v>6.9560280843062596</v>
      </c>
      <c r="U41" s="83">
        <f>Bilans_E_AMS_Kyoto_run3_2040!N$34+Bilans_E_AMS_Kyoto_run3_2040!G$34</f>
        <v>0.65571165030445222</v>
      </c>
      <c r="V41" s="83">
        <f>Bilans_E_AMS_Kyoto_run3_2040!N$36+Bilans_E_AMS_Kyoto_run3_2040!G$36</f>
        <v>0</v>
      </c>
      <c r="W41" s="83">
        <f>Bilans_E_AMS_Kyoto_run3_2040!N$37+Bilans_E_AMS_Kyoto_run3_2040!G$37</f>
        <v>0</v>
      </c>
      <c r="X41" s="84">
        <f>Bilans_E_AMS_Kyoto_run3_2040!N$35+Bilans_E_AMS_Kyoto_run3_2040!G$35</f>
        <v>36.960574276816558</v>
      </c>
      <c r="Y41" s="489">
        <f t="shared" si="6"/>
        <v>44.572314011427267</v>
      </c>
      <c r="Z41" s="489">
        <f>G41-Y41-L41</f>
        <v>6.330380960194816</v>
      </c>
    </row>
    <row r="42" spans="1:26" x14ac:dyDescent="0.25">
      <c r="A42" s="739"/>
      <c r="B42" s="1" t="s">
        <v>38</v>
      </c>
      <c r="C42" s="33">
        <f>Bilans_E_AMS_Kyoto_run3_2040!E18+Bilans_E_AMS_Kyoto_run3_2040!F18-Bilans_E_AMS_Kyoto_run3_2040!F21-Bilans_E_AMS_Kyoto_run3_2040!F22-E54-SUM(T43:X43)-(Bilans_E_AMS_Kyoto_run3_2040!E20+Bilans_E_AMS_Kyoto_run3_2040!F20+Bilans_E_AMS_Kyoto_run3_2040!E19+Bilans_E_AMS_Kyoto_run3_2040!F19)</f>
        <v>115.06556654287579</v>
      </c>
      <c r="D42" s="539"/>
      <c r="E42" s="17">
        <f>Bilans_E_AMS_Kyoto_run3_2040!F30+Bilans_E_AMS_Kyoto_run3_2040!U25+Bilans_E_AMS_Kyoto_run3_2040!F29+Bilans_E_AMS_Kyoto_run3_2040!E29</f>
        <v>13.291550052192349</v>
      </c>
      <c r="F42" s="539"/>
      <c r="G42" s="17">
        <f t="shared" si="5"/>
        <v>101.77401649068344</v>
      </c>
      <c r="H42" s="539"/>
      <c r="I42" s="498"/>
      <c r="J42" s="37"/>
      <c r="K42" s="35"/>
      <c r="L42" s="35"/>
      <c r="M42" s="35"/>
      <c r="N42" s="35"/>
      <c r="O42" s="35"/>
      <c r="P42" s="35"/>
      <c r="Q42" s="36">
        <f>G42</f>
        <v>101.77401649068344</v>
      </c>
      <c r="R42" s="508"/>
      <c r="S42" s="539"/>
      <c r="T42" s="83">
        <v>0</v>
      </c>
      <c r="U42" s="83">
        <v>0</v>
      </c>
      <c r="V42" s="83">
        <v>0</v>
      </c>
      <c r="W42" s="83">
        <v>0</v>
      </c>
      <c r="X42" s="84">
        <f>Bilans_E_AMS_Kyoto_run3_2040!F35</f>
        <v>101.77401649068347</v>
      </c>
      <c r="Y42" s="489">
        <f t="shared" si="6"/>
        <v>101.77401649068347</v>
      </c>
      <c r="Z42" s="489">
        <f>Q42-SUM(T42:X42)</f>
        <v>0</v>
      </c>
    </row>
    <row r="43" spans="1:26" x14ac:dyDescent="0.25">
      <c r="A43" s="739"/>
      <c r="B43" s="1" t="s">
        <v>39</v>
      </c>
      <c r="C43" s="33">
        <f>Bilans_E_AMS_Kyoto_run3_2040!F41+SUM(T43:X43)</f>
        <v>120.21803415127904</v>
      </c>
      <c r="D43" s="539"/>
      <c r="E43" s="38"/>
      <c r="F43" s="539"/>
      <c r="G43" s="17">
        <f>C43-E43</f>
        <v>120.21803415127904</v>
      </c>
      <c r="H43" s="539"/>
      <c r="I43" s="35"/>
      <c r="J43" s="37"/>
      <c r="K43" s="35"/>
      <c r="L43" s="35"/>
      <c r="M43" s="35"/>
      <c r="N43" s="35"/>
      <c r="O43" s="35"/>
      <c r="P43" s="35"/>
      <c r="Q43" s="36">
        <f>G43-Bilans_E_AMS_Kyoto_run3_2040!F41</f>
        <v>18.182590937408918</v>
      </c>
      <c r="R43" s="508"/>
      <c r="S43" s="539"/>
      <c r="T43" s="83">
        <f>Bilans_E_AMS_Kyoto_run3_2040!F38</f>
        <v>13.844421020879521</v>
      </c>
      <c r="U43" s="83">
        <f>Bilans_E_AMS_Kyoto_run3_2040!F34</f>
        <v>3.1554639427466697</v>
      </c>
      <c r="V43" s="83">
        <f>Bilans_E_AMS_Kyoto_run3_2040!F36</f>
        <v>0.45829125770018231</v>
      </c>
      <c r="W43" s="83">
        <f>Bilans_E_AMS_Kyoto_run3_2040!F37</f>
        <v>0.72441471608254671</v>
      </c>
      <c r="X43" s="84">
        <v>0</v>
      </c>
      <c r="Y43" s="489">
        <f t="shared" si="6"/>
        <v>18.182590937408918</v>
      </c>
      <c r="Z43" s="489">
        <f>Q43-SUM(T43:X43)</f>
        <v>0</v>
      </c>
    </row>
    <row r="44" spans="1:26" x14ac:dyDescent="0.25">
      <c r="A44" s="739"/>
      <c r="B44" s="1" t="s">
        <v>40</v>
      </c>
      <c r="C44" s="33">
        <f>SUM(T44:X44)</f>
        <v>8.8042095890605694</v>
      </c>
      <c r="D44" s="539"/>
      <c r="E44" s="38"/>
      <c r="F44" s="539"/>
      <c r="G44" s="17">
        <f t="shared" si="1"/>
        <v>8.8042095890605694</v>
      </c>
      <c r="H44" s="539"/>
      <c r="I44" s="35"/>
      <c r="J44" s="37"/>
      <c r="K44" s="35"/>
      <c r="L44" s="35"/>
      <c r="M44" s="35"/>
      <c r="N44" s="35"/>
      <c r="O44" s="35"/>
      <c r="P44" s="35"/>
      <c r="Q44" s="36">
        <f>G44-Bilans_E_AMS_Kyoto_run3_2040!M41</f>
        <v>8.8042095890605694</v>
      </c>
      <c r="R44" s="498"/>
      <c r="S44" s="539"/>
      <c r="T44" s="83">
        <f>Bilans_E_AMS_Kyoto_run3_2040!M$38</f>
        <v>0</v>
      </c>
      <c r="U44" s="83">
        <f>Bilans_E_AMS_Kyoto_run3_2040!M$34</f>
        <v>8.8042095890605694</v>
      </c>
      <c r="V44" s="83">
        <f>Bilans_E_AMS_Kyoto_run3_2040!M$36</f>
        <v>0</v>
      </c>
      <c r="W44" s="83">
        <f>Bilans_E_AMS_Kyoto_run3_2040!M$37</f>
        <v>0</v>
      </c>
      <c r="X44" s="84">
        <f>Bilans_E_AMS_Kyoto_run3_2040!M$35</f>
        <v>0</v>
      </c>
      <c r="Y44" s="489">
        <f t="shared" si="6"/>
        <v>8.8042095890605694</v>
      </c>
      <c r="Z44" s="489">
        <f t="shared" si="7"/>
        <v>0</v>
      </c>
    </row>
    <row r="45" spans="1:26" x14ac:dyDescent="0.25">
      <c r="A45" s="739"/>
      <c r="B45" s="1" t="s">
        <v>41</v>
      </c>
      <c r="C45" s="33">
        <f>E53</f>
        <v>12.555456003161671</v>
      </c>
      <c r="D45" s="539"/>
      <c r="E45" s="38"/>
      <c r="F45" s="539"/>
      <c r="G45" s="17">
        <f t="shared" si="1"/>
        <v>12.555456003161671</v>
      </c>
      <c r="H45" s="539"/>
      <c r="I45" s="35"/>
      <c r="J45" s="37"/>
      <c r="K45" s="35"/>
      <c r="L45" s="35"/>
      <c r="M45" s="35"/>
      <c r="N45" s="35"/>
      <c r="O45" s="35"/>
      <c r="P45" s="35"/>
      <c r="Q45" s="36">
        <f>G45-Bilans_E_AMS_Kyoto_run3_2040!H41</f>
        <v>0</v>
      </c>
      <c r="R45" s="498"/>
      <c r="S45" s="539"/>
      <c r="T45" s="84">
        <v>0</v>
      </c>
      <c r="U45" s="83">
        <v>0</v>
      </c>
      <c r="V45" s="84">
        <v>0</v>
      </c>
      <c r="W45" s="92">
        <v>0</v>
      </c>
      <c r="X45" s="84">
        <v>0</v>
      </c>
      <c r="Y45" s="489">
        <f t="shared" si="6"/>
        <v>0</v>
      </c>
      <c r="Z45" s="489">
        <f>Q45-Y45</f>
        <v>0</v>
      </c>
    </row>
    <row r="46" spans="1:26" x14ac:dyDescent="0.25">
      <c r="A46" s="739"/>
      <c r="B46" s="1" t="s">
        <v>42</v>
      </c>
      <c r="C46" s="33">
        <f>Bilans_E_AMS_Kyoto_run3_2040!D18-C18-C34</f>
        <v>12.152793945312501</v>
      </c>
      <c r="D46" s="539"/>
      <c r="E46" s="511"/>
      <c r="F46" s="539"/>
      <c r="G46" s="17">
        <f>C46-E46</f>
        <v>12.152793945312501</v>
      </c>
      <c r="H46" s="539"/>
      <c r="I46" s="38"/>
      <c r="J46" s="37"/>
      <c r="K46" s="35"/>
      <c r="L46" s="35"/>
      <c r="M46" s="35"/>
      <c r="N46" s="35"/>
      <c r="O46" s="35"/>
      <c r="P46" s="35"/>
      <c r="Q46" s="36">
        <f>G46-(Bilans_E_AMS_Kyoto_run3_2040!D41+Bilans_E_AMS_Kyoto_run3_2040!D29+Bilans_E_AMS_Kyoto_run3_2040!D30)</f>
        <v>0.31248754882812513</v>
      </c>
      <c r="R46" s="498"/>
      <c r="S46" s="539"/>
      <c r="T46" s="506">
        <f>Bilans_E_AMS_Kyoto_run3_2040!D38</f>
        <v>0</v>
      </c>
      <c r="U46" s="93">
        <f>Bilans_E_AMS_Kyoto_run3_2040!D34</f>
        <v>0.31248754882812502</v>
      </c>
      <c r="V46" s="506">
        <f>Bilans_E_AMS_Kyoto_run3_2040!D36</f>
        <v>0</v>
      </c>
      <c r="W46" s="507">
        <f>Bilans_E_AMS_Kyoto_run3_2040!D37</f>
        <v>0</v>
      </c>
      <c r="X46" s="506">
        <f>Bilans_E_AMS_Kyoto_run3_2040!D35</f>
        <v>0</v>
      </c>
      <c r="Y46" s="489">
        <f t="shared" si="6"/>
        <v>0.31248754882812502</v>
      </c>
      <c r="Z46" s="489">
        <f>Q46-Y46</f>
        <v>0</v>
      </c>
    </row>
    <row r="47" spans="1:26" x14ac:dyDescent="0.25">
      <c r="A47" s="90"/>
      <c r="B47" s="1" t="s">
        <v>31</v>
      </c>
      <c r="C47" s="33">
        <f>E57</f>
        <v>1.8671101278544562</v>
      </c>
      <c r="D47" s="192"/>
      <c r="E47" s="511"/>
      <c r="F47" s="192"/>
      <c r="G47" s="17">
        <f>C47-E47</f>
        <v>1.8671101278544562</v>
      </c>
      <c r="H47" s="192"/>
      <c r="I47" s="38"/>
      <c r="J47" s="37"/>
      <c r="K47" s="35"/>
      <c r="L47" s="35"/>
      <c r="M47" s="35"/>
      <c r="N47" s="35"/>
      <c r="O47" s="35"/>
      <c r="P47" s="35"/>
      <c r="Q47" s="542">
        <f>G47-Bilans_E_AMS_Kyoto_run3_2040!T41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C5-L13-SUM(L21:L24)-L30-L41-Bilans_E_AMS_Kyoto_run3_2040!U18</f>
        <v>0</v>
      </c>
      <c r="D49" s="1"/>
      <c r="E49" s="34">
        <f>SUM(E7:E47)+I13-Bilans_E_AMS_Kyoto_run3_2040!U32+K13+SUM(K21:K24)+K30+Bilans_E_AMS_Kyoto_run3_2040!D29+Bilans_E_AMS_Kyoto_run3_2040!D30</f>
        <v>-1.7408297026122455E-13</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565.22790729271173</v>
      </c>
    </row>
    <row r="52" spans="1:19" x14ac:dyDescent="0.25">
      <c r="A52" s="21"/>
      <c r="B52" s="1" t="s">
        <v>44</v>
      </c>
      <c r="C52" s="44"/>
      <c r="D52" s="1"/>
      <c r="E52" s="39">
        <f>Bilans_E_AMS_Kyoto_run3_2040!D41+Bilans_E_AMS_Kyoto_run3_2040!D29+Bilans_E_AMS_Kyoto_run3_2040!D30</f>
        <v>11.840306396484376</v>
      </c>
      <c r="F52" s="187"/>
      <c r="G52" s="1"/>
      <c r="H52" s="1"/>
      <c r="I52" s="30"/>
      <c r="J52" s="17"/>
      <c r="K52" s="17"/>
      <c r="L52" s="21"/>
      <c r="M52" s="1"/>
      <c r="N52" s="17"/>
      <c r="O52" s="17"/>
      <c r="P52" s="17"/>
      <c r="Q52" s="1"/>
      <c r="S52" s="33"/>
    </row>
    <row r="53" spans="1:19" x14ac:dyDescent="0.25">
      <c r="A53" s="21"/>
      <c r="B53" s="1" t="s">
        <v>41</v>
      </c>
      <c r="C53" s="45"/>
      <c r="D53" s="17"/>
      <c r="E53" s="433">
        <f>Bilans_E_AMS_Kyoto_run3_2040!H41+Bilans_E_AMS_Kyoto_run3_2040!H29</f>
        <v>12.555456003161671</v>
      </c>
      <c r="F53" s="187"/>
      <c r="G53" s="1"/>
      <c r="H53" s="1"/>
      <c r="I53" s="30"/>
      <c r="J53" s="17"/>
      <c r="K53" s="17"/>
      <c r="L53" s="21"/>
      <c r="M53" s="1"/>
      <c r="N53" s="17"/>
      <c r="O53" s="17"/>
      <c r="P53" s="17"/>
      <c r="Q53" s="1"/>
    </row>
    <row r="54" spans="1:19" x14ac:dyDescent="0.25">
      <c r="A54" s="21"/>
      <c r="B54" s="1" t="s">
        <v>39</v>
      </c>
      <c r="C54" s="45"/>
      <c r="D54" s="17"/>
      <c r="E54" s="435">
        <f>Bilans_E_AMS_Kyoto_run3_2040!F41</f>
        <v>102.03544321387012</v>
      </c>
      <c r="F54" s="187"/>
      <c r="G54" s="1"/>
      <c r="H54" s="1"/>
      <c r="I54" s="30"/>
      <c r="J54" s="17"/>
      <c r="K54" s="17"/>
      <c r="L54" s="21"/>
      <c r="M54" s="21"/>
      <c r="N54" s="17"/>
      <c r="O54" s="17"/>
      <c r="P54" s="17"/>
      <c r="Q54" s="1"/>
    </row>
    <row r="55" spans="1:19" x14ac:dyDescent="0.25">
      <c r="B55" s="1" t="s">
        <v>21</v>
      </c>
      <c r="E55" s="631">
        <f>Bilans_E_AMS_Kyoto_run3_2040!O41+Bilans_E_AMS_Kyoto_run3_2040!O29</f>
        <v>0</v>
      </c>
    </row>
    <row r="56" spans="1:19" x14ac:dyDescent="0.25">
      <c r="B56" s="1" t="s">
        <v>37</v>
      </c>
      <c r="E56" s="631">
        <f>Bilans_E_AMS_Kyoto_run3_2040!N41+Bilans_E_AMS_Kyoto_run3_2040!N29+Bilans_E_AMS_Kyoto_run3_2040!G41</f>
        <v>6.330380960194816</v>
      </c>
    </row>
    <row r="57" spans="1:19" x14ac:dyDescent="0.25">
      <c r="B57" s="1" t="s">
        <v>31</v>
      </c>
      <c r="E57" s="631">
        <f>Bilans_E_AMS_Kyoto_run3_2040!T41</f>
        <v>1.8671101278544562</v>
      </c>
    </row>
    <row r="58" spans="1:19" x14ac:dyDescent="0.25">
      <c r="B58" s="1" t="s">
        <v>335</v>
      </c>
      <c r="E58" s="631">
        <f>Bilans_E_AMS_Kyoto_run3_2040!L41</f>
        <v>0.48630321782953712</v>
      </c>
    </row>
    <row r="59" spans="1:19" x14ac:dyDescent="0.25">
      <c r="E59" s="632"/>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D95FC-F259-44C2-A7B7-D17D951497E6}">
  <dimension ref="A1:Z59"/>
  <sheetViews>
    <sheetView zoomScale="60" zoomScaleNormal="60" workbookViewId="0">
      <selection activeCell="C7" sqref="C7:C9"/>
    </sheetView>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2426.0080992767735</v>
      </c>
      <c r="D5" s="18"/>
      <c r="E5" s="20"/>
      <c r="F5" s="494"/>
      <c r="G5" s="21"/>
      <c r="H5" s="493"/>
      <c r="I5" s="21"/>
      <c r="J5" s="22"/>
      <c r="K5" s="23"/>
      <c r="L5" s="14"/>
      <c r="M5" s="14"/>
      <c r="N5" s="15"/>
      <c r="O5" s="16"/>
      <c r="P5" s="16"/>
      <c r="Q5" s="24">
        <f>Q13+Q22+Q30+Q42+Q46+Q38+Q43</f>
        <v>1191.6713276989167</v>
      </c>
      <c r="R5" s="487"/>
      <c r="S5" s="79">
        <f>SUM(S13,S22,S27:S32,S41)</f>
        <v>1199.7152587989574</v>
      </c>
      <c r="T5" s="79">
        <f>SUM(T8:T46)</f>
        <v>46.41689693132659</v>
      </c>
      <c r="U5" s="79">
        <f>SUM(U8:U46)</f>
        <v>310.08214351227116</v>
      </c>
      <c r="V5" s="79">
        <f>SUM(V8:V46)</f>
        <v>413.86976624016688</v>
      </c>
      <c r="W5" s="173">
        <f>SUM(W8:W46)</f>
        <v>234.80967514092507</v>
      </c>
      <c r="X5" s="79">
        <f>SUM(X8:X46)</f>
        <v>194.53677697426775</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f>(([13]Offre_calc!$V$108+[13]Offre_calc!$V$109+[13]Offre_calc!$V$147+[13]Offre_calc!$V$148)/([13]Offre_calc!$V$105+[13]Offre_calc!$V$144))*Bilans_E_AMS_Kyoto_run3_2045!K$21</f>
        <v>249.01678083070391</v>
      </c>
      <c r="D7" s="516"/>
      <c r="E7" s="28">
        <v>0</v>
      </c>
      <c r="F7" s="516"/>
      <c r="G7" s="17">
        <f>C7-E7</f>
        <v>249.01678083070391</v>
      </c>
      <c r="H7" s="516"/>
      <c r="I7" s="21"/>
      <c r="J7" s="516"/>
      <c r="K7" s="523"/>
      <c r="L7" s="523"/>
      <c r="M7" s="523"/>
      <c r="N7" s="523"/>
      <c r="O7" s="523"/>
      <c r="P7" s="513"/>
      <c r="Q7" s="526"/>
      <c r="R7" s="498"/>
      <c r="S7" s="526"/>
      <c r="T7" s="523"/>
      <c r="U7" s="523"/>
      <c r="V7" s="523"/>
      <c r="W7" s="523"/>
      <c r="X7" s="523"/>
    </row>
    <row r="8" spans="1:24" x14ac:dyDescent="0.25">
      <c r="A8" s="736"/>
      <c r="B8" s="1" t="s">
        <v>18</v>
      </c>
      <c r="C8" s="486">
        <f>(([13]Offre_calc!$V$107+[13]Offre_calc!$V$146)/([13]Offre_calc!$V$105+[13]Offre_calc!$V$144))*Bilans_E_AMS_Kyoto_run3_2045!K$21</f>
        <v>52.725655253431022</v>
      </c>
      <c r="D8" s="81"/>
      <c r="E8" s="28">
        <v>0</v>
      </c>
      <c r="F8" s="81"/>
      <c r="G8" s="17">
        <f t="shared" ref="G8:G19" si="0">C8-E8</f>
        <v>52.725655253431022</v>
      </c>
      <c r="H8" s="81"/>
      <c r="I8" s="21"/>
      <c r="J8" s="81"/>
      <c r="K8" s="524"/>
      <c r="L8" s="524"/>
      <c r="M8" s="524"/>
      <c r="N8" s="524"/>
      <c r="O8" s="524"/>
      <c r="P8" s="29"/>
      <c r="Q8" s="527"/>
      <c r="R8" s="498"/>
      <c r="S8" s="527"/>
      <c r="T8" s="524"/>
      <c r="U8" s="524"/>
      <c r="V8" s="524"/>
      <c r="W8" s="524"/>
      <c r="X8" s="524"/>
    </row>
    <row r="9" spans="1:24" x14ac:dyDescent="0.25">
      <c r="A9" s="736"/>
      <c r="B9" s="1" t="s">
        <v>19</v>
      </c>
      <c r="C9" s="486">
        <f>(([13]Offre_calc!$V$106+[13]Offre_calc!$V$145)/([13]Offre_calc!$V$105+[13]Offre_calc!$V$144))*Bilans_E_AMS_Kyoto_run3_2045!K$21</f>
        <v>160.32444337515815</v>
      </c>
      <c r="D9" s="81"/>
      <c r="E9" s="28">
        <v>0</v>
      </c>
      <c r="F9" s="81"/>
      <c r="G9" s="17">
        <f t="shared" si="0"/>
        <v>160.32444337515815</v>
      </c>
      <c r="H9" s="81"/>
      <c r="I9" s="21"/>
      <c r="J9" s="81"/>
      <c r="K9" s="524"/>
      <c r="L9" s="524"/>
      <c r="M9" s="524"/>
      <c r="N9" s="524"/>
      <c r="O9" s="524"/>
      <c r="P9" s="29"/>
      <c r="Q9" s="527"/>
      <c r="R9" s="498"/>
      <c r="S9" s="527"/>
      <c r="T9" s="524"/>
      <c r="U9" s="524"/>
      <c r="V9" s="524"/>
      <c r="W9" s="524"/>
      <c r="X9" s="524"/>
    </row>
    <row r="10" spans="1:24" x14ac:dyDescent="0.25">
      <c r="A10" s="736"/>
      <c r="B10" s="1" t="s">
        <v>20</v>
      </c>
      <c r="C10" s="17">
        <f>Bilans_E_AMS_Kyoto_run3_2045!J21-(Bilans_E_AMS_Kyoto_run3_2045!R20+Bilans_E_AMS_Kyoto_run3_2045!R19)</f>
        <v>1014.6070909090909</v>
      </c>
      <c r="D10" s="81"/>
      <c r="E10" s="28">
        <f>F13-SUM(E11:E19)</f>
        <v>681.32771784201793</v>
      </c>
      <c r="F10" s="81"/>
      <c r="G10" s="17">
        <f t="shared" si="0"/>
        <v>333.27937306707292</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f>Bilans_E_AMS_Kyoto_run3_2045!O21</f>
        <v>0.11597760068741178</v>
      </c>
      <c r="D11" s="81"/>
      <c r="E11" s="727">
        <f>C11*(1-[12]Offre_calc!$V$161)</f>
        <v>4.6391040274964712E-2</v>
      </c>
      <c r="F11" s="81"/>
      <c r="G11" s="17">
        <f t="shared" si="0"/>
        <v>6.9586560412447068E-2</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f>Bilans_E_AMS_Kyoto_run3_2045!M21</f>
        <v>5.3124785537967538</v>
      </c>
      <c r="D12" s="81"/>
      <c r="E12" s="727">
        <f>C12*(1-[12]Offre_calc!$V$171)</f>
        <v>3.187487132278052</v>
      </c>
      <c r="F12" s="81"/>
      <c r="G12" s="17">
        <f t="shared" si="0"/>
        <v>2.1249914215187018</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f>Bilans_E_AMS_Kyoto_run3_2045!L21</f>
        <v>17.968425297338086</v>
      </c>
      <c r="D13" s="81">
        <f>SUM(C7:C19)</f>
        <v>1512.8948989148037</v>
      </c>
      <c r="E13" s="727">
        <f>C13*(1-[12]Offre_calc!$V$170)</f>
        <v>10.781055178402852</v>
      </c>
      <c r="F13" s="81">
        <f>Bilans_E_AMS_Kyoto_run3_2045!U21</f>
        <v>698.89683375311927</v>
      </c>
      <c r="G13" s="17">
        <f t="shared" si="0"/>
        <v>7.1873701189352346</v>
      </c>
      <c r="H13" s="81">
        <f>SUM(G7:G19)</f>
        <v>813.99806516168428</v>
      </c>
      <c r="I13" s="33">
        <f>Bilans_E_AMS_Kyoto_run3_2045!R30</f>
        <v>38.430337038531441</v>
      </c>
      <c r="J13" s="81">
        <f>H13-I13</f>
        <v>775.56772812315285</v>
      </c>
      <c r="K13" s="29">
        <f>Bilans_E_AMS_Kyoto_run3_2045!R31</f>
        <v>61.224106337294323</v>
      </c>
      <c r="L13" s="29">
        <f>-(Bilans_E_AMS_Kyoto_run3_2045!R14+Bilans_E_AMS_Kyoto_run3_2045!R13)</f>
        <v>64.652591069811592</v>
      </c>
      <c r="M13" s="29">
        <f>Bilans_E_AMS_Kyoto_run3_2045!R28</f>
        <v>88.6114421596901</v>
      </c>
      <c r="N13" s="29"/>
      <c r="O13" s="29"/>
      <c r="P13" s="29"/>
      <c r="Q13" s="81">
        <f>J13-K13-L13-M13-N13-O13-P13</f>
        <v>561.07958855635684</v>
      </c>
      <c r="R13" s="508">
        <f>Q13-S13</f>
        <v>0</v>
      </c>
      <c r="S13" s="81">
        <f>SUM(T8:X19)</f>
        <v>561.07958855635695</v>
      </c>
      <c r="T13" s="29">
        <f>Bilans_E_AMS_Kyoto_run3_2045!R38</f>
        <v>10.36655207833598</v>
      </c>
      <c r="U13" s="29">
        <f>Bilans_E_AMS_Kyoto_run3_2045!R34+Bilans_E_AMS_Kyoto_run3_2045!R39</f>
        <v>167.6864475393007</v>
      </c>
      <c r="V13" s="29">
        <f>Bilans_E_AMS_Kyoto_run3_2045!R36</f>
        <v>138.96099758278416</v>
      </c>
      <c r="W13" s="29">
        <f>Bilans_E_AMS_Kyoto_run3_2045!R37</f>
        <v>122.64919061404242</v>
      </c>
      <c r="X13" s="29">
        <f>Bilans_E_AMS_Kyoto_run3_2045!R35</f>
        <v>121.41640074189371</v>
      </c>
    </row>
    <row r="14" spans="1:24" x14ac:dyDescent="0.25">
      <c r="A14" s="736"/>
      <c r="B14" s="1" t="s">
        <v>24</v>
      </c>
      <c r="C14" s="17">
        <f>Bilans_E_AMS_Kyoto_run3_2045!Q21</f>
        <v>6.4766550958451852</v>
      </c>
      <c r="D14" s="81"/>
      <c r="E14" s="28">
        <v>0</v>
      </c>
      <c r="F14" s="81"/>
      <c r="G14" s="17">
        <f t="shared" si="0"/>
        <v>6.4766550958451852</v>
      </c>
      <c r="H14" s="81"/>
      <c r="I14" s="21"/>
      <c r="J14" s="81"/>
      <c r="K14" s="524"/>
      <c r="L14" s="524"/>
      <c r="M14" s="524"/>
      <c r="N14" s="524"/>
      <c r="O14" s="524"/>
      <c r="P14" s="29"/>
      <c r="Q14" s="527"/>
      <c r="R14" s="508"/>
      <c r="S14" s="527"/>
      <c r="T14" s="524"/>
      <c r="U14" s="524"/>
      <c r="V14" s="524"/>
      <c r="W14" s="524"/>
      <c r="X14" s="524"/>
    </row>
    <row r="15" spans="1:24" x14ac:dyDescent="0.25">
      <c r="A15" s="736"/>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36"/>
      <c r="B16" s="1" t="s">
        <v>343</v>
      </c>
      <c r="C16" s="17">
        <f>Bilans_E_AMS_Kyoto_run3_2045!N21</f>
        <v>6.3451610040287907</v>
      </c>
      <c r="D16" s="81"/>
      <c r="E16" s="727">
        <f>C16*(1-[12]Offre_calc!$V$158)</f>
        <v>3.5532901622561233</v>
      </c>
      <c r="F16" s="81"/>
      <c r="G16" s="17">
        <f t="shared" si="0"/>
        <v>2.7918708417726674</v>
      </c>
      <c r="H16" s="81"/>
      <c r="I16" s="21"/>
      <c r="J16" s="81"/>
      <c r="K16" s="524"/>
      <c r="L16" s="524"/>
      <c r="M16" s="524"/>
      <c r="N16" s="524"/>
      <c r="O16" s="524"/>
      <c r="P16" s="29"/>
      <c r="Q16" s="527"/>
      <c r="R16" s="508"/>
      <c r="S16" s="527"/>
      <c r="T16" s="524"/>
      <c r="U16" s="524"/>
      <c r="V16" s="524"/>
      <c r="W16" s="524"/>
      <c r="X16" s="524"/>
    </row>
    <row r="17" spans="1:24" x14ac:dyDescent="0.25">
      <c r="A17" s="736"/>
      <c r="B17" s="1" t="s">
        <v>27</v>
      </c>
      <c r="C17" s="17">
        <f>Bilans_E_AMS_Kyoto_run3_2045!F21</f>
        <v>0</v>
      </c>
      <c r="D17" s="81"/>
      <c r="E17" s="727">
        <f>C17*(1-[12]Offre_calc!$V$158)</f>
        <v>0</v>
      </c>
      <c r="F17" s="81"/>
      <c r="G17" s="17">
        <f t="shared" si="0"/>
        <v>0</v>
      </c>
      <c r="H17" s="81"/>
      <c r="I17" s="21"/>
      <c r="J17" s="81"/>
      <c r="K17" s="524"/>
      <c r="L17" s="524"/>
      <c r="M17" s="524"/>
      <c r="N17" s="524"/>
      <c r="O17" s="524"/>
      <c r="P17" s="29"/>
      <c r="Q17" s="527"/>
      <c r="R17" s="508"/>
      <c r="S17" s="527"/>
      <c r="T17" s="524"/>
      <c r="U17" s="524"/>
      <c r="V17" s="524"/>
      <c r="W17" s="524"/>
      <c r="X17" s="524"/>
    </row>
    <row r="18" spans="1:24" x14ac:dyDescent="0.25">
      <c r="A18" s="736"/>
      <c r="B18" s="1" t="s">
        <v>28</v>
      </c>
      <c r="C18" s="17">
        <f>Bilans_E_AMS_Kyoto_run3_2045!D21</f>
        <v>0</v>
      </c>
      <c r="D18" s="81"/>
      <c r="E18" s="727">
        <f>C18*(1-[12]Offre_calc!$V$157)</f>
        <v>0</v>
      </c>
      <c r="F18" s="81"/>
      <c r="G18" s="17">
        <f t="shared" si="0"/>
        <v>0</v>
      </c>
      <c r="H18" s="81"/>
      <c r="I18" s="21"/>
      <c r="J18" s="81"/>
      <c r="K18" s="524"/>
      <c r="L18" s="524"/>
      <c r="M18" s="524"/>
      <c r="N18" s="524"/>
      <c r="O18" s="524"/>
      <c r="P18" s="29"/>
      <c r="Q18" s="527"/>
      <c r="R18" s="508"/>
      <c r="S18" s="527"/>
      <c r="T18" s="524"/>
      <c r="U18" s="524"/>
      <c r="V18" s="524"/>
      <c r="W18" s="524"/>
      <c r="X18" s="524"/>
    </row>
    <row r="19" spans="1:24" x14ac:dyDescent="0.25">
      <c r="A19" s="736"/>
      <c r="B19" s="1" t="s">
        <v>260</v>
      </c>
      <c r="C19" s="17">
        <f>Bilans_E_AMS_Kyoto_run3_2045!H21+Bilans_E_AMS_Kyoto_run3_2045!T21</f>
        <v>2.2309947234042489E-3</v>
      </c>
      <c r="D19" s="82"/>
      <c r="E19" s="727">
        <f>C19*(1-[12]Offre_calc!$V$160)</f>
        <v>8.9239788936169959E-4</v>
      </c>
      <c r="F19" s="82"/>
      <c r="G19" s="17">
        <f t="shared" si="0"/>
        <v>1.3385968340425493E-3</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f>G10/C10</f>
        <v>0.3284812180530432</v>
      </c>
      <c r="H20" s="499"/>
      <c r="I20" s="17"/>
      <c r="J20" s="1"/>
      <c r="K20" s="17"/>
      <c r="L20" s="1"/>
      <c r="M20" s="1"/>
      <c r="N20" s="1"/>
      <c r="O20" s="1"/>
      <c r="P20" s="1"/>
      <c r="Q20" s="499"/>
      <c r="R20" s="508"/>
      <c r="S20" s="408"/>
      <c r="T20" s="495"/>
      <c r="U20" s="408"/>
      <c r="V20" s="495"/>
      <c r="W20" s="408"/>
      <c r="X20" s="495"/>
    </row>
    <row r="21" spans="1:24" x14ac:dyDescent="0.25">
      <c r="A21" s="737" t="s">
        <v>13</v>
      </c>
      <c r="B21" s="1" t="s">
        <v>21</v>
      </c>
      <c r="C21" s="17">
        <f>Bilans_E_AMS_Kyoto_run3_2045!L23+Bilans_E_AMS_Kyoto_run3_2045!O12+Bilans_E_AMS_Kyoto_run3_2045!M23</f>
        <v>162.21444621716114</v>
      </c>
      <c r="D21" s="529"/>
      <c r="E21" s="33">
        <f>Bilans_E_AMS_Kyoto_run3_2045!U23+Bilans_E_AMS_Kyoto_run3_2045!O30</f>
        <v>81.021895881582566</v>
      </c>
      <c r="F21" s="529"/>
      <c r="G21" s="17">
        <f t="shared" ref="G21:G45" si="1">C21-E21</f>
        <v>81.192550335578574</v>
      </c>
      <c r="H21" s="529"/>
      <c r="I21" s="17"/>
      <c r="J21" s="529"/>
      <c r="K21" s="545">
        <f>Bilans_E_AMS_Kyoto_run3_2045!O31</f>
        <v>0.6981823916543286</v>
      </c>
      <c r="L21" s="545">
        <f>-(Bilans_E_AMS_Kyoto_run3_2045!O13+Bilans_E_AMS_Kyoto_run3_2045!O14+Bilans_E_AMS_Kyoto_run3_2045!O15+Bilans_E_AMS_Kyoto_run3_2045!O16)</f>
        <v>22.141847518734135</v>
      </c>
      <c r="M21" s="545">
        <f>Bilans_E_AMS_Kyoto_run3_2045!O28</f>
        <v>0</v>
      </c>
      <c r="N21" s="545">
        <f>Bilans_E_AMS_Kyoto_run3_2045!O22</f>
        <v>8.0912599085817618</v>
      </c>
      <c r="O21" s="545">
        <f>Bilans_E_AMS_Kyoto_run3_2045!O21</f>
        <v>0.11597760068741178</v>
      </c>
      <c r="P21" s="545">
        <f>C36</f>
        <v>0</v>
      </c>
      <c r="Q21" s="529"/>
      <c r="R21" s="508"/>
      <c r="S21" s="529"/>
      <c r="T21" s="529"/>
      <c r="U21" s="529"/>
      <c r="V21" s="529"/>
      <c r="W21" s="529"/>
      <c r="X21" s="529"/>
    </row>
    <row r="22" spans="1:24" x14ac:dyDescent="0.25">
      <c r="A22" s="737"/>
      <c r="B22" s="1" t="s">
        <v>519</v>
      </c>
      <c r="C22" s="17">
        <f>Bilans_E_AMS_Kyoto_run3_2045!T24</f>
        <v>5.1930977473126321</v>
      </c>
      <c r="D22" s="85">
        <f>SUM(C21:C24)</f>
        <v>325.26173892243992</v>
      </c>
      <c r="E22" s="630">
        <f>Bilans_E_AMS_Kyoto_run3_2045!I30+Bilans_E_AMS_Kyoto_run3_2045!U24</f>
        <v>1.4464077643783986</v>
      </c>
      <c r="F22" s="85">
        <f>SUM(E21:E24)</f>
        <v>110.29526893833928</v>
      </c>
      <c r="G22" s="17">
        <f t="shared" si="1"/>
        <v>3.7466899829342335</v>
      </c>
      <c r="H22" s="85">
        <f>SUM(G21:G24)</f>
        <v>214.96646998410063</v>
      </c>
      <c r="I22" s="408"/>
      <c r="J22" s="85">
        <f>H22-I22</f>
        <v>214.96646998410063</v>
      </c>
      <c r="K22" s="626">
        <f>Bilans_E_AMS_Kyoto_run3_2045!I31</f>
        <v>1.5867781628507469E-2</v>
      </c>
      <c r="L22" s="626">
        <f>-SUM(Bilans_E_AMS_Kyoto_run3_2045!I13:I16)</f>
        <v>2.4085070655967704</v>
      </c>
      <c r="M22" s="32"/>
      <c r="N22" s="534">
        <f>Bilans_E_AMS_Kyoto_run3_2045!I22</f>
        <v>0.18354882878468498</v>
      </c>
      <c r="O22" s="32"/>
      <c r="P22" s="32"/>
      <c r="Q22" s="85">
        <f>J22-SUM(K21:P24)</f>
        <v>134.82053924992118</v>
      </c>
      <c r="R22" s="508">
        <f>Q22-S22</f>
        <v>0</v>
      </c>
      <c r="S22" s="85">
        <f>SUM(T22:X24)</f>
        <v>134.82053924992118</v>
      </c>
      <c r="T22" s="32">
        <f>Bilans_E_AMS_Kyoto_run3_2045!H38+Bilans_E_AMS_Kyoto_run3_2045!T38+Bilans_E_AMS_Kyoto_run3_2045!O$38+Bilans_E_AMS_Kyoto_run3_2045!I38</f>
        <v>1.5778230589174027</v>
      </c>
      <c r="U22" s="32">
        <f>Bilans_E_AMS_Kyoto_run3_2045!H34+Bilans_E_AMS_Kyoto_run3_2045!T34+Bilans_E_AMS_Kyoto_run3_2045!O$34+Bilans_E_AMS_Kyoto_run3_2045!I34</f>
        <v>66.038847730514561</v>
      </c>
      <c r="V22" s="32">
        <f>Bilans_E_AMS_Kyoto_run3_2045!H36+Bilans_E_AMS_Kyoto_run3_2045!T36+Bilans_E_AMS_Kyoto_run3_2045!O$36+Bilans_E_AMS_Kyoto_run3_2045!I36</f>
        <v>34.924523924025593</v>
      </c>
      <c r="W22" s="32">
        <f>Bilans_E_AMS_Kyoto_run3_2045!H37+Bilans_E_AMS_Kyoto_run3_2045!M37+Bilans_E_AMS_Kyoto_run3_2045!T37+Bilans_E_AMS_Kyoto_run3_2045!O$37+Bilans_E_AMS_Kyoto_run3_2045!I37</f>
        <v>18.029530500893422</v>
      </c>
      <c r="X22" s="32">
        <f>Bilans_E_AMS_Kyoto_run3_2045!H35+Bilans_E_AMS_Kyoto_run3_2045!T35+Bilans_E_AMS_Kyoto_run3_2045!O$35+Bilans_E_AMS_Kyoto_run3_2045!I35</f>
        <v>14.249814035570207</v>
      </c>
    </row>
    <row r="23" spans="1:24" x14ac:dyDescent="0.25">
      <c r="A23" s="737"/>
      <c r="B23" s="1" t="s">
        <v>31</v>
      </c>
      <c r="C23" s="17">
        <f>SUM(Bilans_E_AMS_Kyoto_run3_2045!D28:S28)-C47</f>
        <v>84.254175067946065</v>
      </c>
      <c r="D23" s="530"/>
      <c r="E23" s="33">
        <f>Bilans_E_AMS_Kyoto_run3_2045!U28+Bilans_E_AMS_Kyoto_run3_2045!T30</f>
        <v>27.826965292378315</v>
      </c>
      <c r="F23" s="532"/>
      <c r="G23" s="17">
        <f t="shared" si="1"/>
        <v>56.427209775567746</v>
      </c>
      <c r="H23" s="532"/>
      <c r="I23" s="17"/>
      <c r="J23" s="532"/>
      <c r="K23" s="534">
        <f>Bilans_E_AMS_Kyoto_run3_2045!T31</f>
        <v>0</v>
      </c>
      <c r="L23" s="534">
        <f>-(Bilans_E_AMS_Kyoto_run3_2045!T13+Bilans_E_AMS_Kyoto_run3_2045!T14+Bilans_E_AMS_Kyoto_run3_2045!T15+Bilans_E_AMS_Kyoto_run3_2045!T16)</f>
        <v>5.9960624842525414</v>
      </c>
      <c r="M23" s="534">
        <f>Bilans_E_AMS_Kyoto_run3_2045!T24</f>
        <v>5.1930977473126321</v>
      </c>
      <c r="N23" s="534">
        <f>Bilans_E_AMS_Kyoto_run3_2045!T22</f>
        <v>0</v>
      </c>
      <c r="O23" s="534">
        <f>Bilans_E_AMS_Kyoto_run3_2045!T21</f>
        <v>0</v>
      </c>
      <c r="P23" s="534">
        <f>Bilans_E_AMS_Kyoto_run3_2045!T27</f>
        <v>24.331434839497675</v>
      </c>
      <c r="Q23" s="532"/>
      <c r="R23" s="489"/>
      <c r="S23" s="532"/>
      <c r="T23" s="536"/>
      <c r="U23" s="536"/>
      <c r="V23" s="536"/>
      <c r="W23" s="536"/>
      <c r="X23" s="536"/>
    </row>
    <row r="24" spans="1:24" x14ac:dyDescent="0.25">
      <c r="A24" s="737"/>
      <c r="B24" s="1" t="s">
        <v>32</v>
      </c>
      <c r="C24" s="17">
        <f>Bilans_E_AMS_Kyoto_run3_2045!H18-C45-(Bilans_E_AMS_Kyoto_run3_2045!H20+Bilans_E_AMS_Kyoto_run3_2045!H19)</f>
        <v>73.600019890020064</v>
      </c>
      <c r="D24" s="531"/>
      <c r="E24" s="33">
        <f>Bilans_E_AMS_Kyoto_run3_2045!H30</f>
        <v>0</v>
      </c>
      <c r="F24" s="533"/>
      <c r="G24" s="17">
        <f t="shared" si="1"/>
        <v>73.600019890020064</v>
      </c>
      <c r="H24" s="533"/>
      <c r="I24" s="34"/>
      <c r="J24" s="533"/>
      <c r="K24" s="535">
        <f>Bilans_E_AMS_Kyoto_run3_2045!H31</f>
        <v>0.87272798956791087</v>
      </c>
      <c r="L24" s="535"/>
      <c r="M24" s="535">
        <f>Bilans_E_AMS_Kyoto_run3_2045!H28</f>
        <v>0</v>
      </c>
      <c r="N24" s="535">
        <f>Bilans_E_AMS_Kyoto_run3_2045!H22</f>
        <v>10.095185583157674</v>
      </c>
      <c r="O24" s="535">
        <f>Bilans_E_AMS_Kyoto_run3_2045!H21</f>
        <v>2.2309947234042489E-3</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38" t="s">
        <v>14</v>
      </c>
      <c r="B26" s="1" t="s">
        <v>21</v>
      </c>
      <c r="C26" s="17">
        <f>Bilans_E_AMS_Kyoto_run3_2045!O22</f>
        <v>8.0912599085817618</v>
      </c>
      <c r="D26" s="512"/>
      <c r="E26" s="190">
        <f>C26*F$35</f>
        <v>0.54444398580265319</v>
      </c>
      <c r="F26" s="512"/>
      <c r="G26" s="33">
        <f t="shared" ref="G26:G31" si="2">C26-E26</f>
        <v>7.5468159227791087</v>
      </c>
      <c r="H26" s="512"/>
      <c r="I26" s="1"/>
      <c r="J26" s="512"/>
      <c r="K26" s="512"/>
      <c r="L26" s="512"/>
      <c r="M26" s="512"/>
      <c r="N26" s="512"/>
      <c r="O26" s="512"/>
      <c r="P26" s="512"/>
      <c r="Q26" s="512"/>
      <c r="R26" s="508"/>
      <c r="S26" s="512"/>
      <c r="T26" s="512"/>
      <c r="U26" s="512"/>
      <c r="V26" s="512"/>
      <c r="W26" s="512"/>
      <c r="X26" s="512"/>
    </row>
    <row r="27" spans="1:24" x14ac:dyDescent="0.25">
      <c r="A27" s="738"/>
      <c r="B27" s="1" t="s">
        <v>22</v>
      </c>
      <c r="C27" s="17">
        <f>Bilans_E_AMS_Kyoto_run3_2045!M18-(Bilans_E_AMS_Kyoto_run3_2045!M21+Bilans_E_AMS_Kyoto_run3_2045!M23+Bilans_E_AMS_Kyoto_run3_2045!M26+Bilans_E_AMS_Kyoto_run3_2045!M34)-(Bilans_E_AMS_Kyoto_run3_2045!S20+Bilans_E_AMS_Kyoto_run3_2045!S19+Bilans_E_AMS_Kyoto_run3_2045!M20+Bilans_E_AMS_Kyoto_run3_2045!M19)</f>
        <v>12.007971884882544</v>
      </c>
      <c r="D27" s="87"/>
      <c r="E27" s="190">
        <f t="shared" ref="E27:E34" si="3">C27*F$35</f>
        <v>0.80799135712816006</v>
      </c>
      <c r="F27" s="87"/>
      <c r="G27" s="33">
        <f t="shared" si="2"/>
        <v>11.199980527754384</v>
      </c>
      <c r="H27" s="87"/>
      <c r="I27" s="500"/>
      <c r="J27" s="87"/>
      <c r="K27" s="87"/>
      <c r="L27" s="87"/>
      <c r="M27" s="87"/>
      <c r="N27" s="87"/>
      <c r="O27" s="87"/>
      <c r="P27" s="87"/>
      <c r="Q27" s="87"/>
      <c r="R27" s="508"/>
      <c r="S27" s="87"/>
      <c r="T27" s="87"/>
      <c r="U27" s="87"/>
      <c r="V27" s="87"/>
      <c r="W27" s="87"/>
      <c r="X27" s="87"/>
    </row>
    <row r="28" spans="1:24" x14ac:dyDescent="0.25">
      <c r="A28" s="738"/>
      <c r="B28" s="1" t="s">
        <v>612</v>
      </c>
      <c r="C28" s="17">
        <f>Bilans_E_AMS_Kyoto_run3_2045!J22</f>
        <v>6.5107047778232934</v>
      </c>
      <c r="D28" s="87"/>
      <c r="E28" s="190">
        <f t="shared" si="3"/>
        <v>0.43809173103720134</v>
      </c>
      <c r="F28" s="87"/>
      <c r="G28" s="33">
        <f>C28-E28</f>
        <v>6.0726130467860919</v>
      </c>
      <c r="H28" s="87"/>
      <c r="I28" s="1"/>
      <c r="J28" s="87"/>
      <c r="K28" s="87"/>
      <c r="L28" s="87"/>
      <c r="M28" s="87"/>
      <c r="N28" s="87"/>
      <c r="O28" s="87"/>
      <c r="P28" s="87"/>
      <c r="Q28" s="87"/>
      <c r="R28" s="508"/>
      <c r="S28" s="87"/>
      <c r="T28" s="87"/>
      <c r="U28" s="87"/>
      <c r="V28" s="87"/>
      <c r="W28" s="87"/>
      <c r="X28" s="87"/>
    </row>
    <row r="29" spans="1:24" x14ac:dyDescent="0.25">
      <c r="A29" s="738"/>
      <c r="B29" s="1" t="s">
        <v>23</v>
      </c>
      <c r="C29" s="17">
        <f>Bilans_E_AMS_Kyoto_run3_2045!L22</f>
        <v>23.787457206103085</v>
      </c>
      <c r="D29" s="87"/>
      <c r="E29" s="190">
        <f t="shared" si="3"/>
        <v>1.6006083304362488</v>
      </c>
      <c r="F29" s="87"/>
      <c r="G29" s="33">
        <f t="shared" si="2"/>
        <v>22.186848875666836</v>
      </c>
      <c r="H29" s="87"/>
      <c r="I29" s="1"/>
      <c r="J29" s="87"/>
      <c r="K29" s="87"/>
      <c r="L29" s="87"/>
      <c r="M29" s="87"/>
      <c r="N29" s="87"/>
      <c r="O29" s="87"/>
      <c r="P29" s="87"/>
      <c r="Q29" s="87"/>
      <c r="R29" s="508"/>
      <c r="S29" s="87"/>
      <c r="T29" s="87"/>
      <c r="U29" s="87"/>
      <c r="V29" s="87"/>
      <c r="W29" s="87"/>
      <c r="X29" s="87"/>
    </row>
    <row r="30" spans="1:24" x14ac:dyDescent="0.25">
      <c r="A30" s="738"/>
      <c r="B30" s="1" t="s">
        <v>24</v>
      </c>
      <c r="C30" s="17">
        <f>Bilans_E_AMS_Kyoto_run3_2045!Q22</f>
        <v>12.221648755322821</v>
      </c>
      <c r="D30" s="86">
        <f>SUM(C26:C34)</f>
        <v>92.600912267119327</v>
      </c>
      <c r="E30" s="190">
        <f t="shared" si="3"/>
        <v>0.82236922761195885</v>
      </c>
      <c r="F30" s="86">
        <f>Bilans_E_AMS_Kyoto_run3_2045!U22</f>
        <v>6.2309220483944614</v>
      </c>
      <c r="G30" s="33">
        <f t="shared" si="2"/>
        <v>11.399279527710862</v>
      </c>
      <c r="H30" s="86">
        <f>SUM(G26:G34)</f>
        <v>86.369990218724851</v>
      </c>
      <c r="I30" s="1"/>
      <c r="J30" s="86">
        <f>H30</f>
        <v>86.369990218724851</v>
      </c>
      <c r="K30" s="87">
        <f>Bilans_E_AMS_Kyoto_run3_2045!S31</f>
        <v>6.697680379771108</v>
      </c>
      <c r="L30" s="87"/>
      <c r="M30" s="87">
        <f>Bilans_E_AMS_Kyoto_run3_2045!M28</f>
        <v>0</v>
      </c>
      <c r="N30" s="87"/>
      <c r="O30" s="87"/>
      <c r="P30" s="87"/>
      <c r="Q30" s="86">
        <f>J30-K30-L30-M30-N30-O30-P30</f>
        <v>79.672309838953737</v>
      </c>
      <c r="R30" s="508">
        <f>Q30-S30</f>
        <v>3.2925505564662672E-5</v>
      </c>
      <c r="S30" s="86">
        <f>SUM(T27:X34)</f>
        <v>79.672276913448172</v>
      </c>
      <c r="T30" s="87">
        <f>Bilans_E_AMS_Kyoto_run3_2045!S$38</f>
        <v>0</v>
      </c>
      <c r="U30" s="87">
        <f>Bilans_E_AMS_Kyoto_run3_2045!S$34</f>
        <v>19.544256457993722</v>
      </c>
      <c r="V30" s="87">
        <f>Bilans_E_AMS_Kyoto_run3_2045!S$36</f>
        <v>37.481794053722915</v>
      </c>
      <c r="W30" s="87">
        <f>Bilans_E_AMS_Kyoto_run3_2045!S$37</f>
        <v>22.646226401731536</v>
      </c>
      <c r="X30" s="87">
        <f>Bilans_E_AMS_Kyoto_run3_2045!S$35</f>
        <v>0</v>
      </c>
    </row>
    <row r="31" spans="1:24" x14ac:dyDescent="0.25">
      <c r="A31" s="738"/>
      <c r="B31" s="1" t="s">
        <v>611</v>
      </c>
      <c r="C31" s="17">
        <f>Bilans_E_AMS_Kyoto_run3_2045!P22</f>
        <v>19.703135322463453</v>
      </c>
      <c r="D31" s="86"/>
      <c r="E31" s="190">
        <f t="shared" si="3"/>
        <v>1.3257828383925097</v>
      </c>
      <c r="F31" s="86"/>
      <c r="G31" s="33">
        <f t="shared" si="2"/>
        <v>18.377352484070943</v>
      </c>
      <c r="H31" s="86"/>
      <c r="I31" s="1"/>
      <c r="J31" s="517"/>
      <c r="K31" s="87"/>
      <c r="L31" s="87"/>
      <c r="M31" s="87"/>
      <c r="N31" s="87"/>
      <c r="O31" s="87"/>
      <c r="P31" s="87"/>
      <c r="Q31" s="517"/>
      <c r="R31" s="508"/>
      <c r="S31" s="519"/>
      <c r="T31" s="521"/>
      <c r="U31" s="521"/>
      <c r="V31" s="521"/>
      <c r="W31" s="521"/>
      <c r="X31" s="521"/>
    </row>
    <row r="32" spans="1:24" x14ac:dyDescent="0.25">
      <c r="A32" s="738"/>
      <c r="B32" s="1" t="s">
        <v>29</v>
      </c>
      <c r="C32" s="17">
        <f>Bilans_E_AMS_Kyoto_run3_2045!H22+Bilans_E_AMS_Kyoto_run3_2045!I22</f>
        <v>10.278734411942359</v>
      </c>
      <c r="D32" s="86"/>
      <c r="E32" s="190">
        <f t="shared" si="3"/>
        <v>0.69163457798572825</v>
      </c>
      <c r="F32" s="86"/>
      <c r="G32" s="33">
        <f>C32-E32</f>
        <v>9.587099833956632</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f>Bilans_E_AMS_Kyoto_run3_2045!F22</f>
        <v>0</v>
      </c>
      <c r="D33" s="86"/>
      <c r="E33" s="190">
        <f t="shared" si="3"/>
        <v>0</v>
      </c>
      <c r="F33" s="86"/>
      <c r="G33" s="33">
        <f t="shared" ref="G33:G34" si="4">C33-E33</f>
        <v>0</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f>Bilans_E_AMS_Kyoto_run3_2045!D22</f>
        <v>0</v>
      </c>
      <c r="D34" s="88"/>
      <c r="E34" s="190">
        <f t="shared" si="3"/>
        <v>0</v>
      </c>
      <c r="F34" s="88"/>
      <c r="G34" s="33">
        <f t="shared" si="4"/>
        <v>0</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f>F30/D30</f>
        <v>6.7287912136551734E-2</v>
      </c>
      <c r="G35" s="17"/>
      <c r="H35" s="501"/>
      <c r="I35" s="1"/>
      <c r="J35" s="1"/>
      <c r="K35" s="1"/>
      <c r="L35" s="1"/>
      <c r="M35" s="1"/>
      <c r="N35" s="1"/>
      <c r="O35" s="1"/>
      <c r="P35" s="1"/>
      <c r="Q35" s="502"/>
      <c r="R35" s="508"/>
      <c r="U35" s="33"/>
      <c r="V35" s="33"/>
      <c r="W35" s="33"/>
    </row>
    <row r="36" spans="1:26" x14ac:dyDescent="0.25">
      <c r="A36" s="739" t="s">
        <v>34</v>
      </c>
      <c r="B36" s="1" t="s">
        <v>21</v>
      </c>
      <c r="C36" s="33">
        <f>E55</f>
        <v>0</v>
      </c>
      <c r="D36" s="538"/>
      <c r="E36" s="17"/>
      <c r="F36" s="538"/>
      <c r="G36" s="17">
        <f t="shared" ref="G36:G42" si="5">C36-E36</f>
        <v>0</v>
      </c>
      <c r="H36" s="538"/>
      <c r="I36" s="35"/>
      <c r="J36" s="37"/>
      <c r="K36" s="35"/>
      <c r="L36" s="35"/>
      <c r="M36" s="35"/>
      <c r="N36" s="35"/>
      <c r="O36" s="35"/>
      <c r="P36" s="35"/>
      <c r="Q36" s="540"/>
      <c r="R36" s="508"/>
      <c r="S36" s="538"/>
      <c r="T36" s="503">
        <v>0</v>
      </c>
      <c r="U36" s="503">
        <v>0</v>
      </c>
      <c r="V36" s="503">
        <v>0</v>
      </c>
      <c r="W36" s="503">
        <v>0</v>
      </c>
      <c r="X36" s="503">
        <v>0</v>
      </c>
      <c r="Y36" s="489">
        <f>SUM(T36:X36)</f>
        <v>0</v>
      </c>
      <c r="Z36" s="489">
        <f>G36-Y36</f>
        <v>0</v>
      </c>
    </row>
    <row r="37" spans="1:26" x14ac:dyDescent="0.25">
      <c r="A37" s="739"/>
      <c r="B37" s="1" t="s">
        <v>23</v>
      </c>
      <c r="C37" s="33">
        <f>SUM(T37:X37)+E58</f>
        <v>95.550789348397515</v>
      </c>
      <c r="D37" s="539"/>
      <c r="E37" s="504"/>
      <c r="F37" s="539"/>
      <c r="G37" s="17">
        <f t="shared" si="5"/>
        <v>95.550789348397515</v>
      </c>
      <c r="H37" s="539"/>
      <c r="I37" s="498"/>
      <c r="J37" s="37"/>
      <c r="K37" s="35"/>
      <c r="L37" s="35"/>
      <c r="M37" s="505"/>
      <c r="N37" s="35"/>
      <c r="P37" s="35"/>
      <c r="Q37" s="541"/>
      <c r="R37" s="508"/>
      <c r="S37" s="539"/>
      <c r="T37" s="506">
        <f>Bilans_E_AMS_Kyoto_run3_2045!L38</f>
        <v>17.783972013033864</v>
      </c>
      <c r="U37" s="93">
        <f>Bilans_E_AMS_Kyoto_run3_2045!L34</f>
        <v>34.871553027324289</v>
      </c>
      <c r="V37" s="506">
        <f>Bilans_E_AMS_Kyoto_run3_2045!L36</f>
        <v>41.860643688874312</v>
      </c>
      <c r="W37" s="507">
        <f>Bilans_E_AMS_Kyoto_run3_2045!L37</f>
        <v>0.48410239694179807</v>
      </c>
      <c r="X37" s="506">
        <f>Bilans_E_AMS_Kyoto_run3_2045!L35</f>
        <v>0</v>
      </c>
      <c r="Y37" s="489">
        <f t="shared" ref="Y37:Y47" si="6">SUM(T37:X37)</f>
        <v>95.000271126174269</v>
      </c>
      <c r="Z37" s="489">
        <f t="shared" ref="Z37:Z44" si="7">G37-Y37</f>
        <v>0.55051822222324631</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f>SUM(G36:G41)-E55-E56-E58-L41-L36</f>
        <v>381.96213479553819</v>
      </c>
      <c r="R38" s="508"/>
      <c r="S38" s="539"/>
      <c r="T38" s="84">
        <v>0</v>
      </c>
      <c r="U38" s="83">
        <v>0</v>
      </c>
      <c r="V38" s="84">
        <v>0</v>
      </c>
      <c r="W38" s="91">
        <v>0</v>
      </c>
      <c r="X38" s="91">
        <v>0</v>
      </c>
      <c r="Y38" s="489">
        <f t="shared" si="6"/>
        <v>0</v>
      </c>
      <c r="Z38" s="489">
        <f t="shared" si="7"/>
        <v>0</v>
      </c>
    </row>
    <row r="39" spans="1:26" x14ac:dyDescent="0.25">
      <c r="A39" s="739"/>
      <c r="B39" s="1" t="s">
        <v>35</v>
      </c>
      <c r="C39" s="33">
        <f>SUM(T39:X39)</f>
        <v>25.921064315164912</v>
      </c>
      <c r="D39" s="539"/>
      <c r="E39" s="35"/>
      <c r="F39" s="539"/>
      <c r="G39" s="17">
        <f t="shared" si="5"/>
        <v>25.921064315164912</v>
      </c>
      <c r="H39" s="539"/>
      <c r="I39" s="35"/>
      <c r="J39" s="37"/>
      <c r="K39" s="35"/>
      <c r="L39" s="35"/>
      <c r="M39" s="37"/>
      <c r="N39" s="35"/>
      <c r="O39" s="35"/>
      <c r="P39" s="35"/>
      <c r="Q39" s="541"/>
      <c r="R39" s="508"/>
      <c r="S39" s="539"/>
      <c r="T39" s="84">
        <f>Bilans_E_AMS_Kyoto_run3_2045!Q38</f>
        <v>1.7440136932478227</v>
      </c>
      <c r="U39" s="83">
        <f>Bilans_E_AMS_Kyoto_run3_2045!Q34</f>
        <v>8.4299170840015686E-4</v>
      </c>
      <c r="V39" s="84">
        <f>Bilans_E_AMS_Kyoto_run3_2045!Q36</f>
        <v>12.136362038143677</v>
      </c>
      <c r="W39" s="91">
        <f>Bilans_E_AMS_Kyoto_run3_2045!Q37</f>
        <v>12.039845592065015</v>
      </c>
      <c r="X39" s="91">
        <f>Bilans_E_AMS_Kyoto_run3_2045!Q35</f>
        <v>0</v>
      </c>
      <c r="Y39" s="489">
        <f t="shared" si="6"/>
        <v>25.921064315164912</v>
      </c>
      <c r="Z39" s="489">
        <f t="shared" si="7"/>
        <v>0</v>
      </c>
    </row>
    <row r="40" spans="1:26" x14ac:dyDescent="0.25">
      <c r="A40" s="739"/>
      <c r="B40" s="1" t="s">
        <v>36</v>
      </c>
      <c r="C40" s="33">
        <f>Bilans_E_AMS_Kyoto_run3_2045!P12-Bilans_E_AMS_Kyoto_run3_2045!P22</f>
        <v>221.77552316851904</v>
      </c>
      <c r="D40" s="539"/>
      <c r="E40" s="35"/>
      <c r="F40" s="539"/>
      <c r="G40" s="17">
        <f t="shared" si="5"/>
        <v>221.77552316851904</v>
      </c>
      <c r="H40" s="539"/>
      <c r="I40" s="35"/>
      <c r="J40" s="37"/>
      <c r="K40" s="35"/>
      <c r="L40" s="35"/>
      <c r="M40" s="37"/>
      <c r="N40" s="35"/>
      <c r="O40" s="35"/>
      <c r="P40" s="35"/>
      <c r="Q40" s="541"/>
      <c r="R40" s="508"/>
      <c r="S40" s="539"/>
      <c r="T40" s="83">
        <f>Bilans_E_AMS_Kyoto_run3_2045!P$38</f>
        <v>1.25</v>
      </c>
      <c r="U40" s="83">
        <f>Bilans_E_AMS_Kyoto_run3_2045!P$34</f>
        <v>13.633620117187499</v>
      </c>
      <c r="V40" s="83">
        <f>Bilans_E_AMS_Kyoto_run3_2045!P$36</f>
        <v>148.3231165331799</v>
      </c>
      <c r="W40" s="83">
        <f>Bilans_E_AMS_Kyoto_run3_2045!P$37</f>
        <v>58.56878651815164</v>
      </c>
      <c r="X40" s="84">
        <f>Bilans_E_AMS_Kyoto_run3_2045!P$35</f>
        <v>0</v>
      </c>
      <c r="Y40" s="489">
        <f t="shared" si="6"/>
        <v>221.77552316851904</v>
      </c>
      <c r="Z40" s="489">
        <f t="shared" si="7"/>
        <v>0</v>
      </c>
    </row>
    <row r="41" spans="1:26" x14ac:dyDescent="0.25">
      <c r="A41" s="739"/>
      <c r="B41" s="1" t="s">
        <v>37</v>
      </c>
      <c r="C41" s="33">
        <f>Bilans_E_AMS_Kyoto_run3_2045!N12+Bilans_E_AMS_Kyoto_run3_2045!L26+Bilans_E_AMS_Kyoto_run3_2045!M26-Bilans_E_AMS_Kyoto_run3_2045!N21+Bilans_E_AMS_Kyoto_run3_2045!T27</f>
        <v>127.55604274276385</v>
      </c>
      <c r="D41" s="191">
        <f>SUM(C36:C47)</f>
        <v>631.87472683484521</v>
      </c>
      <c r="E41" s="511">
        <f>Bilans_E_AMS_Kyoto_run3_2045!U27+Bilans_E_AMS_Kyoto_run3_2045!U26</f>
        <v>58.097886874191971</v>
      </c>
      <c r="F41" s="191">
        <f>SUM(E36:E47)</f>
        <v>66.534660037357284</v>
      </c>
      <c r="G41" s="17">
        <f t="shared" si="5"/>
        <v>69.458155868571879</v>
      </c>
      <c r="H41" s="191">
        <f>SUM(G36:G47)</f>
        <v>565.34006679748791</v>
      </c>
      <c r="I41" s="35"/>
      <c r="J41" s="37"/>
      <c r="K41" s="35"/>
      <c r="L41" s="37">
        <f>-(SUM(Bilans_E_AMS_Kyoto_run3_2045!N13:N16)+SUM(Bilans_E_AMS_Kyoto_run3_2045!G13:G16))</f>
        <v>21.439309727323902</v>
      </c>
      <c r="M41" s="35"/>
      <c r="N41" s="35"/>
      <c r="O41" s="35"/>
      <c r="P41" s="35"/>
      <c r="Q41" s="541"/>
      <c r="R41" s="508">
        <f>SUM(Q36:Q47)-S41</f>
        <v>0</v>
      </c>
      <c r="S41" s="191">
        <f>SUM(T36:X46)</f>
        <v>424.14285407923109</v>
      </c>
      <c r="T41" s="83">
        <f>Bilans_E_AMS_Kyoto_run3_2045!N$38+Bilans_E_AMS_Kyoto_run3_2045!G$38</f>
        <v>8.2374051734864402</v>
      </c>
      <c r="U41" s="83">
        <f>Bilans_E_AMS_Kyoto_run3_2045!N$34+Bilans_E_AMS_Kyoto_run3_2045!G$34</f>
        <v>0</v>
      </c>
      <c r="V41" s="83">
        <f>Bilans_E_AMS_Kyoto_run3_2045!N$36+Bilans_E_AMS_Kyoto_run3_2045!G$36</f>
        <v>0</v>
      </c>
      <c r="W41" s="83">
        <f>Bilans_E_AMS_Kyoto_run3_2045!N$37+Bilans_E_AMS_Kyoto_run3_2045!G$37</f>
        <v>0</v>
      </c>
      <c r="X41" s="84">
        <f>Bilans_E_AMS_Kyoto_run3_2045!N$35+Bilans_E_AMS_Kyoto_run3_2045!G$35</f>
        <v>31.027871012193479</v>
      </c>
      <c r="Y41" s="489">
        <f t="shared" si="6"/>
        <v>39.265276185679923</v>
      </c>
      <c r="Z41" s="489">
        <f>G41-Y41-L41</f>
        <v>8.7535699555680537</v>
      </c>
    </row>
    <row r="42" spans="1:26" x14ac:dyDescent="0.25">
      <c r="A42" s="739"/>
      <c r="B42" s="1" t="s">
        <v>38</v>
      </c>
      <c r="C42" s="33">
        <f>Bilans_E_AMS_Kyoto_run3_2045!E18+Bilans_E_AMS_Kyoto_run3_2045!F18-Bilans_E_AMS_Kyoto_run3_2045!F21-Bilans_E_AMS_Kyoto_run3_2045!F22-E54-SUM(T43:X43)-(Bilans_E_AMS_Kyoto_run3_2045!E20+Bilans_E_AMS_Kyoto_run3_2045!F20+Bilans_E_AMS_Kyoto_run3_2045!E19+Bilans_E_AMS_Kyoto_run3_2045!F19)</f>
        <v>36.279464347775658</v>
      </c>
      <c r="D42" s="539"/>
      <c r="E42" s="17">
        <f>Bilans_E_AMS_Kyoto_run3_2045!F30+Bilans_E_AMS_Kyoto_run3_2045!U25+Bilans_E_AMS_Kyoto_run3_2045!F29+Bilans_E_AMS_Kyoto_run3_2045!E29</f>
        <v>8.4367731631653129</v>
      </c>
      <c r="F42" s="539"/>
      <c r="G42" s="17">
        <f t="shared" si="5"/>
        <v>27.842691184610345</v>
      </c>
      <c r="H42" s="539"/>
      <c r="I42" s="498"/>
      <c r="J42" s="37"/>
      <c r="K42" s="35"/>
      <c r="L42" s="35"/>
      <c r="M42" s="35"/>
      <c r="N42" s="35"/>
      <c r="O42" s="35"/>
      <c r="P42" s="35"/>
      <c r="Q42" s="36">
        <f>G42</f>
        <v>27.842691184610345</v>
      </c>
      <c r="R42" s="508"/>
      <c r="S42" s="539"/>
      <c r="T42" s="83">
        <v>0</v>
      </c>
      <c r="U42" s="83">
        <v>0</v>
      </c>
      <c r="V42" s="83">
        <v>0</v>
      </c>
      <c r="W42" s="83">
        <v>0</v>
      </c>
      <c r="X42" s="84">
        <f>Bilans_E_AMS_Kyoto_run3_2045!F35</f>
        <v>27.842691184610331</v>
      </c>
      <c r="Y42" s="489">
        <f t="shared" si="6"/>
        <v>27.842691184610331</v>
      </c>
      <c r="Z42" s="489">
        <f>Q42-SUM(T42:X42)</f>
        <v>0</v>
      </c>
    </row>
    <row r="43" spans="1:26" x14ac:dyDescent="0.25">
      <c r="A43" s="739"/>
      <c r="B43" s="1" t="s">
        <v>39</v>
      </c>
      <c r="C43" s="33">
        <f>Bilans_E_AMS_Kyoto_run3_2045!F41+SUM(T43:X43)</f>
        <v>102.61606861381945</v>
      </c>
      <c r="D43" s="539"/>
      <c r="E43" s="38"/>
      <c r="F43" s="539"/>
      <c r="G43" s="17">
        <f>C43-E43</f>
        <v>102.61606861381945</v>
      </c>
      <c r="H43" s="539"/>
      <c r="I43" s="35"/>
      <c r="J43" s="37"/>
      <c r="K43" s="35"/>
      <c r="L43" s="35"/>
      <c r="M43" s="35"/>
      <c r="N43" s="35"/>
      <c r="O43" s="35"/>
      <c r="P43" s="35"/>
      <c r="Q43" s="36">
        <f>G43-Bilans_E_AMS_Kyoto_run3_2045!F41</f>
        <v>6.222023485157564</v>
      </c>
      <c r="R43" s="508"/>
      <c r="S43" s="539"/>
      <c r="T43" s="83">
        <f>Bilans_E_AMS_Kyoto_run3_2045!F38</f>
        <v>5.4571309143050808</v>
      </c>
      <c r="U43" s="83">
        <f>Bilans_E_AMS_Kyoto_run3_2045!F34</f>
        <v>0.19057103431692568</v>
      </c>
      <c r="V43" s="83">
        <f>Bilans_E_AMS_Kyoto_run3_2045!F36</f>
        <v>0.1823284194363245</v>
      </c>
      <c r="W43" s="83">
        <f>Bilans_E_AMS_Kyoto_run3_2045!F37</f>
        <v>0.39199311709923457</v>
      </c>
      <c r="X43" s="84">
        <v>0</v>
      </c>
      <c r="Y43" s="489">
        <f t="shared" si="6"/>
        <v>6.2220234851575658</v>
      </c>
      <c r="Z43" s="489">
        <f>Q43-SUM(T43:X43)</f>
        <v>0</v>
      </c>
    </row>
    <row r="44" spans="1:26" x14ac:dyDescent="0.25">
      <c r="A44" s="739"/>
      <c r="B44" s="1" t="s">
        <v>40</v>
      </c>
      <c r="C44" s="33">
        <f>SUM(T44:X44)</f>
        <v>8.043964025546213</v>
      </c>
      <c r="D44" s="539"/>
      <c r="E44" s="38"/>
      <c r="F44" s="539"/>
      <c r="G44" s="17">
        <f t="shared" si="1"/>
        <v>8.043964025546213</v>
      </c>
      <c r="H44" s="539"/>
      <c r="I44" s="35"/>
      <c r="J44" s="37"/>
      <c r="K44" s="35"/>
      <c r="L44" s="35"/>
      <c r="M44" s="35"/>
      <c r="N44" s="35"/>
      <c r="O44" s="35"/>
      <c r="P44" s="35"/>
      <c r="Q44" s="36">
        <f>G44-Bilans_E_AMS_Kyoto_run3_2045!M41</f>
        <v>8.043964025546213</v>
      </c>
      <c r="R44" s="498"/>
      <c r="S44" s="539"/>
      <c r="T44" s="83">
        <f>Bilans_E_AMS_Kyoto_run3_2045!M$38</f>
        <v>0</v>
      </c>
      <c r="U44" s="83">
        <f>Bilans_E_AMS_Kyoto_run3_2045!M$34</f>
        <v>8.043964025546213</v>
      </c>
      <c r="V44" s="83">
        <f>Bilans_E_AMS_Kyoto_run3_2045!M$36</f>
        <v>0</v>
      </c>
      <c r="W44" s="83">
        <f>Bilans_E_AMS_Kyoto_run3_2045!M$37</f>
        <v>0</v>
      </c>
      <c r="X44" s="84">
        <f>Bilans_E_AMS_Kyoto_run3_2045!M$35</f>
        <v>0</v>
      </c>
      <c r="Y44" s="489">
        <f t="shared" si="6"/>
        <v>8.043964025546213</v>
      </c>
      <c r="Z44" s="489">
        <f t="shared" si="7"/>
        <v>0</v>
      </c>
    </row>
    <row r="45" spans="1:26" x14ac:dyDescent="0.25">
      <c r="A45" s="739"/>
      <c r="B45" s="1" t="s">
        <v>41</v>
      </c>
      <c r="C45" s="33">
        <f>E53</f>
        <v>9.7025025927356783</v>
      </c>
      <c r="D45" s="539"/>
      <c r="E45" s="38"/>
      <c r="F45" s="539"/>
      <c r="G45" s="17">
        <f t="shared" si="1"/>
        <v>9.7025025927356783</v>
      </c>
      <c r="H45" s="539"/>
      <c r="I45" s="35"/>
      <c r="J45" s="37"/>
      <c r="K45" s="35"/>
      <c r="L45" s="35"/>
      <c r="M45" s="35"/>
      <c r="N45" s="35"/>
      <c r="O45" s="35"/>
      <c r="P45" s="35"/>
      <c r="Q45" s="36">
        <f>G45-Bilans_E_AMS_Kyoto_run3_2045!H41</f>
        <v>0</v>
      </c>
      <c r="R45" s="498"/>
      <c r="S45" s="539"/>
      <c r="T45" s="84">
        <v>0</v>
      </c>
      <c r="U45" s="83">
        <v>0</v>
      </c>
      <c r="V45" s="84">
        <v>0</v>
      </c>
      <c r="W45" s="92">
        <v>0</v>
      </c>
      <c r="X45" s="84">
        <v>0</v>
      </c>
      <c r="Y45" s="489">
        <f t="shared" si="6"/>
        <v>0</v>
      </c>
      <c r="Z45" s="489">
        <f>Q45-Y45</f>
        <v>0</v>
      </c>
    </row>
    <row r="46" spans="1:26" x14ac:dyDescent="0.25">
      <c r="A46" s="739"/>
      <c r="B46" s="1" t="s">
        <v>42</v>
      </c>
      <c r="C46" s="33">
        <f>Bilans_E_AMS_Kyoto_run3_2045!D18-C18-C34</f>
        <v>7.2040588378906256E-2</v>
      </c>
      <c r="D46" s="539"/>
      <c r="E46" s="511"/>
      <c r="F46" s="539"/>
      <c r="G46" s="17">
        <f>C46-E46</f>
        <v>7.2040588378906256E-2</v>
      </c>
      <c r="H46" s="539"/>
      <c r="I46" s="38"/>
      <c r="J46" s="37"/>
      <c r="K46" s="35"/>
      <c r="L46" s="35"/>
      <c r="M46" s="35"/>
      <c r="N46" s="35"/>
      <c r="O46" s="35"/>
      <c r="P46" s="35"/>
      <c r="Q46" s="36">
        <f>G46-(Bilans_E_AMS_Kyoto_run3_2045!D41+Bilans_E_AMS_Kyoto_run3_2045!D29+Bilans_E_AMS_Kyoto_run3_2045!D30)</f>
        <v>7.2040588378906256E-2</v>
      </c>
      <c r="R46" s="498"/>
      <c r="S46" s="539"/>
      <c r="T46" s="506">
        <f>Bilans_E_AMS_Kyoto_run3_2045!D38</f>
        <v>0</v>
      </c>
      <c r="U46" s="93">
        <f>Bilans_E_AMS_Kyoto_run3_2045!D34</f>
        <v>7.2040588378906256E-2</v>
      </c>
      <c r="V46" s="506">
        <f>Bilans_E_AMS_Kyoto_run3_2045!D36</f>
        <v>0</v>
      </c>
      <c r="W46" s="507">
        <f>Bilans_E_AMS_Kyoto_run3_2045!D37</f>
        <v>0</v>
      </c>
      <c r="X46" s="506">
        <f>Bilans_E_AMS_Kyoto_run3_2045!D35</f>
        <v>0</v>
      </c>
      <c r="Y46" s="489">
        <f t="shared" si="6"/>
        <v>7.2040588378906256E-2</v>
      </c>
      <c r="Z46" s="489">
        <f>Q46-Y46</f>
        <v>0</v>
      </c>
    </row>
    <row r="47" spans="1:26" x14ac:dyDescent="0.25">
      <c r="A47" s="90"/>
      <c r="B47" s="1" t="s">
        <v>31</v>
      </c>
      <c r="C47" s="33">
        <f>E57</f>
        <v>4.3572670917440366</v>
      </c>
      <c r="D47" s="192"/>
      <c r="E47" s="511"/>
      <c r="F47" s="192"/>
      <c r="G47" s="17">
        <f>C47-E47</f>
        <v>4.3572670917440366</v>
      </c>
      <c r="H47" s="192"/>
      <c r="I47" s="38"/>
      <c r="J47" s="37"/>
      <c r="K47" s="35"/>
      <c r="L47" s="35"/>
      <c r="M47" s="35"/>
      <c r="N47" s="35"/>
      <c r="O47" s="35"/>
      <c r="P47" s="35"/>
      <c r="Q47" s="542">
        <f>G47-Bilans_E_AMS_Kyoto_run3_2045!T41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C5-L13-SUM(L21:L24)-L30-L41-Bilans_E_AMS_Kyoto_run3_2045!U18</f>
        <v>0</v>
      </c>
      <c r="D49" s="1"/>
      <c r="E49" s="34">
        <f>SUM(E7:E47)+I13-Bilans_E_AMS_Kyoto_run3_2045!U32+K13+SUM(K21:K24)+K30+Bilans_E_AMS_Kyoto_run3_2045!D29+Bilans_E_AMS_Kyoto_run3_2045!D30</f>
        <v>-2.5668356329333619E-13</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565.78418994650258</v>
      </c>
    </row>
    <row r="52" spans="1:19" x14ac:dyDescent="0.25">
      <c r="A52" s="21"/>
      <c r="B52" s="1" t="s">
        <v>44</v>
      </c>
      <c r="C52" s="44"/>
      <c r="D52" s="1"/>
      <c r="E52" s="39">
        <f>Bilans_E_AMS_Kyoto_run3_2045!D41+Bilans_E_AMS_Kyoto_run3_2045!D29+Bilans_E_AMS_Kyoto_run3_2045!D30</f>
        <v>0</v>
      </c>
      <c r="F52" s="187"/>
      <c r="G52" s="1"/>
      <c r="H52" s="1"/>
      <c r="I52" s="30"/>
      <c r="J52" s="17"/>
      <c r="K52" s="17"/>
      <c r="L52" s="21"/>
      <c r="M52" s="1"/>
      <c r="N52" s="17"/>
      <c r="O52" s="17"/>
      <c r="P52" s="17"/>
      <c r="Q52" s="1"/>
      <c r="S52" s="33"/>
    </row>
    <row r="53" spans="1:19" x14ac:dyDescent="0.25">
      <c r="A53" s="21"/>
      <c r="B53" s="1" t="s">
        <v>41</v>
      </c>
      <c r="C53" s="45"/>
      <c r="D53" s="17"/>
      <c r="E53" s="433">
        <f>Bilans_E_AMS_Kyoto_run3_2045!H41+Bilans_E_AMS_Kyoto_run3_2045!H29</f>
        <v>9.7025025927356783</v>
      </c>
      <c r="F53" s="187"/>
      <c r="G53" s="1"/>
      <c r="H53" s="1"/>
      <c r="I53" s="30"/>
      <c r="J53" s="17"/>
      <c r="K53" s="17"/>
      <c r="L53" s="21"/>
      <c r="M53" s="1"/>
      <c r="N53" s="17"/>
      <c r="O53" s="17"/>
      <c r="P53" s="17"/>
      <c r="Q53" s="1"/>
    </row>
    <row r="54" spans="1:19" x14ac:dyDescent="0.25">
      <c r="A54" s="21"/>
      <c r="B54" s="1" t="s">
        <v>39</v>
      </c>
      <c r="C54" s="45"/>
      <c r="D54" s="17"/>
      <c r="E54" s="435">
        <f>Bilans_E_AMS_Kyoto_run3_2045!F41</f>
        <v>96.394045128661887</v>
      </c>
      <c r="F54" s="187"/>
      <c r="G54" s="1"/>
      <c r="H54" s="1"/>
      <c r="I54" s="30"/>
      <c r="J54" s="17"/>
      <c r="K54" s="17"/>
      <c r="L54" s="21"/>
      <c r="M54" s="21"/>
      <c r="N54" s="17"/>
      <c r="O54" s="17"/>
      <c r="P54" s="17"/>
      <c r="Q54" s="1"/>
    </row>
    <row r="55" spans="1:19" x14ac:dyDescent="0.25">
      <c r="B55" s="1" t="s">
        <v>21</v>
      </c>
      <c r="E55" s="631">
        <f>Bilans_E_AMS_Kyoto_run3_2045!O41+Bilans_E_AMS_Kyoto_run3_2045!O29</f>
        <v>0</v>
      </c>
    </row>
    <row r="56" spans="1:19" x14ac:dyDescent="0.25">
      <c r="B56" s="1" t="s">
        <v>37</v>
      </c>
      <c r="E56" s="631">
        <f>Bilans_E_AMS_Kyoto_run3_2045!N41+Bilans_E_AMS_Kyoto_run3_2045!N29+Bilans_E_AMS_Kyoto_run3_2045!G41</f>
        <v>8.7535699555680591</v>
      </c>
    </row>
    <row r="57" spans="1:19" x14ac:dyDescent="0.25">
      <c r="B57" s="1" t="s">
        <v>31</v>
      </c>
      <c r="E57" s="631">
        <f>Bilans_E_AMS_Kyoto_run3_2045!T41</f>
        <v>4.3572670917440366</v>
      </c>
    </row>
    <row r="58" spans="1:19" x14ac:dyDescent="0.25">
      <c r="B58" s="1" t="s">
        <v>335</v>
      </c>
      <c r="E58" s="631">
        <f>Bilans_E_AMS_Kyoto_run3_2045!L41</f>
        <v>0.55051822222324442</v>
      </c>
    </row>
    <row r="59" spans="1:19" x14ac:dyDescent="0.25">
      <c r="E59" s="632"/>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7A643-154A-4DF0-AFD5-31861A293765}">
  <dimension ref="A1:Z59"/>
  <sheetViews>
    <sheetView topLeftCell="A3" zoomScale="70" zoomScaleNormal="70" workbookViewId="0">
      <selection activeCell="C33" sqref="C33"/>
    </sheetView>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2259.1175578610587</v>
      </c>
      <c r="D5" s="18"/>
      <c r="E5" s="20"/>
      <c r="F5" s="494"/>
      <c r="G5" s="21"/>
      <c r="H5" s="493"/>
      <c r="I5" s="21"/>
      <c r="J5" s="22"/>
      <c r="K5" s="23"/>
      <c r="L5" s="14"/>
      <c r="M5" s="14"/>
      <c r="N5" s="15"/>
      <c r="O5" s="16"/>
      <c r="P5" s="16"/>
      <c r="Q5" s="24">
        <f>Q13+Q22+Q30+Q42+Q46+Q38+Q43</f>
        <v>1165.149185615973</v>
      </c>
      <c r="R5" s="487"/>
      <c r="S5" s="79">
        <f>SUM(S13,S22,S27:S32,S41)</f>
        <v>1172.4548086644677</v>
      </c>
      <c r="T5" s="79">
        <f>SUM(T8:T46)</f>
        <v>43.275354897419881</v>
      </c>
      <c r="U5" s="79">
        <f>SUM(U8:U46)</f>
        <v>305.79740999580599</v>
      </c>
      <c r="V5" s="79">
        <f>SUM(V8:V46)</f>
        <v>422.01365949022772</v>
      </c>
      <c r="W5" s="173">
        <f>SUM(W8:W46)</f>
        <v>233.21584381771555</v>
      </c>
      <c r="X5" s="79">
        <f>SUM(X8:X46)</f>
        <v>168.15254046329858</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f>(([13]Offre_calc!$W$108+[13]Offre_calc!$W$109+[13]Offre_calc!$W$147+[13]Offre_calc!$W$148)/([13]Offre_calc!$W$105+[13]Offre_calc!$W$144))*Bilans_E_AMS_Kyoto_run3_2050!K$21</f>
        <v>305.51733815755296</v>
      </c>
      <c r="D7" s="516"/>
      <c r="E7" s="28">
        <v>0</v>
      </c>
      <c r="F7" s="516"/>
      <c r="G7" s="17">
        <f>C7-E7</f>
        <v>305.51733815755296</v>
      </c>
      <c r="H7" s="516"/>
      <c r="I7" s="21"/>
      <c r="J7" s="516"/>
      <c r="K7" s="523"/>
      <c r="L7" s="523"/>
      <c r="M7" s="523"/>
      <c r="N7" s="523"/>
      <c r="O7" s="523"/>
      <c r="P7" s="513"/>
      <c r="Q7" s="526"/>
      <c r="R7" s="498"/>
      <c r="S7" s="526"/>
      <c r="T7" s="523"/>
      <c r="U7" s="523"/>
      <c r="V7" s="523"/>
      <c r="W7" s="523"/>
      <c r="X7" s="523"/>
    </row>
    <row r="8" spans="1:24" x14ac:dyDescent="0.25">
      <c r="A8" s="736"/>
      <c r="B8" s="1" t="s">
        <v>18</v>
      </c>
      <c r="C8" s="486">
        <f>(([13]Offre_calc!$W$107+[13]Offre_calc!$W$146)/([13]Offre_calc!$W$105+[13]Offre_calc!$W$144))*Bilans_E_AMS_Kyoto_run3_2050!K$21</f>
        <v>53.729705640037054</v>
      </c>
      <c r="D8" s="81"/>
      <c r="E8" s="28">
        <v>0</v>
      </c>
      <c r="F8" s="81"/>
      <c r="G8" s="17">
        <f t="shared" ref="G8:G19" si="0">C8-E8</f>
        <v>53.729705640037054</v>
      </c>
      <c r="H8" s="81"/>
      <c r="I8" s="21"/>
      <c r="J8" s="81"/>
      <c r="K8" s="524"/>
      <c r="L8" s="524"/>
      <c r="M8" s="524"/>
      <c r="N8" s="524"/>
      <c r="O8" s="524"/>
      <c r="P8" s="29"/>
      <c r="Q8" s="527"/>
      <c r="R8" s="498"/>
      <c r="S8" s="527"/>
      <c r="T8" s="524"/>
      <c r="U8" s="524"/>
      <c r="V8" s="524"/>
      <c r="W8" s="524"/>
      <c r="X8" s="524"/>
    </row>
    <row r="9" spans="1:24" x14ac:dyDescent="0.25">
      <c r="A9" s="736"/>
      <c r="B9" s="1" t="s">
        <v>19</v>
      </c>
      <c r="C9" s="486">
        <f>(([13]Offre_calc!$W$106+[13]Offre_calc!$W$145)/([13]Offre_calc!$W$105+[13]Offre_calc!$W$144))*Bilans_E_AMS_Kyoto_run3_2050!K$21</f>
        <v>194.74684209636948</v>
      </c>
      <c r="D9" s="81"/>
      <c r="E9" s="28">
        <v>0</v>
      </c>
      <c r="F9" s="81"/>
      <c r="G9" s="17">
        <f t="shared" si="0"/>
        <v>194.74684209636948</v>
      </c>
      <c r="H9" s="81"/>
      <c r="I9" s="21"/>
      <c r="J9" s="81"/>
      <c r="K9" s="524"/>
      <c r="L9" s="524"/>
      <c r="M9" s="524"/>
      <c r="N9" s="524"/>
      <c r="O9" s="524"/>
      <c r="P9" s="29"/>
      <c r="Q9" s="527"/>
      <c r="R9" s="498"/>
      <c r="S9" s="527"/>
      <c r="T9" s="524"/>
      <c r="U9" s="524"/>
      <c r="V9" s="524"/>
      <c r="W9" s="524"/>
      <c r="X9" s="524"/>
    </row>
    <row r="10" spans="1:24" x14ac:dyDescent="0.25">
      <c r="A10" s="736"/>
      <c r="B10" s="1" t="s">
        <v>20</v>
      </c>
      <c r="C10" s="17">
        <f>Bilans_E_AMS_Kyoto_run3_2050!J21-(Bilans_E_AMS_Kyoto_run3_2050!R20+Bilans_E_AMS_Kyoto_run3_2050!R19)</f>
        <v>797.92981818181818</v>
      </c>
      <c r="D10" s="81"/>
      <c r="E10" s="28">
        <f>F13-SUM(E11:E19)</f>
        <v>536.17497366418684</v>
      </c>
      <c r="F10" s="81"/>
      <c r="G10" s="17">
        <f t="shared" si="0"/>
        <v>261.75484451763134</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f>Bilans_E_AMS_Kyoto_run3_2050!O21</f>
        <v>0.11704136254218823</v>
      </c>
      <c r="D11" s="81"/>
      <c r="E11" s="727">
        <f>C11*(1-[12]Offre_calc!$V$161)</f>
        <v>4.6816545016875294E-2</v>
      </c>
      <c r="F11" s="81"/>
      <c r="G11" s="17">
        <f t="shared" si="0"/>
        <v>7.0224817525312941E-2</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f>Bilans_E_AMS_Kyoto_run3_2050!M21</f>
        <v>5.0359913785352379</v>
      </c>
      <c r="D12" s="81"/>
      <c r="E12" s="727">
        <f>C12*(1-[12]Offre_calc!$V$171)</f>
        <v>3.0215948271211426</v>
      </c>
      <c r="F12" s="81"/>
      <c r="G12" s="17">
        <f t="shared" si="0"/>
        <v>2.0143965514140953</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f>Bilans_E_AMS_Kyoto_run3_2050!L21</f>
        <v>18.017312138261726</v>
      </c>
      <c r="D13" s="81">
        <f>SUM(C7:C19)</f>
        <v>1388.4134194145392</v>
      </c>
      <c r="E13" s="727">
        <f>C13*(1-[12]Offre_calc!$V$170)</f>
        <v>10.810387282957036</v>
      </c>
      <c r="F13" s="81">
        <f>Bilans_E_AMS_Kyoto_run3_2050!U21</f>
        <v>553.72524079961875</v>
      </c>
      <c r="G13" s="17">
        <f t="shared" si="0"/>
        <v>7.2069248553046901</v>
      </c>
      <c r="H13" s="81">
        <f>SUM(G7:G19)</f>
        <v>834.6881786149205</v>
      </c>
      <c r="I13" s="33">
        <f>Bilans_E_AMS_Kyoto_run3_2050!R30</f>
        <v>37.68086569149628</v>
      </c>
      <c r="J13" s="81">
        <f>H13-I13</f>
        <v>797.00731292342425</v>
      </c>
      <c r="K13" s="29">
        <f>Bilans_E_AMS_Kyoto_run3_2050!R31</f>
        <v>65.840203439882671</v>
      </c>
      <c r="L13" s="29">
        <f>-(Bilans_E_AMS_Kyoto_run3_2050!R14+Bilans_E_AMS_Kyoto_run3_2050!R13)</f>
        <v>28.679288227585289</v>
      </c>
      <c r="M13" s="29">
        <f>Bilans_E_AMS_Kyoto_run3_2050!R28</f>
        <v>127.55076516290167</v>
      </c>
      <c r="N13" s="29"/>
      <c r="O13" s="29"/>
      <c r="P13" s="29"/>
      <c r="Q13" s="81">
        <f>J13-K13-L13-M13-N13-O13-P13</f>
        <v>574.93705609305459</v>
      </c>
      <c r="R13" s="508">
        <f>Q13-S13</f>
        <v>0</v>
      </c>
      <c r="S13" s="81">
        <f>SUM(T8:X19)</f>
        <v>574.93705609305471</v>
      </c>
      <c r="T13" s="29">
        <f>Bilans_E_AMS_Kyoto_run3_2050!R38</f>
        <v>11.227117591013034</v>
      </c>
      <c r="U13" s="29">
        <f>Bilans_E_AMS_Kyoto_run3_2050!R34+Bilans_E_AMS_Kyoto_run3_2050!R39</f>
        <v>175.53759404222941</v>
      </c>
      <c r="V13" s="29">
        <f>Bilans_E_AMS_Kyoto_run3_2050!R36</f>
        <v>135.77624988749807</v>
      </c>
      <c r="W13" s="29">
        <f>Bilans_E_AMS_Kyoto_run3_2050!R37</f>
        <v>123.17781879034489</v>
      </c>
      <c r="X13" s="29">
        <f>Bilans_E_AMS_Kyoto_run3_2050!R35</f>
        <v>129.21827578196925</v>
      </c>
    </row>
    <row r="14" spans="1:24" x14ac:dyDescent="0.25">
      <c r="A14" s="736"/>
      <c r="B14" s="1" t="s">
        <v>24</v>
      </c>
      <c r="C14" s="17">
        <f>Bilans_E_AMS_Kyoto_run3_2050!Q21</f>
        <v>6.7631767445353068</v>
      </c>
      <c r="D14" s="81"/>
      <c r="E14" s="28">
        <v>0</v>
      </c>
      <c r="F14" s="81"/>
      <c r="G14" s="17">
        <f t="shared" si="0"/>
        <v>6.7631767445353068</v>
      </c>
      <c r="H14" s="81"/>
      <c r="I14" s="21"/>
      <c r="J14" s="81"/>
      <c r="K14" s="524"/>
      <c r="L14" s="524"/>
      <c r="M14" s="524"/>
      <c r="N14" s="524"/>
      <c r="O14" s="524"/>
      <c r="P14" s="29"/>
      <c r="Q14" s="527"/>
      <c r="R14" s="508"/>
      <c r="S14" s="527"/>
      <c r="T14" s="524"/>
      <c r="U14" s="524"/>
      <c r="V14" s="524"/>
      <c r="W14" s="524"/>
      <c r="X14" s="524"/>
    </row>
    <row r="15" spans="1:24" x14ac:dyDescent="0.25">
      <c r="A15" s="736"/>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36"/>
      <c r="B16" s="1" t="s">
        <v>343</v>
      </c>
      <c r="C16" s="17">
        <f>Bilans_E_AMS_Kyoto_run3_2050!N21</f>
        <v>6.5561937148871507</v>
      </c>
      <c r="D16" s="81"/>
      <c r="E16" s="727">
        <f>C16*(1-[12]Offre_calc!$V$158)</f>
        <v>3.671468480336805</v>
      </c>
      <c r="F16" s="81"/>
      <c r="G16" s="17">
        <f t="shared" si="0"/>
        <v>2.8847252345503458</v>
      </c>
      <c r="H16" s="81"/>
      <c r="I16" s="21"/>
      <c r="J16" s="81"/>
      <c r="K16" s="524"/>
      <c r="L16" s="524"/>
      <c r="M16" s="524"/>
      <c r="N16" s="524"/>
      <c r="O16" s="524"/>
      <c r="P16" s="29"/>
      <c r="Q16" s="527"/>
      <c r="R16" s="508"/>
      <c r="S16" s="527"/>
      <c r="T16" s="524"/>
      <c r="U16" s="524"/>
      <c r="V16" s="524"/>
      <c r="W16" s="524"/>
      <c r="X16" s="524"/>
    </row>
    <row r="17" spans="1:24" x14ac:dyDescent="0.25">
      <c r="A17" s="736"/>
      <c r="B17" s="1" t="s">
        <v>27</v>
      </c>
      <c r="C17" s="17">
        <f>Bilans_E_AMS_Kyoto_run3_2050!F21</f>
        <v>0</v>
      </c>
      <c r="D17" s="81"/>
      <c r="E17" s="727">
        <f>C17*(1-[12]Offre_calc!$V$158)</f>
        <v>0</v>
      </c>
      <c r="F17" s="81"/>
      <c r="G17" s="17">
        <f t="shared" si="0"/>
        <v>0</v>
      </c>
      <c r="H17" s="81"/>
      <c r="I17" s="21"/>
      <c r="J17" s="81"/>
      <c r="K17" s="524"/>
      <c r="L17" s="524"/>
      <c r="M17" s="524"/>
      <c r="N17" s="524"/>
      <c r="O17" s="524"/>
      <c r="P17" s="29"/>
      <c r="Q17" s="527"/>
      <c r="R17" s="508"/>
      <c r="S17" s="527"/>
      <c r="T17" s="524"/>
      <c r="U17" s="524"/>
      <c r="V17" s="524"/>
      <c r="W17" s="524"/>
      <c r="X17" s="524"/>
    </row>
    <row r="18" spans="1:24" x14ac:dyDescent="0.25">
      <c r="A18" s="736"/>
      <c r="B18" s="1" t="s">
        <v>28</v>
      </c>
      <c r="C18" s="17">
        <f>Bilans_E_AMS_Kyoto_run3_2050!D21</f>
        <v>0</v>
      </c>
      <c r="D18" s="81"/>
      <c r="E18" s="727">
        <f>C18*(1-[12]Offre_calc!$V$157)</f>
        <v>0</v>
      </c>
      <c r="F18" s="81"/>
      <c r="G18" s="17">
        <f t="shared" si="0"/>
        <v>0</v>
      </c>
      <c r="H18" s="81"/>
      <c r="I18" s="21"/>
      <c r="J18" s="81"/>
      <c r="K18" s="524"/>
      <c r="L18" s="524"/>
      <c r="M18" s="524"/>
      <c r="N18" s="524"/>
      <c r="O18" s="524"/>
      <c r="P18" s="29"/>
      <c r="Q18" s="527"/>
      <c r="R18" s="508"/>
      <c r="S18" s="527"/>
      <c r="T18" s="524"/>
      <c r="U18" s="524"/>
      <c r="V18" s="524"/>
      <c r="W18" s="524"/>
      <c r="X18" s="524"/>
    </row>
    <row r="19" spans="1:24" x14ac:dyDescent="0.25">
      <c r="A19" s="736"/>
      <c r="B19" s="1" t="s">
        <v>260</v>
      </c>
      <c r="C19" s="17">
        <f>Bilans_E_AMS_Kyoto_run3_2050!H21+Bilans_E_AMS_Kyoto_run3_2050!T21</f>
        <v>0</v>
      </c>
      <c r="D19" s="82"/>
      <c r="E19" s="727">
        <f>C19*(1-[12]Offre_calc!$V$160)</f>
        <v>0</v>
      </c>
      <c r="F19" s="82"/>
      <c r="G19" s="17">
        <f t="shared" si="0"/>
        <v>0</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f>G10/C10</f>
        <v>0.32804244001567973</v>
      </c>
      <c r="H20" s="499"/>
      <c r="I20" s="17"/>
      <c r="J20" s="1"/>
      <c r="K20" s="17"/>
      <c r="L20" s="1"/>
      <c r="M20" s="1"/>
      <c r="N20" s="1"/>
      <c r="O20" s="1"/>
      <c r="P20" s="1"/>
      <c r="Q20" s="499"/>
      <c r="R20" s="508"/>
      <c r="S20" s="408"/>
      <c r="T20" s="495"/>
      <c r="U20" s="408"/>
      <c r="V20" s="495"/>
      <c r="W20" s="408"/>
      <c r="X20" s="495"/>
    </row>
    <row r="21" spans="1:24" x14ac:dyDescent="0.25">
      <c r="A21" s="737" t="s">
        <v>13</v>
      </c>
      <c r="B21" s="1" t="s">
        <v>21</v>
      </c>
      <c r="C21" s="17">
        <f>Bilans_E_AMS_Kyoto_run3_2050!L23+Bilans_E_AMS_Kyoto_run3_2050!O12+Bilans_E_AMS_Kyoto_run3_2050!M23</f>
        <v>191.57703114011758</v>
      </c>
      <c r="D21" s="529"/>
      <c r="E21" s="33">
        <f>Bilans_E_AMS_Kyoto_run3_2050!U23+Bilans_E_AMS_Kyoto_run3_2050!O30</f>
        <v>95.702964211958601</v>
      </c>
      <c r="F21" s="529"/>
      <c r="G21" s="17">
        <f t="shared" ref="G21:G45" si="1">C21-E21</f>
        <v>95.874066928158982</v>
      </c>
      <c r="H21" s="529"/>
      <c r="I21" s="17"/>
      <c r="J21" s="529"/>
      <c r="K21" s="545">
        <f>Bilans_E_AMS_Kyoto_run3_2050!O31</f>
        <v>1.0610098798731264</v>
      </c>
      <c r="L21" s="545">
        <f>-(Bilans_E_AMS_Kyoto_run3_2050!O13+Bilans_E_AMS_Kyoto_run3_2050!O14+Bilans_E_AMS_Kyoto_run3_2050!O15+Bilans_E_AMS_Kyoto_run3_2050!O16)</f>
        <v>6.2244643426582833</v>
      </c>
      <c r="M21" s="545">
        <f>Bilans_E_AMS_Kyoto_run3_2050!O28</f>
        <v>0</v>
      </c>
      <c r="N21" s="545">
        <f>Bilans_E_AMS_Kyoto_run3_2050!O22</f>
        <v>8.4106289047241454</v>
      </c>
      <c r="O21" s="545">
        <f>Bilans_E_AMS_Kyoto_run3_2050!O21</f>
        <v>0.11704136254218823</v>
      </c>
      <c r="P21" s="545">
        <f>C36</f>
        <v>0</v>
      </c>
      <c r="Q21" s="529"/>
      <c r="R21" s="508"/>
      <c r="S21" s="529"/>
      <c r="T21" s="529"/>
      <c r="U21" s="529"/>
      <c r="V21" s="529"/>
      <c r="W21" s="529"/>
      <c r="X21" s="529"/>
    </row>
    <row r="22" spans="1:24" x14ac:dyDescent="0.25">
      <c r="A22" s="737"/>
      <c r="B22" s="1" t="s">
        <v>519</v>
      </c>
      <c r="C22" s="17">
        <f>Bilans_E_AMS_Kyoto_run3_2050!T24</f>
        <v>10.395912432015363</v>
      </c>
      <c r="D22" s="85">
        <f>SUM(C21:C24)</f>
        <v>322.89515966731153</v>
      </c>
      <c r="E22" s="630">
        <f>Bilans_E_AMS_Kyoto_run3_2050!I30+Bilans_E_AMS_Kyoto_run3_2050!U24</f>
        <v>2.8838912984486722</v>
      </c>
      <c r="F22" s="85">
        <f>SUM(E21:E24)</f>
        <v>134.90106975601975</v>
      </c>
      <c r="G22" s="17">
        <f t="shared" si="1"/>
        <v>7.5120211335666909</v>
      </c>
      <c r="H22" s="85">
        <f>SUM(G21:G24)</f>
        <v>187.99408991129181</v>
      </c>
      <c r="I22" s="408"/>
      <c r="J22" s="85">
        <f>H22-I22</f>
        <v>187.99408991129181</v>
      </c>
      <c r="K22" s="626">
        <f>Bilans_E_AMS_Kyoto_run3_2050!I31</f>
        <v>5.5842625256480344E-2</v>
      </c>
      <c r="L22" s="626">
        <f>-SUM(Bilans_E_AMS_Kyoto_run3_2050!I13:I16)</f>
        <v>2.8026264036035156</v>
      </c>
      <c r="M22" s="32"/>
      <c r="N22" s="534">
        <f>Bilans_E_AMS_Kyoto_run3_2050!I22</f>
        <v>0.44183816383617902</v>
      </c>
      <c r="O22" s="32"/>
      <c r="P22" s="32"/>
      <c r="Q22" s="85">
        <f>J22-SUM(K21:P24)</f>
        <v>107.48514566849792</v>
      </c>
      <c r="R22" s="508">
        <f>Q22-S22</f>
        <v>1.9859233333363591E-4</v>
      </c>
      <c r="S22" s="85">
        <f>SUM(T22:X24)</f>
        <v>107.48494707616459</v>
      </c>
      <c r="T22" s="32">
        <f>Bilans_E_AMS_Kyoto_run3_2050!H38+Bilans_E_AMS_Kyoto_run3_2050!T38+Bilans_E_AMS_Kyoto_run3_2050!O$38+Bilans_E_AMS_Kyoto_run3_2050!I38</f>
        <v>1.459595922347638</v>
      </c>
      <c r="U22" s="32">
        <f>Bilans_E_AMS_Kyoto_run3_2050!H34+Bilans_E_AMS_Kyoto_run3_2050!T34+Bilans_E_AMS_Kyoto_run3_2050!O$34+Bilans_E_AMS_Kyoto_run3_2050!I34</f>
        <v>55.476680983540973</v>
      </c>
      <c r="V22" s="32">
        <f>Bilans_E_AMS_Kyoto_run3_2050!H36+Bilans_E_AMS_Kyoto_run3_2050!T36+Bilans_E_AMS_Kyoto_run3_2050!O$36+Bilans_E_AMS_Kyoto_run3_2050!I36</f>
        <v>27.268319880371575</v>
      </c>
      <c r="W22" s="32">
        <f>Bilans_E_AMS_Kyoto_run3_2050!H37+Bilans_E_AMS_Kyoto_run3_2050!M37+Bilans_E_AMS_Kyoto_run3_2050!T37+Bilans_E_AMS_Kyoto_run3_2050!O$37+Bilans_E_AMS_Kyoto_run3_2050!I37</f>
        <v>8.8076196126240713</v>
      </c>
      <c r="X22" s="32">
        <f>Bilans_E_AMS_Kyoto_run3_2050!H35+Bilans_E_AMS_Kyoto_run3_2050!T35+Bilans_E_AMS_Kyoto_run3_2050!O$35+Bilans_E_AMS_Kyoto_run3_2050!I35</f>
        <v>14.472730677280335</v>
      </c>
    </row>
    <row r="23" spans="1:24" x14ac:dyDescent="0.25">
      <c r="A23" s="737"/>
      <c r="B23" s="1" t="s">
        <v>31</v>
      </c>
      <c r="C23" s="17">
        <f>SUM(Bilans_E_AMS_Kyoto_run3_2050!D28:S28)-C47</f>
        <v>120.92221609517861</v>
      </c>
      <c r="D23" s="530"/>
      <c r="E23" s="33">
        <f>Bilans_E_AMS_Kyoto_run3_2050!U28+Bilans_E_AMS_Kyoto_run3_2050!T30</f>
        <v>36.314214245612469</v>
      </c>
      <c r="F23" s="532"/>
      <c r="G23" s="17">
        <f t="shared" si="1"/>
        <v>84.608001849566136</v>
      </c>
      <c r="H23" s="532"/>
      <c r="I23" s="17"/>
      <c r="J23" s="532"/>
      <c r="K23" s="534">
        <f>Bilans_E_AMS_Kyoto_run3_2050!T31</f>
        <v>0</v>
      </c>
      <c r="L23" s="534">
        <f>-(Bilans_E_AMS_Kyoto_run3_2050!T13+Bilans_E_AMS_Kyoto_run3_2050!T14+Bilans_E_AMS_Kyoto_run3_2050!T15+Bilans_E_AMS_Kyoto_run3_2050!T16)</f>
        <v>9.3066910843207449</v>
      </c>
      <c r="M23" s="534">
        <f>Bilans_E_AMS_Kyoto_run3_2050!T24</f>
        <v>10.395912432015363</v>
      </c>
      <c r="N23" s="534">
        <f>Bilans_E_AMS_Kyoto_run3_2050!T22</f>
        <v>0</v>
      </c>
      <c r="O23" s="534">
        <f>Bilans_E_AMS_Kyoto_run3_2050!T21</f>
        <v>0</v>
      </c>
      <c r="P23" s="534">
        <f>Bilans_E_AMS_Kyoto_run3_2050!T27</f>
        <v>41.692889043963866</v>
      </c>
      <c r="Q23" s="532"/>
      <c r="R23" s="489"/>
      <c r="S23" s="532"/>
      <c r="T23" s="536"/>
      <c r="U23" s="536"/>
      <c r="V23" s="536"/>
      <c r="W23" s="536"/>
      <c r="X23" s="536"/>
    </row>
    <row r="24" spans="1:24" x14ac:dyDescent="0.25">
      <c r="A24" s="737"/>
      <c r="B24" s="1" t="s">
        <v>32</v>
      </c>
      <c r="C24" s="17">
        <f>Bilans_E_AMS_Kyoto_run3_2050!H18-C45-(Bilans_E_AMS_Kyoto_run3_2050!H20+Bilans_E_AMS_Kyoto_run3_2050!H19)</f>
        <v>0</v>
      </c>
      <c r="D24" s="531"/>
      <c r="E24" s="33">
        <f>Bilans_E_AMS_Kyoto_run3_2050!H30</f>
        <v>0</v>
      </c>
      <c r="F24" s="533"/>
      <c r="G24" s="17">
        <f t="shared" si="1"/>
        <v>0</v>
      </c>
      <c r="H24" s="533"/>
      <c r="I24" s="34"/>
      <c r="J24" s="533"/>
      <c r="K24" s="535">
        <f>Bilans_E_AMS_Kyoto_run3_2050!H31</f>
        <v>0</v>
      </c>
      <c r="L24" s="535"/>
      <c r="M24" s="535">
        <f>Bilans_E_AMS_Kyoto_run3_2050!H28</f>
        <v>0</v>
      </c>
      <c r="N24" s="535">
        <f>Bilans_E_AMS_Kyoto_run3_2050!H22</f>
        <v>0</v>
      </c>
      <c r="O24" s="535">
        <f>Bilans_E_AMS_Kyoto_run3_2050!H21</f>
        <v>0</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38" t="s">
        <v>14</v>
      </c>
      <c r="B26" s="1" t="s">
        <v>21</v>
      </c>
      <c r="C26" s="17">
        <f>Bilans_E_AMS_Kyoto_run3_2050!O22</f>
        <v>8.4106289047241454</v>
      </c>
      <c r="D26" s="512"/>
      <c r="E26" s="190">
        <f>C26*F$35</f>
        <v>0.47257273911080355</v>
      </c>
      <c r="F26" s="512"/>
      <c r="G26" s="33">
        <f t="shared" ref="G26:G31" si="2">C26-E26</f>
        <v>7.9380561656133422</v>
      </c>
      <c r="H26" s="512"/>
      <c r="I26" s="1"/>
      <c r="J26" s="512"/>
      <c r="K26" s="512"/>
      <c r="L26" s="512"/>
      <c r="M26" s="512"/>
      <c r="N26" s="512"/>
      <c r="O26" s="512"/>
      <c r="P26" s="512"/>
      <c r="Q26" s="512"/>
      <c r="R26" s="508"/>
      <c r="S26" s="512"/>
      <c r="T26" s="512"/>
      <c r="U26" s="512"/>
      <c r="V26" s="512"/>
      <c r="W26" s="512"/>
      <c r="X26" s="512"/>
    </row>
    <row r="27" spans="1:24" x14ac:dyDescent="0.25">
      <c r="A27" s="738"/>
      <c r="B27" s="1" t="s">
        <v>22</v>
      </c>
      <c r="C27" s="17">
        <f>Bilans_E_AMS_Kyoto_run3_2050!M18-(Bilans_E_AMS_Kyoto_run3_2050!M21+Bilans_E_AMS_Kyoto_run3_2050!M23+Bilans_E_AMS_Kyoto_run3_2050!M26+Bilans_E_AMS_Kyoto_run3_2050!M34)-(Bilans_E_AMS_Kyoto_run3_2050!S20+Bilans_E_AMS_Kyoto_run3_2050!S19+Bilans_E_AMS_Kyoto_run3_2050!M20+Bilans_E_AMS_Kyoto_run3_2050!M19)</f>
        <v>10.266401321700492</v>
      </c>
      <c r="D27" s="87"/>
      <c r="E27" s="190">
        <f t="shared" ref="E27:E34" si="3">C27*F$35</f>
        <v>0.57684406818634937</v>
      </c>
      <c r="F27" s="87"/>
      <c r="G27" s="33">
        <f t="shared" si="2"/>
        <v>9.6895572535141419</v>
      </c>
      <c r="H27" s="87"/>
      <c r="I27" s="500"/>
      <c r="J27" s="87"/>
      <c r="K27" s="87"/>
      <c r="L27" s="87"/>
      <c r="M27" s="87"/>
      <c r="N27" s="87"/>
      <c r="O27" s="87"/>
      <c r="P27" s="87"/>
      <c r="Q27" s="87"/>
      <c r="R27" s="508"/>
      <c r="S27" s="87"/>
      <c r="T27" s="87"/>
      <c r="U27" s="87"/>
      <c r="V27" s="87"/>
      <c r="W27" s="87"/>
      <c r="X27" s="87"/>
    </row>
    <row r="28" spans="1:24" x14ac:dyDescent="0.25">
      <c r="A28" s="738"/>
      <c r="B28" s="1" t="s">
        <v>612</v>
      </c>
      <c r="C28" s="17">
        <f>Bilans_E_AMS_Kyoto_run3_2050!J22</f>
        <v>9.448141153138188</v>
      </c>
      <c r="D28" s="87"/>
      <c r="E28" s="190">
        <f t="shared" si="3"/>
        <v>0.53086802364281249</v>
      </c>
      <c r="F28" s="87"/>
      <c r="G28" s="33">
        <f>C28-E28</f>
        <v>8.917273129495376</v>
      </c>
      <c r="H28" s="87"/>
      <c r="I28" s="1"/>
      <c r="J28" s="87"/>
      <c r="K28" s="87"/>
      <c r="L28" s="87"/>
      <c r="M28" s="87"/>
      <c r="N28" s="87"/>
      <c r="O28" s="87"/>
      <c r="P28" s="87"/>
      <c r="Q28" s="87"/>
      <c r="R28" s="508"/>
      <c r="S28" s="87"/>
      <c r="T28" s="87"/>
      <c r="U28" s="87"/>
      <c r="V28" s="87"/>
      <c r="W28" s="87"/>
      <c r="X28" s="87"/>
    </row>
    <row r="29" spans="1:24" x14ac:dyDescent="0.25">
      <c r="A29" s="738"/>
      <c r="B29" s="1" t="s">
        <v>23</v>
      </c>
      <c r="C29" s="17">
        <f>Bilans_E_AMS_Kyoto_run3_2050!L22</f>
        <v>23.543561697387847</v>
      </c>
      <c r="D29" s="87"/>
      <c r="E29" s="190">
        <f t="shared" si="3"/>
        <v>1.3228553495576785</v>
      </c>
      <c r="F29" s="87"/>
      <c r="G29" s="33">
        <f t="shared" si="2"/>
        <v>22.22070634783017</v>
      </c>
      <c r="H29" s="87"/>
      <c r="I29" s="1"/>
      <c r="J29" s="87"/>
      <c r="K29" s="87"/>
      <c r="L29" s="87"/>
      <c r="M29" s="87"/>
      <c r="N29" s="87"/>
      <c r="O29" s="87"/>
      <c r="P29" s="87"/>
      <c r="Q29" s="87"/>
      <c r="R29" s="508"/>
      <c r="S29" s="87"/>
      <c r="T29" s="87"/>
      <c r="U29" s="87"/>
      <c r="V29" s="87"/>
      <c r="W29" s="87"/>
      <c r="X29" s="87"/>
    </row>
    <row r="30" spans="1:24" x14ac:dyDescent="0.25">
      <c r="A30" s="738"/>
      <c r="B30" s="1" t="s">
        <v>24</v>
      </c>
      <c r="C30" s="17">
        <f>Bilans_E_AMS_Kyoto_run3_2050!Q22</f>
        <v>12.943396433622139</v>
      </c>
      <c r="D30" s="86">
        <f>SUM(C26:C34)</f>
        <v>87.626588748217031</v>
      </c>
      <c r="E30" s="190">
        <f t="shared" si="3"/>
        <v>0.72725789894239035</v>
      </c>
      <c r="F30" s="86">
        <f>Bilans_E_AMS_Kyoto_run3_2050!U22</f>
        <v>4.9235244513548082</v>
      </c>
      <c r="G30" s="33">
        <f t="shared" si="2"/>
        <v>12.216138534679748</v>
      </c>
      <c r="H30" s="86">
        <f>SUM(G26:G34)</f>
        <v>82.703064296862223</v>
      </c>
      <c r="I30" s="1"/>
      <c r="J30" s="86">
        <f>H30</f>
        <v>82.703064296862223</v>
      </c>
      <c r="K30" s="87">
        <f>Bilans_E_AMS_Kyoto_run3_2050!S31</f>
        <v>6.4136709376113741</v>
      </c>
      <c r="L30" s="87"/>
      <c r="M30" s="87">
        <f>Bilans_E_AMS_Kyoto_run3_2050!M28</f>
        <v>0</v>
      </c>
      <c r="N30" s="87"/>
      <c r="O30" s="87"/>
      <c r="P30" s="87"/>
      <c r="Q30" s="86">
        <f>J30-K30-L30-M30-N30-O30-P30</f>
        <v>76.289393359250852</v>
      </c>
      <c r="R30" s="508">
        <f>Q30-S30</f>
        <v>3.3901093871691046E-5</v>
      </c>
      <c r="S30" s="86">
        <f>SUM(T27:X34)</f>
        <v>76.28935945815698</v>
      </c>
      <c r="T30" s="87">
        <f>Bilans_E_AMS_Kyoto_run3_2050!S$38</f>
        <v>0</v>
      </c>
      <c r="U30" s="87">
        <f>Bilans_E_AMS_Kyoto_run3_2050!S$34</f>
        <v>19.118062217384278</v>
      </c>
      <c r="V30" s="87">
        <f>Bilans_E_AMS_Kyoto_run3_2050!S$36</f>
        <v>35.160977387086433</v>
      </c>
      <c r="W30" s="87">
        <f>Bilans_E_AMS_Kyoto_run3_2050!S$37</f>
        <v>22.010319853686262</v>
      </c>
      <c r="X30" s="87">
        <f>Bilans_E_AMS_Kyoto_run3_2050!S$35</f>
        <v>0</v>
      </c>
    </row>
    <row r="31" spans="1:24" x14ac:dyDescent="0.25">
      <c r="A31" s="738"/>
      <c r="B31" s="1" t="s">
        <v>611</v>
      </c>
      <c r="C31" s="17">
        <f>Bilans_E_AMS_Kyoto_run3_2050!P22</f>
        <v>22.572621073808037</v>
      </c>
      <c r="D31" s="86"/>
      <c r="E31" s="190">
        <f t="shared" si="3"/>
        <v>1.26830056237151</v>
      </c>
      <c r="F31" s="86"/>
      <c r="G31" s="33">
        <f t="shared" si="2"/>
        <v>21.304320511436526</v>
      </c>
      <c r="H31" s="86"/>
      <c r="I31" s="1"/>
      <c r="J31" s="517"/>
      <c r="K31" s="87"/>
      <c r="L31" s="87"/>
      <c r="M31" s="87"/>
      <c r="N31" s="87"/>
      <c r="O31" s="87"/>
      <c r="P31" s="87"/>
      <c r="Q31" s="517"/>
      <c r="R31" s="508"/>
      <c r="S31" s="519"/>
      <c r="T31" s="521"/>
      <c r="U31" s="521"/>
      <c r="V31" s="521"/>
      <c r="W31" s="521"/>
      <c r="X31" s="521"/>
    </row>
    <row r="32" spans="1:24" x14ac:dyDescent="0.25">
      <c r="A32" s="738"/>
      <c r="B32" s="1" t="s">
        <v>29</v>
      </c>
      <c r="C32" s="17">
        <f>Bilans_E_AMS_Kyoto_run3_2050!H22+Bilans_E_AMS_Kyoto_run3_2050!I22</f>
        <v>0.44183816383617902</v>
      </c>
      <c r="D32" s="86"/>
      <c r="E32" s="190">
        <f t="shared" si="3"/>
        <v>2.4825809543263806E-2</v>
      </c>
      <c r="F32" s="86"/>
      <c r="G32" s="33">
        <f>C32-E32</f>
        <v>0.41701235429291522</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f>Bilans_E_AMS_Kyoto_run3_2050!F22</f>
        <v>0</v>
      </c>
      <c r="D33" s="86"/>
      <c r="E33" s="190">
        <f t="shared" si="3"/>
        <v>0</v>
      </c>
      <c r="F33" s="86"/>
      <c r="G33" s="33">
        <f t="shared" ref="G33:G34" si="4">C33-E33</f>
        <v>0</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f>Bilans_E_AMS_Kyoto_run3_2050!D22</f>
        <v>0</v>
      </c>
      <c r="D34" s="88"/>
      <c r="E34" s="190">
        <f t="shared" si="3"/>
        <v>0</v>
      </c>
      <c r="F34" s="88"/>
      <c r="G34" s="33">
        <f t="shared" si="4"/>
        <v>0</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f>F30/D30</f>
        <v>5.6187562721423286E-2</v>
      </c>
      <c r="G35" s="17"/>
      <c r="H35" s="501"/>
      <c r="I35" s="1"/>
      <c r="J35" s="1"/>
      <c r="K35" s="1"/>
      <c r="L35" s="1"/>
      <c r="M35" s="1"/>
      <c r="N35" s="1"/>
      <c r="O35" s="1"/>
      <c r="P35" s="1"/>
      <c r="Q35" s="502"/>
      <c r="R35" s="508"/>
      <c r="U35" s="33"/>
      <c r="V35" s="33"/>
      <c r="W35" s="33"/>
    </row>
    <row r="36" spans="1:26" x14ac:dyDescent="0.25">
      <c r="A36" s="739" t="s">
        <v>34</v>
      </c>
      <c r="B36" s="1" t="s">
        <v>21</v>
      </c>
      <c r="C36" s="33">
        <f>E55</f>
        <v>0</v>
      </c>
      <c r="D36" s="538"/>
      <c r="E36" s="17"/>
      <c r="F36" s="538"/>
      <c r="G36" s="17">
        <f t="shared" ref="G36:G42" si="5">C36-E36</f>
        <v>0</v>
      </c>
      <c r="H36" s="538"/>
      <c r="I36" s="35"/>
      <c r="J36" s="37"/>
      <c r="K36" s="35"/>
      <c r="L36" s="35"/>
      <c r="M36" s="35"/>
      <c r="N36" s="35"/>
      <c r="O36" s="35"/>
      <c r="P36" s="35"/>
      <c r="Q36" s="540"/>
      <c r="R36" s="508"/>
      <c r="S36" s="538"/>
      <c r="T36" s="503">
        <v>0</v>
      </c>
      <c r="U36" s="503">
        <v>0</v>
      </c>
      <c r="V36" s="503">
        <v>0</v>
      </c>
      <c r="W36" s="503">
        <v>0</v>
      </c>
      <c r="X36" s="503">
        <v>0</v>
      </c>
      <c r="Y36" s="489">
        <f>SUM(T36:X36)</f>
        <v>0</v>
      </c>
      <c r="Z36" s="489">
        <f>G36-Y36</f>
        <v>0</v>
      </c>
    </row>
    <row r="37" spans="1:26" x14ac:dyDescent="0.25">
      <c r="A37" s="739"/>
      <c r="B37" s="1" t="s">
        <v>23</v>
      </c>
      <c r="C37" s="33">
        <f>SUM(T37:X37)+E58</f>
        <v>92.792909717731831</v>
      </c>
      <c r="D37" s="539"/>
      <c r="E37" s="504"/>
      <c r="F37" s="539"/>
      <c r="G37" s="17">
        <f t="shared" si="5"/>
        <v>92.792909717731831</v>
      </c>
      <c r="H37" s="539"/>
      <c r="I37" s="498"/>
      <c r="J37" s="37"/>
      <c r="K37" s="35"/>
      <c r="L37" s="35"/>
      <c r="M37" s="505"/>
      <c r="N37" s="35"/>
      <c r="P37" s="35"/>
      <c r="Q37" s="541"/>
      <c r="R37" s="508"/>
      <c r="S37" s="539"/>
      <c r="T37" s="506">
        <f>Bilans_E_AMS_Kyoto_run3_2050!L38</f>
        <v>20.041612409357288</v>
      </c>
      <c r="U37" s="93">
        <f>Bilans_E_AMS_Kyoto_run3_2050!L34</f>
        <v>33.03282021908791</v>
      </c>
      <c r="V37" s="506">
        <f>Bilans_E_AMS_Kyoto_run3_2050!L36</f>
        <v>38.670548162755892</v>
      </c>
      <c r="W37" s="507">
        <f>Bilans_E_AMS_Kyoto_run3_2050!L37</f>
        <v>0.43608334641640845</v>
      </c>
      <c r="X37" s="506">
        <f>Bilans_E_AMS_Kyoto_run3_2050!L35</f>
        <v>0</v>
      </c>
      <c r="Y37" s="489">
        <f t="shared" ref="Y37:Y47" si="6">SUM(T37:X37)</f>
        <v>92.181064137617497</v>
      </c>
      <c r="Z37" s="489">
        <f t="shared" ref="Z37:Z44" si="7">G37-Y37</f>
        <v>0.6118455801143341</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f>SUM(G36:G41)-E55-E56-E58-L41-L36</f>
        <v>403.80004630515992</v>
      </c>
      <c r="R38" s="508"/>
      <c r="S38" s="539"/>
      <c r="T38" s="84">
        <v>0</v>
      </c>
      <c r="U38" s="83">
        <v>0</v>
      </c>
      <c r="V38" s="84">
        <v>0</v>
      </c>
      <c r="W38" s="91">
        <v>0</v>
      </c>
      <c r="X38" s="91">
        <v>0</v>
      </c>
      <c r="Y38" s="489">
        <f t="shared" si="6"/>
        <v>0</v>
      </c>
      <c r="Z38" s="489">
        <f t="shared" si="7"/>
        <v>0</v>
      </c>
    </row>
    <row r="39" spans="1:26" x14ac:dyDescent="0.25">
      <c r="A39" s="739"/>
      <c r="B39" s="1" t="s">
        <v>35</v>
      </c>
      <c r="C39" s="33">
        <f>SUM(T39:X39)</f>
        <v>31.016507507845297</v>
      </c>
      <c r="D39" s="539"/>
      <c r="E39" s="35"/>
      <c r="F39" s="539"/>
      <c r="G39" s="17">
        <f t="shared" si="5"/>
        <v>31.016507507845297</v>
      </c>
      <c r="H39" s="539"/>
      <c r="I39" s="35"/>
      <c r="J39" s="37"/>
      <c r="K39" s="35"/>
      <c r="L39" s="35"/>
      <c r="M39" s="37"/>
      <c r="N39" s="35"/>
      <c r="O39" s="35"/>
      <c r="P39" s="35"/>
      <c r="Q39" s="541"/>
      <c r="R39" s="508"/>
      <c r="S39" s="539"/>
      <c r="T39" s="84">
        <f>Bilans_E_AMS_Kyoto_run3_2050!Q38</f>
        <v>2.1874070050904897</v>
      </c>
      <c r="U39" s="83">
        <f>Bilans_E_AMS_Kyoto_run3_2050!Q34</f>
        <v>8.5890570413253253E-4</v>
      </c>
      <c r="V39" s="84">
        <f>Bilans_E_AMS_Kyoto_run3_2050!Q36</f>
        <v>14.856183742724458</v>
      </c>
      <c r="W39" s="91">
        <f>Bilans_E_AMS_Kyoto_run3_2050!Q37</f>
        <v>13.972057854326216</v>
      </c>
      <c r="X39" s="91">
        <f>Bilans_E_AMS_Kyoto_run3_2050!Q35</f>
        <v>0</v>
      </c>
      <c r="Y39" s="489">
        <f t="shared" si="6"/>
        <v>31.016507507845297</v>
      </c>
      <c r="Z39" s="489">
        <f t="shared" si="7"/>
        <v>0</v>
      </c>
    </row>
    <row r="40" spans="1:26" x14ac:dyDescent="0.25">
      <c r="A40" s="739"/>
      <c r="B40" s="1" t="s">
        <v>36</v>
      </c>
      <c r="C40" s="33">
        <f>Bilans_E_AMS_Kyoto_run3_2050!P12-Bilans_E_AMS_Kyoto_run3_2050!P22</f>
        <v>251.84592267661145</v>
      </c>
      <c r="D40" s="539"/>
      <c r="E40" s="35"/>
      <c r="F40" s="539"/>
      <c r="G40" s="17">
        <f t="shared" si="5"/>
        <v>251.84592267661145</v>
      </c>
      <c r="H40" s="539"/>
      <c r="I40" s="35"/>
      <c r="J40" s="37"/>
      <c r="K40" s="35"/>
      <c r="L40" s="35"/>
      <c r="M40" s="37"/>
      <c r="N40" s="35"/>
      <c r="O40" s="35"/>
      <c r="P40" s="35"/>
      <c r="Q40" s="541"/>
      <c r="R40" s="508"/>
      <c r="S40" s="539"/>
      <c r="T40" s="83">
        <f>Bilans_E_AMS_Kyoto_run3_2050!P$38</f>
        <v>1.5</v>
      </c>
      <c r="U40" s="83">
        <f>Bilans_E_AMS_Kyoto_run3_2050!P$34</f>
        <v>15.325538085937501</v>
      </c>
      <c r="V40" s="83">
        <f>Bilans_E_AMS_Kyoto_run3_2050!P$36</f>
        <v>170.26801174847219</v>
      </c>
      <c r="W40" s="83">
        <f>Bilans_E_AMS_Kyoto_run3_2050!P$37</f>
        <v>64.752372842201794</v>
      </c>
      <c r="X40" s="84">
        <f>Bilans_E_AMS_Kyoto_run3_2050!P$35</f>
        <v>0</v>
      </c>
      <c r="Y40" s="489">
        <f t="shared" si="6"/>
        <v>251.84592267661148</v>
      </c>
      <c r="Z40" s="489">
        <f t="shared" si="7"/>
        <v>0</v>
      </c>
    </row>
    <row r="41" spans="1:26" x14ac:dyDescent="0.25">
      <c r="A41" s="739"/>
      <c r="B41" s="1" t="s">
        <v>37</v>
      </c>
      <c r="C41" s="33">
        <f>Bilans_E_AMS_Kyoto_run3_2050!N12+Bilans_E_AMS_Kyoto_run3_2050!L26+Bilans_E_AMS_Kyoto_run3_2050!M26-Bilans_E_AMS_Kyoto_run3_2050!N21+Bilans_E_AMS_Kyoto_run3_2050!T27</f>
        <v>154.5626155017799</v>
      </c>
      <c r="D41" s="191">
        <f>SUM(C36:C47)</f>
        <v>648.79146510097462</v>
      </c>
      <c r="E41" s="511">
        <f>Bilans_E_AMS_Kyoto_run3_2050!U27+Bilans_E_AMS_Kyoto_run3_2050!U26</f>
        <v>69.994065587911024</v>
      </c>
      <c r="F41" s="191">
        <f>SUM(E36:E47)</f>
        <v>73.598804854715297</v>
      </c>
      <c r="G41" s="17">
        <f t="shared" si="5"/>
        <v>84.568549913868878</v>
      </c>
      <c r="H41" s="191">
        <f>SUM(G36:G47)</f>
        <v>575.19266024625927</v>
      </c>
      <c r="I41" s="35"/>
      <c r="J41" s="37"/>
      <c r="K41" s="35"/>
      <c r="L41" s="37">
        <f>-(SUM(Bilans_E_AMS_Kyoto_run3_2050!N13:N16)+SUM(Bilans_E_AMS_Kyoto_run3_2050!G13:G16))</f>
        <v>44.872522735898585</v>
      </c>
      <c r="M41" s="35"/>
      <c r="N41" s="35"/>
      <c r="O41" s="35"/>
      <c r="P41" s="35"/>
      <c r="Q41" s="541"/>
      <c r="R41" s="508">
        <f>SUM(Q36:Q47)-S41</f>
        <v>0</v>
      </c>
      <c r="S41" s="191">
        <f>SUM(T36:X46)</f>
        <v>413.74344603709147</v>
      </c>
      <c r="T41" s="83">
        <f>Bilans_E_AMS_Kyoto_run3_2050!N$38+Bilans_E_AMS_Kyoto_run3_2050!G$38</f>
        <v>6.8596219696114309</v>
      </c>
      <c r="U41" s="83">
        <f>Bilans_E_AMS_Kyoto_run3_2050!N$34+Bilans_E_AMS_Kyoto_run3_2050!G$34</f>
        <v>0</v>
      </c>
      <c r="V41" s="83">
        <f>Bilans_E_AMS_Kyoto_run3_2050!N$36+Bilans_E_AMS_Kyoto_run3_2050!G$36</f>
        <v>0</v>
      </c>
      <c r="W41" s="83">
        <f>Bilans_E_AMS_Kyoto_run3_2050!N$37+Bilans_E_AMS_Kyoto_run3_2050!G$37</f>
        <v>0</v>
      </c>
      <c r="X41" s="84">
        <f>Bilans_E_AMS_Kyoto_run3_2050!N$35+Bilans_E_AMS_Kyoto_run3_2050!G$35</f>
        <v>21.896930013474247</v>
      </c>
      <c r="Y41" s="489">
        <f t="shared" si="6"/>
        <v>28.756551983085679</v>
      </c>
      <c r="Z41" s="489">
        <f>G41-Y41-L41</f>
        <v>10.939475194884615</v>
      </c>
    </row>
    <row r="42" spans="1:26" x14ac:dyDescent="0.25">
      <c r="A42" s="739"/>
      <c r="B42" s="1" t="s">
        <v>38</v>
      </c>
      <c r="C42" s="33">
        <f>Bilans_E_AMS_Kyoto_run3_2050!E18+Bilans_E_AMS_Kyoto_run3_2050!F18-Bilans_E_AMS_Kyoto_run3_2050!F21-Bilans_E_AMS_Kyoto_run3_2050!F22-E54-SUM(T43:X43)-(Bilans_E_AMS_Kyoto_run3_2050!E20+Bilans_E_AMS_Kyoto_run3_2050!F20+Bilans_E_AMS_Kyoto_run3_2050!E19+Bilans_E_AMS_Kyoto_run3_2050!F19)</f>
        <v>6.1693432573789977</v>
      </c>
      <c r="D42" s="539"/>
      <c r="E42" s="17">
        <f>Bilans_E_AMS_Kyoto_run3_2050!F30+Bilans_E_AMS_Kyoto_run3_2050!U25+Bilans_E_AMS_Kyoto_run3_2050!F29+Bilans_E_AMS_Kyoto_run3_2050!E29</f>
        <v>3.604739266804275</v>
      </c>
      <c r="F42" s="539"/>
      <c r="G42" s="17">
        <f t="shared" si="5"/>
        <v>2.5646039905747227</v>
      </c>
      <c r="H42" s="539"/>
      <c r="I42" s="498"/>
      <c r="J42" s="37"/>
      <c r="K42" s="35"/>
      <c r="L42" s="35"/>
      <c r="M42" s="35"/>
      <c r="N42" s="35"/>
      <c r="O42" s="35"/>
      <c r="P42" s="35"/>
      <c r="Q42" s="36">
        <f>G42</f>
        <v>2.5646039905747227</v>
      </c>
      <c r="R42" s="508"/>
      <c r="S42" s="539"/>
      <c r="T42" s="83">
        <v>0</v>
      </c>
      <c r="U42" s="83">
        <v>0</v>
      </c>
      <c r="V42" s="83">
        <v>0</v>
      </c>
      <c r="W42" s="83">
        <v>0</v>
      </c>
      <c r="X42" s="84">
        <f>Bilans_E_AMS_Kyoto_run3_2050!F35</f>
        <v>2.5646039905747262</v>
      </c>
      <c r="Y42" s="489">
        <f t="shared" si="6"/>
        <v>2.5646039905747262</v>
      </c>
      <c r="Z42" s="489">
        <f>Q42-SUM(T42:X42)</f>
        <v>-3.5527136788005009E-15</v>
      </c>
    </row>
    <row r="43" spans="1:26" x14ac:dyDescent="0.25">
      <c r="A43" s="739"/>
      <c r="B43" s="1" t="s">
        <v>39</v>
      </c>
      <c r="C43" s="33">
        <f>Bilans_E_AMS_Kyoto_run3_2050!F41+SUM(T43:X43)</f>
        <v>91.449774750937181</v>
      </c>
      <c r="D43" s="539"/>
      <c r="E43" s="38"/>
      <c r="F43" s="539"/>
      <c r="G43" s="17">
        <f>C43-E43</f>
        <v>91.449774750937181</v>
      </c>
      <c r="H43" s="539"/>
      <c r="I43" s="35"/>
      <c r="J43" s="37"/>
      <c r="K43" s="35"/>
      <c r="L43" s="35"/>
      <c r="M43" s="35"/>
      <c r="N43" s="35"/>
      <c r="O43" s="35"/>
      <c r="P43" s="35"/>
      <c r="Q43" s="36">
        <f>G43-Bilans_E_AMS_Kyoto_run3_2050!F41</f>
        <v>7.2940199434995634E-2</v>
      </c>
      <c r="R43" s="508"/>
      <c r="S43" s="539"/>
      <c r="T43" s="83">
        <f>Bilans_E_AMS_Kyoto_run3_2050!F38</f>
        <v>0</v>
      </c>
      <c r="U43" s="83">
        <f>Bilans_E_AMS_Kyoto_run3_2050!F34</f>
        <v>0</v>
      </c>
      <c r="V43" s="83">
        <f>Bilans_E_AMS_Kyoto_run3_2050!F36</f>
        <v>1.33686813190731E-2</v>
      </c>
      <c r="W43" s="83">
        <f>Bilans_E_AMS_Kyoto_run3_2050!F37</f>
        <v>5.9571518115922428E-2</v>
      </c>
      <c r="X43" s="84">
        <v>0</v>
      </c>
      <c r="Y43" s="489">
        <f t="shared" si="6"/>
        <v>7.2940199434995523E-2</v>
      </c>
      <c r="Z43" s="489">
        <f>Q43-SUM(T43:X43)</f>
        <v>1.1102230246251565E-16</v>
      </c>
    </row>
    <row r="44" spans="1:26" x14ac:dyDescent="0.25">
      <c r="A44" s="739"/>
      <c r="B44" s="1" t="s">
        <v>40</v>
      </c>
      <c r="C44" s="33">
        <f>SUM(T44:X44)</f>
        <v>7.3058555419217219</v>
      </c>
      <c r="D44" s="539"/>
      <c r="E44" s="38"/>
      <c r="F44" s="539"/>
      <c r="G44" s="17">
        <f t="shared" si="1"/>
        <v>7.3058555419217219</v>
      </c>
      <c r="H44" s="539"/>
      <c r="I44" s="35"/>
      <c r="J44" s="37"/>
      <c r="K44" s="35"/>
      <c r="L44" s="35"/>
      <c r="M44" s="35"/>
      <c r="N44" s="35"/>
      <c r="O44" s="35"/>
      <c r="P44" s="35"/>
      <c r="Q44" s="36">
        <f>G44-Bilans_E_AMS_Kyoto_run3_2050!M41</f>
        <v>7.3058555419217219</v>
      </c>
      <c r="R44" s="498"/>
      <c r="S44" s="539"/>
      <c r="T44" s="83">
        <f>Bilans_E_AMS_Kyoto_run3_2050!M$38</f>
        <v>0</v>
      </c>
      <c r="U44" s="83">
        <f>Bilans_E_AMS_Kyoto_run3_2050!M$34</f>
        <v>7.3058555419217219</v>
      </c>
      <c r="V44" s="83">
        <f>Bilans_E_AMS_Kyoto_run3_2050!M$36</f>
        <v>0</v>
      </c>
      <c r="W44" s="83">
        <f>Bilans_E_AMS_Kyoto_run3_2050!M$37</f>
        <v>0</v>
      </c>
      <c r="X44" s="84">
        <f>Bilans_E_AMS_Kyoto_run3_2050!M$35</f>
        <v>0</v>
      </c>
      <c r="Y44" s="489">
        <f t="shared" si="6"/>
        <v>7.3058555419217219</v>
      </c>
      <c r="Z44" s="489">
        <f t="shared" si="7"/>
        <v>0</v>
      </c>
    </row>
    <row r="45" spans="1:26" x14ac:dyDescent="0.25">
      <c r="A45" s="739"/>
      <c r="B45" s="1" t="s">
        <v>41</v>
      </c>
      <c r="C45" s="33">
        <f>E53</f>
        <v>7.019987079045241</v>
      </c>
      <c r="D45" s="539"/>
      <c r="E45" s="38"/>
      <c r="F45" s="539"/>
      <c r="G45" s="17">
        <f t="shared" si="1"/>
        <v>7.019987079045241</v>
      </c>
      <c r="H45" s="539"/>
      <c r="I45" s="35"/>
      <c r="J45" s="37"/>
      <c r="K45" s="35"/>
      <c r="L45" s="35"/>
      <c r="M45" s="35"/>
      <c r="N45" s="35"/>
      <c r="O45" s="35"/>
      <c r="P45" s="35"/>
      <c r="Q45" s="36">
        <f>G45-Bilans_E_AMS_Kyoto_run3_2050!H41</f>
        <v>0</v>
      </c>
      <c r="R45" s="498"/>
      <c r="S45" s="539"/>
      <c r="T45" s="84">
        <v>0</v>
      </c>
      <c r="U45" s="83">
        <v>0</v>
      </c>
      <c r="V45" s="84">
        <v>0</v>
      </c>
      <c r="W45" s="92">
        <v>0</v>
      </c>
      <c r="X45" s="84">
        <v>0</v>
      </c>
      <c r="Y45" s="489">
        <f t="shared" si="6"/>
        <v>0</v>
      </c>
      <c r="Z45" s="489">
        <f>Q45-Y45</f>
        <v>0</v>
      </c>
    </row>
    <row r="46" spans="1:26" x14ac:dyDescent="0.25">
      <c r="A46" s="739"/>
      <c r="B46" s="1" t="s">
        <v>42</v>
      </c>
      <c r="C46" s="33">
        <f>Bilans_E_AMS_Kyoto_run3_2050!D18-C18-C34</f>
        <v>0</v>
      </c>
      <c r="D46" s="539"/>
      <c r="E46" s="511"/>
      <c r="F46" s="539"/>
      <c r="G46" s="17">
        <f>C46-E46</f>
        <v>0</v>
      </c>
      <c r="H46" s="539"/>
      <c r="I46" s="38"/>
      <c r="J46" s="37"/>
      <c r="K46" s="35"/>
      <c r="L46" s="35"/>
      <c r="M46" s="35"/>
      <c r="N46" s="35"/>
      <c r="O46" s="35"/>
      <c r="P46" s="35"/>
      <c r="Q46" s="36">
        <f>G46-(Bilans_E_AMS_Kyoto_run3_2050!D41+Bilans_E_AMS_Kyoto_run3_2050!D29+Bilans_E_AMS_Kyoto_run3_2050!D30)</f>
        <v>0</v>
      </c>
      <c r="R46" s="498"/>
      <c r="S46" s="539"/>
      <c r="T46" s="506">
        <f>Bilans_E_AMS_Kyoto_run3_2050!D38</f>
        <v>0</v>
      </c>
      <c r="U46" s="93">
        <f>Bilans_E_AMS_Kyoto_run3_2050!D34</f>
        <v>0</v>
      </c>
      <c r="V46" s="506">
        <f>Bilans_E_AMS_Kyoto_run3_2050!D36</f>
        <v>0</v>
      </c>
      <c r="W46" s="507">
        <f>Bilans_E_AMS_Kyoto_run3_2050!D37</f>
        <v>0</v>
      </c>
      <c r="X46" s="506">
        <f>Bilans_E_AMS_Kyoto_run3_2050!D35</f>
        <v>0</v>
      </c>
      <c r="Y46" s="489">
        <f t="shared" si="6"/>
        <v>0</v>
      </c>
      <c r="Z46" s="489">
        <f>Q46-Y46</f>
        <v>0</v>
      </c>
    </row>
    <row r="47" spans="1:26" x14ac:dyDescent="0.25">
      <c r="A47" s="90"/>
      <c r="B47" s="1" t="s">
        <v>31</v>
      </c>
      <c r="C47" s="33">
        <f>E57</f>
        <v>6.6285490677230623</v>
      </c>
      <c r="D47" s="192"/>
      <c r="E47" s="511"/>
      <c r="F47" s="192"/>
      <c r="G47" s="17">
        <f>C47-E47</f>
        <v>6.6285490677230623</v>
      </c>
      <c r="H47" s="192"/>
      <c r="I47" s="38"/>
      <c r="J47" s="37"/>
      <c r="K47" s="35"/>
      <c r="L47" s="35"/>
      <c r="M47" s="35"/>
      <c r="N47" s="35"/>
      <c r="O47" s="35"/>
      <c r="P47" s="35"/>
      <c r="Q47" s="542">
        <f>G47-Bilans_E_AMS_Kyoto_run3_2050!T41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C5-L13-SUM(L21:L24)-L30-L41-Bilans_E_AMS_Kyoto_run3_2050!U18</f>
        <v>0</v>
      </c>
      <c r="D49" s="1"/>
      <c r="E49" s="34">
        <f>SUM(E7:E47)+I13-Bilans_E_AMS_Kyoto_run3_2050!U32+K13+SUM(K21:K24)+K30+Bilans_E_AMS_Kyoto_run3_2050!D29+Bilans_E_AMS_Kyoto_run3_2050!D30</f>
        <v>-1.3233858453531866E-13</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566.73573447185902</v>
      </c>
    </row>
    <row r="52" spans="1:19" x14ac:dyDescent="0.25">
      <c r="A52" s="21"/>
      <c r="B52" s="1" t="s">
        <v>44</v>
      </c>
      <c r="C52" s="44"/>
      <c r="D52" s="1"/>
      <c r="E52" s="39">
        <f>Bilans_E_AMS_Kyoto_run3_2050!D41+Bilans_E_AMS_Kyoto_run3_2050!D29+Bilans_E_AMS_Kyoto_run3_2050!D30</f>
        <v>0</v>
      </c>
      <c r="F52" s="187"/>
      <c r="G52" s="1"/>
      <c r="H52" s="1"/>
      <c r="I52" s="30"/>
      <c r="J52" s="17"/>
      <c r="K52" s="17"/>
      <c r="L52" s="21"/>
      <c r="M52" s="1"/>
      <c r="N52" s="17"/>
      <c r="O52" s="17"/>
      <c r="P52" s="17"/>
      <c r="Q52" s="1"/>
      <c r="S52" s="33"/>
    </row>
    <row r="53" spans="1:19" x14ac:dyDescent="0.25">
      <c r="A53" s="21"/>
      <c r="B53" s="1" t="s">
        <v>41</v>
      </c>
      <c r="C53" s="45"/>
      <c r="D53" s="17"/>
      <c r="E53" s="433">
        <f>Bilans_E_AMS_Kyoto_run3_2050!H41+Bilans_E_AMS_Kyoto_run3_2050!H29</f>
        <v>7.019987079045241</v>
      </c>
      <c r="F53" s="187"/>
      <c r="G53" s="1"/>
      <c r="H53" s="1"/>
      <c r="I53" s="30"/>
      <c r="J53" s="17"/>
      <c r="K53" s="17"/>
      <c r="L53" s="21"/>
      <c r="M53" s="1"/>
      <c r="N53" s="17"/>
      <c r="O53" s="17"/>
      <c r="P53" s="17"/>
      <c r="Q53" s="1"/>
    </row>
    <row r="54" spans="1:19" x14ac:dyDescent="0.25">
      <c r="A54" s="21"/>
      <c r="B54" s="1" t="s">
        <v>39</v>
      </c>
      <c r="C54" s="45"/>
      <c r="D54" s="17"/>
      <c r="E54" s="435">
        <f>Bilans_E_AMS_Kyoto_run3_2050!F41</f>
        <v>91.376834551502185</v>
      </c>
      <c r="F54" s="187"/>
      <c r="G54" s="1"/>
      <c r="H54" s="1"/>
      <c r="I54" s="30"/>
      <c r="J54" s="17"/>
      <c r="K54" s="17"/>
      <c r="L54" s="21"/>
      <c r="M54" s="21"/>
      <c r="N54" s="17"/>
      <c r="O54" s="17"/>
      <c r="P54" s="17"/>
      <c r="Q54" s="1"/>
    </row>
    <row r="55" spans="1:19" x14ac:dyDescent="0.25">
      <c r="B55" s="1" t="s">
        <v>21</v>
      </c>
      <c r="E55" s="631">
        <f>Bilans_E_AMS_Kyoto_run3_2050!O41+Bilans_E_AMS_Kyoto_run3_2050!O29</f>
        <v>0</v>
      </c>
    </row>
    <row r="56" spans="1:19" x14ac:dyDescent="0.25">
      <c r="B56" s="1" t="s">
        <v>37</v>
      </c>
      <c r="E56" s="631">
        <f>Bilans_E_AMS_Kyoto_run3_2050!N41+Bilans_E_AMS_Kyoto_run3_2050!N29+Bilans_E_AMS_Kyoto_run3_2050!G41</f>
        <v>10.939475194884611</v>
      </c>
    </row>
    <row r="57" spans="1:19" x14ac:dyDescent="0.25">
      <c r="B57" s="1" t="s">
        <v>31</v>
      </c>
      <c r="E57" s="631">
        <f>Bilans_E_AMS_Kyoto_run3_2050!T41</f>
        <v>6.6285490677230623</v>
      </c>
    </row>
    <row r="58" spans="1:19" x14ac:dyDescent="0.25">
      <c r="B58" s="1" t="s">
        <v>335</v>
      </c>
      <c r="E58" s="631">
        <f>Bilans_E_AMS_Kyoto_run3_2050!L41</f>
        <v>0.61184558011433365</v>
      </c>
    </row>
    <row r="59" spans="1:19" x14ac:dyDescent="0.25">
      <c r="E59" s="632"/>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570EF-8A54-4A4F-8E1D-80EA4F85A0D2}">
  <dimension ref="C3:U81"/>
  <sheetViews>
    <sheetView workbookViewId="0"/>
  </sheetViews>
  <sheetFormatPr baseColWidth="10" defaultRowHeight="15" x14ac:dyDescent="0.25"/>
  <sheetData>
    <row r="3" spans="3:21" x14ac:dyDescent="0.25">
      <c r="C3" t="s">
        <v>565</v>
      </c>
    </row>
    <row r="7" spans="3:21" x14ac:dyDescent="0.25">
      <c r="C7" s="750" t="s">
        <v>566</v>
      </c>
      <c r="D7" s="750"/>
      <c r="E7" s="750"/>
      <c r="F7" s="750"/>
      <c r="G7" s="750"/>
      <c r="H7" s="750"/>
      <c r="I7" s="750"/>
      <c r="J7" s="750"/>
      <c r="K7" s="750"/>
      <c r="L7" s="750"/>
      <c r="M7" s="750"/>
      <c r="N7" s="750"/>
      <c r="O7" s="750"/>
      <c r="P7" s="750"/>
      <c r="Q7" s="750"/>
      <c r="R7" s="750"/>
      <c r="S7" s="750"/>
      <c r="T7" s="750"/>
      <c r="U7" s="750"/>
    </row>
    <row r="10" spans="3:21" x14ac:dyDescent="0.25">
      <c r="C10" s="751" t="s">
        <v>128</v>
      </c>
      <c r="D10" s="752" t="s">
        <v>42</v>
      </c>
      <c r="E10" s="752" t="s">
        <v>52</v>
      </c>
      <c r="F10" s="752" t="s">
        <v>53</v>
      </c>
      <c r="G10" s="753" t="s">
        <v>482</v>
      </c>
      <c r="H10" s="752" t="s">
        <v>32</v>
      </c>
      <c r="I10" s="753" t="s">
        <v>483</v>
      </c>
      <c r="J10" s="752" t="s">
        <v>20</v>
      </c>
      <c r="K10" s="752" t="s">
        <v>55</v>
      </c>
      <c r="L10" s="752" t="s">
        <v>56</v>
      </c>
      <c r="M10" s="752"/>
      <c r="N10" s="752"/>
      <c r="O10" s="752"/>
      <c r="P10" s="752"/>
      <c r="Q10" s="752"/>
      <c r="R10" s="753" t="s">
        <v>57</v>
      </c>
      <c r="S10" s="753" t="s">
        <v>58</v>
      </c>
      <c r="T10" s="753" t="s">
        <v>31</v>
      </c>
      <c r="U10" s="753" t="s">
        <v>10</v>
      </c>
    </row>
    <row r="11" spans="3:21" ht="36" x14ac:dyDescent="0.25">
      <c r="C11" s="751"/>
      <c r="D11" s="752"/>
      <c r="E11" s="752"/>
      <c r="F11" s="752"/>
      <c r="G11" s="754"/>
      <c r="H11" s="752"/>
      <c r="I11" s="754"/>
      <c r="J11" s="752"/>
      <c r="K11" s="752"/>
      <c r="L11" s="608" t="s">
        <v>335</v>
      </c>
      <c r="M11" s="608" t="s">
        <v>40</v>
      </c>
      <c r="N11" s="608" t="s">
        <v>343</v>
      </c>
      <c r="O11" s="608" t="s">
        <v>344</v>
      </c>
      <c r="P11" s="609" t="s">
        <v>345</v>
      </c>
      <c r="Q11" s="608" t="s">
        <v>346</v>
      </c>
      <c r="R11" s="754"/>
      <c r="S11" s="754"/>
      <c r="T11" s="754"/>
      <c r="U11" s="754"/>
    </row>
    <row r="12" spans="3:21" x14ac:dyDescent="0.25">
      <c r="C12" s="610" t="s">
        <v>59</v>
      </c>
      <c r="D12" s="611">
        <v>0</v>
      </c>
      <c r="E12" s="611">
        <v>9.7687711891069995</v>
      </c>
      <c r="F12" s="611">
        <v>0</v>
      </c>
      <c r="G12" s="611">
        <v>0</v>
      </c>
      <c r="H12" s="611">
        <v>0.20697699999999999</v>
      </c>
      <c r="I12" s="611">
        <v>0</v>
      </c>
      <c r="J12" s="611">
        <v>893.12435757575759</v>
      </c>
      <c r="K12" s="611">
        <v>103.64353300000001</v>
      </c>
      <c r="L12" s="611">
        <v>117.69580222222223</v>
      </c>
      <c r="M12" s="611">
        <v>36.059277500000007</v>
      </c>
      <c r="N12" s="611">
        <v>21.293747609813924</v>
      </c>
      <c r="O12" s="611">
        <v>19.09634888888889</v>
      </c>
      <c r="P12" s="611">
        <v>44.937632500000007</v>
      </c>
      <c r="Q12" s="611">
        <v>7.8263116666666663</v>
      </c>
      <c r="R12" s="611">
        <v>0</v>
      </c>
      <c r="S12" s="611">
        <v>0</v>
      </c>
      <c r="T12" s="612">
        <v>0</v>
      </c>
      <c r="U12" s="619">
        <v>1253.6527591524564</v>
      </c>
    </row>
    <row r="13" spans="3:21" x14ac:dyDescent="0.25">
      <c r="C13" s="610" t="s">
        <v>60</v>
      </c>
      <c r="D13" s="611">
        <v>70.696529036583328</v>
      </c>
      <c r="E13" s="611">
        <v>489.10747879497609</v>
      </c>
      <c r="F13" s="611">
        <v>480.218769893223</v>
      </c>
      <c r="G13" s="611">
        <v>0</v>
      </c>
      <c r="H13" s="611">
        <v>575.54527200000007</v>
      </c>
      <c r="I13" s="611">
        <v>0</v>
      </c>
      <c r="J13" s="611">
        <v>0</v>
      </c>
      <c r="K13" s="611">
        <v>0</v>
      </c>
      <c r="L13" s="611">
        <v>4.910486184722223</v>
      </c>
      <c r="M13" s="611">
        <v>0</v>
      </c>
      <c r="N13" s="611">
        <v>23.794497596983739</v>
      </c>
      <c r="O13" s="611">
        <v>0</v>
      </c>
      <c r="P13" s="611">
        <v>0</v>
      </c>
      <c r="Q13" s="611">
        <v>0</v>
      </c>
      <c r="R13" s="611">
        <v>52.437269000000001</v>
      </c>
      <c r="S13" s="611">
        <v>0</v>
      </c>
      <c r="T13" s="612">
        <v>0</v>
      </c>
      <c r="U13" s="619">
        <v>1696.7103025064885</v>
      </c>
    </row>
    <row r="14" spans="3:21" x14ac:dyDescent="0.25">
      <c r="C14" s="610" t="s">
        <v>61</v>
      </c>
      <c r="D14" s="611">
        <v>-6.6680977160000016E-2</v>
      </c>
      <c r="E14" s="611">
        <v>-0.592113315867</v>
      </c>
      <c r="F14" s="611">
        <v>-160.78978223936102</v>
      </c>
      <c r="G14" s="611">
        <v>0</v>
      </c>
      <c r="H14" s="611">
        <v>-154.17159475000003</v>
      </c>
      <c r="I14" s="611">
        <v>0</v>
      </c>
      <c r="J14" s="611">
        <v>0</v>
      </c>
      <c r="K14" s="611">
        <v>0</v>
      </c>
      <c r="L14" s="611">
        <v>-2.5931308486111102</v>
      </c>
      <c r="M14" s="611">
        <v>0</v>
      </c>
      <c r="N14" s="611">
        <v>-5.9763284175120699</v>
      </c>
      <c r="O14" s="611">
        <v>0</v>
      </c>
      <c r="P14" s="611">
        <v>0</v>
      </c>
      <c r="Q14" s="611">
        <v>0</v>
      </c>
      <c r="R14" s="611">
        <v>-37.492745999999997</v>
      </c>
      <c r="S14" s="611">
        <v>0</v>
      </c>
      <c r="T14" s="612">
        <v>0</v>
      </c>
      <c r="U14" s="619">
        <v>-361.68237654851123</v>
      </c>
    </row>
    <row r="15" spans="3:21" x14ac:dyDescent="0.25">
      <c r="C15" s="610" t="s">
        <v>62</v>
      </c>
      <c r="D15" s="611">
        <v>0</v>
      </c>
      <c r="E15" s="611">
        <v>0</v>
      </c>
      <c r="F15" s="611">
        <v>-13.57819899643</v>
      </c>
      <c r="G15" s="611">
        <v>0</v>
      </c>
      <c r="H15" s="611">
        <v>0</v>
      </c>
      <c r="I15" s="611">
        <v>0</v>
      </c>
      <c r="J15" s="611">
        <v>0</v>
      </c>
      <c r="K15" s="611">
        <v>0</v>
      </c>
      <c r="L15" s="611">
        <v>0</v>
      </c>
      <c r="M15" s="611">
        <v>0</v>
      </c>
      <c r="N15" s="611">
        <v>0</v>
      </c>
      <c r="O15" s="611">
        <v>0</v>
      </c>
      <c r="P15" s="611">
        <v>0</v>
      </c>
      <c r="Q15" s="611">
        <v>0</v>
      </c>
      <c r="R15" s="611">
        <v>0</v>
      </c>
      <c r="S15" s="611">
        <v>0</v>
      </c>
      <c r="T15" s="611">
        <v>0</v>
      </c>
      <c r="U15" s="619">
        <v>-13.57819899643</v>
      </c>
    </row>
    <row r="16" spans="3:21" x14ac:dyDescent="0.25">
      <c r="C16" s="610" t="s">
        <v>63</v>
      </c>
      <c r="D16" s="611">
        <v>0</v>
      </c>
      <c r="E16" s="611">
        <v>0</v>
      </c>
      <c r="F16" s="611">
        <v>-55.293130453701998</v>
      </c>
      <c r="G16" s="611">
        <v>0</v>
      </c>
      <c r="H16" s="611">
        <v>0</v>
      </c>
      <c r="I16" s="611">
        <v>0</v>
      </c>
      <c r="J16" s="611">
        <v>0</v>
      </c>
      <c r="K16" s="611">
        <v>0</v>
      </c>
      <c r="L16" s="611">
        <v>0</v>
      </c>
      <c r="M16" s="611">
        <v>0</v>
      </c>
      <c r="N16" s="611">
        <v>0</v>
      </c>
      <c r="O16" s="611">
        <v>0</v>
      </c>
      <c r="P16" s="611">
        <v>0</v>
      </c>
      <c r="Q16" s="611">
        <v>0</v>
      </c>
      <c r="R16" s="611">
        <v>0</v>
      </c>
      <c r="S16" s="611">
        <v>0</v>
      </c>
      <c r="T16" s="611">
        <v>0</v>
      </c>
      <c r="U16" s="619">
        <v>-55.293130453701998</v>
      </c>
    </row>
    <row r="17" spans="3:21" x14ac:dyDescent="0.25">
      <c r="C17" s="610" t="s">
        <v>64</v>
      </c>
      <c r="D17" s="611">
        <v>-2.737906661966667</v>
      </c>
      <c r="E17" s="611">
        <v>-2.6060896919550007</v>
      </c>
      <c r="F17" s="611">
        <v>2.3041623815640007</v>
      </c>
      <c r="G17" s="611">
        <v>0</v>
      </c>
      <c r="H17" s="611">
        <v>-35.140381000000005</v>
      </c>
      <c r="I17" s="611">
        <v>0</v>
      </c>
      <c r="J17" s="611">
        <v>0</v>
      </c>
      <c r="K17" s="611">
        <v>0</v>
      </c>
      <c r="L17" s="611">
        <v>0</v>
      </c>
      <c r="M17" s="611">
        <v>0</v>
      </c>
      <c r="N17" s="611">
        <v>0</v>
      </c>
      <c r="O17" s="611">
        <v>0</v>
      </c>
      <c r="P17" s="611">
        <v>0</v>
      </c>
      <c r="Q17" s="611">
        <v>0</v>
      </c>
      <c r="R17" s="611">
        <v>0</v>
      </c>
      <c r="S17" s="611">
        <v>0</v>
      </c>
      <c r="T17" s="612">
        <v>0</v>
      </c>
      <c r="U17" s="619">
        <v>-38.180214972357675</v>
      </c>
    </row>
    <row r="18" spans="3:21" x14ac:dyDescent="0.25">
      <c r="C18" s="614" t="s">
        <v>65</v>
      </c>
      <c r="D18" s="615">
        <v>67.891941397456662</v>
      </c>
      <c r="E18" s="615">
        <v>495.6780469762611</v>
      </c>
      <c r="F18" s="615">
        <v>252.86182058529403</v>
      </c>
      <c r="G18" s="615">
        <v>0</v>
      </c>
      <c r="H18" s="615">
        <v>386.44027325000008</v>
      </c>
      <c r="I18" s="615">
        <v>0</v>
      </c>
      <c r="J18" s="615">
        <v>893.12435757575759</v>
      </c>
      <c r="K18" s="615">
        <v>103.64353300000001</v>
      </c>
      <c r="L18" s="615">
        <v>120.01315755833333</v>
      </c>
      <c r="M18" s="615">
        <v>36.059277500000007</v>
      </c>
      <c r="N18" s="615">
        <v>39.111916789285594</v>
      </c>
      <c r="O18" s="615">
        <v>19.09634888888889</v>
      </c>
      <c r="P18" s="615">
        <v>44.937632500000007</v>
      </c>
      <c r="Q18" s="615">
        <v>7.8263116666666663</v>
      </c>
      <c r="R18" s="615">
        <v>14.944523000000004</v>
      </c>
      <c r="S18" s="615">
        <v>0</v>
      </c>
      <c r="T18" s="615">
        <v>0</v>
      </c>
      <c r="U18" s="615">
        <v>2481.6291406879445</v>
      </c>
    </row>
    <row r="19" spans="3:21" x14ac:dyDescent="0.25">
      <c r="C19" s="616"/>
      <c r="D19" s="617"/>
      <c r="E19" s="617"/>
      <c r="F19" s="617"/>
      <c r="G19" s="617"/>
      <c r="H19" s="617"/>
      <c r="I19" s="617"/>
      <c r="J19" s="617"/>
      <c r="K19" s="617"/>
      <c r="L19" s="617"/>
      <c r="M19" s="617"/>
      <c r="N19" s="617"/>
      <c r="O19" s="617"/>
      <c r="P19" s="617"/>
      <c r="Q19" s="617"/>
      <c r="R19" s="617"/>
      <c r="S19" s="617"/>
      <c r="T19" s="617"/>
      <c r="U19" s="617"/>
    </row>
    <row r="20" spans="3:21" x14ac:dyDescent="0.25">
      <c r="C20" s="618" t="s">
        <v>67</v>
      </c>
      <c r="D20" s="611">
        <v>-3.0825720576211109</v>
      </c>
      <c r="E20" s="611">
        <v>2.8115238843852111</v>
      </c>
      <c r="F20" s="611">
        <v>-2.0474379480870146</v>
      </c>
      <c r="G20" s="611">
        <v>0</v>
      </c>
      <c r="H20" s="611">
        <v>-4.6471697500000007</v>
      </c>
      <c r="I20" s="611">
        <v>0</v>
      </c>
      <c r="J20" s="611">
        <v>0</v>
      </c>
      <c r="K20" s="611">
        <v>0</v>
      </c>
      <c r="L20" s="611">
        <v>0</v>
      </c>
      <c r="M20" s="611">
        <v>0</v>
      </c>
      <c r="N20" s="611">
        <v>0</v>
      </c>
      <c r="O20" s="611">
        <v>0</v>
      </c>
      <c r="P20" s="611">
        <v>0</v>
      </c>
      <c r="Q20" s="611">
        <v>0</v>
      </c>
      <c r="R20" s="611">
        <v>1.1808620000000229</v>
      </c>
      <c r="S20" s="611">
        <v>0</v>
      </c>
      <c r="T20" s="611">
        <v>0</v>
      </c>
      <c r="U20" s="619">
        <v>-5.7847938713228917</v>
      </c>
    </row>
    <row r="21" spans="3:21" x14ac:dyDescent="0.25">
      <c r="C21" s="618" t="s">
        <v>347</v>
      </c>
      <c r="D21" s="611">
        <v>16.245756033005371</v>
      </c>
      <c r="E21" s="611">
        <v>0</v>
      </c>
      <c r="F21" s="611">
        <v>15.094581533775113</v>
      </c>
      <c r="G21" s="611">
        <v>0</v>
      </c>
      <c r="H21" s="611">
        <v>70.360898020454528</v>
      </c>
      <c r="I21" s="611">
        <v>0</v>
      </c>
      <c r="J21" s="611">
        <v>893.12435757575759</v>
      </c>
      <c r="K21" s="611">
        <v>103.64353300000001</v>
      </c>
      <c r="L21" s="611">
        <v>20.200103710650659</v>
      </c>
      <c r="M21" s="611">
        <v>11.527321338888887</v>
      </c>
      <c r="N21" s="611">
        <v>0</v>
      </c>
      <c r="O21" s="611">
        <v>6.5700616208055544</v>
      </c>
      <c r="P21" s="611">
        <v>0</v>
      </c>
      <c r="Q21" s="611">
        <v>0</v>
      </c>
      <c r="R21" s="611">
        <v>-469.21647900000005</v>
      </c>
      <c r="S21" s="611">
        <v>0</v>
      </c>
      <c r="T21" s="611">
        <v>0</v>
      </c>
      <c r="U21" s="688">
        <v>667.55013383333755</v>
      </c>
    </row>
    <row r="22" spans="3:21" x14ac:dyDescent="0.25">
      <c r="C22" s="618" t="s">
        <v>348</v>
      </c>
      <c r="D22" s="611">
        <v>1.6487919881779634</v>
      </c>
      <c r="E22" s="611">
        <v>0</v>
      </c>
      <c r="F22" s="611">
        <v>2.5787453844178874</v>
      </c>
      <c r="G22" s="611">
        <v>0</v>
      </c>
      <c r="H22" s="611">
        <v>20.52222797954547</v>
      </c>
      <c r="I22" s="611">
        <v>0</v>
      </c>
      <c r="J22" s="611">
        <v>0</v>
      </c>
      <c r="K22" s="611">
        <v>0</v>
      </c>
      <c r="L22" s="611">
        <v>9.4859154560160093</v>
      </c>
      <c r="M22" s="611">
        <v>17.033252272222217</v>
      </c>
      <c r="N22" s="611">
        <v>0</v>
      </c>
      <c r="O22" s="611">
        <v>2.9531469903055561</v>
      </c>
      <c r="P22" s="611">
        <v>0.501695</v>
      </c>
      <c r="Q22" s="611">
        <v>4.6370516666666663</v>
      </c>
      <c r="R22" s="611">
        <v>0</v>
      </c>
      <c r="S22" s="611">
        <v>-50.953749166666668</v>
      </c>
      <c r="T22" s="611">
        <v>0</v>
      </c>
      <c r="U22" s="688">
        <v>8.4070775706850895</v>
      </c>
    </row>
    <row r="23" spans="3:21" x14ac:dyDescent="0.25">
      <c r="C23" s="618" t="s">
        <v>349</v>
      </c>
      <c r="D23" s="611">
        <v>0</v>
      </c>
      <c r="E23" s="611">
        <v>0</v>
      </c>
      <c r="F23" s="611">
        <v>0</v>
      </c>
      <c r="G23" s="611">
        <v>0</v>
      </c>
      <c r="H23" s="611">
        <v>-6.2777175000000005</v>
      </c>
      <c r="I23" s="611">
        <v>0</v>
      </c>
      <c r="J23" s="611">
        <v>0</v>
      </c>
      <c r="K23" s="611">
        <v>0</v>
      </c>
      <c r="L23" s="611">
        <v>0</v>
      </c>
      <c r="M23" s="611">
        <v>0</v>
      </c>
      <c r="N23" s="611">
        <v>0</v>
      </c>
      <c r="O23" s="611">
        <v>6.2777175000000005</v>
      </c>
      <c r="P23" s="611">
        <v>0</v>
      </c>
      <c r="Q23" s="611">
        <v>0</v>
      </c>
      <c r="R23" s="611">
        <v>0</v>
      </c>
      <c r="S23" s="611">
        <v>0</v>
      </c>
      <c r="T23" s="611">
        <v>0</v>
      </c>
      <c r="U23" s="619">
        <v>0</v>
      </c>
    </row>
    <row r="24" spans="3:21" x14ac:dyDescent="0.25">
      <c r="C24" s="618" t="s">
        <v>350</v>
      </c>
      <c r="D24" s="611">
        <v>0</v>
      </c>
      <c r="E24" s="611">
        <v>0</v>
      </c>
      <c r="F24" s="611">
        <v>0</v>
      </c>
      <c r="G24" s="611">
        <v>0</v>
      </c>
      <c r="H24" s="611">
        <v>0</v>
      </c>
      <c r="I24" s="611">
        <v>0</v>
      </c>
      <c r="J24" s="611">
        <v>0</v>
      </c>
      <c r="K24" s="611">
        <v>0</v>
      </c>
      <c r="L24" s="611">
        <v>0</v>
      </c>
      <c r="M24" s="611">
        <v>0</v>
      </c>
      <c r="N24" s="611">
        <v>0</v>
      </c>
      <c r="O24" s="611">
        <v>0</v>
      </c>
      <c r="P24" s="611">
        <v>0</v>
      </c>
      <c r="Q24" s="611">
        <v>0</v>
      </c>
      <c r="R24" s="611">
        <v>0</v>
      </c>
      <c r="S24" s="611">
        <v>0</v>
      </c>
      <c r="T24" s="611">
        <v>0</v>
      </c>
      <c r="U24" s="619">
        <v>0</v>
      </c>
    </row>
    <row r="25" spans="3:21" x14ac:dyDescent="0.25">
      <c r="C25" s="618" t="s">
        <v>72</v>
      </c>
      <c r="D25" s="611">
        <v>0</v>
      </c>
      <c r="E25" s="611">
        <v>506.71688256605</v>
      </c>
      <c r="F25" s="611">
        <v>-500.21555860345802</v>
      </c>
      <c r="G25" s="611">
        <v>0</v>
      </c>
      <c r="H25" s="611">
        <v>0</v>
      </c>
      <c r="I25" s="611">
        <v>0</v>
      </c>
      <c r="J25" s="611">
        <v>0</v>
      </c>
      <c r="K25" s="611">
        <v>0</v>
      </c>
      <c r="L25" s="611">
        <v>0</v>
      </c>
      <c r="M25" s="611">
        <v>0</v>
      </c>
      <c r="N25" s="611">
        <v>0</v>
      </c>
      <c r="O25" s="611">
        <v>0</v>
      </c>
      <c r="P25" s="611">
        <v>0</v>
      </c>
      <c r="Q25" s="611">
        <v>0</v>
      </c>
      <c r="R25" s="611">
        <v>0</v>
      </c>
      <c r="S25" s="611">
        <v>0</v>
      </c>
      <c r="T25" s="611">
        <v>0</v>
      </c>
      <c r="U25" s="688">
        <v>6.5013239625919823</v>
      </c>
    </row>
    <row r="26" spans="3:21" x14ac:dyDescent="0.25">
      <c r="C26" s="618" t="s">
        <v>351</v>
      </c>
      <c r="D26" s="611">
        <v>0</v>
      </c>
      <c r="E26" s="611">
        <v>0</v>
      </c>
      <c r="F26" s="611">
        <v>0</v>
      </c>
      <c r="G26" s="611">
        <v>0</v>
      </c>
      <c r="H26" s="611">
        <v>0</v>
      </c>
      <c r="I26" s="611">
        <v>0</v>
      </c>
      <c r="J26" s="611">
        <v>0</v>
      </c>
      <c r="K26" s="611">
        <v>0</v>
      </c>
      <c r="L26" s="611">
        <v>0</v>
      </c>
      <c r="M26" s="611">
        <v>0</v>
      </c>
      <c r="N26" s="611">
        <v>0</v>
      </c>
      <c r="O26" s="611">
        <v>0</v>
      </c>
      <c r="P26" s="611">
        <v>0</v>
      </c>
      <c r="Q26" s="611">
        <v>0</v>
      </c>
      <c r="R26" s="611">
        <v>0</v>
      </c>
      <c r="S26" s="611">
        <v>0</v>
      </c>
      <c r="T26" s="611">
        <v>0</v>
      </c>
      <c r="U26" s="619">
        <v>0</v>
      </c>
    </row>
    <row r="27" spans="3:21" x14ac:dyDescent="0.25">
      <c r="C27" s="618" t="s">
        <v>352</v>
      </c>
      <c r="D27" s="611">
        <v>0</v>
      </c>
      <c r="E27" s="611">
        <v>0</v>
      </c>
      <c r="F27" s="611">
        <v>0</v>
      </c>
      <c r="G27" s="611">
        <v>0</v>
      </c>
      <c r="H27" s="611">
        <v>0</v>
      </c>
      <c r="I27" s="611">
        <v>0</v>
      </c>
      <c r="J27" s="611">
        <v>0</v>
      </c>
      <c r="K27" s="611">
        <v>0</v>
      </c>
      <c r="L27" s="611">
        <v>0</v>
      </c>
      <c r="M27" s="611">
        <v>0</v>
      </c>
      <c r="N27" s="611">
        <v>0</v>
      </c>
      <c r="O27" s="611">
        <v>0</v>
      </c>
      <c r="P27" s="611">
        <v>0</v>
      </c>
      <c r="Q27" s="611">
        <v>0</v>
      </c>
      <c r="R27" s="611">
        <v>0</v>
      </c>
      <c r="S27" s="611">
        <v>0</v>
      </c>
      <c r="T27" s="611">
        <v>0</v>
      </c>
      <c r="U27" s="619">
        <v>0</v>
      </c>
    </row>
    <row r="28" spans="3:21" x14ac:dyDescent="0.25">
      <c r="C28" s="618" t="s">
        <v>73</v>
      </c>
      <c r="D28" s="611">
        <v>0</v>
      </c>
      <c r="E28" s="611">
        <v>0</v>
      </c>
      <c r="F28" s="611">
        <v>0</v>
      </c>
      <c r="G28" s="611">
        <v>0</v>
      </c>
      <c r="H28" s="611">
        <v>0</v>
      </c>
      <c r="I28" s="611">
        <v>0</v>
      </c>
      <c r="J28" s="611">
        <v>0</v>
      </c>
      <c r="K28" s="611">
        <v>0</v>
      </c>
      <c r="L28" s="611">
        <v>0</v>
      </c>
      <c r="M28" s="611">
        <v>0</v>
      </c>
      <c r="N28" s="611">
        <v>0</v>
      </c>
      <c r="O28" s="611">
        <v>0</v>
      </c>
      <c r="P28" s="611">
        <v>0</v>
      </c>
      <c r="Q28" s="611">
        <v>0</v>
      </c>
      <c r="R28" s="611">
        <v>0</v>
      </c>
      <c r="S28" s="611">
        <v>0</v>
      </c>
      <c r="T28" s="611">
        <v>0</v>
      </c>
      <c r="U28" s="619">
        <v>0</v>
      </c>
    </row>
    <row r="29" spans="3:21" x14ac:dyDescent="0.25">
      <c r="C29" s="618" t="s">
        <v>353</v>
      </c>
      <c r="D29" s="611">
        <v>27.649311354550008</v>
      </c>
      <c r="E29" s="611">
        <v>-13.850359474173999</v>
      </c>
      <c r="F29" s="611">
        <v>12.344670908309999</v>
      </c>
      <c r="G29" s="611">
        <v>0</v>
      </c>
      <c r="H29" s="611">
        <v>0</v>
      </c>
      <c r="I29" s="611">
        <v>0</v>
      </c>
      <c r="J29" s="611">
        <v>0</v>
      </c>
      <c r="K29" s="611">
        <v>0</v>
      </c>
      <c r="L29" s="611">
        <v>0</v>
      </c>
      <c r="M29" s="611">
        <v>0</v>
      </c>
      <c r="N29" s="611">
        <v>0</v>
      </c>
      <c r="O29" s="611">
        <v>0</v>
      </c>
      <c r="P29" s="611">
        <v>0</v>
      </c>
      <c r="Q29" s="611">
        <v>0</v>
      </c>
      <c r="R29" s="611">
        <v>0</v>
      </c>
      <c r="S29" s="611">
        <v>0</v>
      </c>
      <c r="T29" s="611">
        <v>0</v>
      </c>
      <c r="U29" s="619">
        <v>26.14362278868601</v>
      </c>
    </row>
    <row r="30" spans="3:21" x14ac:dyDescent="0.25">
      <c r="C30" s="618" t="s">
        <v>75</v>
      </c>
      <c r="D30" s="611">
        <v>14.335724444444445</v>
      </c>
      <c r="E30" s="611">
        <v>0</v>
      </c>
      <c r="F30" s="611">
        <v>16.290176200521</v>
      </c>
      <c r="G30" s="611">
        <v>0</v>
      </c>
      <c r="H30" s="611">
        <v>5.0310437499999994</v>
      </c>
      <c r="I30" s="611">
        <v>0</v>
      </c>
      <c r="J30" s="611">
        <v>0</v>
      </c>
      <c r="K30" s="611">
        <v>0</v>
      </c>
      <c r="L30" s="611">
        <v>9.8000000000000004E-2</v>
      </c>
      <c r="M30" s="611">
        <v>0.03</v>
      </c>
      <c r="N30" s="611">
        <v>0.17177999999999999</v>
      </c>
      <c r="O30" s="611">
        <v>0</v>
      </c>
      <c r="P30" s="611">
        <v>0</v>
      </c>
      <c r="Q30" s="611">
        <v>0</v>
      </c>
      <c r="R30" s="611">
        <v>33.088101000000023</v>
      </c>
      <c r="S30" s="611">
        <v>0</v>
      </c>
      <c r="T30" s="611">
        <v>0</v>
      </c>
      <c r="U30" s="688">
        <v>69.044825394965471</v>
      </c>
    </row>
    <row r="31" spans="3:21" x14ac:dyDescent="0.25">
      <c r="C31" s="618" t="s">
        <v>76</v>
      </c>
      <c r="D31" s="611">
        <v>0</v>
      </c>
      <c r="E31" s="611">
        <v>0</v>
      </c>
      <c r="F31" s="611">
        <v>0</v>
      </c>
      <c r="G31" s="611">
        <v>0</v>
      </c>
      <c r="H31" s="611">
        <v>4.1836710000000004</v>
      </c>
      <c r="I31" s="611">
        <v>0</v>
      </c>
      <c r="J31" s="611">
        <v>0</v>
      </c>
      <c r="K31" s="611">
        <v>0</v>
      </c>
      <c r="L31" s="611">
        <v>0</v>
      </c>
      <c r="M31" s="611">
        <v>0</v>
      </c>
      <c r="N31" s="611">
        <v>0</v>
      </c>
      <c r="O31" s="611">
        <v>0</v>
      </c>
      <c r="P31" s="611">
        <v>0</v>
      </c>
      <c r="Q31" s="611">
        <v>0</v>
      </c>
      <c r="R31" s="611">
        <v>35.191692000000003</v>
      </c>
      <c r="S31" s="611">
        <v>4.6798827777777792</v>
      </c>
      <c r="T31" s="611">
        <v>0</v>
      </c>
      <c r="U31" s="688">
        <v>44.055245777777785</v>
      </c>
    </row>
    <row r="32" spans="3:21" x14ac:dyDescent="0.25">
      <c r="C32" s="614" t="s">
        <v>77</v>
      </c>
      <c r="D32" s="615">
        <v>56.797011762556679</v>
      </c>
      <c r="E32" s="615">
        <v>495.67804697626121</v>
      </c>
      <c r="F32" s="615">
        <v>-455.95482252452109</v>
      </c>
      <c r="G32" s="615">
        <v>0</v>
      </c>
      <c r="H32" s="615">
        <v>89.172953499999991</v>
      </c>
      <c r="I32" s="615">
        <v>0</v>
      </c>
      <c r="J32" s="615">
        <v>893.12435757575759</v>
      </c>
      <c r="K32" s="615">
        <v>103.64353300000001</v>
      </c>
      <c r="L32" s="615">
        <v>29.784019166666667</v>
      </c>
      <c r="M32" s="615">
        <v>28.590573611111104</v>
      </c>
      <c r="N32" s="615">
        <v>0.17177999999999999</v>
      </c>
      <c r="O32" s="615">
        <v>15.80092611111111</v>
      </c>
      <c r="P32" s="615">
        <v>0.501695</v>
      </c>
      <c r="Q32" s="615">
        <v>4.6370516666666663</v>
      </c>
      <c r="R32" s="615">
        <v>-399.75582399999996</v>
      </c>
      <c r="S32" s="615">
        <v>-46.273866388888891</v>
      </c>
      <c r="T32" s="615">
        <v>0</v>
      </c>
      <c r="U32" s="689">
        <v>815.91743545672102</v>
      </c>
    </row>
    <row r="33" spans="3:21" x14ac:dyDescent="0.25">
      <c r="C33" s="616"/>
      <c r="D33" s="617"/>
      <c r="E33" s="617"/>
      <c r="F33" s="617"/>
      <c r="G33" s="617"/>
      <c r="H33" s="617"/>
      <c r="I33" s="617"/>
      <c r="J33" s="617"/>
      <c r="K33" s="617"/>
      <c r="L33" s="685">
        <v>4.4571152777450607E-4</v>
      </c>
      <c r="M33" s="685">
        <v>3.3055555556948946E-4</v>
      </c>
      <c r="N33" s="690">
        <v>-2.6976910227460849E-5</v>
      </c>
      <c r="O33" s="685">
        <v>2.7777778033311051E-7</v>
      </c>
      <c r="P33" s="685">
        <v>0</v>
      </c>
      <c r="Q33" s="685">
        <v>-2.7777777766857525E-7</v>
      </c>
      <c r="R33" s="617"/>
      <c r="S33" s="617"/>
      <c r="T33" s="617"/>
      <c r="U33" s="617"/>
    </row>
    <row r="34" spans="3:21" x14ac:dyDescent="0.25">
      <c r="C34" s="618" t="s">
        <v>78</v>
      </c>
      <c r="D34" s="611">
        <v>7.3736578567600004</v>
      </c>
      <c r="E34" s="611">
        <v>0</v>
      </c>
      <c r="F34" s="611">
        <v>27.924680978677003</v>
      </c>
      <c r="G34" s="611">
        <v>0</v>
      </c>
      <c r="H34" s="611">
        <v>107.63131775000002</v>
      </c>
      <c r="I34" s="611">
        <v>0</v>
      </c>
      <c r="J34" s="611">
        <v>0</v>
      </c>
      <c r="K34" s="611">
        <v>0</v>
      </c>
      <c r="L34" s="611">
        <v>15.531573611111112</v>
      </c>
      <c r="M34" s="611">
        <v>4.4104077777777784</v>
      </c>
      <c r="N34" s="611">
        <v>0.8896092618446092</v>
      </c>
      <c r="O34" s="611">
        <v>0.94134444444444443</v>
      </c>
      <c r="P34" s="611">
        <v>0</v>
      </c>
      <c r="Q34" s="611">
        <v>2.4585833333333335E-2</v>
      </c>
      <c r="R34" s="611">
        <v>107.64707300000001</v>
      </c>
      <c r="S34" s="611">
        <v>21.793321666666667</v>
      </c>
      <c r="T34" s="611">
        <v>0</v>
      </c>
      <c r="U34" s="619">
        <v>294.16757218061491</v>
      </c>
    </row>
    <row r="35" spans="3:21" x14ac:dyDescent="0.25">
      <c r="C35" s="618" t="s">
        <v>79</v>
      </c>
      <c r="D35" s="611">
        <v>0</v>
      </c>
      <c r="E35" s="611">
        <v>0</v>
      </c>
      <c r="F35" s="611">
        <v>468.70719657595708</v>
      </c>
      <c r="G35" s="611">
        <v>0</v>
      </c>
      <c r="H35" s="611">
        <v>3.7083049999999997</v>
      </c>
      <c r="I35" s="611">
        <v>0</v>
      </c>
      <c r="J35" s="611">
        <v>0</v>
      </c>
      <c r="K35" s="611">
        <v>0</v>
      </c>
      <c r="L35" s="611">
        <v>0</v>
      </c>
      <c r="M35" s="611">
        <v>0</v>
      </c>
      <c r="N35" s="611">
        <v>35.98692255406236</v>
      </c>
      <c r="O35" s="611">
        <v>0</v>
      </c>
      <c r="P35" s="611">
        <v>0</v>
      </c>
      <c r="Q35" s="611">
        <v>0</v>
      </c>
      <c r="R35" s="611">
        <v>10.823198000000001</v>
      </c>
      <c r="S35" s="611">
        <v>0</v>
      </c>
      <c r="T35" s="611">
        <v>0</v>
      </c>
      <c r="U35" s="619">
        <v>519.22562213001947</v>
      </c>
    </row>
    <row r="36" spans="3:21" x14ac:dyDescent="0.25">
      <c r="C36" s="618" t="s">
        <v>80</v>
      </c>
      <c r="D36" s="611">
        <v>0.30791956671000004</v>
      </c>
      <c r="E36" s="611">
        <v>0</v>
      </c>
      <c r="F36" s="611">
        <v>40.712038874909005</v>
      </c>
      <c r="G36" s="611">
        <v>0</v>
      </c>
      <c r="H36" s="611">
        <v>110.55954550000001</v>
      </c>
      <c r="I36" s="611">
        <v>0</v>
      </c>
      <c r="J36" s="611">
        <v>0</v>
      </c>
      <c r="K36" s="611">
        <v>0</v>
      </c>
      <c r="L36" s="611">
        <v>69.611392402361105</v>
      </c>
      <c r="M36" s="611">
        <v>0</v>
      </c>
      <c r="N36" s="611">
        <v>0</v>
      </c>
      <c r="O36" s="611">
        <v>0</v>
      </c>
      <c r="P36" s="611">
        <v>39.547388055555558</v>
      </c>
      <c r="Q36" s="611">
        <v>2.5257802777777778</v>
      </c>
      <c r="R36" s="611">
        <v>155.36990600000001</v>
      </c>
      <c r="S36" s="611">
        <v>14.53032638888889</v>
      </c>
      <c r="T36" s="611">
        <v>0</v>
      </c>
      <c r="U36" s="619">
        <v>433.16429706620238</v>
      </c>
    </row>
    <row r="37" spans="3:21" x14ac:dyDescent="0.25">
      <c r="C37" s="618" t="s">
        <v>81</v>
      </c>
      <c r="D37" s="611">
        <v>0.38187951663999997</v>
      </c>
      <c r="E37" s="611">
        <v>0</v>
      </c>
      <c r="F37" s="611">
        <v>24.208682698433005</v>
      </c>
      <c r="G37" s="611">
        <v>0</v>
      </c>
      <c r="H37" s="611">
        <v>63.269737750000004</v>
      </c>
      <c r="I37" s="611">
        <v>0</v>
      </c>
      <c r="J37" s="611">
        <v>0</v>
      </c>
      <c r="K37" s="611">
        <v>0</v>
      </c>
      <c r="L37" s="611">
        <v>3.2420080555555599</v>
      </c>
      <c r="M37" s="611">
        <v>3.0579655555555552</v>
      </c>
      <c r="N37" s="611">
        <v>0</v>
      </c>
      <c r="O37" s="611">
        <v>1.5595447222222221</v>
      </c>
      <c r="P37" s="611">
        <v>4.8885494444444442</v>
      </c>
      <c r="Q37" s="611">
        <v>0.34678083333333298</v>
      </c>
      <c r="R37" s="611">
        <v>133.03417000000002</v>
      </c>
      <c r="S37" s="611">
        <v>9.7167455555555549</v>
      </c>
      <c r="T37" s="611">
        <v>0</v>
      </c>
      <c r="U37" s="619">
        <v>243.70606413173968</v>
      </c>
    </row>
    <row r="38" spans="3:21" x14ac:dyDescent="0.25">
      <c r="C38" s="618" t="s">
        <v>82</v>
      </c>
      <c r="D38" s="611">
        <v>1.9208852320000001E-2</v>
      </c>
      <c r="E38" s="611">
        <v>0</v>
      </c>
      <c r="F38" s="611">
        <v>39.452873847389007</v>
      </c>
      <c r="G38" s="611">
        <v>0</v>
      </c>
      <c r="H38" s="611">
        <v>1.9529625000000002</v>
      </c>
      <c r="I38" s="611">
        <v>0</v>
      </c>
      <c r="J38" s="611">
        <v>0</v>
      </c>
      <c r="K38" s="611">
        <v>0</v>
      </c>
      <c r="L38" s="611">
        <v>1.8437186111111112</v>
      </c>
      <c r="M38" s="611">
        <v>0</v>
      </c>
      <c r="N38" s="611">
        <v>2.0636319502888534</v>
      </c>
      <c r="O38" s="611">
        <v>0.7945333333333332</v>
      </c>
      <c r="P38" s="611">
        <v>0</v>
      </c>
      <c r="Q38" s="611">
        <v>0.29211333333333334</v>
      </c>
      <c r="R38" s="611">
        <v>7.8260000000000005</v>
      </c>
      <c r="S38" s="611">
        <v>0.23347250000000003</v>
      </c>
      <c r="T38" s="611">
        <v>0</v>
      </c>
      <c r="U38" s="619">
        <v>54.478514927775635</v>
      </c>
    </row>
    <row r="39" spans="3:21" x14ac:dyDescent="0.25">
      <c r="C39" s="618" t="s">
        <v>354</v>
      </c>
      <c r="D39" s="611">
        <v>0</v>
      </c>
      <c r="E39" s="611">
        <v>0</v>
      </c>
      <c r="F39" s="611">
        <v>0</v>
      </c>
      <c r="G39" s="611">
        <v>0</v>
      </c>
      <c r="H39" s="611">
        <v>0</v>
      </c>
      <c r="I39" s="611">
        <v>0</v>
      </c>
      <c r="J39" s="611">
        <v>0</v>
      </c>
      <c r="K39" s="611">
        <v>0</v>
      </c>
      <c r="L39" s="611">
        <v>0</v>
      </c>
      <c r="M39" s="611">
        <v>0</v>
      </c>
      <c r="N39" s="611">
        <v>0</v>
      </c>
      <c r="O39" s="611">
        <v>0</v>
      </c>
      <c r="P39" s="611">
        <v>0</v>
      </c>
      <c r="Q39" s="611">
        <v>0</v>
      </c>
      <c r="R39" s="611">
        <v>0</v>
      </c>
      <c r="S39" s="611">
        <v>0</v>
      </c>
      <c r="T39" s="611">
        <v>0</v>
      </c>
      <c r="U39" s="619">
        <v>0</v>
      </c>
    </row>
    <row r="40" spans="3:21" x14ac:dyDescent="0.25">
      <c r="C40" s="614" t="s">
        <v>83</v>
      </c>
      <c r="D40" s="615">
        <v>8.0826657924300012</v>
      </c>
      <c r="E40" s="615">
        <v>0</v>
      </c>
      <c r="F40" s="615">
        <v>601.00547297536514</v>
      </c>
      <c r="G40" s="615">
        <v>0</v>
      </c>
      <c r="H40" s="615">
        <v>287.12186850000006</v>
      </c>
      <c r="I40" s="615">
        <v>0</v>
      </c>
      <c r="J40" s="615">
        <v>0</v>
      </c>
      <c r="K40" s="615">
        <v>0</v>
      </c>
      <c r="L40" s="615">
        <v>90.228692680138892</v>
      </c>
      <c r="M40" s="615">
        <v>7.468373333333334</v>
      </c>
      <c r="N40" s="615">
        <v>38.940163766195823</v>
      </c>
      <c r="O40" s="615">
        <v>3.2954224999999999</v>
      </c>
      <c r="P40" s="615">
        <v>44.435937500000001</v>
      </c>
      <c r="Q40" s="615">
        <v>3.1892602777777777</v>
      </c>
      <c r="R40" s="615">
        <v>414.70034700000008</v>
      </c>
      <c r="S40" s="615">
        <v>46.273866111111111</v>
      </c>
      <c r="T40" s="615">
        <v>0</v>
      </c>
      <c r="U40" s="615">
        <v>1544.7420704363522</v>
      </c>
    </row>
    <row r="41" spans="3:21" x14ac:dyDescent="0.25">
      <c r="C41" s="610" t="s">
        <v>84</v>
      </c>
      <c r="D41" s="611">
        <v>3.0122638424699995</v>
      </c>
      <c r="E41" s="611">
        <v>0</v>
      </c>
      <c r="F41" s="611">
        <v>107.81117013444999</v>
      </c>
      <c r="G41" s="611">
        <v>0</v>
      </c>
      <c r="H41" s="611">
        <v>10.145451250000001</v>
      </c>
      <c r="I41" s="611">
        <v>0</v>
      </c>
      <c r="J41" s="611">
        <v>0</v>
      </c>
      <c r="K41" s="611">
        <v>0</v>
      </c>
      <c r="L41" s="611">
        <v>0</v>
      </c>
      <c r="M41" s="611">
        <v>0</v>
      </c>
      <c r="N41" s="611">
        <v>0</v>
      </c>
      <c r="O41" s="611">
        <v>0</v>
      </c>
      <c r="P41" s="611">
        <v>0</v>
      </c>
      <c r="Q41" s="611">
        <v>0</v>
      </c>
      <c r="R41" s="611">
        <v>0</v>
      </c>
      <c r="S41" s="611">
        <v>0</v>
      </c>
      <c r="T41" s="611">
        <v>0</v>
      </c>
      <c r="U41" s="619">
        <v>120.96888522692001</v>
      </c>
    </row>
    <row r="42" spans="3:21" x14ac:dyDescent="0.25">
      <c r="C42" s="614" t="s">
        <v>85</v>
      </c>
      <c r="D42" s="615">
        <v>11.094929634900002</v>
      </c>
      <c r="E42" s="615">
        <v>0</v>
      </c>
      <c r="F42" s="615">
        <v>708.81664310981512</v>
      </c>
      <c r="G42" s="615">
        <v>0</v>
      </c>
      <c r="H42" s="615">
        <v>297.26731975000007</v>
      </c>
      <c r="I42" s="615">
        <v>0</v>
      </c>
      <c r="J42" s="615">
        <v>0</v>
      </c>
      <c r="K42" s="615">
        <v>0</v>
      </c>
      <c r="L42" s="615">
        <v>90.228692680138892</v>
      </c>
      <c r="M42" s="615">
        <v>7.468373333333334</v>
      </c>
      <c r="N42" s="615">
        <v>38.940163766195823</v>
      </c>
      <c r="O42" s="615">
        <v>3.2954224999999999</v>
      </c>
      <c r="P42" s="615">
        <v>44.435937500000001</v>
      </c>
      <c r="Q42" s="615">
        <v>3.1892602777777777</v>
      </c>
      <c r="R42" s="615">
        <v>414.70034700000008</v>
      </c>
      <c r="S42" s="615">
        <v>46.273866111111111</v>
      </c>
      <c r="T42" s="615">
        <v>0</v>
      </c>
      <c r="U42" s="615">
        <v>1665.7109556632722</v>
      </c>
    </row>
    <row r="47" spans="3:21" x14ac:dyDescent="0.25">
      <c r="C47" s="607" t="s">
        <v>355</v>
      </c>
      <c r="D47" s="606"/>
      <c r="E47" s="606"/>
      <c r="F47" s="606"/>
      <c r="G47" s="606"/>
      <c r="H47" s="606"/>
      <c r="I47" s="606"/>
      <c r="J47" s="606"/>
      <c r="K47" s="606"/>
      <c r="L47" s="606"/>
      <c r="M47" s="606"/>
      <c r="N47" s="606"/>
      <c r="O47" s="606"/>
      <c r="P47" s="606"/>
      <c r="Q47" s="606"/>
      <c r="R47" s="606"/>
      <c r="S47" s="606"/>
      <c r="T47" s="606"/>
      <c r="U47" s="606"/>
    </row>
    <row r="48" spans="3:21" x14ac:dyDescent="0.25">
      <c r="C48" s="51"/>
      <c r="D48" s="51"/>
      <c r="E48" s="51"/>
      <c r="F48" s="51"/>
      <c r="G48" s="51"/>
      <c r="H48" s="51"/>
      <c r="I48" s="51"/>
      <c r="J48" s="51"/>
      <c r="K48" s="51"/>
      <c r="L48" s="51"/>
      <c r="M48" s="51"/>
      <c r="N48" s="51"/>
      <c r="O48" s="51"/>
      <c r="P48" s="51"/>
      <c r="Q48" s="51"/>
      <c r="R48" s="51"/>
      <c r="S48" s="51"/>
      <c r="T48" s="51"/>
      <c r="U48" s="51"/>
    </row>
    <row r="49" spans="3:21" x14ac:dyDescent="0.25">
      <c r="C49" s="751" t="s">
        <v>128</v>
      </c>
      <c r="D49" s="752" t="s">
        <v>42</v>
      </c>
      <c r="E49" s="752" t="s">
        <v>52</v>
      </c>
      <c r="F49" s="752" t="s">
        <v>53</v>
      </c>
      <c r="G49" s="753" t="s">
        <v>482</v>
      </c>
      <c r="H49" s="752" t="s">
        <v>32</v>
      </c>
      <c r="I49" s="753" t="s">
        <v>483</v>
      </c>
      <c r="J49" s="752" t="s">
        <v>20</v>
      </c>
      <c r="K49" s="752" t="s">
        <v>55</v>
      </c>
      <c r="L49" s="752" t="s">
        <v>56</v>
      </c>
      <c r="M49" s="752"/>
      <c r="N49" s="752"/>
      <c r="O49" s="752"/>
      <c r="P49" s="752"/>
      <c r="Q49" s="752"/>
      <c r="R49" s="753" t="s">
        <v>57</v>
      </c>
      <c r="S49" s="753" t="s">
        <v>58</v>
      </c>
      <c r="T49" s="753" t="s">
        <v>31</v>
      </c>
      <c r="U49" s="753" t="s">
        <v>10</v>
      </c>
    </row>
    <row r="50" spans="3:21" ht="36" x14ac:dyDescent="0.25">
      <c r="C50" s="751"/>
      <c r="D50" s="752"/>
      <c r="E50" s="752"/>
      <c r="F50" s="752"/>
      <c r="G50" s="754"/>
      <c r="H50" s="752"/>
      <c r="I50" s="754"/>
      <c r="J50" s="752"/>
      <c r="K50" s="752"/>
      <c r="L50" s="608" t="s">
        <v>335</v>
      </c>
      <c r="M50" s="608" t="s">
        <v>40</v>
      </c>
      <c r="N50" s="608" t="s">
        <v>343</v>
      </c>
      <c r="O50" s="608" t="s">
        <v>344</v>
      </c>
      <c r="P50" s="609" t="s">
        <v>345</v>
      </c>
      <c r="Q50" s="608" t="s">
        <v>346</v>
      </c>
      <c r="R50" s="754"/>
      <c r="S50" s="754"/>
      <c r="T50" s="754"/>
      <c r="U50" s="754"/>
    </row>
    <row r="51" spans="3:21" x14ac:dyDescent="0.25">
      <c r="C51" s="610" t="s">
        <v>59</v>
      </c>
      <c r="D51" s="611">
        <v>0</v>
      </c>
      <c r="E51" s="611">
        <v>9.677063019491003</v>
      </c>
      <c r="F51" s="611">
        <v>0</v>
      </c>
      <c r="G51" s="611">
        <v>0</v>
      </c>
      <c r="H51" s="611">
        <v>0.184308</v>
      </c>
      <c r="I51" s="611">
        <v>0</v>
      </c>
      <c r="J51" s="612">
        <v>1024.855403030303</v>
      </c>
      <c r="K51" s="612">
        <v>131.99908600000001</v>
      </c>
      <c r="L51" s="611">
        <v>118.73076194444447</v>
      </c>
      <c r="M51" s="612">
        <v>35.112782777777781</v>
      </c>
      <c r="N51" s="611">
        <v>20.647434330821</v>
      </c>
      <c r="O51" s="611">
        <v>20.869724166666668</v>
      </c>
      <c r="P51" s="612">
        <v>49.99968472222222</v>
      </c>
      <c r="Q51" s="612">
        <v>7.9422280555555558</v>
      </c>
      <c r="R51" s="611">
        <v>0</v>
      </c>
      <c r="S51" s="611">
        <v>0</v>
      </c>
      <c r="T51" s="611">
        <v>0</v>
      </c>
      <c r="U51" s="613">
        <v>1420.0184760472814</v>
      </c>
    </row>
    <row r="52" spans="3:21" x14ac:dyDescent="0.25">
      <c r="C52" s="610" t="s">
        <v>60</v>
      </c>
      <c r="D52" s="611">
        <v>52.110827959550001</v>
      </c>
      <c r="E52" s="611">
        <v>541.29626885750508</v>
      </c>
      <c r="F52" s="611">
        <v>441.96892011980117</v>
      </c>
      <c r="G52" s="611">
        <v>0</v>
      </c>
      <c r="H52" s="611">
        <v>479.18489974999994</v>
      </c>
      <c r="I52" s="611">
        <v>0</v>
      </c>
      <c r="J52" s="611">
        <v>0</v>
      </c>
      <c r="K52" s="611">
        <v>0</v>
      </c>
      <c r="L52" s="611">
        <v>5.9105898047222221</v>
      </c>
      <c r="M52" s="611">
        <v>0</v>
      </c>
      <c r="N52" s="611">
        <v>24.790774036849388</v>
      </c>
      <c r="O52" s="611">
        <v>0</v>
      </c>
      <c r="P52" s="611">
        <v>0</v>
      </c>
      <c r="Q52" s="611">
        <v>0</v>
      </c>
      <c r="R52" s="611">
        <v>25.456313000000002</v>
      </c>
      <c r="S52" s="611">
        <v>0</v>
      </c>
      <c r="T52" s="611">
        <v>0</v>
      </c>
      <c r="U52" s="613">
        <v>1570.7185935284274</v>
      </c>
    </row>
    <row r="53" spans="3:21" x14ac:dyDescent="0.25">
      <c r="C53" s="610" t="s">
        <v>61</v>
      </c>
      <c r="D53" s="611">
        <v>-0.37998693185000004</v>
      </c>
      <c r="E53" s="611">
        <v>-1.4738675344580001</v>
      </c>
      <c r="F53" s="611">
        <v>-170.55566882793804</v>
      </c>
      <c r="G53" s="611">
        <v>0</v>
      </c>
      <c r="H53" s="611">
        <v>-140.29266699999997</v>
      </c>
      <c r="I53" s="611">
        <v>0</v>
      </c>
      <c r="J53" s="611">
        <v>0</v>
      </c>
      <c r="K53" s="611">
        <v>0</v>
      </c>
      <c r="L53" s="611">
        <v>-2.9203765397222199</v>
      </c>
      <c r="M53" s="611">
        <v>0</v>
      </c>
      <c r="N53" s="611">
        <v>-4.58493756360975</v>
      </c>
      <c r="O53" s="611">
        <v>0</v>
      </c>
      <c r="P53" s="611">
        <v>0</v>
      </c>
      <c r="Q53" s="611">
        <v>0</v>
      </c>
      <c r="R53" s="611">
        <v>-75.800200000000004</v>
      </c>
      <c r="S53" s="611">
        <v>0</v>
      </c>
      <c r="T53" s="611">
        <v>0</v>
      </c>
      <c r="U53" s="613">
        <v>-396.00770439757798</v>
      </c>
    </row>
    <row r="54" spans="3:21" x14ac:dyDescent="0.25">
      <c r="C54" s="610" t="s">
        <v>62</v>
      </c>
      <c r="D54" s="611">
        <v>0</v>
      </c>
      <c r="E54" s="611">
        <v>0</v>
      </c>
      <c r="F54" s="611">
        <v>-11.797829883012001</v>
      </c>
      <c r="G54" s="611">
        <v>0</v>
      </c>
      <c r="H54" s="611">
        <v>0</v>
      </c>
      <c r="I54" s="611">
        <v>0</v>
      </c>
      <c r="J54" s="611">
        <v>0</v>
      </c>
      <c r="K54" s="611">
        <v>0</v>
      </c>
      <c r="L54" s="611">
        <v>0</v>
      </c>
      <c r="M54" s="611">
        <v>0</v>
      </c>
      <c r="N54" s="611">
        <v>0</v>
      </c>
      <c r="O54" s="611">
        <v>0</v>
      </c>
      <c r="P54" s="611">
        <v>0</v>
      </c>
      <c r="Q54" s="611">
        <v>0</v>
      </c>
      <c r="R54" s="611">
        <v>0</v>
      </c>
      <c r="S54" s="611">
        <v>0</v>
      </c>
      <c r="T54" s="611">
        <v>0</v>
      </c>
      <c r="U54" s="613">
        <v>-11.797829883012001</v>
      </c>
    </row>
    <row r="55" spans="3:21" x14ac:dyDescent="0.25">
      <c r="C55" s="610" t="s">
        <v>63</v>
      </c>
      <c r="D55" s="611">
        <v>0</v>
      </c>
      <c r="E55" s="611">
        <v>0</v>
      </c>
      <c r="F55" s="611">
        <v>-63.425109279019985</v>
      </c>
      <c r="G55" s="611">
        <v>0</v>
      </c>
      <c r="H55" s="611">
        <v>0</v>
      </c>
      <c r="I55" s="611">
        <v>0</v>
      </c>
      <c r="J55" s="611">
        <v>0</v>
      </c>
      <c r="K55" s="611">
        <v>0</v>
      </c>
      <c r="L55" s="611">
        <v>0</v>
      </c>
      <c r="M55" s="611">
        <v>0</v>
      </c>
      <c r="N55" s="611">
        <v>0</v>
      </c>
      <c r="O55" s="611">
        <v>0</v>
      </c>
      <c r="P55" s="611">
        <v>0</v>
      </c>
      <c r="Q55" s="611">
        <v>0</v>
      </c>
      <c r="R55" s="611">
        <v>0</v>
      </c>
      <c r="S55" s="611">
        <v>0</v>
      </c>
      <c r="T55" s="611">
        <v>0</v>
      </c>
      <c r="U55" s="613">
        <v>-63.425109279019985</v>
      </c>
    </row>
    <row r="56" spans="3:21" x14ac:dyDescent="0.25">
      <c r="C56" s="610" t="s">
        <v>64</v>
      </c>
      <c r="D56" s="611">
        <v>0.23938630277444459</v>
      </c>
      <c r="E56" s="611">
        <v>-0.91945389982399994</v>
      </c>
      <c r="F56" s="611">
        <v>2.7507868955550001</v>
      </c>
      <c r="G56" s="611">
        <v>0</v>
      </c>
      <c r="H56" s="611">
        <v>1.4800355000000003</v>
      </c>
      <c r="I56" s="611">
        <v>0</v>
      </c>
      <c r="J56" s="611">
        <v>0</v>
      </c>
      <c r="K56" s="611">
        <v>0</v>
      </c>
      <c r="L56" s="611">
        <v>0</v>
      </c>
      <c r="M56" s="611">
        <v>0</v>
      </c>
      <c r="N56" s="611">
        <v>0</v>
      </c>
      <c r="O56" s="611">
        <v>0</v>
      </c>
      <c r="P56" s="611">
        <v>0</v>
      </c>
      <c r="Q56" s="611">
        <v>0</v>
      </c>
      <c r="R56" s="611">
        <v>0</v>
      </c>
      <c r="S56" s="611">
        <v>0</v>
      </c>
      <c r="T56" s="611">
        <v>0</v>
      </c>
      <c r="U56" s="613">
        <v>3.5507547985054453</v>
      </c>
    </row>
    <row r="57" spans="3:21" x14ac:dyDescent="0.25">
      <c r="C57" s="614" t="s">
        <v>65</v>
      </c>
      <c r="D57" s="615">
        <v>51.970227330474444</v>
      </c>
      <c r="E57" s="615">
        <v>548.58001044271407</v>
      </c>
      <c r="F57" s="615">
        <v>198.94109902538617</v>
      </c>
      <c r="G57" s="615">
        <v>0</v>
      </c>
      <c r="H57" s="615">
        <v>340.55657624999992</v>
      </c>
      <c r="I57" s="615">
        <v>0</v>
      </c>
      <c r="J57" s="615">
        <v>1024.855403030303</v>
      </c>
      <c r="K57" s="615">
        <v>131.99908600000001</v>
      </c>
      <c r="L57" s="691">
        <v>121.72097520944448</v>
      </c>
      <c r="M57" s="615">
        <v>35.112782777777781</v>
      </c>
      <c r="N57" s="615">
        <v>40.853270804060635</v>
      </c>
      <c r="O57" s="615">
        <v>20.869724166666668</v>
      </c>
      <c r="P57" s="615">
        <v>49.99968472222222</v>
      </c>
      <c r="Q57" s="615">
        <v>7.9422280555555558</v>
      </c>
      <c r="R57" s="615">
        <v>-50.343887000000002</v>
      </c>
      <c r="S57" s="615">
        <v>0</v>
      </c>
      <c r="T57" s="615">
        <v>0</v>
      </c>
      <c r="U57" s="615">
        <v>2523.0571808146042</v>
      </c>
    </row>
    <row r="58" spans="3:21" x14ac:dyDescent="0.25">
      <c r="C58" s="616"/>
      <c r="D58" s="617"/>
      <c r="E58" s="617"/>
      <c r="F58" s="617"/>
      <c r="G58" s="617"/>
      <c r="H58" s="617"/>
      <c r="I58" s="617"/>
      <c r="J58" s="617"/>
      <c r="K58" s="617"/>
      <c r="L58" s="617"/>
      <c r="M58" s="617"/>
      <c r="N58" s="617"/>
      <c r="O58" s="617"/>
      <c r="P58" s="617"/>
      <c r="Q58" s="617"/>
      <c r="R58" s="617"/>
      <c r="S58" s="617"/>
      <c r="T58" s="617"/>
      <c r="U58" s="617"/>
    </row>
    <row r="59" spans="3:21" x14ac:dyDescent="0.25">
      <c r="C59" s="618" t="s">
        <v>67</v>
      </c>
      <c r="D59" s="611">
        <v>-2.1217553819344568</v>
      </c>
      <c r="E59" s="611">
        <v>9.0930698463820701</v>
      </c>
      <c r="F59" s="611">
        <v>9.9463627358790809</v>
      </c>
      <c r="G59" s="611">
        <v>0</v>
      </c>
      <c r="H59" s="611">
        <v>-2.2167392500000003</v>
      </c>
      <c r="I59" s="611">
        <v>0</v>
      </c>
      <c r="J59" s="611">
        <v>0</v>
      </c>
      <c r="K59" s="611">
        <v>0</v>
      </c>
      <c r="L59" s="611">
        <v>0</v>
      </c>
      <c r="M59" s="611">
        <v>0</v>
      </c>
      <c r="N59" s="611">
        <v>0</v>
      </c>
      <c r="O59" s="611">
        <v>0</v>
      </c>
      <c r="P59" s="611">
        <v>0</v>
      </c>
      <c r="Q59" s="611">
        <v>0</v>
      </c>
      <c r="R59" s="611">
        <v>0</v>
      </c>
      <c r="S59" s="611">
        <v>0</v>
      </c>
      <c r="T59" s="611">
        <v>0</v>
      </c>
      <c r="U59" s="692">
        <v>14.700937950326693</v>
      </c>
    </row>
    <row r="60" spans="3:21" x14ac:dyDescent="0.25">
      <c r="C60" s="618" t="s">
        <v>347</v>
      </c>
      <c r="D60" s="611">
        <v>8.0663799447291211</v>
      </c>
      <c r="E60" s="611">
        <v>0</v>
      </c>
      <c r="F60" s="611">
        <v>14.052224378777671</v>
      </c>
      <c r="G60" s="611">
        <v>0</v>
      </c>
      <c r="H60" s="611">
        <v>46.103507952894184</v>
      </c>
      <c r="I60" s="611">
        <v>0</v>
      </c>
      <c r="J60" s="611">
        <v>1024.855403030303</v>
      </c>
      <c r="K60" s="611">
        <v>131.99908600000001</v>
      </c>
      <c r="L60" s="611">
        <v>19.77483105751633</v>
      </c>
      <c r="M60" s="611">
        <v>11.451119756666667</v>
      </c>
      <c r="N60" s="611">
        <v>0</v>
      </c>
      <c r="O60" s="611">
        <v>6.3748563321944447</v>
      </c>
      <c r="P60" s="611">
        <v>0</v>
      </c>
      <c r="Q60" s="611">
        <v>0</v>
      </c>
      <c r="R60" s="611">
        <v>-522.78887500000008</v>
      </c>
      <c r="S60" s="611">
        <v>0</v>
      </c>
      <c r="T60" s="611">
        <v>0</v>
      </c>
      <c r="U60" s="692">
        <v>739.88853345308155</v>
      </c>
    </row>
    <row r="61" spans="3:21" x14ac:dyDescent="0.25">
      <c r="C61" s="618" t="s">
        <v>348</v>
      </c>
      <c r="D61" s="611">
        <v>1.1380952488397666</v>
      </c>
      <c r="E61" s="611">
        <v>0</v>
      </c>
      <c r="F61" s="611">
        <v>2.3133374224303318</v>
      </c>
      <c r="G61" s="611">
        <v>0</v>
      </c>
      <c r="H61" s="611">
        <v>18.103940047105812</v>
      </c>
      <c r="I61" s="611">
        <v>0</v>
      </c>
      <c r="J61" s="611">
        <v>0</v>
      </c>
      <c r="K61" s="611">
        <v>0</v>
      </c>
      <c r="L61" s="611">
        <v>12.231333664705893</v>
      </c>
      <c r="M61" s="611">
        <v>16.911208539676121</v>
      </c>
      <c r="N61" s="611">
        <v>0</v>
      </c>
      <c r="O61" s="611">
        <v>2.8654050566944451</v>
      </c>
      <c r="P61" s="611">
        <v>0.501695</v>
      </c>
      <c r="Q61" s="611">
        <v>4.6370516666666663</v>
      </c>
      <c r="R61" s="611">
        <v>0</v>
      </c>
      <c r="S61" s="611">
        <v>-52.431702692693626</v>
      </c>
      <c r="T61" s="611">
        <v>0</v>
      </c>
      <c r="U61" s="692">
        <v>6.2703639534254094</v>
      </c>
    </row>
    <row r="62" spans="3:21" x14ac:dyDescent="0.25">
      <c r="C62" s="618" t="s">
        <v>349</v>
      </c>
      <c r="D62" s="611">
        <v>0</v>
      </c>
      <c r="E62" s="611">
        <v>0</v>
      </c>
      <c r="F62" s="611">
        <v>0</v>
      </c>
      <c r="G62" s="611">
        <v>0</v>
      </c>
      <c r="H62" s="611">
        <v>-8.2222625000000011</v>
      </c>
      <c r="I62" s="611">
        <v>0</v>
      </c>
      <c r="J62" s="611">
        <v>0</v>
      </c>
      <c r="K62" s="611">
        <v>0</v>
      </c>
      <c r="L62" s="611">
        <v>0</v>
      </c>
      <c r="M62" s="611">
        <v>0</v>
      </c>
      <c r="N62" s="611">
        <v>0</v>
      </c>
      <c r="O62" s="611">
        <v>8.2222625000000011</v>
      </c>
      <c r="P62" s="611">
        <v>0</v>
      </c>
      <c r="Q62" s="611">
        <v>0</v>
      </c>
      <c r="R62" s="611">
        <v>0</v>
      </c>
      <c r="S62" s="611">
        <v>0</v>
      </c>
      <c r="T62" s="611">
        <v>0</v>
      </c>
      <c r="U62" s="692">
        <v>0</v>
      </c>
    </row>
    <row r="63" spans="3:21" x14ac:dyDescent="0.25">
      <c r="C63" s="618" t="s">
        <v>350</v>
      </c>
      <c r="D63" s="611">
        <v>0</v>
      </c>
      <c r="E63" s="611">
        <v>0</v>
      </c>
      <c r="F63" s="611">
        <v>0</v>
      </c>
      <c r="G63" s="611">
        <v>0</v>
      </c>
      <c r="H63" s="611">
        <v>0</v>
      </c>
      <c r="I63" s="611">
        <v>0</v>
      </c>
      <c r="J63" s="611">
        <v>0</v>
      </c>
      <c r="K63" s="611">
        <v>0</v>
      </c>
      <c r="L63" s="611">
        <v>0</v>
      </c>
      <c r="M63" s="611">
        <v>0</v>
      </c>
      <c r="N63" s="611">
        <v>0</v>
      </c>
      <c r="O63" s="611">
        <v>0</v>
      </c>
      <c r="P63" s="611">
        <v>0</v>
      </c>
      <c r="Q63" s="611">
        <v>0</v>
      </c>
      <c r="R63" s="611">
        <v>0</v>
      </c>
      <c r="S63" s="611">
        <v>0</v>
      </c>
      <c r="T63" s="611">
        <v>0</v>
      </c>
      <c r="U63" s="692">
        <v>0</v>
      </c>
    </row>
    <row r="64" spans="3:21" x14ac:dyDescent="0.25">
      <c r="C64" s="618" t="s">
        <v>72</v>
      </c>
      <c r="D64" s="611">
        <v>0</v>
      </c>
      <c r="E64" s="611">
        <v>558.2225840750001</v>
      </c>
      <c r="F64" s="611">
        <v>-553.64816260406405</v>
      </c>
      <c r="G64" s="611">
        <v>0</v>
      </c>
      <c r="H64" s="611">
        <v>0</v>
      </c>
      <c r="I64" s="611">
        <v>0</v>
      </c>
      <c r="J64" s="611">
        <v>0</v>
      </c>
      <c r="K64" s="611">
        <v>0</v>
      </c>
      <c r="L64" s="611">
        <v>0</v>
      </c>
      <c r="M64" s="611">
        <v>0</v>
      </c>
      <c r="N64" s="611">
        <v>0</v>
      </c>
      <c r="O64" s="611">
        <v>0</v>
      </c>
      <c r="P64" s="611">
        <v>0</v>
      </c>
      <c r="Q64" s="611">
        <v>0</v>
      </c>
      <c r="R64" s="611">
        <v>0</v>
      </c>
      <c r="S64" s="611">
        <v>0</v>
      </c>
      <c r="T64" s="611">
        <v>0</v>
      </c>
      <c r="U64" s="692">
        <v>4.5744214709360449</v>
      </c>
    </row>
    <row r="65" spans="3:21" x14ac:dyDescent="0.25">
      <c r="C65" s="618" t="s">
        <v>351</v>
      </c>
      <c r="D65" s="611">
        <v>0</v>
      </c>
      <c r="E65" s="611">
        <v>0</v>
      </c>
      <c r="F65" s="611">
        <v>0</v>
      </c>
      <c r="G65" s="611">
        <v>0</v>
      </c>
      <c r="H65" s="611">
        <v>0</v>
      </c>
      <c r="I65" s="611">
        <v>0</v>
      </c>
      <c r="J65" s="611">
        <v>0</v>
      </c>
      <c r="K65" s="611">
        <v>0</v>
      </c>
      <c r="L65" s="611">
        <v>0</v>
      </c>
      <c r="M65" s="611">
        <v>0</v>
      </c>
      <c r="N65" s="611">
        <v>0</v>
      </c>
      <c r="O65" s="611">
        <v>0</v>
      </c>
      <c r="P65" s="611">
        <v>0</v>
      </c>
      <c r="Q65" s="611">
        <v>0</v>
      </c>
      <c r="R65" s="611">
        <v>0</v>
      </c>
      <c r="S65" s="611">
        <v>0</v>
      </c>
      <c r="T65" s="611">
        <v>0</v>
      </c>
      <c r="U65" s="692">
        <v>0</v>
      </c>
    </row>
    <row r="66" spans="3:21" x14ac:dyDescent="0.25">
      <c r="C66" s="618" t="s">
        <v>352</v>
      </c>
      <c r="D66" s="611">
        <v>0</v>
      </c>
      <c r="E66" s="611">
        <v>0</v>
      </c>
      <c r="F66" s="611">
        <v>0</v>
      </c>
      <c r="G66" s="611">
        <v>0</v>
      </c>
      <c r="H66" s="611">
        <v>0</v>
      </c>
      <c r="I66" s="611">
        <v>0</v>
      </c>
      <c r="J66" s="611">
        <v>0</v>
      </c>
      <c r="K66" s="611">
        <v>0</v>
      </c>
      <c r="L66" s="611">
        <v>0</v>
      </c>
      <c r="M66" s="611">
        <v>0</v>
      </c>
      <c r="N66" s="611">
        <v>0</v>
      </c>
      <c r="O66" s="611">
        <v>0</v>
      </c>
      <c r="P66" s="611">
        <v>0</v>
      </c>
      <c r="Q66" s="611">
        <v>0</v>
      </c>
      <c r="R66" s="611">
        <v>0</v>
      </c>
      <c r="S66" s="611">
        <v>0</v>
      </c>
      <c r="T66" s="611">
        <v>0</v>
      </c>
      <c r="U66" s="692">
        <v>0</v>
      </c>
    </row>
    <row r="67" spans="3:21" x14ac:dyDescent="0.25">
      <c r="C67" s="618" t="s">
        <v>73</v>
      </c>
      <c r="D67" s="611">
        <v>0</v>
      </c>
      <c r="E67" s="611">
        <v>0</v>
      </c>
      <c r="F67" s="611">
        <v>0</v>
      </c>
      <c r="G67" s="611">
        <v>0</v>
      </c>
      <c r="H67" s="611">
        <v>0</v>
      </c>
      <c r="I67" s="611">
        <v>0</v>
      </c>
      <c r="J67" s="611">
        <v>0</v>
      </c>
      <c r="K67" s="611">
        <v>0</v>
      </c>
      <c r="L67" s="611">
        <v>0</v>
      </c>
      <c r="M67" s="611">
        <v>0</v>
      </c>
      <c r="N67" s="611">
        <v>0</v>
      </c>
      <c r="O67" s="611">
        <v>0</v>
      </c>
      <c r="P67" s="611">
        <v>0</v>
      </c>
      <c r="Q67" s="611">
        <v>0</v>
      </c>
      <c r="R67" s="611">
        <v>0</v>
      </c>
      <c r="S67" s="611">
        <v>0</v>
      </c>
      <c r="T67" s="611">
        <v>0</v>
      </c>
      <c r="U67" s="692">
        <v>0</v>
      </c>
    </row>
    <row r="68" spans="3:21" x14ac:dyDescent="0.25">
      <c r="C68" s="618" t="s">
        <v>353</v>
      </c>
      <c r="D68" s="611">
        <v>22.270286167016664</v>
      </c>
      <c r="E68" s="611">
        <v>-18.735643478667999</v>
      </c>
      <c r="F68" s="611">
        <v>18.735643478667999</v>
      </c>
      <c r="G68" s="611">
        <v>0</v>
      </c>
      <c r="H68" s="611">
        <v>0</v>
      </c>
      <c r="I68" s="611">
        <v>0</v>
      </c>
      <c r="J68" s="611">
        <v>0</v>
      </c>
      <c r="K68" s="611">
        <v>0</v>
      </c>
      <c r="L68" s="611">
        <v>0</v>
      </c>
      <c r="M68" s="611">
        <v>0</v>
      </c>
      <c r="N68" s="611">
        <v>0</v>
      </c>
      <c r="O68" s="611">
        <v>0</v>
      </c>
      <c r="P68" s="611">
        <v>0</v>
      </c>
      <c r="Q68" s="611">
        <v>0</v>
      </c>
      <c r="R68" s="611">
        <v>0</v>
      </c>
      <c r="S68" s="611">
        <v>0</v>
      </c>
      <c r="T68" s="611">
        <v>0</v>
      </c>
      <c r="U68" s="692">
        <v>22.270286167016664</v>
      </c>
    </row>
    <row r="69" spans="3:21" x14ac:dyDescent="0.25">
      <c r="C69" s="618" t="s">
        <v>75</v>
      </c>
      <c r="D69" s="611">
        <v>12.680575833333336</v>
      </c>
      <c r="E69" s="611">
        <v>0</v>
      </c>
      <c r="F69" s="611">
        <v>18.077573928862002</v>
      </c>
      <c r="G69" s="611">
        <v>0</v>
      </c>
      <c r="H69" s="611">
        <v>4.6688085000000008</v>
      </c>
      <c r="I69" s="611">
        <v>0</v>
      </c>
      <c r="J69" s="611">
        <v>0</v>
      </c>
      <c r="K69" s="611">
        <v>0</v>
      </c>
      <c r="L69" s="611">
        <v>0</v>
      </c>
      <c r="M69" s="611">
        <v>0</v>
      </c>
      <c r="N69" s="611">
        <v>0.11666502345247487</v>
      </c>
      <c r="O69" s="611">
        <v>0</v>
      </c>
      <c r="P69" s="611">
        <v>0</v>
      </c>
      <c r="Q69" s="611">
        <v>0</v>
      </c>
      <c r="R69" s="611">
        <v>33.687086999999963</v>
      </c>
      <c r="S69" s="611">
        <v>0</v>
      </c>
      <c r="T69" s="611">
        <v>0</v>
      </c>
      <c r="U69" s="692">
        <v>69.230710285647774</v>
      </c>
    </row>
    <row r="70" spans="3:21" x14ac:dyDescent="0.25">
      <c r="C70" s="618" t="s">
        <v>76</v>
      </c>
      <c r="D70" s="611">
        <v>0</v>
      </c>
      <c r="E70" s="611">
        <v>0</v>
      </c>
      <c r="F70" s="611">
        <v>0</v>
      </c>
      <c r="G70" s="611">
        <v>0</v>
      </c>
      <c r="H70" s="611">
        <v>3.6684212499999997</v>
      </c>
      <c r="I70" s="611">
        <v>0</v>
      </c>
      <c r="J70" s="611">
        <v>0</v>
      </c>
      <c r="K70" s="611">
        <v>0</v>
      </c>
      <c r="L70" s="611">
        <v>0</v>
      </c>
      <c r="M70" s="611">
        <v>0</v>
      </c>
      <c r="N70" s="611">
        <v>0</v>
      </c>
      <c r="O70" s="611">
        <v>0</v>
      </c>
      <c r="P70" s="611">
        <v>0</v>
      </c>
      <c r="Q70" s="611">
        <v>0</v>
      </c>
      <c r="R70" s="611">
        <v>35.749623</v>
      </c>
      <c r="S70" s="611">
        <v>4.8156266666666676</v>
      </c>
      <c r="T70" s="611">
        <v>0</v>
      </c>
      <c r="U70" s="692">
        <v>44.233670916666668</v>
      </c>
    </row>
    <row r="71" spans="3:21" x14ac:dyDescent="0.25">
      <c r="C71" s="614" t="s">
        <v>77</v>
      </c>
      <c r="D71" s="615">
        <v>42.033581811984433</v>
      </c>
      <c r="E71" s="615">
        <v>548.58001044271418</v>
      </c>
      <c r="F71" s="615">
        <v>-490.52302065944696</v>
      </c>
      <c r="G71" s="615">
        <v>0</v>
      </c>
      <c r="H71" s="615">
        <v>62.105675999999995</v>
      </c>
      <c r="I71" s="615">
        <v>0</v>
      </c>
      <c r="J71" s="615">
        <v>1024.855403030303</v>
      </c>
      <c r="K71" s="615">
        <v>131.99908600000001</v>
      </c>
      <c r="L71" s="689">
        <v>32.006164722222223</v>
      </c>
      <c r="M71" s="615">
        <v>28.362328296342788</v>
      </c>
      <c r="N71" s="615">
        <v>0.11666502345247487</v>
      </c>
      <c r="O71" s="615">
        <v>17.462523888888889</v>
      </c>
      <c r="P71" s="615">
        <v>0.501695</v>
      </c>
      <c r="Q71" s="615">
        <v>4.6370516666666663</v>
      </c>
      <c r="R71" s="615">
        <v>-453.35216500000013</v>
      </c>
      <c r="S71" s="615">
        <v>-47.61607602602696</v>
      </c>
      <c r="T71" s="615">
        <v>0</v>
      </c>
      <c r="U71" s="691">
        <v>901.16892419710086</v>
      </c>
    </row>
    <row r="72" spans="3:21" x14ac:dyDescent="0.25">
      <c r="C72" s="616"/>
      <c r="D72" s="690">
        <v>0</v>
      </c>
      <c r="E72" s="690">
        <v>-1.1368683772161603E-13</v>
      </c>
      <c r="F72" s="690">
        <v>0</v>
      </c>
      <c r="G72" s="690">
        <v>0</v>
      </c>
      <c r="H72" s="690">
        <v>0</v>
      </c>
      <c r="I72" s="690">
        <v>0</v>
      </c>
      <c r="J72" s="690">
        <v>0</v>
      </c>
      <c r="K72" s="690">
        <v>0</v>
      </c>
      <c r="L72" s="690">
        <v>-3.3777777775867435E-4</v>
      </c>
      <c r="M72" s="690">
        <v>-4.1907453896428137E-5</v>
      </c>
      <c r="N72" s="690">
        <v>4.7174890479340092E-4</v>
      </c>
      <c r="O72" s="690">
        <v>0</v>
      </c>
      <c r="P72" s="690">
        <v>-2.6356574892361095E-4</v>
      </c>
      <c r="Q72" s="690">
        <v>-2.7777777678039683E-7</v>
      </c>
      <c r="R72" s="690">
        <v>0</v>
      </c>
      <c r="S72" s="690">
        <v>-8.5084153056413925E-8</v>
      </c>
      <c r="T72" s="690">
        <v>0</v>
      </c>
      <c r="U72" s="617"/>
    </row>
    <row r="73" spans="3:21" x14ac:dyDescent="0.25">
      <c r="C73" s="618" t="s">
        <v>78</v>
      </c>
      <c r="D73" s="611">
        <v>6.7561224064300012</v>
      </c>
      <c r="E73" s="611">
        <v>0</v>
      </c>
      <c r="F73" s="611">
        <v>26.970422859407002</v>
      </c>
      <c r="G73" s="611">
        <v>0</v>
      </c>
      <c r="H73" s="611">
        <v>99.881862999999996</v>
      </c>
      <c r="I73" s="611">
        <v>0</v>
      </c>
      <c r="J73" s="611">
        <v>0</v>
      </c>
      <c r="K73" s="611">
        <v>0</v>
      </c>
      <c r="L73" s="611">
        <v>14.497804722222222</v>
      </c>
      <c r="M73" s="611">
        <v>4.1018563888888897</v>
      </c>
      <c r="N73" s="611">
        <v>0.89176663588059402</v>
      </c>
      <c r="O73" s="611">
        <v>0.91806027777777777</v>
      </c>
      <c r="P73" s="611">
        <v>2.6356574892997744E-4</v>
      </c>
      <c r="Q73" s="611">
        <v>2.5632777777777779E-2</v>
      </c>
      <c r="R73" s="611">
        <v>103.14419500000001</v>
      </c>
      <c r="S73" s="611">
        <v>21.859968333333335</v>
      </c>
      <c r="T73" s="611">
        <v>0</v>
      </c>
      <c r="U73" s="613">
        <v>279.04795596746652</v>
      </c>
    </row>
    <row r="74" spans="3:21" x14ac:dyDescent="0.25">
      <c r="C74" s="618" t="s">
        <v>79</v>
      </c>
      <c r="D74" s="611">
        <v>0</v>
      </c>
      <c r="E74" s="611">
        <v>0</v>
      </c>
      <c r="F74" s="611">
        <v>452.34819647075807</v>
      </c>
      <c r="G74" s="611">
        <v>0</v>
      </c>
      <c r="H74" s="611">
        <v>3.7083049999999997</v>
      </c>
      <c r="I74" s="611">
        <v>0</v>
      </c>
      <c r="J74" s="611">
        <v>0</v>
      </c>
      <c r="K74" s="611">
        <v>0</v>
      </c>
      <c r="L74" s="611">
        <v>0</v>
      </c>
      <c r="M74" s="611">
        <v>0</v>
      </c>
      <c r="N74" s="611">
        <v>37.735735445533919</v>
      </c>
      <c r="O74" s="611">
        <v>0</v>
      </c>
      <c r="P74" s="611">
        <v>0</v>
      </c>
      <c r="Q74" s="611">
        <v>0</v>
      </c>
      <c r="R74" s="611">
        <v>10.543191</v>
      </c>
      <c r="S74" s="611">
        <v>0</v>
      </c>
      <c r="T74" s="611">
        <v>0</v>
      </c>
      <c r="U74" s="613">
        <v>504.33542791629196</v>
      </c>
    </row>
    <row r="75" spans="3:21" x14ac:dyDescent="0.25">
      <c r="C75" s="618" t="s">
        <v>80</v>
      </c>
      <c r="D75" s="611">
        <v>0.23010017802000002</v>
      </c>
      <c r="E75" s="611">
        <v>0</v>
      </c>
      <c r="F75" s="611">
        <v>35.382495305294</v>
      </c>
      <c r="G75" s="611">
        <v>0</v>
      </c>
      <c r="H75" s="611">
        <v>103.59429425</v>
      </c>
      <c r="I75" s="611">
        <v>0</v>
      </c>
      <c r="J75" s="611">
        <v>0</v>
      </c>
      <c r="K75" s="611">
        <v>0</v>
      </c>
      <c r="L75" s="611">
        <v>70.150979653888882</v>
      </c>
      <c r="M75" s="611">
        <v>0</v>
      </c>
      <c r="N75" s="611">
        <v>0</v>
      </c>
      <c r="O75" s="611">
        <v>0</v>
      </c>
      <c r="P75" s="611">
        <v>44.439514166666662</v>
      </c>
      <c r="Q75" s="611">
        <v>2.6333313888888892</v>
      </c>
      <c r="R75" s="611">
        <v>151.42570800000004</v>
      </c>
      <c r="S75" s="611">
        <v>15.629575833333334</v>
      </c>
      <c r="T75" s="611">
        <v>0</v>
      </c>
      <c r="U75" s="613">
        <v>423.48599877609178</v>
      </c>
    </row>
    <row r="76" spans="3:21" x14ac:dyDescent="0.25">
      <c r="C76" s="618" t="s">
        <v>81</v>
      </c>
      <c r="D76" s="611">
        <v>0.34274047288000004</v>
      </c>
      <c r="E76" s="611">
        <v>0</v>
      </c>
      <c r="F76" s="611">
        <v>23.957943117617006</v>
      </c>
      <c r="G76" s="611">
        <v>0</v>
      </c>
      <c r="H76" s="611">
        <v>59.29780774999999</v>
      </c>
      <c r="I76" s="611">
        <v>0</v>
      </c>
      <c r="J76" s="611">
        <v>0</v>
      </c>
      <c r="K76" s="611">
        <v>0</v>
      </c>
      <c r="L76" s="611">
        <v>3.2188041666666698</v>
      </c>
      <c r="M76" s="611">
        <v>2.6486399999999999</v>
      </c>
      <c r="N76" s="693">
        <v>4.4999999999999929E-2</v>
      </c>
      <c r="O76" s="611">
        <v>1.71079916666667</v>
      </c>
      <c r="P76" s="611">
        <v>5.0584755555555549</v>
      </c>
      <c r="Q76" s="611">
        <v>0.353265833333333</v>
      </c>
      <c r="R76" s="611">
        <v>130.260345</v>
      </c>
      <c r="S76" s="611">
        <v>9.8594538888888898</v>
      </c>
      <c r="T76" s="611">
        <v>0</v>
      </c>
      <c r="U76" s="613">
        <v>236.75327495160812</v>
      </c>
    </row>
    <row r="77" spans="3:21" x14ac:dyDescent="0.25">
      <c r="C77" s="618" t="s">
        <v>82</v>
      </c>
      <c r="D77" s="611">
        <v>1.4204347020000001E-2</v>
      </c>
      <c r="E77" s="611">
        <v>0</v>
      </c>
      <c r="F77" s="611">
        <v>37.704445299680003</v>
      </c>
      <c r="G77" s="611">
        <v>0</v>
      </c>
      <c r="H77" s="611">
        <v>1.9529625000000002</v>
      </c>
      <c r="I77" s="611">
        <v>0</v>
      </c>
      <c r="J77" s="611">
        <v>0</v>
      </c>
      <c r="K77" s="611">
        <v>0</v>
      </c>
      <c r="L77" s="611">
        <v>1.8475597222222224</v>
      </c>
      <c r="M77" s="611">
        <v>0</v>
      </c>
      <c r="N77" s="611">
        <v>2.0636319502888525</v>
      </c>
      <c r="O77" s="611">
        <v>0.77834083333333337</v>
      </c>
      <c r="P77" s="611">
        <v>0</v>
      </c>
      <c r="Q77" s="611">
        <v>0.29294666666666669</v>
      </c>
      <c r="R77" s="611">
        <v>7.6348390000000004</v>
      </c>
      <c r="S77" s="611">
        <v>0.26707805555555558</v>
      </c>
      <c r="T77" s="611">
        <v>0</v>
      </c>
      <c r="U77" s="613">
        <v>52.556008374766627</v>
      </c>
    </row>
    <row r="78" spans="3:21" x14ac:dyDescent="0.25">
      <c r="C78" s="618" t="s">
        <v>354</v>
      </c>
      <c r="D78" s="611">
        <v>0</v>
      </c>
      <c r="E78" s="611">
        <v>0</v>
      </c>
      <c r="F78" s="611">
        <v>0</v>
      </c>
      <c r="G78" s="611">
        <v>0</v>
      </c>
      <c r="H78" s="611">
        <v>0</v>
      </c>
      <c r="I78" s="611">
        <v>0</v>
      </c>
      <c r="J78" s="611">
        <v>0</v>
      </c>
      <c r="K78" s="611">
        <v>0</v>
      </c>
      <c r="L78" s="611">
        <v>0</v>
      </c>
      <c r="M78" s="611">
        <v>0</v>
      </c>
      <c r="N78" s="611">
        <v>0</v>
      </c>
      <c r="O78" s="611">
        <v>0</v>
      </c>
      <c r="P78" s="611">
        <v>0</v>
      </c>
      <c r="Q78" s="611">
        <v>0</v>
      </c>
      <c r="R78" s="611">
        <v>0</v>
      </c>
      <c r="S78" s="611">
        <v>0</v>
      </c>
      <c r="T78" s="611">
        <v>0</v>
      </c>
      <c r="U78" s="613">
        <v>0</v>
      </c>
    </row>
    <row r="79" spans="3:21" x14ac:dyDescent="0.25">
      <c r="C79" s="614" t="s">
        <v>83</v>
      </c>
      <c r="D79" s="615">
        <v>7.3431674043500008</v>
      </c>
      <c r="E79" s="615">
        <v>0</v>
      </c>
      <c r="F79" s="615">
        <v>576.36350305275596</v>
      </c>
      <c r="G79" s="615">
        <v>0</v>
      </c>
      <c r="H79" s="615">
        <v>268.43523249999998</v>
      </c>
      <c r="I79" s="615">
        <v>0</v>
      </c>
      <c r="J79" s="615">
        <v>0</v>
      </c>
      <c r="K79" s="615">
        <v>0</v>
      </c>
      <c r="L79" s="615">
        <v>89.71514826500001</v>
      </c>
      <c r="M79" s="615">
        <v>6.7504963888888891</v>
      </c>
      <c r="N79" s="615">
        <v>40.736134031703365</v>
      </c>
      <c r="O79" s="615">
        <v>3.4072002777777812</v>
      </c>
      <c r="P79" s="615">
        <v>49.498253287971146</v>
      </c>
      <c r="Q79" s="615">
        <v>3.3051766666666662</v>
      </c>
      <c r="R79" s="615">
        <v>403.00827800000008</v>
      </c>
      <c r="S79" s="615">
        <v>47.616076111111113</v>
      </c>
      <c r="T79" s="615">
        <v>0</v>
      </c>
      <c r="U79" s="615">
        <v>1496.178665986225</v>
      </c>
    </row>
    <row r="80" spans="3:21" x14ac:dyDescent="0.25">
      <c r="C80" s="610" t="s">
        <v>84</v>
      </c>
      <c r="D80" s="611">
        <v>2.5934781141400003</v>
      </c>
      <c r="E80" s="611">
        <v>0</v>
      </c>
      <c r="F80" s="611">
        <v>113.10061663207698</v>
      </c>
      <c r="G80" s="611">
        <v>0</v>
      </c>
      <c r="H80" s="611">
        <v>10.01566775</v>
      </c>
      <c r="I80" s="611">
        <v>0</v>
      </c>
      <c r="J80" s="611">
        <v>0</v>
      </c>
      <c r="K80" s="611">
        <v>0</v>
      </c>
      <c r="L80" s="611">
        <v>0</v>
      </c>
      <c r="M80" s="611">
        <v>0</v>
      </c>
      <c r="N80" s="611">
        <v>0</v>
      </c>
      <c r="O80" s="611">
        <v>0</v>
      </c>
      <c r="P80" s="611">
        <v>0</v>
      </c>
      <c r="Q80" s="611">
        <v>0</v>
      </c>
      <c r="R80" s="611">
        <v>0</v>
      </c>
      <c r="S80" s="611">
        <v>0</v>
      </c>
      <c r="T80" s="611">
        <v>0</v>
      </c>
      <c r="U80" s="619">
        <v>125.70976249621698</v>
      </c>
    </row>
    <row r="81" spans="3:21" x14ac:dyDescent="0.25">
      <c r="C81" s="614" t="s">
        <v>85</v>
      </c>
      <c r="D81" s="615">
        <v>9.9366455184900015</v>
      </c>
      <c r="E81" s="615">
        <v>0</v>
      </c>
      <c r="F81" s="615">
        <v>689.46411968483289</v>
      </c>
      <c r="G81" s="615">
        <v>0</v>
      </c>
      <c r="H81" s="615">
        <v>278.45090024999996</v>
      </c>
      <c r="I81" s="615">
        <v>0</v>
      </c>
      <c r="J81" s="615">
        <v>0</v>
      </c>
      <c r="K81" s="615">
        <v>0</v>
      </c>
      <c r="L81" s="615">
        <v>89.71514826500001</v>
      </c>
      <c r="M81" s="615">
        <v>6.7504963888888891</v>
      </c>
      <c r="N81" s="615">
        <v>40.736134031703365</v>
      </c>
      <c r="O81" s="615">
        <v>3.4072002777777812</v>
      </c>
      <c r="P81" s="615">
        <v>49.498253287971146</v>
      </c>
      <c r="Q81" s="615">
        <v>3.3051766666666662</v>
      </c>
      <c r="R81" s="615">
        <v>403.00827800000008</v>
      </c>
      <c r="S81" s="615">
        <v>47.616076111111113</v>
      </c>
      <c r="T81" s="615">
        <v>0</v>
      </c>
      <c r="U81" s="615">
        <v>1621.8884284824421</v>
      </c>
    </row>
  </sheetData>
  <mergeCells count="29">
    <mergeCell ref="S49:S50"/>
    <mergeCell ref="T49:T50"/>
    <mergeCell ref="U49:U50"/>
    <mergeCell ref="H49:H50"/>
    <mergeCell ref="I49:I50"/>
    <mergeCell ref="J49:J50"/>
    <mergeCell ref="K49:K50"/>
    <mergeCell ref="L49:Q49"/>
    <mergeCell ref="R49:R50"/>
    <mergeCell ref="C49:C50"/>
    <mergeCell ref="D49:D50"/>
    <mergeCell ref="E49:E50"/>
    <mergeCell ref="F49:F50"/>
    <mergeCell ref="G49:G50"/>
    <mergeCell ref="C7:U7"/>
    <mergeCell ref="C10:C11"/>
    <mergeCell ref="D10:D11"/>
    <mergeCell ref="E10:E11"/>
    <mergeCell ref="F10:F11"/>
    <mergeCell ref="G10:G11"/>
    <mergeCell ref="H10:H11"/>
    <mergeCell ref="I10:I11"/>
    <mergeCell ref="J10:J11"/>
    <mergeCell ref="K10:K11"/>
    <mergeCell ref="L10:Q10"/>
    <mergeCell ref="R10:R11"/>
    <mergeCell ref="S10:S11"/>
    <mergeCell ref="T10:T11"/>
    <mergeCell ref="U10:U11"/>
  </mergeCells>
  <conditionalFormatting sqref="D12:U18 D34:U42">
    <cfRule type="containsBlanks" dxfId="3168" priority="3">
      <formula>LEN(TRIM(D12))=0</formula>
    </cfRule>
  </conditionalFormatting>
  <conditionalFormatting sqref="D12:U42">
    <cfRule type="cellIs" dxfId="3167" priority="1" operator="equal">
      <formula>0</formula>
    </cfRule>
  </conditionalFormatting>
  <conditionalFormatting sqref="D20:U32">
    <cfRule type="containsBlanks" dxfId="3166" priority="2">
      <formula>LEN(TRIM(D20))=0</formula>
    </cfRule>
  </conditionalFormatting>
  <conditionalFormatting sqref="D51:U57">
    <cfRule type="containsBlanks" dxfId="3165" priority="12">
      <formula>LEN(TRIM(D51))=0</formula>
    </cfRule>
  </conditionalFormatting>
  <conditionalFormatting sqref="D51:U81">
    <cfRule type="cellIs" dxfId="3164" priority="7" operator="equal">
      <formula>0</formula>
    </cfRule>
  </conditionalFormatting>
  <conditionalFormatting sqref="D59:U71">
    <cfRule type="containsBlanks" dxfId="3163" priority="8">
      <formula>LEN(TRIM(D59))=0</formula>
    </cfRule>
  </conditionalFormatting>
  <conditionalFormatting sqref="D73:U81">
    <cfRule type="containsBlanks" dxfId="3162" priority="9">
      <formula>LEN(TRIM(D73))=0</formula>
    </cfRule>
  </conditionalFormatting>
  <conditionalFormatting sqref="F52:F53">
    <cfRule type="cellIs" dxfId="3161" priority="16" operator="equal">
      <formula>0</formula>
    </cfRule>
  </conditionalFormatting>
  <conditionalFormatting sqref="J52:K53 M52:T53">
    <cfRule type="cellIs" dxfId="3160" priority="17" operator="equal">
      <formula>0</formula>
    </cfRule>
  </conditionalFormatting>
  <conditionalFormatting sqref="J29:Q31">
    <cfRule type="cellIs" dxfId="3159" priority="5" operator="equal">
      <formula>0</formula>
    </cfRule>
  </conditionalFormatting>
  <conditionalFormatting sqref="J80:T80">
    <cfRule type="cellIs" dxfId="3158" priority="14" operator="equal">
      <formula>0</formula>
    </cfRule>
  </conditionalFormatting>
  <conditionalFormatting sqref="L11:Q11">
    <cfRule type="cellIs" dxfId="3157" priority="4" operator="equal">
      <formula>0</formula>
    </cfRule>
  </conditionalFormatting>
  <conditionalFormatting sqref="L25:Q25 E29:F29 L30:Q31">
    <cfRule type="cellIs" dxfId="3156" priority="6" operator="equal">
      <formula>0</formula>
    </cfRule>
  </conditionalFormatting>
  <conditionalFormatting sqref="L50:Q50">
    <cfRule type="cellIs" dxfId="3155" priority="15" operator="equal">
      <formula>0</formula>
    </cfRule>
  </conditionalFormatting>
  <conditionalFormatting sqref="P52:Q56">
    <cfRule type="cellIs" dxfId="3154" priority="13" operator="equal">
      <formula>0</formula>
    </cfRule>
  </conditionalFormatting>
  <conditionalFormatting sqref="R51:R53">
    <cfRule type="cellIs" dxfId="3153" priority="18" operator="equal">
      <formula>0</formula>
    </cfRule>
  </conditionalFormatting>
  <conditionalFormatting sqref="U59:U70">
    <cfRule type="containsBlanks" dxfId="3152" priority="11">
      <formula>LEN(TRIM(U59))=0</formula>
    </cfRule>
  </conditionalFormatting>
  <conditionalFormatting sqref="U73:U78">
    <cfRule type="containsBlanks" dxfId="3151" priority="10">
      <formula>LEN(TRIM(U73))=0</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8672B-023C-4304-80CB-8A14CFBFEB06}">
  <dimension ref="C3:U42"/>
  <sheetViews>
    <sheetView workbookViewId="0"/>
  </sheetViews>
  <sheetFormatPr baseColWidth="10" defaultRowHeight="15" x14ac:dyDescent="0.25"/>
  <sheetData>
    <row r="3" spans="3:21" x14ac:dyDescent="0.25">
      <c r="C3" t="s">
        <v>565</v>
      </c>
    </row>
    <row r="7" spans="3:21" x14ac:dyDescent="0.25">
      <c r="C7" s="607" t="s">
        <v>355</v>
      </c>
      <c r="D7" s="606"/>
      <c r="E7" s="606"/>
      <c r="F7" s="606"/>
      <c r="G7" s="606"/>
      <c r="H7" s="606"/>
      <c r="I7" s="606"/>
      <c r="J7" s="606"/>
      <c r="K7" s="606"/>
      <c r="L7" s="606"/>
      <c r="M7" s="606"/>
      <c r="N7" s="606"/>
      <c r="O7" s="606"/>
      <c r="P7" s="606"/>
      <c r="Q7" s="606"/>
      <c r="R7" s="606"/>
      <c r="S7" s="606"/>
      <c r="T7" s="606"/>
      <c r="U7" s="606"/>
    </row>
    <row r="10" spans="3:21" x14ac:dyDescent="0.25">
      <c r="C10" s="751" t="s">
        <v>128</v>
      </c>
      <c r="D10" s="752" t="s">
        <v>42</v>
      </c>
      <c r="E10" s="752" t="s">
        <v>52</v>
      </c>
      <c r="F10" s="752" t="s">
        <v>53</v>
      </c>
      <c r="G10" s="753" t="s">
        <v>482</v>
      </c>
      <c r="H10" s="752" t="s">
        <v>32</v>
      </c>
      <c r="I10" s="753" t="s">
        <v>483</v>
      </c>
      <c r="J10" s="752" t="s">
        <v>20</v>
      </c>
      <c r="K10" s="752" t="s">
        <v>55</v>
      </c>
      <c r="L10" s="752" t="s">
        <v>56</v>
      </c>
      <c r="M10" s="752"/>
      <c r="N10" s="752"/>
      <c r="O10" s="752"/>
      <c r="P10" s="752"/>
      <c r="Q10" s="752"/>
      <c r="R10" s="753" t="s">
        <v>57</v>
      </c>
      <c r="S10" s="753" t="s">
        <v>58</v>
      </c>
      <c r="T10" s="753" t="s">
        <v>31</v>
      </c>
      <c r="U10" s="753" t="s">
        <v>10</v>
      </c>
    </row>
    <row r="11" spans="3:21" ht="36" x14ac:dyDescent="0.25">
      <c r="C11" s="751"/>
      <c r="D11" s="752"/>
      <c r="E11" s="752"/>
      <c r="F11" s="752"/>
      <c r="G11" s="754"/>
      <c r="H11" s="752"/>
      <c r="I11" s="754"/>
      <c r="J11" s="752"/>
      <c r="K11" s="752"/>
      <c r="L11" s="608" t="s">
        <v>335</v>
      </c>
      <c r="M11" s="608" t="s">
        <v>40</v>
      </c>
      <c r="N11" s="608" t="s">
        <v>343</v>
      </c>
      <c r="O11" s="608" t="s">
        <v>344</v>
      </c>
      <c r="P11" s="609" t="s">
        <v>345</v>
      </c>
      <c r="Q11" s="608" t="s">
        <v>346</v>
      </c>
      <c r="R11" s="754"/>
      <c r="S11" s="754"/>
      <c r="T11" s="754"/>
      <c r="U11" s="754"/>
    </row>
    <row r="12" spans="3:21" x14ac:dyDescent="0.25">
      <c r="C12" s="610" t="s">
        <v>59</v>
      </c>
      <c r="D12" s="611">
        <v>0</v>
      </c>
      <c r="E12" s="611">
        <v>9.677063019491003</v>
      </c>
      <c r="F12" s="611">
        <v>0</v>
      </c>
      <c r="G12" s="611">
        <v>0</v>
      </c>
      <c r="H12" s="611">
        <v>0.184308</v>
      </c>
      <c r="I12" s="611">
        <v>0</v>
      </c>
      <c r="J12" s="612">
        <v>1024.855403030303</v>
      </c>
      <c r="K12" s="612">
        <v>131.99908600000001</v>
      </c>
      <c r="L12" s="611">
        <v>118.73076194444447</v>
      </c>
      <c r="M12" s="612">
        <v>35.112782777777781</v>
      </c>
      <c r="N12" s="611">
        <v>20.647434330821</v>
      </c>
      <c r="O12" s="611">
        <v>20.869724166666668</v>
      </c>
      <c r="P12" s="612">
        <v>49.99968472222222</v>
      </c>
      <c r="Q12" s="612">
        <v>7.9422280555555558</v>
      </c>
      <c r="R12" s="611">
        <v>0</v>
      </c>
      <c r="S12" s="611">
        <v>0</v>
      </c>
      <c r="T12" s="611">
        <v>0</v>
      </c>
      <c r="U12" s="613">
        <v>1420.0184760472814</v>
      </c>
    </row>
    <row r="13" spans="3:21" x14ac:dyDescent="0.25">
      <c r="C13" s="610" t="s">
        <v>60</v>
      </c>
      <c r="D13" s="611">
        <v>52.110827959550001</v>
      </c>
      <c r="E13" s="611">
        <v>541.29626885750508</v>
      </c>
      <c r="F13" s="611">
        <v>441.96892011980117</v>
      </c>
      <c r="G13" s="611">
        <v>0</v>
      </c>
      <c r="H13" s="611">
        <v>479.18489974999994</v>
      </c>
      <c r="I13" s="611">
        <v>0</v>
      </c>
      <c r="J13" s="611">
        <v>0</v>
      </c>
      <c r="K13" s="611">
        <v>0</v>
      </c>
      <c r="L13" s="611">
        <v>5.9105898047222221</v>
      </c>
      <c r="M13" s="611">
        <v>0</v>
      </c>
      <c r="N13" s="611">
        <v>24.790774036849388</v>
      </c>
      <c r="O13" s="611">
        <v>0</v>
      </c>
      <c r="P13" s="611">
        <v>0</v>
      </c>
      <c r="Q13" s="611">
        <v>0</v>
      </c>
      <c r="R13" s="611">
        <v>25.456313000000002</v>
      </c>
      <c r="S13" s="611">
        <v>0</v>
      </c>
      <c r="T13" s="611">
        <v>0</v>
      </c>
      <c r="U13" s="613">
        <v>1570.7185935284274</v>
      </c>
    </row>
    <row r="14" spans="3:21" x14ac:dyDescent="0.25">
      <c r="C14" s="610" t="s">
        <v>61</v>
      </c>
      <c r="D14" s="611">
        <v>-0.37998693185000004</v>
      </c>
      <c r="E14" s="611">
        <v>-1.4738675344580001</v>
      </c>
      <c r="F14" s="611">
        <v>-170.55566882793804</v>
      </c>
      <c r="G14" s="611">
        <v>0</v>
      </c>
      <c r="H14" s="611">
        <v>-140.29266699999997</v>
      </c>
      <c r="I14" s="611">
        <v>0</v>
      </c>
      <c r="J14" s="611">
        <v>0</v>
      </c>
      <c r="K14" s="611">
        <v>0</v>
      </c>
      <c r="L14" s="611">
        <v>-2.9203765397222199</v>
      </c>
      <c r="M14" s="611">
        <v>0</v>
      </c>
      <c r="N14" s="611">
        <v>-4.58493756360975</v>
      </c>
      <c r="O14" s="611">
        <v>0</v>
      </c>
      <c r="P14" s="611">
        <v>0</v>
      </c>
      <c r="Q14" s="611">
        <v>0</v>
      </c>
      <c r="R14" s="611">
        <v>-75.800200000000004</v>
      </c>
      <c r="S14" s="611">
        <v>0</v>
      </c>
      <c r="T14" s="611">
        <v>0</v>
      </c>
      <c r="U14" s="613">
        <v>-396.00770439757798</v>
      </c>
    </row>
    <row r="15" spans="3:21" x14ac:dyDescent="0.25">
      <c r="C15" s="610" t="s">
        <v>62</v>
      </c>
      <c r="D15" s="611">
        <v>0</v>
      </c>
      <c r="E15" s="611">
        <v>0</v>
      </c>
      <c r="F15" s="611">
        <v>-11.797829883012001</v>
      </c>
      <c r="G15" s="611">
        <v>0</v>
      </c>
      <c r="H15" s="611">
        <v>0</v>
      </c>
      <c r="I15" s="611">
        <v>0</v>
      </c>
      <c r="J15" s="611">
        <v>0</v>
      </c>
      <c r="K15" s="611">
        <v>0</v>
      </c>
      <c r="L15" s="611">
        <v>0</v>
      </c>
      <c r="M15" s="611">
        <v>0</v>
      </c>
      <c r="N15" s="611">
        <v>0</v>
      </c>
      <c r="O15" s="611">
        <v>0</v>
      </c>
      <c r="P15" s="611">
        <v>0</v>
      </c>
      <c r="Q15" s="611">
        <v>0</v>
      </c>
      <c r="R15" s="611">
        <v>0</v>
      </c>
      <c r="S15" s="611">
        <v>0</v>
      </c>
      <c r="T15" s="611">
        <v>0</v>
      </c>
      <c r="U15" s="613">
        <v>-11.797829883012001</v>
      </c>
    </row>
    <row r="16" spans="3:21" x14ac:dyDescent="0.25">
      <c r="C16" s="610" t="s">
        <v>63</v>
      </c>
      <c r="D16" s="611">
        <v>0</v>
      </c>
      <c r="E16" s="611">
        <v>0</v>
      </c>
      <c r="F16" s="611">
        <v>-63.425109279019985</v>
      </c>
      <c r="G16" s="611">
        <v>0</v>
      </c>
      <c r="H16" s="611">
        <v>0</v>
      </c>
      <c r="I16" s="611">
        <v>0</v>
      </c>
      <c r="J16" s="611">
        <v>0</v>
      </c>
      <c r="K16" s="611">
        <v>0</v>
      </c>
      <c r="L16" s="611">
        <v>0</v>
      </c>
      <c r="M16" s="611">
        <v>0</v>
      </c>
      <c r="N16" s="611">
        <v>0</v>
      </c>
      <c r="O16" s="611">
        <v>0</v>
      </c>
      <c r="P16" s="611">
        <v>0</v>
      </c>
      <c r="Q16" s="611">
        <v>0</v>
      </c>
      <c r="R16" s="611">
        <v>0</v>
      </c>
      <c r="S16" s="611">
        <v>0</v>
      </c>
      <c r="T16" s="611">
        <v>0</v>
      </c>
      <c r="U16" s="613">
        <v>-63.425109279019985</v>
      </c>
    </row>
    <row r="17" spans="3:21" x14ac:dyDescent="0.25">
      <c r="C17" s="610" t="s">
        <v>64</v>
      </c>
      <c r="D17" s="611">
        <v>0.23938630277444459</v>
      </c>
      <c r="E17" s="611">
        <v>-0.91945389982399994</v>
      </c>
      <c r="F17" s="611">
        <v>2.7507868955550001</v>
      </c>
      <c r="G17" s="611">
        <v>0</v>
      </c>
      <c r="H17" s="611">
        <v>1.4800355000000003</v>
      </c>
      <c r="I17" s="611">
        <v>0</v>
      </c>
      <c r="J17" s="611">
        <v>0</v>
      </c>
      <c r="K17" s="611">
        <v>0</v>
      </c>
      <c r="L17" s="611">
        <v>0</v>
      </c>
      <c r="M17" s="611">
        <v>0</v>
      </c>
      <c r="N17" s="611">
        <v>0</v>
      </c>
      <c r="O17" s="611">
        <v>0</v>
      </c>
      <c r="P17" s="611">
        <v>0</v>
      </c>
      <c r="Q17" s="611">
        <v>0</v>
      </c>
      <c r="R17" s="611">
        <v>0</v>
      </c>
      <c r="S17" s="611">
        <v>0</v>
      </c>
      <c r="T17" s="611">
        <v>0</v>
      </c>
      <c r="U17" s="613">
        <v>3.5507547985054453</v>
      </c>
    </row>
    <row r="18" spans="3:21" x14ac:dyDescent="0.25">
      <c r="C18" s="614" t="s">
        <v>65</v>
      </c>
      <c r="D18" s="615">
        <v>51.970227330474444</v>
      </c>
      <c r="E18" s="615">
        <v>548.58001044271407</v>
      </c>
      <c r="F18" s="615">
        <v>198.94109902538617</v>
      </c>
      <c r="G18" s="615">
        <v>0</v>
      </c>
      <c r="H18" s="615">
        <v>340.55657624999992</v>
      </c>
      <c r="I18" s="615">
        <v>0</v>
      </c>
      <c r="J18" s="615">
        <v>1024.855403030303</v>
      </c>
      <c r="K18" s="615">
        <v>131.99908600000001</v>
      </c>
      <c r="L18" s="691">
        <v>121.72097520944448</v>
      </c>
      <c r="M18" s="615">
        <v>35.112782777777781</v>
      </c>
      <c r="N18" s="615">
        <v>40.853270804060635</v>
      </c>
      <c r="O18" s="615">
        <v>20.869724166666668</v>
      </c>
      <c r="P18" s="615">
        <v>49.99968472222222</v>
      </c>
      <c r="Q18" s="615">
        <v>7.9422280555555558</v>
      </c>
      <c r="R18" s="615">
        <v>-50.343887000000002</v>
      </c>
      <c r="S18" s="615">
        <v>0</v>
      </c>
      <c r="T18" s="615">
        <v>0</v>
      </c>
      <c r="U18" s="615">
        <v>2523.0571808146042</v>
      </c>
    </row>
    <row r="19" spans="3:21" x14ac:dyDescent="0.25">
      <c r="C19" s="616"/>
      <c r="D19" s="617"/>
      <c r="E19" s="617"/>
      <c r="F19" s="617"/>
      <c r="G19" s="617"/>
      <c r="H19" s="617"/>
      <c r="I19" s="617"/>
      <c r="J19" s="617"/>
      <c r="K19" s="617"/>
      <c r="L19" s="617"/>
      <c r="M19" s="617"/>
      <c r="N19" s="617"/>
      <c r="O19" s="617"/>
      <c r="P19" s="617"/>
      <c r="Q19" s="617"/>
      <c r="R19" s="617"/>
      <c r="S19" s="617"/>
      <c r="T19" s="617"/>
      <c r="U19" s="617"/>
    </row>
    <row r="20" spans="3:21" x14ac:dyDescent="0.25">
      <c r="C20" s="618" t="s">
        <v>67</v>
      </c>
      <c r="D20" s="611">
        <v>-2.1217553819344568</v>
      </c>
      <c r="E20" s="611">
        <v>9.0930698463820701</v>
      </c>
      <c r="F20" s="611">
        <v>9.9463627358790809</v>
      </c>
      <c r="G20" s="611">
        <v>0</v>
      </c>
      <c r="H20" s="611">
        <v>-2.2167392500000003</v>
      </c>
      <c r="I20" s="611">
        <v>0</v>
      </c>
      <c r="J20" s="611">
        <v>0</v>
      </c>
      <c r="K20" s="611">
        <v>0</v>
      </c>
      <c r="L20" s="611">
        <v>0</v>
      </c>
      <c r="M20" s="611">
        <v>0</v>
      </c>
      <c r="N20" s="611">
        <v>0</v>
      </c>
      <c r="O20" s="611">
        <v>0</v>
      </c>
      <c r="P20" s="611">
        <v>0</v>
      </c>
      <c r="Q20" s="611">
        <v>0</v>
      </c>
      <c r="R20" s="611">
        <v>0</v>
      </c>
      <c r="S20" s="611">
        <v>0</v>
      </c>
      <c r="T20" s="611">
        <v>0</v>
      </c>
      <c r="U20" s="692">
        <v>14.700937950326693</v>
      </c>
    </row>
    <row r="21" spans="3:21" x14ac:dyDescent="0.25">
      <c r="C21" s="618" t="s">
        <v>347</v>
      </c>
      <c r="D21" s="611">
        <v>8.0663799447291211</v>
      </c>
      <c r="E21" s="611">
        <v>0</v>
      </c>
      <c r="F21" s="611">
        <v>14.052224378777671</v>
      </c>
      <c r="G21" s="611">
        <v>0</v>
      </c>
      <c r="H21" s="611">
        <v>46.103507952894184</v>
      </c>
      <c r="I21" s="611">
        <v>0</v>
      </c>
      <c r="J21" s="611">
        <v>1024.855403030303</v>
      </c>
      <c r="K21" s="611">
        <v>131.99908600000001</v>
      </c>
      <c r="L21" s="611">
        <v>19.77483105751633</v>
      </c>
      <c r="M21" s="611">
        <v>11.451119756666667</v>
      </c>
      <c r="N21" s="611">
        <v>0</v>
      </c>
      <c r="O21" s="611">
        <v>6.3748563321944447</v>
      </c>
      <c r="P21" s="611">
        <v>0</v>
      </c>
      <c r="Q21" s="611">
        <v>0</v>
      </c>
      <c r="R21" s="611">
        <v>-522.78887500000008</v>
      </c>
      <c r="S21" s="611">
        <v>0</v>
      </c>
      <c r="T21" s="611">
        <v>0</v>
      </c>
      <c r="U21" s="692">
        <v>739.88853345308155</v>
      </c>
    </row>
    <row r="22" spans="3:21" x14ac:dyDescent="0.25">
      <c r="C22" s="618" t="s">
        <v>348</v>
      </c>
      <c r="D22" s="611">
        <v>1.1380952488397666</v>
      </c>
      <c r="E22" s="611">
        <v>0</v>
      </c>
      <c r="F22" s="611">
        <v>2.3133374224303318</v>
      </c>
      <c r="G22" s="611">
        <v>0</v>
      </c>
      <c r="H22" s="611">
        <v>18.103940047105812</v>
      </c>
      <c r="I22" s="611">
        <v>0</v>
      </c>
      <c r="J22" s="611">
        <v>0</v>
      </c>
      <c r="K22" s="611">
        <v>0</v>
      </c>
      <c r="L22" s="611">
        <v>12.231333664705893</v>
      </c>
      <c r="M22" s="611">
        <v>16.911208539676121</v>
      </c>
      <c r="N22" s="611">
        <v>0</v>
      </c>
      <c r="O22" s="611">
        <v>2.8654050566944451</v>
      </c>
      <c r="P22" s="611">
        <v>0.501695</v>
      </c>
      <c r="Q22" s="611">
        <v>4.6370516666666663</v>
      </c>
      <c r="R22" s="611">
        <v>0</v>
      </c>
      <c r="S22" s="611">
        <v>-52.431702692693626</v>
      </c>
      <c r="T22" s="611">
        <v>0</v>
      </c>
      <c r="U22" s="692">
        <v>6.2703639534254094</v>
      </c>
    </row>
    <row r="23" spans="3:21" x14ac:dyDescent="0.25">
      <c r="C23" s="618" t="s">
        <v>349</v>
      </c>
      <c r="D23" s="611">
        <v>0</v>
      </c>
      <c r="E23" s="611">
        <v>0</v>
      </c>
      <c r="F23" s="611">
        <v>0</v>
      </c>
      <c r="G23" s="611">
        <v>0</v>
      </c>
      <c r="H23" s="611">
        <v>-8.2222625000000011</v>
      </c>
      <c r="I23" s="611">
        <v>0</v>
      </c>
      <c r="J23" s="611">
        <v>0</v>
      </c>
      <c r="K23" s="611">
        <v>0</v>
      </c>
      <c r="L23" s="611">
        <v>0</v>
      </c>
      <c r="M23" s="611">
        <v>0</v>
      </c>
      <c r="N23" s="611">
        <v>0</v>
      </c>
      <c r="O23" s="611">
        <v>8.2222625000000011</v>
      </c>
      <c r="P23" s="611">
        <v>0</v>
      </c>
      <c r="Q23" s="611">
        <v>0</v>
      </c>
      <c r="R23" s="611">
        <v>0</v>
      </c>
      <c r="S23" s="611">
        <v>0</v>
      </c>
      <c r="T23" s="611">
        <v>0</v>
      </c>
      <c r="U23" s="692">
        <v>0</v>
      </c>
    </row>
    <row r="24" spans="3:21" x14ac:dyDescent="0.25">
      <c r="C24" s="618" t="s">
        <v>350</v>
      </c>
      <c r="D24" s="611">
        <v>0</v>
      </c>
      <c r="E24" s="611">
        <v>0</v>
      </c>
      <c r="F24" s="611">
        <v>0</v>
      </c>
      <c r="G24" s="611">
        <v>0</v>
      </c>
      <c r="H24" s="611">
        <v>0</v>
      </c>
      <c r="I24" s="611">
        <v>0</v>
      </c>
      <c r="J24" s="611">
        <v>0</v>
      </c>
      <c r="K24" s="611">
        <v>0</v>
      </c>
      <c r="L24" s="611">
        <v>0</v>
      </c>
      <c r="M24" s="611">
        <v>0</v>
      </c>
      <c r="N24" s="611">
        <v>0</v>
      </c>
      <c r="O24" s="611">
        <v>0</v>
      </c>
      <c r="P24" s="611">
        <v>0</v>
      </c>
      <c r="Q24" s="611">
        <v>0</v>
      </c>
      <c r="R24" s="611">
        <v>0</v>
      </c>
      <c r="S24" s="611">
        <v>0</v>
      </c>
      <c r="T24" s="611">
        <v>0</v>
      </c>
      <c r="U24" s="692">
        <v>0</v>
      </c>
    </row>
    <row r="25" spans="3:21" x14ac:dyDescent="0.25">
      <c r="C25" s="618" t="s">
        <v>72</v>
      </c>
      <c r="D25" s="611">
        <v>0</v>
      </c>
      <c r="E25" s="611">
        <v>558.2225840750001</v>
      </c>
      <c r="F25" s="611">
        <v>-553.64816260406405</v>
      </c>
      <c r="G25" s="611">
        <v>0</v>
      </c>
      <c r="H25" s="611">
        <v>0</v>
      </c>
      <c r="I25" s="611">
        <v>0</v>
      </c>
      <c r="J25" s="611">
        <v>0</v>
      </c>
      <c r="K25" s="611">
        <v>0</v>
      </c>
      <c r="L25" s="611">
        <v>0</v>
      </c>
      <c r="M25" s="611">
        <v>0</v>
      </c>
      <c r="N25" s="611">
        <v>0</v>
      </c>
      <c r="O25" s="611">
        <v>0</v>
      </c>
      <c r="P25" s="611">
        <v>0</v>
      </c>
      <c r="Q25" s="611">
        <v>0</v>
      </c>
      <c r="R25" s="611">
        <v>0</v>
      </c>
      <c r="S25" s="611">
        <v>0</v>
      </c>
      <c r="T25" s="611">
        <v>0</v>
      </c>
      <c r="U25" s="692">
        <v>4.5744214709360449</v>
      </c>
    </row>
    <row r="26" spans="3:21" x14ac:dyDescent="0.25">
      <c r="C26" s="618" t="s">
        <v>351</v>
      </c>
      <c r="D26" s="611">
        <v>0</v>
      </c>
      <c r="E26" s="611">
        <v>0</v>
      </c>
      <c r="F26" s="611">
        <v>0</v>
      </c>
      <c r="G26" s="611">
        <v>0</v>
      </c>
      <c r="H26" s="611">
        <v>0</v>
      </c>
      <c r="I26" s="611">
        <v>0</v>
      </c>
      <c r="J26" s="611">
        <v>0</v>
      </c>
      <c r="K26" s="611">
        <v>0</v>
      </c>
      <c r="L26" s="611">
        <v>0</v>
      </c>
      <c r="M26" s="611">
        <v>0</v>
      </c>
      <c r="N26" s="611">
        <v>0</v>
      </c>
      <c r="O26" s="611">
        <v>0</v>
      </c>
      <c r="P26" s="611">
        <v>0</v>
      </c>
      <c r="Q26" s="611">
        <v>0</v>
      </c>
      <c r="R26" s="611">
        <v>0</v>
      </c>
      <c r="S26" s="611">
        <v>0</v>
      </c>
      <c r="T26" s="611">
        <v>0</v>
      </c>
      <c r="U26" s="692">
        <v>0</v>
      </c>
    </row>
    <row r="27" spans="3:21" x14ac:dyDescent="0.25">
      <c r="C27" s="618" t="s">
        <v>352</v>
      </c>
      <c r="D27" s="611">
        <v>0</v>
      </c>
      <c r="E27" s="611">
        <v>0</v>
      </c>
      <c r="F27" s="611">
        <v>0</v>
      </c>
      <c r="G27" s="611">
        <v>0</v>
      </c>
      <c r="H27" s="611">
        <v>0</v>
      </c>
      <c r="I27" s="611">
        <v>0</v>
      </c>
      <c r="J27" s="611">
        <v>0</v>
      </c>
      <c r="K27" s="611">
        <v>0</v>
      </c>
      <c r="L27" s="611">
        <v>0</v>
      </c>
      <c r="M27" s="611">
        <v>0</v>
      </c>
      <c r="N27" s="611">
        <v>0</v>
      </c>
      <c r="O27" s="611">
        <v>0</v>
      </c>
      <c r="P27" s="611">
        <v>0</v>
      </c>
      <c r="Q27" s="611">
        <v>0</v>
      </c>
      <c r="R27" s="611">
        <v>0</v>
      </c>
      <c r="S27" s="611">
        <v>0</v>
      </c>
      <c r="T27" s="611">
        <v>0</v>
      </c>
      <c r="U27" s="692">
        <v>0</v>
      </c>
    </row>
    <row r="28" spans="3:21" x14ac:dyDescent="0.25">
      <c r="C28" s="618" t="s">
        <v>73</v>
      </c>
      <c r="D28" s="611">
        <v>0</v>
      </c>
      <c r="E28" s="611">
        <v>0</v>
      </c>
      <c r="F28" s="611">
        <v>0</v>
      </c>
      <c r="G28" s="611">
        <v>0</v>
      </c>
      <c r="H28" s="611">
        <v>0</v>
      </c>
      <c r="I28" s="611">
        <v>0</v>
      </c>
      <c r="J28" s="611">
        <v>0</v>
      </c>
      <c r="K28" s="611">
        <v>0</v>
      </c>
      <c r="L28" s="611">
        <v>0</v>
      </c>
      <c r="M28" s="611">
        <v>0</v>
      </c>
      <c r="N28" s="611">
        <v>0</v>
      </c>
      <c r="O28" s="611">
        <v>0</v>
      </c>
      <c r="P28" s="611">
        <v>0</v>
      </c>
      <c r="Q28" s="611">
        <v>0</v>
      </c>
      <c r="R28" s="611">
        <v>0</v>
      </c>
      <c r="S28" s="611">
        <v>0</v>
      </c>
      <c r="T28" s="611">
        <v>0</v>
      </c>
      <c r="U28" s="692">
        <v>0</v>
      </c>
    </row>
    <row r="29" spans="3:21" x14ac:dyDescent="0.25">
      <c r="C29" s="618" t="s">
        <v>353</v>
      </c>
      <c r="D29" s="611">
        <v>22.270286167016664</v>
      </c>
      <c r="E29" s="611">
        <v>-18.735643478667999</v>
      </c>
      <c r="F29" s="611">
        <v>18.735643478667999</v>
      </c>
      <c r="G29" s="611">
        <v>0</v>
      </c>
      <c r="H29" s="611">
        <v>0</v>
      </c>
      <c r="I29" s="611">
        <v>0</v>
      </c>
      <c r="J29" s="611">
        <v>0</v>
      </c>
      <c r="K29" s="611">
        <v>0</v>
      </c>
      <c r="L29" s="611">
        <v>0</v>
      </c>
      <c r="M29" s="611">
        <v>0</v>
      </c>
      <c r="N29" s="611">
        <v>0</v>
      </c>
      <c r="O29" s="611">
        <v>0</v>
      </c>
      <c r="P29" s="611">
        <v>0</v>
      </c>
      <c r="Q29" s="611">
        <v>0</v>
      </c>
      <c r="R29" s="611">
        <v>0</v>
      </c>
      <c r="S29" s="611">
        <v>0</v>
      </c>
      <c r="T29" s="611">
        <v>0</v>
      </c>
      <c r="U29" s="692">
        <v>22.270286167016664</v>
      </c>
    </row>
    <row r="30" spans="3:21" x14ac:dyDescent="0.25">
      <c r="C30" s="618" t="s">
        <v>75</v>
      </c>
      <c r="D30" s="611">
        <v>12.680575833333336</v>
      </c>
      <c r="E30" s="611">
        <v>0</v>
      </c>
      <c r="F30" s="611">
        <v>18.077573928862002</v>
      </c>
      <c r="G30" s="611">
        <v>0</v>
      </c>
      <c r="H30" s="611">
        <v>4.6688085000000008</v>
      </c>
      <c r="I30" s="611">
        <v>0</v>
      </c>
      <c r="J30" s="611">
        <v>0</v>
      </c>
      <c r="K30" s="611">
        <v>0</v>
      </c>
      <c r="L30" s="611">
        <v>0</v>
      </c>
      <c r="M30" s="611">
        <v>0</v>
      </c>
      <c r="N30" s="611">
        <v>0.11666502345247487</v>
      </c>
      <c r="O30" s="611">
        <v>0</v>
      </c>
      <c r="P30" s="611">
        <v>0</v>
      </c>
      <c r="Q30" s="611">
        <v>0</v>
      </c>
      <c r="R30" s="611">
        <v>33.687086999999963</v>
      </c>
      <c r="S30" s="611">
        <v>0</v>
      </c>
      <c r="T30" s="611">
        <v>0</v>
      </c>
      <c r="U30" s="692">
        <v>69.230710285647774</v>
      </c>
    </row>
    <row r="31" spans="3:21" x14ac:dyDescent="0.25">
      <c r="C31" s="618" t="s">
        <v>76</v>
      </c>
      <c r="D31" s="611">
        <v>0</v>
      </c>
      <c r="E31" s="611">
        <v>0</v>
      </c>
      <c r="F31" s="611">
        <v>0</v>
      </c>
      <c r="G31" s="611">
        <v>0</v>
      </c>
      <c r="H31" s="611">
        <v>3.6684212499999997</v>
      </c>
      <c r="I31" s="611">
        <v>0</v>
      </c>
      <c r="J31" s="611">
        <v>0</v>
      </c>
      <c r="K31" s="611">
        <v>0</v>
      </c>
      <c r="L31" s="611">
        <v>0</v>
      </c>
      <c r="M31" s="611">
        <v>0</v>
      </c>
      <c r="N31" s="611">
        <v>0</v>
      </c>
      <c r="O31" s="611">
        <v>0</v>
      </c>
      <c r="P31" s="611">
        <v>0</v>
      </c>
      <c r="Q31" s="611">
        <v>0</v>
      </c>
      <c r="R31" s="611">
        <v>35.749623</v>
      </c>
      <c r="S31" s="611">
        <v>4.8156266666666676</v>
      </c>
      <c r="T31" s="611">
        <v>0</v>
      </c>
      <c r="U31" s="692">
        <v>44.233670916666668</v>
      </c>
    </row>
    <row r="32" spans="3:21" x14ac:dyDescent="0.25">
      <c r="C32" s="614" t="s">
        <v>77</v>
      </c>
      <c r="D32" s="615">
        <v>42.033581811984433</v>
      </c>
      <c r="E32" s="615">
        <v>548.58001044271418</v>
      </c>
      <c r="F32" s="615">
        <v>-490.52302065944696</v>
      </c>
      <c r="G32" s="615">
        <v>0</v>
      </c>
      <c r="H32" s="615">
        <v>62.105675999999995</v>
      </c>
      <c r="I32" s="615">
        <v>0</v>
      </c>
      <c r="J32" s="615">
        <v>1024.855403030303</v>
      </c>
      <c r="K32" s="615">
        <v>131.99908600000001</v>
      </c>
      <c r="L32" s="689">
        <v>32.006164722222223</v>
      </c>
      <c r="M32" s="615">
        <v>28.362328296342788</v>
      </c>
      <c r="N32" s="615">
        <v>0.11666502345247487</v>
      </c>
      <c r="O32" s="615">
        <v>17.462523888888889</v>
      </c>
      <c r="P32" s="615">
        <v>0.501695</v>
      </c>
      <c r="Q32" s="615">
        <v>4.6370516666666663</v>
      </c>
      <c r="R32" s="615">
        <v>-453.35216500000013</v>
      </c>
      <c r="S32" s="615">
        <v>-47.61607602602696</v>
      </c>
      <c r="T32" s="615">
        <v>0</v>
      </c>
      <c r="U32" s="691">
        <v>901.16892419710086</v>
      </c>
    </row>
    <row r="33" spans="3:21" x14ac:dyDescent="0.25">
      <c r="C33" s="616"/>
      <c r="D33" s="690">
        <v>0</v>
      </c>
      <c r="E33" s="690">
        <v>-1.1368683772161603E-13</v>
      </c>
      <c r="F33" s="690">
        <v>0</v>
      </c>
      <c r="G33" s="690">
        <v>0</v>
      </c>
      <c r="H33" s="690">
        <v>0</v>
      </c>
      <c r="I33" s="690">
        <v>0</v>
      </c>
      <c r="J33" s="690">
        <v>0</v>
      </c>
      <c r="K33" s="690">
        <v>0</v>
      </c>
      <c r="L33" s="690">
        <v>-3.3777777775867435E-4</v>
      </c>
      <c r="M33" s="690">
        <v>-4.1907453896428137E-5</v>
      </c>
      <c r="N33" s="690">
        <v>4.7174890479340092E-4</v>
      </c>
      <c r="O33" s="690">
        <v>0</v>
      </c>
      <c r="P33" s="690">
        <v>-2.6356574892361095E-4</v>
      </c>
      <c r="Q33" s="690">
        <v>-2.7777777678039683E-7</v>
      </c>
      <c r="R33" s="690">
        <v>0</v>
      </c>
      <c r="S33" s="690">
        <v>-8.5084153056413925E-8</v>
      </c>
      <c r="T33" s="690">
        <v>0</v>
      </c>
      <c r="U33" s="617"/>
    </row>
    <row r="34" spans="3:21" x14ac:dyDescent="0.25">
      <c r="C34" s="618" t="s">
        <v>78</v>
      </c>
      <c r="D34" s="611">
        <v>6.7561224064300012</v>
      </c>
      <c r="E34" s="611">
        <v>0</v>
      </c>
      <c r="F34" s="611">
        <v>26.970422859407002</v>
      </c>
      <c r="G34" s="611">
        <v>0</v>
      </c>
      <c r="H34" s="611">
        <v>99.881862999999996</v>
      </c>
      <c r="I34" s="611">
        <v>0</v>
      </c>
      <c r="J34" s="611">
        <v>0</v>
      </c>
      <c r="K34" s="611">
        <v>0</v>
      </c>
      <c r="L34" s="611">
        <v>14.497804722222222</v>
      </c>
      <c r="M34" s="611">
        <v>4.1018563888888897</v>
      </c>
      <c r="N34" s="611">
        <v>0.89176663588059402</v>
      </c>
      <c r="O34" s="611">
        <v>0.91806027777777777</v>
      </c>
      <c r="P34" s="611">
        <v>2.6356574892997744E-4</v>
      </c>
      <c r="Q34" s="611">
        <v>2.5632777777777779E-2</v>
      </c>
      <c r="R34" s="611">
        <v>103.14419500000001</v>
      </c>
      <c r="S34" s="611">
        <v>21.859968333333335</v>
      </c>
      <c r="T34" s="611">
        <v>0</v>
      </c>
      <c r="U34" s="613">
        <v>279.04795596746652</v>
      </c>
    </row>
    <row r="35" spans="3:21" x14ac:dyDescent="0.25">
      <c r="C35" s="618" t="s">
        <v>79</v>
      </c>
      <c r="D35" s="611">
        <v>0</v>
      </c>
      <c r="E35" s="611">
        <v>0</v>
      </c>
      <c r="F35" s="611">
        <v>452.34819647075807</v>
      </c>
      <c r="G35" s="611">
        <v>0</v>
      </c>
      <c r="H35" s="611">
        <v>3.7083049999999997</v>
      </c>
      <c r="I35" s="611">
        <v>0</v>
      </c>
      <c r="J35" s="611">
        <v>0</v>
      </c>
      <c r="K35" s="611">
        <v>0</v>
      </c>
      <c r="L35" s="611">
        <v>0</v>
      </c>
      <c r="M35" s="611">
        <v>0</v>
      </c>
      <c r="N35" s="611">
        <v>37.735735445533919</v>
      </c>
      <c r="O35" s="611">
        <v>0</v>
      </c>
      <c r="P35" s="611">
        <v>0</v>
      </c>
      <c r="Q35" s="611">
        <v>0</v>
      </c>
      <c r="R35" s="611">
        <v>10.543191</v>
      </c>
      <c r="S35" s="611">
        <v>0</v>
      </c>
      <c r="T35" s="611">
        <v>0</v>
      </c>
      <c r="U35" s="613">
        <v>504.33542791629196</v>
      </c>
    </row>
    <row r="36" spans="3:21" x14ac:dyDescent="0.25">
      <c r="C36" s="618" t="s">
        <v>80</v>
      </c>
      <c r="D36" s="611">
        <v>0.23010017802000002</v>
      </c>
      <c r="E36" s="611">
        <v>0</v>
      </c>
      <c r="F36" s="611">
        <v>35.382495305294</v>
      </c>
      <c r="G36" s="611">
        <v>0</v>
      </c>
      <c r="H36" s="611">
        <v>103.59429425</v>
      </c>
      <c r="I36" s="611">
        <v>0</v>
      </c>
      <c r="J36" s="611">
        <v>0</v>
      </c>
      <c r="K36" s="611">
        <v>0</v>
      </c>
      <c r="L36" s="611">
        <v>70.150979653888882</v>
      </c>
      <c r="M36" s="611">
        <v>0</v>
      </c>
      <c r="N36" s="611">
        <v>0</v>
      </c>
      <c r="O36" s="611">
        <v>0</v>
      </c>
      <c r="P36" s="611">
        <v>44.439514166666662</v>
      </c>
      <c r="Q36" s="611">
        <v>2.6333313888888892</v>
      </c>
      <c r="R36" s="611">
        <v>151.42570800000004</v>
      </c>
      <c r="S36" s="611">
        <v>15.629575833333334</v>
      </c>
      <c r="T36" s="611">
        <v>0</v>
      </c>
      <c r="U36" s="613">
        <v>423.48599877609178</v>
      </c>
    </row>
    <row r="37" spans="3:21" x14ac:dyDescent="0.25">
      <c r="C37" s="618" t="s">
        <v>81</v>
      </c>
      <c r="D37" s="611">
        <v>0.34274047288000004</v>
      </c>
      <c r="E37" s="611">
        <v>0</v>
      </c>
      <c r="F37" s="611">
        <v>23.957943117617006</v>
      </c>
      <c r="G37" s="611">
        <v>0</v>
      </c>
      <c r="H37" s="611">
        <v>59.29780774999999</v>
      </c>
      <c r="I37" s="611">
        <v>0</v>
      </c>
      <c r="J37" s="611">
        <v>0</v>
      </c>
      <c r="K37" s="611">
        <v>0</v>
      </c>
      <c r="L37" s="611">
        <v>3.2188041666666698</v>
      </c>
      <c r="M37" s="611">
        <v>2.6486399999999999</v>
      </c>
      <c r="N37" s="693">
        <v>4.4999999999999929E-2</v>
      </c>
      <c r="O37" s="611">
        <v>1.71079916666667</v>
      </c>
      <c r="P37" s="611">
        <v>5.0584755555555549</v>
      </c>
      <c r="Q37" s="611">
        <v>0.353265833333333</v>
      </c>
      <c r="R37" s="611">
        <v>130.260345</v>
      </c>
      <c r="S37" s="611">
        <v>9.8594538888888898</v>
      </c>
      <c r="T37" s="611">
        <v>0</v>
      </c>
      <c r="U37" s="613">
        <v>236.75327495160812</v>
      </c>
    </row>
    <row r="38" spans="3:21" x14ac:dyDescent="0.25">
      <c r="C38" s="618" t="s">
        <v>82</v>
      </c>
      <c r="D38" s="611">
        <v>1.4204347020000001E-2</v>
      </c>
      <c r="E38" s="611">
        <v>0</v>
      </c>
      <c r="F38" s="611">
        <v>37.704445299680003</v>
      </c>
      <c r="G38" s="611">
        <v>0</v>
      </c>
      <c r="H38" s="611">
        <v>1.9529625000000002</v>
      </c>
      <c r="I38" s="611">
        <v>0</v>
      </c>
      <c r="J38" s="611">
        <v>0</v>
      </c>
      <c r="K38" s="611">
        <v>0</v>
      </c>
      <c r="L38" s="611">
        <v>1.8475597222222224</v>
      </c>
      <c r="M38" s="611">
        <v>0</v>
      </c>
      <c r="N38" s="611">
        <v>2.0636319502888525</v>
      </c>
      <c r="O38" s="611">
        <v>0.77834083333333337</v>
      </c>
      <c r="P38" s="611">
        <v>0</v>
      </c>
      <c r="Q38" s="611">
        <v>0.29294666666666669</v>
      </c>
      <c r="R38" s="611">
        <v>7.6348390000000004</v>
      </c>
      <c r="S38" s="611">
        <v>0.26707805555555558</v>
      </c>
      <c r="T38" s="611">
        <v>0</v>
      </c>
      <c r="U38" s="613">
        <v>52.556008374766627</v>
      </c>
    </row>
    <row r="39" spans="3:21" x14ac:dyDescent="0.25">
      <c r="C39" s="618" t="s">
        <v>354</v>
      </c>
      <c r="D39" s="611">
        <v>0</v>
      </c>
      <c r="E39" s="611">
        <v>0</v>
      </c>
      <c r="F39" s="611">
        <v>0</v>
      </c>
      <c r="G39" s="611">
        <v>0</v>
      </c>
      <c r="H39" s="611">
        <v>0</v>
      </c>
      <c r="I39" s="611">
        <v>0</v>
      </c>
      <c r="J39" s="611">
        <v>0</v>
      </c>
      <c r="K39" s="611">
        <v>0</v>
      </c>
      <c r="L39" s="611">
        <v>0</v>
      </c>
      <c r="M39" s="611">
        <v>0</v>
      </c>
      <c r="N39" s="611">
        <v>0</v>
      </c>
      <c r="O39" s="611">
        <v>0</v>
      </c>
      <c r="P39" s="611">
        <v>0</v>
      </c>
      <c r="Q39" s="611">
        <v>0</v>
      </c>
      <c r="R39" s="611">
        <v>0</v>
      </c>
      <c r="S39" s="611">
        <v>0</v>
      </c>
      <c r="T39" s="611">
        <v>0</v>
      </c>
      <c r="U39" s="613">
        <v>0</v>
      </c>
    </row>
    <row r="40" spans="3:21" x14ac:dyDescent="0.25">
      <c r="C40" s="614" t="s">
        <v>83</v>
      </c>
      <c r="D40" s="615">
        <v>7.3431674043500008</v>
      </c>
      <c r="E40" s="615">
        <v>0</v>
      </c>
      <c r="F40" s="615">
        <v>576.36350305275596</v>
      </c>
      <c r="G40" s="615">
        <v>0</v>
      </c>
      <c r="H40" s="615">
        <v>268.43523249999998</v>
      </c>
      <c r="I40" s="615">
        <v>0</v>
      </c>
      <c r="J40" s="615">
        <v>0</v>
      </c>
      <c r="K40" s="615">
        <v>0</v>
      </c>
      <c r="L40" s="615">
        <v>89.71514826500001</v>
      </c>
      <c r="M40" s="615">
        <v>6.7504963888888891</v>
      </c>
      <c r="N40" s="615">
        <v>40.736134031703365</v>
      </c>
      <c r="O40" s="615">
        <v>3.4072002777777812</v>
      </c>
      <c r="P40" s="615">
        <v>49.498253287971146</v>
      </c>
      <c r="Q40" s="615">
        <v>3.3051766666666662</v>
      </c>
      <c r="R40" s="615">
        <v>403.00827800000008</v>
      </c>
      <c r="S40" s="615">
        <v>47.616076111111113</v>
      </c>
      <c r="T40" s="615">
        <v>0</v>
      </c>
      <c r="U40" s="615">
        <v>1496.178665986225</v>
      </c>
    </row>
    <row r="41" spans="3:21" x14ac:dyDescent="0.25">
      <c r="C41" s="610" t="s">
        <v>84</v>
      </c>
      <c r="D41" s="611">
        <v>2.5934781141400003</v>
      </c>
      <c r="E41" s="611">
        <v>0</v>
      </c>
      <c r="F41" s="611">
        <v>113.10061663207698</v>
      </c>
      <c r="G41" s="611">
        <v>0</v>
      </c>
      <c r="H41" s="611">
        <v>10.01566775</v>
      </c>
      <c r="I41" s="611">
        <v>0</v>
      </c>
      <c r="J41" s="611">
        <v>0</v>
      </c>
      <c r="K41" s="611">
        <v>0</v>
      </c>
      <c r="L41" s="611">
        <v>0</v>
      </c>
      <c r="M41" s="611">
        <v>0</v>
      </c>
      <c r="N41" s="611">
        <v>0</v>
      </c>
      <c r="O41" s="611">
        <v>0</v>
      </c>
      <c r="P41" s="611">
        <v>0</v>
      </c>
      <c r="Q41" s="611">
        <v>0</v>
      </c>
      <c r="R41" s="611">
        <v>0</v>
      </c>
      <c r="S41" s="611">
        <v>0</v>
      </c>
      <c r="T41" s="611">
        <v>0</v>
      </c>
      <c r="U41" s="619">
        <v>125.70976249621698</v>
      </c>
    </row>
    <row r="42" spans="3:21" x14ac:dyDescent="0.25">
      <c r="C42" s="614" t="s">
        <v>85</v>
      </c>
      <c r="D42" s="615">
        <v>9.9366455184900015</v>
      </c>
      <c r="E42" s="615">
        <v>0</v>
      </c>
      <c r="F42" s="615">
        <v>689.46411968483289</v>
      </c>
      <c r="G42" s="615">
        <v>0</v>
      </c>
      <c r="H42" s="615">
        <v>278.45090024999996</v>
      </c>
      <c r="I42" s="615">
        <v>0</v>
      </c>
      <c r="J42" s="615">
        <v>0</v>
      </c>
      <c r="K42" s="615">
        <v>0</v>
      </c>
      <c r="L42" s="615">
        <v>89.71514826500001</v>
      </c>
      <c r="M42" s="615">
        <v>6.7504963888888891</v>
      </c>
      <c r="N42" s="615">
        <v>40.736134031703365</v>
      </c>
      <c r="O42" s="615">
        <v>3.4072002777777812</v>
      </c>
      <c r="P42" s="615">
        <v>49.498253287971146</v>
      </c>
      <c r="Q42" s="615">
        <v>3.3051766666666662</v>
      </c>
      <c r="R42" s="615">
        <v>403.00827800000008</v>
      </c>
      <c r="S42" s="615">
        <v>47.616076111111113</v>
      </c>
      <c r="T42" s="615">
        <v>0</v>
      </c>
      <c r="U42" s="615">
        <v>1621.8884284824421</v>
      </c>
    </row>
  </sheetData>
  <mergeCells count="14">
    <mergeCell ref="S10:S11"/>
    <mergeCell ref="T10:T11"/>
    <mergeCell ref="U10:U11"/>
    <mergeCell ref="H10:H11"/>
    <mergeCell ref="I10:I11"/>
    <mergeCell ref="J10:J11"/>
    <mergeCell ref="K10:K11"/>
    <mergeCell ref="L10:Q10"/>
    <mergeCell ref="R10:R11"/>
    <mergeCell ref="C10:C11"/>
    <mergeCell ref="D10:D11"/>
    <mergeCell ref="E10:E11"/>
    <mergeCell ref="F10:F11"/>
    <mergeCell ref="G10:G11"/>
  </mergeCells>
  <conditionalFormatting sqref="D12:U18">
    <cfRule type="containsBlanks" dxfId="3150" priority="12">
      <formula>LEN(TRIM(D12))=0</formula>
    </cfRule>
  </conditionalFormatting>
  <conditionalFormatting sqref="D12:U42">
    <cfRule type="cellIs" dxfId="3149" priority="7" operator="equal">
      <formula>0</formula>
    </cfRule>
  </conditionalFormatting>
  <conditionalFormatting sqref="D20:U32">
    <cfRule type="containsBlanks" dxfId="3148" priority="8">
      <formula>LEN(TRIM(D20))=0</formula>
    </cfRule>
  </conditionalFormatting>
  <conditionalFormatting sqref="D34:U42">
    <cfRule type="containsBlanks" dxfId="3147" priority="9">
      <formula>LEN(TRIM(D34))=0</formula>
    </cfRule>
  </conditionalFormatting>
  <conditionalFormatting sqref="F13:F14">
    <cfRule type="cellIs" dxfId="3146" priority="16" operator="equal">
      <formula>0</formula>
    </cfRule>
  </conditionalFormatting>
  <conditionalFormatting sqref="J13:K14 M13:T14">
    <cfRule type="cellIs" dxfId="3145" priority="17" operator="equal">
      <formula>0</formula>
    </cfRule>
  </conditionalFormatting>
  <conditionalFormatting sqref="J41:T41">
    <cfRule type="cellIs" dxfId="3144" priority="14" operator="equal">
      <formula>0</formula>
    </cfRule>
  </conditionalFormatting>
  <conditionalFormatting sqref="L11:Q11">
    <cfRule type="cellIs" dxfId="3143" priority="15" operator="equal">
      <formula>0</formula>
    </cfRule>
  </conditionalFormatting>
  <conditionalFormatting sqref="P13:Q17">
    <cfRule type="cellIs" dxfId="3142" priority="13" operator="equal">
      <formula>0</formula>
    </cfRule>
  </conditionalFormatting>
  <conditionalFormatting sqref="R12:R14">
    <cfRule type="cellIs" dxfId="3141" priority="18" operator="equal">
      <formula>0</formula>
    </cfRule>
  </conditionalFormatting>
  <conditionalFormatting sqref="U20:U31">
    <cfRule type="containsBlanks" dxfId="3140" priority="11">
      <formula>LEN(TRIM(U20))=0</formula>
    </cfRule>
  </conditionalFormatting>
  <conditionalFormatting sqref="U34:U39">
    <cfRule type="containsBlanks" dxfId="3139" priority="10">
      <formula>LEN(TRIM(U34))=0</formula>
    </cfRule>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1CA5A-6BD9-45FF-974C-7896A177A4A0}">
  <dimension ref="A2:V414"/>
  <sheetViews>
    <sheetView workbookViewId="0"/>
  </sheetViews>
  <sheetFormatPr baseColWidth="10" defaultColWidth="8.7109375" defaultRowHeight="12.75" x14ac:dyDescent="0.2"/>
  <cols>
    <col min="1" max="2" width="8.7109375" style="411"/>
    <col min="3" max="3" width="34.85546875" style="411" customWidth="1"/>
    <col min="4" max="23" width="8.7109375" style="411"/>
    <col min="24" max="24" width="9.5703125" style="411" bestFit="1" customWidth="1"/>
    <col min="25" max="16384" width="8.7109375" style="411"/>
  </cols>
  <sheetData>
    <row r="2" spans="2:20" ht="18" x14ac:dyDescent="0.25">
      <c r="B2" s="409"/>
      <c r="C2" s="410" t="s">
        <v>337</v>
      </c>
      <c r="D2" s="409"/>
      <c r="E2" s="409"/>
      <c r="F2" s="409"/>
      <c r="G2" s="409"/>
      <c r="H2" s="409"/>
      <c r="I2" s="409"/>
      <c r="J2" s="409"/>
      <c r="K2" s="409"/>
      <c r="L2" s="409"/>
      <c r="M2" s="409"/>
      <c r="N2" s="409"/>
      <c r="O2" s="409"/>
      <c r="P2" s="409"/>
      <c r="Q2" s="409"/>
      <c r="R2" s="409"/>
      <c r="S2" s="409"/>
      <c r="T2" s="409"/>
    </row>
    <row r="3" spans="2:20" x14ac:dyDescent="0.2">
      <c r="B3" s="412"/>
      <c r="C3" s="412"/>
      <c r="D3" s="412"/>
      <c r="E3" s="412"/>
      <c r="F3" s="412"/>
      <c r="G3" s="412"/>
      <c r="H3" s="412"/>
      <c r="I3" s="412"/>
      <c r="J3" s="412"/>
      <c r="K3" s="412"/>
      <c r="L3" s="412"/>
      <c r="M3" s="412"/>
      <c r="N3" s="412"/>
      <c r="O3" s="412"/>
      <c r="P3" s="412"/>
      <c r="Q3" s="412"/>
      <c r="R3" s="412"/>
      <c r="S3" s="412"/>
      <c r="T3" s="412"/>
    </row>
    <row r="4" spans="2:20" ht="15" x14ac:dyDescent="0.2">
      <c r="B4" s="412"/>
      <c r="D4" s="413" t="s">
        <v>338</v>
      </c>
      <c r="E4" s="414" t="s">
        <v>339</v>
      </c>
      <c r="F4" s="414"/>
      <c r="G4" s="414"/>
      <c r="H4" s="415" t="s">
        <v>340</v>
      </c>
      <c r="I4" s="415"/>
      <c r="J4" s="415"/>
      <c r="K4" s="415"/>
      <c r="L4" s="415"/>
      <c r="M4" s="415"/>
      <c r="N4" s="415"/>
      <c r="O4" s="415"/>
      <c r="P4" s="414"/>
      <c r="Q4" s="414"/>
      <c r="R4" s="414"/>
      <c r="S4" s="414"/>
      <c r="T4" s="414"/>
    </row>
    <row r="5" spans="2:20" ht="15" x14ac:dyDescent="0.2">
      <c r="B5" s="412"/>
      <c r="D5" s="413" t="s">
        <v>341</v>
      </c>
      <c r="E5" s="414" t="s">
        <v>342</v>
      </c>
      <c r="F5" s="414"/>
      <c r="G5" s="414"/>
      <c r="H5" s="414"/>
      <c r="I5" s="414"/>
      <c r="J5" s="414"/>
      <c r="K5" s="414"/>
      <c r="L5" s="414"/>
      <c r="M5" s="414"/>
      <c r="N5" s="414"/>
      <c r="O5" s="414"/>
      <c r="P5" s="414"/>
      <c r="Q5" s="414"/>
      <c r="R5" s="414"/>
      <c r="S5" s="414"/>
      <c r="T5" s="414"/>
    </row>
    <row r="6" spans="2:20" x14ac:dyDescent="0.2">
      <c r="B6" s="412"/>
      <c r="C6" s="412"/>
      <c r="D6" s="412"/>
      <c r="E6" s="412"/>
      <c r="F6" s="412"/>
      <c r="G6" s="412"/>
      <c r="H6" s="412"/>
      <c r="I6" s="412"/>
      <c r="J6" s="412"/>
      <c r="K6" s="412"/>
      <c r="L6" s="412"/>
      <c r="M6" s="412"/>
      <c r="N6" s="412"/>
      <c r="O6" s="412"/>
      <c r="P6" s="412"/>
      <c r="Q6" s="412"/>
      <c r="R6" s="412"/>
      <c r="S6" s="412"/>
      <c r="T6" s="412"/>
    </row>
    <row r="7" spans="2:20" x14ac:dyDescent="0.2">
      <c r="B7" s="412"/>
      <c r="C7" s="412"/>
      <c r="D7" s="412"/>
      <c r="E7" s="412"/>
      <c r="F7" s="412"/>
      <c r="G7" s="412"/>
      <c r="H7" s="412"/>
      <c r="I7" s="412"/>
      <c r="J7" s="412"/>
      <c r="K7" s="412"/>
      <c r="L7" s="412"/>
      <c r="M7" s="412"/>
      <c r="N7" s="412"/>
      <c r="O7" s="412"/>
      <c r="P7" s="412"/>
      <c r="Q7" s="412"/>
      <c r="R7" s="412"/>
      <c r="S7" s="412"/>
      <c r="T7" s="412"/>
    </row>
    <row r="8" spans="2:20" ht="14.25" x14ac:dyDescent="0.2">
      <c r="B8" s="416"/>
      <c r="C8" s="417" t="s">
        <v>86</v>
      </c>
      <c r="D8" s="416"/>
      <c r="E8" s="416"/>
      <c r="F8" s="416"/>
      <c r="G8" s="416"/>
      <c r="H8" s="416"/>
      <c r="I8" s="416"/>
      <c r="J8" s="416"/>
      <c r="K8" s="416"/>
      <c r="L8" s="416"/>
      <c r="M8" s="416"/>
      <c r="N8" s="416"/>
      <c r="O8" s="416"/>
      <c r="P8" s="416"/>
      <c r="Q8" s="416"/>
      <c r="R8" s="416"/>
      <c r="S8" s="416"/>
      <c r="T8" s="416"/>
    </row>
    <row r="9" spans="2:20" x14ac:dyDescent="0.2">
      <c r="B9" s="412"/>
      <c r="C9" s="412"/>
      <c r="D9" s="412"/>
      <c r="E9" s="412"/>
      <c r="F9" s="412"/>
      <c r="G9" s="412"/>
      <c r="H9" s="412"/>
      <c r="I9" s="412"/>
      <c r="J9" s="412"/>
      <c r="K9" s="412"/>
      <c r="L9" s="412"/>
      <c r="M9" s="412"/>
      <c r="N9" s="412"/>
      <c r="O9" s="412"/>
      <c r="P9" s="412"/>
      <c r="Q9" s="412"/>
      <c r="R9" s="412"/>
      <c r="S9" s="412"/>
      <c r="T9" s="412"/>
    </row>
    <row r="10" spans="2:20" ht="13.5" customHeight="1" x14ac:dyDescent="0.2">
      <c r="B10" s="412"/>
      <c r="C10" s="756" t="s">
        <v>128</v>
      </c>
      <c r="D10" s="755" t="s">
        <v>42</v>
      </c>
      <c r="E10" s="755" t="s">
        <v>52</v>
      </c>
      <c r="F10" s="755" t="s">
        <v>53</v>
      </c>
      <c r="G10" s="755" t="s">
        <v>32</v>
      </c>
      <c r="H10" s="755" t="s">
        <v>20</v>
      </c>
      <c r="I10" s="755" t="s">
        <v>55</v>
      </c>
      <c r="J10" s="755" t="s">
        <v>56</v>
      </c>
      <c r="K10" s="755"/>
      <c r="L10" s="755"/>
      <c r="M10" s="755"/>
      <c r="N10" s="755"/>
      <c r="O10" s="755"/>
      <c r="P10" s="755" t="s">
        <v>57</v>
      </c>
      <c r="Q10" s="755" t="s">
        <v>58</v>
      </c>
      <c r="R10" s="755" t="s">
        <v>31</v>
      </c>
      <c r="S10" s="755" t="s">
        <v>10</v>
      </c>
      <c r="T10" s="412"/>
    </row>
    <row r="11" spans="2:20" ht="56.25" x14ac:dyDescent="0.2">
      <c r="B11" s="412"/>
      <c r="C11" s="756"/>
      <c r="D11" s="755"/>
      <c r="E11" s="755"/>
      <c r="F11" s="755"/>
      <c r="G11" s="755"/>
      <c r="H11" s="755"/>
      <c r="I11" s="755"/>
      <c r="J11" s="418" t="s">
        <v>335</v>
      </c>
      <c r="K11" s="418" t="s">
        <v>40</v>
      </c>
      <c r="L11" s="418" t="s">
        <v>343</v>
      </c>
      <c r="M11" s="418" t="s">
        <v>344</v>
      </c>
      <c r="N11" s="419" t="s">
        <v>345</v>
      </c>
      <c r="O11" s="418" t="s">
        <v>346</v>
      </c>
      <c r="P11" s="755"/>
      <c r="Q11" s="755"/>
      <c r="R11" s="755"/>
      <c r="S11" s="755"/>
      <c r="T11" s="412"/>
    </row>
    <row r="12" spans="2:20" x14ac:dyDescent="0.2">
      <c r="B12" s="412"/>
      <c r="C12" s="420" t="s">
        <v>59</v>
      </c>
      <c r="D12" s="421">
        <v>0</v>
      </c>
      <c r="E12" s="421">
        <v>9.7977867342210008</v>
      </c>
      <c r="F12" s="422">
        <v>0</v>
      </c>
      <c r="G12" s="421">
        <v>0.18111849999999999</v>
      </c>
      <c r="H12" s="422">
        <v>1072.2208090909101</v>
      </c>
      <c r="I12" s="422">
        <v>115.87787899999999</v>
      </c>
      <c r="J12" s="422">
        <v>112.028883763832</v>
      </c>
      <c r="K12" s="422">
        <v>33.3469764659337</v>
      </c>
      <c r="L12" s="422">
        <v>0</v>
      </c>
      <c r="M12" s="422">
        <v>0</v>
      </c>
      <c r="N12" s="422">
        <v>32.169396111111098</v>
      </c>
      <c r="O12" s="422">
        <v>5.5031144880955498</v>
      </c>
      <c r="P12" s="422">
        <v>0</v>
      </c>
      <c r="Q12" s="422">
        <v>0</v>
      </c>
      <c r="R12" s="422">
        <v>0</v>
      </c>
      <c r="S12" s="423">
        <f t="shared" ref="S12:S17" si="0">SUM(D12:R12)</f>
        <v>1381.1259641541035</v>
      </c>
      <c r="T12" s="412"/>
    </row>
    <row r="13" spans="2:20" x14ac:dyDescent="0.2">
      <c r="B13" s="412"/>
      <c r="C13" s="420" t="s">
        <v>60</v>
      </c>
      <c r="D13" s="422">
        <v>53.758669450103397</v>
      </c>
      <c r="E13" s="422">
        <v>391.30391811518598</v>
      </c>
      <c r="F13" s="422">
        <v>490.50203112152298</v>
      </c>
      <c r="G13" s="422">
        <v>479.42224425000001</v>
      </c>
      <c r="H13" s="422">
        <v>0</v>
      </c>
      <c r="I13" s="422">
        <v>0</v>
      </c>
      <c r="J13" s="422">
        <v>2.6631252777777799</v>
      </c>
      <c r="K13" s="422">
        <v>0</v>
      </c>
      <c r="L13" s="550">
        <v>12.8011363168111</v>
      </c>
      <c r="M13" s="422">
        <v>0</v>
      </c>
      <c r="N13" s="422">
        <v>0</v>
      </c>
      <c r="O13" s="422">
        <v>0</v>
      </c>
      <c r="P13" s="432">
        <v>19.536102</v>
      </c>
      <c r="Q13" s="422">
        <v>0</v>
      </c>
      <c r="R13" s="422">
        <v>0</v>
      </c>
      <c r="S13" s="423">
        <f t="shared" si="0"/>
        <v>1449.9872265314011</v>
      </c>
      <c r="T13" s="412"/>
    </row>
    <row r="14" spans="2:20" x14ac:dyDescent="0.2">
      <c r="B14" s="412"/>
      <c r="C14" s="420" t="s">
        <v>61</v>
      </c>
      <c r="D14" s="422">
        <v>-9.697288221E-2</v>
      </c>
      <c r="E14" s="422">
        <v>-1.448866438559</v>
      </c>
      <c r="F14" s="422">
        <v>-152.00047045328199</v>
      </c>
      <c r="G14" s="422">
        <v>-95.022441999999998</v>
      </c>
      <c r="H14" s="422">
        <v>0</v>
      </c>
      <c r="I14" s="422">
        <v>0</v>
      </c>
      <c r="J14" s="422">
        <v>-2.0287163888888902</v>
      </c>
      <c r="K14" s="422">
        <v>0</v>
      </c>
      <c r="L14" s="555">
        <v>-5.9724632088267002</v>
      </c>
      <c r="M14" s="422">
        <v>0</v>
      </c>
      <c r="N14" s="422">
        <v>0</v>
      </c>
      <c r="O14" s="422">
        <v>0</v>
      </c>
      <c r="P14" s="432">
        <v>-64.575295999999994</v>
      </c>
      <c r="Q14" s="422">
        <v>0</v>
      </c>
      <c r="R14" s="422">
        <v>0</v>
      </c>
      <c r="S14" s="423">
        <f t="shared" si="0"/>
        <v>-321.14522737176657</v>
      </c>
      <c r="T14" s="412"/>
    </row>
    <row r="15" spans="2:20" x14ac:dyDescent="0.2">
      <c r="B15" s="412"/>
      <c r="C15" s="420" t="s">
        <v>62</v>
      </c>
      <c r="D15" s="421">
        <v>0</v>
      </c>
      <c r="E15" s="421">
        <v>0</v>
      </c>
      <c r="F15" s="421">
        <v>-10.9552200351159</v>
      </c>
      <c r="G15" s="421">
        <v>0</v>
      </c>
      <c r="H15" s="421">
        <v>0</v>
      </c>
      <c r="I15" s="421">
        <v>0</v>
      </c>
      <c r="J15" s="421">
        <v>0</v>
      </c>
      <c r="K15" s="421">
        <v>0</v>
      </c>
      <c r="L15" s="421">
        <v>0</v>
      </c>
      <c r="M15" s="421">
        <v>0</v>
      </c>
      <c r="N15" s="421">
        <v>0</v>
      </c>
      <c r="O15" s="421">
        <v>0</v>
      </c>
      <c r="P15" s="422">
        <v>0</v>
      </c>
      <c r="Q15" s="422">
        <v>0</v>
      </c>
      <c r="R15" s="421">
        <v>0</v>
      </c>
      <c r="S15" s="423">
        <f t="shared" si="0"/>
        <v>-10.9552200351159</v>
      </c>
      <c r="T15" s="412"/>
    </row>
    <row r="16" spans="2:20" x14ac:dyDescent="0.2">
      <c r="B16" s="412"/>
      <c r="C16" s="420" t="s">
        <v>63</v>
      </c>
      <c r="D16" s="421">
        <v>0</v>
      </c>
      <c r="E16" s="421">
        <v>0</v>
      </c>
      <c r="F16" s="421">
        <v>-33.884598226965998</v>
      </c>
      <c r="G16" s="421">
        <v>0</v>
      </c>
      <c r="H16" s="421">
        <v>0</v>
      </c>
      <c r="I16" s="421">
        <v>0</v>
      </c>
      <c r="J16" s="421">
        <v>0</v>
      </c>
      <c r="K16" s="421">
        <v>0</v>
      </c>
      <c r="L16" s="421">
        <v>0</v>
      </c>
      <c r="M16" s="421">
        <v>0</v>
      </c>
      <c r="N16" s="421">
        <v>0</v>
      </c>
      <c r="O16" s="421">
        <v>0</v>
      </c>
      <c r="P16" s="422">
        <v>0</v>
      </c>
      <c r="Q16" s="422">
        <v>0</v>
      </c>
      <c r="R16" s="421">
        <v>0</v>
      </c>
      <c r="S16" s="423">
        <f t="shared" si="0"/>
        <v>-33.884598226965998</v>
      </c>
      <c r="T16" s="412"/>
    </row>
    <row r="17" spans="1:22" x14ac:dyDescent="0.2">
      <c r="B17" s="412"/>
      <c r="C17" s="420" t="s">
        <v>64</v>
      </c>
      <c r="D17" s="422">
        <v>2.3241764109487302</v>
      </c>
      <c r="E17" s="422">
        <v>1.7113809303380001</v>
      </c>
      <c r="F17" s="422">
        <v>-2.0229574121509999</v>
      </c>
      <c r="G17" s="422">
        <v>21.247113500000001</v>
      </c>
      <c r="H17" s="422">
        <v>0</v>
      </c>
      <c r="I17" s="422">
        <v>0</v>
      </c>
      <c r="J17" s="422">
        <v>0</v>
      </c>
      <c r="K17" s="422">
        <v>0</v>
      </c>
      <c r="L17" s="422">
        <v>0</v>
      </c>
      <c r="M17" s="422">
        <v>0</v>
      </c>
      <c r="N17" s="422">
        <v>0</v>
      </c>
      <c r="O17" s="422">
        <v>0</v>
      </c>
      <c r="P17" s="422">
        <v>0</v>
      </c>
      <c r="Q17" s="422">
        <v>0</v>
      </c>
      <c r="R17" s="422">
        <v>0</v>
      </c>
      <c r="S17" s="423">
        <f t="shared" si="0"/>
        <v>23.259713429135733</v>
      </c>
      <c r="T17" s="412"/>
    </row>
    <row r="18" spans="1:22" x14ac:dyDescent="0.2">
      <c r="A18" s="488"/>
      <c r="B18" s="412"/>
      <c r="C18" s="424" t="s">
        <v>65</v>
      </c>
      <c r="D18" s="425">
        <f t="shared" ref="D18:S18" si="1">SUM(D12:D17)</f>
        <v>55.985872978842131</v>
      </c>
      <c r="E18" s="425">
        <f t="shared" si="1"/>
        <v>401.36421934118601</v>
      </c>
      <c r="F18" s="425">
        <f t="shared" si="1"/>
        <v>291.63878499400806</v>
      </c>
      <c r="G18" s="425">
        <f t="shared" si="1"/>
        <v>405.82803425000003</v>
      </c>
      <c r="H18" s="425">
        <f t="shared" si="1"/>
        <v>1072.2208090909101</v>
      </c>
      <c r="I18" s="425">
        <f t="shared" si="1"/>
        <v>115.87787899999999</v>
      </c>
      <c r="J18" s="425">
        <f t="shared" si="1"/>
        <v>112.66329265272088</v>
      </c>
      <c r="K18" s="425">
        <f t="shared" si="1"/>
        <v>33.3469764659337</v>
      </c>
      <c r="L18" s="425">
        <f t="shared" si="1"/>
        <v>6.8286731079843994</v>
      </c>
      <c r="M18" s="425">
        <f t="shared" si="1"/>
        <v>0</v>
      </c>
      <c r="N18" s="425">
        <f t="shared" si="1"/>
        <v>32.169396111111098</v>
      </c>
      <c r="O18" s="425">
        <f t="shared" si="1"/>
        <v>5.5031144880955498</v>
      </c>
      <c r="P18" s="425">
        <f t="shared" si="1"/>
        <v>-45.039193999999995</v>
      </c>
      <c r="Q18" s="425">
        <f t="shared" si="1"/>
        <v>0</v>
      </c>
      <c r="R18" s="425">
        <f t="shared" si="1"/>
        <v>0</v>
      </c>
      <c r="S18" s="425">
        <f t="shared" si="1"/>
        <v>2488.3878584807921</v>
      </c>
      <c r="T18" s="412"/>
      <c r="U18" s="488"/>
    </row>
    <row r="19" spans="1:22" x14ac:dyDescent="0.2">
      <c r="B19" s="412"/>
      <c r="C19" s="426"/>
      <c r="D19" s="427">
        <f t="shared" ref="D19:J19" si="2">D18-(D32+D42)</f>
        <v>0</v>
      </c>
      <c r="E19" s="492">
        <f t="shared" si="2"/>
        <v>-0.72010530613835044</v>
      </c>
      <c r="F19" s="492">
        <f t="shared" si="2"/>
        <v>0</v>
      </c>
      <c r="G19" s="492">
        <f t="shared" si="2"/>
        <v>-1.9873640000000137</v>
      </c>
      <c r="H19" s="427">
        <f t="shared" si="2"/>
        <v>0</v>
      </c>
      <c r="I19" s="427">
        <f t="shared" si="2"/>
        <v>0</v>
      </c>
      <c r="J19" s="427">
        <f t="shared" si="2"/>
        <v>-4.0283470070789917E-7</v>
      </c>
      <c r="K19" s="492">
        <f>K18-(K32+K42)</f>
        <v>-0.39663193821571952</v>
      </c>
      <c r="L19" s="556">
        <f>L18-(L32+L42)</f>
        <v>0.41349297023793152</v>
      </c>
      <c r="M19" s="427">
        <f t="shared" ref="M19:R19" si="3">M18-(M32+M42)</f>
        <v>1.6666668445353139E-7</v>
      </c>
      <c r="N19" s="427">
        <f t="shared" si="3"/>
        <v>0</v>
      </c>
      <c r="O19" s="427">
        <f t="shared" si="3"/>
        <v>-5.592689014122243E-7</v>
      </c>
      <c r="P19" s="492">
        <f t="shared" si="3"/>
        <v>-9.9475983006414026E-14</v>
      </c>
      <c r="Q19" s="492">
        <f t="shared" si="3"/>
        <v>-5.5555548783559061E-7</v>
      </c>
      <c r="R19" s="427">
        <f t="shared" si="3"/>
        <v>0</v>
      </c>
      <c r="S19" s="427">
        <f>S18-(S32+S42)</f>
        <v>-2.6906096251086637</v>
      </c>
      <c r="T19" s="412"/>
    </row>
    <row r="20" spans="1:22" x14ac:dyDescent="0.2">
      <c r="B20" s="412"/>
      <c r="C20" s="428" t="s">
        <v>67</v>
      </c>
      <c r="D20" s="549">
        <v>-3.1696853392377902</v>
      </c>
      <c r="E20" s="431">
        <v>7.5650399061953602</v>
      </c>
      <c r="F20" s="431">
        <v>5.1904492215094802</v>
      </c>
      <c r="G20" s="431">
        <v>1.297493</v>
      </c>
      <c r="H20" s="421">
        <v>0</v>
      </c>
      <c r="I20" s="421">
        <v>0</v>
      </c>
      <c r="J20" s="421">
        <v>0</v>
      </c>
      <c r="K20" s="431">
        <v>0</v>
      </c>
      <c r="L20" s="421">
        <v>0</v>
      </c>
      <c r="M20" s="421">
        <v>0</v>
      </c>
      <c r="N20" s="421">
        <v>0</v>
      </c>
      <c r="O20" s="421">
        <v>0</v>
      </c>
      <c r="P20" s="431">
        <v>3.4925675262248301</v>
      </c>
      <c r="Q20" s="431">
        <v>0</v>
      </c>
      <c r="R20" s="422">
        <v>0</v>
      </c>
      <c r="S20" s="423">
        <f t="shared" ref="S20:S31" si="4">SUM(D20:R20)</f>
        <v>14.37586431469188</v>
      </c>
      <c r="T20" s="412"/>
    </row>
    <row r="21" spans="1:22" x14ac:dyDescent="0.2">
      <c r="B21" s="412"/>
      <c r="C21" s="428" t="s">
        <v>347</v>
      </c>
      <c r="D21" s="431">
        <v>9.3252829217432893</v>
      </c>
      <c r="E21" s="421">
        <v>0</v>
      </c>
      <c r="F21" s="431">
        <v>3.4206184464582501</v>
      </c>
      <c r="G21" s="431">
        <v>55.436136268600997</v>
      </c>
      <c r="H21" s="431">
        <v>1072.2208090909101</v>
      </c>
      <c r="I21" s="431">
        <v>115.87787899999999</v>
      </c>
      <c r="J21" s="431">
        <v>15.525267102350799</v>
      </c>
      <c r="K21" s="431">
        <v>11.440482679229399</v>
      </c>
      <c r="L21" s="421">
        <v>0</v>
      </c>
      <c r="M21" s="431">
        <v>5.1116648388888901</v>
      </c>
      <c r="N21" s="421">
        <v>0</v>
      </c>
      <c r="O21" s="421">
        <v>0.1168952</v>
      </c>
      <c r="P21" s="421">
        <v>-521.27667777381203</v>
      </c>
      <c r="Q21" s="421">
        <v>0</v>
      </c>
      <c r="R21" s="422">
        <v>0</v>
      </c>
      <c r="S21" s="491">
        <f t="shared" si="4"/>
        <v>767.1983577743697</v>
      </c>
      <c r="T21" s="430"/>
      <c r="U21" s="488"/>
    </row>
    <row r="22" spans="1:22" x14ac:dyDescent="0.2">
      <c r="B22" s="412"/>
      <c r="C22" s="428" t="s">
        <v>348</v>
      </c>
      <c r="D22" s="431">
        <v>1.57293676268989</v>
      </c>
      <c r="E22" s="421">
        <v>0</v>
      </c>
      <c r="F22" s="431">
        <v>0.19738462224074599</v>
      </c>
      <c r="G22" s="431">
        <v>21.089114481399001</v>
      </c>
      <c r="H22" s="421">
        <v>0</v>
      </c>
      <c r="I22" s="421">
        <v>0</v>
      </c>
      <c r="J22" s="431">
        <v>7.65275234209368</v>
      </c>
      <c r="K22" s="431">
        <v>16.451727879229399</v>
      </c>
      <c r="L22" s="421">
        <v>0</v>
      </c>
      <c r="M22" s="431">
        <v>3.0353079388888902</v>
      </c>
      <c r="N22" s="549">
        <v>0.25705111111111101</v>
      </c>
      <c r="O22" s="431">
        <v>3.6793581777777802</v>
      </c>
      <c r="P22" s="421">
        <v>0</v>
      </c>
      <c r="Q22" s="421">
        <v>-47.163694953464002</v>
      </c>
      <c r="R22" s="422">
        <v>0</v>
      </c>
      <c r="S22" s="491">
        <f t="shared" si="4"/>
        <v>6.7719383619664981</v>
      </c>
      <c r="T22" s="412"/>
      <c r="U22" s="488">
        <f>K18-K21</f>
        <v>21.906493786704303</v>
      </c>
    </row>
    <row r="23" spans="1:22" x14ac:dyDescent="0.2">
      <c r="A23" s="488"/>
      <c r="B23" s="412"/>
      <c r="C23" s="428" t="s">
        <v>349</v>
      </c>
      <c r="D23" s="421">
        <v>0</v>
      </c>
      <c r="E23" s="421">
        <v>0</v>
      </c>
      <c r="F23" s="421">
        <v>0</v>
      </c>
      <c r="G23" s="421">
        <v>0</v>
      </c>
      <c r="H23" s="421">
        <v>0</v>
      </c>
      <c r="I23" s="421">
        <v>0</v>
      </c>
      <c r="J23" s="421"/>
      <c r="K23" s="421"/>
      <c r="L23" s="421">
        <v>0</v>
      </c>
      <c r="M23" s="431">
        <v>-11.045323777777799</v>
      </c>
      <c r="N23" s="421">
        <v>0</v>
      </c>
      <c r="O23" s="421">
        <v>0</v>
      </c>
      <c r="P23" s="421">
        <v>0</v>
      </c>
      <c r="Q23" s="421">
        <v>0</v>
      </c>
      <c r="R23" s="422">
        <v>0</v>
      </c>
      <c r="S23" s="423">
        <f t="shared" si="4"/>
        <v>-11.045323777777799</v>
      </c>
      <c r="T23" s="412"/>
    </row>
    <row r="24" spans="1:22" x14ac:dyDescent="0.2">
      <c r="A24" s="488"/>
      <c r="B24" s="412"/>
      <c r="C24" s="428" t="s">
        <v>350</v>
      </c>
      <c r="D24" s="421">
        <v>0</v>
      </c>
      <c r="E24" s="421">
        <v>0</v>
      </c>
      <c r="F24" s="421">
        <v>0</v>
      </c>
      <c r="G24" s="421">
        <v>0</v>
      </c>
      <c r="H24" s="421">
        <v>0</v>
      </c>
      <c r="I24" s="421">
        <v>0</v>
      </c>
      <c r="J24" s="421">
        <v>0</v>
      </c>
      <c r="K24" s="421">
        <v>0</v>
      </c>
      <c r="L24" s="421">
        <v>0</v>
      </c>
      <c r="M24" s="421">
        <v>0</v>
      </c>
      <c r="N24" s="421">
        <v>0</v>
      </c>
      <c r="O24" s="421">
        <v>0</v>
      </c>
      <c r="P24" s="421">
        <v>0</v>
      </c>
      <c r="Q24" s="421">
        <v>0</v>
      </c>
      <c r="R24" s="422">
        <v>0</v>
      </c>
      <c r="S24" s="423">
        <f t="shared" si="4"/>
        <v>0</v>
      </c>
      <c r="T24" s="412"/>
    </row>
    <row r="25" spans="1:22" x14ac:dyDescent="0.2">
      <c r="A25" s="488"/>
      <c r="B25" s="412"/>
      <c r="C25" s="428" t="s">
        <v>72</v>
      </c>
      <c r="D25" s="421">
        <v>0</v>
      </c>
      <c r="E25" s="431">
        <v>436.86125260161799</v>
      </c>
      <c r="F25" s="421">
        <v>-434.01700779015403</v>
      </c>
      <c r="G25" s="431">
        <v>0</v>
      </c>
      <c r="H25" s="421">
        <v>0</v>
      </c>
      <c r="I25" s="421">
        <v>0</v>
      </c>
      <c r="J25" s="421">
        <v>0</v>
      </c>
      <c r="K25" s="421">
        <v>0</v>
      </c>
      <c r="L25" s="421">
        <v>0</v>
      </c>
      <c r="M25" s="421">
        <v>0</v>
      </c>
      <c r="N25" s="421">
        <v>0</v>
      </c>
      <c r="O25" s="421">
        <v>0</v>
      </c>
      <c r="P25" s="421">
        <v>0</v>
      </c>
      <c r="Q25" s="421">
        <v>0</v>
      </c>
      <c r="R25" s="422">
        <v>0</v>
      </c>
      <c r="S25" s="491">
        <f t="shared" si="4"/>
        <v>2.844244811463966</v>
      </c>
      <c r="T25" s="412"/>
      <c r="U25" s="488">
        <f>L26-L18</f>
        <v>-34.144922487783099</v>
      </c>
    </row>
    <row r="26" spans="1:22" x14ac:dyDescent="0.2">
      <c r="B26" s="412"/>
      <c r="C26" s="428" t="s">
        <v>351</v>
      </c>
      <c r="D26" s="421">
        <v>0</v>
      </c>
      <c r="E26" s="421">
        <v>0</v>
      </c>
      <c r="F26" s="421">
        <v>0</v>
      </c>
      <c r="G26" s="421">
        <v>0</v>
      </c>
      <c r="H26" s="421">
        <v>0</v>
      </c>
      <c r="I26" s="421">
        <v>0</v>
      </c>
      <c r="J26" s="421"/>
      <c r="K26" s="421"/>
      <c r="L26" s="421">
        <v>-27.316249379798698</v>
      </c>
      <c r="M26" s="421">
        <v>0</v>
      </c>
      <c r="N26" s="421">
        <v>0</v>
      </c>
      <c r="O26" s="421">
        <v>0</v>
      </c>
      <c r="P26" s="421">
        <v>0</v>
      </c>
      <c r="Q26" s="421">
        <v>0</v>
      </c>
      <c r="R26" s="422">
        <v>0</v>
      </c>
      <c r="S26" s="423">
        <f t="shared" si="4"/>
        <v>-27.316249379798698</v>
      </c>
      <c r="T26" s="412"/>
      <c r="U26" s="488"/>
    </row>
    <row r="27" spans="1:22" x14ac:dyDescent="0.2">
      <c r="B27" s="412"/>
      <c r="C27" s="428" t="s">
        <v>352</v>
      </c>
      <c r="D27" s="421">
        <v>0</v>
      </c>
      <c r="E27" s="421">
        <v>0</v>
      </c>
      <c r="F27" s="421">
        <v>0</v>
      </c>
      <c r="G27" s="421">
        <v>0</v>
      </c>
      <c r="H27" s="421">
        <v>0</v>
      </c>
      <c r="I27" s="421">
        <v>0</v>
      </c>
      <c r="J27" s="421">
        <v>0</v>
      </c>
      <c r="K27" s="421">
        <v>0</v>
      </c>
      <c r="L27" s="421">
        <v>0</v>
      </c>
      <c r="M27" s="421">
        <v>0</v>
      </c>
      <c r="N27" s="421">
        <v>0</v>
      </c>
      <c r="O27" s="421">
        <v>0</v>
      </c>
      <c r="P27" s="421">
        <v>0</v>
      </c>
      <c r="Q27" s="421">
        <v>0</v>
      </c>
      <c r="R27" s="422">
        <v>0</v>
      </c>
      <c r="S27" s="423">
        <f t="shared" si="4"/>
        <v>0</v>
      </c>
      <c r="T27" s="412"/>
    </row>
    <row r="28" spans="1:22" x14ac:dyDescent="0.2">
      <c r="A28" s="488"/>
      <c r="B28" s="412"/>
      <c r="C28" s="428" t="s">
        <v>73</v>
      </c>
      <c r="D28" s="421">
        <v>0</v>
      </c>
      <c r="E28" s="421">
        <v>0</v>
      </c>
      <c r="F28" s="421">
        <v>0</v>
      </c>
      <c r="G28" s="421">
        <v>0</v>
      </c>
      <c r="H28" s="421">
        <v>0</v>
      </c>
      <c r="I28" s="421">
        <v>0</v>
      </c>
      <c r="J28" s="421">
        <v>0</v>
      </c>
      <c r="K28" s="421">
        <v>0</v>
      </c>
      <c r="L28" s="421">
        <v>0</v>
      </c>
      <c r="M28" s="421">
        <v>0</v>
      </c>
      <c r="N28" s="421">
        <v>0</v>
      </c>
      <c r="O28" s="421">
        <v>0</v>
      </c>
      <c r="P28" s="421">
        <v>0</v>
      </c>
      <c r="Q28" s="421">
        <v>0</v>
      </c>
      <c r="R28" s="422">
        <v>0</v>
      </c>
      <c r="S28" s="423">
        <f t="shared" si="4"/>
        <v>0</v>
      </c>
      <c r="T28" s="412"/>
    </row>
    <row r="29" spans="1:22" x14ac:dyDescent="0.2">
      <c r="B29" s="412"/>
      <c r="C29" s="428" t="s">
        <v>353</v>
      </c>
      <c r="D29" s="431">
        <v>24.856875540426699</v>
      </c>
      <c r="E29" s="431">
        <v>-42.341967860489</v>
      </c>
      <c r="F29" s="431">
        <v>41.425158678488998</v>
      </c>
      <c r="G29" s="431">
        <v>0</v>
      </c>
      <c r="H29" s="421">
        <v>0</v>
      </c>
      <c r="I29" s="421">
        <v>0</v>
      </c>
      <c r="J29" s="421">
        <v>0</v>
      </c>
      <c r="K29" s="421">
        <v>0</v>
      </c>
      <c r="L29" s="431">
        <v>0</v>
      </c>
      <c r="M29" s="431">
        <v>0</v>
      </c>
      <c r="N29" s="421">
        <v>0</v>
      </c>
      <c r="O29" s="421">
        <v>0</v>
      </c>
      <c r="P29" s="421">
        <v>0</v>
      </c>
      <c r="Q29" s="421">
        <v>0</v>
      </c>
      <c r="R29" s="422">
        <v>0</v>
      </c>
      <c r="S29" s="423">
        <f t="shared" si="4"/>
        <v>23.940066358426698</v>
      </c>
      <c r="T29" s="412"/>
    </row>
    <row r="30" spans="1:22" x14ac:dyDescent="0.2">
      <c r="B30" s="412"/>
      <c r="C30" s="428" t="s">
        <v>75</v>
      </c>
      <c r="D30" s="421">
        <v>10.864485</v>
      </c>
      <c r="E30" s="421">
        <v>0</v>
      </c>
      <c r="F30" s="431">
        <v>12.156002809978</v>
      </c>
      <c r="G30" s="431">
        <v>6.2612449999999997</v>
      </c>
      <c r="H30" s="421">
        <v>0</v>
      </c>
      <c r="I30" s="421">
        <v>0</v>
      </c>
      <c r="J30" s="421">
        <v>0</v>
      </c>
      <c r="K30" s="421">
        <v>0</v>
      </c>
      <c r="L30" s="421">
        <v>0</v>
      </c>
      <c r="M30" s="431">
        <v>0</v>
      </c>
      <c r="N30" s="421">
        <v>0</v>
      </c>
      <c r="O30" s="421">
        <v>0</v>
      </c>
      <c r="P30" s="431">
        <v>32.877518711415298</v>
      </c>
      <c r="Q30" s="421">
        <v>0</v>
      </c>
      <c r="R30" s="422">
        <v>0</v>
      </c>
      <c r="S30" s="423">
        <f t="shared" si="4"/>
        <v>62.159251521393301</v>
      </c>
      <c r="T30" s="412"/>
    </row>
    <row r="31" spans="1:22" x14ac:dyDescent="0.2">
      <c r="B31" s="412"/>
      <c r="C31" s="428" t="s">
        <v>76</v>
      </c>
      <c r="D31" s="421">
        <v>0</v>
      </c>
      <c r="E31" s="421">
        <v>0</v>
      </c>
      <c r="F31" s="421">
        <v>0</v>
      </c>
      <c r="G31" s="431">
        <v>3.9080132500000002</v>
      </c>
      <c r="H31" s="421">
        <v>0</v>
      </c>
      <c r="I31" s="421">
        <v>0</v>
      </c>
      <c r="J31" s="421">
        <v>0</v>
      </c>
      <c r="K31" s="421">
        <v>0</v>
      </c>
      <c r="L31" s="421">
        <v>0</v>
      </c>
      <c r="M31" s="431">
        <v>0</v>
      </c>
      <c r="N31" s="421">
        <v>0</v>
      </c>
      <c r="O31" s="421">
        <v>0</v>
      </c>
      <c r="P31" s="431">
        <v>35.222329940373399</v>
      </c>
      <c r="Q31" s="431">
        <v>4.2874916030489096</v>
      </c>
      <c r="R31" s="422">
        <v>0</v>
      </c>
      <c r="S31" s="423">
        <f t="shared" si="4"/>
        <v>43.417834793422315</v>
      </c>
      <c r="T31" s="412"/>
    </row>
    <row r="32" spans="1:22" x14ac:dyDescent="0.2">
      <c r="B32" s="412"/>
      <c r="C32" s="424" t="s">
        <v>77</v>
      </c>
      <c r="D32" s="425">
        <f t="shared" ref="D32:S32" si="5">SUM(D20:D31)</f>
        <v>43.449894885622093</v>
      </c>
      <c r="E32" s="425">
        <f t="shared" si="5"/>
        <v>402.08432464732437</v>
      </c>
      <c r="F32" s="425">
        <f t="shared" si="5"/>
        <v>-371.62739401147854</v>
      </c>
      <c r="G32" s="425">
        <f t="shared" si="5"/>
        <v>87.992001999999999</v>
      </c>
      <c r="H32" s="425">
        <f t="shared" si="5"/>
        <v>1072.2208090909101</v>
      </c>
      <c r="I32" s="425">
        <f t="shared" si="5"/>
        <v>115.87787899999999</v>
      </c>
      <c r="J32" s="425">
        <f t="shared" si="5"/>
        <v>23.17801944444448</v>
      </c>
      <c r="K32" s="425">
        <f t="shared" si="5"/>
        <v>27.8922105584588</v>
      </c>
      <c r="L32" s="425">
        <f t="shared" si="5"/>
        <v>-27.316249379798698</v>
      </c>
      <c r="M32" s="425">
        <f t="shared" si="5"/>
        <v>-2.8983510000000194</v>
      </c>
      <c r="N32" s="425">
        <f t="shared" si="5"/>
        <v>0.25705111111111101</v>
      </c>
      <c r="O32" s="425">
        <f t="shared" si="5"/>
        <v>3.7962533777777803</v>
      </c>
      <c r="P32" s="425">
        <f t="shared" si="5"/>
        <v>-449.68426159579855</v>
      </c>
      <c r="Q32" s="425">
        <f t="shared" si="5"/>
        <v>-42.876203350415096</v>
      </c>
      <c r="R32" s="425">
        <f t="shared" si="5"/>
        <v>0</v>
      </c>
      <c r="S32" s="425">
        <f t="shared" si="5"/>
        <v>882.34598477815791</v>
      </c>
      <c r="T32" s="412"/>
      <c r="V32" s="488"/>
    </row>
    <row r="33" spans="2:20" x14ac:dyDescent="0.2">
      <c r="B33" s="412"/>
      <c r="C33" s="426"/>
      <c r="D33" s="427"/>
      <c r="E33" s="427"/>
      <c r="F33" s="427"/>
      <c r="G33" s="427"/>
      <c r="H33" s="427"/>
      <c r="I33" s="427"/>
      <c r="J33" s="427"/>
      <c r="K33" s="427"/>
      <c r="L33" s="427"/>
      <c r="M33" s="427"/>
      <c r="N33" s="427"/>
      <c r="O33" s="427"/>
      <c r="P33" s="427"/>
      <c r="Q33" s="427"/>
      <c r="R33" s="427"/>
      <c r="S33" s="427"/>
      <c r="T33" s="412"/>
    </row>
    <row r="34" spans="2:20" x14ac:dyDescent="0.2">
      <c r="B34" s="412"/>
      <c r="C34" s="428" t="s">
        <v>78</v>
      </c>
      <c r="D34" s="431">
        <v>8.9862670625500005</v>
      </c>
      <c r="E34" s="421">
        <v>0</v>
      </c>
      <c r="F34" s="431">
        <v>30.361762354379302</v>
      </c>
      <c r="G34" s="431">
        <v>115.67477925</v>
      </c>
      <c r="H34" s="421">
        <v>0</v>
      </c>
      <c r="I34" s="421">
        <v>0</v>
      </c>
      <c r="J34" s="431">
        <v>15.5648575</v>
      </c>
      <c r="K34" s="431">
        <v>3.5678886111111101</v>
      </c>
      <c r="L34" s="431">
        <v>1.0434102222764099</v>
      </c>
      <c r="M34" s="431">
        <v>0.91264888888888895</v>
      </c>
      <c r="N34" s="431">
        <v>0</v>
      </c>
      <c r="O34" s="431">
        <v>1.51127777777778E-2</v>
      </c>
      <c r="P34" s="431">
        <v>105.150592236873</v>
      </c>
      <c r="Q34" s="431">
        <v>18.686166128192799</v>
      </c>
      <c r="R34" s="421">
        <v>0</v>
      </c>
      <c r="S34" s="429">
        <f t="shared" ref="S34:S42" si="6">SUM(D34:R34)</f>
        <v>299.96348503204922</v>
      </c>
      <c r="T34" s="412"/>
    </row>
    <row r="35" spans="2:20" x14ac:dyDescent="0.2">
      <c r="B35" s="412"/>
      <c r="C35" s="428" t="s">
        <v>79</v>
      </c>
      <c r="D35" s="431">
        <v>0</v>
      </c>
      <c r="E35" s="421">
        <v>0</v>
      </c>
      <c r="F35" s="431">
        <v>384.06791201745</v>
      </c>
      <c r="G35" s="431">
        <v>2.2477144999999998</v>
      </c>
      <c r="H35" s="421">
        <v>0</v>
      </c>
      <c r="I35" s="421">
        <v>0</v>
      </c>
      <c r="J35" s="431">
        <v>0</v>
      </c>
      <c r="K35" s="431">
        <v>0</v>
      </c>
      <c r="L35" s="431">
        <v>30.751352031352699</v>
      </c>
      <c r="M35" s="431">
        <v>0</v>
      </c>
      <c r="N35" s="431">
        <v>0</v>
      </c>
      <c r="O35" s="431">
        <v>0</v>
      </c>
      <c r="P35" s="431">
        <v>8.3371990700000005</v>
      </c>
      <c r="Q35" s="431">
        <v>0</v>
      </c>
      <c r="R35" s="421">
        <v>0</v>
      </c>
      <c r="S35" s="429">
        <f t="shared" si="6"/>
        <v>425.40417761880269</v>
      </c>
      <c r="T35" s="412"/>
    </row>
    <row r="36" spans="2:20" x14ac:dyDescent="0.2">
      <c r="B36" s="412"/>
      <c r="C36" s="428" t="s">
        <v>80</v>
      </c>
      <c r="D36" s="431">
        <v>0.24074954805000001</v>
      </c>
      <c r="E36" s="421">
        <v>0</v>
      </c>
      <c r="F36" s="431">
        <v>49.863308104442503</v>
      </c>
      <c r="G36" s="431">
        <v>125.05981224999999</v>
      </c>
      <c r="H36" s="421">
        <v>0</v>
      </c>
      <c r="I36" s="421">
        <v>0</v>
      </c>
      <c r="J36" s="431">
        <v>69.4067088888889</v>
      </c>
      <c r="K36" s="431">
        <v>0</v>
      </c>
      <c r="L36" s="431">
        <v>0</v>
      </c>
      <c r="M36" s="431">
        <v>0</v>
      </c>
      <c r="N36" s="431">
        <v>27.426589444444399</v>
      </c>
      <c r="O36" s="431">
        <v>1.04480216638667</v>
      </c>
      <c r="P36" s="431">
        <v>158.3858485003</v>
      </c>
      <c r="Q36" s="431">
        <v>14.411899999999999</v>
      </c>
      <c r="R36" s="421">
        <v>0</v>
      </c>
      <c r="S36" s="429">
        <f t="shared" si="6"/>
        <v>445.8397189025124</v>
      </c>
      <c r="T36" s="412"/>
    </row>
    <row r="37" spans="2:20" x14ac:dyDescent="0.2">
      <c r="B37" s="412"/>
      <c r="C37" s="428" t="s">
        <v>81</v>
      </c>
      <c r="D37" s="431">
        <v>0.35525487623000002</v>
      </c>
      <c r="E37" s="421">
        <v>0</v>
      </c>
      <c r="F37" s="431">
        <v>31.480497483360899</v>
      </c>
      <c r="G37" s="431">
        <v>62.61667825</v>
      </c>
      <c r="H37" s="421">
        <v>0</v>
      </c>
      <c r="I37" s="421">
        <v>0</v>
      </c>
      <c r="J37" s="431">
        <v>2.8232277777777801</v>
      </c>
      <c r="K37" s="431">
        <v>2.28350923457951</v>
      </c>
      <c r="L37" s="431">
        <v>0</v>
      </c>
      <c r="M37" s="431">
        <v>1.47450888888889</v>
      </c>
      <c r="N37" s="431">
        <v>4.4857555555555599</v>
      </c>
      <c r="O37" s="431">
        <v>0.354625058755556</v>
      </c>
      <c r="P37" s="431">
        <v>124.730012203676</v>
      </c>
      <c r="Q37" s="431">
        <v>9.5887644444444504</v>
      </c>
      <c r="R37" s="421">
        <v>0</v>
      </c>
      <c r="S37" s="429">
        <f t="shared" si="6"/>
        <v>240.19283377326863</v>
      </c>
      <c r="T37" s="412"/>
    </row>
    <row r="38" spans="2:20" x14ac:dyDescent="0.2">
      <c r="B38" s="412"/>
      <c r="C38" s="428" t="s">
        <v>82</v>
      </c>
      <c r="D38" s="431">
        <v>1.5371382629999999E-2</v>
      </c>
      <c r="E38" s="421">
        <v>0</v>
      </c>
      <c r="F38" s="431">
        <v>37.008579624305803</v>
      </c>
      <c r="G38" s="431">
        <v>2.1964755</v>
      </c>
      <c r="H38" s="421">
        <v>0</v>
      </c>
      <c r="I38" s="421">
        <v>0</v>
      </c>
      <c r="J38" s="431">
        <v>1.69047944444444</v>
      </c>
      <c r="K38" s="431">
        <v>0</v>
      </c>
      <c r="L38" s="431">
        <v>1.93666726391606</v>
      </c>
      <c r="M38" s="431">
        <v>0.51119305555555605</v>
      </c>
      <c r="N38" s="431">
        <v>0</v>
      </c>
      <c r="O38" s="431">
        <v>0.29232166666666698</v>
      </c>
      <c r="P38" s="431">
        <v>8.0414155849497</v>
      </c>
      <c r="Q38" s="431">
        <v>0.189373333333333</v>
      </c>
      <c r="R38" s="421">
        <v>0</v>
      </c>
      <c r="S38" s="429">
        <f t="shared" si="6"/>
        <v>51.881876855801565</v>
      </c>
      <c r="T38" s="412"/>
    </row>
    <row r="39" spans="2:20" x14ac:dyDescent="0.2">
      <c r="B39" s="412"/>
      <c r="C39" s="428" t="s">
        <v>354</v>
      </c>
      <c r="D39" s="421">
        <v>0</v>
      </c>
      <c r="E39" s="421">
        <v>0</v>
      </c>
      <c r="F39" s="421">
        <v>0</v>
      </c>
      <c r="G39" s="421">
        <v>0</v>
      </c>
      <c r="H39" s="421">
        <v>0</v>
      </c>
      <c r="I39" s="421">
        <v>0</v>
      </c>
      <c r="J39" s="421">
        <v>0</v>
      </c>
      <c r="K39" s="421">
        <v>0</v>
      </c>
      <c r="L39" s="421">
        <v>0</v>
      </c>
      <c r="M39" s="421">
        <v>0</v>
      </c>
      <c r="N39" s="421">
        <v>0</v>
      </c>
      <c r="O39" s="421">
        <v>0</v>
      </c>
      <c r="P39" s="421">
        <v>0</v>
      </c>
      <c r="Q39" s="421">
        <v>0</v>
      </c>
      <c r="R39" s="421">
        <v>0</v>
      </c>
      <c r="S39" s="429">
        <f t="shared" si="6"/>
        <v>0</v>
      </c>
      <c r="T39" s="412"/>
    </row>
    <row r="40" spans="2:20" x14ac:dyDescent="0.2">
      <c r="B40" s="412"/>
      <c r="C40" s="424" t="s">
        <v>83</v>
      </c>
      <c r="D40" s="425">
        <f t="shared" ref="D40:R40" si="7">SUM(D34:D39)</f>
        <v>9.5976428694599996</v>
      </c>
      <c r="E40" s="425">
        <f t="shared" si="7"/>
        <v>0</v>
      </c>
      <c r="F40" s="425">
        <f t="shared" si="7"/>
        <v>532.78205958393858</v>
      </c>
      <c r="G40" s="425">
        <f t="shared" si="7"/>
        <v>307.79545975000002</v>
      </c>
      <c r="H40" s="425">
        <f t="shared" si="7"/>
        <v>0</v>
      </c>
      <c r="I40" s="425">
        <f t="shared" si="7"/>
        <v>0</v>
      </c>
      <c r="J40" s="425">
        <f t="shared" si="7"/>
        <v>89.485273611111111</v>
      </c>
      <c r="K40" s="425">
        <f t="shared" si="7"/>
        <v>5.8513978456906202</v>
      </c>
      <c r="L40" s="425">
        <f t="shared" si="7"/>
        <v>33.731429517545166</v>
      </c>
      <c r="M40" s="425">
        <f t="shared" si="7"/>
        <v>2.898350833333335</v>
      </c>
      <c r="N40" s="425">
        <f t="shared" si="7"/>
        <v>31.912344999999959</v>
      </c>
      <c r="O40" s="425">
        <f t="shared" si="7"/>
        <v>1.7068616695866707</v>
      </c>
      <c r="P40" s="425">
        <f t="shared" si="7"/>
        <v>404.64506759579865</v>
      </c>
      <c r="Q40" s="425">
        <f t="shared" si="7"/>
        <v>42.876203905970584</v>
      </c>
      <c r="R40" s="425">
        <f t="shared" si="7"/>
        <v>0</v>
      </c>
      <c r="S40" s="425">
        <f t="shared" si="6"/>
        <v>1463.2820921824346</v>
      </c>
      <c r="T40" s="412"/>
    </row>
    <row r="41" spans="2:20" x14ac:dyDescent="0.2">
      <c r="B41" s="412"/>
      <c r="C41" s="420" t="s">
        <v>84</v>
      </c>
      <c r="D41" s="431">
        <v>2.9383352237599998</v>
      </c>
      <c r="E41" s="421">
        <v>0</v>
      </c>
      <c r="F41" s="431">
        <v>130.484119421548</v>
      </c>
      <c r="G41" s="431">
        <v>12.027936499999999</v>
      </c>
      <c r="H41" s="421">
        <v>0</v>
      </c>
      <c r="I41" s="421">
        <v>0</v>
      </c>
      <c r="J41" s="421">
        <v>0</v>
      </c>
      <c r="K41" s="421">
        <v>0</v>
      </c>
      <c r="L41" s="431">
        <v>0</v>
      </c>
      <c r="M41" s="431">
        <v>0</v>
      </c>
      <c r="N41" s="421">
        <v>0</v>
      </c>
      <c r="O41" s="421">
        <v>0</v>
      </c>
      <c r="P41" s="421">
        <v>0</v>
      </c>
      <c r="Q41" s="421">
        <v>0</v>
      </c>
      <c r="R41" s="421">
        <v>0</v>
      </c>
      <c r="S41" s="429">
        <f t="shared" si="6"/>
        <v>145.450391145308</v>
      </c>
      <c r="T41" s="412"/>
    </row>
    <row r="42" spans="2:20" x14ac:dyDescent="0.2">
      <c r="B42" s="412"/>
      <c r="C42" s="424" t="s">
        <v>85</v>
      </c>
      <c r="D42" s="425">
        <f t="shared" ref="D42:R42" si="8">D40+D41</f>
        <v>12.535978093219999</v>
      </c>
      <c r="E42" s="425">
        <f t="shared" si="8"/>
        <v>0</v>
      </c>
      <c r="F42" s="425">
        <f t="shared" si="8"/>
        <v>663.26617900548661</v>
      </c>
      <c r="G42" s="425">
        <f t="shared" si="8"/>
        <v>319.82339625000003</v>
      </c>
      <c r="H42" s="425">
        <f t="shared" si="8"/>
        <v>0</v>
      </c>
      <c r="I42" s="425">
        <f t="shared" si="8"/>
        <v>0</v>
      </c>
      <c r="J42" s="425">
        <f t="shared" si="8"/>
        <v>89.485273611111111</v>
      </c>
      <c r="K42" s="425">
        <f t="shared" si="8"/>
        <v>5.8513978456906202</v>
      </c>
      <c r="L42" s="425">
        <f t="shared" si="8"/>
        <v>33.731429517545166</v>
      </c>
      <c r="M42" s="425">
        <f t="shared" si="8"/>
        <v>2.898350833333335</v>
      </c>
      <c r="N42" s="425">
        <f t="shared" si="8"/>
        <v>31.912344999999959</v>
      </c>
      <c r="O42" s="425">
        <f t="shared" si="8"/>
        <v>1.7068616695866707</v>
      </c>
      <c r="P42" s="425">
        <f t="shared" si="8"/>
        <v>404.64506759579865</v>
      </c>
      <c r="Q42" s="425">
        <f t="shared" si="8"/>
        <v>42.876203905970584</v>
      </c>
      <c r="R42" s="425">
        <f t="shared" si="8"/>
        <v>0</v>
      </c>
      <c r="S42" s="425">
        <f t="shared" si="6"/>
        <v>1608.732483327743</v>
      </c>
      <c r="T42" s="412"/>
    </row>
    <row r="43" spans="2:20" x14ac:dyDescent="0.2">
      <c r="B43" s="412"/>
      <c r="C43" s="412"/>
      <c r="D43" s="412"/>
      <c r="E43" s="412"/>
      <c r="F43" s="412"/>
      <c r="G43" s="412"/>
      <c r="H43" s="412"/>
      <c r="I43" s="412"/>
      <c r="J43" s="412"/>
      <c r="K43" s="412"/>
      <c r="L43" s="412"/>
      <c r="M43" s="412"/>
      <c r="N43" s="412"/>
      <c r="O43" s="412"/>
      <c r="P43" s="412"/>
      <c r="Q43" s="412"/>
      <c r="R43" s="412"/>
      <c r="S43" s="412"/>
      <c r="T43" s="412"/>
    </row>
    <row r="44" spans="2:20" x14ac:dyDescent="0.2">
      <c r="B44" s="412"/>
      <c r="C44" s="412"/>
      <c r="D44" s="412"/>
      <c r="E44" s="412"/>
      <c r="F44" s="412"/>
      <c r="G44" s="412"/>
      <c r="H44" s="412"/>
      <c r="I44" s="412"/>
      <c r="J44" s="412"/>
      <c r="K44" s="412"/>
      <c r="L44" s="412"/>
      <c r="M44" s="412"/>
      <c r="N44" s="412"/>
      <c r="O44" s="412"/>
      <c r="P44" s="412"/>
      <c r="Q44" s="412"/>
      <c r="R44" s="412"/>
      <c r="S44" s="412"/>
      <c r="T44" s="412"/>
    </row>
    <row r="45" spans="2:20" ht="14.25" x14ac:dyDescent="0.2">
      <c r="B45" s="416"/>
      <c r="C45" s="417" t="s">
        <v>355</v>
      </c>
      <c r="D45" s="416"/>
      <c r="E45" s="416"/>
      <c r="F45" s="416"/>
      <c r="G45" s="416"/>
      <c r="H45" s="416"/>
      <c r="I45" s="416"/>
      <c r="J45" s="416"/>
      <c r="K45" s="416"/>
      <c r="L45" s="416"/>
      <c r="M45" s="416"/>
      <c r="N45" s="416"/>
      <c r="O45" s="416"/>
      <c r="P45" s="416"/>
      <c r="Q45" s="416"/>
      <c r="R45" s="416"/>
      <c r="S45" s="416"/>
      <c r="T45" s="416"/>
    </row>
    <row r="46" spans="2:20" x14ac:dyDescent="0.2">
      <c r="B46" s="412"/>
      <c r="C46" s="412"/>
      <c r="D46" s="412"/>
      <c r="E46" s="412"/>
      <c r="F46" s="412"/>
      <c r="G46" s="412"/>
      <c r="H46" s="412"/>
      <c r="I46" s="412"/>
      <c r="J46" s="412"/>
      <c r="K46" s="412"/>
      <c r="L46" s="412"/>
      <c r="M46" s="412"/>
      <c r="N46" s="412"/>
      <c r="O46" s="412"/>
      <c r="P46" s="412"/>
      <c r="Q46" s="412"/>
      <c r="R46" s="412"/>
      <c r="S46" s="412"/>
      <c r="T46" s="412"/>
    </row>
    <row r="47" spans="2:20" ht="13.5" customHeight="1" x14ac:dyDescent="0.2">
      <c r="B47" s="412"/>
      <c r="C47" s="756" t="s">
        <v>128</v>
      </c>
      <c r="D47" s="755" t="s">
        <v>42</v>
      </c>
      <c r="E47" s="755" t="s">
        <v>52</v>
      </c>
      <c r="F47" s="755" t="s">
        <v>53</v>
      </c>
      <c r="G47" s="755" t="s">
        <v>32</v>
      </c>
      <c r="H47" s="755" t="s">
        <v>20</v>
      </c>
      <c r="I47" s="755" t="s">
        <v>55</v>
      </c>
      <c r="J47" s="755" t="s">
        <v>56</v>
      </c>
      <c r="K47" s="755"/>
      <c r="L47" s="755"/>
      <c r="M47" s="755"/>
      <c r="N47" s="755"/>
      <c r="O47" s="755"/>
      <c r="P47" s="755" t="s">
        <v>57</v>
      </c>
      <c r="Q47" s="755" t="s">
        <v>58</v>
      </c>
      <c r="R47" s="755" t="s">
        <v>31</v>
      </c>
      <c r="S47" s="755" t="s">
        <v>10</v>
      </c>
      <c r="T47" s="412"/>
    </row>
    <row r="48" spans="2:20" ht="56.25" x14ac:dyDescent="0.2">
      <c r="B48" s="412"/>
      <c r="C48" s="756"/>
      <c r="D48" s="755"/>
      <c r="E48" s="755"/>
      <c r="F48" s="755"/>
      <c r="G48" s="755"/>
      <c r="H48" s="755"/>
      <c r="I48" s="755"/>
      <c r="J48" s="418" t="s">
        <v>335</v>
      </c>
      <c r="K48" s="418" t="s">
        <v>40</v>
      </c>
      <c r="L48" s="418" t="s">
        <v>343</v>
      </c>
      <c r="M48" s="418" t="s">
        <v>344</v>
      </c>
      <c r="N48" s="419" t="s">
        <v>345</v>
      </c>
      <c r="O48" s="418" t="s">
        <v>346</v>
      </c>
      <c r="P48" s="755"/>
      <c r="Q48" s="755"/>
      <c r="R48" s="755"/>
      <c r="S48" s="755"/>
      <c r="T48" s="412"/>
    </row>
    <row r="49" spans="2:20" x14ac:dyDescent="0.2">
      <c r="B49" s="412"/>
      <c r="C49" s="420" t="s">
        <v>59</v>
      </c>
      <c r="D49" s="421">
        <v>0</v>
      </c>
      <c r="E49" s="421">
        <v>9.7691999999999997</v>
      </c>
      <c r="F49" s="421">
        <v>0</v>
      </c>
      <c r="G49" s="421">
        <v>0.18608</v>
      </c>
      <c r="H49" s="422">
        <v>1100</v>
      </c>
      <c r="I49" s="422">
        <v>132.91999999999999</v>
      </c>
      <c r="J49" s="422">
        <v>188.067672565268</v>
      </c>
      <c r="K49" s="422">
        <v>26.326605803260801</v>
      </c>
      <c r="L49" s="421">
        <v>0</v>
      </c>
      <c r="M49" s="421">
        <v>0</v>
      </c>
      <c r="N49" s="422">
        <v>36.079315619527598</v>
      </c>
      <c r="O49" s="422">
        <v>3.8677813273305701</v>
      </c>
      <c r="P49" s="421">
        <v>0</v>
      </c>
      <c r="Q49" s="421">
        <v>0</v>
      </c>
      <c r="R49" s="421">
        <v>0</v>
      </c>
      <c r="S49" s="423">
        <v>1497.21665531539</v>
      </c>
      <c r="T49" s="412"/>
    </row>
    <row r="50" spans="2:20" x14ac:dyDescent="0.2">
      <c r="B50" s="412"/>
      <c r="C50" s="420" t="s">
        <v>60</v>
      </c>
      <c r="D50" s="421">
        <v>49.5469924761749</v>
      </c>
      <c r="E50" s="421">
        <v>498.31484372741801</v>
      </c>
      <c r="F50" s="421">
        <v>265.184638300828</v>
      </c>
      <c r="G50" s="421">
        <v>407.12156574706302</v>
      </c>
      <c r="H50" s="421">
        <v>0</v>
      </c>
      <c r="I50" s="421">
        <v>0</v>
      </c>
      <c r="J50" s="421">
        <v>0</v>
      </c>
      <c r="K50" s="421">
        <v>0</v>
      </c>
      <c r="L50" s="421">
        <v>0</v>
      </c>
      <c r="M50" s="421">
        <v>0</v>
      </c>
      <c r="N50" s="421">
        <v>0</v>
      </c>
      <c r="O50" s="421">
        <v>0</v>
      </c>
      <c r="P50" s="421">
        <v>0</v>
      </c>
      <c r="Q50" s="421">
        <v>0</v>
      </c>
      <c r="R50" s="421">
        <v>0</v>
      </c>
      <c r="S50" s="423">
        <v>1220.1680402514801</v>
      </c>
      <c r="T50" s="412"/>
    </row>
    <row r="51" spans="2:20" x14ac:dyDescent="0.2">
      <c r="B51" s="412"/>
      <c r="C51" s="420" t="s">
        <v>61</v>
      </c>
      <c r="D51" s="421">
        <v>0</v>
      </c>
      <c r="E51" s="421">
        <v>0</v>
      </c>
      <c r="F51" s="421">
        <v>0</v>
      </c>
      <c r="G51" s="421">
        <v>0</v>
      </c>
      <c r="H51" s="421">
        <v>0</v>
      </c>
      <c r="I51" s="421">
        <v>0</v>
      </c>
      <c r="J51" s="421">
        <v>0</v>
      </c>
      <c r="K51" s="421">
        <v>0</v>
      </c>
      <c r="L51" s="421">
        <v>0</v>
      </c>
      <c r="M51" s="421">
        <v>0</v>
      </c>
      <c r="N51" s="421">
        <v>0</v>
      </c>
      <c r="O51" s="421">
        <v>0</v>
      </c>
      <c r="P51" s="421">
        <v>-33.244535842966798</v>
      </c>
      <c r="Q51" s="421">
        <v>0</v>
      </c>
      <c r="R51" s="421">
        <v>0</v>
      </c>
      <c r="S51" s="423">
        <v>-33.244535842966798</v>
      </c>
      <c r="T51" s="412"/>
    </row>
    <row r="52" spans="2:20" x14ac:dyDescent="0.2">
      <c r="B52" s="412"/>
      <c r="C52" s="420" t="s">
        <v>62</v>
      </c>
      <c r="D52" s="421">
        <v>0</v>
      </c>
      <c r="E52" s="421">
        <v>0</v>
      </c>
      <c r="F52" s="421">
        <v>-18.7727409289602</v>
      </c>
      <c r="G52" s="421">
        <v>0</v>
      </c>
      <c r="H52" s="421">
        <v>0</v>
      </c>
      <c r="I52" s="421">
        <v>0</v>
      </c>
      <c r="J52" s="421">
        <v>0</v>
      </c>
      <c r="K52" s="421">
        <v>0</v>
      </c>
      <c r="L52" s="421">
        <v>0</v>
      </c>
      <c r="M52" s="421">
        <v>0</v>
      </c>
      <c r="N52" s="421">
        <v>0</v>
      </c>
      <c r="O52" s="421">
        <v>0</v>
      </c>
      <c r="P52" s="421">
        <v>0</v>
      </c>
      <c r="Q52" s="421">
        <v>0</v>
      </c>
      <c r="R52" s="421">
        <v>0</v>
      </c>
      <c r="S52" s="423">
        <v>-18.7727409289602</v>
      </c>
      <c r="T52" s="412"/>
    </row>
    <row r="53" spans="2:20" x14ac:dyDescent="0.2">
      <c r="B53" s="412"/>
      <c r="C53" s="420" t="s">
        <v>63</v>
      </c>
      <c r="D53" s="421">
        <v>0</v>
      </c>
      <c r="E53" s="421">
        <v>0</v>
      </c>
      <c r="F53" s="421">
        <v>-72.922720270572995</v>
      </c>
      <c r="G53" s="421">
        <v>0</v>
      </c>
      <c r="H53" s="421">
        <v>0</v>
      </c>
      <c r="I53" s="421">
        <v>0</v>
      </c>
      <c r="J53" s="421">
        <v>0</v>
      </c>
      <c r="K53" s="421">
        <v>0</v>
      </c>
      <c r="L53" s="421">
        <v>-0.75281209705321706</v>
      </c>
      <c r="M53" s="421">
        <v>0</v>
      </c>
      <c r="N53" s="421">
        <v>0</v>
      </c>
      <c r="O53" s="421">
        <v>0</v>
      </c>
      <c r="P53" s="421">
        <v>0</v>
      </c>
      <c r="Q53" s="421">
        <v>0</v>
      </c>
      <c r="R53" s="421">
        <v>0</v>
      </c>
      <c r="S53" s="423">
        <v>-73.675532367626204</v>
      </c>
      <c r="T53" s="412"/>
    </row>
    <row r="54" spans="2:20" x14ac:dyDescent="0.2">
      <c r="B54" s="412"/>
      <c r="C54" s="420" t="s">
        <v>64</v>
      </c>
      <c r="D54" s="421">
        <v>0</v>
      </c>
      <c r="E54" s="421">
        <v>0</v>
      </c>
      <c r="F54" s="421">
        <v>0</v>
      </c>
      <c r="G54" s="421">
        <v>0</v>
      </c>
      <c r="H54" s="421">
        <v>0</v>
      </c>
      <c r="I54" s="421">
        <v>0</v>
      </c>
      <c r="J54" s="421">
        <v>0</v>
      </c>
      <c r="K54" s="421">
        <v>0</v>
      </c>
      <c r="L54" s="421">
        <v>0</v>
      </c>
      <c r="M54" s="421">
        <v>0</v>
      </c>
      <c r="N54" s="421">
        <v>0</v>
      </c>
      <c r="O54" s="421">
        <v>0</v>
      </c>
      <c r="P54" s="421">
        <v>0</v>
      </c>
      <c r="Q54" s="421">
        <v>0</v>
      </c>
      <c r="R54" s="421">
        <v>0</v>
      </c>
      <c r="S54" s="423">
        <v>0</v>
      </c>
      <c r="T54" s="412"/>
    </row>
    <row r="55" spans="2:20" x14ac:dyDescent="0.2">
      <c r="B55" s="412"/>
      <c r="C55" s="424" t="s">
        <v>65</v>
      </c>
      <c r="D55" s="425">
        <v>49.5469924761749</v>
      </c>
      <c r="E55" s="425">
        <v>508.08404372741802</v>
      </c>
      <c r="F55" s="425">
        <v>173.48917710129501</v>
      </c>
      <c r="G55" s="425">
        <v>407.30764574706302</v>
      </c>
      <c r="H55" s="425">
        <v>1100</v>
      </c>
      <c r="I55" s="425">
        <v>132.91999999999999</v>
      </c>
      <c r="J55" s="425">
        <v>188.067672565268</v>
      </c>
      <c r="K55" s="425">
        <v>26.326605803260801</v>
      </c>
      <c r="L55" s="425">
        <v>-0.75281209705321706</v>
      </c>
      <c r="M55" s="425">
        <v>0</v>
      </c>
      <c r="N55" s="425">
        <v>36.079315619527598</v>
      </c>
      <c r="O55" s="425">
        <v>3.8677813273305701</v>
      </c>
      <c r="P55" s="425">
        <v>-33.244535842966798</v>
      </c>
      <c r="Q55" s="425">
        <v>0</v>
      </c>
      <c r="R55" s="425">
        <v>0</v>
      </c>
      <c r="S55" s="425">
        <v>2591.6918864273198</v>
      </c>
      <c r="T55" s="412"/>
    </row>
    <row r="56" spans="2:20" x14ac:dyDescent="0.2">
      <c r="B56" s="412"/>
      <c r="C56" s="426"/>
      <c r="D56" s="427"/>
      <c r="E56" s="427"/>
      <c r="F56" s="427"/>
      <c r="G56" s="427"/>
      <c r="H56" s="427"/>
      <c r="I56" s="427"/>
      <c r="J56" s="427"/>
      <c r="K56" s="427"/>
      <c r="L56" s="427"/>
      <c r="M56" s="427"/>
      <c r="N56" s="427"/>
      <c r="O56" s="427"/>
      <c r="P56" s="427"/>
      <c r="Q56" s="427"/>
      <c r="R56" s="427"/>
      <c r="S56" s="427"/>
      <c r="T56" s="412"/>
    </row>
    <row r="57" spans="2:20" x14ac:dyDescent="0.2">
      <c r="B57" s="412"/>
      <c r="C57" s="428" t="s">
        <v>67</v>
      </c>
      <c r="D57" s="421">
        <v>0</v>
      </c>
      <c r="E57" s="421">
        <v>0</v>
      </c>
      <c r="F57" s="421">
        <v>0</v>
      </c>
      <c r="G57" s="421">
        <v>0</v>
      </c>
      <c r="H57" s="421">
        <v>0</v>
      </c>
      <c r="I57" s="421">
        <v>0</v>
      </c>
      <c r="J57" s="421">
        <v>0</v>
      </c>
      <c r="K57" s="421">
        <v>0</v>
      </c>
      <c r="L57" s="421">
        <v>0</v>
      </c>
      <c r="M57" s="421">
        <v>0</v>
      </c>
      <c r="N57" s="421">
        <v>0</v>
      </c>
      <c r="O57" s="421">
        <v>0</v>
      </c>
      <c r="P57" s="421">
        <v>0</v>
      </c>
      <c r="Q57" s="421">
        <v>0</v>
      </c>
      <c r="R57" s="421">
        <v>0</v>
      </c>
      <c r="S57" s="429">
        <v>0</v>
      </c>
      <c r="T57" s="412"/>
    </row>
    <row r="58" spans="2:20" x14ac:dyDescent="0.2">
      <c r="B58" s="412"/>
      <c r="C58" s="428" t="s">
        <v>347</v>
      </c>
      <c r="D58" s="421">
        <v>2.2004707355665598</v>
      </c>
      <c r="E58" s="421">
        <v>0</v>
      </c>
      <c r="F58" s="421">
        <v>3.8636363636363602</v>
      </c>
      <c r="G58" s="421">
        <v>43.110109584564697</v>
      </c>
      <c r="H58" s="421">
        <v>1100</v>
      </c>
      <c r="I58" s="421">
        <v>132.91999999999999</v>
      </c>
      <c r="J58" s="421">
        <v>31.266204074514999</v>
      </c>
      <c r="K58" s="421">
        <v>9.3162173763582707</v>
      </c>
      <c r="L58" s="421">
        <v>0</v>
      </c>
      <c r="M58" s="421">
        <v>0.54127719607999403</v>
      </c>
      <c r="N58" s="421">
        <v>0</v>
      </c>
      <c r="O58" s="421">
        <v>0</v>
      </c>
      <c r="P58" s="421">
        <v>-531.28062944661895</v>
      </c>
      <c r="Q58" s="421">
        <v>0</v>
      </c>
      <c r="R58" s="421">
        <v>0</v>
      </c>
      <c r="S58" s="429">
        <v>791.93728588410204</v>
      </c>
      <c r="T58" s="412"/>
    </row>
    <row r="59" spans="2:20" x14ac:dyDescent="0.2">
      <c r="B59" s="412"/>
      <c r="C59" s="428" t="s">
        <v>348</v>
      </c>
      <c r="D59" s="421">
        <v>0.74274104021394804</v>
      </c>
      <c r="E59" s="421">
        <v>0</v>
      </c>
      <c r="F59" s="421">
        <v>9.6807273074047601E-2</v>
      </c>
      <c r="G59" s="421">
        <v>18.358678149105401</v>
      </c>
      <c r="H59" s="421">
        <v>0</v>
      </c>
      <c r="I59" s="421">
        <v>0</v>
      </c>
      <c r="J59" s="421">
        <v>14.428351097379601</v>
      </c>
      <c r="K59" s="421">
        <v>13.004424723043201</v>
      </c>
      <c r="L59" s="421">
        <v>0</v>
      </c>
      <c r="M59" s="421">
        <v>0.23050588198552699</v>
      </c>
      <c r="N59" s="421">
        <v>0</v>
      </c>
      <c r="O59" s="421">
        <v>2.39162871134433</v>
      </c>
      <c r="P59" s="421">
        <v>0</v>
      </c>
      <c r="Q59" s="421">
        <v>-43.536573371937401</v>
      </c>
      <c r="R59" s="421">
        <v>0</v>
      </c>
      <c r="S59" s="429">
        <v>5.7165635042085698</v>
      </c>
      <c r="T59" s="412"/>
    </row>
    <row r="60" spans="2:20" x14ac:dyDescent="0.2">
      <c r="B60" s="412"/>
      <c r="C60" s="428" t="s">
        <v>349</v>
      </c>
      <c r="D60" s="421">
        <v>0</v>
      </c>
      <c r="E60" s="421">
        <v>0</v>
      </c>
      <c r="F60" s="421">
        <v>0</v>
      </c>
      <c r="G60" s="421">
        <v>0</v>
      </c>
      <c r="H60" s="421">
        <v>0</v>
      </c>
      <c r="I60" s="421">
        <v>0</v>
      </c>
      <c r="J60" s="421">
        <v>5.6977956768119897</v>
      </c>
      <c r="K60" s="421">
        <v>0</v>
      </c>
      <c r="L60" s="421">
        <v>0</v>
      </c>
      <c r="M60" s="421">
        <v>-4.9570822388264304</v>
      </c>
      <c r="N60" s="421">
        <v>0</v>
      </c>
      <c r="O60" s="421">
        <v>0</v>
      </c>
      <c r="P60" s="421">
        <v>0</v>
      </c>
      <c r="Q60" s="421">
        <v>0</v>
      </c>
      <c r="R60" s="421">
        <v>0</v>
      </c>
      <c r="S60" s="429">
        <v>0.740713437985558</v>
      </c>
      <c r="T60" s="412"/>
    </row>
    <row r="61" spans="2:20" x14ac:dyDescent="0.2">
      <c r="B61" s="412"/>
      <c r="C61" s="428" t="s">
        <v>350</v>
      </c>
      <c r="D61" s="421">
        <v>0</v>
      </c>
      <c r="E61" s="421">
        <v>0</v>
      </c>
      <c r="F61" s="421">
        <v>0</v>
      </c>
      <c r="G61" s="421">
        <v>0</v>
      </c>
      <c r="H61" s="421">
        <v>0</v>
      </c>
      <c r="I61" s="421">
        <v>0</v>
      </c>
      <c r="J61" s="421">
        <v>0</v>
      </c>
      <c r="K61" s="421">
        <v>0</v>
      </c>
      <c r="L61" s="421">
        <v>0</v>
      </c>
      <c r="M61" s="421">
        <v>0</v>
      </c>
      <c r="N61" s="421">
        <v>0</v>
      </c>
      <c r="O61" s="421">
        <v>0</v>
      </c>
      <c r="P61" s="421">
        <v>0</v>
      </c>
      <c r="Q61" s="421">
        <v>0</v>
      </c>
      <c r="R61" s="421">
        <v>0</v>
      </c>
      <c r="S61" s="429">
        <v>0</v>
      </c>
      <c r="T61" s="412"/>
    </row>
    <row r="62" spans="2:20" x14ac:dyDescent="0.2">
      <c r="B62" s="412"/>
      <c r="C62" s="428" t="s">
        <v>72</v>
      </c>
      <c r="D62" s="421">
        <v>0</v>
      </c>
      <c r="E62" s="421">
        <v>526.32106875994998</v>
      </c>
      <c r="F62" s="421">
        <v>-521.05785807234997</v>
      </c>
      <c r="G62" s="421">
        <v>0</v>
      </c>
      <c r="H62" s="421">
        <v>0</v>
      </c>
      <c r="I62" s="421">
        <v>0</v>
      </c>
      <c r="J62" s="421">
        <v>0</v>
      </c>
      <c r="K62" s="421">
        <v>0</v>
      </c>
      <c r="L62" s="421">
        <v>0</v>
      </c>
      <c r="M62" s="421">
        <v>0</v>
      </c>
      <c r="N62" s="421">
        <v>0</v>
      </c>
      <c r="O62" s="421">
        <v>0</v>
      </c>
      <c r="P62" s="421">
        <v>0</v>
      </c>
      <c r="Q62" s="421">
        <v>0</v>
      </c>
      <c r="R62" s="421">
        <v>0</v>
      </c>
      <c r="S62" s="429">
        <v>5.2632106875995497</v>
      </c>
      <c r="T62" s="412"/>
    </row>
    <row r="63" spans="2:20" x14ac:dyDescent="0.2">
      <c r="B63" s="412"/>
      <c r="C63" s="428" t="s">
        <v>351</v>
      </c>
      <c r="D63" s="421">
        <v>0</v>
      </c>
      <c r="E63" s="421">
        <v>0</v>
      </c>
      <c r="F63" s="421">
        <v>0</v>
      </c>
      <c r="G63" s="421">
        <v>0</v>
      </c>
      <c r="H63" s="421">
        <v>0</v>
      </c>
      <c r="I63" s="421">
        <v>0</v>
      </c>
      <c r="J63" s="421">
        <v>39.5364479846275</v>
      </c>
      <c r="K63" s="421">
        <v>0</v>
      </c>
      <c r="L63" s="421">
        <v>-39.5364479846275</v>
      </c>
      <c r="M63" s="421">
        <v>0</v>
      </c>
      <c r="N63" s="421">
        <v>0</v>
      </c>
      <c r="O63" s="421">
        <v>0</v>
      </c>
      <c r="P63" s="421">
        <v>0</v>
      </c>
      <c r="Q63" s="421">
        <v>0</v>
      </c>
      <c r="R63" s="421">
        <v>0</v>
      </c>
      <c r="S63" s="429">
        <v>0</v>
      </c>
      <c r="T63" s="412"/>
    </row>
    <row r="64" spans="2:20" x14ac:dyDescent="0.2">
      <c r="B64" s="412"/>
      <c r="C64" s="428" t="s">
        <v>352</v>
      </c>
      <c r="D64" s="421">
        <v>0</v>
      </c>
      <c r="E64" s="421">
        <v>0</v>
      </c>
      <c r="F64" s="421">
        <v>0</v>
      </c>
      <c r="G64" s="421">
        <v>0</v>
      </c>
      <c r="H64" s="421">
        <v>0</v>
      </c>
      <c r="I64" s="421">
        <v>0</v>
      </c>
      <c r="J64" s="421">
        <v>0</v>
      </c>
      <c r="K64" s="421">
        <v>0</v>
      </c>
      <c r="L64" s="421">
        <v>0</v>
      </c>
      <c r="M64" s="421">
        <v>0</v>
      </c>
      <c r="N64" s="421">
        <v>0</v>
      </c>
      <c r="O64" s="421">
        <v>0</v>
      </c>
      <c r="P64" s="421">
        <v>0</v>
      </c>
      <c r="Q64" s="421">
        <v>0</v>
      </c>
      <c r="R64" s="421">
        <v>0</v>
      </c>
      <c r="S64" s="429">
        <v>0</v>
      </c>
      <c r="T64" s="412"/>
    </row>
    <row r="65" spans="2:20" x14ac:dyDescent="0.2">
      <c r="B65" s="412"/>
      <c r="C65" s="428" t="s">
        <v>73</v>
      </c>
      <c r="D65" s="421">
        <v>0</v>
      </c>
      <c r="E65" s="421">
        <v>0</v>
      </c>
      <c r="F65" s="421">
        <v>0</v>
      </c>
      <c r="G65" s="421">
        <v>0.23665830152728301</v>
      </c>
      <c r="H65" s="421">
        <v>0</v>
      </c>
      <c r="I65" s="421">
        <v>0</v>
      </c>
      <c r="J65" s="421">
        <v>0</v>
      </c>
      <c r="K65" s="421">
        <v>2.5738959176199801E-3</v>
      </c>
      <c r="L65" s="421">
        <v>0</v>
      </c>
      <c r="M65" s="421">
        <v>2.9714084031372098E-3</v>
      </c>
      <c r="N65" s="421">
        <v>0</v>
      </c>
      <c r="O65" s="421">
        <v>0</v>
      </c>
      <c r="P65" s="421">
        <v>1.6354138676569999E-2</v>
      </c>
      <c r="Q65" s="421">
        <v>0</v>
      </c>
      <c r="R65" s="421">
        <v>-0.18017271423339801</v>
      </c>
      <c r="S65" s="429">
        <v>7.8385030291211494E-2</v>
      </c>
      <c r="T65" s="412"/>
    </row>
    <row r="66" spans="2:20" x14ac:dyDescent="0.2">
      <c r="B66" s="412"/>
      <c r="C66" s="428" t="s">
        <v>353</v>
      </c>
      <c r="D66" s="421">
        <v>22.204820312500001</v>
      </c>
      <c r="E66" s="421">
        <v>-18.237025032532301</v>
      </c>
      <c r="F66" s="421">
        <v>23.852951568964802</v>
      </c>
      <c r="G66" s="421">
        <v>0</v>
      </c>
      <c r="H66" s="421">
        <v>0</v>
      </c>
      <c r="I66" s="421">
        <v>0</v>
      </c>
      <c r="J66" s="421">
        <v>0</v>
      </c>
      <c r="K66" s="421">
        <v>0</v>
      </c>
      <c r="L66" s="421">
        <v>0</v>
      </c>
      <c r="M66" s="421">
        <v>0</v>
      </c>
      <c r="N66" s="421">
        <v>0</v>
      </c>
      <c r="O66" s="421">
        <v>0</v>
      </c>
      <c r="P66" s="421">
        <v>0</v>
      </c>
      <c r="Q66" s="421">
        <v>0</v>
      </c>
      <c r="R66" s="421">
        <v>0</v>
      </c>
      <c r="S66" s="429">
        <v>27.8207468489326</v>
      </c>
      <c r="T66" s="412"/>
    </row>
    <row r="67" spans="2:20" x14ac:dyDescent="0.2">
      <c r="B67" s="412"/>
      <c r="C67" s="428" t="s">
        <v>75</v>
      </c>
      <c r="D67" s="421">
        <v>13.221516601562501</v>
      </c>
      <c r="E67" s="421">
        <v>0</v>
      </c>
      <c r="F67" s="421">
        <v>17.8949163378383</v>
      </c>
      <c r="G67" s="421">
        <v>5.14596740632253</v>
      </c>
      <c r="H67" s="421">
        <v>0</v>
      </c>
      <c r="I67" s="421">
        <v>0</v>
      </c>
      <c r="J67" s="421">
        <v>0</v>
      </c>
      <c r="K67" s="421">
        <v>0</v>
      </c>
      <c r="L67" s="421">
        <v>0</v>
      </c>
      <c r="M67" s="421">
        <v>6.4611174400971402E-2</v>
      </c>
      <c r="N67" s="421">
        <v>0</v>
      </c>
      <c r="O67" s="421">
        <v>0</v>
      </c>
      <c r="P67" s="421">
        <v>34.668031472331002</v>
      </c>
      <c r="Q67" s="421">
        <v>0</v>
      </c>
      <c r="R67" s="421">
        <v>0</v>
      </c>
      <c r="S67" s="429">
        <v>70.995042992455296</v>
      </c>
      <c r="T67" s="412"/>
    </row>
    <row r="68" spans="2:20" x14ac:dyDescent="0.2">
      <c r="B68" s="412"/>
      <c r="C68" s="428" t="s">
        <v>76</v>
      </c>
      <c r="D68" s="421">
        <v>0</v>
      </c>
      <c r="E68" s="421">
        <v>0</v>
      </c>
      <c r="F68" s="421">
        <v>0</v>
      </c>
      <c r="G68" s="421">
        <v>4.6815132147121501</v>
      </c>
      <c r="H68" s="421">
        <v>0</v>
      </c>
      <c r="I68" s="421">
        <v>0</v>
      </c>
      <c r="J68" s="421">
        <v>0</v>
      </c>
      <c r="K68" s="421">
        <v>0</v>
      </c>
      <c r="L68" s="421">
        <v>0</v>
      </c>
      <c r="M68" s="421">
        <v>5.8779631290431997E-2</v>
      </c>
      <c r="N68" s="421">
        <v>0</v>
      </c>
      <c r="O68" s="421">
        <v>0</v>
      </c>
      <c r="P68" s="421">
        <v>38.168971162606802</v>
      </c>
      <c r="Q68" s="421">
        <v>3.3736828074195002</v>
      </c>
      <c r="R68" s="421">
        <v>0</v>
      </c>
      <c r="S68" s="429">
        <v>46.282946816028897</v>
      </c>
      <c r="T68" s="412"/>
    </row>
    <row r="69" spans="2:20" x14ac:dyDescent="0.2">
      <c r="B69" s="412"/>
      <c r="C69" s="424" t="s">
        <v>77</v>
      </c>
      <c r="D69" s="425">
        <v>38.369548689843</v>
      </c>
      <c r="E69" s="425">
        <v>508.08404372741802</v>
      </c>
      <c r="F69" s="425">
        <v>-475.34954652883698</v>
      </c>
      <c r="G69" s="425">
        <v>71.532926656231993</v>
      </c>
      <c r="H69" s="425">
        <v>1100</v>
      </c>
      <c r="I69" s="425">
        <v>132.91999999999999</v>
      </c>
      <c r="J69" s="425">
        <v>90.928798833334</v>
      </c>
      <c r="K69" s="425">
        <v>22.323215995319099</v>
      </c>
      <c r="L69" s="425">
        <v>-39.5364479846275</v>
      </c>
      <c r="M69" s="425">
        <v>-4.0589369466663703</v>
      </c>
      <c r="N69" s="425">
        <v>0</v>
      </c>
      <c r="O69" s="425">
        <v>2.39162871134433</v>
      </c>
      <c r="P69" s="425">
        <v>-458.42727267300501</v>
      </c>
      <c r="Q69" s="425">
        <v>-40.162890564517902</v>
      </c>
      <c r="R69" s="425">
        <v>-0.18017271423339801</v>
      </c>
      <c r="S69" s="425">
        <v>948.83489520160401</v>
      </c>
      <c r="T69" s="412"/>
    </row>
    <row r="70" spans="2:20" x14ac:dyDescent="0.2">
      <c r="B70" s="412"/>
      <c r="C70" s="426"/>
      <c r="D70" s="427"/>
      <c r="E70" s="427"/>
      <c r="F70" s="427"/>
      <c r="G70" s="427"/>
      <c r="H70" s="427"/>
      <c r="I70" s="427"/>
      <c r="J70" s="427"/>
      <c r="K70" s="427"/>
      <c r="L70" s="427"/>
      <c r="M70" s="427"/>
      <c r="N70" s="427"/>
      <c r="O70" s="427"/>
      <c r="P70" s="427"/>
      <c r="Q70" s="427"/>
      <c r="R70" s="427"/>
      <c r="S70" s="427"/>
      <c r="T70" s="412"/>
    </row>
    <row r="71" spans="2:20" x14ac:dyDescent="0.2">
      <c r="B71" s="412"/>
      <c r="C71" s="428" t="s">
        <v>78</v>
      </c>
      <c r="D71" s="421">
        <v>8.2197396847693707</v>
      </c>
      <c r="E71" s="421">
        <v>0</v>
      </c>
      <c r="F71" s="421">
        <v>28.180521880790899</v>
      </c>
      <c r="G71" s="421">
        <v>112.202197168209</v>
      </c>
      <c r="H71" s="421">
        <v>0</v>
      </c>
      <c r="I71" s="421">
        <v>0</v>
      </c>
      <c r="J71" s="421">
        <v>17.034037714807798</v>
      </c>
      <c r="K71" s="421">
        <v>4.0033898079417298</v>
      </c>
      <c r="L71" s="421">
        <v>0.89586796289062498</v>
      </c>
      <c r="M71" s="421">
        <v>1.4087760681306101</v>
      </c>
      <c r="N71" s="421">
        <v>0</v>
      </c>
      <c r="O71" s="421">
        <v>0</v>
      </c>
      <c r="P71" s="421">
        <v>108.21704147474701</v>
      </c>
      <c r="Q71" s="421">
        <v>18.2326403230594</v>
      </c>
      <c r="R71" s="421">
        <v>0.18017271423339801</v>
      </c>
      <c r="S71" s="429">
        <v>298.57438479958</v>
      </c>
      <c r="T71" s="412"/>
    </row>
    <row r="72" spans="2:20" x14ac:dyDescent="0.2">
      <c r="B72" s="412"/>
      <c r="C72" s="428" t="s">
        <v>79</v>
      </c>
      <c r="D72" s="421">
        <v>0</v>
      </c>
      <c r="E72" s="421">
        <v>0</v>
      </c>
      <c r="F72" s="421">
        <v>381.141400590812</v>
      </c>
      <c r="G72" s="421">
        <v>4.7808389838304803</v>
      </c>
      <c r="H72" s="421">
        <v>0</v>
      </c>
      <c r="I72" s="421">
        <v>0</v>
      </c>
      <c r="J72" s="421">
        <v>0</v>
      </c>
      <c r="K72" s="421">
        <v>0</v>
      </c>
      <c r="L72" s="421">
        <v>36.729850270547203</v>
      </c>
      <c r="M72" s="421">
        <v>8.1330349453470993E-2</v>
      </c>
      <c r="N72" s="421">
        <v>0</v>
      </c>
      <c r="O72" s="421">
        <v>0</v>
      </c>
      <c r="P72" s="421">
        <v>13.917165054851701</v>
      </c>
      <c r="Q72" s="421">
        <v>0</v>
      </c>
      <c r="R72" s="421">
        <v>0</v>
      </c>
      <c r="S72" s="429">
        <v>436.65058524949501</v>
      </c>
      <c r="T72" s="412"/>
    </row>
    <row r="73" spans="2:20" x14ac:dyDescent="0.2">
      <c r="B73" s="412"/>
      <c r="C73" s="428" t="s">
        <v>80</v>
      </c>
      <c r="D73" s="421">
        <v>0</v>
      </c>
      <c r="E73" s="421">
        <v>0</v>
      </c>
      <c r="F73" s="421">
        <v>45.2391315244111</v>
      </c>
      <c r="G73" s="421">
        <v>133.04908791919399</v>
      </c>
      <c r="H73" s="421">
        <v>0</v>
      </c>
      <c r="I73" s="421">
        <v>0</v>
      </c>
      <c r="J73" s="421">
        <v>75.533769220439794</v>
      </c>
      <c r="K73" s="421">
        <v>0</v>
      </c>
      <c r="L73" s="421">
        <v>0</v>
      </c>
      <c r="M73" s="421">
        <v>1.6705231776002401</v>
      </c>
      <c r="N73" s="421">
        <v>30.638911807936498</v>
      </c>
      <c r="O73" s="421">
        <v>0.38834857281910401</v>
      </c>
      <c r="P73" s="421">
        <v>165.12177710767</v>
      </c>
      <c r="Q73" s="421">
        <v>16.128184194203499</v>
      </c>
      <c r="R73" s="421">
        <v>0</v>
      </c>
      <c r="S73" s="429">
        <v>467.76973352427399</v>
      </c>
      <c r="T73" s="412"/>
    </row>
    <row r="74" spans="2:20" x14ac:dyDescent="0.2">
      <c r="B74" s="412"/>
      <c r="C74" s="428" t="s">
        <v>81</v>
      </c>
      <c r="D74" s="421">
        <v>0</v>
      </c>
      <c r="E74" s="421">
        <v>0</v>
      </c>
      <c r="F74" s="421">
        <v>24.631208462384599</v>
      </c>
      <c r="G74" s="421">
        <v>70.462480116853897</v>
      </c>
      <c r="H74" s="421">
        <v>0</v>
      </c>
      <c r="I74" s="421">
        <v>0</v>
      </c>
      <c r="J74" s="421">
        <v>4.2047097373813802</v>
      </c>
      <c r="K74" s="421">
        <v>0</v>
      </c>
      <c r="L74" s="421">
        <v>0</v>
      </c>
      <c r="M74" s="421">
        <v>0.88470509664741703</v>
      </c>
      <c r="N74" s="421">
        <v>5.4404038115911604</v>
      </c>
      <c r="O74" s="421">
        <v>0.99522781778772396</v>
      </c>
      <c r="P74" s="421">
        <v>129.52827270094099</v>
      </c>
      <c r="Q74" s="421">
        <v>5.8020660472549901</v>
      </c>
      <c r="R74" s="421">
        <v>0</v>
      </c>
      <c r="S74" s="429">
        <v>241.94907379084199</v>
      </c>
      <c r="T74" s="412"/>
    </row>
    <row r="75" spans="2:20" x14ac:dyDescent="0.2">
      <c r="B75" s="412"/>
      <c r="C75" s="428" t="s">
        <v>82</v>
      </c>
      <c r="D75" s="421">
        <v>0</v>
      </c>
      <c r="E75" s="421">
        <v>0</v>
      </c>
      <c r="F75" s="421">
        <v>33.610106097975702</v>
      </c>
      <c r="G75" s="421">
        <v>2.7590441466845501</v>
      </c>
      <c r="H75" s="421">
        <v>0</v>
      </c>
      <c r="I75" s="421">
        <v>0</v>
      </c>
      <c r="J75" s="421">
        <v>0.36635705930495199</v>
      </c>
      <c r="K75" s="421">
        <v>0</v>
      </c>
      <c r="L75" s="421">
        <v>1.1579176541364899</v>
      </c>
      <c r="M75" s="421">
        <v>3.4641704555374998E-2</v>
      </c>
      <c r="N75" s="421">
        <v>0</v>
      </c>
      <c r="O75" s="421">
        <v>9.2576225379409599E-2</v>
      </c>
      <c r="P75" s="421">
        <v>8.3984804918280105</v>
      </c>
      <c r="Q75" s="421">
        <v>0</v>
      </c>
      <c r="R75" s="421">
        <v>0</v>
      </c>
      <c r="S75" s="429">
        <v>46.419123379864502</v>
      </c>
      <c r="T75" s="412"/>
    </row>
    <row r="76" spans="2:20" x14ac:dyDescent="0.2">
      <c r="B76" s="412"/>
      <c r="C76" s="428" t="s">
        <v>354</v>
      </c>
      <c r="D76" s="421">
        <v>0</v>
      </c>
      <c r="E76" s="421">
        <v>0</v>
      </c>
      <c r="F76" s="421">
        <v>0</v>
      </c>
      <c r="G76" s="421">
        <v>0</v>
      </c>
      <c r="H76" s="421">
        <v>0</v>
      </c>
      <c r="I76" s="421">
        <v>0</v>
      </c>
      <c r="J76" s="421">
        <v>0</v>
      </c>
      <c r="K76" s="421">
        <v>0</v>
      </c>
      <c r="L76" s="421">
        <v>0</v>
      </c>
      <c r="M76" s="421">
        <v>0</v>
      </c>
      <c r="N76" s="421">
        <v>0</v>
      </c>
      <c r="O76" s="421">
        <v>0</v>
      </c>
      <c r="P76" s="421">
        <v>0</v>
      </c>
      <c r="Q76" s="421">
        <v>0</v>
      </c>
      <c r="R76" s="421">
        <v>0</v>
      </c>
      <c r="S76" s="429">
        <v>0</v>
      </c>
      <c r="T76" s="412"/>
    </row>
    <row r="77" spans="2:20" x14ac:dyDescent="0.2">
      <c r="B77" s="412"/>
      <c r="C77" s="424" t="s">
        <v>83</v>
      </c>
      <c r="D77" s="425">
        <v>8.2197396847693707</v>
      </c>
      <c r="E77" s="425">
        <v>0</v>
      </c>
      <c r="F77" s="425">
        <v>512.80236855637395</v>
      </c>
      <c r="G77" s="425">
        <v>323.25364833477198</v>
      </c>
      <c r="H77" s="425">
        <v>0</v>
      </c>
      <c r="I77" s="425">
        <v>0</v>
      </c>
      <c r="J77" s="425">
        <v>97.138873731933799</v>
      </c>
      <c r="K77" s="425">
        <v>4.0033898079417298</v>
      </c>
      <c r="L77" s="425">
        <v>38.783635887574299</v>
      </c>
      <c r="M77" s="425">
        <v>4.0799763963871198</v>
      </c>
      <c r="N77" s="425">
        <v>36.079315619527598</v>
      </c>
      <c r="O77" s="425">
        <v>1.4761526159862399</v>
      </c>
      <c r="P77" s="425">
        <v>425.18273683003798</v>
      </c>
      <c r="Q77" s="425">
        <v>40.162890564517902</v>
      </c>
      <c r="R77" s="425">
        <v>0.18017271423339801</v>
      </c>
      <c r="S77" s="425">
        <v>1491.36290074406</v>
      </c>
      <c r="T77" s="412"/>
    </row>
    <row r="78" spans="2:20" x14ac:dyDescent="0.2">
      <c r="B78" s="412"/>
      <c r="C78" s="420" t="s">
        <v>84</v>
      </c>
      <c r="D78" s="421">
        <v>2.9577041015624999</v>
      </c>
      <c r="E78" s="421">
        <v>0</v>
      </c>
      <c r="F78" s="421">
        <v>136.03635507375699</v>
      </c>
      <c r="G78" s="421">
        <v>12.5000313063388</v>
      </c>
      <c r="H78" s="421">
        <v>0</v>
      </c>
      <c r="I78" s="421">
        <v>0</v>
      </c>
      <c r="J78" s="421">
        <v>0</v>
      </c>
      <c r="K78" s="421">
        <v>0</v>
      </c>
      <c r="L78" s="421">
        <v>0</v>
      </c>
      <c r="M78" s="421">
        <v>0</v>
      </c>
      <c r="N78" s="421">
        <v>0</v>
      </c>
      <c r="O78" s="421">
        <v>0</v>
      </c>
      <c r="P78" s="421">
        <v>0</v>
      </c>
      <c r="Q78" s="421">
        <v>0</v>
      </c>
      <c r="R78" s="421">
        <v>0</v>
      </c>
      <c r="S78" s="429">
        <v>151.49409048165899</v>
      </c>
      <c r="T78" s="412"/>
    </row>
    <row r="79" spans="2:20" x14ac:dyDescent="0.2">
      <c r="B79" s="412"/>
      <c r="C79" s="424" t="s">
        <v>85</v>
      </c>
      <c r="D79" s="425">
        <v>11.177443786331899</v>
      </c>
      <c r="E79" s="425">
        <v>0</v>
      </c>
      <c r="F79" s="425">
        <v>648.83872363013199</v>
      </c>
      <c r="G79" s="425">
        <v>335.75367964111098</v>
      </c>
      <c r="H79" s="425">
        <v>0</v>
      </c>
      <c r="I79" s="425">
        <v>0</v>
      </c>
      <c r="J79" s="425">
        <v>97.138873731933799</v>
      </c>
      <c r="K79" s="425">
        <v>4.0033898079417298</v>
      </c>
      <c r="L79" s="425">
        <v>38.783635887574299</v>
      </c>
      <c r="M79" s="425">
        <v>4.0799763963871198</v>
      </c>
      <c r="N79" s="425">
        <v>36.079315619527598</v>
      </c>
      <c r="O79" s="425">
        <v>1.4761526159862399</v>
      </c>
      <c r="P79" s="425">
        <v>425.18273683003798</v>
      </c>
      <c r="Q79" s="425">
        <v>40.162890564517902</v>
      </c>
      <c r="R79" s="425">
        <v>0.18017271423339801</v>
      </c>
      <c r="S79" s="425">
        <v>1642.8569912257101</v>
      </c>
      <c r="T79" s="412"/>
    </row>
    <row r="80" spans="2:20" x14ac:dyDescent="0.2">
      <c r="B80" s="412"/>
      <c r="C80" s="412"/>
      <c r="D80" s="430">
        <f t="shared" ref="D80:S80" si="9">D79+D69-D55</f>
        <v>0</v>
      </c>
      <c r="E80" s="430">
        <f t="shared" si="9"/>
        <v>0</v>
      </c>
      <c r="F80" s="430">
        <f t="shared" si="9"/>
        <v>0</v>
      </c>
      <c r="G80" s="430">
        <f t="shared" si="9"/>
        <v>-2.1039449720035464E-2</v>
      </c>
      <c r="H80" s="430">
        <f t="shared" si="9"/>
        <v>0</v>
      </c>
      <c r="I80" s="430">
        <f t="shared" si="9"/>
        <v>0</v>
      </c>
      <c r="J80" s="430">
        <f t="shared" si="9"/>
        <v>0</v>
      </c>
      <c r="K80" s="430">
        <f t="shared" si="9"/>
        <v>2.8421709430404007E-14</v>
      </c>
      <c r="L80" s="430">
        <f t="shared" si="9"/>
        <v>1.5543122344752192E-14</v>
      </c>
      <c r="M80" s="430">
        <f t="shared" si="9"/>
        <v>2.1039449720749559E-2</v>
      </c>
      <c r="N80" s="430">
        <f t="shared" si="9"/>
        <v>0</v>
      </c>
      <c r="O80" s="430">
        <f t="shared" si="9"/>
        <v>0</v>
      </c>
      <c r="P80" s="430">
        <f t="shared" si="9"/>
        <v>-2.2737367544323206E-13</v>
      </c>
      <c r="Q80" s="430">
        <f t="shared" si="9"/>
        <v>0</v>
      </c>
      <c r="R80" s="430">
        <f t="shared" si="9"/>
        <v>0</v>
      </c>
      <c r="S80" s="430">
        <f t="shared" si="9"/>
        <v>-5.9117155615240335E-12</v>
      </c>
      <c r="T80" s="412"/>
    </row>
    <row r="81" spans="2:20" x14ac:dyDescent="0.2">
      <c r="B81" s="412"/>
      <c r="C81" s="412"/>
      <c r="D81" s="412"/>
      <c r="E81" s="412"/>
      <c r="F81" s="412"/>
      <c r="G81" s="412"/>
      <c r="H81" s="412"/>
      <c r="I81" s="412"/>
      <c r="J81" s="412"/>
      <c r="K81" s="412"/>
      <c r="L81" s="412"/>
      <c r="M81" s="412"/>
      <c r="N81" s="412"/>
      <c r="O81" s="412"/>
      <c r="P81" s="412"/>
      <c r="Q81" s="412"/>
      <c r="R81" s="412"/>
      <c r="S81" s="412"/>
      <c r="T81" s="412"/>
    </row>
    <row r="82" spans="2:20" ht="14.25" x14ac:dyDescent="0.2">
      <c r="B82" s="416"/>
      <c r="C82" s="417" t="s">
        <v>87</v>
      </c>
      <c r="D82" s="416"/>
      <c r="E82" s="416"/>
      <c r="F82" s="416"/>
      <c r="G82" s="416"/>
      <c r="H82" s="416"/>
      <c r="I82" s="416"/>
      <c r="J82" s="416"/>
      <c r="K82" s="416"/>
      <c r="L82" s="416"/>
      <c r="M82" s="416"/>
      <c r="N82" s="416"/>
      <c r="O82" s="416"/>
      <c r="P82" s="416"/>
      <c r="Q82" s="416"/>
      <c r="R82" s="416"/>
      <c r="S82" s="416"/>
      <c r="T82" s="416"/>
    </row>
    <row r="83" spans="2:20" x14ac:dyDescent="0.2">
      <c r="B83" s="412"/>
      <c r="C83" s="412"/>
      <c r="D83" s="412"/>
      <c r="E83" s="412"/>
      <c r="F83" s="412"/>
      <c r="G83" s="412"/>
      <c r="H83" s="412"/>
      <c r="I83" s="412"/>
      <c r="J83" s="412"/>
      <c r="K83" s="412"/>
      <c r="L83" s="412"/>
      <c r="M83" s="412"/>
      <c r="N83" s="412"/>
      <c r="O83" s="412"/>
      <c r="P83" s="412"/>
      <c r="Q83" s="412"/>
      <c r="R83" s="412"/>
      <c r="S83" s="412"/>
      <c r="T83" s="412"/>
    </row>
    <row r="84" spans="2:20" ht="13.5" customHeight="1" x14ac:dyDescent="0.2">
      <c r="B84" s="412"/>
      <c r="C84" s="756" t="s">
        <v>128</v>
      </c>
      <c r="D84" s="755" t="s">
        <v>42</v>
      </c>
      <c r="E84" s="755" t="s">
        <v>52</v>
      </c>
      <c r="F84" s="755" t="s">
        <v>53</v>
      </c>
      <c r="G84" s="755" t="s">
        <v>32</v>
      </c>
      <c r="H84" s="755" t="s">
        <v>20</v>
      </c>
      <c r="I84" s="755" t="s">
        <v>55</v>
      </c>
      <c r="J84" s="755" t="s">
        <v>56</v>
      </c>
      <c r="K84" s="755"/>
      <c r="L84" s="755"/>
      <c r="M84" s="755"/>
      <c r="N84" s="755"/>
      <c r="O84" s="755"/>
      <c r="P84" s="755" t="s">
        <v>57</v>
      </c>
      <c r="Q84" s="755" t="s">
        <v>58</v>
      </c>
      <c r="R84" s="755" t="s">
        <v>31</v>
      </c>
      <c r="S84" s="755" t="s">
        <v>10</v>
      </c>
      <c r="T84" s="412"/>
    </row>
    <row r="85" spans="2:20" ht="56.25" x14ac:dyDescent="0.2">
      <c r="B85" s="412"/>
      <c r="C85" s="756"/>
      <c r="D85" s="755"/>
      <c r="E85" s="755"/>
      <c r="F85" s="755"/>
      <c r="G85" s="755"/>
      <c r="H85" s="755"/>
      <c r="I85" s="755"/>
      <c r="J85" s="418" t="s">
        <v>335</v>
      </c>
      <c r="K85" s="418" t="s">
        <v>40</v>
      </c>
      <c r="L85" s="418" t="s">
        <v>343</v>
      </c>
      <c r="M85" s="418" t="s">
        <v>344</v>
      </c>
      <c r="N85" s="419" t="s">
        <v>345</v>
      </c>
      <c r="O85" s="418" t="s">
        <v>346</v>
      </c>
      <c r="P85" s="755"/>
      <c r="Q85" s="755"/>
      <c r="R85" s="755"/>
      <c r="S85" s="755"/>
      <c r="T85" s="412"/>
    </row>
    <row r="86" spans="2:20" x14ac:dyDescent="0.2">
      <c r="B86" s="412"/>
      <c r="C86" s="420" t="s">
        <v>59</v>
      </c>
      <c r="D86" s="421">
        <v>0</v>
      </c>
      <c r="E86" s="421">
        <v>9.7691999999999997</v>
      </c>
      <c r="F86" s="421">
        <v>0</v>
      </c>
      <c r="G86" s="421">
        <v>0.18608</v>
      </c>
      <c r="H86" s="422">
        <v>1190.9090909090901</v>
      </c>
      <c r="I86" s="422">
        <v>150.68799999999999</v>
      </c>
      <c r="J86" s="422">
        <v>192.55962255618499</v>
      </c>
      <c r="K86" s="422">
        <v>26.086924564420499</v>
      </c>
      <c r="L86" s="421">
        <v>0</v>
      </c>
      <c r="M86" s="421">
        <v>0</v>
      </c>
      <c r="N86" s="422">
        <v>38.824946626539997</v>
      </c>
      <c r="O86" s="422">
        <v>3.9832016462042499</v>
      </c>
      <c r="P86" s="421">
        <v>0</v>
      </c>
      <c r="Q86" s="421">
        <v>0</v>
      </c>
      <c r="R86" s="421">
        <v>0</v>
      </c>
      <c r="S86" s="423">
        <v>1613.0070663024401</v>
      </c>
      <c r="T86" s="412"/>
    </row>
    <row r="87" spans="2:20" x14ac:dyDescent="0.2">
      <c r="B87" s="412"/>
      <c r="C87" s="420" t="s">
        <v>60</v>
      </c>
      <c r="D87" s="421">
        <v>44.356557420150601</v>
      </c>
      <c r="E87" s="421">
        <v>553.51354311683997</v>
      </c>
      <c r="F87" s="421">
        <v>214.35798974996999</v>
      </c>
      <c r="G87" s="421">
        <v>380.29283409068802</v>
      </c>
      <c r="H87" s="421">
        <v>0</v>
      </c>
      <c r="I87" s="421">
        <v>0</v>
      </c>
      <c r="J87" s="421">
        <v>0</v>
      </c>
      <c r="K87" s="421">
        <v>0</v>
      </c>
      <c r="L87" s="421">
        <v>0</v>
      </c>
      <c r="M87" s="421">
        <v>0</v>
      </c>
      <c r="N87" s="421">
        <v>0</v>
      </c>
      <c r="O87" s="421">
        <v>0</v>
      </c>
      <c r="P87" s="421">
        <v>0</v>
      </c>
      <c r="Q87" s="421">
        <v>0</v>
      </c>
      <c r="R87" s="421">
        <v>0</v>
      </c>
      <c r="S87" s="423">
        <v>1192.5209243776501</v>
      </c>
      <c r="T87" s="412"/>
    </row>
    <row r="88" spans="2:20" x14ac:dyDescent="0.2">
      <c r="B88" s="412"/>
      <c r="C88" s="420" t="s">
        <v>61</v>
      </c>
      <c r="D88" s="421">
        <v>0</v>
      </c>
      <c r="E88" s="421">
        <v>0</v>
      </c>
      <c r="F88" s="421">
        <v>0</v>
      </c>
      <c r="G88" s="421">
        <v>0</v>
      </c>
      <c r="H88" s="421">
        <v>0</v>
      </c>
      <c r="I88" s="421">
        <v>0</v>
      </c>
      <c r="J88" s="421">
        <v>0</v>
      </c>
      <c r="K88" s="421">
        <v>0</v>
      </c>
      <c r="L88" s="421">
        <v>0</v>
      </c>
      <c r="M88" s="421">
        <v>0</v>
      </c>
      <c r="N88" s="421">
        <v>0</v>
      </c>
      <c r="O88" s="421">
        <v>0</v>
      </c>
      <c r="P88" s="421">
        <v>-64.037371169234603</v>
      </c>
      <c r="Q88" s="421">
        <v>0</v>
      </c>
      <c r="R88" s="421">
        <v>0</v>
      </c>
      <c r="S88" s="423">
        <v>-64.037371169234603</v>
      </c>
      <c r="T88" s="412"/>
    </row>
    <row r="89" spans="2:20" x14ac:dyDescent="0.2">
      <c r="B89" s="412"/>
      <c r="C89" s="420" t="s">
        <v>62</v>
      </c>
      <c r="D89" s="421">
        <v>0</v>
      </c>
      <c r="E89" s="421">
        <v>0</v>
      </c>
      <c r="F89" s="421">
        <v>-17.936302519198001</v>
      </c>
      <c r="G89" s="421">
        <v>0</v>
      </c>
      <c r="H89" s="421">
        <v>0</v>
      </c>
      <c r="I89" s="421">
        <v>0</v>
      </c>
      <c r="J89" s="421">
        <v>0</v>
      </c>
      <c r="K89" s="421">
        <v>0</v>
      </c>
      <c r="L89" s="421">
        <v>0</v>
      </c>
      <c r="M89" s="421">
        <v>0</v>
      </c>
      <c r="N89" s="421">
        <v>0</v>
      </c>
      <c r="O89" s="421">
        <v>0</v>
      </c>
      <c r="P89" s="421">
        <v>0</v>
      </c>
      <c r="Q89" s="421">
        <v>0</v>
      </c>
      <c r="R89" s="421">
        <v>0</v>
      </c>
      <c r="S89" s="423">
        <v>-17.936302519198001</v>
      </c>
      <c r="T89" s="412"/>
    </row>
    <row r="90" spans="2:20" x14ac:dyDescent="0.2">
      <c r="B90" s="412"/>
      <c r="C90" s="420" t="s">
        <v>63</v>
      </c>
      <c r="D90" s="421">
        <v>0</v>
      </c>
      <c r="E90" s="421">
        <v>0</v>
      </c>
      <c r="F90" s="421">
        <v>-79.260028986096998</v>
      </c>
      <c r="G90" s="421">
        <v>0</v>
      </c>
      <c r="H90" s="421">
        <v>0</v>
      </c>
      <c r="I90" s="421">
        <v>0</v>
      </c>
      <c r="J90" s="421">
        <v>0</v>
      </c>
      <c r="K90" s="421">
        <v>0</v>
      </c>
      <c r="L90" s="421">
        <v>-0.81988618642427602</v>
      </c>
      <c r="M90" s="421">
        <v>0</v>
      </c>
      <c r="N90" s="421">
        <v>0</v>
      </c>
      <c r="O90" s="421">
        <v>0</v>
      </c>
      <c r="P90" s="421">
        <v>0</v>
      </c>
      <c r="Q90" s="421">
        <v>0</v>
      </c>
      <c r="R90" s="421">
        <v>0</v>
      </c>
      <c r="S90" s="423">
        <v>-80.079915172521297</v>
      </c>
      <c r="T90" s="412"/>
    </row>
    <row r="91" spans="2:20" x14ac:dyDescent="0.2">
      <c r="B91" s="412"/>
      <c r="C91" s="420" t="s">
        <v>64</v>
      </c>
      <c r="D91" s="421">
        <v>0</v>
      </c>
      <c r="E91" s="421">
        <v>0</v>
      </c>
      <c r="F91" s="421">
        <v>0</v>
      </c>
      <c r="G91" s="421">
        <v>0</v>
      </c>
      <c r="H91" s="421">
        <v>0</v>
      </c>
      <c r="I91" s="421">
        <v>0</v>
      </c>
      <c r="J91" s="421">
        <v>0</v>
      </c>
      <c r="K91" s="421">
        <v>0</v>
      </c>
      <c r="L91" s="421">
        <v>0</v>
      </c>
      <c r="M91" s="421">
        <v>0</v>
      </c>
      <c r="N91" s="421">
        <v>0</v>
      </c>
      <c r="O91" s="421">
        <v>0</v>
      </c>
      <c r="P91" s="421">
        <v>0</v>
      </c>
      <c r="Q91" s="421">
        <v>0</v>
      </c>
      <c r="R91" s="421">
        <v>0</v>
      </c>
      <c r="S91" s="423">
        <v>0</v>
      </c>
      <c r="T91" s="412"/>
    </row>
    <row r="92" spans="2:20" x14ac:dyDescent="0.2">
      <c r="B92" s="412"/>
      <c r="C92" s="424" t="s">
        <v>65</v>
      </c>
      <c r="D92" s="425">
        <v>44.356557420150601</v>
      </c>
      <c r="E92" s="425">
        <v>563.28274311684004</v>
      </c>
      <c r="F92" s="425">
        <v>117.161658244675</v>
      </c>
      <c r="G92" s="425">
        <v>380.47891409068802</v>
      </c>
      <c r="H92" s="425">
        <v>1190.9090909090901</v>
      </c>
      <c r="I92" s="425">
        <v>150.68799999999999</v>
      </c>
      <c r="J92" s="425">
        <v>192.55962255618499</v>
      </c>
      <c r="K92" s="425">
        <v>26.086924564420499</v>
      </c>
      <c r="L92" s="425">
        <v>-0.81988618642427602</v>
      </c>
      <c r="M92" s="425">
        <v>0</v>
      </c>
      <c r="N92" s="425">
        <v>38.824946626539997</v>
      </c>
      <c r="O92" s="425">
        <v>3.9832016462042499</v>
      </c>
      <c r="P92" s="425">
        <v>-64.037371169234603</v>
      </c>
      <c r="Q92" s="425">
        <v>0</v>
      </c>
      <c r="R92" s="425">
        <v>0</v>
      </c>
      <c r="S92" s="425">
        <v>2643.47440181914</v>
      </c>
      <c r="T92" s="412"/>
    </row>
    <row r="93" spans="2:20" x14ac:dyDescent="0.2">
      <c r="B93" s="412"/>
      <c r="C93" s="426"/>
      <c r="D93" s="427"/>
      <c r="E93" s="427"/>
      <c r="F93" s="427"/>
      <c r="G93" s="427"/>
      <c r="H93" s="427"/>
      <c r="I93" s="427"/>
      <c r="J93" s="427"/>
      <c r="K93" s="427"/>
      <c r="L93" s="427"/>
      <c r="M93" s="427"/>
      <c r="N93" s="427"/>
      <c r="O93" s="427"/>
      <c r="P93" s="427"/>
      <c r="Q93" s="427"/>
      <c r="R93" s="427"/>
      <c r="S93" s="427"/>
      <c r="T93" s="412"/>
    </row>
    <row r="94" spans="2:20" x14ac:dyDescent="0.2">
      <c r="B94" s="412"/>
      <c r="C94" s="428" t="s">
        <v>67</v>
      </c>
      <c r="D94" s="421">
        <v>0</v>
      </c>
      <c r="E94" s="421">
        <v>0</v>
      </c>
      <c r="F94" s="421">
        <v>0</v>
      </c>
      <c r="G94" s="421">
        <v>0</v>
      </c>
      <c r="H94" s="421">
        <v>0</v>
      </c>
      <c r="I94" s="421">
        <v>0</v>
      </c>
      <c r="J94" s="421">
        <v>0</v>
      </c>
      <c r="K94" s="421">
        <v>0</v>
      </c>
      <c r="L94" s="421">
        <v>0</v>
      </c>
      <c r="M94" s="421">
        <v>0</v>
      </c>
      <c r="N94" s="421">
        <v>0</v>
      </c>
      <c r="O94" s="421">
        <v>0</v>
      </c>
      <c r="P94" s="421">
        <v>0</v>
      </c>
      <c r="Q94" s="421">
        <v>0</v>
      </c>
      <c r="R94" s="421">
        <v>0</v>
      </c>
      <c r="S94" s="429">
        <v>0</v>
      </c>
      <c r="T94" s="412"/>
    </row>
    <row r="95" spans="2:20" x14ac:dyDescent="0.2">
      <c r="B95" s="412"/>
      <c r="C95" s="428" t="s">
        <v>347</v>
      </c>
      <c r="D95" s="421">
        <v>2.2004707355665598</v>
      </c>
      <c r="E95" s="421">
        <v>0</v>
      </c>
      <c r="F95" s="421">
        <v>3.8636363636363602</v>
      </c>
      <c r="G95" s="421">
        <v>21.350265318958598</v>
      </c>
      <c r="H95" s="421">
        <v>1190.9090909090901</v>
      </c>
      <c r="I95" s="421">
        <v>150.68799999999999</v>
      </c>
      <c r="J95" s="421">
        <v>30.0443018658917</v>
      </c>
      <c r="K95" s="421">
        <v>8.7092987515159699</v>
      </c>
      <c r="L95" s="421">
        <v>0</v>
      </c>
      <c r="M95" s="421">
        <v>0.43571970038690899</v>
      </c>
      <c r="N95" s="421">
        <v>0</v>
      </c>
      <c r="O95" s="421">
        <v>0</v>
      </c>
      <c r="P95" s="421">
        <v>-567.63457206025305</v>
      </c>
      <c r="Q95" s="421">
        <v>0</v>
      </c>
      <c r="R95" s="421">
        <v>0</v>
      </c>
      <c r="S95" s="429">
        <v>840.56621158479402</v>
      </c>
      <c r="T95" s="412"/>
    </row>
    <row r="96" spans="2:20" x14ac:dyDescent="0.2">
      <c r="B96" s="412"/>
      <c r="C96" s="428" t="s">
        <v>348</v>
      </c>
      <c r="D96" s="421">
        <v>0.123491187368727</v>
      </c>
      <c r="E96" s="421">
        <v>0</v>
      </c>
      <c r="F96" s="421">
        <v>0</v>
      </c>
      <c r="G96" s="421">
        <v>18.256412910237302</v>
      </c>
      <c r="H96" s="421">
        <v>0</v>
      </c>
      <c r="I96" s="421">
        <v>0</v>
      </c>
      <c r="J96" s="421">
        <v>14.431704526244101</v>
      </c>
      <c r="K96" s="421">
        <v>13.2604433911694</v>
      </c>
      <c r="L96" s="421">
        <v>0</v>
      </c>
      <c r="M96" s="421">
        <v>0.37257985531096499</v>
      </c>
      <c r="N96" s="421">
        <v>0</v>
      </c>
      <c r="O96" s="421">
        <v>2.3954921223483301</v>
      </c>
      <c r="P96" s="421">
        <v>0</v>
      </c>
      <c r="Q96" s="421">
        <v>-43.438604623737099</v>
      </c>
      <c r="R96" s="421">
        <v>0</v>
      </c>
      <c r="S96" s="429">
        <v>5.4015193689417904</v>
      </c>
      <c r="T96" s="412"/>
    </row>
    <row r="97" spans="2:20" x14ac:dyDescent="0.2">
      <c r="B97" s="412"/>
      <c r="C97" s="428" t="s">
        <v>349</v>
      </c>
      <c r="D97" s="421">
        <v>0</v>
      </c>
      <c r="E97" s="421">
        <v>0</v>
      </c>
      <c r="F97" s="421">
        <v>0</v>
      </c>
      <c r="G97" s="421">
        <v>0</v>
      </c>
      <c r="H97" s="421">
        <v>0</v>
      </c>
      <c r="I97" s="421">
        <v>0</v>
      </c>
      <c r="J97" s="421">
        <v>8.5046212766704201</v>
      </c>
      <c r="K97" s="421">
        <v>0</v>
      </c>
      <c r="L97" s="421">
        <v>0</v>
      </c>
      <c r="M97" s="421">
        <v>-7.5074544319808103</v>
      </c>
      <c r="N97" s="421">
        <v>0</v>
      </c>
      <c r="O97" s="421">
        <v>0</v>
      </c>
      <c r="P97" s="421">
        <v>0</v>
      </c>
      <c r="Q97" s="421">
        <v>0</v>
      </c>
      <c r="R97" s="421">
        <v>0</v>
      </c>
      <c r="S97" s="429">
        <v>0.99716684468960604</v>
      </c>
      <c r="T97" s="412"/>
    </row>
    <row r="98" spans="2:20" x14ac:dyDescent="0.2">
      <c r="B98" s="412"/>
      <c r="C98" s="428" t="s">
        <v>350</v>
      </c>
      <c r="D98" s="421">
        <v>0</v>
      </c>
      <c r="E98" s="421">
        <v>0</v>
      </c>
      <c r="F98" s="421">
        <v>0</v>
      </c>
      <c r="G98" s="421">
        <v>0</v>
      </c>
      <c r="H98" s="421">
        <v>0</v>
      </c>
      <c r="I98" s="421">
        <v>0</v>
      </c>
      <c r="J98" s="421">
        <v>0</v>
      </c>
      <c r="K98" s="421">
        <v>0</v>
      </c>
      <c r="L98" s="421">
        <v>0</v>
      </c>
      <c r="M98" s="421">
        <v>0</v>
      </c>
      <c r="N98" s="421">
        <v>0</v>
      </c>
      <c r="O98" s="421">
        <v>0</v>
      </c>
      <c r="P98" s="421">
        <v>0</v>
      </c>
      <c r="Q98" s="421">
        <v>0</v>
      </c>
      <c r="R98" s="421">
        <v>0</v>
      </c>
      <c r="S98" s="429">
        <v>0</v>
      </c>
      <c r="T98" s="412"/>
    </row>
    <row r="99" spans="2:20" x14ac:dyDescent="0.2">
      <c r="B99" s="412"/>
      <c r="C99" s="428" t="s">
        <v>72</v>
      </c>
      <c r="D99" s="421">
        <v>0</v>
      </c>
      <c r="E99" s="421">
        <v>583.50105466083801</v>
      </c>
      <c r="F99" s="421">
        <v>-577.66604411422998</v>
      </c>
      <c r="G99" s="421">
        <v>0</v>
      </c>
      <c r="H99" s="421">
        <v>0</v>
      </c>
      <c r="I99" s="421">
        <v>0</v>
      </c>
      <c r="J99" s="421">
        <v>0</v>
      </c>
      <c r="K99" s="421">
        <v>0</v>
      </c>
      <c r="L99" s="421">
        <v>0</v>
      </c>
      <c r="M99" s="421">
        <v>0</v>
      </c>
      <c r="N99" s="421">
        <v>0</v>
      </c>
      <c r="O99" s="421">
        <v>0</v>
      </c>
      <c r="P99" s="421">
        <v>0</v>
      </c>
      <c r="Q99" s="421">
        <v>0</v>
      </c>
      <c r="R99" s="421">
        <v>0</v>
      </c>
      <c r="S99" s="429">
        <v>5.8350105466083697</v>
      </c>
      <c r="T99" s="412"/>
    </row>
    <row r="100" spans="2:20" x14ac:dyDescent="0.2">
      <c r="B100" s="412"/>
      <c r="C100" s="428" t="s">
        <v>351</v>
      </c>
      <c r="D100" s="421">
        <v>0</v>
      </c>
      <c r="E100" s="421">
        <v>0</v>
      </c>
      <c r="F100" s="421">
        <v>0</v>
      </c>
      <c r="G100" s="421">
        <v>0</v>
      </c>
      <c r="H100" s="421">
        <v>0</v>
      </c>
      <c r="I100" s="421">
        <v>0</v>
      </c>
      <c r="J100" s="421">
        <v>42.170129990919797</v>
      </c>
      <c r="K100" s="421">
        <v>0</v>
      </c>
      <c r="L100" s="421">
        <v>-42.170129990919797</v>
      </c>
      <c r="M100" s="421">
        <v>0</v>
      </c>
      <c r="N100" s="421">
        <v>0</v>
      </c>
      <c r="O100" s="421">
        <v>0</v>
      </c>
      <c r="P100" s="421">
        <v>0</v>
      </c>
      <c r="Q100" s="421">
        <v>0</v>
      </c>
      <c r="R100" s="421">
        <v>0</v>
      </c>
      <c r="S100" s="429">
        <v>0</v>
      </c>
      <c r="T100" s="412"/>
    </row>
    <row r="101" spans="2:20" x14ac:dyDescent="0.2">
      <c r="B101" s="412"/>
      <c r="C101" s="428" t="s">
        <v>352</v>
      </c>
      <c r="D101" s="421">
        <v>0</v>
      </c>
      <c r="E101" s="421">
        <v>0</v>
      </c>
      <c r="F101" s="421">
        <v>0</v>
      </c>
      <c r="G101" s="421">
        <v>0</v>
      </c>
      <c r="H101" s="421">
        <v>0</v>
      </c>
      <c r="I101" s="421">
        <v>0</v>
      </c>
      <c r="J101" s="421">
        <v>0</v>
      </c>
      <c r="K101" s="421">
        <v>0</v>
      </c>
      <c r="L101" s="421">
        <v>0</v>
      </c>
      <c r="M101" s="421">
        <v>0</v>
      </c>
      <c r="N101" s="421">
        <v>0</v>
      </c>
      <c r="O101" s="421">
        <v>0</v>
      </c>
      <c r="P101" s="421">
        <v>0</v>
      </c>
      <c r="Q101" s="421">
        <v>0</v>
      </c>
      <c r="R101" s="421">
        <v>0</v>
      </c>
      <c r="S101" s="429">
        <v>0</v>
      </c>
      <c r="T101" s="412"/>
    </row>
    <row r="102" spans="2:20" x14ac:dyDescent="0.2">
      <c r="B102" s="412"/>
      <c r="C102" s="428" t="s">
        <v>73</v>
      </c>
      <c r="D102" s="421">
        <v>0</v>
      </c>
      <c r="E102" s="421">
        <v>0</v>
      </c>
      <c r="F102" s="421">
        <v>0</v>
      </c>
      <c r="G102" s="421">
        <v>0.34877320343017598</v>
      </c>
      <c r="H102" s="421">
        <v>0</v>
      </c>
      <c r="I102" s="421">
        <v>0</v>
      </c>
      <c r="J102" s="421">
        <v>0</v>
      </c>
      <c r="K102" s="421">
        <v>3.84747052873884E-3</v>
      </c>
      <c r="L102" s="421">
        <v>0</v>
      </c>
      <c r="M102" s="421">
        <v>7.1178204781668598E-3</v>
      </c>
      <c r="N102" s="421">
        <v>0</v>
      </c>
      <c r="O102" s="421">
        <v>0</v>
      </c>
      <c r="P102" s="421">
        <v>2.6932293701171901E-2</v>
      </c>
      <c r="Q102" s="421">
        <v>0</v>
      </c>
      <c r="R102" s="421">
        <v>-0.269322937011719</v>
      </c>
      <c r="S102" s="429">
        <v>0.11734785112653499</v>
      </c>
      <c r="T102" s="412"/>
    </row>
    <row r="103" spans="2:20" x14ac:dyDescent="0.2">
      <c r="B103" s="412"/>
      <c r="C103" s="428" t="s">
        <v>353</v>
      </c>
      <c r="D103" s="421">
        <v>19.823072753906299</v>
      </c>
      <c r="E103" s="421">
        <v>-20.218311543997999</v>
      </c>
      <c r="F103" s="421">
        <v>26.4443573008719</v>
      </c>
      <c r="G103" s="421">
        <v>0</v>
      </c>
      <c r="H103" s="421">
        <v>0</v>
      </c>
      <c r="I103" s="421">
        <v>0</v>
      </c>
      <c r="J103" s="421">
        <v>0</v>
      </c>
      <c r="K103" s="421">
        <v>0</v>
      </c>
      <c r="L103" s="421">
        <v>0</v>
      </c>
      <c r="M103" s="421">
        <v>0</v>
      </c>
      <c r="N103" s="421">
        <v>0</v>
      </c>
      <c r="O103" s="421">
        <v>0</v>
      </c>
      <c r="P103" s="421">
        <v>0</v>
      </c>
      <c r="Q103" s="421">
        <v>0</v>
      </c>
      <c r="R103" s="421">
        <v>0</v>
      </c>
      <c r="S103" s="429">
        <v>26.049118510780101</v>
      </c>
      <c r="T103" s="412"/>
    </row>
    <row r="104" spans="2:20" x14ac:dyDescent="0.2">
      <c r="B104" s="412"/>
      <c r="C104" s="428" t="s">
        <v>75</v>
      </c>
      <c r="D104" s="421">
        <v>11.7867587890625</v>
      </c>
      <c r="E104" s="421">
        <v>0</v>
      </c>
      <c r="F104" s="421">
        <v>19.839035858468499</v>
      </c>
      <c r="G104" s="421">
        <v>5.6611272323194504</v>
      </c>
      <c r="H104" s="421">
        <v>0</v>
      </c>
      <c r="I104" s="421">
        <v>0</v>
      </c>
      <c r="J104" s="421">
        <v>0</v>
      </c>
      <c r="K104" s="421">
        <v>0</v>
      </c>
      <c r="L104" s="421">
        <v>0</v>
      </c>
      <c r="M104" s="421">
        <v>0.115533208822846</v>
      </c>
      <c r="N104" s="421">
        <v>0</v>
      </c>
      <c r="O104" s="421">
        <v>0</v>
      </c>
      <c r="P104" s="421">
        <v>36.2791467848308</v>
      </c>
      <c r="Q104" s="421">
        <v>0</v>
      </c>
      <c r="R104" s="421">
        <v>0</v>
      </c>
      <c r="S104" s="429">
        <v>73.681601873504107</v>
      </c>
      <c r="T104" s="412"/>
    </row>
    <row r="105" spans="2:20" x14ac:dyDescent="0.2">
      <c r="B105" s="412"/>
      <c r="C105" s="428" t="s">
        <v>76</v>
      </c>
      <c r="D105" s="421">
        <v>0</v>
      </c>
      <c r="E105" s="421">
        <v>0</v>
      </c>
      <c r="F105" s="421">
        <v>0</v>
      </c>
      <c r="G105" s="421">
        <v>4.3620387411113803</v>
      </c>
      <c r="H105" s="421">
        <v>0</v>
      </c>
      <c r="I105" s="421">
        <v>0</v>
      </c>
      <c r="J105" s="421">
        <v>0</v>
      </c>
      <c r="K105" s="421">
        <v>0</v>
      </c>
      <c r="L105" s="421">
        <v>0</v>
      </c>
      <c r="M105" s="421">
        <v>8.9021198798191495E-2</v>
      </c>
      <c r="N105" s="421">
        <v>0</v>
      </c>
      <c r="O105" s="421">
        <v>0</v>
      </c>
      <c r="P105" s="421">
        <v>38.595168674011603</v>
      </c>
      <c r="Q105" s="421">
        <v>3.3660911332047201</v>
      </c>
      <c r="R105" s="421">
        <v>0</v>
      </c>
      <c r="S105" s="429">
        <v>46.412319747125899</v>
      </c>
      <c r="T105" s="412"/>
    </row>
    <row r="106" spans="2:20" x14ac:dyDescent="0.2">
      <c r="B106" s="412"/>
      <c r="C106" s="424" t="s">
        <v>77</v>
      </c>
      <c r="D106" s="425">
        <v>33.933793465904003</v>
      </c>
      <c r="E106" s="425">
        <v>563.28274311684004</v>
      </c>
      <c r="F106" s="425">
        <v>-527.51901459125304</v>
      </c>
      <c r="G106" s="425">
        <v>49.978617406056898</v>
      </c>
      <c r="H106" s="425">
        <v>1190.9090909090901</v>
      </c>
      <c r="I106" s="425">
        <v>150.68799999999999</v>
      </c>
      <c r="J106" s="425">
        <v>95.150757659726096</v>
      </c>
      <c r="K106" s="425">
        <v>21.973589613214099</v>
      </c>
      <c r="L106" s="425">
        <v>-42.170129990919797</v>
      </c>
      <c r="M106" s="425">
        <v>-6.4874826481837298</v>
      </c>
      <c r="N106" s="425">
        <v>0</v>
      </c>
      <c r="O106" s="425">
        <v>2.3954921223483301</v>
      </c>
      <c r="P106" s="425">
        <v>-492.73332430771001</v>
      </c>
      <c r="Q106" s="425">
        <v>-40.072513490532302</v>
      </c>
      <c r="R106" s="425">
        <v>-0.269322937011719</v>
      </c>
      <c r="S106" s="425">
        <v>999.06029632756997</v>
      </c>
      <c r="T106" s="412"/>
    </row>
    <row r="107" spans="2:20" x14ac:dyDescent="0.2">
      <c r="B107" s="412"/>
      <c r="C107" s="426"/>
      <c r="D107" s="427"/>
      <c r="E107" s="427"/>
      <c r="F107" s="427"/>
      <c r="G107" s="427"/>
      <c r="H107" s="427"/>
      <c r="I107" s="427"/>
      <c r="J107" s="427"/>
      <c r="K107" s="427"/>
      <c r="L107" s="427"/>
      <c r="M107" s="427"/>
      <c r="N107" s="427"/>
      <c r="O107" s="427"/>
      <c r="P107" s="427"/>
      <c r="Q107" s="427"/>
      <c r="R107" s="427"/>
      <c r="S107" s="427"/>
      <c r="T107" s="412"/>
    </row>
    <row r="108" spans="2:20" x14ac:dyDescent="0.2">
      <c r="B108" s="412"/>
      <c r="C108" s="428" t="s">
        <v>78</v>
      </c>
      <c r="D108" s="421">
        <v>7.7428555069809004</v>
      </c>
      <c r="E108" s="421">
        <v>0</v>
      </c>
      <c r="F108" s="421">
        <v>27.508268593652101</v>
      </c>
      <c r="G108" s="421">
        <v>110.739014151216</v>
      </c>
      <c r="H108" s="421">
        <v>0</v>
      </c>
      <c r="I108" s="421">
        <v>0</v>
      </c>
      <c r="J108" s="421">
        <v>18.465977371058798</v>
      </c>
      <c r="K108" s="421">
        <v>4.1133349512063502</v>
      </c>
      <c r="L108" s="421">
        <v>0.88399341210937499</v>
      </c>
      <c r="M108" s="421">
        <v>2.2599798806370699</v>
      </c>
      <c r="N108" s="421">
        <v>0</v>
      </c>
      <c r="O108" s="421">
        <v>0</v>
      </c>
      <c r="P108" s="421">
        <v>107.066437049081</v>
      </c>
      <c r="Q108" s="421">
        <v>18.5660448445831</v>
      </c>
      <c r="R108" s="421">
        <v>0.269322937011719</v>
      </c>
      <c r="S108" s="429">
        <v>297.61522869753702</v>
      </c>
      <c r="T108" s="412"/>
    </row>
    <row r="109" spans="2:20" x14ac:dyDescent="0.2">
      <c r="B109" s="412"/>
      <c r="C109" s="428" t="s">
        <v>79</v>
      </c>
      <c r="D109" s="421">
        <v>0</v>
      </c>
      <c r="E109" s="421">
        <v>0</v>
      </c>
      <c r="F109" s="421">
        <v>384.408288039186</v>
      </c>
      <c r="G109" s="421">
        <v>6.57358039629678</v>
      </c>
      <c r="H109" s="421">
        <v>0</v>
      </c>
      <c r="I109" s="421">
        <v>0</v>
      </c>
      <c r="J109" s="421">
        <v>0</v>
      </c>
      <c r="K109" s="421">
        <v>0</v>
      </c>
      <c r="L109" s="421">
        <v>38.437863989696801</v>
      </c>
      <c r="M109" s="421">
        <v>0.13415470196524101</v>
      </c>
      <c r="N109" s="421">
        <v>0</v>
      </c>
      <c r="O109" s="421">
        <v>0</v>
      </c>
      <c r="P109" s="421">
        <v>17.457157002657102</v>
      </c>
      <c r="Q109" s="421">
        <v>0</v>
      </c>
      <c r="R109" s="421">
        <v>0</v>
      </c>
      <c r="S109" s="429">
        <v>447.01104412980197</v>
      </c>
      <c r="T109" s="412"/>
    </row>
    <row r="110" spans="2:20" x14ac:dyDescent="0.2">
      <c r="B110" s="412"/>
      <c r="C110" s="428" t="s">
        <v>80</v>
      </c>
      <c r="D110" s="421">
        <v>0</v>
      </c>
      <c r="E110" s="421">
        <v>0</v>
      </c>
      <c r="F110" s="421">
        <v>41.330383982032899</v>
      </c>
      <c r="G110" s="421">
        <v>129.49851397129601</v>
      </c>
      <c r="H110" s="421">
        <v>0</v>
      </c>
      <c r="I110" s="421">
        <v>0</v>
      </c>
      <c r="J110" s="421">
        <v>74.486996634240697</v>
      </c>
      <c r="K110" s="421">
        <v>0</v>
      </c>
      <c r="L110" s="421">
        <v>0</v>
      </c>
      <c r="M110" s="421">
        <v>2.6428268157407402</v>
      </c>
      <c r="N110" s="421">
        <v>32.878057830208398</v>
      </c>
      <c r="O110" s="421">
        <v>0.55181999653465397</v>
      </c>
      <c r="P110" s="421">
        <v>166.361902820984</v>
      </c>
      <c r="Q110" s="421">
        <v>16.154300000665899</v>
      </c>
      <c r="R110" s="421">
        <v>0</v>
      </c>
      <c r="S110" s="429">
        <v>463.90480205170297</v>
      </c>
      <c r="T110" s="412"/>
    </row>
    <row r="111" spans="2:20" x14ac:dyDescent="0.2">
      <c r="B111" s="412"/>
      <c r="C111" s="428" t="s">
        <v>81</v>
      </c>
      <c r="D111" s="421">
        <v>0</v>
      </c>
      <c r="E111" s="421">
        <v>0</v>
      </c>
      <c r="F111" s="421">
        <v>21.059073464779701</v>
      </c>
      <c r="G111" s="421">
        <v>68.165042900995104</v>
      </c>
      <c r="H111" s="421">
        <v>0</v>
      </c>
      <c r="I111" s="421">
        <v>0</v>
      </c>
      <c r="J111" s="421">
        <v>4.0172655181176102</v>
      </c>
      <c r="K111" s="421">
        <v>0</v>
      </c>
      <c r="L111" s="421">
        <v>0</v>
      </c>
      <c r="M111" s="421">
        <v>1.3911233245101</v>
      </c>
      <c r="N111" s="421">
        <v>5.9468887963316002</v>
      </c>
      <c r="O111" s="421">
        <v>0.94568785539262001</v>
      </c>
      <c r="P111" s="421">
        <v>129.457157945034</v>
      </c>
      <c r="Q111" s="421">
        <v>5.3521686452833004</v>
      </c>
      <c r="R111" s="421">
        <v>0</v>
      </c>
      <c r="S111" s="429">
        <v>236.33440845044399</v>
      </c>
      <c r="T111" s="412"/>
    </row>
    <row r="112" spans="2:20" x14ac:dyDescent="0.2">
      <c r="B112" s="412"/>
      <c r="C112" s="428" t="s">
        <v>82</v>
      </c>
      <c r="D112" s="421">
        <v>0</v>
      </c>
      <c r="E112" s="421">
        <v>0</v>
      </c>
      <c r="F112" s="421">
        <v>32.092515391018601</v>
      </c>
      <c r="G112" s="421">
        <v>2.9104983411987502</v>
      </c>
      <c r="H112" s="421">
        <v>0</v>
      </c>
      <c r="I112" s="421">
        <v>0</v>
      </c>
      <c r="J112" s="421">
        <v>0.43862537304169502</v>
      </c>
      <c r="K112" s="421">
        <v>0</v>
      </c>
      <c r="L112" s="421">
        <v>2.0283864026893799</v>
      </c>
      <c r="M112" s="421">
        <v>5.9397925330586701E-2</v>
      </c>
      <c r="N112" s="421">
        <v>0</v>
      </c>
      <c r="O112" s="421">
        <v>9.0201671928645602E-2</v>
      </c>
      <c r="P112" s="421">
        <v>8.3532983207182703</v>
      </c>
      <c r="Q112" s="421">
        <v>0</v>
      </c>
      <c r="R112" s="421">
        <v>0</v>
      </c>
      <c r="S112" s="429">
        <v>45.972923425925998</v>
      </c>
      <c r="T112" s="412"/>
    </row>
    <row r="113" spans="2:20" x14ac:dyDescent="0.2">
      <c r="B113" s="412"/>
      <c r="C113" s="428" t="s">
        <v>354</v>
      </c>
      <c r="D113" s="421">
        <v>0</v>
      </c>
      <c r="E113" s="421">
        <v>0</v>
      </c>
      <c r="F113" s="421">
        <v>0</v>
      </c>
      <c r="G113" s="421">
        <v>0</v>
      </c>
      <c r="H113" s="421">
        <v>0</v>
      </c>
      <c r="I113" s="421">
        <v>0</v>
      </c>
      <c r="J113" s="421">
        <v>0</v>
      </c>
      <c r="K113" s="421">
        <v>0</v>
      </c>
      <c r="L113" s="421">
        <v>0</v>
      </c>
      <c r="M113" s="421">
        <v>0</v>
      </c>
      <c r="N113" s="421">
        <v>0</v>
      </c>
      <c r="O113" s="421">
        <v>0</v>
      </c>
      <c r="P113" s="421">
        <v>0</v>
      </c>
      <c r="Q113" s="421">
        <v>0</v>
      </c>
      <c r="R113" s="421">
        <v>0</v>
      </c>
      <c r="S113" s="429">
        <v>0</v>
      </c>
      <c r="T113" s="412"/>
    </row>
    <row r="114" spans="2:20" x14ac:dyDescent="0.2">
      <c r="B114" s="412"/>
      <c r="C114" s="424" t="s">
        <v>83</v>
      </c>
      <c r="D114" s="425">
        <v>7.7428555069809004</v>
      </c>
      <c r="E114" s="425">
        <v>0</v>
      </c>
      <c r="F114" s="425">
        <v>506.39852947066902</v>
      </c>
      <c r="G114" s="425">
        <v>317.88664976100301</v>
      </c>
      <c r="H114" s="425">
        <v>0</v>
      </c>
      <c r="I114" s="425">
        <v>0</v>
      </c>
      <c r="J114" s="425">
        <v>97.408864896458795</v>
      </c>
      <c r="K114" s="425">
        <v>4.1133349512063502</v>
      </c>
      <c r="L114" s="425">
        <v>41.350243804495598</v>
      </c>
      <c r="M114" s="425">
        <v>6.4874826481837404</v>
      </c>
      <c r="N114" s="425">
        <v>38.824946626539997</v>
      </c>
      <c r="O114" s="425">
        <v>1.58770952385592</v>
      </c>
      <c r="P114" s="425">
        <v>428.69595313847498</v>
      </c>
      <c r="Q114" s="425">
        <v>40.072513490532401</v>
      </c>
      <c r="R114" s="425">
        <v>0.269322937011719</v>
      </c>
      <c r="S114" s="425">
        <v>1490.83840675541</v>
      </c>
      <c r="T114" s="412"/>
    </row>
    <row r="115" spans="2:20" x14ac:dyDescent="0.2">
      <c r="B115" s="412"/>
      <c r="C115" s="420" t="s">
        <v>84</v>
      </c>
      <c r="D115" s="421">
        <v>2.67990844726563</v>
      </c>
      <c r="E115" s="421">
        <v>0</v>
      </c>
      <c r="F115" s="421">
        <v>138.282143365259</v>
      </c>
      <c r="G115" s="421">
        <v>12.6136469236283</v>
      </c>
      <c r="H115" s="421">
        <v>0</v>
      </c>
      <c r="I115" s="421">
        <v>0</v>
      </c>
      <c r="J115" s="421">
        <v>0</v>
      </c>
      <c r="K115" s="421">
        <v>0</v>
      </c>
      <c r="L115" s="421">
        <v>0</v>
      </c>
      <c r="M115" s="421">
        <v>0</v>
      </c>
      <c r="N115" s="421">
        <v>0</v>
      </c>
      <c r="O115" s="421">
        <v>0</v>
      </c>
      <c r="P115" s="421">
        <v>0</v>
      </c>
      <c r="Q115" s="421">
        <v>0</v>
      </c>
      <c r="R115" s="421">
        <v>0</v>
      </c>
      <c r="S115" s="429">
        <v>153.57569873615299</v>
      </c>
      <c r="T115" s="412"/>
    </row>
    <row r="116" spans="2:20" x14ac:dyDescent="0.2">
      <c r="B116" s="412"/>
      <c r="C116" s="424" t="s">
        <v>85</v>
      </c>
      <c r="D116" s="425">
        <v>10.4227639542465</v>
      </c>
      <c r="E116" s="425">
        <v>0</v>
      </c>
      <c r="F116" s="425">
        <v>644.68067283592802</v>
      </c>
      <c r="G116" s="425">
        <v>330.500296684631</v>
      </c>
      <c r="H116" s="425">
        <v>0</v>
      </c>
      <c r="I116" s="425">
        <v>0</v>
      </c>
      <c r="J116" s="425">
        <v>97.408864896458795</v>
      </c>
      <c r="K116" s="425">
        <v>4.1133349512063502</v>
      </c>
      <c r="L116" s="425">
        <v>41.350243804495598</v>
      </c>
      <c r="M116" s="425">
        <v>6.4874826481837404</v>
      </c>
      <c r="N116" s="425">
        <v>38.824946626539997</v>
      </c>
      <c r="O116" s="425">
        <v>1.58770952385592</v>
      </c>
      <c r="P116" s="425">
        <v>428.69595313847498</v>
      </c>
      <c r="Q116" s="425">
        <v>40.072513490532302</v>
      </c>
      <c r="R116" s="425">
        <v>0.269322937011719</v>
      </c>
      <c r="S116" s="425">
        <v>1644.4141054915699</v>
      </c>
      <c r="T116" s="412"/>
    </row>
    <row r="117" spans="2:20" x14ac:dyDescent="0.2">
      <c r="B117" s="412"/>
      <c r="C117" s="412"/>
      <c r="D117" s="430">
        <f t="shared" ref="D117:S117" si="10">D116+D106-D92</f>
        <v>-9.9475983006414026E-14</v>
      </c>
      <c r="E117" s="430">
        <f t="shared" si="10"/>
        <v>0</v>
      </c>
      <c r="F117" s="430">
        <f t="shared" si="10"/>
        <v>0</v>
      </c>
      <c r="G117" s="430">
        <f t="shared" si="10"/>
        <v>0</v>
      </c>
      <c r="H117" s="430">
        <f t="shared" si="10"/>
        <v>0</v>
      </c>
      <c r="I117" s="430">
        <f t="shared" si="10"/>
        <v>0</v>
      </c>
      <c r="J117" s="430">
        <f t="shared" si="10"/>
        <v>0</v>
      </c>
      <c r="K117" s="430">
        <f t="shared" si="10"/>
        <v>-4.9737991503207013E-14</v>
      </c>
      <c r="L117" s="430">
        <f t="shared" si="10"/>
        <v>7.6938455606523348E-14</v>
      </c>
      <c r="M117" s="430">
        <f t="shared" si="10"/>
        <v>1.0658141036401503E-14</v>
      </c>
      <c r="N117" s="430">
        <f t="shared" si="10"/>
        <v>0</v>
      </c>
      <c r="O117" s="430">
        <f t="shared" si="10"/>
        <v>0</v>
      </c>
      <c r="P117" s="430">
        <f t="shared" si="10"/>
        <v>-4.2632564145606011E-13</v>
      </c>
      <c r="Q117" s="430">
        <f t="shared" si="10"/>
        <v>0</v>
      </c>
      <c r="R117" s="430">
        <f t="shared" si="10"/>
        <v>0</v>
      </c>
      <c r="S117" s="430">
        <f t="shared" si="10"/>
        <v>0</v>
      </c>
      <c r="T117" s="412"/>
    </row>
    <row r="118" spans="2:20" x14ac:dyDescent="0.2">
      <c r="B118" s="412"/>
      <c r="C118" s="412"/>
      <c r="D118" s="412"/>
      <c r="E118" s="412"/>
      <c r="F118" s="412"/>
      <c r="G118" s="412"/>
      <c r="H118" s="412"/>
      <c r="I118" s="412"/>
      <c r="J118" s="412"/>
      <c r="K118" s="412"/>
      <c r="L118" s="412"/>
      <c r="M118" s="412"/>
      <c r="N118" s="412"/>
      <c r="O118" s="412"/>
      <c r="P118" s="412"/>
      <c r="Q118" s="412"/>
      <c r="R118" s="412"/>
      <c r="S118" s="412"/>
      <c r="T118" s="412"/>
    </row>
    <row r="119" spans="2:20" ht="14.25" x14ac:dyDescent="0.2">
      <c r="B119" s="416"/>
      <c r="C119" s="417" t="s">
        <v>356</v>
      </c>
      <c r="D119" s="416"/>
      <c r="E119" s="416"/>
      <c r="F119" s="416"/>
      <c r="G119" s="416"/>
      <c r="H119" s="416"/>
      <c r="I119" s="416"/>
      <c r="J119" s="416"/>
      <c r="K119" s="416"/>
      <c r="L119" s="416"/>
      <c r="M119" s="416"/>
      <c r="N119" s="416"/>
      <c r="O119" s="416"/>
      <c r="P119" s="416"/>
      <c r="Q119" s="416"/>
      <c r="R119" s="416"/>
      <c r="S119" s="416"/>
      <c r="T119" s="416"/>
    </row>
    <row r="120" spans="2:20" x14ac:dyDescent="0.2">
      <c r="B120" s="412"/>
      <c r="C120" s="412"/>
      <c r="D120" s="412"/>
      <c r="E120" s="412"/>
      <c r="F120" s="412"/>
      <c r="G120" s="412"/>
      <c r="H120" s="412"/>
      <c r="I120" s="412"/>
      <c r="J120" s="412"/>
      <c r="K120" s="412"/>
      <c r="L120" s="412"/>
      <c r="M120" s="412"/>
      <c r="N120" s="412"/>
      <c r="O120" s="412"/>
      <c r="P120" s="412"/>
      <c r="Q120" s="412"/>
      <c r="R120" s="412"/>
      <c r="S120" s="412"/>
      <c r="T120" s="412"/>
    </row>
    <row r="121" spans="2:20" ht="13.5" customHeight="1" x14ac:dyDescent="0.2">
      <c r="B121" s="412"/>
      <c r="C121" s="756" t="s">
        <v>128</v>
      </c>
      <c r="D121" s="755" t="s">
        <v>42</v>
      </c>
      <c r="E121" s="755" t="s">
        <v>52</v>
      </c>
      <c r="F121" s="755" t="s">
        <v>53</v>
      </c>
      <c r="G121" s="755" t="s">
        <v>32</v>
      </c>
      <c r="H121" s="755" t="s">
        <v>20</v>
      </c>
      <c r="I121" s="755" t="s">
        <v>55</v>
      </c>
      <c r="J121" s="755" t="s">
        <v>56</v>
      </c>
      <c r="K121" s="755"/>
      <c r="L121" s="755"/>
      <c r="M121" s="755"/>
      <c r="N121" s="755"/>
      <c r="O121" s="755"/>
      <c r="P121" s="755" t="s">
        <v>57</v>
      </c>
      <c r="Q121" s="755" t="s">
        <v>58</v>
      </c>
      <c r="R121" s="755" t="s">
        <v>31</v>
      </c>
      <c r="S121" s="755" t="s">
        <v>10</v>
      </c>
      <c r="T121" s="412"/>
    </row>
    <row r="122" spans="2:20" ht="56.25" x14ac:dyDescent="0.2">
      <c r="B122" s="412"/>
      <c r="C122" s="756"/>
      <c r="D122" s="755"/>
      <c r="E122" s="755"/>
      <c r="F122" s="755"/>
      <c r="G122" s="755"/>
      <c r="H122" s="755"/>
      <c r="I122" s="755"/>
      <c r="J122" s="418" t="s">
        <v>335</v>
      </c>
      <c r="K122" s="418" t="s">
        <v>40</v>
      </c>
      <c r="L122" s="418" t="s">
        <v>343</v>
      </c>
      <c r="M122" s="418" t="s">
        <v>344</v>
      </c>
      <c r="N122" s="419" t="s">
        <v>345</v>
      </c>
      <c r="O122" s="418" t="s">
        <v>346</v>
      </c>
      <c r="P122" s="755"/>
      <c r="Q122" s="755"/>
      <c r="R122" s="755"/>
      <c r="S122" s="755"/>
      <c r="T122" s="412"/>
    </row>
    <row r="123" spans="2:20" x14ac:dyDescent="0.2">
      <c r="B123" s="412"/>
      <c r="C123" s="420" t="s">
        <v>59</v>
      </c>
      <c r="D123" s="421">
        <v>0</v>
      </c>
      <c r="E123" s="421">
        <v>9.7691999999999997</v>
      </c>
      <c r="F123" s="421">
        <v>0</v>
      </c>
      <c r="G123" s="421">
        <v>0.18608</v>
      </c>
      <c r="H123" s="422">
        <v>1190.9090909090901</v>
      </c>
      <c r="I123" s="422">
        <v>170.08</v>
      </c>
      <c r="J123" s="422">
        <v>186.15630231182601</v>
      </c>
      <c r="K123" s="422">
        <v>24.974953825182599</v>
      </c>
      <c r="L123" s="421">
        <v>0</v>
      </c>
      <c r="M123" s="421">
        <v>0</v>
      </c>
      <c r="N123" s="422">
        <v>43.871249036200602</v>
      </c>
      <c r="O123" s="422">
        <v>4.0793508751074903</v>
      </c>
      <c r="P123" s="421">
        <v>0</v>
      </c>
      <c r="Q123" s="421">
        <v>0</v>
      </c>
      <c r="R123" s="421">
        <v>0</v>
      </c>
      <c r="S123" s="423">
        <v>1630.02622695741</v>
      </c>
      <c r="T123" s="412"/>
    </row>
    <row r="124" spans="2:20" x14ac:dyDescent="0.2">
      <c r="B124" s="412"/>
      <c r="C124" s="420" t="s">
        <v>60</v>
      </c>
      <c r="D124" s="421">
        <v>40.055895368373001</v>
      </c>
      <c r="E124" s="421">
        <v>541.69545178681904</v>
      </c>
      <c r="F124" s="421">
        <v>171.988032744695</v>
      </c>
      <c r="G124" s="421">
        <v>372.78103647712499</v>
      </c>
      <c r="H124" s="421">
        <v>0</v>
      </c>
      <c r="I124" s="421">
        <v>0</v>
      </c>
      <c r="J124" s="421">
        <v>0</v>
      </c>
      <c r="K124" s="421">
        <v>0</v>
      </c>
      <c r="L124" s="421">
        <v>0</v>
      </c>
      <c r="M124" s="421">
        <v>0</v>
      </c>
      <c r="N124" s="421">
        <v>0</v>
      </c>
      <c r="O124" s="421">
        <v>0</v>
      </c>
      <c r="P124" s="421">
        <v>0</v>
      </c>
      <c r="Q124" s="421">
        <v>0</v>
      </c>
      <c r="R124" s="421">
        <v>0</v>
      </c>
      <c r="S124" s="423">
        <v>1126.52041637701</v>
      </c>
      <c r="T124" s="412"/>
    </row>
    <row r="125" spans="2:20" x14ac:dyDescent="0.2">
      <c r="B125" s="412"/>
      <c r="C125" s="420" t="s">
        <v>61</v>
      </c>
      <c r="D125" s="421">
        <v>0</v>
      </c>
      <c r="E125" s="421">
        <v>0</v>
      </c>
      <c r="F125" s="421">
        <v>0</v>
      </c>
      <c r="G125" s="421">
        <v>0</v>
      </c>
      <c r="H125" s="421">
        <v>0</v>
      </c>
      <c r="I125" s="421">
        <v>0</v>
      </c>
      <c r="J125" s="421">
        <v>0</v>
      </c>
      <c r="K125" s="421">
        <v>0</v>
      </c>
      <c r="L125" s="421">
        <v>0</v>
      </c>
      <c r="M125" s="421">
        <v>0</v>
      </c>
      <c r="N125" s="421">
        <v>0</v>
      </c>
      <c r="O125" s="421">
        <v>0</v>
      </c>
      <c r="P125" s="421">
        <v>-73.437247589053598</v>
      </c>
      <c r="Q125" s="421">
        <v>0</v>
      </c>
      <c r="R125" s="421">
        <v>0</v>
      </c>
      <c r="S125" s="423">
        <v>-73.437247589053598</v>
      </c>
      <c r="T125" s="412"/>
    </row>
    <row r="126" spans="2:20" x14ac:dyDescent="0.2">
      <c r="B126" s="412"/>
      <c r="C126" s="420" t="s">
        <v>62</v>
      </c>
      <c r="D126" s="421">
        <v>0</v>
      </c>
      <c r="E126" s="421">
        <v>0</v>
      </c>
      <c r="F126" s="421">
        <v>-17.070412052753898</v>
      </c>
      <c r="G126" s="421">
        <v>0</v>
      </c>
      <c r="H126" s="421">
        <v>0</v>
      </c>
      <c r="I126" s="421">
        <v>0</v>
      </c>
      <c r="J126" s="421">
        <v>0</v>
      </c>
      <c r="K126" s="421">
        <v>0</v>
      </c>
      <c r="L126" s="421">
        <v>0</v>
      </c>
      <c r="M126" s="421">
        <v>0</v>
      </c>
      <c r="N126" s="421">
        <v>0</v>
      </c>
      <c r="O126" s="421">
        <v>0</v>
      </c>
      <c r="P126" s="421">
        <v>0</v>
      </c>
      <c r="Q126" s="421">
        <v>0</v>
      </c>
      <c r="R126" s="421">
        <v>0</v>
      </c>
      <c r="S126" s="423">
        <v>-17.070412052753898</v>
      </c>
      <c r="T126" s="412"/>
    </row>
    <row r="127" spans="2:20" x14ac:dyDescent="0.2">
      <c r="B127" s="412"/>
      <c r="C127" s="420" t="s">
        <v>63</v>
      </c>
      <c r="D127" s="421">
        <v>0</v>
      </c>
      <c r="E127" s="421">
        <v>0</v>
      </c>
      <c r="F127" s="421">
        <v>-79.938484984822097</v>
      </c>
      <c r="G127" s="421">
        <v>0</v>
      </c>
      <c r="H127" s="421">
        <v>0</v>
      </c>
      <c r="I127" s="421">
        <v>0</v>
      </c>
      <c r="J127" s="421">
        <v>0</v>
      </c>
      <c r="K127" s="421">
        <v>0</v>
      </c>
      <c r="L127" s="421">
        <v>-0.82674452547362898</v>
      </c>
      <c r="M127" s="421">
        <v>0</v>
      </c>
      <c r="N127" s="421">
        <v>0</v>
      </c>
      <c r="O127" s="421">
        <v>0</v>
      </c>
      <c r="P127" s="421">
        <v>0</v>
      </c>
      <c r="Q127" s="421">
        <v>0</v>
      </c>
      <c r="R127" s="421">
        <v>0</v>
      </c>
      <c r="S127" s="423">
        <v>-80.765229510295697</v>
      </c>
      <c r="T127" s="412"/>
    </row>
    <row r="128" spans="2:20" x14ac:dyDescent="0.2">
      <c r="B128" s="412"/>
      <c r="C128" s="420" t="s">
        <v>64</v>
      </c>
      <c r="D128" s="421">
        <v>0</v>
      </c>
      <c r="E128" s="421">
        <v>0</v>
      </c>
      <c r="F128" s="421">
        <v>0</v>
      </c>
      <c r="G128" s="421">
        <v>0</v>
      </c>
      <c r="H128" s="421">
        <v>0</v>
      </c>
      <c r="I128" s="421">
        <v>0</v>
      </c>
      <c r="J128" s="421">
        <v>0</v>
      </c>
      <c r="K128" s="421">
        <v>0</v>
      </c>
      <c r="L128" s="421">
        <v>0</v>
      </c>
      <c r="M128" s="421">
        <v>0</v>
      </c>
      <c r="N128" s="421">
        <v>0</v>
      </c>
      <c r="O128" s="421">
        <v>0</v>
      </c>
      <c r="P128" s="421">
        <v>0</v>
      </c>
      <c r="Q128" s="421">
        <v>0</v>
      </c>
      <c r="R128" s="421">
        <v>0</v>
      </c>
      <c r="S128" s="423">
        <v>0</v>
      </c>
      <c r="T128" s="412"/>
    </row>
    <row r="129" spans="2:20" x14ac:dyDescent="0.2">
      <c r="B129" s="412"/>
      <c r="C129" s="424" t="s">
        <v>65</v>
      </c>
      <c r="D129" s="425">
        <v>40.055895368373001</v>
      </c>
      <c r="E129" s="425">
        <v>551.46465178681899</v>
      </c>
      <c r="F129" s="425">
        <v>74.979135707119397</v>
      </c>
      <c r="G129" s="425">
        <v>372.96711647712499</v>
      </c>
      <c r="H129" s="425">
        <v>1190.9090909090901</v>
      </c>
      <c r="I129" s="425">
        <v>170.08</v>
      </c>
      <c r="J129" s="425">
        <v>186.15630231182601</v>
      </c>
      <c r="K129" s="425">
        <v>24.974953825182599</v>
      </c>
      <c r="L129" s="425">
        <v>-0.82674452547362898</v>
      </c>
      <c r="M129" s="425">
        <v>0</v>
      </c>
      <c r="N129" s="425">
        <v>43.871249036200602</v>
      </c>
      <c r="O129" s="425">
        <v>4.0793508751074903</v>
      </c>
      <c r="P129" s="425">
        <v>-73.437247589053598</v>
      </c>
      <c r="Q129" s="425">
        <v>0</v>
      </c>
      <c r="R129" s="425">
        <v>0</v>
      </c>
      <c r="S129" s="425">
        <v>2585.2737541823199</v>
      </c>
      <c r="T129" s="412"/>
    </row>
    <row r="130" spans="2:20" x14ac:dyDescent="0.2">
      <c r="B130" s="412"/>
      <c r="C130" s="426"/>
      <c r="D130" s="427"/>
      <c r="E130" s="427"/>
      <c r="F130" s="427"/>
      <c r="G130" s="427"/>
      <c r="H130" s="427"/>
      <c r="I130" s="427"/>
      <c r="J130" s="427"/>
      <c r="K130" s="427"/>
      <c r="L130" s="427"/>
      <c r="M130" s="427"/>
      <c r="N130" s="427"/>
      <c r="O130" s="427"/>
      <c r="P130" s="427"/>
      <c r="Q130" s="427"/>
      <c r="R130" s="427"/>
      <c r="S130" s="427"/>
      <c r="T130" s="412"/>
    </row>
    <row r="131" spans="2:20" x14ac:dyDescent="0.2">
      <c r="B131" s="412"/>
      <c r="C131" s="428" t="s">
        <v>67</v>
      </c>
      <c r="D131" s="421">
        <v>0</v>
      </c>
      <c r="E131" s="421">
        <v>0</v>
      </c>
      <c r="F131" s="421">
        <v>0</v>
      </c>
      <c r="G131" s="421">
        <v>0</v>
      </c>
      <c r="H131" s="421">
        <v>0</v>
      </c>
      <c r="I131" s="421">
        <v>0</v>
      </c>
      <c r="J131" s="421">
        <v>0</v>
      </c>
      <c r="K131" s="421">
        <v>0</v>
      </c>
      <c r="L131" s="421">
        <v>0</v>
      </c>
      <c r="M131" s="421">
        <v>0</v>
      </c>
      <c r="N131" s="421">
        <v>0</v>
      </c>
      <c r="O131" s="421">
        <v>0</v>
      </c>
      <c r="P131" s="421">
        <v>0</v>
      </c>
      <c r="Q131" s="421">
        <v>0</v>
      </c>
      <c r="R131" s="421">
        <v>0</v>
      </c>
      <c r="S131" s="429">
        <v>0</v>
      </c>
      <c r="T131" s="412"/>
    </row>
    <row r="132" spans="2:20" x14ac:dyDescent="0.2">
      <c r="B132" s="412"/>
      <c r="C132" s="428" t="s">
        <v>347</v>
      </c>
      <c r="D132" s="421">
        <v>2.2004707355665598</v>
      </c>
      <c r="E132" s="421">
        <v>0</v>
      </c>
      <c r="F132" s="421">
        <v>3.8636363636363602</v>
      </c>
      <c r="G132" s="421">
        <v>19.544561216829301</v>
      </c>
      <c r="H132" s="421">
        <v>1190.9090909090901</v>
      </c>
      <c r="I132" s="421">
        <v>170.08</v>
      </c>
      <c r="J132" s="421">
        <v>28.040540215902201</v>
      </c>
      <c r="K132" s="421">
        <v>7.7727848860172202</v>
      </c>
      <c r="L132" s="421">
        <v>0</v>
      </c>
      <c r="M132" s="421">
        <v>0.39886859626182303</v>
      </c>
      <c r="N132" s="421">
        <v>0</v>
      </c>
      <c r="O132" s="421">
        <v>0</v>
      </c>
      <c r="P132" s="421">
        <v>-586.289338958695</v>
      </c>
      <c r="Q132" s="421">
        <v>0</v>
      </c>
      <c r="R132" s="421">
        <v>0</v>
      </c>
      <c r="S132" s="429">
        <v>836.52061396460897</v>
      </c>
      <c r="T132" s="412"/>
    </row>
    <row r="133" spans="2:20" x14ac:dyDescent="0.2">
      <c r="B133" s="412"/>
      <c r="C133" s="428" t="s">
        <v>348</v>
      </c>
      <c r="D133" s="421">
        <v>4.9396474947490797E-2</v>
      </c>
      <c r="E133" s="421">
        <v>0</v>
      </c>
      <c r="F133" s="421">
        <v>0</v>
      </c>
      <c r="G133" s="421">
        <v>17.665254513296698</v>
      </c>
      <c r="H133" s="421">
        <v>0</v>
      </c>
      <c r="I133" s="421">
        <v>0</v>
      </c>
      <c r="J133" s="421">
        <v>13.597483560150501</v>
      </c>
      <c r="K133" s="421">
        <v>12.973950708076901</v>
      </c>
      <c r="L133" s="421">
        <v>0</v>
      </c>
      <c r="M133" s="421">
        <v>0.36051539823054402</v>
      </c>
      <c r="N133" s="421">
        <v>0</v>
      </c>
      <c r="O133" s="421">
        <v>2.3125206785732901</v>
      </c>
      <c r="P133" s="421">
        <v>0</v>
      </c>
      <c r="Q133" s="421">
        <v>-42.110083349928601</v>
      </c>
      <c r="R133" s="421">
        <v>0</v>
      </c>
      <c r="S133" s="429">
        <v>4.84903798334678</v>
      </c>
      <c r="T133" s="412"/>
    </row>
    <row r="134" spans="2:20" x14ac:dyDescent="0.2">
      <c r="B134" s="412"/>
      <c r="C134" s="428" t="s">
        <v>349</v>
      </c>
      <c r="D134" s="421">
        <v>0</v>
      </c>
      <c r="E134" s="421">
        <v>0</v>
      </c>
      <c r="F134" s="421">
        <v>0</v>
      </c>
      <c r="G134" s="421">
        <v>0</v>
      </c>
      <c r="H134" s="421">
        <v>0</v>
      </c>
      <c r="I134" s="421">
        <v>0</v>
      </c>
      <c r="J134" s="421">
        <v>8.2513049671567806</v>
      </c>
      <c r="K134" s="421">
        <v>0</v>
      </c>
      <c r="L134" s="421">
        <v>0</v>
      </c>
      <c r="M134" s="421">
        <v>-7.35397555197848</v>
      </c>
      <c r="N134" s="421">
        <v>0</v>
      </c>
      <c r="O134" s="421">
        <v>0</v>
      </c>
      <c r="P134" s="421">
        <v>0</v>
      </c>
      <c r="Q134" s="421">
        <v>0</v>
      </c>
      <c r="R134" s="421">
        <v>0</v>
      </c>
      <c r="S134" s="429">
        <v>0.897329415178301</v>
      </c>
      <c r="T134" s="412"/>
    </row>
    <row r="135" spans="2:20" x14ac:dyDescent="0.2">
      <c r="B135" s="412"/>
      <c r="C135" s="428" t="s">
        <v>350</v>
      </c>
      <c r="D135" s="421">
        <v>0</v>
      </c>
      <c r="E135" s="421">
        <v>0</v>
      </c>
      <c r="F135" s="421">
        <v>0</v>
      </c>
      <c r="G135" s="421">
        <v>0</v>
      </c>
      <c r="H135" s="421">
        <v>0</v>
      </c>
      <c r="I135" s="421">
        <v>0</v>
      </c>
      <c r="J135" s="421">
        <v>0</v>
      </c>
      <c r="K135" s="421">
        <v>0</v>
      </c>
      <c r="L135" s="421">
        <v>0</v>
      </c>
      <c r="M135" s="421">
        <v>0</v>
      </c>
      <c r="N135" s="421">
        <v>0</v>
      </c>
      <c r="O135" s="421">
        <v>0</v>
      </c>
      <c r="P135" s="421">
        <v>0</v>
      </c>
      <c r="Q135" s="421">
        <v>0</v>
      </c>
      <c r="R135" s="421">
        <v>0</v>
      </c>
      <c r="S135" s="429">
        <v>0</v>
      </c>
      <c r="T135" s="412"/>
    </row>
    <row r="136" spans="2:20" x14ac:dyDescent="0.2">
      <c r="B136" s="412"/>
      <c r="C136" s="428" t="s">
        <v>72</v>
      </c>
      <c r="D136" s="421">
        <v>0</v>
      </c>
      <c r="E136" s="421">
        <v>571.25876810153704</v>
      </c>
      <c r="F136" s="421">
        <v>-565.54618042052198</v>
      </c>
      <c r="G136" s="421">
        <v>0</v>
      </c>
      <c r="H136" s="421">
        <v>0</v>
      </c>
      <c r="I136" s="421">
        <v>0</v>
      </c>
      <c r="J136" s="421">
        <v>0</v>
      </c>
      <c r="K136" s="421">
        <v>0</v>
      </c>
      <c r="L136" s="421">
        <v>0</v>
      </c>
      <c r="M136" s="421">
        <v>0</v>
      </c>
      <c r="N136" s="421">
        <v>0</v>
      </c>
      <c r="O136" s="421">
        <v>0</v>
      </c>
      <c r="P136" s="421">
        <v>0</v>
      </c>
      <c r="Q136" s="421">
        <v>0</v>
      </c>
      <c r="R136" s="421">
        <v>0</v>
      </c>
      <c r="S136" s="429">
        <v>5.7125876810154104</v>
      </c>
      <c r="T136" s="412"/>
    </row>
    <row r="137" spans="2:20" x14ac:dyDescent="0.2">
      <c r="B137" s="412"/>
      <c r="C137" s="428" t="s">
        <v>351</v>
      </c>
      <c r="D137" s="421">
        <v>0</v>
      </c>
      <c r="E137" s="421">
        <v>0</v>
      </c>
      <c r="F137" s="421">
        <v>0</v>
      </c>
      <c r="G137" s="421">
        <v>0</v>
      </c>
      <c r="H137" s="421">
        <v>0</v>
      </c>
      <c r="I137" s="421">
        <v>0</v>
      </c>
      <c r="J137" s="421">
        <v>40.340137818349199</v>
      </c>
      <c r="K137" s="421">
        <v>0</v>
      </c>
      <c r="L137" s="421">
        <v>-40.340137818349199</v>
      </c>
      <c r="M137" s="421">
        <v>0</v>
      </c>
      <c r="N137" s="421">
        <v>0</v>
      </c>
      <c r="O137" s="421">
        <v>0</v>
      </c>
      <c r="P137" s="421">
        <v>0</v>
      </c>
      <c r="Q137" s="421">
        <v>0</v>
      </c>
      <c r="R137" s="421">
        <v>0</v>
      </c>
      <c r="S137" s="429">
        <v>0</v>
      </c>
      <c r="T137" s="412"/>
    </row>
    <row r="138" spans="2:20" x14ac:dyDescent="0.2">
      <c r="B138" s="412"/>
      <c r="C138" s="428" t="s">
        <v>352</v>
      </c>
      <c r="D138" s="421">
        <v>0</v>
      </c>
      <c r="E138" s="421">
        <v>0</v>
      </c>
      <c r="F138" s="421">
        <v>0</v>
      </c>
      <c r="G138" s="421">
        <v>0</v>
      </c>
      <c r="H138" s="421">
        <v>0</v>
      </c>
      <c r="I138" s="421">
        <v>0</v>
      </c>
      <c r="J138" s="421">
        <v>0</v>
      </c>
      <c r="K138" s="421">
        <v>0</v>
      </c>
      <c r="L138" s="421">
        <v>-0.12750106482601001</v>
      </c>
      <c r="M138" s="421">
        <v>0</v>
      </c>
      <c r="N138" s="421">
        <v>0</v>
      </c>
      <c r="O138" s="421">
        <v>0</v>
      </c>
      <c r="P138" s="421">
        <v>0</v>
      </c>
      <c r="Q138" s="421">
        <v>0</v>
      </c>
      <c r="R138" s="421">
        <v>0.182144378322872</v>
      </c>
      <c r="S138" s="429">
        <v>5.4643313496861502E-2</v>
      </c>
      <c r="T138" s="412"/>
    </row>
    <row r="139" spans="2:20" x14ac:dyDescent="0.2">
      <c r="B139" s="412"/>
      <c r="C139" s="428" t="s">
        <v>73</v>
      </c>
      <c r="D139" s="421">
        <v>0</v>
      </c>
      <c r="E139" s="421">
        <v>0</v>
      </c>
      <c r="F139" s="421">
        <v>0</v>
      </c>
      <c r="G139" s="421">
        <v>0.831376892645455</v>
      </c>
      <c r="H139" s="421">
        <v>0</v>
      </c>
      <c r="I139" s="421">
        <v>0</v>
      </c>
      <c r="J139" s="421">
        <v>0</v>
      </c>
      <c r="K139" s="421">
        <v>9.2613948472223297E-3</v>
      </c>
      <c r="L139" s="421">
        <v>0</v>
      </c>
      <c r="M139" s="421">
        <v>1.6966875360111301E-2</v>
      </c>
      <c r="N139" s="421">
        <v>0</v>
      </c>
      <c r="O139" s="421">
        <v>0</v>
      </c>
      <c r="P139" s="421">
        <v>7.3806192782479504E-2</v>
      </c>
      <c r="Q139" s="421">
        <v>0</v>
      </c>
      <c r="R139" s="421">
        <v>-0.64829763930556406</v>
      </c>
      <c r="S139" s="429">
        <v>0.283113716329704</v>
      </c>
      <c r="T139" s="412"/>
    </row>
    <row r="140" spans="2:20" x14ac:dyDescent="0.2">
      <c r="B140" s="412"/>
      <c r="C140" s="428" t="s">
        <v>353</v>
      </c>
      <c r="D140" s="421">
        <v>17.563290527343799</v>
      </c>
      <c r="E140" s="421">
        <v>-19.794116314718298</v>
      </c>
      <c r="F140" s="421">
        <v>25.889534996151301</v>
      </c>
      <c r="G140" s="421">
        <v>0</v>
      </c>
      <c r="H140" s="421">
        <v>0</v>
      </c>
      <c r="I140" s="421">
        <v>0</v>
      </c>
      <c r="J140" s="421">
        <v>0</v>
      </c>
      <c r="K140" s="421">
        <v>0</v>
      </c>
      <c r="L140" s="421">
        <v>0</v>
      </c>
      <c r="M140" s="421">
        <v>0</v>
      </c>
      <c r="N140" s="421">
        <v>0</v>
      </c>
      <c r="O140" s="421">
        <v>0</v>
      </c>
      <c r="P140" s="421">
        <v>0</v>
      </c>
      <c r="Q140" s="421">
        <v>0</v>
      </c>
      <c r="R140" s="421">
        <v>0</v>
      </c>
      <c r="S140" s="429">
        <v>23.658709208776799</v>
      </c>
      <c r="T140" s="412"/>
    </row>
    <row r="141" spans="2:20" x14ac:dyDescent="0.2">
      <c r="B141" s="412"/>
      <c r="C141" s="428" t="s">
        <v>75</v>
      </c>
      <c r="D141" s="421">
        <v>10.802251953124999</v>
      </c>
      <c r="E141" s="421">
        <v>0</v>
      </c>
      <c r="F141" s="421">
        <v>19.422798115452299</v>
      </c>
      <c r="G141" s="421">
        <v>5.5423525681211201</v>
      </c>
      <c r="H141" s="421">
        <v>0</v>
      </c>
      <c r="I141" s="421">
        <v>0</v>
      </c>
      <c r="J141" s="421">
        <v>0</v>
      </c>
      <c r="K141" s="421">
        <v>0</v>
      </c>
      <c r="L141" s="421">
        <v>0</v>
      </c>
      <c r="M141" s="421">
        <v>0.113109236084104</v>
      </c>
      <c r="N141" s="421">
        <v>0</v>
      </c>
      <c r="O141" s="421">
        <v>0</v>
      </c>
      <c r="P141" s="421">
        <v>36.242285129753</v>
      </c>
      <c r="Q141" s="421">
        <v>0</v>
      </c>
      <c r="R141" s="421">
        <v>0</v>
      </c>
      <c r="S141" s="429">
        <v>72.122797002535407</v>
      </c>
      <c r="T141" s="412"/>
    </row>
    <row r="142" spans="2:20" x14ac:dyDescent="0.2">
      <c r="B142" s="412"/>
      <c r="C142" s="428" t="s">
        <v>76</v>
      </c>
      <c r="D142" s="421">
        <v>0</v>
      </c>
      <c r="E142" s="421">
        <v>0</v>
      </c>
      <c r="F142" s="421">
        <v>0</v>
      </c>
      <c r="G142" s="421">
        <v>4.2728632653787999</v>
      </c>
      <c r="H142" s="421">
        <v>0</v>
      </c>
      <c r="I142" s="421">
        <v>0</v>
      </c>
      <c r="J142" s="421">
        <v>0</v>
      </c>
      <c r="K142" s="421">
        <v>0</v>
      </c>
      <c r="L142" s="421">
        <v>0</v>
      </c>
      <c r="M142" s="421">
        <v>8.7201291130179603E-2</v>
      </c>
      <c r="N142" s="421">
        <v>0</v>
      </c>
      <c r="O142" s="421">
        <v>0</v>
      </c>
      <c r="P142" s="421">
        <v>39.304453909215397</v>
      </c>
      <c r="Q142" s="421">
        <v>3.26314299021587</v>
      </c>
      <c r="R142" s="421">
        <v>0</v>
      </c>
      <c r="S142" s="429">
        <v>46.927661455940203</v>
      </c>
      <c r="T142" s="412"/>
    </row>
    <row r="143" spans="2:20" x14ac:dyDescent="0.2">
      <c r="B143" s="412"/>
      <c r="C143" s="424" t="s">
        <v>77</v>
      </c>
      <c r="D143" s="425">
        <v>30.615409690982801</v>
      </c>
      <c r="E143" s="425">
        <v>551.46465178681899</v>
      </c>
      <c r="F143" s="425">
        <v>-516.370210945282</v>
      </c>
      <c r="G143" s="425">
        <v>47.856408456271403</v>
      </c>
      <c r="H143" s="425">
        <v>1190.9090909090901</v>
      </c>
      <c r="I143" s="425">
        <v>170.08</v>
      </c>
      <c r="J143" s="425">
        <v>90.229466561558695</v>
      </c>
      <c r="K143" s="425">
        <v>20.755996988941401</v>
      </c>
      <c r="L143" s="425">
        <v>-40.467638883175198</v>
      </c>
      <c r="M143" s="425">
        <v>-6.37731415491172</v>
      </c>
      <c r="N143" s="425">
        <v>0</v>
      </c>
      <c r="O143" s="425">
        <v>2.3125206785732901</v>
      </c>
      <c r="P143" s="425">
        <v>-510.66879372694501</v>
      </c>
      <c r="Q143" s="425">
        <v>-38.846940359712697</v>
      </c>
      <c r="R143" s="425">
        <v>-0.466153260982692</v>
      </c>
      <c r="S143" s="425">
        <v>991.02649374122802</v>
      </c>
      <c r="T143" s="412"/>
    </row>
    <row r="144" spans="2:20" x14ac:dyDescent="0.2">
      <c r="B144" s="412"/>
      <c r="C144" s="426"/>
      <c r="D144" s="427"/>
      <c r="E144" s="427"/>
      <c r="F144" s="427"/>
      <c r="G144" s="427"/>
      <c r="H144" s="427"/>
      <c r="I144" s="427"/>
      <c r="J144" s="427"/>
      <c r="K144" s="427"/>
      <c r="L144" s="427"/>
      <c r="M144" s="427"/>
      <c r="N144" s="427"/>
      <c r="O144" s="427"/>
      <c r="P144" s="427"/>
      <c r="Q144" s="427"/>
      <c r="R144" s="427"/>
      <c r="S144" s="427"/>
      <c r="T144" s="412"/>
    </row>
    <row r="145" spans="2:20" x14ac:dyDescent="0.2">
      <c r="B145" s="412"/>
      <c r="C145" s="428" t="s">
        <v>78</v>
      </c>
      <c r="D145" s="421">
        <v>6.9572827965307997</v>
      </c>
      <c r="E145" s="421">
        <v>0</v>
      </c>
      <c r="F145" s="421">
        <v>25.896684663228299</v>
      </c>
      <c r="G145" s="421">
        <v>106.26458392294199</v>
      </c>
      <c r="H145" s="421">
        <v>0</v>
      </c>
      <c r="I145" s="421">
        <v>0</v>
      </c>
      <c r="J145" s="421">
        <v>17.745142204637499</v>
      </c>
      <c r="K145" s="421">
        <v>4.2189568362411896</v>
      </c>
      <c r="L145" s="421">
        <v>0.87282323828124997</v>
      </c>
      <c r="M145" s="421">
        <v>2.1686649780192302</v>
      </c>
      <c r="N145" s="421">
        <v>0</v>
      </c>
      <c r="O145" s="421">
        <v>0</v>
      </c>
      <c r="P145" s="421">
        <v>105.29003362157</v>
      </c>
      <c r="Q145" s="421">
        <v>18.0750594681117</v>
      </c>
      <c r="R145" s="421">
        <v>0.25568812561035198</v>
      </c>
      <c r="S145" s="429">
        <v>287.74491985517301</v>
      </c>
      <c r="T145" s="412"/>
    </row>
    <row r="146" spans="2:20" x14ac:dyDescent="0.2">
      <c r="B146" s="412"/>
      <c r="C146" s="428" t="s">
        <v>79</v>
      </c>
      <c r="D146" s="421">
        <v>0</v>
      </c>
      <c r="E146" s="421">
        <v>0</v>
      </c>
      <c r="F146" s="421">
        <v>346.690942673081</v>
      </c>
      <c r="G146" s="421">
        <v>11.424554462604799</v>
      </c>
      <c r="H146" s="421">
        <v>0</v>
      </c>
      <c r="I146" s="421">
        <v>0</v>
      </c>
      <c r="J146" s="421">
        <v>0</v>
      </c>
      <c r="K146" s="421">
        <v>0</v>
      </c>
      <c r="L146" s="421">
        <v>34.925099911617998</v>
      </c>
      <c r="M146" s="421">
        <v>0.23315417270621999</v>
      </c>
      <c r="N146" s="421">
        <v>0</v>
      </c>
      <c r="O146" s="421">
        <v>0</v>
      </c>
      <c r="P146" s="421">
        <v>24.35299203193</v>
      </c>
      <c r="Q146" s="421">
        <v>0</v>
      </c>
      <c r="R146" s="421">
        <v>0.21046513537233999</v>
      </c>
      <c r="S146" s="429">
        <v>417.83720838731301</v>
      </c>
      <c r="T146" s="412"/>
    </row>
    <row r="147" spans="2:20" x14ac:dyDescent="0.2">
      <c r="B147" s="412"/>
      <c r="C147" s="428" t="s">
        <v>80</v>
      </c>
      <c r="D147" s="421">
        <v>0</v>
      </c>
      <c r="E147" s="421">
        <v>0</v>
      </c>
      <c r="F147" s="421">
        <v>35.491759921092701</v>
      </c>
      <c r="G147" s="421">
        <v>125.919726758168</v>
      </c>
      <c r="H147" s="421">
        <v>0</v>
      </c>
      <c r="I147" s="421">
        <v>0</v>
      </c>
      <c r="J147" s="421">
        <v>73.813414818534</v>
      </c>
      <c r="K147" s="421">
        <v>0</v>
      </c>
      <c r="L147" s="421">
        <v>0</v>
      </c>
      <c r="M147" s="421">
        <v>2.56979034200342</v>
      </c>
      <c r="N147" s="421">
        <v>37.3286750803004</v>
      </c>
      <c r="O147" s="421">
        <v>0.79885474759688602</v>
      </c>
      <c r="P147" s="421">
        <v>169.76247082548599</v>
      </c>
      <c r="Q147" s="421">
        <v>15.993012493150101</v>
      </c>
      <c r="R147" s="421">
        <v>0</v>
      </c>
      <c r="S147" s="429">
        <v>461.67770498633098</v>
      </c>
      <c r="T147" s="412"/>
    </row>
    <row r="148" spans="2:20" x14ac:dyDescent="0.2">
      <c r="B148" s="412"/>
      <c r="C148" s="428" t="s">
        <v>81</v>
      </c>
      <c r="D148" s="421">
        <v>0</v>
      </c>
      <c r="E148" s="421">
        <v>0</v>
      </c>
      <c r="F148" s="421">
        <v>16.1286772108141</v>
      </c>
      <c r="G148" s="421">
        <v>65.616209399755206</v>
      </c>
      <c r="H148" s="421">
        <v>0</v>
      </c>
      <c r="I148" s="421">
        <v>0</v>
      </c>
      <c r="J148" s="421">
        <v>3.7763192942950199</v>
      </c>
      <c r="K148" s="421">
        <v>0</v>
      </c>
      <c r="L148" s="421">
        <v>0</v>
      </c>
      <c r="M148" s="421">
        <v>1.33910631428072</v>
      </c>
      <c r="N148" s="421">
        <v>6.5425739559002496</v>
      </c>
      <c r="O148" s="421">
        <v>0.88133560718480697</v>
      </c>
      <c r="P148" s="421">
        <v>129.56623414657301</v>
      </c>
      <c r="Q148" s="421">
        <v>4.7788683984510296</v>
      </c>
      <c r="R148" s="421">
        <v>0</v>
      </c>
      <c r="S148" s="429">
        <v>228.62932432725401</v>
      </c>
      <c r="T148" s="412"/>
    </row>
    <row r="149" spans="2:20" x14ac:dyDescent="0.2">
      <c r="B149" s="412"/>
      <c r="C149" s="428" t="s">
        <v>82</v>
      </c>
      <c r="D149" s="421">
        <v>0</v>
      </c>
      <c r="E149" s="421">
        <v>0</v>
      </c>
      <c r="F149" s="421">
        <v>28.971780309740499</v>
      </c>
      <c r="G149" s="421">
        <v>3.2633190472043498</v>
      </c>
      <c r="H149" s="421">
        <v>0</v>
      </c>
      <c r="I149" s="421">
        <v>0</v>
      </c>
      <c r="J149" s="421">
        <v>0.59195943280110996</v>
      </c>
      <c r="K149" s="421">
        <v>0</v>
      </c>
      <c r="L149" s="421">
        <v>3.8429712078023499</v>
      </c>
      <c r="M149" s="421">
        <v>6.6598347902129498E-2</v>
      </c>
      <c r="N149" s="421">
        <v>0</v>
      </c>
      <c r="O149" s="421">
        <v>8.6639841752499502E-2</v>
      </c>
      <c r="P149" s="421">
        <v>8.2598155123323398</v>
      </c>
      <c r="Q149" s="421">
        <v>0</v>
      </c>
      <c r="R149" s="421">
        <v>0</v>
      </c>
      <c r="S149" s="429">
        <v>45.083083699535301</v>
      </c>
      <c r="T149" s="412"/>
    </row>
    <row r="150" spans="2:20" x14ac:dyDescent="0.2">
      <c r="B150" s="412"/>
      <c r="C150" s="428" t="s">
        <v>354</v>
      </c>
      <c r="D150" s="421">
        <v>0</v>
      </c>
      <c r="E150" s="421">
        <v>0</v>
      </c>
      <c r="F150" s="421">
        <v>0</v>
      </c>
      <c r="G150" s="421">
        <v>0</v>
      </c>
      <c r="H150" s="421">
        <v>0</v>
      </c>
      <c r="I150" s="421">
        <v>0</v>
      </c>
      <c r="J150" s="421">
        <v>0</v>
      </c>
      <c r="K150" s="421">
        <v>0</v>
      </c>
      <c r="L150" s="421">
        <v>0</v>
      </c>
      <c r="M150" s="421">
        <v>0</v>
      </c>
      <c r="N150" s="421">
        <v>0</v>
      </c>
      <c r="O150" s="421">
        <v>0</v>
      </c>
      <c r="P150" s="421">
        <v>0</v>
      </c>
      <c r="Q150" s="421">
        <v>0</v>
      </c>
      <c r="R150" s="421">
        <v>0</v>
      </c>
      <c r="S150" s="429">
        <v>0</v>
      </c>
      <c r="T150" s="412"/>
    </row>
    <row r="151" spans="2:20" x14ac:dyDescent="0.2">
      <c r="B151" s="412"/>
      <c r="C151" s="424" t="s">
        <v>83</v>
      </c>
      <c r="D151" s="425">
        <v>6.9572827965307997</v>
      </c>
      <c r="E151" s="425">
        <v>0</v>
      </c>
      <c r="F151" s="425">
        <v>453.17984477795699</v>
      </c>
      <c r="G151" s="425">
        <v>312.48839359067398</v>
      </c>
      <c r="H151" s="425">
        <v>0</v>
      </c>
      <c r="I151" s="425">
        <v>0</v>
      </c>
      <c r="J151" s="425">
        <v>95.9268357502676</v>
      </c>
      <c r="K151" s="425">
        <v>4.2189568362411896</v>
      </c>
      <c r="L151" s="425">
        <v>39.640894357701598</v>
      </c>
      <c r="M151" s="425">
        <v>6.37731415491172</v>
      </c>
      <c r="N151" s="425">
        <v>43.871249036200602</v>
      </c>
      <c r="O151" s="425">
        <v>1.7668301965341899</v>
      </c>
      <c r="P151" s="425">
        <v>437.23154613789097</v>
      </c>
      <c r="Q151" s="425">
        <v>38.846940359712697</v>
      </c>
      <c r="R151" s="425">
        <v>0.466153260982692</v>
      </c>
      <c r="S151" s="425">
        <v>1440.97224125561</v>
      </c>
      <c r="T151" s="412"/>
    </row>
    <row r="152" spans="2:20" x14ac:dyDescent="0.2">
      <c r="B152" s="412"/>
      <c r="C152" s="420" t="s">
        <v>84</v>
      </c>
      <c r="D152" s="421">
        <v>2.48320288085938</v>
      </c>
      <c r="E152" s="421">
        <v>0</v>
      </c>
      <c r="F152" s="421">
        <v>138.16950187444499</v>
      </c>
      <c r="G152" s="421">
        <v>12.6223144301798</v>
      </c>
      <c r="H152" s="421">
        <v>0</v>
      </c>
      <c r="I152" s="421">
        <v>0</v>
      </c>
      <c r="J152" s="421">
        <v>0</v>
      </c>
      <c r="K152" s="421">
        <v>0</v>
      </c>
      <c r="L152" s="421">
        <v>0</v>
      </c>
      <c r="M152" s="421">
        <v>0</v>
      </c>
      <c r="N152" s="421">
        <v>0</v>
      </c>
      <c r="O152" s="421">
        <v>0</v>
      </c>
      <c r="P152" s="421">
        <v>0</v>
      </c>
      <c r="Q152" s="421">
        <v>0</v>
      </c>
      <c r="R152" s="421">
        <v>0</v>
      </c>
      <c r="S152" s="429">
        <v>153.27501918548401</v>
      </c>
      <c r="T152" s="412"/>
    </row>
    <row r="153" spans="2:20" x14ac:dyDescent="0.2">
      <c r="B153" s="412"/>
      <c r="C153" s="424" t="s">
        <v>85</v>
      </c>
      <c r="D153" s="425">
        <v>9.4404856773901802</v>
      </c>
      <c r="E153" s="425">
        <v>0</v>
      </c>
      <c r="F153" s="425">
        <v>591.34934665240098</v>
      </c>
      <c r="G153" s="425">
        <v>325.11070802085402</v>
      </c>
      <c r="H153" s="425">
        <v>0</v>
      </c>
      <c r="I153" s="425">
        <v>0</v>
      </c>
      <c r="J153" s="425">
        <v>95.9268357502676</v>
      </c>
      <c r="K153" s="425">
        <v>4.2189568362411896</v>
      </c>
      <c r="L153" s="425">
        <v>39.640894357701598</v>
      </c>
      <c r="M153" s="425">
        <v>6.37731415491172</v>
      </c>
      <c r="N153" s="425">
        <v>43.871249036200602</v>
      </c>
      <c r="O153" s="425">
        <v>1.7668301965341899</v>
      </c>
      <c r="P153" s="425">
        <v>437.23154613789097</v>
      </c>
      <c r="Q153" s="425">
        <v>38.846940359712697</v>
      </c>
      <c r="R153" s="425">
        <v>0.466153260982692</v>
      </c>
      <c r="S153" s="425">
        <v>1594.24726044109</v>
      </c>
      <c r="T153" s="412"/>
    </row>
    <row r="154" spans="2:20" x14ac:dyDescent="0.2">
      <c r="B154" s="412"/>
      <c r="C154" s="412"/>
      <c r="D154" s="430">
        <f t="shared" ref="D154:S154" si="11">D153+D143-D129</f>
        <v>0</v>
      </c>
      <c r="E154" s="430">
        <f t="shared" si="11"/>
        <v>0</v>
      </c>
      <c r="F154" s="430">
        <f t="shared" si="11"/>
        <v>-4.1211478674085811E-13</v>
      </c>
      <c r="G154" s="430">
        <f t="shared" si="11"/>
        <v>4.5474735088646412E-13</v>
      </c>
      <c r="H154" s="430">
        <f t="shared" si="11"/>
        <v>0</v>
      </c>
      <c r="I154" s="430">
        <f t="shared" si="11"/>
        <v>0</v>
      </c>
      <c r="J154" s="430">
        <f t="shared" si="11"/>
        <v>2.8421709430404007E-13</v>
      </c>
      <c r="K154" s="430">
        <f t="shared" si="11"/>
        <v>0</v>
      </c>
      <c r="L154" s="430">
        <f t="shared" si="11"/>
        <v>2.8643754035329039E-14</v>
      </c>
      <c r="M154" s="430">
        <f t="shared" si="11"/>
        <v>0</v>
      </c>
      <c r="N154" s="430">
        <f t="shared" si="11"/>
        <v>0</v>
      </c>
      <c r="O154" s="430">
        <f t="shared" si="11"/>
        <v>-1.0658141036401503E-14</v>
      </c>
      <c r="P154" s="430">
        <f t="shared" si="11"/>
        <v>-4.4053649617126212E-13</v>
      </c>
      <c r="Q154" s="430">
        <f t="shared" si="11"/>
        <v>0</v>
      </c>
      <c r="R154" s="430">
        <f t="shared" si="11"/>
        <v>0</v>
      </c>
      <c r="S154" s="430">
        <f t="shared" si="11"/>
        <v>0</v>
      </c>
      <c r="T154" s="412"/>
    </row>
    <row r="155" spans="2:20" x14ac:dyDescent="0.2">
      <c r="B155" s="412"/>
      <c r="C155" s="412"/>
      <c r="D155" s="412"/>
      <c r="E155" s="412"/>
      <c r="F155" s="412"/>
      <c r="G155" s="412"/>
      <c r="H155" s="412"/>
      <c r="I155" s="412"/>
      <c r="J155" s="412"/>
      <c r="K155" s="412"/>
      <c r="L155" s="412"/>
      <c r="M155" s="412"/>
      <c r="N155" s="412"/>
      <c r="O155" s="412"/>
      <c r="P155" s="412"/>
      <c r="Q155" s="412"/>
      <c r="R155" s="412"/>
      <c r="S155" s="412"/>
      <c r="T155" s="412"/>
    </row>
    <row r="156" spans="2:20" ht="14.25" x14ac:dyDescent="0.2">
      <c r="B156" s="416"/>
      <c r="C156" s="417" t="s">
        <v>88</v>
      </c>
      <c r="D156" s="416"/>
      <c r="E156" s="416"/>
      <c r="F156" s="416"/>
      <c r="G156" s="416"/>
      <c r="H156" s="416"/>
      <c r="I156" s="416"/>
      <c r="J156" s="416"/>
      <c r="K156" s="416"/>
      <c r="L156" s="416"/>
      <c r="M156" s="416"/>
      <c r="N156" s="416"/>
      <c r="O156" s="416"/>
      <c r="P156" s="416"/>
      <c r="Q156" s="416"/>
      <c r="R156" s="416"/>
      <c r="S156" s="416"/>
      <c r="T156" s="416"/>
    </row>
    <row r="157" spans="2:20" x14ac:dyDescent="0.2">
      <c r="B157" s="412"/>
      <c r="C157" s="412"/>
      <c r="D157" s="412"/>
      <c r="E157" s="412"/>
      <c r="F157" s="412"/>
      <c r="G157" s="412"/>
      <c r="H157" s="412"/>
      <c r="I157" s="412"/>
      <c r="J157" s="412"/>
      <c r="K157" s="412"/>
      <c r="L157" s="412"/>
      <c r="M157" s="412"/>
      <c r="N157" s="412"/>
      <c r="O157" s="412"/>
      <c r="P157" s="412"/>
      <c r="Q157" s="412"/>
      <c r="R157" s="412"/>
      <c r="S157" s="412"/>
      <c r="T157" s="412"/>
    </row>
    <row r="158" spans="2:20" ht="13.5" customHeight="1" x14ac:dyDescent="0.2">
      <c r="B158" s="412"/>
      <c r="C158" s="756" t="s">
        <v>128</v>
      </c>
      <c r="D158" s="755" t="s">
        <v>42</v>
      </c>
      <c r="E158" s="755" t="s">
        <v>52</v>
      </c>
      <c r="F158" s="755" t="s">
        <v>53</v>
      </c>
      <c r="G158" s="755" t="s">
        <v>32</v>
      </c>
      <c r="H158" s="755" t="s">
        <v>20</v>
      </c>
      <c r="I158" s="755" t="s">
        <v>55</v>
      </c>
      <c r="J158" s="755" t="s">
        <v>56</v>
      </c>
      <c r="K158" s="755"/>
      <c r="L158" s="755"/>
      <c r="M158" s="755"/>
      <c r="N158" s="755"/>
      <c r="O158" s="755"/>
      <c r="P158" s="755" t="s">
        <v>57</v>
      </c>
      <c r="Q158" s="755" t="s">
        <v>58</v>
      </c>
      <c r="R158" s="755" t="s">
        <v>31</v>
      </c>
      <c r="S158" s="755" t="s">
        <v>10</v>
      </c>
      <c r="T158" s="412"/>
    </row>
    <row r="159" spans="2:20" ht="56.25" x14ac:dyDescent="0.2">
      <c r="B159" s="412"/>
      <c r="C159" s="756"/>
      <c r="D159" s="755"/>
      <c r="E159" s="755"/>
      <c r="F159" s="755"/>
      <c r="G159" s="755"/>
      <c r="H159" s="755"/>
      <c r="I159" s="755"/>
      <c r="J159" s="418" t="s">
        <v>335</v>
      </c>
      <c r="K159" s="418" t="s">
        <v>40</v>
      </c>
      <c r="L159" s="418" t="s">
        <v>343</v>
      </c>
      <c r="M159" s="418" t="s">
        <v>344</v>
      </c>
      <c r="N159" s="419" t="s">
        <v>345</v>
      </c>
      <c r="O159" s="418" t="s">
        <v>346</v>
      </c>
      <c r="P159" s="755"/>
      <c r="Q159" s="755"/>
      <c r="R159" s="755"/>
      <c r="S159" s="755"/>
      <c r="T159" s="412"/>
    </row>
    <row r="160" spans="2:20" x14ac:dyDescent="0.2">
      <c r="B160" s="412"/>
      <c r="C160" s="420" t="s">
        <v>59</v>
      </c>
      <c r="D160" s="421">
        <v>0</v>
      </c>
      <c r="E160" s="421">
        <v>9.7691999999999997</v>
      </c>
      <c r="F160" s="421">
        <v>0</v>
      </c>
      <c r="G160" s="421">
        <v>0.18608</v>
      </c>
      <c r="H160" s="422">
        <v>1190.9090909090901</v>
      </c>
      <c r="I160" s="422">
        <v>180.08</v>
      </c>
      <c r="J160" s="422">
        <v>182.69909167509101</v>
      </c>
      <c r="K160" s="422">
        <v>24.336304255308299</v>
      </c>
      <c r="L160" s="421">
        <v>0</v>
      </c>
      <c r="M160" s="421">
        <v>0</v>
      </c>
      <c r="N160" s="422">
        <v>47.404940243004702</v>
      </c>
      <c r="O160" s="422">
        <v>4.1431468389453903</v>
      </c>
      <c r="P160" s="421">
        <v>0</v>
      </c>
      <c r="Q160" s="421">
        <v>0</v>
      </c>
      <c r="R160" s="421">
        <v>0</v>
      </c>
      <c r="S160" s="423">
        <v>1639.5278539214401</v>
      </c>
      <c r="T160" s="412"/>
    </row>
    <row r="161" spans="2:20" x14ac:dyDescent="0.2">
      <c r="B161" s="412"/>
      <c r="C161" s="420" t="s">
        <v>60</v>
      </c>
      <c r="D161" s="421">
        <v>37.339422707782298</v>
      </c>
      <c r="E161" s="421">
        <v>533.81672423347197</v>
      </c>
      <c r="F161" s="421">
        <v>143.39659601628199</v>
      </c>
      <c r="G161" s="421">
        <v>370.50350222542198</v>
      </c>
      <c r="H161" s="421">
        <v>0</v>
      </c>
      <c r="I161" s="421">
        <v>0</v>
      </c>
      <c r="J161" s="421">
        <v>0</v>
      </c>
      <c r="K161" s="421">
        <v>0</v>
      </c>
      <c r="L161" s="421">
        <v>0</v>
      </c>
      <c r="M161" s="421">
        <v>0</v>
      </c>
      <c r="N161" s="421">
        <v>0</v>
      </c>
      <c r="O161" s="421">
        <v>0</v>
      </c>
      <c r="P161" s="421">
        <v>0</v>
      </c>
      <c r="Q161" s="421">
        <v>0</v>
      </c>
      <c r="R161" s="421">
        <v>0</v>
      </c>
      <c r="S161" s="423">
        <v>1085.0562451829601</v>
      </c>
      <c r="T161" s="412"/>
    </row>
    <row r="162" spans="2:20" x14ac:dyDescent="0.2">
      <c r="B162" s="412"/>
      <c r="C162" s="420" t="s">
        <v>61</v>
      </c>
      <c r="D162" s="421">
        <v>0</v>
      </c>
      <c r="E162" s="421">
        <v>0</v>
      </c>
      <c r="F162" s="421">
        <v>0</v>
      </c>
      <c r="G162" s="421">
        <v>0</v>
      </c>
      <c r="H162" s="421">
        <v>0</v>
      </c>
      <c r="I162" s="421">
        <v>0</v>
      </c>
      <c r="J162" s="421">
        <v>0</v>
      </c>
      <c r="K162" s="421">
        <v>0</v>
      </c>
      <c r="L162" s="421">
        <v>0</v>
      </c>
      <c r="M162" s="421">
        <v>0</v>
      </c>
      <c r="N162" s="421">
        <v>0</v>
      </c>
      <c r="O162" s="421">
        <v>0</v>
      </c>
      <c r="P162" s="421">
        <v>-78.290170277584906</v>
      </c>
      <c r="Q162" s="421">
        <v>0</v>
      </c>
      <c r="R162" s="421">
        <v>0</v>
      </c>
      <c r="S162" s="423">
        <v>-78.290170277584906</v>
      </c>
      <c r="T162" s="412"/>
    </row>
    <row r="163" spans="2:20" x14ac:dyDescent="0.2">
      <c r="B163" s="412"/>
      <c r="C163" s="420" t="s">
        <v>62</v>
      </c>
      <c r="D163" s="421">
        <v>0</v>
      </c>
      <c r="E163" s="421">
        <v>0</v>
      </c>
      <c r="F163" s="421">
        <v>-16.493151741791198</v>
      </c>
      <c r="G163" s="421">
        <v>0</v>
      </c>
      <c r="H163" s="421">
        <v>0</v>
      </c>
      <c r="I163" s="421">
        <v>0</v>
      </c>
      <c r="J163" s="421">
        <v>0</v>
      </c>
      <c r="K163" s="421">
        <v>0</v>
      </c>
      <c r="L163" s="421">
        <v>0</v>
      </c>
      <c r="M163" s="421">
        <v>0</v>
      </c>
      <c r="N163" s="421">
        <v>0</v>
      </c>
      <c r="O163" s="421">
        <v>0</v>
      </c>
      <c r="P163" s="421">
        <v>0</v>
      </c>
      <c r="Q163" s="421">
        <v>0</v>
      </c>
      <c r="R163" s="421">
        <v>0</v>
      </c>
      <c r="S163" s="423">
        <v>-16.493151741791198</v>
      </c>
      <c r="T163" s="412"/>
    </row>
    <row r="164" spans="2:20" x14ac:dyDescent="0.2">
      <c r="B164" s="412"/>
      <c r="C164" s="420" t="s">
        <v>63</v>
      </c>
      <c r="D164" s="421">
        <v>0</v>
      </c>
      <c r="E164" s="421">
        <v>0</v>
      </c>
      <c r="F164" s="421">
        <v>-80.524753863298102</v>
      </c>
      <c r="G164" s="421">
        <v>0</v>
      </c>
      <c r="H164" s="421">
        <v>0</v>
      </c>
      <c r="I164" s="421">
        <v>0</v>
      </c>
      <c r="J164" s="421">
        <v>0</v>
      </c>
      <c r="K164" s="421">
        <v>0</v>
      </c>
      <c r="L164" s="421">
        <v>-0.83268754501228504</v>
      </c>
      <c r="M164" s="421">
        <v>0</v>
      </c>
      <c r="N164" s="421">
        <v>0</v>
      </c>
      <c r="O164" s="421">
        <v>0</v>
      </c>
      <c r="P164" s="421">
        <v>0</v>
      </c>
      <c r="Q164" s="421">
        <v>0</v>
      </c>
      <c r="R164" s="421">
        <v>0</v>
      </c>
      <c r="S164" s="423">
        <v>-81.357441408310294</v>
      </c>
      <c r="T164" s="412"/>
    </row>
    <row r="165" spans="2:20" x14ac:dyDescent="0.2">
      <c r="B165" s="412"/>
      <c r="C165" s="420" t="s">
        <v>64</v>
      </c>
      <c r="D165" s="421">
        <v>0</v>
      </c>
      <c r="E165" s="421">
        <v>0</v>
      </c>
      <c r="F165" s="421">
        <v>0</v>
      </c>
      <c r="G165" s="421">
        <v>0</v>
      </c>
      <c r="H165" s="421">
        <v>0</v>
      </c>
      <c r="I165" s="421">
        <v>0</v>
      </c>
      <c r="J165" s="421">
        <v>0</v>
      </c>
      <c r="K165" s="421">
        <v>0</v>
      </c>
      <c r="L165" s="421">
        <v>0</v>
      </c>
      <c r="M165" s="421">
        <v>0</v>
      </c>
      <c r="N165" s="421">
        <v>0</v>
      </c>
      <c r="O165" s="421">
        <v>0</v>
      </c>
      <c r="P165" s="421">
        <v>0</v>
      </c>
      <c r="Q165" s="421">
        <v>0</v>
      </c>
      <c r="R165" s="421">
        <v>0</v>
      </c>
      <c r="S165" s="423">
        <v>0</v>
      </c>
      <c r="T165" s="412"/>
    </row>
    <row r="166" spans="2:20" x14ac:dyDescent="0.2">
      <c r="B166" s="412"/>
      <c r="C166" s="424" t="s">
        <v>65</v>
      </c>
      <c r="D166" s="425">
        <v>37.339422707782298</v>
      </c>
      <c r="E166" s="425">
        <v>543.58592423347204</v>
      </c>
      <c r="F166" s="425">
        <v>46.378690411192402</v>
      </c>
      <c r="G166" s="425">
        <v>370.68958222542199</v>
      </c>
      <c r="H166" s="425">
        <v>1190.9090909090901</v>
      </c>
      <c r="I166" s="425">
        <v>180.08</v>
      </c>
      <c r="J166" s="425">
        <v>182.69909167509101</v>
      </c>
      <c r="K166" s="425">
        <v>24.336304255308299</v>
      </c>
      <c r="L166" s="425">
        <v>-0.83268754501228504</v>
      </c>
      <c r="M166" s="425">
        <v>0</v>
      </c>
      <c r="N166" s="425">
        <v>47.404940243004702</v>
      </c>
      <c r="O166" s="425">
        <v>4.1431468389453903</v>
      </c>
      <c r="P166" s="425">
        <v>-78.290170277584906</v>
      </c>
      <c r="Q166" s="425">
        <v>0</v>
      </c>
      <c r="R166" s="425">
        <v>0</v>
      </c>
      <c r="S166" s="425">
        <v>2548.4433356767099</v>
      </c>
      <c r="T166" s="412"/>
    </row>
    <row r="167" spans="2:20" x14ac:dyDescent="0.2">
      <c r="B167" s="412"/>
      <c r="C167" s="426"/>
      <c r="D167" s="427"/>
      <c r="E167" s="427"/>
      <c r="F167" s="427"/>
      <c r="G167" s="427"/>
      <c r="H167" s="427"/>
      <c r="I167" s="427"/>
      <c r="J167" s="427"/>
      <c r="K167" s="427"/>
      <c r="L167" s="427"/>
      <c r="M167" s="427"/>
      <c r="N167" s="427"/>
      <c r="O167" s="427"/>
      <c r="P167" s="427"/>
      <c r="Q167" s="427"/>
      <c r="R167" s="427"/>
      <c r="S167" s="427"/>
      <c r="T167" s="412"/>
    </row>
    <row r="168" spans="2:20" x14ac:dyDescent="0.2">
      <c r="B168" s="412"/>
      <c r="C168" s="428" t="s">
        <v>67</v>
      </c>
      <c r="D168" s="421">
        <v>0</v>
      </c>
      <c r="E168" s="421">
        <v>0</v>
      </c>
      <c r="F168" s="421">
        <v>0</v>
      </c>
      <c r="G168" s="421">
        <v>0</v>
      </c>
      <c r="H168" s="421">
        <v>0</v>
      </c>
      <c r="I168" s="421">
        <v>0</v>
      </c>
      <c r="J168" s="421">
        <v>0</v>
      </c>
      <c r="K168" s="421">
        <v>0</v>
      </c>
      <c r="L168" s="421">
        <v>0</v>
      </c>
      <c r="M168" s="421">
        <v>0</v>
      </c>
      <c r="N168" s="421">
        <v>0</v>
      </c>
      <c r="O168" s="421">
        <v>0</v>
      </c>
      <c r="P168" s="421">
        <v>0</v>
      </c>
      <c r="Q168" s="421">
        <v>0</v>
      </c>
      <c r="R168" s="421">
        <v>0</v>
      </c>
      <c r="S168" s="429">
        <v>0</v>
      </c>
      <c r="T168" s="412"/>
    </row>
    <row r="169" spans="2:20" x14ac:dyDescent="0.2">
      <c r="B169" s="412"/>
      <c r="C169" s="428" t="s">
        <v>347</v>
      </c>
      <c r="D169" s="421">
        <v>2.2004707355665598</v>
      </c>
      <c r="E169" s="421">
        <v>0</v>
      </c>
      <c r="F169" s="421">
        <v>3.8636363636363602</v>
      </c>
      <c r="G169" s="421">
        <v>21.057260399703999</v>
      </c>
      <c r="H169" s="421">
        <v>1190.9090909090901</v>
      </c>
      <c r="I169" s="421">
        <v>180.08</v>
      </c>
      <c r="J169" s="421">
        <v>26.7962649198797</v>
      </c>
      <c r="K169" s="421">
        <v>7.2535340783692002</v>
      </c>
      <c r="L169" s="421">
        <v>0</v>
      </c>
      <c r="M169" s="421">
        <v>0.42974000815722502</v>
      </c>
      <c r="N169" s="421">
        <v>0</v>
      </c>
      <c r="O169" s="421">
        <v>0</v>
      </c>
      <c r="P169" s="421">
        <v>-597.29785022432395</v>
      </c>
      <c r="Q169" s="421">
        <v>0</v>
      </c>
      <c r="R169" s="421">
        <v>0</v>
      </c>
      <c r="S169" s="429">
        <v>835.29214719007996</v>
      </c>
      <c r="T169" s="412"/>
    </row>
    <row r="170" spans="2:20" x14ac:dyDescent="0.2">
      <c r="B170" s="412"/>
      <c r="C170" s="428" t="s">
        <v>348</v>
      </c>
      <c r="D170" s="421">
        <v>0</v>
      </c>
      <c r="E170" s="421">
        <v>0</v>
      </c>
      <c r="F170" s="421">
        <v>0</v>
      </c>
      <c r="G170" s="421">
        <v>17.2690006533789</v>
      </c>
      <c r="H170" s="421">
        <v>0</v>
      </c>
      <c r="I170" s="421">
        <v>0</v>
      </c>
      <c r="J170" s="421">
        <v>13.0699665611328</v>
      </c>
      <c r="K170" s="421">
        <v>12.782704302523401</v>
      </c>
      <c r="L170" s="421">
        <v>0</v>
      </c>
      <c r="M170" s="421">
        <v>0.35242858476283501</v>
      </c>
      <c r="N170" s="421">
        <v>0</v>
      </c>
      <c r="O170" s="421">
        <v>2.2569028606256798</v>
      </c>
      <c r="P170" s="421">
        <v>0</v>
      </c>
      <c r="Q170" s="421">
        <v>-41.219343799096599</v>
      </c>
      <c r="R170" s="421">
        <v>0</v>
      </c>
      <c r="S170" s="429">
        <v>4.5116591633269501</v>
      </c>
      <c r="T170" s="412"/>
    </row>
    <row r="171" spans="2:20" x14ac:dyDescent="0.2">
      <c r="B171" s="412"/>
      <c r="C171" s="428" t="s">
        <v>349</v>
      </c>
      <c r="D171" s="421">
        <v>0</v>
      </c>
      <c r="E171" s="421">
        <v>0</v>
      </c>
      <c r="F171" s="421">
        <v>0</v>
      </c>
      <c r="G171" s="421">
        <v>0</v>
      </c>
      <c r="H171" s="421">
        <v>0</v>
      </c>
      <c r="I171" s="421">
        <v>0</v>
      </c>
      <c r="J171" s="421">
        <v>8.3993143440742202</v>
      </c>
      <c r="K171" s="421">
        <v>0</v>
      </c>
      <c r="L171" s="421">
        <v>0</v>
      </c>
      <c r="M171" s="421">
        <v>-7.3074034793445701</v>
      </c>
      <c r="N171" s="421">
        <v>0</v>
      </c>
      <c r="O171" s="421">
        <v>0</v>
      </c>
      <c r="P171" s="421">
        <v>0</v>
      </c>
      <c r="Q171" s="421">
        <v>0</v>
      </c>
      <c r="R171" s="421">
        <v>0</v>
      </c>
      <c r="S171" s="429">
        <v>1.09191086472965</v>
      </c>
      <c r="T171" s="412"/>
    </row>
    <row r="172" spans="2:20" x14ac:dyDescent="0.2">
      <c r="B172" s="412"/>
      <c r="C172" s="428" t="s">
        <v>350</v>
      </c>
      <c r="D172" s="421">
        <v>0</v>
      </c>
      <c r="E172" s="421">
        <v>0</v>
      </c>
      <c r="F172" s="421">
        <v>0</v>
      </c>
      <c r="G172" s="421">
        <v>0</v>
      </c>
      <c r="H172" s="421">
        <v>0</v>
      </c>
      <c r="I172" s="421">
        <v>0</v>
      </c>
      <c r="J172" s="421">
        <v>0</v>
      </c>
      <c r="K172" s="421">
        <v>0</v>
      </c>
      <c r="L172" s="421">
        <v>0</v>
      </c>
      <c r="M172" s="421">
        <v>0</v>
      </c>
      <c r="N172" s="421">
        <v>0</v>
      </c>
      <c r="O172" s="421">
        <v>0</v>
      </c>
      <c r="P172" s="421">
        <v>0</v>
      </c>
      <c r="Q172" s="421">
        <v>0</v>
      </c>
      <c r="R172" s="421">
        <v>0</v>
      </c>
      <c r="S172" s="429">
        <v>0</v>
      </c>
      <c r="T172" s="412"/>
    </row>
    <row r="173" spans="2:20" x14ac:dyDescent="0.2">
      <c r="B173" s="412"/>
      <c r="C173" s="428" t="s">
        <v>72</v>
      </c>
      <c r="D173" s="421">
        <v>0</v>
      </c>
      <c r="E173" s="421">
        <v>563.09724372867004</v>
      </c>
      <c r="F173" s="421">
        <v>-557.46627129138403</v>
      </c>
      <c r="G173" s="421">
        <v>0</v>
      </c>
      <c r="H173" s="421">
        <v>0</v>
      </c>
      <c r="I173" s="421">
        <v>0</v>
      </c>
      <c r="J173" s="421">
        <v>0</v>
      </c>
      <c r="K173" s="421">
        <v>0</v>
      </c>
      <c r="L173" s="421">
        <v>0</v>
      </c>
      <c r="M173" s="421">
        <v>0</v>
      </c>
      <c r="N173" s="421">
        <v>0</v>
      </c>
      <c r="O173" s="421">
        <v>0</v>
      </c>
      <c r="P173" s="421">
        <v>0</v>
      </c>
      <c r="Q173" s="421">
        <v>0</v>
      </c>
      <c r="R173" s="421">
        <v>0</v>
      </c>
      <c r="S173" s="429">
        <v>5.6309724372866903</v>
      </c>
      <c r="T173" s="412"/>
    </row>
    <row r="174" spans="2:20" x14ac:dyDescent="0.2">
      <c r="B174" s="412"/>
      <c r="C174" s="428" t="s">
        <v>351</v>
      </c>
      <c r="D174" s="421">
        <v>0</v>
      </c>
      <c r="E174" s="421">
        <v>0</v>
      </c>
      <c r="F174" s="421">
        <v>0</v>
      </c>
      <c r="G174" s="421">
        <v>0</v>
      </c>
      <c r="H174" s="421">
        <v>0</v>
      </c>
      <c r="I174" s="421">
        <v>0</v>
      </c>
      <c r="J174" s="421">
        <v>39.4678203667548</v>
      </c>
      <c r="K174" s="421">
        <v>0</v>
      </c>
      <c r="L174" s="421">
        <v>-39.4678203667548</v>
      </c>
      <c r="M174" s="421">
        <v>0</v>
      </c>
      <c r="N174" s="421">
        <v>0</v>
      </c>
      <c r="O174" s="421">
        <v>0</v>
      </c>
      <c r="P174" s="421">
        <v>0</v>
      </c>
      <c r="Q174" s="421">
        <v>0</v>
      </c>
      <c r="R174" s="421">
        <v>0</v>
      </c>
      <c r="S174" s="429">
        <v>0</v>
      </c>
      <c r="T174" s="412"/>
    </row>
    <row r="175" spans="2:20" x14ac:dyDescent="0.2">
      <c r="B175" s="412"/>
      <c r="C175" s="428" t="s">
        <v>352</v>
      </c>
      <c r="D175" s="421">
        <v>0</v>
      </c>
      <c r="E175" s="421">
        <v>0</v>
      </c>
      <c r="F175" s="421">
        <v>0</v>
      </c>
      <c r="G175" s="421">
        <v>0</v>
      </c>
      <c r="H175" s="421">
        <v>0</v>
      </c>
      <c r="I175" s="421">
        <v>0</v>
      </c>
      <c r="J175" s="421">
        <v>0</v>
      </c>
      <c r="K175" s="421">
        <v>0</v>
      </c>
      <c r="L175" s="421">
        <v>-0.17560464547893101</v>
      </c>
      <c r="M175" s="421">
        <v>0</v>
      </c>
      <c r="N175" s="421">
        <v>0</v>
      </c>
      <c r="O175" s="421">
        <v>0</v>
      </c>
      <c r="P175" s="421">
        <v>0</v>
      </c>
      <c r="Q175" s="421">
        <v>0</v>
      </c>
      <c r="R175" s="421">
        <v>0.25086377925561598</v>
      </c>
      <c r="S175" s="429">
        <v>7.5259133776684806E-2</v>
      </c>
      <c r="T175" s="412"/>
    </row>
    <row r="176" spans="2:20" x14ac:dyDescent="0.2">
      <c r="B176" s="412"/>
      <c r="C176" s="428" t="s">
        <v>73</v>
      </c>
      <c r="D176" s="421">
        <v>0</v>
      </c>
      <c r="E176" s="421">
        <v>0</v>
      </c>
      <c r="F176" s="421">
        <v>0</v>
      </c>
      <c r="G176" s="421">
        <v>1.08065426442295</v>
      </c>
      <c r="H176" s="421">
        <v>0</v>
      </c>
      <c r="I176" s="421">
        <v>0</v>
      </c>
      <c r="J176" s="421">
        <v>0</v>
      </c>
      <c r="K176" s="421">
        <v>1.2117675088842201E-2</v>
      </c>
      <c r="L176" s="421">
        <v>0</v>
      </c>
      <c r="M176" s="421">
        <v>2.2054168661692901E-2</v>
      </c>
      <c r="N176" s="421">
        <v>0</v>
      </c>
      <c r="O176" s="421">
        <v>0</v>
      </c>
      <c r="P176" s="421">
        <v>0.104398431534641</v>
      </c>
      <c r="Q176" s="421">
        <v>0</v>
      </c>
      <c r="R176" s="421">
        <v>-0.84823725621895596</v>
      </c>
      <c r="S176" s="429">
        <v>0.37098728348916998</v>
      </c>
      <c r="T176" s="412"/>
    </row>
    <row r="177" spans="2:20" x14ac:dyDescent="0.2">
      <c r="B177" s="412"/>
      <c r="C177" s="428" t="s">
        <v>353</v>
      </c>
      <c r="D177" s="421">
        <v>16.156125732421899</v>
      </c>
      <c r="E177" s="421">
        <v>-19.5113194951984</v>
      </c>
      <c r="F177" s="421">
        <v>25.519653459670899</v>
      </c>
      <c r="G177" s="421">
        <v>0</v>
      </c>
      <c r="H177" s="421">
        <v>0</v>
      </c>
      <c r="I177" s="421">
        <v>0</v>
      </c>
      <c r="J177" s="421">
        <v>0</v>
      </c>
      <c r="K177" s="421">
        <v>0</v>
      </c>
      <c r="L177" s="421">
        <v>0</v>
      </c>
      <c r="M177" s="421">
        <v>0</v>
      </c>
      <c r="N177" s="421">
        <v>0</v>
      </c>
      <c r="O177" s="421">
        <v>0</v>
      </c>
      <c r="P177" s="421">
        <v>0</v>
      </c>
      <c r="Q177" s="421">
        <v>0</v>
      </c>
      <c r="R177" s="421">
        <v>0</v>
      </c>
      <c r="S177" s="429">
        <v>22.164459696894401</v>
      </c>
      <c r="T177" s="412"/>
    </row>
    <row r="178" spans="2:20" x14ac:dyDescent="0.2">
      <c r="B178" s="412"/>
      <c r="C178" s="428" t="s">
        <v>75</v>
      </c>
      <c r="D178" s="421">
        <v>10.1643505859375</v>
      </c>
      <c r="E178" s="421">
        <v>0</v>
      </c>
      <c r="F178" s="421">
        <v>19.145306286774801</v>
      </c>
      <c r="G178" s="421">
        <v>5.4631694586555604</v>
      </c>
      <c r="H178" s="421">
        <v>0</v>
      </c>
      <c r="I178" s="421">
        <v>0</v>
      </c>
      <c r="J178" s="421">
        <v>0</v>
      </c>
      <c r="K178" s="421">
        <v>0</v>
      </c>
      <c r="L178" s="421">
        <v>0</v>
      </c>
      <c r="M178" s="421">
        <v>0.111493254258277</v>
      </c>
      <c r="N178" s="421">
        <v>0</v>
      </c>
      <c r="O178" s="421">
        <v>0</v>
      </c>
      <c r="P178" s="421">
        <v>36.292710693034401</v>
      </c>
      <c r="Q178" s="421">
        <v>0</v>
      </c>
      <c r="R178" s="421">
        <v>0</v>
      </c>
      <c r="S178" s="429">
        <v>71.177030278660496</v>
      </c>
      <c r="T178" s="412"/>
    </row>
    <row r="179" spans="2:20" x14ac:dyDescent="0.2">
      <c r="B179" s="412"/>
      <c r="C179" s="428" t="s">
        <v>76</v>
      </c>
      <c r="D179" s="421">
        <v>0</v>
      </c>
      <c r="E179" s="421">
        <v>0</v>
      </c>
      <c r="F179" s="421">
        <v>0</v>
      </c>
      <c r="G179" s="421">
        <v>4.2458036026231296</v>
      </c>
      <c r="H179" s="421">
        <v>0</v>
      </c>
      <c r="I179" s="421">
        <v>0</v>
      </c>
      <c r="J179" s="421">
        <v>0</v>
      </c>
      <c r="K179" s="421">
        <v>0</v>
      </c>
      <c r="L179" s="421">
        <v>0</v>
      </c>
      <c r="M179" s="421">
        <v>8.6649053114757804E-2</v>
      </c>
      <c r="N179" s="421">
        <v>0</v>
      </c>
      <c r="O179" s="421">
        <v>0</v>
      </c>
      <c r="P179" s="421">
        <v>39.776211851873803</v>
      </c>
      <c r="Q179" s="421">
        <v>3.1941188921809198</v>
      </c>
      <c r="R179" s="421">
        <v>0</v>
      </c>
      <c r="S179" s="429">
        <v>47.302783399792602</v>
      </c>
      <c r="T179" s="412"/>
    </row>
    <row r="180" spans="2:20" x14ac:dyDescent="0.2">
      <c r="B180" s="412"/>
      <c r="C180" s="424" t="s">
        <v>77</v>
      </c>
      <c r="D180" s="425">
        <v>28.520947053925902</v>
      </c>
      <c r="E180" s="425">
        <v>543.58592423347204</v>
      </c>
      <c r="F180" s="425">
        <v>-508.93767518130198</v>
      </c>
      <c r="G180" s="425">
        <v>49.115888378784597</v>
      </c>
      <c r="H180" s="425">
        <v>1190.9090909090901</v>
      </c>
      <c r="I180" s="425">
        <v>180.08</v>
      </c>
      <c r="J180" s="425">
        <v>87.733366191841498</v>
      </c>
      <c r="K180" s="425">
        <v>20.0483560559815</v>
      </c>
      <c r="L180" s="425">
        <v>-39.643425012233699</v>
      </c>
      <c r="M180" s="425">
        <v>-6.3050384103897796</v>
      </c>
      <c r="N180" s="425">
        <v>0</v>
      </c>
      <c r="O180" s="425">
        <v>2.2569028606256798</v>
      </c>
      <c r="P180" s="425">
        <v>-521.12452924788101</v>
      </c>
      <c r="Q180" s="425">
        <v>-38.025224906915703</v>
      </c>
      <c r="R180" s="425">
        <v>-0.59737347696334098</v>
      </c>
      <c r="S180" s="425">
        <v>987.61720944803699</v>
      </c>
      <c r="T180" s="412"/>
    </row>
    <row r="181" spans="2:20" x14ac:dyDescent="0.2">
      <c r="B181" s="412"/>
      <c r="C181" s="426"/>
      <c r="D181" s="427"/>
      <c r="E181" s="427"/>
      <c r="F181" s="427"/>
      <c r="G181" s="427"/>
      <c r="H181" s="427"/>
      <c r="I181" s="427"/>
      <c r="J181" s="427"/>
      <c r="K181" s="427"/>
      <c r="L181" s="427"/>
      <c r="M181" s="427"/>
      <c r="N181" s="427"/>
      <c r="O181" s="427"/>
      <c r="P181" s="427"/>
      <c r="Q181" s="427"/>
      <c r="R181" s="427"/>
      <c r="S181" s="427"/>
      <c r="T181" s="412"/>
    </row>
    <row r="182" spans="2:20" x14ac:dyDescent="0.2">
      <c r="B182" s="412"/>
      <c r="C182" s="428" t="s">
        <v>78</v>
      </c>
      <c r="D182" s="421">
        <v>6.4636113960439099</v>
      </c>
      <c r="E182" s="421">
        <v>0</v>
      </c>
      <c r="F182" s="421">
        <v>24.862596272257498</v>
      </c>
      <c r="G182" s="421">
        <v>103.286678516522</v>
      </c>
      <c r="H182" s="421">
        <v>0</v>
      </c>
      <c r="I182" s="421">
        <v>0</v>
      </c>
      <c r="J182" s="421">
        <v>17.262400786113901</v>
      </c>
      <c r="K182" s="421">
        <v>4.2879481993268298</v>
      </c>
      <c r="L182" s="421">
        <v>0.86540506640625003</v>
      </c>
      <c r="M182" s="421">
        <v>2.1078913982963701</v>
      </c>
      <c r="N182" s="421">
        <v>0</v>
      </c>
      <c r="O182" s="421">
        <v>0</v>
      </c>
      <c r="P182" s="421">
        <v>104.034829447817</v>
      </c>
      <c r="Q182" s="421">
        <v>17.743069184880099</v>
      </c>
      <c r="R182" s="421">
        <v>0.24659825134277299</v>
      </c>
      <c r="S182" s="429">
        <v>281.161028519007</v>
      </c>
      <c r="T182" s="412"/>
    </row>
    <row r="183" spans="2:20" x14ac:dyDescent="0.2">
      <c r="B183" s="412"/>
      <c r="C183" s="428" t="s">
        <v>79</v>
      </c>
      <c r="D183" s="421">
        <v>0</v>
      </c>
      <c r="E183" s="421">
        <v>0</v>
      </c>
      <c r="F183" s="421">
        <v>321.54604576234499</v>
      </c>
      <c r="G183" s="421">
        <v>14.6585371734768</v>
      </c>
      <c r="H183" s="421">
        <v>0</v>
      </c>
      <c r="I183" s="421">
        <v>0</v>
      </c>
      <c r="J183" s="421">
        <v>0</v>
      </c>
      <c r="K183" s="421">
        <v>0</v>
      </c>
      <c r="L183" s="421">
        <v>32.583257192898799</v>
      </c>
      <c r="M183" s="421">
        <v>0.29915381986687301</v>
      </c>
      <c r="N183" s="421">
        <v>0</v>
      </c>
      <c r="O183" s="421">
        <v>0</v>
      </c>
      <c r="P183" s="421">
        <v>28.950215384778598</v>
      </c>
      <c r="Q183" s="421">
        <v>0</v>
      </c>
      <c r="R183" s="421">
        <v>0.35077522562056701</v>
      </c>
      <c r="S183" s="429">
        <v>398.38798455898598</v>
      </c>
      <c r="T183" s="412"/>
    </row>
    <row r="184" spans="2:20" x14ac:dyDescent="0.2">
      <c r="B184" s="412"/>
      <c r="C184" s="428" t="s">
        <v>80</v>
      </c>
      <c r="D184" s="421">
        <v>0</v>
      </c>
      <c r="E184" s="421">
        <v>0</v>
      </c>
      <c r="F184" s="421">
        <v>31.599343880465799</v>
      </c>
      <c r="G184" s="421">
        <v>123.533868616082</v>
      </c>
      <c r="H184" s="421">
        <v>0</v>
      </c>
      <c r="I184" s="421">
        <v>0</v>
      </c>
      <c r="J184" s="421">
        <v>73.364360274729606</v>
      </c>
      <c r="K184" s="421">
        <v>0</v>
      </c>
      <c r="L184" s="421">
        <v>0</v>
      </c>
      <c r="M184" s="421">
        <v>2.5210993595118798</v>
      </c>
      <c r="N184" s="421">
        <v>40.465242847391998</v>
      </c>
      <c r="O184" s="421">
        <v>0.96354458163837398</v>
      </c>
      <c r="P184" s="421">
        <v>172.02951616182</v>
      </c>
      <c r="Q184" s="421">
        <v>15.8854874881395</v>
      </c>
      <c r="R184" s="421">
        <v>0</v>
      </c>
      <c r="S184" s="429">
        <v>460.36246320978</v>
      </c>
      <c r="T184" s="412"/>
    </row>
    <row r="185" spans="2:20" x14ac:dyDescent="0.2">
      <c r="B185" s="412"/>
      <c r="C185" s="428" t="s">
        <v>81</v>
      </c>
      <c r="D185" s="421">
        <v>0</v>
      </c>
      <c r="E185" s="421">
        <v>0</v>
      </c>
      <c r="F185" s="421">
        <v>12.841746374836999</v>
      </c>
      <c r="G185" s="421">
        <v>63.9169870655954</v>
      </c>
      <c r="H185" s="421">
        <v>0</v>
      </c>
      <c r="I185" s="421">
        <v>0</v>
      </c>
      <c r="J185" s="421">
        <v>3.6156884784133001</v>
      </c>
      <c r="K185" s="421">
        <v>0</v>
      </c>
      <c r="L185" s="421">
        <v>0</v>
      </c>
      <c r="M185" s="421">
        <v>1.30442830746113</v>
      </c>
      <c r="N185" s="421">
        <v>6.9396973956126802</v>
      </c>
      <c r="O185" s="421">
        <v>0.83843410837959897</v>
      </c>
      <c r="P185" s="421">
        <v>129.63895161426501</v>
      </c>
      <c r="Q185" s="421">
        <v>4.3966682338961798</v>
      </c>
      <c r="R185" s="421">
        <v>0</v>
      </c>
      <c r="S185" s="429">
        <v>223.49260157846101</v>
      </c>
      <c r="T185" s="412"/>
    </row>
    <row r="186" spans="2:20" x14ac:dyDescent="0.2">
      <c r="B186" s="412"/>
      <c r="C186" s="428" t="s">
        <v>82</v>
      </c>
      <c r="D186" s="421">
        <v>0</v>
      </c>
      <c r="E186" s="421">
        <v>0</v>
      </c>
      <c r="F186" s="421">
        <v>26.373605719731</v>
      </c>
      <c r="G186" s="421">
        <v>3.55081073742303</v>
      </c>
      <c r="H186" s="421">
        <v>0</v>
      </c>
      <c r="I186" s="421">
        <v>0</v>
      </c>
      <c r="J186" s="421">
        <v>0.72327594399272899</v>
      </c>
      <c r="K186" s="421">
        <v>0</v>
      </c>
      <c r="L186" s="421">
        <v>5.3620752079163996</v>
      </c>
      <c r="M186" s="421">
        <v>7.2465525253531296E-2</v>
      </c>
      <c r="N186" s="421">
        <v>0</v>
      </c>
      <c r="O186" s="421">
        <v>8.4265288301735505E-2</v>
      </c>
      <c r="P186" s="421">
        <v>8.1808463616144707</v>
      </c>
      <c r="Q186" s="421">
        <v>0</v>
      </c>
      <c r="R186" s="421">
        <v>0</v>
      </c>
      <c r="S186" s="429">
        <v>44.347344784232902</v>
      </c>
      <c r="T186" s="412"/>
    </row>
    <row r="187" spans="2:20" x14ac:dyDescent="0.2">
      <c r="B187" s="412"/>
      <c r="C187" s="428" t="s">
        <v>354</v>
      </c>
      <c r="D187" s="421">
        <v>0</v>
      </c>
      <c r="E187" s="421">
        <v>0</v>
      </c>
      <c r="F187" s="421">
        <v>0</v>
      </c>
      <c r="G187" s="421">
        <v>0</v>
      </c>
      <c r="H187" s="421">
        <v>0</v>
      </c>
      <c r="I187" s="421">
        <v>0</v>
      </c>
      <c r="J187" s="421">
        <v>0</v>
      </c>
      <c r="K187" s="421">
        <v>0</v>
      </c>
      <c r="L187" s="421">
        <v>0</v>
      </c>
      <c r="M187" s="421">
        <v>0</v>
      </c>
      <c r="N187" s="421">
        <v>0</v>
      </c>
      <c r="O187" s="421">
        <v>0</v>
      </c>
      <c r="P187" s="421">
        <v>0</v>
      </c>
      <c r="Q187" s="421">
        <v>0</v>
      </c>
      <c r="R187" s="421">
        <v>0</v>
      </c>
      <c r="S187" s="429">
        <v>0</v>
      </c>
      <c r="T187" s="412"/>
    </row>
    <row r="188" spans="2:20" x14ac:dyDescent="0.2">
      <c r="B188" s="412"/>
      <c r="C188" s="424" t="s">
        <v>83</v>
      </c>
      <c r="D188" s="425">
        <v>6.4636113960439099</v>
      </c>
      <c r="E188" s="425">
        <v>0</v>
      </c>
      <c r="F188" s="425">
        <v>417.223338009636</v>
      </c>
      <c r="G188" s="425">
        <v>308.94688210909902</v>
      </c>
      <c r="H188" s="425">
        <v>0</v>
      </c>
      <c r="I188" s="425">
        <v>0</v>
      </c>
      <c r="J188" s="425">
        <v>94.9657254832495</v>
      </c>
      <c r="K188" s="425">
        <v>4.2879481993268298</v>
      </c>
      <c r="L188" s="425">
        <v>38.810737467221401</v>
      </c>
      <c r="M188" s="425">
        <v>6.3050384103897796</v>
      </c>
      <c r="N188" s="425">
        <v>47.404940243004702</v>
      </c>
      <c r="O188" s="425">
        <v>1.88624397831971</v>
      </c>
      <c r="P188" s="425">
        <v>442.83435897029602</v>
      </c>
      <c r="Q188" s="425">
        <v>38.025224906915703</v>
      </c>
      <c r="R188" s="425">
        <v>0.59737347696334098</v>
      </c>
      <c r="S188" s="425">
        <v>1407.75142265047</v>
      </c>
      <c r="T188" s="412"/>
    </row>
    <row r="189" spans="2:20" x14ac:dyDescent="0.2">
      <c r="B189" s="412"/>
      <c r="C189" s="420" t="s">
        <v>84</v>
      </c>
      <c r="D189" s="421">
        <v>2.3548642578124999</v>
      </c>
      <c r="E189" s="421">
        <v>0</v>
      </c>
      <c r="F189" s="421">
        <v>138.09302758285801</v>
      </c>
      <c r="G189" s="421">
        <v>12.626811737538199</v>
      </c>
      <c r="H189" s="421">
        <v>0</v>
      </c>
      <c r="I189" s="421">
        <v>0</v>
      </c>
      <c r="J189" s="421">
        <v>0</v>
      </c>
      <c r="K189" s="421">
        <v>0</v>
      </c>
      <c r="L189" s="421">
        <v>0</v>
      </c>
      <c r="M189" s="421">
        <v>0</v>
      </c>
      <c r="N189" s="421">
        <v>0</v>
      </c>
      <c r="O189" s="421">
        <v>0</v>
      </c>
      <c r="P189" s="421">
        <v>0</v>
      </c>
      <c r="Q189" s="421">
        <v>0</v>
      </c>
      <c r="R189" s="421">
        <v>0</v>
      </c>
      <c r="S189" s="429">
        <v>153.07470357820799</v>
      </c>
      <c r="T189" s="412"/>
    </row>
    <row r="190" spans="2:20" x14ac:dyDescent="0.2">
      <c r="B190" s="412"/>
      <c r="C190" s="424" t="s">
        <v>85</v>
      </c>
      <c r="D190" s="425">
        <v>8.8184756538564102</v>
      </c>
      <c r="E190" s="425">
        <v>0</v>
      </c>
      <c r="F190" s="425">
        <v>555.31636559249398</v>
      </c>
      <c r="G190" s="425">
        <v>321.57369384663798</v>
      </c>
      <c r="H190" s="425">
        <v>0</v>
      </c>
      <c r="I190" s="425">
        <v>0</v>
      </c>
      <c r="J190" s="425">
        <v>94.9657254832495</v>
      </c>
      <c r="K190" s="425">
        <v>4.2879481993268298</v>
      </c>
      <c r="L190" s="425">
        <v>38.810737467221401</v>
      </c>
      <c r="M190" s="425">
        <v>6.3050384103897796</v>
      </c>
      <c r="N190" s="425">
        <v>47.404940243004702</v>
      </c>
      <c r="O190" s="425">
        <v>1.88624397831971</v>
      </c>
      <c r="P190" s="425">
        <v>442.83435897029602</v>
      </c>
      <c r="Q190" s="425">
        <v>38.025224906915703</v>
      </c>
      <c r="R190" s="425">
        <v>0.59737347696334098</v>
      </c>
      <c r="S190" s="425">
        <v>1560.8261262286801</v>
      </c>
      <c r="T190" s="412"/>
    </row>
    <row r="191" spans="2:20" x14ac:dyDescent="0.2">
      <c r="B191" s="412"/>
      <c r="C191" s="412"/>
      <c r="D191" s="430">
        <f t="shared" ref="D191:S191" si="12">D190+D180-D166</f>
        <v>0</v>
      </c>
      <c r="E191" s="430">
        <f t="shared" si="12"/>
        <v>0</v>
      </c>
      <c r="F191" s="430">
        <f t="shared" si="12"/>
        <v>-4.0500935938325711E-13</v>
      </c>
      <c r="G191" s="430">
        <f t="shared" si="12"/>
        <v>5.6843418860808015E-13</v>
      </c>
      <c r="H191" s="430">
        <f t="shared" si="12"/>
        <v>0</v>
      </c>
      <c r="I191" s="430">
        <f t="shared" si="12"/>
        <v>0</v>
      </c>
      <c r="J191" s="430">
        <f t="shared" si="12"/>
        <v>0</v>
      </c>
      <c r="K191" s="430">
        <f t="shared" si="12"/>
        <v>3.1974423109204508E-14</v>
      </c>
      <c r="L191" s="430">
        <f t="shared" si="12"/>
        <v>-1.3322676295501878E-14</v>
      </c>
      <c r="M191" s="430">
        <f t="shared" si="12"/>
        <v>0</v>
      </c>
      <c r="N191" s="430">
        <f t="shared" si="12"/>
        <v>0</v>
      </c>
      <c r="O191" s="430">
        <f t="shared" si="12"/>
        <v>0</v>
      </c>
      <c r="P191" s="430">
        <f t="shared" si="12"/>
        <v>0</v>
      </c>
      <c r="Q191" s="430">
        <f t="shared" si="12"/>
        <v>0</v>
      </c>
      <c r="R191" s="430">
        <f t="shared" si="12"/>
        <v>0</v>
      </c>
      <c r="S191" s="430">
        <f t="shared" si="12"/>
        <v>7.2759576141834259E-12</v>
      </c>
      <c r="T191" s="412"/>
    </row>
    <row r="192" spans="2:20" x14ac:dyDescent="0.2">
      <c r="B192" s="412"/>
      <c r="C192" s="412"/>
      <c r="D192" s="412"/>
      <c r="E192" s="412"/>
      <c r="F192" s="412"/>
      <c r="G192" s="412"/>
      <c r="H192" s="412"/>
      <c r="I192" s="412"/>
      <c r="J192" s="412"/>
      <c r="K192" s="412"/>
      <c r="L192" s="412"/>
      <c r="M192" s="412"/>
      <c r="N192" s="412"/>
      <c r="O192" s="412"/>
      <c r="P192" s="412"/>
      <c r="Q192" s="412"/>
      <c r="R192" s="412"/>
      <c r="S192" s="412"/>
      <c r="T192" s="412"/>
    </row>
    <row r="193" spans="2:20" ht="14.25" x14ac:dyDescent="0.2">
      <c r="B193" s="416"/>
      <c r="C193" s="417" t="s">
        <v>357</v>
      </c>
      <c r="D193" s="416"/>
      <c r="E193" s="416"/>
      <c r="F193" s="416"/>
      <c r="G193" s="416"/>
      <c r="H193" s="416"/>
      <c r="I193" s="416"/>
      <c r="J193" s="416"/>
      <c r="K193" s="416"/>
      <c r="L193" s="416"/>
      <c r="M193" s="416"/>
      <c r="N193" s="416"/>
      <c r="O193" s="416"/>
      <c r="P193" s="416"/>
      <c r="Q193" s="416"/>
      <c r="R193" s="416"/>
      <c r="S193" s="416"/>
      <c r="T193" s="416"/>
    </row>
    <row r="194" spans="2:20" x14ac:dyDescent="0.2">
      <c r="B194" s="412"/>
      <c r="C194" s="412"/>
      <c r="D194" s="412"/>
      <c r="E194" s="412"/>
      <c r="F194" s="412"/>
      <c r="G194" s="412"/>
      <c r="H194" s="412"/>
      <c r="I194" s="412"/>
      <c r="J194" s="412"/>
      <c r="K194" s="412"/>
      <c r="L194" s="412"/>
      <c r="M194" s="412"/>
      <c r="N194" s="412"/>
      <c r="O194" s="412"/>
      <c r="P194" s="412"/>
      <c r="Q194" s="412"/>
      <c r="R194" s="412"/>
      <c r="S194" s="412"/>
      <c r="T194" s="412"/>
    </row>
    <row r="195" spans="2:20" ht="13.5" customHeight="1" x14ac:dyDescent="0.2">
      <c r="B195" s="412"/>
      <c r="C195" s="756" t="s">
        <v>128</v>
      </c>
      <c r="D195" s="755" t="s">
        <v>42</v>
      </c>
      <c r="E195" s="755" t="s">
        <v>52</v>
      </c>
      <c r="F195" s="755" t="s">
        <v>53</v>
      </c>
      <c r="G195" s="755" t="s">
        <v>32</v>
      </c>
      <c r="H195" s="755" t="s">
        <v>20</v>
      </c>
      <c r="I195" s="755" t="s">
        <v>55</v>
      </c>
      <c r="J195" s="755" t="s">
        <v>56</v>
      </c>
      <c r="K195" s="755"/>
      <c r="L195" s="755"/>
      <c r="M195" s="755"/>
      <c r="N195" s="755"/>
      <c r="O195" s="755"/>
      <c r="P195" s="755" t="s">
        <v>57</v>
      </c>
      <c r="Q195" s="755" t="s">
        <v>58</v>
      </c>
      <c r="R195" s="755" t="s">
        <v>31</v>
      </c>
      <c r="S195" s="755" t="s">
        <v>10</v>
      </c>
      <c r="T195" s="412"/>
    </row>
    <row r="196" spans="2:20" ht="56.25" x14ac:dyDescent="0.2">
      <c r="B196" s="412"/>
      <c r="C196" s="756"/>
      <c r="D196" s="755"/>
      <c r="E196" s="755"/>
      <c r="F196" s="755"/>
      <c r="G196" s="755"/>
      <c r="H196" s="755"/>
      <c r="I196" s="755"/>
      <c r="J196" s="418" t="s">
        <v>335</v>
      </c>
      <c r="K196" s="418" t="s">
        <v>40</v>
      </c>
      <c r="L196" s="418" t="s">
        <v>343</v>
      </c>
      <c r="M196" s="418" t="s">
        <v>344</v>
      </c>
      <c r="N196" s="419" t="s">
        <v>345</v>
      </c>
      <c r="O196" s="418" t="s">
        <v>346</v>
      </c>
      <c r="P196" s="755"/>
      <c r="Q196" s="755"/>
      <c r="R196" s="755"/>
      <c r="S196" s="755"/>
      <c r="T196" s="412"/>
    </row>
    <row r="197" spans="2:20" x14ac:dyDescent="0.2">
      <c r="B197" s="412"/>
      <c r="C197" s="420" t="s">
        <v>59</v>
      </c>
      <c r="D197" s="421">
        <v>0</v>
      </c>
      <c r="E197" s="421">
        <v>7.3966799999999999</v>
      </c>
      <c r="F197" s="421">
        <v>0</v>
      </c>
      <c r="G197" s="421">
        <v>0.13025600000000001</v>
      </c>
      <c r="H197" s="422">
        <v>1121.3636363636399</v>
      </c>
      <c r="I197" s="422">
        <v>204.83</v>
      </c>
      <c r="J197" s="422">
        <v>181.32702192976799</v>
      </c>
      <c r="K197" s="422">
        <v>23.929538630329802</v>
      </c>
      <c r="L197" s="421">
        <v>0</v>
      </c>
      <c r="M197" s="421">
        <v>0</v>
      </c>
      <c r="N197" s="422">
        <v>51.218112395264598</v>
      </c>
      <c r="O197" s="422">
        <v>4.1137123082446401</v>
      </c>
      <c r="P197" s="421">
        <v>0</v>
      </c>
      <c r="Q197" s="421">
        <v>0</v>
      </c>
      <c r="R197" s="421">
        <v>0</v>
      </c>
      <c r="S197" s="423">
        <v>1594.30895762724</v>
      </c>
      <c r="T197" s="412"/>
    </row>
    <row r="198" spans="2:20" x14ac:dyDescent="0.2">
      <c r="B198" s="412"/>
      <c r="C198" s="420" t="s">
        <v>60</v>
      </c>
      <c r="D198" s="421">
        <v>35.895169375746498</v>
      </c>
      <c r="E198" s="421">
        <v>524.37115290345105</v>
      </c>
      <c r="F198" s="421">
        <v>114.332913340551</v>
      </c>
      <c r="G198" s="421">
        <v>371.94967802814801</v>
      </c>
      <c r="H198" s="421">
        <v>0</v>
      </c>
      <c r="I198" s="421">
        <v>0</v>
      </c>
      <c r="J198" s="421">
        <v>0</v>
      </c>
      <c r="K198" s="421">
        <v>0</v>
      </c>
      <c r="L198" s="421">
        <v>0</v>
      </c>
      <c r="M198" s="421">
        <v>0</v>
      </c>
      <c r="N198" s="421">
        <v>0</v>
      </c>
      <c r="O198" s="421">
        <v>0</v>
      </c>
      <c r="P198" s="421">
        <v>0</v>
      </c>
      <c r="Q198" s="421">
        <v>0</v>
      </c>
      <c r="R198" s="421">
        <v>0</v>
      </c>
      <c r="S198" s="423">
        <v>1046.5489136479</v>
      </c>
      <c r="T198" s="412"/>
    </row>
    <row r="199" spans="2:20" x14ac:dyDescent="0.2">
      <c r="B199" s="412"/>
      <c r="C199" s="420" t="s">
        <v>61</v>
      </c>
      <c r="D199" s="421">
        <v>0</v>
      </c>
      <c r="E199" s="421">
        <v>0</v>
      </c>
      <c r="F199" s="421">
        <v>0</v>
      </c>
      <c r="G199" s="421">
        <v>0</v>
      </c>
      <c r="H199" s="421">
        <v>0</v>
      </c>
      <c r="I199" s="421">
        <v>0</v>
      </c>
      <c r="J199" s="421">
        <v>0</v>
      </c>
      <c r="K199" s="421">
        <v>0</v>
      </c>
      <c r="L199" s="421">
        <v>0</v>
      </c>
      <c r="M199" s="421">
        <v>0</v>
      </c>
      <c r="N199" s="421">
        <v>0</v>
      </c>
      <c r="O199" s="421">
        <v>0</v>
      </c>
      <c r="P199" s="421">
        <v>-63.764232482267403</v>
      </c>
      <c r="Q199" s="421">
        <v>0</v>
      </c>
      <c r="R199" s="421">
        <v>0</v>
      </c>
      <c r="S199" s="423">
        <v>-63.764232482267403</v>
      </c>
      <c r="T199" s="412"/>
    </row>
    <row r="200" spans="2:20" x14ac:dyDescent="0.2">
      <c r="B200" s="412"/>
      <c r="C200" s="420" t="s">
        <v>62</v>
      </c>
      <c r="D200" s="421">
        <v>0</v>
      </c>
      <c r="E200" s="421">
        <v>0</v>
      </c>
      <c r="F200" s="421">
        <v>-16.3524327500959</v>
      </c>
      <c r="G200" s="421">
        <v>0</v>
      </c>
      <c r="H200" s="421">
        <v>0</v>
      </c>
      <c r="I200" s="421">
        <v>0</v>
      </c>
      <c r="J200" s="421">
        <v>0</v>
      </c>
      <c r="K200" s="421">
        <v>0</v>
      </c>
      <c r="L200" s="421">
        <v>0</v>
      </c>
      <c r="M200" s="421">
        <v>0</v>
      </c>
      <c r="N200" s="421">
        <v>0</v>
      </c>
      <c r="O200" s="421">
        <v>0</v>
      </c>
      <c r="P200" s="421">
        <v>0</v>
      </c>
      <c r="Q200" s="421">
        <v>0</v>
      </c>
      <c r="R200" s="421">
        <v>0</v>
      </c>
      <c r="S200" s="423">
        <v>-16.3524327500959</v>
      </c>
      <c r="T200" s="412"/>
    </row>
    <row r="201" spans="2:20" x14ac:dyDescent="0.2">
      <c r="B201" s="412"/>
      <c r="C201" s="420" t="s">
        <v>63</v>
      </c>
      <c r="D201" s="421">
        <v>0</v>
      </c>
      <c r="E201" s="421">
        <v>0</v>
      </c>
      <c r="F201" s="421">
        <v>-82.072762113811194</v>
      </c>
      <c r="G201" s="421">
        <v>0</v>
      </c>
      <c r="H201" s="421">
        <v>0</v>
      </c>
      <c r="I201" s="421">
        <v>0</v>
      </c>
      <c r="J201" s="421">
        <v>0</v>
      </c>
      <c r="K201" s="421">
        <v>0</v>
      </c>
      <c r="L201" s="421">
        <v>-0.84850040331290999</v>
      </c>
      <c r="M201" s="421">
        <v>0</v>
      </c>
      <c r="N201" s="421">
        <v>0</v>
      </c>
      <c r="O201" s="421">
        <v>0</v>
      </c>
      <c r="P201" s="421">
        <v>0</v>
      </c>
      <c r="Q201" s="421">
        <v>0</v>
      </c>
      <c r="R201" s="421">
        <v>0</v>
      </c>
      <c r="S201" s="423">
        <v>-82.921262517124106</v>
      </c>
      <c r="T201" s="412"/>
    </row>
    <row r="202" spans="2:20" x14ac:dyDescent="0.2">
      <c r="B202" s="412"/>
      <c r="C202" s="420" t="s">
        <v>64</v>
      </c>
      <c r="D202" s="421">
        <v>0</v>
      </c>
      <c r="E202" s="421">
        <v>0</v>
      </c>
      <c r="F202" s="421">
        <v>0</v>
      </c>
      <c r="G202" s="421">
        <v>0</v>
      </c>
      <c r="H202" s="421">
        <v>0</v>
      </c>
      <c r="I202" s="421">
        <v>0</v>
      </c>
      <c r="J202" s="421">
        <v>0</v>
      </c>
      <c r="K202" s="421">
        <v>0</v>
      </c>
      <c r="L202" s="421">
        <v>0</v>
      </c>
      <c r="M202" s="421">
        <v>0</v>
      </c>
      <c r="N202" s="421">
        <v>0</v>
      </c>
      <c r="O202" s="421">
        <v>0</v>
      </c>
      <c r="P202" s="421">
        <v>0</v>
      </c>
      <c r="Q202" s="421">
        <v>0</v>
      </c>
      <c r="R202" s="421">
        <v>0</v>
      </c>
      <c r="S202" s="423">
        <v>0</v>
      </c>
      <c r="T202" s="412"/>
    </row>
    <row r="203" spans="2:20" x14ac:dyDescent="0.2">
      <c r="B203" s="412"/>
      <c r="C203" s="424" t="s">
        <v>65</v>
      </c>
      <c r="D203" s="425">
        <v>35.895169375746498</v>
      </c>
      <c r="E203" s="425">
        <v>531.76783290345099</v>
      </c>
      <c r="F203" s="425">
        <v>15.907718476643501</v>
      </c>
      <c r="G203" s="425">
        <v>372.07993402814799</v>
      </c>
      <c r="H203" s="425">
        <v>1121.3636363636399</v>
      </c>
      <c r="I203" s="425">
        <v>204.83</v>
      </c>
      <c r="J203" s="425">
        <v>181.32702192976799</v>
      </c>
      <c r="K203" s="425">
        <v>23.929538630329802</v>
      </c>
      <c r="L203" s="425">
        <v>-0.84850040331290999</v>
      </c>
      <c r="M203" s="425">
        <v>0</v>
      </c>
      <c r="N203" s="425">
        <v>51.218112395264598</v>
      </c>
      <c r="O203" s="425">
        <v>4.1137123082446401</v>
      </c>
      <c r="P203" s="425">
        <v>-63.764232482267403</v>
      </c>
      <c r="Q203" s="425">
        <v>0</v>
      </c>
      <c r="R203" s="425">
        <v>0</v>
      </c>
      <c r="S203" s="425">
        <v>2477.8199435256502</v>
      </c>
      <c r="T203" s="412"/>
    </row>
    <row r="204" spans="2:20" x14ac:dyDescent="0.2">
      <c r="B204" s="412"/>
      <c r="C204" s="426"/>
      <c r="D204" s="427"/>
      <c r="E204" s="427"/>
      <c r="F204" s="427"/>
      <c r="G204" s="427"/>
      <c r="H204" s="427"/>
      <c r="I204" s="427"/>
      <c r="J204" s="427"/>
      <c r="K204" s="427"/>
      <c r="L204" s="427"/>
      <c r="M204" s="427"/>
      <c r="N204" s="427"/>
      <c r="O204" s="427"/>
      <c r="P204" s="427"/>
      <c r="Q204" s="427"/>
      <c r="R204" s="427"/>
      <c r="S204" s="427"/>
      <c r="T204" s="412"/>
    </row>
    <row r="205" spans="2:20" x14ac:dyDescent="0.2">
      <c r="B205" s="412"/>
      <c r="C205" s="428" t="s">
        <v>67</v>
      </c>
      <c r="D205" s="421">
        <v>0</v>
      </c>
      <c r="E205" s="421">
        <v>0</v>
      </c>
      <c r="F205" s="421">
        <v>0</v>
      </c>
      <c r="G205" s="421">
        <v>0</v>
      </c>
      <c r="H205" s="421">
        <v>0</v>
      </c>
      <c r="I205" s="421">
        <v>0</v>
      </c>
      <c r="J205" s="421">
        <v>0</v>
      </c>
      <c r="K205" s="421">
        <v>0</v>
      </c>
      <c r="L205" s="421">
        <v>0</v>
      </c>
      <c r="M205" s="421">
        <v>0</v>
      </c>
      <c r="N205" s="421">
        <v>0</v>
      </c>
      <c r="O205" s="421">
        <v>0</v>
      </c>
      <c r="P205" s="421">
        <v>0</v>
      </c>
      <c r="Q205" s="421">
        <v>0</v>
      </c>
      <c r="R205" s="421">
        <v>0</v>
      </c>
      <c r="S205" s="429">
        <v>0</v>
      </c>
      <c r="T205" s="412"/>
    </row>
    <row r="206" spans="2:20" x14ac:dyDescent="0.2">
      <c r="B206" s="412"/>
      <c r="C206" s="428" t="s">
        <v>347</v>
      </c>
      <c r="D206" s="421">
        <v>2.2004707355665598</v>
      </c>
      <c r="E206" s="421">
        <v>0</v>
      </c>
      <c r="F206" s="421">
        <v>3.8636363636363602</v>
      </c>
      <c r="G206" s="421">
        <v>19.3842302630087</v>
      </c>
      <c r="H206" s="421">
        <v>1121.3636363636399</v>
      </c>
      <c r="I206" s="421">
        <v>204.83</v>
      </c>
      <c r="J206" s="421">
        <v>25.6968541009532</v>
      </c>
      <c r="K206" s="421">
        <v>6.9082981230435703</v>
      </c>
      <c r="L206" s="421">
        <v>0</v>
      </c>
      <c r="M206" s="421">
        <v>0.39559653597976902</v>
      </c>
      <c r="N206" s="421">
        <v>0</v>
      </c>
      <c r="O206" s="421">
        <v>0</v>
      </c>
      <c r="P206" s="421">
        <v>-598.30725344043606</v>
      </c>
      <c r="Q206" s="421">
        <v>0</v>
      </c>
      <c r="R206" s="421">
        <v>0</v>
      </c>
      <c r="S206" s="429">
        <v>786.335469045389</v>
      </c>
      <c r="T206" s="412"/>
    </row>
    <row r="207" spans="2:20" x14ac:dyDescent="0.2">
      <c r="B207" s="412"/>
      <c r="C207" s="428" t="s">
        <v>348</v>
      </c>
      <c r="D207" s="421">
        <v>0</v>
      </c>
      <c r="E207" s="421">
        <v>0</v>
      </c>
      <c r="F207" s="421">
        <v>0</v>
      </c>
      <c r="G207" s="421">
        <v>17.221606845423</v>
      </c>
      <c r="H207" s="421">
        <v>0</v>
      </c>
      <c r="I207" s="421">
        <v>0</v>
      </c>
      <c r="J207" s="421">
        <v>12.908782164778099</v>
      </c>
      <c r="K207" s="421">
        <v>12.746985757209</v>
      </c>
      <c r="L207" s="421">
        <v>0</v>
      </c>
      <c r="M207" s="421">
        <v>0.351461364192306</v>
      </c>
      <c r="N207" s="421">
        <v>0</v>
      </c>
      <c r="O207" s="421">
        <v>2.2502067182143302</v>
      </c>
      <c r="P207" s="421">
        <v>0</v>
      </c>
      <c r="Q207" s="421">
        <v>-41.107741425574098</v>
      </c>
      <c r="R207" s="421">
        <v>0</v>
      </c>
      <c r="S207" s="429">
        <v>4.3713014242427501</v>
      </c>
      <c r="T207" s="412"/>
    </row>
    <row r="208" spans="2:20" x14ac:dyDescent="0.2">
      <c r="B208" s="412"/>
      <c r="C208" s="428" t="s">
        <v>349</v>
      </c>
      <c r="D208" s="421">
        <v>0</v>
      </c>
      <c r="E208" s="421">
        <v>0</v>
      </c>
      <c r="F208" s="421">
        <v>0</v>
      </c>
      <c r="G208" s="421">
        <v>0</v>
      </c>
      <c r="H208" s="421">
        <v>0</v>
      </c>
      <c r="I208" s="421">
        <v>0</v>
      </c>
      <c r="J208" s="421">
        <v>8.3133555663813503</v>
      </c>
      <c r="K208" s="421">
        <v>0</v>
      </c>
      <c r="L208" s="421">
        <v>0</v>
      </c>
      <c r="M208" s="421">
        <v>-7.3386146262231398</v>
      </c>
      <c r="N208" s="421">
        <v>0</v>
      </c>
      <c r="O208" s="421">
        <v>0</v>
      </c>
      <c r="P208" s="421">
        <v>0</v>
      </c>
      <c r="Q208" s="421">
        <v>0</v>
      </c>
      <c r="R208" s="421">
        <v>0</v>
      </c>
      <c r="S208" s="429">
        <v>0.974740940158213</v>
      </c>
      <c r="T208" s="412"/>
    </row>
    <row r="209" spans="2:20" x14ac:dyDescent="0.2">
      <c r="B209" s="412"/>
      <c r="C209" s="428" t="s">
        <v>350</v>
      </c>
      <c r="D209" s="421">
        <v>0</v>
      </c>
      <c r="E209" s="421">
        <v>0</v>
      </c>
      <c r="F209" s="421">
        <v>0</v>
      </c>
      <c r="G209" s="421">
        <v>0</v>
      </c>
      <c r="H209" s="421">
        <v>0</v>
      </c>
      <c r="I209" s="421">
        <v>0</v>
      </c>
      <c r="J209" s="421">
        <v>0</v>
      </c>
      <c r="K209" s="421">
        <v>0</v>
      </c>
      <c r="L209" s="421">
        <v>0</v>
      </c>
      <c r="M209" s="421">
        <v>0</v>
      </c>
      <c r="N209" s="421">
        <v>0</v>
      </c>
      <c r="O209" s="421">
        <v>0</v>
      </c>
      <c r="P209" s="421">
        <v>0</v>
      </c>
      <c r="Q209" s="421">
        <v>0</v>
      </c>
      <c r="R209" s="421">
        <v>0</v>
      </c>
      <c r="S209" s="429">
        <v>0</v>
      </c>
      <c r="T209" s="412"/>
    </row>
    <row r="210" spans="2:20" x14ac:dyDescent="0.2">
      <c r="B210" s="412"/>
      <c r="C210" s="428" t="s">
        <v>72</v>
      </c>
      <c r="D210" s="421">
        <v>0</v>
      </c>
      <c r="E210" s="421">
        <v>550.85495716936998</v>
      </c>
      <c r="F210" s="421">
        <v>-545.34640759767603</v>
      </c>
      <c r="G210" s="421">
        <v>0</v>
      </c>
      <c r="H210" s="421">
        <v>0</v>
      </c>
      <c r="I210" s="421">
        <v>0</v>
      </c>
      <c r="J210" s="421">
        <v>0</v>
      </c>
      <c r="K210" s="421">
        <v>0</v>
      </c>
      <c r="L210" s="421">
        <v>0</v>
      </c>
      <c r="M210" s="421">
        <v>0</v>
      </c>
      <c r="N210" s="421">
        <v>0</v>
      </c>
      <c r="O210" s="421">
        <v>0</v>
      </c>
      <c r="P210" s="421">
        <v>0</v>
      </c>
      <c r="Q210" s="421">
        <v>0</v>
      </c>
      <c r="R210" s="421">
        <v>0</v>
      </c>
      <c r="S210" s="429">
        <v>5.5085495716937203</v>
      </c>
      <c r="T210" s="412"/>
    </row>
    <row r="211" spans="2:20" x14ac:dyDescent="0.2">
      <c r="B211" s="412"/>
      <c r="C211" s="428" t="s">
        <v>351</v>
      </c>
      <c r="D211" s="421">
        <v>0</v>
      </c>
      <c r="E211" s="421">
        <v>0</v>
      </c>
      <c r="F211" s="421">
        <v>0</v>
      </c>
      <c r="G211" s="421">
        <v>0</v>
      </c>
      <c r="H211" s="421">
        <v>0</v>
      </c>
      <c r="I211" s="421">
        <v>0</v>
      </c>
      <c r="J211" s="421">
        <v>39.093854884301599</v>
      </c>
      <c r="K211" s="421">
        <v>0</v>
      </c>
      <c r="L211" s="421">
        <v>-39.093854884301599</v>
      </c>
      <c r="M211" s="421">
        <v>0</v>
      </c>
      <c r="N211" s="421">
        <v>0</v>
      </c>
      <c r="O211" s="421">
        <v>0</v>
      </c>
      <c r="P211" s="421">
        <v>0</v>
      </c>
      <c r="Q211" s="421">
        <v>0</v>
      </c>
      <c r="R211" s="421">
        <v>0</v>
      </c>
      <c r="S211" s="429">
        <v>0</v>
      </c>
      <c r="T211" s="412"/>
    </row>
    <row r="212" spans="2:20" x14ac:dyDescent="0.2">
      <c r="B212" s="412"/>
      <c r="C212" s="428" t="s">
        <v>352</v>
      </c>
      <c r="D212" s="421">
        <v>0</v>
      </c>
      <c r="E212" s="421">
        <v>0</v>
      </c>
      <c r="F212" s="421">
        <v>0</v>
      </c>
      <c r="G212" s="421">
        <v>0</v>
      </c>
      <c r="H212" s="421">
        <v>0</v>
      </c>
      <c r="I212" s="421">
        <v>0</v>
      </c>
      <c r="J212" s="421">
        <v>0</v>
      </c>
      <c r="K212" s="421">
        <v>0</v>
      </c>
      <c r="L212" s="421">
        <v>-0.17691580225894701</v>
      </c>
      <c r="M212" s="421">
        <v>0</v>
      </c>
      <c r="N212" s="421">
        <v>0</v>
      </c>
      <c r="O212" s="421">
        <v>0</v>
      </c>
      <c r="P212" s="421">
        <v>0</v>
      </c>
      <c r="Q212" s="421">
        <v>0</v>
      </c>
      <c r="R212" s="421">
        <v>0.25273686036992499</v>
      </c>
      <c r="S212" s="429">
        <v>7.5821058110977502E-2</v>
      </c>
      <c r="T212" s="412"/>
    </row>
    <row r="213" spans="2:20" x14ac:dyDescent="0.2">
      <c r="B213" s="412"/>
      <c r="C213" s="428" t="s">
        <v>73</v>
      </c>
      <c r="D213" s="421">
        <v>0</v>
      </c>
      <c r="E213" s="421">
        <v>0</v>
      </c>
      <c r="F213" s="421">
        <v>0</v>
      </c>
      <c r="G213" s="421">
        <v>1.8824761736884601</v>
      </c>
      <c r="H213" s="421">
        <v>0</v>
      </c>
      <c r="I213" s="421">
        <v>0</v>
      </c>
      <c r="J213" s="421">
        <v>0</v>
      </c>
      <c r="K213" s="421">
        <v>2.1248828039647599E-2</v>
      </c>
      <c r="L213" s="421">
        <v>0</v>
      </c>
      <c r="M213" s="421">
        <v>3.8417881095682803E-2</v>
      </c>
      <c r="N213" s="421">
        <v>0</v>
      </c>
      <c r="O213" s="421">
        <v>0</v>
      </c>
      <c r="P213" s="421">
        <v>0.19366834943024799</v>
      </c>
      <c r="Q213" s="421">
        <v>0</v>
      </c>
      <c r="R213" s="421">
        <v>-1.4874179627753299</v>
      </c>
      <c r="S213" s="429">
        <v>0.64839326947870701</v>
      </c>
      <c r="T213" s="412"/>
    </row>
    <row r="214" spans="2:20" x14ac:dyDescent="0.2">
      <c r="B214" s="412"/>
      <c r="C214" s="428" t="s">
        <v>353</v>
      </c>
      <c r="D214" s="421">
        <v>15.374535156249999</v>
      </c>
      <c r="E214" s="421">
        <v>-19.0871242659187</v>
      </c>
      <c r="F214" s="421">
        <v>24.964831154950399</v>
      </c>
      <c r="G214" s="421">
        <v>0</v>
      </c>
      <c r="H214" s="421">
        <v>0</v>
      </c>
      <c r="I214" s="421">
        <v>0</v>
      </c>
      <c r="J214" s="421">
        <v>0</v>
      </c>
      <c r="K214" s="421">
        <v>0</v>
      </c>
      <c r="L214" s="421">
        <v>0</v>
      </c>
      <c r="M214" s="421">
        <v>0</v>
      </c>
      <c r="N214" s="421">
        <v>0</v>
      </c>
      <c r="O214" s="421">
        <v>0</v>
      </c>
      <c r="P214" s="421">
        <v>0</v>
      </c>
      <c r="Q214" s="421">
        <v>0</v>
      </c>
      <c r="R214" s="421">
        <v>0</v>
      </c>
      <c r="S214" s="429">
        <v>21.252242045281701</v>
      </c>
      <c r="T214" s="412"/>
    </row>
    <row r="215" spans="2:20" x14ac:dyDescent="0.2">
      <c r="B215" s="412"/>
      <c r="C215" s="428" t="s">
        <v>75</v>
      </c>
      <c r="D215" s="421">
        <v>10.0084814453125</v>
      </c>
      <c r="E215" s="421">
        <v>0</v>
      </c>
      <c r="F215" s="421">
        <v>18.729068543758601</v>
      </c>
      <c r="G215" s="421">
        <v>5.3443947944572301</v>
      </c>
      <c r="H215" s="421">
        <v>0</v>
      </c>
      <c r="I215" s="421">
        <v>0</v>
      </c>
      <c r="J215" s="421">
        <v>0</v>
      </c>
      <c r="K215" s="421">
        <v>0</v>
      </c>
      <c r="L215" s="421">
        <v>0</v>
      </c>
      <c r="M215" s="421">
        <v>0.109069281519535</v>
      </c>
      <c r="N215" s="421">
        <v>0</v>
      </c>
      <c r="O215" s="421">
        <v>0</v>
      </c>
      <c r="P215" s="421">
        <v>34.584089944749103</v>
      </c>
      <c r="Q215" s="421">
        <v>0</v>
      </c>
      <c r="R215" s="421">
        <v>0</v>
      </c>
      <c r="S215" s="429">
        <v>68.775104009796905</v>
      </c>
      <c r="T215" s="412"/>
    </row>
    <row r="216" spans="2:20" x14ac:dyDescent="0.2">
      <c r="B216" s="412"/>
      <c r="C216" s="428" t="s">
        <v>76</v>
      </c>
      <c r="D216" s="421">
        <v>0</v>
      </c>
      <c r="E216" s="421">
        <v>0</v>
      </c>
      <c r="F216" s="421">
        <v>0</v>
      </c>
      <c r="G216" s="421">
        <v>4.2639381425091001</v>
      </c>
      <c r="H216" s="421">
        <v>0</v>
      </c>
      <c r="I216" s="421">
        <v>0</v>
      </c>
      <c r="J216" s="421">
        <v>0</v>
      </c>
      <c r="K216" s="421">
        <v>0</v>
      </c>
      <c r="L216" s="421">
        <v>0</v>
      </c>
      <c r="M216" s="421">
        <v>8.7019145765491801E-2</v>
      </c>
      <c r="N216" s="421">
        <v>0</v>
      </c>
      <c r="O216" s="421">
        <v>0</v>
      </c>
      <c r="P216" s="421">
        <v>40.966824320893799</v>
      </c>
      <c r="Q216" s="421">
        <v>3.1854707377751099</v>
      </c>
      <c r="R216" s="421">
        <v>0</v>
      </c>
      <c r="S216" s="429">
        <v>48.503252346943498</v>
      </c>
      <c r="T216" s="412"/>
    </row>
    <row r="217" spans="2:20" x14ac:dyDescent="0.2">
      <c r="B217" s="412"/>
      <c r="C217" s="424" t="s">
        <v>77</v>
      </c>
      <c r="D217" s="425">
        <v>27.5834873371291</v>
      </c>
      <c r="E217" s="425">
        <v>531.76783290345099</v>
      </c>
      <c r="F217" s="425">
        <v>-497.788871535331</v>
      </c>
      <c r="G217" s="425">
        <v>48.096646219086502</v>
      </c>
      <c r="H217" s="425">
        <v>1121.3636363636399</v>
      </c>
      <c r="I217" s="425">
        <v>204.83</v>
      </c>
      <c r="J217" s="425">
        <v>86.012846716414401</v>
      </c>
      <c r="K217" s="425">
        <v>19.676532708292299</v>
      </c>
      <c r="L217" s="425">
        <v>-39.270770686560603</v>
      </c>
      <c r="M217" s="425">
        <v>-6.3570504176703597</v>
      </c>
      <c r="N217" s="425">
        <v>0</v>
      </c>
      <c r="O217" s="425">
        <v>2.2502067182143302</v>
      </c>
      <c r="P217" s="425">
        <v>-522.56267082536306</v>
      </c>
      <c r="Q217" s="425">
        <v>-37.9222706877989</v>
      </c>
      <c r="R217" s="425">
        <v>-1.2346811024054101</v>
      </c>
      <c r="S217" s="425">
        <v>936.44487371109506</v>
      </c>
      <c r="T217" s="412"/>
    </row>
    <row r="218" spans="2:20" x14ac:dyDescent="0.2">
      <c r="B218" s="412"/>
      <c r="C218" s="426"/>
      <c r="D218" s="427"/>
      <c r="E218" s="427"/>
      <c r="F218" s="427"/>
      <c r="G218" s="427"/>
      <c r="H218" s="427"/>
      <c r="I218" s="427"/>
      <c r="J218" s="427"/>
      <c r="K218" s="427"/>
      <c r="L218" s="427"/>
      <c r="M218" s="427"/>
      <c r="N218" s="427"/>
      <c r="O218" s="427"/>
      <c r="P218" s="427"/>
      <c r="Q218" s="427"/>
      <c r="R218" s="427"/>
      <c r="S218" s="427"/>
      <c r="T218" s="412"/>
    </row>
    <row r="219" spans="2:20" x14ac:dyDescent="0.2">
      <c r="B219" s="412"/>
      <c r="C219" s="428" t="s">
        <v>78</v>
      </c>
      <c r="D219" s="421">
        <v>6.0139144604924599</v>
      </c>
      <c r="E219" s="421">
        <v>0</v>
      </c>
      <c r="F219" s="421">
        <v>23.633642469065599</v>
      </c>
      <c r="G219" s="421">
        <v>102.391084630545</v>
      </c>
      <c r="H219" s="421">
        <v>0</v>
      </c>
      <c r="I219" s="421">
        <v>0</v>
      </c>
      <c r="J219" s="421">
        <v>17.159172144595999</v>
      </c>
      <c r="K219" s="421">
        <v>4.25300592203756</v>
      </c>
      <c r="L219" s="421">
        <v>0.85978953515625001</v>
      </c>
      <c r="M219" s="421">
        <v>2.08961397205193</v>
      </c>
      <c r="N219" s="421">
        <v>0</v>
      </c>
      <c r="O219" s="421">
        <v>0</v>
      </c>
      <c r="P219" s="421">
        <v>105.422390190743</v>
      </c>
      <c r="Q219" s="421">
        <v>17.9038299201341</v>
      </c>
      <c r="R219" s="421">
        <v>0.246216918945312</v>
      </c>
      <c r="S219" s="429">
        <v>279.97266016376699</v>
      </c>
      <c r="T219" s="412"/>
    </row>
    <row r="220" spans="2:20" x14ac:dyDescent="0.2">
      <c r="B220" s="412"/>
      <c r="C220" s="428" t="s">
        <v>79</v>
      </c>
      <c r="D220" s="421">
        <v>0</v>
      </c>
      <c r="E220" s="421">
        <v>0</v>
      </c>
      <c r="F220" s="421">
        <v>291.75543836647398</v>
      </c>
      <c r="G220" s="421">
        <v>20.535297042062101</v>
      </c>
      <c r="H220" s="421">
        <v>0</v>
      </c>
      <c r="I220" s="421">
        <v>0</v>
      </c>
      <c r="J220" s="421">
        <v>0</v>
      </c>
      <c r="K220" s="421">
        <v>0</v>
      </c>
      <c r="L220" s="421">
        <v>29.571406958369401</v>
      </c>
      <c r="M220" s="421">
        <v>0.41908769473596202</v>
      </c>
      <c r="N220" s="421">
        <v>0</v>
      </c>
      <c r="O220" s="421">
        <v>0</v>
      </c>
      <c r="P220" s="421">
        <v>38.026089769837199</v>
      </c>
      <c r="Q220" s="421">
        <v>0</v>
      </c>
      <c r="R220" s="421">
        <v>0.81131136729798503</v>
      </c>
      <c r="S220" s="429">
        <v>381.118631198777</v>
      </c>
      <c r="T220" s="412"/>
    </row>
    <row r="221" spans="2:20" x14ac:dyDescent="0.2">
      <c r="B221" s="412"/>
      <c r="C221" s="428" t="s">
        <v>80</v>
      </c>
      <c r="D221" s="421">
        <v>0</v>
      </c>
      <c r="E221" s="421">
        <v>0</v>
      </c>
      <c r="F221" s="421">
        <v>27.220999009721101</v>
      </c>
      <c r="G221" s="421">
        <v>120.03161923866701</v>
      </c>
      <c r="H221" s="421">
        <v>0</v>
      </c>
      <c r="I221" s="421">
        <v>0</v>
      </c>
      <c r="J221" s="421">
        <v>73.643008497672298</v>
      </c>
      <c r="K221" s="421">
        <v>0</v>
      </c>
      <c r="L221" s="421">
        <v>0</v>
      </c>
      <c r="M221" s="421">
        <v>2.4496248824217699</v>
      </c>
      <c r="N221" s="421">
        <v>44.3894996556715</v>
      </c>
      <c r="O221" s="421">
        <v>0.96187754856444097</v>
      </c>
      <c r="P221" s="421">
        <v>174.81659309154401</v>
      </c>
      <c r="Q221" s="421">
        <v>15.741799933741699</v>
      </c>
      <c r="R221" s="421">
        <v>0</v>
      </c>
      <c r="S221" s="429">
        <v>459.255021858004</v>
      </c>
      <c r="T221" s="412"/>
    </row>
    <row r="222" spans="2:20" x14ac:dyDescent="0.2">
      <c r="B222" s="412"/>
      <c r="C222" s="428" t="s">
        <v>81</v>
      </c>
      <c r="D222" s="421">
        <v>0</v>
      </c>
      <c r="E222" s="421">
        <v>0</v>
      </c>
      <c r="F222" s="421">
        <v>11.206782837990801</v>
      </c>
      <c r="G222" s="421">
        <v>64.507568852564205</v>
      </c>
      <c r="H222" s="421">
        <v>0</v>
      </c>
      <c r="I222" s="421">
        <v>0</v>
      </c>
      <c r="J222" s="421">
        <v>3.55454723390908</v>
      </c>
      <c r="K222" s="421">
        <v>0</v>
      </c>
      <c r="L222" s="421">
        <v>0</v>
      </c>
      <c r="M222" s="421">
        <v>1.31648099699111</v>
      </c>
      <c r="N222" s="421">
        <v>6.82861273959311</v>
      </c>
      <c r="O222" s="421">
        <v>0.82092458334028295</v>
      </c>
      <c r="P222" s="421">
        <v>132.49225631372801</v>
      </c>
      <c r="Q222" s="421">
        <v>4.2766408339232003</v>
      </c>
      <c r="R222" s="421">
        <v>0</v>
      </c>
      <c r="S222" s="429">
        <v>225.00381439204</v>
      </c>
      <c r="T222" s="412"/>
    </row>
    <row r="223" spans="2:20" x14ac:dyDescent="0.2">
      <c r="B223" s="412"/>
      <c r="C223" s="428" t="s">
        <v>82</v>
      </c>
      <c r="D223" s="421">
        <v>0</v>
      </c>
      <c r="E223" s="421">
        <v>0</v>
      </c>
      <c r="F223" s="421">
        <v>21.8797075546779</v>
      </c>
      <c r="G223" s="421">
        <v>4.0299007020097699</v>
      </c>
      <c r="H223" s="421">
        <v>0</v>
      </c>
      <c r="I223" s="421">
        <v>0</v>
      </c>
      <c r="J223" s="421">
        <v>0.95744733717577402</v>
      </c>
      <c r="K223" s="421">
        <v>0</v>
      </c>
      <c r="L223" s="421">
        <v>7.9910737897220097</v>
      </c>
      <c r="M223" s="421">
        <v>8.2242871469587198E-2</v>
      </c>
      <c r="N223" s="421">
        <v>0</v>
      </c>
      <c r="O223" s="421">
        <v>8.0703458125589503E-2</v>
      </c>
      <c r="P223" s="421">
        <v>8.0411089772434305</v>
      </c>
      <c r="Q223" s="421">
        <v>0</v>
      </c>
      <c r="R223" s="421">
        <v>0</v>
      </c>
      <c r="S223" s="429">
        <v>43.062184690423997</v>
      </c>
      <c r="T223" s="412"/>
    </row>
    <row r="224" spans="2:20" x14ac:dyDescent="0.2">
      <c r="B224" s="412"/>
      <c r="C224" s="428" t="s">
        <v>354</v>
      </c>
      <c r="D224" s="421">
        <v>0</v>
      </c>
      <c r="E224" s="421">
        <v>0</v>
      </c>
      <c r="F224" s="421">
        <v>0</v>
      </c>
      <c r="G224" s="421">
        <v>0</v>
      </c>
      <c r="H224" s="421">
        <v>0</v>
      </c>
      <c r="I224" s="421">
        <v>0</v>
      </c>
      <c r="J224" s="421">
        <v>0</v>
      </c>
      <c r="K224" s="421">
        <v>0</v>
      </c>
      <c r="L224" s="421">
        <v>0</v>
      </c>
      <c r="M224" s="421">
        <v>0</v>
      </c>
      <c r="N224" s="421">
        <v>0</v>
      </c>
      <c r="O224" s="421">
        <v>0</v>
      </c>
      <c r="P224" s="421">
        <v>0</v>
      </c>
      <c r="Q224" s="421">
        <v>0</v>
      </c>
      <c r="R224" s="421">
        <v>0</v>
      </c>
      <c r="S224" s="429">
        <v>0</v>
      </c>
      <c r="T224" s="412"/>
    </row>
    <row r="225" spans="2:20" x14ac:dyDescent="0.2">
      <c r="B225" s="412"/>
      <c r="C225" s="424" t="s">
        <v>83</v>
      </c>
      <c r="D225" s="425">
        <v>6.0139144604924599</v>
      </c>
      <c r="E225" s="425">
        <v>0</v>
      </c>
      <c r="F225" s="425">
        <v>375.696570237929</v>
      </c>
      <c r="G225" s="425">
        <v>311.49547046584701</v>
      </c>
      <c r="H225" s="425">
        <v>0</v>
      </c>
      <c r="I225" s="425">
        <v>0</v>
      </c>
      <c r="J225" s="425">
        <v>95.314175213353096</v>
      </c>
      <c r="K225" s="425">
        <v>4.25300592203756</v>
      </c>
      <c r="L225" s="425">
        <v>38.422270283247698</v>
      </c>
      <c r="M225" s="425">
        <v>6.3570504176703597</v>
      </c>
      <c r="N225" s="425">
        <v>51.218112395264598</v>
      </c>
      <c r="O225" s="425">
        <v>1.8635055900303099</v>
      </c>
      <c r="P225" s="425">
        <v>458.798438343096</v>
      </c>
      <c r="Q225" s="425">
        <v>37.9222706877989</v>
      </c>
      <c r="R225" s="425">
        <v>1.0575282862433</v>
      </c>
      <c r="S225" s="425">
        <v>1388.4123123030099</v>
      </c>
      <c r="T225" s="412"/>
    </row>
    <row r="226" spans="2:20" x14ac:dyDescent="0.2">
      <c r="B226" s="412"/>
      <c r="C226" s="420" t="s">
        <v>84</v>
      </c>
      <c r="D226" s="421">
        <v>2.2977675781250002</v>
      </c>
      <c r="E226" s="421">
        <v>0</v>
      </c>
      <c r="F226" s="421">
        <v>138.000019774045</v>
      </c>
      <c r="G226" s="421">
        <v>12.487817343213999</v>
      </c>
      <c r="H226" s="421">
        <v>0</v>
      </c>
      <c r="I226" s="421">
        <v>0</v>
      </c>
      <c r="J226" s="421">
        <v>0</v>
      </c>
      <c r="K226" s="421">
        <v>0</v>
      </c>
      <c r="L226" s="421">
        <v>0</v>
      </c>
      <c r="M226" s="421">
        <v>0</v>
      </c>
      <c r="N226" s="421">
        <v>0</v>
      </c>
      <c r="O226" s="421">
        <v>0</v>
      </c>
      <c r="P226" s="421">
        <v>0</v>
      </c>
      <c r="Q226" s="421">
        <v>0</v>
      </c>
      <c r="R226" s="421">
        <v>0.17715281616210901</v>
      </c>
      <c r="S226" s="429">
        <v>152.96275751154599</v>
      </c>
      <c r="T226" s="412"/>
    </row>
    <row r="227" spans="2:20" x14ac:dyDescent="0.2">
      <c r="B227" s="412"/>
      <c r="C227" s="424" t="s">
        <v>85</v>
      </c>
      <c r="D227" s="425">
        <v>8.3116820386174606</v>
      </c>
      <c r="E227" s="425">
        <v>0</v>
      </c>
      <c r="F227" s="425">
        <v>513.69659001197397</v>
      </c>
      <c r="G227" s="425">
        <v>323.98328780906098</v>
      </c>
      <c r="H227" s="425">
        <v>0</v>
      </c>
      <c r="I227" s="425">
        <v>0</v>
      </c>
      <c r="J227" s="425">
        <v>95.314175213353195</v>
      </c>
      <c r="K227" s="425">
        <v>4.25300592203756</v>
      </c>
      <c r="L227" s="425">
        <v>38.422270283247698</v>
      </c>
      <c r="M227" s="425">
        <v>6.3570504176703597</v>
      </c>
      <c r="N227" s="425">
        <v>51.218112395264598</v>
      </c>
      <c r="O227" s="425">
        <v>1.8635055900303099</v>
      </c>
      <c r="P227" s="425">
        <v>458.798438343096</v>
      </c>
      <c r="Q227" s="425">
        <v>37.9222706877989</v>
      </c>
      <c r="R227" s="425">
        <v>1.2346811024054101</v>
      </c>
      <c r="S227" s="425">
        <v>1541.37506981456</v>
      </c>
      <c r="T227" s="412"/>
    </row>
    <row r="228" spans="2:20" x14ac:dyDescent="0.2">
      <c r="B228" s="412"/>
      <c r="C228" s="412"/>
      <c r="D228" s="430">
        <f t="shared" ref="D228:S228" si="13">D227+D217-D203</f>
        <v>6.3948846218409017E-14</v>
      </c>
      <c r="E228" s="430">
        <f t="shared" si="13"/>
        <v>0</v>
      </c>
      <c r="F228" s="430">
        <f t="shared" si="13"/>
        <v>-5.3113069498067489E-13</v>
      </c>
      <c r="G228" s="430">
        <f t="shared" si="13"/>
        <v>-5.1159076974727213E-13</v>
      </c>
      <c r="H228" s="430">
        <f t="shared" si="13"/>
        <v>0</v>
      </c>
      <c r="I228" s="430">
        <f t="shared" si="13"/>
        <v>0</v>
      </c>
      <c r="J228" s="430">
        <f t="shared" si="13"/>
        <v>-3.979039320256561E-13</v>
      </c>
      <c r="K228" s="430">
        <f t="shared" si="13"/>
        <v>5.6843418860808015E-14</v>
      </c>
      <c r="L228" s="430">
        <f t="shared" si="13"/>
        <v>5.5511151231257827E-15</v>
      </c>
      <c r="M228" s="430">
        <f t="shared" si="13"/>
        <v>0</v>
      </c>
      <c r="N228" s="430">
        <f t="shared" si="13"/>
        <v>0</v>
      </c>
      <c r="O228" s="430">
        <f t="shared" si="13"/>
        <v>0</v>
      </c>
      <c r="P228" s="430">
        <f t="shared" si="13"/>
        <v>3.4106051316484809E-13</v>
      </c>
      <c r="Q228" s="430">
        <f t="shared" si="13"/>
        <v>0</v>
      </c>
      <c r="R228" s="430">
        <f t="shared" si="13"/>
        <v>0</v>
      </c>
      <c r="S228" s="430">
        <f t="shared" si="13"/>
        <v>5.0022208597511053E-12</v>
      </c>
      <c r="T228" s="412"/>
    </row>
    <row r="229" spans="2:20" x14ac:dyDescent="0.2">
      <c r="B229" s="412"/>
      <c r="C229" s="412"/>
      <c r="D229" s="412"/>
      <c r="E229" s="412"/>
      <c r="F229" s="412"/>
      <c r="G229" s="412"/>
      <c r="H229" s="412"/>
      <c r="I229" s="412"/>
      <c r="J229" s="412"/>
      <c r="K229" s="412"/>
      <c r="L229" s="412"/>
      <c r="M229" s="412"/>
      <c r="N229" s="412"/>
      <c r="O229" s="412"/>
      <c r="P229" s="412"/>
      <c r="Q229" s="412"/>
      <c r="R229" s="412"/>
      <c r="S229" s="412"/>
      <c r="T229" s="412"/>
    </row>
    <row r="230" spans="2:20" ht="14.25" x14ac:dyDescent="0.2">
      <c r="B230" s="416"/>
      <c r="C230" s="417" t="s">
        <v>358</v>
      </c>
      <c r="D230" s="416"/>
      <c r="E230" s="416"/>
      <c r="F230" s="416"/>
      <c r="G230" s="416"/>
      <c r="H230" s="416"/>
      <c r="I230" s="416"/>
      <c r="J230" s="416"/>
      <c r="K230" s="416"/>
      <c r="L230" s="416"/>
      <c r="M230" s="416"/>
      <c r="N230" s="416"/>
      <c r="O230" s="416"/>
      <c r="P230" s="416"/>
      <c r="Q230" s="416"/>
      <c r="R230" s="416"/>
      <c r="S230" s="416"/>
      <c r="T230" s="416"/>
    </row>
    <row r="231" spans="2:20" x14ac:dyDescent="0.2">
      <c r="B231" s="412"/>
      <c r="C231" s="412"/>
      <c r="D231" s="412"/>
      <c r="E231" s="412"/>
      <c r="F231" s="412"/>
      <c r="G231" s="412"/>
      <c r="H231" s="412"/>
      <c r="I231" s="412"/>
      <c r="J231" s="412"/>
      <c r="K231" s="412"/>
      <c r="L231" s="412"/>
      <c r="M231" s="412"/>
      <c r="N231" s="412"/>
      <c r="O231" s="412"/>
      <c r="P231" s="412"/>
      <c r="Q231" s="412"/>
      <c r="R231" s="412"/>
      <c r="S231" s="412"/>
      <c r="T231" s="412"/>
    </row>
    <row r="232" spans="2:20" ht="13.5" customHeight="1" x14ac:dyDescent="0.2">
      <c r="B232" s="412"/>
      <c r="C232" s="756" t="s">
        <v>128</v>
      </c>
      <c r="D232" s="755" t="s">
        <v>42</v>
      </c>
      <c r="E232" s="755" t="s">
        <v>52</v>
      </c>
      <c r="F232" s="755" t="s">
        <v>53</v>
      </c>
      <c r="G232" s="755" t="s">
        <v>32</v>
      </c>
      <c r="H232" s="755" t="s">
        <v>20</v>
      </c>
      <c r="I232" s="755" t="s">
        <v>55</v>
      </c>
      <c r="J232" s="755" t="s">
        <v>56</v>
      </c>
      <c r="K232" s="755"/>
      <c r="L232" s="755"/>
      <c r="M232" s="755"/>
      <c r="N232" s="755"/>
      <c r="O232" s="755"/>
      <c r="P232" s="755" t="s">
        <v>57</v>
      </c>
      <c r="Q232" s="755" t="s">
        <v>58</v>
      </c>
      <c r="R232" s="755" t="s">
        <v>31</v>
      </c>
      <c r="S232" s="755" t="s">
        <v>10</v>
      </c>
      <c r="T232" s="412"/>
    </row>
    <row r="233" spans="2:20" ht="56.25" x14ac:dyDescent="0.2">
      <c r="B233" s="412"/>
      <c r="C233" s="756"/>
      <c r="D233" s="755"/>
      <c r="E233" s="755"/>
      <c r="F233" s="755"/>
      <c r="G233" s="755"/>
      <c r="H233" s="755"/>
      <c r="I233" s="755"/>
      <c r="J233" s="418" t="s">
        <v>335</v>
      </c>
      <c r="K233" s="418" t="s">
        <v>40</v>
      </c>
      <c r="L233" s="418" t="s">
        <v>343</v>
      </c>
      <c r="M233" s="418" t="s">
        <v>344</v>
      </c>
      <c r="N233" s="419" t="s">
        <v>345</v>
      </c>
      <c r="O233" s="418" t="s">
        <v>346</v>
      </c>
      <c r="P233" s="755"/>
      <c r="Q233" s="755"/>
      <c r="R233" s="755"/>
      <c r="S233" s="755"/>
      <c r="T233" s="412"/>
    </row>
    <row r="234" spans="2:20" x14ac:dyDescent="0.2">
      <c r="B234" s="412"/>
      <c r="C234" s="420" t="s">
        <v>59</v>
      </c>
      <c r="D234" s="421">
        <v>0</v>
      </c>
      <c r="E234" s="421">
        <v>5.8150000000000004</v>
      </c>
      <c r="F234" s="421">
        <v>0</v>
      </c>
      <c r="G234" s="421">
        <v>9.3039999999999998E-2</v>
      </c>
      <c r="H234" s="422">
        <v>1075</v>
      </c>
      <c r="I234" s="422">
        <v>221.33</v>
      </c>
      <c r="J234" s="422">
        <v>180.617309805269</v>
      </c>
      <c r="K234" s="422">
        <v>23.667602138393399</v>
      </c>
      <c r="L234" s="421">
        <v>0</v>
      </c>
      <c r="M234" s="421">
        <v>0</v>
      </c>
      <c r="N234" s="422">
        <v>53.883302871721199</v>
      </c>
      <c r="O234" s="422">
        <v>4.0937306138358602</v>
      </c>
      <c r="P234" s="421">
        <v>0</v>
      </c>
      <c r="Q234" s="421">
        <v>0</v>
      </c>
      <c r="R234" s="421">
        <v>0</v>
      </c>
      <c r="S234" s="423">
        <v>1564.49998542922</v>
      </c>
      <c r="T234" s="412"/>
    </row>
    <row r="235" spans="2:20" x14ac:dyDescent="0.2">
      <c r="B235" s="412"/>
      <c r="C235" s="420" t="s">
        <v>60</v>
      </c>
      <c r="D235" s="421">
        <v>34.929201732774303</v>
      </c>
      <c r="E235" s="421">
        <v>518.07410535010399</v>
      </c>
      <c r="F235" s="421">
        <v>94.899650530247001</v>
      </c>
      <c r="G235" s="421">
        <v>372.90309898365098</v>
      </c>
      <c r="H235" s="421">
        <v>0</v>
      </c>
      <c r="I235" s="421">
        <v>0</v>
      </c>
      <c r="J235" s="421">
        <v>0</v>
      </c>
      <c r="K235" s="421">
        <v>0</v>
      </c>
      <c r="L235" s="421">
        <v>0</v>
      </c>
      <c r="M235" s="421">
        <v>0</v>
      </c>
      <c r="N235" s="421">
        <v>0</v>
      </c>
      <c r="O235" s="421">
        <v>0</v>
      </c>
      <c r="P235" s="421">
        <v>0</v>
      </c>
      <c r="Q235" s="421">
        <v>0</v>
      </c>
      <c r="R235" s="421">
        <v>0</v>
      </c>
      <c r="S235" s="423">
        <v>1020.80605659678</v>
      </c>
      <c r="T235" s="412"/>
    </row>
    <row r="236" spans="2:20" x14ac:dyDescent="0.2">
      <c r="B236" s="412"/>
      <c r="C236" s="420" t="s">
        <v>61</v>
      </c>
      <c r="D236" s="421">
        <v>0</v>
      </c>
      <c r="E236" s="421">
        <v>0</v>
      </c>
      <c r="F236" s="421">
        <v>0</v>
      </c>
      <c r="G236" s="421">
        <v>0</v>
      </c>
      <c r="H236" s="421">
        <v>0</v>
      </c>
      <c r="I236" s="421">
        <v>0</v>
      </c>
      <c r="J236" s="421">
        <v>0</v>
      </c>
      <c r="K236" s="421">
        <v>0</v>
      </c>
      <c r="L236" s="421">
        <v>0</v>
      </c>
      <c r="M236" s="421">
        <v>0</v>
      </c>
      <c r="N236" s="421">
        <v>0</v>
      </c>
      <c r="O236" s="421">
        <v>0</v>
      </c>
      <c r="P236" s="421">
        <v>-54.0995610292184</v>
      </c>
      <c r="Q236" s="421">
        <v>0</v>
      </c>
      <c r="R236" s="421">
        <v>0</v>
      </c>
      <c r="S236" s="423">
        <v>-54.0995610292184</v>
      </c>
      <c r="T236" s="412"/>
    </row>
    <row r="237" spans="2:20" x14ac:dyDescent="0.2">
      <c r="B237" s="412"/>
      <c r="C237" s="420" t="s">
        <v>62</v>
      </c>
      <c r="D237" s="421">
        <v>0</v>
      </c>
      <c r="E237" s="421">
        <v>0</v>
      </c>
      <c r="F237" s="421">
        <v>-16.258620088965699</v>
      </c>
      <c r="G237" s="421">
        <v>0</v>
      </c>
      <c r="H237" s="421">
        <v>0</v>
      </c>
      <c r="I237" s="421">
        <v>0</v>
      </c>
      <c r="J237" s="421">
        <v>0</v>
      </c>
      <c r="K237" s="421">
        <v>0</v>
      </c>
      <c r="L237" s="421">
        <v>0</v>
      </c>
      <c r="M237" s="421">
        <v>0</v>
      </c>
      <c r="N237" s="421">
        <v>0</v>
      </c>
      <c r="O237" s="421">
        <v>0</v>
      </c>
      <c r="P237" s="421">
        <v>0</v>
      </c>
      <c r="Q237" s="421">
        <v>0</v>
      </c>
      <c r="R237" s="421">
        <v>0</v>
      </c>
      <c r="S237" s="423">
        <v>-16.258620088965699</v>
      </c>
      <c r="T237" s="412"/>
    </row>
    <row r="238" spans="2:20" x14ac:dyDescent="0.2">
      <c r="B238" s="412"/>
      <c r="C238" s="420" t="s">
        <v>63</v>
      </c>
      <c r="D238" s="421">
        <v>0</v>
      </c>
      <c r="E238" s="421">
        <v>0</v>
      </c>
      <c r="F238" s="421">
        <v>-83.288391654292198</v>
      </c>
      <c r="G238" s="421">
        <v>0</v>
      </c>
      <c r="H238" s="421">
        <v>0</v>
      </c>
      <c r="I238" s="421">
        <v>0</v>
      </c>
      <c r="J238" s="421">
        <v>0</v>
      </c>
      <c r="K238" s="421">
        <v>0</v>
      </c>
      <c r="L238" s="421">
        <v>-0.86093886612012704</v>
      </c>
      <c r="M238" s="421">
        <v>0</v>
      </c>
      <c r="N238" s="421">
        <v>0</v>
      </c>
      <c r="O238" s="421">
        <v>0</v>
      </c>
      <c r="P238" s="421">
        <v>0</v>
      </c>
      <c r="Q238" s="421">
        <v>0</v>
      </c>
      <c r="R238" s="421">
        <v>0</v>
      </c>
      <c r="S238" s="423">
        <v>-84.149330520412306</v>
      </c>
      <c r="T238" s="412"/>
    </row>
    <row r="239" spans="2:20" x14ac:dyDescent="0.2">
      <c r="B239" s="412"/>
      <c r="C239" s="420" t="s">
        <v>64</v>
      </c>
      <c r="D239" s="421">
        <v>0</v>
      </c>
      <c r="E239" s="421">
        <v>0</v>
      </c>
      <c r="F239" s="421">
        <v>0</v>
      </c>
      <c r="G239" s="421">
        <v>0</v>
      </c>
      <c r="H239" s="421">
        <v>0</v>
      </c>
      <c r="I239" s="421">
        <v>0</v>
      </c>
      <c r="J239" s="421">
        <v>0</v>
      </c>
      <c r="K239" s="421">
        <v>0</v>
      </c>
      <c r="L239" s="421">
        <v>0</v>
      </c>
      <c r="M239" s="421">
        <v>0</v>
      </c>
      <c r="N239" s="421">
        <v>0</v>
      </c>
      <c r="O239" s="421">
        <v>0</v>
      </c>
      <c r="P239" s="421">
        <v>0</v>
      </c>
      <c r="Q239" s="421">
        <v>0</v>
      </c>
      <c r="R239" s="421">
        <v>0</v>
      </c>
      <c r="S239" s="423">
        <v>0</v>
      </c>
      <c r="T239" s="412"/>
    </row>
    <row r="240" spans="2:20" x14ac:dyDescent="0.2">
      <c r="B240" s="412"/>
      <c r="C240" s="424" t="s">
        <v>65</v>
      </c>
      <c r="D240" s="425">
        <v>34.929201732774303</v>
      </c>
      <c r="E240" s="425">
        <v>523.88910535010405</v>
      </c>
      <c r="F240" s="425">
        <v>-4.6473612130108704</v>
      </c>
      <c r="G240" s="425">
        <v>372.99613898365101</v>
      </c>
      <c r="H240" s="425">
        <v>1075</v>
      </c>
      <c r="I240" s="425">
        <v>221.33</v>
      </c>
      <c r="J240" s="425">
        <v>180.617309805269</v>
      </c>
      <c r="K240" s="425">
        <v>23.667602138393399</v>
      </c>
      <c r="L240" s="425">
        <v>-0.86093886612012704</v>
      </c>
      <c r="M240" s="425">
        <v>0</v>
      </c>
      <c r="N240" s="425">
        <v>53.883302871721199</v>
      </c>
      <c r="O240" s="425">
        <v>4.0937306138358602</v>
      </c>
      <c r="P240" s="425">
        <v>-54.0995610292184</v>
      </c>
      <c r="Q240" s="425">
        <v>0</v>
      </c>
      <c r="R240" s="425">
        <v>0</v>
      </c>
      <c r="S240" s="425">
        <v>2430.7985303874002</v>
      </c>
      <c r="T240" s="412"/>
    </row>
    <row r="241" spans="2:20" x14ac:dyDescent="0.2">
      <c r="B241" s="412"/>
      <c r="C241" s="426"/>
      <c r="D241" s="427"/>
      <c r="E241" s="427"/>
      <c r="F241" s="427"/>
      <c r="G241" s="427"/>
      <c r="H241" s="427"/>
      <c r="I241" s="427"/>
      <c r="J241" s="427"/>
      <c r="K241" s="427"/>
      <c r="L241" s="427"/>
      <c r="M241" s="427"/>
      <c r="N241" s="427"/>
      <c r="O241" s="427"/>
      <c r="P241" s="427"/>
      <c r="Q241" s="427"/>
      <c r="R241" s="427"/>
      <c r="S241" s="427"/>
      <c r="T241" s="412"/>
    </row>
    <row r="242" spans="2:20" x14ac:dyDescent="0.2">
      <c r="B242" s="412"/>
      <c r="C242" s="428" t="s">
        <v>67</v>
      </c>
      <c r="D242" s="421">
        <v>0</v>
      </c>
      <c r="E242" s="421">
        <v>0</v>
      </c>
      <c r="F242" s="421">
        <v>0</v>
      </c>
      <c r="G242" s="421">
        <v>0</v>
      </c>
      <c r="H242" s="421">
        <v>0</v>
      </c>
      <c r="I242" s="421">
        <v>0</v>
      </c>
      <c r="J242" s="421">
        <v>0</v>
      </c>
      <c r="K242" s="421">
        <v>0</v>
      </c>
      <c r="L242" s="421">
        <v>0</v>
      </c>
      <c r="M242" s="421">
        <v>0</v>
      </c>
      <c r="N242" s="421">
        <v>0</v>
      </c>
      <c r="O242" s="421">
        <v>0</v>
      </c>
      <c r="P242" s="421">
        <v>0</v>
      </c>
      <c r="Q242" s="421">
        <v>0</v>
      </c>
      <c r="R242" s="421">
        <v>0</v>
      </c>
      <c r="S242" s="429">
        <v>0</v>
      </c>
      <c r="T242" s="412"/>
    </row>
    <row r="243" spans="2:20" x14ac:dyDescent="0.2">
      <c r="B243" s="412"/>
      <c r="C243" s="428" t="s">
        <v>347</v>
      </c>
      <c r="D243" s="421">
        <v>2.2004707355665598</v>
      </c>
      <c r="E243" s="421">
        <v>0</v>
      </c>
      <c r="F243" s="421">
        <v>3.8636363636363602</v>
      </c>
      <c r="G243" s="421">
        <v>18.293662470199799</v>
      </c>
      <c r="H243" s="421">
        <v>1075</v>
      </c>
      <c r="I243" s="421">
        <v>221.33</v>
      </c>
      <c r="J243" s="421">
        <v>25.015631200963998</v>
      </c>
      <c r="K243" s="421">
        <v>6.6958995171334896</v>
      </c>
      <c r="L243" s="421">
        <v>0</v>
      </c>
      <c r="M243" s="421">
        <v>0.373340050412242</v>
      </c>
      <c r="N243" s="421">
        <v>0</v>
      </c>
      <c r="O243" s="421">
        <v>0</v>
      </c>
      <c r="P243" s="421">
        <v>-598.98018891784398</v>
      </c>
      <c r="Q243" s="421">
        <v>0</v>
      </c>
      <c r="R243" s="421">
        <v>0</v>
      </c>
      <c r="S243" s="429">
        <v>753.79245142006801</v>
      </c>
      <c r="T243" s="412"/>
    </row>
    <row r="244" spans="2:20" x14ac:dyDescent="0.2">
      <c r="B244" s="412"/>
      <c r="C244" s="428" t="s">
        <v>348</v>
      </c>
      <c r="D244" s="421">
        <v>0</v>
      </c>
      <c r="E244" s="421">
        <v>0</v>
      </c>
      <c r="F244" s="421">
        <v>0</v>
      </c>
      <c r="G244" s="421">
        <v>17.187472358998999</v>
      </c>
      <c r="H244" s="421">
        <v>0</v>
      </c>
      <c r="I244" s="421">
        <v>0</v>
      </c>
      <c r="J244" s="421">
        <v>12.802427774494999</v>
      </c>
      <c r="K244" s="421">
        <v>12.7214936345308</v>
      </c>
      <c r="L244" s="421">
        <v>0</v>
      </c>
      <c r="M244" s="421">
        <v>0.35076474202038699</v>
      </c>
      <c r="N244" s="421">
        <v>0</v>
      </c>
      <c r="O244" s="421">
        <v>2.24538394933181</v>
      </c>
      <c r="P244" s="421">
        <v>0</v>
      </c>
      <c r="Q244" s="421">
        <v>-41.027361944198802</v>
      </c>
      <c r="R244" s="421">
        <v>0</v>
      </c>
      <c r="S244" s="429">
        <v>4.2801805151782197</v>
      </c>
      <c r="T244" s="412"/>
    </row>
    <row r="245" spans="2:20" x14ac:dyDescent="0.2">
      <c r="B245" s="412"/>
      <c r="C245" s="428" t="s">
        <v>349</v>
      </c>
      <c r="D245" s="421">
        <v>0</v>
      </c>
      <c r="E245" s="421">
        <v>0</v>
      </c>
      <c r="F245" s="421">
        <v>0</v>
      </c>
      <c r="G245" s="421">
        <v>0</v>
      </c>
      <c r="H245" s="421">
        <v>0</v>
      </c>
      <c r="I245" s="421">
        <v>0</v>
      </c>
      <c r="J245" s="421">
        <v>8.2571965997470702</v>
      </c>
      <c r="K245" s="421">
        <v>0</v>
      </c>
      <c r="L245" s="421">
        <v>0</v>
      </c>
      <c r="M245" s="421">
        <v>-7.3592264695245797</v>
      </c>
      <c r="N245" s="421">
        <v>0</v>
      </c>
      <c r="O245" s="421">
        <v>0</v>
      </c>
      <c r="P245" s="421">
        <v>0</v>
      </c>
      <c r="Q245" s="421">
        <v>0</v>
      </c>
      <c r="R245" s="421">
        <v>0</v>
      </c>
      <c r="S245" s="429">
        <v>0.89797013022249295</v>
      </c>
      <c r="T245" s="412"/>
    </row>
    <row r="246" spans="2:20" x14ac:dyDescent="0.2">
      <c r="B246" s="412"/>
      <c r="C246" s="428" t="s">
        <v>350</v>
      </c>
      <c r="D246" s="421">
        <v>0</v>
      </c>
      <c r="E246" s="421">
        <v>0</v>
      </c>
      <c r="F246" s="421">
        <v>0</v>
      </c>
      <c r="G246" s="421">
        <v>0</v>
      </c>
      <c r="H246" s="421">
        <v>0</v>
      </c>
      <c r="I246" s="421">
        <v>0</v>
      </c>
      <c r="J246" s="421">
        <v>0</v>
      </c>
      <c r="K246" s="421">
        <v>0</v>
      </c>
      <c r="L246" s="421">
        <v>0</v>
      </c>
      <c r="M246" s="421">
        <v>0</v>
      </c>
      <c r="N246" s="421">
        <v>0</v>
      </c>
      <c r="O246" s="421">
        <v>0</v>
      </c>
      <c r="P246" s="421">
        <v>0</v>
      </c>
      <c r="Q246" s="421">
        <v>0</v>
      </c>
      <c r="R246" s="421">
        <v>0</v>
      </c>
      <c r="S246" s="429">
        <v>0</v>
      </c>
      <c r="T246" s="412"/>
    </row>
    <row r="247" spans="2:20" x14ac:dyDescent="0.2">
      <c r="B247" s="412"/>
      <c r="C247" s="428" t="s">
        <v>72</v>
      </c>
      <c r="D247" s="421">
        <v>0</v>
      </c>
      <c r="E247" s="421">
        <v>542.69343279650298</v>
      </c>
      <c r="F247" s="421">
        <v>-537.26649846853797</v>
      </c>
      <c r="G247" s="421">
        <v>0</v>
      </c>
      <c r="H247" s="421">
        <v>0</v>
      </c>
      <c r="I247" s="421">
        <v>0</v>
      </c>
      <c r="J247" s="421">
        <v>0</v>
      </c>
      <c r="K247" s="421">
        <v>0</v>
      </c>
      <c r="L247" s="421">
        <v>0</v>
      </c>
      <c r="M247" s="421">
        <v>0</v>
      </c>
      <c r="N247" s="421">
        <v>0</v>
      </c>
      <c r="O247" s="421">
        <v>0</v>
      </c>
      <c r="P247" s="421">
        <v>0</v>
      </c>
      <c r="Q247" s="421">
        <v>0</v>
      </c>
      <c r="R247" s="421">
        <v>0</v>
      </c>
      <c r="S247" s="429">
        <v>5.4269343279650002</v>
      </c>
      <c r="T247" s="412"/>
    </row>
    <row r="248" spans="2:20" x14ac:dyDescent="0.2">
      <c r="B248" s="412"/>
      <c r="C248" s="428" t="s">
        <v>351</v>
      </c>
      <c r="D248" s="421">
        <v>0</v>
      </c>
      <c r="E248" s="421">
        <v>0</v>
      </c>
      <c r="F248" s="421">
        <v>0</v>
      </c>
      <c r="G248" s="421">
        <v>0</v>
      </c>
      <c r="H248" s="421">
        <v>0</v>
      </c>
      <c r="I248" s="421">
        <v>0</v>
      </c>
      <c r="J248" s="421">
        <v>38.982913287446898</v>
      </c>
      <c r="K248" s="421">
        <v>0</v>
      </c>
      <c r="L248" s="421">
        <v>-38.982913287446898</v>
      </c>
      <c r="M248" s="421">
        <v>0</v>
      </c>
      <c r="N248" s="421">
        <v>0</v>
      </c>
      <c r="O248" s="421">
        <v>0</v>
      </c>
      <c r="P248" s="421">
        <v>0</v>
      </c>
      <c r="Q248" s="421">
        <v>0</v>
      </c>
      <c r="R248" s="421">
        <v>0</v>
      </c>
      <c r="S248" s="429">
        <v>0</v>
      </c>
      <c r="T248" s="412"/>
    </row>
    <row r="249" spans="2:20" x14ac:dyDescent="0.2">
      <c r="B249" s="412"/>
      <c r="C249" s="428" t="s">
        <v>352</v>
      </c>
      <c r="D249" s="421">
        <v>0</v>
      </c>
      <c r="E249" s="421">
        <v>0</v>
      </c>
      <c r="F249" s="421">
        <v>0</v>
      </c>
      <c r="G249" s="421">
        <v>0</v>
      </c>
      <c r="H249" s="421">
        <v>0</v>
      </c>
      <c r="I249" s="421">
        <v>0</v>
      </c>
      <c r="J249" s="421">
        <v>0</v>
      </c>
      <c r="K249" s="421">
        <v>0</v>
      </c>
      <c r="L249" s="421">
        <v>-0.17805542479724401</v>
      </c>
      <c r="M249" s="421">
        <v>0</v>
      </c>
      <c r="N249" s="421">
        <v>0</v>
      </c>
      <c r="O249" s="421">
        <v>0</v>
      </c>
      <c r="P249" s="421">
        <v>0</v>
      </c>
      <c r="Q249" s="421">
        <v>0</v>
      </c>
      <c r="R249" s="421">
        <v>0.25436489256749101</v>
      </c>
      <c r="S249" s="429">
        <v>7.6309467770247302E-2</v>
      </c>
      <c r="T249" s="412"/>
    </row>
    <row r="250" spans="2:20" x14ac:dyDescent="0.2">
      <c r="B250" s="412"/>
      <c r="C250" s="428" t="s">
        <v>73</v>
      </c>
      <c r="D250" s="421">
        <v>0</v>
      </c>
      <c r="E250" s="421">
        <v>0</v>
      </c>
      <c r="F250" s="421">
        <v>0</v>
      </c>
      <c r="G250" s="421">
        <v>2.4096506208169699</v>
      </c>
      <c r="H250" s="421">
        <v>0</v>
      </c>
      <c r="I250" s="421">
        <v>0</v>
      </c>
      <c r="J250" s="421">
        <v>0</v>
      </c>
      <c r="K250" s="421">
        <v>2.7320301823321701E-2</v>
      </c>
      <c r="L250" s="421">
        <v>0</v>
      </c>
      <c r="M250" s="421">
        <v>4.9176543281978999E-2</v>
      </c>
      <c r="N250" s="421">
        <v>0</v>
      </c>
      <c r="O250" s="421">
        <v>0</v>
      </c>
      <c r="P250" s="421">
        <v>0.257854534062811</v>
      </c>
      <c r="Q250" s="421">
        <v>0</v>
      </c>
      <c r="R250" s="421">
        <v>-1.91242112763252</v>
      </c>
      <c r="S250" s="429">
        <v>0.83158087235256695</v>
      </c>
      <c r="T250" s="412"/>
    </row>
    <row r="251" spans="2:20" x14ac:dyDescent="0.2">
      <c r="B251" s="412"/>
      <c r="C251" s="428" t="s">
        <v>353</v>
      </c>
      <c r="D251" s="421">
        <v>14.8684370117188</v>
      </c>
      <c r="E251" s="421">
        <v>-18.804327446398801</v>
      </c>
      <c r="F251" s="421">
        <v>24.59494961847</v>
      </c>
      <c r="G251" s="421">
        <v>0</v>
      </c>
      <c r="H251" s="421">
        <v>0</v>
      </c>
      <c r="I251" s="421">
        <v>0</v>
      </c>
      <c r="J251" s="421">
        <v>0</v>
      </c>
      <c r="K251" s="421">
        <v>0</v>
      </c>
      <c r="L251" s="421">
        <v>0</v>
      </c>
      <c r="M251" s="421">
        <v>0</v>
      </c>
      <c r="N251" s="421">
        <v>0</v>
      </c>
      <c r="O251" s="421">
        <v>0</v>
      </c>
      <c r="P251" s="421">
        <v>0</v>
      </c>
      <c r="Q251" s="421">
        <v>0</v>
      </c>
      <c r="R251" s="421">
        <v>0</v>
      </c>
      <c r="S251" s="429">
        <v>20.6590591837899</v>
      </c>
      <c r="T251" s="412"/>
    </row>
    <row r="252" spans="2:20" x14ac:dyDescent="0.2">
      <c r="B252" s="412"/>
      <c r="C252" s="428" t="s">
        <v>75</v>
      </c>
      <c r="D252" s="421">
        <v>9.9030000000000005</v>
      </c>
      <c r="E252" s="421">
        <v>0</v>
      </c>
      <c r="F252" s="421">
        <v>18.451576715081099</v>
      </c>
      <c r="G252" s="421">
        <v>5.2652116849916704</v>
      </c>
      <c r="H252" s="421">
        <v>0</v>
      </c>
      <c r="I252" s="421">
        <v>0</v>
      </c>
      <c r="J252" s="421">
        <v>0</v>
      </c>
      <c r="K252" s="421">
        <v>0</v>
      </c>
      <c r="L252" s="421">
        <v>0</v>
      </c>
      <c r="M252" s="421">
        <v>0.107453299693708</v>
      </c>
      <c r="N252" s="421">
        <v>0</v>
      </c>
      <c r="O252" s="421">
        <v>0</v>
      </c>
      <c r="P252" s="421">
        <v>33.445009445892197</v>
      </c>
      <c r="Q252" s="421">
        <v>0</v>
      </c>
      <c r="R252" s="421">
        <v>0</v>
      </c>
      <c r="S252" s="429">
        <v>67.172251145658706</v>
      </c>
      <c r="T252" s="412"/>
    </row>
    <row r="253" spans="2:20" x14ac:dyDescent="0.2">
      <c r="B253" s="412"/>
      <c r="C253" s="428" t="s">
        <v>76</v>
      </c>
      <c r="D253" s="421">
        <v>0</v>
      </c>
      <c r="E253" s="421">
        <v>0</v>
      </c>
      <c r="F253" s="421">
        <v>0</v>
      </c>
      <c r="G253" s="421">
        <v>4.2759141937553897</v>
      </c>
      <c r="H253" s="421">
        <v>0</v>
      </c>
      <c r="I253" s="421">
        <v>0</v>
      </c>
      <c r="J253" s="421">
        <v>0</v>
      </c>
      <c r="K253" s="421">
        <v>0</v>
      </c>
      <c r="L253" s="421">
        <v>0</v>
      </c>
      <c r="M253" s="421">
        <v>8.72635549745997E-2</v>
      </c>
      <c r="N253" s="421">
        <v>0</v>
      </c>
      <c r="O253" s="421">
        <v>0</v>
      </c>
      <c r="P253" s="421">
        <v>41.7590878252594</v>
      </c>
      <c r="Q253" s="421">
        <v>3.1792420694766599</v>
      </c>
      <c r="R253" s="421">
        <v>0</v>
      </c>
      <c r="S253" s="429">
        <v>49.301507643466103</v>
      </c>
      <c r="T253" s="412"/>
    </row>
    <row r="254" spans="2:20" x14ac:dyDescent="0.2">
      <c r="B254" s="412"/>
      <c r="C254" s="424" t="s">
        <v>77</v>
      </c>
      <c r="D254" s="425">
        <v>26.9719077472853</v>
      </c>
      <c r="E254" s="425">
        <v>523.88910535010405</v>
      </c>
      <c r="F254" s="425">
        <v>-490.35633577135002</v>
      </c>
      <c r="G254" s="425">
        <v>47.431911328762801</v>
      </c>
      <c r="H254" s="425">
        <v>1075</v>
      </c>
      <c r="I254" s="425">
        <v>221.33</v>
      </c>
      <c r="J254" s="425">
        <v>85.058168862653105</v>
      </c>
      <c r="K254" s="425">
        <v>19.444713453487601</v>
      </c>
      <c r="L254" s="425">
        <v>-39.160968712244099</v>
      </c>
      <c r="M254" s="425">
        <v>-6.3912282791416599</v>
      </c>
      <c r="N254" s="425">
        <v>0</v>
      </c>
      <c r="O254" s="425">
        <v>2.24538394933181</v>
      </c>
      <c r="P254" s="425">
        <v>-523.51823711263</v>
      </c>
      <c r="Q254" s="425">
        <v>-37.848119874722101</v>
      </c>
      <c r="R254" s="425">
        <v>-1.6580562350650301</v>
      </c>
      <c r="S254" s="425">
        <v>902.43824470647201</v>
      </c>
      <c r="T254" s="412"/>
    </row>
    <row r="255" spans="2:20" x14ac:dyDescent="0.2">
      <c r="B255" s="412"/>
      <c r="C255" s="426"/>
      <c r="D255" s="427"/>
      <c r="E255" s="427"/>
      <c r="F255" s="427"/>
      <c r="G255" s="427"/>
      <c r="H255" s="427"/>
      <c r="I255" s="427"/>
      <c r="J255" s="427"/>
      <c r="K255" s="427"/>
      <c r="L255" s="427"/>
      <c r="M255" s="427"/>
      <c r="N255" s="427"/>
      <c r="O255" s="427"/>
      <c r="P255" s="427"/>
      <c r="Q255" s="427"/>
      <c r="R255" s="427"/>
      <c r="S255" s="427"/>
      <c r="T255" s="412"/>
    </row>
    <row r="256" spans="2:20" x14ac:dyDescent="0.2">
      <c r="B256" s="412"/>
      <c r="C256" s="428" t="s">
        <v>78</v>
      </c>
      <c r="D256" s="421">
        <v>5.6972080479890099</v>
      </c>
      <c r="E256" s="421">
        <v>0</v>
      </c>
      <c r="F256" s="421">
        <v>22.817179327139399</v>
      </c>
      <c r="G256" s="421">
        <v>101.760565699211</v>
      </c>
      <c r="H256" s="421">
        <v>0</v>
      </c>
      <c r="I256" s="421">
        <v>0</v>
      </c>
      <c r="J256" s="421">
        <v>17.084919933372099</v>
      </c>
      <c r="K256" s="421">
        <v>4.2228886849058398</v>
      </c>
      <c r="L256" s="421">
        <v>0.85605592578125</v>
      </c>
      <c r="M256" s="421">
        <v>2.0767462387593998</v>
      </c>
      <c r="N256" s="421">
        <v>0</v>
      </c>
      <c r="O256" s="421">
        <v>0</v>
      </c>
      <c r="P256" s="421">
        <v>106.33530498490499</v>
      </c>
      <c r="Q256" s="421">
        <v>18.005489076637701</v>
      </c>
      <c r="R256" s="421">
        <v>0.24596269226074199</v>
      </c>
      <c r="S256" s="429">
        <v>279.10232061096099</v>
      </c>
      <c r="T256" s="412"/>
    </row>
    <row r="257" spans="2:20" x14ac:dyDescent="0.2">
      <c r="B257" s="412"/>
      <c r="C257" s="428" t="s">
        <v>79</v>
      </c>
      <c r="D257" s="421">
        <v>0</v>
      </c>
      <c r="E257" s="421">
        <v>0</v>
      </c>
      <c r="F257" s="421">
        <v>271.89503343589303</v>
      </c>
      <c r="G257" s="421">
        <v>24.4531369544524</v>
      </c>
      <c r="H257" s="421">
        <v>0</v>
      </c>
      <c r="I257" s="421">
        <v>0</v>
      </c>
      <c r="J257" s="421">
        <v>0</v>
      </c>
      <c r="K257" s="421">
        <v>0</v>
      </c>
      <c r="L257" s="421">
        <v>27.563506802016501</v>
      </c>
      <c r="M257" s="421">
        <v>0.49904361131535402</v>
      </c>
      <c r="N257" s="421">
        <v>0</v>
      </c>
      <c r="O257" s="421">
        <v>0</v>
      </c>
      <c r="P257" s="421">
        <v>44.076672693209503</v>
      </c>
      <c r="Q257" s="421">
        <v>0</v>
      </c>
      <c r="R257" s="421">
        <v>1.1183354617496</v>
      </c>
      <c r="S257" s="429">
        <v>369.60572895863697</v>
      </c>
      <c r="T257" s="412"/>
    </row>
    <row r="258" spans="2:20" x14ac:dyDescent="0.2">
      <c r="B258" s="412"/>
      <c r="C258" s="428" t="s">
        <v>80</v>
      </c>
      <c r="D258" s="421">
        <v>0</v>
      </c>
      <c r="E258" s="421">
        <v>0</v>
      </c>
      <c r="F258" s="421">
        <v>24.3021024292247</v>
      </c>
      <c r="G258" s="421">
        <v>117.69678632039</v>
      </c>
      <c r="H258" s="421">
        <v>0</v>
      </c>
      <c r="I258" s="421">
        <v>0</v>
      </c>
      <c r="J258" s="421">
        <v>73.828773979634093</v>
      </c>
      <c r="K258" s="421">
        <v>0</v>
      </c>
      <c r="L258" s="421">
        <v>0</v>
      </c>
      <c r="M258" s="421">
        <v>2.4019752310283602</v>
      </c>
      <c r="N258" s="421">
        <v>47.128746569474501</v>
      </c>
      <c r="O258" s="421">
        <v>0.960766193181818</v>
      </c>
      <c r="P258" s="421">
        <v>176.67464437802599</v>
      </c>
      <c r="Q258" s="421">
        <v>15.6460082308098</v>
      </c>
      <c r="R258" s="421">
        <v>0</v>
      </c>
      <c r="S258" s="429">
        <v>458.63980333176897</v>
      </c>
      <c r="T258" s="412"/>
    </row>
    <row r="259" spans="2:20" x14ac:dyDescent="0.2">
      <c r="B259" s="412"/>
      <c r="C259" s="428" t="s">
        <v>81</v>
      </c>
      <c r="D259" s="421">
        <v>0</v>
      </c>
      <c r="E259" s="421">
        <v>0</v>
      </c>
      <c r="F259" s="421">
        <v>10.1168071467599</v>
      </c>
      <c r="G259" s="421">
        <v>64.901290043876799</v>
      </c>
      <c r="H259" s="421">
        <v>0</v>
      </c>
      <c r="I259" s="421">
        <v>0</v>
      </c>
      <c r="J259" s="421">
        <v>3.5137864042396001</v>
      </c>
      <c r="K259" s="421">
        <v>0</v>
      </c>
      <c r="L259" s="421">
        <v>0</v>
      </c>
      <c r="M259" s="421">
        <v>1.32451612334442</v>
      </c>
      <c r="N259" s="421">
        <v>6.7545563022467299</v>
      </c>
      <c r="O259" s="421">
        <v>0.80925156664740405</v>
      </c>
      <c r="P259" s="421">
        <v>134.394459446703</v>
      </c>
      <c r="Q259" s="421">
        <v>4.1966225672745496</v>
      </c>
      <c r="R259" s="421">
        <v>0</v>
      </c>
      <c r="S259" s="429">
        <v>226.01128960109199</v>
      </c>
      <c r="T259" s="412"/>
    </row>
    <row r="260" spans="2:20" x14ac:dyDescent="0.2">
      <c r="B260" s="412"/>
      <c r="C260" s="428" t="s">
        <v>82</v>
      </c>
      <c r="D260" s="421">
        <v>0</v>
      </c>
      <c r="E260" s="421">
        <v>0</v>
      </c>
      <c r="F260" s="421">
        <v>18.642153643202501</v>
      </c>
      <c r="G260" s="421">
        <v>4.3584066600117204</v>
      </c>
      <c r="H260" s="421">
        <v>0</v>
      </c>
      <c r="I260" s="421">
        <v>0</v>
      </c>
      <c r="J260" s="421">
        <v>1.13166062537042</v>
      </c>
      <c r="K260" s="421">
        <v>0</v>
      </c>
      <c r="L260" s="421">
        <v>9.8804671183263206</v>
      </c>
      <c r="M260" s="421">
        <v>8.8947074694116696E-2</v>
      </c>
      <c r="N260" s="421">
        <v>0</v>
      </c>
      <c r="O260" s="421">
        <v>7.8328904674825395E-2</v>
      </c>
      <c r="P260" s="421">
        <v>7.9375945805684101</v>
      </c>
      <c r="Q260" s="421">
        <v>0</v>
      </c>
      <c r="R260" s="421">
        <v>0</v>
      </c>
      <c r="S260" s="429">
        <v>42.117558606848299</v>
      </c>
      <c r="T260" s="412"/>
    </row>
    <row r="261" spans="2:20" x14ac:dyDescent="0.2">
      <c r="B261" s="412"/>
      <c r="C261" s="428" t="s">
        <v>354</v>
      </c>
      <c r="D261" s="421">
        <v>0</v>
      </c>
      <c r="E261" s="421">
        <v>0</v>
      </c>
      <c r="F261" s="421">
        <v>0</v>
      </c>
      <c r="G261" s="421">
        <v>0</v>
      </c>
      <c r="H261" s="421">
        <v>0</v>
      </c>
      <c r="I261" s="421">
        <v>0</v>
      </c>
      <c r="J261" s="421">
        <v>0</v>
      </c>
      <c r="K261" s="421">
        <v>0</v>
      </c>
      <c r="L261" s="421">
        <v>0</v>
      </c>
      <c r="M261" s="421">
        <v>0</v>
      </c>
      <c r="N261" s="421">
        <v>0</v>
      </c>
      <c r="O261" s="421">
        <v>0</v>
      </c>
      <c r="P261" s="421">
        <v>0</v>
      </c>
      <c r="Q261" s="421">
        <v>0</v>
      </c>
      <c r="R261" s="421">
        <v>0</v>
      </c>
      <c r="S261" s="429">
        <v>0</v>
      </c>
      <c r="T261" s="412"/>
    </row>
    <row r="262" spans="2:20" x14ac:dyDescent="0.2">
      <c r="B262" s="412"/>
      <c r="C262" s="424" t="s">
        <v>83</v>
      </c>
      <c r="D262" s="425">
        <v>5.6972080479890099</v>
      </c>
      <c r="E262" s="425">
        <v>0</v>
      </c>
      <c r="F262" s="425">
        <v>347.77327598222001</v>
      </c>
      <c r="G262" s="425">
        <v>313.17018567794099</v>
      </c>
      <c r="H262" s="425">
        <v>0</v>
      </c>
      <c r="I262" s="425">
        <v>0</v>
      </c>
      <c r="J262" s="425">
        <v>95.559140942616196</v>
      </c>
      <c r="K262" s="425">
        <v>4.2228886849058398</v>
      </c>
      <c r="L262" s="425">
        <v>38.300029846123998</v>
      </c>
      <c r="M262" s="425">
        <v>6.3912282791416599</v>
      </c>
      <c r="N262" s="425">
        <v>53.883302871721199</v>
      </c>
      <c r="O262" s="425">
        <v>1.8483466645040501</v>
      </c>
      <c r="P262" s="425">
        <v>469.41867608341198</v>
      </c>
      <c r="Q262" s="425">
        <v>37.848119874722101</v>
      </c>
      <c r="R262" s="425">
        <v>1.36429815401034</v>
      </c>
      <c r="S262" s="425">
        <v>1375.4767011093099</v>
      </c>
      <c r="T262" s="412"/>
    </row>
    <row r="263" spans="2:20" x14ac:dyDescent="0.2">
      <c r="B263" s="412"/>
      <c r="C263" s="420" t="s">
        <v>84</v>
      </c>
      <c r="D263" s="421">
        <v>2.2600859375</v>
      </c>
      <c r="E263" s="421">
        <v>0</v>
      </c>
      <c r="F263" s="421">
        <v>137.93569857611899</v>
      </c>
      <c r="G263" s="421">
        <v>12.394041976947101</v>
      </c>
      <c r="H263" s="421">
        <v>0</v>
      </c>
      <c r="I263" s="421">
        <v>0</v>
      </c>
      <c r="J263" s="421">
        <v>0</v>
      </c>
      <c r="K263" s="421">
        <v>0</v>
      </c>
      <c r="L263" s="421">
        <v>0</v>
      </c>
      <c r="M263" s="421">
        <v>0</v>
      </c>
      <c r="N263" s="421">
        <v>0</v>
      </c>
      <c r="O263" s="421">
        <v>0</v>
      </c>
      <c r="P263" s="421">
        <v>0</v>
      </c>
      <c r="Q263" s="421">
        <v>0</v>
      </c>
      <c r="R263" s="421">
        <v>0.29375808105468698</v>
      </c>
      <c r="S263" s="429">
        <v>152.88358457162099</v>
      </c>
      <c r="T263" s="412"/>
    </row>
    <row r="264" spans="2:20" x14ac:dyDescent="0.2">
      <c r="B264" s="412"/>
      <c r="C264" s="424" t="s">
        <v>85</v>
      </c>
      <c r="D264" s="425">
        <v>7.9572939854890103</v>
      </c>
      <c r="E264" s="425">
        <v>0</v>
      </c>
      <c r="F264" s="425">
        <v>485.70897455833898</v>
      </c>
      <c r="G264" s="425">
        <v>325.56422765488799</v>
      </c>
      <c r="H264" s="425">
        <v>0</v>
      </c>
      <c r="I264" s="425">
        <v>0</v>
      </c>
      <c r="J264" s="425">
        <v>95.559140942616196</v>
      </c>
      <c r="K264" s="425">
        <v>4.2228886849058398</v>
      </c>
      <c r="L264" s="425">
        <v>38.300029846123998</v>
      </c>
      <c r="M264" s="425">
        <v>6.3912282791416599</v>
      </c>
      <c r="N264" s="425">
        <v>53.883302871721199</v>
      </c>
      <c r="O264" s="425">
        <v>1.8483466645040501</v>
      </c>
      <c r="P264" s="425">
        <v>469.41867608341198</v>
      </c>
      <c r="Q264" s="425">
        <v>37.848119874722101</v>
      </c>
      <c r="R264" s="425">
        <v>1.6580562350650301</v>
      </c>
      <c r="S264" s="425">
        <v>1528.36028568093</v>
      </c>
      <c r="T264" s="412"/>
    </row>
    <row r="265" spans="2:20" x14ac:dyDescent="0.2">
      <c r="B265" s="412"/>
      <c r="C265" s="412"/>
      <c r="D265" s="430">
        <f t="shared" ref="D265:S265" si="14">D264+D254-D240</f>
        <v>0</v>
      </c>
      <c r="E265" s="430">
        <f t="shared" si="14"/>
        <v>0</v>
      </c>
      <c r="F265" s="430">
        <f t="shared" si="14"/>
        <v>-1.6786572132332367E-13</v>
      </c>
      <c r="G265" s="430">
        <f t="shared" si="14"/>
        <v>0</v>
      </c>
      <c r="H265" s="430">
        <f t="shared" si="14"/>
        <v>0</v>
      </c>
      <c r="I265" s="430">
        <f t="shared" si="14"/>
        <v>0</v>
      </c>
      <c r="J265" s="430">
        <f t="shared" si="14"/>
        <v>3.1263880373444408E-13</v>
      </c>
      <c r="K265" s="430">
        <f t="shared" si="14"/>
        <v>4.2632564145606011E-14</v>
      </c>
      <c r="L265" s="430">
        <f t="shared" si="14"/>
        <v>2.6090241078691179E-14</v>
      </c>
      <c r="M265" s="430">
        <f t="shared" si="14"/>
        <v>0</v>
      </c>
      <c r="N265" s="430">
        <f t="shared" si="14"/>
        <v>0</v>
      </c>
      <c r="O265" s="430">
        <f t="shared" si="14"/>
        <v>0</v>
      </c>
      <c r="P265" s="430">
        <f t="shared" si="14"/>
        <v>3.765876499528531E-13</v>
      </c>
      <c r="Q265" s="430">
        <f t="shared" si="14"/>
        <v>0</v>
      </c>
      <c r="R265" s="430">
        <f t="shared" si="14"/>
        <v>0</v>
      </c>
      <c r="S265" s="430">
        <f t="shared" si="14"/>
        <v>0</v>
      </c>
      <c r="T265" s="412"/>
    </row>
    <row r="266" spans="2:20" x14ac:dyDescent="0.2">
      <c r="B266" s="412"/>
      <c r="C266" s="412"/>
      <c r="D266" s="412"/>
      <c r="E266" s="412"/>
      <c r="F266" s="412"/>
      <c r="G266" s="412"/>
      <c r="H266" s="412"/>
      <c r="I266" s="412"/>
      <c r="J266" s="412"/>
      <c r="K266" s="412"/>
      <c r="L266" s="412"/>
      <c r="M266" s="412"/>
      <c r="N266" s="412"/>
      <c r="O266" s="412"/>
      <c r="P266" s="412"/>
      <c r="Q266" s="412"/>
      <c r="R266" s="412"/>
      <c r="S266" s="412"/>
      <c r="T266" s="412"/>
    </row>
    <row r="267" spans="2:20" ht="14.25" x14ac:dyDescent="0.2">
      <c r="B267" s="416"/>
      <c r="C267" s="417" t="s">
        <v>359</v>
      </c>
      <c r="D267" s="416"/>
      <c r="E267" s="416"/>
      <c r="F267" s="416"/>
      <c r="G267" s="416"/>
      <c r="H267" s="416"/>
      <c r="I267" s="416"/>
      <c r="J267" s="416"/>
      <c r="K267" s="416"/>
      <c r="L267" s="416"/>
      <c r="M267" s="416"/>
      <c r="N267" s="416"/>
      <c r="O267" s="416"/>
      <c r="P267" s="416"/>
      <c r="Q267" s="416"/>
      <c r="R267" s="416"/>
      <c r="S267" s="416"/>
      <c r="T267" s="416"/>
    </row>
    <row r="268" spans="2:20" x14ac:dyDescent="0.2">
      <c r="B268" s="412"/>
      <c r="C268" s="412"/>
      <c r="D268" s="412"/>
      <c r="E268" s="412"/>
      <c r="F268" s="412"/>
      <c r="G268" s="412"/>
      <c r="H268" s="412"/>
      <c r="I268" s="412"/>
      <c r="J268" s="412"/>
      <c r="K268" s="412"/>
      <c r="L268" s="412"/>
      <c r="M268" s="412"/>
      <c r="N268" s="412"/>
      <c r="O268" s="412"/>
      <c r="P268" s="412"/>
      <c r="Q268" s="412"/>
      <c r="R268" s="412"/>
      <c r="S268" s="412"/>
      <c r="T268" s="412"/>
    </row>
    <row r="269" spans="2:20" ht="13.5" customHeight="1" x14ac:dyDescent="0.2">
      <c r="B269" s="412"/>
      <c r="C269" s="756" t="s">
        <v>128</v>
      </c>
      <c r="D269" s="755" t="s">
        <v>42</v>
      </c>
      <c r="E269" s="755" t="s">
        <v>52</v>
      </c>
      <c r="F269" s="755" t="s">
        <v>53</v>
      </c>
      <c r="G269" s="755" t="s">
        <v>32</v>
      </c>
      <c r="H269" s="755" t="s">
        <v>20</v>
      </c>
      <c r="I269" s="755" t="s">
        <v>55</v>
      </c>
      <c r="J269" s="755" t="s">
        <v>56</v>
      </c>
      <c r="K269" s="755"/>
      <c r="L269" s="755"/>
      <c r="M269" s="755"/>
      <c r="N269" s="755"/>
      <c r="O269" s="755"/>
      <c r="P269" s="755" t="s">
        <v>57</v>
      </c>
      <c r="Q269" s="755" t="s">
        <v>58</v>
      </c>
      <c r="R269" s="755" t="s">
        <v>31</v>
      </c>
      <c r="S269" s="755" t="s">
        <v>10</v>
      </c>
      <c r="T269" s="412"/>
    </row>
    <row r="270" spans="2:20" ht="56.25" x14ac:dyDescent="0.2">
      <c r="B270" s="412"/>
      <c r="C270" s="756"/>
      <c r="D270" s="755"/>
      <c r="E270" s="755"/>
      <c r="F270" s="755"/>
      <c r="G270" s="755"/>
      <c r="H270" s="755"/>
      <c r="I270" s="755"/>
      <c r="J270" s="418" t="s">
        <v>335</v>
      </c>
      <c r="K270" s="418" t="s">
        <v>40</v>
      </c>
      <c r="L270" s="418" t="s">
        <v>343</v>
      </c>
      <c r="M270" s="418" t="s">
        <v>344</v>
      </c>
      <c r="N270" s="419" t="s">
        <v>345</v>
      </c>
      <c r="O270" s="418" t="s">
        <v>346</v>
      </c>
      <c r="P270" s="755"/>
      <c r="Q270" s="755"/>
      <c r="R270" s="755"/>
      <c r="S270" s="755"/>
      <c r="T270" s="412"/>
    </row>
    <row r="271" spans="2:20" x14ac:dyDescent="0.2">
      <c r="B271" s="412"/>
      <c r="C271" s="420" t="s">
        <v>59</v>
      </c>
      <c r="D271" s="421">
        <v>0</v>
      </c>
      <c r="E271" s="421">
        <v>2.3260000000000001</v>
      </c>
      <c r="F271" s="421">
        <v>0</v>
      </c>
      <c r="G271" s="421">
        <v>3.7215999999999999E-2</v>
      </c>
      <c r="H271" s="422">
        <v>1005.45454545455</v>
      </c>
      <c r="I271" s="422">
        <v>246.08</v>
      </c>
      <c r="J271" s="422">
        <v>180.45818950373001</v>
      </c>
      <c r="K271" s="422">
        <v>23.324330540101599</v>
      </c>
      <c r="L271" s="421">
        <v>0</v>
      </c>
      <c r="M271" s="421">
        <v>0</v>
      </c>
      <c r="N271" s="422">
        <v>57.2465959754038</v>
      </c>
      <c r="O271" s="422">
        <v>4.06931439737036</v>
      </c>
      <c r="P271" s="421">
        <v>0</v>
      </c>
      <c r="Q271" s="421">
        <v>0</v>
      </c>
      <c r="R271" s="421">
        <v>0</v>
      </c>
      <c r="S271" s="423">
        <v>1518.9961918711499</v>
      </c>
      <c r="T271" s="412"/>
    </row>
    <row r="272" spans="2:20" x14ac:dyDescent="0.2">
      <c r="B272" s="412"/>
      <c r="C272" s="420" t="s">
        <v>60</v>
      </c>
      <c r="D272" s="421">
        <v>33.607567251657201</v>
      </c>
      <c r="E272" s="421">
        <v>509.74501402008298</v>
      </c>
      <c r="F272" s="421">
        <v>72.737164762837693</v>
      </c>
      <c r="G272" s="421">
        <v>374.55851469184501</v>
      </c>
      <c r="H272" s="421">
        <v>0</v>
      </c>
      <c r="I272" s="421">
        <v>0</v>
      </c>
      <c r="J272" s="421">
        <v>0</v>
      </c>
      <c r="K272" s="421">
        <v>0</v>
      </c>
      <c r="L272" s="421">
        <v>0</v>
      </c>
      <c r="M272" s="421">
        <v>0</v>
      </c>
      <c r="N272" s="421">
        <v>0</v>
      </c>
      <c r="O272" s="421">
        <v>0</v>
      </c>
      <c r="P272" s="421">
        <v>0</v>
      </c>
      <c r="Q272" s="421">
        <v>0</v>
      </c>
      <c r="R272" s="421">
        <v>0</v>
      </c>
      <c r="S272" s="423">
        <v>990.64826072642302</v>
      </c>
      <c r="T272" s="412"/>
    </row>
    <row r="273" spans="2:20" x14ac:dyDescent="0.2">
      <c r="B273" s="412"/>
      <c r="C273" s="420" t="s">
        <v>61</v>
      </c>
      <c r="D273" s="421">
        <v>0</v>
      </c>
      <c r="E273" s="421">
        <v>0</v>
      </c>
      <c r="F273" s="421">
        <v>0</v>
      </c>
      <c r="G273" s="421">
        <v>0</v>
      </c>
      <c r="H273" s="421">
        <v>0</v>
      </c>
      <c r="I273" s="421">
        <v>0</v>
      </c>
      <c r="J273" s="421">
        <v>0</v>
      </c>
      <c r="K273" s="421">
        <v>0</v>
      </c>
      <c r="L273" s="421">
        <v>0</v>
      </c>
      <c r="M273" s="421">
        <v>0</v>
      </c>
      <c r="N273" s="421">
        <v>0</v>
      </c>
      <c r="O273" s="421">
        <v>0</v>
      </c>
      <c r="P273" s="421">
        <v>-40.599613583103199</v>
      </c>
      <c r="Q273" s="421">
        <v>0</v>
      </c>
      <c r="R273" s="421">
        <v>0</v>
      </c>
      <c r="S273" s="423">
        <v>-40.599613583103199</v>
      </c>
      <c r="T273" s="412"/>
    </row>
    <row r="274" spans="2:20" x14ac:dyDescent="0.2">
      <c r="B274" s="412"/>
      <c r="C274" s="420" t="s">
        <v>62</v>
      </c>
      <c r="D274" s="421">
        <v>0</v>
      </c>
      <c r="E274" s="421">
        <v>0</v>
      </c>
      <c r="F274" s="421">
        <v>-16.016991189558802</v>
      </c>
      <c r="G274" s="421">
        <v>0</v>
      </c>
      <c r="H274" s="421">
        <v>0</v>
      </c>
      <c r="I274" s="421">
        <v>0</v>
      </c>
      <c r="J274" s="421">
        <v>0</v>
      </c>
      <c r="K274" s="421">
        <v>0</v>
      </c>
      <c r="L274" s="421">
        <v>0</v>
      </c>
      <c r="M274" s="421">
        <v>0</v>
      </c>
      <c r="N274" s="421">
        <v>0</v>
      </c>
      <c r="O274" s="421">
        <v>0</v>
      </c>
      <c r="P274" s="421">
        <v>0</v>
      </c>
      <c r="Q274" s="421">
        <v>0</v>
      </c>
      <c r="R274" s="421">
        <v>0</v>
      </c>
      <c r="S274" s="423">
        <v>-16.016991189558802</v>
      </c>
      <c r="T274" s="412"/>
    </row>
    <row r="275" spans="2:20" x14ac:dyDescent="0.2">
      <c r="B275" s="412"/>
      <c r="C275" s="420" t="s">
        <v>63</v>
      </c>
      <c r="D275" s="421">
        <v>0</v>
      </c>
      <c r="E275" s="421">
        <v>0</v>
      </c>
      <c r="F275" s="421">
        <v>-85.292767146842095</v>
      </c>
      <c r="G275" s="421">
        <v>0</v>
      </c>
      <c r="H275" s="421">
        <v>0</v>
      </c>
      <c r="I275" s="421">
        <v>0</v>
      </c>
      <c r="J275" s="421">
        <v>0</v>
      </c>
      <c r="K275" s="421">
        <v>0</v>
      </c>
      <c r="L275" s="421">
        <v>-0.88147124718821601</v>
      </c>
      <c r="M275" s="421">
        <v>0</v>
      </c>
      <c r="N275" s="421">
        <v>0</v>
      </c>
      <c r="O275" s="421">
        <v>0</v>
      </c>
      <c r="P275" s="421">
        <v>0</v>
      </c>
      <c r="Q275" s="421">
        <v>0</v>
      </c>
      <c r="R275" s="421">
        <v>0</v>
      </c>
      <c r="S275" s="423">
        <v>-86.174238394030297</v>
      </c>
      <c r="T275" s="412"/>
    </row>
    <row r="276" spans="2:20" x14ac:dyDescent="0.2">
      <c r="B276" s="412"/>
      <c r="C276" s="420" t="s">
        <v>64</v>
      </c>
      <c r="D276" s="421">
        <v>0</v>
      </c>
      <c r="E276" s="421">
        <v>0</v>
      </c>
      <c r="F276" s="421">
        <v>0</v>
      </c>
      <c r="G276" s="421">
        <v>0</v>
      </c>
      <c r="H276" s="421">
        <v>0</v>
      </c>
      <c r="I276" s="421">
        <v>0</v>
      </c>
      <c r="J276" s="421">
        <v>0</v>
      </c>
      <c r="K276" s="421">
        <v>0</v>
      </c>
      <c r="L276" s="421">
        <v>0</v>
      </c>
      <c r="M276" s="421">
        <v>0</v>
      </c>
      <c r="N276" s="421">
        <v>0</v>
      </c>
      <c r="O276" s="421">
        <v>0</v>
      </c>
      <c r="P276" s="421">
        <v>0</v>
      </c>
      <c r="Q276" s="421">
        <v>0</v>
      </c>
      <c r="R276" s="421">
        <v>0</v>
      </c>
      <c r="S276" s="423">
        <v>0</v>
      </c>
      <c r="T276" s="412"/>
    </row>
    <row r="277" spans="2:20" x14ac:dyDescent="0.2">
      <c r="B277" s="412"/>
      <c r="C277" s="424" t="s">
        <v>65</v>
      </c>
      <c r="D277" s="425">
        <v>33.607567251657201</v>
      </c>
      <c r="E277" s="425">
        <v>512.071014020083</v>
      </c>
      <c r="F277" s="425">
        <v>-28.5725935735632</v>
      </c>
      <c r="G277" s="425">
        <v>374.59573069184501</v>
      </c>
      <c r="H277" s="425">
        <v>1005.45454545455</v>
      </c>
      <c r="I277" s="425">
        <v>246.08</v>
      </c>
      <c r="J277" s="425">
        <v>180.45818950373001</v>
      </c>
      <c r="K277" s="425">
        <v>23.324330540101599</v>
      </c>
      <c r="L277" s="425">
        <v>-0.88147124718821601</v>
      </c>
      <c r="M277" s="425">
        <v>0</v>
      </c>
      <c r="N277" s="425">
        <v>57.2465959754038</v>
      </c>
      <c r="O277" s="425">
        <v>4.06931439737036</v>
      </c>
      <c r="P277" s="425">
        <v>-40.599613583103199</v>
      </c>
      <c r="Q277" s="425">
        <v>0</v>
      </c>
      <c r="R277" s="425">
        <v>0</v>
      </c>
      <c r="S277" s="425">
        <v>2366.8536094308802</v>
      </c>
      <c r="T277" s="412"/>
    </row>
    <row r="278" spans="2:20" x14ac:dyDescent="0.2">
      <c r="B278" s="412"/>
      <c r="C278" s="426"/>
      <c r="D278" s="427"/>
      <c r="E278" s="427"/>
      <c r="F278" s="427"/>
      <c r="G278" s="427"/>
      <c r="H278" s="427"/>
      <c r="I278" s="427"/>
      <c r="J278" s="427"/>
      <c r="K278" s="427"/>
      <c r="L278" s="427"/>
      <c r="M278" s="427"/>
      <c r="N278" s="427"/>
      <c r="O278" s="427"/>
      <c r="P278" s="427"/>
      <c r="Q278" s="427"/>
      <c r="R278" s="427"/>
      <c r="S278" s="427"/>
      <c r="T278" s="412"/>
    </row>
    <row r="279" spans="2:20" x14ac:dyDescent="0.2">
      <c r="B279" s="412"/>
      <c r="C279" s="428" t="s">
        <v>67</v>
      </c>
      <c r="D279" s="421">
        <v>0</v>
      </c>
      <c r="E279" s="421">
        <v>0</v>
      </c>
      <c r="F279" s="421">
        <v>0</v>
      </c>
      <c r="G279" s="421">
        <v>0</v>
      </c>
      <c r="H279" s="421">
        <v>0</v>
      </c>
      <c r="I279" s="421">
        <v>0</v>
      </c>
      <c r="J279" s="421">
        <v>0</v>
      </c>
      <c r="K279" s="421">
        <v>0</v>
      </c>
      <c r="L279" s="421">
        <v>0</v>
      </c>
      <c r="M279" s="421">
        <v>0</v>
      </c>
      <c r="N279" s="421">
        <v>0</v>
      </c>
      <c r="O279" s="421">
        <v>0</v>
      </c>
      <c r="P279" s="421">
        <v>0</v>
      </c>
      <c r="Q279" s="421">
        <v>0</v>
      </c>
      <c r="R279" s="421">
        <v>0</v>
      </c>
      <c r="S279" s="429">
        <v>0</v>
      </c>
      <c r="T279" s="412"/>
    </row>
    <row r="280" spans="2:20" x14ac:dyDescent="0.2">
      <c r="B280" s="412"/>
      <c r="C280" s="428" t="s">
        <v>347</v>
      </c>
      <c r="D280" s="421">
        <v>2.2004707355665598</v>
      </c>
      <c r="E280" s="421">
        <v>0</v>
      </c>
      <c r="F280" s="421">
        <v>3.8636363636363602</v>
      </c>
      <c r="G280" s="421">
        <v>17.955675135092299</v>
      </c>
      <c r="H280" s="421">
        <v>1005.45454545455</v>
      </c>
      <c r="I280" s="421">
        <v>246.08</v>
      </c>
      <c r="J280" s="421">
        <v>24.057674539507001</v>
      </c>
      <c r="K280" s="421">
        <v>6.4003284253933197</v>
      </c>
      <c r="L280" s="421">
        <v>0</v>
      </c>
      <c r="M280" s="421">
        <v>0.366442349695761</v>
      </c>
      <c r="N280" s="421">
        <v>0</v>
      </c>
      <c r="O280" s="421">
        <v>0</v>
      </c>
      <c r="P280" s="421">
        <v>-600.72360696632904</v>
      </c>
      <c r="Q280" s="421">
        <v>0</v>
      </c>
      <c r="R280" s="421">
        <v>0</v>
      </c>
      <c r="S280" s="429">
        <v>705.65516603710796</v>
      </c>
      <c r="T280" s="412"/>
    </row>
    <row r="281" spans="2:20" x14ac:dyDescent="0.2">
      <c r="B281" s="412"/>
      <c r="C281" s="428" t="s">
        <v>348</v>
      </c>
      <c r="D281" s="421">
        <v>0</v>
      </c>
      <c r="E281" s="421">
        <v>0</v>
      </c>
      <c r="F281" s="421">
        <v>0</v>
      </c>
      <c r="G281" s="421">
        <v>17.1879921419563</v>
      </c>
      <c r="H281" s="421">
        <v>0</v>
      </c>
      <c r="I281" s="421">
        <v>0</v>
      </c>
      <c r="J281" s="421">
        <v>12.682834988028199</v>
      </c>
      <c r="K281" s="421">
        <v>12.7191917514679</v>
      </c>
      <c r="L281" s="421">
        <v>0</v>
      </c>
      <c r="M281" s="421">
        <v>0.35077534983584302</v>
      </c>
      <c r="N281" s="421">
        <v>0</v>
      </c>
      <c r="O281" s="421">
        <v>2.2454573880541999</v>
      </c>
      <c r="P281" s="421">
        <v>0</v>
      </c>
      <c r="Q281" s="421">
        <v>-41.0285859229053</v>
      </c>
      <c r="R281" s="421">
        <v>0</v>
      </c>
      <c r="S281" s="429">
        <v>4.1576656964370899</v>
      </c>
      <c r="T281" s="412"/>
    </row>
    <row r="282" spans="2:20" x14ac:dyDescent="0.2">
      <c r="B282" s="412"/>
      <c r="C282" s="428" t="s">
        <v>349</v>
      </c>
      <c r="D282" s="421">
        <v>0</v>
      </c>
      <c r="E282" s="421">
        <v>0</v>
      </c>
      <c r="F282" s="421">
        <v>0</v>
      </c>
      <c r="G282" s="421">
        <v>0</v>
      </c>
      <c r="H282" s="421">
        <v>0</v>
      </c>
      <c r="I282" s="421">
        <v>0</v>
      </c>
      <c r="J282" s="421">
        <v>8.1791621467337805</v>
      </c>
      <c r="K282" s="421">
        <v>0</v>
      </c>
      <c r="L282" s="421">
        <v>0</v>
      </c>
      <c r="M282" s="421">
        <v>-7.3939625806473401</v>
      </c>
      <c r="N282" s="421">
        <v>0</v>
      </c>
      <c r="O282" s="421">
        <v>0</v>
      </c>
      <c r="P282" s="421">
        <v>0</v>
      </c>
      <c r="Q282" s="421">
        <v>0</v>
      </c>
      <c r="R282" s="421">
        <v>0</v>
      </c>
      <c r="S282" s="429">
        <v>0.78519956608644204</v>
      </c>
      <c r="T282" s="412"/>
    </row>
    <row r="283" spans="2:20" x14ac:dyDescent="0.2">
      <c r="B283" s="412"/>
      <c r="C283" s="428" t="s">
        <v>350</v>
      </c>
      <c r="D283" s="421">
        <v>0</v>
      </c>
      <c r="E283" s="421">
        <v>0</v>
      </c>
      <c r="F283" s="421">
        <v>0</v>
      </c>
      <c r="G283" s="421">
        <v>0</v>
      </c>
      <c r="H283" s="421">
        <v>0</v>
      </c>
      <c r="I283" s="421">
        <v>0</v>
      </c>
      <c r="J283" s="421">
        <v>0</v>
      </c>
      <c r="K283" s="421">
        <v>0</v>
      </c>
      <c r="L283" s="421">
        <v>0</v>
      </c>
      <c r="M283" s="421">
        <v>0</v>
      </c>
      <c r="N283" s="421">
        <v>0</v>
      </c>
      <c r="O283" s="421">
        <v>0</v>
      </c>
      <c r="P283" s="421">
        <v>0</v>
      </c>
      <c r="Q283" s="421">
        <v>0</v>
      </c>
      <c r="R283" s="421">
        <v>0</v>
      </c>
      <c r="S283" s="429">
        <v>0</v>
      </c>
      <c r="T283" s="412"/>
    </row>
    <row r="284" spans="2:20" x14ac:dyDescent="0.2">
      <c r="B284" s="412"/>
      <c r="C284" s="428" t="s">
        <v>72</v>
      </c>
      <c r="D284" s="421">
        <v>0</v>
      </c>
      <c r="E284" s="421">
        <v>530.45114623720201</v>
      </c>
      <c r="F284" s="421">
        <v>-525.14663477482998</v>
      </c>
      <c r="G284" s="421">
        <v>0</v>
      </c>
      <c r="H284" s="421">
        <v>0</v>
      </c>
      <c r="I284" s="421">
        <v>0</v>
      </c>
      <c r="J284" s="421">
        <v>0</v>
      </c>
      <c r="K284" s="421">
        <v>0</v>
      </c>
      <c r="L284" s="421">
        <v>0</v>
      </c>
      <c r="M284" s="421">
        <v>0</v>
      </c>
      <c r="N284" s="421">
        <v>0</v>
      </c>
      <c r="O284" s="421">
        <v>0</v>
      </c>
      <c r="P284" s="421">
        <v>0</v>
      </c>
      <c r="Q284" s="421">
        <v>0</v>
      </c>
      <c r="R284" s="421">
        <v>0</v>
      </c>
      <c r="S284" s="429">
        <v>5.3045114623720302</v>
      </c>
      <c r="T284" s="412"/>
    </row>
    <row r="285" spans="2:20" x14ac:dyDescent="0.2">
      <c r="B285" s="412"/>
      <c r="C285" s="428" t="s">
        <v>351</v>
      </c>
      <c r="D285" s="421">
        <v>0</v>
      </c>
      <c r="E285" s="421">
        <v>0</v>
      </c>
      <c r="F285" s="421">
        <v>0</v>
      </c>
      <c r="G285" s="421">
        <v>0</v>
      </c>
      <c r="H285" s="421">
        <v>0</v>
      </c>
      <c r="I285" s="421">
        <v>0</v>
      </c>
      <c r="J285" s="421">
        <v>39.445597700089998</v>
      </c>
      <c r="K285" s="421">
        <v>0</v>
      </c>
      <c r="L285" s="421">
        <v>-39.445597700089998</v>
      </c>
      <c r="M285" s="421">
        <v>0</v>
      </c>
      <c r="N285" s="421">
        <v>0</v>
      </c>
      <c r="O285" s="421">
        <v>0</v>
      </c>
      <c r="P285" s="421">
        <v>0</v>
      </c>
      <c r="Q285" s="421">
        <v>0</v>
      </c>
      <c r="R285" s="421">
        <v>0</v>
      </c>
      <c r="S285" s="429">
        <v>0</v>
      </c>
      <c r="T285" s="412"/>
    </row>
    <row r="286" spans="2:20" x14ac:dyDescent="0.2">
      <c r="B286" s="412"/>
      <c r="C286" s="428" t="s">
        <v>352</v>
      </c>
      <c r="D286" s="421">
        <v>0</v>
      </c>
      <c r="E286" s="421">
        <v>0</v>
      </c>
      <c r="F286" s="421">
        <v>0</v>
      </c>
      <c r="G286" s="421">
        <v>0</v>
      </c>
      <c r="H286" s="421">
        <v>0</v>
      </c>
      <c r="I286" s="421">
        <v>0</v>
      </c>
      <c r="J286" s="421">
        <v>0</v>
      </c>
      <c r="K286" s="421">
        <v>0</v>
      </c>
      <c r="L286" s="421">
        <v>-0.18005031965795901</v>
      </c>
      <c r="M286" s="421">
        <v>0</v>
      </c>
      <c r="N286" s="421">
        <v>0</v>
      </c>
      <c r="O286" s="421">
        <v>0</v>
      </c>
      <c r="P286" s="421">
        <v>0</v>
      </c>
      <c r="Q286" s="421">
        <v>0</v>
      </c>
      <c r="R286" s="421">
        <v>0.25721474236851299</v>
      </c>
      <c r="S286" s="429">
        <v>7.7164422710554001E-2</v>
      </c>
      <c r="T286" s="412"/>
    </row>
    <row r="287" spans="2:20" x14ac:dyDescent="0.2">
      <c r="B287" s="412"/>
      <c r="C287" s="428" t="s">
        <v>73</v>
      </c>
      <c r="D287" s="421">
        <v>0</v>
      </c>
      <c r="E287" s="421">
        <v>0</v>
      </c>
      <c r="F287" s="421">
        <v>0</v>
      </c>
      <c r="G287" s="421">
        <v>3.2927955650537002</v>
      </c>
      <c r="H287" s="421">
        <v>0</v>
      </c>
      <c r="I287" s="421">
        <v>0</v>
      </c>
      <c r="J287" s="421">
        <v>0</v>
      </c>
      <c r="K287" s="421">
        <v>3.7583841997143097E-2</v>
      </c>
      <c r="L287" s="421">
        <v>0</v>
      </c>
      <c r="M287" s="421">
        <v>6.7199909490891899E-2</v>
      </c>
      <c r="N287" s="421">
        <v>0</v>
      </c>
      <c r="O287" s="421">
        <v>0</v>
      </c>
      <c r="P287" s="421">
        <v>0.37251241625487003</v>
      </c>
      <c r="Q287" s="421">
        <v>0</v>
      </c>
      <c r="R287" s="421">
        <v>-2.63086893980002</v>
      </c>
      <c r="S287" s="429">
        <v>1.1392227929965899</v>
      </c>
      <c r="T287" s="412"/>
    </row>
    <row r="288" spans="2:20" x14ac:dyDescent="0.2">
      <c r="B288" s="412"/>
      <c r="C288" s="428" t="s">
        <v>353</v>
      </c>
      <c r="D288" s="421">
        <v>14.1944855957031</v>
      </c>
      <c r="E288" s="421">
        <v>-18.380132217119101</v>
      </c>
      <c r="F288" s="421">
        <v>24.040127313749402</v>
      </c>
      <c r="G288" s="421">
        <v>0</v>
      </c>
      <c r="H288" s="421">
        <v>0</v>
      </c>
      <c r="I288" s="421">
        <v>0</v>
      </c>
      <c r="J288" s="421">
        <v>0</v>
      </c>
      <c r="K288" s="421">
        <v>0</v>
      </c>
      <c r="L288" s="421">
        <v>0</v>
      </c>
      <c r="M288" s="421">
        <v>0</v>
      </c>
      <c r="N288" s="421">
        <v>0</v>
      </c>
      <c r="O288" s="421">
        <v>0</v>
      </c>
      <c r="P288" s="421">
        <v>0</v>
      </c>
      <c r="Q288" s="421">
        <v>0</v>
      </c>
      <c r="R288" s="421">
        <v>0</v>
      </c>
      <c r="S288" s="429">
        <v>19.8544806923335</v>
      </c>
      <c r="T288" s="412"/>
    </row>
    <row r="289" spans="2:20" x14ac:dyDescent="0.2">
      <c r="B289" s="412"/>
      <c r="C289" s="428" t="s">
        <v>75</v>
      </c>
      <c r="D289" s="421">
        <v>9.7861113281249992</v>
      </c>
      <c r="E289" s="421">
        <v>0</v>
      </c>
      <c r="F289" s="421">
        <v>18.035338972064899</v>
      </c>
      <c r="G289" s="421">
        <v>5.1464370207933401</v>
      </c>
      <c r="H289" s="421">
        <v>0</v>
      </c>
      <c r="I289" s="421">
        <v>0</v>
      </c>
      <c r="J289" s="421">
        <v>0</v>
      </c>
      <c r="K289" s="421">
        <v>0</v>
      </c>
      <c r="L289" s="421">
        <v>0</v>
      </c>
      <c r="M289" s="421">
        <v>0.105029326954966</v>
      </c>
      <c r="N289" s="421">
        <v>0</v>
      </c>
      <c r="O289" s="421">
        <v>0</v>
      </c>
      <c r="P289" s="421">
        <v>31.7730894392256</v>
      </c>
      <c r="Q289" s="421">
        <v>0</v>
      </c>
      <c r="R289" s="421">
        <v>0</v>
      </c>
      <c r="S289" s="429">
        <v>64.846006087163701</v>
      </c>
      <c r="T289" s="412"/>
    </row>
    <row r="290" spans="2:20" x14ac:dyDescent="0.2">
      <c r="B290" s="412"/>
      <c r="C290" s="428" t="s">
        <v>76</v>
      </c>
      <c r="D290" s="421">
        <v>0</v>
      </c>
      <c r="E290" s="421">
        <v>0</v>
      </c>
      <c r="F290" s="421">
        <v>0</v>
      </c>
      <c r="G290" s="421">
        <v>4.2960968353958799</v>
      </c>
      <c r="H290" s="421">
        <v>0</v>
      </c>
      <c r="I290" s="421">
        <v>0</v>
      </c>
      <c r="J290" s="421">
        <v>0</v>
      </c>
      <c r="K290" s="421">
        <v>0</v>
      </c>
      <c r="L290" s="421">
        <v>0</v>
      </c>
      <c r="M290" s="421">
        <v>8.7675445620324199E-2</v>
      </c>
      <c r="N290" s="421">
        <v>0</v>
      </c>
      <c r="O290" s="421">
        <v>0</v>
      </c>
      <c r="P290" s="421">
        <v>42.927323592620297</v>
      </c>
      <c r="Q290" s="421">
        <v>3.1793369165350902</v>
      </c>
      <c r="R290" s="421">
        <v>0</v>
      </c>
      <c r="S290" s="429">
        <v>50.490432790171603</v>
      </c>
      <c r="T290" s="412"/>
    </row>
    <row r="291" spans="2:20" x14ac:dyDescent="0.2">
      <c r="B291" s="412"/>
      <c r="C291" s="424" t="s">
        <v>77</v>
      </c>
      <c r="D291" s="425">
        <v>26.181067659394699</v>
      </c>
      <c r="E291" s="425">
        <v>512.071014020083</v>
      </c>
      <c r="F291" s="425">
        <v>-479.20753212538</v>
      </c>
      <c r="G291" s="425">
        <v>47.878996698291502</v>
      </c>
      <c r="H291" s="425">
        <v>1005.45454545455</v>
      </c>
      <c r="I291" s="425">
        <v>246.08</v>
      </c>
      <c r="J291" s="425">
        <v>84.365269374358903</v>
      </c>
      <c r="K291" s="425">
        <v>19.157104018858298</v>
      </c>
      <c r="L291" s="425">
        <v>-39.625648019747899</v>
      </c>
      <c r="M291" s="425">
        <v>-6.4168401990495498</v>
      </c>
      <c r="N291" s="425">
        <v>0</v>
      </c>
      <c r="O291" s="425">
        <v>2.2454573880541999</v>
      </c>
      <c r="P291" s="425">
        <v>-525.650681518228</v>
      </c>
      <c r="Q291" s="425">
        <v>-37.849249006370201</v>
      </c>
      <c r="R291" s="425">
        <v>-2.37365419743151</v>
      </c>
      <c r="S291" s="425">
        <v>852.30984954737903</v>
      </c>
      <c r="T291" s="412"/>
    </row>
    <row r="292" spans="2:20" x14ac:dyDescent="0.2">
      <c r="B292" s="412"/>
      <c r="C292" s="426"/>
      <c r="D292" s="427"/>
      <c r="E292" s="427"/>
      <c r="F292" s="427"/>
      <c r="G292" s="427"/>
      <c r="H292" s="427"/>
      <c r="I292" s="427"/>
      <c r="J292" s="427"/>
      <c r="K292" s="427"/>
      <c r="L292" s="427"/>
      <c r="M292" s="427"/>
      <c r="N292" s="427"/>
      <c r="O292" s="427"/>
      <c r="P292" s="427"/>
      <c r="Q292" s="427"/>
      <c r="R292" s="427"/>
      <c r="S292" s="427"/>
      <c r="T292" s="412"/>
    </row>
    <row r="293" spans="2:20" x14ac:dyDescent="0.2">
      <c r="B293" s="412"/>
      <c r="C293" s="428" t="s">
        <v>78</v>
      </c>
      <c r="D293" s="421">
        <v>5.2125076489031201</v>
      </c>
      <c r="E293" s="421">
        <v>0</v>
      </c>
      <c r="F293" s="421">
        <v>21.727756673907599</v>
      </c>
      <c r="G293" s="421">
        <v>101.51924937784101</v>
      </c>
      <c r="H293" s="421">
        <v>0</v>
      </c>
      <c r="I293" s="421">
        <v>0</v>
      </c>
      <c r="J293" s="421">
        <v>17.0707077986517</v>
      </c>
      <c r="K293" s="421">
        <v>4.1672265212432702</v>
      </c>
      <c r="L293" s="421">
        <v>0.85564616601562504</v>
      </c>
      <c r="M293" s="421">
        <v>2.07182141587431</v>
      </c>
      <c r="N293" s="421">
        <v>0</v>
      </c>
      <c r="O293" s="421">
        <v>0</v>
      </c>
      <c r="P293" s="421">
        <v>108.651427718851</v>
      </c>
      <c r="Q293" s="421">
        <v>18.253539143187599</v>
      </c>
      <c r="R293" s="421">
        <v>0.245581359863281</v>
      </c>
      <c r="S293" s="429">
        <v>279.775463824339</v>
      </c>
      <c r="T293" s="412"/>
    </row>
    <row r="294" spans="2:20" x14ac:dyDescent="0.2">
      <c r="B294" s="412"/>
      <c r="C294" s="428" t="s">
        <v>79</v>
      </c>
      <c r="D294" s="421">
        <v>0</v>
      </c>
      <c r="E294" s="421">
        <v>0</v>
      </c>
      <c r="F294" s="421">
        <v>248.35405318252</v>
      </c>
      <c r="G294" s="421">
        <v>28.348372671164501</v>
      </c>
      <c r="H294" s="421">
        <v>0</v>
      </c>
      <c r="I294" s="421">
        <v>0</v>
      </c>
      <c r="J294" s="421">
        <v>0</v>
      </c>
      <c r="K294" s="421">
        <v>0</v>
      </c>
      <c r="L294" s="421">
        <v>25.168184235978501</v>
      </c>
      <c r="M294" s="421">
        <v>0.57853821777886805</v>
      </c>
      <c r="N294" s="421">
        <v>0</v>
      </c>
      <c r="O294" s="421">
        <v>0</v>
      </c>
      <c r="P294" s="421">
        <v>52.469592014343696</v>
      </c>
      <c r="Q294" s="421">
        <v>0</v>
      </c>
      <c r="R294" s="421">
        <v>1.65835229069323</v>
      </c>
      <c r="S294" s="429">
        <v>356.57709261247902</v>
      </c>
      <c r="T294" s="412"/>
    </row>
    <row r="295" spans="2:20" x14ac:dyDescent="0.2">
      <c r="B295" s="412"/>
      <c r="C295" s="428" t="s">
        <v>80</v>
      </c>
      <c r="D295" s="421">
        <v>0</v>
      </c>
      <c r="E295" s="421">
        <v>0</v>
      </c>
      <c r="F295" s="421">
        <v>20.256761512665399</v>
      </c>
      <c r="G295" s="421">
        <v>114.236246094908</v>
      </c>
      <c r="H295" s="421">
        <v>0</v>
      </c>
      <c r="I295" s="421">
        <v>0</v>
      </c>
      <c r="J295" s="421">
        <v>74.165421932581495</v>
      </c>
      <c r="K295" s="421">
        <v>0</v>
      </c>
      <c r="L295" s="421">
        <v>0</v>
      </c>
      <c r="M295" s="421">
        <v>2.3313519611205602</v>
      </c>
      <c r="N295" s="421">
        <v>50.603124329176602</v>
      </c>
      <c r="O295" s="421">
        <v>0.95734789320939595</v>
      </c>
      <c r="P295" s="421">
        <v>178.886337281088</v>
      </c>
      <c r="Q295" s="421">
        <v>15.5186626122163</v>
      </c>
      <c r="R295" s="421">
        <v>0</v>
      </c>
      <c r="S295" s="429">
        <v>456.95525361696502</v>
      </c>
      <c r="T295" s="412"/>
    </row>
    <row r="296" spans="2:20" x14ac:dyDescent="0.2">
      <c r="B296" s="412"/>
      <c r="C296" s="428" t="s">
        <v>81</v>
      </c>
      <c r="D296" s="421">
        <v>0</v>
      </c>
      <c r="E296" s="421">
        <v>0</v>
      </c>
      <c r="F296" s="421">
        <v>8.4821062063849304</v>
      </c>
      <c r="G296" s="421">
        <v>65.4970920681791</v>
      </c>
      <c r="H296" s="421">
        <v>0</v>
      </c>
      <c r="I296" s="421">
        <v>0</v>
      </c>
      <c r="J296" s="421">
        <v>3.4528006603112198</v>
      </c>
      <c r="K296" s="421">
        <v>0</v>
      </c>
      <c r="L296" s="421">
        <v>0</v>
      </c>
      <c r="M296" s="421">
        <v>1.3366753483301901</v>
      </c>
      <c r="N296" s="421">
        <v>6.6434716462271597</v>
      </c>
      <c r="O296" s="421">
        <v>0.79174204160808703</v>
      </c>
      <c r="P296" s="421">
        <v>137.26768731378999</v>
      </c>
      <c r="Q296" s="421">
        <v>4.0770472509662401</v>
      </c>
      <c r="R296" s="421">
        <v>0</v>
      </c>
      <c r="S296" s="429">
        <v>227.54862253579699</v>
      </c>
      <c r="T296" s="412"/>
    </row>
    <row r="297" spans="2:20" x14ac:dyDescent="0.2">
      <c r="B297" s="412"/>
      <c r="C297" s="428" t="s">
        <v>82</v>
      </c>
      <c r="D297" s="421">
        <v>0</v>
      </c>
      <c r="E297" s="421">
        <v>0</v>
      </c>
      <c r="F297" s="421">
        <v>13.750506376214</v>
      </c>
      <c r="G297" s="421">
        <v>4.8242095413356898</v>
      </c>
      <c r="H297" s="421">
        <v>0</v>
      </c>
      <c r="I297" s="421">
        <v>0</v>
      </c>
      <c r="J297" s="421">
        <v>1.4039897378261701</v>
      </c>
      <c r="K297" s="421">
        <v>0</v>
      </c>
      <c r="L297" s="421">
        <v>12.720346370565601</v>
      </c>
      <c r="M297" s="421">
        <v>9.8453255945626303E-2</v>
      </c>
      <c r="N297" s="421">
        <v>0</v>
      </c>
      <c r="O297" s="421">
        <v>7.4767074498679406E-2</v>
      </c>
      <c r="P297" s="421">
        <v>7.7760236070527604</v>
      </c>
      <c r="Q297" s="421">
        <v>0</v>
      </c>
      <c r="R297" s="421">
        <v>0</v>
      </c>
      <c r="S297" s="429">
        <v>40.648295963438599</v>
      </c>
      <c r="T297" s="412"/>
    </row>
    <row r="298" spans="2:20" x14ac:dyDescent="0.2">
      <c r="B298" s="412"/>
      <c r="C298" s="428" t="s">
        <v>354</v>
      </c>
      <c r="D298" s="421">
        <v>0</v>
      </c>
      <c r="E298" s="421">
        <v>0</v>
      </c>
      <c r="F298" s="421">
        <v>0</v>
      </c>
      <c r="G298" s="421">
        <v>0</v>
      </c>
      <c r="H298" s="421">
        <v>0</v>
      </c>
      <c r="I298" s="421">
        <v>0</v>
      </c>
      <c r="J298" s="421">
        <v>0</v>
      </c>
      <c r="K298" s="421">
        <v>0</v>
      </c>
      <c r="L298" s="421">
        <v>0</v>
      </c>
      <c r="M298" s="421">
        <v>0</v>
      </c>
      <c r="N298" s="421">
        <v>0</v>
      </c>
      <c r="O298" s="421">
        <v>0</v>
      </c>
      <c r="P298" s="421">
        <v>0</v>
      </c>
      <c r="Q298" s="421">
        <v>0</v>
      </c>
      <c r="R298" s="421">
        <v>0</v>
      </c>
      <c r="S298" s="429">
        <v>0</v>
      </c>
      <c r="T298" s="412"/>
    </row>
    <row r="299" spans="2:20" x14ac:dyDescent="0.2">
      <c r="B299" s="412"/>
      <c r="C299" s="424" t="s">
        <v>83</v>
      </c>
      <c r="D299" s="425">
        <v>5.2125076489031201</v>
      </c>
      <c r="E299" s="425">
        <v>0</v>
      </c>
      <c r="F299" s="425">
        <v>312.57118395169198</v>
      </c>
      <c r="G299" s="425">
        <v>314.42516975342801</v>
      </c>
      <c r="H299" s="425">
        <v>0</v>
      </c>
      <c r="I299" s="425">
        <v>0</v>
      </c>
      <c r="J299" s="425">
        <v>96.092920129370597</v>
      </c>
      <c r="K299" s="425">
        <v>4.1672265212432702</v>
      </c>
      <c r="L299" s="425">
        <v>38.744176772559697</v>
      </c>
      <c r="M299" s="425">
        <v>6.4168401990495498</v>
      </c>
      <c r="N299" s="425">
        <v>57.2465959754038</v>
      </c>
      <c r="O299" s="425">
        <v>1.8238570093161599</v>
      </c>
      <c r="P299" s="425">
        <v>485.05106793512499</v>
      </c>
      <c r="Q299" s="425">
        <v>37.849249006370201</v>
      </c>
      <c r="R299" s="425">
        <v>1.9039336505565101</v>
      </c>
      <c r="S299" s="425">
        <v>1361.50472855302</v>
      </c>
      <c r="T299" s="412"/>
    </row>
    <row r="300" spans="2:20" x14ac:dyDescent="0.2">
      <c r="B300" s="412"/>
      <c r="C300" s="420" t="s">
        <v>84</v>
      </c>
      <c r="D300" s="421">
        <v>2.2139919433593702</v>
      </c>
      <c r="E300" s="421">
        <v>0</v>
      </c>
      <c r="F300" s="421">
        <v>138.06375460012401</v>
      </c>
      <c r="G300" s="421">
        <v>12.2915642401253</v>
      </c>
      <c r="H300" s="421">
        <v>0</v>
      </c>
      <c r="I300" s="421">
        <v>0</v>
      </c>
      <c r="J300" s="421">
        <v>0</v>
      </c>
      <c r="K300" s="421">
        <v>0</v>
      </c>
      <c r="L300" s="421">
        <v>0</v>
      </c>
      <c r="M300" s="421">
        <v>0</v>
      </c>
      <c r="N300" s="421">
        <v>0</v>
      </c>
      <c r="O300" s="421">
        <v>0</v>
      </c>
      <c r="P300" s="421">
        <v>0</v>
      </c>
      <c r="Q300" s="421">
        <v>0</v>
      </c>
      <c r="R300" s="421">
        <v>0.46972054687499998</v>
      </c>
      <c r="S300" s="429">
        <v>153.03903133048399</v>
      </c>
      <c r="T300" s="412"/>
    </row>
    <row r="301" spans="2:20" x14ac:dyDescent="0.2">
      <c r="B301" s="412"/>
      <c r="C301" s="424" t="s">
        <v>85</v>
      </c>
      <c r="D301" s="425">
        <v>7.4264995922625001</v>
      </c>
      <c r="E301" s="425">
        <v>0</v>
      </c>
      <c r="F301" s="425">
        <v>450.63493855181599</v>
      </c>
      <c r="G301" s="425">
        <v>326.71673399355302</v>
      </c>
      <c r="H301" s="425">
        <v>0</v>
      </c>
      <c r="I301" s="425">
        <v>0</v>
      </c>
      <c r="J301" s="425">
        <v>96.092920129370597</v>
      </c>
      <c r="K301" s="425">
        <v>4.1672265212432702</v>
      </c>
      <c r="L301" s="425">
        <v>38.744176772559697</v>
      </c>
      <c r="M301" s="425">
        <v>6.4168401990495498</v>
      </c>
      <c r="N301" s="425">
        <v>57.2465959754038</v>
      </c>
      <c r="O301" s="425">
        <v>1.8238570093161599</v>
      </c>
      <c r="P301" s="425">
        <v>485.05106793512499</v>
      </c>
      <c r="Q301" s="425">
        <v>37.849249006370201</v>
      </c>
      <c r="R301" s="425">
        <v>2.37365419743151</v>
      </c>
      <c r="S301" s="425">
        <v>1514.5437598834999</v>
      </c>
      <c r="T301" s="412"/>
    </row>
    <row r="302" spans="2:20" x14ac:dyDescent="0.2">
      <c r="B302" s="412"/>
      <c r="C302" s="412"/>
      <c r="D302" s="430">
        <f t="shared" ref="D302:S302" si="15">D301+D291-D277</f>
        <v>0</v>
      </c>
      <c r="E302" s="430">
        <f t="shared" si="15"/>
        <v>0</v>
      </c>
      <c r="F302" s="430">
        <f t="shared" si="15"/>
        <v>-8.0646600508771371E-13</v>
      </c>
      <c r="G302" s="430">
        <f t="shared" si="15"/>
        <v>-4.5474735088646412E-13</v>
      </c>
      <c r="H302" s="430">
        <f t="shared" si="15"/>
        <v>0</v>
      </c>
      <c r="I302" s="430">
        <f t="shared" si="15"/>
        <v>0</v>
      </c>
      <c r="J302" s="430">
        <f t="shared" si="15"/>
        <v>-5.1159076974727213E-13</v>
      </c>
      <c r="K302" s="430">
        <f t="shared" si="15"/>
        <v>-2.8421709430404007E-14</v>
      </c>
      <c r="L302" s="430">
        <f t="shared" si="15"/>
        <v>1.4210854715202004E-14</v>
      </c>
      <c r="M302" s="430">
        <f t="shared" si="15"/>
        <v>0</v>
      </c>
      <c r="N302" s="430">
        <f t="shared" si="15"/>
        <v>0</v>
      </c>
      <c r="O302" s="430">
        <f t="shared" si="15"/>
        <v>0</v>
      </c>
      <c r="P302" s="430">
        <f t="shared" si="15"/>
        <v>1.9184653865522705E-13</v>
      </c>
      <c r="Q302" s="430">
        <f t="shared" si="15"/>
        <v>0</v>
      </c>
      <c r="R302" s="430">
        <f t="shared" si="15"/>
        <v>0</v>
      </c>
      <c r="S302" s="430">
        <f t="shared" si="15"/>
        <v>0</v>
      </c>
      <c r="T302" s="412"/>
    </row>
    <row r="303" spans="2:20" x14ac:dyDescent="0.2">
      <c r="B303" s="412"/>
      <c r="C303" s="412"/>
      <c r="D303" s="412"/>
      <c r="E303" s="412"/>
      <c r="F303" s="412"/>
      <c r="G303" s="412"/>
      <c r="H303" s="412"/>
      <c r="I303" s="412"/>
      <c r="J303" s="412"/>
      <c r="K303" s="412"/>
      <c r="L303" s="412"/>
      <c r="M303" s="412"/>
      <c r="N303" s="412"/>
      <c r="O303" s="412"/>
      <c r="P303" s="412"/>
      <c r="Q303" s="412"/>
      <c r="R303" s="412"/>
      <c r="S303" s="412"/>
      <c r="T303" s="412"/>
    </row>
    <row r="304" spans="2:20" ht="14.25" x14ac:dyDescent="0.2">
      <c r="B304" s="416"/>
      <c r="C304" s="417" t="s">
        <v>360</v>
      </c>
      <c r="D304" s="416"/>
      <c r="E304" s="416"/>
      <c r="F304" s="416"/>
      <c r="G304" s="416"/>
      <c r="H304" s="416"/>
      <c r="I304" s="416"/>
      <c r="J304" s="416"/>
      <c r="K304" s="416"/>
      <c r="L304" s="416"/>
      <c r="M304" s="416"/>
      <c r="N304" s="416"/>
      <c r="O304" s="416"/>
      <c r="P304" s="416"/>
      <c r="Q304" s="416"/>
      <c r="R304" s="416"/>
      <c r="S304" s="416"/>
      <c r="T304" s="416"/>
    </row>
    <row r="305" spans="2:20" x14ac:dyDescent="0.2">
      <c r="B305" s="412"/>
      <c r="C305" s="412"/>
      <c r="D305" s="412"/>
      <c r="E305" s="412"/>
      <c r="F305" s="412"/>
      <c r="G305" s="412"/>
      <c r="H305" s="412"/>
      <c r="I305" s="412"/>
      <c r="J305" s="412"/>
      <c r="K305" s="412"/>
      <c r="L305" s="412"/>
      <c r="M305" s="412"/>
      <c r="N305" s="412"/>
      <c r="O305" s="412"/>
      <c r="P305" s="412"/>
      <c r="Q305" s="412"/>
      <c r="R305" s="412"/>
      <c r="S305" s="412"/>
      <c r="T305" s="412"/>
    </row>
    <row r="306" spans="2:20" ht="13.5" customHeight="1" x14ac:dyDescent="0.2">
      <c r="B306" s="412"/>
      <c r="C306" s="756" t="s">
        <v>128</v>
      </c>
      <c r="D306" s="755" t="s">
        <v>42</v>
      </c>
      <c r="E306" s="755" t="s">
        <v>52</v>
      </c>
      <c r="F306" s="755" t="s">
        <v>53</v>
      </c>
      <c r="G306" s="755" t="s">
        <v>32</v>
      </c>
      <c r="H306" s="755" t="s">
        <v>20</v>
      </c>
      <c r="I306" s="755" t="s">
        <v>55</v>
      </c>
      <c r="J306" s="755" t="s">
        <v>56</v>
      </c>
      <c r="K306" s="755"/>
      <c r="L306" s="755"/>
      <c r="M306" s="755"/>
      <c r="N306" s="755"/>
      <c r="O306" s="755"/>
      <c r="P306" s="755" t="s">
        <v>57</v>
      </c>
      <c r="Q306" s="755" t="s">
        <v>58</v>
      </c>
      <c r="R306" s="755" t="s">
        <v>31</v>
      </c>
      <c r="S306" s="755" t="s">
        <v>10</v>
      </c>
      <c r="T306" s="412"/>
    </row>
    <row r="307" spans="2:20" ht="56.25" x14ac:dyDescent="0.2">
      <c r="B307" s="412"/>
      <c r="C307" s="756"/>
      <c r="D307" s="755"/>
      <c r="E307" s="755"/>
      <c r="F307" s="755"/>
      <c r="G307" s="755"/>
      <c r="H307" s="755"/>
      <c r="I307" s="755"/>
      <c r="J307" s="418" t="s">
        <v>335</v>
      </c>
      <c r="K307" s="418" t="s">
        <v>40</v>
      </c>
      <c r="L307" s="418" t="s">
        <v>343</v>
      </c>
      <c r="M307" s="418" t="s">
        <v>344</v>
      </c>
      <c r="N307" s="419" t="s">
        <v>345</v>
      </c>
      <c r="O307" s="418" t="s">
        <v>346</v>
      </c>
      <c r="P307" s="755"/>
      <c r="Q307" s="755"/>
      <c r="R307" s="755"/>
      <c r="S307" s="755"/>
      <c r="T307" s="412"/>
    </row>
    <row r="308" spans="2:20" x14ac:dyDescent="0.2">
      <c r="B308" s="412"/>
      <c r="C308" s="420" t="s">
        <v>59</v>
      </c>
      <c r="D308" s="421">
        <v>0</v>
      </c>
      <c r="E308" s="421">
        <v>0</v>
      </c>
      <c r="F308" s="421">
        <v>0</v>
      </c>
      <c r="G308" s="421">
        <v>0</v>
      </c>
      <c r="H308" s="422">
        <v>959.09090909090901</v>
      </c>
      <c r="I308" s="422">
        <v>262.58</v>
      </c>
      <c r="J308" s="422">
        <v>180.265617568263</v>
      </c>
      <c r="K308" s="422">
        <v>23.099472372796701</v>
      </c>
      <c r="L308" s="421">
        <v>0</v>
      </c>
      <c r="M308" s="421">
        <v>0</v>
      </c>
      <c r="N308" s="422">
        <v>59.577309191786703</v>
      </c>
      <c r="O308" s="422">
        <v>4.0524132365006302</v>
      </c>
      <c r="P308" s="421">
        <v>0</v>
      </c>
      <c r="Q308" s="421">
        <v>0</v>
      </c>
      <c r="R308" s="421">
        <v>0</v>
      </c>
      <c r="S308" s="423">
        <v>1488.6657214602601</v>
      </c>
      <c r="T308" s="412"/>
    </row>
    <row r="309" spans="2:20" x14ac:dyDescent="0.2">
      <c r="B309" s="412"/>
      <c r="C309" s="420" t="s">
        <v>60</v>
      </c>
      <c r="D309" s="421">
        <v>32.718430513686002</v>
      </c>
      <c r="E309" s="421">
        <v>504.19228646673599</v>
      </c>
      <c r="F309" s="421">
        <v>58.276607316060698</v>
      </c>
      <c r="G309" s="421">
        <v>375.54945868825399</v>
      </c>
      <c r="H309" s="421">
        <v>0</v>
      </c>
      <c r="I309" s="421">
        <v>0</v>
      </c>
      <c r="J309" s="421">
        <v>0</v>
      </c>
      <c r="K309" s="421">
        <v>0</v>
      </c>
      <c r="L309" s="421">
        <v>0</v>
      </c>
      <c r="M309" s="421">
        <v>0</v>
      </c>
      <c r="N309" s="421">
        <v>0</v>
      </c>
      <c r="O309" s="421">
        <v>0</v>
      </c>
      <c r="P309" s="421">
        <v>0</v>
      </c>
      <c r="Q309" s="421">
        <v>0</v>
      </c>
      <c r="R309" s="421">
        <v>0</v>
      </c>
      <c r="S309" s="423">
        <v>970.73678298473703</v>
      </c>
      <c r="T309" s="412"/>
    </row>
    <row r="310" spans="2:20" x14ac:dyDescent="0.2">
      <c r="B310" s="412"/>
      <c r="C310" s="420" t="s">
        <v>61</v>
      </c>
      <c r="D310" s="421">
        <v>0</v>
      </c>
      <c r="E310" s="421">
        <v>0</v>
      </c>
      <c r="F310" s="421">
        <v>0</v>
      </c>
      <c r="G310" s="421">
        <v>0</v>
      </c>
      <c r="H310" s="421">
        <v>0</v>
      </c>
      <c r="I310" s="421">
        <v>0</v>
      </c>
      <c r="J310" s="421">
        <v>0</v>
      </c>
      <c r="K310" s="421">
        <v>0</v>
      </c>
      <c r="L310" s="421">
        <v>0</v>
      </c>
      <c r="M310" s="421">
        <v>0</v>
      </c>
      <c r="N310" s="421">
        <v>0</v>
      </c>
      <c r="O310" s="421">
        <v>0</v>
      </c>
      <c r="P310" s="421">
        <v>-31.629492690064499</v>
      </c>
      <c r="Q310" s="421">
        <v>0</v>
      </c>
      <c r="R310" s="421">
        <v>0</v>
      </c>
      <c r="S310" s="423">
        <v>-31.629492690064499</v>
      </c>
      <c r="T310" s="412"/>
    </row>
    <row r="311" spans="2:20" x14ac:dyDescent="0.2">
      <c r="B311" s="412"/>
      <c r="C311" s="420" t="s">
        <v>62</v>
      </c>
      <c r="D311" s="421">
        <v>0</v>
      </c>
      <c r="E311" s="421">
        <v>0</v>
      </c>
      <c r="F311" s="421">
        <v>-15.8559052566209</v>
      </c>
      <c r="G311" s="421">
        <v>0</v>
      </c>
      <c r="H311" s="421">
        <v>0</v>
      </c>
      <c r="I311" s="421">
        <v>0</v>
      </c>
      <c r="J311" s="421">
        <v>0</v>
      </c>
      <c r="K311" s="421">
        <v>0</v>
      </c>
      <c r="L311" s="421">
        <v>0</v>
      </c>
      <c r="M311" s="421">
        <v>0</v>
      </c>
      <c r="N311" s="421">
        <v>0</v>
      </c>
      <c r="O311" s="421">
        <v>0</v>
      </c>
      <c r="P311" s="421">
        <v>0</v>
      </c>
      <c r="Q311" s="421">
        <v>0</v>
      </c>
      <c r="R311" s="421">
        <v>0</v>
      </c>
      <c r="S311" s="423">
        <v>-15.8559052566209</v>
      </c>
      <c r="T311" s="412"/>
    </row>
    <row r="312" spans="2:20" x14ac:dyDescent="0.2">
      <c r="B312" s="412"/>
      <c r="C312" s="420" t="s">
        <v>63</v>
      </c>
      <c r="D312" s="421">
        <v>0</v>
      </c>
      <c r="E312" s="421">
        <v>0</v>
      </c>
      <c r="F312" s="421">
        <v>-86.773262368245497</v>
      </c>
      <c r="G312" s="421">
        <v>0</v>
      </c>
      <c r="H312" s="421">
        <v>0</v>
      </c>
      <c r="I312" s="421">
        <v>0</v>
      </c>
      <c r="J312" s="421">
        <v>0</v>
      </c>
      <c r="K312" s="421">
        <v>0</v>
      </c>
      <c r="L312" s="421">
        <v>-0.89665432830126901</v>
      </c>
      <c r="M312" s="421">
        <v>0</v>
      </c>
      <c r="N312" s="421">
        <v>0</v>
      </c>
      <c r="O312" s="421">
        <v>0</v>
      </c>
      <c r="P312" s="421">
        <v>0</v>
      </c>
      <c r="Q312" s="421">
        <v>0</v>
      </c>
      <c r="R312" s="421">
        <v>0</v>
      </c>
      <c r="S312" s="423">
        <v>-87.669916696546807</v>
      </c>
      <c r="T312" s="412"/>
    </row>
    <row r="313" spans="2:20" x14ac:dyDescent="0.2">
      <c r="B313" s="412"/>
      <c r="C313" s="420" t="s">
        <v>64</v>
      </c>
      <c r="D313" s="421">
        <v>0</v>
      </c>
      <c r="E313" s="421">
        <v>0</v>
      </c>
      <c r="F313" s="421">
        <v>0</v>
      </c>
      <c r="G313" s="421">
        <v>0</v>
      </c>
      <c r="H313" s="421">
        <v>0</v>
      </c>
      <c r="I313" s="421">
        <v>0</v>
      </c>
      <c r="J313" s="421">
        <v>0</v>
      </c>
      <c r="K313" s="421">
        <v>0</v>
      </c>
      <c r="L313" s="421">
        <v>0</v>
      </c>
      <c r="M313" s="421">
        <v>0</v>
      </c>
      <c r="N313" s="421">
        <v>0</v>
      </c>
      <c r="O313" s="421">
        <v>0</v>
      </c>
      <c r="P313" s="421">
        <v>0</v>
      </c>
      <c r="Q313" s="421">
        <v>0</v>
      </c>
      <c r="R313" s="421">
        <v>0</v>
      </c>
      <c r="S313" s="423">
        <v>0</v>
      </c>
      <c r="T313" s="412"/>
    </row>
    <row r="314" spans="2:20" x14ac:dyDescent="0.2">
      <c r="B314" s="412"/>
      <c r="C314" s="424" t="s">
        <v>65</v>
      </c>
      <c r="D314" s="425">
        <v>32.718430513686002</v>
      </c>
      <c r="E314" s="425">
        <v>504.19228646673599</v>
      </c>
      <c r="F314" s="425">
        <v>-44.3525603088057</v>
      </c>
      <c r="G314" s="425">
        <v>375.54945868825399</v>
      </c>
      <c r="H314" s="425">
        <v>959.09090909090901</v>
      </c>
      <c r="I314" s="425">
        <v>262.58</v>
      </c>
      <c r="J314" s="425">
        <v>180.265617568263</v>
      </c>
      <c r="K314" s="425">
        <v>23.099472372796701</v>
      </c>
      <c r="L314" s="425">
        <v>-0.89665432830126901</v>
      </c>
      <c r="M314" s="425">
        <v>0</v>
      </c>
      <c r="N314" s="425">
        <v>59.577309191786703</v>
      </c>
      <c r="O314" s="425">
        <v>4.0524132365006302</v>
      </c>
      <c r="P314" s="425">
        <v>-31.629492690064499</v>
      </c>
      <c r="Q314" s="425">
        <v>0</v>
      </c>
      <c r="R314" s="425">
        <v>0</v>
      </c>
      <c r="S314" s="425">
        <v>2324.2471898017602</v>
      </c>
      <c r="T314" s="412"/>
    </row>
    <row r="315" spans="2:20" x14ac:dyDescent="0.2">
      <c r="B315" s="412"/>
      <c r="C315" s="426"/>
      <c r="D315" s="427"/>
      <c r="E315" s="427"/>
      <c r="F315" s="427"/>
      <c r="G315" s="427"/>
      <c r="H315" s="427"/>
      <c r="I315" s="427"/>
      <c r="J315" s="427"/>
      <c r="K315" s="427"/>
      <c r="L315" s="427"/>
      <c r="M315" s="427"/>
      <c r="N315" s="427"/>
      <c r="O315" s="427"/>
      <c r="P315" s="427"/>
      <c r="Q315" s="427"/>
      <c r="R315" s="427"/>
      <c r="S315" s="427"/>
      <c r="T315" s="412"/>
    </row>
    <row r="316" spans="2:20" x14ac:dyDescent="0.2">
      <c r="B316" s="412"/>
      <c r="C316" s="428" t="s">
        <v>67</v>
      </c>
      <c r="D316" s="421">
        <v>0</v>
      </c>
      <c r="E316" s="421">
        <v>0</v>
      </c>
      <c r="F316" s="421">
        <v>0</v>
      </c>
      <c r="G316" s="421">
        <v>0</v>
      </c>
      <c r="H316" s="421">
        <v>0</v>
      </c>
      <c r="I316" s="421">
        <v>0</v>
      </c>
      <c r="J316" s="421">
        <v>0</v>
      </c>
      <c r="K316" s="421">
        <v>0</v>
      </c>
      <c r="L316" s="421">
        <v>0</v>
      </c>
      <c r="M316" s="421">
        <v>0</v>
      </c>
      <c r="N316" s="421">
        <v>0</v>
      </c>
      <c r="O316" s="421">
        <v>0</v>
      </c>
      <c r="P316" s="421">
        <v>0</v>
      </c>
      <c r="Q316" s="421">
        <v>0</v>
      </c>
      <c r="R316" s="421">
        <v>0</v>
      </c>
      <c r="S316" s="429">
        <v>0</v>
      </c>
      <c r="T316" s="412"/>
    </row>
    <row r="317" spans="2:20" x14ac:dyDescent="0.2">
      <c r="B317" s="412"/>
      <c r="C317" s="428" t="s">
        <v>347</v>
      </c>
      <c r="D317" s="421">
        <v>2.2004707355665598</v>
      </c>
      <c r="E317" s="421">
        <v>0</v>
      </c>
      <c r="F317" s="421">
        <v>3.8636363636363602</v>
      </c>
      <c r="G317" s="421">
        <v>17.735248612195999</v>
      </c>
      <c r="H317" s="421">
        <v>959.09090909090901</v>
      </c>
      <c r="I317" s="421">
        <v>262.58</v>
      </c>
      <c r="J317" s="421">
        <v>23.4611328004797</v>
      </c>
      <c r="K317" s="421">
        <v>6.2174163871509203</v>
      </c>
      <c r="L317" s="421">
        <v>0</v>
      </c>
      <c r="M317" s="421">
        <v>0.36194384922848999</v>
      </c>
      <c r="N317" s="421">
        <v>0</v>
      </c>
      <c r="O317" s="421">
        <v>0</v>
      </c>
      <c r="P317" s="421">
        <v>-601.88588566531905</v>
      </c>
      <c r="Q317" s="421">
        <v>0</v>
      </c>
      <c r="R317" s="421">
        <v>0</v>
      </c>
      <c r="S317" s="429">
        <v>673.62487217384796</v>
      </c>
      <c r="T317" s="412"/>
    </row>
    <row r="318" spans="2:20" x14ac:dyDescent="0.2">
      <c r="B318" s="412"/>
      <c r="C318" s="428" t="s">
        <v>348</v>
      </c>
      <c r="D318" s="421">
        <v>0</v>
      </c>
      <c r="E318" s="421">
        <v>0</v>
      </c>
      <c r="F318" s="421">
        <v>0</v>
      </c>
      <c r="G318" s="421">
        <v>17.183924372650001</v>
      </c>
      <c r="H318" s="421">
        <v>0</v>
      </c>
      <c r="I318" s="421">
        <v>0</v>
      </c>
      <c r="J318" s="421">
        <v>12.602550905863099</v>
      </c>
      <c r="K318" s="421">
        <v>12.7146561007388</v>
      </c>
      <c r="L318" s="421">
        <v>0</v>
      </c>
      <c r="M318" s="421">
        <v>0.35069233413571399</v>
      </c>
      <c r="N318" s="421">
        <v>0</v>
      </c>
      <c r="O318" s="421">
        <v>2.2448826639763899</v>
      </c>
      <c r="P318" s="421">
        <v>0</v>
      </c>
      <c r="Q318" s="421">
        <v>-41.019007188274998</v>
      </c>
      <c r="R318" s="421">
        <v>0</v>
      </c>
      <c r="S318" s="429">
        <v>4.0776991890889702</v>
      </c>
      <c r="T318" s="412"/>
    </row>
    <row r="319" spans="2:20" x14ac:dyDescent="0.2">
      <c r="B319" s="412"/>
      <c r="C319" s="428" t="s">
        <v>349</v>
      </c>
      <c r="D319" s="421">
        <v>0</v>
      </c>
      <c r="E319" s="421">
        <v>0</v>
      </c>
      <c r="F319" s="421">
        <v>0</v>
      </c>
      <c r="G319" s="421">
        <v>0</v>
      </c>
      <c r="H319" s="421">
        <v>0</v>
      </c>
      <c r="I319" s="421">
        <v>0</v>
      </c>
      <c r="J319" s="421">
        <v>8.1259394649786305</v>
      </c>
      <c r="K319" s="421">
        <v>0</v>
      </c>
      <c r="L319" s="421">
        <v>0</v>
      </c>
      <c r="M319" s="421">
        <v>-7.4149197617929996</v>
      </c>
      <c r="N319" s="421">
        <v>0</v>
      </c>
      <c r="O319" s="421">
        <v>0</v>
      </c>
      <c r="P319" s="421">
        <v>0</v>
      </c>
      <c r="Q319" s="421">
        <v>0</v>
      </c>
      <c r="R319" s="421">
        <v>0</v>
      </c>
      <c r="S319" s="429">
        <v>0.71101970318563101</v>
      </c>
      <c r="T319" s="412"/>
    </row>
    <row r="320" spans="2:20" x14ac:dyDescent="0.2">
      <c r="B320" s="412"/>
      <c r="C320" s="428" t="s">
        <v>350</v>
      </c>
      <c r="D320" s="421">
        <v>0</v>
      </c>
      <c r="E320" s="421">
        <v>0</v>
      </c>
      <c r="F320" s="421">
        <v>0</v>
      </c>
      <c r="G320" s="421">
        <v>0</v>
      </c>
      <c r="H320" s="421">
        <v>0</v>
      </c>
      <c r="I320" s="421">
        <v>0</v>
      </c>
      <c r="J320" s="421">
        <v>0</v>
      </c>
      <c r="K320" s="421">
        <v>0</v>
      </c>
      <c r="L320" s="421">
        <v>0</v>
      </c>
      <c r="M320" s="421">
        <v>0</v>
      </c>
      <c r="N320" s="421">
        <v>0</v>
      </c>
      <c r="O320" s="421">
        <v>0</v>
      </c>
      <c r="P320" s="421">
        <v>0</v>
      </c>
      <c r="Q320" s="421">
        <v>0</v>
      </c>
      <c r="R320" s="421">
        <v>0</v>
      </c>
      <c r="S320" s="429">
        <v>0</v>
      </c>
      <c r="T320" s="412"/>
    </row>
    <row r="321" spans="2:20" x14ac:dyDescent="0.2">
      <c r="B321" s="412"/>
      <c r="C321" s="428" t="s">
        <v>72</v>
      </c>
      <c r="D321" s="421">
        <v>0</v>
      </c>
      <c r="E321" s="421">
        <v>522.289621864335</v>
      </c>
      <c r="F321" s="421">
        <v>-517.06672564569203</v>
      </c>
      <c r="G321" s="421">
        <v>0</v>
      </c>
      <c r="H321" s="421">
        <v>0</v>
      </c>
      <c r="I321" s="421">
        <v>0</v>
      </c>
      <c r="J321" s="421">
        <v>0</v>
      </c>
      <c r="K321" s="421">
        <v>0</v>
      </c>
      <c r="L321" s="421">
        <v>0</v>
      </c>
      <c r="M321" s="421">
        <v>0</v>
      </c>
      <c r="N321" s="421">
        <v>0</v>
      </c>
      <c r="O321" s="421">
        <v>0</v>
      </c>
      <c r="P321" s="421">
        <v>0</v>
      </c>
      <c r="Q321" s="421">
        <v>0</v>
      </c>
      <c r="R321" s="421">
        <v>0</v>
      </c>
      <c r="S321" s="429">
        <v>5.2228962186433101</v>
      </c>
      <c r="T321" s="412"/>
    </row>
    <row r="322" spans="2:20" x14ac:dyDescent="0.2">
      <c r="B322" s="412"/>
      <c r="C322" s="428" t="s">
        <v>351</v>
      </c>
      <c r="D322" s="421">
        <v>0</v>
      </c>
      <c r="E322" s="421">
        <v>0</v>
      </c>
      <c r="F322" s="421">
        <v>0</v>
      </c>
      <c r="G322" s="421">
        <v>0</v>
      </c>
      <c r="H322" s="421">
        <v>0</v>
      </c>
      <c r="I322" s="421">
        <v>0</v>
      </c>
      <c r="J322" s="421">
        <v>39.636150809514099</v>
      </c>
      <c r="K322" s="421">
        <v>0</v>
      </c>
      <c r="L322" s="421">
        <v>-39.636150809514099</v>
      </c>
      <c r="M322" s="421">
        <v>0</v>
      </c>
      <c r="N322" s="421">
        <v>0</v>
      </c>
      <c r="O322" s="421">
        <v>0</v>
      </c>
      <c r="P322" s="421">
        <v>0</v>
      </c>
      <c r="Q322" s="421">
        <v>0</v>
      </c>
      <c r="R322" s="421">
        <v>0</v>
      </c>
      <c r="S322" s="429">
        <v>0</v>
      </c>
      <c r="T322" s="412"/>
    </row>
    <row r="323" spans="2:20" x14ac:dyDescent="0.2">
      <c r="B323" s="412"/>
      <c r="C323" s="428" t="s">
        <v>352</v>
      </c>
      <c r="D323" s="421">
        <v>0</v>
      </c>
      <c r="E323" s="421">
        <v>0</v>
      </c>
      <c r="F323" s="421">
        <v>0</v>
      </c>
      <c r="G323" s="421">
        <v>0</v>
      </c>
      <c r="H323" s="421">
        <v>0</v>
      </c>
      <c r="I323" s="421">
        <v>0</v>
      </c>
      <c r="J323" s="421">
        <v>0</v>
      </c>
      <c r="K323" s="421">
        <v>0</v>
      </c>
      <c r="L323" s="421">
        <v>-0.18158952535457601</v>
      </c>
      <c r="M323" s="421">
        <v>0</v>
      </c>
      <c r="N323" s="421">
        <v>0</v>
      </c>
      <c r="O323" s="421">
        <v>0</v>
      </c>
      <c r="P323" s="421">
        <v>0</v>
      </c>
      <c r="Q323" s="421">
        <v>0</v>
      </c>
      <c r="R323" s="421">
        <v>0.25941360764939397</v>
      </c>
      <c r="S323" s="429">
        <v>7.7824082294818103E-2</v>
      </c>
      <c r="T323" s="412"/>
    </row>
    <row r="324" spans="2:20" x14ac:dyDescent="0.2">
      <c r="B324" s="412"/>
      <c r="C324" s="428" t="s">
        <v>73</v>
      </c>
      <c r="D324" s="421">
        <v>0</v>
      </c>
      <c r="E324" s="421">
        <v>0</v>
      </c>
      <c r="F324" s="421">
        <v>0</v>
      </c>
      <c r="G324" s="421">
        <v>3.8743456372163201</v>
      </c>
      <c r="H324" s="421">
        <v>0</v>
      </c>
      <c r="I324" s="421">
        <v>0</v>
      </c>
      <c r="J324" s="421">
        <v>0</v>
      </c>
      <c r="K324" s="421">
        <v>4.4420381073335499E-2</v>
      </c>
      <c r="L324" s="421">
        <v>0</v>
      </c>
      <c r="M324" s="421">
        <v>7.9068278310537199E-2</v>
      </c>
      <c r="N324" s="421">
        <v>0</v>
      </c>
      <c r="O324" s="421">
        <v>0</v>
      </c>
      <c r="P324" s="421">
        <v>0.45393090147934101</v>
      </c>
      <c r="Q324" s="421">
        <v>0</v>
      </c>
      <c r="R324" s="421">
        <v>-3.10942667513349</v>
      </c>
      <c r="S324" s="429">
        <v>1.3423385229460501</v>
      </c>
      <c r="T324" s="412"/>
    </row>
    <row r="325" spans="2:20" x14ac:dyDescent="0.2">
      <c r="B325" s="412"/>
      <c r="C325" s="428" t="s">
        <v>353</v>
      </c>
      <c r="D325" s="421">
        <v>13.757025878906299</v>
      </c>
      <c r="E325" s="421">
        <v>-18.097335397599199</v>
      </c>
      <c r="F325" s="421">
        <v>23.670245777269098</v>
      </c>
      <c r="G325" s="421">
        <v>0</v>
      </c>
      <c r="H325" s="421">
        <v>0</v>
      </c>
      <c r="I325" s="421">
        <v>0</v>
      </c>
      <c r="J325" s="421">
        <v>0</v>
      </c>
      <c r="K325" s="421">
        <v>0</v>
      </c>
      <c r="L325" s="421">
        <v>0</v>
      </c>
      <c r="M325" s="421">
        <v>0</v>
      </c>
      <c r="N325" s="421">
        <v>0</v>
      </c>
      <c r="O325" s="421">
        <v>0</v>
      </c>
      <c r="P325" s="421">
        <v>0</v>
      </c>
      <c r="Q325" s="421">
        <v>0</v>
      </c>
      <c r="R325" s="421">
        <v>0</v>
      </c>
      <c r="S325" s="429">
        <v>19.329936258576101</v>
      </c>
      <c r="T325" s="412"/>
    </row>
    <row r="326" spans="2:20" x14ac:dyDescent="0.2">
      <c r="B326" s="412"/>
      <c r="C326" s="428" t="s">
        <v>75</v>
      </c>
      <c r="D326" s="421">
        <v>9.7066552734374998</v>
      </c>
      <c r="E326" s="421">
        <v>0</v>
      </c>
      <c r="F326" s="421">
        <v>17.757847143387401</v>
      </c>
      <c r="G326" s="421">
        <v>5.0672539113277804</v>
      </c>
      <c r="H326" s="421">
        <v>0</v>
      </c>
      <c r="I326" s="421">
        <v>0</v>
      </c>
      <c r="J326" s="421">
        <v>0</v>
      </c>
      <c r="K326" s="421">
        <v>0</v>
      </c>
      <c r="L326" s="421">
        <v>0</v>
      </c>
      <c r="M326" s="421">
        <v>0.103413345129138</v>
      </c>
      <c r="N326" s="421">
        <v>0</v>
      </c>
      <c r="O326" s="421">
        <v>0</v>
      </c>
      <c r="P326" s="421">
        <v>30.6584761014478</v>
      </c>
      <c r="Q326" s="421">
        <v>0</v>
      </c>
      <c r="R326" s="421">
        <v>0</v>
      </c>
      <c r="S326" s="429">
        <v>63.293645774729598</v>
      </c>
      <c r="T326" s="412"/>
    </row>
    <row r="327" spans="2:20" x14ac:dyDescent="0.2">
      <c r="B327" s="412"/>
      <c r="C327" s="428" t="s">
        <v>76</v>
      </c>
      <c r="D327" s="421">
        <v>0</v>
      </c>
      <c r="E327" s="421">
        <v>0</v>
      </c>
      <c r="F327" s="421">
        <v>0</v>
      </c>
      <c r="G327" s="421">
        <v>4.3082735374844701</v>
      </c>
      <c r="H327" s="421">
        <v>0</v>
      </c>
      <c r="I327" s="421">
        <v>0</v>
      </c>
      <c r="J327" s="421">
        <v>0</v>
      </c>
      <c r="K327" s="421">
        <v>0</v>
      </c>
      <c r="L327" s="421">
        <v>0</v>
      </c>
      <c r="M327" s="421">
        <v>8.7923949744581106E-2</v>
      </c>
      <c r="N327" s="421">
        <v>0</v>
      </c>
      <c r="O327" s="421">
        <v>0</v>
      </c>
      <c r="P327" s="421">
        <v>43.703860218786801</v>
      </c>
      <c r="Q327" s="421">
        <v>3.1785946529659599</v>
      </c>
      <c r="R327" s="421">
        <v>0</v>
      </c>
      <c r="S327" s="429">
        <v>51.278652358981802</v>
      </c>
      <c r="T327" s="412"/>
    </row>
    <row r="328" spans="2:20" x14ac:dyDescent="0.2">
      <c r="B328" s="412"/>
      <c r="C328" s="424" t="s">
        <v>77</v>
      </c>
      <c r="D328" s="425">
        <v>25.6641518879103</v>
      </c>
      <c r="E328" s="425">
        <v>504.19228646673599</v>
      </c>
      <c r="F328" s="425">
        <v>-471.77499636139902</v>
      </c>
      <c r="G328" s="425">
        <v>48.1690460708746</v>
      </c>
      <c r="H328" s="425">
        <v>959.09090909090901</v>
      </c>
      <c r="I328" s="425">
        <v>262.58</v>
      </c>
      <c r="J328" s="425">
        <v>83.825773980835606</v>
      </c>
      <c r="K328" s="425">
        <v>18.976492868963099</v>
      </c>
      <c r="L328" s="425">
        <v>-39.817740334868702</v>
      </c>
      <c r="M328" s="425">
        <v>-6.4318780052445401</v>
      </c>
      <c r="N328" s="425">
        <v>0</v>
      </c>
      <c r="O328" s="425">
        <v>2.2448826639763899</v>
      </c>
      <c r="P328" s="425">
        <v>-527.06961844360501</v>
      </c>
      <c r="Q328" s="425">
        <v>-37.840412535309099</v>
      </c>
      <c r="R328" s="425">
        <v>-2.85001306748409</v>
      </c>
      <c r="S328" s="425">
        <v>818.958884282295</v>
      </c>
      <c r="T328" s="412"/>
    </row>
    <row r="329" spans="2:20" x14ac:dyDescent="0.2">
      <c r="B329" s="412"/>
      <c r="C329" s="426"/>
      <c r="D329" s="427"/>
      <c r="E329" s="427"/>
      <c r="F329" s="427"/>
      <c r="G329" s="427"/>
      <c r="H329" s="427"/>
      <c r="I329" s="427"/>
      <c r="J329" s="427"/>
      <c r="K329" s="427"/>
      <c r="L329" s="427"/>
      <c r="M329" s="427"/>
      <c r="N329" s="427"/>
      <c r="O329" s="427"/>
      <c r="P329" s="427"/>
      <c r="Q329" s="427"/>
      <c r="R329" s="427"/>
      <c r="S329" s="427"/>
      <c r="T329" s="412"/>
    </row>
    <row r="330" spans="2:20" x14ac:dyDescent="0.2">
      <c r="B330" s="412"/>
      <c r="C330" s="428" t="s">
        <v>78</v>
      </c>
      <c r="D330" s="421">
        <v>4.8707551882757301</v>
      </c>
      <c r="E330" s="421">
        <v>0</v>
      </c>
      <c r="F330" s="421">
        <v>20.993444165004</v>
      </c>
      <c r="G330" s="421">
        <v>101.297175428703</v>
      </c>
      <c r="H330" s="421">
        <v>0</v>
      </c>
      <c r="I330" s="421">
        <v>0</v>
      </c>
      <c r="J330" s="421">
        <v>17.0565927141357</v>
      </c>
      <c r="K330" s="421">
        <v>4.1229795038336201</v>
      </c>
      <c r="L330" s="421">
        <v>0.85536540625000002</v>
      </c>
      <c r="M330" s="421">
        <v>2.0672892944633201</v>
      </c>
      <c r="N330" s="421">
        <v>0</v>
      </c>
      <c r="O330" s="421">
        <v>0</v>
      </c>
      <c r="P330" s="421">
        <v>110.160518652362</v>
      </c>
      <c r="Q330" s="421">
        <v>18.409316628727701</v>
      </c>
      <c r="R330" s="421">
        <v>0.24532713317871099</v>
      </c>
      <c r="S330" s="429">
        <v>280.07876411493402</v>
      </c>
      <c r="T330" s="412"/>
    </row>
    <row r="331" spans="2:20" x14ac:dyDescent="0.2">
      <c r="B331" s="412"/>
      <c r="C331" s="428" t="s">
        <v>79</v>
      </c>
      <c r="D331" s="421">
        <v>0</v>
      </c>
      <c r="E331" s="421">
        <v>0</v>
      </c>
      <c r="F331" s="421">
        <v>232.66006634693801</v>
      </c>
      <c r="G331" s="421">
        <v>30.945196482305999</v>
      </c>
      <c r="H331" s="421">
        <v>0</v>
      </c>
      <c r="I331" s="421">
        <v>0</v>
      </c>
      <c r="J331" s="421">
        <v>0</v>
      </c>
      <c r="K331" s="421">
        <v>0</v>
      </c>
      <c r="L331" s="421">
        <v>23.571302525286502</v>
      </c>
      <c r="M331" s="421">
        <v>0.63153462208787803</v>
      </c>
      <c r="N331" s="421">
        <v>0</v>
      </c>
      <c r="O331" s="421">
        <v>0</v>
      </c>
      <c r="P331" s="421">
        <v>58.064871561766502</v>
      </c>
      <c r="Q331" s="421">
        <v>0</v>
      </c>
      <c r="R331" s="421">
        <v>2.0183635099889798</v>
      </c>
      <c r="S331" s="429">
        <v>347.891335048374</v>
      </c>
      <c r="T331" s="412"/>
    </row>
    <row r="332" spans="2:20" x14ac:dyDescent="0.2">
      <c r="B332" s="412"/>
      <c r="C332" s="428" t="s">
        <v>80</v>
      </c>
      <c r="D332" s="421">
        <v>0</v>
      </c>
      <c r="E332" s="421">
        <v>0</v>
      </c>
      <c r="F332" s="421">
        <v>17.5598675682925</v>
      </c>
      <c r="G332" s="421">
        <v>111.929219277919</v>
      </c>
      <c r="H332" s="421">
        <v>0</v>
      </c>
      <c r="I332" s="421">
        <v>0</v>
      </c>
      <c r="J332" s="421">
        <v>74.389853901213101</v>
      </c>
      <c r="K332" s="421">
        <v>0</v>
      </c>
      <c r="L332" s="421">
        <v>0</v>
      </c>
      <c r="M332" s="421">
        <v>2.2842697811820298</v>
      </c>
      <c r="N332" s="421">
        <v>53.007893982905898</v>
      </c>
      <c r="O332" s="421">
        <v>0.95506902656111503</v>
      </c>
      <c r="P332" s="421">
        <v>180.360799216462</v>
      </c>
      <c r="Q332" s="421">
        <v>15.433765533154</v>
      </c>
      <c r="R332" s="421">
        <v>0</v>
      </c>
      <c r="S332" s="429">
        <v>455.92073828769003</v>
      </c>
      <c r="T332" s="412"/>
    </row>
    <row r="333" spans="2:20" x14ac:dyDescent="0.2">
      <c r="B333" s="412"/>
      <c r="C333" s="428" t="s">
        <v>81</v>
      </c>
      <c r="D333" s="421">
        <v>0</v>
      </c>
      <c r="E333" s="421">
        <v>0</v>
      </c>
      <c r="F333" s="421">
        <v>7.3923055794682702</v>
      </c>
      <c r="G333" s="421">
        <v>65.894293417713897</v>
      </c>
      <c r="H333" s="421">
        <v>0</v>
      </c>
      <c r="I333" s="421">
        <v>0</v>
      </c>
      <c r="J333" s="421">
        <v>3.41214349769231</v>
      </c>
      <c r="K333" s="421">
        <v>0</v>
      </c>
      <c r="L333" s="421">
        <v>0</v>
      </c>
      <c r="M333" s="421">
        <v>1.34478149832069</v>
      </c>
      <c r="N333" s="421">
        <v>6.5694152088807796</v>
      </c>
      <c r="O333" s="421">
        <v>0.78006902491520902</v>
      </c>
      <c r="P333" s="421">
        <v>139.183172558515</v>
      </c>
      <c r="Q333" s="421">
        <v>3.99733037342736</v>
      </c>
      <c r="R333" s="421">
        <v>0</v>
      </c>
      <c r="S333" s="429">
        <v>228.573511158934</v>
      </c>
      <c r="T333" s="412"/>
    </row>
    <row r="334" spans="2:20" x14ac:dyDescent="0.2">
      <c r="B334" s="412"/>
      <c r="C334" s="428" t="s">
        <v>82</v>
      </c>
      <c r="D334" s="421">
        <v>0</v>
      </c>
      <c r="E334" s="421">
        <v>0</v>
      </c>
      <c r="F334" s="421">
        <v>10.671888604675701</v>
      </c>
      <c r="G334" s="421">
        <v>5.0961376503405704</v>
      </c>
      <c r="H334" s="421">
        <v>0</v>
      </c>
      <c r="I334" s="421">
        <v>0</v>
      </c>
      <c r="J334" s="421">
        <v>1.58125347438603</v>
      </c>
      <c r="K334" s="421">
        <v>0</v>
      </c>
      <c r="L334" s="421">
        <v>14.494418075031</v>
      </c>
      <c r="M334" s="421">
        <v>0.104002809190624</v>
      </c>
      <c r="N334" s="421">
        <v>0</v>
      </c>
      <c r="O334" s="421">
        <v>7.2392521047915395E-2</v>
      </c>
      <c r="P334" s="421">
        <v>7.67076376443437</v>
      </c>
      <c r="Q334" s="421">
        <v>0</v>
      </c>
      <c r="R334" s="421">
        <v>0</v>
      </c>
      <c r="S334" s="429">
        <v>39.690856899106201</v>
      </c>
      <c r="T334" s="412"/>
    </row>
    <row r="335" spans="2:20" x14ac:dyDescent="0.2">
      <c r="B335" s="412"/>
      <c r="C335" s="428" t="s">
        <v>354</v>
      </c>
      <c r="D335" s="421">
        <v>0</v>
      </c>
      <c r="E335" s="421">
        <v>0</v>
      </c>
      <c r="F335" s="421">
        <v>0</v>
      </c>
      <c r="G335" s="421">
        <v>0</v>
      </c>
      <c r="H335" s="421">
        <v>0</v>
      </c>
      <c r="I335" s="421">
        <v>0</v>
      </c>
      <c r="J335" s="421">
        <v>0</v>
      </c>
      <c r="K335" s="421">
        <v>0</v>
      </c>
      <c r="L335" s="421">
        <v>0</v>
      </c>
      <c r="M335" s="421">
        <v>0</v>
      </c>
      <c r="N335" s="421">
        <v>0</v>
      </c>
      <c r="O335" s="421">
        <v>0</v>
      </c>
      <c r="P335" s="421">
        <v>0</v>
      </c>
      <c r="Q335" s="421">
        <v>0</v>
      </c>
      <c r="R335" s="421">
        <v>0</v>
      </c>
      <c r="S335" s="429">
        <v>0</v>
      </c>
      <c r="T335" s="412"/>
    </row>
    <row r="336" spans="2:20" x14ac:dyDescent="0.2">
      <c r="B336" s="412"/>
      <c r="C336" s="424" t="s">
        <v>83</v>
      </c>
      <c r="D336" s="425">
        <v>4.8707551882757301</v>
      </c>
      <c r="E336" s="425">
        <v>0</v>
      </c>
      <c r="F336" s="425">
        <v>289.27757226437899</v>
      </c>
      <c r="G336" s="425">
        <v>315.16202225698203</v>
      </c>
      <c r="H336" s="425">
        <v>0</v>
      </c>
      <c r="I336" s="425">
        <v>0</v>
      </c>
      <c r="J336" s="425">
        <v>96.439843587427205</v>
      </c>
      <c r="K336" s="425">
        <v>4.1229795038336201</v>
      </c>
      <c r="L336" s="425">
        <v>38.9210860065674</v>
      </c>
      <c r="M336" s="425">
        <v>6.4318780052445401</v>
      </c>
      <c r="N336" s="425">
        <v>59.577309191786703</v>
      </c>
      <c r="O336" s="425">
        <v>1.8075305725242401</v>
      </c>
      <c r="P336" s="425">
        <v>495.440125753541</v>
      </c>
      <c r="Q336" s="425">
        <v>37.840412535309099</v>
      </c>
      <c r="R336" s="425">
        <v>2.2636906431676902</v>
      </c>
      <c r="S336" s="425">
        <v>1352.1552055090399</v>
      </c>
      <c r="T336" s="412"/>
    </row>
    <row r="337" spans="2:20" x14ac:dyDescent="0.2">
      <c r="B337" s="412"/>
      <c r="C337" s="420" t="s">
        <v>84</v>
      </c>
      <c r="D337" s="421">
        <v>2.1835234374999999</v>
      </c>
      <c r="E337" s="421">
        <v>0</v>
      </c>
      <c r="F337" s="421">
        <v>138.144863788214</v>
      </c>
      <c r="G337" s="421">
        <v>12.218390360397301</v>
      </c>
      <c r="H337" s="421">
        <v>0</v>
      </c>
      <c r="I337" s="421">
        <v>0</v>
      </c>
      <c r="J337" s="421">
        <v>0</v>
      </c>
      <c r="K337" s="421">
        <v>0</v>
      </c>
      <c r="L337" s="421">
        <v>0</v>
      </c>
      <c r="M337" s="421">
        <v>0</v>
      </c>
      <c r="N337" s="421">
        <v>0</v>
      </c>
      <c r="O337" s="421">
        <v>0</v>
      </c>
      <c r="P337" s="421">
        <v>0</v>
      </c>
      <c r="Q337" s="421">
        <v>0</v>
      </c>
      <c r="R337" s="421">
        <v>0.58632242431640602</v>
      </c>
      <c r="S337" s="429">
        <v>153.133100010428</v>
      </c>
      <c r="T337" s="412"/>
    </row>
    <row r="338" spans="2:20" x14ac:dyDescent="0.2">
      <c r="B338" s="412"/>
      <c r="C338" s="424" t="s">
        <v>85</v>
      </c>
      <c r="D338" s="425">
        <v>7.0542786257757299</v>
      </c>
      <c r="E338" s="425">
        <v>0</v>
      </c>
      <c r="F338" s="425">
        <v>427.42243605259301</v>
      </c>
      <c r="G338" s="425">
        <v>327.38041261737999</v>
      </c>
      <c r="H338" s="425">
        <v>0</v>
      </c>
      <c r="I338" s="425">
        <v>0</v>
      </c>
      <c r="J338" s="425">
        <v>96.439843587427205</v>
      </c>
      <c r="K338" s="425">
        <v>4.1229795038336201</v>
      </c>
      <c r="L338" s="425">
        <v>38.9210860065674</v>
      </c>
      <c r="M338" s="425">
        <v>6.4318780052445401</v>
      </c>
      <c r="N338" s="425">
        <v>59.577309191786703</v>
      </c>
      <c r="O338" s="425">
        <v>1.8075305725242401</v>
      </c>
      <c r="P338" s="425">
        <v>495.440125753541</v>
      </c>
      <c r="Q338" s="425">
        <v>37.840412535309099</v>
      </c>
      <c r="R338" s="425">
        <v>2.85001306748409</v>
      </c>
      <c r="S338" s="425">
        <v>1505.28830551947</v>
      </c>
      <c r="T338" s="412"/>
    </row>
    <row r="339" spans="2:20" x14ac:dyDescent="0.2">
      <c r="B339" s="412"/>
      <c r="C339" s="412"/>
      <c r="D339" s="430">
        <f t="shared" ref="D339:S339" si="16">D338+D328-D314</f>
        <v>0</v>
      </c>
      <c r="E339" s="430">
        <f t="shared" si="16"/>
        <v>0</v>
      </c>
      <c r="F339" s="430">
        <f t="shared" si="16"/>
        <v>-3.0553337637684308E-13</v>
      </c>
      <c r="G339" s="430">
        <f t="shared" si="16"/>
        <v>6.2527760746888816E-13</v>
      </c>
      <c r="H339" s="430">
        <f t="shared" si="16"/>
        <v>0</v>
      </c>
      <c r="I339" s="430">
        <f t="shared" si="16"/>
        <v>0</v>
      </c>
      <c r="J339" s="430">
        <f t="shared" si="16"/>
        <v>0</v>
      </c>
      <c r="K339" s="430">
        <f t="shared" si="16"/>
        <v>0</v>
      </c>
      <c r="L339" s="430">
        <f t="shared" si="16"/>
        <v>-3.3417713041217212E-14</v>
      </c>
      <c r="M339" s="430">
        <f t="shared" si="16"/>
        <v>0</v>
      </c>
      <c r="N339" s="430">
        <f t="shared" si="16"/>
        <v>0</v>
      </c>
      <c r="O339" s="430">
        <f t="shared" si="16"/>
        <v>0</v>
      </c>
      <c r="P339" s="430">
        <f t="shared" si="16"/>
        <v>4.8672177399566863E-13</v>
      </c>
      <c r="Q339" s="430">
        <f t="shared" si="16"/>
        <v>0</v>
      </c>
      <c r="R339" s="430">
        <f t="shared" si="16"/>
        <v>0</v>
      </c>
      <c r="S339" s="430">
        <f t="shared" si="16"/>
        <v>4.5474735088646412E-12</v>
      </c>
      <c r="T339" s="412"/>
    </row>
    <row r="340" spans="2:20" x14ac:dyDescent="0.2">
      <c r="B340" s="412"/>
      <c r="C340" s="412"/>
      <c r="D340" s="412"/>
      <c r="E340" s="412"/>
      <c r="F340" s="412"/>
      <c r="G340" s="412"/>
      <c r="H340" s="412"/>
      <c r="I340" s="412"/>
      <c r="J340" s="412"/>
      <c r="K340" s="412"/>
      <c r="L340" s="412"/>
      <c r="M340" s="412"/>
      <c r="N340" s="412"/>
      <c r="O340" s="412"/>
      <c r="P340" s="412"/>
      <c r="Q340" s="412"/>
      <c r="R340" s="412"/>
      <c r="S340" s="412"/>
      <c r="T340" s="412"/>
    </row>
    <row r="341" spans="2:20" ht="14.25" x14ac:dyDescent="0.2">
      <c r="B341" s="416"/>
      <c r="C341" s="417" t="s">
        <v>361</v>
      </c>
      <c r="D341" s="416"/>
      <c r="E341" s="416"/>
      <c r="F341" s="416"/>
      <c r="G341" s="416"/>
      <c r="H341" s="416"/>
      <c r="I341" s="416"/>
      <c r="J341" s="416"/>
      <c r="K341" s="416"/>
      <c r="L341" s="416"/>
      <c r="M341" s="416"/>
      <c r="N341" s="416"/>
      <c r="O341" s="416"/>
      <c r="P341" s="416"/>
      <c r="Q341" s="416"/>
      <c r="R341" s="416"/>
      <c r="S341" s="416"/>
      <c r="T341" s="416"/>
    </row>
    <row r="342" spans="2:20" x14ac:dyDescent="0.2">
      <c r="B342" s="412"/>
      <c r="C342" s="412"/>
      <c r="D342" s="412"/>
      <c r="E342" s="412"/>
      <c r="F342" s="412"/>
      <c r="G342" s="412"/>
      <c r="H342" s="412"/>
      <c r="I342" s="412"/>
      <c r="J342" s="412"/>
      <c r="K342" s="412"/>
      <c r="L342" s="412"/>
      <c r="M342" s="412"/>
      <c r="N342" s="412"/>
      <c r="O342" s="412"/>
      <c r="P342" s="412"/>
      <c r="Q342" s="412"/>
      <c r="R342" s="412"/>
      <c r="S342" s="412"/>
      <c r="T342" s="412"/>
    </row>
    <row r="343" spans="2:20" ht="13.5" customHeight="1" x14ac:dyDescent="0.2">
      <c r="B343" s="412"/>
      <c r="C343" s="756" t="s">
        <v>128</v>
      </c>
      <c r="D343" s="755" t="s">
        <v>42</v>
      </c>
      <c r="E343" s="755" t="s">
        <v>52</v>
      </c>
      <c r="F343" s="755" t="s">
        <v>53</v>
      </c>
      <c r="G343" s="755" t="s">
        <v>32</v>
      </c>
      <c r="H343" s="755" t="s">
        <v>20</v>
      </c>
      <c r="I343" s="755" t="s">
        <v>55</v>
      </c>
      <c r="J343" s="755" t="s">
        <v>56</v>
      </c>
      <c r="K343" s="755"/>
      <c r="L343" s="755"/>
      <c r="M343" s="755"/>
      <c r="N343" s="755"/>
      <c r="O343" s="755"/>
      <c r="P343" s="755" t="s">
        <v>57</v>
      </c>
      <c r="Q343" s="755" t="s">
        <v>58</v>
      </c>
      <c r="R343" s="755" t="s">
        <v>31</v>
      </c>
      <c r="S343" s="755" t="s">
        <v>10</v>
      </c>
      <c r="T343" s="412"/>
    </row>
    <row r="344" spans="2:20" ht="56.25" x14ac:dyDescent="0.2">
      <c r="B344" s="412"/>
      <c r="C344" s="756"/>
      <c r="D344" s="755"/>
      <c r="E344" s="755"/>
      <c r="F344" s="755"/>
      <c r="G344" s="755"/>
      <c r="H344" s="755"/>
      <c r="I344" s="755"/>
      <c r="J344" s="418" t="s">
        <v>335</v>
      </c>
      <c r="K344" s="418" t="s">
        <v>40</v>
      </c>
      <c r="L344" s="418" t="s">
        <v>343</v>
      </c>
      <c r="M344" s="418" t="s">
        <v>344</v>
      </c>
      <c r="N344" s="419" t="s">
        <v>345</v>
      </c>
      <c r="O344" s="418" t="s">
        <v>346</v>
      </c>
      <c r="P344" s="755"/>
      <c r="Q344" s="755"/>
      <c r="R344" s="755"/>
      <c r="S344" s="755"/>
      <c r="T344" s="412"/>
    </row>
    <row r="345" spans="2:20" x14ac:dyDescent="0.2">
      <c r="B345" s="412"/>
      <c r="C345" s="420" t="s">
        <v>59</v>
      </c>
      <c r="D345" s="421">
        <v>0</v>
      </c>
      <c r="E345" s="421">
        <v>0</v>
      </c>
      <c r="F345" s="421">
        <v>0</v>
      </c>
      <c r="G345" s="421">
        <v>0</v>
      </c>
      <c r="H345" s="422">
        <v>843.18181818181802</v>
      </c>
      <c r="I345" s="422">
        <v>303.83</v>
      </c>
      <c r="J345" s="422">
        <v>180.58227082712199</v>
      </c>
      <c r="K345" s="422">
        <v>22.584752367457401</v>
      </c>
      <c r="L345" s="421">
        <v>0</v>
      </c>
      <c r="M345" s="421">
        <v>0</v>
      </c>
      <c r="N345" s="422">
        <v>64.228247119713899</v>
      </c>
      <c r="O345" s="422">
        <v>4.0154786653397201</v>
      </c>
      <c r="P345" s="421">
        <v>0</v>
      </c>
      <c r="Q345" s="421">
        <v>0</v>
      </c>
      <c r="R345" s="421">
        <v>0</v>
      </c>
      <c r="S345" s="423">
        <v>1418.4225671614499</v>
      </c>
      <c r="T345" s="412"/>
    </row>
    <row r="346" spans="2:20" x14ac:dyDescent="0.2">
      <c r="B346" s="412"/>
      <c r="C346" s="420" t="s">
        <v>60</v>
      </c>
      <c r="D346" s="421">
        <v>30.885603791058401</v>
      </c>
      <c r="E346" s="421">
        <v>484.495467583368</v>
      </c>
      <c r="F346" s="421">
        <v>42.659321237611302</v>
      </c>
      <c r="G346" s="421">
        <v>385.71207499197101</v>
      </c>
      <c r="H346" s="421">
        <v>0</v>
      </c>
      <c r="I346" s="421">
        <v>0</v>
      </c>
      <c r="J346" s="421">
        <v>0</v>
      </c>
      <c r="K346" s="421">
        <v>0</v>
      </c>
      <c r="L346" s="421">
        <v>0</v>
      </c>
      <c r="M346" s="421">
        <v>0</v>
      </c>
      <c r="N346" s="421">
        <v>0</v>
      </c>
      <c r="O346" s="421">
        <v>0</v>
      </c>
      <c r="P346" s="421">
        <v>0</v>
      </c>
      <c r="Q346" s="421">
        <v>0</v>
      </c>
      <c r="R346" s="421">
        <v>0</v>
      </c>
      <c r="S346" s="423">
        <v>943.75246760400796</v>
      </c>
      <c r="T346" s="412"/>
    </row>
    <row r="347" spans="2:20" x14ac:dyDescent="0.2">
      <c r="B347" s="412"/>
      <c r="C347" s="420" t="s">
        <v>61</v>
      </c>
      <c r="D347" s="421">
        <v>0</v>
      </c>
      <c r="E347" s="421">
        <v>0</v>
      </c>
      <c r="F347" s="421">
        <v>0</v>
      </c>
      <c r="G347" s="421">
        <v>0</v>
      </c>
      <c r="H347" s="421">
        <v>0</v>
      </c>
      <c r="I347" s="421">
        <v>0</v>
      </c>
      <c r="J347" s="421">
        <v>0</v>
      </c>
      <c r="K347" s="421">
        <v>0</v>
      </c>
      <c r="L347" s="421">
        <v>0</v>
      </c>
      <c r="M347" s="421">
        <v>0</v>
      </c>
      <c r="N347" s="421">
        <v>0</v>
      </c>
      <c r="O347" s="421">
        <v>0</v>
      </c>
      <c r="P347" s="421">
        <v>-18.341336792236799</v>
      </c>
      <c r="Q347" s="421">
        <v>0</v>
      </c>
      <c r="R347" s="421">
        <v>0</v>
      </c>
      <c r="S347" s="423">
        <v>-18.341336792236799</v>
      </c>
      <c r="T347" s="412"/>
    </row>
    <row r="348" spans="2:20" x14ac:dyDescent="0.2">
      <c r="B348" s="412"/>
      <c r="C348" s="420" t="s">
        <v>62</v>
      </c>
      <c r="D348" s="421">
        <v>0</v>
      </c>
      <c r="E348" s="421">
        <v>0</v>
      </c>
      <c r="F348" s="421">
        <v>-15.257294848391901</v>
      </c>
      <c r="G348" s="421">
        <v>0</v>
      </c>
      <c r="H348" s="421">
        <v>0</v>
      </c>
      <c r="I348" s="421">
        <v>0</v>
      </c>
      <c r="J348" s="421">
        <v>0</v>
      </c>
      <c r="K348" s="421">
        <v>0</v>
      </c>
      <c r="L348" s="421">
        <v>0</v>
      </c>
      <c r="M348" s="421">
        <v>0</v>
      </c>
      <c r="N348" s="421">
        <v>0</v>
      </c>
      <c r="O348" s="421">
        <v>0</v>
      </c>
      <c r="P348" s="421">
        <v>0</v>
      </c>
      <c r="Q348" s="421">
        <v>0</v>
      </c>
      <c r="R348" s="421">
        <v>0</v>
      </c>
      <c r="S348" s="423">
        <v>-15.257294848391901</v>
      </c>
      <c r="T348" s="412"/>
    </row>
    <row r="349" spans="2:20" x14ac:dyDescent="0.2">
      <c r="B349" s="412"/>
      <c r="C349" s="420" t="s">
        <v>63</v>
      </c>
      <c r="D349" s="421">
        <v>0</v>
      </c>
      <c r="E349" s="421">
        <v>0</v>
      </c>
      <c r="F349" s="421">
        <v>-90.626969920873506</v>
      </c>
      <c r="G349" s="421">
        <v>0</v>
      </c>
      <c r="H349" s="421">
        <v>0</v>
      </c>
      <c r="I349" s="421">
        <v>0</v>
      </c>
      <c r="J349" s="421">
        <v>0</v>
      </c>
      <c r="K349" s="421">
        <v>0</v>
      </c>
      <c r="L349" s="421">
        <v>-0.93615330165546395</v>
      </c>
      <c r="M349" s="421">
        <v>0</v>
      </c>
      <c r="N349" s="421">
        <v>0</v>
      </c>
      <c r="O349" s="421">
        <v>0</v>
      </c>
      <c r="P349" s="421">
        <v>0</v>
      </c>
      <c r="Q349" s="421">
        <v>0</v>
      </c>
      <c r="R349" s="421">
        <v>0</v>
      </c>
      <c r="S349" s="423">
        <v>-91.563123222528901</v>
      </c>
      <c r="T349" s="412"/>
    </row>
    <row r="350" spans="2:20" x14ac:dyDescent="0.2">
      <c r="B350" s="412"/>
      <c r="C350" s="420" t="s">
        <v>64</v>
      </c>
      <c r="D350" s="421">
        <v>0</v>
      </c>
      <c r="E350" s="421">
        <v>0</v>
      </c>
      <c r="F350" s="421">
        <v>0</v>
      </c>
      <c r="G350" s="421">
        <v>0</v>
      </c>
      <c r="H350" s="421">
        <v>0</v>
      </c>
      <c r="I350" s="421">
        <v>0</v>
      </c>
      <c r="J350" s="421">
        <v>0</v>
      </c>
      <c r="K350" s="421">
        <v>0</v>
      </c>
      <c r="L350" s="421">
        <v>0</v>
      </c>
      <c r="M350" s="421">
        <v>0</v>
      </c>
      <c r="N350" s="421">
        <v>0</v>
      </c>
      <c r="O350" s="421">
        <v>0</v>
      </c>
      <c r="P350" s="421">
        <v>0</v>
      </c>
      <c r="Q350" s="421">
        <v>0</v>
      </c>
      <c r="R350" s="421">
        <v>0</v>
      </c>
      <c r="S350" s="423">
        <v>0</v>
      </c>
      <c r="T350" s="412"/>
    </row>
    <row r="351" spans="2:20" x14ac:dyDescent="0.2">
      <c r="B351" s="412"/>
      <c r="C351" s="424" t="s">
        <v>65</v>
      </c>
      <c r="D351" s="425">
        <v>30.885603791058401</v>
      </c>
      <c r="E351" s="425">
        <v>484.495467583368</v>
      </c>
      <c r="F351" s="425">
        <v>-63.224943531653999</v>
      </c>
      <c r="G351" s="425">
        <v>385.71207499197101</v>
      </c>
      <c r="H351" s="425">
        <v>843.18181818181802</v>
      </c>
      <c r="I351" s="425">
        <v>303.83</v>
      </c>
      <c r="J351" s="425">
        <v>180.58227082712199</v>
      </c>
      <c r="K351" s="425">
        <v>22.584752367457401</v>
      </c>
      <c r="L351" s="425">
        <v>-0.93615330165546395</v>
      </c>
      <c r="M351" s="425">
        <v>0</v>
      </c>
      <c r="N351" s="425">
        <v>64.228247119713899</v>
      </c>
      <c r="O351" s="425">
        <v>4.0154786653397201</v>
      </c>
      <c r="P351" s="425">
        <v>-18.341336792236799</v>
      </c>
      <c r="Q351" s="425">
        <v>0</v>
      </c>
      <c r="R351" s="425">
        <v>0</v>
      </c>
      <c r="S351" s="425">
        <v>2237.0132799022999</v>
      </c>
      <c r="T351" s="412"/>
    </row>
    <row r="352" spans="2:20" x14ac:dyDescent="0.2">
      <c r="B352" s="412"/>
      <c r="C352" s="426"/>
      <c r="D352" s="427"/>
      <c r="E352" s="427"/>
      <c r="F352" s="427"/>
      <c r="G352" s="427"/>
      <c r="H352" s="427"/>
      <c r="I352" s="427"/>
      <c r="J352" s="427"/>
      <c r="K352" s="427"/>
      <c r="L352" s="427"/>
      <c r="M352" s="427"/>
      <c r="N352" s="427"/>
      <c r="O352" s="427"/>
      <c r="P352" s="427"/>
      <c r="Q352" s="427"/>
      <c r="R352" s="427"/>
      <c r="S352" s="427"/>
      <c r="T352" s="412"/>
    </row>
    <row r="353" spans="2:20" x14ac:dyDescent="0.2">
      <c r="B353" s="412"/>
      <c r="C353" s="428" t="s">
        <v>67</v>
      </c>
      <c r="D353" s="421">
        <v>0</v>
      </c>
      <c r="E353" s="421">
        <v>0</v>
      </c>
      <c r="F353" s="421">
        <v>0</v>
      </c>
      <c r="G353" s="421">
        <v>0</v>
      </c>
      <c r="H353" s="421">
        <v>0</v>
      </c>
      <c r="I353" s="421">
        <v>0</v>
      </c>
      <c r="J353" s="421">
        <v>0</v>
      </c>
      <c r="K353" s="421">
        <v>0</v>
      </c>
      <c r="L353" s="421">
        <v>0</v>
      </c>
      <c r="M353" s="421">
        <v>0</v>
      </c>
      <c r="N353" s="421">
        <v>0</v>
      </c>
      <c r="O353" s="421">
        <v>0</v>
      </c>
      <c r="P353" s="421">
        <v>0</v>
      </c>
      <c r="Q353" s="421">
        <v>0</v>
      </c>
      <c r="R353" s="421">
        <v>0</v>
      </c>
      <c r="S353" s="429">
        <v>0</v>
      </c>
      <c r="T353" s="412"/>
    </row>
    <row r="354" spans="2:20" x14ac:dyDescent="0.2">
      <c r="B354" s="412"/>
      <c r="C354" s="428" t="s">
        <v>347</v>
      </c>
      <c r="D354" s="421">
        <v>2.2004707355665598</v>
      </c>
      <c r="E354" s="421">
        <v>0</v>
      </c>
      <c r="F354" s="421">
        <v>3.8636363636363602</v>
      </c>
      <c r="G354" s="421">
        <v>26.7514143940613</v>
      </c>
      <c r="H354" s="421">
        <v>843.18181818181802</v>
      </c>
      <c r="I354" s="421">
        <v>303.83</v>
      </c>
      <c r="J354" s="421">
        <v>22.093473329706701</v>
      </c>
      <c r="K354" s="421">
        <v>5.8025151206166701</v>
      </c>
      <c r="L354" s="421">
        <v>0</v>
      </c>
      <c r="M354" s="421">
        <v>0.54594723253186395</v>
      </c>
      <c r="N354" s="421">
        <v>0</v>
      </c>
      <c r="O354" s="421">
        <v>0</v>
      </c>
      <c r="P354" s="421">
        <v>-610.51719995562303</v>
      </c>
      <c r="Q354" s="421">
        <v>0</v>
      </c>
      <c r="R354" s="421">
        <v>0</v>
      </c>
      <c r="S354" s="429">
        <v>597.75207540231395</v>
      </c>
      <c r="T354" s="412"/>
    </row>
    <row r="355" spans="2:20" x14ac:dyDescent="0.2">
      <c r="B355" s="412"/>
      <c r="C355" s="428" t="s">
        <v>348</v>
      </c>
      <c r="D355" s="421">
        <v>0</v>
      </c>
      <c r="E355" s="421">
        <v>0</v>
      </c>
      <c r="F355" s="421">
        <v>0</v>
      </c>
      <c r="G355" s="421">
        <v>17.221669860310801</v>
      </c>
      <c r="H355" s="421">
        <v>0</v>
      </c>
      <c r="I355" s="421">
        <v>0</v>
      </c>
      <c r="J355" s="421">
        <v>12.443095766795199</v>
      </c>
      <c r="K355" s="421">
        <v>12.7366574955616</v>
      </c>
      <c r="L355" s="421">
        <v>0</v>
      </c>
      <c r="M355" s="421">
        <v>0.351462650210425</v>
      </c>
      <c r="N355" s="421">
        <v>0</v>
      </c>
      <c r="O355" s="421">
        <v>2.25021562141669</v>
      </c>
      <c r="P355" s="421">
        <v>0</v>
      </c>
      <c r="Q355" s="421">
        <v>-41.107889812280099</v>
      </c>
      <c r="R355" s="421">
        <v>0</v>
      </c>
      <c r="S355" s="429">
        <v>3.8952115820145798</v>
      </c>
      <c r="T355" s="412"/>
    </row>
    <row r="356" spans="2:20" x14ac:dyDescent="0.2">
      <c r="B356" s="412"/>
      <c r="C356" s="428" t="s">
        <v>349</v>
      </c>
      <c r="D356" s="421">
        <v>0</v>
      </c>
      <c r="E356" s="421">
        <v>0</v>
      </c>
      <c r="F356" s="421">
        <v>0</v>
      </c>
      <c r="G356" s="421">
        <v>0</v>
      </c>
      <c r="H356" s="421">
        <v>0</v>
      </c>
      <c r="I356" s="421">
        <v>0</v>
      </c>
      <c r="J356" s="421">
        <v>8.1664030992761294</v>
      </c>
      <c r="K356" s="421">
        <v>0</v>
      </c>
      <c r="L356" s="421">
        <v>0</v>
      </c>
      <c r="M356" s="421">
        <v>-7.6253788939490796</v>
      </c>
      <c r="N356" s="421">
        <v>0</v>
      </c>
      <c r="O356" s="421">
        <v>0</v>
      </c>
      <c r="P356" s="421">
        <v>0</v>
      </c>
      <c r="Q356" s="421">
        <v>0</v>
      </c>
      <c r="R356" s="421">
        <v>0</v>
      </c>
      <c r="S356" s="429">
        <v>0.54102420532704398</v>
      </c>
      <c r="T356" s="412"/>
    </row>
    <row r="357" spans="2:20" x14ac:dyDescent="0.2">
      <c r="B357" s="412"/>
      <c r="C357" s="428" t="s">
        <v>350</v>
      </c>
      <c r="D357" s="421">
        <v>0</v>
      </c>
      <c r="E357" s="421">
        <v>0</v>
      </c>
      <c r="F357" s="421">
        <v>0</v>
      </c>
      <c r="G357" s="421">
        <v>0</v>
      </c>
      <c r="H357" s="421">
        <v>0</v>
      </c>
      <c r="I357" s="421">
        <v>0</v>
      </c>
      <c r="J357" s="421">
        <v>0</v>
      </c>
      <c r="K357" s="421">
        <v>0</v>
      </c>
      <c r="L357" s="421">
        <v>0</v>
      </c>
      <c r="M357" s="421">
        <v>0</v>
      </c>
      <c r="N357" s="421">
        <v>0</v>
      </c>
      <c r="O357" s="421">
        <v>0</v>
      </c>
      <c r="P357" s="421">
        <v>0</v>
      </c>
      <c r="Q357" s="421">
        <v>0</v>
      </c>
      <c r="R357" s="421">
        <v>0</v>
      </c>
      <c r="S357" s="429">
        <v>0</v>
      </c>
      <c r="T357" s="412"/>
    </row>
    <row r="358" spans="2:20" x14ac:dyDescent="0.2">
      <c r="B358" s="412"/>
      <c r="C358" s="428" t="s">
        <v>72</v>
      </c>
      <c r="D358" s="421">
        <v>0</v>
      </c>
      <c r="E358" s="421">
        <v>501.885810932168</v>
      </c>
      <c r="F358" s="421">
        <v>-496.86695282284597</v>
      </c>
      <c r="G358" s="421">
        <v>0</v>
      </c>
      <c r="H358" s="421">
        <v>0</v>
      </c>
      <c r="I358" s="421">
        <v>0</v>
      </c>
      <c r="J358" s="421">
        <v>0</v>
      </c>
      <c r="K358" s="421">
        <v>0</v>
      </c>
      <c r="L358" s="421">
        <v>0</v>
      </c>
      <c r="M358" s="421">
        <v>0</v>
      </c>
      <c r="N358" s="421">
        <v>0</v>
      </c>
      <c r="O358" s="421">
        <v>0</v>
      </c>
      <c r="P358" s="421">
        <v>0</v>
      </c>
      <c r="Q358" s="421">
        <v>0</v>
      </c>
      <c r="R358" s="421">
        <v>0</v>
      </c>
      <c r="S358" s="429">
        <v>5.0188581093216804</v>
      </c>
      <c r="T358" s="412"/>
    </row>
    <row r="359" spans="2:20" x14ac:dyDescent="0.2">
      <c r="B359" s="412"/>
      <c r="C359" s="428" t="s">
        <v>351</v>
      </c>
      <c r="D359" s="421">
        <v>0</v>
      </c>
      <c r="E359" s="421">
        <v>0</v>
      </c>
      <c r="F359" s="421">
        <v>0</v>
      </c>
      <c r="G359" s="421">
        <v>0</v>
      </c>
      <c r="H359" s="421">
        <v>0</v>
      </c>
      <c r="I359" s="421">
        <v>0</v>
      </c>
      <c r="J359" s="421">
        <v>40.922578855232103</v>
      </c>
      <c r="K359" s="421">
        <v>0</v>
      </c>
      <c r="L359" s="421">
        <v>-40.922578855232103</v>
      </c>
      <c r="M359" s="421">
        <v>0</v>
      </c>
      <c r="N359" s="421">
        <v>0</v>
      </c>
      <c r="O359" s="421">
        <v>0</v>
      </c>
      <c r="P359" s="421">
        <v>0</v>
      </c>
      <c r="Q359" s="421">
        <v>0</v>
      </c>
      <c r="R359" s="421">
        <v>0</v>
      </c>
      <c r="S359" s="429">
        <v>0</v>
      </c>
      <c r="T359" s="412"/>
    </row>
    <row r="360" spans="2:20" x14ac:dyDescent="0.2">
      <c r="B360" s="412"/>
      <c r="C360" s="428" t="s">
        <v>352</v>
      </c>
      <c r="D360" s="421">
        <v>0</v>
      </c>
      <c r="E360" s="421">
        <v>0</v>
      </c>
      <c r="F360" s="421">
        <v>0</v>
      </c>
      <c r="G360" s="421">
        <v>0</v>
      </c>
      <c r="H360" s="421">
        <v>0</v>
      </c>
      <c r="I360" s="421">
        <v>0</v>
      </c>
      <c r="J360" s="421">
        <v>0</v>
      </c>
      <c r="K360" s="421">
        <v>0</v>
      </c>
      <c r="L360" s="421">
        <v>-0.185690681788441</v>
      </c>
      <c r="M360" s="421">
        <v>0</v>
      </c>
      <c r="N360" s="421">
        <v>0</v>
      </c>
      <c r="O360" s="421">
        <v>0</v>
      </c>
      <c r="P360" s="421">
        <v>0</v>
      </c>
      <c r="Q360" s="421">
        <v>0</v>
      </c>
      <c r="R360" s="421">
        <v>0.26527240255491602</v>
      </c>
      <c r="S360" s="429">
        <v>7.9581720766474906E-2</v>
      </c>
      <c r="T360" s="412"/>
    </row>
    <row r="361" spans="2:20" x14ac:dyDescent="0.2">
      <c r="B361" s="412"/>
      <c r="C361" s="428" t="s">
        <v>73</v>
      </c>
      <c r="D361" s="421">
        <v>0</v>
      </c>
      <c r="E361" s="421">
        <v>0</v>
      </c>
      <c r="F361" s="421">
        <v>0</v>
      </c>
      <c r="G361" s="421">
        <v>5.0830420654676596</v>
      </c>
      <c r="H361" s="421">
        <v>0</v>
      </c>
      <c r="I361" s="421">
        <v>0</v>
      </c>
      <c r="J361" s="421">
        <v>0</v>
      </c>
      <c r="K361" s="421">
        <v>5.89406547480016E-2</v>
      </c>
      <c r="L361" s="421">
        <v>0</v>
      </c>
      <c r="M361" s="421">
        <v>0.103735552356483</v>
      </c>
      <c r="N361" s="421">
        <v>0</v>
      </c>
      <c r="O361" s="421">
        <v>0</v>
      </c>
      <c r="P361" s="421">
        <v>0.64603991681083595</v>
      </c>
      <c r="Q361" s="421">
        <v>0</v>
      </c>
      <c r="R361" s="421">
        <v>-4.1258458323601097</v>
      </c>
      <c r="S361" s="429">
        <v>1.7659123570228701</v>
      </c>
      <c r="T361" s="412"/>
    </row>
    <row r="362" spans="2:20" x14ac:dyDescent="0.2">
      <c r="B362" s="412"/>
      <c r="C362" s="428" t="s">
        <v>353</v>
      </c>
      <c r="D362" s="421">
        <v>12.835820312499999</v>
      </c>
      <c r="E362" s="421">
        <v>-17.3903433487996</v>
      </c>
      <c r="F362" s="421">
        <v>22.745541936068101</v>
      </c>
      <c r="G362" s="421">
        <v>0</v>
      </c>
      <c r="H362" s="421">
        <v>0</v>
      </c>
      <c r="I362" s="421">
        <v>0</v>
      </c>
      <c r="J362" s="421">
        <v>0</v>
      </c>
      <c r="K362" s="421">
        <v>0</v>
      </c>
      <c r="L362" s="421">
        <v>0</v>
      </c>
      <c r="M362" s="421">
        <v>0</v>
      </c>
      <c r="N362" s="421">
        <v>0</v>
      </c>
      <c r="O362" s="421">
        <v>0</v>
      </c>
      <c r="P362" s="421">
        <v>0</v>
      </c>
      <c r="Q362" s="421">
        <v>0</v>
      </c>
      <c r="R362" s="421">
        <v>0</v>
      </c>
      <c r="S362" s="429">
        <v>18.191018899768501</v>
      </c>
      <c r="T362" s="412"/>
    </row>
    <row r="363" spans="2:20" x14ac:dyDescent="0.2">
      <c r="B363" s="412"/>
      <c r="C363" s="428" t="s">
        <v>75</v>
      </c>
      <c r="D363" s="421">
        <v>9.6016132812499997</v>
      </c>
      <c r="E363" s="421">
        <v>0</v>
      </c>
      <c r="F363" s="421">
        <v>17.0641175716937</v>
      </c>
      <c r="G363" s="421">
        <v>4.8692961376638904</v>
      </c>
      <c r="H363" s="421">
        <v>0</v>
      </c>
      <c r="I363" s="421">
        <v>0</v>
      </c>
      <c r="J363" s="421">
        <v>0</v>
      </c>
      <c r="K363" s="421">
        <v>0</v>
      </c>
      <c r="L363" s="421">
        <v>0</v>
      </c>
      <c r="M363" s="421">
        <v>9.9373390564569203E-2</v>
      </c>
      <c r="N363" s="421">
        <v>0</v>
      </c>
      <c r="O363" s="421">
        <v>0</v>
      </c>
      <c r="P363" s="421">
        <v>28.1582236341448</v>
      </c>
      <c r="Q363" s="421">
        <v>0</v>
      </c>
      <c r="R363" s="421">
        <v>0</v>
      </c>
      <c r="S363" s="429">
        <v>59.792624015317003</v>
      </c>
      <c r="T363" s="412"/>
    </row>
    <row r="364" spans="2:20" x14ac:dyDescent="0.2">
      <c r="B364" s="412"/>
      <c r="C364" s="428" t="s">
        <v>76</v>
      </c>
      <c r="D364" s="421">
        <v>0</v>
      </c>
      <c r="E364" s="421">
        <v>0</v>
      </c>
      <c r="F364" s="421">
        <v>0</v>
      </c>
      <c r="G364" s="421">
        <v>4.4305561162471001</v>
      </c>
      <c r="H364" s="421">
        <v>0</v>
      </c>
      <c r="I364" s="421">
        <v>0</v>
      </c>
      <c r="J364" s="421">
        <v>0</v>
      </c>
      <c r="K364" s="421">
        <v>0</v>
      </c>
      <c r="L364" s="421">
        <v>0</v>
      </c>
      <c r="M364" s="421">
        <v>9.0419512576471406E-2</v>
      </c>
      <c r="N364" s="421">
        <v>0</v>
      </c>
      <c r="O364" s="421">
        <v>0</v>
      </c>
      <c r="P364" s="421">
        <v>45.383745745670502</v>
      </c>
      <c r="Q364" s="421">
        <v>3.1854822363759498</v>
      </c>
      <c r="R364" s="421">
        <v>0</v>
      </c>
      <c r="S364" s="429">
        <v>53.090203610869999</v>
      </c>
      <c r="T364" s="412"/>
    </row>
    <row r="365" spans="2:20" x14ac:dyDescent="0.2">
      <c r="B365" s="412"/>
      <c r="C365" s="424" t="s">
        <v>77</v>
      </c>
      <c r="D365" s="425">
        <v>24.637904329316601</v>
      </c>
      <c r="E365" s="425">
        <v>484.495467583368</v>
      </c>
      <c r="F365" s="425">
        <v>-453.19365695144802</v>
      </c>
      <c r="G365" s="425">
        <v>58.355978573750797</v>
      </c>
      <c r="H365" s="425">
        <v>843.18181818181802</v>
      </c>
      <c r="I365" s="425">
        <v>303.83</v>
      </c>
      <c r="J365" s="425">
        <v>83.625551051010106</v>
      </c>
      <c r="K365" s="425">
        <v>18.598113270926302</v>
      </c>
      <c r="L365" s="425">
        <v>-41.108269537020597</v>
      </c>
      <c r="M365" s="425">
        <v>-6.4344405557092701</v>
      </c>
      <c r="N365" s="425">
        <v>0</v>
      </c>
      <c r="O365" s="425">
        <v>2.25021562141669</v>
      </c>
      <c r="P365" s="425">
        <v>-536.32919065899705</v>
      </c>
      <c r="Q365" s="425">
        <v>-37.922407575904202</v>
      </c>
      <c r="R365" s="425">
        <v>-3.8605734298051999</v>
      </c>
      <c r="S365" s="425">
        <v>740.12650990272198</v>
      </c>
      <c r="T365" s="412"/>
    </row>
    <row r="366" spans="2:20" x14ac:dyDescent="0.2">
      <c r="B366" s="412"/>
      <c r="C366" s="426"/>
      <c r="D366" s="427"/>
      <c r="E366" s="427"/>
      <c r="F366" s="427"/>
      <c r="G366" s="427"/>
      <c r="H366" s="427"/>
      <c r="I366" s="427"/>
      <c r="J366" s="427"/>
      <c r="K366" s="427"/>
      <c r="L366" s="427"/>
      <c r="M366" s="427"/>
      <c r="N366" s="427"/>
      <c r="O366" s="427"/>
      <c r="P366" s="427"/>
      <c r="Q366" s="427"/>
      <c r="R366" s="427"/>
      <c r="S366" s="427"/>
      <c r="T366" s="412"/>
    </row>
    <row r="367" spans="2:20" x14ac:dyDescent="0.2">
      <c r="B367" s="412"/>
      <c r="C367" s="428" t="s">
        <v>78</v>
      </c>
      <c r="D367" s="421">
        <v>4.1175454090074304</v>
      </c>
      <c r="E367" s="421">
        <v>0</v>
      </c>
      <c r="F367" s="421">
        <v>19.277494882052501</v>
      </c>
      <c r="G367" s="421">
        <v>101.47453920726601</v>
      </c>
      <c r="H367" s="421">
        <v>0</v>
      </c>
      <c r="I367" s="421">
        <v>0</v>
      </c>
      <c r="J367" s="421">
        <v>17.1465838958113</v>
      </c>
      <c r="K367" s="421">
        <v>3.98663909653113</v>
      </c>
      <c r="L367" s="421">
        <v>0.86272697265624998</v>
      </c>
      <c r="M367" s="421">
        <v>2.0709089634136002</v>
      </c>
      <c r="N367" s="421">
        <v>0</v>
      </c>
      <c r="O367" s="421">
        <v>0</v>
      </c>
      <c r="P367" s="421">
        <v>115.02579662342799</v>
      </c>
      <c r="Q367" s="421">
        <v>18.9073764304365</v>
      </c>
      <c r="R367" s="421">
        <v>0.24469155883789101</v>
      </c>
      <c r="S367" s="429">
        <v>283.11430303944098</v>
      </c>
      <c r="T367" s="412"/>
    </row>
    <row r="368" spans="2:20" x14ac:dyDescent="0.2">
      <c r="B368" s="412"/>
      <c r="C368" s="428" t="s">
        <v>79</v>
      </c>
      <c r="D368" s="421">
        <v>0</v>
      </c>
      <c r="E368" s="421">
        <v>0</v>
      </c>
      <c r="F368" s="421">
        <v>211.515991693448</v>
      </c>
      <c r="G368" s="421">
        <v>33.673192204334903</v>
      </c>
      <c r="H368" s="421">
        <v>0</v>
      </c>
      <c r="I368" s="421">
        <v>0</v>
      </c>
      <c r="J368" s="421">
        <v>0</v>
      </c>
      <c r="K368" s="421">
        <v>0</v>
      </c>
      <c r="L368" s="421">
        <v>21.364475731578199</v>
      </c>
      <c r="M368" s="421">
        <v>0.68720800417009997</v>
      </c>
      <c r="N368" s="421">
        <v>0</v>
      </c>
      <c r="O368" s="421">
        <v>0</v>
      </c>
      <c r="P368" s="421">
        <v>67.538126653199896</v>
      </c>
      <c r="Q368" s="421">
        <v>0</v>
      </c>
      <c r="R368" s="421">
        <v>2.73358870080129</v>
      </c>
      <c r="S368" s="429">
        <v>337.51258298753203</v>
      </c>
      <c r="T368" s="412"/>
    </row>
    <row r="369" spans="2:20" x14ac:dyDescent="0.2">
      <c r="B369" s="412"/>
      <c r="C369" s="428" t="s">
        <v>80</v>
      </c>
      <c r="D369" s="421">
        <v>0</v>
      </c>
      <c r="E369" s="421">
        <v>0</v>
      </c>
      <c r="F369" s="421">
        <v>11.269398252747999</v>
      </c>
      <c r="G369" s="421">
        <v>107.66857440515901</v>
      </c>
      <c r="H369" s="421">
        <v>0</v>
      </c>
      <c r="I369" s="421">
        <v>0</v>
      </c>
      <c r="J369" s="421">
        <v>74.555024603306606</v>
      </c>
      <c r="K369" s="421">
        <v>0</v>
      </c>
      <c r="L369" s="421">
        <v>0</v>
      </c>
      <c r="M369" s="421">
        <v>2.19731784500325</v>
      </c>
      <c r="N369" s="421">
        <v>57.8439730041991</v>
      </c>
      <c r="O369" s="421">
        <v>0.94792042331900395</v>
      </c>
      <c r="P369" s="421">
        <v>182.60815084241301</v>
      </c>
      <c r="Q369" s="421">
        <v>15.2162816007431</v>
      </c>
      <c r="R369" s="421">
        <v>0</v>
      </c>
      <c r="S369" s="429">
        <v>452.306640976891</v>
      </c>
      <c r="T369" s="412"/>
    </row>
    <row r="370" spans="2:20" x14ac:dyDescent="0.2">
      <c r="B370" s="412"/>
      <c r="C370" s="428" t="s">
        <v>81</v>
      </c>
      <c r="D370" s="421">
        <v>0</v>
      </c>
      <c r="E370" s="421">
        <v>0</v>
      </c>
      <c r="F370" s="421">
        <v>4.6678370944484504</v>
      </c>
      <c r="G370" s="421">
        <v>66.895141856533499</v>
      </c>
      <c r="H370" s="421">
        <v>0</v>
      </c>
      <c r="I370" s="421">
        <v>0</v>
      </c>
      <c r="J370" s="421">
        <v>3.3107731809745702</v>
      </c>
      <c r="K370" s="421">
        <v>0</v>
      </c>
      <c r="L370" s="421">
        <v>0</v>
      </c>
      <c r="M370" s="421">
        <v>1.3652069766639501</v>
      </c>
      <c r="N370" s="421">
        <v>6.3842741155148302</v>
      </c>
      <c r="O370" s="421">
        <v>0.75088648318301499</v>
      </c>
      <c r="P370" s="421">
        <v>144.56234737622799</v>
      </c>
      <c r="Q370" s="421">
        <v>3.79874954472458</v>
      </c>
      <c r="R370" s="421">
        <v>0</v>
      </c>
      <c r="S370" s="429">
        <v>231.73521662827099</v>
      </c>
      <c r="T370" s="412"/>
    </row>
    <row r="371" spans="2:20" x14ac:dyDescent="0.2">
      <c r="B371" s="412"/>
      <c r="C371" s="428" t="s">
        <v>82</v>
      </c>
      <c r="D371" s="421">
        <v>0</v>
      </c>
      <c r="E371" s="421">
        <v>0</v>
      </c>
      <c r="F371" s="421">
        <v>4.5923360843350496</v>
      </c>
      <c r="G371" s="421">
        <v>5.5761395564600598</v>
      </c>
      <c r="H371" s="421">
        <v>0</v>
      </c>
      <c r="I371" s="421">
        <v>0</v>
      </c>
      <c r="J371" s="421">
        <v>1.9443380960196801</v>
      </c>
      <c r="K371" s="421">
        <v>0</v>
      </c>
      <c r="L371" s="421">
        <v>17.944913531130702</v>
      </c>
      <c r="M371" s="421">
        <v>0.11379876645836901</v>
      </c>
      <c r="N371" s="421">
        <v>0</v>
      </c>
      <c r="O371" s="421">
        <v>6.6456137421005299E-2</v>
      </c>
      <c r="P371" s="421">
        <v>7.4534323714914201</v>
      </c>
      <c r="Q371" s="421">
        <v>0</v>
      </c>
      <c r="R371" s="421">
        <v>0</v>
      </c>
      <c r="S371" s="429">
        <v>37.691414543316299</v>
      </c>
      <c r="T371" s="412"/>
    </row>
    <row r="372" spans="2:20" x14ac:dyDescent="0.2">
      <c r="B372" s="412"/>
      <c r="C372" s="428" t="s">
        <v>354</v>
      </c>
      <c r="D372" s="421">
        <v>0</v>
      </c>
      <c r="E372" s="421">
        <v>0</v>
      </c>
      <c r="F372" s="421">
        <v>0</v>
      </c>
      <c r="G372" s="421">
        <v>0</v>
      </c>
      <c r="H372" s="421">
        <v>0</v>
      </c>
      <c r="I372" s="421">
        <v>0</v>
      </c>
      <c r="J372" s="421">
        <v>0</v>
      </c>
      <c r="K372" s="421">
        <v>0</v>
      </c>
      <c r="L372" s="421">
        <v>0</v>
      </c>
      <c r="M372" s="421">
        <v>0</v>
      </c>
      <c r="N372" s="421">
        <v>0</v>
      </c>
      <c r="O372" s="421">
        <v>0</v>
      </c>
      <c r="P372" s="421">
        <v>0.8</v>
      </c>
      <c r="Q372" s="421">
        <v>0</v>
      </c>
      <c r="R372" s="421">
        <v>0</v>
      </c>
      <c r="S372" s="429">
        <v>0.8</v>
      </c>
      <c r="T372" s="412"/>
    </row>
    <row r="373" spans="2:20" x14ac:dyDescent="0.2">
      <c r="B373" s="412"/>
      <c r="C373" s="424" t="s">
        <v>83</v>
      </c>
      <c r="D373" s="425">
        <v>4.1175454090074304</v>
      </c>
      <c r="E373" s="425">
        <v>0</v>
      </c>
      <c r="F373" s="425">
        <v>251.32305800703199</v>
      </c>
      <c r="G373" s="425">
        <v>315.28758722975402</v>
      </c>
      <c r="H373" s="425">
        <v>0</v>
      </c>
      <c r="I373" s="425">
        <v>0</v>
      </c>
      <c r="J373" s="425">
        <v>96.956719776112095</v>
      </c>
      <c r="K373" s="425">
        <v>3.98663909653113</v>
      </c>
      <c r="L373" s="425">
        <v>40.172116235365102</v>
      </c>
      <c r="M373" s="425">
        <v>6.4344405557092701</v>
      </c>
      <c r="N373" s="425">
        <v>64.228247119713899</v>
      </c>
      <c r="O373" s="425">
        <v>1.7652630439230199</v>
      </c>
      <c r="P373" s="425">
        <v>517.98785386676104</v>
      </c>
      <c r="Q373" s="425">
        <v>37.922407575904103</v>
      </c>
      <c r="R373" s="425">
        <v>2.9782802596391802</v>
      </c>
      <c r="S373" s="425">
        <v>1343.1601581754501</v>
      </c>
      <c r="T373" s="412"/>
    </row>
    <row r="374" spans="2:20" x14ac:dyDescent="0.2">
      <c r="B374" s="412"/>
      <c r="C374" s="420" t="s">
        <v>84</v>
      </c>
      <c r="D374" s="421">
        <v>2.1301540527343801</v>
      </c>
      <c r="E374" s="421">
        <v>0</v>
      </c>
      <c r="F374" s="421">
        <v>138.64565541276201</v>
      </c>
      <c r="G374" s="421">
        <v>12.0685091884655</v>
      </c>
      <c r="H374" s="421">
        <v>0</v>
      </c>
      <c r="I374" s="421">
        <v>0</v>
      </c>
      <c r="J374" s="421">
        <v>0</v>
      </c>
      <c r="K374" s="421">
        <v>0</v>
      </c>
      <c r="L374" s="421">
        <v>0</v>
      </c>
      <c r="M374" s="421">
        <v>0</v>
      </c>
      <c r="N374" s="421">
        <v>0</v>
      </c>
      <c r="O374" s="421">
        <v>0</v>
      </c>
      <c r="P374" s="421">
        <v>0</v>
      </c>
      <c r="Q374" s="421">
        <v>0</v>
      </c>
      <c r="R374" s="421">
        <v>0.88229317016601605</v>
      </c>
      <c r="S374" s="429">
        <v>153.72661182412801</v>
      </c>
      <c r="T374" s="412"/>
    </row>
    <row r="375" spans="2:20" x14ac:dyDescent="0.2">
      <c r="B375" s="412"/>
      <c r="C375" s="424" t="s">
        <v>85</v>
      </c>
      <c r="D375" s="425">
        <v>6.2476994617418002</v>
      </c>
      <c r="E375" s="425">
        <v>0</v>
      </c>
      <c r="F375" s="425">
        <v>389.96871341979403</v>
      </c>
      <c r="G375" s="425">
        <v>327.35609641821998</v>
      </c>
      <c r="H375" s="425">
        <v>0</v>
      </c>
      <c r="I375" s="425">
        <v>0</v>
      </c>
      <c r="J375" s="425">
        <v>96.956719776112095</v>
      </c>
      <c r="K375" s="425">
        <v>3.98663909653113</v>
      </c>
      <c r="L375" s="425">
        <v>40.172116235365102</v>
      </c>
      <c r="M375" s="425">
        <v>6.4344405557092701</v>
      </c>
      <c r="N375" s="425">
        <v>64.228247119713899</v>
      </c>
      <c r="O375" s="425">
        <v>1.7652630439230199</v>
      </c>
      <c r="P375" s="425">
        <v>517.98785386676104</v>
      </c>
      <c r="Q375" s="425">
        <v>37.922407575904103</v>
      </c>
      <c r="R375" s="425">
        <v>3.8605734298051999</v>
      </c>
      <c r="S375" s="425">
        <v>1496.8867699995801</v>
      </c>
      <c r="T375" s="412"/>
    </row>
    <row r="376" spans="2:20" x14ac:dyDescent="0.2">
      <c r="B376" s="412"/>
      <c r="C376" s="412"/>
      <c r="D376" s="430">
        <f t="shared" ref="D376:S376" si="17">D375+D365-D351</f>
        <v>0</v>
      </c>
      <c r="E376" s="430">
        <f t="shared" si="17"/>
        <v>0</v>
      </c>
      <c r="F376" s="430">
        <f t="shared" si="17"/>
        <v>0</v>
      </c>
      <c r="G376" s="430">
        <f t="shared" si="17"/>
        <v>0</v>
      </c>
      <c r="H376" s="430">
        <f t="shared" si="17"/>
        <v>0</v>
      </c>
      <c r="I376" s="430">
        <f t="shared" si="17"/>
        <v>0</v>
      </c>
      <c r="J376" s="430">
        <f t="shared" si="17"/>
        <v>2.2737367544323206E-13</v>
      </c>
      <c r="K376" s="430">
        <f t="shared" si="17"/>
        <v>3.1974423109204508E-14</v>
      </c>
      <c r="L376" s="430">
        <f t="shared" si="17"/>
        <v>-3.0420110874729289E-14</v>
      </c>
      <c r="M376" s="430">
        <f t="shared" si="17"/>
        <v>0</v>
      </c>
      <c r="N376" s="430">
        <f t="shared" si="17"/>
        <v>0</v>
      </c>
      <c r="O376" s="430">
        <f t="shared" si="17"/>
        <v>-9.7699626167013776E-15</v>
      </c>
      <c r="P376" s="430">
        <f t="shared" si="17"/>
        <v>7.9225515037251171E-13</v>
      </c>
      <c r="Q376" s="430">
        <f t="shared" si="17"/>
        <v>-9.9475983006414026E-14</v>
      </c>
      <c r="R376" s="430">
        <f t="shared" si="17"/>
        <v>0</v>
      </c>
      <c r="S376" s="430">
        <f t="shared" si="17"/>
        <v>0</v>
      </c>
      <c r="T376" s="412"/>
    </row>
    <row r="377" spans="2:20" x14ac:dyDescent="0.2">
      <c r="B377" s="412"/>
      <c r="C377" s="412"/>
      <c r="D377" s="412"/>
      <c r="E377" s="412"/>
      <c r="F377" s="412"/>
      <c r="G377" s="412"/>
      <c r="H377" s="412"/>
      <c r="I377" s="412"/>
      <c r="J377" s="412"/>
      <c r="K377" s="412"/>
      <c r="L377" s="412"/>
      <c r="M377" s="412"/>
      <c r="N377" s="412"/>
      <c r="O377" s="412"/>
      <c r="P377" s="412"/>
      <c r="Q377" s="412"/>
      <c r="R377" s="412"/>
      <c r="S377" s="412"/>
      <c r="T377" s="412"/>
    </row>
    <row r="378" spans="2:20" ht="14.25" x14ac:dyDescent="0.2">
      <c r="B378" s="416"/>
      <c r="C378" s="417" t="s">
        <v>89</v>
      </c>
      <c r="D378" s="416"/>
      <c r="E378" s="416"/>
      <c r="F378" s="416"/>
      <c r="G378" s="416"/>
      <c r="H378" s="416"/>
      <c r="I378" s="416"/>
      <c r="J378" s="416"/>
      <c r="K378" s="416"/>
      <c r="L378" s="416"/>
      <c r="M378" s="416"/>
      <c r="N378" s="416"/>
      <c r="O378" s="416"/>
      <c r="P378" s="416"/>
      <c r="Q378" s="416"/>
      <c r="R378" s="416"/>
      <c r="S378" s="416"/>
      <c r="T378" s="416"/>
    </row>
    <row r="379" spans="2:20" x14ac:dyDescent="0.2">
      <c r="B379" s="412"/>
      <c r="C379" s="412"/>
      <c r="D379" s="412"/>
      <c r="E379" s="412"/>
      <c r="F379" s="412"/>
      <c r="G379" s="412"/>
      <c r="H379" s="412"/>
      <c r="I379" s="412"/>
      <c r="J379" s="412"/>
      <c r="K379" s="412"/>
      <c r="L379" s="412"/>
      <c r="M379" s="412"/>
      <c r="N379" s="412"/>
      <c r="O379" s="412"/>
      <c r="P379" s="412"/>
      <c r="Q379" s="412"/>
      <c r="R379" s="412"/>
      <c r="S379" s="412"/>
      <c r="T379" s="412"/>
    </row>
    <row r="380" spans="2:20" ht="13.5" customHeight="1" x14ac:dyDescent="0.2">
      <c r="B380" s="412"/>
      <c r="C380" s="756" t="s">
        <v>128</v>
      </c>
      <c r="D380" s="755" t="s">
        <v>42</v>
      </c>
      <c r="E380" s="755" t="s">
        <v>52</v>
      </c>
      <c r="F380" s="755" t="s">
        <v>53</v>
      </c>
      <c r="G380" s="755" t="s">
        <v>32</v>
      </c>
      <c r="H380" s="755" t="s">
        <v>20</v>
      </c>
      <c r="I380" s="755" t="s">
        <v>55</v>
      </c>
      <c r="J380" s="755" t="s">
        <v>56</v>
      </c>
      <c r="K380" s="755"/>
      <c r="L380" s="755"/>
      <c r="M380" s="755"/>
      <c r="N380" s="755"/>
      <c r="O380" s="755"/>
      <c r="P380" s="755" t="s">
        <v>57</v>
      </c>
      <c r="Q380" s="755" t="s">
        <v>58</v>
      </c>
      <c r="R380" s="755" t="s">
        <v>31</v>
      </c>
      <c r="S380" s="755" t="s">
        <v>10</v>
      </c>
      <c r="T380" s="412"/>
    </row>
    <row r="381" spans="2:20" ht="56.25" x14ac:dyDescent="0.2">
      <c r="B381" s="412"/>
      <c r="C381" s="756"/>
      <c r="D381" s="755"/>
      <c r="E381" s="755"/>
      <c r="F381" s="755"/>
      <c r="G381" s="755"/>
      <c r="H381" s="755"/>
      <c r="I381" s="755"/>
      <c r="J381" s="418" t="s">
        <v>335</v>
      </c>
      <c r="K381" s="418" t="s">
        <v>40</v>
      </c>
      <c r="L381" s="418" t="s">
        <v>343</v>
      </c>
      <c r="M381" s="418" t="s">
        <v>344</v>
      </c>
      <c r="N381" s="419" t="s">
        <v>345</v>
      </c>
      <c r="O381" s="418" t="s">
        <v>346</v>
      </c>
      <c r="P381" s="755"/>
      <c r="Q381" s="755"/>
      <c r="R381" s="755"/>
      <c r="S381" s="755"/>
      <c r="T381" s="412"/>
    </row>
    <row r="382" spans="2:20" x14ac:dyDescent="0.2">
      <c r="B382" s="412"/>
      <c r="C382" s="420" t="s">
        <v>59</v>
      </c>
      <c r="D382" s="421">
        <v>0</v>
      </c>
      <c r="E382" s="421">
        <v>0</v>
      </c>
      <c r="F382" s="421">
        <v>0</v>
      </c>
      <c r="G382" s="421">
        <v>0</v>
      </c>
      <c r="H382" s="422">
        <v>727.27272727272702</v>
      </c>
      <c r="I382" s="422">
        <v>285.08</v>
      </c>
      <c r="J382" s="422">
        <v>179.02026508455899</v>
      </c>
      <c r="K382" s="422">
        <v>22.071430242595699</v>
      </c>
      <c r="L382" s="421">
        <v>0</v>
      </c>
      <c r="M382" s="421">
        <v>0</v>
      </c>
      <c r="N382" s="422">
        <v>69.124340714614704</v>
      </c>
      <c r="O382" s="422">
        <v>3.9743240940765601</v>
      </c>
      <c r="P382" s="421">
        <v>0</v>
      </c>
      <c r="Q382" s="421">
        <v>0</v>
      </c>
      <c r="R382" s="421">
        <v>0</v>
      </c>
      <c r="S382" s="423">
        <v>1286.54308740857</v>
      </c>
      <c r="T382" s="412"/>
    </row>
    <row r="383" spans="2:20" x14ac:dyDescent="0.2">
      <c r="B383" s="412"/>
      <c r="C383" s="420" t="s">
        <v>60</v>
      </c>
      <c r="D383" s="421">
        <v>29.137863782851301</v>
      </c>
      <c r="E383" s="421">
        <v>464.7986487</v>
      </c>
      <c r="F383" s="421">
        <v>43.026150332406097</v>
      </c>
      <c r="G383" s="421">
        <v>393.69712052116603</v>
      </c>
      <c r="H383" s="421">
        <v>0</v>
      </c>
      <c r="I383" s="421">
        <v>0</v>
      </c>
      <c r="J383" s="421">
        <v>0</v>
      </c>
      <c r="K383" s="421">
        <v>0</v>
      </c>
      <c r="L383" s="421">
        <v>0</v>
      </c>
      <c r="M383" s="421">
        <v>0</v>
      </c>
      <c r="N383" s="421">
        <v>0</v>
      </c>
      <c r="O383" s="421">
        <v>0</v>
      </c>
      <c r="P383" s="421">
        <v>52.272660894863201</v>
      </c>
      <c r="Q383" s="421">
        <v>0</v>
      </c>
      <c r="R383" s="421">
        <v>0</v>
      </c>
      <c r="S383" s="423">
        <v>982.93244423128704</v>
      </c>
      <c r="T383" s="412"/>
    </row>
    <row r="384" spans="2:20" x14ac:dyDescent="0.2">
      <c r="B384" s="412"/>
      <c r="C384" s="420" t="s">
        <v>61</v>
      </c>
      <c r="D384" s="421">
        <v>0</v>
      </c>
      <c r="E384" s="421">
        <v>0</v>
      </c>
      <c r="F384" s="421">
        <v>0</v>
      </c>
      <c r="G384" s="421">
        <v>0</v>
      </c>
      <c r="H384" s="421">
        <v>0</v>
      </c>
      <c r="I384" s="421">
        <v>0</v>
      </c>
      <c r="J384" s="421">
        <v>0</v>
      </c>
      <c r="K384" s="421">
        <v>0</v>
      </c>
      <c r="L384" s="421">
        <v>0</v>
      </c>
      <c r="M384" s="421">
        <v>0</v>
      </c>
      <c r="N384" s="421">
        <v>0</v>
      </c>
      <c r="O384" s="421">
        <v>0</v>
      </c>
      <c r="P384" s="421">
        <v>0</v>
      </c>
      <c r="Q384" s="421">
        <v>0</v>
      </c>
      <c r="R384" s="421">
        <v>0</v>
      </c>
      <c r="S384" s="423">
        <v>0</v>
      </c>
      <c r="T384" s="412"/>
    </row>
    <row r="385" spans="2:20" x14ac:dyDescent="0.2">
      <c r="B385" s="412"/>
      <c r="C385" s="420" t="s">
        <v>62</v>
      </c>
      <c r="D385" s="421">
        <v>0</v>
      </c>
      <c r="E385" s="421">
        <v>0</v>
      </c>
      <c r="F385" s="421">
        <v>-14.431507774067301</v>
      </c>
      <c r="G385" s="421">
        <v>0</v>
      </c>
      <c r="H385" s="421">
        <v>0</v>
      </c>
      <c r="I385" s="421">
        <v>0</v>
      </c>
      <c r="J385" s="421">
        <v>0</v>
      </c>
      <c r="K385" s="421">
        <v>0</v>
      </c>
      <c r="L385" s="421">
        <v>0</v>
      </c>
      <c r="M385" s="421">
        <v>0</v>
      </c>
      <c r="N385" s="421">
        <v>0</v>
      </c>
      <c r="O385" s="421">
        <v>0</v>
      </c>
      <c r="P385" s="421">
        <v>0</v>
      </c>
      <c r="Q385" s="421">
        <v>0</v>
      </c>
      <c r="R385" s="421">
        <v>0</v>
      </c>
      <c r="S385" s="423">
        <v>-14.431507774067301</v>
      </c>
      <c r="T385" s="412"/>
    </row>
    <row r="386" spans="2:20" x14ac:dyDescent="0.2">
      <c r="B386" s="412"/>
      <c r="C386" s="420" t="s">
        <v>63</v>
      </c>
      <c r="D386" s="421">
        <v>0</v>
      </c>
      <c r="E386" s="421">
        <v>0</v>
      </c>
      <c r="F386" s="421">
        <v>-93.073301321338505</v>
      </c>
      <c r="G386" s="421">
        <v>0</v>
      </c>
      <c r="H386" s="421">
        <v>0</v>
      </c>
      <c r="I386" s="421">
        <v>0</v>
      </c>
      <c r="J386" s="421">
        <v>0</v>
      </c>
      <c r="K386" s="421">
        <v>0</v>
      </c>
      <c r="L386" s="421">
        <v>-0.96113349486483901</v>
      </c>
      <c r="M386" s="421">
        <v>0</v>
      </c>
      <c r="N386" s="421">
        <v>0</v>
      </c>
      <c r="O386" s="421">
        <v>0</v>
      </c>
      <c r="P386" s="421">
        <v>0</v>
      </c>
      <c r="Q386" s="421">
        <v>0</v>
      </c>
      <c r="R386" s="421">
        <v>0</v>
      </c>
      <c r="S386" s="423">
        <v>-94.034434816203301</v>
      </c>
      <c r="T386" s="412"/>
    </row>
    <row r="387" spans="2:20" x14ac:dyDescent="0.2">
      <c r="B387" s="412"/>
      <c r="C387" s="420" t="s">
        <v>64</v>
      </c>
      <c r="D387" s="421">
        <v>0</v>
      </c>
      <c r="E387" s="421">
        <v>0</v>
      </c>
      <c r="F387" s="421">
        <v>0</v>
      </c>
      <c r="G387" s="421">
        <v>0</v>
      </c>
      <c r="H387" s="421">
        <v>0</v>
      </c>
      <c r="I387" s="421">
        <v>0</v>
      </c>
      <c r="J387" s="421">
        <v>0</v>
      </c>
      <c r="K387" s="421">
        <v>0</v>
      </c>
      <c r="L387" s="421">
        <v>0</v>
      </c>
      <c r="M387" s="421">
        <v>0</v>
      </c>
      <c r="N387" s="421">
        <v>0</v>
      </c>
      <c r="O387" s="421">
        <v>0</v>
      </c>
      <c r="P387" s="421">
        <v>0</v>
      </c>
      <c r="Q387" s="421">
        <v>0</v>
      </c>
      <c r="R387" s="421">
        <v>0</v>
      </c>
      <c r="S387" s="423">
        <v>0</v>
      </c>
      <c r="T387" s="412"/>
    </row>
    <row r="388" spans="2:20" x14ac:dyDescent="0.2">
      <c r="B388" s="412"/>
      <c r="C388" s="424" t="s">
        <v>65</v>
      </c>
      <c r="D388" s="425">
        <v>29.137863782851301</v>
      </c>
      <c r="E388" s="425">
        <v>464.7986487</v>
      </c>
      <c r="F388" s="425">
        <v>-64.4786587629997</v>
      </c>
      <c r="G388" s="425">
        <v>393.69712052116603</v>
      </c>
      <c r="H388" s="425">
        <v>727.27272727272702</v>
      </c>
      <c r="I388" s="425">
        <v>285.08</v>
      </c>
      <c r="J388" s="425">
        <v>179.02026508455899</v>
      </c>
      <c r="K388" s="425">
        <v>22.071430242595699</v>
      </c>
      <c r="L388" s="425">
        <v>-0.96113349486483901</v>
      </c>
      <c r="M388" s="425">
        <v>0</v>
      </c>
      <c r="N388" s="425">
        <v>69.124340714614704</v>
      </c>
      <c r="O388" s="425">
        <v>3.9743240940765601</v>
      </c>
      <c r="P388" s="425">
        <v>52.272660894863201</v>
      </c>
      <c r="Q388" s="425">
        <v>0</v>
      </c>
      <c r="R388" s="425">
        <v>0</v>
      </c>
      <c r="S388" s="425">
        <v>2161.00958904959</v>
      </c>
      <c r="T388" s="412"/>
    </row>
    <row r="389" spans="2:20" x14ac:dyDescent="0.2">
      <c r="B389" s="412"/>
      <c r="C389" s="426"/>
      <c r="D389" s="427"/>
      <c r="E389" s="427"/>
      <c r="F389" s="427"/>
      <c r="G389" s="427"/>
      <c r="H389" s="427"/>
      <c r="I389" s="427"/>
      <c r="J389" s="427"/>
      <c r="K389" s="427"/>
      <c r="L389" s="427"/>
      <c r="M389" s="427"/>
      <c r="N389" s="427"/>
      <c r="O389" s="427"/>
      <c r="P389" s="427"/>
      <c r="Q389" s="427"/>
      <c r="R389" s="427"/>
      <c r="S389" s="427"/>
      <c r="T389" s="412"/>
    </row>
    <row r="390" spans="2:20" x14ac:dyDescent="0.2">
      <c r="B390" s="412"/>
      <c r="C390" s="428" t="s">
        <v>67</v>
      </c>
      <c r="D390" s="421">
        <v>0</v>
      </c>
      <c r="E390" s="421">
        <v>0</v>
      </c>
      <c r="F390" s="421">
        <v>0</v>
      </c>
      <c r="G390" s="421">
        <v>0</v>
      </c>
      <c r="H390" s="421">
        <v>0</v>
      </c>
      <c r="I390" s="421">
        <v>0</v>
      </c>
      <c r="J390" s="421">
        <v>0</v>
      </c>
      <c r="K390" s="421">
        <v>0</v>
      </c>
      <c r="L390" s="421">
        <v>0</v>
      </c>
      <c r="M390" s="421">
        <v>0</v>
      </c>
      <c r="N390" s="421">
        <v>0</v>
      </c>
      <c r="O390" s="421">
        <v>0</v>
      </c>
      <c r="P390" s="421">
        <v>0</v>
      </c>
      <c r="Q390" s="421">
        <v>0</v>
      </c>
      <c r="R390" s="421">
        <v>0</v>
      </c>
      <c r="S390" s="429">
        <v>0</v>
      </c>
      <c r="T390" s="412"/>
    </row>
    <row r="391" spans="2:20" x14ac:dyDescent="0.2">
      <c r="B391" s="412"/>
      <c r="C391" s="428" t="s">
        <v>347</v>
      </c>
      <c r="D391" s="421">
        <v>2.2004707355665598</v>
      </c>
      <c r="E391" s="421">
        <v>0</v>
      </c>
      <c r="F391" s="421">
        <v>3.8636363636363602</v>
      </c>
      <c r="G391" s="421">
        <v>35.960251906978201</v>
      </c>
      <c r="H391" s="421">
        <v>727.27272727272702</v>
      </c>
      <c r="I391" s="421">
        <v>285.08</v>
      </c>
      <c r="J391" s="421">
        <v>20.883347007614301</v>
      </c>
      <c r="K391" s="421">
        <v>5.4396340942741803</v>
      </c>
      <c r="L391" s="421">
        <v>0</v>
      </c>
      <c r="M391" s="421">
        <v>0.73388269197914702</v>
      </c>
      <c r="N391" s="421">
        <v>0</v>
      </c>
      <c r="O391" s="421">
        <v>0</v>
      </c>
      <c r="P391" s="421">
        <v>-559.49648075937398</v>
      </c>
      <c r="Q391" s="421">
        <v>0</v>
      </c>
      <c r="R391" s="421">
        <v>0</v>
      </c>
      <c r="S391" s="429">
        <v>521.93746931340195</v>
      </c>
      <c r="T391" s="412"/>
    </row>
    <row r="392" spans="2:20" x14ac:dyDescent="0.2">
      <c r="B392" s="412"/>
      <c r="C392" s="428" t="s">
        <v>348</v>
      </c>
      <c r="D392" s="421">
        <v>0</v>
      </c>
      <c r="E392" s="421">
        <v>0</v>
      </c>
      <c r="F392" s="421">
        <v>0</v>
      </c>
      <c r="G392" s="421">
        <v>17.249248608476702</v>
      </c>
      <c r="H392" s="421">
        <v>0</v>
      </c>
      <c r="I392" s="421">
        <v>0</v>
      </c>
      <c r="J392" s="421">
        <v>12.287356523997399</v>
      </c>
      <c r="K392" s="421">
        <v>12.751836063828801</v>
      </c>
      <c r="L392" s="421">
        <v>0</v>
      </c>
      <c r="M392" s="421">
        <v>0.35202548180564602</v>
      </c>
      <c r="N392" s="421">
        <v>0</v>
      </c>
      <c r="O392" s="421">
        <v>2.25411214784515</v>
      </c>
      <c r="P392" s="421">
        <v>0</v>
      </c>
      <c r="Q392" s="421">
        <v>-41.172831919421</v>
      </c>
      <c r="R392" s="421">
        <v>0</v>
      </c>
      <c r="S392" s="429">
        <v>3.7217469065325699</v>
      </c>
      <c r="T392" s="412"/>
    </row>
    <row r="393" spans="2:20" x14ac:dyDescent="0.2">
      <c r="B393" s="412"/>
      <c r="C393" s="428" t="s">
        <v>349</v>
      </c>
      <c r="D393" s="421">
        <v>0</v>
      </c>
      <c r="E393" s="421">
        <v>0</v>
      </c>
      <c r="F393" s="421">
        <v>0</v>
      </c>
      <c r="G393" s="421">
        <v>0</v>
      </c>
      <c r="H393" s="421">
        <v>0</v>
      </c>
      <c r="I393" s="421">
        <v>0</v>
      </c>
      <c r="J393" s="421">
        <v>8.1584068388578199</v>
      </c>
      <c r="K393" s="421">
        <v>0</v>
      </c>
      <c r="L393" s="421">
        <v>0</v>
      </c>
      <c r="M393" s="421">
        <v>-7.7912785311092199</v>
      </c>
      <c r="N393" s="421">
        <v>0</v>
      </c>
      <c r="O393" s="421">
        <v>0</v>
      </c>
      <c r="P393" s="421">
        <v>0</v>
      </c>
      <c r="Q393" s="421">
        <v>0</v>
      </c>
      <c r="R393" s="421">
        <v>0</v>
      </c>
      <c r="S393" s="429">
        <v>0.367128307748603</v>
      </c>
      <c r="T393" s="412"/>
    </row>
    <row r="394" spans="2:20" x14ac:dyDescent="0.2">
      <c r="B394" s="412"/>
      <c r="C394" s="428" t="s">
        <v>350</v>
      </c>
      <c r="D394" s="421">
        <v>0</v>
      </c>
      <c r="E394" s="421">
        <v>0</v>
      </c>
      <c r="F394" s="421">
        <v>0</v>
      </c>
      <c r="G394" s="421">
        <v>0</v>
      </c>
      <c r="H394" s="421">
        <v>0</v>
      </c>
      <c r="I394" s="421">
        <v>0</v>
      </c>
      <c r="J394" s="421">
        <v>0</v>
      </c>
      <c r="K394" s="421">
        <v>0</v>
      </c>
      <c r="L394" s="421">
        <v>0</v>
      </c>
      <c r="M394" s="421">
        <v>0</v>
      </c>
      <c r="N394" s="421">
        <v>0</v>
      </c>
      <c r="O394" s="421">
        <v>0</v>
      </c>
      <c r="P394" s="421">
        <v>0</v>
      </c>
      <c r="Q394" s="421">
        <v>0</v>
      </c>
      <c r="R394" s="421">
        <v>0</v>
      </c>
      <c r="S394" s="429">
        <v>0</v>
      </c>
      <c r="T394" s="412"/>
    </row>
    <row r="395" spans="2:20" x14ac:dyDescent="0.2">
      <c r="B395" s="412"/>
      <c r="C395" s="428" t="s">
        <v>72</v>
      </c>
      <c r="D395" s="421">
        <v>0</v>
      </c>
      <c r="E395" s="421">
        <v>481.48200000000003</v>
      </c>
      <c r="F395" s="421">
        <v>-476.66717999999997</v>
      </c>
      <c r="G395" s="421">
        <v>0</v>
      </c>
      <c r="H395" s="421">
        <v>0</v>
      </c>
      <c r="I395" s="421">
        <v>0</v>
      </c>
      <c r="J395" s="421">
        <v>0</v>
      </c>
      <c r="K395" s="421">
        <v>0</v>
      </c>
      <c r="L395" s="421">
        <v>0</v>
      </c>
      <c r="M395" s="421">
        <v>0</v>
      </c>
      <c r="N395" s="421">
        <v>0</v>
      </c>
      <c r="O395" s="421">
        <v>0</v>
      </c>
      <c r="P395" s="421">
        <v>0</v>
      </c>
      <c r="Q395" s="421">
        <v>0</v>
      </c>
      <c r="R395" s="421">
        <v>0</v>
      </c>
      <c r="S395" s="429">
        <v>4.8148200000000001</v>
      </c>
      <c r="T395" s="412"/>
    </row>
    <row r="396" spans="2:20" x14ac:dyDescent="0.2">
      <c r="B396" s="412"/>
      <c r="C396" s="428" t="s">
        <v>351</v>
      </c>
      <c r="D396" s="421">
        <v>0</v>
      </c>
      <c r="E396" s="421">
        <v>0</v>
      </c>
      <c r="F396" s="421">
        <v>0</v>
      </c>
      <c r="G396" s="421">
        <v>0</v>
      </c>
      <c r="H396" s="421">
        <v>0</v>
      </c>
      <c r="I396" s="421">
        <v>0</v>
      </c>
      <c r="J396" s="421">
        <v>41.474660133722303</v>
      </c>
      <c r="K396" s="421">
        <v>0</v>
      </c>
      <c r="L396" s="421">
        <v>-41.474660133722303</v>
      </c>
      <c r="M396" s="421">
        <v>0</v>
      </c>
      <c r="N396" s="421">
        <v>0</v>
      </c>
      <c r="O396" s="421">
        <v>0</v>
      </c>
      <c r="P396" s="421">
        <v>0</v>
      </c>
      <c r="Q396" s="421">
        <v>0</v>
      </c>
      <c r="R396" s="421">
        <v>0</v>
      </c>
      <c r="S396" s="429">
        <v>0</v>
      </c>
      <c r="T396" s="412"/>
    </row>
    <row r="397" spans="2:20" x14ac:dyDescent="0.2">
      <c r="B397" s="412"/>
      <c r="C397" s="428" t="s">
        <v>352</v>
      </c>
      <c r="D397" s="421">
        <v>0</v>
      </c>
      <c r="E397" s="421">
        <v>0</v>
      </c>
      <c r="F397" s="421">
        <v>0</v>
      </c>
      <c r="G397" s="421">
        <v>0</v>
      </c>
      <c r="H397" s="421">
        <v>0</v>
      </c>
      <c r="I397" s="421">
        <v>0</v>
      </c>
      <c r="J397" s="421">
        <v>0</v>
      </c>
      <c r="K397" s="421">
        <v>0</v>
      </c>
      <c r="L397" s="421">
        <v>-0.18779562104234199</v>
      </c>
      <c r="M397" s="421">
        <v>0</v>
      </c>
      <c r="N397" s="421">
        <v>0</v>
      </c>
      <c r="O397" s="421">
        <v>0</v>
      </c>
      <c r="P397" s="421">
        <v>0</v>
      </c>
      <c r="Q397" s="421">
        <v>0</v>
      </c>
      <c r="R397" s="421">
        <v>0.26827945863191799</v>
      </c>
      <c r="S397" s="429">
        <v>8.0483837589575294E-2</v>
      </c>
      <c r="T397" s="412"/>
    </row>
    <row r="398" spans="2:20" x14ac:dyDescent="0.2">
      <c r="B398" s="412"/>
      <c r="C398" s="428" t="s">
        <v>73</v>
      </c>
      <c r="D398" s="421">
        <v>0</v>
      </c>
      <c r="E398" s="421">
        <v>0</v>
      </c>
      <c r="F398" s="421">
        <v>0</v>
      </c>
      <c r="G398" s="421">
        <v>5.7699673283914903</v>
      </c>
      <c r="H398" s="421">
        <v>0</v>
      </c>
      <c r="I398" s="421">
        <v>0</v>
      </c>
      <c r="J398" s="421">
        <v>0</v>
      </c>
      <c r="K398" s="421">
        <v>6.7674962800744601E-2</v>
      </c>
      <c r="L398" s="421">
        <v>0</v>
      </c>
      <c r="M398" s="421">
        <v>0.117754435273296</v>
      </c>
      <c r="N398" s="421">
        <v>0</v>
      </c>
      <c r="O398" s="421">
        <v>0</v>
      </c>
      <c r="P398" s="421">
        <v>0.78954123267535403</v>
      </c>
      <c r="Q398" s="421">
        <v>0</v>
      </c>
      <c r="R398" s="421">
        <v>-4.73724739605212</v>
      </c>
      <c r="S398" s="429">
        <v>2.0076905630887598</v>
      </c>
      <c r="T398" s="412"/>
    </row>
    <row r="399" spans="2:20" x14ac:dyDescent="0.2">
      <c r="B399" s="412"/>
      <c r="C399" s="428" t="s">
        <v>353</v>
      </c>
      <c r="D399" s="421">
        <v>12.0380056152344</v>
      </c>
      <c r="E399" s="421">
        <v>-16.683351300000002</v>
      </c>
      <c r="F399" s="421">
        <v>21.820838094867199</v>
      </c>
      <c r="G399" s="421">
        <v>0</v>
      </c>
      <c r="H399" s="421">
        <v>0</v>
      </c>
      <c r="I399" s="421">
        <v>0</v>
      </c>
      <c r="J399" s="421">
        <v>0</v>
      </c>
      <c r="K399" s="421">
        <v>0</v>
      </c>
      <c r="L399" s="421">
        <v>0</v>
      </c>
      <c r="M399" s="421">
        <v>0</v>
      </c>
      <c r="N399" s="421">
        <v>0</v>
      </c>
      <c r="O399" s="421">
        <v>0</v>
      </c>
      <c r="P399" s="421">
        <v>0</v>
      </c>
      <c r="Q399" s="421">
        <v>0</v>
      </c>
      <c r="R399" s="421">
        <v>0</v>
      </c>
      <c r="S399" s="429">
        <v>17.175492410101601</v>
      </c>
      <c r="T399" s="412"/>
    </row>
    <row r="400" spans="2:20" x14ac:dyDescent="0.2">
      <c r="B400" s="412"/>
      <c r="C400" s="428" t="s">
        <v>75</v>
      </c>
      <c r="D400" s="421">
        <v>9.5550615234374998</v>
      </c>
      <c r="E400" s="421">
        <v>0</v>
      </c>
      <c r="F400" s="421">
        <v>16.370387999999998</v>
      </c>
      <c r="G400" s="421">
        <v>4.6713383640000004</v>
      </c>
      <c r="H400" s="421">
        <v>0</v>
      </c>
      <c r="I400" s="421">
        <v>0</v>
      </c>
      <c r="J400" s="421">
        <v>0</v>
      </c>
      <c r="K400" s="421">
        <v>0</v>
      </c>
      <c r="L400" s="421">
        <v>0</v>
      </c>
      <c r="M400" s="421">
        <v>9.5333435999999994E-2</v>
      </c>
      <c r="N400" s="421">
        <v>0</v>
      </c>
      <c r="O400" s="421">
        <v>0</v>
      </c>
      <c r="P400" s="421">
        <v>25.6753694925142</v>
      </c>
      <c r="Q400" s="421">
        <v>0</v>
      </c>
      <c r="R400" s="421">
        <v>0</v>
      </c>
      <c r="S400" s="429">
        <v>56.367490815951697</v>
      </c>
      <c r="T400" s="412"/>
    </row>
    <row r="401" spans="2:20" x14ac:dyDescent="0.2">
      <c r="B401" s="412"/>
      <c r="C401" s="428" t="s">
        <v>76</v>
      </c>
      <c r="D401" s="421">
        <v>0</v>
      </c>
      <c r="E401" s="421">
        <v>0</v>
      </c>
      <c r="F401" s="421">
        <v>0</v>
      </c>
      <c r="G401" s="421">
        <v>4.52694839554567</v>
      </c>
      <c r="H401" s="421">
        <v>0</v>
      </c>
      <c r="I401" s="421">
        <v>0</v>
      </c>
      <c r="J401" s="421">
        <v>0</v>
      </c>
      <c r="K401" s="421">
        <v>0</v>
      </c>
      <c r="L401" s="421">
        <v>0</v>
      </c>
      <c r="M401" s="421">
        <v>9.2386701949911706E-2</v>
      </c>
      <c r="N401" s="421">
        <v>0</v>
      </c>
      <c r="O401" s="421">
        <v>0</v>
      </c>
      <c r="P401" s="421">
        <v>46.885354346539003</v>
      </c>
      <c r="Q401" s="421">
        <v>3.1905146505824402</v>
      </c>
      <c r="R401" s="421">
        <v>0</v>
      </c>
      <c r="S401" s="429">
        <v>54.695204094616997</v>
      </c>
      <c r="T401" s="412"/>
    </row>
    <row r="402" spans="2:20" x14ac:dyDescent="0.2">
      <c r="B402" s="412"/>
      <c r="C402" s="424" t="s">
        <v>77</v>
      </c>
      <c r="D402" s="425">
        <v>23.7935378742384</v>
      </c>
      <c r="E402" s="425">
        <v>464.7986487</v>
      </c>
      <c r="F402" s="425">
        <v>-434.61231754149702</v>
      </c>
      <c r="G402" s="425">
        <v>68.177754603392003</v>
      </c>
      <c r="H402" s="425">
        <v>727.27272727272702</v>
      </c>
      <c r="I402" s="425">
        <v>285.08</v>
      </c>
      <c r="J402" s="425">
        <v>82.803770504191903</v>
      </c>
      <c r="K402" s="425">
        <v>18.2591451209037</v>
      </c>
      <c r="L402" s="425">
        <v>-41.6624557547647</v>
      </c>
      <c r="M402" s="425">
        <v>-6.3998957841012203</v>
      </c>
      <c r="N402" s="425">
        <v>0</v>
      </c>
      <c r="O402" s="425">
        <v>2.25411214784515</v>
      </c>
      <c r="P402" s="425">
        <v>-486.14621568764602</v>
      </c>
      <c r="Q402" s="425">
        <v>-37.982317268838599</v>
      </c>
      <c r="R402" s="425">
        <v>-4.46896793742021</v>
      </c>
      <c r="S402" s="425">
        <v>661.16752624903097</v>
      </c>
      <c r="T402" s="412"/>
    </row>
    <row r="403" spans="2:20" x14ac:dyDescent="0.2">
      <c r="B403" s="412"/>
      <c r="C403" s="426"/>
      <c r="D403" s="427"/>
      <c r="E403" s="427"/>
      <c r="F403" s="427"/>
      <c r="G403" s="427"/>
      <c r="H403" s="427"/>
      <c r="I403" s="427"/>
      <c r="J403" s="427"/>
      <c r="K403" s="427"/>
      <c r="L403" s="427"/>
      <c r="M403" s="427"/>
      <c r="N403" s="427"/>
      <c r="O403" s="427"/>
      <c r="P403" s="427"/>
      <c r="Q403" s="427"/>
      <c r="R403" s="427"/>
      <c r="S403" s="427"/>
      <c r="T403" s="412"/>
    </row>
    <row r="404" spans="2:20" x14ac:dyDescent="0.2">
      <c r="B404" s="412"/>
      <c r="C404" s="428" t="s">
        <v>78</v>
      </c>
      <c r="D404" s="421">
        <v>3.2525348929878701</v>
      </c>
      <c r="E404" s="421">
        <v>0</v>
      </c>
      <c r="F404" s="421">
        <v>17.532199420942199</v>
      </c>
      <c r="G404" s="421">
        <v>101.536086736296</v>
      </c>
      <c r="H404" s="421">
        <v>0</v>
      </c>
      <c r="I404" s="421">
        <v>0</v>
      </c>
      <c r="J404" s="421">
        <v>17.243729128153799</v>
      </c>
      <c r="K404" s="421">
        <v>3.8122851216920202</v>
      </c>
      <c r="L404" s="421">
        <v>0.87021837890624998</v>
      </c>
      <c r="M404" s="421">
        <v>2.0721650354346099</v>
      </c>
      <c r="N404" s="421">
        <v>0</v>
      </c>
      <c r="O404" s="421">
        <v>0</v>
      </c>
      <c r="P404" s="421">
        <v>120.089551917563</v>
      </c>
      <c r="Q404" s="421">
        <v>19.4196670049601</v>
      </c>
      <c r="R404" s="421">
        <v>0.24405599975585901</v>
      </c>
      <c r="S404" s="429">
        <v>286.072493636692</v>
      </c>
      <c r="T404" s="412"/>
    </row>
    <row r="405" spans="2:20" x14ac:dyDescent="0.2">
      <c r="B405" s="412"/>
      <c r="C405" s="428" t="s">
        <v>79</v>
      </c>
      <c r="D405" s="421">
        <v>0</v>
      </c>
      <c r="E405" s="421">
        <v>0</v>
      </c>
      <c r="F405" s="421">
        <v>204.27744800701601</v>
      </c>
      <c r="G405" s="421">
        <v>35.056721936600702</v>
      </c>
      <c r="H405" s="421">
        <v>0</v>
      </c>
      <c r="I405" s="421">
        <v>0</v>
      </c>
      <c r="J405" s="421">
        <v>0</v>
      </c>
      <c r="K405" s="421">
        <v>0</v>
      </c>
      <c r="L405" s="421">
        <v>20.587238275227001</v>
      </c>
      <c r="M405" s="421">
        <v>0.71544330482858598</v>
      </c>
      <c r="N405" s="421">
        <v>0</v>
      </c>
      <c r="O405" s="421">
        <v>0</v>
      </c>
      <c r="P405" s="421">
        <v>74.338731935176895</v>
      </c>
      <c r="Q405" s="421">
        <v>0</v>
      </c>
      <c r="R405" s="421">
        <v>3.0427208487971602</v>
      </c>
      <c r="S405" s="429">
        <v>338.01830430764699</v>
      </c>
      <c r="T405" s="412"/>
    </row>
    <row r="406" spans="2:20" x14ac:dyDescent="0.2">
      <c r="B406" s="412"/>
      <c r="C406" s="428" t="s">
        <v>80</v>
      </c>
      <c r="D406" s="421">
        <v>0</v>
      </c>
      <c r="E406" s="421">
        <v>0</v>
      </c>
      <c r="F406" s="421">
        <v>5.0790798253364304</v>
      </c>
      <c r="G406" s="421">
        <v>103.36019560958501</v>
      </c>
      <c r="H406" s="421">
        <v>0</v>
      </c>
      <c r="I406" s="421">
        <v>0</v>
      </c>
      <c r="J406" s="421">
        <v>73.674863255740703</v>
      </c>
      <c r="K406" s="421">
        <v>0</v>
      </c>
      <c r="L406" s="421">
        <v>0</v>
      </c>
      <c r="M406" s="421">
        <v>2.1093917471343899</v>
      </c>
      <c r="N406" s="421">
        <v>62.925207692465797</v>
      </c>
      <c r="O406" s="421">
        <v>0.93798825098649496</v>
      </c>
      <c r="P406" s="421">
        <v>184.247095425738</v>
      </c>
      <c r="Q406" s="421">
        <v>14.961677987514401</v>
      </c>
      <c r="R406" s="421">
        <v>0</v>
      </c>
      <c r="S406" s="429">
        <v>447.29549979450098</v>
      </c>
      <c r="T406" s="412"/>
    </row>
    <row r="407" spans="2:20" x14ac:dyDescent="0.2">
      <c r="B407" s="412"/>
      <c r="C407" s="428" t="s">
        <v>81</v>
      </c>
      <c r="D407" s="421">
        <v>0</v>
      </c>
      <c r="E407" s="421">
        <v>0</v>
      </c>
      <c r="F407" s="421">
        <v>1.9431733632283299</v>
      </c>
      <c r="G407" s="421">
        <v>67.9041876215625</v>
      </c>
      <c r="H407" s="421">
        <v>0</v>
      </c>
      <c r="I407" s="421">
        <v>0</v>
      </c>
      <c r="J407" s="421">
        <v>3.20971056517973</v>
      </c>
      <c r="K407" s="421">
        <v>0</v>
      </c>
      <c r="L407" s="421">
        <v>0</v>
      </c>
      <c r="M407" s="421">
        <v>1.3857997473788299</v>
      </c>
      <c r="N407" s="421">
        <v>6.1991330221488896</v>
      </c>
      <c r="O407" s="421">
        <v>0.72170394145081995</v>
      </c>
      <c r="P407" s="421">
        <v>149.98195377916301</v>
      </c>
      <c r="Q407" s="421">
        <v>3.6009722763640601</v>
      </c>
      <c r="R407" s="421">
        <v>0</v>
      </c>
      <c r="S407" s="429">
        <v>234.94663431647601</v>
      </c>
      <c r="T407" s="412"/>
    </row>
    <row r="408" spans="2:20" x14ac:dyDescent="0.2">
      <c r="B408" s="412"/>
      <c r="C408" s="428" t="s">
        <v>82</v>
      </c>
      <c r="D408" s="421">
        <v>0</v>
      </c>
      <c r="E408" s="421">
        <v>0</v>
      </c>
      <c r="F408" s="421">
        <v>2.1543406684855499</v>
      </c>
      <c r="G408" s="421">
        <v>5.7377015169157897</v>
      </c>
      <c r="H408" s="421">
        <v>0</v>
      </c>
      <c r="I408" s="421">
        <v>0</v>
      </c>
      <c r="J408" s="421">
        <v>2.0881916312924198</v>
      </c>
      <c r="K408" s="421">
        <v>0</v>
      </c>
      <c r="L408" s="421">
        <v>19.243865605766601</v>
      </c>
      <c r="M408" s="421">
        <v>0.117095949324812</v>
      </c>
      <c r="N408" s="421">
        <v>0</v>
      </c>
      <c r="O408" s="421">
        <v>6.0519753794095202E-2</v>
      </c>
      <c r="P408" s="421">
        <v>7.3615435248684502</v>
      </c>
      <c r="Q408" s="421">
        <v>0</v>
      </c>
      <c r="R408" s="421">
        <v>0</v>
      </c>
      <c r="S408" s="429">
        <v>36.763258650447703</v>
      </c>
      <c r="T408" s="412"/>
    </row>
    <row r="409" spans="2:20" x14ac:dyDescent="0.2">
      <c r="B409" s="412"/>
      <c r="C409" s="428" t="s">
        <v>354</v>
      </c>
      <c r="D409" s="421">
        <v>0</v>
      </c>
      <c r="E409" s="421">
        <v>0</v>
      </c>
      <c r="F409" s="421">
        <v>0</v>
      </c>
      <c r="G409" s="421">
        <v>0</v>
      </c>
      <c r="H409" s="421">
        <v>0</v>
      </c>
      <c r="I409" s="421">
        <v>0</v>
      </c>
      <c r="J409" s="421">
        <v>0</v>
      </c>
      <c r="K409" s="421">
        <v>0</v>
      </c>
      <c r="L409" s="421">
        <v>0</v>
      </c>
      <c r="M409" s="421">
        <v>0</v>
      </c>
      <c r="N409" s="421">
        <v>0</v>
      </c>
      <c r="O409" s="421">
        <v>0</v>
      </c>
      <c r="P409" s="421">
        <v>2.4</v>
      </c>
      <c r="Q409" s="421">
        <v>0</v>
      </c>
      <c r="R409" s="421">
        <v>0</v>
      </c>
      <c r="S409" s="429">
        <v>2.4</v>
      </c>
      <c r="T409" s="412"/>
    </row>
    <row r="410" spans="2:20" x14ac:dyDescent="0.2">
      <c r="B410" s="412"/>
      <c r="C410" s="424" t="s">
        <v>83</v>
      </c>
      <c r="D410" s="425">
        <v>3.2525348929878701</v>
      </c>
      <c r="E410" s="425">
        <v>0</v>
      </c>
      <c r="F410" s="425">
        <v>230.98624128500899</v>
      </c>
      <c r="G410" s="425">
        <v>313.59489342095998</v>
      </c>
      <c r="H410" s="425">
        <v>0</v>
      </c>
      <c r="I410" s="425">
        <v>0</v>
      </c>
      <c r="J410" s="425">
        <v>96.2164945803667</v>
      </c>
      <c r="K410" s="425">
        <v>3.8122851216920202</v>
      </c>
      <c r="L410" s="425">
        <v>40.701322259899896</v>
      </c>
      <c r="M410" s="425">
        <v>6.3998957841012203</v>
      </c>
      <c r="N410" s="425">
        <v>69.124340714614704</v>
      </c>
      <c r="O410" s="425">
        <v>1.72021194623141</v>
      </c>
      <c r="P410" s="425">
        <v>538.41887658250903</v>
      </c>
      <c r="Q410" s="425">
        <v>37.982317268838599</v>
      </c>
      <c r="R410" s="425">
        <v>3.28677684855302</v>
      </c>
      <c r="S410" s="425">
        <v>1345.49619070576</v>
      </c>
      <c r="T410" s="412"/>
    </row>
    <row r="411" spans="2:20" x14ac:dyDescent="0.2">
      <c r="B411" s="412"/>
      <c r="C411" s="420" t="s">
        <v>84</v>
      </c>
      <c r="D411" s="421">
        <v>2.0917910156250001</v>
      </c>
      <c r="E411" s="421">
        <v>0</v>
      </c>
      <c r="F411" s="421">
        <v>139.14741749348801</v>
      </c>
      <c r="G411" s="421">
        <v>11.9244724968143</v>
      </c>
      <c r="H411" s="421">
        <v>0</v>
      </c>
      <c r="I411" s="421">
        <v>0</v>
      </c>
      <c r="J411" s="421">
        <v>0</v>
      </c>
      <c r="K411" s="421">
        <v>0</v>
      </c>
      <c r="L411" s="421">
        <v>0</v>
      </c>
      <c r="M411" s="421">
        <v>0</v>
      </c>
      <c r="N411" s="421">
        <v>0</v>
      </c>
      <c r="O411" s="421">
        <v>0</v>
      </c>
      <c r="P411" s="421">
        <v>0</v>
      </c>
      <c r="Q411" s="421">
        <v>0</v>
      </c>
      <c r="R411" s="421">
        <v>1.18219108886719</v>
      </c>
      <c r="S411" s="429">
        <v>154.345872094794</v>
      </c>
      <c r="T411" s="412"/>
    </row>
    <row r="412" spans="2:20" x14ac:dyDescent="0.2">
      <c r="B412" s="412"/>
      <c r="C412" s="424" t="s">
        <v>85</v>
      </c>
      <c r="D412" s="425">
        <v>5.3443259086128698</v>
      </c>
      <c r="E412" s="425">
        <v>0</v>
      </c>
      <c r="F412" s="425">
        <v>370.13365877849702</v>
      </c>
      <c r="G412" s="425">
        <v>325.519365917774</v>
      </c>
      <c r="H412" s="425">
        <v>0</v>
      </c>
      <c r="I412" s="425">
        <v>0</v>
      </c>
      <c r="J412" s="425">
        <v>96.2164945803667</v>
      </c>
      <c r="K412" s="425">
        <v>3.8122851216920202</v>
      </c>
      <c r="L412" s="425">
        <v>40.701322259899896</v>
      </c>
      <c r="M412" s="425">
        <v>6.3998957841012203</v>
      </c>
      <c r="N412" s="425">
        <v>69.124340714614704</v>
      </c>
      <c r="O412" s="425">
        <v>1.72021194623141</v>
      </c>
      <c r="P412" s="425">
        <v>538.41887658250903</v>
      </c>
      <c r="Q412" s="425">
        <v>37.982317268838599</v>
      </c>
      <c r="R412" s="425">
        <v>4.46896793742021</v>
      </c>
      <c r="S412" s="425">
        <v>1499.8420628005599</v>
      </c>
      <c r="T412" s="412"/>
    </row>
    <row r="413" spans="2:20" x14ac:dyDescent="0.2">
      <c r="B413" s="412"/>
      <c r="C413" s="412"/>
      <c r="D413" s="430">
        <f t="shared" ref="D413:S413" si="18">D412+D402-D388</f>
        <v>-3.1974423109204508E-14</v>
      </c>
      <c r="E413" s="430">
        <f t="shared" si="18"/>
        <v>0</v>
      </c>
      <c r="F413" s="430">
        <f t="shared" si="18"/>
        <v>-2.9842794901924208E-13</v>
      </c>
      <c r="G413" s="430">
        <f t="shared" si="18"/>
        <v>0</v>
      </c>
      <c r="H413" s="430">
        <f t="shared" si="18"/>
        <v>0</v>
      </c>
      <c r="I413" s="430">
        <f t="shared" si="18"/>
        <v>0</v>
      </c>
      <c r="J413" s="430">
        <f t="shared" si="18"/>
        <v>-3.694822225952521E-13</v>
      </c>
      <c r="K413" s="430">
        <f t="shared" si="18"/>
        <v>0</v>
      </c>
      <c r="L413" s="430">
        <f t="shared" si="18"/>
        <v>3.5416114485542494E-14</v>
      </c>
      <c r="M413" s="430">
        <f t="shared" si="18"/>
        <v>0</v>
      </c>
      <c r="N413" s="430">
        <f t="shared" si="18"/>
        <v>0</v>
      </c>
      <c r="O413" s="430">
        <f t="shared" si="18"/>
        <v>0</v>
      </c>
      <c r="P413" s="430">
        <f t="shared" si="18"/>
        <v>-1.9184653865522705E-13</v>
      </c>
      <c r="Q413" s="430">
        <f t="shared" si="18"/>
        <v>0</v>
      </c>
      <c r="R413" s="430">
        <f t="shared" si="18"/>
        <v>0</v>
      </c>
      <c r="S413" s="430">
        <f t="shared" si="18"/>
        <v>0</v>
      </c>
      <c r="T413" s="412"/>
    </row>
    <row r="414" spans="2:20" x14ac:dyDescent="0.2">
      <c r="B414" s="412"/>
      <c r="C414" s="412"/>
      <c r="D414" s="412"/>
      <c r="E414" s="412"/>
      <c r="F414" s="412"/>
      <c r="G414" s="412"/>
      <c r="H414" s="412"/>
      <c r="I414" s="412"/>
      <c r="J414" s="412"/>
      <c r="K414" s="412"/>
      <c r="L414" s="412"/>
      <c r="M414" s="412"/>
      <c r="N414" s="412"/>
      <c r="O414" s="412"/>
      <c r="P414" s="412"/>
      <c r="Q414" s="412"/>
      <c r="R414" s="412"/>
      <c r="S414" s="412"/>
      <c r="T414" s="412"/>
    </row>
  </sheetData>
  <mergeCells count="132">
    <mergeCell ref="I380:I381"/>
    <mergeCell ref="J380:O380"/>
    <mergeCell ref="P380:P381"/>
    <mergeCell ref="Q380:Q381"/>
    <mergeCell ref="R380:R381"/>
    <mergeCell ref="S380:S381"/>
    <mergeCell ref="C380:C381"/>
    <mergeCell ref="D380:D381"/>
    <mergeCell ref="E380:E381"/>
    <mergeCell ref="F380:F381"/>
    <mergeCell ref="G380:G381"/>
    <mergeCell ref="H380:H381"/>
    <mergeCell ref="I343:I344"/>
    <mergeCell ref="J343:O343"/>
    <mergeCell ref="P343:P344"/>
    <mergeCell ref="Q343:Q344"/>
    <mergeCell ref="R343:R344"/>
    <mergeCell ref="S343:S344"/>
    <mergeCell ref="C343:C344"/>
    <mergeCell ref="D343:D344"/>
    <mergeCell ref="E343:E344"/>
    <mergeCell ref="F343:F344"/>
    <mergeCell ref="G343:G344"/>
    <mergeCell ref="H343:H344"/>
    <mergeCell ref="I306:I307"/>
    <mergeCell ref="J306:O306"/>
    <mergeCell ref="P306:P307"/>
    <mergeCell ref="Q306:Q307"/>
    <mergeCell ref="R306:R307"/>
    <mergeCell ref="S306:S307"/>
    <mergeCell ref="C306:C307"/>
    <mergeCell ref="D306:D307"/>
    <mergeCell ref="E306:E307"/>
    <mergeCell ref="F306:F307"/>
    <mergeCell ref="G306:G307"/>
    <mergeCell ref="H306:H307"/>
    <mergeCell ref="I269:I270"/>
    <mergeCell ref="J269:O269"/>
    <mergeCell ref="P269:P270"/>
    <mergeCell ref="Q269:Q270"/>
    <mergeCell ref="R269:R270"/>
    <mergeCell ref="S269:S270"/>
    <mergeCell ref="C269:C270"/>
    <mergeCell ref="D269:D270"/>
    <mergeCell ref="E269:E270"/>
    <mergeCell ref="F269:F270"/>
    <mergeCell ref="G269:G270"/>
    <mergeCell ref="H269:H270"/>
    <mergeCell ref="I232:I233"/>
    <mergeCell ref="J232:O232"/>
    <mergeCell ref="P232:P233"/>
    <mergeCell ref="Q232:Q233"/>
    <mergeCell ref="R232:R233"/>
    <mergeCell ref="S232:S233"/>
    <mergeCell ref="C232:C233"/>
    <mergeCell ref="D232:D233"/>
    <mergeCell ref="E232:E233"/>
    <mergeCell ref="F232:F233"/>
    <mergeCell ref="G232:G233"/>
    <mergeCell ref="H232:H233"/>
    <mergeCell ref="I195:I196"/>
    <mergeCell ref="J195:O195"/>
    <mergeCell ref="P195:P196"/>
    <mergeCell ref="Q195:Q196"/>
    <mergeCell ref="R195:R196"/>
    <mergeCell ref="S195:S196"/>
    <mergeCell ref="C195:C196"/>
    <mergeCell ref="D195:D196"/>
    <mergeCell ref="E195:E196"/>
    <mergeCell ref="F195:F196"/>
    <mergeCell ref="G195:G196"/>
    <mergeCell ref="H195:H196"/>
    <mergeCell ref="I158:I159"/>
    <mergeCell ref="J158:O158"/>
    <mergeCell ref="P158:P159"/>
    <mergeCell ref="Q158:Q159"/>
    <mergeCell ref="R158:R159"/>
    <mergeCell ref="S158:S159"/>
    <mergeCell ref="C158:C159"/>
    <mergeCell ref="D158:D159"/>
    <mergeCell ref="E158:E159"/>
    <mergeCell ref="F158:F159"/>
    <mergeCell ref="G158:G159"/>
    <mergeCell ref="H158:H159"/>
    <mergeCell ref="I121:I122"/>
    <mergeCell ref="J121:O121"/>
    <mergeCell ref="P121:P122"/>
    <mergeCell ref="Q121:Q122"/>
    <mergeCell ref="R121:R122"/>
    <mergeCell ref="S121:S122"/>
    <mergeCell ref="C121:C122"/>
    <mergeCell ref="D121:D122"/>
    <mergeCell ref="E121:E122"/>
    <mergeCell ref="F121:F122"/>
    <mergeCell ref="G121:G122"/>
    <mergeCell ref="H121:H122"/>
    <mergeCell ref="I84:I85"/>
    <mergeCell ref="J84:O84"/>
    <mergeCell ref="P84:P85"/>
    <mergeCell ref="Q84:Q85"/>
    <mergeCell ref="R84:R85"/>
    <mergeCell ref="S84:S85"/>
    <mergeCell ref="C84:C85"/>
    <mergeCell ref="D84:D85"/>
    <mergeCell ref="E84:E85"/>
    <mergeCell ref="F84:F85"/>
    <mergeCell ref="G84:G85"/>
    <mergeCell ref="H84:H85"/>
    <mergeCell ref="I47:I48"/>
    <mergeCell ref="J47:O47"/>
    <mergeCell ref="P47:P48"/>
    <mergeCell ref="Q47:Q48"/>
    <mergeCell ref="R47:R48"/>
    <mergeCell ref="S47:S48"/>
    <mergeCell ref="C47:C48"/>
    <mergeCell ref="D47:D48"/>
    <mergeCell ref="E47:E48"/>
    <mergeCell ref="F47:F48"/>
    <mergeCell ref="G47:G48"/>
    <mergeCell ref="H47:H48"/>
    <mergeCell ref="I10:I11"/>
    <mergeCell ref="J10:O10"/>
    <mergeCell ref="P10:P11"/>
    <mergeCell ref="Q10:Q11"/>
    <mergeCell ref="R10:R11"/>
    <mergeCell ref="S10:S11"/>
    <mergeCell ref="C10:C11"/>
    <mergeCell ref="D10:D11"/>
    <mergeCell ref="E10:E11"/>
    <mergeCell ref="F10:F11"/>
    <mergeCell ref="G10:G11"/>
    <mergeCell ref="H10:H11"/>
  </mergeCells>
  <conditionalFormatting sqref="D15:O16">
    <cfRule type="cellIs" dxfId="3138" priority="32" operator="equal">
      <formula>0</formula>
    </cfRule>
  </conditionalFormatting>
  <conditionalFormatting sqref="D50:R51">
    <cfRule type="cellIs" dxfId="3137" priority="66" operator="equal">
      <formula>0</formula>
    </cfRule>
  </conditionalFormatting>
  <conditionalFormatting sqref="D78:R78">
    <cfRule type="cellIs" dxfId="3136" priority="90" operator="equal">
      <formula>0</formula>
    </cfRule>
  </conditionalFormatting>
  <conditionalFormatting sqref="D12:S18">
    <cfRule type="expression" dxfId="3135" priority="20">
      <formula>LEN(TRIM(D12))=0</formula>
    </cfRule>
  </conditionalFormatting>
  <conditionalFormatting sqref="D18:S42">
    <cfRule type="cellIs" dxfId="3134" priority="1" operator="equal">
      <formula>0</formula>
    </cfRule>
  </conditionalFormatting>
  <conditionalFormatting sqref="D20:S32">
    <cfRule type="expression" dxfId="3133" priority="2">
      <formula>LEN(TRIM(D20))=0</formula>
    </cfRule>
  </conditionalFormatting>
  <conditionalFormatting sqref="D34:S42">
    <cfRule type="expression" dxfId="3132" priority="50">
      <formula>LEN(TRIM(D34))=0</formula>
    </cfRule>
  </conditionalFormatting>
  <conditionalFormatting sqref="D49:S55 D57:S69 D71:S79 D390:S402">
    <cfRule type="expression" dxfId="3131" priority="83">
      <formula>LEN(TRIM(D49))=0</formula>
    </cfRule>
  </conditionalFormatting>
  <conditionalFormatting sqref="D86:S92 D94:S106 D108:S116">
    <cfRule type="expression" dxfId="3130" priority="97">
      <formula>LEN(TRIM(D86))=0</formula>
    </cfRule>
  </conditionalFormatting>
  <conditionalFormatting sqref="D86:S116">
    <cfRule type="cellIs" dxfId="3129" priority="95" operator="equal">
      <formula>0</formula>
    </cfRule>
  </conditionalFormatting>
  <conditionalFormatting sqref="D123:S129 D131:S143 D145:S153">
    <cfRule type="expression" dxfId="3128" priority="100">
      <formula>LEN(TRIM(D123))=0</formula>
    </cfRule>
  </conditionalFormatting>
  <conditionalFormatting sqref="D123:S153">
    <cfRule type="cellIs" dxfId="3127" priority="98" operator="equal">
      <formula>0</formula>
    </cfRule>
  </conditionalFormatting>
  <conditionalFormatting sqref="D160:S166 D168:S180 D182:S190">
    <cfRule type="expression" dxfId="3126" priority="103">
      <formula>LEN(TRIM(D160))=0</formula>
    </cfRule>
  </conditionalFormatting>
  <conditionalFormatting sqref="D160:S190">
    <cfRule type="cellIs" dxfId="3125" priority="101" operator="equal">
      <formula>0</formula>
    </cfRule>
  </conditionalFormatting>
  <conditionalFormatting sqref="D197:S203 D205:S217 D219:S227">
    <cfRule type="expression" dxfId="3124" priority="220">
      <formula>LEN(TRIM(D197))=0</formula>
    </cfRule>
  </conditionalFormatting>
  <conditionalFormatting sqref="D197:S227">
    <cfRule type="cellIs" dxfId="3123" priority="218" operator="equal">
      <formula>0</formula>
    </cfRule>
  </conditionalFormatting>
  <conditionalFormatting sqref="D234:S240 D242:S254 D256:S264">
    <cfRule type="expression" dxfId="3122" priority="263">
      <formula>LEN(TRIM(D234))=0</formula>
    </cfRule>
  </conditionalFormatting>
  <conditionalFormatting sqref="D234:S264">
    <cfRule type="cellIs" dxfId="3121" priority="261" operator="equal">
      <formula>0</formula>
    </cfRule>
  </conditionalFormatting>
  <conditionalFormatting sqref="D271:S277 D279:S291 D293:S301">
    <cfRule type="expression" dxfId="3120" priority="266">
      <formula>LEN(TRIM(D271))=0</formula>
    </cfRule>
  </conditionalFormatting>
  <conditionalFormatting sqref="D271:S301">
    <cfRule type="cellIs" dxfId="3119" priority="264" operator="equal">
      <formula>0</formula>
    </cfRule>
  </conditionalFormatting>
  <conditionalFormatting sqref="D308:S314 D316:S328 D330:S338">
    <cfRule type="expression" dxfId="3118" priority="269">
      <formula>LEN(TRIM(D308))=0</formula>
    </cfRule>
  </conditionalFormatting>
  <conditionalFormatting sqref="D308:S338">
    <cfRule type="cellIs" dxfId="3117" priority="267" operator="equal">
      <formula>0</formula>
    </cfRule>
  </conditionalFormatting>
  <conditionalFormatting sqref="D345:S351 D353:S365 D367:S375">
    <cfRule type="expression" dxfId="3116" priority="385">
      <formula>LEN(TRIM(D345))=0</formula>
    </cfRule>
  </conditionalFormatting>
  <conditionalFormatting sqref="D345:S375">
    <cfRule type="cellIs" dxfId="3115" priority="383" operator="equal">
      <formula>0</formula>
    </cfRule>
  </conditionalFormatting>
  <conditionalFormatting sqref="D382:S388 D404:S412">
    <cfRule type="expression" dxfId="3114" priority="378">
      <formula>LEN(TRIM(D382))=0</formula>
    </cfRule>
  </conditionalFormatting>
  <conditionalFormatting sqref="F87:F88">
    <cfRule type="cellIs" dxfId="3113" priority="117" operator="equal">
      <formula>0</formula>
    </cfRule>
  </conditionalFormatting>
  <conditionalFormatting sqref="F124:F125">
    <cfRule type="cellIs" dxfId="3112" priority="151" operator="equal">
      <formula>0</formula>
    </cfRule>
  </conditionalFormatting>
  <conditionalFormatting sqref="F161:F162">
    <cfRule type="cellIs" dxfId="3111" priority="185" operator="equal">
      <formula>0</formula>
    </cfRule>
  </conditionalFormatting>
  <conditionalFormatting sqref="F198:F199">
    <cfRule type="cellIs" dxfId="3110" priority="224" operator="equal">
      <formula>0</formula>
    </cfRule>
  </conditionalFormatting>
  <conditionalFormatting sqref="F235:F236">
    <cfRule type="cellIs" dxfId="3109" priority="273" operator="equal">
      <formula>0</formula>
    </cfRule>
  </conditionalFormatting>
  <conditionalFormatting sqref="F272:F273">
    <cfRule type="cellIs" dxfId="3108" priority="307" operator="equal">
      <formula>0</formula>
    </cfRule>
  </conditionalFormatting>
  <conditionalFormatting sqref="F309:F310">
    <cfRule type="cellIs" dxfId="3107" priority="341" operator="equal">
      <formula>0</formula>
    </cfRule>
  </conditionalFormatting>
  <conditionalFormatting sqref="F346:F347">
    <cfRule type="cellIs" dxfId="3106" priority="389" operator="equal">
      <formula>0</formula>
    </cfRule>
  </conditionalFormatting>
  <conditionalFormatting sqref="F383:F384">
    <cfRule type="cellIs" dxfId="3105" priority="423" operator="equal">
      <formula>0</formula>
    </cfRule>
  </conditionalFormatting>
  <conditionalFormatting sqref="J50:J54">
    <cfRule type="cellIs" dxfId="3104" priority="70" operator="equal">
      <formula>0</formula>
    </cfRule>
  </conditionalFormatting>
  <conditionalFormatting sqref="J87:J91">
    <cfRule type="cellIs" dxfId="3103" priority="119" operator="equal">
      <formula>0</formula>
    </cfRule>
  </conditionalFormatting>
  <conditionalFormatting sqref="J124:J128">
    <cfRule type="cellIs" dxfId="3102" priority="153" operator="equal">
      <formula>0</formula>
    </cfRule>
  </conditionalFormatting>
  <conditionalFormatting sqref="J161:J165">
    <cfRule type="cellIs" dxfId="3101" priority="187" operator="equal">
      <formula>0</formula>
    </cfRule>
  </conditionalFormatting>
  <conditionalFormatting sqref="J198:J202">
    <cfRule type="cellIs" dxfId="3100" priority="226" operator="equal">
      <formula>0</formula>
    </cfRule>
  </conditionalFormatting>
  <conditionalFormatting sqref="J235:J239">
    <cfRule type="cellIs" dxfId="3099" priority="275" operator="equal">
      <formula>0</formula>
    </cfRule>
  </conditionalFormatting>
  <conditionalFormatting sqref="J272:J276">
    <cfRule type="cellIs" dxfId="3098" priority="309" operator="equal">
      <formula>0</formula>
    </cfRule>
  </conditionalFormatting>
  <conditionalFormatting sqref="J309:J313">
    <cfRule type="cellIs" dxfId="3097" priority="343" operator="equal">
      <formula>0</formula>
    </cfRule>
  </conditionalFormatting>
  <conditionalFormatting sqref="J346:J350">
    <cfRule type="cellIs" dxfId="3096" priority="391" operator="equal">
      <formula>0</formula>
    </cfRule>
  </conditionalFormatting>
  <conditionalFormatting sqref="J383:J387">
    <cfRule type="cellIs" dxfId="3095" priority="425" operator="equal">
      <formula>0</formula>
    </cfRule>
  </conditionalFormatting>
  <conditionalFormatting sqref="J11:O11 D12:I14 J12:S17 D17:I17">
    <cfRule type="cellIs" dxfId="3094" priority="3" operator="equal">
      <formula>0</formula>
    </cfRule>
  </conditionalFormatting>
  <conditionalFormatting sqref="J48:O48 D49:S79 D382:S412">
    <cfRule type="cellIs" dxfId="3093" priority="64" operator="equal">
      <formula>0</formula>
    </cfRule>
  </conditionalFormatting>
  <conditionalFormatting sqref="J85:O85">
    <cfRule type="cellIs" dxfId="3092" priority="84" operator="equal">
      <formula>0</formula>
    </cfRule>
  </conditionalFormatting>
  <conditionalFormatting sqref="J122:O122">
    <cfRule type="cellIs" dxfId="3091" priority="86" operator="equal">
      <formula>0</formula>
    </cfRule>
  </conditionalFormatting>
  <conditionalFormatting sqref="J159:O159">
    <cfRule type="cellIs" dxfId="3090" priority="88" operator="equal">
      <formula>0</formula>
    </cfRule>
  </conditionalFormatting>
  <conditionalFormatting sqref="J196:O196">
    <cfRule type="cellIs" dxfId="3089" priority="216" operator="equal">
      <formula>0</formula>
    </cfRule>
  </conditionalFormatting>
  <conditionalFormatting sqref="J233:O233">
    <cfRule type="cellIs" dxfId="3088" priority="255" operator="equal">
      <formula>0</formula>
    </cfRule>
  </conditionalFormatting>
  <conditionalFormatting sqref="J270:O270">
    <cfRule type="cellIs" dxfId="3087" priority="257" operator="equal">
      <formula>0</formula>
    </cfRule>
  </conditionalFormatting>
  <conditionalFormatting sqref="J307:O307">
    <cfRule type="cellIs" dxfId="3086" priority="259" operator="equal">
      <formula>0</formula>
    </cfRule>
  </conditionalFormatting>
  <conditionalFormatting sqref="J344:O344">
    <cfRule type="cellIs" dxfId="3085" priority="372" operator="equal">
      <formula>0</formula>
    </cfRule>
  </conditionalFormatting>
  <conditionalFormatting sqref="J381:O381">
    <cfRule type="cellIs" dxfId="3084" priority="374" operator="equal">
      <formula>0</formula>
    </cfRule>
  </conditionalFormatting>
  <conditionalFormatting sqref="K49:M54">
    <cfRule type="cellIs" dxfId="3083" priority="72" operator="equal">
      <formula>0</formula>
    </cfRule>
  </conditionalFormatting>
  <conditionalFormatting sqref="K86:M91">
    <cfRule type="cellIs" dxfId="3082" priority="121" operator="equal">
      <formula>0</formula>
    </cfRule>
  </conditionalFormatting>
  <conditionalFormatting sqref="K123:M128">
    <cfRule type="cellIs" dxfId="3081" priority="155" operator="equal">
      <formula>0</formula>
    </cfRule>
  </conditionalFormatting>
  <conditionalFormatting sqref="K160:M165">
    <cfRule type="cellIs" dxfId="3080" priority="189" operator="equal">
      <formula>0</formula>
    </cfRule>
  </conditionalFormatting>
  <conditionalFormatting sqref="K197:M202">
    <cfRule type="cellIs" dxfId="3079" priority="228" operator="equal">
      <formula>0</formula>
    </cfRule>
  </conditionalFormatting>
  <conditionalFormatting sqref="K234:M239">
    <cfRule type="cellIs" dxfId="3078" priority="277" operator="equal">
      <formula>0</formula>
    </cfRule>
  </conditionalFormatting>
  <conditionalFormatting sqref="K271:M276">
    <cfRule type="cellIs" dxfId="3077" priority="311" operator="equal">
      <formula>0</formula>
    </cfRule>
  </conditionalFormatting>
  <conditionalFormatting sqref="K308:M313">
    <cfRule type="cellIs" dxfId="3076" priority="345" operator="equal">
      <formula>0</formula>
    </cfRule>
  </conditionalFormatting>
  <conditionalFormatting sqref="K345:M350">
    <cfRule type="cellIs" dxfId="3075" priority="393" operator="equal">
      <formula>0</formula>
    </cfRule>
  </conditionalFormatting>
  <conditionalFormatting sqref="K382:M387">
    <cfRule type="cellIs" dxfId="3074" priority="427" operator="equal">
      <formula>0</formula>
    </cfRule>
  </conditionalFormatting>
  <conditionalFormatting sqref="N50:O54">
    <cfRule type="cellIs" dxfId="3073" priority="78" operator="equal">
      <formula>0</formula>
    </cfRule>
  </conditionalFormatting>
  <conditionalFormatting sqref="N87:O91">
    <cfRule type="cellIs" dxfId="3072" priority="127" operator="equal">
      <formula>0</formula>
    </cfRule>
  </conditionalFormatting>
  <conditionalFormatting sqref="N124:O128">
    <cfRule type="cellIs" dxfId="3071" priority="161" operator="equal">
      <formula>0</formula>
    </cfRule>
  </conditionalFormatting>
  <conditionalFormatting sqref="N161:O165">
    <cfRule type="cellIs" dxfId="3070" priority="195" operator="equal">
      <formula>0</formula>
    </cfRule>
  </conditionalFormatting>
  <conditionalFormatting sqref="N198:O202">
    <cfRule type="cellIs" dxfId="3069" priority="234" operator="equal">
      <formula>0</formula>
    </cfRule>
  </conditionalFormatting>
  <conditionalFormatting sqref="N235:O239">
    <cfRule type="cellIs" dxfId="3068" priority="283" operator="equal">
      <formula>0</formula>
    </cfRule>
  </conditionalFormatting>
  <conditionalFormatting sqref="N272:O276">
    <cfRule type="cellIs" dxfId="3067" priority="317" operator="equal">
      <formula>0</formula>
    </cfRule>
  </conditionalFormatting>
  <conditionalFormatting sqref="N309:O313">
    <cfRule type="cellIs" dxfId="3066" priority="351" operator="equal">
      <formula>0</formula>
    </cfRule>
  </conditionalFormatting>
  <conditionalFormatting sqref="N346:O350">
    <cfRule type="cellIs" dxfId="3065" priority="399" operator="equal">
      <formula>0</formula>
    </cfRule>
  </conditionalFormatting>
  <conditionalFormatting sqref="N383:O387">
    <cfRule type="cellIs" dxfId="3064" priority="433" operator="equal">
      <formula>0</formula>
    </cfRule>
  </conditionalFormatting>
  <conditionalFormatting sqref="P49:P51">
    <cfRule type="cellIs" dxfId="3063" priority="65" operator="equal">
      <formula>0</formula>
    </cfRule>
  </conditionalFormatting>
  <conditionalFormatting sqref="P86:P88">
    <cfRule type="cellIs" dxfId="3062" priority="115" operator="equal">
      <formula>0</formula>
    </cfRule>
  </conditionalFormatting>
  <conditionalFormatting sqref="P123:P125">
    <cfRule type="cellIs" dxfId="3061" priority="149" operator="equal">
      <formula>0</formula>
    </cfRule>
  </conditionalFormatting>
  <conditionalFormatting sqref="P160:P162">
    <cfRule type="cellIs" dxfId="3060" priority="183" operator="equal">
      <formula>0</formula>
    </cfRule>
  </conditionalFormatting>
  <conditionalFormatting sqref="P197:P199">
    <cfRule type="cellIs" dxfId="3059" priority="222" operator="equal">
      <formula>0</formula>
    </cfRule>
  </conditionalFormatting>
  <conditionalFormatting sqref="P234:P236">
    <cfRule type="cellIs" dxfId="3058" priority="271" operator="equal">
      <formula>0</formula>
    </cfRule>
  </conditionalFormatting>
  <conditionalFormatting sqref="P271:P273">
    <cfRule type="cellIs" dxfId="3057" priority="305" operator="equal">
      <formula>0</formula>
    </cfRule>
  </conditionalFormatting>
  <conditionalFormatting sqref="P308:P310">
    <cfRule type="cellIs" dxfId="3056" priority="339" operator="equal">
      <formula>0</formula>
    </cfRule>
  </conditionalFormatting>
  <conditionalFormatting sqref="P345:P347">
    <cfRule type="cellIs" dxfId="3055" priority="387" operator="equal">
      <formula>0</formula>
    </cfRule>
  </conditionalFormatting>
  <conditionalFormatting sqref="P382:P384">
    <cfRule type="cellIs" dxfId="3054" priority="421" operator="equal">
      <formula>0</formula>
    </cfRule>
  </conditionalFormatting>
  <pageMargins left="0.78750000000000009" right="0.78750000000000009" top="1.05277777777778" bottom="1.05277777777778" header="0.78750000000000009" footer="0.78750000000000009"/>
  <pageSetup paperSize="9" orientation="portrait" useFirstPageNumber="1" horizontalDpi="300" verticalDpi="300" r:id="rId1"/>
  <headerFooter>
    <oddHeader>&amp;C&amp;"Times New Roman,Normal"&amp;12&amp;A</oddHeader>
    <oddFooter>&amp;C&amp;"Times New Roman,Normal"&amp;12Page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AF2C7-2BB9-4704-8CC8-A4539922BB7E}">
  <dimension ref="C2:AK441"/>
  <sheetViews>
    <sheetView workbookViewId="0"/>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60" t="s">
        <v>522</v>
      </c>
      <c r="D2" s="760"/>
      <c r="E2" s="760"/>
      <c r="F2" s="760"/>
      <c r="G2" s="760"/>
      <c r="H2" s="760"/>
      <c r="I2" s="760"/>
      <c r="J2" s="760"/>
      <c r="K2" s="760"/>
      <c r="L2" s="760"/>
      <c r="M2" s="760"/>
      <c r="N2" s="760"/>
      <c r="O2" s="760"/>
      <c r="P2" s="760"/>
      <c r="Q2" s="760"/>
      <c r="R2" s="760"/>
      <c r="S2" s="760"/>
      <c r="U2" s="760" t="s">
        <v>523</v>
      </c>
      <c r="V2" s="760"/>
      <c r="W2" s="760"/>
      <c r="X2" s="760"/>
      <c r="Y2" s="760"/>
      <c r="Z2" s="760"/>
      <c r="AA2" s="760"/>
      <c r="AB2" s="760"/>
      <c r="AC2" s="760"/>
      <c r="AD2" s="760"/>
      <c r="AE2" s="760"/>
      <c r="AF2" s="760"/>
      <c r="AG2" s="760"/>
      <c r="AH2" s="760"/>
      <c r="AI2" s="760"/>
      <c r="AJ2" s="760"/>
      <c r="AK2" s="760"/>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338</v>
      </c>
      <c r="D4" s="635" t="s">
        <v>524</v>
      </c>
      <c r="E4" s="634"/>
      <c r="F4" s="634"/>
      <c r="G4" s="634"/>
      <c r="H4" s="636"/>
      <c r="I4" s="634"/>
      <c r="J4" s="634"/>
      <c r="K4" s="634"/>
      <c r="L4" s="634"/>
      <c r="M4" s="634"/>
      <c r="N4" s="634"/>
      <c r="O4" s="634"/>
      <c r="P4" s="634"/>
      <c r="Q4" s="634"/>
      <c r="R4" s="634"/>
      <c r="S4" s="634"/>
      <c r="U4" s="635" t="s">
        <v>338</v>
      </c>
      <c r="V4" s="635" t="s">
        <v>524</v>
      </c>
      <c r="W4" s="634"/>
      <c r="X4" s="634"/>
      <c r="Y4" s="634"/>
      <c r="Z4" s="636"/>
      <c r="AA4" s="634"/>
      <c r="AB4" s="634"/>
      <c r="AC4" s="634"/>
      <c r="AD4" s="634"/>
      <c r="AE4" s="634"/>
      <c r="AF4" s="634"/>
      <c r="AG4" s="634"/>
      <c r="AH4" s="634"/>
      <c r="AI4" s="634"/>
      <c r="AJ4" s="634"/>
      <c r="AK4" s="634"/>
    </row>
    <row r="5" spans="3:37" ht="37.5" x14ac:dyDescent="0.3">
      <c r="C5" s="635" t="s">
        <v>341</v>
      </c>
      <c r="D5" s="635" t="s">
        <v>342</v>
      </c>
      <c r="E5" s="634"/>
      <c r="F5" s="634"/>
      <c r="G5" s="634"/>
      <c r="H5" s="634"/>
      <c r="I5" s="634"/>
      <c r="J5" s="634"/>
      <c r="K5" s="634"/>
      <c r="L5" s="634"/>
      <c r="M5" s="634"/>
      <c r="N5" s="634"/>
      <c r="O5" s="634"/>
      <c r="P5" s="634"/>
      <c r="Q5" s="634"/>
      <c r="R5" s="634"/>
      <c r="S5" s="634"/>
      <c r="U5" s="635" t="s">
        <v>341</v>
      </c>
      <c r="V5" s="635" t="s">
        <v>342</v>
      </c>
      <c r="W5" s="634"/>
      <c r="X5" s="634"/>
      <c r="Y5" s="634"/>
      <c r="Z5" s="634"/>
      <c r="AA5" s="634"/>
      <c r="AB5" s="634"/>
      <c r="AC5" s="634"/>
      <c r="AD5" s="634"/>
      <c r="AE5" s="634"/>
      <c r="AF5" s="634"/>
      <c r="AG5" s="634"/>
      <c r="AH5" s="634"/>
      <c r="AI5" s="634"/>
      <c r="AJ5" s="634"/>
      <c r="AK5" s="634"/>
    </row>
    <row r="6" spans="3:37" ht="18.75" x14ac:dyDescent="0.3">
      <c r="C6" s="635" t="s">
        <v>525</v>
      </c>
      <c r="D6" s="637">
        <v>44909</v>
      </c>
      <c r="E6" s="634"/>
      <c r="F6" s="634"/>
      <c r="G6" s="634"/>
      <c r="H6" s="634"/>
      <c r="I6" s="634"/>
      <c r="J6" s="634"/>
      <c r="K6" s="634"/>
      <c r="L6" s="634"/>
      <c r="M6" s="634"/>
      <c r="N6" s="634"/>
      <c r="O6" s="634"/>
      <c r="P6" s="634"/>
      <c r="Q6" s="634"/>
      <c r="R6" s="634"/>
      <c r="S6" s="634"/>
      <c r="U6" s="635" t="s">
        <v>525</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59" t="s">
        <v>86</v>
      </c>
      <c r="D8" s="759"/>
      <c r="E8" s="759"/>
      <c r="F8" s="759"/>
      <c r="G8" s="759"/>
      <c r="H8" s="759"/>
      <c r="I8" s="759"/>
      <c r="J8" s="759"/>
      <c r="K8" s="759"/>
      <c r="L8" s="759"/>
      <c r="M8" s="759"/>
      <c r="N8" s="759"/>
      <c r="O8" s="759"/>
      <c r="P8" s="759"/>
      <c r="Q8" s="759"/>
      <c r="R8" s="759"/>
      <c r="S8" s="759"/>
      <c r="U8" s="759" t="s">
        <v>86</v>
      </c>
      <c r="V8" s="759"/>
      <c r="W8" s="759"/>
      <c r="X8" s="759"/>
      <c r="Y8" s="759"/>
      <c r="Z8" s="759"/>
      <c r="AA8" s="759"/>
      <c r="AB8" s="759"/>
      <c r="AC8" s="759"/>
      <c r="AD8" s="759"/>
      <c r="AE8" s="759"/>
      <c r="AF8" s="759"/>
      <c r="AG8" s="759"/>
      <c r="AH8" s="759"/>
      <c r="AI8" s="759"/>
      <c r="AJ8" s="759"/>
      <c r="AK8" s="75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58" t="s">
        <v>128</v>
      </c>
      <c r="D10" s="757" t="s">
        <v>42</v>
      </c>
      <c r="E10" s="757" t="s">
        <v>52</v>
      </c>
      <c r="F10" s="757" t="s">
        <v>53</v>
      </c>
      <c r="G10" s="757" t="s">
        <v>32</v>
      </c>
      <c r="H10" s="757" t="s">
        <v>20</v>
      </c>
      <c r="I10" s="757" t="s">
        <v>55</v>
      </c>
      <c r="J10" s="757" t="s">
        <v>56</v>
      </c>
      <c r="K10" s="757"/>
      <c r="L10" s="757"/>
      <c r="M10" s="757"/>
      <c r="N10" s="757"/>
      <c r="O10" s="757"/>
      <c r="P10" s="757" t="s">
        <v>57</v>
      </c>
      <c r="Q10" s="757" t="s">
        <v>58</v>
      </c>
      <c r="R10" s="757" t="s">
        <v>31</v>
      </c>
      <c r="S10" s="757" t="s">
        <v>10</v>
      </c>
      <c r="U10" s="758" t="s">
        <v>128</v>
      </c>
      <c r="V10" s="757" t="s">
        <v>42</v>
      </c>
      <c r="W10" s="757" t="s">
        <v>52</v>
      </c>
      <c r="X10" s="757" t="s">
        <v>53</v>
      </c>
      <c r="Y10" s="757" t="s">
        <v>32</v>
      </c>
      <c r="Z10" s="757" t="s">
        <v>20</v>
      </c>
      <c r="AA10" s="757" t="s">
        <v>55</v>
      </c>
      <c r="AB10" s="757" t="s">
        <v>56</v>
      </c>
      <c r="AC10" s="757"/>
      <c r="AD10" s="757"/>
      <c r="AE10" s="757"/>
      <c r="AF10" s="757"/>
      <c r="AG10" s="757"/>
      <c r="AH10" s="757" t="s">
        <v>57</v>
      </c>
      <c r="AI10" s="757" t="s">
        <v>58</v>
      </c>
      <c r="AJ10" s="757" t="s">
        <v>31</v>
      </c>
      <c r="AK10" s="757" t="s">
        <v>10</v>
      </c>
    </row>
    <row r="11" spans="3:37" ht="56.25" x14ac:dyDescent="0.2">
      <c r="C11" s="758"/>
      <c r="D11" s="757"/>
      <c r="E11" s="757"/>
      <c r="F11" s="757"/>
      <c r="G11" s="757"/>
      <c r="H11" s="757"/>
      <c r="I11" s="757"/>
      <c r="J11" s="638" t="s">
        <v>335</v>
      </c>
      <c r="K11" s="638" t="s">
        <v>40</v>
      </c>
      <c r="L11" s="638" t="s">
        <v>343</v>
      </c>
      <c r="M11" s="638" t="s">
        <v>344</v>
      </c>
      <c r="N11" s="638" t="s">
        <v>345</v>
      </c>
      <c r="O11" s="638" t="s">
        <v>346</v>
      </c>
      <c r="P11" s="757"/>
      <c r="Q11" s="757"/>
      <c r="R11" s="757"/>
      <c r="S11" s="757"/>
      <c r="U11" s="758"/>
      <c r="V11" s="757"/>
      <c r="W11" s="757"/>
      <c r="X11" s="757"/>
      <c r="Y11" s="757"/>
      <c r="Z11" s="757"/>
      <c r="AA11" s="757"/>
      <c r="AB11" s="638" t="s">
        <v>335</v>
      </c>
      <c r="AC11" s="638" t="s">
        <v>40</v>
      </c>
      <c r="AD11" s="638" t="s">
        <v>343</v>
      </c>
      <c r="AE11" s="638" t="s">
        <v>344</v>
      </c>
      <c r="AF11" s="638" t="s">
        <v>345</v>
      </c>
      <c r="AG11" s="638" t="s">
        <v>346</v>
      </c>
      <c r="AH11" s="757"/>
      <c r="AI11" s="757"/>
      <c r="AJ11" s="757"/>
      <c r="AK11" s="757"/>
    </row>
    <row r="12" spans="3:37" x14ac:dyDescent="0.2">
      <c r="C12" s="639" t="s">
        <v>59</v>
      </c>
      <c r="D12" s="640">
        <v>0</v>
      </c>
      <c r="E12" s="641">
        <v>9.7977867342210008</v>
      </c>
      <c r="F12" s="641">
        <v>0</v>
      </c>
      <c r="G12" s="640">
        <v>0.18111850000000002</v>
      </c>
      <c r="H12" s="641">
        <v>1072.2208090909091</v>
      </c>
      <c r="I12" s="641">
        <v>115.72304451809002</v>
      </c>
      <c r="J12" s="641">
        <v>114.24305924309452</v>
      </c>
      <c r="K12" s="641">
        <v>33.631608055405756</v>
      </c>
      <c r="L12" s="641">
        <v>0</v>
      </c>
      <c r="M12" s="641">
        <v>9.2815441223735728</v>
      </c>
      <c r="N12" s="641">
        <v>32.908596666666668</v>
      </c>
      <c r="O12" s="641">
        <v>8.1133079726239394</v>
      </c>
      <c r="P12" s="642">
        <v>0</v>
      </c>
      <c r="Q12" s="641">
        <v>0</v>
      </c>
      <c r="R12" s="641">
        <v>0</v>
      </c>
      <c r="S12" s="643">
        <v>1396.1008749033845</v>
      </c>
      <c r="U12" s="639" t="s">
        <v>59</v>
      </c>
      <c r="V12" s="640">
        <v>0</v>
      </c>
      <c r="W12" s="641">
        <v>9.7977867342210008</v>
      </c>
      <c r="X12" s="641">
        <v>0</v>
      </c>
      <c r="Y12" s="640">
        <v>0.18111850000000002</v>
      </c>
      <c r="Z12" s="641">
        <v>1072.2208090909091</v>
      </c>
      <c r="AA12" s="641">
        <v>115.72304451809002</v>
      </c>
      <c r="AB12" s="641">
        <v>114.24305924309452</v>
      </c>
      <c r="AC12" s="641">
        <v>33.631608055405756</v>
      </c>
      <c r="AD12" s="641">
        <v>0</v>
      </c>
      <c r="AE12" s="641">
        <v>9.2815441223735728</v>
      </c>
      <c r="AF12" s="641">
        <v>32.908596666666668</v>
      </c>
      <c r="AG12" s="641">
        <v>8.1133079726239394</v>
      </c>
      <c r="AH12" s="642">
        <v>0</v>
      </c>
      <c r="AI12" s="641">
        <v>0</v>
      </c>
      <c r="AJ12" s="641">
        <v>0</v>
      </c>
      <c r="AK12" s="643">
        <v>1396.1008749033845</v>
      </c>
    </row>
    <row r="13" spans="3:37" x14ac:dyDescent="0.2">
      <c r="C13" s="639" t="s">
        <v>60</v>
      </c>
      <c r="D13" s="640">
        <v>59.346560356893349</v>
      </c>
      <c r="E13" s="641">
        <v>394.73997109464659</v>
      </c>
      <c r="F13" s="641">
        <v>515.26337584814883</v>
      </c>
      <c r="G13" s="640">
        <v>479.42224425000006</v>
      </c>
      <c r="H13" s="641">
        <v>0</v>
      </c>
      <c r="I13" s="641">
        <v>0</v>
      </c>
      <c r="J13" s="641">
        <v>2.6631252777777781</v>
      </c>
      <c r="K13" s="641">
        <v>0</v>
      </c>
      <c r="L13" s="641">
        <v>13.962014778928699</v>
      </c>
      <c r="M13" s="641">
        <v>0</v>
      </c>
      <c r="N13" s="641">
        <v>0</v>
      </c>
      <c r="O13" s="641">
        <v>0</v>
      </c>
      <c r="P13" s="642">
        <v>19.536102</v>
      </c>
      <c r="Q13" s="641">
        <v>0</v>
      </c>
      <c r="R13" s="641">
        <v>0</v>
      </c>
      <c r="S13" s="643">
        <v>1484.9333936063952</v>
      </c>
      <c r="U13" s="639" t="s">
        <v>60</v>
      </c>
      <c r="V13" s="640">
        <v>59.346560356893349</v>
      </c>
      <c r="W13" s="641">
        <v>394.73997109464659</v>
      </c>
      <c r="X13" s="641">
        <v>515.26337584814883</v>
      </c>
      <c r="Y13" s="640">
        <v>479.42224425000006</v>
      </c>
      <c r="Z13" s="641">
        <v>0</v>
      </c>
      <c r="AA13" s="641">
        <v>0</v>
      </c>
      <c r="AB13" s="641">
        <v>2.6631252777777781</v>
      </c>
      <c r="AC13" s="641">
        <v>0</v>
      </c>
      <c r="AD13" s="641">
        <v>13.962014778928699</v>
      </c>
      <c r="AE13" s="641">
        <v>0</v>
      </c>
      <c r="AF13" s="641">
        <v>0</v>
      </c>
      <c r="AG13" s="641">
        <v>0</v>
      </c>
      <c r="AH13" s="642">
        <v>19.536102</v>
      </c>
      <c r="AI13" s="641">
        <v>0</v>
      </c>
      <c r="AJ13" s="641">
        <v>0</v>
      </c>
      <c r="AK13" s="643">
        <v>1484.9333936063952</v>
      </c>
    </row>
    <row r="14" spans="3:37" x14ac:dyDescent="0.2">
      <c r="C14" s="639" t="s">
        <v>61</v>
      </c>
      <c r="D14" s="640">
        <v>-9.6972882210000014E-2</v>
      </c>
      <c r="E14" s="641">
        <v>-1.4488664385590002</v>
      </c>
      <c r="F14" s="641">
        <v>-154.00833143808623</v>
      </c>
      <c r="G14" s="640">
        <v>-95.022441999999998</v>
      </c>
      <c r="H14" s="641">
        <v>0</v>
      </c>
      <c r="I14" s="641">
        <v>0</v>
      </c>
      <c r="J14" s="641">
        <v>-2.0287163888888888</v>
      </c>
      <c r="K14" s="641">
        <v>0</v>
      </c>
      <c r="L14" s="641">
        <v>-7.1333416709442901</v>
      </c>
      <c r="M14" s="641">
        <v>0</v>
      </c>
      <c r="N14" s="641">
        <v>0</v>
      </c>
      <c r="O14" s="641">
        <v>0</v>
      </c>
      <c r="P14" s="642">
        <v>-64.575296000000009</v>
      </c>
      <c r="Q14" s="641">
        <v>0</v>
      </c>
      <c r="R14" s="641">
        <v>0</v>
      </c>
      <c r="S14" s="643">
        <v>-324.31396681868836</v>
      </c>
      <c r="U14" s="639" t="s">
        <v>61</v>
      </c>
      <c r="V14" s="640">
        <v>-9.6972882210000014E-2</v>
      </c>
      <c r="W14" s="641">
        <v>-1.4488664385590002</v>
      </c>
      <c r="X14" s="641">
        <v>-154.00833143808623</v>
      </c>
      <c r="Y14" s="640">
        <v>-95.022441999999998</v>
      </c>
      <c r="Z14" s="641">
        <v>0</v>
      </c>
      <c r="AA14" s="641">
        <v>0</v>
      </c>
      <c r="AB14" s="641">
        <v>-2.0287163888888888</v>
      </c>
      <c r="AC14" s="641">
        <v>0</v>
      </c>
      <c r="AD14" s="641">
        <v>-7.1333416709442901</v>
      </c>
      <c r="AE14" s="641">
        <v>0</v>
      </c>
      <c r="AF14" s="641">
        <v>0</v>
      </c>
      <c r="AG14" s="641">
        <v>0</v>
      </c>
      <c r="AH14" s="642">
        <v>-64.575296000000009</v>
      </c>
      <c r="AI14" s="641">
        <v>0</v>
      </c>
      <c r="AJ14" s="641">
        <v>0</v>
      </c>
      <c r="AK14" s="643">
        <v>-324.31396681868836</v>
      </c>
    </row>
    <row r="15" spans="3:37" x14ac:dyDescent="0.2">
      <c r="C15" s="639" t="s">
        <v>62</v>
      </c>
      <c r="D15" s="640">
        <v>0</v>
      </c>
      <c r="E15" s="641">
        <v>0</v>
      </c>
      <c r="F15" s="641">
        <v>-11.254966292131096</v>
      </c>
      <c r="G15" s="640">
        <v>0</v>
      </c>
      <c r="H15" s="641">
        <v>0</v>
      </c>
      <c r="I15" s="641">
        <v>0</v>
      </c>
      <c r="J15" s="641">
        <v>0</v>
      </c>
      <c r="K15" s="641">
        <v>0</v>
      </c>
      <c r="L15" s="641">
        <v>0</v>
      </c>
      <c r="M15" s="641">
        <v>0</v>
      </c>
      <c r="N15" s="641">
        <v>0</v>
      </c>
      <c r="O15" s="641">
        <v>0</v>
      </c>
      <c r="P15" s="642">
        <v>0</v>
      </c>
      <c r="Q15" s="641">
        <v>0</v>
      </c>
      <c r="R15" s="641">
        <v>0</v>
      </c>
      <c r="S15" s="643">
        <v>-11.254966292131096</v>
      </c>
      <c r="U15" s="639" t="s">
        <v>62</v>
      </c>
      <c r="V15" s="640">
        <v>0</v>
      </c>
      <c r="W15" s="641">
        <v>0</v>
      </c>
      <c r="X15" s="641">
        <v>-11.254966292131096</v>
      </c>
      <c r="Y15" s="640">
        <v>0</v>
      </c>
      <c r="Z15" s="641">
        <v>0</v>
      </c>
      <c r="AA15" s="641">
        <v>0</v>
      </c>
      <c r="AB15" s="641">
        <v>0</v>
      </c>
      <c r="AC15" s="641">
        <v>0</v>
      </c>
      <c r="AD15" s="641">
        <v>0</v>
      </c>
      <c r="AE15" s="641">
        <v>0</v>
      </c>
      <c r="AF15" s="641">
        <v>0</v>
      </c>
      <c r="AG15" s="641">
        <v>0</v>
      </c>
      <c r="AH15" s="642">
        <v>0</v>
      </c>
      <c r="AI15" s="641">
        <v>0</v>
      </c>
      <c r="AJ15" s="641">
        <v>0</v>
      </c>
      <c r="AK15" s="643">
        <v>-11.254966292131096</v>
      </c>
    </row>
    <row r="16" spans="3:37" x14ac:dyDescent="0.2">
      <c r="C16" s="639" t="s">
        <v>63</v>
      </c>
      <c r="D16" s="640">
        <v>0</v>
      </c>
      <c r="E16" s="641">
        <v>0</v>
      </c>
      <c r="F16" s="641">
        <v>-37.45524104092592</v>
      </c>
      <c r="G16" s="640">
        <v>0</v>
      </c>
      <c r="H16" s="641">
        <v>0</v>
      </c>
      <c r="I16" s="641">
        <v>0</v>
      </c>
      <c r="J16" s="641">
        <v>0</v>
      </c>
      <c r="K16" s="641">
        <v>0</v>
      </c>
      <c r="L16" s="641">
        <v>0</v>
      </c>
      <c r="M16" s="641">
        <v>0</v>
      </c>
      <c r="N16" s="641">
        <v>0</v>
      </c>
      <c r="O16" s="641">
        <v>0</v>
      </c>
      <c r="P16" s="642">
        <v>0</v>
      </c>
      <c r="Q16" s="641">
        <v>0</v>
      </c>
      <c r="R16" s="641">
        <v>0</v>
      </c>
      <c r="S16" s="643">
        <v>-37.45524104092592</v>
      </c>
      <c r="U16" s="639" t="s">
        <v>63</v>
      </c>
      <c r="V16" s="640">
        <v>0</v>
      </c>
      <c r="W16" s="641">
        <v>0</v>
      </c>
      <c r="X16" s="641">
        <v>-37.45524104092592</v>
      </c>
      <c r="Y16" s="640">
        <v>0</v>
      </c>
      <c r="Z16" s="641">
        <v>0</v>
      </c>
      <c r="AA16" s="641">
        <v>0</v>
      </c>
      <c r="AB16" s="641">
        <v>0</v>
      </c>
      <c r="AC16" s="641">
        <v>0</v>
      </c>
      <c r="AD16" s="641">
        <v>0</v>
      </c>
      <c r="AE16" s="641">
        <v>0</v>
      </c>
      <c r="AF16" s="641">
        <v>0</v>
      </c>
      <c r="AG16" s="641">
        <v>0</v>
      </c>
      <c r="AH16" s="642">
        <v>0</v>
      </c>
      <c r="AI16" s="641">
        <v>0</v>
      </c>
      <c r="AJ16" s="641">
        <v>0</v>
      </c>
      <c r="AK16" s="643">
        <v>-37.45524104092592</v>
      </c>
    </row>
    <row r="17" spans="3:37" x14ac:dyDescent="0.2">
      <c r="C17" s="639" t="s">
        <v>64</v>
      </c>
      <c r="D17" s="640">
        <v>2.2754338241033341</v>
      </c>
      <c r="E17" s="641">
        <v>1.7895047303380001</v>
      </c>
      <c r="F17" s="641">
        <v>-1.4741451662241043</v>
      </c>
      <c r="G17" s="640">
        <v>21.247482000000002</v>
      </c>
      <c r="H17" s="641">
        <v>0</v>
      </c>
      <c r="I17" s="641">
        <v>0</v>
      </c>
      <c r="J17" s="641">
        <v>0</v>
      </c>
      <c r="K17" s="641">
        <v>0</v>
      </c>
      <c r="L17" s="641">
        <v>0</v>
      </c>
      <c r="M17" s="641">
        <v>0</v>
      </c>
      <c r="N17" s="641">
        <v>0</v>
      </c>
      <c r="O17" s="641">
        <v>0</v>
      </c>
      <c r="P17" s="642">
        <v>0</v>
      </c>
      <c r="Q17" s="641">
        <v>0</v>
      </c>
      <c r="R17" s="641">
        <v>0</v>
      </c>
      <c r="S17" s="643">
        <v>23.838275388217234</v>
      </c>
      <c r="U17" s="639" t="s">
        <v>64</v>
      </c>
      <c r="V17" s="640">
        <v>2.2754338241033341</v>
      </c>
      <c r="W17" s="641">
        <v>1.7895047303380001</v>
      </c>
      <c r="X17" s="641">
        <v>-1.4741451662241043</v>
      </c>
      <c r="Y17" s="640">
        <v>21.247482000000002</v>
      </c>
      <c r="Z17" s="641">
        <v>0</v>
      </c>
      <c r="AA17" s="641">
        <v>0</v>
      </c>
      <c r="AB17" s="641">
        <v>0</v>
      </c>
      <c r="AC17" s="641">
        <v>0</v>
      </c>
      <c r="AD17" s="641">
        <v>0</v>
      </c>
      <c r="AE17" s="641">
        <v>0</v>
      </c>
      <c r="AF17" s="641">
        <v>0</v>
      </c>
      <c r="AG17" s="641">
        <v>0</v>
      </c>
      <c r="AH17" s="642">
        <v>0</v>
      </c>
      <c r="AI17" s="641">
        <v>0</v>
      </c>
      <c r="AJ17" s="641">
        <v>0</v>
      </c>
      <c r="AK17" s="643">
        <v>23.838275388217234</v>
      </c>
    </row>
    <row r="18" spans="3:37" x14ac:dyDescent="0.2">
      <c r="C18" s="644" t="s">
        <v>65</v>
      </c>
      <c r="D18" s="645">
        <v>61.52502129878669</v>
      </c>
      <c r="E18" s="645">
        <v>404.87839612064664</v>
      </c>
      <c r="F18" s="645">
        <v>311.07069191078136</v>
      </c>
      <c r="G18" s="645">
        <v>405.82840275000007</v>
      </c>
      <c r="H18" s="645">
        <v>1072.2208090909091</v>
      </c>
      <c r="I18" s="645">
        <v>115.72304451809002</v>
      </c>
      <c r="J18" s="645">
        <v>114.87746813198341</v>
      </c>
      <c r="K18" s="645">
        <v>33.631608055405756</v>
      </c>
      <c r="L18" s="645">
        <v>6.8286731079844092</v>
      </c>
      <c r="M18" s="645">
        <v>9.2815441223735728</v>
      </c>
      <c r="N18" s="645">
        <v>32.908596666666668</v>
      </c>
      <c r="O18" s="645">
        <v>8.1133079726239394</v>
      </c>
      <c r="P18" s="645">
        <v>-45.039194000000009</v>
      </c>
      <c r="Q18" s="645">
        <v>0</v>
      </c>
      <c r="R18" s="645">
        <v>0</v>
      </c>
      <c r="S18" s="645">
        <v>2531.8483697462511</v>
      </c>
      <c r="U18" s="644" t="s">
        <v>65</v>
      </c>
      <c r="V18" s="645">
        <v>61.52502129878669</v>
      </c>
      <c r="W18" s="645">
        <v>404.87839612064664</v>
      </c>
      <c r="X18" s="645">
        <v>311.07069191078136</v>
      </c>
      <c r="Y18" s="645">
        <v>405.82840275000007</v>
      </c>
      <c r="Z18" s="645">
        <v>1072.2208090909091</v>
      </c>
      <c r="AA18" s="645">
        <v>115.72304451809002</v>
      </c>
      <c r="AB18" s="645">
        <v>114.87746813198341</v>
      </c>
      <c r="AC18" s="645">
        <v>33.631608055405756</v>
      </c>
      <c r="AD18" s="645">
        <v>6.8286731079844092</v>
      </c>
      <c r="AE18" s="645">
        <v>9.2815441223735728</v>
      </c>
      <c r="AF18" s="645">
        <v>32.908596666666668</v>
      </c>
      <c r="AG18" s="645">
        <v>8.1133079726239394</v>
      </c>
      <c r="AH18" s="645">
        <v>-45.039194000000009</v>
      </c>
      <c r="AI18" s="645">
        <v>0</v>
      </c>
      <c r="AJ18" s="645">
        <v>0</v>
      </c>
      <c r="AK18" s="645">
        <v>2531.8483697462511</v>
      </c>
    </row>
    <row r="19" spans="3:37" x14ac:dyDescent="0.2">
      <c r="C19" s="634"/>
      <c r="D19" s="634"/>
      <c r="E19" s="634"/>
      <c r="F19" s="634"/>
      <c r="G19" s="634"/>
      <c r="H19" s="634"/>
      <c r="I19" s="634"/>
      <c r="J19" s="634"/>
      <c r="K19" s="634"/>
      <c r="L19" s="634"/>
      <c r="M19" s="634"/>
      <c r="N19" s="634"/>
      <c r="O19" s="634"/>
      <c r="P19" s="634"/>
      <c r="Q19" s="634"/>
      <c r="R19" s="634"/>
      <c r="S19" s="634"/>
      <c r="U19" s="634"/>
      <c r="V19" s="634"/>
      <c r="W19" s="634"/>
      <c r="X19" s="634"/>
      <c r="Y19" s="634"/>
      <c r="Z19" s="634"/>
      <c r="AA19" s="634"/>
      <c r="AB19" s="634"/>
      <c r="AC19" s="634"/>
      <c r="AD19" s="634"/>
      <c r="AE19" s="634"/>
      <c r="AF19" s="634"/>
      <c r="AG19" s="634"/>
      <c r="AH19" s="634"/>
      <c r="AI19" s="634"/>
      <c r="AJ19" s="634"/>
      <c r="AK19" s="634"/>
    </row>
    <row r="20" spans="3:37" x14ac:dyDescent="0.2">
      <c r="C20" s="646" t="s">
        <v>67</v>
      </c>
      <c r="D20" s="640">
        <v>-3.1696853392377875</v>
      </c>
      <c r="E20" s="647">
        <v>7.594656734105321</v>
      </c>
      <c r="F20" s="647">
        <v>3.8234994290490683</v>
      </c>
      <c r="G20" s="640">
        <v>-0.68950250000000013</v>
      </c>
      <c r="H20" s="640">
        <v>0</v>
      </c>
      <c r="I20" s="640">
        <v>0</v>
      </c>
      <c r="J20" s="640">
        <v>0</v>
      </c>
      <c r="K20" s="640">
        <v>0</v>
      </c>
      <c r="L20" s="640">
        <v>0</v>
      </c>
      <c r="M20" s="640">
        <v>0</v>
      </c>
      <c r="N20" s="640">
        <v>0</v>
      </c>
      <c r="O20" s="640">
        <v>0</v>
      </c>
      <c r="P20" s="640">
        <v>2.0843062301020092</v>
      </c>
      <c r="Q20" s="640">
        <v>0</v>
      </c>
      <c r="R20" s="640">
        <v>0</v>
      </c>
      <c r="S20" s="648">
        <v>9.6432745540186122</v>
      </c>
      <c r="U20" s="646" t="s">
        <v>67</v>
      </c>
      <c r="V20" s="640">
        <v>-3.1696853392377875</v>
      </c>
      <c r="W20" s="647">
        <v>7.594656734105321</v>
      </c>
      <c r="X20" s="647">
        <v>3.8234994290490683</v>
      </c>
      <c r="Y20" s="640">
        <v>-0.68950250000000013</v>
      </c>
      <c r="Z20" s="640">
        <v>0</v>
      </c>
      <c r="AA20" s="640">
        <v>0</v>
      </c>
      <c r="AB20" s="640">
        <v>0</v>
      </c>
      <c r="AC20" s="640">
        <v>0</v>
      </c>
      <c r="AD20" s="640">
        <v>0</v>
      </c>
      <c r="AE20" s="640">
        <v>0</v>
      </c>
      <c r="AF20" s="640">
        <v>0</v>
      </c>
      <c r="AG20" s="640">
        <v>0</v>
      </c>
      <c r="AH20" s="640">
        <v>2.0843062301020092</v>
      </c>
      <c r="AI20" s="640">
        <v>0</v>
      </c>
      <c r="AJ20" s="640">
        <v>0</v>
      </c>
      <c r="AK20" s="648">
        <v>9.6432745540186122</v>
      </c>
    </row>
    <row r="21" spans="3:37" x14ac:dyDescent="0.2">
      <c r="C21" s="646" t="s">
        <v>347</v>
      </c>
      <c r="D21" s="640">
        <v>14.864431241687887</v>
      </c>
      <c r="E21" s="640">
        <v>0</v>
      </c>
      <c r="F21" s="640">
        <v>13.418152502737103</v>
      </c>
      <c r="G21" s="640">
        <v>55.436136268601025</v>
      </c>
      <c r="H21" s="640">
        <v>1072.2208090909091</v>
      </c>
      <c r="I21" s="640">
        <v>115.67142051809002</v>
      </c>
      <c r="J21" s="649">
        <v>17.347825951117827</v>
      </c>
      <c r="K21" s="649">
        <v>11.678824122543197</v>
      </c>
      <c r="L21" s="649">
        <v>0</v>
      </c>
      <c r="M21" s="649">
        <v>5.2886919634287652</v>
      </c>
      <c r="N21" s="649">
        <v>0</v>
      </c>
      <c r="O21" s="649">
        <v>1.3922112325408571</v>
      </c>
      <c r="P21" s="640">
        <v>-527.28039181222232</v>
      </c>
      <c r="Q21" s="640">
        <v>0</v>
      </c>
      <c r="R21" s="640">
        <v>0</v>
      </c>
      <c r="S21" s="648">
        <v>780.03811107943307</v>
      </c>
      <c r="U21" s="646" t="s">
        <v>347</v>
      </c>
      <c r="V21" s="640">
        <v>14.864431241687887</v>
      </c>
      <c r="W21" s="640">
        <v>0</v>
      </c>
      <c r="X21" s="640">
        <v>13.418152502737103</v>
      </c>
      <c r="Y21" s="640">
        <v>55.436136268601025</v>
      </c>
      <c r="Z21" s="640">
        <v>1072.2208090909091</v>
      </c>
      <c r="AA21" s="640">
        <v>115.67142051809002</v>
      </c>
      <c r="AB21" s="649">
        <v>17.347825951117827</v>
      </c>
      <c r="AC21" s="649">
        <v>11.678824122543197</v>
      </c>
      <c r="AD21" s="649">
        <v>0</v>
      </c>
      <c r="AE21" s="649">
        <v>5.2886919634287652</v>
      </c>
      <c r="AF21" s="649">
        <v>0</v>
      </c>
      <c r="AG21" s="649">
        <v>1.3922112325408571</v>
      </c>
      <c r="AH21" s="640">
        <v>-527.28039181222232</v>
      </c>
      <c r="AI21" s="640">
        <v>0</v>
      </c>
      <c r="AJ21" s="640">
        <v>0</v>
      </c>
      <c r="AK21" s="648">
        <v>780.03811107943307</v>
      </c>
    </row>
    <row r="22" spans="3:37" x14ac:dyDescent="0.2">
      <c r="C22" s="646" t="s">
        <v>348</v>
      </c>
      <c r="D22" s="640">
        <v>1.5729367626898902</v>
      </c>
      <c r="E22" s="640">
        <v>0</v>
      </c>
      <c r="F22" s="640">
        <v>0.20358189452574635</v>
      </c>
      <c r="G22" s="640">
        <v>21.08911448139898</v>
      </c>
      <c r="H22" s="640">
        <v>0</v>
      </c>
      <c r="I22" s="640">
        <v>0</v>
      </c>
      <c r="J22" s="649">
        <v>7.8982729217883261</v>
      </c>
      <c r="K22" s="649">
        <v>16.49482411485047</v>
      </c>
      <c r="L22" s="649">
        <v>0</v>
      </c>
      <c r="M22" s="649">
        <v>3.0673174902469076</v>
      </c>
      <c r="N22" s="649">
        <v>0.25705111111111106</v>
      </c>
      <c r="O22" s="649">
        <v>3.9939867016268904</v>
      </c>
      <c r="P22" s="640">
        <v>0</v>
      </c>
      <c r="Q22" s="640">
        <v>-45.831488617908406</v>
      </c>
      <c r="R22" s="640">
        <v>0</v>
      </c>
      <c r="S22" s="648">
        <v>8.7455968603299254</v>
      </c>
      <c r="U22" s="646" t="s">
        <v>348</v>
      </c>
      <c r="V22" s="640">
        <v>1.5729367626898902</v>
      </c>
      <c r="W22" s="640">
        <v>0</v>
      </c>
      <c r="X22" s="640">
        <v>0.20358189452574635</v>
      </c>
      <c r="Y22" s="640">
        <v>21.08911448139898</v>
      </c>
      <c r="Z22" s="640">
        <v>0</v>
      </c>
      <c r="AA22" s="640">
        <v>0</v>
      </c>
      <c r="AB22" s="649">
        <v>7.8982729217883261</v>
      </c>
      <c r="AC22" s="649">
        <v>16.49482411485047</v>
      </c>
      <c r="AD22" s="649">
        <v>0</v>
      </c>
      <c r="AE22" s="649">
        <v>3.0673174902469076</v>
      </c>
      <c r="AF22" s="649">
        <v>0.25705111111111106</v>
      </c>
      <c r="AG22" s="649">
        <v>3.9939867016268904</v>
      </c>
      <c r="AH22" s="640">
        <v>0</v>
      </c>
      <c r="AI22" s="640">
        <v>-45.831488617908406</v>
      </c>
      <c r="AJ22" s="640">
        <v>0</v>
      </c>
      <c r="AK22" s="648">
        <v>8.7455968603299254</v>
      </c>
    </row>
    <row r="23" spans="3:37" x14ac:dyDescent="0.2">
      <c r="C23" s="646" t="s">
        <v>349</v>
      </c>
      <c r="D23" s="640">
        <v>0</v>
      </c>
      <c r="E23" s="640">
        <v>0</v>
      </c>
      <c r="F23" s="640">
        <v>0</v>
      </c>
      <c r="G23" s="640">
        <v>0</v>
      </c>
      <c r="H23" s="640">
        <v>0</v>
      </c>
      <c r="I23" s="640">
        <v>0</v>
      </c>
      <c r="J23" s="650">
        <v>0</v>
      </c>
      <c r="K23" s="650">
        <v>0</v>
      </c>
      <c r="L23" s="650">
        <v>0</v>
      </c>
      <c r="M23" s="650">
        <v>-1.9873640000000001</v>
      </c>
      <c r="N23" s="650">
        <v>0</v>
      </c>
      <c r="O23" s="650">
        <v>0</v>
      </c>
      <c r="P23" s="640">
        <v>0</v>
      </c>
      <c r="Q23" s="640">
        <v>0</v>
      </c>
      <c r="R23" s="640">
        <v>0</v>
      </c>
      <c r="S23" s="648">
        <v>-1.9873640000000001</v>
      </c>
      <c r="U23" s="646" t="s">
        <v>349</v>
      </c>
      <c r="V23" s="640">
        <v>0</v>
      </c>
      <c r="W23" s="640">
        <v>0</v>
      </c>
      <c r="X23" s="640">
        <v>0</v>
      </c>
      <c r="Y23" s="640">
        <v>0</v>
      </c>
      <c r="Z23" s="640">
        <v>0</v>
      </c>
      <c r="AA23" s="640">
        <v>0</v>
      </c>
      <c r="AB23" s="650">
        <v>0</v>
      </c>
      <c r="AC23" s="650">
        <v>0</v>
      </c>
      <c r="AD23" s="650">
        <v>0</v>
      </c>
      <c r="AE23" s="650">
        <v>-1.9873640000000001</v>
      </c>
      <c r="AF23" s="650">
        <v>0</v>
      </c>
      <c r="AG23" s="650">
        <v>0</v>
      </c>
      <c r="AH23" s="640">
        <v>0</v>
      </c>
      <c r="AI23" s="640">
        <v>0</v>
      </c>
      <c r="AJ23" s="640">
        <v>0</v>
      </c>
      <c r="AK23" s="648">
        <v>-1.9873640000000001</v>
      </c>
    </row>
    <row r="24" spans="3:37" x14ac:dyDescent="0.2">
      <c r="C24" s="646" t="s">
        <v>350</v>
      </c>
      <c r="D24" s="640">
        <v>0</v>
      </c>
      <c r="E24" s="640">
        <v>0</v>
      </c>
      <c r="F24" s="640">
        <v>0</v>
      </c>
      <c r="G24" s="640">
        <v>0</v>
      </c>
      <c r="H24" s="640">
        <v>0</v>
      </c>
      <c r="I24" s="640">
        <v>0</v>
      </c>
      <c r="J24" s="640">
        <v>0</v>
      </c>
      <c r="K24" s="640">
        <v>0</v>
      </c>
      <c r="L24" s="640">
        <v>0</v>
      </c>
      <c r="M24" s="640">
        <v>0</v>
      </c>
      <c r="N24" s="640">
        <v>0</v>
      </c>
      <c r="O24" s="640">
        <v>0</v>
      </c>
      <c r="P24" s="640">
        <v>0</v>
      </c>
      <c r="Q24" s="640">
        <v>0</v>
      </c>
      <c r="R24" s="640">
        <v>0</v>
      </c>
      <c r="S24" s="648">
        <v>0</v>
      </c>
      <c r="U24" s="646" t="s">
        <v>350</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646" t="s">
        <v>72</v>
      </c>
      <c r="D25" s="640">
        <v>0</v>
      </c>
      <c r="E25" s="640">
        <v>440.59076600316865</v>
      </c>
      <c r="F25" s="640">
        <v>-437.66600779015403</v>
      </c>
      <c r="G25" s="640">
        <v>0</v>
      </c>
      <c r="H25" s="640">
        <v>0</v>
      </c>
      <c r="I25" s="640">
        <v>0</v>
      </c>
      <c r="J25" s="640">
        <v>0</v>
      </c>
      <c r="K25" s="640">
        <v>0</v>
      </c>
      <c r="L25" s="640">
        <v>0</v>
      </c>
      <c r="M25" s="640">
        <v>0</v>
      </c>
      <c r="N25" s="640">
        <v>0</v>
      </c>
      <c r="O25" s="640">
        <v>0</v>
      </c>
      <c r="P25" s="640">
        <v>0</v>
      </c>
      <c r="Q25" s="640">
        <v>0</v>
      </c>
      <c r="R25" s="640">
        <v>0</v>
      </c>
      <c r="S25" s="648">
        <v>2.9247582130146133</v>
      </c>
      <c r="U25" s="646" t="s">
        <v>72</v>
      </c>
      <c r="V25" s="640">
        <v>0</v>
      </c>
      <c r="W25" s="640">
        <v>440.59076600316865</v>
      </c>
      <c r="X25" s="640">
        <v>-437.66600779015403</v>
      </c>
      <c r="Y25" s="640">
        <v>0</v>
      </c>
      <c r="Z25" s="640">
        <v>0</v>
      </c>
      <c r="AA25" s="640">
        <v>0</v>
      </c>
      <c r="AB25" s="640">
        <v>0</v>
      </c>
      <c r="AC25" s="640">
        <v>0</v>
      </c>
      <c r="AD25" s="640">
        <v>0</v>
      </c>
      <c r="AE25" s="640">
        <v>0</v>
      </c>
      <c r="AF25" s="640">
        <v>0</v>
      </c>
      <c r="AG25" s="640">
        <v>0</v>
      </c>
      <c r="AH25" s="640">
        <v>0</v>
      </c>
      <c r="AI25" s="640">
        <v>0</v>
      </c>
      <c r="AJ25" s="640">
        <v>0</v>
      </c>
      <c r="AK25" s="648">
        <v>2.9247582130146133</v>
      </c>
    </row>
    <row r="26" spans="3:37" x14ac:dyDescent="0.2">
      <c r="C26" s="646" t="s">
        <v>351</v>
      </c>
      <c r="D26" s="640">
        <v>0</v>
      </c>
      <c r="E26" s="640">
        <v>0</v>
      </c>
      <c r="F26" s="640">
        <v>0</v>
      </c>
      <c r="G26" s="640">
        <v>0</v>
      </c>
      <c r="H26" s="640">
        <v>0</v>
      </c>
      <c r="I26" s="640">
        <v>0</v>
      </c>
      <c r="J26" s="640">
        <v>0</v>
      </c>
      <c r="K26" s="640">
        <v>0</v>
      </c>
      <c r="L26" s="640">
        <v>-27.31624937979873</v>
      </c>
      <c r="M26" s="640">
        <v>0</v>
      </c>
      <c r="N26" s="640">
        <v>0</v>
      </c>
      <c r="O26" s="640">
        <v>0</v>
      </c>
      <c r="P26" s="640">
        <v>0</v>
      </c>
      <c r="Q26" s="640">
        <v>0</v>
      </c>
      <c r="R26" s="640">
        <v>0</v>
      </c>
      <c r="S26" s="648">
        <v>-27.31624937979873</v>
      </c>
      <c r="U26" s="646" t="s">
        <v>351</v>
      </c>
      <c r="V26" s="640">
        <v>0</v>
      </c>
      <c r="W26" s="640">
        <v>0</v>
      </c>
      <c r="X26" s="640">
        <v>0</v>
      </c>
      <c r="Y26" s="640">
        <v>0</v>
      </c>
      <c r="Z26" s="640">
        <v>0</v>
      </c>
      <c r="AA26" s="640">
        <v>0</v>
      </c>
      <c r="AB26" s="640">
        <v>0</v>
      </c>
      <c r="AC26" s="640">
        <v>0</v>
      </c>
      <c r="AD26" s="640">
        <v>-27.31624937979873</v>
      </c>
      <c r="AE26" s="640">
        <v>0</v>
      </c>
      <c r="AF26" s="640">
        <v>0</v>
      </c>
      <c r="AG26" s="640">
        <v>0</v>
      </c>
      <c r="AH26" s="640">
        <v>0</v>
      </c>
      <c r="AI26" s="640">
        <v>0</v>
      </c>
      <c r="AJ26" s="640">
        <v>0</v>
      </c>
      <c r="AK26" s="648">
        <v>-27.31624937979873</v>
      </c>
    </row>
    <row r="27" spans="3:37" x14ac:dyDescent="0.2">
      <c r="C27" s="646" t="s">
        <v>352</v>
      </c>
      <c r="D27" s="640">
        <v>0</v>
      </c>
      <c r="E27" s="640">
        <v>0</v>
      </c>
      <c r="F27" s="640">
        <v>0</v>
      </c>
      <c r="G27" s="640">
        <v>0</v>
      </c>
      <c r="H27" s="640">
        <v>0</v>
      </c>
      <c r="I27" s="640">
        <v>0</v>
      </c>
      <c r="J27" s="640">
        <v>0</v>
      </c>
      <c r="K27" s="640">
        <v>0</v>
      </c>
      <c r="L27" s="640">
        <v>0</v>
      </c>
      <c r="M27" s="640">
        <v>0</v>
      </c>
      <c r="N27" s="640">
        <v>0</v>
      </c>
      <c r="O27" s="640">
        <v>0</v>
      </c>
      <c r="P27" s="640">
        <v>0</v>
      </c>
      <c r="Q27" s="640">
        <v>0</v>
      </c>
      <c r="R27" s="640">
        <v>0</v>
      </c>
      <c r="S27" s="648">
        <v>0</v>
      </c>
      <c r="U27" s="646" t="s">
        <v>352</v>
      </c>
      <c r="V27" s="640">
        <v>0</v>
      </c>
      <c r="W27" s="640">
        <v>0</v>
      </c>
      <c r="X27" s="640">
        <v>0</v>
      </c>
      <c r="Y27" s="640">
        <v>0</v>
      </c>
      <c r="Z27" s="640">
        <v>0</v>
      </c>
      <c r="AA27" s="640">
        <v>0</v>
      </c>
      <c r="AB27" s="640">
        <v>0</v>
      </c>
      <c r="AC27" s="640">
        <v>0</v>
      </c>
      <c r="AD27" s="640">
        <v>0</v>
      </c>
      <c r="AE27" s="640">
        <v>0</v>
      </c>
      <c r="AF27" s="640">
        <v>0</v>
      </c>
      <c r="AG27" s="640">
        <v>0</v>
      </c>
      <c r="AH27" s="640">
        <v>0</v>
      </c>
      <c r="AI27" s="640">
        <v>0</v>
      </c>
      <c r="AJ27" s="640">
        <v>0</v>
      </c>
      <c r="AK27" s="648">
        <v>0</v>
      </c>
    </row>
    <row r="28" spans="3:37" x14ac:dyDescent="0.2">
      <c r="C28" s="646" t="s">
        <v>73</v>
      </c>
      <c r="D28" s="640">
        <v>0</v>
      </c>
      <c r="E28" s="640">
        <v>0</v>
      </c>
      <c r="F28" s="640">
        <v>0</v>
      </c>
      <c r="G28" s="640">
        <v>0</v>
      </c>
      <c r="H28" s="640">
        <v>0</v>
      </c>
      <c r="I28" s="640">
        <v>0</v>
      </c>
      <c r="J28" s="640">
        <v>0</v>
      </c>
      <c r="K28" s="640">
        <v>0</v>
      </c>
      <c r="L28" s="640">
        <v>0</v>
      </c>
      <c r="M28" s="640">
        <v>0</v>
      </c>
      <c r="N28" s="640">
        <v>0</v>
      </c>
      <c r="O28" s="640">
        <v>0</v>
      </c>
      <c r="P28" s="640">
        <v>0</v>
      </c>
      <c r="Q28" s="640">
        <v>0</v>
      </c>
      <c r="R28" s="640">
        <v>0</v>
      </c>
      <c r="S28" s="648">
        <v>0</v>
      </c>
      <c r="U28" s="646" t="s">
        <v>73</v>
      </c>
      <c r="V28" s="640">
        <v>0</v>
      </c>
      <c r="W28" s="640">
        <v>0</v>
      </c>
      <c r="X28" s="640">
        <v>0</v>
      </c>
      <c r="Y28" s="640">
        <v>0</v>
      </c>
      <c r="Z28" s="640">
        <v>0</v>
      </c>
      <c r="AA28" s="640">
        <v>0</v>
      </c>
      <c r="AB28" s="640">
        <v>0</v>
      </c>
      <c r="AC28" s="640">
        <v>0</v>
      </c>
      <c r="AD28" s="640">
        <v>0</v>
      </c>
      <c r="AE28" s="640">
        <v>0</v>
      </c>
      <c r="AF28" s="640">
        <v>0</v>
      </c>
      <c r="AG28" s="640">
        <v>0</v>
      </c>
      <c r="AH28" s="640">
        <v>0</v>
      </c>
      <c r="AI28" s="640">
        <v>0</v>
      </c>
      <c r="AJ28" s="640">
        <v>0</v>
      </c>
      <c r="AK28" s="648">
        <v>0</v>
      </c>
    </row>
    <row r="29" spans="3:37" x14ac:dyDescent="0.2">
      <c r="C29" s="646" t="s">
        <v>353</v>
      </c>
      <c r="D29" s="640">
        <v>24.856875540426671</v>
      </c>
      <c r="E29" s="640">
        <v>-42.586921310488997</v>
      </c>
      <c r="F29" s="640">
        <v>41.670112128488995</v>
      </c>
      <c r="G29" s="640">
        <v>0</v>
      </c>
      <c r="H29" s="640">
        <v>0</v>
      </c>
      <c r="I29" s="640">
        <v>0</v>
      </c>
      <c r="J29" s="640">
        <v>0</v>
      </c>
      <c r="K29" s="640">
        <v>0</v>
      </c>
      <c r="L29" s="640">
        <v>0</v>
      </c>
      <c r="M29" s="640">
        <v>0</v>
      </c>
      <c r="N29" s="640">
        <v>0</v>
      </c>
      <c r="O29" s="640">
        <v>0</v>
      </c>
      <c r="P29" s="640">
        <v>0</v>
      </c>
      <c r="Q29" s="640">
        <v>0</v>
      </c>
      <c r="R29" s="640">
        <v>0</v>
      </c>
      <c r="S29" s="648">
        <v>23.94006635842667</v>
      </c>
      <c r="U29" s="646" t="s">
        <v>353</v>
      </c>
      <c r="V29" s="640">
        <v>24.856875540426671</v>
      </c>
      <c r="W29" s="640">
        <v>-42.586921310488997</v>
      </c>
      <c r="X29" s="640">
        <v>41.670112128488995</v>
      </c>
      <c r="Y29" s="640">
        <v>0</v>
      </c>
      <c r="Z29" s="640">
        <v>0</v>
      </c>
      <c r="AA29" s="640">
        <v>0</v>
      </c>
      <c r="AB29" s="640">
        <v>0</v>
      </c>
      <c r="AC29" s="640">
        <v>0</v>
      </c>
      <c r="AD29" s="640">
        <v>0</v>
      </c>
      <c r="AE29" s="640">
        <v>0</v>
      </c>
      <c r="AF29" s="640">
        <v>0</v>
      </c>
      <c r="AG29" s="640">
        <v>0</v>
      </c>
      <c r="AH29" s="640">
        <v>0</v>
      </c>
      <c r="AI29" s="640">
        <v>0</v>
      </c>
      <c r="AJ29" s="640">
        <v>0</v>
      </c>
      <c r="AK29" s="648">
        <v>23.94006635842667</v>
      </c>
    </row>
    <row r="30" spans="3:37" x14ac:dyDescent="0.2">
      <c r="C30" s="646" t="s">
        <v>75</v>
      </c>
      <c r="D30" s="640">
        <v>10.864485000000002</v>
      </c>
      <c r="E30" s="640">
        <v>0</v>
      </c>
      <c r="F30" s="640">
        <v>12.156002809978</v>
      </c>
      <c r="G30" s="640">
        <v>6.2612449999999988</v>
      </c>
      <c r="H30" s="640">
        <v>0</v>
      </c>
      <c r="I30" s="640">
        <v>0</v>
      </c>
      <c r="J30" s="640">
        <v>0</v>
      </c>
      <c r="K30" s="640">
        <v>0</v>
      </c>
      <c r="L30" s="640">
        <v>0</v>
      </c>
      <c r="M30" s="640">
        <v>0</v>
      </c>
      <c r="N30" s="640">
        <v>0</v>
      </c>
      <c r="O30" s="640">
        <v>0</v>
      </c>
      <c r="P30" s="640">
        <v>32.903944582120353</v>
      </c>
      <c r="Q30" s="640">
        <v>0</v>
      </c>
      <c r="R30" s="640">
        <v>0</v>
      </c>
      <c r="S30" s="648">
        <v>62.185677392098349</v>
      </c>
      <c r="U30" s="646" t="s">
        <v>75</v>
      </c>
      <c r="V30" s="640">
        <v>10.864485000000002</v>
      </c>
      <c r="W30" s="640">
        <v>0</v>
      </c>
      <c r="X30" s="640">
        <v>12.156002809978</v>
      </c>
      <c r="Y30" s="640">
        <v>6.2612449999999988</v>
      </c>
      <c r="Z30" s="640">
        <v>0</v>
      </c>
      <c r="AA30" s="640">
        <v>0</v>
      </c>
      <c r="AB30" s="640">
        <v>0</v>
      </c>
      <c r="AC30" s="640">
        <v>0</v>
      </c>
      <c r="AD30" s="640">
        <v>0</v>
      </c>
      <c r="AE30" s="640">
        <v>0</v>
      </c>
      <c r="AF30" s="640">
        <v>0</v>
      </c>
      <c r="AG30" s="640">
        <v>0</v>
      </c>
      <c r="AH30" s="640">
        <v>32.903944582120353</v>
      </c>
      <c r="AI30" s="640">
        <v>0</v>
      </c>
      <c r="AJ30" s="640">
        <v>0</v>
      </c>
      <c r="AK30" s="648">
        <v>62.185677392098349</v>
      </c>
    </row>
    <row r="31" spans="3:37" x14ac:dyDescent="0.2">
      <c r="C31" s="646" t="s">
        <v>76</v>
      </c>
      <c r="D31" s="640">
        <v>0</v>
      </c>
      <c r="E31" s="640">
        <v>0</v>
      </c>
      <c r="F31" s="640">
        <v>0</v>
      </c>
      <c r="G31" s="640">
        <v>3.9080132499999998</v>
      </c>
      <c r="H31" s="640">
        <v>0</v>
      </c>
      <c r="I31" s="640">
        <v>0</v>
      </c>
      <c r="J31" s="640">
        <v>0</v>
      </c>
      <c r="K31" s="640">
        <v>0</v>
      </c>
      <c r="L31" s="640">
        <v>0</v>
      </c>
      <c r="M31" s="640">
        <v>0</v>
      </c>
      <c r="N31" s="640">
        <v>0</v>
      </c>
      <c r="O31" s="640">
        <v>0</v>
      </c>
      <c r="P31" s="640">
        <v>35.893531999999993</v>
      </c>
      <c r="Q31" s="640">
        <v>4.1669160064579911</v>
      </c>
      <c r="R31" s="640">
        <v>0</v>
      </c>
      <c r="S31" s="648">
        <v>43.968461256457985</v>
      </c>
      <c r="U31" s="646" t="s">
        <v>76</v>
      </c>
      <c r="V31" s="640">
        <v>0</v>
      </c>
      <c r="W31" s="640">
        <v>0</v>
      </c>
      <c r="X31" s="640">
        <v>0</v>
      </c>
      <c r="Y31" s="640">
        <v>3.9080132499999998</v>
      </c>
      <c r="Z31" s="640">
        <v>0</v>
      </c>
      <c r="AA31" s="640">
        <v>0</v>
      </c>
      <c r="AB31" s="640">
        <v>0</v>
      </c>
      <c r="AC31" s="640">
        <v>0</v>
      </c>
      <c r="AD31" s="640">
        <v>0</v>
      </c>
      <c r="AE31" s="640">
        <v>0</v>
      </c>
      <c r="AF31" s="640">
        <v>0</v>
      </c>
      <c r="AG31" s="640">
        <v>0</v>
      </c>
      <c r="AH31" s="640">
        <v>35.893531999999993</v>
      </c>
      <c r="AI31" s="640">
        <v>4.1669160064579911</v>
      </c>
      <c r="AJ31" s="640">
        <v>0</v>
      </c>
      <c r="AK31" s="648">
        <v>43.968461256457985</v>
      </c>
    </row>
    <row r="32" spans="3:37" x14ac:dyDescent="0.2">
      <c r="C32" s="644" t="s">
        <v>77</v>
      </c>
      <c r="D32" s="645">
        <v>48.989043205566666</v>
      </c>
      <c r="E32" s="645">
        <v>405.59850142678499</v>
      </c>
      <c r="F32" s="645">
        <v>-366.39465902537506</v>
      </c>
      <c r="G32" s="645">
        <v>86.005006499999993</v>
      </c>
      <c r="H32" s="645">
        <v>1072.2208090909091</v>
      </c>
      <c r="I32" s="645">
        <v>115.67142051809002</v>
      </c>
      <c r="J32" s="645">
        <v>25.246098872906153</v>
      </c>
      <c r="K32" s="645">
        <v>28.173648237393667</v>
      </c>
      <c r="L32" s="645">
        <v>-27.31624937979873</v>
      </c>
      <c r="M32" s="645">
        <v>6.3686454536756729</v>
      </c>
      <c r="N32" s="645">
        <v>0.25705111111111106</v>
      </c>
      <c r="O32" s="645">
        <v>5.3861979341677468</v>
      </c>
      <c r="P32" s="645">
        <v>-456.39860899999991</v>
      </c>
      <c r="Q32" s="645">
        <v>-41.66457261145041</v>
      </c>
      <c r="R32" s="645">
        <v>0</v>
      </c>
      <c r="S32" s="645">
        <v>902.14233233398068</v>
      </c>
      <c r="U32" s="644" t="s">
        <v>77</v>
      </c>
      <c r="V32" s="645">
        <v>48.989043205566666</v>
      </c>
      <c r="W32" s="645">
        <v>405.59850142678499</v>
      </c>
      <c r="X32" s="645">
        <v>-366.39465902537506</v>
      </c>
      <c r="Y32" s="645">
        <v>86.005006499999993</v>
      </c>
      <c r="Z32" s="645">
        <v>1072.2208090909091</v>
      </c>
      <c r="AA32" s="645">
        <v>115.67142051809002</v>
      </c>
      <c r="AB32" s="645">
        <v>25.246098872906153</v>
      </c>
      <c r="AC32" s="645">
        <v>28.173648237393667</v>
      </c>
      <c r="AD32" s="645">
        <v>-27.31624937979873</v>
      </c>
      <c r="AE32" s="645">
        <v>6.3686454536756729</v>
      </c>
      <c r="AF32" s="645">
        <v>0.25705111111111106</v>
      </c>
      <c r="AG32" s="645">
        <v>5.3861979341677468</v>
      </c>
      <c r="AH32" s="645">
        <v>-456.39860899999991</v>
      </c>
      <c r="AI32" s="645">
        <v>-41.66457261145041</v>
      </c>
      <c r="AJ32" s="645">
        <v>0</v>
      </c>
      <c r="AK32" s="645">
        <v>902.14233233398068</v>
      </c>
    </row>
    <row r="33" spans="3:37" x14ac:dyDescent="0.2">
      <c r="C33" s="634"/>
      <c r="D33" s="634">
        <v>0</v>
      </c>
      <c r="E33" s="634">
        <v>0</v>
      </c>
      <c r="F33" s="634">
        <v>0</v>
      </c>
      <c r="G33" s="634">
        <v>0</v>
      </c>
      <c r="H33" s="634">
        <v>0</v>
      </c>
      <c r="I33" s="634">
        <v>0</v>
      </c>
      <c r="J33" s="634">
        <v>0</v>
      </c>
      <c r="K33" s="634">
        <v>0</v>
      </c>
      <c r="L33" s="634">
        <v>0</v>
      </c>
      <c r="M33" s="634">
        <v>0</v>
      </c>
      <c r="N33" s="634">
        <v>0</v>
      </c>
      <c r="O33" s="634">
        <v>0</v>
      </c>
      <c r="P33" s="634">
        <v>0</v>
      </c>
      <c r="Q33" s="634">
        <v>0</v>
      </c>
      <c r="R33" s="634">
        <v>0</v>
      </c>
      <c r="S33" s="634">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646" t="s">
        <v>78</v>
      </c>
      <c r="D34" s="640">
        <v>9.103168484740003</v>
      </c>
      <c r="E34" s="640">
        <v>0</v>
      </c>
      <c r="F34" s="640">
        <v>30.742620872292591</v>
      </c>
      <c r="G34" s="640">
        <v>115.67477925</v>
      </c>
      <c r="H34" s="640">
        <v>0</v>
      </c>
      <c r="I34" s="640">
        <v>0</v>
      </c>
      <c r="J34" s="640">
        <v>15.652087601653344</v>
      </c>
      <c r="K34" s="640">
        <v>3.5686448746488644</v>
      </c>
      <c r="L34" s="640">
        <v>1.0751813257923004</v>
      </c>
      <c r="M34" s="640">
        <v>0.92719655758676645</v>
      </c>
      <c r="N34" s="640">
        <v>0</v>
      </c>
      <c r="O34" s="640">
        <v>1.540935583552362E-2</v>
      </c>
      <c r="P34" s="640">
        <v>105.80333299999998</v>
      </c>
      <c r="Q34" s="640">
        <v>17.474535389228187</v>
      </c>
      <c r="R34" s="640">
        <v>0</v>
      </c>
      <c r="S34" s="648">
        <v>300.03695671177758</v>
      </c>
      <c r="U34" s="646" t="s">
        <v>78</v>
      </c>
      <c r="V34" s="640">
        <v>9.103168484740003</v>
      </c>
      <c r="W34" s="640">
        <v>0</v>
      </c>
      <c r="X34" s="640">
        <v>30.742620872292591</v>
      </c>
      <c r="Y34" s="640">
        <v>115.67477925</v>
      </c>
      <c r="Z34" s="640">
        <v>0</v>
      </c>
      <c r="AA34" s="640">
        <v>0</v>
      </c>
      <c r="AB34" s="640">
        <v>15.652087601653344</v>
      </c>
      <c r="AC34" s="640">
        <v>3.5686448746488644</v>
      </c>
      <c r="AD34" s="640">
        <v>1.0751813257923004</v>
      </c>
      <c r="AE34" s="640">
        <v>0.92719655758676645</v>
      </c>
      <c r="AF34" s="640">
        <v>0</v>
      </c>
      <c r="AG34" s="640">
        <v>1.540935583552362E-2</v>
      </c>
      <c r="AH34" s="640">
        <v>105.80333299999998</v>
      </c>
      <c r="AI34" s="640">
        <v>17.474535389228187</v>
      </c>
      <c r="AJ34" s="640">
        <v>0</v>
      </c>
      <c r="AK34" s="648">
        <v>300.03695671177758</v>
      </c>
    </row>
    <row r="35" spans="3:37" x14ac:dyDescent="0.2">
      <c r="C35" s="646" t="s">
        <v>79</v>
      </c>
      <c r="D35" s="640">
        <v>0</v>
      </c>
      <c r="E35" s="640">
        <v>0</v>
      </c>
      <c r="F35" s="640">
        <v>396.20072754031048</v>
      </c>
      <c r="G35" s="640">
        <v>2.2477145000000003</v>
      </c>
      <c r="H35" s="640">
        <v>0</v>
      </c>
      <c r="I35" s="640">
        <v>0</v>
      </c>
      <c r="J35" s="640">
        <v>0</v>
      </c>
      <c r="K35" s="640">
        <v>0</v>
      </c>
      <c r="L35" s="640">
        <v>30.751352031352695</v>
      </c>
      <c r="M35" s="640">
        <v>0</v>
      </c>
      <c r="N35" s="640">
        <v>0</v>
      </c>
      <c r="O35" s="640">
        <v>0</v>
      </c>
      <c r="P35" s="640">
        <v>8.3371990700000005</v>
      </c>
      <c r="Q35" s="640">
        <v>0</v>
      </c>
      <c r="R35" s="640">
        <v>0</v>
      </c>
      <c r="S35" s="648">
        <v>437.53699314166312</v>
      </c>
      <c r="U35" s="646" t="s">
        <v>79</v>
      </c>
      <c r="V35" s="640">
        <v>0</v>
      </c>
      <c r="W35" s="640">
        <v>0</v>
      </c>
      <c r="X35" s="640">
        <v>396.20072754031048</v>
      </c>
      <c r="Y35" s="640">
        <v>2.2477145000000003</v>
      </c>
      <c r="Z35" s="640">
        <v>0</v>
      </c>
      <c r="AA35" s="640">
        <v>0</v>
      </c>
      <c r="AB35" s="640">
        <v>0</v>
      </c>
      <c r="AC35" s="640">
        <v>0</v>
      </c>
      <c r="AD35" s="640">
        <v>30.751352031352695</v>
      </c>
      <c r="AE35" s="640">
        <v>0</v>
      </c>
      <c r="AF35" s="640">
        <v>0</v>
      </c>
      <c r="AG35" s="640">
        <v>0</v>
      </c>
      <c r="AH35" s="640">
        <v>8.3371990700000005</v>
      </c>
      <c r="AI35" s="640">
        <v>0</v>
      </c>
      <c r="AJ35" s="640">
        <v>0</v>
      </c>
      <c r="AK35" s="648">
        <v>437.53699314166312</v>
      </c>
    </row>
    <row r="36" spans="3:37" x14ac:dyDescent="0.2">
      <c r="C36" s="646" t="s">
        <v>80</v>
      </c>
      <c r="D36" s="640">
        <v>0.24074954804999998</v>
      </c>
      <c r="E36" s="640">
        <v>0</v>
      </c>
      <c r="F36" s="640">
        <v>50.312051197940285</v>
      </c>
      <c r="G36" s="640">
        <v>125.05981225000002</v>
      </c>
      <c r="H36" s="640">
        <v>0</v>
      </c>
      <c r="I36" s="640">
        <v>0</v>
      </c>
      <c r="J36" s="640">
        <v>69.406708888888886</v>
      </c>
      <c r="K36" s="640">
        <v>0</v>
      </c>
      <c r="L36" s="640">
        <v>0</v>
      </c>
      <c r="M36" s="640">
        <v>0</v>
      </c>
      <c r="N36" s="640">
        <v>28.099863055555552</v>
      </c>
      <c r="O36" s="640">
        <v>2.0645206826866662</v>
      </c>
      <c r="P36" s="640">
        <v>161.49853200000001</v>
      </c>
      <c r="Q36" s="640">
        <v>14.411899999999999</v>
      </c>
      <c r="R36" s="640">
        <v>0</v>
      </c>
      <c r="S36" s="648">
        <v>451.09413762312141</v>
      </c>
      <c r="U36" s="646" t="s">
        <v>80</v>
      </c>
      <c r="V36" s="640">
        <v>0.24074954804999998</v>
      </c>
      <c r="W36" s="640">
        <v>0</v>
      </c>
      <c r="X36" s="640">
        <v>50.312051197940285</v>
      </c>
      <c r="Y36" s="640">
        <v>125.05981225000002</v>
      </c>
      <c r="Z36" s="640">
        <v>0</v>
      </c>
      <c r="AA36" s="640">
        <v>0</v>
      </c>
      <c r="AB36" s="640">
        <v>69.406708888888886</v>
      </c>
      <c r="AC36" s="640">
        <v>0</v>
      </c>
      <c r="AD36" s="640">
        <v>0</v>
      </c>
      <c r="AE36" s="640">
        <v>0</v>
      </c>
      <c r="AF36" s="640">
        <v>28.099863055555552</v>
      </c>
      <c r="AG36" s="640">
        <v>2.0645206826866662</v>
      </c>
      <c r="AH36" s="640">
        <v>161.49853200000001</v>
      </c>
      <c r="AI36" s="640">
        <v>14.411899999999999</v>
      </c>
      <c r="AJ36" s="640">
        <v>0</v>
      </c>
      <c r="AK36" s="648">
        <v>451.09413762312141</v>
      </c>
    </row>
    <row r="37" spans="3:37" x14ac:dyDescent="0.2">
      <c r="C37" s="646" t="s">
        <v>81</v>
      </c>
      <c r="D37" s="640">
        <v>0.35525487623000002</v>
      </c>
      <c r="E37" s="640">
        <v>0</v>
      </c>
      <c r="F37" s="640">
        <v>31.907501208676987</v>
      </c>
      <c r="G37" s="640">
        <v>62.61667825</v>
      </c>
      <c r="H37" s="640">
        <v>0</v>
      </c>
      <c r="I37" s="640">
        <v>0</v>
      </c>
      <c r="J37" s="640">
        <v>2.8232277777777779</v>
      </c>
      <c r="K37" s="640">
        <v>2.2859468815788357</v>
      </c>
      <c r="L37" s="640">
        <v>0</v>
      </c>
      <c r="M37" s="640">
        <v>1.4745088888888889</v>
      </c>
      <c r="N37" s="640">
        <v>4.5516825000000001</v>
      </c>
      <c r="O37" s="640">
        <v>0.35485889253622721</v>
      </c>
      <c r="P37" s="640">
        <v>127.64086592999999</v>
      </c>
      <c r="Q37" s="640">
        <v>9.5887644444444451</v>
      </c>
      <c r="R37" s="640">
        <v>0</v>
      </c>
      <c r="S37" s="648">
        <v>243.59928965013316</v>
      </c>
      <c r="U37" s="646" t="s">
        <v>81</v>
      </c>
      <c r="V37" s="640">
        <v>0.35525487623000002</v>
      </c>
      <c r="W37" s="640">
        <v>0</v>
      </c>
      <c r="X37" s="640">
        <v>31.907501208676987</v>
      </c>
      <c r="Y37" s="640">
        <v>62.61667825</v>
      </c>
      <c r="Z37" s="640">
        <v>0</v>
      </c>
      <c r="AA37" s="640">
        <v>0</v>
      </c>
      <c r="AB37" s="640">
        <v>2.8232277777777779</v>
      </c>
      <c r="AC37" s="640">
        <v>2.2859468815788357</v>
      </c>
      <c r="AD37" s="640">
        <v>0</v>
      </c>
      <c r="AE37" s="640">
        <v>1.4745088888888889</v>
      </c>
      <c r="AF37" s="640">
        <v>4.5516825000000001</v>
      </c>
      <c r="AG37" s="640">
        <v>0.35485889253622721</v>
      </c>
      <c r="AH37" s="640">
        <v>127.64086592999999</v>
      </c>
      <c r="AI37" s="640">
        <v>9.5887644444444451</v>
      </c>
      <c r="AJ37" s="640">
        <v>0</v>
      </c>
      <c r="AK37" s="648">
        <v>243.59928965013316</v>
      </c>
    </row>
    <row r="38" spans="3:37" x14ac:dyDescent="0.2">
      <c r="C38" s="646" t="s">
        <v>82</v>
      </c>
      <c r="D38" s="640">
        <v>1.5371382629999998E-2</v>
      </c>
      <c r="E38" s="640">
        <v>0</v>
      </c>
      <c r="F38" s="640">
        <v>37.352212663167997</v>
      </c>
      <c r="G38" s="640">
        <v>2.1964755</v>
      </c>
      <c r="H38" s="640">
        <v>0</v>
      </c>
      <c r="I38" s="640">
        <v>0</v>
      </c>
      <c r="J38" s="640">
        <v>1.7493453935920653</v>
      </c>
      <c r="K38" s="640">
        <v>0</v>
      </c>
      <c r="L38" s="640">
        <v>1.9048961095281811</v>
      </c>
      <c r="M38" s="640">
        <v>0.51119305555555561</v>
      </c>
      <c r="N38" s="640">
        <v>0</v>
      </c>
      <c r="O38" s="640">
        <v>0.29232166666666665</v>
      </c>
      <c r="P38" s="640">
        <v>8.079485</v>
      </c>
      <c r="Q38" s="640">
        <v>0.18937333333333334</v>
      </c>
      <c r="R38" s="640">
        <v>0</v>
      </c>
      <c r="S38" s="648">
        <v>52.290674104473801</v>
      </c>
      <c r="U38" s="646" t="s">
        <v>82</v>
      </c>
      <c r="V38" s="640">
        <v>1.5371382629999998E-2</v>
      </c>
      <c r="W38" s="640">
        <v>0</v>
      </c>
      <c r="X38" s="640">
        <v>37.352212663167997</v>
      </c>
      <c r="Y38" s="640">
        <v>2.1964755</v>
      </c>
      <c r="Z38" s="640">
        <v>0</v>
      </c>
      <c r="AA38" s="640">
        <v>0</v>
      </c>
      <c r="AB38" s="640">
        <v>1.7493453935920653</v>
      </c>
      <c r="AC38" s="640">
        <v>0</v>
      </c>
      <c r="AD38" s="640">
        <v>1.9048961095281811</v>
      </c>
      <c r="AE38" s="640">
        <v>0.51119305555555561</v>
      </c>
      <c r="AF38" s="640">
        <v>0</v>
      </c>
      <c r="AG38" s="640">
        <v>0.29232166666666665</v>
      </c>
      <c r="AH38" s="640">
        <v>8.079485</v>
      </c>
      <c r="AI38" s="640">
        <v>0.18937333333333334</v>
      </c>
      <c r="AJ38" s="640">
        <v>0</v>
      </c>
      <c r="AK38" s="648">
        <v>52.290674104473801</v>
      </c>
    </row>
    <row r="39" spans="3:37" x14ac:dyDescent="0.2">
      <c r="C39" s="646" t="s">
        <v>354</v>
      </c>
      <c r="D39" s="640">
        <v>0</v>
      </c>
      <c r="E39" s="640">
        <v>0</v>
      </c>
      <c r="F39" s="640">
        <v>0</v>
      </c>
      <c r="G39" s="640">
        <v>0</v>
      </c>
      <c r="H39" s="640">
        <v>0</v>
      </c>
      <c r="I39" s="640">
        <v>0</v>
      </c>
      <c r="J39" s="640">
        <v>0</v>
      </c>
      <c r="K39" s="640">
        <v>0</v>
      </c>
      <c r="L39" s="640">
        <v>0</v>
      </c>
      <c r="M39" s="640">
        <v>0</v>
      </c>
      <c r="N39" s="640">
        <v>0</v>
      </c>
      <c r="O39" s="640">
        <v>0</v>
      </c>
      <c r="P39" s="640">
        <v>0</v>
      </c>
      <c r="Q39" s="640">
        <v>0</v>
      </c>
      <c r="R39" s="640">
        <v>0</v>
      </c>
      <c r="S39" s="648">
        <v>0</v>
      </c>
      <c r="U39" s="646" t="s">
        <v>354</v>
      </c>
      <c r="V39" s="640">
        <v>0</v>
      </c>
      <c r="W39" s="640">
        <v>0</v>
      </c>
      <c r="X39" s="640">
        <v>0</v>
      </c>
      <c r="Y39" s="640">
        <v>0</v>
      </c>
      <c r="Z39" s="640">
        <v>0</v>
      </c>
      <c r="AA39" s="640">
        <v>0</v>
      </c>
      <c r="AB39" s="640">
        <v>0</v>
      </c>
      <c r="AC39" s="640">
        <v>0</v>
      </c>
      <c r="AD39" s="640">
        <v>0</v>
      </c>
      <c r="AE39" s="640">
        <v>0</v>
      </c>
      <c r="AF39" s="640">
        <v>0</v>
      </c>
      <c r="AG39" s="640">
        <v>0</v>
      </c>
      <c r="AH39" s="640">
        <v>0</v>
      </c>
      <c r="AI39" s="640">
        <v>0</v>
      </c>
      <c r="AJ39" s="640">
        <v>0</v>
      </c>
      <c r="AK39" s="648">
        <v>0</v>
      </c>
    </row>
    <row r="40" spans="3:37" x14ac:dyDescent="0.2">
      <c r="C40" s="644" t="s">
        <v>83</v>
      </c>
      <c r="D40" s="645">
        <v>9.714544291650002</v>
      </c>
      <c r="E40" s="645">
        <v>0</v>
      </c>
      <c r="F40" s="645">
        <v>546.5151134823883</v>
      </c>
      <c r="G40" s="645">
        <v>307.79545975000002</v>
      </c>
      <c r="H40" s="645">
        <v>0</v>
      </c>
      <c r="I40" s="645">
        <v>0</v>
      </c>
      <c r="J40" s="645">
        <v>89.631369661912075</v>
      </c>
      <c r="K40" s="645">
        <v>5.8545917562277001</v>
      </c>
      <c r="L40" s="645">
        <v>33.731429466673177</v>
      </c>
      <c r="M40" s="645">
        <v>2.9128985020312106</v>
      </c>
      <c r="N40" s="645">
        <v>32.65154555555555</v>
      </c>
      <c r="O40" s="645">
        <v>2.7271105977250834</v>
      </c>
      <c r="P40" s="645">
        <v>411.35941499999996</v>
      </c>
      <c r="Q40" s="645">
        <v>41.664573167005962</v>
      </c>
      <c r="R40" s="645">
        <v>0</v>
      </c>
      <c r="S40" s="645">
        <v>1484.5580512311692</v>
      </c>
      <c r="U40" s="644" t="s">
        <v>83</v>
      </c>
      <c r="V40" s="645">
        <v>9.714544291650002</v>
      </c>
      <c r="W40" s="645">
        <v>0</v>
      </c>
      <c r="X40" s="645">
        <v>546.5151134823883</v>
      </c>
      <c r="Y40" s="645">
        <v>307.79545975000002</v>
      </c>
      <c r="Z40" s="645">
        <v>0</v>
      </c>
      <c r="AA40" s="645">
        <v>0</v>
      </c>
      <c r="AB40" s="645">
        <v>89.631369661912075</v>
      </c>
      <c r="AC40" s="645">
        <v>5.8545917562277001</v>
      </c>
      <c r="AD40" s="645">
        <v>33.731429466673177</v>
      </c>
      <c r="AE40" s="645">
        <v>2.9128985020312106</v>
      </c>
      <c r="AF40" s="645">
        <v>32.65154555555555</v>
      </c>
      <c r="AG40" s="645">
        <v>2.7271105977250834</v>
      </c>
      <c r="AH40" s="645">
        <v>411.35941499999996</v>
      </c>
      <c r="AI40" s="645">
        <v>41.664573167005962</v>
      </c>
      <c r="AJ40" s="645">
        <v>0</v>
      </c>
      <c r="AK40" s="645">
        <v>1484.5580512311692</v>
      </c>
    </row>
    <row r="41" spans="3:37" x14ac:dyDescent="0.2">
      <c r="C41" s="639" t="s">
        <v>84</v>
      </c>
      <c r="D41" s="640">
        <v>2.8214338015700005</v>
      </c>
      <c r="E41" s="640">
        <v>0</v>
      </c>
      <c r="F41" s="640">
        <v>130.9502374537683</v>
      </c>
      <c r="G41" s="640">
        <v>12.027936500000001</v>
      </c>
      <c r="H41" s="640">
        <v>0</v>
      </c>
      <c r="I41" s="640">
        <v>0</v>
      </c>
      <c r="J41" s="640">
        <v>0</v>
      </c>
      <c r="K41" s="640">
        <v>0</v>
      </c>
      <c r="L41" s="640">
        <v>0</v>
      </c>
      <c r="M41" s="640">
        <v>0</v>
      </c>
      <c r="N41" s="640">
        <v>0</v>
      </c>
      <c r="O41" s="640">
        <v>0</v>
      </c>
      <c r="P41" s="640">
        <v>0</v>
      </c>
      <c r="Q41" s="640">
        <v>0</v>
      </c>
      <c r="R41" s="640">
        <v>0</v>
      </c>
      <c r="S41" s="648">
        <v>145.79960775533831</v>
      </c>
      <c r="U41" s="639" t="s">
        <v>84</v>
      </c>
      <c r="V41" s="640">
        <v>2.8214338015700005</v>
      </c>
      <c r="W41" s="640">
        <v>0</v>
      </c>
      <c r="X41" s="640">
        <v>130.9502374537683</v>
      </c>
      <c r="Y41" s="640">
        <v>12.027936500000001</v>
      </c>
      <c r="Z41" s="640">
        <v>0</v>
      </c>
      <c r="AA41" s="640">
        <v>0</v>
      </c>
      <c r="AB41" s="640">
        <v>0</v>
      </c>
      <c r="AC41" s="640">
        <v>0</v>
      </c>
      <c r="AD41" s="640">
        <v>0</v>
      </c>
      <c r="AE41" s="640">
        <v>0</v>
      </c>
      <c r="AF41" s="640">
        <v>0</v>
      </c>
      <c r="AG41" s="640">
        <v>0</v>
      </c>
      <c r="AH41" s="640">
        <v>0</v>
      </c>
      <c r="AI41" s="640">
        <v>0</v>
      </c>
      <c r="AJ41" s="640">
        <v>0</v>
      </c>
      <c r="AK41" s="648">
        <v>145.79960775533831</v>
      </c>
    </row>
    <row r="42" spans="3:37" x14ac:dyDescent="0.2">
      <c r="C42" s="644" t="s">
        <v>85</v>
      </c>
      <c r="D42" s="645">
        <v>12.535978093220002</v>
      </c>
      <c r="E42" s="645">
        <v>0</v>
      </c>
      <c r="F42" s="645">
        <v>677.4653509361566</v>
      </c>
      <c r="G42" s="645">
        <v>319.82339625000003</v>
      </c>
      <c r="H42" s="645">
        <v>0</v>
      </c>
      <c r="I42" s="645">
        <v>0</v>
      </c>
      <c r="J42" s="645">
        <v>89.631369661912075</v>
      </c>
      <c r="K42" s="645">
        <v>5.8545917562277001</v>
      </c>
      <c r="L42" s="645">
        <v>33.731429466673177</v>
      </c>
      <c r="M42" s="645">
        <v>2.9128985020312106</v>
      </c>
      <c r="N42" s="645">
        <v>32.65154555555555</v>
      </c>
      <c r="O42" s="645">
        <v>2.7271105977250834</v>
      </c>
      <c r="P42" s="645">
        <v>411.35941499999996</v>
      </c>
      <c r="Q42" s="645">
        <v>41.664573167005962</v>
      </c>
      <c r="R42" s="645">
        <v>0</v>
      </c>
      <c r="S42" s="645">
        <v>1630.3576589865074</v>
      </c>
      <c r="U42" s="644" t="s">
        <v>85</v>
      </c>
      <c r="V42" s="645">
        <v>12.535978093220002</v>
      </c>
      <c r="W42" s="645">
        <v>0</v>
      </c>
      <c r="X42" s="645">
        <v>677.4653509361566</v>
      </c>
      <c r="Y42" s="645">
        <v>319.82339625000003</v>
      </c>
      <c r="Z42" s="645">
        <v>0</v>
      </c>
      <c r="AA42" s="645">
        <v>0</v>
      </c>
      <c r="AB42" s="645">
        <v>89.631369661912075</v>
      </c>
      <c r="AC42" s="645">
        <v>5.8545917562277001</v>
      </c>
      <c r="AD42" s="645">
        <v>33.731429466673177</v>
      </c>
      <c r="AE42" s="645">
        <v>2.9128985020312106</v>
      </c>
      <c r="AF42" s="645">
        <v>32.65154555555555</v>
      </c>
      <c r="AG42" s="645">
        <v>2.7271105977250834</v>
      </c>
      <c r="AH42" s="645">
        <v>411.35941499999996</v>
      </c>
      <c r="AI42" s="645">
        <v>41.664573167005962</v>
      </c>
      <c r="AJ42" s="645">
        <v>0</v>
      </c>
      <c r="AK42" s="645">
        <v>1630.3576589865074</v>
      </c>
    </row>
    <row r="43" spans="3:37" x14ac:dyDescent="0.2">
      <c r="C43" s="634"/>
      <c r="D43" s="634"/>
      <c r="E43" s="634"/>
      <c r="F43" s="634"/>
      <c r="G43" s="634"/>
      <c r="H43" s="634"/>
      <c r="I43" s="634"/>
      <c r="J43" s="634"/>
      <c r="K43" s="634"/>
      <c r="L43" s="634"/>
      <c r="M43" s="634"/>
      <c r="N43" s="634"/>
      <c r="O43" s="634"/>
      <c r="P43" s="634"/>
      <c r="Q43" s="634"/>
      <c r="R43" s="634"/>
      <c r="S43" s="634"/>
      <c r="U43" s="634"/>
      <c r="V43" s="634"/>
      <c r="W43" s="634"/>
      <c r="X43" s="634"/>
      <c r="Y43" s="634"/>
      <c r="Z43" s="634"/>
      <c r="AA43" s="634"/>
      <c r="AB43" s="634"/>
      <c r="AC43" s="634"/>
      <c r="AD43" s="634"/>
      <c r="AE43" s="634"/>
      <c r="AF43" s="634"/>
      <c r="AG43" s="634"/>
      <c r="AH43" s="634"/>
      <c r="AI43" s="634"/>
      <c r="AJ43" s="634"/>
      <c r="AK43" s="634"/>
    </row>
    <row r="44" spans="3:37" ht="22.5" x14ac:dyDescent="0.3">
      <c r="C44" s="759" t="s">
        <v>355</v>
      </c>
      <c r="D44" s="759"/>
      <c r="E44" s="759"/>
      <c r="F44" s="759"/>
      <c r="G44" s="759"/>
      <c r="H44" s="759"/>
      <c r="I44" s="759"/>
      <c r="J44" s="759"/>
      <c r="K44" s="759"/>
      <c r="L44" s="759"/>
      <c r="M44" s="759"/>
      <c r="N44" s="759"/>
      <c r="O44" s="759"/>
      <c r="P44" s="759"/>
      <c r="Q44" s="759"/>
      <c r="R44" s="759"/>
      <c r="S44" s="759"/>
      <c r="U44" s="759" t="s">
        <v>355</v>
      </c>
      <c r="V44" s="759"/>
      <c r="W44" s="759"/>
      <c r="X44" s="759"/>
      <c r="Y44" s="759"/>
      <c r="Z44" s="759"/>
      <c r="AA44" s="759"/>
      <c r="AB44" s="759"/>
      <c r="AC44" s="759"/>
      <c r="AD44" s="759"/>
      <c r="AE44" s="759"/>
      <c r="AF44" s="759"/>
      <c r="AG44" s="759"/>
      <c r="AH44" s="759"/>
      <c r="AI44" s="759"/>
      <c r="AJ44" s="759"/>
      <c r="AK44" s="759"/>
    </row>
    <row r="45" spans="3:37" x14ac:dyDescent="0.2">
      <c r="C45" s="634"/>
      <c r="D45" s="634"/>
      <c r="E45" s="634"/>
      <c r="F45" s="634"/>
      <c r="G45" s="634"/>
      <c r="H45" s="634"/>
      <c r="I45" s="634"/>
      <c r="J45" s="634"/>
      <c r="K45" s="634"/>
      <c r="L45" s="634"/>
      <c r="M45" s="634"/>
      <c r="N45" s="634"/>
      <c r="O45" s="634"/>
      <c r="P45" s="634"/>
      <c r="Q45" s="634"/>
      <c r="R45" s="634"/>
      <c r="S45" s="634"/>
      <c r="U45" s="634"/>
      <c r="V45" s="634"/>
      <c r="W45" s="634"/>
      <c r="X45" s="634"/>
      <c r="Y45" s="634"/>
      <c r="Z45" s="634"/>
      <c r="AA45" s="634"/>
      <c r="AB45" s="634"/>
      <c r="AC45" s="634"/>
      <c r="AD45" s="634"/>
      <c r="AE45" s="634"/>
      <c r="AF45" s="634"/>
      <c r="AG45" s="634"/>
      <c r="AH45" s="634"/>
      <c r="AI45" s="634"/>
      <c r="AJ45" s="634"/>
      <c r="AK45" s="634"/>
    </row>
    <row r="46" spans="3:37" ht="12.95" customHeight="1" x14ac:dyDescent="0.2">
      <c r="C46" s="758" t="s">
        <v>128</v>
      </c>
      <c r="D46" s="757" t="s">
        <v>42</v>
      </c>
      <c r="E46" s="757" t="s">
        <v>52</v>
      </c>
      <c r="F46" s="757" t="s">
        <v>53</v>
      </c>
      <c r="G46" s="757" t="s">
        <v>32</v>
      </c>
      <c r="H46" s="757" t="s">
        <v>20</v>
      </c>
      <c r="I46" s="757" t="s">
        <v>55</v>
      </c>
      <c r="J46" s="757" t="s">
        <v>56</v>
      </c>
      <c r="K46" s="757"/>
      <c r="L46" s="757"/>
      <c r="M46" s="757"/>
      <c r="N46" s="757"/>
      <c r="O46" s="757"/>
      <c r="P46" s="757" t="s">
        <v>57</v>
      </c>
      <c r="Q46" s="757" t="s">
        <v>58</v>
      </c>
      <c r="R46" s="757" t="s">
        <v>31</v>
      </c>
      <c r="S46" s="757" t="s">
        <v>10</v>
      </c>
      <c r="U46" s="758" t="s">
        <v>128</v>
      </c>
      <c r="V46" s="757" t="s">
        <v>42</v>
      </c>
      <c r="W46" s="757" t="s">
        <v>52</v>
      </c>
      <c r="X46" s="757" t="s">
        <v>53</v>
      </c>
      <c r="Y46" s="757" t="s">
        <v>32</v>
      </c>
      <c r="Z46" s="757" t="s">
        <v>20</v>
      </c>
      <c r="AA46" s="757" t="s">
        <v>55</v>
      </c>
      <c r="AB46" s="757" t="s">
        <v>56</v>
      </c>
      <c r="AC46" s="757"/>
      <c r="AD46" s="757"/>
      <c r="AE46" s="757"/>
      <c r="AF46" s="757"/>
      <c r="AG46" s="757"/>
      <c r="AH46" s="757" t="s">
        <v>57</v>
      </c>
      <c r="AI46" s="757" t="s">
        <v>58</v>
      </c>
      <c r="AJ46" s="757" t="s">
        <v>31</v>
      </c>
      <c r="AK46" s="757" t="s">
        <v>10</v>
      </c>
    </row>
    <row r="47" spans="3:37" ht="56.25" x14ac:dyDescent="0.2">
      <c r="C47" s="758"/>
      <c r="D47" s="757"/>
      <c r="E47" s="757"/>
      <c r="F47" s="757"/>
      <c r="G47" s="757"/>
      <c r="H47" s="757"/>
      <c r="I47" s="757"/>
      <c r="J47" s="638" t="s">
        <v>335</v>
      </c>
      <c r="K47" s="638" t="s">
        <v>40</v>
      </c>
      <c r="L47" s="638" t="s">
        <v>343</v>
      </c>
      <c r="M47" s="638" t="s">
        <v>344</v>
      </c>
      <c r="N47" s="638" t="s">
        <v>345</v>
      </c>
      <c r="O47" s="638" t="s">
        <v>346</v>
      </c>
      <c r="P47" s="757"/>
      <c r="Q47" s="757"/>
      <c r="R47" s="757"/>
      <c r="S47" s="757"/>
      <c r="U47" s="758"/>
      <c r="V47" s="757"/>
      <c r="W47" s="757"/>
      <c r="X47" s="757"/>
      <c r="Y47" s="757"/>
      <c r="Z47" s="757"/>
      <c r="AA47" s="757"/>
      <c r="AB47" s="638" t="s">
        <v>335</v>
      </c>
      <c r="AC47" s="638" t="s">
        <v>40</v>
      </c>
      <c r="AD47" s="638" t="s">
        <v>343</v>
      </c>
      <c r="AE47" s="638" t="s">
        <v>344</v>
      </c>
      <c r="AF47" s="638" t="s">
        <v>345</v>
      </c>
      <c r="AG47" s="638" t="s">
        <v>346</v>
      </c>
      <c r="AH47" s="757"/>
      <c r="AI47" s="757"/>
      <c r="AJ47" s="757"/>
      <c r="AK47" s="757"/>
    </row>
    <row r="48" spans="3:37" x14ac:dyDescent="0.2">
      <c r="C48" s="639" t="s">
        <v>59</v>
      </c>
      <c r="D48" s="640">
        <v>0</v>
      </c>
      <c r="E48" s="641">
        <v>9.7691999999999997</v>
      </c>
      <c r="F48" s="641">
        <v>0</v>
      </c>
      <c r="G48" s="640">
        <v>0.18608000000000002</v>
      </c>
      <c r="H48" s="641">
        <v>1100.0000000000002</v>
      </c>
      <c r="I48" s="641">
        <v>135.04231425541462</v>
      </c>
      <c r="J48" s="641">
        <v>189.86826025669441</v>
      </c>
      <c r="K48" s="641">
        <v>24.170186950164744</v>
      </c>
      <c r="L48" s="641">
        <v>0.17473616288186822</v>
      </c>
      <c r="M48" s="641">
        <v>0.14724141092299528</v>
      </c>
      <c r="N48" s="641">
        <v>36.514651680131124</v>
      </c>
      <c r="O48" s="641">
        <v>5.8993526953350273</v>
      </c>
      <c r="P48" s="642">
        <v>0</v>
      </c>
      <c r="Q48" s="641">
        <v>0</v>
      </c>
      <c r="R48" s="641">
        <v>0</v>
      </c>
      <c r="S48" s="643">
        <v>1501.7720234115452</v>
      </c>
      <c r="U48" s="639" t="s">
        <v>59</v>
      </c>
      <c r="V48" s="640">
        <v>0</v>
      </c>
      <c r="W48" s="641">
        <v>9.7691999999999997</v>
      </c>
      <c r="X48" s="641">
        <v>0</v>
      </c>
      <c r="Y48" s="640">
        <v>0.18608000000000002</v>
      </c>
      <c r="Z48" s="641">
        <v>1119.7245179063361</v>
      </c>
      <c r="AA48" s="641">
        <v>139.7041324372328</v>
      </c>
      <c r="AB48" s="641">
        <v>163.20539166181254</v>
      </c>
      <c r="AC48" s="641">
        <v>30.468703460147175</v>
      </c>
      <c r="AD48" s="641">
        <v>0.17473616288186822</v>
      </c>
      <c r="AE48" s="641">
        <v>0.14724141092299528</v>
      </c>
      <c r="AF48" s="641">
        <v>40.964336574173757</v>
      </c>
      <c r="AG48" s="641">
        <v>7.1518943001451731</v>
      </c>
      <c r="AH48" s="642">
        <v>0</v>
      </c>
      <c r="AI48" s="641">
        <v>0</v>
      </c>
      <c r="AJ48" s="641">
        <v>0</v>
      </c>
      <c r="AK48" s="643">
        <v>1511.4962339136523</v>
      </c>
    </row>
    <row r="49" spans="3:37" x14ac:dyDescent="0.2">
      <c r="C49" s="639" t="s">
        <v>60</v>
      </c>
      <c r="D49" s="640">
        <v>55.101902053292484</v>
      </c>
      <c r="E49" s="641">
        <v>500.10836609636777</v>
      </c>
      <c r="F49" s="641">
        <v>279.29112148859122</v>
      </c>
      <c r="G49" s="640">
        <v>374.80910242212775</v>
      </c>
      <c r="H49" s="641">
        <v>0</v>
      </c>
      <c r="I49" s="641">
        <v>0</v>
      </c>
      <c r="J49" s="641">
        <v>1.5889557346935721</v>
      </c>
      <c r="K49" s="641">
        <v>0</v>
      </c>
      <c r="L49" s="641">
        <v>1.5000078530419791</v>
      </c>
      <c r="M49" s="641">
        <v>0</v>
      </c>
      <c r="N49" s="641">
        <v>0</v>
      </c>
      <c r="O49" s="641">
        <v>0</v>
      </c>
      <c r="P49" s="642">
        <v>0</v>
      </c>
      <c r="Q49" s="641">
        <v>0</v>
      </c>
      <c r="R49" s="641">
        <v>0</v>
      </c>
      <c r="S49" s="643">
        <v>1212.3994556481148</v>
      </c>
      <c r="U49" s="639" t="s">
        <v>60</v>
      </c>
      <c r="V49" s="640">
        <v>44.533896750987545</v>
      </c>
      <c r="W49" s="641">
        <v>459.32392184850846</v>
      </c>
      <c r="X49" s="641">
        <v>277.24182021025467</v>
      </c>
      <c r="Y49" s="640">
        <v>383.77086405289117</v>
      </c>
      <c r="Z49" s="641">
        <v>0</v>
      </c>
      <c r="AA49" s="641">
        <v>0</v>
      </c>
      <c r="AB49" s="641">
        <v>1.5889557346935721</v>
      </c>
      <c r="AC49" s="641">
        <v>0</v>
      </c>
      <c r="AD49" s="641">
        <v>1.5000078530419791</v>
      </c>
      <c r="AE49" s="641">
        <v>0</v>
      </c>
      <c r="AF49" s="641">
        <v>0</v>
      </c>
      <c r="AG49" s="641">
        <v>0</v>
      </c>
      <c r="AH49" s="642">
        <v>0</v>
      </c>
      <c r="AI49" s="641">
        <v>0</v>
      </c>
      <c r="AJ49" s="641">
        <v>0</v>
      </c>
      <c r="AK49" s="643">
        <v>1167.9594664503775</v>
      </c>
    </row>
    <row r="50" spans="3:37" x14ac:dyDescent="0.2">
      <c r="C50" s="639" t="s">
        <v>61</v>
      </c>
      <c r="D50" s="640">
        <v>0</v>
      </c>
      <c r="E50" s="641">
        <v>0</v>
      </c>
      <c r="F50" s="641">
        <v>-1.2153350000000001</v>
      </c>
      <c r="G50" s="640">
        <v>0</v>
      </c>
      <c r="H50" s="641">
        <v>0</v>
      </c>
      <c r="I50" s="641">
        <v>0</v>
      </c>
      <c r="J50" s="641">
        <v>0</v>
      </c>
      <c r="K50" s="641">
        <v>0</v>
      </c>
      <c r="L50" s="641">
        <v>0</v>
      </c>
      <c r="M50" s="641">
        <v>0</v>
      </c>
      <c r="N50" s="641">
        <v>0</v>
      </c>
      <c r="O50" s="641">
        <v>0</v>
      </c>
      <c r="P50" s="642">
        <v>-24.298097404469559</v>
      </c>
      <c r="Q50" s="641">
        <v>0</v>
      </c>
      <c r="R50" s="641">
        <v>0</v>
      </c>
      <c r="S50" s="643">
        <v>-25.513432404469558</v>
      </c>
      <c r="U50" s="639" t="s">
        <v>61</v>
      </c>
      <c r="V50" s="640">
        <v>0</v>
      </c>
      <c r="W50" s="641">
        <v>0</v>
      </c>
      <c r="X50" s="641">
        <v>-1.2153350000000001</v>
      </c>
      <c r="Y50" s="640">
        <v>0</v>
      </c>
      <c r="Z50" s="641">
        <v>0</v>
      </c>
      <c r="AA50" s="641">
        <v>0</v>
      </c>
      <c r="AB50" s="641">
        <v>0</v>
      </c>
      <c r="AC50" s="641">
        <v>0</v>
      </c>
      <c r="AD50" s="641">
        <v>0</v>
      </c>
      <c r="AE50" s="641">
        <v>0</v>
      </c>
      <c r="AF50" s="641">
        <v>0</v>
      </c>
      <c r="AG50" s="641">
        <v>0</v>
      </c>
      <c r="AH50" s="642">
        <v>-55.679944149892151</v>
      </c>
      <c r="AI50" s="641">
        <v>0</v>
      </c>
      <c r="AJ50" s="641">
        <v>0</v>
      </c>
      <c r="AK50" s="643">
        <v>-56.895279149892154</v>
      </c>
    </row>
    <row r="51" spans="3:37" x14ac:dyDescent="0.2">
      <c r="C51" s="639" t="s">
        <v>62</v>
      </c>
      <c r="D51" s="640">
        <v>0</v>
      </c>
      <c r="E51" s="641">
        <v>0</v>
      </c>
      <c r="F51" s="641">
        <v>-18.810185715850007</v>
      </c>
      <c r="G51" s="640">
        <v>0</v>
      </c>
      <c r="H51" s="641">
        <v>0</v>
      </c>
      <c r="I51" s="641">
        <v>0</v>
      </c>
      <c r="J51" s="641">
        <v>0</v>
      </c>
      <c r="K51" s="641">
        <v>0</v>
      </c>
      <c r="L51" s="641">
        <v>0</v>
      </c>
      <c r="M51" s="641">
        <v>0</v>
      </c>
      <c r="N51" s="641">
        <v>0</v>
      </c>
      <c r="O51" s="641">
        <v>0</v>
      </c>
      <c r="P51" s="642">
        <v>0</v>
      </c>
      <c r="Q51" s="641">
        <v>0</v>
      </c>
      <c r="R51" s="641">
        <v>0</v>
      </c>
      <c r="S51" s="643">
        <v>-18.810185715850007</v>
      </c>
      <c r="U51" s="639" t="s">
        <v>62</v>
      </c>
      <c r="V51" s="640">
        <v>0</v>
      </c>
      <c r="W51" s="641">
        <v>0</v>
      </c>
      <c r="X51" s="641">
        <v>-18.660224222059444</v>
      </c>
      <c r="Y51" s="640">
        <v>0</v>
      </c>
      <c r="Z51" s="641">
        <v>0</v>
      </c>
      <c r="AA51" s="641">
        <v>0</v>
      </c>
      <c r="AB51" s="641">
        <v>0</v>
      </c>
      <c r="AC51" s="641">
        <v>0</v>
      </c>
      <c r="AD51" s="641">
        <v>0</v>
      </c>
      <c r="AE51" s="641">
        <v>0</v>
      </c>
      <c r="AF51" s="641">
        <v>0</v>
      </c>
      <c r="AG51" s="641">
        <v>0</v>
      </c>
      <c r="AH51" s="642">
        <v>0</v>
      </c>
      <c r="AI51" s="641">
        <v>0</v>
      </c>
      <c r="AJ51" s="641">
        <v>0</v>
      </c>
      <c r="AK51" s="643">
        <v>-18.660224222059444</v>
      </c>
    </row>
    <row r="52" spans="3:37" x14ac:dyDescent="0.2">
      <c r="C52" s="639" t="s">
        <v>63</v>
      </c>
      <c r="D52" s="640">
        <v>0</v>
      </c>
      <c r="E52" s="641">
        <v>0</v>
      </c>
      <c r="F52" s="641">
        <v>-62.925116345665856</v>
      </c>
      <c r="G52" s="640">
        <v>0</v>
      </c>
      <c r="H52" s="641">
        <v>0</v>
      </c>
      <c r="I52" s="641">
        <v>0</v>
      </c>
      <c r="J52" s="641">
        <v>0</v>
      </c>
      <c r="K52" s="641">
        <v>0</v>
      </c>
      <c r="L52" s="641">
        <v>-0.48762923007264619</v>
      </c>
      <c r="M52" s="641">
        <v>0</v>
      </c>
      <c r="N52" s="641">
        <v>0</v>
      </c>
      <c r="O52" s="641">
        <v>0</v>
      </c>
      <c r="P52" s="642">
        <v>0</v>
      </c>
      <c r="Q52" s="641">
        <v>0</v>
      </c>
      <c r="R52" s="641">
        <v>0</v>
      </c>
      <c r="S52" s="643">
        <v>-63.412745575738505</v>
      </c>
      <c r="U52" s="639" t="s">
        <v>63</v>
      </c>
      <c r="V52" s="640">
        <v>0</v>
      </c>
      <c r="W52" s="641">
        <v>0</v>
      </c>
      <c r="X52" s="641">
        <v>-57.939384373642596</v>
      </c>
      <c r="Y52" s="640">
        <v>0</v>
      </c>
      <c r="Z52" s="641">
        <v>0</v>
      </c>
      <c r="AA52" s="641">
        <v>0</v>
      </c>
      <c r="AB52" s="641">
        <v>0</v>
      </c>
      <c r="AC52" s="641">
        <v>0</v>
      </c>
      <c r="AD52" s="641">
        <v>-0.93673862712011491</v>
      </c>
      <c r="AE52" s="641">
        <v>0</v>
      </c>
      <c r="AF52" s="641">
        <v>0</v>
      </c>
      <c r="AG52" s="641">
        <v>0</v>
      </c>
      <c r="AH52" s="642">
        <v>0</v>
      </c>
      <c r="AI52" s="641">
        <v>0</v>
      </c>
      <c r="AJ52" s="641">
        <v>0</v>
      </c>
      <c r="AK52" s="643">
        <v>-58.876123000762711</v>
      </c>
    </row>
    <row r="53" spans="3:37" x14ac:dyDescent="0.2">
      <c r="C53" s="639" t="s">
        <v>64</v>
      </c>
      <c r="D53" s="640">
        <v>9.7684723496666986E-2</v>
      </c>
      <c r="E53" s="641">
        <v>-5.9567697000000003E-2</v>
      </c>
      <c r="F53" s="641">
        <v>3.8766666666666671E-2</v>
      </c>
      <c r="G53" s="640">
        <v>0</v>
      </c>
      <c r="H53" s="641">
        <v>0</v>
      </c>
      <c r="I53" s="641">
        <v>0</v>
      </c>
      <c r="J53" s="641">
        <v>0</v>
      </c>
      <c r="K53" s="641">
        <v>0</v>
      </c>
      <c r="L53" s="641">
        <v>0</v>
      </c>
      <c r="M53" s="641">
        <v>0</v>
      </c>
      <c r="N53" s="641">
        <v>0</v>
      </c>
      <c r="O53" s="641">
        <v>0</v>
      </c>
      <c r="P53" s="642">
        <v>0</v>
      </c>
      <c r="Q53" s="641">
        <v>0</v>
      </c>
      <c r="R53" s="641">
        <v>0</v>
      </c>
      <c r="S53" s="643">
        <v>7.6883693163333655E-2</v>
      </c>
      <c r="U53" s="639" t="s">
        <v>64</v>
      </c>
      <c r="V53" s="640">
        <v>9.7684723496666986E-2</v>
      </c>
      <c r="W53" s="641">
        <v>-5.9567697000000003E-2</v>
      </c>
      <c r="X53" s="641">
        <v>3.8766666666666671E-2</v>
      </c>
      <c r="Y53" s="640">
        <v>0</v>
      </c>
      <c r="Z53" s="641">
        <v>0</v>
      </c>
      <c r="AA53" s="641">
        <v>0</v>
      </c>
      <c r="AB53" s="641">
        <v>0</v>
      </c>
      <c r="AC53" s="641">
        <v>0</v>
      </c>
      <c r="AD53" s="641">
        <v>0</v>
      </c>
      <c r="AE53" s="641">
        <v>0</v>
      </c>
      <c r="AF53" s="641">
        <v>0</v>
      </c>
      <c r="AG53" s="641">
        <v>0</v>
      </c>
      <c r="AH53" s="642">
        <v>0</v>
      </c>
      <c r="AI53" s="641">
        <v>0</v>
      </c>
      <c r="AJ53" s="641">
        <v>0</v>
      </c>
      <c r="AK53" s="643">
        <v>7.6883693163333655E-2</v>
      </c>
    </row>
    <row r="54" spans="3:37" x14ac:dyDescent="0.2">
      <c r="C54" s="644" t="s">
        <v>65</v>
      </c>
      <c r="D54" s="645">
        <v>55.199586776789154</v>
      </c>
      <c r="E54" s="645">
        <v>509.81799839936781</v>
      </c>
      <c r="F54" s="645">
        <v>196.37925109374203</v>
      </c>
      <c r="G54" s="645">
        <v>374.99518242212775</v>
      </c>
      <c r="H54" s="645">
        <v>1100.0000000000002</v>
      </c>
      <c r="I54" s="645">
        <v>135.04231425541462</v>
      </c>
      <c r="J54" s="645">
        <v>191.45721599138798</v>
      </c>
      <c r="K54" s="645">
        <v>24.170186950164744</v>
      </c>
      <c r="L54" s="645">
        <v>1.1871147858512012</v>
      </c>
      <c r="M54" s="645">
        <v>0.14724141092299528</v>
      </c>
      <c r="N54" s="645">
        <v>36.514651680131124</v>
      </c>
      <c r="O54" s="645">
        <v>5.8993526953350273</v>
      </c>
      <c r="P54" s="645">
        <v>-24.298097404469559</v>
      </c>
      <c r="Q54" s="645">
        <v>0</v>
      </c>
      <c r="R54" s="645">
        <v>0</v>
      </c>
      <c r="S54" s="645">
        <v>2606.5119990567659</v>
      </c>
      <c r="U54" s="644" t="s">
        <v>65</v>
      </c>
      <c r="V54" s="645">
        <v>44.631581474484214</v>
      </c>
      <c r="W54" s="645">
        <v>469.0335541515085</v>
      </c>
      <c r="X54" s="645">
        <v>199.46564328121934</v>
      </c>
      <c r="Y54" s="645">
        <v>383.95694405289117</v>
      </c>
      <c r="Z54" s="645">
        <v>1119.7245179063361</v>
      </c>
      <c r="AA54" s="645">
        <v>139.7041324372328</v>
      </c>
      <c r="AB54" s="645">
        <v>164.79434739650611</v>
      </c>
      <c r="AC54" s="645">
        <v>30.468703460147175</v>
      </c>
      <c r="AD54" s="645">
        <v>0.73800538880373245</v>
      </c>
      <c r="AE54" s="645">
        <v>0.14724141092299528</v>
      </c>
      <c r="AF54" s="645">
        <v>40.964336574173757</v>
      </c>
      <c r="AG54" s="645">
        <v>7.1518943001451731</v>
      </c>
      <c r="AH54" s="645">
        <v>-55.679944149892151</v>
      </c>
      <c r="AI54" s="645">
        <v>0</v>
      </c>
      <c r="AJ54" s="645">
        <v>0</v>
      </c>
      <c r="AK54" s="645">
        <v>2545.100957684479</v>
      </c>
    </row>
    <row r="55" spans="3:37" x14ac:dyDescent="0.2">
      <c r="C55" s="634"/>
      <c r="D55" s="634">
        <v>0</v>
      </c>
      <c r="E55" s="634">
        <v>0</v>
      </c>
      <c r="F55" s="634">
        <v>0</v>
      </c>
      <c r="G55" s="634">
        <v>0</v>
      </c>
      <c r="H55" s="634">
        <v>0</v>
      </c>
      <c r="I55" s="634">
        <v>0</v>
      </c>
      <c r="J55" s="634">
        <v>0</v>
      </c>
      <c r="K55" s="634">
        <v>0</v>
      </c>
      <c r="L55" s="634">
        <v>0</v>
      </c>
      <c r="M55" s="634">
        <v>0</v>
      </c>
      <c r="N55" s="634">
        <v>0</v>
      </c>
      <c r="O55" s="634">
        <v>0</v>
      </c>
      <c r="P55" s="634">
        <v>0</v>
      </c>
      <c r="Q55" s="634">
        <v>0</v>
      </c>
      <c r="R55" s="634">
        <v>0</v>
      </c>
      <c r="S55" s="634">
        <v>0</v>
      </c>
      <c r="U55" s="634"/>
      <c r="V55" s="634">
        <v>0</v>
      </c>
      <c r="W55" s="634">
        <v>0</v>
      </c>
      <c r="X55" s="634">
        <v>0</v>
      </c>
      <c r="Y55" s="634">
        <v>0</v>
      </c>
      <c r="Z55" s="634">
        <v>0</v>
      </c>
      <c r="AA55" s="634">
        <v>0</v>
      </c>
      <c r="AB55" s="634">
        <v>0</v>
      </c>
      <c r="AC55" s="634">
        <v>0</v>
      </c>
      <c r="AD55" s="634">
        <v>0</v>
      </c>
      <c r="AE55" s="634">
        <v>0</v>
      </c>
      <c r="AF55" s="634">
        <v>0</v>
      </c>
      <c r="AG55" s="634">
        <v>0</v>
      </c>
      <c r="AH55" s="634">
        <v>0</v>
      </c>
      <c r="AI55" s="634">
        <v>0</v>
      </c>
      <c r="AJ55" s="634">
        <v>0</v>
      </c>
      <c r="AK55" s="634">
        <v>0</v>
      </c>
    </row>
    <row r="56" spans="3:37" x14ac:dyDescent="0.2">
      <c r="C56" s="646" t="s">
        <v>67</v>
      </c>
      <c r="D56" s="640">
        <v>0</v>
      </c>
      <c r="E56" s="647">
        <v>4.3623690669338813E-2</v>
      </c>
      <c r="F56" s="647">
        <v>-0.43976848620269193</v>
      </c>
      <c r="G56" s="640">
        <v>0</v>
      </c>
      <c r="H56" s="640">
        <v>0</v>
      </c>
      <c r="I56" s="640">
        <v>0</v>
      </c>
      <c r="J56" s="640">
        <v>0</v>
      </c>
      <c r="K56" s="640">
        <v>0</v>
      </c>
      <c r="L56" s="640">
        <v>0</v>
      </c>
      <c r="M56" s="640">
        <v>0</v>
      </c>
      <c r="N56" s="640">
        <v>0</v>
      </c>
      <c r="O56" s="640">
        <v>0</v>
      </c>
      <c r="P56" s="640">
        <v>0.19176325930063415</v>
      </c>
      <c r="Q56" s="640">
        <v>0</v>
      </c>
      <c r="R56" s="640">
        <v>0</v>
      </c>
      <c r="S56" s="648">
        <v>-0.20438153623271899</v>
      </c>
      <c r="U56" s="646" t="s">
        <v>67</v>
      </c>
      <c r="V56" s="640">
        <v>0</v>
      </c>
      <c r="W56" s="647">
        <v>4.3623690669338813E-2</v>
      </c>
      <c r="X56" s="647">
        <v>-0.43976848620269193</v>
      </c>
      <c r="Y56" s="640">
        <v>0</v>
      </c>
      <c r="Z56" s="640">
        <v>0</v>
      </c>
      <c r="AA56" s="640">
        <v>0</v>
      </c>
      <c r="AB56" s="640">
        <v>0</v>
      </c>
      <c r="AC56" s="640">
        <v>0</v>
      </c>
      <c r="AD56" s="640">
        <v>0</v>
      </c>
      <c r="AE56" s="640">
        <v>0</v>
      </c>
      <c r="AF56" s="640">
        <v>0</v>
      </c>
      <c r="AG56" s="640">
        <v>0</v>
      </c>
      <c r="AH56" s="640">
        <v>0.19176325930063415</v>
      </c>
      <c r="AI56" s="640">
        <v>0</v>
      </c>
      <c r="AJ56" s="640">
        <v>0</v>
      </c>
      <c r="AK56" s="648">
        <v>-0.20438153623271899</v>
      </c>
    </row>
    <row r="57" spans="3:37" x14ac:dyDescent="0.2">
      <c r="C57" s="646" t="s">
        <v>347</v>
      </c>
      <c r="D57" s="640">
        <v>4.5103805765333682</v>
      </c>
      <c r="E57" s="640">
        <v>0</v>
      </c>
      <c r="F57" s="640">
        <v>9.8157441879701768</v>
      </c>
      <c r="G57" s="640">
        <v>18.775665399239546</v>
      </c>
      <c r="H57" s="640">
        <v>1100.0000000000002</v>
      </c>
      <c r="I57" s="640">
        <v>135.04231425541462</v>
      </c>
      <c r="J57" s="649">
        <v>34.496026032636451</v>
      </c>
      <c r="K57" s="649">
        <v>9.8540491520373141</v>
      </c>
      <c r="L57" s="649">
        <v>1.6747440159238469</v>
      </c>
      <c r="M57" s="649">
        <v>0.35186004718702235</v>
      </c>
      <c r="N57" s="649">
        <v>0</v>
      </c>
      <c r="O57" s="649">
        <v>1.0949510903328832</v>
      </c>
      <c r="P57" s="640">
        <v>-528.16324498212941</v>
      </c>
      <c r="Q57" s="640">
        <v>0</v>
      </c>
      <c r="R57" s="640">
        <v>0</v>
      </c>
      <c r="S57" s="648">
        <v>787.45248977514632</v>
      </c>
      <c r="U57" s="646" t="s">
        <v>347</v>
      </c>
      <c r="V57" s="640">
        <v>5.5105945472454412</v>
      </c>
      <c r="W57" s="640">
        <v>0</v>
      </c>
      <c r="X57" s="640">
        <v>9.2785541053255489</v>
      </c>
      <c r="Y57" s="640">
        <v>63.913833390943651</v>
      </c>
      <c r="Z57" s="640">
        <v>1119.7245179063361</v>
      </c>
      <c r="AA57" s="640">
        <v>139.7041324372328</v>
      </c>
      <c r="AB57" s="649">
        <v>30.922255006102869</v>
      </c>
      <c r="AC57" s="649">
        <v>9.8129258074353114</v>
      </c>
      <c r="AD57" s="649">
        <v>1.6747440159238469</v>
      </c>
      <c r="AE57" s="649">
        <v>2.1200176690328574</v>
      </c>
      <c r="AF57" s="649">
        <v>0</v>
      </c>
      <c r="AG57" s="649">
        <v>1.0949510903328832</v>
      </c>
      <c r="AH57" s="640">
        <v>-563.75233589122035</v>
      </c>
      <c r="AI57" s="640">
        <v>0</v>
      </c>
      <c r="AJ57" s="640">
        <v>0</v>
      </c>
      <c r="AK57" s="648">
        <v>820.00419008469089</v>
      </c>
    </row>
    <row r="58" spans="3:37" x14ac:dyDescent="0.2">
      <c r="C58" s="646" t="s">
        <v>348</v>
      </c>
      <c r="D58" s="640">
        <v>0.6999963952131163</v>
      </c>
      <c r="E58" s="640">
        <v>0</v>
      </c>
      <c r="F58" s="640">
        <v>9.7194502166343774E-2</v>
      </c>
      <c r="G58" s="640">
        <v>17.132629973754788</v>
      </c>
      <c r="H58" s="640">
        <v>0</v>
      </c>
      <c r="I58" s="640">
        <v>0</v>
      </c>
      <c r="J58" s="649">
        <v>14.734948238156928</v>
      </c>
      <c r="K58" s="649">
        <v>12.603624013464524</v>
      </c>
      <c r="L58" s="649">
        <v>0</v>
      </c>
      <c r="M58" s="649">
        <v>0.22730502357401322</v>
      </c>
      <c r="N58" s="649">
        <v>0</v>
      </c>
      <c r="O58" s="649">
        <v>2.3801724763059897</v>
      </c>
      <c r="P58" s="640">
        <v>0</v>
      </c>
      <c r="Q58" s="640">
        <v>-42.214668535116644</v>
      </c>
      <c r="R58" s="640">
        <v>0</v>
      </c>
      <c r="S58" s="648">
        <v>5.6612020875190572</v>
      </c>
      <c r="U58" s="646" t="s">
        <v>348</v>
      </c>
      <c r="V58" s="640">
        <v>0.57556847895375396</v>
      </c>
      <c r="W58" s="640">
        <v>0</v>
      </c>
      <c r="X58" s="640">
        <v>9.6807273074047573E-2</v>
      </c>
      <c r="Y58" s="640">
        <v>19.098436526179597</v>
      </c>
      <c r="Z58" s="640">
        <v>0</v>
      </c>
      <c r="AA58" s="640">
        <v>0</v>
      </c>
      <c r="AB58" s="649">
        <v>18.536093620572945</v>
      </c>
      <c r="AC58" s="649">
        <v>15.896426642523334</v>
      </c>
      <c r="AD58" s="649">
        <v>0</v>
      </c>
      <c r="AE58" s="649">
        <v>0.61098888777569416</v>
      </c>
      <c r="AF58" s="649">
        <v>0</v>
      </c>
      <c r="AG58" s="649">
        <v>3.2143759234787459</v>
      </c>
      <c r="AH58" s="640">
        <v>0</v>
      </c>
      <c r="AI58" s="640">
        <v>-51.338123400700034</v>
      </c>
      <c r="AJ58" s="640">
        <v>0</v>
      </c>
      <c r="AK58" s="648">
        <v>6.6905739518580836</v>
      </c>
    </row>
    <row r="59" spans="3:37" x14ac:dyDescent="0.2">
      <c r="C59" s="646" t="s">
        <v>349</v>
      </c>
      <c r="D59" s="640">
        <v>0</v>
      </c>
      <c r="E59" s="640">
        <v>0</v>
      </c>
      <c r="F59" s="640">
        <v>0</v>
      </c>
      <c r="G59" s="640">
        <v>0</v>
      </c>
      <c r="H59" s="640">
        <v>0</v>
      </c>
      <c r="I59" s="640">
        <v>0</v>
      </c>
      <c r="J59" s="650">
        <v>5.238502832319341</v>
      </c>
      <c r="K59" s="650">
        <v>0</v>
      </c>
      <c r="L59" s="650">
        <v>0</v>
      </c>
      <c r="M59" s="650">
        <v>-4.5574974641178265</v>
      </c>
      <c r="N59" s="650">
        <v>0</v>
      </c>
      <c r="O59" s="650">
        <v>0</v>
      </c>
      <c r="P59" s="640">
        <v>0</v>
      </c>
      <c r="Q59" s="640">
        <v>0</v>
      </c>
      <c r="R59" s="640">
        <v>0</v>
      </c>
      <c r="S59" s="648">
        <v>0.68100536820151447</v>
      </c>
      <c r="U59" s="646" t="s">
        <v>349</v>
      </c>
      <c r="V59" s="640">
        <v>0</v>
      </c>
      <c r="W59" s="640">
        <v>0</v>
      </c>
      <c r="X59" s="640">
        <v>0</v>
      </c>
      <c r="Y59" s="640">
        <v>0</v>
      </c>
      <c r="Z59" s="640">
        <v>0</v>
      </c>
      <c r="AA59" s="640">
        <v>0</v>
      </c>
      <c r="AB59" s="650">
        <v>13.772235368900052</v>
      </c>
      <c r="AC59" s="650">
        <v>0</v>
      </c>
      <c r="AD59" s="650">
        <v>0</v>
      </c>
      <c r="AE59" s="650">
        <v>-11.981844770943045</v>
      </c>
      <c r="AF59" s="650">
        <v>0</v>
      </c>
      <c r="AG59" s="650">
        <v>0</v>
      </c>
      <c r="AH59" s="640">
        <v>0</v>
      </c>
      <c r="AI59" s="640">
        <v>0</v>
      </c>
      <c r="AJ59" s="640">
        <v>0</v>
      </c>
      <c r="AK59" s="648">
        <v>1.7903905979570069</v>
      </c>
    </row>
    <row r="60" spans="3:37" x14ac:dyDescent="0.2">
      <c r="C60" s="646" t="s">
        <v>350</v>
      </c>
      <c r="D60" s="640">
        <v>0</v>
      </c>
      <c r="E60" s="640">
        <v>0</v>
      </c>
      <c r="F60" s="640">
        <v>0</v>
      </c>
      <c r="G60" s="640">
        <v>0</v>
      </c>
      <c r="H60" s="640">
        <v>0</v>
      </c>
      <c r="I60" s="640">
        <v>0</v>
      </c>
      <c r="J60" s="640">
        <v>0</v>
      </c>
      <c r="K60" s="640">
        <v>0</v>
      </c>
      <c r="L60" s="640">
        <v>0</v>
      </c>
      <c r="M60" s="640">
        <v>0</v>
      </c>
      <c r="N60" s="640">
        <v>0</v>
      </c>
      <c r="O60" s="640">
        <v>0</v>
      </c>
      <c r="P60" s="640">
        <v>0</v>
      </c>
      <c r="Q60" s="640">
        <v>0</v>
      </c>
      <c r="R60" s="640">
        <v>0</v>
      </c>
      <c r="S60" s="648">
        <v>0</v>
      </c>
      <c r="U60" s="646" t="s">
        <v>350</v>
      </c>
      <c r="V60" s="640">
        <v>0</v>
      </c>
      <c r="W60" s="640">
        <v>0</v>
      </c>
      <c r="X60" s="640">
        <v>0</v>
      </c>
      <c r="Y60" s="640">
        <v>0</v>
      </c>
      <c r="Z60" s="640">
        <v>0</v>
      </c>
      <c r="AA60" s="640">
        <v>0</v>
      </c>
      <c r="AB60" s="640">
        <v>0</v>
      </c>
      <c r="AC60" s="640">
        <v>0</v>
      </c>
      <c r="AD60" s="640">
        <v>0</v>
      </c>
      <c r="AE60" s="640">
        <v>0</v>
      </c>
      <c r="AF60" s="640">
        <v>0</v>
      </c>
      <c r="AG60" s="640">
        <v>0</v>
      </c>
      <c r="AH60" s="640">
        <v>0</v>
      </c>
      <c r="AI60" s="640">
        <v>0</v>
      </c>
      <c r="AJ60" s="640">
        <v>0</v>
      </c>
      <c r="AK60" s="648">
        <v>0</v>
      </c>
    </row>
    <row r="61" spans="3:37" x14ac:dyDescent="0.2">
      <c r="C61" s="646" t="s">
        <v>72</v>
      </c>
      <c r="D61" s="640">
        <v>0</v>
      </c>
      <c r="E61" s="640">
        <v>528.18160482950532</v>
      </c>
      <c r="F61" s="640">
        <v>-522.91035312734175</v>
      </c>
      <c r="G61" s="640">
        <v>0</v>
      </c>
      <c r="H61" s="640">
        <v>0</v>
      </c>
      <c r="I61" s="640">
        <v>0</v>
      </c>
      <c r="J61" s="640">
        <v>0</v>
      </c>
      <c r="K61" s="640">
        <v>0</v>
      </c>
      <c r="L61" s="640">
        <v>0</v>
      </c>
      <c r="M61" s="640">
        <v>0</v>
      </c>
      <c r="N61" s="640">
        <v>0</v>
      </c>
      <c r="O61" s="640">
        <v>0</v>
      </c>
      <c r="P61" s="640">
        <v>0</v>
      </c>
      <c r="Q61" s="640">
        <v>0</v>
      </c>
      <c r="R61" s="640">
        <v>0</v>
      </c>
      <c r="S61" s="648">
        <v>5.2712517021635534</v>
      </c>
      <c r="U61" s="646" t="s">
        <v>72</v>
      </c>
      <c r="V61" s="640">
        <v>0</v>
      </c>
      <c r="W61" s="640">
        <v>485.93325526938804</v>
      </c>
      <c r="X61" s="640">
        <v>-481.0844870628257</v>
      </c>
      <c r="Y61" s="640">
        <v>0</v>
      </c>
      <c r="Z61" s="640">
        <v>0</v>
      </c>
      <c r="AA61" s="640">
        <v>0</v>
      </c>
      <c r="AB61" s="640">
        <v>0</v>
      </c>
      <c r="AC61" s="640">
        <v>0</v>
      </c>
      <c r="AD61" s="640">
        <v>0</v>
      </c>
      <c r="AE61" s="640">
        <v>0</v>
      </c>
      <c r="AF61" s="640">
        <v>0</v>
      </c>
      <c r="AG61" s="640">
        <v>0</v>
      </c>
      <c r="AH61" s="640">
        <v>0</v>
      </c>
      <c r="AI61" s="640">
        <v>0</v>
      </c>
      <c r="AJ61" s="640">
        <v>0</v>
      </c>
      <c r="AK61" s="648">
        <v>4.8487682065623261</v>
      </c>
    </row>
    <row r="62" spans="3:37" x14ac:dyDescent="0.2">
      <c r="C62" s="646" t="s">
        <v>351</v>
      </c>
      <c r="D62" s="640">
        <v>0</v>
      </c>
      <c r="E62" s="640">
        <v>0</v>
      </c>
      <c r="F62" s="640">
        <v>0</v>
      </c>
      <c r="G62" s="640">
        <v>0</v>
      </c>
      <c r="H62" s="640">
        <v>0</v>
      </c>
      <c r="I62" s="640">
        <v>0</v>
      </c>
      <c r="J62" s="640">
        <v>41.023636384681005</v>
      </c>
      <c r="K62" s="640">
        <v>0</v>
      </c>
      <c r="L62" s="640">
        <v>-41.023636384681005</v>
      </c>
      <c r="M62" s="640">
        <v>0</v>
      </c>
      <c r="N62" s="640">
        <v>0</v>
      </c>
      <c r="O62" s="640">
        <v>0</v>
      </c>
      <c r="P62" s="640">
        <v>0</v>
      </c>
      <c r="Q62" s="640">
        <v>0</v>
      </c>
      <c r="R62" s="640">
        <v>0</v>
      </c>
      <c r="S62" s="648">
        <v>0</v>
      </c>
      <c r="U62" s="646" t="s">
        <v>351</v>
      </c>
      <c r="V62" s="640">
        <v>0</v>
      </c>
      <c r="W62" s="640">
        <v>0</v>
      </c>
      <c r="X62" s="640">
        <v>0</v>
      </c>
      <c r="Y62" s="640">
        <v>0</v>
      </c>
      <c r="Z62" s="640">
        <v>0</v>
      </c>
      <c r="AA62" s="640">
        <v>0</v>
      </c>
      <c r="AB62" s="640" t="e">
        <v>#VALUE!</v>
      </c>
      <c r="AC62" s="640">
        <v>0</v>
      </c>
      <c r="AD62" s="640">
        <v>-41.390538118321977</v>
      </c>
      <c r="AE62" s="640">
        <v>0</v>
      </c>
      <c r="AF62" s="640">
        <v>0</v>
      </c>
      <c r="AG62" s="640">
        <v>0</v>
      </c>
      <c r="AH62" s="640">
        <v>0</v>
      </c>
      <c r="AI62" s="640">
        <v>0</v>
      </c>
      <c r="AJ62" s="640">
        <v>0</v>
      </c>
      <c r="AK62" s="648">
        <v>-41.390538118321977</v>
      </c>
    </row>
    <row r="63" spans="3:37" x14ac:dyDescent="0.2">
      <c r="C63" s="646" t="s">
        <v>352</v>
      </c>
      <c r="D63" s="640">
        <v>0</v>
      </c>
      <c r="E63" s="640">
        <v>0</v>
      </c>
      <c r="F63" s="640">
        <v>0</v>
      </c>
      <c r="G63" s="640">
        <v>0</v>
      </c>
      <c r="H63" s="640">
        <v>0</v>
      </c>
      <c r="I63" s="640">
        <v>0</v>
      </c>
      <c r="J63" s="640">
        <v>0</v>
      </c>
      <c r="K63" s="640">
        <v>0</v>
      </c>
      <c r="L63" s="640">
        <v>0</v>
      </c>
      <c r="M63" s="640">
        <v>0</v>
      </c>
      <c r="N63" s="640">
        <v>0</v>
      </c>
      <c r="O63" s="640">
        <v>0</v>
      </c>
      <c r="P63" s="640">
        <v>0</v>
      </c>
      <c r="Q63" s="640">
        <v>0</v>
      </c>
      <c r="R63" s="640">
        <v>0</v>
      </c>
      <c r="S63" s="648">
        <v>0</v>
      </c>
      <c r="U63" s="646" t="s">
        <v>352</v>
      </c>
      <c r="V63" s="640">
        <v>0</v>
      </c>
      <c r="W63" s="640">
        <v>0</v>
      </c>
      <c r="X63" s="640">
        <v>0</v>
      </c>
      <c r="Y63" s="640">
        <v>0</v>
      </c>
      <c r="Z63" s="640">
        <v>0</v>
      </c>
      <c r="AA63" s="640">
        <v>0</v>
      </c>
      <c r="AB63" s="640">
        <v>0</v>
      </c>
      <c r="AC63" s="640">
        <v>0</v>
      </c>
      <c r="AD63" s="640">
        <v>0</v>
      </c>
      <c r="AE63" s="640">
        <v>0</v>
      </c>
      <c r="AF63" s="640">
        <v>0</v>
      </c>
      <c r="AG63" s="640">
        <v>0</v>
      </c>
      <c r="AH63" s="640">
        <v>0</v>
      </c>
      <c r="AI63" s="640">
        <v>0</v>
      </c>
      <c r="AJ63" s="640">
        <v>0</v>
      </c>
      <c r="AK63" s="648">
        <v>0</v>
      </c>
    </row>
    <row r="64" spans="3:37" x14ac:dyDescent="0.2">
      <c r="C64" s="646" t="s">
        <v>73</v>
      </c>
      <c r="D64" s="640">
        <v>0</v>
      </c>
      <c r="E64" s="640">
        <v>0</v>
      </c>
      <c r="F64" s="640">
        <v>0</v>
      </c>
      <c r="G64" s="640">
        <v>0.3688106228045655</v>
      </c>
      <c r="H64" s="640">
        <v>0</v>
      </c>
      <c r="I64" s="640">
        <v>0</v>
      </c>
      <c r="J64" s="640">
        <v>0</v>
      </c>
      <c r="K64" s="640">
        <v>4.0111846923828126E-3</v>
      </c>
      <c r="L64" s="640">
        <v>0</v>
      </c>
      <c r="M64" s="640">
        <v>4.6306720562744137E-3</v>
      </c>
      <c r="N64" s="640">
        <v>0</v>
      </c>
      <c r="O64" s="640">
        <v>0</v>
      </c>
      <c r="P64" s="640">
        <v>2.54864504300631E-2</v>
      </c>
      <c r="Q64" s="640">
        <v>0</v>
      </c>
      <c r="R64" s="640">
        <v>-0.28078292846679692</v>
      </c>
      <c r="S64" s="648">
        <v>0.12215600151648892</v>
      </c>
      <c r="U64" s="646" t="s">
        <v>73</v>
      </c>
      <c r="V64" s="640">
        <v>0</v>
      </c>
      <c r="W64" s="640">
        <v>0</v>
      </c>
      <c r="X64" s="640">
        <v>0</v>
      </c>
      <c r="Y64" s="640">
        <v>1.2251451363860373</v>
      </c>
      <c r="Z64" s="640">
        <v>0</v>
      </c>
      <c r="AA64" s="640">
        <v>0</v>
      </c>
      <c r="AB64" s="640">
        <v>0</v>
      </c>
      <c r="AC64" s="640">
        <v>1.6303964872591784E-2</v>
      </c>
      <c r="AD64" s="640">
        <v>0</v>
      </c>
      <c r="AE64" s="640">
        <v>3.8412141239826253E-2</v>
      </c>
      <c r="AF64" s="640">
        <v>0</v>
      </c>
      <c r="AG64" s="640">
        <v>0</v>
      </c>
      <c r="AH64" s="640">
        <v>0.37749949435770208</v>
      </c>
      <c r="AI64" s="640">
        <v>0</v>
      </c>
      <c r="AJ64" s="640">
        <v>-1.1412775410814249</v>
      </c>
      <c r="AK64" s="648">
        <v>0.51608319577473249</v>
      </c>
    </row>
    <row r="65" spans="3:37" x14ac:dyDescent="0.2">
      <c r="C65" s="646" t="s">
        <v>353</v>
      </c>
      <c r="D65" s="640">
        <v>30.422460937499999</v>
      </c>
      <c r="E65" s="640">
        <v>-18.4071872151276</v>
      </c>
      <c r="F65" s="640">
        <v>24.023113751560182</v>
      </c>
      <c r="G65" s="640">
        <v>0</v>
      </c>
      <c r="H65" s="640">
        <v>0</v>
      </c>
      <c r="I65" s="640">
        <v>0</v>
      </c>
      <c r="J65" s="640">
        <v>0</v>
      </c>
      <c r="K65" s="640">
        <v>0</v>
      </c>
      <c r="L65" s="640">
        <v>0</v>
      </c>
      <c r="M65" s="640">
        <v>0</v>
      </c>
      <c r="N65" s="640">
        <v>0</v>
      </c>
      <c r="O65" s="640">
        <v>0</v>
      </c>
      <c r="P65" s="640">
        <v>0</v>
      </c>
      <c r="Q65" s="640">
        <v>0</v>
      </c>
      <c r="R65" s="640">
        <v>0</v>
      </c>
      <c r="S65" s="648">
        <v>36.03838747393258</v>
      </c>
      <c r="U65" s="646" t="s">
        <v>353</v>
      </c>
      <c r="V65" s="640">
        <v>19.459654296874998</v>
      </c>
      <c r="W65" s="640">
        <v>-16.94328190286954</v>
      </c>
      <c r="X65" s="640">
        <v>22.108412068991214</v>
      </c>
      <c r="Y65" s="640">
        <v>0</v>
      </c>
      <c r="Z65" s="640">
        <v>0</v>
      </c>
      <c r="AA65" s="640">
        <v>0</v>
      </c>
      <c r="AB65" s="640">
        <v>0</v>
      </c>
      <c r="AC65" s="640">
        <v>0</v>
      </c>
      <c r="AD65" s="640">
        <v>0</v>
      </c>
      <c r="AE65" s="640">
        <v>0</v>
      </c>
      <c r="AF65" s="640">
        <v>0</v>
      </c>
      <c r="AG65" s="640">
        <v>0</v>
      </c>
      <c r="AH65" s="640">
        <v>0</v>
      </c>
      <c r="AI65" s="640">
        <v>0</v>
      </c>
      <c r="AJ65" s="640">
        <v>0</v>
      </c>
      <c r="AK65" s="648">
        <v>24.624784462996672</v>
      </c>
    </row>
    <row r="66" spans="3:37" x14ac:dyDescent="0.2">
      <c r="C66" s="646" t="s">
        <v>75</v>
      </c>
      <c r="D66" s="640">
        <v>11.830957031250001</v>
      </c>
      <c r="E66" s="640">
        <v>0</v>
      </c>
      <c r="F66" s="640">
        <v>18.055588008572965</v>
      </c>
      <c r="G66" s="640">
        <v>5.1459674063225336</v>
      </c>
      <c r="H66" s="640">
        <v>0</v>
      </c>
      <c r="I66" s="640">
        <v>0</v>
      </c>
      <c r="J66" s="640">
        <v>0</v>
      </c>
      <c r="K66" s="640">
        <v>0</v>
      </c>
      <c r="L66" s="640">
        <v>0</v>
      </c>
      <c r="M66" s="640">
        <v>6.4611174400971444E-2</v>
      </c>
      <c r="N66" s="640">
        <v>0</v>
      </c>
      <c r="O66" s="640">
        <v>0</v>
      </c>
      <c r="P66" s="640">
        <v>34.108085964069424</v>
      </c>
      <c r="Q66" s="640">
        <v>0</v>
      </c>
      <c r="R66" s="640">
        <v>0</v>
      </c>
      <c r="S66" s="648">
        <v>69.205209584615886</v>
      </c>
      <c r="U66" s="646" t="s">
        <v>75</v>
      </c>
      <c r="V66" s="640">
        <v>13.970490234374999</v>
      </c>
      <c r="W66" s="640">
        <v>0</v>
      </c>
      <c r="X66" s="640">
        <v>18.055588008572965</v>
      </c>
      <c r="Y66" s="640">
        <v>5.0521769918695103</v>
      </c>
      <c r="Z66" s="640">
        <v>0</v>
      </c>
      <c r="AA66" s="640">
        <v>0</v>
      </c>
      <c r="AB66" s="640">
        <v>0</v>
      </c>
      <c r="AC66" s="640">
        <v>0</v>
      </c>
      <c r="AD66" s="640">
        <v>0</v>
      </c>
      <c r="AE66" s="640">
        <v>0.15840158885399455</v>
      </c>
      <c r="AF66" s="640">
        <v>0</v>
      </c>
      <c r="AG66" s="640">
        <v>0</v>
      </c>
      <c r="AH66" s="640">
        <v>34.71147439382149</v>
      </c>
      <c r="AI66" s="640">
        <v>0</v>
      </c>
      <c r="AJ66" s="640">
        <v>0</v>
      </c>
      <c r="AK66" s="648">
        <v>71.948131217492957</v>
      </c>
    </row>
    <row r="67" spans="3:37" x14ac:dyDescent="0.2">
      <c r="C67" s="646" t="s">
        <v>76</v>
      </c>
      <c r="D67" s="640">
        <v>0</v>
      </c>
      <c r="E67" s="640">
        <v>0</v>
      </c>
      <c r="F67" s="640">
        <v>0</v>
      </c>
      <c r="G67" s="640">
        <v>4.3041417463624567</v>
      </c>
      <c r="H67" s="640">
        <v>0</v>
      </c>
      <c r="I67" s="640">
        <v>0</v>
      </c>
      <c r="J67" s="640">
        <v>0</v>
      </c>
      <c r="K67" s="640">
        <v>0</v>
      </c>
      <c r="L67" s="640">
        <v>0</v>
      </c>
      <c r="M67" s="640">
        <v>5.4041471906535486E-2</v>
      </c>
      <c r="N67" s="640">
        <v>0</v>
      </c>
      <c r="O67" s="640">
        <v>0</v>
      </c>
      <c r="P67" s="640">
        <v>38.59518094579407</v>
      </c>
      <c r="Q67" s="640">
        <v>3.2740395369373112</v>
      </c>
      <c r="R67" s="640">
        <v>0</v>
      </c>
      <c r="S67" s="648">
        <v>46.227403701000377</v>
      </c>
      <c r="U67" s="646" t="s">
        <v>76</v>
      </c>
      <c r="V67" s="640">
        <v>0</v>
      </c>
      <c r="W67" s="640">
        <v>0</v>
      </c>
      <c r="X67" s="640">
        <v>0</v>
      </c>
      <c r="Y67" s="640">
        <v>4.5315152472590912</v>
      </c>
      <c r="Z67" s="640">
        <v>0</v>
      </c>
      <c r="AA67" s="640">
        <v>0</v>
      </c>
      <c r="AB67" s="640">
        <v>0</v>
      </c>
      <c r="AC67" s="640">
        <v>0</v>
      </c>
      <c r="AD67" s="640">
        <v>0</v>
      </c>
      <c r="AE67" s="640">
        <v>0.14207721072264479</v>
      </c>
      <c r="AF67" s="640">
        <v>0</v>
      </c>
      <c r="AG67" s="640">
        <v>0</v>
      </c>
      <c r="AH67" s="640">
        <v>38.917619787515648</v>
      </c>
      <c r="AI67" s="640">
        <v>3.9810231243072418</v>
      </c>
      <c r="AJ67" s="640">
        <v>0</v>
      </c>
      <c r="AK67" s="648">
        <v>47.572235369804623</v>
      </c>
    </row>
    <row r="68" spans="3:37" x14ac:dyDescent="0.2">
      <c r="C68" s="644" t="s">
        <v>77</v>
      </c>
      <c r="D68" s="645">
        <v>47.463794940496484</v>
      </c>
      <c r="E68" s="645">
        <v>509.81804130504707</v>
      </c>
      <c r="F68" s="645">
        <v>-471.3584811632748</v>
      </c>
      <c r="G68" s="645">
        <v>45.727215148483886</v>
      </c>
      <c r="H68" s="645">
        <v>1100.0000000000002</v>
      </c>
      <c r="I68" s="645">
        <v>135.04231425541462</v>
      </c>
      <c r="J68" s="645">
        <v>95.493113487793721</v>
      </c>
      <c r="K68" s="645">
        <v>22.461684350194222</v>
      </c>
      <c r="L68" s="645">
        <v>-39.348892368757156</v>
      </c>
      <c r="M68" s="645">
        <v>-3.8550490749930102</v>
      </c>
      <c r="N68" s="645">
        <v>0</v>
      </c>
      <c r="O68" s="645">
        <v>3.4751235666388727</v>
      </c>
      <c r="P68" s="645">
        <v>-455.24272836253516</v>
      </c>
      <c r="Q68" s="645">
        <v>-38.940628998179335</v>
      </c>
      <c r="R68" s="645">
        <v>-0.28078292846679692</v>
      </c>
      <c r="S68" s="645">
        <v>950.45472415786298</v>
      </c>
      <c r="U68" s="644" t="s">
        <v>77</v>
      </c>
      <c r="V68" s="645">
        <v>39.516307557449196</v>
      </c>
      <c r="W68" s="645">
        <v>469.03359705718782</v>
      </c>
      <c r="X68" s="645">
        <v>-431.98489409306461</v>
      </c>
      <c r="Y68" s="645">
        <v>93.82110729263789</v>
      </c>
      <c r="Z68" s="645">
        <v>1119.7245179063361</v>
      </c>
      <c r="AA68" s="645">
        <v>139.7041324372328</v>
      </c>
      <c r="AB68" s="645">
        <v>63.23058399557587</v>
      </c>
      <c r="AC68" s="645">
        <v>25.725656414831235</v>
      </c>
      <c r="AD68" s="645">
        <v>-39.715794102398128</v>
      </c>
      <c r="AE68" s="645">
        <v>-8.9119472733180274</v>
      </c>
      <c r="AF68" s="645">
        <v>0</v>
      </c>
      <c r="AG68" s="645">
        <v>4.3093270138116289</v>
      </c>
      <c r="AH68" s="645">
        <v>-489.55397895622485</v>
      </c>
      <c r="AI68" s="645">
        <v>-47.357100276392799</v>
      </c>
      <c r="AJ68" s="645">
        <v>-1.1412775410814249</v>
      </c>
      <c r="AK68" s="645">
        <v>936.40023743258246</v>
      </c>
    </row>
    <row r="69" spans="3:37" x14ac:dyDescent="0.2">
      <c r="C69" s="634"/>
      <c r="D69" s="634">
        <v>0</v>
      </c>
      <c r="E69" s="634">
        <v>0</v>
      </c>
      <c r="F69" s="634">
        <v>0</v>
      </c>
      <c r="G69" s="634">
        <v>0</v>
      </c>
      <c r="H69" s="634">
        <v>0</v>
      </c>
      <c r="I69" s="634">
        <v>0</v>
      </c>
      <c r="J69" s="634">
        <v>0</v>
      </c>
      <c r="K69" s="634">
        <v>0</v>
      </c>
      <c r="L69" s="634">
        <v>0</v>
      </c>
      <c r="M69" s="634">
        <v>0</v>
      </c>
      <c r="N69" s="634">
        <v>0</v>
      </c>
      <c r="O69" s="634">
        <v>0</v>
      </c>
      <c r="P69" s="634">
        <v>0</v>
      </c>
      <c r="Q69" s="634">
        <v>0</v>
      </c>
      <c r="R69" s="634">
        <v>0</v>
      </c>
      <c r="S69" s="634">
        <v>0</v>
      </c>
      <c r="U69" s="634"/>
      <c r="V69" s="634">
        <v>0</v>
      </c>
      <c r="W69" s="634">
        <v>0</v>
      </c>
      <c r="X69" s="634">
        <v>0</v>
      </c>
      <c r="Y69" s="634">
        <v>0</v>
      </c>
      <c r="Z69" s="634">
        <v>0</v>
      </c>
      <c r="AA69" s="634">
        <v>0</v>
      </c>
      <c r="AB69" s="634">
        <v>0</v>
      </c>
      <c r="AC69" s="634">
        <v>0</v>
      </c>
      <c r="AD69" s="634">
        <v>0</v>
      </c>
      <c r="AE69" s="634">
        <v>0</v>
      </c>
      <c r="AF69" s="634">
        <v>0</v>
      </c>
      <c r="AG69" s="634">
        <v>0</v>
      </c>
      <c r="AH69" s="634">
        <v>0</v>
      </c>
      <c r="AI69" s="634">
        <v>0</v>
      </c>
      <c r="AJ69" s="634">
        <v>0</v>
      </c>
      <c r="AK69" s="634">
        <v>0</v>
      </c>
    </row>
    <row r="70" spans="3:37" x14ac:dyDescent="0.2">
      <c r="C70" s="646" t="s">
        <v>78</v>
      </c>
      <c r="D70" s="640">
        <v>7.7357918362926714</v>
      </c>
      <c r="E70" s="640">
        <v>0</v>
      </c>
      <c r="F70" s="640">
        <v>28.289566768434444</v>
      </c>
      <c r="G70" s="640">
        <v>114.22190114423505</v>
      </c>
      <c r="H70" s="640">
        <v>0</v>
      </c>
      <c r="I70" s="640">
        <v>0</v>
      </c>
      <c r="J70" s="640">
        <v>17.070500200938145</v>
      </c>
      <c r="K70" s="640">
        <v>1.6812193044902295</v>
      </c>
      <c r="L70" s="640">
        <v>0.86581751367187498</v>
      </c>
      <c r="M70" s="640">
        <v>1.4530646317918139</v>
      </c>
      <c r="N70" s="640">
        <v>0</v>
      </c>
      <c r="O70" s="640">
        <v>3.8591468753626534E-4</v>
      </c>
      <c r="P70" s="640">
        <v>111.09265177846828</v>
      </c>
      <c r="Q70" s="640">
        <v>17.201720519477085</v>
      </c>
      <c r="R70" s="640">
        <v>0.28078292846679687</v>
      </c>
      <c r="S70" s="648">
        <v>299.89340254095396</v>
      </c>
      <c r="U70" s="646" t="s">
        <v>78</v>
      </c>
      <c r="V70" s="640">
        <v>5.1152739170350241</v>
      </c>
      <c r="W70" s="640">
        <v>0</v>
      </c>
      <c r="X70" s="640">
        <v>25.534648950011739</v>
      </c>
      <c r="Y70" s="640">
        <v>99.93968438859396</v>
      </c>
      <c r="Z70" s="640">
        <v>0</v>
      </c>
      <c r="AA70" s="640">
        <v>0</v>
      </c>
      <c r="AB70" s="640">
        <v>17.52580931876382</v>
      </c>
      <c r="AC70" s="640">
        <v>4.7157637498356459</v>
      </c>
      <c r="AD70" s="640">
        <v>0.87185221093750009</v>
      </c>
      <c r="AE70" s="640">
        <v>3.1523522333366012</v>
      </c>
      <c r="AF70" s="640">
        <v>0</v>
      </c>
      <c r="AG70" s="640">
        <v>3.8591468753626534E-4</v>
      </c>
      <c r="AH70" s="640">
        <v>120.66054558326853</v>
      </c>
      <c r="AI70" s="640">
        <v>18.606282657435788</v>
      </c>
      <c r="AJ70" s="640">
        <v>0.25516677856445313</v>
      </c>
      <c r="AK70" s="648">
        <v>296.37776570247064</v>
      </c>
    </row>
    <row r="71" spans="3:37" x14ac:dyDescent="0.2">
      <c r="C71" s="646" t="s">
        <v>79</v>
      </c>
      <c r="D71" s="640">
        <v>0</v>
      </c>
      <c r="E71" s="640">
        <v>0</v>
      </c>
      <c r="F71" s="640">
        <v>401.66314273909671</v>
      </c>
      <c r="G71" s="640">
        <v>4.8257671396463779</v>
      </c>
      <c r="H71" s="640">
        <v>0</v>
      </c>
      <c r="I71" s="640">
        <v>0</v>
      </c>
      <c r="J71" s="640">
        <v>0</v>
      </c>
      <c r="K71" s="640">
        <v>0</v>
      </c>
      <c r="L71" s="640">
        <v>37.460895129674924</v>
      </c>
      <c r="M71" s="640">
        <v>8.2247250592570986E-2</v>
      </c>
      <c r="N71" s="640">
        <v>0</v>
      </c>
      <c r="O71" s="640">
        <v>0</v>
      </c>
      <c r="P71" s="640">
        <v>14.197032789637335</v>
      </c>
      <c r="Q71" s="640">
        <v>0</v>
      </c>
      <c r="R71" s="640">
        <v>0</v>
      </c>
      <c r="S71" s="648">
        <v>458.2290850486479</v>
      </c>
      <c r="U71" s="646" t="s">
        <v>79</v>
      </c>
      <c r="V71" s="640">
        <v>0</v>
      </c>
      <c r="W71" s="640">
        <v>0</v>
      </c>
      <c r="X71" s="640">
        <v>381.87925300829363</v>
      </c>
      <c r="Y71" s="640">
        <v>4.8754277636803574</v>
      </c>
      <c r="Z71" s="640">
        <v>0</v>
      </c>
      <c r="AA71" s="640">
        <v>0</v>
      </c>
      <c r="AB71" s="640">
        <v>0</v>
      </c>
      <c r="AC71" s="640">
        <v>0</v>
      </c>
      <c r="AD71" s="640">
        <v>37.352195820661073</v>
      </c>
      <c r="AE71" s="640">
        <v>0.21416436386199153</v>
      </c>
      <c r="AF71" s="640">
        <v>0</v>
      </c>
      <c r="AG71" s="640">
        <v>0</v>
      </c>
      <c r="AH71" s="640">
        <v>13.917722567256266</v>
      </c>
      <c r="AI71" s="640">
        <v>0</v>
      </c>
      <c r="AJ71" s="640">
        <v>1.4045889662865447E-5</v>
      </c>
      <c r="AK71" s="648">
        <v>438.23877756964299</v>
      </c>
    </row>
    <row r="72" spans="3:37" x14ac:dyDescent="0.2">
      <c r="C72" s="646" t="s">
        <v>80</v>
      </c>
      <c r="D72" s="640">
        <v>0</v>
      </c>
      <c r="E72" s="640">
        <v>0</v>
      </c>
      <c r="F72" s="640">
        <v>44.949327937265863</v>
      </c>
      <c r="G72" s="640">
        <v>126.45597876373861</v>
      </c>
      <c r="H72" s="640">
        <v>0</v>
      </c>
      <c r="I72" s="640">
        <v>0</v>
      </c>
      <c r="J72" s="640">
        <v>74.162865758963164</v>
      </c>
      <c r="K72" s="640">
        <v>0</v>
      </c>
      <c r="L72" s="640">
        <v>0</v>
      </c>
      <c r="M72" s="640">
        <v>1.5877421391963937</v>
      </c>
      <c r="N72" s="640">
        <v>30.690291714133512</v>
      </c>
      <c r="O72" s="640">
        <v>1.3360751473174615</v>
      </c>
      <c r="P72" s="640">
        <v>167.04585454887541</v>
      </c>
      <c r="Q72" s="640">
        <v>15.952552032300854</v>
      </c>
      <c r="R72" s="640">
        <v>0</v>
      </c>
      <c r="S72" s="648">
        <v>462.18068804179131</v>
      </c>
      <c r="U72" s="646" t="s">
        <v>80</v>
      </c>
      <c r="V72" s="640">
        <v>0</v>
      </c>
      <c r="W72" s="640">
        <v>0</v>
      </c>
      <c r="X72" s="640">
        <v>41.162395061542448</v>
      </c>
      <c r="Y72" s="640">
        <v>118.23647816170383</v>
      </c>
      <c r="Z72" s="640">
        <v>0</v>
      </c>
      <c r="AA72" s="640">
        <v>0</v>
      </c>
      <c r="AB72" s="640">
        <v>77.948130735821934</v>
      </c>
      <c r="AC72" s="640">
        <v>0</v>
      </c>
      <c r="AD72" s="640">
        <v>0</v>
      </c>
      <c r="AE72" s="640">
        <v>3.7070842987992951</v>
      </c>
      <c r="AF72" s="640">
        <v>32.239034361458778</v>
      </c>
      <c r="AG72" s="640">
        <v>1.2931636502499975</v>
      </c>
      <c r="AH72" s="640">
        <v>162.51262140820876</v>
      </c>
      <c r="AI72" s="640">
        <v>21.915030230615571</v>
      </c>
      <c r="AJ72" s="640">
        <v>0</v>
      </c>
      <c r="AK72" s="648">
        <v>459.01393790840058</v>
      </c>
    </row>
    <row r="73" spans="3:37" x14ac:dyDescent="0.2">
      <c r="C73" s="646" t="s">
        <v>81</v>
      </c>
      <c r="D73" s="640">
        <v>0</v>
      </c>
      <c r="E73" s="640">
        <v>0</v>
      </c>
      <c r="F73" s="640">
        <v>24.870514058003725</v>
      </c>
      <c r="G73" s="640">
        <v>69.200500866366369</v>
      </c>
      <c r="H73" s="640">
        <v>0</v>
      </c>
      <c r="I73" s="640">
        <v>0</v>
      </c>
      <c r="J73" s="640">
        <v>4.1929555904242415</v>
      </c>
      <c r="K73" s="640">
        <v>2.7283295480293974E-2</v>
      </c>
      <c r="L73" s="640">
        <v>0</v>
      </c>
      <c r="M73" s="640">
        <v>0.86886007568139212</v>
      </c>
      <c r="N73" s="640">
        <v>5.8243599659976146</v>
      </c>
      <c r="O73" s="640">
        <v>0.99519184131174698</v>
      </c>
      <c r="P73" s="640">
        <v>130.24280942426404</v>
      </c>
      <c r="Q73" s="640">
        <v>5.7863564464014026</v>
      </c>
      <c r="R73" s="640">
        <v>0</v>
      </c>
      <c r="S73" s="648">
        <v>242.00883156393087</v>
      </c>
      <c r="U73" s="646" t="s">
        <v>81</v>
      </c>
      <c r="V73" s="640">
        <v>0</v>
      </c>
      <c r="W73" s="640">
        <v>0</v>
      </c>
      <c r="X73" s="640">
        <v>21.247497718121448</v>
      </c>
      <c r="Y73" s="640">
        <v>62.565763699850315</v>
      </c>
      <c r="Z73" s="640">
        <v>0</v>
      </c>
      <c r="AA73" s="640">
        <v>0</v>
      </c>
      <c r="AB73" s="640">
        <v>5.5520423930757747</v>
      </c>
      <c r="AC73" s="640">
        <v>2.7283295480293974E-2</v>
      </c>
      <c r="AD73" s="640">
        <v>0</v>
      </c>
      <c r="AE73" s="640">
        <v>1.9616328552758351</v>
      </c>
      <c r="AF73" s="640">
        <v>8.7253022127149791</v>
      </c>
      <c r="AG73" s="640">
        <v>1.2941657115976744</v>
      </c>
      <c r="AH73" s="640">
        <v>128.40391717018849</v>
      </c>
      <c r="AI73" s="640">
        <v>6.8357873883414371</v>
      </c>
      <c r="AJ73" s="640">
        <v>0</v>
      </c>
      <c r="AK73" s="648">
        <v>236.61339244464625</v>
      </c>
    </row>
    <row r="74" spans="3:37" x14ac:dyDescent="0.2">
      <c r="C74" s="646" t="s">
        <v>82</v>
      </c>
      <c r="D74" s="640">
        <v>0</v>
      </c>
      <c r="E74" s="640">
        <v>0</v>
      </c>
      <c r="F74" s="640">
        <v>34.857709492285672</v>
      </c>
      <c r="G74" s="640">
        <v>2.5298696752764673</v>
      </c>
      <c r="H74" s="640">
        <v>0</v>
      </c>
      <c r="I74" s="640">
        <v>0</v>
      </c>
      <c r="J74" s="640">
        <v>0.53778095326873299</v>
      </c>
      <c r="K74" s="640">
        <v>0</v>
      </c>
      <c r="L74" s="640">
        <v>2.2064360979425728</v>
      </c>
      <c r="M74" s="640">
        <v>3.176426080744045E-2</v>
      </c>
      <c r="N74" s="640">
        <v>0</v>
      </c>
      <c r="O74" s="640">
        <v>9.2576225379409571E-2</v>
      </c>
      <c r="P74" s="640">
        <v>8.3662824168205496</v>
      </c>
      <c r="Q74" s="640">
        <v>0</v>
      </c>
      <c r="R74" s="640">
        <v>0</v>
      </c>
      <c r="S74" s="648">
        <v>48.622419121780844</v>
      </c>
      <c r="U74" s="646" t="s">
        <v>82</v>
      </c>
      <c r="V74" s="640">
        <v>0</v>
      </c>
      <c r="W74" s="640">
        <v>0</v>
      </c>
      <c r="X74" s="640">
        <v>34.89814208484043</v>
      </c>
      <c r="Y74" s="640">
        <v>2.6598837825323027</v>
      </c>
      <c r="Z74" s="640">
        <v>0</v>
      </c>
      <c r="AA74" s="640">
        <v>0</v>
      </c>
      <c r="AB74" s="640">
        <v>0.53778095326873299</v>
      </c>
      <c r="AC74" s="640">
        <v>0</v>
      </c>
      <c r="AD74" s="640">
        <v>2.161994219425559</v>
      </c>
      <c r="AE74" s="640">
        <v>8.3395696152002902E-2</v>
      </c>
      <c r="AF74" s="640">
        <v>0</v>
      </c>
      <c r="AG74" s="640">
        <v>0.25485200979833694</v>
      </c>
      <c r="AH74" s="640">
        <v>8.3792280774105983</v>
      </c>
      <c r="AI74" s="640">
        <v>0</v>
      </c>
      <c r="AJ74" s="640">
        <v>5.2098714141513347E-2</v>
      </c>
      <c r="AK74" s="648">
        <v>49.027375537569476</v>
      </c>
    </row>
    <row r="75" spans="3:37" x14ac:dyDescent="0.2">
      <c r="C75" s="646" t="s">
        <v>354</v>
      </c>
      <c r="D75" s="640">
        <v>0</v>
      </c>
      <c r="E75" s="640">
        <v>0</v>
      </c>
      <c r="F75" s="640">
        <v>0</v>
      </c>
      <c r="G75" s="640">
        <v>0</v>
      </c>
      <c r="H75" s="640">
        <v>0</v>
      </c>
      <c r="I75" s="640">
        <v>0</v>
      </c>
      <c r="J75" s="640">
        <v>0</v>
      </c>
      <c r="K75" s="640">
        <v>0</v>
      </c>
      <c r="L75" s="640">
        <v>0</v>
      </c>
      <c r="M75" s="640">
        <v>0</v>
      </c>
      <c r="N75" s="640">
        <v>0</v>
      </c>
      <c r="O75" s="640">
        <v>0</v>
      </c>
      <c r="P75" s="640">
        <v>0</v>
      </c>
      <c r="Q75" s="640">
        <v>0</v>
      </c>
      <c r="R75" s="640">
        <v>0</v>
      </c>
      <c r="S75" s="648">
        <v>0</v>
      </c>
      <c r="U75" s="646" t="s">
        <v>354</v>
      </c>
      <c r="V75" s="640">
        <v>0</v>
      </c>
      <c r="W75" s="640">
        <v>0</v>
      </c>
      <c r="X75" s="640">
        <v>0</v>
      </c>
      <c r="Y75" s="640">
        <v>0</v>
      </c>
      <c r="Z75" s="640">
        <v>0</v>
      </c>
      <c r="AA75" s="640">
        <v>0</v>
      </c>
      <c r="AB75" s="640">
        <v>0</v>
      </c>
      <c r="AC75" s="640">
        <v>0</v>
      </c>
      <c r="AD75" s="640">
        <v>0</v>
      </c>
      <c r="AE75" s="640">
        <v>0</v>
      </c>
      <c r="AF75" s="640">
        <v>0</v>
      </c>
      <c r="AG75" s="640">
        <v>0</v>
      </c>
      <c r="AH75" s="640">
        <v>0</v>
      </c>
      <c r="AI75" s="640">
        <v>0</v>
      </c>
      <c r="AJ75" s="640">
        <v>0</v>
      </c>
      <c r="AK75" s="648">
        <v>0</v>
      </c>
    </row>
    <row r="76" spans="3:37" x14ac:dyDescent="0.2">
      <c r="C76" s="644" t="s">
        <v>83</v>
      </c>
      <c r="D76" s="645">
        <v>7.7357918362926714</v>
      </c>
      <c r="E76" s="645">
        <v>0</v>
      </c>
      <c r="F76" s="645">
        <v>534.63026099508636</v>
      </c>
      <c r="G76" s="645">
        <v>317.23401758926286</v>
      </c>
      <c r="H76" s="645">
        <v>0</v>
      </c>
      <c r="I76" s="645">
        <v>0</v>
      </c>
      <c r="J76" s="645">
        <v>95.96410250359429</v>
      </c>
      <c r="K76" s="645">
        <v>1.7085025999705235</v>
      </c>
      <c r="L76" s="645">
        <v>40.533148741289374</v>
      </c>
      <c r="M76" s="645">
        <v>4.0236783580696116</v>
      </c>
      <c r="N76" s="645">
        <v>36.514651680131124</v>
      </c>
      <c r="O76" s="645">
        <v>2.4242291286961546</v>
      </c>
      <c r="P76" s="645">
        <v>430.9446309580656</v>
      </c>
      <c r="Q76" s="645">
        <v>38.940628998179342</v>
      </c>
      <c r="R76" s="645">
        <v>0.28078292846679687</v>
      </c>
      <c r="S76" s="645">
        <v>1510.9344263171047</v>
      </c>
      <c r="U76" s="644" t="s">
        <v>83</v>
      </c>
      <c r="V76" s="645">
        <v>5.1152739170350241</v>
      </c>
      <c r="W76" s="645">
        <v>0</v>
      </c>
      <c r="X76" s="645">
        <v>504.72193682280971</v>
      </c>
      <c r="Y76" s="645">
        <v>288.27723779636074</v>
      </c>
      <c r="Z76" s="645">
        <v>0</v>
      </c>
      <c r="AA76" s="645">
        <v>0</v>
      </c>
      <c r="AB76" s="645">
        <v>101.56376340093026</v>
      </c>
      <c r="AC76" s="645">
        <v>4.7430470453159401</v>
      </c>
      <c r="AD76" s="645">
        <v>40.386042251024129</v>
      </c>
      <c r="AE76" s="645">
        <v>9.118629447425727</v>
      </c>
      <c r="AF76" s="645">
        <v>40.964336574173757</v>
      </c>
      <c r="AG76" s="645">
        <v>2.8425672863335452</v>
      </c>
      <c r="AH76" s="645">
        <v>433.87403480633265</v>
      </c>
      <c r="AI76" s="645">
        <v>47.357100276392799</v>
      </c>
      <c r="AJ76" s="645">
        <v>0.30727953859562934</v>
      </c>
      <c r="AK76" s="645">
        <v>1479.2712491627301</v>
      </c>
    </row>
    <row r="77" spans="3:37" x14ac:dyDescent="0.2">
      <c r="C77" s="639" t="s">
        <v>84</v>
      </c>
      <c r="D77" s="640">
        <v>0</v>
      </c>
      <c r="E77" s="640">
        <v>0</v>
      </c>
      <c r="F77" s="640">
        <v>133.10744763246728</v>
      </c>
      <c r="G77" s="640">
        <v>12.012561812227283</v>
      </c>
      <c r="H77" s="640">
        <v>0</v>
      </c>
      <c r="I77" s="640">
        <v>0</v>
      </c>
      <c r="J77" s="640">
        <v>0</v>
      </c>
      <c r="K77" s="640">
        <v>0</v>
      </c>
      <c r="L77" s="640">
        <v>0</v>
      </c>
      <c r="M77" s="640">
        <v>0</v>
      </c>
      <c r="N77" s="640">
        <v>0</v>
      </c>
      <c r="O77" s="640">
        <v>0</v>
      </c>
      <c r="P77" s="640">
        <v>0</v>
      </c>
      <c r="Q77" s="640">
        <v>0</v>
      </c>
      <c r="R77" s="640">
        <v>0</v>
      </c>
      <c r="S77" s="648">
        <v>145.12000944469457</v>
      </c>
      <c r="U77" s="639" t="s">
        <v>84</v>
      </c>
      <c r="V77" s="640">
        <v>0</v>
      </c>
      <c r="W77" s="640">
        <v>0</v>
      </c>
      <c r="X77" s="640">
        <v>126.72857692201117</v>
      </c>
      <c r="Y77" s="640">
        <v>1.7991582007077653</v>
      </c>
      <c r="Z77" s="640">
        <v>0</v>
      </c>
      <c r="AA77" s="640">
        <v>0</v>
      </c>
      <c r="AB77" s="640">
        <v>0</v>
      </c>
      <c r="AC77" s="640">
        <v>0</v>
      </c>
      <c r="AD77" s="640">
        <v>0.12920617897727274</v>
      </c>
      <c r="AE77" s="640">
        <v>0</v>
      </c>
      <c r="AF77" s="640">
        <v>0</v>
      </c>
      <c r="AG77" s="640">
        <v>0</v>
      </c>
      <c r="AH77" s="640">
        <v>0</v>
      </c>
      <c r="AI77" s="640">
        <v>0</v>
      </c>
      <c r="AJ77" s="640">
        <v>0.83399800248579548</v>
      </c>
      <c r="AK77" s="648">
        <v>129.49093930418201</v>
      </c>
    </row>
    <row r="78" spans="3:37" x14ac:dyDescent="0.2">
      <c r="C78" s="644" t="s">
        <v>85</v>
      </c>
      <c r="D78" s="645">
        <v>7.7357918362926714</v>
      </c>
      <c r="E78" s="645">
        <v>0</v>
      </c>
      <c r="F78" s="645">
        <v>667.73770862755362</v>
      </c>
      <c r="G78" s="645">
        <v>329.24657940149012</v>
      </c>
      <c r="H78" s="645">
        <v>0</v>
      </c>
      <c r="I78" s="645">
        <v>0</v>
      </c>
      <c r="J78" s="645">
        <v>95.96410250359429</v>
      </c>
      <c r="K78" s="645">
        <v>1.7085025999705235</v>
      </c>
      <c r="L78" s="645">
        <v>40.533148741289374</v>
      </c>
      <c r="M78" s="645">
        <v>4.0236783580696116</v>
      </c>
      <c r="N78" s="645">
        <v>36.514651680131124</v>
      </c>
      <c r="O78" s="645">
        <v>2.4242291286961546</v>
      </c>
      <c r="P78" s="645">
        <v>430.9446309580656</v>
      </c>
      <c r="Q78" s="645">
        <v>38.940628998179342</v>
      </c>
      <c r="R78" s="645">
        <v>0.28078292846679687</v>
      </c>
      <c r="S78" s="645">
        <v>1656.0544357617991</v>
      </c>
      <c r="U78" s="644" t="s">
        <v>85</v>
      </c>
      <c r="V78" s="645">
        <v>5.1152739170350241</v>
      </c>
      <c r="W78" s="645">
        <v>0</v>
      </c>
      <c r="X78" s="645">
        <v>631.45051374482091</v>
      </c>
      <c r="Y78" s="645">
        <v>290.07639599706852</v>
      </c>
      <c r="Z78" s="645">
        <v>0</v>
      </c>
      <c r="AA78" s="645">
        <v>0</v>
      </c>
      <c r="AB78" s="645">
        <v>101.56376340093026</v>
      </c>
      <c r="AC78" s="645">
        <v>4.7430470453159401</v>
      </c>
      <c r="AD78" s="645">
        <v>40.5152484300014</v>
      </c>
      <c r="AE78" s="645">
        <v>9.118629447425727</v>
      </c>
      <c r="AF78" s="645">
        <v>40.964336574173757</v>
      </c>
      <c r="AG78" s="645">
        <v>2.8425672863335452</v>
      </c>
      <c r="AH78" s="645">
        <v>433.87403480633265</v>
      </c>
      <c r="AI78" s="645">
        <v>47.357100276392799</v>
      </c>
      <c r="AJ78" s="645">
        <v>1.1412775410814249</v>
      </c>
      <c r="AK78" s="645">
        <v>1608.762188466912</v>
      </c>
    </row>
    <row r="79" spans="3:37" x14ac:dyDescent="0.2">
      <c r="C79" s="634"/>
      <c r="D79" s="634"/>
      <c r="E79" s="634"/>
      <c r="F79" s="634"/>
      <c r="G79" s="634"/>
      <c r="H79" s="634"/>
      <c r="I79" s="634"/>
      <c r="J79" s="634"/>
      <c r="K79" s="634"/>
      <c r="L79" s="634"/>
      <c r="M79" s="634"/>
      <c r="N79" s="634"/>
      <c r="O79" s="634"/>
      <c r="P79" s="634"/>
      <c r="Q79" s="634"/>
      <c r="R79" s="634"/>
      <c r="S79" s="634"/>
      <c r="U79" s="634"/>
      <c r="V79" s="634"/>
      <c r="W79" s="634"/>
      <c r="X79" s="634"/>
      <c r="Y79" s="634"/>
      <c r="Z79" s="634"/>
      <c r="AA79" s="634"/>
      <c r="AB79" s="634"/>
      <c r="AC79" s="634"/>
      <c r="AD79" s="634"/>
      <c r="AE79" s="634"/>
      <c r="AF79" s="634"/>
      <c r="AG79" s="634"/>
      <c r="AH79" s="634"/>
      <c r="AI79" s="634"/>
      <c r="AJ79" s="634"/>
      <c r="AK79" s="634"/>
    </row>
    <row r="80" spans="3:37" x14ac:dyDescent="0.2">
      <c r="C80" s="634"/>
      <c r="D80" s="634"/>
      <c r="E80" s="634"/>
      <c r="F80" s="634"/>
      <c r="G80" s="634"/>
      <c r="H80" s="634"/>
      <c r="I80" s="634"/>
      <c r="J80" s="634"/>
      <c r="K80" s="634"/>
      <c r="L80" s="634"/>
      <c r="M80" s="634"/>
      <c r="N80" s="634"/>
      <c r="O80" s="634"/>
      <c r="P80" s="634"/>
      <c r="Q80" s="634"/>
      <c r="R80" s="634"/>
      <c r="S80" s="634"/>
      <c r="U80" s="634"/>
      <c r="V80" s="634"/>
      <c r="W80" s="634"/>
      <c r="X80" s="634"/>
      <c r="Y80" s="634"/>
      <c r="Z80" s="634"/>
      <c r="AA80" s="634"/>
      <c r="AB80" s="634"/>
      <c r="AC80" s="634"/>
      <c r="AD80" s="634"/>
      <c r="AE80" s="634"/>
      <c r="AF80" s="634"/>
      <c r="AG80" s="634"/>
      <c r="AH80" s="634"/>
      <c r="AI80" s="634"/>
      <c r="AJ80" s="634"/>
      <c r="AK80" s="634"/>
    </row>
    <row r="81" spans="3:37" ht="22.5" x14ac:dyDescent="0.3">
      <c r="C81" s="759" t="s">
        <v>87</v>
      </c>
      <c r="D81" s="759"/>
      <c r="E81" s="759"/>
      <c r="F81" s="759"/>
      <c r="G81" s="759"/>
      <c r="H81" s="759"/>
      <c r="I81" s="759"/>
      <c r="J81" s="759"/>
      <c r="K81" s="759"/>
      <c r="L81" s="759"/>
      <c r="M81" s="759"/>
      <c r="N81" s="759"/>
      <c r="O81" s="759"/>
      <c r="P81" s="759"/>
      <c r="Q81" s="759"/>
      <c r="R81" s="759"/>
      <c r="S81" s="759"/>
      <c r="U81" s="759" t="s">
        <v>87</v>
      </c>
      <c r="V81" s="759"/>
      <c r="W81" s="759"/>
      <c r="X81" s="759"/>
      <c r="Y81" s="759"/>
      <c r="Z81" s="759"/>
      <c r="AA81" s="759"/>
      <c r="AB81" s="759"/>
      <c r="AC81" s="759"/>
      <c r="AD81" s="759"/>
      <c r="AE81" s="759"/>
      <c r="AF81" s="759"/>
      <c r="AG81" s="759"/>
      <c r="AH81" s="759"/>
      <c r="AI81" s="759"/>
      <c r="AJ81" s="759"/>
      <c r="AK81" s="759"/>
    </row>
    <row r="82" spans="3:37" x14ac:dyDescent="0.2">
      <c r="C82" s="634"/>
      <c r="D82" s="634"/>
      <c r="E82" s="634"/>
      <c r="F82" s="634"/>
      <c r="G82" s="634"/>
      <c r="H82" s="634"/>
      <c r="I82" s="634"/>
      <c r="J82" s="634"/>
      <c r="K82" s="634"/>
      <c r="L82" s="634"/>
      <c r="M82" s="634"/>
      <c r="N82" s="634"/>
      <c r="O82" s="634"/>
      <c r="P82" s="634"/>
      <c r="Q82" s="634"/>
      <c r="R82" s="634"/>
      <c r="S82" s="634"/>
      <c r="U82" s="634"/>
      <c r="V82" s="634"/>
      <c r="W82" s="634"/>
      <c r="X82" s="634"/>
      <c r="Y82" s="634"/>
      <c r="Z82" s="634"/>
      <c r="AA82" s="634"/>
      <c r="AB82" s="634"/>
      <c r="AC82" s="634"/>
      <c r="AD82" s="634"/>
      <c r="AE82" s="634"/>
      <c r="AF82" s="634"/>
      <c r="AG82" s="634"/>
      <c r="AH82" s="634"/>
      <c r="AI82" s="634"/>
      <c r="AJ82" s="634"/>
      <c r="AK82" s="634"/>
    </row>
    <row r="83" spans="3:37" ht="12.95" customHeight="1" x14ac:dyDescent="0.2">
      <c r="C83" s="758" t="s">
        <v>128</v>
      </c>
      <c r="D83" s="757" t="s">
        <v>42</v>
      </c>
      <c r="E83" s="757" t="s">
        <v>52</v>
      </c>
      <c r="F83" s="757" t="s">
        <v>53</v>
      </c>
      <c r="G83" s="757" t="s">
        <v>32</v>
      </c>
      <c r="H83" s="757" t="s">
        <v>20</v>
      </c>
      <c r="I83" s="757" t="s">
        <v>55</v>
      </c>
      <c r="J83" s="757" t="s">
        <v>56</v>
      </c>
      <c r="K83" s="757"/>
      <c r="L83" s="757"/>
      <c r="M83" s="757"/>
      <c r="N83" s="757"/>
      <c r="O83" s="757"/>
      <c r="P83" s="757" t="s">
        <v>57</v>
      </c>
      <c r="Q83" s="757" t="s">
        <v>58</v>
      </c>
      <c r="R83" s="757" t="s">
        <v>31</v>
      </c>
      <c r="S83" s="757" t="s">
        <v>10</v>
      </c>
      <c r="U83" s="758" t="s">
        <v>128</v>
      </c>
      <c r="V83" s="757" t="s">
        <v>42</v>
      </c>
      <c r="W83" s="757" t="s">
        <v>52</v>
      </c>
      <c r="X83" s="757" t="s">
        <v>53</v>
      </c>
      <c r="Y83" s="757" t="s">
        <v>32</v>
      </c>
      <c r="Z83" s="757" t="s">
        <v>20</v>
      </c>
      <c r="AA83" s="757" t="s">
        <v>55</v>
      </c>
      <c r="AB83" s="757" t="s">
        <v>56</v>
      </c>
      <c r="AC83" s="757"/>
      <c r="AD83" s="757"/>
      <c r="AE83" s="757"/>
      <c r="AF83" s="757"/>
      <c r="AG83" s="757"/>
      <c r="AH83" s="757" t="s">
        <v>57</v>
      </c>
      <c r="AI83" s="757" t="s">
        <v>58</v>
      </c>
      <c r="AJ83" s="757" t="s">
        <v>31</v>
      </c>
      <c r="AK83" s="757" t="s">
        <v>10</v>
      </c>
    </row>
    <row r="84" spans="3:37" ht="56.25" x14ac:dyDescent="0.2">
      <c r="C84" s="758"/>
      <c r="D84" s="757"/>
      <c r="E84" s="757"/>
      <c r="F84" s="757"/>
      <c r="G84" s="757"/>
      <c r="H84" s="757"/>
      <c r="I84" s="757"/>
      <c r="J84" s="638" t="s">
        <v>335</v>
      </c>
      <c r="K84" s="638" t="s">
        <v>40</v>
      </c>
      <c r="L84" s="638" t="s">
        <v>343</v>
      </c>
      <c r="M84" s="638" t="s">
        <v>344</v>
      </c>
      <c r="N84" s="638" t="s">
        <v>345</v>
      </c>
      <c r="O84" s="638" t="s">
        <v>346</v>
      </c>
      <c r="P84" s="757"/>
      <c r="Q84" s="757"/>
      <c r="R84" s="757"/>
      <c r="S84" s="757"/>
      <c r="U84" s="758"/>
      <c r="V84" s="757"/>
      <c r="W84" s="757"/>
      <c r="X84" s="757"/>
      <c r="Y84" s="757"/>
      <c r="Z84" s="757"/>
      <c r="AA84" s="757"/>
      <c r="AB84" s="638" t="s">
        <v>335</v>
      </c>
      <c r="AC84" s="638" t="s">
        <v>40</v>
      </c>
      <c r="AD84" s="638" t="s">
        <v>343</v>
      </c>
      <c r="AE84" s="638" t="s">
        <v>344</v>
      </c>
      <c r="AF84" s="638" t="s">
        <v>345</v>
      </c>
      <c r="AG84" s="638" t="s">
        <v>346</v>
      </c>
      <c r="AH84" s="757"/>
      <c r="AI84" s="757"/>
      <c r="AJ84" s="757"/>
      <c r="AK84" s="757"/>
    </row>
    <row r="85" spans="3:37" x14ac:dyDescent="0.2">
      <c r="C85" s="639" t="s">
        <v>59</v>
      </c>
      <c r="D85" s="640">
        <v>0</v>
      </c>
      <c r="E85" s="641">
        <v>9.7691999999999997</v>
      </c>
      <c r="F85" s="641">
        <v>0</v>
      </c>
      <c r="G85" s="640">
        <v>0.18608000000000002</v>
      </c>
      <c r="H85" s="641">
        <v>1190.909090909091</v>
      </c>
      <c r="I85" s="641">
        <v>153.14171554603519</v>
      </c>
      <c r="J85" s="641">
        <v>193.32113368570609</v>
      </c>
      <c r="K85" s="641">
        <v>23.895443221314743</v>
      </c>
      <c r="L85" s="641">
        <v>0.26210424432280233</v>
      </c>
      <c r="M85" s="641">
        <v>0.1322850330511596</v>
      </c>
      <c r="N85" s="641">
        <v>39.319241851069634</v>
      </c>
      <c r="O85" s="641">
        <v>5.962830498028703</v>
      </c>
      <c r="P85" s="642">
        <v>0</v>
      </c>
      <c r="Q85" s="641">
        <v>0</v>
      </c>
      <c r="R85" s="641">
        <v>0</v>
      </c>
      <c r="S85" s="643">
        <v>1616.8991249886192</v>
      </c>
      <c r="U85" s="639" t="s">
        <v>59</v>
      </c>
      <c r="V85" s="640">
        <v>0</v>
      </c>
      <c r="W85" s="641">
        <v>9.7691999999999997</v>
      </c>
      <c r="X85" s="641">
        <v>0</v>
      </c>
      <c r="Y85" s="640">
        <v>0.18608000000000002</v>
      </c>
      <c r="Z85" s="641">
        <v>1105.3443526170799</v>
      </c>
      <c r="AA85" s="641">
        <v>156.32644281876244</v>
      </c>
      <c r="AB85" s="641">
        <v>174.95767859419479</v>
      </c>
      <c r="AC85" s="641">
        <v>32.977912048889756</v>
      </c>
      <c r="AD85" s="641">
        <v>0.26210424432280233</v>
      </c>
      <c r="AE85" s="641">
        <v>0.1322850330511596</v>
      </c>
      <c r="AF85" s="641">
        <v>46.941675984424649</v>
      </c>
      <c r="AG85" s="641">
        <v>8.3026764246808291</v>
      </c>
      <c r="AH85" s="642">
        <v>0</v>
      </c>
      <c r="AI85" s="641">
        <v>0</v>
      </c>
      <c r="AJ85" s="641">
        <v>0</v>
      </c>
      <c r="AK85" s="643">
        <v>1535.200407765406</v>
      </c>
    </row>
    <row r="86" spans="3:37" x14ac:dyDescent="0.2">
      <c r="C86" s="639" t="s">
        <v>60</v>
      </c>
      <c r="D86" s="640">
        <v>51.93943876444407</v>
      </c>
      <c r="E86" s="641">
        <v>553.51354311683986</v>
      </c>
      <c r="F86" s="641">
        <v>233.05215902128853</v>
      </c>
      <c r="G86" s="640">
        <v>363.27460186951828</v>
      </c>
      <c r="H86" s="641">
        <v>0</v>
      </c>
      <c r="I86" s="641">
        <v>0</v>
      </c>
      <c r="J86" s="641">
        <v>2.3834336020403581</v>
      </c>
      <c r="K86" s="641">
        <v>0</v>
      </c>
      <c r="L86" s="641">
        <v>2.2500117795629686</v>
      </c>
      <c r="M86" s="641">
        <v>0</v>
      </c>
      <c r="N86" s="641">
        <v>0</v>
      </c>
      <c r="O86" s="641">
        <v>0</v>
      </c>
      <c r="P86" s="642">
        <v>0</v>
      </c>
      <c r="Q86" s="641">
        <v>0</v>
      </c>
      <c r="R86" s="641">
        <v>0</v>
      </c>
      <c r="S86" s="643">
        <v>1206.4131881536939</v>
      </c>
      <c r="U86" s="639" t="s">
        <v>60</v>
      </c>
      <c r="V86" s="640">
        <v>30.366070381082046</v>
      </c>
      <c r="W86" s="641">
        <v>485.53946937040786</v>
      </c>
      <c r="X86" s="641">
        <v>248.69079495957973</v>
      </c>
      <c r="Y86" s="640">
        <v>359.41495054347945</v>
      </c>
      <c r="Z86" s="641">
        <v>0</v>
      </c>
      <c r="AA86" s="641">
        <v>0</v>
      </c>
      <c r="AB86" s="641">
        <v>2.3834336020403581</v>
      </c>
      <c r="AC86" s="641">
        <v>0</v>
      </c>
      <c r="AD86" s="641">
        <v>2.2500117795629686</v>
      </c>
      <c r="AE86" s="641">
        <v>0</v>
      </c>
      <c r="AF86" s="641">
        <v>0</v>
      </c>
      <c r="AG86" s="641">
        <v>0</v>
      </c>
      <c r="AH86" s="642">
        <v>0</v>
      </c>
      <c r="AI86" s="641">
        <v>0</v>
      </c>
      <c r="AJ86" s="641">
        <v>0</v>
      </c>
      <c r="AK86" s="643">
        <v>1128.6447306361524</v>
      </c>
    </row>
    <row r="87" spans="3:37" x14ac:dyDescent="0.2">
      <c r="C87" s="639" t="s">
        <v>61</v>
      </c>
      <c r="D87" s="640">
        <v>0</v>
      </c>
      <c r="E87" s="641">
        <v>0</v>
      </c>
      <c r="F87" s="641">
        <v>0</v>
      </c>
      <c r="G87" s="640">
        <v>0</v>
      </c>
      <c r="H87" s="641">
        <v>0</v>
      </c>
      <c r="I87" s="641">
        <v>0</v>
      </c>
      <c r="J87" s="641">
        <v>0</v>
      </c>
      <c r="K87" s="641">
        <v>0</v>
      </c>
      <c r="L87" s="641">
        <v>0</v>
      </c>
      <c r="M87" s="641">
        <v>0</v>
      </c>
      <c r="N87" s="641">
        <v>0</v>
      </c>
      <c r="O87" s="641">
        <v>0</v>
      </c>
      <c r="P87" s="642">
        <v>-64.055272794649682</v>
      </c>
      <c r="Q87" s="641">
        <v>0</v>
      </c>
      <c r="R87" s="641">
        <v>0</v>
      </c>
      <c r="S87" s="643">
        <v>-64.055272794649682</v>
      </c>
      <c r="U87" s="639" t="s">
        <v>61</v>
      </c>
      <c r="V87" s="640">
        <v>0</v>
      </c>
      <c r="W87" s="641">
        <v>0</v>
      </c>
      <c r="X87" s="641">
        <v>0</v>
      </c>
      <c r="Y87" s="640">
        <v>0</v>
      </c>
      <c r="Z87" s="641">
        <v>0</v>
      </c>
      <c r="AA87" s="641">
        <v>0</v>
      </c>
      <c r="AB87" s="641">
        <v>0</v>
      </c>
      <c r="AC87" s="641">
        <v>0</v>
      </c>
      <c r="AD87" s="641">
        <v>0</v>
      </c>
      <c r="AE87" s="641">
        <v>0</v>
      </c>
      <c r="AF87" s="641">
        <v>0</v>
      </c>
      <c r="AG87" s="641">
        <v>0</v>
      </c>
      <c r="AH87" s="642">
        <v>-60.354291441125554</v>
      </c>
      <c r="AI87" s="641">
        <v>0</v>
      </c>
      <c r="AJ87" s="641">
        <v>0</v>
      </c>
      <c r="AK87" s="643">
        <v>-60.354291441125554</v>
      </c>
    </row>
    <row r="88" spans="3:37" x14ac:dyDescent="0.2">
      <c r="C88" s="639" t="s">
        <v>62</v>
      </c>
      <c r="D88" s="640">
        <v>0</v>
      </c>
      <c r="E88" s="641">
        <v>0</v>
      </c>
      <c r="F88" s="641">
        <v>-17.936302519197969</v>
      </c>
      <c r="G88" s="640">
        <v>0</v>
      </c>
      <c r="H88" s="641">
        <v>0</v>
      </c>
      <c r="I88" s="641">
        <v>0</v>
      </c>
      <c r="J88" s="641">
        <v>0</v>
      </c>
      <c r="K88" s="641">
        <v>0</v>
      </c>
      <c r="L88" s="641">
        <v>0</v>
      </c>
      <c r="M88" s="641">
        <v>0</v>
      </c>
      <c r="N88" s="641">
        <v>0</v>
      </c>
      <c r="O88" s="641">
        <v>0</v>
      </c>
      <c r="P88" s="642">
        <v>0</v>
      </c>
      <c r="Q88" s="641">
        <v>0</v>
      </c>
      <c r="R88" s="641">
        <v>0</v>
      </c>
      <c r="S88" s="643">
        <v>-17.936302519197969</v>
      </c>
      <c r="U88" s="639" t="s">
        <v>62</v>
      </c>
      <c r="V88" s="640">
        <v>0</v>
      </c>
      <c r="W88" s="641">
        <v>0</v>
      </c>
      <c r="X88" s="641">
        <v>-17.936302519197969</v>
      </c>
      <c r="Y88" s="640">
        <v>0</v>
      </c>
      <c r="Z88" s="641">
        <v>0</v>
      </c>
      <c r="AA88" s="641">
        <v>0</v>
      </c>
      <c r="AB88" s="641">
        <v>0</v>
      </c>
      <c r="AC88" s="641">
        <v>0</v>
      </c>
      <c r="AD88" s="641">
        <v>0</v>
      </c>
      <c r="AE88" s="641">
        <v>0</v>
      </c>
      <c r="AF88" s="641">
        <v>0</v>
      </c>
      <c r="AG88" s="641">
        <v>0</v>
      </c>
      <c r="AH88" s="642">
        <v>0</v>
      </c>
      <c r="AI88" s="641">
        <v>0</v>
      </c>
      <c r="AJ88" s="641">
        <v>0</v>
      </c>
      <c r="AK88" s="643">
        <v>-17.936302519197969</v>
      </c>
    </row>
    <row r="89" spans="3:37" x14ac:dyDescent="0.2">
      <c r="C89" s="639" t="s">
        <v>63</v>
      </c>
      <c r="D89" s="640">
        <v>0</v>
      </c>
      <c r="E89" s="641">
        <v>0</v>
      </c>
      <c r="F89" s="641">
        <v>-78.830324971165851</v>
      </c>
      <c r="G89" s="640">
        <v>0</v>
      </c>
      <c r="H89" s="641">
        <v>0</v>
      </c>
      <c r="I89" s="641">
        <v>0</v>
      </c>
      <c r="J89" s="641">
        <v>0</v>
      </c>
      <c r="K89" s="641">
        <v>0</v>
      </c>
      <c r="L89" s="641">
        <v>-0.81271538345441041</v>
      </c>
      <c r="M89" s="641">
        <v>0</v>
      </c>
      <c r="N89" s="641">
        <v>0</v>
      </c>
      <c r="O89" s="641">
        <v>0</v>
      </c>
      <c r="P89" s="642">
        <v>0</v>
      </c>
      <c r="Q89" s="641">
        <v>0</v>
      </c>
      <c r="R89" s="641">
        <v>0</v>
      </c>
      <c r="S89" s="643">
        <v>-79.643040354620268</v>
      </c>
      <c r="U89" s="639" t="s">
        <v>63</v>
      </c>
      <c r="V89" s="640">
        <v>0</v>
      </c>
      <c r="W89" s="641">
        <v>0</v>
      </c>
      <c r="X89" s="641">
        <v>-78.197230139294632</v>
      </c>
      <c r="Y89" s="640">
        <v>0</v>
      </c>
      <c r="Z89" s="641">
        <v>0</v>
      </c>
      <c r="AA89" s="641">
        <v>0</v>
      </c>
      <c r="AB89" s="641">
        <v>0</v>
      </c>
      <c r="AC89" s="641">
        <v>0</v>
      </c>
      <c r="AD89" s="641">
        <v>-1.5612310452001914</v>
      </c>
      <c r="AE89" s="641">
        <v>0</v>
      </c>
      <c r="AF89" s="641">
        <v>0</v>
      </c>
      <c r="AG89" s="641">
        <v>0</v>
      </c>
      <c r="AH89" s="642">
        <v>0</v>
      </c>
      <c r="AI89" s="641">
        <v>0</v>
      </c>
      <c r="AJ89" s="641">
        <v>0</v>
      </c>
      <c r="AK89" s="643">
        <v>-79.75846118449482</v>
      </c>
    </row>
    <row r="90" spans="3:37" x14ac:dyDescent="0.2">
      <c r="C90" s="639" t="s">
        <v>64</v>
      </c>
      <c r="D90" s="640">
        <v>0</v>
      </c>
      <c r="E90" s="641">
        <v>0</v>
      </c>
      <c r="F90" s="641">
        <v>0</v>
      </c>
      <c r="G90" s="640">
        <v>0</v>
      </c>
      <c r="H90" s="641">
        <v>0</v>
      </c>
      <c r="I90" s="641">
        <v>0</v>
      </c>
      <c r="J90" s="641">
        <v>0</v>
      </c>
      <c r="K90" s="641">
        <v>0</v>
      </c>
      <c r="L90" s="641">
        <v>0</v>
      </c>
      <c r="M90" s="641">
        <v>0</v>
      </c>
      <c r="N90" s="641">
        <v>0</v>
      </c>
      <c r="O90" s="641">
        <v>0</v>
      </c>
      <c r="P90" s="642">
        <v>0</v>
      </c>
      <c r="Q90" s="641">
        <v>0</v>
      </c>
      <c r="R90" s="641">
        <v>0</v>
      </c>
      <c r="S90" s="643">
        <v>0</v>
      </c>
      <c r="U90" s="639" t="s">
        <v>64</v>
      </c>
      <c r="V90" s="640">
        <v>0</v>
      </c>
      <c r="W90" s="641">
        <v>0</v>
      </c>
      <c r="X90" s="641">
        <v>0</v>
      </c>
      <c r="Y90" s="640">
        <v>0</v>
      </c>
      <c r="Z90" s="641">
        <v>0</v>
      </c>
      <c r="AA90" s="641">
        <v>0</v>
      </c>
      <c r="AB90" s="641">
        <v>0</v>
      </c>
      <c r="AC90" s="641">
        <v>0</v>
      </c>
      <c r="AD90" s="641">
        <v>0</v>
      </c>
      <c r="AE90" s="641">
        <v>0</v>
      </c>
      <c r="AF90" s="641">
        <v>0</v>
      </c>
      <c r="AG90" s="641">
        <v>0</v>
      </c>
      <c r="AH90" s="642">
        <v>0</v>
      </c>
      <c r="AI90" s="641">
        <v>0</v>
      </c>
      <c r="AJ90" s="641">
        <v>0</v>
      </c>
      <c r="AK90" s="643">
        <v>0</v>
      </c>
    </row>
    <row r="91" spans="3:37" x14ac:dyDescent="0.2">
      <c r="C91" s="644" t="s">
        <v>65</v>
      </c>
      <c r="D91" s="645">
        <v>51.93943876444407</v>
      </c>
      <c r="E91" s="645">
        <v>563.28274311683981</v>
      </c>
      <c r="F91" s="645">
        <v>136.28553153092471</v>
      </c>
      <c r="G91" s="645">
        <v>363.46068186951828</v>
      </c>
      <c r="H91" s="645">
        <v>1190.909090909091</v>
      </c>
      <c r="I91" s="645">
        <v>153.14171554603519</v>
      </c>
      <c r="J91" s="645">
        <v>195.70456728774644</v>
      </c>
      <c r="K91" s="645">
        <v>23.895443221314743</v>
      </c>
      <c r="L91" s="645">
        <v>1.6994006404313602</v>
      </c>
      <c r="M91" s="645">
        <v>0.1322850330511596</v>
      </c>
      <c r="N91" s="645">
        <v>39.319241851069634</v>
      </c>
      <c r="O91" s="645">
        <v>5.962830498028703</v>
      </c>
      <c r="P91" s="645">
        <v>-64.055272794649682</v>
      </c>
      <c r="Q91" s="645">
        <v>0</v>
      </c>
      <c r="R91" s="645">
        <v>0</v>
      </c>
      <c r="S91" s="645">
        <v>2661.6776974738459</v>
      </c>
      <c r="U91" s="644" t="s">
        <v>65</v>
      </c>
      <c r="V91" s="645">
        <v>30.366070381082046</v>
      </c>
      <c r="W91" s="645">
        <v>495.30866937040787</v>
      </c>
      <c r="X91" s="645">
        <v>152.55726230108715</v>
      </c>
      <c r="Y91" s="645">
        <v>359.60103054347945</v>
      </c>
      <c r="Z91" s="645">
        <v>1105.3443526170799</v>
      </c>
      <c r="AA91" s="645">
        <v>156.32644281876244</v>
      </c>
      <c r="AB91" s="645">
        <v>177.34111219623514</v>
      </c>
      <c r="AC91" s="645">
        <v>32.977912048889756</v>
      </c>
      <c r="AD91" s="645">
        <v>0.95088497868557909</v>
      </c>
      <c r="AE91" s="645">
        <v>0.1322850330511596</v>
      </c>
      <c r="AF91" s="645">
        <v>46.941675984424649</v>
      </c>
      <c r="AG91" s="645">
        <v>8.3026764246808291</v>
      </c>
      <c r="AH91" s="645">
        <v>-60.354291441125554</v>
      </c>
      <c r="AI91" s="645">
        <v>0</v>
      </c>
      <c r="AJ91" s="645">
        <v>0</v>
      </c>
      <c r="AK91" s="645">
        <v>2505.7960832567405</v>
      </c>
    </row>
    <row r="92" spans="3:37" x14ac:dyDescent="0.2">
      <c r="C92" s="634"/>
      <c r="D92" s="634">
        <v>0</v>
      </c>
      <c r="E92" s="634">
        <v>0</v>
      </c>
      <c r="F92" s="634">
        <v>0</v>
      </c>
      <c r="G92" s="634">
        <v>0</v>
      </c>
      <c r="H92" s="634">
        <v>0</v>
      </c>
      <c r="I92" s="634">
        <v>0</v>
      </c>
      <c r="J92" s="634">
        <v>0</v>
      </c>
      <c r="K92" s="634">
        <v>0</v>
      </c>
      <c r="L92" s="634">
        <v>0</v>
      </c>
      <c r="M92" s="634">
        <v>0</v>
      </c>
      <c r="N92" s="634">
        <v>0</v>
      </c>
      <c r="O92" s="634">
        <v>0</v>
      </c>
      <c r="P92" s="634">
        <v>0</v>
      </c>
      <c r="Q92" s="634">
        <v>0</v>
      </c>
      <c r="R92" s="634">
        <v>0</v>
      </c>
      <c r="S92" s="634">
        <v>0</v>
      </c>
      <c r="U92" s="634"/>
      <c r="V92" s="634">
        <v>0</v>
      </c>
      <c r="W92" s="634">
        <v>0</v>
      </c>
      <c r="X92" s="634">
        <v>0</v>
      </c>
      <c r="Y92" s="634">
        <v>0</v>
      </c>
      <c r="Z92" s="634">
        <v>0</v>
      </c>
      <c r="AA92" s="634">
        <v>0</v>
      </c>
      <c r="AB92" s="634">
        <v>0</v>
      </c>
      <c r="AC92" s="634">
        <v>0</v>
      </c>
      <c r="AD92" s="634">
        <v>0</v>
      </c>
      <c r="AE92" s="634">
        <v>0</v>
      </c>
      <c r="AF92" s="634">
        <v>0</v>
      </c>
      <c r="AG92" s="634">
        <v>0</v>
      </c>
      <c r="AH92" s="634">
        <v>0</v>
      </c>
      <c r="AI92" s="634">
        <v>0</v>
      </c>
      <c r="AJ92" s="634">
        <v>0</v>
      </c>
      <c r="AK92" s="634">
        <v>0</v>
      </c>
    </row>
    <row r="93" spans="3:37" x14ac:dyDescent="0.2">
      <c r="C93" s="646" t="s">
        <v>67</v>
      </c>
      <c r="D93" s="640">
        <v>0</v>
      </c>
      <c r="E93" s="647">
        <v>0</v>
      </c>
      <c r="F93" s="647">
        <v>0</v>
      </c>
      <c r="G93" s="640">
        <v>0</v>
      </c>
      <c r="H93" s="640">
        <v>0</v>
      </c>
      <c r="I93" s="640">
        <v>0</v>
      </c>
      <c r="J93" s="640">
        <v>0</v>
      </c>
      <c r="K93" s="640">
        <v>0</v>
      </c>
      <c r="L93" s="640">
        <v>0</v>
      </c>
      <c r="M93" s="640">
        <v>0</v>
      </c>
      <c r="N93" s="640">
        <v>0</v>
      </c>
      <c r="O93" s="640">
        <v>0</v>
      </c>
      <c r="P93" s="640">
        <v>0</v>
      </c>
      <c r="Q93" s="640">
        <v>0</v>
      </c>
      <c r="R93" s="640">
        <v>0</v>
      </c>
      <c r="S93" s="648">
        <v>0</v>
      </c>
      <c r="U93" s="646" t="s">
        <v>67</v>
      </c>
      <c r="V93" s="640">
        <v>0</v>
      </c>
      <c r="W93" s="647">
        <v>0</v>
      </c>
      <c r="X93" s="647">
        <v>0</v>
      </c>
      <c r="Y93" s="640">
        <v>0</v>
      </c>
      <c r="Z93" s="640">
        <v>0</v>
      </c>
      <c r="AA93" s="640">
        <v>0</v>
      </c>
      <c r="AB93" s="640">
        <v>0</v>
      </c>
      <c r="AC93" s="640">
        <v>0</v>
      </c>
      <c r="AD93" s="640">
        <v>0</v>
      </c>
      <c r="AE93" s="640">
        <v>0</v>
      </c>
      <c r="AF93" s="640">
        <v>0</v>
      </c>
      <c r="AG93" s="640">
        <v>0</v>
      </c>
      <c r="AH93" s="640">
        <v>0</v>
      </c>
      <c r="AI93" s="640">
        <v>0</v>
      </c>
      <c r="AJ93" s="640">
        <v>0</v>
      </c>
      <c r="AK93" s="648">
        <v>0</v>
      </c>
    </row>
    <row r="94" spans="3:37" x14ac:dyDescent="0.2">
      <c r="C94" s="646" t="s">
        <v>347</v>
      </c>
      <c r="D94" s="640">
        <v>2.8307670060467731</v>
      </c>
      <c r="E94" s="640">
        <v>0</v>
      </c>
      <c r="F94" s="640">
        <v>7.8209554225929372</v>
      </c>
      <c r="G94" s="640">
        <v>18.490566037735849</v>
      </c>
      <c r="H94" s="640">
        <v>1190.909090909091</v>
      </c>
      <c r="I94" s="640">
        <v>153.14171554603519</v>
      </c>
      <c r="J94" s="649">
        <v>34.217577807887082</v>
      </c>
      <c r="K94" s="649">
        <v>9.4182266439786773</v>
      </c>
      <c r="L94" s="649">
        <v>2.5121160238857705</v>
      </c>
      <c r="M94" s="649">
        <v>0.47838708849063555</v>
      </c>
      <c r="N94" s="649">
        <v>0</v>
      </c>
      <c r="O94" s="649">
        <v>1.0860489583659068</v>
      </c>
      <c r="P94" s="640">
        <v>-575.7599665483873</v>
      </c>
      <c r="Q94" s="640">
        <v>0</v>
      </c>
      <c r="R94" s="640">
        <v>0</v>
      </c>
      <c r="S94" s="648">
        <v>845.14548489572212</v>
      </c>
      <c r="U94" s="646" t="s">
        <v>347</v>
      </c>
      <c r="V94" s="640">
        <v>2.9164996321078078</v>
      </c>
      <c r="W94" s="640">
        <v>0</v>
      </c>
      <c r="X94" s="640">
        <v>6.3333521168078128</v>
      </c>
      <c r="Y94" s="640">
        <v>58.629502572898801</v>
      </c>
      <c r="Z94" s="640">
        <v>1105.3443526170799</v>
      </c>
      <c r="AA94" s="640">
        <v>156.32644281876244</v>
      </c>
      <c r="AB94" s="649">
        <v>29.491752812436719</v>
      </c>
      <c r="AC94" s="649">
        <v>9.3450725233746681</v>
      </c>
      <c r="AD94" s="649">
        <v>2.5121160238857705</v>
      </c>
      <c r="AE94" s="649">
        <v>3.1867918912350612</v>
      </c>
      <c r="AF94" s="649">
        <v>0</v>
      </c>
      <c r="AG94" s="649">
        <v>1.0860489583659068</v>
      </c>
      <c r="AH94" s="640">
        <v>-572.43560291202368</v>
      </c>
      <c r="AI94" s="640">
        <v>0</v>
      </c>
      <c r="AJ94" s="640">
        <v>0</v>
      </c>
      <c r="AK94" s="648">
        <v>802.73632905493105</v>
      </c>
    </row>
    <row r="95" spans="3:37" x14ac:dyDescent="0.2">
      <c r="C95" s="646" t="s">
        <v>348</v>
      </c>
      <c r="D95" s="640">
        <v>0.12349118736872708</v>
      </c>
      <c r="E95" s="640">
        <v>0</v>
      </c>
      <c r="F95" s="640">
        <v>0</v>
      </c>
      <c r="G95" s="640">
        <v>16.768067922739682</v>
      </c>
      <c r="H95" s="640">
        <v>0</v>
      </c>
      <c r="I95" s="640">
        <v>0</v>
      </c>
      <c r="J95" s="649">
        <v>14.511462263372906</v>
      </c>
      <c r="K95" s="649">
        <v>12.721360709604678</v>
      </c>
      <c r="L95" s="649">
        <v>0</v>
      </c>
      <c r="M95" s="649">
        <v>0.35468000245125708</v>
      </c>
      <c r="N95" s="649">
        <v>0</v>
      </c>
      <c r="O95" s="649">
        <v>2.3429154336529705</v>
      </c>
      <c r="P95" s="640">
        <v>0</v>
      </c>
      <c r="Q95" s="640">
        <v>-41.535443372761243</v>
      </c>
      <c r="R95" s="640">
        <v>0</v>
      </c>
      <c r="S95" s="648">
        <v>5.2865341464289735</v>
      </c>
      <c r="U95" s="646" t="s">
        <v>348</v>
      </c>
      <c r="V95" s="640">
        <v>0.24574746286376692</v>
      </c>
      <c r="W95" s="640">
        <v>0</v>
      </c>
      <c r="X95" s="640">
        <v>0</v>
      </c>
      <c r="Y95" s="640">
        <v>18.639904753059838</v>
      </c>
      <c r="Z95" s="640">
        <v>0</v>
      </c>
      <c r="AA95" s="640">
        <v>0</v>
      </c>
      <c r="AB95" s="649">
        <v>22.139054647682539</v>
      </c>
      <c r="AC95" s="649">
        <v>18.333827420527065</v>
      </c>
      <c r="AD95" s="649">
        <v>0</v>
      </c>
      <c r="AE95" s="649">
        <v>0.99352215322234005</v>
      </c>
      <c r="AF95" s="649">
        <v>0</v>
      </c>
      <c r="AG95" s="649">
        <v>3.9855789938168567</v>
      </c>
      <c r="AH95" s="640">
        <v>0</v>
      </c>
      <c r="AI95" s="640">
        <v>-57.31222867632534</v>
      </c>
      <c r="AJ95" s="640">
        <v>0</v>
      </c>
      <c r="AK95" s="648">
        <v>7.0254067548470651</v>
      </c>
    </row>
    <row r="96" spans="3:37" x14ac:dyDescent="0.2">
      <c r="C96" s="646" t="s">
        <v>349</v>
      </c>
      <c r="D96" s="640">
        <v>0</v>
      </c>
      <c r="E96" s="640">
        <v>0</v>
      </c>
      <c r="F96" s="640">
        <v>0</v>
      </c>
      <c r="G96" s="640">
        <v>0</v>
      </c>
      <c r="H96" s="640">
        <v>0</v>
      </c>
      <c r="I96" s="640">
        <v>0</v>
      </c>
      <c r="J96" s="650">
        <v>8.112913583549977</v>
      </c>
      <c r="K96" s="650">
        <v>0</v>
      </c>
      <c r="L96" s="650">
        <v>0</v>
      </c>
      <c r="M96" s="650">
        <v>-7.1616744658787432</v>
      </c>
      <c r="N96" s="650">
        <v>0</v>
      </c>
      <c r="O96" s="650">
        <v>0</v>
      </c>
      <c r="P96" s="640">
        <v>0</v>
      </c>
      <c r="Q96" s="640">
        <v>0</v>
      </c>
      <c r="R96" s="640">
        <v>0</v>
      </c>
      <c r="S96" s="648">
        <v>0.95123911767123381</v>
      </c>
      <c r="U96" s="646" t="s">
        <v>349</v>
      </c>
      <c r="V96" s="640">
        <v>0</v>
      </c>
      <c r="W96" s="640">
        <v>0</v>
      </c>
      <c r="X96" s="640">
        <v>0</v>
      </c>
      <c r="Y96" s="640">
        <v>0</v>
      </c>
      <c r="Z96" s="640">
        <v>0</v>
      </c>
      <c r="AA96" s="640">
        <v>0</v>
      </c>
      <c r="AB96" s="650">
        <v>21.330356361778993</v>
      </c>
      <c r="AC96" s="650">
        <v>0</v>
      </c>
      <c r="AD96" s="650">
        <v>0</v>
      </c>
      <c r="AE96" s="650">
        <v>-18.829372078360407</v>
      </c>
      <c r="AF96" s="650">
        <v>0</v>
      </c>
      <c r="AG96" s="650">
        <v>0</v>
      </c>
      <c r="AH96" s="640">
        <v>0</v>
      </c>
      <c r="AI96" s="640">
        <v>0</v>
      </c>
      <c r="AJ96" s="640">
        <v>0</v>
      </c>
      <c r="AK96" s="648">
        <v>2.5009842834185854</v>
      </c>
    </row>
    <row r="97" spans="3:37" x14ac:dyDescent="0.2">
      <c r="C97" s="646" t="s">
        <v>350</v>
      </c>
      <c r="D97" s="640">
        <v>0</v>
      </c>
      <c r="E97" s="640">
        <v>0</v>
      </c>
      <c r="F97" s="640">
        <v>0</v>
      </c>
      <c r="G97" s="640">
        <v>0</v>
      </c>
      <c r="H97" s="640">
        <v>0</v>
      </c>
      <c r="I97" s="640">
        <v>0</v>
      </c>
      <c r="J97" s="640">
        <v>0</v>
      </c>
      <c r="K97" s="640">
        <v>0</v>
      </c>
      <c r="L97" s="640">
        <v>0</v>
      </c>
      <c r="M97" s="640">
        <v>0</v>
      </c>
      <c r="N97" s="640">
        <v>0</v>
      </c>
      <c r="O97" s="640">
        <v>0</v>
      </c>
      <c r="P97" s="640">
        <v>0</v>
      </c>
      <c r="Q97" s="640">
        <v>0</v>
      </c>
      <c r="R97" s="640">
        <v>0</v>
      </c>
      <c r="S97" s="648">
        <v>0</v>
      </c>
      <c r="U97" s="646" t="s">
        <v>350</v>
      </c>
      <c r="V97" s="640">
        <v>0</v>
      </c>
      <c r="W97" s="640">
        <v>0</v>
      </c>
      <c r="X97" s="640">
        <v>0</v>
      </c>
      <c r="Y97" s="640">
        <v>0</v>
      </c>
      <c r="Z97" s="640">
        <v>0</v>
      </c>
      <c r="AA97" s="640">
        <v>0</v>
      </c>
      <c r="AB97" s="640">
        <v>0</v>
      </c>
      <c r="AC97" s="640">
        <v>0</v>
      </c>
      <c r="AD97" s="640">
        <v>0</v>
      </c>
      <c r="AE97" s="640">
        <v>0</v>
      </c>
      <c r="AF97" s="640">
        <v>0</v>
      </c>
      <c r="AG97" s="640">
        <v>0</v>
      </c>
      <c r="AH97" s="640">
        <v>0</v>
      </c>
      <c r="AI97" s="640">
        <v>0</v>
      </c>
      <c r="AJ97" s="640">
        <v>0</v>
      </c>
      <c r="AK97" s="648">
        <v>0</v>
      </c>
    </row>
    <row r="98" spans="3:37" x14ac:dyDescent="0.2">
      <c r="C98" s="646" t="s">
        <v>72</v>
      </c>
      <c r="D98" s="640">
        <v>0</v>
      </c>
      <c r="E98" s="640">
        <v>583.50105466083789</v>
      </c>
      <c r="F98" s="640">
        <v>-577.66604411422952</v>
      </c>
      <c r="G98" s="640">
        <v>0</v>
      </c>
      <c r="H98" s="640">
        <v>0</v>
      </c>
      <c r="I98" s="640">
        <v>0</v>
      </c>
      <c r="J98" s="640">
        <v>0</v>
      </c>
      <c r="K98" s="640">
        <v>0</v>
      </c>
      <c r="L98" s="640">
        <v>0</v>
      </c>
      <c r="M98" s="640">
        <v>0</v>
      </c>
      <c r="N98" s="640">
        <v>0</v>
      </c>
      <c r="O98" s="640">
        <v>0</v>
      </c>
      <c r="P98" s="640">
        <v>0</v>
      </c>
      <c r="Q98" s="640">
        <v>0</v>
      </c>
      <c r="R98" s="640">
        <v>0</v>
      </c>
      <c r="S98" s="648">
        <v>5.8350105466083733</v>
      </c>
      <c r="U98" s="646" t="s">
        <v>72</v>
      </c>
      <c r="V98" s="640">
        <v>0</v>
      </c>
      <c r="W98" s="640">
        <v>513.08713872730914</v>
      </c>
      <c r="X98" s="640">
        <v>-507.95626734003605</v>
      </c>
      <c r="Y98" s="640">
        <v>0</v>
      </c>
      <c r="Z98" s="640">
        <v>0</v>
      </c>
      <c r="AA98" s="640">
        <v>0</v>
      </c>
      <c r="AB98" s="640">
        <v>0</v>
      </c>
      <c r="AC98" s="640">
        <v>0</v>
      </c>
      <c r="AD98" s="640">
        <v>0</v>
      </c>
      <c r="AE98" s="640">
        <v>0</v>
      </c>
      <c r="AF98" s="640">
        <v>0</v>
      </c>
      <c r="AG98" s="640">
        <v>0</v>
      </c>
      <c r="AH98" s="640">
        <v>0</v>
      </c>
      <c r="AI98" s="640">
        <v>0</v>
      </c>
      <c r="AJ98" s="640">
        <v>0</v>
      </c>
      <c r="AK98" s="648">
        <v>5.1308713872730891</v>
      </c>
    </row>
    <row r="99" spans="3:37" x14ac:dyDescent="0.2">
      <c r="C99" s="646" t="s">
        <v>351</v>
      </c>
      <c r="D99" s="640">
        <v>0</v>
      </c>
      <c r="E99" s="640">
        <v>0</v>
      </c>
      <c r="F99" s="640">
        <v>0</v>
      </c>
      <c r="G99" s="640">
        <v>0</v>
      </c>
      <c r="H99" s="640">
        <v>0</v>
      </c>
      <c r="I99" s="640">
        <v>0</v>
      </c>
      <c r="J99" s="640">
        <v>43.567433114887073</v>
      </c>
      <c r="K99" s="640">
        <v>0</v>
      </c>
      <c r="L99" s="640">
        <v>-43.567433114887073</v>
      </c>
      <c r="M99" s="640">
        <v>0</v>
      </c>
      <c r="N99" s="640">
        <v>0</v>
      </c>
      <c r="O99" s="640">
        <v>0</v>
      </c>
      <c r="P99" s="640">
        <v>0</v>
      </c>
      <c r="Q99" s="640">
        <v>0</v>
      </c>
      <c r="R99" s="640">
        <v>0</v>
      </c>
      <c r="S99" s="648">
        <v>0</v>
      </c>
      <c r="U99" s="646" t="s">
        <v>351</v>
      </c>
      <c r="V99" s="640">
        <v>0</v>
      </c>
      <c r="W99" s="640">
        <v>0</v>
      </c>
      <c r="X99" s="640">
        <v>0</v>
      </c>
      <c r="Y99" s="640">
        <v>0</v>
      </c>
      <c r="Z99" s="640">
        <v>0</v>
      </c>
      <c r="AA99" s="640">
        <v>0</v>
      </c>
      <c r="AB99" s="640" t="e">
        <v>#VALUE!</v>
      </c>
      <c r="AC99" s="640">
        <v>0</v>
      </c>
      <c r="AD99" s="640">
        <v>-45.82837485909166</v>
      </c>
      <c r="AE99" s="640">
        <v>0</v>
      </c>
      <c r="AF99" s="640">
        <v>0</v>
      </c>
      <c r="AG99" s="640">
        <v>0</v>
      </c>
      <c r="AH99" s="640">
        <v>0</v>
      </c>
      <c r="AI99" s="640">
        <v>0</v>
      </c>
      <c r="AJ99" s="640">
        <v>0</v>
      </c>
      <c r="AK99" s="648">
        <v>-45.82837485909166</v>
      </c>
    </row>
    <row r="100" spans="3:37" x14ac:dyDescent="0.2">
      <c r="C100" s="646" t="s">
        <v>352</v>
      </c>
      <c r="D100" s="640">
        <v>0</v>
      </c>
      <c r="E100" s="640">
        <v>0</v>
      </c>
      <c r="F100" s="640">
        <v>0</v>
      </c>
      <c r="G100" s="640">
        <v>0</v>
      </c>
      <c r="H100" s="640">
        <v>0</v>
      </c>
      <c r="I100" s="640">
        <v>0</v>
      </c>
      <c r="J100" s="640">
        <v>0</v>
      </c>
      <c r="K100" s="640">
        <v>0</v>
      </c>
      <c r="L100" s="640">
        <v>0</v>
      </c>
      <c r="M100" s="640">
        <v>0</v>
      </c>
      <c r="N100" s="640">
        <v>0</v>
      </c>
      <c r="O100" s="640">
        <v>0</v>
      </c>
      <c r="P100" s="640">
        <v>0</v>
      </c>
      <c r="Q100" s="640">
        <v>0</v>
      </c>
      <c r="R100" s="640">
        <v>0</v>
      </c>
      <c r="S100" s="648">
        <v>0</v>
      </c>
      <c r="U100" s="646" t="s">
        <v>352</v>
      </c>
      <c r="V100" s="640">
        <v>0</v>
      </c>
      <c r="W100" s="640">
        <v>0</v>
      </c>
      <c r="X100" s="640">
        <v>0</v>
      </c>
      <c r="Y100" s="640">
        <v>0</v>
      </c>
      <c r="Z100" s="640">
        <v>0</v>
      </c>
      <c r="AA100" s="640">
        <v>0</v>
      </c>
      <c r="AB100" s="640">
        <v>0</v>
      </c>
      <c r="AC100" s="640">
        <v>0</v>
      </c>
      <c r="AD100" s="640">
        <v>0</v>
      </c>
      <c r="AE100" s="640">
        <v>0</v>
      </c>
      <c r="AF100" s="640">
        <v>0</v>
      </c>
      <c r="AG100" s="640">
        <v>0</v>
      </c>
      <c r="AH100" s="640">
        <v>0</v>
      </c>
      <c r="AI100" s="640">
        <v>0</v>
      </c>
      <c r="AJ100" s="640">
        <v>0</v>
      </c>
      <c r="AK100" s="648">
        <v>0</v>
      </c>
    </row>
    <row r="101" spans="3:37" x14ac:dyDescent="0.2">
      <c r="C101" s="646" t="s">
        <v>73</v>
      </c>
      <c r="D101" s="640">
        <v>0</v>
      </c>
      <c r="E101" s="640">
        <v>0</v>
      </c>
      <c r="F101" s="640">
        <v>0</v>
      </c>
      <c r="G101" s="640">
        <v>0.51300159561157233</v>
      </c>
      <c r="H101" s="640">
        <v>0</v>
      </c>
      <c r="I101" s="640">
        <v>0</v>
      </c>
      <c r="J101" s="640">
        <v>0</v>
      </c>
      <c r="K101" s="640">
        <v>5.6591461181640631E-3</v>
      </c>
      <c r="L101" s="640">
        <v>0</v>
      </c>
      <c r="M101" s="640">
        <v>1.0469420318603517E-2</v>
      </c>
      <c r="N101" s="640">
        <v>0</v>
      </c>
      <c r="O101" s="640">
        <v>0</v>
      </c>
      <c r="P101" s="640">
        <v>3.9614022827148432E-2</v>
      </c>
      <c r="Q101" s="640">
        <v>0</v>
      </c>
      <c r="R101" s="640">
        <v>-0.39614022827148437</v>
      </c>
      <c r="S101" s="648">
        <v>0.17260395660400402</v>
      </c>
      <c r="U101" s="646" t="s">
        <v>73</v>
      </c>
      <c r="V101" s="640">
        <v>0</v>
      </c>
      <c r="W101" s="640">
        <v>0</v>
      </c>
      <c r="X101" s="640">
        <v>0</v>
      </c>
      <c r="Y101" s="640">
        <v>2.0927767434982734</v>
      </c>
      <c r="Z101" s="640">
        <v>0</v>
      </c>
      <c r="AA101" s="640">
        <v>0</v>
      </c>
      <c r="AB101" s="640">
        <v>0</v>
      </c>
      <c r="AC101" s="640">
        <v>3.312665996831457E-2</v>
      </c>
      <c r="AD101" s="640">
        <v>0</v>
      </c>
      <c r="AE101" s="640">
        <v>0.11014614439464597</v>
      </c>
      <c r="AF101" s="640">
        <v>0</v>
      </c>
      <c r="AG101" s="640">
        <v>0</v>
      </c>
      <c r="AH101" s="640">
        <v>1.15943309889101</v>
      </c>
      <c r="AI101" s="640">
        <v>0</v>
      </c>
      <c r="AJ101" s="640">
        <v>-2.31886619778202</v>
      </c>
      <c r="AK101" s="648">
        <v>1.0766164489702237</v>
      </c>
    </row>
    <row r="102" spans="3:37" x14ac:dyDescent="0.2">
      <c r="C102" s="646" t="s">
        <v>353</v>
      </c>
      <c r="D102" s="640">
        <v>30.168562499999993</v>
      </c>
      <c r="E102" s="640">
        <v>-20.218311543998034</v>
      </c>
      <c r="F102" s="640">
        <v>26.444357300871886</v>
      </c>
      <c r="G102" s="640">
        <v>0</v>
      </c>
      <c r="H102" s="640">
        <v>0</v>
      </c>
      <c r="I102" s="640">
        <v>0</v>
      </c>
      <c r="J102" s="640">
        <v>0</v>
      </c>
      <c r="K102" s="640">
        <v>0</v>
      </c>
      <c r="L102" s="640">
        <v>0</v>
      </c>
      <c r="M102" s="640">
        <v>0</v>
      </c>
      <c r="N102" s="640">
        <v>0</v>
      </c>
      <c r="O102" s="640">
        <v>0</v>
      </c>
      <c r="P102" s="640">
        <v>0</v>
      </c>
      <c r="Q102" s="640">
        <v>0</v>
      </c>
      <c r="R102" s="640">
        <v>0</v>
      </c>
      <c r="S102" s="648">
        <v>36.394608256873845</v>
      </c>
      <c r="U102" s="646" t="s">
        <v>353</v>
      </c>
      <c r="V102" s="640">
        <v>13.02096923828125</v>
      </c>
      <c r="W102" s="640">
        <v>-17.778469356901262</v>
      </c>
      <c r="X102" s="640">
        <v>23.253187829923604</v>
      </c>
      <c r="Y102" s="640">
        <v>0</v>
      </c>
      <c r="Z102" s="640">
        <v>0</v>
      </c>
      <c r="AA102" s="640">
        <v>0</v>
      </c>
      <c r="AB102" s="640">
        <v>0</v>
      </c>
      <c r="AC102" s="640">
        <v>0</v>
      </c>
      <c r="AD102" s="640">
        <v>0</v>
      </c>
      <c r="AE102" s="640">
        <v>0</v>
      </c>
      <c r="AF102" s="640">
        <v>0</v>
      </c>
      <c r="AG102" s="640">
        <v>0</v>
      </c>
      <c r="AH102" s="640">
        <v>0</v>
      </c>
      <c r="AI102" s="640">
        <v>0</v>
      </c>
      <c r="AJ102" s="640">
        <v>0</v>
      </c>
      <c r="AK102" s="648">
        <v>18.495687711303592</v>
      </c>
    </row>
    <row r="103" spans="3:37" x14ac:dyDescent="0.2">
      <c r="C103" s="646" t="s">
        <v>75</v>
      </c>
      <c r="D103" s="640">
        <v>11.732218749999999</v>
      </c>
      <c r="E103" s="640">
        <v>0</v>
      </c>
      <c r="F103" s="640">
        <v>19.839035858468488</v>
      </c>
      <c r="G103" s="640">
        <v>5.6611272323194495</v>
      </c>
      <c r="H103" s="640">
        <v>0</v>
      </c>
      <c r="I103" s="640">
        <v>0</v>
      </c>
      <c r="J103" s="640">
        <v>0</v>
      </c>
      <c r="K103" s="640">
        <v>0</v>
      </c>
      <c r="L103" s="640">
        <v>0</v>
      </c>
      <c r="M103" s="640">
        <v>0.11553320882284591</v>
      </c>
      <c r="N103" s="640">
        <v>0</v>
      </c>
      <c r="O103" s="640">
        <v>0</v>
      </c>
      <c r="P103" s="640">
        <v>36.290441897725728</v>
      </c>
      <c r="Q103" s="640">
        <v>0</v>
      </c>
      <c r="R103" s="640">
        <v>0</v>
      </c>
      <c r="S103" s="648">
        <v>73.638356947336518</v>
      </c>
      <c r="U103" s="646" t="s">
        <v>75</v>
      </c>
      <c r="V103" s="640">
        <v>10.2975283203125</v>
      </c>
      <c r="W103" s="640">
        <v>0</v>
      </c>
      <c r="X103" s="640">
        <v>19.839035858468488</v>
      </c>
      <c r="Y103" s="640">
        <v>5.487827419085181</v>
      </c>
      <c r="Z103" s="640">
        <v>0</v>
      </c>
      <c r="AA103" s="640">
        <v>0</v>
      </c>
      <c r="AB103" s="640">
        <v>0</v>
      </c>
      <c r="AC103" s="640">
        <v>0</v>
      </c>
      <c r="AD103" s="640">
        <v>0</v>
      </c>
      <c r="AE103" s="640">
        <v>0.28883302205711481</v>
      </c>
      <c r="AF103" s="640">
        <v>0</v>
      </c>
      <c r="AG103" s="640">
        <v>0</v>
      </c>
      <c r="AH103" s="640">
        <v>33.686888178717467</v>
      </c>
      <c r="AI103" s="640">
        <v>0</v>
      </c>
      <c r="AJ103" s="640">
        <v>0</v>
      </c>
      <c r="AK103" s="648">
        <v>69.600112798640737</v>
      </c>
    </row>
    <row r="104" spans="3:37" x14ac:dyDescent="0.2">
      <c r="C104" s="646" t="s">
        <v>76</v>
      </c>
      <c r="D104" s="640">
        <v>0</v>
      </c>
      <c r="E104" s="640">
        <v>0</v>
      </c>
      <c r="F104" s="640">
        <v>0</v>
      </c>
      <c r="G104" s="640">
        <v>4.1611310137714437</v>
      </c>
      <c r="H104" s="640">
        <v>0</v>
      </c>
      <c r="I104" s="640">
        <v>0</v>
      </c>
      <c r="J104" s="640">
        <v>0</v>
      </c>
      <c r="K104" s="640">
        <v>0</v>
      </c>
      <c r="L104" s="640">
        <v>0</v>
      </c>
      <c r="M104" s="640">
        <v>8.4921041097376401E-2</v>
      </c>
      <c r="N104" s="640">
        <v>0</v>
      </c>
      <c r="O104" s="640">
        <v>0</v>
      </c>
      <c r="P104" s="640">
        <v>39.192716927085932</v>
      </c>
      <c r="Q104" s="640">
        <v>3.2227514144892391</v>
      </c>
      <c r="R104" s="640">
        <v>0</v>
      </c>
      <c r="S104" s="648">
        <v>46.66152039644399</v>
      </c>
      <c r="U104" s="646" t="s">
        <v>76</v>
      </c>
      <c r="V104" s="640">
        <v>0</v>
      </c>
      <c r="W104" s="640">
        <v>0</v>
      </c>
      <c r="X104" s="640">
        <v>0</v>
      </c>
      <c r="Y104" s="640">
        <v>4.2421905472985904</v>
      </c>
      <c r="Z104" s="640">
        <v>0</v>
      </c>
      <c r="AA104" s="640">
        <v>0</v>
      </c>
      <c r="AB104" s="640">
        <v>0</v>
      </c>
      <c r="AC104" s="640">
        <v>0</v>
      </c>
      <c r="AD104" s="640">
        <v>0</v>
      </c>
      <c r="AE104" s="640">
        <v>0.2232731866999258</v>
      </c>
      <c r="AF104" s="640">
        <v>0</v>
      </c>
      <c r="AG104" s="640">
        <v>0</v>
      </c>
      <c r="AH104" s="640">
        <v>39.221580519444494</v>
      </c>
      <c r="AI104" s="640">
        <v>4.4453067332156078</v>
      </c>
      <c r="AJ104" s="640">
        <v>0</v>
      </c>
      <c r="AK104" s="648">
        <v>48.132350986658622</v>
      </c>
    </row>
    <row r="105" spans="3:37" x14ac:dyDescent="0.2">
      <c r="C105" s="644" t="s">
        <v>77</v>
      </c>
      <c r="D105" s="645">
        <v>44.8550394434155</v>
      </c>
      <c r="E105" s="645">
        <v>563.28274311683981</v>
      </c>
      <c r="F105" s="645">
        <v>-523.5616955322962</v>
      </c>
      <c r="G105" s="645">
        <v>45.593893802178002</v>
      </c>
      <c r="H105" s="645">
        <v>1190.909090909091</v>
      </c>
      <c r="I105" s="645">
        <v>153.14171554603519</v>
      </c>
      <c r="J105" s="645">
        <v>100.40938676969702</v>
      </c>
      <c r="K105" s="645">
        <v>22.145246499701521</v>
      </c>
      <c r="L105" s="645">
        <v>-41.055317091001299</v>
      </c>
      <c r="M105" s="645">
        <v>-6.1176837046980248</v>
      </c>
      <c r="N105" s="645">
        <v>0</v>
      </c>
      <c r="O105" s="645">
        <v>3.4289643920188775</v>
      </c>
      <c r="P105" s="645">
        <v>-500.23719370074849</v>
      </c>
      <c r="Q105" s="645">
        <v>-38.312691958272012</v>
      </c>
      <c r="R105" s="645">
        <v>-0.39614022827148437</v>
      </c>
      <c r="S105" s="645">
        <v>1014.085358263689</v>
      </c>
      <c r="U105" s="644" t="s">
        <v>77</v>
      </c>
      <c r="V105" s="645">
        <v>26.480744653565324</v>
      </c>
      <c r="W105" s="645">
        <v>495.30866937040787</v>
      </c>
      <c r="X105" s="645">
        <v>-458.53069153483614</v>
      </c>
      <c r="Y105" s="645">
        <v>89.092202035840685</v>
      </c>
      <c r="Z105" s="645">
        <v>1105.3443526170799</v>
      </c>
      <c r="AA105" s="645">
        <v>156.32644281876244</v>
      </c>
      <c r="AB105" s="645">
        <v>72.961163821898253</v>
      </c>
      <c r="AC105" s="645">
        <v>27.712026603870047</v>
      </c>
      <c r="AD105" s="645">
        <v>-43.316258835205886</v>
      </c>
      <c r="AE105" s="645">
        <v>-14.02680568075132</v>
      </c>
      <c r="AF105" s="645">
        <v>0</v>
      </c>
      <c r="AG105" s="645">
        <v>5.0716279521827641</v>
      </c>
      <c r="AH105" s="645">
        <v>-498.36770111497077</v>
      </c>
      <c r="AI105" s="645">
        <v>-52.866921943109737</v>
      </c>
      <c r="AJ105" s="645">
        <v>-2.31886619778202</v>
      </c>
      <c r="AK105" s="645">
        <v>908.86998456695119</v>
      </c>
    </row>
    <row r="106" spans="3:37" x14ac:dyDescent="0.2">
      <c r="C106" s="634"/>
      <c r="D106" s="634">
        <v>0</v>
      </c>
      <c r="E106" s="634">
        <v>0</v>
      </c>
      <c r="F106" s="634">
        <v>0</v>
      </c>
      <c r="G106" s="634">
        <v>0</v>
      </c>
      <c r="H106" s="634">
        <v>0</v>
      </c>
      <c r="I106" s="634">
        <v>0</v>
      </c>
      <c r="J106" s="634">
        <v>0</v>
      </c>
      <c r="K106" s="634">
        <v>0</v>
      </c>
      <c r="L106" s="634">
        <v>0</v>
      </c>
      <c r="M106" s="634">
        <v>0</v>
      </c>
      <c r="N106" s="634">
        <v>0</v>
      </c>
      <c r="O106" s="634">
        <v>0</v>
      </c>
      <c r="P106" s="634">
        <v>0</v>
      </c>
      <c r="Q106" s="634">
        <v>0</v>
      </c>
      <c r="R106" s="634">
        <v>0</v>
      </c>
      <c r="S106" s="634">
        <v>0</v>
      </c>
      <c r="U106" s="634"/>
      <c r="V106" s="634">
        <v>0</v>
      </c>
      <c r="W106" s="634">
        <v>0</v>
      </c>
      <c r="X106" s="634">
        <v>0</v>
      </c>
      <c r="Y106" s="634">
        <v>0</v>
      </c>
      <c r="Z106" s="634">
        <v>0</v>
      </c>
      <c r="AA106" s="634">
        <v>0</v>
      </c>
      <c r="AB106" s="634">
        <v>0</v>
      </c>
      <c r="AC106" s="634">
        <v>0</v>
      </c>
      <c r="AD106" s="634">
        <v>0</v>
      </c>
      <c r="AE106" s="634">
        <v>0</v>
      </c>
      <c r="AF106" s="634">
        <v>0</v>
      </c>
      <c r="AG106" s="634">
        <v>0</v>
      </c>
      <c r="AH106" s="634">
        <v>0</v>
      </c>
      <c r="AI106" s="634">
        <v>0</v>
      </c>
      <c r="AJ106" s="634">
        <v>0</v>
      </c>
      <c r="AK106" s="634">
        <v>0</v>
      </c>
    </row>
    <row r="107" spans="3:37" x14ac:dyDescent="0.2">
      <c r="C107" s="646" t="s">
        <v>78</v>
      </c>
      <c r="D107" s="640">
        <v>7.0843993210285721</v>
      </c>
      <c r="E107" s="640">
        <v>0</v>
      </c>
      <c r="F107" s="640">
        <v>27.107499244386606</v>
      </c>
      <c r="G107" s="640">
        <v>109.63750187259986</v>
      </c>
      <c r="H107" s="640">
        <v>0</v>
      </c>
      <c r="I107" s="640">
        <v>0</v>
      </c>
      <c r="J107" s="640">
        <v>17.593885172405454</v>
      </c>
      <c r="K107" s="640">
        <v>1.7237647195692531</v>
      </c>
      <c r="L107" s="640">
        <v>0.83302892187499988</v>
      </c>
      <c r="M107" s="640">
        <v>2.2562819387026423</v>
      </c>
      <c r="N107" s="640">
        <v>0</v>
      </c>
      <c r="O107" s="640">
        <v>3.8289980908217579E-4</v>
      </c>
      <c r="P107" s="640">
        <v>110.31623789955354</v>
      </c>
      <c r="Q107" s="640">
        <v>16.994133911313323</v>
      </c>
      <c r="R107" s="640">
        <v>0.39614022827148437</v>
      </c>
      <c r="S107" s="648">
        <v>293.94325612951479</v>
      </c>
      <c r="U107" s="646" t="s">
        <v>78</v>
      </c>
      <c r="V107" s="640">
        <v>3.885325727516717</v>
      </c>
      <c r="W107" s="640">
        <v>0</v>
      </c>
      <c r="X107" s="640">
        <v>23.321309480837726</v>
      </c>
      <c r="Y107" s="640">
        <v>96.699296914521057</v>
      </c>
      <c r="Z107" s="640">
        <v>0</v>
      </c>
      <c r="AA107" s="640">
        <v>0</v>
      </c>
      <c r="AB107" s="640">
        <v>18.074671536539281</v>
      </c>
      <c r="AC107" s="640">
        <v>5.2394534429757353</v>
      </c>
      <c r="AD107" s="640">
        <v>0.94215535644531256</v>
      </c>
      <c r="AE107" s="640">
        <v>5.1082185801979545</v>
      </c>
      <c r="AF107" s="640">
        <v>0</v>
      </c>
      <c r="AG107" s="640">
        <v>3.8289980908217579E-4</v>
      </c>
      <c r="AH107" s="640">
        <v>125.74204552909232</v>
      </c>
      <c r="AI107" s="640">
        <v>19.862626301688149</v>
      </c>
      <c r="AJ107" s="640">
        <v>1.1177628173828125</v>
      </c>
      <c r="AK107" s="648">
        <v>299.99324858700612</v>
      </c>
    </row>
    <row r="108" spans="3:37" x14ac:dyDescent="0.2">
      <c r="C108" s="646" t="s">
        <v>79</v>
      </c>
      <c r="D108" s="640">
        <v>0</v>
      </c>
      <c r="E108" s="640">
        <v>0</v>
      </c>
      <c r="F108" s="640">
        <v>408.63289173322238</v>
      </c>
      <c r="G108" s="640">
        <v>6.6484606559899468</v>
      </c>
      <c r="H108" s="640">
        <v>0</v>
      </c>
      <c r="I108" s="640">
        <v>0</v>
      </c>
      <c r="J108" s="640">
        <v>0</v>
      </c>
      <c r="K108" s="640">
        <v>0</v>
      </c>
      <c r="L108" s="640">
        <v>39.656272012198485</v>
      </c>
      <c r="M108" s="640">
        <v>0.13568287053040709</v>
      </c>
      <c r="N108" s="640">
        <v>0</v>
      </c>
      <c r="O108" s="640">
        <v>0</v>
      </c>
      <c r="P108" s="640">
        <v>17.908429224736064</v>
      </c>
      <c r="Q108" s="640">
        <v>0</v>
      </c>
      <c r="R108" s="640">
        <v>0</v>
      </c>
      <c r="S108" s="648">
        <v>472.98173649667723</v>
      </c>
      <c r="U108" s="646" t="s">
        <v>79</v>
      </c>
      <c r="V108" s="640">
        <v>0</v>
      </c>
      <c r="W108" s="640">
        <v>0</v>
      </c>
      <c r="X108" s="640">
        <v>375.77190763394009</v>
      </c>
      <c r="Y108" s="640">
        <v>6.755817454004311</v>
      </c>
      <c r="Z108" s="640">
        <v>0</v>
      </c>
      <c r="AA108" s="640">
        <v>0</v>
      </c>
      <c r="AB108" s="640">
        <v>0</v>
      </c>
      <c r="AC108" s="640">
        <v>0</v>
      </c>
      <c r="AD108" s="640">
        <v>39.472711320953763</v>
      </c>
      <c r="AE108" s="640">
        <v>0.35556933968443744</v>
      </c>
      <c r="AF108" s="640">
        <v>0</v>
      </c>
      <c r="AG108" s="640">
        <v>0</v>
      </c>
      <c r="AH108" s="640">
        <v>17.446496979828503</v>
      </c>
      <c r="AI108" s="640">
        <v>0</v>
      </c>
      <c r="AJ108" s="640">
        <v>0</v>
      </c>
      <c r="AK108" s="648">
        <v>439.80250272841107</v>
      </c>
    </row>
    <row r="109" spans="3:37" x14ac:dyDescent="0.2">
      <c r="C109" s="646" t="s">
        <v>80</v>
      </c>
      <c r="D109" s="640">
        <v>0</v>
      </c>
      <c r="E109" s="640">
        <v>0</v>
      </c>
      <c r="F109" s="640">
        <v>41.084750674599483</v>
      </c>
      <c r="G109" s="640">
        <v>119.79409980429404</v>
      </c>
      <c r="H109" s="640">
        <v>0</v>
      </c>
      <c r="I109" s="640">
        <v>0</v>
      </c>
      <c r="J109" s="640">
        <v>72.996556103181632</v>
      </c>
      <c r="K109" s="640">
        <v>0</v>
      </c>
      <c r="L109" s="640">
        <v>0</v>
      </c>
      <c r="M109" s="640">
        <v>2.4447775470264088</v>
      </c>
      <c r="N109" s="640">
        <v>32.811205728954405</v>
      </c>
      <c r="O109" s="640">
        <v>1.4994987295121316</v>
      </c>
      <c r="P109" s="640">
        <v>168.17343522041736</v>
      </c>
      <c r="Q109" s="640">
        <v>15.992572069761611</v>
      </c>
      <c r="R109" s="640">
        <v>0</v>
      </c>
      <c r="S109" s="648">
        <v>454.79689587774703</v>
      </c>
      <c r="U109" s="646" t="s">
        <v>80</v>
      </c>
      <c r="V109" s="640">
        <v>0</v>
      </c>
      <c r="W109" s="640">
        <v>0</v>
      </c>
      <c r="X109" s="640">
        <v>34.76631066711105</v>
      </c>
      <c r="Y109" s="640">
        <v>106.63972230210601</v>
      </c>
      <c r="Z109" s="640">
        <v>0</v>
      </c>
      <c r="AA109" s="640">
        <v>0</v>
      </c>
      <c r="AB109" s="640">
        <v>79.335392755141783</v>
      </c>
      <c r="AC109" s="640">
        <v>0</v>
      </c>
      <c r="AD109" s="640">
        <v>0</v>
      </c>
      <c r="AE109" s="640">
        <v>5.6126169632687386</v>
      </c>
      <c r="AF109" s="640">
        <v>35.519956519553347</v>
      </c>
      <c r="AG109" s="640">
        <v>1.427931671492281</v>
      </c>
      <c r="AH109" s="640">
        <v>160.67228544284913</v>
      </c>
      <c r="AI109" s="640">
        <v>25.929258094327544</v>
      </c>
      <c r="AJ109" s="640">
        <v>0</v>
      </c>
      <c r="AK109" s="648">
        <v>449.90347441584998</v>
      </c>
    </row>
    <row r="110" spans="3:37" x14ac:dyDescent="0.2">
      <c r="C110" s="646" t="s">
        <v>81</v>
      </c>
      <c r="D110" s="640">
        <v>0</v>
      </c>
      <c r="E110" s="640">
        <v>0</v>
      </c>
      <c r="F110" s="640">
        <v>21.278250753083572</v>
      </c>
      <c r="G110" s="640">
        <v>66.807967366338673</v>
      </c>
      <c r="H110" s="640">
        <v>0</v>
      </c>
      <c r="I110" s="640">
        <v>0</v>
      </c>
      <c r="J110" s="640">
        <v>3.9976752731894716</v>
      </c>
      <c r="K110" s="640">
        <v>2.6432002043970358E-2</v>
      </c>
      <c r="L110" s="640">
        <v>0</v>
      </c>
      <c r="M110" s="640">
        <v>1.3634279054354832</v>
      </c>
      <c r="N110" s="640">
        <v>6.5080361221152287</v>
      </c>
      <c r="O110" s="640">
        <v>0.94378280475996701</v>
      </c>
      <c r="P110" s="640">
        <v>131.53831129097264</v>
      </c>
      <c r="Q110" s="640">
        <v>5.3259859771970728</v>
      </c>
      <c r="R110" s="640">
        <v>0</v>
      </c>
      <c r="S110" s="648">
        <v>237.78986949513609</v>
      </c>
      <c r="U110" s="646" t="s">
        <v>81</v>
      </c>
      <c r="V110" s="640">
        <v>0</v>
      </c>
      <c r="W110" s="640">
        <v>0</v>
      </c>
      <c r="X110" s="640">
        <v>15.239894940926636</v>
      </c>
      <c r="Y110" s="640">
        <v>55.988063388934151</v>
      </c>
      <c r="Z110" s="640">
        <v>0</v>
      </c>
      <c r="AA110" s="640">
        <v>0</v>
      </c>
      <c r="AB110" s="640">
        <v>6.2628201133829862</v>
      </c>
      <c r="AC110" s="640">
        <v>2.6432002043970358E-2</v>
      </c>
      <c r="AD110" s="640">
        <v>0</v>
      </c>
      <c r="AE110" s="640">
        <v>2.9467401783649554</v>
      </c>
      <c r="AF110" s="640">
        <v>11.4217194648713</v>
      </c>
      <c r="AG110" s="640">
        <v>1.4420725885698453</v>
      </c>
      <c r="AH110" s="640">
        <v>125.88549835067262</v>
      </c>
      <c r="AI110" s="640">
        <v>7.0750375470940394</v>
      </c>
      <c r="AJ110" s="640">
        <v>0</v>
      </c>
      <c r="AK110" s="648">
        <v>226.28827857486053</v>
      </c>
    </row>
    <row r="111" spans="3:37" x14ac:dyDescent="0.2">
      <c r="C111" s="646" t="s">
        <v>82</v>
      </c>
      <c r="D111" s="640">
        <v>0</v>
      </c>
      <c r="E111" s="640">
        <v>0</v>
      </c>
      <c r="F111" s="640">
        <v>34.492480565946664</v>
      </c>
      <c r="G111" s="640">
        <v>2.4401253266579648</v>
      </c>
      <c r="H111" s="640">
        <v>0</v>
      </c>
      <c r="I111" s="640">
        <v>0</v>
      </c>
      <c r="J111" s="640">
        <v>0.70706396927287185</v>
      </c>
      <c r="K111" s="640">
        <v>0</v>
      </c>
      <c r="L111" s="640">
        <v>2.2606527751608563</v>
      </c>
      <c r="M111" s="640">
        <v>4.979847605424418E-2</v>
      </c>
      <c r="N111" s="640">
        <v>0</v>
      </c>
      <c r="O111" s="640">
        <v>9.0201671928645533E-2</v>
      </c>
      <c r="P111" s="640">
        <v>8.2455072704191767</v>
      </c>
      <c r="Q111" s="640">
        <v>0</v>
      </c>
      <c r="R111" s="640">
        <v>0</v>
      </c>
      <c r="S111" s="648">
        <v>48.285830055440421</v>
      </c>
      <c r="U111" s="646" t="s">
        <v>82</v>
      </c>
      <c r="V111" s="640">
        <v>0</v>
      </c>
      <c r="W111" s="640">
        <v>0</v>
      </c>
      <c r="X111" s="640">
        <v>33.216742540132081</v>
      </c>
      <c r="Y111" s="640">
        <v>2.5829673934416131</v>
      </c>
      <c r="Z111" s="640">
        <v>0</v>
      </c>
      <c r="AA111" s="640">
        <v>0</v>
      </c>
      <c r="AB111" s="640">
        <v>0.70706396927287185</v>
      </c>
      <c r="AC111" s="640">
        <v>0</v>
      </c>
      <c r="AD111" s="640">
        <v>3.7843312923041141</v>
      </c>
      <c r="AE111" s="640">
        <v>0.13594565228640071</v>
      </c>
      <c r="AF111" s="640">
        <v>0</v>
      </c>
      <c r="AG111" s="640">
        <v>0.36066131262685786</v>
      </c>
      <c r="AH111" s="640">
        <v>8.2670833714025918</v>
      </c>
      <c r="AI111" s="640">
        <v>0</v>
      </c>
      <c r="AJ111" s="640">
        <v>8.6831190235855574E-2</v>
      </c>
      <c r="AK111" s="648">
        <v>49.141626721702394</v>
      </c>
    </row>
    <row r="112" spans="3:37" x14ac:dyDescent="0.2">
      <c r="C112" s="646" t="s">
        <v>354</v>
      </c>
      <c r="D112" s="640">
        <v>0</v>
      </c>
      <c r="E112" s="640">
        <v>0</v>
      </c>
      <c r="F112" s="640">
        <v>0</v>
      </c>
      <c r="G112" s="640">
        <v>0</v>
      </c>
      <c r="H112" s="640">
        <v>0</v>
      </c>
      <c r="I112" s="640">
        <v>0</v>
      </c>
      <c r="J112" s="640">
        <v>0</v>
      </c>
      <c r="K112" s="640">
        <v>0</v>
      </c>
      <c r="L112" s="640">
        <v>0</v>
      </c>
      <c r="M112" s="640">
        <v>0</v>
      </c>
      <c r="N112" s="640">
        <v>0</v>
      </c>
      <c r="O112" s="640">
        <v>0</v>
      </c>
      <c r="P112" s="640">
        <v>0</v>
      </c>
      <c r="Q112" s="640">
        <v>0</v>
      </c>
      <c r="R112" s="640">
        <v>0</v>
      </c>
      <c r="S112" s="648">
        <v>0</v>
      </c>
      <c r="U112" s="646" t="s">
        <v>354</v>
      </c>
      <c r="V112" s="640">
        <v>0</v>
      </c>
      <c r="W112" s="640">
        <v>0</v>
      </c>
      <c r="X112" s="640">
        <v>0</v>
      </c>
      <c r="Y112" s="640">
        <v>0</v>
      </c>
      <c r="Z112" s="640">
        <v>0</v>
      </c>
      <c r="AA112" s="640">
        <v>0</v>
      </c>
      <c r="AB112" s="640">
        <v>0</v>
      </c>
      <c r="AC112" s="640">
        <v>0</v>
      </c>
      <c r="AD112" s="640">
        <v>0</v>
      </c>
      <c r="AE112" s="640">
        <v>0</v>
      </c>
      <c r="AF112" s="640">
        <v>0</v>
      </c>
      <c r="AG112" s="640">
        <v>0</v>
      </c>
      <c r="AH112" s="640">
        <v>0</v>
      </c>
      <c r="AI112" s="640">
        <v>0</v>
      </c>
      <c r="AJ112" s="640">
        <v>0</v>
      </c>
      <c r="AK112" s="648">
        <v>0</v>
      </c>
    </row>
    <row r="113" spans="3:37" x14ac:dyDescent="0.2">
      <c r="C113" s="644" t="s">
        <v>83</v>
      </c>
      <c r="D113" s="645">
        <v>7.0843993210285721</v>
      </c>
      <c r="E113" s="645">
        <v>0</v>
      </c>
      <c r="F113" s="645">
        <v>532.59587297123869</v>
      </c>
      <c r="G113" s="645">
        <v>305.32815502588045</v>
      </c>
      <c r="H113" s="645">
        <v>0</v>
      </c>
      <c r="I113" s="645">
        <v>0</v>
      </c>
      <c r="J113" s="645">
        <v>95.295180518049435</v>
      </c>
      <c r="K113" s="645">
        <v>1.7501967216132235</v>
      </c>
      <c r="L113" s="645">
        <v>42.74995370923434</v>
      </c>
      <c r="M113" s="645">
        <v>6.2499687377491853</v>
      </c>
      <c r="N113" s="645">
        <v>39.319241851069634</v>
      </c>
      <c r="O113" s="645">
        <v>2.5338661060098264</v>
      </c>
      <c r="P113" s="645">
        <v>436.18192090609881</v>
      </c>
      <c r="Q113" s="645">
        <v>38.312691958272005</v>
      </c>
      <c r="R113" s="645">
        <v>0.39614022827148437</v>
      </c>
      <c r="S113" s="645">
        <v>1507.7975880545155</v>
      </c>
      <c r="U113" s="644" t="s">
        <v>83</v>
      </c>
      <c r="V113" s="645">
        <v>3.885325727516717</v>
      </c>
      <c r="W113" s="645">
        <v>0</v>
      </c>
      <c r="X113" s="645">
        <v>482.31616526294755</v>
      </c>
      <c r="Y113" s="645">
        <v>268.66586745300714</v>
      </c>
      <c r="Z113" s="645">
        <v>0</v>
      </c>
      <c r="AA113" s="645">
        <v>0</v>
      </c>
      <c r="AB113" s="645">
        <v>104.37994837433692</v>
      </c>
      <c r="AC113" s="645">
        <v>5.2658854450197055</v>
      </c>
      <c r="AD113" s="645">
        <v>44.199197969703192</v>
      </c>
      <c r="AE113" s="645">
        <v>14.159090713802485</v>
      </c>
      <c r="AF113" s="645">
        <v>46.941675984424649</v>
      </c>
      <c r="AG113" s="645">
        <v>3.2310484724980664</v>
      </c>
      <c r="AH113" s="645">
        <v>438.0134096738451</v>
      </c>
      <c r="AI113" s="645">
        <v>52.866921943109737</v>
      </c>
      <c r="AJ113" s="645">
        <v>1.2045940076186681</v>
      </c>
      <c r="AK113" s="645">
        <v>1465.1291310278302</v>
      </c>
    </row>
    <row r="114" spans="3:37" x14ac:dyDescent="0.2">
      <c r="C114" s="639" t="s">
        <v>84</v>
      </c>
      <c r="D114" s="640">
        <v>0</v>
      </c>
      <c r="E114" s="640">
        <v>0</v>
      </c>
      <c r="F114" s="640">
        <v>127.25135409198229</v>
      </c>
      <c r="G114" s="640">
        <v>12.538633041459809</v>
      </c>
      <c r="H114" s="640">
        <v>0</v>
      </c>
      <c r="I114" s="640">
        <v>0</v>
      </c>
      <c r="J114" s="640">
        <v>0</v>
      </c>
      <c r="K114" s="640">
        <v>0</v>
      </c>
      <c r="L114" s="640">
        <v>0</v>
      </c>
      <c r="M114" s="640">
        <v>0</v>
      </c>
      <c r="N114" s="640">
        <v>0</v>
      </c>
      <c r="O114" s="640">
        <v>0</v>
      </c>
      <c r="P114" s="640">
        <v>0</v>
      </c>
      <c r="Q114" s="640">
        <v>0</v>
      </c>
      <c r="R114" s="640">
        <v>0</v>
      </c>
      <c r="S114" s="648">
        <v>139.78998713344208</v>
      </c>
      <c r="U114" s="639" t="s">
        <v>84</v>
      </c>
      <c r="V114" s="640">
        <v>0</v>
      </c>
      <c r="W114" s="640">
        <v>0</v>
      </c>
      <c r="X114" s="640">
        <v>128.77178857297574</v>
      </c>
      <c r="Y114" s="640">
        <v>1.8429610546316848</v>
      </c>
      <c r="Z114" s="640">
        <v>0</v>
      </c>
      <c r="AA114" s="640">
        <v>0</v>
      </c>
      <c r="AB114" s="640">
        <v>0</v>
      </c>
      <c r="AC114" s="640">
        <v>0</v>
      </c>
      <c r="AD114" s="640">
        <v>0.17036074218750002</v>
      </c>
      <c r="AE114" s="640">
        <v>0</v>
      </c>
      <c r="AF114" s="640">
        <v>0</v>
      </c>
      <c r="AG114" s="640">
        <v>0</v>
      </c>
      <c r="AH114" s="640">
        <v>0</v>
      </c>
      <c r="AI114" s="640">
        <v>0</v>
      </c>
      <c r="AJ114" s="640">
        <v>1.1142721901633521</v>
      </c>
      <c r="AK114" s="648">
        <v>131.89938255995827</v>
      </c>
    </row>
    <row r="115" spans="3:37" x14ac:dyDescent="0.2">
      <c r="C115" s="644" t="s">
        <v>85</v>
      </c>
      <c r="D115" s="645">
        <v>7.0843993210285721</v>
      </c>
      <c r="E115" s="645">
        <v>0</v>
      </c>
      <c r="F115" s="645">
        <v>659.847227063221</v>
      </c>
      <c r="G115" s="645">
        <v>317.86678806734028</v>
      </c>
      <c r="H115" s="645">
        <v>0</v>
      </c>
      <c r="I115" s="645">
        <v>0</v>
      </c>
      <c r="J115" s="645">
        <v>95.295180518049435</v>
      </c>
      <c r="K115" s="645">
        <v>1.7501967216132235</v>
      </c>
      <c r="L115" s="645">
        <v>42.74995370923434</v>
      </c>
      <c r="M115" s="645">
        <v>6.2499687377491853</v>
      </c>
      <c r="N115" s="645">
        <v>39.319241851069634</v>
      </c>
      <c r="O115" s="645">
        <v>2.5338661060098264</v>
      </c>
      <c r="P115" s="645">
        <v>436.18192090609881</v>
      </c>
      <c r="Q115" s="645">
        <v>38.312691958272005</v>
      </c>
      <c r="R115" s="645">
        <v>0.39614022827148437</v>
      </c>
      <c r="S115" s="645">
        <v>1647.5875751879578</v>
      </c>
      <c r="U115" s="644" t="s">
        <v>85</v>
      </c>
      <c r="V115" s="645">
        <v>3.885325727516717</v>
      </c>
      <c r="W115" s="645">
        <v>0</v>
      </c>
      <c r="X115" s="645">
        <v>611.08795383592337</v>
      </c>
      <c r="Y115" s="645">
        <v>270.50882850763884</v>
      </c>
      <c r="Z115" s="645">
        <v>0</v>
      </c>
      <c r="AA115" s="645">
        <v>0</v>
      </c>
      <c r="AB115" s="645">
        <v>104.37994837433692</v>
      </c>
      <c r="AC115" s="645">
        <v>5.2658854450197055</v>
      </c>
      <c r="AD115" s="645">
        <v>44.36955871189069</v>
      </c>
      <c r="AE115" s="645">
        <v>14.159090713802485</v>
      </c>
      <c r="AF115" s="645">
        <v>46.941675984424649</v>
      </c>
      <c r="AG115" s="645">
        <v>3.2310484724980664</v>
      </c>
      <c r="AH115" s="645">
        <v>438.0134096738451</v>
      </c>
      <c r="AI115" s="645">
        <v>52.866921943109737</v>
      </c>
      <c r="AJ115" s="645">
        <v>2.31886619778202</v>
      </c>
      <c r="AK115" s="645">
        <v>1597.0285135877887</v>
      </c>
    </row>
    <row r="116" spans="3:37" x14ac:dyDescent="0.2">
      <c r="C116" s="634"/>
      <c r="D116" s="634"/>
      <c r="E116" s="634"/>
      <c r="F116" s="634"/>
      <c r="G116" s="634"/>
      <c r="H116" s="634"/>
      <c r="I116" s="634"/>
      <c r="J116" s="634"/>
      <c r="K116" s="634"/>
      <c r="L116" s="634"/>
      <c r="M116" s="634"/>
      <c r="N116" s="634"/>
      <c r="O116" s="634"/>
      <c r="P116" s="634"/>
      <c r="Q116" s="634"/>
      <c r="R116" s="634"/>
      <c r="S116" s="634"/>
      <c r="U116" s="634"/>
      <c r="V116" s="634"/>
      <c r="W116" s="634"/>
      <c r="X116" s="634"/>
      <c r="Y116" s="634"/>
      <c r="Z116" s="634"/>
      <c r="AA116" s="634"/>
      <c r="AB116" s="634"/>
      <c r="AC116" s="634"/>
      <c r="AD116" s="634"/>
      <c r="AE116" s="634"/>
      <c r="AF116" s="634"/>
      <c r="AG116" s="634"/>
      <c r="AH116" s="634"/>
      <c r="AI116" s="634"/>
      <c r="AJ116" s="634"/>
      <c r="AK116" s="634"/>
    </row>
    <row r="117" spans="3:37" ht="22.5" x14ac:dyDescent="0.3">
      <c r="C117" s="759" t="s">
        <v>356</v>
      </c>
      <c r="D117" s="759"/>
      <c r="E117" s="759"/>
      <c r="F117" s="759"/>
      <c r="G117" s="759"/>
      <c r="H117" s="759"/>
      <c r="I117" s="759"/>
      <c r="J117" s="759"/>
      <c r="K117" s="759"/>
      <c r="L117" s="759"/>
      <c r="M117" s="759"/>
      <c r="N117" s="759"/>
      <c r="O117" s="759"/>
      <c r="P117" s="759"/>
      <c r="Q117" s="759"/>
      <c r="R117" s="759"/>
      <c r="S117" s="759"/>
      <c r="U117" s="759" t="s">
        <v>356</v>
      </c>
      <c r="V117" s="759"/>
      <c r="W117" s="759"/>
      <c r="X117" s="759"/>
      <c r="Y117" s="759"/>
      <c r="Z117" s="759"/>
      <c r="AA117" s="759"/>
      <c r="AB117" s="759"/>
      <c r="AC117" s="759"/>
      <c r="AD117" s="759"/>
      <c r="AE117" s="759"/>
      <c r="AF117" s="759"/>
      <c r="AG117" s="759"/>
      <c r="AH117" s="759"/>
      <c r="AI117" s="759"/>
      <c r="AJ117" s="759"/>
      <c r="AK117" s="759"/>
    </row>
    <row r="118" spans="3:37" x14ac:dyDescent="0.2">
      <c r="C118" s="634"/>
      <c r="D118" s="634"/>
      <c r="E118" s="634"/>
      <c r="F118" s="634"/>
      <c r="G118" s="634"/>
      <c r="H118" s="634"/>
      <c r="I118" s="634"/>
      <c r="J118" s="634"/>
      <c r="K118" s="634"/>
      <c r="L118" s="634"/>
      <c r="M118" s="634"/>
      <c r="N118" s="634"/>
      <c r="O118" s="634"/>
      <c r="P118" s="634"/>
      <c r="Q118" s="634"/>
      <c r="R118" s="634"/>
      <c r="S118" s="634"/>
      <c r="U118" s="634"/>
      <c r="V118" s="634"/>
      <c r="W118" s="634"/>
      <c r="X118" s="634"/>
      <c r="Y118" s="634"/>
      <c r="Z118" s="634"/>
      <c r="AA118" s="634"/>
      <c r="AB118" s="634"/>
      <c r="AC118" s="634"/>
      <c r="AD118" s="634"/>
      <c r="AE118" s="634"/>
      <c r="AF118" s="634"/>
      <c r="AG118" s="634"/>
      <c r="AH118" s="634"/>
      <c r="AI118" s="634"/>
      <c r="AJ118" s="634"/>
      <c r="AK118" s="634"/>
    </row>
    <row r="119" spans="3:37" ht="12.95" customHeight="1" x14ac:dyDescent="0.2">
      <c r="C119" s="758" t="s">
        <v>128</v>
      </c>
      <c r="D119" s="757" t="s">
        <v>42</v>
      </c>
      <c r="E119" s="757" t="s">
        <v>52</v>
      </c>
      <c r="F119" s="757" t="s">
        <v>53</v>
      </c>
      <c r="G119" s="757" t="s">
        <v>32</v>
      </c>
      <c r="H119" s="757" t="s">
        <v>20</v>
      </c>
      <c r="I119" s="757" t="s">
        <v>55</v>
      </c>
      <c r="J119" s="757" t="s">
        <v>56</v>
      </c>
      <c r="K119" s="757"/>
      <c r="L119" s="757"/>
      <c r="M119" s="757"/>
      <c r="N119" s="757"/>
      <c r="O119" s="757"/>
      <c r="P119" s="757" t="s">
        <v>57</v>
      </c>
      <c r="Q119" s="757" t="s">
        <v>58</v>
      </c>
      <c r="R119" s="757" t="s">
        <v>31</v>
      </c>
      <c r="S119" s="757" t="s">
        <v>10</v>
      </c>
      <c r="U119" s="758" t="s">
        <v>128</v>
      </c>
      <c r="V119" s="757" t="s">
        <v>42</v>
      </c>
      <c r="W119" s="757" t="s">
        <v>52</v>
      </c>
      <c r="X119" s="757" t="s">
        <v>53</v>
      </c>
      <c r="Y119" s="757" t="s">
        <v>32</v>
      </c>
      <c r="Z119" s="757" t="s">
        <v>20</v>
      </c>
      <c r="AA119" s="757" t="s">
        <v>55</v>
      </c>
      <c r="AB119" s="757" t="s">
        <v>56</v>
      </c>
      <c r="AC119" s="757"/>
      <c r="AD119" s="757"/>
      <c r="AE119" s="757"/>
      <c r="AF119" s="757"/>
      <c r="AG119" s="757"/>
      <c r="AH119" s="757" t="s">
        <v>57</v>
      </c>
      <c r="AI119" s="757" t="s">
        <v>58</v>
      </c>
      <c r="AJ119" s="757" t="s">
        <v>31</v>
      </c>
      <c r="AK119" s="757" t="s">
        <v>10</v>
      </c>
    </row>
    <row r="120" spans="3:37" ht="56.25" x14ac:dyDescent="0.2">
      <c r="C120" s="758"/>
      <c r="D120" s="757"/>
      <c r="E120" s="757"/>
      <c r="F120" s="757"/>
      <c r="G120" s="757"/>
      <c r="H120" s="757"/>
      <c r="I120" s="757"/>
      <c r="J120" s="638" t="s">
        <v>335</v>
      </c>
      <c r="K120" s="638" t="s">
        <v>40</v>
      </c>
      <c r="L120" s="638" t="s">
        <v>343</v>
      </c>
      <c r="M120" s="638" t="s">
        <v>344</v>
      </c>
      <c r="N120" s="638" t="s">
        <v>345</v>
      </c>
      <c r="O120" s="638" t="s">
        <v>346</v>
      </c>
      <c r="P120" s="757"/>
      <c r="Q120" s="757"/>
      <c r="R120" s="757"/>
      <c r="S120" s="757"/>
      <c r="U120" s="758"/>
      <c r="V120" s="757"/>
      <c r="W120" s="757"/>
      <c r="X120" s="757"/>
      <c r="Y120" s="757"/>
      <c r="Z120" s="757"/>
      <c r="AA120" s="757"/>
      <c r="AB120" s="638" t="s">
        <v>335</v>
      </c>
      <c r="AC120" s="638" t="s">
        <v>40</v>
      </c>
      <c r="AD120" s="638" t="s">
        <v>343</v>
      </c>
      <c r="AE120" s="638" t="s">
        <v>344</v>
      </c>
      <c r="AF120" s="638" t="s">
        <v>345</v>
      </c>
      <c r="AG120" s="638" t="s">
        <v>346</v>
      </c>
      <c r="AH120" s="757"/>
      <c r="AI120" s="757"/>
      <c r="AJ120" s="757"/>
      <c r="AK120" s="757"/>
    </row>
    <row r="121" spans="3:37" x14ac:dyDescent="0.2">
      <c r="C121" s="639" t="s">
        <v>59</v>
      </c>
      <c r="D121" s="640">
        <v>0</v>
      </c>
      <c r="E121" s="641">
        <v>9.7691999999999997</v>
      </c>
      <c r="F121" s="641">
        <v>0</v>
      </c>
      <c r="G121" s="640">
        <v>0.18608000000000002</v>
      </c>
      <c r="H121" s="641">
        <v>1190.909090909091</v>
      </c>
      <c r="I121" s="641">
        <v>172.65095069399246</v>
      </c>
      <c r="J121" s="641">
        <v>190.83629555260256</v>
      </c>
      <c r="K121" s="641">
        <v>22.859954043709436</v>
      </c>
      <c r="L121" s="641">
        <v>0.28638238403450345</v>
      </c>
      <c r="M121" s="641">
        <v>0.13461365170799597</v>
      </c>
      <c r="N121" s="641">
        <v>45.31680426782367</v>
      </c>
      <c r="O121" s="641">
        <v>7.2729377495964416</v>
      </c>
      <c r="P121" s="642">
        <v>0</v>
      </c>
      <c r="Q121" s="641">
        <v>0</v>
      </c>
      <c r="R121" s="641">
        <v>0</v>
      </c>
      <c r="S121" s="643">
        <v>1640.222309252558</v>
      </c>
      <c r="U121" s="639" t="s">
        <v>59</v>
      </c>
      <c r="V121" s="640">
        <v>0</v>
      </c>
      <c r="W121" s="641">
        <v>9.7691999999999997</v>
      </c>
      <c r="X121" s="641">
        <v>0</v>
      </c>
      <c r="Y121" s="640">
        <v>0.18608000000000002</v>
      </c>
      <c r="Z121" s="641">
        <v>1083.7741046831957</v>
      </c>
      <c r="AA121" s="641">
        <v>180.88004160308333</v>
      </c>
      <c r="AB121" s="641">
        <v>179.66191601295682</v>
      </c>
      <c r="AC121" s="641">
        <v>35.233025744634077</v>
      </c>
      <c r="AD121" s="641">
        <v>0.28638238403450345</v>
      </c>
      <c r="AE121" s="641">
        <v>0.13461365170799597</v>
      </c>
      <c r="AF121" s="641">
        <v>55.315214066923446</v>
      </c>
      <c r="AG121" s="641">
        <v>11.104217144375802</v>
      </c>
      <c r="AH121" s="642">
        <v>0</v>
      </c>
      <c r="AI121" s="641">
        <v>0</v>
      </c>
      <c r="AJ121" s="641">
        <v>0</v>
      </c>
      <c r="AK121" s="643">
        <v>1556.3447952909116</v>
      </c>
    </row>
    <row r="122" spans="3:37" x14ac:dyDescent="0.2">
      <c r="C122" s="639" t="s">
        <v>60</v>
      </c>
      <c r="D122" s="640">
        <v>50.272309821560647</v>
      </c>
      <c r="E122" s="641">
        <v>541.69545178681915</v>
      </c>
      <c r="F122" s="641">
        <v>188.86081515186203</v>
      </c>
      <c r="G122" s="640">
        <v>351.61513464214681</v>
      </c>
      <c r="H122" s="641">
        <v>0</v>
      </c>
      <c r="I122" s="641">
        <v>0</v>
      </c>
      <c r="J122" s="641">
        <v>2.7986686910966072</v>
      </c>
      <c r="K122" s="641">
        <v>0</v>
      </c>
      <c r="L122" s="641">
        <v>1.9601939880201746</v>
      </c>
      <c r="M122" s="641">
        <v>0</v>
      </c>
      <c r="N122" s="641">
        <v>0</v>
      </c>
      <c r="O122" s="641">
        <v>0</v>
      </c>
      <c r="P122" s="642">
        <v>0</v>
      </c>
      <c r="Q122" s="641">
        <v>0</v>
      </c>
      <c r="R122" s="641">
        <v>0</v>
      </c>
      <c r="S122" s="643">
        <v>1137.2025740815054</v>
      </c>
      <c r="U122" s="639" t="s">
        <v>60</v>
      </c>
      <c r="V122" s="640">
        <v>19.313313128242111</v>
      </c>
      <c r="W122" s="641">
        <v>439.73434116717101</v>
      </c>
      <c r="X122" s="641">
        <v>187.81160121991923</v>
      </c>
      <c r="Y122" s="640">
        <v>309.5644193276562</v>
      </c>
      <c r="Z122" s="641">
        <v>0</v>
      </c>
      <c r="AA122" s="641">
        <v>0</v>
      </c>
      <c r="AB122" s="641">
        <v>2.7986686910966072</v>
      </c>
      <c r="AC122" s="641">
        <v>0</v>
      </c>
      <c r="AD122" s="641">
        <v>1.9601939880201746</v>
      </c>
      <c r="AE122" s="641">
        <v>0</v>
      </c>
      <c r="AF122" s="641">
        <v>0</v>
      </c>
      <c r="AG122" s="641">
        <v>0</v>
      </c>
      <c r="AH122" s="642">
        <v>0</v>
      </c>
      <c r="AI122" s="641">
        <v>0</v>
      </c>
      <c r="AJ122" s="641">
        <v>0</v>
      </c>
      <c r="AK122" s="643">
        <v>961.18253752210535</v>
      </c>
    </row>
    <row r="123" spans="3:37" x14ac:dyDescent="0.2">
      <c r="C123" s="639" t="s">
        <v>61</v>
      </c>
      <c r="D123" s="640">
        <v>0</v>
      </c>
      <c r="E123" s="641">
        <v>0</v>
      </c>
      <c r="F123" s="641">
        <v>0</v>
      </c>
      <c r="G123" s="640">
        <v>0</v>
      </c>
      <c r="H123" s="641">
        <v>0</v>
      </c>
      <c r="I123" s="641">
        <v>0</v>
      </c>
      <c r="J123" s="641">
        <v>0</v>
      </c>
      <c r="K123" s="641">
        <v>0</v>
      </c>
      <c r="L123" s="641">
        <v>0</v>
      </c>
      <c r="M123" s="641">
        <v>0</v>
      </c>
      <c r="N123" s="641">
        <v>0</v>
      </c>
      <c r="O123" s="641">
        <v>0</v>
      </c>
      <c r="P123" s="642">
        <v>-71.534753758802367</v>
      </c>
      <c r="Q123" s="641">
        <v>0</v>
      </c>
      <c r="R123" s="641">
        <v>0</v>
      </c>
      <c r="S123" s="643">
        <v>-71.534753758802367</v>
      </c>
      <c r="U123" s="639" t="s">
        <v>61</v>
      </c>
      <c r="V123" s="640">
        <v>0</v>
      </c>
      <c r="W123" s="641">
        <v>0</v>
      </c>
      <c r="X123" s="641">
        <v>0</v>
      </c>
      <c r="Y123" s="640">
        <v>0</v>
      </c>
      <c r="Z123" s="641">
        <v>0</v>
      </c>
      <c r="AA123" s="641">
        <v>0</v>
      </c>
      <c r="AB123" s="641">
        <v>0</v>
      </c>
      <c r="AC123" s="641">
        <v>0</v>
      </c>
      <c r="AD123" s="641">
        <v>0</v>
      </c>
      <c r="AE123" s="641">
        <v>0</v>
      </c>
      <c r="AF123" s="641">
        <v>0</v>
      </c>
      <c r="AG123" s="641">
        <v>0</v>
      </c>
      <c r="AH123" s="642">
        <v>-59.869044369838548</v>
      </c>
      <c r="AI123" s="641">
        <v>0</v>
      </c>
      <c r="AJ123" s="641">
        <v>0</v>
      </c>
      <c r="AK123" s="643">
        <v>-59.869044369838548</v>
      </c>
    </row>
    <row r="124" spans="3:37" x14ac:dyDescent="0.2">
      <c r="C124" s="639" t="s">
        <v>62</v>
      </c>
      <c r="D124" s="640">
        <v>0</v>
      </c>
      <c r="E124" s="641">
        <v>0</v>
      </c>
      <c r="F124" s="641">
        <v>-17.07041205275393</v>
      </c>
      <c r="G124" s="640">
        <v>0</v>
      </c>
      <c r="H124" s="641">
        <v>0</v>
      </c>
      <c r="I124" s="641">
        <v>0</v>
      </c>
      <c r="J124" s="641">
        <v>0</v>
      </c>
      <c r="K124" s="641">
        <v>0</v>
      </c>
      <c r="L124" s="641">
        <v>0</v>
      </c>
      <c r="M124" s="641">
        <v>0</v>
      </c>
      <c r="N124" s="641">
        <v>0</v>
      </c>
      <c r="O124" s="641">
        <v>0</v>
      </c>
      <c r="P124" s="642">
        <v>0</v>
      </c>
      <c r="Q124" s="641">
        <v>0</v>
      </c>
      <c r="R124" s="641">
        <v>0</v>
      </c>
      <c r="S124" s="643">
        <v>-17.07041205275393</v>
      </c>
      <c r="U124" s="639" t="s">
        <v>62</v>
      </c>
      <c r="V124" s="640">
        <v>0</v>
      </c>
      <c r="W124" s="641">
        <v>0</v>
      </c>
      <c r="X124" s="641">
        <v>-16.843089298461354</v>
      </c>
      <c r="Y124" s="640">
        <v>-3.370970564953437E-2</v>
      </c>
      <c r="Z124" s="641">
        <v>0</v>
      </c>
      <c r="AA124" s="641">
        <v>0</v>
      </c>
      <c r="AB124" s="641">
        <v>0</v>
      </c>
      <c r="AC124" s="641">
        <v>0</v>
      </c>
      <c r="AD124" s="641">
        <v>0</v>
      </c>
      <c r="AE124" s="641">
        <v>-3.7455228499482631E-3</v>
      </c>
      <c r="AF124" s="641">
        <v>0</v>
      </c>
      <c r="AG124" s="641">
        <v>0</v>
      </c>
      <c r="AH124" s="642">
        <v>0</v>
      </c>
      <c r="AI124" s="641">
        <v>0</v>
      </c>
      <c r="AJ124" s="641">
        <v>0</v>
      </c>
      <c r="AK124" s="643">
        <v>-16.880544526960836</v>
      </c>
    </row>
    <row r="125" spans="3:37" x14ac:dyDescent="0.2">
      <c r="C125" s="639" t="s">
        <v>63</v>
      </c>
      <c r="D125" s="640">
        <v>0</v>
      </c>
      <c r="E125" s="641">
        <v>0</v>
      </c>
      <c r="F125" s="641">
        <v>-79.881990921256516</v>
      </c>
      <c r="G125" s="640">
        <v>0</v>
      </c>
      <c r="H125" s="641">
        <v>0</v>
      </c>
      <c r="I125" s="641">
        <v>0</v>
      </c>
      <c r="J125" s="641">
        <v>0</v>
      </c>
      <c r="K125" s="641">
        <v>0</v>
      </c>
      <c r="L125" s="641">
        <v>-0.82615205603276265</v>
      </c>
      <c r="M125" s="641">
        <v>0</v>
      </c>
      <c r="N125" s="641">
        <v>0</v>
      </c>
      <c r="O125" s="641">
        <v>0</v>
      </c>
      <c r="P125" s="642">
        <v>0</v>
      </c>
      <c r="Q125" s="641">
        <v>0</v>
      </c>
      <c r="R125" s="641">
        <v>0</v>
      </c>
      <c r="S125" s="643">
        <v>-80.708142977289285</v>
      </c>
      <c r="U125" s="639" t="s">
        <v>63</v>
      </c>
      <c r="V125" s="640">
        <v>0</v>
      </c>
      <c r="W125" s="641">
        <v>0</v>
      </c>
      <c r="X125" s="641">
        <v>-78.255878538705957</v>
      </c>
      <c r="Y125" s="640">
        <v>0</v>
      </c>
      <c r="Z125" s="641">
        <v>0</v>
      </c>
      <c r="AA125" s="641">
        <v>0</v>
      </c>
      <c r="AB125" s="641">
        <v>0</v>
      </c>
      <c r="AC125" s="641">
        <v>0</v>
      </c>
      <c r="AD125" s="641">
        <v>-2.9528968014026442</v>
      </c>
      <c r="AE125" s="641">
        <v>0</v>
      </c>
      <c r="AF125" s="641">
        <v>0</v>
      </c>
      <c r="AG125" s="641">
        <v>0</v>
      </c>
      <c r="AH125" s="642">
        <v>0</v>
      </c>
      <c r="AI125" s="641">
        <v>0</v>
      </c>
      <c r="AJ125" s="641">
        <v>0</v>
      </c>
      <c r="AK125" s="643">
        <v>-81.208775340108602</v>
      </c>
    </row>
    <row r="126" spans="3:37" x14ac:dyDescent="0.2">
      <c r="C126" s="639" t="s">
        <v>64</v>
      </c>
      <c r="D126" s="640">
        <v>0</v>
      </c>
      <c r="E126" s="641">
        <v>0</v>
      </c>
      <c r="F126" s="641">
        <v>0</v>
      </c>
      <c r="G126" s="640">
        <v>0</v>
      </c>
      <c r="H126" s="641">
        <v>0</v>
      </c>
      <c r="I126" s="641">
        <v>0</v>
      </c>
      <c r="J126" s="641">
        <v>0</v>
      </c>
      <c r="K126" s="641">
        <v>0</v>
      </c>
      <c r="L126" s="641">
        <v>0</v>
      </c>
      <c r="M126" s="641">
        <v>0</v>
      </c>
      <c r="N126" s="641">
        <v>0</v>
      </c>
      <c r="O126" s="641">
        <v>0</v>
      </c>
      <c r="P126" s="642">
        <v>0</v>
      </c>
      <c r="Q126" s="641">
        <v>0</v>
      </c>
      <c r="R126" s="641">
        <v>0</v>
      </c>
      <c r="S126" s="643">
        <v>0</v>
      </c>
      <c r="U126" s="639" t="s">
        <v>64</v>
      </c>
      <c r="V126" s="640">
        <v>0</v>
      </c>
      <c r="W126" s="641">
        <v>0</v>
      </c>
      <c r="X126" s="641">
        <v>0</v>
      </c>
      <c r="Y126" s="640">
        <v>0</v>
      </c>
      <c r="Z126" s="641">
        <v>0</v>
      </c>
      <c r="AA126" s="641">
        <v>0</v>
      </c>
      <c r="AB126" s="641">
        <v>0</v>
      </c>
      <c r="AC126" s="641">
        <v>0</v>
      </c>
      <c r="AD126" s="641">
        <v>0</v>
      </c>
      <c r="AE126" s="641">
        <v>0</v>
      </c>
      <c r="AF126" s="641">
        <v>0</v>
      </c>
      <c r="AG126" s="641">
        <v>0</v>
      </c>
      <c r="AH126" s="642">
        <v>0</v>
      </c>
      <c r="AI126" s="641">
        <v>0</v>
      </c>
      <c r="AJ126" s="641">
        <v>0</v>
      </c>
      <c r="AK126" s="643">
        <v>0</v>
      </c>
    </row>
    <row r="127" spans="3:37" x14ac:dyDescent="0.2">
      <c r="C127" s="644" t="s">
        <v>65</v>
      </c>
      <c r="D127" s="645">
        <v>50.272309821560647</v>
      </c>
      <c r="E127" s="645">
        <v>551.4646517868191</v>
      </c>
      <c r="F127" s="645">
        <v>91.908412177851574</v>
      </c>
      <c r="G127" s="645">
        <v>351.80121464214682</v>
      </c>
      <c r="H127" s="645">
        <v>1190.909090909091</v>
      </c>
      <c r="I127" s="645">
        <v>172.65095069399246</v>
      </c>
      <c r="J127" s="645">
        <v>193.63496424369919</v>
      </c>
      <c r="K127" s="645">
        <v>22.859954043709436</v>
      </c>
      <c r="L127" s="645">
        <v>1.4204243160219152</v>
      </c>
      <c r="M127" s="645">
        <v>0.13461365170799597</v>
      </c>
      <c r="N127" s="645">
        <v>45.31680426782367</v>
      </c>
      <c r="O127" s="645">
        <v>7.2729377495964416</v>
      </c>
      <c r="P127" s="645">
        <v>-71.534753758802367</v>
      </c>
      <c r="Q127" s="645">
        <v>0</v>
      </c>
      <c r="R127" s="645">
        <v>0</v>
      </c>
      <c r="S127" s="645">
        <v>2608.111574545218</v>
      </c>
      <c r="U127" s="644" t="s">
        <v>65</v>
      </c>
      <c r="V127" s="645">
        <v>19.313313128242111</v>
      </c>
      <c r="W127" s="645">
        <v>449.50354116717102</v>
      </c>
      <c r="X127" s="645">
        <v>92.712633382751903</v>
      </c>
      <c r="Y127" s="645">
        <v>309.71678962200667</v>
      </c>
      <c r="Z127" s="645">
        <v>1083.7741046831957</v>
      </c>
      <c r="AA127" s="645">
        <v>180.88004160308333</v>
      </c>
      <c r="AB127" s="645">
        <v>182.46058470405345</v>
      </c>
      <c r="AC127" s="645">
        <v>35.233025744634077</v>
      </c>
      <c r="AD127" s="645">
        <v>-0.70632042934796635</v>
      </c>
      <c r="AE127" s="645">
        <v>0.13086812885804772</v>
      </c>
      <c r="AF127" s="645">
        <v>55.315214066923446</v>
      </c>
      <c r="AG127" s="645">
        <v>11.104217144375802</v>
      </c>
      <c r="AH127" s="645">
        <v>-59.869044369838548</v>
      </c>
      <c r="AI127" s="645">
        <v>0</v>
      </c>
      <c r="AJ127" s="645">
        <v>0</v>
      </c>
      <c r="AK127" s="645">
        <v>2359.5689685761085</v>
      </c>
    </row>
    <row r="128" spans="3:37" x14ac:dyDescent="0.2">
      <c r="C128" s="634"/>
      <c r="D128" s="634">
        <v>0</v>
      </c>
      <c r="E128" s="634">
        <v>0</v>
      </c>
      <c r="F128" s="634">
        <v>0</v>
      </c>
      <c r="G128" s="634">
        <v>0</v>
      </c>
      <c r="H128" s="634">
        <v>0</v>
      </c>
      <c r="I128" s="634">
        <v>0</v>
      </c>
      <c r="J128" s="634">
        <v>0</v>
      </c>
      <c r="K128" s="634">
        <v>0</v>
      </c>
      <c r="L128" s="634">
        <v>0</v>
      </c>
      <c r="M128" s="634">
        <v>0</v>
      </c>
      <c r="N128" s="634">
        <v>0</v>
      </c>
      <c r="O128" s="634">
        <v>0</v>
      </c>
      <c r="P128" s="634">
        <v>0</v>
      </c>
      <c r="Q128" s="634">
        <v>0</v>
      </c>
      <c r="R128" s="634">
        <v>0</v>
      </c>
      <c r="S128" s="634">
        <v>0</v>
      </c>
      <c r="U128" s="634"/>
      <c r="V128" s="634">
        <v>0</v>
      </c>
      <c r="W128" s="634">
        <v>0</v>
      </c>
      <c r="X128" s="634">
        <v>0</v>
      </c>
      <c r="Y128" s="634">
        <v>0</v>
      </c>
      <c r="Z128" s="634">
        <v>0</v>
      </c>
      <c r="AA128" s="634">
        <v>0</v>
      </c>
      <c r="AB128" s="634">
        <v>0</v>
      </c>
      <c r="AC128" s="634">
        <v>0</v>
      </c>
      <c r="AD128" s="634">
        <v>0</v>
      </c>
      <c r="AE128" s="634">
        <v>0</v>
      </c>
      <c r="AF128" s="634">
        <v>0</v>
      </c>
      <c r="AG128" s="634">
        <v>0</v>
      </c>
      <c r="AH128" s="634">
        <v>0</v>
      </c>
      <c r="AI128" s="634">
        <v>0</v>
      </c>
      <c r="AJ128" s="634">
        <v>0</v>
      </c>
      <c r="AK128" s="634">
        <v>0</v>
      </c>
    </row>
    <row r="129" spans="3:37" x14ac:dyDescent="0.2">
      <c r="C129" s="646" t="s">
        <v>67</v>
      </c>
      <c r="D129" s="640">
        <v>0</v>
      </c>
      <c r="E129" s="647">
        <v>0</v>
      </c>
      <c r="F129" s="647">
        <v>0</v>
      </c>
      <c r="G129" s="640">
        <v>0</v>
      </c>
      <c r="H129" s="640">
        <v>0</v>
      </c>
      <c r="I129" s="640">
        <v>0</v>
      </c>
      <c r="J129" s="640">
        <v>0</v>
      </c>
      <c r="K129" s="640">
        <v>0</v>
      </c>
      <c r="L129" s="640">
        <v>0</v>
      </c>
      <c r="M129" s="640">
        <v>0</v>
      </c>
      <c r="N129" s="640">
        <v>0</v>
      </c>
      <c r="O129" s="640">
        <v>0</v>
      </c>
      <c r="P129" s="640">
        <v>0</v>
      </c>
      <c r="Q129" s="640">
        <v>0</v>
      </c>
      <c r="R129" s="640">
        <v>0</v>
      </c>
      <c r="S129" s="648">
        <v>0</v>
      </c>
      <c r="U129" s="646" t="s">
        <v>67</v>
      </c>
      <c r="V129" s="640">
        <v>0</v>
      </c>
      <c r="W129" s="647">
        <v>0</v>
      </c>
      <c r="X129" s="647">
        <v>0</v>
      </c>
      <c r="Y129" s="640">
        <v>0</v>
      </c>
      <c r="Z129" s="640">
        <v>0</v>
      </c>
      <c r="AA129" s="640">
        <v>0</v>
      </c>
      <c r="AB129" s="640">
        <v>0</v>
      </c>
      <c r="AC129" s="640">
        <v>0</v>
      </c>
      <c r="AD129" s="640">
        <v>0</v>
      </c>
      <c r="AE129" s="640">
        <v>0</v>
      </c>
      <c r="AF129" s="640">
        <v>0</v>
      </c>
      <c r="AG129" s="640">
        <v>0</v>
      </c>
      <c r="AH129" s="640">
        <v>0</v>
      </c>
      <c r="AI129" s="640">
        <v>0</v>
      </c>
      <c r="AJ129" s="640">
        <v>0</v>
      </c>
      <c r="AK129" s="648">
        <v>0</v>
      </c>
    </row>
    <row r="130" spans="3:37" x14ac:dyDescent="0.2">
      <c r="C130" s="646" t="s">
        <v>347</v>
      </c>
      <c r="D130" s="640">
        <v>2.8283781870338589</v>
      </c>
      <c r="E130" s="640">
        <v>0</v>
      </c>
      <c r="F130" s="640">
        <v>7.6468438736280877</v>
      </c>
      <c r="G130" s="640">
        <v>18.081180811808117</v>
      </c>
      <c r="H130" s="640">
        <v>1190.909090909091</v>
      </c>
      <c r="I130" s="640">
        <v>172.65095069399246</v>
      </c>
      <c r="J130" s="649">
        <v>32.565743560582284</v>
      </c>
      <c r="K130" s="649">
        <v>8.5008344637363535</v>
      </c>
      <c r="L130" s="649">
        <v>2.2465763720546779</v>
      </c>
      <c r="M130" s="649">
        <v>0.47195886872926307</v>
      </c>
      <c r="N130" s="649">
        <v>0</v>
      </c>
      <c r="O130" s="649">
        <v>2.2844574579320316</v>
      </c>
      <c r="P130" s="640">
        <v>-595.37716565950768</v>
      </c>
      <c r="Q130" s="640">
        <v>0</v>
      </c>
      <c r="R130" s="640">
        <v>0</v>
      </c>
      <c r="S130" s="648">
        <v>842.80884953908037</v>
      </c>
      <c r="U130" s="646" t="s">
        <v>347</v>
      </c>
      <c r="V130" s="640">
        <v>1.5423887961183378</v>
      </c>
      <c r="W130" s="640">
        <v>0</v>
      </c>
      <c r="X130" s="640">
        <v>4.7336207331322191</v>
      </c>
      <c r="Y130" s="640">
        <v>50.521301576652128</v>
      </c>
      <c r="Z130" s="640">
        <v>1083.7741046831957</v>
      </c>
      <c r="AA130" s="640">
        <v>180.88004160308333</v>
      </c>
      <c r="AB130" s="649">
        <v>27.309071851402241</v>
      </c>
      <c r="AC130" s="649">
        <v>8.3886793509275197</v>
      </c>
      <c r="AD130" s="649">
        <v>2.2465763720546779</v>
      </c>
      <c r="AE130" s="649">
        <v>4.4961118375316795</v>
      </c>
      <c r="AF130" s="649">
        <v>0</v>
      </c>
      <c r="AG130" s="649">
        <v>2.2844574579320316</v>
      </c>
      <c r="AH130" s="640">
        <v>-585.94262020496217</v>
      </c>
      <c r="AI130" s="640">
        <v>0</v>
      </c>
      <c r="AJ130" s="640">
        <v>0</v>
      </c>
      <c r="AK130" s="648">
        <v>780.23373405706764</v>
      </c>
    </row>
    <row r="131" spans="3:37" x14ac:dyDescent="0.2">
      <c r="C131" s="646" t="s">
        <v>348</v>
      </c>
      <c r="D131" s="640">
        <v>4.9396474947490832E-2</v>
      </c>
      <c r="E131" s="640">
        <v>0</v>
      </c>
      <c r="F131" s="640">
        <v>0</v>
      </c>
      <c r="G131" s="640">
        <v>16.012530383781044</v>
      </c>
      <c r="H131" s="640">
        <v>0</v>
      </c>
      <c r="I131" s="640">
        <v>0</v>
      </c>
      <c r="J131" s="649">
        <v>13.847709445189022</v>
      </c>
      <c r="K131" s="649">
        <v>12.568399079785937</v>
      </c>
      <c r="L131" s="649">
        <v>0</v>
      </c>
      <c r="M131" s="649">
        <v>0.33966953640978992</v>
      </c>
      <c r="N131" s="649">
        <v>0</v>
      </c>
      <c r="O131" s="649">
        <v>2.2653429264336893</v>
      </c>
      <c r="P131" s="640">
        <v>0</v>
      </c>
      <c r="Q131" s="640">
        <v>-40.328896494092007</v>
      </c>
      <c r="R131" s="640">
        <v>0</v>
      </c>
      <c r="S131" s="648">
        <v>4.7541513524549677</v>
      </c>
      <c r="U131" s="646" t="s">
        <v>348</v>
      </c>
      <c r="V131" s="640">
        <v>9.8298985145506765E-2</v>
      </c>
      <c r="W131" s="640">
        <v>0</v>
      </c>
      <c r="X131" s="640">
        <v>0</v>
      </c>
      <c r="Y131" s="640">
        <v>18.159328264867909</v>
      </c>
      <c r="Z131" s="640">
        <v>0</v>
      </c>
      <c r="AA131" s="640">
        <v>0</v>
      </c>
      <c r="AB131" s="649">
        <v>24.238794590159831</v>
      </c>
      <c r="AC131" s="649">
        <v>21.035165918687227</v>
      </c>
      <c r="AD131" s="649">
        <v>0</v>
      </c>
      <c r="AE131" s="649">
        <v>1.5919552250789037</v>
      </c>
      <c r="AF131" s="649">
        <v>0</v>
      </c>
      <c r="AG131" s="649">
        <v>4.9326813925495161</v>
      </c>
      <c r="AH131" s="640">
        <v>0</v>
      </c>
      <c r="AI131" s="640">
        <v>-63.058158381408973</v>
      </c>
      <c r="AJ131" s="640">
        <v>0</v>
      </c>
      <c r="AK131" s="648">
        <v>6.9980659950799184</v>
      </c>
    </row>
    <row r="132" spans="3:37" x14ac:dyDescent="0.2">
      <c r="C132" s="646" t="s">
        <v>349</v>
      </c>
      <c r="D132" s="640">
        <v>0</v>
      </c>
      <c r="E132" s="640">
        <v>0</v>
      </c>
      <c r="F132" s="640">
        <v>0</v>
      </c>
      <c r="G132" s="640">
        <v>0</v>
      </c>
      <c r="H132" s="640">
        <v>0</v>
      </c>
      <c r="I132" s="640">
        <v>0</v>
      </c>
      <c r="J132" s="650">
        <v>7.7702715936307092</v>
      </c>
      <c r="K132" s="650">
        <v>0</v>
      </c>
      <c r="L132" s="650">
        <v>0</v>
      </c>
      <c r="M132" s="650">
        <v>-6.9252545578233695</v>
      </c>
      <c r="N132" s="650">
        <v>0</v>
      </c>
      <c r="O132" s="650">
        <v>0</v>
      </c>
      <c r="P132" s="640">
        <v>0</v>
      </c>
      <c r="Q132" s="640">
        <v>0</v>
      </c>
      <c r="R132" s="640">
        <v>0</v>
      </c>
      <c r="S132" s="648">
        <v>0.84501703580733967</v>
      </c>
      <c r="U132" s="646" t="s">
        <v>349</v>
      </c>
      <c r="V132" s="640">
        <v>0</v>
      </c>
      <c r="W132" s="640">
        <v>0</v>
      </c>
      <c r="X132" s="640">
        <v>0</v>
      </c>
      <c r="Y132" s="640">
        <v>0</v>
      </c>
      <c r="Z132" s="640">
        <v>0</v>
      </c>
      <c r="AA132" s="640">
        <v>0</v>
      </c>
      <c r="AB132" s="650">
        <v>30.043092797136723</v>
      </c>
      <c r="AC132" s="650">
        <v>0</v>
      </c>
      <c r="AD132" s="650">
        <v>0</v>
      </c>
      <c r="AE132" s="650">
        <v>-26.775906455448105</v>
      </c>
      <c r="AF132" s="650">
        <v>0</v>
      </c>
      <c r="AG132" s="650">
        <v>0</v>
      </c>
      <c r="AH132" s="640">
        <v>0</v>
      </c>
      <c r="AI132" s="640">
        <v>0</v>
      </c>
      <c r="AJ132" s="640">
        <v>0</v>
      </c>
      <c r="AK132" s="648">
        <v>3.2671863416886175</v>
      </c>
    </row>
    <row r="133" spans="3:37" x14ac:dyDescent="0.2">
      <c r="C133" s="646" t="s">
        <v>350</v>
      </c>
      <c r="D133" s="640">
        <v>0</v>
      </c>
      <c r="E133" s="640">
        <v>0</v>
      </c>
      <c r="F133" s="640">
        <v>0</v>
      </c>
      <c r="G133" s="640">
        <v>0</v>
      </c>
      <c r="H133" s="640">
        <v>0</v>
      </c>
      <c r="I133" s="640">
        <v>0</v>
      </c>
      <c r="J133" s="640">
        <v>0</v>
      </c>
      <c r="K133" s="640">
        <v>0</v>
      </c>
      <c r="L133" s="640">
        <v>0</v>
      </c>
      <c r="M133" s="640">
        <v>0</v>
      </c>
      <c r="N133" s="640">
        <v>0</v>
      </c>
      <c r="O133" s="640">
        <v>0</v>
      </c>
      <c r="P133" s="640">
        <v>0</v>
      </c>
      <c r="Q133" s="640">
        <v>0</v>
      </c>
      <c r="R133" s="640">
        <v>0</v>
      </c>
      <c r="S133" s="648">
        <v>0</v>
      </c>
      <c r="U133" s="646" t="s">
        <v>350</v>
      </c>
      <c r="V133" s="640">
        <v>0</v>
      </c>
      <c r="W133" s="640">
        <v>0</v>
      </c>
      <c r="X133" s="640">
        <v>0</v>
      </c>
      <c r="Y133" s="640">
        <v>0</v>
      </c>
      <c r="Z133" s="640">
        <v>0</v>
      </c>
      <c r="AA133" s="640">
        <v>0</v>
      </c>
      <c r="AB133" s="640">
        <v>0</v>
      </c>
      <c r="AC133" s="640">
        <v>0</v>
      </c>
      <c r="AD133" s="640">
        <v>0</v>
      </c>
      <c r="AE133" s="640">
        <v>0</v>
      </c>
      <c r="AF133" s="640">
        <v>0</v>
      </c>
      <c r="AG133" s="640">
        <v>0</v>
      </c>
      <c r="AH133" s="640">
        <v>0</v>
      </c>
      <c r="AI133" s="640">
        <v>0</v>
      </c>
      <c r="AJ133" s="640">
        <v>0</v>
      </c>
      <c r="AK133" s="648">
        <v>0</v>
      </c>
    </row>
    <row r="134" spans="3:37" x14ac:dyDescent="0.2">
      <c r="C134" s="646" t="s">
        <v>72</v>
      </c>
      <c r="D134" s="640">
        <v>0</v>
      </c>
      <c r="E134" s="640">
        <v>571.25876810153738</v>
      </c>
      <c r="F134" s="640">
        <v>-565.54618042052198</v>
      </c>
      <c r="G134" s="640">
        <v>0</v>
      </c>
      <c r="H134" s="640">
        <v>0</v>
      </c>
      <c r="I134" s="640">
        <v>0</v>
      </c>
      <c r="J134" s="640">
        <v>0</v>
      </c>
      <c r="K134" s="640">
        <v>0</v>
      </c>
      <c r="L134" s="640">
        <v>0</v>
      </c>
      <c r="M134" s="640">
        <v>0</v>
      </c>
      <c r="N134" s="640">
        <v>0</v>
      </c>
      <c r="O134" s="640">
        <v>0</v>
      </c>
      <c r="P134" s="640">
        <v>0</v>
      </c>
      <c r="Q134" s="640">
        <v>0</v>
      </c>
      <c r="R134" s="640">
        <v>0</v>
      </c>
      <c r="S134" s="648">
        <v>5.7125876810154068</v>
      </c>
      <c r="U134" s="646" t="s">
        <v>72</v>
      </c>
      <c r="V134" s="640">
        <v>0</v>
      </c>
      <c r="W134" s="640">
        <v>465.63789420124414</v>
      </c>
      <c r="X134" s="640">
        <v>-460.98151525923168</v>
      </c>
      <c r="Y134" s="640">
        <v>0</v>
      </c>
      <c r="Z134" s="640">
        <v>0</v>
      </c>
      <c r="AA134" s="640">
        <v>0</v>
      </c>
      <c r="AB134" s="640">
        <v>0</v>
      </c>
      <c r="AC134" s="640">
        <v>0</v>
      </c>
      <c r="AD134" s="640">
        <v>0</v>
      </c>
      <c r="AE134" s="640">
        <v>0</v>
      </c>
      <c r="AF134" s="640">
        <v>0</v>
      </c>
      <c r="AG134" s="640">
        <v>0</v>
      </c>
      <c r="AH134" s="640">
        <v>0</v>
      </c>
      <c r="AI134" s="640">
        <v>0</v>
      </c>
      <c r="AJ134" s="640">
        <v>0</v>
      </c>
      <c r="AK134" s="648">
        <v>4.6563789420124522</v>
      </c>
    </row>
    <row r="135" spans="3:37" x14ac:dyDescent="0.2">
      <c r="C135" s="646" t="s">
        <v>351</v>
      </c>
      <c r="D135" s="640">
        <v>0</v>
      </c>
      <c r="E135" s="640">
        <v>0</v>
      </c>
      <c r="F135" s="640">
        <v>0</v>
      </c>
      <c r="G135" s="640">
        <v>0</v>
      </c>
      <c r="H135" s="640">
        <v>0</v>
      </c>
      <c r="I135" s="640">
        <v>0</v>
      </c>
      <c r="J135" s="640">
        <v>39.987714904046477</v>
      </c>
      <c r="K135" s="640">
        <v>0</v>
      </c>
      <c r="L135" s="640">
        <v>-39.987714904046477</v>
      </c>
      <c r="M135" s="640">
        <v>0</v>
      </c>
      <c r="N135" s="640">
        <v>0</v>
      </c>
      <c r="O135" s="640">
        <v>0</v>
      </c>
      <c r="P135" s="640">
        <v>0</v>
      </c>
      <c r="Q135" s="640">
        <v>0</v>
      </c>
      <c r="R135" s="640">
        <v>0</v>
      </c>
      <c r="S135" s="648">
        <v>0</v>
      </c>
      <c r="U135" s="646" t="s">
        <v>351</v>
      </c>
      <c r="V135" s="640">
        <v>0</v>
      </c>
      <c r="W135" s="640">
        <v>0</v>
      </c>
      <c r="X135" s="640">
        <v>0</v>
      </c>
      <c r="Y135" s="640">
        <v>0</v>
      </c>
      <c r="Z135" s="640">
        <v>0</v>
      </c>
      <c r="AA135" s="640">
        <v>0</v>
      </c>
      <c r="AB135" s="640" t="e">
        <v>#VALUE!</v>
      </c>
      <c r="AC135" s="640">
        <v>0</v>
      </c>
      <c r="AD135" s="640">
        <v>-45.567606807542596</v>
      </c>
      <c r="AE135" s="640">
        <v>0</v>
      </c>
      <c r="AF135" s="640">
        <v>0</v>
      </c>
      <c r="AG135" s="640">
        <v>0</v>
      </c>
      <c r="AH135" s="640">
        <v>0</v>
      </c>
      <c r="AI135" s="640">
        <v>0</v>
      </c>
      <c r="AJ135" s="640">
        <v>0</v>
      </c>
      <c r="AK135" s="648">
        <v>-45.567606807542596</v>
      </c>
    </row>
    <row r="136" spans="3:37" x14ac:dyDescent="0.2">
      <c r="C136" s="646" t="s">
        <v>352</v>
      </c>
      <c r="D136" s="640">
        <v>0</v>
      </c>
      <c r="E136" s="640">
        <v>0</v>
      </c>
      <c r="F136" s="640">
        <v>0</v>
      </c>
      <c r="G136" s="640">
        <v>0</v>
      </c>
      <c r="H136" s="640">
        <v>0</v>
      </c>
      <c r="I136" s="640">
        <v>0</v>
      </c>
      <c r="J136" s="640">
        <v>0</v>
      </c>
      <c r="K136" s="640">
        <v>0</v>
      </c>
      <c r="L136" s="640">
        <v>0</v>
      </c>
      <c r="M136" s="640">
        <v>0</v>
      </c>
      <c r="N136" s="640">
        <v>0</v>
      </c>
      <c r="O136" s="640">
        <v>0</v>
      </c>
      <c r="P136" s="640">
        <v>0</v>
      </c>
      <c r="Q136" s="640">
        <v>0</v>
      </c>
      <c r="R136" s="640">
        <v>0</v>
      </c>
      <c r="S136" s="648">
        <v>0</v>
      </c>
      <c r="U136" s="646" t="s">
        <v>352</v>
      </c>
      <c r="V136" s="640">
        <v>0</v>
      </c>
      <c r="W136" s="640">
        <v>0</v>
      </c>
      <c r="X136" s="640">
        <v>0</v>
      </c>
      <c r="Y136" s="640">
        <v>0</v>
      </c>
      <c r="Z136" s="640">
        <v>0</v>
      </c>
      <c r="AA136" s="640">
        <v>0</v>
      </c>
      <c r="AB136" s="640">
        <v>0</v>
      </c>
      <c r="AC136" s="640">
        <v>0</v>
      </c>
      <c r="AD136" s="640">
        <v>-3.4570377590144092</v>
      </c>
      <c r="AE136" s="640">
        <v>0</v>
      </c>
      <c r="AF136" s="640">
        <v>0</v>
      </c>
      <c r="AG136" s="640">
        <v>0</v>
      </c>
      <c r="AH136" s="640">
        <v>0</v>
      </c>
      <c r="AI136" s="640">
        <v>0</v>
      </c>
      <c r="AJ136" s="640">
        <v>0</v>
      </c>
      <c r="AK136" s="648">
        <v>-3.4570377590144092</v>
      </c>
    </row>
    <row r="137" spans="3:37" x14ac:dyDescent="0.2">
      <c r="C137" s="646" t="s">
        <v>73</v>
      </c>
      <c r="D137" s="640">
        <v>0</v>
      </c>
      <c r="E137" s="640">
        <v>0</v>
      </c>
      <c r="F137" s="640">
        <v>0</v>
      </c>
      <c r="G137" s="640">
        <v>0.75220280486673308</v>
      </c>
      <c r="H137" s="640">
        <v>0</v>
      </c>
      <c r="I137" s="640">
        <v>0</v>
      </c>
      <c r="J137" s="640">
        <v>0</v>
      </c>
      <c r="K137" s="640">
        <v>8.3794091977846576E-3</v>
      </c>
      <c r="L137" s="640">
        <v>0</v>
      </c>
      <c r="M137" s="640">
        <v>1.5351077650341492E-2</v>
      </c>
      <c r="N137" s="640">
        <v>0</v>
      </c>
      <c r="O137" s="640">
        <v>0</v>
      </c>
      <c r="P137" s="640">
        <v>6.6777445606960792E-2</v>
      </c>
      <c r="Q137" s="640">
        <v>0</v>
      </c>
      <c r="R137" s="640">
        <v>-0.58655864384492595</v>
      </c>
      <c r="S137" s="648">
        <v>0.25615209347689405</v>
      </c>
      <c r="U137" s="646" t="s">
        <v>73</v>
      </c>
      <c r="V137" s="640">
        <v>0</v>
      </c>
      <c r="W137" s="640">
        <v>0</v>
      </c>
      <c r="X137" s="640">
        <v>0</v>
      </c>
      <c r="Y137" s="640">
        <v>3.5795956147675603</v>
      </c>
      <c r="Z137" s="640">
        <v>0</v>
      </c>
      <c r="AA137" s="640">
        <v>0</v>
      </c>
      <c r="AB137" s="640">
        <v>0</v>
      </c>
      <c r="AC137" s="640">
        <v>7.7817295973207842E-2</v>
      </c>
      <c r="AD137" s="640">
        <v>0</v>
      </c>
      <c r="AE137" s="640">
        <v>0.31126918389283142</v>
      </c>
      <c r="AF137" s="640">
        <v>0</v>
      </c>
      <c r="AG137" s="640">
        <v>0</v>
      </c>
      <c r="AH137" s="640">
        <v>4.1063588490477363</v>
      </c>
      <c r="AI137" s="640">
        <v>0</v>
      </c>
      <c r="AJ137" s="640">
        <v>-5.4472107181245484</v>
      </c>
      <c r="AK137" s="648">
        <v>2.6278302255567869</v>
      </c>
    </row>
    <row r="138" spans="3:37" x14ac:dyDescent="0.2">
      <c r="C138" s="646" t="s">
        <v>353</v>
      </c>
      <c r="D138" s="640">
        <v>29.279348437500001</v>
      </c>
      <c r="E138" s="640">
        <v>-19.79411631471827</v>
      </c>
      <c r="F138" s="640">
        <v>25.889534996151326</v>
      </c>
      <c r="G138" s="640">
        <v>0</v>
      </c>
      <c r="H138" s="640">
        <v>0</v>
      </c>
      <c r="I138" s="640">
        <v>0</v>
      </c>
      <c r="J138" s="640">
        <v>0</v>
      </c>
      <c r="K138" s="640">
        <v>0</v>
      </c>
      <c r="L138" s="640">
        <v>0</v>
      </c>
      <c r="M138" s="640">
        <v>0</v>
      </c>
      <c r="N138" s="640">
        <v>0</v>
      </c>
      <c r="O138" s="640">
        <v>0</v>
      </c>
      <c r="P138" s="640">
        <v>0</v>
      </c>
      <c r="Q138" s="640">
        <v>0</v>
      </c>
      <c r="R138" s="640">
        <v>0</v>
      </c>
      <c r="S138" s="648">
        <v>35.374767118933057</v>
      </c>
      <c r="U138" s="646" t="s">
        <v>353</v>
      </c>
      <c r="V138" s="640">
        <v>8.1420534667968738</v>
      </c>
      <c r="W138" s="640">
        <v>-16.134353034073111</v>
      </c>
      <c r="X138" s="640">
        <v>21.102780789728897</v>
      </c>
      <c r="Y138" s="640">
        <v>0</v>
      </c>
      <c r="Z138" s="640">
        <v>0</v>
      </c>
      <c r="AA138" s="640">
        <v>0</v>
      </c>
      <c r="AB138" s="640">
        <v>0</v>
      </c>
      <c r="AC138" s="640">
        <v>0</v>
      </c>
      <c r="AD138" s="640">
        <v>0</v>
      </c>
      <c r="AE138" s="640">
        <v>0</v>
      </c>
      <c r="AF138" s="640">
        <v>0</v>
      </c>
      <c r="AG138" s="640">
        <v>0</v>
      </c>
      <c r="AH138" s="640">
        <v>0</v>
      </c>
      <c r="AI138" s="640">
        <v>0</v>
      </c>
      <c r="AJ138" s="640">
        <v>0</v>
      </c>
      <c r="AK138" s="648">
        <v>13.110481222452659</v>
      </c>
    </row>
    <row r="139" spans="3:37" x14ac:dyDescent="0.2">
      <c r="C139" s="646" t="s">
        <v>75</v>
      </c>
      <c r="D139" s="640">
        <v>11.386413281250002</v>
      </c>
      <c r="E139" s="640">
        <v>0</v>
      </c>
      <c r="F139" s="640">
        <v>19.422798115452274</v>
      </c>
      <c r="G139" s="640">
        <v>5.5423525681211148</v>
      </c>
      <c r="H139" s="640">
        <v>0</v>
      </c>
      <c r="I139" s="640">
        <v>0</v>
      </c>
      <c r="J139" s="640">
        <v>0</v>
      </c>
      <c r="K139" s="640">
        <v>0</v>
      </c>
      <c r="L139" s="640">
        <v>0</v>
      </c>
      <c r="M139" s="640">
        <v>0.11310923608410439</v>
      </c>
      <c r="N139" s="640">
        <v>0</v>
      </c>
      <c r="O139" s="640">
        <v>0</v>
      </c>
      <c r="P139" s="640">
        <v>36.293113930785914</v>
      </c>
      <c r="Q139" s="640">
        <v>0</v>
      </c>
      <c r="R139" s="640">
        <v>0</v>
      </c>
      <c r="S139" s="648">
        <v>72.757787131693405</v>
      </c>
      <c r="U139" s="646" t="s">
        <v>75</v>
      </c>
      <c r="V139" s="640">
        <v>7.5011909179687501</v>
      </c>
      <c r="W139" s="640">
        <v>0</v>
      </c>
      <c r="X139" s="640">
        <v>19.422798115452274</v>
      </c>
      <c r="Y139" s="640">
        <v>5.203024859868802</v>
      </c>
      <c r="Z139" s="640">
        <v>0</v>
      </c>
      <c r="AA139" s="640">
        <v>0</v>
      </c>
      <c r="AB139" s="640">
        <v>0</v>
      </c>
      <c r="AC139" s="640">
        <v>0</v>
      </c>
      <c r="AD139" s="640">
        <v>0</v>
      </c>
      <c r="AE139" s="640">
        <v>0.45243694433641768</v>
      </c>
      <c r="AF139" s="640">
        <v>0</v>
      </c>
      <c r="AG139" s="640">
        <v>0</v>
      </c>
      <c r="AH139" s="640">
        <v>32.151874261364433</v>
      </c>
      <c r="AI139" s="640">
        <v>0</v>
      </c>
      <c r="AJ139" s="640">
        <v>0</v>
      </c>
      <c r="AK139" s="648">
        <v>64.731325098990681</v>
      </c>
    </row>
    <row r="140" spans="3:37" x14ac:dyDescent="0.2">
      <c r="C140" s="646" t="s">
        <v>76</v>
      </c>
      <c r="D140" s="640">
        <v>0</v>
      </c>
      <c r="E140" s="640">
        <v>0</v>
      </c>
      <c r="F140" s="640">
        <v>0</v>
      </c>
      <c r="G140" s="640">
        <v>4.0237645059289928</v>
      </c>
      <c r="H140" s="640">
        <v>0</v>
      </c>
      <c r="I140" s="640">
        <v>0</v>
      </c>
      <c r="J140" s="640">
        <v>0</v>
      </c>
      <c r="K140" s="640">
        <v>0</v>
      </c>
      <c r="L140" s="640">
        <v>0</v>
      </c>
      <c r="M140" s="640">
        <v>8.211764297814271E-2</v>
      </c>
      <c r="N140" s="640">
        <v>0</v>
      </c>
      <c r="O140" s="640">
        <v>0</v>
      </c>
      <c r="P140" s="640">
        <v>40.115929077638647</v>
      </c>
      <c r="Q140" s="640">
        <v>3.1293610589936001</v>
      </c>
      <c r="R140" s="640">
        <v>0</v>
      </c>
      <c r="S140" s="648">
        <v>47.351172285539384</v>
      </c>
      <c r="U140" s="646" t="s">
        <v>76</v>
      </c>
      <c r="V140" s="640">
        <v>0</v>
      </c>
      <c r="W140" s="640">
        <v>0</v>
      </c>
      <c r="X140" s="640">
        <v>0</v>
      </c>
      <c r="Y140" s="640">
        <v>3.6512599711974678</v>
      </c>
      <c r="Z140" s="640">
        <v>0</v>
      </c>
      <c r="AA140" s="640">
        <v>0</v>
      </c>
      <c r="AB140" s="640">
        <v>0</v>
      </c>
      <c r="AC140" s="640">
        <v>0</v>
      </c>
      <c r="AD140" s="640">
        <v>0</v>
      </c>
      <c r="AE140" s="640">
        <v>0.31750086706064945</v>
      </c>
      <c r="AF140" s="640">
        <v>0</v>
      </c>
      <c r="AG140" s="640">
        <v>0</v>
      </c>
      <c r="AH140" s="640">
        <v>40.286923174182249</v>
      </c>
      <c r="AI140" s="640">
        <v>4.8906691757229597</v>
      </c>
      <c r="AJ140" s="640">
        <v>0</v>
      </c>
      <c r="AK140" s="648">
        <v>49.146353188163332</v>
      </c>
    </row>
    <row r="141" spans="3:37" x14ac:dyDescent="0.2">
      <c r="C141" s="644" t="s">
        <v>77</v>
      </c>
      <c r="D141" s="645">
        <v>43.543536380731354</v>
      </c>
      <c r="E141" s="645">
        <v>551.4646517868191</v>
      </c>
      <c r="F141" s="645">
        <v>-512.58700343529028</v>
      </c>
      <c r="G141" s="645">
        <v>44.412031074506011</v>
      </c>
      <c r="H141" s="645">
        <v>1190.909090909091</v>
      </c>
      <c r="I141" s="645">
        <v>172.65095069399246</v>
      </c>
      <c r="J141" s="645">
        <v>94.171439503448497</v>
      </c>
      <c r="K141" s="645">
        <v>21.077612952720074</v>
      </c>
      <c r="L141" s="645">
        <v>-37.741138531991801</v>
      </c>
      <c r="M141" s="645">
        <v>-5.9030481959717278</v>
      </c>
      <c r="N141" s="645">
        <v>0</v>
      </c>
      <c r="O141" s="645">
        <v>4.5498003843657209</v>
      </c>
      <c r="P141" s="645">
        <v>-518.9013452054761</v>
      </c>
      <c r="Q141" s="645">
        <v>-37.199535435098404</v>
      </c>
      <c r="R141" s="645">
        <v>-0.58655864384492595</v>
      </c>
      <c r="S141" s="645">
        <v>1009.8604842380009</v>
      </c>
      <c r="U141" s="644" t="s">
        <v>77</v>
      </c>
      <c r="V141" s="645">
        <v>17.283932166029469</v>
      </c>
      <c r="W141" s="645">
        <v>449.50354116717102</v>
      </c>
      <c r="X141" s="645">
        <v>-415.72231562091827</v>
      </c>
      <c r="Y141" s="645">
        <v>81.114510287353866</v>
      </c>
      <c r="Z141" s="645">
        <v>1083.7741046831957</v>
      </c>
      <c r="AA141" s="645">
        <v>180.88004160308333</v>
      </c>
      <c r="AB141" s="645">
        <v>81.590959238698787</v>
      </c>
      <c r="AC141" s="645">
        <v>29.501662565587953</v>
      </c>
      <c r="AD141" s="645">
        <v>-46.778068194502332</v>
      </c>
      <c r="AE141" s="645">
        <v>-19.606632397547621</v>
      </c>
      <c r="AF141" s="645">
        <v>0</v>
      </c>
      <c r="AG141" s="645">
        <v>7.2171388504815477</v>
      </c>
      <c r="AH141" s="645">
        <v>-509.39746392036778</v>
      </c>
      <c r="AI141" s="645">
        <v>-58.16748920568601</v>
      </c>
      <c r="AJ141" s="645">
        <v>-5.4472107181245484</v>
      </c>
      <c r="AK141" s="645">
        <v>875.74671050445522</v>
      </c>
    </row>
    <row r="142" spans="3:37" x14ac:dyDescent="0.2">
      <c r="C142" s="634"/>
      <c r="D142" s="634">
        <v>0</v>
      </c>
      <c r="E142" s="634">
        <v>0</v>
      </c>
      <c r="F142" s="634">
        <v>0</v>
      </c>
      <c r="G142" s="634">
        <v>0</v>
      </c>
      <c r="H142" s="634">
        <v>0</v>
      </c>
      <c r="I142" s="634">
        <v>0</v>
      </c>
      <c r="J142" s="634">
        <v>0</v>
      </c>
      <c r="K142" s="634">
        <v>0</v>
      </c>
      <c r="L142" s="634">
        <v>0</v>
      </c>
      <c r="M142" s="634">
        <v>0</v>
      </c>
      <c r="N142" s="634">
        <v>0</v>
      </c>
      <c r="O142" s="634">
        <v>0</v>
      </c>
      <c r="P142" s="634">
        <v>0</v>
      </c>
      <c r="Q142" s="634">
        <v>0</v>
      </c>
      <c r="R142" s="634">
        <v>0</v>
      </c>
      <c r="S142" s="634">
        <v>0</v>
      </c>
      <c r="U142" s="634"/>
      <c r="V142" s="634">
        <v>0</v>
      </c>
      <c r="W142" s="634">
        <v>0</v>
      </c>
      <c r="X142" s="634">
        <v>0</v>
      </c>
      <c r="Y142" s="634">
        <v>0</v>
      </c>
      <c r="Z142" s="634">
        <v>0</v>
      </c>
      <c r="AA142" s="634">
        <v>0</v>
      </c>
      <c r="AB142" s="634">
        <v>0</v>
      </c>
      <c r="AC142" s="634">
        <v>0</v>
      </c>
      <c r="AD142" s="634">
        <v>0</v>
      </c>
      <c r="AE142" s="634">
        <v>0</v>
      </c>
      <c r="AF142" s="634">
        <v>0</v>
      </c>
      <c r="AG142" s="634">
        <v>0</v>
      </c>
      <c r="AH142" s="634">
        <v>0</v>
      </c>
      <c r="AI142" s="634">
        <v>0</v>
      </c>
      <c r="AJ142" s="634">
        <v>0</v>
      </c>
      <c r="AK142" s="634">
        <v>0</v>
      </c>
    </row>
    <row r="143" spans="3:37" x14ac:dyDescent="0.2">
      <c r="C143" s="646" t="s">
        <v>78</v>
      </c>
      <c r="D143" s="640">
        <v>6.728773440829297</v>
      </c>
      <c r="E143" s="640">
        <v>0</v>
      </c>
      <c r="F143" s="640">
        <v>25.863549799477383</v>
      </c>
      <c r="G143" s="640">
        <v>106.8903340661312</v>
      </c>
      <c r="H143" s="640">
        <v>0</v>
      </c>
      <c r="I143" s="640">
        <v>0</v>
      </c>
      <c r="J143" s="640">
        <v>18.169859613838756</v>
      </c>
      <c r="K143" s="640">
        <v>1.7567698743130979</v>
      </c>
      <c r="L143" s="640">
        <v>0.84376959960937503</v>
      </c>
      <c r="M143" s="640">
        <v>2.2002106600734406</v>
      </c>
      <c r="N143" s="640">
        <v>0</v>
      </c>
      <c r="O143" s="640">
        <v>3.8276465550578692E-4</v>
      </c>
      <c r="P143" s="640">
        <v>109.87696924977793</v>
      </c>
      <c r="Q143" s="640">
        <v>16.590503969858354</v>
      </c>
      <c r="R143" s="640">
        <v>0.37438674926757814</v>
      </c>
      <c r="S143" s="648">
        <v>289.29550978783192</v>
      </c>
      <c r="U143" s="646" t="s">
        <v>78</v>
      </c>
      <c r="V143" s="640">
        <v>2.0293809622126395</v>
      </c>
      <c r="W143" s="640">
        <v>0</v>
      </c>
      <c r="X143" s="640">
        <v>19.296192618187902</v>
      </c>
      <c r="Y143" s="640">
        <v>85.841195035715842</v>
      </c>
      <c r="Z143" s="640">
        <v>0</v>
      </c>
      <c r="AA143" s="640">
        <v>0</v>
      </c>
      <c r="AB143" s="640">
        <v>17.65205880284368</v>
      </c>
      <c r="AC143" s="640">
        <v>5.7057919623698545</v>
      </c>
      <c r="AD143" s="640">
        <v>1.0576742773437502</v>
      </c>
      <c r="AE143" s="640">
        <v>7.4832270132048837</v>
      </c>
      <c r="AF143" s="640">
        <v>0</v>
      </c>
      <c r="AG143" s="640">
        <v>3.8276465550578692E-4</v>
      </c>
      <c r="AH143" s="640">
        <v>128.8590842242281</v>
      </c>
      <c r="AI143" s="640">
        <v>20.165819518520905</v>
      </c>
      <c r="AJ143" s="640">
        <v>3.3051525878906252</v>
      </c>
      <c r="AK143" s="648">
        <v>291.39595976717368</v>
      </c>
    </row>
    <row r="144" spans="3:37" x14ac:dyDescent="0.2">
      <c r="C144" s="646" t="s">
        <v>79</v>
      </c>
      <c r="D144" s="640">
        <v>0</v>
      </c>
      <c r="E144" s="640">
        <v>0</v>
      </c>
      <c r="F144" s="640">
        <v>369.9552310331793</v>
      </c>
      <c r="G144" s="640">
        <v>11.471553092100274</v>
      </c>
      <c r="H144" s="640">
        <v>0</v>
      </c>
      <c r="I144" s="640">
        <v>0</v>
      </c>
      <c r="J144" s="640">
        <v>0</v>
      </c>
      <c r="K144" s="640">
        <v>0</v>
      </c>
      <c r="L144" s="640">
        <v>35.942658929765898</v>
      </c>
      <c r="M144" s="640">
        <v>0.23411332841020971</v>
      </c>
      <c r="N144" s="640">
        <v>0</v>
      </c>
      <c r="O144" s="640">
        <v>0</v>
      </c>
      <c r="P144" s="640">
        <v>25.304787135555738</v>
      </c>
      <c r="Q144" s="640">
        <v>0</v>
      </c>
      <c r="R144" s="640">
        <v>0.21217189457734786</v>
      </c>
      <c r="S144" s="648">
        <v>443.12051541358881</v>
      </c>
      <c r="U144" s="646" t="s">
        <v>79</v>
      </c>
      <c r="V144" s="640">
        <v>0</v>
      </c>
      <c r="W144" s="640">
        <v>0</v>
      </c>
      <c r="X144" s="640">
        <v>313.43701377185255</v>
      </c>
      <c r="Y144" s="640">
        <v>10.638728179836399</v>
      </c>
      <c r="Z144" s="640">
        <v>0</v>
      </c>
      <c r="AA144" s="640">
        <v>0</v>
      </c>
      <c r="AB144" s="640">
        <v>0</v>
      </c>
      <c r="AC144" s="640">
        <v>0</v>
      </c>
      <c r="AD144" s="640">
        <v>37.80600606344305</v>
      </c>
      <c r="AE144" s="640">
        <v>1.0240500912331831</v>
      </c>
      <c r="AF144" s="640">
        <v>0</v>
      </c>
      <c r="AG144" s="640">
        <v>0</v>
      </c>
      <c r="AH144" s="640">
        <v>27.763643315903455</v>
      </c>
      <c r="AI144" s="640">
        <v>0</v>
      </c>
      <c r="AJ144" s="640">
        <v>0.49126373722019012</v>
      </c>
      <c r="AK144" s="648">
        <v>391.16070515948877</v>
      </c>
    </row>
    <row r="145" spans="3:37" x14ac:dyDescent="0.2">
      <c r="C145" s="646" t="s">
        <v>80</v>
      </c>
      <c r="D145" s="640">
        <v>0</v>
      </c>
      <c r="E145" s="640">
        <v>0</v>
      </c>
      <c r="F145" s="640">
        <v>35.339410591812062</v>
      </c>
      <c r="G145" s="640">
        <v>110.15178599375342</v>
      </c>
      <c r="H145" s="640">
        <v>0</v>
      </c>
      <c r="I145" s="640">
        <v>0</v>
      </c>
      <c r="J145" s="640">
        <v>76.439784825488388</v>
      </c>
      <c r="K145" s="640">
        <v>0</v>
      </c>
      <c r="L145" s="640">
        <v>0</v>
      </c>
      <c r="M145" s="640">
        <v>2.2479956325255803</v>
      </c>
      <c r="N145" s="640">
        <v>37.868836361528707</v>
      </c>
      <c r="O145" s="640">
        <v>1.7588356807089602</v>
      </c>
      <c r="P145" s="640">
        <v>172.83410671700432</v>
      </c>
      <c r="Q145" s="640">
        <v>15.866907360541454</v>
      </c>
      <c r="R145" s="640">
        <v>0</v>
      </c>
      <c r="S145" s="648">
        <v>452.50766316336285</v>
      </c>
      <c r="U145" s="646" t="s">
        <v>80</v>
      </c>
      <c r="V145" s="640">
        <v>0</v>
      </c>
      <c r="W145" s="640">
        <v>0</v>
      </c>
      <c r="X145" s="640">
        <v>15.561012749366258</v>
      </c>
      <c r="Y145" s="640">
        <v>82.553801475145548</v>
      </c>
      <c r="Z145" s="640">
        <v>0</v>
      </c>
      <c r="AA145" s="640">
        <v>0</v>
      </c>
      <c r="AB145" s="640">
        <v>74.889683173020046</v>
      </c>
      <c r="AC145" s="640">
        <v>0</v>
      </c>
      <c r="AD145" s="640">
        <v>0</v>
      </c>
      <c r="AE145" s="640">
        <v>7.1785914326213538</v>
      </c>
      <c r="AF145" s="640">
        <v>42.28245423809345</v>
      </c>
      <c r="AG145" s="640">
        <v>1.7308148603825539</v>
      </c>
      <c r="AH145" s="640">
        <v>160.19147139934566</v>
      </c>
      <c r="AI145" s="640">
        <v>30.044387556600874</v>
      </c>
      <c r="AJ145" s="640">
        <v>0</v>
      </c>
      <c r="AK145" s="648">
        <v>414.43221688457572</v>
      </c>
    </row>
    <row r="146" spans="3:37" x14ac:dyDescent="0.2">
      <c r="C146" s="646" t="s">
        <v>81</v>
      </c>
      <c r="D146" s="640">
        <v>0</v>
      </c>
      <c r="E146" s="640">
        <v>0</v>
      </c>
      <c r="F146" s="640">
        <v>16.364991401651867</v>
      </c>
      <c r="G146" s="640">
        <v>64.121059154218784</v>
      </c>
      <c r="H146" s="640">
        <v>0</v>
      </c>
      <c r="I146" s="640">
        <v>0</v>
      </c>
      <c r="J146" s="640">
        <v>3.7472623320410015</v>
      </c>
      <c r="K146" s="640">
        <v>2.5571216676264549E-2</v>
      </c>
      <c r="L146" s="640">
        <v>0</v>
      </c>
      <c r="M146" s="640">
        <v>1.3085930439636488</v>
      </c>
      <c r="N146" s="640">
        <v>7.447967906294962</v>
      </c>
      <c r="O146" s="640">
        <v>0.8772790781137545</v>
      </c>
      <c r="P146" s="640">
        <v>131.35942241830159</v>
      </c>
      <c r="Q146" s="640">
        <v>4.7421241046985951</v>
      </c>
      <c r="R146" s="640">
        <v>0</v>
      </c>
      <c r="S146" s="648">
        <v>229.99427065596046</v>
      </c>
      <c r="U146" s="646" t="s">
        <v>81</v>
      </c>
      <c r="V146" s="640">
        <v>0</v>
      </c>
      <c r="W146" s="640">
        <v>0</v>
      </c>
      <c r="X146" s="640">
        <v>8.4431338424639417</v>
      </c>
      <c r="Y146" s="640">
        <v>45.209877020113709</v>
      </c>
      <c r="Z146" s="640">
        <v>0</v>
      </c>
      <c r="AA146" s="640">
        <v>0</v>
      </c>
      <c r="AB146" s="640">
        <v>7.2212655206083989</v>
      </c>
      <c r="AC146" s="640">
        <v>2.5571216676264549E-2</v>
      </c>
      <c r="AD146" s="640">
        <v>0</v>
      </c>
      <c r="AE146" s="640">
        <v>3.9312936539229324</v>
      </c>
      <c r="AF146" s="640">
        <v>13.032759828829999</v>
      </c>
      <c r="AG146" s="640">
        <v>1.6365054019865546</v>
      </c>
      <c r="AH146" s="640">
        <v>124.3283929234443</v>
      </c>
      <c r="AI146" s="640">
        <v>7.9572821305642334</v>
      </c>
      <c r="AJ146" s="640">
        <v>0</v>
      </c>
      <c r="AK146" s="648">
        <v>211.78608153861032</v>
      </c>
    </row>
    <row r="147" spans="3:37" x14ac:dyDescent="0.2">
      <c r="C147" s="646" t="s">
        <v>82</v>
      </c>
      <c r="D147" s="640">
        <v>0</v>
      </c>
      <c r="E147" s="640">
        <v>0</v>
      </c>
      <c r="F147" s="640">
        <v>33.765533014074606</v>
      </c>
      <c r="G147" s="640">
        <v>2.2907099526353965</v>
      </c>
      <c r="H147" s="640">
        <v>0</v>
      </c>
      <c r="I147" s="640">
        <v>0</v>
      </c>
      <c r="J147" s="640">
        <v>1.1066179688825246</v>
      </c>
      <c r="K147" s="640">
        <v>0</v>
      </c>
      <c r="L147" s="640">
        <v>2.3728212231152073</v>
      </c>
      <c r="M147" s="640">
        <v>4.6749182706844826E-2</v>
      </c>
      <c r="N147" s="640">
        <v>0</v>
      </c>
      <c r="O147" s="640">
        <v>8.6639841752499475E-2</v>
      </c>
      <c r="P147" s="640">
        <v>7.9913059260342072</v>
      </c>
      <c r="Q147" s="640">
        <v>0</v>
      </c>
      <c r="R147" s="640">
        <v>0</v>
      </c>
      <c r="S147" s="648">
        <v>47.660377109201292</v>
      </c>
      <c r="U147" s="646" t="s">
        <v>82</v>
      </c>
      <c r="V147" s="640">
        <v>0</v>
      </c>
      <c r="W147" s="640">
        <v>0</v>
      </c>
      <c r="X147" s="640">
        <v>29.817412370685851</v>
      </c>
      <c r="Y147" s="640">
        <v>2.4393255997206347</v>
      </c>
      <c r="Z147" s="640">
        <v>0</v>
      </c>
      <c r="AA147" s="640">
        <v>0</v>
      </c>
      <c r="AB147" s="640">
        <v>1.1066179688825246</v>
      </c>
      <c r="AC147" s="640">
        <v>0</v>
      </c>
      <c r="AD147" s="640">
        <v>7.1577097724425283</v>
      </c>
      <c r="AE147" s="640">
        <v>0.2121152695409248</v>
      </c>
      <c r="AF147" s="640">
        <v>0</v>
      </c>
      <c r="AG147" s="640">
        <v>0.5193752668696392</v>
      </c>
      <c r="AH147" s="640">
        <v>8.0258276876076717</v>
      </c>
      <c r="AI147" s="640">
        <v>0</v>
      </c>
      <c r="AJ147" s="640">
        <v>0.13892990437736891</v>
      </c>
      <c r="AK147" s="648">
        <v>49.417313840127143</v>
      </c>
    </row>
    <row r="148" spans="3:37" x14ac:dyDescent="0.2">
      <c r="C148" s="646" t="s">
        <v>354</v>
      </c>
      <c r="D148" s="640">
        <v>0</v>
      </c>
      <c r="E148" s="640">
        <v>0</v>
      </c>
      <c r="F148" s="640">
        <v>0</v>
      </c>
      <c r="G148" s="640">
        <v>0</v>
      </c>
      <c r="H148" s="640">
        <v>0</v>
      </c>
      <c r="I148" s="640">
        <v>0</v>
      </c>
      <c r="J148" s="640">
        <v>0</v>
      </c>
      <c r="K148" s="640">
        <v>0</v>
      </c>
      <c r="L148" s="640">
        <v>0</v>
      </c>
      <c r="M148" s="640">
        <v>0</v>
      </c>
      <c r="N148" s="640">
        <v>0</v>
      </c>
      <c r="O148" s="640">
        <v>0</v>
      </c>
      <c r="P148" s="640">
        <v>0</v>
      </c>
      <c r="Q148" s="640">
        <v>0</v>
      </c>
      <c r="R148" s="640">
        <v>0</v>
      </c>
      <c r="S148" s="648">
        <v>0</v>
      </c>
      <c r="U148" s="646" t="s">
        <v>354</v>
      </c>
      <c r="V148" s="640">
        <v>0</v>
      </c>
      <c r="W148" s="640">
        <v>0</v>
      </c>
      <c r="X148" s="640">
        <v>0</v>
      </c>
      <c r="Y148" s="640">
        <v>0</v>
      </c>
      <c r="Z148" s="640">
        <v>0</v>
      </c>
      <c r="AA148" s="640">
        <v>0</v>
      </c>
      <c r="AB148" s="640">
        <v>0</v>
      </c>
      <c r="AC148" s="640">
        <v>0</v>
      </c>
      <c r="AD148" s="640">
        <v>0</v>
      </c>
      <c r="AE148" s="640">
        <v>0</v>
      </c>
      <c r="AF148" s="640">
        <v>0</v>
      </c>
      <c r="AG148" s="640">
        <v>0</v>
      </c>
      <c r="AH148" s="640">
        <v>0.36</v>
      </c>
      <c r="AI148" s="640">
        <v>0</v>
      </c>
      <c r="AJ148" s="640">
        <v>0</v>
      </c>
      <c r="AK148" s="648">
        <v>0.36</v>
      </c>
    </row>
    <row r="149" spans="3:37" x14ac:dyDescent="0.2">
      <c r="C149" s="644" t="s">
        <v>83</v>
      </c>
      <c r="D149" s="645">
        <v>6.728773440829297</v>
      </c>
      <c r="E149" s="645">
        <v>0</v>
      </c>
      <c r="F149" s="645">
        <v>481.28871584019521</v>
      </c>
      <c r="G149" s="645">
        <v>294.92544225883904</v>
      </c>
      <c r="H149" s="645">
        <v>0</v>
      </c>
      <c r="I149" s="645">
        <v>0</v>
      </c>
      <c r="J149" s="645">
        <v>99.463524740250691</v>
      </c>
      <c r="K149" s="645">
        <v>1.7823410909893624</v>
      </c>
      <c r="L149" s="645">
        <v>39.159249752490481</v>
      </c>
      <c r="M149" s="645">
        <v>6.0376618476797237</v>
      </c>
      <c r="N149" s="645">
        <v>45.31680426782367</v>
      </c>
      <c r="O149" s="645">
        <v>2.7231373652307198</v>
      </c>
      <c r="P149" s="645">
        <v>447.36659144667379</v>
      </c>
      <c r="Q149" s="645">
        <v>37.199535435098404</v>
      </c>
      <c r="R149" s="645">
        <v>0.58655864384492595</v>
      </c>
      <c r="S149" s="645">
        <v>1462.5783361299455</v>
      </c>
      <c r="U149" s="644" t="s">
        <v>83</v>
      </c>
      <c r="V149" s="645">
        <v>2.0293809622126395</v>
      </c>
      <c r="W149" s="645">
        <v>0</v>
      </c>
      <c r="X149" s="645">
        <v>386.5547653525565</v>
      </c>
      <c r="Y149" s="645">
        <v>226.68292731053214</v>
      </c>
      <c r="Z149" s="645">
        <v>0</v>
      </c>
      <c r="AA149" s="645">
        <v>0</v>
      </c>
      <c r="AB149" s="645">
        <v>100.86962546535466</v>
      </c>
      <c r="AC149" s="645">
        <v>5.7313631790461192</v>
      </c>
      <c r="AD149" s="645">
        <v>46.02139011322933</v>
      </c>
      <c r="AE149" s="645">
        <v>19.829277460523276</v>
      </c>
      <c r="AF149" s="645">
        <v>55.315214066923446</v>
      </c>
      <c r="AG149" s="645">
        <v>3.8870782938942541</v>
      </c>
      <c r="AH149" s="645">
        <v>449.52841955052912</v>
      </c>
      <c r="AI149" s="645">
        <v>58.16748920568601</v>
      </c>
      <c r="AJ149" s="645">
        <v>3.9353462294881845</v>
      </c>
      <c r="AK149" s="645">
        <v>1358.5522771899757</v>
      </c>
    </row>
    <row r="150" spans="3:37" x14ac:dyDescent="0.2">
      <c r="C150" s="639" t="s">
        <v>84</v>
      </c>
      <c r="D150" s="640">
        <v>0</v>
      </c>
      <c r="E150" s="640">
        <v>0</v>
      </c>
      <c r="F150" s="640">
        <v>123.20669977294675</v>
      </c>
      <c r="G150" s="640">
        <v>12.463741308801668</v>
      </c>
      <c r="H150" s="640">
        <v>0</v>
      </c>
      <c r="I150" s="640">
        <v>0</v>
      </c>
      <c r="J150" s="640">
        <v>0</v>
      </c>
      <c r="K150" s="640">
        <v>0</v>
      </c>
      <c r="L150" s="640">
        <v>0</v>
      </c>
      <c r="M150" s="640">
        <v>0</v>
      </c>
      <c r="N150" s="640">
        <v>0</v>
      </c>
      <c r="O150" s="640">
        <v>0</v>
      </c>
      <c r="P150" s="640">
        <v>0</v>
      </c>
      <c r="Q150" s="640">
        <v>0</v>
      </c>
      <c r="R150" s="640">
        <v>0</v>
      </c>
      <c r="S150" s="648">
        <v>135.67044108174841</v>
      </c>
      <c r="U150" s="639" t="s">
        <v>84</v>
      </c>
      <c r="V150" s="640">
        <v>0</v>
      </c>
      <c r="W150" s="640">
        <v>0</v>
      </c>
      <c r="X150" s="640">
        <v>121.88018365111382</v>
      </c>
      <c r="Y150" s="640">
        <v>1.8275750900030534</v>
      </c>
      <c r="Z150" s="640">
        <v>0</v>
      </c>
      <c r="AA150" s="640">
        <v>0</v>
      </c>
      <c r="AB150" s="640">
        <v>0</v>
      </c>
      <c r="AC150" s="640">
        <v>0</v>
      </c>
      <c r="AD150" s="640">
        <v>0.27491428444602273</v>
      </c>
      <c r="AE150" s="640">
        <v>0</v>
      </c>
      <c r="AF150" s="640">
        <v>0</v>
      </c>
      <c r="AG150" s="640">
        <v>0</v>
      </c>
      <c r="AH150" s="640">
        <v>0</v>
      </c>
      <c r="AI150" s="640">
        <v>0</v>
      </c>
      <c r="AJ150" s="640">
        <v>1.5118644886363639</v>
      </c>
      <c r="AK150" s="648">
        <v>125.49453751419927</v>
      </c>
    </row>
    <row r="151" spans="3:37" x14ac:dyDescent="0.2">
      <c r="C151" s="644" t="s">
        <v>85</v>
      </c>
      <c r="D151" s="645">
        <v>6.728773440829297</v>
      </c>
      <c r="E151" s="645">
        <v>0</v>
      </c>
      <c r="F151" s="645">
        <v>604.49541561314186</v>
      </c>
      <c r="G151" s="645">
        <v>307.38918356764071</v>
      </c>
      <c r="H151" s="645">
        <v>0</v>
      </c>
      <c r="I151" s="645">
        <v>0</v>
      </c>
      <c r="J151" s="645">
        <v>99.463524740250691</v>
      </c>
      <c r="K151" s="645">
        <v>1.7823410909893624</v>
      </c>
      <c r="L151" s="645">
        <v>39.159249752490481</v>
      </c>
      <c r="M151" s="645">
        <v>6.0376618476797237</v>
      </c>
      <c r="N151" s="645">
        <v>45.31680426782367</v>
      </c>
      <c r="O151" s="645">
        <v>2.7231373652307198</v>
      </c>
      <c r="P151" s="645">
        <v>447.36659144667379</v>
      </c>
      <c r="Q151" s="645">
        <v>37.199535435098404</v>
      </c>
      <c r="R151" s="645">
        <v>0.58655864384492595</v>
      </c>
      <c r="S151" s="645">
        <v>1598.2487772116938</v>
      </c>
      <c r="U151" s="644" t="s">
        <v>85</v>
      </c>
      <c r="V151" s="645">
        <v>2.0293809622126395</v>
      </c>
      <c r="W151" s="645">
        <v>0</v>
      </c>
      <c r="X151" s="645">
        <v>508.43494900367028</v>
      </c>
      <c r="Y151" s="645">
        <v>228.51050240053519</v>
      </c>
      <c r="Z151" s="645">
        <v>0</v>
      </c>
      <c r="AA151" s="645">
        <v>0</v>
      </c>
      <c r="AB151" s="645">
        <v>100.86962546535466</v>
      </c>
      <c r="AC151" s="645">
        <v>5.7313631790461192</v>
      </c>
      <c r="AD151" s="645">
        <v>46.29630439767535</v>
      </c>
      <c r="AE151" s="645">
        <v>19.829277460523276</v>
      </c>
      <c r="AF151" s="645">
        <v>55.315214066923446</v>
      </c>
      <c r="AG151" s="645">
        <v>3.8870782938942541</v>
      </c>
      <c r="AH151" s="645">
        <v>449.52841955052912</v>
      </c>
      <c r="AI151" s="645">
        <v>58.16748920568601</v>
      </c>
      <c r="AJ151" s="645">
        <v>5.4472107181245484</v>
      </c>
      <c r="AK151" s="645">
        <v>1484.0468147041749</v>
      </c>
    </row>
    <row r="152" spans="3:37" x14ac:dyDescent="0.2">
      <c r="C152" s="634"/>
      <c r="D152" s="634"/>
      <c r="E152" s="634"/>
      <c r="F152" s="634"/>
      <c r="G152" s="634"/>
      <c r="H152" s="634"/>
      <c r="I152" s="634"/>
      <c r="J152" s="634"/>
      <c r="K152" s="634"/>
      <c r="L152" s="634"/>
      <c r="M152" s="634"/>
      <c r="N152" s="634"/>
      <c r="O152" s="634"/>
      <c r="P152" s="634"/>
      <c r="Q152" s="634"/>
      <c r="R152" s="634"/>
      <c r="S152" s="634"/>
      <c r="U152" s="634"/>
      <c r="V152" s="634"/>
      <c r="W152" s="634"/>
      <c r="X152" s="634"/>
      <c r="Y152" s="634"/>
      <c r="Z152" s="634"/>
      <c r="AA152" s="634"/>
      <c r="AB152" s="634"/>
      <c r="AC152" s="634"/>
      <c r="AD152" s="634"/>
      <c r="AE152" s="634"/>
      <c r="AF152" s="634"/>
      <c r="AG152" s="634"/>
      <c r="AH152" s="634"/>
      <c r="AI152" s="634"/>
      <c r="AJ152" s="634"/>
      <c r="AK152" s="634"/>
    </row>
    <row r="153" spans="3:37" ht="22.5" x14ac:dyDescent="0.3">
      <c r="C153" s="759" t="s">
        <v>88</v>
      </c>
      <c r="D153" s="759"/>
      <c r="E153" s="759"/>
      <c r="F153" s="759"/>
      <c r="G153" s="759"/>
      <c r="H153" s="759"/>
      <c r="I153" s="759"/>
      <c r="J153" s="759"/>
      <c r="K153" s="759"/>
      <c r="L153" s="759"/>
      <c r="M153" s="759"/>
      <c r="N153" s="759"/>
      <c r="O153" s="759"/>
      <c r="P153" s="759"/>
      <c r="Q153" s="759"/>
      <c r="R153" s="759"/>
      <c r="S153" s="759"/>
      <c r="U153" s="759" t="s">
        <v>88</v>
      </c>
      <c r="V153" s="759"/>
      <c r="W153" s="759"/>
      <c r="X153" s="759"/>
      <c r="Y153" s="759"/>
      <c r="Z153" s="759"/>
      <c r="AA153" s="759"/>
      <c r="AB153" s="759"/>
      <c r="AC153" s="759"/>
      <c r="AD153" s="759"/>
      <c r="AE153" s="759"/>
      <c r="AF153" s="759"/>
      <c r="AG153" s="759"/>
      <c r="AH153" s="759"/>
      <c r="AI153" s="759"/>
      <c r="AJ153" s="759"/>
      <c r="AK153" s="759"/>
    </row>
    <row r="154" spans="3:37" x14ac:dyDescent="0.2">
      <c r="C154" s="634"/>
      <c r="D154" s="634"/>
      <c r="E154" s="634"/>
      <c r="F154" s="634"/>
      <c r="G154" s="634"/>
      <c r="H154" s="634"/>
      <c r="I154" s="634"/>
      <c r="J154" s="634"/>
      <c r="K154" s="634"/>
      <c r="L154" s="634"/>
      <c r="M154" s="634"/>
      <c r="N154" s="634"/>
      <c r="O154" s="634"/>
      <c r="P154" s="634"/>
      <c r="Q154" s="634"/>
      <c r="R154" s="634"/>
      <c r="S154" s="634"/>
      <c r="U154" s="634"/>
      <c r="V154" s="634"/>
      <c r="W154" s="634"/>
      <c r="X154" s="634"/>
      <c r="Y154" s="634"/>
      <c r="Z154" s="634"/>
      <c r="AA154" s="634"/>
      <c r="AB154" s="634"/>
      <c r="AC154" s="634"/>
      <c r="AD154" s="634"/>
      <c r="AE154" s="634"/>
      <c r="AF154" s="634"/>
      <c r="AG154" s="634"/>
      <c r="AH154" s="634"/>
      <c r="AI154" s="634"/>
      <c r="AJ154" s="634"/>
      <c r="AK154" s="634"/>
    </row>
    <row r="155" spans="3:37" ht="12.95" customHeight="1" x14ac:dyDescent="0.2">
      <c r="C155" s="758" t="s">
        <v>128</v>
      </c>
      <c r="D155" s="757" t="s">
        <v>42</v>
      </c>
      <c r="E155" s="757" t="s">
        <v>52</v>
      </c>
      <c r="F155" s="757" t="s">
        <v>53</v>
      </c>
      <c r="G155" s="757" t="s">
        <v>32</v>
      </c>
      <c r="H155" s="757" t="s">
        <v>20</v>
      </c>
      <c r="I155" s="757" t="s">
        <v>55</v>
      </c>
      <c r="J155" s="757" t="s">
        <v>56</v>
      </c>
      <c r="K155" s="757"/>
      <c r="L155" s="757"/>
      <c r="M155" s="757"/>
      <c r="N155" s="757"/>
      <c r="O155" s="757"/>
      <c r="P155" s="757" t="s">
        <v>57</v>
      </c>
      <c r="Q155" s="757" t="s">
        <v>58</v>
      </c>
      <c r="R155" s="757" t="s">
        <v>31</v>
      </c>
      <c r="S155" s="757" t="s">
        <v>10</v>
      </c>
      <c r="U155" s="758" t="s">
        <v>128</v>
      </c>
      <c r="V155" s="757" t="s">
        <v>42</v>
      </c>
      <c r="W155" s="757" t="s">
        <v>52</v>
      </c>
      <c r="X155" s="757" t="s">
        <v>53</v>
      </c>
      <c r="Y155" s="757" t="s">
        <v>32</v>
      </c>
      <c r="Z155" s="757" t="s">
        <v>20</v>
      </c>
      <c r="AA155" s="757" t="s">
        <v>55</v>
      </c>
      <c r="AB155" s="757" t="s">
        <v>56</v>
      </c>
      <c r="AC155" s="757"/>
      <c r="AD155" s="757"/>
      <c r="AE155" s="757"/>
      <c r="AF155" s="757"/>
      <c r="AG155" s="757"/>
      <c r="AH155" s="757" t="s">
        <v>57</v>
      </c>
      <c r="AI155" s="757" t="s">
        <v>58</v>
      </c>
      <c r="AJ155" s="757" t="s">
        <v>31</v>
      </c>
      <c r="AK155" s="757" t="s">
        <v>10</v>
      </c>
    </row>
    <row r="156" spans="3:37" ht="56.25" x14ac:dyDescent="0.2">
      <c r="C156" s="758"/>
      <c r="D156" s="757"/>
      <c r="E156" s="757"/>
      <c r="F156" s="757"/>
      <c r="G156" s="757"/>
      <c r="H156" s="757"/>
      <c r="I156" s="757"/>
      <c r="J156" s="638" t="s">
        <v>335</v>
      </c>
      <c r="K156" s="638" t="s">
        <v>40</v>
      </c>
      <c r="L156" s="638" t="s">
        <v>343</v>
      </c>
      <c r="M156" s="638" t="s">
        <v>344</v>
      </c>
      <c r="N156" s="638" t="s">
        <v>345</v>
      </c>
      <c r="O156" s="638" t="s">
        <v>346</v>
      </c>
      <c r="P156" s="757"/>
      <c r="Q156" s="757"/>
      <c r="R156" s="757"/>
      <c r="S156" s="757"/>
      <c r="U156" s="758"/>
      <c r="V156" s="757"/>
      <c r="W156" s="757"/>
      <c r="X156" s="757"/>
      <c r="Y156" s="757"/>
      <c r="Z156" s="757"/>
      <c r="AA156" s="757"/>
      <c r="AB156" s="638" t="s">
        <v>335</v>
      </c>
      <c r="AC156" s="638" t="s">
        <v>40</v>
      </c>
      <c r="AD156" s="638" t="s">
        <v>343</v>
      </c>
      <c r="AE156" s="638" t="s">
        <v>344</v>
      </c>
      <c r="AF156" s="638" t="s">
        <v>345</v>
      </c>
      <c r="AG156" s="638" t="s">
        <v>346</v>
      </c>
      <c r="AH156" s="757"/>
      <c r="AI156" s="757"/>
      <c r="AJ156" s="757"/>
      <c r="AK156" s="757"/>
    </row>
    <row r="157" spans="3:37" x14ac:dyDescent="0.2">
      <c r="C157" s="639" t="s">
        <v>59</v>
      </c>
      <c r="D157" s="640">
        <v>0</v>
      </c>
      <c r="E157" s="641">
        <v>9.7691999999999997</v>
      </c>
      <c r="F157" s="641">
        <v>0</v>
      </c>
      <c r="G157" s="640">
        <v>0.18608000000000002</v>
      </c>
      <c r="H157" s="641">
        <v>1190.909090909091</v>
      </c>
      <c r="I157" s="641">
        <v>182.7291074592973</v>
      </c>
      <c r="J157" s="641">
        <v>189.61507961766128</v>
      </c>
      <c r="K157" s="641">
        <v>22.268083551618652</v>
      </c>
      <c r="L157" s="641">
        <v>0.30256781050897086</v>
      </c>
      <c r="M157" s="641">
        <v>0.13616606414588689</v>
      </c>
      <c r="N157" s="641">
        <v>49.514351265721807</v>
      </c>
      <c r="O157" s="641">
        <v>8.1467195883110648</v>
      </c>
      <c r="P157" s="642">
        <v>0</v>
      </c>
      <c r="Q157" s="641">
        <v>0</v>
      </c>
      <c r="R157" s="641">
        <v>0</v>
      </c>
      <c r="S157" s="643">
        <v>1653.5764462663558</v>
      </c>
      <c r="U157" s="639" t="s">
        <v>59</v>
      </c>
      <c r="V157" s="640">
        <v>0</v>
      </c>
      <c r="W157" s="641">
        <v>9.7691999999999997</v>
      </c>
      <c r="X157" s="641">
        <v>0</v>
      </c>
      <c r="Y157" s="640">
        <v>0.18608000000000002</v>
      </c>
      <c r="Z157" s="641">
        <v>1069.3939393939395</v>
      </c>
      <c r="AA157" s="641">
        <v>197.24910745929728</v>
      </c>
      <c r="AB157" s="641">
        <v>182.13163745220285</v>
      </c>
      <c r="AC157" s="641">
        <v>36.932838973655407</v>
      </c>
      <c r="AD157" s="641">
        <v>0.30256781050897086</v>
      </c>
      <c r="AE157" s="641">
        <v>0.13616606414588689</v>
      </c>
      <c r="AF157" s="641">
        <v>61.091225724919909</v>
      </c>
      <c r="AG157" s="641">
        <v>13.043980364734779</v>
      </c>
      <c r="AH157" s="642">
        <v>0</v>
      </c>
      <c r="AI157" s="641">
        <v>0</v>
      </c>
      <c r="AJ157" s="641">
        <v>0</v>
      </c>
      <c r="AK157" s="643">
        <v>1570.2367432434044</v>
      </c>
    </row>
    <row r="158" spans="3:37" x14ac:dyDescent="0.2">
      <c r="C158" s="639" t="s">
        <v>60</v>
      </c>
      <c r="D158" s="640">
        <v>49.173561762123036</v>
      </c>
      <c r="E158" s="641">
        <v>533.81672423347197</v>
      </c>
      <c r="F158" s="641">
        <v>159.30055959731865</v>
      </c>
      <c r="G158" s="640">
        <v>343.82692763471942</v>
      </c>
      <c r="H158" s="641">
        <v>0</v>
      </c>
      <c r="I158" s="641">
        <v>0</v>
      </c>
      <c r="J158" s="641">
        <v>3.0754920838007731</v>
      </c>
      <c r="K158" s="641">
        <v>0</v>
      </c>
      <c r="L158" s="641">
        <v>1.7669821269916453</v>
      </c>
      <c r="M158" s="641">
        <v>0</v>
      </c>
      <c r="N158" s="641">
        <v>0</v>
      </c>
      <c r="O158" s="641">
        <v>0</v>
      </c>
      <c r="P158" s="642">
        <v>0</v>
      </c>
      <c r="Q158" s="641">
        <v>0</v>
      </c>
      <c r="R158" s="641">
        <v>0</v>
      </c>
      <c r="S158" s="643">
        <v>1090.9602474384255</v>
      </c>
      <c r="U158" s="639" t="s">
        <v>60</v>
      </c>
      <c r="V158" s="640">
        <v>12.56447967339157</v>
      </c>
      <c r="W158" s="641">
        <v>409.1975890316798</v>
      </c>
      <c r="X158" s="641">
        <v>146.83839951059079</v>
      </c>
      <c r="Y158" s="640">
        <v>277.07529977218445</v>
      </c>
      <c r="Z158" s="641">
        <v>0</v>
      </c>
      <c r="AA158" s="641">
        <v>0</v>
      </c>
      <c r="AB158" s="641">
        <v>3.0754920838007731</v>
      </c>
      <c r="AC158" s="641">
        <v>0</v>
      </c>
      <c r="AD158" s="641">
        <v>1.7669821269916453</v>
      </c>
      <c r="AE158" s="641">
        <v>0</v>
      </c>
      <c r="AF158" s="641">
        <v>0</v>
      </c>
      <c r="AG158" s="641">
        <v>0</v>
      </c>
      <c r="AH158" s="642">
        <v>0</v>
      </c>
      <c r="AI158" s="641">
        <v>0</v>
      </c>
      <c r="AJ158" s="641">
        <v>0</v>
      </c>
      <c r="AK158" s="643">
        <v>850.51824219863909</v>
      </c>
    </row>
    <row r="159" spans="3:37" x14ac:dyDescent="0.2">
      <c r="C159" s="639" t="s">
        <v>61</v>
      </c>
      <c r="D159" s="640">
        <v>0</v>
      </c>
      <c r="E159" s="641">
        <v>0</v>
      </c>
      <c r="F159" s="641">
        <v>0</v>
      </c>
      <c r="G159" s="640">
        <v>0</v>
      </c>
      <c r="H159" s="641">
        <v>0</v>
      </c>
      <c r="I159" s="641">
        <v>0</v>
      </c>
      <c r="J159" s="641">
        <v>0</v>
      </c>
      <c r="K159" s="641">
        <v>0</v>
      </c>
      <c r="L159" s="641">
        <v>0</v>
      </c>
      <c r="M159" s="641">
        <v>0</v>
      </c>
      <c r="N159" s="641">
        <v>0</v>
      </c>
      <c r="O159" s="641">
        <v>0</v>
      </c>
      <c r="P159" s="642">
        <v>-73.711460432822037</v>
      </c>
      <c r="Q159" s="641">
        <v>0</v>
      </c>
      <c r="R159" s="641">
        <v>0</v>
      </c>
      <c r="S159" s="643">
        <v>-73.711460432822037</v>
      </c>
      <c r="U159" s="639" t="s">
        <v>61</v>
      </c>
      <c r="V159" s="640">
        <v>0</v>
      </c>
      <c r="W159" s="641">
        <v>0</v>
      </c>
      <c r="X159" s="641">
        <v>0</v>
      </c>
      <c r="Y159" s="640">
        <v>0</v>
      </c>
      <c r="Z159" s="641">
        <v>0</v>
      </c>
      <c r="AA159" s="641">
        <v>0</v>
      </c>
      <c r="AB159" s="641">
        <v>0</v>
      </c>
      <c r="AC159" s="641">
        <v>0</v>
      </c>
      <c r="AD159" s="641">
        <v>0</v>
      </c>
      <c r="AE159" s="641">
        <v>0</v>
      </c>
      <c r="AF159" s="641">
        <v>0</v>
      </c>
      <c r="AG159" s="641">
        <v>0</v>
      </c>
      <c r="AH159" s="642">
        <v>-59.233927293838519</v>
      </c>
      <c r="AI159" s="641">
        <v>0</v>
      </c>
      <c r="AJ159" s="641">
        <v>0</v>
      </c>
      <c r="AK159" s="643">
        <v>-59.233927293838519</v>
      </c>
    </row>
    <row r="160" spans="3:37" x14ac:dyDescent="0.2">
      <c r="C160" s="639" t="s">
        <v>62</v>
      </c>
      <c r="D160" s="640">
        <v>0</v>
      </c>
      <c r="E160" s="641">
        <v>0</v>
      </c>
      <c r="F160" s="641">
        <v>-16.493151741791234</v>
      </c>
      <c r="G160" s="640">
        <v>0</v>
      </c>
      <c r="H160" s="641">
        <v>0</v>
      </c>
      <c r="I160" s="641">
        <v>0</v>
      </c>
      <c r="J160" s="641">
        <v>0</v>
      </c>
      <c r="K160" s="641">
        <v>0</v>
      </c>
      <c r="L160" s="641">
        <v>0</v>
      </c>
      <c r="M160" s="641">
        <v>0</v>
      </c>
      <c r="N160" s="641">
        <v>0</v>
      </c>
      <c r="O160" s="641">
        <v>0</v>
      </c>
      <c r="P160" s="642">
        <v>0</v>
      </c>
      <c r="Q160" s="641">
        <v>0</v>
      </c>
      <c r="R160" s="641">
        <v>0</v>
      </c>
      <c r="S160" s="643">
        <v>-16.493151741791234</v>
      </c>
      <c r="U160" s="639" t="s">
        <v>62</v>
      </c>
      <c r="V160" s="640">
        <v>0</v>
      </c>
      <c r="W160" s="641">
        <v>0</v>
      </c>
      <c r="X160" s="641">
        <v>-16.114280484636947</v>
      </c>
      <c r="Y160" s="640">
        <v>-5.618284274922395E-2</v>
      </c>
      <c r="Z160" s="641">
        <v>0</v>
      </c>
      <c r="AA160" s="641">
        <v>0</v>
      </c>
      <c r="AB160" s="641">
        <v>0</v>
      </c>
      <c r="AC160" s="641">
        <v>0</v>
      </c>
      <c r="AD160" s="641">
        <v>0</v>
      </c>
      <c r="AE160" s="641">
        <v>-6.2425380832471051E-3</v>
      </c>
      <c r="AF160" s="641">
        <v>0</v>
      </c>
      <c r="AG160" s="641">
        <v>0</v>
      </c>
      <c r="AH160" s="642">
        <v>0</v>
      </c>
      <c r="AI160" s="641">
        <v>0</v>
      </c>
      <c r="AJ160" s="641">
        <v>0</v>
      </c>
      <c r="AK160" s="643">
        <v>-16.176705865469415</v>
      </c>
    </row>
    <row r="161" spans="3:37" x14ac:dyDescent="0.2">
      <c r="C161" s="639" t="s">
        <v>63</v>
      </c>
      <c r="D161" s="640">
        <v>0</v>
      </c>
      <c r="E161" s="641">
        <v>0</v>
      </c>
      <c r="F161" s="641">
        <v>-80.583101554650298</v>
      </c>
      <c r="G161" s="640">
        <v>0</v>
      </c>
      <c r="H161" s="641">
        <v>0</v>
      </c>
      <c r="I161" s="641">
        <v>0</v>
      </c>
      <c r="J161" s="641">
        <v>0</v>
      </c>
      <c r="K161" s="641">
        <v>0</v>
      </c>
      <c r="L161" s="641">
        <v>-0.83510983775166403</v>
      </c>
      <c r="M161" s="641">
        <v>0</v>
      </c>
      <c r="N161" s="641">
        <v>0</v>
      </c>
      <c r="O161" s="641">
        <v>0</v>
      </c>
      <c r="P161" s="642">
        <v>0</v>
      </c>
      <c r="Q161" s="641">
        <v>0</v>
      </c>
      <c r="R161" s="641">
        <v>0</v>
      </c>
      <c r="S161" s="643">
        <v>-81.418211392401957</v>
      </c>
      <c r="U161" s="639" t="s">
        <v>63</v>
      </c>
      <c r="V161" s="640">
        <v>0</v>
      </c>
      <c r="W161" s="641">
        <v>0</v>
      </c>
      <c r="X161" s="641">
        <v>-78.29497747164686</v>
      </c>
      <c r="Y161" s="640">
        <v>0</v>
      </c>
      <c r="Z161" s="641">
        <v>0</v>
      </c>
      <c r="AA161" s="641">
        <v>0</v>
      </c>
      <c r="AB161" s="641">
        <v>0</v>
      </c>
      <c r="AC161" s="641">
        <v>0</v>
      </c>
      <c r="AD161" s="641">
        <v>-3.8806739722042796</v>
      </c>
      <c r="AE161" s="641">
        <v>0</v>
      </c>
      <c r="AF161" s="641">
        <v>0</v>
      </c>
      <c r="AG161" s="641">
        <v>0</v>
      </c>
      <c r="AH161" s="642">
        <v>0</v>
      </c>
      <c r="AI161" s="641">
        <v>0</v>
      </c>
      <c r="AJ161" s="641">
        <v>0</v>
      </c>
      <c r="AK161" s="643">
        <v>-82.175651443851137</v>
      </c>
    </row>
    <row r="162" spans="3:37" x14ac:dyDescent="0.2">
      <c r="C162" s="639" t="s">
        <v>64</v>
      </c>
      <c r="D162" s="640">
        <v>0</v>
      </c>
      <c r="E162" s="641">
        <v>0</v>
      </c>
      <c r="F162" s="641">
        <v>0</v>
      </c>
      <c r="G162" s="640">
        <v>0</v>
      </c>
      <c r="H162" s="641">
        <v>0</v>
      </c>
      <c r="I162" s="641">
        <v>0</v>
      </c>
      <c r="J162" s="641">
        <v>0</v>
      </c>
      <c r="K162" s="641">
        <v>0</v>
      </c>
      <c r="L162" s="641">
        <v>0</v>
      </c>
      <c r="M162" s="641">
        <v>0</v>
      </c>
      <c r="N162" s="641">
        <v>0</v>
      </c>
      <c r="O162" s="641">
        <v>0</v>
      </c>
      <c r="P162" s="642">
        <v>0</v>
      </c>
      <c r="Q162" s="641">
        <v>0</v>
      </c>
      <c r="R162" s="641">
        <v>0</v>
      </c>
      <c r="S162" s="643">
        <v>0</v>
      </c>
      <c r="U162" s="639" t="s">
        <v>64</v>
      </c>
      <c r="V162" s="640">
        <v>0</v>
      </c>
      <c r="W162" s="641">
        <v>0</v>
      </c>
      <c r="X162" s="641">
        <v>0</v>
      </c>
      <c r="Y162" s="640">
        <v>0</v>
      </c>
      <c r="Z162" s="641">
        <v>0</v>
      </c>
      <c r="AA162" s="641">
        <v>0</v>
      </c>
      <c r="AB162" s="641">
        <v>0</v>
      </c>
      <c r="AC162" s="641">
        <v>0</v>
      </c>
      <c r="AD162" s="641">
        <v>0</v>
      </c>
      <c r="AE162" s="641">
        <v>0</v>
      </c>
      <c r="AF162" s="641">
        <v>0</v>
      </c>
      <c r="AG162" s="641">
        <v>0</v>
      </c>
      <c r="AH162" s="642">
        <v>0</v>
      </c>
      <c r="AI162" s="641">
        <v>0</v>
      </c>
      <c r="AJ162" s="641">
        <v>0</v>
      </c>
      <c r="AK162" s="643">
        <v>0</v>
      </c>
    </row>
    <row r="163" spans="3:37" x14ac:dyDescent="0.2">
      <c r="C163" s="644" t="s">
        <v>65</v>
      </c>
      <c r="D163" s="645">
        <v>49.173561762123036</v>
      </c>
      <c r="E163" s="645">
        <v>543.58592423347193</v>
      </c>
      <c r="F163" s="645">
        <v>62.224306300877117</v>
      </c>
      <c r="G163" s="645">
        <v>344.01300763471943</v>
      </c>
      <c r="H163" s="645">
        <v>1190.909090909091</v>
      </c>
      <c r="I163" s="645">
        <v>182.7291074592973</v>
      </c>
      <c r="J163" s="645">
        <v>192.69057170146206</v>
      </c>
      <c r="K163" s="645">
        <v>22.268083551618652</v>
      </c>
      <c r="L163" s="645">
        <v>1.234440099748952</v>
      </c>
      <c r="M163" s="645">
        <v>0.13616606414588689</v>
      </c>
      <c r="N163" s="645">
        <v>49.514351265721807</v>
      </c>
      <c r="O163" s="645">
        <v>8.1467195883110648</v>
      </c>
      <c r="P163" s="645">
        <v>-73.711460432822037</v>
      </c>
      <c r="Q163" s="645">
        <v>0</v>
      </c>
      <c r="R163" s="645">
        <v>0</v>
      </c>
      <c r="S163" s="645">
        <v>2572.9138701377656</v>
      </c>
      <c r="U163" s="644" t="s">
        <v>65</v>
      </c>
      <c r="V163" s="645">
        <v>12.56447967339157</v>
      </c>
      <c r="W163" s="645">
        <v>418.96678903167981</v>
      </c>
      <c r="X163" s="645">
        <v>52.42914155430698</v>
      </c>
      <c r="Y163" s="645">
        <v>277.2051969294352</v>
      </c>
      <c r="Z163" s="645">
        <v>1069.3939393939395</v>
      </c>
      <c r="AA163" s="645">
        <v>197.24910745929728</v>
      </c>
      <c r="AB163" s="645">
        <v>185.20712953600363</v>
      </c>
      <c r="AC163" s="645">
        <v>36.932838973655407</v>
      </c>
      <c r="AD163" s="645">
        <v>-1.8111240347036635</v>
      </c>
      <c r="AE163" s="645">
        <v>0.12992352606263979</v>
      </c>
      <c r="AF163" s="645">
        <v>61.091225724919909</v>
      </c>
      <c r="AG163" s="645">
        <v>13.043980364734779</v>
      </c>
      <c r="AH163" s="645">
        <v>-59.233927293838519</v>
      </c>
      <c r="AI163" s="645">
        <v>0</v>
      </c>
      <c r="AJ163" s="645">
        <v>0</v>
      </c>
      <c r="AK163" s="645">
        <v>2263.168700838884</v>
      </c>
    </row>
    <row r="164" spans="3:37" x14ac:dyDescent="0.2">
      <c r="C164" s="634"/>
      <c r="D164" s="634">
        <v>0</v>
      </c>
      <c r="E164" s="634">
        <v>0</v>
      </c>
      <c r="F164" s="634">
        <v>0</v>
      </c>
      <c r="G164" s="634">
        <v>0</v>
      </c>
      <c r="H164" s="634">
        <v>0</v>
      </c>
      <c r="I164" s="634">
        <v>0</v>
      </c>
      <c r="J164" s="634">
        <v>0</v>
      </c>
      <c r="K164" s="634">
        <v>0</v>
      </c>
      <c r="L164" s="634">
        <v>0</v>
      </c>
      <c r="M164" s="634">
        <v>0</v>
      </c>
      <c r="N164" s="634">
        <v>0</v>
      </c>
      <c r="O164" s="634">
        <v>0</v>
      </c>
      <c r="P164" s="634">
        <v>0</v>
      </c>
      <c r="Q164" s="634">
        <v>0</v>
      </c>
      <c r="R164" s="634">
        <v>0</v>
      </c>
      <c r="S164" s="634">
        <v>0</v>
      </c>
      <c r="U164" s="634"/>
      <c r="V164" s="634">
        <v>0</v>
      </c>
      <c r="W164" s="634">
        <v>0</v>
      </c>
      <c r="X164" s="634">
        <v>0</v>
      </c>
      <c r="Y164" s="634">
        <v>0</v>
      </c>
      <c r="Z164" s="634">
        <v>0</v>
      </c>
      <c r="AA164" s="634">
        <v>0</v>
      </c>
      <c r="AB164" s="634">
        <v>0</v>
      </c>
      <c r="AC164" s="634">
        <v>0</v>
      </c>
      <c r="AD164" s="634">
        <v>0</v>
      </c>
      <c r="AE164" s="634">
        <v>0</v>
      </c>
      <c r="AF164" s="634">
        <v>0</v>
      </c>
      <c r="AG164" s="634">
        <v>0</v>
      </c>
      <c r="AH164" s="634">
        <v>0</v>
      </c>
      <c r="AI164" s="634">
        <v>0</v>
      </c>
      <c r="AJ164" s="634">
        <v>0</v>
      </c>
      <c r="AK164" s="634">
        <v>0</v>
      </c>
    </row>
    <row r="165" spans="3:37" x14ac:dyDescent="0.2">
      <c r="C165" s="646" t="s">
        <v>67</v>
      </c>
      <c r="D165" s="640">
        <v>0</v>
      </c>
      <c r="E165" s="647">
        <v>0</v>
      </c>
      <c r="F165" s="647">
        <v>0</v>
      </c>
      <c r="G165" s="640">
        <v>0</v>
      </c>
      <c r="H165" s="640">
        <v>0</v>
      </c>
      <c r="I165" s="640">
        <v>0</v>
      </c>
      <c r="J165" s="640">
        <v>0</v>
      </c>
      <c r="K165" s="640">
        <v>0</v>
      </c>
      <c r="L165" s="640">
        <v>0</v>
      </c>
      <c r="M165" s="640">
        <v>0</v>
      </c>
      <c r="N165" s="640">
        <v>0</v>
      </c>
      <c r="O165" s="640">
        <v>0</v>
      </c>
      <c r="P165" s="640">
        <v>0</v>
      </c>
      <c r="Q165" s="640">
        <v>0</v>
      </c>
      <c r="R165" s="640">
        <v>0</v>
      </c>
      <c r="S165" s="648">
        <v>0</v>
      </c>
      <c r="U165" s="646" t="s">
        <v>67</v>
      </c>
      <c r="V165" s="640">
        <v>0</v>
      </c>
      <c r="W165" s="647">
        <v>0</v>
      </c>
      <c r="X165" s="647">
        <v>0</v>
      </c>
      <c r="Y165" s="640">
        <v>0</v>
      </c>
      <c r="Z165" s="640">
        <v>0</v>
      </c>
      <c r="AA165" s="640">
        <v>0</v>
      </c>
      <c r="AB165" s="640">
        <v>0</v>
      </c>
      <c r="AC165" s="640">
        <v>0</v>
      </c>
      <c r="AD165" s="640">
        <v>0</v>
      </c>
      <c r="AE165" s="640">
        <v>0</v>
      </c>
      <c r="AF165" s="640">
        <v>0</v>
      </c>
      <c r="AG165" s="640">
        <v>0</v>
      </c>
      <c r="AH165" s="640">
        <v>0</v>
      </c>
      <c r="AI165" s="640">
        <v>0</v>
      </c>
      <c r="AJ165" s="640">
        <v>0</v>
      </c>
      <c r="AK165" s="648">
        <v>0</v>
      </c>
    </row>
    <row r="166" spans="3:37" x14ac:dyDescent="0.2">
      <c r="C166" s="646" t="s">
        <v>347</v>
      </c>
      <c r="D166" s="640">
        <v>2.8267856410252494</v>
      </c>
      <c r="E166" s="640">
        <v>0</v>
      </c>
      <c r="F166" s="640">
        <v>7.5307695076515202</v>
      </c>
      <c r="G166" s="640">
        <v>17.818181818181817</v>
      </c>
      <c r="H166" s="640">
        <v>1190.909090909091</v>
      </c>
      <c r="I166" s="640">
        <v>182.7291074592973</v>
      </c>
      <c r="J166" s="649">
        <v>31.567770517320518</v>
      </c>
      <c r="K166" s="649">
        <v>7.9944017148664477</v>
      </c>
      <c r="L166" s="649">
        <v>2.0695499375006161</v>
      </c>
      <c r="M166" s="649">
        <v>0.46787592950723628</v>
      </c>
      <c r="N166" s="649">
        <v>0</v>
      </c>
      <c r="O166" s="649">
        <v>3.0833964576427819</v>
      </c>
      <c r="P166" s="640">
        <v>-605.52729840025461</v>
      </c>
      <c r="Q166" s="640">
        <v>0</v>
      </c>
      <c r="R166" s="640">
        <v>0</v>
      </c>
      <c r="S166" s="648">
        <v>841.46963149182989</v>
      </c>
      <c r="U166" s="646" t="s">
        <v>347</v>
      </c>
      <c r="V166" s="640">
        <v>0.62631490545869017</v>
      </c>
      <c r="W166" s="640">
        <v>0</v>
      </c>
      <c r="X166" s="640">
        <v>3.6671331440151573</v>
      </c>
      <c r="Y166" s="640">
        <v>45.490909090909085</v>
      </c>
      <c r="Z166" s="640">
        <v>1069.3939393939395</v>
      </c>
      <c r="AA166" s="640">
        <v>197.24910745929728</v>
      </c>
      <c r="AB166" s="649">
        <v>26.112388272824305</v>
      </c>
      <c r="AC166" s="649">
        <v>7.8557568383975527</v>
      </c>
      <c r="AD166" s="649">
        <v>2.0695499375006161</v>
      </c>
      <c r="AE166" s="649">
        <v>5.1587850204163272</v>
      </c>
      <c r="AF166" s="649">
        <v>0</v>
      </c>
      <c r="AG166" s="649">
        <v>3.0833964576427819</v>
      </c>
      <c r="AH166" s="640">
        <v>-594.94729840025457</v>
      </c>
      <c r="AI166" s="640">
        <v>0</v>
      </c>
      <c r="AJ166" s="640">
        <v>0</v>
      </c>
      <c r="AK166" s="648">
        <v>765.75998212014645</v>
      </c>
    </row>
    <row r="167" spans="3:37" x14ac:dyDescent="0.2">
      <c r="C167" s="646" t="s">
        <v>348</v>
      </c>
      <c r="D167" s="640">
        <v>0</v>
      </c>
      <c r="E167" s="640">
        <v>0</v>
      </c>
      <c r="F167" s="640">
        <v>0</v>
      </c>
      <c r="G167" s="640">
        <v>15.528976420917793</v>
      </c>
      <c r="H167" s="640">
        <v>0</v>
      </c>
      <c r="I167" s="640">
        <v>0</v>
      </c>
      <c r="J167" s="649">
        <v>13.425934567091144</v>
      </c>
      <c r="K167" s="649">
        <v>12.460813842705811</v>
      </c>
      <c r="L167" s="649">
        <v>0</v>
      </c>
      <c r="M167" s="649">
        <v>0.33007353312586968</v>
      </c>
      <c r="N167" s="649">
        <v>0</v>
      </c>
      <c r="O167" s="649">
        <v>2.2140049259569654</v>
      </c>
      <c r="P167" s="640">
        <v>0</v>
      </c>
      <c r="Q167" s="640">
        <v>-39.530815313914701</v>
      </c>
      <c r="R167" s="640">
        <v>0</v>
      </c>
      <c r="S167" s="648">
        <v>4.4289879758828699</v>
      </c>
      <c r="U167" s="646" t="s">
        <v>348</v>
      </c>
      <c r="V167" s="640">
        <v>0</v>
      </c>
      <c r="W167" s="640">
        <v>0</v>
      </c>
      <c r="X167" s="640">
        <v>0</v>
      </c>
      <c r="Y167" s="640">
        <v>17.633177295554518</v>
      </c>
      <c r="Z167" s="640">
        <v>0</v>
      </c>
      <c r="AA167" s="640">
        <v>0</v>
      </c>
      <c r="AB167" s="649">
        <v>25.59264276124566</v>
      </c>
      <c r="AC167" s="649">
        <v>22.938494140017696</v>
      </c>
      <c r="AD167" s="649">
        <v>0</v>
      </c>
      <c r="AE167" s="649">
        <v>1.9723975687129698</v>
      </c>
      <c r="AF167" s="649">
        <v>0</v>
      </c>
      <c r="AG167" s="649">
        <v>5.6361523989336151</v>
      </c>
      <c r="AH167" s="640">
        <v>0</v>
      </c>
      <c r="AI167" s="640">
        <v>-66.845421794322675</v>
      </c>
      <c r="AJ167" s="640">
        <v>0</v>
      </c>
      <c r="AK167" s="648">
        <v>6.927442370141784</v>
      </c>
    </row>
    <row r="168" spans="3:37" x14ac:dyDescent="0.2">
      <c r="C168" s="646" t="s">
        <v>349</v>
      </c>
      <c r="D168" s="640">
        <v>0</v>
      </c>
      <c r="E168" s="640">
        <v>0</v>
      </c>
      <c r="F168" s="640">
        <v>0</v>
      </c>
      <c r="G168" s="640">
        <v>0</v>
      </c>
      <c r="H168" s="640">
        <v>0</v>
      </c>
      <c r="I168" s="640">
        <v>0</v>
      </c>
      <c r="J168" s="650">
        <v>7.7785999169814284</v>
      </c>
      <c r="K168" s="650">
        <v>0</v>
      </c>
      <c r="L168" s="650">
        <v>0</v>
      </c>
      <c r="M168" s="650">
        <v>-6.767381927773843</v>
      </c>
      <c r="N168" s="650">
        <v>0</v>
      </c>
      <c r="O168" s="650">
        <v>0</v>
      </c>
      <c r="P168" s="640">
        <v>0</v>
      </c>
      <c r="Q168" s="640">
        <v>0</v>
      </c>
      <c r="R168" s="640">
        <v>0</v>
      </c>
      <c r="S168" s="648">
        <v>1.0112179892075854</v>
      </c>
      <c r="U168" s="646" t="s">
        <v>349</v>
      </c>
      <c r="V168" s="640">
        <v>0</v>
      </c>
      <c r="W168" s="640">
        <v>0</v>
      </c>
      <c r="X168" s="640">
        <v>0</v>
      </c>
      <c r="Y168" s="640">
        <v>0</v>
      </c>
      <c r="Z168" s="640">
        <v>0</v>
      </c>
      <c r="AA168" s="640">
        <v>0</v>
      </c>
      <c r="AB168" s="650">
        <v>35.178099528176176</v>
      </c>
      <c r="AC168" s="650">
        <v>0</v>
      </c>
      <c r="AD168" s="650">
        <v>0</v>
      </c>
      <c r="AE168" s="650">
        <v>-30.604946589513276</v>
      </c>
      <c r="AF168" s="650">
        <v>0</v>
      </c>
      <c r="AG168" s="650">
        <v>0</v>
      </c>
      <c r="AH168" s="640">
        <v>0</v>
      </c>
      <c r="AI168" s="640">
        <v>0</v>
      </c>
      <c r="AJ168" s="640">
        <v>0</v>
      </c>
      <c r="AK168" s="648">
        <v>4.5731529386629006</v>
      </c>
    </row>
    <row r="169" spans="3:37" x14ac:dyDescent="0.2">
      <c r="C169" s="646" t="s">
        <v>350</v>
      </c>
      <c r="D169" s="640">
        <v>0</v>
      </c>
      <c r="E169" s="640">
        <v>0</v>
      </c>
      <c r="F169" s="640">
        <v>0</v>
      </c>
      <c r="G169" s="640">
        <v>0</v>
      </c>
      <c r="H169" s="640">
        <v>0</v>
      </c>
      <c r="I169" s="640">
        <v>0</v>
      </c>
      <c r="J169" s="640">
        <v>0</v>
      </c>
      <c r="K169" s="640">
        <v>0</v>
      </c>
      <c r="L169" s="640">
        <v>0</v>
      </c>
      <c r="M169" s="640">
        <v>0</v>
      </c>
      <c r="N169" s="640">
        <v>0</v>
      </c>
      <c r="O169" s="640">
        <v>0</v>
      </c>
      <c r="P169" s="640">
        <v>0</v>
      </c>
      <c r="Q169" s="640">
        <v>0</v>
      </c>
      <c r="R169" s="640">
        <v>0</v>
      </c>
      <c r="S169" s="648">
        <v>0</v>
      </c>
      <c r="U169" s="646" t="s">
        <v>350</v>
      </c>
      <c r="V169" s="640">
        <v>0</v>
      </c>
      <c r="W169" s="640">
        <v>0</v>
      </c>
      <c r="X169" s="640">
        <v>0</v>
      </c>
      <c r="Y169" s="640">
        <v>0</v>
      </c>
      <c r="Z169" s="640">
        <v>0</v>
      </c>
      <c r="AA169" s="640">
        <v>0</v>
      </c>
      <c r="AB169" s="640">
        <v>0</v>
      </c>
      <c r="AC169" s="640">
        <v>0</v>
      </c>
      <c r="AD169" s="640">
        <v>0</v>
      </c>
      <c r="AE169" s="640">
        <v>0</v>
      </c>
      <c r="AF169" s="640">
        <v>0</v>
      </c>
      <c r="AG169" s="640">
        <v>0</v>
      </c>
      <c r="AH169" s="640">
        <v>0</v>
      </c>
      <c r="AI169" s="640">
        <v>0</v>
      </c>
      <c r="AJ169" s="640">
        <v>0</v>
      </c>
      <c r="AK169" s="648">
        <v>0</v>
      </c>
    </row>
    <row r="170" spans="3:37" x14ac:dyDescent="0.2">
      <c r="C170" s="646" t="s">
        <v>72</v>
      </c>
      <c r="D170" s="640">
        <v>0</v>
      </c>
      <c r="E170" s="640">
        <v>563.09724372867038</v>
      </c>
      <c r="F170" s="640">
        <v>-557.46627129138369</v>
      </c>
      <c r="G170" s="640">
        <v>0</v>
      </c>
      <c r="H170" s="640">
        <v>0</v>
      </c>
      <c r="I170" s="640">
        <v>0</v>
      </c>
      <c r="J170" s="640">
        <v>0</v>
      </c>
      <c r="K170" s="640">
        <v>0</v>
      </c>
      <c r="L170" s="640">
        <v>0</v>
      </c>
      <c r="M170" s="640">
        <v>0</v>
      </c>
      <c r="N170" s="640">
        <v>0</v>
      </c>
      <c r="O170" s="640">
        <v>0</v>
      </c>
      <c r="P170" s="640">
        <v>0</v>
      </c>
      <c r="Q170" s="640">
        <v>0</v>
      </c>
      <c r="R170" s="640">
        <v>0</v>
      </c>
      <c r="S170" s="648">
        <v>5.6309724372866867</v>
      </c>
      <c r="U170" s="646" t="s">
        <v>72</v>
      </c>
      <c r="V170" s="640">
        <v>0</v>
      </c>
      <c r="W170" s="640">
        <v>434.00506451720082</v>
      </c>
      <c r="X170" s="640">
        <v>-429.66501387202879</v>
      </c>
      <c r="Y170" s="640">
        <v>0</v>
      </c>
      <c r="Z170" s="640">
        <v>0</v>
      </c>
      <c r="AA170" s="640">
        <v>0</v>
      </c>
      <c r="AB170" s="640">
        <v>0</v>
      </c>
      <c r="AC170" s="640">
        <v>0</v>
      </c>
      <c r="AD170" s="640">
        <v>0</v>
      </c>
      <c r="AE170" s="640">
        <v>0</v>
      </c>
      <c r="AF170" s="640">
        <v>0</v>
      </c>
      <c r="AG170" s="640">
        <v>0</v>
      </c>
      <c r="AH170" s="640">
        <v>0</v>
      </c>
      <c r="AI170" s="640">
        <v>0</v>
      </c>
      <c r="AJ170" s="640">
        <v>0</v>
      </c>
      <c r="AK170" s="648">
        <v>4.3400506451720275</v>
      </c>
    </row>
    <row r="171" spans="3:37" x14ac:dyDescent="0.2">
      <c r="C171" s="646" t="s">
        <v>351</v>
      </c>
      <c r="D171" s="640">
        <v>0</v>
      </c>
      <c r="E171" s="640">
        <v>0</v>
      </c>
      <c r="F171" s="640">
        <v>0</v>
      </c>
      <c r="G171" s="640">
        <v>0</v>
      </c>
      <c r="H171" s="640">
        <v>0</v>
      </c>
      <c r="I171" s="640">
        <v>0</v>
      </c>
      <c r="J171" s="640">
        <v>37.619415842848596</v>
      </c>
      <c r="K171" s="640">
        <v>0</v>
      </c>
      <c r="L171" s="640">
        <v>-37.619415842848596</v>
      </c>
      <c r="M171" s="640">
        <v>0</v>
      </c>
      <c r="N171" s="640">
        <v>0</v>
      </c>
      <c r="O171" s="640">
        <v>0</v>
      </c>
      <c r="P171" s="640">
        <v>0</v>
      </c>
      <c r="Q171" s="640">
        <v>0</v>
      </c>
      <c r="R171" s="640">
        <v>0</v>
      </c>
      <c r="S171" s="648">
        <v>0</v>
      </c>
      <c r="U171" s="646" t="s">
        <v>351</v>
      </c>
      <c r="V171" s="640">
        <v>0</v>
      </c>
      <c r="W171" s="640">
        <v>0</v>
      </c>
      <c r="X171" s="640">
        <v>0</v>
      </c>
      <c r="Y171" s="640">
        <v>0</v>
      </c>
      <c r="Z171" s="640">
        <v>0</v>
      </c>
      <c r="AA171" s="640">
        <v>0</v>
      </c>
      <c r="AB171" s="640" t="e">
        <v>#VALUE!</v>
      </c>
      <c r="AC171" s="640">
        <v>0</v>
      </c>
      <c r="AD171" s="640">
        <v>-46.213611225378862</v>
      </c>
      <c r="AE171" s="640">
        <v>0</v>
      </c>
      <c r="AF171" s="640">
        <v>0</v>
      </c>
      <c r="AG171" s="640">
        <v>0</v>
      </c>
      <c r="AH171" s="640">
        <v>0</v>
      </c>
      <c r="AI171" s="640">
        <v>0</v>
      </c>
      <c r="AJ171" s="640">
        <v>0</v>
      </c>
      <c r="AK171" s="648">
        <v>-46.213611225378862</v>
      </c>
    </row>
    <row r="172" spans="3:37" x14ac:dyDescent="0.2">
      <c r="C172" s="646" t="s">
        <v>352</v>
      </c>
      <c r="D172" s="640">
        <v>0</v>
      </c>
      <c r="E172" s="640">
        <v>0</v>
      </c>
      <c r="F172" s="640">
        <v>0</v>
      </c>
      <c r="G172" s="640">
        <v>0</v>
      </c>
      <c r="H172" s="640">
        <v>0</v>
      </c>
      <c r="I172" s="640">
        <v>0</v>
      </c>
      <c r="J172" s="640">
        <v>0</v>
      </c>
      <c r="K172" s="640">
        <v>0</v>
      </c>
      <c r="L172" s="640">
        <v>0</v>
      </c>
      <c r="M172" s="640">
        <v>0</v>
      </c>
      <c r="N172" s="640">
        <v>0</v>
      </c>
      <c r="O172" s="640">
        <v>0</v>
      </c>
      <c r="P172" s="640">
        <v>0</v>
      </c>
      <c r="Q172" s="640">
        <v>0</v>
      </c>
      <c r="R172" s="640">
        <v>0</v>
      </c>
      <c r="S172" s="648">
        <v>0</v>
      </c>
      <c r="U172" s="646" t="s">
        <v>352</v>
      </c>
      <c r="V172" s="640">
        <v>0</v>
      </c>
      <c r="W172" s="640">
        <v>0</v>
      </c>
      <c r="X172" s="640">
        <v>0</v>
      </c>
      <c r="Y172" s="640">
        <v>0</v>
      </c>
      <c r="Z172" s="640">
        <v>0</v>
      </c>
      <c r="AA172" s="640">
        <v>0</v>
      </c>
      <c r="AB172" s="640">
        <v>0</v>
      </c>
      <c r="AC172" s="640">
        <v>0</v>
      </c>
      <c r="AD172" s="640">
        <v>-5.5104572320471013</v>
      </c>
      <c r="AE172" s="640">
        <v>0</v>
      </c>
      <c r="AF172" s="640">
        <v>0</v>
      </c>
      <c r="AG172" s="640">
        <v>0</v>
      </c>
      <c r="AH172" s="640">
        <v>0</v>
      </c>
      <c r="AI172" s="640">
        <v>0</v>
      </c>
      <c r="AJ172" s="640">
        <v>0</v>
      </c>
      <c r="AK172" s="648">
        <v>-5.5104572320471013</v>
      </c>
    </row>
    <row r="173" spans="3:37" x14ac:dyDescent="0.2">
      <c r="C173" s="646" t="s">
        <v>73</v>
      </c>
      <c r="D173" s="640">
        <v>0</v>
      </c>
      <c r="E173" s="640">
        <v>0</v>
      </c>
      <c r="F173" s="640">
        <v>0</v>
      </c>
      <c r="G173" s="640">
        <v>0.90917311757834995</v>
      </c>
      <c r="H173" s="640">
        <v>0</v>
      </c>
      <c r="I173" s="640">
        <v>0</v>
      </c>
      <c r="J173" s="640">
        <v>0</v>
      </c>
      <c r="K173" s="640">
        <v>1.0194809571410069E-2</v>
      </c>
      <c r="L173" s="640">
        <v>0</v>
      </c>
      <c r="M173" s="640">
        <v>1.8554553419966327E-2</v>
      </c>
      <c r="N173" s="640">
        <v>0</v>
      </c>
      <c r="O173" s="640">
        <v>0</v>
      </c>
      <c r="P173" s="640">
        <v>8.7832205538302136E-2</v>
      </c>
      <c r="Q173" s="640">
        <v>0</v>
      </c>
      <c r="R173" s="640">
        <v>-0.71363666999870479</v>
      </c>
      <c r="S173" s="648">
        <v>0.31211801610932366</v>
      </c>
      <c r="U173" s="646" t="s">
        <v>73</v>
      </c>
      <c r="V173" s="640">
        <v>0</v>
      </c>
      <c r="W173" s="640">
        <v>0</v>
      </c>
      <c r="X173" s="640">
        <v>0</v>
      </c>
      <c r="Y173" s="640">
        <v>3.7406895887912213</v>
      </c>
      <c r="Z173" s="640">
        <v>0</v>
      </c>
      <c r="AA173" s="640">
        <v>0</v>
      </c>
      <c r="AB173" s="640">
        <v>0</v>
      </c>
      <c r="AC173" s="640">
        <v>0.10657235295701485</v>
      </c>
      <c r="AD173" s="640">
        <v>0</v>
      </c>
      <c r="AE173" s="640">
        <v>0.4156321765323579</v>
      </c>
      <c r="AF173" s="640">
        <v>0</v>
      </c>
      <c r="AG173" s="640">
        <v>0</v>
      </c>
      <c r="AH173" s="640">
        <v>6.8862135756840344</v>
      </c>
      <c r="AI173" s="640">
        <v>0</v>
      </c>
      <c r="AJ173" s="640">
        <v>-7.4600647069910382</v>
      </c>
      <c r="AK173" s="648">
        <v>3.6890429869735906</v>
      </c>
    </row>
    <row r="174" spans="3:37" x14ac:dyDescent="0.2">
      <c r="C174" s="646" t="s">
        <v>353</v>
      </c>
      <c r="D174" s="640">
        <v>28.68732140625</v>
      </c>
      <c r="E174" s="640">
        <v>-19.511319495198432</v>
      </c>
      <c r="F174" s="640">
        <v>25.519653459670948</v>
      </c>
      <c r="G174" s="640">
        <v>0</v>
      </c>
      <c r="H174" s="640">
        <v>0</v>
      </c>
      <c r="I174" s="640">
        <v>0</v>
      </c>
      <c r="J174" s="640">
        <v>0</v>
      </c>
      <c r="K174" s="640">
        <v>0</v>
      </c>
      <c r="L174" s="640">
        <v>0</v>
      </c>
      <c r="M174" s="640">
        <v>0</v>
      </c>
      <c r="N174" s="640">
        <v>0</v>
      </c>
      <c r="O174" s="640">
        <v>0</v>
      </c>
      <c r="P174" s="640">
        <v>0</v>
      </c>
      <c r="Q174" s="640">
        <v>0</v>
      </c>
      <c r="R174" s="640">
        <v>0</v>
      </c>
      <c r="S174" s="648">
        <v>34.69565537072252</v>
      </c>
      <c r="U174" s="646" t="s">
        <v>353</v>
      </c>
      <c r="V174" s="640">
        <v>5.4641713867187498</v>
      </c>
      <c r="W174" s="640">
        <v>-15.038275485521009</v>
      </c>
      <c r="X174" s="640">
        <v>19.669176096265762</v>
      </c>
      <c r="Y174" s="640">
        <v>0</v>
      </c>
      <c r="Z174" s="640">
        <v>0</v>
      </c>
      <c r="AA174" s="640">
        <v>0</v>
      </c>
      <c r="AB174" s="640">
        <v>0</v>
      </c>
      <c r="AC174" s="640">
        <v>0</v>
      </c>
      <c r="AD174" s="640">
        <v>0</v>
      </c>
      <c r="AE174" s="640">
        <v>0</v>
      </c>
      <c r="AF174" s="640">
        <v>0</v>
      </c>
      <c r="AG174" s="640">
        <v>0</v>
      </c>
      <c r="AH174" s="640">
        <v>0</v>
      </c>
      <c r="AI174" s="640">
        <v>0</v>
      </c>
      <c r="AJ174" s="640">
        <v>0</v>
      </c>
      <c r="AK174" s="648">
        <v>10.095071997463503</v>
      </c>
    </row>
    <row r="175" spans="3:37" x14ac:dyDescent="0.2">
      <c r="C175" s="646" t="s">
        <v>75</v>
      </c>
      <c r="D175" s="640">
        <v>11.156180546875001</v>
      </c>
      <c r="E175" s="640">
        <v>0</v>
      </c>
      <c r="F175" s="640">
        <v>19.145306286774794</v>
      </c>
      <c r="G175" s="640">
        <v>5.4631694586555604</v>
      </c>
      <c r="H175" s="640">
        <v>0</v>
      </c>
      <c r="I175" s="640">
        <v>0</v>
      </c>
      <c r="J175" s="640">
        <v>0</v>
      </c>
      <c r="K175" s="640">
        <v>0</v>
      </c>
      <c r="L175" s="640">
        <v>0</v>
      </c>
      <c r="M175" s="640">
        <v>0.11149325425827675</v>
      </c>
      <c r="N175" s="640">
        <v>0</v>
      </c>
      <c r="O175" s="640">
        <v>0</v>
      </c>
      <c r="P175" s="640">
        <v>36.294895286159367</v>
      </c>
      <c r="Q175" s="640">
        <v>0</v>
      </c>
      <c r="R175" s="640">
        <v>0</v>
      </c>
      <c r="S175" s="648">
        <v>72.171044832722998</v>
      </c>
      <c r="U175" s="646" t="s">
        <v>75</v>
      </c>
      <c r="V175" s="640">
        <v>5.6084375</v>
      </c>
      <c r="W175" s="640">
        <v>0</v>
      </c>
      <c r="X175" s="640">
        <v>19.145306286774794</v>
      </c>
      <c r="Y175" s="640">
        <v>5.0171964416224535</v>
      </c>
      <c r="Z175" s="640">
        <v>0</v>
      </c>
      <c r="AA175" s="640">
        <v>0</v>
      </c>
      <c r="AB175" s="640">
        <v>0</v>
      </c>
      <c r="AC175" s="640">
        <v>0</v>
      </c>
      <c r="AD175" s="640">
        <v>0</v>
      </c>
      <c r="AE175" s="640">
        <v>0.55746627129138371</v>
      </c>
      <c r="AF175" s="640">
        <v>0</v>
      </c>
      <c r="AG175" s="640">
        <v>0</v>
      </c>
      <c r="AH175" s="640">
        <v>31.128531649795733</v>
      </c>
      <c r="AI175" s="640">
        <v>0</v>
      </c>
      <c r="AJ175" s="640">
        <v>0</v>
      </c>
      <c r="AK175" s="648">
        <v>61.456938149484365</v>
      </c>
    </row>
    <row r="176" spans="3:37" x14ac:dyDescent="0.2">
      <c r="C176" s="646" t="s">
        <v>76</v>
      </c>
      <c r="D176" s="640">
        <v>0</v>
      </c>
      <c r="E176" s="640">
        <v>0</v>
      </c>
      <c r="F176" s="640">
        <v>0</v>
      </c>
      <c r="G176" s="640">
        <v>3.9320361398527859</v>
      </c>
      <c r="H176" s="640">
        <v>0</v>
      </c>
      <c r="I176" s="640">
        <v>0</v>
      </c>
      <c r="J176" s="640">
        <v>0</v>
      </c>
      <c r="K176" s="640">
        <v>0</v>
      </c>
      <c r="L176" s="640">
        <v>0</v>
      </c>
      <c r="M176" s="640">
        <v>8.0245635507199722E-2</v>
      </c>
      <c r="N176" s="640">
        <v>0</v>
      </c>
      <c r="O176" s="640">
        <v>0</v>
      </c>
      <c r="P176" s="640">
        <v>40.722330861669313</v>
      </c>
      <c r="Q176" s="640">
        <v>3.067587727965682</v>
      </c>
      <c r="R176" s="640">
        <v>0</v>
      </c>
      <c r="S176" s="648">
        <v>47.802200364994981</v>
      </c>
      <c r="U176" s="646" t="s">
        <v>76</v>
      </c>
      <c r="V176" s="640">
        <v>0</v>
      </c>
      <c r="W176" s="640">
        <v>0</v>
      </c>
      <c r="X176" s="640">
        <v>0</v>
      </c>
      <c r="Y176" s="640">
        <v>3.2661405451259231</v>
      </c>
      <c r="Z176" s="640">
        <v>0</v>
      </c>
      <c r="AA176" s="640">
        <v>0</v>
      </c>
      <c r="AB176" s="640">
        <v>0</v>
      </c>
      <c r="AC176" s="640">
        <v>0</v>
      </c>
      <c r="AD176" s="640">
        <v>0</v>
      </c>
      <c r="AE176" s="640">
        <v>0.36290450501399146</v>
      </c>
      <c r="AF176" s="640">
        <v>0</v>
      </c>
      <c r="AG176" s="640">
        <v>0</v>
      </c>
      <c r="AH176" s="640">
        <v>41.021033770751153</v>
      </c>
      <c r="AI176" s="640">
        <v>5.1842177504327198</v>
      </c>
      <c r="AJ176" s="640">
        <v>0</v>
      </c>
      <c r="AK176" s="648">
        <v>49.83429657132379</v>
      </c>
    </row>
    <row r="177" spans="3:37" x14ac:dyDescent="0.2">
      <c r="C177" s="644" t="s">
        <v>77</v>
      </c>
      <c r="D177" s="645">
        <v>42.670287594150253</v>
      </c>
      <c r="E177" s="645">
        <v>543.58592423347193</v>
      </c>
      <c r="F177" s="645">
        <v>-505.27054203728642</v>
      </c>
      <c r="G177" s="645">
        <v>43.651536955186302</v>
      </c>
      <c r="H177" s="645">
        <v>1190.909090909091</v>
      </c>
      <c r="I177" s="645">
        <v>182.7291074592973</v>
      </c>
      <c r="J177" s="645">
        <v>90.391720844241689</v>
      </c>
      <c r="K177" s="645">
        <v>20.465410367143665</v>
      </c>
      <c r="L177" s="645">
        <v>-35.549865905347978</v>
      </c>
      <c r="M177" s="645">
        <v>-5.7591390219552938</v>
      </c>
      <c r="N177" s="645">
        <v>0</v>
      </c>
      <c r="O177" s="645">
        <v>5.2974013835997482</v>
      </c>
      <c r="P177" s="645">
        <v>-528.42224004688751</v>
      </c>
      <c r="Q177" s="645">
        <v>-36.463227585949021</v>
      </c>
      <c r="R177" s="645">
        <v>-0.71363666999870479</v>
      </c>
      <c r="S177" s="645">
        <v>1007.5218284787569</v>
      </c>
      <c r="U177" s="644" t="s">
        <v>77</v>
      </c>
      <c r="V177" s="645">
        <v>11.698923792177441</v>
      </c>
      <c r="W177" s="645">
        <v>418.96678903167981</v>
      </c>
      <c r="X177" s="645">
        <v>-387.18339834497311</v>
      </c>
      <c r="Y177" s="645">
        <v>75.148112962003211</v>
      </c>
      <c r="Z177" s="645">
        <v>1069.3939393939395</v>
      </c>
      <c r="AA177" s="645">
        <v>197.24910745929728</v>
      </c>
      <c r="AB177" s="645">
        <v>86.883130562246151</v>
      </c>
      <c r="AC177" s="645">
        <v>30.900823331372262</v>
      </c>
      <c r="AD177" s="645">
        <v>-49.654518519925347</v>
      </c>
      <c r="AE177" s="645">
        <v>-22.137761047546249</v>
      </c>
      <c r="AF177" s="645">
        <v>0</v>
      </c>
      <c r="AG177" s="645">
        <v>8.719548856576397</v>
      </c>
      <c r="AH177" s="645">
        <v>-515.91151940402369</v>
      </c>
      <c r="AI177" s="645">
        <v>-61.66120404388996</v>
      </c>
      <c r="AJ177" s="645">
        <v>-7.4600647069910382</v>
      </c>
      <c r="AK177" s="645">
        <v>854.95190932194248</v>
      </c>
    </row>
    <row r="178" spans="3:37" x14ac:dyDescent="0.2">
      <c r="C178" s="634"/>
      <c r="D178" s="634">
        <v>0</v>
      </c>
      <c r="E178" s="634">
        <v>0</v>
      </c>
      <c r="F178" s="634">
        <v>0</v>
      </c>
      <c r="G178" s="634">
        <v>0</v>
      </c>
      <c r="H178" s="634">
        <v>0</v>
      </c>
      <c r="I178" s="634">
        <v>0</v>
      </c>
      <c r="J178" s="634">
        <v>0</v>
      </c>
      <c r="K178" s="634">
        <v>0</v>
      </c>
      <c r="L178" s="634">
        <v>0</v>
      </c>
      <c r="M178" s="634">
        <v>0</v>
      </c>
      <c r="N178" s="634">
        <v>0</v>
      </c>
      <c r="O178" s="634">
        <v>0</v>
      </c>
      <c r="P178" s="634">
        <v>0</v>
      </c>
      <c r="Q178" s="634">
        <v>0</v>
      </c>
      <c r="R178" s="634">
        <v>0</v>
      </c>
      <c r="S178" s="634">
        <v>0</v>
      </c>
      <c r="U178" s="634"/>
      <c r="V178" s="634">
        <v>0</v>
      </c>
      <c r="W178" s="634">
        <v>0</v>
      </c>
      <c r="X178" s="634">
        <v>0</v>
      </c>
      <c r="Y178" s="634">
        <v>0</v>
      </c>
      <c r="Z178" s="634">
        <v>0</v>
      </c>
      <c r="AA178" s="634">
        <v>0</v>
      </c>
      <c r="AB178" s="634">
        <v>0</v>
      </c>
      <c r="AC178" s="634">
        <v>0</v>
      </c>
      <c r="AD178" s="634">
        <v>0</v>
      </c>
      <c r="AE178" s="634">
        <v>0</v>
      </c>
      <c r="AF178" s="634">
        <v>0</v>
      </c>
      <c r="AG178" s="634">
        <v>0</v>
      </c>
      <c r="AH178" s="634">
        <v>0</v>
      </c>
      <c r="AI178" s="634">
        <v>0</v>
      </c>
      <c r="AJ178" s="634">
        <v>0</v>
      </c>
      <c r="AK178" s="634">
        <v>0</v>
      </c>
    </row>
    <row r="179" spans="3:37" x14ac:dyDescent="0.2">
      <c r="C179" s="646" t="s">
        <v>78</v>
      </c>
      <c r="D179" s="640">
        <v>6.5032741679727843</v>
      </c>
      <c r="E179" s="640">
        <v>0</v>
      </c>
      <c r="F179" s="640">
        <v>25.052429385041094</v>
      </c>
      <c r="G179" s="640">
        <v>105.0474497029609</v>
      </c>
      <c r="H179" s="640">
        <v>0</v>
      </c>
      <c r="I179" s="640">
        <v>0</v>
      </c>
      <c r="J179" s="640">
        <v>18.534460646102772</v>
      </c>
      <c r="K179" s="640">
        <v>1.777675824710524</v>
      </c>
      <c r="L179" s="640">
        <v>0.85092246484375</v>
      </c>
      <c r="M179" s="640">
        <v>2.1625963554323833</v>
      </c>
      <c r="N179" s="640">
        <v>0</v>
      </c>
      <c r="O179" s="640">
        <v>3.8267455312152764E-4</v>
      </c>
      <c r="P179" s="640">
        <v>109.51907717242362</v>
      </c>
      <c r="Q179" s="640">
        <v>16.327213841854732</v>
      </c>
      <c r="R179" s="640">
        <v>0.36001684570312498</v>
      </c>
      <c r="S179" s="648">
        <v>286.13549908159882</v>
      </c>
      <c r="U179" s="646" t="s">
        <v>78</v>
      </c>
      <c r="V179" s="640">
        <v>0.86555588121413052</v>
      </c>
      <c r="W179" s="640">
        <v>0</v>
      </c>
      <c r="X179" s="640">
        <v>16.762295336222397</v>
      </c>
      <c r="Y179" s="640">
        <v>79.095876477460209</v>
      </c>
      <c r="Z179" s="640">
        <v>0</v>
      </c>
      <c r="AA179" s="640">
        <v>0</v>
      </c>
      <c r="AB179" s="640">
        <v>17.089093863910584</v>
      </c>
      <c r="AC179" s="640">
        <v>6.0070182825186862</v>
      </c>
      <c r="AD179" s="640">
        <v>1.13006109375</v>
      </c>
      <c r="AE179" s="640">
        <v>8.8072015710081235</v>
      </c>
      <c r="AF179" s="640">
        <v>0</v>
      </c>
      <c r="AG179" s="640">
        <v>3.8267455312152764E-4</v>
      </c>
      <c r="AH179" s="640">
        <v>130.4568218783393</v>
      </c>
      <c r="AI179" s="640">
        <v>20.327951659562498</v>
      </c>
      <c r="AJ179" s="640">
        <v>4.7486479492187499</v>
      </c>
      <c r="AK179" s="648">
        <v>285.29090666775784</v>
      </c>
    </row>
    <row r="180" spans="3:37" x14ac:dyDescent="0.2">
      <c r="C180" s="646" t="s">
        <v>79</v>
      </c>
      <c r="D180" s="640">
        <v>0</v>
      </c>
      <c r="E180" s="640">
        <v>0</v>
      </c>
      <c r="F180" s="640">
        <v>344.1701238998171</v>
      </c>
      <c r="G180" s="640">
        <v>14.686948049507158</v>
      </c>
      <c r="H180" s="640">
        <v>0</v>
      </c>
      <c r="I180" s="640">
        <v>0</v>
      </c>
      <c r="J180" s="640">
        <v>0</v>
      </c>
      <c r="K180" s="640">
        <v>0</v>
      </c>
      <c r="L180" s="640">
        <v>33.466916874810835</v>
      </c>
      <c r="M180" s="640">
        <v>0.29973363366341144</v>
      </c>
      <c r="N180" s="640">
        <v>0</v>
      </c>
      <c r="O180" s="640">
        <v>0</v>
      </c>
      <c r="P180" s="640">
        <v>30.235692409435519</v>
      </c>
      <c r="Q180" s="640">
        <v>0</v>
      </c>
      <c r="R180" s="640">
        <v>0.35361982429557981</v>
      </c>
      <c r="S180" s="648">
        <v>423.21303469152963</v>
      </c>
      <c r="U180" s="646" t="s">
        <v>79</v>
      </c>
      <c r="V180" s="640">
        <v>0</v>
      </c>
      <c r="W180" s="640">
        <v>0</v>
      </c>
      <c r="X180" s="640">
        <v>271.88041786379415</v>
      </c>
      <c r="Y180" s="640">
        <v>13.227335330391124</v>
      </c>
      <c r="Z180" s="640">
        <v>0</v>
      </c>
      <c r="AA180" s="640">
        <v>0</v>
      </c>
      <c r="AB180" s="640">
        <v>0</v>
      </c>
      <c r="AC180" s="640">
        <v>0</v>
      </c>
      <c r="AD180" s="640">
        <v>36.694869225102572</v>
      </c>
      <c r="AE180" s="640">
        <v>1.4697039255990136</v>
      </c>
      <c r="AF180" s="640">
        <v>0</v>
      </c>
      <c r="AG180" s="640">
        <v>0</v>
      </c>
      <c r="AH180" s="640">
        <v>34.641740873286757</v>
      </c>
      <c r="AI180" s="640">
        <v>0</v>
      </c>
      <c r="AJ180" s="640">
        <v>0.81877289536698361</v>
      </c>
      <c r="AK180" s="648">
        <v>358.73284011354053</v>
      </c>
    </row>
    <row r="181" spans="3:37" x14ac:dyDescent="0.2">
      <c r="C181" s="646" t="s">
        <v>80</v>
      </c>
      <c r="D181" s="640">
        <v>0</v>
      </c>
      <c r="E181" s="640">
        <v>0</v>
      </c>
      <c r="F181" s="640">
        <v>31.509183869953784</v>
      </c>
      <c r="G181" s="640">
        <v>103.72357678672635</v>
      </c>
      <c r="H181" s="640">
        <v>0</v>
      </c>
      <c r="I181" s="640">
        <v>0</v>
      </c>
      <c r="J181" s="640">
        <v>78.735270640359559</v>
      </c>
      <c r="K181" s="640">
        <v>0</v>
      </c>
      <c r="L181" s="640">
        <v>0</v>
      </c>
      <c r="M181" s="640">
        <v>2.1168076895250278</v>
      </c>
      <c r="N181" s="640">
        <v>41.43976216997369</v>
      </c>
      <c r="O181" s="640">
        <v>1.9317269815068459</v>
      </c>
      <c r="P181" s="640">
        <v>175.94122104806229</v>
      </c>
      <c r="Q181" s="640">
        <v>15.783130887728015</v>
      </c>
      <c r="R181" s="640">
        <v>0</v>
      </c>
      <c r="S181" s="648">
        <v>451.18068007383562</v>
      </c>
      <c r="U181" s="646" t="s">
        <v>80</v>
      </c>
      <c r="V181" s="640">
        <v>0</v>
      </c>
      <c r="W181" s="640">
        <v>0</v>
      </c>
      <c r="X181" s="640">
        <v>2.7574808042030705</v>
      </c>
      <c r="Y181" s="640">
        <v>67.24718580242552</v>
      </c>
      <c r="Z181" s="640">
        <v>0</v>
      </c>
      <c r="AA181" s="640">
        <v>0</v>
      </c>
      <c r="AB181" s="640">
        <v>71.925876784938879</v>
      </c>
      <c r="AC181" s="640">
        <v>0</v>
      </c>
      <c r="AD181" s="640">
        <v>0</v>
      </c>
      <c r="AE181" s="640">
        <v>7.4719095336028349</v>
      </c>
      <c r="AF181" s="640">
        <v>46.984438986784113</v>
      </c>
      <c r="AG181" s="640">
        <v>1.9327369863094026</v>
      </c>
      <c r="AH181" s="640">
        <v>159.87092870367675</v>
      </c>
      <c r="AI181" s="640">
        <v>32.787807198116425</v>
      </c>
      <c r="AJ181" s="640">
        <v>0</v>
      </c>
      <c r="AK181" s="648">
        <v>390.97836480005702</v>
      </c>
    </row>
    <row r="182" spans="3:37" x14ac:dyDescent="0.2">
      <c r="C182" s="646" t="s">
        <v>81</v>
      </c>
      <c r="D182" s="640">
        <v>0</v>
      </c>
      <c r="E182" s="640">
        <v>0</v>
      </c>
      <c r="F182" s="640">
        <v>13.089485167364064</v>
      </c>
      <c r="G182" s="640">
        <v>62.329787012805554</v>
      </c>
      <c r="H182" s="640">
        <v>0</v>
      </c>
      <c r="I182" s="640">
        <v>0</v>
      </c>
      <c r="J182" s="640">
        <v>3.5803203712753549</v>
      </c>
      <c r="K182" s="640">
        <v>2.4997359764460676E-2</v>
      </c>
      <c r="L182" s="640">
        <v>0</v>
      </c>
      <c r="M182" s="640">
        <v>1.2720364696490929</v>
      </c>
      <c r="N182" s="640">
        <v>8.0745890957481183</v>
      </c>
      <c r="O182" s="640">
        <v>0.83294326034961275</v>
      </c>
      <c r="P182" s="640">
        <v>131.24016316985416</v>
      </c>
      <c r="Q182" s="640">
        <v>4.3528828563662758</v>
      </c>
      <c r="R182" s="640">
        <v>0</v>
      </c>
      <c r="S182" s="648">
        <v>224.79720476317669</v>
      </c>
      <c r="U182" s="646" t="s">
        <v>81</v>
      </c>
      <c r="V182" s="640">
        <v>0</v>
      </c>
      <c r="W182" s="640">
        <v>0</v>
      </c>
      <c r="X182" s="640">
        <v>3.9119597768221439</v>
      </c>
      <c r="Y182" s="640">
        <v>38.3508738706755</v>
      </c>
      <c r="Z182" s="640">
        <v>0</v>
      </c>
      <c r="AA182" s="640">
        <v>0</v>
      </c>
      <c r="AB182" s="640">
        <v>7.8602291254253389</v>
      </c>
      <c r="AC182" s="640">
        <v>2.4997359764460676E-2</v>
      </c>
      <c r="AD182" s="640">
        <v>0</v>
      </c>
      <c r="AE182" s="640">
        <v>4.2612082078528335</v>
      </c>
      <c r="AF182" s="640">
        <v>14.106786738135797</v>
      </c>
      <c r="AG182" s="640">
        <v>1.7661272775976942</v>
      </c>
      <c r="AH182" s="640">
        <v>123.29032263862543</v>
      </c>
      <c r="AI182" s="640">
        <v>8.5454451862110297</v>
      </c>
      <c r="AJ182" s="640">
        <v>0</v>
      </c>
      <c r="AK182" s="648">
        <v>202.11795018111022</v>
      </c>
    </row>
    <row r="183" spans="3:37" x14ac:dyDescent="0.2">
      <c r="C183" s="646" t="s">
        <v>82</v>
      </c>
      <c r="D183" s="640">
        <v>0</v>
      </c>
      <c r="E183" s="640">
        <v>0</v>
      </c>
      <c r="F183" s="640">
        <v>33.167847610565538</v>
      </c>
      <c r="G183" s="640">
        <v>2.1624159537319825</v>
      </c>
      <c r="H183" s="640">
        <v>0</v>
      </c>
      <c r="I183" s="640">
        <v>0</v>
      </c>
      <c r="J183" s="640">
        <v>1.4487991994826963</v>
      </c>
      <c r="K183" s="640">
        <v>0</v>
      </c>
      <c r="L183" s="640">
        <v>2.4657875210358444</v>
      </c>
      <c r="M183" s="640">
        <v>4.4130937831264955E-2</v>
      </c>
      <c r="N183" s="640">
        <v>0</v>
      </c>
      <c r="O183" s="640">
        <v>8.4265288301735436E-2</v>
      </c>
      <c r="P183" s="640">
        <v>7.7746258142900144</v>
      </c>
      <c r="Q183" s="640">
        <v>0</v>
      </c>
      <c r="R183" s="640">
        <v>0</v>
      </c>
      <c r="S183" s="648">
        <v>47.147872325239064</v>
      </c>
      <c r="U183" s="646" t="s">
        <v>82</v>
      </c>
      <c r="V183" s="640">
        <v>0</v>
      </c>
      <c r="W183" s="640">
        <v>0</v>
      </c>
      <c r="X183" s="640">
        <v>27.0175910939627</v>
      </c>
      <c r="Y183" s="640">
        <v>2.3189520199147382</v>
      </c>
      <c r="Z183" s="640">
        <v>0</v>
      </c>
      <c r="AA183" s="640">
        <v>0</v>
      </c>
      <c r="AB183" s="640">
        <v>1.4487991994826963</v>
      </c>
      <c r="AC183" s="640">
        <v>0</v>
      </c>
      <c r="AD183" s="640">
        <v>9.9723689588186737</v>
      </c>
      <c r="AE183" s="640">
        <v>0.257661335546082</v>
      </c>
      <c r="AF183" s="640">
        <v>0</v>
      </c>
      <c r="AG183" s="640">
        <v>0.62518456969816016</v>
      </c>
      <c r="AH183" s="640">
        <v>7.8177780162568453</v>
      </c>
      <c r="AI183" s="640">
        <v>0</v>
      </c>
      <c r="AJ183" s="640">
        <v>0.17366238047171115</v>
      </c>
      <c r="AK183" s="648">
        <v>49.631997574151612</v>
      </c>
    </row>
    <row r="184" spans="3:37" x14ac:dyDescent="0.2">
      <c r="C184" s="646" t="s">
        <v>354</v>
      </c>
      <c r="D184" s="640">
        <v>0</v>
      </c>
      <c r="E184" s="640">
        <v>0</v>
      </c>
      <c r="F184" s="640">
        <v>0</v>
      </c>
      <c r="G184" s="640">
        <v>0</v>
      </c>
      <c r="H184" s="640">
        <v>0</v>
      </c>
      <c r="I184" s="640">
        <v>0</v>
      </c>
      <c r="J184" s="640">
        <v>0</v>
      </c>
      <c r="K184" s="640">
        <v>0</v>
      </c>
      <c r="L184" s="640">
        <v>0</v>
      </c>
      <c r="M184" s="640">
        <v>0</v>
      </c>
      <c r="N184" s="640">
        <v>0</v>
      </c>
      <c r="O184" s="640">
        <v>0</v>
      </c>
      <c r="P184" s="640">
        <v>0</v>
      </c>
      <c r="Q184" s="640">
        <v>0</v>
      </c>
      <c r="R184" s="640">
        <v>0</v>
      </c>
      <c r="S184" s="648">
        <v>0</v>
      </c>
      <c r="U184" s="646" t="s">
        <v>354</v>
      </c>
      <c r="V184" s="640">
        <v>0</v>
      </c>
      <c r="W184" s="640">
        <v>0</v>
      </c>
      <c r="X184" s="640">
        <v>0</v>
      </c>
      <c r="Y184" s="640">
        <v>0</v>
      </c>
      <c r="Z184" s="640">
        <v>0</v>
      </c>
      <c r="AA184" s="640">
        <v>0</v>
      </c>
      <c r="AB184" s="640">
        <v>0</v>
      </c>
      <c r="AC184" s="640">
        <v>0</v>
      </c>
      <c r="AD184" s="640">
        <v>0</v>
      </c>
      <c r="AE184" s="640">
        <v>0</v>
      </c>
      <c r="AF184" s="640">
        <v>0</v>
      </c>
      <c r="AG184" s="640">
        <v>0</v>
      </c>
      <c r="AH184" s="640">
        <v>0.6</v>
      </c>
      <c r="AI184" s="640">
        <v>0</v>
      </c>
      <c r="AJ184" s="640">
        <v>0</v>
      </c>
      <c r="AK184" s="648">
        <v>0.6</v>
      </c>
    </row>
    <row r="185" spans="3:37" x14ac:dyDescent="0.2">
      <c r="C185" s="644" t="s">
        <v>83</v>
      </c>
      <c r="D185" s="645">
        <v>6.5032741679727843</v>
      </c>
      <c r="E185" s="645">
        <v>0</v>
      </c>
      <c r="F185" s="645">
        <v>446.98906993274153</v>
      </c>
      <c r="G185" s="645">
        <v>287.95017750573197</v>
      </c>
      <c r="H185" s="645">
        <v>0</v>
      </c>
      <c r="I185" s="645">
        <v>0</v>
      </c>
      <c r="J185" s="645">
        <v>102.29885085722037</v>
      </c>
      <c r="K185" s="645">
        <v>1.8026731844749846</v>
      </c>
      <c r="L185" s="645">
        <v>36.783626860690426</v>
      </c>
      <c r="M185" s="645">
        <v>5.8953050861011809</v>
      </c>
      <c r="N185" s="645">
        <v>49.514351265721807</v>
      </c>
      <c r="O185" s="645">
        <v>2.8493182047113157</v>
      </c>
      <c r="P185" s="645">
        <v>454.71077961406559</v>
      </c>
      <c r="Q185" s="645">
        <v>36.463227585949028</v>
      </c>
      <c r="R185" s="645">
        <v>0.71363666999870479</v>
      </c>
      <c r="S185" s="645">
        <v>1432.4742909353797</v>
      </c>
      <c r="U185" s="644" t="s">
        <v>83</v>
      </c>
      <c r="V185" s="645">
        <v>0.86555588121413052</v>
      </c>
      <c r="W185" s="645">
        <v>0</v>
      </c>
      <c r="X185" s="645">
        <v>322.32974487500439</v>
      </c>
      <c r="Y185" s="645">
        <v>200.24022350086713</v>
      </c>
      <c r="Z185" s="645">
        <v>0</v>
      </c>
      <c r="AA185" s="645">
        <v>0</v>
      </c>
      <c r="AB185" s="645">
        <v>98.323998973757497</v>
      </c>
      <c r="AC185" s="645">
        <v>6.032015642283147</v>
      </c>
      <c r="AD185" s="645">
        <v>47.797299277671243</v>
      </c>
      <c r="AE185" s="645">
        <v>22.267684573608886</v>
      </c>
      <c r="AF185" s="645">
        <v>61.091225724919909</v>
      </c>
      <c r="AG185" s="645">
        <v>4.3244315081583782</v>
      </c>
      <c r="AH185" s="645">
        <v>456.67759211018512</v>
      </c>
      <c r="AI185" s="645">
        <v>61.66120404388996</v>
      </c>
      <c r="AJ185" s="645">
        <v>5.7410832250574444</v>
      </c>
      <c r="AK185" s="645">
        <v>1287.352059336617</v>
      </c>
    </row>
    <row r="186" spans="3:37" x14ac:dyDescent="0.2">
      <c r="C186" s="639" t="s">
        <v>84</v>
      </c>
      <c r="D186" s="640">
        <v>0</v>
      </c>
      <c r="E186" s="640">
        <v>0</v>
      </c>
      <c r="F186" s="640">
        <v>120.50577840542185</v>
      </c>
      <c r="G186" s="640">
        <v>12.411293173801123</v>
      </c>
      <c r="H186" s="640">
        <v>0</v>
      </c>
      <c r="I186" s="640">
        <v>0</v>
      </c>
      <c r="J186" s="640">
        <v>0</v>
      </c>
      <c r="K186" s="640">
        <v>0</v>
      </c>
      <c r="L186" s="640">
        <v>0</v>
      </c>
      <c r="M186" s="640">
        <v>0</v>
      </c>
      <c r="N186" s="640">
        <v>0</v>
      </c>
      <c r="O186" s="640">
        <v>0</v>
      </c>
      <c r="P186" s="640">
        <v>0</v>
      </c>
      <c r="Q186" s="640">
        <v>0</v>
      </c>
      <c r="R186" s="640">
        <v>0</v>
      </c>
      <c r="S186" s="648">
        <v>132.91707157922298</v>
      </c>
      <c r="U186" s="639" t="s">
        <v>84</v>
      </c>
      <c r="V186" s="640">
        <v>0</v>
      </c>
      <c r="W186" s="640">
        <v>0</v>
      </c>
      <c r="X186" s="640">
        <v>117.28279502427566</v>
      </c>
      <c r="Y186" s="640">
        <v>1.8168604665649504</v>
      </c>
      <c r="Z186" s="640">
        <v>0</v>
      </c>
      <c r="AA186" s="640">
        <v>0</v>
      </c>
      <c r="AB186" s="640">
        <v>0</v>
      </c>
      <c r="AC186" s="640">
        <v>0</v>
      </c>
      <c r="AD186" s="640">
        <v>0.35207966308593752</v>
      </c>
      <c r="AE186" s="640">
        <v>0</v>
      </c>
      <c r="AF186" s="640">
        <v>0</v>
      </c>
      <c r="AG186" s="640">
        <v>0</v>
      </c>
      <c r="AH186" s="640">
        <v>0</v>
      </c>
      <c r="AI186" s="640">
        <v>0</v>
      </c>
      <c r="AJ186" s="640">
        <v>1.7189814819335938</v>
      </c>
      <c r="AK186" s="648">
        <v>121.17071663586013</v>
      </c>
    </row>
    <row r="187" spans="3:37" x14ac:dyDescent="0.2">
      <c r="C187" s="644" t="s">
        <v>85</v>
      </c>
      <c r="D187" s="645">
        <v>6.5032741679727843</v>
      </c>
      <c r="E187" s="645">
        <v>0</v>
      </c>
      <c r="F187" s="645">
        <v>567.49484833816337</v>
      </c>
      <c r="G187" s="645">
        <v>300.36147067953311</v>
      </c>
      <c r="H187" s="645">
        <v>0</v>
      </c>
      <c r="I187" s="645">
        <v>0</v>
      </c>
      <c r="J187" s="645">
        <v>102.29885085722037</v>
      </c>
      <c r="K187" s="645">
        <v>1.8026731844749846</v>
      </c>
      <c r="L187" s="645">
        <v>36.783626860690426</v>
      </c>
      <c r="M187" s="645">
        <v>5.8953050861011809</v>
      </c>
      <c r="N187" s="645">
        <v>49.514351265721807</v>
      </c>
      <c r="O187" s="645">
        <v>2.8493182047113157</v>
      </c>
      <c r="P187" s="645">
        <v>454.71077961406559</v>
      </c>
      <c r="Q187" s="645">
        <v>36.463227585949028</v>
      </c>
      <c r="R187" s="645">
        <v>0.71363666999870479</v>
      </c>
      <c r="S187" s="645">
        <v>1565.3913625146026</v>
      </c>
      <c r="U187" s="644" t="s">
        <v>85</v>
      </c>
      <c r="V187" s="645">
        <v>0.86555588121413052</v>
      </c>
      <c r="W187" s="645">
        <v>0</v>
      </c>
      <c r="X187" s="645">
        <v>439.61253989928008</v>
      </c>
      <c r="Y187" s="645">
        <v>202.05708396743208</v>
      </c>
      <c r="Z187" s="645">
        <v>0</v>
      </c>
      <c r="AA187" s="645">
        <v>0</v>
      </c>
      <c r="AB187" s="645">
        <v>98.323998973757497</v>
      </c>
      <c r="AC187" s="645">
        <v>6.032015642283147</v>
      </c>
      <c r="AD187" s="645">
        <v>48.149378940757181</v>
      </c>
      <c r="AE187" s="645">
        <v>22.267684573608886</v>
      </c>
      <c r="AF187" s="645">
        <v>61.091225724919909</v>
      </c>
      <c r="AG187" s="645">
        <v>4.3244315081583782</v>
      </c>
      <c r="AH187" s="645">
        <v>456.67759211018512</v>
      </c>
      <c r="AI187" s="645">
        <v>61.66120404388996</v>
      </c>
      <c r="AJ187" s="645">
        <v>7.4600647069910382</v>
      </c>
      <c r="AK187" s="645">
        <v>1408.5227759724771</v>
      </c>
    </row>
    <row r="188" spans="3:37" x14ac:dyDescent="0.2">
      <c r="C188" s="634"/>
      <c r="D188" s="634"/>
      <c r="E188" s="634"/>
      <c r="F188" s="634"/>
      <c r="G188" s="634"/>
      <c r="H188" s="634"/>
      <c r="I188" s="634"/>
      <c r="J188" s="634"/>
      <c r="K188" s="634"/>
      <c r="L188" s="634"/>
      <c r="M188" s="634"/>
      <c r="N188" s="634"/>
      <c r="O188" s="634"/>
      <c r="P188" s="634"/>
      <c r="Q188" s="634"/>
      <c r="R188" s="634"/>
      <c r="S188" s="634"/>
      <c r="U188" s="634"/>
      <c r="V188" s="634"/>
      <c r="W188" s="634"/>
      <c r="X188" s="634"/>
      <c r="Y188" s="634"/>
      <c r="Z188" s="634"/>
      <c r="AA188" s="634"/>
      <c r="AB188" s="634"/>
      <c r="AC188" s="634"/>
      <c r="AD188" s="634"/>
      <c r="AE188" s="634"/>
      <c r="AF188" s="634"/>
      <c r="AG188" s="634"/>
      <c r="AH188" s="634"/>
      <c r="AI188" s="634"/>
      <c r="AJ188" s="634"/>
      <c r="AK188" s="634"/>
    </row>
    <row r="189" spans="3:37" ht="22.5" x14ac:dyDescent="0.3">
      <c r="C189" s="759" t="s">
        <v>357</v>
      </c>
      <c r="D189" s="759"/>
      <c r="E189" s="759"/>
      <c r="F189" s="759"/>
      <c r="G189" s="759"/>
      <c r="H189" s="759"/>
      <c r="I189" s="759"/>
      <c r="J189" s="759"/>
      <c r="K189" s="759"/>
      <c r="L189" s="759"/>
      <c r="M189" s="759"/>
      <c r="N189" s="759"/>
      <c r="O189" s="759"/>
      <c r="P189" s="759"/>
      <c r="Q189" s="759"/>
      <c r="R189" s="759"/>
      <c r="S189" s="759"/>
      <c r="U189" s="759" t="s">
        <v>357</v>
      </c>
      <c r="V189" s="759"/>
      <c r="W189" s="759"/>
      <c r="X189" s="759"/>
      <c r="Y189" s="759"/>
      <c r="Z189" s="759"/>
      <c r="AA189" s="759"/>
      <c r="AB189" s="759"/>
      <c r="AC189" s="759"/>
      <c r="AD189" s="759"/>
      <c r="AE189" s="759"/>
      <c r="AF189" s="759"/>
      <c r="AG189" s="759"/>
      <c r="AH189" s="759"/>
      <c r="AI189" s="759"/>
      <c r="AJ189" s="759"/>
      <c r="AK189" s="759"/>
    </row>
    <row r="190" spans="3:37" x14ac:dyDescent="0.2">
      <c r="C190" s="634"/>
      <c r="D190" s="634"/>
      <c r="E190" s="634"/>
      <c r="F190" s="634"/>
      <c r="G190" s="634"/>
      <c r="H190" s="634"/>
      <c r="I190" s="634"/>
      <c r="J190" s="634"/>
      <c r="K190" s="634"/>
      <c r="L190" s="634"/>
      <c r="M190" s="634"/>
      <c r="N190" s="634"/>
      <c r="O190" s="634"/>
      <c r="P190" s="634"/>
      <c r="Q190" s="634"/>
      <c r="R190" s="634"/>
      <c r="S190" s="634"/>
      <c r="U190" s="634"/>
      <c r="V190" s="634"/>
      <c r="W190" s="634"/>
      <c r="X190" s="634"/>
      <c r="Y190" s="634"/>
      <c r="Z190" s="634"/>
      <c r="AA190" s="634"/>
      <c r="AB190" s="634"/>
      <c r="AC190" s="634"/>
      <c r="AD190" s="634"/>
      <c r="AE190" s="634"/>
      <c r="AF190" s="634"/>
      <c r="AG190" s="634"/>
      <c r="AH190" s="634"/>
      <c r="AI190" s="634"/>
      <c r="AJ190" s="634"/>
      <c r="AK190" s="634"/>
    </row>
    <row r="191" spans="3:37" ht="12.95" customHeight="1" x14ac:dyDescent="0.2">
      <c r="C191" s="758" t="s">
        <v>128</v>
      </c>
      <c r="D191" s="757" t="s">
        <v>42</v>
      </c>
      <c r="E191" s="757" t="s">
        <v>52</v>
      </c>
      <c r="F191" s="757" t="s">
        <v>53</v>
      </c>
      <c r="G191" s="757" t="s">
        <v>32</v>
      </c>
      <c r="H191" s="757" t="s">
        <v>20</v>
      </c>
      <c r="I191" s="757" t="s">
        <v>55</v>
      </c>
      <c r="J191" s="757" t="s">
        <v>56</v>
      </c>
      <c r="K191" s="757"/>
      <c r="L191" s="757"/>
      <c r="M191" s="757"/>
      <c r="N191" s="757"/>
      <c r="O191" s="757"/>
      <c r="P191" s="757" t="s">
        <v>57</v>
      </c>
      <c r="Q191" s="757" t="s">
        <v>58</v>
      </c>
      <c r="R191" s="757" t="s">
        <v>31</v>
      </c>
      <c r="S191" s="757" t="s">
        <v>10</v>
      </c>
      <c r="U191" s="758" t="s">
        <v>128</v>
      </c>
      <c r="V191" s="757" t="s">
        <v>42</v>
      </c>
      <c r="W191" s="757" t="s">
        <v>52</v>
      </c>
      <c r="X191" s="757" t="s">
        <v>53</v>
      </c>
      <c r="Y191" s="757" t="s">
        <v>32</v>
      </c>
      <c r="Z191" s="757" t="s">
        <v>20</v>
      </c>
      <c r="AA191" s="757" t="s">
        <v>55</v>
      </c>
      <c r="AB191" s="757" t="s">
        <v>56</v>
      </c>
      <c r="AC191" s="757"/>
      <c r="AD191" s="757"/>
      <c r="AE191" s="757"/>
      <c r="AF191" s="757"/>
      <c r="AG191" s="757"/>
      <c r="AH191" s="757" t="s">
        <v>57</v>
      </c>
      <c r="AI191" s="757" t="s">
        <v>58</v>
      </c>
      <c r="AJ191" s="757" t="s">
        <v>31</v>
      </c>
      <c r="AK191" s="757" t="s">
        <v>10</v>
      </c>
    </row>
    <row r="192" spans="3:37" ht="56.25" x14ac:dyDescent="0.2">
      <c r="C192" s="758"/>
      <c r="D192" s="757"/>
      <c r="E192" s="757"/>
      <c r="F192" s="757"/>
      <c r="G192" s="757"/>
      <c r="H192" s="757"/>
      <c r="I192" s="757"/>
      <c r="J192" s="638" t="s">
        <v>335</v>
      </c>
      <c r="K192" s="638" t="s">
        <v>40</v>
      </c>
      <c r="L192" s="638" t="s">
        <v>343</v>
      </c>
      <c r="M192" s="638" t="s">
        <v>344</v>
      </c>
      <c r="N192" s="638" t="s">
        <v>345</v>
      </c>
      <c r="O192" s="638" t="s">
        <v>346</v>
      </c>
      <c r="P192" s="757"/>
      <c r="Q192" s="757"/>
      <c r="R192" s="757"/>
      <c r="S192" s="757"/>
      <c r="U192" s="758"/>
      <c r="V192" s="757"/>
      <c r="W192" s="757"/>
      <c r="X192" s="757"/>
      <c r="Y192" s="757"/>
      <c r="Z192" s="757"/>
      <c r="AA192" s="757"/>
      <c r="AB192" s="638" t="s">
        <v>335</v>
      </c>
      <c r="AC192" s="638" t="s">
        <v>40</v>
      </c>
      <c r="AD192" s="638" t="s">
        <v>343</v>
      </c>
      <c r="AE192" s="638" t="s">
        <v>344</v>
      </c>
      <c r="AF192" s="638" t="s">
        <v>345</v>
      </c>
      <c r="AG192" s="638" t="s">
        <v>346</v>
      </c>
      <c r="AH192" s="757"/>
      <c r="AI192" s="757"/>
      <c r="AJ192" s="757"/>
      <c r="AK192" s="757"/>
    </row>
    <row r="193" spans="3:37" x14ac:dyDescent="0.2">
      <c r="C193" s="639" t="s">
        <v>59</v>
      </c>
      <c r="D193" s="640">
        <v>0</v>
      </c>
      <c r="E193" s="641">
        <v>7.3966799999999999</v>
      </c>
      <c r="F193" s="641">
        <v>0</v>
      </c>
      <c r="G193" s="640">
        <v>0.13025600000000001</v>
      </c>
      <c r="H193" s="641">
        <v>1121.3636363636365</v>
      </c>
      <c r="I193" s="641">
        <v>207.57369132422022</v>
      </c>
      <c r="J193" s="641">
        <v>190.75115787672021</v>
      </c>
      <c r="K193" s="641">
        <v>21.756321957796004</v>
      </c>
      <c r="L193" s="641">
        <v>0.34997737871272444</v>
      </c>
      <c r="M193" s="641">
        <v>0.14846473955328648</v>
      </c>
      <c r="N193" s="641">
        <v>54.409714472774652</v>
      </c>
      <c r="O193" s="641">
        <v>8.1015620286034657</v>
      </c>
      <c r="P193" s="642">
        <v>0</v>
      </c>
      <c r="Q193" s="641">
        <v>0</v>
      </c>
      <c r="R193" s="641">
        <v>0</v>
      </c>
      <c r="S193" s="643">
        <v>1611.9814621420169</v>
      </c>
      <c r="U193" s="639" t="s">
        <v>59</v>
      </c>
      <c r="V193" s="640">
        <v>0</v>
      </c>
      <c r="W193" s="641">
        <v>7.3966799999999999</v>
      </c>
      <c r="X193" s="641">
        <v>0</v>
      </c>
      <c r="Y193" s="640">
        <v>0.13025600000000001</v>
      </c>
      <c r="Z193" s="641">
        <v>1024.3939393939395</v>
      </c>
      <c r="AA193" s="641">
        <v>228.1236913242202</v>
      </c>
      <c r="AB193" s="641">
        <v>188.80425896422437</v>
      </c>
      <c r="AC193" s="641">
        <v>37.588366510920622</v>
      </c>
      <c r="AD193" s="641">
        <v>0.34997737871272444</v>
      </c>
      <c r="AE193" s="641">
        <v>0.14846473955328648</v>
      </c>
      <c r="AF193" s="641">
        <v>70.498567758341522</v>
      </c>
      <c r="AG193" s="641">
        <v>15.201618538088493</v>
      </c>
      <c r="AH193" s="642">
        <v>0</v>
      </c>
      <c r="AI193" s="641">
        <v>0</v>
      </c>
      <c r="AJ193" s="641">
        <v>0</v>
      </c>
      <c r="AK193" s="643">
        <v>1572.6358206080006</v>
      </c>
    </row>
    <row r="194" spans="3:37" x14ac:dyDescent="0.2">
      <c r="C194" s="639" t="s">
        <v>60</v>
      </c>
      <c r="D194" s="640">
        <v>48.993463204278932</v>
      </c>
      <c r="E194" s="641">
        <v>524.37115290345116</v>
      </c>
      <c r="F194" s="641">
        <v>128.47715148642752</v>
      </c>
      <c r="G194" s="640">
        <v>338.60190682175607</v>
      </c>
      <c r="H194" s="641">
        <v>0</v>
      </c>
      <c r="I194" s="641">
        <v>0</v>
      </c>
      <c r="J194" s="641">
        <v>3.4492102766833175</v>
      </c>
      <c r="K194" s="641">
        <v>0</v>
      </c>
      <c r="L194" s="641">
        <v>1.9497058389942057</v>
      </c>
      <c r="M194" s="641">
        <v>0</v>
      </c>
      <c r="N194" s="641">
        <v>0</v>
      </c>
      <c r="O194" s="641">
        <v>0</v>
      </c>
      <c r="P194" s="642">
        <v>0</v>
      </c>
      <c r="Q194" s="641">
        <v>0</v>
      </c>
      <c r="R194" s="641">
        <v>0</v>
      </c>
      <c r="S194" s="643">
        <v>1045.8425905315912</v>
      </c>
      <c r="U194" s="639" t="s">
        <v>60</v>
      </c>
      <c r="V194" s="640">
        <v>10.847134235204434</v>
      </c>
      <c r="W194" s="641">
        <v>365.76498082844296</v>
      </c>
      <c r="X194" s="641">
        <v>91.958139733680838</v>
      </c>
      <c r="Y194" s="640">
        <v>234.76100914366791</v>
      </c>
      <c r="Z194" s="641">
        <v>0</v>
      </c>
      <c r="AA194" s="641">
        <v>0</v>
      </c>
      <c r="AB194" s="641">
        <v>3.4492102766833175</v>
      </c>
      <c r="AC194" s="641">
        <v>0</v>
      </c>
      <c r="AD194" s="641">
        <v>1.9497058389942057</v>
      </c>
      <c r="AE194" s="641">
        <v>0</v>
      </c>
      <c r="AF194" s="641">
        <v>0</v>
      </c>
      <c r="AG194" s="641">
        <v>0</v>
      </c>
      <c r="AH194" s="642">
        <v>0</v>
      </c>
      <c r="AI194" s="641">
        <v>0</v>
      </c>
      <c r="AJ194" s="641">
        <v>0</v>
      </c>
      <c r="AK194" s="643">
        <v>708.7301800566737</v>
      </c>
    </row>
    <row r="195" spans="3:37" x14ac:dyDescent="0.2">
      <c r="C195" s="639" t="s">
        <v>61</v>
      </c>
      <c r="D195" s="640">
        <v>0</v>
      </c>
      <c r="E195" s="641">
        <v>0</v>
      </c>
      <c r="F195" s="641">
        <v>0</v>
      </c>
      <c r="G195" s="640">
        <v>0</v>
      </c>
      <c r="H195" s="641">
        <v>0</v>
      </c>
      <c r="I195" s="641">
        <v>0</v>
      </c>
      <c r="J195" s="641">
        <v>0</v>
      </c>
      <c r="K195" s="641">
        <v>0</v>
      </c>
      <c r="L195" s="641">
        <v>0</v>
      </c>
      <c r="M195" s="641">
        <v>0</v>
      </c>
      <c r="N195" s="641">
        <v>0</v>
      </c>
      <c r="O195" s="641">
        <v>0</v>
      </c>
      <c r="P195" s="642">
        <v>-60.003896317889257</v>
      </c>
      <c r="Q195" s="641">
        <v>0</v>
      </c>
      <c r="R195" s="641">
        <v>0</v>
      </c>
      <c r="S195" s="643">
        <v>-60.003896317889257</v>
      </c>
      <c r="U195" s="639" t="s">
        <v>61</v>
      </c>
      <c r="V195" s="640">
        <v>0</v>
      </c>
      <c r="W195" s="641">
        <v>0</v>
      </c>
      <c r="X195" s="641">
        <v>0</v>
      </c>
      <c r="Y195" s="640">
        <v>0</v>
      </c>
      <c r="Z195" s="641">
        <v>0</v>
      </c>
      <c r="AA195" s="641">
        <v>0</v>
      </c>
      <c r="AB195" s="641">
        <v>0</v>
      </c>
      <c r="AC195" s="641">
        <v>0</v>
      </c>
      <c r="AD195" s="641">
        <v>0</v>
      </c>
      <c r="AE195" s="641">
        <v>0</v>
      </c>
      <c r="AF195" s="641">
        <v>0</v>
      </c>
      <c r="AG195" s="641">
        <v>0</v>
      </c>
      <c r="AH195" s="642">
        <v>-43.289743938015249</v>
      </c>
      <c r="AI195" s="641">
        <v>0</v>
      </c>
      <c r="AJ195" s="641">
        <v>0</v>
      </c>
      <c r="AK195" s="643">
        <v>-43.289743938015249</v>
      </c>
    </row>
    <row r="196" spans="3:37" x14ac:dyDescent="0.2">
      <c r="C196" s="639" t="s">
        <v>62</v>
      </c>
      <c r="D196" s="640">
        <v>0</v>
      </c>
      <c r="E196" s="641">
        <v>0</v>
      </c>
      <c r="F196" s="641">
        <v>-16.352432750095883</v>
      </c>
      <c r="G196" s="640">
        <v>0</v>
      </c>
      <c r="H196" s="641">
        <v>0</v>
      </c>
      <c r="I196" s="641">
        <v>0</v>
      </c>
      <c r="J196" s="641">
        <v>0</v>
      </c>
      <c r="K196" s="641">
        <v>0</v>
      </c>
      <c r="L196" s="641">
        <v>0</v>
      </c>
      <c r="M196" s="641">
        <v>0</v>
      </c>
      <c r="N196" s="641">
        <v>0</v>
      </c>
      <c r="O196" s="641">
        <v>0</v>
      </c>
      <c r="P196" s="642">
        <v>0</v>
      </c>
      <c r="Q196" s="641">
        <v>0</v>
      </c>
      <c r="R196" s="641">
        <v>0</v>
      </c>
      <c r="S196" s="643">
        <v>-16.352432750095883</v>
      </c>
      <c r="U196" s="639" t="s">
        <v>62</v>
      </c>
      <c r="V196" s="640">
        <v>0</v>
      </c>
      <c r="W196" s="641">
        <v>0</v>
      </c>
      <c r="X196" s="641">
        <v>-14.208433022133823</v>
      </c>
      <c r="Y196" s="640">
        <v>-0.95675088928507923</v>
      </c>
      <c r="Z196" s="641">
        <v>0</v>
      </c>
      <c r="AA196" s="641">
        <v>0</v>
      </c>
      <c r="AB196" s="641">
        <v>0</v>
      </c>
      <c r="AC196" s="641">
        <v>0</v>
      </c>
      <c r="AD196" s="641">
        <v>0</v>
      </c>
      <c r="AE196" s="641">
        <v>-0.16736955973660289</v>
      </c>
      <c r="AF196" s="641">
        <v>0</v>
      </c>
      <c r="AG196" s="641">
        <v>0</v>
      </c>
      <c r="AH196" s="642">
        <v>0</v>
      </c>
      <c r="AI196" s="641">
        <v>0</v>
      </c>
      <c r="AJ196" s="641">
        <v>0</v>
      </c>
      <c r="AK196" s="643">
        <v>-15.332553471155505</v>
      </c>
    </row>
    <row r="197" spans="3:37" x14ac:dyDescent="0.2">
      <c r="C197" s="639" t="s">
        <v>63</v>
      </c>
      <c r="D197" s="640">
        <v>0</v>
      </c>
      <c r="E197" s="641">
        <v>0</v>
      </c>
      <c r="F197" s="641">
        <v>-82.364123594751035</v>
      </c>
      <c r="G197" s="640">
        <v>0</v>
      </c>
      <c r="H197" s="641">
        <v>0</v>
      </c>
      <c r="I197" s="641">
        <v>0</v>
      </c>
      <c r="J197" s="641">
        <v>0</v>
      </c>
      <c r="K197" s="641">
        <v>0</v>
      </c>
      <c r="L197" s="641">
        <v>-0.84952974503182688</v>
      </c>
      <c r="M197" s="641">
        <v>0</v>
      </c>
      <c r="N197" s="641">
        <v>0</v>
      </c>
      <c r="O197" s="641">
        <v>0</v>
      </c>
      <c r="P197" s="642">
        <v>0</v>
      </c>
      <c r="Q197" s="641">
        <v>0</v>
      </c>
      <c r="R197" s="641">
        <v>0</v>
      </c>
      <c r="S197" s="643">
        <v>-83.213653339782866</v>
      </c>
      <c r="U197" s="639" t="s">
        <v>63</v>
      </c>
      <c r="V197" s="640">
        <v>0</v>
      </c>
      <c r="W197" s="641">
        <v>0</v>
      </c>
      <c r="X197" s="641">
        <v>-71.599112277853877</v>
      </c>
      <c r="Y197" s="640">
        <v>0</v>
      </c>
      <c r="Z197" s="641">
        <v>0</v>
      </c>
      <c r="AA197" s="641">
        <v>0</v>
      </c>
      <c r="AB197" s="641">
        <v>0</v>
      </c>
      <c r="AC197" s="641">
        <v>0</v>
      </c>
      <c r="AD197" s="641">
        <v>-10.622786066784549</v>
      </c>
      <c r="AE197" s="641">
        <v>0</v>
      </c>
      <c r="AF197" s="641">
        <v>0</v>
      </c>
      <c r="AG197" s="641">
        <v>0</v>
      </c>
      <c r="AH197" s="642">
        <v>0</v>
      </c>
      <c r="AI197" s="641">
        <v>0</v>
      </c>
      <c r="AJ197" s="641">
        <v>0</v>
      </c>
      <c r="AK197" s="643">
        <v>-82.221898344638419</v>
      </c>
    </row>
    <row r="198" spans="3:37" x14ac:dyDescent="0.2">
      <c r="C198" s="639" t="s">
        <v>64</v>
      </c>
      <c r="D198" s="640">
        <v>0</v>
      </c>
      <c r="E198" s="641">
        <v>0</v>
      </c>
      <c r="F198" s="641">
        <v>0</v>
      </c>
      <c r="G198" s="640">
        <v>0</v>
      </c>
      <c r="H198" s="641">
        <v>0</v>
      </c>
      <c r="I198" s="641">
        <v>0</v>
      </c>
      <c r="J198" s="641">
        <v>0</v>
      </c>
      <c r="K198" s="641">
        <v>0</v>
      </c>
      <c r="L198" s="641">
        <v>0</v>
      </c>
      <c r="M198" s="641">
        <v>0</v>
      </c>
      <c r="N198" s="641">
        <v>0</v>
      </c>
      <c r="O198" s="641">
        <v>0</v>
      </c>
      <c r="P198" s="642">
        <v>0</v>
      </c>
      <c r="Q198" s="641">
        <v>0</v>
      </c>
      <c r="R198" s="641">
        <v>0</v>
      </c>
      <c r="S198" s="643">
        <v>0</v>
      </c>
      <c r="U198" s="639" t="s">
        <v>64</v>
      </c>
      <c r="V198" s="640">
        <v>0</v>
      </c>
      <c r="W198" s="641">
        <v>0</v>
      </c>
      <c r="X198" s="641">
        <v>0</v>
      </c>
      <c r="Y198" s="640">
        <v>0</v>
      </c>
      <c r="Z198" s="641">
        <v>0</v>
      </c>
      <c r="AA198" s="641">
        <v>0</v>
      </c>
      <c r="AB198" s="641">
        <v>0</v>
      </c>
      <c r="AC198" s="641">
        <v>0</v>
      </c>
      <c r="AD198" s="641">
        <v>0</v>
      </c>
      <c r="AE198" s="641">
        <v>0</v>
      </c>
      <c r="AF198" s="641">
        <v>0</v>
      </c>
      <c r="AG198" s="641">
        <v>0</v>
      </c>
      <c r="AH198" s="642">
        <v>0</v>
      </c>
      <c r="AI198" s="641">
        <v>0</v>
      </c>
      <c r="AJ198" s="641">
        <v>0</v>
      </c>
      <c r="AK198" s="643">
        <v>0</v>
      </c>
    </row>
    <row r="199" spans="3:37" x14ac:dyDescent="0.2">
      <c r="C199" s="644" t="s">
        <v>65</v>
      </c>
      <c r="D199" s="645">
        <v>48.993463204278932</v>
      </c>
      <c r="E199" s="645">
        <v>531.76783290345111</v>
      </c>
      <c r="F199" s="645">
        <v>29.760595141580591</v>
      </c>
      <c r="G199" s="645">
        <v>338.73216282175605</v>
      </c>
      <c r="H199" s="645">
        <v>1121.3636363636365</v>
      </c>
      <c r="I199" s="645">
        <v>207.57369132422022</v>
      </c>
      <c r="J199" s="645">
        <v>194.20036815340353</v>
      </c>
      <c r="K199" s="645">
        <v>21.756321957796004</v>
      </c>
      <c r="L199" s="645">
        <v>1.4501534726751033</v>
      </c>
      <c r="M199" s="645">
        <v>0.14846473955328648</v>
      </c>
      <c r="N199" s="645">
        <v>54.409714472774652</v>
      </c>
      <c r="O199" s="645">
        <v>8.1015620286034657</v>
      </c>
      <c r="P199" s="645">
        <v>-60.003896317889257</v>
      </c>
      <c r="Q199" s="645">
        <v>0</v>
      </c>
      <c r="R199" s="645">
        <v>0</v>
      </c>
      <c r="S199" s="645">
        <v>2498.2540702658398</v>
      </c>
      <c r="U199" s="644" t="s">
        <v>65</v>
      </c>
      <c r="V199" s="645">
        <v>10.847134235204434</v>
      </c>
      <c r="W199" s="645">
        <v>373.16166082844296</v>
      </c>
      <c r="X199" s="645">
        <v>6.1505944336931329</v>
      </c>
      <c r="Y199" s="645">
        <v>233.93451425438283</v>
      </c>
      <c r="Z199" s="645">
        <v>1024.3939393939395</v>
      </c>
      <c r="AA199" s="645">
        <v>228.1236913242202</v>
      </c>
      <c r="AB199" s="645">
        <v>192.25346924090769</v>
      </c>
      <c r="AC199" s="645">
        <v>37.588366510920622</v>
      </c>
      <c r="AD199" s="645">
        <v>-8.3231028490776193</v>
      </c>
      <c r="AE199" s="645">
        <v>-1.8904820183316406E-2</v>
      </c>
      <c r="AF199" s="645">
        <v>70.498567758341522</v>
      </c>
      <c r="AG199" s="645">
        <v>15.201618538088493</v>
      </c>
      <c r="AH199" s="645">
        <v>-43.289743938015249</v>
      </c>
      <c r="AI199" s="645">
        <v>0</v>
      </c>
      <c r="AJ199" s="645">
        <v>0</v>
      </c>
      <c r="AK199" s="645">
        <v>2140.5218049108653</v>
      </c>
    </row>
    <row r="200" spans="3:37" x14ac:dyDescent="0.2">
      <c r="C200" s="634"/>
      <c r="D200" s="634">
        <v>0</v>
      </c>
      <c r="E200" s="634">
        <v>0</v>
      </c>
      <c r="F200" s="634">
        <v>0</v>
      </c>
      <c r="G200" s="634">
        <v>0</v>
      </c>
      <c r="H200" s="634">
        <v>0</v>
      </c>
      <c r="I200" s="634">
        <v>0</v>
      </c>
      <c r="J200" s="634">
        <v>0</v>
      </c>
      <c r="K200" s="634">
        <v>0</v>
      </c>
      <c r="L200" s="634">
        <v>0</v>
      </c>
      <c r="M200" s="634">
        <v>0</v>
      </c>
      <c r="N200" s="634">
        <v>0</v>
      </c>
      <c r="O200" s="634">
        <v>0</v>
      </c>
      <c r="P200" s="634">
        <v>0</v>
      </c>
      <c r="Q200" s="634">
        <v>0</v>
      </c>
      <c r="R200" s="634">
        <v>0</v>
      </c>
      <c r="S200" s="634">
        <v>0</v>
      </c>
      <c r="U200" s="634"/>
      <c r="V200" s="634">
        <v>0</v>
      </c>
      <c r="W200" s="634">
        <v>0</v>
      </c>
      <c r="X200" s="634">
        <v>0</v>
      </c>
      <c r="Y200" s="634">
        <v>0</v>
      </c>
      <c r="Z200" s="634">
        <v>0</v>
      </c>
      <c r="AA200" s="634">
        <v>0</v>
      </c>
      <c r="AB200" s="634">
        <v>0</v>
      </c>
      <c r="AC200" s="634">
        <v>0</v>
      </c>
      <c r="AD200" s="634">
        <v>0</v>
      </c>
      <c r="AE200" s="634">
        <v>0</v>
      </c>
      <c r="AF200" s="634">
        <v>0</v>
      </c>
      <c r="AG200" s="634">
        <v>0</v>
      </c>
      <c r="AH200" s="634">
        <v>0</v>
      </c>
      <c r="AI200" s="634">
        <v>0</v>
      </c>
      <c r="AJ200" s="634">
        <v>0</v>
      </c>
      <c r="AK200" s="634">
        <v>0</v>
      </c>
    </row>
    <row r="201" spans="3:37" x14ac:dyDescent="0.2">
      <c r="C201" s="646" t="s">
        <v>67</v>
      </c>
      <c r="D201" s="640">
        <v>0</v>
      </c>
      <c r="E201" s="647">
        <v>0</v>
      </c>
      <c r="F201" s="647">
        <v>0</v>
      </c>
      <c r="G201" s="640">
        <v>0</v>
      </c>
      <c r="H201" s="640">
        <v>0</v>
      </c>
      <c r="I201" s="640">
        <v>0</v>
      </c>
      <c r="J201" s="640">
        <v>0</v>
      </c>
      <c r="K201" s="640">
        <v>0</v>
      </c>
      <c r="L201" s="640">
        <v>0</v>
      </c>
      <c r="M201" s="640">
        <v>0</v>
      </c>
      <c r="N201" s="640">
        <v>0</v>
      </c>
      <c r="O201" s="640">
        <v>0</v>
      </c>
      <c r="P201" s="640">
        <v>0</v>
      </c>
      <c r="Q201" s="640">
        <v>0</v>
      </c>
      <c r="R201" s="640">
        <v>0</v>
      </c>
      <c r="S201" s="648">
        <v>0</v>
      </c>
      <c r="U201" s="646" t="s">
        <v>67</v>
      </c>
      <c r="V201" s="640">
        <v>0</v>
      </c>
      <c r="W201" s="647">
        <v>0</v>
      </c>
      <c r="X201" s="647">
        <v>0</v>
      </c>
      <c r="Y201" s="640">
        <v>0</v>
      </c>
      <c r="Z201" s="640">
        <v>0</v>
      </c>
      <c r="AA201" s="640">
        <v>0</v>
      </c>
      <c r="AB201" s="640">
        <v>0</v>
      </c>
      <c r="AC201" s="640">
        <v>0</v>
      </c>
      <c r="AD201" s="640">
        <v>0</v>
      </c>
      <c r="AE201" s="640">
        <v>0</v>
      </c>
      <c r="AF201" s="640">
        <v>0</v>
      </c>
      <c r="AG201" s="640">
        <v>0</v>
      </c>
      <c r="AH201" s="640">
        <v>0</v>
      </c>
      <c r="AI201" s="640">
        <v>0</v>
      </c>
      <c r="AJ201" s="640">
        <v>0</v>
      </c>
      <c r="AK201" s="648">
        <v>0</v>
      </c>
    </row>
    <row r="202" spans="3:37" x14ac:dyDescent="0.2">
      <c r="C202" s="646" t="s">
        <v>347</v>
      </c>
      <c r="D202" s="640">
        <v>2.8267856410252494</v>
      </c>
      <c r="E202" s="640">
        <v>0</v>
      </c>
      <c r="F202" s="640">
        <v>7.7941116668718937</v>
      </c>
      <c r="G202" s="640">
        <v>17.578475336322871</v>
      </c>
      <c r="H202" s="640">
        <v>1121.3636363636365</v>
      </c>
      <c r="I202" s="640">
        <v>207.57369132422022</v>
      </c>
      <c r="J202" s="649">
        <v>30.869450548245954</v>
      </c>
      <c r="K202" s="649">
        <v>7.6561165469613854</v>
      </c>
      <c r="L202" s="649">
        <v>2.2996832177069302</v>
      </c>
      <c r="M202" s="649">
        <v>0.47494016865067573</v>
      </c>
      <c r="N202" s="649">
        <v>0</v>
      </c>
      <c r="O202" s="649">
        <v>3.0833964576427819</v>
      </c>
      <c r="P202" s="640">
        <v>-607.79183020434141</v>
      </c>
      <c r="Q202" s="640">
        <v>0</v>
      </c>
      <c r="R202" s="640">
        <v>0</v>
      </c>
      <c r="S202" s="648">
        <v>793.72845706694284</v>
      </c>
      <c r="U202" s="646" t="s">
        <v>347</v>
      </c>
      <c r="V202" s="640">
        <v>0.62631490545869017</v>
      </c>
      <c r="W202" s="640">
        <v>0</v>
      </c>
      <c r="X202" s="640">
        <v>3.93047530323553</v>
      </c>
      <c r="Y202" s="640">
        <v>32.755695067264575</v>
      </c>
      <c r="Z202" s="640">
        <v>1024.3939393939395</v>
      </c>
      <c r="AA202" s="640">
        <v>228.1236913242202</v>
      </c>
      <c r="AB202" s="649">
        <v>25.192532039575013</v>
      </c>
      <c r="AC202" s="649">
        <v>7.1226809684101786</v>
      </c>
      <c r="AD202" s="649">
        <v>2.2996832177069302</v>
      </c>
      <c r="AE202" s="649">
        <v>5.010724922013905</v>
      </c>
      <c r="AF202" s="649">
        <v>0</v>
      </c>
      <c r="AG202" s="649">
        <v>3.0833964576427819</v>
      </c>
      <c r="AH202" s="640">
        <v>-605.04183020434141</v>
      </c>
      <c r="AI202" s="640">
        <v>0</v>
      </c>
      <c r="AJ202" s="640">
        <v>1.4249999999999998</v>
      </c>
      <c r="AK202" s="648">
        <v>728.92230339512548</v>
      </c>
    </row>
    <row r="203" spans="3:37" x14ac:dyDescent="0.2">
      <c r="C203" s="646" t="s">
        <v>348</v>
      </c>
      <c r="D203" s="640">
        <v>0</v>
      </c>
      <c r="E203" s="640">
        <v>0</v>
      </c>
      <c r="F203" s="640">
        <v>0</v>
      </c>
      <c r="G203" s="640">
        <v>15.306890454029709</v>
      </c>
      <c r="H203" s="640">
        <v>0</v>
      </c>
      <c r="I203" s="640">
        <v>0</v>
      </c>
      <c r="J203" s="649">
        <v>13.130836985616687</v>
      </c>
      <c r="K203" s="649">
        <v>12.274327089138302</v>
      </c>
      <c r="L203" s="649">
        <v>0</v>
      </c>
      <c r="M203" s="649">
        <v>0.32594257421966627</v>
      </c>
      <c r="N203" s="649">
        <v>0</v>
      </c>
      <c r="O203" s="649">
        <v>2.1777173090422202</v>
      </c>
      <c r="P203" s="640">
        <v>0</v>
      </c>
      <c r="Q203" s="640">
        <v>-38.962978394907431</v>
      </c>
      <c r="R203" s="640">
        <v>0</v>
      </c>
      <c r="S203" s="648">
        <v>4.2527360171391511</v>
      </c>
      <c r="U203" s="646" t="s">
        <v>348</v>
      </c>
      <c r="V203" s="640">
        <v>0</v>
      </c>
      <c r="W203" s="640">
        <v>0</v>
      </c>
      <c r="X203" s="640">
        <v>0</v>
      </c>
      <c r="Y203" s="640">
        <v>16.285163933286896</v>
      </c>
      <c r="Z203" s="640">
        <v>0</v>
      </c>
      <c r="AA203" s="640">
        <v>0</v>
      </c>
      <c r="AB203" s="649">
        <v>27.330859307935192</v>
      </c>
      <c r="AC203" s="649">
        <v>24.40929016388429</v>
      </c>
      <c r="AD203" s="649">
        <v>0</v>
      </c>
      <c r="AE203" s="649">
        <v>2.4469723551258755</v>
      </c>
      <c r="AF203" s="649">
        <v>0</v>
      </c>
      <c r="AG203" s="649">
        <v>7.1814032045118834</v>
      </c>
      <c r="AH203" s="640">
        <v>0</v>
      </c>
      <c r="AI203" s="640">
        <v>-70.686462815005612</v>
      </c>
      <c r="AJ203" s="640">
        <v>0</v>
      </c>
      <c r="AK203" s="648">
        <v>6.967226149738531</v>
      </c>
    </row>
    <row r="204" spans="3:37" x14ac:dyDescent="0.2">
      <c r="C204" s="646" t="s">
        <v>349</v>
      </c>
      <c r="D204" s="640">
        <v>0</v>
      </c>
      <c r="E204" s="640">
        <v>0</v>
      </c>
      <c r="F204" s="640">
        <v>0</v>
      </c>
      <c r="G204" s="640">
        <v>0</v>
      </c>
      <c r="H204" s="640">
        <v>0</v>
      </c>
      <c r="I204" s="640">
        <v>0</v>
      </c>
      <c r="J204" s="650">
        <v>7.549386302639002</v>
      </c>
      <c r="K204" s="650">
        <v>0</v>
      </c>
      <c r="L204" s="650">
        <v>0</v>
      </c>
      <c r="M204" s="650">
        <v>-6.6642207586545794</v>
      </c>
      <c r="N204" s="650">
        <v>0</v>
      </c>
      <c r="O204" s="650">
        <v>0</v>
      </c>
      <c r="P204" s="640">
        <v>0</v>
      </c>
      <c r="Q204" s="640">
        <v>0</v>
      </c>
      <c r="R204" s="640">
        <v>0</v>
      </c>
      <c r="S204" s="648">
        <v>0.8851655439844226</v>
      </c>
      <c r="U204" s="646" t="s">
        <v>349</v>
      </c>
      <c r="V204" s="640">
        <v>0</v>
      </c>
      <c r="W204" s="640">
        <v>0</v>
      </c>
      <c r="X204" s="640">
        <v>0</v>
      </c>
      <c r="Y204" s="640">
        <v>0</v>
      </c>
      <c r="Z204" s="640">
        <v>0</v>
      </c>
      <c r="AA204" s="640">
        <v>0</v>
      </c>
      <c r="AB204" s="650">
        <v>39.489443827479029</v>
      </c>
      <c r="AC204" s="650">
        <v>0</v>
      </c>
      <c r="AD204" s="650">
        <v>0</v>
      </c>
      <c r="AE204" s="650">
        <v>-34.859306538707116</v>
      </c>
      <c r="AF204" s="650">
        <v>0</v>
      </c>
      <c r="AG204" s="650">
        <v>0</v>
      </c>
      <c r="AH204" s="640">
        <v>0</v>
      </c>
      <c r="AI204" s="640">
        <v>0</v>
      </c>
      <c r="AJ204" s="640">
        <v>0</v>
      </c>
      <c r="AK204" s="648">
        <v>4.6301372887719126</v>
      </c>
    </row>
    <row r="205" spans="3:37" x14ac:dyDescent="0.2">
      <c r="C205" s="646" t="s">
        <v>350</v>
      </c>
      <c r="D205" s="640">
        <v>0</v>
      </c>
      <c r="E205" s="640">
        <v>0</v>
      </c>
      <c r="F205" s="640">
        <v>0</v>
      </c>
      <c r="G205" s="640">
        <v>0</v>
      </c>
      <c r="H205" s="640">
        <v>0</v>
      </c>
      <c r="I205" s="640">
        <v>0</v>
      </c>
      <c r="J205" s="640">
        <v>0</v>
      </c>
      <c r="K205" s="640">
        <v>0</v>
      </c>
      <c r="L205" s="640">
        <v>0</v>
      </c>
      <c r="M205" s="640">
        <v>0</v>
      </c>
      <c r="N205" s="640">
        <v>0</v>
      </c>
      <c r="O205" s="640">
        <v>0</v>
      </c>
      <c r="P205" s="640">
        <v>0</v>
      </c>
      <c r="Q205" s="640">
        <v>0</v>
      </c>
      <c r="R205" s="640">
        <v>0</v>
      </c>
      <c r="S205" s="648">
        <v>0</v>
      </c>
      <c r="U205" s="646" t="s">
        <v>350</v>
      </c>
      <c r="V205" s="640">
        <v>0</v>
      </c>
      <c r="W205" s="640">
        <v>0</v>
      </c>
      <c r="X205" s="640">
        <v>0</v>
      </c>
      <c r="Y205" s="640">
        <v>0</v>
      </c>
      <c r="Z205" s="640">
        <v>0</v>
      </c>
      <c r="AA205" s="640">
        <v>0</v>
      </c>
      <c r="AB205" s="640">
        <v>0</v>
      </c>
      <c r="AC205" s="640">
        <v>0</v>
      </c>
      <c r="AD205" s="640">
        <v>0</v>
      </c>
      <c r="AE205" s="640">
        <v>0</v>
      </c>
      <c r="AF205" s="640">
        <v>0</v>
      </c>
      <c r="AG205" s="640">
        <v>0</v>
      </c>
      <c r="AH205" s="640">
        <v>0</v>
      </c>
      <c r="AI205" s="640">
        <v>0</v>
      </c>
      <c r="AJ205" s="640">
        <v>0</v>
      </c>
      <c r="AK205" s="648">
        <v>0</v>
      </c>
    </row>
    <row r="206" spans="3:37" x14ac:dyDescent="0.2">
      <c r="C206" s="646" t="s">
        <v>72</v>
      </c>
      <c r="D206" s="640">
        <v>0</v>
      </c>
      <c r="E206" s="640">
        <v>550.85495716936975</v>
      </c>
      <c r="F206" s="640">
        <v>-545.34640759767603</v>
      </c>
      <c r="G206" s="640">
        <v>0</v>
      </c>
      <c r="H206" s="640">
        <v>0</v>
      </c>
      <c r="I206" s="640">
        <v>0</v>
      </c>
      <c r="J206" s="640">
        <v>0</v>
      </c>
      <c r="K206" s="640">
        <v>0</v>
      </c>
      <c r="L206" s="640">
        <v>0</v>
      </c>
      <c r="M206" s="640">
        <v>0</v>
      </c>
      <c r="N206" s="640">
        <v>0</v>
      </c>
      <c r="O206" s="640">
        <v>0</v>
      </c>
      <c r="P206" s="640">
        <v>0</v>
      </c>
      <c r="Q206" s="640">
        <v>0</v>
      </c>
      <c r="R206" s="640">
        <v>0</v>
      </c>
      <c r="S206" s="648">
        <v>5.5085495716937203</v>
      </c>
      <c r="U206" s="646" t="s">
        <v>72</v>
      </c>
      <c r="V206" s="640">
        <v>0</v>
      </c>
      <c r="W206" s="640">
        <v>386.55581999113582</v>
      </c>
      <c r="X206" s="640">
        <v>-382.69026179122449</v>
      </c>
      <c r="Y206" s="640">
        <v>0</v>
      </c>
      <c r="Z206" s="640">
        <v>0</v>
      </c>
      <c r="AA206" s="640">
        <v>0</v>
      </c>
      <c r="AB206" s="640">
        <v>0</v>
      </c>
      <c r="AC206" s="640">
        <v>0</v>
      </c>
      <c r="AD206" s="640">
        <v>0</v>
      </c>
      <c r="AE206" s="640">
        <v>0</v>
      </c>
      <c r="AF206" s="640">
        <v>0</v>
      </c>
      <c r="AG206" s="640">
        <v>0</v>
      </c>
      <c r="AH206" s="640">
        <v>0</v>
      </c>
      <c r="AI206" s="640">
        <v>0</v>
      </c>
      <c r="AJ206" s="640">
        <v>0</v>
      </c>
      <c r="AK206" s="648">
        <v>3.8655581999113338</v>
      </c>
    </row>
    <row r="207" spans="3:37" x14ac:dyDescent="0.2">
      <c r="C207" s="646" t="s">
        <v>351</v>
      </c>
      <c r="D207" s="640">
        <v>0</v>
      </c>
      <c r="E207" s="640">
        <v>0</v>
      </c>
      <c r="F207" s="640">
        <v>0</v>
      </c>
      <c r="G207" s="640">
        <v>0</v>
      </c>
      <c r="H207" s="640">
        <v>0</v>
      </c>
      <c r="I207" s="640">
        <v>0</v>
      </c>
      <c r="J207" s="640">
        <v>34.694031238964726</v>
      </c>
      <c r="K207" s="640">
        <v>0</v>
      </c>
      <c r="L207" s="640">
        <v>-34.694031238964726</v>
      </c>
      <c r="M207" s="640">
        <v>0</v>
      </c>
      <c r="N207" s="640">
        <v>0</v>
      </c>
      <c r="O207" s="640">
        <v>0</v>
      </c>
      <c r="P207" s="640">
        <v>0</v>
      </c>
      <c r="Q207" s="640">
        <v>0</v>
      </c>
      <c r="R207" s="640">
        <v>0</v>
      </c>
      <c r="S207" s="648">
        <v>0</v>
      </c>
      <c r="U207" s="646" t="s">
        <v>351</v>
      </c>
      <c r="V207" s="640">
        <v>0</v>
      </c>
      <c r="W207" s="640">
        <v>0</v>
      </c>
      <c r="X207" s="640">
        <v>0</v>
      </c>
      <c r="Y207" s="640">
        <v>0</v>
      </c>
      <c r="Z207" s="640">
        <v>0</v>
      </c>
      <c r="AA207" s="640">
        <v>0</v>
      </c>
      <c r="AB207" s="640" t="e">
        <v>#VALUE!</v>
      </c>
      <c r="AC207" s="640">
        <v>0</v>
      </c>
      <c r="AD207" s="640">
        <v>-64.13008508665132</v>
      </c>
      <c r="AE207" s="640">
        <v>0</v>
      </c>
      <c r="AF207" s="640">
        <v>0</v>
      </c>
      <c r="AG207" s="640">
        <v>0</v>
      </c>
      <c r="AH207" s="640">
        <v>0</v>
      </c>
      <c r="AI207" s="640">
        <v>0</v>
      </c>
      <c r="AJ207" s="640">
        <v>0</v>
      </c>
      <c r="AK207" s="648">
        <v>-64.13008508665132</v>
      </c>
    </row>
    <row r="208" spans="3:37" x14ac:dyDescent="0.2">
      <c r="C208" s="646" t="s">
        <v>352</v>
      </c>
      <c r="D208" s="640">
        <v>0</v>
      </c>
      <c r="E208" s="640">
        <v>0</v>
      </c>
      <c r="F208" s="640">
        <v>0</v>
      </c>
      <c r="G208" s="640">
        <v>0</v>
      </c>
      <c r="H208" s="640">
        <v>0</v>
      </c>
      <c r="I208" s="640">
        <v>0</v>
      </c>
      <c r="J208" s="640">
        <v>0</v>
      </c>
      <c r="K208" s="640">
        <v>0</v>
      </c>
      <c r="L208" s="640">
        <v>0</v>
      </c>
      <c r="M208" s="640">
        <v>0</v>
      </c>
      <c r="N208" s="640">
        <v>0</v>
      </c>
      <c r="O208" s="640">
        <v>0</v>
      </c>
      <c r="P208" s="640">
        <v>0</v>
      </c>
      <c r="Q208" s="640">
        <v>0</v>
      </c>
      <c r="R208" s="640">
        <v>0</v>
      </c>
      <c r="S208" s="648">
        <v>0</v>
      </c>
      <c r="U208" s="646" t="s">
        <v>352</v>
      </c>
      <c r="V208" s="640">
        <v>0</v>
      </c>
      <c r="W208" s="640">
        <v>0</v>
      </c>
      <c r="X208" s="640">
        <v>0</v>
      </c>
      <c r="Y208" s="640">
        <v>0</v>
      </c>
      <c r="Z208" s="640">
        <v>0</v>
      </c>
      <c r="AA208" s="640">
        <v>0</v>
      </c>
      <c r="AB208" s="640">
        <v>0</v>
      </c>
      <c r="AC208" s="640">
        <v>0</v>
      </c>
      <c r="AD208" s="640">
        <v>-12.704571841330187</v>
      </c>
      <c r="AE208" s="640">
        <v>0</v>
      </c>
      <c r="AF208" s="640">
        <v>0</v>
      </c>
      <c r="AG208" s="640">
        <v>0</v>
      </c>
      <c r="AH208" s="640">
        <v>0</v>
      </c>
      <c r="AI208" s="640">
        <v>0</v>
      </c>
      <c r="AJ208" s="640">
        <v>0</v>
      </c>
      <c r="AK208" s="648">
        <v>-12.704571841330187</v>
      </c>
    </row>
    <row r="209" spans="3:37" x14ac:dyDescent="0.2">
      <c r="C209" s="646" t="s">
        <v>73</v>
      </c>
      <c r="D209" s="640">
        <v>0</v>
      </c>
      <c r="E209" s="640">
        <v>0</v>
      </c>
      <c r="F209" s="640">
        <v>0</v>
      </c>
      <c r="G209" s="640">
        <v>2.1153211001028303</v>
      </c>
      <c r="H209" s="640">
        <v>0</v>
      </c>
      <c r="I209" s="640">
        <v>0</v>
      </c>
      <c r="J209" s="640">
        <v>0</v>
      </c>
      <c r="K209" s="640">
        <v>2.387711193000305E-2</v>
      </c>
      <c r="L209" s="640">
        <v>0</v>
      </c>
      <c r="M209" s="640">
        <v>4.3169818369445515E-2</v>
      </c>
      <c r="N209" s="640">
        <v>0</v>
      </c>
      <c r="O209" s="640">
        <v>0</v>
      </c>
      <c r="P209" s="640">
        <v>0.21762333659139796</v>
      </c>
      <c r="Q209" s="640">
        <v>0</v>
      </c>
      <c r="R209" s="640">
        <v>-1.6713978351002134</v>
      </c>
      <c r="S209" s="648">
        <v>0.72859353189346332</v>
      </c>
      <c r="U209" s="646" t="s">
        <v>73</v>
      </c>
      <c r="V209" s="640">
        <v>0</v>
      </c>
      <c r="W209" s="640">
        <v>0</v>
      </c>
      <c r="X209" s="640">
        <v>0</v>
      </c>
      <c r="Y209" s="640">
        <v>5.6183676161021641</v>
      </c>
      <c r="Z209" s="640">
        <v>0</v>
      </c>
      <c r="AA209" s="640">
        <v>0</v>
      </c>
      <c r="AB209" s="640">
        <v>0</v>
      </c>
      <c r="AC209" s="640">
        <v>0.19393074509344391</v>
      </c>
      <c r="AD209" s="640">
        <v>0</v>
      </c>
      <c r="AE209" s="640">
        <v>0.83952619550951879</v>
      </c>
      <c r="AF209" s="640">
        <v>0</v>
      </c>
      <c r="AG209" s="640">
        <v>0</v>
      </c>
      <c r="AH209" s="640">
        <v>13.50321720945872</v>
      </c>
      <c r="AI209" s="640">
        <v>0</v>
      </c>
      <c r="AJ209" s="640">
        <v>-13.575152156541073</v>
      </c>
      <c r="AK209" s="648">
        <v>6.579889609622775</v>
      </c>
    </row>
    <row r="210" spans="3:37" x14ac:dyDescent="0.2">
      <c r="C210" s="646" t="s">
        <v>353</v>
      </c>
      <c r="D210" s="640">
        <v>28.669681406249996</v>
      </c>
      <c r="E210" s="640">
        <v>-19.087124265918664</v>
      </c>
      <c r="F210" s="640">
        <v>24.964831154950382</v>
      </c>
      <c r="G210" s="640">
        <v>0</v>
      </c>
      <c r="H210" s="640">
        <v>0</v>
      </c>
      <c r="I210" s="640">
        <v>0</v>
      </c>
      <c r="J210" s="640">
        <v>0</v>
      </c>
      <c r="K210" s="640">
        <v>0</v>
      </c>
      <c r="L210" s="640">
        <v>0</v>
      </c>
      <c r="M210" s="640">
        <v>0</v>
      </c>
      <c r="N210" s="640">
        <v>0</v>
      </c>
      <c r="O210" s="640">
        <v>0</v>
      </c>
      <c r="P210" s="640">
        <v>0</v>
      </c>
      <c r="Q210" s="640">
        <v>0</v>
      </c>
      <c r="R210" s="640">
        <v>0</v>
      </c>
      <c r="S210" s="648">
        <v>34.547388295281714</v>
      </c>
      <c r="U210" s="646" t="s">
        <v>353</v>
      </c>
      <c r="V210" s="640">
        <v>4.3307530517578128</v>
      </c>
      <c r="W210" s="640">
        <v>-13.394159162692858</v>
      </c>
      <c r="X210" s="640">
        <v>17.518769056071054</v>
      </c>
      <c r="Y210" s="640">
        <v>0</v>
      </c>
      <c r="Z210" s="640">
        <v>0</v>
      </c>
      <c r="AA210" s="640">
        <v>0</v>
      </c>
      <c r="AB210" s="640">
        <v>0</v>
      </c>
      <c r="AC210" s="640">
        <v>0</v>
      </c>
      <c r="AD210" s="640">
        <v>0</v>
      </c>
      <c r="AE210" s="640">
        <v>0</v>
      </c>
      <c r="AF210" s="640">
        <v>0</v>
      </c>
      <c r="AG210" s="640">
        <v>0</v>
      </c>
      <c r="AH210" s="640">
        <v>0</v>
      </c>
      <c r="AI210" s="640">
        <v>0</v>
      </c>
      <c r="AJ210" s="640">
        <v>0</v>
      </c>
      <c r="AK210" s="648">
        <v>8.4553629451360095</v>
      </c>
    </row>
    <row r="211" spans="3:37" x14ac:dyDescent="0.2">
      <c r="C211" s="646" t="s">
        <v>75</v>
      </c>
      <c r="D211" s="640">
        <v>11.149320546875</v>
      </c>
      <c r="E211" s="640">
        <v>0</v>
      </c>
      <c r="F211" s="640">
        <v>18.729068543758572</v>
      </c>
      <c r="G211" s="640">
        <v>5.3443947944572248</v>
      </c>
      <c r="H211" s="640">
        <v>0</v>
      </c>
      <c r="I211" s="640">
        <v>0</v>
      </c>
      <c r="J211" s="640">
        <v>0</v>
      </c>
      <c r="K211" s="640">
        <v>0</v>
      </c>
      <c r="L211" s="640">
        <v>0</v>
      </c>
      <c r="M211" s="640">
        <v>0.10906928151953521</v>
      </c>
      <c r="N211" s="640">
        <v>0</v>
      </c>
      <c r="O211" s="640">
        <v>0</v>
      </c>
      <c r="P211" s="640">
        <v>34.631314570260251</v>
      </c>
      <c r="Q211" s="640">
        <v>0</v>
      </c>
      <c r="R211" s="640">
        <v>0</v>
      </c>
      <c r="S211" s="648">
        <v>69.963167736870574</v>
      </c>
      <c r="U211" s="646" t="s">
        <v>75</v>
      </c>
      <c r="V211" s="640">
        <v>4.9205957031249996</v>
      </c>
      <c r="W211" s="640">
        <v>0</v>
      </c>
      <c r="X211" s="640">
        <v>18.729068543758572</v>
      </c>
      <c r="Y211" s="640">
        <v>4.7445137460997815</v>
      </c>
      <c r="Z211" s="640">
        <v>0</v>
      </c>
      <c r="AA211" s="640">
        <v>0</v>
      </c>
      <c r="AB211" s="640">
        <v>0</v>
      </c>
      <c r="AC211" s="640">
        <v>0</v>
      </c>
      <c r="AD211" s="640">
        <v>0</v>
      </c>
      <c r="AE211" s="640">
        <v>0.70895032987697881</v>
      </c>
      <c r="AF211" s="640">
        <v>0</v>
      </c>
      <c r="AG211" s="640">
        <v>0</v>
      </c>
      <c r="AH211" s="640">
        <v>32.716541842987525</v>
      </c>
      <c r="AI211" s="640">
        <v>0</v>
      </c>
      <c r="AJ211" s="640">
        <v>0</v>
      </c>
      <c r="AK211" s="648">
        <v>61.819670165847853</v>
      </c>
    </row>
    <row r="212" spans="3:37" x14ac:dyDescent="0.2">
      <c r="C212" s="646" t="s">
        <v>76</v>
      </c>
      <c r="D212" s="640">
        <v>0</v>
      </c>
      <c r="E212" s="640">
        <v>0</v>
      </c>
      <c r="F212" s="640">
        <v>0</v>
      </c>
      <c r="G212" s="640">
        <v>3.8720966463328983</v>
      </c>
      <c r="H212" s="640">
        <v>0</v>
      </c>
      <c r="I212" s="640">
        <v>0</v>
      </c>
      <c r="J212" s="640">
        <v>0</v>
      </c>
      <c r="K212" s="640">
        <v>0</v>
      </c>
      <c r="L212" s="640">
        <v>0</v>
      </c>
      <c r="M212" s="640">
        <v>7.9022380537406095E-2</v>
      </c>
      <c r="N212" s="640">
        <v>0</v>
      </c>
      <c r="O212" s="640">
        <v>0</v>
      </c>
      <c r="P212" s="640">
        <v>41.938968757160723</v>
      </c>
      <c r="Q212" s="640">
        <v>3.0236871210614171</v>
      </c>
      <c r="R212" s="640">
        <v>0</v>
      </c>
      <c r="S212" s="648">
        <v>48.913774905092438</v>
      </c>
      <c r="U212" s="646" t="s">
        <v>76</v>
      </c>
      <c r="V212" s="640">
        <v>0</v>
      </c>
      <c r="W212" s="640">
        <v>0</v>
      </c>
      <c r="X212" s="640">
        <v>0</v>
      </c>
      <c r="Y212" s="640">
        <v>2.7662751616304524</v>
      </c>
      <c r="Z212" s="640">
        <v>0</v>
      </c>
      <c r="AA212" s="640">
        <v>0</v>
      </c>
      <c r="AB212" s="640">
        <v>0</v>
      </c>
      <c r="AC212" s="640">
        <v>0</v>
      </c>
      <c r="AD212" s="640">
        <v>0</v>
      </c>
      <c r="AE212" s="640">
        <v>0.41335146093328595</v>
      </c>
      <c r="AF212" s="640">
        <v>0</v>
      </c>
      <c r="AG212" s="640">
        <v>0</v>
      </c>
      <c r="AH212" s="640">
        <v>43.009166954325586</v>
      </c>
      <c r="AI212" s="640">
        <v>5.481964511548731</v>
      </c>
      <c r="AJ212" s="640">
        <v>0</v>
      </c>
      <c r="AK212" s="648">
        <v>51.670758088438056</v>
      </c>
    </row>
    <row r="213" spans="3:37" x14ac:dyDescent="0.2">
      <c r="C213" s="644" t="s">
        <v>77</v>
      </c>
      <c r="D213" s="645">
        <v>42.645787594150242</v>
      </c>
      <c r="E213" s="645">
        <v>531.76783290345111</v>
      </c>
      <c r="F213" s="645">
        <v>-493.85839623209517</v>
      </c>
      <c r="G213" s="645">
        <v>44.217178331245535</v>
      </c>
      <c r="H213" s="645">
        <v>1121.3636363636365</v>
      </c>
      <c r="I213" s="645">
        <v>207.57369132422022</v>
      </c>
      <c r="J213" s="645">
        <v>86.243705075466366</v>
      </c>
      <c r="K213" s="645">
        <v>19.954320748029687</v>
      </c>
      <c r="L213" s="645">
        <v>-32.394348021257798</v>
      </c>
      <c r="M213" s="645">
        <v>-5.6320765353578501</v>
      </c>
      <c r="N213" s="645">
        <v>0</v>
      </c>
      <c r="O213" s="645">
        <v>5.2611137666850016</v>
      </c>
      <c r="P213" s="645">
        <v>-531.00392354032908</v>
      </c>
      <c r="Q213" s="645">
        <v>-35.939291273846017</v>
      </c>
      <c r="R213" s="645">
        <v>-1.6713978351002134</v>
      </c>
      <c r="S213" s="645">
        <v>958.52783266889833</v>
      </c>
      <c r="U213" s="644" t="s">
        <v>77</v>
      </c>
      <c r="V213" s="645">
        <v>9.8776636603415024</v>
      </c>
      <c r="W213" s="645">
        <v>373.16166082844296</v>
      </c>
      <c r="X213" s="645">
        <v>-342.51194888815934</v>
      </c>
      <c r="Y213" s="645">
        <v>62.170015524383871</v>
      </c>
      <c r="Z213" s="645">
        <v>1024.3939393939395</v>
      </c>
      <c r="AA213" s="645">
        <v>228.1236913242202</v>
      </c>
      <c r="AB213" s="645">
        <v>92.01283517498922</v>
      </c>
      <c r="AC213" s="645">
        <v>31.725901877387908</v>
      </c>
      <c r="AD213" s="645">
        <v>-74.534973710274585</v>
      </c>
      <c r="AE213" s="645">
        <v>-25.439781275247555</v>
      </c>
      <c r="AF213" s="645">
        <v>0</v>
      </c>
      <c r="AG213" s="645">
        <v>10.264799662154665</v>
      </c>
      <c r="AH213" s="645">
        <v>-515.81290419756954</v>
      </c>
      <c r="AI213" s="645">
        <v>-65.204498303456887</v>
      </c>
      <c r="AJ213" s="645">
        <v>-12.150152156541072</v>
      </c>
      <c r="AK213" s="645">
        <v>796.07624891461057</v>
      </c>
    </row>
    <row r="214" spans="3:37" x14ac:dyDescent="0.2">
      <c r="C214" s="634"/>
      <c r="D214" s="634">
        <v>0</v>
      </c>
      <c r="E214" s="634">
        <v>0</v>
      </c>
      <c r="F214" s="634">
        <v>0</v>
      </c>
      <c r="G214" s="634">
        <v>0</v>
      </c>
      <c r="H214" s="634">
        <v>0</v>
      </c>
      <c r="I214" s="634">
        <v>0</v>
      </c>
      <c r="J214" s="634">
        <v>0</v>
      </c>
      <c r="K214" s="634">
        <v>0</v>
      </c>
      <c r="L214" s="634">
        <v>0</v>
      </c>
      <c r="M214" s="634">
        <v>0</v>
      </c>
      <c r="N214" s="634">
        <v>0</v>
      </c>
      <c r="O214" s="634">
        <v>0</v>
      </c>
      <c r="P214" s="634">
        <v>0</v>
      </c>
      <c r="Q214" s="634">
        <v>0</v>
      </c>
      <c r="R214" s="634">
        <v>0</v>
      </c>
      <c r="S214" s="634">
        <v>0</v>
      </c>
      <c r="U214" s="634"/>
      <c r="V214" s="634">
        <v>0</v>
      </c>
      <c r="W214" s="634">
        <v>0</v>
      </c>
      <c r="X214" s="634">
        <v>0</v>
      </c>
      <c r="Y214" s="634">
        <v>0</v>
      </c>
      <c r="Z214" s="634">
        <v>0</v>
      </c>
      <c r="AA214" s="634">
        <v>0</v>
      </c>
      <c r="AB214" s="634">
        <v>0</v>
      </c>
      <c r="AC214" s="634">
        <v>0</v>
      </c>
      <c r="AD214" s="634">
        <v>0</v>
      </c>
      <c r="AE214" s="634">
        <v>0</v>
      </c>
      <c r="AF214" s="634">
        <v>0</v>
      </c>
      <c r="AG214" s="634">
        <v>0</v>
      </c>
      <c r="AH214" s="634">
        <v>0</v>
      </c>
      <c r="AI214" s="634">
        <v>0</v>
      </c>
      <c r="AJ214" s="634">
        <v>0</v>
      </c>
      <c r="AK214" s="634">
        <v>0</v>
      </c>
    </row>
    <row r="215" spans="3:37" x14ac:dyDescent="0.2">
      <c r="C215" s="646" t="s">
        <v>78</v>
      </c>
      <c r="D215" s="640">
        <v>6.3476756101286895</v>
      </c>
      <c r="E215" s="640">
        <v>0</v>
      </c>
      <c r="F215" s="640">
        <v>23.963924152830415</v>
      </c>
      <c r="G215" s="640">
        <v>102.72602750235836</v>
      </c>
      <c r="H215" s="640">
        <v>0</v>
      </c>
      <c r="I215" s="640">
        <v>0</v>
      </c>
      <c r="J215" s="640">
        <v>19.164817057512749</v>
      </c>
      <c r="K215" s="640">
        <v>1.7769703360109936</v>
      </c>
      <c r="L215" s="640">
        <v>0.86552810351562492</v>
      </c>
      <c r="M215" s="640">
        <v>2.1151614516362294</v>
      </c>
      <c r="N215" s="640">
        <v>0</v>
      </c>
      <c r="O215" s="640">
        <v>3.8147295409713907E-4</v>
      </c>
      <c r="P215" s="640">
        <v>109.69856944385172</v>
      </c>
      <c r="Q215" s="640">
        <v>16.190109766233334</v>
      </c>
      <c r="R215" s="640">
        <v>0.34118215942382812</v>
      </c>
      <c r="S215" s="648">
        <v>283.19034705645606</v>
      </c>
      <c r="U215" s="646" t="s">
        <v>78</v>
      </c>
      <c r="V215" s="640">
        <v>0.96947057486293287</v>
      </c>
      <c r="W215" s="640">
        <v>0</v>
      </c>
      <c r="X215" s="640">
        <v>14.423852836289303</v>
      </c>
      <c r="Y215" s="640">
        <v>71.911931163769523</v>
      </c>
      <c r="Z215" s="640">
        <v>0</v>
      </c>
      <c r="AA215" s="640">
        <v>0</v>
      </c>
      <c r="AB215" s="640">
        <v>16.641526349557349</v>
      </c>
      <c r="AC215" s="640">
        <v>5.8374337597773929</v>
      </c>
      <c r="AD215" s="640">
        <v>1.8190377949218752</v>
      </c>
      <c r="AE215" s="640">
        <v>10.764172889266069</v>
      </c>
      <c r="AF215" s="640">
        <v>0</v>
      </c>
      <c r="AG215" s="640">
        <v>3.8147295409713907E-4</v>
      </c>
      <c r="AH215" s="640">
        <v>133.35975359263318</v>
      </c>
      <c r="AI215" s="640">
        <v>21.024156518221293</v>
      </c>
      <c r="AJ215" s="640">
        <v>5.3802006835937499</v>
      </c>
      <c r="AK215" s="648">
        <v>282.13191763584672</v>
      </c>
    </row>
    <row r="216" spans="3:37" x14ac:dyDescent="0.2">
      <c r="C216" s="646" t="s">
        <v>79</v>
      </c>
      <c r="D216" s="640">
        <v>0</v>
      </c>
      <c r="E216" s="640">
        <v>0</v>
      </c>
      <c r="F216" s="640">
        <v>312.50052508879821</v>
      </c>
      <c r="G216" s="640">
        <v>20.28727706696608</v>
      </c>
      <c r="H216" s="640">
        <v>0</v>
      </c>
      <c r="I216" s="640">
        <v>0</v>
      </c>
      <c r="J216" s="640">
        <v>0</v>
      </c>
      <c r="K216" s="640">
        <v>0</v>
      </c>
      <c r="L216" s="640">
        <v>30.35479180755361</v>
      </c>
      <c r="M216" s="640">
        <v>0.41402606259114449</v>
      </c>
      <c r="N216" s="640">
        <v>0</v>
      </c>
      <c r="O216" s="640">
        <v>0</v>
      </c>
      <c r="P216" s="640">
        <v>40.087101502259863</v>
      </c>
      <c r="Q216" s="640">
        <v>0</v>
      </c>
      <c r="R216" s="640">
        <v>0.80956479691939642</v>
      </c>
      <c r="S216" s="648">
        <v>404.45328632508824</v>
      </c>
      <c r="U216" s="646" t="s">
        <v>79</v>
      </c>
      <c r="V216" s="640">
        <v>0</v>
      </c>
      <c r="W216" s="640">
        <v>0</v>
      </c>
      <c r="X216" s="640">
        <v>200.27592241910855</v>
      </c>
      <c r="Y216" s="640">
        <v>16.649550205830046</v>
      </c>
      <c r="Z216" s="640">
        <v>0</v>
      </c>
      <c r="AA216" s="640">
        <v>0</v>
      </c>
      <c r="AB216" s="640">
        <v>0</v>
      </c>
      <c r="AC216" s="640">
        <v>0</v>
      </c>
      <c r="AD216" s="640">
        <v>44.40579181284334</v>
      </c>
      <c r="AE216" s="640">
        <v>2.5923432302996523</v>
      </c>
      <c r="AF216" s="640">
        <v>0</v>
      </c>
      <c r="AG216" s="640">
        <v>0</v>
      </c>
      <c r="AH216" s="640">
        <v>50.411052136241274</v>
      </c>
      <c r="AI216" s="640">
        <v>0</v>
      </c>
      <c r="AJ216" s="640">
        <v>1.5849058336758</v>
      </c>
      <c r="AK216" s="648">
        <v>315.91956563799869</v>
      </c>
    </row>
    <row r="217" spans="3:37" x14ac:dyDescent="0.2">
      <c r="C217" s="646" t="s">
        <v>80</v>
      </c>
      <c r="D217" s="640">
        <v>0</v>
      </c>
      <c r="E217" s="640">
        <v>0</v>
      </c>
      <c r="F217" s="640">
        <v>27.223306395871116</v>
      </c>
      <c r="G217" s="640">
        <v>94.787807272791255</v>
      </c>
      <c r="H217" s="640">
        <v>0</v>
      </c>
      <c r="I217" s="640">
        <v>0</v>
      </c>
      <c r="J217" s="640">
        <v>83.273177408961004</v>
      </c>
      <c r="K217" s="640">
        <v>0</v>
      </c>
      <c r="L217" s="640">
        <v>0</v>
      </c>
      <c r="M217" s="640">
        <v>1.9344450463834952</v>
      </c>
      <c r="N217" s="640">
        <v>46.067590504591024</v>
      </c>
      <c r="O217" s="640">
        <v>1.9582561857397398</v>
      </c>
      <c r="P217" s="640">
        <v>180.22551264292704</v>
      </c>
      <c r="Q217" s="640">
        <v>15.690776641240536</v>
      </c>
      <c r="R217" s="640">
        <v>0</v>
      </c>
      <c r="S217" s="648">
        <v>451.16087209850519</v>
      </c>
      <c r="U217" s="646" t="s">
        <v>80</v>
      </c>
      <c r="V217" s="640">
        <v>0</v>
      </c>
      <c r="W217" s="640">
        <v>0</v>
      </c>
      <c r="X217" s="640">
        <v>2.015713666762446</v>
      </c>
      <c r="Y217" s="640">
        <v>47.341776252628989</v>
      </c>
      <c r="Z217" s="640">
        <v>0</v>
      </c>
      <c r="AA217" s="640">
        <v>0</v>
      </c>
      <c r="AB217" s="640">
        <v>73.879452654225247</v>
      </c>
      <c r="AC217" s="640">
        <v>0</v>
      </c>
      <c r="AD217" s="640">
        <v>0</v>
      </c>
      <c r="AE217" s="640">
        <v>7.0740585205077799</v>
      </c>
      <c r="AF217" s="640">
        <v>56.247445771865117</v>
      </c>
      <c r="AG217" s="640">
        <v>2.3917818193760598</v>
      </c>
      <c r="AH217" s="640">
        <v>158.99417861004727</v>
      </c>
      <c r="AI217" s="640">
        <v>34.672503342788303</v>
      </c>
      <c r="AJ217" s="640">
        <v>0</v>
      </c>
      <c r="AK217" s="648">
        <v>382.61691063820126</v>
      </c>
    </row>
    <row r="218" spans="3:37" x14ac:dyDescent="0.2">
      <c r="C218" s="646" t="s">
        <v>81</v>
      </c>
      <c r="D218" s="640">
        <v>0</v>
      </c>
      <c r="E218" s="640">
        <v>0</v>
      </c>
      <c r="F218" s="640">
        <v>10.721858440723695</v>
      </c>
      <c r="G218" s="640">
        <v>62.595656083836779</v>
      </c>
      <c r="H218" s="640">
        <v>0</v>
      </c>
      <c r="I218" s="640">
        <v>0</v>
      </c>
      <c r="J218" s="640">
        <v>3.4596715414798309</v>
      </c>
      <c r="K218" s="640">
        <v>2.5030873755322387E-2</v>
      </c>
      <c r="L218" s="640">
        <v>0</v>
      </c>
      <c r="M218" s="640">
        <v>1.2774623690578935</v>
      </c>
      <c r="N218" s="640">
        <v>8.3421239681836319</v>
      </c>
      <c r="O218" s="640">
        <v>0.80110714509903691</v>
      </c>
      <c r="P218" s="640">
        <v>133.46461699259584</v>
      </c>
      <c r="Q218" s="640">
        <v>4.0584048663721433</v>
      </c>
      <c r="R218" s="640">
        <v>0</v>
      </c>
      <c r="S218" s="648">
        <v>224.74593228110413</v>
      </c>
      <c r="U218" s="646" t="s">
        <v>81</v>
      </c>
      <c r="V218" s="640">
        <v>0</v>
      </c>
      <c r="W218" s="640">
        <v>0</v>
      </c>
      <c r="X218" s="640">
        <v>3.1096233693990798</v>
      </c>
      <c r="Y218" s="640">
        <v>32.055438404613625</v>
      </c>
      <c r="Z218" s="640">
        <v>0</v>
      </c>
      <c r="AA218" s="640">
        <v>0</v>
      </c>
      <c r="AB218" s="640">
        <v>7.6606579921523004</v>
      </c>
      <c r="AC218" s="640">
        <v>2.5030873755322387E-2</v>
      </c>
      <c r="AD218" s="640">
        <v>0</v>
      </c>
      <c r="AE218" s="640">
        <v>4.7898930949422658</v>
      </c>
      <c r="AF218" s="640">
        <v>14.251121986476408</v>
      </c>
      <c r="AG218" s="640">
        <v>1.7168402703934114</v>
      </c>
      <c r="AH218" s="640">
        <v>121.34906004798763</v>
      </c>
      <c r="AI218" s="640">
        <v>9.5078384424472873</v>
      </c>
      <c r="AJ218" s="640">
        <v>0</v>
      </c>
      <c r="AK218" s="648">
        <v>194.46550448216732</v>
      </c>
    </row>
    <row r="219" spans="3:37" x14ac:dyDescent="0.2">
      <c r="C219" s="646" t="s">
        <v>82</v>
      </c>
      <c r="D219" s="640">
        <v>0</v>
      </c>
      <c r="E219" s="640">
        <v>0</v>
      </c>
      <c r="F219" s="640">
        <v>32.13207144146056</v>
      </c>
      <c r="G219" s="640">
        <v>1.9328709168763656</v>
      </c>
      <c r="H219" s="640">
        <v>0</v>
      </c>
      <c r="I219" s="640">
        <v>0</v>
      </c>
      <c r="J219" s="640">
        <v>2.05899706998358</v>
      </c>
      <c r="K219" s="640">
        <v>0</v>
      </c>
      <c r="L219" s="640">
        <v>2.6244824682898504</v>
      </c>
      <c r="M219" s="640">
        <v>3.9446345242374808E-2</v>
      </c>
      <c r="N219" s="640">
        <v>0</v>
      </c>
      <c r="O219" s="640">
        <v>8.070345812558942E-2</v>
      </c>
      <c r="P219" s="640">
        <v>7.3892266408052469</v>
      </c>
      <c r="Q219" s="640">
        <v>0</v>
      </c>
      <c r="R219" s="640">
        <v>0</v>
      </c>
      <c r="S219" s="648">
        <v>46.257798340783566</v>
      </c>
      <c r="U219" s="646" t="s">
        <v>82</v>
      </c>
      <c r="V219" s="640">
        <v>0</v>
      </c>
      <c r="W219" s="640">
        <v>0</v>
      </c>
      <c r="X219" s="640">
        <v>22.167558461996123</v>
      </c>
      <c r="Y219" s="640">
        <v>2.0916118720237509</v>
      </c>
      <c r="Z219" s="640">
        <v>0</v>
      </c>
      <c r="AA219" s="640">
        <v>0</v>
      </c>
      <c r="AB219" s="640">
        <v>2.05899706998358</v>
      </c>
      <c r="AC219" s="640">
        <v>0</v>
      </c>
      <c r="AD219" s="640">
        <v>14.821446231272425</v>
      </c>
      <c r="AE219" s="640">
        <v>0.31253970501504325</v>
      </c>
      <c r="AF219" s="640">
        <v>0</v>
      </c>
      <c r="AG219" s="640">
        <v>0.82781531321025892</v>
      </c>
      <c r="AH219" s="640">
        <v>7.4491158726448985</v>
      </c>
      <c r="AI219" s="640">
        <v>0</v>
      </c>
      <c r="AJ219" s="640">
        <v>0.21911019493558448</v>
      </c>
      <c r="AK219" s="648">
        <v>49.948194721081656</v>
      </c>
    </row>
    <row r="220" spans="3:37" x14ac:dyDescent="0.2">
      <c r="C220" s="646" t="s">
        <v>354</v>
      </c>
      <c r="D220" s="640">
        <v>0</v>
      </c>
      <c r="E220" s="640">
        <v>0</v>
      </c>
      <c r="F220" s="640">
        <v>0</v>
      </c>
      <c r="G220" s="640">
        <v>0</v>
      </c>
      <c r="H220" s="640">
        <v>0</v>
      </c>
      <c r="I220" s="640">
        <v>0</v>
      </c>
      <c r="J220" s="640">
        <v>0</v>
      </c>
      <c r="K220" s="640">
        <v>0</v>
      </c>
      <c r="L220" s="640">
        <v>0</v>
      </c>
      <c r="M220" s="640">
        <v>0</v>
      </c>
      <c r="N220" s="640">
        <v>0</v>
      </c>
      <c r="O220" s="640">
        <v>0</v>
      </c>
      <c r="P220" s="640">
        <v>0.13500000000000001</v>
      </c>
      <c r="Q220" s="640">
        <v>0</v>
      </c>
      <c r="R220" s="640">
        <v>0</v>
      </c>
      <c r="S220" s="648">
        <v>0.13500000000000001</v>
      </c>
      <c r="U220" s="646" t="s">
        <v>354</v>
      </c>
      <c r="V220" s="640">
        <v>0</v>
      </c>
      <c r="W220" s="640">
        <v>0</v>
      </c>
      <c r="X220" s="640">
        <v>0</v>
      </c>
      <c r="Y220" s="640">
        <v>0</v>
      </c>
      <c r="Z220" s="640">
        <v>0</v>
      </c>
      <c r="AA220" s="640">
        <v>0</v>
      </c>
      <c r="AB220" s="640">
        <v>0</v>
      </c>
      <c r="AC220" s="640">
        <v>0</v>
      </c>
      <c r="AD220" s="640">
        <v>0</v>
      </c>
      <c r="AE220" s="640">
        <v>0</v>
      </c>
      <c r="AF220" s="640">
        <v>0</v>
      </c>
      <c r="AG220" s="640">
        <v>0</v>
      </c>
      <c r="AH220" s="640">
        <v>0.96</v>
      </c>
      <c r="AI220" s="640">
        <v>0</v>
      </c>
      <c r="AJ220" s="640">
        <v>0</v>
      </c>
      <c r="AK220" s="648">
        <v>0.96</v>
      </c>
    </row>
    <row r="221" spans="3:37" x14ac:dyDescent="0.2">
      <c r="C221" s="644" t="s">
        <v>83</v>
      </c>
      <c r="D221" s="645">
        <v>6.3476756101286895</v>
      </c>
      <c r="E221" s="645">
        <v>0</v>
      </c>
      <c r="F221" s="645">
        <v>406.54168551968399</v>
      </c>
      <c r="G221" s="645">
        <v>282.32963884282884</v>
      </c>
      <c r="H221" s="645">
        <v>0</v>
      </c>
      <c r="I221" s="645">
        <v>0</v>
      </c>
      <c r="J221" s="645">
        <v>107.95666307793715</v>
      </c>
      <c r="K221" s="645">
        <v>1.8020012097663161</v>
      </c>
      <c r="L221" s="645">
        <v>33.844802379359088</v>
      </c>
      <c r="M221" s="645">
        <v>5.7805412749111369</v>
      </c>
      <c r="N221" s="645">
        <v>54.409714472774652</v>
      </c>
      <c r="O221" s="645">
        <v>2.8404482619184632</v>
      </c>
      <c r="P221" s="645">
        <v>471.00002722243971</v>
      </c>
      <c r="Q221" s="645">
        <v>35.93929127384601</v>
      </c>
      <c r="R221" s="645">
        <v>1.1507469563432244</v>
      </c>
      <c r="S221" s="645">
        <v>1409.9432361019371</v>
      </c>
      <c r="U221" s="644" t="s">
        <v>83</v>
      </c>
      <c r="V221" s="645">
        <v>0.96947057486293287</v>
      </c>
      <c r="W221" s="645">
        <v>0</v>
      </c>
      <c r="X221" s="645">
        <v>241.9926707535555</v>
      </c>
      <c r="Y221" s="645">
        <v>170.05030789886592</v>
      </c>
      <c r="Z221" s="645">
        <v>0</v>
      </c>
      <c r="AA221" s="645">
        <v>0</v>
      </c>
      <c r="AB221" s="645">
        <v>100.24063406591846</v>
      </c>
      <c r="AC221" s="645">
        <v>5.8624646335327153</v>
      </c>
      <c r="AD221" s="645">
        <v>61.046275839037641</v>
      </c>
      <c r="AE221" s="645">
        <v>25.533007440030815</v>
      </c>
      <c r="AF221" s="645">
        <v>70.498567758341522</v>
      </c>
      <c r="AG221" s="645">
        <v>4.9368188759338274</v>
      </c>
      <c r="AH221" s="645">
        <v>472.52316025955423</v>
      </c>
      <c r="AI221" s="645">
        <v>65.204498303456901</v>
      </c>
      <c r="AJ221" s="645">
        <v>7.184216712205135</v>
      </c>
      <c r="AK221" s="645">
        <v>1226.0420931152958</v>
      </c>
    </row>
    <row r="222" spans="3:37" x14ac:dyDescent="0.2">
      <c r="C222" s="639" t="s">
        <v>84</v>
      </c>
      <c r="D222" s="640">
        <v>0</v>
      </c>
      <c r="E222" s="640">
        <v>0</v>
      </c>
      <c r="F222" s="640">
        <v>117.0773058539918</v>
      </c>
      <c r="G222" s="640">
        <v>12.185345647681713</v>
      </c>
      <c r="H222" s="640">
        <v>0</v>
      </c>
      <c r="I222" s="640">
        <v>0</v>
      </c>
      <c r="J222" s="640">
        <v>0</v>
      </c>
      <c r="K222" s="640">
        <v>0</v>
      </c>
      <c r="L222" s="640">
        <v>0</v>
      </c>
      <c r="M222" s="640">
        <v>0</v>
      </c>
      <c r="N222" s="640">
        <v>0</v>
      </c>
      <c r="O222" s="640">
        <v>0</v>
      </c>
      <c r="P222" s="640">
        <v>0</v>
      </c>
      <c r="Q222" s="640">
        <v>0</v>
      </c>
      <c r="R222" s="640">
        <v>0.52065087875698901</v>
      </c>
      <c r="S222" s="648">
        <v>129.78330238043051</v>
      </c>
      <c r="U222" s="639" t="s">
        <v>84</v>
      </c>
      <c r="V222" s="640">
        <v>0</v>
      </c>
      <c r="W222" s="640">
        <v>0</v>
      </c>
      <c r="X222" s="640">
        <v>106.669872568297</v>
      </c>
      <c r="Y222" s="640">
        <v>1.6020598461664441</v>
      </c>
      <c r="Z222" s="640">
        <v>0</v>
      </c>
      <c r="AA222" s="640">
        <v>0</v>
      </c>
      <c r="AB222" s="640">
        <v>0</v>
      </c>
      <c r="AC222" s="640">
        <v>0</v>
      </c>
      <c r="AD222" s="640">
        <v>6.1061434912109362</v>
      </c>
      <c r="AE222" s="640">
        <v>0</v>
      </c>
      <c r="AF222" s="640">
        <v>0</v>
      </c>
      <c r="AG222" s="640">
        <v>0</v>
      </c>
      <c r="AH222" s="640">
        <v>0</v>
      </c>
      <c r="AI222" s="640">
        <v>0</v>
      </c>
      <c r="AJ222" s="640">
        <v>4.9659354443359369</v>
      </c>
      <c r="AK222" s="648">
        <v>119.34401135001032</v>
      </c>
    </row>
    <row r="223" spans="3:37" x14ac:dyDescent="0.2">
      <c r="C223" s="644" t="s">
        <v>85</v>
      </c>
      <c r="D223" s="645">
        <v>6.3476756101286895</v>
      </c>
      <c r="E223" s="645">
        <v>0</v>
      </c>
      <c r="F223" s="645">
        <v>523.61899137367573</v>
      </c>
      <c r="G223" s="645">
        <v>294.51498449051053</v>
      </c>
      <c r="H223" s="645">
        <v>0</v>
      </c>
      <c r="I223" s="645">
        <v>0</v>
      </c>
      <c r="J223" s="645">
        <v>107.95666307793715</v>
      </c>
      <c r="K223" s="645">
        <v>1.8020012097663161</v>
      </c>
      <c r="L223" s="645">
        <v>33.844802379359088</v>
      </c>
      <c r="M223" s="645">
        <v>5.7805412749111369</v>
      </c>
      <c r="N223" s="645">
        <v>54.409714472774652</v>
      </c>
      <c r="O223" s="645">
        <v>2.8404482619184632</v>
      </c>
      <c r="P223" s="645">
        <v>471.00002722243971</v>
      </c>
      <c r="Q223" s="645">
        <v>35.93929127384601</v>
      </c>
      <c r="R223" s="645">
        <v>1.6713978351002134</v>
      </c>
      <c r="S223" s="645">
        <v>1539.7265384823679</v>
      </c>
      <c r="U223" s="644" t="s">
        <v>85</v>
      </c>
      <c r="V223" s="645">
        <v>0.96947057486293287</v>
      </c>
      <c r="W223" s="645">
        <v>0</v>
      </c>
      <c r="X223" s="645">
        <v>348.66254332185252</v>
      </c>
      <c r="Y223" s="645">
        <v>171.65236774503236</v>
      </c>
      <c r="Z223" s="645">
        <v>0</v>
      </c>
      <c r="AA223" s="645">
        <v>0</v>
      </c>
      <c r="AB223" s="645">
        <v>100.24063406591846</v>
      </c>
      <c r="AC223" s="645">
        <v>5.8624646335327153</v>
      </c>
      <c r="AD223" s="645">
        <v>67.152419330248577</v>
      </c>
      <c r="AE223" s="645">
        <v>25.533007440030815</v>
      </c>
      <c r="AF223" s="645">
        <v>70.498567758341522</v>
      </c>
      <c r="AG223" s="645">
        <v>4.9368188759338274</v>
      </c>
      <c r="AH223" s="645">
        <v>472.52316025955423</v>
      </c>
      <c r="AI223" s="645">
        <v>65.204498303456901</v>
      </c>
      <c r="AJ223" s="645">
        <v>12.150152156541072</v>
      </c>
      <c r="AK223" s="645">
        <v>1345.3861044653063</v>
      </c>
    </row>
    <row r="224" spans="3:37" x14ac:dyDescent="0.2">
      <c r="C224" s="634"/>
      <c r="D224" s="634"/>
      <c r="E224" s="634"/>
      <c r="F224" s="634"/>
      <c r="G224" s="634"/>
      <c r="H224" s="634"/>
      <c r="I224" s="634"/>
      <c r="J224" s="634"/>
      <c r="K224" s="634"/>
      <c r="L224" s="634"/>
      <c r="M224" s="634"/>
      <c r="N224" s="634"/>
      <c r="O224" s="634"/>
      <c r="P224" s="634"/>
      <c r="Q224" s="634"/>
      <c r="R224" s="634"/>
      <c r="S224" s="634"/>
      <c r="U224" s="634"/>
      <c r="V224" s="634"/>
      <c r="W224" s="634"/>
      <c r="X224" s="634"/>
      <c r="Y224" s="634"/>
      <c r="Z224" s="634"/>
      <c r="AA224" s="634"/>
      <c r="AB224" s="634"/>
      <c r="AC224" s="634"/>
      <c r="AD224" s="634"/>
      <c r="AE224" s="634"/>
      <c r="AF224" s="634"/>
      <c r="AG224" s="634"/>
      <c r="AH224" s="634"/>
      <c r="AI224" s="634"/>
      <c r="AJ224" s="634"/>
      <c r="AK224" s="634"/>
    </row>
    <row r="225" spans="3:37" ht="22.5" x14ac:dyDescent="0.3">
      <c r="C225" s="759" t="s">
        <v>358</v>
      </c>
      <c r="D225" s="759"/>
      <c r="E225" s="759"/>
      <c r="F225" s="759"/>
      <c r="G225" s="759"/>
      <c r="H225" s="759"/>
      <c r="I225" s="759"/>
      <c r="J225" s="759"/>
      <c r="K225" s="759"/>
      <c r="L225" s="759"/>
      <c r="M225" s="759"/>
      <c r="N225" s="759"/>
      <c r="O225" s="759"/>
      <c r="P225" s="759"/>
      <c r="Q225" s="759"/>
      <c r="R225" s="759"/>
      <c r="S225" s="759"/>
      <c r="U225" s="759" t="s">
        <v>358</v>
      </c>
      <c r="V225" s="759"/>
      <c r="W225" s="759"/>
      <c r="X225" s="759"/>
      <c r="Y225" s="759"/>
      <c r="Z225" s="759"/>
      <c r="AA225" s="759"/>
      <c r="AB225" s="759"/>
      <c r="AC225" s="759"/>
      <c r="AD225" s="759"/>
      <c r="AE225" s="759"/>
      <c r="AF225" s="759"/>
      <c r="AG225" s="759"/>
      <c r="AH225" s="759"/>
      <c r="AI225" s="759"/>
      <c r="AJ225" s="759"/>
      <c r="AK225" s="759"/>
    </row>
    <row r="226" spans="3:37" x14ac:dyDescent="0.2">
      <c r="C226" s="634"/>
      <c r="D226" s="634"/>
      <c r="E226" s="634"/>
      <c r="F226" s="634"/>
      <c r="G226" s="634"/>
      <c r="H226" s="634"/>
      <c r="I226" s="634"/>
      <c r="J226" s="634"/>
      <c r="K226" s="634"/>
      <c r="L226" s="634"/>
      <c r="M226" s="634"/>
      <c r="N226" s="634"/>
      <c r="O226" s="634"/>
      <c r="P226" s="634"/>
      <c r="Q226" s="634"/>
      <c r="R226" s="634"/>
      <c r="S226" s="634"/>
      <c r="U226" s="634"/>
      <c r="V226" s="634"/>
      <c r="W226" s="634"/>
      <c r="X226" s="634"/>
      <c r="Y226" s="634"/>
      <c r="Z226" s="634"/>
      <c r="AA226" s="634"/>
      <c r="AB226" s="634"/>
      <c r="AC226" s="634"/>
      <c r="AD226" s="634"/>
      <c r="AE226" s="634"/>
      <c r="AF226" s="634"/>
      <c r="AG226" s="634"/>
      <c r="AH226" s="634"/>
      <c r="AI226" s="634"/>
      <c r="AJ226" s="634"/>
      <c r="AK226" s="634"/>
    </row>
    <row r="227" spans="3:37" ht="12.95" customHeight="1" x14ac:dyDescent="0.2">
      <c r="C227" s="758" t="s">
        <v>128</v>
      </c>
      <c r="D227" s="757" t="s">
        <v>42</v>
      </c>
      <c r="E227" s="757" t="s">
        <v>52</v>
      </c>
      <c r="F227" s="757" t="s">
        <v>53</v>
      </c>
      <c r="G227" s="757" t="s">
        <v>32</v>
      </c>
      <c r="H227" s="757" t="s">
        <v>20</v>
      </c>
      <c r="I227" s="757" t="s">
        <v>55</v>
      </c>
      <c r="J227" s="757" t="s">
        <v>56</v>
      </c>
      <c r="K227" s="757"/>
      <c r="L227" s="757"/>
      <c r="M227" s="757"/>
      <c r="N227" s="757"/>
      <c r="O227" s="757"/>
      <c r="P227" s="757" t="s">
        <v>57</v>
      </c>
      <c r="Q227" s="757" t="s">
        <v>58</v>
      </c>
      <c r="R227" s="757" t="s">
        <v>31</v>
      </c>
      <c r="S227" s="757" t="s">
        <v>10</v>
      </c>
      <c r="U227" s="758" t="s">
        <v>128</v>
      </c>
      <c r="V227" s="757" t="s">
        <v>42</v>
      </c>
      <c r="W227" s="757" t="s">
        <v>52</v>
      </c>
      <c r="X227" s="757" t="s">
        <v>53</v>
      </c>
      <c r="Y227" s="757" t="s">
        <v>32</v>
      </c>
      <c r="Z227" s="757" t="s">
        <v>20</v>
      </c>
      <c r="AA227" s="757" t="s">
        <v>55</v>
      </c>
      <c r="AB227" s="757" t="s">
        <v>56</v>
      </c>
      <c r="AC227" s="757"/>
      <c r="AD227" s="757"/>
      <c r="AE227" s="757"/>
      <c r="AF227" s="757"/>
      <c r="AG227" s="757"/>
      <c r="AH227" s="757" t="s">
        <v>57</v>
      </c>
      <c r="AI227" s="757" t="s">
        <v>58</v>
      </c>
      <c r="AJ227" s="757" t="s">
        <v>31</v>
      </c>
      <c r="AK227" s="757" t="s">
        <v>10</v>
      </c>
    </row>
    <row r="228" spans="3:37" ht="56.25" x14ac:dyDescent="0.2">
      <c r="C228" s="758"/>
      <c r="D228" s="757"/>
      <c r="E228" s="757"/>
      <c r="F228" s="757"/>
      <c r="G228" s="757"/>
      <c r="H228" s="757"/>
      <c r="I228" s="757"/>
      <c r="J228" s="638" t="s">
        <v>335</v>
      </c>
      <c r="K228" s="638" t="s">
        <v>40</v>
      </c>
      <c r="L228" s="638" t="s">
        <v>343</v>
      </c>
      <c r="M228" s="638" t="s">
        <v>344</v>
      </c>
      <c r="N228" s="638" t="s">
        <v>345</v>
      </c>
      <c r="O228" s="638" t="s">
        <v>346</v>
      </c>
      <c r="P228" s="757"/>
      <c r="Q228" s="757"/>
      <c r="R228" s="757"/>
      <c r="S228" s="757"/>
      <c r="U228" s="758"/>
      <c r="V228" s="757"/>
      <c r="W228" s="757"/>
      <c r="X228" s="757"/>
      <c r="Y228" s="757"/>
      <c r="Z228" s="757"/>
      <c r="AA228" s="757"/>
      <c r="AB228" s="638" t="s">
        <v>335</v>
      </c>
      <c r="AC228" s="638" t="s">
        <v>40</v>
      </c>
      <c r="AD228" s="638" t="s">
        <v>343</v>
      </c>
      <c r="AE228" s="638" t="s">
        <v>344</v>
      </c>
      <c r="AF228" s="638" t="s">
        <v>345</v>
      </c>
      <c r="AG228" s="638" t="s">
        <v>346</v>
      </c>
      <c r="AH228" s="757"/>
      <c r="AI228" s="757"/>
      <c r="AJ228" s="757"/>
      <c r="AK228" s="757"/>
    </row>
    <row r="229" spans="3:37" x14ac:dyDescent="0.2">
      <c r="C229" s="639" t="s">
        <v>59</v>
      </c>
      <c r="D229" s="640">
        <v>0</v>
      </c>
      <c r="E229" s="641">
        <v>5.8150000000000004</v>
      </c>
      <c r="F229" s="641">
        <v>0</v>
      </c>
      <c r="G229" s="640">
        <v>9.3040000000000012E-2</v>
      </c>
      <c r="H229" s="641">
        <v>1075.0000000000002</v>
      </c>
      <c r="I229" s="641">
        <v>224.13674723416887</v>
      </c>
      <c r="J229" s="641">
        <v>191.59942379122555</v>
      </c>
      <c r="K229" s="641">
        <v>21.432553878964274</v>
      </c>
      <c r="L229" s="641">
        <v>0.38158375751522683</v>
      </c>
      <c r="M229" s="641">
        <v>0.1566638564915529</v>
      </c>
      <c r="N229" s="641">
        <v>57.826394702164251</v>
      </c>
      <c r="O229" s="641">
        <v>8.0717549324466145</v>
      </c>
      <c r="P229" s="642">
        <v>0</v>
      </c>
      <c r="Q229" s="641">
        <v>0</v>
      </c>
      <c r="R229" s="641">
        <v>0</v>
      </c>
      <c r="S229" s="643">
        <v>1584.5131621529763</v>
      </c>
      <c r="U229" s="639" t="s">
        <v>59</v>
      </c>
      <c r="V229" s="640">
        <v>0</v>
      </c>
      <c r="W229" s="641">
        <v>5.8150000000000004</v>
      </c>
      <c r="X229" s="641">
        <v>0</v>
      </c>
      <c r="Y229" s="640">
        <v>9.3040000000000012E-2</v>
      </c>
      <c r="Z229" s="641">
        <v>994.39393939393949</v>
      </c>
      <c r="AA229" s="641">
        <v>248.70674723416883</v>
      </c>
      <c r="AB229" s="641">
        <v>191.76566332259941</v>
      </c>
      <c r="AC229" s="641">
        <v>38.031253697312572</v>
      </c>
      <c r="AD229" s="641">
        <v>0.38158375751522683</v>
      </c>
      <c r="AE229" s="641">
        <v>0.1566638564915529</v>
      </c>
      <c r="AF229" s="641">
        <v>76.992812580470769</v>
      </c>
      <c r="AG229" s="641">
        <v>16.738826185514363</v>
      </c>
      <c r="AH229" s="642">
        <v>0</v>
      </c>
      <c r="AI229" s="641">
        <v>0</v>
      </c>
      <c r="AJ229" s="641">
        <v>0</v>
      </c>
      <c r="AK229" s="643">
        <v>1573.0755300280123</v>
      </c>
    </row>
    <row r="230" spans="3:37" x14ac:dyDescent="0.2">
      <c r="C230" s="639" t="s">
        <v>60</v>
      </c>
      <c r="D230" s="640">
        <v>48.827265231041785</v>
      </c>
      <c r="E230" s="641">
        <v>518.07410535010388</v>
      </c>
      <c r="F230" s="641">
        <v>107.87457071926454</v>
      </c>
      <c r="G230" s="640">
        <v>335.04873882059013</v>
      </c>
      <c r="H230" s="641">
        <v>0</v>
      </c>
      <c r="I230" s="641">
        <v>0</v>
      </c>
      <c r="J230" s="641">
        <v>3.6983557386050134</v>
      </c>
      <c r="K230" s="641">
        <v>0</v>
      </c>
      <c r="L230" s="641">
        <v>2.0715216469959126</v>
      </c>
      <c r="M230" s="641">
        <v>0</v>
      </c>
      <c r="N230" s="641">
        <v>0</v>
      </c>
      <c r="O230" s="641">
        <v>0</v>
      </c>
      <c r="P230" s="642">
        <v>0</v>
      </c>
      <c r="Q230" s="641">
        <v>0</v>
      </c>
      <c r="R230" s="641">
        <v>0</v>
      </c>
      <c r="S230" s="643">
        <v>1015.5945575066012</v>
      </c>
      <c r="U230" s="639" t="s">
        <v>60</v>
      </c>
      <c r="V230" s="640">
        <v>9.7783497021920969</v>
      </c>
      <c r="W230" s="641">
        <v>336.80990869295175</v>
      </c>
      <c r="X230" s="641">
        <v>55.498271181254346</v>
      </c>
      <c r="Y230" s="640">
        <v>207.3573846689826</v>
      </c>
      <c r="Z230" s="641">
        <v>0</v>
      </c>
      <c r="AA230" s="641">
        <v>0</v>
      </c>
      <c r="AB230" s="641">
        <v>3.6983557386050134</v>
      </c>
      <c r="AC230" s="641">
        <v>0</v>
      </c>
      <c r="AD230" s="641">
        <v>2.0715216469959126</v>
      </c>
      <c r="AE230" s="641">
        <v>0</v>
      </c>
      <c r="AF230" s="641">
        <v>0</v>
      </c>
      <c r="AG230" s="641">
        <v>0</v>
      </c>
      <c r="AH230" s="642">
        <v>0</v>
      </c>
      <c r="AI230" s="641">
        <v>0</v>
      </c>
      <c r="AJ230" s="641">
        <v>0</v>
      </c>
      <c r="AK230" s="643">
        <v>615.21379163098163</v>
      </c>
    </row>
    <row r="231" spans="3:37" x14ac:dyDescent="0.2">
      <c r="C231" s="639" t="s">
        <v>61</v>
      </c>
      <c r="D231" s="640">
        <v>0</v>
      </c>
      <c r="E231" s="641">
        <v>0</v>
      </c>
      <c r="F231" s="641">
        <v>0</v>
      </c>
      <c r="G231" s="640">
        <v>0</v>
      </c>
      <c r="H231" s="641">
        <v>0</v>
      </c>
      <c r="I231" s="641">
        <v>0</v>
      </c>
      <c r="J231" s="641">
        <v>0</v>
      </c>
      <c r="K231" s="641">
        <v>0</v>
      </c>
      <c r="L231" s="641">
        <v>0</v>
      </c>
      <c r="M231" s="641">
        <v>0</v>
      </c>
      <c r="N231" s="641">
        <v>0</v>
      </c>
      <c r="O231" s="641">
        <v>0</v>
      </c>
      <c r="P231" s="642">
        <v>-50.941346245748719</v>
      </c>
      <c r="Q231" s="641">
        <v>0</v>
      </c>
      <c r="R231" s="641">
        <v>0</v>
      </c>
      <c r="S231" s="643">
        <v>-50.941346245748719</v>
      </c>
      <c r="U231" s="639" t="s">
        <v>61</v>
      </c>
      <c r="V231" s="640">
        <v>0</v>
      </c>
      <c r="W231" s="641">
        <v>0</v>
      </c>
      <c r="X231" s="641">
        <v>0</v>
      </c>
      <c r="Y231" s="640">
        <v>0</v>
      </c>
      <c r="Z231" s="641">
        <v>0</v>
      </c>
      <c r="AA231" s="641">
        <v>0</v>
      </c>
      <c r="AB231" s="641">
        <v>0</v>
      </c>
      <c r="AC231" s="641">
        <v>0</v>
      </c>
      <c r="AD231" s="641">
        <v>0</v>
      </c>
      <c r="AE231" s="641">
        <v>0</v>
      </c>
      <c r="AF231" s="641">
        <v>0</v>
      </c>
      <c r="AG231" s="641">
        <v>0</v>
      </c>
      <c r="AH231" s="642">
        <v>-32.476172245636349</v>
      </c>
      <c r="AI231" s="641">
        <v>0</v>
      </c>
      <c r="AJ231" s="641">
        <v>0</v>
      </c>
      <c r="AK231" s="643">
        <v>-32.476172245636349</v>
      </c>
    </row>
    <row r="232" spans="3:37" x14ac:dyDescent="0.2">
      <c r="C232" s="639" t="s">
        <v>62</v>
      </c>
      <c r="D232" s="640">
        <v>0</v>
      </c>
      <c r="E232" s="641">
        <v>0</v>
      </c>
      <c r="F232" s="641">
        <v>-16.25862008896565</v>
      </c>
      <c r="G232" s="640">
        <v>0</v>
      </c>
      <c r="H232" s="641">
        <v>0</v>
      </c>
      <c r="I232" s="641">
        <v>0</v>
      </c>
      <c r="J232" s="641">
        <v>0</v>
      </c>
      <c r="K232" s="641">
        <v>0</v>
      </c>
      <c r="L232" s="641">
        <v>0</v>
      </c>
      <c r="M232" s="641">
        <v>0</v>
      </c>
      <c r="N232" s="641">
        <v>0</v>
      </c>
      <c r="O232" s="641">
        <v>0</v>
      </c>
      <c r="P232" s="642">
        <v>0</v>
      </c>
      <c r="Q232" s="641">
        <v>0</v>
      </c>
      <c r="R232" s="641">
        <v>0</v>
      </c>
      <c r="S232" s="643">
        <v>-16.25862008896565</v>
      </c>
      <c r="U232" s="639" t="s">
        <v>62</v>
      </c>
      <c r="V232" s="640">
        <v>0</v>
      </c>
      <c r="W232" s="641">
        <v>0</v>
      </c>
      <c r="X232" s="641">
        <v>-12.937868047131742</v>
      </c>
      <c r="Y232" s="640">
        <v>-1.5571295869756494</v>
      </c>
      <c r="Z232" s="641">
        <v>0</v>
      </c>
      <c r="AA232" s="641">
        <v>0</v>
      </c>
      <c r="AB232" s="641">
        <v>0</v>
      </c>
      <c r="AC232" s="641">
        <v>0</v>
      </c>
      <c r="AD232" s="641">
        <v>0</v>
      </c>
      <c r="AE232" s="641">
        <v>-0.27478757417217342</v>
      </c>
      <c r="AF232" s="641">
        <v>0</v>
      </c>
      <c r="AG232" s="641">
        <v>0</v>
      </c>
      <c r="AH232" s="642">
        <v>0</v>
      </c>
      <c r="AI232" s="641">
        <v>0</v>
      </c>
      <c r="AJ232" s="641">
        <v>0</v>
      </c>
      <c r="AK232" s="643">
        <v>-14.769785208279565</v>
      </c>
    </row>
    <row r="233" spans="3:37" x14ac:dyDescent="0.2">
      <c r="C233" s="639" t="s">
        <v>63</v>
      </c>
      <c r="D233" s="640">
        <v>0</v>
      </c>
      <c r="E233" s="641">
        <v>0</v>
      </c>
      <c r="F233" s="641">
        <v>-83.551471621484865</v>
      </c>
      <c r="G233" s="640">
        <v>0</v>
      </c>
      <c r="H233" s="641">
        <v>0</v>
      </c>
      <c r="I233" s="641">
        <v>0</v>
      </c>
      <c r="J233" s="641">
        <v>0</v>
      </c>
      <c r="K233" s="641">
        <v>0</v>
      </c>
      <c r="L233" s="641">
        <v>-0.85914301655193537</v>
      </c>
      <c r="M233" s="641">
        <v>0</v>
      </c>
      <c r="N233" s="641">
        <v>0</v>
      </c>
      <c r="O233" s="641">
        <v>0</v>
      </c>
      <c r="P233" s="642">
        <v>0</v>
      </c>
      <c r="Q233" s="641">
        <v>0</v>
      </c>
      <c r="R233" s="641">
        <v>0</v>
      </c>
      <c r="S233" s="643">
        <v>-84.410614638036805</v>
      </c>
      <c r="U233" s="639" t="s">
        <v>63</v>
      </c>
      <c r="V233" s="640">
        <v>0</v>
      </c>
      <c r="W233" s="641">
        <v>0</v>
      </c>
      <c r="X233" s="641">
        <v>-67.135202148658564</v>
      </c>
      <c r="Y233" s="640">
        <v>0</v>
      </c>
      <c r="Z233" s="641">
        <v>0</v>
      </c>
      <c r="AA233" s="641">
        <v>0</v>
      </c>
      <c r="AB233" s="641">
        <v>0</v>
      </c>
      <c r="AC233" s="641">
        <v>0</v>
      </c>
      <c r="AD233" s="641">
        <v>-15.117527463171397</v>
      </c>
      <c r="AE233" s="641">
        <v>0</v>
      </c>
      <c r="AF233" s="641">
        <v>0</v>
      </c>
      <c r="AG233" s="641">
        <v>0</v>
      </c>
      <c r="AH233" s="642">
        <v>0</v>
      </c>
      <c r="AI233" s="641">
        <v>0</v>
      </c>
      <c r="AJ233" s="641">
        <v>0</v>
      </c>
      <c r="AK233" s="643">
        <v>-82.252729611829963</v>
      </c>
    </row>
    <row r="234" spans="3:37" x14ac:dyDescent="0.2">
      <c r="C234" s="639" t="s">
        <v>64</v>
      </c>
      <c r="D234" s="640">
        <v>0</v>
      </c>
      <c r="E234" s="641">
        <v>0</v>
      </c>
      <c r="F234" s="641">
        <v>0</v>
      </c>
      <c r="G234" s="640">
        <v>0</v>
      </c>
      <c r="H234" s="641">
        <v>0</v>
      </c>
      <c r="I234" s="641">
        <v>0</v>
      </c>
      <c r="J234" s="641">
        <v>0</v>
      </c>
      <c r="K234" s="641">
        <v>0</v>
      </c>
      <c r="L234" s="641">
        <v>0</v>
      </c>
      <c r="M234" s="641">
        <v>0</v>
      </c>
      <c r="N234" s="641">
        <v>0</v>
      </c>
      <c r="O234" s="641">
        <v>0</v>
      </c>
      <c r="P234" s="642">
        <v>0</v>
      </c>
      <c r="Q234" s="641">
        <v>0</v>
      </c>
      <c r="R234" s="641">
        <v>0</v>
      </c>
      <c r="S234" s="643">
        <v>0</v>
      </c>
      <c r="U234" s="639" t="s">
        <v>64</v>
      </c>
      <c r="V234" s="640">
        <v>0</v>
      </c>
      <c r="W234" s="641">
        <v>0</v>
      </c>
      <c r="X234" s="641">
        <v>0</v>
      </c>
      <c r="Y234" s="640">
        <v>0</v>
      </c>
      <c r="Z234" s="641">
        <v>0</v>
      </c>
      <c r="AA234" s="641">
        <v>0</v>
      </c>
      <c r="AB234" s="641">
        <v>0</v>
      </c>
      <c r="AC234" s="641">
        <v>0</v>
      </c>
      <c r="AD234" s="641">
        <v>0</v>
      </c>
      <c r="AE234" s="641">
        <v>0</v>
      </c>
      <c r="AF234" s="641">
        <v>0</v>
      </c>
      <c r="AG234" s="641">
        <v>0</v>
      </c>
      <c r="AH234" s="642">
        <v>0</v>
      </c>
      <c r="AI234" s="641">
        <v>0</v>
      </c>
      <c r="AJ234" s="641">
        <v>0</v>
      </c>
      <c r="AK234" s="643">
        <v>0</v>
      </c>
    </row>
    <row r="235" spans="3:37" x14ac:dyDescent="0.2">
      <c r="C235" s="644" t="s">
        <v>65</v>
      </c>
      <c r="D235" s="645">
        <v>48.827265231041785</v>
      </c>
      <c r="E235" s="645">
        <v>523.88910535010393</v>
      </c>
      <c r="F235" s="645">
        <v>8.0644790088140255</v>
      </c>
      <c r="G235" s="645">
        <v>335.1417788205901</v>
      </c>
      <c r="H235" s="645">
        <v>1075.0000000000002</v>
      </c>
      <c r="I235" s="645">
        <v>224.13674723416887</v>
      </c>
      <c r="J235" s="645">
        <v>195.29777952983056</v>
      </c>
      <c r="K235" s="645">
        <v>21.432553878964274</v>
      </c>
      <c r="L235" s="645">
        <v>1.5939623879592042</v>
      </c>
      <c r="M235" s="645">
        <v>0.1566638564915529</v>
      </c>
      <c r="N235" s="645">
        <v>57.826394702164251</v>
      </c>
      <c r="O235" s="645">
        <v>8.0717549324466145</v>
      </c>
      <c r="P235" s="645">
        <v>-50.941346245748719</v>
      </c>
      <c r="Q235" s="645">
        <v>0</v>
      </c>
      <c r="R235" s="645">
        <v>0</v>
      </c>
      <c r="S235" s="645">
        <v>2448.4971386868265</v>
      </c>
      <c r="U235" s="644" t="s">
        <v>65</v>
      </c>
      <c r="V235" s="645">
        <v>9.7783497021920969</v>
      </c>
      <c r="W235" s="645">
        <v>342.62490869295175</v>
      </c>
      <c r="X235" s="645">
        <v>-24.574799014535962</v>
      </c>
      <c r="Y235" s="645">
        <v>205.89329508200694</v>
      </c>
      <c r="Z235" s="645">
        <v>994.39393939393949</v>
      </c>
      <c r="AA235" s="645">
        <v>248.70674723416883</v>
      </c>
      <c r="AB235" s="645">
        <v>195.46401906120443</v>
      </c>
      <c r="AC235" s="645">
        <v>38.031253697312572</v>
      </c>
      <c r="AD235" s="645">
        <v>-12.664422058660257</v>
      </c>
      <c r="AE235" s="645">
        <v>-0.11812371768062052</v>
      </c>
      <c r="AF235" s="645">
        <v>76.992812580470769</v>
      </c>
      <c r="AG235" s="645">
        <v>16.738826185514363</v>
      </c>
      <c r="AH235" s="645">
        <v>-32.476172245636349</v>
      </c>
      <c r="AI235" s="645">
        <v>0</v>
      </c>
      <c r="AJ235" s="645">
        <v>0</v>
      </c>
      <c r="AK235" s="645">
        <v>2058.7906345932479</v>
      </c>
    </row>
    <row r="236" spans="3:37" x14ac:dyDescent="0.2">
      <c r="C236" s="634"/>
      <c r="D236" s="634">
        <v>0</v>
      </c>
      <c r="E236" s="634">
        <v>0</v>
      </c>
      <c r="F236" s="634">
        <v>0</v>
      </c>
      <c r="G236" s="634">
        <v>0</v>
      </c>
      <c r="H236" s="634">
        <v>0</v>
      </c>
      <c r="I236" s="634">
        <v>0</v>
      </c>
      <c r="J236" s="634">
        <v>0</v>
      </c>
      <c r="K236" s="634">
        <v>0</v>
      </c>
      <c r="L236" s="634">
        <v>0</v>
      </c>
      <c r="M236" s="634">
        <v>0</v>
      </c>
      <c r="N236" s="634">
        <v>0</v>
      </c>
      <c r="O236" s="634">
        <v>0</v>
      </c>
      <c r="P236" s="634">
        <v>0</v>
      </c>
      <c r="Q236" s="634">
        <v>0</v>
      </c>
      <c r="R236" s="634">
        <v>0</v>
      </c>
      <c r="S236" s="634">
        <v>0</v>
      </c>
      <c r="U236" s="634"/>
      <c r="V236" s="634">
        <v>0</v>
      </c>
      <c r="W236" s="634">
        <v>0</v>
      </c>
      <c r="X236" s="634">
        <v>0</v>
      </c>
      <c r="Y236" s="634">
        <v>0</v>
      </c>
      <c r="Z236" s="634">
        <v>0</v>
      </c>
      <c r="AA236" s="634">
        <v>0</v>
      </c>
      <c r="AB236" s="634">
        <v>0</v>
      </c>
      <c r="AC236" s="634">
        <v>0</v>
      </c>
      <c r="AD236" s="634">
        <v>0</v>
      </c>
      <c r="AE236" s="634">
        <v>0</v>
      </c>
      <c r="AF236" s="634">
        <v>0</v>
      </c>
      <c r="AG236" s="634">
        <v>0</v>
      </c>
      <c r="AH236" s="634">
        <v>0</v>
      </c>
      <c r="AI236" s="634">
        <v>0</v>
      </c>
      <c r="AJ236" s="634">
        <v>0</v>
      </c>
      <c r="AK236" s="634">
        <v>0</v>
      </c>
    </row>
    <row r="237" spans="3:37" x14ac:dyDescent="0.2">
      <c r="C237" s="646" t="s">
        <v>67</v>
      </c>
      <c r="D237" s="640">
        <v>0</v>
      </c>
      <c r="E237" s="647">
        <v>0</v>
      </c>
      <c r="F237" s="647">
        <v>0</v>
      </c>
      <c r="G237" s="640">
        <v>0</v>
      </c>
      <c r="H237" s="640">
        <v>0</v>
      </c>
      <c r="I237" s="640">
        <v>0</v>
      </c>
      <c r="J237" s="640">
        <v>0</v>
      </c>
      <c r="K237" s="640">
        <v>0</v>
      </c>
      <c r="L237" s="640">
        <v>0</v>
      </c>
      <c r="M237" s="640">
        <v>0</v>
      </c>
      <c r="N237" s="640">
        <v>0</v>
      </c>
      <c r="O237" s="640">
        <v>0</v>
      </c>
      <c r="P237" s="640">
        <v>0</v>
      </c>
      <c r="Q237" s="640">
        <v>0</v>
      </c>
      <c r="R237" s="640">
        <v>0</v>
      </c>
      <c r="S237" s="648">
        <v>0</v>
      </c>
      <c r="U237" s="646" t="s">
        <v>67</v>
      </c>
      <c r="V237" s="640">
        <v>0</v>
      </c>
      <c r="W237" s="647">
        <v>0</v>
      </c>
      <c r="X237" s="647">
        <v>0</v>
      </c>
      <c r="Y237" s="640">
        <v>0</v>
      </c>
      <c r="Z237" s="640">
        <v>0</v>
      </c>
      <c r="AA237" s="640">
        <v>0</v>
      </c>
      <c r="AB237" s="640">
        <v>0</v>
      </c>
      <c r="AC237" s="640">
        <v>0</v>
      </c>
      <c r="AD237" s="640">
        <v>0</v>
      </c>
      <c r="AE237" s="640">
        <v>0</v>
      </c>
      <c r="AF237" s="640">
        <v>0</v>
      </c>
      <c r="AG237" s="640">
        <v>0</v>
      </c>
      <c r="AH237" s="640">
        <v>0</v>
      </c>
      <c r="AI237" s="640">
        <v>0</v>
      </c>
      <c r="AJ237" s="640">
        <v>0</v>
      </c>
      <c r="AK237" s="648">
        <v>0</v>
      </c>
    </row>
    <row r="238" spans="3:37" x14ac:dyDescent="0.2">
      <c r="C238" s="646" t="s">
        <v>347</v>
      </c>
      <c r="D238" s="640">
        <v>2.8267856410252494</v>
      </c>
      <c r="E238" s="640">
        <v>0</v>
      </c>
      <c r="F238" s="640">
        <v>7.9696731063521415</v>
      </c>
      <c r="G238" s="640">
        <v>17.422222222222224</v>
      </c>
      <c r="H238" s="640">
        <v>1075.0000000000002</v>
      </c>
      <c r="I238" s="640">
        <v>224.13674723416887</v>
      </c>
      <c r="J238" s="649">
        <v>30.45355250478201</v>
      </c>
      <c r="K238" s="649">
        <v>7.4482212846984126</v>
      </c>
      <c r="L238" s="649">
        <v>2.4531054045111396</v>
      </c>
      <c r="M238" s="649">
        <v>0.47972213502804317</v>
      </c>
      <c r="N238" s="649">
        <v>0</v>
      </c>
      <c r="O238" s="649">
        <v>3.0833964576427819</v>
      </c>
      <c r="P238" s="640">
        <v>-609.30151807373261</v>
      </c>
      <c r="Q238" s="640">
        <v>0</v>
      </c>
      <c r="R238" s="640">
        <v>0</v>
      </c>
      <c r="S238" s="648">
        <v>761.97190791669834</v>
      </c>
      <c r="U238" s="646" t="s">
        <v>347</v>
      </c>
      <c r="V238" s="640">
        <v>0.62631490545869017</v>
      </c>
      <c r="W238" s="640">
        <v>0</v>
      </c>
      <c r="X238" s="640">
        <v>4.1060367427157782</v>
      </c>
      <c r="Y238" s="640">
        <v>24.857777777777773</v>
      </c>
      <c r="Z238" s="640">
        <v>994.39393939393949</v>
      </c>
      <c r="AA238" s="640">
        <v>248.70674723416883</v>
      </c>
      <c r="AB238" s="649">
        <v>24.641197042508384</v>
      </c>
      <c r="AC238" s="649">
        <v>6.6719525843779666</v>
      </c>
      <c r="AD238" s="649">
        <v>2.4531054045111396</v>
      </c>
      <c r="AE238" s="649">
        <v>4.5108332461391543</v>
      </c>
      <c r="AF238" s="649">
        <v>0</v>
      </c>
      <c r="AG238" s="649">
        <v>3.0833964576427819</v>
      </c>
      <c r="AH238" s="640">
        <v>-611.77151807373264</v>
      </c>
      <c r="AI238" s="640">
        <v>0</v>
      </c>
      <c r="AJ238" s="640">
        <v>2.3749999999999996</v>
      </c>
      <c r="AK238" s="648">
        <v>704.65478271550762</v>
      </c>
    </row>
    <row r="239" spans="3:37" x14ac:dyDescent="0.2">
      <c r="C239" s="646" t="s">
        <v>348</v>
      </c>
      <c r="D239" s="640">
        <v>0</v>
      </c>
      <c r="E239" s="640">
        <v>0</v>
      </c>
      <c r="F239" s="640">
        <v>0</v>
      </c>
      <c r="G239" s="640">
        <v>15.160725636684646</v>
      </c>
      <c r="H239" s="640">
        <v>0</v>
      </c>
      <c r="I239" s="640">
        <v>0</v>
      </c>
      <c r="J239" s="649">
        <v>12.939045348987106</v>
      </c>
      <c r="K239" s="649">
        <v>12.151724678588742</v>
      </c>
      <c r="L239" s="649">
        <v>0</v>
      </c>
      <c r="M239" s="649">
        <v>0.32322722394029924</v>
      </c>
      <c r="N239" s="649">
        <v>0</v>
      </c>
      <c r="O239" s="649">
        <v>2.1538235080806043</v>
      </c>
      <c r="P239" s="640">
        <v>0</v>
      </c>
      <c r="Q239" s="640">
        <v>-38.589386176372813</v>
      </c>
      <c r="R239" s="640">
        <v>0</v>
      </c>
      <c r="S239" s="648">
        <v>4.1391602199085806</v>
      </c>
      <c r="U239" s="646" t="s">
        <v>348</v>
      </c>
      <c r="V239" s="640">
        <v>0</v>
      </c>
      <c r="W239" s="640">
        <v>0</v>
      </c>
      <c r="X239" s="640">
        <v>0</v>
      </c>
      <c r="Y239" s="640">
        <v>15.290780965453443</v>
      </c>
      <c r="Z239" s="640">
        <v>0</v>
      </c>
      <c r="AA239" s="640">
        <v>0</v>
      </c>
      <c r="AB239" s="649">
        <v>28.500378674784677</v>
      </c>
      <c r="AC239" s="649">
        <v>25.381229817913329</v>
      </c>
      <c r="AD239" s="649">
        <v>0</v>
      </c>
      <c r="AE239" s="649">
        <v>2.712197771476935</v>
      </c>
      <c r="AF239" s="649">
        <v>0</v>
      </c>
      <c r="AG239" s="649">
        <v>8.3103526067541207</v>
      </c>
      <c r="AH239" s="640">
        <v>0</v>
      </c>
      <c r="AI239" s="640">
        <v>-73.223954421682024</v>
      </c>
      <c r="AJ239" s="640">
        <v>0</v>
      </c>
      <c r="AK239" s="648">
        <v>6.9709854147004844</v>
      </c>
    </row>
    <row r="240" spans="3:37" x14ac:dyDescent="0.2">
      <c r="C240" s="646" t="s">
        <v>349</v>
      </c>
      <c r="D240" s="640">
        <v>0</v>
      </c>
      <c r="E240" s="640">
        <v>0</v>
      </c>
      <c r="F240" s="640">
        <v>0</v>
      </c>
      <c r="G240" s="640">
        <v>0</v>
      </c>
      <c r="H240" s="640">
        <v>0</v>
      </c>
      <c r="I240" s="640">
        <v>0</v>
      </c>
      <c r="J240" s="650">
        <v>7.3987592400222235</v>
      </c>
      <c r="K240" s="650">
        <v>0</v>
      </c>
      <c r="L240" s="650">
        <v>0</v>
      </c>
      <c r="M240" s="650">
        <v>-6.5941441726698065</v>
      </c>
      <c r="N240" s="650">
        <v>0</v>
      </c>
      <c r="O240" s="650">
        <v>0</v>
      </c>
      <c r="P240" s="640">
        <v>0</v>
      </c>
      <c r="Q240" s="640">
        <v>0</v>
      </c>
      <c r="R240" s="640">
        <v>0</v>
      </c>
      <c r="S240" s="648">
        <v>0.80461506735241706</v>
      </c>
      <c r="U240" s="646" t="s">
        <v>349</v>
      </c>
      <c r="V240" s="640">
        <v>0</v>
      </c>
      <c r="W240" s="640">
        <v>0</v>
      </c>
      <c r="X240" s="640">
        <v>0</v>
      </c>
      <c r="Y240" s="640">
        <v>0</v>
      </c>
      <c r="Z240" s="640">
        <v>0</v>
      </c>
      <c r="AA240" s="640">
        <v>0</v>
      </c>
      <c r="AB240" s="650">
        <v>40.786473386605621</v>
      </c>
      <c r="AC240" s="650">
        <v>0</v>
      </c>
      <c r="AD240" s="650">
        <v>0</v>
      </c>
      <c r="AE240" s="650">
        <v>-36.350944405812257</v>
      </c>
      <c r="AF240" s="650">
        <v>0</v>
      </c>
      <c r="AG240" s="650">
        <v>0</v>
      </c>
      <c r="AH240" s="640">
        <v>0</v>
      </c>
      <c r="AI240" s="640">
        <v>0</v>
      </c>
      <c r="AJ240" s="640">
        <v>0</v>
      </c>
      <c r="AK240" s="648">
        <v>4.4355289807933644</v>
      </c>
    </row>
    <row r="241" spans="3:37" x14ac:dyDescent="0.2">
      <c r="C241" s="646" t="s">
        <v>350</v>
      </c>
      <c r="D241" s="640">
        <v>0</v>
      </c>
      <c r="E241" s="640">
        <v>0</v>
      </c>
      <c r="F241" s="640">
        <v>0</v>
      </c>
      <c r="G241" s="640">
        <v>0</v>
      </c>
      <c r="H241" s="640">
        <v>0</v>
      </c>
      <c r="I241" s="640">
        <v>0</v>
      </c>
      <c r="J241" s="640">
        <v>0</v>
      </c>
      <c r="K241" s="640">
        <v>0</v>
      </c>
      <c r="L241" s="640">
        <v>0</v>
      </c>
      <c r="M241" s="640">
        <v>0</v>
      </c>
      <c r="N241" s="640">
        <v>0</v>
      </c>
      <c r="O241" s="640">
        <v>0</v>
      </c>
      <c r="P241" s="640">
        <v>0</v>
      </c>
      <c r="Q241" s="640">
        <v>0</v>
      </c>
      <c r="R241" s="640">
        <v>0</v>
      </c>
      <c r="S241" s="648">
        <v>0</v>
      </c>
      <c r="U241" s="646" t="s">
        <v>350</v>
      </c>
      <c r="V241" s="640">
        <v>0</v>
      </c>
      <c r="W241" s="640">
        <v>0</v>
      </c>
      <c r="X241" s="640">
        <v>0</v>
      </c>
      <c r="Y241" s="640">
        <v>0</v>
      </c>
      <c r="Z241" s="640">
        <v>0</v>
      </c>
      <c r="AA241" s="640">
        <v>0</v>
      </c>
      <c r="AB241" s="640">
        <v>0</v>
      </c>
      <c r="AC241" s="640">
        <v>0</v>
      </c>
      <c r="AD241" s="640">
        <v>0</v>
      </c>
      <c r="AE241" s="640">
        <v>0</v>
      </c>
      <c r="AF241" s="640">
        <v>0</v>
      </c>
      <c r="AG241" s="640">
        <v>0</v>
      </c>
      <c r="AH241" s="640">
        <v>0</v>
      </c>
      <c r="AI241" s="640">
        <v>0</v>
      </c>
      <c r="AJ241" s="640">
        <v>0</v>
      </c>
      <c r="AK241" s="648">
        <v>0</v>
      </c>
    </row>
    <row r="242" spans="3:37" x14ac:dyDescent="0.2">
      <c r="C242" s="646" t="s">
        <v>72</v>
      </c>
      <c r="D242" s="640">
        <v>0</v>
      </c>
      <c r="E242" s="640">
        <v>542.69343279650275</v>
      </c>
      <c r="F242" s="640">
        <v>-537.26649846853775</v>
      </c>
      <c r="G242" s="640">
        <v>0</v>
      </c>
      <c r="H242" s="640">
        <v>0</v>
      </c>
      <c r="I242" s="640">
        <v>0</v>
      </c>
      <c r="J242" s="640">
        <v>0</v>
      </c>
      <c r="K242" s="640">
        <v>0</v>
      </c>
      <c r="L242" s="640">
        <v>0</v>
      </c>
      <c r="M242" s="640">
        <v>0</v>
      </c>
      <c r="N242" s="640">
        <v>0</v>
      </c>
      <c r="O242" s="640">
        <v>0</v>
      </c>
      <c r="P242" s="640">
        <v>0</v>
      </c>
      <c r="Q242" s="640">
        <v>0</v>
      </c>
      <c r="R242" s="640">
        <v>0</v>
      </c>
      <c r="S242" s="648">
        <v>5.4269343279650002</v>
      </c>
      <c r="U242" s="646" t="s">
        <v>72</v>
      </c>
      <c r="V242" s="640">
        <v>0</v>
      </c>
      <c r="W242" s="640">
        <v>354.9229903070925</v>
      </c>
      <c r="X242" s="640">
        <v>-351.3737604040216</v>
      </c>
      <c r="Y242" s="640">
        <v>0</v>
      </c>
      <c r="Z242" s="640">
        <v>0</v>
      </c>
      <c r="AA242" s="640">
        <v>0</v>
      </c>
      <c r="AB242" s="640">
        <v>0</v>
      </c>
      <c r="AC242" s="640">
        <v>0</v>
      </c>
      <c r="AD242" s="640">
        <v>0</v>
      </c>
      <c r="AE242" s="640">
        <v>0</v>
      </c>
      <c r="AF242" s="640">
        <v>0</v>
      </c>
      <c r="AG242" s="640">
        <v>0</v>
      </c>
      <c r="AH242" s="640">
        <v>0</v>
      </c>
      <c r="AI242" s="640">
        <v>0</v>
      </c>
      <c r="AJ242" s="640">
        <v>0</v>
      </c>
      <c r="AK242" s="648">
        <v>3.5492299030709091</v>
      </c>
    </row>
    <row r="243" spans="3:37" x14ac:dyDescent="0.2">
      <c r="C243" s="646" t="s">
        <v>351</v>
      </c>
      <c r="D243" s="640">
        <v>0</v>
      </c>
      <c r="E243" s="640">
        <v>0</v>
      </c>
      <c r="F243" s="640">
        <v>0</v>
      </c>
      <c r="G243" s="640">
        <v>0</v>
      </c>
      <c r="H243" s="640">
        <v>0</v>
      </c>
      <c r="I243" s="640">
        <v>0</v>
      </c>
      <c r="J243" s="640">
        <v>32.75009012852766</v>
      </c>
      <c r="K243" s="640">
        <v>0</v>
      </c>
      <c r="L243" s="640">
        <v>-32.75009012852766</v>
      </c>
      <c r="M243" s="640">
        <v>0</v>
      </c>
      <c r="N243" s="640">
        <v>0</v>
      </c>
      <c r="O243" s="640">
        <v>0</v>
      </c>
      <c r="P243" s="640">
        <v>0</v>
      </c>
      <c r="Q243" s="640">
        <v>0</v>
      </c>
      <c r="R243" s="640">
        <v>0</v>
      </c>
      <c r="S243" s="648">
        <v>0</v>
      </c>
      <c r="U243" s="646" t="s">
        <v>351</v>
      </c>
      <c r="V243" s="640">
        <v>0</v>
      </c>
      <c r="W243" s="640">
        <v>0</v>
      </c>
      <c r="X243" s="640">
        <v>0</v>
      </c>
      <c r="Y243" s="640">
        <v>0</v>
      </c>
      <c r="Z243" s="640">
        <v>0</v>
      </c>
      <c r="AA243" s="640">
        <v>0</v>
      </c>
      <c r="AB243" s="640" t="e">
        <v>#VALUE!</v>
      </c>
      <c r="AC243" s="640">
        <v>0</v>
      </c>
      <c r="AD243" s="640">
        <v>-76.638831624044727</v>
      </c>
      <c r="AE243" s="640">
        <v>0</v>
      </c>
      <c r="AF243" s="640">
        <v>0</v>
      </c>
      <c r="AG243" s="640">
        <v>0</v>
      </c>
      <c r="AH243" s="640">
        <v>0</v>
      </c>
      <c r="AI243" s="640">
        <v>0</v>
      </c>
      <c r="AJ243" s="640">
        <v>0</v>
      </c>
      <c r="AK243" s="648">
        <v>-76.638831624044727</v>
      </c>
    </row>
    <row r="244" spans="3:37" x14ac:dyDescent="0.2">
      <c r="C244" s="646" t="s">
        <v>352</v>
      </c>
      <c r="D244" s="640">
        <v>0</v>
      </c>
      <c r="E244" s="640">
        <v>0</v>
      </c>
      <c r="F244" s="640">
        <v>0</v>
      </c>
      <c r="G244" s="640">
        <v>0</v>
      </c>
      <c r="H244" s="640">
        <v>0</v>
      </c>
      <c r="I244" s="640">
        <v>0</v>
      </c>
      <c r="J244" s="640">
        <v>0</v>
      </c>
      <c r="K244" s="640">
        <v>0</v>
      </c>
      <c r="L244" s="640">
        <v>0</v>
      </c>
      <c r="M244" s="640">
        <v>0</v>
      </c>
      <c r="N244" s="640">
        <v>0</v>
      </c>
      <c r="O244" s="640">
        <v>0</v>
      </c>
      <c r="P244" s="640">
        <v>0</v>
      </c>
      <c r="Q244" s="640">
        <v>0</v>
      </c>
      <c r="R244" s="640">
        <v>0</v>
      </c>
      <c r="S244" s="648">
        <v>0</v>
      </c>
      <c r="U244" s="646" t="s">
        <v>352</v>
      </c>
      <c r="V244" s="640">
        <v>0</v>
      </c>
      <c r="W244" s="640">
        <v>0</v>
      </c>
      <c r="X244" s="640">
        <v>0</v>
      </c>
      <c r="Y244" s="640">
        <v>0</v>
      </c>
      <c r="Z244" s="640">
        <v>0</v>
      </c>
      <c r="AA244" s="640">
        <v>0</v>
      </c>
      <c r="AB244" s="640">
        <v>0</v>
      </c>
      <c r="AC244" s="640">
        <v>0</v>
      </c>
      <c r="AD244" s="640">
        <v>-16.893833779014706</v>
      </c>
      <c r="AE244" s="640">
        <v>0</v>
      </c>
      <c r="AF244" s="640">
        <v>0</v>
      </c>
      <c r="AG244" s="640">
        <v>0</v>
      </c>
      <c r="AH244" s="640">
        <v>0</v>
      </c>
      <c r="AI244" s="640">
        <v>0</v>
      </c>
      <c r="AJ244" s="640">
        <v>0</v>
      </c>
      <c r="AK244" s="648">
        <v>-16.893833779014706</v>
      </c>
    </row>
    <row r="245" spans="3:37" x14ac:dyDescent="0.2">
      <c r="C245" s="646" t="s">
        <v>73</v>
      </c>
      <c r="D245" s="640">
        <v>0</v>
      </c>
      <c r="E245" s="640">
        <v>0</v>
      </c>
      <c r="F245" s="640">
        <v>0</v>
      </c>
      <c r="G245" s="640">
        <v>2.9190475912378031</v>
      </c>
      <c r="H245" s="640">
        <v>0</v>
      </c>
      <c r="I245" s="640">
        <v>0</v>
      </c>
      <c r="J245" s="640">
        <v>0</v>
      </c>
      <c r="K245" s="640">
        <v>3.3095777678433143E-2</v>
      </c>
      <c r="L245" s="640">
        <v>0</v>
      </c>
      <c r="M245" s="640">
        <v>5.9572399821179664E-2</v>
      </c>
      <c r="N245" s="640">
        <v>0</v>
      </c>
      <c r="O245" s="640">
        <v>0</v>
      </c>
      <c r="P245" s="640">
        <v>0.31236464325712177</v>
      </c>
      <c r="Q245" s="640">
        <v>0</v>
      </c>
      <c r="R245" s="640">
        <v>-2.3167044374903201</v>
      </c>
      <c r="S245" s="648">
        <v>1.0073759745042175</v>
      </c>
      <c r="U245" s="646" t="s">
        <v>73</v>
      </c>
      <c r="V245" s="640">
        <v>0</v>
      </c>
      <c r="W245" s="640">
        <v>0</v>
      </c>
      <c r="X245" s="640">
        <v>0</v>
      </c>
      <c r="Y245" s="640">
        <v>6.287229939138852</v>
      </c>
      <c r="Z245" s="640">
        <v>0</v>
      </c>
      <c r="AA245" s="640">
        <v>0</v>
      </c>
      <c r="AB245" s="640">
        <v>0</v>
      </c>
      <c r="AC245" s="640">
        <v>0.25073698660573684</v>
      </c>
      <c r="AD245" s="640">
        <v>0</v>
      </c>
      <c r="AE245" s="640">
        <v>1.1095111657303856</v>
      </c>
      <c r="AF245" s="640">
        <v>0</v>
      </c>
      <c r="AG245" s="640">
        <v>0</v>
      </c>
      <c r="AH245" s="640">
        <v>18.274688237257074</v>
      </c>
      <c r="AI245" s="640">
        <v>0</v>
      </c>
      <c r="AJ245" s="640">
        <v>-17.551589062401579</v>
      </c>
      <c r="AK245" s="648">
        <v>8.3705772663304678</v>
      </c>
    </row>
    <row r="246" spans="3:37" x14ac:dyDescent="0.2">
      <c r="C246" s="646" t="s">
        <v>353</v>
      </c>
      <c r="D246" s="640">
        <v>28.656195468750003</v>
      </c>
      <c r="E246" s="640">
        <v>-18.804327446398823</v>
      </c>
      <c r="F246" s="640">
        <v>24.594949618470011</v>
      </c>
      <c r="G246" s="640">
        <v>0</v>
      </c>
      <c r="H246" s="640">
        <v>0</v>
      </c>
      <c r="I246" s="640">
        <v>0</v>
      </c>
      <c r="J246" s="640">
        <v>0</v>
      </c>
      <c r="K246" s="640">
        <v>0</v>
      </c>
      <c r="L246" s="640">
        <v>0</v>
      </c>
      <c r="M246" s="640">
        <v>0</v>
      </c>
      <c r="N246" s="640">
        <v>0</v>
      </c>
      <c r="O246" s="640">
        <v>0</v>
      </c>
      <c r="P246" s="640">
        <v>0</v>
      </c>
      <c r="Q246" s="640">
        <v>0</v>
      </c>
      <c r="R246" s="640">
        <v>0</v>
      </c>
      <c r="S246" s="648">
        <v>34.446817640821195</v>
      </c>
      <c r="U246" s="646" t="s">
        <v>353</v>
      </c>
      <c r="V246" s="640">
        <v>3.6632235107421875</v>
      </c>
      <c r="W246" s="640">
        <v>-12.298081614140758</v>
      </c>
      <c r="X246" s="640">
        <v>16.085164362607916</v>
      </c>
      <c r="Y246" s="640">
        <v>0</v>
      </c>
      <c r="Z246" s="640">
        <v>0</v>
      </c>
      <c r="AA246" s="640">
        <v>0</v>
      </c>
      <c r="AB246" s="640">
        <v>0</v>
      </c>
      <c r="AC246" s="640">
        <v>0</v>
      </c>
      <c r="AD246" s="640">
        <v>0</v>
      </c>
      <c r="AE246" s="640">
        <v>0</v>
      </c>
      <c r="AF246" s="640">
        <v>0</v>
      </c>
      <c r="AG246" s="640">
        <v>0</v>
      </c>
      <c r="AH246" s="640">
        <v>0</v>
      </c>
      <c r="AI246" s="640">
        <v>0</v>
      </c>
      <c r="AJ246" s="640">
        <v>0</v>
      </c>
      <c r="AK246" s="648">
        <v>7.450306259209345</v>
      </c>
    </row>
    <row r="247" spans="3:37" x14ac:dyDescent="0.2">
      <c r="C247" s="646" t="s">
        <v>75</v>
      </c>
      <c r="D247" s="640">
        <v>11.144076015625002</v>
      </c>
      <c r="E247" s="640">
        <v>0</v>
      </c>
      <c r="F247" s="640">
        <v>18.451576715081096</v>
      </c>
      <c r="G247" s="640">
        <v>5.2652116849916704</v>
      </c>
      <c r="H247" s="640">
        <v>0</v>
      </c>
      <c r="I247" s="640">
        <v>0</v>
      </c>
      <c r="J247" s="640">
        <v>0</v>
      </c>
      <c r="K247" s="640">
        <v>0</v>
      </c>
      <c r="L247" s="640">
        <v>0</v>
      </c>
      <c r="M247" s="640">
        <v>0.10745329969370757</v>
      </c>
      <c r="N247" s="640">
        <v>0</v>
      </c>
      <c r="O247" s="640">
        <v>0</v>
      </c>
      <c r="P247" s="640">
        <v>33.522260759660846</v>
      </c>
      <c r="Q247" s="640">
        <v>0</v>
      </c>
      <c r="R247" s="640">
        <v>0</v>
      </c>
      <c r="S247" s="648">
        <v>68.490578475052317</v>
      </c>
      <c r="U247" s="646" t="s">
        <v>75</v>
      </c>
      <c r="V247" s="640">
        <v>4.4693862304687499</v>
      </c>
      <c r="W247" s="640">
        <v>0</v>
      </c>
      <c r="X247" s="640">
        <v>18.451576715081096</v>
      </c>
      <c r="Y247" s="640">
        <v>4.5667652369825715</v>
      </c>
      <c r="Z247" s="640">
        <v>0</v>
      </c>
      <c r="AA247" s="640">
        <v>0</v>
      </c>
      <c r="AB247" s="640">
        <v>0</v>
      </c>
      <c r="AC247" s="640">
        <v>0</v>
      </c>
      <c r="AD247" s="640">
        <v>0</v>
      </c>
      <c r="AE247" s="640">
        <v>0.8058997477028067</v>
      </c>
      <c r="AF247" s="640">
        <v>0</v>
      </c>
      <c r="AG247" s="640">
        <v>0</v>
      </c>
      <c r="AH247" s="640">
        <v>33.775215305115388</v>
      </c>
      <c r="AI247" s="640">
        <v>0</v>
      </c>
      <c r="AJ247" s="640">
        <v>0</v>
      </c>
      <c r="AK247" s="648">
        <v>62.068843235350613</v>
      </c>
    </row>
    <row r="248" spans="3:37" x14ac:dyDescent="0.2">
      <c r="C248" s="646" t="s">
        <v>76</v>
      </c>
      <c r="D248" s="640">
        <v>0</v>
      </c>
      <c r="E248" s="640">
        <v>0</v>
      </c>
      <c r="F248" s="640">
        <v>0</v>
      </c>
      <c r="G248" s="640">
        <v>3.8313802109978718</v>
      </c>
      <c r="H248" s="640">
        <v>0</v>
      </c>
      <c r="I248" s="640">
        <v>0</v>
      </c>
      <c r="J248" s="640">
        <v>0</v>
      </c>
      <c r="K248" s="640">
        <v>0</v>
      </c>
      <c r="L248" s="640">
        <v>0</v>
      </c>
      <c r="M248" s="640">
        <v>7.8191432877507586E-2</v>
      </c>
      <c r="N248" s="640">
        <v>0</v>
      </c>
      <c r="O248" s="640">
        <v>0</v>
      </c>
      <c r="P248" s="640">
        <v>42.744249460921445</v>
      </c>
      <c r="Q248" s="640">
        <v>2.9948048478615572</v>
      </c>
      <c r="R248" s="640">
        <v>0</v>
      </c>
      <c r="S248" s="648">
        <v>49.648625952658385</v>
      </c>
      <c r="U248" s="646" t="s">
        <v>76</v>
      </c>
      <c r="V248" s="640">
        <v>0</v>
      </c>
      <c r="W248" s="640">
        <v>0</v>
      </c>
      <c r="X248" s="640">
        <v>0</v>
      </c>
      <c r="Y248" s="640">
        <v>2.4425535766751323</v>
      </c>
      <c r="Z248" s="640">
        <v>0</v>
      </c>
      <c r="AA248" s="640">
        <v>0</v>
      </c>
      <c r="AB248" s="640">
        <v>0</v>
      </c>
      <c r="AC248" s="640">
        <v>0</v>
      </c>
      <c r="AD248" s="640">
        <v>0</v>
      </c>
      <c r="AE248" s="640">
        <v>0.43103886647208217</v>
      </c>
      <c r="AF248" s="640">
        <v>0</v>
      </c>
      <c r="AG248" s="640">
        <v>0</v>
      </c>
      <c r="AH248" s="640">
        <v>44.348699545879278</v>
      </c>
      <c r="AI248" s="640">
        <v>5.6786643797858867</v>
      </c>
      <c r="AJ248" s="640">
        <v>0</v>
      </c>
      <c r="AK248" s="648">
        <v>52.900956368812388</v>
      </c>
    </row>
    <row r="249" spans="3:37" x14ac:dyDescent="0.2">
      <c r="C249" s="644" t="s">
        <v>77</v>
      </c>
      <c r="D249" s="645">
        <v>42.627057125400256</v>
      </c>
      <c r="E249" s="645">
        <v>523.88910535010393</v>
      </c>
      <c r="F249" s="645">
        <v>-486.25029902863446</v>
      </c>
      <c r="G249" s="645">
        <v>44.598587346134217</v>
      </c>
      <c r="H249" s="645">
        <v>1075.0000000000002</v>
      </c>
      <c r="I249" s="645">
        <v>224.13674723416887</v>
      </c>
      <c r="J249" s="645">
        <v>83.541447222318993</v>
      </c>
      <c r="K249" s="645">
        <v>19.633041740965588</v>
      </c>
      <c r="L249" s="645">
        <v>-30.296984724016522</v>
      </c>
      <c r="M249" s="645">
        <v>-5.5459776813090693</v>
      </c>
      <c r="N249" s="645">
        <v>0</v>
      </c>
      <c r="O249" s="645">
        <v>5.2372199657233862</v>
      </c>
      <c r="P249" s="645">
        <v>-532.72264320989325</v>
      </c>
      <c r="Q249" s="645">
        <v>-35.594581328511254</v>
      </c>
      <c r="R249" s="645">
        <v>-2.3167044374903201</v>
      </c>
      <c r="S249" s="645">
        <v>925.93601557496061</v>
      </c>
      <c r="U249" s="644" t="s">
        <v>77</v>
      </c>
      <c r="V249" s="645">
        <v>8.7589246466696284</v>
      </c>
      <c r="W249" s="645">
        <v>342.62490869295175</v>
      </c>
      <c r="X249" s="645">
        <v>-312.73098258361676</v>
      </c>
      <c r="Y249" s="645">
        <v>53.445107496027774</v>
      </c>
      <c r="Z249" s="645">
        <v>994.39393939393949</v>
      </c>
      <c r="AA249" s="645">
        <v>248.70674723416883</v>
      </c>
      <c r="AB249" s="645">
        <v>93.928049103898687</v>
      </c>
      <c r="AC249" s="645">
        <v>32.303919388897036</v>
      </c>
      <c r="AD249" s="645">
        <v>-91.079559998548305</v>
      </c>
      <c r="AE249" s="645">
        <v>-26.781463608290892</v>
      </c>
      <c r="AF249" s="645">
        <v>0</v>
      </c>
      <c r="AG249" s="645">
        <v>11.393749064396903</v>
      </c>
      <c r="AH249" s="645">
        <v>-515.37291498548086</v>
      </c>
      <c r="AI249" s="645">
        <v>-67.545290041896138</v>
      </c>
      <c r="AJ249" s="645">
        <v>-15.176589062401579</v>
      </c>
      <c r="AK249" s="645">
        <v>756.86854474071572</v>
      </c>
    </row>
    <row r="250" spans="3:37" x14ac:dyDescent="0.2">
      <c r="C250" s="634"/>
      <c r="D250" s="634">
        <v>0</v>
      </c>
      <c r="E250" s="634">
        <v>0</v>
      </c>
      <c r="F250" s="634">
        <v>0</v>
      </c>
      <c r="G250" s="634">
        <v>0</v>
      </c>
      <c r="H250" s="634">
        <v>0</v>
      </c>
      <c r="I250" s="634">
        <v>0</v>
      </c>
      <c r="J250" s="634">
        <v>0</v>
      </c>
      <c r="K250" s="634">
        <v>0</v>
      </c>
      <c r="L250" s="634">
        <v>0</v>
      </c>
      <c r="M250" s="634">
        <v>0</v>
      </c>
      <c r="N250" s="634">
        <v>0</v>
      </c>
      <c r="O250" s="634">
        <v>0</v>
      </c>
      <c r="P250" s="634">
        <v>0</v>
      </c>
      <c r="Q250" s="634">
        <v>0</v>
      </c>
      <c r="R250" s="634">
        <v>0</v>
      </c>
      <c r="S250" s="634">
        <v>0</v>
      </c>
      <c r="U250" s="634"/>
      <c r="V250" s="634">
        <v>0</v>
      </c>
      <c r="W250" s="634">
        <v>0</v>
      </c>
      <c r="X250" s="634">
        <v>0</v>
      </c>
      <c r="Y250" s="634">
        <v>0</v>
      </c>
      <c r="Z250" s="634">
        <v>0</v>
      </c>
      <c r="AA250" s="634">
        <v>0</v>
      </c>
      <c r="AB250" s="634">
        <v>0</v>
      </c>
      <c r="AC250" s="634">
        <v>0</v>
      </c>
      <c r="AD250" s="634">
        <v>0</v>
      </c>
      <c r="AE250" s="634">
        <v>0</v>
      </c>
      <c r="AF250" s="634">
        <v>0</v>
      </c>
      <c r="AG250" s="634">
        <v>0</v>
      </c>
      <c r="AH250" s="634">
        <v>0</v>
      </c>
      <c r="AI250" s="634">
        <v>0</v>
      </c>
      <c r="AJ250" s="634">
        <v>0</v>
      </c>
      <c r="AK250" s="634">
        <v>0</v>
      </c>
    </row>
    <row r="251" spans="3:37" x14ac:dyDescent="0.2">
      <c r="C251" s="646" t="s">
        <v>78</v>
      </c>
      <c r="D251" s="640">
        <v>6.2002081056415257</v>
      </c>
      <c r="E251" s="640">
        <v>0</v>
      </c>
      <c r="F251" s="640">
        <v>23.255205938178186</v>
      </c>
      <c r="G251" s="640">
        <v>101.12865293850786</v>
      </c>
      <c r="H251" s="640">
        <v>0</v>
      </c>
      <c r="I251" s="640">
        <v>0</v>
      </c>
      <c r="J251" s="640">
        <v>19.565687098295676</v>
      </c>
      <c r="K251" s="640">
        <v>1.7744589215827917</v>
      </c>
      <c r="L251" s="640">
        <v>0.87520713476562495</v>
      </c>
      <c r="M251" s="640">
        <v>2.0825226770622867</v>
      </c>
      <c r="N251" s="640">
        <v>0</v>
      </c>
      <c r="O251" s="640">
        <v>3.8067188808088001E-4</v>
      </c>
      <c r="P251" s="640">
        <v>109.76937284793219</v>
      </c>
      <c r="Q251" s="640">
        <v>16.103287978552984</v>
      </c>
      <c r="R251" s="640">
        <v>0.32868640136718752</v>
      </c>
      <c r="S251" s="648">
        <v>281.08367071377444</v>
      </c>
      <c r="U251" s="646" t="s">
        <v>78</v>
      </c>
      <c r="V251" s="640">
        <v>1.01942505552247</v>
      </c>
      <c r="W251" s="640">
        <v>0</v>
      </c>
      <c r="X251" s="640">
        <v>12.936117077553076</v>
      </c>
      <c r="Y251" s="640">
        <v>67.349539979102474</v>
      </c>
      <c r="Z251" s="640">
        <v>0</v>
      </c>
      <c r="AA251" s="640">
        <v>0</v>
      </c>
      <c r="AB251" s="640">
        <v>16.313565187348217</v>
      </c>
      <c r="AC251" s="640">
        <v>5.7022810919996436</v>
      </c>
      <c r="AD251" s="640">
        <v>2.2588896484375001</v>
      </c>
      <c r="AE251" s="640">
        <v>11.903885554581411</v>
      </c>
      <c r="AF251" s="640">
        <v>0</v>
      </c>
      <c r="AG251" s="640">
        <v>3.8067188808088001E-4</v>
      </c>
      <c r="AH251" s="640">
        <v>135.13428233654639</v>
      </c>
      <c r="AI251" s="640">
        <v>21.466888656055119</v>
      </c>
      <c r="AJ251" s="640">
        <v>5.7972734375000003</v>
      </c>
      <c r="AK251" s="648">
        <v>279.88252869653439</v>
      </c>
    </row>
    <row r="252" spans="3:37" x14ac:dyDescent="0.2">
      <c r="C252" s="646" t="s">
        <v>79</v>
      </c>
      <c r="D252" s="640">
        <v>0</v>
      </c>
      <c r="E252" s="640">
        <v>0</v>
      </c>
      <c r="F252" s="640">
        <v>291.38745921478562</v>
      </c>
      <c r="G252" s="640">
        <v>24.020829745272028</v>
      </c>
      <c r="H252" s="640">
        <v>0</v>
      </c>
      <c r="I252" s="640">
        <v>0</v>
      </c>
      <c r="J252" s="640">
        <v>0</v>
      </c>
      <c r="K252" s="640">
        <v>0</v>
      </c>
      <c r="L252" s="640">
        <v>28.280041762715456</v>
      </c>
      <c r="M252" s="640">
        <v>0.49022101520963324</v>
      </c>
      <c r="N252" s="640">
        <v>0</v>
      </c>
      <c r="O252" s="640">
        <v>0</v>
      </c>
      <c r="P252" s="640">
        <v>46.654707564142761</v>
      </c>
      <c r="Q252" s="640">
        <v>0</v>
      </c>
      <c r="R252" s="640">
        <v>1.1135281120019407</v>
      </c>
      <c r="S252" s="648">
        <v>391.94678741412741</v>
      </c>
      <c r="U252" s="646" t="s">
        <v>79</v>
      </c>
      <c r="V252" s="640">
        <v>0</v>
      </c>
      <c r="W252" s="640">
        <v>0</v>
      </c>
      <c r="X252" s="640">
        <v>152.5395921226515</v>
      </c>
      <c r="Y252" s="640">
        <v>18.931026789455995</v>
      </c>
      <c r="Z252" s="640">
        <v>0</v>
      </c>
      <c r="AA252" s="640">
        <v>0</v>
      </c>
      <c r="AB252" s="640">
        <v>0</v>
      </c>
      <c r="AC252" s="640">
        <v>0</v>
      </c>
      <c r="AD252" s="640">
        <v>49.546406871337183</v>
      </c>
      <c r="AE252" s="640">
        <v>3.3407694334334113</v>
      </c>
      <c r="AF252" s="640">
        <v>0</v>
      </c>
      <c r="AG252" s="640">
        <v>0</v>
      </c>
      <c r="AH252" s="640">
        <v>60.923926311544285</v>
      </c>
      <c r="AI252" s="640">
        <v>0</v>
      </c>
      <c r="AJ252" s="640">
        <v>2.0956611258816777</v>
      </c>
      <c r="AK252" s="648">
        <v>287.37738265430403</v>
      </c>
    </row>
    <row r="253" spans="3:37" x14ac:dyDescent="0.2">
      <c r="C253" s="646" t="s">
        <v>80</v>
      </c>
      <c r="D253" s="640">
        <v>0</v>
      </c>
      <c r="E253" s="640">
        <v>0</v>
      </c>
      <c r="F253" s="640">
        <v>24.366054746482678</v>
      </c>
      <c r="G253" s="640">
        <v>88.830627596834503</v>
      </c>
      <c r="H253" s="640">
        <v>0</v>
      </c>
      <c r="I253" s="640">
        <v>0</v>
      </c>
      <c r="J253" s="640">
        <v>86.298448588028648</v>
      </c>
      <c r="K253" s="640">
        <v>0</v>
      </c>
      <c r="L253" s="640">
        <v>0</v>
      </c>
      <c r="M253" s="640">
        <v>1.8128699509558064</v>
      </c>
      <c r="N253" s="640">
        <v>49.305914152356948</v>
      </c>
      <c r="O253" s="640">
        <v>1.9759423218950023</v>
      </c>
      <c r="P253" s="640">
        <v>183.08170703950353</v>
      </c>
      <c r="Q253" s="640">
        <v>15.629207143582217</v>
      </c>
      <c r="R253" s="640">
        <v>0</v>
      </c>
      <c r="S253" s="648">
        <v>451.3007715396393</v>
      </c>
      <c r="U253" s="646" t="s">
        <v>80</v>
      </c>
      <c r="V253" s="640">
        <v>0</v>
      </c>
      <c r="W253" s="640">
        <v>0</v>
      </c>
      <c r="X253" s="640">
        <v>1.5212022418020299</v>
      </c>
      <c r="Y253" s="640">
        <v>34.748278571527685</v>
      </c>
      <c r="Z253" s="640">
        <v>0</v>
      </c>
      <c r="AA253" s="640">
        <v>0</v>
      </c>
      <c r="AB253" s="640">
        <v>75.181836567082826</v>
      </c>
      <c r="AC253" s="640">
        <v>0</v>
      </c>
      <c r="AD253" s="640">
        <v>0</v>
      </c>
      <c r="AE253" s="640">
        <v>6.1320491596813564</v>
      </c>
      <c r="AF253" s="640">
        <v>62.645467095100628</v>
      </c>
      <c r="AG253" s="640">
        <v>2.6978117080871646</v>
      </c>
      <c r="AH253" s="640">
        <v>158.40967854762758</v>
      </c>
      <c r="AI253" s="640">
        <v>35.928967439236224</v>
      </c>
      <c r="AJ253" s="640">
        <v>0</v>
      </c>
      <c r="AK253" s="648">
        <v>377.26529133014549</v>
      </c>
    </row>
    <row r="254" spans="3:37" x14ac:dyDescent="0.2">
      <c r="C254" s="646" t="s">
        <v>81</v>
      </c>
      <c r="D254" s="640">
        <v>0</v>
      </c>
      <c r="E254" s="640">
        <v>0</v>
      </c>
      <c r="F254" s="640">
        <v>9.1434406229634497</v>
      </c>
      <c r="G254" s="640">
        <v>62.772902131190932</v>
      </c>
      <c r="H254" s="640">
        <v>0</v>
      </c>
      <c r="I254" s="640">
        <v>0</v>
      </c>
      <c r="J254" s="640">
        <v>3.3792389882828151</v>
      </c>
      <c r="K254" s="640">
        <v>2.5053216415896862E-2</v>
      </c>
      <c r="L254" s="640">
        <v>0</v>
      </c>
      <c r="M254" s="640">
        <v>1.2810796353304272</v>
      </c>
      <c r="N254" s="640">
        <v>8.5204805498073064</v>
      </c>
      <c r="O254" s="640">
        <v>0.77988306826531983</v>
      </c>
      <c r="P254" s="640">
        <v>134.9475862077569</v>
      </c>
      <c r="Q254" s="640">
        <v>3.8620862063760555</v>
      </c>
      <c r="R254" s="640">
        <v>0</v>
      </c>
      <c r="S254" s="648">
        <v>224.71175062638912</v>
      </c>
      <c r="U254" s="646" t="s">
        <v>81</v>
      </c>
      <c r="V254" s="640">
        <v>0</v>
      </c>
      <c r="W254" s="640">
        <v>0</v>
      </c>
      <c r="X254" s="640">
        <v>2.5747324311170368</v>
      </c>
      <c r="Y254" s="640">
        <v>28.050706446538126</v>
      </c>
      <c r="Z254" s="640">
        <v>0</v>
      </c>
      <c r="AA254" s="640">
        <v>0</v>
      </c>
      <c r="AB254" s="640">
        <v>7.5276105699702738</v>
      </c>
      <c r="AC254" s="640">
        <v>2.5053216415896862E-2</v>
      </c>
      <c r="AD254" s="640">
        <v>0</v>
      </c>
      <c r="AE254" s="640">
        <v>4.9501246670361398</v>
      </c>
      <c r="AF254" s="640">
        <v>14.347345485370148</v>
      </c>
      <c r="AG254" s="640">
        <v>1.6839822655905561</v>
      </c>
      <c r="AH254" s="640">
        <v>120.05488498756245</v>
      </c>
      <c r="AI254" s="640">
        <v>10.149433946604795</v>
      </c>
      <c r="AJ254" s="640">
        <v>0</v>
      </c>
      <c r="AK254" s="648">
        <v>189.36387401620541</v>
      </c>
    </row>
    <row r="255" spans="3:37" x14ac:dyDescent="0.2">
      <c r="C255" s="646" t="s">
        <v>82</v>
      </c>
      <c r="D255" s="640">
        <v>0</v>
      </c>
      <c r="E255" s="640">
        <v>0</v>
      </c>
      <c r="F255" s="640">
        <v>31.378359933180146</v>
      </c>
      <c r="G255" s="640">
        <v>1.761464702880946</v>
      </c>
      <c r="H255" s="640">
        <v>0</v>
      </c>
      <c r="I255" s="640">
        <v>0</v>
      </c>
      <c r="J255" s="640">
        <v>2.5129576329044134</v>
      </c>
      <c r="K255" s="640">
        <v>0</v>
      </c>
      <c r="L255" s="640">
        <v>2.7366524531426237</v>
      </c>
      <c r="M255" s="640">
        <v>3.5948259242468285E-2</v>
      </c>
      <c r="N255" s="640">
        <v>0</v>
      </c>
      <c r="O255" s="640">
        <v>7.8328904674825409E-2</v>
      </c>
      <c r="P255" s="640">
        <v>7.1029233048090266</v>
      </c>
      <c r="Q255" s="640">
        <v>0</v>
      </c>
      <c r="R255" s="640">
        <v>0</v>
      </c>
      <c r="S255" s="648">
        <v>45.606635190834446</v>
      </c>
      <c r="U255" s="646" t="s">
        <v>82</v>
      </c>
      <c r="V255" s="640">
        <v>0</v>
      </c>
      <c r="W255" s="640">
        <v>0</v>
      </c>
      <c r="X255" s="640">
        <v>18.696617357576709</v>
      </c>
      <c r="Y255" s="640">
        <v>1.906896096641761</v>
      </c>
      <c r="Z255" s="640">
        <v>0</v>
      </c>
      <c r="AA255" s="640">
        <v>0</v>
      </c>
      <c r="AB255" s="640">
        <v>2.5129576329044134</v>
      </c>
      <c r="AC255" s="640">
        <v>0</v>
      </c>
      <c r="AD255" s="640">
        <v>18.28747352858748</v>
      </c>
      <c r="AE255" s="640">
        <v>0.33651107587795781</v>
      </c>
      <c r="AF255" s="640">
        <v>0</v>
      </c>
      <c r="AG255" s="640">
        <v>0.96290247555165809</v>
      </c>
      <c r="AH255" s="640">
        <v>7.1739705565638916</v>
      </c>
      <c r="AI255" s="640">
        <v>0</v>
      </c>
      <c r="AJ255" s="640">
        <v>0.24940873791150003</v>
      </c>
      <c r="AK255" s="648">
        <v>50.12673746161537</v>
      </c>
    </row>
    <row r="256" spans="3:37" x14ac:dyDescent="0.2">
      <c r="C256" s="646" t="s">
        <v>354</v>
      </c>
      <c r="D256" s="640">
        <v>0</v>
      </c>
      <c r="E256" s="640">
        <v>0</v>
      </c>
      <c r="F256" s="640">
        <v>0</v>
      </c>
      <c r="G256" s="640">
        <v>0</v>
      </c>
      <c r="H256" s="640">
        <v>0</v>
      </c>
      <c r="I256" s="640">
        <v>0</v>
      </c>
      <c r="J256" s="640">
        <v>0</v>
      </c>
      <c r="K256" s="640">
        <v>0</v>
      </c>
      <c r="L256" s="640">
        <v>0</v>
      </c>
      <c r="M256" s="640">
        <v>0</v>
      </c>
      <c r="N256" s="640">
        <v>0</v>
      </c>
      <c r="O256" s="640">
        <v>0</v>
      </c>
      <c r="P256" s="640">
        <v>0.22499999999999998</v>
      </c>
      <c r="Q256" s="640">
        <v>0</v>
      </c>
      <c r="R256" s="640">
        <v>0</v>
      </c>
      <c r="S256" s="648">
        <v>0.22499999999999998</v>
      </c>
      <c r="U256" s="646" t="s">
        <v>354</v>
      </c>
      <c r="V256" s="640">
        <v>0</v>
      </c>
      <c r="W256" s="640">
        <v>0</v>
      </c>
      <c r="X256" s="640">
        <v>0</v>
      </c>
      <c r="Y256" s="640">
        <v>0</v>
      </c>
      <c r="Z256" s="640">
        <v>0</v>
      </c>
      <c r="AA256" s="640">
        <v>0</v>
      </c>
      <c r="AB256" s="640">
        <v>0</v>
      </c>
      <c r="AC256" s="640">
        <v>0</v>
      </c>
      <c r="AD256" s="640">
        <v>0</v>
      </c>
      <c r="AE256" s="640">
        <v>0</v>
      </c>
      <c r="AF256" s="640">
        <v>0</v>
      </c>
      <c r="AG256" s="640">
        <v>0</v>
      </c>
      <c r="AH256" s="640">
        <v>1.2</v>
      </c>
      <c r="AI256" s="640">
        <v>0</v>
      </c>
      <c r="AJ256" s="640">
        <v>0</v>
      </c>
      <c r="AK256" s="648">
        <v>1.2</v>
      </c>
    </row>
    <row r="257" spans="3:37" x14ac:dyDescent="0.2">
      <c r="C257" s="644" t="s">
        <v>83</v>
      </c>
      <c r="D257" s="645">
        <v>6.2002081056415257</v>
      </c>
      <c r="E257" s="645">
        <v>0</v>
      </c>
      <c r="F257" s="645">
        <v>379.53052045559002</v>
      </c>
      <c r="G257" s="645">
        <v>278.51447711468631</v>
      </c>
      <c r="H257" s="645">
        <v>0</v>
      </c>
      <c r="I257" s="645">
        <v>0</v>
      </c>
      <c r="J257" s="645">
        <v>111.75633230751156</v>
      </c>
      <c r="K257" s="645">
        <v>1.7995121379986885</v>
      </c>
      <c r="L257" s="645">
        <v>31.891901350623705</v>
      </c>
      <c r="M257" s="645">
        <v>5.7026415378006226</v>
      </c>
      <c r="N257" s="645">
        <v>57.826394702164251</v>
      </c>
      <c r="O257" s="645">
        <v>2.8345349667232282</v>
      </c>
      <c r="P257" s="645">
        <v>481.78129696414442</v>
      </c>
      <c r="Q257" s="645">
        <v>35.594581328511254</v>
      </c>
      <c r="R257" s="645">
        <v>1.4422145133691282</v>
      </c>
      <c r="S257" s="645">
        <v>1394.8746154847647</v>
      </c>
      <c r="U257" s="644" t="s">
        <v>83</v>
      </c>
      <c r="V257" s="645">
        <v>1.01942505552247</v>
      </c>
      <c r="W257" s="645">
        <v>0</v>
      </c>
      <c r="X257" s="645">
        <v>188.26826123070035</v>
      </c>
      <c r="Y257" s="645">
        <v>150.98644788326604</v>
      </c>
      <c r="Z257" s="645">
        <v>0</v>
      </c>
      <c r="AA257" s="645">
        <v>0</v>
      </c>
      <c r="AB257" s="645">
        <v>101.53596995730574</v>
      </c>
      <c r="AC257" s="645">
        <v>5.727334308415541</v>
      </c>
      <c r="AD257" s="645">
        <v>70.092770048362169</v>
      </c>
      <c r="AE257" s="645">
        <v>26.663339890610278</v>
      </c>
      <c r="AF257" s="645">
        <v>76.992812580470769</v>
      </c>
      <c r="AG257" s="645">
        <v>5.3450771211174599</v>
      </c>
      <c r="AH257" s="645">
        <v>482.89674273984457</v>
      </c>
      <c r="AI257" s="645">
        <v>67.545290041896138</v>
      </c>
      <c r="AJ257" s="645">
        <v>8.1423433012931774</v>
      </c>
      <c r="AK257" s="645">
        <v>1185.2158141588047</v>
      </c>
    </row>
    <row r="258" spans="3:37" x14ac:dyDescent="0.2">
      <c r="C258" s="639" t="s">
        <v>84</v>
      </c>
      <c r="D258" s="640">
        <v>0</v>
      </c>
      <c r="E258" s="640">
        <v>0</v>
      </c>
      <c r="F258" s="640">
        <v>114.78425758185857</v>
      </c>
      <c r="G258" s="640">
        <v>12.028714359769619</v>
      </c>
      <c r="H258" s="640">
        <v>0</v>
      </c>
      <c r="I258" s="640">
        <v>0</v>
      </c>
      <c r="J258" s="640">
        <v>0</v>
      </c>
      <c r="K258" s="640">
        <v>0</v>
      </c>
      <c r="L258" s="640">
        <v>0</v>
      </c>
      <c r="M258" s="640">
        <v>0</v>
      </c>
      <c r="N258" s="640">
        <v>0</v>
      </c>
      <c r="O258" s="640">
        <v>0</v>
      </c>
      <c r="P258" s="640">
        <v>0</v>
      </c>
      <c r="Q258" s="640">
        <v>0</v>
      </c>
      <c r="R258" s="640">
        <v>0.87448992412119186</v>
      </c>
      <c r="S258" s="648">
        <v>127.68746186574938</v>
      </c>
      <c r="U258" s="639" t="s">
        <v>84</v>
      </c>
      <c r="V258" s="640">
        <v>0</v>
      </c>
      <c r="W258" s="640">
        <v>0</v>
      </c>
      <c r="X258" s="640">
        <v>99.887922338380434</v>
      </c>
      <c r="Y258" s="640">
        <v>1.4617397027131513</v>
      </c>
      <c r="Z258" s="640">
        <v>0</v>
      </c>
      <c r="AA258" s="640">
        <v>0</v>
      </c>
      <c r="AB258" s="640">
        <v>0</v>
      </c>
      <c r="AC258" s="640">
        <v>0</v>
      </c>
      <c r="AD258" s="640">
        <v>9.6859590362548822</v>
      </c>
      <c r="AE258" s="640">
        <v>0</v>
      </c>
      <c r="AF258" s="640">
        <v>0</v>
      </c>
      <c r="AG258" s="640">
        <v>0</v>
      </c>
      <c r="AH258" s="640">
        <v>0</v>
      </c>
      <c r="AI258" s="640">
        <v>0</v>
      </c>
      <c r="AJ258" s="640">
        <v>7.0342457611083988</v>
      </c>
      <c r="AK258" s="648">
        <v>118.06986683845686</v>
      </c>
    </row>
    <row r="259" spans="3:37" x14ac:dyDescent="0.2">
      <c r="C259" s="644" t="s">
        <v>85</v>
      </c>
      <c r="D259" s="645">
        <v>6.2002081056415257</v>
      </c>
      <c r="E259" s="645">
        <v>0</v>
      </c>
      <c r="F259" s="645">
        <v>494.3147780374486</v>
      </c>
      <c r="G259" s="645">
        <v>290.54319147445591</v>
      </c>
      <c r="H259" s="645">
        <v>0</v>
      </c>
      <c r="I259" s="645">
        <v>0</v>
      </c>
      <c r="J259" s="645">
        <v>111.75633230751156</v>
      </c>
      <c r="K259" s="645">
        <v>1.7995121379986885</v>
      </c>
      <c r="L259" s="645">
        <v>31.891901350623705</v>
      </c>
      <c r="M259" s="645">
        <v>5.7026415378006226</v>
      </c>
      <c r="N259" s="645">
        <v>57.826394702164251</v>
      </c>
      <c r="O259" s="645">
        <v>2.8345349667232282</v>
      </c>
      <c r="P259" s="645">
        <v>481.78129696414442</v>
      </c>
      <c r="Q259" s="645">
        <v>35.594581328511254</v>
      </c>
      <c r="R259" s="645">
        <v>2.3167044374903201</v>
      </c>
      <c r="S259" s="645">
        <v>1522.5620773505141</v>
      </c>
      <c r="U259" s="644" t="s">
        <v>85</v>
      </c>
      <c r="V259" s="645">
        <v>1.01942505552247</v>
      </c>
      <c r="W259" s="645">
        <v>0</v>
      </c>
      <c r="X259" s="645">
        <v>288.15618356908084</v>
      </c>
      <c r="Y259" s="645">
        <v>152.44818758597918</v>
      </c>
      <c r="Z259" s="645">
        <v>0</v>
      </c>
      <c r="AA259" s="645">
        <v>0</v>
      </c>
      <c r="AB259" s="645">
        <v>101.53596995730574</v>
      </c>
      <c r="AC259" s="645">
        <v>5.727334308415541</v>
      </c>
      <c r="AD259" s="645">
        <v>79.778729084617055</v>
      </c>
      <c r="AE259" s="645">
        <v>26.663339890610278</v>
      </c>
      <c r="AF259" s="645">
        <v>76.992812580470769</v>
      </c>
      <c r="AG259" s="645">
        <v>5.3450771211174599</v>
      </c>
      <c r="AH259" s="645">
        <v>482.89674273984457</v>
      </c>
      <c r="AI259" s="645">
        <v>67.545290041896138</v>
      </c>
      <c r="AJ259" s="645">
        <v>15.176589062401575</v>
      </c>
      <c r="AK259" s="645">
        <v>1303.2856809972616</v>
      </c>
    </row>
    <row r="260" spans="3:37" x14ac:dyDescent="0.2">
      <c r="C260" s="634"/>
      <c r="D260" s="634"/>
      <c r="E260" s="634"/>
      <c r="F260" s="634"/>
      <c r="G260" s="634"/>
      <c r="H260" s="634"/>
      <c r="I260" s="634"/>
      <c r="J260" s="634"/>
      <c r="K260" s="634"/>
      <c r="L260" s="634"/>
      <c r="M260" s="634"/>
      <c r="N260" s="634"/>
      <c r="O260" s="634"/>
      <c r="P260" s="634"/>
      <c r="Q260" s="634"/>
      <c r="R260" s="634"/>
      <c r="S260" s="634"/>
      <c r="U260" s="634"/>
      <c r="V260" s="634"/>
      <c r="W260" s="634"/>
      <c r="X260" s="634"/>
      <c r="Y260" s="634"/>
      <c r="Z260" s="634"/>
      <c r="AA260" s="634"/>
      <c r="AB260" s="634"/>
      <c r="AC260" s="634"/>
      <c r="AD260" s="634"/>
      <c r="AE260" s="634"/>
      <c r="AF260" s="634"/>
      <c r="AG260" s="634"/>
      <c r="AH260" s="634"/>
      <c r="AI260" s="634"/>
      <c r="AJ260" s="634"/>
      <c r="AK260" s="634"/>
    </row>
    <row r="261" spans="3:37" ht="22.5" x14ac:dyDescent="0.3">
      <c r="C261" s="759" t="s">
        <v>359</v>
      </c>
      <c r="D261" s="759"/>
      <c r="E261" s="759"/>
      <c r="F261" s="759"/>
      <c r="G261" s="759"/>
      <c r="H261" s="759"/>
      <c r="I261" s="759"/>
      <c r="J261" s="759"/>
      <c r="K261" s="759"/>
      <c r="L261" s="759"/>
      <c r="M261" s="759"/>
      <c r="N261" s="759"/>
      <c r="O261" s="759"/>
      <c r="P261" s="759"/>
      <c r="Q261" s="759"/>
      <c r="R261" s="759"/>
      <c r="S261" s="759"/>
      <c r="U261" s="759" t="s">
        <v>359</v>
      </c>
      <c r="V261" s="759"/>
      <c r="W261" s="759"/>
      <c r="X261" s="759"/>
      <c r="Y261" s="759"/>
      <c r="Z261" s="759"/>
      <c r="AA261" s="759"/>
      <c r="AB261" s="759"/>
      <c r="AC261" s="759"/>
      <c r="AD261" s="759"/>
      <c r="AE261" s="759"/>
      <c r="AF261" s="759"/>
      <c r="AG261" s="759"/>
      <c r="AH261" s="759"/>
      <c r="AI261" s="759"/>
      <c r="AJ261" s="759"/>
      <c r="AK261" s="759"/>
    </row>
    <row r="262" spans="3:37" x14ac:dyDescent="0.2">
      <c r="C262" s="634"/>
      <c r="D262" s="634"/>
      <c r="E262" s="634"/>
      <c r="F262" s="634"/>
      <c r="G262" s="634"/>
      <c r="H262" s="634"/>
      <c r="I262" s="634"/>
      <c r="J262" s="634"/>
      <c r="K262" s="634"/>
      <c r="L262" s="634"/>
      <c r="M262" s="634"/>
      <c r="N262" s="634"/>
      <c r="O262" s="634"/>
      <c r="P262" s="634"/>
      <c r="Q262" s="634"/>
      <c r="R262" s="634"/>
      <c r="S262" s="634"/>
      <c r="U262" s="634"/>
      <c r="V262" s="634"/>
      <c r="W262" s="634"/>
      <c r="X262" s="634"/>
      <c r="Y262" s="634"/>
      <c r="Z262" s="634"/>
      <c r="AA262" s="634"/>
      <c r="AB262" s="634"/>
      <c r="AC262" s="634"/>
      <c r="AD262" s="634"/>
      <c r="AE262" s="634"/>
      <c r="AF262" s="634"/>
      <c r="AG262" s="634"/>
      <c r="AH262" s="634"/>
      <c r="AI262" s="634"/>
      <c r="AJ262" s="634"/>
      <c r="AK262" s="634"/>
    </row>
    <row r="263" spans="3:37" ht="12.95" customHeight="1" x14ac:dyDescent="0.2">
      <c r="C263" s="758" t="s">
        <v>128</v>
      </c>
      <c r="D263" s="757" t="s">
        <v>42</v>
      </c>
      <c r="E263" s="757" t="s">
        <v>52</v>
      </c>
      <c r="F263" s="757" t="s">
        <v>53</v>
      </c>
      <c r="G263" s="757" t="s">
        <v>32</v>
      </c>
      <c r="H263" s="757" t="s">
        <v>20</v>
      </c>
      <c r="I263" s="757" t="s">
        <v>55</v>
      </c>
      <c r="J263" s="757" t="s">
        <v>56</v>
      </c>
      <c r="K263" s="757"/>
      <c r="L263" s="757"/>
      <c r="M263" s="757"/>
      <c r="N263" s="757"/>
      <c r="O263" s="757"/>
      <c r="P263" s="757" t="s">
        <v>57</v>
      </c>
      <c r="Q263" s="757" t="s">
        <v>58</v>
      </c>
      <c r="R263" s="757" t="s">
        <v>31</v>
      </c>
      <c r="S263" s="757" t="s">
        <v>10</v>
      </c>
      <c r="U263" s="758" t="s">
        <v>128</v>
      </c>
      <c r="V263" s="757" t="s">
        <v>42</v>
      </c>
      <c r="W263" s="757" t="s">
        <v>52</v>
      </c>
      <c r="X263" s="757" t="s">
        <v>53</v>
      </c>
      <c r="Y263" s="757" t="s">
        <v>32</v>
      </c>
      <c r="Z263" s="757" t="s">
        <v>20</v>
      </c>
      <c r="AA263" s="757" t="s">
        <v>55</v>
      </c>
      <c r="AB263" s="757" t="s">
        <v>56</v>
      </c>
      <c r="AC263" s="757"/>
      <c r="AD263" s="757"/>
      <c r="AE263" s="757"/>
      <c r="AF263" s="757"/>
      <c r="AG263" s="757"/>
      <c r="AH263" s="757" t="s">
        <v>57</v>
      </c>
      <c r="AI263" s="757" t="s">
        <v>58</v>
      </c>
      <c r="AJ263" s="757" t="s">
        <v>31</v>
      </c>
      <c r="AK263" s="757" t="s">
        <v>10</v>
      </c>
    </row>
    <row r="264" spans="3:37" ht="56.25" x14ac:dyDescent="0.2">
      <c r="C264" s="758"/>
      <c r="D264" s="757"/>
      <c r="E264" s="757"/>
      <c r="F264" s="757"/>
      <c r="G264" s="757"/>
      <c r="H264" s="757"/>
      <c r="I264" s="757"/>
      <c r="J264" s="638" t="s">
        <v>335</v>
      </c>
      <c r="K264" s="638" t="s">
        <v>40</v>
      </c>
      <c r="L264" s="638" t="s">
        <v>343</v>
      </c>
      <c r="M264" s="638" t="s">
        <v>344</v>
      </c>
      <c r="N264" s="638" t="s">
        <v>345</v>
      </c>
      <c r="O264" s="638" t="s">
        <v>346</v>
      </c>
      <c r="P264" s="757"/>
      <c r="Q264" s="757"/>
      <c r="R264" s="757"/>
      <c r="S264" s="757"/>
      <c r="U264" s="758"/>
      <c r="V264" s="757"/>
      <c r="W264" s="757"/>
      <c r="X264" s="757"/>
      <c r="Y264" s="757"/>
      <c r="Z264" s="757"/>
      <c r="AA264" s="757"/>
      <c r="AB264" s="638" t="s">
        <v>335</v>
      </c>
      <c r="AC264" s="638" t="s">
        <v>40</v>
      </c>
      <c r="AD264" s="638" t="s">
        <v>343</v>
      </c>
      <c r="AE264" s="638" t="s">
        <v>344</v>
      </c>
      <c r="AF264" s="638" t="s">
        <v>345</v>
      </c>
      <c r="AG264" s="638" t="s">
        <v>346</v>
      </c>
      <c r="AH264" s="757"/>
      <c r="AI264" s="757"/>
      <c r="AJ264" s="757"/>
      <c r="AK264" s="757"/>
    </row>
    <row r="265" spans="3:37" x14ac:dyDescent="0.2">
      <c r="C265" s="639" t="s">
        <v>59</v>
      </c>
      <c r="D265" s="640">
        <v>0</v>
      </c>
      <c r="E265" s="641">
        <v>2.3260000000000005</v>
      </c>
      <c r="F265" s="641">
        <v>0</v>
      </c>
      <c r="G265" s="640">
        <v>3.7216000000000006E-2</v>
      </c>
      <c r="H265" s="641">
        <v>1005.4545454545456</v>
      </c>
      <c r="I265" s="641">
        <v>248.9826967827097</v>
      </c>
      <c r="J265" s="641">
        <v>189.82090717884753</v>
      </c>
      <c r="K265" s="641">
        <v>21.067323208066789</v>
      </c>
      <c r="L265" s="641">
        <v>0.444514092196865</v>
      </c>
      <c r="M265" s="641">
        <v>0.15770970126630299</v>
      </c>
      <c r="N265" s="641">
        <v>60.832905155553725</v>
      </c>
      <c r="O265" s="641">
        <v>10.347989753579439</v>
      </c>
      <c r="P265" s="642">
        <v>0</v>
      </c>
      <c r="Q265" s="641">
        <v>0</v>
      </c>
      <c r="R265" s="641">
        <v>0</v>
      </c>
      <c r="S265" s="643">
        <v>1539.4718073267661</v>
      </c>
      <c r="U265" s="639" t="s">
        <v>59</v>
      </c>
      <c r="V265" s="640">
        <v>0</v>
      </c>
      <c r="W265" s="641">
        <v>2.3260000000000005</v>
      </c>
      <c r="X265" s="641">
        <v>0</v>
      </c>
      <c r="Y265" s="640">
        <v>3.7216000000000006E-2</v>
      </c>
      <c r="Z265" s="641">
        <v>949.39393939393938</v>
      </c>
      <c r="AA265" s="641">
        <v>279.58269678270966</v>
      </c>
      <c r="AB265" s="641">
        <v>196.53145821434362</v>
      </c>
      <c r="AC265" s="641">
        <v>37.828582612394825</v>
      </c>
      <c r="AD265" s="641">
        <v>0.444514092196865</v>
      </c>
      <c r="AE265" s="641">
        <v>0.15770970126630299</v>
      </c>
      <c r="AF265" s="641">
        <v>86.476611770328219</v>
      </c>
      <c r="AG265" s="641">
        <v>21.065809354780896</v>
      </c>
      <c r="AH265" s="642">
        <v>0</v>
      </c>
      <c r="AI265" s="641">
        <v>0</v>
      </c>
      <c r="AJ265" s="641">
        <v>0</v>
      </c>
      <c r="AK265" s="643">
        <v>1573.8445379219597</v>
      </c>
    </row>
    <row r="266" spans="3:37" x14ac:dyDescent="0.2">
      <c r="C266" s="639" t="s">
        <v>60</v>
      </c>
      <c r="D266" s="640">
        <v>48.372001461449948</v>
      </c>
      <c r="E266" s="641">
        <v>509.74501402008315</v>
      </c>
      <c r="F266" s="641">
        <v>84.255119008679685</v>
      </c>
      <c r="G266" s="640">
        <v>333.85211586331565</v>
      </c>
      <c r="H266" s="641">
        <v>0</v>
      </c>
      <c r="I266" s="641">
        <v>0</v>
      </c>
      <c r="J266" s="641">
        <v>4.1218275156281265</v>
      </c>
      <c r="K266" s="641">
        <v>0</v>
      </c>
      <c r="L266" s="641">
        <v>2.2815668000430724</v>
      </c>
      <c r="M266" s="641">
        <v>0</v>
      </c>
      <c r="N266" s="641">
        <v>0</v>
      </c>
      <c r="O266" s="641">
        <v>0</v>
      </c>
      <c r="P266" s="642">
        <v>0</v>
      </c>
      <c r="Q266" s="641">
        <v>0</v>
      </c>
      <c r="R266" s="641">
        <v>0</v>
      </c>
      <c r="S266" s="643">
        <v>982.62764466919975</v>
      </c>
      <c r="U266" s="639" t="s">
        <v>60</v>
      </c>
      <c r="V266" s="640">
        <v>8.3965846696126416</v>
      </c>
      <c r="W266" s="641">
        <v>294.49378048971494</v>
      </c>
      <c r="X266" s="641">
        <v>18.517216360631103</v>
      </c>
      <c r="Y266" s="640">
        <v>163.11536747865699</v>
      </c>
      <c r="Z266" s="641">
        <v>0</v>
      </c>
      <c r="AA266" s="641">
        <v>0</v>
      </c>
      <c r="AB266" s="641">
        <v>4.1218275156281265</v>
      </c>
      <c r="AC266" s="641">
        <v>0</v>
      </c>
      <c r="AD266" s="641">
        <v>2.2815668000430724</v>
      </c>
      <c r="AE266" s="641">
        <v>0</v>
      </c>
      <c r="AF266" s="641">
        <v>0</v>
      </c>
      <c r="AG266" s="641">
        <v>0</v>
      </c>
      <c r="AH266" s="642">
        <v>0</v>
      </c>
      <c r="AI266" s="641">
        <v>0</v>
      </c>
      <c r="AJ266" s="641">
        <v>0</v>
      </c>
      <c r="AK266" s="643">
        <v>490.9263433142869</v>
      </c>
    </row>
    <row r="267" spans="3:37" x14ac:dyDescent="0.2">
      <c r="C267" s="639" t="s">
        <v>61</v>
      </c>
      <c r="D267" s="640">
        <v>0</v>
      </c>
      <c r="E267" s="641">
        <v>0</v>
      </c>
      <c r="F267" s="641">
        <v>0</v>
      </c>
      <c r="G267" s="640">
        <v>0</v>
      </c>
      <c r="H267" s="641">
        <v>0</v>
      </c>
      <c r="I267" s="641">
        <v>0</v>
      </c>
      <c r="J267" s="641">
        <v>0</v>
      </c>
      <c r="K267" s="641">
        <v>0</v>
      </c>
      <c r="L267" s="641">
        <v>0</v>
      </c>
      <c r="M267" s="641">
        <v>0</v>
      </c>
      <c r="N267" s="641">
        <v>0</v>
      </c>
      <c r="O267" s="641">
        <v>0</v>
      </c>
      <c r="P267" s="642">
        <v>-38.942042128507637</v>
      </c>
      <c r="Q267" s="641">
        <v>0</v>
      </c>
      <c r="R267" s="641">
        <v>0</v>
      </c>
      <c r="S267" s="643">
        <v>-38.942042128507637</v>
      </c>
      <c r="U267" s="639" t="s">
        <v>61</v>
      </c>
      <c r="V267" s="640">
        <v>0</v>
      </c>
      <c r="W267" s="641">
        <v>0</v>
      </c>
      <c r="X267" s="641">
        <v>0</v>
      </c>
      <c r="Y267" s="640">
        <v>0</v>
      </c>
      <c r="Z267" s="641">
        <v>0</v>
      </c>
      <c r="AA267" s="641">
        <v>0</v>
      </c>
      <c r="AB267" s="641">
        <v>0</v>
      </c>
      <c r="AC267" s="641">
        <v>0</v>
      </c>
      <c r="AD267" s="641">
        <v>0</v>
      </c>
      <c r="AE267" s="641">
        <v>0</v>
      </c>
      <c r="AF267" s="641">
        <v>0</v>
      </c>
      <c r="AG267" s="641">
        <v>0</v>
      </c>
      <c r="AH267" s="642">
        <v>-20.693548582118865</v>
      </c>
      <c r="AI267" s="641">
        <v>0</v>
      </c>
      <c r="AJ267" s="641">
        <v>0</v>
      </c>
      <c r="AK267" s="643">
        <v>-20.693548582118865</v>
      </c>
    </row>
    <row r="268" spans="3:37" x14ac:dyDescent="0.2">
      <c r="C268" s="639" t="s">
        <v>62</v>
      </c>
      <c r="D268" s="640">
        <v>0</v>
      </c>
      <c r="E268" s="641">
        <v>0</v>
      </c>
      <c r="F268" s="641">
        <v>-16.016991189558784</v>
      </c>
      <c r="G268" s="640">
        <v>0</v>
      </c>
      <c r="H268" s="641">
        <v>0</v>
      </c>
      <c r="I268" s="641">
        <v>0</v>
      </c>
      <c r="J268" s="641">
        <v>0</v>
      </c>
      <c r="K268" s="641">
        <v>0</v>
      </c>
      <c r="L268" s="641">
        <v>0</v>
      </c>
      <c r="M268" s="641">
        <v>0</v>
      </c>
      <c r="N268" s="641">
        <v>0</v>
      </c>
      <c r="O268" s="641">
        <v>0</v>
      </c>
      <c r="P268" s="642">
        <v>0</v>
      </c>
      <c r="Q268" s="641">
        <v>0</v>
      </c>
      <c r="R268" s="641">
        <v>0</v>
      </c>
      <c r="S268" s="643">
        <v>-16.016991189558784</v>
      </c>
      <c r="U268" s="639" t="s">
        <v>62</v>
      </c>
      <c r="V268" s="640">
        <v>0</v>
      </c>
      <c r="W268" s="641">
        <v>0</v>
      </c>
      <c r="X268" s="641">
        <v>-11.216317309287092</v>
      </c>
      <c r="Y268" s="640">
        <v>-1.9971079411498778</v>
      </c>
      <c r="Z268" s="641">
        <v>0</v>
      </c>
      <c r="AA268" s="641">
        <v>0</v>
      </c>
      <c r="AB268" s="641">
        <v>0</v>
      </c>
      <c r="AC268" s="641">
        <v>0</v>
      </c>
      <c r="AD268" s="641">
        <v>0</v>
      </c>
      <c r="AE268" s="641">
        <v>-0.69888193239441998</v>
      </c>
      <c r="AF268" s="641">
        <v>0</v>
      </c>
      <c r="AG268" s="641">
        <v>0</v>
      </c>
      <c r="AH268" s="642">
        <v>0</v>
      </c>
      <c r="AI268" s="641">
        <v>0</v>
      </c>
      <c r="AJ268" s="641">
        <v>0</v>
      </c>
      <c r="AK268" s="643">
        <v>-13.912307182831389</v>
      </c>
    </row>
    <row r="269" spans="3:37" x14ac:dyDescent="0.2">
      <c r="C269" s="639" t="s">
        <v>63</v>
      </c>
      <c r="D269" s="640">
        <v>0</v>
      </c>
      <c r="E269" s="641">
        <v>0</v>
      </c>
      <c r="F269" s="641">
        <v>-85.676103269538828</v>
      </c>
      <c r="G269" s="640">
        <v>0</v>
      </c>
      <c r="H269" s="641">
        <v>0</v>
      </c>
      <c r="I269" s="641">
        <v>0</v>
      </c>
      <c r="J269" s="641">
        <v>0</v>
      </c>
      <c r="K269" s="641">
        <v>0</v>
      </c>
      <c r="L269" s="641">
        <v>-0.88445591317339634</v>
      </c>
      <c r="M269" s="641">
        <v>0</v>
      </c>
      <c r="N269" s="641">
        <v>0</v>
      </c>
      <c r="O269" s="641">
        <v>0</v>
      </c>
      <c r="P269" s="642">
        <v>0</v>
      </c>
      <c r="Q269" s="641">
        <v>0</v>
      </c>
      <c r="R269" s="641">
        <v>0</v>
      </c>
      <c r="S269" s="643">
        <v>-86.560559182712225</v>
      </c>
      <c r="U269" s="639" t="s">
        <v>63</v>
      </c>
      <c r="V269" s="640">
        <v>0</v>
      </c>
      <c r="W269" s="641">
        <v>0</v>
      </c>
      <c r="X269" s="641">
        <v>-61.793178017106612</v>
      </c>
      <c r="Y269" s="640">
        <v>0</v>
      </c>
      <c r="Z269" s="641">
        <v>0</v>
      </c>
      <c r="AA269" s="641">
        <v>0</v>
      </c>
      <c r="AB269" s="641">
        <v>0</v>
      </c>
      <c r="AC269" s="641">
        <v>0</v>
      </c>
      <c r="AD269" s="641">
        <v>-20.442150229714262</v>
      </c>
      <c r="AE269" s="641">
        <v>0</v>
      </c>
      <c r="AF269" s="641">
        <v>0</v>
      </c>
      <c r="AG269" s="641">
        <v>0</v>
      </c>
      <c r="AH269" s="642">
        <v>0</v>
      </c>
      <c r="AI269" s="641">
        <v>0</v>
      </c>
      <c r="AJ269" s="641">
        <v>0</v>
      </c>
      <c r="AK269" s="643">
        <v>-82.23532824682087</v>
      </c>
    </row>
    <row r="270" spans="3:37" x14ac:dyDescent="0.2">
      <c r="C270" s="639" t="s">
        <v>64</v>
      </c>
      <c r="D270" s="640">
        <v>0</v>
      </c>
      <c r="E270" s="641">
        <v>0</v>
      </c>
      <c r="F270" s="641">
        <v>0</v>
      </c>
      <c r="G270" s="640">
        <v>0</v>
      </c>
      <c r="H270" s="641">
        <v>0</v>
      </c>
      <c r="I270" s="641">
        <v>0</v>
      </c>
      <c r="J270" s="641">
        <v>0</v>
      </c>
      <c r="K270" s="641">
        <v>0</v>
      </c>
      <c r="L270" s="641">
        <v>0</v>
      </c>
      <c r="M270" s="641">
        <v>0</v>
      </c>
      <c r="N270" s="641">
        <v>0</v>
      </c>
      <c r="O270" s="641">
        <v>0</v>
      </c>
      <c r="P270" s="642">
        <v>0</v>
      </c>
      <c r="Q270" s="641">
        <v>0</v>
      </c>
      <c r="R270" s="641">
        <v>0</v>
      </c>
      <c r="S270" s="643">
        <v>0</v>
      </c>
      <c r="U270" s="639" t="s">
        <v>64</v>
      </c>
      <c r="V270" s="640">
        <v>0</v>
      </c>
      <c r="W270" s="641">
        <v>0</v>
      </c>
      <c r="X270" s="641">
        <v>0</v>
      </c>
      <c r="Y270" s="640">
        <v>0</v>
      </c>
      <c r="Z270" s="641">
        <v>0</v>
      </c>
      <c r="AA270" s="641">
        <v>0</v>
      </c>
      <c r="AB270" s="641">
        <v>0</v>
      </c>
      <c r="AC270" s="641">
        <v>0</v>
      </c>
      <c r="AD270" s="641">
        <v>0</v>
      </c>
      <c r="AE270" s="641">
        <v>0</v>
      </c>
      <c r="AF270" s="641">
        <v>0</v>
      </c>
      <c r="AG270" s="641">
        <v>0</v>
      </c>
      <c r="AH270" s="642">
        <v>0</v>
      </c>
      <c r="AI270" s="641">
        <v>0</v>
      </c>
      <c r="AJ270" s="641">
        <v>0</v>
      </c>
      <c r="AK270" s="643">
        <v>0</v>
      </c>
    </row>
    <row r="271" spans="3:37" x14ac:dyDescent="0.2">
      <c r="C271" s="644" t="s">
        <v>65</v>
      </c>
      <c r="D271" s="645">
        <v>48.372001461449948</v>
      </c>
      <c r="E271" s="645">
        <v>512.07101402008311</v>
      </c>
      <c r="F271" s="645">
        <v>-17.437975450417916</v>
      </c>
      <c r="G271" s="645">
        <v>333.88933186331565</v>
      </c>
      <c r="H271" s="645">
        <v>1005.4545454545456</v>
      </c>
      <c r="I271" s="645">
        <v>248.9826967827097</v>
      </c>
      <c r="J271" s="645">
        <v>193.94273469447566</v>
      </c>
      <c r="K271" s="645">
        <v>21.067323208066789</v>
      </c>
      <c r="L271" s="645">
        <v>1.8416249790665411</v>
      </c>
      <c r="M271" s="645">
        <v>0.15770970126630299</v>
      </c>
      <c r="N271" s="645">
        <v>60.832905155553725</v>
      </c>
      <c r="O271" s="645">
        <v>10.347989753579439</v>
      </c>
      <c r="P271" s="645">
        <v>-38.942042128507637</v>
      </c>
      <c r="Q271" s="645">
        <v>0</v>
      </c>
      <c r="R271" s="645">
        <v>0</v>
      </c>
      <c r="S271" s="645">
        <v>2380.5798594951875</v>
      </c>
      <c r="U271" s="644" t="s">
        <v>65</v>
      </c>
      <c r="V271" s="645">
        <v>8.3965846696126416</v>
      </c>
      <c r="W271" s="645">
        <v>296.81978048971496</v>
      </c>
      <c r="X271" s="645">
        <v>-54.492278965762601</v>
      </c>
      <c r="Y271" s="645">
        <v>161.15547553750713</v>
      </c>
      <c r="Z271" s="645">
        <v>949.39393939393938</v>
      </c>
      <c r="AA271" s="645">
        <v>279.58269678270966</v>
      </c>
      <c r="AB271" s="645">
        <v>200.65328572997174</v>
      </c>
      <c r="AC271" s="645">
        <v>37.828582612394825</v>
      </c>
      <c r="AD271" s="645">
        <v>-17.716069337474323</v>
      </c>
      <c r="AE271" s="645">
        <v>-0.54117223112811697</v>
      </c>
      <c r="AF271" s="645">
        <v>86.476611770328219</v>
      </c>
      <c r="AG271" s="645">
        <v>21.065809354780896</v>
      </c>
      <c r="AH271" s="645">
        <v>-20.693548582118865</v>
      </c>
      <c r="AI271" s="645">
        <v>0</v>
      </c>
      <c r="AJ271" s="645">
        <v>0</v>
      </c>
      <c r="AK271" s="645">
        <v>1947.9296972244754</v>
      </c>
    </row>
    <row r="272" spans="3:37" x14ac:dyDescent="0.2">
      <c r="C272" s="634"/>
      <c r="D272" s="634">
        <v>0</v>
      </c>
      <c r="E272" s="634">
        <v>0</v>
      </c>
      <c r="F272" s="634">
        <v>0</v>
      </c>
      <c r="G272" s="634">
        <v>0</v>
      </c>
      <c r="H272" s="634">
        <v>0</v>
      </c>
      <c r="I272" s="634">
        <v>0</v>
      </c>
      <c r="J272" s="634">
        <v>0</v>
      </c>
      <c r="K272" s="634">
        <v>0</v>
      </c>
      <c r="L272" s="634">
        <v>0</v>
      </c>
      <c r="M272" s="634">
        <v>0</v>
      </c>
      <c r="N272" s="634">
        <v>0</v>
      </c>
      <c r="O272" s="634">
        <v>0</v>
      </c>
      <c r="P272" s="634">
        <v>0</v>
      </c>
      <c r="Q272" s="634">
        <v>0</v>
      </c>
      <c r="R272" s="634">
        <v>0</v>
      </c>
      <c r="S272" s="634">
        <v>0</v>
      </c>
      <c r="U272" s="634"/>
      <c r="V272" s="634">
        <v>0</v>
      </c>
      <c r="W272" s="634">
        <v>0</v>
      </c>
      <c r="X272" s="634">
        <v>0</v>
      </c>
      <c r="Y272" s="634">
        <v>0</v>
      </c>
      <c r="Z272" s="634">
        <v>0</v>
      </c>
      <c r="AA272" s="634">
        <v>0</v>
      </c>
      <c r="AB272" s="634">
        <v>0</v>
      </c>
      <c r="AC272" s="634">
        <v>0</v>
      </c>
      <c r="AD272" s="634">
        <v>0</v>
      </c>
      <c r="AE272" s="634">
        <v>0</v>
      </c>
      <c r="AF272" s="634">
        <v>0</v>
      </c>
      <c r="AG272" s="634">
        <v>0</v>
      </c>
      <c r="AH272" s="634">
        <v>0</v>
      </c>
      <c r="AI272" s="634">
        <v>0</v>
      </c>
      <c r="AJ272" s="634">
        <v>0</v>
      </c>
      <c r="AK272" s="634">
        <v>0</v>
      </c>
    </row>
    <row r="273" spans="3:37" x14ac:dyDescent="0.2">
      <c r="C273" s="646" t="s">
        <v>67</v>
      </c>
      <c r="D273" s="640">
        <v>0</v>
      </c>
      <c r="E273" s="647">
        <v>0</v>
      </c>
      <c r="F273" s="647">
        <v>0</v>
      </c>
      <c r="G273" s="640">
        <v>0</v>
      </c>
      <c r="H273" s="640">
        <v>0</v>
      </c>
      <c r="I273" s="640">
        <v>0</v>
      </c>
      <c r="J273" s="640">
        <v>0</v>
      </c>
      <c r="K273" s="640">
        <v>0</v>
      </c>
      <c r="L273" s="640">
        <v>0</v>
      </c>
      <c r="M273" s="640">
        <v>0</v>
      </c>
      <c r="N273" s="640">
        <v>0</v>
      </c>
      <c r="O273" s="640">
        <v>0</v>
      </c>
      <c r="P273" s="640">
        <v>0</v>
      </c>
      <c r="Q273" s="640">
        <v>0</v>
      </c>
      <c r="R273" s="640">
        <v>0</v>
      </c>
      <c r="S273" s="648">
        <v>0</v>
      </c>
      <c r="U273" s="646" t="s">
        <v>67</v>
      </c>
      <c r="V273" s="640">
        <v>0</v>
      </c>
      <c r="W273" s="647">
        <v>0</v>
      </c>
      <c r="X273" s="647">
        <v>0</v>
      </c>
      <c r="Y273" s="640">
        <v>0</v>
      </c>
      <c r="Z273" s="640">
        <v>0</v>
      </c>
      <c r="AA273" s="640">
        <v>0</v>
      </c>
      <c r="AB273" s="640">
        <v>0</v>
      </c>
      <c r="AC273" s="640">
        <v>0</v>
      </c>
      <c r="AD273" s="640">
        <v>0</v>
      </c>
      <c r="AE273" s="640">
        <v>0</v>
      </c>
      <c r="AF273" s="640">
        <v>0</v>
      </c>
      <c r="AG273" s="640">
        <v>0</v>
      </c>
      <c r="AH273" s="640">
        <v>0</v>
      </c>
      <c r="AI273" s="640">
        <v>0</v>
      </c>
      <c r="AJ273" s="640">
        <v>0</v>
      </c>
      <c r="AK273" s="648">
        <v>0</v>
      </c>
    </row>
    <row r="274" spans="3:37" x14ac:dyDescent="0.2">
      <c r="C274" s="646" t="s">
        <v>347</v>
      </c>
      <c r="D274" s="640">
        <v>2.8267856410252494</v>
      </c>
      <c r="E274" s="640">
        <v>0</v>
      </c>
      <c r="F274" s="640">
        <v>7.7008933134364401</v>
      </c>
      <c r="G274" s="640">
        <v>17.192982456140349</v>
      </c>
      <c r="H274" s="640">
        <v>1005.4545454545456</v>
      </c>
      <c r="I274" s="640">
        <v>248.9826967827097</v>
      </c>
      <c r="J274" s="649">
        <v>29.95115714704033</v>
      </c>
      <c r="K274" s="649">
        <v>7.1699357941539494</v>
      </c>
      <c r="L274" s="649">
        <v>2.7260808922399375</v>
      </c>
      <c r="M274" s="649">
        <v>0.47574727688811397</v>
      </c>
      <c r="N274" s="649">
        <v>0</v>
      </c>
      <c r="O274" s="649">
        <v>5.3758847536792693</v>
      </c>
      <c r="P274" s="640">
        <v>-611.6040304377284</v>
      </c>
      <c r="Q274" s="640">
        <v>0</v>
      </c>
      <c r="R274" s="640">
        <v>0</v>
      </c>
      <c r="S274" s="648">
        <v>716.25267907413024</v>
      </c>
      <c r="U274" s="646" t="s">
        <v>347</v>
      </c>
      <c r="V274" s="640">
        <v>0.62631490545869017</v>
      </c>
      <c r="W274" s="640">
        <v>0</v>
      </c>
      <c r="X274" s="640">
        <v>3.8372569498000768</v>
      </c>
      <c r="Y274" s="640">
        <v>12.853333333333333</v>
      </c>
      <c r="Z274" s="640">
        <v>949.39393939393938</v>
      </c>
      <c r="AA274" s="640">
        <v>279.58269678270966</v>
      </c>
      <c r="AB274" s="649">
        <v>24.143657694158538</v>
      </c>
      <c r="AC274" s="649">
        <v>6.0680800758314266</v>
      </c>
      <c r="AD274" s="649">
        <v>2.7260808922399375</v>
      </c>
      <c r="AE274" s="649">
        <v>4.1838174523267107</v>
      </c>
      <c r="AF274" s="649">
        <v>0</v>
      </c>
      <c r="AG274" s="649">
        <v>5.3758847536792693</v>
      </c>
      <c r="AH274" s="640">
        <v>-621.90403043772824</v>
      </c>
      <c r="AI274" s="640">
        <v>0</v>
      </c>
      <c r="AJ274" s="640">
        <v>3.8</v>
      </c>
      <c r="AK274" s="648">
        <v>670.68703179574891</v>
      </c>
    </row>
    <row r="275" spans="3:37" x14ac:dyDescent="0.2">
      <c r="C275" s="646" t="s">
        <v>348</v>
      </c>
      <c r="D275" s="640">
        <v>0</v>
      </c>
      <c r="E275" s="640">
        <v>0</v>
      </c>
      <c r="F275" s="640">
        <v>0</v>
      </c>
      <c r="G275" s="640">
        <v>15.048436077523924</v>
      </c>
      <c r="H275" s="640">
        <v>0</v>
      </c>
      <c r="I275" s="640">
        <v>0</v>
      </c>
      <c r="J275" s="649">
        <v>12.74533322609016</v>
      </c>
      <c r="K275" s="649">
        <v>12.056480951460374</v>
      </c>
      <c r="L275" s="649">
        <v>0</v>
      </c>
      <c r="M275" s="649">
        <v>0.32133708059977345</v>
      </c>
      <c r="N275" s="649">
        <v>0</v>
      </c>
      <c r="O275" s="649">
        <v>2.1348201063802894</v>
      </c>
      <c r="P275" s="640">
        <v>0</v>
      </c>
      <c r="Q275" s="640">
        <v>-38.309646115177976</v>
      </c>
      <c r="R275" s="640">
        <v>0</v>
      </c>
      <c r="S275" s="648">
        <v>3.9967613268765492</v>
      </c>
      <c r="U275" s="646" t="s">
        <v>348</v>
      </c>
      <c r="V275" s="640">
        <v>0</v>
      </c>
      <c r="W275" s="640">
        <v>0</v>
      </c>
      <c r="X275" s="640">
        <v>0</v>
      </c>
      <c r="Y275" s="640">
        <v>12.803359009118745</v>
      </c>
      <c r="Z275" s="640">
        <v>0</v>
      </c>
      <c r="AA275" s="640">
        <v>0</v>
      </c>
      <c r="AB275" s="649">
        <v>28.717481814983032</v>
      </c>
      <c r="AC275" s="649">
        <v>25.924008984647354</v>
      </c>
      <c r="AD275" s="649">
        <v>0</v>
      </c>
      <c r="AE275" s="649">
        <v>4.0573921431217457</v>
      </c>
      <c r="AF275" s="649">
        <v>0</v>
      </c>
      <c r="AG275" s="649">
        <v>9.7357518308203428</v>
      </c>
      <c r="AH275" s="640">
        <v>0</v>
      </c>
      <c r="AI275" s="640">
        <v>-74.504230286476243</v>
      </c>
      <c r="AJ275" s="640">
        <v>0</v>
      </c>
      <c r="AK275" s="648">
        <v>6.7337634962149808</v>
      </c>
    </row>
    <row r="276" spans="3:37" x14ac:dyDescent="0.2">
      <c r="C276" s="646" t="s">
        <v>349</v>
      </c>
      <c r="D276" s="640">
        <v>0</v>
      </c>
      <c r="E276" s="640">
        <v>0</v>
      </c>
      <c r="F276" s="640">
        <v>0</v>
      </c>
      <c r="G276" s="640">
        <v>0</v>
      </c>
      <c r="H276" s="640">
        <v>0</v>
      </c>
      <c r="I276" s="640">
        <v>0</v>
      </c>
      <c r="J276" s="650">
        <v>7.2695194025067336</v>
      </c>
      <c r="K276" s="650">
        <v>0</v>
      </c>
      <c r="L276" s="650">
        <v>0</v>
      </c>
      <c r="M276" s="650">
        <v>-6.5716455398660871</v>
      </c>
      <c r="N276" s="650">
        <v>0</v>
      </c>
      <c r="O276" s="650">
        <v>0</v>
      </c>
      <c r="P276" s="640">
        <v>0</v>
      </c>
      <c r="Q276" s="640">
        <v>0</v>
      </c>
      <c r="R276" s="640">
        <v>0</v>
      </c>
      <c r="S276" s="648">
        <v>0.69787386264064644</v>
      </c>
      <c r="U276" s="646" t="s">
        <v>349</v>
      </c>
      <c r="V276" s="640">
        <v>0</v>
      </c>
      <c r="W276" s="640">
        <v>0</v>
      </c>
      <c r="X276" s="640">
        <v>0</v>
      </c>
      <c r="Y276" s="640">
        <v>0</v>
      </c>
      <c r="Z276" s="640">
        <v>0</v>
      </c>
      <c r="AA276" s="640">
        <v>0</v>
      </c>
      <c r="AB276" s="650">
        <v>56.55251118568826</v>
      </c>
      <c r="AC276" s="650">
        <v>0</v>
      </c>
      <c r="AD276" s="650">
        <v>0</v>
      </c>
      <c r="AE276" s="650">
        <v>-51.12347011186219</v>
      </c>
      <c r="AF276" s="650">
        <v>0</v>
      </c>
      <c r="AG276" s="650">
        <v>0</v>
      </c>
      <c r="AH276" s="640">
        <v>0</v>
      </c>
      <c r="AI276" s="640">
        <v>0</v>
      </c>
      <c r="AJ276" s="640">
        <v>0</v>
      </c>
      <c r="AK276" s="648">
        <v>5.4290410738260704</v>
      </c>
    </row>
    <row r="277" spans="3:37" x14ac:dyDescent="0.2">
      <c r="C277" s="646" t="s">
        <v>350</v>
      </c>
      <c r="D277" s="640">
        <v>0</v>
      </c>
      <c r="E277" s="640">
        <v>0</v>
      </c>
      <c r="F277" s="640">
        <v>0</v>
      </c>
      <c r="G277" s="640">
        <v>0</v>
      </c>
      <c r="H277" s="640">
        <v>0</v>
      </c>
      <c r="I277" s="640">
        <v>0</v>
      </c>
      <c r="J277" s="640">
        <v>0</v>
      </c>
      <c r="K277" s="640">
        <v>0</v>
      </c>
      <c r="L277" s="640">
        <v>0</v>
      </c>
      <c r="M277" s="640">
        <v>0</v>
      </c>
      <c r="N277" s="640">
        <v>0</v>
      </c>
      <c r="O277" s="640">
        <v>0</v>
      </c>
      <c r="P277" s="640">
        <v>0</v>
      </c>
      <c r="Q277" s="640">
        <v>0</v>
      </c>
      <c r="R277" s="640">
        <v>0</v>
      </c>
      <c r="S277" s="648">
        <v>0</v>
      </c>
      <c r="U277" s="646" t="s">
        <v>350</v>
      </c>
      <c r="V277" s="640">
        <v>0</v>
      </c>
      <c r="W277" s="640">
        <v>0</v>
      </c>
      <c r="X277" s="640">
        <v>0</v>
      </c>
      <c r="Y277" s="640">
        <v>0</v>
      </c>
      <c r="Z277" s="640">
        <v>0</v>
      </c>
      <c r="AA277" s="640">
        <v>0</v>
      </c>
      <c r="AB277" s="640">
        <v>0</v>
      </c>
      <c r="AC277" s="640">
        <v>0</v>
      </c>
      <c r="AD277" s="640">
        <v>0</v>
      </c>
      <c r="AE277" s="640">
        <v>0</v>
      </c>
      <c r="AF277" s="640">
        <v>0</v>
      </c>
      <c r="AG277" s="640">
        <v>0</v>
      </c>
      <c r="AH277" s="640">
        <v>0</v>
      </c>
      <c r="AI277" s="640">
        <v>0</v>
      </c>
      <c r="AJ277" s="640">
        <v>0</v>
      </c>
      <c r="AK277" s="648">
        <v>0</v>
      </c>
    </row>
    <row r="278" spans="3:37" x14ac:dyDescent="0.2">
      <c r="C278" s="646" t="s">
        <v>72</v>
      </c>
      <c r="D278" s="640">
        <v>0</v>
      </c>
      <c r="E278" s="640">
        <v>530.45114623720224</v>
      </c>
      <c r="F278" s="640">
        <v>-525.1466347748302</v>
      </c>
      <c r="G278" s="640">
        <v>0</v>
      </c>
      <c r="H278" s="640">
        <v>0</v>
      </c>
      <c r="I278" s="640">
        <v>0</v>
      </c>
      <c r="J278" s="640">
        <v>0</v>
      </c>
      <c r="K278" s="640">
        <v>0</v>
      </c>
      <c r="L278" s="640">
        <v>0</v>
      </c>
      <c r="M278" s="640">
        <v>0</v>
      </c>
      <c r="N278" s="640">
        <v>0</v>
      </c>
      <c r="O278" s="640">
        <v>0</v>
      </c>
      <c r="P278" s="640">
        <v>0</v>
      </c>
      <c r="Q278" s="640">
        <v>0</v>
      </c>
      <c r="R278" s="640">
        <v>0</v>
      </c>
      <c r="S278" s="648">
        <v>5.3045114623720337</v>
      </c>
      <c r="U278" s="646" t="s">
        <v>72</v>
      </c>
      <c r="V278" s="640">
        <v>0</v>
      </c>
      <c r="W278" s="640">
        <v>307.47374578102756</v>
      </c>
      <c r="X278" s="640">
        <v>-304.39900832321729</v>
      </c>
      <c r="Y278" s="640">
        <v>0</v>
      </c>
      <c r="Z278" s="640">
        <v>0</v>
      </c>
      <c r="AA278" s="640">
        <v>0</v>
      </c>
      <c r="AB278" s="640">
        <v>0</v>
      </c>
      <c r="AC278" s="640">
        <v>0</v>
      </c>
      <c r="AD278" s="640">
        <v>0</v>
      </c>
      <c r="AE278" s="640">
        <v>0</v>
      </c>
      <c r="AF278" s="640">
        <v>0</v>
      </c>
      <c r="AG278" s="640">
        <v>0</v>
      </c>
      <c r="AH278" s="640">
        <v>0</v>
      </c>
      <c r="AI278" s="640">
        <v>0</v>
      </c>
      <c r="AJ278" s="640">
        <v>0</v>
      </c>
      <c r="AK278" s="648">
        <v>3.0747374578102722</v>
      </c>
    </row>
    <row r="279" spans="3:37" x14ac:dyDescent="0.2">
      <c r="C279" s="646" t="s">
        <v>351</v>
      </c>
      <c r="D279" s="640">
        <v>0</v>
      </c>
      <c r="E279" s="640">
        <v>0</v>
      </c>
      <c r="F279" s="640">
        <v>0</v>
      </c>
      <c r="G279" s="640">
        <v>0</v>
      </c>
      <c r="H279" s="640">
        <v>0</v>
      </c>
      <c r="I279" s="640">
        <v>0</v>
      </c>
      <c r="J279" s="640">
        <v>30.470996070194996</v>
      </c>
      <c r="K279" s="640">
        <v>0</v>
      </c>
      <c r="L279" s="640">
        <v>-30.470996070194996</v>
      </c>
      <c r="M279" s="640">
        <v>0</v>
      </c>
      <c r="N279" s="640">
        <v>0</v>
      </c>
      <c r="O279" s="640">
        <v>0</v>
      </c>
      <c r="P279" s="640">
        <v>0</v>
      </c>
      <c r="Q279" s="640">
        <v>0</v>
      </c>
      <c r="R279" s="640">
        <v>0</v>
      </c>
      <c r="S279" s="648">
        <v>0</v>
      </c>
      <c r="U279" s="646" t="s">
        <v>351</v>
      </c>
      <c r="V279" s="640">
        <v>0</v>
      </c>
      <c r="W279" s="640">
        <v>0</v>
      </c>
      <c r="X279" s="640">
        <v>0</v>
      </c>
      <c r="Y279" s="640">
        <v>0</v>
      </c>
      <c r="Z279" s="640">
        <v>0</v>
      </c>
      <c r="AA279" s="640">
        <v>0</v>
      </c>
      <c r="AB279" s="640" t="e">
        <v>#VALUE!</v>
      </c>
      <c r="AC279" s="640">
        <v>0</v>
      </c>
      <c r="AD279" s="640">
        <v>-92.079399970639116</v>
      </c>
      <c r="AE279" s="640">
        <v>0</v>
      </c>
      <c r="AF279" s="640">
        <v>0</v>
      </c>
      <c r="AG279" s="640">
        <v>0</v>
      </c>
      <c r="AH279" s="640">
        <v>0</v>
      </c>
      <c r="AI279" s="640">
        <v>0</v>
      </c>
      <c r="AJ279" s="640">
        <v>0</v>
      </c>
      <c r="AK279" s="648">
        <v>-92.079399970639116</v>
      </c>
    </row>
    <row r="280" spans="3:37" x14ac:dyDescent="0.2">
      <c r="C280" s="646" t="s">
        <v>352</v>
      </c>
      <c r="D280" s="640">
        <v>0</v>
      </c>
      <c r="E280" s="640">
        <v>0</v>
      </c>
      <c r="F280" s="640">
        <v>0</v>
      </c>
      <c r="G280" s="640">
        <v>0</v>
      </c>
      <c r="H280" s="640">
        <v>0</v>
      </c>
      <c r="I280" s="640">
        <v>0</v>
      </c>
      <c r="J280" s="640">
        <v>0</v>
      </c>
      <c r="K280" s="640">
        <v>0</v>
      </c>
      <c r="L280" s="640">
        <v>0</v>
      </c>
      <c r="M280" s="640">
        <v>0</v>
      </c>
      <c r="N280" s="640">
        <v>0</v>
      </c>
      <c r="O280" s="640">
        <v>0</v>
      </c>
      <c r="P280" s="640">
        <v>0</v>
      </c>
      <c r="Q280" s="640">
        <v>0</v>
      </c>
      <c r="R280" s="640">
        <v>0</v>
      </c>
      <c r="S280" s="648">
        <v>0</v>
      </c>
      <c r="U280" s="646" t="s">
        <v>352</v>
      </c>
      <c r="V280" s="640">
        <v>0</v>
      </c>
      <c r="W280" s="640">
        <v>0</v>
      </c>
      <c r="X280" s="640">
        <v>0</v>
      </c>
      <c r="Y280" s="640">
        <v>0</v>
      </c>
      <c r="Z280" s="640">
        <v>0</v>
      </c>
      <c r="AA280" s="640">
        <v>0</v>
      </c>
      <c r="AB280" s="640">
        <v>0</v>
      </c>
      <c r="AC280" s="640">
        <v>0</v>
      </c>
      <c r="AD280" s="640">
        <v>-18.857582137623396</v>
      </c>
      <c r="AE280" s="640">
        <v>0</v>
      </c>
      <c r="AF280" s="640">
        <v>0</v>
      </c>
      <c r="AG280" s="640">
        <v>0</v>
      </c>
      <c r="AH280" s="640">
        <v>0</v>
      </c>
      <c r="AI280" s="640">
        <v>0</v>
      </c>
      <c r="AJ280" s="640">
        <v>0</v>
      </c>
      <c r="AK280" s="648">
        <v>-18.857582137623396</v>
      </c>
    </row>
    <row r="281" spans="3:37" x14ac:dyDescent="0.2">
      <c r="C281" s="646" t="s">
        <v>73</v>
      </c>
      <c r="D281" s="640">
        <v>0</v>
      </c>
      <c r="E281" s="640">
        <v>0</v>
      </c>
      <c r="F281" s="640">
        <v>0</v>
      </c>
      <c r="G281" s="640">
        <v>4.2253053989858387</v>
      </c>
      <c r="H281" s="640">
        <v>0</v>
      </c>
      <c r="I281" s="640">
        <v>0</v>
      </c>
      <c r="J281" s="640">
        <v>0</v>
      </c>
      <c r="K281" s="640">
        <v>4.8227473393893973E-2</v>
      </c>
      <c r="L281" s="640">
        <v>0</v>
      </c>
      <c r="M281" s="640">
        <v>8.6230722428282419E-2</v>
      </c>
      <c r="N281" s="640">
        <v>0</v>
      </c>
      <c r="O281" s="640">
        <v>0</v>
      </c>
      <c r="P281" s="640">
        <v>0.47800681593948002</v>
      </c>
      <c r="Q281" s="640">
        <v>0</v>
      </c>
      <c r="R281" s="640">
        <v>-3.3759231375725771</v>
      </c>
      <c r="S281" s="648">
        <v>1.4618472731749175</v>
      </c>
      <c r="U281" s="646" t="s">
        <v>73</v>
      </c>
      <c r="V281" s="640">
        <v>0</v>
      </c>
      <c r="W281" s="640">
        <v>0</v>
      </c>
      <c r="X281" s="640">
        <v>0</v>
      </c>
      <c r="Y281" s="640">
        <v>6.2430459874299995</v>
      </c>
      <c r="Z281" s="640">
        <v>0</v>
      </c>
      <c r="AA281" s="640">
        <v>0</v>
      </c>
      <c r="AB281" s="640">
        <v>0</v>
      </c>
      <c r="AC281" s="640">
        <v>0.34514849554566557</v>
      </c>
      <c r="AD281" s="640">
        <v>0</v>
      </c>
      <c r="AE281" s="640">
        <v>1.9714882065568418</v>
      </c>
      <c r="AF281" s="640">
        <v>0</v>
      </c>
      <c r="AG281" s="640">
        <v>0</v>
      </c>
      <c r="AH281" s="640">
        <v>26.797369919651668</v>
      </c>
      <c r="AI281" s="640">
        <v>0</v>
      </c>
      <c r="AJ281" s="640">
        <v>-24.160394688196586</v>
      </c>
      <c r="AK281" s="648">
        <v>11.196657920987594</v>
      </c>
    </row>
    <row r="282" spans="3:37" x14ac:dyDescent="0.2">
      <c r="C282" s="646" t="s">
        <v>353</v>
      </c>
      <c r="D282" s="640">
        <v>28.633394531250001</v>
      </c>
      <c r="E282" s="640">
        <v>-18.380132217119058</v>
      </c>
      <c r="F282" s="640">
        <v>24.040127313749448</v>
      </c>
      <c r="G282" s="640">
        <v>0</v>
      </c>
      <c r="H282" s="640">
        <v>0</v>
      </c>
      <c r="I282" s="640">
        <v>0</v>
      </c>
      <c r="J282" s="640">
        <v>0</v>
      </c>
      <c r="K282" s="640">
        <v>0</v>
      </c>
      <c r="L282" s="640">
        <v>0</v>
      </c>
      <c r="M282" s="640">
        <v>0</v>
      </c>
      <c r="N282" s="640">
        <v>0</v>
      </c>
      <c r="O282" s="640">
        <v>0</v>
      </c>
      <c r="P282" s="640">
        <v>0</v>
      </c>
      <c r="Q282" s="640">
        <v>0</v>
      </c>
      <c r="R282" s="640">
        <v>0</v>
      </c>
      <c r="S282" s="648">
        <v>34.293389627880387</v>
      </c>
      <c r="U282" s="646" t="s">
        <v>353</v>
      </c>
      <c r="V282" s="640">
        <v>2.8339389038085936</v>
      </c>
      <c r="W282" s="640">
        <v>-10.653965291312606</v>
      </c>
      <c r="X282" s="640">
        <v>13.93475732241321</v>
      </c>
      <c r="Y282" s="640">
        <v>0</v>
      </c>
      <c r="Z282" s="640">
        <v>0</v>
      </c>
      <c r="AA282" s="640">
        <v>0</v>
      </c>
      <c r="AB282" s="640">
        <v>0</v>
      </c>
      <c r="AC282" s="640">
        <v>0</v>
      </c>
      <c r="AD282" s="640">
        <v>0</v>
      </c>
      <c r="AE282" s="640">
        <v>0</v>
      </c>
      <c r="AF282" s="640">
        <v>0</v>
      </c>
      <c r="AG282" s="640">
        <v>0</v>
      </c>
      <c r="AH282" s="640">
        <v>0</v>
      </c>
      <c r="AI282" s="640">
        <v>0</v>
      </c>
      <c r="AJ282" s="640">
        <v>0</v>
      </c>
      <c r="AK282" s="648">
        <v>6.1147309349091987</v>
      </c>
    </row>
    <row r="283" spans="3:37" x14ac:dyDescent="0.2">
      <c r="C283" s="646" t="s">
        <v>75</v>
      </c>
      <c r="D283" s="640">
        <v>11.135208984375002</v>
      </c>
      <c r="E283" s="640">
        <v>0</v>
      </c>
      <c r="F283" s="640">
        <v>18.035338972064878</v>
      </c>
      <c r="G283" s="640">
        <v>5.1464370207933356</v>
      </c>
      <c r="H283" s="640">
        <v>0</v>
      </c>
      <c r="I283" s="640">
        <v>0</v>
      </c>
      <c r="J283" s="640">
        <v>0</v>
      </c>
      <c r="K283" s="640">
        <v>0</v>
      </c>
      <c r="L283" s="640">
        <v>0</v>
      </c>
      <c r="M283" s="640">
        <v>0.10502932695496604</v>
      </c>
      <c r="N283" s="640">
        <v>0</v>
      </c>
      <c r="O283" s="640">
        <v>0</v>
      </c>
      <c r="P283" s="640">
        <v>31.859130537431355</v>
      </c>
      <c r="Q283" s="640">
        <v>0</v>
      </c>
      <c r="R283" s="640">
        <v>0</v>
      </c>
      <c r="S283" s="648">
        <v>66.281144841619536</v>
      </c>
      <c r="U283" s="646" t="s">
        <v>75</v>
      </c>
      <c r="V283" s="640">
        <v>3.871097900390625</v>
      </c>
      <c r="W283" s="640">
        <v>0</v>
      </c>
      <c r="X283" s="640">
        <v>18.035338972064878</v>
      </c>
      <c r="Y283" s="640">
        <v>3.9911144242887096</v>
      </c>
      <c r="Z283" s="640">
        <v>0</v>
      </c>
      <c r="AA283" s="640">
        <v>0</v>
      </c>
      <c r="AB283" s="640">
        <v>0</v>
      </c>
      <c r="AC283" s="640">
        <v>0</v>
      </c>
      <c r="AD283" s="640">
        <v>0</v>
      </c>
      <c r="AE283" s="640">
        <v>1.2603519234595923</v>
      </c>
      <c r="AF283" s="640">
        <v>0</v>
      </c>
      <c r="AG283" s="640">
        <v>0</v>
      </c>
      <c r="AH283" s="640">
        <v>35.363675991976798</v>
      </c>
      <c r="AI283" s="640">
        <v>0</v>
      </c>
      <c r="AJ283" s="640">
        <v>0</v>
      </c>
      <c r="AK283" s="648">
        <v>62.521579212180605</v>
      </c>
    </row>
    <row r="284" spans="3:37" x14ac:dyDescent="0.2">
      <c r="C284" s="646" t="s">
        <v>76</v>
      </c>
      <c r="D284" s="640">
        <v>0</v>
      </c>
      <c r="E284" s="640">
        <v>0</v>
      </c>
      <c r="F284" s="640">
        <v>0</v>
      </c>
      <c r="G284" s="640">
        <v>3.818307882847094</v>
      </c>
      <c r="H284" s="640">
        <v>0</v>
      </c>
      <c r="I284" s="640">
        <v>0</v>
      </c>
      <c r="J284" s="640">
        <v>0</v>
      </c>
      <c r="K284" s="640">
        <v>0</v>
      </c>
      <c r="L284" s="640">
        <v>0</v>
      </c>
      <c r="M284" s="640">
        <v>7.7924650670348858E-2</v>
      </c>
      <c r="N284" s="640">
        <v>0</v>
      </c>
      <c r="O284" s="640">
        <v>0</v>
      </c>
      <c r="P284" s="640">
        <v>43.831436480126726</v>
      </c>
      <c r="Q284" s="640">
        <v>2.9732290990631256</v>
      </c>
      <c r="R284" s="640">
        <v>0</v>
      </c>
      <c r="S284" s="648">
        <v>50.700898112707293</v>
      </c>
      <c r="U284" s="646" t="s">
        <v>76</v>
      </c>
      <c r="V284" s="640">
        <v>0</v>
      </c>
      <c r="W284" s="640">
        <v>0</v>
      </c>
      <c r="X284" s="640">
        <v>0</v>
      </c>
      <c r="Y284" s="640">
        <v>1.9196559923426515</v>
      </c>
      <c r="Z284" s="640">
        <v>0</v>
      </c>
      <c r="AA284" s="640">
        <v>0</v>
      </c>
      <c r="AB284" s="640">
        <v>0</v>
      </c>
      <c r="AC284" s="640">
        <v>0</v>
      </c>
      <c r="AD284" s="640">
        <v>0</v>
      </c>
      <c r="AE284" s="640">
        <v>0.60620715547662674</v>
      </c>
      <c r="AF284" s="640">
        <v>0</v>
      </c>
      <c r="AG284" s="640">
        <v>0</v>
      </c>
      <c r="AH284" s="640">
        <v>46.019363501687437</v>
      </c>
      <c r="AI284" s="640">
        <v>5.777975473960776</v>
      </c>
      <c r="AJ284" s="640">
        <v>0</v>
      </c>
      <c r="AK284" s="648">
        <v>54.323202123467496</v>
      </c>
    </row>
    <row r="285" spans="3:37" x14ac:dyDescent="0.2">
      <c r="C285" s="644" t="s">
        <v>77</v>
      </c>
      <c r="D285" s="645">
        <v>42.595389156650249</v>
      </c>
      <c r="E285" s="645">
        <v>512.07101402008323</v>
      </c>
      <c r="F285" s="645">
        <v>-475.37027517557942</v>
      </c>
      <c r="G285" s="645">
        <v>45.431468836290541</v>
      </c>
      <c r="H285" s="645">
        <v>1005.4545454545456</v>
      </c>
      <c r="I285" s="645">
        <v>248.9826967827097</v>
      </c>
      <c r="J285" s="645">
        <v>80.437005845832218</v>
      </c>
      <c r="K285" s="645">
        <v>19.274644219008216</v>
      </c>
      <c r="L285" s="645">
        <v>-27.744915177955058</v>
      </c>
      <c r="M285" s="645">
        <v>-5.5053764823246025</v>
      </c>
      <c r="N285" s="645">
        <v>0</v>
      </c>
      <c r="O285" s="645">
        <v>7.5107048600595583</v>
      </c>
      <c r="P285" s="645">
        <v>-535.43545660423092</v>
      </c>
      <c r="Q285" s="645">
        <v>-35.336417016114851</v>
      </c>
      <c r="R285" s="645">
        <v>-3.3759231375725771</v>
      </c>
      <c r="S285" s="645">
        <v>878.98910558140176</v>
      </c>
      <c r="U285" s="644" t="s">
        <v>77</v>
      </c>
      <c r="V285" s="645">
        <v>7.3313517096579091</v>
      </c>
      <c r="W285" s="645">
        <v>296.81978048971496</v>
      </c>
      <c r="X285" s="645">
        <v>-268.59165507893914</v>
      </c>
      <c r="Y285" s="645">
        <v>37.810508746513442</v>
      </c>
      <c r="Z285" s="645">
        <v>949.39393939393938</v>
      </c>
      <c r="AA285" s="645">
        <v>279.58269678270966</v>
      </c>
      <c r="AB285" s="645">
        <v>109.41365069482983</v>
      </c>
      <c r="AC285" s="645">
        <v>32.337237556024441</v>
      </c>
      <c r="AD285" s="645">
        <v>-108.21090121602258</v>
      </c>
      <c r="AE285" s="645">
        <v>-39.044213230920668</v>
      </c>
      <c r="AF285" s="645">
        <v>0</v>
      </c>
      <c r="AG285" s="645">
        <v>15.111636584499612</v>
      </c>
      <c r="AH285" s="645">
        <v>-513.7236210244123</v>
      </c>
      <c r="AI285" s="645">
        <v>-68.726254812515464</v>
      </c>
      <c r="AJ285" s="645">
        <v>-20.360394688196585</v>
      </c>
      <c r="AK285" s="645">
        <v>709.14376190688279</v>
      </c>
    </row>
    <row r="286" spans="3:37" x14ac:dyDescent="0.2">
      <c r="C286" s="634"/>
      <c r="D286" s="634">
        <v>0</v>
      </c>
      <c r="E286" s="634">
        <v>0</v>
      </c>
      <c r="F286" s="634">
        <v>0</v>
      </c>
      <c r="G286" s="634">
        <v>0</v>
      </c>
      <c r="H286" s="634">
        <v>0</v>
      </c>
      <c r="I286" s="634">
        <v>0</v>
      </c>
      <c r="J286" s="634">
        <v>0</v>
      </c>
      <c r="K286" s="634">
        <v>0</v>
      </c>
      <c r="L286" s="634">
        <v>0</v>
      </c>
      <c r="M286" s="634">
        <v>0</v>
      </c>
      <c r="N286" s="634">
        <v>0</v>
      </c>
      <c r="O286" s="634">
        <v>0</v>
      </c>
      <c r="P286" s="634">
        <v>0</v>
      </c>
      <c r="Q286" s="634">
        <v>0</v>
      </c>
      <c r="R286" s="634">
        <v>0</v>
      </c>
      <c r="S286" s="634">
        <v>0</v>
      </c>
      <c r="U286" s="634"/>
      <c r="V286" s="634">
        <v>0</v>
      </c>
      <c r="W286" s="634">
        <v>0</v>
      </c>
      <c r="X286" s="634">
        <v>0</v>
      </c>
      <c r="Y286" s="634">
        <v>0</v>
      </c>
      <c r="Z286" s="634">
        <v>0</v>
      </c>
      <c r="AA286" s="634">
        <v>0</v>
      </c>
      <c r="AB286" s="634">
        <v>0</v>
      </c>
      <c r="AC286" s="634">
        <v>0</v>
      </c>
      <c r="AD286" s="634">
        <v>0</v>
      </c>
      <c r="AE286" s="634">
        <v>0</v>
      </c>
      <c r="AF286" s="634">
        <v>0</v>
      </c>
      <c r="AG286" s="634">
        <v>0</v>
      </c>
      <c r="AH286" s="634">
        <v>0</v>
      </c>
      <c r="AI286" s="634">
        <v>0</v>
      </c>
      <c r="AJ286" s="634">
        <v>0</v>
      </c>
      <c r="AK286" s="634">
        <v>0</v>
      </c>
    </row>
    <row r="287" spans="3:37" x14ac:dyDescent="0.2">
      <c r="C287" s="646" t="s">
        <v>78</v>
      </c>
      <c r="D287" s="640">
        <v>5.7766123047996905</v>
      </c>
      <c r="E287" s="640">
        <v>0</v>
      </c>
      <c r="F287" s="640">
        <v>22.402619678599791</v>
      </c>
      <c r="G287" s="640">
        <v>99.281124041468402</v>
      </c>
      <c r="H287" s="640">
        <v>0</v>
      </c>
      <c r="I287" s="640">
        <v>0</v>
      </c>
      <c r="J287" s="640">
        <v>20.258622771310847</v>
      </c>
      <c r="K287" s="640">
        <v>1.7675748663376085</v>
      </c>
      <c r="L287" s="640">
        <v>0.898333240234375</v>
      </c>
      <c r="M287" s="640">
        <v>2.0447588657198987</v>
      </c>
      <c r="N287" s="640">
        <v>0</v>
      </c>
      <c r="O287" s="640">
        <v>3.7946622282562846E-4</v>
      </c>
      <c r="P287" s="640">
        <v>110.87393457022205</v>
      </c>
      <c r="Q287" s="640">
        <v>16.091742927144434</v>
      </c>
      <c r="R287" s="640">
        <v>0.31004003906249999</v>
      </c>
      <c r="S287" s="648">
        <v>279.70574277112252</v>
      </c>
      <c r="U287" s="646" t="s">
        <v>78</v>
      </c>
      <c r="V287" s="640">
        <v>1.065232959954733</v>
      </c>
      <c r="W287" s="640">
        <v>0</v>
      </c>
      <c r="X287" s="640">
        <v>10.225742404389669</v>
      </c>
      <c r="Y287" s="640">
        <v>56.981112862578769</v>
      </c>
      <c r="Z287" s="640">
        <v>0</v>
      </c>
      <c r="AA287" s="640">
        <v>0</v>
      </c>
      <c r="AB287" s="640">
        <v>15.894636498884354</v>
      </c>
      <c r="AC287" s="640">
        <v>5.4662409336494147</v>
      </c>
      <c r="AD287" s="640">
        <v>3.5459101562500011</v>
      </c>
      <c r="AE287" s="640">
        <v>18.012649117932849</v>
      </c>
      <c r="AF287" s="640">
        <v>0</v>
      </c>
      <c r="AG287" s="640">
        <v>3.7946622282562846E-4</v>
      </c>
      <c r="AH287" s="640">
        <v>139.02742097426295</v>
      </c>
      <c r="AI287" s="640">
        <v>22.276590949645215</v>
      </c>
      <c r="AJ287" s="640">
        <v>6.4302626953124999</v>
      </c>
      <c r="AK287" s="648">
        <v>278.92617901908329</v>
      </c>
    </row>
    <row r="288" spans="3:37" x14ac:dyDescent="0.2">
      <c r="C288" s="646" t="s">
        <v>79</v>
      </c>
      <c r="D288" s="640">
        <v>0</v>
      </c>
      <c r="E288" s="640">
        <v>0</v>
      </c>
      <c r="F288" s="640">
        <v>266.09529408288529</v>
      </c>
      <c r="G288" s="640">
        <v>27.519674276690072</v>
      </c>
      <c r="H288" s="640">
        <v>0</v>
      </c>
      <c r="I288" s="640">
        <v>0</v>
      </c>
      <c r="J288" s="640">
        <v>0</v>
      </c>
      <c r="K288" s="640">
        <v>0</v>
      </c>
      <c r="L288" s="640">
        <v>25.787483151262677</v>
      </c>
      <c r="M288" s="640">
        <v>0.56162600564673626</v>
      </c>
      <c r="N288" s="640">
        <v>0</v>
      </c>
      <c r="O288" s="640">
        <v>0</v>
      </c>
      <c r="P288" s="640">
        <v>55.913522242788574</v>
      </c>
      <c r="Q288" s="640">
        <v>0</v>
      </c>
      <c r="R288" s="640">
        <v>1.6351140344190074</v>
      </c>
      <c r="S288" s="648">
        <v>377.5127137936924</v>
      </c>
      <c r="U288" s="646" t="s">
        <v>79</v>
      </c>
      <c r="V288" s="640">
        <v>0</v>
      </c>
      <c r="W288" s="640">
        <v>0</v>
      </c>
      <c r="X288" s="640">
        <v>96.606255591578162</v>
      </c>
      <c r="Y288" s="640">
        <v>18.337650579977414</v>
      </c>
      <c r="Z288" s="640">
        <v>0</v>
      </c>
      <c r="AA288" s="640">
        <v>0</v>
      </c>
      <c r="AB288" s="640">
        <v>0</v>
      </c>
      <c r="AC288" s="640">
        <v>0</v>
      </c>
      <c r="AD288" s="640">
        <v>50.618247990049454</v>
      </c>
      <c r="AE288" s="640">
        <v>5.9499820008855142</v>
      </c>
      <c r="AF288" s="640">
        <v>0</v>
      </c>
      <c r="AG288" s="640">
        <v>0</v>
      </c>
      <c r="AH288" s="640">
        <v>73.690348279738799</v>
      </c>
      <c r="AI288" s="640">
        <v>0</v>
      </c>
      <c r="AJ288" s="640">
        <v>3.6092463767880076</v>
      </c>
      <c r="AK288" s="648">
        <v>248.81173081901736</v>
      </c>
    </row>
    <row r="289" spans="3:37" x14ac:dyDescent="0.2">
      <c r="C289" s="646" t="s">
        <v>80</v>
      </c>
      <c r="D289" s="640">
        <v>0</v>
      </c>
      <c r="E289" s="640">
        <v>0</v>
      </c>
      <c r="F289" s="640">
        <v>20.365336948925044</v>
      </c>
      <c r="G289" s="640">
        <v>85.23124323075227</v>
      </c>
      <c r="H289" s="640">
        <v>0</v>
      </c>
      <c r="I289" s="640">
        <v>0</v>
      </c>
      <c r="J289" s="640">
        <v>86.726820353783026</v>
      </c>
      <c r="K289" s="640">
        <v>0</v>
      </c>
      <c r="L289" s="640">
        <v>0</v>
      </c>
      <c r="M289" s="640">
        <v>1.7394131271582098</v>
      </c>
      <c r="N289" s="640">
        <v>52.217429119397167</v>
      </c>
      <c r="O289" s="640">
        <v>2.0042749347218733</v>
      </c>
      <c r="P289" s="640">
        <v>185.58174281281848</v>
      </c>
      <c r="Q289" s="640">
        <v>15.554343379011728</v>
      </c>
      <c r="R289" s="640">
        <v>0</v>
      </c>
      <c r="S289" s="648">
        <v>449.42060390656781</v>
      </c>
      <c r="U289" s="646" t="s">
        <v>80</v>
      </c>
      <c r="V289" s="640">
        <v>0</v>
      </c>
      <c r="W289" s="640">
        <v>0</v>
      </c>
      <c r="X289" s="640">
        <v>1.2585168598114169</v>
      </c>
      <c r="Y289" s="640">
        <v>24.208168890995722</v>
      </c>
      <c r="Z289" s="640">
        <v>0</v>
      </c>
      <c r="AA289" s="640">
        <v>0</v>
      </c>
      <c r="AB289" s="640">
        <v>64.793825414524548</v>
      </c>
      <c r="AC289" s="640">
        <v>0</v>
      </c>
      <c r="AD289" s="640">
        <v>0</v>
      </c>
      <c r="AE289" s="640">
        <v>7.6446849129460164</v>
      </c>
      <c r="AF289" s="640">
        <v>71.984931036617454</v>
      </c>
      <c r="AG289" s="640">
        <v>3.153558114778761</v>
      </c>
      <c r="AH289" s="640">
        <v>153.74527198137548</v>
      </c>
      <c r="AI289" s="640">
        <v>35.336807466581455</v>
      </c>
      <c r="AJ289" s="640">
        <v>0</v>
      </c>
      <c r="AK289" s="648">
        <v>362.12576467763085</v>
      </c>
    </row>
    <row r="290" spans="3:37" x14ac:dyDescent="0.2">
      <c r="C290" s="646" t="s">
        <v>81</v>
      </c>
      <c r="D290" s="640">
        <v>0</v>
      </c>
      <c r="E290" s="640">
        <v>0</v>
      </c>
      <c r="F290" s="640">
        <v>7.1130915409553364</v>
      </c>
      <c r="G290" s="640">
        <v>63.054682395398032</v>
      </c>
      <c r="H290" s="640">
        <v>0</v>
      </c>
      <c r="I290" s="640">
        <v>0</v>
      </c>
      <c r="J290" s="640">
        <v>3.2976998041276677</v>
      </c>
      <c r="K290" s="640">
        <v>2.5104122720965388E-2</v>
      </c>
      <c r="L290" s="640">
        <v>0</v>
      </c>
      <c r="M290" s="640">
        <v>1.2868302529673068</v>
      </c>
      <c r="N290" s="640">
        <v>8.6154760361565579</v>
      </c>
      <c r="O290" s="640">
        <v>0.75786341807650337</v>
      </c>
      <c r="P290" s="640">
        <v>137.18962935697431</v>
      </c>
      <c r="Q290" s="640">
        <v>3.6903307099586842</v>
      </c>
      <c r="R290" s="640">
        <v>0</v>
      </c>
      <c r="S290" s="648">
        <v>225.03070763733538</v>
      </c>
      <c r="U290" s="646" t="s">
        <v>81</v>
      </c>
      <c r="V290" s="640">
        <v>0</v>
      </c>
      <c r="W290" s="640">
        <v>0</v>
      </c>
      <c r="X290" s="640">
        <v>2.1697022188790429</v>
      </c>
      <c r="Y290" s="640">
        <v>20.911765460712612</v>
      </c>
      <c r="Z290" s="640">
        <v>0</v>
      </c>
      <c r="AA290" s="640">
        <v>0</v>
      </c>
      <c r="AB290" s="640">
        <v>7.3285872023111214</v>
      </c>
      <c r="AC290" s="640">
        <v>2.5104122720965388E-2</v>
      </c>
      <c r="AD290" s="640">
        <v>0</v>
      </c>
      <c r="AE290" s="640">
        <v>6.6037154086460879</v>
      </c>
      <c r="AF290" s="640">
        <v>14.491680733710758</v>
      </c>
      <c r="AG290" s="640">
        <v>1.6347019702159422</v>
      </c>
      <c r="AH290" s="640">
        <v>117.90366143236871</v>
      </c>
      <c r="AI290" s="640">
        <v>11.11285639628878</v>
      </c>
      <c r="AJ290" s="640">
        <v>0</v>
      </c>
      <c r="AK290" s="648">
        <v>182.18177494585402</v>
      </c>
    </row>
    <row r="291" spans="3:37" x14ac:dyDescent="0.2">
      <c r="C291" s="646" t="s">
        <v>82</v>
      </c>
      <c r="D291" s="640">
        <v>0</v>
      </c>
      <c r="E291" s="640">
        <v>0</v>
      </c>
      <c r="F291" s="640">
        <v>30.218764596795413</v>
      </c>
      <c r="G291" s="640">
        <v>1.4924386728389218</v>
      </c>
      <c r="H291" s="640">
        <v>0</v>
      </c>
      <c r="I291" s="640">
        <v>0</v>
      </c>
      <c r="J291" s="640">
        <v>3.2225859194218685</v>
      </c>
      <c r="K291" s="640">
        <v>0</v>
      </c>
      <c r="L291" s="640">
        <v>2.9019247412329854</v>
      </c>
      <c r="M291" s="640">
        <v>3.0457932098753505E-2</v>
      </c>
      <c r="N291" s="640">
        <v>0</v>
      </c>
      <c r="O291" s="640">
        <v>7.4767074498679406E-2</v>
      </c>
      <c r="P291" s="640">
        <v>6.6555854929198803</v>
      </c>
      <c r="Q291" s="640">
        <v>0</v>
      </c>
      <c r="R291" s="640">
        <v>0</v>
      </c>
      <c r="S291" s="648">
        <v>44.596524429806507</v>
      </c>
      <c r="U291" s="646" t="s">
        <v>82</v>
      </c>
      <c r="V291" s="640">
        <v>0</v>
      </c>
      <c r="W291" s="640">
        <v>0</v>
      </c>
      <c r="X291" s="640">
        <v>13.476198254352189</v>
      </c>
      <c r="Y291" s="640">
        <v>1.4718796614135594</v>
      </c>
      <c r="Z291" s="640">
        <v>0</v>
      </c>
      <c r="AA291" s="640">
        <v>0</v>
      </c>
      <c r="AB291" s="640">
        <v>3.2225859194218685</v>
      </c>
      <c r="AC291" s="640">
        <v>0</v>
      </c>
      <c r="AD291" s="640">
        <v>23.463730160224294</v>
      </c>
      <c r="AE291" s="640">
        <v>0.46480410360428193</v>
      </c>
      <c r="AF291" s="640">
        <v>0</v>
      </c>
      <c r="AG291" s="640">
        <v>1.1655332190637568</v>
      </c>
      <c r="AH291" s="640">
        <v>6.7433697745475678</v>
      </c>
      <c r="AI291" s="640">
        <v>0</v>
      </c>
      <c r="AJ291" s="640">
        <v>0.29485655237537339</v>
      </c>
      <c r="AK291" s="648">
        <v>50.302957645002891</v>
      </c>
    </row>
    <row r="292" spans="3:37" x14ac:dyDescent="0.2">
      <c r="C292" s="646" t="s">
        <v>354</v>
      </c>
      <c r="D292" s="640">
        <v>0</v>
      </c>
      <c r="E292" s="640">
        <v>0</v>
      </c>
      <c r="F292" s="640">
        <v>0</v>
      </c>
      <c r="G292" s="640">
        <v>0</v>
      </c>
      <c r="H292" s="640">
        <v>0</v>
      </c>
      <c r="I292" s="640">
        <v>0</v>
      </c>
      <c r="J292" s="640">
        <v>0</v>
      </c>
      <c r="K292" s="640">
        <v>0</v>
      </c>
      <c r="L292" s="640">
        <v>0</v>
      </c>
      <c r="M292" s="640">
        <v>0</v>
      </c>
      <c r="N292" s="640">
        <v>0</v>
      </c>
      <c r="O292" s="640">
        <v>0</v>
      </c>
      <c r="P292" s="640">
        <v>0.27899999999999997</v>
      </c>
      <c r="Q292" s="640">
        <v>0</v>
      </c>
      <c r="R292" s="640">
        <v>0</v>
      </c>
      <c r="S292" s="648">
        <v>0.27899999999999997</v>
      </c>
      <c r="U292" s="646" t="s">
        <v>354</v>
      </c>
      <c r="V292" s="640">
        <v>0</v>
      </c>
      <c r="W292" s="640">
        <v>0</v>
      </c>
      <c r="X292" s="640">
        <v>0</v>
      </c>
      <c r="Y292" s="640">
        <v>0</v>
      </c>
      <c r="Z292" s="640">
        <v>0</v>
      </c>
      <c r="AA292" s="640">
        <v>0</v>
      </c>
      <c r="AB292" s="640">
        <v>0</v>
      </c>
      <c r="AC292" s="640">
        <v>0</v>
      </c>
      <c r="AD292" s="640">
        <v>0</v>
      </c>
      <c r="AE292" s="640">
        <v>0</v>
      </c>
      <c r="AF292" s="640">
        <v>0</v>
      </c>
      <c r="AG292" s="640">
        <v>0</v>
      </c>
      <c r="AH292" s="640">
        <v>1.92</v>
      </c>
      <c r="AI292" s="640">
        <v>0</v>
      </c>
      <c r="AJ292" s="640">
        <v>0</v>
      </c>
      <c r="AK292" s="648">
        <v>1.92</v>
      </c>
    </row>
    <row r="293" spans="3:37" x14ac:dyDescent="0.2">
      <c r="C293" s="644" t="s">
        <v>83</v>
      </c>
      <c r="D293" s="645">
        <v>5.7766123047996905</v>
      </c>
      <c r="E293" s="645">
        <v>0</v>
      </c>
      <c r="F293" s="645">
        <v>346.19510684816078</v>
      </c>
      <c r="G293" s="645">
        <v>276.57916261714774</v>
      </c>
      <c r="H293" s="645">
        <v>0</v>
      </c>
      <c r="I293" s="645">
        <v>0</v>
      </c>
      <c r="J293" s="645">
        <v>113.50572884864343</v>
      </c>
      <c r="K293" s="645">
        <v>1.7926789890585739</v>
      </c>
      <c r="L293" s="645">
        <v>29.587741132730038</v>
      </c>
      <c r="M293" s="645">
        <v>5.6630861835909059</v>
      </c>
      <c r="N293" s="645">
        <v>60.832905155553725</v>
      </c>
      <c r="O293" s="645">
        <v>2.8372848935198816</v>
      </c>
      <c r="P293" s="645">
        <v>496.49341447572323</v>
      </c>
      <c r="Q293" s="645">
        <v>35.336417016114851</v>
      </c>
      <c r="R293" s="645">
        <v>1.9451540734815074</v>
      </c>
      <c r="S293" s="645">
        <v>1376.5452925385248</v>
      </c>
      <c r="U293" s="644" t="s">
        <v>83</v>
      </c>
      <c r="V293" s="645">
        <v>1.065232959954733</v>
      </c>
      <c r="W293" s="645">
        <v>0</v>
      </c>
      <c r="X293" s="645">
        <v>123.73641532901047</v>
      </c>
      <c r="Y293" s="645">
        <v>121.91057745567808</v>
      </c>
      <c r="Z293" s="645">
        <v>0</v>
      </c>
      <c r="AA293" s="645">
        <v>0</v>
      </c>
      <c r="AB293" s="645">
        <v>91.239635035141916</v>
      </c>
      <c r="AC293" s="645">
        <v>5.4913450563703794</v>
      </c>
      <c r="AD293" s="645">
        <v>77.627888306523744</v>
      </c>
      <c r="AE293" s="645">
        <v>38.675835544014738</v>
      </c>
      <c r="AF293" s="645">
        <v>86.476611770328219</v>
      </c>
      <c r="AG293" s="645">
        <v>5.9541727702812857</v>
      </c>
      <c r="AH293" s="645">
        <v>493.03007244229349</v>
      </c>
      <c r="AI293" s="645">
        <v>68.72625481251545</v>
      </c>
      <c r="AJ293" s="645">
        <v>10.334365624475881</v>
      </c>
      <c r="AK293" s="645">
        <v>1124.2684071065887</v>
      </c>
    </row>
    <row r="294" spans="3:37" x14ac:dyDescent="0.2">
      <c r="C294" s="639" t="s">
        <v>84</v>
      </c>
      <c r="D294" s="640">
        <v>0</v>
      </c>
      <c r="E294" s="640">
        <v>0</v>
      </c>
      <c r="F294" s="640">
        <v>111.73719287700069</v>
      </c>
      <c r="G294" s="640">
        <v>11.878700409877391</v>
      </c>
      <c r="H294" s="640">
        <v>0</v>
      </c>
      <c r="I294" s="640">
        <v>0</v>
      </c>
      <c r="J294" s="640">
        <v>0</v>
      </c>
      <c r="K294" s="640">
        <v>0</v>
      </c>
      <c r="L294" s="640">
        <v>0</v>
      </c>
      <c r="M294" s="640">
        <v>0</v>
      </c>
      <c r="N294" s="640">
        <v>0</v>
      </c>
      <c r="O294" s="640">
        <v>0</v>
      </c>
      <c r="P294" s="640">
        <v>0</v>
      </c>
      <c r="Q294" s="640">
        <v>0</v>
      </c>
      <c r="R294" s="640">
        <v>1.43076906409107</v>
      </c>
      <c r="S294" s="648">
        <v>125.04666235096916</v>
      </c>
      <c r="U294" s="639" t="s">
        <v>84</v>
      </c>
      <c r="V294" s="640">
        <v>0</v>
      </c>
      <c r="W294" s="640">
        <v>0</v>
      </c>
      <c r="X294" s="640">
        <v>90.362960784166091</v>
      </c>
      <c r="Y294" s="640">
        <v>1.2615947910933976</v>
      </c>
      <c r="Z294" s="640">
        <v>0</v>
      </c>
      <c r="AA294" s="640">
        <v>0</v>
      </c>
      <c r="AB294" s="640">
        <v>0</v>
      </c>
      <c r="AC294" s="640">
        <v>0</v>
      </c>
      <c r="AD294" s="640">
        <v>14.679117373046875</v>
      </c>
      <c r="AE294" s="640">
        <v>0</v>
      </c>
      <c r="AF294" s="640">
        <v>0</v>
      </c>
      <c r="AG294" s="640">
        <v>0</v>
      </c>
      <c r="AH294" s="640">
        <v>0</v>
      </c>
      <c r="AI294" s="640">
        <v>0</v>
      </c>
      <c r="AJ294" s="640">
        <v>10.026029063720703</v>
      </c>
      <c r="AK294" s="648">
        <v>116.32970201202707</v>
      </c>
    </row>
    <row r="295" spans="3:37" x14ac:dyDescent="0.2">
      <c r="C295" s="644" t="s">
        <v>85</v>
      </c>
      <c r="D295" s="645">
        <v>5.7766123047996905</v>
      </c>
      <c r="E295" s="645">
        <v>0</v>
      </c>
      <c r="F295" s="645">
        <v>457.9322997251615</v>
      </c>
      <c r="G295" s="645">
        <v>288.45786302702516</v>
      </c>
      <c r="H295" s="645">
        <v>0</v>
      </c>
      <c r="I295" s="645">
        <v>0</v>
      </c>
      <c r="J295" s="645">
        <v>113.50572884864343</v>
      </c>
      <c r="K295" s="645">
        <v>1.7926789890585739</v>
      </c>
      <c r="L295" s="645">
        <v>29.587741132730038</v>
      </c>
      <c r="M295" s="645">
        <v>5.6630861835909059</v>
      </c>
      <c r="N295" s="645">
        <v>60.832905155553725</v>
      </c>
      <c r="O295" s="645">
        <v>2.8372848935198816</v>
      </c>
      <c r="P295" s="645">
        <v>496.49341447572323</v>
      </c>
      <c r="Q295" s="645">
        <v>35.336417016114851</v>
      </c>
      <c r="R295" s="645">
        <v>3.3759231375725776</v>
      </c>
      <c r="S295" s="645">
        <v>1501.5919548894938</v>
      </c>
      <c r="U295" s="644" t="s">
        <v>85</v>
      </c>
      <c r="V295" s="645">
        <v>1.065232959954733</v>
      </c>
      <c r="W295" s="645">
        <v>0</v>
      </c>
      <c r="X295" s="645">
        <v>214.09937611317656</v>
      </c>
      <c r="Y295" s="645">
        <v>123.17217224677148</v>
      </c>
      <c r="Z295" s="645">
        <v>0</v>
      </c>
      <c r="AA295" s="645">
        <v>0</v>
      </c>
      <c r="AB295" s="645">
        <v>91.239635035141916</v>
      </c>
      <c r="AC295" s="645">
        <v>5.4913450563703794</v>
      </c>
      <c r="AD295" s="645">
        <v>92.307005679570622</v>
      </c>
      <c r="AE295" s="645">
        <v>38.675835544014738</v>
      </c>
      <c r="AF295" s="645">
        <v>86.476611770328219</v>
      </c>
      <c r="AG295" s="645">
        <v>5.9541727702812857</v>
      </c>
      <c r="AH295" s="645">
        <v>493.03007244229349</v>
      </c>
      <c r="AI295" s="645">
        <v>68.72625481251545</v>
      </c>
      <c r="AJ295" s="645">
        <v>20.360394688196585</v>
      </c>
      <c r="AK295" s="645">
        <v>1240.5981091186156</v>
      </c>
    </row>
    <row r="296" spans="3:37" x14ac:dyDescent="0.2">
      <c r="C296" s="634"/>
      <c r="D296" s="634"/>
      <c r="E296" s="634"/>
      <c r="F296" s="634"/>
      <c r="G296" s="634"/>
      <c r="H296" s="634"/>
      <c r="I296" s="634"/>
      <c r="J296" s="634"/>
      <c r="K296" s="634"/>
      <c r="L296" s="634"/>
      <c r="M296" s="634"/>
      <c r="N296" s="634"/>
      <c r="O296" s="634"/>
      <c r="P296" s="634"/>
      <c r="Q296" s="634"/>
      <c r="R296" s="634"/>
      <c r="S296" s="634"/>
      <c r="U296" s="634"/>
      <c r="V296" s="634"/>
      <c r="W296" s="634"/>
      <c r="X296" s="634"/>
      <c r="Y296" s="634"/>
      <c r="Z296" s="634"/>
      <c r="AA296" s="634"/>
      <c r="AB296" s="634"/>
      <c r="AC296" s="634"/>
      <c r="AD296" s="634"/>
      <c r="AE296" s="634"/>
      <c r="AF296" s="634"/>
      <c r="AG296" s="634"/>
      <c r="AH296" s="634"/>
      <c r="AI296" s="634"/>
      <c r="AJ296" s="634"/>
      <c r="AK296" s="634"/>
    </row>
    <row r="297" spans="3:37" ht="22.5" x14ac:dyDescent="0.3">
      <c r="C297" s="759" t="s">
        <v>360</v>
      </c>
      <c r="D297" s="759"/>
      <c r="E297" s="759"/>
      <c r="F297" s="759"/>
      <c r="G297" s="759"/>
      <c r="H297" s="759"/>
      <c r="I297" s="759"/>
      <c r="J297" s="759"/>
      <c r="K297" s="759"/>
      <c r="L297" s="759"/>
      <c r="M297" s="759"/>
      <c r="N297" s="759"/>
      <c r="O297" s="759"/>
      <c r="P297" s="759"/>
      <c r="Q297" s="759"/>
      <c r="R297" s="759"/>
      <c r="S297" s="759"/>
      <c r="U297" s="759" t="s">
        <v>360</v>
      </c>
      <c r="V297" s="759"/>
      <c r="W297" s="759"/>
      <c r="X297" s="759"/>
      <c r="Y297" s="759"/>
      <c r="Z297" s="759"/>
      <c r="AA297" s="759"/>
      <c r="AB297" s="759"/>
      <c r="AC297" s="759"/>
      <c r="AD297" s="759"/>
      <c r="AE297" s="759"/>
      <c r="AF297" s="759"/>
      <c r="AG297" s="759"/>
      <c r="AH297" s="759"/>
      <c r="AI297" s="759"/>
      <c r="AJ297" s="759"/>
      <c r="AK297" s="759"/>
    </row>
    <row r="298" spans="3:37" x14ac:dyDescent="0.2">
      <c r="C298" s="634"/>
      <c r="D298" s="634"/>
      <c r="E298" s="634"/>
      <c r="F298" s="634"/>
      <c r="G298" s="634"/>
      <c r="H298" s="634"/>
      <c r="I298" s="634"/>
      <c r="J298" s="634"/>
      <c r="K298" s="634"/>
      <c r="L298" s="634"/>
      <c r="M298" s="634"/>
      <c r="N298" s="634"/>
      <c r="O298" s="634"/>
      <c r="P298" s="634"/>
      <c r="Q298" s="634"/>
      <c r="R298" s="634"/>
      <c r="S298" s="634"/>
      <c r="U298" s="634"/>
      <c r="V298" s="634"/>
      <c r="W298" s="634"/>
      <c r="X298" s="634"/>
      <c r="Y298" s="634"/>
      <c r="Z298" s="634"/>
      <c r="AA298" s="634"/>
      <c r="AB298" s="634"/>
      <c r="AC298" s="634"/>
      <c r="AD298" s="634"/>
      <c r="AE298" s="634"/>
      <c r="AF298" s="634"/>
      <c r="AG298" s="634"/>
      <c r="AH298" s="634"/>
      <c r="AI298" s="634"/>
      <c r="AJ298" s="634"/>
      <c r="AK298" s="634"/>
    </row>
    <row r="299" spans="3:37" ht="12.95" customHeight="1" x14ac:dyDescent="0.2">
      <c r="C299" s="758" t="s">
        <v>128</v>
      </c>
      <c r="D299" s="757" t="s">
        <v>42</v>
      </c>
      <c r="E299" s="757" t="s">
        <v>52</v>
      </c>
      <c r="F299" s="757" t="s">
        <v>53</v>
      </c>
      <c r="G299" s="757" t="s">
        <v>32</v>
      </c>
      <c r="H299" s="757" t="s">
        <v>20</v>
      </c>
      <c r="I299" s="757" t="s">
        <v>55</v>
      </c>
      <c r="J299" s="757" t="s">
        <v>56</v>
      </c>
      <c r="K299" s="757"/>
      <c r="L299" s="757"/>
      <c r="M299" s="757"/>
      <c r="N299" s="757"/>
      <c r="O299" s="757"/>
      <c r="P299" s="757" t="s">
        <v>57</v>
      </c>
      <c r="Q299" s="757" t="s">
        <v>58</v>
      </c>
      <c r="R299" s="757" t="s">
        <v>31</v>
      </c>
      <c r="S299" s="757" t="s">
        <v>10</v>
      </c>
      <c r="U299" s="758" t="s">
        <v>128</v>
      </c>
      <c r="V299" s="757" t="s">
        <v>42</v>
      </c>
      <c r="W299" s="757" t="s">
        <v>52</v>
      </c>
      <c r="X299" s="757" t="s">
        <v>53</v>
      </c>
      <c r="Y299" s="757" t="s">
        <v>32</v>
      </c>
      <c r="Z299" s="757" t="s">
        <v>20</v>
      </c>
      <c r="AA299" s="757" t="s">
        <v>55</v>
      </c>
      <c r="AB299" s="757" t="s">
        <v>56</v>
      </c>
      <c r="AC299" s="757"/>
      <c r="AD299" s="757"/>
      <c r="AE299" s="757"/>
      <c r="AF299" s="757"/>
      <c r="AG299" s="757"/>
      <c r="AH299" s="757" t="s">
        <v>57</v>
      </c>
      <c r="AI299" s="757" t="s">
        <v>58</v>
      </c>
      <c r="AJ299" s="757" t="s">
        <v>31</v>
      </c>
      <c r="AK299" s="757" t="s">
        <v>10</v>
      </c>
    </row>
    <row r="300" spans="3:37" ht="56.25" x14ac:dyDescent="0.2">
      <c r="C300" s="758"/>
      <c r="D300" s="757"/>
      <c r="E300" s="757"/>
      <c r="F300" s="757"/>
      <c r="G300" s="757"/>
      <c r="H300" s="757"/>
      <c r="I300" s="757"/>
      <c r="J300" s="638" t="s">
        <v>335</v>
      </c>
      <c r="K300" s="638" t="s">
        <v>40</v>
      </c>
      <c r="L300" s="638" t="s">
        <v>343</v>
      </c>
      <c r="M300" s="638" t="s">
        <v>344</v>
      </c>
      <c r="N300" s="638" t="s">
        <v>345</v>
      </c>
      <c r="O300" s="638" t="s">
        <v>346</v>
      </c>
      <c r="P300" s="757"/>
      <c r="Q300" s="757"/>
      <c r="R300" s="757"/>
      <c r="S300" s="757"/>
      <c r="U300" s="758"/>
      <c r="V300" s="757"/>
      <c r="W300" s="757"/>
      <c r="X300" s="757"/>
      <c r="Y300" s="757"/>
      <c r="Z300" s="757"/>
      <c r="AA300" s="757"/>
      <c r="AB300" s="638" t="s">
        <v>335</v>
      </c>
      <c r="AC300" s="638" t="s">
        <v>40</v>
      </c>
      <c r="AD300" s="638" t="s">
        <v>343</v>
      </c>
      <c r="AE300" s="638" t="s">
        <v>344</v>
      </c>
      <c r="AF300" s="638" t="s">
        <v>345</v>
      </c>
      <c r="AG300" s="638" t="s">
        <v>346</v>
      </c>
      <c r="AH300" s="757"/>
      <c r="AI300" s="757"/>
      <c r="AJ300" s="757"/>
      <c r="AK300" s="757"/>
    </row>
    <row r="301" spans="3:37" x14ac:dyDescent="0.2">
      <c r="C301" s="639" t="s">
        <v>59</v>
      </c>
      <c r="D301" s="640">
        <v>0</v>
      </c>
      <c r="E301" s="641">
        <v>0</v>
      </c>
      <c r="F301" s="641">
        <v>0</v>
      </c>
      <c r="G301" s="640">
        <v>0</v>
      </c>
      <c r="H301" s="641">
        <v>959.09090909090924</v>
      </c>
      <c r="I301" s="641">
        <v>265.54666314840352</v>
      </c>
      <c r="J301" s="641">
        <v>188.6372712469306</v>
      </c>
      <c r="K301" s="641">
        <v>20.835963621356942</v>
      </c>
      <c r="L301" s="641">
        <v>0.48646764865129044</v>
      </c>
      <c r="M301" s="641">
        <v>0.15840693111613638</v>
      </c>
      <c r="N301" s="641">
        <v>62.897832024028709</v>
      </c>
      <c r="O301" s="641">
        <v>11.865462020109925</v>
      </c>
      <c r="P301" s="642">
        <v>0</v>
      </c>
      <c r="Q301" s="641">
        <v>0</v>
      </c>
      <c r="R301" s="641">
        <v>0</v>
      </c>
      <c r="S301" s="643">
        <v>1509.5189757315065</v>
      </c>
      <c r="U301" s="639" t="s">
        <v>59</v>
      </c>
      <c r="V301" s="640">
        <v>0</v>
      </c>
      <c r="W301" s="641">
        <v>0</v>
      </c>
      <c r="X301" s="641">
        <v>0</v>
      </c>
      <c r="Y301" s="640">
        <v>0</v>
      </c>
      <c r="Z301" s="641">
        <v>919.39393939393949</v>
      </c>
      <c r="AA301" s="641">
        <v>300.16666314840353</v>
      </c>
      <c r="AB301" s="641">
        <v>196.07210414009427</v>
      </c>
      <c r="AC301" s="641">
        <v>37.690284018354092</v>
      </c>
      <c r="AD301" s="641">
        <v>0.48646764865129044</v>
      </c>
      <c r="AE301" s="641">
        <v>0.15840693111613638</v>
      </c>
      <c r="AF301" s="641">
        <v>92.901000398225491</v>
      </c>
      <c r="AG301" s="641">
        <v>23.979405132943342</v>
      </c>
      <c r="AH301" s="642">
        <v>0</v>
      </c>
      <c r="AI301" s="641">
        <v>0</v>
      </c>
      <c r="AJ301" s="641">
        <v>0</v>
      </c>
      <c r="AK301" s="643">
        <v>1570.8482708117278</v>
      </c>
    </row>
    <row r="302" spans="3:37" x14ac:dyDescent="0.2">
      <c r="C302" s="639" t="s">
        <v>60</v>
      </c>
      <c r="D302" s="640">
        <v>48.037640466799544</v>
      </c>
      <c r="E302" s="641">
        <v>504.19228646673599</v>
      </c>
      <c r="F302" s="641">
        <v>68.527294255032075</v>
      </c>
      <c r="G302" s="640">
        <v>332.96357284387591</v>
      </c>
      <c r="H302" s="641">
        <v>0</v>
      </c>
      <c r="I302" s="641">
        <v>0</v>
      </c>
      <c r="J302" s="641">
        <v>4.4041420336435353</v>
      </c>
      <c r="K302" s="641">
        <v>0</v>
      </c>
      <c r="L302" s="641">
        <v>2.4215969020745125</v>
      </c>
      <c r="M302" s="641">
        <v>0</v>
      </c>
      <c r="N302" s="641">
        <v>0</v>
      </c>
      <c r="O302" s="641">
        <v>0</v>
      </c>
      <c r="P302" s="642">
        <v>0</v>
      </c>
      <c r="Q302" s="641">
        <v>0</v>
      </c>
      <c r="R302" s="641">
        <v>0</v>
      </c>
      <c r="S302" s="643">
        <v>960.54653296816161</v>
      </c>
      <c r="U302" s="639" t="s">
        <v>60</v>
      </c>
      <c r="V302" s="640">
        <v>7.5315222042138927</v>
      </c>
      <c r="W302" s="641">
        <v>266.28302835422375</v>
      </c>
      <c r="X302" s="641">
        <v>14.660534841020075</v>
      </c>
      <c r="Y302" s="640">
        <v>136.19700966140181</v>
      </c>
      <c r="Z302" s="641">
        <v>0</v>
      </c>
      <c r="AA302" s="641">
        <v>0</v>
      </c>
      <c r="AB302" s="641">
        <v>4.4041420336435353</v>
      </c>
      <c r="AC302" s="641">
        <v>0</v>
      </c>
      <c r="AD302" s="641">
        <v>2.4215969020745125</v>
      </c>
      <c r="AE302" s="641">
        <v>0</v>
      </c>
      <c r="AF302" s="641">
        <v>0</v>
      </c>
      <c r="AG302" s="641">
        <v>0</v>
      </c>
      <c r="AH302" s="642">
        <v>0</v>
      </c>
      <c r="AI302" s="641">
        <v>0</v>
      </c>
      <c r="AJ302" s="641">
        <v>0</v>
      </c>
      <c r="AK302" s="643">
        <v>431.49783399657758</v>
      </c>
    </row>
    <row r="303" spans="3:37" x14ac:dyDescent="0.2">
      <c r="C303" s="639" t="s">
        <v>61</v>
      </c>
      <c r="D303" s="640">
        <v>0</v>
      </c>
      <c r="E303" s="641">
        <v>0</v>
      </c>
      <c r="F303" s="641">
        <v>0</v>
      </c>
      <c r="G303" s="640">
        <v>0</v>
      </c>
      <c r="H303" s="641">
        <v>0</v>
      </c>
      <c r="I303" s="641">
        <v>0</v>
      </c>
      <c r="J303" s="641">
        <v>0</v>
      </c>
      <c r="K303" s="641">
        <v>0</v>
      </c>
      <c r="L303" s="641">
        <v>0</v>
      </c>
      <c r="M303" s="641">
        <v>0</v>
      </c>
      <c r="N303" s="641">
        <v>0</v>
      </c>
      <c r="O303" s="641">
        <v>0</v>
      </c>
      <c r="P303" s="642">
        <v>-31.055970799843635</v>
      </c>
      <c r="Q303" s="641">
        <v>0</v>
      </c>
      <c r="R303" s="641">
        <v>0</v>
      </c>
      <c r="S303" s="643">
        <v>-31.055970799843635</v>
      </c>
      <c r="U303" s="639" t="s">
        <v>61</v>
      </c>
      <c r="V303" s="640">
        <v>0</v>
      </c>
      <c r="W303" s="641">
        <v>0</v>
      </c>
      <c r="X303" s="641">
        <v>-20.238165107819981</v>
      </c>
      <c r="Y303" s="640">
        <v>0</v>
      </c>
      <c r="Z303" s="641">
        <v>0</v>
      </c>
      <c r="AA303" s="641">
        <v>0</v>
      </c>
      <c r="AB303" s="641">
        <v>0</v>
      </c>
      <c r="AC303" s="641">
        <v>0</v>
      </c>
      <c r="AD303" s="641">
        <v>0</v>
      </c>
      <c r="AE303" s="641">
        <v>0</v>
      </c>
      <c r="AF303" s="641">
        <v>0</v>
      </c>
      <c r="AG303" s="641">
        <v>0</v>
      </c>
      <c r="AH303" s="642">
        <v>-12.632253344037395</v>
      </c>
      <c r="AI303" s="641">
        <v>0</v>
      </c>
      <c r="AJ303" s="641">
        <v>0</v>
      </c>
      <c r="AK303" s="643">
        <v>-32.870418451857375</v>
      </c>
    </row>
    <row r="304" spans="3:37" x14ac:dyDescent="0.2">
      <c r="C304" s="639" t="s">
        <v>62</v>
      </c>
      <c r="D304" s="640">
        <v>0</v>
      </c>
      <c r="E304" s="641">
        <v>0</v>
      </c>
      <c r="F304" s="641">
        <v>-15.855905256620872</v>
      </c>
      <c r="G304" s="640">
        <v>0</v>
      </c>
      <c r="H304" s="641">
        <v>0</v>
      </c>
      <c r="I304" s="641">
        <v>0</v>
      </c>
      <c r="J304" s="641">
        <v>0</v>
      </c>
      <c r="K304" s="641">
        <v>0</v>
      </c>
      <c r="L304" s="641">
        <v>0</v>
      </c>
      <c r="M304" s="641">
        <v>0</v>
      </c>
      <c r="N304" s="641">
        <v>0</v>
      </c>
      <c r="O304" s="641">
        <v>0</v>
      </c>
      <c r="P304" s="642">
        <v>0</v>
      </c>
      <c r="Q304" s="641">
        <v>0</v>
      </c>
      <c r="R304" s="641">
        <v>0</v>
      </c>
      <c r="S304" s="643">
        <v>-15.855905256620872</v>
      </c>
      <c r="U304" s="639" t="s">
        <v>62</v>
      </c>
      <c r="V304" s="640">
        <v>0</v>
      </c>
      <c r="W304" s="641">
        <v>0</v>
      </c>
      <c r="X304" s="641">
        <v>-10.068616817390659</v>
      </c>
      <c r="Y304" s="640">
        <v>-2.2904268439326967</v>
      </c>
      <c r="Z304" s="641">
        <v>0</v>
      </c>
      <c r="AA304" s="641">
        <v>0</v>
      </c>
      <c r="AB304" s="641">
        <v>0</v>
      </c>
      <c r="AC304" s="641">
        <v>0</v>
      </c>
      <c r="AD304" s="641">
        <v>0</v>
      </c>
      <c r="AE304" s="641">
        <v>-0.98161150454258428</v>
      </c>
      <c r="AF304" s="641">
        <v>0</v>
      </c>
      <c r="AG304" s="641">
        <v>0</v>
      </c>
      <c r="AH304" s="642">
        <v>0</v>
      </c>
      <c r="AI304" s="641">
        <v>0</v>
      </c>
      <c r="AJ304" s="641">
        <v>0</v>
      </c>
      <c r="AK304" s="643">
        <v>-13.34065516586594</v>
      </c>
    </row>
    <row r="305" spans="3:37" x14ac:dyDescent="0.2">
      <c r="C305" s="639" t="s">
        <v>63</v>
      </c>
      <c r="D305" s="640">
        <v>0</v>
      </c>
      <c r="E305" s="641">
        <v>0</v>
      </c>
      <c r="F305" s="641">
        <v>-87.092524368241456</v>
      </c>
      <c r="G305" s="640">
        <v>0</v>
      </c>
      <c r="H305" s="641">
        <v>0</v>
      </c>
      <c r="I305" s="641">
        <v>0</v>
      </c>
      <c r="J305" s="641">
        <v>0</v>
      </c>
      <c r="K305" s="641">
        <v>0</v>
      </c>
      <c r="L305" s="641">
        <v>-0.90133117758770376</v>
      </c>
      <c r="M305" s="641">
        <v>0</v>
      </c>
      <c r="N305" s="641">
        <v>0</v>
      </c>
      <c r="O305" s="641">
        <v>0</v>
      </c>
      <c r="P305" s="642">
        <v>0</v>
      </c>
      <c r="Q305" s="641">
        <v>0</v>
      </c>
      <c r="R305" s="641">
        <v>0</v>
      </c>
      <c r="S305" s="643">
        <v>-87.993855545829163</v>
      </c>
      <c r="U305" s="639" t="s">
        <v>63</v>
      </c>
      <c r="V305" s="640">
        <v>0</v>
      </c>
      <c r="W305" s="641">
        <v>0</v>
      </c>
      <c r="X305" s="641">
        <v>-58.231828596071985</v>
      </c>
      <c r="Y305" s="640">
        <v>0</v>
      </c>
      <c r="Z305" s="641">
        <v>0</v>
      </c>
      <c r="AA305" s="641">
        <v>0</v>
      </c>
      <c r="AB305" s="641">
        <v>0</v>
      </c>
      <c r="AC305" s="641">
        <v>0</v>
      </c>
      <c r="AD305" s="641">
        <v>-23.991898740742837</v>
      </c>
      <c r="AE305" s="641">
        <v>0</v>
      </c>
      <c r="AF305" s="641">
        <v>0</v>
      </c>
      <c r="AG305" s="641">
        <v>0</v>
      </c>
      <c r="AH305" s="642">
        <v>0</v>
      </c>
      <c r="AI305" s="641">
        <v>0</v>
      </c>
      <c r="AJ305" s="641">
        <v>0</v>
      </c>
      <c r="AK305" s="643">
        <v>-82.223727336814818</v>
      </c>
    </row>
    <row r="306" spans="3:37" x14ac:dyDescent="0.2">
      <c r="C306" s="639" t="s">
        <v>64</v>
      </c>
      <c r="D306" s="640">
        <v>0</v>
      </c>
      <c r="E306" s="641">
        <v>0</v>
      </c>
      <c r="F306" s="641">
        <v>0</v>
      </c>
      <c r="G306" s="640">
        <v>0</v>
      </c>
      <c r="H306" s="641">
        <v>0</v>
      </c>
      <c r="I306" s="641">
        <v>0</v>
      </c>
      <c r="J306" s="641">
        <v>0</v>
      </c>
      <c r="K306" s="641">
        <v>0</v>
      </c>
      <c r="L306" s="641">
        <v>0</v>
      </c>
      <c r="M306" s="641">
        <v>0</v>
      </c>
      <c r="N306" s="641">
        <v>0</v>
      </c>
      <c r="O306" s="641">
        <v>0</v>
      </c>
      <c r="P306" s="642">
        <v>0</v>
      </c>
      <c r="Q306" s="641">
        <v>0</v>
      </c>
      <c r="R306" s="641">
        <v>0</v>
      </c>
      <c r="S306" s="643">
        <v>0</v>
      </c>
      <c r="U306" s="639" t="s">
        <v>64</v>
      </c>
      <c r="V306" s="640">
        <v>0</v>
      </c>
      <c r="W306" s="641">
        <v>0</v>
      </c>
      <c r="X306" s="641">
        <v>0</v>
      </c>
      <c r="Y306" s="640">
        <v>0</v>
      </c>
      <c r="Z306" s="641">
        <v>0</v>
      </c>
      <c r="AA306" s="641">
        <v>0</v>
      </c>
      <c r="AB306" s="641">
        <v>0</v>
      </c>
      <c r="AC306" s="641">
        <v>0</v>
      </c>
      <c r="AD306" s="641">
        <v>0</v>
      </c>
      <c r="AE306" s="641">
        <v>0</v>
      </c>
      <c r="AF306" s="641">
        <v>0</v>
      </c>
      <c r="AG306" s="641">
        <v>0</v>
      </c>
      <c r="AH306" s="642">
        <v>0</v>
      </c>
      <c r="AI306" s="641">
        <v>0</v>
      </c>
      <c r="AJ306" s="641">
        <v>0</v>
      </c>
      <c r="AK306" s="643">
        <v>0</v>
      </c>
    </row>
    <row r="307" spans="3:37" x14ac:dyDescent="0.2">
      <c r="C307" s="644" t="s">
        <v>65</v>
      </c>
      <c r="D307" s="645">
        <v>48.037640466799544</v>
      </c>
      <c r="E307" s="645">
        <v>504.19228646673599</v>
      </c>
      <c r="F307" s="645">
        <v>-34.42113536983026</v>
      </c>
      <c r="G307" s="645">
        <v>332.96357284387591</v>
      </c>
      <c r="H307" s="645">
        <v>959.09090909090924</v>
      </c>
      <c r="I307" s="645">
        <v>265.54666314840352</v>
      </c>
      <c r="J307" s="645">
        <v>193.04141328057412</v>
      </c>
      <c r="K307" s="645">
        <v>20.835963621356942</v>
      </c>
      <c r="L307" s="645">
        <v>2.0067333731380987</v>
      </c>
      <c r="M307" s="645">
        <v>0.15840693111613638</v>
      </c>
      <c r="N307" s="645">
        <v>62.897832024028709</v>
      </c>
      <c r="O307" s="645">
        <v>11.865462020109925</v>
      </c>
      <c r="P307" s="645">
        <v>-31.055970799843635</v>
      </c>
      <c r="Q307" s="645">
        <v>0</v>
      </c>
      <c r="R307" s="645">
        <v>0</v>
      </c>
      <c r="S307" s="645">
        <v>2335.159777097374</v>
      </c>
      <c r="U307" s="644" t="s">
        <v>65</v>
      </c>
      <c r="V307" s="645">
        <v>7.5315222042138927</v>
      </c>
      <c r="W307" s="645">
        <v>266.28302835422375</v>
      </c>
      <c r="X307" s="645">
        <v>-73.87807568026254</v>
      </c>
      <c r="Y307" s="645">
        <v>133.90658281746911</v>
      </c>
      <c r="Z307" s="645">
        <v>919.39393939393949</v>
      </c>
      <c r="AA307" s="645">
        <v>300.16666314840353</v>
      </c>
      <c r="AB307" s="645">
        <v>200.47624617373779</v>
      </c>
      <c r="AC307" s="645">
        <v>37.690284018354092</v>
      </c>
      <c r="AD307" s="645">
        <v>-21.083834190017033</v>
      </c>
      <c r="AE307" s="645">
        <v>-0.82320457342644793</v>
      </c>
      <c r="AF307" s="645">
        <v>92.901000398225491</v>
      </c>
      <c r="AG307" s="645">
        <v>23.979405132943342</v>
      </c>
      <c r="AH307" s="645">
        <v>-12.632253344037395</v>
      </c>
      <c r="AI307" s="645">
        <v>0</v>
      </c>
      <c r="AJ307" s="645">
        <v>0</v>
      </c>
      <c r="AK307" s="645">
        <v>1873.9113038537675</v>
      </c>
    </row>
    <row r="308" spans="3:37" x14ac:dyDescent="0.2">
      <c r="C308" s="634"/>
      <c r="D308" s="634">
        <v>0</v>
      </c>
      <c r="E308" s="634">
        <v>0</v>
      </c>
      <c r="F308" s="634">
        <v>0</v>
      </c>
      <c r="G308" s="634">
        <v>0</v>
      </c>
      <c r="H308" s="634">
        <v>0</v>
      </c>
      <c r="I308" s="634">
        <v>0</v>
      </c>
      <c r="J308" s="634">
        <v>0</v>
      </c>
      <c r="K308" s="634">
        <v>0</v>
      </c>
      <c r="L308" s="634">
        <v>0</v>
      </c>
      <c r="M308" s="634">
        <v>0</v>
      </c>
      <c r="N308" s="634">
        <v>0</v>
      </c>
      <c r="O308" s="634">
        <v>0</v>
      </c>
      <c r="P308" s="634">
        <v>0</v>
      </c>
      <c r="Q308" s="634">
        <v>0</v>
      </c>
      <c r="R308" s="634">
        <v>0</v>
      </c>
      <c r="S308" s="634">
        <v>0</v>
      </c>
      <c r="U308" s="634"/>
      <c r="V308" s="634">
        <v>0</v>
      </c>
      <c r="W308" s="634">
        <v>0</v>
      </c>
      <c r="X308" s="634">
        <v>0</v>
      </c>
      <c r="Y308" s="634">
        <v>0</v>
      </c>
      <c r="Z308" s="634">
        <v>0</v>
      </c>
      <c r="AA308" s="634">
        <v>0</v>
      </c>
      <c r="AB308" s="634">
        <v>0</v>
      </c>
      <c r="AC308" s="634">
        <v>0</v>
      </c>
      <c r="AD308" s="634">
        <v>0</v>
      </c>
      <c r="AE308" s="634">
        <v>0</v>
      </c>
      <c r="AF308" s="634">
        <v>0</v>
      </c>
      <c r="AG308" s="634">
        <v>0</v>
      </c>
      <c r="AH308" s="634">
        <v>0</v>
      </c>
      <c r="AI308" s="634">
        <v>0</v>
      </c>
      <c r="AJ308" s="634">
        <v>0</v>
      </c>
      <c r="AK308" s="634">
        <v>0</v>
      </c>
    </row>
    <row r="309" spans="3:37" x14ac:dyDescent="0.2">
      <c r="C309" s="646" t="s">
        <v>67</v>
      </c>
      <c r="D309" s="640">
        <v>0</v>
      </c>
      <c r="E309" s="647">
        <v>0</v>
      </c>
      <c r="F309" s="647">
        <v>0</v>
      </c>
      <c r="G309" s="640">
        <v>0</v>
      </c>
      <c r="H309" s="640">
        <v>0</v>
      </c>
      <c r="I309" s="640">
        <v>0</v>
      </c>
      <c r="J309" s="640">
        <v>0</v>
      </c>
      <c r="K309" s="640">
        <v>0</v>
      </c>
      <c r="L309" s="640">
        <v>0</v>
      </c>
      <c r="M309" s="640">
        <v>0</v>
      </c>
      <c r="N309" s="640">
        <v>0</v>
      </c>
      <c r="O309" s="640">
        <v>0</v>
      </c>
      <c r="P309" s="640">
        <v>0</v>
      </c>
      <c r="Q309" s="640">
        <v>0</v>
      </c>
      <c r="R309" s="640">
        <v>0</v>
      </c>
      <c r="S309" s="648">
        <v>0</v>
      </c>
      <c r="U309" s="646" t="s">
        <v>67</v>
      </c>
      <c r="V309" s="640">
        <v>0</v>
      </c>
      <c r="W309" s="647">
        <v>0</v>
      </c>
      <c r="X309" s="647">
        <v>0</v>
      </c>
      <c r="Y309" s="640">
        <v>0</v>
      </c>
      <c r="Z309" s="640">
        <v>0</v>
      </c>
      <c r="AA309" s="640">
        <v>0</v>
      </c>
      <c r="AB309" s="640">
        <v>0</v>
      </c>
      <c r="AC309" s="640">
        <v>0</v>
      </c>
      <c r="AD309" s="640">
        <v>0</v>
      </c>
      <c r="AE309" s="640">
        <v>0</v>
      </c>
      <c r="AF309" s="640">
        <v>0</v>
      </c>
      <c r="AG309" s="640">
        <v>0</v>
      </c>
      <c r="AH309" s="640">
        <v>0</v>
      </c>
      <c r="AI309" s="640">
        <v>0</v>
      </c>
      <c r="AJ309" s="640">
        <v>0</v>
      </c>
      <c r="AK309" s="648">
        <v>0</v>
      </c>
    </row>
    <row r="310" spans="3:37" x14ac:dyDescent="0.2">
      <c r="C310" s="646" t="s">
        <v>347</v>
      </c>
      <c r="D310" s="640">
        <v>2.8267856410252494</v>
      </c>
      <c r="E310" s="640">
        <v>0</v>
      </c>
      <c r="F310" s="640">
        <v>7.5217067848259731</v>
      </c>
      <c r="G310" s="640">
        <v>17.043478260869566</v>
      </c>
      <c r="H310" s="640">
        <v>959.09090909090924</v>
      </c>
      <c r="I310" s="640">
        <v>265.54666314840352</v>
      </c>
      <c r="J310" s="649">
        <v>29.657322749860491</v>
      </c>
      <c r="K310" s="649">
        <v>6.9984717304001904</v>
      </c>
      <c r="L310" s="649">
        <v>2.9080645507258027</v>
      </c>
      <c r="M310" s="649">
        <v>0.47316517381762646</v>
      </c>
      <c r="N310" s="649">
        <v>0</v>
      </c>
      <c r="O310" s="649">
        <v>6.9042102843702597</v>
      </c>
      <c r="P310" s="640">
        <v>-613.13903868039233</v>
      </c>
      <c r="Q310" s="640">
        <v>0</v>
      </c>
      <c r="R310" s="640">
        <v>0</v>
      </c>
      <c r="S310" s="648">
        <v>685.83173873481564</v>
      </c>
      <c r="U310" s="646" t="s">
        <v>347</v>
      </c>
      <c r="V310" s="640">
        <v>0.62631490545869017</v>
      </c>
      <c r="W310" s="640">
        <v>0</v>
      </c>
      <c r="X310" s="640">
        <v>3.6580704211896093</v>
      </c>
      <c r="Y310" s="640">
        <v>6.2086956521739127</v>
      </c>
      <c r="Z310" s="640">
        <v>919.39393939393949</v>
      </c>
      <c r="AA310" s="640">
        <v>300.16666314840353</v>
      </c>
      <c r="AB310" s="649">
        <v>23.86094386593884</v>
      </c>
      <c r="AC310" s="649">
        <v>5.6952120200596408</v>
      </c>
      <c r="AD310" s="649">
        <v>2.9080645507258027</v>
      </c>
      <c r="AE310" s="649">
        <v>2.7862086520784959</v>
      </c>
      <c r="AF310" s="649">
        <v>0</v>
      </c>
      <c r="AG310" s="649">
        <v>6.9042102843702597</v>
      </c>
      <c r="AH310" s="640">
        <v>-628.6590386803922</v>
      </c>
      <c r="AI310" s="640">
        <v>0</v>
      </c>
      <c r="AJ310" s="640">
        <v>4.7499999999999991</v>
      </c>
      <c r="AK310" s="648">
        <v>648.29928421394618</v>
      </c>
    </row>
    <row r="311" spans="3:37" x14ac:dyDescent="0.2">
      <c r="C311" s="646" t="s">
        <v>348</v>
      </c>
      <c r="D311" s="640">
        <v>0</v>
      </c>
      <c r="E311" s="640">
        <v>0</v>
      </c>
      <c r="F311" s="640">
        <v>0</v>
      </c>
      <c r="G311" s="640">
        <v>14.973464488470796</v>
      </c>
      <c r="H311" s="640">
        <v>0</v>
      </c>
      <c r="I311" s="640">
        <v>0</v>
      </c>
      <c r="J311" s="649">
        <v>12.61885930635281</v>
      </c>
      <c r="K311" s="649">
        <v>11.992989190910333</v>
      </c>
      <c r="L311" s="649">
        <v>0</v>
      </c>
      <c r="M311" s="649">
        <v>0.32007470171399477</v>
      </c>
      <c r="N311" s="649">
        <v>0</v>
      </c>
      <c r="O311" s="649">
        <v>2.1221335576886813</v>
      </c>
      <c r="P311" s="640">
        <v>0</v>
      </c>
      <c r="Q311" s="640">
        <v>-38.122859170635891</v>
      </c>
      <c r="R311" s="640">
        <v>0</v>
      </c>
      <c r="S311" s="648">
        <v>3.9046620745007217</v>
      </c>
      <c r="U311" s="646" t="s">
        <v>348</v>
      </c>
      <c r="V311" s="640">
        <v>0</v>
      </c>
      <c r="W311" s="640">
        <v>0</v>
      </c>
      <c r="X311" s="640">
        <v>0</v>
      </c>
      <c r="Y311" s="640">
        <v>11.236128743190402</v>
      </c>
      <c r="Z311" s="640">
        <v>0</v>
      </c>
      <c r="AA311" s="640">
        <v>0</v>
      </c>
      <c r="AB311" s="649">
        <v>28.835017835425074</v>
      </c>
      <c r="AC311" s="649">
        <v>26.276566272731909</v>
      </c>
      <c r="AD311" s="649">
        <v>0</v>
      </c>
      <c r="AE311" s="649">
        <v>4.8299775408676195</v>
      </c>
      <c r="AF311" s="649">
        <v>0</v>
      </c>
      <c r="AG311" s="649">
        <v>10.71495831218258</v>
      </c>
      <c r="AH311" s="640">
        <v>0</v>
      </c>
      <c r="AI311" s="640">
        <v>-75.331063655699538</v>
      </c>
      <c r="AJ311" s="640">
        <v>0</v>
      </c>
      <c r="AK311" s="648">
        <v>6.561585048698058</v>
      </c>
    </row>
    <row r="312" spans="3:37" x14ac:dyDescent="0.2">
      <c r="C312" s="646" t="s">
        <v>349</v>
      </c>
      <c r="D312" s="640">
        <v>0</v>
      </c>
      <c r="E312" s="640">
        <v>0</v>
      </c>
      <c r="F312" s="640">
        <v>0</v>
      </c>
      <c r="G312" s="640">
        <v>0</v>
      </c>
      <c r="H312" s="640">
        <v>0</v>
      </c>
      <c r="I312" s="640">
        <v>0</v>
      </c>
      <c r="J312" s="650">
        <v>7.1836152532588793</v>
      </c>
      <c r="K312" s="650">
        <v>0</v>
      </c>
      <c r="L312" s="650">
        <v>0</v>
      </c>
      <c r="M312" s="650">
        <v>-6.5550489185987271</v>
      </c>
      <c r="N312" s="650">
        <v>0</v>
      </c>
      <c r="O312" s="650">
        <v>0</v>
      </c>
      <c r="P312" s="640">
        <v>0</v>
      </c>
      <c r="Q312" s="640">
        <v>0</v>
      </c>
      <c r="R312" s="640">
        <v>0</v>
      </c>
      <c r="S312" s="648">
        <v>0.62856633466015222</v>
      </c>
      <c r="U312" s="646" t="s">
        <v>349</v>
      </c>
      <c r="V312" s="640">
        <v>0</v>
      </c>
      <c r="W312" s="640">
        <v>0</v>
      </c>
      <c r="X312" s="640">
        <v>0</v>
      </c>
      <c r="Y312" s="640">
        <v>0</v>
      </c>
      <c r="Z312" s="640">
        <v>0</v>
      </c>
      <c r="AA312" s="640">
        <v>0</v>
      </c>
      <c r="AB312" s="650">
        <v>63.436450079223192</v>
      </c>
      <c r="AC312" s="650">
        <v>0</v>
      </c>
      <c r="AD312" s="650">
        <v>0</v>
      </c>
      <c r="AE312" s="650">
        <v>-57.885760697291161</v>
      </c>
      <c r="AF312" s="650">
        <v>0</v>
      </c>
      <c r="AG312" s="650">
        <v>0</v>
      </c>
      <c r="AH312" s="640">
        <v>0</v>
      </c>
      <c r="AI312" s="640">
        <v>0</v>
      </c>
      <c r="AJ312" s="640">
        <v>0</v>
      </c>
      <c r="AK312" s="648">
        <v>5.5506893819320311</v>
      </c>
    </row>
    <row r="313" spans="3:37" x14ac:dyDescent="0.2">
      <c r="C313" s="646" t="s">
        <v>350</v>
      </c>
      <c r="D313" s="640">
        <v>0</v>
      </c>
      <c r="E313" s="640">
        <v>0</v>
      </c>
      <c r="F313" s="640">
        <v>0</v>
      </c>
      <c r="G313" s="640">
        <v>0</v>
      </c>
      <c r="H313" s="640">
        <v>0</v>
      </c>
      <c r="I313" s="640">
        <v>0</v>
      </c>
      <c r="J313" s="640">
        <v>0</v>
      </c>
      <c r="K313" s="640">
        <v>0</v>
      </c>
      <c r="L313" s="640">
        <v>0</v>
      </c>
      <c r="M313" s="640">
        <v>0</v>
      </c>
      <c r="N313" s="640">
        <v>0</v>
      </c>
      <c r="O313" s="640">
        <v>0</v>
      </c>
      <c r="P313" s="640">
        <v>0</v>
      </c>
      <c r="Q313" s="640">
        <v>0</v>
      </c>
      <c r="R313" s="640">
        <v>0</v>
      </c>
      <c r="S313" s="648">
        <v>0</v>
      </c>
      <c r="U313" s="646" t="s">
        <v>350</v>
      </c>
      <c r="V313" s="640">
        <v>0</v>
      </c>
      <c r="W313" s="640">
        <v>0</v>
      </c>
      <c r="X313" s="640">
        <v>0</v>
      </c>
      <c r="Y313" s="640">
        <v>0</v>
      </c>
      <c r="Z313" s="640">
        <v>0</v>
      </c>
      <c r="AA313" s="640">
        <v>0</v>
      </c>
      <c r="AB313" s="640">
        <v>0</v>
      </c>
      <c r="AC313" s="640">
        <v>0</v>
      </c>
      <c r="AD313" s="640">
        <v>0</v>
      </c>
      <c r="AE313" s="640">
        <v>0</v>
      </c>
      <c r="AF313" s="640">
        <v>0</v>
      </c>
      <c r="AG313" s="640">
        <v>0</v>
      </c>
      <c r="AH313" s="640">
        <v>0</v>
      </c>
      <c r="AI313" s="640">
        <v>0</v>
      </c>
      <c r="AJ313" s="640">
        <v>0</v>
      </c>
      <c r="AK313" s="648">
        <v>0</v>
      </c>
    </row>
    <row r="314" spans="3:37" x14ac:dyDescent="0.2">
      <c r="C314" s="646" t="s">
        <v>72</v>
      </c>
      <c r="D314" s="640">
        <v>0</v>
      </c>
      <c r="E314" s="640">
        <v>522.28962186433523</v>
      </c>
      <c r="F314" s="640">
        <v>-517.06672564569192</v>
      </c>
      <c r="G314" s="640">
        <v>0</v>
      </c>
      <c r="H314" s="640">
        <v>0</v>
      </c>
      <c r="I314" s="640">
        <v>0</v>
      </c>
      <c r="J314" s="640">
        <v>0</v>
      </c>
      <c r="K314" s="640">
        <v>0</v>
      </c>
      <c r="L314" s="640">
        <v>0</v>
      </c>
      <c r="M314" s="640">
        <v>0</v>
      </c>
      <c r="N314" s="640">
        <v>0</v>
      </c>
      <c r="O314" s="640">
        <v>0</v>
      </c>
      <c r="P314" s="640">
        <v>0</v>
      </c>
      <c r="Q314" s="640">
        <v>0</v>
      </c>
      <c r="R314" s="640">
        <v>0</v>
      </c>
      <c r="S314" s="648">
        <v>5.2228962186433137</v>
      </c>
      <c r="U314" s="646" t="s">
        <v>72</v>
      </c>
      <c r="V314" s="640">
        <v>0</v>
      </c>
      <c r="W314" s="640">
        <v>275.84091609698424</v>
      </c>
      <c r="X314" s="640">
        <v>-273.0825069360144</v>
      </c>
      <c r="Y314" s="640">
        <v>0</v>
      </c>
      <c r="Z314" s="640">
        <v>0</v>
      </c>
      <c r="AA314" s="640">
        <v>0</v>
      </c>
      <c r="AB314" s="640">
        <v>0</v>
      </c>
      <c r="AC314" s="640">
        <v>0</v>
      </c>
      <c r="AD314" s="640">
        <v>0</v>
      </c>
      <c r="AE314" s="640">
        <v>0</v>
      </c>
      <c r="AF314" s="640">
        <v>0</v>
      </c>
      <c r="AG314" s="640">
        <v>0</v>
      </c>
      <c r="AH314" s="640">
        <v>0</v>
      </c>
      <c r="AI314" s="640">
        <v>0</v>
      </c>
      <c r="AJ314" s="640">
        <v>0</v>
      </c>
      <c r="AK314" s="648">
        <v>2.7584091609698476</v>
      </c>
    </row>
    <row r="315" spans="3:37" x14ac:dyDescent="0.2">
      <c r="C315" s="646" t="s">
        <v>351</v>
      </c>
      <c r="D315" s="640">
        <v>0</v>
      </c>
      <c r="E315" s="640">
        <v>0</v>
      </c>
      <c r="F315" s="640">
        <v>0</v>
      </c>
      <c r="G315" s="640">
        <v>0</v>
      </c>
      <c r="H315" s="640">
        <v>0</v>
      </c>
      <c r="I315" s="640">
        <v>0</v>
      </c>
      <c r="J315" s="640">
        <v>28.942309114060045</v>
      </c>
      <c r="K315" s="640">
        <v>0</v>
      </c>
      <c r="L315" s="640">
        <v>-28.942309114060045</v>
      </c>
      <c r="M315" s="640">
        <v>0</v>
      </c>
      <c r="N315" s="640">
        <v>0</v>
      </c>
      <c r="O315" s="640">
        <v>0</v>
      </c>
      <c r="P315" s="640">
        <v>0</v>
      </c>
      <c r="Q315" s="640">
        <v>0</v>
      </c>
      <c r="R315" s="640">
        <v>0</v>
      </c>
      <c r="S315" s="648">
        <v>0</v>
      </c>
      <c r="U315" s="646" t="s">
        <v>351</v>
      </c>
      <c r="V315" s="640">
        <v>0</v>
      </c>
      <c r="W315" s="640">
        <v>0</v>
      </c>
      <c r="X315" s="640">
        <v>0</v>
      </c>
      <c r="Y315" s="640">
        <v>0</v>
      </c>
      <c r="Z315" s="640">
        <v>0</v>
      </c>
      <c r="AA315" s="640">
        <v>0</v>
      </c>
      <c r="AB315" s="640" t="e">
        <v>#VALUE!</v>
      </c>
      <c r="AC315" s="640">
        <v>0</v>
      </c>
      <c r="AD315" s="640">
        <v>-101.68735143023177</v>
      </c>
      <c r="AE315" s="640">
        <v>0</v>
      </c>
      <c r="AF315" s="640">
        <v>0</v>
      </c>
      <c r="AG315" s="640">
        <v>0</v>
      </c>
      <c r="AH315" s="640">
        <v>0</v>
      </c>
      <c r="AI315" s="640">
        <v>0</v>
      </c>
      <c r="AJ315" s="640">
        <v>0</v>
      </c>
      <c r="AK315" s="648">
        <v>-101.68735143023177</v>
      </c>
    </row>
    <row r="316" spans="3:37" x14ac:dyDescent="0.2">
      <c r="C316" s="646" t="s">
        <v>352</v>
      </c>
      <c r="D316" s="640">
        <v>0</v>
      </c>
      <c r="E316" s="640">
        <v>0</v>
      </c>
      <c r="F316" s="640">
        <v>0</v>
      </c>
      <c r="G316" s="640">
        <v>0</v>
      </c>
      <c r="H316" s="640">
        <v>0</v>
      </c>
      <c r="I316" s="640">
        <v>0</v>
      </c>
      <c r="J316" s="640">
        <v>0</v>
      </c>
      <c r="K316" s="640">
        <v>0</v>
      </c>
      <c r="L316" s="640">
        <v>0</v>
      </c>
      <c r="M316" s="640">
        <v>0</v>
      </c>
      <c r="N316" s="640">
        <v>0</v>
      </c>
      <c r="O316" s="640">
        <v>0</v>
      </c>
      <c r="P316" s="640">
        <v>0</v>
      </c>
      <c r="Q316" s="640">
        <v>0</v>
      </c>
      <c r="R316" s="640">
        <v>0</v>
      </c>
      <c r="S316" s="648">
        <v>0</v>
      </c>
      <c r="U316" s="646" t="s">
        <v>352</v>
      </c>
      <c r="V316" s="640">
        <v>0</v>
      </c>
      <c r="W316" s="640">
        <v>0</v>
      </c>
      <c r="X316" s="640">
        <v>0</v>
      </c>
      <c r="Y316" s="640">
        <v>0</v>
      </c>
      <c r="Z316" s="640">
        <v>0</v>
      </c>
      <c r="AA316" s="640">
        <v>0</v>
      </c>
      <c r="AB316" s="640">
        <v>0</v>
      </c>
      <c r="AC316" s="640">
        <v>0</v>
      </c>
      <c r="AD316" s="640">
        <v>-20.330518764117095</v>
      </c>
      <c r="AE316" s="640">
        <v>0</v>
      </c>
      <c r="AF316" s="640">
        <v>0</v>
      </c>
      <c r="AG316" s="640">
        <v>0</v>
      </c>
      <c r="AH316" s="640">
        <v>0</v>
      </c>
      <c r="AI316" s="640">
        <v>0</v>
      </c>
      <c r="AJ316" s="640">
        <v>0</v>
      </c>
      <c r="AK316" s="648">
        <v>-20.330518764117095</v>
      </c>
    </row>
    <row r="317" spans="3:37" x14ac:dyDescent="0.2">
      <c r="C317" s="646" t="s">
        <v>73</v>
      </c>
      <c r="D317" s="640">
        <v>0</v>
      </c>
      <c r="E317" s="640">
        <v>0</v>
      </c>
      <c r="F317" s="640">
        <v>0</v>
      </c>
      <c r="G317" s="640">
        <v>5.1012543356530031</v>
      </c>
      <c r="H317" s="640">
        <v>0</v>
      </c>
      <c r="I317" s="640">
        <v>0</v>
      </c>
      <c r="J317" s="640">
        <v>0</v>
      </c>
      <c r="K317" s="640">
        <v>5.8487208617897309E-2</v>
      </c>
      <c r="L317" s="640">
        <v>0</v>
      </c>
      <c r="M317" s="640">
        <v>0.10410723133985722</v>
      </c>
      <c r="N317" s="640">
        <v>0</v>
      </c>
      <c r="O317" s="640">
        <v>0</v>
      </c>
      <c r="P317" s="640">
        <v>0.59767950412449788</v>
      </c>
      <c r="Q317" s="640">
        <v>0</v>
      </c>
      <c r="R317" s="640">
        <v>-4.094104603252811</v>
      </c>
      <c r="S317" s="648">
        <v>1.7674236764824451</v>
      </c>
      <c r="U317" s="646" t="s">
        <v>73</v>
      </c>
      <c r="V317" s="640">
        <v>0</v>
      </c>
      <c r="W317" s="640">
        <v>0</v>
      </c>
      <c r="X317" s="640">
        <v>0</v>
      </c>
      <c r="Y317" s="640">
        <v>5.6948243223481816</v>
      </c>
      <c r="Z317" s="640">
        <v>0</v>
      </c>
      <c r="AA317" s="640">
        <v>0</v>
      </c>
      <c r="AB317" s="640">
        <v>0</v>
      </c>
      <c r="AC317" s="640">
        <v>0.40677316588201312</v>
      </c>
      <c r="AD317" s="640">
        <v>0</v>
      </c>
      <c r="AE317" s="640">
        <v>2.440638995292078</v>
      </c>
      <c r="AF317" s="640">
        <v>0</v>
      </c>
      <c r="AG317" s="640">
        <v>0</v>
      </c>
      <c r="AH317" s="640">
        <v>32.838767990182951</v>
      </c>
      <c r="AI317" s="640">
        <v>0</v>
      </c>
      <c r="AJ317" s="640">
        <v>-28.474121611740912</v>
      </c>
      <c r="AK317" s="648">
        <v>12.906882861964313</v>
      </c>
    </row>
    <row r="318" spans="3:37" x14ac:dyDescent="0.2">
      <c r="C318" s="646" t="s">
        <v>353</v>
      </c>
      <c r="D318" s="640">
        <v>28.616489999999999</v>
      </c>
      <c r="E318" s="640">
        <v>-18.09733539759922</v>
      </c>
      <c r="F318" s="640">
        <v>23.670245777269074</v>
      </c>
      <c r="G318" s="640">
        <v>0</v>
      </c>
      <c r="H318" s="640">
        <v>0</v>
      </c>
      <c r="I318" s="640">
        <v>0</v>
      </c>
      <c r="J318" s="640">
        <v>0</v>
      </c>
      <c r="K318" s="640">
        <v>0</v>
      </c>
      <c r="L318" s="640">
        <v>0</v>
      </c>
      <c r="M318" s="640">
        <v>0</v>
      </c>
      <c r="N318" s="640">
        <v>0</v>
      </c>
      <c r="O318" s="640">
        <v>0</v>
      </c>
      <c r="P318" s="640">
        <v>0</v>
      </c>
      <c r="Q318" s="640">
        <v>0</v>
      </c>
      <c r="R318" s="640">
        <v>0</v>
      </c>
      <c r="S318" s="648">
        <v>34.189400379669848</v>
      </c>
      <c r="U318" s="646" t="s">
        <v>353</v>
      </c>
      <c r="V318" s="640">
        <v>2.3505202026367185</v>
      </c>
      <c r="W318" s="640">
        <v>-9.5578877427605047</v>
      </c>
      <c r="X318" s="640">
        <v>12.501152628950074</v>
      </c>
      <c r="Y318" s="640">
        <v>0</v>
      </c>
      <c r="Z318" s="640">
        <v>0</v>
      </c>
      <c r="AA318" s="640">
        <v>0</v>
      </c>
      <c r="AB318" s="640">
        <v>0</v>
      </c>
      <c r="AC318" s="640">
        <v>0</v>
      </c>
      <c r="AD318" s="640">
        <v>0</v>
      </c>
      <c r="AE318" s="640">
        <v>0</v>
      </c>
      <c r="AF318" s="640">
        <v>0</v>
      </c>
      <c r="AG318" s="640">
        <v>0</v>
      </c>
      <c r="AH318" s="640">
        <v>0</v>
      </c>
      <c r="AI318" s="640">
        <v>0</v>
      </c>
      <c r="AJ318" s="640">
        <v>0</v>
      </c>
      <c r="AK318" s="648">
        <v>5.2937850888262874</v>
      </c>
    </row>
    <row r="319" spans="3:37" x14ac:dyDescent="0.2">
      <c r="C319" s="646" t="s">
        <v>75</v>
      </c>
      <c r="D319" s="640">
        <v>11.128635000000001</v>
      </c>
      <c r="E319" s="640">
        <v>0</v>
      </c>
      <c r="F319" s="640">
        <v>17.757847143387398</v>
      </c>
      <c r="G319" s="640">
        <v>5.0672539113277812</v>
      </c>
      <c r="H319" s="640">
        <v>0</v>
      </c>
      <c r="I319" s="640">
        <v>0</v>
      </c>
      <c r="J319" s="640">
        <v>0</v>
      </c>
      <c r="K319" s="640">
        <v>0</v>
      </c>
      <c r="L319" s="640">
        <v>0</v>
      </c>
      <c r="M319" s="640">
        <v>0.1034133451291384</v>
      </c>
      <c r="N319" s="640">
        <v>0</v>
      </c>
      <c r="O319" s="640">
        <v>0</v>
      </c>
      <c r="P319" s="640">
        <v>30.750377055945027</v>
      </c>
      <c r="Q319" s="640">
        <v>0</v>
      </c>
      <c r="R319" s="640">
        <v>0</v>
      </c>
      <c r="S319" s="648">
        <v>64.807526455789343</v>
      </c>
      <c r="U319" s="646" t="s">
        <v>75</v>
      </c>
      <c r="V319" s="640">
        <v>3.4784289550781251</v>
      </c>
      <c r="W319" s="640">
        <v>0</v>
      </c>
      <c r="X319" s="640">
        <v>17.757847143387398</v>
      </c>
      <c r="Y319" s="640">
        <v>3.6194670795198434</v>
      </c>
      <c r="Z319" s="640">
        <v>0</v>
      </c>
      <c r="AA319" s="640">
        <v>0</v>
      </c>
      <c r="AB319" s="640">
        <v>0</v>
      </c>
      <c r="AC319" s="640">
        <v>0</v>
      </c>
      <c r="AD319" s="640">
        <v>0</v>
      </c>
      <c r="AE319" s="640">
        <v>1.5512001769370758</v>
      </c>
      <c r="AF319" s="640">
        <v>0</v>
      </c>
      <c r="AG319" s="640">
        <v>0</v>
      </c>
      <c r="AH319" s="640">
        <v>36.42264978321775</v>
      </c>
      <c r="AI319" s="640">
        <v>0</v>
      </c>
      <c r="AJ319" s="640">
        <v>0</v>
      </c>
      <c r="AK319" s="648">
        <v>62.829593138140197</v>
      </c>
    </row>
    <row r="320" spans="3:37" x14ac:dyDescent="0.2">
      <c r="C320" s="646" t="s">
        <v>76</v>
      </c>
      <c r="D320" s="640">
        <v>0</v>
      </c>
      <c r="E320" s="640">
        <v>0</v>
      </c>
      <c r="F320" s="640">
        <v>0</v>
      </c>
      <c r="G320" s="640">
        <v>3.8086647866957031</v>
      </c>
      <c r="H320" s="640">
        <v>0</v>
      </c>
      <c r="I320" s="640">
        <v>0</v>
      </c>
      <c r="J320" s="640">
        <v>0</v>
      </c>
      <c r="K320" s="640">
        <v>0</v>
      </c>
      <c r="L320" s="640">
        <v>0</v>
      </c>
      <c r="M320" s="640">
        <v>7.7727852789708229E-2</v>
      </c>
      <c r="N320" s="640">
        <v>0</v>
      </c>
      <c r="O320" s="640">
        <v>0</v>
      </c>
      <c r="P320" s="640">
        <v>44.547532005203358</v>
      </c>
      <c r="Q320" s="640">
        <v>2.958822517532107</v>
      </c>
      <c r="R320" s="640">
        <v>0</v>
      </c>
      <c r="S320" s="648">
        <v>51.392747162220878</v>
      </c>
      <c r="U320" s="646" t="s">
        <v>76</v>
      </c>
      <c r="V320" s="640">
        <v>0</v>
      </c>
      <c r="W320" s="640">
        <v>0</v>
      </c>
      <c r="X320" s="640">
        <v>0</v>
      </c>
      <c r="Y320" s="640">
        <v>1.6015823117827594</v>
      </c>
      <c r="Z320" s="640">
        <v>0</v>
      </c>
      <c r="AA320" s="640">
        <v>0</v>
      </c>
      <c r="AB320" s="640">
        <v>0</v>
      </c>
      <c r="AC320" s="640">
        <v>0</v>
      </c>
      <c r="AD320" s="640">
        <v>0</v>
      </c>
      <c r="AE320" s="640">
        <v>0.68639241933546835</v>
      </c>
      <c r="AF320" s="640">
        <v>0</v>
      </c>
      <c r="AG320" s="640">
        <v>0</v>
      </c>
      <c r="AH320" s="640">
        <v>47.148943407633553</v>
      </c>
      <c r="AI320" s="640">
        <v>5.8421151160056723</v>
      </c>
      <c r="AJ320" s="640">
        <v>0</v>
      </c>
      <c r="AK320" s="648">
        <v>55.279033254757444</v>
      </c>
    </row>
    <row r="321" spans="3:37" x14ac:dyDescent="0.2">
      <c r="C321" s="644" t="s">
        <v>77</v>
      </c>
      <c r="D321" s="645">
        <v>42.571910641025248</v>
      </c>
      <c r="E321" s="645">
        <v>504.19228646673599</v>
      </c>
      <c r="F321" s="645">
        <v>-468.11692594020946</v>
      </c>
      <c r="G321" s="645">
        <v>45.994115783016845</v>
      </c>
      <c r="H321" s="645">
        <v>959.09090909090924</v>
      </c>
      <c r="I321" s="645">
        <v>265.54666314840352</v>
      </c>
      <c r="J321" s="645">
        <v>78.402106423532217</v>
      </c>
      <c r="K321" s="645">
        <v>19.049948129928421</v>
      </c>
      <c r="L321" s="645">
        <v>-26.034244563334241</v>
      </c>
      <c r="M321" s="645">
        <v>-5.4765606138084015</v>
      </c>
      <c r="N321" s="645">
        <v>0</v>
      </c>
      <c r="O321" s="645">
        <v>9.0263438420589424</v>
      </c>
      <c r="P321" s="645">
        <v>-537.24345011511946</v>
      </c>
      <c r="Q321" s="645">
        <v>-35.164036653103786</v>
      </c>
      <c r="R321" s="645">
        <v>-4.094104603252811</v>
      </c>
      <c r="S321" s="645">
        <v>847.74496103678234</v>
      </c>
      <c r="U321" s="644" t="s">
        <v>77</v>
      </c>
      <c r="V321" s="645">
        <v>6.4552640631735336</v>
      </c>
      <c r="W321" s="645">
        <v>266.28302835422375</v>
      </c>
      <c r="X321" s="645">
        <v>-239.16543674248729</v>
      </c>
      <c r="Y321" s="645">
        <v>28.3606981090151</v>
      </c>
      <c r="Z321" s="645">
        <v>919.39393939393949</v>
      </c>
      <c r="AA321" s="645">
        <v>300.16666314840353</v>
      </c>
      <c r="AB321" s="645">
        <v>116.13241178058709</v>
      </c>
      <c r="AC321" s="645">
        <v>32.378551458673563</v>
      </c>
      <c r="AD321" s="645">
        <v>-119.10980564362306</v>
      </c>
      <c r="AE321" s="645">
        <v>-45.591342912780426</v>
      </c>
      <c r="AF321" s="645">
        <v>0</v>
      </c>
      <c r="AG321" s="645">
        <v>17.619168596552839</v>
      </c>
      <c r="AH321" s="645">
        <v>-512.24867749935788</v>
      </c>
      <c r="AI321" s="645">
        <v>-69.488948539693865</v>
      </c>
      <c r="AJ321" s="645">
        <v>-23.724121611740912</v>
      </c>
      <c r="AK321" s="645">
        <v>677.46139195488558</v>
      </c>
    </row>
    <row r="322" spans="3:37" x14ac:dyDescent="0.2">
      <c r="C322" s="634"/>
      <c r="D322" s="634">
        <v>0</v>
      </c>
      <c r="E322" s="634">
        <v>0</v>
      </c>
      <c r="F322" s="634">
        <v>0</v>
      </c>
      <c r="G322" s="634">
        <v>0</v>
      </c>
      <c r="H322" s="634">
        <v>0</v>
      </c>
      <c r="I322" s="634">
        <v>0</v>
      </c>
      <c r="J322" s="634">
        <v>0</v>
      </c>
      <c r="K322" s="634">
        <v>0</v>
      </c>
      <c r="L322" s="634">
        <v>0</v>
      </c>
      <c r="M322" s="634">
        <v>0</v>
      </c>
      <c r="N322" s="634">
        <v>0</v>
      </c>
      <c r="O322" s="634">
        <v>0</v>
      </c>
      <c r="P322" s="634">
        <v>0</v>
      </c>
      <c r="Q322" s="634">
        <v>0</v>
      </c>
      <c r="R322" s="634">
        <v>0</v>
      </c>
      <c r="S322" s="634">
        <v>0</v>
      </c>
      <c r="U322" s="634"/>
      <c r="V322" s="634">
        <v>0</v>
      </c>
      <c r="W322" s="634">
        <v>0</v>
      </c>
      <c r="X322" s="634">
        <v>0</v>
      </c>
      <c r="Y322" s="634">
        <v>0</v>
      </c>
      <c r="Z322" s="634">
        <v>0</v>
      </c>
      <c r="AA322" s="634">
        <v>0</v>
      </c>
      <c r="AB322" s="634">
        <v>0</v>
      </c>
      <c r="AC322" s="634">
        <v>0</v>
      </c>
      <c r="AD322" s="634">
        <v>0</v>
      </c>
      <c r="AE322" s="634">
        <v>0</v>
      </c>
      <c r="AF322" s="634">
        <v>0</v>
      </c>
      <c r="AG322" s="634">
        <v>0</v>
      </c>
      <c r="AH322" s="634">
        <v>0</v>
      </c>
      <c r="AI322" s="634">
        <v>0</v>
      </c>
      <c r="AJ322" s="634">
        <v>0</v>
      </c>
      <c r="AK322" s="634">
        <v>0</v>
      </c>
    </row>
    <row r="323" spans="3:37" x14ac:dyDescent="0.2">
      <c r="C323" s="646" t="s">
        <v>78</v>
      </c>
      <c r="D323" s="640">
        <v>5.4657298257742912</v>
      </c>
      <c r="E323" s="640">
        <v>0</v>
      </c>
      <c r="F323" s="640">
        <v>21.83935294215906</v>
      </c>
      <c r="G323" s="640">
        <v>97.960240418883188</v>
      </c>
      <c r="H323" s="640">
        <v>0</v>
      </c>
      <c r="I323" s="640">
        <v>0</v>
      </c>
      <c r="J323" s="640">
        <v>20.699069714826329</v>
      </c>
      <c r="K323" s="640">
        <v>1.7608774311708451</v>
      </c>
      <c r="L323" s="640">
        <v>0.9136629082031249</v>
      </c>
      <c r="M323" s="640">
        <v>2.0177626304462204</v>
      </c>
      <c r="N323" s="640">
        <v>0</v>
      </c>
      <c r="O323" s="640">
        <v>3.7866244598879411E-4</v>
      </c>
      <c r="P323" s="640">
        <v>111.48933548215857</v>
      </c>
      <c r="Q323" s="640">
        <v>16.083775404791947</v>
      </c>
      <c r="R323" s="640">
        <v>0.29766925048828125</v>
      </c>
      <c r="S323" s="648">
        <v>278.52785467134788</v>
      </c>
      <c r="U323" s="646" t="s">
        <v>78</v>
      </c>
      <c r="V323" s="640">
        <v>1.0762581410403587</v>
      </c>
      <c r="W323" s="640">
        <v>0</v>
      </c>
      <c r="X323" s="640">
        <v>8.4892491154216376</v>
      </c>
      <c r="Y323" s="640">
        <v>50.497915430959594</v>
      </c>
      <c r="Z323" s="640">
        <v>0</v>
      </c>
      <c r="AA323" s="640">
        <v>0</v>
      </c>
      <c r="AB323" s="640">
        <v>15.594949526554588</v>
      </c>
      <c r="AC323" s="640">
        <v>5.2865944994228578</v>
      </c>
      <c r="AD323" s="640">
        <v>4.3757583007812499</v>
      </c>
      <c r="AE323" s="640">
        <v>21.660537806594554</v>
      </c>
      <c r="AF323" s="640">
        <v>0</v>
      </c>
      <c r="AG323" s="640">
        <v>3.7866244598879411E-4</v>
      </c>
      <c r="AH323" s="640">
        <v>141.44668524271188</v>
      </c>
      <c r="AI323" s="640">
        <v>22.79177635880415</v>
      </c>
      <c r="AJ323" s="640">
        <v>6.850041015625</v>
      </c>
      <c r="AK323" s="648">
        <v>278.07014410036186</v>
      </c>
    </row>
    <row r="324" spans="3:37" x14ac:dyDescent="0.2">
      <c r="C324" s="646" t="s">
        <v>79</v>
      </c>
      <c r="D324" s="640">
        <v>0</v>
      </c>
      <c r="E324" s="640">
        <v>0</v>
      </c>
      <c r="F324" s="640">
        <v>249.23385066161848</v>
      </c>
      <c r="G324" s="640">
        <v>29.852237297635437</v>
      </c>
      <c r="H324" s="640">
        <v>0</v>
      </c>
      <c r="I324" s="640">
        <v>0</v>
      </c>
      <c r="J324" s="640">
        <v>0</v>
      </c>
      <c r="K324" s="640">
        <v>0</v>
      </c>
      <c r="L324" s="640">
        <v>24.125777410294155</v>
      </c>
      <c r="M324" s="640">
        <v>0.60922933260480494</v>
      </c>
      <c r="N324" s="640">
        <v>0</v>
      </c>
      <c r="O324" s="640">
        <v>0</v>
      </c>
      <c r="P324" s="640">
        <v>62.086065361885787</v>
      </c>
      <c r="Q324" s="640">
        <v>0</v>
      </c>
      <c r="R324" s="640">
        <v>1.9828379826970517</v>
      </c>
      <c r="S324" s="648">
        <v>367.88999804673568</v>
      </c>
      <c r="U324" s="646" t="s">
        <v>79</v>
      </c>
      <c r="V324" s="640">
        <v>0</v>
      </c>
      <c r="W324" s="640">
        <v>0</v>
      </c>
      <c r="X324" s="640">
        <v>59.317364570862594</v>
      </c>
      <c r="Y324" s="640">
        <v>17.942066440325025</v>
      </c>
      <c r="Z324" s="640">
        <v>0</v>
      </c>
      <c r="AA324" s="640">
        <v>0</v>
      </c>
      <c r="AB324" s="640">
        <v>0</v>
      </c>
      <c r="AC324" s="640">
        <v>0</v>
      </c>
      <c r="AD324" s="640">
        <v>51.332808735857633</v>
      </c>
      <c r="AE324" s="640">
        <v>7.6894570458535831</v>
      </c>
      <c r="AF324" s="640">
        <v>0</v>
      </c>
      <c r="AG324" s="640">
        <v>0</v>
      </c>
      <c r="AH324" s="640">
        <v>82.201296258535137</v>
      </c>
      <c r="AI324" s="640">
        <v>0</v>
      </c>
      <c r="AJ324" s="640">
        <v>4.6183032107255606</v>
      </c>
      <c r="AK324" s="648">
        <v>223.10129626215951</v>
      </c>
    </row>
    <row r="325" spans="3:37" x14ac:dyDescent="0.2">
      <c r="C325" s="646" t="s">
        <v>80</v>
      </c>
      <c r="D325" s="640">
        <v>0</v>
      </c>
      <c r="E325" s="640">
        <v>0</v>
      </c>
      <c r="F325" s="640">
        <v>17.698191750553285</v>
      </c>
      <c r="G325" s="640">
        <v>82.8316536533641</v>
      </c>
      <c r="H325" s="640">
        <v>0</v>
      </c>
      <c r="I325" s="640">
        <v>0</v>
      </c>
      <c r="J325" s="640">
        <v>87.012401530952616</v>
      </c>
      <c r="K325" s="640">
        <v>0</v>
      </c>
      <c r="L325" s="640">
        <v>0</v>
      </c>
      <c r="M325" s="640">
        <v>1.690441911293145</v>
      </c>
      <c r="N325" s="640">
        <v>54.219025663639314</v>
      </c>
      <c r="O325" s="640">
        <v>2.0231633432731213</v>
      </c>
      <c r="P325" s="640">
        <v>187.24843332836184</v>
      </c>
      <c r="Q325" s="640">
        <v>15.504434202631401</v>
      </c>
      <c r="R325" s="640">
        <v>0</v>
      </c>
      <c r="S325" s="648">
        <v>448.22774538406884</v>
      </c>
      <c r="U325" s="646" t="s">
        <v>80</v>
      </c>
      <c r="V325" s="640">
        <v>0</v>
      </c>
      <c r="W325" s="640">
        <v>0</v>
      </c>
      <c r="X325" s="640">
        <v>1.0833932718176746</v>
      </c>
      <c r="Y325" s="640">
        <v>18.084176496701136</v>
      </c>
      <c r="Z325" s="640">
        <v>0</v>
      </c>
      <c r="AA325" s="640">
        <v>0</v>
      </c>
      <c r="AB325" s="640">
        <v>57.868484646152382</v>
      </c>
      <c r="AC325" s="640">
        <v>0</v>
      </c>
      <c r="AD325" s="640">
        <v>0</v>
      </c>
      <c r="AE325" s="640">
        <v>7.7503613557290594</v>
      </c>
      <c r="AF325" s="640">
        <v>78.313096165620991</v>
      </c>
      <c r="AG325" s="640">
        <v>3.4573890525731583</v>
      </c>
      <c r="AH325" s="640">
        <v>150.63566760387405</v>
      </c>
      <c r="AI325" s="640">
        <v>34.942034151478268</v>
      </c>
      <c r="AJ325" s="640">
        <v>0</v>
      </c>
      <c r="AK325" s="648">
        <v>352.13460274394669</v>
      </c>
    </row>
    <row r="326" spans="3:37" x14ac:dyDescent="0.2">
      <c r="C326" s="646" t="s">
        <v>81</v>
      </c>
      <c r="D326" s="640">
        <v>0</v>
      </c>
      <c r="E326" s="640">
        <v>0</v>
      </c>
      <c r="F326" s="640">
        <v>5.759525486283259</v>
      </c>
      <c r="G326" s="640">
        <v>63.242535904869413</v>
      </c>
      <c r="H326" s="640">
        <v>0</v>
      </c>
      <c r="I326" s="640">
        <v>0</v>
      </c>
      <c r="J326" s="640">
        <v>3.243340348024236</v>
      </c>
      <c r="K326" s="640">
        <v>2.5138060257677737E-2</v>
      </c>
      <c r="L326" s="640">
        <v>0</v>
      </c>
      <c r="M326" s="640">
        <v>1.2906639980585595</v>
      </c>
      <c r="N326" s="640">
        <v>8.6788063603893928</v>
      </c>
      <c r="O326" s="640">
        <v>0.74318365128395913</v>
      </c>
      <c r="P326" s="640">
        <v>138.68432478978596</v>
      </c>
      <c r="Q326" s="640">
        <v>3.5758270456804375</v>
      </c>
      <c r="R326" s="640">
        <v>0</v>
      </c>
      <c r="S326" s="648">
        <v>225.24334564463288</v>
      </c>
      <c r="U326" s="646" t="s">
        <v>81</v>
      </c>
      <c r="V326" s="640">
        <v>0</v>
      </c>
      <c r="W326" s="640">
        <v>0</v>
      </c>
      <c r="X326" s="640">
        <v>1.8996820773870462</v>
      </c>
      <c r="Y326" s="640">
        <v>16.701006494583829</v>
      </c>
      <c r="Z326" s="640">
        <v>0</v>
      </c>
      <c r="AA326" s="640">
        <v>0</v>
      </c>
      <c r="AB326" s="640">
        <v>7.1959049572050198</v>
      </c>
      <c r="AC326" s="640">
        <v>2.5138060257677737E-2</v>
      </c>
      <c r="AD326" s="640">
        <v>0</v>
      </c>
      <c r="AE326" s="640">
        <v>7.1575742119644987</v>
      </c>
      <c r="AF326" s="640">
        <v>14.587904232604497</v>
      </c>
      <c r="AG326" s="640">
        <v>1.6018484399661996</v>
      </c>
      <c r="AH326" s="640">
        <v>116.46951239557291</v>
      </c>
      <c r="AI326" s="640">
        <v>11.755138029411436</v>
      </c>
      <c r="AJ326" s="640">
        <v>0</v>
      </c>
      <c r="AK326" s="648">
        <v>177.39370889895312</v>
      </c>
    </row>
    <row r="327" spans="3:37" x14ac:dyDescent="0.2">
      <c r="C327" s="646" t="s">
        <v>82</v>
      </c>
      <c r="D327" s="640">
        <v>0</v>
      </c>
      <c r="E327" s="640">
        <v>0</v>
      </c>
      <c r="F327" s="640">
        <v>29.471786733039881</v>
      </c>
      <c r="G327" s="640">
        <v>1.3166139535686423</v>
      </c>
      <c r="H327" s="640">
        <v>0</v>
      </c>
      <c r="I327" s="640">
        <v>0</v>
      </c>
      <c r="J327" s="640">
        <v>3.6844952632387193</v>
      </c>
      <c r="K327" s="640">
        <v>0</v>
      </c>
      <c r="L327" s="640">
        <v>3.0029030850571363</v>
      </c>
      <c r="M327" s="640">
        <v>2.6869672521809031E-2</v>
      </c>
      <c r="N327" s="640">
        <v>0</v>
      </c>
      <c r="O327" s="640">
        <v>7.2392521047915395E-2</v>
      </c>
      <c r="P327" s="640">
        <v>6.3643203530837074</v>
      </c>
      <c r="Q327" s="640">
        <v>0</v>
      </c>
      <c r="R327" s="640">
        <v>0</v>
      </c>
      <c r="S327" s="648">
        <v>43.939381581557811</v>
      </c>
      <c r="U327" s="646" t="s">
        <v>82</v>
      </c>
      <c r="V327" s="640">
        <v>0</v>
      </c>
      <c r="W327" s="640">
        <v>0</v>
      </c>
      <c r="X327" s="640">
        <v>10.199143313422546</v>
      </c>
      <c r="Y327" s="640">
        <v>1.1904851448286324</v>
      </c>
      <c r="Z327" s="640">
        <v>0</v>
      </c>
      <c r="AA327" s="640">
        <v>0</v>
      </c>
      <c r="AB327" s="640">
        <v>3.6844952632387193</v>
      </c>
      <c r="AC327" s="640">
        <v>0</v>
      </c>
      <c r="AD327" s="640">
        <v>26.674568203776872</v>
      </c>
      <c r="AE327" s="640">
        <v>0.51020791921227104</v>
      </c>
      <c r="AF327" s="640">
        <v>0</v>
      </c>
      <c r="AG327" s="640">
        <v>1.300620381405156</v>
      </c>
      <c r="AH327" s="640">
        <v>6.4632626546266092</v>
      </c>
      <c r="AI327" s="640">
        <v>0</v>
      </c>
      <c r="AJ327" s="640">
        <v>0.325155095351289</v>
      </c>
      <c r="AK327" s="648">
        <v>50.347937975862088</v>
      </c>
    </row>
    <row r="328" spans="3:37" x14ac:dyDescent="0.2">
      <c r="C328" s="646" t="s">
        <v>354</v>
      </c>
      <c r="D328" s="640">
        <v>0</v>
      </c>
      <c r="E328" s="640">
        <v>0</v>
      </c>
      <c r="F328" s="640">
        <v>0</v>
      </c>
      <c r="G328" s="640">
        <v>0</v>
      </c>
      <c r="H328" s="640">
        <v>0</v>
      </c>
      <c r="I328" s="640">
        <v>0</v>
      </c>
      <c r="J328" s="640">
        <v>0</v>
      </c>
      <c r="K328" s="640">
        <v>0</v>
      </c>
      <c r="L328" s="640">
        <v>0</v>
      </c>
      <c r="M328" s="640">
        <v>0</v>
      </c>
      <c r="N328" s="640">
        <v>0</v>
      </c>
      <c r="O328" s="640">
        <v>0</v>
      </c>
      <c r="P328" s="640">
        <v>0.31499999999999995</v>
      </c>
      <c r="Q328" s="640">
        <v>0</v>
      </c>
      <c r="R328" s="640">
        <v>0</v>
      </c>
      <c r="S328" s="648">
        <v>0.31499999999999995</v>
      </c>
      <c r="U328" s="646" t="s">
        <v>354</v>
      </c>
      <c r="V328" s="640">
        <v>0</v>
      </c>
      <c r="W328" s="640">
        <v>0</v>
      </c>
      <c r="X328" s="640">
        <v>0</v>
      </c>
      <c r="Y328" s="640">
        <v>0</v>
      </c>
      <c r="Z328" s="640">
        <v>0</v>
      </c>
      <c r="AA328" s="640">
        <v>0</v>
      </c>
      <c r="AB328" s="640">
        <v>0</v>
      </c>
      <c r="AC328" s="640">
        <v>0</v>
      </c>
      <c r="AD328" s="640">
        <v>0</v>
      </c>
      <c r="AE328" s="640">
        <v>0</v>
      </c>
      <c r="AF328" s="640">
        <v>0</v>
      </c>
      <c r="AG328" s="640">
        <v>0</v>
      </c>
      <c r="AH328" s="640">
        <v>2.4</v>
      </c>
      <c r="AI328" s="640">
        <v>0</v>
      </c>
      <c r="AJ328" s="640">
        <v>0</v>
      </c>
      <c r="AK328" s="648">
        <v>2.4</v>
      </c>
    </row>
    <row r="329" spans="3:37" x14ac:dyDescent="0.2">
      <c r="C329" s="644" t="s">
        <v>83</v>
      </c>
      <c r="D329" s="645">
        <v>5.4657298257742912</v>
      </c>
      <c r="E329" s="645">
        <v>0</v>
      </c>
      <c r="F329" s="645">
        <v>324.00270757365394</v>
      </c>
      <c r="G329" s="645">
        <v>275.2032812283208</v>
      </c>
      <c r="H329" s="645">
        <v>0</v>
      </c>
      <c r="I329" s="645">
        <v>0</v>
      </c>
      <c r="J329" s="645">
        <v>114.6393068570419</v>
      </c>
      <c r="K329" s="645">
        <v>1.7860154914285227</v>
      </c>
      <c r="L329" s="645">
        <v>28.042343403554419</v>
      </c>
      <c r="M329" s="645">
        <v>5.6349675449245389</v>
      </c>
      <c r="N329" s="645">
        <v>62.897832024028709</v>
      </c>
      <c r="O329" s="645">
        <v>2.8391181780509842</v>
      </c>
      <c r="P329" s="645">
        <v>506.18747931527582</v>
      </c>
      <c r="Q329" s="645">
        <v>35.164036653103793</v>
      </c>
      <c r="R329" s="645">
        <v>2.2805072331853329</v>
      </c>
      <c r="S329" s="645">
        <v>1364.1433253283431</v>
      </c>
      <c r="U329" s="644" t="s">
        <v>83</v>
      </c>
      <c r="V329" s="645">
        <v>1.0762581410403587</v>
      </c>
      <c r="W329" s="645">
        <v>0</v>
      </c>
      <c r="X329" s="645">
        <v>80.988832348911515</v>
      </c>
      <c r="Y329" s="645">
        <v>104.41565000739821</v>
      </c>
      <c r="Z329" s="645">
        <v>0</v>
      </c>
      <c r="AA329" s="645">
        <v>0</v>
      </c>
      <c r="AB329" s="645">
        <v>84.343834393150701</v>
      </c>
      <c r="AC329" s="645">
        <v>5.3117325596805349</v>
      </c>
      <c r="AD329" s="645">
        <v>82.383135240415754</v>
      </c>
      <c r="AE329" s="645">
        <v>44.768138339353968</v>
      </c>
      <c r="AF329" s="645">
        <v>92.901000398225491</v>
      </c>
      <c r="AG329" s="645">
        <v>6.3602365363905022</v>
      </c>
      <c r="AH329" s="645">
        <v>499.61642415532054</v>
      </c>
      <c r="AI329" s="645">
        <v>69.488948539693865</v>
      </c>
      <c r="AJ329" s="645">
        <v>11.793499321701848</v>
      </c>
      <c r="AK329" s="645">
        <v>1083.4476899812832</v>
      </c>
    </row>
    <row r="330" spans="3:37" x14ac:dyDescent="0.2">
      <c r="C330" s="639" t="s">
        <v>84</v>
      </c>
      <c r="D330" s="640">
        <v>0</v>
      </c>
      <c r="E330" s="640">
        <v>0</v>
      </c>
      <c r="F330" s="640">
        <v>109.69308299672531</v>
      </c>
      <c r="G330" s="640">
        <v>11.766175832538266</v>
      </c>
      <c r="H330" s="640">
        <v>0</v>
      </c>
      <c r="I330" s="640">
        <v>0</v>
      </c>
      <c r="J330" s="640">
        <v>0</v>
      </c>
      <c r="K330" s="640">
        <v>0</v>
      </c>
      <c r="L330" s="640">
        <v>0</v>
      </c>
      <c r="M330" s="640">
        <v>0</v>
      </c>
      <c r="N330" s="640">
        <v>0</v>
      </c>
      <c r="O330" s="640">
        <v>0</v>
      </c>
      <c r="P330" s="640">
        <v>0</v>
      </c>
      <c r="Q330" s="640">
        <v>0</v>
      </c>
      <c r="R330" s="640">
        <v>1.8135973700674786</v>
      </c>
      <c r="S330" s="648">
        <v>123.27285619933106</v>
      </c>
      <c r="U330" s="639" t="s">
        <v>84</v>
      </c>
      <c r="V330" s="640">
        <v>0</v>
      </c>
      <c r="W330" s="640">
        <v>0</v>
      </c>
      <c r="X330" s="640">
        <v>84.298528713313246</v>
      </c>
      <c r="Y330" s="640">
        <v>1.1302347010557652</v>
      </c>
      <c r="Z330" s="640">
        <v>0</v>
      </c>
      <c r="AA330" s="640">
        <v>0</v>
      </c>
      <c r="AB330" s="640">
        <v>0</v>
      </c>
      <c r="AC330" s="640">
        <v>0</v>
      </c>
      <c r="AD330" s="640">
        <v>17.754065118408207</v>
      </c>
      <c r="AE330" s="640">
        <v>0</v>
      </c>
      <c r="AF330" s="640">
        <v>0</v>
      </c>
      <c r="AG330" s="640">
        <v>0</v>
      </c>
      <c r="AH330" s="640">
        <v>0</v>
      </c>
      <c r="AI330" s="640">
        <v>0</v>
      </c>
      <c r="AJ330" s="640">
        <v>11.930622290039064</v>
      </c>
      <c r="AK330" s="648">
        <v>115.11345082281629</v>
      </c>
    </row>
    <row r="331" spans="3:37" x14ac:dyDescent="0.2">
      <c r="C331" s="644" t="s">
        <v>85</v>
      </c>
      <c r="D331" s="645">
        <v>5.4657298257742912</v>
      </c>
      <c r="E331" s="645">
        <v>0</v>
      </c>
      <c r="F331" s="645">
        <v>433.69579057037924</v>
      </c>
      <c r="G331" s="645">
        <v>286.9694570608591</v>
      </c>
      <c r="H331" s="645">
        <v>0</v>
      </c>
      <c r="I331" s="645">
        <v>0</v>
      </c>
      <c r="J331" s="645">
        <v>114.6393068570419</v>
      </c>
      <c r="K331" s="645">
        <v>1.7860154914285227</v>
      </c>
      <c r="L331" s="645">
        <v>28.042343403554419</v>
      </c>
      <c r="M331" s="645">
        <v>5.6349675449245389</v>
      </c>
      <c r="N331" s="645">
        <v>62.897832024028709</v>
      </c>
      <c r="O331" s="645">
        <v>2.8391181780509842</v>
      </c>
      <c r="P331" s="645">
        <v>506.18747931527582</v>
      </c>
      <c r="Q331" s="645">
        <v>35.164036653103793</v>
      </c>
      <c r="R331" s="645">
        <v>4.094104603252811</v>
      </c>
      <c r="S331" s="645">
        <v>1487.4161815276743</v>
      </c>
      <c r="U331" s="644" t="s">
        <v>85</v>
      </c>
      <c r="V331" s="645">
        <v>1.0762581410403587</v>
      </c>
      <c r="W331" s="645">
        <v>0</v>
      </c>
      <c r="X331" s="645">
        <v>165.28736106222476</v>
      </c>
      <c r="Y331" s="645">
        <v>105.54588470845398</v>
      </c>
      <c r="Z331" s="645">
        <v>0</v>
      </c>
      <c r="AA331" s="645">
        <v>0</v>
      </c>
      <c r="AB331" s="645">
        <v>84.343834393150701</v>
      </c>
      <c r="AC331" s="645">
        <v>5.3117325596805349</v>
      </c>
      <c r="AD331" s="645">
        <v>100.13720035882396</v>
      </c>
      <c r="AE331" s="645">
        <v>44.768138339353968</v>
      </c>
      <c r="AF331" s="645">
        <v>92.901000398225491</v>
      </c>
      <c r="AG331" s="645">
        <v>6.3602365363905022</v>
      </c>
      <c r="AH331" s="645">
        <v>499.61642415532054</v>
      </c>
      <c r="AI331" s="645">
        <v>69.488948539693865</v>
      </c>
      <c r="AJ331" s="645">
        <v>23.724121611740912</v>
      </c>
      <c r="AK331" s="645">
        <v>1198.5611408040995</v>
      </c>
    </row>
    <row r="332" spans="3:37" x14ac:dyDescent="0.2">
      <c r="C332" s="634"/>
      <c r="D332" s="634"/>
      <c r="E332" s="634"/>
      <c r="F332" s="634"/>
      <c r="G332" s="634"/>
      <c r="H332" s="634"/>
      <c r="I332" s="634"/>
      <c r="J332" s="634"/>
      <c r="K332" s="634"/>
      <c r="L332" s="634"/>
      <c r="M332" s="634"/>
      <c r="N332" s="634"/>
      <c r="O332" s="634"/>
      <c r="P332" s="634"/>
      <c r="Q332" s="634"/>
      <c r="R332" s="634"/>
      <c r="S332" s="634"/>
      <c r="U332" s="634"/>
      <c r="V332" s="634"/>
      <c r="W332" s="634"/>
      <c r="X332" s="634"/>
      <c r="Y332" s="634"/>
      <c r="Z332" s="634"/>
      <c r="AA332" s="634"/>
      <c r="AB332" s="634"/>
      <c r="AC332" s="634"/>
      <c r="AD332" s="634"/>
      <c r="AE332" s="634"/>
      <c r="AF332" s="634"/>
      <c r="AG332" s="634"/>
      <c r="AH332" s="634"/>
      <c r="AI332" s="634"/>
      <c r="AJ332" s="634"/>
      <c r="AK332" s="634"/>
    </row>
    <row r="333" spans="3:37" ht="22.5" x14ac:dyDescent="0.3">
      <c r="C333" s="759" t="s">
        <v>518</v>
      </c>
      <c r="D333" s="759"/>
      <c r="E333" s="759"/>
      <c r="F333" s="759"/>
      <c r="G333" s="759"/>
      <c r="H333" s="759"/>
      <c r="I333" s="759"/>
      <c r="J333" s="759"/>
      <c r="K333" s="759"/>
      <c r="L333" s="759"/>
      <c r="M333" s="759"/>
      <c r="N333" s="759"/>
      <c r="O333" s="759"/>
      <c r="P333" s="759"/>
      <c r="Q333" s="759"/>
      <c r="R333" s="759"/>
      <c r="S333" s="759"/>
      <c r="U333" s="759" t="s">
        <v>518</v>
      </c>
      <c r="V333" s="759"/>
      <c r="W333" s="759"/>
      <c r="X333" s="759"/>
      <c r="Y333" s="759"/>
      <c r="Z333" s="759"/>
      <c r="AA333" s="759"/>
      <c r="AB333" s="759"/>
      <c r="AC333" s="759"/>
      <c r="AD333" s="759"/>
      <c r="AE333" s="759"/>
      <c r="AF333" s="759"/>
      <c r="AG333" s="759"/>
      <c r="AH333" s="759"/>
      <c r="AI333" s="759"/>
      <c r="AJ333" s="759"/>
      <c r="AK333" s="759"/>
    </row>
    <row r="334" spans="3:37" x14ac:dyDescent="0.2">
      <c r="C334" s="634"/>
      <c r="D334" s="634"/>
      <c r="E334" s="634"/>
      <c r="F334" s="634"/>
      <c r="G334" s="634"/>
      <c r="H334" s="634"/>
      <c r="I334" s="634"/>
      <c r="J334" s="634"/>
      <c r="K334" s="634"/>
      <c r="L334" s="634"/>
      <c r="M334" s="634"/>
      <c r="N334" s="634"/>
      <c r="O334" s="634"/>
      <c r="P334" s="634"/>
      <c r="Q334" s="634"/>
      <c r="R334" s="634"/>
      <c r="S334" s="634"/>
      <c r="U334" s="634"/>
      <c r="V334" s="634"/>
      <c r="W334" s="634"/>
      <c r="X334" s="634"/>
      <c r="Y334" s="634"/>
      <c r="Z334" s="634"/>
      <c r="AA334" s="634"/>
      <c r="AB334" s="634"/>
      <c r="AC334" s="634"/>
      <c r="AD334" s="634"/>
      <c r="AE334" s="634"/>
      <c r="AF334" s="634"/>
      <c r="AG334" s="634"/>
      <c r="AH334" s="634"/>
      <c r="AI334" s="634"/>
      <c r="AJ334" s="634"/>
      <c r="AK334" s="634"/>
    </row>
    <row r="335" spans="3:37" ht="12.95" customHeight="1" x14ac:dyDescent="0.2">
      <c r="C335" s="758" t="s">
        <v>128</v>
      </c>
      <c r="D335" s="757" t="s">
        <v>42</v>
      </c>
      <c r="E335" s="757" t="s">
        <v>52</v>
      </c>
      <c r="F335" s="757" t="s">
        <v>53</v>
      </c>
      <c r="G335" s="757" t="s">
        <v>32</v>
      </c>
      <c r="H335" s="757" t="s">
        <v>20</v>
      </c>
      <c r="I335" s="757" t="s">
        <v>55</v>
      </c>
      <c r="J335" s="757" t="s">
        <v>56</v>
      </c>
      <c r="K335" s="757"/>
      <c r="L335" s="757"/>
      <c r="M335" s="757"/>
      <c r="N335" s="757"/>
      <c r="O335" s="757"/>
      <c r="P335" s="757" t="s">
        <v>57</v>
      </c>
      <c r="Q335" s="757" t="s">
        <v>58</v>
      </c>
      <c r="R335" s="757" t="s">
        <v>31</v>
      </c>
      <c r="S335" s="757" t="s">
        <v>10</v>
      </c>
      <c r="U335" s="758" t="s">
        <v>128</v>
      </c>
      <c r="V335" s="757" t="s">
        <v>42</v>
      </c>
      <c r="W335" s="757" t="s">
        <v>52</v>
      </c>
      <c r="X335" s="757" t="s">
        <v>53</v>
      </c>
      <c r="Y335" s="757" t="s">
        <v>32</v>
      </c>
      <c r="Z335" s="757" t="s">
        <v>20</v>
      </c>
      <c r="AA335" s="757" t="s">
        <v>55</v>
      </c>
      <c r="AB335" s="757" t="s">
        <v>56</v>
      </c>
      <c r="AC335" s="757"/>
      <c r="AD335" s="757"/>
      <c r="AE335" s="757"/>
      <c r="AF335" s="757"/>
      <c r="AG335" s="757"/>
      <c r="AH335" s="757" t="s">
        <v>57</v>
      </c>
      <c r="AI335" s="757" t="s">
        <v>58</v>
      </c>
      <c r="AJ335" s="757" t="s">
        <v>31</v>
      </c>
      <c r="AK335" s="757" t="s">
        <v>10</v>
      </c>
    </row>
    <row r="336" spans="3:37" ht="56.25" x14ac:dyDescent="0.2">
      <c r="C336" s="758"/>
      <c r="D336" s="757"/>
      <c r="E336" s="757"/>
      <c r="F336" s="757"/>
      <c r="G336" s="757"/>
      <c r="H336" s="757"/>
      <c r="I336" s="757"/>
      <c r="J336" s="638" t="s">
        <v>335</v>
      </c>
      <c r="K336" s="638" t="s">
        <v>40</v>
      </c>
      <c r="L336" s="638" t="s">
        <v>343</v>
      </c>
      <c r="M336" s="638" t="s">
        <v>344</v>
      </c>
      <c r="N336" s="638" t="s">
        <v>345</v>
      </c>
      <c r="O336" s="638" t="s">
        <v>346</v>
      </c>
      <c r="P336" s="757"/>
      <c r="Q336" s="757"/>
      <c r="R336" s="757"/>
      <c r="S336" s="757"/>
      <c r="U336" s="758"/>
      <c r="V336" s="757"/>
      <c r="W336" s="757"/>
      <c r="X336" s="757"/>
      <c r="Y336" s="757"/>
      <c r="Z336" s="757"/>
      <c r="AA336" s="757"/>
      <c r="AB336" s="638" t="s">
        <v>335</v>
      </c>
      <c r="AC336" s="638" t="s">
        <v>40</v>
      </c>
      <c r="AD336" s="638" t="s">
        <v>343</v>
      </c>
      <c r="AE336" s="638" t="s">
        <v>344</v>
      </c>
      <c r="AF336" s="638" t="s">
        <v>345</v>
      </c>
      <c r="AG336" s="638" t="s">
        <v>346</v>
      </c>
      <c r="AH336" s="757"/>
      <c r="AI336" s="757"/>
      <c r="AJ336" s="757"/>
      <c r="AK336" s="757"/>
    </row>
    <row r="337" spans="3:37" x14ac:dyDescent="0.2">
      <c r="C337" s="639" t="s">
        <v>59</v>
      </c>
      <c r="D337" s="640">
        <v>0</v>
      </c>
      <c r="E337" s="641">
        <v>0</v>
      </c>
      <c r="F337" s="641">
        <v>0</v>
      </c>
      <c r="G337" s="640">
        <v>0</v>
      </c>
      <c r="H337" s="641">
        <v>889.54545454545473</v>
      </c>
      <c r="I337" s="641">
        <v>290.38619522472999</v>
      </c>
      <c r="J337" s="641">
        <v>188.26463769943669</v>
      </c>
      <c r="K337" s="641">
        <v>20.519346122490408</v>
      </c>
      <c r="L337" s="641">
        <v>0.54648995449606019</v>
      </c>
      <c r="M337" s="641">
        <v>0.15914693380563083</v>
      </c>
      <c r="N337" s="641">
        <v>65.898689554178929</v>
      </c>
      <c r="O337" s="641">
        <v>11.930124482632028</v>
      </c>
      <c r="P337" s="642">
        <v>0</v>
      </c>
      <c r="Q337" s="641">
        <v>0</v>
      </c>
      <c r="R337" s="641">
        <v>0</v>
      </c>
      <c r="S337" s="643">
        <v>1467.2500845172242</v>
      </c>
      <c r="U337" s="639" t="s">
        <v>59</v>
      </c>
      <c r="V337" s="640">
        <v>0</v>
      </c>
      <c r="W337" s="641">
        <v>0</v>
      </c>
      <c r="X337" s="641">
        <v>0</v>
      </c>
      <c r="Y337" s="640">
        <v>0</v>
      </c>
      <c r="Z337" s="641">
        <v>873.030303030303</v>
      </c>
      <c r="AA337" s="641">
        <v>337.06619522473</v>
      </c>
      <c r="AB337" s="641">
        <v>206.15489309499102</v>
      </c>
      <c r="AC337" s="641">
        <v>37.137182251794961</v>
      </c>
      <c r="AD337" s="641">
        <v>0.54648995449606019</v>
      </c>
      <c r="AE337" s="641">
        <v>0.15914693380563083</v>
      </c>
      <c r="AF337" s="641">
        <v>103.02458403584798</v>
      </c>
      <c r="AG337" s="641">
        <v>25.833176078824131</v>
      </c>
      <c r="AH337" s="642">
        <v>0</v>
      </c>
      <c r="AI337" s="641">
        <v>0</v>
      </c>
      <c r="AJ337" s="641">
        <v>0</v>
      </c>
      <c r="AK337" s="643">
        <v>1582.9519706047927</v>
      </c>
    </row>
    <row r="338" spans="3:37" x14ac:dyDescent="0.2">
      <c r="C338" s="639" t="s">
        <v>60</v>
      </c>
      <c r="D338" s="640">
        <v>47.523331421865407</v>
      </c>
      <c r="E338" s="641">
        <v>492.37419513671523</v>
      </c>
      <c r="F338" s="641">
        <v>57.352326080251387</v>
      </c>
      <c r="G338" s="640">
        <v>328.8885225556333</v>
      </c>
      <c r="H338" s="641">
        <v>0</v>
      </c>
      <c r="I338" s="641">
        <v>0</v>
      </c>
      <c r="J338" s="641">
        <v>4.8075322078390377</v>
      </c>
      <c r="K338" s="641">
        <v>0</v>
      </c>
      <c r="L338" s="641">
        <v>2.6229179175778925</v>
      </c>
      <c r="M338" s="641">
        <v>0</v>
      </c>
      <c r="N338" s="641">
        <v>0</v>
      </c>
      <c r="O338" s="641">
        <v>0</v>
      </c>
      <c r="P338" s="642">
        <v>0</v>
      </c>
      <c r="Q338" s="641">
        <v>0</v>
      </c>
      <c r="R338" s="641">
        <v>0</v>
      </c>
      <c r="S338" s="643">
        <v>933.56882531988219</v>
      </c>
      <c r="U338" s="639" t="s">
        <v>60</v>
      </c>
      <c r="V338" s="640">
        <v>6.5260336126681251</v>
      </c>
      <c r="W338" s="641">
        <v>220.47790015098695</v>
      </c>
      <c r="X338" s="641">
        <v>14.513856185365357</v>
      </c>
      <c r="Y338" s="640">
        <v>102.1346675179243</v>
      </c>
      <c r="Z338" s="641">
        <v>0</v>
      </c>
      <c r="AA338" s="641">
        <v>0</v>
      </c>
      <c r="AB338" s="641">
        <v>4.8075322078390377</v>
      </c>
      <c r="AC338" s="641">
        <v>0</v>
      </c>
      <c r="AD338" s="641">
        <v>2.6229179175778925</v>
      </c>
      <c r="AE338" s="641">
        <v>0</v>
      </c>
      <c r="AF338" s="641">
        <v>0</v>
      </c>
      <c r="AG338" s="641">
        <v>0</v>
      </c>
      <c r="AH338" s="642">
        <v>0</v>
      </c>
      <c r="AI338" s="641">
        <v>0</v>
      </c>
      <c r="AJ338" s="641">
        <v>0</v>
      </c>
      <c r="AK338" s="643">
        <v>351.08290759236166</v>
      </c>
    </row>
    <row r="339" spans="3:37" x14ac:dyDescent="0.2">
      <c r="C339" s="639" t="s">
        <v>61</v>
      </c>
      <c r="D339" s="640">
        <v>0</v>
      </c>
      <c r="E339" s="641">
        <v>0</v>
      </c>
      <c r="F339" s="641">
        <v>0</v>
      </c>
      <c r="G339" s="640">
        <v>0</v>
      </c>
      <c r="H339" s="641">
        <v>0</v>
      </c>
      <c r="I339" s="641">
        <v>0</v>
      </c>
      <c r="J339" s="641">
        <v>0</v>
      </c>
      <c r="K339" s="641">
        <v>0</v>
      </c>
      <c r="L339" s="641">
        <v>0</v>
      </c>
      <c r="M339" s="641">
        <v>0</v>
      </c>
      <c r="N339" s="641">
        <v>0</v>
      </c>
      <c r="O339" s="641">
        <v>0</v>
      </c>
      <c r="P339" s="642">
        <v>-22.391147784534837</v>
      </c>
      <c r="Q339" s="641">
        <v>0</v>
      </c>
      <c r="R339" s="641">
        <v>0</v>
      </c>
      <c r="S339" s="643">
        <v>-22.391147784534837</v>
      </c>
      <c r="U339" s="639" t="s">
        <v>61</v>
      </c>
      <c r="V339" s="640">
        <v>0</v>
      </c>
      <c r="W339" s="641">
        <v>0</v>
      </c>
      <c r="X339" s="641">
        <v>-19.691193817618341</v>
      </c>
      <c r="Y339" s="640">
        <v>0</v>
      </c>
      <c r="Z339" s="641">
        <v>0</v>
      </c>
      <c r="AA339" s="641">
        <v>0</v>
      </c>
      <c r="AB339" s="641">
        <v>0</v>
      </c>
      <c r="AC339" s="641">
        <v>0</v>
      </c>
      <c r="AD339" s="641">
        <v>0</v>
      </c>
      <c r="AE339" s="641">
        <v>0</v>
      </c>
      <c r="AF339" s="641">
        <v>0</v>
      </c>
      <c r="AG339" s="641">
        <v>0</v>
      </c>
      <c r="AH339" s="642">
        <v>-17.389600315785174</v>
      </c>
      <c r="AI339" s="641">
        <v>0</v>
      </c>
      <c r="AJ339" s="641">
        <v>0</v>
      </c>
      <c r="AK339" s="643">
        <v>-37.080794133403515</v>
      </c>
    </row>
    <row r="340" spans="3:37" x14ac:dyDescent="0.2">
      <c r="C340" s="639" t="s">
        <v>62</v>
      </c>
      <c r="D340" s="640">
        <v>0</v>
      </c>
      <c r="E340" s="641">
        <v>0</v>
      </c>
      <c r="F340" s="641">
        <v>-15.496739011683466</v>
      </c>
      <c r="G340" s="640">
        <v>0</v>
      </c>
      <c r="H340" s="641">
        <v>0</v>
      </c>
      <c r="I340" s="641">
        <v>0</v>
      </c>
      <c r="J340" s="641">
        <v>0</v>
      </c>
      <c r="K340" s="641">
        <v>0</v>
      </c>
      <c r="L340" s="641">
        <v>0</v>
      </c>
      <c r="M340" s="641">
        <v>0</v>
      </c>
      <c r="N340" s="641">
        <v>0</v>
      </c>
      <c r="O340" s="641">
        <v>0</v>
      </c>
      <c r="P340" s="642">
        <v>0</v>
      </c>
      <c r="Q340" s="641">
        <v>0</v>
      </c>
      <c r="R340" s="641">
        <v>0</v>
      </c>
      <c r="S340" s="643">
        <v>-15.496739011683466</v>
      </c>
      <c r="U340" s="639" t="s">
        <v>62</v>
      </c>
      <c r="V340" s="640">
        <v>0</v>
      </c>
      <c r="W340" s="641">
        <v>0</v>
      </c>
      <c r="X340" s="641">
        <v>-8.5387827474702789</v>
      </c>
      <c r="Y340" s="640">
        <v>-2.2272473327152178</v>
      </c>
      <c r="Z340" s="641">
        <v>0</v>
      </c>
      <c r="AA340" s="641">
        <v>0</v>
      </c>
      <c r="AB340" s="641">
        <v>0</v>
      </c>
      <c r="AC340" s="641">
        <v>0</v>
      </c>
      <c r="AD340" s="641">
        <v>0</v>
      </c>
      <c r="AE340" s="641">
        <v>-1.7037211969591732</v>
      </c>
      <c r="AF340" s="641">
        <v>0</v>
      </c>
      <c r="AG340" s="641">
        <v>0</v>
      </c>
      <c r="AH340" s="642">
        <v>0</v>
      </c>
      <c r="AI340" s="641">
        <v>0</v>
      </c>
      <c r="AJ340" s="641">
        <v>0</v>
      </c>
      <c r="AK340" s="643">
        <v>-12.46975127714467</v>
      </c>
    </row>
    <row r="341" spans="3:37" x14ac:dyDescent="0.2">
      <c r="C341" s="639" t="s">
        <v>63</v>
      </c>
      <c r="D341" s="640">
        <v>0</v>
      </c>
      <c r="E341" s="641">
        <v>0</v>
      </c>
      <c r="F341" s="641">
        <v>-89.42656352071144</v>
      </c>
      <c r="G341" s="640">
        <v>0</v>
      </c>
      <c r="H341" s="641">
        <v>0</v>
      </c>
      <c r="I341" s="641">
        <v>0</v>
      </c>
      <c r="J341" s="641">
        <v>0</v>
      </c>
      <c r="K341" s="641">
        <v>0</v>
      </c>
      <c r="L341" s="641">
        <v>-0.92190198395554845</v>
      </c>
      <c r="M341" s="641">
        <v>0</v>
      </c>
      <c r="N341" s="641">
        <v>0</v>
      </c>
      <c r="O341" s="641">
        <v>0</v>
      </c>
      <c r="P341" s="642">
        <v>0</v>
      </c>
      <c r="Q341" s="641">
        <v>0</v>
      </c>
      <c r="R341" s="641">
        <v>0</v>
      </c>
      <c r="S341" s="643">
        <v>-90.34846550466699</v>
      </c>
      <c r="U341" s="639" t="s">
        <v>63</v>
      </c>
      <c r="V341" s="640">
        <v>0</v>
      </c>
      <c r="W341" s="641">
        <v>0</v>
      </c>
      <c r="X341" s="641">
        <v>-55.486888716289528</v>
      </c>
      <c r="Y341" s="640">
        <v>0</v>
      </c>
      <c r="Z341" s="641">
        <v>0</v>
      </c>
      <c r="AA341" s="641">
        <v>0</v>
      </c>
      <c r="AB341" s="641">
        <v>0</v>
      </c>
      <c r="AC341" s="641">
        <v>0</v>
      </c>
      <c r="AD341" s="641">
        <v>-26.575233608452013</v>
      </c>
      <c r="AE341" s="641">
        <v>0</v>
      </c>
      <c r="AF341" s="641">
        <v>0</v>
      </c>
      <c r="AG341" s="641">
        <v>0</v>
      </c>
      <c r="AH341" s="642">
        <v>0</v>
      </c>
      <c r="AI341" s="641">
        <v>0</v>
      </c>
      <c r="AJ341" s="641">
        <v>0</v>
      </c>
      <c r="AK341" s="643">
        <v>-82.062122324741537</v>
      </c>
    </row>
    <row r="342" spans="3:37" x14ac:dyDescent="0.2">
      <c r="C342" s="639" t="s">
        <v>64</v>
      </c>
      <c r="D342" s="640">
        <v>0</v>
      </c>
      <c r="E342" s="641">
        <v>0</v>
      </c>
      <c r="F342" s="641">
        <v>0</v>
      </c>
      <c r="G342" s="640">
        <v>0</v>
      </c>
      <c r="H342" s="641">
        <v>0</v>
      </c>
      <c r="I342" s="641">
        <v>0</v>
      </c>
      <c r="J342" s="641">
        <v>0</v>
      </c>
      <c r="K342" s="641">
        <v>0</v>
      </c>
      <c r="L342" s="641">
        <v>0</v>
      </c>
      <c r="M342" s="641">
        <v>0</v>
      </c>
      <c r="N342" s="641">
        <v>0</v>
      </c>
      <c r="O342" s="641">
        <v>0</v>
      </c>
      <c r="P342" s="642">
        <v>0</v>
      </c>
      <c r="Q342" s="641">
        <v>0</v>
      </c>
      <c r="R342" s="641">
        <v>0</v>
      </c>
      <c r="S342" s="643">
        <v>0</v>
      </c>
      <c r="U342" s="639" t="s">
        <v>64</v>
      </c>
      <c r="V342" s="640">
        <v>0</v>
      </c>
      <c r="W342" s="641">
        <v>0</v>
      </c>
      <c r="X342" s="641">
        <v>0</v>
      </c>
      <c r="Y342" s="640">
        <v>0</v>
      </c>
      <c r="Z342" s="641">
        <v>0</v>
      </c>
      <c r="AA342" s="641">
        <v>0</v>
      </c>
      <c r="AB342" s="641">
        <v>0</v>
      </c>
      <c r="AC342" s="641">
        <v>0</v>
      </c>
      <c r="AD342" s="641">
        <v>0</v>
      </c>
      <c r="AE342" s="641">
        <v>0</v>
      </c>
      <c r="AF342" s="641">
        <v>0</v>
      </c>
      <c r="AG342" s="641">
        <v>0</v>
      </c>
      <c r="AH342" s="642">
        <v>0</v>
      </c>
      <c r="AI342" s="641">
        <v>0</v>
      </c>
      <c r="AJ342" s="641">
        <v>0</v>
      </c>
      <c r="AK342" s="643">
        <v>0</v>
      </c>
    </row>
    <row r="343" spans="3:37" x14ac:dyDescent="0.2">
      <c r="C343" s="644" t="s">
        <v>65</v>
      </c>
      <c r="D343" s="645">
        <v>47.523331421865407</v>
      </c>
      <c r="E343" s="645">
        <v>492.37419513671523</v>
      </c>
      <c r="F343" s="645">
        <v>-47.570976452143519</v>
      </c>
      <c r="G343" s="645">
        <v>328.8885225556333</v>
      </c>
      <c r="H343" s="645">
        <v>889.54545454545473</v>
      </c>
      <c r="I343" s="645">
        <v>290.38619522472999</v>
      </c>
      <c r="J343" s="645">
        <v>193.07216990727574</v>
      </c>
      <c r="K343" s="645">
        <v>20.519346122490408</v>
      </c>
      <c r="L343" s="645">
        <v>2.247505888118404</v>
      </c>
      <c r="M343" s="645">
        <v>0.15914693380563083</v>
      </c>
      <c r="N343" s="645">
        <v>65.898689554178929</v>
      </c>
      <c r="O343" s="645">
        <v>11.930124482632028</v>
      </c>
      <c r="P343" s="645">
        <v>-22.391147784534837</v>
      </c>
      <c r="Q343" s="645">
        <v>0</v>
      </c>
      <c r="R343" s="645">
        <v>0</v>
      </c>
      <c r="S343" s="645">
        <v>2272.5825575362214</v>
      </c>
      <c r="U343" s="644" t="s">
        <v>65</v>
      </c>
      <c r="V343" s="645">
        <v>6.5260336126681251</v>
      </c>
      <c r="W343" s="645">
        <v>220.47790015098695</v>
      </c>
      <c r="X343" s="645">
        <v>-69.203009096012792</v>
      </c>
      <c r="Y343" s="645">
        <v>99.907420185209077</v>
      </c>
      <c r="Z343" s="645">
        <v>873.030303030303</v>
      </c>
      <c r="AA343" s="645">
        <v>337.06619522473</v>
      </c>
      <c r="AB343" s="645">
        <v>210.96242530283007</v>
      </c>
      <c r="AC343" s="645">
        <v>37.137182251794961</v>
      </c>
      <c r="AD343" s="645">
        <v>-23.405825736378059</v>
      </c>
      <c r="AE343" s="645">
        <v>-1.5445742631535424</v>
      </c>
      <c r="AF343" s="645">
        <v>103.02458403584798</v>
      </c>
      <c r="AG343" s="645">
        <v>25.833176078824131</v>
      </c>
      <c r="AH343" s="645">
        <v>-17.389600315785174</v>
      </c>
      <c r="AI343" s="645">
        <v>0</v>
      </c>
      <c r="AJ343" s="645">
        <v>0</v>
      </c>
      <c r="AK343" s="645">
        <v>1802.4222104618648</v>
      </c>
    </row>
    <row r="344" spans="3:37" x14ac:dyDescent="0.2">
      <c r="C344" s="634"/>
      <c r="D344" s="634">
        <v>0</v>
      </c>
      <c r="E344" s="634">
        <v>0</v>
      </c>
      <c r="F344" s="634">
        <v>0</v>
      </c>
      <c r="G344" s="634">
        <v>0</v>
      </c>
      <c r="H344" s="634">
        <v>0</v>
      </c>
      <c r="I344" s="634">
        <v>0</v>
      </c>
      <c r="J344" s="634">
        <v>0</v>
      </c>
      <c r="K344" s="634">
        <v>0</v>
      </c>
      <c r="L344" s="634">
        <v>0</v>
      </c>
      <c r="M344" s="634">
        <v>0</v>
      </c>
      <c r="N344" s="634">
        <v>0</v>
      </c>
      <c r="O344" s="634">
        <v>0</v>
      </c>
      <c r="P344" s="634">
        <v>0</v>
      </c>
      <c r="Q344" s="634">
        <v>0</v>
      </c>
      <c r="R344" s="634">
        <v>0</v>
      </c>
      <c r="S344" s="634">
        <v>0</v>
      </c>
      <c r="U344" s="634"/>
      <c r="V344" s="634">
        <v>0</v>
      </c>
      <c r="W344" s="634">
        <v>0</v>
      </c>
      <c r="X344" s="634">
        <v>0</v>
      </c>
      <c r="Y344" s="634">
        <v>0</v>
      </c>
      <c r="Z344" s="634">
        <v>0</v>
      </c>
      <c r="AA344" s="634">
        <v>0</v>
      </c>
      <c r="AB344" s="634">
        <v>0</v>
      </c>
      <c r="AC344" s="634">
        <v>0</v>
      </c>
      <c r="AD344" s="634">
        <v>0</v>
      </c>
      <c r="AE344" s="634">
        <v>0</v>
      </c>
      <c r="AF344" s="634">
        <v>0</v>
      </c>
      <c r="AG344" s="634">
        <v>0</v>
      </c>
      <c r="AH344" s="634">
        <v>0</v>
      </c>
      <c r="AI344" s="634">
        <v>0</v>
      </c>
      <c r="AJ344" s="634">
        <v>0</v>
      </c>
      <c r="AK344" s="634">
        <v>0</v>
      </c>
    </row>
    <row r="345" spans="3:37" x14ac:dyDescent="0.2">
      <c r="C345" s="646" t="s">
        <v>67</v>
      </c>
      <c r="D345" s="640">
        <v>0</v>
      </c>
      <c r="E345" s="647">
        <v>0</v>
      </c>
      <c r="F345" s="647">
        <v>0</v>
      </c>
      <c r="G345" s="640">
        <v>0</v>
      </c>
      <c r="H345" s="640">
        <v>0</v>
      </c>
      <c r="I345" s="640">
        <v>0</v>
      </c>
      <c r="J345" s="640">
        <v>0</v>
      </c>
      <c r="K345" s="640">
        <v>0</v>
      </c>
      <c r="L345" s="640">
        <v>0</v>
      </c>
      <c r="M345" s="640">
        <v>0</v>
      </c>
      <c r="N345" s="640">
        <v>0</v>
      </c>
      <c r="O345" s="640">
        <v>0</v>
      </c>
      <c r="P345" s="640">
        <v>0</v>
      </c>
      <c r="Q345" s="640">
        <v>0</v>
      </c>
      <c r="R345" s="640">
        <v>0</v>
      </c>
      <c r="S345" s="648">
        <v>0</v>
      </c>
      <c r="U345" s="646" t="s">
        <v>67</v>
      </c>
      <c r="V345" s="640">
        <v>0</v>
      </c>
      <c r="W345" s="647">
        <v>0</v>
      </c>
      <c r="X345" s="647">
        <v>0</v>
      </c>
      <c r="Y345" s="640">
        <v>0</v>
      </c>
      <c r="Z345" s="640">
        <v>0</v>
      </c>
      <c r="AA345" s="640">
        <v>0</v>
      </c>
      <c r="AB345" s="640">
        <v>0</v>
      </c>
      <c r="AC345" s="640">
        <v>0</v>
      </c>
      <c r="AD345" s="640">
        <v>0</v>
      </c>
      <c r="AE345" s="640">
        <v>0</v>
      </c>
      <c r="AF345" s="640">
        <v>0</v>
      </c>
      <c r="AG345" s="640">
        <v>0</v>
      </c>
      <c r="AH345" s="640">
        <v>0</v>
      </c>
      <c r="AI345" s="640">
        <v>0</v>
      </c>
      <c r="AJ345" s="640">
        <v>0</v>
      </c>
      <c r="AK345" s="648">
        <v>0</v>
      </c>
    </row>
    <row r="346" spans="3:37" x14ac:dyDescent="0.2">
      <c r="C346" s="646" t="s">
        <v>347</v>
      </c>
      <c r="D346" s="640">
        <v>2.8267856410252494</v>
      </c>
      <c r="E346" s="640">
        <v>0</v>
      </c>
      <c r="F346" s="640">
        <v>7.7625293209280457</v>
      </c>
      <c r="G346" s="640">
        <v>16.824034334763951</v>
      </c>
      <c r="H346" s="640">
        <v>889.54545454545473</v>
      </c>
      <c r="I346" s="640">
        <v>290.38619522472999</v>
      </c>
      <c r="J346" s="649">
        <v>29.234857813431841</v>
      </c>
      <c r="K346" s="649">
        <v>6.7467623730381456</v>
      </c>
      <c r="L346" s="649">
        <v>3.1694078720739522</v>
      </c>
      <c r="M346" s="649">
        <v>0.46915285357606595</v>
      </c>
      <c r="N346" s="649">
        <v>0</v>
      </c>
      <c r="O346" s="649">
        <v>6.9727309871777221</v>
      </c>
      <c r="P346" s="640">
        <v>-615.41357369902562</v>
      </c>
      <c r="Q346" s="640">
        <v>0</v>
      </c>
      <c r="R346" s="640">
        <v>0</v>
      </c>
      <c r="S346" s="648">
        <v>638.52433726717402</v>
      </c>
      <c r="U346" s="646" t="s">
        <v>347</v>
      </c>
      <c r="V346" s="640">
        <v>0.62631490545869017</v>
      </c>
      <c r="W346" s="640">
        <v>0</v>
      </c>
      <c r="X346" s="640">
        <v>3.8988929572916824</v>
      </c>
      <c r="Y346" s="640">
        <v>3.6741630901287547</v>
      </c>
      <c r="Z346" s="640">
        <v>873.030303030303</v>
      </c>
      <c r="AA346" s="640">
        <v>337.06619522473</v>
      </c>
      <c r="AB346" s="649">
        <v>23.429523439383615</v>
      </c>
      <c r="AC346" s="649">
        <v>5.4991881500691626</v>
      </c>
      <c r="AD346" s="649">
        <v>3.1694078720739522</v>
      </c>
      <c r="AE346" s="649">
        <v>2.7864060724601858</v>
      </c>
      <c r="AF346" s="649">
        <v>0</v>
      </c>
      <c r="AG346" s="649">
        <v>6.9727309871777221</v>
      </c>
      <c r="AH346" s="640">
        <v>-649.11357369902544</v>
      </c>
      <c r="AI346" s="640">
        <v>0</v>
      </c>
      <c r="AJ346" s="640">
        <v>4.45</v>
      </c>
      <c r="AK346" s="648">
        <v>615.48955203005141</v>
      </c>
    </row>
    <row r="347" spans="3:37" x14ac:dyDescent="0.2">
      <c r="C347" s="646" t="s">
        <v>348</v>
      </c>
      <c r="D347" s="640">
        <v>0</v>
      </c>
      <c r="E347" s="640">
        <v>0</v>
      </c>
      <c r="F347" s="640">
        <v>0</v>
      </c>
      <c r="G347" s="640">
        <v>14.896462034387394</v>
      </c>
      <c r="H347" s="640">
        <v>0</v>
      </c>
      <c r="I347" s="640">
        <v>0</v>
      </c>
      <c r="J347" s="649">
        <v>12.461036592610267</v>
      </c>
      <c r="K347" s="649">
        <v>11.927183871567582</v>
      </c>
      <c r="L347" s="649">
        <v>0</v>
      </c>
      <c r="M347" s="649">
        <v>0.3188738120209938</v>
      </c>
      <c r="N347" s="649">
        <v>0</v>
      </c>
      <c r="O347" s="649">
        <v>2.1085025260592274</v>
      </c>
      <c r="P347" s="640">
        <v>0</v>
      </c>
      <c r="Q347" s="640">
        <v>-37.934258390495422</v>
      </c>
      <c r="R347" s="640">
        <v>0</v>
      </c>
      <c r="S347" s="648">
        <v>3.7778004461500441</v>
      </c>
      <c r="U347" s="646" t="s">
        <v>348</v>
      </c>
      <c r="V347" s="640">
        <v>0</v>
      </c>
      <c r="W347" s="640">
        <v>0</v>
      </c>
      <c r="X347" s="640">
        <v>0</v>
      </c>
      <c r="Y347" s="640">
        <v>8.218662070491261</v>
      </c>
      <c r="Z347" s="640">
        <v>0</v>
      </c>
      <c r="AA347" s="640">
        <v>0</v>
      </c>
      <c r="AB347" s="649">
        <v>28.560818034272483</v>
      </c>
      <c r="AC347" s="649">
        <v>26.163217208510932</v>
      </c>
      <c r="AD347" s="649">
        <v>0</v>
      </c>
      <c r="AE347" s="649">
        <v>5.9663093303449024</v>
      </c>
      <c r="AF347" s="649">
        <v>0</v>
      </c>
      <c r="AG347" s="649">
        <v>11.832895483778962</v>
      </c>
      <c r="AH347" s="640">
        <v>0</v>
      </c>
      <c r="AI347" s="640">
        <v>-74.578675527513624</v>
      </c>
      <c r="AJ347" s="640">
        <v>0</v>
      </c>
      <c r="AK347" s="648">
        <v>6.1632265998849274</v>
      </c>
    </row>
    <row r="348" spans="3:37" x14ac:dyDescent="0.2">
      <c r="C348" s="646" t="s">
        <v>349</v>
      </c>
      <c r="D348" s="640">
        <v>0</v>
      </c>
      <c r="E348" s="640">
        <v>0</v>
      </c>
      <c r="F348" s="640">
        <v>0</v>
      </c>
      <c r="G348" s="640">
        <v>0</v>
      </c>
      <c r="H348" s="640">
        <v>0</v>
      </c>
      <c r="I348" s="640">
        <v>0</v>
      </c>
      <c r="J348" s="650">
        <v>6.9979956174374891</v>
      </c>
      <c r="K348" s="650">
        <v>0</v>
      </c>
      <c r="L348" s="650">
        <v>0</v>
      </c>
      <c r="M348" s="650">
        <v>-6.4748954450340372</v>
      </c>
      <c r="N348" s="650">
        <v>0</v>
      </c>
      <c r="O348" s="650">
        <v>0</v>
      </c>
      <c r="P348" s="640">
        <v>0</v>
      </c>
      <c r="Q348" s="640">
        <v>0</v>
      </c>
      <c r="R348" s="640">
        <v>0</v>
      </c>
      <c r="S348" s="648">
        <v>0.52310017240345186</v>
      </c>
      <c r="U348" s="646" t="s">
        <v>349</v>
      </c>
      <c r="V348" s="640">
        <v>0</v>
      </c>
      <c r="W348" s="640">
        <v>0</v>
      </c>
      <c r="X348" s="640">
        <v>0</v>
      </c>
      <c r="Y348" s="640">
        <v>0</v>
      </c>
      <c r="Z348" s="640">
        <v>0</v>
      </c>
      <c r="AA348" s="640">
        <v>0</v>
      </c>
      <c r="AB348" s="650">
        <v>79.198989478899776</v>
      </c>
      <c r="AC348" s="650">
        <v>0</v>
      </c>
      <c r="AD348" s="650">
        <v>0</v>
      </c>
      <c r="AE348" s="650">
        <v>-73.278865015352025</v>
      </c>
      <c r="AF348" s="650">
        <v>0</v>
      </c>
      <c r="AG348" s="650">
        <v>0</v>
      </c>
      <c r="AH348" s="640">
        <v>0</v>
      </c>
      <c r="AI348" s="640">
        <v>0</v>
      </c>
      <c r="AJ348" s="640">
        <v>0</v>
      </c>
      <c r="AK348" s="648">
        <v>5.9201244635477508</v>
      </c>
    </row>
    <row r="349" spans="3:37" x14ac:dyDescent="0.2">
      <c r="C349" s="646" t="s">
        <v>350</v>
      </c>
      <c r="D349" s="640">
        <v>0</v>
      </c>
      <c r="E349" s="640">
        <v>0</v>
      </c>
      <c r="F349" s="640">
        <v>0</v>
      </c>
      <c r="G349" s="640">
        <v>0</v>
      </c>
      <c r="H349" s="640">
        <v>0</v>
      </c>
      <c r="I349" s="640">
        <v>0</v>
      </c>
      <c r="J349" s="640">
        <v>0</v>
      </c>
      <c r="K349" s="640">
        <v>0</v>
      </c>
      <c r="L349" s="640">
        <v>0</v>
      </c>
      <c r="M349" s="640">
        <v>0</v>
      </c>
      <c r="N349" s="640">
        <v>0</v>
      </c>
      <c r="O349" s="640">
        <v>0</v>
      </c>
      <c r="P349" s="640">
        <v>0</v>
      </c>
      <c r="Q349" s="640">
        <v>0</v>
      </c>
      <c r="R349" s="640">
        <v>0</v>
      </c>
      <c r="S349" s="648">
        <v>0</v>
      </c>
      <c r="U349" s="646" t="s">
        <v>350</v>
      </c>
      <c r="V349" s="640">
        <v>0</v>
      </c>
      <c r="W349" s="640">
        <v>0</v>
      </c>
      <c r="X349" s="640">
        <v>0</v>
      </c>
      <c r="Y349" s="640">
        <v>0</v>
      </c>
      <c r="Z349" s="640">
        <v>0</v>
      </c>
      <c r="AA349" s="640">
        <v>0</v>
      </c>
      <c r="AB349" s="640">
        <v>0</v>
      </c>
      <c r="AC349" s="640">
        <v>0</v>
      </c>
      <c r="AD349" s="640">
        <v>0</v>
      </c>
      <c r="AE349" s="640">
        <v>0</v>
      </c>
      <c r="AF349" s="640">
        <v>0</v>
      </c>
      <c r="AG349" s="640">
        <v>0</v>
      </c>
      <c r="AH349" s="640">
        <v>0</v>
      </c>
      <c r="AI349" s="640">
        <v>0</v>
      </c>
      <c r="AJ349" s="640">
        <v>0</v>
      </c>
      <c r="AK349" s="648">
        <v>0</v>
      </c>
    </row>
    <row r="350" spans="3:37" x14ac:dyDescent="0.2">
      <c r="C350" s="646" t="s">
        <v>72</v>
      </c>
      <c r="D350" s="640">
        <v>0</v>
      </c>
      <c r="E350" s="640">
        <v>510.04733530503466</v>
      </c>
      <c r="F350" s="640">
        <v>-504.94686195198432</v>
      </c>
      <c r="G350" s="640">
        <v>0</v>
      </c>
      <c r="H350" s="640">
        <v>0</v>
      </c>
      <c r="I350" s="640">
        <v>0</v>
      </c>
      <c r="J350" s="640">
        <v>0</v>
      </c>
      <c r="K350" s="640">
        <v>0</v>
      </c>
      <c r="L350" s="640">
        <v>0</v>
      </c>
      <c r="M350" s="640">
        <v>0</v>
      </c>
      <c r="N350" s="640">
        <v>0</v>
      </c>
      <c r="O350" s="640">
        <v>0</v>
      </c>
      <c r="P350" s="640">
        <v>0</v>
      </c>
      <c r="Q350" s="640">
        <v>0</v>
      </c>
      <c r="R350" s="640">
        <v>0</v>
      </c>
      <c r="S350" s="648">
        <v>5.1004733530503472</v>
      </c>
      <c r="U350" s="646" t="s">
        <v>72</v>
      </c>
      <c r="V350" s="640">
        <v>0</v>
      </c>
      <c r="W350" s="640">
        <v>228.3916715709193</v>
      </c>
      <c r="X350" s="640">
        <v>-226.10775485521012</v>
      </c>
      <c r="Y350" s="640">
        <v>0</v>
      </c>
      <c r="Z350" s="640">
        <v>0</v>
      </c>
      <c r="AA350" s="640">
        <v>0</v>
      </c>
      <c r="AB350" s="640">
        <v>0</v>
      </c>
      <c r="AC350" s="640">
        <v>0</v>
      </c>
      <c r="AD350" s="640">
        <v>0</v>
      </c>
      <c r="AE350" s="640">
        <v>0</v>
      </c>
      <c r="AF350" s="640">
        <v>0</v>
      </c>
      <c r="AG350" s="640">
        <v>0</v>
      </c>
      <c r="AH350" s="640">
        <v>0</v>
      </c>
      <c r="AI350" s="640">
        <v>0</v>
      </c>
      <c r="AJ350" s="640">
        <v>0</v>
      </c>
      <c r="AK350" s="648">
        <v>2.2839167157091822</v>
      </c>
    </row>
    <row r="351" spans="3:37" x14ac:dyDescent="0.2">
      <c r="C351" s="646" t="s">
        <v>351</v>
      </c>
      <c r="D351" s="640">
        <v>0</v>
      </c>
      <c r="E351" s="640">
        <v>0</v>
      </c>
      <c r="F351" s="640">
        <v>0</v>
      </c>
      <c r="G351" s="640">
        <v>0</v>
      </c>
      <c r="H351" s="640">
        <v>0</v>
      </c>
      <c r="I351" s="640">
        <v>0</v>
      </c>
      <c r="J351" s="640">
        <v>27.710201800923624</v>
      </c>
      <c r="K351" s="640">
        <v>0</v>
      </c>
      <c r="L351" s="640">
        <v>-27.710201800923624</v>
      </c>
      <c r="M351" s="640">
        <v>0</v>
      </c>
      <c r="N351" s="640">
        <v>0</v>
      </c>
      <c r="O351" s="640">
        <v>0</v>
      </c>
      <c r="P351" s="640">
        <v>0</v>
      </c>
      <c r="Q351" s="640">
        <v>0</v>
      </c>
      <c r="R351" s="640">
        <v>0</v>
      </c>
      <c r="S351" s="648">
        <v>0</v>
      </c>
      <c r="U351" s="646" t="s">
        <v>351</v>
      </c>
      <c r="V351" s="640">
        <v>0</v>
      </c>
      <c r="W351" s="640">
        <v>0</v>
      </c>
      <c r="X351" s="640">
        <v>0</v>
      </c>
      <c r="Y351" s="640">
        <v>0</v>
      </c>
      <c r="Z351" s="640">
        <v>0</v>
      </c>
      <c r="AA351" s="640">
        <v>0</v>
      </c>
      <c r="AB351" s="640" t="e">
        <v>#VALUE!</v>
      </c>
      <c r="AC351" s="640">
        <v>0</v>
      </c>
      <c r="AD351" s="640">
        <v>-101.17003146857277</v>
      </c>
      <c r="AE351" s="640">
        <v>0</v>
      </c>
      <c r="AF351" s="640">
        <v>0</v>
      </c>
      <c r="AG351" s="640">
        <v>0</v>
      </c>
      <c r="AH351" s="640">
        <v>0</v>
      </c>
      <c r="AI351" s="640">
        <v>0</v>
      </c>
      <c r="AJ351" s="640">
        <v>0</v>
      </c>
      <c r="AK351" s="648">
        <v>-101.17003146857277</v>
      </c>
    </row>
    <row r="352" spans="3:37" x14ac:dyDescent="0.2">
      <c r="C352" s="646" t="s">
        <v>352</v>
      </c>
      <c r="D352" s="640">
        <v>0</v>
      </c>
      <c r="E352" s="640">
        <v>0</v>
      </c>
      <c r="F352" s="640">
        <v>0</v>
      </c>
      <c r="G352" s="640">
        <v>0</v>
      </c>
      <c r="H352" s="640">
        <v>0</v>
      </c>
      <c r="I352" s="640">
        <v>0</v>
      </c>
      <c r="J352" s="640">
        <v>0</v>
      </c>
      <c r="K352" s="640">
        <v>0</v>
      </c>
      <c r="L352" s="640">
        <v>0</v>
      </c>
      <c r="M352" s="640">
        <v>0</v>
      </c>
      <c r="N352" s="640">
        <v>0</v>
      </c>
      <c r="O352" s="640">
        <v>0</v>
      </c>
      <c r="P352" s="640">
        <v>0</v>
      </c>
      <c r="Q352" s="640">
        <v>0</v>
      </c>
      <c r="R352" s="640">
        <v>0</v>
      </c>
      <c r="S352" s="648">
        <v>0</v>
      </c>
      <c r="U352" s="646" t="s">
        <v>352</v>
      </c>
      <c r="V352" s="640">
        <v>0</v>
      </c>
      <c r="W352" s="640">
        <v>0</v>
      </c>
      <c r="X352" s="640">
        <v>0</v>
      </c>
      <c r="Y352" s="640">
        <v>0</v>
      </c>
      <c r="Z352" s="640">
        <v>0</v>
      </c>
      <c r="AA352" s="640">
        <v>0</v>
      </c>
      <c r="AB352" s="640">
        <v>0</v>
      </c>
      <c r="AC352" s="640">
        <v>0</v>
      </c>
      <c r="AD352" s="640">
        <v>-18.691082885283098</v>
      </c>
      <c r="AE352" s="640">
        <v>0</v>
      </c>
      <c r="AF352" s="640">
        <v>0</v>
      </c>
      <c r="AG352" s="640">
        <v>0</v>
      </c>
      <c r="AH352" s="640">
        <v>0</v>
      </c>
      <c r="AI352" s="640">
        <v>0</v>
      </c>
      <c r="AJ352" s="640">
        <v>0</v>
      </c>
      <c r="AK352" s="648">
        <v>-18.691082885283098</v>
      </c>
    </row>
    <row r="353" spans="3:37" x14ac:dyDescent="0.2">
      <c r="C353" s="646" t="s">
        <v>73</v>
      </c>
      <c r="D353" s="640">
        <v>0</v>
      </c>
      <c r="E353" s="640">
        <v>0</v>
      </c>
      <c r="F353" s="640">
        <v>0</v>
      </c>
      <c r="G353" s="640">
        <v>6.2864428714474423</v>
      </c>
      <c r="H353" s="640">
        <v>0</v>
      </c>
      <c r="I353" s="640">
        <v>0</v>
      </c>
      <c r="J353" s="640">
        <v>0</v>
      </c>
      <c r="K353" s="640">
        <v>7.2564905248031233E-2</v>
      </c>
      <c r="L353" s="640">
        <v>0</v>
      </c>
      <c r="M353" s="640">
        <v>0.12829475247851924</v>
      </c>
      <c r="N353" s="640">
        <v>0</v>
      </c>
      <c r="O353" s="640">
        <v>0</v>
      </c>
      <c r="P353" s="640">
        <v>0.77416476914506349</v>
      </c>
      <c r="Q353" s="640">
        <v>0</v>
      </c>
      <c r="R353" s="640">
        <v>-5.0795433673621861</v>
      </c>
      <c r="S353" s="648">
        <v>2.1819239309568701</v>
      </c>
      <c r="U353" s="646" t="s">
        <v>73</v>
      </c>
      <c r="V353" s="640">
        <v>0</v>
      </c>
      <c r="W353" s="640">
        <v>0</v>
      </c>
      <c r="X353" s="640">
        <v>0</v>
      </c>
      <c r="Y353" s="640">
        <v>3.7837340239051791</v>
      </c>
      <c r="Z353" s="640">
        <v>0</v>
      </c>
      <c r="AA353" s="640">
        <v>0</v>
      </c>
      <c r="AB353" s="640">
        <v>0</v>
      </c>
      <c r="AC353" s="640">
        <v>0.46597709654004676</v>
      </c>
      <c r="AD353" s="640">
        <v>0</v>
      </c>
      <c r="AE353" s="640">
        <v>2.7399453276554748</v>
      </c>
      <c r="AF353" s="640">
        <v>0</v>
      </c>
      <c r="AG353" s="640">
        <v>0</v>
      </c>
      <c r="AH353" s="640">
        <v>39.864323859285086</v>
      </c>
      <c r="AI353" s="640">
        <v>0</v>
      </c>
      <c r="AJ353" s="640">
        <v>-32.618396757803268</v>
      </c>
      <c r="AK353" s="648">
        <v>14.235583549582522</v>
      </c>
    </row>
    <row r="354" spans="3:37" x14ac:dyDescent="0.2">
      <c r="C354" s="646" t="s">
        <v>353</v>
      </c>
      <c r="D354" s="640">
        <v>28.588592812499996</v>
      </c>
      <c r="E354" s="640">
        <v>-17.673140168319453</v>
      </c>
      <c r="F354" s="640">
        <v>23.11542347254851</v>
      </c>
      <c r="G354" s="640">
        <v>0</v>
      </c>
      <c r="H354" s="640">
        <v>0</v>
      </c>
      <c r="I354" s="640">
        <v>0</v>
      </c>
      <c r="J354" s="640">
        <v>0</v>
      </c>
      <c r="K354" s="640">
        <v>0</v>
      </c>
      <c r="L354" s="640">
        <v>0</v>
      </c>
      <c r="M354" s="640">
        <v>0</v>
      </c>
      <c r="N354" s="640">
        <v>0</v>
      </c>
      <c r="O354" s="640">
        <v>0</v>
      </c>
      <c r="P354" s="640">
        <v>0</v>
      </c>
      <c r="Q354" s="640">
        <v>0</v>
      </c>
      <c r="R354" s="640">
        <v>0</v>
      </c>
      <c r="S354" s="648">
        <v>34.030876116729054</v>
      </c>
      <c r="U354" s="646" t="s">
        <v>353</v>
      </c>
      <c r="V354" s="640">
        <v>1.7459712219238281</v>
      </c>
      <c r="W354" s="640">
        <v>-7.9137714199323552</v>
      </c>
      <c r="X354" s="640">
        <v>10.35074558875537</v>
      </c>
      <c r="Y354" s="640">
        <v>0</v>
      </c>
      <c r="Z354" s="640">
        <v>0</v>
      </c>
      <c r="AA354" s="640">
        <v>0</v>
      </c>
      <c r="AB354" s="640">
        <v>0</v>
      </c>
      <c r="AC354" s="640">
        <v>0</v>
      </c>
      <c r="AD354" s="640">
        <v>0</v>
      </c>
      <c r="AE354" s="640">
        <v>0</v>
      </c>
      <c r="AF354" s="640">
        <v>0</v>
      </c>
      <c r="AG354" s="640">
        <v>0</v>
      </c>
      <c r="AH354" s="640">
        <v>0</v>
      </c>
      <c r="AI354" s="640">
        <v>0</v>
      </c>
      <c r="AJ354" s="640">
        <v>0</v>
      </c>
      <c r="AK354" s="648">
        <v>4.182945390746843</v>
      </c>
    </row>
    <row r="355" spans="3:37" x14ac:dyDescent="0.2">
      <c r="C355" s="646" t="s">
        <v>75</v>
      </c>
      <c r="D355" s="640">
        <v>11.11778609375</v>
      </c>
      <c r="E355" s="640">
        <v>0</v>
      </c>
      <c r="F355" s="640">
        <v>17.34160940037118</v>
      </c>
      <c r="G355" s="640">
        <v>4.9484792471294465</v>
      </c>
      <c r="H355" s="640">
        <v>0</v>
      </c>
      <c r="I355" s="640">
        <v>0</v>
      </c>
      <c r="J355" s="640">
        <v>0</v>
      </c>
      <c r="K355" s="640">
        <v>0</v>
      </c>
      <c r="L355" s="640">
        <v>0</v>
      </c>
      <c r="M355" s="640">
        <v>0.10098937239039688</v>
      </c>
      <c r="N355" s="640">
        <v>0</v>
      </c>
      <c r="O355" s="640">
        <v>0</v>
      </c>
      <c r="P355" s="640">
        <v>29.08691491128284</v>
      </c>
      <c r="Q355" s="640">
        <v>0</v>
      </c>
      <c r="R355" s="640">
        <v>0</v>
      </c>
      <c r="S355" s="648">
        <v>62.595779024923864</v>
      </c>
      <c r="U355" s="646" t="s">
        <v>75</v>
      </c>
      <c r="V355" s="640">
        <v>2.938742431640625</v>
      </c>
      <c r="W355" s="640">
        <v>0</v>
      </c>
      <c r="X355" s="640">
        <v>17.34160940037118</v>
      </c>
      <c r="Y355" s="640">
        <v>2.9286917993215091</v>
      </c>
      <c r="Z355" s="640">
        <v>0</v>
      </c>
      <c r="AA355" s="640">
        <v>0</v>
      </c>
      <c r="AB355" s="640">
        <v>0</v>
      </c>
      <c r="AC355" s="640">
        <v>0</v>
      </c>
      <c r="AD355" s="640">
        <v>0</v>
      </c>
      <c r="AE355" s="640">
        <v>2.1207768201983344</v>
      </c>
      <c r="AF355" s="640">
        <v>0</v>
      </c>
      <c r="AG355" s="640">
        <v>0</v>
      </c>
      <c r="AH355" s="640">
        <v>36.505051274919204</v>
      </c>
      <c r="AI355" s="640">
        <v>0</v>
      </c>
      <c r="AJ355" s="640">
        <v>0</v>
      </c>
      <c r="AK355" s="648">
        <v>61.834871726450849</v>
      </c>
    </row>
    <row r="356" spans="3:37" x14ac:dyDescent="0.2">
      <c r="C356" s="646" t="s">
        <v>76</v>
      </c>
      <c r="D356" s="640">
        <v>0</v>
      </c>
      <c r="E356" s="640">
        <v>0</v>
      </c>
      <c r="F356" s="640">
        <v>0</v>
      </c>
      <c r="G356" s="640">
        <v>3.7620934008695794</v>
      </c>
      <c r="H356" s="640">
        <v>0</v>
      </c>
      <c r="I356" s="640">
        <v>0</v>
      </c>
      <c r="J356" s="640">
        <v>0</v>
      </c>
      <c r="K356" s="640">
        <v>0</v>
      </c>
      <c r="L356" s="640">
        <v>0</v>
      </c>
      <c r="M356" s="640">
        <v>7.6777416344277136E-2</v>
      </c>
      <c r="N356" s="640">
        <v>0</v>
      </c>
      <c r="O356" s="640">
        <v>0</v>
      </c>
      <c r="P356" s="640">
        <v>45.374638558517056</v>
      </c>
      <c r="Q356" s="640">
        <v>2.9442994019327013</v>
      </c>
      <c r="R356" s="640">
        <v>0</v>
      </c>
      <c r="S356" s="648">
        <v>52.157808777663611</v>
      </c>
      <c r="U356" s="646" t="s">
        <v>76</v>
      </c>
      <c r="V356" s="640">
        <v>0</v>
      </c>
      <c r="W356" s="640">
        <v>0</v>
      </c>
      <c r="X356" s="640">
        <v>0</v>
      </c>
      <c r="Y356" s="640">
        <v>1.1999362424874132</v>
      </c>
      <c r="Z356" s="640">
        <v>0</v>
      </c>
      <c r="AA356" s="640">
        <v>0</v>
      </c>
      <c r="AB356" s="640">
        <v>0</v>
      </c>
      <c r="AC356" s="640">
        <v>0</v>
      </c>
      <c r="AD356" s="640">
        <v>0</v>
      </c>
      <c r="AE356" s="640">
        <v>0.86891934800812698</v>
      </c>
      <c r="AF356" s="640">
        <v>0</v>
      </c>
      <c r="AG356" s="640">
        <v>0</v>
      </c>
      <c r="AH356" s="640">
        <v>48.340685132761017</v>
      </c>
      <c r="AI356" s="640">
        <v>5.7839036819230412</v>
      </c>
      <c r="AJ356" s="640">
        <v>0</v>
      </c>
      <c r="AK356" s="648">
        <v>56.193444405179591</v>
      </c>
    </row>
    <row r="357" spans="3:37" x14ac:dyDescent="0.2">
      <c r="C357" s="644" t="s">
        <v>77</v>
      </c>
      <c r="D357" s="645">
        <v>42.533164547275248</v>
      </c>
      <c r="E357" s="645">
        <v>492.37419513671523</v>
      </c>
      <c r="F357" s="645">
        <v>-456.72729975813655</v>
      </c>
      <c r="G357" s="645">
        <v>46.717511888597819</v>
      </c>
      <c r="H357" s="645">
        <v>889.54545454545473</v>
      </c>
      <c r="I357" s="645">
        <v>290.38619522472999</v>
      </c>
      <c r="J357" s="645">
        <v>76.404091824403224</v>
      </c>
      <c r="K357" s="645">
        <v>18.74651114985376</v>
      </c>
      <c r="L357" s="645">
        <v>-24.540793928849673</v>
      </c>
      <c r="M357" s="645">
        <v>-5.3808072382237846</v>
      </c>
      <c r="N357" s="645">
        <v>0</v>
      </c>
      <c r="O357" s="645">
        <v>9.0812335132369491</v>
      </c>
      <c r="P357" s="645">
        <v>-540.17785546008065</v>
      </c>
      <c r="Q357" s="645">
        <v>-34.989958988562719</v>
      </c>
      <c r="R357" s="645">
        <v>-5.0795433673621861</v>
      </c>
      <c r="S357" s="645">
        <v>798.89209908905127</v>
      </c>
      <c r="U357" s="644" t="s">
        <v>77</v>
      </c>
      <c r="V357" s="645">
        <v>5.3110285590231427</v>
      </c>
      <c r="W357" s="645">
        <v>220.47790015098695</v>
      </c>
      <c r="X357" s="645">
        <v>-194.51650690879191</v>
      </c>
      <c r="Y357" s="645">
        <v>19.805187226334116</v>
      </c>
      <c r="Z357" s="645">
        <v>873.030303030303</v>
      </c>
      <c r="AA357" s="645">
        <v>337.06619522473</v>
      </c>
      <c r="AB357" s="645">
        <v>131.18933095255588</v>
      </c>
      <c r="AC357" s="645">
        <v>32.128382455120146</v>
      </c>
      <c r="AD357" s="645">
        <v>-116.69170648178192</v>
      </c>
      <c r="AE357" s="645">
        <v>-58.796508116684997</v>
      </c>
      <c r="AF357" s="645">
        <v>0</v>
      </c>
      <c r="AG357" s="645">
        <v>18.805626470956682</v>
      </c>
      <c r="AH357" s="645">
        <v>-524.40351343206009</v>
      </c>
      <c r="AI357" s="645">
        <v>-68.794771845590574</v>
      </c>
      <c r="AJ357" s="645">
        <v>-28.168396757803269</v>
      </c>
      <c r="AK357" s="645">
        <v>646.44255052729716</v>
      </c>
    </row>
    <row r="358" spans="3:37" x14ac:dyDescent="0.2">
      <c r="C358" s="634"/>
      <c r="D358" s="634">
        <v>0</v>
      </c>
      <c r="E358" s="634">
        <v>0</v>
      </c>
      <c r="F358" s="634">
        <v>0</v>
      </c>
      <c r="G358" s="634">
        <v>0</v>
      </c>
      <c r="H358" s="634">
        <v>0</v>
      </c>
      <c r="I358" s="634">
        <v>0</v>
      </c>
      <c r="J358" s="634">
        <v>0</v>
      </c>
      <c r="K358" s="634">
        <v>0</v>
      </c>
      <c r="L358" s="634">
        <v>0</v>
      </c>
      <c r="M358" s="634">
        <v>0</v>
      </c>
      <c r="N358" s="634">
        <v>0</v>
      </c>
      <c r="O358" s="634">
        <v>0</v>
      </c>
      <c r="P358" s="634">
        <v>0</v>
      </c>
      <c r="Q358" s="634">
        <v>0</v>
      </c>
      <c r="R358" s="634">
        <v>0</v>
      </c>
      <c r="S358" s="634">
        <v>0</v>
      </c>
      <c r="U358" s="634"/>
      <c r="V358" s="634">
        <v>0</v>
      </c>
      <c r="W358" s="634">
        <v>0</v>
      </c>
      <c r="X358" s="634">
        <v>0</v>
      </c>
      <c r="Y358" s="634">
        <v>0</v>
      </c>
      <c r="Z358" s="634">
        <v>0</v>
      </c>
      <c r="AA358" s="634">
        <v>0</v>
      </c>
      <c r="AB358" s="634">
        <v>0</v>
      </c>
      <c r="AC358" s="634">
        <v>0</v>
      </c>
      <c r="AD358" s="634">
        <v>0</v>
      </c>
      <c r="AE358" s="634">
        <v>0</v>
      </c>
      <c r="AF358" s="634">
        <v>0</v>
      </c>
      <c r="AG358" s="634">
        <v>0</v>
      </c>
      <c r="AH358" s="634">
        <v>0</v>
      </c>
      <c r="AI358" s="634">
        <v>0</v>
      </c>
      <c r="AJ358" s="634">
        <v>0</v>
      </c>
      <c r="AK358" s="634">
        <v>0</v>
      </c>
    </row>
    <row r="359" spans="3:37" x14ac:dyDescent="0.2">
      <c r="C359" s="646" t="s">
        <v>78</v>
      </c>
      <c r="D359" s="640">
        <v>4.9901668745901624</v>
      </c>
      <c r="E359" s="640">
        <v>0</v>
      </c>
      <c r="F359" s="640">
        <v>21.091530324656198</v>
      </c>
      <c r="G359" s="640">
        <v>96.151700548391091</v>
      </c>
      <c r="H359" s="640">
        <v>0</v>
      </c>
      <c r="I359" s="640">
        <v>0</v>
      </c>
      <c r="J359" s="640">
        <v>21.387862541024852</v>
      </c>
      <c r="K359" s="640">
        <v>1.7476152779545906</v>
      </c>
      <c r="L359" s="640">
        <v>0.94211085156249985</v>
      </c>
      <c r="M359" s="640">
        <v>1.9807569399951515</v>
      </c>
      <c r="N359" s="640">
        <v>0</v>
      </c>
      <c r="O359" s="640">
        <v>3.7669078281368638E-4</v>
      </c>
      <c r="P359" s="640">
        <v>112.73505933145552</v>
      </c>
      <c r="Q359" s="640">
        <v>16.12568637832603</v>
      </c>
      <c r="R359" s="640">
        <v>0.27920700073242188</v>
      </c>
      <c r="S359" s="648">
        <v>277.43207275947128</v>
      </c>
      <c r="U359" s="646" t="s">
        <v>78</v>
      </c>
      <c r="V359" s="640">
        <v>1.2150050536449819</v>
      </c>
      <c r="W359" s="640">
        <v>0</v>
      </c>
      <c r="X359" s="640">
        <v>6.016341039248414</v>
      </c>
      <c r="Y359" s="640">
        <v>39.709503776891196</v>
      </c>
      <c r="Z359" s="640">
        <v>0</v>
      </c>
      <c r="AA359" s="640">
        <v>0</v>
      </c>
      <c r="AB359" s="640">
        <v>15.202189846170386</v>
      </c>
      <c r="AC359" s="640">
        <v>4.9835801019927617</v>
      </c>
      <c r="AD359" s="640">
        <v>5.6103854980468748</v>
      </c>
      <c r="AE359" s="640">
        <v>28.773635244370734</v>
      </c>
      <c r="AF359" s="640">
        <v>0</v>
      </c>
      <c r="AG359" s="640">
        <v>3.7669078281368638E-4</v>
      </c>
      <c r="AH359" s="640">
        <v>146.07653830614987</v>
      </c>
      <c r="AI359" s="640">
        <v>23.647869298816833</v>
      </c>
      <c r="AJ359" s="640">
        <v>7.4826708984375001</v>
      </c>
      <c r="AK359" s="648">
        <v>278.71809575455239</v>
      </c>
    </row>
    <row r="360" spans="3:37" x14ac:dyDescent="0.2">
      <c r="C360" s="646" t="s">
        <v>79</v>
      </c>
      <c r="D360" s="640">
        <v>0</v>
      </c>
      <c r="E360" s="640">
        <v>0</v>
      </c>
      <c r="F360" s="640">
        <v>235.12748928743429</v>
      </c>
      <c r="G360" s="640">
        <v>31.099379517950805</v>
      </c>
      <c r="H360" s="640">
        <v>0</v>
      </c>
      <c r="I360" s="640">
        <v>0</v>
      </c>
      <c r="J360" s="640">
        <v>0</v>
      </c>
      <c r="K360" s="640">
        <v>0</v>
      </c>
      <c r="L360" s="640">
        <v>22.716725008445675</v>
      </c>
      <c r="M360" s="640">
        <v>0.63468121465205729</v>
      </c>
      <c r="N360" s="640">
        <v>0</v>
      </c>
      <c r="O360" s="640">
        <v>0</v>
      </c>
      <c r="P360" s="640">
        <v>68.565930798083699</v>
      </c>
      <c r="Q360" s="640">
        <v>0</v>
      </c>
      <c r="R360" s="640">
        <v>2.3844112104980786</v>
      </c>
      <c r="S360" s="648">
        <v>360.52861703706463</v>
      </c>
      <c r="U360" s="646" t="s">
        <v>79</v>
      </c>
      <c r="V360" s="640">
        <v>0</v>
      </c>
      <c r="W360" s="640">
        <v>0</v>
      </c>
      <c r="X360" s="640">
        <v>35.128929389637456</v>
      </c>
      <c r="Y360" s="640">
        <v>15.137064293513523</v>
      </c>
      <c r="Z360" s="640">
        <v>0</v>
      </c>
      <c r="AA360" s="640">
        <v>0</v>
      </c>
      <c r="AB360" s="640">
        <v>0</v>
      </c>
      <c r="AC360" s="640">
        <v>0</v>
      </c>
      <c r="AD360" s="640">
        <v>37.187580566982817</v>
      </c>
      <c r="AE360" s="640">
        <v>11.036020535724948</v>
      </c>
      <c r="AF360" s="640">
        <v>0</v>
      </c>
      <c r="AG360" s="640">
        <v>0</v>
      </c>
      <c r="AH360" s="640">
        <v>89.614524523742418</v>
      </c>
      <c r="AI360" s="640">
        <v>0</v>
      </c>
      <c r="AJ360" s="640">
        <v>5.6351763144479268</v>
      </c>
      <c r="AK360" s="648">
        <v>193.73929562404911</v>
      </c>
    </row>
    <row r="361" spans="3:37" x14ac:dyDescent="0.2">
      <c r="C361" s="646" t="s">
        <v>80</v>
      </c>
      <c r="D361" s="640">
        <v>0</v>
      </c>
      <c r="E361" s="640">
        <v>0</v>
      </c>
      <c r="F361" s="640">
        <v>13.724834206032371</v>
      </c>
      <c r="G361" s="640">
        <v>79.131512261322683</v>
      </c>
      <c r="H361" s="640">
        <v>0</v>
      </c>
      <c r="I361" s="640">
        <v>0</v>
      </c>
      <c r="J361" s="640">
        <v>87.797108848078949</v>
      </c>
      <c r="K361" s="640">
        <v>0</v>
      </c>
      <c r="L361" s="640">
        <v>0</v>
      </c>
      <c r="M361" s="640">
        <v>1.6149288216596467</v>
      </c>
      <c r="N361" s="640">
        <v>57.41835645436403</v>
      </c>
      <c r="O361" s="640">
        <v>2.0533643919476137</v>
      </c>
      <c r="P361" s="640">
        <v>189.45880926265392</v>
      </c>
      <c r="Q361" s="640">
        <v>15.417775800116472</v>
      </c>
      <c r="R361" s="640">
        <v>0</v>
      </c>
      <c r="S361" s="648">
        <v>446.61669004617568</v>
      </c>
      <c r="U361" s="646" t="s">
        <v>80</v>
      </c>
      <c r="V361" s="640">
        <v>0</v>
      </c>
      <c r="W361" s="640">
        <v>0</v>
      </c>
      <c r="X361" s="640">
        <v>1.0209129157283405</v>
      </c>
      <c r="Y361" s="640">
        <v>12.832027751754538</v>
      </c>
      <c r="Z361" s="640">
        <v>0</v>
      </c>
      <c r="AA361" s="640">
        <v>0</v>
      </c>
      <c r="AB361" s="640">
        <v>53.270322236782164</v>
      </c>
      <c r="AC361" s="640">
        <v>0</v>
      </c>
      <c r="AD361" s="640">
        <v>0</v>
      </c>
      <c r="AE361" s="640">
        <v>9.2921580271325972</v>
      </c>
      <c r="AF361" s="640">
        <v>88.292344554902868</v>
      </c>
      <c r="AG361" s="640">
        <v>3.9079432862869607</v>
      </c>
      <c r="AH361" s="640">
        <v>146.88666477766319</v>
      </c>
      <c r="AI361" s="640">
        <v>32.427264426374379</v>
      </c>
      <c r="AJ361" s="640">
        <v>0</v>
      </c>
      <c r="AK361" s="648">
        <v>347.92963797662509</v>
      </c>
    </row>
    <row r="362" spans="3:37" x14ac:dyDescent="0.2">
      <c r="C362" s="646" t="s">
        <v>81</v>
      </c>
      <c r="D362" s="640">
        <v>0</v>
      </c>
      <c r="E362" s="640">
        <v>0</v>
      </c>
      <c r="F362" s="640">
        <v>3.9083972405176572</v>
      </c>
      <c r="G362" s="640">
        <v>63.089348266301698</v>
      </c>
      <c r="H362" s="640">
        <v>0</v>
      </c>
      <c r="I362" s="640">
        <v>0</v>
      </c>
      <c r="J362" s="640">
        <v>3.1804221278939271</v>
      </c>
      <c r="K362" s="640">
        <v>2.5219694682056978E-2</v>
      </c>
      <c r="L362" s="640">
        <v>0</v>
      </c>
      <c r="M362" s="640">
        <v>1.287537719720443</v>
      </c>
      <c r="N362" s="640">
        <v>8.4803330998149011</v>
      </c>
      <c r="O362" s="640">
        <v>0.72631919579288284</v>
      </c>
      <c r="P362" s="640">
        <v>140.69299872549993</v>
      </c>
      <c r="Q362" s="640">
        <v>3.4464968101202174</v>
      </c>
      <c r="R362" s="640">
        <v>0</v>
      </c>
      <c r="S362" s="648">
        <v>224.8370728803437</v>
      </c>
      <c r="U362" s="646" t="s">
        <v>81</v>
      </c>
      <c r="V362" s="640">
        <v>0</v>
      </c>
      <c r="W362" s="640">
        <v>0</v>
      </c>
      <c r="X362" s="640">
        <v>1.4952361732398858</v>
      </c>
      <c r="Y362" s="640">
        <v>10.610341518374359</v>
      </c>
      <c r="Z362" s="640">
        <v>0</v>
      </c>
      <c r="AA362" s="640">
        <v>0</v>
      </c>
      <c r="AB362" s="640">
        <v>6.9978977014468793</v>
      </c>
      <c r="AC362" s="640">
        <v>2.5219694682056978E-2</v>
      </c>
      <c r="AD362" s="640">
        <v>0</v>
      </c>
      <c r="AE362" s="640">
        <v>7.6833507546848816</v>
      </c>
      <c r="AF362" s="640">
        <v>14.732239480945108</v>
      </c>
      <c r="AG362" s="640">
        <v>1.5525732622869153</v>
      </c>
      <c r="AH362" s="640">
        <v>115.23036268987886</v>
      </c>
      <c r="AI362" s="640">
        <v>12.719638120399363</v>
      </c>
      <c r="AJ362" s="640">
        <v>0</v>
      </c>
      <c r="AK362" s="648">
        <v>171.04685939593833</v>
      </c>
    </row>
    <row r="363" spans="3:37" x14ac:dyDescent="0.2">
      <c r="C363" s="646" t="s">
        <v>82</v>
      </c>
      <c r="D363" s="640">
        <v>0</v>
      </c>
      <c r="E363" s="640">
        <v>0</v>
      </c>
      <c r="F363" s="640">
        <v>28.471648080197657</v>
      </c>
      <c r="G363" s="640">
        <v>1.0804243241036344</v>
      </c>
      <c r="H363" s="640">
        <v>0</v>
      </c>
      <c r="I363" s="640">
        <v>0</v>
      </c>
      <c r="J363" s="640">
        <v>4.3026845658747828</v>
      </c>
      <c r="K363" s="640">
        <v>0</v>
      </c>
      <c r="L363" s="640">
        <v>3.1299020072385213</v>
      </c>
      <c r="M363" s="640">
        <v>2.2049476002114991E-2</v>
      </c>
      <c r="N363" s="640">
        <v>0</v>
      </c>
      <c r="O363" s="640">
        <v>6.8830690871769351E-2</v>
      </c>
      <c r="P363" s="640">
        <v>5.9739095578527968</v>
      </c>
      <c r="Q363" s="640">
        <v>0</v>
      </c>
      <c r="R363" s="640">
        <v>0</v>
      </c>
      <c r="S363" s="648">
        <v>43.049448702141277</v>
      </c>
      <c r="U363" s="646" t="s">
        <v>82</v>
      </c>
      <c r="V363" s="640">
        <v>0</v>
      </c>
      <c r="W363" s="640">
        <v>0</v>
      </c>
      <c r="X363" s="640">
        <v>5.8604701162543282</v>
      </c>
      <c r="Y363" s="640">
        <v>0.77721189491485598</v>
      </c>
      <c r="Z363" s="640">
        <v>0</v>
      </c>
      <c r="AA363" s="640">
        <v>0</v>
      </c>
      <c r="AB363" s="640">
        <v>4.3026845658747828</v>
      </c>
      <c r="AC363" s="640">
        <v>0</v>
      </c>
      <c r="AD363" s="640">
        <v>30.776202948565647</v>
      </c>
      <c r="AE363" s="640">
        <v>0.56280861355903367</v>
      </c>
      <c r="AF363" s="640">
        <v>0</v>
      </c>
      <c r="AG363" s="640">
        <v>1.5666563685107562</v>
      </c>
      <c r="AH363" s="640">
        <v>6.0858228188406986</v>
      </c>
      <c r="AI363" s="640">
        <v>0</v>
      </c>
      <c r="AJ363" s="640">
        <v>0.36062656029870238</v>
      </c>
      <c r="AK363" s="648">
        <v>50.292483886818808</v>
      </c>
    </row>
    <row r="364" spans="3:37" x14ac:dyDescent="0.2">
      <c r="C364" s="646" t="s">
        <v>354</v>
      </c>
      <c r="D364" s="640">
        <v>0</v>
      </c>
      <c r="E364" s="640">
        <v>0</v>
      </c>
      <c r="F364" s="640">
        <v>0</v>
      </c>
      <c r="G364" s="640">
        <v>0</v>
      </c>
      <c r="H364" s="640">
        <v>0</v>
      </c>
      <c r="I364" s="640">
        <v>0</v>
      </c>
      <c r="J364" s="640">
        <v>0</v>
      </c>
      <c r="K364" s="640">
        <v>0</v>
      </c>
      <c r="L364" s="640">
        <v>0</v>
      </c>
      <c r="M364" s="640">
        <v>0</v>
      </c>
      <c r="N364" s="640">
        <v>0</v>
      </c>
      <c r="O364" s="640">
        <v>0</v>
      </c>
      <c r="P364" s="640">
        <v>0.36</v>
      </c>
      <c r="Q364" s="640">
        <v>0</v>
      </c>
      <c r="R364" s="640">
        <v>0</v>
      </c>
      <c r="S364" s="648">
        <v>0.36</v>
      </c>
      <c r="U364" s="646" t="s">
        <v>354</v>
      </c>
      <c r="V364" s="640">
        <v>0</v>
      </c>
      <c r="W364" s="640">
        <v>0</v>
      </c>
      <c r="X364" s="640">
        <v>0</v>
      </c>
      <c r="Y364" s="640">
        <v>0</v>
      </c>
      <c r="Z364" s="640">
        <v>0</v>
      </c>
      <c r="AA364" s="640">
        <v>0</v>
      </c>
      <c r="AB364" s="640">
        <v>0</v>
      </c>
      <c r="AC364" s="640">
        <v>0</v>
      </c>
      <c r="AD364" s="640">
        <v>0</v>
      </c>
      <c r="AE364" s="640">
        <v>0</v>
      </c>
      <c r="AF364" s="640">
        <v>0</v>
      </c>
      <c r="AG364" s="640">
        <v>0</v>
      </c>
      <c r="AH364" s="640">
        <v>3.12</v>
      </c>
      <c r="AI364" s="640">
        <v>0</v>
      </c>
      <c r="AJ364" s="640">
        <v>0</v>
      </c>
      <c r="AK364" s="648">
        <v>3.12</v>
      </c>
    </row>
    <row r="365" spans="3:37" x14ac:dyDescent="0.2">
      <c r="C365" s="644" t="s">
        <v>83</v>
      </c>
      <c r="D365" s="645">
        <v>4.9901668745901624</v>
      </c>
      <c r="E365" s="645">
        <v>0</v>
      </c>
      <c r="F365" s="645">
        <v>302.32389913883821</v>
      </c>
      <c r="G365" s="645">
        <v>270.55236491806994</v>
      </c>
      <c r="H365" s="645">
        <v>0</v>
      </c>
      <c r="I365" s="645">
        <v>0</v>
      </c>
      <c r="J365" s="645">
        <v>116.66807808287251</v>
      </c>
      <c r="K365" s="645">
        <v>1.7728349726366477</v>
      </c>
      <c r="L365" s="645">
        <v>26.788737867246695</v>
      </c>
      <c r="M365" s="645">
        <v>5.5399541720294136</v>
      </c>
      <c r="N365" s="645">
        <v>65.898689554178929</v>
      </c>
      <c r="O365" s="645">
        <v>2.8488909693950797</v>
      </c>
      <c r="P365" s="645">
        <v>517.78670767554593</v>
      </c>
      <c r="Q365" s="645">
        <v>34.989958988562719</v>
      </c>
      <c r="R365" s="645">
        <v>2.6636182112305002</v>
      </c>
      <c r="S365" s="645">
        <v>1352.8239014251965</v>
      </c>
      <c r="U365" s="644" t="s">
        <v>83</v>
      </c>
      <c r="V365" s="645">
        <v>1.2150050536449819</v>
      </c>
      <c r="W365" s="645">
        <v>0</v>
      </c>
      <c r="X365" s="645">
        <v>49.521889634108419</v>
      </c>
      <c r="Y365" s="645">
        <v>79.066149235448464</v>
      </c>
      <c r="Z365" s="645">
        <v>0</v>
      </c>
      <c r="AA365" s="645">
        <v>0</v>
      </c>
      <c r="AB365" s="645">
        <v>79.773094350274206</v>
      </c>
      <c r="AC365" s="645">
        <v>5.0087997966748192</v>
      </c>
      <c r="AD365" s="645">
        <v>73.574169013595338</v>
      </c>
      <c r="AE365" s="645">
        <v>57.347973175472191</v>
      </c>
      <c r="AF365" s="645">
        <v>103.02458403584798</v>
      </c>
      <c r="AG365" s="645">
        <v>7.0275496078674458</v>
      </c>
      <c r="AH365" s="645">
        <v>507.01391311627498</v>
      </c>
      <c r="AI365" s="645">
        <v>68.794771845590574</v>
      </c>
      <c r="AJ365" s="645">
        <v>13.478473773184128</v>
      </c>
      <c r="AK365" s="645">
        <v>1044.8463726379837</v>
      </c>
    </row>
    <row r="366" spans="3:37" x14ac:dyDescent="0.2">
      <c r="C366" s="639" t="s">
        <v>84</v>
      </c>
      <c r="D366" s="640">
        <v>0</v>
      </c>
      <c r="E366" s="640">
        <v>0</v>
      </c>
      <c r="F366" s="640">
        <v>106.83242416715484</v>
      </c>
      <c r="G366" s="640">
        <v>11.6186457489655</v>
      </c>
      <c r="H366" s="640">
        <v>0</v>
      </c>
      <c r="I366" s="640">
        <v>0</v>
      </c>
      <c r="J366" s="640">
        <v>0</v>
      </c>
      <c r="K366" s="640">
        <v>0</v>
      </c>
      <c r="L366" s="640">
        <v>0</v>
      </c>
      <c r="M366" s="640">
        <v>0</v>
      </c>
      <c r="N366" s="640">
        <v>0</v>
      </c>
      <c r="O366" s="640">
        <v>0</v>
      </c>
      <c r="P366" s="640">
        <v>0</v>
      </c>
      <c r="Q366" s="640">
        <v>0</v>
      </c>
      <c r="R366" s="640">
        <v>2.4159251561316859</v>
      </c>
      <c r="S366" s="648">
        <v>120.86699507225204</v>
      </c>
      <c r="U366" s="639" t="s">
        <v>84</v>
      </c>
      <c r="V366" s="640">
        <v>0</v>
      </c>
      <c r="W366" s="640">
        <v>0</v>
      </c>
      <c r="X366" s="640">
        <v>75.791608178670685</v>
      </c>
      <c r="Y366" s="640">
        <v>0.94004440148578539</v>
      </c>
      <c r="Z366" s="640">
        <v>0</v>
      </c>
      <c r="AA366" s="640">
        <v>0</v>
      </c>
      <c r="AB366" s="640">
        <v>0</v>
      </c>
      <c r="AC366" s="640">
        <v>0</v>
      </c>
      <c r="AD366" s="640">
        <v>21.99170920776367</v>
      </c>
      <c r="AE366" s="640">
        <v>0</v>
      </c>
      <c r="AF366" s="640">
        <v>0</v>
      </c>
      <c r="AG366" s="640">
        <v>0</v>
      </c>
      <c r="AH366" s="640">
        <v>0</v>
      </c>
      <c r="AI366" s="640">
        <v>0</v>
      </c>
      <c r="AJ366" s="640">
        <v>14.689922984619141</v>
      </c>
      <c r="AK366" s="648">
        <v>113.41328477253928</v>
      </c>
    </row>
    <row r="367" spans="3:37" x14ac:dyDescent="0.2">
      <c r="C367" s="644" t="s">
        <v>85</v>
      </c>
      <c r="D367" s="645">
        <v>4.9901668745901624</v>
      </c>
      <c r="E367" s="645">
        <v>0</v>
      </c>
      <c r="F367" s="645">
        <v>409.15632330599311</v>
      </c>
      <c r="G367" s="645">
        <v>282.17101066703543</v>
      </c>
      <c r="H367" s="645">
        <v>0</v>
      </c>
      <c r="I367" s="645">
        <v>0</v>
      </c>
      <c r="J367" s="645">
        <v>116.66807808287251</v>
      </c>
      <c r="K367" s="645">
        <v>1.7728349726366477</v>
      </c>
      <c r="L367" s="645">
        <v>26.788737867246695</v>
      </c>
      <c r="M367" s="645">
        <v>5.5399541720294136</v>
      </c>
      <c r="N367" s="645">
        <v>65.898689554178929</v>
      </c>
      <c r="O367" s="645">
        <v>2.8488909693950797</v>
      </c>
      <c r="P367" s="645">
        <v>517.78670767554593</v>
      </c>
      <c r="Q367" s="645">
        <v>34.989958988562719</v>
      </c>
      <c r="R367" s="645">
        <v>5.0795433673621861</v>
      </c>
      <c r="S367" s="645">
        <v>1473.6908964974484</v>
      </c>
      <c r="U367" s="644" t="s">
        <v>85</v>
      </c>
      <c r="V367" s="645">
        <v>1.2150050536449819</v>
      </c>
      <c r="W367" s="645">
        <v>0</v>
      </c>
      <c r="X367" s="645">
        <v>125.31349781277912</v>
      </c>
      <c r="Y367" s="645">
        <v>80.006193636934256</v>
      </c>
      <c r="Z367" s="645">
        <v>0</v>
      </c>
      <c r="AA367" s="645">
        <v>0</v>
      </c>
      <c r="AB367" s="645">
        <v>79.773094350274206</v>
      </c>
      <c r="AC367" s="645">
        <v>5.0087997966748192</v>
      </c>
      <c r="AD367" s="645">
        <v>95.565878221359014</v>
      </c>
      <c r="AE367" s="645">
        <v>57.347973175472191</v>
      </c>
      <c r="AF367" s="645">
        <v>103.02458403584798</v>
      </c>
      <c r="AG367" s="645">
        <v>7.0275496078674458</v>
      </c>
      <c r="AH367" s="645">
        <v>507.01391311627498</v>
      </c>
      <c r="AI367" s="645">
        <v>68.794771845590574</v>
      </c>
      <c r="AJ367" s="645">
        <v>28.168396757803269</v>
      </c>
      <c r="AK367" s="645">
        <v>1158.2596574105228</v>
      </c>
    </row>
    <row r="368" spans="3:37" x14ac:dyDescent="0.2">
      <c r="C368" s="634"/>
      <c r="D368" s="634"/>
      <c r="E368" s="634"/>
      <c r="F368" s="634"/>
      <c r="G368" s="634"/>
      <c r="H368" s="634"/>
      <c r="I368" s="634"/>
      <c r="J368" s="634"/>
      <c r="K368" s="634"/>
      <c r="L368" s="634"/>
      <c r="M368" s="634"/>
      <c r="N368" s="634"/>
      <c r="O368" s="634"/>
      <c r="P368" s="634"/>
      <c r="Q368" s="634"/>
      <c r="R368" s="634"/>
      <c r="S368" s="634"/>
      <c r="U368" s="634"/>
      <c r="V368" s="634"/>
      <c r="W368" s="634"/>
      <c r="X368" s="634"/>
      <c r="Y368" s="634"/>
      <c r="Z368" s="634"/>
      <c r="AA368" s="634"/>
      <c r="AB368" s="634"/>
      <c r="AC368" s="634"/>
      <c r="AD368" s="634"/>
      <c r="AE368" s="634"/>
      <c r="AF368" s="634"/>
      <c r="AG368" s="634"/>
      <c r="AH368" s="634"/>
      <c r="AI368" s="634"/>
      <c r="AJ368" s="634"/>
      <c r="AK368" s="634"/>
    </row>
    <row r="369" spans="3:37" ht="22.5" x14ac:dyDescent="0.3">
      <c r="C369" s="759" t="s">
        <v>361</v>
      </c>
      <c r="D369" s="759"/>
      <c r="E369" s="759"/>
      <c r="F369" s="759"/>
      <c r="G369" s="759"/>
      <c r="H369" s="759"/>
      <c r="I369" s="759"/>
      <c r="J369" s="759"/>
      <c r="K369" s="759"/>
      <c r="L369" s="759"/>
      <c r="M369" s="759"/>
      <c r="N369" s="759"/>
      <c r="O369" s="759"/>
      <c r="P369" s="759"/>
      <c r="Q369" s="759"/>
      <c r="R369" s="759"/>
      <c r="S369" s="759"/>
      <c r="U369" s="759" t="s">
        <v>361</v>
      </c>
      <c r="V369" s="759"/>
      <c r="W369" s="759"/>
      <c r="X369" s="759"/>
      <c r="Y369" s="759"/>
      <c r="Z369" s="759"/>
      <c r="AA369" s="759"/>
      <c r="AB369" s="759"/>
      <c r="AC369" s="759"/>
      <c r="AD369" s="759"/>
      <c r="AE369" s="759"/>
      <c r="AF369" s="759"/>
      <c r="AG369" s="759"/>
      <c r="AH369" s="759"/>
      <c r="AI369" s="759"/>
      <c r="AJ369" s="759"/>
      <c r="AK369" s="759"/>
    </row>
    <row r="370" spans="3:37" x14ac:dyDescent="0.2">
      <c r="C370" s="634"/>
      <c r="D370" s="634"/>
      <c r="E370" s="634"/>
      <c r="F370" s="634"/>
      <c r="G370" s="634"/>
      <c r="H370" s="634"/>
      <c r="I370" s="634"/>
      <c r="J370" s="634"/>
      <c r="K370" s="634"/>
      <c r="L370" s="634"/>
      <c r="M370" s="634"/>
      <c r="N370" s="634"/>
      <c r="O370" s="634"/>
      <c r="P370" s="634"/>
      <c r="Q370" s="634"/>
      <c r="R370" s="634"/>
      <c r="S370" s="634"/>
      <c r="U370" s="634"/>
      <c r="V370" s="634"/>
      <c r="W370" s="634"/>
      <c r="X370" s="634"/>
      <c r="Y370" s="634"/>
      <c r="Z370" s="634"/>
      <c r="AA370" s="634"/>
      <c r="AB370" s="634"/>
      <c r="AC370" s="634"/>
      <c r="AD370" s="634"/>
      <c r="AE370" s="634"/>
      <c r="AF370" s="634"/>
      <c r="AG370" s="634"/>
      <c r="AH370" s="634"/>
      <c r="AI370" s="634"/>
      <c r="AJ370" s="634"/>
      <c r="AK370" s="634"/>
    </row>
    <row r="371" spans="3:37" ht="12.95" customHeight="1" x14ac:dyDescent="0.2">
      <c r="C371" s="758" t="s">
        <v>128</v>
      </c>
      <c r="D371" s="757" t="s">
        <v>42</v>
      </c>
      <c r="E371" s="757" t="s">
        <v>52</v>
      </c>
      <c r="F371" s="757" t="s">
        <v>53</v>
      </c>
      <c r="G371" s="757" t="s">
        <v>32</v>
      </c>
      <c r="H371" s="757" t="s">
        <v>20</v>
      </c>
      <c r="I371" s="757" t="s">
        <v>55</v>
      </c>
      <c r="J371" s="757" t="s">
        <v>56</v>
      </c>
      <c r="K371" s="757"/>
      <c r="L371" s="757"/>
      <c r="M371" s="757"/>
      <c r="N371" s="757"/>
      <c r="O371" s="757"/>
      <c r="P371" s="757" t="s">
        <v>57</v>
      </c>
      <c r="Q371" s="757" t="s">
        <v>58</v>
      </c>
      <c r="R371" s="757" t="s">
        <v>31</v>
      </c>
      <c r="S371" s="757" t="s">
        <v>10</v>
      </c>
      <c r="U371" s="758" t="s">
        <v>128</v>
      </c>
      <c r="V371" s="757" t="s">
        <v>42</v>
      </c>
      <c r="W371" s="757" t="s">
        <v>52</v>
      </c>
      <c r="X371" s="757" t="s">
        <v>53</v>
      </c>
      <c r="Y371" s="757" t="s">
        <v>32</v>
      </c>
      <c r="Z371" s="757" t="s">
        <v>20</v>
      </c>
      <c r="AA371" s="757" t="s">
        <v>55</v>
      </c>
      <c r="AB371" s="757" t="s">
        <v>56</v>
      </c>
      <c r="AC371" s="757"/>
      <c r="AD371" s="757"/>
      <c r="AE371" s="757"/>
      <c r="AF371" s="757"/>
      <c r="AG371" s="757"/>
      <c r="AH371" s="757" t="s">
        <v>57</v>
      </c>
      <c r="AI371" s="757" t="s">
        <v>58</v>
      </c>
      <c r="AJ371" s="757" t="s">
        <v>31</v>
      </c>
      <c r="AK371" s="757" t="s">
        <v>10</v>
      </c>
    </row>
    <row r="372" spans="3:37" ht="56.25" x14ac:dyDescent="0.2">
      <c r="C372" s="758"/>
      <c r="D372" s="757"/>
      <c r="E372" s="757"/>
      <c r="F372" s="757"/>
      <c r="G372" s="757"/>
      <c r="H372" s="757"/>
      <c r="I372" s="757"/>
      <c r="J372" s="638" t="s">
        <v>335</v>
      </c>
      <c r="K372" s="638" t="s">
        <v>40</v>
      </c>
      <c r="L372" s="638" t="s">
        <v>343</v>
      </c>
      <c r="M372" s="638" t="s">
        <v>344</v>
      </c>
      <c r="N372" s="638" t="s">
        <v>345</v>
      </c>
      <c r="O372" s="638" t="s">
        <v>346</v>
      </c>
      <c r="P372" s="757"/>
      <c r="Q372" s="757"/>
      <c r="R372" s="757"/>
      <c r="S372" s="757"/>
      <c r="U372" s="758"/>
      <c r="V372" s="757"/>
      <c r="W372" s="757"/>
      <c r="X372" s="757"/>
      <c r="Y372" s="757"/>
      <c r="Z372" s="757"/>
      <c r="AA372" s="757"/>
      <c r="AB372" s="638" t="s">
        <v>335</v>
      </c>
      <c r="AC372" s="638" t="s">
        <v>40</v>
      </c>
      <c r="AD372" s="638" t="s">
        <v>343</v>
      </c>
      <c r="AE372" s="638" t="s">
        <v>344</v>
      </c>
      <c r="AF372" s="638" t="s">
        <v>345</v>
      </c>
      <c r="AG372" s="638" t="s">
        <v>346</v>
      </c>
      <c r="AH372" s="757"/>
      <c r="AI372" s="757"/>
      <c r="AJ372" s="757"/>
      <c r="AK372" s="757"/>
    </row>
    <row r="373" spans="3:37" x14ac:dyDescent="0.2">
      <c r="C373" s="639" t="s">
        <v>59</v>
      </c>
      <c r="D373" s="640">
        <v>0</v>
      </c>
      <c r="E373" s="641">
        <v>0</v>
      </c>
      <c r="F373" s="641">
        <v>0</v>
      </c>
      <c r="G373" s="640">
        <v>0</v>
      </c>
      <c r="H373" s="641">
        <v>843.18181818181824</v>
      </c>
      <c r="I373" s="641">
        <v>306.94588327561422</v>
      </c>
      <c r="J373" s="641">
        <v>187.92158364867245</v>
      </c>
      <c r="K373" s="641">
        <v>20.316638839186872</v>
      </c>
      <c r="L373" s="641">
        <v>0.58650482505924006</v>
      </c>
      <c r="M373" s="641">
        <v>0.15964026893196048</v>
      </c>
      <c r="N373" s="641">
        <v>67.964408038916218</v>
      </c>
      <c r="O373" s="641">
        <v>11.973026235836867</v>
      </c>
      <c r="P373" s="642">
        <v>0</v>
      </c>
      <c r="Q373" s="641">
        <v>0</v>
      </c>
      <c r="R373" s="641">
        <v>0</v>
      </c>
      <c r="S373" s="643">
        <v>1439.0495033140362</v>
      </c>
      <c r="U373" s="639" t="s">
        <v>59</v>
      </c>
      <c r="V373" s="640">
        <v>0</v>
      </c>
      <c r="W373" s="641">
        <v>0</v>
      </c>
      <c r="X373" s="641">
        <v>0</v>
      </c>
      <c r="Y373" s="640">
        <v>0</v>
      </c>
      <c r="Z373" s="641">
        <v>842.12121212121212</v>
      </c>
      <c r="AA373" s="641">
        <v>361.66588327561419</v>
      </c>
      <c r="AB373" s="641">
        <v>209.7499476733077</v>
      </c>
      <c r="AC373" s="641">
        <v>36.742499370225779</v>
      </c>
      <c r="AD373" s="641">
        <v>0.58650482505924006</v>
      </c>
      <c r="AE373" s="641">
        <v>0.15964026893196048</v>
      </c>
      <c r="AF373" s="641">
        <v>109.8518848230913</v>
      </c>
      <c r="AG373" s="641">
        <v>27.041217028647232</v>
      </c>
      <c r="AH373" s="642">
        <v>0</v>
      </c>
      <c r="AI373" s="641">
        <v>0</v>
      </c>
      <c r="AJ373" s="641">
        <v>0</v>
      </c>
      <c r="AK373" s="643">
        <v>1587.9187893860897</v>
      </c>
    </row>
    <row r="374" spans="3:37" x14ac:dyDescent="0.2">
      <c r="C374" s="639" t="s">
        <v>60</v>
      </c>
      <c r="D374" s="640">
        <v>47.14481987923083</v>
      </c>
      <c r="E374" s="641">
        <v>484.495467583368</v>
      </c>
      <c r="F374" s="641">
        <v>50.019697053221719</v>
      </c>
      <c r="G374" s="640">
        <v>326.09010493911637</v>
      </c>
      <c r="H374" s="641">
        <v>0</v>
      </c>
      <c r="I374" s="641">
        <v>0</v>
      </c>
      <c r="J374" s="641">
        <v>5.0764589906360387</v>
      </c>
      <c r="K374" s="641">
        <v>0</v>
      </c>
      <c r="L374" s="641">
        <v>2.7571319279134792</v>
      </c>
      <c r="M374" s="641">
        <v>0</v>
      </c>
      <c r="N374" s="641">
        <v>0</v>
      </c>
      <c r="O374" s="641">
        <v>0</v>
      </c>
      <c r="P374" s="642">
        <v>0</v>
      </c>
      <c r="Q374" s="641">
        <v>0</v>
      </c>
      <c r="R374" s="641">
        <v>0</v>
      </c>
      <c r="S374" s="643">
        <v>915.58368037348657</v>
      </c>
      <c r="U374" s="639" t="s">
        <v>60</v>
      </c>
      <c r="V374" s="640">
        <v>5.8768320762591904</v>
      </c>
      <c r="W374" s="641">
        <v>189.94114801549574</v>
      </c>
      <c r="X374" s="641">
        <v>14.41607041492888</v>
      </c>
      <c r="Y374" s="640">
        <v>81.728531694283333</v>
      </c>
      <c r="Z374" s="641">
        <v>0</v>
      </c>
      <c r="AA374" s="641">
        <v>0</v>
      </c>
      <c r="AB374" s="641">
        <v>5.0764589906360387</v>
      </c>
      <c r="AC374" s="641">
        <v>0</v>
      </c>
      <c r="AD374" s="641">
        <v>2.7571319279134792</v>
      </c>
      <c r="AE374" s="641">
        <v>0</v>
      </c>
      <c r="AF374" s="641">
        <v>0</v>
      </c>
      <c r="AG374" s="641">
        <v>0</v>
      </c>
      <c r="AH374" s="642">
        <v>0</v>
      </c>
      <c r="AI374" s="641">
        <v>0</v>
      </c>
      <c r="AJ374" s="641">
        <v>0</v>
      </c>
      <c r="AK374" s="643">
        <v>299.79617311951665</v>
      </c>
    </row>
    <row r="375" spans="3:37" x14ac:dyDescent="0.2">
      <c r="C375" s="639" t="s">
        <v>61</v>
      </c>
      <c r="D375" s="640">
        <v>0</v>
      </c>
      <c r="E375" s="641">
        <v>0</v>
      </c>
      <c r="F375" s="641">
        <v>0</v>
      </c>
      <c r="G375" s="640">
        <v>0</v>
      </c>
      <c r="H375" s="641">
        <v>0</v>
      </c>
      <c r="I375" s="641">
        <v>0</v>
      </c>
      <c r="J375" s="641">
        <v>0</v>
      </c>
      <c r="K375" s="641">
        <v>0</v>
      </c>
      <c r="L375" s="641">
        <v>0</v>
      </c>
      <c r="M375" s="641">
        <v>0</v>
      </c>
      <c r="N375" s="641">
        <v>0</v>
      </c>
      <c r="O375" s="641">
        <v>0</v>
      </c>
      <c r="P375" s="642">
        <v>-16.706363002811486</v>
      </c>
      <c r="Q375" s="641">
        <v>0</v>
      </c>
      <c r="R375" s="641">
        <v>0</v>
      </c>
      <c r="S375" s="643">
        <v>-16.706363002811486</v>
      </c>
      <c r="U375" s="639" t="s">
        <v>61</v>
      </c>
      <c r="V375" s="640">
        <v>0</v>
      </c>
      <c r="W375" s="641">
        <v>0</v>
      </c>
      <c r="X375" s="641">
        <v>-18.378136852904419</v>
      </c>
      <c r="Y375" s="640">
        <v>0</v>
      </c>
      <c r="Z375" s="641">
        <v>0</v>
      </c>
      <c r="AA375" s="641">
        <v>0</v>
      </c>
      <c r="AB375" s="641">
        <v>0</v>
      </c>
      <c r="AC375" s="641">
        <v>0</v>
      </c>
      <c r="AD375" s="641">
        <v>0</v>
      </c>
      <c r="AE375" s="641">
        <v>0</v>
      </c>
      <c r="AF375" s="641">
        <v>0</v>
      </c>
      <c r="AG375" s="641">
        <v>0</v>
      </c>
      <c r="AH375" s="642">
        <v>-20.522831714543145</v>
      </c>
      <c r="AI375" s="641">
        <v>0</v>
      </c>
      <c r="AJ375" s="641">
        <v>0</v>
      </c>
      <c r="AK375" s="643">
        <v>-38.900968567447563</v>
      </c>
    </row>
    <row r="376" spans="3:37" x14ac:dyDescent="0.2">
      <c r="C376" s="639" t="s">
        <v>62</v>
      </c>
      <c r="D376" s="640">
        <v>0</v>
      </c>
      <c r="E376" s="641">
        <v>0</v>
      </c>
      <c r="F376" s="641">
        <v>-15.257294848391862</v>
      </c>
      <c r="G376" s="640">
        <v>0</v>
      </c>
      <c r="H376" s="641">
        <v>0</v>
      </c>
      <c r="I376" s="641">
        <v>0</v>
      </c>
      <c r="J376" s="641">
        <v>0</v>
      </c>
      <c r="K376" s="641">
        <v>0</v>
      </c>
      <c r="L376" s="641">
        <v>0</v>
      </c>
      <c r="M376" s="641">
        <v>0</v>
      </c>
      <c r="N376" s="641">
        <v>0</v>
      </c>
      <c r="O376" s="641">
        <v>0</v>
      </c>
      <c r="P376" s="642">
        <v>0</v>
      </c>
      <c r="Q376" s="641">
        <v>0</v>
      </c>
      <c r="R376" s="641">
        <v>0</v>
      </c>
      <c r="S376" s="643">
        <v>-15.257294848391862</v>
      </c>
      <c r="U376" s="639" t="s">
        <v>62</v>
      </c>
      <c r="V376" s="640">
        <v>0</v>
      </c>
      <c r="W376" s="641">
        <v>0</v>
      </c>
      <c r="X376" s="641">
        <v>-7.5188933675233587</v>
      </c>
      <c r="Y376" s="640">
        <v>-2.1851276585702322</v>
      </c>
      <c r="Z376" s="641">
        <v>0</v>
      </c>
      <c r="AA376" s="641">
        <v>0</v>
      </c>
      <c r="AB376" s="641">
        <v>0</v>
      </c>
      <c r="AC376" s="641">
        <v>0</v>
      </c>
      <c r="AD376" s="641">
        <v>0</v>
      </c>
      <c r="AE376" s="641">
        <v>-2.1851276585702322</v>
      </c>
      <c r="AF376" s="641">
        <v>0</v>
      </c>
      <c r="AG376" s="641">
        <v>0</v>
      </c>
      <c r="AH376" s="642">
        <v>0</v>
      </c>
      <c r="AI376" s="641">
        <v>0</v>
      </c>
      <c r="AJ376" s="641">
        <v>0</v>
      </c>
      <c r="AK376" s="643">
        <v>-11.889148684663823</v>
      </c>
    </row>
    <row r="377" spans="3:37" x14ac:dyDescent="0.2">
      <c r="C377" s="639" t="s">
        <v>63</v>
      </c>
      <c r="D377" s="640">
        <v>0</v>
      </c>
      <c r="E377" s="641">
        <v>0</v>
      </c>
      <c r="F377" s="641">
        <v>-90.982589622358091</v>
      </c>
      <c r="G377" s="640">
        <v>0</v>
      </c>
      <c r="H377" s="641">
        <v>0</v>
      </c>
      <c r="I377" s="641">
        <v>0</v>
      </c>
      <c r="J377" s="641">
        <v>0</v>
      </c>
      <c r="K377" s="641">
        <v>0</v>
      </c>
      <c r="L377" s="641">
        <v>-0.93561585486744514</v>
      </c>
      <c r="M377" s="641">
        <v>0</v>
      </c>
      <c r="N377" s="641">
        <v>0</v>
      </c>
      <c r="O377" s="641">
        <v>0</v>
      </c>
      <c r="P377" s="642">
        <v>0</v>
      </c>
      <c r="Q377" s="641">
        <v>0</v>
      </c>
      <c r="R377" s="641">
        <v>0</v>
      </c>
      <c r="S377" s="643">
        <v>-91.918205477225541</v>
      </c>
      <c r="U377" s="639" t="s">
        <v>63</v>
      </c>
      <c r="V377" s="640">
        <v>0</v>
      </c>
      <c r="W377" s="641">
        <v>0</v>
      </c>
      <c r="X377" s="641">
        <v>-53.656928796434556</v>
      </c>
      <c r="Y377" s="640">
        <v>0</v>
      </c>
      <c r="Z377" s="641">
        <v>0</v>
      </c>
      <c r="AA377" s="641">
        <v>0</v>
      </c>
      <c r="AB377" s="641">
        <v>0</v>
      </c>
      <c r="AC377" s="641">
        <v>0</v>
      </c>
      <c r="AD377" s="641">
        <v>-28.297456853591466</v>
      </c>
      <c r="AE377" s="641">
        <v>0</v>
      </c>
      <c r="AF377" s="641">
        <v>0</v>
      </c>
      <c r="AG377" s="641">
        <v>0</v>
      </c>
      <c r="AH377" s="642">
        <v>0</v>
      </c>
      <c r="AI377" s="641">
        <v>0</v>
      </c>
      <c r="AJ377" s="641">
        <v>0</v>
      </c>
      <c r="AK377" s="643">
        <v>-81.954385650026026</v>
      </c>
    </row>
    <row r="378" spans="3:37" x14ac:dyDescent="0.2">
      <c r="C378" s="639" t="s">
        <v>64</v>
      </c>
      <c r="D378" s="640">
        <v>0</v>
      </c>
      <c r="E378" s="641">
        <v>0</v>
      </c>
      <c r="F378" s="641">
        <v>0</v>
      </c>
      <c r="G378" s="640">
        <v>0</v>
      </c>
      <c r="H378" s="641">
        <v>0</v>
      </c>
      <c r="I378" s="641">
        <v>0</v>
      </c>
      <c r="J378" s="641">
        <v>0</v>
      </c>
      <c r="K378" s="641">
        <v>0</v>
      </c>
      <c r="L378" s="641">
        <v>0</v>
      </c>
      <c r="M378" s="641">
        <v>0</v>
      </c>
      <c r="N378" s="641">
        <v>0</v>
      </c>
      <c r="O378" s="641">
        <v>0</v>
      </c>
      <c r="P378" s="642">
        <v>0</v>
      </c>
      <c r="Q378" s="641">
        <v>0</v>
      </c>
      <c r="R378" s="641">
        <v>0</v>
      </c>
      <c r="S378" s="643">
        <v>0</v>
      </c>
      <c r="U378" s="639" t="s">
        <v>64</v>
      </c>
      <c r="V378" s="640">
        <v>0</v>
      </c>
      <c r="W378" s="641">
        <v>0</v>
      </c>
      <c r="X378" s="641">
        <v>0</v>
      </c>
      <c r="Y378" s="640">
        <v>0</v>
      </c>
      <c r="Z378" s="641">
        <v>0</v>
      </c>
      <c r="AA378" s="641">
        <v>0</v>
      </c>
      <c r="AB378" s="641">
        <v>0</v>
      </c>
      <c r="AC378" s="641">
        <v>0</v>
      </c>
      <c r="AD378" s="641">
        <v>0</v>
      </c>
      <c r="AE378" s="641">
        <v>0</v>
      </c>
      <c r="AF378" s="641">
        <v>0</v>
      </c>
      <c r="AG378" s="641">
        <v>0</v>
      </c>
      <c r="AH378" s="642">
        <v>0</v>
      </c>
      <c r="AI378" s="641">
        <v>0</v>
      </c>
      <c r="AJ378" s="641">
        <v>0</v>
      </c>
      <c r="AK378" s="643">
        <v>0</v>
      </c>
    </row>
    <row r="379" spans="3:37" x14ac:dyDescent="0.2">
      <c r="C379" s="644" t="s">
        <v>65</v>
      </c>
      <c r="D379" s="645">
        <v>47.14481987923083</v>
      </c>
      <c r="E379" s="645">
        <v>484.495467583368</v>
      </c>
      <c r="F379" s="645">
        <v>-56.220187417528237</v>
      </c>
      <c r="G379" s="645">
        <v>326.09010493911637</v>
      </c>
      <c r="H379" s="645">
        <v>843.18181818181824</v>
      </c>
      <c r="I379" s="645">
        <v>306.94588327561422</v>
      </c>
      <c r="J379" s="645">
        <v>192.99804263930849</v>
      </c>
      <c r="K379" s="645">
        <v>20.316638839186872</v>
      </c>
      <c r="L379" s="645">
        <v>2.4080208981052738</v>
      </c>
      <c r="M379" s="645">
        <v>0.15964026893196048</v>
      </c>
      <c r="N379" s="645">
        <v>67.964408038916218</v>
      </c>
      <c r="O379" s="645">
        <v>11.973026235836867</v>
      </c>
      <c r="P379" s="645">
        <v>-16.706363002811486</v>
      </c>
      <c r="Q379" s="645">
        <v>0</v>
      </c>
      <c r="R379" s="645">
        <v>0</v>
      </c>
      <c r="S379" s="645">
        <v>2230.7513203590943</v>
      </c>
      <c r="U379" s="644" t="s">
        <v>65</v>
      </c>
      <c r="V379" s="645">
        <v>5.8768320762591904</v>
      </c>
      <c r="W379" s="645">
        <v>189.94114801549574</v>
      </c>
      <c r="X379" s="645">
        <v>-65.137888601933454</v>
      </c>
      <c r="Y379" s="645">
        <v>79.543404035713095</v>
      </c>
      <c r="Z379" s="645">
        <v>842.12121212121212</v>
      </c>
      <c r="AA379" s="645">
        <v>361.66588327561419</v>
      </c>
      <c r="AB379" s="645">
        <v>214.82640666394374</v>
      </c>
      <c r="AC379" s="645">
        <v>36.742499370225779</v>
      </c>
      <c r="AD379" s="645">
        <v>-24.953820100618749</v>
      </c>
      <c r="AE379" s="645">
        <v>-2.0254873896382719</v>
      </c>
      <c r="AF379" s="645">
        <v>109.8518848230913</v>
      </c>
      <c r="AG379" s="645">
        <v>27.041217028647232</v>
      </c>
      <c r="AH379" s="645">
        <v>-20.522831714543145</v>
      </c>
      <c r="AI379" s="645">
        <v>0</v>
      </c>
      <c r="AJ379" s="645">
        <v>0</v>
      </c>
      <c r="AK379" s="645">
        <v>1754.970459603469</v>
      </c>
    </row>
    <row r="380" spans="3:37" x14ac:dyDescent="0.2">
      <c r="C380" s="634"/>
      <c r="D380" s="634">
        <v>0</v>
      </c>
      <c r="E380" s="634">
        <v>0</v>
      </c>
      <c r="F380" s="634">
        <v>0</v>
      </c>
      <c r="G380" s="634">
        <v>0</v>
      </c>
      <c r="H380" s="634">
        <v>0</v>
      </c>
      <c r="I380" s="634">
        <v>0</v>
      </c>
      <c r="J380" s="634">
        <v>0</v>
      </c>
      <c r="K380" s="634">
        <v>0</v>
      </c>
      <c r="L380" s="634">
        <v>0</v>
      </c>
      <c r="M380" s="634">
        <v>0</v>
      </c>
      <c r="N380" s="634">
        <v>0</v>
      </c>
      <c r="O380" s="634">
        <v>0</v>
      </c>
      <c r="P380" s="634">
        <v>0</v>
      </c>
      <c r="Q380" s="634">
        <v>0</v>
      </c>
      <c r="R380" s="634">
        <v>0</v>
      </c>
      <c r="S380" s="634">
        <v>0</v>
      </c>
      <c r="U380" s="634"/>
      <c r="V380" s="634">
        <v>0</v>
      </c>
      <c r="W380" s="634">
        <v>0</v>
      </c>
      <c r="X380" s="634">
        <v>0</v>
      </c>
      <c r="Y380" s="634">
        <v>0</v>
      </c>
      <c r="Z380" s="634">
        <v>0</v>
      </c>
      <c r="AA380" s="634">
        <v>0</v>
      </c>
      <c r="AB380" s="634">
        <v>0</v>
      </c>
      <c r="AC380" s="634">
        <v>0</v>
      </c>
      <c r="AD380" s="634">
        <v>0</v>
      </c>
      <c r="AE380" s="634">
        <v>0</v>
      </c>
      <c r="AF380" s="634">
        <v>0</v>
      </c>
      <c r="AG380" s="634">
        <v>0</v>
      </c>
      <c r="AH380" s="634">
        <v>0</v>
      </c>
      <c r="AI380" s="634">
        <v>0</v>
      </c>
      <c r="AJ380" s="634">
        <v>0</v>
      </c>
      <c r="AK380" s="634">
        <v>0</v>
      </c>
    </row>
    <row r="381" spans="3:37" x14ac:dyDescent="0.2">
      <c r="C381" s="646" t="s">
        <v>67</v>
      </c>
      <c r="D381" s="640">
        <v>0</v>
      </c>
      <c r="E381" s="647">
        <v>0</v>
      </c>
      <c r="F381" s="647">
        <v>0</v>
      </c>
      <c r="G381" s="640">
        <v>0</v>
      </c>
      <c r="H381" s="640">
        <v>0</v>
      </c>
      <c r="I381" s="640">
        <v>0</v>
      </c>
      <c r="J381" s="640">
        <v>0</v>
      </c>
      <c r="K381" s="640">
        <v>0</v>
      </c>
      <c r="L381" s="640">
        <v>0</v>
      </c>
      <c r="M381" s="640">
        <v>0</v>
      </c>
      <c r="N381" s="640">
        <v>0</v>
      </c>
      <c r="O381" s="640">
        <v>0</v>
      </c>
      <c r="P381" s="640">
        <v>0</v>
      </c>
      <c r="Q381" s="640">
        <v>0</v>
      </c>
      <c r="R381" s="640">
        <v>0</v>
      </c>
      <c r="S381" s="648">
        <v>0</v>
      </c>
      <c r="U381" s="646" t="s">
        <v>67</v>
      </c>
      <c r="V381" s="640">
        <v>0</v>
      </c>
      <c r="W381" s="647">
        <v>0</v>
      </c>
      <c r="X381" s="647">
        <v>0</v>
      </c>
      <c r="Y381" s="640">
        <v>0</v>
      </c>
      <c r="Z381" s="640">
        <v>0</v>
      </c>
      <c r="AA381" s="640">
        <v>0</v>
      </c>
      <c r="AB381" s="640">
        <v>0</v>
      </c>
      <c r="AC381" s="640">
        <v>0</v>
      </c>
      <c r="AD381" s="640">
        <v>0</v>
      </c>
      <c r="AE381" s="640">
        <v>0</v>
      </c>
      <c r="AF381" s="640">
        <v>0</v>
      </c>
      <c r="AG381" s="640">
        <v>0</v>
      </c>
      <c r="AH381" s="640">
        <v>0</v>
      </c>
      <c r="AI381" s="640">
        <v>0</v>
      </c>
      <c r="AJ381" s="640">
        <v>0</v>
      </c>
      <c r="AK381" s="648">
        <v>0</v>
      </c>
    </row>
    <row r="382" spans="3:37" x14ac:dyDescent="0.2">
      <c r="C382" s="646" t="s">
        <v>347</v>
      </c>
      <c r="D382" s="640">
        <v>2.8267856410252494</v>
      </c>
      <c r="E382" s="640">
        <v>0</v>
      </c>
      <c r="F382" s="640">
        <v>7.9230776783294274</v>
      </c>
      <c r="G382" s="640">
        <v>16.680851063829788</v>
      </c>
      <c r="H382" s="640">
        <v>843.18181818181824</v>
      </c>
      <c r="I382" s="640">
        <v>306.94588327561422</v>
      </c>
      <c r="J382" s="649">
        <v>28.98717588629853</v>
      </c>
      <c r="K382" s="649">
        <v>6.5903281241207718</v>
      </c>
      <c r="L382" s="649">
        <v>3.3436367529727189</v>
      </c>
      <c r="M382" s="649">
        <v>0.46654149749263618</v>
      </c>
      <c r="N382" s="649">
        <v>0</v>
      </c>
      <c r="O382" s="649">
        <v>7.0184114557160298</v>
      </c>
      <c r="P382" s="640">
        <v>-616.92993037811448</v>
      </c>
      <c r="Q382" s="640">
        <v>0</v>
      </c>
      <c r="R382" s="640">
        <v>0</v>
      </c>
      <c r="S382" s="648">
        <v>607.03457917910316</v>
      </c>
      <c r="U382" s="646" t="s">
        <v>347</v>
      </c>
      <c r="V382" s="640">
        <v>0.62631490545869017</v>
      </c>
      <c r="W382" s="640">
        <v>0</v>
      </c>
      <c r="X382" s="640">
        <v>4.0594413146930641</v>
      </c>
      <c r="Y382" s="640">
        <v>2.3404255319148937</v>
      </c>
      <c r="Z382" s="640">
        <v>842.12121212121212</v>
      </c>
      <c r="AA382" s="640">
        <v>361.66588327561419</v>
      </c>
      <c r="AB382" s="649">
        <v>23.182357378111952</v>
      </c>
      <c r="AC382" s="649">
        <v>5.3775678130216455</v>
      </c>
      <c r="AD382" s="649">
        <v>3.3436367529727189</v>
      </c>
      <c r="AE382" s="649">
        <v>2.4665414974926363</v>
      </c>
      <c r="AF382" s="649">
        <v>0</v>
      </c>
      <c r="AG382" s="649">
        <v>7.0184114557160298</v>
      </c>
      <c r="AH382" s="640">
        <v>-662.7499303781143</v>
      </c>
      <c r="AI382" s="640">
        <v>0</v>
      </c>
      <c r="AJ382" s="640">
        <v>4.25</v>
      </c>
      <c r="AK382" s="648">
        <v>593.70186166809344</v>
      </c>
    </row>
    <row r="383" spans="3:37" x14ac:dyDescent="0.2">
      <c r="C383" s="646" t="s">
        <v>348</v>
      </c>
      <c r="D383" s="640">
        <v>0</v>
      </c>
      <c r="E383" s="640">
        <v>0</v>
      </c>
      <c r="F383" s="640">
        <v>0</v>
      </c>
      <c r="G383" s="640">
        <v>14.843815057329421</v>
      </c>
      <c r="H383" s="640">
        <v>0</v>
      </c>
      <c r="I383" s="640">
        <v>0</v>
      </c>
      <c r="J383" s="649">
        <v>12.357161229114668</v>
      </c>
      <c r="K383" s="649">
        <v>11.882304060636951</v>
      </c>
      <c r="L383" s="649">
        <v>0</v>
      </c>
      <c r="M383" s="649">
        <v>0.31804644322561132</v>
      </c>
      <c r="N383" s="649">
        <v>0</v>
      </c>
      <c r="O383" s="649">
        <v>2.0992086164963606</v>
      </c>
      <c r="P383" s="640">
        <v>0</v>
      </c>
      <c r="Q383" s="640">
        <v>-37.805081951347923</v>
      </c>
      <c r="R383" s="640">
        <v>0</v>
      </c>
      <c r="S383" s="648">
        <v>3.6954534554550835</v>
      </c>
      <c r="U383" s="646" t="s">
        <v>348</v>
      </c>
      <c r="V383" s="640">
        <v>0</v>
      </c>
      <c r="W383" s="640">
        <v>0</v>
      </c>
      <c r="X383" s="640">
        <v>0</v>
      </c>
      <c r="Y383" s="640">
        <v>6.4668066457611202</v>
      </c>
      <c r="Z383" s="640">
        <v>0</v>
      </c>
      <c r="AA383" s="640">
        <v>0</v>
      </c>
      <c r="AB383" s="649">
        <v>28.361573193229066</v>
      </c>
      <c r="AC383" s="649">
        <v>26.076316433417247</v>
      </c>
      <c r="AD383" s="649">
        <v>0</v>
      </c>
      <c r="AE383" s="649">
        <v>6.4819180878167435</v>
      </c>
      <c r="AF383" s="649">
        <v>0</v>
      </c>
      <c r="AG383" s="649">
        <v>12.550380584079129</v>
      </c>
      <c r="AH383" s="640">
        <v>0</v>
      </c>
      <c r="AI383" s="640">
        <v>-74.043519390541746</v>
      </c>
      <c r="AJ383" s="640">
        <v>0</v>
      </c>
      <c r="AK383" s="648">
        <v>5.8934755537615651</v>
      </c>
    </row>
    <row r="384" spans="3:37" x14ac:dyDescent="0.2">
      <c r="C384" s="646" t="s">
        <v>349</v>
      </c>
      <c r="D384" s="640">
        <v>0</v>
      </c>
      <c r="E384" s="640">
        <v>0</v>
      </c>
      <c r="F384" s="640">
        <v>0</v>
      </c>
      <c r="G384" s="640">
        <v>0</v>
      </c>
      <c r="H384" s="640">
        <v>0</v>
      </c>
      <c r="I384" s="640">
        <v>0</v>
      </c>
      <c r="J384" s="650">
        <v>6.8755991242523775</v>
      </c>
      <c r="K384" s="650">
        <v>0</v>
      </c>
      <c r="L384" s="650">
        <v>0</v>
      </c>
      <c r="M384" s="650">
        <v>-6.4200906822706569</v>
      </c>
      <c r="N384" s="650">
        <v>0</v>
      </c>
      <c r="O384" s="650">
        <v>0</v>
      </c>
      <c r="P384" s="640">
        <v>0</v>
      </c>
      <c r="Q384" s="640">
        <v>0</v>
      </c>
      <c r="R384" s="640">
        <v>0</v>
      </c>
      <c r="S384" s="648">
        <v>0.45550844198172058</v>
      </c>
      <c r="U384" s="646" t="s">
        <v>349</v>
      </c>
      <c r="V384" s="640">
        <v>0</v>
      </c>
      <c r="W384" s="640">
        <v>0</v>
      </c>
      <c r="X384" s="640">
        <v>0</v>
      </c>
      <c r="Y384" s="640">
        <v>0</v>
      </c>
      <c r="Z384" s="640">
        <v>0</v>
      </c>
      <c r="AA384" s="640">
        <v>0</v>
      </c>
      <c r="AB384" s="650">
        <v>86.654179241552072</v>
      </c>
      <c r="AC384" s="650">
        <v>0</v>
      </c>
      <c r="AD384" s="650">
        <v>0</v>
      </c>
      <c r="AE384" s="650">
        <v>-80.913339866799248</v>
      </c>
      <c r="AF384" s="650">
        <v>0</v>
      </c>
      <c r="AG384" s="650">
        <v>0</v>
      </c>
      <c r="AH384" s="640">
        <v>0</v>
      </c>
      <c r="AI384" s="640">
        <v>0</v>
      </c>
      <c r="AJ384" s="640">
        <v>0</v>
      </c>
      <c r="AK384" s="648">
        <v>5.7408393747528237</v>
      </c>
    </row>
    <row r="385" spans="3:37" x14ac:dyDescent="0.2">
      <c r="C385" s="646" t="s">
        <v>350</v>
      </c>
      <c r="D385" s="640">
        <v>0</v>
      </c>
      <c r="E385" s="640">
        <v>0</v>
      </c>
      <c r="F385" s="640">
        <v>0</v>
      </c>
      <c r="G385" s="640">
        <v>0</v>
      </c>
      <c r="H385" s="640">
        <v>0</v>
      </c>
      <c r="I385" s="640">
        <v>0</v>
      </c>
      <c r="J385" s="640">
        <v>0</v>
      </c>
      <c r="K385" s="640">
        <v>0</v>
      </c>
      <c r="L385" s="640">
        <v>0</v>
      </c>
      <c r="M385" s="640">
        <v>0</v>
      </c>
      <c r="N385" s="640">
        <v>0</v>
      </c>
      <c r="O385" s="640">
        <v>0</v>
      </c>
      <c r="P385" s="640">
        <v>0</v>
      </c>
      <c r="Q385" s="640">
        <v>0</v>
      </c>
      <c r="R385" s="640">
        <v>0</v>
      </c>
      <c r="S385" s="648">
        <v>0</v>
      </c>
      <c r="U385" s="646" t="s">
        <v>350</v>
      </c>
      <c r="V385" s="640">
        <v>0</v>
      </c>
      <c r="W385" s="640">
        <v>0</v>
      </c>
      <c r="X385" s="640">
        <v>0</v>
      </c>
      <c r="Y385" s="640">
        <v>0</v>
      </c>
      <c r="Z385" s="640">
        <v>0</v>
      </c>
      <c r="AA385" s="640">
        <v>0</v>
      </c>
      <c r="AB385" s="640">
        <v>0</v>
      </c>
      <c r="AC385" s="640">
        <v>0</v>
      </c>
      <c r="AD385" s="640">
        <v>0</v>
      </c>
      <c r="AE385" s="640">
        <v>0</v>
      </c>
      <c r="AF385" s="640">
        <v>0</v>
      </c>
      <c r="AG385" s="640">
        <v>0</v>
      </c>
      <c r="AH385" s="640">
        <v>0</v>
      </c>
      <c r="AI385" s="640">
        <v>0</v>
      </c>
      <c r="AJ385" s="640">
        <v>0</v>
      </c>
      <c r="AK385" s="648">
        <v>0</v>
      </c>
    </row>
    <row r="386" spans="3:37" x14ac:dyDescent="0.2">
      <c r="C386" s="646" t="s">
        <v>72</v>
      </c>
      <c r="D386" s="640">
        <v>0</v>
      </c>
      <c r="E386" s="640">
        <v>501.8858109321676</v>
      </c>
      <c r="F386" s="640">
        <v>-496.86695282284592</v>
      </c>
      <c r="G386" s="640">
        <v>0</v>
      </c>
      <c r="H386" s="640">
        <v>0</v>
      </c>
      <c r="I386" s="640">
        <v>0</v>
      </c>
      <c r="J386" s="640">
        <v>0</v>
      </c>
      <c r="K386" s="640">
        <v>0</v>
      </c>
      <c r="L386" s="640">
        <v>0</v>
      </c>
      <c r="M386" s="640">
        <v>0</v>
      </c>
      <c r="N386" s="640">
        <v>0</v>
      </c>
      <c r="O386" s="640">
        <v>0</v>
      </c>
      <c r="P386" s="640">
        <v>0</v>
      </c>
      <c r="Q386" s="640">
        <v>0</v>
      </c>
      <c r="R386" s="640">
        <v>0</v>
      </c>
      <c r="S386" s="648">
        <v>5.018858109321684</v>
      </c>
      <c r="U386" s="646" t="s">
        <v>72</v>
      </c>
      <c r="V386" s="640">
        <v>0</v>
      </c>
      <c r="W386" s="640">
        <v>196.75884188687598</v>
      </c>
      <c r="X386" s="640">
        <v>-194.79125346800723</v>
      </c>
      <c r="Y386" s="640">
        <v>0</v>
      </c>
      <c r="Z386" s="640">
        <v>0</v>
      </c>
      <c r="AA386" s="640">
        <v>0</v>
      </c>
      <c r="AB386" s="640">
        <v>0</v>
      </c>
      <c r="AC386" s="640">
        <v>0</v>
      </c>
      <c r="AD386" s="640">
        <v>0</v>
      </c>
      <c r="AE386" s="640">
        <v>0</v>
      </c>
      <c r="AF386" s="640">
        <v>0</v>
      </c>
      <c r="AG386" s="640">
        <v>0</v>
      </c>
      <c r="AH386" s="640">
        <v>0</v>
      </c>
      <c r="AI386" s="640">
        <v>0</v>
      </c>
      <c r="AJ386" s="640">
        <v>0</v>
      </c>
      <c r="AK386" s="648">
        <v>1.9675884188687576</v>
      </c>
    </row>
    <row r="387" spans="3:37" x14ac:dyDescent="0.2">
      <c r="C387" s="646" t="s">
        <v>351</v>
      </c>
      <c r="D387" s="640">
        <v>0</v>
      </c>
      <c r="E387" s="640">
        <v>0</v>
      </c>
      <c r="F387" s="640">
        <v>0</v>
      </c>
      <c r="G387" s="640">
        <v>0</v>
      </c>
      <c r="H387" s="640">
        <v>0</v>
      </c>
      <c r="I387" s="640">
        <v>0</v>
      </c>
      <c r="J387" s="640">
        <v>26.867608526350821</v>
      </c>
      <c r="K387" s="640">
        <v>0</v>
      </c>
      <c r="L387" s="640">
        <v>-26.867608526350821</v>
      </c>
      <c r="M387" s="640">
        <v>0</v>
      </c>
      <c r="N387" s="640">
        <v>0</v>
      </c>
      <c r="O387" s="640">
        <v>0</v>
      </c>
      <c r="P387" s="640">
        <v>0</v>
      </c>
      <c r="Q387" s="640">
        <v>0</v>
      </c>
      <c r="R387" s="640">
        <v>0</v>
      </c>
      <c r="S387" s="648">
        <v>0</v>
      </c>
      <c r="U387" s="646" t="s">
        <v>351</v>
      </c>
      <c r="V387" s="640">
        <v>0</v>
      </c>
      <c r="W387" s="640">
        <v>0</v>
      </c>
      <c r="X387" s="640">
        <v>0</v>
      </c>
      <c r="Y387" s="640">
        <v>0</v>
      </c>
      <c r="Z387" s="640">
        <v>0</v>
      </c>
      <c r="AA387" s="640">
        <v>0</v>
      </c>
      <c r="AB387" s="640" t="e">
        <v>#VALUE!</v>
      </c>
      <c r="AC387" s="640">
        <v>0</v>
      </c>
      <c r="AD387" s="640">
        <v>-99.513749603669936</v>
      </c>
      <c r="AE387" s="640">
        <v>0</v>
      </c>
      <c r="AF387" s="640">
        <v>0</v>
      </c>
      <c r="AG387" s="640">
        <v>0</v>
      </c>
      <c r="AH387" s="640">
        <v>0</v>
      </c>
      <c r="AI387" s="640">
        <v>0</v>
      </c>
      <c r="AJ387" s="640">
        <v>0</v>
      </c>
      <c r="AK387" s="648">
        <v>-99.513749603669936</v>
      </c>
    </row>
    <row r="388" spans="3:37" x14ac:dyDescent="0.2">
      <c r="C388" s="646" t="s">
        <v>352</v>
      </c>
      <c r="D388" s="640">
        <v>0</v>
      </c>
      <c r="E388" s="640">
        <v>0</v>
      </c>
      <c r="F388" s="640">
        <v>0</v>
      </c>
      <c r="G388" s="640">
        <v>0</v>
      </c>
      <c r="H388" s="640">
        <v>0</v>
      </c>
      <c r="I388" s="640">
        <v>0</v>
      </c>
      <c r="J388" s="640">
        <v>0</v>
      </c>
      <c r="K388" s="640">
        <v>0</v>
      </c>
      <c r="L388" s="640">
        <v>0</v>
      </c>
      <c r="M388" s="640">
        <v>0</v>
      </c>
      <c r="N388" s="640">
        <v>0</v>
      </c>
      <c r="O388" s="640">
        <v>0</v>
      </c>
      <c r="P388" s="640">
        <v>0</v>
      </c>
      <c r="Q388" s="640">
        <v>0</v>
      </c>
      <c r="R388" s="640">
        <v>0</v>
      </c>
      <c r="S388" s="648">
        <v>0</v>
      </c>
      <c r="U388" s="646" t="s">
        <v>352</v>
      </c>
      <c r="V388" s="640">
        <v>0</v>
      </c>
      <c r="W388" s="640">
        <v>0</v>
      </c>
      <c r="X388" s="640">
        <v>0</v>
      </c>
      <c r="Y388" s="640">
        <v>0</v>
      </c>
      <c r="Z388" s="640">
        <v>0</v>
      </c>
      <c r="AA388" s="640">
        <v>0</v>
      </c>
      <c r="AB388" s="640">
        <v>0</v>
      </c>
      <c r="AC388" s="640">
        <v>0</v>
      </c>
      <c r="AD388" s="640">
        <v>-17.985934640167208</v>
      </c>
      <c r="AE388" s="640">
        <v>0</v>
      </c>
      <c r="AF388" s="640">
        <v>0</v>
      </c>
      <c r="AG388" s="640">
        <v>0</v>
      </c>
      <c r="AH388" s="640">
        <v>0</v>
      </c>
      <c r="AI388" s="640">
        <v>0</v>
      </c>
      <c r="AJ388" s="640">
        <v>0</v>
      </c>
      <c r="AK388" s="648">
        <v>-17.985934640167208</v>
      </c>
    </row>
    <row r="389" spans="3:37" x14ac:dyDescent="0.2">
      <c r="C389" s="646" t="s">
        <v>73</v>
      </c>
      <c r="D389" s="640">
        <v>0</v>
      </c>
      <c r="E389" s="640">
        <v>0</v>
      </c>
      <c r="F389" s="640">
        <v>0</v>
      </c>
      <c r="G389" s="640">
        <v>7.0830222331165276</v>
      </c>
      <c r="H389" s="640">
        <v>0</v>
      </c>
      <c r="I389" s="640">
        <v>0</v>
      </c>
      <c r="J389" s="640">
        <v>0</v>
      </c>
      <c r="K389" s="640">
        <v>8.2131519400701847E-2</v>
      </c>
      <c r="L389" s="640">
        <v>0</v>
      </c>
      <c r="M389" s="640">
        <v>0.14455147414523528</v>
      </c>
      <c r="N389" s="640">
        <v>0</v>
      </c>
      <c r="O389" s="640">
        <v>0</v>
      </c>
      <c r="P389" s="640">
        <v>0.90023160054861806</v>
      </c>
      <c r="Q389" s="640">
        <v>0</v>
      </c>
      <c r="R389" s="640">
        <v>-5.7492063580491291</v>
      </c>
      <c r="S389" s="648">
        <v>2.4607304691619536</v>
      </c>
      <c r="U389" s="646" t="s">
        <v>73</v>
      </c>
      <c r="V389" s="640">
        <v>0</v>
      </c>
      <c r="W389" s="640">
        <v>0</v>
      </c>
      <c r="X389" s="640">
        <v>0</v>
      </c>
      <c r="Y389" s="640">
        <v>2.5209228009552263</v>
      </c>
      <c r="Z389" s="640">
        <v>0</v>
      </c>
      <c r="AA389" s="640">
        <v>0</v>
      </c>
      <c r="AB389" s="640">
        <v>0</v>
      </c>
      <c r="AC389" s="640">
        <v>0.50418456019104518</v>
      </c>
      <c r="AD389" s="640">
        <v>0</v>
      </c>
      <c r="AE389" s="640">
        <v>2.5209228009552263</v>
      </c>
      <c r="AF389" s="640">
        <v>0</v>
      </c>
      <c r="AG389" s="640">
        <v>0</v>
      </c>
      <c r="AH389" s="640">
        <v>44.712737508757456</v>
      </c>
      <c r="AI389" s="640">
        <v>0</v>
      </c>
      <c r="AJ389" s="640">
        <v>-35.29291921337316</v>
      </c>
      <c r="AK389" s="648">
        <v>14.965848457485791</v>
      </c>
    </row>
    <row r="390" spans="3:37" x14ac:dyDescent="0.2">
      <c r="C390" s="646" t="s">
        <v>353</v>
      </c>
      <c r="D390" s="640">
        <v>28.568314687499999</v>
      </c>
      <c r="E390" s="640">
        <v>-17.390343348799608</v>
      </c>
      <c r="F390" s="640">
        <v>22.745541936068136</v>
      </c>
      <c r="G390" s="640">
        <v>0</v>
      </c>
      <c r="H390" s="640">
        <v>0</v>
      </c>
      <c r="I390" s="640">
        <v>0</v>
      </c>
      <c r="J390" s="640">
        <v>0</v>
      </c>
      <c r="K390" s="640">
        <v>0</v>
      </c>
      <c r="L390" s="640">
        <v>0</v>
      </c>
      <c r="M390" s="640">
        <v>0</v>
      </c>
      <c r="N390" s="640">
        <v>0</v>
      </c>
      <c r="O390" s="640">
        <v>0</v>
      </c>
      <c r="P390" s="640">
        <v>0</v>
      </c>
      <c r="Q390" s="640">
        <v>0</v>
      </c>
      <c r="R390" s="640">
        <v>0</v>
      </c>
      <c r="S390" s="648">
        <v>33.923513274768524</v>
      </c>
      <c r="U390" s="646" t="s">
        <v>353</v>
      </c>
      <c r="V390" s="640">
        <v>1.4001075134277343</v>
      </c>
      <c r="W390" s="640">
        <v>-6.8176938713802535</v>
      </c>
      <c r="X390" s="640">
        <v>8.9171408952922331</v>
      </c>
      <c r="Y390" s="640">
        <v>0</v>
      </c>
      <c r="Z390" s="640">
        <v>0</v>
      </c>
      <c r="AA390" s="640">
        <v>0</v>
      </c>
      <c r="AB390" s="640">
        <v>0</v>
      </c>
      <c r="AC390" s="640">
        <v>0</v>
      </c>
      <c r="AD390" s="640">
        <v>0</v>
      </c>
      <c r="AE390" s="640">
        <v>0</v>
      </c>
      <c r="AF390" s="640">
        <v>0</v>
      </c>
      <c r="AG390" s="640">
        <v>0</v>
      </c>
      <c r="AH390" s="640">
        <v>0</v>
      </c>
      <c r="AI390" s="640">
        <v>0</v>
      </c>
      <c r="AJ390" s="640">
        <v>0</v>
      </c>
      <c r="AK390" s="648">
        <v>3.4995545373397139</v>
      </c>
    </row>
    <row r="391" spans="3:37" x14ac:dyDescent="0.2">
      <c r="C391" s="646" t="s">
        <v>75</v>
      </c>
      <c r="D391" s="640">
        <v>11.109900156250001</v>
      </c>
      <c r="E391" s="640">
        <v>0</v>
      </c>
      <c r="F391" s="640">
        <v>17.0641175716937</v>
      </c>
      <c r="G391" s="640">
        <v>4.8692961376638904</v>
      </c>
      <c r="H391" s="640">
        <v>0</v>
      </c>
      <c r="I391" s="640">
        <v>0</v>
      </c>
      <c r="J391" s="640">
        <v>0</v>
      </c>
      <c r="K391" s="640">
        <v>0</v>
      </c>
      <c r="L391" s="640">
        <v>0</v>
      </c>
      <c r="M391" s="640">
        <v>9.9373390564569189E-2</v>
      </c>
      <c r="N391" s="640">
        <v>0</v>
      </c>
      <c r="O391" s="640">
        <v>0</v>
      </c>
      <c r="P391" s="640">
        <v>27.977940148174714</v>
      </c>
      <c r="Q391" s="640">
        <v>0</v>
      </c>
      <c r="R391" s="640">
        <v>0</v>
      </c>
      <c r="S391" s="648">
        <v>61.12062740434687</v>
      </c>
      <c r="U391" s="646" t="s">
        <v>75</v>
      </c>
      <c r="V391" s="640">
        <v>2.585423095703125</v>
      </c>
      <c r="W391" s="640">
        <v>0</v>
      </c>
      <c r="X391" s="640">
        <v>17.0641175716937</v>
      </c>
      <c r="Y391" s="640">
        <v>2.4843347641142297</v>
      </c>
      <c r="Z391" s="640">
        <v>0</v>
      </c>
      <c r="AA391" s="640">
        <v>0</v>
      </c>
      <c r="AB391" s="640">
        <v>0</v>
      </c>
      <c r="AC391" s="640">
        <v>0</v>
      </c>
      <c r="AD391" s="640">
        <v>0</v>
      </c>
      <c r="AE391" s="640">
        <v>2.4843347641142297</v>
      </c>
      <c r="AF391" s="640">
        <v>0</v>
      </c>
      <c r="AG391" s="640">
        <v>0</v>
      </c>
      <c r="AH391" s="640">
        <v>36.559985602720168</v>
      </c>
      <c r="AI391" s="640">
        <v>0</v>
      </c>
      <c r="AJ391" s="640">
        <v>0</v>
      </c>
      <c r="AK391" s="648">
        <v>61.178195798345449</v>
      </c>
    </row>
    <row r="392" spans="3:37" x14ac:dyDescent="0.2">
      <c r="C392" s="646" t="s">
        <v>76</v>
      </c>
      <c r="D392" s="640">
        <v>0</v>
      </c>
      <c r="E392" s="640">
        <v>0</v>
      </c>
      <c r="F392" s="640">
        <v>0</v>
      </c>
      <c r="G392" s="640">
        <v>3.7302503173667452</v>
      </c>
      <c r="H392" s="640">
        <v>0</v>
      </c>
      <c r="I392" s="640">
        <v>0</v>
      </c>
      <c r="J392" s="640">
        <v>0</v>
      </c>
      <c r="K392" s="640">
        <v>0</v>
      </c>
      <c r="L392" s="640">
        <v>0</v>
      </c>
      <c r="M392" s="640">
        <v>7.6127557497280507E-2</v>
      </c>
      <c r="N392" s="640">
        <v>0</v>
      </c>
      <c r="O392" s="640">
        <v>0</v>
      </c>
      <c r="P392" s="640">
        <v>45.919010237367587</v>
      </c>
      <c r="Q392" s="640">
        <v>2.9343505562312622</v>
      </c>
      <c r="R392" s="640">
        <v>0</v>
      </c>
      <c r="S392" s="648">
        <v>52.659738668462872</v>
      </c>
      <c r="U392" s="646" t="s">
        <v>76</v>
      </c>
      <c r="V392" s="640">
        <v>0</v>
      </c>
      <c r="W392" s="640">
        <v>0</v>
      </c>
      <c r="X392" s="640">
        <v>0</v>
      </c>
      <c r="Y392" s="640">
        <v>0.95944671778813329</v>
      </c>
      <c r="Z392" s="640">
        <v>0</v>
      </c>
      <c r="AA392" s="640">
        <v>0</v>
      </c>
      <c r="AB392" s="640">
        <v>0</v>
      </c>
      <c r="AC392" s="640">
        <v>0</v>
      </c>
      <c r="AD392" s="640">
        <v>0</v>
      </c>
      <c r="AE392" s="640">
        <v>0.95944671778813329</v>
      </c>
      <c r="AF392" s="640">
        <v>0</v>
      </c>
      <c r="AG392" s="640">
        <v>0</v>
      </c>
      <c r="AH392" s="640">
        <v>49.138117436745475</v>
      </c>
      <c r="AI392" s="640">
        <v>5.7424951548403769</v>
      </c>
      <c r="AJ392" s="640">
        <v>0</v>
      </c>
      <c r="AK392" s="648">
        <v>56.799506027162117</v>
      </c>
    </row>
    <row r="393" spans="3:37" x14ac:dyDescent="0.2">
      <c r="C393" s="644" t="s">
        <v>77</v>
      </c>
      <c r="D393" s="645">
        <v>42.505000484775252</v>
      </c>
      <c r="E393" s="645">
        <v>484.495467583368</v>
      </c>
      <c r="F393" s="645">
        <v>-449.13421563675462</v>
      </c>
      <c r="G393" s="645">
        <v>47.207234809306371</v>
      </c>
      <c r="H393" s="645">
        <v>843.18181818181824</v>
      </c>
      <c r="I393" s="645">
        <v>306.94588327561422</v>
      </c>
      <c r="J393" s="645">
        <v>75.087544766016393</v>
      </c>
      <c r="K393" s="645">
        <v>18.554763704158422</v>
      </c>
      <c r="L393" s="645">
        <v>-23.523971773378101</v>
      </c>
      <c r="M393" s="645">
        <v>-5.3154503193453246</v>
      </c>
      <c r="N393" s="645">
        <v>0</v>
      </c>
      <c r="O393" s="645">
        <v>9.1176200722123912</v>
      </c>
      <c r="P393" s="645">
        <v>-542.13274839202359</v>
      </c>
      <c r="Q393" s="645">
        <v>-34.870731395116664</v>
      </c>
      <c r="R393" s="645">
        <v>-5.7492063580491291</v>
      </c>
      <c r="S393" s="645">
        <v>766.36900900260184</v>
      </c>
      <c r="U393" s="644" t="s">
        <v>77</v>
      </c>
      <c r="V393" s="645">
        <v>4.6118455145895494</v>
      </c>
      <c r="W393" s="645">
        <v>189.94114801549574</v>
      </c>
      <c r="X393" s="645">
        <v>-164.75055368632826</v>
      </c>
      <c r="Y393" s="645">
        <v>14.771936460533603</v>
      </c>
      <c r="Z393" s="645">
        <v>842.12121212121212</v>
      </c>
      <c r="AA393" s="645">
        <v>361.66588327561419</v>
      </c>
      <c r="AB393" s="645">
        <v>138.19810981289308</v>
      </c>
      <c r="AC393" s="645">
        <v>31.958068806629939</v>
      </c>
      <c r="AD393" s="645">
        <v>-114.15604749086444</v>
      </c>
      <c r="AE393" s="645">
        <v>-66.000175998632287</v>
      </c>
      <c r="AF393" s="645">
        <v>0</v>
      </c>
      <c r="AG393" s="645">
        <v>19.568792039795159</v>
      </c>
      <c r="AH393" s="645">
        <v>-532.33908982989124</v>
      </c>
      <c r="AI393" s="645">
        <v>-68.301024235701377</v>
      </c>
      <c r="AJ393" s="645">
        <v>-31.04291921337316</v>
      </c>
      <c r="AK393" s="645">
        <v>626.24718559197242</v>
      </c>
    </row>
    <row r="394" spans="3:37" x14ac:dyDescent="0.2">
      <c r="C394" s="634"/>
      <c r="D394" s="634">
        <v>0</v>
      </c>
      <c r="E394" s="634">
        <v>0</v>
      </c>
      <c r="F394" s="634">
        <v>0</v>
      </c>
      <c r="G394" s="634">
        <v>0</v>
      </c>
      <c r="H394" s="634">
        <v>0</v>
      </c>
      <c r="I394" s="634">
        <v>0</v>
      </c>
      <c r="J394" s="634">
        <v>0</v>
      </c>
      <c r="K394" s="634">
        <v>0</v>
      </c>
      <c r="L394" s="634">
        <v>0</v>
      </c>
      <c r="M394" s="634">
        <v>0</v>
      </c>
      <c r="N394" s="634">
        <v>0</v>
      </c>
      <c r="O394" s="634">
        <v>0</v>
      </c>
      <c r="P394" s="634">
        <v>0</v>
      </c>
      <c r="Q394" s="634">
        <v>0</v>
      </c>
      <c r="R394" s="634">
        <v>0</v>
      </c>
      <c r="S394" s="634">
        <v>0</v>
      </c>
      <c r="U394" s="634"/>
      <c r="V394" s="634">
        <v>0</v>
      </c>
      <c r="W394" s="634">
        <v>0</v>
      </c>
      <c r="X394" s="634">
        <v>0</v>
      </c>
      <c r="Y394" s="634">
        <v>0</v>
      </c>
      <c r="Z394" s="634">
        <v>0</v>
      </c>
      <c r="AA394" s="634">
        <v>0</v>
      </c>
      <c r="AB394" s="634">
        <v>0</v>
      </c>
      <c r="AC394" s="634">
        <v>0</v>
      </c>
      <c r="AD394" s="634">
        <v>0</v>
      </c>
      <c r="AE394" s="634">
        <v>0</v>
      </c>
      <c r="AF394" s="634">
        <v>0</v>
      </c>
      <c r="AG394" s="634">
        <v>0</v>
      </c>
      <c r="AH394" s="634">
        <v>0</v>
      </c>
      <c r="AI394" s="634">
        <v>0</v>
      </c>
      <c r="AJ394" s="634">
        <v>0</v>
      </c>
      <c r="AK394" s="634">
        <v>0</v>
      </c>
    </row>
    <row r="395" spans="3:37" x14ac:dyDescent="0.2">
      <c r="C395" s="646" t="s">
        <v>78</v>
      </c>
      <c r="D395" s="640">
        <v>4.6398193944555786</v>
      </c>
      <c r="E395" s="640">
        <v>0</v>
      </c>
      <c r="F395" s="640">
        <v>20.598782441852151</v>
      </c>
      <c r="G395" s="640">
        <v>94.839699954986926</v>
      </c>
      <c r="H395" s="640">
        <v>0</v>
      </c>
      <c r="I395" s="640">
        <v>0</v>
      </c>
      <c r="J395" s="640">
        <v>21.821162214793436</v>
      </c>
      <c r="K395" s="640">
        <v>1.7366010173968038</v>
      </c>
      <c r="L395" s="640">
        <v>0.96096945898437491</v>
      </c>
      <c r="M395" s="640">
        <v>1.9539169420126139</v>
      </c>
      <c r="N395" s="640">
        <v>0</v>
      </c>
      <c r="O395" s="640">
        <v>3.7537634069694789E-4</v>
      </c>
      <c r="P395" s="640">
        <v>113.419965125608</v>
      </c>
      <c r="Q395" s="640">
        <v>16.150451210263412</v>
      </c>
      <c r="R395" s="640">
        <v>0.26695886230468752</v>
      </c>
      <c r="S395" s="648">
        <v>276.38870199899873</v>
      </c>
      <c r="U395" s="646" t="s">
        <v>78</v>
      </c>
      <c r="V395" s="640">
        <v>1.264986561669641</v>
      </c>
      <c r="W395" s="640">
        <v>0</v>
      </c>
      <c r="X395" s="640">
        <v>4.4259635061357878</v>
      </c>
      <c r="Y395" s="640">
        <v>33.008089674756327</v>
      </c>
      <c r="Z395" s="640">
        <v>0</v>
      </c>
      <c r="AA395" s="640">
        <v>0</v>
      </c>
      <c r="AB395" s="640">
        <v>14.926911405045434</v>
      </c>
      <c r="AC395" s="640">
        <v>4.7591564459641997</v>
      </c>
      <c r="AD395" s="640">
        <v>6.4130046386718744</v>
      </c>
      <c r="AE395" s="640">
        <v>33.02650253605492</v>
      </c>
      <c r="AF395" s="640">
        <v>0</v>
      </c>
      <c r="AG395" s="640">
        <v>3.7537634069694789E-4</v>
      </c>
      <c r="AH395" s="640">
        <v>148.98135712801343</v>
      </c>
      <c r="AI395" s="640">
        <v>24.187634778338289</v>
      </c>
      <c r="AJ395" s="640">
        <v>7.9027373046875002</v>
      </c>
      <c r="AK395" s="648">
        <v>278.8967193556781</v>
      </c>
    </row>
    <row r="396" spans="3:37" x14ac:dyDescent="0.2">
      <c r="C396" s="646" t="s">
        <v>79</v>
      </c>
      <c r="D396" s="640">
        <v>0</v>
      </c>
      <c r="E396" s="640">
        <v>0</v>
      </c>
      <c r="F396" s="640">
        <v>225.72324837131151</v>
      </c>
      <c r="G396" s="640">
        <v>31.930807664827714</v>
      </c>
      <c r="H396" s="640">
        <v>0</v>
      </c>
      <c r="I396" s="640">
        <v>0</v>
      </c>
      <c r="J396" s="640">
        <v>0</v>
      </c>
      <c r="K396" s="640">
        <v>0</v>
      </c>
      <c r="L396" s="640">
        <v>21.777356740546686</v>
      </c>
      <c r="M396" s="640">
        <v>0.65164913601689212</v>
      </c>
      <c r="N396" s="640">
        <v>0</v>
      </c>
      <c r="O396" s="640">
        <v>0</v>
      </c>
      <c r="P396" s="640">
        <v>72.885841088882287</v>
      </c>
      <c r="Q396" s="640">
        <v>0</v>
      </c>
      <c r="R396" s="640">
        <v>2.6521266956987635</v>
      </c>
      <c r="S396" s="648">
        <v>355.62102969728386</v>
      </c>
      <c r="U396" s="646" t="s">
        <v>79</v>
      </c>
      <c r="V396" s="640">
        <v>0</v>
      </c>
      <c r="W396" s="640">
        <v>0</v>
      </c>
      <c r="X396" s="640">
        <v>19.003305935487372</v>
      </c>
      <c r="Y396" s="640">
        <v>13.267062862305856</v>
      </c>
      <c r="Z396" s="640">
        <v>0</v>
      </c>
      <c r="AA396" s="640">
        <v>0</v>
      </c>
      <c r="AB396" s="640">
        <v>0</v>
      </c>
      <c r="AC396" s="640">
        <v>0</v>
      </c>
      <c r="AD396" s="640">
        <v>27.757428454399612</v>
      </c>
      <c r="AE396" s="640">
        <v>13.267062862305856</v>
      </c>
      <c r="AF396" s="640">
        <v>0</v>
      </c>
      <c r="AG396" s="640">
        <v>0</v>
      </c>
      <c r="AH396" s="640">
        <v>94.556676700547257</v>
      </c>
      <c r="AI396" s="640">
        <v>0</v>
      </c>
      <c r="AJ396" s="640">
        <v>6.3130917169295051</v>
      </c>
      <c r="AK396" s="648">
        <v>174.16462853197544</v>
      </c>
    </row>
    <row r="397" spans="3:37" x14ac:dyDescent="0.2">
      <c r="C397" s="646" t="s">
        <v>80</v>
      </c>
      <c r="D397" s="640">
        <v>0</v>
      </c>
      <c r="E397" s="640">
        <v>0</v>
      </c>
      <c r="F397" s="640">
        <v>11.075929176351762</v>
      </c>
      <c r="G397" s="640">
        <v>76.664751333295058</v>
      </c>
      <c r="H397" s="640">
        <v>0</v>
      </c>
      <c r="I397" s="640">
        <v>0</v>
      </c>
      <c r="J397" s="640">
        <v>88.320247059496523</v>
      </c>
      <c r="K397" s="640">
        <v>0</v>
      </c>
      <c r="L397" s="640">
        <v>0</v>
      </c>
      <c r="M397" s="640">
        <v>1.5645867619039808</v>
      </c>
      <c r="N397" s="640">
        <v>59.616390446150973</v>
      </c>
      <c r="O397" s="640">
        <v>2.0734984243972754</v>
      </c>
      <c r="P397" s="640">
        <v>190.93239321884863</v>
      </c>
      <c r="Q397" s="640">
        <v>15.360003531773184</v>
      </c>
      <c r="R397" s="640">
        <v>0</v>
      </c>
      <c r="S397" s="648">
        <v>445.60779995221742</v>
      </c>
      <c r="U397" s="646" t="s">
        <v>80</v>
      </c>
      <c r="V397" s="640">
        <v>0</v>
      </c>
      <c r="W397" s="640">
        <v>0</v>
      </c>
      <c r="X397" s="640">
        <v>0.97925934500211753</v>
      </c>
      <c r="Y397" s="640">
        <v>9.8253088649292142</v>
      </c>
      <c r="Z397" s="640">
        <v>0</v>
      </c>
      <c r="AA397" s="640">
        <v>0</v>
      </c>
      <c r="AB397" s="640">
        <v>50.204880630535357</v>
      </c>
      <c r="AC397" s="640">
        <v>0</v>
      </c>
      <c r="AD397" s="640">
        <v>0</v>
      </c>
      <c r="AE397" s="640">
        <v>9.8253088649292142</v>
      </c>
      <c r="AF397" s="640">
        <v>95.02342184325245</v>
      </c>
      <c r="AG397" s="640">
        <v>4.208312775429496</v>
      </c>
      <c r="AH397" s="640">
        <v>144.38732956018927</v>
      </c>
      <c r="AI397" s="640">
        <v>30.75075127630511</v>
      </c>
      <c r="AJ397" s="640">
        <v>0</v>
      </c>
      <c r="AK397" s="648">
        <v>345.20457316057224</v>
      </c>
    </row>
    <row r="398" spans="3:37" x14ac:dyDescent="0.2">
      <c r="C398" s="646" t="s">
        <v>81</v>
      </c>
      <c r="D398" s="640">
        <v>0</v>
      </c>
      <c r="E398" s="640">
        <v>0</v>
      </c>
      <c r="F398" s="640">
        <v>2.6743117433405894</v>
      </c>
      <c r="G398" s="640">
        <v>62.987223173923248</v>
      </c>
      <c r="H398" s="640">
        <v>0</v>
      </c>
      <c r="I398" s="640">
        <v>0</v>
      </c>
      <c r="J398" s="640">
        <v>3.1384766478070549</v>
      </c>
      <c r="K398" s="640">
        <v>2.5274117631643136E-2</v>
      </c>
      <c r="L398" s="640">
        <v>0</v>
      </c>
      <c r="M398" s="640">
        <v>1.2854535341616988</v>
      </c>
      <c r="N398" s="640">
        <v>8.34801759276524</v>
      </c>
      <c r="O398" s="640">
        <v>0.71507622546549865</v>
      </c>
      <c r="P398" s="640">
        <v>142.0321146826426</v>
      </c>
      <c r="Q398" s="640">
        <v>3.3602766530800707</v>
      </c>
      <c r="R398" s="640">
        <v>0</v>
      </c>
      <c r="S398" s="648">
        <v>224.56622437081765</v>
      </c>
      <c r="U398" s="646" t="s">
        <v>81</v>
      </c>
      <c r="V398" s="640">
        <v>0</v>
      </c>
      <c r="W398" s="640">
        <v>0</v>
      </c>
      <c r="X398" s="640">
        <v>1.2256055704751125</v>
      </c>
      <c r="Y398" s="640">
        <v>7.2918833253665882</v>
      </c>
      <c r="Z398" s="640">
        <v>0</v>
      </c>
      <c r="AA398" s="640">
        <v>0</v>
      </c>
      <c r="AB398" s="640">
        <v>6.8658928642747856</v>
      </c>
      <c r="AC398" s="640">
        <v>2.5274117631643136E-2</v>
      </c>
      <c r="AD398" s="640">
        <v>0</v>
      </c>
      <c r="AE398" s="640">
        <v>7.2918833253665882</v>
      </c>
      <c r="AF398" s="640">
        <v>14.828462979838848</v>
      </c>
      <c r="AG398" s="640">
        <v>1.5197231438340593</v>
      </c>
      <c r="AH398" s="640">
        <v>114.40426288608282</v>
      </c>
      <c r="AI398" s="640">
        <v>13.362638181057982</v>
      </c>
      <c r="AJ398" s="640">
        <v>0</v>
      </c>
      <c r="AK398" s="648">
        <v>166.8156263939284</v>
      </c>
    </row>
    <row r="399" spans="3:37" x14ac:dyDescent="0.2">
      <c r="C399" s="646" t="s">
        <v>82</v>
      </c>
      <c r="D399" s="640">
        <v>0</v>
      </c>
      <c r="E399" s="640">
        <v>0</v>
      </c>
      <c r="F399" s="640">
        <v>27.931723909553636</v>
      </c>
      <c r="G399" s="640">
        <v>0.95472649492283324</v>
      </c>
      <c r="H399" s="640">
        <v>0</v>
      </c>
      <c r="I399" s="640">
        <v>0</v>
      </c>
      <c r="J399" s="640">
        <v>4.6306119511950978</v>
      </c>
      <c r="K399" s="640">
        <v>0</v>
      </c>
      <c r="L399" s="640">
        <v>3.1934862443619529</v>
      </c>
      <c r="M399" s="640">
        <v>1.9484214182098638E-2</v>
      </c>
      <c r="N399" s="640">
        <v>0</v>
      </c>
      <c r="O399" s="640">
        <v>6.6456137421005312E-2</v>
      </c>
      <c r="P399" s="640">
        <v>5.7660712732306445</v>
      </c>
      <c r="Q399" s="640">
        <v>0</v>
      </c>
      <c r="R399" s="640">
        <v>0</v>
      </c>
      <c r="S399" s="648">
        <v>42.562560224867276</v>
      </c>
      <c r="U399" s="646" t="s">
        <v>82</v>
      </c>
      <c r="V399" s="640">
        <v>0</v>
      </c>
      <c r="W399" s="640">
        <v>0</v>
      </c>
      <c r="X399" s="640">
        <v>3.5775053425595864</v>
      </c>
      <c r="Y399" s="640">
        <v>0.56393102033742082</v>
      </c>
      <c r="Z399" s="640">
        <v>0</v>
      </c>
      <c r="AA399" s="640">
        <v>0</v>
      </c>
      <c r="AB399" s="640">
        <v>4.6306119511950978</v>
      </c>
      <c r="AC399" s="640">
        <v>0</v>
      </c>
      <c r="AD399" s="640">
        <v>32.861113305842508</v>
      </c>
      <c r="AE399" s="640">
        <v>0.56393102033742082</v>
      </c>
      <c r="AF399" s="640">
        <v>0</v>
      </c>
      <c r="AG399" s="640">
        <v>1.7440136932478227</v>
      </c>
      <c r="AH399" s="640">
        <v>5.8866318405152116</v>
      </c>
      <c r="AI399" s="640">
        <v>0</v>
      </c>
      <c r="AJ399" s="640">
        <v>0.38427420359697795</v>
      </c>
      <c r="AK399" s="648">
        <v>50.21201237763205</v>
      </c>
    </row>
    <row r="400" spans="3:37" x14ac:dyDescent="0.2">
      <c r="C400" s="646" t="s">
        <v>354</v>
      </c>
      <c r="D400" s="640">
        <v>0</v>
      </c>
      <c r="E400" s="640">
        <v>0</v>
      </c>
      <c r="F400" s="640">
        <v>0</v>
      </c>
      <c r="G400" s="640">
        <v>0</v>
      </c>
      <c r="H400" s="640">
        <v>0</v>
      </c>
      <c r="I400" s="640">
        <v>0</v>
      </c>
      <c r="J400" s="640">
        <v>0</v>
      </c>
      <c r="K400" s="640">
        <v>0</v>
      </c>
      <c r="L400" s="640">
        <v>0</v>
      </c>
      <c r="M400" s="640">
        <v>0</v>
      </c>
      <c r="N400" s="640">
        <v>0</v>
      </c>
      <c r="O400" s="640">
        <v>0</v>
      </c>
      <c r="P400" s="640">
        <v>0.39</v>
      </c>
      <c r="Q400" s="640">
        <v>0</v>
      </c>
      <c r="R400" s="640">
        <v>0</v>
      </c>
      <c r="S400" s="648">
        <v>0.39</v>
      </c>
      <c r="U400" s="646" t="s">
        <v>354</v>
      </c>
      <c r="V400" s="640">
        <v>0</v>
      </c>
      <c r="W400" s="640">
        <v>0</v>
      </c>
      <c r="X400" s="640">
        <v>0</v>
      </c>
      <c r="Y400" s="640">
        <v>0</v>
      </c>
      <c r="Z400" s="640">
        <v>0</v>
      </c>
      <c r="AA400" s="640">
        <v>0</v>
      </c>
      <c r="AB400" s="640">
        <v>0</v>
      </c>
      <c r="AC400" s="640">
        <v>0</v>
      </c>
      <c r="AD400" s="640">
        <v>0</v>
      </c>
      <c r="AE400" s="640">
        <v>0</v>
      </c>
      <c r="AF400" s="640">
        <v>0</v>
      </c>
      <c r="AG400" s="640">
        <v>0</v>
      </c>
      <c r="AH400" s="640">
        <v>3.5999999999999996</v>
      </c>
      <c r="AI400" s="640">
        <v>0</v>
      </c>
      <c r="AJ400" s="640">
        <v>0</v>
      </c>
      <c r="AK400" s="648">
        <v>3.5999999999999996</v>
      </c>
    </row>
    <row r="401" spans="3:37" x14ac:dyDescent="0.2">
      <c r="C401" s="644" t="s">
        <v>83</v>
      </c>
      <c r="D401" s="645">
        <v>4.6398193944555786</v>
      </c>
      <c r="E401" s="645">
        <v>0</v>
      </c>
      <c r="F401" s="645">
        <v>288.00399564240968</v>
      </c>
      <c r="G401" s="645">
        <v>267.37720862195579</v>
      </c>
      <c r="H401" s="645">
        <v>0</v>
      </c>
      <c r="I401" s="645">
        <v>0</v>
      </c>
      <c r="J401" s="645">
        <v>117.91049787329212</v>
      </c>
      <c r="K401" s="645">
        <v>1.7618751350284469</v>
      </c>
      <c r="L401" s="645">
        <v>25.931812443893016</v>
      </c>
      <c r="M401" s="645">
        <v>5.4750905882772853</v>
      </c>
      <c r="N401" s="645">
        <v>67.964408038916218</v>
      </c>
      <c r="O401" s="645">
        <v>2.8554061636244761</v>
      </c>
      <c r="P401" s="645">
        <v>525.4263853892121</v>
      </c>
      <c r="Q401" s="645">
        <v>34.870731395116664</v>
      </c>
      <c r="R401" s="645">
        <v>2.9190855580034509</v>
      </c>
      <c r="S401" s="645">
        <v>1345.1363162441851</v>
      </c>
      <c r="U401" s="644" t="s">
        <v>83</v>
      </c>
      <c r="V401" s="645">
        <v>1.264986561669641</v>
      </c>
      <c r="W401" s="645">
        <v>0</v>
      </c>
      <c r="X401" s="645">
        <v>29.211639699659976</v>
      </c>
      <c r="Y401" s="645">
        <v>63.956275747695408</v>
      </c>
      <c r="Z401" s="645">
        <v>0</v>
      </c>
      <c r="AA401" s="645">
        <v>0</v>
      </c>
      <c r="AB401" s="645">
        <v>76.628296851050663</v>
      </c>
      <c r="AC401" s="645">
        <v>4.7844305635958433</v>
      </c>
      <c r="AD401" s="645">
        <v>67.031546398914003</v>
      </c>
      <c r="AE401" s="645">
        <v>63.974688608994001</v>
      </c>
      <c r="AF401" s="645">
        <v>109.8518848230913</v>
      </c>
      <c r="AG401" s="645">
        <v>7.4724249888520751</v>
      </c>
      <c r="AH401" s="645">
        <v>511.81625811534803</v>
      </c>
      <c r="AI401" s="645">
        <v>68.301024235701377</v>
      </c>
      <c r="AJ401" s="645">
        <v>14.600103225213982</v>
      </c>
      <c r="AK401" s="645">
        <v>1018.8935598197862</v>
      </c>
    </row>
    <row r="402" spans="3:37" x14ac:dyDescent="0.2">
      <c r="C402" s="639" t="s">
        <v>84</v>
      </c>
      <c r="D402" s="640">
        <v>0</v>
      </c>
      <c r="E402" s="640">
        <v>0</v>
      </c>
      <c r="F402" s="640">
        <v>104.91003257681685</v>
      </c>
      <c r="G402" s="640">
        <v>11.505661507854215</v>
      </c>
      <c r="H402" s="640">
        <v>0</v>
      </c>
      <c r="I402" s="640">
        <v>0</v>
      </c>
      <c r="J402" s="640">
        <v>0</v>
      </c>
      <c r="K402" s="640">
        <v>0</v>
      </c>
      <c r="L402" s="640">
        <v>0</v>
      </c>
      <c r="M402" s="640">
        <v>0</v>
      </c>
      <c r="N402" s="640">
        <v>0</v>
      </c>
      <c r="O402" s="640">
        <v>0</v>
      </c>
      <c r="P402" s="640">
        <v>0</v>
      </c>
      <c r="Q402" s="640">
        <v>0</v>
      </c>
      <c r="R402" s="640">
        <v>2.8301208000456781</v>
      </c>
      <c r="S402" s="648">
        <v>119.24581488471674</v>
      </c>
      <c r="U402" s="639" t="s">
        <v>84</v>
      </c>
      <c r="V402" s="640">
        <v>0</v>
      </c>
      <c r="W402" s="640">
        <v>0</v>
      </c>
      <c r="X402" s="640">
        <v>70.401025384734808</v>
      </c>
      <c r="Y402" s="640">
        <v>0.81519182748409058</v>
      </c>
      <c r="Z402" s="640">
        <v>0</v>
      </c>
      <c r="AA402" s="640">
        <v>0</v>
      </c>
      <c r="AB402" s="640">
        <v>0</v>
      </c>
      <c r="AC402" s="640">
        <v>0</v>
      </c>
      <c r="AD402" s="640">
        <v>24.563190847778323</v>
      </c>
      <c r="AE402" s="640">
        <v>0</v>
      </c>
      <c r="AF402" s="640">
        <v>0</v>
      </c>
      <c r="AG402" s="640">
        <v>0</v>
      </c>
      <c r="AH402" s="640">
        <v>0</v>
      </c>
      <c r="AI402" s="640">
        <v>0</v>
      </c>
      <c r="AJ402" s="640">
        <v>16.442815988159179</v>
      </c>
      <c r="AK402" s="648">
        <v>112.22222404815641</v>
      </c>
    </row>
    <row r="403" spans="3:37" x14ac:dyDescent="0.2">
      <c r="C403" s="644" t="s">
        <v>85</v>
      </c>
      <c r="D403" s="645">
        <v>4.6398193944555786</v>
      </c>
      <c r="E403" s="645">
        <v>0</v>
      </c>
      <c r="F403" s="645">
        <v>392.91402821922651</v>
      </c>
      <c r="G403" s="645">
        <v>278.88287012980999</v>
      </c>
      <c r="H403" s="645">
        <v>0</v>
      </c>
      <c r="I403" s="645">
        <v>0</v>
      </c>
      <c r="J403" s="645">
        <v>117.91049787329212</v>
      </c>
      <c r="K403" s="645">
        <v>1.7618751350284469</v>
      </c>
      <c r="L403" s="645">
        <v>25.931812443893016</v>
      </c>
      <c r="M403" s="645">
        <v>5.4750905882772853</v>
      </c>
      <c r="N403" s="645">
        <v>67.964408038916218</v>
      </c>
      <c r="O403" s="645">
        <v>2.8554061636244761</v>
      </c>
      <c r="P403" s="645">
        <v>525.4263853892121</v>
      </c>
      <c r="Q403" s="645">
        <v>34.870731395116664</v>
      </c>
      <c r="R403" s="645">
        <v>5.7492063580491291</v>
      </c>
      <c r="S403" s="645">
        <v>1464.3821311289018</v>
      </c>
      <c r="U403" s="644" t="s">
        <v>85</v>
      </c>
      <c r="V403" s="645">
        <v>1.264986561669641</v>
      </c>
      <c r="W403" s="645">
        <v>0</v>
      </c>
      <c r="X403" s="645">
        <v>99.612665084394791</v>
      </c>
      <c r="Y403" s="645">
        <v>64.7714675751795</v>
      </c>
      <c r="Z403" s="645">
        <v>0</v>
      </c>
      <c r="AA403" s="645">
        <v>0</v>
      </c>
      <c r="AB403" s="645">
        <v>76.628296851050663</v>
      </c>
      <c r="AC403" s="645">
        <v>4.7844305635958433</v>
      </c>
      <c r="AD403" s="645">
        <v>91.594737246692318</v>
      </c>
      <c r="AE403" s="645">
        <v>63.974688608994001</v>
      </c>
      <c r="AF403" s="645">
        <v>109.8518848230913</v>
      </c>
      <c r="AG403" s="645">
        <v>7.4724249888520751</v>
      </c>
      <c r="AH403" s="645">
        <v>511.81625811534803</v>
      </c>
      <c r="AI403" s="645">
        <v>68.301024235701377</v>
      </c>
      <c r="AJ403" s="645">
        <v>31.04291921337316</v>
      </c>
      <c r="AK403" s="645">
        <v>1131.1157838679426</v>
      </c>
    </row>
    <row r="404" spans="3:37" x14ac:dyDescent="0.2">
      <c r="C404" s="634"/>
      <c r="D404" s="634"/>
      <c r="E404" s="634"/>
      <c r="F404" s="634"/>
      <c r="G404" s="634"/>
      <c r="H404" s="634"/>
      <c r="I404" s="634"/>
      <c r="J404" s="634"/>
      <c r="K404" s="634"/>
      <c r="L404" s="634"/>
      <c r="M404" s="634"/>
      <c r="N404" s="634"/>
      <c r="O404" s="634"/>
      <c r="P404" s="634"/>
      <c r="Q404" s="634"/>
      <c r="R404" s="634"/>
      <c r="S404" s="634"/>
      <c r="U404" s="634"/>
      <c r="V404" s="634"/>
      <c r="W404" s="634"/>
      <c r="X404" s="634"/>
      <c r="Y404" s="634"/>
      <c r="Z404" s="634"/>
      <c r="AA404" s="634"/>
      <c r="AB404" s="634"/>
      <c r="AC404" s="634"/>
      <c r="AD404" s="634"/>
      <c r="AE404" s="634"/>
      <c r="AF404" s="634"/>
      <c r="AG404" s="634"/>
      <c r="AH404" s="634"/>
      <c r="AI404" s="634"/>
      <c r="AJ404" s="634"/>
      <c r="AK404" s="634"/>
    </row>
    <row r="405" spans="3:37" ht="22.5" x14ac:dyDescent="0.3">
      <c r="C405" s="759" t="s">
        <v>89</v>
      </c>
      <c r="D405" s="759"/>
      <c r="E405" s="759"/>
      <c r="F405" s="759"/>
      <c r="G405" s="759"/>
      <c r="H405" s="759"/>
      <c r="I405" s="759"/>
      <c r="J405" s="759"/>
      <c r="K405" s="759"/>
      <c r="L405" s="759"/>
      <c r="M405" s="759"/>
      <c r="N405" s="759"/>
      <c r="O405" s="759"/>
      <c r="P405" s="759"/>
      <c r="Q405" s="759"/>
      <c r="R405" s="759"/>
      <c r="S405" s="759"/>
      <c r="U405" s="759" t="s">
        <v>89</v>
      </c>
      <c r="V405" s="759"/>
      <c r="W405" s="759"/>
      <c r="X405" s="759"/>
      <c r="Y405" s="759"/>
      <c r="Z405" s="759"/>
      <c r="AA405" s="759"/>
      <c r="AB405" s="759"/>
      <c r="AC405" s="759"/>
      <c r="AD405" s="759"/>
      <c r="AE405" s="759"/>
      <c r="AF405" s="759"/>
      <c r="AG405" s="759"/>
      <c r="AH405" s="759"/>
      <c r="AI405" s="759"/>
      <c r="AJ405" s="759"/>
      <c r="AK405" s="759"/>
    </row>
    <row r="406" spans="3:37" x14ac:dyDescent="0.2">
      <c r="C406" s="634"/>
      <c r="D406" s="634"/>
      <c r="E406" s="634"/>
      <c r="F406" s="634"/>
      <c r="G406" s="634"/>
      <c r="H406" s="634"/>
      <c r="I406" s="634"/>
      <c r="J406" s="634"/>
      <c r="K406" s="634"/>
      <c r="L406" s="634"/>
      <c r="M406" s="634"/>
      <c r="N406" s="634"/>
      <c r="O406" s="634"/>
      <c r="P406" s="634"/>
      <c r="Q406" s="634"/>
      <c r="R406" s="634"/>
      <c r="S406" s="634"/>
      <c r="U406" s="634"/>
      <c r="V406" s="634"/>
      <c r="W406" s="634"/>
      <c r="X406" s="634"/>
      <c r="Y406" s="634"/>
      <c r="Z406" s="634"/>
      <c r="AA406" s="634"/>
      <c r="AB406" s="634"/>
      <c r="AC406" s="634"/>
      <c r="AD406" s="634"/>
      <c r="AE406" s="634"/>
      <c r="AF406" s="634"/>
      <c r="AG406" s="634"/>
      <c r="AH406" s="634"/>
      <c r="AI406" s="634"/>
      <c r="AJ406" s="634"/>
      <c r="AK406" s="634"/>
    </row>
    <row r="407" spans="3:37" ht="12.95" customHeight="1" x14ac:dyDescent="0.2">
      <c r="C407" s="758" t="s">
        <v>128</v>
      </c>
      <c r="D407" s="757" t="s">
        <v>42</v>
      </c>
      <c r="E407" s="757" t="s">
        <v>52</v>
      </c>
      <c r="F407" s="757" t="s">
        <v>53</v>
      </c>
      <c r="G407" s="757" t="s">
        <v>32</v>
      </c>
      <c r="H407" s="757" t="s">
        <v>20</v>
      </c>
      <c r="I407" s="757" t="s">
        <v>55</v>
      </c>
      <c r="J407" s="757" t="s">
        <v>56</v>
      </c>
      <c r="K407" s="757"/>
      <c r="L407" s="757"/>
      <c r="M407" s="757"/>
      <c r="N407" s="757"/>
      <c r="O407" s="757"/>
      <c r="P407" s="757" t="s">
        <v>57</v>
      </c>
      <c r="Q407" s="757" t="s">
        <v>58</v>
      </c>
      <c r="R407" s="757" t="s">
        <v>31</v>
      </c>
      <c r="S407" s="757" t="s">
        <v>10</v>
      </c>
      <c r="U407" s="758" t="s">
        <v>128</v>
      </c>
      <c r="V407" s="757" t="s">
        <v>42</v>
      </c>
      <c r="W407" s="757" t="s">
        <v>52</v>
      </c>
      <c r="X407" s="757" t="s">
        <v>53</v>
      </c>
      <c r="Y407" s="757" t="s">
        <v>32</v>
      </c>
      <c r="Z407" s="757" t="s">
        <v>20</v>
      </c>
      <c r="AA407" s="757" t="s">
        <v>55</v>
      </c>
      <c r="AB407" s="757" t="s">
        <v>56</v>
      </c>
      <c r="AC407" s="757"/>
      <c r="AD407" s="757"/>
      <c r="AE407" s="757"/>
      <c r="AF407" s="757"/>
      <c r="AG407" s="757"/>
      <c r="AH407" s="757" t="s">
        <v>57</v>
      </c>
      <c r="AI407" s="757" t="s">
        <v>58</v>
      </c>
      <c r="AJ407" s="757" t="s">
        <v>31</v>
      </c>
      <c r="AK407" s="757" t="s">
        <v>10</v>
      </c>
    </row>
    <row r="408" spans="3:37" ht="56.25" x14ac:dyDescent="0.2">
      <c r="C408" s="758"/>
      <c r="D408" s="757"/>
      <c r="E408" s="757"/>
      <c r="F408" s="757"/>
      <c r="G408" s="757"/>
      <c r="H408" s="757"/>
      <c r="I408" s="757"/>
      <c r="J408" s="638" t="s">
        <v>335</v>
      </c>
      <c r="K408" s="638" t="s">
        <v>40</v>
      </c>
      <c r="L408" s="638" t="s">
        <v>343</v>
      </c>
      <c r="M408" s="638" t="s">
        <v>344</v>
      </c>
      <c r="N408" s="638" t="s">
        <v>345</v>
      </c>
      <c r="O408" s="638" t="s">
        <v>346</v>
      </c>
      <c r="P408" s="757"/>
      <c r="Q408" s="757"/>
      <c r="R408" s="757"/>
      <c r="S408" s="757"/>
      <c r="U408" s="758"/>
      <c r="V408" s="757"/>
      <c r="W408" s="757"/>
      <c r="X408" s="757"/>
      <c r="Y408" s="757"/>
      <c r="Z408" s="757"/>
      <c r="AA408" s="757"/>
      <c r="AB408" s="638" t="s">
        <v>335</v>
      </c>
      <c r="AC408" s="638" t="s">
        <v>40</v>
      </c>
      <c r="AD408" s="638" t="s">
        <v>343</v>
      </c>
      <c r="AE408" s="638" t="s">
        <v>344</v>
      </c>
      <c r="AF408" s="638" t="s">
        <v>345</v>
      </c>
      <c r="AG408" s="638" t="s">
        <v>346</v>
      </c>
      <c r="AH408" s="757"/>
      <c r="AI408" s="757"/>
      <c r="AJ408" s="757"/>
      <c r="AK408" s="757"/>
    </row>
    <row r="409" spans="3:37" x14ac:dyDescent="0.2">
      <c r="C409" s="639" t="s">
        <v>59</v>
      </c>
      <c r="D409" s="640">
        <v>0</v>
      </c>
      <c r="E409" s="641">
        <v>0</v>
      </c>
      <c r="F409" s="641">
        <v>0</v>
      </c>
      <c r="G409" s="640">
        <v>0</v>
      </c>
      <c r="H409" s="641">
        <v>727.27272727272737</v>
      </c>
      <c r="I409" s="641">
        <v>338.37995078139568</v>
      </c>
      <c r="J409" s="641">
        <v>185.12606679296266</v>
      </c>
      <c r="K409" s="641">
        <v>19.887492227897642</v>
      </c>
      <c r="L409" s="641">
        <v>0.67629573379861951</v>
      </c>
      <c r="M409" s="641">
        <v>0.16041590589481752</v>
      </c>
      <c r="N409" s="641">
        <v>75.083762899489528</v>
      </c>
      <c r="O409" s="641">
        <v>12.515766779598991</v>
      </c>
      <c r="P409" s="642">
        <v>0</v>
      </c>
      <c r="Q409" s="641">
        <v>0</v>
      </c>
      <c r="R409" s="641">
        <v>0</v>
      </c>
      <c r="S409" s="643">
        <v>1359.1024783937653</v>
      </c>
      <c r="U409" s="639" t="s">
        <v>59</v>
      </c>
      <c r="V409" s="640">
        <v>0</v>
      </c>
      <c r="W409" s="641">
        <v>0</v>
      </c>
      <c r="X409" s="641">
        <v>0</v>
      </c>
      <c r="Y409" s="640">
        <v>0</v>
      </c>
      <c r="Z409" s="641">
        <v>764.84848484848499</v>
      </c>
      <c r="AA409" s="641">
        <v>423.19995078139567</v>
      </c>
      <c r="AB409" s="641">
        <v>256.09062969225096</v>
      </c>
      <c r="AC409" s="641">
        <v>36.108430969743218</v>
      </c>
      <c r="AD409" s="641">
        <v>0.67629573379861951</v>
      </c>
      <c r="AE409" s="641">
        <v>0.16041590589481752</v>
      </c>
      <c r="AF409" s="641">
        <v>123.16818516374138</v>
      </c>
      <c r="AG409" s="641">
        <v>30.250193334526926</v>
      </c>
      <c r="AH409" s="642">
        <v>0</v>
      </c>
      <c r="AI409" s="641">
        <v>0</v>
      </c>
      <c r="AJ409" s="641">
        <v>0</v>
      </c>
      <c r="AK409" s="643">
        <v>1634.5025864298366</v>
      </c>
    </row>
    <row r="410" spans="3:37" x14ac:dyDescent="0.2">
      <c r="C410" s="639" t="s">
        <v>60</v>
      </c>
      <c r="D410" s="640">
        <v>46.099891323621534</v>
      </c>
      <c r="E410" s="641">
        <v>464.7986487</v>
      </c>
      <c r="F410" s="641">
        <v>48.534128715927544</v>
      </c>
      <c r="G410" s="640">
        <v>345.55093723566335</v>
      </c>
      <c r="H410" s="641">
        <v>0</v>
      </c>
      <c r="I410" s="641">
        <v>0</v>
      </c>
      <c r="J410" s="641">
        <v>5.7213435879484642</v>
      </c>
      <c r="K410" s="641">
        <v>0</v>
      </c>
      <c r="L410" s="641">
        <v>3.0565993326094723</v>
      </c>
      <c r="M410" s="641">
        <v>0</v>
      </c>
      <c r="N410" s="641">
        <v>0</v>
      </c>
      <c r="O410" s="641">
        <v>0</v>
      </c>
      <c r="P410" s="642">
        <v>0</v>
      </c>
      <c r="Q410" s="641">
        <v>0</v>
      </c>
      <c r="R410" s="641">
        <v>0</v>
      </c>
      <c r="S410" s="643">
        <v>913.76154889577037</v>
      </c>
      <c r="U410" s="639" t="s">
        <v>60</v>
      </c>
      <c r="V410" s="640">
        <v>4.5871215860372576</v>
      </c>
      <c r="W410" s="641">
        <v>113.59926767676768</v>
      </c>
      <c r="X410" s="641">
        <v>20.138935454909394</v>
      </c>
      <c r="Y410" s="640">
        <v>0.51452681198611927</v>
      </c>
      <c r="Z410" s="641">
        <v>0</v>
      </c>
      <c r="AA410" s="641">
        <v>0</v>
      </c>
      <c r="AB410" s="641">
        <v>5.7213435879484642</v>
      </c>
      <c r="AC410" s="641">
        <v>0</v>
      </c>
      <c r="AD410" s="641">
        <v>3.0565993326094723</v>
      </c>
      <c r="AE410" s="641">
        <v>0</v>
      </c>
      <c r="AF410" s="641">
        <v>0</v>
      </c>
      <c r="AG410" s="641">
        <v>0</v>
      </c>
      <c r="AH410" s="642">
        <v>0</v>
      </c>
      <c r="AI410" s="641">
        <v>0</v>
      </c>
      <c r="AJ410" s="641">
        <v>0</v>
      </c>
      <c r="AK410" s="643">
        <v>147.6177944502584</v>
      </c>
    </row>
    <row r="411" spans="3:37" x14ac:dyDescent="0.2">
      <c r="C411" s="639" t="s">
        <v>61</v>
      </c>
      <c r="D411" s="640">
        <v>0</v>
      </c>
      <c r="E411" s="641">
        <v>0</v>
      </c>
      <c r="F411" s="641">
        <v>0</v>
      </c>
      <c r="G411" s="640">
        <v>0</v>
      </c>
      <c r="H411" s="641">
        <v>0</v>
      </c>
      <c r="I411" s="641">
        <v>0</v>
      </c>
      <c r="J411" s="641">
        <v>0</v>
      </c>
      <c r="K411" s="641">
        <v>0</v>
      </c>
      <c r="L411" s="641">
        <v>0</v>
      </c>
      <c r="M411" s="641">
        <v>0</v>
      </c>
      <c r="N411" s="641">
        <v>0</v>
      </c>
      <c r="O411" s="641">
        <v>0</v>
      </c>
      <c r="P411" s="642">
        <v>-12.7985093299136</v>
      </c>
      <c r="Q411" s="641">
        <v>0</v>
      </c>
      <c r="R411" s="641">
        <v>0</v>
      </c>
      <c r="S411" s="643">
        <v>-12.7985093299136</v>
      </c>
      <c r="U411" s="639" t="s">
        <v>61</v>
      </c>
      <c r="V411" s="640">
        <v>0</v>
      </c>
      <c r="W411" s="641">
        <v>0</v>
      </c>
      <c r="X411" s="641">
        <v>0</v>
      </c>
      <c r="Y411" s="640">
        <v>0</v>
      </c>
      <c r="Z411" s="641">
        <v>0</v>
      </c>
      <c r="AA411" s="641">
        <v>0</v>
      </c>
      <c r="AB411" s="641">
        <v>0</v>
      </c>
      <c r="AC411" s="641">
        <v>0</v>
      </c>
      <c r="AD411" s="641">
        <v>0</v>
      </c>
      <c r="AE411" s="641">
        <v>0</v>
      </c>
      <c r="AF411" s="641">
        <v>0</v>
      </c>
      <c r="AG411" s="641">
        <v>0</v>
      </c>
      <c r="AH411" s="642">
        <v>-41.639986107117011</v>
      </c>
      <c r="AI411" s="641">
        <v>0</v>
      </c>
      <c r="AJ411" s="641">
        <v>0</v>
      </c>
      <c r="AK411" s="643">
        <v>-41.639986107117011</v>
      </c>
    </row>
    <row r="412" spans="3:37" x14ac:dyDescent="0.2">
      <c r="C412" s="639" t="s">
        <v>62</v>
      </c>
      <c r="D412" s="640">
        <v>0</v>
      </c>
      <c r="E412" s="641">
        <v>0</v>
      </c>
      <c r="F412" s="641">
        <v>-14.431507774067331</v>
      </c>
      <c r="G412" s="640">
        <v>0</v>
      </c>
      <c r="H412" s="641">
        <v>0</v>
      </c>
      <c r="I412" s="641">
        <v>0</v>
      </c>
      <c r="J412" s="641">
        <v>0</v>
      </c>
      <c r="K412" s="641">
        <v>0</v>
      </c>
      <c r="L412" s="641">
        <v>0</v>
      </c>
      <c r="M412" s="641">
        <v>0</v>
      </c>
      <c r="N412" s="641">
        <v>0</v>
      </c>
      <c r="O412" s="641">
        <v>0</v>
      </c>
      <c r="P412" s="642">
        <v>0</v>
      </c>
      <c r="Q412" s="641">
        <v>0</v>
      </c>
      <c r="R412" s="641">
        <v>0</v>
      </c>
      <c r="S412" s="643">
        <v>-14.431507774067331</v>
      </c>
      <c r="U412" s="639" t="s">
        <v>62</v>
      </c>
      <c r="V412" s="640">
        <v>0</v>
      </c>
      <c r="W412" s="641">
        <v>0</v>
      </c>
      <c r="X412" s="641">
        <v>-5.3013702027186111</v>
      </c>
      <c r="Y412" s="640">
        <v>0</v>
      </c>
      <c r="Z412" s="641">
        <v>0</v>
      </c>
      <c r="AA412" s="641">
        <v>0</v>
      </c>
      <c r="AB412" s="641">
        <v>0</v>
      </c>
      <c r="AC412" s="641">
        <v>0</v>
      </c>
      <c r="AD412" s="641">
        <v>0</v>
      </c>
      <c r="AE412" s="641">
        <v>-5.1137296191648005</v>
      </c>
      <c r="AF412" s="641">
        <v>0</v>
      </c>
      <c r="AG412" s="641">
        <v>0</v>
      </c>
      <c r="AH412" s="642">
        <v>0</v>
      </c>
      <c r="AI412" s="641">
        <v>0</v>
      </c>
      <c r="AJ412" s="641">
        <v>0</v>
      </c>
      <c r="AK412" s="643">
        <v>-10.415099821883413</v>
      </c>
    </row>
    <row r="413" spans="3:37" x14ac:dyDescent="0.2">
      <c r="C413" s="639" t="s">
        <v>63</v>
      </c>
      <c r="D413" s="640">
        <v>0</v>
      </c>
      <c r="E413" s="641">
        <v>0</v>
      </c>
      <c r="F413" s="641">
        <v>-93.443844381495637</v>
      </c>
      <c r="G413" s="640">
        <v>0</v>
      </c>
      <c r="H413" s="641">
        <v>0</v>
      </c>
      <c r="I413" s="641">
        <v>0</v>
      </c>
      <c r="J413" s="641">
        <v>0</v>
      </c>
      <c r="K413" s="641">
        <v>0</v>
      </c>
      <c r="L413" s="641">
        <v>-0.96889726774865159</v>
      </c>
      <c r="M413" s="641">
        <v>0</v>
      </c>
      <c r="N413" s="641">
        <v>0</v>
      </c>
      <c r="O413" s="641">
        <v>0</v>
      </c>
      <c r="P413" s="642">
        <v>0</v>
      </c>
      <c r="Q413" s="641">
        <v>0</v>
      </c>
      <c r="R413" s="641">
        <v>0</v>
      </c>
      <c r="S413" s="643">
        <v>-94.412741649244282</v>
      </c>
      <c r="U413" s="639" t="s">
        <v>63</v>
      </c>
      <c r="V413" s="640">
        <v>0</v>
      </c>
      <c r="W413" s="641">
        <v>0</v>
      </c>
      <c r="X413" s="641">
        <v>-35.841594545498886</v>
      </c>
      <c r="Y413" s="640">
        <v>0</v>
      </c>
      <c r="Z413" s="641">
        <v>0</v>
      </c>
      <c r="AA413" s="641">
        <v>0</v>
      </c>
      <c r="AB413" s="641">
        <v>0</v>
      </c>
      <c r="AC413" s="641">
        <v>0</v>
      </c>
      <c r="AD413" s="641">
        <v>-46.567340427053182</v>
      </c>
      <c r="AE413" s="641">
        <v>0</v>
      </c>
      <c r="AF413" s="641">
        <v>0</v>
      </c>
      <c r="AG413" s="641">
        <v>0</v>
      </c>
      <c r="AH413" s="642">
        <v>0</v>
      </c>
      <c r="AI413" s="641">
        <v>0</v>
      </c>
      <c r="AJ413" s="641">
        <v>0</v>
      </c>
      <c r="AK413" s="643">
        <v>-82.408934972552061</v>
      </c>
    </row>
    <row r="414" spans="3:37" x14ac:dyDescent="0.2">
      <c r="C414" s="639" t="s">
        <v>64</v>
      </c>
      <c r="D414" s="640">
        <v>0</v>
      </c>
      <c r="E414" s="641">
        <v>0</v>
      </c>
      <c r="F414" s="641">
        <v>0</v>
      </c>
      <c r="G414" s="640">
        <v>0</v>
      </c>
      <c r="H414" s="641">
        <v>0</v>
      </c>
      <c r="I414" s="641">
        <v>0</v>
      </c>
      <c r="J414" s="641">
        <v>0</v>
      </c>
      <c r="K414" s="641">
        <v>0</v>
      </c>
      <c r="L414" s="641">
        <v>0</v>
      </c>
      <c r="M414" s="641">
        <v>0</v>
      </c>
      <c r="N414" s="641">
        <v>0</v>
      </c>
      <c r="O414" s="641">
        <v>0</v>
      </c>
      <c r="P414" s="642">
        <v>0</v>
      </c>
      <c r="Q414" s="641">
        <v>0</v>
      </c>
      <c r="R414" s="641">
        <v>0</v>
      </c>
      <c r="S414" s="643">
        <v>0</v>
      </c>
      <c r="U414" s="639" t="s">
        <v>64</v>
      </c>
      <c r="V414" s="640">
        <v>0</v>
      </c>
      <c r="W414" s="641">
        <v>0</v>
      </c>
      <c r="X414" s="641">
        <v>0</v>
      </c>
      <c r="Y414" s="640">
        <v>0</v>
      </c>
      <c r="Z414" s="641">
        <v>0</v>
      </c>
      <c r="AA414" s="641">
        <v>0</v>
      </c>
      <c r="AB414" s="641">
        <v>0</v>
      </c>
      <c r="AC414" s="641">
        <v>0</v>
      </c>
      <c r="AD414" s="641">
        <v>0</v>
      </c>
      <c r="AE414" s="641">
        <v>0</v>
      </c>
      <c r="AF414" s="641">
        <v>0</v>
      </c>
      <c r="AG414" s="641">
        <v>0</v>
      </c>
      <c r="AH414" s="642">
        <v>0</v>
      </c>
      <c r="AI414" s="641">
        <v>0</v>
      </c>
      <c r="AJ414" s="641">
        <v>0</v>
      </c>
      <c r="AK414" s="643">
        <v>0</v>
      </c>
    </row>
    <row r="415" spans="3:37" x14ac:dyDescent="0.2">
      <c r="C415" s="644" t="s">
        <v>65</v>
      </c>
      <c r="D415" s="645">
        <v>46.099891323621534</v>
      </c>
      <c r="E415" s="645">
        <v>464.7986487</v>
      </c>
      <c r="F415" s="645">
        <v>-59.341223439635421</v>
      </c>
      <c r="G415" s="645">
        <v>345.55093723566335</v>
      </c>
      <c r="H415" s="645">
        <v>727.27272727272737</v>
      </c>
      <c r="I415" s="645">
        <v>338.37995078139568</v>
      </c>
      <c r="J415" s="645">
        <v>190.84741038091113</v>
      </c>
      <c r="K415" s="645">
        <v>19.887492227897642</v>
      </c>
      <c r="L415" s="645">
        <v>2.7639977986594397</v>
      </c>
      <c r="M415" s="645">
        <v>0.16041590589481752</v>
      </c>
      <c r="N415" s="645">
        <v>75.083762899489528</v>
      </c>
      <c r="O415" s="645">
        <v>12.515766779598991</v>
      </c>
      <c r="P415" s="645">
        <v>-12.7985093299136</v>
      </c>
      <c r="Q415" s="645">
        <v>0</v>
      </c>
      <c r="R415" s="645">
        <v>0</v>
      </c>
      <c r="S415" s="645">
        <v>2151.2212685363102</v>
      </c>
      <c r="U415" s="644" t="s">
        <v>65</v>
      </c>
      <c r="V415" s="645">
        <v>4.5871215860372576</v>
      </c>
      <c r="W415" s="645">
        <v>113.59926767676768</v>
      </c>
      <c r="X415" s="645">
        <v>-21.004029293308101</v>
      </c>
      <c r="Y415" s="645">
        <v>0.51452681198611927</v>
      </c>
      <c r="Z415" s="645">
        <v>764.84848484848499</v>
      </c>
      <c r="AA415" s="645">
        <v>423.19995078139567</v>
      </c>
      <c r="AB415" s="645">
        <v>261.81197328019942</v>
      </c>
      <c r="AC415" s="645">
        <v>36.108430969743218</v>
      </c>
      <c r="AD415" s="645">
        <v>-42.834445360645091</v>
      </c>
      <c r="AE415" s="645">
        <v>-4.9533137132699832</v>
      </c>
      <c r="AF415" s="645">
        <v>123.16818516374138</v>
      </c>
      <c r="AG415" s="645">
        <v>30.250193334526926</v>
      </c>
      <c r="AH415" s="645">
        <v>-41.639986107117011</v>
      </c>
      <c r="AI415" s="645">
        <v>0</v>
      </c>
      <c r="AJ415" s="645">
        <v>0</v>
      </c>
      <c r="AK415" s="645">
        <v>1647.6563599785427</v>
      </c>
    </row>
    <row r="416" spans="3:37" x14ac:dyDescent="0.2">
      <c r="C416" s="634"/>
      <c r="D416" s="634">
        <v>0</v>
      </c>
      <c r="E416" s="634">
        <v>0</v>
      </c>
      <c r="F416" s="634">
        <v>0</v>
      </c>
      <c r="G416" s="634">
        <v>0</v>
      </c>
      <c r="H416" s="634">
        <v>0</v>
      </c>
      <c r="I416" s="634">
        <v>0</v>
      </c>
      <c r="J416" s="634">
        <v>0</v>
      </c>
      <c r="K416" s="634">
        <v>0</v>
      </c>
      <c r="L416" s="634">
        <v>0</v>
      </c>
      <c r="M416" s="634">
        <v>0</v>
      </c>
      <c r="N416" s="634">
        <v>0</v>
      </c>
      <c r="O416" s="634">
        <v>0</v>
      </c>
      <c r="P416" s="634">
        <v>0</v>
      </c>
      <c r="Q416" s="634">
        <v>0</v>
      </c>
      <c r="R416" s="634">
        <v>0</v>
      </c>
      <c r="S416" s="634">
        <v>0</v>
      </c>
      <c r="U416" s="634"/>
      <c r="V416" s="634">
        <v>0</v>
      </c>
      <c r="W416" s="634">
        <v>0</v>
      </c>
      <c r="X416" s="634">
        <v>0</v>
      </c>
      <c r="Y416" s="634">
        <v>0</v>
      </c>
      <c r="Z416" s="634">
        <v>0</v>
      </c>
      <c r="AA416" s="634">
        <v>0</v>
      </c>
      <c r="AB416" s="634">
        <v>0</v>
      </c>
      <c r="AC416" s="634">
        <v>0</v>
      </c>
      <c r="AD416" s="634">
        <v>0</v>
      </c>
      <c r="AE416" s="634">
        <v>0</v>
      </c>
      <c r="AF416" s="634">
        <v>0</v>
      </c>
      <c r="AG416" s="634">
        <v>0</v>
      </c>
      <c r="AH416" s="634">
        <v>0</v>
      </c>
      <c r="AI416" s="634">
        <v>0</v>
      </c>
      <c r="AJ416" s="634">
        <v>0</v>
      </c>
      <c r="AK416" s="634">
        <v>0</v>
      </c>
    </row>
    <row r="417" spans="3:37" x14ac:dyDescent="0.2">
      <c r="C417" s="646" t="s">
        <v>67</v>
      </c>
      <c r="D417" s="640">
        <v>0</v>
      </c>
      <c r="E417" s="647">
        <v>0</v>
      </c>
      <c r="F417" s="647">
        <v>0</v>
      </c>
      <c r="G417" s="640">
        <v>0</v>
      </c>
      <c r="H417" s="640">
        <v>0</v>
      </c>
      <c r="I417" s="640">
        <v>0</v>
      </c>
      <c r="J417" s="640">
        <v>0</v>
      </c>
      <c r="K417" s="640">
        <v>0</v>
      </c>
      <c r="L417" s="640">
        <v>0</v>
      </c>
      <c r="M417" s="640">
        <v>0</v>
      </c>
      <c r="N417" s="640">
        <v>0</v>
      </c>
      <c r="O417" s="640">
        <v>0</v>
      </c>
      <c r="P417" s="640">
        <v>0</v>
      </c>
      <c r="Q417" s="640">
        <v>0</v>
      </c>
      <c r="R417" s="640">
        <v>0</v>
      </c>
      <c r="S417" s="648">
        <v>0</v>
      </c>
      <c r="U417" s="646" t="s">
        <v>67</v>
      </c>
      <c r="V417" s="640">
        <v>0</v>
      </c>
      <c r="W417" s="647">
        <v>0</v>
      </c>
      <c r="X417" s="647">
        <v>0</v>
      </c>
      <c r="Y417" s="640">
        <v>0</v>
      </c>
      <c r="Z417" s="640">
        <v>0</v>
      </c>
      <c r="AA417" s="640">
        <v>0</v>
      </c>
      <c r="AB417" s="640">
        <v>0</v>
      </c>
      <c r="AC417" s="640">
        <v>0</v>
      </c>
      <c r="AD417" s="640">
        <v>0</v>
      </c>
      <c r="AE417" s="640">
        <v>0</v>
      </c>
      <c r="AF417" s="640">
        <v>0</v>
      </c>
      <c r="AG417" s="640">
        <v>0</v>
      </c>
      <c r="AH417" s="640">
        <v>0</v>
      </c>
      <c r="AI417" s="640">
        <v>0</v>
      </c>
      <c r="AJ417" s="640">
        <v>0</v>
      </c>
      <c r="AK417" s="648">
        <v>0</v>
      </c>
    </row>
    <row r="418" spans="3:37" x14ac:dyDescent="0.2">
      <c r="C418" s="646" t="s">
        <v>347</v>
      </c>
      <c r="D418" s="640">
        <v>2.8267856410252494</v>
      </c>
      <c r="E418" s="640">
        <v>0</v>
      </c>
      <c r="F418" s="640">
        <v>8.0599105831015567</v>
      </c>
      <c r="G418" s="640">
        <v>46.530346198952707</v>
      </c>
      <c r="H418" s="640">
        <v>727.27272727272737</v>
      </c>
      <c r="I418" s="640">
        <v>338.37995078139568</v>
      </c>
      <c r="J418" s="649">
        <v>28.452469116356035</v>
      </c>
      <c r="K418" s="649">
        <v>6.2305848357200952</v>
      </c>
      <c r="L418" s="649">
        <v>3.7328950664080915</v>
      </c>
      <c r="M418" s="649">
        <v>1.0761160081227215</v>
      </c>
      <c r="N418" s="649">
        <v>0</v>
      </c>
      <c r="O418" s="649">
        <v>7.5664382136221358</v>
      </c>
      <c r="P418" s="640">
        <v>-629.14515201417555</v>
      </c>
      <c r="Q418" s="640">
        <v>0</v>
      </c>
      <c r="R418" s="640">
        <v>0</v>
      </c>
      <c r="S418" s="648">
        <v>540.98307170325586</v>
      </c>
      <c r="U418" s="646" t="s">
        <v>347</v>
      </c>
      <c r="V418" s="640">
        <v>0.62631490545869017</v>
      </c>
      <c r="W418" s="640">
        <v>0</v>
      </c>
      <c r="X418" s="640">
        <v>4.1962742194651934</v>
      </c>
      <c r="Y418" s="640">
        <v>0</v>
      </c>
      <c r="Z418" s="640">
        <v>764.84848484848499</v>
      </c>
      <c r="AA418" s="640">
        <v>423.19995078139567</v>
      </c>
      <c r="AB418" s="649">
        <v>22.478183728982629</v>
      </c>
      <c r="AC418" s="649">
        <v>5.0926371917675839</v>
      </c>
      <c r="AD418" s="649">
        <v>3.7328950664080915</v>
      </c>
      <c r="AE418" s="649">
        <v>0.79318377276994545</v>
      </c>
      <c r="AF418" s="649">
        <v>0</v>
      </c>
      <c r="AG418" s="649">
        <v>7.5664382136221358</v>
      </c>
      <c r="AH418" s="640">
        <v>-696.77718495359215</v>
      </c>
      <c r="AI418" s="640">
        <v>0</v>
      </c>
      <c r="AJ418" s="640">
        <v>3.75</v>
      </c>
      <c r="AK418" s="648">
        <v>539.50717777476291</v>
      </c>
    </row>
    <row r="419" spans="3:37" x14ac:dyDescent="0.2">
      <c r="C419" s="646" t="s">
        <v>348</v>
      </c>
      <c r="D419" s="640">
        <v>0</v>
      </c>
      <c r="E419" s="640">
        <v>0</v>
      </c>
      <c r="F419" s="640">
        <v>0</v>
      </c>
      <c r="G419" s="640">
        <v>14.783508517784153</v>
      </c>
      <c r="H419" s="640">
        <v>0</v>
      </c>
      <c r="I419" s="640">
        <v>0</v>
      </c>
      <c r="J419" s="649">
        <v>12.163067049530284</v>
      </c>
      <c r="K419" s="649">
        <v>11.829214997579474</v>
      </c>
      <c r="L419" s="649">
        <v>0</v>
      </c>
      <c r="M419" s="649">
        <v>0.31740804730172578</v>
      </c>
      <c r="N419" s="649">
        <v>0</v>
      </c>
      <c r="O419" s="649">
        <v>2.086875550337155</v>
      </c>
      <c r="P419" s="640">
        <v>0</v>
      </c>
      <c r="Q419" s="640">
        <v>-37.667878685561853</v>
      </c>
      <c r="R419" s="640">
        <v>0</v>
      </c>
      <c r="S419" s="648">
        <v>3.5121954769709394</v>
      </c>
      <c r="U419" s="646" t="s">
        <v>348</v>
      </c>
      <c r="V419" s="640">
        <v>0</v>
      </c>
      <c r="W419" s="640">
        <v>0</v>
      </c>
      <c r="X419" s="640">
        <v>0</v>
      </c>
      <c r="Y419" s="640">
        <v>0</v>
      </c>
      <c r="Z419" s="640">
        <v>0</v>
      </c>
      <c r="AA419" s="640">
        <v>0</v>
      </c>
      <c r="AB419" s="649">
        <v>28.523630086620891</v>
      </c>
      <c r="AC419" s="649">
        <v>26.288013396118924</v>
      </c>
      <c r="AD419" s="649">
        <v>0</v>
      </c>
      <c r="AE419" s="649">
        <v>10.611192177482708</v>
      </c>
      <c r="AF419" s="649">
        <v>0</v>
      </c>
      <c r="AG419" s="649">
        <v>14.121402979798832</v>
      </c>
      <c r="AH419" s="640">
        <v>0</v>
      </c>
      <c r="AI419" s="640">
        <v>-74.176724382187018</v>
      </c>
      <c r="AJ419" s="640">
        <v>0</v>
      </c>
      <c r="AK419" s="648">
        <v>5.3675142578343316</v>
      </c>
    </row>
    <row r="420" spans="3:37" x14ac:dyDescent="0.2">
      <c r="C420" s="646" t="s">
        <v>349</v>
      </c>
      <c r="D420" s="640">
        <v>0</v>
      </c>
      <c r="E420" s="640">
        <v>0</v>
      </c>
      <c r="F420" s="640">
        <v>0</v>
      </c>
      <c r="G420" s="640">
        <v>0</v>
      </c>
      <c r="H420" s="640">
        <v>0</v>
      </c>
      <c r="I420" s="640">
        <v>0</v>
      </c>
      <c r="J420" s="650">
        <v>7.1450792385721682</v>
      </c>
      <c r="K420" s="650">
        <v>0</v>
      </c>
      <c r="L420" s="650">
        <v>0</v>
      </c>
      <c r="M420" s="650">
        <v>-6.8235506728364204</v>
      </c>
      <c r="N420" s="650">
        <v>0</v>
      </c>
      <c r="O420" s="650">
        <v>0</v>
      </c>
      <c r="P420" s="640">
        <v>0</v>
      </c>
      <c r="Q420" s="640">
        <v>0</v>
      </c>
      <c r="R420" s="640">
        <v>0</v>
      </c>
      <c r="S420" s="648">
        <v>0.32152856573574784</v>
      </c>
      <c r="U420" s="646" t="s">
        <v>349</v>
      </c>
      <c r="V420" s="640">
        <v>0</v>
      </c>
      <c r="W420" s="640">
        <v>0</v>
      </c>
      <c r="X420" s="640">
        <v>0</v>
      </c>
      <c r="Y420" s="640">
        <v>0</v>
      </c>
      <c r="Z420" s="640">
        <v>0</v>
      </c>
      <c r="AA420" s="640">
        <v>0</v>
      </c>
      <c r="AB420" s="650">
        <v>137.81211213320262</v>
      </c>
      <c r="AC420" s="650">
        <v>0</v>
      </c>
      <c r="AD420" s="650">
        <v>0</v>
      </c>
      <c r="AE420" s="650">
        <v>-131.61056708720849</v>
      </c>
      <c r="AF420" s="650">
        <v>0</v>
      </c>
      <c r="AG420" s="650">
        <v>0</v>
      </c>
      <c r="AH420" s="640">
        <v>0</v>
      </c>
      <c r="AI420" s="640">
        <v>0</v>
      </c>
      <c r="AJ420" s="640">
        <v>0</v>
      </c>
      <c r="AK420" s="648">
        <v>6.2015450459941235</v>
      </c>
    </row>
    <row r="421" spans="3:37" x14ac:dyDescent="0.2">
      <c r="C421" s="646" t="s">
        <v>350</v>
      </c>
      <c r="D421" s="640">
        <v>0</v>
      </c>
      <c r="E421" s="640">
        <v>0</v>
      </c>
      <c r="F421" s="640">
        <v>0</v>
      </c>
      <c r="G421" s="640">
        <v>0</v>
      </c>
      <c r="H421" s="640">
        <v>0</v>
      </c>
      <c r="I421" s="640">
        <v>0</v>
      </c>
      <c r="J421" s="640">
        <v>0</v>
      </c>
      <c r="K421" s="640">
        <v>0</v>
      </c>
      <c r="L421" s="640">
        <v>0</v>
      </c>
      <c r="M421" s="640">
        <v>0</v>
      </c>
      <c r="N421" s="640">
        <v>0</v>
      </c>
      <c r="O421" s="640">
        <v>0</v>
      </c>
      <c r="P421" s="640">
        <v>0</v>
      </c>
      <c r="Q421" s="640">
        <v>0</v>
      </c>
      <c r="R421" s="640">
        <v>0</v>
      </c>
      <c r="S421" s="648">
        <v>0</v>
      </c>
      <c r="U421" s="646" t="s">
        <v>350</v>
      </c>
      <c r="V421" s="640">
        <v>0</v>
      </c>
      <c r="W421" s="640">
        <v>0</v>
      </c>
      <c r="X421" s="640">
        <v>0</v>
      </c>
      <c r="Y421" s="640">
        <v>0</v>
      </c>
      <c r="Z421" s="640">
        <v>0</v>
      </c>
      <c r="AA421" s="640">
        <v>0</v>
      </c>
      <c r="AB421" s="640">
        <v>0</v>
      </c>
      <c r="AC421" s="640">
        <v>0</v>
      </c>
      <c r="AD421" s="640">
        <v>0</v>
      </c>
      <c r="AE421" s="640">
        <v>0</v>
      </c>
      <c r="AF421" s="640">
        <v>0</v>
      </c>
      <c r="AG421" s="640">
        <v>0</v>
      </c>
      <c r="AH421" s="640">
        <v>0</v>
      </c>
      <c r="AI421" s="640">
        <v>0</v>
      </c>
      <c r="AJ421" s="640">
        <v>0</v>
      </c>
      <c r="AK421" s="648">
        <v>0</v>
      </c>
    </row>
    <row r="422" spans="3:37" x14ac:dyDescent="0.2">
      <c r="C422" s="646" t="s">
        <v>72</v>
      </c>
      <c r="D422" s="640">
        <v>0</v>
      </c>
      <c r="E422" s="640">
        <v>481.48200000000003</v>
      </c>
      <c r="F422" s="640">
        <v>-476.66718000000003</v>
      </c>
      <c r="G422" s="640">
        <v>0</v>
      </c>
      <c r="H422" s="640">
        <v>0</v>
      </c>
      <c r="I422" s="640">
        <v>0</v>
      </c>
      <c r="J422" s="640">
        <v>0</v>
      </c>
      <c r="K422" s="640">
        <v>0</v>
      </c>
      <c r="L422" s="640">
        <v>0</v>
      </c>
      <c r="M422" s="640">
        <v>0</v>
      </c>
      <c r="N422" s="640">
        <v>0</v>
      </c>
      <c r="O422" s="640">
        <v>0</v>
      </c>
      <c r="P422" s="640">
        <v>0</v>
      </c>
      <c r="Q422" s="640">
        <v>0</v>
      </c>
      <c r="R422" s="640">
        <v>0</v>
      </c>
      <c r="S422" s="648">
        <v>4.8148199999999974</v>
      </c>
      <c r="U422" s="646" t="s">
        <v>72</v>
      </c>
      <c r="V422" s="640">
        <v>0</v>
      </c>
      <c r="W422" s="640">
        <v>117.67676767676768</v>
      </c>
      <c r="X422" s="640">
        <v>-116.5</v>
      </c>
      <c r="Y422" s="640">
        <v>0</v>
      </c>
      <c r="Z422" s="640">
        <v>0</v>
      </c>
      <c r="AA422" s="640">
        <v>0</v>
      </c>
      <c r="AB422" s="640">
        <v>0</v>
      </c>
      <c r="AC422" s="640">
        <v>0</v>
      </c>
      <c r="AD422" s="640">
        <v>0</v>
      </c>
      <c r="AE422" s="640">
        <v>0</v>
      </c>
      <c r="AF422" s="640">
        <v>0</v>
      </c>
      <c r="AG422" s="640">
        <v>0</v>
      </c>
      <c r="AH422" s="640">
        <v>0</v>
      </c>
      <c r="AI422" s="640">
        <v>0</v>
      </c>
      <c r="AJ422" s="640">
        <v>0</v>
      </c>
      <c r="AK422" s="648">
        <v>1.1767676767676818</v>
      </c>
    </row>
    <row r="423" spans="3:37" x14ac:dyDescent="0.2">
      <c r="C423" s="646" t="s">
        <v>351</v>
      </c>
      <c r="D423" s="640">
        <v>0</v>
      </c>
      <c r="E423" s="640">
        <v>0</v>
      </c>
      <c r="F423" s="640">
        <v>0</v>
      </c>
      <c r="G423" s="640">
        <v>0</v>
      </c>
      <c r="H423" s="640">
        <v>0</v>
      </c>
      <c r="I423" s="640">
        <v>0</v>
      </c>
      <c r="J423" s="640">
        <v>26.125483595276659</v>
      </c>
      <c r="K423" s="640">
        <v>0</v>
      </c>
      <c r="L423" s="640">
        <v>-26.125483595276659</v>
      </c>
      <c r="M423" s="640">
        <v>0</v>
      </c>
      <c r="N423" s="640">
        <v>0</v>
      </c>
      <c r="O423" s="640">
        <v>0</v>
      </c>
      <c r="P423" s="640">
        <v>0</v>
      </c>
      <c r="Q423" s="640">
        <v>0</v>
      </c>
      <c r="R423" s="640">
        <v>0</v>
      </c>
      <c r="S423" s="648">
        <v>0</v>
      </c>
      <c r="U423" s="646" t="s">
        <v>351</v>
      </c>
      <c r="V423" s="640">
        <v>0</v>
      </c>
      <c r="W423" s="640">
        <v>0</v>
      </c>
      <c r="X423" s="640">
        <v>0</v>
      </c>
      <c r="Y423" s="640">
        <v>0</v>
      </c>
      <c r="Z423" s="640">
        <v>0</v>
      </c>
      <c r="AA423" s="640">
        <v>0</v>
      </c>
      <c r="AB423" s="640" t="e">
        <v>#VALUE!</v>
      </c>
      <c r="AC423" s="640">
        <v>0</v>
      </c>
      <c r="AD423" s="640">
        <v>-100.69655001825291</v>
      </c>
      <c r="AE423" s="640">
        <v>0</v>
      </c>
      <c r="AF423" s="640">
        <v>0</v>
      </c>
      <c r="AG423" s="640">
        <v>0</v>
      </c>
      <c r="AH423" s="640">
        <v>0</v>
      </c>
      <c r="AI423" s="640">
        <v>0</v>
      </c>
      <c r="AJ423" s="640">
        <v>0</v>
      </c>
      <c r="AK423" s="648">
        <v>-100.69655001825291</v>
      </c>
    </row>
    <row r="424" spans="3:37" x14ac:dyDescent="0.2">
      <c r="C424" s="646" t="s">
        <v>352</v>
      </c>
      <c r="D424" s="640">
        <v>0</v>
      </c>
      <c r="E424" s="640">
        <v>0</v>
      </c>
      <c r="F424" s="640">
        <v>0</v>
      </c>
      <c r="G424" s="640">
        <v>0</v>
      </c>
      <c r="H424" s="640">
        <v>0</v>
      </c>
      <c r="I424" s="640">
        <v>0</v>
      </c>
      <c r="J424" s="640">
        <v>0</v>
      </c>
      <c r="K424" s="640">
        <v>0</v>
      </c>
      <c r="L424" s="640">
        <v>0</v>
      </c>
      <c r="M424" s="640">
        <v>0</v>
      </c>
      <c r="N424" s="640">
        <v>0</v>
      </c>
      <c r="O424" s="640">
        <v>0</v>
      </c>
      <c r="P424" s="640">
        <v>0</v>
      </c>
      <c r="Q424" s="640">
        <v>0</v>
      </c>
      <c r="R424" s="640">
        <v>0</v>
      </c>
      <c r="S424" s="648">
        <v>0</v>
      </c>
      <c r="U424" s="646" t="s">
        <v>352</v>
      </c>
      <c r="V424" s="640">
        <v>0</v>
      </c>
      <c r="W424" s="640">
        <v>0</v>
      </c>
      <c r="X424" s="640">
        <v>0</v>
      </c>
      <c r="Y424" s="640">
        <v>0</v>
      </c>
      <c r="Z424" s="640">
        <v>0</v>
      </c>
      <c r="AA424" s="640">
        <v>0</v>
      </c>
      <c r="AB424" s="640">
        <v>0</v>
      </c>
      <c r="AC424" s="640">
        <v>0</v>
      </c>
      <c r="AD424" s="640">
        <v>-28.460377640694865</v>
      </c>
      <c r="AE424" s="640">
        <v>0</v>
      </c>
      <c r="AF424" s="640">
        <v>0</v>
      </c>
      <c r="AG424" s="640">
        <v>0</v>
      </c>
      <c r="AH424" s="640">
        <v>0</v>
      </c>
      <c r="AI424" s="640">
        <v>0</v>
      </c>
      <c r="AJ424" s="640">
        <v>0</v>
      </c>
      <c r="AK424" s="648">
        <v>-28.460377640694865</v>
      </c>
    </row>
    <row r="425" spans="3:37" x14ac:dyDescent="0.2">
      <c r="C425" s="646" t="s">
        <v>73</v>
      </c>
      <c r="D425" s="640">
        <v>0</v>
      </c>
      <c r="E425" s="640">
        <v>0</v>
      </c>
      <c r="F425" s="640">
        <v>0</v>
      </c>
      <c r="G425" s="640">
        <v>8.6128889644156494</v>
      </c>
      <c r="H425" s="640">
        <v>0</v>
      </c>
      <c r="I425" s="640">
        <v>0</v>
      </c>
      <c r="J425" s="640">
        <v>0</v>
      </c>
      <c r="K425" s="640">
        <v>0.10101910584583218</v>
      </c>
      <c r="L425" s="640">
        <v>0</v>
      </c>
      <c r="M425" s="640">
        <v>0.17577324417174797</v>
      </c>
      <c r="N425" s="640">
        <v>0</v>
      </c>
      <c r="O425" s="640">
        <v>0</v>
      </c>
      <c r="P425" s="640">
        <v>1.1785562348680418</v>
      </c>
      <c r="Q425" s="640">
        <v>0</v>
      </c>
      <c r="R425" s="640">
        <v>-7.071337409208251</v>
      </c>
      <c r="S425" s="648">
        <v>2.99690014009302</v>
      </c>
      <c r="U425" s="646" t="s">
        <v>73</v>
      </c>
      <c r="V425" s="640">
        <v>0</v>
      </c>
      <c r="W425" s="640">
        <v>0</v>
      </c>
      <c r="X425" s="640">
        <v>0</v>
      </c>
      <c r="Y425" s="640">
        <v>0</v>
      </c>
      <c r="Z425" s="640">
        <v>0</v>
      </c>
      <c r="AA425" s="640">
        <v>0</v>
      </c>
      <c r="AB425" s="640">
        <v>0</v>
      </c>
      <c r="AC425" s="640">
        <v>0.58294529496624936</v>
      </c>
      <c r="AD425" s="640">
        <v>0</v>
      </c>
      <c r="AE425" s="640">
        <v>0</v>
      </c>
      <c r="AF425" s="640">
        <v>0</v>
      </c>
      <c r="AG425" s="640">
        <v>0</v>
      </c>
      <c r="AH425" s="640">
        <v>56.108484640501494</v>
      </c>
      <c r="AI425" s="640">
        <v>0</v>
      </c>
      <c r="AJ425" s="640">
        <v>-40.806170647637451</v>
      </c>
      <c r="AK425" s="648">
        <v>15.885259287830294</v>
      </c>
    </row>
    <row r="426" spans="3:37" x14ac:dyDescent="0.2">
      <c r="C426" s="646" t="s">
        <v>353</v>
      </c>
      <c r="D426" s="640">
        <v>28.51179328125</v>
      </c>
      <c r="E426" s="640">
        <v>-16.683351300000002</v>
      </c>
      <c r="F426" s="640">
        <v>21.820838094867195</v>
      </c>
      <c r="G426" s="640">
        <v>0</v>
      </c>
      <c r="H426" s="640">
        <v>0</v>
      </c>
      <c r="I426" s="640">
        <v>0</v>
      </c>
      <c r="J426" s="640">
        <v>0</v>
      </c>
      <c r="K426" s="640">
        <v>0</v>
      </c>
      <c r="L426" s="640">
        <v>0</v>
      </c>
      <c r="M426" s="640">
        <v>0</v>
      </c>
      <c r="N426" s="640">
        <v>0</v>
      </c>
      <c r="O426" s="640">
        <v>0</v>
      </c>
      <c r="P426" s="640">
        <v>0</v>
      </c>
      <c r="Q426" s="640">
        <v>0</v>
      </c>
      <c r="R426" s="640">
        <v>0</v>
      </c>
      <c r="S426" s="648">
        <v>33.649280076117194</v>
      </c>
      <c r="U426" s="646" t="s">
        <v>353</v>
      </c>
      <c r="V426" s="640">
        <v>0.72303211975097659</v>
      </c>
      <c r="W426" s="640">
        <v>-4.0775000000000006</v>
      </c>
      <c r="X426" s="640">
        <v>5.333129161634389</v>
      </c>
      <c r="Y426" s="640">
        <v>0</v>
      </c>
      <c r="Z426" s="640">
        <v>0</v>
      </c>
      <c r="AA426" s="640">
        <v>0</v>
      </c>
      <c r="AB426" s="640">
        <v>0</v>
      </c>
      <c r="AC426" s="640">
        <v>0</v>
      </c>
      <c r="AD426" s="640">
        <v>0</v>
      </c>
      <c r="AE426" s="640">
        <v>0</v>
      </c>
      <c r="AF426" s="640">
        <v>0</v>
      </c>
      <c r="AG426" s="640">
        <v>0</v>
      </c>
      <c r="AH426" s="640">
        <v>0</v>
      </c>
      <c r="AI426" s="640">
        <v>0</v>
      </c>
      <c r="AJ426" s="640">
        <v>0</v>
      </c>
      <c r="AK426" s="648">
        <v>1.978661281385365</v>
      </c>
    </row>
    <row r="427" spans="3:37" x14ac:dyDescent="0.2">
      <c r="C427" s="646" t="s">
        <v>75</v>
      </c>
      <c r="D427" s="640">
        <v>11.087919609375001</v>
      </c>
      <c r="E427" s="640">
        <v>0</v>
      </c>
      <c r="F427" s="640">
        <v>16.370388000000002</v>
      </c>
      <c r="G427" s="640">
        <v>4.6713383640000004</v>
      </c>
      <c r="H427" s="640">
        <v>0</v>
      </c>
      <c r="I427" s="640">
        <v>0</v>
      </c>
      <c r="J427" s="640">
        <v>0</v>
      </c>
      <c r="K427" s="640">
        <v>0</v>
      </c>
      <c r="L427" s="640">
        <v>0</v>
      </c>
      <c r="M427" s="640">
        <v>9.5333436000000008E-2</v>
      </c>
      <c r="N427" s="640">
        <v>0</v>
      </c>
      <c r="O427" s="640">
        <v>0</v>
      </c>
      <c r="P427" s="640">
        <v>26.129145836866744</v>
      </c>
      <c r="Q427" s="640">
        <v>0</v>
      </c>
      <c r="R427" s="640">
        <v>0</v>
      </c>
      <c r="S427" s="648">
        <v>58.35412524624175</v>
      </c>
      <c r="U427" s="646" t="s">
        <v>75</v>
      </c>
      <c r="V427" s="640">
        <v>1.73775830078125</v>
      </c>
      <c r="W427" s="640">
        <v>0</v>
      </c>
      <c r="X427" s="640">
        <v>16.370388000000002</v>
      </c>
      <c r="Y427" s="640">
        <v>0</v>
      </c>
      <c r="Z427" s="640">
        <v>0</v>
      </c>
      <c r="AA427" s="640">
        <v>0</v>
      </c>
      <c r="AB427" s="640">
        <v>0</v>
      </c>
      <c r="AC427" s="640">
        <v>0</v>
      </c>
      <c r="AD427" s="640">
        <v>0</v>
      </c>
      <c r="AE427" s="640">
        <v>4.7666718000000001</v>
      </c>
      <c r="AF427" s="640">
        <v>0</v>
      </c>
      <c r="AG427" s="640">
        <v>0</v>
      </c>
      <c r="AH427" s="640">
        <v>36.696565665655768</v>
      </c>
      <c r="AI427" s="640">
        <v>0</v>
      </c>
      <c r="AJ427" s="640">
        <v>0</v>
      </c>
      <c r="AK427" s="648">
        <v>59.571383766437016</v>
      </c>
    </row>
    <row r="428" spans="3:37" x14ac:dyDescent="0.2">
      <c r="C428" s="646" t="s">
        <v>76</v>
      </c>
      <c r="D428" s="640">
        <v>0</v>
      </c>
      <c r="E428" s="640">
        <v>0</v>
      </c>
      <c r="F428" s="640">
        <v>0</v>
      </c>
      <c r="G428" s="640">
        <v>3.9646717348100942</v>
      </c>
      <c r="H428" s="640">
        <v>0</v>
      </c>
      <c r="I428" s="640">
        <v>0</v>
      </c>
      <c r="J428" s="640">
        <v>0</v>
      </c>
      <c r="K428" s="640">
        <v>0</v>
      </c>
      <c r="L428" s="640">
        <v>0</v>
      </c>
      <c r="M428" s="640">
        <v>8.0911668057348868E-2</v>
      </c>
      <c r="N428" s="640">
        <v>0</v>
      </c>
      <c r="O428" s="640">
        <v>0</v>
      </c>
      <c r="P428" s="640">
        <v>47.131742012269626</v>
      </c>
      <c r="Q428" s="640">
        <v>2.9238621334994321</v>
      </c>
      <c r="R428" s="640">
        <v>0</v>
      </c>
      <c r="S428" s="648">
        <v>54.101187548636503</v>
      </c>
      <c r="U428" s="646" t="s">
        <v>76</v>
      </c>
      <c r="V428" s="640">
        <v>0</v>
      </c>
      <c r="W428" s="640">
        <v>0</v>
      </c>
      <c r="X428" s="640">
        <v>0</v>
      </c>
      <c r="Y428" s="640">
        <v>0</v>
      </c>
      <c r="Z428" s="640">
        <v>0</v>
      </c>
      <c r="AA428" s="640">
        <v>0</v>
      </c>
      <c r="AB428" s="640">
        <v>0</v>
      </c>
      <c r="AC428" s="640">
        <v>0</v>
      </c>
      <c r="AD428" s="640">
        <v>0</v>
      </c>
      <c r="AE428" s="640">
        <v>1.5605996097297452</v>
      </c>
      <c r="AF428" s="640">
        <v>0</v>
      </c>
      <c r="AG428" s="640">
        <v>0</v>
      </c>
      <c r="AH428" s="640">
        <v>50.104610120731024</v>
      </c>
      <c r="AI428" s="640">
        <v>5.7529608775183565</v>
      </c>
      <c r="AJ428" s="640">
        <v>0</v>
      </c>
      <c r="AK428" s="648">
        <v>57.418170607979121</v>
      </c>
    </row>
    <row r="429" spans="3:37" x14ac:dyDescent="0.2">
      <c r="C429" s="644" t="s">
        <v>77</v>
      </c>
      <c r="D429" s="645">
        <v>42.426498531650253</v>
      </c>
      <c r="E429" s="645">
        <v>464.7986487</v>
      </c>
      <c r="F429" s="645">
        <v>-430.41604332203127</v>
      </c>
      <c r="G429" s="645">
        <v>78.562753779962591</v>
      </c>
      <c r="H429" s="645">
        <v>727.27272727272737</v>
      </c>
      <c r="I429" s="645">
        <v>338.37995078139568</v>
      </c>
      <c r="J429" s="645">
        <v>73.88609899973514</v>
      </c>
      <c r="K429" s="645">
        <v>18.1608189391454</v>
      </c>
      <c r="L429" s="645">
        <v>-22.392588528868568</v>
      </c>
      <c r="M429" s="645">
        <v>-5.0780082691828765</v>
      </c>
      <c r="N429" s="645">
        <v>0</v>
      </c>
      <c r="O429" s="645">
        <v>9.6533137639592894</v>
      </c>
      <c r="P429" s="645">
        <v>-554.70570793017112</v>
      </c>
      <c r="Q429" s="645">
        <v>-34.744016552062419</v>
      </c>
      <c r="R429" s="645">
        <v>-7.071337409208251</v>
      </c>
      <c r="S429" s="645">
        <v>698.73310875705101</v>
      </c>
      <c r="U429" s="644" t="s">
        <v>77</v>
      </c>
      <c r="V429" s="645">
        <v>3.0871053259909167</v>
      </c>
      <c r="W429" s="645">
        <v>113.59926767676768</v>
      </c>
      <c r="X429" s="645">
        <v>-90.60020861890041</v>
      </c>
      <c r="Y429" s="645">
        <v>0</v>
      </c>
      <c r="Z429" s="645">
        <v>764.84848484848499</v>
      </c>
      <c r="AA429" s="645">
        <v>423.19995078139567</v>
      </c>
      <c r="AB429" s="645">
        <v>188.81392594880614</v>
      </c>
      <c r="AC429" s="645">
        <v>31.963595882852758</v>
      </c>
      <c r="AD429" s="645">
        <v>-125.42403259253969</v>
      </c>
      <c r="AE429" s="645">
        <v>-113.87891972722609</v>
      </c>
      <c r="AF429" s="645">
        <v>0</v>
      </c>
      <c r="AG429" s="645">
        <v>21.687841193420969</v>
      </c>
      <c r="AH429" s="645">
        <v>-553.86752452670385</v>
      </c>
      <c r="AI429" s="645">
        <v>-68.423763504668656</v>
      </c>
      <c r="AJ429" s="645">
        <v>-37.056170647637451</v>
      </c>
      <c r="AK429" s="645">
        <v>557.94955204004305</v>
      </c>
    </row>
    <row r="430" spans="3:37" x14ac:dyDescent="0.2">
      <c r="C430" s="634"/>
      <c r="D430" s="634">
        <v>0</v>
      </c>
      <c r="E430" s="634">
        <v>0</v>
      </c>
      <c r="F430" s="634">
        <v>0</v>
      </c>
      <c r="G430" s="634">
        <v>0</v>
      </c>
      <c r="H430" s="634">
        <v>0</v>
      </c>
      <c r="I430" s="634">
        <v>0</v>
      </c>
      <c r="J430" s="634">
        <v>0</v>
      </c>
      <c r="K430" s="634">
        <v>0</v>
      </c>
      <c r="L430" s="634">
        <v>0</v>
      </c>
      <c r="M430" s="634">
        <v>0</v>
      </c>
      <c r="N430" s="634">
        <v>0</v>
      </c>
      <c r="O430" s="634">
        <v>0</v>
      </c>
      <c r="P430" s="634">
        <v>0</v>
      </c>
      <c r="Q430" s="634">
        <v>0</v>
      </c>
      <c r="R430" s="634">
        <v>0</v>
      </c>
      <c r="S430" s="634">
        <v>0</v>
      </c>
      <c r="U430" s="634"/>
      <c r="V430" s="634">
        <v>0</v>
      </c>
      <c r="W430" s="634">
        <v>0</v>
      </c>
      <c r="X430" s="634">
        <v>0</v>
      </c>
      <c r="Y430" s="634">
        <v>0</v>
      </c>
      <c r="Z430" s="634">
        <v>0</v>
      </c>
      <c r="AA430" s="634">
        <v>0</v>
      </c>
      <c r="AB430" s="634">
        <v>0</v>
      </c>
      <c r="AC430" s="634">
        <v>0</v>
      </c>
      <c r="AD430" s="634">
        <v>0</v>
      </c>
      <c r="AE430" s="634">
        <v>0</v>
      </c>
      <c r="AF430" s="634">
        <v>0</v>
      </c>
      <c r="AG430" s="634">
        <v>0</v>
      </c>
      <c r="AH430" s="634">
        <v>0</v>
      </c>
      <c r="AI430" s="634">
        <v>0</v>
      </c>
      <c r="AJ430" s="634">
        <v>0</v>
      </c>
      <c r="AK430" s="634">
        <v>0</v>
      </c>
    </row>
    <row r="431" spans="3:37" x14ac:dyDescent="0.2">
      <c r="C431" s="646" t="s">
        <v>78</v>
      </c>
      <c r="D431" s="640">
        <v>3.6733927919712848</v>
      </c>
      <c r="E431" s="640">
        <v>0</v>
      </c>
      <c r="F431" s="640">
        <v>19.397200033553816</v>
      </c>
      <c r="G431" s="640">
        <v>91.130108310207916</v>
      </c>
      <c r="H431" s="640">
        <v>0</v>
      </c>
      <c r="I431" s="640">
        <v>0</v>
      </c>
      <c r="J431" s="640">
        <v>22.791437377983073</v>
      </c>
      <c r="K431" s="640">
        <v>1.7013098714668424</v>
      </c>
      <c r="L431" s="640">
        <v>1.007010953125</v>
      </c>
      <c r="M431" s="640">
        <v>1.8779931367345493</v>
      </c>
      <c r="N431" s="640">
        <v>0</v>
      </c>
      <c r="O431" s="640">
        <v>3.7093504340600874E-4</v>
      </c>
      <c r="P431" s="640">
        <v>114.54790196708234</v>
      </c>
      <c r="Q431" s="640">
        <v>16.21056036467343</v>
      </c>
      <c r="R431" s="640">
        <v>0.23655174255371095</v>
      </c>
      <c r="S431" s="648">
        <v>272.57383748439537</v>
      </c>
      <c r="U431" s="646" t="s">
        <v>78</v>
      </c>
      <c r="V431" s="640">
        <v>1.5000162600463405</v>
      </c>
      <c r="W431" s="640">
        <v>0</v>
      </c>
      <c r="X431" s="640">
        <v>0.65820239923796242</v>
      </c>
      <c r="Y431" s="640">
        <v>0</v>
      </c>
      <c r="Z431" s="640">
        <v>0</v>
      </c>
      <c r="AA431" s="640">
        <v>0</v>
      </c>
      <c r="AB431" s="640">
        <v>14.22856522114639</v>
      </c>
      <c r="AC431" s="640">
        <v>4.1194716696050602</v>
      </c>
      <c r="AD431" s="640">
        <v>8.3494072265624997</v>
      </c>
      <c r="AE431" s="640">
        <v>60.539358802903692</v>
      </c>
      <c r="AF431" s="640">
        <v>0</v>
      </c>
      <c r="AG431" s="640">
        <v>3.7093504340600874E-4</v>
      </c>
      <c r="AH431" s="640">
        <v>157.01971492382648</v>
      </c>
      <c r="AI431" s="640">
        <v>25.540840498351418</v>
      </c>
      <c r="AJ431" s="640">
        <v>8.9542294921874994</v>
      </c>
      <c r="AK431" s="648">
        <v>280.91017742891074</v>
      </c>
    </row>
    <row r="432" spans="3:37" x14ac:dyDescent="0.2">
      <c r="C432" s="646" t="s">
        <v>79</v>
      </c>
      <c r="D432" s="640">
        <v>0</v>
      </c>
      <c r="E432" s="640">
        <v>0</v>
      </c>
      <c r="F432" s="640">
        <v>216.8751541495462</v>
      </c>
      <c r="G432" s="640">
        <v>32.745585882615877</v>
      </c>
      <c r="H432" s="640">
        <v>0</v>
      </c>
      <c r="I432" s="640">
        <v>0</v>
      </c>
      <c r="J432" s="640">
        <v>0</v>
      </c>
      <c r="K432" s="640">
        <v>0</v>
      </c>
      <c r="L432" s="640">
        <v>20.896591906701669</v>
      </c>
      <c r="M432" s="640">
        <v>0.66827726291052814</v>
      </c>
      <c r="N432" s="640">
        <v>0</v>
      </c>
      <c r="O432" s="640">
        <v>0</v>
      </c>
      <c r="P432" s="640">
        <v>80.819270278256823</v>
      </c>
      <c r="Q432" s="640">
        <v>0</v>
      </c>
      <c r="R432" s="640">
        <v>2.9193508940431485</v>
      </c>
      <c r="S432" s="648">
        <v>354.92423037407423</v>
      </c>
      <c r="U432" s="646" t="s">
        <v>79</v>
      </c>
      <c r="V432" s="640">
        <v>0</v>
      </c>
      <c r="W432" s="640">
        <v>0</v>
      </c>
      <c r="X432" s="640">
        <v>8.8339079607242379</v>
      </c>
      <c r="Y432" s="640">
        <v>0</v>
      </c>
      <c r="Z432" s="640">
        <v>0</v>
      </c>
      <c r="AA432" s="640">
        <v>0</v>
      </c>
      <c r="AB432" s="640">
        <v>0</v>
      </c>
      <c r="AC432" s="640">
        <v>0</v>
      </c>
      <c r="AD432" s="640">
        <v>12.788272739607951</v>
      </c>
      <c r="AE432" s="640">
        <v>24.887279738493259</v>
      </c>
      <c r="AF432" s="640">
        <v>0</v>
      </c>
      <c r="AG432" s="640">
        <v>0</v>
      </c>
      <c r="AH432" s="640">
        <v>93.844452584108197</v>
      </c>
      <c r="AI432" s="640">
        <v>0</v>
      </c>
      <c r="AJ432" s="640">
        <v>7.1149935986121697</v>
      </c>
      <c r="AK432" s="648">
        <v>147.46890662154581</v>
      </c>
    </row>
    <row r="433" spans="3:37" x14ac:dyDescent="0.2">
      <c r="C433" s="646" t="s">
        <v>80</v>
      </c>
      <c r="D433" s="640">
        <v>0</v>
      </c>
      <c r="E433" s="640">
        <v>0</v>
      </c>
      <c r="F433" s="640">
        <v>5.2094674308398901</v>
      </c>
      <c r="G433" s="640">
        <v>68.551385920257417</v>
      </c>
      <c r="H433" s="640">
        <v>0</v>
      </c>
      <c r="I433" s="640">
        <v>0</v>
      </c>
      <c r="J433" s="640">
        <v>86.155325304334795</v>
      </c>
      <c r="K433" s="640">
        <v>0</v>
      </c>
      <c r="L433" s="640">
        <v>0</v>
      </c>
      <c r="M433" s="640">
        <v>1.3990078759236206</v>
      </c>
      <c r="N433" s="640">
        <v>66.478227859390046</v>
      </c>
      <c r="O433" s="640">
        <v>2.1206229173139883</v>
      </c>
      <c r="P433" s="640">
        <v>194.47767196350526</v>
      </c>
      <c r="Q433" s="640">
        <v>15.182773802844931</v>
      </c>
      <c r="R433" s="640">
        <v>0</v>
      </c>
      <c r="S433" s="648">
        <v>439.5744830744099</v>
      </c>
      <c r="U433" s="646" t="s">
        <v>80</v>
      </c>
      <c r="V433" s="640">
        <v>0</v>
      </c>
      <c r="W433" s="640">
        <v>0</v>
      </c>
      <c r="X433" s="640">
        <v>0.92826525658471626</v>
      </c>
      <c r="Y433" s="640">
        <v>0</v>
      </c>
      <c r="Z433" s="640">
        <v>0</v>
      </c>
      <c r="AA433" s="640">
        <v>0</v>
      </c>
      <c r="AB433" s="640">
        <v>47.227858114444189</v>
      </c>
      <c r="AC433" s="640">
        <v>0</v>
      </c>
      <c r="AD433" s="640">
        <v>0</v>
      </c>
      <c r="AE433" s="640">
        <v>17.293312779197663</v>
      </c>
      <c r="AF433" s="640">
        <v>108.09916343666818</v>
      </c>
      <c r="AG433" s="640">
        <v>4.9369795689122755</v>
      </c>
      <c r="AH433" s="640">
        <v>137.38519988829395</v>
      </c>
      <c r="AI433" s="640">
        <v>27.91071693101145</v>
      </c>
      <c r="AJ433" s="640">
        <v>0</v>
      </c>
      <c r="AK433" s="648">
        <v>343.78149597511242</v>
      </c>
    </row>
    <row r="434" spans="3:37" x14ac:dyDescent="0.2">
      <c r="C434" s="646" t="s">
        <v>81</v>
      </c>
      <c r="D434" s="640">
        <v>0</v>
      </c>
      <c r="E434" s="640">
        <v>0</v>
      </c>
      <c r="F434" s="640">
        <v>2.3181271880740835</v>
      </c>
      <c r="G434" s="640">
        <v>62.553452404821357</v>
      </c>
      <c r="H434" s="640">
        <v>0</v>
      </c>
      <c r="I434" s="640">
        <v>0</v>
      </c>
      <c r="J434" s="640">
        <v>3.0090868580403627</v>
      </c>
      <c r="K434" s="640">
        <v>2.5363417285398034E-2</v>
      </c>
      <c r="L434" s="640">
        <v>0</v>
      </c>
      <c r="M434" s="640">
        <v>1.27660106948615</v>
      </c>
      <c r="N434" s="640">
        <v>8.6055350400994808</v>
      </c>
      <c r="O434" s="640">
        <v>0.68093940948821108</v>
      </c>
      <c r="P434" s="640">
        <v>146.08879967332064</v>
      </c>
      <c r="Q434" s="640">
        <v>3.3506823845440552</v>
      </c>
      <c r="R434" s="640">
        <v>0</v>
      </c>
      <c r="S434" s="648">
        <v>227.90858744515972</v>
      </c>
      <c r="U434" s="646" t="s">
        <v>81</v>
      </c>
      <c r="V434" s="640">
        <v>0</v>
      </c>
      <c r="W434" s="640">
        <v>0</v>
      </c>
      <c r="X434" s="640">
        <v>0.55102356567889155</v>
      </c>
      <c r="Y434" s="640">
        <v>0</v>
      </c>
      <c r="Z434" s="640">
        <v>0</v>
      </c>
      <c r="AA434" s="640">
        <v>0</v>
      </c>
      <c r="AB434" s="640">
        <v>6.5361621549849476</v>
      </c>
      <c r="AC434" s="640">
        <v>2.5363417285398034E-2</v>
      </c>
      <c r="AD434" s="640">
        <v>0</v>
      </c>
      <c r="AE434" s="640">
        <v>5.3379988256415478</v>
      </c>
      <c r="AF434" s="640">
        <v>15.069021727073199</v>
      </c>
      <c r="AG434" s="640">
        <v>1.4375946320597892</v>
      </c>
      <c r="AH434" s="640">
        <v>112.31243747223964</v>
      </c>
      <c r="AI434" s="640">
        <v>14.972206075305797</v>
      </c>
      <c r="AJ434" s="640">
        <v>0</v>
      </c>
      <c r="AK434" s="648">
        <v>156.24180787026921</v>
      </c>
    </row>
    <row r="435" spans="3:37" x14ac:dyDescent="0.2">
      <c r="C435" s="646" t="s">
        <v>82</v>
      </c>
      <c r="D435" s="640">
        <v>0</v>
      </c>
      <c r="E435" s="640">
        <v>0</v>
      </c>
      <c r="F435" s="640">
        <v>27.219719362233906</v>
      </c>
      <c r="G435" s="640">
        <v>0.81069667111944488</v>
      </c>
      <c r="H435" s="640">
        <v>0</v>
      </c>
      <c r="I435" s="640">
        <v>0</v>
      </c>
      <c r="J435" s="640">
        <v>5.0054618408177598</v>
      </c>
      <c r="K435" s="640">
        <v>0</v>
      </c>
      <c r="L435" s="640">
        <v>3.2629555410385191</v>
      </c>
      <c r="M435" s="640">
        <v>1.6544830022845812E-2</v>
      </c>
      <c r="N435" s="640">
        <v>0</v>
      </c>
      <c r="O435" s="640">
        <v>6.051975379409523E-2</v>
      </c>
      <c r="P435" s="640">
        <v>5.5235547180923223</v>
      </c>
      <c r="Q435" s="640">
        <v>0</v>
      </c>
      <c r="R435" s="640">
        <v>0</v>
      </c>
      <c r="S435" s="648">
        <v>41.899452717118898</v>
      </c>
      <c r="U435" s="646" t="s">
        <v>82</v>
      </c>
      <c r="V435" s="640">
        <v>0</v>
      </c>
      <c r="W435" s="640">
        <v>0</v>
      </c>
      <c r="X435" s="640">
        <v>0.67158967449506357</v>
      </c>
      <c r="Y435" s="640">
        <v>0</v>
      </c>
      <c r="Z435" s="640">
        <v>0</v>
      </c>
      <c r="AA435" s="640">
        <v>0</v>
      </c>
      <c r="AB435" s="640">
        <v>5.0054618408177598</v>
      </c>
      <c r="AC435" s="640">
        <v>0</v>
      </c>
      <c r="AD435" s="640">
        <v>35.167200828266267</v>
      </c>
      <c r="AE435" s="640">
        <v>0.86765586771995196</v>
      </c>
      <c r="AF435" s="640">
        <v>0</v>
      </c>
      <c r="AG435" s="640">
        <v>2.1874070050904897</v>
      </c>
      <c r="AH435" s="640">
        <v>5.6657335511185538</v>
      </c>
      <c r="AI435" s="640">
        <v>0</v>
      </c>
      <c r="AJ435" s="640">
        <v>0.44339331184266689</v>
      </c>
      <c r="AK435" s="648">
        <v>50.008442079350758</v>
      </c>
    </row>
    <row r="436" spans="3:37" x14ac:dyDescent="0.2">
      <c r="C436" s="646" t="s">
        <v>354</v>
      </c>
      <c r="D436" s="640">
        <v>0</v>
      </c>
      <c r="E436" s="640">
        <v>0</v>
      </c>
      <c r="F436" s="640">
        <v>0</v>
      </c>
      <c r="G436" s="640">
        <v>0</v>
      </c>
      <c r="H436" s="640">
        <v>0</v>
      </c>
      <c r="I436" s="640">
        <v>0</v>
      </c>
      <c r="J436" s="640">
        <v>0</v>
      </c>
      <c r="K436" s="640">
        <v>0</v>
      </c>
      <c r="L436" s="640">
        <v>0</v>
      </c>
      <c r="M436" s="640">
        <v>0</v>
      </c>
      <c r="N436" s="640">
        <v>0</v>
      </c>
      <c r="O436" s="640">
        <v>0</v>
      </c>
      <c r="P436" s="640">
        <v>0.44999999999999996</v>
      </c>
      <c r="Q436" s="640">
        <v>0</v>
      </c>
      <c r="R436" s="640">
        <v>0</v>
      </c>
      <c r="S436" s="648">
        <v>0.44999999999999996</v>
      </c>
      <c r="U436" s="646" t="s">
        <v>354</v>
      </c>
      <c r="V436" s="640">
        <v>0</v>
      </c>
      <c r="W436" s="640">
        <v>0</v>
      </c>
      <c r="X436" s="640">
        <v>0</v>
      </c>
      <c r="Y436" s="640">
        <v>0</v>
      </c>
      <c r="Z436" s="640">
        <v>0</v>
      </c>
      <c r="AA436" s="640">
        <v>0</v>
      </c>
      <c r="AB436" s="640">
        <v>0</v>
      </c>
      <c r="AC436" s="640">
        <v>0</v>
      </c>
      <c r="AD436" s="640">
        <v>0</v>
      </c>
      <c r="AE436" s="640">
        <v>0</v>
      </c>
      <c r="AF436" s="640">
        <v>0</v>
      </c>
      <c r="AG436" s="640">
        <v>0</v>
      </c>
      <c r="AH436" s="640">
        <v>6</v>
      </c>
      <c r="AI436" s="640">
        <v>0</v>
      </c>
      <c r="AJ436" s="640">
        <v>0</v>
      </c>
      <c r="AK436" s="648">
        <v>6</v>
      </c>
    </row>
    <row r="437" spans="3:37" x14ac:dyDescent="0.2">
      <c r="C437" s="644" t="s">
        <v>83</v>
      </c>
      <c r="D437" s="645">
        <v>3.6733927919712848</v>
      </c>
      <c r="E437" s="645">
        <v>0</v>
      </c>
      <c r="F437" s="645">
        <v>271.01966816424783</v>
      </c>
      <c r="G437" s="645">
        <v>255.79122918902203</v>
      </c>
      <c r="H437" s="645">
        <v>0</v>
      </c>
      <c r="I437" s="645">
        <v>0</v>
      </c>
      <c r="J437" s="645">
        <v>116.96131138117599</v>
      </c>
      <c r="K437" s="645">
        <v>1.7266732887522405</v>
      </c>
      <c r="L437" s="645">
        <v>25.166558400865188</v>
      </c>
      <c r="M437" s="645">
        <v>5.238424175077693</v>
      </c>
      <c r="N437" s="645">
        <v>75.083762899489528</v>
      </c>
      <c r="O437" s="645">
        <v>2.8624530156397006</v>
      </c>
      <c r="P437" s="645">
        <v>541.90719860025752</v>
      </c>
      <c r="Q437" s="645">
        <v>34.744016552062419</v>
      </c>
      <c r="R437" s="645">
        <v>3.1559026365968594</v>
      </c>
      <c r="S437" s="645">
        <v>1337.3305910951583</v>
      </c>
      <c r="U437" s="644" t="s">
        <v>83</v>
      </c>
      <c r="V437" s="645">
        <v>1.5000162600463405</v>
      </c>
      <c r="W437" s="645">
        <v>0</v>
      </c>
      <c r="X437" s="645">
        <v>11.642988856720871</v>
      </c>
      <c r="Y437" s="645">
        <v>0</v>
      </c>
      <c r="Z437" s="645">
        <v>0</v>
      </c>
      <c r="AA437" s="645">
        <v>0</v>
      </c>
      <c r="AB437" s="645">
        <v>72.998047331393281</v>
      </c>
      <c r="AC437" s="645">
        <v>4.1448350868904589</v>
      </c>
      <c r="AD437" s="645">
        <v>56.30488079443672</v>
      </c>
      <c r="AE437" s="645">
        <v>108.92560601395611</v>
      </c>
      <c r="AF437" s="645">
        <v>123.16818516374138</v>
      </c>
      <c r="AG437" s="645">
        <v>8.5623521411059595</v>
      </c>
      <c r="AH437" s="645">
        <v>512.22753841958684</v>
      </c>
      <c r="AI437" s="645">
        <v>68.423763504668656</v>
      </c>
      <c r="AJ437" s="645">
        <v>16.512616402642333</v>
      </c>
      <c r="AK437" s="645">
        <v>984.4108299751889</v>
      </c>
    </row>
    <row r="438" spans="3:37" x14ac:dyDescent="0.2">
      <c r="C438" s="639" t="s">
        <v>84</v>
      </c>
      <c r="D438" s="640">
        <v>0</v>
      </c>
      <c r="E438" s="640">
        <v>0</v>
      </c>
      <c r="F438" s="640">
        <v>100.05515171814793</v>
      </c>
      <c r="G438" s="640">
        <v>11.196954266678716</v>
      </c>
      <c r="H438" s="640">
        <v>0</v>
      </c>
      <c r="I438" s="640">
        <v>0</v>
      </c>
      <c r="J438" s="640">
        <v>0</v>
      </c>
      <c r="K438" s="640">
        <v>0</v>
      </c>
      <c r="L438" s="640">
        <v>0</v>
      </c>
      <c r="M438" s="640">
        <v>0</v>
      </c>
      <c r="N438" s="640">
        <v>0</v>
      </c>
      <c r="O438" s="640">
        <v>0</v>
      </c>
      <c r="P438" s="640">
        <v>0</v>
      </c>
      <c r="Q438" s="640">
        <v>0</v>
      </c>
      <c r="R438" s="640">
        <v>3.9154347726113912</v>
      </c>
      <c r="S438" s="648">
        <v>115.16754075743803</v>
      </c>
      <c r="U438" s="639" t="s">
        <v>84</v>
      </c>
      <c r="V438" s="640">
        <v>0</v>
      </c>
      <c r="W438" s="640">
        <v>0</v>
      </c>
      <c r="X438" s="640">
        <v>57.953190468871433</v>
      </c>
      <c r="Y438" s="640">
        <v>0.51452681198611927</v>
      </c>
      <c r="Z438" s="640">
        <v>0</v>
      </c>
      <c r="AA438" s="640">
        <v>0</v>
      </c>
      <c r="AB438" s="640">
        <v>0</v>
      </c>
      <c r="AC438" s="640">
        <v>0</v>
      </c>
      <c r="AD438" s="640">
        <v>30.108432000732424</v>
      </c>
      <c r="AE438" s="640">
        <v>0</v>
      </c>
      <c r="AF438" s="640">
        <v>0</v>
      </c>
      <c r="AG438" s="640">
        <v>0</v>
      </c>
      <c r="AH438" s="640">
        <v>0</v>
      </c>
      <c r="AI438" s="640">
        <v>0</v>
      </c>
      <c r="AJ438" s="640">
        <v>20.543554244995118</v>
      </c>
      <c r="AK438" s="648">
        <v>109.1197035265851</v>
      </c>
    </row>
    <row r="439" spans="3:37" x14ac:dyDescent="0.2">
      <c r="C439" s="644" t="s">
        <v>85</v>
      </c>
      <c r="D439" s="645">
        <v>3.6733927919712848</v>
      </c>
      <c r="E439" s="645">
        <v>0</v>
      </c>
      <c r="F439" s="645">
        <v>371.07481988239573</v>
      </c>
      <c r="G439" s="645">
        <v>266.98818345570078</v>
      </c>
      <c r="H439" s="645">
        <v>0</v>
      </c>
      <c r="I439" s="645">
        <v>0</v>
      </c>
      <c r="J439" s="645">
        <v>116.96131138117599</v>
      </c>
      <c r="K439" s="645">
        <v>1.7266732887522405</v>
      </c>
      <c r="L439" s="645">
        <v>25.166558400865188</v>
      </c>
      <c r="M439" s="645">
        <v>5.238424175077693</v>
      </c>
      <c r="N439" s="645">
        <v>75.083762899489528</v>
      </c>
      <c r="O439" s="645">
        <v>2.8624530156397006</v>
      </c>
      <c r="P439" s="645">
        <v>541.90719860025752</v>
      </c>
      <c r="Q439" s="645">
        <v>34.744016552062419</v>
      </c>
      <c r="R439" s="645">
        <v>7.071337409208251</v>
      </c>
      <c r="S439" s="645">
        <v>1452.4981318525963</v>
      </c>
      <c r="U439" s="644" t="s">
        <v>85</v>
      </c>
      <c r="V439" s="645">
        <v>1.5000162600463405</v>
      </c>
      <c r="W439" s="645">
        <v>0</v>
      </c>
      <c r="X439" s="645">
        <v>69.596179325592303</v>
      </c>
      <c r="Y439" s="645">
        <v>0.51452681198611927</v>
      </c>
      <c r="Z439" s="645">
        <v>0</v>
      </c>
      <c r="AA439" s="645">
        <v>0</v>
      </c>
      <c r="AB439" s="645">
        <v>72.998047331393281</v>
      </c>
      <c r="AC439" s="645">
        <v>4.1448350868904589</v>
      </c>
      <c r="AD439" s="645">
        <v>86.413312795169148</v>
      </c>
      <c r="AE439" s="645">
        <v>108.92560601395611</v>
      </c>
      <c r="AF439" s="645">
        <v>123.16818516374138</v>
      </c>
      <c r="AG439" s="645">
        <v>8.5623521411059595</v>
      </c>
      <c r="AH439" s="645">
        <v>512.22753841958684</v>
      </c>
      <c r="AI439" s="645">
        <v>68.423763504668656</v>
      </c>
      <c r="AJ439" s="645">
        <v>37.056170647637451</v>
      </c>
      <c r="AK439" s="645">
        <v>1093.530533501774</v>
      </c>
    </row>
    <row r="440" spans="3:37" x14ac:dyDescent="0.2">
      <c r="C440" s="634"/>
      <c r="D440" s="634"/>
      <c r="E440" s="634"/>
      <c r="F440" s="634"/>
      <c r="G440" s="634"/>
      <c r="H440" s="634"/>
      <c r="I440" s="634"/>
      <c r="J440" s="634"/>
      <c r="K440" s="634"/>
      <c r="L440" s="634"/>
      <c r="M440" s="634"/>
      <c r="N440" s="634"/>
      <c r="O440" s="634"/>
      <c r="P440" s="634"/>
      <c r="Q440" s="634"/>
      <c r="R440" s="634"/>
      <c r="S440" s="634"/>
      <c r="U440" s="634"/>
      <c r="V440" s="634"/>
      <c r="W440" s="634"/>
      <c r="X440" s="634"/>
      <c r="Y440" s="634"/>
      <c r="Z440" s="634"/>
      <c r="AA440" s="634"/>
      <c r="AB440" s="634"/>
      <c r="AC440" s="634"/>
      <c r="AD440" s="634"/>
      <c r="AE440" s="634"/>
      <c r="AF440" s="634"/>
      <c r="AG440" s="634"/>
      <c r="AH440" s="634"/>
      <c r="AI440" s="634"/>
      <c r="AJ440" s="634"/>
      <c r="AK440" s="634"/>
    </row>
    <row r="441" spans="3:37" x14ac:dyDescent="0.2">
      <c r="C441" s="634"/>
      <c r="D441" s="634"/>
      <c r="E441" s="634"/>
      <c r="F441" s="634"/>
      <c r="G441" s="634"/>
      <c r="H441" s="634"/>
      <c r="I441" s="634"/>
      <c r="J441" s="634"/>
      <c r="K441" s="634"/>
      <c r="L441" s="634"/>
      <c r="M441" s="634"/>
      <c r="N441" s="634"/>
      <c r="O441" s="634"/>
      <c r="P441" s="634"/>
      <c r="Q441" s="634"/>
      <c r="R441" s="634"/>
      <c r="S441" s="634"/>
      <c r="U441" s="634"/>
      <c r="V441" s="634"/>
      <c r="W441" s="634"/>
      <c r="X441" s="634"/>
      <c r="Y441" s="634"/>
      <c r="Z441" s="634"/>
      <c r="AA441" s="634"/>
      <c r="AB441" s="634"/>
      <c r="AC441" s="634"/>
      <c r="AD441" s="634"/>
      <c r="AE441" s="634"/>
      <c r="AF441" s="634"/>
      <c r="AG441" s="634"/>
      <c r="AH441" s="634"/>
      <c r="AI441" s="634"/>
      <c r="AJ441" s="634"/>
      <c r="AK441" s="634"/>
    </row>
  </sheetData>
  <mergeCells count="314">
    <mergeCell ref="C2:S2"/>
    <mergeCell ref="U2:AK2"/>
    <mergeCell ref="C8:S8"/>
    <mergeCell ref="U8:AK8"/>
    <mergeCell ref="C10:C11"/>
    <mergeCell ref="D10:D11"/>
    <mergeCell ref="E10:E11"/>
    <mergeCell ref="F10:F11"/>
    <mergeCell ref="G10:G11"/>
    <mergeCell ref="H10:H11"/>
    <mergeCell ref="I10:I11"/>
    <mergeCell ref="J10:O10"/>
    <mergeCell ref="AH10:AH11"/>
    <mergeCell ref="AI10:AI11"/>
    <mergeCell ref="AJ10:AJ11"/>
    <mergeCell ref="AK10:AK11"/>
    <mergeCell ref="C44:S44"/>
    <mergeCell ref="U44:AK44"/>
    <mergeCell ref="W10:W11"/>
    <mergeCell ref="X10:X11"/>
    <mergeCell ref="Y10:Y11"/>
    <mergeCell ref="Z10:Z11"/>
    <mergeCell ref="AA10:AA11"/>
    <mergeCell ref="AB10:AG10"/>
    <mergeCell ref="P10:P11"/>
    <mergeCell ref="Q10:Q11"/>
    <mergeCell ref="R10:R11"/>
    <mergeCell ref="S10:S11"/>
    <mergeCell ref="U10:U11"/>
    <mergeCell ref="V10:V11"/>
    <mergeCell ref="I46:I47"/>
    <mergeCell ref="J46:O46"/>
    <mergeCell ref="P46:P47"/>
    <mergeCell ref="Q46:Q47"/>
    <mergeCell ref="R46:R47"/>
    <mergeCell ref="S46:S47"/>
    <mergeCell ref="C46:C47"/>
    <mergeCell ref="D46:D47"/>
    <mergeCell ref="E46:E47"/>
    <mergeCell ref="F46:F47"/>
    <mergeCell ref="G46:G47"/>
    <mergeCell ref="H46:H47"/>
    <mergeCell ref="AA46:AA47"/>
    <mergeCell ref="AB46:AG46"/>
    <mergeCell ref="AH46:AH47"/>
    <mergeCell ref="AI46:AI47"/>
    <mergeCell ref="AJ46:AJ47"/>
    <mergeCell ref="AK46:AK47"/>
    <mergeCell ref="U46:U47"/>
    <mergeCell ref="V46:V47"/>
    <mergeCell ref="W46:W47"/>
    <mergeCell ref="X46:X47"/>
    <mergeCell ref="Y46:Y47"/>
    <mergeCell ref="Z46:Z47"/>
    <mergeCell ref="C81:S81"/>
    <mergeCell ref="U81:AK81"/>
    <mergeCell ref="C83:C84"/>
    <mergeCell ref="D83:D84"/>
    <mergeCell ref="E83:E84"/>
    <mergeCell ref="F83:F84"/>
    <mergeCell ref="G83:G84"/>
    <mergeCell ref="H83:H84"/>
    <mergeCell ref="I83:I84"/>
    <mergeCell ref="J83:O83"/>
    <mergeCell ref="AH83:AH84"/>
    <mergeCell ref="AI83:AI84"/>
    <mergeCell ref="AJ83:AJ84"/>
    <mergeCell ref="AK83:AK84"/>
    <mergeCell ref="C117:S117"/>
    <mergeCell ref="U117:AK117"/>
    <mergeCell ref="W83:W84"/>
    <mergeCell ref="X83:X84"/>
    <mergeCell ref="Y83:Y84"/>
    <mergeCell ref="Z83:Z84"/>
    <mergeCell ref="AA83:AA84"/>
    <mergeCell ref="AB83:AG83"/>
    <mergeCell ref="P83:P84"/>
    <mergeCell ref="Q83:Q84"/>
    <mergeCell ref="R83:R84"/>
    <mergeCell ref="S83:S84"/>
    <mergeCell ref="U83:U84"/>
    <mergeCell ref="V83:V84"/>
    <mergeCell ref="I119:I120"/>
    <mergeCell ref="J119:O119"/>
    <mergeCell ref="P119:P120"/>
    <mergeCell ref="Q119:Q120"/>
    <mergeCell ref="R119:R120"/>
    <mergeCell ref="S119:S120"/>
    <mergeCell ref="C119:C120"/>
    <mergeCell ref="D119:D120"/>
    <mergeCell ref="E119:E120"/>
    <mergeCell ref="F119:F120"/>
    <mergeCell ref="G119:G120"/>
    <mergeCell ref="H119:H120"/>
    <mergeCell ref="AA119:AA120"/>
    <mergeCell ref="AB119:AG119"/>
    <mergeCell ref="AH119:AH120"/>
    <mergeCell ref="AI119:AI120"/>
    <mergeCell ref="AJ119:AJ120"/>
    <mergeCell ref="AK119:AK120"/>
    <mergeCell ref="U119:U120"/>
    <mergeCell ref="V119:V120"/>
    <mergeCell ref="W119:W120"/>
    <mergeCell ref="X119:X120"/>
    <mergeCell ref="Y119:Y120"/>
    <mergeCell ref="Z119:Z120"/>
    <mergeCell ref="C153:S153"/>
    <mergeCell ref="U153:AK153"/>
    <mergeCell ref="C155:C156"/>
    <mergeCell ref="D155:D156"/>
    <mergeCell ref="E155:E156"/>
    <mergeCell ref="F155:F156"/>
    <mergeCell ref="G155:G156"/>
    <mergeCell ref="H155:H156"/>
    <mergeCell ref="I155:I156"/>
    <mergeCell ref="J155:O155"/>
    <mergeCell ref="AH155:AH156"/>
    <mergeCell ref="AI155:AI156"/>
    <mergeCell ref="AJ155:AJ156"/>
    <mergeCell ref="AK155:AK156"/>
    <mergeCell ref="C189:S189"/>
    <mergeCell ref="U189:AK189"/>
    <mergeCell ref="W155:W156"/>
    <mergeCell ref="X155:X156"/>
    <mergeCell ref="Y155:Y156"/>
    <mergeCell ref="Z155:Z156"/>
    <mergeCell ref="AA155:AA156"/>
    <mergeCell ref="AB155:AG155"/>
    <mergeCell ref="P155:P156"/>
    <mergeCell ref="Q155:Q156"/>
    <mergeCell ref="R155:R156"/>
    <mergeCell ref="S155:S156"/>
    <mergeCell ref="U155:U156"/>
    <mergeCell ref="V155:V156"/>
    <mergeCell ref="I191:I192"/>
    <mergeCell ref="J191:O191"/>
    <mergeCell ref="P191:P192"/>
    <mergeCell ref="Q191:Q192"/>
    <mergeCell ref="R191:R192"/>
    <mergeCell ref="S191:S192"/>
    <mergeCell ref="C191:C192"/>
    <mergeCell ref="D191:D192"/>
    <mergeCell ref="E191:E192"/>
    <mergeCell ref="F191:F192"/>
    <mergeCell ref="G191:G192"/>
    <mergeCell ref="H191:H192"/>
    <mergeCell ref="AA191:AA192"/>
    <mergeCell ref="AB191:AG191"/>
    <mergeCell ref="AH191:AH192"/>
    <mergeCell ref="AI191:AI192"/>
    <mergeCell ref="AJ191:AJ192"/>
    <mergeCell ref="AK191:AK192"/>
    <mergeCell ref="U191:U192"/>
    <mergeCell ref="V191:V192"/>
    <mergeCell ref="W191:W192"/>
    <mergeCell ref="X191:X192"/>
    <mergeCell ref="Y191:Y192"/>
    <mergeCell ref="Z191:Z192"/>
    <mergeCell ref="C225:S225"/>
    <mergeCell ref="U225:AK225"/>
    <mergeCell ref="C227:C228"/>
    <mergeCell ref="D227:D228"/>
    <mergeCell ref="E227:E228"/>
    <mergeCell ref="F227:F228"/>
    <mergeCell ref="G227:G228"/>
    <mergeCell ref="H227:H228"/>
    <mergeCell ref="I227:I228"/>
    <mergeCell ref="J227:O227"/>
    <mergeCell ref="AH227:AH228"/>
    <mergeCell ref="AI227:AI228"/>
    <mergeCell ref="AJ227:AJ228"/>
    <mergeCell ref="AK227:AK228"/>
    <mergeCell ref="C261:S261"/>
    <mergeCell ref="U261:AK261"/>
    <mergeCell ref="W227:W228"/>
    <mergeCell ref="X227:X228"/>
    <mergeCell ref="Y227:Y228"/>
    <mergeCell ref="Z227:Z228"/>
    <mergeCell ref="AA227:AA228"/>
    <mergeCell ref="AB227:AG227"/>
    <mergeCell ref="P227:P228"/>
    <mergeCell ref="Q227:Q228"/>
    <mergeCell ref="R227:R228"/>
    <mergeCell ref="S227:S228"/>
    <mergeCell ref="U227:U228"/>
    <mergeCell ref="V227:V228"/>
    <mergeCell ref="I263:I264"/>
    <mergeCell ref="J263:O263"/>
    <mergeCell ref="P263:P264"/>
    <mergeCell ref="Q263:Q264"/>
    <mergeCell ref="R263:R264"/>
    <mergeCell ref="S263:S264"/>
    <mergeCell ref="C263:C264"/>
    <mergeCell ref="D263:D264"/>
    <mergeCell ref="E263:E264"/>
    <mergeCell ref="F263:F264"/>
    <mergeCell ref="G263:G264"/>
    <mergeCell ref="H263:H264"/>
    <mergeCell ref="AA263:AA264"/>
    <mergeCell ref="AB263:AG263"/>
    <mergeCell ref="AH263:AH264"/>
    <mergeCell ref="AI263:AI264"/>
    <mergeCell ref="AJ263:AJ264"/>
    <mergeCell ref="AK263:AK264"/>
    <mergeCell ref="U263:U264"/>
    <mergeCell ref="V263:V264"/>
    <mergeCell ref="W263:W264"/>
    <mergeCell ref="X263:X264"/>
    <mergeCell ref="Y263:Y264"/>
    <mergeCell ref="Z263:Z264"/>
    <mergeCell ref="C297:S297"/>
    <mergeCell ref="U297:AK297"/>
    <mergeCell ref="C299:C300"/>
    <mergeCell ref="D299:D300"/>
    <mergeCell ref="E299:E300"/>
    <mergeCell ref="F299:F300"/>
    <mergeCell ref="G299:G300"/>
    <mergeCell ref="H299:H300"/>
    <mergeCell ref="I299:I300"/>
    <mergeCell ref="J299:O299"/>
    <mergeCell ref="AH299:AH300"/>
    <mergeCell ref="AI299:AI300"/>
    <mergeCell ref="AJ299:AJ300"/>
    <mergeCell ref="AK299:AK300"/>
    <mergeCell ref="C333:S333"/>
    <mergeCell ref="U333:AK333"/>
    <mergeCell ref="W299:W300"/>
    <mergeCell ref="X299:X300"/>
    <mergeCell ref="Y299:Y300"/>
    <mergeCell ref="Z299:Z300"/>
    <mergeCell ref="AA299:AA300"/>
    <mergeCell ref="AB299:AG299"/>
    <mergeCell ref="P299:P300"/>
    <mergeCell ref="Q299:Q300"/>
    <mergeCell ref="R299:R300"/>
    <mergeCell ref="S299:S300"/>
    <mergeCell ref="U299:U300"/>
    <mergeCell ref="V299:V300"/>
    <mergeCell ref="I335:I336"/>
    <mergeCell ref="J335:O335"/>
    <mergeCell ref="P335:P336"/>
    <mergeCell ref="Q335:Q336"/>
    <mergeCell ref="R335:R336"/>
    <mergeCell ref="S335:S336"/>
    <mergeCell ref="C335:C336"/>
    <mergeCell ref="D335:D336"/>
    <mergeCell ref="E335:E336"/>
    <mergeCell ref="F335:F336"/>
    <mergeCell ref="G335:G336"/>
    <mergeCell ref="H335:H336"/>
    <mergeCell ref="AA335:AA336"/>
    <mergeCell ref="AB335:AG335"/>
    <mergeCell ref="AH335:AH336"/>
    <mergeCell ref="AI335:AI336"/>
    <mergeCell ref="AJ335:AJ336"/>
    <mergeCell ref="AK335:AK336"/>
    <mergeCell ref="U335:U336"/>
    <mergeCell ref="V335:V336"/>
    <mergeCell ref="W335:W336"/>
    <mergeCell ref="X335:X336"/>
    <mergeCell ref="Y335:Y336"/>
    <mergeCell ref="Z335:Z336"/>
    <mergeCell ref="C369:S369"/>
    <mergeCell ref="U369:AK369"/>
    <mergeCell ref="C371:C372"/>
    <mergeCell ref="D371:D372"/>
    <mergeCell ref="E371:E372"/>
    <mergeCell ref="F371:F372"/>
    <mergeCell ref="G371:G372"/>
    <mergeCell ref="H371:H372"/>
    <mergeCell ref="I371:I372"/>
    <mergeCell ref="J371:O371"/>
    <mergeCell ref="AH371:AH372"/>
    <mergeCell ref="AI371:AI372"/>
    <mergeCell ref="AJ371:AJ372"/>
    <mergeCell ref="AK371:AK372"/>
    <mergeCell ref="C405:S405"/>
    <mergeCell ref="U405:AK405"/>
    <mergeCell ref="W371:W372"/>
    <mergeCell ref="X371:X372"/>
    <mergeCell ref="Y371:Y372"/>
    <mergeCell ref="Z371:Z372"/>
    <mergeCell ref="AA371:AA372"/>
    <mergeCell ref="AB371:AG371"/>
    <mergeCell ref="P371:P372"/>
    <mergeCell ref="Q371:Q372"/>
    <mergeCell ref="R371:R372"/>
    <mergeCell ref="S371:S372"/>
    <mergeCell ref="U371:U372"/>
    <mergeCell ref="V371:V372"/>
    <mergeCell ref="I407:I408"/>
    <mergeCell ref="J407:O407"/>
    <mergeCell ref="P407:P408"/>
    <mergeCell ref="Q407:Q408"/>
    <mergeCell ref="R407:R408"/>
    <mergeCell ref="S407:S408"/>
    <mergeCell ref="C407:C408"/>
    <mergeCell ref="D407:D408"/>
    <mergeCell ref="E407:E408"/>
    <mergeCell ref="F407:F408"/>
    <mergeCell ref="G407:G408"/>
    <mergeCell ref="H407:H408"/>
    <mergeCell ref="AA407:AA408"/>
    <mergeCell ref="AB407:AG407"/>
    <mergeCell ref="AH407:AH408"/>
    <mergeCell ref="AI407:AI408"/>
    <mergeCell ref="AJ407:AJ408"/>
    <mergeCell ref="AK407:AK408"/>
    <mergeCell ref="U407:U408"/>
    <mergeCell ref="V407:V408"/>
    <mergeCell ref="W407:W408"/>
    <mergeCell ref="X407:X408"/>
    <mergeCell ref="Y407:Y408"/>
    <mergeCell ref="Z407:Z408"/>
  </mergeCells>
  <conditionalFormatting sqref="D12:S18">
    <cfRule type="expression" dxfId="3053" priority="1130">
      <formula>LEN(TRIM(D12))=0</formula>
    </cfRule>
  </conditionalFormatting>
  <conditionalFormatting sqref="D20:S32">
    <cfRule type="expression" dxfId="3052" priority="1107">
      <formula>LEN(TRIM(D20))=0</formula>
    </cfRule>
    <cfRule type="cellIs" dxfId="3051" priority="1106" operator="equal">
      <formula>0</formula>
    </cfRule>
  </conditionalFormatting>
  <conditionalFormatting sqref="D34:S42">
    <cfRule type="expression" dxfId="3050" priority="1095">
      <formula>LEN(TRIM(D34))=0</formula>
    </cfRule>
    <cfRule type="cellIs" dxfId="3049" priority="1094" operator="equal">
      <formula>0</formula>
    </cfRule>
  </conditionalFormatting>
  <conditionalFormatting sqref="D48:S54">
    <cfRule type="expression" dxfId="3048" priority="1089">
      <formula>LEN(TRIM(D48))=0</formula>
    </cfRule>
  </conditionalFormatting>
  <conditionalFormatting sqref="D56:S68">
    <cfRule type="cellIs" dxfId="3047" priority="1065" operator="equal">
      <formula>0</formula>
    </cfRule>
    <cfRule type="expression" dxfId="3046" priority="1066">
      <formula>LEN(TRIM(D56))=0</formula>
    </cfRule>
  </conditionalFormatting>
  <conditionalFormatting sqref="D70:S78">
    <cfRule type="cellIs" dxfId="3045" priority="1053" operator="equal">
      <formula>0</formula>
    </cfRule>
    <cfRule type="expression" dxfId="3044" priority="1054">
      <formula>LEN(TRIM(D70))=0</formula>
    </cfRule>
  </conditionalFormatting>
  <conditionalFormatting sqref="D85:S91">
    <cfRule type="expression" dxfId="3043" priority="1048">
      <formula>LEN(TRIM(D85))=0</formula>
    </cfRule>
  </conditionalFormatting>
  <conditionalFormatting sqref="D93:S105">
    <cfRule type="expression" dxfId="3042" priority="1025">
      <formula>LEN(TRIM(D93))=0</formula>
    </cfRule>
    <cfRule type="cellIs" dxfId="3041" priority="1024" operator="equal">
      <formula>0</formula>
    </cfRule>
  </conditionalFormatting>
  <conditionalFormatting sqref="D107:S115">
    <cfRule type="expression" dxfId="3040" priority="1013">
      <formula>LEN(TRIM(D107))=0</formula>
    </cfRule>
    <cfRule type="cellIs" dxfId="3039" priority="1012" operator="equal">
      <formula>0</formula>
    </cfRule>
  </conditionalFormatting>
  <conditionalFormatting sqref="D121:S127">
    <cfRule type="expression" dxfId="3038" priority="1007">
      <formula>LEN(TRIM(D121))=0</formula>
    </cfRule>
  </conditionalFormatting>
  <conditionalFormatting sqref="D129:S141">
    <cfRule type="expression" dxfId="3037" priority="984">
      <formula>LEN(TRIM(D129))=0</formula>
    </cfRule>
    <cfRule type="cellIs" dxfId="3036" priority="983" operator="equal">
      <formula>0</formula>
    </cfRule>
  </conditionalFormatting>
  <conditionalFormatting sqref="D143:S151">
    <cfRule type="expression" dxfId="3035" priority="972">
      <formula>LEN(TRIM(D143))=0</formula>
    </cfRule>
    <cfRule type="cellIs" dxfId="3034" priority="971" operator="equal">
      <formula>0</formula>
    </cfRule>
  </conditionalFormatting>
  <conditionalFormatting sqref="D157:S163">
    <cfRule type="expression" dxfId="3033" priority="966">
      <formula>LEN(TRIM(D157))=0</formula>
    </cfRule>
  </conditionalFormatting>
  <conditionalFormatting sqref="D165:S177">
    <cfRule type="expression" dxfId="3032" priority="943">
      <formula>LEN(TRIM(D165))=0</formula>
    </cfRule>
    <cfRule type="cellIs" dxfId="3031" priority="942" operator="equal">
      <formula>0</formula>
    </cfRule>
  </conditionalFormatting>
  <conditionalFormatting sqref="D179:S187">
    <cfRule type="cellIs" dxfId="3030" priority="930" operator="equal">
      <formula>0</formula>
    </cfRule>
    <cfRule type="expression" dxfId="3029" priority="931">
      <formula>LEN(TRIM(D179))=0</formula>
    </cfRule>
  </conditionalFormatting>
  <conditionalFormatting sqref="D193:S199">
    <cfRule type="expression" dxfId="3028" priority="925">
      <formula>LEN(TRIM(D193))=0</formula>
    </cfRule>
  </conditionalFormatting>
  <conditionalFormatting sqref="D201:S213">
    <cfRule type="expression" dxfId="3027" priority="902">
      <formula>LEN(TRIM(D201))=0</formula>
    </cfRule>
    <cfRule type="cellIs" dxfId="3026" priority="901" operator="equal">
      <formula>0</formula>
    </cfRule>
  </conditionalFormatting>
  <conditionalFormatting sqref="D215:S223">
    <cfRule type="expression" dxfId="3025" priority="890">
      <formula>LEN(TRIM(D215))=0</formula>
    </cfRule>
    <cfRule type="cellIs" dxfId="3024" priority="889" operator="equal">
      <formula>0</formula>
    </cfRule>
  </conditionalFormatting>
  <conditionalFormatting sqref="D229:S235">
    <cfRule type="expression" dxfId="3023" priority="884">
      <formula>LEN(TRIM(D229))=0</formula>
    </cfRule>
  </conditionalFormatting>
  <conditionalFormatting sqref="D237:S249">
    <cfRule type="cellIs" dxfId="3022" priority="860" operator="equal">
      <formula>0</formula>
    </cfRule>
    <cfRule type="expression" dxfId="3021" priority="861">
      <formula>LEN(TRIM(D237))=0</formula>
    </cfRule>
  </conditionalFormatting>
  <conditionalFormatting sqref="D251:S259">
    <cfRule type="expression" dxfId="3020" priority="849">
      <formula>LEN(TRIM(D251))=0</formula>
    </cfRule>
    <cfRule type="cellIs" dxfId="3019" priority="848" operator="equal">
      <formula>0</formula>
    </cfRule>
  </conditionalFormatting>
  <conditionalFormatting sqref="D265:S271">
    <cfRule type="expression" dxfId="3018" priority="843">
      <formula>LEN(TRIM(D265))=0</formula>
    </cfRule>
  </conditionalFormatting>
  <conditionalFormatting sqref="D273:S285">
    <cfRule type="expression" dxfId="3017" priority="820">
      <formula>LEN(TRIM(D273))=0</formula>
    </cfRule>
    <cfRule type="cellIs" dxfId="3016" priority="819" operator="equal">
      <formula>0</formula>
    </cfRule>
  </conditionalFormatting>
  <conditionalFormatting sqref="D287:S295">
    <cfRule type="cellIs" dxfId="3015" priority="807" operator="equal">
      <formula>0</formula>
    </cfRule>
    <cfRule type="expression" dxfId="3014" priority="808">
      <formula>LEN(TRIM(D287))=0</formula>
    </cfRule>
  </conditionalFormatting>
  <conditionalFormatting sqref="D301:S307">
    <cfRule type="expression" dxfId="3013" priority="802">
      <formula>LEN(TRIM(D301))=0</formula>
    </cfRule>
  </conditionalFormatting>
  <conditionalFormatting sqref="D309:S321">
    <cfRule type="cellIs" dxfId="3012" priority="778" operator="equal">
      <formula>0</formula>
    </cfRule>
    <cfRule type="expression" dxfId="3011" priority="779">
      <formula>LEN(TRIM(D309))=0</formula>
    </cfRule>
  </conditionalFormatting>
  <conditionalFormatting sqref="D323:S331">
    <cfRule type="expression" dxfId="3010" priority="767">
      <formula>LEN(TRIM(D323))=0</formula>
    </cfRule>
    <cfRule type="cellIs" dxfId="3009" priority="766" operator="equal">
      <formula>0</formula>
    </cfRule>
  </conditionalFormatting>
  <conditionalFormatting sqref="D337:S343">
    <cfRule type="expression" dxfId="3008" priority="761">
      <formula>LEN(TRIM(D337))=0</formula>
    </cfRule>
  </conditionalFormatting>
  <conditionalFormatting sqref="D345:S357">
    <cfRule type="cellIs" dxfId="3007" priority="737" operator="equal">
      <formula>0</formula>
    </cfRule>
    <cfRule type="expression" dxfId="3006" priority="738">
      <formula>LEN(TRIM(D345))=0</formula>
    </cfRule>
  </conditionalFormatting>
  <conditionalFormatting sqref="D359:S367">
    <cfRule type="expression" dxfId="3005" priority="726">
      <formula>LEN(TRIM(D359))=0</formula>
    </cfRule>
    <cfRule type="cellIs" dxfId="3004" priority="725" operator="equal">
      <formula>0</formula>
    </cfRule>
  </conditionalFormatting>
  <conditionalFormatting sqref="D373:S379">
    <cfRule type="expression" dxfId="3003" priority="720">
      <formula>LEN(TRIM(D373))=0</formula>
    </cfRule>
  </conditionalFormatting>
  <conditionalFormatting sqref="D381:S393">
    <cfRule type="cellIs" dxfId="3002" priority="696" operator="equal">
      <formula>0</formula>
    </cfRule>
    <cfRule type="expression" dxfId="3001" priority="697">
      <formula>LEN(TRIM(D381))=0</formula>
    </cfRule>
  </conditionalFormatting>
  <conditionalFormatting sqref="D395:S403">
    <cfRule type="cellIs" dxfId="3000" priority="684" operator="equal">
      <formula>0</formula>
    </cfRule>
    <cfRule type="expression" dxfId="2999" priority="685">
      <formula>LEN(TRIM(D395))=0</formula>
    </cfRule>
  </conditionalFormatting>
  <conditionalFormatting sqref="D409:S415">
    <cfRule type="expression" dxfId="2998" priority="679">
      <formula>LEN(TRIM(D409))=0</formula>
    </cfRule>
  </conditionalFormatting>
  <conditionalFormatting sqref="D417:S429">
    <cfRule type="expression" dxfId="2997" priority="656">
      <formula>LEN(TRIM(D417))=0</formula>
    </cfRule>
    <cfRule type="cellIs" dxfId="2996" priority="655" operator="equal">
      <formula>0</formula>
    </cfRule>
  </conditionalFormatting>
  <conditionalFormatting sqref="D431:S439">
    <cfRule type="cellIs" dxfId="2995" priority="643" operator="equal">
      <formula>0</formula>
    </cfRule>
    <cfRule type="expression" dxfId="2994" priority="644">
      <formula>LEN(TRIM(D431))=0</formula>
    </cfRule>
  </conditionalFormatting>
  <conditionalFormatting sqref="G12:G14 Q12:S14 D12:F17 E15:I17 P15:S17 D18:S18">
    <cfRule type="cellIs" dxfId="2993" priority="1114" operator="equal">
      <formula>0</formula>
    </cfRule>
  </conditionalFormatting>
  <conditionalFormatting sqref="G48:G50 Q48:S50 D48:F53 E51:I53 P51:S53 D54:S54">
    <cfRule type="cellIs" dxfId="2992" priority="1073" operator="equal">
      <formula>0</formula>
    </cfRule>
  </conditionalFormatting>
  <conditionalFormatting sqref="G85:G87 Q85:S87 D85:F90 E88:I90 P88:S90 D91:S91">
    <cfRule type="cellIs" dxfId="2991" priority="1032" operator="equal">
      <formula>0</formula>
    </cfRule>
  </conditionalFormatting>
  <conditionalFormatting sqref="G121:G123 Q121:S123 D121:F126 E124:I126 P124:S126 D127:S127">
    <cfRule type="cellIs" dxfId="2990" priority="991" operator="equal">
      <formula>0</formula>
    </cfRule>
  </conditionalFormatting>
  <conditionalFormatting sqref="G157:G159 Q157:S159 D157:F162 E160:I162 P160:S162 D163:S163">
    <cfRule type="cellIs" dxfId="2989" priority="950" operator="equal">
      <formula>0</formula>
    </cfRule>
  </conditionalFormatting>
  <conditionalFormatting sqref="G193:G195 Q193:S195 D193:F198 E196:I198 P196:S198 D199:S199">
    <cfRule type="cellIs" dxfId="2988" priority="909" operator="equal">
      <formula>0</formula>
    </cfRule>
  </conditionalFormatting>
  <conditionalFormatting sqref="G229:G231 Q229:S231 D229:F234 E232:I234 P232:S234 D235:S235">
    <cfRule type="cellIs" dxfId="2987" priority="868" operator="equal">
      <formula>0</formula>
    </cfRule>
  </conditionalFormatting>
  <conditionalFormatting sqref="G265:G267 Q265:S267 D265:F270 E268:I270 P268:S270 D271:S271">
    <cfRule type="cellIs" dxfId="2986" priority="827" operator="equal">
      <formula>0</formula>
    </cfRule>
  </conditionalFormatting>
  <conditionalFormatting sqref="G301:G303 Q301:S303 D301:F306 E304:I306 P304:S306 D307:S307">
    <cfRule type="cellIs" dxfId="2985" priority="786" operator="equal">
      <formula>0</formula>
    </cfRule>
  </conditionalFormatting>
  <conditionalFormatting sqref="G337:G339 Q337:S339 D337:F342 E340:I342 P340:S342 D343:S343">
    <cfRule type="cellIs" dxfId="2984" priority="745" operator="equal">
      <formula>0</formula>
    </cfRule>
  </conditionalFormatting>
  <conditionalFormatting sqref="G373:G375 Q373:S375 D373:F378 E376:I378 P376:S378 D379:S379">
    <cfRule type="cellIs" dxfId="2983" priority="704" operator="equal">
      <formula>0</formula>
    </cfRule>
  </conditionalFormatting>
  <conditionalFormatting sqref="G409:G411 Q409:S411 D409:F414 E412:I414 P412:S414 D415:S415">
    <cfRule type="cellIs" dxfId="2982" priority="663" operator="equal">
      <formula>0</formula>
    </cfRule>
  </conditionalFormatting>
  <conditionalFormatting sqref="H12:I17">
    <cfRule type="cellIs" dxfId="2981" priority="1116" operator="equal">
      <formula>0</formula>
    </cfRule>
  </conditionalFormatting>
  <conditionalFormatting sqref="H48:I53">
    <cfRule type="cellIs" dxfId="2980" priority="1075" operator="equal">
      <formula>0</formula>
    </cfRule>
  </conditionalFormatting>
  <conditionalFormatting sqref="H85:I90">
    <cfRule type="cellIs" dxfId="2979" priority="1034" operator="equal">
      <formula>0</formula>
    </cfRule>
  </conditionalFormatting>
  <conditionalFormatting sqref="H121:I126">
    <cfRule type="cellIs" dxfId="2978" priority="993" operator="equal">
      <formula>0</formula>
    </cfRule>
  </conditionalFormatting>
  <conditionalFormatting sqref="H157:I162">
    <cfRule type="cellIs" dxfId="2977" priority="952" operator="equal">
      <formula>0</formula>
    </cfRule>
  </conditionalFormatting>
  <conditionalFormatting sqref="H193:I198">
    <cfRule type="cellIs" dxfId="2976" priority="911" operator="equal">
      <formula>0</formula>
    </cfRule>
  </conditionalFormatting>
  <conditionalFormatting sqref="H229:I234">
    <cfRule type="cellIs" dxfId="2975" priority="870" operator="equal">
      <formula>0</formula>
    </cfRule>
  </conditionalFormatting>
  <conditionalFormatting sqref="H265:I270">
    <cfRule type="cellIs" dxfId="2974" priority="829" operator="equal">
      <formula>0</formula>
    </cfRule>
  </conditionalFormatting>
  <conditionalFormatting sqref="H301:I306">
    <cfRule type="cellIs" dxfId="2973" priority="788" operator="equal">
      <formula>0</formula>
    </cfRule>
  </conditionalFormatting>
  <conditionalFormatting sqref="H337:I342">
    <cfRule type="cellIs" dxfId="2972" priority="747" operator="equal">
      <formula>0</formula>
    </cfRule>
  </conditionalFormatting>
  <conditionalFormatting sqref="H373:I378">
    <cfRule type="cellIs" dxfId="2971" priority="706" operator="equal">
      <formula>0</formula>
    </cfRule>
  </conditionalFormatting>
  <conditionalFormatting sqref="H409:I414">
    <cfRule type="cellIs" dxfId="2970" priority="665" operator="equal">
      <formula>0</formula>
    </cfRule>
  </conditionalFormatting>
  <conditionalFormatting sqref="J11:O17">
    <cfRule type="cellIs" dxfId="2969" priority="145" operator="equal">
      <formula>0</formula>
    </cfRule>
  </conditionalFormatting>
  <conditionalFormatting sqref="J47:O53">
    <cfRule type="cellIs" dxfId="2968" priority="133" operator="equal">
      <formula>0</formula>
    </cfRule>
  </conditionalFormatting>
  <conditionalFormatting sqref="J84:O90">
    <cfRule type="cellIs" dxfId="2967" priority="121" operator="equal">
      <formula>0</formula>
    </cfRule>
  </conditionalFormatting>
  <conditionalFormatting sqref="J120:O126">
    <cfRule type="cellIs" dxfId="2966" priority="109" operator="equal">
      <formula>0</formula>
    </cfRule>
  </conditionalFormatting>
  <conditionalFormatting sqref="J156:O162">
    <cfRule type="cellIs" dxfId="2965" priority="97" operator="equal">
      <formula>0</formula>
    </cfRule>
  </conditionalFormatting>
  <conditionalFormatting sqref="J192:O198">
    <cfRule type="cellIs" dxfId="2964" priority="85" operator="equal">
      <formula>0</formula>
    </cfRule>
  </conditionalFormatting>
  <conditionalFormatting sqref="J228:O234">
    <cfRule type="cellIs" dxfId="2963" priority="73" operator="equal">
      <formula>0</formula>
    </cfRule>
  </conditionalFormatting>
  <conditionalFormatting sqref="J264:O270">
    <cfRule type="cellIs" dxfId="2962" priority="61" operator="equal">
      <formula>0</formula>
    </cfRule>
  </conditionalFormatting>
  <conditionalFormatting sqref="J300:O306">
    <cfRule type="cellIs" dxfId="2961" priority="49" operator="equal">
      <formula>0</formula>
    </cfRule>
  </conditionalFormatting>
  <conditionalFormatting sqref="J336:O342">
    <cfRule type="cellIs" dxfId="2960" priority="37" operator="equal">
      <formula>0</formula>
    </cfRule>
  </conditionalFormatting>
  <conditionalFormatting sqref="J372:O378">
    <cfRule type="cellIs" dxfId="2959" priority="25" operator="equal">
      <formula>0</formula>
    </cfRule>
  </conditionalFormatting>
  <conditionalFormatting sqref="J408:O414">
    <cfRule type="cellIs" dxfId="2958" priority="13" operator="equal">
      <formula>0</formula>
    </cfRule>
  </conditionalFormatting>
  <conditionalFormatting sqref="K12:O12">
    <cfRule type="cellIs" dxfId="2957" priority="1119" operator="equal">
      <formula>0</formula>
    </cfRule>
  </conditionalFormatting>
  <conditionalFormatting sqref="K48:O48">
    <cfRule type="cellIs" dxfId="2956" priority="1078" operator="equal">
      <formula>0</formula>
    </cfRule>
  </conditionalFormatting>
  <conditionalFormatting sqref="K85:O85">
    <cfRule type="cellIs" dxfId="2955" priority="1037" operator="equal">
      <formula>0</formula>
    </cfRule>
  </conditionalFormatting>
  <conditionalFormatting sqref="K121:O121">
    <cfRule type="cellIs" dxfId="2954" priority="996" operator="equal">
      <formula>0</formula>
    </cfRule>
  </conditionalFormatting>
  <conditionalFormatting sqref="K157:O157">
    <cfRule type="cellIs" dxfId="2953" priority="955" operator="equal">
      <formula>0</formula>
    </cfRule>
  </conditionalFormatting>
  <conditionalFormatting sqref="K193:O193">
    <cfRule type="cellIs" dxfId="2952" priority="914" operator="equal">
      <formula>0</formula>
    </cfRule>
  </conditionalFormatting>
  <conditionalFormatting sqref="K229:O229">
    <cfRule type="cellIs" dxfId="2951" priority="873" operator="equal">
      <formula>0</formula>
    </cfRule>
  </conditionalFormatting>
  <conditionalFormatting sqref="K265:O265">
    <cfRule type="cellIs" dxfId="2950" priority="832" operator="equal">
      <formula>0</formula>
    </cfRule>
  </conditionalFormatting>
  <conditionalFormatting sqref="K301:O301">
    <cfRule type="cellIs" dxfId="2949" priority="791" operator="equal">
      <formula>0</formula>
    </cfRule>
  </conditionalFormatting>
  <conditionalFormatting sqref="K337:O337">
    <cfRule type="cellIs" dxfId="2948" priority="750" operator="equal">
      <formula>0</formula>
    </cfRule>
  </conditionalFormatting>
  <conditionalFormatting sqref="K373:O373">
    <cfRule type="cellIs" dxfId="2947" priority="709" operator="equal">
      <formula>0</formula>
    </cfRule>
  </conditionalFormatting>
  <conditionalFormatting sqref="K409:O409">
    <cfRule type="cellIs" dxfId="2946" priority="668" operator="equal">
      <formula>0</formula>
    </cfRule>
  </conditionalFormatting>
  <conditionalFormatting sqref="P12:P17">
    <cfRule type="cellIs" dxfId="2945" priority="1115" operator="equal">
      <formula>0</formula>
    </cfRule>
  </conditionalFormatting>
  <conditionalFormatting sqref="P48:P53">
    <cfRule type="cellIs" dxfId="2944" priority="1074" operator="equal">
      <formula>0</formula>
    </cfRule>
  </conditionalFormatting>
  <conditionalFormatting sqref="P85:P90">
    <cfRule type="cellIs" dxfId="2943" priority="1033" operator="equal">
      <formula>0</formula>
    </cfRule>
  </conditionalFormatting>
  <conditionalFormatting sqref="P121:P126">
    <cfRule type="cellIs" dxfId="2942" priority="992" operator="equal">
      <formula>0</formula>
    </cfRule>
  </conditionalFormatting>
  <conditionalFormatting sqref="P157:P162">
    <cfRule type="cellIs" dxfId="2941" priority="951" operator="equal">
      <formula>0</formula>
    </cfRule>
  </conditionalFormatting>
  <conditionalFormatting sqref="P193:P198">
    <cfRule type="cellIs" dxfId="2940" priority="910" operator="equal">
      <formula>0</formula>
    </cfRule>
  </conditionalFormatting>
  <conditionalFormatting sqref="P229:P234">
    <cfRule type="cellIs" dxfId="2939" priority="869" operator="equal">
      <formula>0</formula>
    </cfRule>
  </conditionalFormatting>
  <conditionalFormatting sqref="P265:P270">
    <cfRule type="cellIs" dxfId="2938" priority="828" operator="equal">
      <formula>0</formula>
    </cfRule>
  </conditionalFormatting>
  <conditionalFormatting sqref="P301:P306">
    <cfRule type="cellIs" dxfId="2937" priority="787" operator="equal">
      <formula>0</formula>
    </cfRule>
  </conditionalFormatting>
  <conditionalFormatting sqref="P337:P342">
    <cfRule type="cellIs" dxfId="2936" priority="746" operator="equal">
      <formula>0</formula>
    </cfRule>
  </conditionalFormatting>
  <conditionalFormatting sqref="P373:P378">
    <cfRule type="cellIs" dxfId="2935" priority="705" operator="equal">
      <formula>0</formula>
    </cfRule>
  </conditionalFormatting>
  <conditionalFormatting sqref="P409:P414">
    <cfRule type="cellIs" dxfId="2934" priority="664" operator="equal">
      <formula>0</formula>
    </cfRule>
  </conditionalFormatting>
  <conditionalFormatting sqref="V12:AK18">
    <cfRule type="expression" dxfId="2933" priority="638">
      <formula>LEN(TRIM(V12))=0</formula>
    </cfRule>
  </conditionalFormatting>
  <conditionalFormatting sqref="V20:AK32">
    <cfRule type="cellIs" dxfId="2932" priority="614" operator="equal">
      <formula>0</formula>
    </cfRule>
    <cfRule type="expression" dxfId="2931" priority="615">
      <formula>LEN(TRIM(V20))=0</formula>
    </cfRule>
  </conditionalFormatting>
  <conditionalFormatting sqref="V34:AK42">
    <cfRule type="expression" dxfId="2930" priority="603">
      <formula>LEN(TRIM(V34))=0</formula>
    </cfRule>
    <cfRule type="cellIs" dxfId="2929" priority="602" operator="equal">
      <formula>0</formula>
    </cfRule>
  </conditionalFormatting>
  <conditionalFormatting sqref="V48:AK54">
    <cfRule type="expression" dxfId="2928" priority="597">
      <formula>LEN(TRIM(V48))=0</formula>
    </cfRule>
  </conditionalFormatting>
  <conditionalFormatting sqref="V56:AK68">
    <cfRule type="expression" dxfId="2927" priority="574">
      <formula>LEN(TRIM(V56))=0</formula>
    </cfRule>
    <cfRule type="cellIs" dxfId="2926" priority="573" operator="equal">
      <formula>0</formula>
    </cfRule>
  </conditionalFormatting>
  <conditionalFormatting sqref="V70:AK78">
    <cfRule type="expression" dxfId="2925" priority="562">
      <formula>LEN(TRIM(V70))=0</formula>
    </cfRule>
    <cfRule type="cellIs" dxfId="2924" priority="561" operator="equal">
      <formula>0</formula>
    </cfRule>
  </conditionalFormatting>
  <conditionalFormatting sqref="V85:AK91">
    <cfRule type="expression" dxfId="2923" priority="556">
      <formula>LEN(TRIM(V85))=0</formula>
    </cfRule>
  </conditionalFormatting>
  <conditionalFormatting sqref="V93:AK105">
    <cfRule type="expression" dxfId="2922" priority="533">
      <formula>LEN(TRIM(V93))=0</formula>
    </cfRule>
    <cfRule type="cellIs" dxfId="2921" priority="532" operator="equal">
      <formula>0</formula>
    </cfRule>
  </conditionalFormatting>
  <conditionalFormatting sqref="V107:AK115">
    <cfRule type="cellIs" dxfId="2920" priority="520" operator="equal">
      <formula>0</formula>
    </cfRule>
    <cfRule type="expression" dxfId="2919" priority="521">
      <formula>LEN(TRIM(V107))=0</formula>
    </cfRule>
  </conditionalFormatting>
  <conditionalFormatting sqref="V121:AK127">
    <cfRule type="expression" dxfId="2918" priority="515">
      <formula>LEN(TRIM(V121))=0</formula>
    </cfRule>
  </conditionalFormatting>
  <conditionalFormatting sqref="V129:AK141">
    <cfRule type="expression" dxfId="2917" priority="492">
      <formula>LEN(TRIM(V129))=0</formula>
    </cfRule>
    <cfRule type="cellIs" dxfId="2916" priority="491" operator="equal">
      <formula>0</formula>
    </cfRule>
  </conditionalFormatting>
  <conditionalFormatting sqref="V143:AK151">
    <cfRule type="expression" dxfId="2915" priority="480">
      <formula>LEN(TRIM(V143))=0</formula>
    </cfRule>
    <cfRule type="cellIs" dxfId="2914" priority="479" operator="equal">
      <formula>0</formula>
    </cfRule>
  </conditionalFormatting>
  <conditionalFormatting sqref="V157:AK163">
    <cfRule type="expression" dxfId="2913" priority="474">
      <formula>LEN(TRIM(V157))=0</formula>
    </cfRule>
  </conditionalFormatting>
  <conditionalFormatting sqref="V165:AK177">
    <cfRule type="cellIs" dxfId="2912" priority="450" operator="equal">
      <formula>0</formula>
    </cfRule>
    <cfRule type="expression" dxfId="2911" priority="451">
      <formula>LEN(TRIM(V165))=0</formula>
    </cfRule>
  </conditionalFormatting>
  <conditionalFormatting sqref="V179:AK187">
    <cfRule type="cellIs" dxfId="2910" priority="438" operator="equal">
      <formula>0</formula>
    </cfRule>
    <cfRule type="expression" dxfId="2909" priority="439">
      <formula>LEN(TRIM(V179))=0</formula>
    </cfRule>
  </conditionalFormatting>
  <conditionalFormatting sqref="V193:AK199">
    <cfRule type="expression" dxfId="2908" priority="433">
      <formula>LEN(TRIM(V193))=0</formula>
    </cfRule>
  </conditionalFormatting>
  <conditionalFormatting sqref="V201:AK213">
    <cfRule type="expression" dxfId="2907" priority="410">
      <formula>LEN(TRIM(V201))=0</formula>
    </cfRule>
    <cfRule type="cellIs" dxfId="2906" priority="409" operator="equal">
      <formula>0</formula>
    </cfRule>
  </conditionalFormatting>
  <conditionalFormatting sqref="V215:AK223">
    <cfRule type="cellIs" dxfId="2905" priority="397" operator="equal">
      <formula>0</formula>
    </cfRule>
    <cfRule type="expression" dxfId="2904" priority="398">
      <formula>LEN(TRIM(V215))=0</formula>
    </cfRule>
  </conditionalFormatting>
  <conditionalFormatting sqref="V229:AK235">
    <cfRule type="expression" dxfId="2903" priority="392">
      <formula>LEN(TRIM(V229))=0</formula>
    </cfRule>
  </conditionalFormatting>
  <conditionalFormatting sqref="V237:AK249">
    <cfRule type="expression" dxfId="2902" priority="369">
      <formula>LEN(TRIM(V237))=0</formula>
    </cfRule>
    <cfRule type="cellIs" dxfId="2901" priority="368" operator="equal">
      <formula>0</formula>
    </cfRule>
  </conditionalFormatting>
  <conditionalFormatting sqref="V251:AK259">
    <cfRule type="expression" dxfId="2900" priority="357">
      <formula>LEN(TRIM(V251))=0</formula>
    </cfRule>
    <cfRule type="cellIs" dxfId="2899" priority="356" operator="equal">
      <formula>0</formula>
    </cfRule>
  </conditionalFormatting>
  <conditionalFormatting sqref="V265:AK271">
    <cfRule type="expression" dxfId="2898" priority="351">
      <formula>LEN(TRIM(V265))=0</formula>
    </cfRule>
  </conditionalFormatting>
  <conditionalFormatting sqref="V273:AK285">
    <cfRule type="expression" dxfId="2897" priority="328">
      <formula>LEN(TRIM(V273))=0</formula>
    </cfRule>
    <cfRule type="cellIs" dxfId="2896" priority="327" operator="equal">
      <formula>0</formula>
    </cfRule>
  </conditionalFormatting>
  <conditionalFormatting sqref="V287:AK295">
    <cfRule type="cellIs" dxfId="2895" priority="315" operator="equal">
      <formula>0</formula>
    </cfRule>
    <cfRule type="expression" dxfId="2894" priority="316">
      <formula>LEN(TRIM(V287))=0</formula>
    </cfRule>
  </conditionalFormatting>
  <conditionalFormatting sqref="V301:AK307">
    <cfRule type="expression" dxfId="2893" priority="310">
      <formula>LEN(TRIM(V301))=0</formula>
    </cfRule>
  </conditionalFormatting>
  <conditionalFormatting sqref="V309:AK321">
    <cfRule type="expression" dxfId="2892" priority="287">
      <formula>LEN(TRIM(V309))=0</formula>
    </cfRule>
    <cfRule type="cellIs" dxfId="2891" priority="286" operator="equal">
      <formula>0</formula>
    </cfRule>
  </conditionalFormatting>
  <conditionalFormatting sqref="V323:AK331">
    <cfRule type="expression" dxfId="2890" priority="275">
      <formula>LEN(TRIM(V323))=0</formula>
    </cfRule>
    <cfRule type="cellIs" dxfId="2889" priority="274" operator="equal">
      <formula>0</formula>
    </cfRule>
  </conditionalFormatting>
  <conditionalFormatting sqref="V337:AK343">
    <cfRule type="expression" dxfId="2888" priority="269">
      <formula>LEN(TRIM(V337))=0</formula>
    </cfRule>
  </conditionalFormatting>
  <conditionalFormatting sqref="V345:AK357">
    <cfRule type="expression" dxfId="2887" priority="246">
      <formula>LEN(TRIM(V345))=0</formula>
    </cfRule>
    <cfRule type="cellIs" dxfId="2886" priority="245" operator="equal">
      <formula>0</formula>
    </cfRule>
  </conditionalFormatting>
  <conditionalFormatting sqref="V359:AK367">
    <cfRule type="expression" dxfId="2885" priority="234">
      <formula>LEN(TRIM(V359))=0</formula>
    </cfRule>
    <cfRule type="cellIs" dxfId="2884" priority="233" operator="equal">
      <formula>0</formula>
    </cfRule>
  </conditionalFormatting>
  <conditionalFormatting sqref="V373:AK379">
    <cfRule type="expression" dxfId="2883" priority="228">
      <formula>LEN(TRIM(V373))=0</formula>
    </cfRule>
  </conditionalFormatting>
  <conditionalFormatting sqref="V381:AK393">
    <cfRule type="cellIs" dxfId="2882" priority="204" operator="equal">
      <formula>0</formula>
    </cfRule>
    <cfRule type="expression" dxfId="2881" priority="205">
      <formula>LEN(TRIM(V381))=0</formula>
    </cfRule>
  </conditionalFormatting>
  <conditionalFormatting sqref="V395:AK403">
    <cfRule type="expression" dxfId="2880" priority="193">
      <formula>LEN(TRIM(V395))=0</formula>
    </cfRule>
    <cfRule type="cellIs" dxfId="2879" priority="192" operator="equal">
      <formula>0</formula>
    </cfRule>
  </conditionalFormatting>
  <conditionalFormatting sqref="V409:AK415">
    <cfRule type="expression" dxfId="2878" priority="187">
      <formula>LEN(TRIM(V409))=0</formula>
    </cfRule>
  </conditionalFormatting>
  <conditionalFormatting sqref="V417:AK429">
    <cfRule type="cellIs" dxfId="2877" priority="163" operator="equal">
      <formula>0</formula>
    </cfRule>
    <cfRule type="expression" dxfId="2876" priority="164">
      <formula>LEN(TRIM(V417))=0</formula>
    </cfRule>
  </conditionalFormatting>
  <conditionalFormatting sqref="V431:AK439">
    <cfRule type="expression" dxfId="2875" priority="152">
      <formula>LEN(TRIM(V431))=0</formula>
    </cfRule>
    <cfRule type="cellIs" dxfId="2874" priority="151" operator="equal">
      <formula>0</formula>
    </cfRule>
  </conditionalFormatting>
  <conditionalFormatting sqref="Y12:Y14 AI12:AK14 V12:X17 W15:AA17 AH15:AK17 V18:AK18">
    <cfRule type="cellIs" dxfId="2873" priority="622" operator="equal">
      <formula>0</formula>
    </cfRule>
  </conditionalFormatting>
  <conditionalFormatting sqref="Y48:Y50 AI48:AK50 V48:X53 W51:AA53 AH51:AK53 V54:AK54">
    <cfRule type="cellIs" dxfId="2872" priority="581" operator="equal">
      <formula>0</formula>
    </cfRule>
  </conditionalFormatting>
  <conditionalFormatting sqref="Y85:Y87 AI85:AK87 V85:X90 W88:AA90 AH88:AK90 V91:AK91">
    <cfRule type="cellIs" dxfId="2871" priority="540" operator="equal">
      <formula>0</formula>
    </cfRule>
  </conditionalFormatting>
  <conditionalFormatting sqref="Y121:Y123 AI121:AK123 V121:X126 W124:AA126 AH124:AK126 V127:AK127">
    <cfRule type="cellIs" dxfId="2870" priority="499" operator="equal">
      <formula>0</formula>
    </cfRule>
  </conditionalFormatting>
  <conditionalFormatting sqref="Y157:Y159 AI157:AK159 V157:X162 W160:AA162 AH160:AK162 V163:AK163">
    <cfRule type="cellIs" dxfId="2869" priority="458" operator="equal">
      <formula>0</formula>
    </cfRule>
  </conditionalFormatting>
  <conditionalFormatting sqref="Y193:Y195 AI193:AK195 V193:X198 W196:AA198 AH196:AK198 V199:AK199">
    <cfRule type="cellIs" dxfId="2868" priority="417" operator="equal">
      <formula>0</formula>
    </cfRule>
  </conditionalFormatting>
  <conditionalFormatting sqref="Y229:Y231 AI229:AK231 V229:X234 W232:AA234 AH232:AK234 V235:AK235">
    <cfRule type="cellIs" dxfId="2867" priority="376" operator="equal">
      <formula>0</formula>
    </cfRule>
  </conditionalFormatting>
  <conditionalFormatting sqref="Y265:Y267 AI265:AK267 V265:X270 W268:AA270 AH268:AK270 V271:AK271">
    <cfRule type="cellIs" dxfId="2866" priority="335" operator="equal">
      <formula>0</formula>
    </cfRule>
  </conditionalFormatting>
  <conditionalFormatting sqref="Y301:Y303 AI301:AK303 V301:X306 W304:AA306 AH304:AK306 V307:AK307">
    <cfRule type="cellIs" dxfId="2865" priority="294" operator="equal">
      <formula>0</formula>
    </cfRule>
  </conditionalFormatting>
  <conditionalFormatting sqref="Y337:Y339 AI337:AK339 V337:X342 W340:AA342 AH340:AK342 V343:AK343">
    <cfRule type="cellIs" dxfId="2864" priority="253" operator="equal">
      <formula>0</formula>
    </cfRule>
  </conditionalFormatting>
  <conditionalFormatting sqref="Y373:Y375 AI373:AK375 V373:X378 W376:AA378 AH376:AK378 V379:AK379">
    <cfRule type="cellIs" dxfId="2863" priority="212" operator="equal">
      <formula>0</formula>
    </cfRule>
  </conditionalFormatting>
  <conditionalFormatting sqref="Y409:Y411 AI409:AK411 V409:X414 W412:AA414 AH412:AK414 V415:AK415">
    <cfRule type="cellIs" dxfId="2862" priority="171" operator="equal">
      <formula>0</formula>
    </cfRule>
  </conditionalFormatting>
  <conditionalFormatting sqref="Z12:AA17">
    <cfRule type="cellIs" dxfId="2861" priority="624" operator="equal">
      <formula>0</formula>
    </cfRule>
  </conditionalFormatting>
  <conditionalFormatting sqref="Z48:AA53">
    <cfRule type="cellIs" dxfId="2860" priority="583" operator="equal">
      <formula>0</formula>
    </cfRule>
  </conditionalFormatting>
  <conditionalFormatting sqref="Z85:AA90">
    <cfRule type="cellIs" dxfId="2859" priority="542" operator="equal">
      <formula>0</formula>
    </cfRule>
  </conditionalFormatting>
  <conditionalFormatting sqref="Z121:AA126">
    <cfRule type="cellIs" dxfId="2858" priority="501" operator="equal">
      <formula>0</formula>
    </cfRule>
  </conditionalFormatting>
  <conditionalFormatting sqref="Z157:AA162">
    <cfRule type="cellIs" dxfId="2857" priority="460" operator="equal">
      <formula>0</formula>
    </cfRule>
  </conditionalFormatting>
  <conditionalFormatting sqref="Z193:AA198">
    <cfRule type="cellIs" dxfId="2856" priority="419" operator="equal">
      <formula>0</formula>
    </cfRule>
  </conditionalFormatting>
  <conditionalFormatting sqref="Z229:AA234">
    <cfRule type="cellIs" dxfId="2855" priority="378" operator="equal">
      <formula>0</formula>
    </cfRule>
  </conditionalFormatting>
  <conditionalFormatting sqref="Z265:AA270">
    <cfRule type="cellIs" dxfId="2854" priority="337" operator="equal">
      <formula>0</formula>
    </cfRule>
  </conditionalFormatting>
  <conditionalFormatting sqref="Z301:AA306">
    <cfRule type="cellIs" dxfId="2853" priority="296" operator="equal">
      <formula>0</formula>
    </cfRule>
  </conditionalFormatting>
  <conditionalFormatting sqref="Z337:AA342">
    <cfRule type="cellIs" dxfId="2852" priority="255" operator="equal">
      <formula>0</formula>
    </cfRule>
  </conditionalFormatting>
  <conditionalFormatting sqref="Z373:AA378">
    <cfRule type="cellIs" dxfId="2851" priority="214" operator="equal">
      <formula>0</formula>
    </cfRule>
  </conditionalFormatting>
  <conditionalFormatting sqref="Z409:AA414">
    <cfRule type="cellIs" dxfId="2850" priority="173" operator="equal">
      <formula>0</formula>
    </cfRule>
  </conditionalFormatting>
  <conditionalFormatting sqref="AB11:AG17">
    <cfRule type="cellIs" dxfId="2849" priority="139" operator="equal">
      <formula>0</formula>
    </cfRule>
  </conditionalFormatting>
  <conditionalFormatting sqref="AB47:AG53">
    <cfRule type="cellIs" dxfId="2848" priority="127" operator="equal">
      <formula>0</formula>
    </cfRule>
  </conditionalFormatting>
  <conditionalFormatting sqref="AB84:AG90">
    <cfRule type="cellIs" dxfId="2847" priority="115" operator="equal">
      <formula>0</formula>
    </cfRule>
  </conditionalFormatting>
  <conditionalFormatting sqref="AB120:AG126">
    <cfRule type="cellIs" dxfId="2846" priority="103" operator="equal">
      <formula>0</formula>
    </cfRule>
  </conditionalFormatting>
  <conditionalFormatting sqref="AB156:AG162">
    <cfRule type="cellIs" dxfId="2845" priority="91" operator="equal">
      <formula>0</formula>
    </cfRule>
  </conditionalFormatting>
  <conditionalFormatting sqref="AB192:AG198">
    <cfRule type="cellIs" dxfId="2844" priority="79" operator="equal">
      <formula>0</formula>
    </cfRule>
  </conditionalFormatting>
  <conditionalFormatting sqref="AB228:AG234">
    <cfRule type="cellIs" dxfId="2843" priority="67" operator="equal">
      <formula>0</formula>
    </cfRule>
  </conditionalFormatting>
  <conditionalFormatting sqref="AB264:AG270">
    <cfRule type="cellIs" dxfId="2842" priority="55" operator="equal">
      <formula>0</formula>
    </cfRule>
  </conditionalFormatting>
  <conditionalFormatting sqref="AB300:AG306">
    <cfRule type="cellIs" dxfId="2841" priority="43" operator="equal">
      <formula>0</formula>
    </cfRule>
  </conditionalFormatting>
  <conditionalFormatting sqref="AB336:AG342">
    <cfRule type="cellIs" dxfId="2840" priority="31" operator="equal">
      <formula>0</formula>
    </cfRule>
  </conditionalFormatting>
  <conditionalFormatting sqref="AB372:AG378">
    <cfRule type="cellIs" dxfId="2839" priority="19" operator="equal">
      <formula>0</formula>
    </cfRule>
  </conditionalFormatting>
  <conditionalFormatting sqref="AB408:AG414">
    <cfRule type="cellIs" dxfId="2838" priority="7" operator="equal">
      <formula>0</formula>
    </cfRule>
  </conditionalFormatting>
  <conditionalFormatting sqref="AC12:AG12">
    <cfRule type="cellIs" dxfId="2837" priority="627" operator="equal">
      <formula>0</formula>
    </cfRule>
  </conditionalFormatting>
  <conditionalFormatting sqref="AC48:AG48">
    <cfRule type="cellIs" dxfId="2836" priority="586" operator="equal">
      <formula>0</formula>
    </cfRule>
  </conditionalFormatting>
  <conditionalFormatting sqref="AC85:AG85">
    <cfRule type="cellIs" dxfId="2835" priority="545" operator="equal">
      <formula>0</formula>
    </cfRule>
  </conditionalFormatting>
  <conditionalFormatting sqref="AC121:AG121">
    <cfRule type="cellIs" dxfId="2834" priority="504" operator="equal">
      <formula>0</formula>
    </cfRule>
  </conditionalFormatting>
  <conditionalFormatting sqref="AC157:AG157">
    <cfRule type="cellIs" dxfId="2833" priority="463" operator="equal">
      <formula>0</formula>
    </cfRule>
  </conditionalFormatting>
  <conditionalFormatting sqref="AC193:AG193">
    <cfRule type="cellIs" dxfId="2832" priority="422" operator="equal">
      <formula>0</formula>
    </cfRule>
  </conditionalFormatting>
  <conditionalFormatting sqref="AC229:AG229">
    <cfRule type="cellIs" dxfId="2831" priority="381" operator="equal">
      <formula>0</formula>
    </cfRule>
  </conditionalFormatting>
  <conditionalFormatting sqref="AC265:AG265">
    <cfRule type="cellIs" dxfId="2830" priority="340" operator="equal">
      <formula>0</formula>
    </cfRule>
  </conditionalFormatting>
  <conditionalFormatting sqref="AC301:AG301">
    <cfRule type="cellIs" dxfId="2829" priority="299" operator="equal">
      <formula>0</formula>
    </cfRule>
  </conditionalFormatting>
  <conditionalFormatting sqref="AC337:AG337">
    <cfRule type="cellIs" dxfId="2828" priority="258" operator="equal">
      <formula>0</formula>
    </cfRule>
  </conditionalFormatting>
  <conditionalFormatting sqref="AC373:AG373">
    <cfRule type="cellIs" dxfId="2827" priority="217" operator="equal">
      <formula>0</formula>
    </cfRule>
  </conditionalFormatting>
  <conditionalFormatting sqref="AC409:AG409">
    <cfRule type="cellIs" dxfId="2826" priority="176" operator="equal">
      <formula>0</formula>
    </cfRule>
  </conditionalFormatting>
  <conditionalFormatting sqref="AH12:AH17">
    <cfRule type="cellIs" dxfId="2825" priority="623" operator="equal">
      <formula>0</formula>
    </cfRule>
  </conditionalFormatting>
  <conditionalFormatting sqref="AH48:AH53">
    <cfRule type="cellIs" dxfId="2824" priority="582" operator="equal">
      <formula>0</formula>
    </cfRule>
  </conditionalFormatting>
  <conditionalFormatting sqref="AH85:AH90">
    <cfRule type="cellIs" dxfId="2823" priority="541" operator="equal">
      <formula>0</formula>
    </cfRule>
  </conditionalFormatting>
  <conditionalFormatting sqref="AH121:AH126">
    <cfRule type="cellIs" dxfId="2822" priority="500" operator="equal">
      <formula>0</formula>
    </cfRule>
  </conditionalFormatting>
  <conditionalFormatting sqref="AH157:AH162">
    <cfRule type="cellIs" dxfId="2821" priority="459" operator="equal">
      <formula>0</formula>
    </cfRule>
  </conditionalFormatting>
  <conditionalFormatting sqref="AH193:AH198">
    <cfRule type="cellIs" dxfId="2820" priority="418" operator="equal">
      <formula>0</formula>
    </cfRule>
  </conditionalFormatting>
  <conditionalFormatting sqref="AH229:AH234">
    <cfRule type="cellIs" dxfId="2819" priority="377" operator="equal">
      <formula>0</formula>
    </cfRule>
  </conditionalFormatting>
  <conditionalFormatting sqref="AH265:AH270">
    <cfRule type="cellIs" dxfId="2818" priority="336" operator="equal">
      <formula>0</formula>
    </cfRule>
  </conditionalFormatting>
  <conditionalFormatting sqref="AH301:AH306">
    <cfRule type="cellIs" dxfId="2817" priority="295" operator="equal">
      <formula>0</formula>
    </cfRule>
  </conditionalFormatting>
  <conditionalFormatting sqref="AH337:AH342">
    <cfRule type="cellIs" dxfId="2816" priority="254" operator="equal">
      <formula>0</formula>
    </cfRule>
  </conditionalFormatting>
  <conditionalFormatting sqref="AH373:AH378">
    <cfRule type="cellIs" dxfId="2815" priority="213" operator="equal">
      <formula>0</formula>
    </cfRule>
  </conditionalFormatting>
  <conditionalFormatting sqref="AH409:AH414">
    <cfRule type="cellIs" dxfId="2814" priority="172"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8045F-9296-45D7-9585-68CC3AC80FCD}">
  <dimension ref="C2:AK405"/>
  <sheetViews>
    <sheetView workbookViewId="0"/>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60" t="s">
        <v>522</v>
      </c>
      <c r="D2" s="760"/>
      <c r="E2" s="760"/>
      <c r="F2" s="760"/>
      <c r="G2" s="760"/>
      <c r="H2" s="760"/>
      <c r="I2" s="760"/>
      <c r="J2" s="760"/>
      <c r="K2" s="760"/>
      <c r="L2" s="760"/>
      <c r="M2" s="760"/>
      <c r="N2" s="760"/>
      <c r="O2" s="760"/>
      <c r="P2" s="760"/>
      <c r="Q2" s="760"/>
      <c r="R2" s="760"/>
      <c r="S2" s="760"/>
      <c r="U2" s="760" t="s">
        <v>523</v>
      </c>
      <c r="V2" s="760"/>
      <c r="W2" s="760"/>
      <c r="X2" s="760"/>
      <c r="Y2" s="760"/>
      <c r="Z2" s="760"/>
      <c r="AA2" s="760"/>
      <c r="AB2" s="760"/>
      <c r="AC2" s="760"/>
      <c r="AD2" s="760"/>
      <c r="AE2" s="760"/>
      <c r="AF2" s="760"/>
      <c r="AG2" s="760"/>
      <c r="AH2" s="760"/>
      <c r="AI2" s="760"/>
      <c r="AJ2" s="760"/>
      <c r="AK2" s="760"/>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338</v>
      </c>
      <c r="D4" s="635" t="s">
        <v>524</v>
      </c>
      <c r="E4" s="634"/>
      <c r="F4" s="634"/>
      <c r="G4" s="634"/>
      <c r="H4" s="636"/>
      <c r="I4" s="634"/>
      <c r="J4" s="634"/>
      <c r="K4" s="634"/>
      <c r="L4" s="634"/>
      <c r="M4" s="634"/>
      <c r="N4" s="634"/>
      <c r="O4" s="634"/>
      <c r="P4" s="634"/>
      <c r="Q4" s="634"/>
      <c r="R4" s="634"/>
      <c r="S4" s="634"/>
      <c r="U4" s="635" t="s">
        <v>338</v>
      </c>
      <c r="V4" s="635" t="s">
        <v>524</v>
      </c>
      <c r="W4" s="634"/>
      <c r="X4" s="634"/>
      <c r="Y4" s="634"/>
      <c r="Z4" s="636"/>
      <c r="AA4" s="634"/>
      <c r="AB4" s="634"/>
      <c r="AC4" s="634"/>
      <c r="AD4" s="634"/>
      <c r="AE4" s="634"/>
      <c r="AF4" s="634"/>
      <c r="AG4" s="634"/>
      <c r="AH4" s="634"/>
      <c r="AI4" s="634"/>
      <c r="AJ4" s="634"/>
      <c r="AK4" s="634"/>
    </row>
    <row r="5" spans="3:37" ht="37.5" x14ac:dyDescent="0.3">
      <c r="C5" s="635" t="s">
        <v>341</v>
      </c>
      <c r="D5" s="635" t="s">
        <v>342</v>
      </c>
      <c r="E5" s="634"/>
      <c r="F5" s="634"/>
      <c r="G5" s="634"/>
      <c r="H5" s="634"/>
      <c r="I5" s="634"/>
      <c r="J5" s="634"/>
      <c r="K5" s="634"/>
      <c r="L5" s="634"/>
      <c r="M5" s="634"/>
      <c r="N5" s="634"/>
      <c r="O5" s="634"/>
      <c r="P5" s="634"/>
      <c r="Q5" s="634"/>
      <c r="R5" s="634"/>
      <c r="S5" s="634"/>
      <c r="U5" s="635" t="s">
        <v>341</v>
      </c>
      <c r="V5" s="635" t="s">
        <v>342</v>
      </c>
      <c r="W5" s="634"/>
      <c r="X5" s="634"/>
      <c r="Y5" s="634"/>
      <c r="Z5" s="634"/>
      <c r="AA5" s="634"/>
      <c r="AB5" s="634"/>
      <c r="AC5" s="634"/>
      <c r="AD5" s="634"/>
      <c r="AE5" s="634"/>
      <c r="AF5" s="634"/>
      <c r="AG5" s="634"/>
      <c r="AH5" s="634"/>
      <c r="AI5" s="634"/>
      <c r="AJ5" s="634"/>
      <c r="AK5" s="634"/>
    </row>
    <row r="6" spans="3:37" ht="18.75" x14ac:dyDescent="0.3">
      <c r="C6" s="635" t="s">
        <v>525</v>
      </c>
      <c r="D6" s="637">
        <v>44909</v>
      </c>
      <c r="E6" s="634"/>
      <c r="F6" s="634"/>
      <c r="G6" s="634"/>
      <c r="H6" s="634"/>
      <c r="I6" s="634"/>
      <c r="J6" s="634"/>
      <c r="K6" s="634"/>
      <c r="L6" s="634"/>
      <c r="M6" s="634"/>
      <c r="N6" s="634"/>
      <c r="O6" s="634"/>
      <c r="P6" s="634"/>
      <c r="Q6" s="634"/>
      <c r="R6" s="634"/>
      <c r="S6" s="634"/>
      <c r="U6" s="635" t="s">
        <v>525</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59" t="s">
        <v>355</v>
      </c>
      <c r="D8" s="759"/>
      <c r="E8" s="759"/>
      <c r="F8" s="759"/>
      <c r="G8" s="759"/>
      <c r="H8" s="759"/>
      <c r="I8" s="759"/>
      <c r="J8" s="759"/>
      <c r="K8" s="759"/>
      <c r="L8" s="759"/>
      <c r="M8" s="759"/>
      <c r="N8" s="759"/>
      <c r="O8" s="759"/>
      <c r="P8" s="759"/>
      <c r="Q8" s="759"/>
      <c r="R8" s="759"/>
      <c r="S8" s="759"/>
      <c r="U8" s="759" t="s">
        <v>355</v>
      </c>
      <c r="V8" s="759"/>
      <c r="W8" s="759"/>
      <c r="X8" s="759"/>
      <c r="Y8" s="759"/>
      <c r="Z8" s="759"/>
      <c r="AA8" s="759"/>
      <c r="AB8" s="759"/>
      <c r="AC8" s="759"/>
      <c r="AD8" s="759"/>
      <c r="AE8" s="759"/>
      <c r="AF8" s="759"/>
      <c r="AG8" s="759"/>
      <c r="AH8" s="759"/>
      <c r="AI8" s="759"/>
      <c r="AJ8" s="759"/>
      <c r="AK8" s="75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58" t="s">
        <v>128</v>
      </c>
      <c r="D10" s="757" t="s">
        <v>42</v>
      </c>
      <c r="E10" s="757" t="s">
        <v>52</v>
      </c>
      <c r="F10" s="757" t="s">
        <v>53</v>
      </c>
      <c r="G10" s="757" t="s">
        <v>32</v>
      </c>
      <c r="H10" s="757" t="s">
        <v>20</v>
      </c>
      <c r="I10" s="757" t="s">
        <v>55</v>
      </c>
      <c r="J10" s="757" t="s">
        <v>56</v>
      </c>
      <c r="K10" s="757"/>
      <c r="L10" s="757"/>
      <c r="M10" s="757"/>
      <c r="N10" s="757"/>
      <c r="O10" s="757"/>
      <c r="P10" s="757" t="s">
        <v>57</v>
      </c>
      <c r="Q10" s="757" t="s">
        <v>58</v>
      </c>
      <c r="R10" s="757" t="s">
        <v>31</v>
      </c>
      <c r="S10" s="757" t="s">
        <v>10</v>
      </c>
      <c r="U10" s="758" t="s">
        <v>128</v>
      </c>
      <c r="V10" s="757" t="s">
        <v>42</v>
      </c>
      <c r="W10" s="757" t="s">
        <v>52</v>
      </c>
      <c r="X10" s="757" t="s">
        <v>53</v>
      </c>
      <c r="Y10" s="757" t="s">
        <v>32</v>
      </c>
      <c r="Z10" s="757" t="s">
        <v>20</v>
      </c>
      <c r="AA10" s="757" t="s">
        <v>55</v>
      </c>
      <c r="AB10" s="757" t="s">
        <v>56</v>
      </c>
      <c r="AC10" s="757"/>
      <c r="AD10" s="757"/>
      <c r="AE10" s="757"/>
      <c r="AF10" s="757"/>
      <c r="AG10" s="757"/>
      <c r="AH10" s="757" t="s">
        <v>57</v>
      </c>
      <c r="AI10" s="757" t="s">
        <v>58</v>
      </c>
      <c r="AJ10" s="757" t="s">
        <v>31</v>
      </c>
      <c r="AK10" s="757" t="s">
        <v>10</v>
      </c>
    </row>
    <row r="11" spans="3:37" ht="56.25" x14ac:dyDescent="0.2">
      <c r="C11" s="758"/>
      <c r="D11" s="757"/>
      <c r="E11" s="757"/>
      <c r="F11" s="757"/>
      <c r="G11" s="757"/>
      <c r="H11" s="757"/>
      <c r="I11" s="757"/>
      <c r="J11" s="638" t="s">
        <v>335</v>
      </c>
      <c r="K11" s="638" t="s">
        <v>40</v>
      </c>
      <c r="L11" s="638" t="s">
        <v>343</v>
      </c>
      <c r="M11" s="638" t="s">
        <v>344</v>
      </c>
      <c r="N11" s="638" t="s">
        <v>345</v>
      </c>
      <c r="O11" s="638" t="s">
        <v>346</v>
      </c>
      <c r="P11" s="757"/>
      <c r="Q11" s="757"/>
      <c r="R11" s="757"/>
      <c r="S11" s="757"/>
      <c r="U11" s="758"/>
      <c r="V11" s="757"/>
      <c r="W11" s="757"/>
      <c r="X11" s="757"/>
      <c r="Y11" s="757"/>
      <c r="Z11" s="757"/>
      <c r="AA11" s="757"/>
      <c r="AB11" s="638" t="s">
        <v>335</v>
      </c>
      <c r="AC11" s="638" t="s">
        <v>40</v>
      </c>
      <c r="AD11" s="638" t="s">
        <v>343</v>
      </c>
      <c r="AE11" s="638" t="s">
        <v>344</v>
      </c>
      <c r="AF11" s="638" t="s">
        <v>345</v>
      </c>
      <c r="AG11" s="638" t="s">
        <v>346</v>
      </c>
      <c r="AH11" s="757"/>
      <c r="AI11" s="757"/>
      <c r="AJ11" s="757"/>
      <c r="AK11" s="757"/>
    </row>
    <row r="12" spans="3:37" x14ac:dyDescent="0.2">
      <c r="C12" s="639" t="s">
        <v>59</v>
      </c>
      <c r="D12" s="640">
        <v>0</v>
      </c>
      <c r="E12" s="641">
        <v>9.7691999999999997</v>
      </c>
      <c r="F12" s="641">
        <v>0</v>
      </c>
      <c r="G12" s="640">
        <v>0.18608000000000002</v>
      </c>
      <c r="H12" s="641">
        <v>1100.0000000000002</v>
      </c>
      <c r="I12" s="641">
        <v>135.04231425541462</v>
      </c>
      <c r="J12" s="641">
        <v>189.86826025669441</v>
      </c>
      <c r="K12" s="641">
        <v>24.170186950164744</v>
      </c>
      <c r="L12" s="641">
        <v>0.17473616288186822</v>
      </c>
      <c r="M12" s="641">
        <v>0.14724141092299528</v>
      </c>
      <c r="N12" s="641">
        <v>36.514651680131124</v>
      </c>
      <c r="O12" s="641">
        <v>5.8993526953350273</v>
      </c>
      <c r="P12" s="642">
        <v>0</v>
      </c>
      <c r="Q12" s="641">
        <v>0</v>
      </c>
      <c r="R12" s="641">
        <v>0</v>
      </c>
      <c r="S12" s="643">
        <v>1501.7720234115452</v>
      </c>
      <c r="U12" s="639" t="s">
        <v>59</v>
      </c>
      <c r="V12" s="640">
        <v>0</v>
      </c>
      <c r="W12" s="641">
        <v>9.7691999999999997</v>
      </c>
      <c r="X12" s="641">
        <v>0</v>
      </c>
      <c r="Y12" s="640">
        <v>0.18608000000000002</v>
      </c>
      <c r="Z12" s="641">
        <v>1119.7245179063361</v>
      </c>
      <c r="AA12" s="641">
        <v>139.7041324372328</v>
      </c>
      <c r="AB12" s="641">
        <v>163.20539166181254</v>
      </c>
      <c r="AC12" s="641">
        <v>30.468703460147175</v>
      </c>
      <c r="AD12" s="641">
        <v>0.17473616288186822</v>
      </c>
      <c r="AE12" s="641">
        <v>0.14724141092299528</v>
      </c>
      <c r="AF12" s="641">
        <v>40.964336574173757</v>
      </c>
      <c r="AG12" s="641">
        <v>7.1518943001451731</v>
      </c>
      <c r="AH12" s="642">
        <v>0</v>
      </c>
      <c r="AI12" s="641">
        <v>0</v>
      </c>
      <c r="AJ12" s="641">
        <v>0</v>
      </c>
      <c r="AK12" s="643">
        <v>1511.4962339136523</v>
      </c>
    </row>
    <row r="13" spans="3:37" x14ac:dyDescent="0.2">
      <c r="C13" s="639" t="s">
        <v>60</v>
      </c>
      <c r="D13" s="640">
        <v>55.101902053292484</v>
      </c>
      <c r="E13" s="641">
        <v>500.10836609636777</v>
      </c>
      <c r="F13" s="641">
        <v>279.29112148859122</v>
      </c>
      <c r="G13" s="640">
        <v>374.80910242212775</v>
      </c>
      <c r="H13" s="641">
        <v>0</v>
      </c>
      <c r="I13" s="641">
        <v>0</v>
      </c>
      <c r="J13" s="641">
        <v>1.5889557346935721</v>
      </c>
      <c r="K13" s="641">
        <v>0</v>
      </c>
      <c r="L13" s="641">
        <v>1.5000078530419791</v>
      </c>
      <c r="M13" s="641">
        <v>0</v>
      </c>
      <c r="N13" s="641">
        <v>0</v>
      </c>
      <c r="O13" s="641">
        <v>0</v>
      </c>
      <c r="P13" s="642">
        <v>0</v>
      </c>
      <c r="Q13" s="641">
        <v>0</v>
      </c>
      <c r="R13" s="641">
        <v>0</v>
      </c>
      <c r="S13" s="643">
        <v>1212.3994556481148</v>
      </c>
      <c r="U13" s="639" t="s">
        <v>60</v>
      </c>
      <c r="V13" s="640">
        <v>44.533896750987545</v>
      </c>
      <c r="W13" s="641">
        <v>459.32392184850846</v>
      </c>
      <c r="X13" s="641">
        <v>277.24182021025467</v>
      </c>
      <c r="Y13" s="640">
        <v>383.77086405289117</v>
      </c>
      <c r="Z13" s="641">
        <v>0</v>
      </c>
      <c r="AA13" s="641">
        <v>0</v>
      </c>
      <c r="AB13" s="641">
        <v>1.5889557346935721</v>
      </c>
      <c r="AC13" s="641">
        <v>0</v>
      </c>
      <c r="AD13" s="641">
        <v>1.5000078530419791</v>
      </c>
      <c r="AE13" s="641">
        <v>0</v>
      </c>
      <c r="AF13" s="641">
        <v>0</v>
      </c>
      <c r="AG13" s="641">
        <v>0</v>
      </c>
      <c r="AH13" s="642">
        <v>0</v>
      </c>
      <c r="AI13" s="641">
        <v>0</v>
      </c>
      <c r="AJ13" s="641">
        <v>0</v>
      </c>
      <c r="AK13" s="643">
        <v>1167.9594664503775</v>
      </c>
    </row>
    <row r="14" spans="3:37" x14ac:dyDescent="0.2">
      <c r="C14" s="639" t="s">
        <v>61</v>
      </c>
      <c r="D14" s="640">
        <v>0</v>
      </c>
      <c r="E14" s="641">
        <v>0</v>
      </c>
      <c r="F14" s="641">
        <v>-1.2153350000000001</v>
      </c>
      <c r="G14" s="640">
        <v>0</v>
      </c>
      <c r="H14" s="641">
        <v>0</v>
      </c>
      <c r="I14" s="641">
        <v>0</v>
      </c>
      <c r="J14" s="641">
        <v>0</v>
      </c>
      <c r="K14" s="641">
        <v>0</v>
      </c>
      <c r="L14" s="641">
        <v>0</v>
      </c>
      <c r="M14" s="641">
        <v>0</v>
      </c>
      <c r="N14" s="641">
        <v>0</v>
      </c>
      <c r="O14" s="641">
        <v>0</v>
      </c>
      <c r="P14" s="642">
        <v>-24.298097404469559</v>
      </c>
      <c r="Q14" s="641">
        <v>0</v>
      </c>
      <c r="R14" s="641">
        <v>0</v>
      </c>
      <c r="S14" s="643">
        <v>-25.513432404469558</v>
      </c>
      <c r="U14" s="639" t="s">
        <v>61</v>
      </c>
      <c r="V14" s="640">
        <v>0</v>
      </c>
      <c r="W14" s="641">
        <v>0</v>
      </c>
      <c r="X14" s="641">
        <v>-1.2153350000000001</v>
      </c>
      <c r="Y14" s="640">
        <v>0</v>
      </c>
      <c r="Z14" s="641">
        <v>0</v>
      </c>
      <c r="AA14" s="641">
        <v>0</v>
      </c>
      <c r="AB14" s="641">
        <v>0</v>
      </c>
      <c r="AC14" s="641">
        <v>0</v>
      </c>
      <c r="AD14" s="641">
        <v>0</v>
      </c>
      <c r="AE14" s="641">
        <v>0</v>
      </c>
      <c r="AF14" s="641">
        <v>0</v>
      </c>
      <c r="AG14" s="641">
        <v>0</v>
      </c>
      <c r="AH14" s="642">
        <v>-55.679944149892151</v>
      </c>
      <c r="AI14" s="641">
        <v>0</v>
      </c>
      <c r="AJ14" s="641">
        <v>0</v>
      </c>
      <c r="AK14" s="643">
        <v>-56.895279149892154</v>
      </c>
    </row>
    <row r="15" spans="3:37" x14ac:dyDescent="0.2">
      <c r="C15" s="639" t="s">
        <v>62</v>
      </c>
      <c r="D15" s="640">
        <v>0</v>
      </c>
      <c r="E15" s="641">
        <v>0</v>
      </c>
      <c r="F15" s="641">
        <v>-18.810185715850007</v>
      </c>
      <c r="G15" s="640">
        <v>0</v>
      </c>
      <c r="H15" s="641">
        <v>0</v>
      </c>
      <c r="I15" s="641">
        <v>0</v>
      </c>
      <c r="J15" s="641">
        <v>0</v>
      </c>
      <c r="K15" s="641">
        <v>0</v>
      </c>
      <c r="L15" s="641">
        <v>0</v>
      </c>
      <c r="M15" s="641">
        <v>0</v>
      </c>
      <c r="N15" s="641">
        <v>0</v>
      </c>
      <c r="O15" s="641">
        <v>0</v>
      </c>
      <c r="P15" s="642">
        <v>0</v>
      </c>
      <c r="Q15" s="641">
        <v>0</v>
      </c>
      <c r="R15" s="641">
        <v>0</v>
      </c>
      <c r="S15" s="643">
        <v>-18.810185715850007</v>
      </c>
      <c r="U15" s="639" t="s">
        <v>62</v>
      </c>
      <c r="V15" s="640">
        <v>0</v>
      </c>
      <c r="W15" s="641">
        <v>0</v>
      </c>
      <c r="X15" s="641">
        <v>-18.660224222059444</v>
      </c>
      <c r="Y15" s="640">
        <v>0</v>
      </c>
      <c r="Z15" s="641">
        <v>0</v>
      </c>
      <c r="AA15" s="641">
        <v>0</v>
      </c>
      <c r="AB15" s="641">
        <v>0</v>
      </c>
      <c r="AC15" s="641">
        <v>0</v>
      </c>
      <c r="AD15" s="641">
        <v>0</v>
      </c>
      <c r="AE15" s="641">
        <v>0</v>
      </c>
      <c r="AF15" s="641">
        <v>0</v>
      </c>
      <c r="AG15" s="641">
        <v>0</v>
      </c>
      <c r="AH15" s="642">
        <v>0</v>
      </c>
      <c r="AI15" s="641">
        <v>0</v>
      </c>
      <c r="AJ15" s="641">
        <v>0</v>
      </c>
      <c r="AK15" s="643">
        <v>-18.660224222059444</v>
      </c>
    </row>
    <row r="16" spans="3:37" x14ac:dyDescent="0.2">
      <c r="C16" s="639" t="s">
        <v>63</v>
      </c>
      <c r="D16" s="640">
        <v>0</v>
      </c>
      <c r="E16" s="641">
        <v>0</v>
      </c>
      <c r="F16" s="641">
        <v>-62.925116345665856</v>
      </c>
      <c r="G16" s="640">
        <v>0</v>
      </c>
      <c r="H16" s="641">
        <v>0</v>
      </c>
      <c r="I16" s="641">
        <v>0</v>
      </c>
      <c r="J16" s="641">
        <v>0</v>
      </c>
      <c r="K16" s="641">
        <v>0</v>
      </c>
      <c r="L16" s="641">
        <v>-0.48762923007264619</v>
      </c>
      <c r="M16" s="641">
        <v>0</v>
      </c>
      <c r="N16" s="641">
        <v>0</v>
      </c>
      <c r="O16" s="641">
        <v>0</v>
      </c>
      <c r="P16" s="642">
        <v>0</v>
      </c>
      <c r="Q16" s="641">
        <v>0</v>
      </c>
      <c r="R16" s="641">
        <v>0</v>
      </c>
      <c r="S16" s="643">
        <v>-63.412745575738505</v>
      </c>
      <c r="U16" s="639" t="s">
        <v>63</v>
      </c>
      <c r="V16" s="640">
        <v>0</v>
      </c>
      <c r="W16" s="641">
        <v>0</v>
      </c>
      <c r="X16" s="641">
        <v>-57.939384373642596</v>
      </c>
      <c r="Y16" s="640">
        <v>0</v>
      </c>
      <c r="Z16" s="641">
        <v>0</v>
      </c>
      <c r="AA16" s="641">
        <v>0</v>
      </c>
      <c r="AB16" s="641">
        <v>0</v>
      </c>
      <c r="AC16" s="641">
        <v>0</v>
      </c>
      <c r="AD16" s="641">
        <v>-0.93673862712011491</v>
      </c>
      <c r="AE16" s="641">
        <v>0</v>
      </c>
      <c r="AF16" s="641">
        <v>0</v>
      </c>
      <c r="AG16" s="641">
        <v>0</v>
      </c>
      <c r="AH16" s="642">
        <v>0</v>
      </c>
      <c r="AI16" s="641">
        <v>0</v>
      </c>
      <c r="AJ16" s="641">
        <v>0</v>
      </c>
      <c r="AK16" s="643">
        <v>-58.876123000762711</v>
      </c>
    </row>
    <row r="17" spans="3:37" x14ac:dyDescent="0.2">
      <c r="C17" s="639" t="s">
        <v>64</v>
      </c>
      <c r="D17" s="640">
        <v>9.7684723496666986E-2</v>
      </c>
      <c r="E17" s="641">
        <v>-5.9567697000000003E-2</v>
      </c>
      <c r="F17" s="641">
        <v>3.8766666666666671E-2</v>
      </c>
      <c r="G17" s="640">
        <v>0</v>
      </c>
      <c r="H17" s="641">
        <v>0</v>
      </c>
      <c r="I17" s="641">
        <v>0</v>
      </c>
      <c r="J17" s="641">
        <v>0</v>
      </c>
      <c r="K17" s="641">
        <v>0</v>
      </c>
      <c r="L17" s="641">
        <v>0</v>
      </c>
      <c r="M17" s="641">
        <v>0</v>
      </c>
      <c r="N17" s="641">
        <v>0</v>
      </c>
      <c r="O17" s="641">
        <v>0</v>
      </c>
      <c r="P17" s="642">
        <v>0</v>
      </c>
      <c r="Q17" s="641">
        <v>0</v>
      </c>
      <c r="R17" s="641">
        <v>0</v>
      </c>
      <c r="S17" s="643">
        <v>7.6883693163333655E-2</v>
      </c>
      <c r="U17" s="639" t="s">
        <v>64</v>
      </c>
      <c r="V17" s="640">
        <v>9.7684723496666986E-2</v>
      </c>
      <c r="W17" s="641">
        <v>-5.9567697000000003E-2</v>
      </c>
      <c r="X17" s="641">
        <v>3.8766666666666671E-2</v>
      </c>
      <c r="Y17" s="640">
        <v>0</v>
      </c>
      <c r="Z17" s="641">
        <v>0</v>
      </c>
      <c r="AA17" s="641">
        <v>0</v>
      </c>
      <c r="AB17" s="641">
        <v>0</v>
      </c>
      <c r="AC17" s="641">
        <v>0</v>
      </c>
      <c r="AD17" s="641">
        <v>0</v>
      </c>
      <c r="AE17" s="641">
        <v>0</v>
      </c>
      <c r="AF17" s="641">
        <v>0</v>
      </c>
      <c r="AG17" s="641">
        <v>0</v>
      </c>
      <c r="AH17" s="642">
        <v>0</v>
      </c>
      <c r="AI17" s="641">
        <v>0</v>
      </c>
      <c r="AJ17" s="641">
        <v>0</v>
      </c>
      <c r="AK17" s="643">
        <v>7.6883693163333655E-2</v>
      </c>
    </row>
    <row r="18" spans="3:37" x14ac:dyDescent="0.2">
      <c r="C18" s="644" t="s">
        <v>65</v>
      </c>
      <c r="D18" s="645">
        <v>55.199586776789154</v>
      </c>
      <c r="E18" s="645">
        <v>509.81799839936781</v>
      </c>
      <c r="F18" s="645">
        <v>196.37925109374203</v>
      </c>
      <c r="G18" s="645">
        <v>374.99518242212775</v>
      </c>
      <c r="H18" s="645">
        <v>1100.0000000000002</v>
      </c>
      <c r="I18" s="645">
        <v>135.04231425541462</v>
      </c>
      <c r="J18" s="645">
        <v>191.45721599138798</v>
      </c>
      <c r="K18" s="645">
        <v>24.170186950164744</v>
      </c>
      <c r="L18" s="645">
        <v>1.1871147858512012</v>
      </c>
      <c r="M18" s="645">
        <v>0.14724141092299528</v>
      </c>
      <c r="N18" s="645">
        <v>36.514651680131124</v>
      </c>
      <c r="O18" s="645">
        <v>5.8993526953350273</v>
      </c>
      <c r="P18" s="645">
        <v>-24.298097404469559</v>
      </c>
      <c r="Q18" s="645">
        <v>0</v>
      </c>
      <c r="R18" s="645">
        <v>0</v>
      </c>
      <c r="S18" s="645">
        <v>2606.5119990567659</v>
      </c>
      <c r="U18" s="644" t="s">
        <v>65</v>
      </c>
      <c r="V18" s="645">
        <v>44.631581474484214</v>
      </c>
      <c r="W18" s="645">
        <v>469.0335541515085</v>
      </c>
      <c r="X18" s="645">
        <v>199.46564328121934</v>
      </c>
      <c r="Y18" s="645">
        <v>383.95694405289117</v>
      </c>
      <c r="Z18" s="645">
        <v>1119.7245179063361</v>
      </c>
      <c r="AA18" s="645">
        <v>139.7041324372328</v>
      </c>
      <c r="AB18" s="645">
        <v>164.79434739650611</v>
      </c>
      <c r="AC18" s="645">
        <v>30.468703460147175</v>
      </c>
      <c r="AD18" s="645">
        <v>0.73800538880373245</v>
      </c>
      <c r="AE18" s="645">
        <v>0.14724141092299528</v>
      </c>
      <c r="AF18" s="645">
        <v>40.964336574173757</v>
      </c>
      <c r="AG18" s="645">
        <v>7.1518943001451731</v>
      </c>
      <c r="AH18" s="645">
        <v>-55.679944149892151</v>
      </c>
      <c r="AI18" s="645">
        <v>0</v>
      </c>
      <c r="AJ18" s="645">
        <v>0</v>
      </c>
      <c r="AK18" s="645">
        <v>2545.100957684479</v>
      </c>
    </row>
    <row r="19" spans="3:37" x14ac:dyDescent="0.2">
      <c r="C19" s="634"/>
      <c r="D19" s="634">
        <v>0</v>
      </c>
      <c r="E19" s="634">
        <v>0</v>
      </c>
      <c r="F19" s="634">
        <v>0</v>
      </c>
      <c r="G19" s="634">
        <v>0</v>
      </c>
      <c r="H19" s="634">
        <v>0</v>
      </c>
      <c r="I19" s="634">
        <v>0</v>
      </c>
      <c r="J19" s="634">
        <v>0</v>
      </c>
      <c r="K19" s="634">
        <v>0</v>
      </c>
      <c r="L19" s="634">
        <v>0</v>
      </c>
      <c r="M19" s="634">
        <v>0</v>
      </c>
      <c r="N19" s="634">
        <v>0</v>
      </c>
      <c r="O19" s="634">
        <v>0</v>
      </c>
      <c r="P19" s="634">
        <v>0</v>
      </c>
      <c r="Q19" s="634">
        <v>0</v>
      </c>
      <c r="R19" s="634">
        <v>0</v>
      </c>
      <c r="S19" s="634">
        <v>0</v>
      </c>
      <c r="U19" s="634"/>
      <c r="V19" s="634">
        <v>0</v>
      </c>
      <c r="W19" s="634">
        <v>0</v>
      </c>
      <c r="X19" s="634">
        <v>0</v>
      </c>
      <c r="Y19" s="634">
        <v>0</v>
      </c>
      <c r="Z19" s="634">
        <v>0</v>
      </c>
      <c r="AA19" s="634">
        <v>0</v>
      </c>
      <c r="AB19" s="634">
        <v>0</v>
      </c>
      <c r="AC19" s="634">
        <v>0</v>
      </c>
      <c r="AD19" s="634">
        <v>0</v>
      </c>
      <c r="AE19" s="634">
        <v>0</v>
      </c>
      <c r="AF19" s="634">
        <v>0</v>
      </c>
      <c r="AG19" s="634">
        <v>0</v>
      </c>
      <c r="AH19" s="634">
        <v>0</v>
      </c>
      <c r="AI19" s="634">
        <v>0</v>
      </c>
      <c r="AJ19" s="634">
        <v>0</v>
      </c>
      <c r="AK19" s="634">
        <v>0</v>
      </c>
    </row>
    <row r="20" spans="3:37" x14ac:dyDescent="0.2">
      <c r="C20" s="646" t="s">
        <v>67</v>
      </c>
      <c r="D20" s="640">
        <v>0</v>
      </c>
      <c r="E20" s="647">
        <v>4.3623690669338813E-2</v>
      </c>
      <c r="F20" s="647">
        <v>-0.43976848620269193</v>
      </c>
      <c r="G20" s="640">
        <v>0</v>
      </c>
      <c r="H20" s="640">
        <v>0</v>
      </c>
      <c r="I20" s="640">
        <v>0</v>
      </c>
      <c r="J20" s="640">
        <v>0</v>
      </c>
      <c r="K20" s="640">
        <v>0</v>
      </c>
      <c r="L20" s="640">
        <v>0</v>
      </c>
      <c r="M20" s="640">
        <v>0</v>
      </c>
      <c r="N20" s="640">
        <v>0</v>
      </c>
      <c r="O20" s="640">
        <v>0</v>
      </c>
      <c r="P20" s="640">
        <v>0.19176325930063415</v>
      </c>
      <c r="Q20" s="640">
        <v>0</v>
      </c>
      <c r="R20" s="640">
        <v>0</v>
      </c>
      <c r="S20" s="648">
        <v>-0.20438153623271899</v>
      </c>
      <c r="U20" s="646" t="s">
        <v>67</v>
      </c>
      <c r="V20" s="640">
        <v>0</v>
      </c>
      <c r="W20" s="647">
        <v>4.3623690669338813E-2</v>
      </c>
      <c r="X20" s="647">
        <v>-0.43976848620269193</v>
      </c>
      <c r="Y20" s="640">
        <v>0</v>
      </c>
      <c r="Z20" s="640">
        <v>0</v>
      </c>
      <c r="AA20" s="640">
        <v>0</v>
      </c>
      <c r="AB20" s="640">
        <v>0</v>
      </c>
      <c r="AC20" s="640">
        <v>0</v>
      </c>
      <c r="AD20" s="640">
        <v>0</v>
      </c>
      <c r="AE20" s="640">
        <v>0</v>
      </c>
      <c r="AF20" s="640">
        <v>0</v>
      </c>
      <c r="AG20" s="640">
        <v>0</v>
      </c>
      <c r="AH20" s="640">
        <v>0.19176325930063415</v>
      </c>
      <c r="AI20" s="640">
        <v>0</v>
      </c>
      <c r="AJ20" s="640">
        <v>0</v>
      </c>
      <c r="AK20" s="648">
        <v>-0.20438153623271899</v>
      </c>
    </row>
    <row r="21" spans="3:37" x14ac:dyDescent="0.2">
      <c r="C21" s="646" t="s">
        <v>347</v>
      </c>
      <c r="D21" s="640">
        <v>4.5103805765333682</v>
      </c>
      <c r="E21" s="640">
        <v>0</v>
      </c>
      <c r="F21" s="640">
        <v>9.8157441879701768</v>
      </c>
      <c r="G21" s="640">
        <v>18.775665399239546</v>
      </c>
      <c r="H21" s="640">
        <v>1100.0000000000002</v>
      </c>
      <c r="I21" s="640">
        <v>135.04231425541462</v>
      </c>
      <c r="J21" s="649">
        <v>34.496026032636451</v>
      </c>
      <c r="K21" s="649">
        <v>9.8540491520373141</v>
      </c>
      <c r="L21" s="649">
        <v>1.6747440159238469</v>
      </c>
      <c r="M21" s="649">
        <v>0.35186004718702235</v>
      </c>
      <c r="N21" s="649">
        <v>0</v>
      </c>
      <c r="O21" s="649">
        <v>1.0949510903328832</v>
      </c>
      <c r="P21" s="640">
        <v>-528.16324498212941</v>
      </c>
      <c r="Q21" s="640">
        <v>0</v>
      </c>
      <c r="R21" s="640">
        <v>0</v>
      </c>
      <c r="S21" s="648">
        <v>787.45248977514632</v>
      </c>
      <c r="U21" s="646" t="s">
        <v>347</v>
      </c>
      <c r="V21" s="640">
        <v>5.5105945472454412</v>
      </c>
      <c r="W21" s="640">
        <v>0</v>
      </c>
      <c r="X21" s="640">
        <v>9.2785541053255489</v>
      </c>
      <c r="Y21" s="640">
        <v>63.913833390943651</v>
      </c>
      <c r="Z21" s="640">
        <v>1119.7245179063361</v>
      </c>
      <c r="AA21" s="640">
        <v>139.7041324372328</v>
      </c>
      <c r="AB21" s="649">
        <v>30.922255006102869</v>
      </c>
      <c r="AC21" s="649">
        <v>9.8129258074353114</v>
      </c>
      <c r="AD21" s="649">
        <v>1.6747440159238469</v>
      </c>
      <c r="AE21" s="649">
        <v>2.1200176690328574</v>
      </c>
      <c r="AF21" s="649">
        <v>0</v>
      </c>
      <c r="AG21" s="649">
        <v>1.0949510903328832</v>
      </c>
      <c r="AH21" s="640">
        <v>-563.75233589122035</v>
      </c>
      <c r="AI21" s="640">
        <v>0</v>
      </c>
      <c r="AJ21" s="640">
        <v>0</v>
      </c>
      <c r="AK21" s="648">
        <v>820.00419008469089</v>
      </c>
    </row>
    <row r="22" spans="3:37" x14ac:dyDescent="0.2">
      <c r="C22" s="646" t="s">
        <v>348</v>
      </c>
      <c r="D22" s="640">
        <v>0.6999963952131163</v>
      </c>
      <c r="E22" s="640">
        <v>0</v>
      </c>
      <c r="F22" s="640">
        <v>9.7194502166343774E-2</v>
      </c>
      <c r="G22" s="640">
        <v>17.132629973754788</v>
      </c>
      <c r="H22" s="640">
        <v>0</v>
      </c>
      <c r="I22" s="640">
        <v>0</v>
      </c>
      <c r="J22" s="649">
        <v>14.734948238156928</v>
      </c>
      <c r="K22" s="649">
        <v>12.603624013464524</v>
      </c>
      <c r="L22" s="649">
        <v>0</v>
      </c>
      <c r="M22" s="649">
        <v>0.22730502357401322</v>
      </c>
      <c r="N22" s="649">
        <v>0</v>
      </c>
      <c r="O22" s="649">
        <v>2.3801724763059897</v>
      </c>
      <c r="P22" s="640">
        <v>0</v>
      </c>
      <c r="Q22" s="640">
        <v>-42.214668535116644</v>
      </c>
      <c r="R22" s="640">
        <v>0</v>
      </c>
      <c r="S22" s="648">
        <v>5.6612020875190572</v>
      </c>
      <c r="U22" s="646" t="s">
        <v>348</v>
      </c>
      <c r="V22" s="640">
        <v>0.57556847895375396</v>
      </c>
      <c r="W22" s="640">
        <v>0</v>
      </c>
      <c r="X22" s="640">
        <v>9.6807273074047573E-2</v>
      </c>
      <c r="Y22" s="640">
        <v>19.098436526179597</v>
      </c>
      <c r="Z22" s="640">
        <v>0</v>
      </c>
      <c r="AA22" s="640">
        <v>0</v>
      </c>
      <c r="AB22" s="649">
        <v>18.536093620572945</v>
      </c>
      <c r="AC22" s="649">
        <v>15.896426642523334</v>
      </c>
      <c r="AD22" s="649">
        <v>0</v>
      </c>
      <c r="AE22" s="649">
        <v>0.61098888777569416</v>
      </c>
      <c r="AF22" s="649">
        <v>0</v>
      </c>
      <c r="AG22" s="649">
        <v>3.2143759234787459</v>
      </c>
      <c r="AH22" s="640">
        <v>0</v>
      </c>
      <c r="AI22" s="640">
        <v>-51.338123400700034</v>
      </c>
      <c r="AJ22" s="640">
        <v>0</v>
      </c>
      <c r="AK22" s="648">
        <v>6.6905739518580836</v>
      </c>
    </row>
    <row r="23" spans="3:37" x14ac:dyDescent="0.2">
      <c r="C23" s="646" t="s">
        <v>349</v>
      </c>
      <c r="D23" s="640">
        <v>0</v>
      </c>
      <c r="E23" s="640">
        <v>0</v>
      </c>
      <c r="F23" s="640">
        <v>0</v>
      </c>
      <c r="G23" s="640">
        <v>0</v>
      </c>
      <c r="H23" s="640">
        <v>0</v>
      </c>
      <c r="I23" s="640">
        <v>0</v>
      </c>
      <c r="J23" s="650">
        <v>5.238502832319341</v>
      </c>
      <c r="K23" s="650">
        <v>0</v>
      </c>
      <c r="L23" s="650">
        <v>0</v>
      </c>
      <c r="M23" s="650">
        <v>-4.5574974641178265</v>
      </c>
      <c r="N23" s="650">
        <v>0</v>
      </c>
      <c r="O23" s="650">
        <v>0</v>
      </c>
      <c r="P23" s="640">
        <v>0</v>
      </c>
      <c r="Q23" s="640">
        <v>0</v>
      </c>
      <c r="R23" s="640">
        <v>0</v>
      </c>
      <c r="S23" s="648">
        <v>0.68100536820151447</v>
      </c>
      <c r="U23" s="646" t="s">
        <v>349</v>
      </c>
      <c r="V23" s="640">
        <v>0</v>
      </c>
      <c r="W23" s="640">
        <v>0</v>
      </c>
      <c r="X23" s="640">
        <v>0</v>
      </c>
      <c r="Y23" s="640">
        <v>0</v>
      </c>
      <c r="Z23" s="640">
        <v>0</v>
      </c>
      <c r="AA23" s="640">
        <v>0</v>
      </c>
      <c r="AB23" s="650">
        <v>13.772235368900052</v>
      </c>
      <c r="AC23" s="650">
        <v>0</v>
      </c>
      <c r="AD23" s="650">
        <v>0</v>
      </c>
      <c r="AE23" s="650">
        <v>-11.981844770943045</v>
      </c>
      <c r="AF23" s="650">
        <v>0</v>
      </c>
      <c r="AG23" s="650">
        <v>0</v>
      </c>
      <c r="AH23" s="640">
        <v>0</v>
      </c>
      <c r="AI23" s="640">
        <v>0</v>
      </c>
      <c r="AJ23" s="640">
        <v>0</v>
      </c>
      <c r="AK23" s="648">
        <v>1.7903905979570069</v>
      </c>
    </row>
    <row r="24" spans="3:37" x14ac:dyDescent="0.2">
      <c r="C24" s="646" t="s">
        <v>350</v>
      </c>
      <c r="D24" s="640">
        <v>0</v>
      </c>
      <c r="E24" s="640">
        <v>0</v>
      </c>
      <c r="F24" s="640">
        <v>0</v>
      </c>
      <c r="G24" s="640">
        <v>0</v>
      </c>
      <c r="H24" s="640">
        <v>0</v>
      </c>
      <c r="I24" s="640">
        <v>0</v>
      </c>
      <c r="J24" s="640">
        <v>0</v>
      </c>
      <c r="K24" s="640">
        <v>0</v>
      </c>
      <c r="L24" s="640">
        <v>0</v>
      </c>
      <c r="M24" s="640">
        <v>0</v>
      </c>
      <c r="N24" s="640">
        <v>0</v>
      </c>
      <c r="O24" s="640">
        <v>0</v>
      </c>
      <c r="P24" s="640">
        <v>0</v>
      </c>
      <c r="Q24" s="640">
        <v>0</v>
      </c>
      <c r="R24" s="640">
        <v>0</v>
      </c>
      <c r="S24" s="648">
        <v>0</v>
      </c>
      <c r="U24" s="646" t="s">
        <v>350</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646" t="s">
        <v>72</v>
      </c>
      <c r="D25" s="640">
        <v>0</v>
      </c>
      <c r="E25" s="640">
        <v>528.18160482950532</v>
      </c>
      <c r="F25" s="640">
        <v>-522.91035312734175</v>
      </c>
      <c r="G25" s="640">
        <v>0</v>
      </c>
      <c r="H25" s="640">
        <v>0</v>
      </c>
      <c r="I25" s="640">
        <v>0</v>
      </c>
      <c r="J25" s="640">
        <v>0</v>
      </c>
      <c r="K25" s="640">
        <v>0</v>
      </c>
      <c r="L25" s="640">
        <v>0</v>
      </c>
      <c r="M25" s="640">
        <v>0</v>
      </c>
      <c r="N25" s="640">
        <v>0</v>
      </c>
      <c r="O25" s="640">
        <v>0</v>
      </c>
      <c r="P25" s="640">
        <v>0</v>
      </c>
      <c r="Q25" s="640">
        <v>0</v>
      </c>
      <c r="R25" s="640">
        <v>0</v>
      </c>
      <c r="S25" s="648">
        <v>5.2712517021635534</v>
      </c>
      <c r="U25" s="646" t="s">
        <v>72</v>
      </c>
      <c r="V25" s="640">
        <v>0</v>
      </c>
      <c r="W25" s="640">
        <v>485.93325526938804</v>
      </c>
      <c r="X25" s="640">
        <v>-481.0844870628257</v>
      </c>
      <c r="Y25" s="640">
        <v>0</v>
      </c>
      <c r="Z25" s="640">
        <v>0</v>
      </c>
      <c r="AA25" s="640">
        <v>0</v>
      </c>
      <c r="AB25" s="640">
        <v>0</v>
      </c>
      <c r="AC25" s="640">
        <v>0</v>
      </c>
      <c r="AD25" s="640">
        <v>0</v>
      </c>
      <c r="AE25" s="640">
        <v>0</v>
      </c>
      <c r="AF25" s="640">
        <v>0</v>
      </c>
      <c r="AG25" s="640">
        <v>0</v>
      </c>
      <c r="AH25" s="640">
        <v>0</v>
      </c>
      <c r="AI25" s="640">
        <v>0</v>
      </c>
      <c r="AJ25" s="640">
        <v>0</v>
      </c>
      <c r="AK25" s="648">
        <v>4.8487682065623261</v>
      </c>
    </row>
    <row r="26" spans="3:37" x14ac:dyDescent="0.2">
      <c r="C26" s="646" t="s">
        <v>351</v>
      </c>
      <c r="D26" s="640">
        <v>0</v>
      </c>
      <c r="E26" s="640">
        <v>0</v>
      </c>
      <c r="F26" s="640">
        <v>0</v>
      </c>
      <c r="G26" s="640">
        <v>0</v>
      </c>
      <c r="H26" s="640">
        <v>0</v>
      </c>
      <c r="I26" s="640">
        <v>0</v>
      </c>
      <c r="J26" s="640">
        <v>41.023636384681005</v>
      </c>
      <c r="K26" s="640">
        <v>0</v>
      </c>
      <c r="L26" s="640">
        <v>-41.023636384681005</v>
      </c>
      <c r="M26" s="640">
        <v>0</v>
      </c>
      <c r="N26" s="640">
        <v>0</v>
      </c>
      <c r="O26" s="640">
        <v>0</v>
      </c>
      <c r="P26" s="640">
        <v>0</v>
      </c>
      <c r="Q26" s="640">
        <v>0</v>
      </c>
      <c r="R26" s="640">
        <v>0</v>
      </c>
      <c r="S26" s="648">
        <v>0</v>
      </c>
      <c r="U26" s="646" t="s">
        <v>351</v>
      </c>
      <c r="V26" s="640">
        <v>0</v>
      </c>
      <c r="W26" s="640">
        <v>0</v>
      </c>
      <c r="X26" s="640">
        <v>0</v>
      </c>
      <c r="Y26" s="640">
        <v>0</v>
      </c>
      <c r="Z26" s="640">
        <v>0</v>
      </c>
      <c r="AA26" s="640">
        <v>0</v>
      </c>
      <c r="AB26" s="640" t="e">
        <v>#VALUE!</v>
      </c>
      <c r="AC26" s="640">
        <v>0</v>
      </c>
      <c r="AD26" s="640">
        <v>-41.390538118321977</v>
      </c>
      <c r="AE26" s="640">
        <v>0</v>
      </c>
      <c r="AF26" s="640">
        <v>0</v>
      </c>
      <c r="AG26" s="640">
        <v>0</v>
      </c>
      <c r="AH26" s="640">
        <v>0</v>
      </c>
      <c r="AI26" s="640">
        <v>0</v>
      </c>
      <c r="AJ26" s="640">
        <v>0</v>
      </c>
      <c r="AK26" s="648">
        <v>-41.390538118321977</v>
      </c>
    </row>
    <row r="27" spans="3:37" x14ac:dyDescent="0.2">
      <c r="C27" s="646" t="s">
        <v>352</v>
      </c>
      <c r="D27" s="640">
        <v>0</v>
      </c>
      <c r="E27" s="640">
        <v>0</v>
      </c>
      <c r="F27" s="640">
        <v>0</v>
      </c>
      <c r="G27" s="640">
        <v>0</v>
      </c>
      <c r="H27" s="640">
        <v>0</v>
      </c>
      <c r="I27" s="640">
        <v>0</v>
      </c>
      <c r="J27" s="640">
        <v>0</v>
      </c>
      <c r="K27" s="640">
        <v>0</v>
      </c>
      <c r="L27" s="640">
        <v>0</v>
      </c>
      <c r="M27" s="640">
        <v>0</v>
      </c>
      <c r="N27" s="640">
        <v>0</v>
      </c>
      <c r="O27" s="640">
        <v>0</v>
      </c>
      <c r="P27" s="640">
        <v>0</v>
      </c>
      <c r="Q27" s="640">
        <v>0</v>
      </c>
      <c r="R27" s="640">
        <v>0</v>
      </c>
      <c r="S27" s="648">
        <v>0</v>
      </c>
      <c r="U27" s="646" t="s">
        <v>352</v>
      </c>
      <c r="V27" s="640">
        <v>0</v>
      </c>
      <c r="W27" s="640">
        <v>0</v>
      </c>
      <c r="X27" s="640">
        <v>0</v>
      </c>
      <c r="Y27" s="640">
        <v>0</v>
      </c>
      <c r="Z27" s="640">
        <v>0</v>
      </c>
      <c r="AA27" s="640">
        <v>0</v>
      </c>
      <c r="AB27" s="640">
        <v>0</v>
      </c>
      <c r="AC27" s="640">
        <v>0</v>
      </c>
      <c r="AD27" s="640">
        <v>0</v>
      </c>
      <c r="AE27" s="640">
        <v>0</v>
      </c>
      <c r="AF27" s="640">
        <v>0</v>
      </c>
      <c r="AG27" s="640">
        <v>0</v>
      </c>
      <c r="AH27" s="640">
        <v>0</v>
      </c>
      <c r="AI27" s="640">
        <v>0</v>
      </c>
      <c r="AJ27" s="640">
        <v>0</v>
      </c>
      <c r="AK27" s="648">
        <v>0</v>
      </c>
    </row>
    <row r="28" spans="3:37" x14ac:dyDescent="0.2">
      <c r="C28" s="646" t="s">
        <v>73</v>
      </c>
      <c r="D28" s="640">
        <v>0</v>
      </c>
      <c r="E28" s="640">
        <v>0</v>
      </c>
      <c r="F28" s="640">
        <v>0</v>
      </c>
      <c r="G28" s="640">
        <v>0.3688106228045655</v>
      </c>
      <c r="H28" s="640">
        <v>0</v>
      </c>
      <c r="I28" s="640">
        <v>0</v>
      </c>
      <c r="J28" s="640">
        <v>0</v>
      </c>
      <c r="K28" s="640">
        <v>4.0111846923828126E-3</v>
      </c>
      <c r="L28" s="640">
        <v>0</v>
      </c>
      <c r="M28" s="640">
        <v>4.6306720562744137E-3</v>
      </c>
      <c r="N28" s="640">
        <v>0</v>
      </c>
      <c r="O28" s="640">
        <v>0</v>
      </c>
      <c r="P28" s="640">
        <v>2.54864504300631E-2</v>
      </c>
      <c r="Q28" s="640">
        <v>0</v>
      </c>
      <c r="R28" s="640">
        <v>-0.28078292846679692</v>
      </c>
      <c r="S28" s="648">
        <v>0.12215600151648892</v>
      </c>
      <c r="U28" s="646" t="s">
        <v>73</v>
      </c>
      <c r="V28" s="640">
        <v>0</v>
      </c>
      <c r="W28" s="640">
        <v>0</v>
      </c>
      <c r="X28" s="640">
        <v>0</v>
      </c>
      <c r="Y28" s="640">
        <v>1.2251451363860373</v>
      </c>
      <c r="Z28" s="640">
        <v>0</v>
      </c>
      <c r="AA28" s="640">
        <v>0</v>
      </c>
      <c r="AB28" s="640">
        <v>0</v>
      </c>
      <c r="AC28" s="640">
        <v>1.6303964872591784E-2</v>
      </c>
      <c r="AD28" s="640">
        <v>0</v>
      </c>
      <c r="AE28" s="640">
        <v>3.8412141239826253E-2</v>
      </c>
      <c r="AF28" s="640">
        <v>0</v>
      </c>
      <c r="AG28" s="640">
        <v>0</v>
      </c>
      <c r="AH28" s="640">
        <v>0.37749949435770208</v>
      </c>
      <c r="AI28" s="640">
        <v>0</v>
      </c>
      <c r="AJ28" s="640">
        <v>-1.1412775410814249</v>
      </c>
      <c r="AK28" s="648">
        <v>0.51608319577473249</v>
      </c>
    </row>
    <row r="29" spans="3:37" x14ac:dyDescent="0.2">
      <c r="C29" s="646" t="s">
        <v>353</v>
      </c>
      <c r="D29" s="640">
        <v>30.422460937499999</v>
      </c>
      <c r="E29" s="640">
        <v>-18.4071872151276</v>
      </c>
      <c r="F29" s="640">
        <v>24.023113751560182</v>
      </c>
      <c r="G29" s="640">
        <v>0</v>
      </c>
      <c r="H29" s="640">
        <v>0</v>
      </c>
      <c r="I29" s="640">
        <v>0</v>
      </c>
      <c r="J29" s="640">
        <v>0</v>
      </c>
      <c r="K29" s="640">
        <v>0</v>
      </c>
      <c r="L29" s="640">
        <v>0</v>
      </c>
      <c r="M29" s="640">
        <v>0</v>
      </c>
      <c r="N29" s="640">
        <v>0</v>
      </c>
      <c r="O29" s="640">
        <v>0</v>
      </c>
      <c r="P29" s="640">
        <v>0</v>
      </c>
      <c r="Q29" s="640">
        <v>0</v>
      </c>
      <c r="R29" s="640">
        <v>0</v>
      </c>
      <c r="S29" s="648">
        <v>36.03838747393258</v>
      </c>
      <c r="U29" s="646" t="s">
        <v>353</v>
      </c>
      <c r="V29" s="640">
        <v>19.459654296874998</v>
      </c>
      <c r="W29" s="640">
        <v>-16.94328190286954</v>
      </c>
      <c r="X29" s="640">
        <v>22.108412068991214</v>
      </c>
      <c r="Y29" s="640">
        <v>0</v>
      </c>
      <c r="Z29" s="640">
        <v>0</v>
      </c>
      <c r="AA29" s="640">
        <v>0</v>
      </c>
      <c r="AB29" s="640">
        <v>0</v>
      </c>
      <c r="AC29" s="640">
        <v>0</v>
      </c>
      <c r="AD29" s="640">
        <v>0</v>
      </c>
      <c r="AE29" s="640">
        <v>0</v>
      </c>
      <c r="AF29" s="640">
        <v>0</v>
      </c>
      <c r="AG29" s="640">
        <v>0</v>
      </c>
      <c r="AH29" s="640">
        <v>0</v>
      </c>
      <c r="AI29" s="640">
        <v>0</v>
      </c>
      <c r="AJ29" s="640">
        <v>0</v>
      </c>
      <c r="AK29" s="648">
        <v>24.624784462996672</v>
      </c>
    </row>
    <row r="30" spans="3:37" x14ac:dyDescent="0.2">
      <c r="C30" s="646" t="s">
        <v>75</v>
      </c>
      <c r="D30" s="640">
        <v>11.830957031250001</v>
      </c>
      <c r="E30" s="640">
        <v>0</v>
      </c>
      <c r="F30" s="640">
        <v>18.055588008572965</v>
      </c>
      <c r="G30" s="640">
        <v>5.1459674063225336</v>
      </c>
      <c r="H30" s="640">
        <v>0</v>
      </c>
      <c r="I30" s="640">
        <v>0</v>
      </c>
      <c r="J30" s="640">
        <v>0</v>
      </c>
      <c r="K30" s="640">
        <v>0</v>
      </c>
      <c r="L30" s="640">
        <v>0</v>
      </c>
      <c r="M30" s="640">
        <v>6.4611174400971444E-2</v>
      </c>
      <c r="N30" s="640">
        <v>0</v>
      </c>
      <c r="O30" s="640">
        <v>0</v>
      </c>
      <c r="P30" s="640">
        <v>34.108085964069424</v>
      </c>
      <c r="Q30" s="640">
        <v>0</v>
      </c>
      <c r="R30" s="640">
        <v>0</v>
      </c>
      <c r="S30" s="648">
        <v>69.205209584615886</v>
      </c>
      <c r="U30" s="646" t="s">
        <v>75</v>
      </c>
      <c r="V30" s="640">
        <v>13.970490234374999</v>
      </c>
      <c r="W30" s="640">
        <v>0</v>
      </c>
      <c r="X30" s="640">
        <v>18.055588008572965</v>
      </c>
      <c r="Y30" s="640">
        <v>5.0521769918695103</v>
      </c>
      <c r="Z30" s="640">
        <v>0</v>
      </c>
      <c r="AA30" s="640">
        <v>0</v>
      </c>
      <c r="AB30" s="640">
        <v>0</v>
      </c>
      <c r="AC30" s="640">
        <v>0</v>
      </c>
      <c r="AD30" s="640">
        <v>0</v>
      </c>
      <c r="AE30" s="640">
        <v>0.15840158885399455</v>
      </c>
      <c r="AF30" s="640">
        <v>0</v>
      </c>
      <c r="AG30" s="640">
        <v>0</v>
      </c>
      <c r="AH30" s="640">
        <v>34.71147439382149</v>
      </c>
      <c r="AI30" s="640">
        <v>0</v>
      </c>
      <c r="AJ30" s="640">
        <v>0</v>
      </c>
      <c r="AK30" s="648">
        <v>71.948131217492957</v>
      </c>
    </row>
    <row r="31" spans="3:37" x14ac:dyDescent="0.2">
      <c r="C31" s="646" t="s">
        <v>76</v>
      </c>
      <c r="D31" s="640">
        <v>0</v>
      </c>
      <c r="E31" s="640">
        <v>0</v>
      </c>
      <c r="F31" s="640">
        <v>0</v>
      </c>
      <c r="G31" s="640">
        <v>4.3041417463624567</v>
      </c>
      <c r="H31" s="640">
        <v>0</v>
      </c>
      <c r="I31" s="640">
        <v>0</v>
      </c>
      <c r="J31" s="640">
        <v>0</v>
      </c>
      <c r="K31" s="640">
        <v>0</v>
      </c>
      <c r="L31" s="640">
        <v>0</v>
      </c>
      <c r="M31" s="640">
        <v>5.4041471906535486E-2</v>
      </c>
      <c r="N31" s="640">
        <v>0</v>
      </c>
      <c r="O31" s="640">
        <v>0</v>
      </c>
      <c r="P31" s="640">
        <v>38.59518094579407</v>
      </c>
      <c r="Q31" s="640">
        <v>3.2740395369373112</v>
      </c>
      <c r="R31" s="640">
        <v>0</v>
      </c>
      <c r="S31" s="648">
        <v>46.227403701000377</v>
      </c>
      <c r="U31" s="646" t="s">
        <v>76</v>
      </c>
      <c r="V31" s="640">
        <v>0</v>
      </c>
      <c r="W31" s="640">
        <v>0</v>
      </c>
      <c r="X31" s="640">
        <v>0</v>
      </c>
      <c r="Y31" s="640">
        <v>4.5315152472590912</v>
      </c>
      <c r="Z31" s="640">
        <v>0</v>
      </c>
      <c r="AA31" s="640">
        <v>0</v>
      </c>
      <c r="AB31" s="640">
        <v>0</v>
      </c>
      <c r="AC31" s="640">
        <v>0</v>
      </c>
      <c r="AD31" s="640">
        <v>0</v>
      </c>
      <c r="AE31" s="640">
        <v>0.14207721072264479</v>
      </c>
      <c r="AF31" s="640">
        <v>0</v>
      </c>
      <c r="AG31" s="640">
        <v>0</v>
      </c>
      <c r="AH31" s="640">
        <v>38.917619787515648</v>
      </c>
      <c r="AI31" s="640">
        <v>3.9810231243072418</v>
      </c>
      <c r="AJ31" s="640">
        <v>0</v>
      </c>
      <c r="AK31" s="648">
        <v>47.572235369804623</v>
      </c>
    </row>
    <row r="32" spans="3:37" x14ac:dyDescent="0.2">
      <c r="C32" s="644" t="s">
        <v>77</v>
      </c>
      <c r="D32" s="645">
        <v>47.463794940496484</v>
      </c>
      <c r="E32" s="645">
        <v>509.81804130504707</v>
      </c>
      <c r="F32" s="645">
        <v>-471.3584811632748</v>
      </c>
      <c r="G32" s="645">
        <v>45.727215148483886</v>
      </c>
      <c r="H32" s="645">
        <v>1100.0000000000002</v>
      </c>
      <c r="I32" s="645">
        <v>135.04231425541462</v>
      </c>
      <c r="J32" s="645">
        <v>95.493113487793721</v>
      </c>
      <c r="K32" s="645">
        <v>22.461684350194222</v>
      </c>
      <c r="L32" s="645">
        <v>-39.348892368757156</v>
      </c>
      <c r="M32" s="645">
        <v>-3.8550490749930102</v>
      </c>
      <c r="N32" s="645">
        <v>0</v>
      </c>
      <c r="O32" s="645">
        <v>3.4751235666388727</v>
      </c>
      <c r="P32" s="645">
        <v>-455.24272836253516</v>
      </c>
      <c r="Q32" s="645">
        <v>-38.940628998179335</v>
      </c>
      <c r="R32" s="645">
        <v>-0.28078292846679692</v>
      </c>
      <c r="S32" s="645">
        <v>950.45472415786298</v>
      </c>
      <c r="U32" s="644" t="s">
        <v>77</v>
      </c>
      <c r="V32" s="645">
        <v>39.516307557449196</v>
      </c>
      <c r="W32" s="645">
        <v>469.03359705718782</v>
      </c>
      <c r="X32" s="645">
        <v>-431.98489409306461</v>
      </c>
      <c r="Y32" s="645">
        <v>93.82110729263789</v>
      </c>
      <c r="Z32" s="645">
        <v>1119.7245179063361</v>
      </c>
      <c r="AA32" s="645">
        <v>139.7041324372328</v>
      </c>
      <c r="AB32" s="645">
        <v>63.23058399557587</v>
      </c>
      <c r="AC32" s="645">
        <v>25.725656414831235</v>
      </c>
      <c r="AD32" s="645">
        <v>-39.715794102398128</v>
      </c>
      <c r="AE32" s="645">
        <v>-8.9119472733180274</v>
      </c>
      <c r="AF32" s="645">
        <v>0</v>
      </c>
      <c r="AG32" s="645">
        <v>4.3093270138116289</v>
      </c>
      <c r="AH32" s="645">
        <v>-489.55397895622485</v>
      </c>
      <c r="AI32" s="645">
        <v>-47.357100276392799</v>
      </c>
      <c r="AJ32" s="645">
        <v>-1.1412775410814249</v>
      </c>
      <c r="AK32" s="645">
        <v>936.40023743258246</v>
      </c>
    </row>
    <row r="33" spans="3:37" x14ac:dyDescent="0.2">
      <c r="C33" s="634"/>
      <c r="D33" s="634">
        <v>0</v>
      </c>
      <c r="E33" s="634">
        <v>0</v>
      </c>
      <c r="F33" s="634">
        <v>0</v>
      </c>
      <c r="G33" s="634">
        <v>0</v>
      </c>
      <c r="H33" s="634">
        <v>0</v>
      </c>
      <c r="I33" s="634">
        <v>0</v>
      </c>
      <c r="J33" s="634">
        <v>0</v>
      </c>
      <c r="K33" s="634">
        <v>0</v>
      </c>
      <c r="L33" s="634">
        <v>0</v>
      </c>
      <c r="M33" s="634">
        <v>0</v>
      </c>
      <c r="N33" s="634">
        <v>0</v>
      </c>
      <c r="O33" s="634">
        <v>0</v>
      </c>
      <c r="P33" s="634">
        <v>0</v>
      </c>
      <c r="Q33" s="634">
        <v>0</v>
      </c>
      <c r="R33" s="634">
        <v>0</v>
      </c>
      <c r="S33" s="634">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646" t="s">
        <v>78</v>
      </c>
      <c r="D34" s="640">
        <v>7.7357918362926714</v>
      </c>
      <c r="E34" s="640">
        <v>0</v>
      </c>
      <c r="F34" s="640">
        <v>28.289566768434444</v>
      </c>
      <c r="G34" s="640">
        <v>114.22190114423505</v>
      </c>
      <c r="H34" s="640">
        <v>0</v>
      </c>
      <c r="I34" s="640">
        <v>0</v>
      </c>
      <c r="J34" s="640">
        <v>17.070500200938145</v>
      </c>
      <c r="K34" s="640">
        <v>1.6812193044902295</v>
      </c>
      <c r="L34" s="640">
        <v>0.86581751367187498</v>
      </c>
      <c r="M34" s="640">
        <v>1.4530646317918139</v>
      </c>
      <c r="N34" s="640">
        <v>0</v>
      </c>
      <c r="O34" s="640">
        <v>3.8591468753626534E-4</v>
      </c>
      <c r="P34" s="640">
        <v>111.09265177846828</v>
      </c>
      <c r="Q34" s="640">
        <v>17.201720519477085</v>
      </c>
      <c r="R34" s="640">
        <v>0.28078292846679687</v>
      </c>
      <c r="S34" s="648">
        <v>299.89340254095396</v>
      </c>
      <c r="U34" s="646" t="s">
        <v>78</v>
      </c>
      <c r="V34" s="640">
        <v>5.1152739170350241</v>
      </c>
      <c r="W34" s="640">
        <v>0</v>
      </c>
      <c r="X34" s="640">
        <v>25.534648950011739</v>
      </c>
      <c r="Y34" s="640">
        <v>99.93968438859396</v>
      </c>
      <c r="Z34" s="640">
        <v>0</v>
      </c>
      <c r="AA34" s="640">
        <v>0</v>
      </c>
      <c r="AB34" s="640">
        <v>17.52580931876382</v>
      </c>
      <c r="AC34" s="640">
        <v>4.7157637498356459</v>
      </c>
      <c r="AD34" s="640">
        <v>0.87185221093750009</v>
      </c>
      <c r="AE34" s="640">
        <v>3.1523522333366012</v>
      </c>
      <c r="AF34" s="640">
        <v>0</v>
      </c>
      <c r="AG34" s="640">
        <v>3.8591468753626534E-4</v>
      </c>
      <c r="AH34" s="640">
        <v>120.66054558326853</v>
      </c>
      <c r="AI34" s="640">
        <v>18.606282657435788</v>
      </c>
      <c r="AJ34" s="640">
        <v>0.25516677856445313</v>
      </c>
      <c r="AK34" s="648">
        <v>296.37776570247064</v>
      </c>
    </row>
    <row r="35" spans="3:37" x14ac:dyDescent="0.2">
      <c r="C35" s="646" t="s">
        <v>79</v>
      </c>
      <c r="D35" s="640">
        <v>0</v>
      </c>
      <c r="E35" s="640">
        <v>0</v>
      </c>
      <c r="F35" s="640">
        <v>401.66314273909671</v>
      </c>
      <c r="G35" s="640">
        <v>4.8257671396463779</v>
      </c>
      <c r="H35" s="640">
        <v>0</v>
      </c>
      <c r="I35" s="640">
        <v>0</v>
      </c>
      <c r="J35" s="640">
        <v>0</v>
      </c>
      <c r="K35" s="640">
        <v>0</v>
      </c>
      <c r="L35" s="640">
        <v>37.460895129674924</v>
      </c>
      <c r="M35" s="640">
        <v>8.2247250592570986E-2</v>
      </c>
      <c r="N35" s="640">
        <v>0</v>
      </c>
      <c r="O35" s="640">
        <v>0</v>
      </c>
      <c r="P35" s="640">
        <v>14.197032789637335</v>
      </c>
      <c r="Q35" s="640">
        <v>0</v>
      </c>
      <c r="R35" s="640">
        <v>0</v>
      </c>
      <c r="S35" s="648">
        <v>458.2290850486479</v>
      </c>
      <c r="U35" s="646" t="s">
        <v>79</v>
      </c>
      <c r="V35" s="640">
        <v>0</v>
      </c>
      <c r="W35" s="640">
        <v>0</v>
      </c>
      <c r="X35" s="640">
        <v>381.87925300829363</v>
      </c>
      <c r="Y35" s="640">
        <v>4.8754277636803574</v>
      </c>
      <c r="Z35" s="640">
        <v>0</v>
      </c>
      <c r="AA35" s="640">
        <v>0</v>
      </c>
      <c r="AB35" s="640">
        <v>0</v>
      </c>
      <c r="AC35" s="640">
        <v>0</v>
      </c>
      <c r="AD35" s="640">
        <v>37.352195820661073</v>
      </c>
      <c r="AE35" s="640">
        <v>0.21416436386199153</v>
      </c>
      <c r="AF35" s="640">
        <v>0</v>
      </c>
      <c r="AG35" s="640">
        <v>0</v>
      </c>
      <c r="AH35" s="640">
        <v>13.917722567256266</v>
      </c>
      <c r="AI35" s="640">
        <v>0</v>
      </c>
      <c r="AJ35" s="640">
        <v>1.4045889662865447E-5</v>
      </c>
      <c r="AK35" s="648">
        <v>438.23877756964299</v>
      </c>
    </row>
    <row r="36" spans="3:37" x14ac:dyDescent="0.2">
      <c r="C36" s="646" t="s">
        <v>80</v>
      </c>
      <c r="D36" s="640">
        <v>0</v>
      </c>
      <c r="E36" s="640">
        <v>0</v>
      </c>
      <c r="F36" s="640">
        <v>44.949327937265863</v>
      </c>
      <c r="G36" s="640">
        <v>126.45597876373861</v>
      </c>
      <c r="H36" s="640">
        <v>0</v>
      </c>
      <c r="I36" s="640">
        <v>0</v>
      </c>
      <c r="J36" s="640">
        <v>74.162865758963164</v>
      </c>
      <c r="K36" s="640">
        <v>0</v>
      </c>
      <c r="L36" s="640">
        <v>0</v>
      </c>
      <c r="M36" s="640">
        <v>1.5877421391963937</v>
      </c>
      <c r="N36" s="640">
        <v>30.690291714133512</v>
      </c>
      <c r="O36" s="640">
        <v>1.3360751473174615</v>
      </c>
      <c r="P36" s="640">
        <v>167.04585454887541</v>
      </c>
      <c r="Q36" s="640">
        <v>15.952552032300854</v>
      </c>
      <c r="R36" s="640">
        <v>0</v>
      </c>
      <c r="S36" s="648">
        <v>462.18068804179131</v>
      </c>
      <c r="U36" s="646" t="s">
        <v>80</v>
      </c>
      <c r="V36" s="640">
        <v>0</v>
      </c>
      <c r="W36" s="640">
        <v>0</v>
      </c>
      <c r="X36" s="640">
        <v>41.162395061542448</v>
      </c>
      <c r="Y36" s="640">
        <v>118.23647816170383</v>
      </c>
      <c r="Z36" s="640">
        <v>0</v>
      </c>
      <c r="AA36" s="640">
        <v>0</v>
      </c>
      <c r="AB36" s="640">
        <v>77.948130735821934</v>
      </c>
      <c r="AC36" s="640">
        <v>0</v>
      </c>
      <c r="AD36" s="640">
        <v>0</v>
      </c>
      <c r="AE36" s="640">
        <v>3.7070842987992951</v>
      </c>
      <c r="AF36" s="640">
        <v>32.239034361458778</v>
      </c>
      <c r="AG36" s="640">
        <v>1.2931636502499975</v>
      </c>
      <c r="AH36" s="640">
        <v>162.51262140820876</v>
      </c>
      <c r="AI36" s="640">
        <v>21.915030230615571</v>
      </c>
      <c r="AJ36" s="640">
        <v>0</v>
      </c>
      <c r="AK36" s="648">
        <v>459.01393790840058</v>
      </c>
    </row>
    <row r="37" spans="3:37" x14ac:dyDescent="0.2">
      <c r="C37" s="646" t="s">
        <v>81</v>
      </c>
      <c r="D37" s="640">
        <v>0</v>
      </c>
      <c r="E37" s="640">
        <v>0</v>
      </c>
      <c r="F37" s="640">
        <v>24.870514058003725</v>
      </c>
      <c r="G37" s="640">
        <v>69.200500866366369</v>
      </c>
      <c r="H37" s="640">
        <v>0</v>
      </c>
      <c r="I37" s="640">
        <v>0</v>
      </c>
      <c r="J37" s="640">
        <v>4.1929555904242415</v>
      </c>
      <c r="K37" s="640">
        <v>2.7283295480293974E-2</v>
      </c>
      <c r="L37" s="640">
        <v>0</v>
      </c>
      <c r="M37" s="640">
        <v>0.86886007568139212</v>
      </c>
      <c r="N37" s="640">
        <v>5.8243599659976146</v>
      </c>
      <c r="O37" s="640">
        <v>0.99519184131174698</v>
      </c>
      <c r="P37" s="640">
        <v>130.24280942426404</v>
      </c>
      <c r="Q37" s="640">
        <v>5.7863564464014026</v>
      </c>
      <c r="R37" s="640">
        <v>0</v>
      </c>
      <c r="S37" s="648">
        <v>242.00883156393087</v>
      </c>
      <c r="U37" s="646" t="s">
        <v>81</v>
      </c>
      <c r="V37" s="640">
        <v>0</v>
      </c>
      <c r="W37" s="640">
        <v>0</v>
      </c>
      <c r="X37" s="640">
        <v>21.247497718121448</v>
      </c>
      <c r="Y37" s="640">
        <v>62.565763699850315</v>
      </c>
      <c r="Z37" s="640">
        <v>0</v>
      </c>
      <c r="AA37" s="640">
        <v>0</v>
      </c>
      <c r="AB37" s="640">
        <v>5.5520423930757747</v>
      </c>
      <c r="AC37" s="640">
        <v>2.7283295480293974E-2</v>
      </c>
      <c r="AD37" s="640">
        <v>0</v>
      </c>
      <c r="AE37" s="640">
        <v>1.9616328552758351</v>
      </c>
      <c r="AF37" s="640">
        <v>8.7253022127149791</v>
      </c>
      <c r="AG37" s="640">
        <v>1.2941657115976744</v>
      </c>
      <c r="AH37" s="640">
        <v>128.40391717018849</v>
      </c>
      <c r="AI37" s="640">
        <v>6.8357873883414371</v>
      </c>
      <c r="AJ37" s="640">
        <v>0</v>
      </c>
      <c r="AK37" s="648">
        <v>236.61339244464625</v>
      </c>
    </row>
    <row r="38" spans="3:37" x14ac:dyDescent="0.2">
      <c r="C38" s="646" t="s">
        <v>82</v>
      </c>
      <c r="D38" s="640">
        <v>0</v>
      </c>
      <c r="E38" s="640">
        <v>0</v>
      </c>
      <c r="F38" s="640">
        <v>34.857709492285672</v>
      </c>
      <c r="G38" s="640">
        <v>2.5298696752764673</v>
      </c>
      <c r="H38" s="640">
        <v>0</v>
      </c>
      <c r="I38" s="640">
        <v>0</v>
      </c>
      <c r="J38" s="640">
        <v>0.53778095326873299</v>
      </c>
      <c r="K38" s="640">
        <v>0</v>
      </c>
      <c r="L38" s="640">
        <v>2.2064360979425728</v>
      </c>
      <c r="M38" s="640">
        <v>3.176426080744045E-2</v>
      </c>
      <c r="N38" s="640">
        <v>0</v>
      </c>
      <c r="O38" s="640">
        <v>9.2576225379409571E-2</v>
      </c>
      <c r="P38" s="640">
        <v>8.3662824168205496</v>
      </c>
      <c r="Q38" s="640">
        <v>0</v>
      </c>
      <c r="R38" s="640">
        <v>0</v>
      </c>
      <c r="S38" s="648">
        <v>48.622419121780844</v>
      </c>
      <c r="U38" s="646" t="s">
        <v>82</v>
      </c>
      <c r="V38" s="640">
        <v>0</v>
      </c>
      <c r="W38" s="640">
        <v>0</v>
      </c>
      <c r="X38" s="640">
        <v>34.89814208484043</v>
      </c>
      <c r="Y38" s="640">
        <v>2.6598837825323027</v>
      </c>
      <c r="Z38" s="640">
        <v>0</v>
      </c>
      <c r="AA38" s="640">
        <v>0</v>
      </c>
      <c r="AB38" s="640">
        <v>0.53778095326873299</v>
      </c>
      <c r="AC38" s="640">
        <v>0</v>
      </c>
      <c r="AD38" s="640">
        <v>2.161994219425559</v>
      </c>
      <c r="AE38" s="640">
        <v>8.3395696152002902E-2</v>
      </c>
      <c r="AF38" s="640">
        <v>0</v>
      </c>
      <c r="AG38" s="640">
        <v>0.25485200979833694</v>
      </c>
      <c r="AH38" s="640">
        <v>8.3792280774105983</v>
      </c>
      <c r="AI38" s="640">
        <v>0</v>
      </c>
      <c r="AJ38" s="640">
        <v>5.2098714141513347E-2</v>
      </c>
      <c r="AK38" s="648">
        <v>49.027375537569476</v>
      </c>
    </row>
    <row r="39" spans="3:37" x14ac:dyDescent="0.2">
      <c r="C39" s="646" t="s">
        <v>354</v>
      </c>
      <c r="D39" s="640">
        <v>0</v>
      </c>
      <c r="E39" s="640">
        <v>0</v>
      </c>
      <c r="F39" s="640">
        <v>0</v>
      </c>
      <c r="G39" s="640">
        <v>0</v>
      </c>
      <c r="H39" s="640">
        <v>0</v>
      </c>
      <c r="I39" s="640">
        <v>0</v>
      </c>
      <c r="J39" s="640">
        <v>0</v>
      </c>
      <c r="K39" s="640">
        <v>0</v>
      </c>
      <c r="L39" s="640">
        <v>0</v>
      </c>
      <c r="M39" s="640">
        <v>0</v>
      </c>
      <c r="N39" s="640">
        <v>0</v>
      </c>
      <c r="O39" s="640">
        <v>0</v>
      </c>
      <c r="P39" s="640">
        <v>0</v>
      </c>
      <c r="Q39" s="640">
        <v>0</v>
      </c>
      <c r="R39" s="640">
        <v>0</v>
      </c>
      <c r="S39" s="648">
        <v>0</v>
      </c>
      <c r="U39" s="646" t="s">
        <v>354</v>
      </c>
      <c r="V39" s="640">
        <v>0</v>
      </c>
      <c r="W39" s="640">
        <v>0</v>
      </c>
      <c r="X39" s="640">
        <v>0</v>
      </c>
      <c r="Y39" s="640">
        <v>0</v>
      </c>
      <c r="Z39" s="640">
        <v>0</v>
      </c>
      <c r="AA39" s="640">
        <v>0</v>
      </c>
      <c r="AB39" s="640">
        <v>0</v>
      </c>
      <c r="AC39" s="640">
        <v>0</v>
      </c>
      <c r="AD39" s="640">
        <v>0</v>
      </c>
      <c r="AE39" s="640">
        <v>0</v>
      </c>
      <c r="AF39" s="640">
        <v>0</v>
      </c>
      <c r="AG39" s="640">
        <v>0</v>
      </c>
      <c r="AH39" s="640">
        <v>0</v>
      </c>
      <c r="AI39" s="640">
        <v>0</v>
      </c>
      <c r="AJ39" s="640">
        <v>0</v>
      </c>
      <c r="AK39" s="648">
        <v>0</v>
      </c>
    </row>
    <row r="40" spans="3:37" x14ac:dyDescent="0.2">
      <c r="C40" s="644" t="s">
        <v>83</v>
      </c>
      <c r="D40" s="645">
        <v>7.7357918362926714</v>
      </c>
      <c r="E40" s="645">
        <v>0</v>
      </c>
      <c r="F40" s="645">
        <v>534.63026099508636</v>
      </c>
      <c r="G40" s="645">
        <v>317.23401758926286</v>
      </c>
      <c r="H40" s="645">
        <v>0</v>
      </c>
      <c r="I40" s="645">
        <v>0</v>
      </c>
      <c r="J40" s="645">
        <v>95.96410250359429</v>
      </c>
      <c r="K40" s="645">
        <v>1.7085025999705235</v>
      </c>
      <c r="L40" s="645">
        <v>40.533148741289374</v>
      </c>
      <c r="M40" s="645">
        <v>4.0236783580696116</v>
      </c>
      <c r="N40" s="645">
        <v>36.514651680131124</v>
      </c>
      <c r="O40" s="645">
        <v>2.4242291286961546</v>
      </c>
      <c r="P40" s="645">
        <v>430.9446309580656</v>
      </c>
      <c r="Q40" s="645">
        <v>38.940628998179342</v>
      </c>
      <c r="R40" s="645">
        <v>0.28078292846679687</v>
      </c>
      <c r="S40" s="645">
        <v>1510.9344263171047</v>
      </c>
      <c r="U40" s="644" t="s">
        <v>83</v>
      </c>
      <c r="V40" s="645">
        <v>5.1152739170350241</v>
      </c>
      <c r="W40" s="645">
        <v>0</v>
      </c>
      <c r="X40" s="645">
        <v>504.72193682280971</v>
      </c>
      <c r="Y40" s="645">
        <v>288.27723779636074</v>
      </c>
      <c r="Z40" s="645">
        <v>0</v>
      </c>
      <c r="AA40" s="645">
        <v>0</v>
      </c>
      <c r="AB40" s="645">
        <v>101.56376340093026</v>
      </c>
      <c r="AC40" s="645">
        <v>4.7430470453159401</v>
      </c>
      <c r="AD40" s="645">
        <v>40.386042251024129</v>
      </c>
      <c r="AE40" s="645">
        <v>9.118629447425727</v>
      </c>
      <c r="AF40" s="645">
        <v>40.964336574173757</v>
      </c>
      <c r="AG40" s="645">
        <v>2.8425672863335452</v>
      </c>
      <c r="AH40" s="645">
        <v>433.87403480633265</v>
      </c>
      <c r="AI40" s="645">
        <v>47.357100276392799</v>
      </c>
      <c r="AJ40" s="645">
        <v>0.30727953859562934</v>
      </c>
      <c r="AK40" s="645">
        <v>1479.2712491627301</v>
      </c>
    </row>
    <row r="41" spans="3:37" x14ac:dyDescent="0.2">
      <c r="C41" s="639" t="s">
        <v>84</v>
      </c>
      <c r="D41" s="640">
        <v>0</v>
      </c>
      <c r="E41" s="640">
        <v>0</v>
      </c>
      <c r="F41" s="640">
        <v>133.10744763246728</v>
      </c>
      <c r="G41" s="640">
        <v>12.012561812227283</v>
      </c>
      <c r="H41" s="640">
        <v>0</v>
      </c>
      <c r="I41" s="640">
        <v>0</v>
      </c>
      <c r="J41" s="640">
        <v>0</v>
      </c>
      <c r="K41" s="640">
        <v>0</v>
      </c>
      <c r="L41" s="640">
        <v>0</v>
      </c>
      <c r="M41" s="640">
        <v>0</v>
      </c>
      <c r="N41" s="640">
        <v>0</v>
      </c>
      <c r="O41" s="640">
        <v>0</v>
      </c>
      <c r="P41" s="640">
        <v>0</v>
      </c>
      <c r="Q41" s="640">
        <v>0</v>
      </c>
      <c r="R41" s="640">
        <v>0</v>
      </c>
      <c r="S41" s="648">
        <v>145.12000944469457</v>
      </c>
      <c r="U41" s="639" t="s">
        <v>84</v>
      </c>
      <c r="V41" s="640">
        <v>0</v>
      </c>
      <c r="W41" s="640">
        <v>0</v>
      </c>
      <c r="X41" s="640">
        <v>126.72857692201117</v>
      </c>
      <c r="Y41" s="640">
        <v>1.7991582007077653</v>
      </c>
      <c r="Z41" s="640">
        <v>0</v>
      </c>
      <c r="AA41" s="640">
        <v>0</v>
      </c>
      <c r="AB41" s="640">
        <v>0</v>
      </c>
      <c r="AC41" s="640">
        <v>0</v>
      </c>
      <c r="AD41" s="640">
        <v>0.12920617897727274</v>
      </c>
      <c r="AE41" s="640">
        <v>0</v>
      </c>
      <c r="AF41" s="640">
        <v>0</v>
      </c>
      <c r="AG41" s="640">
        <v>0</v>
      </c>
      <c r="AH41" s="640">
        <v>0</v>
      </c>
      <c r="AI41" s="640">
        <v>0</v>
      </c>
      <c r="AJ41" s="640">
        <v>0.83399800248579548</v>
      </c>
      <c r="AK41" s="648">
        <v>129.49093930418201</v>
      </c>
    </row>
    <row r="42" spans="3:37" x14ac:dyDescent="0.2">
      <c r="C42" s="644" t="s">
        <v>85</v>
      </c>
      <c r="D42" s="645">
        <v>7.7357918362926714</v>
      </c>
      <c r="E42" s="645">
        <v>0</v>
      </c>
      <c r="F42" s="645">
        <v>667.73770862755362</v>
      </c>
      <c r="G42" s="645">
        <v>329.24657940149012</v>
      </c>
      <c r="H42" s="645">
        <v>0</v>
      </c>
      <c r="I42" s="645">
        <v>0</v>
      </c>
      <c r="J42" s="645">
        <v>95.96410250359429</v>
      </c>
      <c r="K42" s="645">
        <v>1.7085025999705235</v>
      </c>
      <c r="L42" s="645">
        <v>40.533148741289374</v>
      </c>
      <c r="M42" s="645">
        <v>4.0236783580696116</v>
      </c>
      <c r="N42" s="645">
        <v>36.514651680131124</v>
      </c>
      <c r="O42" s="645">
        <v>2.4242291286961546</v>
      </c>
      <c r="P42" s="645">
        <v>430.9446309580656</v>
      </c>
      <c r="Q42" s="645">
        <v>38.940628998179342</v>
      </c>
      <c r="R42" s="645">
        <v>0.28078292846679687</v>
      </c>
      <c r="S42" s="645">
        <v>1656.0544357617991</v>
      </c>
      <c r="U42" s="644" t="s">
        <v>85</v>
      </c>
      <c r="V42" s="645">
        <v>5.1152739170350241</v>
      </c>
      <c r="W42" s="645">
        <v>0</v>
      </c>
      <c r="X42" s="645">
        <v>631.45051374482091</v>
      </c>
      <c r="Y42" s="645">
        <v>290.07639599706852</v>
      </c>
      <c r="Z42" s="645">
        <v>0</v>
      </c>
      <c r="AA42" s="645">
        <v>0</v>
      </c>
      <c r="AB42" s="645">
        <v>101.56376340093026</v>
      </c>
      <c r="AC42" s="645">
        <v>4.7430470453159401</v>
      </c>
      <c r="AD42" s="645">
        <v>40.5152484300014</v>
      </c>
      <c r="AE42" s="645">
        <v>9.118629447425727</v>
      </c>
      <c r="AF42" s="645">
        <v>40.964336574173757</v>
      </c>
      <c r="AG42" s="645">
        <v>2.8425672863335452</v>
      </c>
      <c r="AH42" s="645">
        <v>433.87403480633265</v>
      </c>
      <c r="AI42" s="645">
        <v>47.357100276392799</v>
      </c>
      <c r="AJ42" s="645">
        <v>1.1412775410814249</v>
      </c>
      <c r="AK42" s="645">
        <v>1608.762188466912</v>
      </c>
    </row>
    <row r="43" spans="3:37" x14ac:dyDescent="0.2">
      <c r="C43" s="634"/>
      <c r="D43" s="634"/>
      <c r="E43" s="634"/>
      <c r="F43" s="634"/>
      <c r="G43" s="634"/>
      <c r="H43" s="634"/>
      <c r="I43" s="634"/>
      <c r="J43" s="634"/>
      <c r="K43" s="634"/>
      <c r="L43" s="634"/>
      <c r="M43" s="634"/>
      <c r="N43" s="634"/>
      <c r="O43" s="634"/>
      <c r="P43" s="634"/>
      <c r="Q43" s="634"/>
      <c r="R43" s="634"/>
      <c r="S43" s="634"/>
      <c r="U43" s="634"/>
      <c r="V43" s="634"/>
      <c r="W43" s="634"/>
      <c r="X43" s="634"/>
      <c r="Y43" s="634"/>
      <c r="Z43" s="634"/>
      <c r="AA43" s="634"/>
      <c r="AB43" s="634"/>
      <c r="AC43" s="634"/>
      <c r="AD43" s="634"/>
      <c r="AE43" s="634"/>
      <c r="AF43" s="634"/>
      <c r="AG43" s="634"/>
      <c r="AH43" s="634"/>
      <c r="AI43" s="634"/>
      <c r="AJ43" s="634"/>
      <c r="AK43" s="634"/>
    </row>
    <row r="44" spans="3:37" x14ac:dyDescent="0.2">
      <c r="C44" s="634"/>
      <c r="D44" s="634"/>
      <c r="E44" s="634"/>
      <c r="F44" s="634"/>
      <c r="G44" s="634"/>
      <c r="H44" s="634"/>
      <c r="I44" s="634"/>
      <c r="J44" s="634"/>
      <c r="K44" s="634"/>
      <c r="L44" s="634"/>
      <c r="M44" s="634"/>
      <c r="N44" s="634"/>
      <c r="O44" s="634"/>
      <c r="P44" s="634"/>
      <c r="Q44" s="634"/>
      <c r="R44" s="634"/>
      <c r="S44" s="634"/>
      <c r="U44" s="634"/>
      <c r="V44" s="634"/>
      <c r="W44" s="634"/>
      <c r="X44" s="634"/>
      <c r="Y44" s="634"/>
      <c r="Z44" s="634"/>
      <c r="AA44" s="634"/>
      <c r="AB44" s="634"/>
      <c r="AC44" s="634"/>
      <c r="AD44" s="634"/>
      <c r="AE44" s="634"/>
      <c r="AF44" s="634"/>
      <c r="AG44" s="634"/>
      <c r="AH44" s="634"/>
      <c r="AI44" s="634"/>
      <c r="AJ44" s="634"/>
      <c r="AK44" s="634"/>
    </row>
    <row r="45" spans="3:37" ht="22.5" x14ac:dyDescent="0.3">
      <c r="C45" s="759" t="s">
        <v>87</v>
      </c>
      <c r="D45" s="759"/>
      <c r="E45" s="759"/>
      <c r="F45" s="759"/>
      <c r="G45" s="759"/>
      <c r="H45" s="759"/>
      <c r="I45" s="759"/>
      <c r="J45" s="759"/>
      <c r="K45" s="759"/>
      <c r="L45" s="759"/>
      <c r="M45" s="759"/>
      <c r="N45" s="759"/>
      <c r="O45" s="759"/>
      <c r="P45" s="759"/>
      <c r="Q45" s="759"/>
      <c r="R45" s="759"/>
      <c r="S45" s="759"/>
      <c r="U45" s="759" t="s">
        <v>87</v>
      </c>
      <c r="V45" s="759"/>
      <c r="W45" s="759"/>
      <c r="X45" s="759"/>
      <c r="Y45" s="759"/>
      <c r="Z45" s="759"/>
      <c r="AA45" s="759"/>
      <c r="AB45" s="759"/>
      <c r="AC45" s="759"/>
      <c r="AD45" s="759"/>
      <c r="AE45" s="759"/>
      <c r="AF45" s="759"/>
      <c r="AG45" s="759"/>
      <c r="AH45" s="759"/>
      <c r="AI45" s="759"/>
      <c r="AJ45" s="759"/>
      <c r="AK45" s="759"/>
    </row>
    <row r="46" spans="3:37" x14ac:dyDescent="0.2">
      <c r="C46" s="634"/>
      <c r="D46" s="634"/>
      <c r="E46" s="634"/>
      <c r="F46" s="634"/>
      <c r="G46" s="634"/>
      <c r="H46" s="634"/>
      <c r="I46" s="634"/>
      <c r="J46" s="634"/>
      <c r="K46" s="634"/>
      <c r="L46" s="634"/>
      <c r="M46" s="634"/>
      <c r="N46" s="634"/>
      <c r="O46" s="634"/>
      <c r="P46" s="634"/>
      <c r="Q46" s="634"/>
      <c r="R46" s="634"/>
      <c r="S46" s="634"/>
      <c r="U46" s="634"/>
      <c r="V46" s="634"/>
      <c r="W46" s="634"/>
      <c r="X46" s="634"/>
      <c r="Y46" s="634"/>
      <c r="Z46" s="634"/>
      <c r="AA46" s="634"/>
      <c r="AB46" s="634"/>
      <c r="AC46" s="634"/>
      <c r="AD46" s="634"/>
      <c r="AE46" s="634"/>
      <c r="AF46" s="634"/>
      <c r="AG46" s="634"/>
      <c r="AH46" s="634"/>
      <c r="AI46" s="634"/>
      <c r="AJ46" s="634"/>
      <c r="AK46" s="634"/>
    </row>
    <row r="47" spans="3:37" ht="12.95" customHeight="1" x14ac:dyDescent="0.2">
      <c r="C47" s="758" t="s">
        <v>128</v>
      </c>
      <c r="D47" s="757" t="s">
        <v>42</v>
      </c>
      <c r="E47" s="757" t="s">
        <v>52</v>
      </c>
      <c r="F47" s="757" t="s">
        <v>53</v>
      </c>
      <c r="G47" s="757" t="s">
        <v>32</v>
      </c>
      <c r="H47" s="757" t="s">
        <v>20</v>
      </c>
      <c r="I47" s="757" t="s">
        <v>55</v>
      </c>
      <c r="J47" s="757" t="s">
        <v>56</v>
      </c>
      <c r="K47" s="757"/>
      <c r="L47" s="757"/>
      <c r="M47" s="757"/>
      <c r="N47" s="757"/>
      <c r="O47" s="757"/>
      <c r="P47" s="757" t="s">
        <v>57</v>
      </c>
      <c r="Q47" s="757" t="s">
        <v>58</v>
      </c>
      <c r="R47" s="757" t="s">
        <v>31</v>
      </c>
      <c r="S47" s="757" t="s">
        <v>10</v>
      </c>
      <c r="U47" s="758" t="s">
        <v>128</v>
      </c>
      <c r="V47" s="757" t="s">
        <v>42</v>
      </c>
      <c r="W47" s="757" t="s">
        <v>52</v>
      </c>
      <c r="X47" s="757" t="s">
        <v>53</v>
      </c>
      <c r="Y47" s="757" t="s">
        <v>32</v>
      </c>
      <c r="Z47" s="757" t="s">
        <v>20</v>
      </c>
      <c r="AA47" s="757" t="s">
        <v>55</v>
      </c>
      <c r="AB47" s="757" t="s">
        <v>56</v>
      </c>
      <c r="AC47" s="757"/>
      <c r="AD47" s="757"/>
      <c r="AE47" s="757"/>
      <c r="AF47" s="757"/>
      <c r="AG47" s="757"/>
      <c r="AH47" s="757" t="s">
        <v>57</v>
      </c>
      <c r="AI47" s="757" t="s">
        <v>58</v>
      </c>
      <c r="AJ47" s="757" t="s">
        <v>31</v>
      </c>
      <c r="AK47" s="757" t="s">
        <v>10</v>
      </c>
    </row>
    <row r="48" spans="3:37" ht="56.25" x14ac:dyDescent="0.2">
      <c r="C48" s="758"/>
      <c r="D48" s="757"/>
      <c r="E48" s="757"/>
      <c r="F48" s="757"/>
      <c r="G48" s="757"/>
      <c r="H48" s="757"/>
      <c r="I48" s="757"/>
      <c r="J48" s="638" t="s">
        <v>335</v>
      </c>
      <c r="K48" s="638" t="s">
        <v>40</v>
      </c>
      <c r="L48" s="638" t="s">
        <v>343</v>
      </c>
      <c r="M48" s="638" t="s">
        <v>344</v>
      </c>
      <c r="N48" s="638" t="s">
        <v>345</v>
      </c>
      <c r="O48" s="638" t="s">
        <v>346</v>
      </c>
      <c r="P48" s="757"/>
      <c r="Q48" s="757"/>
      <c r="R48" s="757"/>
      <c r="S48" s="757"/>
      <c r="U48" s="758"/>
      <c r="V48" s="757"/>
      <c r="W48" s="757"/>
      <c r="X48" s="757"/>
      <c r="Y48" s="757"/>
      <c r="Z48" s="757"/>
      <c r="AA48" s="757"/>
      <c r="AB48" s="638" t="s">
        <v>335</v>
      </c>
      <c r="AC48" s="638" t="s">
        <v>40</v>
      </c>
      <c r="AD48" s="638" t="s">
        <v>343</v>
      </c>
      <c r="AE48" s="638" t="s">
        <v>344</v>
      </c>
      <c r="AF48" s="638" t="s">
        <v>345</v>
      </c>
      <c r="AG48" s="638" t="s">
        <v>346</v>
      </c>
      <c r="AH48" s="757"/>
      <c r="AI48" s="757"/>
      <c r="AJ48" s="757"/>
      <c r="AK48" s="757"/>
    </row>
    <row r="49" spans="3:37" x14ac:dyDescent="0.2">
      <c r="C49" s="639" t="s">
        <v>59</v>
      </c>
      <c r="D49" s="640">
        <v>0</v>
      </c>
      <c r="E49" s="641">
        <v>9.7691999999999997</v>
      </c>
      <c r="F49" s="641">
        <v>0</v>
      </c>
      <c r="G49" s="640">
        <v>0.18608000000000002</v>
      </c>
      <c r="H49" s="641">
        <v>1190.909090909091</v>
      </c>
      <c r="I49" s="641">
        <v>153.14171554603519</v>
      </c>
      <c r="J49" s="641">
        <v>193.32113368570609</v>
      </c>
      <c r="K49" s="641">
        <v>23.895443221314743</v>
      </c>
      <c r="L49" s="641">
        <v>0.26210424432280233</v>
      </c>
      <c r="M49" s="641">
        <v>0.1322850330511596</v>
      </c>
      <c r="N49" s="641">
        <v>39.319241851069634</v>
      </c>
      <c r="O49" s="641">
        <v>5.962830498028703</v>
      </c>
      <c r="P49" s="642">
        <v>0</v>
      </c>
      <c r="Q49" s="641">
        <v>0</v>
      </c>
      <c r="R49" s="641">
        <v>0</v>
      </c>
      <c r="S49" s="643">
        <v>1616.8991249886192</v>
      </c>
      <c r="U49" s="639" t="s">
        <v>59</v>
      </c>
      <c r="V49" s="640">
        <v>0</v>
      </c>
      <c r="W49" s="641">
        <v>9.7691999999999997</v>
      </c>
      <c r="X49" s="641">
        <v>0</v>
      </c>
      <c r="Y49" s="640">
        <v>0.18608000000000002</v>
      </c>
      <c r="Z49" s="641">
        <v>1105.3443526170799</v>
      </c>
      <c r="AA49" s="641">
        <v>156.32644281876244</v>
      </c>
      <c r="AB49" s="641">
        <v>174.95767859419479</v>
      </c>
      <c r="AC49" s="641">
        <v>32.977912048889756</v>
      </c>
      <c r="AD49" s="641">
        <v>0.26210424432280233</v>
      </c>
      <c r="AE49" s="641">
        <v>0.1322850330511596</v>
      </c>
      <c r="AF49" s="641">
        <v>46.941675984424649</v>
      </c>
      <c r="AG49" s="641">
        <v>8.3026764246808291</v>
      </c>
      <c r="AH49" s="642">
        <v>0</v>
      </c>
      <c r="AI49" s="641">
        <v>0</v>
      </c>
      <c r="AJ49" s="641">
        <v>0</v>
      </c>
      <c r="AK49" s="643">
        <v>1535.200407765406</v>
      </c>
    </row>
    <row r="50" spans="3:37" x14ac:dyDescent="0.2">
      <c r="C50" s="639" t="s">
        <v>60</v>
      </c>
      <c r="D50" s="640">
        <v>51.93943876444407</v>
      </c>
      <c r="E50" s="641">
        <v>553.51354311683986</v>
      </c>
      <c r="F50" s="641">
        <v>233.05215902128853</v>
      </c>
      <c r="G50" s="640">
        <v>363.27460186951828</v>
      </c>
      <c r="H50" s="641">
        <v>0</v>
      </c>
      <c r="I50" s="641">
        <v>0</v>
      </c>
      <c r="J50" s="641">
        <v>2.3834336020403581</v>
      </c>
      <c r="K50" s="641">
        <v>0</v>
      </c>
      <c r="L50" s="641">
        <v>2.2500117795629686</v>
      </c>
      <c r="M50" s="641">
        <v>0</v>
      </c>
      <c r="N50" s="641">
        <v>0</v>
      </c>
      <c r="O50" s="641">
        <v>0</v>
      </c>
      <c r="P50" s="642">
        <v>0</v>
      </c>
      <c r="Q50" s="641">
        <v>0</v>
      </c>
      <c r="R50" s="641">
        <v>0</v>
      </c>
      <c r="S50" s="643">
        <v>1206.4131881536939</v>
      </c>
      <c r="U50" s="639" t="s">
        <v>60</v>
      </c>
      <c r="V50" s="640">
        <v>30.366070381082046</v>
      </c>
      <c r="W50" s="641">
        <v>485.53946937040786</v>
      </c>
      <c r="X50" s="641">
        <v>248.69079495957973</v>
      </c>
      <c r="Y50" s="640">
        <v>359.41495054347945</v>
      </c>
      <c r="Z50" s="641">
        <v>0</v>
      </c>
      <c r="AA50" s="641">
        <v>0</v>
      </c>
      <c r="AB50" s="641">
        <v>2.3834336020403581</v>
      </c>
      <c r="AC50" s="641">
        <v>0</v>
      </c>
      <c r="AD50" s="641">
        <v>2.2500117795629686</v>
      </c>
      <c r="AE50" s="641">
        <v>0</v>
      </c>
      <c r="AF50" s="641">
        <v>0</v>
      </c>
      <c r="AG50" s="641">
        <v>0</v>
      </c>
      <c r="AH50" s="642">
        <v>0</v>
      </c>
      <c r="AI50" s="641">
        <v>0</v>
      </c>
      <c r="AJ50" s="641">
        <v>0</v>
      </c>
      <c r="AK50" s="643">
        <v>1128.6447306361524</v>
      </c>
    </row>
    <row r="51" spans="3:37" x14ac:dyDescent="0.2">
      <c r="C51" s="639" t="s">
        <v>61</v>
      </c>
      <c r="D51" s="640">
        <v>0</v>
      </c>
      <c r="E51" s="641">
        <v>0</v>
      </c>
      <c r="F51" s="641">
        <v>0</v>
      </c>
      <c r="G51" s="640">
        <v>0</v>
      </c>
      <c r="H51" s="641">
        <v>0</v>
      </c>
      <c r="I51" s="641">
        <v>0</v>
      </c>
      <c r="J51" s="641">
        <v>0</v>
      </c>
      <c r="K51" s="641">
        <v>0</v>
      </c>
      <c r="L51" s="641">
        <v>0</v>
      </c>
      <c r="M51" s="641">
        <v>0</v>
      </c>
      <c r="N51" s="641">
        <v>0</v>
      </c>
      <c r="O51" s="641">
        <v>0</v>
      </c>
      <c r="P51" s="642">
        <v>-64.055272794649682</v>
      </c>
      <c r="Q51" s="641">
        <v>0</v>
      </c>
      <c r="R51" s="641">
        <v>0</v>
      </c>
      <c r="S51" s="643">
        <v>-64.055272794649682</v>
      </c>
      <c r="U51" s="639" t="s">
        <v>61</v>
      </c>
      <c r="V51" s="640">
        <v>0</v>
      </c>
      <c r="W51" s="641">
        <v>0</v>
      </c>
      <c r="X51" s="641">
        <v>0</v>
      </c>
      <c r="Y51" s="640">
        <v>0</v>
      </c>
      <c r="Z51" s="641">
        <v>0</v>
      </c>
      <c r="AA51" s="641">
        <v>0</v>
      </c>
      <c r="AB51" s="641">
        <v>0</v>
      </c>
      <c r="AC51" s="641">
        <v>0</v>
      </c>
      <c r="AD51" s="641">
        <v>0</v>
      </c>
      <c r="AE51" s="641">
        <v>0</v>
      </c>
      <c r="AF51" s="641">
        <v>0</v>
      </c>
      <c r="AG51" s="641">
        <v>0</v>
      </c>
      <c r="AH51" s="642">
        <v>-60.354291441125554</v>
      </c>
      <c r="AI51" s="641">
        <v>0</v>
      </c>
      <c r="AJ51" s="641">
        <v>0</v>
      </c>
      <c r="AK51" s="643">
        <v>-60.354291441125554</v>
      </c>
    </row>
    <row r="52" spans="3:37" x14ac:dyDescent="0.2">
      <c r="C52" s="639" t="s">
        <v>62</v>
      </c>
      <c r="D52" s="640">
        <v>0</v>
      </c>
      <c r="E52" s="641">
        <v>0</v>
      </c>
      <c r="F52" s="641">
        <v>-17.936302519197969</v>
      </c>
      <c r="G52" s="640">
        <v>0</v>
      </c>
      <c r="H52" s="641">
        <v>0</v>
      </c>
      <c r="I52" s="641">
        <v>0</v>
      </c>
      <c r="J52" s="641">
        <v>0</v>
      </c>
      <c r="K52" s="641">
        <v>0</v>
      </c>
      <c r="L52" s="641">
        <v>0</v>
      </c>
      <c r="M52" s="641">
        <v>0</v>
      </c>
      <c r="N52" s="641">
        <v>0</v>
      </c>
      <c r="O52" s="641">
        <v>0</v>
      </c>
      <c r="P52" s="642">
        <v>0</v>
      </c>
      <c r="Q52" s="641">
        <v>0</v>
      </c>
      <c r="R52" s="641">
        <v>0</v>
      </c>
      <c r="S52" s="643">
        <v>-17.936302519197969</v>
      </c>
      <c r="U52" s="639" t="s">
        <v>62</v>
      </c>
      <c r="V52" s="640">
        <v>0</v>
      </c>
      <c r="W52" s="641">
        <v>0</v>
      </c>
      <c r="X52" s="641">
        <v>-17.936302519197969</v>
      </c>
      <c r="Y52" s="640">
        <v>0</v>
      </c>
      <c r="Z52" s="641">
        <v>0</v>
      </c>
      <c r="AA52" s="641">
        <v>0</v>
      </c>
      <c r="AB52" s="641">
        <v>0</v>
      </c>
      <c r="AC52" s="641">
        <v>0</v>
      </c>
      <c r="AD52" s="641">
        <v>0</v>
      </c>
      <c r="AE52" s="641">
        <v>0</v>
      </c>
      <c r="AF52" s="641">
        <v>0</v>
      </c>
      <c r="AG52" s="641">
        <v>0</v>
      </c>
      <c r="AH52" s="642">
        <v>0</v>
      </c>
      <c r="AI52" s="641">
        <v>0</v>
      </c>
      <c r="AJ52" s="641">
        <v>0</v>
      </c>
      <c r="AK52" s="643">
        <v>-17.936302519197969</v>
      </c>
    </row>
    <row r="53" spans="3:37" x14ac:dyDescent="0.2">
      <c r="C53" s="639" t="s">
        <v>63</v>
      </c>
      <c r="D53" s="640">
        <v>0</v>
      </c>
      <c r="E53" s="641">
        <v>0</v>
      </c>
      <c r="F53" s="641">
        <v>-78.830324971165851</v>
      </c>
      <c r="G53" s="640">
        <v>0</v>
      </c>
      <c r="H53" s="641">
        <v>0</v>
      </c>
      <c r="I53" s="641">
        <v>0</v>
      </c>
      <c r="J53" s="641">
        <v>0</v>
      </c>
      <c r="K53" s="641">
        <v>0</v>
      </c>
      <c r="L53" s="641">
        <v>-0.81271538345441041</v>
      </c>
      <c r="M53" s="641">
        <v>0</v>
      </c>
      <c r="N53" s="641">
        <v>0</v>
      </c>
      <c r="O53" s="641">
        <v>0</v>
      </c>
      <c r="P53" s="642">
        <v>0</v>
      </c>
      <c r="Q53" s="641">
        <v>0</v>
      </c>
      <c r="R53" s="641">
        <v>0</v>
      </c>
      <c r="S53" s="643">
        <v>-79.643040354620268</v>
      </c>
      <c r="U53" s="639" t="s">
        <v>63</v>
      </c>
      <c r="V53" s="640">
        <v>0</v>
      </c>
      <c r="W53" s="641">
        <v>0</v>
      </c>
      <c r="X53" s="641">
        <v>-78.197230139294632</v>
      </c>
      <c r="Y53" s="640">
        <v>0</v>
      </c>
      <c r="Z53" s="641">
        <v>0</v>
      </c>
      <c r="AA53" s="641">
        <v>0</v>
      </c>
      <c r="AB53" s="641">
        <v>0</v>
      </c>
      <c r="AC53" s="641">
        <v>0</v>
      </c>
      <c r="AD53" s="641">
        <v>-1.5612310452001914</v>
      </c>
      <c r="AE53" s="641">
        <v>0</v>
      </c>
      <c r="AF53" s="641">
        <v>0</v>
      </c>
      <c r="AG53" s="641">
        <v>0</v>
      </c>
      <c r="AH53" s="642">
        <v>0</v>
      </c>
      <c r="AI53" s="641">
        <v>0</v>
      </c>
      <c r="AJ53" s="641">
        <v>0</v>
      </c>
      <c r="AK53" s="643">
        <v>-79.75846118449482</v>
      </c>
    </row>
    <row r="54" spans="3:37" x14ac:dyDescent="0.2">
      <c r="C54" s="639" t="s">
        <v>64</v>
      </c>
      <c r="D54" s="640">
        <v>0</v>
      </c>
      <c r="E54" s="641">
        <v>0</v>
      </c>
      <c r="F54" s="641">
        <v>0</v>
      </c>
      <c r="G54" s="640">
        <v>0</v>
      </c>
      <c r="H54" s="641">
        <v>0</v>
      </c>
      <c r="I54" s="641">
        <v>0</v>
      </c>
      <c r="J54" s="641">
        <v>0</v>
      </c>
      <c r="K54" s="641">
        <v>0</v>
      </c>
      <c r="L54" s="641">
        <v>0</v>
      </c>
      <c r="M54" s="641">
        <v>0</v>
      </c>
      <c r="N54" s="641">
        <v>0</v>
      </c>
      <c r="O54" s="641">
        <v>0</v>
      </c>
      <c r="P54" s="642">
        <v>0</v>
      </c>
      <c r="Q54" s="641">
        <v>0</v>
      </c>
      <c r="R54" s="641">
        <v>0</v>
      </c>
      <c r="S54" s="643">
        <v>0</v>
      </c>
      <c r="U54" s="639" t="s">
        <v>64</v>
      </c>
      <c r="V54" s="640">
        <v>0</v>
      </c>
      <c r="W54" s="641">
        <v>0</v>
      </c>
      <c r="X54" s="641">
        <v>0</v>
      </c>
      <c r="Y54" s="640">
        <v>0</v>
      </c>
      <c r="Z54" s="641">
        <v>0</v>
      </c>
      <c r="AA54" s="641">
        <v>0</v>
      </c>
      <c r="AB54" s="641">
        <v>0</v>
      </c>
      <c r="AC54" s="641">
        <v>0</v>
      </c>
      <c r="AD54" s="641">
        <v>0</v>
      </c>
      <c r="AE54" s="641">
        <v>0</v>
      </c>
      <c r="AF54" s="641">
        <v>0</v>
      </c>
      <c r="AG54" s="641">
        <v>0</v>
      </c>
      <c r="AH54" s="642">
        <v>0</v>
      </c>
      <c r="AI54" s="641">
        <v>0</v>
      </c>
      <c r="AJ54" s="641">
        <v>0</v>
      </c>
      <c r="AK54" s="643">
        <v>0</v>
      </c>
    </row>
    <row r="55" spans="3:37" x14ac:dyDescent="0.2">
      <c r="C55" s="644" t="s">
        <v>65</v>
      </c>
      <c r="D55" s="645">
        <v>51.93943876444407</v>
      </c>
      <c r="E55" s="645">
        <v>563.28274311683981</v>
      </c>
      <c r="F55" s="645">
        <v>136.28553153092471</v>
      </c>
      <c r="G55" s="645">
        <v>363.46068186951828</v>
      </c>
      <c r="H55" s="645">
        <v>1190.909090909091</v>
      </c>
      <c r="I55" s="645">
        <v>153.14171554603519</v>
      </c>
      <c r="J55" s="645">
        <v>195.70456728774644</v>
      </c>
      <c r="K55" s="645">
        <v>23.895443221314743</v>
      </c>
      <c r="L55" s="645">
        <v>1.6994006404313602</v>
      </c>
      <c r="M55" s="645">
        <v>0.1322850330511596</v>
      </c>
      <c r="N55" s="645">
        <v>39.319241851069634</v>
      </c>
      <c r="O55" s="645">
        <v>5.962830498028703</v>
      </c>
      <c r="P55" s="645">
        <v>-64.055272794649682</v>
      </c>
      <c r="Q55" s="645">
        <v>0</v>
      </c>
      <c r="R55" s="645">
        <v>0</v>
      </c>
      <c r="S55" s="645">
        <v>2661.6776974738459</v>
      </c>
      <c r="U55" s="644" t="s">
        <v>65</v>
      </c>
      <c r="V55" s="645">
        <v>30.366070381082046</v>
      </c>
      <c r="W55" s="645">
        <v>495.30866937040787</v>
      </c>
      <c r="X55" s="645">
        <v>152.55726230108715</v>
      </c>
      <c r="Y55" s="645">
        <v>359.60103054347945</v>
      </c>
      <c r="Z55" s="645">
        <v>1105.3443526170799</v>
      </c>
      <c r="AA55" s="645">
        <v>156.32644281876244</v>
      </c>
      <c r="AB55" s="645">
        <v>177.34111219623514</v>
      </c>
      <c r="AC55" s="645">
        <v>32.977912048889756</v>
      </c>
      <c r="AD55" s="645">
        <v>0.95088497868557909</v>
      </c>
      <c r="AE55" s="645">
        <v>0.1322850330511596</v>
      </c>
      <c r="AF55" s="645">
        <v>46.941675984424649</v>
      </c>
      <c r="AG55" s="645">
        <v>8.3026764246808291</v>
      </c>
      <c r="AH55" s="645">
        <v>-60.354291441125554</v>
      </c>
      <c r="AI55" s="645">
        <v>0</v>
      </c>
      <c r="AJ55" s="645">
        <v>0</v>
      </c>
      <c r="AK55" s="645">
        <v>2505.7960832567405</v>
      </c>
    </row>
    <row r="56" spans="3:37" x14ac:dyDescent="0.2">
      <c r="C56" s="634"/>
      <c r="D56" s="634">
        <v>0</v>
      </c>
      <c r="E56" s="634">
        <v>0</v>
      </c>
      <c r="F56" s="634">
        <v>0</v>
      </c>
      <c r="G56" s="634">
        <v>0</v>
      </c>
      <c r="H56" s="634">
        <v>0</v>
      </c>
      <c r="I56" s="634">
        <v>0</v>
      </c>
      <c r="J56" s="634">
        <v>0</v>
      </c>
      <c r="K56" s="634">
        <v>0</v>
      </c>
      <c r="L56" s="634">
        <v>0</v>
      </c>
      <c r="M56" s="634">
        <v>0</v>
      </c>
      <c r="N56" s="634">
        <v>0</v>
      </c>
      <c r="O56" s="634">
        <v>0</v>
      </c>
      <c r="P56" s="634">
        <v>0</v>
      </c>
      <c r="Q56" s="634">
        <v>0</v>
      </c>
      <c r="R56" s="634">
        <v>0</v>
      </c>
      <c r="S56" s="634">
        <v>0</v>
      </c>
      <c r="U56" s="634"/>
      <c r="V56" s="634">
        <v>0</v>
      </c>
      <c r="W56" s="634">
        <v>0</v>
      </c>
      <c r="X56" s="634">
        <v>0</v>
      </c>
      <c r="Y56" s="634">
        <v>0</v>
      </c>
      <c r="Z56" s="634">
        <v>0</v>
      </c>
      <c r="AA56" s="634">
        <v>0</v>
      </c>
      <c r="AB56" s="634">
        <v>0</v>
      </c>
      <c r="AC56" s="634">
        <v>0</v>
      </c>
      <c r="AD56" s="634">
        <v>0</v>
      </c>
      <c r="AE56" s="634">
        <v>0</v>
      </c>
      <c r="AF56" s="634">
        <v>0</v>
      </c>
      <c r="AG56" s="634">
        <v>0</v>
      </c>
      <c r="AH56" s="634">
        <v>0</v>
      </c>
      <c r="AI56" s="634">
        <v>0</v>
      </c>
      <c r="AJ56" s="634">
        <v>0</v>
      </c>
      <c r="AK56" s="634">
        <v>0</v>
      </c>
    </row>
    <row r="57" spans="3:37" x14ac:dyDescent="0.2">
      <c r="C57" s="646" t="s">
        <v>67</v>
      </c>
      <c r="D57" s="640">
        <v>0</v>
      </c>
      <c r="E57" s="647">
        <v>0</v>
      </c>
      <c r="F57" s="647">
        <v>0</v>
      </c>
      <c r="G57" s="640">
        <v>0</v>
      </c>
      <c r="H57" s="640">
        <v>0</v>
      </c>
      <c r="I57" s="640">
        <v>0</v>
      </c>
      <c r="J57" s="640">
        <v>0</v>
      </c>
      <c r="K57" s="640">
        <v>0</v>
      </c>
      <c r="L57" s="640">
        <v>0</v>
      </c>
      <c r="M57" s="640">
        <v>0</v>
      </c>
      <c r="N57" s="640">
        <v>0</v>
      </c>
      <c r="O57" s="640">
        <v>0</v>
      </c>
      <c r="P57" s="640">
        <v>0</v>
      </c>
      <c r="Q57" s="640">
        <v>0</v>
      </c>
      <c r="R57" s="640">
        <v>0</v>
      </c>
      <c r="S57" s="648">
        <v>0</v>
      </c>
      <c r="U57" s="646" t="s">
        <v>67</v>
      </c>
      <c r="V57" s="640">
        <v>0</v>
      </c>
      <c r="W57" s="647">
        <v>0</v>
      </c>
      <c r="X57" s="647">
        <v>0</v>
      </c>
      <c r="Y57" s="640">
        <v>0</v>
      </c>
      <c r="Z57" s="640">
        <v>0</v>
      </c>
      <c r="AA57" s="640">
        <v>0</v>
      </c>
      <c r="AB57" s="640">
        <v>0</v>
      </c>
      <c r="AC57" s="640">
        <v>0</v>
      </c>
      <c r="AD57" s="640">
        <v>0</v>
      </c>
      <c r="AE57" s="640">
        <v>0</v>
      </c>
      <c r="AF57" s="640">
        <v>0</v>
      </c>
      <c r="AG57" s="640">
        <v>0</v>
      </c>
      <c r="AH57" s="640">
        <v>0</v>
      </c>
      <c r="AI57" s="640">
        <v>0</v>
      </c>
      <c r="AJ57" s="640">
        <v>0</v>
      </c>
      <c r="AK57" s="648">
        <v>0</v>
      </c>
    </row>
    <row r="58" spans="3:37" x14ac:dyDescent="0.2">
      <c r="C58" s="646" t="s">
        <v>347</v>
      </c>
      <c r="D58" s="640">
        <v>2.8307670060467731</v>
      </c>
      <c r="E58" s="640">
        <v>0</v>
      </c>
      <c r="F58" s="640">
        <v>7.8209554225929372</v>
      </c>
      <c r="G58" s="640">
        <v>18.490566037735849</v>
      </c>
      <c r="H58" s="640">
        <v>1190.909090909091</v>
      </c>
      <c r="I58" s="640">
        <v>153.14171554603519</v>
      </c>
      <c r="J58" s="649">
        <v>34.217577807887082</v>
      </c>
      <c r="K58" s="649">
        <v>9.4182266439786773</v>
      </c>
      <c r="L58" s="649">
        <v>2.5121160238857705</v>
      </c>
      <c r="M58" s="649">
        <v>0.47838708849063555</v>
      </c>
      <c r="N58" s="649">
        <v>0</v>
      </c>
      <c r="O58" s="649">
        <v>1.0860489583659068</v>
      </c>
      <c r="P58" s="640">
        <v>-575.7599665483873</v>
      </c>
      <c r="Q58" s="640">
        <v>0</v>
      </c>
      <c r="R58" s="640">
        <v>0</v>
      </c>
      <c r="S58" s="648">
        <v>845.14548489572212</v>
      </c>
      <c r="U58" s="646" t="s">
        <v>347</v>
      </c>
      <c r="V58" s="640">
        <v>2.9164996321078078</v>
      </c>
      <c r="W58" s="640">
        <v>0</v>
      </c>
      <c r="X58" s="640">
        <v>6.3333521168078128</v>
      </c>
      <c r="Y58" s="640">
        <v>58.629502572898801</v>
      </c>
      <c r="Z58" s="640">
        <v>1105.3443526170799</v>
      </c>
      <c r="AA58" s="640">
        <v>156.32644281876244</v>
      </c>
      <c r="AB58" s="649">
        <v>29.491752812436719</v>
      </c>
      <c r="AC58" s="649">
        <v>9.3450725233746681</v>
      </c>
      <c r="AD58" s="649">
        <v>2.5121160238857705</v>
      </c>
      <c r="AE58" s="649">
        <v>3.1867918912350612</v>
      </c>
      <c r="AF58" s="649">
        <v>0</v>
      </c>
      <c r="AG58" s="649">
        <v>1.0860489583659068</v>
      </c>
      <c r="AH58" s="640">
        <v>-572.43560291202368</v>
      </c>
      <c r="AI58" s="640">
        <v>0</v>
      </c>
      <c r="AJ58" s="640">
        <v>0</v>
      </c>
      <c r="AK58" s="648">
        <v>802.73632905493105</v>
      </c>
    </row>
    <row r="59" spans="3:37" x14ac:dyDescent="0.2">
      <c r="C59" s="646" t="s">
        <v>348</v>
      </c>
      <c r="D59" s="640">
        <v>0.12349118736872708</v>
      </c>
      <c r="E59" s="640">
        <v>0</v>
      </c>
      <c r="F59" s="640">
        <v>0</v>
      </c>
      <c r="G59" s="640">
        <v>16.768067922739682</v>
      </c>
      <c r="H59" s="640">
        <v>0</v>
      </c>
      <c r="I59" s="640">
        <v>0</v>
      </c>
      <c r="J59" s="649">
        <v>14.511462263372906</v>
      </c>
      <c r="K59" s="649">
        <v>12.721360709604678</v>
      </c>
      <c r="L59" s="649">
        <v>0</v>
      </c>
      <c r="M59" s="649">
        <v>0.35468000245125708</v>
      </c>
      <c r="N59" s="649">
        <v>0</v>
      </c>
      <c r="O59" s="649">
        <v>2.3429154336529705</v>
      </c>
      <c r="P59" s="640">
        <v>0</v>
      </c>
      <c r="Q59" s="640">
        <v>-41.535443372761243</v>
      </c>
      <c r="R59" s="640">
        <v>0</v>
      </c>
      <c r="S59" s="648">
        <v>5.2865341464289735</v>
      </c>
      <c r="U59" s="646" t="s">
        <v>348</v>
      </c>
      <c r="V59" s="640">
        <v>0.24574746286376692</v>
      </c>
      <c r="W59" s="640">
        <v>0</v>
      </c>
      <c r="X59" s="640">
        <v>0</v>
      </c>
      <c r="Y59" s="640">
        <v>18.639904753059838</v>
      </c>
      <c r="Z59" s="640">
        <v>0</v>
      </c>
      <c r="AA59" s="640">
        <v>0</v>
      </c>
      <c r="AB59" s="649">
        <v>22.139054647682539</v>
      </c>
      <c r="AC59" s="649">
        <v>18.333827420527065</v>
      </c>
      <c r="AD59" s="649">
        <v>0</v>
      </c>
      <c r="AE59" s="649">
        <v>0.99352215322234005</v>
      </c>
      <c r="AF59" s="649">
        <v>0</v>
      </c>
      <c r="AG59" s="649">
        <v>3.9855789938168567</v>
      </c>
      <c r="AH59" s="640">
        <v>0</v>
      </c>
      <c r="AI59" s="640">
        <v>-57.31222867632534</v>
      </c>
      <c r="AJ59" s="640">
        <v>0</v>
      </c>
      <c r="AK59" s="648">
        <v>7.0254067548470651</v>
      </c>
    </row>
    <row r="60" spans="3:37" x14ac:dyDescent="0.2">
      <c r="C60" s="646" t="s">
        <v>349</v>
      </c>
      <c r="D60" s="640">
        <v>0</v>
      </c>
      <c r="E60" s="640">
        <v>0</v>
      </c>
      <c r="F60" s="640">
        <v>0</v>
      </c>
      <c r="G60" s="640">
        <v>0</v>
      </c>
      <c r="H60" s="640">
        <v>0</v>
      </c>
      <c r="I60" s="640">
        <v>0</v>
      </c>
      <c r="J60" s="650">
        <v>8.112913583549977</v>
      </c>
      <c r="K60" s="650">
        <v>0</v>
      </c>
      <c r="L60" s="650">
        <v>0</v>
      </c>
      <c r="M60" s="650">
        <v>-7.1616744658787432</v>
      </c>
      <c r="N60" s="650">
        <v>0</v>
      </c>
      <c r="O60" s="650">
        <v>0</v>
      </c>
      <c r="P60" s="640">
        <v>0</v>
      </c>
      <c r="Q60" s="640">
        <v>0</v>
      </c>
      <c r="R60" s="640">
        <v>0</v>
      </c>
      <c r="S60" s="648">
        <v>0.95123911767123381</v>
      </c>
      <c r="U60" s="646" t="s">
        <v>349</v>
      </c>
      <c r="V60" s="640">
        <v>0</v>
      </c>
      <c r="W60" s="640">
        <v>0</v>
      </c>
      <c r="X60" s="640">
        <v>0</v>
      </c>
      <c r="Y60" s="640">
        <v>0</v>
      </c>
      <c r="Z60" s="640">
        <v>0</v>
      </c>
      <c r="AA60" s="640">
        <v>0</v>
      </c>
      <c r="AB60" s="650">
        <v>21.330356361778993</v>
      </c>
      <c r="AC60" s="650">
        <v>0</v>
      </c>
      <c r="AD60" s="650">
        <v>0</v>
      </c>
      <c r="AE60" s="650">
        <v>-18.829372078360407</v>
      </c>
      <c r="AF60" s="650">
        <v>0</v>
      </c>
      <c r="AG60" s="650">
        <v>0</v>
      </c>
      <c r="AH60" s="640">
        <v>0</v>
      </c>
      <c r="AI60" s="640">
        <v>0</v>
      </c>
      <c r="AJ60" s="640">
        <v>0</v>
      </c>
      <c r="AK60" s="648">
        <v>2.5009842834185854</v>
      </c>
    </row>
    <row r="61" spans="3:37" x14ac:dyDescent="0.2">
      <c r="C61" s="646" t="s">
        <v>350</v>
      </c>
      <c r="D61" s="640">
        <v>0</v>
      </c>
      <c r="E61" s="640">
        <v>0</v>
      </c>
      <c r="F61" s="640">
        <v>0</v>
      </c>
      <c r="G61" s="640">
        <v>0</v>
      </c>
      <c r="H61" s="640">
        <v>0</v>
      </c>
      <c r="I61" s="640">
        <v>0</v>
      </c>
      <c r="J61" s="640">
        <v>0</v>
      </c>
      <c r="K61" s="640">
        <v>0</v>
      </c>
      <c r="L61" s="640">
        <v>0</v>
      </c>
      <c r="M61" s="640">
        <v>0</v>
      </c>
      <c r="N61" s="640">
        <v>0</v>
      </c>
      <c r="O61" s="640">
        <v>0</v>
      </c>
      <c r="P61" s="640">
        <v>0</v>
      </c>
      <c r="Q61" s="640">
        <v>0</v>
      </c>
      <c r="R61" s="640">
        <v>0</v>
      </c>
      <c r="S61" s="648">
        <v>0</v>
      </c>
      <c r="U61" s="646" t="s">
        <v>350</v>
      </c>
      <c r="V61" s="640">
        <v>0</v>
      </c>
      <c r="W61" s="640">
        <v>0</v>
      </c>
      <c r="X61" s="640">
        <v>0</v>
      </c>
      <c r="Y61" s="640">
        <v>0</v>
      </c>
      <c r="Z61" s="640">
        <v>0</v>
      </c>
      <c r="AA61" s="640">
        <v>0</v>
      </c>
      <c r="AB61" s="640">
        <v>0</v>
      </c>
      <c r="AC61" s="640">
        <v>0</v>
      </c>
      <c r="AD61" s="640">
        <v>0</v>
      </c>
      <c r="AE61" s="640">
        <v>0</v>
      </c>
      <c r="AF61" s="640">
        <v>0</v>
      </c>
      <c r="AG61" s="640">
        <v>0</v>
      </c>
      <c r="AH61" s="640">
        <v>0</v>
      </c>
      <c r="AI61" s="640">
        <v>0</v>
      </c>
      <c r="AJ61" s="640">
        <v>0</v>
      </c>
      <c r="AK61" s="648">
        <v>0</v>
      </c>
    </row>
    <row r="62" spans="3:37" x14ac:dyDescent="0.2">
      <c r="C62" s="646" t="s">
        <v>72</v>
      </c>
      <c r="D62" s="640">
        <v>0</v>
      </c>
      <c r="E62" s="640">
        <v>583.50105466083789</v>
      </c>
      <c r="F62" s="640">
        <v>-577.66604411422952</v>
      </c>
      <c r="G62" s="640">
        <v>0</v>
      </c>
      <c r="H62" s="640">
        <v>0</v>
      </c>
      <c r="I62" s="640">
        <v>0</v>
      </c>
      <c r="J62" s="640">
        <v>0</v>
      </c>
      <c r="K62" s="640">
        <v>0</v>
      </c>
      <c r="L62" s="640">
        <v>0</v>
      </c>
      <c r="M62" s="640">
        <v>0</v>
      </c>
      <c r="N62" s="640">
        <v>0</v>
      </c>
      <c r="O62" s="640">
        <v>0</v>
      </c>
      <c r="P62" s="640">
        <v>0</v>
      </c>
      <c r="Q62" s="640">
        <v>0</v>
      </c>
      <c r="R62" s="640">
        <v>0</v>
      </c>
      <c r="S62" s="648">
        <v>5.8350105466083733</v>
      </c>
      <c r="U62" s="646" t="s">
        <v>72</v>
      </c>
      <c r="V62" s="640">
        <v>0</v>
      </c>
      <c r="W62" s="640">
        <v>513.08713872730914</v>
      </c>
      <c r="X62" s="640">
        <v>-507.95626734003605</v>
      </c>
      <c r="Y62" s="640">
        <v>0</v>
      </c>
      <c r="Z62" s="640">
        <v>0</v>
      </c>
      <c r="AA62" s="640">
        <v>0</v>
      </c>
      <c r="AB62" s="640">
        <v>0</v>
      </c>
      <c r="AC62" s="640">
        <v>0</v>
      </c>
      <c r="AD62" s="640">
        <v>0</v>
      </c>
      <c r="AE62" s="640">
        <v>0</v>
      </c>
      <c r="AF62" s="640">
        <v>0</v>
      </c>
      <c r="AG62" s="640">
        <v>0</v>
      </c>
      <c r="AH62" s="640">
        <v>0</v>
      </c>
      <c r="AI62" s="640">
        <v>0</v>
      </c>
      <c r="AJ62" s="640">
        <v>0</v>
      </c>
      <c r="AK62" s="648">
        <v>5.1308713872730891</v>
      </c>
    </row>
    <row r="63" spans="3:37" x14ac:dyDescent="0.2">
      <c r="C63" s="646" t="s">
        <v>351</v>
      </c>
      <c r="D63" s="640">
        <v>0</v>
      </c>
      <c r="E63" s="640">
        <v>0</v>
      </c>
      <c r="F63" s="640">
        <v>0</v>
      </c>
      <c r="G63" s="640">
        <v>0</v>
      </c>
      <c r="H63" s="640">
        <v>0</v>
      </c>
      <c r="I63" s="640">
        <v>0</v>
      </c>
      <c r="J63" s="640">
        <v>43.567433114887073</v>
      </c>
      <c r="K63" s="640">
        <v>0</v>
      </c>
      <c r="L63" s="640">
        <v>-43.567433114887073</v>
      </c>
      <c r="M63" s="640">
        <v>0</v>
      </c>
      <c r="N63" s="640">
        <v>0</v>
      </c>
      <c r="O63" s="640">
        <v>0</v>
      </c>
      <c r="P63" s="640">
        <v>0</v>
      </c>
      <c r="Q63" s="640">
        <v>0</v>
      </c>
      <c r="R63" s="640">
        <v>0</v>
      </c>
      <c r="S63" s="648">
        <v>0</v>
      </c>
      <c r="U63" s="646" t="s">
        <v>351</v>
      </c>
      <c r="V63" s="640">
        <v>0</v>
      </c>
      <c r="W63" s="640">
        <v>0</v>
      </c>
      <c r="X63" s="640">
        <v>0</v>
      </c>
      <c r="Y63" s="640">
        <v>0</v>
      </c>
      <c r="Z63" s="640">
        <v>0</v>
      </c>
      <c r="AA63" s="640">
        <v>0</v>
      </c>
      <c r="AB63" s="640" t="e">
        <v>#VALUE!</v>
      </c>
      <c r="AC63" s="640">
        <v>0</v>
      </c>
      <c r="AD63" s="640">
        <v>-45.82837485909166</v>
      </c>
      <c r="AE63" s="640">
        <v>0</v>
      </c>
      <c r="AF63" s="640">
        <v>0</v>
      </c>
      <c r="AG63" s="640">
        <v>0</v>
      </c>
      <c r="AH63" s="640">
        <v>0</v>
      </c>
      <c r="AI63" s="640">
        <v>0</v>
      </c>
      <c r="AJ63" s="640">
        <v>0</v>
      </c>
      <c r="AK63" s="648">
        <v>-45.82837485909166</v>
      </c>
    </row>
    <row r="64" spans="3:37" x14ac:dyDescent="0.2">
      <c r="C64" s="646" t="s">
        <v>352</v>
      </c>
      <c r="D64" s="640">
        <v>0</v>
      </c>
      <c r="E64" s="640">
        <v>0</v>
      </c>
      <c r="F64" s="640">
        <v>0</v>
      </c>
      <c r="G64" s="640">
        <v>0</v>
      </c>
      <c r="H64" s="640">
        <v>0</v>
      </c>
      <c r="I64" s="640">
        <v>0</v>
      </c>
      <c r="J64" s="640">
        <v>0</v>
      </c>
      <c r="K64" s="640">
        <v>0</v>
      </c>
      <c r="L64" s="640">
        <v>0</v>
      </c>
      <c r="M64" s="640">
        <v>0</v>
      </c>
      <c r="N64" s="640">
        <v>0</v>
      </c>
      <c r="O64" s="640">
        <v>0</v>
      </c>
      <c r="P64" s="640">
        <v>0</v>
      </c>
      <c r="Q64" s="640">
        <v>0</v>
      </c>
      <c r="R64" s="640">
        <v>0</v>
      </c>
      <c r="S64" s="648">
        <v>0</v>
      </c>
      <c r="U64" s="646" t="s">
        <v>352</v>
      </c>
      <c r="V64" s="640">
        <v>0</v>
      </c>
      <c r="W64" s="640">
        <v>0</v>
      </c>
      <c r="X64" s="640">
        <v>0</v>
      </c>
      <c r="Y64" s="640">
        <v>0</v>
      </c>
      <c r="Z64" s="640">
        <v>0</v>
      </c>
      <c r="AA64" s="640">
        <v>0</v>
      </c>
      <c r="AB64" s="640">
        <v>0</v>
      </c>
      <c r="AC64" s="640">
        <v>0</v>
      </c>
      <c r="AD64" s="640">
        <v>0</v>
      </c>
      <c r="AE64" s="640">
        <v>0</v>
      </c>
      <c r="AF64" s="640">
        <v>0</v>
      </c>
      <c r="AG64" s="640">
        <v>0</v>
      </c>
      <c r="AH64" s="640">
        <v>0</v>
      </c>
      <c r="AI64" s="640">
        <v>0</v>
      </c>
      <c r="AJ64" s="640">
        <v>0</v>
      </c>
      <c r="AK64" s="648">
        <v>0</v>
      </c>
    </row>
    <row r="65" spans="3:37" x14ac:dyDescent="0.2">
      <c r="C65" s="646" t="s">
        <v>73</v>
      </c>
      <c r="D65" s="640">
        <v>0</v>
      </c>
      <c r="E65" s="640">
        <v>0</v>
      </c>
      <c r="F65" s="640">
        <v>0</v>
      </c>
      <c r="G65" s="640">
        <v>0.51300159561157233</v>
      </c>
      <c r="H65" s="640">
        <v>0</v>
      </c>
      <c r="I65" s="640">
        <v>0</v>
      </c>
      <c r="J65" s="640">
        <v>0</v>
      </c>
      <c r="K65" s="640">
        <v>5.6591461181640631E-3</v>
      </c>
      <c r="L65" s="640">
        <v>0</v>
      </c>
      <c r="M65" s="640">
        <v>1.0469420318603517E-2</v>
      </c>
      <c r="N65" s="640">
        <v>0</v>
      </c>
      <c r="O65" s="640">
        <v>0</v>
      </c>
      <c r="P65" s="640">
        <v>3.9614022827148432E-2</v>
      </c>
      <c r="Q65" s="640">
        <v>0</v>
      </c>
      <c r="R65" s="640">
        <v>-0.39614022827148437</v>
      </c>
      <c r="S65" s="648">
        <v>0.17260395660400402</v>
      </c>
      <c r="U65" s="646" t="s">
        <v>73</v>
      </c>
      <c r="V65" s="640">
        <v>0</v>
      </c>
      <c r="W65" s="640">
        <v>0</v>
      </c>
      <c r="X65" s="640">
        <v>0</v>
      </c>
      <c r="Y65" s="640">
        <v>2.0927767434982734</v>
      </c>
      <c r="Z65" s="640">
        <v>0</v>
      </c>
      <c r="AA65" s="640">
        <v>0</v>
      </c>
      <c r="AB65" s="640">
        <v>0</v>
      </c>
      <c r="AC65" s="640">
        <v>3.312665996831457E-2</v>
      </c>
      <c r="AD65" s="640">
        <v>0</v>
      </c>
      <c r="AE65" s="640">
        <v>0.11014614439464597</v>
      </c>
      <c r="AF65" s="640">
        <v>0</v>
      </c>
      <c r="AG65" s="640">
        <v>0</v>
      </c>
      <c r="AH65" s="640">
        <v>1.15943309889101</v>
      </c>
      <c r="AI65" s="640">
        <v>0</v>
      </c>
      <c r="AJ65" s="640">
        <v>-2.31886619778202</v>
      </c>
      <c r="AK65" s="648">
        <v>1.0766164489702237</v>
      </c>
    </row>
    <row r="66" spans="3:37" x14ac:dyDescent="0.2">
      <c r="C66" s="646" t="s">
        <v>353</v>
      </c>
      <c r="D66" s="640">
        <v>30.168562499999993</v>
      </c>
      <c r="E66" s="640">
        <v>-20.218311543998034</v>
      </c>
      <c r="F66" s="640">
        <v>26.444357300871886</v>
      </c>
      <c r="G66" s="640">
        <v>0</v>
      </c>
      <c r="H66" s="640">
        <v>0</v>
      </c>
      <c r="I66" s="640">
        <v>0</v>
      </c>
      <c r="J66" s="640">
        <v>0</v>
      </c>
      <c r="K66" s="640">
        <v>0</v>
      </c>
      <c r="L66" s="640">
        <v>0</v>
      </c>
      <c r="M66" s="640">
        <v>0</v>
      </c>
      <c r="N66" s="640">
        <v>0</v>
      </c>
      <c r="O66" s="640">
        <v>0</v>
      </c>
      <c r="P66" s="640">
        <v>0</v>
      </c>
      <c r="Q66" s="640">
        <v>0</v>
      </c>
      <c r="R66" s="640">
        <v>0</v>
      </c>
      <c r="S66" s="648">
        <v>36.394608256873845</v>
      </c>
      <c r="U66" s="646" t="s">
        <v>353</v>
      </c>
      <c r="V66" s="640">
        <v>13.02096923828125</v>
      </c>
      <c r="W66" s="640">
        <v>-17.778469356901262</v>
      </c>
      <c r="X66" s="640">
        <v>23.253187829923604</v>
      </c>
      <c r="Y66" s="640">
        <v>0</v>
      </c>
      <c r="Z66" s="640">
        <v>0</v>
      </c>
      <c r="AA66" s="640">
        <v>0</v>
      </c>
      <c r="AB66" s="640">
        <v>0</v>
      </c>
      <c r="AC66" s="640">
        <v>0</v>
      </c>
      <c r="AD66" s="640">
        <v>0</v>
      </c>
      <c r="AE66" s="640">
        <v>0</v>
      </c>
      <c r="AF66" s="640">
        <v>0</v>
      </c>
      <c r="AG66" s="640">
        <v>0</v>
      </c>
      <c r="AH66" s="640">
        <v>0</v>
      </c>
      <c r="AI66" s="640">
        <v>0</v>
      </c>
      <c r="AJ66" s="640">
        <v>0</v>
      </c>
      <c r="AK66" s="648">
        <v>18.495687711303592</v>
      </c>
    </row>
    <row r="67" spans="3:37" x14ac:dyDescent="0.2">
      <c r="C67" s="646" t="s">
        <v>75</v>
      </c>
      <c r="D67" s="640">
        <v>11.732218749999999</v>
      </c>
      <c r="E67" s="640">
        <v>0</v>
      </c>
      <c r="F67" s="640">
        <v>19.839035858468488</v>
      </c>
      <c r="G67" s="640">
        <v>5.6611272323194495</v>
      </c>
      <c r="H67" s="640">
        <v>0</v>
      </c>
      <c r="I67" s="640">
        <v>0</v>
      </c>
      <c r="J67" s="640">
        <v>0</v>
      </c>
      <c r="K67" s="640">
        <v>0</v>
      </c>
      <c r="L67" s="640">
        <v>0</v>
      </c>
      <c r="M67" s="640">
        <v>0.11553320882284591</v>
      </c>
      <c r="N67" s="640">
        <v>0</v>
      </c>
      <c r="O67" s="640">
        <v>0</v>
      </c>
      <c r="P67" s="640">
        <v>36.290441897725728</v>
      </c>
      <c r="Q67" s="640">
        <v>0</v>
      </c>
      <c r="R67" s="640">
        <v>0</v>
      </c>
      <c r="S67" s="648">
        <v>73.638356947336518</v>
      </c>
      <c r="U67" s="646" t="s">
        <v>75</v>
      </c>
      <c r="V67" s="640">
        <v>10.2975283203125</v>
      </c>
      <c r="W67" s="640">
        <v>0</v>
      </c>
      <c r="X67" s="640">
        <v>19.839035858468488</v>
      </c>
      <c r="Y67" s="640">
        <v>5.487827419085181</v>
      </c>
      <c r="Z67" s="640">
        <v>0</v>
      </c>
      <c r="AA67" s="640">
        <v>0</v>
      </c>
      <c r="AB67" s="640">
        <v>0</v>
      </c>
      <c r="AC67" s="640">
        <v>0</v>
      </c>
      <c r="AD67" s="640">
        <v>0</v>
      </c>
      <c r="AE67" s="640">
        <v>0.28883302205711481</v>
      </c>
      <c r="AF67" s="640">
        <v>0</v>
      </c>
      <c r="AG67" s="640">
        <v>0</v>
      </c>
      <c r="AH67" s="640">
        <v>33.686888178717467</v>
      </c>
      <c r="AI67" s="640">
        <v>0</v>
      </c>
      <c r="AJ67" s="640">
        <v>0</v>
      </c>
      <c r="AK67" s="648">
        <v>69.600112798640737</v>
      </c>
    </row>
    <row r="68" spans="3:37" x14ac:dyDescent="0.2">
      <c r="C68" s="646" t="s">
        <v>76</v>
      </c>
      <c r="D68" s="640">
        <v>0</v>
      </c>
      <c r="E68" s="640">
        <v>0</v>
      </c>
      <c r="F68" s="640">
        <v>0</v>
      </c>
      <c r="G68" s="640">
        <v>4.1611310137714437</v>
      </c>
      <c r="H68" s="640">
        <v>0</v>
      </c>
      <c r="I68" s="640">
        <v>0</v>
      </c>
      <c r="J68" s="640">
        <v>0</v>
      </c>
      <c r="K68" s="640">
        <v>0</v>
      </c>
      <c r="L68" s="640">
        <v>0</v>
      </c>
      <c r="M68" s="640">
        <v>8.4921041097376401E-2</v>
      </c>
      <c r="N68" s="640">
        <v>0</v>
      </c>
      <c r="O68" s="640">
        <v>0</v>
      </c>
      <c r="P68" s="640">
        <v>39.192716927085932</v>
      </c>
      <c r="Q68" s="640">
        <v>3.2227514144892391</v>
      </c>
      <c r="R68" s="640">
        <v>0</v>
      </c>
      <c r="S68" s="648">
        <v>46.66152039644399</v>
      </c>
      <c r="U68" s="646" t="s">
        <v>76</v>
      </c>
      <c r="V68" s="640">
        <v>0</v>
      </c>
      <c r="W68" s="640">
        <v>0</v>
      </c>
      <c r="X68" s="640">
        <v>0</v>
      </c>
      <c r="Y68" s="640">
        <v>4.2421905472985904</v>
      </c>
      <c r="Z68" s="640">
        <v>0</v>
      </c>
      <c r="AA68" s="640">
        <v>0</v>
      </c>
      <c r="AB68" s="640">
        <v>0</v>
      </c>
      <c r="AC68" s="640">
        <v>0</v>
      </c>
      <c r="AD68" s="640">
        <v>0</v>
      </c>
      <c r="AE68" s="640">
        <v>0.2232731866999258</v>
      </c>
      <c r="AF68" s="640">
        <v>0</v>
      </c>
      <c r="AG68" s="640">
        <v>0</v>
      </c>
      <c r="AH68" s="640">
        <v>39.221580519444494</v>
      </c>
      <c r="AI68" s="640">
        <v>4.4453067332156078</v>
      </c>
      <c r="AJ68" s="640">
        <v>0</v>
      </c>
      <c r="AK68" s="648">
        <v>48.132350986658622</v>
      </c>
    </row>
    <row r="69" spans="3:37" x14ac:dyDescent="0.2">
      <c r="C69" s="644" t="s">
        <v>77</v>
      </c>
      <c r="D69" s="645">
        <v>44.8550394434155</v>
      </c>
      <c r="E69" s="645">
        <v>563.28274311683981</v>
      </c>
      <c r="F69" s="645">
        <v>-523.5616955322962</v>
      </c>
      <c r="G69" s="645">
        <v>45.593893802178002</v>
      </c>
      <c r="H69" s="645">
        <v>1190.909090909091</v>
      </c>
      <c r="I69" s="645">
        <v>153.14171554603519</v>
      </c>
      <c r="J69" s="645">
        <v>100.40938676969702</v>
      </c>
      <c r="K69" s="645">
        <v>22.145246499701521</v>
      </c>
      <c r="L69" s="645">
        <v>-41.055317091001299</v>
      </c>
      <c r="M69" s="645">
        <v>-6.1176837046980248</v>
      </c>
      <c r="N69" s="645">
        <v>0</v>
      </c>
      <c r="O69" s="645">
        <v>3.4289643920188775</v>
      </c>
      <c r="P69" s="645">
        <v>-500.23719370074849</v>
      </c>
      <c r="Q69" s="645">
        <v>-38.312691958272012</v>
      </c>
      <c r="R69" s="645">
        <v>-0.39614022827148437</v>
      </c>
      <c r="S69" s="645">
        <v>1014.085358263689</v>
      </c>
      <c r="U69" s="644" t="s">
        <v>77</v>
      </c>
      <c r="V69" s="645">
        <v>26.480744653565324</v>
      </c>
      <c r="W69" s="645">
        <v>495.30866937040787</v>
      </c>
      <c r="X69" s="645">
        <v>-458.53069153483614</v>
      </c>
      <c r="Y69" s="645">
        <v>89.092202035840685</v>
      </c>
      <c r="Z69" s="645">
        <v>1105.3443526170799</v>
      </c>
      <c r="AA69" s="645">
        <v>156.32644281876244</v>
      </c>
      <c r="AB69" s="645">
        <v>72.961163821898253</v>
      </c>
      <c r="AC69" s="645">
        <v>27.712026603870047</v>
      </c>
      <c r="AD69" s="645">
        <v>-43.316258835205886</v>
      </c>
      <c r="AE69" s="645">
        <v>-14.02680568075132</v>
      </c>
      <c r="AF69" s="645">
        <v>0</v>
      </c>
      <c r="AG69" s="645">
        <v>5.0716279521827641</v>
      </c>
      <c r="AH69" s="645">
        <v>-498.36770111497077</v>
      </c>
      <c r="AI69" s="645">
        <v>-52.866921943109737</v>
      </c>
      <c r="AJ69" s="645">
        <v>-2.31886619778202</v>
      </c>
      <c r="AK69" s="645">
        <v>908.86998456695119</v>
      </c>
    </row>
    <row r="70" spans="3:37" x14ac:dyDescent="0.2">
      <c r="C70" s="634"/>
      <c r="D70" s="634">
        <v>0</v>
      </c>
      <c r="E70" s="634">
        <v>0</v>
      </c>
      <c r="F70" s="634">
        <v>0</v>
      </c>
      <c r="G70" s="634">
        <v>0</v>
      </c>
      <c r="H70" s="634">
        <v>0</v>
      </c>
      <c r="I70" s="634">
        <v>0</v>
      </c>
      <c r="J70" s="634">
        <v>0</v>
      </c>
      <c r="K70" s="634">
        <v>0</v>
      </c>
      <c r="L70" s="634">
        <v>0</v>
      </c>
      <c r="M70" s="634">
        <v>0</v>
      </c>
      <c r="N70" s="634">
        <v>0</v>
      </c>
      <c r="O70" s="634">
        <v>0</v>
      </c>
      <c r="P70" s="634">
        <v>0</v>
      </c>
      <c r="Q70" s="634">
        <v>0</v>
      </c>
      <c r="R70" s="634">
        <v>0</v>
      </c>
      <c r="S70" s="634">
        <v>0</v>
      </c>
      <c r="U70" s="634"/>
      <c r="V70" s="634">
        <v>0</v>
      </c>
      <c r="W70" s="634">
        <v>0</v>
      </c>
      <c r="X70" s="634">
        <v>0</v>
      </c>
      <c r="Y70" s="634">
        <v>0</v>
      </c>
      <c r="Z70" s="634">
        <v>0</v>
      </c>
      <c r="AA70" s="634">
        <v>0</v>
      </c>
      <c r="AB70" s="634">
        <v>0</v>
      </c>
      <c r="AC70" s="634">
        <v>0</v>
      </c>
      <c r="AD70" s="634">
        <v>0</v>
      </c>
      <c r="AE70" s="634">
        <v>0</v>
      </c>
      <c r="AF70" s="634">
        <v>0</v>
      </c>
      <c r="AG70" s="634">
        <v>0</v>
      </c>
      <c r="AH70" s="634">
        <v>0</v>
      </c>
      <c r="AI70" s="634">
        <v>0</v>
      </c>
      <c r="AJ70" s="634">
        <v>0</v>
      </c>
      <c r="AK70" s="634">
        <v>0</v>
      </c>
    </row>
    <row r="71" spans="3:37" x14ac:dyDescent="0.2">
      <c r="C71" s="646" t="s">
        <v>78</v>
      </c>
      <c r="D71" s="640">
        <v>7.0843993210285721</v>
      </c>
      <c r="E71" s="640">
        <v>0</v>
      </c>
      <c r="F71" s="640">
        <v>27.107499244386606</v>
      </c>
      <c r="G71" s="640">
        <v>109.63750187259986</v>
      </c>
      <c r="H71" s="640">
        <v>0</v>
      </c>
      <c r="I71" s="640">
        <v>0</v>
      </c>
      <c r="J71" s="640">
        <v>17.593885172405454</v>
      </c>
      <c r="K71" s="640">
        <v>1.7237647195692531</v>
      </c>
      <c r="L71" s="640">
        <v>0.83302892187499988</v>
      </c>
      <c r="M71" s="640">
        <v>2.2562819387026423</v>
      </c>
      <c r="N71" s="640">
        <v>0</v>
      </c>
      <c r="O71" s="640">
        <v>3.8289980908217579E-4</v>
      </c>
      <c r="P71" s="640">
        <v>110.31623789955354</v>
      </c>
      <c r="Q71" s="640">
        <v>16.994133911313323</v>
      </c>
      <c r="R71" s="640">
        <v>0.39614022827148437</v>
      </c>
      <c r="S71" s="648">
        <v>293.94325612951479</v>
      </c>
      <c r="U71" s="646" t="s">
        <v>78</v>
      </c>
      <c r="V71" s="640">
        <v>3.885325727516717</v>
      </c>
      <c r="W71" s="640">
        <v>0</v>
      </c>
      <c r="X71" s="640">
        <v>23.321309480837726</v>
      </c>
      <c r="Y71" s="640">
        <v>96.699296914521057</v>
      </c>
      <c r="Z71" s="640">
        <v>0</v>
      </c>
      <c r="AA71" s="640">
        <v>0</v>
      </c>
      <c r="AB71" s="640">
        <v>18.074671536539281</v>
      </c>
      <c r="AC71" s="640">
        <v>5.2394534429757353</v>
      </c>
      <c r="AD71" s="640">
        <v>0.94215535644531256</v>
      </c>
      <c r="AE71" s="640">
        <v>5.1082185801979545</v>
      </c>
      <c r="AF71" s="640">
        <v>0</v>
      </c>
      <c r="AG71" s="640">
        <v>3.8289980908217579E-4</v>
      </c>
      <c r="AH71" s="640">
        <v>125.74204552909232</v>
      </c>
      <c r="AI71" s="640">
        <v>19.862626301688149</v>
      </c>
      <c r="AJ71" s="640">
        <v>1.1177628173828125</v>
      </c>
      <c r="AK71" s="648">
        <v>299.99324858700612</v>
      </c>
    </row>
    <row r="72" spans="3:37" x14ac:dyDescent="0.2">
      <c r="C72" s="646" t="s">
        <v>79</v>
      </c>
      <c r="D72" s="640">
        <v>0</v>
      </c>
      <c r="E72" s="640">
        <v>0</v>
      </c>
      <c r="F72" s="640">
        <v>408.63289173322238</v>
      </c>
      <c r="G72" s="640">
        <v>6.6484606559899468</v>
      </c>
      <c r="H72" s="640">
        <v>0</v>
      </c>
      <c r="I72" s="640">
        <v>0</v>
      </c>
      <c r="J72" s="640">
        <v>0</v>
      </c>
      <c r="K72" s="640">
        <v>0</v>
      </c>
      <c r="L72" s="640">
        <v>39.656272012198485</v>
      </c>
      <c r="M72" s="640">
        <v>0.13568287053040709</v>
      </c>
      <c r="N72" s="640">
        <v>0</v>
      </c>
      <c r="O72" s="640">
        <v>0</v>
      </c>
      <c r="P72" s="640">
        <v>17.908429224736064</v>
      </c>
      <c r="Q72" s="640">
        <v>0</v>
      </c>
      <c r="R72" s="640">
        <v>0</v>
      </c>
      <c r="S72" s="648">
        <v>472.98173649667723</v>
      </c>
      <c r="U72" s="646" t="s">
        <v>79</v>
      </c>
      <c r="V72" s="640">
        <v>0</v>
      </c>
      <c r="W72" s="640">
        <v>0</v>
      </c>
      <c r="X72" s="640">
        <v>375.77190763394009</v>
      </c>
      <c r="Y72" s="640">
        <v>6.755817454004311</v>
      </c>
      <c r="Z72" s="640">
        <v>0</v>
      </c>
      <c r="AA72" s="640">
        <v>0</v>
      </c>
      <c r="AB72" s="640">
        <v>0</v>
      </c>
      <c r="AC72" s="640">
        <v>0</v>
      </c>
      <c r="AD72" s="640">
        <v>39.472711320953763</v>
      </c>
      <c r="AE72" s="640">
        <v>0.35556933968443744</v>
      </c>
      <c r="AF72" s="640">
        <v>0</v>
      </c>
      <c r="AG72" s="640">
        <v>0</v>
      </c>
      <c r="AH72" s="640">
        <v>17.446496979828503</v>
      </c>
      <c r="AI72" s="640">
        <v>0</v>
      </c>
      <c r="AJ72" s="640">
        <v>0</v>
      </c>
      <c r="AK72" s="648">
        <v>439.80250272841107</v>
      </c>
    </row>
    <row r="73" spans="3:37" x14ac:dyDescent="0.2">
      <c r="C73" s="646" t="s">
        <v>80</v>
      </c>
      <c r="D73" s="640">
        <v>0</v>
      </c>
      <c r="E73" s="640">
        <v>0</v>
      </c>
      <c r="F73" s="640">
        <v>41.084750674599483</v>
      </c>
      <c r="G73" s="640">
        <v>119.79409980429404</v>
      </c>
      <c r="H73" s="640">
        <v>0</v>
      </c>
      <c r="I73" s="640">
        <v>0</v>
      </c>
      <c r="J73" s="640">
        <v>72.996556103181632</v>
      </c>
      <c r="K73" s="640">
        <v>0</v>
      </c>
      <c r="L73" s="640">
        <v>0</v>
      </c>
      <c r="M73" s="640">
        <v>2.4447775470264088</v>
      </c>
      <c r="N73" s="640">
        <v>32.811205728954405</v>
      </c>
      <c r="O73" s="640">
        <v>1.4994987295121316</v>
      </c>
      <c r="P73" s="640">
        <v>168.17343522041736</v>
      </c>
      <c r="Q73" s="640">
        <v>15.992572069761611</v>
      </c>
      <c r="R73" s="640">
        <v>0</v>
      </c>
      <c r="S73" s="648">
        <v>454.79689587774703</v>
      </c>
      <c r="U73" s="646" t="s">
        <v>80</v>
      </c>
      <c r="V73" s="640">
        <v>0</v>
      </c>
      <c r="W73" s="640">
        <v>0</v>
      </c>
      <c r="X73" s="640">
        <v>34.76631066711105</v>
      </c>
      <c r="Y73" s="640">
        <v>106.63972230210601</v>
      </c>
      <c r="Z73" s="640">
        <v>0</v>
      </c>
      <c r="AA73" s="640">
        <v>0</v>
      </c>
      <c r="AB73" s="640">
        <v>79.335392755141783</v>
      </c>
      <c r="AC73" s="640">
        <v>0</v>
      </c>
      <c r="AD73" s="640">
        <v>0</v>
      </c>
      <c r="AE73" s="640">
        <v>5.6126169632687386</v>
      </c>
      <c r="AF73" s="640">
        <v>35.519956519553347</v>
      </c>
      <c r="AG73" s="640">
        <v>1.427931671492281</v>
      </c>
      <c r="AH73" s="640">
        <v>160.67228544284913</v>
      </c>
      <c r="AI73" s="640">
        <v>25.929258094327544</v>
      </c>
      <c r="AJ73" s="640">
        <v>0</v>
      </c>
      <c r="AK73" s="648">
        <v>449.90347441584998</v>
      </c>
    </row>
    <row r="74" spans="3:37" x14ac:dyDescent="0.2">
      <c r="C74" s="646" t="s">
        <v>81</v>
      </c>
      <c r="D74" s="640">
        <v>0</v>
      </c>
      <c r="E74" s="640">
        <v>0</v>
      </c>
      <c r="F74" s="640">
        <v>21.278250753083572</v>
      </c>
      <c r="G74" s="640">
        <v>66.807967366338673</v>
      </c>
      <c r="H74" s="640">
        <v>0</v>
      </c>
      <c r="I74" s="640">
        <v>0</v>
      </c>
      <c r="J74" s="640">
        <v>3.9976752731894716</v>
      </c>
      <c r="K74" s="640">
        <v>2.6432002043970358E-2</v>
      </c>
      <c r="L74" s="640">
        <v>0</v>
      </c>
      <c r="M74" s="640">
        <v>1.3634279054354832</v>
      </c>
      <c r="N74" s="640">
        <v>6.5080361221152287</v>
      </c>
      <c r="O74" s="640">
        <v>0.94378280475996701</v>
      </c>
      <c r="P74" s="640">
        <v>131.53831129097264</v>
      </c>
      <c r="Q74" s="640">
        <v>5.3259859771970728</v>
      </c>
      <c r="R74" s="640">
        <v>0</v>
      </c>
      <c r="S74" s="648">
        <v>237.78986949513609</v>
      </c>
      <c r="U74" s="646" t="s">
        <v>81</v>
      </c>
      <c r="V74" s="640">
        <v>0</v>
      </c>
      <c r="W74" s="640">
        <v>0</v>
      </c>
      <c r="X74" s="640">
        <v>15.239894940926636</v>
      </c>
      <c r="Y74" s="640">
        <v>55.988063388934151</v>
      </c>
      <c r="Z74" s="640">
        <v>0</v>
      </c>
      <c r="AA74" s="640">
        <v>0</v>
      </c>
      <c r="AB74" s="640">
        <v>6.2628201133829862</v>
      </c>
      <c r="AC74" s="640">
        <v>2.6432002043970358E-2</v>
      </c>
      <c r="AD74" s="640">
        <v>0</v>
      </c>
      <c r="AE74" s="640">
        <v>2.9467401783649554</v>
      </c>
      <c r="AF74" s="640">
        <v>11.4217194648713</v>
      </c>
      <c r="AG74" s="640">
        <v>1.4420725885698453</v>
      </c>
      <c r="AH74" s="640">
        <v>125.88549835067262</v>
      </c>
      <c r="AI74" s="640">
        <v>7.0750375470940394</v>
      </c>
      <c r="AJ74" s="640">
        <v>0</v>
      </c>
      <c r="AK74" s="648">
        <v>226.28827857486053</v>
      </c>
    </row>
    <row r="75" spans="3:37" x14ac:dyDescent="0.2">
      <c r="C75" s="646" t="s">
        <v>82</v>
      </c>
      <c r="D75" s="640">
        <v>0</v>
      </c>
      <c r="E75" s="640">
        <v>0</v>
      </c>
      <c r="F75" s="640">
        <v>34.492480565946664</v>
      </c>
      <c r="G75" s="640">
        <v>2.4401253266579648</v>
      </c>
      <c r="H75" s="640">
        <v>0</v>
      </c>
      <c r="I75" s="640">
        <v>0</v>
      </c>
      <c r="J75" s="640">
        <v>0.70706396927287185</v>
      </c>
      <c r="K75" s="640">
        <v>0</v>
      </c>
      <c r="L75" s="640">
        <v>2.2606527751608563</v>
      </c>
      <c r="M75" s="640">
        <v>4.979847605424418E-2</v>
      </c>
      <c r="N75" s="640">
        <v>0</v>
      </c>
      <c r="O75" s="640">
        <v>9.0201671928645533E-2</v>
      </c>
      <c r="P75" s="640">
        <v>8.2455072704191767</v>
      </c>
      <c r="Q75" s="640">
        <v>0</v>
      </c>
      <c r="R75" s="640">
        <v>0</v>
      </c>
      <c r="S75" s="648">
        <v>48.285830055440421</v>
      </c>
      <c r="U75" s="646" t="s">
        <v>82</v>
      </c>
      <c r="V75" s="640">
        <v>0</v>
      </c>
      <c r="W75" s="640">
        <v>0</v>
      </c>
      <c r="X75" s="640">
        <v>33.216742540132081</v>
      </c>
      <c r="Y75" s="640">
        <v>2.5829673934416131</v>
      </c>
      <c r="Z75" s="640">
        <v>0</v>
      </c>
      <c r="AA75" s="640">
        <v>0</v>
      </c>
      <c r="AB75" s="640">
        <v>0.70706396927287185</v>
      </c>
      <c r="AC75" s="640">
        <v>0</v>
      </c>
      <c r="AD75" s="640">
        <v>3.7843312923041141</v>
      </c>
      <c r="AE75" s="640">
        <v>0.13594565228640071</v>
      </c>
      <c r="AF75" s="640">
        <v>0</v>
      </c>
      <c r="AG75" s="640">
        <v>0.36066131262685786</v>
      </c>
      <c r="AH75" s="640">
        <v>8.2670833714025918</v>
      </c>
      <c r="AI75" s="640">
        <v>0</v>
      </c>
      <c r="AJ75" s="640">
        <v>8.6831190235855574E-2</v>
      </c>
      <c r="AK75" s="648">
        <v>49.141626721702394</v>
      </c>
    </row>
    <row r="76" spans="3:37" x14ac:dyDescent="0.2">
      <c r="C76" s="646" t="s">
        <v>354</v>
      </c>
      <c r="D76" s="640">
        <v>0</v>
      </c>
      <c r="E76" s="640">
        <v>0</v>
      </c>
      <c r="F76" s="640">
        <v>0</v>
      </c>
      <c r="G76" s="640">
        <v>0</v>
      </c>
      <c r="H76" s="640">
        <v>0</v>
      </c>
      <c r="I76" s="640">
        <v>0</v>
      </c>
      <c r="J76" s="640">
        <v>0</v>
      </c>
      <c r="K76" s="640">
        <v>0</v>
      </c>
      <c r="L76" s="640">
        <v>0</v>
      </c>
      <c r="M76" s="640">
        <v>0</v>
      </c>
      <c r="N76" s="640">
        <v>0</v>
      </c>
      <c r="O76" s="640">
        <v>0</v>
      </c>
      <c r="P76" s="640">
        <v>0</v>
      </c>
      <c r="Q76" s="640">
        <v>0</v>
      </c>
      <c r="R76" s="640">
        <v>0</v>
      </c>
      <c r="S76" s="648">
        <v>0</v>
      </c>
      <c r="U76" s="646" t="s">
        <v>354</v>
      </c>
      <c r="V76" s="640">
        <v>0</v>
      </c>
      <c r="W76" s="640">
        <v>0</v>
      </c>
      <c r="X76" s="640">
        <v>0</v>
      </c>
      <c r="Y76" s="640">
        <v>0</v>
      </c>
      <c r="Z76" s="640">
        <v>0</v>
      </c>
      <c r="AA76" s="640">
        <v>0</v>
      </c>
      <c r="AB76" s="640">
        <v>0</v>
      </c>
      <c r="AC76" s="640">
        <v>0</v>
      </c>
      <c r="AD76" s="640">
        <v>0</v>
      </c>
      <c r="AE76" s="640">
        <v>0</v>
      </c>
      <c r="AF76" s="640">
        <v>0</v>
      </c>
      <c r="AG76" s="640">
        <v>0</v>
      </c>
      <c r="AH76" s="640">
        <v>0</v>
      </c>
      <c r="AI76" s="640">
        <v>0</v>
      </c>
      <c r="AJ76" s="640">
        <v>0</v>
      </c>
      <c r="AK76" s="648">
        <v>0</v>
      </c>
    </row>
    <row r="77" spans="3:37" x14ac:dyDescent="0.2">
      <c r="C77" s="644" t="s">
        <v>83</v>
      </c>
      <c r="D77" s="645">
        <v>7.0843993210285721</v>
      </c>
      <c r="E77" s="645">
        <v>0</v>
      </c>
      <c r="F77" s="645">
        <v>532.59587297123869</v>
      </c>
      <c r="G77" s="645">
        <v>305.32815502588045</v>
      </c>
      <c r="H77" s="645">
        <v>0</v>
      </c>
      <c r="I77" s="645">
        <v>0</v>
      </c>
      <c r="J77" s="645">
        <v>95.295180518049435</v>
      </c>
      <c r="K77" s="645">
        <v>1.7501967216132235</v>
      </c>
      <c r="L77" s="645">
        <v>42.74995370923434</v>
      </c>
      <c r="M77" s="645">
        <v>6.2499687377491853</v>
      </c>
      <c r="N77" s="645">
        <v>39.319241851069634</v>
      </c>
      <c r="O77" s="645">
        <v>2.5338661060098264</v>
      </c>
      <c r="P77" s="645">
        <v>436.18192090609881</v>
      </c>
      <c r="Q77" s="645">
        <v>38.312691958272005</v>
      </c>
      <c r="R77" s="645">
        <v>0.39614022827148437</v>
      </c>
      <c r="S77" s="645">
        <v>1507.7975880545155</v>
      </c>
      <c r="U77" s="644" t="s">
        <v>83</v>
      </c>
      <c r="V77" s="645">
        <v>3.885325727516717</v>
      </c>
      <c r="W77" s="645">
        <v>0</v>
      </c>
      <c r="X77" s="645">
        <v>482.31616526294755</v>
      </c>
      <c r="Y77" s="645">
        <v>268.66586745300714</v>
      </c>
      <c r="Z77" s="645">
        <v>0</v>
      </c>
      <c r="AA77" s="645">
        <v>0</v>
      </c>
      <c r="AB77" s="645">
        <v>104.37994837433692</v>
      </c>
      <c r="AC77" s="645">
        <v>5.2658854450197055</v>
      </c>
      <c r="AD77" s="645">
        <v>44.199197969703192</v>
      </c>
      <c r="AE77" s="645">
        <v>14.159090713802485</v>
      </c>
      <c r="AF77" s="645">
        <v>46.941675984424649</v>
      </c>
      <c r="AG77" s="645">
        <v>3.2310484724980664</v>
      </c>
      <c r="AH77" s="645">
        <v>438.0134096738451</v>
      </c>
      <c r="AI77" s="645">
        <v>52.866921943109737</v>
      </c>
      <c r="AJ77" s="645">
        <v>1.2045940076186681</v>
      </c>
      <c r="AK77" s="645">
        <v>1465.1291310278302</v>
      </c>
    </row>
    <row r="78" spans="3:37" x14ac:dyDescent="0.2">
      <c r="C78" s="639" t="s">
        <v>84</v>
      </c>
      <c r="D78" s="640">
        <v>0</v>
      </c>
      <c r="E78" s="640">
        <v>0</v>
      </c>
      <c r="F78" s="640">
        <v>127.25135409198229</v>
      </c>
      <c r="G78" s="640">
        <v>12.538633041459809</v>
      </c>
      <c r="H78" s="640">
        <v>0</v>
      </c>
      <c r="I78" s="640">
        <v>0</v>
      </c>
      <c r="J78" s="640">
        <v>0</v>
      </c>
      <c r="K78" s="640">
        <v>0</v>
      </c>
      <c r="L78" s="640">
        <v>0</v>
      </c>
      <c r="M78" s="640">
        <v>0</v>
      </c>
      <c r="N78" s="640">
        <v>0</v>
      </c>
      <c r="O78" s="640">
        <v>0</v>
      </c>
      <c r="P78" s="640">
        <v>0</v>
      </c>
      <c r="Q78" s="640">
        <v>0</v>
      </c>
      <c r="R78" s="640">
        <v>0</v>
      </c>
      <c r="S78" s="648">
        <v>139.78998713344208</v>
      </c>
      <c r="U78" s="639" t="s">
        <v>84</v>
      </c>
      <c r="V78" s="640">
        <v>0</v>
      </c>
      <c r="W78" s="640">
        <v>0</v>
      </c>
      <c r="X78" s="640">
        <v>128.77178857297574</v>
      </c>
      <c r="Y78" s="640">
        <v>1.8429610546316848</v>
      </c>
      <c r="Z78" s="640">
        <v>0</v>
      </c>
      <c r="AA78" s="640">
        <v>0</v>
      </c>
      <c r="AB78" s="640">
        <v>0</v>
      </c>
      <c r="AC78" s="640">
        <v>0</v>
      </c>
      <c r="AD78" s="640">
        <v>0.17036074218750002</v>
      </c>
      <c r="AE78" s="640">
        <v>0</v>
      </c>
      <c r="AF78" s="640">
        <v>0</v>
      </c>
      <c r="AG78" s="640">
        <v>0</v>
      </c>
      <c r="AH78" s="640">
        <v>0</v>
      </c>
      <c r="AI78" s="640">
        <v>0</v>
      </c>
      <c r="AJ78" s="640">
        <v>1.1142721901633521</v>
      </c>
      <c r="AK78" s="648">
        <v>131.89938255995827</v>
      </c>
    </row>
    <row r="79" spans="3:37" x14ac:dyDescent="0.2">
      <c r="C79" s="644" t="s">
        <v>85</v>
      </c>
      <c r="D79" s="645">
        <v>7.0843993210285721</v>
      </c>
      <c r="E79" s="645">
        <v>0</v>
      </c>
      <c r="F79" s="645">
        <v>659.847227063221</v>
      </c>
      <c r="G79" s="645">
        <v>317.86678806734028</v>
      </c>
      <c r="H79" s="645">
        <v>0</v>
      </c>
      <c r="I79" s="645">
        <v>0</v>
      </c>
      <c r="J79" s="645">
        <v>95.295180518049435</v>
      </c>
      <c r="K79" s="645">
        <v>1.7501967216132235</v>
      </c>
      <c r="L79" s="645">
        <v>42.74995370923434</v>
      </c>
      <c r="M79" s="645">
        <v>6.2499687377491853</v>
      </c>
      <c r="N79" s="645">
        <v>39.319241851069634</v>
      </c>
      <c r="O79" s="645">
        <v>2.5338661060098264</v>
      </c>
      <c r="P79" s="645">
        <v>436.18192090609881</v>
      </c>
      <c r="Q79" s="645">
        <v>38.312691958272005</v>
      </c>
      <c r="R79" s="645">
        <v>0.39614022827148437</v>
      </c>
      <c r="S79" s="645">
        <v>1647.5875751879578</v>
      </c>
      <c r="U79" s="644" t="s">
        <v>85</v>
      </c>
      <c r="V79" s="645">
        <v>3.885325727516717</v>
      </c>
      <c r="W79" s="645">
        <v>0</v>
      </c>
      <c r="X79" s="645">
        <v>611.08795383592337</v>
      </c>
      <c r="Y79" s="645">
        <v>270.50882850763884</v>
      </c>
      <c r="Z79" s="645">
        <v>0</v>
      </c>
      <c r="AA79" s="645">
        <v>0</v>
      </c>
      <c r="AB79" s="645">
        <v>104.37994837433692</v>
      </c>
      <c r="AC79" s="645">
        <v>5.2658854450197055</v>
      </c>
      <c r="AD79" s="645">
        <v>44.36955871189069</v>
      </c>
      <c r="AE79" s="645">
        <v>14.159090713802485</v>
      </c>
      <c r="AF79" s="645">
        <v>46.941675984424649</v>
      </c>
      <c r="AG79" s="645">
        <v>3.2310484724980664</v>
      </c>
      <c r="AH79" s="645">
        <v>438.0134096738451</v>
      </c>
      <c r="AI79" s="645">
        <v>52.866921943109737</v>
      </c>
      <c r="AJ79" s="645">
        <v>2.31886619778202</v>
      </c>
      <c r="AK79" s="645">
        <v>1597.0285135877887</v>
      </c>
    </row>
    <row r="80" spans="3:37" x14ac:dyDescent="0.2">
      <c r="C80" s="634"/>
      <c r="D80" s="634"/>
      <c r="E80" s="634"/>
      <c r="F80" s="634"/>
      <c r="G80" s="634"/>
      <c r="H80" s="634"/>
      <c r="I80" s="634"/>
      <c r="J80" s="634"/>
      <c r="K80" s="634"/>
      <c r="L80" s="634"/>
      <c r="M80" s="634"/>
      <c r="N80" s="634"/>
      <c r="O80" s="634"/>
      <c r="P80" s="634"/>
      <c r="Q80" s="634"/>
      <c r="R80" s="634"/>
      <c r="S80" s="634"/>
      <c r="U80" s="634"/>
      <c r="V80" s="634"/>
      <c r="W80" s="634"/>
      <c r="X80" s="634"/>
      <c r="Y80" s="634"/>
      <c r="Z80" s="634"/>
      <c r="AA80" s="634"/>
      <c r="AB80" s="634"/>
      <c r="AC80" s="634"/>
      <c r="AD80" s="634"/>
      <c r="AE80" s="634"/>
      <c r="AF80" s="634"/>
      <c r="AG80" s="634"/>
      <c r="AH80" s="634"/>
      <c r="AI80" s="634"/>
      <c r="AJ80" s="634"/>
      <c r="AK80" s="634"/>
    </row>
    <row r="81" spans="3:37" ht="22.5" x14ac:dyDescent="0.3">
      <c r="C81" s="759" t="s">
        <v>356</v>
      </c>
      <c r="D81" s="759"/>
      <c r="E81" s="759"/>
      <c r="F81" s="759"/>
      <c r="G81" s="759"/>
      <c r="H81" s="759"/>
      <c r="I81" s="759"/>
      <c r="J81" s="759"/>
      <c r="K81" s="759"/>
      <c r="L81" s="759"/>
      <c r="M81" s="759"/>
      <c r="N81" s="759"/>
      <c r="O81" s="759"/>
      <c r="P81" s="759"/>
      <c r="Q81" s="759"/>
      <c r="R81" s="759"/>
      <c r="S81" s="759"/>
      <c r="U81" s="759" t="s">
        <v>356</v>
      </c>
      <c r="V81" s="759"/>
      <c r="W81" s="759"/>
      <c r="X81" s="759"/>
      <c r="Y81" s="759"/>
      <c r="Z81" s="759"/>
      <c r="AA81" s="759"/>
      <c r="AB81" s="759"/>
      <c r="AC81" s="759"/>
      <c r="AD81" s="759"/>
      <c r="AE81" s="759"/>
      <c r="AF81" s="759"/>
      <c r="AG81" s="759"/>
      <c r="AH81" s="759"/>
      <c r="AI81" s="759"/>
      <c r="AJ81" s="759"/>
      <c r="AK81" s="759"/>
    </row>
    <row r="82" spans="3:37" x14ac:dyDescent="0.2">
      <c r="C82" s="634"/>
      <c r="D82" s="634"/>
      <c r="E82" s="634"/>
      <c r="F82" s="634"/>
      <c r="G82" s="634"/>
      <c r="H82" s="634"/>
      <c r="I82" s="634"/>
      <c r="J82" s="634"/>
      <c r="K82" s="634"/>
      <c r="L82" s="634"/>
      <c r="M82" s="634"/>
      <c r="N82" s="634"/>
      <c r="O82" s="634"/>
      <c r="P82" s="634"/>
      <c r="Q82" s="634"/>
      <c r="R82" s="634"/>
      <c r="S82" s="634"/>
      <c r="U82" s="634"/>
      <c r="V82" s="634"/>
      <c r="W82" s="634"/>
      <c r="X82" s="634"/>
      <c r="Y82" s="634"/>
      <c r="Z82" s="634"/>
      <c r="AA82" s="634"/>
      <c r="AB82" s="634"/>
      <c r="AC82" s="634"/>
      <c r="AD82" s="634"/>
      <c r="AE82" s="634"/>
      <c r="AF82" s="634"/>
      <c r="AG82" s="634"/>
      <c r="AH82" s="634"/>
      <c r="AI82" s="634"/>
      <c r="AJ82" s="634"/>
      <c r="AK82" s="634"/>
    </row>
    <row r="83" spans="3:37" ht="12.95" customHeight="1" x14ac:dyDescent="0.2">
      <c r="C83" s="758" t="s">
        <v>128</v>
      </c>
      <c r="D83" s="757" t="s">
        <v>42</v>
      </c>
      <c r="E83" s="757" t="s">
        <v>52</v>
      </c>
      <c r="F83" s="757" t="s">
        <v>53</v>
      </c>
      <c r="G83" s="757" t="s">
        <v>32</v>
      </c>
      <c r="H83" s="757" t="s">
        <v>20</v>
      </c>
      <c r="I83" s="757" t="s">
        <v>55</v>
      </c>
      <c r="J83" s="757" t="s">
        <v>56</v>
      </c>
      <c r="K83" s="757"/>
      <c r="L83" s="757"/>
      <c r="M83" s="757"/>
      <c r="N83" s="757"/>
      <c r="O83" s="757"/>
      <c r="P83" s="757" t="s">
        <v>57</v>
      </c>
      <c r="Q83" s="757" t="s">
        <v>58</v>
      </c>
      <c r="R83" s="757" t="s">
        <v>31</v>
      </c>
      <c r="S83" s="757" t="s">
        <v>10</v>
      </c>
      <c r="U83" s="758" t="s">
        <v>128</v>
      </c>
      <c r="V83" s="757" t="s">
        <v>42</v>
      </c>
      <c r="W83" s="757" t="s">
        <v>52</v>
      </c>
      <c r="X83" s="757" t="s">
        <v>53</v>
      </c>
      <c r="Y83" s="757" t="s">
        <v>32</v>
      </c>
      <c r="Z83" s="757" t="s">
        <v>20</v>
      </c>
      <c r="AA83" s="757" t="s">
        <v>55</v>
      </c>
      <c r="AB83" s="757" t="s">
        <v>56</v>
      </c>
      <c r="AC83" s="757"/>
      <c r="AD83" s="757"/>
      <c r="AE83" s="757"/>
      <c r="AF83" s="757"/>
      <c r="AG83" s="757"/>
      <c r="AH83" s="757" t="s">
        <v>57</v>
      </c>
      <c r="AI83" s="757" t="s">
        <v>58</v>
      </c>
      <c r="AJ83" s="757" t="s">
        <v>31</v>
      </c>
      <c r="AK83" s="757" t="s">
        <v>10</v>
      </c>
    </row>
    <row r="84" spans="3:37" ht="56.25" x14ac:dyDescent="0.2">
      <c r="C84" s="758"/>
      <c r="D84" s="757"/>
      <c r="E84" s="757"/>
      <c r="F84" s="757"/>
      <c r="G84" s="757"/>
      <c r="H84" s="757"/>
      <c r="I84" s="757"/>
      <c r="J84" s="638" t="s">
        <v>335</v>
      </c>
      <c r="K84" s="638" t="s">
        <v>40</v>
      </c>
      <c r="L84" s="638" t="s">
        <v>343</v>
      </c>
      <c r="M84" s="638" t="s">
        <v>344</v>
      </c>
      <c r="N84" s="638" t="s">
        <v>345</v>
      </c>
      <c r="O84" s="638" t="s">
        <v>346</v>
      </c>
      <c r="P84" s="757"/>
      <c r="Q84" s="757"/>
      <c r="R84" s="757"/>
      <c r="S84" s="757"/>
      <c r="U84" s="758"/>
      <c r="V84" s="757"/>
      <c r="W84" s="757"/>
      <c r="X84" s="757"/>
      <c r="Y84" s="757"/>
      <c r="Z84" s="757"/>
      <c r="AA84" s="757"/>
      <c r="AB84" s="638" t="s">
        <v>335</v>
      </c>
      <c r="AC84" s="638" t="s">
        <v>40</v>
      </c>
      <c r="AD84" s="638" t="s">
        <v>343</v>
      </c>
      <c r="AE84" s="638" t="s">
        <v>344</v>
      </c>
      <c r="AF84" s="638" t="s">
        <v>345</v>
      </c>
      <c r="AG84" s="638" t="s">
        <v>346</v>
      </c>
      <c r="AH84" s="757"/>
      <c r="AI84" s="757"/>
      <c r="AJ84" s="757"/>
      <c r="AK84" s="757"/>
    </row>
    <row r="85" spans="3:37" x14ac:dyDescent="0.2">
      <c r="C85" s="639" t="s">
        <v>59</v>
      </c>
      <c r="D85" s="640">
        <v>0</v>
      </c>
      <c r="E85" s="641">
        <v>9.7691999999999997</v>
      </c>
      <c r="F85" s="641">
        <v>0</v>
      </c>
      <c r="G85" s="640">
        <v>0.18608000000000002</v>
      </c>
      <c r="H85" s="641">
        <v>1190.909090909091</v>
      </c>
      <c r="I85" s="641">
        <v>172.65095069399246</v>
      </c>
      <c r="J85" s="641">
        <v>190.83629555260256</v>
      </c>
      <c r="K85" s="641">
        <v>22.859954043709436</v>
      </c>
      <c r="L85" s="641">
        <v>0.28638238403450345</v>
      </c>
      <c r="M85" s="641">
        <v>0.13461365170799597</v>
      </c>
      <c r="N85" s="641">
        <v>45.31680426782367</v>
      </c>
      <c r="O85" s="641">
        <v>7.2729377495964416</v>
      </c>
      <c r="P85" s="642">
        <v>0</v>
      </c>
      <c r="Q85" s="641">
        <v>0</v>
      </c>
      <c r="R85" s="641">
        <v>0</v>
      </c>
      <c r="S85" s="643">
        <v>1640.222309252558</v>
      </c>
      <c r="U85" s="639" t="s">
        <v>59</v>
      </c>
      <c r="V85" s="640">
        <v>0</v>
      </c>
      <c r="W85" s="641">
        <v>9.7691999999999997</v>
      </c>
      <c r="X85" s="641">
        <v>0</v>
      </c>
      <c r="Y85" s="640">
        <v>0.18608000000000002</v>
      </c>
      <c r="Z85" s="641">
        <v>1083.7741046831957</v>
      </c>
      <c r="AA85" s="641">
        <v>180.88004160308333</v>
      </c>
      <c r="AB85" s="641">
        <v>179.66191601295682</v>
      </c>
      <c r="AC85" s="641">
        <v>35.233025744634077</v>
      </c>
      <c r="AD85" s="641">
        <v>0.28638238403450345</v>
      </c>
      <c r="AE85" s="641">
        <v>0.13461365170799597</v>
      </c>
      <c r="AF85" s="641">
        <v>55.315214066923446</v>
      </c>
      <c r="AG85" s="641">
        <v>11.104217144375802</v>
      </c>
      <c r="AH85" s="642">
        <v>0</v>
      </c>
      <c r="AI85" s="641">
        <v>0</v>
      </c>
      <c r="AJ85" s="641">
        <v>0</v>
      </c>
      <c r="AK85" s="643">
        <v>1556.3447952909116</v>
      </c>
    </row>
    <row r="86" spans="3:37" x14ac:dyDescent="0.2">
      <c r="C86" s="639" t="s">
        <v>60</v>
      </c>
      <c r="D86" s="640">
        <v>50.272309821560647</v>
      </c>
      <c r="E86" s="641">
        <v>541.69545178681915</v>
      </c>
      <c r="F86" s="641">
        <v>188.86081515186203</v>
      </c>
      <c r="G86" s="640">
        <v>351.61513464214681</v>
      </c>
      <c r="H86" s="641">
        <v>0</v>
      </c>
      <c r="I86" s="641">
        <v>0</v>
      </c>
      <c r="J86" s="641">
        <v>2.7986686910966072</v>
      </c>
      <c r="K86" s="641">
        <v>0</v>
      </c>
      <c r="L86" s="641">
        <v>1.9601939880201746</v>
      </c>
      <c r="M86" s="641">
        <v>0</v>
      </c>
      <c r="N86" s="641">
        <v>0</v>
      </c>
      <c r="O86" s="641">
        <v>0</v>
      </c>
      <c r="P86" s="642">
        <v>0</v>
      </c>
      <c r="Q86" s="641">
        <v>0</v>
      </c>
      <c r="R86" s="641">
        <v>0</v>
      </c>
      <c r="S86" s="643">
        <v>1137.2025740815054</v>
      </c>
      <c r="U86" s="639" t="s">
        <v>60</v>
      </c>
      <c r="V86" s="640">
        <v>19.313313128242111</v>
      </c>
      <c r="W86" s="641">
        <v>439.73434116717101</v>
      </c>
      <c r="X86" s="641">
        <v>187.81160121991923</v>
      </c>
      <c r="Y86" s="640">
        <v>309.5644193276562</v>
      </c>
      <c r="Z86" s="641">
        <v>0</v>
      </c>
      <c r="AA86" s="641">
        <v>0</v>
      </c>
      <c r="AB86" s="641">
        <v>2.7986686910966072</v>
      </c>
      <c r="AC86" s="641">
        <v>0</v>
      </c>
      <c r="AD86" s="641">
        <v>1.9601939880201746</v>
      </c>
      <c r="AE86" s="641">
        <v>0</v>
      </c>
      <c r="AF86" s="641">
        <v>0</v>
      </c>
      <c r="AG86" s="641">
        <v>0</v>
      </c>
      <c r="AH86" s="642">
        <v>0</v>
      </c>
      <c r="AI86" s="641">
        <v>0</v>
      </c>
      <c r="AJ86" s="641">
        <v>0</v>
      </c>
      <c r="AK86" s="643">
        <v>961.18253752210535</v>
      </c>
    </row>
    <row r="87" spans="3:37" x14ac:dyDescent="0.2">
      <c r="C87" s="639" t="s">
        <v>61</v>
      </c>
      <c r="D87" s="640">
        <v>0</v>
      </c>
      <c r="E87" s="641">
        <v>0</v>
      </c>
      <c r="F87" s="641">
        <v>0</v>
      </c>
      <c r="G87" s="640">
        <v>0</v>
      </c>
      <c r="H87" s="641">
        <v>0</v>
      </c>
      <c r="I87" s="641">
        <v>0</v>
      </c>
      <c r="J87" s="641">
        <v>0</v>
      </c>
      <c r="K87" s="641">
        <v>0</v>
      </c>
      <c r="L87" s="641">
        <v>0</v>
      </c>
      <c r="M87" s="641">
        <v>0</v>
      </c>
      <c r="N87" s="641">
        <v>0</v>
      </c>
      <c r="O87" s="641">
        <v>0</v>
      </c>
      <c r="P87" s="642">
        <v>-71.534753758802367</v>
      </c>
      <c r="Q87" s="641">
        <v>0</v>
      </c>
      <c r="R87" s="641">
        <v>0</v>
      </c>
      <c r="S87" s="643">
        <v>-71.534753758802367</v>
      </c>
      <c r="U87" s="639" t="s">
        <v>61</v>
      </c>
      <c r="V87" s="640">
        <v>0</v>
      </c>
      <c r="W87" s="641">
        <v>0</v>
      </c>
      <c r="X87" s="641">
        <v>0</v>
      </c>
      <c r="Y87" s="640">
        <v>0</v>
      </c>
      <c r="Z87" s="641">
        <v>0</v>
      </c>
      <c r="AA87" s="641">
        <v>0</v>
      </c>
      <c r="AB87" s="641">
        <v>0</v>
      </c>
      <c r="AC87" s="641">
        <v>0</v>
      </c>
      <c r="AD87" s="641">
        <v>0</v>
      </c>
      <c r="AE87" s="641">
        <v>0</v>
      </c>
      <c r="AF87" s="641">
        <v>0</v>
      </c>
      <c r="AG87" s="641">
        <v>0</v>
      </c>
      <c r="AH87" s="642">
        <v>-59.869044369838548</v>
      </c>
      <c r="AI87" s="641">
        <v>0</v>
      </c>
      <c r="AJ87" s="641">
        <v>0</v>
      </c>
      <c r="AK87" s="643">
        <v>-59.869044369838548</v>
      </c>
    </row>
    <row r="88" spans="3:37" x14ac:dyDescent="0.2">
      <c r="C88" s="639" t="s">
        <v>62</v>
      </c>
      <c r="D88" s="640">
        <v>0</v>
      </c>
      <c r="E88" s="641">
        <v>0</v>
      </c>
      <c r="F88" s="641">
        <v>-17.07041205275393</v>
      </c>
      <c r="G88" s="640">
        <v>0</v>
      </c>
      <c r="H88" s="641">
        <v>0</v>
      </c>
      <c r="I88" s="641">
        <v>0</v>
      </c>
      <c r="J88" s="641">
        <v>0</v>
      </c>
      <c r="K88" s="641">
        <v>0</v>
      </c>
      <c r="L88" s="641">
        <v>0</v>
      </c>
      <c r="M88" s="641">
        <v>0</v>
      </c>
      <c r="N88" s="641">
        <v>0</v>
      </c>
      <c r="O88" s="641">
        <v>0</v>
      </c>
      <c r="P88" s="642">
        <v>0</v>
      </c>
      <c r="Q88" s="641">
        <v>0</v>
      </c>
      <c r="R88" s="641">
        <v>0</v>
      </c>
      <c r="S88" s="643">
        <v>-17.07041205275393</v>
      </c>
      <c r="U88" s="639" t="s">
        <v>62</v>
      </c>
      <c r="V88" s="640">
        <v>0</v>
      </c>
      <c r="W88" s="641">
        <v>0</v>
      </c>
      <c r="X88" s="641">
        <v>-16.843089298461354</v>
      </c>
      <c r="Y88" s="640">
        <v>-3.370970564953437E-2</v>
      </c>
      <c r="Z88" s="641">
        <v>0</v>
      </c>
      <c r="AA88" s="641">
        <v>0</v>
      </c>
      <c r="AB88" s="641">
        <v>0</v>
      </c>
      <c r="AC88" s="641">
        <v>0</v>
      </c>
      <c r="AD88" s="641">
        <v>0</v>
      </c>
      <c r="AE88" s="641">
        <v>-3.7455228499482631E-3</v>
      </c>
      <c r="AF88" s="641">
        <v>0</v>
      </c>
      <c r="AG88" s="641">
        <v>0</v>
      </c>
      <c r="AH88" s="642">
        <v>0</v>
      </c>
      <c r="AI88" s="641">
        <v>0</v>
      </c>
      <c r="AJ88" s="641">
        <v>0</v>
      </c>
      <c r="AK88" s="643">
        <v>-16.880544526960836</v>
      </c>
    </row>
    <row r="89" spans="3:37" x14ac:dyDescent="0.2">
      <c r="C89" s="639" t="s">
        <v>63</v>
      </c>
      <c r="D89" s="640">
        <v>0</v>
      </c>
      <c r="E89" s="641">
        <v>0</v>
      </c>
      <c r="F89" s="641">
        <v>-79.881990921256516</v>
      </c>
      <c r="G89" s="640">
        <v>0</v>
      </c>
      <c r="H89" s="641">
        <v>0</v>
      </c>
      <c r="I89" s="641">
        <v>0</v>
      </c>
      <c r="J89" s="641">
        <v>0</v>
      </c>
      <c r="K89" s="641">
        <v>0</v>
      </c>
      <c r="L89" s="641">
        <v>-0.82615205603276265</v>
      </c>
      <c r="M89" s="641">
        <v>0</v>
      </c>
      <c r="N89" s="641">
        <v>0</v>
      </c>
      <c r="O89" s="641">
        <v>0</v>
      </c>
      <c r="P89" s="642">
        <v>0</v>
      </c>
      <c r="Q89" s="641">
        <v>0</v>
      </c>
      <c r="R89" s="641">
        <v>0</v>
      </c>
      <c r="S89" s="643">
        <v>-80.708142977289285</v>
      </c>
      <c r="U89" s="639" t="s">
        <v>63</v>
      </c>
      <c r="V89" s="640">
        <v>0</v>
      </c>
      <c r="W89" s="641">
        <v>0</v>
      </c>
      <c r="X89" s="641">
        <v>-78.255878538705957</v>
      </c>
      <c r="Y89" s="640">
        <v>0</v>
      </c>
      <c r="Z89" s="641">
        <v>0</v>
      </c>
      <c r="AA89" s="641">
        <v>0</v>
      </c>
      <c r="AB89" s="641">
        <v>0</v>
      </c>
      <c r="AC89" s="641">
        <v>0</v>
      </c>
      <c r="AD89" s="641">
        <v>-2.9528968014026442</v>
      </c>
      <c r="AE89" s="641">
        <v>0</v>
      </c>
      <c r="AF89" s="641">
        <v>0</v>
      </c>
      <c r="AG89" s="641">
        <v>0</v>
      </c>
      <c r="AH89" s="642">
        <v>0</v>
      </c>
      <c r="AI89" s="641">
        <v>0</v>
      </c>
      <c r="AJ89" s="641">
        <v>0</v>
      </c>
      <c r="AK89" s="643">
        <v>-81.208775340108602</v>
      </c>
    </row>
    <row r="90" spans="3:37" x14ac:dyDescent="0.2">
      <c r="C90" s="639" t="s">
        <v>64</v>
      </c>
      <c r="D90" s="640">
        <v>0</v>
      </c>
      <c r="E90" s="641">
        <v>0</v>
      </c>
      <c r="F90" s="641">
        <v>0</v>
      </c>
      <c r="G90" s="640">
        <v>0</v>
      </c>
      <c r="H90" s="641">
        <v>0</v>
      </c>
      <c r="I90" s="641">
        <v>0</v>
      </c>
      <c r="J90" s="641">
        <v>0</v>
      </c>
      <c r="K90" s="641">
        <v>0</v>
      </c>
      <c r="L90" s="641">
        <v>0</v>
      </c>
      <c r="M90" s="641">
        <v>0</v>
      </c>
      <c r="N90" s="641">
        <v>0</v>
      </c>
      <c r="O90" s="641">
        <v>0</v>
      </c>
      <c r="P90" s="642">
        <v>0</v>
      </c>
      <c r="Q90" s="641">
        <v>0</v>
      </c>
      <c r="R90" s="641">
        <v>0</v>
      </c>
      <c r="S90" s="643">
        <v>0</v>
      </c>
      <c r="U90" s="639" t="s">
        <v>64</v>
      </c>
      <c r="V90" s="640">
        <v>0</v>
      </c>
      <c r="W90" s="641">
        <v>0</v>
      </c>
      <c r="X90" s="641">
        <v>0</v>
      </c>
      <c r="Y90" s="640">
        <v>0</v>
      </c>
      <c r="Z90" s="641">
        <v>0</v>
      </c>
      <c r="AA90" s="641">
        <v>0</v>
      </c>
      <c r="AB90" s="641">
        <v>0</v>
      </c>
      <c r="AC90" s="641">
        <v>0</v>
      </c>
      <c r="AD90" s="641">
        <v>0</v>
      </c>
      <c r="AE90" s="641">
        <v>0</v>
      </c>
      <c r="AF90" s="641">
        <v>0</v>
      </c>
      <c r="AG90" s="641">
        <v>0</v>
      </c>
      <c r="AH90" s="642">
        <v>0</v>
      </c>
      <c r="AI90" s="641">
        <v>0</v>
      </c>
      <c r="AJ90" s="641">
        <v>0</v>
      </c>
      <c r="AK90" s="643">
        <v>0</v>
      </c>
    </row>
    <row r="91" spans="3:37" x14ac:dyDescent="0.2">
      <c r="C91" s="644" t="s">
        <v>65</v>
      </c>
      <c r="D91" s="645">
        <v>50.272309821560647</v>
      </c>
      <c r="E91" s="645">
        <v>551.4646517868191</v>
      </c>
      <c r="F91" s="645">
        <v>91.908412177851574</v>
      </c>
      <c r="G91" s="645">
        <v>351.80121464214682</v>
      </c>
      <c r="H91" s="645">
        <v>1190.909090909091</v>
      </c>
      <c r="I91" s="645">
        <v>172.65095069399246</v>
      </c>
      <c r="J91" s="645">
        <v>193.63496424369919</v>
      </c>
      <c r="K91" s="645">
        <v>22.859954043709436</v>
      </c>
      <c r="L91" s="645">
        <v>1.4204243160219152</v>
      </c>
      <c r="M91" s="645">
        <v>0.13461365170799597</v>
      </c>
      <c r="N91" s="645">
        <v>45.31680426782367</v>
      </c>
      <c r="O91" s="645">
        <v>7.2729377495964416</v>
      </c>
      <c r="P91" s="645">
        <v>-71.534753758802367</v>
      </c>
      <c r="Q91" s="645">
        <v>0</v>
      </c>
      <c r="R91" s="645">
        <v>0</v>
      </c>
      <c r="S91" s="645">
        <v>2608.111574545218</v>
      </c>
      <c r="U91" s="644" t="s">
        <v>65</v>
      </c>
      <c r="V91" s="645">
        <v>19.313313128242111</v>
      </c>
      <c r="W91" s="645">
        <v>449.50354116717102</v>
      </c>
      <c r="X91" s="645">
        <v>92.712633382751903</v>
      </c>
      <c r="Y91" s="645">
        <v>309.71678962200667</v>
      </c>
      <c r="Z91" s="645">
        <v>1083.7741046831957</v>
      </c>
      <c r="AA91" s="645">
        <v>180.88004160308333</v>
      </c>
      <c r="AB91" s="645">
        <v>182.46058470405345</v>
      </c>
      <c r="AC91" s="645">
        <v>35.233025744634077</v>
      </c>
      <c r="AD91" s="645">
        <v>-0.70632042934796635</v>
      </c>
      <c r="AE91" s="645">
        <v>0.13086812885804772</v>
      </c>
      <c r="AF91" s="645">
        <v>55.315214066923446</v>
      </c>
      <c r="AG91" s="645">
        <v>11.104217144375802</v>
      </c>
      <c r="AH91" s="645">
        <v>-59.869044369838548</v>
      </c>
      <c r="AI91" s="645">
        <v>0</v>
      </c>
      <c r="AJ91" s="645">
        <v>0</v>
      </c>
      <c r="AK91" s="645">
        <v>2359.5689685761085</v>
      </c>
    </row>
    <row r="92" spans="3:37" x14ac:dyDescent="0.2">
      <c r="C92" s="634"/>
      <c r="D92" s="634">
        <v>0</v>
      </c>
      <c r="E92" s="634">
        <v>0</v>
      </c>
      <c r="F92" s="634">
        <v>0</v>
      </c>
      <c r="G92" s="634">
        <v>0</v>
      </c>
      <c r="H92" s="634">
        <v>0</v>
      </c>
      <c r="I92" s="634">
        <v>0</v>
      </c>
      <c r="J92" s="634">
        <v>0</v>
      </c>
      <c r="K92" s="634">
        <v>0</v>
      </c>
      <c r="L92" s="634">
        <v>0</v>
      </c>
      <c r="M92" s="634">
        <v>0</v>
      </c>
      <c r="N92" s="634">
        <v>0</v>
      </c>
      <c r="O92" s="634">
        <v>0</v>
      </c>
      <c r="P92" s="634">
        <v>0</v>
      </c>
      <c r="Q92" s="634">
        <v>0</v>
      </c>
      <c r="R92" s="634">
        <v>0</v>
      </c>
      <c r="S92" s="634">
        <v>0</v>
      </c>
      <c r="U92" s="634"/>
      <c r="V92" s="634">
        <v>0</v>
      </c>
      <c r="W92" s="634">
        <v>0</v>
      </c>
      <c r="X92" s="634">
        <v>0</v>
      </c>
      <c r="Y92" s="634">
        <v>0</v>
      </c>
      <c r="Z92" s="634">
        <v>0</v>
      </c>
      <c r="AA92" s="634">
        <v>0</v>
      </c>
      <c r="AB92" s="634">
        <v>0</v>
      </c>
      <c r="AC92" s="634">
        <v>0</v>
      </c>
      <c r="AD92" s="634">
        <v>0</v>
      </c>
      <c r="AE92" s="634">
        <v>0</v>
      </c>
      <c r="AF92" s="634">
        <v>0</v>
      </c>
      <c r="AG92" s="634">
        <v>0</v>
      </c>
      <c r="AH92" s="634">
        <v>0</v>
      </c>
      <c r="AI92" s="634">
        <v>0</v>
      </c>
      <c r="AJ92" s="634">
        <v>0</v>
      </c>
      <c r="AK92" s="634">
        <v>0</v>
      </c>
    </row>
    <row r="93" spans="3:37" x14ac:dyDescent="0.2">
      <c r="C93" s="646" t="s">
        <v>67</v>
      </c>
      <c r="D93" s="640">
        <v>0</v>
      </c>
      <c r="E93" s="647">
        <v>0</v>
      </c>
      <c r="F93" s="647">
        <v>0</v>
      </c>
      <c r="G93" s="640">
        <v>0</v>
      </c>
      <c r="H93" s="640">
        <v>0</v>
      </c>
      <c r="I93" s="640">
        <v>0</v>
      </c>
      <c r="J93" s="640">
        <v>0</v>
      </c>
      <c r="K93" s="640">
        <v>0</v>
      </c>
      <c r="L93" s="640">
        <v>0</v>
      </c>
      <c r="M93" s="640">
        <v>0</v>
      </c>
      <c r="N93" s="640">
        <v>0</v>
      </c>
      <c r="O93" s="640">
        <v>0</v>
      </c>
      <c r="P93" s="640">
        <v>0</v>
      </c>
      <c r="Q93" s="640">
        <v>0</v>
      </c>
      <c r="R93" s="640">
        <v>0</v>
      </c>
      <c r="S93" s="648">
        <v>0</v>
      </c>
      <c r="U93" s="646" t="s">
        <v>67</v>
      </c>
      <c r="V93" s="640">
        <v>0</v>
      </c>
      <c r="W93" s="647">
        <v>0</v>
      </c>
      <c r="X93" s="647">
        <v>0</v>
      </c>
      <c r="Y93" s="640">
        <v>0</v>
      </c>
      <c r="Z93" s="640">
        <v>0</v>
      </c>
      <c r="AA93" s="640">
        <v>0</v>
      </c>
      <c r="AB93" s="640">
        <v>0</v>
      </c>
      <c r="AC93" s="640">
        <v>0</v>
      </c>
      <c r="AD93" s="640">
        <v>0</v>
      </c>
      <c r="AE93" s="640">
        <v>0</v>
      </c>
      <c r="AF93" s="640">
        <v>0</v>
      </c>
      <c r="AG93" s="640">
        <v>0</v>
      </c>
      <c r="AH93" s="640">
        <v>0</v>
      </c>
      <c r="AI93" s="640">
        <v>0</v>
      </c>
      <c r="AJ93" s="640">
        <v>0</v>
      </c>
      <c r="AK93" s="648">
        <v>0</v>
      </c>
    </row>
    <row r="94" spans="3:37" x14ac:dyDescent="0.2">
      <c r="C94" s="646" t="s">
        <v>347</v>
      </c>
      <c r="D94" s="640">
        <v>2.8283781870338589</v>
      </c>
      <c r="E94" s="640">
        <v>0</v>
      </c>
      <c r="F94" s="640">
        <v>7.6468438736280877</v>
      </c>
      <c r="G94" s="640">
        <v>18.081180811808117</v>
      </c>
      <c r="H94" s="640">
        <v>1190.909090909091</v>
      </c>
      <c r="I94" s="640">
        <v>172.65095069399246</v>
      </c>
      <c r="J94" s="649">
        <v>32.565743560582284</v>
      </c>
      <c r="K94" s="649">
        <v>8.5008344637363535</v>
      </c>
      <c r="L94" s="649">
        <v>2.2465763720546779</v>
      </c>
      <c r="M94" s="649">
        <v>0.47195886872926307</v>
      </c>
      <c r="N94" s="649">
        <v>0</v>
      </c>
      <c r="O94" s="649">
        <v>2.2844574579320316</v>
      </c>
      <c r="P94" s="640">
        <v>-595.37716565950768</v>
      </c>
      <c r="Q94" s="640">
        <v>0</v>
      </c>
      <c r="R94" s="640">
        <v>0</v>
      </c>
      <c r="S94" s="648">
        <v>842.80884953908037</v>
      </c>
      <c r="U94" s="646" t="s">
        <v>347</v>
      </c>
      <c r="V94" s="640">
        <v>1.5423887961183378</v>
      </c>
      <c r="W94" s="640">
        <v>0</v>
      </c>
      <c r="X94" s="640">
        <v>4.7336207331322191</v>
      </c>
      <c r="Y94" s="640">
        <v>50.521301576652128</v>
      </c>
      <c r="Z94" s="640">
        <v>1083.7741046831957</v>
      </c>
      <c r="AA94" s="640">
        <v>180.88004160308333</v>
      </c>
      <c r="AB94" s="649">
        <v>27.309071851402241</v>
      </c>
      <c r="AC94" s="649">
        <v>8.3886793509275197</v>
      </c>
      <c r="AD94" s="649">
        <v>2.2465763720546779</v>
      </c>
      <c r="AE94" s="649">
        <v>4.4961118375316795</v>
      </c>
      <c r="AF94" s="649">
        <v>0</v>
      </c>
      <c r="AG94" s="649">
        <v>2.2844574579320316</v>
      </c>
      <c r="AH94" s="640">
        <v>-585.94262020496217</v>
      </c>
      <c r="AI94" s="640">
        <v>0</v>
      </c>
      <c r="AJ94" s="640">
        <v>0</v>
      </c>
      <c r="AK94" s="648">
        <v>780.23373405706764</v>
      </c>
    </row>
    <row r="95" spans="3:37" x14ac:dyDescent="0.2">
      <c r="C95" s="646" t="s">
        <v>348</v>
      </c>
      <c r="D95" s="640">
        <v>4.9396474947490832E-2</v>
      </c>
      <c r="E95" s="640">
        <v>0</v>
      </c>
      <c r="F95" s="640">
        <v>0</v>
      </c>
      <c r="G95" s="640">
        <v>16.012530383781044</v>
      </c>
      <c r="H95" s="640">
        <v>0</v>
      </c>
      <c r="I95" s="640">
        <v>0</v>
      </c>
      <c r="J95" s="649">
        <v>13.847709445189022</v>
      </c>
      <c r="K95" s="649">
        <v>12.568399079785937</v>
      </c>
      <c r="L95" s="649">
        <v>0</v>
      </c>
      <c r="M95" s="649">
        <v>0.33966953640978992</v>
      </c>
      <c r="N95" s="649">
        <v>0</v>
      </c>
      <c r="O95" s="649">
        <v>2.2653429264336893</v>
      </c>
      <c r="P95" s="640">
        <v>0</v>
      </c>
      <c r="Q95" s="640">
        <v>-40.328896494092007</v>
      </c>
      <c r="R95" s="640">
        <v>0</v>
      </c>
      <c r="S95" s="648">
        <v>4.7541513524549677</v>
      </c>
      <c r="U95" s="646" t="s">
        <v>348</v>
      </c>
      <c r="V95" s="640">
        <v>9.8298985145506765E-2</v>
      </c>
      <c r="W95" s="640">
        <v>0</v>
      </c>
      <c r="X95" s="640">
        <v>0</v>
      </c>
      <c r="Y95" s="640">
        <v>18.159328264867909</v>
      </c>
      <c r="Z95" s="640">
        <v>0</v>
      </c>
      <c r="AA95" s="640">
        <v>0</v>
      </c>
      <c r="AB95" s="649">
        <v>24.238794590159831</v>
      </c>
      <c r="AC95" s="649">
        <v>21.035165918687227</v>
      </c>
      <c r="AD95" s="649">
        <v>0</v>
      </c>
      <c r="AE95" s="649">
        <v>1.5919552250789037</v>
      </c>
      <c r="AF95" s="649">
        <v>0</v>
      </c>
      <c r="AG95" s="649">
        <v>4.9326813925495161</v>
      </c>
      <c r="AH95" s="640">
        <v>0</v>
      </c>
      <c r="AI95" s="640">
        <v>-63.058158381408973</v>
      </c>
      <c r="AJ95" s="640">
        <v>0</v>
      </c>
      <c r="AK95" s="648">
        <v>6.9980659950799184</v>
      </c>
    </row>
    <row r="96" spans="3:37" x14ac:dyDescent="0.2">
      <c r="C96" s="646" t="s">
        <v>349</v>
      </c>
      <c r="D96" s="640">
        <v>0</v>
      </c>
      <c r="E96" s="640">
        <v>0</v>
      </c>
      <c r="F96" s="640">
        <v>0</v>
      </c>
      <c r="G96" s="640">
        <v>0</v>
      </c>
      <c r="H96" s="640">
        <v>0</v>
      </c>
      <c r="I96" s="640">
        <v>0</v>
      </c>
      <c r="J96" s="650">
        <v>7.7702715936307092</v>
      </c>
      <c r="K96" s="650">
        <v>0</v>
      </c>
      <c r="L96" s="650">
        <v>0</v>
      </c>
      <c r="M96" s="650">
        <v>-6.9252545578233695</v>
      </c>
      <c r="N96" s="650">
        <v>0</v>
      </c>
      <c r="O96" s="650">
        <v>0</v>
      </c>
      <c r="P96" s="640">
        <v>0</v>
      </c>
      <c r="Q96" s="640">
        <v>0</v>
      </c>
      <c r="R96" s="640">
        <v>0</v>
      </c>
      <c r="S96" s="648">
        <v>0.84501703580733967</v>
      </c>
      <c r="U96" s="646" t="s">
        <v>349</v>
      </c>
      <c r="V96" s="640">
        <v>0</v>
      </c>
      <c r="W96" s="640">
        <v>0</v>
      </c>
      <c r="X96" s="640">
        <v>0</v>
      </c>
      <c r="Y96" s="640">
        <v>0</v>
      </c>
      <c r="Z96" s="640">
        <v>0</v>
      </c>
      <c r="AA96" s="640">
        <v>0</v>
      </c>
      <c r="AB96" s="650">
        <v>30.043092797136723</v>
      </c>
      <c r="AC96" s="650">
        <v>0</v>
      </c>
      <c r="AD96" s="650">
        <v>0</v>
      </c>
      <c r="AE96" s="650">
        <v>-26.775906455448105</v>
      </c>
      <c r="AF96" s="650">
        <v>0</v>
      </c>
      <c r="AG96" s="650">
        <v>0</v>
      </c>
      <c r="AH96" s="640">
        <v>0</v>
      </c>
      <c r="AI96" s="640">
        <v>0</v>
      </c>
      <c r="AJ96" s="640">
        <v>0</v>
      </c>
      <c r="AK96" s="648">
        <v>3.2671863416886175</v>
      </c>
    </row>
    <row r="97" spans="3:37" x14ac:dyDescent="0.2">
      <c r="C97" s="646" t="s">
        <v>350</v>
      </c>
      <c r="D97" s="640">
        <v>0</v>
      </c>
      <c r="E97" s="640">
        <v>0</v>
      </c>
      <c r="F97" s="640">
        <v>0</v>
      </c>
      <c r="G97" s="640">
        <v>0</v>
      </c>
      <c r="H97" s="640">
        <v>0</v>
      </c>
      <c r="I97" s="640">
        <v>0</v>
      </c>
      <c r="J97" s="640">
        <v>0</v>
      </c>
      <c r="K97" s="640">
        <v>0</v>
      </c>
      <c r="L97" s="640">
        <v>0</v>
      </c>
      <c r="M97" s="640">
        <v>0</v>
      </c>
      <c r="N97" s="640">
        <v>0</v>
      </c>
      <c r="O97" s="640">
        <v>0</v>
      </c>
      <c r="P97" s="640">
        <v>0</v>
      </c>
      <c r="Q97" s="640">
        <v>0</v>
      </c>
      <c r="R97" s="640">
        <v>0</v>
      </c>
      <c r="S97" s="648">
        <v>0</v>
      </c>
      <c r="U97" s="646" t="s">
        <v>350</v>
      </c>
      <c r="V97" s="640">
        <v>0</v>
      </c>
      <c r="W97" s="640">
        <v>0</v>
      </c>
      <c r="X97" s="640">
        <v>0</v>
      </c>
      <c r="Y97" s="640">
        <v>0</v>
      </c>
      <c r="Z97" s="640">
        <v>0</v>
      </c>
      <c r="AA97" s="640">
        <v>0</v>
      </c>
      <c r="AB97" s="640">
        <v>0</v>
      </c>
      <c r="AC97" s="640">
        <v>0</v>
      </c>
      <c r="AD97" s="640">
        <v>0</v>
      </c>
      <c r="AE97" s="640">
        <v>0</v>
      </c>
      <c r="AF97" s="640">
        <v>0</v>
      </c>
      <c r="AG97" s="640">
        <v>0</v>
      </c>
      <c r="AH97" s="640">
        <v>0</v>
      </c>
      <c r="AI97" s="640">
        <v>0</v>
      </c>
      <c r="AJ97" s="640">
        <v>0</v>
      </c>
      <c r="AK97" s="648">
        <v>0</v>
      </c>
    </row>
    <row r="98" spans="3:37" x14ac:dyDescent="0.2">
      <c r="C98" s="646" t="s">
        <v>72</v>
      </c>
      <c r="D98" s="640">
        <v>0</v>
      </c>
      <c r="E98" s="640">
        <v>571.25876810153738</v>
      </c>
      <c r="F98" s="640">
        <v>-565.54618042052198</v>
      </c>
      <c r="G98" s="640">
        <v>0</v>
      </c>
      <c r="H98" s="640">
        <v>0</v>
      </c>
      <c r="I98" s="640">
        <v>0</v>
      </c>
      <c r="J98" s="640">
        <v>0</v>
      </c>
      <c r="K98" s="640">
        <v>0</v>
      </c>
      <c r="L98" s="640">
        <v>0</v>
      </c>
      <c r="M98" s="640">
        <v>0</v>
      </c>
      <c r="N98" s="640">
        <v>0</v>
      </c>
      <c r="O98" s="640">
        <v>0</v>
      </c>
      <c r="P98" s="640">
        <v>0</v>
      </c>
      <c r="Q98" s="640">
        <v>0</v>
      </c>
      <c r="R98" s="640">
        <v>0</v>
      </c>
      <c r="S98" s="648">
        <v>5.7125876810154068</v>
      </c>
      <c r="U98" s="646" t="s">
        <v>72</v>
      </c>
      <c r="V98" s="640">
        <v>0</v>
      </c>
      <c r="W98" s="640">
        <v>465.63789420124414</v>
      </c>
      <c r="X98" s="640">
        <v>-460.98151525923168</v>
      </c>
      <c r="Y98" s="640">
        <v>0</v>
      </c>
      <c r="Z98" s="640">
        <v>0</v>
      </c>
      <c r="AA98" s="640">
        <v>0</v>
      </c>
      <c r="AB98" s="640">
        <v>0</v>
      </c>
      <c r="AC98" s="640">
        <v>0</v>
      </c>
      <c r="AD98" s="640">
        <v>0</v>
      </c>
      <c r="AE98" s="640">
        <v>0</v>
      </c>
      <c r="AF98" s="640">
        <v>0</v>
      </c>
      <c r="AG98" s="640">
        <v>0</v>
      </c>
      <c r="AH98" s="640">
        <v>0</v>
      </c>
      <c r="AI98" s="640">
        <v>0</v>
      </c>
      <c r="AJ98" s="640">
        <v>0</v>
      </c>
      <c r="AK98" s="648">
        <v>4.6563789420124522</v>
      </c>
    </row>
    <row r="99" spans="3:37" x14ac:dyDescent="0.2">
      <c r="C99" s="646" t="s">
        <v>351</v>
      </c>
      <c r="D99" s="640">
        <v>0</v>
      </c>
      <c r="E99" s="640">
        <v>0</v>
      </c>
      <c r="F99" s="640">
        <v>0</v>
      </c>
      <c r="G99" s="640">
        <v>0</v>
      </c>
      <c r="H99" s="640">
        <v>0</v>
      </c>
      <c r="I99" s="640">
        <v>0</v>
      </c>
      <c r="J99" s="640">
        <v>39.987714904046477</v>
      </c>
      <c r="K99" s="640">
        <v>0</v>
      </c>
      <c r="L99" s="640">
        <v>-39.987714904046477</v>
      </c>
      <c r="M99" s="640">
        <v>0</v>
      </c>
      <c r="N99" s="640">
        <v>0</v>
      </c>
      <c r="O99" s="640">
        <v>0</v>
      </c>
      <c r="P99" s="640">
        <v>0</v>
      </c>
      <c r="Q99" s="640">
        <v>0</v>
      </c>
      <c r="R99" s="640">
        <v>0</v>
      </c>
      <c r="S99" s="648">
        <v>0</v>
      </c>
      <c r="U99" s="646" t="s">
        <v>351</v>
      </c>
      <c r="V99" s="640">
        <v>0</v>
      </c>
      <c r="W99" s="640">
        <v>0</v>
      </c>
      <c r="X99" s="640">
        <v>0</v>
      </c>
      <c r="Y99" s="640">
        <v>0</v>
      </c>
      <c r="Z99" s="640">
        <v>0</v>
      </c>
      <c r="AA99" s="640">
        <v>0</v>
      </c>
      <c r="AB99" s="640" t="e">
        <v>#VALUE!</v>
      </c>
      <c r="AC99" s="640">
        <v>0</v>
      </c>
      <c r="AD99" s="640">
        <v>-45.567606807542596</v>
      </c>
      <c r="AE99" s="640">
        <v>0</v>
      </c>
      <c r="AF99" s="640">
        <v>0</v>
      </c>
      <c r="AG99" s="640">
        <v>0</v>
      </c>
      <c r="AH99" s="640">
        <v>0</v>
      </c>
      <c r="AI99" s="640">
        <v>0</v>
      </c>
      <c r="AJ99" s="640">
        <v>0</v>
      </c>
      <c r="AK99" s="648">
        <v>-45.567606807542596</v>
      </c>
    </row>
    <row r="100" spans="3:37" x14ac:dyDescent="0.2">
      <c r="C100" s="646" t="s">
        <v>352</v>
      </c>
      <c r="D100" s="640">
        <v>0</v>
      </c>
      <c r="E100" s="640">
        <v>0</v>
      </c>
      <c r="F100" s="640">
        <v>0</v>
      </c>
      <c r="G100" s="640">
        <v>0</v>
      </c>
      <c r="H100" s="640">
        <v>0</v>
      </c>
      <c r="I100" s="640">
        <v>0</v>
      </c>
      <c r="J100" s="640">
        <v>0</v>
      </c>
      <c r="K100" s="640">
        <v>0</v>
      </c>
      <c r="L100" s="640">
        <v>0</v>
      </c>
      <c r="M100" s="640">
        <v>0</v>
      </c>
      <c r="N100" s="640">
        <v>0</v>
      </c>
      <c r="O100" s="640">
        <v>0</v>
      </c>
      <c r="P100" s="640">
        <v>0</v>
      </c>
      <c r="Q100" s="640">
        <v>0</v>
      </c>
      <c r="R100" s="640">
        <v>0</v>
      </c>
      <c r="S100" s="648">
        <v>0</v>
      </c>
      <c r="U100" s="646" t="s">
        <v>352</v>
      </c>
      <c r="V100" s="640">
        <v>0</v>
      </c>
      <c r="W100" s="640">
        <v>0</v>
      </c>
      <c r="X100" s="640">
        <v>0</v>
      </c>
      <c r="Y100" s="640">
        <v>0</v>
      </c>
      <c r="Z100" s="640">
        <v>0</v>
      </c>
      <c r="AA100" s="640">
        <v>0</v>
      </c>
      <c r="AB100" s="640">
        <v>0</v>
      </c>
      <c r="AC100" s="640">
        <v>0</v>
      </c>
      <c r="AD100" s="640">
        <v>-3.4570377590144092</v>
      </c>
      <c r="AE100" s="640">
        <v>0</v>
      </c>
      <c r="AF100" s="640">
        <v>0</v>
      </c>
      <c r="AG100" s="640">
        <v>0</v>
      </c>
      <c r="AH100" s="640">
        <v>0</v>
      </c>
      <c r="AI100" s="640">
        <v>0</v>
      </c>
      <c r="AJ100" s="640">
        <v>0</v>
      </c>
      <c r="AK100" s="648">
        <v>-3.4570377590144092</v>
      </c>
    </row>
    <row r="101" spans="3:37" x14ac:dyDescent="0.2">
      <c r="C101" s="646" t="s">
        <v>73</v>
      </c>
      <c r="D101" s="640">
        <v>0</v>
      </c>
      <c r="E101" s="640">
        <v>0</v>
      </c>
      <c r="F101" s="640">
        <v>0</v>
      </c>
      <c r="G101" s="640">
        <v>0.75220280486673308</v>
      </c>
      <c r="H101" s="640">
        <v>0</v>
      </c>
      <c r="I101" s="640">
        <v>0</v>
      </c>
      <c r="J101" s="640">
        <v>0</v>
      </c>
      <c r="K101" s="640">
        <v>8.3794091977846576E-3</v>
      </c>
      <c r="L101" s="640">
        <v>0</v>
      </c>
      <c r="M101" s="640">
        <v>1.5351077650341492E-2</v>
      </c>
      <c r="N101" s="640">
        <v>0</v>
      </c>
      <c r="O101" s="640">
        <v>0</v>
      </c>
      <c r="P101" s="640">
        <v>6.6777445606960792E-2</v>
      </c>
      <c r="Q101" s="640">
        <v>0</v>
      </c>
      <c r="R101" s="640">
        <v>-0.58655864384492595</v>
      </c>
      <c r="S101" s="648">
        <v>0.25615209347689405</v>
      </c>
      <c r="U101" s="646" t="s">
        <v>73</v>
      </c>
      <c r="V101" s="640">
        <v>0</v>
      </c>
      <c r="W101" s="640">
        <v>0</v>
      </c>
      <c r="X101" s="640">
        <v>0</v>
      </c>
      <c r="Y101" s="640">
        <v>3.5795956147675603</v>
      </c>
      <c r="Z101" s="640">
        <v>0</v>
      </c>
      <c r="AA101" s="640">
        <v>0</v>
      </c>
      <c r="AB101" s="640">
        <v>0</v>
      </c>
      <c r="AC101" s="640">
        <v>7.7817295973207842E-2</v>
      </c>
      <c r="AD101" s="640">
        <v>0</v>
      </c>
      <c r="AE101" s="640">
        <v>0.31126918389283142</v>
      </c>
      <c r="AF101" s="640">
        <v>0</v>
      </c>
      <c r="AG101" s="640">
        <v>0</v>
      </c>
      <c r="AH101" s="640">
        <v>4.1063588490477363</v>
      </c>
      <c r="AI101" s="640">
        <v>0</v>
      </c>
      <c r="AJ101" s="640">
        <v>-5.4472107181245484</v>
      </c>
      <c r="AK101" s="648">
        <v>2.6278302255567869</v>
      </c>
    </row>
    <row r="102" spans="3:37" x14ac:dyDescent="0.2">
      <c r="C102" s="646" t="s">
        <v>353</v>
      </c>
      <c r="D102" s="640">
        <v>29.279348437500001</v>
      </c>
      <c r="E102" s="640">
        <v>-19.79411631471827</v>
      </c>
      <c r="F102" s="640">
        <v>25.889534996151326</v>
      </c>
      <c r="G102" s="640">
        <v>0</v>
      </c>
      <c r="H102" s="640">
        <v>0</v>
      </c>
      <c r="I102" s="640">
        <v>0</v>
      </c>
      <c r="J102" s="640">
        <v>0</v>
      </c>
      <c r="K102" s="640">
        <v>0</v>
      </c>
      <c r="L102" s="640">
        <v>0</v>
      </c>
      <c r="M102" s="640">
        <v>0</v>
      </c>
      <c r="N102" s="640">
        <v>0</v>
      </c>
      <c r="O102" s="640">
        <v>0</v>
      </c>
      <c r="P102" s="640">
        <v>0</v>
      </c>
      <c r="Q102" s="640">
        <v>0</v>
      </c>
      <c r="R102" s="640">
        <v>0</v>
      </c>
      <c r="S102" s="648">
        <v>35.374767118933057</v>
      </c>
      <c r="U102" s="646" t="s">
        <v>353</v>
      </c>
      <c r="V102" s="640">
        <v>8.1420534667968738</v>
      </c>
      <c r="W102" s="640">
        <v>-16.134353034073111</v>
      </c>
      <c r="X102" s="640">
        <v>21.102780789728897</v>
      </c>
      <c r="Y102" s="640">
        <v>0</v>
      </c>
      <c r="Z102" s="640">
        <v>0</v>
      </c>
      <c r="AA102" s="640">
        <v>0</v>
      </c>
      <c r="AB102" s="640">
        <v>0</v>
      </c>
      <c r="AC102" s="640">
        <v>0</v>
      </c>
      <c r="AD102" s="640">
        <v>0</v>
      </c>
      <c r="AE102" s="640">
        <v>0</v>
      </c>
      <c r="AF102" s="640">
        <v>0</v>
      </c>
      <c r="AG102" s="640">
        <v>0</v>
      </c>
      <c r="AH102" s="640">
        <v>0</v>
      </c>
      <c r="AI102" s="640">
        <v>0</v>
      </c>
      <c r="AJ102" s="640">
        <v>0</v>
      </c>
      <c r="AK102" s="648">
        <v>13.110481222452659</v>
      </c>
    </row>
    <row r="103" spans="3:37" x14ac:dyDescent="0.2">
      <c r="C103" s="646" t="s">
        <v>75</v>
      </c>
      <c r="D103" s="640">
        <v>11.386413281250002</v>
      </c>
      <c r="E103" s="640">
        <v>0</v>
      </c>
      <c r="F103" s="640">
        <v>19.422798115452274</v>
      </c>
      <c r="G103" s="640">
        <v>5.5423525681211148</v>
      </c>
      <c r="H103" s="640">
        <v>0</v>
      </c>
      <c r="I103" s="640">
        <v>0</v>
      </c>
      <c r="J103" s="640">
        <v>0</v>
      </c>
      <c r="K103" s="640">
        <v>0</v>
      </c>
      <c r="L103" s="640">
        <v>0</v>
      </c>
      <c r="M103" s="640">
        <v>0.11310923608410439</v>
      </c>
      <c r="N103" s="640">
        <v>0</v>
      </c>
      <c r="O103" s="640">
        <v>0</v>
      </c>
      <c r="P103" s="640">
        <v>36.293113930785914</v>
      </c>
      <c r="Q103" s="640">
        <v>0</v>
      </c>
      <c r="R103" s="640">
        <v>0</v>
      </c>
      <c r="S103" s="648">
        <v>72.757787131693405</v>
      </c>
      <c r="U103" s="646" t="s">
        <v>75</v>
      </c>
      <c r="V103" s="640">
        <v>7.5011909179687501</v>
      </c>
      <c r="W103" s="640">
        <v>0</v>
      </c>
      <c r="X103" s="640">
        <v>19.422798115452274</v>
      </c>
      <c r="Y103" s="640">
        <v>5.203024859868802</v>
      </c>
      <c r="Z103" s="640">
        <v>0</v>
      </c>
      <c r="AA103" s="640">
        <v>0</v>
      </c>
      <c r="AB103" s="640">
        <v>0</v>
      </c>
      <c r="AC103" s="640">
        <v>0</v>
      </c>
      <c r="AD103" s="640">
        <v>0</v>
      </c>
      <c r="AE103" s="640">
        <v>0.45243694433641768</v>
      </c>
      <c r="AF103" s="640">
        <v>0</v>
      </c>
      <c r="AG103" s="640">
        <v>0</v>
      </c>
      <c r="AH103" s="640">
        <v>32.151874261364433</v>
      </c>
      <c r="AI103" s="640">
        <v>0</v>
      </c>
      <c r="AJ103" s="640">
        <v>0</v>
      </c>
      <c r="AK103" s="648">
        <v>64.731325098990681</v>
      </c>
    </row>
    <row r="104" spans="3:37" x14ac:dyDescent="0.2">
      <c r="C104" s="646" t="s">
        <v>76</v>
      </c>
      <c r="D104" s="640">
        <v>0</v>
      </c>
      <c r="E104" s="640">
        <v>0</v>
      </c>
      <c r="F104" s="640">
        <v>0</v>
      </c>
      <c r="G104" s="640">
        <v>4.0237645059289928</v>
      </c>
      <c r="H104" s="640">
        <v>0</v>
      </c>
      <c r="I104" s="640">
        <v>0</v>
      </c>
      <c r="J104" s="640">
        <v>0</v>
      </c>
      <c r="K104" s="640">
        <v>0</v>
      </c>
      <c r="L104" s="640">
        <v>0</v>
      </c>
      <c r="M104" s="640">
        <v>8.211764297814271E-2</v>
      </c>
      <c r="N104" s="640">
        <v>0</v>
      </c>
      <c r="O104" s="640">
        <v>0</v>
      </c>
      <c r="P104" s="640">
        <v>40.115929077638647</v>
      </c>
      <c r="Q104" s="640">
        <v>3.1293610589936001</v>
      </c>
      <c r="R104" s="640">
        <v>0</v>
      </c>
      <c r="S104" s="648">
        <v>47.351172285539384</v>
      </c>
      <c r="U104" s="646" t="s">
        <v>76</v>
      </c>
      <c r="V104" s="640">
        <v>0</v>
      </c>
      <c r="W104" s="640">
        <v>0</v>
      </c>
      <c r="X104" s="640">
        <v>0</v>
      </c>
      <c r="Y104" s="640">
        <v>3.6512599711974678</v>
      </c>
      <c r="Z104" s="640">
        <v>0</v>
      </c>
      <c r="AA104" s="640">
        <v>0</v>
      </c>
      <c r="AB104" s="640">
        <v>0</v>
      </c>
      <c r="AC104" s="640">
        <v>0</v>
      </c>
      <c r="AD104" s="640">
        <v>0</v>
      </c>
      <c r="AE104" s="640">
        <v>0.31750086706064945</v>
      </c>
      <c r="AF104" s="640">
        <v>0</v>
      </c>
      <c r="AG104" s="640">
        <v>0</v>
      </c>
      <c r="AH104" s="640">
        <v>40.286923174182249</v>
      </c>
      <c r="AI104" s="640">
        <v>4.8906691757229597</v>
      </c>
      <c r="AJ104" s="640">
        <v>0</v>
      </c>
      <c r="AK104" s="648">
        <v>49.146353188163332</v>
      </c>
    </row>
    <row r="105" spans="3:37" x14ac:dyDescent="0.2">
      <c r="C105" s="644" t="s">
        <v>77</v>
      </c>
      <c r="D105" s="645">
        <v>43.543536380731354</v>
      </c>
      <c r="E105" s="645">
        <v>551.4646517868191</v>
      </c>
      <c r="F105" s="645">
        <v>-512.58700343529028</v>
      </c>
      <c r="G105" s="645">
        <v>44.412031074506011</v>
      </c>
      <c r="H105" s="645">
        <v>1190.909090909091</v>
      </c>
      <c r="I105" s="645">
        <v>172.65095069399246</v>
      </c>
      <c r="J105" s="645">
        <v>94.171439503448497</v>
      </c>
      <c r="K105" s="645">
        <v>21.077612952720074</v>
      </c>
      <c r="L105" s="645">
        <v>-37.741138531991801</v>
      </c>
      <c r="M105" s="645">
        <v>-5.9030481959717278</v>
      </c>
      <c r="N105" s="645">
        <v>0</v>
      </c>
      <c r="O105" s="645">
        <v>4.5498003843657209</v>
      </c>
      <c r="P105" s="645">
        <v>-518.9013452054761</v>
      </c>
      <c r="Q105" s="645">
        <v>-37.199535435098404</v>
      </c>
      <c r="R105" s="645">
        <v>-0.58655864384492595</v>
      </c>
      <c r="S105" s="645">
        <v>1009.8604842380009</v>
      </c>
      <c r="U105" s="644" t="s">
        <v>77</v>
      </c>
      <c r="V105" s="645">
        <v>17.283932166029469</v>
      </c>
      <c r="W105" s="645">
        <v>449.50354116717102</v>
      </c>
      <c r="X105" s="645">
        <v>-415.72231562091827</v>
      </c>
      <c r="Y105" s="645">
        <v>81.114510287353866</v>
      </c>
      <c r="Z105" s="645">
        <v>1083.7741046831957</v>
      </c>
      <c r="AA105" s="645">
        <v>180.88004160308333</v>
      </c>
      <c r="AB105" s="645">
        <v>81.590959238698787</v>
      </c>
      <c r="AC105" s="645">
        <v>29.501662565587953</v>
      </c>
      <c r="AD105" s="645">
        <v>-46.778068194502332</v>
      </c>
      <c r="AE105" s="645">
        <v>-19.606632397547621</v>
      </c>
      <c r="AF105" s="645">
        <v>0</v>
      </c>
      <c r="AG105" s="645">
        <v>7.2171388504815477</v>
      </c>
      <c r="AH105" s="645">
        <v>-509.39746392036778</v>
      </c>
      <c r="AI105" s="645">
        <v>-58.16748920568601</v>
      </c>
      <c r="AJ105" s="645">
        <v>-5.4472107181245484</v>
      </c>
      <c r="AK105" s="645">
        <v>875.74671050445522</v>
      </c>
    </row>
    <row r="106" spans="3:37" x14ac:dyDescent="0.2">
      <c r="C106" s="634"/>
      <c r="D106" s="634">
        <v>0</v>
      </c>
      <c r="E106" s="634">
        <v>0</v>
      </c>
      <c r="F106" s="634">
        <v>0</v>
      </c>
      <c r="G106" s="634">
        <v>0</v>
      </c>
      <c r="H106" s="634">
        <v>0</v>
      </c>
      <c r="I106" s="634">
        <v>0</v>
      </c>
      <c r="J106" s="634">
        <v>0</v>
      </c>
      <c r="K106" s="634">
        <v>0</v>
      </c>
      <c r="L106" s="634">
        <v>0</v>
      </c>
      <c r="M106" s="634">
        <v>0</v>
      </c>
      <c r="N106" s="634">
        <v>0</v>
      </c>
      <c r="O106" s="634">
        <v>0</v>
      </c>
      <c r="P106" s="634">
        <v>0</v>
      </c>
      <c r="Q106" s="634">
        <v>0</v>
      </c>
      <c r="R106" s="634">
        <v>0</v>
      </c>
      <c r="S106" s="634">
        <v>0</v>
      </c>
      <c r="U106" s="634"/>
      <c r="V106" s="634">
        <v>0</v>
      </c>
      <c r="W106" s="634">
        <v>0</v>
      </c>
      <c r="X106" s="634">
        <v>0</v>
      </c>
      <c r="Y106" s="634">
        <v>0</v>
      </c>
      <c r="Z106" s="634">
        <v>0</v>
      </c>
      <c r="AA106" s="634">
        <v>0</v>
      </c>
      <c r="AB106" s="634">
        <v>0</v>
      </c>
      <c r="AC106" s="634">
        <v>0</v>
      </c>
      <c r="AD106" s="634">
        <v>0</v>
      </c>
      <c r="AE106" s="634">
        <v>0</v>
      </c>
      <c r="AF106" s="634">
        <v>0</v>
      </c>
      <c r="AG106" s="634">
        <v>0</v>
      </c>
      <c r="AH106" s="634">
        <v>0</v>
      </c>
      <c r="AI106" s="634">
        <v>0</v>
      </c>
      <c r="AJ106" s="634">
        <v>0</v>
      </c>
      <c r="AK106" s="634">
        <v>0</v>
      </c>
    </row>
    <row r="107" spans="3:37" x14ac:dyDescent="0.2">
      <c r="C107" s="646" t="s">
        <v>78</v>
      </c>
      <c r="D107" s="640">
        <v>6.728773440829297</v>
      </c>
      <c r="E107" s="640">
        <v>0</v>
      </c>
      <c r="F107" s="640">
        <v>25.863549799477383</v>
      </c>
      <c r="G107" s="640">
        <v>106.8903340661312</v>
      </c>
      <c r="H107" s="640">
        <v>0</v>
      </c>
      <c r="I107" s="640">
        <v>0</v>
      </c>
      <c r="J107" s="640">
        <v>18.169859613838756</v>
      </c>
      <c r="K107" s="640">
        <v>1.7567698743130979</v>
      </c>
      <c r="L107" s="640">
        <v>0.84376959960937503</v>
      </c>
      <c r="M107" s="640">
        <v>2.2002106600734406</v>
      </c>
      <c r="N107" s="640">
        <v>0</v>
      </c>
      <c r="O107" s="640">
        <v>3.8276465550578692E-4</v>
      </c>
      <c r="P107" s="640">
        <v>109.87696924977793</v>
      </c>
      <c r="Q107" s="640">
        <v>16.590503969858354</v>
      </c>
      <c r="R107" s="640">
        <v>0.37438674926757814</v>
      </c>
      <c r="S107" s="648">
        <v>289.29550978783192</v>
      </c>
      <c r="U107" s="646" t="s">
        <v>78</v>
      </c>
      <c r="V107" s="640">
        <v>2.0293809622126395</v>
      </c>
      <c r="W107" s="640">
        <v>0</v>
      </c>
      <c r="X107" s="640">
        <v>19.296192618187902</v>
      </c>
      <c r="Y107" s="640">
        <v>85.841195035715842</v>
      </c>
      <c r="Z107" s="640">
        <v>0</v>
      </c>
      <c r="AA107" s="640">
        <v>0</v>
      </c>
      <c r="AB107" s="640">
        <v>17.65205880284368</v>
      </c>
      <c r="AC107" s="640">
        <v>5.7057919623698545</v>
      </c>
      <c r="AD107" s="640">
        <v>1.0576742773437502</v>
      </c>
      <c r="AE107" s="640">
        <v>7.4832270132048837</v>
      </c>
      <c r="AF107" s="640">
        <v>0</v>
      </c>
      <c r="AG107" s="640">
        <v>3.8276465550578692E-4</v>
      </c>
      <c r="AH107" s="640">
        <v>128.8590842242281</v>
      </c>
      <c r="AI107" s="640">
        <v>20.165819518520905</v>
      </c>
      <c r="AJ107" s="640">
        <v>3.3051525878906252</v>
      </c>
      <c r="AK107" s="648">
        <v>291.39595976717368</v>
      </c>
    </row>
    <row r="108" spans="3:37" x14ac:dyDescent="0.2">
      <c r="C108" s="646" t="s">
        <v>79</v>
      </c>
      <c r="D108" s="640">
        <v>0</v>
      </c>
      <c r="E108" s="640">
        <v>0</v>
      </c>
      <c r="F108" s="640">
        <v>369.9552310331793</v>
      </c>
      <c r="G108" s="640">
        <v>11.471553092100274</v>
      </c>
      <c r="H108" s="640">
        <v>0</v>
      </c>
      <c r="I108" s="640">
        <v>0</v>
      </c>
      <c r="J108" s="640">
        <v>0</v>
      </c>
      <c r="K108" s="640">
        <v>0</v>
      </c>
      <c r="L108" s="640">
        <v>35.942658929765898</v>
      </c>
      <c r="M108" s="640">
        <v>0.23411332841020971</v>
      </c>
      <c r="N108" s="640">
        <v>0</v>
      </c>
      <c r="O108" s="640">
        <v>0</v>
      </c>
      <c r="P108" s="640">
        <v>25.304787135555738</v>
      </c>
      <c r="Q108" s="640">
        <v>0</v>
      </c>
      <c r="R108" s="640">
        <v>0.21217189457734786</v>
      </c>
      <c r="S108" s="648">
        <v>443.12051541358881</v>
      </c>
      <c r="U108" s="646" t="s">
        <v>79</v>
      </c>
      <c r="V108" s="640">
        <v>0</v>
      </c>
      <c r="W108" s="640">
        <v>0</v>
      </c>
      <c r="X108" s="640">
        <v>313.43701377185255</v>
      </c>
      <c r="Y108" s="640">
        <v>10.638728179836399</v>
      </c>
      <c r="Z108" s="640">
        <v>0</v>
      </c>
      <c r="AA108" s="640">
        <v>0</v>
      </c>
      <c r="AB108" s="640">
        <v>0</v>
      </c>
      <c r="AC108" s="640">
        <v>0</v>
      </c>
      <c r="AD108" s="640">
        <v>37.80600606344305</v>
      </c>
      <c r="AE108" s="640">
        <v>1.0240500912331831</v>
      </c>
      <c r="AF108" s="640">
        <v>0</v>
      </c>
      <c r="AG108" s="640">
        <v>0</v>
      </c>
      <c r="AH108" s="640">
        <v>27.763643315903455</v>
      </c>
      <c r="AI108" s="640">
        <v>0</v>
      </c>
      <c r="AJ108" s="640">
        <v>0.49126373722019012</v>
      </c>
      <c r="AK108" s="648">
        <v>391.16070515948877</v>
      </c>
    </row>
    <row r="109" spans="3:37" x14ac:dyDescent="0.2">
      <c r="C109" s="646" t="s">
        <v>80</v>
      </c>
      <c r="D109" s="640">
        <v>0</v>
      </c>
      <c r="E109" s="640">
        <v>0</v>
      </c>
      <c r="F109" s="640">
        <v>35.339410591812062</v>
      </c>
      <c r="G109" s="640">
        <v>110.15178599375342</v>
      </c>
      <c r="H109" s="640">
        <v>0</v>
      </c>
      <c r="I109" s="640">
        <v>0</v>
      </c>
      <c r="J109" s="640">
        <v>76.439784825488388</v>
      </c>
      <c r="K109" s="640">
        <v>0</v>
      </c>
      <c r="L109" s="640">
        <v>0</v>
      </c>
      <c r="M109" s="640">
        <v>2.2479956325255803</v>
      </c>
      <c r="N109" s="640">
        <v>37.868836361528707</v>
      </c>
      <c r="O109" s="640">
        <v>1.7588356807089602</v>
      </c>
      <c r="P109" s="640">
        <v>172.83410671700432</v>
      </c>
      <c r="Q109" s="640">
        <v>15.866907360541454</v>
      </c>
      <c r="R109" s="640">
        <v>0</v>
      </c>
      <c r="S109" s="648">
        <v>452.50766316336285</v>
      </c>
      <c r="U109" s="646" t="s">
        <v>80</v>
      </c>
      <c r="V109" s="640">
        <v>0</v>
      </c>
      <c r="W109" s="640">
        <v>0</v>
      </c>
      <c r="X109" s="640">
        <v>15.561012749366258</v>
      </c>
      <c r="Y109" s="640">
        <v>82.553801475145548</v>
      </c>
      <c r="Z109" s="640">
        <v>0</v>
      </c>
      <c r="AA109" s="640">
        <v>0</v>
      </c>
      <c r="AB109" s="640">
        <v>74.889683173020046</v>
      </c>
      <c r="AC109" s="640">
        <v>0</v>
      </c>
      <c r="AD109" s="640">
        <v>0</v>
      </c>
      <c r="AE109" s="640">
        <v>7.1785914326213538</v>
      </c>
      <c r="AF109" s="640">
        <v>42.28245423809345</v>
      </c>
      <c r="AG109" s="640">
        <v>1.7308148603825539</v>
      </c>
      <c r="AH109" s="640">
        <v>160.19147139934566</v>
      </c>
      <c r="AI109" s="640">
        <v>30.044387556600874</v>
      </c>
      <c r="AJ109" s="640">
        <v>0</v>
      </c>
      <c r="AK109" s="648">
        <v>414.43221688457572</v>
      </c>
    </row>
    <row r="110" spans="3:37" x14ac:dyDescent="0.2">
      <c r="C110" s="646" t="s">
        <v>81</v>
      </c>
      <c r="D110" s="640">
        <v>0</v>
      </c>
      <c r="E110" s="640">
        <v>0</v>
      </c>
      <c r="F110" s="640">
        <v>16.364991401651867</v>
      </c>
      <c r="G110" s="640">
        <v>64.121059154218784</v>
      </c>
      <c r="H110" s="640">
        <v>0</v>
      </c>
      <c r="I110" s="640">
        <v>0</v>
      </c>
      <c r="J110" s="640">
        <v>3.7472623320410015</v>
      </c>
      <c r="K110" s="640">
        <v>2.5571216676264549E-2</v>
      </c>
      <c r="L110" s="640">
        <v>0</v>
      </c>
      <c r="M110" s="640">
        <v>1.3085930439636488</v>
      </c>
      <c r="N110" s="640">
        <v>7.447967906294962</v>
      </c>
      <c r="O110" s="640">
        <v>0.8772790781137545</v>
      </c>
      <c r="P110" s="640">
        <v>131.35942241830159</v>
      </c>
      <c r="Q110" s="640">
        <v>4.7421241046985951</v>
      </c>
      <c r="R110" s="640">
        <v>0</v>
      </c>
      <c r="S110" s="648">
        <v>229.99427065596046</v>
      </c>
      <c r="U110" s="646" t="s">
        <v>81</v>
      </c>
      <c r="V110" s="640">
        <v>0</v>
      </c>
      <c r="W110" s="640">
        <v>0</v>
      </c>
      <c r="X110" s="640">
        <v>8.4431338424639417</v>
      </c>
      <c r="Y110" s="640">
        <v>45.209877020113709</v>
      </c>
      <c r="Z110" s="640">
        <v>0</v>
      </c>
      <c r="AA110" s="640">
        <v>0</v>
      </c>
      <c r="AB110" s="640">
        <v>7.2212655206083989</v>
      </c>
      <c r="AC110" s="640">
        <v>2.5571216676264549E-2</v>
      </c>
      <c r="AD110" s="640">
        <v>0</v>
      </c>
      <c r="AE110" s="640">
        <v>3.9312936539229324</v>
      </c>
      <c r="AF110" s="640">
        <v>13.032759828829999</v>
      </c>
      <c r="AG110" s="640">
        <v>1.6365054019865546</v>
      </c>
      <c r="AH110" s="640">
        <v>124.3283929234443</v>
      </c>
      <c r="AI110" s="640">
        <v>7.9572821305642334</v>
      </c>
      <c r="AJ110" s="640">
        <v>0</v>
      </c>
      <c r="AK110" s="648">
        <v>211.78608153861032</v>
      </c>
    </row>
    <row r="111" spans="3:37" x14ac:dyDescent="0.2">
      <c r="C111" s="646" t="s">
        <v>82</v>
      </c>
      <c r="D111" s="640">
        <v>0</v>
      </c>
      <c r="E111" s="640">
        <v>0</v>
      </c>
      <c r="F111" s="640">
        <v>33.765533014074606</v>
      </c>
      <c r="G111" s="640">
        <v>2.2907099526353965</v>
      </c>
      <c r="H111" s="640">
        <v>0</v>
      </c>
      <c r="I111" s="640">
        <v>0</v>
      </c>
      <c r="J111" s="640">
        <v>1.1066179688825246</v>
      </c>
      <c r="K111" s="640">
        <v>0</v>
      </c>
      <c r="L111" s="640">
        <v>2.3728212231152073</v>
      </c>
      <c r="M111" s="640">
        <v>4.6749182706844826E-2</v>
      </c>
      <c r="N111" s="640">
        <v>0</v>
      </c>
      <c r="O111" s="640">
        <v>8.6639841752499475E-2</v>
      </c>
      <c r="P111" s="640">
        <v>7.9913059260342072</v>
      </c>
      <c r="Q111" s="640">
        <v>0</v>
      </c>
      <c r="R111" s="640">
        <v>0</v>
      </c>
      <c r="S111" s="648">
        <v>47.660377109201292</v>
      </c>
      <c r="U111" s="646" t="s">
        <v>82</v>
      </c>
      <c r="V111" s="640">
        <v>0</v>
      </c>
      <c r="W111" s="640">
        <v>0</v>
      </c>
      <c r="X111" s="640">
        <v>29.817412370685851</v>
      </c>
      <c r="Y111" s="640">
        <v>2.4393255997206347</v>
      </c>
      <c r="Z111" s="640">
        <v>0</v>
      </c>
      <c r="AA111" s="640">
        <v>0</v>
      </c>
      <c r="AB111" s="640">
        <v>1.1066179688825246</v>
      </c>
      <c r="AC111" s="640">
        <v>0</v>
      </c>
      <c r="AD111" s="640">
        <v>7.1577097724425283</v>
      </c>
      <c r="AE111" s="640">
        <v>0.2121152695409248</v>
      </c>
      <c r="AF111" s="640">
        <v>0</v>
      </c>
      <c r="AG111" s="640">
        <v>0.5193752668696392</v>
      </c>
      <c r="AH111" s="640">
        <v>8.0258276876076717</v>
      </c>
      <c r="AI111" s="640">
        <v>0</v>
      </c>
      <c r="AJ111" s="640">
        <v>0.13892990437736891</v>
      </c>
      <c r="AK111" s="648">
        <v>49.417313840127143</v>
      </c>
    </row>
    <row r="112" spans="3:37" x14ac:dyDescent="0.2">
      <c r="C112" s="646" t="s">
        <v>354</v>
      </c>
      <c r="D112" s="640">
        <v>0</v>
      </c>
      <c r="E112" s="640">
        <v>0</v>
      </c>
      <c r="F112" s="640">
        <v>0</v>
      </c>
      <c r="G112" s="640">
        <v>0</v>
      </c>
      <c r="H112" s="640">
        <v>0</v>
      </c>
      <c r="I112" s="640">
        <v>0</v>
      </c>
      <c r="J112" s="640">
        <v>0</v>
      </c>
      <c r="K112" s="640">
        <v>0</v>
      </c>
      <c r="L112" s="640">
        <v>0</v>
      </c>
      <c r="M112" s="640">
        <v>0</v>
      </c>
      <c r="N112" s="640">
        <v>0</v>
      </c>
      <c r="O112" s="640">
        <v>0</v>
      </c>
      <c r="P112" s="640">
        <v>0</v>
      </c>
      <c r="Q112" s="640">
        <v>0</v>
      </c>
      <c r="R112" s="640">
        <v>0</v>
      </c>
      <c r="S112" s="648">
        <v>0</v>
      </c>
      <c r="U112" s="646" t="s">
        <v>354</v>
      </c>
      <c r="V112" s="640">
        <v>0</v>
      </c>
      <c r="W112" s="640">
        <v>0</v>
      </c>
      <c r="X112" s="640">
        <v>0</v>
      </c>
      <c r="Y112" s="640">
        <v>0</v>
      </c>
      <c r="Z112" s="640">
        <v>0</v>
      </c>
      <c r="AA112" s="640">
        <v>0</v>
      </c>
      <c r="AB112" s="640">
        <v>0</v>
      </c>
      <c r="AC112" s="640">
        <v>0</v>
      </c>
      <c r="AD112" s="640">
        <v>0</v>
      </c>
      <c r="AE112" s="640">
        <v>0</v>
      </c>
      <c r="AF112" s="640">
        <v>0</v>
      </c>
      <c r="AG112" s="640">
        <v>0</v>
      </c>
      <c r="AH112" s="640">
        <v>0.36</v>
      </c>
      <c r="AI112" s="640">
        <v>0</v>
      </c>
      <c r="AJ112" s="640">
        <v>0</v>
      </c>
      <c r="AK112" s="648">
        <v>0.36</v>
      </c>
    </row>
    <row r="113" spans="3:37" x14ac:dyDescent="0.2">
      <c r="C113" s="644" t="s">
        <v>83</v>
      </c>
      <c r="D113" s="645">
        <v>6.728773440829297</v>
      </c>
      <c r="E113" s="645">
        <v>0</v>
      </c>
      <c r="F113" s="645">
        <v>481.28871584019521</v>
      </c>
      <c r="G113" s="645">
        <v>294.92544225883904</v>
      </c>
      <c r="H113" s="645">
        <v>0</v>
      </c>
      <c r="I113" s="645">
        <v>0</v>
      </c>
      <c r="J113" s="645">
        <v>99.463524740250691</v>
      </c>
      <c r="K113" s="645">
        <v>1.7823410909893624</v>
      </c>
      <c r="L113" s="645">
        <v>39.159249752490481</v>
      </c>
      <c r="M113" s="645">
        <v>6.0376618476797237</v>
      </c>
      <c r="N113" s="645">
        <v>45.31680426782367</v>
      </c>
      <c r="O113" s="645">
        <v>2.7231373652307198</v>
      </c>
      <c r="P113" s="645">
        <v>447.36659144667379</v>
      </c>
      <c r="Q113" s="645">
        <v>37.199535435098404</v>
      </c>
      <c r="R113" s="645">
        <v>0.58655864384492595</v>
      </c>
      <c r="S113" s="645">
        <v>1462.5783361299455</v>
      </c>
      <c r="U113" s="644" t="s">
        <v>83</v>
      </c>
      <c r="V113" s="645">
        <v>2.0293809622126395</v>
      </c>
      <c r="W113" s="645">
        <v>0</v>
      </c>
      <c r="X113" s="645">
        <v>386.5547653525565</v>
      </c>
      <c r="Y113" s="645">
        <v>226.68292731053214</v>
      </c>
      <c r="Z113" s="645">
        <v>0</v>
      </c>
      <c r="AA113" s="645">
        <v>0</v>
      </c>
      <c r="AB113" s="645">
        <v>100.86962546535466</v>
      </c>
      <c r="AC113" s="645">
        <v>5.7313631790461192</v>
      </c>
      <c r="AD113" s="645">
        <v>46.02139011322933</v>
      </c>
      <c r="AE113" s="645">
        <v>19.829277460523276</v>
      </c>
      <c r="AF113" s="645">
        <v>55.315214066923446</v>
      </c>
      <c r="AG113" s="645">
        <v>3.8870782938942541</v>
      </c>
      <c r="AH113" s="645">
        <v>449.52841955052912</v>
      </c>
      <c r="AI113" s="645">
        <v>58.16748920568601</v>
      </c>
      <c r="AJ113" s="645">
        <v>3.9353462294881845</v>
      </c>
      <c r="AK113" s="645">
        <v>1358.5522771899757</v>
      </c>
    </row>
    <row r="114" spans="3:37" x14ac:dyDescent="0.2">
      <c r="C114" s="639" t="s">
        <v>84</v>
      </c>
      <c r="D114" s="640">
        <v>0</v>
      </c>
      <c r="E114" s="640">
        <v>0</v>
      </c>
      <c r="F114" s="640">
        <v>123.20669977294675</v>
      </c>
      <c r="G114" s="640">
        <v>12.463741308801668</v>
      </c>
      <c r="H114" s="640">
        <v>0</v>
      </c>
      <c r="I114" s="640">
        <v>0</v>
      </c>
      <c r="J114" s="640">
        <v>0</v>
      </c>
      <c r="K114" s="640">
        <v>0</v>
      </c>
      <c r="L114" s="640">
        <v>0</v>
      </c>
      <c r="M114" s="640">
        <v>0</v>
      </c>
      <c r="N114" s="640">
        <v>0</v>
      </c>
      <c r="O114" s="640">
        <v>0</v>
      </c>
      <c r="P114" s="640">
        <v>0</v>
      </c>
      <c r="Q114" s="640">
        <v>0</v>
      </c>
      <c r="R114" s="640">
        <v>0</v>
      </c>
      <c r="S114" s="648">
        <v>135.67044108174841</v>
      </c>
      <c r="U114" s="639" t="s">
        <v>84</v>
      </c>
      <c r="V114" s="640">
        <v>0</v>
      </c>
      <c r="W114" s="640">
        <v>0</v>
      </c>
      <c r="X114" s="640">
        <v>121.88018365111382</v>
      </c>
      <c r="Y114" s="640">
        <v>1.8275750900030534</v>
      </c>
      <c r="Z114" s="640">
        <v>0</v>
      </c>
      <c r="AA114" s="640">
        <v>0</v>
      </c>
      <c r="AB114" s="640">
        <v>0</v>
      </c>
      <c r="AC114" s="640">
        <v>0</v>
      </c>
      <c r="AD114" s="640">
        <v>0.27491428444602273</v>
      </c>
      <c r="AE114" s="640">
        <v>0</v>
      </c>
      <c r="AF114" s="640">
        <v>0</v>
      </c>
      <c r="AG114" s="640">
        <v>0</v>
      </c>
      <c r="AH114" s="640">
        <v>0</v>
      </c>
      <c r="AI114" s="640">
        <v>0</v>
      </c>
      <c r="AJ114" s="640">
        <v>1.5118644886363639</v>
      </c>
      <c r="AK114" s="648">
        <v>125.49453751419927</v>
      </c>
    </row>
    <row r="115" spans="3:37" x14ac:dyDescent="0.2">
      <c r="C115" s="644" t="s">
        <v>85</v>
      </c>
      <c r="D115" s="645">
        <v>6.728773440829297</v>
      </c>
      <c r="E115" s="645">
        <v>0</v>
      </c>
      <c r="F115" s="645">
        <v>604.49541561314186</v>
      </c>
      <c r="G115" s="645">
        <v>307.38918356764071</v>
      </c>
      <c r="H115" s="645">
        <v>0</v>
      </c>
      <c r="I115" s="645">
        <v>0</v>
      </c>
      <c r="J115" s="645">
        <v>99.463524740250691</v>
      </c>
      <c r="K115" s="645">
        <v>1.7823410909893624</v>
      </c>
      <c r="L115" s="645">
        <v>39.159249752490481</v>
      </c>
      <c r="M115" s="645">
        <v>6.0376618476797237</v>
      </c>
      <c r="N115" s="645">
        <v>45.31680426782367</v>
      </c>
      <c r="O115" s="645">
        <v>2.7231373652307198</v>
      </c>
      <c r="P115" s="645">
        <v>447.36659144667379</v>
      </c>
      <c r="Q115" s="645">
        <v>37.199535435098404</v>
      </c>
      <c r="R115" s="645">
        <v>0.58655864384492595</v>
      </c>
      <c r="S115" s="645">
        <v>1598.2487772116938</v>
      </c>
      <c r="U115" s="644" t="s">
        <v>85</v>
      </c>
      <c r="V115" s="645">
        <v>2.0293809622126395</v>
      </c>
      <c r="W115" s="645">
        <v>0</v>
      </c>
      <c r="X115" s="645">
        <v>508.43494900367028</v>
      </c>
      <c r="Y115" s="645">
        <v>228.51050240053519</v>
      </c>
      <c r="Z115" s="645">
        <v>0</v>
      </c>
      <c r="AA115" s="645">
        <v>0</v>
      </c>
      <c r="AB115" s="645">
        <v>100.86962546535466</v>
      </c>
      <c r="AC115" s="645">
        <v>5.7313631790461192</v>
      </c>
      <c r="AD115" s="645">
        <v>46.29630439767535</v>
      </c>
      <c r="AE115" s="645">
        <v>19.829277460523276</v>
      </c>
      <c r="AF115" s="645">
        <v>55.315214066923446</v>
      </c>
      <c r="AG115" s="645">
        <v>3.8870782938942541</v>
      </c>
      <c r="AH115" s="645">
        <v>449.52841955052912</v>
      </c>
      <c r="AI115" s="645">
        <v>58.16748920568601</v>
      </c>
      <c r="AJ115" s="645">
        <v>5.4472107181245484</v>
      </c>
      <c r="AK115" s="645">
        <v>1484.0468147041749</v>
      </c>
    </row>
    <row r="116" spans="3:37" x14ac:dyDescent="0.2">
      <c r="C116" s="634"/>
      <c r="D116" s="634"/>
      <c r="E116" s="634"/>
      <c r="F116" s="634"/>
      <c r="G116" s="634"/>
      <c r="H116" s="634"/>
      <c r="I116" s="634"/>
      <c r="J116" s="634"/>
      <c r="K116" s="634"/>
      <c r="L116" s="634"/>
      <c r="M116" s="634"/>
      <c r="N116" s="634"/>
      <c r="O116" s="634"/>
      <c r="P116" s="634"/>
      <c r="Q116" s="634"/>
      <c r="R116" s="634"/>
      <c r="S116" s="634"/>
      <c r="U116" s="634"/>
      <c r="V116" s="634"/>
      <c r="W116" s="634"/>
      <c r="X116" s="634"/>
      <c r="Y116" s="634"/>
      <c r="Z116" s="634"/>
      <c r="AA116" s="634"/>
      <c r="AB116" s="634"/>
      <c r="AC116" s="634"/>
      <c r="AD116" s="634"/>
      <c r="AE116" s="634"/>
      <c r="AF116" s="634"/>
      <c r="AG116" s="634"/>
      <c r="AH116" s="634"/>
      <c r="AI116" s="634"/>
      <c r="AJ116" s="634"/>
      <c r="AK116" s="634"/>
    </row>
    <row r="117" spans="3:37" ht="22.5" x14ac:dyDescent="0.3">
      <c r="C117" s="759" t="s">
        <v>88</v>
      </c>
      <c r="D117" s="759"/>
      <c r="E117" s="759"/>
      <c r="F117" s="759"/>
      <c r="G117" s="759"/>
      <c r="H117" s="759"/>
      <c r="I117" s="759"/>
      <c r="J117" s="759"/>
      <c r="K117" s="759"/>
      <c r="L117" s="759"/>
      <c r="M117" s="759"/>
      <c r="N117" s="759"/>
      <c r="O117" s="759"/>
      <c r="P117" s="759"/>
      <c r="Q117" s="759"/>
      <c r="R117" s="759"/>
      <c r="S117" s="759"/>
      <c r="U117" s="759" t="s">
        <v>88</v>
      </c>
      <c r="V117" s="759"/>
      <c r="W117" s="759"/>
      <c r="X117" s="759"/>
      <c r="Y117" s="759"/>
      <c r="Z117" s="759"/>
      <c r="AA117" s="759"/>
      <c r="AB117" s="759"/>
      <c r="AC117" s="759"/>
      <c r="AD117" s="759"/>
      <c r="AE117" s="759"/>
      <c r="AF117" s="759"/>
      <c r="AG117" s="759"/>
      <c r="AH117" s="759"/>
      <c r="AI117" s="759"/>
      <c r="AJ117" s="759"/>
      <c r="AK117" s="759"/>
    </row>
    <row r="118" spans="3:37" x14ac:dyDescent="0.2">
      <c r="C118" s="634"/>
      <c r="D118" s="634"/>
      <c r="E118" s="634"/>
      <c r="F118" s="634"/>
      <c r="G118" s="634"/>
      <c r="H118" s="634"/>
      <c r="I118" s="634"/>
      <c r="J118" s="634"/>
      <c r="K118" s="634"/>
      <c r="L118" s="634"/>
      <c r="M118" s="634"/>
      <c r="N118" s="634"/>
      <c r="O118" s="634"/>
      <c r="P118" s="634"/>
      <c r="Q118" s="634"/>
      <c r="R118" s="634"/>
      <c r="S118" s="634"/>
      <c r="U118" s="634"/>
      <c r="V118" s="634"/>
      <c r="W118" s="634"/>
      <c r="X118" s="634"/>
      <c r="Y118" s="634"/>
      <c r="Z118" s="634"/>
      <c r="AA118" s="634"/>
      <c r="AB118" s="634"/>
      <c r="AC118" s="634"/>
      <c r="AD118" s="634"/>
      <c r="AE118" s="634"/>
      <c r="AF118" s="634"/>
      <c r="AG118" s="634"/>
      <c r="AH118" s="634"/>
      <c r="AI118" s="634"/>
      <c r="AJ118" s="634"/>
      <c r="AK118" s="634"/>
    </row>
    <row r="119" spans="3:37" ht="12.95" customHeight="1" x14ac:dyDescent="0.2">
      <c r="C119" s="758" t="s">
        <v>128</v>
      </c>
      <c r="D119" s="757" t="s">
        <v>42</v>
      </c>
      <c r="E119" s="757" t="s">
        <v>52</v>
      </c>
      <c r="F119" s="757" t="s">
        <v>53</v>
      </c>
      <c r="G119" s="757" t="s">
        <v>32</v>
      </c>
      <c r="H119" s="757" t="s">
        <v>20</v>
      </c>
      <c r="I119" s="757" t="s">
        <v>55</v>
      </c>
      <c r="J119" s="757" t="s">
        <v>56</v>
      </c>
      <c r="K119" s="757"/>
      <c r="L119" s="757"/>
      <c r="M119" s="757"/>
      <c r="N119" s="757"/>
      <c r="O119" s="757"/>
      <c r="P119" s="757" t="s">
        <v>57</v>
      </c>
      <c r="Q119" s="757" t="s">
        <v>58</v>
      </c>
      <c r="R119" s="757" t="s">
        <v>31</v>
      </c>
      <c r="S119" s="757" t="s">
        <v>10</v>
      </c>
      <c r="U119" s="758" t="s">
        <v>128</v>
      </c>
      <c r="V119" s="757" t="s">
        <v>42</v>
      </c>
      <c r="W119" s="757" t="s">
        <v>52</v>
      </c>
      <c r="X119" s="757" t="s">
        <v>53</v>
      </c>
      <c r="Y119" s="757" t="s">
        <v>32</v>
      </c>
      <c r="Z119" s="757" t="s">
        <v>20</v>
      </c>
      <c r="AA119" s="757" t="s">
        <v>55</v>
      </c>
      <c r="AB119" s="757" t="s">
        <v>56</v>
      </c>
      <c r="AC119" s="757"/>
      <c r="AD119" s="757"/>
      <c r="AE119" s="757"/>
      <c r="AF119" s="757"/>
      <c r="AG119" s="757"/>
      <c r="AH119" s="757" t="s">
        <v>57</v>
      </c>
      <c r="AI119" s="757" t="s">
        <v>58</v>
      </c>
      <c r="AJ119" s="757" t="s">
        <v>31</v>
      </c>
      <c r="AK119" s="757" t="s">
        <v>10</v>
      </c>
    </row>
    <row r="120" spans="3:37" ht="56.25" x14ac:dyDescent="0.2">
      <c r="C120" s="758"/>
      <c r="D120" s="757"/>
      <c r="E120" s="757"/>
      <c r="F120" s="757"/>
      <c r="G120" s="757"/>
      <c r="H120" s="757"/>
      <c r="I120" s="757"/>
      <c r="J120" s="638" t="s">
        <v>335</v>
      </c>
      <c r="K120" s="638" t="s">
        <v>40</v>
      </c>
      <c r="L120" s="638" t="s">
        <v>343</v>
      </c>
      <c r="M120" s="638" t="s">
        <v>344</v>
      </c>
      <c r="N120" s="638" t="s">
        <v>345</v>
      </c>
      <c r="O120" s="638" t="s">
        <v>346</v>
      </c>
      <c r="P120" s="757"/>
      <c r="Q120" s="757"/>
      <c r="R120" s="757"/>
      <c r="S120" s="757"/>
      <c r="U120" s="758"/>
      <c r="V120" s="757"/>
      <c r="W120" s="757"/>
      <c r="X120" s="757"/>
      <c r="Y120" s="757"/>
      <c r="Z120" s="757"/>
      <c r="AA120" s="757"/>
      <c r="AB120" s="638" t="s">
        <v>335</v>
      </c>
      <c r="AC120" s="638" t="s">
        <v>40</v>
      </c>
      <c r="AD120" s="638" t="s">
        <v>343</v>
      </c>
      <c r="AE120" s="638" t="s">
        <v>344</v>
      </c>
      <c r="AF120" s="638" t="s">
        <v>345</v>
      </c>
      <c r="AG120" s="638" t="s">
        <v>346</v>
      </c>
      <c r="AH120" s="757"/>
      <c r="AI120" s="757"/>
      <c r="AJ120" s="757"/>
      <c r="AK120" s="757"/>
    </row>
    <row r="121" spans="3:37" x14ac:dyDescent="0.2">
      <c r="C121" s="639" t="s">
        <v>59</v>
      </c>
      <c r="D121" s="640">
        <v>0</v>
      </c>
      <c r="E121" s="641">
        <v>9.7691999999999997</v>
      </c>
      <c r="F121" s="641">
        <v>0</v>
      </c>
      <c r="G121" s="640">
        <v>0.18608000000000002</v>
      </c>
      <c r="H121" s="641">
        <v>1190.909090909091</v>
      </c>
      <c r="I121" s="641">
        <v>182.7291074592973</v>
      </c>
      <c r="J121" s="641">
        <v>189.61507961766128</v>
      </c>
      <c r="K121" s="641">
        <v>22.268083551618652</v>
      </c>
      <c r="L121" s="641">
        <v>0.30256781050897086</v>
      </c>
      <c r="M121" s="641">
        <v>0.13616606414588689</v>
      </c>
      <c r="N121" s="641">
        <v>49.514351265721807</v>
      </c>
      <c r="O121" s="641">
        <v>8.1467195883110648</v>
      </c>
      <c r="P121" s="642">
        <v>0</v>
      </c>
      <c r="Q121" s="641">
        <v>0</v>
      </c>
      <c r="R121" s="641">
        <v>0</v>
      </c>
      <c r="S121" s="643">
        <v>1653.5764462663558</v>
      </c>
      <c r="U121" s="639" t="s">
        <v>59</v>
      </c>
      <c r="V121" s="640">
        <v>0</v>
      </c>
      <c r="W121" s="641">
        <v>9.7691999999999997</v>
      </c>
      <c r="X121" s="641">
        <v>0</v>
      </c>
      <c r="Y121" s="640">
        <v>0.18608000000000002</v>
      </c>
      <c r="Z121" s="641">
        <v>1069.3939393939395</v>
      </c>
      <c r="AA121" s="641">
        <v>197.24910745929728</v>
      </c>
      <c r="AB121" s="641">
        <v>182.13163745220285</v>
      </c>
      <c r="AC121" s="641">
        <v>36.932838973655407</v>
      </c>
      <c r="AD121" s="641">
        <v>0.30256781050897086</v>
      </c>
      <c r="AE121" s="641">
        <v>0.13616606414588689</v>
      </c>
      <c r="AF121" s="641">
        <v>61.091225724919909</v>
      </c>
      <c r="AG121" s="641">
        <v>13.043980364734779</v>
      </c>
      <c r="AH121" s="642">
        <v>0</v>
      </c>
      <c r="AI121" s="641">
        <v>0</v>
      </c>
      <c r="AJ121" s="641">
        <v>0</v>
      </c>
      <c r="AK121" s="643">
        <v>1570.2367432434044</v>
      </c>
    </row>
    <row r="122" spans="3:37" x14ac:dyDescent="0.2">
      <c r="C122" s="639" t="s">
        <v>60</v>
      </c>
      <c r="D122" s="640">
        <v>49.173561762123036</v>
      </c>
      <c r="E122" s="641">
        <v>533.81672423347197</v>
      </c>
      <c r="F122" s="641">
        <v>159.30055959731865</v>
      </c>
      <c r="G122" s="640">
        <v>343.82692763471942</v>
      </c>
      <c r="H122" s="641">
        <v>0</v>
      </c>
      <c r="I122" s="641">
        <v>0</v>
      </c>
      <c r="J122" s="641">
        <v>3.0754920838007731</v>
      </c>
      <c r="K122" s="641">
        <v>0</v>
      </c>
      <c r="L122" s="641">
        <v>1.7669821269916453</v>
      </c>
      <c r="M122" s="641">
        <v>0</v>
      </c>
      <c r="N122" s="641">
        <v>0</v>
      </c>
      <c r="O122" s="641">
        <v>0</v>
      </c>
      <c r="P122" s="642">
        <v>0</v>
      </c>
      <c r="Q122" s="641">
        <v>0</v>
      </c>
      <c r="R122" s="641">
        <v>0</v>
      </c>
      <c r="S122" s="643">
        <v>1090.9602474384255</v>
      </c>
      <c r="U122" s="639" t="s">
        <v>60</v>
      </c>
      <c r="V122" s="640">
        <v>12.56447967339157</v>
      </c>
      <c r="W122" s="641">
        <v>409.1975890316798</v>
      </c>
      <c r="X122" s="641">
        <v>146.83839951059079</v>
      </c>
      <c r="Y122" s="640">
        <v>277.07529977218445</v>
      </c>
      <c r="Z122" s="641">
        <v>0</v>
      </c>
      <c r="AA122" s="641">
        <v>0</v>
      </c>
      <c r="AB122" s="641">
        <v>3.0754920838007731</v>
      </c>
      <c r="AC122" s="641">
        <v>0</v>
      </c>
      <c r="AD122" s="641">
        <v>1.7669821269916453</v>
      </c>
      <c r="AE122" s="641">
        <v>0</v>
      </c>
      <c r="AF122" s="641">
        <v>0</v>
      </c>
      <c r="AG122" s="641">
        <v>0</v>
      </c>
      <c r="AH122" s="642">
        <v>0</v>
      </c>
      <c r="AI122" s="641">
        <v>0</v>
      </c>
      <c r="AJ122" s="641">
        <v>0</v>
      </c>
      <c r="AK122" s="643">
        <v>850.51824219863909</v>
      </c>
    </row>
    <row r="123" spans="3:37" x14ac:dyDescent="0.2">
      <c r="C123" s="639" t="s">
        <v>61</v>
      </c>
      <c r="D123" s="640">
        <v>0</v>
      </c>
      <c r="E123" s="641">
        <v>0</v>
      </c>
      <c r="F123" s="641">
        <v>0</v>
      </c>
      <c r="G123" s="640">
        <v>0</v>
      </c>
      <c r="H123" s="641">
        <v>0</v>
      </c>
      <c r="I123" s="641">
        <v>0</v>
      </c>
      <c r="J123" s="641">
        <v>0</v>
      </c>
      <c r="K123" s="641">
        <v>0</v>
      </c>
      <c r="L123" s="641">
        <v>0</v>
      </c>
      <c r="M123" s="641">
        <v>0</v>
      </c>
      <c r="N123" s="641">
        <v>0</v>
      </c>
      <c r="O123" s="641">
        <v>0</v>
      </c>
      <c r="P123" s="642">
        <v>-73.711460432822037</v>
      </c>
      <c r="Q123" s="641">
        <v>0</v>
      </c>
      <c r="R123" s="641">
        <v>0</v>
      </c>
      <c r="S123" s="643">
        <v>-73.711460432822037</v>
      </c>
      <c r="U123" s="639" t="s">
        <v>61</v>
      </c>
      <c r="V123" s="640">
        <v>0</v>
      </c>
      <c r="W123" s="641">
        <v>0</v>
      </c>
      <c r="X123" s="641">
        <v>0</v>
      </c>
      <c r="Y123" s="640">
        <v>0</v>
      </c>
      <c r="Z123" s="641">
        <v>0</v>
      </c>
      <c r="AA123" s="641">
        <v>0</v>
      </c>
      <c r="AB123" s="641">
        <v>0</v>
      </c>
      <c r="AC123" s="641">
        <v>0</v>
      </c>
      <c r="AD123" s="641">
        <v>0</v>
      </c>
      <c r="AE123" s="641">
        <v>0</v>
      </c>
      <c r="AF123" s="641">
        <v>0</v>
      </c>
      <c r="AG123" s="641">
        <v>0</v>
      </c>
      <c r="AH123" s="642">
        <v>-59.233927293838519</v>
      </c>
      <c r="AI123" s="641">
        <v>0</v>
      </c>
      <c r="AJ123" s="641">
        <v>0</v>
      </c>
      <c r="AK123" s="643">
        <v>-59.233927293838519</v>
      </c>
    </row>
    <row r="124" spans="3:37" x14ac:dyDescent="0.2">
      <c r="C124" s="639" t="s">
        <v>62</v>
      </c>
      <c r="D124" s="640">
        <v>0</v>
      </c>
      <c r="E124" s="641">
        <v>0</v>
      </c>
      <c r="F124" s="641">
        <v>-16.493151741791234</v>
      </c>
      <c r="G124" s="640">
        <v>0</v>
      </c>
      <c r="H124" s="641">
        <v>0</v>
      </c>
      <c r="I124" s="641">
        <v>0</v>
      </c>
      <c r="J124" s="641">
        <v>0</v>
      </c>
      <c r="K124" s="641">
        <v>0</v>
      </c>
      <c r="L124" s="641">
        <v>0</v>
      </c>
      <c r="M124" s="641">
        <v>0</v>
      </c>
      <c r="N124" s="641">
        <v>0</v>
      </c>
      <c r="O124" s="641">
        <v>0</v>
      </c>
      <c r="P124" s="642">
        <v>0</v>
      </c>
      <c r="Q124" s="641">
        <v>0</v>
      </c>
      <c r="R124" s="641">
        <v>0</v>
      </c>
      <c r="S124" s="643">
        <v>-16.493151741791234</v>
      </c>
      <c r="U124" s="639" t="s">
        <v>62</v>
      </c>
      <c r="V124" s="640">
        <v>0</v>
      </c>
      <c r="W124" s="641">
        <v>0</v>
      </c>
      <c r="X124" s="641">
        <v>-16.114280484636947</v>
      </c>
      <c r="Y124" s="640">
        <v>-5.618284274922395E-2</v>
      </c>
      <c r="Z124" s="641">
        <v>0</v>
      </c>
      <c r="AA124" s="641">
        <v>0</v>
      </c>
      <c r="AB124" s="641">
        <v>0</v>
      </c>
      <c r="AC124" s="641">
        <v>0</v>
      </c>
      <c r="AD124" s="641">
        <v>0</v>
      </c>
      <c r="AE124" s="641">
        <v>-6.2425380832471051E-3</v>
      </c>
      <c r="AF124" s="641">
        <v>0</v>
      </c>
      <c r="AG124" s="641">
        <v>0</v>
      </c>
      <c r="AH124" s="642">
        <v>0</v>
      </c>
      <c r="AI124" s="641">
        <v>0</v>
      </c>
      <c r="AJ124" s="641">
        <v>0</v>
      </c>
      <c r="AK124" s="643">
        <v>-16.176705865469415</v>
      </c>
    </row>
    <row r="125" spans="3:37" x14ac:dyDescent="0.2">
      <c r="C125" s="639" t="s">
        <v>63</v>
      </c>
      <c r="D125" s="640">
        <v>0</v>
      </c>
      <c r="E125" s="641">
        <v>0</v>
      </c>
      <c r="F125" s="641">
        <v>-80.583101554650298</v>
      </c>
      <c r="G125" s="640">
        <v>0</v>
      </c>
      <c r="H125" s="641">
        <v>0</v>
      </c>
      <c r="I125" s="641">
        <v>0</v>
      </c>
      <c r="J125" s="641">
        <v>0</v>
      </c>
      <c r="K125" s="641">
        <v>0</v>
      </c>
      <c r="L125" s="641">
        <v>-0.83510983775166403</v>
      </c>
      <c r="M125" s="641">
        <v>0</v>
      </c>
      <c r="N125" s="641">
        <v>0</v>
      </c>
      <c r="O125" s="641">
        <v>0</v>
      </c>
      <c r="P125" s="642">
        <v>0</v>
      </c>
      <c r="Q125" s="641">
        <v>0</v>
      </c>
      <c r="R125" s="641">
        <v>0</v>
      </c>
      <c r="S125" s="643">
        <v>-81.418211392401957</v>
      </c>
      <c r="U125" s="639" t="s">
        <v>63</v>
      </c>
      <c r="V125" s="640">
        <v>0</v>
      </c>
      <c r="W125" s="641">
        <v>0</v>
      </c>
      <c r="X125" s="641">
        <v>-78.29497747164686</v>
      </c>
      <c r="Y125" s="640">
        <v>0</v>
      </c>
      <c r="Z125" s="641">
        <v>0</v>
      </c>
      <c r="AA125" s="641">
        <v>0</v>
      </c>
      <c r="AB125" s="641">
        <v>0</v>
      </c>
      <c r="AC125" s="641">
        <v>0</v>
      </c>
      <c r="AD125" s="641">
        <v>-3.8806739722042796</v>
      </c>
      <c r="AE125" s="641">
        <v>0</v>
      </c>
      <c r="AF125" s="641">
        <v>0</v>
      </c>
      <c r="AG125" s="641">
        <v>0</v>
      </c>
      <c r="AH125" s="642">
        <v>0</v>
      </c>
      <c r="AI125" s="641">
        <v>0</v>
      </c>
      <c r="AJ125" s="641">
        <v>0</v>
      </c>
      <c r="AK125" s="643">
        <v>-82.175651443851137</v>
      </c>
    </row>
    <row r="126" spans="3:37" x14ac:dyDescent="0.2">
      <c r="C126" s="639" t="s">
        <v>64</v>
      </c>
      <c r="D126" s="640">
        <v>0</v>
      </c>
      <c r="E126" s="641">
        <v>0</v>
      </c>
      <c r="F126" s="641">
        <v>0</v>
      </c>
      <c r="G126" s="640">
        <v>0</v>
      </c>
      <c r="H126" s="641">
        <v>0</v>
      </c>
      <c r="I126" s="641">
        <v>0</v>
      </c>
      <c r="J126" s="641">
        <v>0</v>
      </c>
      <c r="K126" s="641">
        <v>0</v>
      </c>
      <c r="L126" s="641">
        <v>0</v>
      </c>
      <c r="M126" s="641">
        <v>0</v>
      </c>
      <c r="N126" s="641">
        <v>0</v>
      </c>
      <c r="O126" s="641">
        <v>0</v>
      </c>
      <c r="P126" s="642">
        <v>0</v>
      </c>
      <c r="Q126" s="641">
        <v>0</v>
      </c>
      <c r="R126" s="641">
        <v>0</v>
      </c>
      <c r="S126" s="643">
        <v>0</v>
      </c>
      <c r="U126" s="639" t="s">
        <v>64</v>
      </c>
      <c r="V126" s="640">
        <v>0</v>
      </c>
      <c r="W126" s="641">
        <v>0</v>
      </c>
      <c r="X126" s="641">
        <v>0</v>
      </c>
      <c r="Y126" s="640">
        <v>0</v>
      </c>
      <c r="Z126" s="641">
        <v>0</v>
      </c>
      <c r="AA126" s="641">
        <v>0</v>
      </c>
      <c r="AB126" s="641">
        <v>0</v>
      </c>
      <c r="AC126" s="641">
        <v>0</v>
      </c>
      <c r="AD126" s="641">
        <v>0</v>
      </c>
      <c r="AE126" s="641">
        <v>0</v>
      </c>
      <c r="AF126" s="641">
        <v>0</v>
      </c>
      <c r="AG126" s="641">
        <v>0</v>
      </c>
      <c r="AH126" s="642">
        <v>0</v>
      </c>
      <c r="AI126" s="641">
        <v>0</v>
      </c>
      <c r="AJ126" s="641">
        <v>0</v>
      </c>
      <c r="AK126" s="643">
        <v>0</v>
      </c>
    </row>
    <row r="127" spans="3:37" x14ac:dyDescent="0.2">
      <c r="C127" s="644" t="s">
        <v>65</v>
      </c>
      <c r="D127" s="645">
        <v>49.173561762123036</v>
      </c>
      <c r="E127" s="645">
        <v>543.58592423347193</v>
      </c>
      <c r="F127" s="645">
        <v>62.224306300877117</v>
      </c>
      <c r="G127" s="645">
        <v>344.01300763471943</v>
      </c>
      <c r="H127" s="645">
        <v>1190.909090909091</v>
      </c>
      <c r="I127" s="645">
        <v>182.7291074592973</v>
      </c>
      <c r="J127" s="645">
        <v>192.69057170146206</v>
      </c>
      <c r="K127" s="645">
        <v>22.268083551618652</v>
      </c>
      <c r="L127" s="645">
        <v>1.234440099748952</v>
      </c>
      <c r="M127" s="645">
        <v>0.13616606414588689</v>
      </c>
      <c r="N127" s="645">
        <v>49.514351265721807</v>
      </c>
      <c r="O127" s="645">
        <v>8.1467195883110648</v>
      </c>
      <c r="P127" s="645">
        <v>-73.711460432822037</v>
      </c>
      <c r="Q127" s="645">
        <v>0</v>
      </c>
      <c r="R127" s="645">
        <v>0</v>
      </c>
      <c r="S127" s="645">
        <v>2572.9138701377656</v>
      </c>
      <c r="U127" s="644" t="s">
        <v>65</v>
      </c>
      <c r="V127" s="645">
        <v>12.56447967339157</v>
      </c>
      <c r="W127" s="645">
        <v>418.96678903167981</v>
      </c>
      <c r="X127" s="645">
        <v>52.42914155430698</v>
      </c>
      <c r="Y127" s="645">
        <v>277.2051969294352</v>
      </c>
      <c r="Z127" s="645">
        <v>1069.3939393939395</v>
      </c>
      <c r="AA127" s="645">
        <v>197.24910745929728</v>
      </c>
      <c r="AB127" s="645">
        <v>185.20712953600363</v>
      </c>
      <c r="AC127" s="645">
        <v>36.932838973655407</v>
      </c>
      <c r="AD127" s="645">
        <v>-1.8111240347036635</v>
      </c>
      <c r="AE127" s="645">
        <v>0.12992352606263979</v>
      </c>
      <c r="AF127" s="645">
        <v>61.091225724919909</v>
      </c>
      <c r="AG127" s="645">
        <v>13.043980364734779</v>
      </c>
      <c r="AH127" s="645">
        <v>-59.233927293838519</v>
      </c>
      <c r="AI127" s="645">
        <v>0</v>
      </c>
      <c r="AJ127" s="645">
        <v>0</v>
      </c>
      <c r="AK127" s="645">
        <v>2263.168700838884</v>
      </c>
    </row>
    <row r="128" spans="3:37" x14ac:dyDescent="0.2">
      <c r="C128" s="634"/>
      <c r="D128" s="634">
        <v>0</v>
      </c>
      <c r="E128" s="634">
        <v>0</v>
      </c>
      <c r="F128" s="634">
        <v>0</v>
      </c>
      <c r="G128" s="634">
        <v>0</v>
      </c>
      <c r="H128" s="634">
        <v>0</v>
      </c>
      <c r="I128" s="634">
        <v>0</v>
      </c>
      <c r="J128" s="634">
        <v>0</v>
      </c>
      <c r="K128" s="634">
        <v>0</v>
      </c>
      <c r="L128" s="634">
        <v>0</v>
      </c>
      <c r="M128" s="634">
        <v>0</v>
      </c>
      <c r="N128" s="634">
        <v>0</v>
      </c>
      <c r="O128" s="634">
        <v>0</v>
      </c>
      <c r="P128" s="634">
        <v>0</v>
      </c>
      <c r="Q128" s="634">
        <v>0</v>
      </c>
      <c r="R128" s="634">
        <v>0</v>
      </c>
      <c r="S128" s="634">
        <v>0</v>
      </c>
      <c r="U128" s="634"/>
      <c r="V128" s="634">
        <v>0</v>
      </c>
      <c r="W128" s="634">
        <v>0</v>
      </c>
      <c r="X128" s="634">
        <v>0</v>
      </c>
      <c r="Y128" s="634">
        <v>0</v>
      </c>
      <c r="Z128" s="634">
        <v>0</v>
      </c>
      <c r="AA128" s="634">
        <v>0</v>
      </c>
      <c r="AB128" s="634">
        <v>0</v>
      </c>
      <c r="AC128" s="634">
        <v>0</v>
      </c>
      <c r="AD128" s="634">
        <v>0</v>
      </c>
      <c r="AE128" s="634">
        <v>0</v>
      </c>
      <c r="AF128" s="634">
        <v>0</v>
      </c>
      <c r="AG128" s="634">
        <v>0</v>
      </c>
      <c r="AH128" s="634">
        <v>0</v>
      </c>
      <c r="AI128" s="634">
        <v>0</v>
      </c>
      <c r="AJ128" s="634">
        <v>0</v>
      </c>
      <c r="AK128" s="634">
        <v>0</v>
      </c>
    </row>
    <row r="129" spans="3:37" x14ac:dyDescent="0.2">
      <c r="C129" s="646" t="s">
        <v>67</v>
      </c>
      <c r="D129" s="640">
        <v>0</v>
      </c>
      <c r="E129" s="647">
        <v>0</v>
      </c>
      <c r="F129" s="647">
        <v>0</v>
      </c>
      <c r="G129" s="640">
        <v>0</v>
      </c>
      <c r="H129" s="640">
        <v>0</v>
      </c>
      <c r="I129" s="640">
        <v>0</v>
      </c>
      <c r="J129" s="640">
        <v>0</v>
      </c>
      <c r="K129" s="640">
        <v>0</v>
      </c>
      <c r="L129" s="640">
        <v>0</v>
      </c>
      <c r="M129" s="640">
        <v>0</v>
      </c>
      <c r="N129" s="640">
        <v>0</v>
      </c>
      <c r="O129" s="640">
        <v>0</v>
      </c>
      <c r="P129" s="640">
        <v>0</v>
      </c>
      <c r="Q129" s="640">
        <v>0</v>
      </c>
      <c r="R129" s="640">
        <v>0</v>
      </c>
      <c r="S129" s="648">
        <v>0</v>
      </c>
      <c r="U129" s="646" t="s">
        <v>67</v>
      </c>
      <c r="V129" s="640">
        <v>0</v>
      </c>
      <c r="W129" s="647">
        <v>0</v>
      </c>
      <c r="X129" s="647">
        <v>0</v>
      </c>
      <c r="Y129" s="640">
        <v>0</v>
      </c>
      <c r="Z129" s="640">
        <v>0</v>
      </c>
      <c r="AA129" s="640">
        <v>0</v>
      </c>
      <c r="AB129" s="640">
        <v>0</v>
      </c>
      <c r="AC129" s="640">
        <v>0</v>
      </c>
      <c r="AD129" s="640">
        <v>0</v>
      </c>
      <c r="AE129" s="640">
        <v>0</v>
      </c>
      <c r="AF129" s="640">
        <v>0</v>
      </c>
      <c r="AG129" s="640">
        <v>0</v>
      </c>
      <c r="AH129" s="640">
        <v>0</v>
      </c>
      <c r="AI129" s="640">
        <v>0</v>
      </c>
      <c r="AJ129" s="640">
        <v>0</v>
      </c>
      <c r="AK129" s="648">
        <v>0</v>
      </c>
    </row>
    <row r="130" spans="3:37" x14ac:dyDescent="0.2">
      <c r="C130" s="646" t="s">
        <v>347</v>
      </c>
      <c r="D130" s="640">
        <v>2.8267856410252494</v>
      </c>
      <c r="E130" s="640">
        <v>0</v>
      </c>
      <c r="F130" s="640">
        <v>7.5307695076515202</v>
      </c>
      <c r="G130" s="640">
        <v>17.818181818181817</v>
      </c>
      <c r="H130" s="640">
        <v>1190.909090909091</v>
      </c>
      <c r="I130" s="640">
        <v>182.7291074592973</v>
      </c>
      <c r="J130" s="649">
        <v>31.567770517320518</v>
      </c>
      <c r="K130" s="649">
        <v>7.9944017148664477</v>
      </c>
      <c r="L130" s="649">
        <v>2.0695499375006161</v>
      </c>
      <c r="M130" s="649">
        <v>0.46787592950723628</v>
      </c>
      <c r="N130" s="649">
        <v>0</v>
      </c>
      <c r="O130" s="649">
        <v>3.0833964576427819</v>
      </c>
      <c r="P130" s="640">
        <v>-605.52729840025461</v>
      </c>
      <c r="Q130" s="640">
        <v>0</v>
      </c>
      <c r="R130" s="640">
        <v>0</v>
      </c>
      <c r="S130" s="648">
        <v>841.46963149182989</v>
      </c>
      <c r="U130" s="646" t="s">
        <v>347</v>
      </c>
      <c r="V130" s="640">
        <v>0.62631490545869017</v>
      </c>
      <c r="W130" s="640">
        <v>0</v>
      </c>
      <c r="X130" s="640">
        <v>3.6671331440151573</v>
      </c>
      <c r="Y130" s="640">
        <v>45.490909090909085</v>
      </c>
      <c r="Z130" s="640">
        <v>1069.3939393939395</v>
      </c>
      <c r="AA130" s="640">
        <v>197.24910745929728</v>
      </c>
      <c r="AB130" s="649">
        <v>26.112388272824305</v>
      </c>
      <c r="AC130" s="649">
        <v>7.8557568383975527</v>
      </c>
      <c r="AD130" s="649">
        <v>2.0695499375006161</v>
      </c>
      <c r="AE130" s="649">
        <v>5.1587850204163272</v>
      </c>
      <c r="AF130" s="649">
        <v>0</v>
      </c>
      <c r="AG130" s="649">
        <v>3.0833964576427819</v>
      </c>
      <c r="AH130" s="640">
        <v>-594.94729840025457</v>
      </c>
      <c r="AI130" s="640">
        <v>0</v>
      </c>
      <c r="AJ130" s="640">
        <v>0</v>
      </c>
      <c r="AK130" s="648">
        <v>765.75998212014645</v>
      </c>
    </row>
    <row r="131" spans="3:37" x14ac:dyDescent="0.2">
      <c r="C131" s="646" t="s">
        <v>348</v>
      </c>
      <c r="D131" s="640">
        <v>0</v>
      </c>
      <c r="E131" s="640">
        <v>0</v>
      </c>
      <c r="F131" s="640">
        <v>0</v>
      </c>
      <c r="G131" s="640">
        <v>15.528976420917793</v>
      </c>
      <c r="H131" s="640">
        <v>0</v>
      </c>
      <c r="I131" s="640">
        <v>0</v>
      </c>
      <c r="J131" s="649">
        <v>13.425934567091144</v>
      </c>
      <c r="K131" s="649">
        <v>12.460813842705811</v>
      </c>
      <c r="L131" s="649">
        <v>0</v>
      </c>
      <c r="M131" s="649">
        <v>0.33007353312586968</v>
      </c>
      <c r="N131" s="649">
        <v>0</v>
      </c>
      <c r="O131" s="649">
        <v>2.2140049259569654</v>
      </c>
      <c r="P131" s="640">
        <v>0</v>
      </c>
      <c r="Q131" s="640">
        <v>-39.530815313914701</v>
      </c>
      <c r="R131" s="640">
        <v>0</v>
      </c>
      <c r="S131" s="648">
        <v>4.4289879758828699</v>
      </c>
      <c r="U131" s="646" t="s">
        <v>348</v>
      </c>
      <c r="V131" s="640">
        <v>0</v>
      </c>
      <c r="W131" s="640">
        <v>0</v>
      </c>
      <c r="X131" s="640">
        <v>0</v>
      </c>
      <c r="Y131" s="640">
        <v>17.633177295554518</v>
      </c>
      <c r="Z131" s="640">
        <v>0</v>
      </c>
      <c r="AA131" s="640">
        <v>0</v>
      </c>
      <c r="AB131" s="649">
        <v>25.59264276124566</v>
      </c>
      <c r="AC131" s="649">
        <v>22.938494140017696</v>
      </c>
      <c r="AD131" s="649">
        <v>0</v>
      </c>
      <c r="AE131" s="649">
        <v>1.9723975687129698</v>
      </c>
      <c r="AF131" s="649">
        <v>0</v>
      </c>
      <c r="AG131" s="649">
        <v>5.6361523989336151</v>
      </c>
      <c r="AH131" s="640">
        <v>0</v>
      </c>
      <c r="AI131" s="640">
        <v>-66.845421794322675</v>
      </c>
      <c r="AJ131" s="640">
        <v>0</v>
      </c>
      <c r="AK131" s="648">
        <v>6.927442370141784</v>
      </c>
    </row>
    <row r="132" spans="3:37" x14ac:dyDescent="0.2">
      <c r="C132" s="646" t="s">
        <v>349</v>
      </c>
      <c r="D132" s="640">
        <v>0</v>
      </c>
      <c r="E132" s="640">
        <v>0</v>
      </c>
      <c r="F132" s="640">
        <v>0</v>
      </c>
      <c r="G132" s="640">
        <v>0</v>
      </c>
      <c r="H132" s="640">
        <v>0</v>
      </c>
      <c r="I132" s="640">
        <v>0</v>
      </c>
      <c r="J132" s="650">
        <v>7.7785999169814284</v>
      </c>
      <c r="K132" s="650">
        <v>0</v>
      </c>
      <c r="L132" s="650">
        <v>0</v>
      </c>
      <c r="M132" s="650">
        <v>-6.767381927773843</v>
      </c>
      <c r="N132" s="650">
        <v>0</v>
      </c>
      <c r="O132" s="650">
        <v>0</v>
      </c>
      <c r="P132" s="640">
        <v>0</v>
      </c>
      <c r="Q132" s="640">
        <v>0</v>
      </c>
      <c r="R132" s="640">
        <v>0</v>
      </c>
      <c r="S132" s="648">
        <v>1.0112179892075854</v>
      </c>
      <c r="U132" s="646" t="s">
        <v>349</v>
      </c>
      <c r="V132" s="640">
        <v>0</v>
      </c>
      <c r="W132" s="640">
        <v>0</v>
      </c>
      <c r="X132" s="640">
        <v>0</v>
      </c>
      <c r="Y132" s="640">
        <v>0</v>
      </c>
      <c r="Z132" s="640">
        <v>0</v>
      </c>
      <c r="AA132" s="640">
        <v>0</v>
      </c>
      <c r="AB132" s="650">
        <v>35.178099528176176</v>
      </c>
      <c r="AC132" s="650">
        <v>0</v>
      </c>
      <c r="AD132" s="650">
        <v>0</v>
      </c>
      <c r="AE132" s="650">
        <v>-30.604946589513276</v>
      </c>
      <c r="AF132" s="650">
        <v>0</v>
      </c>
      <c r="AG132" s="650">
        <v>0</v>
      </c>
      <c r="AH132" s="640">
        <v>0</v>
      </c>
      <c r="AI132" s="640">
        <v>0</v>
      </c>
      <c r="AJ132" s="640">
        <v>0</v>
      </c>
      <c r="AK132" s="648">
        <v>4.5731529386629006</v>
      </c>
    </row>
    <row r="133" spans="3:37" x14ac:dyDescent="0.2">
      <c r="C133" s="646" t="s">
        <v>350</v>
      </c>
      <c r="D133" s="640">
        <v>0</v>
      </c>
      <c r="E133" s="640">
        <v>0</v>
      </c>
      <c r="F133" s="640">
        <v>0</v>
      </c>
      <c r="G133" s="640">
        <v>0</v>
      </c>
      <c r="H133" s="640">
        <v>0</v>
      </c>
      <c r="I133" s="640">
        <v>0</v>
      </c>
      <c r="J133" s="640">
        <v>0</v>
      </c>
      <c r="K133" s="640">
        <v>0</v>
      </c>
      <c r="L133" s="640">
        <v>0</v>
      </c>
      <c r="M133" s="640">
        <v>0</v>
      </c>
      <c r="N133" s="640">
        <v>0</v>
      </c>
      <c r="O133" s="640">
        <v>0</v>
      </c>
      <c r="P133" s="640">
        <v>0</v>
      </c>
      <c r="Q133" s="640">
        <v>0</v>
      </c>
      <c r="R133" s="640">
        <v>0</v>
      </c>
      <c r="S133" s="648">
        <v>0</v>
      </c>
      <c r="U133" s="646" t="s">
        <v>350</v>
      </c>
      <c r="V133" s="640">
        <v>0</v>
      </c>
      <c r="W133" s="640">
        <v>0</v>
      </c>
      <c r="X133" s="640">
        <v>0</v>
      </c>
      <c r="Y133" s="640">
        <v>0</v>
      </c>
      <c r="Z133" s="640">
        <v>0</v>
      </c>
      <c r="AA133" s="640">
        <v>0</v>
      </c>
      <c r="AB133" s="640">
        <v>0</v>
      </c>
      <c r="AC133" s="640">
        <v>0</v>
      </c>
      <c r="AD133" s="640">
        <v>0</v>
      </c>
      <c r="AE133" s="640">
        <v>0</v>
      </c>
      <c r="AF133" s="640">
        <v>0</v>
      </c>
      <c r="AG133" s="640">
        <v>0</v>
      </c>
      <c r="AH133" s="640">
        <v>0</v>
      </c>
      <c r="AI133" s="640">
        <v>0</v>
      </c>
      <c r="AJ133" s="640">
        <v>0</v>
      </c>
      <c r="AK133" s="648">
        <v>0</v>
      </c>
    </row>
    <row r="134" spans="3:37" x14ac:dyDescent="0.2">
      <c r="C134" s="646" t="s">
        <v>72</v>
      </c>
      <c r="D134" s="640">
        <v>0</v>
      </c>
      <c r="E134" s="640">
        <v>563.09724372867038</v>
      </c>
      <c r="F134" s="640">
        <v>-557.46627129138369</v>
      </c>
      <c r="G134" s="640">
        <v>0</v>
      </c>
      <c r="H134" s="640">
        <v>0</v>
      </c>
      <c r="I134" s="640">
        <v>0</v>
      </c>
      <c r="J134" s="640">
        <v>0</v>
      </c>
      <c r="K134" s="640">
        <v>0</v>
      </c>
      <c r="L134" s="640">
        <v>0</v>
      </c>
      <c r="M134" s="640">
        <v>0</v>
      </c>
      <c r="N134" s="640">
        <v>0</v>
      </c>
      <c r="O134" s="640">
        <v>0</v>
      </c>
      <c r="P134" s="640">
        <v>0</v>
      </c>
      <c r="Q134" s="640">
        <v>0</v>
      </c>
      <c r="R134" s="640">
        <v>0</v>
      </c>
      <c r="S134" s="648">
        <v>5.6309724372866867</v>
      </c>
      <c r="U134" s="646" t="s">
        <v>72</v>
      </c>
      <c r="V134" s="640">
        <v>0</v>
      </c>
      <c r="W134" s="640">
        <v>434.00506451720082</v>
      </c>
      <c r="X134" s="640">
        <v>-429.66501387202879</v>
      </c>
      <c r="Y134" s="640">
        <v>0</v>
      </c>
      <c r="Z134" s="640">
        <v>0</v>
      </c>
      <c r="AA134" s="640">
        <v>0</v>
      </c>
      <c r="AB134" s="640">
        <v>0</v>
      </c>
      <c r="AC134" s="640">
        <v>0</v>
      </c>
      <c r="AD134" s="640">
        <v>0</v>
      </c>
      <c r="AE134" s="640">
        <v>0</v>
      </c>
      <c r="AF134" s="640">
        <v>0</v>
      </c>
      <c r="AG134" s="640">
        <v>0</v>
      </c>
      <c r="AH134" s="640">
        <v>0</v>
      </c>
      <c r="AI134" s="640">
        <v>0</v>
      </c>
      <c r="AJ134" s="640">
        <v>0</v>
      </c>
      <c r="AK134" s="648">
        <v>4.3400506451720275</v>
      </c>
    </row>
    <row r="135" spans="3:37" x14ac:dyDescent="0.2">
      <c r="C135" s="646" t="s">
        <v>351</v>
      </c>
      <c r="D135" s="640">
        <v>0</v>
      </c>
      <c r="E135" s="640">
        <v>0</v>
      </c>
      <c r="F135" s="640">
        <v>0</v>
      </c>
      <c r="G135" s="640">
        <v>0</v>
      </c>
      <c r="H135" s="640">
        <v>0</v>
      </c>
      <c r="I135" s="640">
        <v>0</v>
      </c>
      <c r="J135" s="640">
        <v>37.619415842848596</v>
      </c>
      <c r="K135" s="640">
        <v>0</v>
      </c>
      <c r="L135" s="640">
        <v>-37.619415842848596</v>
      </c>
      <c r="M135" s="640">
        <v>0</v>
      </c>
      <c r="N135" s="640">
        <v>0</v>
      </c>
      <c r="O135" s="640">
        <v>0</v>
      </c>
      <c r="P135" s="640">
        <v>0</v>
      </c>
      <c r="Q135" s="640">
        <v>0</v>
      </c>
      <c r="R135" s="640">
        <v>0</v>
      </c>
      <c r="S135" s="648">
        <v>0</v>
      </c>
      <c r="U135" s="646" t="s">
        <v>351</v>
      </c>
      <c r="V135" s="640">
        <v>0</v>
      </c>
      <c r="W135" s="640">
        <v>0</v>
      </c>
      <c r="X135" s="640">
        <v>0</v>
      </c>
      <c r="Y135" s="640">
        <v>0</v>
      </c>
      <c r="Z135" s="640">
        <v>0</v>
      </c>
      <c r="AA135" s="640">
        <v>0</v>
      </c>
      <c r="AB135" s="640" t="e">
        <v>#VALUE!</v>
      </c>
      <c r="AC135" s="640">
        <v>0</v>
      </c>
      <c r="AD135" s="640">
        <v>-46.213611225378862</v>
      </c>
      <c r="AE135" s="640">
        <v>0</v>
      </c>
      <c r="AF135" s="640">
        <v>0</v>
      </c>
      <c r="AG135" s="640">
        <v>0</v>
      </c>
      <c r="AH135" s="640">
        <v>0</v>
      </c>
      <c r="AI135" s="640">
        <v>0</v>
      </c>
      <c r="AJ135" s="640">
        <v>0</v>
      </c>
      <c r="AK135" s="648">
        <v>-46.213611225378862</v>
      </c>
    </row>
    <row r="136" spans="3:37" x14ac:dyDescent="0.2">
      <c r="C136" s="646" t="s">
        <v>352</v>
      </c>
      <c r="D136" s="640">
        <v>0</v>
      </c>
      <c r="E136" s="640">
        <v>0</v>
      </c>
      <c r="F136" s="640">
        <v>0</v>
      </c>
      <c r="G136" s="640">
        <v>0</v>
      </c>
      <c r="H136" s="640">
        <v>0</v>
      </c>
      <c r="I136" s="640">
        <v>0</v>
      </c>
      <c r="J136" s="640">
        <v>0</v>
      </c>
      <c r="K136" s="640">
        <v>0</v>
      </c>
      <c r="L136" s="640">
        <v>0</v>
      </c>
      <c r="M136" s="640">
        <v>0</v>
      </c>
      <c r="N136" s="640">
        <v>0</v>
      </c>
      <c r="O136" s="640">
        <v>0</v>
      </c>
      <c r="P136" s="640">
        <v>0</v>
      </c>
      <c r="Q136" s="640">
        <v>0</v>
      </c>
      <c r="R136" s="640">
        <v>0</v>
      </c>
      <c r="S136" s="648">
        <v>0</v>
      </c>
      <c r="U136" s="646" t="s">
        <v>352</v>
      </c>
      <c r="V136" s="640">
        <v>0</v>
      </c>
      <c r="W136" s="640">
        <v>0</v>
      </c>
      <c r="X136" s="640">
        <v>0</v>
      </c>
      <c r="Y136" s="640">
        <v>0</v>
      </c>
      <c r="Z136" s="640">
        <v>0</v>
      </c>
      <c r="AA136" s="640">
        <v>0</v>
      </c>
      <c r="AB136" s="640">
        <v>0</v>
      </c>
      <c r="AC136" s="640">
        <v>0</v>
      </c>
      <c r="AD136" s="640">
        <v>-5.5104572320471013</v>
      </c>
      <c r="AE136" s="640">
        <v>0</v>
      </c>
      <c r="AF136" s="640">
        <v>0</v>
      </c>
      <c r="AG136" s="640">
        <v>0</v>
      </c>
      <c r="AH136" s="640">
        <v>0</v>
      </c>
      <c r="AI136" s="640">
        <v>0</v>
      </c>
      <c r="AJ136" s="640">
        <v>0</v>
      </c>
      <c r="AK136" s="648">
        <v>-5.5104572320471013</v>
      </c>
    </row>
    <row r="137" spans="3:37" x14ac:dyDescent="0.2">
      <c r="C137" s="646" t="s">
        <v>73</v>
      </c>
      <c r="D137" s="640">
        <v>0</v>
      </c>
      <c r="E137" s="640">
        <v>0</v>
      </c>
      <c r="F137" s="640">
        <v>0</v>
      </c>
      <c r="G137" s="640">
        <v>0.90917311757834995</v>
      </c>
      <c r="H137" s="640">
        <v>0</v>
      </c>
      <c r="I137" s="640">
        <v>0</v>
      </c>
      <c r="J137" s="640">
        <v>0</v>
      </c>
      <c r="K137" s="640">
        <v>1.0194809571410069E-2</v>
      </c>
      <c r="L137" s="640">
        <v>0</v>
      </c>
      <c r="M137" s="640">
        <v>1.8554553419966327E-2</v>
      </c>
      <c r="N137" s="640">
        <v>0</v>
      </c>
      <c r="O137" s="640">
        <v>0</v>
      </c>
      <c r="P137" s="640">
        <v>8.7832205538302136E-2</v>
      </c>
      <c r="Q137" s="640">
        <v>0</v>
      </c>
      <c r="R137" s="640">
        <v>-0.71363666999870479</v>
      </c>
      <c r="S137" s="648">
        <v>0.31211801610932366</v>
      </c>
      <c r="U137" s="646" t="s">
        <v>73</v>
      </c>
      <c r="V137" s="640">
        <v>0</v>
      </c>
      <c r="W137" s="640">
        <v>0</v>
      </c>
      <c r="X137" s="640">
        <v>0</v>
      </c>
      <c r="Y137" s="640">
        <v>3.7406895887912213</v>
      </c>
      <c r="Z137" s="640">
        <v>0</v>
      </c>
      <c r="AA137" s="640">
        <v>0</v>
      </c>
      <c r="AB137" s="640">
        <v>0</v>
      </c>
      <c r="AC137" s="640">
        <v>0.10657235295701485</v>
      </c>
      <c r="AD137" s="640">
        <v>0</v>
      </c>
      <c r="AE137" s="640">
        <v>0.4156321765323579</v>
      </c>
      <c r="AF137" s="640">
        <v>0</v>
      </c>
      <c r="AG137" s="640">
        <v>0</v>
      </c>
      <c r="AH137" s="640">
        <v>6.8862135756840344</v>
      </c>
      <c r="AI137" s="640">
        <v>0</v>
      </c>
      <c r="AJ137" s="640">
        <v>-7.4600647069910382</v>
      </c>
      <c r="AK137" s="648">
        <v>3.6890429869735906</v>
      </c>
    </row>
    <row r="138" spans="3:37" x14ac:dyDescent="0.2">
      <c r="C138" s="646" t="s">
        <v>353</v>
      </c>
      <c r="D138" s="640">
        <v>28.68732140625</v>
      </c>
      <c r="E138" s="640">
        <v>-19.511319495198432</v>
      </c>
      <c r="F138" s="640">
        <v>25.519653459670948</v>
      </c>
      <c r="G138" s="640">
        <v>0</v>
      </c>
      <c r="H138" s="640">
        <v>0</v>
      </c>
      <c r="I138" s="640">
        <v>0</v>
      </c>
      <c r="J138" s="640">
        <v>0</v>
      </c>
      <c r="K138" s="640">
        <v>0</v>
      </c>
      <c r="L138" s="640">
        <v>0</v>
      </c>
      <c r="M138" s="640">
        <v>0</v>
      </c>
      <c r="N138" s="640">
        <v>0</v>
      </c>
      <c r="O138" s="640">
        <v>0</v>
      </c>
      <c r="P138" s="640">
        <v>0</v>
      </c>
      <c r="Q138" s="640">
        <v>0</v>
      </c>
      <c r="R138" s="640">
        <v>0</v>
      </c>
      <c r="S138" s="648">
        <v>34.69565537072252</v>
      </c>
      <c r="U138" s="646" t="s">
        <v>353</v>
      </c>
      <c r="V138" s="640">
        <v>5.4641713867187498</v>
      </c>
      <c r="W138" s="640">
        <v>-15.038275485521009</v>
      </c>
      <c r="X138" s="640">
        <v>19.669176096265762</v>
      </c>
      <c r="Y138" s="640">
        <v>0</v>
      </c>
      <c r="Z138" s="640">
        <v>0</v>
      </c>
      <c r="AA138" s="640">
        <v>0</v>
      </c>
      <c r="AB138" s="640">
        <v>0</v>
      </c>
      <c r="AC138" s="640">
        <v>0</v>
      </c>
      <c r="AD138" s="640">
        <v>0</v>
      </c>
      <c r="AE138" s="640">
        <v>0</v>
      </c>
      <c r="AF138" s="640">
        <v>0</v>
      </c>
      <c r="AG138" s="640">
        <v>0</v>
      </c>
      <c r="AH138" s="640">
        <v>0</v>
      </c>
      <c r="AI138" s="640">
        <v>0</v>
      </c>
      <c r="AJ138" s="640">
        <v>0</v>
      </c>
      <c r="AK138" s="648">
        <v>10.095071997463503</v>
      </c>
    </row>
    <row r="139" spans="3:37" x14ac:dyDescent="0.2">
      <c r="C139" s="646" t="s">
        <v>75</v>
      </c>
      <c r="D139" s="640">
        <v>11.156180546875001</v>
      </c>
      <c r="E139" s="640">
        <v>0</v>
      </c>
      <c r="F139" s="640">
        <v>19.145306286774794</v>
      </c>
      <c r="G139" s="640">
        <v>5.4631694586555604</v>
      </c>
      <c r="H139" s="640">
        <v>0</v>
      </c>
      <c r="I139" s="640">
        <v>0</v>
      </c>
      <c r="J139" s="640">
        <v>0</v>
      </c>
      <c r="K139" s="640">
        <v>0</v>
      </c>
      <c r="L139" s="640">
        <v>0</v>
      </c>
      <c r="M139" s="640">
        <v>0.11149325425827675</v>
      </c>
      <c r="N139" s="640">
        <v>0</v>
      </c>
      <c r="O139" s="640">
        <v>0</v>
      </c>
      <c r="P139" s="640">
        <v>36.294895286159367</v>
      </c>
      <c r="Q139" s="640">
        <v>0</v>
      </c>
      <c r="R139" s="640">
        <v>0</v>
      </c>
      <c r="S139" s="648">
        <v>72.171044832722998</v>
      </c>
      <c r="U139" s="646" t="s">
        <v>75</v>
      </c>
      <c r="V139" s="640">
        <v>5.6084375</v>
      </c>
      <c r="W139" s="640">
        <v>0</v>
      </c>
      <c r="X139" s="640">
        <v>19.145306286774794</v>
      </c>
      <c r="Y139" s="640">
        <v>5.0171964416224535</v>
      </c>
      <c r="Z139" s="640">
        <v>0</v>
      </c>
      <c r="AA139" s="640">
        <v>0</v>
      </c>
      <c r="AB139" s="640">
        <v>0</v>
      </c>
      <c r="AC139" s="640">
        <v>0</v>
      </c>
      <c r="AD139" s="640">
        <v>0</v>
      </c>
      <c r="AE139" s="640">
        <v>0.55746627129138371</v>
      </c>
      <c r="AF139" s="640">
        <v>0</v>
      </c>
      <c r="AG139" s="640">
        <v>0</v>
      </c>
      <c r="AH139" s="640">
        <v>31.128531649795733</v>
      </c>
      <c r="AI139" s="640">
        <v>0</v>
      </c>
      <c r="AJ139" s="640">
        <v>0</v>
      </c>
      <c r="AK139" s="648">
        <v>61.456938149484365</v>
      </c>
    </row>
    <row r="140" spans="3:37" x14ac:dyDescent="0.2">
      <c r="C140" s="646" t="s">
        <v>76</v>
      </c>
      <c r="D140" s="640">
        <v>0</v>
      </c>
      <c r="E140" s="640">
        <v>0</v>
      </c>
      <c r="F140" s="640">
        <v>0</v>
      </c>
      <c r="G140" s="640">
        <v>3.9320361398527859</v>
      </c>
      <c r="H140" s="640">
        <v>0</v>
      </c>
      <c r="I140" s="640">
        <v>0</v>
      </c>
      <c r="J140" s="640">
        <v>0</v>
      </c>
      <c r="K140" s="640">
        <v>0</v>
      </c>
      <c r="L140" s="640">
        <v>0</v>
      </c>
      <c r="M140" s="640">
        <v>8.0245635507199722E-2</v>
      </c>
      <c r="N140" s="640">
        <v>0</v>
      </c>
      <c r="O140" s="640">
        <v>0</v>
      </c>
      <c r="P140" s="640">
        <v>40.722330861669313</v>
      </c>
      <c r="Q140" s="640">
        <v>3.067587727965682</v>
      </c>
      <c r="R140" s="640">
        <v>0</v>
      </c>
      <c r="S140" s="648">
        <v>47.802200364994981</v>
      </c>
      <c r="U140" s="646" t="s">
        <v>76</v>
      </c>
      <c r="V140" s="640">
        <v>0</v>
      </c>
      <c r="W140" s="640">
        <v>0</v>
      </c>
      <c r="X140" s="640">
        <v>0</v>
      </c>
      <c r="Y140" s="640">
        <v>3.2661405451259231</v>
      </c>
      <c r="Z140" s="640">
        <v>0</v>
      </c>
      <c r="AA140" s="640">
        <v>0</v>
      </c>
      <c r="AB140" s="640">
        <v>0</v>
      </c>
      <c r="AC140" s="640">
        <v>0</v>
      </c>
      <c r="AD140" s="640">
        <v>0</v>
      </c>
      <c r="AE140" s="640">
        <v>0.36290450501399146</v>
      </c>
      <c r="AF140" s="640">
        <v>0</v>
      </c>
      <c r="AG140" s="640">
        <v>0</v>
      </c>
      <c r="AH140" s="640">
        <v>41.021033770751153</v>
      </c>
      <c r="AI140" s="640">
        <v>5.1842177504327198</v>
      </c>
      <c r="AJ140" s="640">
        <v>0</v>
      </c>
      <c r="AK140" s="648">
        <v>49.83429657132379</v>
      </c>
    </row>
    <row r="141" spans="3:37" x14ac:dyDescent="0.2">
      <c r="C141" s="644" t="s">
        <v>77</v>
      </c>
      <c r="D141" s="645">
        <v>42.670287594150253</v>
      </c>
      <c r="E141" s="645">
        <v>543.58592423347193</v>
      </c>
      <c r="F141" s="645">
        <v>-505.27054203728642</v>
      </c>
      <c r="G141" s="645">
        <v>43.651536955186302</v>
      </c>
      <c r="H141" s="645">
        <v>1190.909090909091</v>
      </c>
      <c r="I141" s="645">
        <v>182.7291074592973</v>
      </c>
      <c r="J141" s="645">
        <v>90.391720844241689</v>
      </c>
      <c r="K141" s="645">
        <v>20.465410367143665</v>
      </c>
      <c r="L141" s="645">
        <v>-35.549865905347978</v>
      </c>
      <c r="M141" s="645">
        <v>-5.7591390219552938</v>
      </c>
      <c r="N141" s="645">
        <v>0</v>
      </c>
      <c r="O141" s="645">
        <v>5.2974013835997482</v>
      </c>
      <c r="P141" s="645">
        <v>-528.42224004688751</v>
      </c>
      <c r="Q141" s="645">
        <v>-36.463227585949021</v>
      </c>
      <c r="R141" s="645">
        <v>-0.71363666999870479</v>
      </c>
      <c r="S141" s="645">
        <v>1007.5218284787569</v>
      </c>
      <c r="U141" s="644" t="s">
        <v>77</v>
      </c>
      <c r="V141" s="645">
        <v>11.698923792177441</v>
      </c>
      <c r="W141" s="645">
        <v>418.96678903167981</v>
      </c>
      <c r="X141" s="645">
        <v>-387.18339834497311</v>
      </c>
      <c r="Y141" s="645">
        <v>75.148112962003211</v>
      </c>
      <c r="Z141" s="645">
        <v>1069.3939393939395</v>
      </c>
      <c r="AA141" s="645">
        <v>197.24910745929728</v>
      </c>
      <c r="AB141" s="645">
        <v>86.883130562246151</v>
      </c>
      <c r="AC141" s="645">
        <v>30.900823331372262</v>
      </c>
      <c r="AD141" s="645">
        <v>-49.654518519925347</v>
      </c>
      <c r="AE141" s="645">
        <v>-22.137761047546249</v>
      </c>
      <c r="AF141" s="645">
        <v>0</v>
      </c>
      <c r="AG141" s="645">
        <v>8.719548856576397</v>
      </c>
      <c r="AH141" s="645">
        <v>-515.91151940402369</v>
      </c>
      <c r="AI141" s="645">
        <v>-61.66120404388996</v>
      </c>
      <c r="AJ141" s="645">
        <v>-7.4600647069910382</v>
      </c>
      <c r="AK141" s="645">
        <v>854.95190932194248</v>
      </c>
    </row>
    <row r="142" spans="3:37" x14ac:dyDescent="0.2">
      <c r="C142" s="634"/>
      <c r="D142" s="634">
        <v>0</v>
      </c>
      <c r="E142" s="634">
        <v>0</v>
      </c>
      <c r="F142" s="634">
        <v>0</v>
      </c>
      <c r="G142" s="634">
        <v>0</v>
      </c>
      <c r="H142" s="634">
        <v>0</v>
      </c>
      <c r="I142" s="634">
        <v>0</v>
      </c>
      <c r="J142" s="634">
        <v>0</v>
      </c>
      <c r="K142" s="634">
        <v>0</v>
      </c>
      <c r="L142" s="634">
        <v>0</v>
      </c>
      <c r="M142" s="634">
        <v>0</v>
      </c>
      <c r="N142" s="634">
        <v>0</v>
      </c>
      <c r="O142" s="634">
        <v>0</v>
      </c>
      <c r="P142" s="634">
        <v>0</v>
      </c>
      <c r="Q142" s="634">
        <v>0</v>
      </c>
      <c r="R142" s="634">
        <v>0</v>
      </c>
      <c r="S142" s="634">
        <v>0</v>
      </c>
      <c r="U142" s="634"/>
      <c r="V142" s="634">
        <v>0</v>
      </c>
      <c r="W142" s="634">
        <v>0</v>
      </c>
      <c r="X142" s="634">
        <v>0</v>
      </c>
      <c r="Y142" s="634">
        <v>0</v>
      </c>
      <c r="Z142" s="634">
        <v>0</v>
      </c>
      <c r="AA142" s="634">
        <v>0</v>
      </c>
      <c r="AB142" s="634">
        <v>0</v>
      </c>
      <c r="AC142" s="634">
        <v>0</v>
      </c>
      <c r="AD142" s="634">
        <v>0</v>
      </c>
      <c r="AE142" s="634">
        <v>0</v>
      </c>
      <c r="AF142" s="634">
        <v>0</v>
      </c>
      <c r="AG142" s="634">
        <v>0</v>
      </c>
      <c r="AH142" s="634">
        <v>0</v>
      </c>
      <c r="AI142" s="634">
        <v>0</v>
      </c>
      <c r="AJ142" s="634">
        <v>0</v>
      </c>
      <c r="AK142" s="634">
        <v>0</v>
      </c>
    </row>
    <row r="143" spans="3:37" x14ac:dyDescent="0.2">
      <c r="C143" s="646" t="s">
        <v>78</v>
      </c>
      <c r="D143" s="640">
        <v>6.5032741679727843</v>
      </c>
      <c r="E143" s="640">
        <v>0</v>
      </c>
      <c r="F143" s="640">
        <v>25.052429385041094</v>
      </c>
      <c r="G143" s="640">
        <v>105.0474497029609</v>
      </c>
      <c r="H143" s="640">
        <v>0</v>
      </c>
      <c r="I143" s="640">
        <v>0</v>
      </c>
      <c r="J143" s="640">
        <v>18.534460646102772</v>
      </c>
      <c r="K143" s="640">
        <v>1.777675824710524</v>
      </c>
      <c r="L143" s="640">
        <v>0.85092246484375</v>
      </c>
      <c r="M143" s="640">
        <v>2.1625963554323833</v>
      </c>
      <c r="N143" s="640">
        <v>0</v>
      </c>
      <c r="O143" s="640">
        <v>3.8267455312152764E-4</v>
      </c>
      <c r="P143" s="640">
        <v>109.51907717242362</v>
      </c>
      <c r="Q143" s="640">
        <v>16.327213841854732</v>
      </c>
      <c r="R143" s="640">
        <v>0.36001684570312498</v>
      </c>
      <c r="S143" s="648">
        <v>286.13549908159882</v>
      </c>
      <c r="U143" s="646" t="s">
        <v>78</v>
      </c>
      <c r="V143" s="640">
        <v>0.86555588121413052</v>
      </c>
      <c r="W143" s="640">
        <v>0</v>
      </c>
      <c r="X143" s="640">
        <v>16.762295336222397</v>
      </c>
      <c r="Y143" s="640">
        <v>79.095876477460209</v>
      </c>
      <c r="Z143" s="640">
        <v>0</v>
      </c>
      <c r="AA143" s="640">
        <v>0</v>
      </c>
      <c r="AB143" s="640">
        <v>17.089093863910584</v>
      </c>
      <c r="AC143" s="640">
        <v>6.0070182825186862</v>
      </c>
      <c r="AD143" s="640">
        <v>1.13006109375</v>
      </c>
      <c r="AE143" s="640">
        <v>8.8072015710081235</v>
      </c>
      <c r="AF143" s="640">
        <v>0</v>
      </c>
      <c r="AG143" s="640">
        <v>3.8267455312152764E-4</v>
      </c>
      <c r="AH143" s="640">
        <v>130.4568218783393</v>
      </c>
      <c r="AI143" s="640">
        <v>20.327951659562498</v>
      </c>
      <c r="AJ143" s="640">
        <v>4.7486479492187499</v>
      </c>
      <c r="AK143" s="648">
        <v>285.29090666775784</v>
      </c>
    </row>
    <row r="144" spans="3:37" x14ac:dyDescent="0.2">
      <c r="C144" s="646" t="s">
        <v>79</v>
      </c>
      <c r="D144" s="640">
        <v>0</v>
      </c>
      <c r="E144" s="640">
        <v>0</v>
      </c>
      <c r="F144" s="640">
        <v>344.1701238998171</v>
      </c>
      <c r="G144" s="640">
        <v>14.686948049507158</v>
      </c>
      <c r="H144" s="640">
        <v>0</v>
      </c>
      <c r="I144" s="640">
        <v>0</v>
      </c>
      <c r="J144" s="640">
        <v>0</v>
      </c>
      <c r="K144" s="640">
        <v>0</v>
      </c>
      <c r="L144" s="640">
        <v>33.466916874810835</v>
      </c>
      <c r="M144" s="640">
        <v>0.29973363366341144</v>
      </c>
      <c r="N144" s="640">
        <v>0</v>
      </c>
      <c r="O144" s="640">
        <v>0</v>
      </c>
      <c r="P144" s="640">
        <v>30.235692409435519</v>
      </c>
      <c r="Q144" s="640">
        <v>0</v>
      </c>
      <c r="R144" s="640">
        <v>0.35361982429557981</v>
      </c>
      <c r="S144" s="648">
        <v>423.21303469152963</v>
      </c>
      <c r="U144" s="646" t="s">
        <v>79</v>
      </c>
      <c r="V144" s="640">
        <v>0</v>
      </c>
      <c r="W144" s="640">
        <v>0</v>
      </c>
      <c r="X144" s="640">
        <v>271.88041786379415</v>
      </c>
      <c r="Y144" s="640">
        <v>13.227335330391124</v>
      </c>
      <c r="Z144" s="640">
        <v>0</v>
      </c>
      <c r="AA144" s="640">
        <v>0</v>
      </c>
      <c r="AB144" s="640">
        <v>0</v>
      </c>
      <c r="AC144" s="640">
        <v>0</v>
      </c>
      <c r="AD144" s="640">
        <v>36.694869225102572</v>
      </c>
      <c r="AE144" s="640">
        <v>1.4697039255990136</v>
      </c>
      <c r="AF144" s="640">
        <v>0</v>
      </c>
      <c r="AG144" s="640">
        <v>0</v>
      </c>
      <c r="AH144" s="640">
        <v>34.641740873286757</v>
      </c>
      <c r="AI144" s="640">
        <v>0</v>
      </c>
      <c r="AJ144" s="640">
        <v>0.81877289536698361</v>
      </c>
      <c r="AK144" s="648">
        <v>358.73284011354053</v>
      </c>
    </row>
    <row r="145" spans="3:37" x14ac:dyDescent="0.2">
      <c r="C145" s="646" t="s">
        <v>80</v>
      </c>
      <c r="D145" s="640">
        <v>0</v>
      </c>
      <c r="E145" s="640">
        <v>0</v>
      </c>
      <c r="F145" s="640">
        <v>31.509183869953784</v>
      </c>
      <c r="G145" s="640">
        <v>103.72357678672635</v>
      </c>
      <c r="H145" s="640">
        <v>0</v>
      </c>
      <c r="I145" s="640">
        <v>0</v>
      </c>
      <c r="J145" s="640">
        <v>78.735270640359559</v>
      </c>
      <c r="K145" s="640">
        <v>0</v>
      </c>
      <c r="L145" s="640">
        <v>0</v>
      </c>
      <c r="M145" s="640">
        <v>2.1168076895250278</v>
      </c>
      <c r="N145" s="640">
        <v>41.43976216997369</v>
      </c>
      <c r="O145" s="640">
        <v>1.9317269815068459</v>
      </c>
      <c r="P145" s="640">
        <v>175.94122104806229</v>
      </c>
      <c r="Q145" s="640">
        <v>15.783130887728015</v>
      </c>
      <c r="R145" s="640">
        <v>0</v>
      </c>
      <c r="S145" s="648">
        <v>451.18068007383562</v>
      </c>
      <c r="U145" s="646" t="s">
        <v>80</v>
      </c>
      <c r="V145" s="640">
        <v>0</v>
      </c>
      <c r="W145" s="640">
        <v>0</v>
      </c>
      <c r="X145" s="640">
        <v>2.7574808042030705</v>
      </c>
      <c r="Y145" s="640">
        <v>67.24718580242552</v>
      </c>
      <c r="Z145" s="640">
        <v>0</v>
      </c>
      <c r="AA145" s="640">
        <v>0</v>
      </c>
      <c r="AB145" s="640">
        <v>71.925876784938879</v>
      </c>
      <c r="AC145" s="640">
        <v>0</v>
      </c>
      <c r="AD145" s="640">
        <v>0</v>
      </c>
      <c r="AE145" s="640">
        <v>7.4719095336028349</v>
      </c>
      <c r="AF145" s="640">
        <v>46.984438986784113</v>
      </c>
      <c r="AG145" s="640">
        <v>1.9327369863094026</v>
      </c>
      <c r="AH145" s="640">
        <v>159.87092870367675</v>
      </c>
      <c r="AI145" s="640">
        <v>32.787807198116425</v>
      </c>
      <c r="AJ145" s="640">
        <v>0</v>
      </c>
      <c r="AK145" s="648">
        <v>390.97836480005702</v>
      </c>
    </row>
    <row r="146" spans="3:37" x14ac:dyDescent="0.2">
      <c r="C146" s="646" t="s">
        <v>81</v>
      </c>
      <c r="D146" s="640">
        <v>0</v>
      </c>
      <c r="E146" s="640">
        <v>0</v>
      </c>
      <c r="F146" s="640">
        <v>13.089485167364064</v>
      </c>
      <c r="G146" s="640">
        <v>62.329787012805554</v>
      </c>
      <c r="H146" s="640">
        <v>0</v>
      </c>
      <c r="I146" s="640">
        <v>0</v>
      </c>
      <c r="J146" s="640">
        <v>3.5803203712753549</v>
      </c>
      <c r="K146" s="640">
        <v>2.4997359764460676E-2</v>
      </c>
      <c r="L146" s="640">
        <v>0</v>
      </c>
      <c r="M146" s="640">
        <v>1.2720364696490929</v>
      </c>
      <c r="N146" s="640">
        <v>8.0745890957481183</v>
      </c>
      <c r="O146" s="640">
        <v>0.83294326034961275</v>
      </c>
      <c r="P146" s="640">
        <v>131.24016316985416</v>
      </c>
      <c r="Q146" s="640">
        <v>4.3528828563662758</v>
      </c>
      <c r="R146" s="640">
        <v>0</v>
      </c>
      <c r="S146" s="648">
        <v>224.79720476317669</v>
      </c>
      <c r="U146" s="646" t="s">
        <v>81</v>
      </c>
      <c r="V146" s="640">
        <v>0</v>
      </c>
      <c r="W146" s="640">
        <v>0</v>
      </c>
      <c r="X146" s="640">
        <v>3.9119597768221439</v>
      </c>
      <c r="Y146" s="640">
        <v>38.3508738706755</v>
      </c>
      <c r="Z146" s="640">
        <v>0</v>
      </c>
      <c r="AA146" s="640">
        <v>0</v>
      </c>
      <c r="AB146" s="640">
        <v>7.8602291254253389</v>
      </c>
      <c r="AC146" s="640">
        <v>2.4997359764460676E-2</v>
      </c>
      <c r="AD146" s="640">
        <v>0</v>
      </c>
      <c r="AE146" s="640">
        <v>4.2612082078528335</v>
      </c>
      <c r="AF146" s="640">
        <v>14.106786738135797</v>
      </c>
      <c r="AG146" s="640">
        <v>1.7661272775976942</v>
      </c>
      <c r="AH146" s="640">
        <v>123.29032263862543</v>
      </c>
      <c r="AI146" s="640">
        <v>8.5454451862110297</v>
      </c>
      <c r="AJ146" s="640">
        <v>0</v>
      </c>
      <c r="AK146" s="648">
        <v>202.11795018111022</v>
      </c>
    </row>
    <row r="147" spans="3:37" x14ac:dyDescent="0.2">
      <c r="C147" s="646" t="s">
        <v>82</v>
      </c>
      <c r="D147" s="640">
        <v>0</v>
      </c>
      <c r="E147" s="640">
        <v>0</v>
      </c>
      <c r="F147" s="640">
        <v>33.167847610565538</v>
      </c>
      <c r="G147" s="640">
        <v>2.1624159537319825</v>
      </c>
      <c r="H147" s="640">
        <v>0</v>
      </c>
      <c r="I147" s="640">
        <v>0</v>
      </c>
      <c r="J147" s="640">
        <v>1.4487991994826963</v>
      </c>
      <c r="K147" s="640">
        <v>0</v>
      </c>
      <c r="L147" s="640">
        <v>2.4657875210358444</v>
      </c>
      <c r="M147" s="640">
        <v>4.4130937831264955E-2</v>
      </c>
      <c r="N147" s="640">
        <v>0</v>
      </c>
      <c r="O147" s="640">
        <v>8.4265288301735436E-2</v>
      </c>
      <c r="P147" s="640">
        <v>7.7746258142900144</v>
      </c>
      <c r="Q147" s="640">
        <v>0</v>
      </c>
      <c r="R147" s="640">
        <v>0</v>
      </c>
      <c r="S147" s="648">
        <v>47.147872325239064</v>
      </c>
      <c r="U147" s="646" t="s">
        <v>82</v>
      </c>
      <c r="V147" s="640">
        <v>0</v>
      </c>
      <c r="W147" s="640">
        <v>0</v>
      </c>
      <c r="X147" s="640">
        <v>27.0175910939627</v>
      </c>
      <c r="Y147" s="640">
        <v>2.3189520199147382</v>
      </c>
      <c r="Z147" s="640">
        <v>0</v>
      </c>
      <c r="AA147" s="640">
        <v>0</v>
      </c>
      <c r="AB147" s="640">
        <v>1.4487991994826963</v>
      </c>
      <c r="AC147" s="640">
        <v>0</v>
      </c>
      <c r="AD147" s="640">
        <v>9.9723689588186737</v>
      </c>
      <c r="AE147" s="640">
        <v>0.257661335546082</v>
      </c>
      <c r="AF147" s="640">
        <v>0</v>
      </c>
      <c r="AG147" s="640">
        <v>0.62518456969816016</v>
      </c>
      <c r="AH147" s="640">
        <v>7.8177780162568453</v>
      </c>
      <c r="AI147" s="640">
        <v>0</v>
      </c>
      <c r="AJ147" s="640">
        <v>0.17366238047171115</v>
      </c>
      <c r="AK147" s="648">
        <v>49.631997574151612</v>
      </c>
    </row>
    <row r="148" spans="3:37" x14ac:dyDescent="0.2">
      <c r="C148" s="646" t="s">
        <v>354</v>
      </c>
      <c r="D148" s="640">
        <v>0</v>
      </c>
      <c r="E148" s="640">
        <v>0</v>
      </c>
      <c r="F148" s="640">
        <v>0</v>
      </c>
      <c r="G148" s="640">
        <v>0</v>
      </c>
      <c r="H148" s="640">
        <v>0</v>
      </c>
      <c r="I148" s="640">
        <v>0</v>
      </c>
      <c r="J148" s="640">
        <v>0</v>
      </c>
      <c r="K148" s="640">
        <v>0</v>
      </c>
      <c r="L148" s="640">
        <v>0</v>
      </c>
      <c r="M148" s="640">
        <v>0</v>
      </c>
      <c r="N148" s="640">
        <v>0</v>
      </c>
      <c r="O148" s="640">
        <v>0</v>
      </c>
      <c r="P148" s="640">
        <v>0</v>
      </c>
      <c r="Q148" s="640">
        <v>0</v>
      </c>
      <c r="R148" s="640">
        <v>0</v>
      </c>
      <c r="S148" s="648">
        <v>0</v>
      </c>
      <c r="U148" s="646" t="s">
        <v>354</v>
      </c>
      <c r="V148" s="640">
        <v>0</v>
      </c>
      <c r="W148" s="640">
        <v>0</v>
      </c>
      <c r="X148" s="640">
        <v>0</v>
      </c>
      <c r="Y148" s="640">
        <v>0</v>
      </c>
      <c r="Z148" s="640">
        <v>0</v>
      </c>
      <c r="AA148" s="640">
        <v>0</v>
      </c>
      <c r="AB148" s="640">
        <v>0</v>
      </c>
      <c r="AC148" s="640">
        <v>0</v>
      </c>
      <c r="AD148" s="640">
        <v>0</v>
      </c>
      <c r="AE148" s="640">
        <v>0</v>
      </c>
      <c r="AF148" s="640">
        <v>0</v>
      </c>
      <c r="AG148" s="640">
        <v>0</v>
      </c>
      <c r="AH148" s="640">
        <v>0.6</v>
      </c>
      <c r="AI148" s="640">
        <v>0</v>
      </c>
      <c r="AJ148" s="640">
        <v>0</v>
      </c>
      <c r="AK148" s="648">
        <v>0.6</v>
      </c>
    </row>
    <row r="149" spans="3:37" x14ac:dyDescent="0.2">
      <c r="C149" s="644" t="s">
        <v>83</v>
      </c>
      <c r="D149" s="645">
        <v>6.5032741679727843</v>
      </c>
      <c r="E149" s="645">
        <v>0</v>
      </c>
      <c r="F149" s="645">
        <v>446.98906993274153</v>
      </c>
      <c r="G149" s="645">
        <v>287.95017750573197</v>
      </c>
      <c r="H149" s="645">
        <v>0</v>
      </c>
      <c r="I149" s="645">
        <v>0</v>
      </c>
      <c r="J149" s="645">
        <v>102.29885085722037</v>
      </c>
      <c r="K149" s="645">
        <v>1.8026731844749846</v>
      </c>
      <c r="L149" s="645">
        <v>36.783626860690426</v>
      </c>
      <c r="M149" s="645">
        <v>5.8953050861011809</v>
      </c>
      <c r="N149" s="645">
        <v>49.514351265721807</v>
      </c>
      <c r="O149" s="645">
        <v>2.8493182047113157</v>
      </c>
      <c r="P149" s="645">
        <v>454.71077961406559</v>
      </c>
      <c r="Q149" s="645">
        <v>36.463227585949028</v>
      </c>
      <c r="R149" s="645">
        <v>0.71363666999870479</v>
      </c>
      <c r="S149" s="645">
        <v>1432.4742909353797</v>
      </c>
      <c r="U149" s="644" t="s">
        <v>83</v>
      </c>
      <c r="V149" s="645">
        <v>0.86555588121413052</v>
      </c>
      <c r="W149" s="645">
        <v>0</v>
      </c>
      <c r="X149" s="645">
        <v>322.32974487500439</v>
      </c>
      <c r="Y149" s="645">
        <v>200.24022350086713</v>
      </c>
      <c r="Z149" s="645">
        <v>0</v>
      </c>
      <c r="AA149" s="645">
        <v>0</v>
      </c>
      <c r="AB149" s="645">
        <v>98.323998973757497</v>
      </c>
      <c r="AC149" s="645">
        <v>6.032015642283147</v>
      </c>
      <c r="AD149" s="645">
        <v>47.797299277671243</v>
      </c>
      <c r="AE149" s="645">
        <v>22.267684573608886</v>
      </c>
      <c r="AF149" s="645">
        <v>61.091225724919909</v>
      </c>
      <c r="AG149" s="645">
        <v>4.3244315081583782</v>
      </c>
      <c r="AH149" s="645">
        <v>456.67759211018512</v>
      </c>
      <c r="AI149" s="645">
        <v>61.66120404388996</v>
      </c>
      <c r="AJ149" s="645">
        <v>5.7410832250574444</v>
      </c>
      <c r="AK149" s="645">
        <v>1287.352059336617</v>
      </c>
    </row>
    <row r="150" spans="3:37" x14ac:dyDescent="0.2">
      <c r="C150" s="639" t="s">
        <v>84</v>
      </c>
      <c r="D150" s="640">
        <v>0</v>
      </c>
      <c r="E150" s="640">
        <v>0</v>
      </c>
      <c r="F150" s="640">
        <v>120.50577840542185</v>
      </c>
      <c r="G150" s="640">
        <v>12.411293173801123</v>
      </c>
      <c r="H150" s="640">
        <v>0</v>
      </c>
      <c r="I150" s="640">
        <v>0</v>
      </c>
      <c r="J150" s="640">
        <v>0</v>
      </c>
      <c r="K150" s="640">
        <v>0</v>
      </c>
      <c r="L150" s="640">
        <v>0</v>
      </c>
      <c r="M150" s="640">
        <v>0</v>
      </c>
      <c r="N150" s="640">
        <v>0</v>
      </c>
      <c r="O150" s="640">
        <v>0</v>
      </c>
      <c r="P150" s="640">
        <v>0</v>
      </c>
      <c r="Q150" s="640">
        <v>0</v>
      </c>
      <c r="R150" s="640">
        <v>0</v>
      </c>
      <c r="S150" s="648">
        <v>132.91707157922298</v>
      </c>
      <c r="U150" s="639" t="s">
        <v>84</v>
      </c>
      <c r="V150" s="640">
        <v>0</v>
      </c>
      <c r="W150" s="640">
        <v>0</v>
      </c>
      <c r="X150" s="640">
        <v>117.28279502427566</v>
      </c>
      <c r="Y150" s="640">
        <v>1.8168604665649504</v>
      </c>
      <c r="Z150" s="640">
        <v>0</v>
      </c>
      <c r="AA150" s="640">
        <v>0</v>
      </c>
      <c r="AB150" s="640">
        <v>0</v>
      </c>
      <c r="AC150" s="640">
        <v>0</v>
      </c>
      <c r="AD150" s="640">
        <v>0.35207966308593752</v>
      </c>
      <c r="AE150" s="640">
        <v>0</v>
      </c>
      <c r="AF150" s="640">
        <v>0</v>
      </c>
      <c r="AG150" s="640">
        <v>0</v>
      </c>
      <c r="AH150" s="640">
        <v>0</v>
      </c>
      <c r="AI150" s="640">
        <v>0</v>
      </c>
      <c r="AJ150" s="640">
        <v>1.7189814819335938</v>
      </c>
      <c r="AK150" s="648">
        <v>121.17071663586013</v>
      </c>
    </row>
    <row r="151" spans="3:37" x14ac:dyDescent="0.2">
      <c r="C151" s="644" t="s">
        <v>85</v>
      </c>
      <c r="D151" s="645">
        <v>6.5032741679727843</v>
      </c>
      <c r="E151" s="645">
        <v>0</v>
      </c>
      <c r="F151" s="645">
        <v>567.49484833816337</v>
      </c>
      <c r="G151" s="645">
        <v>300.36147067953311</v>
      </c>
      <c r="H151" s="645">
        <v>0</v>
      </c>
      <c r="I151" s="645">
        <v>0</v>
      </c>
      <c r="J151" s="645">
        <v>102.29885085722037</v>
      </c>
      <c r="K151" s="645">
        <v>1.8026731844749846</v>
      </c>
      <c r="L151" s="645">
        <v>36.783626860690426</v>
      </c>
      <c r="M151" s="645">
        <v>5.8953050861011809</v>
      </c>
      <c r="N151" s="645">
        <v>49.514351265721807</v>
      </c>
      <c r="O151" s="645">
        <v>2.8493182047113157</v>
      </c>
      <c r="P151" s="645">
        <v>454.71077961406559</v>
      </c>
      <c r="Q151" s="645">
        <v>36.463227585949028</v>
      </c>
      <c r="R151" s="645">
        <v>0.71363666999870479</v>
      </c>
      <c r="S151" s="645">
        <v>1565.3913625146026</v>
      </c>
      <c r="U151" s="644" t="s">
        <v>85</v>
      </c>
      <c r="V151" s="645">
        <v>0.86555588121413052</v>
      </c>
      <c r="W151" s="645">
        <v>0</v>
      </c>
      <c r="X151" s="645">
        <v>439.61253989928008</v>
      </c>
      <c r="Y151" s="645">
        <v>202.05708396743208</v>
      </c>
      <c r="Z151" s="645">
        <v>0</v>
      </c>
      <c r="AA151" s="645">
        <v>0</v>
      </c>
      <c r="AB151" s="645">
        <v>98.323998973757497</v>
      </c>
      <c r="AC151" s="645">
        <v>6.032015642283147</v>
      </c>
      <c r="AD151" s="645">
        <v>48.149378940757181</v>
      </c>
      <c r="AE151" s="645">
        <v>22.267684573608886</v>
      </c>
      <c r="AF151" s="645">
        <v>61.091225724919909</v>
      </c>
      <c r="AG151" s="645">
        <v>4.3244315081583782</v>
      </c>
      <c r="AH151" s="645">
        <v>456.67759211018512</v>
      </c>
      <c r="AI151" s="645">
        <v>61.66120404388996</v>
      </c>
      <c r="AJ151" s="645">
        <v>7.4600647069910382</v>
      </c>
      <c r="AK151" s="645">
        <v>1408.5227759724771</v>
      </c>
    </row>
    <row r="152" spans="3:37" x14ac:dyDescent="0.2">
      <c r="C152" s="634"/>
      <c r="D152" s="634"/>
      <c r="E152" s="634"/>
      <c r="F152" s="634"/>
      <c r="G152" s="634"/>
      <c r="H152" s="634"/>
      <c r="I152" s="634"/>
      <c r="J152" s="634"/>
      <c r="K152" s="634"/>
      <c r="L152" s="634"/>
      <c r="M152" s="634"/>
      <c r="N152" s="634"/>
      <c r="O152" s="634"/>
      <c r="P152" s="634"/>
      <c r="Q152" s="634"/>
      <c r="R152" s="634"/>
      <c r="S152" s="634"/>
      <c r="U152" s="634"/>
      <c r="V152" s="634"/>
      <c r="W152" s="634"/>
      <c r="X152" s="634"/>
      <c r="Y152" s="634"/>
      <c r="Z152" s="634"/>
      <c r="AA152" s="634"/>
      <c r="AB152" s="634"/>
      <c r="AC152" s="634"/>
      <c r="AD152" s="634"/>
      <c r="AE152" s="634"/>
      <c r="AF152" s="634"/>
      <c r="AG152" s="634"/>
      <c r="AH152" s="634"/>
      <c r="AI152" s="634"/>
      <c r="AJ152" s="634"/>
      <c r="AK152" s="634"/>
    </row>
    <row r="153" spans="3:37" ht="22.5" x14ac:dyDescent="0.3">
      <c r="C153" s="759" t="s">
        <v>357</v>
      </c>
      <c r="D153" s="759"/>
      <c r="E153" s="759"/>
      <c r="F153" s="759"/>
      <c r="G153" s="759"/>
      <c r="H153" s="759"/>
      <c r="I153" s="759"/>
      <c r="J153" s="759"/>
      <c r="K153" s="759"/>
      <c r="L153" s="759"/>
      <c r="M153" s="759"/>
      <c r="N153" s="759"/>
      <c r="O153" s="759"/>
      <c r="P153" s="759"/>
      <c r="Q153" s="759"/>
      <c r="R153" s="759"/>
      <c r="S153" s="759"/>
      <c r="U153" s="759" t="s">
        <v>357</v>
      </c>
      <c r="V153" s="759"/>
      <c r="W153" s="759"/>
      <c r="X153" s="759"/>
      <c r="Y153" s="759"/>
      <c r="Z153" s="759"/>
      <c r="AA153" s="759"/>
      <c r="AB153" s="759"/>
      <c r="AC153" s="759"/>
      <c r="AD153" s="759"/>
      <c r="AE153" s="759"/>
      <c r="AF153" s="759"/>
      <c r="AG153" s="759"/>
      <c r="AH153" s="759"/>
      <c r="AI153" s="759"/>
      <c r="AJ153" s="759"/>
      <c r="AK153" s="759"/>
    </row>
    <row r="154" spans="3:37" x14ac:dyDescent="0.2">
      <c r="C154" s="634"/>
      <c r="D154" s="634"/>
      <c r="E154" s="634"/>
      <c r="F154" s="634"/>
      <c r="G154" s="634"/>
      <c r="H154" s="634"/>
      <c r="I154" s="634"/>
      <c r="J154" s="634"/>
      <c r="K154" s="634"/>
      <c r="L154" s="634"/>
      <c r="M154" s="634"/>
      <c r="N154" s="634"/>
      <c r="O154" s="634"/>
      <c r="P154" s="634"/>
      <c r="Q154" s="634"/>
      <c r="R154" s="634"/>
      <c r="S154" s="634"/>
      <c r="U154" s="634"/>
      <c r="V154" s="634"/>
      <c r="W154" s="634"/>
      <c r="X154" s="634"/>
      <c r="Y154" s="634"/>
      <c r="Z154" s="634"/>
      <c r="AA154" s="634"/>
      <c r="AB154" s="634"/>
      <c r="AC154" s="634"/>
      <c r="AD154" s="634"/>
      <c r="AE154" s="634"/>
      <c r="AF154" s="634"/>
      <c r="AG154" s="634"/>
      <c r="AH154" s="634"/>
      <c r="AI154" s="634"/>
      <c r="AJ154" s="634"/>
      <c r="AK154" s="634"/>
    </row>
    <row r="155" spans="3:37" ht="12.95" customHeight="1" x14ac:dyDescent="0.2">
      <c r="C155" s="758" t="s">
        <v>128</v>
      </c>
      <c r="D155" s="757" t="s">
        <v>42</v>
      </c>
      <c r="E155" s="757" t="s">
        <v>52</v>
      </c>
      <c r="F155" s="757" t="s">
        <v>53</v>
      </c>
      <c r="G155" s="757" t="s">
        <v>32</v>
      </c>
      <c r="H155" s="757" t="s">
        <v>20</v>
      </c>
      <c r="I155" s="757" t="s">
        <v>55</v>
      </c>
      <c r="J155" s="757" t="s">
        <v>56</v>
      </c>
      <c r="K155" s="757"/>
      <c r="L155" s="757"/>
      <c r="M155" s="757"/>
      <c r="N155" s="757"/>
      <c r="O155" s="757"/>
      <c r="P155" s="757" t="s">
        <v>57</v>
      </c>
      <c r="Q155" s="757" t="s">
        <v>58</v>
      </c>
      <c r="R155" s="757" t="s">
        <v>31</v>
      </c>
      <c r="S155" s="757" t="s">
        <v>10</v>
      </c>
      <c r="U155" s="758" t="s">
        <v>128</v>
      </c>
      <c r="V155" s="757" t="s">
        <v>42</v>
      </c>
      <c r="W155" s="757" t="s">
        <v>52</v>
      </c>
      <c r="X155" s="757" t="s">
        <v>53</v>
      </c>
      <c r="Y155" s="757" t="s">
        <v>32</v>
      </c>
      <c r="Z155" s="757" t="s">
        <v>20</v>
      </c>
      <c r="AA155" s="757" t="s">
        <v>55</v>
      </c>
      <c r="AB155" s="757" t="s">
        <v>56</v>
      </c>
      <c r="AC155" s="757"/>
      <c r="AD155" s="757"/>
      <c r="AE155" s="757"/>
      <c r="AF155" s="757"/>
      <c r="AG155" s="757"/>
      <c r="AH155" s="757" t="s">
        <v>57</v>
      </c>
      <c r="AI155" s="757" t="s">
        <v>58</v>
      </c>
      <c r="AJ155" s="757" t="s">
        <v>31</v>
      </c>
      <c r="AK155" s="757" t="s">
        <v>10</v>
      </c>
    </row>
    <row r="156" spans="3:37" ht="56.25" x14ac:dyDescent="0.2">
      <c r="C156" s="758"/>
      <c r="D156" s="757"/>
      <c r="E156" s="757"/>
      <c r="F156" s="757"/>
      <c r="G156" s="757"/>
      <c r="H156" s="757"/>
      <c r="I156" s="757"/>
      <c r="J156" s="638" t="s">
        <v>335</v>
      </c>
      <c r="K156" s="638" t="s">
        <v>40</v>
      </c>
      <c r="L156" s="638" t="s">
        <v>343</v>
      </c>
      <c r="M156" s="638" t="s">
        <v>344</v>
      </c>
      <c r="N156" s="638" t="s">
        <v>345</v>
      </c>
      <c r="O156" s="638" t="s">
        <v>346</v>
      </c>
      <c r="P156" s="757"/>
      <c r="Q156" s="757"/>
      <c r="R156" s="757"/>
      <c r="S156" s="757"/>
      <c r="U156" s="758"/>
      <c r="V156" s="757"/>
      <c r="W156" s="757"/>
      <c r="X156" s="757"/>
      <c r="Y156" s="757"/>
      <c r="Z156" s="757"/>
      <c r="AA156" s="757"/>
      <c r="AB156" s="638" t="s">
        <v>335</v>
      </c>
      <c r="AC156" s="638" t="s">
        <v>40</v>
      </c>
      <c r="AD156" s="638" t="s">
        <v>343</v>
      </c>
      <c r="AE156" s="638" t="s">
        <v>344</v>
      </c>
      <c r="AF156" s="638" t="s">
        <v>345</v>
      </c>
      <c r="AG156" s="638" t="s">
        <v>346</v>
      </c>
      <c r="AH156" s="757"/>
      <c r="AI156" s="757"/>
      <c r="AJ156" s="757"/>
      <c r="AK156" s="757"/>
    </row>
    <row r="157" spans="3:37" x14ac:dyDescent="0.2">
      <c r="C157" s="639" t="s">
        <v>59</v>
      </c>
      <c r="D157" s="640">
        <v>0</v>
      </c>
      <c r="E157" s="641">
        <v>7.3966799999999999</v>
      </c>
      <c r="F157" s="641">
        <v>0</v>
      </c>
      <c r="G157" s="640">
        <v>0.13025600000000001</v>
      </c>
      <c r="H157" s="641">
        <v>1121.3636363636365</v>
      </c>
      <c r="I157" s="641">
        <v>207.57369132422022</v>
      </c>
      <c r="J157" s="641">
        <v>190.75115787672021</v>
      </c>
      <c r="K157" s="641">
        <v>21.756321957796004</v>
      </c>
      <c r="L157" s="641">
        <v>0.34997737871272444</v>
      </c>
      <c r="M157" s="641">
        <v>0.14846473955328648</v>
      </c>
      <c r="N157" s="641">
        <v>54.409714472774652</v>
      </c>
      <c r="O157" s="641">
        <v>8.1015620286034657</v>
      </c>
      <c r="P157" s="642">
        <v>0</v>
      </c>
      <c r="Q157" s="641">
        <v>0</v>
      </c>
      <c r="R157" s="641">
        <v>0</v>
      </c>
      <c r="S157" s="643">
        <v>1611.9814621420169</v>
      </c>
      <c r="U157" s="639" t="s">
        <v>59</v>
      </c>
      <c r="V157" s="640">
        <v>0</v>
      </c>
      <c r="W157" s="641">
        <v>7.3966799999999999</v>
      </c>
      <c r="X157" s="641">
        <v>0</v>
      </c>
      <c r="Y157" s="640">
        <v>0.13025600000000001</v>
      </c>
      <c r="Z157" s="641">
        <v>1024.3939393939395</v>
      </c>
      <c r="AA157" s="641">
        <v>228.1236913242202</v>
      </c>
      <c r="AB157" s="641">
        <v>188.80425896422437</v>
      </c>
      <c r="AC157" s="641">
        <v>37.588366510920622</v>
      </c>
      <c r="AD157" s="641">
        <v>0.34997737871272444</v>
      </c>
      <c r="AE157" s="641">
        <v>0.14846473955328648</v>
      </c>
      <c r="AF157" s="641">
        <v>70.498567758341522</v>
      </c>
      <c r="AG157" s="641">
        <v>15.201618538088493</v>
      </c>
      <c r="AH157" s="642">
        <v>0</v>
      </c>
      <c r="AI157" s="641">
        <v>0</v>
      </c>
      <c r="AJ157" s="641">
        <v>0</v>
      </c>
      <c r="AK157" s="643">
        <v>1572.6358206080006</v>
      </c>
    </row>
    <row r="158" spans="3:37" x14ac:dyDescent="0.2">
      <c r="C158" s="639" t="s">
        <v>60</v>
      </c>
      <c r="D158" s="640">
        <v>48.993463204278932</v>
      </c>
      <c r="E158" s="641">
        <v>524.37115290345116</v>
      </c>
      <c r="F158" s="641">
        <v>128.47715148642752</v>
      </c>
      <c r="G158" s="640">
        <v>338.60190682175607</v>
      </c>
      <c r="H158" s="641">
        <v>0</v>
      </c>
      <c r="I158" s="641">
        <v>0</v>
      </c>
      <c r="J158" s="641">
        <v>3.4492102766833175</v>
      </c>
      <c r="K158" s="641">
        <v>0</v>
      </c>
      <c r="L158" s="641">
        <v>1.9497058389942057</v>
      </c>
      <c r="M158" s="641">
        <v>0</v>
      </c>
      <c r="N158" s="641">
        <v>0</v>
      </c>
      <c r="O158" s="641">
        <v>0</v>
      </c>
      <c r="P158" s="642">
        <v>0</v>
      </c>
      <c r="Q158" s="641">
        <v>0</v>
      </c>
      <c r="R158" s="641">
        <v>0</v>
      </c>
      <c r="S158" s="643">
        <v>1045.8425905315912</v>
      </c>
      <c r="U158" s="639" t="s">
        <v>60</v>
      </c>
      <c r="V158" s="640">
        <v>10.847134235204434</v>
      </c>
      <c r="W158" s="641">
        <v>365.76498082844296</v>
      </c>
      <c r="X158" s="641">
        <v>91.958139733680838</v>
      </c>
      <c r="Y158" s="640">
        <v>234.76100914366791</v>
      </c>
      <c r="Z158" s="641">
        <v>0</v>
      </c>
      <c r="AA158" s="641">
        <v>0</v>
      </c>
      <c r="AB158" s="641">
        <v>3.4492102766833175</v>
      </c>
      <c r="AC158" s="641">
        <v>0</v>
      </c>
      <c r="AD158" s="641">
        <v>1.9497058389942057</v>
      </c>
      <c r="AE158" s="641">
        <v>0</v>
      </c>
      <c r="AF158" s="641">
        <v>0</v>
      </c>
      <c r="AG158" s="641">
        <v>0</v>
      </c>
      <c r="AH158" s="642">
        <v>0</v>
      </c>
      <c r="AI158" s="641">
        <v>0</v>
      </c>
      <c r="AJ158" s="641">
        <v>0</v>
      </c>
      <c r="AK158" s="643">
        <v>708.7301800566737</v>
      </c>
    </row>
    <row r="159" spans="3:37" x14ac:dyDescent="0.2">
      <c r="C159" s="639" t="s">
        <v>61</v>
      </c>
      <c r="D159" s="640">
        <v>0</v>
      </c>
      <c r="E159" s="641">
        <v>0</v>
      </c>
      <c r="F159" s="641">
        <v>0</v>
      </c>
      <c r="G159" s="640">
        <v>0</v>
      </c>
      <c r="H159" s="641">
        <v>0</v>
      </c>
      <c r="I159" s="641">
        <v>0</v>
      </c>
      <c r="J159" s="641">
        <v>0</v>
      </c>
      <c r="K159" s="641">
        <v>0</v>
      </c>
      <c r="L159" s="641">
        <v>0</v>
      </c>
      <c r="M159" s="641">
        <v>0</v>
      </c>
      <c r="N159" s="641">
        <v>0</v>
      </c>
      <c r="O159" s="641">
        <v>0</v>
      </c>
      <c r="P159" s="642">
        <v>-60.003896317889257</v>
      </c>
      <c r="Q159" s="641">
        <v>0</v>
      </c>
      <c r="R159" s="641">
        <v>0</v>
      </c>
      <c r="S159" s="643">
        <v>-60.003896317889257</v>
      </c>
      <c r="U159" s="639" t="s">
        <v>61</v>
      </c>
      <c r="V159" s="640">
        <v>0</v>
      </c>
      <c r="W159" s="641">
        <v>0</v>
      </c>
      <c r="X159" s="641">
        <v>0</v>
      </c>
      <c r="Y159" s="640">
        <v>0</v>
      </c>
      <c r="Z159" s="641">
        <v>0</v>
      </c>
      <c r="AA159" s="641">
        <v>0</v>
      </c>
      <c r="AB159" s="641">
        <v>0</v>
      </c>
      <c r="AC159" s="641">
        <v>0</v>
      </c>
      <c r="AD159" s="641">
        <v>0</v>
      </c>
      <c r="AE159" s="641">
        <v>0</v>
      </c>
      <c r="AF159" s="641">
        <v>0</v>
      </c>
      <c r="AG159" s="641">
        <v>0</v>
      </c>
      <c r="AH159" s="642">
        <v>-43.289743938015249</v>
      </c>
      <c r="AI159" s="641">
        <v>0</v>
      </c>
      <c r="AJ159" s="641">
        <v>0</v>
      </c>
      <c r="AK159" s="643">
        <v>-43.289743938015249</v>
      </c>
    </row>
    <row r="160" spans="3:37" x14ac:dyDescent="0.2">
      <c r="C160" s="639" t="s">
        <v>62</v>
      </c>
      <c r="D160" s="640">
        <v>0</v>
      </c>
      <c r="E160" s="641">
        <v>0</v>
      </c>
      <c r="F160" s="641">
        <v>-16.352432750095883</v>
      </c>
      <c r="G160" s="640">
        <v>0</v>
      </c>
      <c r="H160" s="641">
        <v>0</v>
      </c>
      <c r="I160" s="641">
        <v>0</v>
      </c>
      <c r="J160" s="641">
        <v>0</v>
      </c>
      <c r="K160" s="641">
        <v>0</v>
      </c>
      <c r="L160" s="641">
        <v>0</v>
      </c>
      <c r="M160" s="641">
        <v>0</v>
      </c>
      <c r="N160" s="641">
        <v>0</v>
      </c>
      <c r="O160" s="641">
        <v>0</v>
      </c>
      <c r="P160" s="642">
        <v>0</v>
      </c>
      <c r="Q160" s="641">
        <v>0</v>
      </c>
      <c r="R160" s="641">
        <v>0</v>
      </c>
      <c r="S160" s="643">
        <v>-16.352432750095883</v>
      </c>
      <c r="U160" s="639" t="s">
        <v>62</v>
      </c>
      <c r="V160" s="640">
        <v>0</v>
      </c>
      <c r="W160" s="641">
        <v>0</v>
      </c>
      <c r="X160" s="641">
        <v>-14.208433022133823</v>
      </c>
      <c r="Y160" s="640">
        <v>-0.95675088928507923</v>
      </c>
      <c r="Z160" s="641">
        <v>0</v>
      </c>
      <c r="AA160" s="641">
        <v>0</v>
      </c>
      <c r="AB160" s="641">
        <v>0</v>
      </c>
      <c r="AC160" s="641">
        <v>0</v>
      </c>
      <c r="AD160" s="641">
        <v>0</v>
      </c>
      <c r="AE160" s="641">
        <v>-0.16736955973660289</v>
      </c>
      <c r="AF160" s="641">
        <v>0</v>
      </c>
      <c r="AG160" s="641">
        <v>0</v>
      </c>
      <c r="AH160" s="642">
        <v>0</v>
      </c>
      <c r="AI160" s="641">
        <v>0</v>
      </c>
      <c r="AJ160" s="641">
        <v>0</v>
      </c>
      <c r="AK160" s="643">
        <v>-15.332553471155505</v>
      </c>
    </row>
    <row r="161" spans="3:37" x14ac:dyDescent="0.2">
      <c r="C161" s="639" t="s">
        <v>63</v>
      </c>
      <c r="D161" s="640">
        <v>0</v>
      </c>
      <c r="E161" s="641">
        <v>0</v>
      </c>
      <c r="F161" s="641">
        <v>-82.364123594751035</v>
      </c>
      <c r="G161" s="640">
        <v>0</v>
      </c>
      <c r="H161" s="641">
        <v>0</v>
      </c>
      <c r="I161" s="641">
        <v>0</v>
      </c>
      <c r="J161" s="641">
        <v>0</v>
      </c>
      <c r="K161" s="641">
        <v>0</v>
      </c>
      <c r="L161" s="641">
        <v>-0.84952974503182688</v>
      </c>
      <c r="M161" s="641">
        <v>0</v>
      </c>
      <c r="N161" s="641">
        <v>0</v>
      </c>
      <c r="O161" s="641">
        <v>0</v>
      </c>
      <c r="P161" s="642">
        <v>0</v>
      </c>
      <c r="Q161" s="641">
        <v>0</v>
      </c>
      <c r="R161" s="641">
        <v>0</v>
      </c>
      <c r="S161" s="643">
        <v>-83.213653339782866</v>
      </c>
      <c r="U161" s="639" t="s">
        <v>63</v>
      </c>
      <c r="V161" s="640">
        <v>0</v>
      </c>
      <c r="W161" s="641">
        <v>0</v>
      </c>
      <c r="X161" s="641">
        <v>-71.599112277853877</v>
      </c>
      <c r="Y161" s="640">
        <v>0</v>
      </c>
      <c r="Z161" s="641">
        <v>0</v>
      </c>
      <c r="AA161" s="641">
        <v>0</v>
      </c>
      <c r="AB161" s="641">
        <v>0</v>
      </c>
      <c r="AC161" s="641">
        <v>0</v>
      </c>
      <c r="AD161" s="641">
        <v>-10.622786066784549</v>
      </c>
      <c r="AE161" s="641">
        <v>0</v>
      </c>
      <c r="AF161" s="641">
        <v>0</v>
      </c>
      <c r="AG161" s="641">
        <v>0</v>
      </c>
      <c r="AH161" s="642">
        <v>0</v>
      </c>
      <c r="AI161" s="641">
        <v>0</v>
      </c>
      <c r="AJ161" s="641">
        <v>0</v>
      </c>
      <c r="AK161" s="643">
        <v>-82.221898344638419</v>
      </c>
    </row>
    <row r="162" spans="3:37" x14ac:dyDescent="0.2">
      <c r="C162" s="639" t="s">
        <v>64</v>
      </c>
      <c r="D162" s="640">
        <v>0</v>
      </c>
      <c r="E162" s="641">
        <v>0</v>
      </c>
      <c r="F162" s="641">
        <v>0</v>
      </c>
      <c r="G162" s="640">
        <v>0</v>
      </c>
      <c r="H162" s="641">
        <v>0</v>
      </c>
      <c r="I162" s="641">
        <v>0</v>
      </c>
      <c r="J162" s="641">
        <v>0</v>
      </c>
      <c r="K162" s="641">
        <v>0</v>
      </c>
      <c r="L162" s="641">
        <v>0</v>
      </c>
      <c r="M162" s="641">
        <v>0</v>
      </c>
      <c r="N162" s="641">
        <v>0</v>
      </c>
      <c r="O162" s="641">
        <v>0</v>
      </c>
      <c r="P162" s="642">
        <v>0</v>
      </c>
      <c r="Q162" s="641">
        <v>0</v>
      </c>
      <c r="R162" s="641">
        <v>0</v>
      </c>
      <c r="S162" s="643">
        <v>0</v>
      </c>
      <c r="U162" s="639" t="s">
        <v>64</v>
      </c>
      <c r="V162" s="640">
        <v>0</v>
      </c>
      <c r="W162" s="641">
        <v>0</v>
      </c>
      <c r="X162" s="641">
        <v>0</v>
      </c>
      <c r="Y162" s="640">
        <v>0</v>
      </c>
      <c r="Z162" s="641">
        <v>0</v>
      </c>
      <c r="AA162" s="641">
        <v>0</v>
      </c>
      <c r="AB162" s="641">
        <v>0</v>
      </c>
      <c r="AC162" s="641">
        <v>0</v>
      </c>
      <c r="AD162" s="641">
        <v>0</v>
      </c>
      <c r="AE162" s="641">
        <v>0</v>
      </c>
      <c r="AF162" s="641">
        <v>0</v>
      </c>
      <c r="AG162" s="641">
        <v>0</v>
      </c>
      <c r="AH162" s="642">
        <v>0</v>
      </c>
      <c r="AI162" s="641">
        <v>0</v>
      </c>
      <c r="AJ162" s="641">
        <v>0</v>
      </c>
      <c r="AK162" s="643">
        <v>0</v>
      </c>
    </row>
    <row r="163" spans="3:37" x14ac:dyDescent="0.2">
      <c r="C163" s="644" t="s">
        <v>65</v>
      </c>
      <c r="D163" s="645">
        <v>48.993463204278932</v>
      </c>
      <c r="E163" s="645">
        <v>531.76783290345111</v>
      </c>
      <c r="F163" s="645">
        <v>29.760595141580591</v>
      </c>
      <c r="G163" s="645">
        <v>338.73216282175605</v>
      </c>
      <c r="H163" s="645">
        <v>1121.3636363636365</v>
      </c>
      <c r="I163" s="645">
        <v>207.57369132422022</v>
      </c>
      <c r="J163" s="645">
        <v>194.20036815340353</v>
      </c>
      <c r="K163" s="645">
        <v>21.756321957796004</v>
      </c>
      <c r="L163" s="645">
        <v>1.4501534726751033</v>
      </c>
      <c r="M163" s="645">
        <v>0.14846473955328648</v>
      </c>
      <c r="N163" s="645">
        <v>54.409714472774652</v>
      </c>
      <c r="O163" s="645">
        <v>8.1015620286034657</v>
      </c>
      <c r="P163" s="645">
        <v>-60.003896317889257</v>
      </c>
      <c r="Q163" s="645">
        <v>0</v>
      </c>
      <c r="R163" s="645">
        <v>0</v>
      </c>
      <c r="S163" s="645">
        <v>2498.2540702658398</v>
      </c>
      <c r="U163" s="644" t="s">
        <v>65</v>
      </c>
      <c r="V163" s="645">
        <v>10.847134235204434</v>
      </c>
      <c r="W163" s="645">
        <v>373.16166082844296</v>
      </c>
      <c r="X163" s="645">
        <v>6.1505944336931329</v>
      </c>
      <c r="Y163" s="645">
        <v>233.93451425438283</v>
      </c>
      <c r="Z163" s="645">
        <v>1024.3939393939395</v>
      </c>
      <c r="AA163" s="645">
        <v>228.1236913242202</v>
      </c>
      <c r="AB163" s="645">
        <v>192.25346924090769</v>
      </c>
      <c r="AC163" s="645">
        <v>37.588366510920622</v>
      </c>
      <c r="AD163" s="645">
        <v>-8.3231028490776193</v>
      </c>
      <c r="AE163" s="645">
        <v>-1.8904820183316406E-2</v>
      </c>
      <c r="AF163" s="645">
        <v>70.498567758341522</v>
      </c>
      <c r="AG163" s="645">
        <v>15.201618538088493</v>
      </c>
      <c r="AH163" s="645">
        <v>-43.289743938015249</v>
      </c>
      <c r="AI163" s="645">
        <v>0</v>
      </c>
      <c r="AJ163" s="645">
        <v>0</v>
      </c>
      <c r="AK163" s="645">
        <v>2140.5218049108653</v>
      </c>
    </row>
    <row r="164" spans="3:37" x14ac:dyDescent="0.2">
      <c r="C164" s="634"/>
      <c r="D164" s="634">
        <v>0</v>
      </c>
      <c r="E164" s="634">
        <v>0</v>
      </c>
      <c r="F164" s="634">
        <v>0</v>
      </c>
      <c r="G164" s="634">
        <v>0</v>
      </c>
      <c r="H164" s="634">
        <v>0</v>
      </c>
      <c r="I164" s="634">
        <v>0</v>
      </c>
      <c r="J164" s="634">
        <v>0</v>
      </c>
      <c r="K164" s="634">
        <v>0</v>
      </c>
      <c r="L164" s="634">
        <v>0</v>
      </c>
      <c r="M164" s="634">
        <v>0</v>
      </c>
      <c r="N164" s="634">
        <v>0</v>
      </c>
      <c r="O164" s="634">
        <v>0</v>
      </c>
      <c r="P164" s="634">
        <v>0</v>
      </c>
      <c r="Q164" s="634">
        <v>0</v>
      </c>
      <c r="R164" s="634">
        <v>0</v>
      </c>
      <c r="S164" s="634">
        <v>0</v>
      </c>
      <c r="U164" s="634"/>
      <c r="V164" s="634">
        <v>0</v>
      </c>
      <c r="W164" s="634">
        <v>0</v>
      </c>
      <c r="X164" s="634">
        <v>0</v>
      </c>
      <c r="Y164" s="634">
        <v>0</v>
      </c>
      <c r="Z164" s="634">
        <v>0</v>
      </c>
      <c r="AA164" s="634">
        <v>0</v>
      </c>
      <c r="AB164" s="634">
        <v>0</v>
      </c>
      <c r="AC164" s="634">
        <v>0</v>
      </c>
      <c r="AD164" s="634">
        <v>0</v>
      </c>
      <c r="AE164" s="634">
        <v>0</v>
      </c>
      <c r="AF164" s="634">
        <v>0</v>
      </c>
      <c r="AG164" s="634">
        <v>0</v>
      </c>
      <c r="AH164" s="634">
        <v>0</v>
      </c>
      <c r="AI164" s="634">
        <v>0</v>
      </c>
      <c r="AJ164" s="634">
        <v>0</v>
      </c>
      <c r="AK164" s="634">
        <v>0</v>
      </c>
    </row>
    <row r="165" spans="3:37" x14ac:dyDescent="0.2">
      <c r="C165" s="646" t="s">
        <v>67</v>
      </c>
      <c r="D165" s="640">
        <v>0</v>
      </c>
      <c r="E165" s="647">
        <v>0</v>
      </c>
      <c r="F165" s="647">
        <v>0</v>
      </c>
      <c r="G165" s="640">
        <v>0</v>
      </c>
      <c r="H165" s="640">
        <v>0</v>
      </c>
      <c r="I165" s="640">
        <v>0</v>
      </c>
      <c r="J165" s="640">
        <v>0</v>
      </c>
      <c r="K165" s="640">
        <v>0</v>
      </c>
      <c r="L165" s="640">
        <v>0</v>
      </c>
      <c r="M165" s="640">
        <v>0</v>
      </c>
      <c r="N165" s="640">
        <v>0</v>
      </c>
      <c r="O165" s="640">
        <v>0</v>
      </c>
      <c r="P165" s="640">
        <v>0</v>
      </c>
      <c r="Q165" s="640">
        <v>0</v>
      </c>
      <c r="R165" s="640">
        <v>0</v>
      </c>
      <c r="S165" s="648">
        <v>0</v>
      </c>
      <c r="U165" s="646" t="s">
        <v>67</v>
      </c>
      <c r="V165" s="640">
        <v>0</v>
      </c>
      <c r="W165" s="647">
        <v>0</v>
      </c>
      <c r="X165" s="647">
        <v>0</v>
      </c>
      <c r="Y165" s="640">
        <v>0</v>
      </c>
      <c r="Z165" s="640">
        <v>0</v>
      </c>
      <c r="AA165" s="640">
        <v>0</v>
      </c>
      <c r="AB165" s="640">
        <v>0</v>
      </c>
      <c r="AC165" s="640">
        <v>0</v>
      </c>
      <c r="AD165" s="640">
        <v>0</v>
      </c>
      <c r="AE165" s="640">
        <v>0</v>
      </c>
      <c r="AF165" s="640">
        <v>0</v>
      </c>
      <c r="AG165" s="640">
        <v>0</v>
      </c>
      <c r="AH165" s="640">
        <v>0</v>
      </c>
      <c r="AI165" s="640">
        <v>0</v>
      </c>
      <c r="AJ165" s="640">
        <v>0</v>
      </c>
      <c r="AK165" s="648">
        <v>0</v>
      </c>
    </row>
    <row r="166" spans="3:37" x14ac:dyDescent="0.2">
      <c r="C166" s="646" t="s">
        <v>347</v>
      </c>
      <c r="D166" s="640">
        <v>2.8267856410252494</v>
      </c>
      <c r="E166" s="640">
        <v>0</v>
      </c>
      <c r="F166" s="640">
        <v>7.7941116668718937</v>
      </c>
      <c r="G166" s="640">
        <v>17.578475336322871</v>
      </c>
      <c r="H166" s="640">
        <v>1121.3636363636365</v>
      </c>
      <c r="I166" s="640">
        <v>207.57369132422022</v>
      </c>
      <c r="J166" s="649">
        <v>30.869450548245954</v>
      </c>
      <c r="K166" s="649">
        <v>7.6561165469613854</v>
      </c>
      <c r="L166" s="649">
        <v>2.2996832177069302</v>
      </c>
      <c r="M166" s="649">
        <v>0.47494016865067573</v>
      </c>
      <c r="N166" s="649">
        <v>0</v>
      </c>
      <c r="O166" s="649">
        <v>3.0833964576427819</v>
      </c>
      <c r="P166" s="640">
        <v>-607.79183020434141</v>
      </c>
      <c r="Q166" s="640">
        <v>0</v>
      </c>
      <c r="R166" s="640">
        <v>0</v>
      </c>
      <c r="S166" s="648">
        <v>793.72845706694284</v>
      </c>
      <c r="U166" s="646" t="s">
        <v>347</v>
      </c>
      <c r="V166" s="640">
        <v>0.62631490545869017</v>
      </c>
      <c r="W166" s="640">
        <v>0</v>
      </c>
      <c r="X166" s="640">
        <v>3.93047530323553</v>
      </c>
      <c r="Y166" s="640">
        <v>32.755695067264575</v>
      </c>
      <c r="Z166" s="640">
        <v>1024.3939393939395</v>
      </c>
      <c r="AA166" s="640">
        <v>228.1236913242202</v>
      </c>
      <c r="AB166" s="649">
        <v>25.192532039575013</v>
      </c>
      <c r="AC166" s="649">
        <v>7.1226809684101786</v>
      </c>
      <c r="AD166" s="649">
        <v>2.2996832177069302</v>
      </c>
      <c r="AE166" s="649">
        <v>5.010724922013905</v>
      </c>
      <c r="AF166" s="649">
        <v>0</v>
      </c>
      <c r="AG166" s="649">
        <v>3.0833964576427819</v>
      </c>
      <c r="AH166" s="640">
        <v>-605.04183020434141</v>
      </c>
      <c r="AI166" s="640">
        <v>0</v>
      </c>
      <c r="AJ166" s="640">
        <v>1.4249999999999998</v>
      </c>
      <c r="AK166" s="648">
        <v>728.92230339512548</v>
      </c>
    </row>
    <row r="167" spans="3:37" x14ac:dyDescent="0.2">
      <c r="C167" s="646" t="s">
        <v>348</v>
      </c>
      <c r="D167" s="640">
        <v>0</v>
      </c>
      <c r="E167" s="640">
        <v>0</v>
      </c>
      <c r="F167" s="640">
        <v>0</v>
      </c>
      <c r="G167" s="640">
        <v>15.306890454029709</v>
      </c>
      <c r="H167" s="640">
        <v>0</v>
      </c>
      <c r="I167" s="640">
        <v>0</v>
      </c>
      <c r="J167" s="649">
        <v>13.130836985616687</v>
      </c>
      <c r="K167" s="649">
        <v>12.274327089138302</v>
      </c>
      <c r="L167" s="649">
        <v>0</v>
      </c>
      <c r="M167" s="649">
        <v>0.32594257421966627</v>
      </c>
      <c r="N167" s="649">
        <v>0</v>
      </c>
      <c r="O167" s="649">
        <v>2.1777173090422202</v>
      </c>
      <c r="P167" s="640">
        <v>0</v>
      </c>
      <c r="Q167" s="640">
        <v>-38.962978394907431</v>
      </c>
      <c r="R167" s="640">
        <v>0</v>
      </c>
      <c r="S167" s="648">
        <v>4.2527360171391511</v>
      </c>
      <c r="U167" s="646" t="s">
        <v>348</v>
      </c>
      <c r="V167" s="640">
        <v>0</v>
      </c>
      <c r="W167" s="640">
        <v>0</v>
      </c>
      <c r="X167" s="640">
        <v>0</v>
      </c>
      <c r="Y167" s="640">
        <v>16.285163933286896</v>
      </c>
      <c r="Z167" s="640">
        <v>0</v>
      </c>
      <c r="AA167" s="640">
        <v>0</v>
      </c>
      <c r="AB167" s="649">
        <v>27.330859307935192</v>
      </c>
      <c r="AC167" s="649">
        <v>24.40929016388429</v>
      </c>
      <c r="AD167" s="649">
        <v>0</v>
      </c>
      <c r="AE167" s="649">
        <v>2.4469723551258755</v>
      </c>
      <c r="AF167" s="649">
        <v>0</v>
      </c>
      <c r="AG167" s="649">
        <v>7.1814032045118834</v>
      </c>
      <c r="AH167" s="640">
        <v>0</v>
      </c>
      <c r="AI167" s="640">
        <v>-70.686462815005612</v>
      </c>
      <c r="AJ167" s="640">
        <v>0</v>
      </c>
      <c r="AK167" s="648">
        <v>6.967226149738531</v>
      </c>
    </row>
    <row r="168" spans="3:37" x14ac:dyDescent="0.2">
      <c r="C168" s="646" t="s">
        <v>349</v>
      </c>
      <c r="D168" s="640">
        <v>0</v>
      </c>
      <c r="E168" s="640">
        <v>0</v>
      </c>
      <c r="F168" s="640">
        <v>0</v>
      </c>
      <c r="G168" s="640">
        <v>0</v>
      </c>
      <c r="H168" s="640">
        <v>0</v>
      </c>
      <c r="I168" s="640">
        <v>0</v>
      </c>
      <c r="J168" s="650">
        <v>7.549386302639002</v>
      </c>
      <c r="K168" s="650">
        <v>0</v>
      </c>
      <c r="L168" s="650">
        <v>0</v>
      </c>
      <c r="M168" s="650">
        <v>-6.6642207586545794</v>
      </c>
      <c r="N168" s="650">
        <v>0</v>
      </c>
      <c r="O168" s="650">
        <v>0</v>
      </c>
      <c r="P168" s="640">
        <v>0</v>
      </c>
      <c r="Q168" s="640">
        <v>0</v>
      </c>
      <c r="R168" s="640">
        <v>0</v>
      </c>
      <c r="S168" s="648">
        <v>0.8851655439844226</v>
      </c>
      <c r="U168" s="646" t="s">
        <v>349</v>
      </c>
      <c r="V168" s="640">
        <v>0</v>
      </c>
      <c r="W168" s="640">
        <v>0</v>
      </c>
      <c r="X168" s="640">
        <v>0</v>
      </c>
      <c r="Y168" s="640">
        <v>0</v>
      </c>
      <c r="Z168" s="640">
        <v>0</v>
      </c>
      <c r="AA168" s="640">
        <v>0</v>
      </c>
      <c r="AB168" s="650">
        <v>39.489443827479029</v>
      </c>
      <c r="AC168" s="650">
        <v>0</v>
      </c>
      <c r="AD168" s="650">
        <v>0</v>
      </c>
      <c r="AE168" s="650">
        <v>-34.859306538707116</v>
      </c>
      <c r="AF168" s="650">
        <v>0</v>
      </c>
      <c r="AG168" s="650">
        <v>0</v>
      </c>
      <c r="AH168" s="640">
        <v>0</v>
      </c>
      <c r="AI168" s="640">
        <v>0</v>
      </c>
      <c r="AJ168" s="640">
        <v>0</v>
      </c>
      <c r="AK168" s="648">
        <v>4.6301372887719126</v>
      </c>
    </row>
    <row r="169" spans="3:37" x14ac:dyDescent="0.2">
      <c r="C169" s="646" t="s">
        <v>350</v>
      </c>
      <c r="D169" s="640">
        <v>0</v>
      </c>
      <c r="E169" s="640">
        <v>0</v>
      </c>
      <c r="F169" s="640">
        <v>0</v>
      </c>
      <c r="G169" s="640">
        <v>0</v>
      </c>
      <c r="H169" s="640">
        <v>0</v>
      </c>
      <c r="I169" s="640">
        <v>0</v>
      </c>
      <c r="J169" s="640">
        <v>0</v>
      </c>
      <c r="K169" s="640">
        <v>0</v>
      </c>
      <c r="L169" s="640">
        <v>0</v>
      </c>
      <c r="M169" s="640">
        <v>0</v>
      </c>
      <c r="N169" s="640">
        <v>0</v>
      </c>
      <c r="O169" s="640">
        <v>0</v>
      </c>
      <c r="P169" s="640">
        <v>0</v>
      </c>
      <c r="Q169" s="640">
        <v>0</v>
      </c>
      <c r="R169" s="640">
        <v>0</v>
      </c>
      <c r="S169" s="648">
        <v>0</v>
      </c>
      <c r="U169" s="646" t="s">
        <v>350</v>
      </c>
      <c r="V169" s="640">
        <v>0</v>
      </c>
      <c r="W169" s="640">
        <v>0</v>
      </c>
      <c r="X169" s="640">
        <v>0</v>
      </c>
      <c r="Y169" s="640">
        <v>0</v>
      </c>
      <c r="Z169" s="640">
        <v>0</v>
      </c>
      <c r="AA169" s="640">
        <v>0</v>
      </c>
      <c r="AB169" s="640">
        <v>0</v>
      </c>
      <c r="AC169" s="640">
        <v>0</v>
      </c>
      <c r="AD169" s="640">
        <v>0</v>
      </c>
      <c r="AE169" s="640">
        <v>0</v>
      </c>
      <c r="AF169" s="640">
        <v>0</v>
      </c>
      <c r="AG169" s="640">
        <v>0</v>
      </c>
      <c r="AH169" s="640">
        <v>0</v>
      </c>
      <c r="AI169" s="640">
        <v>0</v>
      </c>
      <c r="AJ169" s="640">
        <v>0</v>
      </c>
      <c r="AK169" s="648">
        <v>0</v>
      </c>
    </row>
    <row r="170" spans="3:37" x14ac:dyDescent="0.2">
      <c r="C170" s="646" t="s">
        <v>72</v>
      </c>
      <c r="D170" s="640">
        <v>0</v>
      </c>
      <c r="E170" s="640">
        <v>550.85495716936975</v>
      </c>
      <c r="F170" s="640">
        <v>-545.34640759767603</v>
      </c>
      <c r="G170" s="640">
        <v>0</v>
      </c>
      <c r="H170" s="640">
        <v>0</v>
      </c>
      <c r="I170" s="640">
        <v>0</v>
      </c>
      <c r="J170" s="640">
        <v>0</v>
      </c>
      <c r="K170" s="640">
        <v>0</v>
      </c>
      <c r="L170" s="640">
        <v>0</v>
      </c>
      <c r="M170" s="640">
        <v>0</v>
      </c>
      <c r="N170" s="640">
        <v>0</v>
      </c>
      <c r="O170" s="640">
        <v>0</v>
      </c>
      <c r="P170" s="640">
        <v>0</v>
      </c>
      <c r="Q170" s="640">
        <v>0</v>
      </c>
      <c r="R170" s="640">
        <v>0</v>
      </c>
      <c r="S170" s="648">
        <v>5.5085495716937203</v>
      </c>
      <c r="U170" s="646" t="s">
        <v>72</v>
      </c>
      <c r="V170" s="640">
        <v>0</v>
      </c>
      <c r="W170" s="640">
        <v>386.55581999113582</v>
      </c>
      <c r="X170" s="640">
        <v>-382.69026179122449</v>
      </c>
      <c r="Y170" s="640">
        <v>0</v>
      </c>
      <c r="Z170" s="640">
        <v>0</v>
      </c>
      <c r="AA170" s="640">
        <v>0</v>
      </c>
      <c r="AB170" s="640">
        <v>0</v>
      </c>
      <c r="AC170" s="640">
        <v>0</v>
      </c>
      <c r="AD170" s="640">
        <v>0</v>
      </c>
      <c r="AE170" s="640">
        <v>0</v>
      </c>
      <c r="AF170" s="640">
        <v>0</v>
      </c>
      <c r="AG170" s="640">
        <v>0</v>
      </c>
      <c r="AH170" s="640">
        <v>0</v>
      </c>
      <c r="AI170" s="640">
        <v>0</v>
      </c>
      <c r="AJ170" s="640">
        <v>0</v>
      </c>
      <c r="AK170" s="648">
        <v>3.8655581999113338</v>
      </c>
    </row>
    <row r="171" spans="3:37" x14ac:dyDescent="0.2">
      <c r="C171" s="646" t="s">
        <v>351</v>
      </c>
      <c r="D171" s="640">
        <v>0</v>
      </c>
      <c r="E171" s="640">
        <v>0</v>
      </c>
      <c r="F171" s="640">
        <v>0</v>
      </c>
      <c r="G171" s="640">
        <v>0</v>
      </c>
      <c r="H171" s="640">
        <v>0</v>
      </c>
      <c r="I171" s="640">
        <v>0</v>
      </c>
      <c r="J171" s="640">
        <v>34.694031238964726</v>
      </c>
      <c r="K171" s="640">
        <v>0</v>
      </c>
      <c r="L171" s="640">
        <v>-34.694031238964726</v>
      </c>
      <c r="M171" s="640">
        <v>0</v>
      </c>
      <c r="N171" s="640">
        <v>0</v>
      </c>
      <c r="O171" s="640">
        <v>0</v>
      </c>
      <c r="P171" s="640">
        <v>0</v>
      </c>
      <c r="Q171" s="640">
        <v>0</v>
      </c>
      <c r="R171" s="640">
        <v>0</v>
      </c>
      <c r="S171" s="648">
        <v>0</v>
      </c>
      <c r="U171" s="646" t="s">
        <v>351</v>
      </c>
      <c r="V171" s="640">
        <v>0</v>
      </c>
      <c r="W171" s="640">
        <v>0</v>
      </c>
      <c r="X171" s="640">
        <v>0</v>
      </c>
      <c r="Y171" s="640">
        <v>0</v>
      </c>
      <c r="Z171" s="640">
        <v>0</v>
      </c>
      <c r="AA171" s="640">
        <v>0</v>
      </c>
      <c r="AB171" s="640" t="e">
        <v>#VALUE!</v>
      </c>
      <c r="AC171" s="640">
        <v>0</v>
      </c>
      <c r="AD171" s="640">
        <v>-64.13008508665132</v>
      </c>
      <c r="AE171" s="640">
        <v>0</v>
      </c>
      <c r="AF171" s="640">
        <v>0</v>
      </c>
      <c r="AG171" s="640">
        <v>0</v>
      </c>
      <c r="AH171" s="640">
        <v>0</v>
      </c>
      <c r="AI171" s="640">
        <v>0</v>
      </c>
      <c r="AJ171" s="640">
        <v>0</v>
      </c>
      <c r="AK171" s="648">
        <v>-64.13008508665132</v>
      </c>
    </row>
    <row r="172" spans="3:37" x14ac:dyDescent="0.2">
      <c r="C172" s="646" t="s">
        <v>352</v>
      </c>
      <c r="D172" s="640">
        <v>0</v>
      </c>
      <c r="E172" s="640">
        <v>0</v>
      </c>
      <c r="F172" s="640">
        <v>0</v>
      </c>
      <c r="G172" s="640">
        <v>0</v>
      </c>
      <c r="H172" s="640">
        <v>0</v>
      </c>
      <c r="I172" s="640">
        <v>0</v>
      </c>
      <c r="J172" s="640">
        <v>0</v>
      </c>
      <c r="K172" s="640">
        <v>0</v>
      </c>
      <c r="L172" s="640">
        <v>0</v>
      </c>
      <c r="M172" s="640">
        <v>0</v>
      </c>
      <c r="N172" s="640">
        <v>0</v>
      </c>
      <c r="O172" s="640">
        <v>0</v>
      </c>
      <c r="P172" s="640">
        <v>0</v>
      </c>
      <c r="Q172" s="640">
        <v>0</v>
      </c>
      <c r="R172" s="640">
        <v>0</v>
      </c>
      <c r="S172" s="648">
        <v>0</v>
      </c>
      <c r="U172" s="646" t="s">
        <v>352</v>
      </c>
      <c r="V172" s="640">
        <v>0</v>
      </c>
      <c r="W172" s="640">
        <v>0</v>
      </c>
      <c r="X172" s="640">
        <v>0</v>
      </c>
      <c r="Y172" s="640">
        <v>0</v>
      </c>
      <c r="Z172" s="640">
        <v>0</v>
      </c>
      <c r="AA172" s="640">
        <v>0</v>
      </c>
      <c r="AB172" s="640">
        <v>0</v>
      </c>
      <c r="AC172" s="640">
        <v>0</v>
      </c>
      <c r="AD172" s="640">
        <v>-12.704571841330187</v>
      </c>
      <c r="AE172" s="640">
        <v>0</v>
      </c>
      <c r="AF172" s="640">
        <v>0</v>
      </c>
      <c r="AG172" s="640">
        <v>0</v>
      </c>
      <c r="AH172" s="640">
        <v>0</v>
      </c>
      <c r="AI172" s="640">
        <v>0</v>
      </c>
      <c r="AJ172" s="640">
        <v>0</v>
      </c>
      <c r="AK172" s="648">
        <v>-12.704571841330187</v>
      </c>
    </row>
    <row r="173" spans="3:37" x14ac:dyDescent="0.2">
      <c r="C173" s="646" t="s">
        <v>73</v>
      </c>
      <c r="D173" s="640">
        <v>0</v>
      </c>
      <c r="E173" s="640">
        <v>0</v>
      </c>
      <c r="F173" s="640">
        <v>0</v>
      </c>
      <c r="G173" s="640">
        <v>2.1153211001028303</v>
      </c>
      <c r="H173" s="640">
        <v>0</v>
      </c>
      <c r="I173" s="640">
        <v>0</v>
      </c>
      <c r="J173" s="640">
        <v>0</v>
      </c>
      <c r="K173" s="640">
        <v>2.387711193000305E-2</v>
      </c>
      <c r="L173" s="640">
        <v>0</v>
      </c>
      <c r="M173" s="640">
        <v>4.3169818369445515E-2</v>
      </c>
      <c r="N173" s="640">
        <v>0</v>
      </c>
      <c r="O173" s="640">
        <v>0</v>
      </c>
      <c r="P173" s="640">
        <v>0.21762333659139796</v>
      </c>
      <c r="Q173" s="640">
        <v>0</v>
      </c>
      <c r="R173" s="640">
        <v>-1.6713978351002134</v>
      </c>
      <c r="S173" s="648">
        <v>0.72859353189346332</v>
      </c>
      <c r="U173" s="646" t="s">
        <v>73</v>
      </c>
      <c r="V173" s="640">
        <v>0</v>
      </c>
      <c r="W173" s="640">
        <v>0</v>
      </c>
      <c r="X173" s="640">
        <v>0</v>
      </c>
      <c r="Y173" s="640">
        <v>5.6183676161021641</v>
      </c>
      <c r="Z173" s="640">
        <v>0</v>
      </c>
      <c r="AA173" s="640">
        <v>0</v>
      </c>
      <c r="AB173" s="640">
        <v>0</v>
      </c>
      <c r="AC173" s="640">
        <v>0.19393074509344391</v>
      </c>
      <c r="AD173" s="640">
        <v>0</v>
      </c>
      <c r="AE173" s="640">
        <v>0.83952619550951879</v>
      </c>
      <c r="AF173" s="640">
        <v>0</v>
      </c>
      <c r="AG173" s="640">
        <v>0</v>
      </c>
      <c r="AH173" s="640">
        <v>13.50321720945872</v>
      </c>
      <c r="AI173" s="640">
        <v>0</v>
      </c>
      <c r="AJ173" s="640">
        <v>-13.575152156541073</v>
      </c>
      <c r="AK173" s="648">
        <v>6.579889609622775</v>
      </c>
    </row>
    <row r="174" spans="3:37" x14ac:dyDescent="0.2">
      <c r="C174" s="646" t="s">
        <v>353</v>
      </c>
      <c r="D174" s="640">
        <v>28.669681406249996</v>
      </c>
      <c r="E174" s="640">
        <v>-19.087124265918664</v>
      </c>
      <c r="F174" s="640">
        <v>24.964831154950382</v>
      </c>
      <c r="G174" s="640">
        <v>0</v>
      </c>
      <c r="H174" s="640">
        <v>0</v>
      </c>
      <c r="I174" s="640">
        <v>0</v>
      </c>
      <c r="J174" s="640">
        <v>0</v>
      </c>
      <c r="K174" s="640">
        <v>0</v>
      </c>
      <c r="L174" s="640">
        <v>0</v>
      </c>
      <c r="M174" s="640">
        <v>0</v>
      </c>
      <c r="N174" s="640">
        <v>0</v>
      </c>
      <c r="O174" s="640">
        <v>0</v>
      </c>
      <c r="P174" s="640">
        <v>0</v>
      </c>
      <c r="Q174" s="640">
        <v>0</v>
      </c>
      <c r="R174" s="640">
        <v>0</v>
      </c>
      <c r="S174" s="648">
        <v>34.547388295281714</v>
      </c>
      <c r="U174" s="646" t="s">
        <v>353</v>
      </c>
      <c r="V174" s="640">
        <v>4.3307530517578128</v>
      </c>
      <c r="W174" s="640">
        <v>-13.394159162692858</v>
      </c>
      <c r="X174" s="640">
        <v>17.518769056071054</v>
      </c>
      <c r="Y174" s="640">
        <v>0</v>
      </c>
      <c r="Z174" s="640">
        <v>0</v>
      </c>
      <c r="AA174" s="640">
        <v>0</v>
      </c>
      <c r="AB174" s="640">
        <v>0</v>
      </c>
      <c r="AC174" s="640">
        <v>0</v>
      </c>
      <c r="AD174" s="640">
        <v>0</v>
      </c>
      <c r="AE174" s="640">
        <v>0</v>
      </c>
      <c r="AF174" s="640">
        <v>0</v>
      </c>
      <c r="AG174" s="640">
        <v>0</v>
      </c>
      <c r="AH174" s="640">
        <v>0</v>
      </c>
      <c r="AI174" s="640">
        <v>0</v>
      </c>
      <c r="AJ174" s="640">
        <v>0</v>
      </c>
      <c r="AK174" s="648">
        <v>8.4553629451360095</v>
      </c>
    </row>
    <row r="175" spans="3:37" x14ac:dyDescent="0.2">
      <c r="C175" s="646" t="s">
        <v>75</v>
      </c>
      <c r="D175" s="640">
        <v>11.149320546875</v>
      </c>
      <c r="E175" s="640">
        <v>0</v>
      </c>
      <c r="F175" s="640">
        <v>18.729068543758572</v>
      </c>
      <c r="G175" s="640">
        <v>5.3443947944572248</v>
      </c>
      <c r="H175" s="640">
        <v>0</v>
      </c>
      <c r="I175" s="640">
        <v>0</v>
      </c>
      <c r="J175" s="640">
        <v>0</v>
      </c>
      <c r="K175" s="640">
        <v>0</v>
      </c>
      <c r="L175" s="640">
        <v>0</v>
      </c>
      <c r="M175" s="640">
        <v>0.10906928151953521</v>
      </c>
      <c r="N175" s="640">
        <v>0</v>
      </c>
      <c r="O175" s="640">
        <v>0</v>
      </c>
      <c r="P175" s="640">
        <v>34.631314570260251</v>
      </c>
      <c r="Q175" s="640">
        <v>0</v>
      </c>
      <c r="R175" s="640">
        <v>0</v>
      </c>
      <c r="S175" s="648">
        <v>69.963167736870574</v>
      </c>
      <c r="U175" s="646" t="s">
        <v>75</v>
      </c>
      <c r="V175" s="640">
        <v>4.9205957031249996</v>
      </c>
      <c r="W175" s="640">
        <v>0</v>
      </c>
      <c r="X175" s="640">
        <v>18.729068543758572</v>
      </c>
      <c r="Y175" s="640">
        <v>4.7445137460997815</v>
      </c>
      <c r="Z175" s="640">
        <v>0</v>
      </c>
      <c r="AA175" s="640">
        <v>0</v>
      </c>
      <c r="AB175" s="640">
        <v>0</v>
      </c>
      <c r="AC175" s="640">
        <v>0</v>
      </c>
      <c r="AD175" s="640">
        <v>0</v>
      </c>
      <c r="AE175" s="640">
        <v>0.70895032987697881</v>
      </c>
      <c r="AF175" s="640">
        <v>0</v>
      </c>
      <c r="AG175" s="640">
        <v>0</v>
      </c>
      <c r="AH175" s="640">
        <v>32.716541842987525</v>
      </c>
      <c r="AI175" s="640">
        <v>0</v>
      </c>
      <c r="AJ175" s="640">
        <v>0</v>
      </c>
      <c r="AK175" s="648">
        <v>61.819670165847853</v>
      </c>
    </row>
    <row r="176" spans="3:37" x14ac:dyDescent="0.2">
      <c r="C176" s="646" t="s">
        <v>76</v>
      </c>
      <c r="D176" s="640">
        <v>0</v>
      </c>
      <c r="E176" s="640">
        <v>0</v>
      </c>
      <c r="F176" s="640">
        <v>0</v>
      </c>
      <c r="G176" s="640">
        <v>3.8720966463328983</v>
      </c>
      <c r="H176" s="640">
        <v>0</v>
      </c>
      <c r="I176" s="640">
        <v>0</v>
      </c>
      <c r="J176" s="640">
        <v>0</v>
      </c>
      <c r="K176" s="640">
        <v>0</v>
      </c>
      <c r="L176" s="640">
        <v>0</v>
      </c>
      <c r="M176" s="640">
        <v>7.9022380537406095E-2</v>
      </c>
      <c r="N176" s="640">
        <v>0</v>
      </c>
      <c r="O176" s="640">
        <v>0</v>
      </c>
      <c r="P176" s="640">
        <v>41.938968757160723</v>
      </c>
      <c r="Q176" s="640">
        <v>3.0236871210614171</v>
      </c>
      <c r="R176" s="640">
        <v>0</v>
      </c>
      <c r="S176" s="648">
        <v>48.913774905092438</v>
      </c>
      <c r="U176" s="646" t="s">
        <v>76</v>
      </c>
      <c r="V176" s="640">
        <v>0</v>
      </c>
      <c r="W176" s="640">
        <v>0</v>
      </c>
      <c r="X176" s="640">
        <v>0</v>
      </c>
      <c r="Y176" s="640">
        <v>2.7662751616304524</v>
      </c>
      <c r="Z176" s="640">
        <v>0</v>
      </c>
      <c r="AA176" s="640">
        <v>0</v>
      </c>
      <c r="AB176" s="640">
        <v>0</v>
      </c>
      <c r="AC176" s="640">
        <v>0</v>
      </c>
      <c r="AD176" s="640">
        <v>0</v>
      </c>
      <c r="AE176" s="640">
        <v>0.41335146093328595</v>
      </c>
      <c r="AF176" s="640">
        <v>0</v>
      </c>
      <c r="AG176" s="640">
        <v>0</v>
      </c>
      <c r="AH176" s="640">
        <v>43.009166954325586</v>
      </c>
      <c r="AI176" s="640">
        <v>5.481964511548731</v>
      </c>
      <c r="AJ176" s="640">
        <v>0</v>
      </c>
      <c r="AK176" s="648">
        <v>51.670758088438056</v>
      </c>
    </row>
    <row r="177" spans="3:37" x14ac:dyDescent="0.2">
      <c r="C177" s="644" t="s">
        <v>77</v>
      </c>
      <c r="D177" s="645">
        <v>42.645787594150242</v>
      </c>
      <c r="E177" s="645">
        <v>531.76783290345111</v>
      </c>
      <c r="F177" s="645">
        <v>-493.85839623209517</v>
      </c>
      <c r="G177" s="645">
        <v>44.217178331245535</v>
      </c>
      <c r="H177" s="645">
        <v>1121.3636363636365</v>
      </c>
      <c r="I177" s="645">
        <v>207.57369132422022</v>
      </c>
      <c r="J177" s="645">
        <v>86.243705075466366</v>
      </c>
      <c r="K177" s="645">
        <v>19.954320748029687</v>
      </c>
      <c r="L177" s="645">
        <v>-32.394348021257798</v>
      </c>
      <c r="M177" s="645">
        <v>-5.6320765353578501</v>
      </c>
      <c r="N177" s="645">
        <v>0</v>
      </c>
      <c r="O177" s="645">
        <v>5.2611137666850016</v>
      </c>
      <c r="P177" s="645">
        <v>-531.00392354032908</v>
      </c>
      <c r="Q177" s="645">
        <v>-35.939291273846017</v>
      </c>
      <c r="R177" s="645">
        <v>-1.6713978351002134</v>
      </c>
      <c r="S177" s="645">
        <v>958.52783266889833</v>
      </c>
      <c r="U177" s="644" t="s">
        <v>77</v>
      </c>
      <c r="V177" s="645">
        <v>9.8776636603415024</v>
      </c>
      <c r="W177" s="645">
        <v>373.16166082844296</v>
      </c>
      <c r="X177" s="645">
        <v>-342.51194888815934</v>
      </c>
      <c r="Y177" s="645">
        <v>62.170015524383871</v>
      </c>
      <c r="Z177" s="645">
        <v>1024.3939393939395</v>
      </c>
      <c r="AA177" s="645">
        <v>228.1236913242202</v>
      </c>
      <c r="AB177" s="645">
        <v>92.01283517498922</v>
      </c>
      <c r="AC177" s="645">
        <v>31.725901877387908</v>
      </c>
      <c r="AD177" s="645">
        <v>-74.534973710274585</v>
      </c>
      <c r="AE177" s="645">
        <v>-25.439781275247555</v>
      </c>
      <c r="AF177" s="645">
        <v>0</v>
      </c>
      <c r="AG177" s="645">
        <v>10.264799662154665</v>
      </c>
      <c r="AH177" s="645">
        <v>-515.81290419756954</v>
      </c>
      <c r="AI177" s="645">
        <v>-65.204498303456887</v>
      </c>
      <c r="AJ177" s="645">
        <v>-12.150152156541072</v>
      </c>
      <c r="AK177" s="645">
        <v>796.07624891461057</v>
      </c>
    </row>
    <row r="178" spans="3:37" x14ac:dyDescent="0.2">
      <c r="C178" s="634"/>
      <c r="D178" s="634">
        <v>0</v>
      </c>
      <c r="E178" s="634">
        <v>0</v>
      </c>
      <c r="F178" s="634">
        <v>0</v>
      </c>
      <c r="G178" s="634">
        <v>0</v>
      </c>
      <c r="H178" s="634">
        <v>0</v>
      </c>
      <c r="I178" s="634">
        <v>0</v>
      </c>
      <c r="J178" s="634">
        <v>0</v>
      </c>
      <c r="K178" s="634">
        <v>0</v>
      </c>
      <c r="L178" s="634">
        <v>0</v>
      </c>
      <c r="M178" s="634">
        <v>0</v>
      </c>
      <c r="N178" s="634">
        <v>0</v>
      </c>
      <c r="O178" s="634">
        <v>0</v>
      </c>
      <c r="P178" s="634">
        <v>0</v>
      </c>
      <c r="Q178" s="634">
        <v>0</v>
      </c>
      <c r="R178" s="634">
        <v>0</v>
      </c>
      <c r="S178" s="634">
        <v>0</v>
      </c>
      <c r="U178" s="634"/>
      <c r="V178" s="634">
        <v>0</v>
      </c>
      <c r="W178" s="634">
        <v>0</v>
      </c>
      <c r="X178" s="634">
        <v>0</v>
      </c>
      <c r="Y178" s="634">
        <v>0</v>
      </c>
      <c r="Z178" s="634">
        <v>0</v>
      </c>
      <c r="AA178" s="634">
        <v>0</v>
      </c>
      <c r="AB178" s="634">
        <v>0</v>
      </c>
      <c r="AC178" s="634">
        <v>0</v>
      </c>
      <c r="AD178" s="634">
        <v>0</v>
      </c>
      <c r="AE178" s="634">
        <v>0</v>
      </c>
      <c r="AF178" s="634">
        <v>0</v>
      </c>
      <c r="AG178" s="634">
        <v>0</v>
      </c>
      <c r="AH178" s="634">
        <v>0</v>
      </c>
      <c r="AI178" s="634">
        <v>0</v>
      </c>
      <c r="AJ178" s="634">
        <v>0</v>
      </c>
      <c r="AK178" s="634">
        <v>0</v>
      </c>
    </row>
    <row r="179" spans="3:37" x14ac:dyDescent="0.2">
      <c r="C179" s="646" t="s">
        <v>78</v>
      </c>
      <c r="D179" s="640">
        <v>6.3476756101286895</v>
      </c>
      <c r="E179" s="640">
        <v>0</v>
      </c>
      <c r="F179" s="640">
        <v>23.963924152830415</v>
      </c>
      <c r="G179" s="640">
        <v>102.72602750235836</v>
      </c>
      <c r="H179" s="640">
        <v>0</v>
      </c>
      <c r="I179" s="640">
        <v>0</v>
      </c>
      <c r="J179" s="640">
        <v>19.164817057512749</v>
      </c>
      <c r="K179" s="640">
        <v>1.7769703360109936</v>
      </c>
      <c r="L179" s="640">
        <v>0.86552810351562492</v>
      </c>
      <c r="M179" s="640">
        <v>2.1151614516362294</v>
      </c>
      <c r="N179" s="640">
        <v>0</v>
      </c>
      <c r="O179" s="640">
        <v>3.8147295409713907E-4</v>
      </c>
      <c r="P179" s="640">
        <v>109.69856944385172</v>
      </c>
      <c r="Q179" s="640">
        <v>16.190109766233334</v>
      </c>
      <c r="R179" s="640">
        <v>0.34118215942382812</v>
      </c>
      <c r="S179" s="648">
        <v>283.19034705645606</v>
      </c>
      <c r="U179" s="646" t="s">
        <v>78</v>
      </c>
      <c r="V179" s="640">
        <v>0.96947057486293287</v>
      </c>
      <c r="W179" s="640">
        <v>0</v>
      </c>
      <c r="X179" s="640">
        <v>14.423852836289303</v>
      </c>
      <c r="Y179" s="640">
        <v>71.911931163769523</v>
      </c>
      <c r="Z179" s="640">
        <v>0</v>
      </c>
      <c r="AA179" s="640">
        <v>0</v>
      </c>
      <c r="AB179" s="640">
        <v>16.641526349557349</v>
      </c>
      <c r="AC179" s="640">
        <v>5.8374337597773929</v>
      </c>
      <c r="AD179" s="640">
        <v>1.8190377949218752</v>
      </c>
      <c r="AE179" s="640">
        <v>10.764172889266069</v>
      </c>
      <c r="AF179" s="640">
        <v>0</v>
      </c>
      <c r="AG179" s="640">
        <v>3.8147295409713907E-4</v>
      </c>
      <c r="AH179" s="640">
        <v>133.35975359263318</v>
      </c>
      <c r="AI179" s="640">
        <v>21.024156518221293</v>
      </c>
      <c r="AJ179" s="640">
        <v>5.3802006835937499</v>
      </c>
      <c r="AK179" s="648">
        <v>282.13191763584672</v>
      </c>
    </row>
    <row r="180" spans="3:37" x14ac:dyDescent="0.2">
      <c r="C180" s="646" t="s">
        <v>79</v>
      </c>
      <c r="D180" s="640">
        <v>0</v>
      </c>
      <c r="E180" s="640">
        <v>0</v>
      </c>
      <c r="F180" s="640">
        <v>312.50052508879821</v>
      </c>
      <c r="G180" s="640">
        <v>20.28727706696608</v>
      </c>
      <c r="H180" s="640">
        <v>0</v>
      </c>
      <c r="I180" s="640">
        <v>0</v>
      </c>
      <c r="J180" s="640">
        <v>0</v>
      </c>
      <c r="K180" s="640">
        <v>0</v>
      </c>
      <c r="L180" s="640">
        <v>30.35479180755361</v>
      </c>
      <c r="M180" s="640">
        <v>0.41402606259114449</v>
      </c>
      <c r="N180" s="640">
        <v>0</v>
      </c>
      <c r="O180" s="640">
        <v>0</v>
      </c>
      <c r="P180" s="640">
        <v>40.087101502259863</v>
      </c>
      <c r="Q180" s="640">
        <v>0</v>
      </c>
      <c r="R180" s="640">
        <v>0.80956479691939642</v>
      </c>
      <c r="S180" s="648">
        <v>404.45328632508824</v>
      </c>
      <c r="U180" s="646" t="s">
        <v>79</v>
      </c>
      <c r="V180" s="640">
        <v>0</v>
      </c>
      <c r="W180" s="640">
        <v>0</v>
      </c>
      <c r="X180" s="640">
        <v>200.27592241910855</v>
      </c>
      <c r="Y180" s="640">
        <v>16.649550205830046</v>
      </c>
      <c r="Z180" s="640">
        <v>0</v>
      </c>
      <c r="AA180" s="640">
        <v>0</v>
      </c>
      <c r="AB180" s="640">
        <v>0</v>
      </c>
      <c r="AC180" s="640">
        <v>0</v>
      </c>
      <c r="AD180" s="640">
        <v>44.40579181284334</v>
      </c>
      <c r="AE180" s="640">
        <v>2.5923432302996523</v>
      </c>
      <c r="AF180" s="640">
        <v>0</v>
      </c>
      <c r="AG180" s="640">
        <v>0</v>
      </c>
      <c r="AH180" s="640">
        <v>50.411052136241274</v>
      </c>
      <c r="AI180" s="640">
        <v>0</v>
      </c>
      <c r="AJ180" s="640">
        <v>1.5849058336758</v>
      </c>
      <c r="AK180" s="648">
        <v>315.91956563799869</v>
      </c>
    </row>
    <row r="181" spans="3:37" x14ac:dyDescent="0.2">
      <c r="C181" s="646" t="s">
        <v>80</v>
      </c>
      <c r="D181" s="640">
        <v>0</v>
      </c>
      <c r="E181" s="640">
        <v>0</v>
      </c>
      <c r="F181" s="640">
        <v>27.223306395871116</v>
      </c>
      <c r="G181" s="640">
        <v>94.787807272791255</v>
      </c>
      <c r="H181" s="640">
        <v>0</v>
      </c>
      <c r="I181" s="640">
        <v>0</v>
      </c>
      <c r="J181" s="640">
        <v>83.273177408961004</v>
      </c>
      <c r="K181" s="640">
        <v>0</v>
      </c>
      <c r="L181" s="640">
        <v>0</v>
      </c>
      <c r="M181" s="640">
        <v>1.9344450463834952</v>
      </c>
      <c r="N181" s="640">
        <v>46.067590504591024</v>
      </c>
      <c r="O181" s="640">
        <v>1.9582561857397398</v>
      </c>
      <c r="P181" s="640">
        <v>180.22551264292704</v>
      </c>
      <c r="Q181" s="640">
        <v>15.690776641240536</v>
      </c>
      <c r="R181" s="640">
        <v>0</v>
      </c>
      <c r="S181" s="648">
        <v>451.16087209850519</v>
      </c>
      <c r="U181" s="646" t="s">
        <v>80</v>
      </c>
      <c r="V181" s="640">
        <v>0</v>
      </c>
      <c r="W181" s="640">
        <v>0</v>
      </c>
      <c r="X181" s="640">
        <v>2.015713666762446</v>
      </c>
      <c r="Y181" s="640">
        <v>47.341776252628989</v>
      </c>
      <c r="Z181" s="640">
        <v>0</v>
      </c>
      <c r="AA181" s="640">
        <v>0</v>
      </c>
      <c r="AB181" s="640">
        <v>73.879452654225247</v>
      </c>
      <c r="AC181" s="640">
        <v>0</v>
      </c>
      <c r="AD181" s="640">
        <v>0</v>
      </c>
      <c r="AE181" s="640">
        <v>7.0740585205077799</v>
      </c>
      <c r="AF181" s="640">
        <v>56.247445771865117</v>
      </c>
      <c r="AG181" s="640">
        <v>2.3917818193760598</v>
      </c>
      <c r="AH181" s="640">
        <v>158.99417861004727</v>
      </c>
      <c r="AI181" s="640">
        <v>34.672503342788303</v>
      </c>
      <c r="AJ181" s="640">
        <v>0</v>
      </c>
      <c r="AK181" s="648">
        <v>382.61691063820126</v>
      </c>
    </row>
    <row r="182" spans="3:37" x14ac:dyDescent="0.2">
      <c r="C182" s="646" t="s">
        <v>81</v>
      </c>
      <c r="D182" s="640">
        <v>0</v>
      </c>
      <c r="E182" s="640">
        <v>0</v>
      </c>
      <c r="F182" s="640">
        <v>10.721858440723695</v>
      </c>
      <c r="G182" s="640">
        <v>62.595656083836779</v>
      </c>
      <c r="H182" s="640">
        <v>0</v>
      </c>
      <c r="I182" s="640">
        <v>0</v>
      </c>
      <c r="J182" s="640">
        <v>3.4596715414798309</v>
      </c>
      <c r="K182" s="640">
        <v>2.5030873755322387E-2</v>
      </c>
      <c r="L182" s="640">
        <v>0</v>
      </c>
      <c r="M182" s="640">
        <v>1.2774623690578935</v>
      </c>
      <c r="N182" s="640">
        <v>8.3421239681836319</v>
      </c>
      <c r="O182" s="640">
        <v>0.80110714509903691</v>
      </c>
      <c r="P182" s="640">
        <v>133.46461699259584</v>
      </c>
      <c r="Q182" s="640">
        <v>4.0584048663721433</v>
      </c>
      <c r="R182" s="640">
        <v>0</v>
      </c>
      <c r="S182" s="648">
        <v>224.74593228110413</v>
      </c>
      <c r="U182" s="646" t="s">
        <v>81</v>
      </c>
      <c r="V182" s="640">
        <v>0</v>
      </c>
      <c r="W182" s="640">
        <v>0</v>
      </c>
      <c r="X182" s="640">
        <v>3.1096233693990798</v>
      </c>
      <c r="Y182" s="640">
        <v>32.055438404613625</v>
      </c>
      <c r="Z182" s="640">
        <v>0</v>
      </c>
      <c r="AA182" s="640">
        <v>0</v>
      </c>
      <c r="AB182" s="640">
        <v>7.6606579921523004</v>
      </c>
      <c r="AC182" s="640">
        <v>2.5030873755322387E-2</v>
      </c>
      <c r="AD182" s="640">
        <v>0</v>
      </c>
      <c r="AE182" s="640">
        <v>4.7898930949422658</v>
      </c>
      <c r="AF182" s="640">
        <v>14.251121986476408</v>
      </c>
      <c r="AG182" s="640">
        <v>1.7168402703934114</v>
      </c>
      <c r="AH182" s="640">
        <v>121.34906004798763</v>
      </c>
      <c r="AI182" s="640">
        <v>9.5078384424472873</v>
      </c>
      <c r="AJ182" s="640">
        <v>0</v>
      </c>
      <c r="AK182" s="648">
        <v>194.46550448216732</v>
      </c>
    </row>
    <row r="183" spans="3:37" x14ac:dyDescent="0.2">
      <c r="C183" s="646" t="s">
        <v>82</v>
      </c>
      <c r="D183" s="640">
        <v>0</v>
      </c>
      <c r="E183" s="640">
        <v>0</v>
      </c>
      <c r="F183" s="640">
        <v>32.13207144146056</v>
      </c>
      <c r="G183" s="640">
        <v>1.9328709168763656</v>
      </c>
      <c r="H183" s="640">
        <v>0</v>
      </c>
      <c r="I183" s="640">
        <v>0</v>
      </c>
      <c r="J183" s="640">
        <v>2.05899706998358</v>
      </c>
      <c r="K183" s="640">
        <v>0</v>
      </c>
      <c r="L183" s="640">
        <v>2.6244824682898504</v>
      </c>
      <c r="M183" s="640">
        <v>3.9446345242374808E-2</v>
      </c>
      <c r="N183" s="640">
        <v>0</v>
      </c>
      <c r="O183" s="640">
        <v>8.070345812558942E-2</v>
      </c>
      <c r="P183" s="640">
        <v>7.3892266408052469</v>
      </c>
      <c r="Q183" s="640">
        <v>0</v>
      </c>
      <c r="R183" s="640">
        <v>0</v>
      </c>
      <c r="S183" s="648">
        <v>46.257798340783566</v>
      </c>
      <c r="U183" s="646" t="s">
        <v>82</v>
      </c>
      <c r="V183" s="640">
        <v>0</v>
      </c>
      <c r="W183" s="640">
        <v>0</v>
      </c>
      <c r="X183" s="640">
        <v>22.167558461996123</v>
      </c>
      <c r="Y183" s="640">
        <v>2.0916118720237509</v>
      </c>
      <c r="Z183" s="640">
        <v>0</v>
      </c>
      <c r="AA183" s="640">
        <v>0</v>
      </c>
      <c r="AB183" s="640">
        <v>2.05899706998358</v>
      </c>
      <c r="AC183" s="640">
        <v>0</v>
      </c>
      <c r="AD183" s="640">
        <v>14.821446231272425</v>
      </c>
      <c r="AE183" s="640">
        <v>0.31253970501504325</v>
      </c>
      <c r="AF183" s="640">
        <v>0</v>
      </c>
      <c r="AG183" s="640">
        <v>0.82781531321025892</v>
      </c>
      <c r="AH183" s="640">
        <v>7.4491158726448985</v>
      </c>
      <c r="AI183" s="640">
        <v>0</v>
      </c>
      <c r="AJ183" s="640">
        <v>0.21911019493558448</v>
      </c>
      <c r="AK183" s="648">
        <v>49.948194721081656</v>
      </c>
    </row>
    <row r="184" spans="3:37" x14ac:dyDescent="0.2">
      <c r="C184" s="646" t="s">
        <v>354</v>
      </c>
      <c r="D184" s="640">
        <v>0</v>
      </c>
      <c r="E184" s="640">
        <v>0</v>
      </c>
      <c r="F184" s="640">
        <v>0</v>
      </c>
      <c r="G184" s="640">
        <v>0</v>
      </c>
      <c r="H184" s="640">
        <v>0</v>
      </c>
      <c r="I184" s="640">
        <v>0</v>
      </c>
      <c r="J184" s="640">
        <v>0</v>
      </c>
      <c r="K184" s="640">
        <v>0</v>
      </c>
      <c r="L184" s="640">
        <v>0</v>
      </c>
      <c r="M184" s="640">
        <v>0</v>
      </c>
      <c r="N184" s="640">
        <v>0</v>
      </c>
      <c r="O184" s="640">
        <v>0</v>
      </c>
      <c r="P184" s="640">
        <v>0.13500000000000001</v>
      </c>
      <c r="Q184" s="640">
        <v>0</v>
      </c>
      <c r="R184" s="640">
        <v>0</v>
      </c>
      <c r="S184" s="648">
        <v>0.13500000000000001</v>
      </c>
      <c r="U184" s="646" t="s">
        <v>354</v>
      </c>
      <c r="V184" s="640">
        <v>0</v>
      </c>
      <c r="W184" s="640">
        <v>0</v>
      </c>
      <c r="X184" s="640">
        <v>0</v>
      </c>
      <c r="Y184" s="640">
        <v>0</v>
      </c>
      <c r="Z184" s="640">
        <v>0</v>
      </c>
      <c r="AA184" s="640">
        <v>0</v>
      </c>
      <c r="AB184" s="640">
        <v>0</v>
      </c>
      <c r="AC184" s="640">
        <v>0</v>
      </c>
      <c r="AD184" s="640">
        <v>0</v>
      </c>
      <c r="AE184" s="640">
        <v>0</v>
      </c>
      <c r="AF184" s="640">
        <v>0</v>
      </c>
      <c r="AG184" s="640">
        <v>0</v>
      </c>
      <c r="AH184" s="640">
        <v>0.96</v>
      </c>
      <c r="AI184" s="640">
        <v>0</v>
      </c>
      <c r="AJ184" s="640">
        <v>0</v>
      </c>
      <c r="AK184" s="648">
        <v>0.96</v>
      </c>
    </row>
    <row r="185" spans="3:37" x14ac:dyDescent="0.2">
      <c r="C185" s="644" t="s">
        <v>83</v>
      </c>
      <c r="D185" s="645">
        <v>6.3476756101286895</v>
      </c>
      <c r="E185" s="645">
        <v>0</v>
      </c>
      <c r="F185" s="645">
        <v>406.54168551968399</v>
      </c>
      <c r="G185" s="645">
        <v>282.32963884282884</v>
      </c>
      <c r="H185" s="645">
        <v>0</v>
      </c>
      <c r="I185" s="645">
        <v>0</v>
      </c>
      <c r="J185" s="645">
        <v>107.95666307793715</v>
      </c>
      <c r="K185" s="645">
        <v>1.8020012097663161</v>
      </c>
      <c r="L185" s="645">
        <v>33.844802379359088</v>
      </c>
      <c r="M185" s="645">
        <v>5.7805412749111369</v>
      </c>
      <c r="N185" s="645">
        <v>54.409714472774652</v>
      </c>
      <c r="O185" s="645">
        <v>2.8404482619184632</v>
      </c>
      <c r="P185" s="645">
        <v>471.00002722243971</v>
      </c>
      <c r="Q185" s="645">
        <v>35.93929127384601</v>
      </c>
      <c r="R185" s="645">
        <v>1.1507469563432244</v>
      </c>
      <c r="S185" s="645">
        <v>1409.9432361019371</v>
      </c>
      <c r="U185" s="644" t="s">
        <v>83</v>
      </c>
      <c r="V185" s="645">
        <v>0.96947057486293287</v>
      </c>
      <c r="W185" s="645">
        <v>0</v>
      </c>
      <c r="X185" s="645">
        <v>241.9926707535555</v>
      </c>
      <c r="Y185" s="645">
        <v>170.05030789886592</v>
      </c>
      <c r="Z185" s="645">
        <v>0</v>
      </c>
      <c r="AA185" s="645">
        <v>0</v>
      </c>
      <c r="AB185" s="645">
        <v>100.24063406591846</v>
      </c>
      <c r="AC185" s="645">
        <v>5.8624646335327153</v>
      </c>
      <c r="AD185" s="645">
        <v>61.046275839037641</v>
      </c>
      <c r="AE185" s="645">
        <v>25.533007440030815</v>
      </c>
      <c r="AF185" s="645">
        <v>70.498567758341522</v>
      </c>
      <c r="AG185" s="645">
        <v>4.9368188759338274</v>
      </c>
      <c r="AH185" s="645">
        <v>472.52316025955423</v>
      </c>
      <c r="AI185" s="645">
        <v>65.204498303456901</v>
      </c>
      <c r="AJ185" s="645">
        <v>7.184216712205135</v>
      </c>
      <c r="AK185" s="645">
        <v>1226.0420931152958</v>
      </c>
    </row>
    <row r="186" spans="3:37" x14ac:dyDescent="0.2">
      <c r="C186" s="639" t="s">
        <v>84</v>
      </c>
      <c r="D186" s="640">
        <v>0</v>
      </c>
      <c r="E186" s="640">
        <v>0</v>
      </c>
      <c r="F186" s="640">
        <v>117.0773058539918</v>
      </c>
      <c r="G186" s="640">
        <v>12.185345647681713</v>
      </c>
      <c r="H186" s="640">
        <v>0</v>
      </c>
      <c r="I186" s="640">
        <v>0</v>
      </c>
      <c r="J186" s="640">
        <v>0</v>
      </c>
      <c r="K186" s="640">
        <v>0</v>
      </c>
      <c r="L186" s="640">
        <v>0</v>
      </c>
      <c r="M186" s="640">
        <v>0</v>
      </c>
      <c r="N186" s="640">
        <v>0</v>
      </c>
      <c r="O186" s="640">
        <v>0</v>
      </c>
      <c r="P186" s="640">
        <v>0</v>
      </c>
      <c r="Q186" s="640">
        <v>0</v>
      </c>
      <c r="R186" s="640">
        <v>0.52065087875698901</v>
      </c>
      <c r="S186" s="648">
        <v>129.78330238043051</v>
      </c>
      <c r="U186" s="639" t="s">
        <v>84</v>
      </c>
      <c r="V186" s="640">
        <v>0</v>
      </c>
      <c r="W186" s="640">
        <v>0</v>
      </c>
      <c r="X186" s="640">
        <v>106.669872568297</v>
      </c>
      <c r="Y186" s="640">
        <v>1.6020598461664441</v>
      </c>
      <c r="Z186" s="640">
        <v>0</v>
      </c>
      <c r="AA186" s="640">
        <v>0</v>
      </c>
      <c r="AB186" s="640">
        <v>0</v>
      </c>
      <c r="AC186" s="640">
        <v>0</v>
      </c>
      <c r="AD186" s="640">
        <v>6.1061434912109362</v>
      </c>
      <c r="AE186" s="640">
        <v>0</v>
      </c>
      <c r="AF186" s="640">
        <v>0</v>
      </c>
      <c r="AG186" s="640">
        <v>0</v>
      </c>
      <c r="AH186" s="640">
        <v>0</v>
      </c>
      <c r="AI186" s="640">
        <v>0</v>
      </c>
      <c r="AJ186" s="640">
        <v>4.9659354443359369</v>
      </c>
      <c r="AK186" s="648">
        <v>119.34401135001032</v>
      </c>
    </row>
    <row r="187" spans="3:37" x14ac:dyDescent="0.2">
      <c r="C187" s="644" t="s">
        <v>85</v>
      </c>
      <c r="D187" s="645">
        <v>6.3476756101286895</v>
      </c>
      <c r="E187" s="645">
        <v>0</v>
      </c>
      <c r="F187" s="645">
        <v>523.61899137367573</v>
      </c>
      <c r="G187" s="645">
        <v>294.51498449051053</v>
      </c>
      <c r="H187" s="645">
        <v>0</v>
      </c>
      <c r="I187" s="645">
        <v>0</v>
      </c>
      <c r="J187" s="645">
        <v>107.95666307793715</v>
      </c>
      <c r="K187" s="645">
        <v>1.8020012097663161</v>
      </c>
      <c r="L187" s="645">
        <v>33.844802379359088</v>
      </c>
      <c r="M187" s="645">
        <v>5.7805412749111369</v>
      </c>
      <c r="N187" s="645">
        <v>54.409714472774652</v>
      </c>
      <c r="O187" s="645">
        <v>2.8404482619184632</v>
      </c>
      <c r="P187" s="645">
        <v>471.00002722243971</v>
      </c>
      <c r="Q187" s="645">
        <v>35.93929127384601</v>
      </c>
      <c r="R187" s="645">
        <v>1.6713978351002134</v>
      </c>
      <c r="S187" s="645">
        <v>1539.7265384823679</v>
      </c>
      <c r="U187" s="644" t="s">
        <v>85</v>
      </c>
      <c r="V187" s="645">
        <v>0.96947057486293287</v>
      </c>
      <c r="W187" s="645">
        <v>0</v>
      </c>
      <c r="X187" s="645">
        <v>348.66254332185252</v>
      </c>
      <c r="Y187" s="645">
        <v>171.65236774503236</v>
      </c>
      <c r="Z187" s="645">
        <v>0</v>
      </c>
      <c r="AA187" s="645">
        <v>0</v>
      </c>
      <c r="AB187" s="645">
        <v>100.24063406591846</v>
      </c>
      <c r="AC187" s="645">
        <v>5.8624646335327153</v>
      </c>
      <c r="AD187" s="645">
        <v>67.152419330248577</v>
      </c>
      <c r="AE187" s="645">
        <v>25.533007440030815</v>
      </c>
      <c r="AF187" s="645">
        <v>70.498567758341522</v>
      </c>
      <c r="AG187" s="645">
        <v>4.9368188759338274</v>
      </c>
      <c r="AH187" s="645">
        <v>472.52316025955423</v>
      </c>
      <c r="AI187" s="645">
        <v>65.204498303456901</v>
      </c>
      <c r="AJ187" s="645">
        <v>12.150152156541072</v>
      </c>
      <c r="AK187" s="645">
        <v>1345.3861044653063</v>
      </c>
    </row>
    <row r="188" spans="3:37" x14ac:dyDescent="0.2">
      <c r="C188" s="634"/>
      <c r="D188" s="634"/>
      <c r="E188" s="634"/>
      <c r="F188" s="634"/>
      <c r="G188" s="634"/>
      <c r="H188" s="634"/>
      <c r="I188" s="634"/>
      <c r="J188" s="634"/>
      <c r="K188" s="634"/>
      <c r="L188" s="634"/>
      <c r="M188" s="634"/>
      <c r="N188" s="634"/>
      <c r="O188" s="634"/>
      <c r="P188" s="634"/>
      <c r="Q188" s="634"/>
      <c r="R188" s="634"/>
      <c r="S188" s="634"/>
      <c r="U188" s="634"/>
      <c r="V188" s="634"/>
      <c r="W188" s="634"/>
      <c r="X188" s="634"/>
      <c r="Y188" s="634"/>
      <c r="Z188" s="634"/>
      <c r="AA188" s="634"/>
      <c r="AB188" s="634"/>
      <c r="AC188" s="634"/>
      <c r="AD188" s="634"/>
      <c r="AE188" s="634"/>
      <c r="AF188" s="634"/>
      <c r="AG188" s="634"/>
      <c r="AH188" s="634"/>
      <c r="AI188" s="634"/>
      <c r="AJ188" s="634"/>
      <c r="AK188" s="634"/>
    </row>
    <row r="189" spans="3:37" ht="22.5" x14ac:dyDescent="0.3">
      <c r="C189" s="759" t="s">
        <v>358</v>
      </c>
      <c r="D189" s="759"/>
      <c r="E189" s="759"/>
      <c r="F189" s="759"/>
      <c r="G189" s="759"/>
      <c r="H189" s="759"/>
      <c r="I189" s="759"/>
      <c r="J189" s="759"/>
      <c r="K189" s="759"/>
      <c r="L189" s="759"/>
      <c r="M189" s="759"/>
      <c r="N189" s="759"/>
      <c r="O189" s="759"/>
      <c r="P189" s="759"/>
      <c r="Q189" s="759"/>
      <c r="R189" s="759"/>
      <c r="S189" s="759"/>
      <c r="U189" s="759" t="s">
        <v>358</v>
      </c>
      <c r="V189" s="759"/>
      <c r="W189" s="759"/>
      <c r="X189" s="759"/>
      <c r="Y189" s="759"/>
      <c r="Z189" s="759"/>
      <c r="AA189" s="759"/>
      <c r="AB189" s="759"/>
      <c r="AC189" s="759"/>
      <c r="AD189" s="759"/>
      <c r="AE189" s="759"/>
      <c r="AF189" s="759"/>
      <c r="AG189" s="759"/>
      <c r="AH189" s="759"/>
      <c r="AI189" s="759"/>
      <c r="AJ189" s="759"/>
      <c r="AK189" s="759"/>
    </row>
    <row r="190" spans="3:37" x14ac:dyDescent="0.2">
      <c r="C190" s="634"/>
      <c r="D190" s="634"/>
      <c r="E190" s="634"/>
      <c r="F190" s="634"/>
      <c r="G190" s="634"/>
      <c r="H190" s="634"/>
      <c r="I190" s="634"/>
      <c r="J190" s="634"/>
      <c r="K190" s="634"/>
      <c r="L190" s="634"/>
      <c r="M190" s="634"/>
      <c r="N190" s="634"/>
      <c r="O190" s="634"/>
      <c r="P190" s="634"/>
      <c r="Q190" s="634"/>
      <c r="R190" s="634"/>
      <c r="S190" s="634"/>
      <c r="U190" s="634"/>
      <c r="V190" s="634"/>
      <c r="W190" s="634"/>
      <c r="X190" s="634"/>
      <c r="Y190" s="634"/>
      <c r="Z190" s="634"/>
      <c r="AA190" s="634"/>
      <c r="AB190" s="634"/>
      <c r="AC190" s="634"/>
      <c r="AD190" s="634"/>
      <c r="AE190" s="634"/>
      <c r="AF190" s="634"/>
      <c r="AG190" s="634"/>
      <c r="AH190" s="634"/>
      <c r="AI190" s="634"/>
      <c r="AJ190" s="634"/>
      <c r="AK190" s="634"/>
    </row>
    <row r="191" spans="3:37" ht="12.95" customHeight="1" x14ac:dyDescent="0.2">
      <c r="C191" s="758" t="s">
        <v>128</v>
      </c>
      <c r="D191" s="757" t="s">
        <v>42</v>
      </c>
      <c r="E191" s="757" t="s">
        <v>52</v>
      </c>
      <c r="F191" s="757" t="s">
        <v>53</v>
      </c>
      <c r="G191" s="757" t="s">
        <v>32</v>
      </c>
      <c r="H191" s="757" t="s">
        <v>20</v>
      </c>
      <c r="I191" s="757" t="s">
        <v>55</v>
      </c>
      <c r="J191" s="757" t="s">
        <v>56</v>
      </c>
      <c r="K191" s="757"/>
      <c r="L191" s="757"/>
      <c r="M191" s="757"/>
      <c r="N191" s="757"/>
      <c r="O191" s="757"/>
      <c r="P191" s="757" t="s">
        <v>57</v>
      </c>
      <c r="Q191" s="757" t="s">
        <v>58</v>
      </c>
      <c r="R191" s="757" t="s">
        <v>31</v>
      </c>
      <c r="S191" s="757" t="s">
        <v>10</v>
      </c>
      <c r="U191" s="758" t="s">
        <v>128</v>
      </c>
      <c r="V191" s="757" t="s">
        <v>42</v>
      </c>
      <c r="W191" s="757" t="s">
        <v>52</v>
      </c>
      <c r="X191" s="757" t="s">
        <v>53</v>
      </c>
      <c r="Y191" s="757" t="s">
        <v>32</v>
      </c>
      <c r="Z191" s="757" t="s">
        <v>20</v>
      </c>
      <c r="AA191" s="757" t="s">
        <v>55</v>
      </c>
      <c r="AB191" s="757" t="s">
        <v>56</v>
      </c>
      <c r="AC191" s="757"/>
      <c r="AD191" s="757"/>
      <c r="AE191" s="757"/>
      <c r="AF191" s="757"/>
      <c r="AG191" s="757"/>
      <c r="AH191" s="757" t="s">
        <v>57</v>
      </c>
      <c r="AI191" s="757" t="s">
        <v>58</v>
      </c>
      <c r="AJ191" s="757" t="s">
        <v>31</v>
      </c>
      <c r="AK191" s="757" t="s">
        <v>10</v>
      </c>
    </row>
    <row r="192" spans="3:37" ht="56.25" x14ac:dyDescent="0.2">
      <c r="C192" s="758"/>
      <c r="D192" s="757"/>
      <c r="E192" s="757"/>
      <c r="F192" s="757"/>
      <c r="G192" s="757"/>
      <c r="H192" s="757"/>
      <c r="I192" s="757"/>
      <c r="J192" s="638" t="s">
        <v>335</v>
      </c>
      <c r="K192" s="638" t="s">
        <v>40</v>
      </c>
      <c r="L192" s="638" t="s">
        <v>343</v>
      </c>
      <c r="M192" s="638" t="s">
        <v>344</v>
      </c>
      <c r="N192" s="638" t="s">
        <v>345</v>
      </c>
      <c r="O192" s="638" t="s">
        <v>346</v>
      </c>
      <c r="P192" s="757"/>
      <c r="Q192" s="757"/>
      <c r="R192" s="757"/>
      <c r="S192" s="757"/>
      <c r="U192" s="758"/>
      <c r="V192" s="757"/>
      <c r="W192" s="757"/>
      <c r="X192" s="757"/>
      <c r="Y192" s="757"/>
      <c r="Z192" s="757"/>
      <c r="AA192" s="757"/>
      <c r="AB192" s="638" t="s">
        <v>335</v>
      </c>
      <c r="AC192" s="638" t="s">
        <v>40</v>
      </c>
      <c r="AD192" s="638" t="s">
        <v>343</v>
      </c>
      <c r="AE192" s="638" t="s">
        <v>344</v>
      </c>
      <c r="AF192" s="638" t="s">
        <v>345</v>
      </c>
      <c r="AG192" s="638" t="s">
        <v>346</v>
      </c>
      <c r="AH192" s="757"/>
      <c r="AI192" s="757"/>
      <c r="AJ192" s="757"/>
      <c r="AK192" s="757"/>
    </row>
    <row r="193" spans="3:37" x14ac:dyDescent="0.2">
      <c r="C193" s="639" t="s">
        <v>59</v>
      </c>
      <c r="D193" s="640">
        <v>0</v>
      </c>
      <c r="E193" s="641">
        <v>5.8150000000000004</v>
      </c>
      <c r="F193" s="641">
        <v>0</v>
      </c>
      <c r="G193" s="640">
        <v>9.3040000000000012E-2</v>
      </c>
      <c r="H193" s="641">
        <v>1075.0000000000002</v>
      </c>
      <c r="I193" s="641">
        <v>224.13674723416887</v>
      </c>
      <c r="J193" s="641">
        <v>191.59942379122555</v>
      </c>
      <c r="K193" s="641">
        <v>21.432553878964274</v>
      </c>
      <c r="L193" s="641">
        <v>0.38158375751522683</v>
      </c>
      <c r="M193" s="641">
        <v>0.1566638564915529</v>
      </c>
      <c r="N193" s="641">
        <v>57.826394702164251</v>
      </c>
      <c r="O193" s="641">
        <v>8.0717549324466145</v>
      </c>
      <c r="P193" s="642">
        <v>0</v>
      </c>
      <c r="Q193" s="641">
        <v>0</v>
      </c>
      <c r="R193" s="641">
        <v>0</v>
      </c>
      <c r="S193" s="643">
        <v>1584.5131621529763</v>
      </c>
      <c r="U193" s="639" t="s">
        <v>59</v>
      </c>
      <c r="V193" s="640">
        <v>0</v>
      </c>
      <c r="W193" s="641">
        <v>5.8150000000000004</v>
      </c>
      <c r="X193" s="641">
        <v>0</v>
      </c>
      <c r="Y193" s="640">
        <v>9.3040000000000012E-2</v>
      </c>
      <c r="Z193" s="641">
        <v>994.39393939393949</v>
      </c>
      <c r="AA193" s="641">
        <v>248.70674723416883</v>
      </c>
      <c r="AB193" s="641">
        <v>191.76566332259941</v>
      </c>
      <c r="AC193" s="641">
        <v>38.031253697312572</v>
      </c>
      <c r="AD193" s="641">
        <v>0.38158375751522683</v>
      </c>
      <c r="AE193" s="641">
        <v>0.1566638564915529</v>
      </c>
      <c r="AF193" s="641">
        <v>76.992812580470769</v>
      </c>
      <c r="AG193" s="641">
        <v>16.738826185514363</v>
      </c>
      <c r="AH193" s="642">
        <v>0</v>
      </c>
      <c r="AI193" s="641">
        <v>0</v>
      </c>
      <c r="AJ193" s="641">
        <v>0</v>
      </c>
      <c r="AK193" s="643">
        <v>1573.0755300280123</v>
      </c>
    </row>
    <row r="194" spans="3:37" x14ac:dyDescent="0.2">
      <c r="C194" s="639" t="s">
        <v>60</v>
      </c>
      <c r="D194" s="640">
        <v>48.827265231041785</v>
      </c>
      <c r="E194" s="641">
        <v>518.07410535010388</v>
      </c>
      <c r="F194" s="641">
        <v>107.87457071926454</v>
      </c>
      <c r="G194" s="640">
        <v>335.04873882059013</v>
      </c>
      <c r="H194" s="641">
        <v>0</v>
      </c>
      <c r="I194" s="641">
        <v>0</v>
      </c>
      <c r="J194" s="641">
        <v>3.6983557386050134</v>
      </c>
      <c r="K194" s="641">
        <v>0</v>
      </c>
      <c r="L194" s="641">
        <v>2.0715216469959126</v>
      </c>
      <c r="M194" s="641">
        <v>0</v>
      </c>
      <c r="N194" s="641">
        <v>0</v>
      </c>
      <c r="O194" s="641">
        <v>0</v>
      </c>
      <c r="P194" s="642">
        <v>0</v>
      </c>
      <c r="Q194" s="641">
        <v>0</v>
      </c>
      <c r="R194" s="641">
        <v>0</v>
      </c>
      <c r="S194" s="643">
        <v>1015.5945575066012</v>
      </c>
      <c r="U194" s="639" t="s">
        <v>60</v>
      </c>
      <c r="V194" s="640">
        <v>9.7783497021920969</v>
      </c>
      <c r="W194" s="641">
        <v>336.80990869295175</v>
      </c>
      <c r="X194" s="641">
        <v>55.498271181254346</v>
      </c>
      <c r="Y194" s="640">
        <v>207.3573846689826</v>
      </c>
      <c r="Z194" s="641">
        <v>0</v>
      </c>
      <c r="AA194" s="641">
        <v>0</v>
      </c>
      <c r="AB194" s="641">
        <v>3.6983557386050134</v>
      </c>
      <c r="AC194" s="641">
        <v>0</v>
      </c>
      <c r="AD194" s="641">
        <v>2.0715216469959126</v>
      </c>
      <c r="AE194" s="641">
        <v>0</v>
      </c>
      <c r="AF194" s="641">
        <v>0</v>
      </c>
      <c r="AG194" s="641">
        <v>0</v>
      </c>
      <c r="AH194" s="642">
        <v>0</v>
      </c>
      <c r="AI194" s="641">
        <v>0</v>
      </c>
      <c r="AJ194" s="641">
        <v>0</v>
      </c>
      <c r="AK194" s="643">
        <v>615.21379163098163</v>
      </c>
    </row>
    <row r="195" spans="3:37" x14ac:dyDescent="0.2">
      <c r="C195" s="639" t="s">
        <v>61</v>
      </c>
      <c r="D195" s="640">
        <v>0</v>
      </c>
      <c r="E195" s="641">
        <v>0</v>
      </c>
      <c r="F195" s="641">
        <v>0</v>
      </c>
      <c r="G195" s="640">
        <v>0</v>
      </c>
      <c r="H195" s="641">
        <v>0</v>
      </c>
      <c r="I195" s="641">
        <v>0</v>
      </c>
      <c r="J195" s="641">
        <v>0</v>
      </c>
      <c r="K195" s="641">
        <v>0</v>
      </c>
      <c r="L195" s="641">
        <v>0</v>
      </c>
      <c r="M195" s="641">
        <v>0</v>
      </c>
      <c r="N195" s="641">
        <v>0</v>
      </c>
      <c r="O195" s="641">
        <v>0</v>
      </c>
      <c r="P195" s="642">
        <v>-50.941346245748719</v>
      </c>
      <c r="Q195" s="641">
        <v>0</v>
      </c>
      <c r="R195" s="641">
        <v>0</v>
      </c>
      <c r="S195" s="643">
        <v>-50.941346245748719</v>
      </c>
      <c r="U195" s="639" t="s">
        <v>61</v>
      </c>
      <c r="V195" s="640">
        <v>0</v>
      </c>
      <c r="W195" s="641">
        <v>0</v>
      </c>
      <c r="X195" s="641">
        <v>0</v>
      </c>
      <c r="Y195" s="640">
        <v>0</v>
      </c>
      <c r="Z195" s="641">
        <v>0</v>
      </c>
      <c r="AA195" s="641">
        <v>0</v>
      </c>
      <c r="AB195" s="641">
        <v>0</v>
      </c>
      <c r="AC195" s="641">
        <v>0</v>
      </c>
      <c r="AD195" s="641">
        <v>0</v>
      </c>
      <c r="AE195" s="641">
        <v>0</v>
      </c>
      <c r="AF195" s="641">
        <v>0</v>
      </c>
      <c r="AG195" s="641">
        <v>0</v>
      </c>
      <c r="AH195" s="642">
        <v>-32.476172245636349</v>
      </c>
      <c r="AI195" s="641">
        <v>0</v>
      </c>
      <c r="AJ195" s="641">
        <v>0</v>
      </c>
      <c r="AK195" s="643">
        <v>-32.476172245636349</v>
      </c>
    </row>
    <row r="196" spans="3:37" x14ac:dyDescent="0.2">
      <c r="C196" s="639" t="s">
        <v>62</v>
      </c>
      <c r="D196" s="640">
        <v>0</v>
      </c>
      <c r="E196" s="641">
        <v>0</v>
      </c>
      <c r="F196" s="641">
        <v>-16.25862008896565</v>
      </c>
      <c r="G196" s="640">
        <v>0</v>
      </c>
      <c r="H196" s="641">
        <v>0</v>
      </c>
      <c r="I196" s="641">
        <v>0</v>
      </c>
      <c r="J196" s="641">
        <v>0</v>
      </c>
      <c r="K196" s="641">
        <v>0</v>
      </c>
      <c r="L196" s="641">
        <v>0</v>
      </c>
      <c r="M196" s="641">
        <v>0</v>
      </c>
      <c r="N196" s="641">
        <v>0</v>
      </c>
      <c r="O196" s="641">
        <v>0</v>
      </c>
      <c r="P196" s="642">
        <v>0</v>
      </c>
      <c r="Q196" s="641">
        <v>0</v>
      </c>
      <c r="R196" s="641">
        <v>0</v>
      </c>
      <c r="S196" s="643">
        <v>-16.25862008896565</v>
      </c>
      <c r="U196" s="639" t="s">
        <v>62</v>
      </c>
      <c r="V196" s="640">
        <v>0</v>
      </c>
      <c r="W196" s="641">
        <v>0</v>
      </c>
      <c r="X196" s="641">
        <v>-12.937868047131742</v>
      </c>
      <c r="Y196" s="640">
        <v>-1.5571295869756494</v>
      </c>
      <c r="Z196" s="641">
        <v>0</v>
      </c>
      <c r="AA196" s="641">
        <v>0</v>
      </c>
      <c r="AB196" s="641">
        <v>0</v>
      </c>
      <c r="AC196" s="641">
        <v>0</v>
      </c>
      <c r="AD196" s="641">
        <v>0</v>
      </c>
      <c r="AE196" s="641">
        <v>-0.27478757417217342</v>
      </c>
      <c r="AF196" s="641">
        <v>0</v>
      </c>
      <c r="AG196" s="641">
        <v>0</v>
      </c>
      <c r="AH196" s="642">
        <v>0</v>
      </c>
      <c r="AI196" s="641">
        <v>0</v>
      </c>
      <c r="AJ196" s="641">
        <v>0</v>
      </c>
      <c r="AK196" s="643">
        <v>-14.769785208279565</v>
      </c>
    </row>
    <row r="197" spans="3:37" x14ac:dyDescent="0.2">
      <c r="C197" s="639" t="s">
        <v>63</v>
      </c>
      <c r="D197" s="640">
        <v>0</v>
      </c>
      <c r="E197" s="641">
        <v>0</v>
      </c>
      <c r="F197" s="641">
        <v>-83.551471621484865</v>
      </c>
      <c r="G197" s="640">
        <v>0</v>
      </c>
      <c r="H197" s="641">
        <v>0</v>
      </c>
      <c r="I197" s="641">
        <v>0</v>
      </c>
      <c r="J197" s="641">
        <v>0</v>
      </c>
      <c r="K197" s="641">
        <v>0</v>
      </c>
      <c r="L197" s="641">
        <v>-0.85914301655193537</v>
      </c>
      <c r="M197" s="641">
        <v>0</v>
      </c>
      <c r="N197" s="641">
        <v>0</v>
      </c>
      <c r="O197" s="641">
        <v>0</v>
      </c>
      <c r="P197" s="642">
        <v>0</v>
      </c>
      <c r="Q197" s="641">
        <v>0</v>
      </c>
      <c r="R197" s="641">
        <v>0</v>
      </c>
      <c r="S197" s="643">
        <v>-84.410614638036805</v>
      </c>
      <c r="U197" s="639" t="s">
        <v>63</v>
      </c>
      <c r="V197" s="640">
        <v>0</v>
      </c>
      <c r="W197" s="641">
        <v>0</v>
      </c>
      <c r="X197" s="641">
        <v>-67.135202148658564</v>
      </c>
      <c r="Y197" s="640">
        <v>0</v>
      </c>
      <c r="Z197" s="641">
        <v>0</v>
      </c>
      <c r="AA197" s="641">
        <v>0</v>
      </c>
      <c r="AB197" s="641">
        <v>0</v>
      </c>
      <c r="AC197" s="641">
        <v>0</v>
      </c>
      <c r="AD197" s="641">
        <v>-15.117527463171397</v>
      </c>
      <c r="AE197" s="641">
        <v>0</v>
      </c>
      <c r="AF197" s="641">
        <v>0</v>
      </c>
      <c r="AG197" s="641">
        <v>0</v>
      </c>
      <c r="AH197" s="642">
        <v>0</v>
      </c>
      <c r="AI197" s="641">
        <v>0</v>
      </c>
      <c r="AJ197" s="641">
        <v>0</v>
      </c>
      <c r="AK197" s="643">
        <v>-82.252729611829963</v>
      </c>
    </row>
    <row r="198" spans="3:37" x14ac:dyDescent="0.2">
      <c r="C198" s="639" t="s">
        <v>64</v>
      </c>
      <c r="D198" s="640">
        <v>0</v>
      </c>
      <c r="E198" s="641">
        <v>0</v>
      </c>
      <c r="F198" s="641">
        <v>0</v>
      </c>
      <c r="G198" s="640">
        <v>0</v>
      </c>
      <c r="H198" s="641">
        <v>0</v>
      </c>
      <c r="I198" s="641">
        <v>0</v>
      </c>
      <c r="J198" s="641">
        <v>0</v>
      </c>
      <c r="K198" s="641">
        <v>0</v>
      </c>
      <c r="L198" s="641">
        <v>0</v>
      </c>
      <c r="M198" s="641">
        <v>0</v>
      </c>
      <c r="N198" s="641">
        <v>0</v>
      </c>
      <c r="O198" s="641">
        <v>0</v>
      </c>
      <c r="P198" s="642">
        <v>0</v>
      </c>
      <c r="Q198" s="641">
        <v>0</v>
      </c>
      <c r="R198" s="641">
        <v>0</v>
      </c>
      <c r="S198" s="643">
        <v>0</v>
      </c>
      <c r="U198" s="639" t="s">
        <v>64</v>
      </c>
      <c r="V198" s="640">
        <v>0</v>
      </c>
      <c r="W198" s="641">
        <v>0</v>
      </c>
      <c r="X198" s="641">
        <v>0</v>
      </c>
      <c r="Y198" s="640">
        <v>0</v>
      </c>
      <c r="Z198" s="641">
        <v>0</v>
      </c>
      <c r="AA198" s="641">
        <v>0</v>
      </c>
      <c r="AB198" s="641">
        <v>0</v>
      </c>
      <c r="AC198" s="641">
        <v>0</v>
      </c>
      <c r="AD198" s="641">
        <v>0</v>
      </c>
      <c r="AE198" s="641">
        <v>0</v>
      </c>
      <c r="AF198" s="641">
        <v>0</v>
      </c>
      <c r="AG198" s="641">
        <v>0</v>
      </c>
      <c r="AH198" s="642">
        <v>0</v>
      </c>
      <c r="AI198" s="641">
        <v>0</v>
      </c>
      <c r="AJ198" s="641">
        <v>0</v>
      </c>
      <c r="AK198" s="643">
        <v>0</v>
      </c>
    </row>
    <row r="199" spans="3:37" x14ac:dyDescent="0.2">
      <c r="C199" s="644" t="s">
        <v>65</v>
      </c>
      <c r="D199" s="645">
        <v>48.827265231041785</v>
      </c>
      <c r="E199" s="645">
        <v>523.88910535010393</v>
      </c>
      <c r="F199" s="645">
        <v>8.0644790088140255</v>
      </c>
      <c r="G199" s="645">
        <v>335.1417788205901</v>
      </c>
      <c r="H199" s="645">
        <v>1075.0000000000002</v>
      </c>
      <c r="I199" s="645">
        <v>224.13674723416887</v>
      </c>
      <c r="J199" s="645">
        <v>195.29777952983056</v>
      </c>
      <c r="K199" s="645">
        <v>21.432553878964274</v>
      </c>
      <c r="L199" s="645">
        <v>1.5939623879592042</v>
      </c>
      <c r="M199" s="645">
        <v>0.1566638564915529</v>
      </c>
      <c r="N199" s="645">
        <v>57.826394702164251</v>
      </c>
      <c r="O199" s="645">
        <v>8.0717549324466145</v>
      </c>
      <c r="P199" s="645">
        <v>-50.941346245748719</v>
      </c>
      <c r="Q199" s="645">
        <v>0</v>
      </c>
      <c r="R199" s="645">
        <v>0</v>
      </c>
      <c r="S199" s="645">
        <v>2448.4971386868265</v>
      </c>
      <c r="U199" s="644" t="s">
        <v>65</v>
      </c>
      <c r="V199" s="645">
        <v>9.7783497021920969</v>
      </c>
      <c r="W199" s="645">
        <v>342.62490869295175</v>
      </c>
      <c r="X199" s="645">
        <v>-24.574799014535962</v>
      </c>
      <c r="Y199" s="645">
        <v>205.89329508200694</v>
      </c>
      <c r="Z199" s="645">
        <v>994.39393939393949</v>
      </c>
      <c r="AA199" s="645">
        <v>248.70674723416883</v>
      </c>
      <c r="AB199" s="645">
        <v>195.46401906120443</v>
      </c>
      <c r="AC199" s="645">
        <v>38.031253697312572</v>
      </c>
      <c r="AD199" s="645">
        <v>-12.664422058660257</v>
      </c>
      <c r="AE199" s="645">
        <v>-0.11812371768062052</v>
      </c>
      <c r="AF199" s="645">
        <v>76.992812580470769</v>
      </c>
      <c r="AG199" s="645">
        <v>16.738826185514363</v>
      </c>
      <c r="AH199" s="645">
        <v>-32.476172245636349</v>
      </c>
      <c r="AI199" s="645">
        <v>0</v>
      </c>
      <c r="AJ199" s="645">
        <v>0</v>
      </c>
      <c r="AK199" s="645">
        <v>2058.7906345932479</v>
      </c>
    </row>
    <row r="200" spans="3:37" x14ac:dyDescent="0.2">
      <c r="C200" s="634"/>
      <c r="D200" s="634">
        <v>0</v>
      </c>
      <c r="E200" s="634">
        <v>0</v>
      </c>
      <c r="F200" s="634">
        <v>0</v>
      </c>
      <c r="G200" s="634">
        <v>0</v>
      </c>
      <c r="H200" s="634">
        <v>0</v>
      </c>
      <c r="I200" s="634">
        <v>0</v>
      </c>
      <c r="J200" s="634">
        <v>0</v>
      </c>
      <c r="K200" s="634">
        <v>0</v>
      </c>
      <c r="L200" s="634">
        <v>0</v>
      </c>
      <c r="M200" s="634">
        <v>0</v>
      </c>
      <c r="N200" s="634">
        <v>0</v>
      </c>
      <c r="O200" s="634">
        <v>0</v>
      </c>
      <c r="P200" s="634">
        <v>0</v>
      </c>
      <c r="Q200" s="634">
        <v>0</v>
      </c>
      <c r="R200" s="634">
        <v>0</v>
      </c>
      <c r="S200" s="634">
        <v>0</v>
      </c>
      <c r="U200" s="634"/>
      <c r="V200" s="634">
        <v>0</v>
      </c>
      <c r="W200" s="634">
        <v>0</v>
      </c>
      <c r="X200" s="634">
        <v>0</v>
      </c>
      <c r="Y200" s="634">
        <v>0</v>
      </c>
      <c r="Z200" s="634">
        <v>0</v>
      </c>
      <c r="AA200" s="634">
        <v>0</v>
      </c>
      <c r="AB200" s="634">
        <v>0</v>
      </c>
      <c r="AC200" s="634">
        <v>0</v>
      </c>
      <c r="AD200" s="634">
        <v>0</v>
      </c>
      <c r="AE200" s="634">
        <v>0</v>
      </c>
      <c r="AF200" s="634">
        <v>0</v>
      </c>
      <c r="AG200" s="634">
        <v>0</v>
      </c>
      <c r="AH200" s="634">
        <v>0</v>
      </c>
      <c r="AI200" s="634">
        <v>0</v>
      </c>
      <c r="AJ200" s="634">
        <v>0</v>
      </c>
      <c r="AK200" s="634">
        <v>0</v>
      </c>
    </row>
    <row r="201" spans="3:37" x14ac:dyDescent="0.2">
      <c r="C201" s="646" t="s">
        <v>67</v>
      </c>
      <c r="D201" s="640">
        <v>0</v>
      </c>
      <c r="E201" s="647">
        <v>0</v>
      </c>
      <c r="F201" s="647">
        <v>0</v>
      </c>
      <c r="G201" s="640">
        <v>0</v>
      </c>
      <c r="H201" s="640">
        <v>0</v>
      </c>
      <c r="I201" s="640">
        <v>0</v>
      </c>
      <c r="J201" s="640">
        <v>0</v>
      </c>
      <c r="K201" s="640">
        <v>0</v>
      </c>
      <c r="L201" s="640">
        <v>0</v>
      </c>
      <c r="M201" s="640">
        <v>0</v>
      </c>
      <c r="N201" s="640">
        <v>0</v>
      </c>
      <c r="O201" s="640">
        <v>0</v>
      </c>
      <c r="P201" s="640">
        <v>0</v>
      </c>
      <c r="Q201" s="640">
        <v>0</v>
      </c>
      <c r="R201" s="640">
        <v>0</v>
      </c>
      <c r="S201" s="648">
        <v>0</v>
      </c>
      <c r="U201" s="646" t="s">
        <v>67</v>
      </c>
      <c r="V201" s="640">
        <v>0</v>
      </c>
      <c r="W201" s="647">
        <v>0</v>
      </c>
      <c r="X201" s="647">
        <v>0</v>
      </c>
      <c r="Y201" s="640">
        <v>0</v>
      </c>
      <c r="Z201" s="640">
        <v>0</v>
      </c>
      <c r="AA201" s="640">
        <v>0</v>
      </c>
      <c r="AB201" s="640">
        <v>0</v>
      </c>
      <c r="AC201" s="640">
        <v>0</v>
      </c>
      <c r="AD201" s="640">
        <v>0</v>
      </c>
      <c r="AE201" s="640">
        <v>0</v>
      </c>
      <c r="AF201" s="640">
        <v>0</v>
      </c>
      <c r="AG201" s="640">
        <v>0</v>
      </c>
      <c r="AH201" s="640">
        <v>0</v>
      </c>
      <c r="AI201" s="640">
        <v>0</v>
      </c>
      <c r="AJ201" s="640">
        <v>0</v>
      </c>
      <c r="AK201" s="648">
        <v>0</v>
      </c>
    </row>
    <row r="202" spans="3:37" x14ac:dyDescent="0.2">
      <c r="C202" s="646" t="s">
        <v>347</v>
      </c>
      <c r="D202" s="640">
        <v>2.8267856410252494</v>
      </c>
      <c r="E202" s="640">
        <v>0</v>
      </c>
      <c r="F202" s="640">
        <v>7.9696731063521415</v>
      </c>
      <c r="G202" s="640">
        <v>17.422222222222224</v>
      </c>
      <c r="H202" s="640">
        <v>1075.0000000000002</v>
      </c>
      <c r="I202" s="640">
        <v>224.13674723416887</v>
      </c>
      <c r="J202" s="649">
        <v>30.45355250478201</v>
      </c>
      <c r="K202" s="649">
        <v>7.4482212846984126</v>
      </c>
      <c r="L202" s="649">
        <v>2.4531054045111396</v>
      </c>
      <c r="M202" s="649">
        <v>0.47972213502804317</v>
      </c>
      <c r="N202" s="649">
        <v>0</v>
      </c>
      <c r="O202" s="649">
        <v>3.0833964576427819</v>
      </c>
      <c r="P202" s="640">
        <v>-609.30151807373261</v>
      </c>
      <c r="Q202" s="640">
        <v>0</v>
      </c>
      <c r="R202" s="640">
        <v>0</v>
      </c>
      <c r="S202" s="648">
        <v>761.97190791669834</v>
      </c>
      <c r="U202" s="646" t="s">
        <v>347</v>
      </c>
      <c r="V202" s="640">
        <v>0.62631490545869017</v>
      </c>
      <c r="W202" s="640">
        <v>0</v>
      </c>
      <c r="X202" s="640">
        <v>4.1060367427157782</v>
      </c>
      <c r="Y202" s="640">
        <v>24.857777777777773</v>
      </c>
      <c r="Z202" s="640">
        <v>994.39393939393949</v>
      </c>
      <c r="AA202" s="640">
        <v>248.70674723416883</v>
      </c>
      <c r="AB202" s="649">
        <v>24.641197042508384</v>
      </c>
      <c r="AC202" s="649">
        <v>6.6719525843779666</v>
      </c>
      <c r="AD202" s="649">
        <v>2.4531054045111396</v>
      </c>
      <c r="AE202" s="649">
        <v>4.5108332461391543</v>
      </c>
      <c r="AF202" s="649">
        <v>0</v>
      </c>
      <c r="AG202" s="649">
        <v>3.0833964576427819</v>
      </c>
      <c r="AH202" s="640">
        <v>-611.77151807373264</v>
      </c>
      <c r="AI202" s="640">
        <v>0</v>
      </c>
      <c r="AJ202" s="640">
        <v>2.3749999999999996</v>
      </c>
      <c r="AK202" s="648">
        <v>704.65478271550762</v>
      </c>
    </row>
    <row r="203" spans="3:37" x14ac:dyDescent="0.2">
      <c r="C203" s="646" t="s">
        <v>348</v>
      </c>
      <c r="D203" s="640">
        <v>0</v>
      </c>
      <c r="E203" s="640">
        <v>0</v>
      </c>
      <c r="F203" s="640">
        <v>0</v>
      </c>
      <c r="G203" s="640">
        <v>15.160725636684646</v>
      </c>
      <c r="H203" s="640">
        <v>0</v>
      </c>
      <c r="I203" s="640">
        <v>0</v>
      </c>
      <c r="J203" s="649">
        <v>12.939045348987106</v>
      </c>
      <c r="K203" s="649">
        <v>12.151724678588742</v>
      </c>
      <c r="L203" s="649">
        <v>0</v>
      </c>
      <c r="M203" s="649">
        <v>0.32322722394029924</v>
      </c>
      <c r="N203" s="649">
        <v>0</v>
      </c>
      <c r="O203" s="649">
        <v>2.1538235080806043</v>
      </c>
      <c r="P203" s="640">
        <v>0</v>
      </c>
      <c r="Q203" s="640">
        <v>-38.589386176372813</v>
      </c>
      <c r="R203" s="640">
        <v>0</v>
      </c>
      <c r="S203" s="648">
        <v>4.1391602199085806</v>
      </c>
      <c r="U203" s="646" t="s">
        <v>348</v>
      </c>
      <c r="V203" s="640">
        <v>0</v>
      </c>
      <c r="W203" s="640">
        <v>0</v>
      </c>
      <c r="X203" s="640">
        <v>0</v>
      </c>
      <c r="Y203" s="640">
        <v>15.290780965453443</v>
      </c>
      <c r="Z203" s="640">
        <v>0</v>
      </c>
      <c r="AA203" s="640">
        <v>0</v>
      </c>
      <c r="AB203" s="649">
        <v>28.500378674784677</v>
      </c>
      <c r="AC203" s="649">
        <v>25.381229817913329</v>
      </c>
      <c r="AD203" s="649">
        <v>0</v>
      </c>
      <c r="AE203" s="649">
        <v>2.712197771476935</v>
      </c>
      <c r="AF203" s="649">
        <v>0</v>
      </c>
      <c r="AG203" s="649">
        <v>8.3103526067541207</v>
      </c>
      <c r="AH203" s="640">
        <v>0</v>
      </c>
      <c r="AI203" s="640">
        <v>-73.223954421682024</v>
      </c>
      <c r="AJ203" s="640">
        <v>0</v>
      </c>
      <c r="AK203" s="648">
        <v>6.9709854147004844</v>
      </c>
    </row>
    <row r="204" spans="3:37" x14ac:dyDescent="0.2">
      <c r="C204" s="646" t="s">
        <v>349</v>
      </c>
      <c r="D204" s="640">
        <v>0</v>
      </c>
      <c r="E204" s="640">
        <v>0</v>
      </c>
      <c r="F204" s="640">
        <v>0</v>
      </c>
      <c r="G204" s="640">
        <v>0</v>
      </c>
      <c r="H204" s="640">
        <v>0</v>
      </c>
      <c r="I204" s="640">
        <v>0</v>
      </c>
      <c r="J204" s="650">
        <v>7.3987592400222235</v>
      </c>
      <c r="K204" s="650">
        <v>0</v>
      </c>
      <c r="L204" s="650">
        <v>0</v>
      </c>
      <c r="M204" s="650">
        <v>-6.5941441726698065</v>
      </c>
      <c r="N204" s="650">
        <v>0</v>
      </c>
      <c r="O204" s="650">
        <v>0</v>
      </c>
      <c r="P204" s="640">
        <v>0</v>
      </c>
      <c r="Q204" s="640">
        <v>0</v>
      </c>
      <c r="R204" s="640">
        <v>0</v>
      </c>
      <c r="S204" s="648">
        <v>0.80461506735241706</v>
      </c>
      <c r="U204" s="646" t="s">
        <v>349</v>
      </c>
      <c r="V204" s="640">
        <v>0</v>
      </c>
      <c r="W204" s="640">
        <v>0</v>
      </c>
      <c r="X204" s="640">
        <v>0</v>
      </c>
      <c r="Y204" s="640">
        <v>0</v>
      </c>
      <c r="Z204" s="640">
        <v>0</v>
      </c>
      <c r="AA204" s="640">
        <v>0</v>
      </c>
      <c r="AB204" s="650">
        <v>40.786473386605621</v>
      </c>
      <c r="AC204" s="650">
        <v>0</v>
      </c>
      <c r="AD204" s="650">
        <v>0</v>
      </c>
      <c r="AE204" s="650">
        <v>-36.350944405812257</v>
      </c>
      <c r="AF204" s="650">
        <v>0</v>
      </c>
      <c r="AG204" s="650">
        <v>0</v>
      </c>
      <c r="AH204" s="640">
        <v>0</v>
      </c>
      <c r="AI204" s="640">
        <v>0</v>
      </c>
      <c r="AJ204" s="640">
        <v>0</v>
      </c>
      <c r="AK204" s="648">
        <v>4.4355289807933644</v>
      </c>
    </row>
    <row r="205" spans="3:37" x14ac:dyDescent="0.2">
      <c r="C205" s="646" t="s">
        <v>350</v>
      </c>
      <c r="D205" s="640">
        <v>0</v>
      </c>
      <c r="E205" s="640">
        <v>0</v>
      </c>
      <c r="F205" s="640">
        <v>0</v>
      </c>
      <c r="G205" s="640">
        <v>0</v>
      </c>
      <c r="H205" s="640">
        <v>0</v>
      </c>
      <c r="I205" s="640">
        <v>0</v>
      </c>
      <c r="J205" s="640">
        <v>0</v>
      </c>
      <c r="K205" s="640">
        <v>0</v>
      </c>
      <c r="L205" s="640">
        <v>0</v>
      </c>
      <c r="M205" s="640">
        <v>0</v>
      </c>
      <c r="N205" s="640">
        <v>0</v>
      </c>
      <c r="O205" s="640">
        <v>0</v>
      </c>
      <c r="P205" s="640">
        <v>0</v>
      </c>
      <c r="Q205" s="640">
        <v>0</v>
      </c>
      <c r="R205" s="640">
        <v>0</v>
      </c>
      <c r="S205" s="648">
        <v>0</v>
      </c>
      <c r="U205" s="646" t="s">
        <v>350</v>
      </c>
      <c r="V205" s="640">
        <v>0</v>
      </c>
      <c r="W205" s="640">
        <v>0</v>
      </c>
      <c r="X205" s="640">
        <v>0</v>
      </c>
      <c r="Y205" s="640">
        <v>0</v>
      </c>
      <c r="Z205" s="640">
        <v>0</v>
      </c>
      <c r="AA205" s="640">
        <v>0</v>
      </c>
      <c r="AB205" s="640">
        <v>0</v>
      </c>
      <c r="AC205" s="640">
        <v>0</v>
      </c>
      <c r="AD205" s="640">
        <v>0</v>
      </c>
      <c r="AE205" s="640">
        <v>0</v>
      </c>
      <c r="AF205" s="640">
        <v>0</v>
      </c>
      <c r="AG205" s="640">
        <v>0</v>
      </c>
      <c r="AH205" s="640">
        <v>0</v>
      </c>
      <c r="AI205" s="640">
        <v>0</v>
      </c>
      <c r="AJ205" s="640">
        <v>0</v>
      </c>
      <c r="AK205" s="648">
        <v>0</v>
      </c>
    </row>
    <row r="206" spans="3:37" x14ac:dyDescent="0.2">
      <c r="C206" s="646" t="s">
        <v>72</v>
      </c>
      <c r="D206" s="640">
        <v>0</v>
      </c>
      <c r="E206" s="640">
        <v>542.69343279650275</v>
      </c>
      <c r="F206" s="640">
        <v>-537.26649846853775</v>
      </c>
      <c r="G206" s="640">
        <v>0</v>
      </c>
      <c r="H206" s="640">
        <v>0</v>
      </c>
      <c r="I206" s="640">
        <v>0</v>
      </c>
      <c r="J206" s="640">
        <v>0</v>
      </c>
      <c r="K206" s="640">
        <v>0</v>
      </c>
      <c r="L206" s="640">
        <v>0</v>
      </c>
      <c r="M206" s="640">
        <v>0</v>
      </c>
      <c r="N206" s="640">
        <v>0</v>
      </c>
      <c r="O206" s="640">
        <v>0</v>
      </c>
      <c r="P206" s="640">
        <v>0</v>
      </c>
      <c r="Q206" s="640">
        <v>0</v>
      </c>
      <c r="R206" s="640">
        <v>0</v>
      </c>
      <c r="S206" s="648">
        <v>5.4269343279650002</v>
      </c>
      <c r="U206" s="646" t="s">
        <v>72</v>
      </c>
      <c r="V206" s="640">
        <v>0</v>
      </c>
      <c r="W206" s="640">
        <v>354.9229903070925</v>
      </c>
      <c r="X206" s="640">
        <v>-351.3737604040216</v>
      </c>
      <c r="Y206" s="640">
        <v>0</v>
      </c>
      <c r="Z206" s="640">
        <v>0</v>
      </c>
      <c r="AA206" s="640">
        <v>0</v>
      </c>
      <c r="AB206" s="640">
        <v>0</v>
      </c>
      <c r="AC206" s="640">
        <v>0</v>
      </c>
      <c r="AD206" s="640">
        <v>0</v>
      </c>
      <c r="AE206" s="640">
        <v>0</v>
      </c>
      <c r="AF206" s="640">
        <v>0</v>
      </c>
      <c r="AG206" s="640">
        <v>0</v>
      </c>
      <c r="AH206" s="640">
        <v>0</v>
      </c>
      <c r="AI206" s="640">
        <v>0</v>
      </c>
      <c r="AJ206" s="640">
        <v>0</v>
      </c>
      <c r="AK206" s="648">
        <v>3.5492299030709091</v>
      </c>
    </row>
    <row r="207" spans="3:37" x14ac:dyDescent="0.2">
      <c r="C207" s="646" t="s">
        <v>351</v>
      </c>
      <c r="D207" s="640">
        <v>0</v>
      </c>
      <c r="E207" s="640">
        <v>0</v>
      </c>
      <c r="F207" s="640">
        <v>0</v>
      </c>
      <c r="G207" s="640">
        <v>0</v>
      </c>
      <c r="H207" s="640">
        <v>0</v>
      </c>
      <c r="I207" s="640">
        <v>0</v>
      </c>
      <c r="J207" s="640">
        <v>32.75009012852766</v>
      </c>
      <c r="K207" s="640">
        <v>0</v>
      </c>
      <c r="L207" s="640">
        <v>-32.75009012852766</v>
      </c>
      <c r="M207" s="640">
        <v>0</v>
      </c>
      <c r="N207" s="640">
        <v>0</v>
      </c>
      <c r="O207" s="640">
        <v>0</v>
      </c>
      <c r="P207" s="640">
        <v>0</v>
      </c>
      <c r="Q207" s="640">
        <v>0</v>
      </c>
      <c r="R207" s="640">
        <v>0</v>
      </c>
      <c r="S207" s="648">
        <v>0</v>
      </c>
      <c r="U207" s="646" t="s">
        <v>351</v>
      </c>
      <c r="V207" s="640">
        <v>0</v>
      </c>
      <c r="W207" s="640">
        <v>0</v>
      </c>
      <c r="X207" s="640">
        <v>0</v>
      </c>
      <c r="Y207" s="640">
        <v>0</v>
      </c>
      <c r="Z207" s="640">
        <v>0</v>
      </c>
      <c r="AA207" s="640">
        <v>0</v>
      </c>
      <c r="AB207" s="640" t="e">
        <v>#VALUE!</v>
      </c>
      <c r="AC207" s="640">
        <v>0</v>
      </c>
      <c r="AD207" s="640">
        <v>-76.638831624044727</v>
      </c>
      <c r="AE207" s="640">
        <v>0</v>
      </c>
      <c r="AF207" s="640">
        <v>0</v>
      </c>
      <c r="AG207" s="640">
        <v>0</v>
      </c>
      <c r="AH207" s="640">
        <v>0</v>
      </c>
      <c r="AI207" s="640">
        <v>0</v>
      </c>
      <c r="AJ207" s="640">
        <v>0</v>
      </c>
      <c r="AK207" s="648">
        <v>-76.638831624044727</v>
      </c>
    </row>
    <row r="208" spans="3:37" x14ac:dyDescent="0.2">
      <c r="C208" s="646" t="s">
        <v>352</v>
      </c>
      <c r="D208" s="640">
        <v>0</v>
      </c>
      <c r="E208" s="640">
        <v>0</v>
      </c>
      <c r="F208" s="640">
        <v>0</v>
      </c>
      <c r="G208" s="640">
        <v>0</v>
      </c>
      <c r="H208" s="640">
        <v>0</v>
      </c>
      <c r="I208" s="640">
        <v>0</v>
      </c>
      <c r="J208" s="640">
        <v>0</v>
      </c>
      <c r="K208" s="640">
        <v>0</v>
      </c>
      <c r="L208" s="640">
        <v>0</v>
      </c>
      <c r="M208" s="640">
        <v>0</v>
      </c>
      <c r="N208" s="640">
        <v>0</v>
      </c>
      <c r="O208" s="640">
        <v>0</v>
      </c>
      <c r="P208" s="640">
        <v>0</v>
      </c>
      <c r="Q208" s="640">
        <v>0</v>
      </c>
      <c r="R208" s="640">
        <v>0</v>
      </c>
      <c r="S208" s="648">
        <v>0</v>
      </c>
      <c r="U208" s="646" t="s">
        <v>352</v>
      </c>
      <c r="V208" s="640">
        <v>0</v>
      </c>
      <c r="W208" s="640">
        <v>0</v>
      </c>
      <c r="X208" s="640">
        <v>0</v>
      </c>
      <c r="Y208" s="640">
        <v>0</v>
      </c>
      <c r="Z208" s="640">
        <v>0</v>
      </c>
      <c r="AA208" s="640">
        <v>0</v>
      </c>
      <c r="AB208" s="640">
        <v>0</v>
      </c>
      <c r="AC208" s="640">
        <v>0</v>
      </c>
      <c r="AD208" s="640">
        <v>-16.893833779014706</v>
      </c>
      <c r="AE208" s="640">
        <v>0</v>
      </c>
      <c r="AF208" s="640">
        <v>0</v>
      </c>
      <c r="AG208" s="640">
        <v>0</v>
      </c>
      <c r="AH208" s="640">
        <v>0</v>
      </c>
      <c r="AI208" s="640">
        <v>0</v>
      </c>
      <c r="AJ208" s="640">
        <v>0</v>
      </c>
      <c r="AK208" s="648">
        <v>-16.893833779014706</v>
      </c>
    </row>
    <row r="209" spans="3:37" x14ac:dyDescent="0.2">
      <c r="C209" s="646" t="s">
        <v>73</v>
      </c>
      <c r="D209" s="640">
        <v>0</v>
      </c>
      <c r="E209" s="640">
        <v>0</v>
      </c>
      <c r="F209" s="640">
        <v>0</v>
      </c>
      <c r="G209" s="640">
        <v>2.9190475912378031</v>
      </c>
      <c r="H209" s="640">
        <v>0</v>
      </c>
      <c r="I209" s="640">
        <v>0</v>
      </c>
      <c r="J209" s="640">
        <v>0</v>
      </c>
      <c r="K209" s="640">
        <v>3.3095777678433143E-2</v>
      </c>
      <c r="L209" s="640">
        <v>0</v>
      </c>
      <c r="M209" s="640">
        <v>5.9572399821179664E-2</v>
      </c>
      <c r="N209" s="640">
        <v>0</v>
      </c>
      <c r="O209" s="640">
        <v>0</v>
      </c>
      <c r="P209" s="640">
        <v>0.31236464325712177</v>
      </c>
      <c r="Q209" s="640">
        <v>0</v>
      </c>
      <c r="R209" s="640">
        <v>-2.3167044374903201</v>
      </c>
      <c r="S209" s="648">
        <v>1.0073759745042175</v>
      </c>
      <c r="U209" s="646" t="s">
        <v>73</v>
      </c>
      <c r="V209" s="640">
        <v>0</v>
      </c>
      <c r="W209" s="640">
        <v>0</v>
      </c>
      <c r="X209" s="640">
        <v>0</v>
      </c>
      <c r="Y209" s="640">
        <v>6.287229939138852</v>
      </c>
      <c r="Z209" s="640">
        <v>0</v>
      </c>
      <c r="AA209" s="640">
        <v>0</v>
      </c>
      <c r="AB209" s="640">
        <v>0</v>
      </c>
      <c r="AC209" s="640">
        <v>0.25073698660573684</v>
      </c>
      <c r="AD209" s="640">
        <v>0</v>
      </c>
      <c r="AE209" s="640">
        <v>1.1095111657303856</v>
      </c>
      <c r="AF209" s="640">
        <v>0</v>
      </c>
      <c r="AG209" s="640">
        <v>0</v>
      </c>
      <c r="AH209" s="640">
        <v>18.274688237257074</v>
      </c>
      <c r="AI209" s="640">
        <v>0</v>
      </c>
      <c r="AJ209" s="640">
        <v>-17.551589062401579</v>
      </c>
      <c r="AK209" s="648">
        <v>8.3705772663304678</v>
      </c>
    </row>
    <row r="210" spans="3:37" x14ac:dyDescent="0.2">
      <c r="C210" s="646" t="s">
        <v>353</v>
      </c>
      <c r="D210" s="640">
        <v>28.656195468750003</v>
      </c>
      <c r="E210" s="640">
        <v>-18.804327446398823</v>
      </c>
      <c r="F210" s="640">
        <v>24.594949618470011</v>
      </c>
      <c r="G210" s="640">
        <v>0</v>
      </c>
      <c r="H210" s="640">
        <v>0</v>
      </c>
      <c r="I210" s="640">
        <v>0</v>
      </c>
      <c r="J210" s="640">
        <v>0</v>
      </c>
      <c r="K210" s="640">
        <v>0</v>
      </c>
      <c r="L210" s="640">
        <v>0</v>
      </c>
      <c r="M210" s="640">
        <v>0</v>
      </c>
      <c r="N210" s="640">
        <v>0</v>
      </c>
      <c r="O210" s="640">
        <v>0</v>
      </c>
      <c r="P210" s="640">
        <v>0</v>
      </c>
      <c r="Q210" s="640">
        <v>0</v>
      </c>
      <c r="R210" s="640">
        <v>0</v>
      </c>
      <c r="S210" s="648">
        <v>34.446817640821195</v>
      </c>
      <c r="U210" s="646" t="s">
        <v>353</v>
      </c>
      <c r="V210" s="640">
        <v>3.6632235107421875</v>
      </c>
      <c r="W210" s="640">
        <v>-12.298081614140758</v>
      </c>
      <c r="X210" s="640">
        <v>16.085164362607916</v>
      </c>
      <c r="Y210" s="640">
        <v>0</v>
      </c>
      <c r="Z210" s="640">
        <v>0</v>
      </c>
      <c r="AA210" s="640">
        <v>0</v>
      </c>
      <c r="AB210" s="640">
        <v>0</v>
      </c>
      <c r="AC210" s="640">
        <v>0</v>
      </c>
      <c r="AD210" s="640">
        <v>0</v>
      </c>
      <c r="AE210" s="640">
        <v>0</v>
      </c>
      <c r="AF210" s="640">
        <v>0</v>
      </c>
      <c r="AG210" s="640">
        <v>0</v>
      </c>
      <c r="AH210" s="640">
        <v>0</v>
      </c>
      <c r="AI210" s="640">
        <v>0</v>
      </c>
      <c r="AJ210" s="640">
        <v>0</v>
      </c>
      <c r="AK210" s="648">
        <v>7.450306259209345</v>
      </c>
    </row>
    <row r="211" spans="3:37" x14ac:dyDescent="0.2">
      <c r="C211" s="646" t="s">
        <v>75</v>
      </c>
      <c r="D211" s="640">
        <v>11.144076015625002</v>
      </c>
      <c r="E211" s="640">
        <v>0</v>
      </c>
      <c r="F211" s="640">
        <v>18.451576715081096</v>
      </c>
      <c r="G211" s="640">
        <v>5.2652116849916704</v>
      </c>
      <c r="H211" s="640">
        <v>0</v>
      </c>
      <c r="I211" s="640">
        <v>0</v>
      </c>
      <c r="J211" s="640">
        <v>0</v>
      </c>
      <c r="K211" s="640">
        <v>0</v>
      </c>
      <c r="L211" s="640">
        <v>0</v>
      </c>
      <c r="M211" s="640">
        <v>0.10745329969370757</v>
      </c>
      <c r="N211" s="640">
        <v>0</v>
      </c>
      <c r="O211" s="640">
        <v>0</v>
      </c>
      <c r="P211" s="640">
        <v>33.522260759660846</v>
      </c>
      <c r="Q211" s="640">
        <v>0</v>
      </c>
      <c r="R211" s="640">
        <v>0</v>
      </c>
      <c r="S211" s="648">
        <v>68.490578475052317</v>
      </c>
      <c r="U211" s="646" t="s">
        <v>75</v>
      </c>
      <c r="V211" s="640">
        <v>4.4693862304687499</v>
      </c>
      <c r="W211" s="640">
        <v>0</v>
      </c>
      <c r="X211" s="640">
        <v>18.451576715081096</v>
      </c>
      <c r="Y211" s="640">
        <v>4.5667652369825715</v>
      </c>
      <c r="Z211" s="640">
        <v>0</v>
      </c>
      <c r="AA211" s="640">
        <v>0</v>
      </c>
      <c r="AB211" s="640">
        <v>0</v>
      </c>
      <c r="AC211" s="640">
        <v>0</v>
      </c>
      <c r="AD211" s="640">
        <v>0</v>
      </c>
      <c r="AE211" s="640">
        <v>0.8058997477028067</v>
      </c>
      <c r="AF211" s="640">
        <v>0</v>
      </c>
      <c r="AG211" s="640">
        <v>0</v>
      </c>
      <c r="AH211" s="640">
        <v>33.775215305115388</v>
      </c>
      <c r="AI211" s="640">
        <v>0</v>
      </c>
      <c r="AJ211" s="640">
        <v>0</v>
      </c>
      <c r="AK211" s="648">
        <v>62.068843235350613</v>
      </c>
    </row>
    <row r="212" spans="3:37" x14ac:dyDescent="0.2">
      <c r="C212" s="646" t="s">
        <v>76</v>
      </c>
      <c r="D212" s="640">
        <v>0</v>
      </c>
      <c r="E212" s="640">
        <v>0</v>
      </c>
      <c r="F212" s="640">
        <v>0</v>
      </c>
      <c r="G212" s="640">
        <v>3.8313802109978718</v>
      </c>
      <c r="H212" s="640">
        <v>0</v>
      </c>
      <c r="I212" s="640">
        <v>0</v>
      </c>
      <c r="J212" s="640">
        <v>0</v>
      </c>
      <c r="K212" s="640">
        <v>0</v>
      </c>
      <c r="L212" s="640">
        <v>0</v>
      </c>
      <c r="M212" s="640">
        <v>7.8191432877507586E-2</v>
      </c>
      <c r="N212" s="640">
        <v>0</v>
      </c>
      <c r="O212" s="640">
        <v>0</v>
      </c>
      <c r="P212" s="640">
        <v>42.744249460921445</v>
      </c>
      <c r="Q212" s="640">
        <v>2.9948048478615572</v>
      </c>
      <c r="R212" s="640">
        <v>0</v>
      </c>
      <c r="S212" s="648">
        <v>49.648625952658385</v>
      </c>
      <c r="U212" s="646" t="s">
        <v>76</v>
      </c>
      <c r="V212" s="640">
        <v>0</v>
      </c>
      <c r="W212" s="640">
        <v>0</v>
      </c>
      <c r="X212" s="640">
        <v>0</v>
      </c>
      <c r="Y212" s="640">
        <v>2.4425535766751323</v>
      </c>
      <c r="Z212" s="640">
        <v>0</v>
      </c>
      <c r="AA212" s="640">
        <v>0</v>
      </c>
      <c r="AB212" s="640">
        <v>0</v>
      </c>
      <c r="AC212" s="640">
        <v>0</v>
      </c>
      <c r="AD212" s="640">
        <v>0</v>
      </c>
      <c r="AE212" s="640">
        <v>0.43103886647208217</v>
      </c>
      <c r="AF212" s="640">
        <v>0</v>
      </c>
      <c r="AG212" s="640">
        <v>0</v>
      </c>
      <c r="AH212" s="640">
        <v>44.348699545879278</v>
      </c>
      <c r="AI212" s="640">
        <v>5.6786643797858867</v>
      </c>
      <c r="AJ212" s="640">
        <v>0</v>
      </c>
      <c r="AK212" s="648">
        <v>52.900956368812388</v>
      </c>
    </row>
    <row r="213" spans="3:37" x14ac:dyDescent="0.2">
      <c r="C213" s="644" t="s">
        <v>77</v>
      </c>
      <c r="D213" s="645">
        <v>42.627057125400256</v>
      </c>
      <c r="E213" s="645">
        <v>523.88910535010393</v>
      </c>
      <c r="F213" s="645">
        <v>-486.25029902863446</v>
      </c>
      <c r="G213" s="645">
        <v>44.598587346134217</v>
      </c>
      <c r="H213" s="645">
        <v>1075.0000000000002</v>
      </c>
      <c r="I213" s="645">
        <v>224.13674723416887</v>
      </c>
      <c r="J213" s="645">
        <v>83.541447222318993</v>
      </c>
      <c r="K213" s="645">
        <v>19.633041740965588</v>
      </c>
      <c r="L213" s="645">
        <v>-30.296984724016522</v>
      </c>
      <c r="M213" s="645">
        <v>-5.5459776813090693</v>
      </c>
      <c r="N213" s="645">
        <v>0</v>
      </c>
      <c r="O213" s="645">
        <v>5.2372199657233862</v>
      </c>
      <c r="P213" s="645">
        <v>-532.72264320989325</v>
      </c>
      <c r="Q213" s="645">
        <v>-35.594581328511254</v>
      </c>
      <c r="R213" s="645">
        <v>-2.3167044374903201</v>
      </c>
      <c r="S213" s="645">
        <v>925.93601557496061</v>
      </c>
      <c r="U213" s="644" t="s">
        <v>77</v>
      </c>
      <c r="V213" s="645">
        <v>8.7589246466696284</v>
      </c>
      <c r="W213" s="645">
        <v>342.62490869295175</v>
      </c>
      <c r="X213" s="645">
        <v>-312.73098258361676</v>
      </c>
      <c r="Y213" s="645">
        <v>53.445107496027774</v>
      </c>
      <c r="Z213" s="645">
        <v>994.39393939393949</v>
      </c>
      <c r="AA213" s="645">
        <v>248.70674723416883</v>
      </c>
      <c r="AB213" s="645">
        <v>93.928049103898687</v>
      </c>
      <c r="AC213" s="645">
        <v>32.303919388897036</v>
      </c>
      <c r="AD213" s="645">
        <v>-91.079559998548305</v>
      </c>
      <c r="AE213" s="645">
        <v>-26.781463608290892</v>
      </c>
      <c r="AF213" s="645">
        <v>0</v>
      </c>
      <c r="AG213" s="645">
        <v>11.393749064396903</v>
      </c>
      <c r="AH213" s="645">
        <v>-515.37291498548086</v>
      </c>
      <c r="AI213" s="645">
        <v>-67.545290041896138</v>
      </c>
      <c r="AJ213" s="645">
        <v>-15.176589062401579</v>
      </c>
      <c r="AK213" s="645">
        <v>756.86854474071572</v>
      </c>
    </row>
    <row r="214" spans="3:37" x14ac:dyDescent="0.2">
      <c r="C214" s="634"/>
      <c r="D214" s="634">
        <v>0</v>
      </c>
      <c r="E214" s="634">
        <v>0</v>
      </c>
      <c r="F214" s="634">
        <v>0</v>
      </c>
      <c r="G214" s="634">
        <v>0</v>
      </c>
      <c r="H214" s="634">
        <v>0</v>
      </c>
      <c r="I214" s="634">
        <v>0</v>
      </c>
      <c r="J214" s="634">
        <v>0</v>
      </c>
      <c r="K214" s="634">
        <v>0</v>
      </c>
      <c r="L214" s="634">
        <v>0</v>
      </c>
      <c r="M214" s="634">
        <v>0</v>
      </c>
      <c r="N214" s="634">
        <v>0</v>
      </c>
      <c r="O214" s="634">
        <v>0</v>
      </c>
      <c r="P214" s="634">
        <v>0</v>
      </c>
      <c r="Q214" s="634">
        <v>0</v>
      </c>
      <c r="R214" s="634">
        <v>0</v>
      </c>
      <c r="S214" s="634">
        <v>0</v>
      </c>
      <c r="U214" s="634"/>
      <c r="V214" s="634">
        <v>0</v>
      </c>
      <c r="W214" s="634">
        <v>0</v>
      </c>
      <c r="X214" s="634">
        <v>0</v>
      </c>
      <c r="Y214" s="634">
        <v>0</v>
      </c>
      <c r="Z214" s="634">
        <v>0</v>
      </c>
      <c r="AA214" s="634">
        <v>0</v>
      </c>
      <c r="AB214" s="634">
        <v>0</v>
      </c>
      <c r="AC214" s="634">
        <v>0</v>
      </c>
      <c r="AD214" s="634">
        <v>0</v>
      </c>
      <c r="AE214" s="634">
        <v>0</v>
      </c>
      <c r="AF214" s="634">
        <v>0</v>
      </c>
      <c r="AG214" s="634">
        <v>0</v>
      </c>
      <c r="AH214" s="634">
        <v>0</v>
      </c>
      <c r="AI214" s="634">
        <v>0</v>
      </c>
      <c r="AJ214" s="634">
        <v>0</v>
      </c>
      <c r="AK214" s="634">
        <v>0</v>
      </c>
    </row>
    <row r="215" spans="3:37" x14ac:dyDescent="0.2">
      <c r="C215" s="646" t="s">
        <v>78</v>
      </c>
      <c r="D215" s="640">
        <v>6.2002081056415257</v>
      </c>
      <c r="E215" s="640">
        <v>0</v>
      </c>
      <c r="F215" s="640">
        <v>23.255205938178186</v>
      </c>
      <c r="G215" s="640">
        <v>101.12865293850786</v>
      </c>
      <c r="H215" s="640">
        <v>0</v>
      </c>
      <c r="I215" s="640">
        <v>0</v>
      </c>
      <c r="J215" s="640">
        <v>19.565687098295676</v>
      </c>
      <c r="K215" s="640">
        <v>1.7744589215827917</v>
      </c>
      <c r="L215" s="640">
        <v>0.87520713476562495</v>
      </c>
      <c r="M215" s="640">
        <v>2.0825226770622867</v>
      </c>
      <c r="N215" s="640">
        <v>0</v>
      </c>
      <c r="O215" s="640">
        <v>3.8067188808088001E-4</v>
      </c>
      <c r="P215" s="640">
        <v>109.76937284793219</v>
      </c>
      <c r="Q215" s="640">
        <v>16.103287978552984</v>
      </c>
      <c r="R215" s="640">
        <v>0.32868640136718752</v>
      </c>
      <c r="S215" s="648">
        <v>281.08367071377444</v>
      </c>
      <c r="U215" s="646" t="s">
        <v>78</v>
      </c>
      <c r="V215" s="640">
        <v>1.01942505552247</v>
      </c>
      <c r="W215" s="640">
        <v>0</v>
      </c>
      <c r="X215" s="640">
        <v>12.936117077553076</v>
      </c>
      <c r="Y215" s="640">
        <v>67.349539979102474</v>
      </c>
      <c r="Z215" s="640">
        <v>0</v>
      </c>
      <c r="AA215" s="640">
        <v>0</v>
      </c>
      <c r="AB215" s="640">
        <v>16.313565187348217</v>
      </c>
      <c r="AC215" s="640">
        <v>5.7022810919996436</v>
      </c>
      <c r="AD215" s="640">
        <v>2.2588896484375001</v>
      </c>
      <c r="AE215" s="640">
        <v>11.903885554581411</v>
      </c>
      <c r="AF215" s="640">
        <v>0</v>
      </c>
      <c r="AG215" s="640">
        <v>3.8067188808088001E-4</v>
      </c>
      <c r="AH215" s="640">
        <v>135.13428233654639</v>
      </c>
      <c r="AI215" s="640">
        <v>21.466888656055119</v>
      </c>
      <c r="AJ215" s="640">
        <v>5.7972734375000003</v>
      </c>
      <c r="AK215" s="648">
        <v>279.88252869653439</v>
      </c>
    </row>
    <row r="216" spans="3:37" x14ac:dyDescent="0.2">
      <c r="C216" s="646" t="s">
        <v>79</v>
      </c>
      <c r="D216" s="640">
        <v>0</v>
      </c>
      <c r="E216" s="640">
        <v>0</v>
      </c>
      <c r="F216" s="640">
        <v>291.38745921478562</v>
      </c>
      <c r="G216" s="640">
        <v>24.020829745272028</v>
      </c>
      <c r="H216" s="640">
        <v>0</v>
      </c>
      <c r="I216" s="640">
        <v>0</v>
      </c>
      <c r="J216" s="640">
        <v>0</v>
      </c>
      <c r="K216" s="640">
        <v>0</v>
      </c>
      <c r="L216" s="640">
        <v>28.280041762715456</v>
      </c>
      <c r="M216" s="640">
        <v>0.49022101520963324</v>
      </c>
      <c r="N216" s="640">
        <v>0</v>
      </c>
      <c r="O216" s="640">
        <v>0</v>
      </c>
      <c r="P216" s="640">
        <v>46.654707564142761</v>
      </c>
      <c r="Q216" s="640">
        <v>0</v>
      </c>
      <c r="R216" s="640">
        <v>1.1135281120019407</v>
      </c>
      <c r="S216" s="648">
        <v>391.94678741412741</v>
      </c>
      <c r="U216" s="646" t="s">
        <v>79</v>
      </c>
      <c r="V216" s="640">
        <v>0</v>
      </c>
      <c r="W216" s="640">
        <v>0</v>
      </c>
      <c r="X216" s="640">
        <v>152.5395921226515</v>
      </c>
      <c r="Y216" s="640">
        <v>18.931026789455995</v>
      </c>
      <c r="Z216" s="640">
        <v>0</v>
      </c>
      <c r="AA216" s="640">
        <v>0</v>
      </c>
      <c r="AB216" s="640">
        <v>0</v>
      </c>
      <c r="AC216" s="640">
        <v>0</v>
      </c>
      <c r="AD216" s="640">
        <v>49.546406871337183</v>
      </c>
      <c r="AE216" s="640">
        <v>3.3407694334334113</v>
      </c>
      <c r="AF216" s="640">
        <v>0</v>
      </c>
      <c r="AG216" s="640">
        <v>0</v>
      </c>
      <c r="AH216" s="640">
        <v>60.923926311544285</v>
      </c>
      <c r="AI216" s="640">
        <v>0</v>
      </c>
      <c r="AJ216" s="640">
        <v>2.0956611258816777</v>
      </c>
      <c r="AK216" s="648">
        <v>287.37738265430403</v>
      </c>
    </row>
    <row r="217" spans="3:37" x14ac:dyDescent="0.2">
      <c r="C217" s="646" t="s">
        <v>80</v>
      </c>
      <c r="D217" s="640">
        <v>0</v>
      </c>
      <c r="E217" s="640">
        <v>0</v>
      </c>
      <c r="F217" s="640">
        <v>24.366054746482678</v>
      </c>
      <c r="G217" s="640">
        <v>88.830627596834503</v>
      </c>
      <c r="H217" s="640">
        <v>0</v>
      </c>
      <c r="I217" s="640">
        <v>0</v>
      </c>
      <c r="J217" s="640">
        <v>86.298448588028648</v>
      </c>
      <c r="K217" s="640">
        <v>0</v>
      </c>
      <c r="L217" s="640">
        <v>0</v>
      </c>
      <c r="M217" s="640">
        <v>1.8128699509558064</v>
      </c>
      <c r="N217" s="640">
        <v>49.305914152356948</v>
      </c>
      <c r="O217" s="640">
        <v>1.9759423218950023</v>
      </c>
      <c r="P217" s="640">
        <v>183.08170703950353</v>
      </c>
      <c r="Q217" s="640">
        <v>15.629207143582217</v>
      </c>
      <c r="R217" s="640">
        <v>0</v>
      </c>
      <c r="S217" s="648">
        <v>451.3007715396393</v>
      </c>
      <c r="U217" s="646" t="s">
        <v>80</v>
      </c>
      <c r="V217" s="640">
        <v>0</v>
      </c>
      <c r="W217" s="640">
        <v>0</v>
      </c>
      <c r="X217" s="640">
        <v>1.5212022418020299</v>
      </c>
      <c r="Y217" s="640">
        <v>34.748278571527685</v>
      </c>
      <c r="Z217" s="640">
        <v>0</v>
      </c>
      <c r="AA217" s="640">
        <v>0</v>
      </c>
      <c r="AB217" s="640">
        <v>75.181836567082826</v>
      </c>
      <c r="AC217" s="640">
        <v>0</v>
      </c>
      <c r="AD217" s="640">
        <v>0</v>
      </c>
      <c r="AE217" s="640">
        <v>6.1320491596813564</v>
      </c>
      <c r="AF217" s="640">
        <v>62.645467095100628</v>
      </c>
      <c r="AG217" s="640">
        <v>2.6978117080871646</v>
      </c>
      <c r="AH217" s="640">
        <v>158.40967854762758</v>
      </c>
      <c r="AI217" s="640">
        <v>35.928967439236224</v>
      </c>
      <c r="AJ217" s="640">
        <v>0</v>
      </c>
      <c r="AK217" s="648">
        <v>377.26529133014549</v>
      </c>
    </row>
    <row r="218" spans="3:37" x14ac:dyDescent="0.2">
      <c r="C218" s="646" t="s">
        <v>81</v>
      </c>
      <c r="D218" s="640">
        <v>0</v>
      </c>
      <c r="E218" s="640">
        <v>0</v>
      </c>
      <c r="F218" s="640">
        <v>9.1434406229634497</v>
      </c>
      <c r="G218" s="640">
        <v>62.772902131190932</v>
      </c>
      <c r="H218" s="640">
        <v>0</v>
      </c>
      <c r="I218" s="640">
        <v>0</v>
      </c>
      <c r="J218" s="640">
        <v>3.3792389882828151</v>
      </c>
      <c r="K218" s="640">
        <v>2.5053216415896862E-2</v>
      </c>
      <c r="L218" s="640">
        <v>0</v>
      </c>
      <c r="M218" s="640">
        <v>1.2810796353304272</v>
      </c>
      <c r="N218" s="640">
        <v>8.5204805498073064</v>
      </c>
      <c r="O218" s="640">
        <v>0.77988306826531983</v>
      </c>
      <c r="P218" s="640">
        <v>134.9475862077569</v>
      </c>
      <c r="Q218" s="640">
        <v>3.8620862063760555</v>
      </c>
      <c r="R218" s="640">
        <v>0</v>
      </c>
      <c r="S218" s="648">
        <v>224.71175062638912</v>
      </c>
      <c r="U218" s="646" t="s">
        <v>81</v>
      </c>
      <c r="V218" s="640">
        <v>0</v>
      </c>
      <c r="W218" s="640">
        <v>0</v>
      </c>
      <c r="X218" s="640">
        <v>2.5747324311170368</v>
      </c>
      <c r="Y218" s="640">
        <v>28.050706446538126</v>
      </c>
      <c r="Z218" s="640">
        <v>0</v>
      </c>
      <c r="AA218" s="640">
        <v>0</v>
      </c>
      <c r="AB218" s="640">
        <v>7.5276105699702738</v>
      </c>
      <c r="AC218" s="640">
        <v>2.5053216415896862E-2</v>
      </c>
      <c r="AD218" s="640">
        <v>0</v>
      </c>
      <c r="AE218" s="640">
        <v>4.9501246670361398</v>
      </c>
      <c r="AF218" s="640">
        <v>14.347345485370148</v>
      </c>
      <c r="AG218" s="640">
        <v>1.6839822655905561</v>
      </c>
      <c r="AH218" s="640">
        <v>120.05488498756245</v>
      </c>
      <c r="AI218" s="640">
        <v>10.149433946604795</v>
      </c>
      <c r="AJ218" s="640">
        <v>0</v>
      </c>
      <c r="AK218" s="648">
        <v>189.36387401620541</v>
      </c>
    </row>
    <row r="219" spans="3:37" x14ac:dyDescent="0.2">
      <c r="C219" s="646" t="s">
        <v>82</v>
      </c>
      <c r="D219" s="640">
        <v>0</v>
      </c>
      <c r="E219" s="640">
        <v>0</v>
      </c>
      <c r="F219" s="640">
        <v>31.378359933180146</v>
      </c>
      <c r="G219" s="640">
        <v>1.761464702880946</v>
      </c>
      <c r="H219" s="640">
        <v>0</v>
      </c>
      <c r="I219" s="640">
        <v>0</v>
      </c>
      <c r="J219" s="640">
        <v>2.5129576329044134</v>
      </c>
      <c r="K219" s="640">
        <v>0</v>
      </c>
      <c r="L219" s="640">
        <v>2.7366524531426237</v>
      </c>
      <c r="M219" s="640">
        <v>3.5948259242468285E-2</v>
      </c>
      <c r="N219" s="640">
        <v>0</v>
      </c>
      <c r="O219" s="640">
        <v>7.8328904674825409E-2</v>
      </c>
      <c r="P219" s="640">
        <v>7.1029233048090266</v>
      </c>
      <c r="Q219" s="640">
        <v>0</v>
      </c>
      <c r="R219" s="640">
        <v>0</v>
      </c>
      <c r="S219" s="648">
        <v>45.606635190834446</v>
      </c>
      <c r="U219" s="646" t="s">
        <v>82</v>
      </c>
      <c r="V219" s="640">
        <v>0</v>
      </c>
      <c r="W219" s="640">
        <v>0</v>
      </c>
      <c r="X219" s="640">
        <v>18.696617357576709</v>
      </c>
      <c r="Y219" s="640">
        <v>1.906896096641761</v>
      </c>
      <c r="Z219" s="640">
        <v>0</v>
      </c>
      <c r="AA219" s="640">
        <v>0</v>
      </c>
      <c r="AB219" s="640">
        <v>2.5129576329044134</v>
      </c>
      <c r="AC219" s="640">
        <v>0</v>
      </c>
      <c r="AD219" s="640">
        <v>18.28747352858748</v>
      </c>
      <c r="AE219" s="640">
        <v>0.33651107587795781</v>
      </c>
      <c r="AF219" s="640">
        <v>0</v>
      </c>
      <c r="AG219" s="640">
        <v>0.96290247555165809</v>
      </c>
      <c r="AH219" s="640">
        <v>7.1739705565638916</v>
      </c>
      <c r="AI219" s="640">
        <v>0</v>
      </c>
      <c r="AJ219" s="640">
        <v>0.24940873791150003</v>
      </c>
      <c r="AK219" s="648">
        <v>50.12673746161537</v>
      </c>
    </row>
    <row r="220" spans="3:37" x14ac:dyDescent="0.2">
      <c r="C220" s="646" t="s">
        <v>354</v>
      </c>
      <c r="D220" s="640">
        <v>0</v>
      </c>
      <c r="E220" s="640">
        <v>0</v>
      </c>
      <c r="F220" s="640">
        <v>0</v>
      </c>
      <c r="G220" s="640">
        <v>0</v>
      </c>
      <c r="H220" s="640">
        <v>0</v>
      </c>
      <c r="I220" s="640">
        <v>0</v>
      </c>
      <c r="J220" s="640">
        <v>0</v>
      </c>
      <c r="K220" s="640">
        <v>0</v>
      </c>
      <c r="L220" s="640">
        <v>0</v>
      </c>
      <c r="M220" s="640">
        <v>0</v>
      </c>
      <c r="N220" s="640">
        <v>0</v>
      </c>
      <c r="O220" s="640">
        <v>0</v>
      </c>
      <c r="P220" s="640">
        <v>0.22499999999999998</v>
      </c>
      <c r="Q220" s="640">
        <v>0</v>
      </c>
      <c r="R220" s="640">
        <v>0</v>
      </c>
      <c r="S220" s="648">
        <v>0.22499999999999998</v>
      </c>
      <c r="U220" s="646" t="s">
        <v>354</v>
      </c>
      <c r="V220" s="640">
        <v>0</v>
      </c>
      <c r="W220" s="640">
        <v>0</v>
      </c>
      <c r="X220" s="640">
        <v>0</v>
      </c>
      <c r="Y220" s="640">
        <v>0</v>
      </c>
      <c r="Z220" s="640">
        <v>0</v>
      </c>
      <c r="AA220" s="640">
        <v>0</v>
      </c>
      <c r="AB220" s="640">
        <v>0</v>
      </c>
      <c r="AC220" s="640">
        <v>0</v>
      </c>
      <c r="AD220" s="640">
        <v>0</v>
      </c>
      <c r="AE220" s="640">
        <v>0</v>
      </c>
      <c r="AF220" s="640">
        <v>0</v>
      </c>
      <c r="AG220" s="640">
        <v>0</v>
      </c>
      <c r="AH220" s="640">
        <v>1.2</v>
      </c>
      <c r="AI220" s="640">
        <v>0</v>
      </c>
      <c r="AJ220" s="640">
        <v>0</v>
      </c>
      <c r="AK220" s="648">
        <v>1.2</v>
      </c>
    </row>
    <row r="221" spans="3:37" x14ac:dyDescent="0.2">
      <c r="C221" s="644" t="s">
        <v>83</v>
      </c>
      <c r="D221" s="645">
        <v>6.2002081056415257</v>
      </c>
      <c r="E221" s="645">
        <v>0</v>
      </c>
      <c r="F221" s="645">
        <v>379.53052045559002</v>
      </c>
      <c r="G221" s="645">
        <v>278.51447711468631</v>
      </c>
      <c r="H221" s="645">
        <v>0</v>
      </c>
      <c r="I221" s="645">
        <v>0</v>
      </c>
      <c r="J221" s="645">
        <v>111.75633230751156</v>
      </c>
      <c r="K221" s="645">
        <v>1.7995121379986885</v>
      </c>
      <c r="L221" s="645">
        <v>31.891901350623705</v>
      </c>
      <c r="M221" s="645">
        <v>5.7026415378006226</v>
      </c>
      <c r="N221" s="645">
        <v>57.826394702164251</v>
      </c>
      <c r="O221" s="645">
        <v>2.8345349667232282</v>
      </c>
      <c r="P221" s="645">
        <v>481.78129696414442</v>
      </c>
      <c r="Q221" s="645">
        <v>35.594581328511254</v>
      </c>
      <c r="R221" s="645">
        <v>1.4422145133691282</v>
      </c>
      <c r="S221" s="645">
        <v>1394.8746154847647</v>
      </c>
      <c r="U221" s="644" t="s">
        <v>83</v>
      </c>
      <c r="V221" s="645">
        <v>1.01942505552247</v>
      </c>
      <c r="W221" s="645">
        <v>0</v>
      </c>
      <c r="X221" s="645">
        <v>188.26826123070035</v>
      </c>
      <c r="Y221" s="645">
        <v>150.98644788326604</v>
      </c>
      <c r="Z221" s="645">
        <v>0</v>
      </c>
      <c r="AA221" s="645">
        <v>0</v>
      </c>
      <c r="AB221" s="645">
        <v>101.53596995730574</v>
      </c>
      <c r="AC221" s="645">
        <v>5.727334308415541</v>
      </c>
      <c r="AD221" s="645">
        <v>70.092770048362169</v>
      </c>
      <c r="AE221" s="645">
        <v>26.663339890610278</v>
      </c>
      <c r="AF221" s="645">
        <v>76.992812580470769</v>
      </c>
      <c r="AG221" s="645">
        <v>5.3450771211174599</v>
      </c>
      <c r="AH221" s="645">
        <v>482.89674273984457</v>
      </c>
      <c r="AI221" s="645">
        <v>67.545290041896138</v>
      </c>
      <c r="AJ221" s="645">
        <v>8.1423433012931774</v>
      </c>
      <c r="AK221" s="645">
        <v>1185.2158141588047</v>
      </c>
    </row>
    <row r="222" spans="3:37" x14ac:dyDescent="0.2">
      <c r="C222" s="639" t="s">
        <v>84</v>
      </c>
      <c r="D222" s="640">
        <v>0</v>
      </c>
      <c r="E222" s="640">
        <v>0</v>
      </c>
      <c r="F222" s="640">
        <v>114.78425758185857</v>
      </c>
      <c r="G222" s="640">
        <v>12.028714359769619</v>
      </c>
      <c r="H222" s="640">
        <v>0</v>
      </c>
      <c r="I222" s="640">
        <v>0</v>
      </c>
      <c r="J222" s="640">
        <v>0</v>
      </c>
      <c r="K222" s="640">
        <v>0</v>
      </c>
      <c r="L222" s="640">
        <v>0</v>
      </c>
      <c r="M222" s="640">
        <v>0</v>
      </c>
      <c r="N222" s="640">
        <v>0</v>
      </c>
      <c r="O222" s="640">
        <v>0</v>
      </c>
      <c r="P222" s="640">
        <v>0</v>
      </c>
      <c r="Q222" s="640">
        <v>0</v>
      </c>
      <c r="R222" s="640">
        <v>0.87448992412119186</v>
      </c>
      <c r="S222" s="648">
        <v>127.68746186574938</v>
      </c>
      <c r="U222" s="639" t="s">
        <v>84</v>
      </c>
      <c r="V222" s="640">
        <v>0</v>
      </c>
      <c r="W222" s="640">
        <v>0</v>
      </c>
      <c r="X222" s="640">
        <v>99.887922338380434</v>
      </c>
      <c r="Y222" s="640">
        <v>1.4617397027131513</v>
      </c>
      <c r="Z222" s="640">
        <v>0</v>
      </c>
      <c r="AA222" s="640">
        <v>0</v>
      </c>
      <c r="AB222" s="640">
        <v>0</v>
      </c>
      <c r="AC222" s="640">
        <v>0</v>
      </c>
      <c r="AD222" s="640">
        <v>9.6859590362548822</v>
      </c>
      <c r="AE222" s="640">
        <v>0</v>
      </c>
      <c r="AF222" s="640">
        <v>0</v>
      </c>
      <c r="AG222" s="640">
        <v>0</v>
      </c>
      <c r="AH222" s="640">
        <v>0</v>
      </c>
      <c r="AI222" s="640">
        <v>0</v>
      </c>
      <c r="AJ222" s="640">
        <v>7.0342457611083988</v>
      </c>
      <c r="AK222" s="648">
        <v>118.06986683845686</v>
      </c>
    </row>
    <row r="223" spans="3:37" x14ac:dyDescent="0.2">
      <c r="C223" s="644" t="s">
        <v>85</v>
      </c>
      <c r="D223" s="645">
        <v>6.2002081056415257</v>
      </c>
      <c r="E223" s="645">
        <v>0</v>
      </c>
      <c r="F223" s="645">
        <v>494.3147780374486</v>
      </c>
      <c r="G223" s="645">
        <v>290.54319147445591</v>
      </c>
      <c r="H223" s="645">
        <v>0</v>
      </c>
      <c r="I223" s="645">
        <v>0</v>
      </c>
      <c r="J223" s="645">
        <v>111.75633230751156</v>
      </c>
      <c r="K223" s="645">
        <v>1.7995121379986885</v>
      </c>
      <c r="L223" s="645">
        <v>31.891901350623705</v>
      </c>
      <c r="M223" s="645">
        <v>5.7026415378006226</v>
      </c>
      <c r="N223" s="645">
        <v>57.826394702164251</v>
      </c>
      <c r="O223" s="645">
        <v>2.8345349667232282</v>
      </c>
      <c r="P223" s="645">
        <v>481.78129696414442</v>
      </c>
      <c r="Q223" s="645">
        <v>35.594581328511254</v>
      </c>
      <c r="R223" s="645">
        <v>2.3167044374903201</v>
      </c>
      <c r="S223" s="645">
        <v>1522.5620773505141</v>
      </c>
      <c r="U223" s="644" t="s">
        <v>85</v>
      </c>
      <c r="V223" s="645">
        <v>1.01942505552247</v>
      </c>
      <c r="W223" s="645">
        <v>0</v>
      </c>
      <c r="X223" s="645">
        <v>288.15618356908084</v>
      </c>
      <c r="Y223" s="645">
        <v>152.44818758597918</v>
      </c>
      <c r="Z223" s="645">
        <v>0</v>
      </c>
      <c r="AA223" s="645">
        <v>0</v>
      </c>
      <c r="AB223" s="645">
        <v>101.53596995730574</v>
      </c>
      <c r="AC223" s="645">
        <v>5.727334308415541</v>
      </c>
      <c r="AD223" s="645">
        <v>79.778729084617055</v>
      </c>
      <c r="AE223" s="645">
        <v>26.663339890610278</v>
      </c>
      <c r="AF223" s="645">
        <v>76.992812580470769</v>
      </c>
      <c r="AG223" s="645">
        <v>5.3450771211174599</v>
      </c>
      <c r="AH223" s="645">
        <v>482.89674273984457</v>
      </c>
      <c r="AI223" s="645">
        <v>67.545290041896138</v>
      </c>
      <c r="AJ223" s="645">
        <v>15.176589062401575</v>
      </c>
      <c r="AK223" s="645">
        <v>1303.2856809972616</v>
      </c>
    </row>
    <row r="224" spans="3:37" x14ac:dyDescent="0.2">
      <c r="C224" s="634"/>
      <c r="D224" s="634"/>
      <c r="E224" s="634"/>
      <c r="F224" s="634"/>
      <c r="G224" s="634"/>
      <c r="H224" s="634"/>
      <c r="I224" s="634"/>
      <c r="J224" s="634"/>
      <c r="K224" s="634"/>
      <c r="L224" s="634"/>
      <c r="M224" s="634"/>
      <c r="N224" s="634"/>
      <c r="O224" s="634"/>
      <c r="P224" s="634"/>
      <c r="Q224" s="634"/>
      <c r="R224" s="634"/>
      <c r="S224" s="634"/>
      <c r="U224" s="634"/>
      <c r="V224" s="634"/>
      <c r="W224" s="634"/>
      <c r="X224" s="634"/>
      <c r="Y224" s="634"/>
      <c r="Z224" s="634"/>
      <c r="AA224" s="634"/>
      <c r="AB224" s="634"/>
      <c r="AC224" s="634"/>
      <c r="AD224" s="634"/>
      <c r="AE224" s="634"/>
      <c r="AF224" s="634"/>
      <c r="AG224" s="634"/>
      <c r="AH224" s="634"/>
      <c r="AI224" s="634"/>
      <c r="AJ224" s="634"/>
      <c r="AK224" s="634"/>
    </row>
    <row r="225" spans="3:37" ht="22.5" x14ac:dyDescent="0.3">
      <c r="C225" s="759" t="s">
        <v>359</v>
      </c>
      <c r="D225" s="759"/>
      <c r="E225" s="759"/>
      <c r="F225" s="759"/>
      <c r="G225" s="759"/>
      <c r="H225" s="759"/>
      <c r="I225" s="759"/>
      <c r="J225" s="759"/>
      <c r="K225" s="759"/>
      <c r="L225" s="759"/>
      <c r="M225" s="759"/>
      <c r="N225" s="759"/>
      <c r="O225" s="759"/>
      <c r="P225" s="759"/>
      <c r="Q225" s="759"/>
      <c r="R225" s="759"/>
      <c r="S225" s="759"/>
      <c r="U225" s="759" t="s">
        <v>359</v>
      </c>
      <c r="V225" s="759"/>
      <c r="W225" s="759"/>
      <c r="X225" s="759"/>
      <c r="Y225" s="759"/>
      <c r="Z225" s="759"/>
      <c r="AA225" s="759"/>
      <c r="AB225" s="759"/>
      <c r="AC225" s="759"/>
      <c r="AD225" s="759"/>
      <c r="AE225" s="759"/>
      <c r="AF225" s="759"/>
      <c r="AG225" s="759"/>
      <c r="AH225" s="759"/>
      <c r="AI225" s="759"/>
      <c r="AJ225" s="759"/>
      <c r="AK225" s="759"/>
    </row>
    <row r="226" spans="3:37" x14ac:dyDescent="0.2">
      <c r="C226" s="634"/>
      <c r="D226" s="634"/>
      <c r="E226" s="634"/>
      <c r="F226" s="634"/>
      <c r="G226" s="634"/>
      <c r="H226" s="634"/>
      <c r="I226" s="634"/>
      <c r="J226" s="634"/>
      <c r="K226" s="634"/>
      <c r="L226" s="634"/>
      <c r="M226" s="634"/>
      <c r="N226" s="634"/>
      <c r="O226" s="634"/>
      <c r="P226" s="634"/>
      <c r="Q226" s="634"/>
      <c r="R226" s="634"/>
      <c r="S226" s="634"/>
      <c r="U226" s="634"/>
      <c r="V226" s="634"/>
      <c r="W226" s="634"/>
      <c r="X226" s="634"/>
      <c r="Y226" s="634"/>
      <c r="Z226" s="634"/>
      <c r="AA226" s="634"/>
      <c r="AB226" s="634"/>
      <c r="AC226" s="634"/>
      <c r="AD226" s="634"/>
      <c r="AE226" s="634"/>
      <c r="AF226" s="634"/>
      <c r="AG226" s="634"/>
      <c r="AH226" s="634"/>
      <c r="AI226" s="634"/>
      <c r="AJ226" s="634"/>
      <c r="AK226" s="634"/>
    </row>
    <row r="227" spans="3:37" ht="12.95" customHeight="1" x14ac:dyDescent="0.2">
      <c r="C227" s="758" t="s">
        <v>128</v>
      </c>
      <c r="D227" s="757" t="s">
        <v>42</v>
      </c>
      <c r="E227" s="757" t="s">
        <v>52</v>
      </c>
      <c r="F227" s="757" t="s">
        <v>53</v>
      </c>
      <c r="G227" s="757" t="s">
        <v>32</v>
      </c>
      <c r="H227" s="757" t="s">
        <v>20</v>
      </c>
      <c r="I227" s="757" t="s">
        <v>55</v>
      </c>
      <c r="J227" s="757" t="s">
        <v>56</v>
      </c>
      <c r="K227" s="757"/>
      <c r="L227" s="757"/>
      <c r="M227" s="757"/>
      <c r="N227" s="757"/>
      <c r="O227" s="757"/>
      <c r="P227" s="757" t="s">
        <v>57</v>
      </c>
      <c r="Q227" s="757" t="s">
        <v>58</v>
      </c>
      <c r="R227" s="757" t="s">
        <v>31</v>
      </c>
      <c r="S227" s="757" t="s">
        <v>10</v>
      </c>
      <c r="U227" s="758" t="s">
        <v>128</v>
      </c>
      <c r="V227" s="757" t="s">
        <v>42</v>
      </c>
      <c r="W227" s="757" t="s">
        <v>52</v>
      </c>
      <c r="X227" s="757" t="s">
        <v>53</v>
      </c>
      <c r="Y227" s="757" t="s">
        <v>32</v>
      </c>
      <c r="Z227" s="757" t="s">
        <v>20</v>
      </c>
      <c r="AA227" s="757" t="s">
        <v>55</v>
      </c>
      <c r="AB227" s="757" t="s">
        <v>56</v>
      </c>
      <c r="AC227" s="757"/>
      <c r="AD227" s="757"/>
      <c r="AE227" s="757"/>
      <c r="AF227" s="757"/>
      <c r="AG227" s="757"/>
      <c r="AH227" s="757" t="s">
        <v>57</v>
      </c>
      <c r="AI227" s="757" t="s">
        <v>58</v>
      </c>
      <c r="AJ227" s="757" t="s">
        <v>31</v>
      </c>
      <c r="AK227" s="757" t="s">
        <v>10</v>
      </c>
    </row>
    <row r="228" spans="3:37" ht="56.25" x14ac:dyDescent="0.2">
      <c r="C228" s="758"/>
      <c r="D228" s="757"/>
      <c r="E228" s="757"/>
      <c r="F228" s="757"/>
      <c r="G228" s="757"/>
      <c r="H228" s="757"/>
      <c r="I228" s="757"/>
      <c r="J228" s="638" t="s">
        <v>335</v>
      </c>
      <c r="K228" s="638" t="s">
        <v>40</v>
      </c>
      <c r="L228" s="638" t="s">
        <v>343</v>
      </c>
      <c r="M228" s="638" t="s">
        <v>344</v>
      </c>
      <c r="N228" s="638" t="s">
        <v>345</v>
      </c>
      <c r="O228" s="638" t="s">
        <v>346</v>
      </c>
      <c r="P228" s="757"/>
      <c r="Q228" s="757"/>
      <c r="R228" s="757"/>
      <c r="S228" s="757"/>
      <c r="U228" s="758"/>
      <c r="V228" s="757"/>
      <c r="W228" s="757"/>
      <c r="X228" s="757"/>
      <c r="Y228" s="757"/>
      <c r="Z228" s="757"/>
      <c r="AA228" s="757"/>
      <c r="AB228" s="638" t="s">
        <v>335</v>
      </c>
      <c r="AC228" s="638" t="s">
        <v>40</v>
      </c>
      <c r="AD228" s="638" t="s">
        <v>343</v>
      </c>
      <c r="AE228" s="638" t="s">
        <v>344</v>
      </c>
      <c r="AF228" s="638" t="s">
        <v>345</v>
      </c>
      <c r="AG228" s="638" t="s">
        <v>346</v>
      </c>
      <c r="AH228" s="757"/>
      <c r="AI228" s="757"/>
      <c r="AJ228" s="757"/>
      <c r="AK228" s="757"/>
    </row>
    <row r="229" spans="3:37" x14ac:dyDescent="0.2">
      <c r="C229" s="639" t="s">
        <v>59</v>
      </c>
      <c r="D229" s="640">
        <v>0</v>
      </c>
      <c r="E229" s="641">
        <v>2.3260000000000005</v>
      </c>
      <c r="F229" s="641">
        <v>0</v>
      </c>
      <c r="G229" s="640">
        <v>3.7216000000000006E-2</v>
      </c>
      <c r="H229" s="641">
        <v>1005.4545454545456</v>
      </c>
      <c r="I229" s="641">
        <v>248.9826967827097</v>
      </c>
      <c r="J229" s="641">
        <v>189.82090717884753</v>
      </c>
      <c r="K229" s="641">
        <v>21.067323208066789</v>
      </c>
      <c r="L229" s="641">
        <v>0.444514092196865</v>
      </c>
      <c r="M229" s="641">
        <v>0.15770970126630299</v>
      </c>
      <c r="N229" s="641">
        <v>60.832905155553725</v>
      </c>
      <c r="O229" s="641">
        <v>10.347989753579439</v>
      </c>
      <c r="P229" s="642">
        <v>0</v>
      </c>
      <c r="Q229" s="641">
        <v>0</v>
      </c>
      <c r="R229" s="641">
        <v>0</v>
      </c>
      <c r="S229" s="643">
        <v>1539.4718073267661</v>
      </c>
      <c r="U229" s="639" t="s">
        <v>59</v>
      </c>
      <c r="V229" s="640">
        <v>0</v>
      </c>
      <c r="W229" s="641">
        <v>2.3260000000000005</v>
      </c>
      <c r="X229" s="641">
        <v>0</v>
      </c>
      <c r="Y229" s="640">
        <v>3.7216000000000006E-2</v>
      </c>
      <c r="Z229" s="641">
        <v>949.39393939393938</v>
      </c>
      <c r="AA229" s="641">
        <v>279.58269678270966</v>
      </c>
      <c r="AB229" s="641">
        <v>196.53145821434362</v>
      </c>
      <c r="AC229" s="641">
        <v>37.828582612394825</v>
      </c>
      <c r="AD229" s="641">
        <v>0.444514092196865</v>
      </c>
      <c r="AE229" s="641">
        <v>0.15770970126630299</v>
      </c>
      <c r="AF229" s="641">
        <v>86.476611770328219</v>
      </c>
      <c r="AG229" s="641">
        <v>21.065809354780896</v>
      </c>
      <c r="AH229" s="642">
        <v>0</v>
      </c>
      <c r="AI229" s="641">
        <v>0</v>
      </c>
      <c r="AJ229" s="641">
        <v>0</v>
      </c>
      <c r="AK229" s="643">
        <v>1573.8445379219597</v>
      </c>
    </row>
    <row r="230" spans="3:37" x14ac:dyDescent="0.2">
      <c r="C230" s="639" t="s">
        <v>60</v>
      </c>
      <c r="D230" s="640">
        <v>48.372001461449948</v>
      </c>
      <c r="E230" s="641">
        <v>509.74501402008315</v>
      </c>
      <c r="F230" s="641">
        <v>84.255119008679685</v>
      </c>
      <c r="G230" s="640">
        <v>333.85211586331565</v>
      </c>
      <c r="H230" s="641">
        <v>0</v>
      </c>
      <c r="I230" s="641">
        <v>0</v>
      </c>
      <c r="J230" s="641">
        <v>4.1218275156281265</v>
      </c>
      <c r="K230" s="641">
        <v>0</v>
      </c>
      <c r="L230" s="641">
        <v>2.2815668000430724</v>
      </c>
      <c r="M230" s="641">
        <v>0</v>
      </c>
      <c r="N230" s="641">
        <v>0</v>
      </c>
      <c r="O230" s="641">
        <v>0</v>
      </c>
      <c r="P230" s="642">
        <v>0</v>
      </c>
      <c r="Q230" s="641">
        <v>0</v>
      </c>
      <c r="R230" s="641">
        <v>0</v>
      </c>
      <c r="S230" s="643">
        <v>982.62764466919975</v>
      </c>
      <c r="U230" s="639" t="s">
        <v>60</v>
      </c>
      <c r="V230" s="640">
        <v>8.3965846696126416</v>
      </c>
      <c r="W230" s="641">
        <v>294.49378048971494</v>
      </c>
      <c r="X230" s="641">
        <v>18.517216360631103</v>
      </c>
      <c r="Y230" s="640">
        <v>163.11536747865699</v>
      </c>
      <c r="Z230" s="641">
        <v>0</v>
      </c>
      <c r="AA230" s="641">
        <v>0</v>
      </c>
      <c r="AB230" s="641">
        <v>4.1218275156281265</v>
      </c>
      <c r="AC230" s="641">
        <v>0</v>
      </c>
      <c r="AD230" s="641">
        <v>2.2815668000430724</v>
      </c>
      <c r="AE230" s="641">
        <v>0</v>
      </c>
      <c r="AF230" s="641">
        <v>0</v>
      </c>
      <c r="AG230" s="641">
        <v>0</v>
      </c>
      <c r="AH230" s="642">
        <v>0</v>
      </c>
      <c r="AI230" s="641">
        <v>0</v>
      </c>
      <c r="AJ230" s="641">
        <v>0</v>
      </c>
      <c r="AK230" s="643">
        <v>490.9263433142869</v>
      </c>
    </row>
    <row r="231" spans="3:37" x14ac:dyDescent="0.2">
      <c r="C231" s="639" t="s">
        <v>61</v>
      </c>
      <c r="D231" s="640">
        <v>0</v>
      </c>
      <c r="E231" s="641">
        <v>0</v>
      </c>
      <c r="F231" s="641">
        <v>0</v>
      </c>
      <c r="G231" s="640">
        <v>0</v>
      </c>
      <c r="H231" s="641">
        <v>0</v>
      </c>
      <c r="I231" s="641">
        <v>0</v>
      </c>
      <c r="J231" s="641">
        <v>0</v>
      </c>
      <c r="K231" s="641">
        <v>0</v>
      </c>
      <c r="L231" s="641">
        <v>0</v>
      </c>
      <c r="M231" s="641">
        <v>0</v>
      </c>
      <c r="N231" s="641">
        <v>0</v>
      </c>
      <c r="O231" s="641">
        <v>0</v>
      </c>
      <c r="P231" s="642">
        <v>-38.942042128507637</v>
      </c>
      <c r="Q231" s="641">
        <v>0</v>
      </c>
      <c r="R231" s="641">
        <v>0</v>
      </c>
      <c r="S231" s="643">
        <v>-38.942042128507637</v>
      </c>
      <c r="U231" s="639" t="s">
        <v>61</v>
      </c>
      <c r="V231" s="640">
        <v>0</v>
      </c>
      <c r="W231" s="641">
        <v>0</v>
      </c>
      <c r="X231" s="641">
        <v>0</v>
      </c>
      <c r="Y231" s="640">
        <v>0</v>
      </c>
      <c r="Z231" s="641">
        <v>0</v>
      </c>
      <c r="AA231" s="641">
        <v>0</v>
      </c>
      <c r="AB231" s="641">
        <v>0</v>
      </c>
      <c r="AC231" s="641">
        <v>0</v>
      </c>
      <c r="AD231" s="641">
        <v>0</v>
      </c>
      <c r="AE231" s="641">
        <v>0</v>
      </c>
      <c r="AF231" s="641">
        <v>0</v>
      </c>
      <c r="AG231" s="641">
        <v>0</v>
      </c>
      <c r="AH231" s="642">
        <v>-20.693548582118865</v>
      </c>
      <c r="AI231" s="641">
        <v>0</v>
      </c>
      <c r="AJ231" s="641">
        <v>0</v>
      </c>
      <c r="AK231" s="643">
        <v>-20.693548582118865</v>
      </c>
    </row>
    <row r="232" spans="3:37" x14ac:dyDescent="0.2">
      <c r="C232" s="639" t="s">
        <v>62</v>
      </c>
      <c r="D232" s="640">
        <v>0</v>
      </c>
      <c r="E232" s="641">
        <v>0</v>
      </c>
      <c r="F232" s="641">
        <v>-16.016991189558784</v>
      </c>
      <c r="G232" s="640">
        <v>0</v>
      </c>
      <c r="H232" s="641">
        <v>0</v>
      </c>
      <c r="I232" s="641">
        <v>0</v>
      </c>
      <c r="J232" s="641">
        <v>0</v>
      </c>
      <c r="K232" s="641">
        <v>0</v>
      </c>
      <c r="L232" s="641">
        <v>0</v>
      </c>
      <c r="M232" s="641">
        <v>0</v>
      </c>
      <c r="N232" s="641">
        <v>0</v>
      </c>
      <c r="O232" s="641">
        <v>0</v>
      </c>
      <c r="P232" s="642">
        <v>0</v>
      </c>
      <c r="Q232" s="641">
        <v>0</v>
      </c>
      <c r="R232" s="641">
        <v>0</v>
      </c>
      <c r="S232" s="643">
        <v>-16.016991189558784</v>
      </c>
      <c r="U232" s="639" t="s">
        <v>62</v>
      </c>
      <c r="V232" s="640">
        <v>0</v>
      </c>
      <c r="W232" s="641">
        <v>0</v>
      </c>
      <c r="X232" s="641">
        <v>-11.216317309287092</v>
      </c>
      <c r="Y232" s="640">
        <v>-1.9971079411498778</v>
      </c>
      <c r="Z232" s="641">
        <v>0</v>
      </c>
      <c r="AA232" s="641">
        <v>0</v>
      </c>
      <c r="AB232" s="641">
        <v>0</v>
      </c>
      <c r="AC232" s="641">
        <v>0</v>
      </c>
      <c r="AD232" s="641">
        <v>0</v>
      </c>
      <c r="AE232" s="641">
        <v>-0.69888193239441998</v>
      </c>
      <c r="AF232" s="641">
        <v>0</v>
      </c>
      <c r="AG232" s="641">
        <v>0</v>
      </c>
      <c r="AH232" s="642">
        <v>0</v>
      </c>
      <c r="AI232" s="641">
        <v>0</v>
      </c>
      <c r="AJ232" s="641">
        <v>0</v>
      </c>
      <c r="AK232" s="643">
        <v>-13.912307182831389</v>
      </c>
    </row>
    <row r="233" spans="3:37" x14ac:dyDescent="0.2">
      <c r="C233" s="639" t="s">
        <v>63</v>
      </c>
      <c r="D233" s="640">
        <v>0</v>
      </c>
      <c r="E233" s="641">
        <v>0</v>
      </c>
      <c r="F233" s="641">
        <v>-85.676103269538828</v>
      </c>
      <c r="G233" s="640">
        <v>0</v>
      </c>
      <c r="H233" s="641">
        <v>0</v>
      </c>
      <c r="I233" s="641">
        <v>0</v>
      </c>
      <c r="J233" s="641">
        <v>0</v>
      </c>
      <c r="K233" s="641">
        <v>0</v>
      </c>
      <c r="L233" s="641">
        <v>-0.88445591317339634</v>
      </c>
      <c r="M233" s="641">
        <v>0</v>
      </c>
      <c r="N233" s="641">
        <v>0</v>
      </c>
      <c r="O233" s="641">
        <v>0</v>
      </c>
      <c r="P233" s="642">
        <v>0</v>
      </c>
      <c r="Q233" s="641">
        <v>0</v>
      </c>
      <c r="R233" s="641">
        <v>0</v>
      </c>
      <c r="S233" s="643">
        <v>-86.560559182712225</v>
      </c>
      <c r="U233" s="639" t="s">
        <v>63</v>
      </c>
      <c r="V233" s="640">
        <v>0</v>
      </c>
      <c r="W233" s="641">
        <v>0</v>
      </c>
      <c r="X233" s="641">
        <v>-61.793178017106612</v>
      </c>
      <c r="Y233" s="640">
        <v>0</v>
      </c>
      <c r="Z233" s="641">
        <v>0</v>
      </c>
      <c r="AA233" s="641">
        <v>0</v>
      </c>
      <c r="AB233" s="641">
        <v>0</v>
      </c>
      <c r="AC233" s="641">
        <v>0</v>
      </c>
      <c r="AD233" s="641">
        <v>-20.442150229714262</v>
      </c>
      <c r="AE233" s="641">
        <v>0</v>
      </c>
      <c r="AF233" s="641">
        <v>0</v>
      </c>
      <c r="AG233" s="641">
        <v>0</v>
      </c>
      <c r="AH233" s="642">
        <v>0</v>
      </c>
      <c r="AI233" s="641">
        <v>0</v>
      </c>
      <c r="AJ233" s="641">
        <v>0</v>
      </c>
      <c r="AK233" s="643">
        <v>-82.23532824682087</v>
      </c>
    </row>
    <row r="234" spans="3:37" x14ac:dyDescent="0.2">
      <c r="C234" s="639" t="s">
        <v>64</v>
      </c>
      <c r="D234" s="640">
        <v>0</v>
      </c>
      <c r="E234" s="641">
        <v>0</v>
      </c>
      <c r="F234" s="641">
        <v>0</v>
      </c>
      <c r="G234" s="640">
        <v>0</v>
      </c>
      <c r="H234" s="641">
        <v>0</v>
      </c>
      <c r="I234" s="641">
        <v>0</v>
      </c>
      <c r="J234" s="641">
        <v>0</v>
      </c>
      <c r="K234" s="641">
        <v>0</v>
      </c>
      <c r="L234" s="641">
        <v>0</v>
      </c>
      <c r="M234" s="641">
        <v>0</v>
      </c>
      <c r="N234" s="641">
        <v>0</v>
      </c>
      <c r="O234" s="641">
        <v>0</v>
      </c>
      <c r="P234" s="642">
        <v>0</v>
      </c>
      <c r="Q234" s="641">
        <v>0</v>
      </c>
      <c r="R234" s="641">
        <v>0</v>
      </c>
      <c r="S234" s="643">
        <v>0</v>
      </c>
      <c r="U234" s="639" t="s">
        <v>64</v>
      </c>
      <c r="V234" s="640">
        <v>0</v>
      </c>
      <c r="W234" s="641">
        <v>0</v>
      </c>
      <c r="X234" s="641">
        <v>0</v>
      </c>
      <c r="Y234" s="640">
        <v>0</v>
      </c>
      <c r="Z234" s="641">
        <v>0</v>
      </c>
      <c r="AA234" s="641">
        <v>0</v>
      </c>
      <c r="AB234" s="641">
        <v>0</v>
      </c>
      <c r="AC234" s="641">
        <v>0</v>
      </c>
      <c r="AD234" s="641">
        <v>0</v>
      </c>
      <c r="AE234" s="641">
        <v>0</v>
      </c>
      <c r="AF234" s="641">
        <v>0</v>
      </c>
      <c r="AG234" s="641">
        <v>0</v>
      </c>
      <c r="AH234" s="642">
        <v>0</v>
      </c>
      <c r="AI234" s="641">
        <v>0</v>
      </c>
      <c r="AJ234" s="641">
        <v>0</v>
      </c>
      <c r="AK234" s="643">
        <v>0</v>
      </c>
    </row>
    <row r="235" spans="3:37" x14ac:dyDescent="0.2">
      <c r="C235" s="644" t="s">
        <v>65</v>
      </c>
      <c r="D235" s="645">
        <v>48.372001461449948</v>
      </c>
      <c r="E235" s="645">
        <v>512.07101402008311</v>
      </c>
      <c r="F235" s="645">
        <v>-17.437975450417916</v>
      </c>
      <c r="G235" s="645">
        <v>333.88933186331565</v>
      </c>
      <c r="H235" s="645">
        <v>1005.4545454545456</v>
      </c>
      <c r="I235" s="645">
        <v>248.9826967827097</v>
      </c>
      <c r="J235" s="645">
        <v>193.94273469447566</v>
      </c>
      <c r="K235" s="645">
        <v>21.067323208066789</v>
      </c>
      <c r="L235" s="645">
        <v>1.8416249790665411</v>
      </c>
      <c r="M235" s="645">
        <v>0.15770970126630299</v>
      </c>
      <c r="N235" s="645">
        <v>60.832905155553725</v>
      </c>
      <c r="O235" s="645">
        <v>10.347989753579439</v>
      </c>
      <c r="P235" s="645">
        <v>-38.942042128507637</v>
      </c>
      <c r="Q235" s="645">
        <v>0</v>
      </c>
      <c r="R235" s="645">
        <v>0</v>
      </c>
      <c r="S235" s="645">
        <v>2380.5798594951875</v>
      </c>
      <c r="U235" s="644" t="s">
        <v>65</v>
      </c>
      <c r="V235" s="645">
        <v>8.3965846696126416</v>
      </c>
      <c r="W235" s="645">
        <v>296.81978048971496</v>
      </c>
      <c r="X235" s="645">
        <v>-54.492278965762601</v>
      </c>
      <c r="Y235" s="645">
        <v>161.15547553750713</v>
      </c>
      <c r="Z235" s="645">
        <v>949.39393939393938</v>
      </c>
      <c r="AA235" s="645">
        <v>279.58269678270966</v>
      </c>
      <c r="AB235" s="645">
        <v>200.65328572997174</v>
      </c>
      <c r="AC235" s="645">
        <v>37.828582612394825</v>
      </c>
      <c r="AD235" s="645">
        <v>-17.716069337474323</v>
      </c>
      <c r="AE235" s="645">
        <v>-0.54117223112811697</v>
      </c>
      <c r="AF235" s="645">
        <v>86.476611770328219</v>
      </c>
      <c r="AG235" s="645">
        <v>21.065809354780896</v>
      </c>
      <c r="AH235" s="645">
        <v>-20.693548582118865</v>
      </c>
      <c r="AI235" s="645">
        <v>0</v>
      </c>
      <c r="AJ235" s="645">
        <v>0</v>
      </c>
      <c r="AK235" s="645">
        <v>1947.9296972244754</v>
      </c>
    </row>
    <row r="236" spans="3:37" x14ac:dyDescent="0.2">
      <c r="C236" s="634"/>
      <c r="D236" s="634">
        <v>0</v>
      </c>
      <c r="E236" s="634">
        <v>0</v>
      </c>
      <c r="F236" s="634">
        <v>0</v>
      </c>
      <c r="G236" s="634">
        <v>0</v>
      </c>
      <c r="H236" s="634">
        <v>0</v>
      </c>
      <c r="I236" s="634">
        <v>0</v>
      </c>
      <c r="J236" s="634">
        <v>0</v>
      </c>
      <c r="K236" s="634">
        <v>0</v>
      </c>
      <c r="L236" s="634">
        <v>0</v>
      </c>
      <c r="M236" s="634">
        <v>0</v>
      </c>
      <c r="N236" s="634">
        <v>0</v>
      </c>
      <c r="O236" s="634">
        <v>0</v>
      </c>
      <c r="P236" s="634">
        <v>0</v>
      </c>
      <c r="Q236" s="634">
        <v>0</v>
      </c>
      <c r="R236" s="634">
        <v>0</v>
      </c>
      <c r="S236" s="634">
        <v>0</v>
      </c>
      <c r="U236" s="634"/>
      <c r="V236" s="634">
        <v>0</v>
      </c>
      <c r="W236" s="634">
        <v>0</v>
      </c>
      <c r="X236" s="634">
        <v>0</v>
      </c>
      <c r="Y236" s="634">
        <v>0</v>
      </c>
      <c r="Z236" s="634">
        <v>0</v>
      </c>
      <c r="AA236" s="634">
        <v>0</v>
      </c>
      <c r="AB236" s="634">
        <v>0</v>
      </c>
      <c r="AC236" s="634">
        <v>0</v>
      </c>
      <c r="AD236" s="634">
        <v>0</v>
      </c>
      <c r="AE236" s="634">
        <v>0</v>
      </c>
      <c r="AF236" s="634">
        <v>0</v>
      </c>
      <c r="AG236" s="634">
        <v>0</v>
      </c>
      <c r="AH236" s="634">
        <v>0</v>
      </c>
      <c r="AI236" s="634">
        <v>0</v>
      </c>
      <c r="AJ236" s="634">
        <v>0</v>
      </c>
      <c r="AK236" s="634">
        <v>0</v>
      </c>
    </row>
    <row r="237" spans="3:37" x14ac:dyDescent="0.2">
      <c r="C237" s="646" t="s">
        <v>67</v>
      </c>
      <c r="D237" s="640">
        <v>0</v>
      </c>
      <c r="E237" s="647">
        <v>0</v>
      </c>
      <c r="F237" s="647">
        <v>0</v>
      </c>
      <c r="G237" s="640">
        <v>0</v>
      </c>
      <c r="H237" s="640">
        <v>0</v>
      </c>
      <c r="I237" s="640">
        <v>0</v>
      </c>
      <c r="J237" s="640">
        <v>0</v>
      </c>
      <c r="K237" s="640">
        <v>0</v>
      </c>
      <c r="L237" s="640">
        <v>0</v>
      </c>
      <c r="M237" s="640">
        <v>0</v>
      </c>
      <c r="N237" s="640">
        <v>0</v>
      </c>
      <c r="O237" s="640">
        <v>0</v>
      </c>
      <c r="P237" s="640">
        <v>0</v>
      </c>
      <c r="Q237" s="640">
        <v>0</v>
      </c>
      <c r="R237" s="640">
        <v>0</v>
      </c>
      <c r="S237" s="648">
        <v>0</v>
      </c>
      <c r="U237" s="646" t="s">
        <v>67</v>
      </c>
      <c r="V237" s="640">
        <v>0</v>
      </c>
      <c r="W237" s="647">
        <v>0</v>
      </c>
      <c r="X237" s="647">
        <v>0</v>
      </c>
      <c r="Y237" s="640">
        <v>0</v>
      </c>
      <c r="Z237" s="640">
        <v>0</v>
      </c>
      <c r="AA237" s="640">
        <v>0</v>
      </c>
      <c r="AB237" s="640">
        <v>0</v>
      </c>
      <c r="AC237" s="640">
        <v>0</v>
      </c>
      <c r="AD237" s="640">
        <v>0</v>
      </c>
      <c r="AE237" s="640">
        <v>0</v>
      </c>
      <c r="AF237" s="640">
        <v>0</v>
      </c>
      <c r="AG237" s="640">
        <v>0</v>
      </c>
      <c r="AH237" s="640">
        <v>0</v>
      </c>
      <c r="AI237" s="640">
        <v>0</v>
      </c>
      <c r="AJ237" s="640">
        <v>0</v>
      </c>
      <c r="AK237" s="648">
        <v>0</v>
      </c>
    </row>
    <row r="238" spans="3:37" x14ac:dyDescent="0.2">
      <c r="C238" s="646" t="s">
        <v>347</v>
      </c>
      <c r="D238" s="640">
        <v>2.8267856410252494</v>
      </c>
      <c r="E238" s="640">
        <v>0</v>
      </c>
      <c r="F238" s="640">
        <v>7.7008933134364401</v>
      </c>
      <c r="G238" s="640">
        <v>17.192982456140349</v>
      </c>
      <c r="H238" s="640">
        <v>1005.4545454545456</v>
      </c>
      <c r="I238" s="640">
        <v>248.9826967827097</v>
      </c>
      <c r="J238" s="649">
        <v>29.95115714704033</v>
      </c>
      <c r="K238" s="649">
        <v>7.1699357941539494</v>
      </c>
      <c r="L238" s="649">
        <v>2.7260808922399375</v>
      </c>
      <c r="M238" s="649">
        <v>0.47574727688811397</v>
      </c>
      <c r="N238" s="649">
        <v>0</v>
      </c>
      <c r="O238" s="649">
        <v>5.3758847536792693</v>
      </c>
      <c r="P238" s="640">
        <v>-611.6040304377284</v>
      </c>
      <c r="Q238" s="640">
        <v>0</v>
      </c>
      <c r="R238" s="640">
        <v>0</v>
      </c>
      <c r="S238" s="648">
        <v>716.25267907413024</v>
      </c>
      <c r="U238" s="646" t="s">
        <v>347</v>
      </c>
      <c r="V238" s="640">
        <v>0.62631490545869017</v>
      </c>
      <c r="W238" s="640">
        <v>0</v>
      </c>
      <c r="X238" s="640">
        <v>3.8372569498000768</v>
      </c>
      <c r="Y238" s="640">
        <v>12.853333333333333</v>
      </c>
      <c r="Z238" s="640">
        <v>949.39393939393938</v>
      </c>
      <c r="AA238" s="640">
        <v>279.58269678270966</v>
      </c>
      <c r="AB238" s="649">
        <v>24.143657694158538</v>
      </c>
      <c r="AC238" s="649">
        <v>6.0680800758314266</v>
      </c>
      <c r="AD238" s="649">
        <v>2.7260808922399375</v>
      </c>
      <c r="AE238" s="649">
        <v>4.1838174523267107</v>
      </c>
      <c r="AF238" s="649">
        <v>0</v>
      </c>
      <c r="AG238" s="649">
        <v>5.3758847536792693</v>
      </c>
      <c r="AH238" s="640">
        <v>-621.90403043772824</v>
      </c>
      <c r="AI238" s="640">
        <v>0</v>
      </c>
      <c r="AJ238" s="640">
        <v>3.8</v>
      </c>
      <c r="AK238" s="648">
        <v>670.68703179574891</v>
      </c>
    </row>
    <row r="239" spans="3:37" x14ac:dyDescent="0.2">
      <c r="C239" s="646" t="s">
        <v>348</v>
      </c>
      <c r="D239" s="640">
        <v>0</v>
      </c>
      <c r="E239" s="640">
        <v>0</v>
      </c>
      <c r="F239" s="640">
        <v>0</v>
      </c>
      <c r="G239" s="640">
        <v>15.048436077523924</v>
      </c>
      <c r="H239" s="640">
        <v>0</v>
      </c>
      <c r="I239" s="640">
        <v>0</v>
      </c>
      <c r="J239" s="649">
        <v>12.74533322609016</v>
      </c>
      <c r="K239" s="649">
        <v>12.056480951460374</v>
      </c>
      <c r="L239" s="649">
        <v>0</v>
      </c>
      <c r="M239" s="649">
        <v>0.32133708059977345</v>
      </c>
      <c r="N239" s="649">
        <v>0</v>
      </c>
      <c r="O239" s="649">
        <v>2.1348201063802894</v>
      </c>
      <c r="P239" s="640">
        <v>0</v>
      </c>
      <c r="Q239" s="640">
        <v>-38.309646115177976</v>
      </c>
      <c r="R239" s="640">
        <v>0</v>
      </c>
      <c r="S239" s="648">
        <v>3.9967613268765492</v>
      </c>
      <c r="U239" s="646" t="s">
        <v>348</v>
      </c>
      <c r="V239" s="640">
        <v>0</v>
      </c>
      <c r="W239" s="640">
        <v>0</v>
      </c>
      <c r="X239" s="640">
        <v>0</v>
      </c>
      <c r="Y239" s="640">
        <v>12.803359009118745</v>
      </c>
      <c r="Z239" s="640">
        <v>0</v>
      </c>
      <c r="AA239" s="640">
        <v>0</v>
      </c>
      <c r="AB239" s="649">
        <v>28.717481814983032</v>
      </c>
      <c r="AC239" s="649">
        <v>25.924008984647354</v>
      </c>
      <c r="AD239" s="649">
        <v>0</v>
      </c>
      <c r="AE239" s="649">
        <v>4.0573921431217457</v>
      </c>
      <c r="AF239" s="649">
        <v>0</v>
      </c>
      <c r="AG239" s="649">
        <v>9.7357518308203428</v>
      </c>
      <c r="AH239" s="640">
        <v>0</v>
      </c>
      <c r="AI239" s="640">
        <v>-74.504230286476243</v>
      </c>
      <c r="AJ239" s="640">
        <v>0</v>
      </c>
      <c r="AK239" s="648">
        <v>6.7337634962149808</v>
      </c>
    </row>
    <row r="240" spans="3:37" x14ac:dyDescent="0.2">
      <c r="C240" s="646" t="s">
        <v>349</v>
      </c>
      <c r="D240" s="640">
        <v>0</v>
      </c>
      <c r="E240" s="640">
        <v>0</v>
      </c>
      <c r="F240" s="640">
        <v>0</v>
      </c>
      <c r="G240" s="640">
        <v>0</v>
      </c>
      <c r="H240" s="640">
        <v>0</v>
      </c>
      <c r="I240" s="640">
        <v>0</v>
      </c>
      <c r="J240" s="650">
        <v>7.2695194025067336</v>
      </c>
      <c r="K240" s="650">
        <v>0</v>
      </c>
      <c r="L240" s="650">
        <v>0</v>
      </c>
      <c r="M240" s="650">
        <v>-6.5716455398660871</v>
      </c>
      <c r="N240" s="650">
        <v>0</v>
      </c>
      <c r="O240" s="650">
        <v>0</v>
      </c>
      <c r="P240" s="640">
        <v>0</v>
      </c>
      <c r="Q240" s="640">
        <v>0</v>
      </c>
      <c r="R240" s="640">
        <v>0</v>
      </c>
      <c r="S240" s="648">
        <v>0.69787386264064644</v>
      </c>
      <c r="U240" s="646" t="s">
        <v>349</v>
      </c>
      <c r="V240" s="640">
        <v>0</v>
      </c>
      <c r="W240" s="640">
        <v>0</v>
      </c>
      <c r="X240" s="640">
        <v>0</v>
      </c>
      <c r="Y240" s="640">
        <v>0</v>
      </c>
      <c r="Z240" s="640">
        <v>0</v>
      </c>
      <c r="AA240" s="640">
        <v>0</v>
      </c>
      <c r="AB240" s="650">
        <v>56.55251118568826</v>
      </c>
      <c r="AC240" s="650">
        <v>0</v>
      </c>
      <c r="AD240" s="650">
        <v>0</v>
      </c>
      <c r="AE240" s="650">
        <v>-51.12347011186219</v>
      </c>
      <c r="AF240" s="650">
        <v>0</v>
      </c>
      <c r="AG240" s="650">
        <v>0</v>
      </c>
      <c r="AH240" s="640">
        <v>0</v>
      </c>
      <c r="AI240" s="640">
        <v>0</v>
      </c>
      <c r="AJ240" s="640">
        <v>0</v>
      </c>
      <c r="AK240" s="648">
        <v>5.4290410738260704</v>
      </c>
    </row>
    <row r="241" spans="3:37" x14ac:dyDescent="0.2">
      <c r="C241" s="646" t="s">
        <v>350</v>
      </c>
      <c r="D241" s="640">
        <v>0</v>
      </c>
      <c r="E241" s="640">
        <v>0</v>
      </c>
      <c r="F241" s="640">
        <v>0</v>
      </c>
      <c r="G241" s="640">
        <v>0</v>
      </c>
      <c r="H241" s="640">
        <v>0</v>
      </c>
      <c r="I241" s="640">
        <v>0</v>
      </c>
      <c r="J241" s="640">
        <v>0</v>
      </c>
      <c r="K241" s="640">
        <v>0</v>
      </c>
      <c r="L241" s="640">
        <v>0</v>
      </c>
      <c r="M241" s="640">
        <v>0</v>
      </c>
      <c r="N241" s="640">
        <v>0</v>
      </c>
      <c r="O241" s="640">
        <v>0</v>
      </c>
      <c r="P241" s="640">
        <v>0</v>
      </c>
      <c r="Q241" s="640">
        <v>0</v>
      </c>
      <c r="R241" s="640">
        <v>0</v>
      </c>
      <c r="S241" s="648">
        <v>0</v>
      </c>
      <c r="U241" s="646" t="s">
        <v>350</v>
      </c>
      <c r="V241" s="640">
        <v>0</v>
      </c>
      <c r="W241" s="640">
        <v>0</v>
      </c>
      <c r="X241" s="640">
        <v>0</v>
      </c>
      <c r="Y241" s="640">
        <v>0</v>
      </c>
      <c r="Z241" s="640">
        <v>0</v>
      </c>
      <c r="AA241" s="640">
        <v>0</v>
      </c>
      <c r="AB241" s="640">
        <v>0</v>
      </c>
      <c r="AC241" s="640">
        <v>0</v>
      </c>
      <c r="AD241" s="640">
        <v>0</v>
      </c>
      <c r="AE241" s="640">
        <v>0</v>
      </c>
      <c r="AF241" s="640">
        <v>0</v>
      </c>
      <c r="AG241" s="640">
        <v>0</v>
      </c>
      <c r="AH241" s="640">
        <v>0</v>
      </c>
      <c r="AI241" s="640">
        <v>0</v>
      </c>
      <c r="AJ241" s="640">
        <v>0</v>
      </c>
      <c r="AK241" s="648">
        <v>0</v>
      </c>
    </row>
    <row r="242" spans="3:37" x14ac:dyDescent="0.2">
      <c r="C242" s="646" t="s">
        <v>72</v>
      </c>
      <c r="D242" s="640">
        <v>0</v>
      </c>
      <c r="E242" s="640">
        <v>530.45114623720224</v>
      </c>
      <c r="F242" s="640">
        <v>-525.1466347748302</v>
      </c>
      <c r="G242" s="640">
        <v>0</v>
      </c>
      <c r="H242" s="640">
        <v>0</v>
      </c>
      <c r="I242" s="640">
        <v>0</v>
      </c>
      <c r="J242" s="640">
        <v>0</v>
      </c>
      <c r="K242" s="640">
        <v>0</v>
      </c>
      <c r="L242" s="640">
        <v>0</v>
      </c>
      <c r="M242" s="640">
        <v>0</v>
      </c>
      <c r="N242" s="640">
        <v>0</v>
      </c>
      <c r="O242" s="640">
        <v>0</v>
      </c>
      <c r="P242" s="640">
        <v>0</v>
      </c>
      <c r="Q242" s="640">
        <v>0</v>
      </c>
      <c r="R242" s="640">
        <v>0</v>
      </c>
      <c r="S242" s="648">
        <v>5.3045114623720337</v>
      </c>
      <c r="U242" s="646" t="s">
        <v>72</v>
      </c>
      <c r="V242" s="640">
        <v>0</v>
      </c>
      <c r="W242" s="640">
        <v>307.47374578102756</v>
      </c>
      <c r="X242" s="640">
        <v>-304.39900832321729</v>
      </c>
      <c r="Y242" s="640">
        <v>0</v>
      </c>
      <c r="Z242" s="640">
        <v>0</v>
      </c>
      <c r="AA242" s="640">
        <v>0</v>
      </c>
      <c r="AB242" s="640">
        <v>0</v>
      </c>
      <c r="AC242" s="640">
        <v>0</v>
      </c>
      <c r="AD242" s="640">
        <v>0</v>
      </c>
      <c r="AE242" s="640">
        <v>0</v>
      </c>
      <c r="AF242" s="640">
        <v>0</v>
      </c>
      <c r="AG242" s="640">
        <v>0</v>
      </c>
      <c r="AH242" s="640">
        <v>0</v>
      </c>
      <c r="AI242" s="640">
        <v>0</v>
      </c>
      <c r="AJ242" s="640">
        <v>0</v>
      </c>
      <c r="AK242" s="648">
        <v>3.0747374578102722</v>
      </c>
    </row>
    <row r="243" spans="3:37" x14ac:dyDescent="0.2">
      <c r="C243" s="646" t="s">
        <v>351</v>
      </c>
      <c r="D243" s="640">
        <v>0</v>
      </c>
      <c r="E243" s="640">
        <v>0</v>
      </c>
      <c r="F243" s="640">
        <v>0</v>
      </c>
      <c r="G243" s="640">
        <v>0</v>
      </c>
      <c r="H243" s="640">
        <v>0</v>
      </c>
      <c r="I243" s="640">
        <v>0</v>
      </c>
      <c r="J243" s="640">
        <v>30.470996070194996</v>
      </c>
      <c r="K243" s="640">
        <v>0</v>
      </c>
      <c r="L243" s="640">
        <v>-30.470996070194996</v>
      </c>
      <c r="M243" s="640">
        <v>0</v>
      </c>
      <c r="N243" s="640">
        <v>0</v>
      </c>
      <c r="O243" s="640">
        <v>0</v>
      </c>
      <c r="P243" s="640">
        <v>0</v>
      </c>
      <c r="Q243" s="640">
        <v>0</v>
      </c>
      <c r="R243" s="640">
        <v>0</v>
      </c>
      <c r="S243" s="648">
        <v>0</v>
      </c>
      <c r="U243" s="646" t="s">
        <v>351</v>
      </c>
      <c r="V243" s="640">
        <v>0</v>
      </c>
      <c r="W243" s="640">
        <v>0</v>
      </c>
      <c r="X243" s="640">
        <v>0</v>
      </c>
      <c r="Y243" s="640">
        <v>0</v>
      </c>
      <c r="Z243" s="640">
        <v>0</v>
      </c>
      <c r="AA243" s="640">
        <v>0</v>
      </c>
      <c r="AB243" s="640" t="e">
        <v>#VALUE!</v>
      </c>
      <c r="AC243" s="640">
        <v>0</v>
      </c>
      <c r="AD243" s="640">
        <v>-92.079399970639116</v>
      </c>
      <c r="AE243" s="640">
        <v>0</v>
      </c>
      <c r="AF243" s="640">
        <v>0</v>
      </c>
      <c r="AG243" s="640">
        <v>0</v>
      </c>
      <c r="AH243" s="640">
        <v>0</v>
      </c>
      <c r="AI243" s="640">
        <v>0</v>
      </c>
      <c r="AJ243" s="640">
        <v>0</v>
      </c>
      <c r="AK243" s="648">
        <v>-92.079399970639116</v>
      </c>
    </row>
    <row r="244" spans="3:37" x14ac:dyDescent="0.2">
      <c r="C244" s="646" t="s">
        <v>352</v>
      </c>
      <c r="D244" s="640">
        <v>0</v>
      </c>
      <c r="E244" s="640">
        <v>0</v>
      </c>
      <c r="F244" s="640">
        <v>0</v>
      </c>
      <c r="G244" s="640">
        <v>0</v>
      </c>
      <c r="H244" s="640">
        <v>0</v>
      </c>
      <c r="I244" s="640">
        <v>0</v>
      </c>
      <c r="J244" s="640">
        <v>0</v>
      </c>
      <c r="K244" s="640">
        <v>0</v>
      </c>
      <c r="L244" s="640">
        <v>0</v>
      </c>
      <c r="M244" s="640">
        <v>0</v>
      </c>
      <c r="N244" s="640">
        <v>0</v>
      </c>
      <c r="O244" s="640">
        <v>0</v>
      </c>
      <c r="P244" s="640">
        <v>0</v>
      </c>
      <c r="Q244" s="640">
        <v>0</v>
      </c>
      <c r="R244" s="640">
        <v>0</v>
      </c>
      <c r="S244" s="648">
        <v>0</v>
      </c>
      <c r="U244" s="646" t="s">
        <v>352</v>
      </c>
      <c r="V244" s="640">
        <v>0</v>
      </c>
      <c r="W244" s="640">
        <v>0</v>
      </c>
      <c r="X244" s="640">
        <v>0</v>
      </c>
      <c r="Y244" s="640">
        <v>0</v>
      </c>
      <c r="Z244" s="640">
        <v>0</v>
      </c>
      <c r="AA244" s="640">
        <v>0</v>
      </c>
      <c r="AB244" s="640">
        <v>0</v>
      </c>
      <c r="AC244" s="640">
        <v>0</v>
      </c>
      <c r="AD244" s="640">
        <v>-18.857582137623396</v>
      </c>
      <c r="AE244" s="640">
        <v>0</v>
      </c>
      <c r="AF244" s="640">
        <v>0</v>
      </c>
      <c r="AG244" s="640">
        <v>0</v>
      </c>
      <c r="AH244" s="640">
        <v>0</v>
      </c>
      <c r="AI244" s="640">
        <v>0</v>
      </c>
      <c r="AJ244" s="640">
        <v>0</v>
      </c>
      <c r="AK244" s="648">
        <v>-18.857582137623396</v>
      </c>
    </row>
    <row r="245" spans="3:37" x14ac:dyDescent="0.2">
      <c r="C245" s="646" t="s">
        <v>73</v>
      </c>
      <c r="D245" s="640">
        <v>0</v>
      </c>
      <c r="E245" s="640">
        <v>0</v>
      </c>
      <c r="F245" s="640">
        <v>0</v>
      </c>
      <c r="G245" s="640">
        <v>4.2253053989858387</v>
      </c>
      <c r="H245" s="640">
        <v>0</v>
      </c>
      <c r="I245" s="640">
        <v>0</v>
      </c>
      <c r="J245" s="640">
        <v>0</v>
      </c>
      <c r="K245" s="640">
        <v>4.8227473393893973E-2</v>
      </c>
      <c r="L245" s="640">
        <v>0</v>
      </c>
      <c r="M245" s="640">
        <v>8.6230722428282419E-2</v>
      </c>
      <c r="N245" s="640">
        <v>0</v>
      </c>
      <c r="O245" s="640">
        <v>0</v>
      </c>
      <c r="P245" s="640">
        <v>0.47800681593948002</v>
      </c>
      <c r="Q245" s="640">
        <v>0</v>
      </c>
      <c r="R245" s="640">
        <v>-3.3759231375725771</v>
      </c>
      <c r="S245" s="648">
        <v>1.4618472731749175</v>
      </c>
      <c r="U245" s="646" t="s">
        <v>73</v>
      </c>
      <c r="V245" s="640">
        <v>0</v>
      </c>
      <c r="W245" s="640">
        <v>0</v>
      </c>
      <c r="X245" s="640">
        <v>0</v>
      </c>
      <c r="Y245" s="640">
        <v>6.2430459874299995</v>
      </c>
      <c r="Z245" s="640">
        <v>0</v>
      </c>
      <c r="AA245" s="640">
        <v>0</v>
      </c>
      <c r="AB245" s="640">
        <v>0</v>
      </c>
      <c r="AC245" s="640">
        <v>0.34514849554566557</v>
      </c>
      <c r="AD245" s="640">
        <v>0</v>
      </c>
      <c r="AE245" s="640">
        <v>1.9714882065568418</v>
      </c>
      <c r="AF245" s="640">
        <v>0</v>
      </c>
      <c r="AG245" s="640">
        <v>0</v>
      </c>
      <c r="AH245" s="640">
        <v>26.797369919651668</v>
      </c>
      <c r="AI245" s="640">
        <v>0</v>
      </c>
      <c r="AJ245" s="640">
        <v>-24.160394688196586</v>
      </c>
      <c r="AK245" s="648">
        <v>11.196657920987594</v>
      </c>
    </row>
    <row r="246" spans="3:37" x14ac:dyDescent="0.2">
      <c r="C246" s="646" t="s">
        <v>353</v>
      </c>
      <c r="D246" s="640">
        <v>28.633394531250001</v>
      </c>
      <c r="E246" s="640">
        <v>-18.380132217119058</v>
      </c>
      <c r="F246" s="640">
        <v>24.040127313749448</v>
      </c>
      <c r="G246" s="640">
        <v>0</v>
      </c>
      <c r="H246" s="640">
        <v>0</v>
      </c>
      <c r="I246" s="640">
        <v>0</v>
      </c>
      <c r="J246" s="640">
        <v>0</v>
      </c>
      <c r="K246" s="640">
        <v>0</v>
      </c>
      <c r="L246" s="640">
        <v>0</v>
      </c>
      <c r="M246" s="640">
        <v>0</v>
      </c>
      <c r="N246" s="640">
        <v>0</v>
      </c>
      <c r="O246" s="640">
        <v>0</v>
      </c>
      <c r="P246" s="640">
        <v>0</v>
      </c>
      <c r="Q246" s="640">
        <v>0</v>
      </c>
      <c r="R246" s="640">
        <v>0</v>
      </c>
      <c r="S246" s="648">
        <v>34.293389627880387</v>
      </c>
      <c r="U246" s="646" t="s">
        <v>353</v>
      </c>
      <c r="V246" s="640">
        <v>2.8339389038085936</v>
      </c>
      <c r="W246" s="640">
        <v>-10.653965291312606</v>
      </c>
      <c r="X246" s="640">
        <v>13.93475732241321</v>
      </c>
      <c r="Y246" s="640">
        <v>0</v>
      </c>
      <c r="Z246" s="640">
        <v>0</v>
      </c>
      <c r="AA246" s="640">
        <v>0</v>
      </c>
      <c r="AB246" s="640">
        <v>0</v>
      </c>
      <c r="AC246" s="640">
        <v>0</v>
      </c>
      <c r="AD246" s="640">
        <v>0</v>
      </c>
      <c r="AE246" s="640">
        <v>0</v>
      </c>
      <c r="AF246" s="640">
        <v>0</v>
      </c>
      <c r="AG246" s="640">
        <v>0</v>
      </c>
      <c r="AH246" s="640">
        <v>0</v>
      </c>
      <c r="AI246" s="640">
        <v>0</v>
      </c>
      <c r="AJ246" s="640">
        <v>0</v>
      </c>
      <c r="AK246" s="648">
        <v>6.1147309349091987</v>
      </c>
    </row>
    <row r="247" spans="3:37" x14ac:dyDescent="0.2">
      <c r="C247" s="646" t="s">
        <v>75</v>
      </c>
      <c r="D247" s="640">
        <v>11.135208984375002</v>
      </c>
      <c r="E247" s="640">
        <v>0</v>
      </c>
      <c r="F247" s="640">
        <v>18.035338972064878</v>
      </c>
      <c r="G247" s="640">
        <v>5.1464370207933356</v>
      </c>
      <c r="H247" s="640">
        <v>0</v>
      </c>
      <c r="I247" s="640">
        <v>0</v>
      </c>
      <c r="J247" s="640">
        <v>0</v>
      </c>
      <c r="K247" s="640">
        <v>0</v>
      </c>
      <c r="L247" s="640">
        <v>0</v>
      </c>
      <c r="M247" s="640">
        <v>0.10502932695496604</v>
      </c>
      <c r="N247" s="640">
        <v>0</v>
      </c>
      <c r="O247" s="640">
        <v>0</v>
      </c>
      <c r="P247" s="640">
        <v>31.859130537431355</v>
      </c>
      <c r="Q247" s="640">
        <v>0</v>
      </c>
      <c r="R247" s="640">
        <v>0</v>
      </c>
      <c r="S247" s="648">
        <v>66.281144841619536</v>
      </c>
      <c r="U247" s="646" t="s">
        <v>75</v>
      </c>
      <c r="V247" s="640">
        <v>3.871097900390625</v>
      </c>
      <c r="W247" s="640">
        <v>0</v>
      </c>
      <c r="X247" s="640">
        <v>18.035338972064878</v>
      </c>
      <c r="Y247" s="640">
        <v>3.9911144242887096</v>
      </c>
      <c r="Z247" s="640">
        <v>0</v>
      </c>
      <c r="AA247" s="640">
        <v>0</v>
      </c>
      <c r="AB247" s="640">
        <v>0</v>
      </c>
      <c r="AC247" s="640">
        <v>0</v>
      </c>
      <c r="AD247" s="640">
        <v>0</v>
      </c>
      <c r="AE247" s="640">
        <v>1.2603519234595923</v>
      </c>
      <c r="AF247" s="640">
        <v>0</v>
      </c>
      <c r="AG247" s="640">
        <v>0</v>
      </c>
      <c r="AH247" s="640">
        <v>35.363675991976798</v>
      </c>
      <c r="AI247" s="640">
        <v>0</v>
      </c>
      <c r="AJ247" s="640">
        <v>0</v>
      </c>
      <c r="AK247" s="648">
        <v>62.521579212180605</v>
      </c>
    </row>
    <row r="248" spans="3:37" x14ac:dyDescent="0.2">
      <c r="C248" s="646" t="s">
        <v>76</v>
      </c>
      <c r="D248" s="640">
        <v>0</v>
      </c>
      <c r="E248" s="640">
        <v>0</v>
      </c>
      <c r="F248" s="640">
        <v>0</v>
      </c>
      <c r="G248" s="640">
        <v>3.818307882847094</v>
      </c>
      <c r="H248" s="640">
        <v>0</v>
      </c>
      <c r="I248" s="640">
        <v>0</v>
      </c>
      <c r="J248" s="640">
        <v>0</v>
      </c>
      <c r="K248" s="640">
        <v>0</v>
      </c>
      <c r="L248" s="640">
        <v>0</v>
      </c>
      <c r="M248" s="640">
        <v>7.7924650670348858E-2</v>
      </c>
      <c r="N248" s="640">
        <v>0</v>
      </c>
      <c r="O248" s="640">
        <v>0</v>
      </c>
      <c r="P248" s="640">
        <v>43.831436480126726</v>
      </c>
      <c r="Q248" s="640">
        <v>2.9732290990631256</v>
      </c>
      <c r="R248" s="640">
        <v>0</v>
      </c>
      <c r="S248" s="648">
        <v>50.700898112707293</v>
      </c>
      <c r="U248" s="646" t="s">
        <v>76</v>
      </c>
      <c r="V248" s="640">
        <v>0</v>
      </c>
      <c r="W248" s="640">
        <v>0</v>
      </c>
      <c r="X248" s="640">
        <v>0</v>
      </c>
      <c r="Y248" s="640">
        <v>1.9196559923426515</v>
      </c>
      <c r="Z248" s="640">
        <v>0</v>
      </c>
      <c r="AA248" s="640">
        <v>0</v>
      </c>
      <c r="AB248" s="640">
        <v>0</v>
      </c>
      <c r="AC248" s="640">
        <v>0</v>
      </c>
      <c r="AD248" s="640">
        <v>0</v>
      </c>
      <c r="AE248" s="640">
        <v>0.60620715547662674</v>
      </c>
      <c r="AF248" s="640">
        <v>0</v>
      </c>
      <c r="AG248" s="640">
        <v>0</v>
      </c>
      <c r="AH248" s="640">
        <v>46.019363501687437</v>
      </c>
      <c r="AI248" s="640">
        <v>5.777975473960776</v>
      </c>
      <c r="AJ248" s="640">
        <v>0</v>
      </c>
      <c r="AK248" s="648">
        <v>54.323202123467496</v>
      </c>
    </row>
    <row r="249" spans="3:37" x14ac:dyDescent="0.2">
      <c r="C249" s="644" t="s">
        <v>77</v>
      </c>
      <c r="D249" s="645">
        <v>42.595389156650249</v>
      </c>
      <c r="E249" s="645">
        <v>512.07101402008323</v>
      </c>
      <c r="F249" s="645">
        <v>-475.37027517557942</v>
      </c>
      <c r="G249" s="645">
        <v>45.431468836290541</v>
      </c>
      <c r="H249" s="645">
        <v>1005.4545454545456</v>
      </c>
      <c r="I249" s="645">
        <v>248.9826967827097</v>
      </c>
      <c r="J249" s="645">
        <v>80.437005845832218</v>
      </c>
      <c r="K249" s="645">
        <v>19.274644219008216</v>
      </c>
      <c r="L249" s="645">
        <v>-27.744915177955058</v>
      </c>
      <c r="M249" s="645">
        <v>-5.5053764823246025</v>
      </c>
      <c r="N249" s="645">
        <v>0</v>
      </c>
      <c r="O249" s="645">
        <v>7.5107048600595583</v>
      </c>
      <c r="P249" s="645">
        <v>-535.43545660423092</v>
      </c>
      <c r="Q249" s="645">
        <v>-35.336417016114851</v>
      </c>
      <c r="R249" s="645">
        <v>-3.3759231375725771</v>
      </c>
      <c r="S249" s="645">
        <v>878.98910558140176</v>
      </c>
      <c r="U249" s="644" t="s">
        <v>77</v>
      </c>
      <c r="V249" s="645">
        <v>7.3313517096579091</v>
      </c>
      <c r="W249" s="645">
        <v>296.81978048971496</v>
      </c>
      <c r="X249" s="645">
        <v>-268.59165507893914</v>
      </c>
      <c r="Y249" s="645">
        <v>37.810508746513442</v>
      </c>
      <c r="Z249" s="645">
        <v>949.39393939393938</v>
      </c>
      <c r="AA249" s="645">
        <v>279.58269678270966</v>
      </c>
      <c r="AB249" s="645">
        <v>109.41365069482983</v>
      </c>
      <c r="AC249" s="645">
        <v>32.337237556024441</v>
      </c>
      <c r="AD249" s="645">
        <v>-108.21090121602258</v>
      </c>
      <c r="AE249" s="645">
        <v>-39.044213230920668</v>
      </c>
      <c r="AF249" s="645">
        <v>0</v>
      </c>
      <c r="AG249" s="645">
        <v>15.111636584499612</v>
      </c>
      <c r="AH249" s="645">
        <v>-513.7236210244123</v>
      </c>
      <c r="AI249" s="645">
        <v>-68.726254812515464</v>
      </c>
      <c r="AJ249" s="645">
        <v>-20.360394688196585</v>
      </c>
      <c r="AK249" s="645">
        <v>709.14376190688279</v>
      </c>
    </row>
    <row r="250" spans="3:37" x14ac:dyDescent="0.2">
      <c r="C250" s="634"/>
      <c r="D250" s="634">
        <v>0</v>
      </c>
      <c r="E250" s="634">
        <v>0</v>
      </c>
      <c r="F250" s="634">
        <v>0</v>
      </c>
      <c r="G250" s="634">
        <v>0</v>
      </c>
      <c r="H250" s="634">
        <v>0</v>
      </c>
      <c r="I250" s="634">
        <v>0</v>
      </c>
      <c r="J250" s="634">
        <v>0</v>
      </c>
      <c r="K250" s="634">
        <v>0</v>
      </c>
      <c r="L250" s="634">
        <v>0</v>
      </c>
      <c r="M250" s="634">
        <v>0</v>
      </c>
      <c r="N250" s="634">
        <v>0</v>
      </c>
      <c r="O250" s="634">
        <v>0</v>
      </c>
      <c r="P250" s="634">
        <v>0</v>
      </c>
      <c r="Q250" s="634">
        <v>0</v>
      </c>
      <c r="R250" s="634">
        <v>0</v>
      </c>
      <c r="S250" s="634">
        <v>0</v>
      </c>
      <c r="U250" s="634"/>
      <c r="V250" s="634">
        <v>0</v>
      </c>
      <c r="W250" s="634">
        <v>0</v>
      </c>
      <c r="X250" s="634">
        <v>0</v>
      </c>
      <c r="Y250" s="634">
        <v>0</v>
      </c>
      <c r="Z250" s="634">
        <v>0</v>
      </c>
      <c r="AA250" s="634">
        <v>0</v>
      </c>
      <c r="AB250" s="634">
        <v>0</v>
      </c>
      <c r="AC250" s="634">
        <v>0</v>
      </c>
      <c r="AD250" s="634">
        <v>0</v>
      </c>
      <c r="AE250" s="634">
        <v>0</v>
      </c>
      <c r="AF250" s="634">
        <v>0</v>
      </c>
      <c r="AG250" s="634">
        <v>0</v>
      </c>
      <c r="AH250" s="634">
        <v>0</v>
      </c>
      <c r="AI250" s="634">
        <v>0</v>
      </c>
      <c r="AJ250" s="634">
        <v>0</v>
      </c>
      <c r="AK250" s="634">
        <v>0</v>
      </c>
    </row>
    <row r="251" spans="3:37" x14ac:dyDescent="0.2">
      <c r="C251" s="646" t="s">
        <v>78</v>
      </c>
      <c r="D251" s="640">
        <v>5.7766123047996905</v>
      </c>
      <c r="E251" s="640">
        <v>0</v>
      </c>
      <c r="F251" s="640">
        <v>22.402619678599791</v>
      </c>
      <c r="G251" s="640">
        <v>99.281124041468402</v>
      </c>
      <c r="H251" s="640">
        <v>0</v>
      </c>
      <c r="I251" s="640">
        <v>0</v>
      </c>
      <c r="J251" s="640">
        <v>20.258622771310847</v>
      </c>
      <c r="K251" s="640">
        <v>1.7675748663376085</v>
      </c>
      <c r="L251" s="640">
        <v>0.898333240234375</v>
      </c>
      <c r="M251" s="640">
        <v>2.0447588657198987</v>
      </c>
      <c r="N251" s="640">
        <v>0</v>
      </c>
      <c r="O251" s="640">
        <v>3.7946622282562846E-4</v>
      </c>
      <c r="P251" s="640">
        <v>110.87393457022205</v>
      </c>
      <c r="Q251" s="640">
        <v>16.091742927144434</v>
      </c>
      <c r="R251" s="640">
        <v>0.31004003906249999</v>
      </c>
      <c r="S251" s="648">
        <v>279.70574277112252</v>
      </c>
      <c r="U251" s="646" t="s">
        <v>78</v>
      </c>
      <c r="V251" s="640">
        <v>1.065232959954733</v>
      </c>
      <c r="W251" s="640">
        <v>0</v>
      </c>
      <c r="X251" s="640">
        <v>10.225742404389669</v>
      </c>
      <c r="Y251" s="640">
        <v>56.981112862578769</v>
      </c>
      <c r="Z251" s="640">
        <v>0</v>
      </c>
      <c r="AA251" s="640">
        <v>0</v>
      </c>
      <c r="AB251" s="640">
        <v>15.894636498884354</v>
      </c>
      <c r="AC251" s="640">
        <v>5.4662409336494147</v>
      </c>
      <c r="AD251" s="640">
        <v>3.5459101562500011</v>
      </c>
      <c r="AE251" s="640">
        <v>18.012649117932849</v>
      </c>
      <c r="AF251" s="640">
        <v>0</v>
      </c>
      <c r="AG251" s="640">
        <v>3.7946622282562846E-4</v>
      </c>
      <c r="AH251" s="640">
        <v>139.02742097426295</v>
      </c>
      <c r="AI251" s="640">
        <v>22.276590949645215</v>
      </c>
      <c r="AJ251" s="640">
        <v>6.4302626953124999</v>
      </c>
      <c r="AK251" s="648">
        <v>278.92617901908329</v>
      </c>
    </row>
    <row r="252" spans="3:37" x14ac:dyDescent="0.2">
      <c r="C252" s="646" t="s">
        <v>79</v>
      </c>
      <c r="D252" s="640">
        <v>0</v>
      </c>
      <c r="E252" s="640">
        <v>0</v>
      </c>
      <c r="F252" s="640">
        <v>266.09529408288529</v>
      </c>
      <c r="G252" s="640">
        <v>27.519674276690072</v>
      </c>
      <c r="H252" s="640">
        <v>0</v>
      </c>
      <c r="I252" s="640">
        <v>0</v>
      </c>
      <c r="J252" s="640">
        <v>0</v>
      </c>
      <c r="K252" s="640">
        <v>0</v>
      </c>
      <c r="L252" s="640">
        <v>25.787483151262677</v>
      </c>
      <c r="M252" s="640">
        <v>0.56162600564673626</v>
      </c>
      <c r="N252" s="640">
        <v>0</v>
      </c>
      <c r="O252" s="640">
        <v>0</v>
      </c>
      <c r="P252" s="640">
        <v>55.913522242788574</v>
      </c>
      <c r="Q252" s="640">
        <v>0</v>
      </c>
      <c r="R252" s="640">
        <v>1.6351140344190074</v>
      </c>
      <c r="S252" s="648">
        <v>377.5127137936924</v>
      </c>
      <c r="U252" s="646" t="s">
        <v>79</v>
      </c>
      <c r="V252" s="640">
        <v>0</v>
      </c>
      <c r="W252" s="640">
        <v>0</v>
      </c>
      <c r="X252" s="640">
        <v>96.606255591578162</v>
      </c>
      <c r="Y252" s="640">
        <v>18.337650579977414</v>
      </c>
      <c r="Z252" s="640">
        <v>0</v>
      </c>
      <c r="AA252" s="640">
        <v>0</v>
      </c>
      <c r="AB252" s="640">
        <v>0</v>
      </c>
      <c r="AC252" s="640">
        <v>0</v>
      </c>
      <c r="AD252" s="640">
        <v>50.618247990049454</v>
      </c>
      <c r="AE252" s="640">
        <v>5.9499820008855142</v>
      </c>
      <c r="AF252" s="640">
        <v>0</v>
      </c>
      <c r="AG252" s="640">
        <v>0</v>
      </c>
      <c r="AH252" s="640">
        <v>73.690348279738799</v>
      </c>
      <c r="AI252" s="640">
        <v>0</v>
      </c>
      <c r="AJ252" s="640">
        <v>3.6092463767880076</v>
      </c>
      <c r="AK252" s="648">
        <v>248.81173081901736</v>
      </c>
    </row>
    <row r="253" spans="3:37" x14ac:dyDescent="0.2">
      <c r="C253" s="646" t="s">
        <v>80</v>
      </c>
      <c r="D253" s="640">
        <v>0</v>
      </c>
      <c r="E253" s="640">
        <v>0</v>
      </c>
      <c r="F253" s="640">
        <v>20.365336948925044</v>
      </c>
      <c r="G253" s="640">
        <v>85.23124323075227</v>
      </c>
      <c r="H253" s="640">
        <v>0</v>
      </c>
      <c r="I253" s="640">
        <v>0</v>
      </c>
      <c r="J253" s="640">
        <v>86.726820353783026</v>
      </c>
      <c r="K253" s="640">
        <v>0</v>
      </c>
      <c r="L253" s="640">
        <v>0</v>
      </c>
      <c r="M253" s="640">
        <v>1.7394131271582098</v>
      </c>
      <c r="N253" s="640">
        <v>52.217429119397167</v>
      </c>
      <c r="O253" s="640">
        <v>2.0042749347218733</v>
      </c>
      <c r="P253" s="640">
        <v>185.58174281281848</v>
      </c>
      <c r="Q253" s="640">
        <v>15.554343379011728</v>
      </c>
      <c r="R253" s="640">
        <v>0</v>
      </c>
      <c r="S253" s="648">
        <v>449.42060390656781</v>
      </c>
      <c r="U253" s="646" t="s">
        <v>80</v>
      </c>
      <c r="V253" s="640">
        <v>0</v>
      </c>
      <c r="W253" s="640">
        <v>0</v>
      </c>
      <c r="X253" s="640">
        <v>1.2585168598114169</v>
      </c>
      <c r="Y253" s="640">
        <v>24.208168890995722</v>
      </c>
      <c r="Z253" s="640">
        <v>0</v>
      </c>
      <c r="AA253" s="640">
        <v>0</v>
      </c>
      <c r="AB253" s="640">
        <v>64.793825414524548</v>
      </c>
      <c r="AC253" s="640">
        <v>0</v>
      </c>
      <c r="AD253" s="640">
        <v>0</v>
      </c>
      <c r="AE253" s="640">
        <v>7.6446849129460164</v>
      </c>
      <c r="AF253" s="640">
        <v>71.984931036617454</v>
      </c>
      <c r="AG253" s="640">
        <v>3.153558114778761</v>
      </c>
      <c r="AH253" s="640">
        <v>153.74527198137548</v>
      </c>
      <c r="AI253" s="640">
        <v>35.336807466581455</v>
      </c>
      <c r="AJ253" s="640">
        <v>0</v>
      </c>
      <c r="AK253" s="648">
        <v>362.12576467763085</v>
      </c>
    </row>
    <row r="254" spans="3:37" x14ac:dyDescent="0.2">
      <c r="C254" s="646" t="s">
        <v>81</v>
      </c>
      <c r="D254" s="640">
        <v>0</v>
      </c>
      <c r="E254" s="640">
        <v>0</v>
      </c>
      <c r="F254" s="640">
        <v>7.1130915409553364</v>
      </c>
      <c r="G254" s="640">
        <v>63.054682395398032</v>
      </c>
      <c r="H254" s="640">
        <v>0</v>
      </c>
      <c r="I254" s="640">
        <v>0</v>
      </c>
      <c r="J254" s="640">
        <v>3.2976998041276677</v>
      </c>
      <c r="K254" s="640">
        <v>2.5104122720965388E-2</v>
      </c>
      <c r="L254" s="640">
        <v>0</v>
      </c>
      <c r="M254" s="640">
        <v>1.2868302529673068</v>
      </c>
      <c r="N254" s="640">
        <v>8.6154760361565579</v>
      </c>
      <c r="O254" s="640">
        <v>0.75786341807650337</v>
      </c>
      <c r="P254" s="640">
        <v>137.18962935697431</v>
      </c>
      <c r="Q254" s="640">
        <v>3.6903307099586842</v>
      </c>
      <c r="R254" s="640">
        <v>0</v>
      </c>
      <c r="S254" s="648">
        <v>225.03070763733538</v>
      </c>
      <c r="U254" s="646" t="s">
        <v>81</v>
      </c>
      <c r="V254" s="640">
        <v>0</v>
      </c>
      <c r="W254" s="640">
        <v>0</v>
      </c>
      <c r="X254" s="640">
        <v>2.1697022188790429</v>
      </c>
      <c r="Y254" s="640">
        <v>20.911765460712612</v>
      </c>
      <c r="Z254" s="640">
        <v>0</v>
      </c>
      <c r="AA254" s="640">
        <v>0</v>
      </c>
      <c r="AB254" s="640">
        <v>7.3285872023111214</v>
      </c>
      <c r="AC254" s="640">
        <v>2.5104122720965388E-2</v>
      </c>
      <c r="AD254" s="640">
        <v>0</v>
      </c>
      <c r="AE254" s="640">
        <v>6.6037154086460879</v>
      </c>
      <c r="AF254" s="640">
        <v>14.491680733710758</v>
      </c>
      <c r="AG254" s="640">
        <v>1.6347019702159422</v>
      </c>
      <c r="AH254" s="640">
        <v>117.90366143236871</v>
      </c>
      <c r="AI254" s="640">
        <v>11.11285639628878</v>
      </c>
      <c r="AJ254" s="640">
        <v>0</v>
      </c>
      <c r="AK254" s="648">
        <v>182.18177494585402</v>
      </c>
    </row>
    <row r="255" spans="3:37" x14ac:dyDescent="0.2">
      <c r="C255" s="646" t="s">
        <v>82</v>
      </c>
      <c r="D255" s="640">
        <v>0</v>
      </c>
      <c r="E255" s="640">
        <v>0</v>
      </c>
      <c r="F255" s="640">
        <v>30.218764596795413</v>
      </c>
      <c r="G255" s="640">
        <v>1.4924386728389218</v>
      </c>
      <c r="H255" s="640">
        <v>0</v>
      </c>
      <c r="I255" s="640">
        <v>0</v>
      </c>
      <c r="J255" s="640">
        <v>3.2225859194218685</v>
      </c>
      <c r="K255" s="640">
        <v>0</v>
      </c>
      <c r="L255" s="640">
        <v>2.9019247412329854</v>
      </c>
      <c r="M255" s="640">
        <v>3.0457932098753505E-2</v>
      </c>
      <c r="N255" s="640">
        <v>0</v>
      </c>
      <c r="O255" s="640">
        <v>7.4767074498679406E-2</v>
      </c>
      <c r="P255" s="640">
        <v>6.6555854929198803</v>
      </c>
      <c r="Q255" s="640">
        <v>0</v>
      </c>
      <c r="R255" s="640">
        <v>0</v>
      </c>
      <c r="S255" s="648">
        <v>44.596524429806507</v>
      </c>
      <c r="U255" s="646" t="s">
        <v>82</v>
      </c>
      <c r="V255" s="640">
        <v>0</v>
      </c>
      <c r="W255" s="640">
        <v>0</v>
      </c>
      <c r="X255" s="640">
        <v>13.476198254352189</v>
      </c>
      <c r="Y255" s="640">
        <v>1.4718796614135594</v>
      </c>
      <c r="Z255" s="640">
        <v>0</v>
      </c>
      <c r="AA255" s="640">
        <v>0</v>
      </c>
      <c r="AB255" s="640">
        <v>3.2225859194218685</v>
      </c>
      <c r="AC255" s="640">
        <v>0</v>
      </c>
      <c r="AD255" s="640">
        <v>23.463730160224294</v>
      </c>
      <c r="AE255" s="640">
        <v>0.46480410360428193</v>
      </c>
      <c r="AF255" s="640">
        <v>0</v>
      </c>
      <c r="AG255" s="640">
        <v>1.1655332190637568</v>
      </c>
      <c r="AH255" s="640">
        <v>6.7433697745475678</v>
      </c>
      <c r="AI255" s="640">
        <v>0</v>
      </c>
      <c r="AJ255" s="640">
        <v>0.29485655237537339</v>
      </c>
      <c r="AK255" s="648">
        <v>50.302957645002891</v>
      </c>
    </row>
    <row r="256" spans="3:37" x14ac:dyDescent="0.2">
      <c r="C256" s="646" t="s">
        <v>354</v>
      </c>
      <c r="D256" s="640">
        <v>0</v>
      </c>
      <c r="E256" s="640">
        <v>0</v>
      </c>
      <c r="F256" s="640">
        <v>0</v>
      </c>
      <c r="G256" s="640">
        <v>0</v>
      </c>
      <c r="H256" s="640">
        <v>0</v>
      </c>
      <c r="I256" s="640">
        <v>0</v>
      </c>
      <c r="J256" s="640">
        <v>0</v>
      </c>
      <c r="K256" s="640">
        <v>0</v>
      </c>
      <c r="L256" s="640">
        <v>0</v>
      </c>
      <c r="M256" s="640">
        <v>0</v>
      </c>
      <c r="N256" s="640">
        <v>0</v>
      </c>
      <c r="O256" s="640">
        <v>0</v>
      </c>
      <c r="P256" s="640">
        <v>0.27899999999999997</v>
      </c>
      <c r="Q256" s="640">
        <v>0</v>
      </c>
      <c r="R256" s="640">
        <v>0</v>
      </c>
      <c r="S256" s="648">
        <v>0.27899999999999997</v>
      </c>
      <c r="U256" s="646" t="s">
        <v>354</v>
      </c>
      <c r="V256" s="640">
        <v>0</v>
      </c>
      <c r="W256" s="640">
        <v>0</v>
      </c>
      <c r="X256" s="640">
        <v>0</v>
      </c>
      <c r="Y256" s="640">
        <v>0</v>
      </c>
      <c r="Z256" s="640">
        <v>0</v>
      </c>
      <c r="AA256" s="640">
        <v>0</v>
      </c>
      <c r="AB256" s="640">
        <v>0</v>
      </c>
      <c r="AC256" s="640">
        <v>0</v>
      </c>
      <c r="AD256" s="640">
        <v>0</v>
      </c>
      <c r="AE256" s="640">
        <v>0</v>
      </c>
      <c r="AF256" s="640">
        <v>0</v>
      </c>
      <c r="AG256" s="640">
        <v>0</v>
      </c>
      <c r="AH256" s="640">
        <v>1.92</v>
      </c>
      <c r="AI256" s="640">
        <v>0</v>
      </c>
      <c r="AJ256" s="640">
        <v>0</v>
      </c>
      <c r="AK256" s="648">
        <v>1.92</v>
      </c>
    </row>
    <row r="257" spans="3:37" x14ac:dyDescent="0.2">
      <c r="C257" s="644" t="s">
        <v>83</v>
      </c>
      <c r="D257" s="645">
        <v>5.7766123047996905</v>
      </c>
      <c r="E257" s="645">
        <v>0</v>
      </c>
      <c r="F257" s="645">
        <v>346.19510684816078</v>
      </c>
      <c r="G257" s="645">
        <v>276.57916261714774</v>
      </c>
      <c r="H257" s="645">
        <v>0</v>
      </c>
      <c r="I257" s="645">
        <v>0</v>
      </c>
      <c r="J257" s="645">
        <v>113.50572884864343</v>
      </c>
      <c r="K257" s="645">
        <v>1.7926789890585739</v>
      </c>
      <c r="L257" s="645">
        <v>29.587741132730038</v>
      </c>
      <c r="M257" s="645">
        <v>5.6630861835909059</v>
      </c>
      <c r="N257" s="645">
        <v>60.832905155553725</v>
      </c>
      <c r="O257" s="645">
        <v>2.8372848935198816</v>
      </c>
      <c r="P257" s="645">
        <v>496.49341447572323</v>
      </c>
      <c r="Q257" s="645">
        <v>35.336417016114851</v>
      </c>
      <c r="R257" s="645">
        <v>1.9451540734815074</v>
      </c>
      <c r="S257" s="645">
        <v>1376.5452925385248</v>
      </c>
      <c r="U257" s="644" t="s">
        <v>83</v>
      </c>
      <c r="V257" s="645">
        <v>1.065232959954733</v>
      </c>
      <c r="W257" s="645">
        <v>0</v>
      </c>
      <c r="X257" s="645">
        <v>123.73641532901047</v>
      </c>
      <c r="Y257" s="645">
        <v>121.91057745567808</v>
      </c>
      <c r="Z257" s="645">
        <v>0</v>
      </c>
      <c r="AA257" s="645">
        <v>0</v>
      </c>
      <c r="AB257" s="645">
        <v>91.239635035141916</v>
      </c>
      <c r="AC257" s="645">
        <v>5.4913450563703794</v>
      </c>
      <c r="AD257" s="645">
        <v>77.627888306523744</v>
      </c>
      <c r="AE257" s="645">
        <v>38.675835544014738</v>
      </c>
      <c r="AF257" s="645">
        <v>86.476611770328219</v>
      </c>
      <c r="AG257" s="645">
        <v>5.9541727702812857</v>
      </c>
      <c r="AH257" s="645">
        <v>493.03007244229349</v>
      </c>
      <c r="AI257" s="645">
        <v>68.72625481251545</v>
      </c>
      <c r="AJ257" s="645">
        <v>10.334365624475881</v>
      </c>
      <c r="AK257" s="645">
        <v>1124.2684071065887</v>
      </c>
    </row>
    <row r="258" spans="3:37" x14ac:dyDescent="0.2">
      <c r="C258" s="639" t="s">
        <v>84</v>
      </c>
      <c r="D258" s="640">
        <v>0</v>
      </c>
      <c r="E258" s="640">
        <v>0</v>
      </c>
      <c r="F258" s="640">
        <v>111.73719287700069</v>
      </c>
      <c r="G258" s="640">
        <v>11.878700409877391</v>
      </c>
      <c r="H258" s="640">
        <v>0</v>
      </c>
      <c r="I258" s="640">
        <v>0</v>
      </c>
      <c r="J258" s="640">
        <v>0</v>
      </c>
      <c r="K258" s="640">
        <v>0</v>
      </c>
      <c r="L258" s="640">
        <v>0</v>
      </c>
      <c r="M258" s="640">
        <v>0</v>
      </c>
      <c r="N258" s="640">
        <v>0</v>
      </c>
      <c r="O258" s="640">
        <v>0</v>
      </c>
      <c r="P258" s="640">
        <v>0</v>
      </c>
      <c r="Q258" s="640">
        <v>0</v>
      </c>
      <c r="R258" s="640">
        <v>1.43076906409107</v>
      </c>
      <c r="S258" s="648">
        <v>125.04666235096916</v>
      </c>
      <c r="U258" s="639" t="s">
        <v>84</v>
      </c>
      <c r="V258" s="640">
        <v>0</v>
      </c>
      <c r="W258" s="640">
        <v>0</v>
      </c>
      <c r="X258" s="640">
        <v>90.362960784166091</v>
      </c>
      <c r="Y258" s="640">
        <v>1.2615947910933976</v>
      </c>
      <c r="Z258" s="640">
        <v>0</v>
      </c>
      <c r="AA258" s="640">
        <v>0</v>
      </c>
      <c r="AB258" s="640">
        <v>0</v>
      </c>
      <c r="AC258" s="640">
        <v>0</v>
      </c>
      <c r="AD258" s="640">
        <v>14.679117373046875</v>
      </c>
      <c r="AE258" s="640">
        <v>0</v>
      </c>
      <c r="AF258" s="640">
        <v>0</v>
      </c>
      <c r="AG258" s="640">
        <v>0</v>
      </c>
      <c r="AH258" s="640">
        <v>0</v>
      </c>
      <c r="AI258" s="640">
        <v>0</v>
      </c>
      <c r="AJ258" s="640">
        <v>10.026029063720703</v>
      </c>
      <c r="AK258" s="648">
        <v>116.32970201202707</v>
      </c>
    </row>
    <row r="259" spans="3:37" x14ac:dyDescent="0.2">
      <c r="C259" s="644" t="s">
        <v>85</v>
      </c>
      <c r="D259" s="645">
        <v>5.7766123047996905</v>
      </c>
      <c r="E259" s="645">
        <v>0</v>
      </c>
      <c r="F259" s="645">
        <v>457.9322997251615</v>
      </c>
      <c r="G259" s="645">
        <v>288.45786302702516</v>
      </c>
      <c r="H259" s="645">
        <v>0</v>
      </c>
      <c r="I259" s="645">
        <v>0</v>
      </c>
      <c r="J259" s="645">
        <v>113.50572884864343</v>
      </c>
      <c r="K259" s="645">
        <v>1.7926789890585739</v>
      </c>
      <c r="L259" s="645">
        <v>29.587741132730038</v>
      </c>
      <c r="M259" s="645">
        <v>5.6630861835909059</v>
      </c>
      <c r="N259" s="645">
        <v>60.832905155553725</v>
      </c>
      <c r="O259" s="645">
        <v>2.8372848935198816</v>
      </c>
      <c r="P259" s="645">
        <v>496.49341447572323</v>
      </c>
      <c r="Q259" s="645">
        <v>35.336417016114851</v>
      </c>
      <c r="R259" s="645">
        <v>3.3759231375725776</v>
      </c>
      <c r="S259" s="645">
        <v>1501.5919548894938</v>
      </c>
      <c r="U259" s="644" t="s">
        <v>85</v>
      </c>
      <c r="V259" s="645">
        <v>1.065232959954733</v>
      </c>
      <c r="W259" s="645">
        <v>0</v>
      </c>
      <c r="X259" s="645">
        <v>214.09937611317656</v>
      </c>
      <c r="Y259" s="645">
        <v>123.17217224677148</v>
      </c>
      <c r="Z259" s="645">
        <v>0</v>
      </c>
      <c r="AA259" s="645">
        <v>0</v>
      </c>
      <c r="AB259" s="645">
        <v>91.239635035141916</v>
      </c>
      <c r="AC259" s="645">
        <v>5.4913450563703794</v>
      </c>
      <c r="AD259" s="645">
        <v>92.307005679570622</v>
      </c>
      <c r="AE259" s="645">
        <v>38.675835544014738</v>
      </c>
      <c r="AF259" s="645">
        <v>86.476611770328219</v>
      </c>
      <c r="AG259" s="645">
        <v>5.9541727702812857</v>
      </c>
      <c r="AH259" s="645">
        <v>493.03007244229349</v>
      </c>
      <c r="AI259" s="645">
        <v>68.72625481251545</v>
      </c>
      <c r="AJ259" s="645">
        <v>20.360394688196585</v>
      </c>
      <c r="AK259" s="645">
        <v>1240.5981091186156</v>
      </c>
    </row>
    <row r="260" spans="3:37" x14ac:dyDescent="0.2">
      <c r="C260" s="634"/>
      <c r="D260" s="634"/>
      <c r="E260" s="634"/>
      <c r="F260" s="634"/>
      <c r="G260" s="634"/>
      <c r="H260" s="634"/>
      <c r="I260" s="634"/>
      <c r="J260" s="634"/>
      <c r="K260" s="634"/>
      <c r="L260" s="634"/>
      <c r="M260" s="634"/>
      <c r="N260" s="634"/>
      <c r="O260" s="634"/>
      <c r="P260" s="634"/>
      <c r="Q260" s="634"/>
      <c r="R260" s="634"/>
      <c r="S260" s="634"/>
      <c r="U260" s="634"/>
      <c r="V260" s="634"/>
      <c r="W260" s="634"/>
      <c r="X260" s="634"/>
      <c r="Y260" s="634"/>
      <c r="Z260" s="634"/>
      <c r="AA260" s="634"/>
      <c r="AB260" s="634"/>
      <c r="AC260" s="634"/>
      <c r="AD260" s="634"/>
      <c r="AE260" s="634"/>
      <c r="AF260" s="634"/>
      <c r="AG260" s="634"/>
      <c r="AH260" s="634"/>
      <c r="AI260" s="634"/>
      <c r="AJ260" s="634"/>
      <c r="AK260" s="634"/>
    </row>
    <row r="261" spans="3:37" ht="22.5" x14ac:dyDescent="0.3">
      <c r="C261" s="759" t="s">
        <v>360</v>
      </c>
      <c r="D261" s="759"/>
      <c r="E261" s="759"/>
      <c r="F261" s="759"/>
      <c r="G261" s="759"/>
      <c r="H261" s="759"/>
      <c r="I261" s="759"/>
      <c r="J261" s="759"/>
      <c r="K261" s="759"/>
      <c r="L261" s="759"/>
      <c r="M261" s="759"/>
      <c r="N261" s="759"/>
      <c r="O261" s="759"/>
      <c r="P261" s="759"/>
      <c r="Q261" s="759"/>
      <c r="R261" s="759"/>
      <c r="S261" s="759"/>
      <c r="U261" s="759" t="s">
        <v>360</v>
      </c>
      <c r="V261" s="759"/>
      <c r="W261" s="759"/>
      <c r="X261" s="759"/>
      <c r="Y261" s="759"/>
      <c r="Z261" s="759"/>
      <c r="AA261" s="759"/>
      <c r="AB261" s="759"/>
      <c r="AC261" s="759"/>
      <c r="AD261" s="759"/>
      <c r="AE261" s="759"/>
      <c r="AF261" s="759"/>
      <c r="AG261" s="759"/>
      <c r="AH261" s="759"/>
      <c r="AI261" s="759"/>
      <c r="AJ261" s="759"/>
      <c r="AK261" s="759"/>
    </row>
    <row r="262" spans="3:37" x14ac:dyDescent="0.2">
      <c r="C262" s="634"/>
      <c r="D262" s="634"/>
      <c r="E262" s="634"/>
      <c r="F262" s="634"/>
      <c r="G262" s="634"/>
      <c r="H262" s="634"/>
      <c r="I262" s="634"/>
      <c r="J262" s="634"/>
      <c r="K262" s="634"/>
      <c r="L262" s="634"/>
      <c r="M262" s="634"/>
      <c r="N262" s="634"/>
      <c r="O262" s="634"/>
      <c r="P262" s="634"/>
      <c r="Q262" s="634"/>
      <c r="R262" s="634"/>
      <c r="S262" s="634"/>
      <c r="U262" s="634"/>
      <c r="V262" s="634"/>
      <c r="W262" s="634"/>
      <c r="X262" s="634"/>
      <c r="Y262" s="634"/>
      <c r="Z262" s="634"/>
      <c r="AA262" s="634"/>
      <c r="AB262" s="634"/>
      <c r="AC262" s="634"/>
      <c r="AD262" s="634"/>
      <c r="AE262" s="634"/>
      <c r="AF262" s="634"/>
      <c r="AG262" s="634"/>
      <c r="AH262" s="634"/>
      <c r="AI262" s="634"/>
      <c r="AJ262" s="634"/>
      <c r="AK262" s="634"/>
    </row>
    <row r="263" spans="3:37" ht="12.95" customHeight="1" x14ac:dyDescent="0.2">
      <c r="C263" s="758" t="s">
        <v>128</v>
      </c>
      <c r="D263" s="757" t="s">
        <v>42</v>
      </c>
      <c r="E263" s="757" t="s">
        <v>52</v>
      </c>
      <c r="F263" s="757" t="s">
        <v>53</v>
      </c>
      <c r="G263" s="757" t="s">
        <v>32</v>
      </c>
      <c r="H263" s="757" t="s">
        <v>20</v>
      </c>
      <c r="I263" s="757" t="s">
        <v>55</v>
      </c>
      <c r="J263" s="757" t="s">
        <v>56</v>
      </c>
      <c r="K263" s="757"/>
      <c r="L263" s="757"/>
      <c r="M263" s="757"/>
      <c r="N263" s="757"/>
      <c r="O263" s="757"/>
      <c r="P263" s="757" t="s">
        <v>57</v>
      </c>
      <c r="Q263" s="757" t="s">
        <v>58</v>
      </c>
      <c r="R263" s="757" t="s">
        <v>31</v>
      </c>
      <c r="S263" s="757" t="s">
        <v>10</v>
      </c>
      <c r="U263" s="758" t="s">
        <v>128</v>
      </c>
      <c r="V263" s="757" t="s">
        <v>42</v>
      </c>
      <c r="W263" s="757" t="s">
        <v>52</v>
      </c>
      <c r="X263" s="757" t="s">
        <v>53</v>
      </c>
      <c r="Y263" s="757" t="s">
        <v>32</v>
      </c>
      <c r="Z263" s="757" t="s">
        <v>20</v>
      </c>
      <c r="AA263" s="757" t="s">
        <v>55</v>
      </c>
      <c r="AB263" s="757" t="s">
        <v>56</v>
      </c>
      <c r="AC263" s="757"/>
      <c r="AD263" s="757"/>
      <c r="AE263" s="757"/>
      <c r="AF263" s="757"/>
      <c r="AG263" s="757"/>
      <c r="AH263" s="757" t="s">
        <v>57</v>
      </c>
      <c r="AI263" s="757" t="s">
        <v>58</v>
      </c>
      <c r="AJ263" s="757" t="s">
        <v>31</v>
      </c>
      <c r="AK263" s="757" t="s">
        <v>10</v>
      </c>
    </row>
    <row r="264" spans="3:37" ht="56.25" x14ac:dyDescent="0.2">
      <c r="C264" s="758"/>
      <c r="D264" s="757"/>
      <c r="E264" s="757"/>
      <c r="F264" s="757"/>
      <c r="G264" s="757"/>
      <c r="H264" s="757"/>
      <c r="I264" s="757"/>
      <c r="J264" s="638" t="s">
        <v>335</v>
      </c>
      <c r="K264" s="638" t="s">
        <v>40</v>
      </c>
      <c r="L264" s="638" t="s">
        <v>343</v>
      </c>
      <c r="M264" s="638" t="s">
        <v>344</v>
      </c>
      <c r="N264" s="638" t="s">
        <v>345</v>
      </c>
      <c r="O264" s="638" t="s">
        <v>346</v>
      </c>
      <c r="P264" s="757"/>
      <c r="Q264" s="757"/>
      <c r="R264" s="757"/>
      <c r="S264" s="757"/>
      <c r="U264" s="758"/>
      <c r="V264" s="757"/>
      <c r="W264" s="757"/>
      <c r="X264" s="757"/>
      <c r="Y264" s="757"/>
      <c r="Z264" s="757"/>
      <c r="AA264" s="757"/>
      <c r="AB264" s="638" t="s">
        <v>335</v>
      </c>
      <c r="AC264" s="638" t="s">
        <v>40</v>
      </c>
      <c r="AD264" s="638" t="s">
        <v>343</v>
      </c>
      <c r="AE264" s="638" t="s">
        <v>344</v>
      </c>
      <c r="AF264" s="638" t="s">
        <v>345</v>
      </c>
      <c r="AG264" s="638" t="s">
        <v>346</v>
      </c>
      <c r="AH264" s="757"/>
      <c r="AI264" s="757"/>
      <c r="AJ264" s="757"/>
      <c r="AK264" s="757"/>
    </row>
    <row r="265" spans="3:37" x14ac:dyDescent="0.2">
      <c r="C265" s="639" t="s">
        <v>59</v>
      </c>
      <c r="D265" s="640">
        <v>0</v>
      </c>
      <c r="E265" s="641">
        <v>0</v>
      </c>
      <c r="F265" s="641">
        <v>0</v>
      </c>
      <c r="G265" s="640">
        <v>0</v>
      </c>
      <c r="H265" s="641">
        <v>959.09090909090924</v>
      </c>
      <c r="I265" s="641">
        <v>265.54666314840352</v>
      </c>
      <c r="J265" s="641">
        <v>188.6372712469306</v>
      </c>
      <c r="K265" s="641">
        <v>20.835963621356942</v>
      </c>
      <c r="L265" s="641">
        <v>0.48646764865129044</v>
      </c>
      <c r="M265" s="641">
        <v>0.15840693111613638</v>
      </c>
      <c r="N265" s="641">
        <v>62.897832024028709</v>
      </c>
      <c r="O265" s="641">
        <v>11.865462020109925</v>
      </c>
      <c r="P265" s="642">
        <v>0</v>
      </c>
      <c r="Q265" s="641">
        <v>0</v>
      </c>
      <c r="R265" s="641">
        <v>0</v>
      </c>
      <c r="S265" s="643">
        <v>1509.5189757315065</v>
      </c>
      <c r="U265" s="639" t="s">
        <v>59</v>
      </c>
      <c r="V265" s="640">
        <v>0</v>
      </c>
      <c r="W265" s="641">
        <v>0</v>
      </c>
      <c r="X265" s="641">
        <v>0</v>
      </c>
      <c r="Y265" s="640">
        <v>0</v>
      </c>
      <c r="Z265" s="641">
        <v>919.39393939393949</v>
      </c>
      <c r="AA265" s="641">
        <v>300.16666314840353</v>
      </c>
      <c r="AB265" s="641">
        <v>196.07210414009427</v>
      </c>
      <c r="AC265" s="641">
        <v>37.690284018354092</v>
      </c>
      <c r="AD265" s="641">
        <v>0.48646764865129044</v>
      </c>
      <c r="AE265" s="641">
        <v>0.15840693111613638</v>
      </c>
      <c r="AF265" s="641">
        <v>92.901000398225491</v>
      </c>
      <c r="AG265" s="641">
        <v>23.979405132943342</v>
      </c>
      <c r="AH265" s="642">
        <v>0</v>
      </c>
      <c r="AI265" s="641">
        <v>0</v>
      </c>
      <c r="AJ265" s="641">
        <v>0</v>
      </c>
      <c r="AK265" s="643">
        <v>1570.8482708117278</v>
      </c>
    </row>
    <row r="266" spans="3:37" x14ac:dyDescent="0.2">
      <c r="C266" s="639" t="s">
        <v>60</v>
      </c>
      <c r="D266" s="640">
        <v>48.037640466799544</v>
      </c>
      <c r="E266" s="641">
        <v>504.19228646673599</v>
      </c>
      <c r="F266" s="641">
        <v>68.527294255032075</v>
      </c>
      <c r="G266" s="640">
        <v>332.96357284387591</v>
      </c>
      <c r="H266" s="641">
        <v>0</v>
      </c>
      <c r="I266" s="641">
        <v>0</v>
      </c>
      <c r="J266" s="641">
        <v>4.4041420336435353</v>
      </c>
      <c r="K266" s="641">
        <v>0</v>
      </c>
      <c r="L266" s="641">
        <v>2.4215969020745125</v>
      </c>
      <c r="M266" s="641">
        <v>0</v>
      </c>
      <c r="N266" s="641">
        <v>0</v>
      </c>
      <c r="O266" s="641">
        <v>0</v>
      </c>
      <c r="P266" s="642">
        <v>0</v>
      </c>
      <c r="Q266" s="641">
        <v>0</v>
      </c>
      <c r="R266" s="641">
        <v>0</v>
      </c>
      <c r="S266" s="643">
        <v>960.54653296816161</v>
      </c>
      <c r="U266" s="639" t="s">
        <v>60</v>
      </c>
      <c r="V266" s="640">
        <v>7.5315222042138927</v>
      </c>
      <c r="W266" s="641">
        <v>266.28302835422375</v>
      </c>
      <c r="X266" s="641">
        <v>14.660534841020075</v>
      </c>
      <c r="Y266" s="640">
        <v>136.19700966140181</v>
      </c>
      <c r="Z266" s="641">
        <v>0</v>
      </c>
      <c r="AA266" s="641">
        <v>0</v>
      </c>
      <c r="AB266" s="641">
        <v>4.4041420336435353</v>
      </c>
      <c r="AC266" s="641">
        <v>0</v>
      </c>
      <c r="AD266" s="641">
        <v>2.4215969020745125</v>
      </c>
      <c r="AE266" s="641">
        <v>0</v>
      </c>
      <c r="AF266" s="641">
        <v>0</v>
      </c>
      <c r="AG266" s="641">
        <v>0</v>
      </c>
      <c r="AH266" s="642">
        <v>0</v>
      </c>
      <c r="AI266" s="641">
        <v>0</v>
      </c>
      <c r="AJ266" s="641">
        <v>0</v>
      </c>
      <c r="AK266" s="643">
        <v>431.49783399657758</v>
      </c>
    </row>
    <row r="267" spans="3:37" x14ac:dyDescent="0.2">
      <c r="C267" s="639" t="s">
        <v>61</v>
      </c>
      <c r="D267" s="640">
        <v>0</v>
      </c>
      <c r="E267" s="641">
        <v>0</v>
      </c>
      <c r="F267" s="641">
        <v>0</v>
      </c>
      <c r="G267" s="640">
        <v>0</v>
      </c>
      <c r="H267" s="641">
        <v>0</v>
      </c>
      <c r="I267" s="641">
        <v>0</v>
      </c>
      <c r="J267" s="641">
        <v>0</v>
      </c>
      <c r="K267" s="641">
        <v>0</v>
      </c>
      <c r="L267" s="641">
        <v>0</v>
      </c>
      <c r="M267" s="641">
        <v>0</v>
      </c>
      <c r="N267" s="641">
        <v>0</v>
      </c>
      <c r="O267" s="641">
        <v>0</v>
      </c>
      <c r="P267" s="642">
        <v>-31.055970799843635</v>
      </c>
      <c r="Q267" s="641">
        <v>0</v>
      </c>
      <c r="R267" s="641">
        <v>0</v>
      </c>
      <c r="S267" s="643">
        <v>-31.055970799843635</v>
      </c>
      <c r="U267" s="639" t="s">
        <v>61</v>
      </c>
      <c r="V267" s="640">
        <v>0</v>
      </c>
      <c r="W267" s="641">
        <v>0</v>
      </c>
      <c r="X267" s="641">
        <v>-20.238165107819981</v>
      </c>
      <c r="Y267" s="640">
        <v>0</v>
      </c>
      <c r="Z267" s="641">
        <v>0</v>
      </c>
      <c r="AA267" s="641">
        <v>0</v>
      </c>
      <c r="AB267" s="641">
        <v>0</v>
      </c>
      <c r="AC267" s="641">
        <v>0</v>
      </c>
      <c r="AD267" s="641">
        <v>0</v>
      </c>
      <c r="AE267" s="641">
        <v>0</v>
      </c>
      <c r="AF267" s="641">
        <v>0</v>
      </c>
      <c r="AG267" s="641">
        <v>0</v>
      </c>
      <c r="AH267" s="642">
        <v>-12.632253344037395</v>
      </c>
      <c r="AI267" s="641">
        <v>0</v>
      </c>
      <c r="AJ267" s="641">
        <v>0</v>
      </c>
      <c r="AK267" s="643">
        <v>-32.870418451857375</v>
      </c>
    </row>
    <row r="268" spans="3:37" x14ac:dyDescent="0.2">
      <c r="C268" s="639" t="s">
        <v>62</v>
      </c>
      <c r="D268" s="640">
        <v>0</v>
      </c>
      <c r="E268" s="641">
        <v>0</v>
      </c>
      <c r="F268" s="641">
        <v>-15.855905256620872</v>
      </c>
      <c r="G268" s="640">
        <v>0</v>
      </c>
      <c r="H268" s="641">
        <v>0</v>
      </c>
      <c r="I268" s="641">
        <v>0</v>
      </c>
      <c r="J268" s="641">
        <v>0</v>
      </c>
      <c r="K268" s="641">
        <v>0</v>
      </c>
      <c r="L268" s="641">
        <v>0</v>
      </c>
      <c r="M268" s="641">
        <v>0</v>
      </c>
      <c r="N268" s="641">
        <v>0</v>
      </c>
      <c r="O268" s="641">
        <v>0</v>
      </c>
      <c r="P268" s="642">
        <v>0</v>
      </c>
      <c r="Q268" s="641">
        <v>0</v>
      </c>
      <c r="R268" s="641">
        <v>0</v>
      </c>
      <c r="S268" s="643">
        <v>-15.855905256620872</v>
      </c>
      <c r="U268" s="639" t="s">
        <v>62</v>
      </c>
      <c r="V268" s="640">
        <v>0</v>
      </c>
      <c r="W268" s="641">
        <v>0</v>
      </c>
      <c r="X268" s="641">
        <v>-10.068616817390659</v>
      </c>
      <c r="Y268" s="640">
        <v>-2.2904268439326967</v>
      </c>
      <c r="Z268" s="641">
        <v>0</v>
      </c>
      <c r="AA268" s="641">
        <v>0</v>
      </c>
      <c r="AB268" s="641">
        <v>0</v>
      </c>
      <c r="AC268" s="641">
        <v>0</v>
      </c>
      <c r="AD268" s="641">
        <v>0</v>
      </c>
      <c r="AE268" s="641">
        <v>-0.98161150454258428</v>
      </c>
      <c r="AF268" s="641">
        <v>0</v>
      </c>
      <c r="AG268" s="641">
        <v>0</v>
      </c>
      <c r="AH268" s="642">
        <v>0</v>
      </c>
      <c r="AI268" s="641">
        <v>0</v>
      </c>
      <c r="AJ268" s="641">
        <v>0</v>
      </c>
      <c r="AK268" s="643">
        <v>-13.34065516586594</v>
      </c>
    </row>
    <row r="269" spans="3:37" x14ac:dyDescent="0.2">
      <c r="C269" s="639" t="s">
        <v>63</v>
      </c>
      <c r="D269" s="640">
        <v>0</v>
      </c>
      <c r="E269" s="641">
        <v>0</v>
      </c>
      <c r="F269" s="641">
        <v>-87.092524368241456</v>
      </c>
      <c r="G269" s="640">
        <v>0</v>
      </c>
      <c r="H269" s="641">
        <v>0</v>
      </c>
      <c r="I269" s="641">
        <v>0</v>
      </c>
      <c r="J269" s="641">
        <v>0</v>
      </c>
      <c r="K269" s="641">
        <v>0</v>
      </c>
      <c r="L269" s="641">
        <v>-0.90133117758770376</v>
      </c>
      <c r="M269" s="641">
        <v>0</v>
      </c>
      <c r="N269" s="641">
        <v>0</v>
      </c>
      <c r="O269" s="641">
        <v>0</v>
      </c>
      <c r="P269" s="642">
        <v>0</v>
      </c>
      <c r="Q269" s="641">
        <v>0</v>
      </c>
      <c r="R269" s="641">
        <v>0</v>
      </c>
      <c r="S269" s="643">
        <v>-87.993855545829163</v>
      </c>
      <c r="U269" s="639" t="s">
        <v>63</v>
      </c>
      <c r="V269" s="640">
        <v>0</v>
      </c>
      <c r="W269" s="641">
        <v>0</v>
      </c>
      <c r="X269" s="641">
        <v>-58.231828596071985</v>
      </c>
      <c r="Y269" s="640">
        <v>0</v>
      </c>
      <c r="Z269" s="641">
        <v>0</v>
      </c>
      <c r="AA269" s="641">
        <v>0</v>
      </c>
      <c r="AB269" s="641">
        <v>0</v>
      </c>
      <c r="AC269" s="641">
        <v>0</v>
      </c>
      <c r="AD269" s="641">
        <v>-23.991898740742837</v>
      </c>
      <c r="AE269" s="641">
        <v>0</v>
      </c>
      <c r="AF269" s="641">
        <v>0</v>
      </c>
      <c r="AG269" s="641">
        <v>0</v>
      </c>
      <c r="AH269" s="642">
        <v>0</v>
      </c>
      <c r="AI269" s="641">
        <v>0</v>
      </c>
      <c r="AJ269" s="641">
        <v>0</v>
      </c>
      <c r="AK269" s="643">
        <v>-82.223727336814818</v>
      </c>
    </row>
    <row r="270" spans="3:37" x14ac:dyDescent="0.2">
      <c r="C270" s="639" t="s">
        <v>64</v>
      </c>
      <c r="D270" s="640">
        <v>0</v>
      </c>
      <c r="E270" s="641">
        <v>0</v>
      </c>
      <c r="F270" s="641">
        <v>0</v>
      </c>
      <c r="G270" s="640">
        <v>0</v>
      </c>
      <c r="H270" s="641">
        <v>0</v>
      </c>
      <c r="I270" s="641">
        <v>0</v>
      </c>
      <c r="J270" s="641">
        <v>0</v>
      </c>
      <c r="K270" s="641">
        <v>0</v>
      </c>
      <c r="L270" s="641">
        <v>0</v>
      </c>
      <c r="M270" s="641">
        <v>0</v>
      </c>
      <c r="N270" s="641">
        <v>0</v>
      </c>
      <c r="O270" s="641">
        <v>0</v>
      </c>
      <c r="P270" s="642">
        <v>0</v>
      </c>
      <c r="Q270" s="641">
        <v>0</v>
      </c>
      <c r="R270" s="641">
        <v>0</v>
      </c>
      <c r="S270" s="643">
        <v>0</v>
      </c>
      <c r="U270" s="639" t="s">
        <v>64</v>
      </c>
      <c r="V270" s="640">
        <v>0</v>
      </c>
      <c r="W270" s="641">
        <v>0</v>
      </c>
      <c r="X270" s="641">
        <v>0</v>
      </c>
      <c r="Y270" s="640">
        <v>0</v>
      </c>
      <c r="Z270" s="641">
        <v>0</v>
      </c>
      <c r="AA270" s="641">
        <v>0</v>
      </c>
      <c r="AB270" s="641">
        <v>0</v>
      </c>
      <c r="AC270" s="641">
        <v>0</v>
      </c>
      <c r="AD270" s="641">
        <v>0</v>
      </c>
      <c r="AE270" s="641">
        <v>0</v>
      </c>
      <c r="AF270" s="641">
        <v>0</v>
      </c>
      <c r="AG270" s="641">
        <v>0</v>
      </c>
      <c r="AH270" s="642">
        <v>0</v>
      </c>
      <c r="AI270" s="641">
        <v>0</v>
      </c>
      <c r="AJ270" s="641">
        <v>0</v>
      </c>
      <c r="AK270" s="643">
        <v>0</v>
      </c>
    </row>
    <row r="271" spans="3:37" x14ac:dyDescent="0.2">
      <c r="C271" s="644" t="s">
        <v>65</v>
      </c>
      <c r="D271" s="645">
        <v>48.037640466799544</v>
      </c>
      <c r="E271" s="645">
        <v>504.19228646673599</v>
      </c>
      <c r="F271" s="645">
        <v>-34.42113536983026</v>
      </c>
      <c r="G271" s="645">
        <v>332.96357284387591</v>
      </c>
      <c r="H271" s="645">
        <v>959.09090909090924</v>
      </c>
      <c r="I271" s="645">
        <v>265.54666314840352</v>
      </c>
      <c r="J271" s="645">
        <v>193.04141328057412</v>
      </c>
      <c r="K271" s="645">
        <v>20.835963621356942</v>
      </c>
      <c r="L271" s="645">
        <v>2.0067333731380987</v>
      </c>
      <c r="M271" s="645">
        <v>0.15840693111613638</v>
      </c>
      <c r="N271" s="645">
        <v>62.897832024028709</v>
      </c>
      <c r="O271" s="645">
        <v>11.865462020109925</v>
      </c>
      <c r="P271" s="645">
        <v>-31.055970799843635</v>
      </c>
      <c r="Q271" s="645">
        <v>0</v>
      </c>
      <c r="R271" s="645">
        <v>0</v>
      </c>
      <c r="S271" s="645">
        <v>2335.159777097374</v>
      </c>
      <c r="U271" s="644" t="s">
        <v>65</v>
      </c>
      <c r="V271" s="645">
        <v>7.5315222042138927</v>
      </c>
      <c r="W271" s="645">
        <v>266.28302835422375</v>
      </c>
      <c r="X271" s="645">
        <v>-73.87807568026254</v>
      </c>
      <c r="Y271" s="645">
        <v>133.90658281746911</v>
      </c>
      <c r="Z271" s="645">
        <v>919.39393939393949</v>
      </c>
      <c r="AA271" s="645">
        <v>300.16666314840353</v>
      </c>
      <c r="AB271" s="645">
        <v>200.47624617373779</v>
      </c>
      <c r="AC271" s="645">
        <v>37.690284018354092</v>
      </c>
      <c r="AD271" s="645">
        <v>-21.083834190017033</v>
      </c>
      <c r="AE271" s="645">
        <v>-0.82320457342644793</v>
      </c>
      <c r="AF271" s="645">
        <v>92.901000398225491</v>
      </c>
      <c r="AG271" s="645">
        <v>23.979405132943342</v>
      </c>
      <c r="AH271" s="645">
        <v>-12.632253344037395</v>
      </c>
      <c r="AI271" s="645">
        <v>0</v>
      </c>
      <c r="AJ271" s="645">
        <v>0</v>
      </c>
      <c r="AK271" s="645">
        <v>1873.9113038537675</v>
      </c>
    </row>
    <row r="272" spans="3:37" x14ac:dyDescent="0.2">
      <c r="C272" s="634"/>
      <c r="D272" s="634">
        <v>0</v>
      </c>
      <c r="E272" s="634">
        <v>0</v>
      </c>
      <c r="F272" s="634">
        <v>0</v>
      </c>
      <c r="G272" s="634">
        <v>0</v>
      </c>
      <c r="H272" s="634">
        <v>0</v>
      </c>
      <c r="I272" s="634">
        <v>0</v>
      </c>
      <c r="J272" s="634">
        <v>0</v>
      </c>
      <c r="K272" s="634">
        <v>0</v>
      </c>
      <c r="L272" s="634">
        <v>0</v>
      </c>
      <c r="M272" s="634">
        <v>0</v>
      </c>
      <c r="N272" s="634">
        <v>0</v>
      </c>
      <c r="O272" s="634">
        <v>0</v>
      </c>
      <c r="P272" s="634">
        <v>0</v>
      </c>
      <c r="Q272" s="634">
        <v>0</v>
      </c>
      <c r="R272" s="634">
        <v>0</v>
      </c>
      <c r="S272" s="634">
        <v>0</v>
      </c>
      <c r="U272" s="634"/>
      <c r="V272" s="634">
        <v>0</v>
      </c>
      <c r="W272" s="634">
        <v>0</v>
      </c>
      <c r="X272" s="634">
        <v>0</v>
      </c>
      <c r="Y272" s="634">
        <v>0</v>
      </c>
      <c r="Z272" s="634">
        <v>0</v>
      </c>
      <c r="AA272" s="634">
        <v>0</v>
      </c>
      <c r="AB272" s="634">
        <v>0</v>
      </c>
      <c r="AC272" s="634">
        <v>0</v>
      </c>
      <c r="AD272" s="634">
        <v>0</v>
      </c>
      <c r="AE272" s="634">
        <v>0</v>
      </c>
      <c r="AF272" s="634">
        <v>0</v>
      </c>
      <c r="AG272" s="634">
        <v>0</v>
      </c>
      <c r="AH272" s="634">
        <v>0</v>
      </c>
      <c r="AI272" s="634">
        <v>0</v>
      </c>
      <c r="AJ272" s="634">
        <v>0</v>
      </c>
      <c r="AK272" s="634">
        <v>0</v>
      </c>
    </row>
    <row r="273" spans="3:37" x14ac:dyDescent="0.2">
      <c r="C273" s="646" t="s">
        <v>67</v>
      </c>
      <c r="D273" s="640">
        <v>0</v>
      </c>
      <c r="E273" s="647">
        <v>0</v>
      </c>
      <c r="F273" s="647">
        <v>0</v>
      </c>
      <c r="G273" s="640">
        <v>0</v>
      </c>
      <c r="H273" s="640">
        <v>0</v>
      </c>
      <c r="I273" s="640">
        <v>0</v>
      </c>
      <c r="J273" s="640">
        <v>0</v>
      </c>
      <c r="K273" s="640">
        <v>0</v>
      </c>
      <c r="L273" s="640">
        <v>0</v>
      </c>
      <c r="M273" s="640">
        <v>0</v>
      </c>
      <c r="N273" s="640">
        <v>0</v>
      </c>
      <c r="O273" s="640">
        <v>0</v>
      </c>
      <c r="P273" s="640">
        <v>0</v>
      </c>
      <c r="Q273" s="640">
        <v>0</v>
      </c>
      <c r="R273" s="640">
        <v>0</v>
      </c>
      <c r="S273" s="648">
        <v>0</v>
      </c>
      <c r="U273" s="646" t="s">
        <v>67</v>
      </c>
      <c r="V273" s="640">
        <v>0</v>
      </c>
      <c r="W273" s="647">
        <v>0</v>
      </c>
      <c r="X273" s="647">
        <v>0</v>
      </c>
      <c r="Y273" s="640">
        <v>0</v>
      </c>
      <c r="Z273" s="640">
        <v>0</v>
      </c>
      <c r="AA273" s="640">
        <v>0</v>
      </c>
      <c r="AB273" s="640">
        <v>0</v>
      </c>
      <c r="AC273" s="640">
        <v>0</v>
      </c>
      <c r="AD273" s="640">
        <v>0</v>
      </c>
      <c r="AE273" s="640">
        <v>0</v>
      </c>
      <c r="AF273" s="640">
        <v>0</v>
      </c>
      <c r="AG273" s="640">
        <v>0</v>
      </c>
      <c r="AH273" s="640">
        <v>0</v>
      </c>
      <c r="AI273" s="640">
        <v>0</v>
      </c>
      <c r="AJ273" s="640">
        <v>0</v>
      </c>
      <c r="AK273" s="648">
        <v>0</v>
      </c>
    </row>
    <row r="274" spans="3:37" x14ac:dyDescent="0.2">
      <c r="C274" s="646" t="s">
        <v>347</v>
      </c>
      <c r="D274" s="640">
        <v>2.8267856410252494</v>
      </c>
      <c r="E274" s="640">
        <v>0</v>
      </c>
      <c r="F274" s="640">
        <v>7.5217067848259731</v>
      </c>
      <c r="G274" s="640">
        <v>17.043478260869566</v>
      </c>
      <c r="H274" s="640">
        <v>959.09090909090924</v>
      </c>
      <c r="I274" s="640">
        <v>265.54666314840352</v>
      </c>
      <c r="J274" s="649">
        <v>29.657322749860491</v>
      </c>
      <c r="K274" s="649">
        <v>6.9984717304001904</v>
      </c>
      <c r="L274" s="649">
        <v>2.9080645507258027</v>
      </c>
      <c r="M274" s="649">
        <v>0.47316517381762646</v>
      </c>
      <c r="N274" s="649">
        <v>0</v>
      </c>
      <c r="O274" s="649">
        <v>6.9042102843702597</v>
      </c>
      <c r="P274" s="640">
        <v>-613.13903868039233</v>
      </c>
      <c r="Q274" s="640">
        <v>0</v>
      </c>
      <c r="R274" s="640">
        <v>0</v>
      </c>
      <c r="S274" s="648">
        <v>685.83173873481564</v>
      </c>
      <c r="U274" s="646" t="s">
        <v>347</v>
      </c>
      <c r="V274" s="640">
        <v>0.62631490545869017</v>
      </c>
      <c r="W274" s="640">
        <v>0</v>
      </c>
      <c r="X274" s="640">
        <v>3.6580704211896093</v>
      </c>
      <c r="Y274" s="640">
        <v>6.2086956521739127</v>
      </c>
      <c r="Z274" s="640">
        <v>919.39393939393949</v>
      </c>
      <c r="AA274" s="640">
        <v>300.16666314840353</v>
      </c>
      <c r="AB274" s="649">
        <v>23.86094386593884</v>
      </c>
      <c r="AC274" s="649">
        <v>5.6952120200596408</v>
      </c>
      <c r="AD274" s="649">
        <v>2.9080645507258027</v>
      </c>
      <c r="AE274" s="649">
        <v>2.7862086520784959</v>
      </c>
      <c r="AF274" s="649">
        <v>0</v>
      </c>
      <c r="AG274" s="649">
        <v>6.9042102843702597</v>
      </c>
      <c r="AH274" s="640">
        <v>-628.6590386803922</v>
      </c>
      <c r="AI274" s="640">
        <v>0</v>
      </c>
      <c r="AJ274" s="640">
        <v>4.7499999999999991</v>
      </c>
      <c r="AK274" s="648">
        <v>648.29928421394618</v>
      </c>
    </row>
    <row r="275" spans="3:37" x14ac:dyDescent="0.2">
      <c r="C275" s="646" t="s">
        <v>348</v>
      </c>
      <c r="D275" s="640">
        <v>0</v>
      </c>
      <c r="E275" s="640">
        <v>0</v>
      </c>
      <c r="F275" s="640">
        <v>0</v>
      </c>
      <c r="G275" s="640">
        <v>14.973464488470796</v>
      </c>
      <c r="H275" s="640">
        <v>0</v>
      </c>
      <c r="I275" s="640">
        <v>0</v>
      </c>
      <c r="J275" s="649">
        <v>12.61885930635281</v>
      </c>
      <c r="K275" s="649">
        <v>11.992989190910333</v>
      </c>
      <c r="L275" s="649">
        <v>0</v>
      </c>
      <c r="M275" s="649">
        <v>0.32007470171399477</v>
      </c>
      <c r="N275" s="649">
        <v>0</v>
      </c>
      <c r="O275" s="649">
        <v>2.1221335576886813</v>
      </c>
      <c r="P275" s="640">
        <v>0</v>
      </c>
      <c r="Q275" s="640">
        <v>-38.122859170635891</v>
      </c>
      <c r="R275" s="640">
        <v>0</v>
      </c>
      <c r="S275" s="648">
        <v>3.9046620745007217</v>
      </c>
      <c r="U275" s="646" t="s">
        <v>348</v>
      </c>
      <c r="V275" s="640">
        <v>0</v>
      </c>
      <c r="W275" s="640">
        <v>0</v>
      </c>
      <c r="X275" s="640">
        <v>0</v>
      </c>
      <c r="Y275" s="640">
        <v>11.236128743190402</v>
      </c>
      <c r="Z275" s="640">
        <v>0</v>
      </c>
      <c r="AA275" s="640">
        <v>0</v>
      </c>
      <c r="AB275" s="649">
        <v>28.835017835425074</v>
      </c>
      <c r="AC275" s="649">
        <v>26.276566272731909</v>
      </c>
      <c r="AD275" s="649">
        <v>0</v>
      </c>
      <c r="AE275" s="649">
        <v>4.8299775408676195</v>
      </c>
      <c r="AF275" s="649">
        <v>0</v>
      </c>
      <c r="AG275" s="649">
        <v>10.71495831218258</v>
      </c>
      <c r="AH275" s="640">
        <v>0</v>
      </c>
      <c r="AI275" s="640">
        <v>-75.331063655699538</v>
      </c>
      <c r="AJ275" s="640">
        <v>0</v>
      </c>
      <c r="AK275" s="648">
        <v>6.561585048698058</v>
      </c>
    </row>
    <row r="276" spans="3:37" x14ac:dyDescent="0.2">
      <c r="C276" s="646" t="s">
        <v>349</v>
      </c>
      <c r="D276" s="640">
        <v>0</v>
      </c>
      <c r="E276" s="640">
        <v>0</v>
      </c>
      <c r="F276" s="640">
        <v>0</v>
      </c>
      <c r="G276" s="640">
        <v>0</v>
      </c>
      <c r="H276" s="640">
        <v>0</v>
      </c>
      <c r="I276" s="640">
        <v>0</v>
      </c>
      <c r="J276" s="650">
        <v>7.1836152532588793</v>
      </c>
      <c r="K276" s="650">
        <v>0</v>
      </c>
      <c r="L276" s="650">
        <v>0</v>
      </c>
      <c r="M276" s="650">
        <v>-6.5550489185987271</v>
      </c>
      <c r="N276" s="650">
        <v>0</v>
      </c>
      <c r="O276" s="650">
        <v>0</v>
      </c>
      <c r="P276" s="640">
        <v>0</v>
      </c>
      <c r="Q276" s="640">
        <v>0</v>
      </c>
      <c r="R276" s="640">
        <v>0</v>
      </c>
      <c r="S276" s="648">
        <v>0.62856633466015222</v>
      </c>
      <c r="U276" s="646" t="s">
        <v>349</v>
      </c>
      <c r="V276" s="640">
        <v>0</v>
      </c>
      <c r="W276" s="640">
        <v>0</v>
      </c>
      <c r="X276" s="640">
        <v>0</v>
      </c>
      <c r="Y276" s="640">
        <v>0</v>
      </c>
      <c r="Z276" s="640">
        <v>0</v>
      </c>
      <c r="AA276" s="640">
        <v>0</v>
      </c>
      <c r="AB276" s="650">
        <v>63.436450079223192</v>
      </c>
      <c r="AC276" s="650">
        <v>0</v>
      </c>
      <c r="AD276" s="650">
        <v>0</v>
      </c>
      <c r="AE276" s="650">
        <v>-57.885760697291161</v>
      </c>
      <c r="AF276" s="650">
        <v>0</v>
      </c>
      <c r="AG276" s="650">
        <v>0</v>
      </c>
      <c r="AH276" s="640">
        <v>0</v>
      </c>
      <c r="AI276" s="640">
        <v>0</v>
      </c>
      <c r="AJ276" s="640">
        <v>0</v>
      </c>
      <c r="AK276" s="648">
        <v>5.5506893819320311</v>
      </c>
    </row>
    <row r="277" spans="3:37" x14ac:dyDescent="0.2">
      <c r="C277" s="646" t="s">
        <v>350</v>
      </c>
      <c r="D277" s="640">
        <v>0</v>
      </c>
      <c r="E277" s="640">
        <v>0</v>
      </c>
      <c r="F277" s="640">
        <v>0</v>
      </c>
      <c r="G277" s="640">
        <v>0</v>
      </c>
      <c r="H277" s="640">
        <v>0</v>
      </c>
      <c r="I277" s="640">
        <v>0</v>
      </c>
      <c r="J277" s="640">
        <v>0</v>
      </c>
      <c r="K277" s="640">
        <v>0</v>
      </c>
      <c r="L277" s="640">
        <v>0</v>
      </c>
      <c r="M277" s="640">
        <v>0</v>
      </c>
      <c r="N277" s="640">
        <v>0</v>
      </c>
      <c r="O277" s="640">
        <v>0</v>
      </c>
      <c r="P277" s="640">
        <v>0</v>
      </c>
      <c r="Q277" s="640">
        <v>0</v>
      </c>
      <c r="R277" s="640">
        <v>0</v>
      </c>
      <c r="S277" s="648">
        <v>0</v>
      </c>
      <c r="U277" s="646" t="s">
        <v>350</v>
      </c>
      <c r="V277" s="640">
        <v>0</v>
      </c>
      <c r="W277" s="640">
        <v>0</v>
      </c>
      <c r="X277" s="640">
        <v>0</v>
      </c>
      <c r="Y277" s="640">
        <v>0</v>
      </c>
      <c r="Z277" s="640">
        <v>0</v>
      </c>
      <c r="AA277" s="640">
        <v>0</v>
      </c>
      <c r="AB277" s="640">
        <v>0</v>
      </c>
      <c r="AC277" s="640">
        <v>0</v>
      </c>
      <c r="AD277" s="640">
        <v>0</v>
      </c>
      <c r="AE277" s="640">
        <v>0</v>
      </c>
      <c r="AF277" s="640">
        <v>0</v>
      </c>
      <c r="AG277" s="640">
        <v>0</v>
      </c>
      <c r="AH277" s="640">
        <v>0</v>
      </c>
      <c r="AI277" s="640">
        <v>0</v>
      </c>
      <c r="AJ277" s="640">
        <v>0</v>
      </c>
      <c r="AK277" s="648">
        <v>0</v>
      </c>
    </row>
    <row r="278" spans="3:37" x14ac:dyDescent="0.2">
      <c r="C278" s="646" t="s">
        <v>72</v>
      </c>
      <c r="D278" s="640">
        <v>0</v>
      </c>
      <c r="E278" s="640">
        <v>522.28962186433523</v>
      </c>
      <c r="F278" s="640">
        <v>-517.06672564569192</v>
      </c>
      <c r="G278" s="640">
        <v>0</v>
      </c>
      <c r="H278" s="640">
        <v>0</v>
      </c>
      <c r="I278" s="640">
        <v>0</v>
      </c>
      <c r="J278" s="640">
        <v>0</v>
      </c>
      <c r="K278" s="640">
        <v>0</v>
      </c>
      <c r="L278" s="640">
        <v>0</v>
      </c>
      <c r="M278" s="640">
        <v>0</v>
      </c>
      <c r="N278" s="640">
        <v>0</v>
      </c>
      <c r="O278" s="640">
        <v>0</v>
      </c>
      <c r="P278" s="640">
        <v>0</v>
      </c>
      <c r="Q278" s="640">
        <v>0</v>
      </c>
      <c r="R278" s="640">
        <v>0</v>
      </c>
      <c r="S278" s="648">
        <v>5.2228962186433137</v>
      </c>
      <c r="U278" s="646" t="s">
        <v>72</v>
      </c>
      <c r="V278" s="640">
        <v>0</v>
      </c>
      <c r="W278" s="640">
        <v>275.84091609698424</v>
      </c>
      <c r="X278" s="640">
        <v>-273.0825069360144</v>
      </c>
      <c r="Y278" s="640">
        <v>0</v>
      </c>
      <c r="Z278" s="640">
        <v>0</v>
      </c>
      <c r="AA278" s="640">
        <v>0</v>
      </c>
      <c r="AB278" s="640">
        <v>0</v>
      </c>
      <c r="AC278" s="640">
        <v>0</v>
      </c>
      <c r="AD278" s="640">
        <v>0</v>
      </c>
      <c r="AE278" s="640">
        <v>0</v>
      </c>
      <c r="AF278" s="640">
        <v>0</v>
      </c>
      <c r="AG278" s="640">
        <v>0</v>
      </c>
      <c r="AH278" s="640">
        <v>0</v>
      </c>
      <c r="AI278" s="640">
        <v>0</v>
      </c>
      <c r="AJ278" s="640">
        <v>0</v>
      </c>
      <c r="AK278" s="648">
        <v>2.7584091609698476</v>
      </c>
    </row>
    <row r="279" spans="3:37" x14ac:dyDescent="0.2">
      <c r="C279" s="646" t="s">
        <v>351</v>
      </c>
      <c r="D279" s="640">
        <v>0</v>
      </c>
      <c r="E279" s="640">
        <v>0</v>
      </c>
      <c r="F279" s="640">
        <v>0</v>
      </c>
      <c r="G279" s="640">
        <v>0</v>
      </c>
      <c r="H279" s="640">
        <v>0</v>
      </c>
      <c r="I279" s="640">
        <v>0</v>
      </c>
      <c r="J279" s="640">
        <v>28.942309114060045</v>
      </c>
      <c r="K279" s="640">
        <v>0</v>
      </c>
      <c r="L279" s="640">
        <v>-28.942309114060045</v>
      </c>
      <c r="M279" s="640">
        <v>0</v>
      </c>
      <c r="N279" s="640">
        <v>0</v>
      </c>
      <c r="O279" s="640">
        <v>0</v>
      </c>
      <c r="P279" s="640">
        <v>0</v>
      </c>
      <c r="Q279" s="640">
        <v>0</v>
      </c>
      <c r="R279" s="640">
        <v>0</v>
      </c>
      <c r="S279" s="648">
        <v>0</v>
      </c>
      <c r="U279" s="646" t="s">
        <v>351</v>
      </c>
      <c r="V279" s="640">
        <v>0</v>
      </c>
      <c r="W279" s="640">
        <v>0</v>
      </c>
      <c r="X279" s="640">
        <v>0</v>
      </c>
      <c r="Y279" s="640">
        <v>0</v>
      </c>
      <c r="Z279" s="640">
        <v>0</v>
      </c>
      <c r="AA279" s="640">
        <v>0</v>
      </c>
      <c r="AB279" s="640" t="e">
        <v>#VALUE!</v>
      </c>
      <c r="AC279" s="640">
        <v>0</v>
      </c>
      <c r="AD279" s="640">
        <v>-101.68735143023177</v>
      </c>
      <c r="AE279" s="640">
        <v>0</v>
      </c>
      <c r="AF279" s="640">
        <v>0</v>
      </c>
      <c r="AG279" s="640">
        <v>0</v>
      </c>
      <c r="AH279" s="640">
        <v>0</v>
      </c>
      <c r="AI279" s="640">
        <v>0</v>
      </c>
      <c r="AJ279" s="640">
        <v>0</v>
      </c>
      <c r="AK279" s="648">
        <v>-101.68735143023177</v>
      </c>
    </row>
    <row r="280" spans="3:37" x14ac:dyDescent="0.2">
      <c r="C280" s="646" t="s">
        <v>352</v>
      </c>
      <c r="D280" s="640">
        <v>0</v>
      </c>
      <c r="E280" s="640">
        <v>0</v>
      </c>
      <c r="F280" s="640">
        <v>0</v>
      </c>
      <c r="G280" s="640">
        <v>0</v>
      </c>
      <c r="H280" s="640">
        <v>0</v>
      </c>
      <c r="I280" s="640">
        <v>0</v>
      </c>
      <c r="J280" s="640">
        <v>0</v>
      </c>
      <c r="K280" s="640">
        <v>0</v>
      </c>
      <c r="L280" s="640">
        <v>0</v>
      </c>
      <c r="M280" s="640">
        <v>0</v>
      </c>
      <c r="N280" s="640">
        <v>0</v>
      </c>
      <c r="O280" s="640">
        <v>0</v>
      </c>
      <c r="P280" s="640">
        <v>0</v>
      </c>
      <c r="Q280" s="640">
        <v>0</v>
      </c>
      <c r="R280" s="640">
        <v>0</v>
      </c>
      <c r="S280" s="648">
        <v>0</v>
      </c>
      <c r="U280" s="646" t="s">
        <v>352</v>
      </c>
      <c r="V280" s="640">
        <v>0</v>
      </c>
      <c r="W280" s="640">
        <v>0</v>
      </c>
      <c r="X280" s="640">
        <v>0</v>
      </c>
      <c r="Y280" s="640">
        <v>0</v>
      </c>
      <c r="Z280" s="640">
        <v>0</v>
      </c>
      <c r="AA280" s="640">
        <v>0</v>
      </c>
      <c r="AB280" s="640">
        <v>0</v>
      </c>
      <c r="AC280" s="640">
        <v>0</v>
      </c>
      <c r="AD280" s="640">
        <v>-20.330518764117095</v>
      </c>
      <c r="AE280" s="640">
        <v>0</v>
      </c>
      <c r="AF280" s="640">
        <v>0</v>
      </c>
      <c r="AG280" s="640">
        <v>0</v>
      </c>
      <c r="AH280" s="640">
        <v>0</v>
      </c>
      <c r="AI280" s="640">
        <v>0</v>
      </c>
      <c r="AJ280" s="640">
        <v>0</v>
      </c>
      <c r="AK280" s="648">
        <v>-20.330518764117095</v>
      </c>
    </row>
    <row r="281" spans="3:37" x14ac:dyDescent="0.2">
      <c r="C281" s="646" t="s">
        <v>73</v>
      </c>
      <c r="D281" s="640">
        <v>0</v>
      </c>
      <c r="E281" s="640">
        <v>0</v>
      </c>
      <c r="F281" s="640">
        <v>0</v>
      </c>
      <c r="G281" s="640">
        <v>5.1012543356530031</v>
      </c>
      <c r="H281" s="640">
        <v>0</v>
      </c>
      <c r="I281" s="640">
        <v>0</v>
      </c>
      <c r="J281" s="640">
        <v>0</v>
      </c>
      <c r="K281" s="640">
        <v>5.8487208617897309E-2</v>
      </c>
      <c r="L281" s="640">
        <v>0</v>
      </c>
      <c r="M281" s="640">
        <v>0.10410723133985722</v>
      </c>
      <c r="N281" s="640">
        <v>0</v>
      </c>
      <c r="O281" s="640">
        <v>0</v>
      </c>
      <c r="P281" s="640">
        <v>0.59767950412449788</v>
      </c>
      <c r="Q281" s="640">
        <v>0</v>
      </c>
      <c r="R281" s="640">
        <v>-4.094104603252811</v>
      </c>
      <c r="S281" s="648">
        <v>1.7674236764824451</v>
      </c>
      <c r="U281" s="646" t="s">
        <v>73</v>
      </c>
      <c r="V281" s="640">
        <v>0</v>
      </c>
      <c r="W281" s="640">
        <v>0</v>
      </c>
      <c r="X281" s="640">
        <v>0</v>
      </c>
      <c r="Y281" s="640">
        <v>5.6948243223481816</v>
      </c>
      <c r="Z281" s="640">
        <v>0</v>
      </c>
      <c r="AA281" s="640">
        <v>0</v>
      </c>
      <c r="AB281" s="640">
        <v>0</v>
      </c>
      <c r="AC281" s="640">
        <v>0.40677316588201312</v>
      </c>
      <c r="AD281" s="640">
        <v>0</v>
      </c>
      <c r="AE281" s="640">
        <v>2.440638995292078</v>
      </c>
      <c r="AF281" s="640">
        <v>0</v>
      </c>
      <c r="AG281" s="640">
        <v>0</v>
      </c>
      <c r="AH281" s="640">
        <v>32.838767990182951</v>
      </c>
      <c r="AI281" s="640">
        <v>0</v>
      </c>
      <c r="AJ281" s="640">
        <v>-28.474121611740912</v>
      </c>
      <c r="AK281" s="648">
        <v>12.906882861964313</v>
      </c>
    </row>
    <row r="282" spans="3:37" x14ac:dyDescent="0.2">
      <c r="C282" s="646" t="s">
        <v>353</v>
      </c>
      <c r="D282" s="640">
        <v>28.616489999999999</v>
      </c>
      <c r="E282" s="640">
        <v>-18.09733539759922</v>
      </c>
      <c r="F282" s="640">
        <v>23.670245777269074</v>
      </c>
      <c r="G282" s="640">
        <v>0</v>
      </c>
      <c r="H282" s="640">
        <v>0</v>
      </c>
      <c r="I282" s="640">
        <v>0</v>
      </c>
      <c r="J282" s="640">
        <v>0</v>
      </c>
      <c r="K282" s="640">
        <v>0</v>
      </c>
      <c r="L282" s="640">
        <v>0</v>
      </c>
      <c r="M282" s="640">
        <v>0</v>
      </c>
      <c r="N282" s="640">
        <v>0</v>
      </c>
      <c r="O282" s="640">
        <v>0</v>
      </c>
      <c r="P282" s="640">
        <v>0</v>
      </c>
      <c r="Q282" s="640">
        <v>0</v>
      </c>
      <c r="R282" s="640">
        <v>0</v>
      </c>
      <c r="S282" s="648">
        <v>34.189400379669848</v>
      </c>
      <c r="U282" s="646" t="s">
        <v>353</v>
      </c>
      <c r="V282" s="640">
        <v>2.3505202026367185</v>
      </c>
      <c r="W282" s="640">
        <v>-9.5578877427605047</v>
      </c>
      <c r="X282" s="640">
        <v>12.501152628950074</v>
      </c>
      <c r="Y282" s="640">
        <v>0</v>
      </c>
      <c r="Z282" s="640">
        <v>0</v>
      </c>
      <c r="AA282" s="640">
        <v>0</v>
      </c>
      <c r="AB282" s="640">
        <v>0</v>
      </c>
      <c r="AC282" s="640">
        <v>0</v>
      </c>
      <c r="AD282" s="640">
        <v>0</v>
      </c>
      <c r="AE282" s="640">
        <v>0</v>
      </c>
      <c r="AF282" s="640">
        <v>0</v>
      </c>
      <c r="AG282" s="640">
        <v>0</v>
      </c>
      <c r="AH282" s="640">
        <v>0</v>
      </c>
      <c r="AI282" s="640">
        <v>0</v>
      </c>
      <c r="AJ282" s="640">
        <v>0</v>
      </c>
      <c r="AK282" s="648">
        <v>5.2937850888262874</v>
      </c>
    </row>
    <row r="283" spans="3:37" x14ac:dyDescent="0.2">
      <c r="C283" s="646" t="s">
        <v>75</v>
      </c>
      <c r="D283" s="640">
        <v>11.128635000000001</v>
      </c>
      <c r="E283" s="640">
        <v>0</v>
      </c>
      <c r="F283" s="640">
        <v>17.757847143387398</v>
      </c>
      <c r="G283" s="640">
        <v>5.0672539113277812</v>
      </c>
      <c r="H283" s="640">
        <v>0</v>
      </c>
      <c r="I283" s="640">
        <v>0</v>
      </c>
      <c r="J283" s="640">
        <v>0</v>
      </c>
      <c r="K283" s="640">
        <v>0</v>
      </c>
      <c r="L283" s="640">
        <v>0</v>
      </c>
      <c r="M283" s="640">
        <v>0.1034133451291384</v>
      </c>
      <c r="N283" s="640">
        <v>0</v>
      </c>
      <c r="O283" s="640">
        <v>0</v>
      </c>
      <c r="P283" s="640">
        <v>30.750377055945027</v>
      </c>
      <c r="Q283" s="640">
        <v>0</v>
      </c>
      <c r="R283" s="640">
        <v>0</v>
      </c>
      <c r="S283" s="648">
        <v>64.807526455789343</v>
      </c>
      <c r="U283" s="646" t="s">
        <v>75</v>
      </c>
      <c r="V283" s="640">
        <v>3.4784289550781251</v>
      </c>
      <c r="W283" s="640">
        <v>0</v>
      </c>
      <c r="X283" s="640">
        <v>17.757847143387398</v>
      </c>
      <c r="Y283" s="640">
        <v>3.6194670795198434</v>
      </c>
      <c r="Z283" s="640">
        <v>0</v>
      </c>
      <c r="AA283" s="640">
        <v>0</v>
      </c>
      <c r="AB283" s="640">
        <v>0</v>
      </c>
      <c r="AC283" s="640">
        <v>0</v>
      </c>
      <c r="AD283" s="640">
        <v>0</v>
      </c>
      <c r="AE283" s="640">
        <v>1.5512001769370758</v>
      </c>
      <c r="AF283" s="640">
        <v>0</v>
      </c>
      <c r="AG283" s="640">
        <v>0</v>
      </c>
      <c r="AH283" s="640">
        <v>36.42264978321775</v>
      </c>
      <c r="AI283" s="640">
        <v>0</v>
      </c>
      <c r="AJ283" s="640">
        <v>0</v>
      </c>
      <c r="AK283" s="648">
        <v>62.829593138140197</v>
      </c>
    </row>
    <row r="284" spans="3:37" x14ac:dyDescent="0.2">
      <c r="C284" s="646" t="s">
        <v>76</v>
      </c>
      <c r="D284" s="640">
        <v>0</v>
      </c>
      <c r="E284" s="640">
        <v>0</v>
      </c>
      <c r="F284" s="640">
        <v>0</v>
      </c>
      <c r="G284" s="640">
        <v>3.8086647866957031</v>
      </c>
      <c r="H284" s="640">
        <v>0</v>
      </c>
      <c r="I284" s="640">
        <v>0</v>
      </c>
      <c r="J284" s="640">
        <v>0</v>
      </c>
      <c r="K284" s="640">
        <v>0</v>
      </c>
      <c r="L284" s="640">
        <v>0</v>
      </c>
      <c r="M284" s="640">
        <v>7.7727852789708229E-2</v>
      </c>
      <c r="N284" s="640">
        <v>0</v>
      </c>
      <c r="O284" s="640">
        <v>0</v>
      </c>
      <c r="P284" s="640">
        <v>44.547532005203358</v>
      </c>
      <c r="Q284" s="640">
        <v>2.958822517532107</v>
      </c>
      <c r="R284" s="640">
        <v>0</v>
      </c>
      <c r="S284" s="648">
        <v>51.392747162220878</v>
      </c>
      <c r="U284" s="646" t="s">
        <v>76</v>
      </c>
      <c r="V284" s="640">
        <v>0</v>
      </c>
      <c r="W284" s="640">
        <v>0</v>
      </c>
      <c r="X284" s="640">
        <v>0</v>
      </c>
      <c r="Y284" s="640">
        <v>1.6015823117827594</v>
      </c>
      <c r="Z284" s="640">
        <v>0</v>
      </c>
      <c r="AA284" s="640">
        <v>0</v>
      </c>
      <c r="AB284" s="640">
        <v>0</v>
      </c>
      <c r="AC284" s="640">
        <v>0</v>
      </c>
      <c r="AD284" s="640">
        <v>0</v>
      </c>
      <c r="AE284" s="640">
        <v>0.68639241933546835</v>
      </c>
      <c r="AF284" s="640">
        <v>0</v>
      </c>
      <c r="AG284" s="640">
        <v>0</v>
      </c>
      <c r="AH284" s="640">
        <v>47.148943407633553</v>
      </c>
      <c r="AI284" s="640">
        <v>5.8421151160056723</v>
      </c>
      <c r="AJ284" s="640">
        <v>0</v>
      </c>
      <c r="AK284" s="648">
        <v>55.279033254757444</v>
      </c>
    </row>
    <row r="285" spans="3:37" x14ac:dyDescent="0.2">
      <c r="C285" s="644" t="s">
        <v>77</v>
      </c>
      <c r="D285" s="645">
        <v>42.571910641025248</v>
      </c>
      <c r="E285" s="645">
        <v>504.19228646673599</v>
      </c>
      <c r="F285" s="645">
        <v>-468.11692594020946</v>
      </c>
      <c r="G285" s="645">
        <v>45.994115783016845</v>
      </c>
      <c r="H285" s="645">
        <v>959.09090909090924</v>
      </c>
      <c r="I285" s="645">
        <v>265.54666314840352</v>
      </c>
      <c r="J285" s="645">
        <v>78.402106423532217</v>
      </c>
      <c r="K285" s="645">
        <v>19.049948129928421</v>
      </c>
      <c r="L285" s="645">
        <v>-26.034244563334241</v>
      </c>
      <c r="M285" s="645">
        <v>-5.4765606138084015</v>
      </c>
      <c r="N285" s="645">
        <v>0</v>
      </c>
      <c r="O285" s="645">
        <v>9.0263438420589424</v>
      </c>
      <c r="P285" s="645">
        <v>-537.24345011511946</v>
      </c>
      <c r="Q285" s="645">
        <v>-35.164036653103786</v>
      </c>
      <c r="R285" s="645">
        <v>-4.094104603252811</v>
      </c>
      <c r="S285" s="645">
        <v>847.74496103678234</v>
      </c>
      <c r="U285" s="644" t="s">
        <v>77</v>
      </c>
      <c r="V285" s="645">
        <v>6.4552640631735336</v>
      </c>
      <c r="W285" s="645">
        <v>266.28302835422375</v>
      </c>
      <c r="X285" s="645">
        <v>-239.16543674248729</v>
      </c>
      <c r="Y285" s="645">
        <v>28.3606981090151</v>
      </c>
      <c r="Z285" s="645">
        <v>919.39393939393949</v>
      </c>
      <c r="AA285" s="645">
        <v>300.16666314840353</v>
      </c>
      <c r="AB285" s="645">
        <v>116.13241178058709</v>
      </c>
      <c r="AC285" s="645">
        <v>32.378551458673563</v>
      </c>
      <c r="AD285" s="645">
        <v>-119.10980564362306</v>
      </c>
      <c r="AE285" s="645">
        <v>-45.591342912780426</v>
      </c>
      <c r="AF285" s="645">
        <v>0</v>
      </c>
      <c r="AG285" s="645">
        <v>17.619168596552839</v>
      </c>
      <c r="AH285" s="645">
        <v>-512.24867749935788</v>
      </c>
      <c r="AI285" s="645">
        <v>-69.488948539693865</v>
      </c>
      <c r="AJ285" s="645">
        <v>-23.724121611740912</v>
      </c>
      <c r="AK285" s="645">
        <v>677.46139195488558</v>
      </c>
    </row>
    <row r="286" spans="3:37" x14ac:dyDescent="0.2">
      <c r="C286" s="634"/>
      <c r="D286" s="634">
        <v>0</v>
      </c>
      <c r="E286" s="634">
        <v>0</v>
      </c>
      <c r="F286" s="634">
        <v>0</v>
      </c>
      <c r="G286" s="634">
        <v>0</v>
      </c>
      <c r="H286" s="634">
        <v>0</v>
      </c>
      <c r="I286" s="634">
        <v>0</v>
      </c>
      <c r="J286" s="634">
        <v>0</v>
      </c>
      <c r="K286" s="634">
        <v>0</v>
      </c>
      <c r="L286" s="634">
        <v>0</v>
      </c>
      <c r="M286" s="634">
        <v>0</v>
      </c>
      <c r="N286" s="634">
        <v>0</v>
      </c>
      <c r="O286" s="634">
        <v>0</v>
      </c>
      <c r="P286" s="634">
        <v>0</v>
      </c>
      <c r="Q286" s="634">
        <v>0</v>
      </c>
      <c r="R286" s="634">
        <v>0</v>
      </c>
      <c r="S286" s="634">
        <v>0</v>
      </c>
      <c r="U286" s="634"/>
      <c r="V286" s="634">
        <v>0</v>
      </c>
      <c r="W286" s="634">
        <v>0</v>
      </c>
      <c r="X286" s="634">
        <v>0</v>
      </c>
      <c r="Y286" s="634">
        <v>0</v>
      </c>
      <c r="Z286" s="634">
        <v>0</v>
      </c>
      <c r="AA286" s="634">
        <v>0</v>
      </c>
      <c r="AB286" s="634">
        <v>0</v>
      </c>
      <c r="AC286" s="634">
        <v>0</v>
      </c>
      <c r="AD286" s="634">
        <v>0</v>
      </c>
      <c r="AE286" s="634">
        <v>0</v>
      </c>
      <c r="AF286" s="634">
        <v>0</v>
      </c>
      <c r="AG286" s="634">
        <v>0</v>
      </c>
      <c r="AH286" s="634">
        <v>0</v>
      </c>
      <c r="AI286" s="634">
        <v>0</v>
      </c>
      <c r="AJ286" s="634">
        <v>0</v>
      </c>
      <c r="AK286" s="634">
        <v>0</v>
      </c>
    </row>
    <row r="287" spans="3:37" x14ac:dyDescent="0.2">
      <c r="C287" s="646" t="s">
        <v>78</v>
      </c>
      <c r="D287" s="640">
        <v>5.4657298257742912</v>
      </c>
      <c r="E287" s="640">
        <v>0</v>
      </c>
      <c r="F287" s="640">
        <v>21.83935294215906</v>
      </c>
      <c r="G287" s="640">
        <v>97.960240418883188</v>
      </c>
      <c r="H287" s="640">
        <v>0</v>
      </c>
      <c r="I287" s="640">
        <v>0</v>
      </c>
      <c r="J287" s="640">
        <v>20.699069714826329</v>
      </c>
      <c r="K287" s="640">
        <v>1.7608774311708451</v>
      </c>
      <c r="L287" s="640">
        <v>0.9136629082031249</v>
      </c>
      <c r="M287" s="640">
        <v>2.0177626304462204</v>
      </c>
      <c r="N287" s="640">
        <v>0</v>
      </c>
      <c r="O287" s="640">
        <v>3.7866244598879411E-4</v>
      </c>
      <c r="P287" s="640">
        <v>111.48933548215857</v>
      </c>
      <c r="Q287" s="640">
        <v>16.083775404791947</v>
      </c>
      <c r="R287" s="640">
        <v>0.29766925048828125</v>
      </c>
      <c r="S287" s="648">
        <v>278.52785467134788</v>
      </c>
      <c r="U287" s="646" t="s">
        <v>78</v>
      </c>
      <c r="V287" s="640">
        <v>1.0762581410403587</v>
      </c>
      <c r="W287" s="640">
        <v>0</v>
      </c>
      <c r="X287" s="640">
        <v>8.4892491154216376</v>
      </c>
      <c r="Y287" s="640">
        <v>50.497915430959594</v>
      </c>
      <c r="Z287" s="640">
        <v>0</v>
      </c>
      <c r="AA287" s="640">
        <v>0</v>
      </c>
      <c r="AB287" s="640">
        <v>15.594949526554588</v>
      </c>
      <c r="AC287" s="640">
        <v>5.2865944994228578</v>
      </c>
      <c r="AD287" s="640">
        <v>4.3757583007812499</v>
      </c>
      <c r="AE287" s="640">
        <v>21.660537806594554</v>
      </c>
      <c r="AF287" s="640">
        <v>0</v>
      </c>
      <c r="AG287" s="640">
        <v>3.7866244598879411E-4</v>
      </c>
      <c r="AH287" s="640">
        <v>141.44668524271188</v>
      </c>
      <c r="AI287" s="640">
        <v>22.79177635880415</v>
      </c>
      <c r="AJ287" s="640">
        <v>6.850041015625</v>
      </c>
      <c r="AK287" s="648">
        <v>278.07014410036186</v>
      </c>
    </row>
    <row r="288" spans="3:37" x14ac:dyDescent="0.2">
      <c r="C288" s="646" t="s">
        <v>79</v>
      </c>
      <c r="D288" s="640">
        <v>0</v>
      </c>
      <c r="E288" s="640">
        <v>0</v>
      </c>
      <c r="F288" s="640">
        <v>249.23385066161848</v>
      </c>
      <c r="G288" s="640">
        <v>29.852237297635437</v>
      </c>
      <c r="H288" s="640">
        <v>0</v>
      </c>
      <c r="I288" s="640">
        <v>0</v>
      </c>
      <c r="J288" s="640">
        <v>0</v>
      </c>
      <c r="K288" s="640">
        <v>0</v>
      </c>
      <c r="L288" s="640">
        <v>24.125777410294155</v>
      </c>
      <c r="M288" s="640">
        <v>0.60922933260480494</v>
      </c>
      <c r="N288" s="640">
        <v>0</v>
      </c>
      <c r="O288" s="640">
        <v>0</v>
      </c>
      <c r="P288" s="640">
        <v>62.086065361885787</v>
      </c>
      <c r="Q288" s="640">
        <v>0</v>
      </c>
      <c r="R288" s="640">
        <v>1.9828379826970517</v>
      </c>
      <c r="S288" s="648">
        <v>367.88999804673568</v>
      </c>
      <c r="U288" s="646" t="s">
        <v>79</v>
      </c>
      <c r="V288" s="640">
        <v>0</v>
      </c>
      <c r="W288" s="640">
        <v>0</v>
      </c>
      <c r="X288" s="640">
        <v>59.317364570862594</v>
      </c>
      <c r="Y288" s="640">
        <v>17.942066440325025</v>
      </c>
      <c r="Z288" s="640">
        <v>0</v>
      </c>
      <c r="AA288" s="640">
        <v>0</v>
      </c>
      <c r="AB288" s="640">
        <v>0</v>
      </c>
      <c r="AC288" s="640">
        <v>0</v>
      </c>
      <c r="AD288" s="640">
        <v>51.332808735857633</v>
      </c>
      <c r="AE288" s="640">
        <v>7.6894570458535831</v>
      </c>
      <c r="AF288" s="640">
        <v>0</v>
      </c>
      <c r="AG288" s="640">
        <v>0</v>
      </c>
      <c r="AH288" s="640">
        <v>82.201296258535137</v>
      </c>
      <c r="AI288" s="640">
        <v>0</v>
      </c>
      <c r="AJ288" s="640">
        <v>4.6183032107255606</v>
      </c>
      <c r="AK288" s="648">
        <v>223.10129626215951</v>
      </c>
    </row>
    <row r="289" spans="3:37" x14ac:dyDescent="0.2">
      <c r="C289" s="646" t="s">
        <v>80</v>
      </c>
      <c r="D289" s="640">
        <v>0</v>
      </c>
      <c r="E289" s="640">
        <v>0</v>
      </c>
      <c r="F289" s="640">
        <v>17.698191750553285</v>
      </c>
      <c r="G289" s="640">
        <v>82.8316536533641</v>
      </c>
      <c r="H289" s="640">
        <v>0</v>
      </c>
      <c r="I289" s="640">
        <v>0</v>
      </c>
      <c r="J289" s="640">
        <v>87.012401530952616</v>
      </c>
      <c r="K289" s="640">
        <v>0</v>
      </c>
      <c r="L289" s="640">
        <v>0</v>
      </c>
      <c r="M289" s="640">
        <v>1.690441911293145</v>
      </c>
      <c r="N289" s="640">
        <v>54.219025663639314</v>
      </c>
      <c r="O289" s="640">
        <v>2.0231633432731213</v>
      </c>
      <c r="P289" s="640">
        <v>187.24843332836184</v>
      </c>
      <c r="Q289" s="640">
        <v>15.504434202631401</v>
      </c>
      <c r="R289" s="640">
        <v>0</v>
      </c>
      <c r="S289" s="648">
        <v>448.22774538406884</v>
      </c>
      <c r="U289" s="646" t="s">
        <v>80</v>
      </c>
      <c r="V289" s="640">
        <v>0</v>
      </c>
      <c r="W289" s="640">
        <v>0</v>
      </c>
      <c r="X289" s="640">
        <v>1.0833932718176746</v>
      </c>
      <c r="Y289" s="640">
        <v>18.084176496701136</v>
      </c>
      <c r="Z289" s="640">
        <v>0</v>
      </c>
      <c r="AA289" s="640">
        <v>0</v>
      </c>
      <c r="AB289" s="640">
        <v>57.868484646152382</v>
      </c>
      <c r="AC289" s="640">
        <v>0</v>
      </c>
      <c r="AD289" s="640">
        <v>0</v>
      </c>
      <c r="AE289" s="640">
        <v>7.7503613557290594</v>
      </c>
      <c r="AF289" s="640">
        <v>78.313096165620991</v>
      </c>
      <c r="AG289" s="640">
        <v>3.4573890525731583</v>
      </c>
      <c r="AH289" s="640">
        <v>150.63566760387405</v>
      </c>
      <c r="AI289" s="640">
        <v>34.942034151478268</v>
      </c>
      <c r="AJ289" s="640">
        <v>0</v>
      </c>
      <c r="AK289" s="648">
        <v>352.13460274394669</v>
      </c>
    </row>
    <row r="290" spans="3:37" x14ac:dyDescent="0.2">
      <c r="C290" s="646" t="s">
        <v>81</v>
      </c>
      <c r="D290" s="640">
        <v>0</v>
      </c>
      <c r="E290" s="640">
        <v>0</v>
      </c>
      <c r="F290" s="640">
        <v>5.759525486283259</v>
      </c>
      <c r="G290" s="640">
        <v>63.242535904869413</v>
      </c>
      <c r="H290" s="640">
        <v>0</v>
      </c>
      <c r="I290" s="640">
        <v>0</v>
      </c>
      <c r="J290" s="640">
        <v>3.243340348024236</v>
      </c>
      <c r="K290" s="640">
        <v>2.5138060257677737E-2</v>
      </c>
      <c r="L290" s="640">
        <v>0</v>
      </c>
      <c r="M290" s="640">
        <v>1.2906639980585595</v>
      </c>
      <c r="N290" s="640">
        <v>8.6788063603893928</v>
      </c>
      <c r="O290" s="640">
        <v>0.74318365128395913</v>
      </c>
      <c r="P290" s="640">
        <v>138.68432478978596</v>
      </c>
      <c r="Q290" s="640">
        <v>3.5758270456804375</v>
      </c>
      <c r="R290" s="640">
        <v>0</v>
      </c>
      <c r="S290" s="648">
        <v>225.24334564463288</v>
      </c>
      <c r="U290" s="646" t="s">
        <v>81</v>
      </c>
      <c r="V290" s="640">
        <v>0</v>
      </c>
      <c r="W290" s="640">
        <v>0</v>
      </c>
      <c r="X290" s="640">
        <v>1.8996820773870462</v>
      </c>
      <c r="Y290" s="640">
        <v>16.701006494583829</v>
      </c>
      <c r="Z290" s="640">
        <v>0</v>
      </c>
      <c r="AA290" s="640">
        <v>0</v>
      </c>
      <c r="AB290" s="640">
        <v>7.1959049572050198</v>
      </c>
      <c r="AC290" s="640">
        <v>2.5138060257677737E-2</v>
      </c>
      <c r="AD290" s="640">
        <v>0</v>
      </c>
      <c r="AE290" s="640">
        <v>7.1575742119644987</v>
      </c>
      <c r="AF290" s="640">
        <v>14.587904232604497</v>
      </c>
      <c r="AG290" s="640">
        <v>1.6018484399661996</v>
      </c>
      <c r="AH290" s="640">
        <v>116.46951239557291</v>
      </c>
      <c r="AI290" s="640">
        <v>11.755138029411436</v>
      </c>
      <c r="AJ290" s="640">
        <v>0</v>
      </c>
      <c r="AK290" s="648">
        <v>177.39370889895312</v>
      </c>
    </row>
    <row r="291" spans="3:37" x14ac:dyDescent="0.2">
      <c r="C291" s="646" t="s">
        <v>82</v>
      </c>
      <c r="D291" s="640">
        <v>0</v>
      </c>
      <c r="E291" s="640">
        <v>0</v>
      </c>
      <c r="F291" s="640">
        <v>29.471786733039881</v>
      </c>
      <c r="G291" s="640">
        <v>1.3166139535686423</v>
      </c>
      <c r="H291" s="640">
        <v>0</v>
      </c>
      <c r="I291" s="640">
        <v>0</v>
      </c>
      <c r="J291" s="640">
        <v>3.6844952632387193</v>
      </c>
      <c r="K291" s="640">
        <v>0</v>
      </c>
      <c r="L291" s="640">
        <v>3.0029030850571363</v>
      </c>
      <c r="M291" s="640">
        <v>2.6869672521809031E-2</v>
      </c>
      <c r="N291" s="640">
        <v>0</v>
      </c>
      <c r="O291" s="640">
        <v>7.2392521047915395E-2</v>
      </c>
      <c r="P291" s="640">
        <v>6.3643203530837074</v>
      </c>
      <c r="Q291" s="640">
        <v>0</v>
      </c>
      <c r="R291" s="640">
        <v>0</v>
      </c>
      <c r="S291" s="648">
        <v>43.939381581557811</v>
      </c>
      <c r="U291" s="646" t="s">
        <v>82</v>
      </c>
      <c r="V291" s="640">
        <v>0</v>
      </c>
      <c r="W291" s="640">
        <v>0</v>
      </c>
      <c r="X291" s="640">
        <v>10.199143313422546</v>
      </c>
      <c r="Y291" s="640">
        <v>1.1904851448286324</v>
      </c>
      <c r="Z291" s="640">
        <v>0</v>
      </c>
      <c r="AA291" s="640">
        <v>0</v>
      </c>
      <c r="AB291" s="640">
        <v>3.6844952632387193</v>
      </c>
      <c r="AC291" s="640">
        <v>0</v>
      </c>
      <c r="AD291" s="640">
        <v>26.674568203776872</v>
      </c>
      <c r="AE291" s="640">
        <v>0.51020791921227104</v>
      </c>
      <c r="AF291" s="640">
        <v>0</v>
      </c>
      <c r="AG291" s="640">
        <v>1.300620381405156</v>
      </c>
      <c r="AH291" s="640">
        <v>6.4632626546266092</v>
      </c>
      <c r="AI291" s="640">
        <v>0</v>
      </c>
      <c r="AJ291" s="640">
        <v>0.325155095351289</v>
      </c>
      <c r="AK291" s="648">
        <v>50.347937975862088</v>
      </c>
    </row>
    <row r="292" spans="3:37" x14ac:dyDescent="0.2">
      <c r="C292" s="646" t="s">
        <v>354</v>
      </c>
      <c r="D292" s="640">
        <v>0</v>
      </c>
      <c r="E292" s="640">
        <v>0</v>
      </c>
      <c r="F292" s="640">
        <v>0</v>
      </c>
      <c r="G292" s="640">
        <v>0</v>
      </c>
      <c r="H292" s="640">
        <v>0</v>
      </c>
      <c r="I292" s="640">
        <v>0</v>
      </c>
      <c r="J292" s="640">
        <v>0</v>
      </c>
      <c r="K292" s="640">
        <v>0</v>
      </c>
      <c r="L292" s="640">
        <v>0</v>
      </c>
      <c r="M292" s="640">
        <v>0</v>
      </c>
      <c r="N292" s="640">
        <v>0</v>
      </c>
      <c r="O292" s="640">
        <v>0</v>
      </c>
      <c r="P292" s="640">
        <v>0.31499999999999995</v>
      </c>
      <c r="Q292" s="640">
        <v>0</v>
      </c>
      <c r="R292" s="640">
        <v>0</v>
      </c>
      <c r="S292" s="648">
        <v>0.31499999999999995</v>
      </c>
      <c r="U292" s="646" t="s">
        <v>354</v>
      </c>
      <c r="V292" s="640">
        <v>0</v>
      </c>
      <c r="W292" s="640">
        <v>0</v>
      </c>
      <c r="X292" s="640">
        <v>0</v>
      </c>
      <c r="Y292" s="640">
        <v>0</v>
      </c>
      <c r="Z292" s="640">
        <v>0</v>
      </c>
      <c r="AA292" s="640">
        <v>0</v>
      </c>
      <c r="AB292" s="640">
        <v>0</v>
      </c>
      <c r="AC292" s="640">
        <v>0</v>
      </c>
      <c r="AD292" s="640">
        <v>0</v>
      </c>
      <c r="AE292" s="640">
        <v>0</v>
      </c>
      <c r="AF292" s="640">
        <v>0</v>
      </c>
      <c r="AG292" s="640">
        <v>0</v>
      </c>
      <c r="AH292" s="640">
        <v>2.4</v>
      </c>
      <c r="AI292" s="640">
        <v>0</v>
      </c>
      <c r="AJ292" s="640">
        <v>0</v>
      </c>
      <c r="AK292" s="648">
        <v>2.4</v>
      </c>
    </row>
    <row r="293" spans="3:37" x14ac:dyDescent="0.2">
      <c r="C293" s="644" t="s">
        <v>83</v>
      </c>
      <c r="D293" s="645">
        <v>5.4657298257742912</v>
      </c>
      <c r="E293" s="645">
        <v>0</v>
      </c>
      <c r="F293" s="645">
        <v>324.00270757365394</v>
      </c>
      <c r="G293" s="645">
        <v>275.2032812283208</v>
      </c>
      <c r="H293" s="645">
        <v>0</v>
      </c>
      <c r="I293" s="645">
        <v>0</v>
      </c>
      <c r="J293" s="645">
        <v>114.6393068570419</v>
      </c>
      <c r="K293" s="645">
        <v>1.7860154914285227</v>
      </c>
      <c r="L293" s="645">
        <v>28.042343403554419</v>
      </c>
      <c r="M293" s="645">
        <v>5.6349675449245389</v>
      </c>
      <c r="N293" s="645">
        <v>62.897832024028709</v>
      </c>
      <c r="O293" s="645">
        <v>2.8391181780509842</v>
      </c>
      <c r="P293" s="645">
        <v>506.18747931527582</v>
      </c>
      <c r="Q293" s="645">
        <v>35.164036653103793</v>
      </c>
      <c r="R293" s="645">
        <v>2.2805072331853329</v>
      </c>
      <c r="S293" s="645">
        <v>1364.1433253283431</v>
      </c>
      <c r="U293" s="644" t="s">
        <v>83</v>
      </c>
      <c r="V293" s="645">
        <v>1.0762581410403587</v>
      </c>
      <c r="W293" s="645">
        <v>0</v>
      </c>
      <c r="X293" s="645">
        <v>80.988832348911515</v>
      </c>
      <c r="Y293" s="645">
        <v>104.41565000739821</v>
      </c>
      <c r="Z293" s="645">
        <v>0</v>
      </c>
      <c r="AA293" s="645">
        <v>0</v>
      </c>
      <c r="AB293" s="645">
        <v>84.343834393150701</v>
      </c>
      <c r="AC293" s="645">
        <v>5.3117325596805349</v>
      </c>
      <c r="AD293" s="645">
        <v>82.383135240415754</v>
      </c>
      <c r="AE293" s="645">
        <v>44.768138339353968</v>
      </c>
      <c r="AF293" s="645">
        <v>92.901000398225491</v>
      </c>
      <c r="AG293" s="645">
        <v>6.3602365363905022</v>
      </c>
      <c r="AH293" s="645">
        <v>499.61642415532054</v>
      </c>
      <c r="AI293" s="645">
        <v>69.488948539693865</v>
      </c>
      <c r="AJ293" s="645">
        <v>11.793499321701848</v>
      </c>
      <c r="AK293" s="645">
        <v>1083.4476899812832</v>
      </c>
    </row>
    <row r="294" spans="3:37" x14ac:dyDescent="0.2">
      <c r="C294" s="639" t="s">
        <v>84</v>
      </c>
      <c r="D294" s="640">
        <v>0</v>
      </c>
      <c r="E294" s="640">
        <v>0</v>
      </c>
      <c r="F294" s="640">
        <v>109.69308299672531</v>
      </c>
      <c r="G294" s="640">
        <v>11.766175832538266</v>
      </c>
      <c r="H294" s="640">
        <v>0</v>
      </c>
      <c r="I294" s="640">
        <v>0</v>
      </c>
      <c r="J294" s="640">
        <v>0</v>
      </c>
      <c r="K294" s="640">
        <v>0</v>
      </c>
      <c r="L294" s="640">
        <v>0</v>
      </c>
      <c r="M294" s="640">
        <v>0</v>
      </c>
      <c r="N294" s="640">
        <v>0</v>
      </c>
      <c r="O294" s="640">
        <v>0</v>
      </c>
      <c r="P294" s="640">
        <v>0</v>
      </c>
      <c r="Q294" s="640">
        <v>0</v>
      </c>
      <c r="R294" s="640">
        <v>1.8135973700674786</v>
      </c>
      <c r="S294" s="648">
        <v>123.27285619933106</v>
      </c>
      <c r="U294" s="639" t="s">
        <v>84</v>
      </c>
      <c r="V294" s="640">
        <v>0</v>
      </c>
      <c r="W294" s="640">
        <v>0</v>
      </c>
      <c r="X294" s="640">
        <v>84.298528713313246</v>
      </c>
      <c r="Y294" s="640">
        <v>1.1302347010557652</v>
      </c>
      <c r="Z294" s="640">
        <v>0</v>
      </c>
      <c r="AA294" s="640">
        <v>0</v>
      </c>
      <c r="AB294" s="640">
        <v>0</v>
      </c>
      <c r="AC294" s="640">
        <v>0</v>
      </c>
      <c r="AD294" s="640">
        <v>17.754065118408207</v>
      </c>
      <c r="AE294" s="640">
        <v>0</v>
      </c>
      <c r="AF294" s="640">
        <v>0</v>
      </c>
      <c r="AG294" s="640">
        <v>0</v>
      </c>
      <c r="AH294" s="640">
        <v>0</v>
      </c>
      <c r="AI294" s="640">
        <v>0</v>
      </c>
      <c r="AJ294" s="640">
        <v>11.930622290039064</v>
      </c>
      <c r="AK294" s="648">
        <v>115.11345082281629</v>
      </c>
    </row>
    <row r="295" spans="3:37" x14ac:dyDescent="0.2">
      <c r="C295" s="644" t="s">
        <v>85</v>
      </c>
      <c r="D295" s="645">
        <v>5.4657298257742912</v>
      </c>
      <c r="E295" s="645">
        <v>0</v>
      </c>
      <c r="F295" s="645">
        <v>433.69579057037924</v>
      </c>
      <c r="G295" s="645">
        <v>286.9694570608591</v>
      </c>
      <c r="H295" s="645">
        <v>0</v>
      </c>
      <c r="I295" s="645">
        <v>0</v>
      </c>
      <c r="J295" s="645">
        <v>114.6393068570419</v>
      </c>
      <c r="K295" s="645">
        <v>1.7860154914285227</v>
      </c>
      <c r="L295" s="645">
        <v>28.042343403554419</v>
      </c>
      <c r="M295" s="645">
        <v>5.6349675449245389</v>
      </c>
      <c r="N295" s="645">
        <v>62.897832024028709</v>
      </c>
      <c r="O295" s="645">
        <v>2.8391181780509842</v>
      </c>
      <c r="P295" s="645">
        <v>506.18747931527582</v>
      </c>
      <c r="Q295" s="645">
        <v>35.164036653103793</v>
      </c>
      <c r="R295" s="645">
        <v>4.094104603252811</v>
      </c>
      <c r="S295" s="645">
        <v>1487.4161815276743</v>
      </c>
      <c r="U295" s="644" t="s">
        <v>85</v>
      </c>
      <c r="V295" s="645">
        <v>1.0762581410403587</v>
      </c>
      <c r="W295" s="645">
        <v>0</v>
      </c>
      <c r="X295" s="645">
        <v>165.28736106222476</v>
      </c>
      <c r="Y295" s="645">
        <v>105.54588470845398</v>
      </c>
      <c r="Z295" s="645">
        <v>0</v>
      </c>
      <c r="AA295" s="645">
        <v>0</v>
      </c>
      <c r="AB295" s="645">
        <v>84.343834393150701</v>
      </c>
      <c r="AC295" s="645">
        <v>5.3117325596805349</v>
      </c>
      <c r="AD295" s="645">
        <v>100.13720035882396</v>
      </c>
      <c r="AE295" s="645">
        <v>44.768138339353968</v>
      </c>
      <c r="AF295" s="645">
        <v>92.901000398225491</v>
      </c>
      <c r="AG295" s="645">
        <v>6.3602365363905022</v>
      </c>
      <c r="AH295" s="645">
        <v>499.61642415532054</v>
      </c>
      <c r="AI295" s="645">
        <v>69.488948539693865</v>
      </c>
      <c r="AJ295" s="645">
        <v>23.724121611740912</v>
      </c>
      <c r="AK295" s="645">
        <v>1198.5611408040995</v>
      </c>
    </row>
    <row r="296" spans="3:37" x14ac:dyDescent="0.2">
      <c r="C296" s="634"/>
      <c r="D296" s="634"/>
      <c r="E296" s="634"/>
      <c r="F296" s="634"/>
      <c r="G296" s="634"/>
      <c r="H296" s="634"/>
      <c r="I296" s="634"/>
      <c r="J296" s="634"/>
      <c r="K296" s="634"/>
      <c r="L296" s="634"/>
      <c r="M296" s="634"/>
      <c r="N296" s="634"/>
      <c r="O296" s="634"/>
      <c r="P296" s="634"/>
      <c r="Q296" s="634"/>
      <c r="R296" s="634"/>
      <c r="S296" s="634"/>
      <c r="U296" s="634"/>
      <c r="V296" s="634"/>
      <c r="W296" s="634"/>
      <c r="X296" s="634"/>
      <c r="Y296" s="634"/>
      <c r="Z296" s="634"/>
      <c r="AA296" s="634"/>
      <c r="AB296" s="634"/>
      <c r="AC296" s="634"/>
      <c r="AD296" s="634"/>
      <c r="AE296" s="634"/>
      <c r="AF296" s="634"/>
      <c r="AG296" s="634"/>
      <c r="AH296" s="634"/>
      <c r="AI296" s="634"/>
      <c r="AJ296" s="634"/>
      <c r="AK296" s="634"/>
    </row>
    <row r="297" spans="3:37" ht="22.5" x14ac:dyDescent="0.3">
      <c r="C297" s="759" t="s">
        <v>518</v>
      </c>
      <c r="D297" s="759"/>
      <c r="E297" s="759"/>
      <c r="F297" s="759"/>
      <c r="G297" s="759"/>
      <c r="H297" s="759"/>
      <c r="I297" s="759"/>
      <c r="J297" s="759"/>
      <c r="K297" s="759"/>
      <c r="L297" s="759"/>
      <c r="M297" s="759"/>
      <c r="N297" s="759"/>
      <c r="O297" s="759"/>
      <c r="P297" s="759"/>
      <c r="Q297" s="759"/>
      <c r="R297" s="759"/>
      <c r="S297" s="759"/>
      <c r="U297" s="759" t="s">
        <v>518</v>
      </c>
      <c r="V297" s="759"/>
      <c r="W297" s="759"/>
      <c r="X297" s="759"/>
      <c r="Y297" s="759"/>
      <c r="Z297" s="759"/>
      <c r="AA297" s="759"/>
      <c r="AB297" s="759"/>
      <c r="AC297" s="759"/>
      <c r="AD297" s="759"/>
      <c r="AE297" s="759"/>
      <c r="AF297" s="759"/>
      <c r="AG297" s="759"/>
      <c r="AH297" s="759"/>
      <c r="AI297" s="759"/>
      <c r="AJ297" s="759"/>
      <c r="AK297" s="759"/>
    </row>
    <row r="298" spans="3:37" x14ac:dyDescent="0.2">
      <c r="C298" s="634"/>
      <c r="D298" s="634"/>
      <c r="E298" s="634"/>
      <c r="F298" s="634"/>
      <c r="G298" s="634"/>
      <c r="H298" s="634"/>
      <c r="I298" s="634"/>
      <c r="J298" s="634"/>
      <c r="K298" s="634"/>
      <c r="L298" s="634"/>
      <c r="M298" s="634"/>
      <c r="N298" s="634"/>
      <c r="O298" s="634"/>
      <c r="P298" s="634"/>
      <c r="Q298" s="634"/>
      <c r="R298" s="634"/>
      <c r="S298" s="634"/>
      <c r="U298" s="634"/>
      <c r="V298" s="634"/>
      <c r="W298" s="634"/>
      <c r="X298" s="634"/>
      <c r="Y298" s="634"/>
      <c r="Z298" s="634"/>
      <c r="AA298" s="634"/>
      <c r="AB298" s="634"/>
      <c r="AC298" s="634"/>
      <c r="AD298" s="634"/>
      <c r="AE298" s="634"/>
      <c r="AF298" s="634"/>
      <c r="AG298" s="634"/>
      <c r="AH298" s="634"/>
      <c r="AI298" s="634"/>
      <c r="AJ298" s="634"/>
      <c r="AK298" s="634"/>
    </row>
    <row r="299" spans="3:37" ht="12.95" customHeight="1" x14ac:dyDescent="0.2">
      <c r="C299" s="758" t="s">
        <v>128</v>
      </c>
      <c r="D299" s="757" t="s">
        <v>42</v>
      </c>
      <c r="E299" s="757" t="s">
        <v>52</v>
      </c>
      <c r="F299" s="757" t="s">
        <v>53</v>
      </c>
      <c r="G299" s="757" t="s">
        <v>32</v>
      </c>
      <c r="H299" s="757" t="s">
        <v>20</v>
      </c>
      <c r="I299" s="757" t="s">
        <v>55</v>
      </c>
      <c r="J299" s="757" t="s">
        <v>56</v>
      </c>
      <c r="K299" s="757"/>
      <c r="L299" s="757"/>
      <c r="M299" s="757"/>
      <c r="N299" s="757"/>
      <c r="O299" s="757"/>
      <c r="P299" s="757" t="s">
        <v>57</v>
      </c>
      <c r="Q299" s="757" t="s">
        <v>58</v>
      </c>
      <c r="R299" s="757" t="s">
        <v>31</v>
      </c>
      <c r="S299" s="757" t="s">
        <v>10</v>
      </c>
      <c r="U299" s="758" t="s">
        <v>128</v>
      </c>
      <c r="V299" s="757" t="s">
        <v>42</v>
      </c>
      <c r="W299" s="757" t="s">
        <v>52</v>
      </c>
      <c r="X299" s="757" t="s">
        <v>53</v>
      </c>
      <c r="Y299" s="757" t="s">
        <v>32</v>
      </c>
      <c r="Z299" s="757" t="s">
        <v>20</v>
      </c>
      <c r="AA299" s="757" t="s">
        <v>55</v>
      </c>
      <c r="AB299" s="757" t="s">
        <v>56</v>
      </c>
      <c r="AC299" s="757"/>
      <c r="AD299" s="757"/>
      <c r="AE299" s="757"/>
      <c r="AF299" s="757"/>
      <c r="AG299" s="757"/>
      <c r="AH299" s="757" t="s">
        <v>57</v>
      </c>
      <c r="AI299" s="757" t="s">
        <v>58</v>
      </c>
      <c r="AJ299" s="757" t="s">
        <v>31</v>
      </c>
      <c r="AK299" s="757" t="s">
        <v>10</v>
      </c>
    </row>
    <row r="300" spans="3:37" ht="56.25" x14ac:dyDescent="0.2">
      <c r="C300" s="758"/>
      <c r="D300" s="757"/>
      <c r="E300" s="757"/>
      <c r="F300" s="757"/>
      <c r="G300" s="757"/>
      <c r="H300" s="757"/>
      <c r="I300" s="757"/>
      <c r="J300" s="638" t="s">
        <v>335</v>
      </c>
      <c r="K300" s="638" t="s">
        <v>40</v>
      </c>
      <c r="L300" s="638" t="s">
        <v>343</v>
      </c>
      <c r="M300" s="638" t="s">
        <v>344</v>
      </c>
      <c r="N300" s="638" t="s">
        <v>345</v>
      </c>
      <c r="O300" s="638" t="s">
        <v>346</v>
      </c>
      <c r="P300" s="757"/>
      <c r="Q300" s="757"/>
      <c r="R300" s="757"/>
      <c r="S300" s="757"/>
      <c r="U300" s="758"/>
      <c r="V300" s="757"/>
      <c r="W300" s="757"/>
      <c r="X300" s="757"/>
      <c r="Y300" s="757"/>
      <c r="Z300" s="757"/>
      <c r="AA300" s="757"/>
      <c r="AB300" s="638" t="s">
        <v>335</v>
      </c>
      <c r="AC300" s="638" t="s">
        <v>40</v>
      </c>
      <c r="AD300" s="638" t="s">
        <v>343</v>
      </c>
      <c r="AE300" s="638" t="s">
        <v>344</v>
      </c>
      <c r="AF300" s="638" t="s">
        <v>345</v>
      </c>
      <c r="AG300" s="638" t="s">
        <v>346</v>
      </c>
      <c r="AH300" s="757"/>
      <c r="AI300" s="757"/>
      <c r="AJ300" s="757"/>
      <c r="AK300" s="757"/>
    </row>
    <row r="301" spans="3:37" x14ac:dyDescent="0.2">
      <c r="C301" s="639" t="s">
        <v>59</v>
      </c>
      <c r="D301" s="640">
        <v>0</v>
      </c>
      <c r="E301" s="641">
        <v>0</v>
      </c>
      <c r="F301" s="641">
        <v>0</v>
      </c>
      <c r="G301" s="640">
        <v>0</v>
      </c>
      <c r="H301" s="641">
        <v>889.54545454545473</v>
      </c>
      <c r="I301" s="641">
        <v>290.38619522472999</v>
      </c>
      <c r="J301" s="641">
        <v>188.26463769943669</v>
      </c>
      <c r="K301" s="641">
        <v>20.519346122490408</v>
      </c>
      <c r="L301" s="641">
        <v>0.54648995449606019</v>
      </c>
      <c r="M301" s="641">
        <v>0.15914693380563083</v>
      </c>
      <c r="N301" s="641">
        <v>65.898689554178929</v>
      </c>
      <c r="O301" s="641">
        <v>11.930124482632028</v>
      </c>
      <c r="P301" s="642">
        <v>0</v>
      </c>
      <c r="Q301" s="641">
        <v>0</v>
      </c>
      <c r="R301" s="641">
        <v>0</v>
      </c>
      <c r="S301" s="643">
        <v>1467.2500845172242</v>
      </c>
      <c r="U301" s="639" t="s">
        <v>59</v>
      </c>
      <c r="V301" s="640">
        <v>0</v>
      </c>
      <c r="W301" s="641">
        <v>0</v>
      </c>
      <c r="X301" s="641">
        <v>0</v>
      </c>
      <c r="Y301" s="640">
        <v>0</v>
      </c>
      <c r="Z301" s="641">
        <v>873.030303030303</v>
      </c>
      <c r="AA301" s="641">
        <v>337.06619522473</v>
      </c>
      <c r="AB301" s="641">
        <v>206.15489309499102</v>
      </c>
      <c r="AC301" s="641">
        <v>37.137182251794961</v>
      </c>
      <c r="AD301" s="641">
        <v>0.54648995449606019</v>
      </c>
      <c r="AE301" s="641">
        <v>0.15914693380563083</v>
      </c>
      <c r="AF301" s="641">
        <v>103.02458403584798</v>
      </c>
      <c r="AG301" s="641">
        <v>25.833176078824131</v>
      </c>
      <c r="AH301" s="642">
        <v>0</v>
      </c>
      <c r="AI301" s="641">
        <v>0</v>
      </c>
      <c r="AJ301" s="641">
        <v>0</v>
      </c>
      <c r="AK301" s="643">
        <v>1582.9519706047927</v>
      </c>
    </row>
    <row r="302" spans="3:37" x14ac:dyDescent="0.2">
      <c r="C302" s="639" t="s">
        <v>60</v>
      </c>
      <c r="D302" s="640">
        <v>47.523331421865407</v>
      </c>
      <c r="E302" s="641">
        <v>492.37419513671523</v>
      </c>
      <c r="F302" s="641">
        <v>57.352326080251387</v>
      </c>
      <c r="G302" s="640">
        <v>328.8885225556333</v>
      </c>
      <c r="H302" s="641">
        <v>0</v>
      </c>
      <c r="I302" s="641">
        <v>0</v>
      </c>
      <c r="J302" s="641">
        <v>4.8075322078390377</v>
      </c>
      <c r="K302" s="641">
        <v>0</v>
      </c>
      <c r="L302" s="641">
        <v>2.6229179175778925</v>
      </c>
      <c r="M302" s="641">
        <v>0</v>
      </c>
      <c r="N302" s="641">
        <v>0</v>
      </c>
      <c r="O302" s="641">
        <v>0</v>
      </c>
      <c r="P302" s="642">
        <v>0</v>
      </c>
      <c r="Q302" s="641">
        <v>0</v>
      </c>
      <c r="R302" s="641">
        <v>0</v>
      </c>
      <c r="S302" s="643">
        <v>933.56882531988219</v>
      </c>
      <c r="U302" s="639" t="s">
        <v>60</v>
      </c>
      <c r="V302" s="640">
        <v>6.5260336126681251</v>
      </c>
      <c r="W302" s="641">
        <v>220.47790015098695</v>
      </c>
      <c r="X302" s="641">
        <v>14.513856185365357</v>
      </c>
      <c r="Y302" s="640">
        <v>102.1346675179243</v>
      </c>
      <c r="Z302" s="641">
        <v>0</v>
      </c>
      <c r="AA302" s="641">
        <v>0</v>
      </c>
      <c r="AB302" s="641">
        <v>4.8075322078390377</v>
      </c>
      <c r="AC302" s="641">
        <v>0</v>
      </c>
      <c r="AD302" s="641">
        <v>2.6229179175778925</v>
      </c>
      <c r="AE302" s="641">
        <v>0</v>
      </c>
      <c r="AF302" s="641">
        <v>0</v>
      </c>
      <c r="AG302" s="641">
        <v>0</v>
      </c>
      <c r="AH302" s="642">
        <v>0</v>
      </c>
      <c r="AI302" s="641">
        <v>0</v>
      </c>
      <c r="AJ302" s="641">
        <v>0</v>
      </c>
      <c r="AK302" s="643">
        <v>351.08290759236166</v>
      </c>
    </row>
    <row r="303" spans="3:37" x14ac:dyDescent="0.2">
      <c r="C303" s="639" t="s">
        <v>61</v>
      </c>
      <c r="D303" s="640">
        <v>0</v>
      </c>
      <c r="E303" s="641">
        <v>0</v>
      </c>
      <c r="F303" s="641">
        <v>0</v>
      </c>
      <c r="G303" s="640">
        <v>0</v>
      </c>
      <c r="H303" s="641">
        <v>0</v>
      </c>
      <c r="I303" s="641">
        <v>0</v>
      </c>
      <c r="J303" s="641">
        <v>0</v>
      </c>
      <c r="K303" s="641">
        <v>0</v>
      </c>
      <c r="L303" s="641">
        <v>0</v>
      </c>
      <c r="M303" s="641">
        <v>0</v>
      </c>
      <c r="N303" s="641">
        <v>0</v>
      </c>
      <c r="O303" s="641">
        <v>0</v>
      </c>
      <c r="P303" s="642">
        <v>-22.391147784534837</v>
      </c>
      <c r="Q303" s="641">
        <v>0</v>
      </c>
      <c r="R303" s="641">
        <v>0</v>
      </c>
      <c r="S303" s="643">
        <v>-22.391147784534837</v>
      </c>
      <c r="U303" s="639" t="s">
        <v>61</v>
      </c>
      <c r="V303" s="640">
        <v>0</v>
      </c>
      <c r="W303" s="641">
        <v>0</v>
      </c>
      <c r="X303" s="641">
        <v>-19.691193817618341</v>
      </c>
      <c r="Y303" s="640">
        <v>0</v>
      </c>
      <c r="Z303" s="641">
        <v>0</v>
      </c>
      <c r="AA303" s="641">
        <v>0</v>
      </c>
      <c r="AB303" s="641">
        <v>0</v>
      </c>
      <c r="AC303" s="641">
        <v>0</v>
      </c>
      <c r="AD303" s="641">
        <v>0</v>
      </c>
      <c r="AE303" s="641">
        <v>0</v>
      </c>
      <c r="AF303" s="641">
        <v>0</v>
      </c>
      <c r="AG303" s="641">
        <v>0</v>
      </c>
      <c r="AH303" s="642">
        <v>-17.389600315785174</v>
      </c>
      <c r="AI303" s="641">
        <v>0</v>
      </c>
      <c r="AJ303" s="641">
        <v>0</v>
      </c>
      <c r="AK303" s="643">
        <v>-37.080794133403515</v>
      </c>
    </row>
    <row r="304" spans="3:37" x14ac:dyDescent="0.2">
      <c r="C304" s="639" t="s">
        <v>62</v>
      </c>
      <c r="D304" s="640">
        <v>0</v>
      </c>
      <c r="E304" s="641">
        <v>0</v>
      </c>
      <c r="F304" s="641">
        <v>-15.496739011683466</v>
      </c>
      <c r="G304" s="640">
        <v>0</v>
      </c>
      <c r="H304" s="641">
        <v>0</v>
      </c>
      <c r="I304" s="641">
        <v>0</v>
      </c>
      <c r="J304" s="641">
        <v>0</v>
      </c>
      <c r="K304" s="641">
        <v>0</v>
      </c>
      <c r="L304" s="641">
        <v>0</v>
      </c>
      <c r="M304" s="641">
        <v>0</v>
      </c>
      <c r="N304" s="641">
        <v>0</v>
      </c>
      <c r="O304" s="641">
        <v>0</v>
      </c>
      <c r="P304" s="642">
        <v>0</v>
      </c>
      <c r="Q304" s="641">
        <v>0</v>
      </c>
      <c r="R304" s="641">
        <v>0</v>
      </c>
      <c r="S304" s="643">
        <v>-15.496739011683466</v>
      </c>
      <c r="U304" s="639" t="s">
        <v>62</v>
      </c>
      <c r="V304" s="640">
        <v>0</v>
      </c>
      <c r="W304" s="641">
        <v>0</v>
      </c>
      <c r="X304" s="641">
        <v>-8.5387827474702789</v>
      </c>
      <c r="Y304" s="640">
        <v>-2.2272473327152178</v>
      </c>
      <c r="Z304" s="641">
        <v>0</v>
      </c>
      <c r="AA304" s="641">
        <v>0</v>
      </c>
      <c r="AB304" s="641">
        <v>0</v>
      </c>
      <c r="AC304" s="641">
        <v>0</v>
      </c>
      <c r="AD304" s="641">
        <v>0</v>
      </c>
      <c r="AE304" s="641">
        <v>-1.7037211969591732</v>
      </c>
      <c r="AF304" s="641">
        <v>0</v>
      </c>
      <c r="AG304" s="641">
        <v>0</v>
      </c>
      <c r="AH304" s="642">
        <v>0</v>
      </c>
      <c r="AI304" s="641">
        <v>0</v>
      </c>
      <c r="AJ304" s="641">
        <v>0</v>
      </c>
      <c r="AK304" s="643">
        <v>-12.46975127714467</v>
      </c>
    </row>
    <row r="305" spans="3:37" x14ac:dyDescent="0.2">
      <c r="C305" s="639" t="s">
        <v>63</v>
      </c>
      <c r="D305" s="640">
        <v>0</v>
      </c>
      <c r="E305" s="641">
        <v>0</v>
      </c>
      <c r="F305" s="641">
        <v>-89.42656352071144</v>
      </c>
      <c r="G305" s="640">
        <v>0</v>
      </c>
      <c r="H305" s="641">
        <v>0</v>
      </c>
      <c r="I305" s="641">
        <v>0</v>
      </c>
      <c r="J305" s="641">
        <v>0</v>
      </c>
      <c r="K305" s="641">
        <v>0</v>
      </c>
      <c r="L305" s="641">
        <v>-0.92190198395554845</v>
      </c>
      <c r="M305" s="641">
        <v>0</v>
      </c>
      <c r="N305" s="641">
        <v>0</v>
      </c>
      <c r="O305" s="641">
        <v>0</v>
      </c>
      <c r="P305" s="642">
        <v>0</v>
      </c>
      <c r="Q305" s="641">
        <v>0</v>
      </c>
      <c r="R305" s="641">
        <v>0</v>
      </c>
      <c r="S305" s="643">
        <v>-90.34846550466699</v>
      </c>
      <c r="U305" s="639" t="s">
        <v>63</v>
      </c>
      <c r="V305" s="640">
        <v>0</v>
      </c>
      <c r="W305" s="641">
        <v>0</v>
      </c>
      <c r="X305" s="641">
        <v>-55.486888716289528</v>
      </c>
      <c r="Y305" s="640">
        <v>0</v>
      </c>
      <c r="Z305" s="641">
        <v>0</v>
      </c>
      <c r="AA305" s="641">
        <v>0</v>
      </c>
      <c r="AB305" s="641">
        <v>0</v>
      </c>
      <c r="AC305" s="641">
        <v>0</v>
      </c>
      <c r="AD305" s="641">
        <v>-26.575233608452013</v>
      </c>
      <c r="AE305" s="641">
        <v>0</v>
      </c>
      <c r="AF305" s="641">
        <v>0</v>
      </c>
      <c r="AG305" s="641">
        <v>0</v>
      </c>
      <c r="AH305" s="642">
        <v>0</v>
      </c>
      <c r="AI305" s="641">
        <v>0</v>
      </c>
      <c r="AJ305" s="641">
        <v>0</v>
      </c>
      <c r="AK305" s="643">
        <v>-82.062122324741537</v>
      </c>
    </row>
    <row r="306" spans="3:37" x14ac:dyDescent="0.2">
      <c r="C306" s="639" t="s">
        <v>64</v>
      </c>
      <c r="D306" s="640">
        <v>0</v>
      </c>
      <c r="E306" s="641">
        <v>0</v>
      </c>
      <c r="F306" s="641">
        <v>0</v>
      </c>
      <c r="G306" s="640">
        <v>0</v>
      </c>
      <c r="H306" s="641">
        <v>0</v>
      </c>
      <c r="I306" s="641">
        <v>0</v>
      </c>
      <c r="J306" s="641">
        <v>0</v>
      </c>
      <c r="K306" s="641">
        <v>0</v>
      </c>
      <c r="L306" s="641">
        <v>0</v>
      </c>
      <c r="M306" s="641">
        <v>0</v>
      </c>
      <c r="N306" s="641">
        <v>0</v>
      </c>
      <c r="O306" s="641">
        <v>0</v>
      </c>
      <c r="P306" s="642">
        <v>0</v>
      </c>
      <c r="Q306" s="641">
        <v>0</v>
      </c>
      <c r="R306" s="641">
        <v>0</v>
      </c>
      <c r="S306" s="643">
        <v>0</v>
      </c>
      <c r="U306" s="639" t="s">
        <v>64</v>
      </c>
      <c r="V306" s="640">
        <v>0</v>
      </c>
      <c r="W306" s="641">
        <v>0</v>
      </c>
      <c r="X306" s="641">
        <v>0</v>
      </c>
      <c r="Y306" s="640">
        <v>0</v>
      </c>
      <c r="Z306" s="641">
        <v>0</v>
      </c>
      <c r="AA306" s="641">
        <v>0</v>
      </c>
      <c r="AB306" s="641">
        <v>0</v>
      </c>
      <c r="AC306" s="641">
        <v>0</v>
      </c>
      <c r="AD306" s="641">
        <v>0</v>
      </c>
      <c r="AE306" s="641">
        <v>0</v>
      </c>
      <c r="AF306" s="641">
        <v>0</v>
      </c>
      <c r="AG306" s="641">
        <v>0</v>
      </c>
      <c r="AH306" s="642">
        <v>0</v>
      </c>
      <c r="AI306" s="641">
        <v>0</v>
      </c>
      <c r="AJ306" s="641">
        <v>0</v>
      </c>
      <c r="AK306" s="643">
        <v>0</v>
      </c>
    </row>
    <row r="307" spans="3:37" x14ac:dyDescent="0.2">
      <c r="C307" s="644" t="s">
        <v>65</v>
      </c>
      <c r="D307" s="645">
        <v>47.523331421865407</v>
      </c>
      <c r="E307" s="645">
        <v>492.37419513671523</v>
      </c>
      <c r="F307" s="645">
        <v>-47.570976452143519</v>
      </c>
      <c r="G307" s="645">
        <v>328.8885225556333</v>
      </c>
      <c r="H307" s="645">
        <v>889.54545454545473</v>
      </c>
      <c r="I307" s="645">
        <v>290.38619522472999</v>
      </c>
      <c r="J307" s="645">
        <v>193.07216990727574</v>
      </c>
      <c r="K307" s="645">
        <v>20.519346122490408</v>
      </c>
      <c r="L307" s="645">
        <v>2.247505888118404</v>
      </c>
      <c r="M307" s="645">
        <v>0.15914693380563083</v>
      </c>
      <c r="N307" s="645">
        <v>65.898689554178929</v>
      </c>
      <c r="O307" s="645">
        <v>11.930124482632028</v>
      </c>
      <c r="P307" s="645">
        <v>-22.391147784534837</v>
      </c>
      <c r="Q307" s="645">
        <v>0</v>
      </c>
      <c r="R307" s="645">
        <v>0</v>
      </c>
      <c r="S307" s="645">
        <v>2272.5825575362214</v>
      </c>
      <c r="U307" s="644" t="s">
        <v>65</v>
      </c>
      <c r="V307" s="645">
        <v>6.5260336126681251</v>
      </c>
      <c r="W307" s="645">
        <v>220.47790015098695</v>
      </c>
      <c r="X307" s="645">
        <v>-69.203009096012792</v>
      </c>
      <c r="Y307" s="645">
        <v>99.907420185209077</v>
      </c>
      <c r="Z307" s="645">
        <v>873.030303030303</v>
      </c>
      <c r="AA307" s="645">
        <v>337.06619522473</v>
      </c>
      <c r="AB307" s="645">
        <v>210.96242530283007</v>
      </c>
      <c r="AC307" s="645">
        <v>37.137182251794961</v>
      </c>
      <c r="AD307" s="645">
        <v>-23.405825736378059</v>
      </c>
      <c r="AE307" s="645">
        <v>-1.5445742631535424</v>
      </c>
      <c r="AF307" s="645">
        <v>103.02458403584798</v>
      </c>
      <c r="AG307" s="645">
        <v>25.833176078824131</v>
      </c>
      <c r="AH307" s="645">
        <v>-17.389600315785174</v>
      </c>
      <c r="AI307" s="645">
        <v>0</v>
      </c>
      <c r="AJ307" s="645">
        <v>0</v>
      </c>
      <c r="AK307" s="645">
        <v>1802.4222104618648</v>
      </c>
    </row>
    <row r="308" spans="3:37" x14ac:dyDescent="0.2">
      <c r="C308" s="634"/>
      <c r="D308" s="634">
        <v>0</v>
      </c>
      <c r="E308" s="634">
        <v>0</v>
      </c>
      <c r="F308" s="634">
        <v>0</v>
      </c>
      <c r="G308" s="634">
        <v>0</v>
      </c>
      <c r="H308" s="634">
        <v>0</v>
      </c>
      <c r="I308" s="634">
        <v>0</v>
      </c>
      <c r="J308" s="634">
        <v>0</v>
      </c>
      <c r="K308" s="634">
        <v>0</v>
      </c>
      <c r="L308" s="634">
        <v>0</v>
      </c>
      <c r="M308" s="634">
        <v>0</v>
      </c>
      <c r="N308" s="634">
        <v>0</v>
      </c>
      <c r="O308" s="634">
        <v>0</v>
      </c>
      <c r="P308" s="634">
        <v>0</v>
      </c>
      <c r="Q308" s="634">
        <v>0</v>
      </c>
      <c r="R308" s="634">
        <v>0</v>
      </c>
      <c r="S308" s="634">
        <v>0</v>
      </c>
      <c r="U308" s="634"/>
      <c r="V308" s="634">
        <v>0</v>
      </c>
      <c r="W308" s="634">
        <v>0</v>
      </c>
      <c r="X308" s="634">
        <v>0</v>
      </c>
      <c r="Y308" s="634">
        <v>0</v>
      </c>
      <c r="Z308" s="634">
        <v>0</v>
      </c>
      <c r="AA308" s="634">
        <v>0</v>
      </c>
      <c r="AB308" s="634">
        <v>0</v>
      </c>
      <c r="AC308" s="634">
        <v>0</v>
      </c>
      <c r="AD308" s="634">
        <v>0</v>
      </c>
      <c r="AE308" s="634">
        <v>0</v>
      </c>
      <c r="AF308" s="634">
        <v>0</v>
      </c>
      <c r="AG308" s="634">
        <v>0</v>
      </c>
      <c r="AH308" s="634">
        <v>0</v>
      </c>
      <c r="AI308" s="634">
        <v>0</v>
      </c>
      <c r="AJ308" s="634">
        <v>0</v>
      </c>
      <c r="AK308" s="634">
        <v>0</v>
      </c>
    </row>
    <row r="309" spans="3:37" x14ac:dyDescent="0.2">
      <c r="C309" s="646" t="s">
        <v>67</v>
      </c>
      <c r="D309" s="640">
        <v>0</v>
      </c>
      <c r="E309" s="647">
        <v>0</v>
      </c>
      <c r="F309" s="647">
        <v>0</v>
      </c>
      <c r="G309" s="640">
        <v>0</v>
      </c>
      <c r="H309" s="640">
        <v>0</v>
      </c>
      <c r="I309" s="640">
        <v>0</v>
      </c>
      <c r="J309" s="640">
        <v>0</v>
      </c>
      <c r="K309" s="640">
        <v>0</v>
      </c>
      <c r="L309" s="640">
        <v>0</v>
      </c>
      <c r="M309" s="640">
        <v>0</v>
      </c>
      <c r="N309" s="640">
        <v>0</v>
      </c>
      <c r="O309" s="640">
        <v>0</v>
      </c>
      <c r="P309" s="640">
        <v>0</v>
      </c>
      <c r="Q309" s="640">
        <v>0</v>
      </c>
      <c r="R309" s="640">
        <v>0</v>
      </c>
      <c r="S309" s="648">
        <v>0</v>
      </c>
      <c r="U309" s="646" t="s">
        <v>67</v>
      </c>
      <c r="V309" s="640">
        <v>0</v>
      </c>
      <c r="W309" s="647">
        <v>0</v>
      </c>
      <c r="X309" s="647">
        <v>0</v>
      </c>
      <c r="Y309" s="640">
        <v>0</v>
      </c>
      <c r="Z309" s="640">
        <v>0</v>
      </c>
      <c r="AA309" s="640">
        <v>0</v>
      </c>
      <c r="AB309" s="640">
        <v>0</v>
      </c>
      <c r="AC309" s="640">
        <v>0</v>
      </c>
      <c r="AD309" s="640">
        <v>0</v>
      </c>
      <c r="AE309" s="640">
        <v>0</v>
      </c>
      <c r="AF309" s="640">
        <v>0</v>
      </c>
      <c r="AG309" s="640">
        <v>0</v>
      </c>
      <c r="AH309" s="640">
        <v>0</v>
      </c>
      <c r="AI309" s="640">
        <v>0</v>
      </c>
      <c r="AJ309" s="640">
        <v>0</v>
      </c>
      <c r="AK309" s="648">
        <v>0</v>
      </c>
    </row>
    <row r="310" spans="3:37" x14ac:dyDescent="0.2">
      <c r="C310" s="646" t="s">
        <v>347</v>
      </c>
      <c r="D310" s="640">
        <v>2.8267856410252494</v>
      </c>
      <c r="E310" s="640">
        <v>0</v>
      </c>
      <c r="F310" s="640">
        <v>7.7625293209280457</v>
      </c>
      <c r="G310" s="640">
        <v>16.824034334763951</v>
      </c>
      <c r="H310" s="640">
        <v>889.54545454545473</v>
      </c>
      <c r="I310" s="640">
        <v>290.38619522472999</v>
      </c>
      <c r="J310" s="649">
        <v>29.234857813431841</v>
      </c>
      <c r="K310" s="649">
        <v>6.7467623730381456</v>
      </c>
      <c r="L310" s="649">
        <v>3.1694078720739522</v>
      </c>
      <c r="M310" s="649">
        <v>0.46915285357606595</v>
      </c>
      <c r="N310" s="649">
        <v>0</v>
      </c>
      <c r="O310" s="649">
        <v>6.9727309871777221</v>
      </c>
      <c r="P310" s="640">
        <v>-615.41357369902562</v>
      </c>
      <c r="Q310" s="640">
        <v>0</v>
      </c>
      <c r="R310" s="640">
        <v>0</v>
      </c>
      <c r="S310" s="648">
        <v>638.52433726717402</v>
      </c>
      <c r="U310" s="646" t="s">
        <v>347</v>
      </c>
      <c r="V310" s="640">
        <v>0.62631490545869017</v>
      </c>
      <c r="W310" s="640">
        <v>0</v>
      </c>
      <c r="X310" s="640">
        <v>3.8988929572916824</v>
      </c>
      <c r="Y310" s="640">
        <v>3.6741630901287547</v>
      </c>
      <c r="Z310" s="640">
        <v>873.030303030303</v>
      </c>
      <c r="AA310" s="640">
        <v>337.06619522473</v>
      </c>
      <c r="AB310" s="649">
        <v>23.429523439383615</v>
      </c>
      <c r="AC310" s="649">
        <v>5.4991881500691626</v>
      </c>
      <c r="AD310" s="649">
        <v>3.1694078720739522</v>
      </c>
      <c r="AE310" s="649">
        <v>2.7864060724601858</v>
      </c>
      <c r="AF310" s="649">
        <v>0</v>
      </c>
      <c r="AG310" s="649">
        <v>6.9727309871777221</v>
      </c>
      <c r="AH310" s="640">
        <v>-649.11357369902544</v>
      </c>
      <c r="AI310" s="640">
        <v>0</v>
      </c>
      <c r="AJ310" s="640">
        <v>4.45</v>
      </c>
      <c r="AK310" s="648">
        <v>615.48955203005141</v>
      </c>
    </row>
    <row r="311" spans="3:37" x14ac:dyDescent="0.2">
      <c r="C311" s="646" t="s">
        <v>348</v>
      </c>
      <c r="D311" s="640">
        <v>0</v>
      </c>
      <c r="E311" s="640">
        <v>0</v>
      </c>
      <c r="F311" s="640">
        <v>0</v>
      </c>
      <c r="G311" s="640">
        <v>14.896462034387394</v>
      </c>
      <c r="H311" s="640">
        <v>0</v>
      </c>
      <c r="I311" s="640">
        <v>0</v>
      </c>
      <c r="J311" s="649">
        <v>12.461036592610267</v>
      </c>
      <c r="K311" s="649">
        <v>11.927183871567582</v>
      </c>
      <c r="L311" s="649">
        <v>0</v>
      </c>
      <c r="M311" s="649">
        <v>0.3188738120209938</v>
      </c>
      <c r="N311" s="649">
        <v>0</v>
      </c>
      <c r="O311" s="649">
        <v>2.1085025260592274</v>
      </c>
      <c r="P311" s="640">
        <v>0</v>
      </c>
      <c r="Q311" s="640">
        <v>-37.934258390495422</v>
      </c>
      <c r="R311" s="640">
        <v>0</v>
      </c>
      <c r="S311" s="648">
        <v>3.7778004461500441</v>
      </c>
      <c r="U311" s="646" t="s">
        <v>348</v>
      </c>
      <c r="V311" s="640">
        <v>0</v>
      </c>
      <c r="W311" s="640">
        <v>0</v>
      </c>
      <c r="X311" s="640">
        <v>0</v>
      </c>
      <c r="Y311" s="640">
        <v>8.218662070491261</v>
      </c>
      <c r="Z311" s="640">
        <v>0</v>
      </c>
      <c r="AA311" s="640">
        <v>0</v>
      </c>
      <c r="AB311" s="649">
        <v>28.560818034272483</v>
      </c>
      <c r="AC311" s="649">
        <v>26.163217208510932</v>
      </c>
      <c r="AD311" s="649">
        <v>0</v>
      </c>
      <c r="AE311" s="649">
        <v>5.9663093303449024</v>
      </c>
      <c r="AF311" s="649">
        <v>0</v>
      </c>
      <c r="AG311" s="649">
        <v>11.832895483778962</v>
      </c>
      <c r="AH311" s="640">
        <v>0</v>
      </c>
      <c r="AI311" s="640">
        <v>-74.578675527513624</v>
      </c>
      <c r="AJ311" s="640">
        <v>0</v>
      </c>
      <c r="AK311" s="648">
        <v>6.1632265998849274</v>
      </c>
    </row>
    <row r="312" spans="3:37" x14ac:dyDescent="0.2">
      <c r="C312" s="646" t="s">
        <v>349</v>
      </c>
      <c r="D312" s="640">
        <v>0</v>
      </c>
      <c r="E312" s="640">
        <v>0</v>
      </c>
      <c r="F312" s="640">
        <v>0</v>
      </c>
      <c r="G312" s="640">
        <v>0</v>
      </c>
      <c r="H312" s="640">
        <v>0</v>
      </c>
      <c r="I312" s="640">
        <v>0</v>
      </c>
      <c r="J312" s="650">
        <v>6.9979956174374891</v>
      </c>
      <c r="K312" s="650">
        <v>0</v>
      </c>
      <c r="L312" s="650">
        <v>0</v>
      </c>
      <c r="M312" s="650">
        <v>-6.4748954450340372</v>
      </c>
      <c r="N312" s="650">
        <v>0</v>
      </c>
      <c r="O312" s="650">
        <v>0</v>
      </c>
      <c r="P312" s="640">
        <v>0</v>
      </c>
      <c r="Q312" s="640">
        <v>0</v>
      </c>
      <c r="R312" s="640">
        <v>0</v>
      </c>
      <c r="S312" s="648">
        <v>0.52310017240345186</v>
      </c>
      <c r="U312" s="646" t="s">
        <v>349</v>
      </c>
      <c r="V312" s="640">
        <v>0</v>
      </c>
      <c r="W312" s="640">
        <v>0</v>
      </c>
      <c r="X312" s="640">
        <v>0</v>
      </c>
      <c r="Y312" s="640">
        <v>0</v>
      </c>
      <c r="Z312" s="640">
        <v>0</v>
      </c>
      <c r="AA312" s="640">
        <v>0</v>
      </c>
      <c r="AB312" s="650">
        <v>79.198989478899776</v>
      </c>
      <c r="AC312" s="650">
        <v>0</v>
      </c>
      <c r="AD312" s="650">
        <v>0</v>
      </c>
      <c r="AE312" s="650">
        <v>-73.278865015352025</v>
      </c>
      <c r="AF312" s="650">
        <v>0</v>
      </c>
      <c r="AG312" s="650">
        <v>0</v>
      </c>
      <c r="AH312" s="640">
        <v>0</v>
      </c>
      <c r="AI312" s="640">
        <v>0</v>
      </c>
      <c r="AJ312" s="640">
        <v>0</v>
      </c>
      <c r="AK312" s="648">
        <v>5.9201244635477508</v>
      </c>
    </row>
    <row r="313" spans="3:37" x14ac:dyDescent="0.2">
      <c r="C313" s="646" t="s">
        <v>350</v>
      </c>
      <c r="D313" s="640">
        <v>0</v>
      </c>
      <c r="E313" s="640">
        <v>0</v>
      </c>
      <c r="F313" s="640">
        <v>0</v>
      </c>
      <c r="G313" s="640">
        <v>0</v>
      </c>
      <c r="H313" s="640">
        <v>0</v>
      </c>
      <c r="I313" s="640">
        <v>0</v>
      </c>
      <c r="J313" s="640">
        <v>0</v>
      </c>
      <c r="K313" s="640">
        <v>0</v>
      </c>
      <c r="L313" s="640">
        <v>0</v>
      </c>
      <c r="M313" s="640">
        <v>0</v>
      </c>
      <c r="N313" s="640">
        <v>0</v>
      </c>
      <c r="O313" s="640">
        <v>0</v>
      </c>
      <c r="P313" s="640">
        <v>0</v>
      </c>
      <c r="Q313" s="640">
        <v>0</v>
      </c>
      <c r="R313" s="640">
        <v>0</v>
      </c>
      <c r="S313" s="648">
        <v>0</v>
      </c>
      <c r="U313" s="646" t="s">
        <v>350</v>
      </c>
      <c r="V313" s="640">
        <v>0</v>
      </c>
      <c r="W313" s="640">
        <v>0</v>
      </c>
      <c r="X313" s="640">
        <v>0</v>
      </c>
      <c r="Y313" s="640">
        <v>0</v>
      </c>
      <c r="Z313" s="640">
        <v>0</v>
      </c>
      <c r="AA313" s="640">
        <v>0</v>
      </c>
      <c r="AB313" s="640">
        <v>0</v>
      </c>
      <c r="AC313" s="640">
        <v>0</v>
      </c>
      <c r="AD313" s="640">
        <v>0</v>
      </c>
      <c r="AE313" s="640">
        <v>0</v>
      </c>
      <c r="AF313" s="640">
        <v>0</v>
      </c>
      <c r="AG313" s="640">
        <v>0</v>
      </c>
      <c r="AH313" s="640">
        <v>0</v>
      </c>
      <c r="AI313" s="640">
        <v>0</v>
      </c>
      <c r="AJ313" s="640">
        <v>0</v>
      </c>
      <c r="AK313" s="648">
        <v>0</v>
      </c>
    </row>
    <row r="314" spans="3:37" x14ac:dyDescent="0.2">
      <c r="C314" s="646" t="s">
        <v>72</v>
      </c>
      <c r="D314" s="640">
        <v>0</v>
      </c>
      <c r="E314" s="640">
        <v>510.04733530503466</v>
      </c>
      <c r="F314" s="640">
        <v>-504.94686195198432</v>
      </c>
      <c r="G314" s="640">
        <v>0</v>
      </c>
      <c r="H314" s="640">
        <v>0</v>
      </c>
      <c r="I314" s="640">
        <v>0</v>
      </c>
      <c r="J314" s="640">
        <v>0</v>
      </c>
      <c r="K314" s="640">
        <v>0</v>
      </c>
      <c r="L314" s="640">
        <v>0</v>
      </c>
      <c r="M314" s="640">
        <v>0</v>
      </c>
      <c r="N314" s="640">
        <v>0</v>
      </c>
      <c r="O314" s="640">
        <v>0</v>
      </c>
      <c r="P314" s="640">
        <v>0</v>
      </c>
      <c r="Q314" s="640">
        <v>0</v>
      </c>
      <c r="R314" s="640">
        <v>0</v>
      </c>
      <c r="S314" s="648">
        <v>5.1004733530503472</v>
      </c>
      <c r="U314" s="646" t="s">
        <v>72</v>
      </c>
      <c r="V314" s="640">
        <v>0</v>
      </c>
      <c r="W314" s="640">
        <v>228.3916715709193</v>
      </c>
      <c r="X314" s="640">
        <v>-226.10775485521012</v>
      </c>
      <c r="Y314" s="640">
        <v>0</v>
      </c>
      <c r="Z314" s="640">
        <v>0</v>
      </c>
      <c r="AA314" s="640">
        <v>0</v>
      </c>
      <c r="AB314" s="640">
        <v>0</v>
      </c>
      <c r="AC314" s="640">
        <v>0</v>
      </c>
      <c r="AD314" s="640">
        <v>0</v>
      </c>
      <c r="AE314" s="640">
        <v>0</v>
      </c>
      <c r="AF314" s="640">
        <v>0</v>
      </c>
      <c r="AG314" s="640">
        <v>0</v>
      </c>
      <c r="AH314" s="640">
        <v>0</v>
      </c>
      <c r="AI314" s="640">
        <v>0</v>
      </c>
      <c r="AJ314" s="640">
        <v>0</v>
      </c>
      <c r="AK314" s="648">
        <v>2.2839167157091822</v>
      </c>
    </row>
    <row r="315" spans="3:37" x14ac:dyDescent="0.2">
      <c r="C315" s="646" t="s">
        <v>351</v>
      </c>
      <c r="D315" s="640">
        <v>0</v>
      </c>
      <c r="E315" s="640">
        <v>0</v>
      </c>
      <c r="F315" s="640">
        <v>0</v>
      </c>
      <c r="G315" s="640">
        <v>0</v>
      </c>
      <c r="H315" s="640">
        <v>0</v>
      </c>
      <c r="I315" s="640">
        <v>0</v>
      </c>
      <c r="J315" s="640">
        <v>27.710201800923624</v>
      </c>
      <c r="K315" s="640">
        <v>0</v>
      </c>
      <c r="L315" s="640">
        <v>-27.710201800923624</v>
      </c>
      <c r="M315" s="640">
        <v>0</v>
      </c>
      <c r="N315" s="640">
        <v>0</v>
      </c>
      <c r="O315" s="640">
        <v>0</v>
      </c>
      <c r="P315" s="640">
        <v>0</v>
      </c>
      <c r="Q315" s="640">
        <v>0</v>
      </c>
      <c r="R315" s="640">
        <v>0</v>
      </c>
      <c r="S315" s="648">
        <v>0</v>
      </c>
      <c r="U315" s="646" t="s">
        <v>351</v>
      </c>
      <c r="V315" s="640">
        <v>0</v>
      </c>
      <c r="W315" s="640">
        <v>0</v>
      </c>
      <c r="X315" s="640">
        <v>0</v>
      </c>
      <c r="Y315" s="640">
        <v>0</v>
      </c>
      <c r="Z315" s="640">
        <v>0</v>
      </c>
      <c r="AA315" s="640">
        <v>0</v>
      </c>
      <c r="AB315" s="640" t="e">
        <v>#VALUE!</v>
      </c>
      <c r="AC315" s="640">
        <v>0</v>
      </c>
      <c r="AD315" s="640">
        <v>-101.17003146857277</v>
      </c>
      <c r="AE315" s="640">
        <v>0</v>
      </c>
      <c r="AF315" s="640">
        <v>0</v>
      </c>
      <c r="AG315" s="640">
        <v>0</v>
      </c>
      <c r="AH315" s="640">
        <v>0</v>
      </c>
      <c r="AI315" s="640">
        <v>0</v>
      </c>
      <c r="AJ315" s="640">
        <v>0</v>
      </c>
      <c r="AK315" s="648">
        <v>-101.17003146857277</v>
      </c>
    </row>
    <row r="316" spans="3:37" x14ac:dyDescent="0.2">
      <c r="C316" s="646" t="s">
        <v>352</v>
      </c>
      <c r="D316" s="640">
        <v>0</v>
      </c>
      <c r="E316" s="640">
        <v>0</v>
      </c>
      <c r="F316" s="640">
        <v>0</v>
      </c>
      <c r="G316" s="640">
        <v>0</v>
      </c>
      <c r="H316" s="640">
        <v>0</v>
      </c>
      <c r="I316" s="640">
        <v>0</v>
      </c>
      <c r="J316" s="640">
        <v>0</v>
      </c>
      <c r="K316" s="640">
        <v>0</v>
      </c>
      <c r="L316" s="640">
        <v>0</v>
      </c>
      <c r="M316" s="640">
        <v>0</v>
      </c>
      <c r="N316" s="640">
        <v>0</v>
      </c>
      <c r="O316" s="640">
        <v>0</v>
      </c>
      <c r="P316" s="640">
        <v>0</v>
      </c>
      <c r="Q316" s="640">
        <v>0</v>
      </c>
      <c r="R316" s="640">
        <v>0</v>
      </c>
      <c r="S316" s="648">
        <v>0</v>
      </c>
      <c r="U316" s="646" t="s">
        <v>352</v>
      </c>
      <c r="V316" s="640">
        <v>0</v>
      </c>
      <c r="W316" s="640">
        <v>0</v>
      </c>
      <c r="X316" s="640">
        <v>0</v>
      </c>
      <c r="Y316" s="640">
        <v>0</v>
      </c>
      <c r="Z316" s="640">
        <v>0</v>
      </c>
      <c r="AA316" s="640">
        <v>0</v>
      </c>
      <c r="AB316" s="640">
        <v>0</v>
      </c>
      <c r="AC316" s="640">
        <v>0</v>
      </c>
      <c r="AD316" s="640">
        <v>-18.691082885283098</v>
      </c>
      <c r="AE316" s="640">
        <v>0</v>
      </c>
      <c r="AF316" s="640">
        <v>0</v>
      </c>
      <c r="AG316" s="640">
        <v>0</v>
      </c>
      <c r="AH316" s="640">
        <v>0</v>
      </c>
      <c r="AI316" s="640">
        <v>0</v>
      </c>
      <c r="AJ316" s="640">
        <v>0</v>
      </c>
      <c r="AK316" s="648">
        <v>-18.691082885283098</v>
      </c>
    </row>
    <row r="317" spans="3:37" x14ac:dyDescent="0.2">
      <c r="C317" s="646" t="s">
        <v>73</v>
      </c>
      <c r="D317" s="640">
        <v>0</v>
      </c>
      <c r="E317" s="640">
        <v>0</v>
      </c>
      <c r="F317" s="640">
        <v>0</v>
      </c>
      <c r="G317" s="640">
        <v>6.2864428714474423</v>
      </c>
      <c r="H317" s="640">
        <v>0</v>
      </c>
      <c r="I317" s="640">
        <v>0</v>
      </c>
      <c r="J317" s="640">
        <v>0</v>
      </c>
      <c r="K317" s="640">
        <v>7.2564905248031233E-2</v>
      </c>
      <c r="L317" s="640">
        <v>0</v>
      </c>
      <c r="M317" s="640">
        <v>0.12829475247851924</v>
      </c>
      <c r="N317" s="640">
        <v>0</v>
      </c>
      <c r="O317" s="640">
        <v>0</v>
      </c>
      <c r="P317" s="640">
        <v>0.77416476914506349</v>
      </c>
      <c r="Q317" s="640">
        <v>0</v>
      </c>
      <c r="R317" s="640">
        <v>-5.0795433673621861</v>
      </c>
      <c r="S317" s="648">
        <v>2.1819239309568701</v>
      </c>
      <c r="U317" s="646" t="s">
        <v>73</v>
      </c>
      <c r="V317" s="640">
        <v>0</v>
      </c>
      <c r="W317" s="640">
        <v>0</v>
      </c>
      <c r="X317" s="640">
        <v>0</v>
      </c>
      <c r="Y317" s="640">
        <v>3.7837340239051791</v>
      </c>
      <c r="Z317" s="640">
        <v>0</v>
      </c>
      <c r="AA317" s="640">
        <v>0</v>
      </c>
      <c r="AB317" s="640">
        <v>0</v>
      </c>
      <c r="AC317" s="640">
        <v>0.46597709654004676</v>
      </c>
      <c r="AD317" s="640">
        <v>0</v>
      </c>
      <c r="AE317" s="640">
        <v>2.7399453276554748</v>
      </c>
      <c r="AF317" s="640">
        <v>0</v>
      </c>
      <c r="AG317" s="640">
        <v>0</v>
      </c>
      <c r="AH317" s="640">
        <v>39.864323859285086</v>
      </c>
      <c r="AI317" s="640">
        <v>0</v>
      </c>
      <c r="AJ317" s="640">
        <v>-32.618396757803268</v>
      </c>
      <c r="AK317" s="648">
        <v>14.235583549582522</v>
      </c>
    </row>
    <row r="318" spans="3:37" x14ac:dyDescent="0.2">
      <c r="C318" s="646" t="s">
        <v>353</v>
      </c>
      <c r="D318" s="640">
        <v>28.588592812499996</v>
      </c>
      <c r="E318" s="640">
        <v>-17.673140168319453</v>
      </c>
      <c r="F318" s="640">
        <v>23.11542347254851</v>
      </c>
      <c r="G318" s="640">
        <v>0</v>
      </c>
      <c r="H318" s="640">
        <v>0</v>
      </c>
      <c r="I318" s="640">
        <v>0</v>
      </c>
      <c r="J318" s="640">
        <v>0</v>
      </c>
      <c r="K318" s="640">
        <v>0</v>
      </c>
      <c r="L318" s="640">
        <v>0</v>
      </c>
      <c r="M318" s="640">
        <v>0</v>
      </c>
      <c r="N318" s="640">
        <v>0</v>
      </c>
      <c r="O318" s="640">
        <v>0</v>
      </c>
      <c r="P318" s="640">
        <v>0</v>
      </c>
      <c r="Q318" s="640">
        <v>0</v>
      </c>
      <c r="R318" s="640">
        <v>0</v>
      </c>
      <c r="S318" s="648">
        <v>34.030876116729054</v>
      </c>
      <c r="U318" s="646" t="s">
        <v>353</v>
      </c>
      <c r="V318" s="640">
        <v>1.7459712219238281</v>
      </c>
      <c r="W318" s="640">
        <v>-7.9137714199323552</v>
      </c>
      <c r="X318" s="640">
        <v>10.35074558875537</v>
      </c>
      <c r="Y318" s="640">
        <v>0</v>
      </c>
      <c r="Z318" s="640">
        <v>0</v>
      </c>
      <c r="AA318" s="640">
        <v>0</v>
      </c>
      <c r="AB318" s="640">
        <v>0</v>
      </c>
      <c r="AC318" s="640">
        <v>0</v>
      </c>
      <c r="AD318" s="640">
        <v>0</v>
      </c>
      <c r="AE318" s="640">
        <v>0</v>
      </c>
      <c r="AF318" s="640">
        <v>0</v>
      </c>
      <c r="AG318" s="640">
        <v>0</v>
      </c>
      <c r="AH318" s="640">
        <v>0</v>
      </c>
      <c r="AI318" s="640">
        <v>0</v>
      </c>
      <c r="AJ318" s="640">
        <v>0</v>
      </c>
      <c r="AK318" s="648">
        <v>4.182945390746843</v>
      </c>
    </row>
    <row r="319" spans="3:37" x14ac:dyDescent="0.2">
      <c r="C319" s="646" t="s">
        <v>75</v>
      </c>
      <c r="D319" s="640">
        <v>11.11778609375</v>
      </c>
      <c r="E319" s="640">
        <v>0</v>
      </c>
      <c r="F319" s="640">
        <v>17.34160940037118</v>
      </c>
      <c r="G319" s="640">
        <v>4.9484792471294465</v>
      </c>
      <c r="H319" s="640">
        <v>0</v>
      </c>
      <c r="I319" s="640">
        <v>0</v>
      </c>
      <c r="J319" s="640">
        <v>0</v>
      </c>
      <c r="K319" s="640">
        <v>0</v>
      </c>
      <c r="L319" s="640">
        <v>0</v>
      </c>
      <c r="M319" s="640">
        <v>0.10098937239039688</v>
      </c>
      <c r="N319" s="640">
        <v>0</v>
      </c>
      <c r="O319" s="640">
        <v>0</v>
      </c>
      <c r="P319" s="640">
        <v>29.08691491128284</v>
      </c>
      <c r="Q319" s="640">
        <v>0</v>
      </c>
      <c r="R319" s="640">
        <v>0</v>
      </c>
      <c r="S319" s="648">
        <v>62.595779024923864</v>
      </c>
      <c r="U319" s="646" t="s">
        <v>75</v>
      </c>
      <c r="V319" s="640">
        <v>2.938742431640625</v>
      </c>
      <c r="W319" s="640">
        <v>0</v>
      </c>
      <c r="X319" s="640">
        <v>17.34160940037118</v>
      </c>
      <c r="Y319" s="640">
        <v>2.9286917993215091</v>
      </c>
      <c r="Z319" s="640">
        <v>0</v>
      </c>
      <c r="AA319" s="640">
        <v>0</v>
      </c>
      <c r="AB319" s="640">
        <v>0</v>
      </c>
      <c r="AC319" s="640">
        <v>0</v>
      </c>
      <c r="AD319" s="640">
        <v>0</v>
      </c>
      <c r="AE319" s="640">
        <v>2.1207768201983344</v>
      </c>
      <c r="AF319" s="640">
        <v>0</v>
      </c>
      <c r="AG319" s="640">
        <v>0</v>
      </c>
      <c r="AH319" s="640">
        <v>36.505051274919204</v>
      </c>
      <c r="AI319" s="640">
        <v>0</v>
      </c>
      <c r="AJ319" s="640">
        <v>0</v>
      </c>
      <c r="AK319" s="648">
        <v>61.834871726450849</v>
      </c>
    </row>
    <row r="320" spans="3:37" x14ac:dyDescent="0.2">
      <c r="C320" s="646" t="s">
        <v>76</v>
      </c>
      <c r="D320" s="640">
        <v>0</v>
      </c>
      <c r="E320" s="640">
        <v>0</v>
      </c>
      <c r="F320" s="640">
        <v>0</v>
      </c>
      <c r="G320" s="640">
        <v>3.7620934008695794</v>
      </c>
      <c r="H320" s="640">
        <v>0</v>
      </c>
      <c r="I320" s="640">
        <v>0</v>
      </c>
      <c r="J320" s="640">
        <v>0</v>
      </c>
      <c r="K320" s="640">
        <v>0</v>
      </c>
      <c r="L320" s="640">
        <v>0</v>
      </c>
      <c r="M320" s="640">
        <v>7.6777416344277136E-2</v>
      </c>
      <c r="N320" s="640">
        <v>0</v>
      </c>
      <c r="O320" s="640">
        <v>0</v>
      </c>
      <c r="P320" s="640">
        <v>45.374638558517056</v>
      </c>
      <c r="Q320" s="640">
        <v>2.9442994019327013</v>
      </c>
      <c r="R320" s="640">
        <v>0</v>
      </c>
      <c r="S320" s="648">
        <v>52.157808777663611</v>
      </c>
      <c r="U320" s="646" t="s">
        <v>76</v>
      </c>
      <c r="V320" s="640">
        <v>0</v>
      </c>
      <c r="W320" s="640">
        <v>0</v>
      </c>
      <c r="X320" s="640">
        <v>0</v>
      </c>
      <c r="Y320" s="640">
        <v>1.1999362424874132</v>
      </c>
      <c r="Z320" s="640">
        <v>0</v>
      </c>
      <c r="AA320" s="640">
        <v>0</v>
      </c>
      <c r="AB320" s="640">
        <v>0</v>
      </c>
      <c r="AC320" s="640">
        <v>0</v>
      </c>
      <c r="AD320" s="640">
        <v>0</v>
      </c>
      <c r="AE320" s="640">
        <v>0.86891934800812698</v>
      </c>
      <c r="AF320" s="640">
        <v>0</v>
      </c>
      <c r="AG320" s="640">
        <v>0</v>
      </c>
      <c r="AH320" s="640">
        <v>48.340685132761017</v>
      </c>
      <c r="AI320" s="640">
        <v>5.7839036819230412</v>
      </c>
      <c r="AJ320" s="640">
        <v>0</v>
      </c>
      <c r="AK320" s="648">
        <v>56.193444405179591</v>
      </c>
    </row>
    <row r="321" spans="3:37" x14ac:dyDescent="0.2">
      <c r="C321" s="644" t="s">
        <v>77</v>
      </c>
      <c r="D321" s="645">
        <v>42.533164547275248</v>
      </c>
      <c r="E321" s="645">
        <v>492.37419513671523</v>
      </c>
      <c r="F321" s="645">
        <v>-456.72729975813655</v>
      </c>
      <c r="G321" s="645">
        <v>46.717511888597819</v>
      </c>
      <c r="H321" s="645">
        <v>889.54545454545473</v>
      </c>
      <c r="I321" s="645">
        <v>290.38619522472999</v>
      </c>
      <c r="J321" s="645">
        <v>76.404091824403224</v>
      </c>
      <c r="K321" s="645">
        <v>18.74651114985376</v>
      </c>
      <c r="L321" s="645">
        <v>-24.540793928849673</v>
      </c>
      <c r="M321" s="645">
        <v>-5.3808072382237846</v>
      </c>
      <c r="N321" s="645">
        <v>0</v>
      </c>
      <c r="O321" s="645">
        <v>9.0812335132369491</v>
      </c>
      <c r="P321" s="645">
        <v>-540.17785546008065</v>
      </c>
      <c r="Q321" s="645">
        <v>-34.989958988562719</v>
      </c>
      <c r="R321" s="645">
        <v>-5.0795433673621861</v>
      </c>
      <c r="S321" s="645">
        <v>798.89209908905127</v>
      </c>
      <c r="U321" s="644" t="s">
        <v>77</v>
      </c>
      <c r="V321" s="645">
        <v>5.3110285590231427</v>
      </c>
      <c r="W321" s="645">
        <v>220.47790015098695</v>
      </c>
      <c r="X321" s="645">
        <v>-194.51650690879191</v>
      </c>
      <c r="Y321" s="645">
        <v>19.805187226334116</v>
      </c>
      <c r="Z321" s="645">
        <v>873.030303030303</v>
      </c>
      <c r="AA321" s="645">
        <v>337.06619522473</v>
      </c>
      <c r="AB321" s="645">
        <v>131.18933095255588</v>
      </c>
      <c r="AC321" s="645">
        <v>32.128382455120146</v>
      </c>
      <c r="AD321" s="645">
        <v>-116.69170648178192</v>
      </c>
      <c r="AE321" s="645">
        <v>-58.796508116684997</v>
      </c>
      <c r="AF321" s="645">
        <v>0</v>
      </c>
      <c r="AG321" s="645">
        <v>18.805626470956682</v>
      </c>
      <c r="AH321" s="645">
        <v>-524.40351343206009</v>
      </c>
      <c r="AI321" s="645">
        <v>-68.794771845590574</v>
      </c>
      <c r="AJ321" s="645">
        <v>-28.168396757803269</v>
      </c>
      <c r="AK321" s="645">
        <v>646.44255052729716</v>
      </c>
    </row>
    <row r="322" spans="3:37" x14ac:dyDescent="0.2">
      <c r="C322" s="634"/>
      <c r="D322" s="634">
        <v>0</v>
      </c>
      <c r="E322" s="634">
        <v>0</v>
      </c>
      <c r="F322" s="634">
        <v>0</v>
      </c>
      <c r="G322" s="634">
        <v>0</v>
      </c>
      <c r="H322" s="634">
        <v>0</v>
      </c>
      <c r="I322" s="634">
        <v>0</v>
      </c>
      <c r="J322" s="634">
        <v>0</v>
      </c>
      <c r="K322" s="634">
        <v>0</v>
      </c>
      <c r="L322" s="634">
        <v>0</v>
      </c>
      <c r="M322" s="634">
        <v>0</v>
      </c>
      <c r="N322" s="634">
        <v>0</v>
      </c>
      <c r="O322" s="634">
        <v>0</v>
      </c>
      <c r="P322" s="634">
        <v>0</v>
      </c>
      <c r="Q322" s="634">
        <v>0</v>
      </c>
      <c r="R322" s="634">
        <v>0</v>
      </c>
      <c r="S322" s="634">
        <v>0</v>
      </c>
      <c r="U322" s="634"/>
      <c r="V322" s="634">
        <v>0</v>
      </c>
      <c r="W322" s="634">
        <v>0</v>
      </c>
      <c r="X322" s="634">
        <v>0</v>
      </c>
      <c r="Y322" s="634">
        <v>0</v>
      </c>
      <c r="Z322" s="634">
        <v>0</v>
      </c>
      <c r="AA322" s="634">
        <v>0</v>
      </c>
      <c r="AB322" s="634">
        <v>0</v>
      </c>
      <c r="AC322" s="634">
        <v>0</v>
      </c>
      <c r="AD322" s="634">
        <v>0</v>
      </c>
      <c r="AE322" s="634">
        <v>0</v>
      </c>
      <c r="AF322" s="634">
        <v>0</v>
      </c>
      <c r="AG322" s="634">
        <v>0</v>
      </c>
      <c r="AH322" s="634">
        <v>0</v>
      </c>
      <c r="AI322" s="634">
        <v>0</v>
      </c>
      <c r="AJ322" s="634">
        <v>0</v>
      </c>
      <c r="AK322" s="634">
        <v>0</v>
      </c>
    </row>
    <row r="323" spans="3:37" x14ac:dyDescent="0.2">
      <c r="C323" s="646" t="s">
        <v>78</v>
      </c>
      <c r="D323" s="640">
        <v>4.9901668745901624</v>
      </c>
      <c r="E323" s="640">
        <v>0</v>
      </c>
      <c r="F323" s="640">
        <v>21.091530324656198</v>
      </c>
      <c r="G323" s="640">
        <v>96.151700548391091</v>
      </c>
      <c r="H323" s="640">
        <v>0</v>
      </c>
      <c r="I323" s="640">
        <v>0</v>
      </c>
      <c r="J323" s="640">
        <v>21.387862541024852</v>
      </c>
      <c r="K323" s="640">
        <v>1.7476152779545906</v>
      </c>
      <c r="L323" s="640">
        <v>0.94211085156249985</v>
      </c>
      <c r="M323" s="640">
        <v>1.9807569399951515</v>
      </c>
      <c r="N323" s="640">
        <v>0</v>
      </c>
      <c r="O323" s="640">
        <v>3.7669078281368638E-4</v>
      </c>
      <c r="P323" s="640">
        <v>112.73505933145552</v>
      </c>
      <c r="Q323" s="640">
        <v>16.12568637832603</v>
      </c>
      <c r="R323" s="640">
        <v>0.27920700073242188</v>
      </c>
      <c r="S323" s="648">
        <v>277.43207275947128</v>
      </c>
      <c r="U323" s="646" t="s">
        <v>78</v>
      </c>
      <c r="V323" s="640">
        <v>1.2150050536449819</v>
      </c>
      <c r="W323" s="640">
        <v>0</v>
      </c>
      <c r="X323" s="640">
        <v>6.016341039248414</v>
      </c>
      <c r="Y323" s="640">
        <v>39.709503776891196</v>
      </c>
      <c r="Z323" s="640">
        <v>0</v>
      </c>
      <c r="AA323" s="640">
        <v>0</v>
      </c>
      <c r="AB323" s="640">
        <v>15.202189846170386</v>
      </c>
      <c r="AC323" s="640">
        <v>4.9835801019927617</v>
      </c>
      <c r="AD323" s="640">
        <v>5.6103854980468748</v>
      </c>
      <c r="AE323" s="640">
        <v>28.773635244370734</v>
      </c>
      <c r="AF323" s="640">
        <v>0</v>
      </c>
      <c r="AG323" s="640">
        <v>3.7669078281368638E-4</v>
      </c>
      <c r="AH323" s="640">
        <v>146.07653830614987</v>
      </c>
      <c r="AI323" s="640">
        <v>23.647869298816833</v>
      </c>
      <c r="AJ323" s="640">
        <v>7.4826708984375001</v>
      </c>
      <c r="AK323" s="648">
        <v>278.71809575455239</v>
      </c>
    </row>
    <row r="324" spans="3:37" x14ac:dyDescent="0.2">
      <c r="C324" s="646" t="s">
        <v>79</v>
      </c>
      <c r="D324" s="640">
        <v>0</v>
      </c>
      <c r="E324" s="640">
        <v>0</v>
      </c>
      <c r="F324" s="640">
        <v>235.12748928743429</v>
      </c>
      <c r="G324" s="640">
        <v>31.099379517950805</v>
      </c>
      <c r="H324" s="640">
        <v>0</v>
      </c>
      <c r="I324" s="640">
        <v>0</v>
      </c>
      <c r="J324" s="640">
        <v>0</v>
      </c>
      <c r="K324" s="640">
        <v>0</v>
      </c>
      <c r="L324" s="640">
        <v>22.716725008445675</v>
      </c>
      <c r="M324" s="640">
        <v>0.63468121465205729</v>
      </c>
      <c r="N324" s="640">
        <v>0</v>
      </c>
      <c r="O324" s="640">
        <v>0</v>
      </c>
      <c r="P324" s="640">
        <v>68.565930798083699</v>
      </c>
      <c r="Q324" s="640">
        <v>0</v>
      </c>
      <c r="R324" s="640">
        <v>2.3844112104980786</v>
      </c>
      <c r="S324" s="648">
        <v>360.52861703706463</v>
      </c>
      <c r="U324" s="646" t="s">
        <v>79</v>
      </c>
      <c r="V324" s="640">
        <v>0</v>
      </c>
      <c r="W324" s="640">
        <v>0</v>
      </c>
      <c r="X324" s="640">
        <v>35.128929389637456</v>
      </c>
      <c r="Y324" s="640">
        <v>15.137064293513523</v>
      </c>
      <c r="Z324" s="640">
        <v>0</v>
      </c>
      <c r="AA324" s="640">
        <v>0</v>
      </c>
      <c r="AB324" s="640">
        <v>0</v>
      </c>
      <c r="AC324" s="640">
        <v>0</v>
      </c>
      <c r="AD324" s="640">
        <v>37.187580566982817</v>
      </c>
      <c r="AE324" s="640">
        <v>11.036020535724948</v>
      </c>
      <c r="AF324" s="640">
        <v>0</v>
      </c>
      <c r="AG324" s="640">
        <v>0</v>
      </c>
      <c r="AH324" s="640">
        <v>89.614524523742418</v>
      </c>
      <c r="AI324" s="640">
        <v>0</v>
      </c>
      <c r="AJ324" s="640">
        <v>5.6351763144479268</v>
      </c>
      <c r="AK324" s="648">
        <v>193.73929562404911</v>
      </c>
    </row>
    <row r="325" spans="3:37" x14ac:dyDescent="0.2">
      <c r="C325" s="646" t="s">
        <v>80</v>
      </c>
      <c r="D325" s="640">
        <v>0</v>
      </c>
      <c r="E325" s="640">
        <v>0</v>
      </c>
      <c r="F325" s="640">
        <v>13.724834206032371</v>
      </c>
      <c r="G325" s="640">
        <v>79.131512261322683</v>
      </c>
      <c r="H325" s="640">
        <v>0</v>
      </c>
      <c r="I325" s="640">
        <v>0</v>
      </c>
      <c r="J325" s="640">
        <v>87.797108848078949</v>
      </c>
      <c r="K325" s="640">
        <v>0</v>
      </c>
      <c r="L325" s="640">
        <v>0</v>
      </c>
      <c r="M325" s="640">
        <v>1.6149288216596467</v>
      </c>
      <c r="N325" s="640">
        <v>57.41835645436403</v>
      </c>
      <c r="O325" s="640">
        <v>2.0533643919476137</v>
      </c>
      <c r="P325" s="640">
        <v>189.45880926265392</v>
      </c>
      <c r="Q325" s="640">
        <v>15.417775800116472</v>
      </c>
      <c r="R325" s="640">
        <v>0</v>
      </c>
      <c r="S325" s="648">
        <v>446.61669004617568</v>
      </c>
      <c r="U325" s="646" t="s">
        <v>80</v>
      </c>
      <c r="V325" s="640">
        <v>0</v>
      </c>
      <c r="W325" s="640">
        <v>0</v>
      </c>
      <c r="X325" s="640">
        <v>1.0209129157283405</v>
      </c>
      <c r="Y325" s="640">
        <v>12.832027751754538</v>
      </c>
      <c r="Z325" s="640">
        <v>0</v>
      </c>
      <c r="AA325" s="640">
        <v>0</v>
      </c>
      <c r="AB325" s="640">
        <v>53.270322236782164</v>
      </c>
      <c r="AC325" s="640">
        <v>0</v>
      </c>
      <c r="AD325" s="640">
        <v>0</v>
      </c>
      <c r="AE325" s="640">
        <v>9.2921580271325972</v>
      </c>
      <c r="AF325" s="640">
        <v>88.292344554902868</v>
      </c>
      <c r="AG325" s="640">
        <v>3.9079432862869607</v>
      </c>
      <c r="AH325" s="640">
        <v>146.88666477766319</v>
      </c>
      <c r="AI325" s="640">
        <v>32.427264426374379</v>
      </c>
      <c r="AJ325" s="640">
        <v>0</v>
      </c>
      <c r="AK325" s="648">
        <v>347.92963797662509</v>
      </c>
    </row>
    <row r="326" spans="3:37" x14ac:dyDescent="0.2">
      <c r="C326" s="646" t="s">
        <v>81</v>
      </c>
      <c r="D326" s="640">
        <v>0</v>
      </c>
      <c r="E326" s="640">
        <v>0</v>
      </c>
      <c r="F326" s="640">
        <v>3.9083972405176572</v>
      </c>
      <c r="G326" s="640">
        <v>63.089348266301698</v>
      </c>
      <c r="H326" s="640">
        <v>0</v>
      </c>
      <c r="I326" s="640">
        <v>0</v>
      </c>
      <c r="J326" s="640">
        <v>3.1804221278939271</v>
      </c>
      <c r="K326" s="640">
        <v>2.5219694682056978E-2</v>
      </c>
      <c r="L326" s="640">
        <v>0</v>
      </c>
      <c r="M326" s="640">
        <v>1.287537719720443</v>
      </c>
      <c r="N326" s="640">
        <v>8.4803330998149011</v>
      </c>
      <c r="O326" s="640">
        <v>0.72631919579288284</v>
      </c>
      <c r="P326" s="640">
        <v>140.69299872549993</v>
      </c>
      <c r="Q326" s="640">
        <v>3.4464968101202174</v>
      </c>
      <c r="R326" s="640">
        <v>0</v>
      </c>
      <c r="S326" s="648">
        <v>224.8370728803437</v>
      </c>
      <c r="U326" s="646" t="s">
        <v>81</v>
      </c>
      <c r="V326" s="640">
        <v>0</v>
      </c>
      <c r="W326" s="640">
        <v>0</v>
      </c>
      <c r="X326" s="640">
        <v>1.4952361732398858</v>
      </c>
      <c r="Y326" s="640">
        <v>10.610341518374359</v>
      </c>
      <c r="Z326" s="640">
        <v>0</v>
      </c>
      <c r="AA326" s="640">
        <v>0</v>
      </c>
      <c r="AB326" s="640">
        <v>6.9978977014468793</v>
      </c>
      <c r="AC326" s="640">
        <v>2.5219694682056978E-2</v>
      </c>
      <c r="AD326" s="640">
        <v>0</v>
      </c>
      <c r="AE326" s="640">
        <v>7.6833507546848816</v>
      </c>
      <c r="AF326" s="640">
        <v>14.732239480945108</v>
      </c>
      <c r="AG326" s="640">
        <v>1.5525732622869153</v>
      </c>
      <c r="AH326" s="640">
        <v>115.23036268987886</v>
      </c>
      <c r="AI326" s="640">
        <v>12.719638120399363</v>
      </c>
      <c r="AJ326" s="640">
        <v>0</v>
      </c>
      <c r="AK326" s="648">
        <v>171.04685939593833</v>
      </c>
    </row>
    <row r="327" spans="3:37" x14ac:dyDescent="0.2">
      <c r="C327" s="646" t="s">
        <v>82</v>
      </c>
      <c r="D327" s="640">
        <v>0</v>
      </c>
      <c r="E327" s="640">
        <v>0</v>
      </c>
      <c r="F327" s="640">
        <v>28.471648080197657</v>
      </c>
      <c r="G327" s="640">
        <v>1.0804243241036344</v>
      </c>
      <c r="H327" s="640">
        <v>0</v>
      </c>
      <c r="I327" s="640">
        <v>0</v>
      </c>
      <c r="J327" s="640">
        <v>4.3026845658747828</v>
      </c>
      <c r="K327" s="640">
        <v>0</v>
      </c>
      <c r="L327" s="640">
        <v>3.1299020072385213</v>
      </c>
      <c r="M327" s="640">
        <v>2.2049476002114991E-2</v>
      </c>
      <c r="N327" s="640">
        <v>0</v>
      </c>
      <c r="O327" s="640">
        <v>6.8830690871769351E-2</v>
      </c>
      <c r="P327" s="640">
        <v>5.9739095578527968</v>
      </c>
      <c r="Q327" s="640">
        <v>0</v>
      </c>
      <c r="R327" s="640">
        <v>0</v>
      </c>
      <c r="S327" s="648">
        <v>43.049448702141277</v>
      </c>
      <c r="U327" s="646" t="s">
        <v>82</v>
      </c>
      <c r="V327" s="640">
        <v>0</v>
      </c>
      <c r="W327" s="640">
        <v>0</v>
      </c>
      <c r="X327" s="640">
        <v>5.8604701162543282</v>
      </c>
      <c r="Y327" s="640">
        <v>0.77721189491485598</v>
      </c>
      <c r="Z327" s="640">
        <v>0</v>
      </c>
      <c r="AA327" s="640">
        <v>0</v>
      </c>
      <c r="AB327" s="640">
        <v>4.3026845658747828</v>
      </c>
      <c r="AC327" s="640">
        <v>0</v>
      </c>
      <c r="AD327" s="640">
        <v>30.776202948565647</v>
      </c>
      <c r="AE327" s="640">
        <v>0.56280861355903367</v>
      </c>
      <c r="AF327" s="640">
        <v>0</v>
      </c>
      <c r="AG327" s="640">
        <v>1.5666563685107562</v>
      </c>
      <c r="AH327" s="640">
        <v>6.0858228188406986</v>
      </c>
      <c r="AI327" s="640">
        <v>0</v>
      </c>
      <c r="AJ327" s="640">
        <v>0.36062656029870238</v>
      </c>
      <c r="AK327" s="648">
        <v>50.292483886818808</v>
      </c>
    </row>
    <row r="328" spans="3:37" x14ac:dyDescent="0.2">
      <c r="C328" s="646" t="s">
        <v>354</v>
      </c>
      <c r="D328" s="640">
        <v>0</v>
      </c>
      <c r="E328" s="640">
        <v>0</v>
      </c>
      <c r="F328" s="640">
        <v>0</v>
      </c>
      <c r="G328" s="640">
        <v>0</v>
      </c>
      <c r="H328" s="640">
        <v>0</v>
      </c>
      <c r="I328" s="640">
        <v>0</v>
      </c>
      <c r="J328" s="640">
        <v>0</v>
      </c>
      <c r="K328" s="640">
        <v>0</v>
      </c>
      <c r="L328" s="640">
        <v>0</v>
      </c>
      <c r="M328" s="640">
        <v>0</v>
      </c>
      <c r="N328" s="640">
        <v>0</v>
      </c>
      <c r="O328" s="640">
        <v>0</v>
      </c>
      <c r="P328" s="640">
        <v>0.36</v>
      </c>
      <c r="Q328" s="640">
        <v>0</v>
      </c>
      <c r="R328" s="640">
        <v>0</v>
      </c>
      <c r="S328" s="648">
        <v>0.36</v>
      </c>
      <c r="U328" s="646" t="s">
        <v>354</v>
      </c>
      <c r="V328" s="640">
        <v>0</v>
      </c>
      <c r="W328" s="640">
        <v>0</v>
      </c>
      <c r="X328" s="640">
        <v>0</v>
      </c>
      <c r="Y328" s="640">
        <v>0</v>
      </c>
      <c r="Z328" s="640">
        <v>0</v>
      </c>
      <c r="AA328" s="640">
        <v>0</v>
      </c>
      <c r="AB328" s="640">
        <v>0</v>
      </c>
      <c r="AC328" s="640">
        <v>0</v>
      </c>
      <c r="AD328" s="640">
        <v>0</v>
      </c>
      <c r="AE328" s="640">
        <v>0</v>
      </c>
      <c r="AF328" s="640">
        <v>0</v>
      </c>
      <c r="AG328" s="640">
        <v>0</v>
      </c>
      <c r="AH328" s="640">
        <v>3.12</v>
      </c>
      <c r="AI328" s="640">
        <v>0</v>
      </c>
      <c r="AJ328" s="640">
        <v>0</v>
      </c>
      <c r="AK328" s="648">
        <v>3.12</v>
      </c>
    </row>
    <row r="329" spans="3:37" x14ac:dyDescent="0.2">
      <c r="C329" s="644" t="s">
        <v>83</v>
      </c>
      <c r="D329" s="645">
        <v>4.9901668745901624</v>
      </c>
      <c r="E329" s="645">
        <v>0</v>
      </c>
      <c r="F329" s="645">
        <v>302.32389913883821</v>
      </c>
      <c r="G329" s="645">
        <v>270.55236491806994</v>
      </c>
      <c r="H329" s="645">
        <v>0</v>
      </c>
      <c r="I329" s="645">
        <v>0</v>
      </c>
      <c r="J329" s="645">
        <v>116.66807808287251</v>
      </c>
      <c r="K329" s="645">
        <v>1.7728349726366477</v>
      </c>
      <c r="L329" s="645">
        <v>26.788737867246695</v>
      </c>
      <c r="M329" s="645">
        <v>5.5399541720294136</v>
      </c>
      <c r="N329" s="645">
        <v>65.898689554178929</v>
      </c>
      <c r="O329" s="645">
        <v>2.8488909693950797</v>
      </c>
      <c r="P329" s="645">
        <v>517.78670767554593</v>
      </c>
      <c r="Q329" s="645">
        <v>34.989958988562719</v>
      </c>
      <c r="R329" s="645">
        <v>2.6636182112305002</v>
      </c>
      <c r="S329" s="645">
        <v>1352.8239014251965</v>
      </c>
      <c r="U329" s="644" t="s">
        <v>83</v>
      </c>
      <c r="V329" s="645">
        <v>1.2150050536449819</v>
      </c>
      <c r="W329" s="645">
        <v>0</v>
      </c>
      <c r="X329" s="645">
        <v>49.521889634108419</v>
      </c>
      <c r="Y329" s="645">
        <v>79.066149235448464</v>
      </c>
      <c r="Z329" s="645">
        <v>0</v>
      </c>
      <c r="AA329" s="645">
        <v>0</v>
      </c>
      <c r="AB329" s="645">
        <v>79.773094350274206</v>
      </c>
      <c r="AC329" s="645">
        <v>5.0087997966748192</v>
      </c>
      <c r="AD329" s="645">
        <v>73.574169013595338</v>
      </c>
      <c r="AE329" s="645">
        <v>57.347973175472191</v>
      </c>
      <c r="AF329" s="645">
        <v>103.02458403584798</v>
      </c>
      <c r="AG329" s="645">
        <v>7.0275496078674458</v>
      </c>
      <c r="AH329" s="645">
        <v>507.01391311627498</v>
      </c>
      <c r="AI329" s="645">
        <v>68.794771845590574</v>
      </c>
      <c r="AJ329" s="645">
        <v>13.478473773184128</v>
      </c>
      <c r="AK329" s="645">
        <v>1044.8463726379837</v>
      </c>
    </row>
    <row r="330" spans="3:37" x14ac:dyDescent="0.2">
      <c r="C330" s="639" t="s">
        <v>84</v>
      </c>
      <c r="D330" s="640">
        <v>0</v>
      </c>
      <c r="E330" s="640">
        <v>0</v>
      </c>
      <c r="F330" s="640">
        <v>106.83242416715484</v>
      </c>
      <c r="G330" s="640">
        <v>11.6186457489655</v>
      </c>
      <c r="H330" s="640">
        <v>0</v>
      </c>
      <c r="I330" s="640">
        <v>0</v>
      </c>
      <c r="J330" s="640">
        <v>0</v>
      </c>
      <c r="K330" s="640">
        <v>0</v>
      </c>
      <c r="L330" s="640">
        <v>0</v>
      </c>
      <c r="M330" s="640">
        <v>0</v>
      </c>
      <c r="N330" s="640">
        <v>0</v>
      </c>
      <c r="O330" s="640">
        <v>0</v>
      </c>
      <c r="P330" s="640">
        <v>0</v>
      </c>
      <c r="Q330" s="640">
        <v>0</v>
      </c>
      <c r="R330" s="640">
        <v>2.4159251561316859</v>
      </c>
      <c r="S330" s="648">
        <v>120.86699507225204</v>
      </c>
      <c r="U330" s="639" t="s">
        <v>84</v>
      </c>
      <c r="V330" s="640">
        <v>0</v>
      </c>
      <c r="W330" s="640">
        <v>0</v>
      </c>
      <c r="X330" s="640">
        <v>75.791608178670685</v>
      </c>
      <c r="Y330" s="640">
        <v>0.94004440148578539</v>
      </c>
      <c r="Z330" s="640">
        <v>0</v>
      </c>
      <c r="AA330" s="640">
        <v>0</v>
      </c>
      <c r="AB330" s="640">
        <v>0</v>
      </c>
      <c r="AC330" s="640">
        <v>0</v>
      </c>
      <c r="AD330" s="640">
        <v>21.99170920776367</v>
      </c>
      <c r="AE330" s="640">
        <v>0</v>
      </c>
      <c r="AF330" s="640">
        <v>0</v>
      </c>
      <c r="AG330" s="640">
        <v>0</v>
      </c>
      <c r="AH330" s="640">
        <v>0</v>
      </c>
      <c r="AI330" s="640">
        <v>0</v>
      </c>
      <c r="AJ330" s="640">
        <v>14.689922984619141</v>
      </c>
      <c r="AK330" s="648">
        <v>113.41328477253928</v>
      </c>
    </row>
    <row r="331" spans="3:37" x14ac:dyDescent="0.2">
      <c r="C331" s="644" t="s">
        <v>85</v>
      </c>
      <c r="D331" s="645">
        <v>4.9901668745901624</v>
      </c>
      <c r="E331" s="645">
        <v>0</v>
      </c>
      <c r="F331" s="645">
        <v>409.15632330599311</v>
      </c>
      <c r="G331" s="645">
        <v>282.17101066703543</v>
      </c>
      <c r="H331" s="645">
        <v>0</v>
      </c>
      <c r="I331" s="645">
        <v>0</v>
      </c>
      <c r="J331" s="645">
        <v>116.66807808287251</v>
      </c>
      <c r="K331" s="645">
        <v>1.7728349726366477</v>
      </c>
      <c r="L331" s="645">
        <v>26.788737867246695</v>
      </c>
      <c r="M331" s="645">
        <v>5.5399541720294136</v>
      </c>
      <c r="N331" s="645">
        <v>65.898689554178929</v>
      </c>
      <c r="O331" s="645">
        <v>2.8488909693950797</v>
      </c>
      <c r="P331" s="645">
        <v>517.78670767554593</v>
      </c>
      <c r="Q331" s="645">
        <v>34.989958988562719</v>
      </c>
      <c r="R331" s="645">
        <v>5.0795433673621861</v>
      </c>
      <c r="S331" s="645">
        <v>1473.6908964974484</v>
      </c>
      <c r="U331" s="644" t="s">
        <v>85</v>
      </c>
      <c r="V331" s="645">
        <v>1.2150050536449819</v>
      </c>
      <c r="W331" s="645">
        <v>0</v>
      </c>
      <c r="X331" s="645">
        <v>125.31349781277912</v>
      </c>
      <c r="Y331" s="645">
        <v>80.006193636934256</v>
      </c>
      <c r="Z331" s="645">
        <v>0</v>
      </c>
      <c r="AA331" s="645">
        <v>0</v>
      </c>
      <c r="AB331" s="645">
        <v>79.773094350274206</v>
      </c>
      <c r="AC331" s="645">
        <v>5.0087997966748192</v>
      </c>
      <c r="AD331" s="645">
        <v>95.565878221359014</v>
      </c>
      <c r="AE331" s="645">
        <v>57.347973175472191</v>
      </c>
      <c r="AF331" s="645">
        <v>103.02458403584798</v>
      </c>
      <c r="AG331" s="645">
        <v>7.0275496078674458</v>
      </c>
      <c r="AH331" s="645">
        <v>507.01391311627498</v>
      </c>
      <c r="AI331" s="645">
        <v>68.794771845590574</v>
      </c>
      <c r="AJ331" s="645">
        <v>28.168396757803269</v>
      </c>
      <c r="AK331" s="645">
        <v>1158.2596574105228</v>
      </c>
    </row>
    <row r="332" spans="3:37" x14ac:dyDescent="0.2">
      <c r="C332" s="634"/>
      <c r="D332" s="634"/>
      <c r="E332" s="634"/>
      <c r="F332" s="634"/>
      <c r="G332" s="634"/>
      <c r="H332" s="634"/>
      <c r="I332" s="634"/>
      <c r="J332" s="634"/>
      <c r="K332" s="634"/>
      <c r="L332" s="634"/>
      <c r="M332" s="634"/>
      <c r="N332" s="634"/>
      <c r="O332" s="634"/>
      <c r="P332" s="634"/>
      <c r="Q332" s="634"/>
      <c r="R332" s="634"/>
      <c r="S332" s="634"/>
      <c r="U332" s="634"/>
      <c r="V332" s="634"/>
      <c r="W332" s="634"/>
      <c r="X332" s="634"/>
      <c r="Y332" s="634"/>
      <c r="Z332" s="634"/>
      <c r="AA332" s="634"/>
      <c r="AB332" s="634"/>
      <c r="AC332" s="634"/>
      <c r="AD332" s="634"/>
      <c r="AE332" s="634"/>
      <c r="AF332" s="634"/>
      <c r="AG332" s="634"/>
      <c r="AH332" s="634"/>
      <c r="AI332" s="634"/>
      <c r="AJ332" s="634"/>
      <c r="AK332" s="634"/>
    </row>
    <row r="333" spans="3:37" ht="22.5" x14ac:dyDescent="0.3">
      <c r="C333" s="759" t="s">
        <v>361</v>
      </c>
      <c r="D333" s="759"/>
      <c r="E333" s="759"/>
      <c r="F333" s="759"/>
      <c r="G333" s="759"/>
      <c r="H333" s="759"/>
      <c r="I333" s="759"/>
      <c r="J333" s="759"/>
      <c r="K333" s="759"/>
      <c r="L333" s="759"/>
      <c r="M333" s="759"/>
      <c r="N333" s="759"/>
      <c r="O333" s="759"/>
      <c r="P333" s="759"/>
      <c r="Q333" s="759"/>
      <c r="R333" s="759"/>
      <c r="S333" s="759"/>
      <c r="U333" s="759" t="s">
        <v>361</v>
      </c>
      <c r="V333" s="759"/>
      <c r="W333" s="759"/>
      <c r="X333" s="759"/>
      <c r="Y333" s="759"/>
      <c r="Z333" s="759"/>
      <c r="AA333" s="759"/>
      <c r="AB333" s="759"/>
      <c r="AC333" s="759"/>
      <c r="AD333" s="759"/>
      <c r="AE333" s="759"/>
      <c r="AF333" s="759"/>
      <c r="AG333" s="759"/>
      <c r="AH333" s="759"/>
      <c r="AI333" s="759"/>
      <c r="AJ333" s="759"/>
      <c r="AK333" s="759"/>
    </row>
    <row r="334" spans="3:37" x14ac:dyDescent="0.2">
      <c r="C334" s="634"/>
      <c r="D334" s="634"/>
      <c r="E334" s="634"/>
      <c r="F334" s="634"/>
      <c r="G334" s="634"/>
      <c r="H334" s="634"/>
      <c r="I334" s="634"/>
      <c r="J334" s="634"/>
      <c r="K334" s="634"/>
      <c r="L334" s="634"/>
      <c r="M334" s="634"/>
      <c r="N334" s="634"/>
      <c r="O334" s="634"/>
      <c r="P334" s="634"/>
      <c r="Q334" s="634"/>
      <c r="R334" s="634"/>
      <c r="S334" s="634"/>
      <c r="U334" s="634"/>
      <c r="V334" s="634"/>
      <c r="W334" s="634"/>
      <c r="X334" s="634"/>
      <c r="Y334" s="634"/>
      <c r="Z334" s="634"/>
      <c r="AA334" s="634"/>
      <c r="AB334" s="634"/>
      <c r="AC334" s="634"/>
      <c r="AD334" s="634"/>
      <c r="AE334" s="634"/>
      <c r="AF334" s="634"/>
      <c r="AG334" s="634"/>
      <c r="AH334" s="634"/>
      <c r="AI334" s="634"/>
      <c r="AJ334" s="634"/>
      <c r="AK334" s="634"/>
    </row>
    <row r="335" spans="3:37" ht="12.95" customHeight="1" x14ac:dyDescent="0.2">
      <c r="C335" s="758" t="s">
        <v>128</v>
      </c>
      <c r="D335" s="757" t="s">
        <v>42</v>
      </c>
      <c r="E335" s="757" t="s">
        <v>52</v>
      </c>
      <c r="F335" s="757" t="s">
        <v>53</v>
      </c>
      <c r="G335" s="757" t="s">
        <v>32</v>
      </c>
      <c r="H335" s="757" t="s">
        <v>20</v>
      </c>
      <c r="I335" s="757" t="s">
        <v>55</v>
      </c>
      <c r="J335" s="757" t="s">
        <v>56</v>
      </c>
      <c r="K335" s="757"/>
      <c r="L335" s="757"/>
      <c r="M335" s="757"/>
      <c r="N335" s="757"/>
      <c r="O335" s="757"/>
      <c r="P335" s="757" t="s">
        <v>57</v>
      </c>
      <c r="Q335" s="757" t="s">
        <v>58</v>
      </c>
      <c r="R335" s="757" t="s">
        <v>31</v>
      </c>
      <c r="S335" s="757" t="s">
        <v>10</v>
      </c>
      <c r="U335" s="758" t="s">
        <v>128</v>
      </c>
      <c r="V335" s="757" t="s">
        <v>42</v>
      </c>
      <c r="W335" s="757" t="s">
        <v>52</v>
      </c>
      <c r="X335" s="757" t="s">
        <v>53</v>
      </c>
      <c r="Y335" s="757" t="s">
        <v>32</v>
      </c>
      <c r="Z335" s="757" t="s">
        <v>20</v>
      </c>
      <c r="AA335" s="757" t="s">
        <v>55</v>
      </c>
      <c r="AB335" s="757" t="s">
        <v>56</v>
      </c>
      <c r="AC335" s="757"/>
      <c r="AD335" s="757"/>
      <c r="AE335" s="757"/>
      <c r="AF335" s="757"/>
      <c r="AG335" s="757"/>
      <c r="AH335" s="757" t="s">
        <v>57</v>
      </c>
      <c r="AI335" s="757" t="s">
        <v>58</v>
      </c>
      <c r="AJ335" s="757" t="s">
        <v>31</v>
      </c>
      <c r="AK335" s="757" t="s">
        <v>10</v>
      </c>
    </row>
    <row r="336" spans="3:37" ht="56.25" x14ac:dyDescent="0.2">
      <c r="C336" s="758"/>
      <c r="D336" s="757"/>
      <c r="E336" s="757"/>
      <c r="F336" s="757"/>
      <c r="G336" s="757"/>
      <c r="H336" s="757"/>
      <c r="I336" s="757"/>
      <c r="J336" s="638" t="s">
        <v>335</v>
      </c>
      <c r="K336" s="638" t="s">
        <v>40</v>
      </c>
      <c r="L336" s="638" t="s">
        <v>343</v>
      </c>
      <c r="M336" s="638" t="s">
        <v>344</v>
      </c>
      <c r="N336" s="638" t="s">
        <v>345</v>
      </c>
      <c r="O336" s="638" t="s">
        <v>346</v>
      </c>
      <c r="P336" s="757"/>
      <c r="Q336" s="757"/>
      <c r="R336" s="757"/>
      <c r="S336" s="757"/>
      <c r="U336" s="758"/>
      <c r="V336" s="757"/>
      <c r="W336" s="757"/>
      <c r="X336" s="757"/>
      <c r="Y336" s="757"/>
      <c r="Z336" s="757"/>
      <c r="AA336" s="757"/>
      <c r="AB336" s="638" t="s">
        <v>335</v>
      </c>
      <c r="AC336" s="638" t="s">
        <v>40</v>
      </c>
      <c r="AD336" s="638" t="s">
        <v>343</v>
      </c>
      <c r="AE336" s="638" t="s">
        <v>344</v>
      </c>
      <c r="AF336" s="638" t="s">
        <v>345</v>
      </c>
      <c r="AG336" s="638" t="s">
        <v>346</v>
      </c>
      <c r="AH336" s="757"/>
      <c r="AI336" s="757"/>
      <c r="AJ336" s="757"/>
      <c r="AK336" s="757"/>
    </row>
    <row r="337" spans="3:37" x14ac:dyDescent="0.2">
      <c r="C337" s="639" t="s">
        <v>59</v>
      </c>
      <c r="D337" s="640">
        <v>0</v>
      </c>
      <c r="E337" s="641">
        <v>0</v>
      </c>
      <c r="F337" s="641">
        <v>0</v>
      </c>
      <c r="G337" s="640">
        <v>0</v>
      </c>
      <c r="H337" s="641">
        <v>843.18181818181824</v>
      </c>
      <c r="I337" s="641">
        <v>306.94588327561422</v>
      </c>
      <c r="J337" s="641">
        <v>187.92158364867245</v>
      </c>
      <c r="K337" s="641">
        <v>20.316638839186872</v>
      </c>
      <c r="L337" s="641">
        <v>0.58650482505924006</v>
      </c>
      <c r="M337" s="641">
        <v>0.15964026893196048</v>
      </c>
      <c r="N337" s="641">
        <v>67.964408038916218</v>
      </c>
      <c r="O337" s="641">
        <v>11.973026235836867</v>
      </c>
      <c r="P337" s="642">
        <v>0</v>
      </c>
      <c r="Q337" s="641">
        <v>0</v>
      </c>
      <c r="R337" s="641">
        <v>0</v>
      </c>
      <c r="S337" s="643">
        <v>1439.0495033140362</v>
      </c>
      <c r="U337" s="639" t="s">
        <v>59</v>
      </c>
      <c r="V337" s="640">
        <v>0</v>
      </c>
      <c r="W337" s="641">
        <v>0</v>
      </c>
      <c r="X337" s="641">
        <v>0</v>
      </c>
      <c r="Y337" s="640">
        <v>0</v>
      </c>
      <c r="Z337" s="641">
        <v>842.12121212121212</v>
      </c>
      <c r="AA337" s="641">
        <v>361.66588327561419</v>
      </c>
      <c r="AB337" s="641">
        <v>209.7499476733077</v>
      </c>
      <c r="AC337" s="641">
        <v>36.742499370225779</v>
      </c>
      <c r="AD337" s="641">
        <v>0.58650482505924006</v>
      </c>
      <c r="AE337" s="641">
        <v>0.15964026893196048</v>
      </c>
      <c r="AF337" s="641">
        <v>109.8518848230913</v>
      </c>
      <c r="AG337" s="641">
        <v>27.041217028647232</v>
      </c>
      <c r="AH337" s="642">
        <v>0</v>
      </c>
      <c r="AI337" s="641">
        <v>0</v>
      </c>
      <c r="AJ337" s="641">
        <v>0</v>
      </c>
      <c r="AK337" s="643">
        <v>1587.9187893860897</v>
      </c>
    </row>
    <row r="338" spans="3:37" x14ac:dyDescent="0.2">
      <c r="C338" s="639" t="s">
        <v>60</v>
      </c>
      <c r="D338" s="640">
        <v>47.14481987923083</v>
      </c>
      <c r="E338" s="641">
        <v>484.495467583368</v>
      </c>
      <c r="F338" s="641">
        <v>50.019697053221719</v>
      </c>
      <c r="G338" s="640">
        <v>326.09010493911637</v>
      </c>
      <c r="H338" s="641">
        <v>0</v>
      </c>
      <c r="I338" s="641">
        <v>0</v>
      </c>
      <c r="J338" s="641">
        <v>5.0764589906360387</v>
      </c>
      <c r="K338" s="641">
        <v>0</v>
      </c>
      <c r="L338" s="641">
        <v>2.7571319279134792</v>
      </c>
      <c r="M338" s="641">
        <v>0</v>
      </c>
      <c r="N338" s="641">
        <v>0</v>
      </c>
      <c r="O338" s="641">
        <v>0</v>
      </c>
      <c r="P338" s="642">
        <v>0</v>
      </c>
      <c r="Q338" s="641">
        <v>0</v>
      </c>
      <c r="R338" s="641">
        <v>0</v>
      </c>
      <c r="S338" s="643">
        <v>915.58368037348657</v>
      </c>
      <c r="U338" s="639" t="s">
        <v>60</v>
      </c>
      <c r="V338" s="640">
        <v>5.8768320762591904</v>
      </c>
      <c r="W338" s="641">
        <v>189.94114801549574</v>
      </c>
      <c r="X338" s="641">
        <v>14.41607041492888</v>
      </c>
      <c r="Y338" s="640">
        <v>81.728531694283333</v>
      </c>
      <c r="Z338" s="641">
        <v>0</v>
      </c>
      <c r="AA338" s="641">
        <v>0</v>
      </c>
      <c r="AB338" s="641">
        <v>5.0764589906360387</v>
      </c>
      <c r="AC338" s="641">
        <v>0</v>
      </c>
      <c r="AD338" s="641">
        <v>2.7571319279134792</v>
      </c>
      <c r="AE338" s="641">
        <v>0</v>
      </c>
      <c r="AF338" s="641">
        <v>0</v>
      </c>
      <c r="AG338" s="641">
        <v>0</v>
      </c>
      <c r="AH338" s="642">
        <v>0</v>
      </c>
      <c r="AI338" s="641">
        <v>0</v>
      </c>
      <c r="AJ338" s="641">
        <v>0</v>
      </c>
      <c r="AK338" s="643">
        <v>299.79617311951665</v>
      </c>
    </row>
    <row r="339" spans="3:37" x14ac:dyDescent="0.2">
      <c r="C339" s="639" t="s">
        <v>61</v>
      </c>
      <c r="D339" s="640">
        <v>0</v>
      </c>
      <c r="E339" s="641">
        <v>0</v>
      </c>
      <c r="F339" s="641">
        <v>0</v>
      </c>
      <c r="G339" s="640">
        <v>0</v>
      </c>
      <c r="H339" s="641">
        <v>0</v>
      </c>
      <c r="I339" s="641">
        <v>0</v>
      </c>
      <c r="J339" s="641">
        <v>0</v>
      </c>
      <c r="K339" s="641">
        <v>0</v>
      </c>
      <c r="L339" s="641">
        <v>0</v>
      </c>
      <c r="M339" s="641">
        <v>0</v>
      </c>
      <c r="N339" s="641">
        <v>0</v>
      </c>
      <c r="O339" s="641">
        <v>0</v>
      </c>
      <c r="P339" s="642">
        <v>-16.706363002811486</v>
      </c>
      <c r="Q339" s="641">
        <v>0</v>
      </c>
      <c r="R339" s="641">
        <v>0</v>
      </c>
      <c r="S339" s="643">
        <v>-16.706363002811486</v>
      </c>
      <c r="U339" s="639" t="s">
        <v>61</v>
      </c>
      <c r="V339" s="640">
        <v>0</v>
      </c>
      <c r="W339" s="641">
        <v>0</v>
      </c>
      <c r="X339" s="641">
        <v>-18.378136852904419</v>
      </c>
      <c r="Y339" s="640">
        <v>0</v>
      </c>
      <c r="Z339" s="641">
        <v>0</v>
      </c>
      <c r="AA339" s="641">
        <v>0</v>
      </c>
      <c r="AB339" s="641">
        <v>0</v>
      </c>
      <c r="AC339" s="641">
        <v>0</v>
      </c>
      <c r="AD339" s="641">
        <v>0</v>
      </c>
      <c r="AE339" s="641">
        <v>0</v>
      </c>
      <c r="AF339" s="641">
        <v>0</v>
      </c>
      <c r="AG339" s="641">
        <v>0</v>
      </c>
      <c r="AH339" s="642">
        <v>-20.522831714543145</v>
      </c>
      <c r="AI339" s="641">
        <v>0</v>
      </c>
      <c r="AJ339" s="641">
        <v>0</v>
      </c>
      <c r="AK339" s="643">
        <v>-38.900968567447563</v>
      </c>
    </row>
    <row r="340" spans="3:37" x14ac:dyDescent="0.2">
      <c r="C340" s="639" t="s">
        <v>62</v>
      </c>
      <c r="D340" s="640">
        <v>0</v>
      </c>
      <c r="E340" s="641">
        <v>0</v>
      </c>
      <c r="F340" s="641">
        <v>-15.257294848391862</v>
      </c>
      <c r="G340" s="640">
        <v>0</v>
      </c>
      <c r="H340" s="641">
        <v>0</v>
      </c>
      <c r="I340" s="641">
        <v>0</v>
      </c>
      <c r="J340" s="641">
        <v>0</v>
      </c>
      <c r="K340" s="641">
        <v>0</v>
      </c>
      <c r="L340" s="641">
        <v>0</v>
      </c>
      <c r="M340" s="641">
        <v>0</v>
      </c>
      <c r="N340" s="641">
        <v>0</v>
      </c>
      <c r="O340" s="641">
        <v>0</v>
      </c>
      <c r="P340" s="642">
        <v>0</v>
      </c>
      <c r="Q340" s="641">
        <v>0</v>
      </c>
      <c r="R340" s="641">
        <v>0</v>
      </c>
      <c r="S340" s="643">
        <v>-15.257294848391862</v>
      </c>
      <c r="U340" s="639" t="s">
        <v>62</v>
      </c>
      <c r="V340" s="640">
        <v>0</v>
      </c>
      <c r="W340" s="641">
        <v>0</v>
      </c>
      <c r="X340" s="641">
        <v>-7.5188933675233587</v>
      </c>
      <c r="Y340" s="640">
        <v>-2.1851276585702322</v>
      </c>
      <c r="Z340" s="641">
        <v>0</v>
      </c>
      <c r="AA340" s="641">
        <v>0</v>
      </c>
      <c r="AB340" s="641">
        <v>0</v>
      </c>
      <c r="AC340" s="641">
        <v>0</v>
      </c>
      <c r="AD340" s="641">
        <v>0</v>
      </c>
      <c r="AE340" s="641">
        <v>-2.1851276585702322</v>
      </c>
      <c r="AF340" s="641">
        <v>0</v>
      </c>
      <c r="AG340" s="641">
        <v>0</v>
      </c>
      <c r="AH340" s="642">
        <v>0</v>
      </c>
      <c r="AI340" s="641">
        <v>0</v>
      </c>
      <c r="AJ340" s="641">
        <v>0</v>
      </c>
      <c r="AK340" s="643">
        <v>-11.889148684663823</v>
      </c>
    </row>
    <row r="341" spans="3:37" x14ac:dyDescent="0.2">
      <c r="C341" s="639" t="s">
        <v>63</v>
      </c>
      <c r="D341" s="640">
        <v>0</v>
      </c>
      <c r="E341" s="641">
        <v>0</v>
      </c>
      <c r="F341" s="641">
        <v>-90.982589622358091</v>
      </c>
      <c r="G341" s="640">
        <v>0</v>
      </c>
      <c r="H341" s="641">
        <v>0</v>
      </c>
      <c r="I341" s="641">
        <v>0</v>
      </c>
      <c r="J341" s="641">
        <v>0</v>
      </c>
      <c r="K341" s="641">
        <v>0</v>
      </c>
      <c r="L341" s="641">
        <v>-0.93561585486744514</v>
      </c>
      <c r="M341" s="641">
        <v>0</v>
      </c>
      <c r="N341" s="641">
        <v>0</v>
      </c>
      <c r="O341" s="641">
        <v>0</v>
      </c>
      <c r="P341" s="642">
        <v>0</v>
      </c>
      <c r="Q341" s="641">
        <v>0</v>
      </c>
      <c r="R341" s="641">
        <v>0</v>
      </c>
      <c r="S341" s="643">
        <v>-91.918205477225541</v>
      </c>
      <c r="U341" s="639" t="s">
        <v>63</v>
      </c>
      <c r="V341" s="640">
        <v>0</v>
      </c>
      <c r="W341" s="641">
        <v>0</v>
      </c>
      <c r="X341" s="641">
        <v>-53.656928796434556</v>
      </c>
      <c r="Y341" s="640">
        <v>0</v>
      </c>
      <c r="Z341" s="641">
        <v>0</v>
      </c>
      <c r="AA341" s="641">
        <v>0</v>
      </c>
      <c r="AB341" s="641">
        <v>0</v>
      </c>
      <c r="AC341" s="641">
        <v>0</v>
      </c>
      <c r="AD341" s="641">
        <v>-28.297456853591466</v>
      </c>
      <c r="AE341" s="641">
        <v>0</v>
      </c>
      <c r="AF341" s="641">
        <v>0</v>
      </c>
      <c r="AG341" s="641">
        <v>0</v>
      </c>
      <c r="AH341" s="642">
        <v>0</v>
      </c>
      <c r="AI341" s="641">
        <v>0</v>
      </c>
      <c r="AJ341" s="641">
        <v>0</v>
      </c>
      <c r="AK341" s="643">
        <v>-81.954385650026026</v>
      </c>
    </row>
    <row r="342" spans="3:37" x14ac:dyDescent="0.2">
      <c r="C342" s="639" t="s">
        <v>64</v>
      </c>
      <c r="D342" s="640">
        <v>0</v>
      </c>
      <c r="E342" s="641">
        <v>0</v>
      </c>
      <c r="F342" s="641">
        <v>0</v>
      </c>
      <c r="G342" s="640">
        <v>0</v>
      </c>
      <c r="H342" s="641">
        <v>0</v>
      </c>
      <c r="I342" s="641">
        <v>0</v>
      </c>
      <c r="J342" s="641">
        <v>0</v>
      </c>
      <c r="K342" s="641">
        <v>0</v>
      </c>
      <c r="L342" s="641">
        <v>0</v>
      </c>
      <c r="M342" s="641">
        <v>0</v>
      </c>
      <c r="N342" s="641">
        <v>0</v>
      </c>
      <c r="O342" s="641">
        <v>0</v>
      </c>
      <c r="P342" s="642">
        <v>0</v>
      </c>
      <c r="Q342" s="641">
        <v>0</v>
      </c>
      <c r="R342" s="641">
        <v>0</v>
      </c>
      <c r="S342" s="643">
        <v>0</v>
      </c>
      <c r="U342" s="639" t="s">
        <v>64</v>
      </c>
      <c r="V342" s="640">
        <v>0</v>
      </c>
      <c r="W342" s="641">
        <v>0</v>
      </c>
      <c r="X342" s="641">
        <v>0</v>
      </c>
      <c r="Y342" s="640">
        <v>0</v>
      </c>
      <c r="Z342" s="641">
        <v>0</v>
      </c>
      <c r="AA342" s="641">
        <v>0</v>
      </c>
      <c r="AB342" s="641">
        <v>0</v>
      </c>
      <c r="AC342" s="641">
        <v>0</v>
      </c>
      <c r="AD342" s="641">
        <v>0</v>
      </c>
      <c r="AE342" s="641">
        <v>0</v>
      </c>
      <c r="AF342" s="641">
        <v>0</v>
      </c>
      <c r="AG342" s="641">
        <v>0</v>
      </c>
      <c r="AH342" s="642">
        <v>0</v>
      </c>
      <c r="AI342" s="641">
        <v>0</v>
      </c>
      <c r="AJ342" s="641">
        <v>0</v>
      </c>
      <c r="AK342" s="643">
        <v>0</v>
      </c>
    </row>
    <row r="343" spans="3:37" x14ac:dyDescent="0.2">
      <c r="C343" s="644" t="s">
        <v>65</v>
      </c>
      <c r="D343" s="645">
        <v>47.14481987923083</v>
      </c>
      <c r="E343" s="645">
        <v>484.495467583368</v>
      </c>
      <c r="F343" s="645">
        <v>-56.220187417528237</v>
      </c>
      <c r="G343" s="645">
        <v>326.09010493911637</v>
      </c>
      <c r="H343" s="645">
        <v>843.18181818181824</v>
      </c>
      <c r="I343" s="645">
        <v>306.94588327561422</v>
      </c>
      <c r="J343" s="645">
        <v>192.99804263930849</v>
      </c>
      <c r="K343" s="645">
        <v>20.316638839186872</v>
      </c>
      <c r="L343" s="645">
        <v>2.4080208981052738</v>
      </c>
      <c r="M343" s="645">
        <v>0.15964026893196048</v>
      </c>
      <c r="N343" s="645">
        <v>67.964408038916218</v>
      </c>
      <c r="O343" s="645">
        <v>11.973026235836867</v>
      </c>
      <c r="P343" s="645">
        <v>-16.706363002811486</v>
      </c>
      <c r="Q343" s="645">
        <v>0</v>
      </c>
      <c r="R343" s="645">
        <v>0</v>
      </c>
      <c r="S343" s="645">
        <v>2230.7513203590943</v>
      </c>
      <c r="U343" s="644" t="s">
        <v>65</v>
      </c>
      <c r="V343" s="645">
        <v>5.8768320762591904</v>
      </c>
      <c r="W343" s="645">
        <v>189.94114801549574</v>
      </c>
      <c r="X343" s="645">
        <v>-65.137888601933454</v>
      </c>
      <c r="Y343" s="645">
        <v>79.543404035713095</v>
      </c>
      <c r="Z343" s="645">
        <v>842.12121212121212</v>
      </c>
      <c r="AA343" s="645">
        <v>361.66588327561419</v>
      </c>
      <c r="AB343" s="645">
        <v>214.82640666394374</v>
      </c>
      <c r="AC343" s="645">
        <v>36.742499370225779</v>
      </c>
      <c r="AD343" s="645">
        <v>-24.953820100618749</v>
      </c>
      <c r="AE343" s="645">
        <v>-2.0254873896382719</v>
      </c>
      <c r="AF343" s="645">
        <v>109.8518848230913</v>
      </c>
      <c r="AG343" s="645">
        <v>27.041217028647232</v>
      </c>
      <c r="AH343" s="645">
        <v>-20.522831714543145</v>
      </c>
      <c r="AI343" s="645">
        <v>0</v>
      </c>
      <c r="AJ343" s="645">
        <v>0</v>
      </c>
      <c r="AK343" s="645">
        <v>1754.970459603469</v>
      </c>
    </row>
    <row r="344" spans="3:37" x14ac:dyDescent="0.2">
      <c r="C344" s="634"/>
      <c r="D344" s="634">
        <v>0</v>
      </c>
      <c r="E344" s="634">
        <v>0</v>
      </c>
      <c r="F344" s="634">
        <v>0</v>
      </c>
      <c r="G344" s="634">
        <v>0</v>
      </c>
      <c r="H344" s="634">
        <v>0</v>
      </c>
      <c r="I344" s="634">
        <v>0</v>
      </c>
      <c r="J344" s="634">
        <v>0</v>
      </c>
      <c r="K344" s="634">
        <v>0</v>
      </c>
      <c r="L344" s="634">
        <v>0</v>
      </c>
      <c r="M344" s="634">
        <v>0</v>
      </c>
      <c r="N344" s="634">
        <v>0</v>
      </c>
      <c r="O344" s="634">
        <v>0</v>
      </c>
      <c r="P344" s="634">
        <v>0</v>
      </c>
      <c r="Q344" s="634">
        <v>0</v>
      </c>
      <c r="R344" s="634">
        <v>0</v>
      </c>
      <c r="S344" s="634">
        <v>0</v>
      </c>
      <c r="U344" s="634"/>
      <c r="V344" s="634">
        <v>0</v>
      </c>
      <c r="W344" s="634">
        <v>0</v>
      </c>
      <c r="X344" s="634">
        <v>0</v>
      </c>
      <c r="Y344" s="634">
        <v>0</v>
      </c>
      <c r="Z344" s="634">
        <v>0</v>
      </c>
      <c r="AA344" s="634">
        <v>0</v>
      </c>
      <c r="AB344" s="634">
        <v>0</v>
      </c>
      <c r="AC344" s="634">
        <v>0</v>
      </c>
      <c r="AD344" s="634">
        <v>0</v>
      </c>
      <c r="AE344" s="634">
        <v>0</v>
      </c>
      <c r="AF344" s="634">
        <v>0</v>
      </c>
      <c r="AG344" s="634">
        <v>0</v>
      </c>
      <c r="AH344" s="634">
        <v>0</v>
      </c>
      <c r="AI344" s="634">
        <v>0</v>
      </c>
      <c r="AJ344" s="634">
        <v>0</v>
      </c>
      <c r="AK344" s="634">
        <v>0</v>
      </c>
    </row>
    <row r="345" spans="3:37" x14ac:dyDescent="0.2">
      <c r="C345" s="646" t="s">
        <v>67</v>
      </c>
      <c r="D345" s="640">
        <v>0</v>
      </c>
      <c r="E345" s="647">
        <v>0</v>
      </c>
      <c r="F345" s="647">
        <v>0</v>
      </c>
      <c r="G345" s="640">
        <v>0</v>
      </c>
      <c r="H345" s="640">
        <v>0</v>
      </c>
      <c r="I345" s="640">
        <v>0</v>
      </c>
      <c r="J345" s="640">
        <v>0</v>
      </c>
      <c r="K345" s="640">
        <v>0</v>
      </c>
      <c r="L345" s="640">
        <v>0</v>
      </c>
      <c r="M345" s="640">
        <v>0</v>
      </c>
      <c r="N345" s="640">
        <v>0</v>
      </c>
      <c r="O345" s="640">
        <v>0</v>
      </c>
      <c r="P345" s="640">
        <v>0</v>
      </c>
      <c r="Q345" s="640">
        <v>0</v>
      </c>
      <c r="R345" s="640">
        <v>0</v>
      </c>
      <c r="S345" s="648">
        <v>0</v>
      </c>
      <c r="U345" s="646" t="s">
        <v>67</v>
      </c>
      <c r="V345" s="640">
        <v>0</v>
      </c>
      <c r="W345" s="647">
        <v>0</v>
      </c>
      <c r="X345" s="647">
        <v>0</v>
      </c>
      <c r="Y345" s="640">
        <v>0</v>
      </c>
      <c r="Z345" s="640">
        <v>0</v>
      </c>
      <c r="AA345" s="640">
        <v>0</v>
      </c>
      <c r="AB345" s="640">
        <v>0</v>
      </c>
      <c r="AC345" s="640">
        <v>0</v>
      </c>
      <c r="AD345" s="640">
        <v>0</v>
      </c>
      <c r="AE345" s="640">
        <v>0</v>
      </c>
      <c r="AF345" s="640">
        <v>0</v>
      </c>
      <c r="AG345" s="640">
        <v>0</v>
      </c>
      <c r="AH345" s="640">
        <v>0</v>
      </c>
      <c r="AI345" s="640">
        <v>0</v>
      </c>
      <c r="AJ345" s="640">
        <v>0</v>
      </c>
      <c r="AK345" s="648">
        <v>0</v>
      </c>
    </row>
    <row r="346" spans="3:37" x14ac:dyDescent="0.2">
      <c r="C346" s="646" t="s">
        <v>347</v>
      </c>
      <c r="D346" s="640">
        <v>2.8267856410252494</v>
      </c>
      <c r="E346" s="640">
        <v>0</v>
      </c>
      <c r="F346" s="640">
        <v>7.9230776783294274</v>
      </c>
      <c r="G346" s="640">
        <v>16.680851063829788</v>
      </c>
      <c r="H346" s="640">
        <v>843.18181818181824</v>
      </c>
      <c r="I346" s="640">
        <v>306.94588327561422</v>
      </c>
      <c r="J346" s="649">
        <v>28.98717588629853</v>
      </c>
      <c r="K346" s="649">
        <v>6.5903281241207718</v>
      </c>
      <c r="L346" s="649">
        <v>3.3436367529727189</v>
      </c>
      <c r="M346" s="649">
        <v>0.46654149749263618</v>
      </c>
      <c r="N346" s="649">
        <v>0</v>
      </c>
      <c r="O346" s="649">
        <v>7.0184114557160298</v>
      </c>
      <c r="P346" s="640">
        <v>-616.92993037811448</v>
      </c>
      <c r="Q346" s="640">
        <v>0</v>
      </c>
      <c r="R346" s="640">
        <v>0</v>
      </c>
      <c r="S346" s="648">
        <v>607.03457917910316</v>
      </c>
      <c r="U346" s="646" t="s">
        <v>347</v>
      </c>
      <c r="V346" s="640">
        <v>0.62631490545869017</v>
      </c>
      <c r="W346" s="640">
        <v>0</v>
      </c>
      <c r="X346" s="640">
        <v>4.0594413146930641</v>
      </c>
      <c r="Y346" s="640">
        <v>2.3404255319148937</v>
      </c>
      <c r="Z346" s="640">
        <v>842.12121212121212</v>
      </c>
      <c r="AA346" s="640">
        <v>361.66588327561419</v>
      </c>
      <c r="AB346" s="649">
        <v>23.182357378111952</v>
      </c>
      <c r="AC346" s="649">
        <v>5.3775678130216455</v>
      </c>
      <c r="AD346" s="649">
        <v>3.3436367529727189</v>
      </c>
      <c r="AE346" s="649">
        <v>2.4665414974926363</v>
      </c>
      <c r="AF346" s="649">
        <v>0</v>
      </c>
      <c r="AG346" s="649">
        <v>7.0184114557160298</v>
      </c>
      <c r="AH346" s="640">
        <v>-662.7499303781143</v>
      </c>
      <c r="AI346" s="640">
        <v>0</v>
      </c>
      <c r="AJ346" s="640">
        <v>4.25</v>
      </c>
      <c r="AK346" s="648">
        <v>593.70186166809344</v>
      </c>
    </row>
    <row r="347" spans="3:37" x14ac:dyDescent="0.2">
      <c r="C347" s="646" t="s">
        <v>348</v>
      </c>
      <c r="D347" s="640">
        <v>0</v>
      </c>
      <c r="E347" s="640">
        <v>0</v>
      </c>
      <c r="F347" s="640">
        <v>0</v>
      </c>
      <c r="G347" s="640">
        <v>14.843815057329421</v>
      </c>
      <c r="H347" s="640">
        <v>0</v>
      </c>
      <c r="I347" s="640">
        <v>0</v>
      </c>
      <c r="J347" s="649">
        <v>12.357161229114668</v>
      </c>
      <c r="K347" s="649">
        <v>11.882304060636951</v>
      </c>
      <c r="L347" s="649">
        <v>0</v>
      </c>
      <c r="M347" s="649">
        <v>0.31804644322561132</v>
      </c>
      <c r="N347" s="649">
        <v>0</v>
      </c>
      <c r="O347" s="649">
        <v>2.0992086164963606</v>
      </c>
      <c r="P347" s="640">
        <v>0</v>
      </c>
      <c r="Q347" s="640">
        <v>-37.805081951347923</v>
      </c>
      <c r="R347" s="640">
        <v>0</v>
      </c>
      <c r="S347" s="648">
        <v>3.6954534554550835</v>
      </c>
      <c r="U347" s="646" t="s">
        <v>348</v>
      </c>
      <c r="V347" s="640">
        <v>0</v>
      </c>
      <c r="W347" s="640">
        <v>0</v>
      </c>
      <c r="X347" s="640">
        <v>0</v>
      </c>
      <c r="Y347" s="640">
        <v>6.4668066457611202</v>
      </c>
      <c r="Z347" s="640">
        <v>0</v>
      </c>
      <c r="AA347" s="640">
        <v>0</v>
      </c>
      <c r="AB347" s="649">
        <v>28.361573193229066</v>
      </c>
      <c r="AC347" s="649">
        <v>26.076316433417247</v>
      </c>
      <c r="AD347" s="649">
        <v>0</v>
      </c>
      <c r="AE347" s="649">
        <v>6.4819180878167435</v>
      </c>
      <c r="AF347" s="649">
        <v>0</v>
      </c>
      <c r="AG347" s="649">
        <v>12.550380584079129</v>
      </c>
      <c r="AH347" s="640">
        <v>0</v>
      </c>
      <c r="AI347" s="640">
        <v>-74.043519390541746</v>
      </c>
      <c r="AJ347" s="640">
        <v>0</v>
      </c>
      <c r="AK347" s="648">
        <v>5.8934755537615651</v>
      </c>
    </row>
    <row r="348" spans="3:37" x14ac:dyDescent="0.2">
      <c r="C348" s="646" t="s">
        <v>349</v>
      </c>
      <c r="D348" s="640">
        <v>0</v>
      </c>
      <c r="E348" s="640">
        <v>0</v>
      </c>
      <c r="F348" s="640">
        <v>0</v>
      </c>
      <c r="G348" s="640">
        <v>0</v>
      </c>
      <c r="H348" s="640">
        <v>0</v>
      </c>
      <c r="I348" s="640">
        <v>0</v>
      </c>
      <c r="J348" s="650">
        <v>6.8755991242523775</v>
      </c>
      <c r="K348" s="650">
        <v>0</v>
      </c>
      <c r="L348" s="650">
        <v>0</v>
      </c>
      <c r="M348" s="650">
        <v>-6.4200906822706569</v>
      </c>
      <c r="N348" s="650">
        <v>0</v>
      </c>
      <c r="O348" s="650">
        <v>0</v>
      </c>
      <c r="P348" s="640">
        <v>0</v>
      </c>
      <c r="Q348" s="640">
        <v>0</v>
      </c>
      <c r="R348" s="640">
        <v>0</v>
      </c>
      <c r="S348" s="648">
        <v>0.45550844198172058</v>
      </c>
      <c r="U348" s="646" t="s">
        <v>349</v>
      </c>
      <c r="V348" s="640">
        <v>0</v>
      </c>
      <c r="W348" s="640">
        <v>0</v>
      </c>
      <c r="X348" s="640">
        <v>0</v>
      </c>
      <c r="Y348" s="640">
        <v>0</v>
      </c>
      <c r="Z348" s="640">
        <v>0</v>
      </c>
      <c r="AA348" s="640">
        <v>0</v>
      </c>
      <c r="AB348" s="650">
        <v>86.654179241552072</v>
      </c>
      <c r="AC348" s="650">
        <v>0</v>
      </c>
      <c r="AD348" s="650">
        <v>0</v>
      </c>
      <c r="AE348" s="650">
        <v>-80.913339866799248</v>
      </c>
      <c r="AF348" s="650">
        <v>0</v>
      </c>
      <c r="AG348" s="650">
        <v>0</v>
      </c>
      <c r="AH348" s="640">
        <v>0</v>
      </c>
      <c r="AI348" s="640">
        <v>0</v>
      </c>
      <c r="AJ348" s="640">
        <v>0</v>
      </c>
      <c r="AK348" s="648">
        <v>5.7408393747528237</v>
      </c>
    </row>
    <row r="349" spans="3:37" x14ac:dyDescent="0.2">
      <c r="C349" s="646" t="s">
        <v>350</v>
      </c>
      <c r="D349" s="640">
        <v>0</v>
      </c>
      <c r="E349" s="640">
        <v>0</v>
      </c>
      <c r="F349" s="640">
        <v>0</v>
      </c>
      <c r="G349" s="640">
        <v>0</v>
      </c>
      <c r="H349" s="640">
        <v>0</v>
      </c>
      <c r="I349" s="640">
        <v>0</v>
      </c>
      <c r="J349" s="640">
        <v>0</v>
      </c>
      <c r="K349" s="640">
        <v>0</v>
      </c>
      <c r="L349" s="640">
        <v>0</v>
      </c>
      <c r="M349" s="640">
        <v>0</v>
      </c>
      <c r="N349" s="640">
        <v>0</v>
      </c>
      <c r="O349" s="640">
        <v>0</v>
      </c>
      <c r="P349" s="640">
        <v>0</v>
      </c>
      <c r="Q349" s="640">
        <v>0</v>
      </c>
      <c r="R349" s="640">
        <v>0</v>
      </c>
      <c r="S349" s="648">
        <v>0</v>
      </c>
      <c r="U349" s="646" t="s">
        <v>350</v>
      </c>
      <c r="V349" s="640">
        <v>0</v>
      </c>
      <c r="W349" s="640">
        <v>0</v>
      </c>
      <c r="X349" s="640">
        <v>0</v>
      </c>
      <c r="Y349" s="640">
        <v>0</v>
      </c>
      <c r="Z349" s="640">
        <v>0</v>
      </c>
      <c r="AA349" s="640">
        <v>0</v>
      </c>
      <c r="AB349" s="640">
        <v>0</v>
      </c>
      <c r="AC349" s="640">
        <v>0</v>
      </c>
      <c r="AD349" s="640">
        <v>0</v>
      </c>
      <c r="AE349" s="640">
        <v>0</v>
      </c>
      <c r="AF349" s="640">
        <v>0</v>
      </c>
      <c r="AG349" s="640">
        <v>0</v>
      </c>
      <c r="AH349" s="640">
        <v>0</v>
      </c>
      <c r="AI349" s="640">
        <v>0</v>
      </c>
      <c r="AJ349" s="640">
        <v>0</v>
      </c>
      <c r="AK349" s="648">
        <v>0</v>
      </c>
    </row>
    <row r="350" spans="3:37" x14ac:dyDescent="0.2">
      <c r="C350" s="646" t="s">
        <v>72</v>
      </c>
      <c r="D350" s="640">
        <v>0</v>
      </c>
      <c r="E350" s="640">
        <v>501.8858109321676</v>
      </c>
      <c r="F350" s="640">
        <v>-496.86695282284592</v>
      </c>
      <c r="G350" s="640">
        <v>0</v>
      </c>
      <c r="H350" s="640">
        <v>0</v>
      </c>
      <c r="I350" s="640">
        <v>0</v>
      </c>
      <c r="J350" s="640">
        <v>0</v>
      </c>
      <c r="K350" s="640">
        <v>0</v>
      </c>
      <c r="L350" s="640">
        <v>0</v>
      </c>
      <c r="M350" s="640">
        <v>0</v>
      </c>
      <c r="N350" s="640">
        <v>0</v>
      </c>
      <c r="O350" s="640">
        <v>0</v>
      </c>
      <c r="P350" s="640">
        <v>0</v>
      </c>
      <c r="Q350" s="640">
        <v>0</v>
      </c>
      <c r="R350" s="640">
        <v>0</v>
      </c>
      <c r="S350" s="648">
        <v>5.018858109321684</v>
      </c>
      <c r="U350" s="646" t="s">
        <v>72</v>
      </c>
      <c r="V350" s="640">
        <v>0</v>
      </c>
      <c r="W350" s="640">
        <v>196.75884188687598</v>
      </c>
      <c r="X350" s="640">
        <v>-194.79125346800723</v>
      </c>
      <c r="Y350" s="640">
        <v>0</v>
      </c>
      <c r="Z350" s="640">
        <v>0</v>
      </c>
      <c r="AA350" s="640">
        <v>0</v>
      </c>
      <c r="AB350" s="640">
        <v>0</v>
      </c>
      <c r="AC350" s="640">
        <v>0</v>
      </c>
      <c r="AD350" s="640">
        <v>0</v>
      </c>
      <c r="AE350" s="640">
        <v>0</v>
      </c>
      <c r="AF350" s="640">
        <v>0</v>
      </c>
      <c r="AG350" s="640">
        <v>0</v>
      </c>
      <c r="AH350" s="640">
        <v>0</v>
      </c>
      <c r="AI350" s="640">
        <v>0</v>
      </c>
      <c r="AJ350" s="640">
        <v>0</v>
      </c>
      <c r="AK350" s="648">
        <v>1.9675884188687576</v>
      </c>
    </row>
    <row r="351" spans="3:37" x14ac:dyDescent="0.2">
      <c r="C351" s="646" t="s">
        <v>351</v>
      </c>
      <c r="D351" s="640">
        <v>0</v>
      </c>
      <c r="E351" s="640">
        <v>0</v>
      </c>
      <c r="F351" s="640">
        <v>0</v>
      </c>
      <c r="G351" s="640">
        <v>0</v>
      </c>
      <c r="H351" s="640">
        <v>0</v>
      </c>
      <c r="I351" s="640">
        <v>0</v>
      </c>
      <c r="J351" s="640">
        <v>26.867608526350821</v>
      </c>
      <c r="K351" s="640">
        <v>0</v>
      </c>
      <c r="L351" s="640">
        <v>-26.867608526350821</v>
      </c>
      <c r="M351" s="640">
        <v>0</v>
      </c>
      <c r="N351" s="640">
        <v>0</v>
      </c>
      <c r="O351" s="640">
        <v>0</v>
      </c>
      <c r="P351" s="640">
        <v>0</v>
      </c>
      <c r="Q351" s="640">
        <v>0</v>
      </c>
      <c r="R351" s="640">
        <v>0</v>
      </c>
      <c r="S351" s="648">
        <v>0</v>
      </c>
      <c r="U351" s="646" t="s">
        <v>351</v>
      </c>
      <c r="V351" s="640">
        <v>0</v>
      </c>
      <c r="W351" s="640">
        <v>0</v>
      </c>
      <c r="X351" s="640">
        <v>0</v>
      </c>
      <c r="Y351" s="640">
        <v>0</v>
      </c>
      <c r="Z351" s="640">
        <v>0</v>
      </c>
      <c r="AA351" s="640">
        <v>0</v>
      </c>
      <c r="AB351" s="640" t="e">
        <v>#VALUE!</v>
      </c>
      <c r="AC351" s="640">
        <v>0</v>
      </c>
      <c r="AD351" s="640">
        <v>-99.513749603669936</v>
      </c>
      <c r="AE351" s="640">
        <v>0</v>
      </c>
      <c r="AF351" s="640">
        <v>0</v>
      </c>
      <c r="AG351" s="640">
        <v>0</v>
      </c>
      <c r="AH351" s="640">
        <v>0</v>
      </c>
      <c r="AI351" s="640">
        <v>0</v>
      </c>
      <c r="AJ351" s="640">
        <v>0</v>
      </c>
      <c r="AK351" s="648">
        <v>-99.513749603669936</v>
      </c>
    </row>
    <row r="352" spans="3:37" x14ac:dyDescent="0.2">
      <c r="C352" s="646" t="s">
        <v>352</v>
      </c>
      <c r="D352" s="640">
        <v>0</v>
      </c>
      <c r="E352" s="640">
        <v>0</v>
      </c>
      <c r="F352" s="640">
        <v>0</v>
      </c>
      <c r="G352" s="640">
        <v>0</v>
      </c>
      <c r="H352" s="640">
        <v>0</v>
      </c>
      <c r="I352" s="640">
        <v>0</v>
      </c>
      <c r="J352" s="640">
        <v>0</v>
      </c>
      <c r="K352" s="640">
        <v>0</v>
      </c>
      <c r="L352" s="640">
        <v>0</v>
      </c>
      <c r="M352" s="640">
        <v>0</v>
      </c>
      <c r="N352" s="640">
        <v>0</v>
      </c>
      <c r="O352" s="640">
        <v>0</v>
      </c>
      <c r="P352" s="640">
        <v>0</v>
      </c>
      <c r="Q352" s="640">
        <v>0</v>
      </c>
      <c r="R352" s="640">
        <v>0</v>
      </c>
      <c r="S352" s="648">
        <v>0</v>
      </c>
      <c r="U352" s="646" t="s">
        <v>352</v>
      </c>
      <c r="V352" s="640">
        <v>0</v>
      </c>
      <c r="W352" s="640">
        <v>0</v>
      </c>
      <c r="X352" s="640">
        <v>0</v>
      </c>
      <c r="Y352" s="640">
        <v>0</v>
      </c>
      <c r="Z352" s="640">
        <v>0</v>
      </c>
      <c r="AA352" s="640">
        <v>0</v>
      </c>
      <c r="AB352" s="640">
        <v>0</v>
      </c>
      <c r="AC352" s="640">
        <v>0</v>
      </c>
      <c r="AD352" s="640">
        <v>-17.985934640167208</v>
      </c>
      <c r="AE352" s="640">
        <v>0</v>
      </c>
      <c r="AF352" s="640">
        <v>0</v>
      </c>
      <c r="AG352" s="640">
        <v>0</v>
      </c>
      <c r="AH352" s="640">
        <v>0</v>
      </c>
      <c r="AI352" s="640">
        <v>0</v>
      </c>
      <c r="AJ352" s="640">
        <v>0</v>
      </c>
      <c r="AK352" s="648">
        <v>-17.985934640167208</v>
      </c>
    </row>
    <row r="353" spans="3:37" x14ac:dyDescent="0.2">
      <c r="C353" s="646" t="s">
        <v>73</v>
      </c>
      <c r="D353" s="640">
        <v>0</v>
      </c>
      <c r="E353" s="640">
        <v>0</v>
      </c>
      <c r="F353" s="640">
        <v>0</v>
      </c>
      <c r="G353" s="640">
        <v>7.0830222331165276</v>
      </c>
      <c r="H353" s="640">
        <v>0</v>
      </c>
      <c r="I353" s="640">
        <v>0</v>
      </c>
      <c r="J353" s="640">
        <v>0</v>
      </c>
      <c r="K353" s="640">
        <v>8.2131519400701847E-2</v>
      </c>
      <c r="L353" s="640">
        <v>0</v>
      </c>
      <c r="M353" s="640">
        <v>0.14455147414523528</v>
      </c>
      <c r="N353" s="640">
        <v>0</v>
      </c>
      <c r="O353" s="640">
        <v>0</v>
      </c>
      <c r="P353" s="640">
        <v>0.90023160054861806</v>
      </c>
      <c r="Q353" s="640">
        <v>0</v>
      </c>
      <c r="R353" s="640">
        <v>-5.7492063580491291</v>
      </c>
      <c r="S353" s="648">
        <v>2.4607304691619536</v>
      </c>
      <c r="U353" s="646" t="s">
        <v>73</v>
      </c>
      <c r="V353" s="640">
        <v>0</v>
      </c>
      <c r="W353" s="640">
        <v>0</v>
      </c>
      <c r="X353" s="640">
        <v>0</v>
      </c>
      <c r="Y353" s="640">
        <v>2.5209228009552263</v>
      </c>
      <c r="Z353" s="640">
        <v>0</v>
      </c>
      <c r="AA353" s="640">
        <v>0</v>
      </c>
      <c r="AB353" s="640">
        <v>0</v>
      </c>
      <c r="AC353" s="640">
        <v>0.50418456019104518</v>
      </c>
      <c r="AD353" s="640">
        <v>0</v>
      </c>
      <c r="AE353" s="640">
        <v>2.5209228009552263</v>
      </c>
      <c r="AF353" s="640">
        <v>0</v>
      </c>
      <c r="AG353" s="640">
        <v>0</v>
      </c>
      <c r="AH353" s="640">
        <v>44.712737508757456</v>
      </c>
      <c r="AI353" s="640">
        <v>0</v>
      </c>
      <c r="AJ353" s="640">
        <v>-35.29291921337316</v>
      </c>
      <c r="AK353" s="648">
        <v>14.965848457485791</v>
      </c>
    </row>
    <row r="354" spans="3:37" x14ac:dyDescent="0.2">
      <c r="C354" s="646" t="s">
        <v>353</v>
      </c>
      <c r="D354" s="640">
        <v>28.568314687499999</v>
      </c>
      <c r="E354" s="640">
        <v>-17.390343348799608</v>
      </c>
      <c r="F354" s="640">
        <v>22.745541936068136</v>
      </c>
      <c r="G354" s="640">
        <v>0</v>
      </c>
      <c r="H354" s="640">
        <v>0</v>
      </c>
      <c r="I354" s="640">
        <v>0</v>
      </c>
      <c r="J354" s="640">
        <v>0</v>
      </c>
      <c r="K354" s="640">
        <v>0</v>
      </c>
      <c r="L354" s="640">
        <v>0</v>
      </c>
      <c r="M354" s="640">
        <v>0</v>
      </c>
      <c r="N354" s="640">
        <v>0</v>
      </c>
      <c r="O354" s="640">
        <v>0</v>
      </c>
      <c r="P354" s="640">
        <v>0</v>
      </c>
      <c r="Q354" s="640">
        <v>0</v>
      </c>
      <c r="R354" s="640">
        <v>0</v>
      </c>
      <c r="S354" s="648">
        <v>33.923513274768524</v>
      </c>
      <c r="U354" s="646" t="s">
        <v>353</v>
      </c>
      <c r="V354" s="640">
        <v>1.4001075134277343</v>
      </c>
      <c r="W354" s="640">
        <v>-6.8176938713802535</v>
      </c>
      <c r="X354" s="640">
        <v>8.9171408952922331</v>
      </c>
      <c r="Y354" s="640">
        <v>0</v>
      </c>
      <c r="Z354" s="640">
        <v>0</v>
      </c>
      <c r="AA354" s="640">
        <v>0</v>
      </c>
      <c r="AB354" s="640">
        <v>0</v>
      </c>
      <c r="AC354" s="640">
        <v>0</v>
      </c>
      <c r="AD354" s="640">
        <v>0</v>
      </c>
      <c r="AE354" s="640">
        <v>0</v>
      </c>
      <c r="AF354" s="640">
        <v>0</v>
      </c>
      <c r="AG354" s="640">
        <v>0</v>
      </c>
      <c r="AH354" s="640">
        <v>0</v>
      </c>
      <c r="AI354" s="640">
        <v>0</v>
      </c>
      <c r="AJ354" s="640">
        <v>0</v>
      </c>
      <c r="AK354" s="648">
        <v>3.4995545373397139</v>
      </c>
    </row>
    <row r="355" spans="3:37" x14ac:dyDescent="0.2">
      <c r="C355" s="646" t="s">
        <v>75</v>
      </c>
      <c r="D355" s="640">
        <v>11.109900156250001</v>
      </c>
      <c r="E355" s="640">
        <v>0</v>
      </c>
      <c r="F355" s="640">
        <v>17.0641175716937</v>
      </c>
      <c r="G355" s="640">
        <v>4.8692961376638904</v>
      </c>
      <c r="H355" s="640">
        <v>0</v>
      </c>
      <c r="I355" s="640">
        <v>0</v>
      </c>
      <c r="J355" s="640">
        <v>0</v>
      </c>
      <c r="K355" s="640">
        <v>0</v>
      </c>
      <c r="L355" s="640">
        <v>0</v>
      </c>
      <c r="M355" s="640">
        <v>9.9373390564569189E-2</v>
      </c>
      <c r="N355" s="640">
        <v>0</v>
      </c>
      <c r="O355" s="640">
        <v>0</v>
      </c>
      <c r="P355" s="640">
        <v>27.977940148174714</v>
      </c>
      <c r="Q355" s="640">
        <v>0</v>
      </c>
      <c r="R355" s="640">
        <v>0</v>
      </c>
      <c r="S355" s="648">
        <v>61.12062740434687</v>
      </c>
      <c r="U355" s="646" t="s">
        <v>75</v>
      </c>
      <c r="V355" s="640">
        <v>2.585423095703125</v>
      </c>
      <c r="W355" s="640">
        <v>0</v>
      </c>
      <c r="X355" s="640">
        <v>17.0641175716937</v>
      </c>
      <c r="Y355" s="640">
        <v>2.4843347641142297</v>
      </c>
      <c r="Z355" s="640">
        <v>0</v>
      </c>
      <c r="AA355" s="640">
        <v>0</v>
      </c>
      <c r="AB355" s="640">
        <v>0</v>
      </c>
      <c r="AC355" s="640">
        <v>0</v>
      </c>
      <c r="AD355" s="640">
        <v>0</v>
      </c>
      <c r="AE355" s="640">
        <v>2.4843347641142297</v>
      </c>
      <c r="AF355" s="640">
        <v>0</v>
      </c>
      <c r="AG355" s="640">
        <v>0</v>
      </c>
      <c r="AH355" s="640">
        <v>36.559985602720168</v>
      </c>
      <c r="AI355" s="640">
        <v>0</v>
      </c>
      <c r="AJ355" s="640">
        <v>0</v>
      </c>
      <c r="AK355" s="648">
        <v>61.178195798345449</v>
      </c>
    </row>
    <row r="356" spans="3:37" x14ac:dyDescent="0.2">
      <c r="C356" s="646" t="s">
        <v>76</v>
      </c>
      <c r="D356" s="640">
        <v>0</v>
      </c>
      <c r="E356" s="640">
        <v>0</v>
      </c>
      <c r="F356" s="640">
        <v>0</v>
      </c>
      <c r="G356" s="640">
        <v>3.7302503173667452</v>
      </c>
      <c r="H356" s="640">
        <v>0</v>
      </c>
      <c r="I356" s="640">
        <v>0</v>
      </c>
      <c r="J356" s="640">
        <v>0</v>
      </c>
      <c r="K356" s="640">
        <v>0</v>
      </c>
      <c r="L356" s="640">
        <v>0</v>
      </c>
      <c r="M356" s="640">
        <v>7.6127557497280507E-2</v>
      </c>
      <c r="N356" s="640">
        <v>0</v>
      </c>
      <c r="O356" s="640">
        <v>0</v>
      </c>
      <c r="P356" s="640">
        <v>45.919010237367587</v>
      </c>
      <c r="Q356" s="640">
        <v>2.9343505562312622</v>
      </c>
      <c r="R356" s="640">
        <v>0</v>
      </c>
      <c r="S356" s="648">
        <v>52.659738668462872</v>
      </c>
      <c r="U356" s="646" t="s">
        <v>76</v>
      </c>
      <c r="V356" s="640">
        <v>0</v>
      </c>
      <c r="W356" s="640">
        <v>0</v>
      </c>
      <c r="X356" s="640">
        <v>0</v>
      </c>
      <c r="Y356" s="640">
        <v>0.95944671778813329</v>
      </c>
      <c r="Z356" s="640">
        <v>0</v>
      </c>
      <c r="AA356" s="640">
        <v>0</v>
      </c>
      <c r="AB356" s="640">
        <v>0</v>
      </c>
      <c r="AC356" s="640">
        <v>0</v>
      </c>
      <c r="AD356" s="640">
        <v>0</v>
      </c>
      <c r="AE356" s="640">
        <v>0.95944671778813329</v>
      </c>
      <c r="AF356" s="640">
        <v>0</v>
      </c>
      <c r="AG356" s="640">
        <v>0</v>
      </c>
      <c r="AH356" s="640">
        <v>49.138117436745475</v>
      </c>
      <c r="AI356" s="640">
        <v>5.7424951548403769</v>
      </c>
      <c r="AJ356" s="640">
        <v>0</v>
      </c>
      <c r="AK356" s="648">
        <v>56.799506027162117</v>
      </c>
    </row>
    <row r="357" spans="3:37" x14ac:dyDescent="0.2">
      <c r="C357" s="644" t="s">
        <v>77</v>
      </c>
      <c r="D357" s="645">
        <v>42.505000484775252</v>
      </c>
      <c r="E357" s="645">
        <v>484.495467583368</v>
      </c>
      <c r="F357" s="645">
        <v>-449.13421563675462</v>
      </c>
      <c r="G357" s="645">
        <v>47.207234809306371</v>
      </c>
      <c r="H357" s="645">
        <v>843.18181818181824</v>
      </c>
      <c r="I357" s="645">
        <v>306.94588327561422</v>
      </c>
      <c r="J357" s="645">
        <v>75.087544766016393</v>
      </c>
      <c r="K357" s="645">
        <v>18.554763704158422</v>
      </c>
      <c r="L357" s="645">
        <v>-23.523971773378101</v>
      </c>
      <c r="M357" s="645">
        <v>-5.3154503193453246</v>
      </c>
      <c r="N357" s="645">
        <v>0</v>
      </c>
      <c r="O357" s="645">
        <v>9.1176200722123912</v>
      </c>
      <c r="P357" s="645">
        <v>-542.13274839202359</v>
      </c>
      <c r="Q357" s="645">
        <v>-34.870731395116664</v>
      </c>
      <c r="R357" s="645">
        <v>-5.7492063580491291</v>
      </c>
      <c r="S357" s="645">
        <v>766.36900900260184</v>
      </c>
      <c r="U357" s="644" t="s">
        <v>77</v>
      </c>
      <c r="V357" s="645">
        <v>4.6118455145895494</v>
      </c>
      <c r="W357" s="645">
        <v>189.94114801549574</v>
      </c>
      <c r="X357" s="645">
        <v>-164.75055368632826</v>
      </c>
      <c r="Y357" s="645">
        <v>14.771936460533603</v>
      </c>
      <c r="Z357" s="645">
        <v>842.12121212121212</v>
      </c>
      <c r="AA357" s="645">
        <v>361.66588327561419</v>
      </c>
      <c r="AB357" s="645">
        <v>138.19810981289308</v>
      </c>
      <c r="AC357" s="645">
        <v>31.958068806629939</v>
      </c>
      <c r="AD357" s="645">
        <v>-114.15604749086444</v>
      </c>
      <c r="AE357" s="645">
        <v>-66.000175998632287</v>
      </c>
      <c r="AF357" s="645">
        <v>0</v>
      </c>
      <c r="AG357" s="645">
        <v>19.568792039795159</v>
      </c>
      <c r="AH357" s="645">
        <v>-532.33908982989124</v>
      </c>
      <c r="AI357" s="645">
        <v>-68.301024235701377</v>
      </c>
      <c r="AJ357" s="645">
        <v>-31.04291921337316</v>
      </c>
      <c r="AK357" s="645">
        <v>626.24718559197242</v>
      </c>
    </row>
    <row r="358" spans="3:37" x14ac:dyDescent="0.2">
      <c r="C358" s="634"/>
      <c r="D358" s="634">
        <v>0</v>
      </c>
      <c r="E358" s="634">
        <v>0</v>
      </c>
      <c r="F358" s="634">
        <v>0</v>
      </c>
      <c r="G358" s="634">
        <v>0</v>
      </c>
      <c r="H358" s="634">
        <v>0</v>
      </c>
      <c r="I358" s="634">
        <v>0</v>
      </c>
      <c r="J358" s="634">
        <v>0</v>
      </c>
      <c r="K358" s="634">
        <v>0</v>
      </c>
      <c r="L358" s="634">
        <v>0</v>
      </c>
      <c r="M358" s="634">
        <v>0</v>
      </c>
      <c r="N358" s="634">
        <v>0</v>
      </c>
      <c r="O358" s="634">
        <v>0</v>
      </c>
      <c r="P358" s="634">
        <v>0</v>
      </c>
      <c r="Q358" s="634">
        <v>0</v>
      </c>
      <c r="R358" s="634">
        <v>0</v>
      </c>
      <c r="S358" s="634">
        <v>0</v>
      </c>
      <c r="U358" s="634"/>
      <c r="V358" s="634">
        <v>0</v>
      </c>
      <c r="W358" s="634">
        <v>0</v>
      </c>
      <c r="X358" s="634">
        <v>0</v>
      </c>
      <c r="Y358" s="634">
        <v>0</v>
      </c>
      <c r="Z358" s="634">
        <v>0</v>
      </c>
      <c r="AA358" s="634">
        <v>0</v>
      </c>
      <c r="AB358" s="634">
        <v>0</v>
      </c>
      <c r="AC358" s="634">
        <v>0</v>
      </c>
      <c r="AD358" s="634">
        <v>0</v>
      </c>
      <c r="AE358" s="634">
        <v>0</v>
      </c>
      <c r="AF358" s="634">
        <v>0</v>
      </c>
      <c r="AG358" s="634">
        <v>0</v>
      </c>
      <c r="AH358" s="634">
        <v>0</v>
      </c>
      <c r="AI358" s="634">
        <v>0</v>
      </c>
      <c r="AJ358" s="634">
        <v>0</v>
      </c>
      <c r="AK358" s="634">
        <v>0</v>
      </c>
    </row>
    <row r="359" spans="3:37" x14ac:dyDescent="0.2">
      <c r="C359" s="646" t="s">
        <v>78</v>
      </c>
      <c r="D359" s="640">
        <v>4.6398193944555786</v>
      </c>
      <c r="E359" s="640">
        <v>0</v>
      </c>
      <c r="F359" s="640">
        <v>20.598782441852151</v>
      </c>
      <c r="G359" s="640">
        <v>94.839699954986926</v>
      </c>
      <c r="H359" s="640">
        <v>0</v>
      </c>
      <c r="I359" s="640">
        <v>0</v>
      </c>
      <c r="J359" s="640">
        <v>21.821162214793436</v>
      </c>
      <c r="K359" s="640">
        <v>1.7366010173968038</v>
      </c>
      <c r="L359" s="640">
        <v>0.96096945898437491</v>
      </c>
      <c r="M359" s="640">
        <v>1.9539169420126139</v>
      </c>
      <c r="N359" s="640">
        <v>0</v>
      </c>
      <c r="O359" s="640">
        <v>3.7537634069694789E-4</v>
      </c>
      <c r="P359" s="640">
        <v>113.419965125608</v>
      </c>
      <c r="Q359" s="640">
        <v>16.150451210263412</v>
      </c>
      <c r="R359" s="640">
        <v>0.26695886230468752</v>
      </c>
      <c r="S359" s="648">
        <v>276.38870199899873</v>
      </c>
      <c r="U359" s="646" t="s">
        <v>78</v>
      </c>
      <c r="V359" s="640">
        <v>1.264986561669641</v>
      </c>
      <c r="W359" s="640">
        <v>0</v>
      </c>
      <c r="X359" s="640">
        <v>4.4259635061357878</v>
      </c>
      <c r="Y359" s="640">
        <v>33.008089674756327</v>
      </c>
      <c r="Z359" s="640">
        <v>0</v>
      </c>
      <c r="AA359" s="640">
        <v>0</v>
      </c>
      <c r="AB359" s="640">
        <v>14.926911405045434</v>
      </c>
      <c r="AC359" s="640">
        <v>4.7591564459641997</v>
      </c>
      <c r="AD359" s="640">
        <v>6.4130046386718744</v>
      </c>
      <c r="AE359" s="640">
        <v>33.02650253605492</v>
      </c>
      <c r="AF359" s="640">
        <v>0</v>
      </c>
      <c r="AG359" s="640">
        <v>3.7537634069694789E-4</v>
      </c>
      <c r="AH359" s="640">
        <v>148.98135712801343</v>
      </c>
      <c r="AI359" s="640">
        <v>24.187634778338289</v>
      </c>
      <c r="AJ359" s="640">
        <v>7.9027373046875002</v>
      </c>
      <c r="AK359" s="648">
        <v>278.8967193556781</v>
      </c>
    </row>
    <row r="360" spans="3:37" x14ac:dyDescent="0.2">
      <c r="C360" s="646" t="s">
        <v>79</v>
      </c>
      <c r="D360" s="640">
        <v>0</v>
      </c>
      <c r="E360" s="640">
        <v>0</v>
      </c>
      <c r="F360" s="640">
        <v>225.72324837131151</v>
      </c>
      <c r="G360" s="640">
        <v>31.930807664827714</v>
      </c>
      <c r="H360" s="640">
        <v>0</v>
      </c>
      <c r="I360" s="640">
        <v>0</v>
      </c>
      <c r="J360" s="640">
        <v>0</v>
      </c>
      <c r="K360" s="640">
        <v>0</v>
      </c>
      <c r="L360" s="640">
        <v>21.777356740546686</v>
      </c>
      <c r="M360" s="640">
        <v>0.65164913601689212</v>
      </c>
      <c r="N360" s="640">
        <v>0</v>
      </c>
      <c r="O360" s="640">
        <v>0</v>
      </c>
      <c r="P360" s="640">
        <v>72.885841088882287</v>
      </c>
      <c r="Q360" s="640">
        <v>0</v>
      </c>
      <c r="R360" s="640">
        <v>2.6521266956987635</v>
      </c>
      <c r="S360" s="648">
        <v>355.62102969728386</v>
      </c>
      <c r="U360" s="646" t="s">
        <v>79</v>
      </c>
      <c r="V360" s="640">
        <v>0</v>
      </c>
      <c r="W360" s="640">
        <v>0</v>
      </c>
      <c r="X360" s="640">
        <v>19.003305935487372</v>
      </c>
      <c r="Y360" s="640">
        <v>13.267062862305856</v>
      </c>
      <c r="Z360" s="640">
        <v>0</v>
      </c>
      <c r="AA360" s="640">
        <v>0</v>
      </c>
      <c r="AB360" s="640">
        <v>0</v>
      </c>
      <c r="AC360" s="640">
        <v>0</v>
      </c>
      <c r="AD360" s="640">
        <v>27.757428454399612</v>
      </c>
      <c r="AE360" s="640">
        <v>13.267062862305856</v>
      </c>
      <c r="AF360" s="640">
        <v>0</v>
      </c>
      <c r="AG360" s="640">
        <v>0</v>
      </c>
      <c r="AH360" s="640">
        <v>94.556676700547257</v>
      </c>
      <c r="AI360" s="640">
        <v>0</v>
      </c>
      <c r="AJ360" s="640">
        <v>6.3130917169295051</v>
      </c>
      <c r="AK360" s="648">
        <v>174.16462853197544</v>
      </c>
    </row>
    <row r="361" spans="3:37" x14ac:dyDescent="0.2">
      <c r="C361" s="646" t="s">
        <v>80</v>
      </c>
      <c r="D361" s="640">
        <v>0</v>
      </c>
      <c r="E361" s="640">
        <v>0</v>
      </c>
      <c r="F361" s="640">
        <v>11.075929176351762</v>
      </c>
      <c r="G361" s="640">
        <v>76.664751333295058</v>
      </c>
      <c r="H361" s="640">
        <v>0</v>
      </c>
      <c r="I361" s="640">
        <v>0</v>
      </c>
      <c r="J361" s="640">
        <v>88.320247059496523</v>
      </c>
      <c r="K361" s="640">
        <v>0</v>
      </c>
      <c r="L361" s="640">
        <v>0</v>
      </c>
      <c r="M361" s="640">
        <v>1.5645867619039808</v>
      </c>
      <c r="N361" s="640">
        <v>59.616390446150973</v>
      </c>
      <c r="O361" s="640">
        <v>2.0734984243972754</v>
      </c>
      <c r="P361" s="640">
        <v>190.93239321884863</v>
      </c>
      <c r="Q361" s="640">
        <v>15.360003531773184</v>
      </c>
      <c r="R361" s="640">
        <v>0</v>
      </c>
      <c r="S361" s="648">
        <v>445.60779995221742</v>
      </c>
      <c r="U361" s="646" t="s">
        <v>80</v>
      </c>
      <c r="V361" s="640">
        <v>0</v>
      </c>
      <c r="W361" s="640">
        <v>0</v>
      </c>
      <c r="X361" s="640">
        <v>0.97925934500211753</v>
      </c>
      <c r="Y361" s="640">
        <v>9.8253088649292142</v>
      </c>
      <c r="Z361" s="640">
        <v>0</v>
      </c>
      <c r="AA361" s="640">
        <v>0</v>
      </c>
      <c r="AB361" s="640">
        <v>50.204880630535357</v>
      </c>
      <c r="AC361" s="640">
        <v>0</v>
      </c>
      <c r="AD361" s="640">
        <v>0</v>
      </c>
      <c r="AE361" s="640">
        <v>9.8253088649292142</v>
      </c>
      <c r="AF361" s="640">
        <v>95.02342184325245</v>
      </c>
      <c r="AG361" s="640">
        <v>4.208312775429496</v>
      </c>
      <c r="AH361" s="640">
        <v>144.38732956018927</v>
      </c>
      <c r="AI361" s="640">
        <v>30.75075127630511</v>
      </c>
      <c r="AJ361" s="640">
        <v>0</v>
      </c>
      <c r="AK361" s="648">
        <v>345.20457316057224</v>
      </c>
    </row>
    <row r="362" spans="3:37" x14ac:dyDescent="0.2">
      <c r="C362" s="646" t="s">
        <v>81</v>
      </c>
      <c r="D362" s="640">
        <v>0</v>
      </c>
      <c r="E362" s="640">
        <v>0</v>
      </c>
      <c r="F362" s="640">
        <v>2.6743117433405894</v>
      </c>
      <c r="G362" s="640">
        <v>62.987223173923248</v>
      </c>
      <c r="H362" s="640">
        <v>0</v>
      </c>
      <c r="I362" s="640">
        <v>0</v>
      </c>
      <c r="J362" s="640">
        <v>3.1384766478070549</v>
      </c>
      <c r="K362" s="640">
        <v>2.5274117631643136E-2</v>
      </c>
      <c r="L362" s="640">
        <v>0</v>
      </c>
      <c r="M362" s="640">
        <v>1.2854535341616988</v>
      </c>
      <c r="N362" s="640">
        <v>8.34801759276524</v>
      </c>
      <c r="O362" s="640">
        <v>0.71507622546549865</v>
      </c>
      <c r="P362" s="640">
        <v>142.0321146826426</v>
      </c>
      <c r="Q362" s="640">
        <v>3.3602766530800707</v>
      </c>
      <c r="R362" s="640">
        <v>0</v>
      </c>
      <c r="S362" s="648">
        <v>224.56622437081765</v>
      </c>
      <c r="U362" s="646" t="s">
        <v>81</v>
      </c>
      <c r="V362" s="640">
        <v>0</v>
      </c>
      <c r="W362" s="640">
        <v>0</v>
      </c>
      <c r="X362" s="640">
        <v>1.2256055704751125</v>
      </c>
      <c r="Y362" s="640">
        <v>7.2918833253665882</v>
      </c>
      <c r="Z362" s="640">
        <v>0</v>
      </c>
      <c r="AA362" s="640">
        <v>0</v>
      </c>
      <c r="AB362" s="640">
        <v>6.8658928642747856</v>
      </c>
      <c r="AC362" s="640">
        <v>2.5274117631643136E-2</v>
      </c>
      <c r="AD362" s="640">
        <v>0</v>
      </c>
      <c r="AE362" s="640">
        <v>7.2918833253665882</v>
      </c>
      <c r="AF362" s="640">
        <v>14.828462979838848</v>
      </c>
      <c r="AG362" s="640">
        <v>1.5197231438340593</v>
      </c>
      <c r="AH362" s="640">
        <v>114.40426288608282</v>
      </c>
      <c r="AI362" s="640">
        <v>13.362638181057982</v>
      </c>
      <c r="AJ362" s="640">
        <v>0</v>
      </c>
      <c r="AK362" s="648">
        <v>166.8156263939284</v>
      </c>
    </row>
    <row r="363" spans="3:37" x14ac:dyDescent="0.2">
      <c r="C363" s="646" t="s">
        <v>82</v>
      </c>
      <c r="D363" s="640">
        <v>0</v>
      </c>
      <c r="E363" s="640">
        <v>0</v>
      </c>
      <c r="F363" s="640">
        <v>27.931723909553636</v>
      </c>
      <c r="G363" s="640">
        <v>0.95472649492283324</v>
      </c>
      <c r="H363" s="640">
        <v>0</v>
      </c>
      <c r="I363" s="640">
        <v>0</v>
      </c>
      <c r="J363" s="640">
        <v>4.6306119511950978</v>
      </c>
      <c r="K363" s="640">
        <v>0</v>
      </c>
      <c r="L363" s="640">
        <v>3.1934862443619529</v>
      </c>
      <c r="M363" s="640">
        <v>1.9484214182098638E-2</v>
      </c>
      <c r="N363" s="640">
        <v>0</v>
      </c>
      <c r="O363" s="640">
        <v>6.6456137421005312E-2</v>
      </c>
      <c r="P363" s="640">
        <v>5.7660712732306445</v>
      </c>
      <c r="Q363" s="640">
        <v>0</v>
      </c>
      <c r="R363" s="640">
        <v>0</v>
      </c>
      <c r="S363" s="648">
        <v>42.562560224867276</v>
      </c>
      <c r="U363" s="646" t="s">
        <v>82</v>
      </c>
      <c r="V363" s="640">
        <v>0</v>
      </c>
      <c r="W363" s="640">
        <v>0</v>
      </c>
      <c r="X363" s="640">
        <v>3.5775053425595864</v>
      </c>
      <c r="Y363" s="640">
        <v>0.56393102033742082</v>
      </c>
      <c r="Z363" s="640">
        <v>0</v>
      </c>
      <c r="AA363" s="640">
        <v>0</v>
      </c>
      <c r="AB363" s="640">
        <v>4.6306119511950978</v>
      </c>
      <c r="AC363" s="640">
        <v>0</v>
      </c>
      <c r="AD363" s="640">
        <v>32.861113305842508</v>
      </c>
      <c r="AE363" s="640">
        <v>0.56393102033742082</v>
      </c>
      <c r="AF363" s="640">
        <v>0</v>
      </c>
      <c r="AG363" s="640">
        <v>1.7440136932478227</v>
      </c>
      <c r="AH363" s="640">
        <v>5.8866318405152116</v>
      </c>
      <c r="AI363" s="640">
        <v>0</v>
      </c>
      <c r="AJ363" s="640">
        <v>0.38427420359697795</v>
      </c>
      <c r="AK363" s="648">
        <v>50.21201237763205</v>
      </c>
    </row>
    <row r="364" spans="3:37" x14ac:dyDescent="0.2">
      <c r="C364" s="646" t="s">
        <v>354</v>
      </c>
      <c r="D364" s="640">
        <v>0</v>
      </c>
      <c r="E364" s="640">
        <v>0</v>
      </c>
      <c r="F364" s="640">
        <v>0</v>
      </c>
      <c r="G364" s="640">
        <v>0</v>
      </c>
      <c r="H364" s="640">
        <v>0</v>
      </c>
      <c r="I364" s="640">
        <v>0</v>
      </c>
      <c r="J364" s="640">
        <v>0</v>
      </c>
      <c r="K364" s="640">
        <v>0</v>
      </c>
      <c r="L364" s="640">
        <v>0</v>
      </c>
      <c r="M364" s="640">
        <v>0</v>
      </c>
      <c r="N364" s="640">
        <v>0</v>
      </c>
      <c r="O364" s="640">
        <v>0</v>
      </c>
      <c r="P364" s="640">
        <v>0.39</v>
      </c>
      <c r="Q364" s="640">
        <v>0</v>
      </c>
      <c r="R364" s="640">
        <v>0</v>
      </c>
      <c r="S364" s="648">
        <v>0.39</v>
      </c>
      <c r="U364" s="646" t="s">
        <v>354</v>
      </c>
      <c r="V364" s="640">
        <v>0</v>
      </c>
      <c r="W364" s="640">
        <v>0</v>
      </c>
      <c r="X364" s="640">
        <v>0</v>
      </c>
      <c r="Y364" s="640">
        <v>0</v>
      </c>
      <c r="Z364" s="640">
        <v>0</v>
      </c>
      <c r="AA364" s="640">
        <v>0</v>
      </c>
      <c r="AB364" s="640">
        <v>0</v>
      </c>
      <c r="AC364" s="640">
        <v>0</v>
      </c>
      <c r="AD364" s="640">
        <v>0</v>
      </c>
      <c r="AE364" s="640">
        <v>0</v>
      </c>
      <c r="AF364" s="640">
        <v>0</v>
      </c>
      <c r="AG364" s="640">
        <v>0</v>
      </c>
      <c r="AH364" s="640">
        <v>3.5999999999999996</v>
      </c>
      <c r="AI364" s="640">
        <v>0</v>
      </c>
      <c r="AJ364" s="640">
        <v>0</v>
      </c>
      <c r="AK364" s="648">
        <v>3.5999999999999996</v>
      </c>
    </row>
    <row r="365" spans="3:37" x14ac:dyDescent="0.2">
      <c r="C365" s="644" t="s">
        <v>83</v>
      </c>
      <c r="D365" s="645">
        <v>4.6398193944555786</v>
      </c>
      <c r="E365" s="645">
        <v>0</v>
      </c>
      <c r="F365" s="645">
        <v>288.00399564240968</v>
      </c>
      <c r="G365" s="645">
        <v>267.37720862195579</v>
      </c>
      <c r="H365" s="645">
        <v>0</v>
      </c>
      <c r="I365" s="645">
        <v>0</v>
      </c>
      <c r="J365" s="645">
        <v>117.91049787329212</v>
      </c>
      <c r="K365" s="645">
        <v>1.7618751350284469</v>
      </c>
      <c r="L365" s="645">
        <v>25.931812443893016</v>
      </c>
      <c r="M365" s="645">
        <v>5.4750905882772853</v>
      </c>
      <c r="N365" s="645">
        <v>67.964408038916218</v>
      </c>
      <c r="O365" s="645">
        <v>2.8554061636244761</v>
      </c>
      <c r="P365" s="645">
        <v>525.4263853892121</v>
      </c>
      <c r="Q365" s="645">
        <v>34.870731395116664</v>
      </c>
      <c r="R365" s="645">
        <v>2.9190855580034509</v>
      </c>
      <c r="S365" s="645">
        <v>1345.1363162441851</v>
      </c>
      <c r="U365" s="644" t="s">
        <v>83</v>
      </c>
      <c r="V365" s="645">
        <v>1.264986561669641</v>
      </c>
      <c r="W365" s="645">
        <v>0</v>
      </c>
      <c r="X365" s="645">
        <v>29.211639699659976</v>
      </c>
      <c r="Y365" s="645">
        <v>63.956275747695408</v>
      </c>
      <c r="Z365" s="645">
        <v>0</v>
      </c>
      <c r="AA365" s="645">
        <v>0</v>
      </c>
      <c r="AB365" s="645">
        <v>76.628296851050663</v>
      </c>
      <c r="AC365" s="645">
        <v>4.7844305635958433</v>
      </c>
      <c r="AD365" s="645">
        <v>67.031546398914003</v>
      </c>
      <c r="AE365" s="645">
        <v>63.974688608994001</v>
      </c>
      <c r="AF365" s="645">
        <v>109.8518848230913</v>
      </c>
      <c r="AG365" s="645">
        <v>7.4724249888520751</v>
      </c>
      <c r="AH365" s="645">
        <v>511.81625811534803</v>
      </c>
      <c r="AI365" s="645">
        <v>68.301024235701377</v>
      </c>
      <c r="AJ365" s="645">
        <v>14.600103225213982</v>
      </c>
      <c r="AK365" s="645">
        <v>1018.8935598197862</v>
      </c>
    </row>
    <row r="366" spans="3:37" x14ac:dyDescent="0.2">
      <c r="C366" s="639" t="s">
        <v>84</v>
      </c>
      <c r="D366" s="640">
        <v>0</v>
      </c>
      <c r="E366" s="640">
        <v>0</v>
      </c>
      <c r="F366" s="640">
        <v>104.91003257681685</v>
      </c>
      <c r="G366" s="640">
        <v>11.505661507854215</v>
      </c>
      <c r="H366" s="640">
        <v>0</v>
      </c>
      <c r="I366" s="640">
        <v>0</v>
      </c>
      <c r="J366" s="640">
        <v>0</v>
      </c>
      <c r="K366" s="640">
        <v>0</v>
      </c>
      <c r="L366" s="640">
        <v>0</v>
      </c>
      <c r="M366" s="640">
        <v>0</v>
      </c>
      <c r="N366" s="640">
        <v>0</v>
      </c>
      <c r="O366" s="640">
        <v>0</v>
      </c>
      <c r="P366" s="640">
        <v>0</v>
      </c>
      <c r="Q366" s="640">
        <v>0</v>
      </c>
      <c r="R366" s="640">
        <v>2.8301208000456781</v>
      </c>
      <c r="S366" s="648">
        <v>119.24581488471674</v>
      </c>
      <c r="U366" s="639" t="s">
        <v>84</v>
      </c>
      <c r="V366" s="640">
        <v>0</v>
      </c>
      <c r="W366" s="640">
        <v>0</v>
      </c>
      <c r="X366" s="640">
        <v>70.401025384734808</v>
      </c>
      <c r="Y366" s="640">
        <v>0.81519182748409058</v>
      </c>
      <c r="Z366" s="640">
        <v>0</v>
      </c>
      <c r="AA366" s="640">
        <v>0</v>
      </c>
      <c r="AB366" s="640">
        <v>0</v>
      </c>
      <c r="AC366" s="640">
        <v>0</v>
      </c>
      <c r="AD366" s="640">
        <v>24.563190847778323</v>
      </c>
      <c r="AE366" s="640">
        <v>0</v>
      </c>
      <c r="AF366" s="640">
        <v>0</v>
      </c>
      <c r="AG366" s="640">
        <v>0</v>
      </c>
      <c r="AH366" s="640">
        <v>0</v>
      </c>
      <c r="AI366" s="640">
        <v>0</v>
      </c>
      <c r="AJ366" s="640">
        <v>16.442815988159179</v>
      </c>
      <c r="AK366" s="648">
        <v>112.22222404815641</v>
      </c>
    </row>
    <row r="367" spans="3:37" x14ac:dyDescent="0.2">
      <c r="C367" s="644" t="s">
        <v>85</v>
      </c>
      <c r="D367" s="645">
        <v>4.6398193944555786</v>
      </c>
      <c r="E367" s="645">
        <v>0</v>
      </c>
      <c r="F367" s="645">
        <v>392.91402821922651</v>
      </c>
      <c r="G367" s="645">
        <v>278.88287012980999</v>
      </c>
      <c r="H367" s="645">
        <v>0</v>
      </c>
      <c r="I367" s="645">
        <v>0</v>
      </c>
      <c r="J367" s="645">
        <v>117.91049787329212</v>
      </c>
      <c r="K367" s="645">
        <v>1.7618751350284469</v>
      </c>
      <c r="L367" s="645">
        <v>25.931812443893016</v>
      </c>
      <c r="M367" s="645">
        <v>5.4750905882772853</v>
      </c>
      <c r="N367" s="645">
        <v>67.964408038916218</v>
      </c>
      <c r="O367" s="645">
        <v>2.8554061636244761</v>
      </c>
      <c r="P367" s="645">
        <v>525.4263853892121</v>
      </c>
      <c r="Q367" s="645">
        <v>34.870731395116664</v>
      </c>
      <c r="R367" s="645">
        <v>5.7492063580491291</v>
      </c>
      <c r="S367" s="645">
        <v>1464.3821311289018</v>
      </c>
      <c r="U367" s="644" t="s">
        <v>85</v>
      </c>
      <c r="V367" s="645">
        <v>1.264986561669641</v>
      </c>
      <c r="W367" s="645">
        <v>0</v>
      </c>
      <c r="X367" s="645">
        <v>99.612665084394791</v>
      </c>
      <c r="Y367" s="645">
        <v>64.7714675751795</v>
      </c>
      <c r="Z367" s="645">
        <v>0</v>
      </c>
      <c r="AA367" s="645">
        <v>0</v>
      </c>
      <c r="AB367" s="645">
        <v>76.628296851050663</v>
      </c>
      <c r="AC367" s="645">
        <v>4.7844305635958433</v>
      </c>
      <c r="AD367" s="645">
        <v>91.594737246692318</v>
      </c>
      <c r="AE367" s="645">
        <v>63.974688608994001</v>
      </c>
      <c r="AF367" s="645">
        <v>109.8518848230913</v>
      </c>
      <c r="AG367" s="645">
        <v>7.4724249888520751</v>
      </c>
      <c r="AH367" s="645">
        <v>511.81625811534803</v>
      </c>
      <c r="AI367" s="645">
        <v>68.301024235701377</v>
      </c>
      <c r="AJ367" s="645">
        <v>31.04291921337316</v>
      </c>
      <c r="AK367" s="645">
        <v>1131.1157838679426</v>
      </c>
    </row>
    <row r="368" spans="3:37" x14ac:dyDescent="0.2">
      <c r="C368" s="634"/>
      <c r="D368" s="634"/>
      <c r="E368" s="634"/>
      <c r="F368" s="634"/>
      <c r="G368" s="634"/>
      <c r="H368" s="634"/>
      <c r="I368" s="634"/>
      <c r="J368" s="634"/>
      <c r="K368" s="634"/>
      <c r="L368" s="634"/>
      <c r="M368" s="634"/>
      <c r="N368" s="634"/>
      <c r="O368" s="634"/>
      <c r="P368" s="634"/>
      <c r="Q368" s="634"/>
      <c r="R368" s="634"/>
      <c r="S368" s="634"/>
      <c r="U368" s="634"/>
      <c r="V368" s="634"/>
      <c r="W368" s="634"/>
      <c r="X368" s="634"/>
      <c r="Y368" s="634"/>
      <c r="Z368" s="634"/>
      <c r="AA368" s="634"/>
      <c r="AB368" s="634"/>
      <c r="AC368" s="634"/>
      <c r="AD368" s="634"/>
      <c r="AE368" s="634"/>
      <c r="AF368" s="634"/>
      <c r="AG368" s="634"/>
      <c r="AH368" s="634"/>
      <c r="AI368" s="634"/>
      <c r="AJ368" s="634"/>
      <c r="AK368" s="634"/>
    </row>
    <row r="369" spans="3:37" ht="22.5" x14ac:dyDescent="0.3">
      <c r="C369" s="759" t="s">
        <v>89</v>
      </c>
      <c r="D369" s="759"/>
      <c r="E369" s="759"/>
      <c r="F369" s="759"/>
      <c r="G369" s="759"/>
      <c r="H369" s="759"/>
      <c r="I369" s="759"/>
      <c r="J369" s="759"/>
      <c r="K369" s="759"/>
      <c r="L369" s="759"/>
      <c r="M369" s="759"/>
      <c r="N369" s="759"/>
      <c r="O369" s="759"/>
      <c r="P369" s="759"/>
      <c r="Q369" s="759"/>
      <c r="R369" s="759"/>
      <c r="S369" s="759"/>
      <c r="U369" s="759" t="s">
        <v>89</v>
      </c>
      <c r="V369" s="759"/>
      <c r="W369" s="759"/>
      <c r="X369" s="759"/>
      <c r="Y369" s="759"/>
      <c r="Z369" s="759"/>
      <c r="AA369" s="759"/>
      <c r="AB369" s="759"/>
      <c r="AC369" s="759"/>
      <c r="AD369" s="759"/>
      <c r="AE369" s="759"/>
      <c r="AF369" s="759"/>
      <c r="AG369" s="759"/>
      <c r="AH369" s="759"/>
      <c r="AI369" s="759"/>
      <c r="AJ369" s="759"/>
      <c r="AK369" s="759"/>
    </row>
    <row r="370" spans="3:37" x14ac:dyDescent="0.2">
      <c r="C370" s="634"/>
      <c r="D370" s="634"/>
      <c r="E370" s="634"/>
      <c r="F370" s="634"/>
      <c r="G370" s="634"/>
      <c r="H370" s="634"/>
      <c r="I370" s="634"/>
      <c r="J370" s="634"/>
      <c r="K370" s="634"/>
      <c r="L370" s="634"/>
      <c r="M370" s="634"/>
      <c r="N370" s="634"/>
      <c r="O370" s="634"/>
      <c r="P370" s="634"/>
      <c r="Q370" s="634"/>
      <c r="R370" s="634"/>
      <c r="S370" s="634"/>
      <c r="U370" s="634"/>
      <c r="V370" s="634"/>
      <c r="W370" s="634"/>
      <c r="X370" s="634"/>
      <c r="Y370" s="634"/>
      <c r="Z370" s="634"/>
      <c r="AA370" s="634"/>
      <c r="AB370" s="634"/>
      <c r="AC370" s="634"/>
      <c r="AD370" s="634"/>
      <c r="AE370" s="634"/>
      <c r="AF370" s="634"/>
      <c r="AG370" s="634"/>
      <c r="AH370" s="634"/>
      <c r="AI370" s="634"/>
      <c r="AJ370" s="634"/>
      <c r="AK370" s="634"/>
    </row>
    <row r="371" spans="3:37" ht="12.95" customHeight="1" x14ac:dyDescent="0.2">
      <c r="C371" s="758" t="s">
        <v>128</v>
      </c>
      <c r="D371" s="757" t="s">
        <v>42</v>
      </c>
      <c r="E371" s="757" t="s">
        <v>52</v>
      </c>
      <c r="F371" s="757" t="s">
        <v>53</v>
      </c>
      <c r="G371" s="757" t="s">
        <v>32</v>
      </c>
      <c r="H371" s="757" t="s">
        <v>20</v>
      </c>
      <c r="I371" s="757" t="s">
        <v>55</v>
      </c>
      <c r="J371" s="757" t="s">
        <v>56</v>
      </c>
      <c r="K371" s="757"/>
      <c r="L371" s="757"/>
      <c r="M371" s="757"/>
      <c r="N371" s="757"/>
      <c r="O371" s="757"/>
      <c r="P371" s="757" t="s">
        <v>57</v>
      </c>
      <c r="Q371" s="757" t="s">
        <v>58</v>
      </c>
      <c r="R371" s="757" t="s">
        <v>31</v>
      </c>
      <c r="S371" s="757" t="s">
        <v>10</v>
      </c>
      <c r="U371" s="758" t="s">
        <v>128</v>
      </c>
      <c r="V371" s="757" t="s">
        <v>42</v>
      </c>
      <c r="W371" s="757" t="s">
        <v>52</v>
      </c>
      <c r="X371" s="757" t="s">
        <v>53</v>
      </c>
      <c r="Y371" s="757" t="s">
        <v>32</v>
      </c>
      <c r="Z371" s="757" t="s">
        <v>20</v>
      </c>
      <c r="AA371" s="757" t="s">
        <v>55</v>
      </c>
      <c r="AB371" s="757" t="s">
        <v>56</v>
      </c>
      <c r="AC371" s="757"/>
      <c r="AD371" s="757"/>
      <c r="AE371" s="757"/>
      <c r="AF371" s="757"/>
      <c r="AG371" s="757"/>
      <c r="AH371" s="757" t="s">
        <v>57</v>
      </c>
      <c r="AI371" s="757" t="s">
        <v>58</v>
      </c>
      <c r="AJ371" s="757" t="s">
        <v>31</v>
      </c>
      <c r="AK371" s="757" t="s">
        <v>10</v>
      </c>
    </row>
    <row r="372" spans="3:37" ht="56.25" x14ac:dyDescent="0.2">
      <c r="C372" s="758"/>
      <c r="D372" s="757"/>
      <c r="E372" s="757"/>
      <c r="F372" s="757"/>
      <c r="G372" s="757"/>
      <c r="H372" s="757"/>
      <c r="I372" s="757"/>
      <c r="J372" s="638" t="s">
        <v>335</v>
      </c>
      <c r="K372" s="638" t="s">
        <v>40</v>
      </c>
      <c r="L372" s="638" t="s">
        <v>343</v>
      </c>
      <c r="M372" s="638" t="s">
        <v>344</v>
      </c>
      <c r="N372" s="638" t="s">
        <v>345</v>
      </c>
      <c r="O372" s="638" t="s">
        <v>346</v>
      </c>
      <c r="P372" s="757"/>
      <c r="Q372" s="757"/>
      <c r="R372" s="757"/>
      <c r="S372" s="757"/>
      <c r="U372" s="758"/>
      <c r="V372" s="757"/>
      <c r="W372" s="757"/>
      <c r="X372" s="757"/>
      <c r="Y372" s="757"/>
      <c r="Z372" s="757"/>
      <c r="AA372" s="757"/>
      <c r="AB372" s="638" t="s">
        <v>335</v>
      </c>
      <c r="AC372" s="638" t="s">
        <v>40</v>
      </c>
      <c r="AD372" s="638" t="s">
        <v>343</v>
      </c>
      <c r="AE372" s="638" t="s">
        <v>344</v>
      </c>
      <c r="AF372" s="638" t="s">
        <v>345</v>
      </c>
      <c r="AG372" s="638" t="s">
        <v>346</v>
      </c>
      <c r="AH372" s="757"/>
      <c r="AI372" s="757"/>
      <c r="AJ372" s="757"/>
      <c r="AK372" s="757"/>
    </row>
    <row r="373" spans="3:37" x14ac:dyDescent="0.2">
      <c r="C373" s="639" t="s">
        <v>59</v>
      </c>
      <c r="D373" s="640">
        <v>0</v>
      </c>
      <c r="E373" s="641">
        <v>0</v>
      </c>
      <c r="F373" s="641">
        <v>0</v>
      </c>
      <c r="G373" s="640">
        <v>0</v>
      </c>
      <c r="H373" s="641">
        <v>727.27272727272737</v>
      </c>
      <c r="I373" s="641">
        <v>338.37995078139568</v>
      </c>
      <c r="J373" s="641">
        <v>185.12606679296266</v>
      </c>
      <c r="K373" s="641">
        <v>19.887492227897642</v>
      </c>
      <c r="L373" s="641">
        <v>0.67629573379861951</v>
      </c>
      <c r="M373" s="641">
        <v>0.16041590589481752</v>
      </c>
      <c r="N373" s="641">
        <v>75.083762899489528</v>
      </c>
      <c r="O373" s="641">
        <v>12.515766779598991</v>
      </c>
      <c r="P373" s="642">
        <v>0</v>
      </c>
      <c r="Q373" s="641">
        <v>0</v>
      </c>
      <c r="R373" s="641">
        <v>0</v>
      </c>
      <c r="S373" s="643">
        <v>1359.1024783937653</v>
      </c>
      <c r="U373" s="639" t="s">
        <v>59</v>
      </c>
      <c r="V373" s="640">
        <v>0</v>
      </c>
      <c r="W373" s="641">
        <v>0</v>
      </c>
      <c r="X373" s="641">
        <v>0</v>
      </c>
      <c r="Y373" s="640">
        <v>0</v>
      </c>
      <c r="Z373" s="641">
        <v>764.84848484848499</v>
      </c>
      <c r="AA373" s="641">
        <v>423.19995078139567</v>
      </c>
      <c r="AB373" s="641">
        <v>256.09062969225096</v>
      </c>
      <c r="AC373" s="641">
        <v>36.108430969743218</v>
      </c>
      <c r="AD373" s="641">
        <v>0.67629573379861951</v>
      </c>
      <c r="AE373" s="641">
        <v>0.16041590589481752</v>
      </c>
      <c r="AF373" s="641">
        <v>123.16818516374138</v>
      </c>
      <c r="AG373" s="641">
        <v>30.250193334526926</v>
      </c>
      <c r="AH373" s="642">
        <v>0</v>
      </c>
      <c r="AI373" s="641">
        <v>0</v>
      </c>
      <c r="AJ373" s="641">
        <v>0</v>
      </c>
      <c r="AK373" s="643">
        <v>1634.5025864298366</v>
      </c>
    </row>
    <row r="374" spans="3:37" x14ac:dyDescent="0.2">
      <c r="C374" s="639" t="s">
        <v>60</v>
      </c>
      <c r="D374" s="640">
        <v>46.099891323621534</v>
      </c>
      <c r="E374" s="641">
        <v>464.7986487</v>
      </c>
      <c r="F374" s="641">
        <v>48.534128715927544</v>
      </c>
      <c r="G374" s="640">
        <v>345.55093723566335</v>
      </c>
      <c r="H374" s="641">
        <v>0</v>
      </c>
      <c r="I374" s="641">
        <v>0</v>
      </c>
      <c r="J374" s="641">
        <v>5.7213435879484642</v>
      </c>
      <c r="K374" s="641">
        <v>0</v>
      </c>
      <c r="L374" s="641">
        <v>3.0565993326094723</v>
      </c>
      <c r="M374" s="641">
        <v>0</v>
      </c>
      <c r="N374" s="641">
        <v>0</v>
      </c>
      <c r="O374" s="641">
        <v>0</v>
      </c>
      <c r="P374" s="642">
        <v>0</v>
      </c>
      <c r="Q374" s="641">
        <v>0</v>
      </c>
      <c r="R374" s="641">
        <v>0</v>
      </c>
      <c r="S374" s="643">
        <v>913.76154889577037</v>
      </c>
      <c r="U374" s="639" t="s">
        <v>60</v>
      </c>
      <c r="V374" s="640">
        <v>4.5871215860372576</v>
      </c>
      <c r="W374" s="641">
        <v>113.59926767676768</v>
      </c>
      <c r="X374" s="641">
        <v>20.138935454909394</v>
      </c>
      <c r="Y374" s="640">
        <v>0.51452681198611927</v>
      </c>
      <c r="Z374" s="641">
        <v>0</v>
      </c>
      <c r="AA374" s="641">
        <v>0</v>
      </c>
      <c r="AB374" s="641">
        <v>5.7213435879484642</v>
      </c>
      <c r="AC374" s="641">
        <v>0</v>
      </c>
      <c r="AD374" s="641">
        <v>3.0565993326094723</v>
      </c>
      <c r="AE374" s="641">
        <v>0</v>
      </c>
      <c r="AF374" s="641">
        <v>0</v>
      </c>
      <c r="AG374" s="641">
        <v>0</v>
      </c>
      <c r="AH374" s="642">
        <v>0</v>
      </c>
      <c r="AI374" s="641">
        <v>0</v>
      </c>
      <c r="AJ374" s="641">
        <v>0</v>
      </c>
      <c r="AK374" s="643">
        <v>147.6177944502584</v>
      </c>
    </row>
    <row r="375" spans="3:37" x14ac:dyDescent="0.2">
      <c r="C375" s="639" t="s">
        <v>61</v>
      </c>
      <c r="D375" s="640">
        <v>0</v>
      </c>
      <c r="E375" s="641">
        <v>0</v>
      </c>
      <c r="F375" s="641">
        <v>0</v>
      </c>
      <c r="G375" s="640">
        <v>0</v>
      </c>
      <c r="H375" s="641">
        <v>0</v>
      </c>
      <c r="I375" s="641">
        <v>0</v>
      </c>
      <c r="J375" s="641">
        <v>0</v>
      </c>
      <c r="K375" s="641">
        <v>0</v>
      </c>
      <c r="L375" s="641">
        <v>0</v>
      </c>
      <c r="M375" s="641">
        <v>0</v>
      </c>
      <c r="N375" s="641">
        <v>0</v>
      </c>
      <c r="O375" s="641">
        <v>0</v>
      </c>
      <c r="P375" s="642">
        <v>-12.7985093299136</v>
      </c>
      <c r="Q375" s="641">
        <v>0</v>
      </c>
      <c r="R375" s="641">
        <v>0</v>
      </c>
      <c r="S375" s="643">
        <v>-12.7985093299136</v>
      </c>
      <c r="U375" s="639" t="s">
        <v>61</v>
      </c>
      <c r="V375" s="640">
        <v>0</v>
      </c>
      <c r="W375" s="641">
        <v>0</v>
      </c>
      <c r="X375" s="641">
        <v>0</v>
      </c>
      <c r="Y375" s="640">
        <v>0</v>
      </c>
      <c r="Z375" s="641">
        <v>0</v>
      </c>
      <c r="AA375" s="641">
        <v>0</v>
      </c>
      <c r="AB375" s="641">
        <v>0</v>
      </c>
      <c r="AC375" s="641">
        <v>0</v>
      </c>
      <c r="AD375" s="641">
        <v>0</v>
      </c>
      <c r="AE375" s="641">
        <v>0</v>
      </c>
      <c r="AF375" s="641">
        <v>0</v>
      </c>
      <c r="AG375" s="641">
        <v>0</v>
      </c>
      <c r="AH375" s="642">
        <v>-41.639986107117011</v>
      </c>
      <c r="AI375" s="641">
        <v>0</v>
      </c>
      <c r="AJ375" s="641">
        <v>0</v>
      </c>
      <c r="AK375" s="643">
        <v>-41.639986107117011</v>
      </c>
    </row>
    <row r="376" spans="3:37" x14ac:dyDescent="0.2">
      <c r="C376" s="639" t="s">
        <v>62</v>
      </c>
      <c r="D376" s="640">
        <v>0</v>
      </c>
      <c r="E376" s="641">
        <v>0</v>
      </c>
      <c r="F376" s="641">
        <v>-14.431507774067331</v>
      </c>
      <c r="G376" s="640">
        <v>0</v>
      </c>
      <c r="H376" s="641">
        <v>0</v>
      </c>
      <c r="I376" s="641">
        <v>0</v>
      </c>
      <c r="J376" s="641">
        <v>0</v>
      </c>
      <c r="K376" s="641">
        <v>0</v>
      </c>
      <c r="L376" s="641">
        <v>0</v>
      </c>
      <c r="M376" s="641">
        <v>0</v>
      </c>
      <c r="N376" s="641">
        <v>0</v>
      </c>
      <c r="O376" s="641">
        <v>0</v>
      </c>
      <c r="P376" s="642">
        <v>0</v>
      </c>
      <c r="Q376" s="641">
        <v>0</v>
      </c>
      <c r="R376" s="641">
        <v>0</v>
      </c>
      <c r="S376" s="643">
        <v>-14.431507774067331</v>
      </c>
      <c r="U376" s="639" t="s">
        <v>62</v>
      </c>
      <c r="V376" s="640">
        <v>0</v>
      </c>
      <c r="W376" s="641">
        <v>0</v>
      </c>
      <c r="X376" s="641">
        <v>-5.3013702027186111</v>
      </c>
      <c r="Y376" s="640">
        <v>0</v>
      </c>
      <c r="Z376" s="641">
        <v>0</v>
      </c>
      <c r="AA376" s="641">
        <v>0</v>
      </c>
      <c r="AB376" s="641">
        <v>0</v>
      </c>
      <c r="AC376" s="641">
        <v>0</v>
      </c>
      <c r="AD376" s="641">
        <v>0</v>
      </c>
      <c r="AE376" s="641">
        <v>-5.1137296191648005</v>
      </c>
      <c r="AF376" s="641">
        <v>0</v>
      </c>
      <c r="AG376" s="641">
        <v>0</v>
      </c>
      <c r="AH376" s="642">
        <v>0</v>
      </c>
      <c r="AI376" s="641">
        <v>0</v>
      </c>
      <c r="AJ376" s="641">
        <v>0</v>
      </c>
      <c r="AK376" s="643">
        <v>-10.415099821883413</v>
      </c>
    </row>
    <row r="377" spans="3:37" x14ac:dyDescent="0.2">
      <c r="C377" s="639" t="s">
        <v>63</v>
      </c>
      <c r="D377" s="640">
        <v>0</v>
      </c>
      <c r="E377" s="641">
        <v>0</v>
      </c>
      <c r="F377" s="641">
        <v>-93.443844381495637</v>
      </c>
      <c r="G377" s="640">
        <v>0</v>
      </c>
      <c r="H377" s="641">
        <v>0</v>
      </c>
      <c r="I377" s="641">
        <v>0</v>
      </c>
      <c r="J377" s="641">
        <v>0</v>
      </c>
      <c r="K377" s="641">
        <v>0</v>
      </c>
      <c r="L377" s="641">
        <v>-0.96889726774865159</v>
      </c>
      <c r="M377" s="641">
        <v>0</v>
      </c>
      <c r="N377" s="641">
        <v>0</v>
      </c>
      <c r="O377" s="641">
        <v>0</v>
      </c>
      <c r="P377" s="642">
        <v>0</v>
      </c>
      <c r="Q377" s="641">
        <v>0</v>
      </c>
      <c r="R377" s="641">
        <v>0</v>
      </c>
      <c r="S377" s="643">
        <v>-94.412741649244282</v>
      </c>
      <c r="U377" s="639" t="s">
        <v>63</v>
      </c>
      <c r="V377" s="640">
        <v>0</v>
      </c>
      <c r="W377" s="641">
        <v>0</v>
      </c>
      <c r="X377" s="641">
        <v>-35.841594545498886</v>
      </c>
      <c r="Y377" s="640">
        <v>0</v>
      </c>
      <c r="Z377" s="641">
        <v>0</v>
      </c>
      <c r="AA377" s="641">
        <v>0</v>
      </c>
      <c r="AB377" s="641">
        <v>0</v>
      </c>
      <c r="AC377" s="641">
        <v>0</v>
      </c>
      <c r="AD377" s="641">
        <v>-46.567340427053182</v>
      </c>
      <c r="AE377" s="641">
        <v>0</v>
      </c>
      <c r="AF377" s="641">
        <v>0</v>
      </c>
      <c r="AG377" s="641">
        <v>0</v>
      </c>
      <c r="AH377" s="642">
        <v>0</v>
      </c>
      <c r="AI377" s="641">
        <v>0</v>
      </c>
      <c r="AJ377" s="641">
        <v>0</v>
      </c>
      <c r="AK377" s="643">
        <v>-82.408934972552061</v>
      </c>
    </row>
    <row r="378" spans="3:37" x14ac:dyDescent="0.2">
      <c r="C378" s="639" t="s">
        <v>64</v>
      </c>
      <c r="D378" s="640">
        <v>0</v>
      </c>
      <c r="E378" s="641">
        <v>0</v>
      </c>
      <c r="F378" s="641">
        <v>0</v>
      </c>
      <c r="G378" s="640">
        <v>0</v>
      </c>
      <c r="H378" s="641">
        <v>0</v>
      </c>
      <c r="I378" s="641">
        <v>0</v>
      </c>
      <c r="J378" s="641">
        <v>0</v>
      </c>
      <c r="K378" s="641">
        <v>0</v>
      </c>
      <c r="L378" s="641">
        <v>0</v>
      </c>
      <c r="M378" s="641">
        <v>0</v>
      </c>
      <c r="N378" s="641">
        <v>0</v>
      </c>
      <c r="O378" s="641">
        <v>0</v>
      </c>
      <c r="P378" s="642">
        <v>0</v>
      </c>
      <c r="Q378" s="641">
        <v>0</v>
      </c>
      <c r="R378" s="641">
        <v>0</v>
      </c>
      <c r="S378" s="643">
        <v>0</v>
      </c>
      <c r="U378" s="639" t="s">
        <v>64</v>
      </c>
      <c r="V378" s="640">
        <v>0</v>
      </c>
      <c r="W378" s="641">
        <v>0</v>
      </c>
      <c r="X378" s="641">
        <v>0</v>
      </c>
      <c r="Y378" s="640">
        <v>0</v>
      </c>
      <c r="Z378" s="641">
        <v>0</v>
      </c>
      <c r="AA378" s="641">
        <v>0</v>
      </c>
      <c r="AB378" s="641">
        <v>0</v>
      </c>
      <c r="AC378" s="641">
        <v>0</v>
      </c>
      <c r="AD378" s="641">
        <v>0</v>
      </c>
      <c r="AE378" s="641">
        <v>0</v>
      </c>
      <c r="AF378" s="641">
        <v>0</v>
      </c>
      <c r="AG378" s="641">
        <v>0</v>
      </c>
      <c r="AH378" s="642">
        <v>0</v>
      </c>
      <c r="AI378" s="641">
        <v>0</v>
      </c>
      <c r="AJ378" s="641">
        <v>0</v>
      </c>
      <c r="AK378" s="643">
        <v>0</v>
      </c>
    </row>
    <row r="379" spans="3:37" x14ac:dyDescent="0.2">
      <c r="C379" s="644" t="s">
        <v>65</v>
      </c>
      <c r="D379" s="645">
        <v>46.099891323621534</v>
      </c>
      <c r="E379" s="645">
        <v>464.7986487</v>
      </c>
      <c r="F379" s="645">
        <v>-59.341223439635421</v>
      </c>
      <c r="G379" s="645">
        <v>345.55093723566335</v>
      </c>
      <c r="H379" s="645">
        <v>727.27272727272737</v>
      </c>
      <c r="I379" s="645">
        <v>338.37995078139568</v>
      </c>
      <c r="J379" s="645">
        <v>190.84741038091113</v>
      </c>
      <c r="K379" s="645">
        <v>19.887492227897642</v>
      </c>
      <c r="L379" s="645">
        <v>2.7639977986594397</v>
      </c>
      <c r="M379" s="645">
        <v>0.16041590589481752</v>
      </c>
      <c r="N379" s="645">
        <v>75.083762899489528</v>
      </c>
      <c r="O379" s="645">
        <v>12.515766779598991</v>
      </c>
      <c r="P379" s="645">
        <v>-12.7985093299136</v>
      </c>
      <c r="Q379" s="645">
        <v>0</v>
      </c>
      <c r="R379" s="645">
        <v>0</v>
      </c>
      <c r="S379" s="645">
        <v>2151.2212685363102</v>
      </c>
      <c r="U379" s="644" t="s">
        <v>65</v>
      </c>
      <c r="V379" s="645">
        <v>4.5871215860372576</v>
      </c>
      <c r="W379" s="645">
        <v>113.59926767676768</v>
      </c>
      <c r="X379" s="645">
        <v>-21.004029293308101</v>
      </c>
      <c r="Y379" s="645">
        <v>0.51452681198611927</v>
      </c>
      <c r="Z379" s="645">
        <v>764.84848484848499</v>
      </c>
      <c r="AA379" s="645">
        <v>423.19995078139567</v>
      </c>
      <c r="AB379" s="645">
        <v>261.81197328019942</v>
      </c>
      <c r="AC379" s="645">
        <v>36.108430969743218</v>
      </c>
      <c r="AD379" s="645">
        <v>-42.834445360645091</v>
      </c>
      <c r="AE379" s="645">
        <v>-4.9533137132699832</v>
      </c>
      <c r="AF379" s="645">
        <v>123.16818516374138</v>
      </c>
      <c r="AG379" s="645">
        <v>30.250193334526926</v>
      </c>
      <c r="AH379" s="645">
        <v>-41.639986107117011</v>
      </c>
      <c r="AI379" s="645">
        <v>0</v>
      </c>
      <c r="AJ379" s="645">
        <v>0</v>
      </c>
      <c r="AK379" s="645">
        <v>1647.6563599785427</v>
      </c>
    </row>
    <row r="380" spans="3:37" x14ac:dyDescent="0.2">
      <c r="C380" s="634"/>
      <c r="D380" s="634">
        <v>0</v>
      </c>
      <c r="E380" s="634">
        <v>0</v>
      </c>
      <c r="F380" s="634">
        <v>0</v>
      </c>
      <c r="G380" s="634">
        <v>0</v>
      </c>
      <c r="H380" s="634">
        <v>0</v>
      </c>
      <c r="I380" s="634">
        <v>0</v>
      </c>
      <c r="J380" s="634">
        <v>0</v>
      </c>
      <c r="K380" s="634">
        <v>0</v>
      </c>
      <c r="L380" s="634">
        <v>0</v>
      </c>
      <c r="M380" s="634">
        <v>0</v>
      </c>
      <c r="N380" s="634">
        <v>0</v>
      </c>
      <c r="O380" s="634">
        <v>0</v>
      </c>
      <c r="P380" s="634">
        <v>0</v>
      </c>
      <c r="Q380" s="634">
        <v>0</v>
      </c>
      <c r="R380" s="634">
        <v>0</v>
      </c>
      <c r="S380" s="634">
        <v>0</v>
      </c>
      <c r="U380" s="634"/>
      <c r="V380" s="634">
        <v>0</v>
      </c>
      <c r="W380" s="634">
        <v>0</v>
      </c>
      <c r="X380" s="634">
        <v>0</v>
      </c>
      <c r="Y380" s="634">
        <v>0</v>
      </c>
      <c r="Z380" s="634">
        <v>0</v>
      </c>
      <c r="AA380" s="634">
        <v>0</v>
      </c>
      <c r="AB380" s="634">
        <v>0</v>
      </c>
      <c r="AC380" s="634">
        <v>0</v>
      </c>
      <c r="AD380" s="634">
        <v>0</v>
      </c>
      <c r="AE380" s="634">
        <v>0</v>
      </c>
      <c r="AF380" s="634">
        <v>0</v>
      </c>
      <c r="AG380" s="634">
        <v>0</v>
      </c>
      <c r="AH380" s="634">
        <v>0</v>
      </c>
      <c r="AI380" s="634">
        <v>0</v>
      </c>
      <c r="AJ380" s="634">
        <v>0</v>
      </c>
      <c r="AK380" s="634">
        <v>0</v>
      </c>
    </row>
    <row r="381" spans="3:37" x14ac:dyDescent="0.2">
      <c r="C381" s="646" t="s">
        <v>67</v>
      </c>
      <c r="D381" s="640">
        <v>0</v>
      </c>
      <c r="E381" s="647">
        <v>0</v>
      </c>
      <c r="F381" s="647">
        <v>0</v>
      </c>
      <c r="G381" s="640">
        <v>0</v>
      </c>
      <c r="H381" s="640">
        <v>0</v>
      </c>
      <c r="I381" s="640">
        <v>0</v>
      </c>
      <c r="J381" s="640">
        <v>0</v>
      </c>
      <c r="K381" s="640">
        <v>0</v>
      </c>
      <c r="L381" s="640">
        <v>0</v>
      </c>
      <c r="M381" s="640">
        <v>0</v>
      </c>
      <c r="N381" s="640">
        <v>0</v>
      </c>
      <c r="O381" s="640">
        <v>0</v>
      </c>
      <c r="P381" s="640">
        <v>0</v>
      </c>
      <c r="Q381" s="640">
        <v>0</v>
      </c>
      <c r="R381" s="640">
        <v>0</v>
      </c>
      <c r="S381" s="648">
        <v>0</v>
      </c>
      <c r="U381" s="646" t="s">
        <v>67</v>
      </c>
      <c r="V381" s="640">
        <v>0</v>
      </c>
      <c r="W381" s="647">
        <v>0</v>
      </c>
      <c r="X381" s="647">
        <v>0</v>
      </c>
      <c r="Y381" s="640">
        <v>0</v>
      </c>
      <c r="Z381" s="640">
        <v>0</v>
      </c>
      <c r="AA381" s="640">
        <v>0</v>
      </c>
      <c r="AB381" s="640">
        <v>0</v>
      </c>
      <c r="AC381" s="640">
        <v>0</v>
      </c>
      <c r="AD381" s="640">
        <v>0</v>
      </c>
      <c r="AE381" s="640">
        <v>0</v>
      </c>
      <c r="AF381" s="640">
        <v>0</v>
      </c>
      <c r="AG381" s="640">
        <v>0</v>
      </c>
      <c r="AH381" s="640">
        <v>0</v>
      </c>
      <c r="AI381" s="640">
        <v>0</v>
      </c>
      <c r="AJ381" s="640">
        <v>0</v>
      </c>
      <c r="AK381" s="648">
        <v>0</v>
      </c>
    </row>
    <row r="382" spans="3:37" x14ac:dyDescent="0.2">
      <c r="C382" s="646" t="s">
        <v>347</v>
      </c>
      <c r="D382" s="640">
        <v>2.8267856410252494</v>
      </c>
      <c r="E382" s="640">
        <v>0</v>
      </c>
      <c r="F382" s="640">
        <v>8.0599105831015567</v>
      </c>
      <c r="G382" s="640">
        <v>46.530346198952707</v>
      </c>
      <c r="H382" s="640">
        <v>727.27272727272737</v>
      </c>
      <c r="I382" s="640">
        <v>338.37995078139568</v>
      </c>
      <c r="J382" s="649">
        <v>28.452469116356035</v>
      </c>
      <c r="K382" s="649">
        <v>6.2305848357200952</v>
      </c>
      <c r="L382" s="649">
        <v>3.7328950664080915</v>
      </c>
      <c r="M382" s="649">
        <v>1.0761160081227215</v>
      </c>
      <c r="N382" s="649">
        <v>0</v>
      </c>
      <c r="O382" s="649">
        <v>7.5664382136221358</v>
      </c>
      <c r="P382" s="640">
        <v>-629.14515201417555</v>
      </c>
      <c r="Q382" s="640">
        <v>0</v>
      </c>
      <c r="R382" s="640">
        <v>0</v>
      </c>
      <c r="S382" s="648">
        <v>540.98307170325586</v>
      </c>
      <c r="U382" s="646" t="s">
        <v>347</v>
      </c>
      <c r="V382" s="640">
        <v>0.62631490545869017</v>
      </c>
      <c r="W382" s="640">
        <v>0</v>
      </c>
      <c r="X382" s="640">
        <v>4.1962742194651934</v>
      </c>
      <c r="Y382" s="640">
        <v>0</v>
      </c>
      <c r="Z382" s="640">
        <v>764.84848484848499</v>
      </c>
      <c r="AA382" s="640">
        <v>423.19995078139567</v>
      </c>
      <c r="AB382" s="649">
        <v>22.478183728982629</v>
      </c>
      <c r="AC382" s="649">
        <v>5.0926371917675839</v>
      </c>
      <c r="AD382" s="649">
        <v>3.7328950664080915</v>
      </c>
      <c r="AE382" s="649">
        <v>0.79318377276994545</v>
      </c>
      <c r="AF382" s="649">
        <v>0</v>
      </c>
      <c r="AG382" s="649">
        <v>7.5664382136221358</v>
      </c>
      <c r="AH382" s="640">
        <v>-696.77718495359215</v>
      </c>
      <c r="AI382" s="640">
        <v>0</v>
      </c>
      <c r="AJ382" s="640">
        <v>3.75</v>
      </c>
      <c r="AK382" s="648">
        <v>539.50717777476291</v>
      </c>
    </row>
    <row r="383" spans="3:37" x14ac:dyDescent="0.2">
      <c r="C383" s="646" t="s">
        <v>348</v>
      </c>
      <c r="D383" s="640">
        <v>0</v>
      </c>
      <c r="E383" s="640">
        <v>0</v>
      </c>
      <c r="F383" s="640">
        <v>0</v>
      </c>
      <c r="G383" s="640">
        <v>14.783508517784153</v>
      </c>
      <c r="H383" s="640">
        <v>0</v>
      </c>
      <c r="I383" s="640">
        <v>0</v>
      </c>
      <c r="J383" s="649">
        <v>12.163067049530284</v>
      </c>
      <c r="K383" s="649">
        <v>11.829214997579474</v>
      </c>
      <c r="L383" s="649">
        <v>0</v>
      </c>
      <c r="M383" s="649">
        <v>0.31740804730172578</v>
      </c>
      <c r="N383" s="649">
        <v>0</v>
      </c>
      <c r="O383" s="649">
        <v>2.086875550337155</v>
      </c>
      <c r="P383" s="640">
        <v>0</v>
      </c>
      <c r="Q383" s="640">
        <v>-37.667878685561853</v>
      </c>
      <c r="R383" s="640">
        <v>0</v>
      </c>
      <c r="S383" s="648">
        <v>3.5121954769709394</v>
      </c>
      <c r="U383" s="646" t="s">
        <v>348</v>
      </c>
      <c r="V383" s="640">
        <v>0</v>
      </c>
      <c r="W383" s="640">
        <v>0</v>
      </c>
      <c r="X383" s="640">
        <v>0</v>
      </c>
      <c r="Y383" s="640">
        <v>0</v>
      </c>
      <c r="Z383" s="640">
        <v>0</v>
      </c>
      <c r="AA383" s="640">
        <v>0</v>
      </c>
      <c r="AB383" s="649">
        <v>28.523630086620891</v>
      </c>
      <c r="AC383" s="649">
        <v>26.288013396118924</v>
      </c>
      <c r="AD383" s="649">
        <v>0</v>
      </c>
      <c r="AE383" s="649">
        <v>10.611192177482708</v>
      </c>
      <c r="AF383" s="649">
        <v>0</v>
      </c>
      <c r="AG383" s="649">
        <v>14.121402979798832</v>
      </c>
      <c r="AH383" s="640">
        <v>0</v>
      </c>
      <c r="AI383" s="640">
        <v>-74.176724382187018</v>
      </c>
      <c r="AJ383" s="640">
        <v>0</v>
      </c>
      <c r="AK383" s="648">
        <v>5.3675142578343316</v>
      </c>
    </row>
    <row r="384" spans="3:37" x14ac:dyDescent="0.2">
      <c r="C384" s="646" t="s">
        <v>349</v>
      </c>
      <c r="D384" s="640">
        <v>0</v>
      </c>
      <c r="E384" s="640">
        <v>0</v>
      </c>
      <c r="F384" s="640">
        <v>0</v>
      </c>
      <c r="G384" s="640">
        <v>0</v>
      </c>
      <c r="H384" s="640">
        <v>0</v>
      </c>
      <c r="I384" s="640">
        <v>0</v>
      </c>
      <c r="J384" s="650">
        <v>7.1450792385721682</v>
      </c>
      <c r="K384" s="650">
        <v>0</v>
      </c>
      <c r="L384" s="650">
        <v>0</v>
      </c>
      <c r="M384" s="650">
        <v>-6.8235506728364204</v>
      </c>
      <c r="N384" s="650">
        <v>0</v>
      </c>
      <c r="O384" s="650">
        <v>0</v>
      </c>
      <c r="P384" s="640">
        <v>0</v>
      </c>
      <c r="Q384" s="640">
        <v>0</v>
      </c>
      <c r="R384" s="640">
        <v>0</v>
      </c>
      <c r="S384" s="648">
        <v>0.32152856573574784</v>
      </c>
      <c r="U384" s="646" t="s">
        <v>349</v>
      </c>
      <c r="V384" s="640">
        <v>0</v>
      </c>
      <c r="W384" s="640">
        <v>0</v>
      </c>
      <c r="X384" s="640">
        <v>0</v>
      </c>
      <c r="Y384" s="640">
        <v>0</v>
      </c>
      <c r="Z384" s="640">
        <v>0</v>
      </c>
      <c r="AA384" s="640">
        <v>0</v>
      </c>
      <c r="AB384" s="650">
        <v>137.81211213320262</v>
      </c>
      <c r="AC384" s="650">
        <v>0</v>
      </c>
      <c r="AD384" s="650">
        <v>0</v>
      </c>
      <c r="AE384" s="650">
        <v>-131.61056708720849</v>
      </c>
      <c r="AF384" s="650">
        <v>0</v>
      </c>
      <c r="AG384" s="650">
        <v>0</v>
      </c>
      <c r="AH384" s="640">
        <v>0</v>
      </c>
      <c r="AI384" s="640">
        <v>0</v>
      </c>
      <c r="AJ384" s="640">
        <v>0</v>
      </c>
      <c r="AK384" s="648">
        <v>6.2015450459941235</v>
      </c>
    </row>
    <row r="385" spans="3:37" x14ac:dyDescent="0.2">
      <c r="C385" s="646" t="s">
        <v>350</v>
      </c>
      <c r="D385" s="640">
        <v>0</v>
      </c>
      <c r="E385" s="640">
        <v>0</v>
      </c>
      <c r="F385" s="640">
        <v>0</v>
      </c>
      <c r="G385" s="640">
        <v>0</v>
      </c>
      <c r="H385" s="640">
        <v>0</v>
      </c>
      <c r="I385" s="640">
        <v>0</v>
      </c>
      <c r="J385" s="640">
        <v>0</v>
      </c>
      <c r="K385" s="640">
        <v>0</v>
      </c>
      <c r="L385" s="640">
        <v>0</v>
      </c>
      <c r="M385" s="640">
        <v>0</v>
      </c>
      <c r="N385" s="640">
        <v>0</v>
      </c>
      <c r="O385" s="640">
        <v>0</v>
      </c>
      <c r="P385" s="640">
        <v>0</v>
      </c>
      <c r="Q385" s="640">
        <v>0</v>
      </c>
      <c r="R385" s="640">
        <v>0</v>
      </c>
      <c r="S385" s="648">
        <v>0</v>
      </c>
      <c r="U385" s="646" t="s">
        <v>350</v>
      </c>
      <c r="V385" s="640">
        <v>0</v>
      </c>
      <c r="W385" s="640">
        <v>0</v>
      </c>
      <c r="X385" s="640">
        <v>0</v>
      </c>
      <c r="Y385" s="640">
        <v>0</v>
      </c>
      <c r="Z385" s="640">
        <v>0</v>
      </c>
      <c r="AA385" s="640">
        <v>0</v>
      </c>
      <c r="AB385" s="640">
        <v>0</v>
      </c>
      <c r="AC385" s="640">
        <v>0</v>
      </c>
      <c r="AD385" s="640">
        <v>0</v>
      </c>
      <c r="AE385" s="640">
        <v>0</v>
      </c>
      <c r="AF385" s="640">
        <v>0</v>
      </c>
      <c r="AG385" s="640">
        <v>0</v>
      </c>
      <c r="AH385" s="640">
        <v>0</v>
      </c>
      <c r="AI385" s="640">
        <v>0</v>
      </c>
      <c r="AJ385" s="640">
        <v>0</v>
      </c>
      <c r="AK385" s="648">
        <v>0</v>
      </c>
    </row>
    <row r="386" spans="3:37" x14ac:dyDescent="0.2">
      <c r="C386" s="646" t="s">
        <v>72</v>
      </c>
      <c r="D386" s="640">
        <v>0</v>
      </c>
      <c r="E386" s="640">
        <v>481.48200000000003</v>
      </c>
      <c r="F386" s="640">
        <v>-476.66718000000003</v>
      </c>
      <c r="G386" s="640">
        <v>0</v>
      </c>
      <c r="H386" s="640">
        <v>0</v>
      </c>
      <c r="I386" s="640">
        <v>0</v>
      </c>
      <c r="J386" s="640">
        <v>0</v>
      </c>
      <c r="K386" s="640">
        <v>0</v>
      </c>
      <c r="L386" s="640">
        <v>0</v>
      </c>
      <c r="M386" s="640">
        <v>0</v>
      </c>
      <c r="N386" s="640">
        <v>0</v>
      </c>
      <c r="O386" s="640">
        <v>0</v>
      </c>
      <c r="P386" s="640">
        <v>0</v>
      </c>
      <c r="Q386" s="640">
        <v>0</v>
      </c>
      <c r="R386" s="640">
        <v>0</v>
      </c>
      <c r="S386" s="648">
        <v>4.8148199999999974</v>
      </c>
      <c r="U386" s="646" t="s">
        <v>72</v>
      </c>
      <c r="V386" s="640">
        <v>0</v>
      </c>
      <c r="W386" s="640">
        <v>117.67676767676768</v>
      </c>
      <c r="X386" s="640">
        <v>-116.5</v>
      </c>
      <c r="Y386" s="640">
        <v>0</v>
      </c>
      <c r="Z386" s="640">
        <v>0</v>
      </c>
      <c r="AA386" s="640">
        <v>0</v>
      </c>
      <c r="AB386" s="640">
        <v>0</v>
      </c>
      <c r="AC386" s="640">
        <v>0</v>
      </c>
      <c r="AD386" s="640">
        <v>0</v>
      </c>
      <c r="AE386" s="640">
        <v>0</v>
      </c>
      <c r="AF386" s="640">
        <v>0</v>
      </c>
      <c r="AG386" s="640">
        <v>0</v>
      </c>
      <c r="AH386" s="640">
        <v>0</v>
      </c>
      <c r="AI386" s="640">
        <v>0</v>
      </c>
      <c r="AJ386" s="640">
        <v>0</v>
      </c>
      <c r="AK386" s="648">
        <v>1.1767676767676818</v>
      </c>
    </row>
    <row r="387" spans="3:37" x14ac:dyDescent="0.2">
      <c r="C387" s="646" t="s">
        <v>351</v>
      </c>
      <c r="D387" s="640">
        <v>0</v>
      </c>
      <c r="E387" s="640">
        <v>0</v>
      </c>
      <c r="F387" s="640">
        <v>0</v>
      </c>
      <c r="G387" s="640">
        <v>0</v>
      </c>
      <c r="H387" s="640">
        <v>0</v>
      </c>
      <c r="I387" s="640">
        <v>0</v>
      </c>
      <c r="J387" s="640">
        <v>26.125483595276659</v>
      </c>
      <c r="K387" s="640">
        <v>0</v>
      </c>
      <c r="L387" s="640">
        <v>-26.125483595276659</v>
      </c>
      <c r="M387" s="640">
        <v>0</v>
      </c>
      <c r="N387" s="640">
        <v>0</v>
      </c>
      <c r="O387" s="640">
        <v>0</v>
      </c>
      <c r="P387" s="640">
        <v>0</v>
      </c>
      <c r="Q387" s="640">
        <v>0</v>
      </c>
      <c r="R387" s="640">
        <v>0</v>
      </c>
      <c r="S387" s="648">
        <v>0</v>
      </c>
      <c r="U387" s="646" t="s">
        <v>351</v>
      </c>
      <c r="V387" s="640">
        <v>0</v>
      </c>
      <c r="W387" s="640">
        <v>0</v>
      </c>
      <c r="X387" s="640">
        <v>0</v>
      </c>
      <c r="Y387" s="640">
        <v>0</v>
      </c>
      <c r="Z387" s="640">
        <v>0</v>
      </c>
      <c r="AA387" s="640">
        <v>0</v>
      </c>
      <c r="AB387" s="640" t="e">
        <v>#VALUE!</v>
      </c>
      <c r="AC387" s="640">
        <v>0</v>
      </c>
      <c r="AD387" s="640">
        <v>-100.69655001825291</v>
      </c>
      <c r="AE387" s="640">
        <v>0</v>
      </c>
      <c r="AF387" s="640">
        <v>0</v>
      </c>
      <c r="AG387" s="640">
        <v>0</v>
      </c>
      <c r="AH387" s="640">
        <v>0</v>
      </c>
      <c r="AI387" s="640">
        <v>0</v>
      </c>
      <c r="AJ387" s="640">
        <v>0</v>
      </c>
      <c r="AK387" s="648">
        <v>-100.69655001825291</v>
      </c>
    </row>
    <row r="388" spans="3:37" x14ac:dyDescent="0.2">
      <c r="C388" s="646" t="s">
        <v>352</v>
      </c>
      <c r="D388" s="640">
        <v>0</v>
      </c>
      <c r="E388" s="640">
        <v>0</v>
      </c>
      <c r="F388" s="640">
        <v>0</v>
      </c>
      <c r="G388" s="640">
        <v>0</v>
      </c>
      <c r="H388" s="640">
        <v>0</v>
      </c>
      <c r="I388" s="640">
        <v>0</v>
      </c>
      <c r="J388" s="640">
        <v>0</v>
      </c>
      <c r="K388" s="640">
        <v>0</v>
      </c>
      <c r="L388" s="640">
        <v>0</v>
      </c>
      <c r="M388" s="640">
        <v>0</v>
      </c>
      <c r="N388" s="640">
        <v>0</v>
      </c>
      <c r="O388" s="640">
        <v>0</v>
      </c>
      <c r="P388" s="640">
        <v>0</v>
      </c>
      <c r="Q388" s="640">
        <v>0</v>
      </c>
      <c r="R388" s="640">
        <v>0</v>
      </c>
      <c r="S388" s="648">
        <v>0</v>
      </c>
      <c r="U388" s="646" t="s">
        <v>352</v>
      </c>
      <c r="V388" s="640">
        <v>0</v>
      </c>
      <c r="W388" s="640">
        <v>0</v>
      </c>
      <c r="X388" s="640">
        <v>0</v>
      </c>
      <c r="Y388" s="640">
        <v>0</v>
      </c>
      <c r="Z388" s="640">
        <v>0</v>
      </c>
      <c r="AA388" s="640">
        <v>0</v>
      </c>
      <c r="AB388" s="640">
        <v>0</v>
      </c>
      <c r="AC388" s="640">
        <v>0</v>
      </c>
      <c r="AD388" s="640">
        <v>-28.460377640694865</v>
      </c>
      <c r="AE388" s="640">
        <v>0</v>
      </c>
      <c r="AF388" s="640">
        <v>0</v>
      </c>
      <c r="AG388" s="640">
        <v>0</v>
      </c>
      <c r="AH388" s="640">
        <v>0</v>
      </c>
      <c r="AI388" s="640">
        <v>0</v>
      </c>
      <c r="AJ388" s="640">
        <v>0</v>
      </c>
      <c r="AK388" s="648">
        <v>-28.460377640694865</v>
      </c>
    </row>
    <row r="389" spans="3:37" x14ac:dyDescent="0.2">
      <c r="C389" s="646" t="s">
        <v>73</v>
      </c>
      <c r="D389" s="640">
        <v>0</v>
      </c>
      <c r="E389" s="640">
        <v>0</v>
      </c>
      <c r="F389" s="640">
        <v>0</v>
      </c>
      <c r="G389" s="640">
        <v>8.6128889644156494</v>
      </c>
      <c r="H389" s="640">
        <v>0</v>
      </c>
      <c r="I389" s="640">
        <v>0</v>
      </c>
      <c r="J389" s="640">
        <v>0</v>
      </c>
      <c r="K389" s="640">
        <v>0.10101910584583218</v>
      </c>
      <c r="L389" s="640">
        <v>0</v>
      </c>
      <c r="M389" s="640">
        <v>0.17577324417174797</v>
      </c>
      <c r="N389" s="640">
        <v>0</v>
      </c>
      <c r="O389" s="640">
        <v>0</v>
      </c>
      <c r="P389" s="640">
        <v>1.1785562348680418</v>
      </c>
      <c r="Q389" s="640">
        <v>0</v>
      </c>
      <c r="R389" s="640">
        <v>-7.071337409208251</v>
      </c>
      <c r="S389" s="648">
        <v>2.99690014009302</v>
      </c>
      <c r="U389" s="646" t="s">
        <v>73</v>
      </c>
      <c r="V389" s="640">
        <v>0</v>
      </c>
      <c r="W389" s="640">
        <v>0</v>
      </c>
      <c r="X389" s="640">
        <v>0</v>
      </c>
      <c r="Y389" s="640">
        <v>0</v>
      </c>
      <c r="Z389" s="640">
        <v>0</v>
      </c>
      <c r="AA389" s="640">
        <v>0</v>
      </c>
      <c r="AB389" s="640">
        <v>0</v>
      </c>
      <c r="AC389" s="640">
        <v>0.58294529496624936</v>
      </c>
      <c r="AD389" s="640">
        <v>0</v>
      </c>
      <c r="AE389" s="640">
        <v>0</v>
      </c>
      <c r="AF389" s="640">
        <v>0</v>
      </c>
      <c r="AG389" s="640">
        <v>0</v>
      </c>
      <c r="AH389" s="640">
        <v>56.108484640501494</v>
      </c>
      <c r="AI389" s="640">
        <v>0</v>
      </c>
      <c r="AJ389" s="640">
        <v>-40.806170647637451</v>
      </c>
      <c r="AK389" s="648">
        <v>15.885259287830294</v>
      </c>
    </row>
    <row r="390" spans="3:37" x14ac:dyDescent="0.2">
      <c r="C390" s="646" t="s">
        <v>353</v>
      </c>
      <c r="D390" s="640">
        <v>28.51179328125</v>
      </c>
      <c r="E390" s="640">
        <v>-16.683351300000002</v>
      </c>
      <c r="F390" s="640">
        <v>21.820838094867195</v>
      </c>
      <c r="G390" s="640">
        <v>0</v>
      </c>
      <c r="H390" s="640">
        <v>0</v>
      </c>
      <c r="I390" s="640">
        <v>0</v>
      </c>
      <c r="J390" s="640">
        <v>0</v>
      </c>
      <c r="K390" s="640">
        <v>0</v>
      </c>
      <c r="L390" s="640">
        <v>0</v>
      </c>
      <c r="M390" s="640">
        <v>0</v>
      </c>
      <c r="N390" s="640">
        <v>0</v>
      </c>
      <c r="O390" s="640">
        <v>0</v>
      </c>
      <c r="P390" s="640">
        <v>0</v>
      </c>
      <c r="Q390" s="640">
        <v>0</v>
      </c>
      <c r="R390" s="640">
        <v>0</v>
      </c>
      <c r="S390" s="648">
        <v>33.649280076117194</v>
      </c>
      <c r="U390" s="646" t="s">
        <v>353</v>
      </c>
      <c r="V390" s="640">
        <v>0.72303211975097659</v>
      </c>
      <c r="W390" s="640">
        <v>-4.0775000000000006</v>
      </c>
      <c r="X390" s="640">
        <v>5.333129161634389</v>
      </c>
      <c r="Y390" s="640">
        <v>0</v>
      </c>
      <c r="Z390" s="640">
        <v>0</v>
      </c>
      <c r="AA390" s="640">
        <v>0</v>
      </c>
      <c r="AB390" s="640">
        <v>0</v>
      </c>
      <c r="AC390" s="640">
        <v>0</v>
      </c>
      <c r="AD390" s="640">
        <v>0</v>
      </c>
      <c r="AE390" s="640">
        <v>0</v>
      </c>
      <c r="AF390" s="640">
        <v>0</v>
      </c>
      <c r="AG390" s="640">
        <v>0</v>
      </c>
      <c r="AH390" s="640">
        <v>0</v>
      </c>
      <c r="AI390" s="640">
        <v>0</v>
      </c>
      <c r="AJ390" s="640">
        <v>0</v>
      </c>
      <c r="AK390" s="648">
        <v>1.978661281385365</v>
      </c>
    </row>
    <row r="391" spans="3:37" x14ac:dyDescent="0.2">
      <c r="C391" s="646" t="s">
        <v>75</v>
      </c>
      <c r="D391" s="640">
        <v>11.087919609375001</v>
      </c>
      <c r="E391" s="640">
        <v>0</v>
      </c>
      <c r="F391" s="640">
        <v>16.370388000000002</v>
      </c>
      <c r="G391" s="640">
        <v>4.6713383640000004</v>
      </c>
      <c r="H391" s="640">
        <v>0</v>
      </c>
      <c r="I391" s="640">
        <v>0</v>
      </c>
      <c r="J391" s="640">
        <v>0</v>
      </c>
      <c r="K391" s="640">
        <v>0</v>
      </c>
      <c r="L391" s="640">
        <v>0</v>
      </c>
      <c r="M391" s="640">
        <v>9.5333436000000008E-2</v>
      </c>
      <c r="N391" s="640">
        <v>0</v>
      </c>
      <c r="O391" s="640">
        <v>0</v>
      </c>
      <c r="P391" s="640">
        <v>26.129145836866744</v>
      </c>
      <c r="Q391" s="640">
        <v>0</v>
      </c>
      <c r="R391" s="640">
        <v>0</v>
      </c>
      <c r="S391" s="648">
        <v>58.35412524624175</v>
      </c>
      <c r="U391" s="646" t="s">
        <v>75</v>
      </c>
      <c r="V391" s="640">
        <v>1.73775830078125</v>
      </c>
      <c r="W391" s="640">
        <v>0</v>
      </c>
      <c r="X391" s="640">
        <v>16.370388000000002</v>
      </c>
      <c r="Y391" s="640">
        <v>0</v>
      </c>
      <c r="Z391" s="640">
        <v>0</v>
      </c>
      <c r="AA391" s="640">
        <v>0</v>
      </c>
      <c r="AB391" s="640">
        <v>0</v>
      </c>
      <c r="AC391" s="640">
        <v>0</v>
      </c>
      <c r="AD391" s="640">
        <v>0</v>
      </c>
      <c r="AE391" s="640">
        <v>4.7666718000000001</v>
      </c>
      <c r="AF391" s="640">
        <v>0</v>
      </c>
      <c r="AG391" s="640">
        <v>0</v>
      </c>
      <c r="AH391" s="640">
        <v>36.696565665655768</v>
      </c>
      <c r="AI391" s="640">
        <v>0</v>
      </c>
      <c r="AJ391" s="640">
        <v>0</v>
      </c>
      <c r="AK391" s="648">
        <v>59.571383766437016</v>
      </c>
    </row>
    <row r="392" spans="3:37" x14ac:dyDescent="0.2">
      <c r="C392" s="646" t="s">
        <v>76</v>
      </c>
      <c r="D392" s="640">
        <v>0</v>
      </c>
      <c r="E392" s="640">
        <v>0</v>
      </c>
      <c r="F392" s="640">
        <v>0</v>
      </c>
      <c r="G392" s="640">
        <v>3.9646717348100942</v>
      </c>
      <c r="H392" s="640">
        <v>0</v>
      </c>
      <c r="I392" s="640">
        <v>0</v>
      </c>
      <c r="J392" s="640">
        <v>0</v>
      </c>
      <c r="K392" s="640">
        <v>0</v>
      </c>
      <c r="L392" s="640">
        <v>0</v>
      </c>
      <c r="M392" s="640">
        <v>8.0911668057348868E-2</v>
      </c>
      <c r="N392" s="640">
        <v>0</v>
      </c>
      <c r="O392" s="640">
        <v>0</v>
      </c>
      <c r="P392" s="640">
        <v>47.131742012269626</v>
      </c>
      <c r="Q392" s="640">
        <v>2.9238621334994321</v>
      </c>
      <c r="R392" s="640">
        <v>0</v>
      </c>
      <c r="S392" s="648">
        <v>54.101187548636503</v>
      </c>
      <c r="U392" s="646" t="s">
        <v>76</v>
      </c>
      <c r="V392" s="640">
        <v>0</v>
      </c>
      <c r="W392" s="640">
        <v>0</v>
      </c>
      <c r="X392" s="640">
        <v>0</v>
      </c>
      <c r="Y392" s="640">
        <v>0</v>
      </c>
      <c r="Z392" s="640">
        <v>0</v>
      </c>
      <c r="AA392" s="640">
        <v>0</v>
      </c>
      <c r="AB392" s="640">
        <v>0</v>
      </c>
      <c r="AC392" s="640">
        <v>0</v>
      </c>
      <c r="AD392" s="640">
        <v>0</v>
      </c>
      <c r="AE392" s="640">
        <v>1.5605996097297452</v>
      </c>
      <c r="AF392" s="640">
        <v>0</v>
      </c>
      <c r="AG392" s="640">
        <v>0</v>
      </c>
      <c r="AH392" s="640">
        <v>50.104610120731024</v>
      </c>
      <c r="AI392" s="640">
        <v>5.7529608775183565</v>
      </c>
      <c r="AJ392" s="640">
        <v>0</v>
      </c>
      <c r="AK392" s="648">
        <v>57.418170607979121</v>
      </c>
    </row>
    <row r="393" spans="3:37" x14ac:dyDescent="0.2">
      <c r="C393" s="644" t="s">
        <v>77</v>
      </c>
      <c r="D393" s="645">
        <v>42.426498531650253</v>
      </c>
      <c r="E393" s="645">
        <v>464.7986487</v>
      </c>
      <c r="F393" s="645">
        <v>-430.41604332203127</v>
      </c>
      <c r="G393" s="645">
        <v>78.562753779962591</v>
      </c>
      <c r="H393" s="645">
        <v>727.27272727272737</v>
      </c>
      <c r="I393" s="645">
        <v>338.37995078139568</v>
      </c>
      <c r="J393" s="645">
        <v>73.88609899973514</v>
      </c>
      <c r="K393" s="645">
        <v>18.1608189391454</v>
      </c>
      <c r="L393" s="645">
        <v>-22.392588528868568</v>
      </c>
      <c r="M393" s="645">
        <v>-5.0780082691828765</v>
      </c>
      <c r="N393" s="645">
        <v>0</v>
      </c>
      <c r="O393" s="645">
        <v>9.6533137639592894</v>
      </c>
      <c r="P393" s="645">
        <v>-554.70570793017112</v>
      </c>
      <c r="Q393" s="645">
        <v>-34.744016552062419</v>
      </c>
      <c r="R393" s="645">
        <v>-7.071337409208251</v>
      </c>
      <c r="S393" s="645">
        <v>698.73310875705101</v>
      </c>
      <c r="U393" s="644" t="s">
        <v>77</v>
      </c>
      <c r="V393" s="645">
        <v>3.0871053259909167</v>
      </c>
      <c r="W393" s="645">
        <v>113.59926767676768</v>
      </c>
      <c r="X393" s="645">
        <v>-90.60020861890041</v>
      </c>
      <c r="Y393" s="645">
        <v>0</v>
      </c>
      <c r="Z393" s="645">
        <v>764.84848484848499</v>
      </c>
      <c r="AA393" s="645">
        <v>423.19995078139567</v>
      </c>
      <c r="AB393" s="645">
        <v>188.81392594880614</v>
      </c>
      <c r="AC393" s="645">
        <v>31.963595882852758</v>
      </c>
      <c r="AD393" s="645">
        <v>-125.42403259253969</v>
      </c>
      <c r="AE393" s="645">
        <v>-113.87891972722609</v>
      </c>
      <c r="AF393" s="645">
        <v>0</v>
      </c>
      <c r="AG393" s="645">
        <v>21.687841193420969</v>
      </c>
      <c r="AH393" s="645">
        <v>-553.86752452670385</v>
      </c>
      <c r="AI393" s="645">
        <v>-68.423763504668656</v>
      </c>
      <c r="AJ393" s="645">
        <v>-37.056170647637451</v>
      </c>
      <c r="AK393" s="645">
        <v>557.94955204004305</v>
      </c>
    </row>
    <row r="394" spans="3:37" x14ac:dyDescent="0.2">
      <c r="C394" s="634"/>
      <c r="D394" s="634">
        <v>0</v>
      </c>
      <c r="E394" s="634">
        <v>0</v>
      </c>
      <c r="F394" s="634">
        <v>0</v>
      </c>
      <c r="G394" s="634">
        <v>0</v>
      </c>
      <c r="H394" s="634">
        <v>0</v>
      </c>
      <c r="I394" s="634">
        <v>0</v>
      </c>
      <c r="J394" s="634">
        <v>0</v>
      </c>
      <c r="K394" s="634">
        <v>0</v>
      </c>
      <c r="L394" s="634">
        <v>0</v>
      </c>
      <c r="M394" s="634">
        <v>0</v>
      </c>
      <c r="N394" s="634">
        <v>0</v>
      </c>
      <c r="O394" s="634">
        <v>0</v>
      </c>
      <c r="P394" s="634">
        <v>0</v>
      </c>
      <c r="Q394" s="634">
        <v>0</v>
      </c>
      <c r="R394" s="634">
        <v>0</v>
      </c>
      <c r="S394" s="634">
        <v>0</v>
      </c>
      <c r="U394" s="634"/>
      <c r="V394" s="634">
        <v>0</v>
      </c>
      <c r="W394" s="634">
        <v>0</v>
      </c>
      <c r="X394" s="634">
        <v>0</v>
      </c>
      <c r="Y394" s="634">
        <v>0</v>
      </c>
      <c r="Z394" s="634">
        <v>0</v>
      </c>
      <c r="AA394" s="634">
        <v>0</v>
      </c>
      <c r="AB394" s="634">
        <v>0</v>
      </c>
      <c r="AC394" s="634">
        <v>0</v>
      </c>
      <c r="AD394" s="634">
        <v>0</v>
      </c>
      <c r="AE394" s="634">
        <v>0</v>
      </c>
      <c r="AF394" s="634">
        <v>0</v>
      </c>
      <c r="AG394" s="634">
        <v>0</v>
      </c>
      <c r="AH394" s="634">
        <v>0</v>
      </c>
      <c r="AI394" s="634">
        <v>0</v>
      </c>
      <c r="AJ394" s="634">
        <v>0</v>
      </c>
      <c r="AK394" s="634">
        <v>0</v>
      </c>
    </row>
    <row r="395" spans="3:37" x14ac:dyDescent="0.2">
      <c r="C395" s="646" t="s">
        <v>78</v>
      </c>
      <c r="D395" s="640">
        <v>3.6733927919712848</v>
      </c>
      <c r="E395" s="640">
        <v>0</v>
      </c>
      <c r="F395" s="640">
        <v>19.397200033553816</v>
      </c>
      <c r="G395" s="640">
        <v>91.130108310207916</v>
      </c>
      <c r="H395" s="640">
        <v>0</v>
      </c>
      <c r="I395" s="640">
        <v>0</v>
      </c>
      <c r="J395" s="640">
        <v>22.791437377983073</v>
      </c>
      <c r="K395" s="640">
        <v>1.7013098714668424</v>
      </c>
      <c r="L395" s="640">
        <v>1.007010953125</v>
      </c>
      <c r="M395" s="640">
        <v>1.8779931367345493</v>
      </c>
      <c r="N395" s="640">
        <v>0</v>
      </c>
      <c r="O395" s="640">
        <v>3.7093504340600874E-4</v>
      </c>
      <c r="P395" s="640">
        <v>114.54790196708234</v>
      </c>
      <c r="Q395" s="640">
        <v>16.21056036467343</v>
      </c>
      <c r="R395" s="640">
        <v>0.23655174255371095</v>
      </c>
      <c r="S395" s="648">
        <v>272.57383748439537</v>
      </c>
      <c r="U395" s="646" t="s">
        <v>78</v>
      </c>
      <c r="V395" s="640">
        <v>1.5000162600463405</v>
      </c>
      <c r="W395" s="640">
        <v>0</v>
      </c>
      <c r="X395" s="640">
        <v>0.65820239923796242</v>
      </c>
      <c r="Y395" s="640">
        <v>0</v>
      </c>
      <c r="Z395" s="640">
        <v>0</v>
      </c>
      <c r="AA395" s="640">
        <v>0</v>
      </c>
      <c r="AB395" s="640">
        <v>14.22856522114639</v>
      </c>
      <c r="AC395" s="640">
        <v>4.1194716696050602</v>
      </c>
      <c r="AD395" s="640">
        <v>8.3494072265624997</v>
      </c>
      <c r="AE395" s="640">
        <v>60.539358802903692</v>
      </c>
      <c r="AF395" s="640">
        <v>0</v>
      </c>
      <c r="AG395" s="640">
        <v>3.7093504340600874E-4</v>
      </c>
      <c r="AH395" s="640">
        <v>157.01971492382648</v>
      </c>
      <c r="AI395" s="640">
        <v>25.540840498351418</v>
      </c>
      <c r="AJ395" s="640">
        <v>8.9542294921874994</v>
      </c>
      <c r="AK395" s="648">
        <v>280.91017742891074</v>
      </c>
    </row>
    <row r="396" spans="3:37" x14ac:dyDescent="0.2">
      <c r="C396" s="646" t="s">
        <v>79</v>
      </c>
      <c r="D396" s="640">
        <v>0</v>
      </c>
      <c r="E396" s="640">
        <v>0</v>
      </c>
      <c r="F396" s="640">
        <v>216.8751541495462</v>
      </c>
      <c r="G396" s="640">
        <v>32.745585882615877</v>
      </c>
      <c r="H396" s="640">
        <v>0</v>
      </c>
      <c r="I396" s="640">
        <v>0</v>
      </c>
      <c r="J396" s="640">
        <v>0</v>
      </c>
      <c r="K396" s="640">
        <v>0</v>
      </c>
      <c r="L396" s="640">
        <v>20.896591906701669</v>
      </c>
      <c r="M396" s="640">
        <v>0.66827726291052814</v>
      </c>
      <c r="N396" s="640">
        <v>0</v>
      </c>
      <c r="O396" s="640">
        <v>0</v>
      </c>
      <c r="P396" s="640">
        <v>80.819270278256823</v>
      </c>
      <c r="Q396" s="640">
        <v>0</v>
      </c>
      <c r="R396" s="640">
        <v>2.9193508940431485</v>
      </c>
      <c r="S396" s="648">
        <v>354.92423037407423</v>
      </c>
      <c r="U396" s="646" t="s">
        <v>79</v>
      </c>
      <c r="V396" s="640">
        <v>0</v>
      </c>
      <c r="W396" s="640">
        <v>0</v>
      </c>
      <c r="X396" s="640">
        <v>8.8339079607242379</v>
      </c>
      <c r="Y396" s="640">
        <v>0</v>
      </c>
      <c r="Z396" s="640">
        <v>0</v>
      </c>
      <c r="AA396" s="640">
        <v>0</v>
      </c>
      <c r="AB396" s="640">
        <v>0</v>
      </c>
      <c r="AC396" s="640">
        <v>0</v>
      </c>
      <c r="AD396" s="640">
        <v>12.788272739607951</v>
      </c>
      <c r="AE396" s="640">
        <v>24.887279738493259</v>
      </c>
      <c r="AF396" s="640">
        <v>0</v>
      </c>
      <c r="AG396" s="640">
        <v>0</v>
      </c>
      <c r="AH396" s="640">
        <v>93.844452584108197</v>
      </c>
      <c r="AI396" s="640">
        <v>0</v>
      </c>
      <c r="AJ396" s="640">
        <v>7.1149935986121697</v>
      </c>
      <c r="AK396" s="648">
        <v>147.46890662154581</v>
      </c>
    </row>
    <row r="397" spans="3:37" x14ac:dyDescent="0.2">
      <c r="C397" s="646" t="s">
        <v>80</v>
      </c>
      <c r="D397" s="640">
        <v>0</v>
      </c>
      <c r="E397" s="640">
        <v>0</v>
      </c>
      <c r="F397" s="640">
        <v>5.2094674308398901</v>
      </c>
      <c r="G397" s="640">
        <v>68.551385920257417</v>
      </c>
      <c r="H397" s="640">
        <v>0</v>
      </c>
      <c r="I397" s="640">
        <v>0</v>
      </c>
      <c r="J397" s="640">
        <v>86.155325304334795</v>
      </c>
      <c r="K397" s="640">
        <v>0</v>
      </c>
      <c r="L397" s="640">
        <v>0</v>
      </c>
      <c r="M397" s="640">
        <v>1.3990078759236206</v>
      </c>
      <c r="N397" s="640">
        <v>66.478227859390046</v>
      </c>
      <c r="O397" s="640">
        <v>2.1206229173139883</v>
      </c>
      <c r="P397" s="640">
        <v>194.47767196350526</v>
      </c>
      <c r="Q397" s="640">
        <v>15.182773802844931</v>
      </c>
      <c r="R397" s="640">
        <v>0</v>
      </c>
      <c r="S397" s="648">
        <v>439.5744830744099</v>
      </c>
      <c r="U397" s="646" t="s">
        <v>80</v>
      </c>
      <c r="V397" s="640">
        <v>0</v>
      </c>
      <c r="W397" s="640">
        <v>0</v>
      </c>
      <c r="X397" s="640">
        <v>0.92826525658471626</v>
      </c>
      <c r="Y397" s="640">
        <v>0</v>
      </c>
      <c r="Z397" s="640">
        <v>0</v>
      </c>
      <c r="AA397" s="640">
        <v>0</v>
      </c>
      <c r="AB397" s="640">
        <v>47.227858114444189</v>
      </c>
      <c r="AC397" s="640">
        <v>0</v>
      </c>
      <c r="AD397" s="640">
        <v>0</v>
      </c>
      <c r="AE397" s="640">
        <v>17.293312779197663</v>
      </c>
      <c r="AF397" s="640">
        <v>108.09916343666818</v>
      </c>
      <c r="AG397" s="640">
        <v>4.9369795689122755</v>
      </c>
      <c r="AH397" s="640">
        <v>137.38519988829395</v>
      </c>
      <c r="AI397" s="640">
        <v>27.91071693101145</v>
      </c>
      <c r="AJ397" s="640">
        <v>0</v>
      </c>
      <c r="AK397" s="648">
        <v>343.78149597511242</v>
      </c>
    </row>
    <row r="398" spans="3:37" x14ac:dyDescent="0.2">
      <c r="C398" s="646" t="s">
        <v>81</v>
      </c>
      <c r="D398" s="640">
        <v>0</v>
      </c>
      <c r="E398" s="640">
        <v>0</v>
      </c>
      <c r="F398" s="640">
        <v>2.3181271880740835</v>
      </c>
      <c r="G398" s="640">
        <v>62.553452404821357</v>
      </c>
      <c r="H398" s="640">
        <v>0</v>
      </c>
      <c r="I398" s="640">
        <v>0</v>
      </c>
      <c r="J398" s="640">
        <v>3.0090868580403627</v>
      </c>
      <c r="K398" s="640">
        <v>2.5363417285398034E-2</v>
      </c>
      <c r="L398" s="640">
        <v>0</v>
      </c>
      <c r="M398" s="640">
        <v>1.27660106948615</v>
      </c>
      <c r="N398" s="640">
        <v>8.6055350400994808</v>
      </c>
      <c r="O398" s="640">
        <v>0.68093940948821108</v>
      </c>
      <c r="P398" s="640">
        <v>146.08879967332064</v>
      </c>
      <c r="Q398" s="640">
        <v>3.3506823845440552</v>
      </c>
      <c r="R398" s="640">
        <v>0</v>
      </c>
      <c r="S398" s="648">
        <v>227.90858744515972</v>
      </c>
      <c r="U398" s="646" t="s">
        <v>81</v>
      </c>
      <c r="V398" s="640">
        <v>0</v>
      </c>
      <c r="W398" s="640">
        <v>0</v>
      </c>
      <c r="X398" s="640">
        <v>0.55102356567889155</v>
      </c>
      <c r="Y398" s="640">
        <v>0</v>
      </c>
      <c r="Z398" s="640">
        <v>0</v>
      </c>
      <c r="AA398" s="640">
        <v>0</v>
      </c>
      <c r="AB398" s="640">
        <v>6.5361621549849476</v>
      </c>
      <c r="AC398" s="640">
        <v>2.5363417285398034E-2</v>
      </c>
      <c r="AD398" s="640">
        <v>0</v>
      </c>
      <c r="AE398" s="640">
        <v>5.3379988256415478</v>
      </c>
      <c r="AF398" s="640">
        <v>15.069021727073199</v>
      </c>
      <c r="AG398" s="640">
        <v>1.4375946320597892</v>
      </c>
      <c r="AH398" s="640">
        <v>112.31243747223964</v>
      </c>
      <c r="AI398" s="640">
        <v>14.972206075305797</v>
      </c>
      <c r="AJ398" s="640">
        <v>0</v>
      </c>
      <c r="AK398" s="648">
        <v>156.24180787026921</v>
      </c>
    </row>
    <row r="399" spans="3:37" x14ac:dyDescent="0.2">
      <c r="C399" s="646" t="s">
        <v>82</v>
      </c>
      <c r="D399" s="640">
        <v>0</v>
      </c>
      <c r="E399" s="640">
        <v>0</v>
      </c>
      <c r="F399" s="640">
        <v>27.219719362233906</v>
      </c>
      <c r="G399" s="640">
        <v>0.81069667111944488</v>
      </c>
      <c r="H399" s="640">
        <v>0</v>
      </c>
      <c r="I399" s="640">
        <v>0</v>
      </c>
      <c r="J399" s="640">
        <v>5.0054618408177598</v>
      </c>
      <c r="K399" s="640">
        <v>0</v>
      </c>
      <c r="L399" s="640">
        <v>3.2629555410385191</v>
      </c>
      <c r="M399" s="640">
        <v>1.6544830022845812E-2</v>
      </c>
      <c r="N399" s="640">
        <v>0</v>
      </c>
      <c r="O399" s="640">
        <v>6.051975379409523E-2</v>
      </c>
      <c r="P399" s="640">
        <v>5.5235547180923223</v>
      </c>
      <c r="Q399" s="640">
        <v>0</v>
      </c>
      <c r="R399" s="640">
        <v>0</v>
      </c>
      <c r="S399" s="648">
        <v>41.899452717118898</v>
      </c>
      <c r="U399" s="646" t="s">
        <v>82</v>
      </c>
      <c r="V399" s="640">
        <v>0</v>
      </c>
      <c r="W399" s="640">
        <v>0</v>
      </c>
      <c r="X399" s="640">
        <v>0.67158967449506357</v>
      </c>
      <c r="Y399" s="640">
        <v>0</v>
      </c>
      <c r="Z399" s="640">
        <v>0</v>
      </c>
      <c r="AA399" s="640">
        <v>0</v>
      </c>
      <c r="AB399" s="640">
        <v>5.0054618408177598</v>
      </c>
      <c r="AC399" s="640">
        <v>0</v>
      </c>
      <c r="AD399" s="640">
        <v>35.167200828266267</v>
      </c>
      <c r="AE399" s="640">
        <v>0.86765586771995196</v>
      </c>
      <c r="AF399" s="640">
        <v>0</v>
      </c>
      <c r="AG399" s="640">
        <v>2.1874070050904897</v>
      </c>
      <c r="AH399" s="640">
        <v>5.6657335511185538</v>
      </c>
      <c r="AI399" s="640">
        <v>0</v>
      </c>
      <c r="AJ399" s="640">
        <v>0.44339331184266689</v>
      </c>
      <c r="AK399" s="648">
        <v>50.008442079350758</v>
      </c>
    </row>
    <row r="400" spans="3:37" x14ac:dyDescent="0.2">
      <c r="C400" s="646" t="s">
        <v>354</v>
      </c>
      <c r="D400" s="640">
        <v>0</v>
      </c>
      <c r="E400" s="640">
        <v>0</v>
      </c>
      <c r="F400" s="640">
        <v>0</v>
      </c>
      <c r="G400" s="640">
        <v>0</v>
      </c>
      <c r="H400" s="640">
        <v>0</v>
      </c>
      <c r="I400" s="640">
        <v>0</v>
      </c>
      <c r="J400" s="640">
        <v>0</v>
      </c>
      <c r="K400" s="640">
        <v>0</v>
      </c>
      <c r="L400" s="640">
        <v>0</v>
      </c>
      <c r="M400" s="640">
        <v>0</v>
      </c>
      <c r="N400" s="640">
        <v>0</v>
      </c>
      <c r="O400" s="640">
        <v>0</v>
      </c>
      <c r="P400" s="640">
        <v>0.44999999999999996</v>
      </c>
      <c r="Q400" s="640">
        <v>0</v>
      </c>
      <c r="R400" s="640">
        <v>0</v>
      </c>
      <c r="S400" s="648">
        <v>0.44999999999999996</v>
      </c>
      <c r="U400" s="646" t="s">
        <v>354</v>
      </c>
      <c r="V400" s="640">
        <v>0</v>
      </c>
      <c r="W400" s="640">
        <v>0</v>
      </c>
      <c r="X400" s="640">
        <v>0</v>
      </c>
      <c r="Y400" s="640">
        <v>0</v>
      </c>
      <c r="Z400" s="640">
        <v>0</v>
      </c>
      <c r="AA400" s="640">
        <v>0</v>
      </c>
      <c r="AB400" s="640">
        <v>0</v>
      </c>
      <c r="AC400" s="640">
        <v>0</v>
      </c>
      <c r="AD400" s="640">
        <v>0</v>
      </c>
      <c r="AE400" s="640">
        <v>0</v>
      </c>
      <c r="AF400" s="640">
        <v>0</v>
      </c>
      <c r="AG400" s="640">
        <v>0</v>
      </c>
      <c r="AH400" s="640">
        <v>6</v>
      </c>
      <c r="AI400" s="640">
        <v>0</v>
      </c>
      <c r="AJ400" s="640">
        <v>0</v>
      </c>
      <c r="AK400" s="648">
        <v>6</v>
      </c>
    </row>
    <row r="401" spans="3:37" x14ac:dyDescent="0.2">
      <c r="C401" s="644" t="s">
        <v>83</v>
      </c>
      <c r="D401" s="645">
        <v>3.6733927919712848</v>
      </c>
      <c r="E401" s="645">
        <v>0</v>
      </c>
      <c r="F401" s="645">
        <v>271.01966816424783</v>
      </c>
      <c r="G401" s="645">
        <v>255.79122918902203</v>
      </c>
      <c r="H401" s="645">
        <v>0</v>
      </c>
      <c r="I401" s="645">
        <v>0</v>
      </c>
      <c r="J401" s="645">
        <v>116.96131138117599</v>
      </c>
      <c r="K401" s="645">
        <v>1.7266732887522405</v>
      </c>
      <c r="L401" s="645">
        <v>25.166558400865188</v>
      </c>
      <c r="M401" s="645">
        <v>5.238424175077693</v>
      </c>
      <c r="N401" s="645">
        <v>75.083762899489528</v>
      </c>
      <c r="O401" s="645">
        <v>2.8624530156397006</v>
      </c>
      <c r="P401" s="645">
        <v>541.90719860025752</v>
      </c>
      <c r="Q401" s="645">
        <v>34.744016552062419</v>
      </c>
      <c r="R401" s="645">
        <v>3.1559026365968594</v>
      </c>
      <c r="S401" s="645">
        <v>1337.3305910951583</v>
      </c>
      <c r="U401" s="644" t="s">
        <v>83</v>
      </c>
      <c r="V401" s="645">
        <v>1.5000162600463405</v>
      </c>
      <c r="W401" s="645">
        <v>0</v>
      </c>
      <c r="X401" s="645">
        <v>11.642988856720871</v>
      </c>
      <c r="Y401" s="645">
        <v>0</v>
      </c>
      <c r="Z401" s="645">
        <v>0</v>
      </c>
      <c r="AA401" s="645">
        <v>0</v>
      </c>
      <c r="AB401" s="645">
        <v>72.998047331393281</v>
      </c>
      <c r="AC401" s="645">
        <v>4.1448350868904589</v>
      </c>
      <c r="AD401" s="645">
        <v>56.30488079443672</v>
      </c>
      <c r="AE401" s="645">
        <v>108.92560601395611</v>
      </c>
      <c r="AF401" s="645">
        <v>123.16818516374138</v>
      </c>
      <c r="AG401" s="645">
        <v>8.5623521411059595</v>
      </c>
      <c r="AH401" s="645">
        <v>512.22753841958684</v>
      </c>
      <c r="AI401" s="645">
        <v>68.423763504668656</v>
      </c>
      <c r="AJ401" s="645">
        <v>16.512616402642333</v>
      </c>
      <c r="AK401" s="645">
        <v>984.4108299751889</v>
      </c>
    </row>
    <row r="402" spans="3:37" x14ac:dyDescent="0.2">
      <c r="C402" s="639" t="s">
        <v>84</v>
      </c>
      <c r="D402" s="640">
        <v>0</v>
      </c>
      <c r="E402" s="640">
        <v>0</v>
      </c>
      <c r="F402" s="640">
        <v>100.05515171814793</v>
      </c>
      <c r="G402" s="640">
        <v>11.196954266678716</v>
      </c>
      <c r="H402" s="640">
        <v>0</v>
      </c>
      <c r="I402" s="640">
        <v>0</v>
      </c>
      <c r="J402" s="640">
        <v>0</v>
      </c>
      <c r="K402" s="640">
        <v>0</v>
      </c>
      <c r="L402" s="640">
        <v>0</v>
      </c>
      <c r="M402" s="640">
        <v>0</v>
      </c>
      <c r="N402" s="640">
        <v>0</v>
      </c>
      <c r="O402" s="640">
        <v>0</v>
      </c>
      <c r="P402" s="640">
        <v>0</v>
      </c>
      <c r="Q402" s="640">
        <v>0</v>
      </c>
      <c r="R402" s="640">
        <v>3.9154347726113912</v>
      </c>
      <c r="S402" s="648">
        <v>115.16754075743803</v>
      </c>
      <c r="U402" s="639" t="s">
        <v>84</v>
      </c>
      <c r="V402" s="640">
        <v>0</v>
      </c>
      <c r="W402" s="640">
        <v>0</v>
      </c>
      <c r="X402" s="640">
        <v>57.953190468871433</v>
      </c>
      <c r="Y402" s="640">
        <v>0.51452681198611927</v>
      </c>
      <c r="Z402" s="640">
        <v>0</v>
      </c>
      <c r="AA402" s="640">
        <v>0</v>
      </c>
      <c r="AB402" s="640">
        <v>0</v>
      </c>
      <c r="AC402" s="640">
        <v>0</v>
      </c>
      <c r="AD402" s="640">
        <v>30.108432000732424</v>
      </c>
      <c r="AE402" s="640">
        <v>0</v>
      </c>
      <c r="AF402" s="640">
        <v>0</v>
      </c>
      <c r="AG402" s="640">
        <v>0</v>
      </c>
      <c r="AH402" s="640">
        <v>0</v>
      </c>
      <c r="AI402" s="640">
        <v>0</v>
      </c>
      <c r="AJ402" s="640">
        <v>20.543554244995118</v>
      </c>
      <c r="AK402" s="648">
        <v>109.1197035265851</v>
      </c>
    </row>
    <row r="403" spans="3:37" x14ac:dyDescent="0.2">
      <c r="C403" s="644" t="s">
        <v>85</v>
      </c>
      <c r="D403" s="645">
        <v>3.6733927919712848</v>
      </c>
      <c r="E403" s="645">
        <v>0</v>
      </c>
      <c r="F403" s="645">
        <v>371.07481988239573</v>
      </c>
      <c r="G403" s="645">
        <v>266.98818345570078</v>
      </c>
      <c r="H403" s="645">
        <v>0</v>
      </c>
      <c r="I403" s="645">
        <v>0</v>
      </c>
      <c r="J403" s="645">
        <v>116.96131138117599</v>
      </c>
      <c r="K403" s="645">
        <v>1.7266732887522405</v>
      </c>
      <c r="L403" s="645">
        <v>25.166558400865188</v>
      </c>
      <c r="M403" s="645">
        <v>5.238424175077693</v>
      </c>
      <c r="N403" s="645">
        <v>75.083762899489528</v>
      </c>
      <c r="O403" s="645">
        <v>2.8624530156397006</v>
      </c>
      <c r="P403" s="645">
        <v>541.90719860025752</v>
      </c>
      <c r="Q403" s="645">
        <v>34.744016552062419</v>
      </c>
      <c r="R403" s="645">
        <v>7.071337409208251</v>
      </c>
      <c r="S403" s="645">
        <v>1452.4981318525963</v>
      </c>
      <c r="U403" s="644" t="s">
        <v>85</v>
      </c>
      <c r="V403" s="645">
        <v>1.5000162600463405</v>
      </c>
      <c r="W403" s="645">
        <v>0</v>
      </c>
      <c r="X403" s="645">
        <v>69.596179325592303</v>
      </c>
      <c r="Y403" s="645">
        <v>0.51452681198611927</v>
      </c>
      <c r="Z403" s="645">
        <v>0</v>
      </c>
      <c r="AA403" s="645">
        <v>0</v>
      </c>
      <c r="AB403" s="645">
        <v>72.998047331393281</v>
      </c>
      <c r="AC403" s="645">
        <v>4.1448350868904589</v>
      </c>
      <c r="AD403" s="645">
        <v>86.413312795169148</v>
      </c>
      <c r="AE403" s="645">
        <v>108.92560601395611</v>
      </c>
      <c r="AF403" s="645">
        <v>123.16818516374138</v>
      </c>
      <c r="AG403" s="645">
        <v>8.5623521411059595</v>
      </c>
      <c r="AH403" s="645">
        <v>512.22753841958684</v>
      </c>
      <c r="AI403" s="645">
        <v>68.423763504668656</v>
      </c>
      <c r="AJ403" s="645">
        <v>37.056170647637451</v>
      </c>
      <c r="AK403" s="645">
        <v>1093.530533501774</v>
      </c>
    </row>
    <row r="404" spans="3:37" x14ac:dyDescent="0.2">
      <c r="C404" s="634"/>
      <c r="D404" s="634"/>
      <c r="E404" s="634"/>
      <c r="F404" s="634"/>
      <c r="G404" s="634"/>
      <c r="H404" s="634"/>
      <c r="I404" s="634"/>
      <c r="J404" s="634"/>
      <c r="K404" s="634"/>
      <c r="L404" s="634"/>
      <c r="M404" s="634"/>
      <c r="N404" s="634"/>
      <c r="O404" s="634"/>
      <c r="P404" s="634"/>
      <c r="Q404" s="634"/>
      <c r="R404" s="634"/>
      <c r="S404" s="634"/>
      <c r="U404" s="634"/>
      <c r="V404" s="634"/>
      <c r="W404" s="634"/>
      <c r="X404" s="634"/>
      <c r="Y404" s="634"/>
      <c r="Z404" s="634"/>
      <c r="AA404" s="634"/>
      <c r="AB404" s="634"/>
      <c r="AC404" s="634"/>
      <c r="AD404" s="634"/>
      <c r="AE404" s="634"/>
      <c r="AF404" s="634"/>
      <c r="AG404" s="634"/>
      <c r="AH404" s="634"/>
      <c r="AI404" s="634"/>
      <c r="AJ404" s="634"/>
      <c r="AK404" s="634"/>
    </row>
    <row r="405" spans="3:37" x14ac:dyDescent="0.2">
      <c r="C405" s="634"/>
      <c r="D405" s="634"/>
      <c r="E405" s="634"/>
      <c r="F405" s="634"/>
      <c r="G405" s="634"/>
      <c r="H405" s="634"/>
      <c r="I405" s="634"/>
      <c r="J405" s="634"/>
      <c r="K405" s="634"/>
      <c r="L405" s="634"/>
      <c r="M405" s="634"/>
      <c r="N405" s="634"/>
      <c r="O405" s="634"/>
      <c r="P405" s="634"/>
      <c r="Q405" s="634"/>
      <c r="R405" s="634"/>
      <c r="S405" s="634"/>
      <c r="U405" s="634"/>
      <c r="V405" s="634"/>
      <c r="W405" s="634"/>
      <c r="X405" s="634"/>
      <c r="Y405" s="634"/>
      <c r="Z405" s="634"/>
      <c r="AA405" s="634"/>
      <c r="AB405" s="634"/>
      <c r="AC405" s="634"/>
      <c r="AD405" s="634"/>
      <c r="AE405" s="634"/>
      <c r="AF405" s="634"/>
      <c r="AG405" s="634"/>
      <c r="AH405" s="634"/>
      <c r="AI405" s="634"/>
      <c r="AJ405" s="634"/>
      <c r="AK405" s="634"/>
    </row>
  </sheetData>
  <mergeCells count="288">
    <mergeCell ref="C2:S2"/>
    <mergeCell ref="U2:AK2"/>
    <mergeCell ref="C8:S8"/>
    <mergeCell ref="U8:AK8"/>
    <mergeCell ref="C10:C11"/>
    <mergeCell ref="D10:D11"/>
    <mergeCell ref="E10:E11"/>
    <mergeCell ref="F10:F11"/>
    <mergeCell ref="G10:G11"/>
    <mergeCell ref="H10:H11"/>
    <mergeCell ref="I10:I11"/>
    <mergeCell ref="J10:O10"/>
    <mergeCell ref="AH10:AH11"/>
    <mergeCell ref="AI10:AI11"/>
    <mergeCell ref="AJ10:AJ11"/>
    <mergeCell ref="AK10:AK11"/>
    <mergeCell ref="C45:S45"/>
    <mergeCell ref="U45:AK45"/>
    <mergeCell ref="W10:W11"/>
    <mergeCell ref="X10:X11"/>
    <mergeCell ref="Y10:Y11"/>
    <mergeCell ref="Z10:Z11"/>
    <mergeCell ref="AA10:AA11"/>
    <mergeCell ref="AB10:AG10"/>
    <mergeCell ref="P10:P11"/>
    <mergeCell ref="Q10:Q11"/>
    <mergeCell ref="R10:R11"/>
    <mergeCell ref="S10:S11"/>
    <mergeCell ref="U10:U11"/>
    <mergeCell ref="V10:V11"/>
    <mergeCell ref="I47:I48"/>
    <mergeCell ref="J47:O47"/>
    <mergeCell ref="P47:P48"/>
    <mergeCell ref="Q47:Q48"/>
    <mergeCell ref="R47:R48"/>
    <mergeCell ref="S47:S48"/>
    <mergeCell ref="C47:C48"/>
    <mergeCell ref="D47:D48"/>
    <mergeCell ref="E47:E48"/>
    <mergeCell ref="F47:F48"/>
    <mergeCell ref="G47:G48"/>
    <mergeCell ref="H47:H48"/>
    <mergeCell ref="AA47:AA48"/>
    <mergeCell ref="AB47:AG47"/>
    <mergeCell ref="AH47:AH48"/>
    <mergeCell ref="AI47:AI48"/>
    <mergeCell ref="AJ47:AJ48"/>
    <mergeCell ref="AK47:AK48"/>
    <mergeCell ref="U47:U48"/>
    <mergeCell ref="V47:V48"/>
    <mergeCell ref="W47:W48"/>
    <mergeCell ref="X47:X48"/>
    <mergeCell ref="Y47:Y48"/>
    <mergeCell ref="Z47:Z48"/>
    <mergeCell ref="C81:S81"/>
    <mergeCell ref="U81:AK81"/>
    <mergeCell ref="C83:C84"/>
    <mergeCell ref="D83:D84"/>
    <mergeCell ref="E83:E84"/>
    <mergeCell ref="F83:F84"/>
    <mergeCell ref="G83:G84"/>
    <mergeCell ref="H83:H84"/>
    <mergeCell ref="I83:I84"/>
    <mergeCell ref="J83:O83"/>
    <mergeCell ref="AH83:AH84"/>
    <mergeCell ref="AI83:AI84"/>
    <mergeCell ref="AJ83:AJ84"/>
    <mergeCell ref="AK83:AK84"/>
    <mergeCell ref="C117:S117"/>
    <mergeCell ref="U117:AK117"/>
    <mergeCell ref="W83:W84"/>
    <mergeCell ref="X83:X84"/>
    <mergeCell ref="Y83:Y84"/>
    <mergeCell ref="Z83:Z84"/>
    <mergeCell ref="AA83:AA84"/>
    <mergeCell ref="AB83:AG83"/>
    <mergeCell ref="P83:P84"/>
    <mergeCell ref="Q83:Q84"/>
    <mergeCell ref="R83:R84"/>
    <mergeCell ref="S83:S84"/>
    <mergeCell ref="U83:U84"/>
    <mergeCell ref="V83:V84"/>
    <mergeCell ref="I119:I120"/>
    <mergeCell ref="J119:O119"/>
    <mergeCell ref="P119:P120"/>
    <mergeCell ref="Q119:Q120"/>
    <mergeCell ref="R119:R120"/>
    <mergeCell ref="S119:S120"/>
    <mergeCell ref="C119:C120"/>
    <mergeCell ref="D119:D120"/>
    <mergeCell ref="E119:E120"/>
    <mergeCell ref="F119:F120"/>
    <mergeCell ref="G119:G120"/>
    <mergeCell ref="H119:H120"/>
    <mergeCell ref="AA119:AA120"/>
    <mergeCell ref="AB119:AG119"/>
    <mergeCell ref="AH119:AH120"/>
    <mergeCell ref="AI119:AI120"/>
    <mergeCell ref="AJ119:AJ120"/>
    <mergeCell ref="AK119:AK120"/>
    <mergeCell ref="U119:U120"/>
    <mergeCell ref="V119:V120"/>
    <mergeCell ref="W119:W120"/>
    <mergeCell ref="X119:X120"/>
    <mergeCell ref="Y119:Y120"/>
    <mergeCell ref="Z119:Z120"/>
    <mergeCell ref="C153:S153"/>
    <mergeCell ref="U153:AK153"/>
    <mergeCell ref="C155:C156"/>
    <mergeCell ref="D155:D156"/>
    <mergeCell ref="E155:E156"/>
    <mergeCell ref="F155:F156"/>
    <mergeCell ref="G155:G156"/>
    <mergeCell ref="H155:H156"/>
    <mergeCell ref="I155:I156"/>
    <mergeCell ref="J155:O155"/>
    <mergeCell ref="AH155:AH156"/>
    <mergeCell ref="AI155:AI156"/>
    <mergeCell ref="AJ155:AJ156"/>
    <mergeCell ref="AK155:AK156"/>
    <mergeCell ref="C189:S189"/>
    <mergeCell ref="U189:AK189"/>
    <mergeCell ref="W155:W156"/>
    <mergeCell ref="X155:X156"/>
    <mergeCell ref="Y155:Y156"/>
    <mergeCell ref="Z155:Z156"/>
    <mergeCell ref="AA155:AA156"/>
    <mergeCell ref="AB155:AG155"/>
    <mergeCell ref="P155:P156"/>
    <mergeCell ref="Q155:Q156"/>
    <mergeCell ref="R155:R156"/>
    <mergeCell ref="S155:S156"/>
    <mergeCell ref="U155:U156"/>
    <mergeCell ref="V155:V156"/>
    <mergeCell ref="I191:I192"/>
    <mergeCell ref="J191:O191"/>
    <mergeCell ref="P191:P192"/>
    <mergeCell ref="Q191:Q192"/>
    <mergeCell ref="R191:R192"/>
    <mergeCell ref="S191:S192"/>
    <mergeCell ref="C191:C192"/>
    <mergeCell ref="D191:D192"/>
    <mergeCell ref="E191:E192"/>
    <mergeCell ref="F191:F192"/>
    <mergeCell ref="G191:G192"/>
    <mergeCell ref="H191:H192"/>
    <mergeCell ref="AA191:AA192"/>
    <mergeCell ref="AB191:AG191"/>
    <mergeCell ref="AH191:AH192"/>
    <mergeCell ref="AI191:AI192"/>
    <mergeCell ref="AJ191:AJ192"/>
    <mergeCell ref="AK191:AK192"/>
    <mergeCell ref="U191:U192"/>
    <mergeCell ref="V191:V192"/>
    <mergeCell ref="W191:W192"/>
    <mergeCell ref="X191:X192"/>
    <mergeCell ref="Y191:Y192"/>
    <mergeCell ref="Z191:Z192"/>
    <mergeCell ref="C225:S225"/>
    <mergeCell ref="U225:AK225"/>
    <mergeCell ref="C227:C228"/>
    <mergeCell ref="D227:D228"/>
    <mergeCell ref="E227:E228"/>
    <mergeCell ref="F227:F228"/>
    <mergeCell ref="G227:G228"/>
    <mergeCell ref="H227:H228"/>
    <mergeCell ref="I227:I228"/>
    <mergeCell ref="J227:O227"/>
    <mergeCell ref="AH227:AH228"/>
    <mergeCell ref="AI227:AI228"/>
    <mergeCell ref="AJ227:AJ228"/>
    <mergeCell ref="AK227:AK228"/>
    <mergeCell ref="C261:S261"/>
    <mergeCell ref="U261:AK261"/>
    <mergeCell ref="W227:W228"/>
    <mergeCell ref="X227:X228"/>
    <mergeCell ref="Y227:Y228"/>
    <mergeCell ref="Z227:Z228"/>
    <mergeCell ref="AA227:AA228"/>
    <mergeCell ref="AB227:AG227"/>
    <mergeCell ref="P227:P228"/>
    <mergeCell ref="Q227:Q228"/>
    <mergeCell ref="R227:R228"/>
    <mergeCell ref="S227:S228"/>
    <mergeCell ref="U227:U228"/>
    <mergeCell ref="V227:V228"/>
    <mergeCell ref="I263:I264"/>
    <mergeCell ref="J263:O263"/>
    <mergeCell ref="P263:P264"/>
    <mergeCell ref="Q263:Q264"/>
    <mergeCell ref="R263:R264"/>
    <mergeCell ref="S263:S264"/>
    <mergeCell ref="C263:C264"/>
    <mergeCell ref="D263:D264"/>
    <mergeCell ref="E263:E264"/>
    <mergeCell ref="F263:F264"/>
    <mergeCell ref="G263:G264"/>
    <mergeCell ref="H263:H264"/>
    <mergeCell ref="AA263:AA264"/>
    <mergeCell ref="AB263:AG263"/>
    <mergeCell ref="AH263:AH264"/>
    <mergeCell ref="AI263:AI264"/>
    <mergeCell ref="AJ263:AJ264"/>
    <mergeCell ref="AK263:AK264"/>
    <mergeCell ref="U263:U264"/>
    <mergeCell ref="V263:V264"/>
    <mergeCell ref="W263:W264"/>
    <mergeCell ref="X263:X264"/>
    <mergeCell ref="Y263:Y264"/>
    <mergeCell ref="Z263:Z264"/>
    <mergeCell ref="C297:S297"/>
    <mergeCell ref="U297:AK297"/>
    <mergeCell ref="C299:C300"/>
    <mergeCell ref="D299:D300"/>
    <mergeCell ref="E299:E300"/>
    <mergeCell ref="F299:F300"/>
    <mergeCell ref="G299:G300"/>
    <mergeCell ref="H299:H300"/>
    <mergeCell ref="I299:I300"/>
    <mergeCell ref="J299:O299"/>
    <mergeCell ref="AH299:AH300"/>
    <mergeCell ref="AI299:AI300"/>
    <mergeCell ref="AJ299:AJ300"/>
    <mergeCell ref="AK299:AK300"/>
    <mergeCell ref="C369:S369"/>
    <mergeCell ref="U369:AK369"/>
    <mergeCell ref="C333:S333"/>
    <mergeCell ref="U333:AK333"/>
    <mergeCell ref="W299:W300"/>
    <mergeCell ref="X299:X300"/>
    <mergeCell ref="Y299:Y300"/>
    <mergeCell ref="Z299:Z300"/>
    <mergeCell ref="AA299:AA300"/>
    <mergeCell ref="AB299:AG299"/>
    <mergeCell ref="P299:P300"/>
    <mergeCell ref="Q299:Q300"/>
    <mergeCell ref="R299:R300"/>
    <mergeCell ref="S299:S300"/>
    <mergeCell ref="U299:U300"/>
    <mergeCell ref="V299:V300"/>
    <mergeCell ref="I335:I336"/>
    <mergeCell ref="J335:O335"/>
    <mergeCell ref="P335:P336"/>
    <mergeCell ref="Q335:Q336"/>
    <mergeCell ref="R335:R336"/>
    <mergeCell ref="S335:S336"/>
    <mergeCell ref="C335:C336"/>
    <mergeCell ref="D335:D336"/>
    <mergeCell ref="E335:E336"/>
    <mergeCell ref="F335:F336"/>
    <mergeCell ref="G335:G336"/>
    <mergeCell ref="H335:H336"/>
    <mergeCell ref="AH335:AH336"/>
    <mergeCell ref="AI335:AI336"/>
    <mergeCell ref="AJ335:AJ336"/>
    <mergeCell ref="AK335:AK336"/>
    <mergeCell ref="U335:U336"/>
    <mergeCell ref="V335:V336"/>
    <mergeCell ref="W335:W336"/>
    <mergeCell ref="X335:X336"/>
    <mergeCell ref="Y335:Y336"/>
    <mergeCell ref="Z335:Z336"/>
    <mergeCell ref="AA335:AA336"/>
    <mergeCell ref="AB335:AG335"/>
    <mergeCell ref="AI371:AI372"/>
    <mergeCell ref="AJ371:AJ372"/>
    <mergeCell ref="AK371:AK372"/>
    <mergeCell ref="W371:W372"/>
    <mergeCell ref="X371:X372"/>
    <mergeCell ref="Y371:Y372"/>
    <mergeCell ref="Z371:Z372"/>
    <mergeCell ref="C371:C372"/>
    <mergeCell ref="D371:D372"/>
    <mergeCell ref="E371:E372"/>
    <mergeCell ref="F371:F372"/>
    <mergeCell ref="G371:G372"/>
    <mergeCell ref="H371:H372"/>
    <mergeCell ref="I371:I372"/>
    <mergeCell ref="J371:O371"/>
    <mergeCell ref="AH371:AH372"/>
    <mergeCell ref="AA371:AA372"/>
    <mergeCell ref="AB371:AG371"/>
    <mergeCell ref="P371:P372"/>
    <mergeCell ref="Q371:Q372"/>
    <mergeCell ref="R371:R372"/>
    <mergeCell ref="S371:S372"/>
    <mergeCell ref="U371:U372"/>
    <mergeCell ref="V371:V372"/>
  </mergeCells>
  <conditionalFormatting sqref="D12:S18">
    <cfRule type="expression" dxfId="2813" priority="1083">
      <formula>LEN(TRIM(D12))=0</formula>
    </cfRule>
  </conditionalFormatting>
  <conditionalFormatting sqref="D20:S32">
    <cfRule type="expression" dxfId="2812" priority="1060">
      <formula>LEN(TRIM(D20))=0</formula>
    </cfRule>
    <cfRule type="cellIs" dxfId="2811" priority="1059" operator="equal">
      <formula>0</formula>
    </cfRule>
  </conditionalFormatting>
  <conditionalFormatting sqref="D34:S42">
    <cfRule type="expression" dxfId="2810" priority="1048">
      <formula>LEN(TRIM(D34))=0</formula>
    </cfRule>
    <cfRule type="cellIs" dxfId="2809" priority="1047" operator="equal">
      <formula>0</formula>
    </cfRule>
  </conditionalFormatting>
  <conditionalFormatting sqref="D49:S55">
    <cfRule type="expression" dxfId="2808" priority="1042">
      <formula>LEN(TRIM(D49))=0</formula>
    </cfRule>
  </conditionalFormatting>
  <conditionalFormatting sqref="D57:S69">
    <cfRule type="cellIs" dxfId="2807" priority="1018" operator="equal">
      <formula>0</formula>
    </cfRule>
    <cfRule type="expression" dxfId="2806" priority="1019">
      <formula>LEN(TRIM(D57))=0</formula>
    </cfRule>
  </conditionalFormatting>
  <conditionalFormatting sqref="D71:S79">
    <cfRule type="expression" dxfId="2805" priority="1007">
      <formula>LEN(TRIM(D71))=0</formula>
    </cfRule>
    <cfRule type="cellIs" dxfId="2804" priority="1006" operator="equal">
      <formula>0</formula>
    </cfRule>
  </conditionalFormatting>
  <conditionalFormatting sqref="D85:S91">
    <cfRule type="expression" dxfId="2803" priority="1001">
      <formula>LEN(TRIM(D85))=0</formula>
    </cfRule>
  </conditionalFormatting>
  <conditionalFormatting sqref="D93:S105">
    <cfRule type="expression" dxfId="2802" priority="978">
      <formula>LEN(TRIM(D93))=0</formula>
    </cfRule>
    <cfRule type="cellIs" dxfId="2801" priority="977" operator="equal">
      <formula>0</formula>
    </cfRule>
  </conditionalFormatting>
  <conditionalFormatting sqref="D107:S115">
    <cfRule type="expression" dxfId="2800" priority="966">
      <formula>LEN(TRIM(D107))=0</formula>
    </cfRule>
    <cfRule type="cellIs" dxfId="2799" priority="965" operator="equal">
      <formula>0</formula>
    </cfRule>
  </conditionalFormatting>
  <conditionalFormatting sqref="D121:S127">
    <cfRule type="expression" dxfId="2798" priority="960">
      <formula>LEN(TRIM(D121))=0</formula>
    </cfRule>
  </conditionalFormatting>
  <conditionalFormatting sqref="D129:S141">
    <cfRule type="cellIs" dxfId="2797" priority="936" operator="equal">
      <formula>0</formula>
    </cfRule>
    <cfRule type="expression" dxfId="2796" priority="937">
      <formula>LEN(TRIM(D129))=0</formula>
    </cfRule>
  </conditionalFormatting>
  <conditionalFormatting sqref="D143:S151">
    <cfRule type="expression" dxfId="2795" priority="925">
      <formula>LEN(TRIM(D143))=0</formula>
    </cfRule>
    <cfRule type="cellIs" dxfId="2794" priority="924" operator="equal">
      <formula>0</formula>
    </cfRule>
  </conditionalFormatting>
  <conditionalFormatting sqref="D157:S163">
    <cfRule type="expression" dxfId="2793" priority="919">
      <formula>LEN(TRIM(D157))=0</formula>
    </cfRule>
  </conditionalFormatting>
  <conditionalFormatting sqref="D165:S177">
    <cfRule type="expression" dxfId="2792" priority="896">
      <formula>LEN(TRIM(D165))=0</formula>
    </cfRule>
    <cfRule type="cellIs" dxfId="2791" priority="895" operator="equal">
      <formula>0</formula>
    </cfRule>
  </conditionalFormatting>
  <conditionalFormatting sqref="D179:S187">
    <cfRule type="cellIs" dxfId="2790" priority="883" operator="equal">
      <formula>0</formula>
    </cfRule>
    <cfRule type="expression" dxfId="2789" priority="884">
      <formula>LEN(TRIM(D179))=0</formula>
    </cfRule>
  </conditionalFormatting>
  <conditionalFormatting sqref="D193:S199">
    <cfRule type="expression" dxfId="2788" priority="878">
      <formula>LEN(TRIM(D193))=0</formula>
    </cfRule>
  </conditionalFormatting>
  <conditionalFormatting sqref="D201:S213">
    <cfRule type="cellIs" dxfId="2787" priority="854" operator="equal">
      <formula>0</formula>
    </cfRule>
    <cfRule type="expression" dxfId="2786" priority="855">
      <formula>LEN(TRIM(D201))=0</formula>
    </cfRule>
  </conditionalFormatting>
  <conditionalFormatting sqref="D215:S223">
    <cfRule type="expression" dxfId="2785" priority="843">
      <formula>LEN(TRIM(D215))=0</formula>
    </cfRule>
    <cfRule type="cellIs" dxfId="2784" priority="842" operator="equal">
      <formula>0</formula>
    </cfRule>
  </conditionalFormatting>
  <conditionalFormatting sqref="D229:S235">
    <cfRule type="expression" dxfId="2783" priority="837">
      <formula>LEN(TRIM(D229))=0</formula>
    </cfRule>
  </conditionalFormatting>
  <conditionalFormatting sqref="D237:S249">
    <cfRule type="expression" dxfId="2782" priority="814">
      <formula>LEN(TRIM(D237))=0</formula>
    </cfRule>
    <cfRule type="cellIs" dxfId="2781" priority="813" operator="equal">
      <formula>0</formula>
    </cfRule>
  </conditionalFormatting>
  <conditionalFormatting sqref="D251:S259">
    <cfRule type="cellIs" dxfId="2780" priority="801" operator="equal">
      <formula>0</formula>
    </cfRule>
    <cfRule type="expression" dxfId="2779" priority="802">
      <formula>LEN(TRIM(D251))=0</formula>
    </cfRule>
  </conditionalFormatting>
  <conditionalFormatting sqref="D265:S271">
    <cfRule type="expression" dxfId="2778" priority="796">
      <formula>LEN(TRIM(D265))=0</formula>
    </cfRule>
  </conditionalFormatting>
  <conditionalFormatting sqref="D273:S285">
    <cfRule type="expression" dxfId="2777" priority="773">
      <formula>LEN(TRIM(D273))=0</formula>
    </cfRule>
    <cfRule type="cellIs" dxfId="2776" priority="772" operator="equal">
      <formula>0</formula>
    </cfRule>
  </conditionalFormatting>
  <conditionalFormatting sqref="D287:S295">
    <cfRule type="expression" dxfId="2775" priority="761">
      <formula>LEN(TRIM(D287))=0</formula>
    </cfRule>
    <cfRule type="cellIs" dxfId="2774" priority="760" operator="equal">
      <formula>0</formula>
    </cfRule>
  </conditionalFormatting>
  <conditionalFormatting sqref="D301:S307">
    <cfRule type="expression" dxfId="2773" priority="755">
      <formula>LEN(TRIM(D301))=0</formula>
    </cfRule>
  </conditionalFormatting>
  <conditionalFormatting sqref="D309:S321">
    <cfRule type="cellIs" dxfId="2772" priority="731" operator="equal">
      <formula>0</formula>
    </cfRule>
    <cfRule type="expression" dxfId="2771" priority="732">
      <formula>LEN(TRIM(D309))=0</formula>
    </cfRule>
  </conditionalFormatting>
  <conditionalFormatting sqref="D323:S331">
    <cfRule type="expression" dxfId="2770" priority="720">
      <formula>LEN(TRIM(D323))=0</formula>
    </cfRule>
    <cfRule type="cellIs" dxfId="2769" priority="719" operator="equal">
      <formula>0</formula>
    </cfRule>
  </conditionalFormatting>
  <conditionalFormatting sqref="D337:S343">
    <cfRule type="expression" dxfId="2768" priority="714">
      <formula>LEN(TRIM(D337))=0</formula>
    </cfRule>
  </conditionalFormatting>
  <conditionalFormatting sqref="D345:S357">
    <cfRule type="expression" dxfId="2767" priority="691">
      <formula>LEN(TRIM(D345))=0</formula>
    </cfRule>
    <cfRule type="cellIs" dxfId="2766" priority="690" operator="equal">
      <formula>0</formula>
    </cfRule>
  </conditionalFormatting>
  <conditionalFormatting sqref="D359:S367">
    <cfRule type="cellIs" dxfId="2765" priority="678" operator="equal">
      <formula>0</formula>
    </cfRule>
    <cfRule type="expression" dxfId="2764" priority="679">
      <formula>LEN(TRIM(D359))=0</formula>
    </cfRule>
  </conditionalFormatting>
  <conditionalFormatting sqref="D373:S379">
    <cfRule type="expression" dxfId="2763" priority="673">
      <formula>LEN(TRIM(D373))=0</formula>
    </cfRule>
  </conditionalFormatting>
  <conditionalFormatting sqref="D381:S393">
    <cfRule type="cellIs" dxfId="2762" priority="649" operator="equal">
      <formula>0</formula>
    </cfRule>
    <cfRule type="expression" dxfId="2761" priority="650">
      <formula>LEN(TRIM(D381))=0</formula>
    </cfRule>
  </conditionalFormatting>
  <conditionalFormatting sqref="D395:S403">
    <cfRule type="cellIs" dxfId="2760" priority="637" operator="equal">
      <formula>0</formula>
    </cfRule>
    <cfRule type="expression" dxfId="2759" priority="638">
      <formula>LEN(TRIM(D395))=0</formula>
    </cfRule>
  </conditionalFormatting>
  <conditionalFormatting sqref="G12:G14 Q12:S14 D12:F17 E15:I17 P15:S17 D18:S18">
    <cfRule type="cellIs" dxfId="2758" priority="1067" operator="equal">
      <formula>0</formula>
    </cfRule>
  </conditionalFormatting>
  <conditionalFormatting sqref="G49:G51 Q49:S51 D49:F54 E52:I54 P52:S54 D55:S55">
    <cfRule type="cellIs" dxfId="2757" priority="1026" operator="equal">
      <formula>0</formula>
    </cfRule>
  </conditionalFormatting>
  <conditionalFormatting sqref="G85:G87 Q85:S87 D85:F90 E88:I90 P88:S90 D91:S91">
    <cfRule type="cellIs" dxfId="2756" priority="985" operator="equal">
      <formula>0</formula>
    </cfRule>
  </conditionalFormatting>
  <conditionalFormatting sqref="G121:G123 Q121:S123 D121:F126 E124:I126 P124:S126 D127:S127">
    <cfRule type="cellIs" dxfId="2755" priority="944" operator="equal">
      <formula>0</formula>
    </cfRule>
  </conditionalFormatting>
  <conditionalFormatting sqref="G157:G159 Q157:S159 D157:F162 E160:I162 P160:S162 D163:S163">
    <cfRule type="cellIs" dxfId="2754" priority="903" operator="equal">
      <formula>0</formula>
    </cfRule>
  </conditionalFormatting>
  <conditionalFormatting sqref="G193:G195 Q193:S195 D193:F198 E196:I198 P196:S198 D199:S199">
    <cfRule type="cellIs" dxfId="2753" priority="862" operator="equal">
      <formula>0</formula>
    </cfRule>
  </conditionalFormatting>
  <conditionalFormatting sqref="G229:G231 Q229:S231 D229:F234 E232:I234 P232:S234 D235:S235">
    <cfRule type="cellIs" dxfId="2752" priority="821" operator="equal">
      <formula>0</formula>
    </cfRule>
  </conditionalFormatting>
  <conditionalFormatting sqref="G265:G267 Q265:S267 D265:F270 E268:I270 P268:S270 D271:S271">
    <cfRule type="cellIs" dxfId="2751" priority="780" operator="equal">
      <formula>0</formula>
    </cfRule>
  </conditionalFormatting>
  <conditionalFormatting sqref="G301:G303 Q301:S303 D301:F306 E304:I306 P304:S306 D307:S307">
    <cfRule type="cellIs" dxfId="2750" priority="739" operator="equal">
      <formula>0</formula>
    </cfRule>
  </conditionalFormatting>
  <conditionalFormatting sqref="G337:G339 Q337:S339 D337:F342 E340:I342 P340:S342 D343:S343">
    <cfRule type="cellIs" dxfId="2749" priority="698" operator="equal">
      <formula>0</formula>
    </cfRule>
  </conditionalFormatting>
  <conditionalFormatting sqref="G373:G375 Q373:S375 D373:F378 E376:I378 P376:S378 D379:S379">
    <cfRule type="cellIs" dxfId="2748" priority="657" operator="equal">
      <formula>0</formula>
    </cfRule>
  </conditionalFormatting>
  <conditionalFormatting sqref="H12:I17">
    <cfRule type="cellIs" dxfId="2747" priority="1069" operator="equal">
      <formula>0</formula>
    </cfRule>
  </conditionalFormatting>
  <conditionalFormatting sqref="H49:I54">
    <cfRule type="cellIs" dxfId="2746" priority="1028" operator="equal">
      <formula>0</formula>
    </cfRule>
  </conditionalFormatting>
  <conditionalFormatting sqref="H85:I90">
    <cfRule type="cellIs" dxfId="2745" priority="987" operator="equal">
      <formula>0</formula>
    </cfRule>
  </conditionalFormatting>
  <conditionalFormatting sqref="H121:I126">
    <cfRule type="cellIs" dxfId="2744" priority="946" operator="equal">
      <formula>0</formula>
    </cfRule>
  </conditionalFormatting>
  <conditionalFormatting sqref="H157:I162">
    <cfRule type="cellIs" dxfId="2743" priority="905" operator="equal">
      <formula>0</formula>
    </cfRule>
  </conditionalFormatting>
  <conditionalFormatting sqref="H193:I198">
    <cfRule type="cellIs" dxfId="2742" priority="864" operator="equal">
      <formula>0</formula>
    </cfRule>
  </conditionalFormatting>
  <conditionalFormatting sqref="H229:I234">
    <cfRule type="cellIs" dxfId="2741" priority="823" operator="equal">
      <formula>0</formula>
    </cfRule>
  </conditionalFormatting>
  <conditionalFormatting sqref="H265:I270">
    <cfRule type="cellIs" dxfId="2740" priority="782" operator="equal">
      <formula>0</formula>
    </cfRule>
  </conditionalFormatting>
  <conditionalFormatting sqref="H301:I306">
    <cfRule type="cellIs" dxfId="2739" priority="741" operator="equal">
      <formula>0</formula>
    </cfRule>
  </conditionalFormatting>
  <conditionalFormatting sqref="H337:I342">
    <cfRule type="cellIs" dxfId="2738" priority="700" operator="equal">
      <formula>0</formula>
    </cfRule>
  </conditionalFormatting>
  <conditionalFormatting sqref="H373:I378">
    <cfRule type="cellIs" dxfId="2737" priority="659" operator="equal">
      <formula>0</formula>
    </cfRule>
  </conditionalFormatting>
  <conditionalFormatting sqref="J11:O17">
    <cfRule type="cellIs" dxfId="2736" priority="127" operator="equal">
      <formula>0</formula>
    </cfRule>
  </conditionalFormatting>
  <conditionalFormatting sqref="J48:O54">
    <cfRule type="cellIs" dxfId="2735" priority="115" operator="equal">
      <formula>0</formula>
    </cfRule>
  </conditionalFormatting>
  <conditionalFormatting sqref="J84:O90">
    <cfRule type="cellIs" dxfId="2734" priority="103" operator="equal">
      <formula>0</formula>
    </cfRule>
  </conditionalFormatting>
  <conditionalFormatting sqref="J120:O126">
    <cfRule type="cellIs" dxfId="2733" priority="91" operator="equal">
      <formula>0</formula>
    </cfRule>
  </conditionalFormatting>
  <conditionalFormatting sqref="J156:O162">
    <cfRule type="cellIs" dxfId="2732" priority="79" operator="equal">
      <formula>0</formula>
    </cfRule>
  </conditionalFormatting>
  <conditionalFormatting sqref="J192:O198">
    <cfRule type="cellIs" dxfId="2731" priority="67" operator="equal">
      <formula>0</formula>
    </cfRule>
  </conditionalFormatting>
  <conditionalFormatting sqref="J228:O234">
    <cfRule type="cellIs" dxfId="2730" priority="55" operator="equal">
      <formula>0</formula>
    </cfRule>
  </conditionalFormatting>
  <conditionalFormatting sqref="J264:O270">
    <cfRule type="cellIs" dxfId="2729" priority="43" operator="equal">
      <formula>0</formula>
    </cfRule>
  </conditionalFormatting>
  <conditionalFormatting sqref="J300:O306">
    <cfRule type="cellIs" dxfId="2728" priority="31" operator="equal">
      <formula>0</formula>
    </cfRule>
  </conditionalFormatting>
  <conditionalFormatting sqref="J336:O342">
    <cfRule type="cellIs" dxfId="2727" priority="19" operator="equal">
      <formula>0</formula>
    </cfRule>
  </conditionalFormatting>
  <conditionalFormatting sqref="J372:O378">
    <cfRule type="cellIs" dxfId="2726" priority="7" operator="equal">
      <formula>0</formula>
    </cfRule>
  </conditionalFormatting>
  <conditionalFormatting sqref="K12:O12">
    <cfRule type="cellIs" dxfId="2725" priority="1072" operator="equal">
      <formula>0</formula>
    </cfRule>
  </conditionalFormatting>
  <conditionalFormatting sqref="K49:O49">
    <cfRule type="cellIs" dxfId="2724" priority="1031" operator="equal">
      <formula>0</formula>
    </cfRule>
  </conditionalFormatting>
  <conditionalFormatting sqref="K85:O85">
    <cfRule type="cellIs" dxfId="2723" priority="990" operator="equal">
      <formula>0</formula>
    </cfRule>
  </conditionalFormatting>
  <conditionalFormatting sqref="K121:O121">
    <cfRule type="cellIs" dxfId="2722" priority="949" operator="equal">
      <formula>0</formula>
    </cfRule>
  </conditionalFormatting>
  <conditionalFormatting sqref="K157:O157">
    <cfRule type="cellIs" dxfId="2721" priority="908" operator="equal">
      <formula>0</formula>
    </cfRule>
  </conditionalFormatting>
  <conditionalFormatting sqref="K193:O193">
    <cfRule type="cellIs" dxfId="2720" priority="867" operator="equal">
      <formula>0</formula>
    </cfRule>
  </conditionalFormatting>
  <conditionalFormatting sqref="K229:O229">
    <cfRule type="cellIs" dxfId="2719" priority="826" operator="equal">
      <formula>0</formula>
    </cfRule>
  </conditionalFormatting>
  <conditionalFormatting sqref="K265:O265">
    <cfRule type="cellIs" dxfId="2718" priority="785" operator="equal">
      <formula>0</formula>
    </cfRule>
  </conditionalFormatting>
  <conditionalFormatting sqref="K301:O301">
    <cfRule type="cellIs" dxfId="2717" priority="744" operator="equal">
      <formula>0</formula>
    </cfRule>
  </conditionalFormatting>
  <conditionalFormatting sqref="K337:O337">
    <cfRule type="cellIs" dxfId="2716" priority="703" operator="equal">
      <formula>0</formula>
    </cfRule>
  </conditionalFormatting>
  <conditionalFormatting sqref="K373:O373">
    <cfRule type="cellIs" dxfId="2715" priority="662" operator="equal">
      <formula>0</formula>
    </cfRule>
  </conditionalFormatting>
  <conditionalFormatting sqref="P12:P17">
    <cfRule type="cellIs" dxfId="2714" priority="1068" operator="equal">
      <formula>0</formula>
    </cfRule>
  </conditionalFormatting>
  <conditionalFormatting sqref="P49:P54">
    <cfRule type="cellIs" dxfId="2713" priority="1027" operator="equal">
      <formula>0</formula>
    </cfRule>
  </conditionalFormatting>
  <conditionalFormatting sqref="P85:P90">
    <cfRule type="cellIs" dxfId="2712" priority="986" operator="equal">
      <formula>0</formula>
    </cfRule>
  </conditionalFormatting>
  <conditionalFormatting sqref="P121:P126">
    <cfRule type="cellIs" dxfId="2711" priority="945" operator="equal">
      <formula>0</formula>
    </cfRule>
  </conditionalFormatting>
  <conditionalFormatting sqref="P157:P162">
    <cfRule type="cellIs" dxfId="2710" priority="904" operator="equal">
      <formula>0</formula>
    </cfRule>
  </conditionalFormatting>
  <conditionalFormatting sqref="P193:P198">
    <cfRule type="cellIs" dxfId="2709" priority="863" operator="equal">
      <formula>0</formula>
    </cfRule>
  </conditionalFormatting>
  <conditionalFormatting sqref="P229:P234">
    <cfRule type="cellIs" dxfId="2708" priority="822" operator="equal">
      <formula>0</formula>
    </cfRule>
  </conditionalFormatting>
  <conditionalFormatting sqref="P265:P270">
    <cfRule type="cellIs" dxfId="2707" priority="781" operator="equal">
      <formula>0</formula>
    </cfRule>
  </conditionalFormatting>
  <conditionalFormatting sqref="P301:P306">
    <cfRule type="cellIs" dxfId="2706" priority="740" operator="equal">
      <formula>0</formula>
    </cfRule>
  </conditionalFormatting>
  <conditionalFormatting sqref="P337:P342">
    <cfRule type="cellIs" dxfId="2705" priority="699" operator="equal">
      <formula>0</formula>
    </cfRule>
  </conditionalFormatting>
  <conditionalFormatting sqref="P373:P378">
    <cfRule type="cellIs" dxfId="2704" priority="658" operator="equal">
      <formula>0</formula>
    </cfRule>
  </conditionalFormatting>
  <conditionalFormatting sqref="V12:AK18">
    <cfRule type="expression" dxfId="2703" priority="591">
      <formula>LEN(TRIM(V12))=0</formula>
    </cfRule>
  </conditionalFormatting>
  <conditionalFormatting sqref="V20:AK32">
    <cfRule type="expression" dxfId="2702" priority="568">
      <formula>LEN(TRIM(V20))=0</formula>
    </cfRule>
    <cfRule type="cellIs" dxfId="2701" priority="567" operator="equal">
      <formula>0</formula>
    </cfRule>
  </conditionalFormatting>
  <conditionalFormatting sqref="V34:AK42">
    <cfRule type="expression" dxfId="2700" priority="556">
      <formula>LEN(TRIM(V34))=0</formula>
    </cfRule>
    <cfRule type="cellIs" dxfId="2699" priority="555" operator="equal">
      <formula>0</formula>
    </cfRule>
  </conditionalFormatting>
  <conditionalFormatting sqref="V49:AK55">
    <cfRule type="expression" dxfId="2698" priority="550">
      <formula>LEN(TRIM(V49))=0</formula>
    </cfRule>
  </conditionalFormatting>
  <conditionalFormatting sqref="V57:AK69">
    <cfRule type="expression" dxfId="2697" priority="527">
      <formula>LEN(TRIM(V57))=0</formula>
    </cfRule>
    <cfRule type="cellIs" dxfId="2696" priority="526" operator="equal">
      <formula>0</formula>
    </cfRule>
  </conditionalFormatting>
  <conditionalFormatting sqref="V71:AK79">
    <cfRule type="cellIs" dxfId="2695" priority="514" operator="equal">
      <formula>0</formula>
    </cfRule>
    <cfRule type="expression" dxfId="2694" priority="515">
      <formula>LEN(TRIM(V71))=0</formula>
    </cfRule>
  </conditionalFormatting>
  <conditionalFormatting sqref="V85:AK91">
    <cfRule type="expression" dxfId="2693" priority="509">
      <formula>LEN(TRIM(V85))=0</formula>
    </cfRule>
  </conditionalFormatting>
  <conditionalFormatting sqref="V93:AK105">
    <cfRule type="cellIs" dxfId="2692" priority="485" operator="equal">
      <formula>0</formula>
    </cfRule>
    <cfRule type="expression" dxfId="2691" priority="486">
      <formula>LEN(TRIM(V93))=0</formula>
    </cfRule>
  </conditionalFormatting>
  <conditionalFormatting sqref="V107:AK115">
    <cfRule type="cellIs" dxfId="2690" priority="473" operator="equal">
      <formula>0</formula>
    </cfRule>
    <cfRule type="expression" dxfId="2689" priority="474">
      <formula>LEN(TRIM(V107))=0</formula>
    </cfRule>
  </conditionalFormatting>
  <conditionalFormatting sqref="V121:AK127">
    <cfRule type="expression" dxfId="2688" priority="468">
      <formula>LEN(TRIM(V121))=0</formula>
    </cfRule>
  </conditionalFormatting>
  <conditionalFormatting sqref="V129:AK141">
    <cfRule type="expression" dxfId="2687" priority="445">
      <formula>LEN(TRIM(V129))=0</formula>
    </cfRule>
    <cfRule type="cellIs" dxfId="2686" priority="444" operator="equal">
      <formula>0</formula>
    </cfRule>
  </conditionalFormatting>
  <conditionalFormatting sqref="V143:AK151">
    <cfRule type="expression" dxfId="2685" priority="433">
      <formula>LEN(TRIM(V143))=0</formula>
    </cfRule>
    <cfRule type="cellIs" dxfId="2684" priority="432" operator="equal">
      <formula>0</formula>
    </cfRule>
  </conditionalFormatting>
  <conditionalFormatting sqref="V157:AK163">
    <cfRule type="expression" dxfId="2683" priority="427">
      <formula>LEN(TRIM(V157))=0</formula>
    </cfRule>
  </conditionalFormatting>
  <conditionalFormatting sqref="V165:AK177">
    <cfRule type="expression" dxfId="2682" priority="404">
      <formula>LEN(TRIM(V165))=0</formula>
    </cfRule>
    <cfRule type="cellIs" dxfId="2681" priority="403" operator="equal">
      <formula>0</formula>
    </cfRule>
  </conditionalFormatting>
  <conditionalFormatting sqref="V179:AK187">
    <cfRule type="expression" dxfId="2680" priority="392">
      <formula>LEN(TRIM(V179))=0</formula>
    </cfRule>
    <cfRule type="cellIs" dxfId="2679" priority="391" operator="equal">
      <formula>0</formula>
    </cfRule>
  </conditionalFormatting>
  <conditionalFormatting sqref="V193:AK199">
    <cfRule type="expression" dxfId="2678" priority="386">
      <formula>LEN(TRIM(V193))=0</formula>
    </cfRule>
  </conditionalFormatting>
  <conditionalFormatting sqref="V201:AK213">
    <cfRule type="expression" dxfId="2677" priority="363">
      <formula>LEN(TRIM(V201))=0</formula>
    </cfRule>
    <cfRule type="cellIs" dxfId="2676" priority="362" operator="equal">
      <formula>0</formula>
    </cfRule>
  </conditionalFormatting>
  <conditionalFormatting sqref="V215:AK223">
    <cfRule type="expression" dxfId="2675" priority="351">
      <formula>LEN(TRIM(V215))=0</formula>
    </cfRule>
    <cfRule type="cellIs" dxfId="2674" priority="350" operator="equal">
      <formula>0</formula>
    </cfRule>
  </conditionalFormatting>
  <conditionalFormatting sqref="V229:AK235">
    <cfRule type="expression" dxfId="2673" priority="345">
      <formula>LEN(TRIM(V229))=0</formula>
    </cfRule>
  </conditionalFormatting>
  <conditionalFormatting sqref="V237:AK249">
    <cfRule type="expression" dxfId="2672" priority="322">
      <formula>LEN(TRIM(V237))=0</formula>
    </cfRule>
    <cfRule type="cellIs" dxfId="2671" priority="321" operator="equal">
      <formula>0</formula>
    </cfRule>
  </conditionalFormatting>
  <conditionalFormatting sqref="V251:AK259">
    <cfRule type="expression" dxfId="2670" priority="310">
      <formula>LEN(TRIM(V251))=0</formula>
    </cfRule>
    <cfRule type="cellIs" dxfId="2669" priority="309" operator="equal">
      <formula>0</formula>
    </cfRule>
  </conditionalFormatting>
  <conditionalFormatting sqref="V265:AK271">
    <cfRule type="expression" dxfId="2668" priority="304">
      <formula>LEN(TRIM(V265))=0</formula>
    </cfRule>
  </conditionalFormatting>
  <conditionalFormatting sqref="V273:AK285">
    <cfRule type="cellIs" dxfId="2667" priority="280" operator="equal">
      <formula>0</formula>
    </cfRule>
    <cfRule type="expression" dxfId="2666" priority="281">
      <formula>LEN(TRIM(V273))=0</formula>
    </cfRule>
  </conditionalFormatting>
  <conditionalFormatting sqref="V287:AK295">
    <cfRule type="expression" dxfId="2665" priority="269">
      <formula>LEN(TRIM(V287))=0</formula>
    </cfRule>
    <cfRule type="cellIs" dxfId="2664" priority="268" operator="equal">
      <formula>0</formula>
    </cfRule>
  </conditionalFormatting>
  <conditionalFormatting sqref="V301:AK307">
    <cfRule type="expression" dxfId="2663" priority="263">
      <formula>LEN(TRIM(V301))=0</formula>
    </cfRule>
  </conditionalFormatting>
  <conditionalFormatting sqref="V309:AK321">
    <cfRule type="expression" dxfId="2662" priority="240">
      <formula>LEN(TRIM(V309))=0</formula>
    </cfRule>
    <cfRule type="cellIs" dxfId="2661" priority="239" operator="equal">
      <formula>0</formula>
    </cfRule>
  </conditionalFormatting>
  <conditionalFormatting sqref="V323:AK331">
    <cfRule type="expression" dxfId="2660" priority="228">
      <formula>LEN(TRIM(V323))=0</formula>
    </cfRule>
    <cfRule type="cellIs" dxfId="2659" priority="227" operator="equal">
      <formula>0</formula>
    </cfRule>
  </conditionalFormatting>
  <conditionalFormatting sqref="V337:AK343">
    <cfRule type="expression" dxfId="2658" priority="222">
      <formula>LEN(TRIM(V337))=0</formula>
    </cfRule>
  </conditionalFormatting>
  <conditionalFormatting sqref="V345:AK357">
    <cfRule type="expression" dxfId="2657" priority="199">
      <formula>LEN(TRIM(V345))=0</formula>
    </cfRule>
    <cfRule type="cellIs" dxfId="2656" priority="198" operator="equal">
      <formula>0</formula>
    </cfRule>
  </conditionalFormatting>
  <conditionalFormatting sqref="V359:AK367">
    <cfRule type="expression" dxfId="2655" priority="187">
      <formula>LEN(TRIM(V359))=0</formula>
    </cfRule>
    <cfRule type="cellIs" dxfId="2654" priority="186" operator="equal">
      <formula>0</formula>
    </cfRule>
  </conditionalFormatting>
  <conditionalFormatting sqref="V373:AK379">
    <cfRule type="expression" dxfId="2653" priority="181">
      <formula>LEN(TRIM(V373))=0</formula>
    </cfRule>
  </conditionalFormatting>
  <conditionalFormatting sqref="V381:AK393">
    <cfRule type="cellIs" dxfId="2652" priority="157" operator="equal">
      <formula>0</formula>
    </cfRule>
    <cfRule type="expression" dxfId="2651" priority="158">
      <formula>LEN(TRIM(V381))=0</formula>
    </cfRule>
  </conditionalFormatting>
  <conditionalFormatting sqref="V395:AK403">
    <cfRule type="cellIs" dxfId="2650" priority="145" operator="equal">
      <formula>0</formula>
    </cfRule>
    <cfRule type="expression" dxfId="2649" priority="146">
      <formula>LEN(TRIM(V395))=0</formula>
    </cfRule>
  </conditionalFormatting>
  <conditionalFormatting sqref="Y12:Y14 AI12:AK14 V12:X17 W15:AA17 AH15:AK17 V18:AK18">
    <cfRule type="cellIs" dxfId="2648" priority="575" operator="equal">
      <formula>0</formula>
    </cfRule>
  </conditionalFormatting>
  <conditionalFormatting sqref="Y49:Y51 AI49:AK51 V49:X54 W52:AA54 AH52:AK54 V55:AK55">
    <cfRule type="cellIs" dxfId="2647" priority="534" operator="equal">
      <formula>0</formula>
    </cfRule>
  </conditionalFormatting>
  <conditionalFormatting sqref="Y85:Y87 AI85:AK87 V85:X90 W88:AA90 AH88:AK90 V91:AK91">
    <cfRule type="cellIs" dxfId="2646" priority="493" operator="equal">
      <formula>0</formula>
    </cfRule>
  </conditionalFormatting>
  <conditionalFormatting sqref="Y121:Y123 AI121:AK123 V121:X126 W124:AA126 AH124:AK126 V127:AK127">
    <cfRule type="cellIs" dxfId="2645" priority="452" operator="equal">
      <formula>0</formula>
    </cfRule>
  </conditionalFormatting>
  <conditionalFormatting sqref="Y157:Y159 AI157:AK159 V157:X162 W160:AA162 AH160:AK162 V163:AK163">
    <cfRule type="cellIs" dxfId="2644" priority="411" operator="equal">
      <formula>0</formula>
    </cfRule>
  </conditionalFormatting>
  <conditionalFormatting sqref="Y193:Y195 AI193:AK195 V193:X198 W196:AA198 AH196:AK198 V199:AK199">
    <cfRule type="cellIs" dxfId="2643" priority="370" operator="equal">
      <formula>0</formula>
    </cfRule>
  </conditionalFormatting>
  <conditionalFormatting sqref="Y229:Y231 AI229:AK231 V229:X234 W232:AA234 AH232:AK234 V235:AK235">
    <cfRule type="cellIs" dxfId="2642" priority="329" operator="equal">
      <formula>0</formula>
    </cfRule>
  </conditionalFormatting>
  <conditionalFormatting sqref="Y265:Y267 AI265:AK267 V265:X270 W268:AA270 AH268:AK270 V271:AK271">
    <cfRule type="cellIs" dxfId="2641" priority="288" operator="equal">
      <formula>0</formula>
    </cfRule>
  </conditionalFormatting>
  <conditionalFormatting sqref="Y301:Y303 AI301:AK303 V301:X306 W304:AA306 AH304:AK306 V307:AK307">
    <cfRule type="cellIs" dxfId="2640" priority="247" operator="equal">
      <formula>0</formula>
    </cfRule>
  </conditionalFormatting>
  <conditionalFormatting sqref="Y337:Y339 AI337:AK339 V337:X342 W340:AA342 AH340:AK342 V343:AK343">
    <cfRule type="cellIs" dxfId="2639" priority="206" operator="equal">
      <formula>0</formula>
    </cfRule>
  </conditionalFormatting>
  <conditionalFormatting sqref="Y373:Y375 AI373:AK375 V373:X378 W376:AA378 AH376:AK378 V379:AK379">
    <cfRule type="cellIs" dxfId="2638" priority="165" operator="equal">
      <formula>0</formula>
    </cfRule>
  </conditionalFormatting>
  <conditionalFormatting sqref="Z12:AA17">
    <cfRule type="cellIs" dxfId="2637" priority="577" operator="equal">
      <formula>0</formula>
    </cfRule>
  </conditionalFormatting>
  <conditionalFormatting sqref="Z49:AA54">
    <cfRule type="cellIs" dxfId="2636" priority="536" operator="equal">
      <formula>0</formula>
    </cfRule>
  </conditionalFormatting>
  <conditionalFormatting sqref="Z85:AA90">
    <cfRule type="cellIs" dxfId="2635" priority="495" operator="equal">
      <formula>0</formula>
    </cfRule>
  </conditionalFormatting>
  <conditionalFormatting sqref="Z121:AA126">
    <cfRule type="cellIs" dxfId="2634" priority="454" operator="equal">
      <formula>0</formula>
    </cfRule>
  </conditionalFormatting>
  <conditionalFormatting sqref="Z157:AA162">
    <cfRule type="cellIs" dxfId="2633" priority="413" operator="equal">
      <formula>0</formula>
    </cfRule>
  </conditionalFormatting>
  <conditionalFormatting sqref="Z193:AA198">
    <cfRule type="cellIs" dxfId="2632" priority="372" operator="equal">
      <formula>0</formula>
    </cfRule>
  </conditionalFormatting>
  <conditionalFormatting sqref="Z229:AA234">
    <cfRule type="cellIs" dxfId="2631" priority="331" operator="equal">
      <formula>0</formula>
    </cfRule>
  </conditionalFormatting>
  <conditionalFormatting sqref="Z265:AA270">
    <cfRule type="cellIs" dxfId="2630" priority="290" operator="equal">
      <formula>0</formula>
    </cfRule>
  </conditionalFormatting>
  <conditionalFormatting sqref="Z301:AA306">
    <cfRule type="cellIs" dxfId="2629" priority="249" operator="equal">
      <formula>0</formula>
    </cfRule>
  </conditionalFormatting>
  <conditionalFormatting sqref="Z337:AA342">
    <cfRule type="cellIs" dxfId="2628" priority="208" operator="equal">
      <formula>0</formula>
    </cfRule>
  </conditionalFormatting>
  <conditionalFormatting sqref="Z373:AA378">
    <cfRule type="cellIs" dxfId="2627" priority="167" operator="equal">
      <formula>0</formula>
    </cfRule>
  </conditionalFormatting>
  <conditionalFormatting sqref="AB11:AG17">
    <cfRule type="cellIs" dxfId="2626" priority="121" operator="equal">
      <formula>0</formula>
    </cfRule>
  </conditionalFormatting>
  <conditionalFormatting sqref="AB48:AG54">
    <cfRule type="cellIs" dxfId="2625" priority="109" operator="equal">
      <formula>0</formula>
    </cfRule>
  </conditionalFormatting>
  <conditionalFormatting sqref="AB84:AG90">
    <cfRule type="cellIs" dxfId="2624" priority="97" operator="equal">
      <formula>0</formula>
    </cfRule>
  </conditionalFormatting>
  <conditionalFormatting sqref="AB120:AG126">
    <cfRule type="cellIs" dxfId="2623" priority="85" operator="equal">
      <formula>0</formula>
    </cfRule>
  </conditionalFormatting>
  <conditionalFormatting sqref="AB156:AG162">
    <cfRule type="cellIs" dxfId="2622" priority="73" operator="equal">
      <formula>0</formula>
    </cfRule>
  </conditionalFormatting>
  <conditionalFormatting sqref="AB192:AG198">
    <cfRule type="cellIs" dxfId="2621" priority="61" operator="equal">
      <formula>0</formula>
    </cfRule>
  </conditionalFormatting>
  <conditionalFormatting sqref="AB228:AG234">
    <cfRule type="cellIs" dxfId="2620" priority="49" operator="equal">
      <formula>0</formula>
    </cfRule>
  </conditionalFormatting>
  <conditionalFormatting sqref="AB264:AG270">
    <cfRule type="cellIs" dxfId="2619" priority="37" operator="equal">
      <formula>0</formula>
    </cfRule>
  </conditionalFormatting>
  <conditionalFormatting sqref="AB300:AG306">
    <cfRule type="cellIs" dxfId="2618" priority="25" operator="equal">
      <formula>0</formula>
    </cfRule>
  </conditionalFormatting>
  <conditionalFormatting sqref="AB336:AG342">
    <cfRule type="cellIs" dxfId="2617" priority="13" operator="equal">
      <formula>0</formula>
    </cfRule>
  </conditionalFormatting>
  <conditionalFormatting sqref="AB372:AG378">
    <cfRule type="cellIs" dxfId="2616" priority="1" operator="equal">
      <formula>0</formula>
    </cfRule>
  </conditionalFormatting>
  <conditionalFormatting sqref="AC12:AG12">
    <cfRule type="cellIs" dxfId="2615" priority="580" operator="equal">
      <formula>0</formula>
    </cfRule>
  </conditionalFormatting>
  <conditionalFormatting sqref="AC49:AG49">
    <cfRule type="cellIs" dxfId="2614" priority="539" operator="equal">
      <formula>0</formula>
    </cfRule>
  </conditionalFormatting>
  <conditionalFormatting sqref="AC85:AG85">
    <cfRule type="cellIs" dxfId="2613" priority="498" operator="equal">
      <formula>0</formula>
    </cfRule>
  </conditionalFormatting>
  <conditionalFormatting sqref="AC121:AG121">
    <cfRule type="cellIs" dxfId="2612" priority="457" operator="equal">
      <formula>0</formula>
    </cfRule>
  </conditionalFormatting>
  <conditionalFormatting sqref="AC157:AG157">
    <cfRule type="cellIs" dxfId="2611" priority="416" operator="equal">
      <formula>0</formula>
    </cfRule>
  </conditionalFormatting>
  <conditionalFormatting sqref="AC193:AG193">
    <cfRule type="cellIs" dxfId="2610" priority="375" operator="equal">
      <formula>0</formula>
    </cfRule>
  </conditionalFormatting>
  <conditionalFormatting sqref="AC229:AG229">
    <cfRule type="cellIs" dxfId="2609" priority="334" operator="equal">
      <formula>0</formula>
    </cfRule>
  </conditionalFormatting>
  <conditionalFormatting sqref="AC265:AG265">
    <cfRule type="cellIs" dxfId="2608" priority="293" operator="equal">
      <formula>0</formula>
    </cfRule>
  </conditionalFormatting>
  <conditionalFormatting sqref="AC301:AG301">
    <cfRule type="cellIs" dxfId="2607" priority="252" operator="equal">
      <formula>0</formula>
    </cfRule>
  </conditionalFormatting>
  <conditionalFormatting sqref="AC337:AG337">
    <cfRule type="cellIs" dxfId="2606" priority="211" operator="equal">
      <formula>0</formula>
    </cfRule>
  </conditionalFormatting>
  <conditionalFormatting sqref="AC373:AG373">
    <cfRule type="cellIs" dxfId="2605" priority="170" operator="equal">
      <formula>0</formula>
    </cfRule>
  </conditionalFormatting>
  <conditionalFormatting sqref="AH12:AH17">
    <cfRule type="cellIs" dxfId="2604" priority="576" operator="equal">
      <formula>0</formula>
    </cfRule>
  </conditionalFormatting>
  <conditionalFormatting sqref="AH49:AH54">
    <cfRule type="cellIs" dxfId="2603" priority="535" operator="equal">
      <formula>0</formula>
    </cfRule>
  </conditionalFormatting>
  <conditionalFormatting sqref="AH85:AH90">
    <cfRule type="cellIs" dxfId="2602" priority="494" operator="equal">
      <formula>0</formula>
    </cfRule>
  </conditionalFormatting>
  <conditionalFormatting sqref="AH121:AH126">
    <cfRule type="cellIs" dxfId="2601" priority="453" operator="equal">
      <formula>0</formula>
    </cfRule>
  </conditionalFormatting>
  <conditionalFormatting sqref="AH157:AH162">
    <cfRule type="cellIs" dxfId="2600" priority="412" operator="equal">
      <formula>0</formula>
    </cfRule>
  </conditionalFormatting>
  <conditionalFormatting sqref="AH193:AH198">
    <cfRule type="cellIs" dxfId="2599" priority="371" operator="equal">
      <formula>0</formula>
    </cfRule>
  </conditionalFormatting>
  <conditionalFormatting sqref="AH229:AH234">
    <cfRule type="cellIs" dxfId="2598" priority="330" operator="equal">
      <formula>0</formula>
    </cfRule>
  </conditionalFormatting>
  <conditionalFormatting sqref="AH265:AH270">
    <cfRule type="cellIs" dxfId="2597" priority="289" operator="equal">
      <formula>0</formula>
    </cfRule>
  </conditionalFormatting>
  <conditionalFormatting sqref="AH301:AH306">
    <cfRule type="cellIs" dxfId="2596" priority="248" operator="equal">
      <formula>0</formula>
    </cfRule>
  </conditionalFormatting>
  <conditionalFormatting sqref="AH337:AH342">
    <cfRule type="cellIs" dxfId="2595" priority="207" operator="equal">
      <formula>0</formula>
    </cfRule>
  </conditionalFormatting>
  <conditionalFormatting sqref="AH373:AH378">
    <cfRule type="cellIs" dxfId="2594" priority="166"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1F43D-CD9E-438E-B26A-4EBB6047D391}">
  <dimension ref="C2:AK368"/>
  <sheetViews>
    <sheetView workbookViewId="0"/>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60" t="s">
        <v>522</v>
      </c>
      <c r="D2" s="760"/>
      <c r="E2" s="760"/>
      <c r="F2" s="760"/>
      <c r="G2" s="760"/>
      <c r="H2" s="760"/>
      <c r="I2" s="760"/>
      <c r="J2" s="760"/>
      <c r="K2" s="760"/>
      <c r="L2" s="760"/>
      <c r="M2" s="760"/>
      <c r="N2" s="760"/>
      <c r="O2" s="760"/>
      <c r="P2" s="760"/>
      <c r="Q2" s="760"/>
      <c r="R2" s="760"/>
      <c r="S2" s="760"/>
      <c r="U2" s="760" t="s">
        <v>523</v>
      </c>
      <c r="V2" s="760"/>
      <c r="W2" s="760"/>
      <c r="X2" s="760"/>
      <c r="Y2" s="760"/>
      <c r="Z2" s="760"/>
      <c r="AA2" s="760"/>
      <c r="AB2" s="760"/>
      <c r="AC2" s="760"/>
      <c r="AD2" s="760"/>
      <c r="AE2" s="760"/>
      <c r="AF2" s="760"/>
      <c r="AG2" s="760"/>
      <c r="AH2" s="760"/>
      <c r="AI2" s="760"/>
      <c r="AJ2" s="760"/>
      <c r="AK2" s="760"/>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338</v>
      </c>
      <c r="D4" s="635" t="s">
        <v>524</v>
      </c>
      <c r="E4" s="634"/>
      <c r="F4" s="634"/>
      <c r="G4" s="634"/>
      <c r="H4" s="636"/>
      <c r="I4" s="634"/>
      <c r="J4" s="634"/>
      <c r="K4" s="634"/>
      <c r="L4" s="634"/>
      <c r="M4" s="634"/>
      <c r="N4" s="634"/>
      <c r="O4" s="634"/>
      <c r="P4" s="634"/>
      <c r="Q4" s="634"/>
      <c r="R4" s="634"/>
      <c r="S4" s="634"/>
      <c r="U4" s="635" t="s">
        <v>338</v>
      </c>
      <c r="V4" s="635" t="s">
        <v>524</v>
      </c>
      <c r="W4" s="634"/>
      <c r="X4" s="634"/>
      <c r="Y4" s="634"/>
      <c r="Z4" s="636"/>
      <c r="AA4" s="634"/>
      <c r="AB4" s="634"/>
      <c r="AC4" s="634"/>
      <c r="AD4" s="634"/>
      <c r="AE4" s="634"/>
      <c r="AF4" s="634"/>
      <c r="AG4" s="634"/>
      <c r="AH4" s="634"/>
      <c r="AI4" s="634"/>
      <c r="AJ4" s="634"/>
      <c r="AK4" s="634"/>
    </row>
    <row r="5" spans="3:37" ht="37.5" x14ac:dyDescent="0.3">
      <c r="C5" s="635" t="s">
        <v>341</v>
      </c>
      <c r="D5" s="635" t="s">
        <v>342</v>
      </c>
      <c r="E5" s="634"/>
      <c r="F5" s="634"/>
      <c r="G5" s="634"/>
      <c r="H5" s="634"/>
      <c r="I5" s="634"/>
      <c r="J5" s="634"/>
      <c r="K5" s="634"/>
      <c r="L5" s="634"/>
      <c r="M5" s="634"/>
      <c r="N5" s="634"/>
      <c r="O5" s="634"/>
      <c r="P5" s="634"/>
      <c r="Q5" s="634"/>
      <c r="R5" s="634"/>
      <c r="S5" s="634"/>
      <c r="U5" s="635" t="s">
        <v>341</v>
      </c>
      <c r="V5" s="635" t="s">
        <v>342</v>
      </c>
      <c r="W5" s="634"/>
      <c r="X5" s="634"/>
      <c r="Y5" s="634"/>
      <c r="Z5" s="634"/>
      <c r="AA5" s="634"/>
      <c r="AB5" s="634"/>
      <c r="AC5" s="634"/>
      <c r="AD5" s="634"/>
      <c r="AE5" s="634"/>
      <c r="AF5" s="634"/>
      <c r="AG5" s="634"/>
      <c r="AH5" s="634"/>
      <c r="AI5" s="634"/>
      <c r="AJ5" s="634"/>
      <c r="AK5" s="634"/>
    </row>
    <row r="6" spans="3:37" ht="18.75" x14ac:dyDescent="0.3">
      <c r="C6" s="635" t="s">
        <v>525</v>
      </c>
      <c r="D6" s="637">
        <v>44909</v>
      </c>
      <c r="E6" s="634"/>
      <c r="F6" s="634"/>
      <c r="G6" s="634"/>
      <c r="H6" s="634"/>
      <c r="I6" s="634"/>
      <c r="J6" s="634"/>
      <c r="K6" s="634"/>
      <c r="L6" s="634"/>
      <c r="M6" s="634"/>
      <c r="N6" s="634"/>
      <c r="O6" s="634"/>
      <c r="P6" s="634"/>
      <c r="Q6" s="634"/>
      <c r="R6" s="634"/>
      <c r="S6" s="634"/>
      <c r="U6" s="635" t="s">
        <v>525</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59" t="s">
        <v>87</v>
      </c>
      <c r="D8" s="759"/>
      <c r="E8" s="759"/>
      <c r="F8" s="759"/>
      <c r="G8" s="759"/>
      <c r="H8" s="759"/>
      <c r="I8" s="759"/>
      <c r="J8" s="759"/>
      <c r="K8" s="759"/>
      <c r="L8" s="759"/>
      <c r="M8" s="759"/>
      <c r="N8" s="759"/>
      <c r="O8" s="759"/>
      <c r="P8" s="759"/>
      <c r="Q8" s="759"/>
      <c r="R8" s="759"/>
      <c r="S8" s="759"/>
      <c r="U8" s="759" t="s">
        <v>87</v>
      </c>
      <c r="V8" s="759"/>
      <c r="W8" s="759"/>
      <c r="X8" s="759"/>
      <c r="Y8" s="759"/>
      <c r="Z8" s="759"/>
      <c r="AA8" s="759"/>
      <c r="AB8" s="759"/>
      <c r="AC8" s="759"/>
      <c r="AD8" s="759"/>
      <c r="AE8" s="759"/>
      <c r="AF8" s="759"/>
      <c r="AG8" s="759"/>
      <c r="AH8" s="759"/>
      <c r="AI8" s="759"/>
      <c r="AJ8" s="759"/>
      <c r="AK8" s="75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58" t="s">
        <v>128</v>
      </c>
      <c r="D10" s="757" t="s">
        <v>42</v>
      </c>
      <c r="E10" s="757" t="s">
        <v>52</v>
      </c>
      <c r="F10" s="757" t="s">
        <v>53</v>
      </c>
      <c r="G10" s="757" t="s">
        <v>32</v>
      </c>
      <c r="H10" s="757" t="s">
        <v>20</v>
      </c>
      <c r="I10" s="757" t="s">
        <v>55</v>
      </c>
      <c r="J10" s="757" t="s">
        <v>56</v>
      </c>
      <c r="K10" s="757"/>
      <c r="L10" s="757"/>
      <c r="M10" s="757"/>
      <c r="N10" s="757"/>
      <c r="O10" s="757"/>
      <c r="P10" s="757" t="s">
        <v>57</v>
      </c>
      <c r="Q10" s="757" t="s">
        <v>58</v>
      </c>
      <c r="R10" s="757" t="s">
        <v>31</v>
      </c>
      <c r="S10" s="757" t="s">
        <v>10</v>
      </c>
      <c r="U10" s="758" t="s">
        <v>128</v>
      </c>
      <c r="V10" s="757" t="s">
        <v>42</v>
      </c>
      <c r="W10" s="757" t="s">
        <v>52</v>
      </c>
      <c r="X10" s="757" t="s">
        <v>53</v>
      </c>
      <c r="Y10" s="757" t="s">
        <v>32</v>
      </c>
      <c r="Z10" s="757" t="s">
        <v>20</v>
      </c>
      <c r="AA10" s="757" t="s">
        <v>55</v>
      </c>
      <c r="AB10" s="757" t="s">
        <v>56</v>
      </c>
      <c r="AC10" s="757"/>
      <c r="AD10" s="757"/>
      <c r="AE10" s="757"/>
      <c r="AF10" s="757"/>
      <c r="AG10" s="757"/>
      <c r="AH10" s="757" t="s">
        <v>57</v>
      </c>
      <c r="AI10" s="757" t="s">
        <v>58</v>
      </c>
      <c r="AJ10" s="757" t="s">
        <v>31</v>
      </c>
      <c r="AK10" s="757" t="s">
        <v>10</v>
      </c>
    </row>
    <row r="11" spans="3:37" ht="56.25" x14ac:dyDescent="0.2">
      <c r="C11" s="758"/>
      <c r="D11" s="757"/>
      <c r="E11" s="757"/>
      <c r="F11" s="757"/>
      <c r="G11" s="757"/>
      <c r="H11" s="757"/>
      <c r="I11" s="757"/>
      <c r="J11" s="638" t="s">
        <v>335</v>
      </c>
      <c r="K11" s="638" t="s">
        <v>40</v>
      </c>
      <c r="L11" s="638" t="s">
        <v>343</v>
      </c>
      <c r="M11" s="638" t="s">
        <v>344</v>
      </c>
      <c r="N11" s="638" t="s">
        <v>345</v>
      </c>
      <c r="O11" s="638" t="s">
        <v>346</v>
      </c>
      <c r="P11" s="757"/>
      <c r="Q11" s="757"/>
      <c r="R11" s="757"/>
      <c r="S11" s="757"/>
      <c r="U11" s="758"/>
      <c r="V11" s="757"/>
      <c r="W11" s="757"/>
      <c r="X11" s="757"/>
      <c r="Y11" s="757"/>
      <c r="Z11" s="757"/>
      <c r="AA11" s="757"/>
      <c r="AB11" s="638" t="s">
        <v>335</v>
      </c>
      <c r="AC11" s="638" t="s">
        <v>40</v>
      </c>
      <c r="AD11" s="638" t="s">
        <v>343</v>
      </c>
      <c r="AE11" s="638" t="s">
        <v>344</v>
      </c>
      <c r="AF11" s="638" t="s">
        <v>345</v>
      </c>
      <c r="AG11" s="638" t="s">
        <v>346</v>
      </c>
      <c r="AH11" s="757"/>
      <c r="AI11" s="757"/>
      <c r="AJ11" s="757"/>
      <c r="AK11" s="757"/>
    </row>
    <row r="12" spans="3:37" x14ac:dyDescent="0.2">
      <c r="C12" s="639" t="s">
        <v>59</v>
      </c>
      <c r="D12" s="640">
        <v>0</v>
      </c>
      <c r="E12" s="641">
        <v>9.7691999999999997</v>
      </c>
      <c r="F12" s="641">
        <v>0</v>
      </c>
      <c r="G12" s="640">
        <v>0.18608000000000002</v>
      </c>
      <c r="H12" s="641">
        <v>1190.909090909091</v>
      </c>
      <c r="I12" s="641">
        <v>153.14171554603519</v>
      </c>
      <c r="J12" s="641">
        <v>193.32113368570609</v>
      </c>
      <c r="K12" s="641">
        <v>23.895443221314743</v>
      </c>
      <c r="L12" s="641">
        <v>0.26210424432280233</v>
      </c>
      <c r="M12" s="641">
        <v>0.1322850330511596</v>
      </c>
      <c r="N12" s="641">
        <v>39.319241851069634</v>
      </c>
      <c r="O12" s="641">
        <v>5.962830498028703</v>
      </c>
      <c r="P12" s="642">
        <v>0</v>
      </c>
      <c r="Q12" s="641">
        <v>0</v>
      </c>
      <c r="R12" s="641">
        <v>0</v>
      </c>
      <c r="S12" s="643">
        <v>1616.8991249886192</v>
      </c>
      <c r="U12" s="639" t="s">
        <v>59</v>
      </c>
      <c r="V12" s="640">
        <v>0</v>
      </c>
      <c r="W12" s="641">
        <v>9.7691999999999997</v>
      </c>
      <c r="X12" s="641">
        <v>0</v>
      </c>
      <c r="Y12" s="640">
        <v>0.18608000000000002</v>
      </c>
      <c r="Z12" s="641">
        <v>1105.3443526170799</v>
      </c>
      <c r="AA12" s="641">
        <v>156.32644281876244</v>
      </c>
      <c r="AB12" s="641">
        <v>174.95767859419479</v>
      </c>
      <c r="AC12" s="641">
        <v>32.977912048889756</v>
      </c>
      <c r="AD12" s="641">
        <v>0.26210424432280233</v>
      </c>
      <c r="AE12" s="641">
        <v>0.1322850330511596</v>
      </c>
      <c r="AF12" s="641">
        <v>46.941675984424649</v>
      </c>
      <c r="AG12" s="641">
        <v>8.3026764246808291</v>
      </c>
      <c r="AH12" s="642">
        <v>0</v>
      </c>
      <c r="AI12" s="641">
        <v>0</v>
      </c>
      <c r="AJ12" s="641">
        <v>0</v>
      </c>
      <c r="AK12" s="643">
        <v>1535.200407765406</v>
      </c>
    </row>
    <row r="13" spans="3:37" x14ac:dyDescent="0.2">
      <c r="C13" s="639" t="s">
        <v>60</v>
      </c>
      <c r="D13" s="640">
        <v>51.93943876444407</v>
      </c>
      <c r="E13" s="641">
        <v>553.51354311683986</v>
      </c>
      <c r="F13" s="641">
        <v>233.05215902128853</v>
      </c>
      <c r="G13" s="640">
        <v>363.27460186951828</v>
      </c>
      <c r="H13" s="641">
        <v>0</v>
      </c>
      <c r="I13" s="641">
        <v>0</v>
      </c>
      <c r="J13" s="641">
        <v>2.3834336020403581</v>
      </c>
      <c r="K13" s="641">
        <v>0</v>
      </c>
      <c r="L13" s="641">
        <v>2.2500117795629686</v>
      </c>
      <c r="M13" s="641">
        <v>0</v>
      </c>
      <c r="N13" s="641">
        <v>0</v>
      </c>
      <c r="O13" s="641">
        <v>0</v>
      </c>
      <c r="P13" s="642">
        <v>0</v>
      </c>
      <c r="Q13" s="641">
        <v>0</v>
      </c>
      <c r="R13" s="641">
        <v>0</v>
      </c>
      <c r="S13" s="643">
        <v>1206.4131881536939</v>
      </c>
      <c r="U13" s="639" t="s">
        <v>60</v>
      </c>
      <c r="V13" s="640">
        <v>30.366070381082046</v>
      </c>
      <c r="W13" s="641">
        <v>485.53946937040786</v>
      </c>
      <c r="X13" s="641">
        <v>248.69079495957973</v>
      </c>
      <c r="Y13" s="640">
        <v>359.41495054347945</v>
      </c>
      <c r="Z13" s="641">
        <v>0</v>
      </c>
      <c r="AA13" s="641">
        <v>0</v>
      </c>
      <c r="AB13" s="641">
        <v>2.3834336020403581</v>
      </c>
      <c r="AC13" s="641">
        <v>0</v>
      </c>
      <c r="AD13" s="641">
        <v>2.2500117795629686</v>
      </c>
      <c r="AE13" s="641">
        <v>0</v>
      </c>
      <c r="AF13" s="641">
        <v>0</v>
      </c>
      <c r="AG13" s="641">
        <v>0</v>
      </c>
      <c r="AH13" s="642">
        <v>0</v>
      </c>
      <c r="AI13" s="641">
        <v>0</v>
      </c>
      <c r="AJ13" s="641">
        <v>0</v>
      </c>
      <c r="AK13" s="643">
        <v>1128.6447306361524</v>
      </c>
    </row>
    <row r="14" spans="3:37" x14ac:dyDescent="0.2">
      <c r="C14" s="639" t="s">
        <v>61</v>
      </c>
      <c r="D14" s="640">
        <v>0</v>
      </c>
      <c r="E14" s="641">
        <v>0</v>
      </c>
      <c r="F14" s="641">
        <v>0</v>
      </c>
      <c r="G14" s="640">
        <v>0</v>
      </c>
      <c r="H14" s="641">
        <v>0</v>
      </c>
      <c r="I14" s="641">
        <v>0</v>
      </c>
      <c r="J14" s="641">
        <v>0</v>
      </c>
      <c r="K14" s="641">
        <v>0</v>
      </c>
      <c r="L14" s="641">
        <v>0</v>
      </c>
      <c r="M14" s="641">
        <v>0</v>
      </c>
      <c r="N14" s="641">
        <v>0</v>
      </c>
      <c r="O14" s="641">
        <v>0</v>
      </c>
      <c r="P14" s="642">
        <v>-64.055272794649682</v>
      </c>
      <c r="Q14" s="641">
        <v>0</v>
      </c>
      <c r="R14" s="641">
        <v>0</v>
      </c>
      <c r="S14" s="643">
        <v>-64.055272794649682</v>
      </c>
      <c r="U14" s="639" t="s">
        <v>61</v>
      </c>
      <c r="V14" s="640">
        <v>0</v>
      </c>
      <c r="W14" s="641">
        <v>0</v>
      </c>
      <c r="X14" s="641">
        <v>0</v>
      </c>
      <c r="Y14" s="640">
        <v>0</v>
      </c>
      <c r="Z14" s="641">
        <v>0</v>
      </c>
      <c r="AA14" s="641">
        <v>0</v>
      </c>
      <c r="AB14" s="641">
        <v>0</v>
      </c>
      <c r="AC14" s="641">
        <v>0</v>
      </c>
      <c r="AD14" s="641">
        <v>0</v>
      </c>
      <c r="AE14" s="641">
        <v>0</v>
      </c>
      <c r="AF14" s="641">
        <v>0</v>
      </c>
      <c r="AG14" s="641">
        <v>0</v>
      </c>
      <c r="AH14" s="642">
        <v>-60.354291441125554</v>
      </c>
      <c r="AI14" s="641">
        <v>0</v>
      </c>
      <c r="AJ14" s="641">
        <v>0</v>
      </c>
      <c r="AK14" s="643">
        <v>-60.354291441125554</v>
      </c>
    </row>
    <row r="15" spans="3:37" x14ac:dyDescent="0.2">
      <c r="C15" s="639" t="s">
        <v>62</v>
      </c>
      <c r="D15" s="640">
        <v>0</v>
      </c>
      <c r="E15" s="641">
        <v>0</v>
      </c>
      <c r="F15" s="641">
        <v>-17.936302519197969</v>
      </c>
      <c r="G15" s="640">
        <v>0</v>
      </c>
      <c r="H15" s="641">
        <v>0</v>
      </c>
      <c r="I15" s="641">
        <v>0</v>
      </c>
      <c r="J15" s="641">
        <v>0</v>
      </c>
      <c r="K15" s="641">
        <v>0</v>
      </c>
      <c r="L15" s="641">
        <v>0</v>
      </c>
      <c r="M15" s="641">
        <v>0</v>
      </c>
      <c r="N15" s="641">
        <v>0</v>
      </c>
      <c r="O15" s="641">
        <v>0</v>
      </c>
      <c r="P15" s="642">
        <v>0</v>
      </c>
      <c r="Q15" s="641">
        <v>0</v>
      </c>
      <c r="R15" s="641">
        <v>0</v>
      </c>
      <c r="S15" s="643">
        <v>-17.936302519197969</v>
      </c>
      <c r="U15" s="639" t="s">
        <v>62</v>
      </c>
      <c r="V15" s="640">
        <v>0</v>
      </c>
      <c r="W15" s="641">
        <v>0</v>
      </c>
      <c r="X15" s="641">
        <v>-17.936302519197969</v>
      </c>
      <c r="Y15" s="640">
        <v>0</v>
      </c>
      <c r="Z15" s="641">
        <v>0</v>
      </c>
      <c r="AA15" s="641">
        <v>0</v>
      </c>
      <c r="AB15" s="641">
        <v>0</v>
      </c>
      <c r="AC15" s="641">
        <v>0</v>
      </c>
      <c r="AD15" s="641">
        <v>0</v>
      </c>
      <c r="AE15" s="641">
        <v>0</v>
      </c>
      <c r="AF15" s="641">
        <v>0</v>
      </c>
      <c r="AG15" s="641">
        <v>0</v>
      </c>
      <c r="AH15" s="642">
        <v>0</v>
      </c>
      <c r="AI15" s="641">
        <v>0</v>
      </c>
      <c r="AJ15" s="641">
        <v>0</v>
      </c>
      <c r="AK15" s="643">
        <v>-17.936302519197969</v>
      </c>
    </row>
    <row r="16" spans="3:37" x14ac:dyDescent="0.2">
      <c r="C16" s="639" t="s">
        <v>63</v>
      </c>
      <c r="D16" s="640">
        <v>0</v>
      </c>
      <c r="E16" s="641">
        <v>0</v>
      </c>
      <c r="F16" s="641">
        <v>-78.830324971165851</v>
      </c>
      <c r="G16" s="640">
        <v>0</v>
      </c>
      <c r="H16" s="641">
        <v>0</v>
      </c>
      <c r="I16" s="641">
        <v>0</v>
      </c>
      <c r="J16" s="641">
        <v>0</v>
      </c>
      <c r="K16" s="641">
        <v>0</v>
      </c>
      <c r="L16" s="641">
        <v>-0.81271538345441041</v>
      </c>
      <c r="M16" s="641">
        <v>0</v>
      </c>
      <c r="N16" s="641">
        <v>0</v>
      </c>
      <c r="O16" s="641">
        <v>0</v>
      </c>
      <c r="P16" s="642">
        <v>0</v>
      </c>
      <c r="Q16" s="641">
        <v>0</v>
      </c>
      <c r="R16" s="641">
        <v>0</v>
      </c>
      <c r="S16" s="643">
        <v>-79.643040354620268</v>
      </c>
      <c r="U16" s="639" t="s">
        <v>63</v>
      </c>
      <c r="V16" s="640">
        <v>0</v>
      </c>
      <c r="W16" s="641">
        <v>0</v>
      </c>
      <c r="X16" s="641">
        <v>-78.197230139294632</v>
      </c>
      <c r="Y16" s="640">
        <v>0</v>
      </c>
      <c r="Z16" s="641">
        <v>0</v>
      </c>
      <c r="AA16" s="641">
        <v>0</v>
      </c>
      <c r="AB16" s="641">
        <v>0</v>
      </c>
      <c r="AC16" s="641">
        <v>0</v>
      </c>
      <c r="AD16" s="641">
        <v>-1.5612310452001914</v>
      </c>
      <c r="AE16" s="641">
        <v>0</v>
      </c>
      <c r="AF16" s="641">
        <v>0</v>
      </c>
      <c r="AG16" s="641">
        <v>0</v>
      </c>
      <c r="AH16" s="642">
        <v>0</v>
      </c>
      <c r="AI16" s="641">
        <v>0</v>
      </c>
      <c r="AJ16" s="641">
        <v>0</v>
      </c>
      <c r="AK16" s="643">
        <v>-79.75846118449482</v>
      </c>
    </row>
    <row r="17" spans="3:37" x14ac:dyDescent="0.2">
      <c r="C17" s="639" t="s">
        <v>64</v>
      </c>
      <c r="D17" s="640">
        <v>0</v>
      </c>
      <c r="E17" s="641">
        <v>0</v>
      </c>
      <c r="F17" s="641">
        <v>0</v>
      </c>
      <c r="G17" s="640">
        <v>0</v>
      </c>
      <c r="H17" s="641">
        <v>0</v>
      </c>
      <c r="I17" s="641">
        <v>0</v>
      </c>
      <c r="J17" s="641">
        <v>0</v>
      </c>
      <c r="K17" s="641">
        <v>0</v>
      </c>
      <c r="L17" s="641">
        <v>0</v>
      </c>
      <c r="M17" s="641">
        <v>0</v>
      </c>
      <c r="N17" s="641">
        <v>0</v>
      </c>
      <c r="O17" s="641">
        <v>0</v>
      </c>
      <c r="P17" s="642">
        <v>0</v>
      </c>
      <c r="Q17" s="641">
        <v>0</v>
      </c>
      <c r="R17" s="641">
        <v>0</v>
      </c>
      <c r="S17" s="643">
        <v>0</v>
      </c>
      <c r="U17" s="639" t="s">
        <v>64</v>
      </c>
      <c r="V17" s="640">
        <v>0</v>
      </c>
      <c r="W17" s="641">
        <v>0</v>
      </c>
      <c r="X17" s="641">
        <v>0</v>
      </c>
      <c r="Y17" s="640">
        <v>0</v>
      </c>
      <c r="Z17" s="641">
        <v>0</v>
      </c>
      <c r="AA17" s="641">
        <v>0</v>
      </c>
      <c r="AB17" s="641">
        <v>0</v>
      </c>
      <c r="AC17" s="641">
        <v>0</v>
      </c>
      <c r="AD17" s="641">
        <v>0</v>
      </c>
      <c r="AE17" s="641">
        <v>0</v>
      </c>
      <c r="AF17" s="641">
        <v>0</v>
      </c>
      <c r="AG17" s="641">
        <v>0</v>
      </c>
      <c r="AH17" s="642">
        <v>0</v>
      </c>
      <c r="AI17" s="641">
        <v>0</v>
      </c>
      <c r="AJ17" s="641">
        <v>0</v>
      </c>
      <c r="AK17" s="643">
        <v>0</v>
      </c>
    </row>
    <row r="18" spans="3:37" x14ac:dyDescent="0.2">
      <c r="C18" s="644" t="s">
        <v>65</v>
      </c>
      <c r="D18" s="645">
        <v>51.93943876444407</v>
      </c>
      <c r="E18" s="645">
        <v>563.28274311683981</v>
      </c>
      <c r="F18" s="645">
        <v>136.28553153092471</v>
      </c>
      <c r="G18" s="645">
        <v>363.46068186951828</v>
      </c>
      <c r="H18" s="645">
        <v>1190.909090909091</v>
      </c>
      <c r="I18" s="645">
        <v>153.14171554603519</v>
      </c>
      <c r="J18" s="645">
        <v>195.70456728774644</v>
      </c>
      <c r="K18" s="645">
        <v>23.895443221314743</v>
      </c>
      <c r="L18" s="645">
        <v>1.6994006404313602</v>
      </c>
      <c r="M18" s="645">
        <v>0.1322850330511596</v>
      </c>
      <c r="N18" s="645">
        <v>39.319241851069634</v>
      </c>
      <c r="O18" s="645">
        <v>5.962830498028703</v>
      </c>
      <c r="P18" s="645">
        <v>-64.055272794649682</v>
      </c>
      <c r="Q18" s="645">
        <v>0</v>
      </c>
      <c r="R18" s="645">
        <v>0</v>
      </c>
      <c r="S18" s="645">
        <v>2661.6776974738459</v>
      </c>
      <c r="U18" s="644" t="s">
        <v>65</v>
      </c>
      <c r="V18" s="645">
        <v>30.366070381082046</v>
      </c>
      <c r="W18" s="645">
        <v>495.30866937040787</v>
      </c>
      <c r="X18" s="645">
        <v>152.55726230108715</v>
      </c>
      <c r="Y18" s="645">
        <v>359.60103054347945</v>
      </c>
      <c r="Z18" s="645">
        <v>1105.3443526170799</v>
      </c>
      <c r="AA18" s="645">
        <v>156.32644281876244</v>
      </c>
      <c r="AB18" s="645">
        <v>177.34111219623514</v>
      </c>
      <c r="AC18" s="645">
        <v>32.977912048889756</v>
      </c>
      <c r="AD18" s="645">
        <v>0.95088497868557909</v>
      </c>
      <c r="AE18" s="645">
        <v>0.1322850330511596</v>
      </c>
      <c r="AF18" s="645">
        <v>46.941675984424649</v>
      </c>
      <c r="AG18" s="645">
        <v>8.3026764246808291</v>
      </c>
      <c r="AH18" s="645">
        <v>-60.354291441125554</v>
      </c>
      <c r="AI18" s="645">
        <v>0</v>
      </c>
      <c r="AJ18" s="645">
        <v>0</v>
      </c>
      <c r="AK18" s="645">
        <v>2505.7960832567405</v>
      </c>
    </row>
    <row r="19" spans="3:37" x14ac:dyDescent="0.2">
      <c r="C19" s="634"/>
      <c r="D19" s="634">
        <v>0</v>
      </c>
      <c r="E19" s="634">
        <v>0</v>
      </c>
      <c r="F19" s="634">
        <v>0</v>
      </c>
      <c r="G19" s="634">
        <v>0</v>
      </c>
      <c r="H19" s="634">
        <v>0</v>
      </c>
      <c r="I19" s="634">
        <v>0</v>
      </c>
      <c r="J19" s="634">
        <v>0</v>
      </c>
      <c r="K19" s="634">
        <v>0</v>
      </c>
      <c r="L19" s="634">
        <v>0</v>
      </c>
      <c r="M19" s="634">
        <v>0</v>
      </c>
      <c r="N19" s="634">
        <v>0</v>
      </c>
      <c r="O19" s="634">
        <v>0</v>
      </c>
      <c r="P19" s="634">
        <v>0</v>
      </c>
      <c r="Q19" s="634">
        <v>0</v>
      </c>
      <c r="R19" s="634">
        <v>0</v>
      </c>
      <c r="S19" s="634">
        <v>0</v>
      </c>
      <c r="U19" s="634"/>
      <c r="V19" s="634">
        <v>0</v>
      </c>
      <c r="W19" s="634">
        <v>0</v>
      </c>
      <c r="X19" s="634">
        <v>0</v>
      </c>
      <c r="Y19" s="634">
        <v>0</v>
      </c>
      <c r="Z19" s="634">
        <v>0</v>
      </c>
      <c r="AA19" s="634">
        <v>0</v>
      </c>
      <c r="AB19" s="634">
        <v>0</v>
      </c>
      <c r="AC19" s="634">
        <v>0</v>
      </c>
      <c r="AD19" s="634">
        <v>0</v>
      </c>
      <c r="AE19" s="634">
        <v>0</v>
      </c>
      <c r="AF19" s="634">
        <v>0</v>
      </c>
      <c r="AG19" s="634">
        <v>0</v>
      </c>
      <c r="AH19" s="634">
        <v>0</v>
      </c>
      <c r="AI19" s="634">
        <v>0</v>
      </c>
      <c r="AJ19" s="634">
        <v>0</v>
      </c>
      <c r="AK19" s="634">
        <v>0</v>
      </c>
    </row>
    <row r="20" spans="3:37" x14ac:dyDescent="0.2">
      <c r="C20" s="646" t="s">
        <v>67</v>
      </c>
      <c r="D20" s="640">
        <v>0</v>
      </c>
      <c r="E20" s="647">
        <v>0</v>
      </c>
      <c r="F20" s="647">
        <v>0</v>
      </c>
      <c r="G20" s="640">
        <v>0</v>
      </c>
      <c r="H20" s="640">
        <v>0</v>
      </c>
      <c r="I20" s="640">
        <v>0</v>
      </c>
      <c r="J20" s="640">
        <v>0</v>
      </c>
      <c r="K20" s="640">
        <v>0</v>
      </c>
      <c r="L20" s="640">
        <v>0</v>
      </c>
      <c r="M20" s="640">
        <v>0</v>
      </c>
      <c r="N20" s="640">
        <v>0</v>
      </c>
      <c r="O20" s="640">
        <v>0</v>
      </c>
      <c r="P20" s="640">
        <v>0</v>
      </c>
      <c r="Q20" s="640">
        <v>0</v>
      </c>
      <c r="R20" s="640">
        <v>0</v>
      </c>
      <c r="S20" s="648">
        <v>0</v>
      </c>
      <c r="U20" s="646" t="s">
        <v>67</v>
      </c>
      <c r="V20" s="640">
        <v>0</v>
      </c>
      <c r="W20" s="647">
        <v>0</v>
      </c>
      <c r="X20" s="647">
        <v>0</v>
      </c>
      <c r="Y20" s="640">
        <v>0</v>
      </c>
      <c r="Z20" s="640">
        <v>0</v>
      </c>
      <c r="AA20" s="640">
        <v>0</v>
      </c>
      <c r="AB20" s="640">
        <v>0</v>
      </c>
      <c r="AC20" s="640">
        <v>0</v>
      </c>
      <c r="AD20" s="640">
        <v>0</v>
      </c>
      <c r="AE20" s="640">
        <v>0</v>
      </c>
      <c r="AF20" s="640">
        <v>0</v>
      </c>
      <c r="AG20" s="640">
        <v>0</v>
      </c>
      <c r="AH20" s="640">
        <v>0</v>
      </c>
      <c r="AI20" s="640">
        <v>0</v>
      </c>
      <c r="AJ20" s="640">
        <v>0</v>
      </c>
      <c r="AK20" s="648">
        <v>0</v>
      </c>
    </row>
    <row r="21" spans="3:37" x14ac:dyDescent="0.2">
      <c r="C21" s="646" t="s">
        <v>347</v>
      </c>
      <c r="D21" s="640">
        <v>2.8307670060467731</v>
      </c>
      <c r="E21" s="640">
        <v>0</v>
      </c>
      <c r="F21" s="640">
        <v>7.8209554225929372</v>
      </c>
      <c r="G21" s="640">
        <v>18.490566037735849</v>
      </c>
      <c r="H21" s="640">
        <v>1190.909090909091</v>
      </c>
      <c r="I21" s="640">
        <v>153.14171554603519</v>
      </c>
      <c r="J21" s="649">
        <v>34.217577807887082</v>
      </c>
      <c r="K21" s="649">
        <v>9.4182266439786773</v>
      </c>
      <c r="L21" s="649">
        <v>2.5121160238857705</v>
      </c>
      <c r="M21" s="649">
        <v>0.47838708849063555</v>
      </c>
      <c r="N21" s="649">
        <v>0</v>
      </c>
      <c r="O21" s="649">
        <v>1.0860489583659068</v>
      </c>
      <c r="P21" s="640">
        <v>-575.7599665483873</v>
      </c>
      <c r="Q21" s="640">
        <v>0</v>
      </c>
      <c r="R21" s="640">
        <v>0</v>
      </c>
      <c r="S21" s="648">
        <v>845.14548489572212</v>
      </c>
      <c r="U21" s="646" t="s">
        <v>347</v>
      </c>
      <c r="V21" s="640">
        <v>2.9164996321078078</v>
      </c>
      <c r="W21" s="640">
        <v>0</v>
      </c>
      <c r="X21" s="640">
        <v>6.3333521168078128</v>
      </c>
      <c r="Y21" s="640">
        <v>58.629502572898801</v>
      </c>
      <c r="Z21" s="640">
        <v>1105.3443526170799</v>
      </c>
      <c r="AA21" s="640">
        <v>156.32644281876244</v>
      </c>
      <c r="AB21" s="649">
        <v>29.491752812436719</v>
      </c>
      <c r="AC21" s="649">
        <v>9.3450725233746681</v>
      </c>
      <c r="AD21" s="649">
        <v>2.5121160238857705</v>
      </c>
      <c r="AE21" s="649">
        <v>3.1867918912350612</v>
      </c>
      <c r="AF21" s="649">
        <v>0</v>
      </c>
      <c r="AG21" s="649">
        <v>1.0860489583659068</v>
      </c>
      <c r="AH21" s="640">
        <v>-572.43560291202368</v>
      </c>
      <c r="AI21" s="640">
        <v>0</v>
      </c>
      <c r="AJ21" s="640">
        <v>0</v>
      </c>
      <c r="AK21" s="648">
        <v>802.73632905493105</v>
      </c>
    </row>
    <row r="22" spans="3:37" x14ac:dyDescent="0.2">
      <c r="C22" s="646" t="s">
        <v>348</v>
      </c>
      <c r="D22" s="640">
        <v>0.12349118736872708</v>
      </c>
      <c r="E22" s="640">
        <v>0</v>
      </c>
      <c r="F22" s="640">
        <v>0</v>
      </c>
      <c r="G22" s="640">
        <v>16.768067922739682</v>
      </c>
      <c r="H22" s="640">
        <v>0</v>
      </c>
      <c r="I22" s="640">
        <v>0</v>
      </c>
      <c r="J22" s="649">
        <v>14.511462263372906</v>
      </c>
      <c r="K22" s="649">
        <v>12.721360709604678</v>
      </c>
      <c r="L22" s="649">
        <v>0</v>
      </c>
      <c r="M22" s="649">
        <v>0.35468000245125708</v>
      </c>
      <c r="N22" s="649">
        <v>0</v>
      </c>
      <c r="O22" s="649">
        <v>2.3429154336529705</v>
      </c>
      <c r="P22" s="640">
        <v>0</v>
      </c>
      <c r="Q22" s="640">
        <v>-41.535443372761243</v>
      </c>
      <c r="R22" s="640">
        <v>0</v>
      </c>
      <c r="S22" s="648">
        <v>5.2865341464289735</v>
      </c>
      <c r="U22" s="646" t="s">
        <v>348</v>
      </c>
      <c r="V22" s="640">
        <v>0.24574746286376692</v>
      </c>
      <c r="W22" s="640">
        <v>0</v>
      </c>
      <c r="X22" s="640">
        <v>0</v>
      </c>
      <c r="Y22" s="640">
        <v>18.639904753059838</v>
      </c>
      <c r="Z22" s="640">
        <v>0</v>
      </c>
      <c r="AA22" s="640">
        <v>0</v>
      </c>
      <c r="AB22" s="649">
        <v>22.139054647682539</v>
      </c>
      <c r="AC22" s="649">
        <v>18.333827420527065</v>
      </c>
      <c r="AD22" s="649">
        <v>0</v>
      </c>
      <c r="AE22" s="649">
        <v>0.99352215322234005</v>
      </c>
      <c r="AF22" s="649">
        <v>0</v>
      </c>
      <c r="AG22" s="649">
        <v>3.9855789938168567</v>
      </c>
      <c r="AH22" s="640">
        <v>0</v>
      </c>
      <c r="AI22" s="640">
        <v>-57.31222867632534</v>
      </c>
      <c r="AJ22" s="640">
        <v>0</v>
      </c>
      <c r="AK22" s="648">
        <v>7.0254067548470651</v>
      </c>
    </row>
    <row r="23" spans="3:37" x14ac:dyDescent="0.2">
      <c r="C23" s="646" t="s">
        <v>349</v>
      </c>
      <c r="D23" s="640">
        <v>0</v>
      </c>
      <c r="E23" s="640">
        <v>0</v>
      </c>
      <c r="F23" s="640">
        <v>0</v>
      </c>
      <c r="G23" s="640">
        <v>0</v>
      </c>
      <c r="H23" s="640">
        <v>0</v>
      </c>
      <c r="I23" s="640">
        <v>0</v>
      </c>
      <c r="J23" s="650">
        <v>8.112913583549977</v>
      </c>
      <c r="K23" s="650">
        <v>0</v>
      </c>
      <c r="L23" s="650">
        <v>0</v>
      </c>
      <c r="M23" s="650">
        <v>-7.1616744658787432</v>
      </c>
      <c r="N23" s="650">
        <v>0</v>
      </c>
      <c r="O23" s="650">
        <v>0</v>
      </c>
      <c r="P23" s="640">
        <v>0</v>
      </c>
      <c r="Q23" s="640">
        <v>0</v>
      </c>
      <c r="R23" s="640">
        <v>0</v>
      </c>
      <c r="S23" s="648">
        <v>0.95123911767123381</v>
      </c>
      <c r="U23" s="646" t="s">
        <v>349</v>
      </c>
      <c r="V23" s="640">
        <v>0</v>
      </c>
      <c r="W23" s="640">
        <v>0</v>
      </c>
      <c r="X23" s="640">
        <v>0</v>
      </c>
      <c r="Y23" s="640">
        <v>0</v>
      </c>
      <c r="Z23" s="640">
        <v>0</v>
      </c>
      <c r="AA23" s="640">
        <v>0</v>
      </c>
      <c r="AB23" s="650">
        <v>21.330356361778993</v>
      </c>
      <c r="AC23" s="650">
        <v>0</v>
      </c>
      <c r="AD23" s="650">
        <v>0</v>
      </c>
      <c r="AE23" s="650">
        <v>-18.829372078360407</v>
      </c>
      <c r="AF23" s="650">
        <v>0</v>
      </c>
      <c r="AG23" s="650">
        <v>0</v>
      </c>
      <c r="AH23" s="640">
        <v>0</v>
      </c>
      <c r="AI23" s="640">
        <v>0</v>
      </c>
      <c r="AJ23" s="640">
        <v>0</v>
      </c>
      <c r="AK23" s="648">
        <v>2.5009842834185854</v>
      </c>
    </row>
    <row r="24" spans="3:37" x14ac:dyDescent="0.2">
      <c r="C24" s="646" t="s">
        <v>350</v>
      </c>
      <c r="D24" s="640">
        <v>0</v>
      </c>
      <c r="E24" s="640">
        <v>0</v>
      </c>
      <c r="F24" s="640">
        <v>0</v>
      </c>
      <c r="G24" s="640">
        <v>0</v>
      </c>
      <c r="H24" s="640">
        <v>0</v>
      </c>
      <c r="I24" s="640">
        <v>0</v>
      </c>
      <c r="J24" s="640">
        <v>0</v>
      </c>
      <c r="K24" s="640">
        <v>0</v>
      </c>
      <c r="L24" s="640">
        <v>0</v>
      </c>
      <c r="M24" s="640">
        <v>0</v>
      </c>
      <c r="N24" s="640">
        <v>0</v>
      </c>
      <c r="O24" s="640">
        <v>0</v>
      </c>
      <c r="P24" s="640">
        <v>0</v>
      </c>
      <c r="Q24" s="640">
        <v>0</v>
      </c>
      <c r="R24" s="640">
        <v>0</v>
      </c>
      <c r="S24" s="648">
        <v>0</v>
      </c>
      <c r="U24" s="646" t="s">
        <v>350</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646" t="s">
        <v>72</v>
      </c>
      <c r="D25" s="640">
        <v>0</v>
      </c>
      <c r="E25" s="640">
        <v>583.50105466083789</v>
      </c>
      <c r="F25" s="640">
        <v>-577.66604411422952</v>
      </c>
      <c r="G25" s="640">
        <v>0</v>
      </c>
      <c r="H25" s="640">
        <v>0</v>
      </c>
      <c r="I25" s="640">
        <v>0</v>
      </c>
      <c r="J25" s="640">
        <v>0</v>
      </c>
      <c r="K25" s="640">
        <v>0</v>
      </c>
      <c r="L25" s="640">
        <v>0</v>
      </c>
      <c r="M25" s="640">
        <v>0</v>
      </c>
      <c r="N25" s="640">
        <v>0</v>
      </c>
      <c r="O25" s="640">
        <v>0</v>
      </c>
      <c r="P25" s="640">
        <v>0</v>
      </c>
      <c r="Q25" s="640">
        <v>0</v>
      </c>
      <c r="R25" s="640">
        <v>0</v>
      </c>
      <c r="S25" s="648">
        <v>5.8350105466083733</v>
      </c>
      <c r="U25" s="646" t="s">
        <v>72</v>
      </c>
      <c r="V25" s="640">
        <v>0</v>
      </c>
      <c r="W25" s="640">
        <v>513.08713872730914</v>
      </c>
      <c r="X25" s="640">
        <v>-507.95626734003605</v>
      </c>
      <c r="Y25" s="640">
        <v>0</v>
      </c>
      <c r="Z25" s="640">
        <v>0</v>
      </c>
      <c r="AA25" s="640">
        <v>0</v>
      </c>
      <c r="AB25" s="640">
        <v>0</v>
      </c>
      <c r="AC25" s="640">
        <v>0</v>
      </c>
      <c r="AD25" s="640">
        <v>0</v>
      </c>
      <c r="AE25" s="640">
        <v>0</v>
      </c>
      <c r="AF25" s="640">
        <v>0</v>
      </c>
      <c r="AG25" s="640">
        <v>0</v>
      </c>
      <c r="AH25" s="640">
        <v>0</v>
      </c>
      <c r="AI25" s="640">
        <v>0</v>
      </c>
      <c r="AJ25" s="640">
        <v>0</v>
      </c>
      <c r="AK25" s="648">
        <v>5.1308713872730891</v>
      </c>
    </row>
    <row r="26" spans="3:37" x14ac:dyDescent="0.2">
      <c r="C26" s="646" t="s">
        <v>351</v>
      </c>
      <c r="D26" s="640">
        <v>0</v>
      </c>
      <c r="E26" s="640">
        <v>0</v>
      </c>
      <c r="F26" s="640">
        <v>0</v>
      </c>
      <c r="G26" s="640">
        <v>0</v>
      </c>
      <c r="H26" s="640">
        <v>0</v>
      </c>
      <c r="I26" s="640">
        <v>0</v>
      </c>
      <c r="J26" s="640">
        <v>43.567433114887073</v>
      </c>
      <c r="K26" s="640">
        <v>0</v>
      </c>
      <c r="L26" s="640">
        <v>-43.567433114887073</v>
      </c>
      <c r="M26" s="640">
        <v>0</v>
      </c>
      <c r="N26" s="640">
        <v>0</v>
      </c>
      <c r="O26" s="640">
        <v>0</v>
      </c>
      <c r="P26" s="640">
        <v>0</v>
      </c>
      <c r="Q26" s="640">
        <v>0</v>
      </c>
      <c r="R26" s="640">
        <v>0</v>
      </c>
      <c r="S26" s="648">
        <v>0</v>
      </c>
      <c r="U26" s="646" t="s">
        <v>351</v>
      </c>
      <c r="V26" s="640">
        <v>0</v>
      </c>
      <c r="W26" s="640">
        <v>0</v>
      </c>
      <c r="X26" s="640">
        <v>0</v>
      </c>
      <c r="Y26" s="640">
        <v>0</v>
      </c>
      <c r="Z26" s="640">
        <v>0</v>
      </c>
      <c r="AA26" s="640">
        <v>0</v>
      </c>
      <c r="AB26" s="640" t="e">
        <v>#VALUE!</v>
      </c>
      <c r="AC26" s="640">
        <v>0</v>
      </c>
      <c r="AD26" s="640">
        <v>-45.82837485909166</v>
      </c>
      <c r="AE26" s="640">
        <v>0</v>
      </c>
      <c r="AF26" s="640">
        <v>0</v>
      </c>
      <c r="AG26" s="640">
        <v>0</v>
      </c>
      <c r="AH26" s="640">
        <v>0</v>
      </c>
      <c r="AI26" s="640">
        <v>0</v>
      </c>
      <c r="AJ26" s="640">
        <v>0</v>
      </c>
      <c r="AK26" s="648">
        <v>-45.82837485909166</v>
      </c>
    </row>
    <row r="27" spans="3:37" x14ac:dyDescent="0.2">
      <c r="C27" s="646" t="s">
        <v>352</v>
      </c>
      <c r="D27" s="640">
        <v>0</v>
      </c>
      <c r="E27" s="640">
        <v>0</v>
      </c>
      <c r="F27" s="640">
        <v>0</v>
      </c>
      <c r="G27" s="640">
        <v>0</v>
      </c>
      <c r="H27" s="640">
        <v>0</v>
      </c>
      <c r="I27" s="640">
        <v>0</v>
      </c>
      <c r="J27" s="640">
        <v>0</v>
      </c>
      <c r="K27" s="640">
        <v>0</v>
      </c>
      <c r="L27" s="640">
        <v>0</v>
      </c>
      <c r="M27" s="640">
        <v>0</v>
      </c>
      <c r="N27" s="640">
        <v>0</v>
      </c>
      <c r="O27" s="640">
        <v>0</v>
      </c>
      <c r="P27" s="640">
        <v>0</v>
      </c>
      <c r="Q27" s="640">
        <v>0</v>
      </c>
      <c r="R27" s="640">
        <v>0</v>
      </c>
      <c r="S27" s="648">
        <v>0</v>
      </c>
      <c r="U27" s="646" t="s">
        <v>352</v>
      </c>
      <c r="V27" s="640">
        <v>0</v>
      </c>
      <c r="W27" s="640">
        <v>0</v>
      </c>
      <c r="X27" s="640">
        <v>0</v>
      </c>
      <c r="Y27" s="640">
        <v>0</v>
      </c>
      <c r="Z27" s="640">
        <v>0</v>
      </c>
      <c r="AA27" s="640">
        <v>0</v>
      </c>
      <c r="AB27" s="640">
        <v>0</v>
      </c>
      <c r="AC27" s="640">
        <v>0</v>
      </c>
      <c r="AD27" s="640">
        <v>0</v>
      </c>
      <c r="AE27" s="640">
        <v>0</v>
      </c>
      <c r="AF27" s="640">
        <v>0</v>
      </c>
      <c r="AG27" s="640">
        <v>0</v>
      </c>
      <c r="AH27" s="640">
        <v>0</v>
      </c>
      <c r="AI27" s="640">
        <v>0</v>
      </c>
      <c r="AJ27" s="640">
        <v>0</v>
      </c>
      <c r="AK27" s="648">
        <v>0</v>
      </c>
    </row>
    <row r="28" spans="3:37" x14ac:dyDescent="0.2">
      <c r="C28" s="646" t="s">
        <v>73</v>
      </c>
      <c r="D28" s="640">
        <v>0</v>
      </c>
      <c r="E28" s="640">
        <v>0</v>
      </c>
      <c r="F28" s="640">
        <v>0</v>
      </c>
      <c r="G28" s="640">
        <v>0.51300159561157233</v>
      </c>
      <c r="H28" s="640">
        <v>0</v>
      </c>
      <c r="I28" s="640">
        <v>0</v>
      </c>
      <c r="J28" s="640">
        <v>0</v>
      </c>
      <c r="K28" s="640">
        <v>5.6591461181640631E-3</v>
      </c>
      <c r="L28" s="640">
        <v>0</v>
      </c>
      <c r="M28" s="640">
        <v>1.0469420318603517E-2</v>
      </c>
      <c r="N28" s="640">
        <v>0</v>
      </c>
      <c r="O28" s="640">
        <v>0</v>
      </c>
      <c r="P28" s="640">
        <v>3.9614022827148432E-2</v>
      </c>
      <c r="Q28" s="640">
        <v>0</v>
      </c>
      <c r="R28" s="640">
        <v>-0.39614022827148437</v>
      </c>
      <c r="S28" s="648">
        <v>0.17260395660400402</v>
      </c>
      <c r="U28" s="646" t="s">
        <v>73</v>
      </c>
      <c r="V28" s="640">
        <v>0</v>
      </c>
      <c r="W28" s="640">
        <v>0</v>
      </c>
      <c r="X28" s="640">
        <v>0</v>
      </c>
      <c r="Y28" s="640">
        <v>2.0927767434982734</v>
      </c>
      <c r="Z28" s="640">
        <v>0</v>
      </c>
      <c r="AA28" s="640">
        <v>0</v>
      </c>
      <c r="AB28" s="640">
        <v>0</v>
      </c>
      <c r="AC28" s="640">
        <v>3.312665996831457E-2</v>
      </c>
      <c r="AD28" s="640">
        <v>0</v>
      </c>
      <c r="AE28" s="640">
        <v>0.11014614439464597</v>
      </c>
      <c r="AF28" s="640">
        <v>0</v>
      </c>
      <c r="AG28" s="640">
        <v>0</v>
      </c>
      <c r="AH28" s="640">
        <v>1.15943309889101</v>
      </c>
      <c r="AI28" s="640">
        <v>0</v>
      </c>
      <c r="AJ28" s="640">
        <v>-2.31886619778202</v>
      </c>
      <c r="AK28" s="648">
        <v>1.0766164489702237</v>
      </c>
    </row>
    <row r="29" spans="3:37" x14ac:dyDescent="0.2">
      <c r="C29" s="646" t="s">
        <v>353</v>
      </c>
      <c r="D29" s="640">
        <v>30.168562499999993</v>
      </c>
      <c r="E29" s="640">
        <v>-20.218311543998034</v>
      </c>
      <c r="F29" s="640">
        <v>26.444357300871886</v>
      </c>
      <c r="G29" s="640">
        <v>0</v>
      </c>
      <c r="H29" s="640">
        <v>0</v>
      </c>
      <c r="I29" s="640">
        <v>0</v>
      </c>
      <c r="J29" s="640">
        <v>0</v>
      </c>
      <c r="K29" s="640">
        <v>0</v>
      </c>
      <c r="L29" s="640">
        <v>0</v>
      </c>
      <c r="M29" s="640">
        <v>0</v>
      </c>
      <c r="N29" s="640">
        <v>0</v>
      </c>
      <c r="O29" s="640">
        <v>0</v>
      </c>
      <c r="P29" s="640">
        <v>0</v>
      </c>
      <c r="Q29" s="640">
        <v>0</v>
      </c>
      <c r="R29" s="640">
        <v>0</v>
      </c>
      <c r="S29" s="648">
        <v>36.394608256873845</v>
      </c>
      <c r="U29" s="646" t="s">
        <v>353</v>
      </c>
      <c r="V29" s="640">
        <v>13.02096923828125</v>
      </c>
      <c r="W29" s="640">
        <v>-17.778469356901262</v>
      </c>
      <c r="X29" s="640">
        <v>23.253187829923604</v>
      </c>
      <c r="Y29" s="640">
        <v>0</v>
      </c>
      <c r="Z29" s="640">
        <v>0</v>
      </c>
      <c r="AA29" s="640">
        <v>0</v>
      </c>
      <c r="AB29" s="640">
        <v>0</v>
      </c>
      <c r="AC29" s="640">
        <v>0</v>
      </c>
      <c r="AD29" s="640">
        <v>0</v>
      </c>
      <c r="AE29" s="640">
        <v>0</v>
      </c>
      <c r="AF29" s="640">
        <v>0</v>
      </c>
      <c r="AG29" s="640">
        <v>0</v>
      </c>
      <c r="AH29" s="640">
        <v>0</v>
      </c>
      <c r="AI29" s="640">
        <v>0</v>
      </c>
      <c r="AJ29" s="640">
        <v>0</v>
      </c>
      <c r="AK29" s="648">
        <v>18.495687711303592</v>
      </c>
    </row>
    <row r="30" spans="3:37" x14ac:dyDescent="0.2">
      <c r="C30" s="646" t="s">
        <v>75</v>
      </c>
      <c r="D30" s="640">
        <v>11.732218749999999</v>
      </c>
      <c r="E30" s="640">
        <v>0</v>
      </c>
      <c r="F30" s="640">
        <v>19.839035858468488</v>
      </c>
      <c r="G30" s="640">
        <v>5.6611272323194495</v>
      </c>
      <c r="H30" s="640">
        <v>0</v>
      </c>
      <c r="I30" s="640">
        <v>0</v>
      </c>
      <c r="J30" s="640">
        <v>0</v>
      </c>
      <c r="K30" s="640">
        <v>0</v>
      </c>
      <c r="L30" s="640">
        <v>0</v>
      </c>
      <c r="M30" s="640">
        <v>0.11553320882284591</v>
      </c>
      <c r="N30" s="640">
        <v>0</v>
      </c>
      <c r="O30" s="640">
        <v>0</v>
      </c>
      <c r="P30" s="640">
        <v>36.290441897725728</v>
      </c>
      <c r="Q30" s="640">
        <v>0</v>
      </c>
      <c r="R30" s="640">
        <v>0</v>
      </c>
      <c r="S30" s="648">
        <v>73.638356947336518</v>
      </c>
      <c r="U30" s="646" t="s">
        <v>75</v>
      </c>
      <c r="V30" s="640">
        <v>10.2975283203125</v>
      </c>
      <c r="W30" s="640">
        <v>0</v>
      </c>
      <c r="X30" s="640">
        <v>19.839035858468488</v>
      </c>
      <c r="Y30" s="640">
        <v>5.487827419085181</v>
      </c>
      <c r="Z30" s="640">
        <v>0</v>
      </c>
      <c r="AA30" s="640">
        <v>0</v>
      </c>
      <c r="AB30" s="640">
        <v>0</v>
      </c>
      <c r="AC30" s="640">
        <v>0</v>
      </c>
      <c r="AD30" s="640">
        <v>0</v>
      </c>
      <c r="AE30" s="640">
        <v>0.28883302205711481</v>
      </c>
      <c r="AF30" s="640">
        <v>0</v>
      </c>
      <c r="AG30" s="640">
        <v>0</v>
      </c>
      <c r="AH30" s="640">
        <v>33.686888178717467</v>
      </c>
      <c r="AI30" s="640">
        <v>0</v>
      </c>
      <c r="AJ30" s="640">
        <v>0</v>
      </c>
      <c r="AK30" s="648">
        <v>69.600112798640737</v>
      </c>
    </row>
    <row r="31" spans="3:37" x14ac:dyDescent="0.2">
      <c r="C31" s="646" t="s">
        <v>76</v>
      </c>
      <c r="D31" s="640">
        <v>0</v>
      </c>
      <c r="E31" s="640">
        <v>0</v>
      </c>
      <c r="F31" s="640">
        <v>0</v>
      </c>
      <c r="G31" s="640">
        <v>4.1611310137714437</v>
      </c>
      <c r="H31" s="640">
        <v>0</v>
      </c>
      <c r="I31" s="640">
        <v>0</v>
      </c>
      <c r="J31" s="640">
        <v>0</v>
      </c>
      <c r="K31" s="640">
        <v>0</v>
      </c>
      <c r="L31" s="640">
        <v>0</v>
      </c>
      <c r="M31" s="640">
        <v>8.4921041097376401E-2</v>
      </c>
      <c r="N31" s="640">
        <v>0</v>
      </c>
      <c r="O31" s="640">
        <v>0</v>
      </c>
      <c r="P31" s="640">
        <v>39.192716927085932</v>
      </c>
      <c r="Q31" s="640">
        <v>3.2227514144892391</v>
      </c>
      <c r="R31" s="640">
        <v>0</v>
      </c>
      <c r="S31" s="648">
        <v>46.66152039644399</v>
      </c>
      <c r="U31" s="646" t="s">
        <v>76</v>
      </c>
      <c r="V31" s="640">
        <v>0</v>
      </c>
      <c r="W31" s="640">
        <v>0</v>
      </c>
      <c r="X31" s="640">
        <v>0</v>
      </c>
      <c r="Y31" s="640">
        <v>4.2421905472985904</v>
      </c>
      <c r="Z31" s="640">
        <v>0</v>
      </c>
      <c r="AA31" s="640">
        <v>0</v>
      </c>
      <c r="AB31" s="640">
        <v>0</v>
      </c>
      <c r="AC31" s="640">
        <v>0</v>
      </c>
      <c r="AD31" s="640">
        <v>0</v>
      </c>
      <c r="AE31" s="640">
        <v>0.2232731866999258</v>
      </c>
      <c r="AF31" s="640">
        <v>0</v>
      </c>
      <c r="AG31" s="640">
        <v>0</v>
      </c>
      <c r="AH31" s="640">
        <v>39.221580519444494</v>
      </c>
      <c r="AI31" s="640">
        <v>4.4453067332156078</v>
      </c>
      <c r="AJ31" s="640">
        <v>0</v>
      </c>
      <c r="AK31" s="648">
        <v>48.132350986658622</v>
      </c>
    </row>
    <row r="32" spans="3:37" x14ac:dyDescent="0.2">
      <c r="C32" s="644" t="s">
        <v>77</v>
      </c>
      <c r="D32" s="645">
        <v>44.8550394434155</v>
      </c>
      <c r="E32" s="645">
        <v>563.28274311683981</v>
      </c>
      <c r="F32" s="645">
        <v>-523.5616955322962</v>
      </c>
      <c r="G32" s="645">
        <v>45.593893802178002</v>
      </c>
      <c r="H32" s="645">
        <v>1190.909090909091</v>
      </c>
      <c r="I32" s="645">
        <v>153.14171554603519</v>
      </c>
      <c r="J32" s="645">
        <v>100.40938676969702</v>
      </c>
      <c r="K32" s="645">
        <v>22.145246499701521</v>
      </c>
      <c r="L32" s="645">
        <v>-41.055317091001299</v>
      </c>
      <c r="M32" s="645">
        <v>-6.1176837046980248</v>
      </c>
      <c r="N32" s="645">
        <v>0</v>
      </c>
      <c r="O32" s="645">
        <v>3.4289643920188775</v>
      </c>
      <c r="P32" s="645">
        <v>-500.23719370074849</v>
      </c>
      <c r="Q32" s="645">
        <v>-38.312691958272012</v>
      </c>
      <c r="R32" s="645">
        <v>-0.39614022827148437</v>
      </c>
      <c r="S32" s="645">
        <v>1014.085358263689</v>
      </c>
      <c r="U32" s="644" t="s">
        <v>77</v>
      </c>
      <c r="V32" s="645">
        <v>26.480744653565324</v>
      </c>
      <c r="W32" s="645">
        <v>495.30866937040787</v>
      </c>
      <c r="X32" s="645">
        <v>-458.53069153483614</v>
      </c>
      <c r="Y32" s="645">
        <v>89.092202035840685</v>
      </c>
      <c r="Z32" s="645">
        <v>1105.3443526170799</v>
      </c>
      <c r="AA32" s="645">
        <v>156.32644281876244</v>
      </c>
      <c r="AB32" s="645">
        <v>72.961163821898253</v>
      </c>
      <c r="AC32" s="645">
        <v>27.712026603870047</v>
      </c>
      <c r="AD32" s="645">
        <v>-43.316258835205886</v>
      </c>
      <c r="AE32" s="645">
        <v>-14.02680568075132</v>
      </c>
      <c r="AF32" s="645">
        <v>0</v>
      </c>
      <c r="AG32" s="645">
        <v>5.0716279521827641</v>
      </c>
      <c r="AH32" s="645">
        <v>-498.36770111497077</v>
      </c>
      <c r="AI32" s="645">
        <v>-52.866921943109737</v>
      </c>
      <c r="AJ32" s="645">
        <v>-2.31886619778202</v>
      </c>
      <c r="AK32" s="645">
        <v>908.86998456695119</v>
      </c>
    </row>
    <row r="33" spans="3:37" x14ac:dyDescent="0.2">
      <c r="C33" s="634"/>
      <c r="D33" s="634">
        <v>0</v>
      </c>
      <c r="E33" s="634">
        <v>0</v>
      </c>
      <c r="F33" s="634">
        <v>0</v>
      </c>
      <c r="G33" s="634">
        <v>0</v>
      </c>
      <c r="H33" s="634">
        <v>0</v>
      </c>
      <c r="I33" s="634">
        <v>0</v>
      </c>
      <c r="J33" s="634">
        <v>0</v>
      </c>
      <c r="K33" s="634">
        <v>0</v>
      </c>
      <c r="L33" s="634">
        <v>0</v>
      </c>
      <c r="M33" s="634">
        <v>0</v>
      </c>
      <c r="N33" s="634">
        <v>0</v>
      </c>
      <c r="O33" s="634">
        <v>0</v>
      </c>
      <c r="P33" s="634">
        <v>0</v>
      </c>
      <c r="Q33" s="634">
        <v>0</v>
      </c>
      <c r="R33" s="634">
        <v>0</v>
      </c>
      <c r="S33" s="634">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646" t="s">
        <v>78</v>
      </c>
      <c r="D34" s="640">
        <v>7.0843993210285721</v>
      </c>
      <c r="E34" s="640">
        <v>0</v>
      </c>
      <c r="F34" s="640">
        <v>27.107499244386606</v>
      </c>
      <c r="G34" s="640">
        <v>109.63750187259986</v>
      </c>
      <c r="H34" s="640">
        <v>0</v>
      </c>
      <c r="I34" s="640">
        <v>0</v>
      </c>
      <c r="J34" s="640">
        <v>17.593885172405454</v>
      </c>
      <c r="K34" s="640">
        <v>1.7237647195692531</v>
      </c>
      <c r="L34" s="640">
        <v>0.83302892187499988</v>
      </c>
      <c r="M34" s="640">
        <v>2.2562819387026423</v>
      </c>
      <c r="N34" s="640">
        <v>0</v>
      </c>
      <c r="O34" s="640">
        <v>3.8289980908217579E-4</v>
      </c>
      <c r="P34" s="640">
        <v>110.31623789955354</v>
      </c>
      <c r="Q34" s="640">
        <v>16.994133911313323</v>
      </c>
      <c r="R34" s="640">
        <v>0.39614022827148437</v>
      </c>
      <c r="S34" s="648">
        <v>293.94325612951479</v>
      </c>
      <c r="U34" s="646" t="s">
        <v>78</v>
      </c>
      <c r="V34" s="640">
        <v>3.885325727516717</v>
      </c>
      <c r="W34" s="640">
        <v>0</v>
      </c>
      <c r="X34" s="640">
        <v>23.321309480837726</v>
      </c>
      <c r="Y34" s="640">
        <v>96.699296914521057</v>
      </c>
      <c r="Z34" s="640">
        <v>0</v>
      </c>
      <c r="AA34" s="640">
        <v>0</v>
      </c>
      <c r="AB34" s="640">
        <v>18.074671536539281</v>
      </c>
      <c r="AC34" s="640">
        <v>5.2394534429757353</v>
      </c>
      <c r="AD34" s="640">
        <v>0.94215535644531256</v>
      </c>
      <c r="AE34" s="640">
        <v>5.1082185801979545</v>
      </c>
      <c r="AF34" s="640">
        <v>0</v>
      </c>
      <c r="AG34" s="640">
        <v>3.8289980908217579E-4</v>
      </c>
      <c r="AH34" s="640">
        <v>125.74204552909232</v>
      </c>
      <c r="AI34" s="640">
        <v>19.862626301688149</v>
      </c>
      <c r="AJ34" s="640">
        <v>1.1177628173828125</v>
      </c>
      <c r="AK34" s="648">
        <v>299.99324858700612</v>
      </c>
    </row>
    <row r="35" spans="3:37" x14ac:dyDescent="0.2">
      <c r="C35" s="646" t="s">
        <v>79</v>
      </c>
      <c r="D35" s="640">
        <v>0</v>
      </c>
      <c r="E35" s="640">
        <v>0</v>
      </c>
      <c r="F35" s="640">
        <v>408.63289173322238</v>
      </c>
      <c r="G35" s="640">
        <v>6.6484606559899468</v>
      </c>
      <c r="H35" s="640">
        <v>0</v>
      </c>
      <c r="I35" s="640">
        <v>0</v>
      </c>
      <c r="J35" s="640">
        <v>0</v>
      </c>
      <c r="K35" s="640">
        <v>0</v>
      </c>
      <c r="L35" s="640">
        <v>39.656272012198485</v>
      </c>
      <c r="M35" s="640">
        <v>0.13568287053040709</v>
      </c>
      <c r="N35" s="640">
        <v>0</v>
      </c>
      <c r="O35" s="640">
        <v>0</v>
      </c>
      <c r="P35" s="640">
        <v>17.908429224736064</v>
      </c>
      <c r="Q35" s="640">
        <v>0</v>
      </c>
      <c r="R35" s="640">
        <v>0</v>
      </c>
      <c r="S35" s="648">
        <v>472.98173649667723</v>
      </c>
      <c r="U35" s="646" t="s">
        <v>79</v>
      </c>
      <c r="V35" s="640">
        <v>0</v>
      </c>
      <c r="W35" s="640">
        <v>0</v>
      </c>
      <c r="X35" s="640">
        <v>375.77190763394009</v>
      </c>
      <c r="Y35" s="640">
        <v>6.755817454004311</v>
      </c>
      <c r="Z35" s="640">
        <v>0</v>
      </c>
      <c r="AA35" s="640">
        <v>0</v>
      </c>
      <c r="AB35" s="640">
        <v>0</v>
      </c>
      <c r="AC35" s="640">
        <v>0</v>
      </c>
      <c r="AD35" s="640">
        <v>39.472711320953763</v>
      </c>
      <c r="AE35" s="640">
        <v>0.35556933968443744</v>
      </c>
      <c r="AF35" s="640">
        <v>0</v>
      </c>
      <c r="AG35" s="640">
        <v>0</v>
      </c>
      <c r="AH35" s="640">
        <v>17.446496979828503</v>
      </c>
      <c r="AI35" s="640">
        <v>0</v>
      </c>
      <c r="AJ35" s="640">
        <v>0</v>
      </c>
      <c r="AK35" s="648">
        <v>439.80250272841107</v>
      </c>
    </row>
    <row r="36" spans="3:37" x14ac:dyDescent="0.2">
      <c r="C36" s="646" t="s">
        <v>80</v>
      </c>
      <c r="D36" s="640">
        <v>0</v>
      </c>
      <c r="E36" s="640">
        <v>0</v>
      </c>
      <c r="F36" s="640">
        <v>41.084750674599483</v>
      </c>
      <c r="G36" s="640">
        <v>119.79409980429404</v>
      </c>
      <c r="H36" s="640">
        <v>0</v>
      </c>
      <c r="I36" s="640">
        <v>0</v>
      </c>
      <c r="J36" s="640">
        <v>72.996556103181632</v>
      </c>
      <c r="K36" s="640">
        <v>0</v>
      </c>
      <c r="L36" s="640">
        <v>0</v>
      </c>
      <c r="M36" s="640">
        <v>2.4447775470264088</v>
      </c>
      <c r="N36" s="640">
        <v>32.811205728954405</v>
      </c>
      <c r="O36" s="640">
        <v>1.4994987295121316</v>
      </c>
      <c r="P36" s="640">
        <v>168.17343522041736</v>
      </c>
      <c r="Q36" s="640">
        <v>15.992572069761611</v>
      </c>
      <c r="R36" s="640">
        <v>0</v>
      </c>
      <c r="S36" s="648">
        <v>454.79689587774703</v>
      </c>
      <c r="U36" s="646" t="s">
        <v>80</v>
      </c>
      <c r="V36" s="640">
        <v>0</v>
      </c>
      <c r="W36" s="640">
        <v>0</v>
      </c>
      <c r="X36" s="640">
        <v>34.76631066711105</v>
      </c>
      <c r="Y36" s="640">
        <v>106.63972230210601</v>
      </c>
      <c r="Z36" s="640">
        <v>0</v>
      </c>
      <c r="AA36" s="640">
        <v>0</v>
      </c>
      <c r="AB36" s="640">
        <v>79.335392755141783</v>
      </c>
      <c r="AC36" s="640">
        <v>0</v>
      </c>
      <c r="AD36" s="640">
        <v>0</v>
      </c>
      <c r="AE36" s="640">
        <v>5.6126169632687386</v>
      </c>
      <c r="AF36" s="640">
        <v>35.519956519553347</v>
      </c>
      <c r="AG36" s="640">
        <v>1.427931671492281</v>
      </c>
      <c r="AH36" s="640">
        <v>160.67228544284913</v>
      </c>
      <c r="AI36" s="640">
        <v>25.929258094327544</v>
      </c>
      <c r="AJ36" s="640">
        <v>0</v>
      </c>
      <c r="AK36" s="648">
        <v>449.90347441584998</v>
      </c>
    </row>
    <row r="37" spans="3:37" x14ac:dyDescent="0.2">
      <c r="C37" s="646" t="s">
        <v>81</v>
      </c>
      <c r="D37" s="640">
        <v>0</v>
      </c>
      <c r="E37" s="640">
        <v>0</v>
      </c>
      <c r="F37" s="640">
        <v>21.278250753083572</v>
      </c>
      <c r="G37" s="640">
        <v>66.807967366338673</v>
      </c>
      <c r="H37" s="640">
        <v>0</v>
      </c>
      <c r="I37" s="640">
        <v>0</v>
      </c>
      <c r="J37" s="640">
        <v>3.9976752731894716</v>
      </c>
      <c r="K37" s="640">
        <v>2.6432002043970358E-2</v>
      </c>
      <c r="L37" s="640">
        <v>0</v>
      </c>
      <c r="M37" s="640">
        <v>1.3634279054354832</v>
      </c>
      <c r="N37" s="640">
        <v>6.5080361221152287</v>
      </c>
      <c r="O37" s="640">
        <v>0.94378280475996701</v>
      </c>
      <c r="P37" s="640">
        <v>131.53831129097264</v>
      </c>
      <c r="Q37" s="640">
        <v>5.3259859771970728</v>
      </c>
      <c r="R37" s="640">
        <v>0</v>
      </c>
      <c r="S37" s="648">
        <v>237.78986949513609</v>
      </c>
      <c r="U37" s="646" t="s">
        <v>81</v>
      </c>
      <c r="V37" s="640">
        <v>0</v>
      </c>
      <c r="W37" s="640">
        <v>0</v>
      </c>
      <c r="X37" s="640">
        <v>15.239894940926636</v>
      </c>
      <c r="Y37" s="640">
        <v>55.988063388934151</v>
      </c>
      <c r="Z37" s="640">
        <v>0</v>
      </c>
      <c r="AA37" s="640">
        <v>0</v>
      </c>
      <c r="AB37" s="640">
        <v>6.2628201133829862</v>
      </c>
      <c r="AC37" s="640">
        <v>2.6432002043970358E-2</v>
      </c>
      <c r="AD37" s="640">
        <v>0</v>
      </c>
      <c r="AE37" s="640">
        <v>2.9467401783649554</v>
      </c>
      <c r="AF37" s="640">
        <v>11.4217194648713</v>
      </c>
      <c r="AG37" s="640">
        <v>1.4420725885698453</v>
      </c>
      <c r="AH37" s="640">
        <v>125.88549835067262</v>
      </c>
      <c r="AI37" s="640">
        <v>7.0750375470940394</v>
      </c>
      <c r="AJ37" s="640">
        <v>0</v>
      </c>
      <c r="AK37" s="648">
        <v>226.28827857486053</v>
      </c>
    </row>
    <row r="38" spans="3:37" x14ac:dyDescent="0.2">
      <c r="C38" s="646" t="s">
        <v>82</v>
      </c>
      <c r="D38" s="640">
        <v>0</v>
      </c>
      <c r="E38" s="640">
        <v>0</v>
      </c>
      <c r="F38" s="640">
        <v>34.492480565946664</v>
      </c>
      <c r="G38" s="640">
        <v>2.4401253266579648</v>
      </c>
      <c r="H38" s="640">
        <v>0</v>
      </c>
      <c r="I38" s="640">
        <v>0</v>
      </c>
      <c r="J38" s="640">
        <v>0.70706396927287185</v>
      </c>
      <c r="K38" s="640">
        <v>0</v>
      </c>
      <c r="L38" s="640">
        <v>2.2606527751608563</v>
      </c>
      <c r="M38" s="640">
        <v>4.979847605424418E-2</v>
      </c>
      <c r="N38" s="640">
        <v>0</v>
      </c>
      <c r="O38" s="640">
        <v>9.0201671928645533E-2</v>
      </c>
      <c r="P38" s="640">
        <v>8.2455072704191767</v>
      </c>
      <c r="Q38" s="640">
        <v>0</v>
      </c>
      <c r="R38" s="640">
        <v>0</v>
      </c>
      <c r="S38" s="648">
        <v>48.285830055440421</v>
      </c>
      <c r="U38" s="646" t="s">
        <v>82</v>
      </c>
      <c r="V38" s="640">
        <v>0</v>
      </c>
      <c r="W38" s="640">
        <v>0</v>
      </c>
      <c r="X38" s="640">
        <v>33.216742540132081</v>
      </c>
      <c r="Y38" s="640">
        <v>2.5829673934416131</v>
      </c>
      <c r="Z38" s="640">
        <v>0</v>
      </c>
      <c r="AA38" s="640">
        <v>0</v>
      </c>
      <c r="AB38" s="640">
        <v>0.70706396927287185</v>
      </c>
      <c r="AC38" s="640">
        <v>0</v>
      </c>
      <c r="AD38" s="640">
        <v>3.7843312923041141</v>
      </c>
      <c r="AE38" s="640">
        <v>0.13594565228640071</v>
      </c>
      <c r="AF38" s="640">
        <v>0</v>
      </c>
      <c r="AG38" s="640">
        <v>0.36066131262685786</v>
      </c>
      <c r="AH38" s="640">
        <v>8.2670833714025918</v>
      </c>
      <c r="AI38" s="640">
        <v>0</v>
      </c>
      <c r="AJ38" s="640">
        <v>8.6831190235855574E-2</v>
      </c>
      <c r="AK38" s="648">
        <v>49.141626721702394</v>
      </c>
    </row>
    <row r="39" spans="3:37" x14ac:dyDescent="0.2">
      <c r="C39" s="646" t="s">
        <v>354</v>
      </c>
      <c r="D39" s="640">
        <v>0</v>
      </c>
      <c r="E39" s="640">
        <v>0</v>
      </c>
      <c r="F39" s="640">
        <v>0</v>
      </c>
      <c r="G39" s="640">
        <v>0</v>
      </c>
      <c r="H39" s="640">
        <v>0</v>
      </c>
      <c r="I39" s="640">
        <v>0</v>
      </c>
      <c r="J39" s="640">
        <v>0</v>
      </c>
      <c r="K39" s="640">
        <v>0</v>
      </c>
      <c r="L39" s="640">
        <v>0</v>
      </c>
      <c r="M39" s="640">
        <v>0</v>
      </c>
      <c r="N39" s="640">
        <v>0</v>
      </c>
      <c r="O39" s="640">
        <v>0</v>
      </c>
      <c r="P39" s="640">
        <v>0</v>
      </c>
      <c r="Q39" s="640">
        <v>0</v>
      </c>
      <c r="R39" s="640">
        <v>0</v>
      </c>
      <c r="S39" s="648">
        <v>0</v>
      </c>
      <c r="U39" s="646" t="s">
        <v>354</v>
      </c>
      <c r="V39" s="640">
        <v>0</v>
      </c>
      <c r="W39" s="640">
        <v>0</v>
      </c>
      <c r="X39" s="640">
        <v>0</v>
      </c>
      <c r="Y39" s="640">
        <v>0</v>
      </c>
      <c r="Z39" s="640">
        <v>0</v>
      </c>
      <c r="AA39" s="640">
        <v>0</v>
      </c>
      <c r="AB39" s="640">
        <v>0</v>
      </c>
      <c r="AC39" s="640">
        <v>0</v>
      </c>
      <c r="AD39" s="640">
        <v>0</v>
      </c>
      <c r="AE39" s="640">
        <v>0</v>
      </c>
      <c r="AF39" s="640">
        <v>0</v>
      </c>
      <c r="AG39" s="640">
        <v>0</v>
      </c>
      <c r="AH39" s="640">
        <v>0</v>
      </c>
      <c r="AI39" s="640">
        <v>0</v>
      </c>
      <c r="AJ39" s="640">
        <v>0</v>
      </c>
      <c r="AK39" s="648">
        <v>0</v>
      </c>
    </row>
    <row r="40" spans="3:37" x14ac:dyDescent="0.2">
      <c r="C40" s="644" t="s">
        <v>83</v>
      </c>
      <c r="D40" s="645">
        <v>7.0843993210285721</v>
      </c>
      <c r="E40" s="645">
        <v>0</v>
      </c>
      <c r="F40" s="645">
        <v>532.59587297123869</v>
      </c>
      <c r="G40" s="645">
        <v>305.32815502588045</v>
      </c>
      <c r="H40" s="645">
        <v>0</v>
      </c>
      <c r="I40" s="645">
        <v>0</v>
      </c>
      <c r="J40" s="645">
        <v>95.295180518049435</v>
      </c>
      <c r="K40" s="645">
        <v>1.7501967216132235</v>
      </c>
      <c r="L40" s="645">
        <v>42.74995370923434</v>
      </c>
      <c r="M40" s="645">
        <v>6.2499687377491853</v>
      </c>
      <c r="N40" s="645">
        <v>39.319241851069634</v>
      </c>
      <c r="O40" s="645">
        <v>2.5338661060098264</v>
      </c>
      <c r="P40" s="645">
        <v>436.18192090609881</v>
      </c>
      <c r="Q40" s="645">
        <v>38.312691958272005</v>
      </c>
      <c r="R40" s="645">
        <v>0.39614022827148437</v>
      </c>
      <c r="S40" s="645">
        <v>1507.7975880545155</v>
      </c>
      <c r="U40" s="644" t="s">
        <v>83</v>
      </c>
      <c r="V40" s="645">
        <v>3.885325727516717</v>
      </c>
      <c r="W40" s="645">
        <v>0</v>
      </c>
      <c r="X40" s="645">
        <v>482.31616526294755</v>
      </c>
      <c r="Y40" s="645">
        <v>268.66586745300714</v>
      </c>
      <c r="Z40" s="645">
        <v>0</v>
      </c>
      <c r="AA40" s="645">
        <v>0</v>
      </c>
      <c r="AB40" s="645">
        <v>104.37994837433692</v>
      </c>
      <c r="AC40" s="645">
        <v>5.2658854450197055</v>
      </c>
      <c r="AD40" s="645">
        <v>44.199197969703192</v>
      </c>
      <c r="AE40" s="645">
        <v>14.159090713802485</v>
      </c>
      <c r="AF40" s="645">
        <v>46.941675984424649</v>
      </c>
      <c r="AG40" s="645">
        <v>3.2310484724980664</v>
      </c>
      <c r="AH40" s="645">
        <v>438.0134096738451</v>
      </c>
      <c r="AI40" s="645">
        <v>52.866921943109737</v>
      </c>
      <c r="AJ40" s="645">
        <v>1.2045940076186681</v>
      </c>
      <c r="AK40" s="645">
        <v>1465.1291310278302</v>
      </c>
    </row>
    <row r="41" spans="3:37" x14ac:dyDescent="0.2">
      <c r="C41" s="639" t="s">
        <v>84</v>
      </c>
      <c r="D41" s="640">
        <v>0</v>
      </c>
      <c r="E41" s="640">
        <v>0</v>
      </c>
      <c r="F41" s="640">
        <v>127.25135409198229</v>
      </c>
      <c r="G41" s="640">
        <v>12.538633041459809</v>
      </c>
      <c r="H41" s="640">
        <v>0</v>
      </c>
      <c r="I41" s="640">
        <v>0</v>
      </c>
      <c r="J41" s="640">
        <v>0</v>
      </c>
      <c r="K41" s="640">
        <v>0</v>
      </c>
      <c r="L41" s="640">
        <v>0</v>
      </c>
      <c r="M41" s="640">
        <v>0</v>
      </c>
      <c r="N41" s="640">
        <v>0</v>
      </c>
      <c r="O41" s="640">
        <v>0</v>
      </c>
      <c r="P41" s="640">
        <v>0</v>
      </c>
      <c r="Q41" s="640">
        <v>0</v>
      </c>
      <c r="R41" s="640">
        <v>0</v>
      </c>
      <c r="S41" s="648">
        <v>139.78998713344208</v>
      </c>
      <c r="U41" s="639" t="s">
        <v>84</v>
      </c>
      <c r="V41" s="640">
        <v>0</v>
      </c>
      <c r="W41" s="640">
        <v>0</v>
      </c>
      <c r="X41" s="640">
        <v>128.77178857297574</v>
      </c>
      <c r="Y41" s="640">
        <v>1.8429610546316848</v>
      </c>
      <c r="Z41" s="640">
        <v>0</v>
      </c>
      <c r="AA41" s="640">
        <v>0</v>
      </c>
      <c r="AB41" s="640">
        <v>0</v>
      </c>
      <c r="AC41" s="640">
        <v>0</v>
      </c>
      <c r="AD41" s="640">
        <v>0.17036074218750002</v>
      </c>
      <c r="AE41" s="640">
        <v>0</v>
      </c>
      <c r="AF41" s="640">
        <v>0</v>
      </c>
      <c r="AG41" s="640">
        <v>0</v>
      </c>
      <c r="AH41" s="640">
        <v>0</v>
      </c>
      <c r="AI41" s="640">
        <v>0</v>
      </c>
      <c r="AJ41" s="640">
        <v>1.1142721901633521</v>
      </c>
      <c r="AK41" s="648">
        <v>131.89938255995827</v>
      </c>
    </row>
    <row r="42" spans="3:37" x14ac:dyDescent="0.2">
      <c r="C42" s="644" t="s">
        <v>85</v>
      </c>
      <c r="D42" s="645">
        <v>7.0843993210285721</v>
      </c>
      <c r="E42" s="645">
        <v>0</v>
      </c>
      <c r="F42" s="645">
        <v>659.847227063221</v>
      </c>
      <c r="G42" s="645">
        <v>317.86678806734028</v>
      </c>
      <c r="H42" s="645">
        <v>0</v>
      </c>
      <c r="I42" s="645">
        <v>0</v>
      </c>
      <c r="J42" s="645">
        <v>95.295180518049435</v>
      </c>
      <c r="K42" s="645">
        <v>1.7501967216132235</v>
      </c>
      <c r="L42" s="645">
        <v>42.74995370923434</v>
      </c>
      <c r="M42" s="645">
        <v>6.2499687377491853</v>
      </c>
      <c r="N42" s="645">
        <v>39.319241851069634</v>
      </c>
      <c r="O42" s="645">
        <v>2.5338661060098264</v>
      </c>
      <c r="P42" s="645">
        <v>436.18192090609881</v>
      </c>
      <c r="Q42" s="645">
        <v>38.312691958272005</v>
      </c>
      <c r="R42" s="645">
        <v>0.39614022827148437</v>
      </c>
      <c r="S42" s="645">
        <v>1647.5875751879578</v>
      </c>
      <c r="U42" s="644" t="s">
        <v>85</v>
      </c>
      <c r="V42" s="645">
        <v>3.885325727516717</v>
      </c>
      <c r="W42" s="645">
        <v>0</v>
      </c>
      <c r="X42" s="645">
        <v>611.08795383592337</v>
      </c>
      <c r="Y42" s="645">
        <v>270.50882850763884</v>
      </c>
      <c r="Z42" s="645">
        <v>0</v>
      </c>
      <c r="AA42" s="645">
        <v>0</v>
      </c>
      <c r="AB42" s="645">
        <v>104.37994837433692</v>
      </c>
      <c r="AC42" s="645">
        <v>5.2658854450197055</v>
      </c>
      <c r="AD42" s="645">
        <v>44.36955871189069</v>
      </c>
      <c r="AE42" s="645">
        <v>14.159090713802485</v>
      </c>
      <c r="AF42" s="645">
        <v>46.941675984424649</v>
      </c>
      <c r="AG42" s="645">
        <v>3.2310484724980664</v>
      </c>
      <c r="AH42" s="645">
        <v>438.0134096738451</v>
      </c>
      <c r="AI42" s="645">
        <v>52.866921943109737</v>
      </c>
      <c r="AJ42" s="645">
        <v>2.31886619778202</v>
      </c>
      <c r="AK42" s="645">
        <v>1597.0285135877887</v>
      </c>
    </row>
    <row r="43" spans="3:37" x14ac:dyDescent="0.2">
      <c r="C43" s="634"/>
      <c r="D43" s="634"/>
      <c r="E43" s="634"/>
      <c r="F43" s="634"/>
      <c r="G43" s="634"/>
      <c r="H43" s="634"/>
      <c r="I43" s="634"/>
      <c r="J43" s="634"/>
      <c r="K43" s="634"/>
      <c r="L43" s="634"/>
      <c r="M43" s="634"/>
      <c r="N43" s="634"/>
      <c r="O43" s="634"/>
      <c r="P43" s="634"/>
      <c r="Q43" s="634"/>
      <c r="R43" s="634"/>
      <c r="S43" s="634"/>
      <c r="U43" s="634"/>
      <c r="V43" s="634"/>
      <c r="W43" s="634"/>
      <c r="X43" s="634"/>
      <c r="Y43" s="634"/>
      <c r="Z43" s="634"/>
      <c r="AA43" s="634"/>
      <c r="AB43" s="634"/>
      <c r="AC43" s="634"/>
      <c r="AD43" s="634"/>
      <c r="AE43" s="634"/>
      <c r="AF43" s="634"/>
      <c r="AG43" s="634"/>
      <c r="AH43" s="634"/>
      <c r="AI43" s="634"/>
      <c r="AJ43" s="634"/>
      <c r="AK43" s="634"/>
    </row>
    <row r="44" spans="3:37" ht="22.5" x14ac:dyDescent="0.3">
      <c r="C44" s="759" t="s">
        <v>356</v>
      </c>
      <c r="D44" s="759"/>
      <c r="E44" s="759"/>
      <c r="F44" s="759"/>
      <c r="G44" s="759"/>
      <c r="H44" s="759"/>
      <c r="I44" s="759"/>
      <c r="J44" s="759"/>
      <c r="K44" s="759"/>
      <c r="L44" s="759"/>
      <c r="M44" s="759"/>
      <c r="N44" s="759"/>
      <c r="O44" s="759"/>
      <c r="P44" s="759"/>
      <c r="Q44" s="759"/>
      <c r="R44" s="759"/>
      <c r="S44" s="759"/>
      <c r="U44" s="759" t="s">
        <v>356</v>
      </c>
      <c r="V44" s="759"/>
      <c r="W44" s="759"/>
      <c r="X44" s="759"/>
      <c r="Y44" s="759"/>
      <c r="Z44" s="759"/>
      <c r="AA44" s="759"/>
      <c r="AB44" s="759"/>
      <c r="AC44" s="759"/>
      <c r="AD44" s="759"/>
      <c r="AE44" s="759"/>
      <c r="AF44" s="759"/>
      <c r="AG44" s="759"/>
      <c r="AH44" s="759"/>
      <c r="AI44" s="759"/>
      <c r="AJ44" s="759"/>
      <c r="AK44" s="759"/>
    </row>
    <row r="45" spans="3:37" x14ac:dyDescent="0.2">
      <c r="C45" s="634"/>
      <c r="D45" s="634"/>
      <c r="E45" s="634"/>
      <c r="F45" s="634"/>
      <c r="G45" s="634"/>
      <c r="H45" s="634"/>
      <c r="I45" s="634"/>
      <c r="J45" s="634"/>
      <c r="K45" s="634"/>
      <c r="L45" s="634"/>
      <c r="M45" s="634"/>
      <c r="N45" s="634"/>
      <c r="O45" s="634"/>
      <c r="P45" s="634"/>
      <c r="Q45" s="634"/>
      <c r="R45" s="634"/>
      <c r="S45" s="634"/>
      <c r="U45" s="634"/>
      <c r="V45" s="634"/>
      <c r="W45" s="634"/>
      <c r="X45" s="634"/>
      <c r="Y45" s="634"/>
      <c r="Z45" s="634"/>
      <c r="AA45" s="634"/>
      <c r="AB45" s="634"/>
      <c r="AC45" s="634"/>
      <c r="AD45" s="634"/>
      <c r="AE45" s="634"/>
      <c r="AF45" s="634"/>
      <c r="AG45" s="634"/>
      <c r="AH45" s="634"/>
      <c r="AI45" s="634"/>
      <c r="AJ45" s="634"/>
      <c r="AK45" s="634"/>
    </row>
    <row r="46" spans="3:37" ht="12.95" customHeight="1" x14ac:dyDescent="0.2">
      <c r="C46" s="758" t="s">
        <v>128</v>
      </c>
      <c r="D46" s="757" t="s">
        <v>42</v>
      </c>
      <c r="E46" s="757" t="s">
        <v>52</v>
      </c>
      <c r="F46" s="757" t="s">
        <v>53</v>
      </c>
      <c r="G46" s="757" t="s">
        <v>32</v>
      </c>
      <c r="H46" s="757" t="s">
        <v>20</v>
      </c>
      <c r="I46" s="757" t="s">
        <v>55</v>
      </c>
      <c r="J46" s="757" t="s">
        <v>56</v>
      </c>
      <c r="K46" s="757"/>
      <c r="L46" s="757"/>
      <c r="M46" s="757"/>
      <c r="N46" s="757"/>
      <c r="O46" s="757"/>
      <c r="P46" s="757" t="s">
        <v>57</v>
      </c>
      <c r="Q46" s="757" t="s">
        <v>58</v>
      </c>
      <c r="R46" s="757" t="s">
        <v>31</v>
      </c>
      <c r="S46" s="757" t="s">
        <v>10</v>
      </c>
      <c r="U46" s="758" t="s">
        <v>128</v>
      </c>
      <c r="V46" s="757" t="s">
        <v>42</v>
      </c>
      <c r="W46" s="757" t="s">
        <v>52</v>
      </c>
      <c r="X46" s="757" t="s">
        <v>53</v>
      </c>
      <c r="Y46" s="757" t="s">
        <v>32</v>
      </c>
      <c r="Z46" s="757" t="s">
        <v>20</v>
      </c>
      <c r="AA46" s="757" t="s">
        <v>55</v>
      </c>
      <c r="AB46" s="757" t="s">
        <v>56</v>
      </c>
      <c r="AC46" s="757"/>
      <c r="AD46" s="757"/>
      <c r="AE46" s="757"/>
      <c r="AF46" s="757"/>
      <c r="AG46" s="757"/>
      <c r="AH46" s="757" t="s">
        <v>57</v>
      </c>
      <c r="AI46" s="757" t="s">
        <v>58</v>
      </c>
      <c r="AJ46" s="757" t="s">
        <v>31</v>
      </c>
      <c r="AK46" s="757" t="s">
        <v>10</v>
      </c>
    </row>
    <row r="47" spans="3:37" ht="56.25" x14ac:dyDescent="0.2">
      <c r="C47" s="758"/>
      <c r="D47" s="757"/>
      <c r="E47" s="757"/>
      <c r="F47" s="757"/>
      <c r="G47" s="757"/>
      <c r="H47" s="757"/>
      <c r="I47" s="757"/>
      <c r="J47" s="638" t="s">
        <v>335</v>
      </c>
      <c r="K47" s="638" t="s">
        <v>40</v>
      </c>
      <c r="L47" s="638" t="s">
        <v>343</v>
      </c>
      <c r="M47" s="638" t="s">
        <v>344</v>
      </c>
      <c r="N47" s="638" t="s">
        <v>345</v>
      </c>
      <c r="O47" s="638" t="s">
        <v>346</v>
      </c>
      <c r="P47" s="757"/>
      <c r="Q47" s="757"/>
      <c r="R47" s="757"/>
      <c r="S47" s="757"/>
      <c r="U47" s="758"/>
      <c r="V47" s="757"/>
      <c r="W47" s="757"/>
      <c r="X47" s="757"/>
      <c r="Y47" s="757"/>
      <c r="Z47" s="757"/>
      <c r="AA47" s="757"/>
      <c r="AB47" s="638" t="s">
        <v>335</v>
      </c>
      <c r="AC47" s="638" t="s">
        <v>40</v>
      </c>
      <c r="AD47" s="638" t="s">
        <v>343</v>
      </c>
      <c r="AE47" s="638" t="s">
        <v>344</v>
      </c>
      <c r="AF47" s="638" t="s">
        <v>345</v>
      </c>
      <c r="AG47" s="638" t="s">
        <v>346</v>
      </c>
      <c r="AH47" s="757"/>
      <c r="AI47" s="757"/>
      <c r="AJ47" s="757"/>
      <c r="AK47" s="757"/>
    </row>
    <row r="48" spans="3:37" x14ac:dyDescent="0.2">
      <c r="C48" s="639" t="s">
        <v>59</v>
      </c>
      <c r="D48" s="640">
        <v>0</v>
      </c>
      <c r="E48" s="641">
        <v>9.7691999999999997</v>
      </c>
      <c r="F48" s="641">
        <v>0</v>
      </c>
      <c r="G48" s="640">
        <v>0.18608000000000002</v>
      </c>
      <c r="H48" s="641">
        <v>1190.909090909091</v>
      </c>
      <c r="I48" s="641">
        <v>172.65095069399246</v>
      </c>
      <c r="J48" s="641">
        <v>190.83629555260256</v>
      </c>
      <c r="K48" s="641">
        <v>22.859954043709436</v>
      </c>
      <c r="L48" s="641">
        <v>0.28638238403450345</v>
      </c>
      <c r="M48" s="641">
        <v>0.13461365170799597</v>
      </c>
      <c r="N48" s="641">
        <v>45.31680426782367</v>
      </c>
      <c r="O48" s="641">
        <v>7.2729377495964416</v>
      </c>
      <c r="P48" s="642">
        <v>0</v>
      </c>
      <c r="Q48" s="641">
        <v>0</v>
      </c>
      <c r="R48" s="641">
        <v>0</v>
      </c>
      <c r="S48" s="643">
        <v>1640.222309252558</v>
      </c>
      <c r="U48" s="639" t="s">
        <v>59</v>
      </c>
      <c r="V48" s="640">
        <v>0</v>
      </c>
      <c r="W48" s="641">
        <v>9.7691999999999997</v>
      </c>
      <c r="X48" s="641">
        <v>0</v>
      </c>
      <c r="Y48" s="640">
        <v>0.18608000000000002</v>
      </c>
      <c r="Z48" s="641">
        <v>1083.7741046831957</v>
      </c>
      <c r="AA48" s="641">
        <v>180.88004160308333</v>
      </c>
      <c r="AB48" s="641">
        <v>179.66191601295682</v>
      </c>
      <c r="AC48" s="641">
        <v>35.233025744634077</v>
      </c>
      <c r="AD48" s="641">
        <v>0.28638238403450345</v>
      </c>
      <c r="AE48" s="641">
        <v>0.13461365170799597</v>
      </c>
      <c r="AF48" s="641">
        <v>55.315214066923446</v>
      </c>
      <c r="AG48" s="641">
        <v>11.104217144375802</v>
      </c>
      <c r="AH48" s="642">
        <v>0</v>
      </c>
      <c r="AI48" s="641">
        <v>0</v>
      </c>
      <c r="AJ48" s="641">
        <v>0</v>
      </c>
      <c r="AK48" s="643">
        <v>1556.3447952909116</v>
      </c>
    </row>
    <row r="49" spans="3:37" x14ac:dyDescent="0.2">
      <c r="C49" s="639" t="s">
        <v>60</v>
      </c>
      <c r="D49" s="640">
        <v>50.272309821560647</v>
      </c>
      <c r="E49" s="641">
        <v>541.69545178681915</v>
      </c>
      <c r="F49" s="641">
        <v>188.86081515186203</v>
      </c>
      <c r="G49" s="640">
        <v>351.61513464214681</v>
      </c>
      <c r="H49" s="641">
        <v>0</v>
      </c>
      <c r="I49" s="641">
        <v>0</v>
      </c>
      <c r="J49" s="641">
        <v>2.7986686910966072</v>
      </c>
      <c r="K49" s="641">
        <v>0</v>
      </c>
      <c r="L49" s="641">
        <v>1.9601939880201746</v>
      </c>
      <c r="M49" s="641">
        <v>0</v>
      </c>
      <c r="N49" s="641">
        <v>0</v>
      </c>
      <c r="O49" s="641">
        <v>0</v>
      </c>
      <c r="P49" s="642">
        <v>0</v>
      </c>
      <c r="Q49" s="641">
        <v>0</v>
      </c>
      <c r="R49" s="641">
        <v>0</v>
      </c>
      <c r="S49" s="643">
        <v>1137.2025740815054</v>
      </c>
      <c r="U49" s="639" t="s">
        <v>60</v>
      </c>
      <c r="V49" s="640">
        <v>19.313313128242111</v>
      </c>
      <c r="W49" s="641">
        <v>439.73434116717101</v>
      </c>
      <c r="X49" s="641">
        <v>187.81160121991923</v>
      </c>
      <c r="Y49" s="640">
        <v>309.5644193276562</v>
      </c>
      <c r="Z49" s="641">
        <v>0</v>
      </c>
      <c r="AA49" s="641">
        <v>0</v>
      </c>
      <c r="AB49" s="641">
        <v>2.7986686910966072</v>
      </c>
      <c r="AC49" s="641">
        <v>0</v>
      </c>
      <c r="AD49" s="641">
        <v>1.9601939880201746</v>
      </c>
      <c r="AE49" s="641">
        <v>0</v>
      </c>
      <c r="AF49" s="641">
        <v>0</v>
      </c>
      <c r="AG49" s="641">
        <v>0</v>
      </c>
      <c r="AH49" s="642">
        <v>0</v>
      </c>
      <c r="AI49" s="641">
        <v>0</v>
      </c>
      <c r="AJ49" s="641">
        <v>0</v>
      </c>
      <c r="AK49" s="643">
        <v>961.18253752210535</v>
      </c>
    </row>
    <row r="50" spans="3:37" x14ac:dyDescent="0.2">
      <c r="C50" s="639" t="s">
        <v>61</v>
      </c>
      <c r="D50" s="640">
        <v>0</v>
      </c>
      <c r="E50" s="641">
        <v>0</v>
      </c>
      <c r="F50" s="641">
        <v>0</v>
      </c>
      <c r="G50" s="640">
        <v>0</v>
      </c>
      <c r="H50" s="641">
        <v>0</v>
      </c>
      <c r="I50" s="641">
        <v>0</v>
      </c>
      <c r="J50" s="641">
        <v>0</v>
      </c>
      <c r="K50" s="641">
        <v>0</v>
      </c>
      <c r="L50" s="641">
        <v>0</v>
      </c>
      <c r="M50" s="641">
        <v>0</v>
      </c>
      <c r="N50" s="641">
        <v>0</v>
      </c>
      <c r="O50" s="641">
        <v>0</v>
      </c>
      <c r="P50" s="642">
        <v>-71.534753758802367</v>
      </c>
      <c r="Q50" s="641">
        <v>0</v>
      </c>
      <c r="R50" s="641">
        <v>0</v>
      </c>
      <c r="S50" s="643">
        <v>-71.534753758802367</v>
      </c>
      <c r="U50" s="639" t="s">
        <v>61</v>
      </c>
      <c r="V50" s="640">
        <v>0</v>
      </c>
      <c r="W50" s="641">
        <v>0</v>
      </c>
      <c r="X50" s="641">
        <v>0</v>
      </c>
      <c r="Y50" s="640">
        <v>0</v>
      </c>
      <c r="Z50" s="641">
        <v>0</v>
      </c>
      <c r="AA50" s="641">
        <v>0</v>
      </c>
      <c r="AB50" s="641">
        <v>0</v>
      </c>
      <c r="AC50" s="641">
        <v>0</v>
      </c>
      <c r="AD50" s="641">
        <v>0</v>
      </c>
      <c r="AE50" s="641">
        <v>0</v>
      </c>
      <c r="AF50" s="641">
        <v>0</v>
      </c>
      <c r="AG50" s="641">
        <v>0</v>
      </c>
      <c r="AH50" s="642">
        <v>-59.869044369838548</v>
      </c>
      <c r="AI50" s="641">
        <v>0</v>
      </c>
      <c r="AJ50" s="641">
        <v>0</v>
      </c>
      <c r="AK50" s="643">
        <v>-59.869044369838548</v>
      </c>
    </row>
    <row r="51" spans="3:37" x14ac:dyDescent="0.2">
      <c r="C51" s="639" t="s">
        <v>62</v>
      </c>
      <c r="D51" s="640">
        <v>0</v>
      </c>
      <c r="E51" s="641">
        <v>0</v>
      </c>
      <c r="F51" s="641">
        <v>-17.07041205275393</v>
      </c>
      <c r="G51" s="640">
        <v>0</v>
      </c>
      <c r="H51" s="641">
        <v>0</v>
      </c>
      <c r="I51" s="641">
        <v>0</v>
      </c>
      <c r="J51" s="641">
        <v>0</v>
      </c>
      <c r="K51" s="641">
        <v>0</v>
      </c>
      <c r="L51" s="641">
        <v>0</v>
      </c>
      <c r="M51" s="641">
        <v>0</v>
      </c>
      <c r="N51" s="641">
        <v>0</v>
      </c>
      <c r="O51" s="641">
        <v>0</v>
      </c>
      <c r="P51" s="642">
        <v>0</v>
      </c>
      <c r="Q51" s="641">
        <v>0</v>
      </c>
      <c r="R51" s="641">
        <v>0</v>
      </c>
      <c r="S51" s="643">
        <v>-17.07041205275393</v>
      </c>
      <c r="U51" s="639" t="s">
        <v>62</v>
      </c>
      <c r="V51" s="640">
        <v>0</v>
      </c>
      <c r="W51" s="641">
        <v>0</v>
      </c>
      <c r="X51" s="641">
        <v>-16.843089298461354</v>
      </c>
      <c r="Y51" s="640">
        <v>-3.370970564953437E-2</v>
      </c>
      <c r="Z51" s="641">
        <v>0</v>
      </c>
      <c r="AA51" s="641">
        <v>0</v>
      </c>
      <c r="AB51" s="641">
        <v>0</v>
      </c>
      <c r="AC51" s="641">
        <v>0</v>
      </c>
      <c r="AD51" s="641">
        <v>0</v>
      </c>
      <c r="AE51" s="641">
        <v>-3.7455228499482631E-3</v>
      </c>
      <c r="AF51" s="641">
        <v>0</v>
      </c>
      <c r="AG51" s="641">
        <v>0</v>
      </c>
      <c r="AH51" s="642">
        <v>0</v>
      </c>
      <c r="AI51" s="641">
        <v>0</v>
      </c>
      <c r="AJ51" s="641">
        <v>0</v>
      </c>
      <c r="AK51" s="643">
        <v>-16.880544526960836</v>
      </c>
    </row>
    <row r="52" spans="3:37" x14ac:dyDescent="0.2">
      <c r="C52" s="639" t="s">
        <v>63</v>
      </c>
      <c r="D52" s="640">
        <v>0</v>
      </c>
      <c r="E52" s="641">
        <v>0</v>
      </c>
      <c r="F52" s="641">
        <v>-79.881990921256516</v>
      </c>
      <c r="G52" s="640">
        <v>0</v>
      </c>
      <c r="H52" s="641">
        <v>0</v>
      </c>
      <c r="I52" s="641">
        <v>0</v>
      </c>
      <c r="J52" s="641">
        <v>0</v>
      </c>
      <c r="K52" s="641">
        <v>0</v>
      </c>
      <c r="L52" s="641">
        <v>-0.82615205603276265</v>
      </c>
      <c r="M52" s="641">
        <v>0</v>
      </c>
      <c r="N52" s="641">
        <v>0</v>
      </c>
      <c r="O52" s="641">
        <v>0</v>
      </c>
      <c r="P52" s="642">
        <v>0</v>
      </c>
      <c r="Q52" s="641">
        <v>0</v>
      </c>
      <c r="R52" s="641">
        <v>0</v>
      </c>
      <c r="S52" s="643">
        <v>-80.708142977289285</v>
      </c>
      <c r="U52" s="639" t="s">
        <v>63</v>
      </c>
      <c r="V52" s="640">
        <v>0</v>
      </c>
      <c r="W52" s="641">
        <v>0</v>
      </c>
      <c r="X52" s="641">
        <v>-78.255878538705957</v>
      </c>
      <c r="Y52" s="640">
        <v>0</v>
      </c>
      <c r="Z52" s="641">
        <v>0</v>
      </c>
      <c r="AA52" s="641">
        <v>0</v>
      </c>
      <c r="AB52" s="641">
        <v>0</v>
      </c>
      <c r="AC52" s="641">
        <v>0</v>
      </c>
      <c r="AD52" s="641">
        <v>-2.9528968014026442</v>
      </c>
      <c r="AE52" s="641">
        <v>0</v>
      </c>
      <c r="AF52" s="641">
        <v>0</v>
      </c>
      <c r="AG52" s="641">
        <v>0</v>
      </c>
      <c r="AH52" s="642">
        <v>0</v>
      </c>
      <c r="AI52" s="641">
        <v>0</v>
      </c>
      <c r="AJ52" s="641">
        <v>0</v>
      </c>
      <c r="AK52" s="643">
        <v>-81.208775340108602</v>
      </c>
    </row>
    <row r="53" spans="3:37" x14ac:dyDescent="0.2">
      <c r="C53" s="639" t="s">
        <v>64</v>
      </c>
      <c r="D53" s="640">
        <v>0</v>
      </c>
      <c r="E53" s="641">
        <v>0</v>
      </c>
      <c r="F53" s="641">
        <v>0</v>
      </c>
      <c r="G53" s="640">
        <v>0</v>
      </c>
      <c r="H53" s="641">
        <v>0</v>
      </c>
      <c r="I53" s="641">
        <v>0</v>
      </c>
      <c r="J53" s="641">
        <v>0</v>
      </c>
      <c r="K53" s="641">
        <v>0</v>
      </c>
      <c r="L53" s="641">
        <v>0</v>
      </c>
      <c r="M53" s="641">
        <v>0</v>
      </c>
      <c r="N53" s="641">
        <v>0</v>
      </c>
      <c r="O53" s="641">
        <v>0</v>
      </c>
      <c r="P53" s="642">
        <v>0</v>
      </c>
      <c r="Q53" s="641">
        <v>0</v>
      </c>
      <c r="R53" s="641">
        <v>0</v>
      </c>
      <c r="S53" s="643">
        <v>0</v>
      </c>
      <c r="U53" s="639" t="s">
        <v>64</v>
      </c>
      <c r="V53" s="640">
        <v>0</v>
      </c>
      <c r="W53" s="641">
        <v>0</v>
      </c>
      <c r="X53" s="641">
        <v>0</v>
      </c>
      <c r="Y53" s="640">
        <v>0</v>
      </c>
      <c r="Z53" s="641">
        <v>0</v>
      </c>
      <c r="AA53" s="641">
        <v>0</v>
      </c>
      <c r="AB53" s="641">
        <v>0</v>
      </c>
      <c r="AC53" s="641">
        <v>0</v>
      </c>
      <c r="AD53" s="641">
        <v>0</v>
      </c>
      <c r="AE53" s="641">
        <v>0</v>
      </c>
      <c r="AF53" s="641">
        <v>0</v>
      </c>
      <c r="AG53" s="641">
        <v>0</v>
      </c>
      <c r="AH53" s="642">
        <v>0</v>
      </c>
      <c r="AI53" s="641">
        <v>0</v>
      </c>
      <c r="AJ53" s="641">
        <v>0</v>
      </c>
      <c r="AK53" s="643">
        <v>0</v>
      </c>
    </row>
    <row r="54" spans="3:37" x14ac:dyDescent="0.2">
      <c r="C54" s="644" t="s">
        <v>65</v>
      </c>
      <c r="D54" s="645">
        <v>50.272309821560647</v>
      </c>
      <c r="E54" s="645">
        <v>551.4646517868191</v>
      </c>
      <c r="F54" s="645">
        <v>91.908412177851574</v>
      </c>
      <c r="G54" s="645">
        <v>351.80121464214682</v>
      </c>
      <c r="H54" s="645">
        <v>1190.909090909091</v>
      </c>
      <c r="I54" s="645">
        <v>172.65095069399246</v>
      </c>
      <c r="J54" s="645">
        <v>193.63496424369919</v>
      </c>
      <c r="K54" s="645">
        <v>22.859954043709436</v>
      </c>
      <c r="L54" s="645">
        <v>1.4204243160219152</v>
      </c>
      <c r="M54" s="645">
        <v>0.13461365170799597</v>
      </c>
      <c r="N54" s="645">
        <v>45.31680426782367</v>
      </c>
      <c r="O54" s="645">
        <v>7.2729377495964416</v>
      </c>
      <c r="P54" s="645">
        <v>-71.534753758802367</v>
      </c>
      <c r="Q54" s="645">
        <v>0</v>
      </c>
      <c r="R54" s="645">
        <v>0</v>
      </c>
      <c r="S54" s="645">
        <v>2608.111574545218</v>
      </c>
      <c r="U54" s="644" t="s">
        <v>65</v>
      </c>
      <c r="V54" s="645">
        <v>19.313313128242111</v>
      </c>
      <c r="W54" s="645">
        <v>449.50354116717102</v>
      </c>
      <c r="X54" s="645">
        <v>92.712633382751903</v>
      </c>
      <c r="Y54" s="645">
        <v>309.71678962200667</v>
      </c>
      <c r="Z54" s="645">
        <v>1083.7741046831957</v>
      </c>
      <c r="AA54" s="645">
        <v>180.88004160308333</v>
      </c>
      <c r="AB54" s="645">
        <v>182.46058470405345</v>
      </c>
      <c r="AC54" s="645">
        <v>35.233025744634077</v>
      </c>
      <c r="AD54" s="645">
        <v>-0.70632042934796635</v>
      </c>
      <c r="AE54" s="645">
        <v>0.13086812885804772</v>
      </c>
      <c r="AF54" s="645">
        <v>55.315214066923446</v>
      </c>
      <c r="AG54" s="645">
        <v>11.104217144375802</v>
      </c>
      <c r="AH54" s="645">
        <v>-59.869044369838548</v>
      </c>
      <c r="AI54" s="645">
        <v>0</v>
      </c>
      <c r="AJ54" s="645">
        <v>0</v>
      </c>
      <c r="AK54" s="645">
        <v>2359.5689685761085</v>
      </c>
    </row>
    <row r="55" spans="3:37" x14ac:dyDescent="0.2">
      <c r="C55" s="634"/>
      <c r="D55" s="634">
        <v>0</v>
      </c>
      <c r="E55" s="634">
        <v>0</v>
      </c>
      <c r="F55" s="634">
        <v>0</v>
      </c>
      <c r="G55" s="634">
        <v>0</v>
      </c>
      <c r="H55" s="634">
        <v>0</v>
      </c>
      <c r="I55" s="634">
        <v>0</v>
      </c>
      <c r="J55" s="634">
        <v>0</v>
      </c>
      <c r="K55" s="634">
        <v>0</v>
      </c>
      <c r="L55" s="634">
        <v>0</v>
      </c>
      <c r="M55" s="634">
        <v>0</v>
      </c>
      <c r="N55" s="634">
        <v>0</v>
      </c>
      <c r="O55" s="634">
        <v>0</v>
      </c>
      <c r="P55" s="634">
        <v>0</v>
      </c>
      <c r="Q55" s="634">
        <v>0</v>
      </c>
      <c r="R55" s="634">
        <v>0</v>
      </c>
      <c r="S55" s="634">
        <v>0</v>
      </c>
      <c r="U55" s="634"/>
      <c r="V55" s="634">
        <v>0</v>
      </c>
      <c r="W55" s="634">
        <v>0</v>
      </c>
      <c r="X55" s="634">
        <v>0</v>
      </c>
      <c r="Y55" s="634">
        <v>0</v>
      </c>
      <c r="Z55" s="634">
        <v>0</v>
      </c>
      <c r="AA55" s="634">
        <v>0</v>
      </c>
      <c r="AB55" s="634">
        <v>0</v>
      </c>
      <c r="AC55" s="634">
        <v>0</v>
      </c>
      <c r="AD55" s="634">
        <v>0</v>
      </c>
      <c r="AE55" s="634">
        <v>0</v>
      </c>
      <c r="AF55" s="634">
        <v>0</v>
      </c>
      <c r="AG55" s="634">
        <v>0</v>
      </c>
      <c r="AH55" s="634">
        <v>0</v>
      </c>
      <c r="AI55" s="634">
        <v>0</v>
      </c>
      <c r="AJ55" s="634">
        <v>0</v>
      </c>
      <c r="AK55" s="634">
        <v>0</v>
      </c>
    </row>
    <row r="56" spans="3:37" x14ac:dyDescent="0.2">
      <c r="C56" s="646" t="s">
        <v>67</v>
      </c>
      <c r="D56" s="640">
        <v>0</v>
      </c>
      <c r="E56" s="647">
        <v>0</v>
      </c>
      <c r="F56" s="647">
        <v>0</v>
      </c>
      <c r="G56" s="640">
        <v>0</v>
      </c>
      <c r="H56" s="640">
        <v>0</v>
      </c>
      <c r="I56" s="640">
        <v>0</v>
      </c>
      <c r="J56" s="640">
        <v>0</v>
      </c>
      <c r="K56" s="640">
        <v>0</v>
      </c>
      <c r="L56" s="640">
        <v>0</v>
      </c>
      <c r="M56" s="640">
        <v>0</v>
      </c>
      <c r="N56" s="640">
        <v>0</v>
      </c>
      <c r="O56" s="640">
        <v>0</v>
      </c>
      <c r="P56" s="640">
        <v>0</v>
      </c>
      <c r="Q56" s="640">
        <v>0</v>
      </c>
      <c r="R56" s="640">
        <v>0</v>
      </c>
      <c r="S56" s="648">
        <v>0</v>
      </c>
      <c r="U56" s="646" t="s">
        <v>67</v>
      </c>
      <c r="V56" s="640">
        <v>0</v>
      </c>
      <c r="W56" s="647">
        <v>0</v>
      </c>
      <c r="X56" s="647">
        <v>0</v>
      </c>
      <c r="Y56" s="640">
        <v>0</v>
      </c>
      <c r="Z56" s="640">
        <v>0</v>
      </c>
      <c r="AA56" s="640">
        <v>0</v>
      </c>
      <c r="AB56" s="640">
        <v>0</v>
      </c>
      <c r="AC56" s="640">
        <v>0</v>
      </c>
      <c r="AD56" s="640">
        <v>0</v>
      </c>
      <c r="AE56" s="640">
        <v>0</v>
      </c>
      <c r="AF56" s="640">
        <v>0</v>
      </c>
      <c r="AG56" s="640">
        <v>0</v>
      </c>
      <c r="AH56" s="640">
        <v>0</v>
      </c>
      <c r="AI56" s="640">
        <v>0</v>
      </c>
      <c r="AJ56" s="640">
        <v>0</v>
      </c>
      <c r="AK56" s="648">
        <v>0</v>
      </c>
    </row>
    <row r="57" spans="3:37" x14ac:dyDescent="0.2">
      <c r="C57" s="646" t="s">
        <v>347</v>
      </c>
      <c r="D57" s="640">
        <v>2.8283781870338589</v>
      </c>
      <c r="E57" s="640">
        <v>0</v>
      </c>
      <c r="F57" s="640">
        <v>7.6468438736280877</v>
      </c>
      <c r="G57" s="640">
        <v>18.081180811808117</v>
      </c>
      <c r="H57" s="640">
        <v>1190.909090909091</v>
      </c>
      <c r="I57" s="640">
        <v>172.65095069399246</v>
      </c>
      <c r="J57" s="649">
        <v>32.565743560582284</v>
      </c>
      <c r="K57" s="649">
        <v>8.5008344637363535</v>
      </c>
      <c r="L57" s="649">
        <v>2.2465763720546779</v>
      </c>
      <c r="M57" s="649">
        <v>0.47195886872926307</v>
      </c>
      <c r="N57" s="649">
        <v>0</v>
      </c>
      <c r="O57" s="649">
        <v>2.2844574579320316</v>
      </c>
      <c r="P57" s="640">
        <v>-595.37716565950768</v>
      </c>
      <c r="Q57" s="640">
        <v>0</v>
      </c>
      <c r="R57" s="640">
        <v>0</v>
      </c>
      <c r="S57" s="648">
        <v>842.80884953908037</v>
      </c>
      <c r="U57" s="646" t="s">
        <v>347</v>
      </c>
      <c r="V57" s="640">
        <v>1.5423887961183378</v>
      </c>
      <c r="W57" s="640">
        <v>0</v>
      </c>
      <c r="X57" s="640">
        <v>4.7336207331322191</v>
      </c>
      <c r="Y57" s="640">
        <v>50.521301576652128</v>
      </c>
      <c r="Z57" s="640">
        <v>1083.7741046831957</v>
      </c>
      <c r="AA57" s="640">
        <v>180.88004160308333</v>
      </c>
      <c r="AB57" s="649">
        <v>27.309071851402241</v>
      </c>
      <c r="AC57" s="649">
        <v>8.3886793509275197</v>
      </c>
      <c r="AD57" s="649">
        <v>2.2465763720546779</v>
      </c>
      <c r="AE57" s="649">
        <v>4.4961118375316795</v>
      </c>
      <c r="AF57" s="649">
        <v>0</v>
      </c>
      <c r="AG57" s="649">
        <v>2.2844574579320316</v>
      </c>
      <c r="AH57" s="640">
        <v>-585.94262020496217</v>
      </c>
      <c r="AI57" s="640">
        <v>0</v>
      </c>
      <c r="AJ57" s="640">
        <v>0</v>
      </c>
      <c r="AK57" s="648">
        <v>780.23373405706764</v>
      </c>
    </row>
    <row r="58" spans="3:37" x14ac:dyDescent="0.2">
      <c r="C58" s="646" t="s">
        <v>348</v>
      </c>
      <c r="D58" s="640">
        <v>4.9396474947490832E-2</v>
      </c>
      <c r="E58" s="640">
        <v>0</v>
      </c>
      <c r="F58" s="640">
        <v>0</v>
      </c>
      <c r="G58" s="640">
        <v>16.012530383781044</v>
      </c>
      <c r="H58" s="640">
        <v>0</v>
      </c>
      <c r="I58" s="640">
        <v>0</v>
      </c>
      <c r="J58" s="649">
        <v>13.847709445189022</v>
      </c>
      <c r="K58" s="649">
        <v>12.568399079785937</v>
      </c>
      <c r="L58" s="649">
        <v>0</v>
      </c>
      <c r="M58" s="649">
        <v>0.33966953640978992</v>
      </c>
      <c r="N58" s="649">
        <v>0</v>
      </c>
      <c r="O58" s="649">
        <v>2.2653429264336893</v>
      </c>
      <c r="P58" s="640">
        <v>0</v>
      </c>
      <c r="Q58" s="640">
        <v>-40.328896494092007</v>
      </c>
      <c r="R58" s="640">
        <v>0</v>
      </c>
      <c r="S58" s="648">
        <v>4.7541513524549677</v>
      </c>
      <c r="U58" s="646" t="s">
        <v>348</v>
      </c>
      <c r="V58" s="640">
        <v>9.8298985145506765E-2</v>
      </c>
      <c r="W58" s="640">
        <v>0</v>
      </c>
      <c r="X58" s="640">
        <v>0</v>
      </c>
      <c r="Y58" s="640">
        <v>18.159328264867909</v>
      </c>
      <c r="Z58" s="640">
        <v>0</v>
      </c>
      <c r="AA58" s="640">
        <v>0</v>
      </c>
      <c r="AB58" s="649">
        <v>24.238794590159831</v>
      </c>
      <c r="AC58" s="649">
        <v>21.035165918687227</v>
      </c>
      <c r="AD58" s="649">
        <v>0</v>
      </c>
      <c r="AE58" s="649">
        <v>1.5919552250789037</v>
      </c>
      <c r="AF58" s="649">
        <v>0</v>
      </c>
      <c r="AG58" s="649">
        <v>4.9326813925495161</v>
      </c>
      <c r="AH58" s="640">
        <v>0</v>
      </c>
      <c r="AI58" s="640">
        <v>-63.058158381408973</v>
      </c>
      <c r="AJ58" s="640">
        <v>0</v>
      </c>
      <c r="AK58" s="648">
        <v>6.9980659950799184</v>
      </c>
    </row>
    <row r="59" spans="3:37" x14ac:dyDescent="0.2">
      <c r="C59" s="646" t="s">
        <v>349</v>
      </c>
      <c r="D59" s="640">
        <v>0</v>
      </c>
      <c r="E59" s="640">
        <v>0</v>
      </c>
      <c r="F59" s="640">
        <v>0</v>
      </c>
      <c r="G59" s="640">
        <v>0</v>
      </c>
      <c r="H59" s="640">
        <v>0</v>
      </c>
      <c r="I59" s="640">
        <v>0</v>
      </c>
      <c r="J59" s="650">
        <v>7.7702715936307092</v>
      </c>
      <c r="K59" s="650">
        <v>0</v>
      </c>
      <c r="L59" s="650">
        <v>0</v>
      </c>
      <c r="M59" s="650">
        <v>-6.9252545578233695</v>
      </c>
      <c r="N59" s="650">
        <v>0</v>
      </c>
      <c r="O59" s="650">
        <v>0</v>
      </c>
      <c r="P59" s="640">
        <v>0</v>
      </c>
      <c r="Q59" s="640">
        <v>0</v>
      </c>
      <c r="R59" s="640">
        <v>0</v>
      </c>
      <c r="S59" s="648">
        <v>0.84501703580733967</v>
      </c>
      <c r="U59" s="646" t="s">
        <v>349</v>
      </c>
      <c r="V59" s="640">
        <v>0</v>
      </c>
      <c r="W59" s="640">
        <v>0</v>
      </c>
      <c r="X59" s="640">
        <v>0</v>
      </c>
      <c r="Y59" s="640">
        <v>0</v>
      </c>
      <c r="Z59" s="640">
        <v>0</v>
      </c>
      <c r="AA59" s="640">
        <v>0</v>
      </c>
      <c r="AB59" s="650">
        <v>30.043092797136723</v>
      </c>
      <c r="AC59" s="650">
        <v>0</v>
      </c>
      <c r="AD59" s="650">
        <v>0</v>
      </c>
      <c r="AE59" s="650">
        <v>-26.775906455448105</v>
      </c>
      <c r="AF59" s="650">
        <v>0</v>
      </c>
      <c r="AG59" s="650">
        <v>0</v>
      </c>
      <c r="AH59" s="640">
        <v>0</v>
      </c>
      <c r="AI59" s="640">
        <v>0</v>
      </c>
      <c r="AJ59" s="640">
        <v>0</v>
      </c>
      <c r="AK59" s="648">
        <v>3.2671863416886175</v>
      </c>
    </row>
    <row r="60" spans="3:37" x14ac:dyDescent="0.2">
      <c r="C60" s="646" t="s">
        <v>350</v>
      </c>
      <c r="D60" s="640">
        <v>0</v>
      </c>
      <c r="E60" s="640">
        <v>0</v>
      </c>
      <c r="F60" s="640">
        <v>0</v>
      </c>
      <c r="G60" s="640">
        <v>0</v>
      </c>
      <c r="H60" s="640">
        <v>0</v>
      </c>
      <c r="I60" s="640">
        <v>0</v>
      </c>
      <c r="J60" s="640">
        <v>0</v>
      </c>
      <c r="K60" s="640">
        <v>0</v>
      </c>
      <c r="L60" s="640">
        <v>0</v>
      </c>
      <c r="M60" s="640">
        <v>0</v>
      </c>
      <c r="N60" s="640">
        <v>0</v>
      </c>
      <c r="O60" s="640">
        <v>0</v>
      </c>
      <c r="P60" s="640">
        <v>0</v>
      </c>
      <c r="Q60" s="640">
        <v>0</v>
      </c>
      <c r="R60" s="640">
        <v>0</v>
      </c>
      <c r="S60" s="648">
        <v>0</v>
      </c>
      <c r="U60" s="646" t="s">
        <v>350</v>
      </c>
      <c r="V60" s="640">
        <v>0</v>
      </c>
      <c r="W60" s="640">
        <v>0</v>
      </c>
      <c r="X60" s="640">
        <v>0</v>
      </c>
      <c r="Y60" s="640">
        <v>0</v>
      </c>
      <c r="Z60" s="640">
        <v>0</v>
      </c>
      <c r="AA60" s="640">
        <v>0</v>
      </c>
      <c r="AB60" s="640">
        <v>0</v>
      </c>
      <c r="AC60" s="640">
        <v>0</v>
      </c>
      <c r="AD60" s="640">
        <v>0</v>
      </c>
      <c r="AE60" s="640">
        <v>0</v>
      </c>
      <c r="AF60" s="640">
        <v>0</v>
      </c>
      <c r="AG60" s="640">
        <v>0</v>
      </c>
      <c r="AH60" s="640">
        <v>0</v>
      </c>
      <c r="AI60" s="640">
        <v>0</v>
      </c>
      <c r="AJ60" s="640">
        <v>0</v>
      </c>
      <c r="AK60" s="648">
        <v>0</v>
      </c>
    </row>
    <row r="61" spans="3:37" x14ac:dyDescent="0.2">
      <c r="C61" s="646" t="s">
        <v>72</v>
      </c>
      <c r="D61" s="640">
        <v>0</v>
      </c>
      <c r="E61" s="640">
        <v>571.25876810153738</v>
      </c>
      <c r="F61" s="640">
        <v>-565.54618042052198</v>
      </c>
      <c r="G61" s="640">
        <v>0</v>
      </c>
      <c r="H61" s="640">
        <v>0</v>
      </c>
      <c r="I61" s="640">
        <v>0</v>
      </c>
      <c r="J61" s="640">
        <v>0</v>
      </c>
      <c r="K61" s="640">
        <v>0</v>
      </c>
      <c r="L61" s="640">
        <v>0</v>
      </c>
      <c r="M61" s="640">
        <v>0</v>
      </c>
      <c r="N61" s="640">
        <v>0</v>
      </c>
      <c r="O61" s="640">
        <v>0</v>
      </c>
      <c r="P61" s="640">
        <v>0</v>
      </c>
      <c r="Q61" s="640">
        <v>0</v>
      </c>
      <c r="R61" s="640">
        <v>0</v>
      </c>
      <c r="S61" s="648">
        <v>5.7125876810154068</v>
      </c>
      <c r="U61" s="646" t="s">
        <v>72</v>
      </c>
      <c r="V61" s="640">
        <v>0</v>
      </c>
      <c r="W61" s="640">
        <v>465.63789420124414</v>
      </c>
      <c r="X61" s="640">
        <v>-460.98151525923168</v>
      </c>
      <c r="Y61" s="640">
        <v>0</v>
      </c>
      <c r="Z61" s="640">
        <v>0</v>
      </c>
      <c r="AA61" s="640">
        <v>0</v>
      </c>
      <c r="AB61" s="640">
        <v>0</v>
      </c>
      <c r="AC61" s="640">
        <v>0</v>
      </c>
      <c r="AD61" s="640">
        <v>0</v>
      </c>
      <c r="AE61" s="640">
        <v>0</v>
      </c>
      <c r="AF61" s="640">
        <v>0</v>
      </c>
      <c r="AG61" s="640">
        <v>0</v>
      </c>
      <c r="AH61" s="640">
        <v>0</v>
      </c>
      <c r="AI61" s="640">
        <v>0</v>
      </c>
      <c r="AJ61" s="640">
        <v>0</v>
      </c>
      <c r="AK61" s="648">
        <v>4.6563789420124522</v>
      </c>
    </row>
    <row r="62" spans="3:37" x14ac:dyDescent="0.2">
      <c r="C62" s="646" t="s">
        <v>351</v>
      </c>
      <c r="D62" s="640">
        <v>0</v>
      </c>
      <c r="E62" s="640">
        <v>0</v>
      </c>
      <c r="F62" s="640">
        <v>0</v>
      </c>
      <c r="G62" s="640">
        <v>0</v>
      </c>
      <c r="H62" s="640">
        <v>0</v>
      </c>
      <c r="I62" s="640">
        <v>0</v>
      </c>
      <c r="J62" s="640">
        <v>39.987714904046477</v>
      </c>
      <c r="K62" s="640">
        <v>0</v>
      </c>
      <c r="L62" s="640">
        <v>-39.987714904046477</v>
      </c>
      <c r="M62" s="640">
        <v>0</v>
      </c>
      <c r="N62" s="640">
        <v>0</v>
      </c>
      <c r="O62" s="640">
        <v>0</v>
      </c>
      <c r="P62" s="640">
        <v>0</v>
      </c>
      <c r="Q62" s="640">
        <v>0</v>
      </c>
      <c r="R62" s="640">
        <v>0</v>
      </c>
      <c r="S62" s="648">
        <v>0</v>
      </c>
      <c r="U62" s="646" t="s">
        <v>351</v>
      </c>
      <c r="V62" s="640">
        <v>0</v>
      </c>
      <c r="W62" s="640">
        <v>0</v>
      </c>
      <c r="X62" s="640">
        <v>0</v>
      </c>
      <c r="Y62" s="640">
        <v>0</v>
      </c>
      <c r="Z62" s="640">
        <v>0</v>
      </c>
      <c r="AA62" s="640">
        <v>0</v>
      </c>
      <c r="AB62" s="640" t="e">
        <v>#VALUE!</v>
      </c>
      <c r="AC62" s="640">
        <v>0</v>
      </c>
      <c r="AD62" s="640">
        <v>-45.567606807542596</v>
      </c>
      <c r="AE62" s="640">
        <v>0</v>
      </c>
      <c r="AF62" s="640">
        <v>0</v>
      </c>
      <c r="AG62" s="640">
        <v>0</v>
      </c>
      <c r="AH62" s="640">
        <v>0</v>
      </c>
      <c r="AI62" s="640">
        <v>0</v>
      </c>
      <c r="AJ62" s="640">
        <v>0</v>
      </c>
      <c r="AK62" s="648">
        <v>-45.567606807542596</v>
      </c>
    </row>
    <row r="63" spans="3:37" x14ac:dyDescent="0.2">
      <c r="C63" s="646" t="s">
        <v>352</v>
      </c>
      <c r="D63" s="640">
        <v>0</v>
      </c>
      <c r="E63" s="640">
        <v>0</v>
      </c>
      <c r="F63" s="640">
        <v>0</v>
      </c>
      <c r="G63" s="640">
        <v>0</v>
      </c>
      <c r="H63" s="640">
        <v>0</v>
      </c>
      <c r="I63" s="640">
        <v>0</v>
      </c>
      <c r="J63" s="640">
        <v>0</v>
      </c>
      <c r="K63" s="640">
        <v>0</v>
      </c>
      <c r="L63" s="640">
        <v>0</v>
      </c>
      <c r="M63" s="640">
        <v>0</v>
      </c>
      <c r="N63" s="640">
        <v>0</v>
      </c>
      <c r="O63" s="640">
        <v>0</v>
      </c>
      <c r="P63" s="640">
        <v>0</v>
      </c>
      <c r="Q63" s="640">
        <v>0</v>
      </c>
      <c r="R63" s="640">
        <v>0</v>
      </c>
      <c r="S63" s="648">
        <v>0</v>
      </c>
      <c r="U63" s="646" t="s">
        <v>352</v>
      </c>
      <c r="V63" s="640">
        <v>0</v>
      </c>
      <c r="W63" s="640">
        <v>0</v>
      </c>
      <c r="X63" s="640">
        <v>0</v>
      </c>
      <c r="Y63" s="640">
        <v>0</v>
      </c>
      <c r="Z63" s="640">
        <v>0</v>
      </c>
      <c r="AA63" s="640">
        <v>0</v>
      </c>
      <c r="AB63" s="640">
        <v>0</v>
      </c>
      <c r="AC63" s="640">
        <v>0</v>
      </c>
      <c r="AD63" s="640">
        <v>-3.4570377590144092</v>
      </c>
      <c r="AE63" s="640">
        <v>0</v>
      </c>
      <c r="AF63" s="640">
        <v>0</v>
      </c>
      <c r="AG63" s="640">
        <v>0</v>
      </c>
      <c r="AH63" s="640">
        <v>0</v>
      </c>
      <c r="AI63" s="640">
        <v>0</v>
      </c>
      <c r="AJ63" s="640">
        <v>0</v>
      </c>
      <c r="AK63" s="648">
        <v>-3.4570377590144092</v>
      </c>
    </row>
    <row r="64" spans="3:37" x14ac:dyDescent="0.2">
      <c r="C64" s="646" t="s">
        <v>73</v>
      </c>
      <c r="D64" s="640">
        <v>0</v>
      </c>
      <c r="E64" s="640">
        <v>0</v>
      </c>
      <c r="F64" s="640">
        <v>0</v>
      </c>
      <c r="G64" s="640">
        <v>0.75220280486673308</v>
      </c>
      <c r="H64" s="640">
        <v>0</v>
      </c>
      <c r="I64" s="640">
        <v>0</v>
      </c>
      <c r="J64" s="640">
        <v>0</v>
      </c>
      <c r="K64" s="640">
        <v>8.3794091977846576E-3</v>
      </c>
      <c r="L64" s="640">
        <v>0</v>
      </c>
      <c r="M64" s="640">
        <v>1.5351077650341492E-2</v>
      </c>
      <c r="N64" s="640">
        <v>0</v>
      </c>
      <c r="O64" s="640">
        <v>0</v>
      </c>
      <c r="P64" s="640">
        <v>6.6777445606960792E-2</v>
      </c>
      <c r="Q64" s="640">
        <v>0</v>
      </c>
      <c r="R64" s="640">
        <v>-0.58655864384492595</v>
      </c>
      <c r="S64" s="648">
        <v>0.25615209347689405</v>
      </c>
      <c r="U64" s="646" t="s">
        <v>73</v>
      </c>
      <c r="V64" s="640">
        <v>0</v>
      </c>
      <c r="W64" s="640">
        <v>0</v>
      </c>
      <c r="X64" s="640">
        <v>0</v>
      </c>
      <c r="Y64" s="640">
        <v>3.5795956147675603</v>
      </c>
      <c r="Z64" s="640">
        <v>0</v>
      </c>
      <c r="AA64" s="640">
        <v>0</v>
      </c>
      <c r="AB64" s="640">
        <v>0</v>
      </c>
      <c r="AC64" s="640">
        <v>7.7817295973207842E-2</v>
      </c>
      <c r="AD64" s="640">
        <v>0</v>
      </c>
      <c r="AE64" s="640">
        <v>0.31126918389283142</v>
      </c>
      <c r="AF64" s="640">
        <v>0</v>
      </c>
      <c r="AG64" s="640">
        <v>0</v>
      </c>
      <c r="AH64" s="640">
        <v>4.1063588490477363</v>
      </c>
      <c r="AI64" s="640">
        <v>0</v>
      </c>
      <c r="AJ64" s="640">
        <v>-5.4472107181245484</v>
      </c>
      <c r="AK64" s="648">
        <v>2.6278302255567869</v>
      </c>
    </row>
    <row r="65" spans="3:37" x14ac:dyDescent="0.2">
      <c r="C65" s="646" t="s">
        <v>353</v>
      </c>
      <c r="D65" s="640">
        <v>29.279348437500001</v>
      </c>
      <c r="E65" s="640">
        <v>-19.79411631471827</v>
      </c>
      <c r="F65" s="640">
        <v>25.889534996151326</v>
      </c>
      <c r="G65" s="640">
        <v>0</v>
      </c>
      <c r="H65" s="640">
        <v>0</v>
      </c>
      <c r="I65" s="640">
        <v>0</v>
      </c>
      <c r="J65" s="640">
        <v>0</v>
      </c>
      <c r="K65" s="640">
        <v>0</v>
      </c>
      <c r="L65" s="640">
        <v>0</v>
      </c>
      <c r="M65" s="640">
        <v>0</v>
      </c>
      <c r="N65" s="640">
        <v>0</v>
      </c>
      <c r="O65" s="640">
        <v>0</v>
      </c>
      <c r="P65" s="640">
        <v>0</v>
      </c>
      <c r="Q65" s="640">
        <v>0</v>
      </c>
      <c r="R65" s="640">
        <v>0</v>
      </c>
      <c r="S65" s="648">
        <v>35.374767118933057</v>
      </c>
      <c r="U65" s="646" t="s">
        <v>353</v>
      </c>
      <c r="V65" s="640">
        <v>8.1420534667968738</v>
      </c>
      <c r="W65" s="640">
        <v>-16.134353034073111</v>
      </c>
      <c r="X65" s="640">
        <v>21.102780789728897</v>
      </c>
      <c r="Y65" s="640">
        <v>0</v>
      </c>
      <c r="Z65" s="640">
        <v>0</v>
      </c>
      <c r="AA65" s="640">
        <v>0</v>
      </c>
      <c r="AB65" s="640">
        <v>0</v>
      </c>
      <c r="AC65" s="640">
        <v>0</v>
      </c>
      <c r="AD65" s="640">
        <v>0</v>
      </c>
      <c r="AE65" s="640">
        <v>0</v>
      </c>
      <c r="AF65" s="640">
        <v>0</v>
      </c>
      <c r="AG65" s="640">
        <v>0</v>
      </c>
      <c r="AH65" s="640">
        <v>0</v>
      </c>
      <c r="AI65" s="640">
        <v>0</v>
      </c>
      <c r="AJ65" s="640">
        <v>0</v>
      </c>
      <c r="AK65" s="648">
        <v>13.110481222452659</v>
      </c>
    </row>
    <row r="66" spans="3:37" x14ac:dyDescent="0.2">
      <c r="C66" s="646" t="s">
        <v>75</v>
      </c>
      <c r="D66" s="640">
        <v>11.386413281250002</v>
      </c>
      <c r="E66" s="640">
        <v>0</v>
      </c>
      <c r="F66" s="640">
        <v>19.422798115452274</v>
      </c>
      <c r="G66" s="640">
        <v>5.5423525681211148</v>
      </c>
      <c r="H66" s="640">
        <v>0</v>
      </c>
      <c r="I66" s="640">
        <v>0</v>
      </c>
      <c r="J66" s="640">
        <v>0</v>
      </c>
      <c r="K66" s="640">
        <v>0</v>
      </c>
      <c r="L66" s="640">
        <v>0</v>
      </c>
      <c r="M66" s="640">
        <v>0.11310923608410439</v>
      </c>
      <c r="N66" s="640">
        <v>0</v>
      </c>
      <c r="O66" s="640">
        <v>0</v>
      </c>
      <c r="P66" s="640">
        <v>36.293113930785914</v>
      </c>
      <c r="Q66" s="640">
        <v>0</v>
      </c>
      <c r="R66" s="640">
        <v>0</v>
      </c>
      <c r="S66" s="648">
        <v>72.757787131693405</v>
      </c>
      <c r="U66" s="646" t="s">
        <v>75</v>
      </c>
      <c r="V66" s="640">
        <v>7.5011909179687501</v>
      </c>
      <c r="W66" s="640">
        <v>0</v>
      </c>
      <c r="X66" s="640">
        <v>19.422798115452274</v>
      </c>
      <c r="Y66" s="640">
        <v>5.203024859868802</v>
      </c>
      <c r="Z66" s="640">
        <v>0</v>
      </c>
      <c r="AA66" s="640">
        <v>0</v>
      </c>
      <c r="AB66" s="640">
        <v>0</v>
      </c>
      <c r="AC66" s="640">
        <v>0</v>
      </c>
      <c r="AD66" s="640">
        <v>0</v>
      </c>
      <c r="AE66" s="640">
        <v>0.45243694433641768</v>
      </c>
      <c r="AF66" s="640">
        <v>0</v>
      </c>
      <c r="AG66" s="640">
        <v>0</v>
      </c>
      <c r="AH66" s="640">
        <v>32.151874261364433</v>
      </c>
      <c r="AI66" s="640">
        <v>0</v>
      </c>
      <c r="AJ66" s="640">
        <v>0</v>
      </c>
      <c r="AK66" s="648">
        <v>64.731325098990681</v>
      </c>
    </row>
    <row r="67" spans="3:37" x14ac:dyDescent="0.2">
      <c r="C67" s="646" t="s">
        <v>76</v>
      </c>
      <c r="D67" s="640">
        <v>0</v>
      </c>
      <c r="E67" s="640">
        <v>0</v>
      </c>
      <c r="F67" s="640">
        <v>0</v>
      </c>
      <c r="G67" s="640">
        <v>4.0237645059289928</v>
      </c>
      <c r="H67" s="640">
        <v>0</v>
      </c>
      <c r="I67" s="640">
        <v>0</v>
      </c>
      <c r="J67" s="640">
        <v>0</v>
      </c>
      <c r="K67" s="640">
        <v>0</v>
      </c>
      <c r="L67" s="640">
        <v>0</v>
      </c>
      <c r="M67" s="640">
        <v>8.211764297814271E-2</v>
      </c>
      <c r="N67" s="640">
        <v>0</v>
      </c>
      <c r="O67" s="640">
        <v>0</v>
      </c>
      <c r="P67" s="640">
        <v>40.115929077638647</v>
      </c>
      <c r="Q67" s="640">
        <v>3.1293610589936001</v>
      </c>
      <c r="R67" s="640">
        <v>0</v>
      </c>
      <c r="S67" s="648">
        <v>47.351172285539384</v>
      </c>
      <c r="U67" s="646" t="s">
        <v>76</v>
      </c>
      <c r="V67" s="640">
        <v>0</v>
      </c>
      <c r="W67" s="640">
        <v>0</v>
      </c>
      <c r="X67" s="640">
        <v>0</v>
      </c>
      <c r="Y67" s="640">
        <v>3.6512599711974678</v>
      </c>
      <c r="Z67" s="640">
        <v>0</v>
      </c>
      <c r="AA67" s="640">
        <v>0</v>
      </c>
      <c r="AB67" s="640">
        <v>0</v>
      </c>
      <c r="AC67" s="640">
        <v>0</v>
      </c>
      <c r="AD67" s="640">
        <v>0</v>
      </c>
      <c r="AE67" s="640">
        <v>0.31750086706064945</v>
      </c>
      <c r="AF67" s="640">
        <v>0</v>
      </c>
      <c r="AG67" s="640">
        <v>0</v>
      </c>
      <c r="AH67" s="640">
        <v>40.286923174182249</v>
      </c>
      <c r="AI67" s="640">
        <v>4.8906691757229597</v>
      </c>
      <c r="AJ67" s="640">
        <v>0</v>
      </c>
      <c r="AK67" s="648">
        <v>49.146353188163332</v>
      </c>
    </row>
    <row r="68" spans="3:37" x14ac:dyDescent="0.2">
      <c r="C68" s="644" t="s">
        <v>77</v>
      </c>
      <c r="D68" s="645">
        <v>43.543536380731354</v>
      </c>
      <c r="E68" s="645">
        <v>551.4646517868191</v>
      </c>
      <c r="F68" s="645">
        <v>-512.58700343529028</v>
      </c>
      <c r="G68" s="645">
        <v>44.412031074506011</v>
      </c>
      <c r="H68" s="645">
        <v>1190.909090909091</v>
      </c>
      <c r="I68" s="645">
        <v>172.65095069399246</v>
      </c>
      <c r="J68" s="645">
        <v>94.171439503448497</v>
      </c>
      <c r="K68" s="645">
        <v>21.077612952720074</v>
      </c>
      <c r="L68" s="645">
        <v>-37.741138531991801</v>
      </c>
      <c r="M68" s="645">
        <v>-5.9030481959717278</v>
      </c>
      <c r="N68" s="645">
        <v>0</v>
      </c>
      <c r="O68" s="645">
        <v>4.5498003843657209</v>
      </c>
      <c r="P68" s="645">
        <v>-518.9013452054761</v>
      </c>
      <c r="Q68" s="645">
        <v>-37.199535435098404</v>
      </c>
      <c r="R68" s="645">
        <v>-0.58655864384492595</v>
      </c>
      <c r="S68" s="645">
        <v>1009.8604842380009</v>
      </c>
      <c r="U68" s="644" t="s">
        <v>77</v>
      </c>
      <c r="V68" s="645">
        <v>17.283932166029469</v>
      </c>
      <c r="W68" s="645">
        <v>449.50354116717102</v>
      </c>
      <c r="X68" s="645">
        <v>-415.72231562091827</v>
      </c>
      <c r="Y68" s="645">
        <v>81.114510287353866</v>
      </c>
      <c r="Z68" s="645">
        <v>1083.7741046831957</v>
      </c>
      <c r="AA68" s="645">
        <v>180.88004160308333</v>
      </c>
      <c r="AB68" s="645">
        <v>81.590959238698787</v>
      </c>
      <c r="AC68" s="645">
        <v>29.501662565587953</v>
      </c>
      <c r="AD68" s="645">
        <v>-46.778068194502332</v>
      </c>
      <c r="AE68" s="645">
        <v>-19.606632397547621</v>
      </c>
      <c r="AF68" s="645">
        <v>0</v>
      </c>
      <c r="AG68" s="645">
        <v>7.2171388504815477</v>
      </c>
      <c r="AH68" s="645">
        <v>-509.39746392036778</v>
      </c>
      <c r="AI68" s="645">
        <v>-58.16748920568601</v>
      </c>
      <c r="AJ68" s="645">
        <v>-5.4472107181245484</v>
      </c>
      <c r="AK68" s="645">
        <v>875.74671050445522</v>
      </c>
    </row>
    <row r="69" spans="3:37" x14ac:dyDescent="0.2">
      <c r="C69" s="634"/>
      <c r="D69" s="634">
        <v>0</v>
      </c>
      <c r="E69" s="634">
        <v>0</v>
      </c>
      <c r="F69" s="634">
        <v>0</v>
      </c>
      <c r="G69" s="634">
        <v>0</v>
      </c>
      <c r="H69" s="634">
        <v>0</v>
      </c>
      <c r="I69" s="634">
        <v>0</v>
      </c>
      <c r="J69" s="634">
        <v>0</v>
      </c>
      <c r="K69" s="634">
        <v>0</v>
      </c>
      <c r="L69" s="634">
        <v>0</v>
      </c>
      <c r="M69" s="634">
        <v>0</v>
      </c>
      <c r="N69" s="634">
        <v>0</v>
      </c>
      <c r="O69" s="634">
        <v>0</v>
      </c>
      <c r="P69" s="634">
        <v>0</v>
      </c>
      <c r="Q69" s="634">
        <v>0</v>
      </c>
      <c r="R69" s="634">
        <v>0</v>
      </c>
      <c r="S69" s="634">
        <v>0</v>
      </c>
      <c r="U69" s="634"/>
      <c r="V69" s="634">
        <v>0</v>
      </c>
      <c r="W69" s="634">
        <v>0</v>
      </c>
      <c r="X69" s="634">
        <v>0</v>
      </c>
      <c r="Y69" s="634">
        <v>0</v>
      </c>
      <c r="Z69" s="634">
        <v>0</v>
      </c>
      <c r="AA69" s="634">
        <v>0</v>
      </c>
      <c r="AB69" s="634">
        <v>0</v>
      </c>
      <c r="AC69" s="634">
        <v>0</v>
      </c>
      <c r="AD69" s="634">
        <v>0</v>
      </c>
      <c r="AE69" s="634">
        <v>0</v>
      </c>
      <c r="AF69" s="634">
        <v>0</v>
      </c>
      <c r="AG69" s="634">
        <v>0</v>
      </c>
      <c r="AH69" s="634">
        <v>0</v>
      </c>
      <c r="AI69" s="634">
        <v>0</v>
      </c>
      <c r="AJ69" s="634">
        <v>0</v>
      </c>
      <c r="AK69" s="634">
        <v>0</v>
      </c>
    </row>
    <row r="70" spans="3:37" x14ac:dyDescent="0.2">
      <c r="C70" s="646" t="s">
        <v>78</v>
      </c>
      <c r="D70" s="640">
        <v>6.728773440829297</v>
      </c>
      <c r="E70" s="640">
        <v>0</v>
      </c>
      <c r="F70" s="640">
        <v>25.863549799477383</v>
      </c>
      <c r="G70" s="640">
        <v>106.8903340661312</v>
      </c>
      <c r="H70" s="640">
        <v>0</v>
      </c>
      <c r="I70" s="640">
        <v>0</v>
      </c>
      <c r="J70" s="640">
        <v>18.169859613838756</v>
      </c>
      <c r="K70" s="640">
        <v>1.7567698743130979</v>
      </c>
      <c r="L70" s="640">
        <v>0.84376959960937503</v>
      </c>
      <c r="M70" s="640">
        <v>2.2002106600734406</v>
      </c>
      <c r="N70" s="640">
        <v>0</v>
      </c>
      <c r="O70" s="640">
        <v>3.8276465550578692E-4</v>
      </c>
      <c r="P70" s="640">
        <v>109.87696924977793</v>
      </c>
      <c r="Q70" s="640">
        <v>16.590503969858354</v>
      </c>
      <c r="R70" s="640">
        <v>0.37438674926757814</v>
      </c>
      <c r="S70" s="648">
        <v>289.29550978783192</v>
      </c>
      <c r="U70" s="646" t="s">
        <v>78</v>
      </c>
      <c r="V70" s="640">
        <v>2.0293809622126395</v>
      </c>
      <c r="W70" s="640">
        <v>0</v>
      </c>
      <c r="X70" s="640">
        <v>19.296192618187902</v>
      </c>
      <c r="Y70" s="640">
        <v>85.841195035715842</v>
      </c>
      <c r="Z70" s="640">
        <v>0</v>
      </c>
      <c r="AA70" s="640">
        <v>0</v>
      </c>
      <c r="AB70" s="640">
        <v>17.65205880284368</v>
      </c>
      <c r="AC70" s="640">
        <v>5.7057919623698545</v>
      </c>
      <c r="AD70" s="640">
        <v>1.0576742773437502</v>
      </c>
      <c r="AE70" s="640">
        <v>7.4832270132048837</v>
      </c>
      <c r="AF70" s="640">
        <v>0</v>
      </c>
      <c r="AG70" s="640">
        <v>3.8276465550578692E-4</v>
      </c>
      <c r="AH70" s="640">
        <v>128.8590842242281</v>
      </c>
      <c r="AI70" s="640">
        <v>20.165819518520905</v>
      </c>
      <c r="AJ70" s="640">
        <v>3.3051525878906252</v>
      </c>
      <c r="AK70" s="648">
        <v>291.39595976717368</v>
      </c>
    </row>
    <row r="71" spans="3:37" x14ac:dyDescent="0.2">
      <c r="C71" s="646" t="s">
        <v>79</v>
      </c>
      <c r="D71" s="640">
        <v>0</v>
      </c>
      <c r="E71" s="640">
        <v>0</v>
      </c>
      <c r="F71" s="640">
        <v>369.9552310331793</v>
      </c>
      <c r="G71" s="640">
        <v>11.471553092100274</v>
      </c>
      <c r="H71" s="640">
        <v>0</v>
      </c>
      <c r="I71" s="640">
        <v>0</v>
      </c>
      <c r="J71" s="640">
        <v>0</v>
      </c>
      <c r="K71" s="640">
        <v>0</v>
      </c>
      <c r="L71" s="640">
        <v>35.942658929765898</v>
      </c>
      <c r="M71" s="640">
        <v>0.23411332841020971</v>
      </c>
      <c r="N71" s="640">
        <v>0</v>
      </c>
      <c r="O71" s="640">
        <v>0</v>
      </c>
      <c r="P71" s="640">
        <v>25.304787135555738</v>
      </c>
      <c r="Q71" s="640">
        <v>0</v>
      </c>
      <c r="R71" s="640">
        <v>0.21217189457734786</v>
      </c>
      <c r="S71" s="648">
        <v>443.12051541358881</v>
      </c>
      <c r="U71" s="646" t="s">
        <v>79</v>
      </c>
      <c r="V71" s="640">
        <v>0</v>
      </c>
      <c r="W71" s="640">
        <v>0</v>
      </c>
      <c r="X71" s="640">
        <v>313.43701377185255</v>
      </c>
      <c r="Y71" s="640">
        <v>10.638728179836399</v>
      </c>
      <c r="Z71" s="640">
        <v>0</v>
      </c>
      <c r="AA71" s="640">
        <v>0</v>
      </c>
      <c r="AB71" s="640">
        <v>0</v>
      </c>
      <c r="AC71" s="640">
        <v>0</v>
      </c>
      <c r="AD71" s="640">
        <v>37.80600606344305</v>
      </c>
      <c r="AE71" s="640">
        <v>1.0240500912331831</v>
      </c>
      <c r="AF71" s="640">
        <v>0</v>
      </c>
      <c r="AG71" s="640">
        <v>0</v>
      </c>
      <c r="AH71" s="640">
        <v>27.763643315903455</v>
      </c>
      <c r="AI71" s="640">
        <v>0</v>
      </c>
      <c r="AJ71" s="640">
        <v>0.49126373722019012</v>
      </c>
      <c r="AK71" s="648">
        <v>391.16070515948877</v>
      </c>
    </row>
    <row r="72" spans="3:37" x14ac:dyDescent="0.2">
      <c r="C72" s="646" t="s">
        <v>80</v>
      </c>
      <c r="D72" s="640">
        <v>0</v>
      </c>
      <c r="E72" s="640">
        <v>0</v>
      </c>
      <c r="F72" s="640">
        <v>35.339410591812062</v>
      </c>
      <c r="G72" s="640">
        <v>110.15178599375342</v>
      </c>
      <c r="H72" s="640">
        <v>0</v>
      </c>
      <c r="I72" s="640">
        <v>0</v>
      </c>
      <c r="J72" s="640">
        <v>76.439784825488388</v>
      </c>
      <c r="K72" s="640">
        <v>0</v>
      </c>
      <c r="L72" s="640">
        <v>0</v>
      </c>
      <c r="M72" s="640">
        <v>2.2479956325255803</v>
      </c>
      <c r="N72" s="640">
        <v>37.868836361528707</v>
      </c>
      <c r="O72" s="640">
        <v>1.7588356807089602</v>
      </c>
      <c r="P72" s="640">
        <v>172.83410671700432</v>
      </c>
      <c r="Q72" s="640">
        <v>15.866907360541454</v>
      </c>
      <c r="R72" s="640">
        <v>0</v>
      </c>
      <c r="S72" s="648">
        <v>452.50766316336285</v>
      </c>
      <c r="U72" s="646" t="s">
        <v>80</v>
      </c>
      <c r="V72" s="640">
        <v>0</v>
      </c>
      <c r="W72" s="640">
        <v>0</v>
      </c>
      <c r="X72" s="640">
        <v>15.561012749366258</v>
      </c>
      <c r="Y72" s="640">
        <v>82.553801475145548</v>
      </c>
      <c r="Z72" s="640">
        <v>0</v>
      </c>
      <c r="AA72" s="640">
        <v>0</v>
      </c>
      <c r="AB72" s="640">
        <v>74.889683173020046</v>
      </c>
      <c r="AC72" s="640">
        <v>0</v>
      </c>
      <c r="AD72" s="640">
        <v>0</v>
      </c>
      <c r="AE72" s="640">
        <v>7.1785914326213538</v>
      </c>
      <c r="AF72" s="640">
        <v>42.28245423809345</v>
      </c>
      <c r="AG72" s="640">
        <v>1.7308148603825539</v>
      </c>
      <c r="AH72" s="640">
        <v>160.19147139934566</v>
      </c>
      <c r="AI72" s="640">
        <v>30.044387556600874</v>
      </c>
      <c r="AJ72" s="640">
        <v>0</v>
      </c>
      <c r="AK72" s="648">
        <v>414.43221688457572</v>
      </c>
    </row>
    <row r="73" spans="3:37" x14ac:dyDescent="0.2">
      <c r="C73" s="646" t="s">
        <v>81</v>
      </c>
      <c r="D73" s="640">
        <v>0</v>
      </c>
      <c r="E73" s="640">
        <v>0</v>
      </c>
      <c r="F73" s="640">
        <v>16.364991401651867</v>
      </c>
      <c r="G73" s="640">
        <v>64.121059154218784</v>
      </c>
      <c r="H73" s="640">
        <v>0</v>
      </c>
      <c r="I73" s="640">
        <v>0</v>
      </c>
      <c r="J73" s="640">
        <v>3.7472623320410015</v>
      </c>
      <c r="K73" s="640">
        <v>2.5571216676264549E-2</v>
      </c>
      <c r="L73" s="640">
        <v>0</v>
      </c>
      <c r="M73" s="640">
        <v>1.3085930439636488</v>
      </c>
      <c r="N73" s="640">
        <v>7.447967906294962</v>
      </c>
      <c r="O73" s="640">
        <v>0.8772790781137545</v>
      </c>
      <c r="P73" s="640">
        <v>131.35942241830159</v>
      </c>
      <c r="Q73" s="640">
        <v>4.7421241046985951</v>
      </c>
      <c r="R73" s="640">
        <v>0</v>
      </c>
      <c r="S73" s="648">
        <v>229.99427065596046</v>
      </c>
      <c r="U73" s="646" t="s">
        <v>81</v>
      </c>
      <c r="V73" s="640">
        <v>0</v>
      </c>
      <c r="W73" s="640">
        <v>0</v>
      </c>
      <c r="X73" s="640">
        <v>8.4431338424639417</v>
      </c>
      <c r="Y73" s="640">
        <v>45.209877020113709</v>
      </c>
      <c r="Z73" s="640">
        <v>0</v>
      </c>
      <c r="AA73" s="640">
        <v>0</v>
      </c>
      <c r="AB73" s="640">
        <v>7.2212655206083989</v>
      </c>
      <c r="AC73" s="640">
        <v>2.5571216676264549E-2</v>
      </c>
      <c r="AD73" s="640">
        <v>0</v>
      </c>
      <c r="AE73" s="640">
        <v>3.9312936539229324</v>
      </c>
      <c r="AF73" s="640">
        <v>13.032759828829999</v>
      </c>
      <c r="AG73" s="640">
        <v>1.6365054019865546</v>
      </c>
      <c r="AH73" s="640">
        <v>124.3283929234443</v>
      </c>
      <c r="AI73" s="640">
        <v>7.9572821305642334</v>
      </c>
      <c r="AJ73" s="640">
        <v>0</v>
      </c>
      <c r="AK73" s="648">
        <v>211.78608153861032</v>
      </c>
    </row>
    <row r="74" spans="3:37" x14ac:dyDescent="0.2">
      <c r="C74" s="646" t="s">
        <v>82</v>
      </c>
      <c r="D74" s="640">
        <v>0</v>
      </c>
      <c r="E74" s="640">
        <v>0</v>
      </c>
      <c r="F74" s="640">
        <v>33.765533014074606</v>
      </c>
      <c r="G74" s="640">
        <v>2.2907099526353965</v>
      </c>
      <c r="H74" s="640">
        <v>0</v>
      </c>
      <c r="I74" s="640">
        <v>0</v>
      </c>
      <c r="J74" s="640">
        <v>1.1066179688825246</v>
      </c>
      <c r="K74" s="640">
        <v>0</v>
      </c>
      <c r="L74" s="640">
        <v>2.3728212231152073</v>
      </c>
      <c r="M74" s="640">
        <v>4.6749182706844826E-2</v>
      </c>
      <c r="N74" s="640">
        <v>0</v>
      </c>
      <c r="O74" s="640">
        <v>8.6639841752499475E-2</v>
      </c>
      <c r="P74" s="640">
        <v>7.9913059260342072</v>
      </c>
      <c r="Q74" s="640">
        <v>0</v>
      </c>
      <c r="R74" s="640">
        <v>0</v>
      </c>
      <c r="S74" s="648">
        <v>47.660377109201292</v>
      </c>
      <c r="U74" s="646" t="s">
        <v>82</v>
      </c>
      <c r="V74" s="640">
        <v>0</v>
      </c>
      <c r="W74" s="640">
        <v>0</v>
      </c>
      <c r="X74" s="640">
        <v>29.817412370685851</v>
      </c>
      <c r="Y74" s="640">
        <v>2.4393255997206347</v>
      </c>
      <c r="Z74" s="640">
        <v>0</v>
      </c>
      <c r="AA74" s="640">
        <v>0</v>
      </c>
      <c r="AB74" s="640">
        <v>1.1066179688825246</v>
      </c>
      <c r="AC74" s="640">
        <v>0</v>
      </c>
      <c r="AD74" s="640">
        <v>7.1577097724425283</v>
      </c>
      <c r="AE74" s="640">
        <v>0.2121152695409248</v>
      </c>
      <c r="AF74" s="640">
        <v>0</v>
      </c>
      <c r="AG74" s="640">
        <v>0.5193752668696392</v>
      </c>
      <c r="AH74" s="640">
        <v>8.0258276876076717</v>
      </c>
      <c r="AI74" s="640">
        <v>0</v>
      </c>
      <c r="AJ74" s="640">
        <v>0.13892990437736891</v>
      </c>
      <c r="AK74" s="648">
        <v>49.417313840127143</v>
      </c>
    </row>
    <row r="75" spans="3:37" x14ac:dyDescent="0.2">
      <c r="C75" s="646" t="s">
        <v>354</v>
      </c>
      <c r="D75" s="640">
        <v>0</v>
      </c>
      <c r="E75" s="640">
        <v>0</v>
      </c>
      <c r="F75" s="640">
        <v>0</v>
      </c>
      <c r="G75" s="640">
        <v>0</v>
      </c>
      <c r="H75" s="640">
        <v>0</v>
      </c>
      <c r="I75" s="640">
        <v>0</v>
      </c>
      <c r="J75" s="640">
        <v>0</v>
      </c>
      <c r="K75" s="640">
        <v>0</v>
      </c>
      <c r="L75" s="640">
        <v>0</v>
      </c>
      <c r="M75" s="640">
        <v>0</v>
      </c>
      <c r="N75" s="640">
        <v>0</v>
      </c>
      <c r="O75" s="640">
        <v>0</v>
      </c>
      <c r="P75" s="640">
        <v>0</v>
      </c>
      <c r="Q75" s="640">
        <v>0</v>
      </c>
      <c r="R75" s="640">
        <v>0</v>
      </c>
      <c r="S75" s="648">
        <v>0</v>
      </c>
      <c r="U75" s="646" t="s">
        <v>354</v>
      </c>
      <c r="V75" s="640">
        <v>0</v>
      </c>
      <c r="W75" s="640">
        <v>0</v>
      </c>
      <c r="X75" s="640">
        <v>0</v>
      </c>
      <c r="Y75" s="640">
        <v>0</v>
      </c>
      <c r="Z75" s="640">
        <v>0</v>
      </c>
      <c r="AA75" s="640">
        <v>0</v>
      </c>
      <c r="AB75" s="640">
        <v>0</v>
      </c>
      <c r="AC75" s="640">
        <v>0</v>
      </c>
      <c r="AD75" s="640">
        <v>0</v>
      </c>
      <c r="AE75" s="640">
        <v>0</v>
      </c>
      <c r="AF75" s="640">
        <v>0</v>
      </c>
      <c r="AG75" s="640">
        <v>0</v>
      </c>
      <c r="AH75" s="640">
        <v>0.36</v>
      </c>
      <c r="AI75" s="640">
        <v>0</v>
      </c>
      <c r="AJ75" s="640">
        <v>0</v>
      </c>
      <c r="AK75" s="648">
        <v>0.36</v>
      </c>
    </row>
    <row r="76" spans="3:37" x14ac:dyDescent="0.2">
      <c r="C76" s="644" t="s">
        <v>83</v>
      </c>
      <c r="D76" s="645">
        <v>6.728773440829297</v>
      </c>
      <c r="E76" s="645">
        <v>0</v>
      </c>
      <c r="F76" s="645">
        <v>481.28871584019521</v>
      </c>
      <c r="G76" s="645">
        <v>294.92544225883904</v>
      </c>
      <c r="H76" s="645">
        <v>0</v>
      </c>
      <c r="I76" s="645">
        <v>0</v>
      </c>
      <c r="J76" s="645">
        <v>99.463524740250691</v>
      </c>
      <c r="K76" s="645">
        <v>1.7823410909893624</v>
      </c>
      <c r="L76" s="645">
        <v>39.159249752490481</v>
      </c>
      <c r="M76" s="645">
        <v>6.0376618476797237</v>
      </c>
      <c r="N76" s="645">
        <v>45.31680426782367</v>
      </c>
      <c r="O76" s="645">
        <v>2.7231373652307198</v>
      </c>
      <c r="P76" s="645">
        <v>447.36659144667379</v>
      </c>
      <c r="Q76" s="645">
        <v>37.199535435098404</v>
      </c>
      <c r="R76" s="645">
        <v>0.58655864384492595</v>
      </c>
      <c r="S76" s="645">
        <v>1462.5783361299455</v>
      </c>
      <c r="U76" s="644" t="s">
        <v>83</v>
      </c>
      <c r="V76" s="645">
        <v>2.0293809622126395</v>
      </c>
      <c r="W76" s="645">
        <v>0</v>
      </c>
      <c r="X76" s="645">
        <v>386.5547653525565</v>
      </c>
      <c r="Y76" s="645">
        <v>226.68292731053214</v>
      </c>
      <c r="Z76" s="645">
        <v>0</v>
      </c>
      <c r="AA76" s="645">
        <v>0</v>
      </c>
      <c r="AB76" s="645">
        <v>100.86962546535466</v>
      </c>
      <c r="AC76" s="645">
        <v>5.7313631790461192</v>
      </c>
      <c r="AD76" s="645">
        <v>46.02139011322933</v>
      </c>
      <c r="AE76" s="645">
        <v>19.829277460523276</v>
      </c>
      <c r="AF76" s="645">
        <v>55.315214066923446</v>
      </c>
      <c r="AG76" s="645">
        <v>3.8870782938942541</v>
      </c>
      <c r="AH76" s="645">
        <v>449.52841955052912</v>
      </c>
      <c r="AI76" s="645">
        <v>58.16748920568601</v>
      </c>
      <c r="AJ76" s="645">
        <v>3.9353462294881845</v>
      </c>
      <c r="AK76" s="645">
        <v>1358.5522771899757</v>
      </c>
    </row>
    <row r="77" spans="3:37" x14ac:dyDescent="0.2">
      <c r="C77" s="639" t="s">
        <v>84</v>
      </c>
      <c r="D77" s="640">
        <v>0</v>
      </c>
      <c r="E77" s="640">
        <v>0</v>
      </c>
      <c r="F77" s="640">
        <v>123.20669977294675</v>
      </c>
      <c r="G77" s="640">
        <v>12.463741308801668</v>
      </c>
      <c r="H77" s="640">
        <v>0</v>
      </c>
      <c r="I77" s="640">
        <v>0</v>
      </c>
      <c r="J77" s="640">
        <v>0</v>
      </c>
      <c r="K77" s="640">
        <v>0</v>
      </c>
      <c r="L77" s="640">
        <v>0</v>
      </c>
      <c r="M77" s="640">
        <v>0</v>
      </c>
      <c r="N77" s="640">
        <v>0</v>
      </c>
      <c r="O77" s="640">
        <v>0</v>
      </c>
      <c r="P77" s="640">
        <v>0</v>
      </c>
      <c r="Q77" s="640">
        <v>0</v>
      </c>
      <c r="R77" s="640">
        <v>0</v>
      </c>
      <c r="S77" s="648">
        <v>135.67044108174841</v>
      </c>
      <c r="U77" s="639" t="s">
        <v>84</v>
      </c>
      <c r="V77" s="640">
        <v>0</v>
      </c>
      <c r="W77" s="640">
        <v>0</v>
      </c>
      <c r="X77" s="640">
        <v>121.88018365111382</v>
      </c>
      <c r="Y77" s="640">
        <v>1.8275750900030534</v>
      </c>
      <c r="Z77" s="640">
        <v>0</v>
      </c>
      <c r="AA77" s="640">
        <v>0</v>
      </c>
      <c r="AB77" s="640">
        <v>0</v>
      </c>
      <c r="AC77" s="640">
        <v>0</v>
      </c>
      <c r="AD77" s="640">
        <v>0.27491428444602273</v>
      </c>
      <c r="AE77" s="640">
        <v>0</v>
      </c>
      <c r="AF77" s="640">
        <v>0</v>
      </c>
      <c r="AG77" s="640">
        <v>0</v>
      </c>
      <c r="AH77" s="640">
        <v>0</v>
      </c>
      <c r="AI77" s="640">
        <v>0</v>
      </c>
      <c r="AJ77" s="640">
        <v>1.5118644886363639</v>
      </c>
      <c r="AK77" s="648">
        <v>125.49453751419927</v>
      </c>
    </row>
    <row r="78" spans="3:37" x14ac:dyDescent="0.2">
      <c r="C78" s="644" t="s">
        <v>85</v>
      </c>
      <c r="D78" s="645">
        <v>6.728773440829297</v>
      </c>
      <c r="E78" s="645">
        <v>0</v>
      </c>
      <c r="F78" s="645">
        <v>604.49541561314186</v>
      </c>
      <c r="G78" s="645">
        <v>307.38918356764071</v>
      </c>
      <c r="H78" s="645">
        <v>0</v>
      </c>
      <c r="I78" s="645">
        <v>0</v>
      </c>
      <c r="J78" s="645">
        <v>99.463524740250691</v>
      </c>
      <c r="K78" s="645">
        <v>1.7823410909893624</v>
      </c>
      <c r="L78" s="645">
        <v>39.159249752490481</v>
      </c>
      <c r="M78" s="645">
        <v>6.0376618476797237</v>
      </c>
      <c r="N78" s="645">
        <v>45.31680426782367</v>
      </c>
      <c r="O78" s="645">
        <v>2.7231373652307198</v>
      </c>
      <c r="P78" s="645">
        <v>447.36659144667379</v>
      </c>
      <c r="Q78" s="645">
        <v>37.199535435098404</v>
      </c>
      <c r="R78" s="645">
        <v>0.58655864384492595</v>
      </c>
      <c r="S78" s="645">
        <v>1598.2487772116938</v>
      </c>
      <c r="U78" s="644" t="s">
        <v>85</v>
      </c>
      <c r="V78" s="645">
        <v>2.0293809622126395</v>
      </c>
      <c r="W78" s="645">
        <v>0</v>
      </c>
      <c r="X78" s="645">
        <v>508.43494900367028</v>
      </c>
      <c r="Y78" s="645">
        <v>228.51050240053519</v>
      </c>
      <c r="Z78" s="645">
        <v>0</v>
      </c>
      <c r="AA78" s="645">
        <v>0</v>
      </c>
      <c r="AB78" s="645">
        <v>100.86962546535466</v>
      </c>
      <c r="AC78" s="645">
        <v>5.7313631790461192</v>
      </c>
      <c r="AD78" s="645">
        <v>46.29630439767535</v>
      </c>
      <c r="AE78" s="645">
        <v>19.829277460523276</v>
      </c>
      <c r="AF78" s="645">
        <v>55.315214066923446</v>
      </c>
      <c r="AG78" s="645">
        <v>3.8870782938942541</v>
      </c>
      <c r="AH78" s="645">
        <v>449.52841955052912</v>
      </c>
      <c r="AI78" s="645">
        <v>58.16748920568601</v>
      </c>
      <c r="AJ78" s="645">
        <v>5.4472107181245484</v>
      </c>
      <c r="AK78" s="645">
        <v>1484.0468147041749</v>
      </c>
    </row>
    <row r="79" spans="3:37" x14ac:dyDescent="0.2">
      <c r="C79" s="634"/>
      <c r="D79" s="634"/>
      <c r="E79" s="634"/>
      <c r="F79" s="634"/>
      <c r="G79" s="634"/>
      <c r="H79" s="634"/>
      <c r="I79" s="634"/>
      <c r="J79" s="634"/>
      <c r="K79" s="634"/>
      <c r="L79" s="634"/>
      <c r="M79" s="634"/>
      <c r="N79" s="634"/>
      <c r="O79" s="634"/>
      <c r="P79" s="634"/>
      <c r="Q79" s="634"/>
      <c r="R79" s="634"/>
      <c r="S79" s="634"/>
      <c r="U79" s="634"/>
      <c r="V79" s="634"/>
      <c r="W79" s="634"/>
      <c r="X79" s="634"/>
      <c r="Y79" s="634"/>
      <c r="Z79" s="634"/>
      <c r="AA79" s="634"/>
      <c r="AB79" s="634"/>
      <c r="AC79" s="634"/>
      <c r="AD79" s="634"/>
      <c r="AE79" s="634"/>
      <c r="AF79" s="634"/>
      <c r="AG79" s="634"/>
      <c r="AH79" s="634"/>
      <c r="AI79" s="634"/>
      <c r="AJ79" s="634"/>
      <c r="AK79" s="634"/>
    </row>
    <row r="80" spans="3:37" ht="22.5" x14ac:dyDescent="0.3">
      <c r="C80" s="759" t="s">
        <v>88</v>
      </c>
      <c r="D80" s="759"/>
      <c r="E80" s="759"/>
      <c r="F80" s="759"/>
      <c r="G80" s="759"/>
      <c r="H80" s="759"/>
      <c r="I80" s="759"/>
      <c r="J80" s="759"/>
      <c r="K80" s="759"/>
      <c r="L80" s="759"/>
      <c r="M80" s="759"/>
      <c r="N80" s="759"/>
      <c r="O80" s="759"/>
      <c r="P80" s="759"/>
      <c r="Q80" s="759"/>
      <c r="R80" s="759"/>
      <c r="S80" s="759"/>
      <c r="U80" s="759" t="s">
        <v>88</v>
      </c>
      <c r="V80" s="759"/>
      <c r="W80" s="759"/>
      <c r="X80" s="759"/>
      <c r="Y80" s="759"/>
      <c r="Z80" s="759"/>
      <c r="AA80" s="759"/>
      <c r="AB80" s="759"/>
      <c r="AC80" s="759"/>
      <c r="AD80" s="759"/>
      <c r="AE80" s="759"/>
      <c r="AF80" s="759"/>
      <c r="AG80" s="759"/>
      <c r="AH80" s="759"/>
      <c r="AI80" s="759"/>
      <c r="AJ80" s="759"/>
      <c r="AK80" s="759"/>
    </row>
    <row r="81" spans="3:37" x14ac:dyDescent="0.2">
      <c r="C81" s="634"/>
      <c r="D81" s="634"/>
      <c r="E81" s="634"/>
      <c r="F81" s="634"/>
      <c r="G81" s="634"/>
      <c r="H81" s="634"/>
      <c r="I81" s="634"/>
      <c r="J81" s="634"/>
      <c r="K81" s="634"/>
      <c r="L81" s="634"/>
      <c r="M81" s="634"/>
      <c r="N81" s="634"/>
      <c r="O81" s="634"/>
      <c r="P81" s="634"/>
      <c r="Q81" s="634"/>
      <c r="R81" s="634"/>
      <c r="S81" s="634"/>
      <c r="U81" s="634"/>
      <c r="V81" s="634"/>
      <c r="W81" s="634"/>
      <c r="X81" s="634"/>
      <c r="Y81" s="634"/>
      <c r="Z81" s="634"/>
      <c r="AA81" s="634"/>
      <c r="AB81" s="634"/>
      <c r="AC81" s="634"/>
      <c r="AD81" s="634"/>
      <c r="AE81" s="634"/>
      <c r="AF81" s="634"/>
      <c r="AG81" s="634"/>
      <c r="AH81" s="634"/>
      <c r="AI81" s="634"/>
      <c r="AJ81" s="634"/>
      <c r="AK81" s="634"/>
    </row>
    <row r="82" spans="3:37" ht="12.95" customHeight="1" x14ac:dyDescent="0.2">
      <c r="C82" s="758" t="s">
        <v>128</v>
      </c>
      <c r="D82" s="757" t="s">
        <v>42</v>
      </c>
      <c r="E82" s="757" t="s">
        <v>52</v>
      </c>
      <c r="F82" s="757" t="s">
        <v>53</v>
      </c>
      <c r="G82" s="757" t="s">
        <v>32</v>
      </c>
      <c r="H82" s="757" t="s">
        <v>20</v>
      </c>
      <c r="I82" s="757" t="s">
        <v>55</v>
      </c>
      <c r="J82" s="757" t="s">
        <v>56</v>
      </c>
      <c r="K82" s="757"/>
      <c r="L82" s="757"/>
      <c r="M82" s="757"/>
      <c r="N82" s="757"/>
      <c r="O82" s="757"/>
      <c r="P82" s="757" t="s">
        <v>57</v>
      </c>
      <c r="Q82" s="757" t="s">
        <v>58</v>
      </c>
      <c r="R82" s="757" t="s">
        <v>31</v>
      </c>
      <c r="S82" s="757" t="s">
        <v>10</v>
      </c>
      <c r="U82" s="758" t="s">
        <v>128</v>
      </c>
      <c r="V82" s="757" t="s">
        <v>42</v>
      </c>
      <c r="W82" s="757" t="s">
        <v>52</v>
      </c>
      <c r="X82" s="757" t="s">
        <v>53</v>
      </c>
      <c r="Y82" s="757" t="s">
        <v>32</v>
      </c>
      <c r="Z82" s="757" t="s">
        <v>20</v>
      </c>
      <c r="AA82" s="757" t="s">
        <v>55</v>
      </c>
      <c r="AB82" s="757" t="s">
        <v>56</v>
      </c>
      <c r="AC82" s="757"/>
      <c r="AD82" s="757"/>
      <c r="AE82" s="757"/>
      <c r="AF82" s="757"/>
      <c r="AG82" s="757"/>
      <c r="AH82" s="757" t="s">
        <v>57</v>
      </c>
      <c r="AI82" s="757" t="s">
        <v>58</v>
      </c>
      <c r="AJ82" s="757" t="s">
        <v>31</v>
      </c>
      <c r="AK82" s="757" t="s">
        <v>10</v>
      </c>
    </row>
    <row r="83" spans="3:37" ht="56.25" x14ac:dyDescent="0.2">
      <c r="C83" s="758"/>
      <c r="D83" s="757"/>
      <c r="E83" s="757"/>
      <c r="F83" s="757"/>
      <c r="G83" s="757"/>
      <c r="H83" s="757"/>
      <c r="I83" s="757"/>
      <c r="J83" s="638" t="s">
        <v>335</v>
      </c>
      <c r="K83" s="638" t="s">
        <v>40</v>
      </c>
      <c r="L83" s="638" t="s">
        <v>343</v>
      </c>
      <c r="M83" s="638" t="s">
        <v>344</v>
      </c>
      <c r="N83" s="638" t="s">
        <v>345</v>
      </c>
      <c r="O83" s="638" t="s">
        <v>346</v>
      </c>
      <c r="P83" s="757"/>
      <c r="Q83" s="757"/>
      <c r="R83" s="757"/>
      <c r="S83" s="757"/>
      <c r="U83" s="758"/>
      <c r="V83" s="757"/>
      <c r="W83" s="757"/>
      <c r="X83" s="757"/>
      <c r="Y83" s="757"/>
      <c r="Z83" s="757"/>
      <c r="AA83" s="757"/>
      <c r="AB83" s="638" t="s">
        <v>335</v>
      </c>
      <c r="AC83" s="638" t="s">
        <v>40</v>
      </c>
      <c r="AD83" s="638" t="s">
        <v>343</v>
      </c>
      <c r="AE83" s="638" t="s">
        <v>344</v>
      </c>
      <c r="AF83" s="638" t="s">
        <v>345</v>
      </c>
      <c r="AG83" s="638" t="s">
        <v>346</v>
      </c>
      <c r="AH83" s="757"/>
      <c r="AI83" s="757"/>
      <c r="AJ83" s="757"/>
      <c r="AK83" s="757"/>
    </row>
    <row r="84" spans="3:37" x14ac:dyDescent="0.2">
      <c r="C84" s="639" t="s">
        <v>59</v>
      </c>
      <c r="D84" s="640">
        <v>0</v>
      </c>
      <c r="E84" s="641">
        <v>9.7691999999999997</v>
      </c>
      <c r="F84" s="641">
        <v>0</v>
      </c>
      <c r="G84" s="640">
        <v>0.18608000000000002</v>
      </c>
      <c r="H84" s="641">
        <v>1190.909090909091</v>
      </c>
      <c r="I84" s="641">
        <v>182.7291074592973</v>
      </c>
      <c r="J84" s="641">
        <v>189.61507961766128</v>
      </c>
      <c r="K84" s="641">
        <v>22.268083551618652</v>
      </c>
      <c r="L84" s="641">
        <v>0.30256781050897086</v>
      </c>
      <c r="M84" s="641">
        <v>0.13616606414588689</v>
      </c>
      <c r="N84" s="641">
        <v>49.514351265721807</v>
      </c>
      <c r="O84" s="641">
        <v>8.1467195883110648</v>
      </c>
      <c r="P84" s="642">
        <v>0</v>
      </c>
      <c r="Q84" s="641">
        <v>0</v>
      </c>
      <c r="R84" s="641">
        <v>0</v>
      </c>
      <c r="S84" s="643">
        <v>1653.5764462663558</v>
      </c>
      <c r="U84" s="639" t="s">
        <v>59</v>
      </c>
      <c r="V84" s="640">
        <v>0</v>
      </c>
      <c r="W84" s="641">
        <v>9.7691999999999997</v>
      </c>
      <c r="X84" s="641">
        <v>0</v>
      </c>
      <c r="Y84" s="640">
        <v>0.18608000000000002</v>
      </c>
      <c r="Z84" s="641">
        <v>1069.3939393939395</v>
      </c>
      <c r="AA84" s="641">
        <v>197.24910745929728</v>
      </c>
      <c r="AB84" s="641">
        <v>182.13163745220285</v>
      </c>
      <c r="AC84" s="641">
        <v>36.932838973655407</v>
      </c>
      <c r="AD84" s="641">
        <v>0.30256781050897086</v>
      </c>
      <c r="AE84" s="641">
        <v>0.13616606414588689</v>
      </c>
      <c r="AF84" s="641">
        <v>61.091225724919909</v>
      </c>
      <c r="AG84" s="641">
        <v>13.043980364734779</v>
      </c>
      <c r="AH84" s="642">
        <v>0</v>
      </c>
      <c r="AI84" s="641">
        <v>0</v>
      </c>
      <c r="AJ84" s="641">
        <v>0</v>
      </c>
      <c r="AK84" s="643">
        <v>1570.2367432434044</v>
      </c>
    </row>
    <row r="85" spans="3:37" x14ac:dyDescent="0.2">
      <c r="C85" s="639" t="s">
        <v>60</v>
      </c>
      <c r="D85" s="640">
        <v>49.173561762123036</v>
      </c>
      <c r="E85" s="641">
        <v>533.81672423347197</v>
      </c>
      <c r="F85" s="641">
        <v>159.30055959731865</v>
      </c>
      <c r="G85" s="640">
        <v>343.82692763471942</v>
      </c>
      <c r="H85" s="641">
        <v>0</v>
      </c>
      <c r="I85" s="641">
        <v>0</v>
      </c>
      <c r="J85" s="641">
        <v>3.0754920838007731</v>
      </c>
      <c r="K85" s="641">
        <v>0</v>
      </c>
      <c r="L85" s="641">
        <v>1.7669821269916453</v>
      </c>
      <c r="M85" s="641">
        <v>0</v>
      </c>
      <c r="N85" s="641">
        <v>0</v>
      </c>
      <c r="O85" s="641">
        <v>0</v>
      </c>
      <c r="P85" s="642">
        <v>0</v>
      </c>
      <c r="Q85" s="641">
        <v>0</v>
      </c>
      <c r="R85" s="641">
        <v>0</v>
      </c>
      <c r="S85" s="643">
        <v>1090.9602474384255</v>
      </c>
      <c r="U85" s="639" t="s">
        <v>60</v>
      </c>
      <c r="V85" s="640">
        <v>12.56447967339157</v>
      </c>
      <c r="W85" s="641">
        <v>409.1975890316798</v>
      </c>
      <c r="X85" s="641">
        <v>146.83839951059079</v>
      </c>
      <c r="Y85" s="640">
        <v>277.07529977218445</v>
      </c>
      <c r="Z85" s="641">
        <v>0</v>
      </c>
      <c r="AA85" s="641">
        <v>0</v>
      </c>
      <c r="AB85" s="641">
        <v>3.0754920838007731</v>
      </c>
      <c r="AC85" s="641">
        <v>0</v>
      </c>
      <c r="AD85" s="641">
        <v>1.7669821269916453</v>
      </c>
      <c r="AE85" s="641">
        <v>0</v>
      </c>
      <c r="AF85" s="641">
        <v>0</v>
      </c>
      <c r="AG85" s="641">
        <v>0</v>
      </c>
      <c r="AH85" s="642">
        <v>0</v>
      </c>
      <c r="AI85" s="641">
        <v>0</v>
      </c>
      <c r="AJ85" s="641">
        <v>0</v>
      </c>
      <c r="AK85" s="643">
        <v>850.51824219863909</v>
      </c>
    </row>
    <row r="86" spans="3:37" x14ac:dyDescent="0.2">
      <c r="C86" s="639" t="s">
        <v>61</v>
      </c>
      <c r="D86" s="640">
        <v>0</v>
      </c>
      <c r="E86" s="641">
        <v>0</v>
      </c>
      <c r="F86" s="641">
        <v>0</v>
      </c>
      <c r="G86" s="640">
        <v>0</v>
      </c>
      <c r="H86" s="641">
        <v>0</v>
      </c>
      <c r="I86" s="641">
        <v>0</v>
      </c>
      <c r="J86" s="641">
        <v>0</v>
      </c>
      <c r="K86" s="641">
        <v>0</v>
      </c>
      <c r="L86" s="641">
        <v>0</v>
      </c>
      <c r="M86" s="641">
        <v>0</v>
      </c>
      <c r="N86" s="641">
        <v>0</v>
      </c>
      <c r="O86" s="641">
        <v>0</v>
      </c>
      <c r="P86" s="642">
        <v>-73.711460432822037</v>
      </c>
      <c r="Q86" s="641">
        <v>0</v>
      </c>
      <c r="R86" s="641">
        <v>0</v>
      </c>
      <c r="S86" s="643">
        <v>-73.711460432822037</v>
      </c>
      <c r="U86" s="639" t="s">
        <v>61</v>
      </c>
      <c r="V86" s="640">
        <v>0</v>
      </c>
      <c r="W86" s="641">
        <v>0</v>
      </c>
      <c r="X86" s="641">
        <v>0</v>
      </c>
      <c r="Y86" s="640">
        <v>0</v>
      </c>
      <c r="Z86" s="641">
        <v>0</v>
      </c>
      <c r="AA86" s="641">
        <v>0</v>
      </c>
      <c r="AB86" s="641">
        <v>0</v>
      </c>
      <c r="AC86" s="641">
        <v>0</v>
      </c>
      <c r="AD86" s="641">
        <v>0</v>
      </c>
      <c r="AE86" s="641">
        <v>0</v>
      </c>
      <c r="AF86" s="641">
        <v>0</v>
      </c>
      <c r="AG86" s="641">
        <v>0</v>
      </c>
      <c r="AH86" s="642">
        <v>-59.233927293838519</v>
      </c>
      <c r="AI86" s="641">
        <v>0</v>
      </c>
      <c r="AJ86" s="641">
        <v>0</v>
      </c>
      <c r="AK86" s="643">
        <v>-59.233927293838519</v>
      </c>
    </row>
    <row r="87" spans="3:37" x14ac:dyDescent="0.2">
      <c r="C87" s="639" t="s">
        <v>62</v>
      </c>
      <c r="D87" s="640">
        <v>0</v>
      </c>
      <c r="E87" s="641">
        <v>0</v>
      </c>
      <c r="F87" s="641">
        <v>-16.493151741791234</v>
      </c>
      <c r="G87" s="640">
        <v>0</v>
      </c>
      <c r="H87" s="641">
        <v>0</v>
      </c>
      <c r="I87" s="641">
        <v>0</v>
      </c>
      <c r="J87" s="641">
        <v>0</v>
      </c>
      <c r="K87" s="641">
        <v>0</v>
      </c>
      <c r="L87" s="641">
        <v>0</v>
      </c>
      <c r="M87" s="641">
        <v>0</v>
      </c>
      <c r="N87" s="641">
        <v>0</v>
      </c>
      <c r="O87" s="641">
        <v>0</v>
      </c>
      <c r="P87" s="642">
        <v>0</v>
      </c>
      <c r="Q87" s="641">
        <v>0</v>
      </c>
      <c r="R87" s="641">
        <v>0</v>
      </c>
      <c r="S87" s="643">
        <v>-16.493151741791234</v>
      </c>
      <c r="U87" s="639" t="s">
        <v>62</v>
      </c>
      <c r="V87" s="640">
        <v>0</v>
      </c>
      <c r="W87" s="641">
        <v>0</v>
      </c>
      <c r="X87" s="641">
        <v>-16.114280484636947</v>
      </c>
      <c r="Y87" s="640">
        <v>-5.618284274922395E-2</v>
      </c>
      <c r="Z87" s="641">
        <v>0</v>
      </c>
      <c r="AA87" s="641">
        <v>0</v>
      </c>
      <c r="AB87" s="641">
        <v>0</v>
      </c>
      <c r="AC87" s="641">
        <v>0</v>
      </c>
      <c r="AD87" s="641">
        <v>0</v>
      </c>
      <c r="AE87" s="641">
        <v>-6.2425380832471051E-3</v>
      </c>
      <c r="AF87" s="641">
        <v>0</v>
      </c>
      <c r="AG87" s="641">
        <v>0</v>
      </c>
      <c r="AH87" s="642">
        <v>0</v>
      </c>
      <c r="AI87" s="641">
        <v>0</v>
      </c>
      <c r="AJ87" s="641">
        <v>0</v>
      </c>
      <c r="AK87" s="643">
        <v>-16.176705865469415</v>
      </c>
    </row>
    <row r="88" spans="3:37" x14ac:dyDescent="0.2">
      <c r="C88" s="639" t="s">
        <v>63</v>
      </c>
      <c r="D88" s="640">
        <v>0</v>
      </c>
      <c r="E88" s="641">
        <v>0</v>
      </c>
      <c r="F88" s="641">
        <v>-80.583101554650298</v>
      </c>
      <c r="G88" s="640">
        <v>0</v>
      </c>
      <c r="H88" s="641">
        <v>0</v>
      </c>
      <c r="I88" s="641">
        <v>0</v>
      </c>
      <c r="J88" s="641">
        <v>0</v>
      </c>
      <c r="K88" s="641">
        <v>0</v>
      </c>
      <c r="L88" s="641">
        <v>-0.83510983775166403</v>
      </c>
      <c r="M88" s="641">
        <v>0</v>
      </c>
      <c r="N88" s="641">
        <v>0</v>
      </c>
      <c r="O88" s="641">
        <v>0</v>
      </c>
      <c r="P88" s="642">
        <v>0</v>
      </c>
      <c r="Q88" s="641">
        <v>0</v>
      </c>
      <c r="R88" s="641">
        <v>0</v>
      </c>
      <c r="S88" s="643">
        <v>-81.418211392401957</v>
      </c>
      <c r="U88" s="639" t="s">
        <v>63</v>
      </c>
      <c r="V88" s="640">
        <v>0</v>
      </c>
      <c r="W88" s="641">
        <v>0</v>
      </c>
      <c r="X88" s="641">
        <v>-78.29497747164686</v>
      </c>
      <c r="Y88" s="640">
        <v>0</v>
      </c>
      <c r="Z88" s="641">
        <v>0</v>
      </c>
      <c r="AA88" s="641">
        <v>0</v>
      </c>
      <c r="AB88" s="641">
        <v>0</v>
      </c>
      <c r="AC88" s="641">
        <v>0</v>
      </c>
      <c r="AD88" s="641">
        <v>-3.8806739722042796</v>
      </c>
      <c r="AE88" s="641">
        <v>0</v>
      </c>
      <c r="AF88" s="641">
        <v>0</v>
      </c>
      <c r="AG88" s="641">
        <v>0</v>
      </c>
      <c r="AH88" s="642">
        <v>0</v>
      </c>
      <c r="AI88" s="641">
        <v>0</v>
      </c>
      <c r="AJ88" s="641">
        <v>0</v>
      </c>
      <c r="AK88" s="643">
        <v>-82.175651443851137</v>
      </c>
    </row>
    <row r="89" spans="3:37" x14ac:dyDescent="0.2">
      <c r="C89" s="639" t="s">
        <v>64</v>
      </c>
      <c r="D89" s="640">
        <v>0</v>
      </c>
      <c r="E89" s="641">
        <v>0</v>
      </c>
      <c r="F89" s="641">
        <v>0</v>
      </c>
      <c r="G89" s="640">
        <v>0</v>
      </c>
      <c r="H89" s="641">
        <v>0</v>
      </c>
      <c r="I89" s="641">
        <v>0</v>
      </c>
      <c r="J89" s="641">
        <v>0</v>
      </c>
      <c r="K89" s="641">
        <v>0</v>
      </c>
      <c r="L89" s="641">
        <v>0</v>
      </c>
      <c r="M89" s="641">
        <v>0</v>
      </c>
      <c r="N89" s="641">
        <v>0</v>
      </c>
      <c r="O89" s="641">
        <v>0</v>
      </c>
      <c r="P89" s="642">
        <v>0</v>
      </c>
      <c r="Q89" s="641">
        <v>0</v>
      </c>
      <c r="R89" s="641">
        <v>0</v>
      </c>
      <c r="S89" s="643">
        <v>0</v>
      </c>
      <c r="U89" s="639" t="s">
        <v>64</v>
      </c>
      <c r="V89" s="640">
        <v>0</v>
      </c>
      <c r="W89" s="641">
        <v>0</v>
      </c>
      <c r="X89" s="641">
        <v>0</v>
      </c>
      <c r="Y89" s="640">
        <v>0</v>
      </c>
      <c r="Z89" s="641">
        <v>0</v>
      </c>
      <c r="AA89" s="641">
        <v>0</v>
      </c>
      <c r="AB89" s="641">
        <v>0</v>
      </c>
      <c r="AC89" s="641">
        <v>0</v>
      </c>
      <c r="AD89" s="641">
        <v>0</v>
      </c>
      <c r="AE89" s="641">
        <v>0</v>
      </c>
      <c r="AF89" s="641">
        <v>0</v>
      </c>
      <c r="AG89" s="641">
        <v>0</v>
      </c>
      <c r="AH89" s="642">
        <v>0</v>
      </c>
      <c r="AI89" s="641">
        <v>0</v>
      </c>
      <c r="AJ89" s="641">
        <v>0</v>
      </c>
      <c r="AK89" s="643">
        <v>0</v>
      </c>
    </row>
    <row r="90" spans="3:37" x14ac:dyDescent="0.2">
      <c r="C90" s="644" t="s">
        <v>65</v>
      </c>
      <c r="D90" s="645">
        <v>49.173561762123036</v>
      </c>
      <c r="E90" s="645">
        <v>543.58592423347193</v>
      </c>
      <c r="F90" s="645">
        <v>62.224306300877117</v>
      </c>
      <c r="G90" s="645">
        <v>344.01300763471943</v>
      </c>
      <c r="H90" s="645">
        <v>1190.909090909091</v>
      </c>
      <c r="I90" s="645">
        <v>182.7291074592973</v>
      </c>
      <c r="J90" s="645">
        <v>192.69057170146206</v>
      </c>
      <c r="K90" s="645">
        <v>22.268083551618652</v>
      </c>
      <c r="L90" s="645">
        <v>1.234440099748952</v>
      </c>
      <c r="M90" s="645">
        <v>0.13616606414588689</v>
      </c>
      <c r="N90" s="645">
        <v>49.514351265721807</v>
      </c>
      <c r="O90" s="645">
        <v>8.1467195883110648</v>
      </c>
      <c r="P90" s="645">
        <v>-73.711460432822037</v>
      </c>
      <c r="Q90" s="645">
        <v>0</v>
      </c>
      <c r="R90" s="645">
        <v>0</v>
      </c>
      <c r="S90" s="645">
        <v>2572.9138701377656</v>
      </c>
      <c r="U90" s="644" t="s">
        <v>65</v>
      </c>
      <c r="V90" s="645">
        <v>12.56447967339157</v>
      </c>
      <c r="W90" s="645">
        <v>418.96678903167981</v>
      </c>
      <c r="X90" s="645">
        <v>52.42914155430698</v>
      </c>
      <c r="Y90" s="645">
        <v>277.2051969294352</v>
      </c>
      <c r="Z90" s="645">
        <v>1069.3939393939395</v>
      </c>
      <c r="AA90" s="645">
        <v>197.24910745929728</v>
      </c>
      <c r="AB90" s="645">
        <v>185.20712953600363</v>
      </c>
      <c r="AC90" s="645">
        <v>36.932838973655407</v>
      </c>
      <c r="AD90" s="645">
        <v>-1.8111240347036635</v>
      </c>
      <c r="AE90" s="645">
        <v>0.12992352606263979</v>
      </c>
      <c r="AF90" s="645">
        <v>61.091225724919909</v>
      </c>
      <c r="AG90" s="645">
        <v>13.043980364734779</v>
      </c>
      <c r="AH90" s="645">
        <v>-59.233927293838519</v>
      </c>
      <c r="AI90" s="645">
        <v>0</v>
      </c>
      <c r="AJ90" s="645">
        <v>0</v>
      </c>
      <c r="AK90" s="645">
        <v>2263.168700838884</v>
      </c>
    </row>
    <row r="91" spans="3:37" x14ac:dyDescent="0.2">
      <c r="C91" s="634"/>
      <c r="D91" s="634">
        <v>0</v>
      </c>
      <c r="E91" s="634">
        <v>0</v>
      </c>
      <c r="F91" s="634">
        <v>0</v>
      </c>
      <c r="G91" s="634">
        <v>0</v>
      </c>
      <c r="H91" s="634">
        <v>0</v>
      </c>
      <c r="I91" s="634">
        <v>0</v>
      </c>
      <c r="J91" s="634">
        <v>0</v>
      </c>
      <c r="K91" s="634">
        <v>0</v>
      </c>
      <c r="L91" s="634">
        <v>0</v>
      </c>
      <c r="M91" s="634">
        <v>0</v>
      </c>
      <c r="N91" s="634">
        <v>0</v>
      </c>
      <c r="O91" s="634">
        <v>0</v>
      </c>
      <c r="P91" s="634">
        <v>0</v>
      </c>
      <c r="Q91" s="634">
        <v>0</v>
      </c>
      <c r="R91" s="634">
        <v>0</v>
      </c>
      <c r="S91" s="634">
        <v>0</v>
      </c>
      <c r="U91" s="634"/>
      <c r="V91" s="634">
        <v>0</v>
      </c>
      <c r="W91" s="634">
        <v>0</v>
      </c>
      <c r="X91" s="634">
        <v>0</v>
      </c>
      <c r="Y91" s="634">
        <v>0</v>
      </c>
      <c r="Z91" s="634">
        <v>0</v>
      </c>
      <c r="AA91" s="634">
        <v>0</v>
      </c>
      <c r="AB91" s="634">
        <v>0</v>
      </c>
      <c r="AC91" s="634">
        <v>0</v>
      </c>
      <c r="AD91" s="634">
        <v>0</v>
      </c>
      <c r="AE91" s="634">
        <v>0</v>
      </c>
      <c r="AF91" s="634">
        <v>0</v>
      </c>
      <c r="AG91" s="634">
        <v>0</v>
      </c>
      <c r="AH91" s="634">
        <v>0</v>
      </c>
      <c r="AI91" s="634">
        <v>0</v>
      </c>
      <c r="AJ91" s="634">
        <v>0</v>
      </c>
      <c r="AK91" s="634">
        <v>0</v>
      </c>
    </row>
    <row r="92" spans="3:37" x14ac:dyDescent="0.2">
      <c r="C92" s="646" t="s">
        <v>67</v>
      </c>
      <c r="D92" s="640">
        <v>0</v>
      </c>
      <c r="E92" s="647">
        <v>0</v>
      </c>
      <c r="F92" s="647">
        <v>0</v>
      </c>
      <c r="G92" s="640">
        <v>0</v>
      </c>
      <c r="H92" s="640">
        <v>0</v>
      </c>
      <c r="I92" s="640">
        <v>0</v>
      </c>
      <c r="J92" s="640">
        <v>0</v>
      </c>
      <c r="K92" s="640">
        <v>0</v>
      </c>
      <c r="L92" s="640">
        <v>0</v>
      </c>
      <c r="M92" s="640">
        <v>0</v>
      </c>
      <c r="N92" s="640">
        <v>0</v>
      </c>
      <c r="O92" s="640">
        <v>0</v>
      </c>
      <c r="P92" s="640">
        <v>0</v>
      </c>
      <c r="Q92" s="640">
        <v>0</v>
      </c>
      <c r="R92" s="640">
        <v>0</v>
      </c>
      <c r="S92" s="648">
        <v>0</v>
      </c>
      <c r="U92" s="646" t="s">
        <v>67</v>
      </c>
      <c r="V92" s="640">
        <v>0</v>
      </c>
      <c r="W92" s="647">
        <v>0</v>
      </c>
      <c r="X92" s="647">
        <v>0</v>
      </c>
      <c r="Y92" s="640">
        <v>0</v>
      </c>
      <c r="Z92" s="640">
        <v>0</v>
      </c>
      <c r="AA92" s="640">
        <v>0</v>
      </c>
      <c r="AB92" s="640">
        <v>0</v>
      </c>
      <c r="AC92" s="640">
        <v>0</v>
      </c>
      <c r="AD92" s="640">
        <v>0</v>
      </c>
      <c r="AE92" s="640">
        <v>0</v>
      </c>
      <c r="AF92" s="640">
        <v>0</v>
      </c>
      <c r="AG92" s="640">
        <v>0</v>
      </c>
      <c r="AH92" s="640">
        <v>0</v>
      </c>
      <c r="AI92" s="640">
        <v>0</v>
      </c>
      <c r="AJ92" s="640">
        <v>0</v>
      </c>
      <c r="AK92" s="648">
        <v>0</v>
      </c>
    </row>
    <row r="93" spans="3:37" x14ac:dyDescent="0.2">
      <c r="C93" s="646" t="s">
        <v>347</v>
      </c>
      <c r="D93" s="640">
        <v>2.8267856410252494</v>
      </c>
      <c r="E93" s="640">
        <v>0</v>
      </c>
      <c r="F93" s="640">
        <v>7.5307695076515202</v>
      </c>
      <c r="G93" s="640">
        <v>17.818181818181817</v>
      </c>
      <c r="H93" s="640">
        <v>1190.909090909091</v>
      </c>
      <c r="I93" s="640">
        <v>182.7291074592973</v>
      </c>
      <c r="J93" s="649">
        <v>31.567770517320518</v>
      </c>
      <c r="K93" s="649">
        <v>7.9944017148664477</v>
      </c>
      <c r="L93" s="649">
        <v>2.0695499375006161</v>
      </c>
      <c r="M93" s="649">
        <v>0.46787592950723628</v>
      </c>
      <c r="N93" s="649">
        <v>0</v>
      </c>
      <c r="O93" s="649">
        <v>3.0833964576427819</v>
      </c>
      <c r="P93" s="640">
        <v>-605.52729840025461</v>
      </c>
      <c r="Q93" s="640">
        <v>0</v>
      </c>
      <c r="R93" s="640">
        <v>0</v>
      </c>
      <c r="S93" s="648">
        <v>841.46963149182989</v>
      </c>
      <c r="U93" s="646" t="s">
        <v>347</v>
      </c>
      <c r="V93" s="640">
        <v>0.62631490545869017</v>
      </c>
      <c r="W93" s="640">
        <v>0</v>
      </c>
      <c r="X93" s="640">
        <v>3.6671331440151573</v>
      </c>
      <c r="Y93" s="640">
        <v>45.490909090909085</v>
      </c>
      <c r="Z93" s="640">
        <v>1069.3939393939395</v>
      </c>
      <c r="AA93" s="640">
        <v>197.24910745929728</v>
      </c>
      <c r="AB93" s="649">
        <v>26.112388272824305</v>
      </c>
      <c r="AC93" s="649">
        <v>7.8557568383975527</v>
      </c>
      <c r="AD93" s="649">
        <v>2.0695499375006161</v>
      </c>
      <c r="AE93" s="649">
        <v>5.1587850204163272</v>
      </c>
      <c r="AF93" s="649">
        <v>0</v>
      </c>
      <c r="AG93" s="649">
        <v>3.0833964576427819</v>
      </c>
      <c r="AH93" s="640">
        <v>-594.94729840025457</v>
      </c>
      <c r="AI93" s="640">
        <v>0</v>
      </c>
      <c r="AJ93" s="640">
        <v>0</v>
      </c>
      <c r="AK93" s="648">
        <v>765.75998212014645</v>
      </c>
    </row>
    <row r="94" spans="3:37" x14ac:dyDescent="0.2">
      <c r="C94" s="646" t="s">
        <v>348</v>
      </c>
      <c r="D94" s="640">
        <v>0</v>
      </c>
      <c r="E94" s="640">
        <v>0</v>
      </c>
      <c r="F94" s="640">
        <v>0</v>
      </c>
      <c r="G94" s="640">
        <v>15.528976420917793</v>
      </c>
      <c r="H94" s="640">
        <v>0</v>
      </c>
      <c r="I94" s="640">
        <v>0</v>
      </c>
      <c r="J94" s="649">
        <v>13.425934567091144</v>
      </c>
      <c r="K94" s="649">
        <v>12.460813842705811</v>
      </c>
      <c r="L94" s="649">
        <v>0</v>
      </c>
      <c r="M94" s="649">
        <v>0.33007353312586968</v>
      </c>
      <c r="N94" s="649">
        <v>0</v>
      </c>
      <c r="O94" s="649">
        <v>2.2140049259569654</v>
      </c>
      <c r="P94" s="640">
        <v>0</v>
      </c>
      <c r="Q94" s="640">
        <v>-39.530815313914701</v>
      </c>
      <c r="R94" s="640">
        <v>0</v>
      </c>
      <c r="S94" s="648">
        <v>4.4289879758828699</v>
      </c>
      <c r="U94" s="646" t="s">
        <v>348</v>
      </c>
      <c r="V94" s="640">
        <v>0</v>
      </c>
      <c r="W94" s="640">
        <v>0</v>
      </c>
      <c r="X94" s="640">
        <v>0</v>
      </c>
      <c r="Y94" s="640">
        <v>17.633177295554518</v>
      </c>
      <c r="Z94" s="640">
        <v>0</v>
      </c>
      <c r="AA94" s="640">
        <v>0</v>
      </c>
      <c r="AB94" s="649">
        <v>25.59264276124566</v>
      </c>
      <c r="AC94" s="649">
        <v>22.938494140017696</v>
      </c>
      <c r="AD94" s="649">
        <v>0</v>
      </c>
      <c r="AE94" s="649">
        <v>1.9723975687129698</v>
      </c>
      <c r="AF94" s="649">
        <v>0</v>
      </c>
      <c r="AG94" s="649">
        <v>5.6361523989336151</v>
      </c>
      <c r="AH94" s="640">
        <v>0</v>
      </c>
      <c r="AI94" s="640">
        <v>-66.845421794322675</v>
      </c>
      <c r="AJ94" s="640">
        <v>0</v>
      </c>
      <c r="AK94" s="648">
        <v>6.927442370141784</v>
      </c>
    </row>
    <row r="95" spans="3:37" x14ac:dyDescent="0.2">
      <c r="C95" s="646" t="s">
        <v>349</v>
      </c>
      <c r="D95" s="640">
        <v>0</v>
      </c>
      <c r="E95" s="640">
        <v>0</v>
      </c>
      <c r="F95" s="640">
        <v>0</v>
      </c>
      <c r="G95" s="640">
        <v>0</v>
      </c>
      <c r="H95" s="640">
        <v>0</v>
      </c>
      <c r="I95" s="640">
        <v>0</v>
      </c>
      <c r="J95" s="650">
        <v>7.7785999169814284</v>
      </c>
      <c r="K95" s="650">
        <v>0</v>
      </c>
      <c r="L95" s="650">
        <v>0</v>
      </c>
      <c r="M95" s="650">
        <v>-6.767381927773843</v>
      </c>
      <c r="N95" s="650">
        <v>0</v>
      </c>
      <c r="O95" s="650">
        <v>0</v>
      </c>
      <c r="P95" s="640">
        <v>0</v>
      </c>
      <c r="Q95" s="640">
        <v>0</v>
      </c>
      <c r="R95" s="640">
        <v>0</v>
      </c>
      <c r="S95" s="648">
        <v>1.0112179892075854</v>
      </c>
      <c r="U95" s="646" t="s">
        <v>349</v>
      </c>
      <c r="V95" s="640">
        <v>0</v>
      </c>
      <c r="W95" s="640">
        <v>0</v>
      </c>
      <c r="X95" s="640">
        <v>0</v>
      </c>
      <c r="Y95" s="640">
        <v>0</v>
      </c>
      <c r="Z95" s="640">
        <v>0</v>
      </c>
      <c r="AA95" s="640">
        <v>0</v>
      </c>
      <c r="AB95" s="650">
        <v>35.178099528176176</v>
      </c>
      <c r="AC95" s="650">
        <v>0</v>
      </c>
      <c r="AD95" s="650">
        <v>0</v>
      </c>
      <c r="AE95" s="650">
        <v>-30.604946589513276</v>
      </c>
      <c r="AF95" s="650">
        <v>0</v>
      </c>
      <c r="AG95" s="650">
        <v>0</v>
      </c>
      <c r="AH95" s="640">
        <v>0</v>
      </c>
      <c r="AI95" s="640">
        <v>0</v>
      </c>
      <c r="AJ95" s="640">
        <v>0</v>
      </c>
      <c r="AK95" s="648">
        <v>4.5731529386629006</v>
      </c>
    </row>
    <row r="96" spans="3:37" x14ac:dyDescent="0.2">
      <c r="C96" s="646" t="s">
        <v>350</v>
      </c>
      <c r="D96" s="640">
        <v>0</v>
      </c>
      <c r="E96" s="640">
        <v>0</v>
      </c>
      <c r="F96" s="640">
        <v>0</v>
      </c>
      <c r="G96" s="640">
        <v>0</v>
      </c>
      <c r="H96" s="640">
        <v>0</v>
      </c>
      <c r="I96" s="640">
        <v>0</v>
      </c>
      <c r="J96" s="640">
        <v>0</v>
      </c>
      <c r="K96" s="640">
        <v>0</v>
      </c>
      <c r="L96" s="640">
        <v>0</v>
      </c>
      <c r="M96" s="640">
        <v>0</v>
      </c>
      <c r="N96" s="640">
        <v>0</v>
      </c>
      <c r="O96" s="640">
        <v>0</v>
      </c>
      <c r="P96" s="640">
        <v>0</v>
      </c>
      <c r="Q96" s="640">
        <v>0</v>
      </c>
      <c r="R96" s="640">
        <v>0</v>
      </c>
      <c r="S96" s="648">
        <v>0</v>
      </c>
      <c r="U96" s="646" t="s">
        <v>350</v>
      </c>
      <c r="V96" s="640">
        <v>0</v>
      </c>
      <c r="W96" s="640">
        <v>0</v>
      </c>
      <c r="X96" s="640">
        <v>0</v>
      </c>
      <c r="Y96" s="640">
        <v>0</v>
      </c>
      <c r="Z96" s="640">
        <v>0</v>
      </c>
      <c r="AA96" s="640">
        <v>0</v>
      </c>
      <c r="AB96" s="640">
        <v>0</v>
      </c>
      <c r="AC96" s="640">
        <v>0</v>
      </c>
      <c r="AD96" s="640">
        <v>0</v>
      </c>
      <c r="AE96" s="640">
        <v>0</v>
      </c>
      <c r="AF96" s="640">
        <v>0</v>
      </c>
      <c r="AG96" s="640">
        <v>0</v>
      </c>
      <c r="AH96" s="640">
        <v>0</v>
      </c>
      <c r="AI96" s="640">
        <v>0</v>
      </c>
      <c r="AJ96" s="640">
        <v>0</v>
      </c>
      <c r="AK96" s="648">
        <v>0</v>
      </c>
    </row>
    <row r="97" spans="3:37" x14ac:dyDescent="0.2">
      <c r="C97" s="646" t="s">
        <v>72</v>
      </c>
      <c r="D97" s="640">
        <v>0</v>
      </c>
      <c r="E97" s="640">
        <v>563.09724372867038</v>
      </c>
      <c r="F97" s="640">
        <v>-557.46627129138369</v>
      </c>
      <c r="G97" s="640">
        <v>0</v>
      </c>
      <c r="H97" s="640">
        <v>0</v>
      </c>
      <c r="I97" s="640">
        <v>0</v>
      </c>
      <c r="J97" s="640">
        <v>0</v>
      </c>
      <c r="K97" s="640">
        <v>0</v>
      </c>
      <c r="L97" s="640">
        <v>0</v>
      </c>
      <c r="M97" s="640">
        <v>0</v>
      </c>
      <c r="N97" s="640">
        <v>0</v>
      </c>
      <c r="O97" s="640">
        <v>0</v>
      </c>
      <c r="P97" s="640">
        <v>0</v>
      </c>
      <c r="Q97" s="640">
        <v>0</v>
      </c>
      <c r="R97" s="640">
        <v>0</v>
      </c>
      <c r="S97" s="648">
        <v>5.6309724372866867</v>
      </c>
      <c r="U97" s="646" t="s">
        <v>72</v>
      </c>
      <c r="V97" s="640">
        <v>0</v>
      </c>
      <c r="W97" s="640">
        <v>434.00506451720082</v>
      </c>
      <c r="X97" s="640">
        <v>-429.66501387202879</v>
      </c>
      <c r="Y97" s="640">
        <v>0</v>
      </c>
      <c r="Z97" s="640">
        <v>0</v>
      </c>
      <c r="AA97" s="640">
        <v>0</v>
      </c>
      <c r="AB97" s="640">
        <v>0</v>
      </c>
      <c r="AC97" s="640">
        <v>0</v>
      </c>
      <c r="AD97" s="640">
        <v>0</v>
      </c>
      <c r="AE97" s="640">
        <v>0</v>
      </c>
      <c r="AF97" s="640">
        <v>0</v>
      </c>
      <c r="AG97" s="640">
        <v>0</v>
      </c>
      <c r="AH97" s="640">
        <v>0</v>
      </c>
      <c r="AI97" s="640">
        <v>0</v>
      </c>
      <c r="AJ97" s="640">
        <v>0</v>
      </c>
      <c r="AK97" s="648">
        <v>4.3400506451720275</v>
      </c>
    </row>
    <row r="98" spans="3:37" x14ac:dyDescent="0.2">
      <c r="C98" s="646" t="s">
        <v>351</v>
      </c>
      <c r="D98" s="640">
        <v>0</v>
      </c>
      <c r="E98" s="640">
        <v>0</v>
      </c>
      <c r="F98" s="640">
        <v>0</v>
      </c>
      <c r="G98" s="640">
        <v>0</v>
      </c>
      <c r="H98" s="640">
        <v>0</v>
      </c>
      <c r="I98" s="640">
        <v>0</v>
      </c>
      <c r="J98" s="640">
        <v>37.619415842848596</v>
      </c>
      <c r="K98" s="640">
        <v>0</v>
      </c>
      <c r="L98" s="640">
        <v>-37.619415842848596</v>
      </c>
      <c r="M98" s="640">
        <v>0</v>
      </c>
      <c r="N98" s="640">
        <v>0</v>
      </c>
      <c r="O98" s="640">
        <v>0</v>
      </c>
      <c r="P98" s="640">
        <v>0</v>
      </c>
      <c r="Q98" s="640">
        <v>0</v>
      </c>
      <c r="R98" s="640">
        <v>0</v>
      </c>
      <c r="S98" s="648">
        <v>0</v>
      </c>
      <c r="U98" s="646" t="s">
        <v>351</v>
      </c>
      <c r="V98" s="640">
        <v>0</v>
      </c>
      <c r="W98" s="640">
        <v>0</v>
      </c>
      <c r="X98" s="640">
        <v>0</v>
      </c>
      <c r="Y98" s="640">
        <v>0</v>
      </c>
      <c r="Z98" s="640">
        <v>0</v>
      </c>
      <c r="AA98" s="640">
        <v>0</v>
      </c>
      <c r="AB98" s="640" t="e">
        <v>#VALUE!</v>
      </c>
      <c r="AC98" s="640">
        <v>0</v>
      </c>
      <c r="AD98" s="640">
        <v>-46.213611225378862</v>
      </c>
      <c r="AE98" s="640">
        <v>0</v>
      </c>
      <c r="AF98" s="640">
        <v>0</v>
      </c>
      <c r="AG98" s="640">
        <v>0</v>
      </c>
      <c r="AH98" s="640">
        <v>0</v>
      </c>
      <c r="AI98" s="640">
        <v>0</v>
      </c>
      <c r="AJ98" s="640">
        <v>0</v>
      </c>
      <c r="AK98" s="648">
        <v>-46.213611225378862</v>
      </c>
    </row>
    <row r="99" spans="3:37" x14ac:dyDescent="0.2">
      <c r="C99" s="646" t="s">
        <v>352</v>
      </c>
      <c r="D99" s="640">
        <v>0</v>
      </c>
      <c r="E99" s="640">
        <v>0</v>
      </c>
      <c r="F99" s="640">
        <v>0</v>
      </c>
      <c r="G99" s="640">
        <v>0</v>
      </c>
      <c r="H99" s="640">
        <v>0</v>
      </c>
      <c r="I99" s="640">
        <v>0</v>
      </c>
      <c r="J99" s="640">
        <v>0</v>
      </c>
      <c r="K99" s="640">
        <v>0</v>
      </c>
      <c r="L99" s="640">
        <v>0</v>
      </c>
      <c r="M99" s="640">
        <v>0</v>
      </c>
      <c r="N99" s="640">
        <v>0</v>
      </c>
      <c r="O99" s="640">
        <v>0</v>
      </c>
      <c r="P99" s="640">
        <v>0</v>
      </c>
      <c r="Q99" s="640">
        <v>0</v>
      </c>
      <c r="R99" s="640">
        <v>0</v>
      </c>
      <c r="S99" s="648">
        <v>0</v>
      </c>
      <c r="U99" s="646" t="s">
        <v>352</v>
      </c>
      <c r="V99" s="640">
        <v>0</v>
      </c>
      <c r="W99" s="640">
        <v>0</v>
      </c>
      <c r="X99" s="640">
        <v>0</v>
      </c>
      <c r="Y99" s="640">
        <v>0</v>
      </c>
      <c r="Z99" s="640">
        <v>0</v>
      </c>
      <c r="AA99" s="640">
        <v>0</v>
      </c>
      <c r="AB99" s="640">
        <v>0</v>
      </c>
      <c r="AC99" s="640">
        <v>0</v>
      </c>
      <c r="AD99" s="640">
        <v>-5.5104572320471013</v>
      </c>
      <c r="AE99" s="640">
        <v>0</v>
      </c>
      <c r="AF99" s="640">
        <v>0</v>
      </c>
      <c r="AG99" s="640">
        <v>0</v>
      </c>
      <c r="AH99" s="640">
        <v>0</v>
      </c>
      <c r="AI99" s="640">
        <v>0</v>
      </c>
      <c r="AJ99" s="640">
        <v>0</v>
      </c>
      <c r="AK99" s="648">
        <v>-5.5104572320471013</v>
      </c>
    </row>
    <row r="100" spans="3:37" x14ac:dyDescent="0.2">
      <c r="C100" s="646" t="s">
        <v>73</v>
      </c>
      <c r="D100" s="640">
        <v>0</v>
      </c>
      <c r="E100" s="640">
        <v>0</v>
      </c>
      <c r="F100" s="640">
        <v>0</v>
      </c>
      <c r="G100" s="640">
        <v>0.90917311757834995</v>
      </c>
      <c r="H100" s="640">
        <v>0</v>
      </c>
      <c r="I100" s="640">
        <v>0</v>
      </c>
      <c r="J100" s="640">
        <v>0</v>
      </c>
      <c r="K100" s="640">
        <v>1.0194809571410069E-2</v>
      </c>
      <c r="L100" s="640">
        <v>0</v>
      </c>
      <c r="M100" s="640">
        <v>1.8554553419966327E-2</v>
      </c>
      <c r="N100" s="640">
        <v>0</v>
      </c>
      <c r="O100" s="640">
        <v>0</v>
      </c>
      <c r="P100" s="640">
        <v>8.7832205538302136E-2</v>
      </c>
      <c r="Q100" s="640">
        <v>0</v>
      </c>
      <c r="R100" s="640">
        <v>-0.71363666999870479</v>
      </c>
      <c r="S100" s="648">
        <v>0.31211801610932366</v>
      </c>
      <c r="U100" s="646" t="s">
        <v>73</v>
      </c>
      <c r="V100" s="640">
        <v>0</v>
      </c>
      <c r="W100" s="640">
        <v>0</v>
      </c>
      <c r="X100" s="640">
        <v>0</v>
      </c>
      <c r="Y100" s="640">
        <v>3.7406895887912213</v>
      </c>
      <c r="Z100" s="640">
        <v>0</v>
      </c>
      <c r="AA100" s="640">
        <v>0</v>
      </c>
      <c r="AB100" s="640">
        <v>0</v>
      </c>
      <c r="AC100" s="640">
        <v>0.10657235295701485</v>
      </c>
      <c r="AD100" s="640">
        <v>0</v>
      </c>
      <c r="AE100" s="640">
        <v>0.4156321765323579</v>
      </c>
      <c r="AF100" s="640">
        <v>0</v>
      </c>
      <c r="AG100" s="640">
        <v>0</v>
      </c>
      <c r="AH100" s="640">
        <v>6.8862135756840344</v>
      </c>
      <c r="AI100" s="640">
        <v>0</v>
      </c>
      <c r="AJ100" s="640">
        <v>-7.4600647069910382</v>
      </c>
      <c r="AK100" s="648">
        <v>3.6890429869735906</v>
      </c>
    </row>
    <row r="101" spans="3:37" x14ac:dyDescent="0.2">
      <c r="C101" s="646" t="s">
        <v>353</v>
      </c>
      <c r="D101" s="640">
        <v>28.68732140625</v>
      </c>
      <c r="E101" s="640">
        <v>-19.511319495198432</v>
      </c>
      <c r="F101" s="640">
        <v>25.519653459670948</v>
      </c>
      <c r="G101" s="640">
        <v>0</v>
      </c>
      <c r="H101" s="640">
        <v>0</v>
      </c>
      <c r="I101" s="640">
        <v>0</v>
      </c>
      <c r="J101" s="640">
        <v>0</v>
      </c>
      <c r="K101" s="640">
        <v>0</v>
      </c>
      <c r="L101" s="640">
        <v>0</v>
      </c>
      <c r="M101" s="640">
        <v>0</v>
      </c>
      <c r="N101" s="640">
        <v>0</v>
      </c>
      <c r="O101" s="640">
        <v>0</v>
      </c>
      <c r="P101" s="640">
        <v>0</v>
      </c>
      <c r="Q101" s="640">
        <v>0</v>
      </c>
      <c r="R101" s="640">
        <v>0</v>
      </c>
      <c r="S101" s="648">
        <v>34.69565537072252</v>
      </c>
      <c r="U101" s="646" t="s">
        <v>353</v>
      </c>
      <c r="V101" s="640">
        <v>5.4641713867187498</v>
      </c>
      <c r="W101" s="640">
        <v>-15.038275485521009</v>
      </c>
      <c r="X101" s="640">
        <v>19.669176096265762</v>
      </c>
      <c r="Y101" s="640">
        <v>0</v>
      </c>
      <c r="Z101" s="640">
        <v>0</v>
      </c>
      <c r="AA101" s="640">
        <v>0</v>
      </c>
      <c r="AB101" s="640">
        <v>0</v>
      </c>
      <c r="AC101" s="640">
        <v>0</v>
      </c>
      <c r="AD101" s="640">
        <v>0</v>
      </c>
      <c r="AE101" s="640">
        <v>0</v>
      </c>
      <c r="AF101" s="640">
        <v>0</v>
      </c>
      <c r="AG101" s="640">
        <v>0</v>
      </c>
      <c r="AH101" s="640">
        <v>0</v>
      </c>
      <c r="AI101" s="640">
        <v>0</v>
      </c>
      <c r="AJ101" s="640">
        <v>0</v>
      </c>
      <c r="AK101" s="648">
        <v>10.095071997463503</v>
      </c>
    </row>
    <row r="102" spans="3:37" x14ac:dyDescent="0.2">
      <c r="C102" s="646" t="s">
        <v>75</v>
      </c>
      <c r="D102" s="640">
        <v>11.156180546875001</v>
      </c>
      <c r="E102" s="640">
        <v>0</v>
      </c>
      <c r="F102" s="640">
        <v>19.145306286774794</v>
      </c>
      <c r="G102" s="640">
        <v>5.4631694586555604</v>
      </c>
      <c r="H102" s="640">
        <v>0</v>
      </c>
      <c r="I102" s="640">
        <v>0</v>
      </c>
      <c r="J102" s="640">
        <v>0</v>
      </c>
      <c r="K102" s="640">
        <v>0</v>
      </c>
      <c r="L102" s="640">
        <v>0</v>
      </c>
      <c r="M102" s="640">
        <v>0.11149325425827675</v>
      </c>
      <c r="N102" s="640">
        <v>0</v>
      </c>
      <c r="O102" s="640">
        <v>0</v>
      </c>
      <c r="P102" s="640">
        <v>36.294895286159367</v>
      </c>
      <c r="Q102" s="640">
        <v>0</v>
      </c>
      <c r="R102" s="640">
        <v>0</v>
      </c>
      <c r="S102" s="648">
        <v>72.171044832722998</v>
      </c>
      <c r="U102" s="646" t="s">
        <v>75</v>
      </c>
      <c r="V102" s="640">
        <v>5.6084375</v>
      </c>
      <c r="W102" s="640">
        <v>0</v>
      </c>
      <c r="X102" s="640">
        <v>19.145306286774794</v>
      </c>
      <c r="Y102" s="640">
        <v>5.0171964416224535</v>
      </c>
      <c r="Z102" s="640">
        <v>0</v>
      </c>
      <c r="AA102" s="640">
        <v>0</v>
      </c>
      <c r="AB102" s="640">
        <v>0</v>
      </c>
      <c r="AC102" s="640">
        <v>0</v>
      </c>
      <c r="AD102" s="640">
        <v>0</v>
      </c>
      <c r="AE102" s="640">
        <v>0.55746627129138371</v>
      </c>
      <c r="AF102" s="640">
        <v>0</v>
      </c>
      <c r="AG102" s="640">
        <v>0</v>
      </c>
      <c r="AH102" s="640">
        <v>31.128531649795733</v>
      </c>
      <c r="AI102" s="640">
        <v>0</v>
      </c>
      <c r="AJ102" s="640">
        <v>0</v>
      </c>
      <c r="AK102" s="648">
        <v>61.456938149484365</v>
      </c>
    </row>
    <row r="103" spans="3:37" x14ac:dyDescent="0.2">
      <c r="C103" s="646" t="s">
        <v>76</v>
      </c>
      <c r="D103" s="640">
        <v>0</v>
      </c>
      <c r="E103" s="640">
        <v>0</v>
      </c>
      <c r="F103" s="640">
        <v>0</v>
      </c>
      <c r="G103" s="640">
        <v>3.9320361398527859</v>
      </c>
      <c r="H103" s="640">
        <v>0</v>
      </c>
      <c r="I103" s="640">
        <v>0</v>
      </c>
      <c r="J103" s="640">
        <v>0</v>
      </c>
      <c r="K103" s="640">
        <v>0</v>
      </c>
      <c r="L103" s="640">
        <v>0</v>
      </c>
      <c r="M103" s="640">
        <v>8.0245635507199722E-2</v>
      </c>
      <c r="N103" s="640">
        <v>0</v>
      </c>
      <c r="O103" s="640">
        <v>0</v>
      </c>
      <c r="P103" s="640">
        <v>40.722330861669313</v>
      </c>
      <c r="Q103" s="640">
        <v>3.067587727965682</v>
      </c>
      <c r="R103" s="640">
        <v>0</v>
      </c>
      <c r="S103" s="648">
        <v>47.802200364994981</v>
      </c>
      <c r="U103" s="646" t="s">
        <v>76</v>
      </c>
      <c r="V103" s="640">
        <v>0</v>
      </c>
      <c r="W103" s="640">
        <v>0</v>
      </c>
      <c r="X103" s="640">
        <v>0</v>
      </c>
      <c r="Y103" s="640">
        <v>3.2661405451259231</v>
      </c>
      <c r="Z103" s="640">
        <v>0</v>
      </c>
      <c r="AA103" s="640">
        <v>0</v>
      </c>
      <c r="AB103" s="640">
        <v>0</v>
      </c>
      <c r="AC103" s="640">
        <v>0</v>
      </c>
      <c r="AD103" s="640">
        <v>0</v>
      </c>
      <c r="AE103" s="640">
        <v>0.36290450501399146</v>
      </c>
      <c r="AF103" s="640">
        <v>0</v>
      </c>
      <c r="AG103" s="640">
        <v>0</v>
      </c>
      <c r="AH103" s="640">
        <v>41.021033770751153</v>
      </c>
      <c r="AI103" s="640">
        <v>5.1842177504327198</v>
      </c>
      <c r="AJ103" s="640">
        <v>0</v>
      </c>
      <c r="AK103" s="648">
        <v>49.83429657132379</v>
      </c>
    </row>
    <row r="104" spans="3:37" x14ac:dyDescent="0.2">
      <c r="C104" s="644" t="s">
        <v>77</v>
      </c>
      <c r="D104" s="645">
        <v>42.670287594150253</v>
      </c>
      <c r="E104" s="645">
        <v>543.58592423347193</v>
      </c>
      <c r="F104" s="645">
        <v>-505.27054203728642</v>
      </c>
      <c r="G104" s="645">
        <v>43.651536955186302</v>
      </c>
      <c r="H104" s="645">
        <v>1190.909090909091</v>
      </c>
      <c r="I104" s="645">
        <v>182.7291074592973</v>
      </c>
      <c r="J104" s="645">
        <v>90.391720844241689</v>
      </c>
      <c r="K104" s="645">
        <v>20.465410367143665</v>
      </c>
      <c r="L104" s="645">
        <v>-35.549865905347978</v>
      </c>
      <c r="M104" s="645">
        <v>-5.7591390219552938</v>
      </c>
      <c r="N104" s="645">
        <v>0</v>
      </c>
      <c r="O104" s="645">
        <v>5.2974013835997482</v>
      </c>
      <c r="P104" s="645">
        <v>-528.42224004688751</v>
      </c>
      <c r="Q104" s="645">
        <v>-36.463227585949021</v>
      </c>
      <c r="R104" s="645">
        <v>-0.71363666999870479</v>
      </c>
      <c r="S104" s="645">
        <v>1007.5218284787569</v>
      </c>
      <c r="U104" s="644" t="s">
        <v>77</v>
      </c>
      <c r="V104" s="645">
        <v>11.698923792177441</v>
      </c>
      <c r="W104" s="645">
        <v>418.96678903167981</v>
      </c>
      <c r="X104" s="645">
        <v>-387.18339834497311</v>
      </c>
      <c r="Y104" s="645">
        <v>75.148112962003211</v>
      </c>
      <c r="Z104" s="645">
        <v>1069.3939393939395</v>
      </c>
      <c r="AA104" s="645">
        <v>197.24910745929728</v>
      </c>
      <c r="AB104" s="645">
        <v>86.883130562246151</v>
      </c>
      <c r="AC104" s="645">
        <v>30.900823331372262</v>
      </c>
      <c r="AD104" s="645">
        <v>-49.654518519925347</v>
      </c>
      <c r="AE104" s="645">
        <v>-22.137761047546249</v>
      </c>
      <c r="AF104" s="645">
        <v>0</v>
      </c>
      <c r="AG104" s="645">
        <v>8.719548856576397</v>
      </c>
      <c r="AH104" s="645">
        <v>-515.91151940402369</v>
      </c>
      <c r="AI104" s="645">
        <v>-61.66120404388996</v>
      </c>
      <c r="AJ104" s="645">
        <v>-7.4600647069910382</v>
      </c>
      <c r="AK104" s="645">
        <v>854.95190932194248</v>
      </c>
    </row>
    <row r="105" spans="3:37" x14ac:dyDescent="0.2">
      <c r="C105" s="634"/>
      <c r="D105" s="634">
        <v>0</v>
      </c>
      <c r="E105" s="634">
        <v>0</v>
      </c>
      <c r="F105" s="634">
        <v>0</v>
      </c>
      <c r="G105" s="634">
        <v>0</v>
      </c>
      <c r="H105" s="634">
        <v>0</v>
      </c>
      <c r="I105" s="634">
        <v>0</v>
      </c>
      <c r="J105" s="634">
        <v>0</v>
      </c>
      <c r="K105" s="634">
        <v>0</v>
      </c>
      <c r="L105" s="634">
        <v>0</v>
      </c>
      <c r="M105" s="634">
        <v>0</v>
      </c>
      <c r="N105" s="634">
        <v>0</v>
      </c>
      <c r="O105" s="634">
        <v>0</v>
      </c>
      <c r="P105" s="634">
        <v>0</v>
      </c>
      <c r="Q105" s="634">
        <v>0</v>
      </c>
      <c r="R105" s="634">
        <v>0</v>
      </c>
      <c r="S105" s="634">
        <v>0</v>
      </c>
      <c r="U105" s="634"/>
      <c r="V105" s="634">
        <v>0</v>
      </c>
      <c r="W105" s="634">
        <v>0</v>
      </c>
      <c r="X105" s="634">
        <v>0</v>
      </c>
      <c r="Y105" s="634">
        <v>0</v>
      </c>
      <c r="Z105" s="634">
        <v>0</v>
      </c>
      <c r="AA105" s="634">
        <v>0</v>
      </c>
      <c r="AB105" s="634">
        <v>0</v>
      </c>
      <c r="AC105" s="634">
        <v>0</v>
      </c>
      <c r="AD105" s="634">
        <v>0</v>
      </c>
      <c r="AE105" s="634">
        <v>0</v>
      </c>
      <c r="AF105" s="634">
        <v>0</v>
      </c>
      <c r="AG105" s="634">
        <v>0</v>
      </c>
      <c r="AH105" s="634">
        <v>0</v>
      </c>
      <c r="AI105" s="634">
        <v>0</v>
      </c>
      <c r="AJ105" s="634">
        <v>0</v>
      </c>
      <c r="AK105" s="634">
        <v>0</v>
      </c>
    </row>
    <row r="106" spans="3:37" x14ac:dyDescent="0.2">
      <c r="C106" s="646" t="s">
        <v>78</v>
      </c>
      <c r="D106" s="640">
        <v>6.5032741679727843</v>
      </c>
      <c r="E106" s="640">
        <v>0</v>
      </c>
      <c r="F106" s="640">
        <v>25.052429385041094</v>
      </c>
      <c r="G106" s="640">
        <v>105.0474497029609</v>
      </c>
      <c r="H106" s="640">
        <v>0</v>
      </c>
      <c r="I106" s="640">
        <v>0</v>
      </c>
      <c r="J106" s="640">
        <v>18.534460646102772</v>
      </c>
      <c r="K106" s="640">
        <v>1.777675824710524</v>
      </c>
      <c r="L106" s="640">
        <v>0.85092246484375</v>
      </c>
      <c r="M106" s="640">
        <v>2.1625963554323833</v>
      </c>
      <c r="N106" s="640">
        <v>0</v>
      </c>
      <c r="O106" s="640">
        <v>3.8267455312152764E-4</v>
      </c>
      <c r="P106" s="640">
        <v>109.51907717242362</v>
      </c>
      <c r="Q106" s="640">
        <v>16.327213841854732</v>
      </c>
      <c r="R106" s="640">
        <v>0.36001684570312498</v>
      </c>
      <c r="S106" s="648">
        <v>286.13549908159882</v>
      </c>
      <c r="U106" s="646" t="s">
        <v>78</v>
      </c>
      <c r="V106" s="640">
        <v>0.86555588121413052</v>
      </c>
      <c r="W106" s="640">
        <v>0</v>
      </c>
      <c r="X106" s="640">
        <v>16.762295336222397</v>
      </c>
      <c r="Y106" s="640">
        <v>79.095876477460209</v>
      </c>
      <c r="Z106" s="640">
        <v>0</v>
      </c>
      <c r="AA106" s="640">
        <v>0</v>
      </c>
      <c r="AB106" s="640">
        <v>17.089093863910584</v>
      </c>
      <c r="AC106" s="640">
        <v>6.0070182825186862</v>
      </c>
      <c r="AD106" s="640">
        <v>1.13006109375</v>
      </c>
      <c r="AE106" s="640">
        <v>8.8072015710081235</v>
      </c>
      <c r="AF106" s="640">
        <v>0</v>
      </c>
      <c r="AG106" s="640">
        <v>3.8267455312152764E-4</v>
      </c>
      <c r="AH106" s="640">
        <v>130.4568218783393</v>
      </c>
      <c r="AI106" s="640">
        <v>20.327951659562498</v>
      </c>
      <c r="AJ106" s="640">
        <v>4.7486479492187499</v>
      </c>
      <c r="AK106" s="648">
        <v>285.29090666775784</v>
      </c>
    </row>
    <row r="107" spans="3:37" x14ac:dyDescent="0.2">
      <c r="C107" s="646" t="s">
        <v>79</v>
      </c>
      <c r="D107" s="640">
        <v>0</v>
      </c>
      <c r="E107" s="640">
        <v>0</v>
      </c>
      <c r="F107" s="640">
        <v>344.1701238998171</v>
      </c>
      <c r="G107" s="640">
        <v>14.686948049507158</v>
      </c>
      <c r="H107" s="640">
        <v>0</v>
      </c>
      <c r="I107" s="640">
        <v>0</v>
      </c>
      <c r="J107" s="640">
        <v>0</v>
      </c>
      <c r="K107" s="640">
        <v>0</v>
      </c>
      <c r="L107" s="640">
        <v>33.466916874810835</v>
      </c>
      <c r="M107" s="640">
        <v>0.29973363366341144</v>
      </c>
      <c r="N107" s="640">
        <v>0</v>
      </c>
      <c r="O107" s="640">
        <v>0</v>
      </c>
      <c r="P107" s="640">
        <v>30.235692409435519</v>
      </c>
      <c r="Q107" s="640">
        <v>0</v>
      </c>
      <c r="R107" s="640">
        <v>0.35361982429557981</v>
      </c>
      <c r="S107" s="648">
        <v>423.21303469152963</v>
      </c>
      <c r="U107" s="646" t="s">
        <v>79</v>
      </c>
      <c r="V107" s="640">
        <v>0</v>
      </c>
      <c r="W107" s="640">
        <v>0</v>
      </c>
      <c r="X107" s="640">
        <v>271.88041786379415</v>
      </c>
      <c r="Y107" s="640">
        <v>13.227335330391124</v>
      </c>
      <c r="Z107" s="640">
        <v>0</v>
      </c>
      <c r="AA107" s="640">
        <v>0</v>
      </c>
      <c r="AB107" s="640">
        <v>0</v>
      </c>
      <c r="AC107" s="640">
        <v>0</v>
      </c>
      <c r="AD107" s="640">
        <v>36.694869225102572</v>
      </c>
      <c r="AE107" s="640">
        <v>1.4697039255990136</v>
      </c>
      <c r="AF107" s="640">
        <v>0</v>
      </c>
      <c r="AG107" s="640">
        <v>0</v>
      </c>
      <c r="AH107" s="640">
        <v>34.641740873286757</v>
      </c>
      <c r="AI107" s="640">
        <v>0</v>
      </c>
      <c r="AJ107" s="640">
        <v>0.81877289536698361</v>
      </c>
      <c r="AK107" s="648">
        <v>358.73284011354053</v>
      </c>
    </row>
    <row r="108" spans="3:37" x14ac:dyDescent="0.2">
      <c r="C108" s="646" t="s">
        <v>80</v>
      </c>
      <c r="D108" s="640">
        <v>0</v>
      </c>
      <c r="E108" s="640">
        <v>0</v>
      </c>
      <c r="F108" s="640">
        <v>31.509183869953784</v>
      </c>
      <c r="G108" s="640">
        <v>103.72357678672635</v>
      </c>
      <c r="H108" s="640">
        <v>0</v>
      </c>
      <c r="I108" s="640">
        <v>0</v>
      </c>
      <c r="J108" s="640">
        <v>78.735270640359559</v>
      </c>
      <c r="K108" s="640">
        <v>0</v>
      </c>
      <c r="L108" s="640">
        <v>0</v>
      </c>
      <c r="M108" s="640">
        <v>2.1168076895250278</v>
      </c>
      <c r="N108" s="640">
        <v>41.43976216997369</v>
      </c>
      <c r="O108" s="640">
        <v>1.9317269815068459</v>
      </c>
      <c r="P108" s="640">
        <v>175.94122104806229</v>
      </c>
      <c r="Q108" s="640">
        <v>15.783130887728015</v>
      </c>
      <c r="R108" s="640">
        <v>0</v>
      </c>
      <c r="S108" s="648">
        <v>451.18068007383562</v>
      </c>
      <c r="U108" s="646" t="s">
        <v>80</v>
      </c>
      <c r="V108" s="640">
        <v>0</v>
      </c>
      <c r="W108" s="640">
        <v>0</v>
      </c>
      <c r="X108" s="640">
        <v>2.7574808042030705</v>
      </c>
      <c r="Y108" s="640">
        <v>67.24718580242552</v>
      </c>
      <c r="Z108" s="640">
        <v>0</v>
      </c>
      <c r="AA108" s="640">
        <v>0</v>
      </c>
      <c r="AB108" s="640">
        <v>71.925876784938879</v>
      </c>
      <c r="AC108" s="640">
        <v>0</v>
      </c>
      <c r="AD108" s="640">
        <v>0</v>
      </c>
      <c r="AE108" s="640">
        <v>7.4719095336028349</v>
      </c>
      <c r="AF108" s="640">
        <v>46.984438986784113</v>
      </c>
      <c r="AG108" s="640">
        <v>1.9327369863094026</v>
      </c>
      <c r="AH108" s="640">
        <v>159.87092870367675</v>
      </c>
      <c r="AI108" s="640">
        <v>32.787807198116425</v>
      </c>
      <c r="AJ108" s="640">
        <v>0</v>
      </c>
      <c r="AK108" s="648">
        <v>390.97836480005702</v>
      </c>
    </row>
    <row r="109" spans="3:37" x14ac:dyDescent="0.2">
      <c r="C109" s="646" t="s">
        <v>81</v>
      </c>
      <c r="D109" s="640">
        <v>0</v>
      </c>
      <c r="E109" s="640">
        <v>0</v>
      </c>
      <c r="F109" s="640">
        <v>13.089485167364064</v>
      </c>
      <c r="G109" s="640">
        <v>62.329787012805554</v>
      </c>
      <c r="H109" s="640">
        <v>0</v>
      </c>
      <c r="I109" s="640">
        <v>0</v>
      </c>
      <c r="J109" s="640">
        <v>3.5803203712753549</v>
      </c>
      <c r="K109" s="640">
        <v>2.4997359764460676E-2</v>
      </c>
      <c r="L109" s="640">
        <v>0</v>
      </c>
      <c r="M109" s="640">
        <v>1.2720364696490929</v>
      </c>
      <c r="N109" s="640">
        <v>8.0745890957481183</v>
      </c>
      <c r="O109" s="640">
        <v>0.83294326034961275</v>
      </c>
      <c r="P109" s="640">
        <v>131.24016316985416</v>
      </c>
      <c r="Q109" s="640">
        <v>4.3528828563662758</v>
      </c>
      <c r="R109" s="640">
        <v>0</v>
      </c>
      <c r="S109" s="648">
        <v>224.79720476317669</v>
      </c>
      <c r="U109" s="646" t="s">
        <v>81</v>
      </c>
      <c r="V109" s="640">
        <v>0</v>
      </c>
      <c r="W109" s="640">
        <v>0</v>
      </c>
      <c r="X109" s="640">
        <v>3.9119597768221439</v>
      </c>
      <c r="Y109" s="640">
        <v>38.3508738706755</v>
      </c>
      <c r="Z109" s="640">
        <v>0</v>
      </c>
      <c r="AA109" s="640">
        <v>0</v>
      </c>
      <c r="AB109" s="640">
        <v>7.8602291254253389</v>
      </c>
      <c r="AC109" s="640">
        <v>2.4997359764460676E-2</v>
      </c>
      <c r="AD109" s="640">
        <v>0</v>
      </c>
      <c r="AE109" s="640">
        <v>4.2612082078528335</v>
      </c>
      <c r="AF109" s="640">
        <v>14.106786738135797</v>
      </c>
      <c r="AG109" s="640">
        <v>1.7661272775976942</v>
      </c>
      <c r="AH109" s="640">
        <v>123.29032263862543</v>
      </c>
      <c r="AI109" s="640">
        <v>8.5454451862110297</v>
      </c>
      <c r="AJ109" s="640">
        <v>0</v>
      </c>
      <c r="AK109" s="648">
        <v>202.11795018111022</v>
      </c>
    </row>
    <row r="110" spans="3:37" x14ac:dyDescent="0.2">
      <c r="C110" s="646" t="s">
        <v>82</v>
      </c>
      <c r="D110" s="640">
        <v>0</v>
      </c>
      <c r="E110" s="640">
        <v>0</v>
      </c>
      <c r="F110" s="640">
        <v>33.167847610565538</v>
      </c>
      <c r="G110" s="640">
        <v>2.1624159537319825</v>
      </c>
      <c r="H110" s="640">
        <v>0</v>
      </c>
      <c r="I110" s="640">
        <v>0</v>
      </c>
      <c r="J110" s="640">
        <v>1.4487991994826963</v>
      </c>
      <c r="K110" s="640">
        <v>0</v>
      </c>
      <c r="L110" s="640">
        <v>2.4657875210358444</v>
      </c>
      <c r="M110" s="640">
        <v>4.4130937831264955E-2</v>
      </c>
      <c r="N110" s="640">
        <v>0</v>
      </c>
      <c r="O110" s="640">
        <v>8.4265288301735436E-2</v>
      </c>
      <c r="P110" s="640">
        <v>7.7746258142900144</v>
      </c>
      <c r="Q110" s="640">
        <v>0</v>
      </c>
      <c r="R110" s="640">
        <v>0</v>
      </c>
      <c r="S110" s="648">
        <v>47.147872325239064</v>
      </c>
      <c r="U110" s="646" t="s">
        <v>82</v>
      </c>
      <c r="V110" s="640">
        <v>0</v>
      </c>
      <c r="W110" s="640">
        <v>0</v>
      </c>
      <c r="X110" s="640">
        <v>27.0175910939627</v>
      </c>
      <c r="Y110" s="640">
        <v>2.3189520199147382</v>
      </c>
      <c r="Z110" s="640">
        <v>0</v>
      </c>
      <c r="AA110" s="640">
        <v>0</v>
      </c>
      <c r="AB110" s="640">
        <v>1.4487991994826963</v>
      </c>
      <c r="AC110" s="640">
        <v>0</v>
      </c>
      <c r="AD110" s="640">
        <v>9.9723689588186737</v>
      </c>
      <c r="AE110" s="640">
        <v>0.257661335546082</v>
      </c>
      <c r="AF110" s="640">
        <v>0</v>
      </c>
      <c r="AG110" s="640">
        <v>0.62518456969816016</v>
      </c>
      <c r="AH110" s="640">
        <v>7.8177780162568453</v>
      </c>
      <c r="AI110" s="640">
        <v>0</v>
      </c>
      <c r="AJ110" s="640">
        <v>0.17366238047171115</v>
      </c>
      <c r="AK110" s="648">
        <v>49.631997574151612</v>
      </c>
    </row>
    <row r="111" spans="3:37" x14ac:dyDescent="0.2">
      <c r="C111" s="646" t="s">
        <v>354</v>
      </c>
      <c r="D111" s="640">
        <v>0</v>
      </c>
      <c r="E111" s="640">
        <v>0</v>
      </c>
      <c r="F111" s="640">
        <v>0</v>
      </c>
      <c r="G111" s="640">
        <v>0</v>
      </c>
      <c r="H111" s="640">
        <v>0</v>
      </c>
      <c r="I111" s="640">
        <v>0</v>
      </c>
      <c r="J111" s="640">
        <v>0</v>
      </c>
      <c r="K111" s="640">
        <v>0</v>
      </c>
      <c r="L111" s="640">
        <v>0</v>
      </c>
      <c r="M111" s="640">
        <v>0</v>
      </c>
      <c r="N111" s="640">
        <v>0</v>
      </c>
      <c r="O111" s="640">
        <v>0</v>
      </c>
      <c r="P111" s="640">
        <v>0</v>
      </c>
      <c r="Q111" s="640">
        <v>0</v>
      </c>
      <c r="R111" s="640">
        <v>0</v>
      </c>
      <c r="S111" s="648">
        <v>0</v>
      </c>
      <c r="U111" s="646" t="s">
        <v>354</v>
      </c>
      <c r="V111" s="640">
        <v>0</v>
      </c>
      <c r="W111" s="640">
        <v>0</v>
      </c>
      <c r="X111" s="640">
        <v>0</v>
      </c>
      <c r="Y111" s="640">
        <v>0</v>
      </c>
      <c r="Z111" s="640">
        <v>0</v>
      </c>
      <c r="AA111" s="640">
        <v>0</v>
      </c>
      <c r="AB111" s="640">
        <v>0</v>
      </c>
      <c r="AC111" s="640">
        <v>0</v>
      </c>
      <c r="AD111" s="640">
        <v>0</v>
      </c>
      <c r="AE111" s="640">
        <v>0</v>
      </c>
      <c r="AF111" s="640">
        <v>0</v>
      </c>
      <c r="AG111" s="640">
        <v>0</v>
      </c>
      <c r="AH111" s="640">
        <v>0.6</v>
      </c>
      <c r="AI111" s="640">
        <v>0</v>
      </c>
      <c r="AJ111" s="640">
        <v>0</v>
      </c>
      <c r="AK111" s="648">
        <v>0.6</v>
      </c>
    </row>
    <row r="112" spans="3:37" x14ac:dyDescent="0.2">
      <c r="C112" s="644" t="s">
        <v>83</v>
      </c>
      <c r="D112" s="645">
        <v>6.5032741679727843</v>
      </c>
      <c r="E112" s="645">
        <v>0</v>
      </c>
      <c r="F112" s="645">
        <v>446.98906993274153</v>
      </c>
      <c r="G112" s="645">
        <v>287.95017750573197</v>
      </c>
      <c r="H112" s="645">
        <v>0</v>
      </c>
      <c r="I112" s="645">
        <v>0</v>
      </c>
      <c r="J112" s="645">
        <v>102.29885085722037</v>
      </c>
      <c r="K112" s="645">
        <v>1.8026731844749846</v>
      </c>
      <c r="L112" s="645">
        <v>36.783626860690426</v>
      </c>
      <c r="M112" s="645">
        <v>5.8953050861011809</v>
      </c>
      <c r="N112" s="645">
        <v>49.514351265721807</v>
      </c>
      <c r="O112" s="645">
        <v>2.8493182047113157</v>
      </c>
      <c r="P112" s="645">
        <v>454.71077961406559</v>
      </c>
      <c r="Q112" s="645">
        <v>36.463227585949028</v>
      </c>
      <c r="R112" s="645">
        <v>0.71363666999870479</v>
      </c>
      <c r="S112" s="645">
        <v>1432.4742909353797</v>
      </c>
      <c r="U112" s="644" t="s">
        <v>83</v>
      </c>
      <c r="V112" s="645">
        <v>0.86555588121413052</v>
      </c>
      <c r="W112" s="645">
        <v>0</v>
      </c>
      <c r="X112" s="645">
        <v>322.32974487500439</v>
      </c>
      <c r="Y112" s="645">
        <v>200.24022350086713</v>
      </c>
      <c r="Z112" s="645">
        <v>0</v>
      </c>
      <c r="AA112" s="645">
        <v>0</v>
      </c>
      <c r="AB112" s="645">
        <v>98.323998973757497</v>
      </c>
      <c r="AC112" s="645">
        <v>6.032015642283147</v>
      </c>
      <c r="AD112" s="645">
        <v>47.797299277671243</v>
      </c>
      <c r="AE112" s="645">
        <v>22.267684573608886</v>
      </c>
      <c r="AF112" s="645">
        <v>61.091225724919909</v>
      </c>
      <c r="AG112" s="645">
        <v>4.3244315081583782</v>
      </c>
      <c r="AH112" s="645">
        <v>456.67759211018512</v>
      </c>
      <c r="AI112" s="645">
        <v>61.66120404388996</v>
      </c>
      <c r="AJ112" s="645">
        <v>5.7410832250574444</v>
      </c>
      <c r="AK112" s="645">
        <v>1287.352059336617</v>
      </c>
    </row>
    <row r="113" spans="3:37" x14ac:dyDescent="0.2">
      <c r="C113" s="639" t="s">
        <v>84</v>
      </c>
      <c r="D113" s="640">
        <v>0</v>
      </c>
      <c r="E113" s="640">
        <v>0</v>
      </c>
      <c r="F113" s="640">
        <v>120.50577840542185</v>
      </c>
      <c r="G113" s="640">
        <v>12.411293173801123</v>
      </c>
      <c r="H113" s="640">
        <v>0</v>
      </c>
      <c r="I113" s="640">
        <v>0</v>
      </c>
      <c r="J113" s="640">
        <v>0</v>
      </c>
      <c r="K113" s="640">
        <v>0</v>
      </c>
      <c r="L113" s="640">
        <v>0</v>
      </c>
      <c r="M113" s="640">
        <v>0</v>
      </c>
      <c r="N113" s="640">
        <v>0</v>
      </c>
      <c r="O113" s="640">
        <v>0</v>
      </c>
      <c r="P113" s="640">
        <v>0</v>
      </c>
      <c r="Q113" s="640">
        <v>0</v>
      </c>
      <c r="R113" s="640">
        <v>0</v>
      </c>
      <c r="S113" s="648">
        <v>132.91707157922298</v>
      </c>
      <c r="U113" s="639" t="s">
        <v>84</v>
      </c>
      <c r="V113" s="640">
        <v>0</v>
      </c>
      <c r="W113" s="640">
        <v>0</v>
      </c>
      <c r="X113" s="640">
        <v>117.28279502427566</v>
      </c>
      <c r="Y113" s="640">
        <v>1.8168604665649504</v>
      </c>
      <c r="Z113" s="640">
        <v>0</v>
      </c>
      <c r="AA113" s="640">
        <v>0</v>
      </c>
      <c r="AB113" s="640">
        <v>0</v>
      </c>
      <c r="AC113" s="640">
        <v>0</v>
      </c>
      <c r="AD113" s="640">
        <v>0.35207966308593752</v>
      </c>
      <c r="AE113" s="640">
        <v>0</v>
      </c>
      <c r="AF113" s="640">
        <v>0</v>
      </c>
      <c r="AG113" s="640">
        <v>0</v>
      </c>
      <c r="AH113" s="640">
        <v>0</v>
      </c>
      <c r="AI113" s="640">
        <v>0</v>
      </c>
      <c r="AJ113" s="640">
        <v>1.7189814819335938</v>
      </c>
      <c r="AK113" s="648">
        <v>121.17071663586013</v>
      </c>
    </row>
    <row r="114" spans="3:37" x14ac:dyDescent="0.2">
      <c r="C114" s="644" t="s">
        <v>85</v>
      </c>
      <c r="D114" s="645">
        <v>6.5032741679727843</v>
      </c>
      <c r="E114" s="645">
        <v>0</v>
      </c>
      <c r="F114" s="645">
        <v>567.49484833816337</v>
      </c>
      <c r="G114" s="645">
        <v>300.36147067953311</v>
      </c>
      <c r="H114" s="645">
        <v>0</v>
      </c>
      <c r="I114" s="645">
        <v>0</v>
      </c>
      <c r="J114" s="645">
        <v>102.29885085722037</v>
      </c>
      <c r="K114" s="645">
        <v>1.8026731844749846</v>
      </c>
      <c r="L114" s="645">
        <v>36.783626860690426</v>
      </c>
      <c r="M114" s="645">
        <v>5.8953050861011809</v>
      </c>
      <c r="N114" s="645">
        <v>49.514351265721807</v>
      </c>
      <c r="O114" s="645">
        <v>2.8493182047113157</v>
      </c>
      <c r="P114" s="645">
        <v>454.71077961406559</v>
      </c>
      <c r="Q114" s="645">
        <v>36.463227585949028</v>
      </c>
      <c r="R114" s="645">
        <v>0.71363666999870479</v>
      </c>
      <c r="S114" s="645">
        <v>1565.3913625146026</v>
      </c>
      <c r="U114" s="644" t="s">
        <v>85</v>
      </c>
      <c r="V114" s="645">
        <v>0.86555588121413052</v>
      </c>
      <c r="W114" s="645">
        <v>0</v>
      </c>
      <c r="X114" s="645">
        <v>439.61253989928008</v>
      </c>
      <c r="Y114" s="645">
        <v>202.05708396743208</v>
      </c>
      <c r="Z114" s="645">
        <v>0</v>
      </c>
      <c r="AA114" s="645">
        <v>0</v>
      </c>
      <c r="AB114" s="645">
        <v>98.323998973757497</v>
      </c>
      <c r="AC114" s="645">
        <v>6.032015642283147</v>
      </c>
      <c r="AD114" s="645">
        <v>48.149378940757181</v>
      </c>
      <c r="AE114" s="645">
        <v>22.267684573608886</v>
      </c>
      <c r="AF114" s="645">
        <v>61.091225724919909</v>
      </c>
      <c r="AG114" s="645">
        <v>4.3244315081583782</v>
      </c>
      <c r="AH114" s="645">
        <v>456.67759211018512</v>
      </c>
      <c r="AI114" s="645">
        <v>61.66120404388996</v>
      </c>
      <c r="AJ114" s="645">
        <v>7.4600647069910382</v>
      </c>
      <c r="AK114" s="645">
        <v>1408.5227759724771</v>
      </c>
    </row>
    <row r="115" spans="3:37" x14ac:dyDescent="0.2">
      <c r="C115" s="634"/>
      <c r="D115" s="634"/>
      <c r="E115" s="634"/>
      <c r="F115" s="634"/>
      <c r="G115" s="634"/>
      <c r="H115" s="634"/>
      <c r="I115" s="634"/>
      <c r="J115" s="634"/>
      <c r="K115" s="634"/>
      <c r="L115" s="634"/>
      <c r="M115" s="634"/>
      <c r="N115" s="634"/>
      <c r="O115" s="634"/>
      <c r="P115" s="634"/>
      <c r="Q115" s="634"/>
      <c r="R115" s="634"/>
      <c r="S115" s="634"/>
      <c r="U115" s="634"/>
      <c r="V115" s="634"/>
      <c r="W115" s="634"/>
      <c r="X115" s="634"/>
      <c r="Y115" s="634"/>
      <c r="Z115" s="634"/>
      <c r="AA115" s="634"/>
      <c r="AB115" s="634"/>
      <c r="AC115" s="634"/>
      <c r="AD115" s="634"/>
      <c r="AE115" s="634"/>
      <c r="AF115" s="634"/>
      <c r="AG115" s="634"/>
      <c r="AH115" s="634"/>
      <c r="AI115" s="634"/>
      <c r="AJ115" s="634"/>
      <c r="AK115" s="634"/>
    </row>
    <row r="116" spans="3:37" ht="22.5" x14ac:dyDescent="0.3">
      <c r="C116" s="759" t="s">
        <v>357</v>
      </c>
      <c r="D116" s="759"/>
      <c r="E116" s="759"/>
      <c r="F116" s="759"/>
      <c r="G116" s="759"/>
      <c r="H116" s="759"/>
      <c r="I116" s="759"/>
      <c r="J116" s="759"/>
      <c r="K116" s="759"/>
      <c r="L116" s="759"/>
      <c r="M116" s="759"/>
      <c r="N116" s="759"/>
      <c r="O116" s="759"/>
      <c r="P116" s="759"/>
      <c r="Q116" s="759"/>
      <c r="R116" s="759"/>
      <c r="S116" s="759"/>
      <c r="U116" s="759" t="s">
        <v>357</v>
      </c>
      <c r="V116" s="759"/>
      <c r="W116" s="759"/>
      <c r="X116" s="759"/>
      <c r="Y116" s="759"/>
      <c r="Z116" s="759"/>
      <c r="AA116" s="759"/>
      <c r="AB116" s="759"/>
      <c r="AC116" s="759"/>
      <c r="AD116" s="759"/>
      <c r="AE116" s="759"/>
      <c r="AF116" s="759"/>
      <c r="AG116" s="759"/>
      <c r="AH116" s="759"/>
      <c r="AI116" s="759"/>
      <c r="AJ116" s="759"/>
      <c r="AK116" s="759"/>
    </row>
    <row r="117" spans="3:37" x14ac:dyDescent="0.2">
      <c r="C117" s="634"/>
      <c r="D117" s="634"/>
      <c r="E117" s="634"/>
      <c r="F117" s="634"/>
      <c r="G117" s="634"/>
      <c r="H117" s="634"/>
      <c r="I117" s="634"/>
      <c r="J117" s="634"/>
      <c r="K117" s="634"/>
      <c r="L117" s="634"/>
      <c r="M117" s="634"/>
      <c r="N117" s="634"/>
      <c r="O117" s="634"/>
      <c r="P117" s="634"/>
      <c r="Q117" s="634"/>
      <c r="R117" s="634"/>
      <c r="S117" s="634"/>
      <c r="U117" s="634"/>
      <c r="V117" s="634"/>
      <c r="W117" s="634"/>
      <c r="X117" s="634"/>
      <c r="Y117" s="634"/>
      <c r="Z117" s="634"/>
      <c r="AA117" s="634"/>
      <c r="AB117" s="634"/>
      <c r="AC117" s="634"/>
      <c r="AD117" s="634"/>
      <c r="AE117" s="634"/>
      <c r="AF117" s="634"/>
      <c r="AG117" s="634"/>
      <c r="AH117" s="634"/>
      <c r="AI117" s="634"/>
      <c r="AJ117" s="634"/>
      <c r="AK117" s="634"/>
    </row>
    <row r="118" spans="3:37" ht="12.95" customHeight="1" x14ac:dyDescent="0.2">
      <c r="C118" s="758" t="s">
        <v>128</v>
      </c>
      <c r="D118" s="757" t="s">
        <v>42</v>
      </c>
      <c r="E118" s="757" t="s">
        <v>52</v>
      </c>
      <c r="F118" s="757" t="s">
        <v>53</v>
      </c>
      <c r="G118" s="757" t="s">
        <v>32</v>
      </c>
      <c r="H118" s="757" t="s">
        <v>20</v>
      </c>
      <c r="I118" s="757" t="s">
        <v>55</v>
      </c>
      <c r="J118" s="757" t="s">
        <v>56</v>
      </c>
      <c r="K118" s="757"/>
      <c r="L118" s="757"/>
      <c r="M118" s="757"/>
      <c r="N118" s="757"/>
      <c r="O118" s="757"/>
      <c r="P118" s="757" t="s">
        <v>57</v>
      </c>
      <c r="Q118" s="757" t="s">
        <v>58</v>
      </c>
      <c r="R118" s="757" t="s">
        <v>31</v>
      </c>
      <c r="S118" s="757" t="s">
        <v>10</v>
      </c>
      <c r="U118" s="758" t="s">
        <v>128</v>
      </c>
      <c r="V118" s="757" t="s">
        <v>42</v>
      </c>
      <c r="W118" s="757" t="s">
        <v>52</v>
      </c>
      <c r="X118" s="757" t="s">
        <v>53</v>
      </c>
      <c r="Y118" s="757" t="s">
        <v>32</v>
      </c>
      <c r="Z118" s="757" t="s">
        <v>20</v>
      </c>
      <c r="AA118" s="757" t="s">
        <v>55</v>
      </c>
      <c r="AB118" s="757" t="s">
        <v>56</v>
      </c>
      <c r="AC118" s="757"/>
      <c r="AD118" s="757"/>
      <c r="AE118" s="757"/>
      <c r="AF118" s="757"/>
      <c r="AG118" s="757"/>
      <c r="AH118" s="757" t="s">
        <v>57</v>
      </c>
      <c r="AI118" s="757" t="s">
        <v>58</v>
      </c>
      <c r="AJ118" s="757" t="s">
        <v>31</v>
      </c>
      <c r="AK118" s="757" t="s">
        <v>10</v>
      </c>
    </row>
    <row r="119" spans="3:37" ht="56.25" x14ac:dyDescent="0.2">
      <c r="C119" s="758"/>
      <c r="D119" s="757"/>
      <c r="E119" s="757"/>
      <c r="F119" s="757"/>
      <c r="G119" s="757"/>
      <c r="H119" s="757"/>
      <c r="I119" s="757"/>
      <c r="J119" s="638" t="s">
        <v>335</v>
      </c>
      <c r="K119" s="638" t="s">
        <v>40</v>
      </c>
      <c r="L119" s="638" t="s">
        <v>343</v>
      </c>
      <c r="M119" s="638" t="s">
        <v>344</v>
      </c>
      <c r="N119" s="638" t="s">
        <v>345</v>
      </c>
      <c r="O119" s="638" t="s">
        <v>346</v>
      </c>
      <c r="P119" s="757"/>
      <c r="Q119" s="757"/>
      <c r="R119" s="757"/>
      <c r="S119" s="757"/>
      <c r="U119" s="758"/>
      <c r="V119" s="757"/>
      <c r="W119" s="757"/>
      <c r="X119" s="757"/>
      <c r="Y119" s="757"/>
      <c r="Z119" s="757"/>
      <c r="AA119" s="757"/>
      <c r="AB119" s="638" t="s">
        <v>335</v>
      </c>
      <c r="AC119" s="638" t="s">
        <v>40</v>
      </c>
      <c r="AD119" s="638" t="s">
        <v>343</v>
      </c>
      <c r="AE119" s="638" t="s">
        <v>344</v>
      </c>
      <c r="AF119" s="638" t="s">
        <v>345</v>
      </c>
      <c r="AG119" s="638" t="s">
        <v>346</v>
      </c>
      <c r="AH119" s="757"/>
      <c r="AI119" s="757"/>
      <c r="AJ119" s="757"/>
      <c r="AK119" s="757"/>
    </row>
    <row r="120" spans="3:37" x14ac:dyDescent="0.2">
      <c r="C120" s="639" t="s">
        <v>59</v>
      </c>
      <c r="D120" s="640">
        <v>0</v>
      </c>
      <c r="E120" s="641">
        <v>7.3966799999999999</v>
      </c>
      <c r="F120" s="641">
        <v>0</v>
      </c>
      <c r="G120" s="640">
        <v>0.13025600000000001</v>
      </c>
      <c r="H120" s="641">
        <v>1121.3636363636365</v>
      </c>
      <c r="I120" s="641">
        <v>207.57369132422022</v>
      </c>
      <c r="J120" s="641">
        <v>190.75115787672021</v>
      </c>
      <c r="K120" s="641">
        <v>21.756321957796004</v>
      </c>
      <c r="L120" s="641">
        <v>0.34997737871272444</v>
      </c>
      <c r="M120" s="641">
        <v>0.14846473955328648</v>
      </c>
      <c r="N120" s="641">
        <v>54.409714472774652</v>
      </c>
      <c r="O120" s="641">
        <v>8.1015620286034657</v>
      </c>
      <c r="P120" s="642">
        <v>0</v>
      </c>
      <c r="Q120" s="641">
        <v>0</v>
      </c>
      <c r="R120" s="641">
        <v>0</v>
      </c>
      <c r="S120" s="643">
        <v>1611.9814621420169</v>
      </c>
      <c r="U120" s="639" t="s">
        <v>59</v>
      </c>
      <c r="V120" s="640">
        <v>0</v>
      </c>
      <c r="W120" s="641">
        <v>7.3966799999999999</v>
      </c>
      <c r="X120" s="641">
        <v>0</v>
      </c>
      <c r="Y120" s="640">
        <v>0.13025600000000001</v>
      </c>
      <c r="Z120" s="641">
        <v>1024.3939393939395</v>
      </c>
      <c r="AA120" s="641">
        <v>228.1236913242202</v>
      </c>
      <c r="AB120" s="641">
        <v>188.80425896422437</v>
      </c>
      <c r="AC120" s="641">
        <v>37.588366510920622</v>
      </c>
      <c r="AD120" s="641">
        <v>0.34997737871272444</v>
      </c>
      <c r="AE120" s="641">
        <v>0.14846473955328648</v>
      </c>
      <c r="AF120" s="641">
        <v>70.498567758341522</v>
      </c>
      <c r="AG120" s="641">
        <v>15.201618538088493</v>
      </c>
      <c r="AH120" s="642">
        <v>0</v>
      </c>
      <c r="AI120" s="641">
        <v>0</v>
      </c>
      <c r="AJ120" s="641">
        <v>0</v>
      </c>
      <c r="AK120" s="643">
        <v>1572.6358206080006</v>
      </c>
    </row>
    <row r="121" spans="3:37" x14ac:dyDescent="0.2">
      <c r="C121" s="639" t="s">
        <v>60</v>
      </c>
      <c r="D121" s="640">
        <v>48.993463204278932</v>
      </c>
      <c r="E121" s="641">
        <v>524.37115290345116</v>
      </c>
      <c r="F121" s="641">
        <v>128.47715148642752</v>
      </c>
      <c r="G121" s="640">
        <v>338.60190682175607</v>
      </c>
      <c r="H121" s="641">
        <v>0</v>
      </c>
      <c r="I121" s="641">
        <v>0</v>
      </c>
      <c r="J121" s="641">
        <v>3.4492102766833175</v>
      </c>
      <c r="K121" s="641">
        <v>0</v>
      </c>
      <c r="L121" s="641">
        <v>1.9497058389942057</v>
      </c>
      <c r="M121" s="641">
        <v>0</v>
      </c>
      <c r="N121" s="641">
        <v>0</v>
      </c>
      <c r="O121" s="641">
        <v>0</v>
      </c>
      <c r="P121" s="642">
        <v>0</v>
      </c>
      <c r="Q121" s="641">
        <v>0</v>
      </c>
      <c r="R121" s="641">
        <v>0</v>
      </c>
      <c r="S121" s="643">
        <v>1045.8425905315912</v>
      </c>
      <c r="U121" s="639" t="s">
        <v>60</v>
      </c>
      <c r="V121" s="640">
        <v>10.847134235204434</v>
      </c>
      <c r="W121" s="641">
        <v>365.76498082844296</v>
      </c>
      <c r="X121" s="641">
        <v>91.958139733680838</v>
      </c>
      <c r="Y121" s="640">
        <v>234.76100914366791</v>
      </c>
      <c r="Z121" s="641">
        <v>0</v>
      </c>
      <c r="AA121" s="641">
        <v>0</v>
      </c>
      <c r="AB121" s="641">
        <v>3.4492102766833175</v>
      </c>
      <c r="AC121" s="641">
        <v>0</v>
      </c>
      <c r="AD121" s="641">
        <v>1.9497058389942057</v>
      </c>
      <c r="AE121" s="641">
        <v>0</v>
      </c>
      <c r="AF121" s="641">
        <v>0</v>
      </c>
      <c r="AG121" s="641">
        <v>0</v>
      </c>
      <c r="AH121" s="642">
        <v>0</v>
      </c>
      <c r="AI121" s="641">
        <v>0</v>
      </c>
      <c r="AJ121" s="641">
        <v>0</v>
      </c>
      <c r="AK121" s="643">
        <v>708.7301800566737</v>
      </c>
    </row>
    <row r="122" spans="3:37" x14ac:dyDescent="0.2">
      <c r="C122" s="639" t="s">
        <v>61</v>
      </c>
      <c r="D122" s="640">
        <v>0</v>
      </c>
      <c r="E122" s="641">
        <v>0</v>
      </c>
      <c r="F122" s="641">
        <v>0</v>
      </c>
      <c r="G122" s="640">
        <v>0</v>
      </c>
      <c r="H122" s="641">
        <v>0</v>
      </c>
      <c r="I122" s="641">
        <v>0</v>
      </c>
      <c r="J122" s="641">
        <v>0</v>
      </c>
      <c r="K122" s="641">
        <v>0</v>
      </c>
      <c r="L122" s="641">
        <v>0</v>
      </c>
      <c r="M122" s="641">
        <v>0</v>
      </c>
      <c r="N122" s="641">
        <v>0</v>
      </c>
      <c r="O122" s="641">
        <v>0</v>
      </c>
      <c r="P122" s="642">
        <v>-60.003896317889257</v>
      </c>
      <c r="Q122" s="641">
        <v>0</v>
      </c>
      <c r="R122" s="641">
        <v>0</v>
      </c>
      <c r="S122" s="643">
        <v>-60.003896317889257</v>
      </c>
      <c r="U122" s="639" t="s">
        <v>61</v>
      </c>
      <c r="V122" s="640">
        <v>0</v>
      </c>
      <c r="W122" s="641">
        <v>0</v>
      </c>
      <c r="X122" s="641">
        <v>0</v>
      </c>
      <c r="Y122" s="640">
        <v>0</v>
      </c>
      <c r="Z122" s="641">
        <v>0</v>
      </c>
      <c r="AA122" s="641">
        <v>0</v>
      </c>
      <c r="AB122" s="641">
        <v>0</v>
      </c>
      <c r="AC122" s="641">
        <v>0</v>
      </c>
      <c r="AD122" s="641">
        <v>0</v>
      </c>
      <c r="AE122" s="641">
        <v>0</v>
      </c>
      <c r="AF122" s="641">
        <v>0</v>
      </c>
      <c r="AG122" s="641">
        <v>0</v>
      </c>
      <c r="AH122" s="642">
        <v>-43.289743938015249</v>
      </c>
      <c r="AI122" s="641">
        <v>0</v>
      </c>
      <c r="AJ122" s="641">
        <v>0</v>
      </c>
      <c r="AK122" s="643">
        <v>-43.289743938015249</v>
      </c>
    </row>
    <row r="123" spans="3:37" x14ac:dyDescent="0.2">
      <c r="C123" s="639" t="s">
        <v>62</v>
      </c>
      <c r="D123" s="640">
        <v>0</v>
      </c>
      <c r="E123" s="641">
        <v>0</v>
      </c>
      <c r="F123" s="641">
        <v>-16.352432750095883</v>
      </c>
      <c r="G123" s="640">
        <v>0</v>
      </c>
      <c r="H123" s="641">
        <v>0</v>
      </c>
      <c r="I123" s="641">
        <v>0</v>
      </c>
      <c r="J123" s="641">
        <v>0</v>
      </c>
      <c r="K123" s="641">
        <v>0</v>
      </c>
      <c r="L123" s="641">
        <v>0</v>
      </c>
      <c r="M123" s="641">
        <v>0</v>
      </c>
      <c r="N123" s="641">
        <v>0</v>
      </c>
      <c r="O123" s="641">
        <v>0</v>
      </c>
      <c r="P123" s="642">
        <v>0</v>
      </c>
      <c r="Q123" s="641">
        <v>0</v>
      </c>
      <c r="R123" s="641">
        <v>0</v>
      </c>
      <c r="S123" s="643">
        <v>-16.352432750095883</v>
      </c>
      <c r="U123" s="639" t="s">
        <v>62</v>
      </c>
      <c r="V123" s="640">
        <v>0</v>
      </c>
      <c r="W123" s="641">
        <v>0</v>
      </c>
      <c r="X123" s="641">
        <v>-14.208433022133823</v>
      </c>
      <c r="Y123" s="640">
        <v>-0.95675088928507923</v>
      </c>
      <c r="Z123" s="641">
        <v>0</v>
      </c>
      <c r="AA123" s="641">
        <v>0</v>
      </c>
      <c r="AB123" s="641">
        <v>0</v>
      </c>
      <c r="AC123" s="641">
        <v>0</v>
      </c>
      <c r="AD123" s="641">
        <v>0</v>
      </c>
      <c r="AE123" s="641">
        <v>-0.16736955973660289</v>
      </c>
      <c r="AF123" s="641">
        <v>0</v>
      </c>
      <c r="AG123" s="641">
        <v>0</v>
      </c>
      <c r="AH123" s="642">
        <v>0</v>
      </c>
      <c r="AI123" s="641">
        <v>0</v>
      </c>
      <c r="AJ123" s="641">
        <v>0</v>
      </c>
      <c r="AK123" s="643">
        <v>-15.332553471155505</v>
      </c>
    </row>
    <row r="124" spans="3:37" x14ac:dyDescent="0.2">
      <c r="C124" s="639" t="s">
        <v>63</v>
      </c>
      <c r="D124" s="640">
        <v>0</v>
      </c>
      <c r="E124" s="641">
        <v>0</v>
      </c>
      <c r="F124" s="641">
        <v>-82.364123594751035</v>
      </c>
      <c r="G124" s="640">
        <v>0</v>
      </c>
      <c r="H124" s="641">
        <v>0</v>
      </c>
      <c r="I124" s="641">
        <v>0</v>
      </c>
      <c r="J124" s="641">
        <v>0</v>
      </c>
      <c r="K124" s="641">
        <v>0</v>
      </c>
      <c r="L124" s="641">
        <v>-0.84952974503182688</v>
      </c>
      <c r="M124" s="641">
        <v>0</v>
      </c>
      <c r="N124" s="641">
        <v>0</v>
      </c>
      <c r="O124" s="641">
        <v>0</v>
      </c>
      <c r="P124" s="642">
        <v>0</v>
      </c>
      <c r="Q124" s="641">
        <v>0</v>
      </c>
      <c r="R124" s="641">
        <v>0</v>
      </c>
      <c r="S124" s="643">
        <v>-83.213653339782866</v>
      </c>
      <c r="U124" s="639" t="s">
        <v>63</v>
      </c>
      <c r="V124" s="640">
        <v>0</v>
      </c>
      <c r="W124" s="641">
        <v>0</v>
      </c>
      <c r="X124" s="641">
        <v>-71.599112277853877</v>
      </c>
      <c r="Y124" s="640">
        <v>0</v>
      </c>
      <c r="Z124" s="641">
        <v>0</v>
      </c>
      <c r="AA124" s="641">
        <v>0</v>
      </c>
      <c r="AB124" s="641">
        <v>0</v>
      </c>
      <c r="AC124" s="641">
        <v>0</v>
      </c>
      <c r="AD124" s="641">
        <v>-10.622786066784549</v>
      </c>
      <c r="AE124" s="641">
        <v>0</v>
      </c>
      <c r="AF124" s="641">
        <v>0</v>
      </c>
      <c r="AG124" s="641">
        <v>0</v>
      </c>
      <c r="AH124" s="642">
        <v>0</v>
      </c>
      <c r="AI124" s="641">
        <v>0</v>
      </c>
      <c r="AJ124" s="641">
        <v>0</v>
      </c>
      <c r="AK124" s="643">
        <v>-82.221898344638419</v>
      </c>
    </row>
    <row r="125" spans="3:37" x14ac:dyDescent="0.2">
      <c r="C125" s="639" t="s">
        <v>64</v>
      </c>
      <c r="D125" s="640">
        <v>0</v>
      </c>
      <c r="E125" s="641">
        <v>0</v>
      </c>
      <c r="F125" s="641">
        <v>0</v>
      </c>
      <c r="G125" s="640">
        <v>0</v>
      </c>
      <c r="H125" s="641">
        <v>0</v>
      </c>
      <c r="I125" s="641">
        <v>0</v>
      </c>
      <c r="J125" s="641">
        <v>0</v>
      </c>
      <c r="K125" s="641">
        <v>0</v>
      </c>
      <c r="L125" s="641">
        <v>0</v>
      </c>
      <c r="M125" s="641">
        <v>0</v>
      </c>
      <c r="N125" s="641">
        <v>0</v>
      </c>
      <c r="O125" s="641">
        <v>0</v>
      </c>
      <c r="P125" s="642">
        <v>0</v>
      </c>
      <c r="Q125" s="641">
        <v>0</v>
      </c>
      <c r="R125" s="641">
        <v>0</v>
      </c>
      <c r="S125" s="643">
        <v>0</v>
      </c>
      <c r="U125" s="639" t="s">
        <v>64</v>
      </c>
      <c r="V125" s="640">
        <v>0</v>
      </c>
      <c r="W125" s="641">
        <v>0</v>
      </c>
      <c r="X125" s="641">
        <v>0</v>
      </c>
      <c r="Y125" s="640">
        <v>0</v>
      </c>
      <c r="Z125" s="641">
        <v>0</v>
      </c>
      <c r="AA125" s="641">
        <v>0</v>
      </c>
      <c r="AB125" s="641">
        <v>0</v>
      </c>
      <c r="AC125" s="641">
        <v>0</v>
      </c>
      <c r="AD125" s="641">
        <v>0</v>
      </c>
      <c r="AE125" s="641">
        <v>0</v>
      </c>
      <c r="AF125" s="641">
        <v>0</v>
      </c>
      <c r="AG125" s="641">
        <v>0</v>
      </c>
      <c r="AH125" s="642">
        <v>0</v>
      </c>
      <c r="AI125" s="641">
        <v>0</v>
      </c>
      <c r="AJ125" s="641">
        <v>0</v>
      </c>
      <c r="AK125" s="643">
        <v>0</v>
      </c>
    </row>
    <row r="126" spans="3:37" x14ac:dyDescent="0.2">
      <c r="C126" s="644" t="s">
        <v>65</v>
      </c>
      <c r="D126" s="645">
        <v>48.993463204278932</v>
      </c>
      <c r="E126" s="645">
        <v>531.76783290345111</v>
      </c>
      <c r="F126" s="645">
        <v>29.760595141580591</v>
      </c>
      <c r="G126" s="645">
        <v>338.73216282175605</v>
      </c>
      <c r="H126" s="645">
        <v>1121.3636363636365</v>
      </c>
      <c r="I126" s="645">
        <v>207.57369132422022</v>
      </c>
      <c r="J126" s="645">
        <v>194.20036815340353</v>
      </c>
      <c r="K126" s="645">
        <v>21.756321957796004</v>
      </c>
      <c r="L126" s="645">
        <v>1.4501534726751033</v>
      </c>
      <c r="M126" s="645">
        <v>0.14846473955328648</v>
      </c>
      <c r="N126" s="645">
        <v>54.409714472774652</v>
      </c>
      <c r="O126" s="645">
        <v>8.1015620286034657</v>
      </c>
      <c r="P126" s="645">
        <v>-60.003896317889257</v>
      </c>
      <c r="Q126" s="645">
        <v>0</v>
      </c>
      <c r="R126" s="645">
        <v>0</v>
      </c>
      <c r="S126" s="645">
        <v>2498.2540702658398</v>
      </c>
      <c r="U126" s="644" t="s">
        <v>65</v>
      </c>
      <c r="V126" s="645">
        <v>10.847134235204434</v>
      </c>
      <c r="W126" s="645">
        <v>373.16166082844296</v>
      </c>
      <c r="X126" s="645">
        <v>6.1505944336931329</v>
      </c>
      <c r="Y126" s="645">
        <v>233.93451425438283</v>
      </c>
      <c r="Z126" s="645">
        <v>1024.3939393939395</v>
      </c>
      <c r="AA126" s="645">
        <v>228.1236913242202</v>
      </c>
      <c r="AB126" s="645">
        <v>192.25346924090769</v>
      </c>
      <c r="AC126" s="645">
        <v>37.588366510920622</v>
      </c>
      <c r="AD126" s="645">
        <v>-8.3231028490776193</v>
      </c>
      <c r="AE126" s="645">
        <v>-1.8904820183316406E-2</v>
      </c>
      <c r="AF126" s="645">
        <v>70.498567758341522</v>
      </c>
      <c r="AG126" s="645">
        <v>15.201618538088493</v>
      </c>
      <c r="AH126" s="645">
        <v>-43.289743938015249</v>
      </c>
      <c r="AI126" s="645">
        <v>0</v>
      </c>
      <c r="AJ126" s="645">
        <v>0</v>
      </c>
      <c r="AK126" s="645">
        <v>2140.5218049108653</v>
      </c>
    </row>
    <row r="127" spans="3:37" x14ac:dyDescent="0.2">
      <c r="C127" s="634"/>
      <c r="D127" s="634">
        <v>0</v>
      </c>
      <c r="E127" s="634">
        <v>0</v>
      </c>
      <c r="F127" s="634">
        <v>0</v>
      </c>
      <c r="G127" s="634">
        <v>0</v>
      </c>
      <c r="H127" s="634">
        <v>0</v>
      </c>
      <c r="I127" s="634">
        <v>0</v>
      </c>
      <c r="J127" s="634">
        <v>0</v>
      </c>
      <c r="K127" s="634">
        <v>0</v>
      </c>
      <c r="L127" s="634">
        <v>0</v>
      </c>
      <c r="M127" s="634">
        <v>0</v>
      </c>
      <c r="N127" s="634">
        <v>0</v>
      </c>
      <c r="O127" s="634">
        <v>0</v>
      </c>
      <c r="P127" s="634">
        <v>0</v>
      </c>
      <c r="Q127" s="634">
        <v>0</v>
      </c>
      <c r="R127" s="634">
        <v>0</v>
      </c>
      <c r="S127" s="634">
        <v>0</v>
      </c>
      <c r="U127" s="634"/>
      <c r="V127" s="634">
        <v>0</v>
      </c>
      <c r="W127" s="634">
        <v>0</v>
      </c>
      <c r="X127" s="634">
        <v>0</v>
      </c>
      <c r="Y127" s="634">
        <v>0</v>
      </c>
      <c r="Z127" s="634">
        <v>0</v>
      </c>
      <c r="AA127" s="634">
        <v>0</v>
      </c>
      <c r="AB127" s="634">
        <v>0</v>
      </c>
      <c r="AC127" s="634">
        <v>0</v>
      </c>
      <c r="AD127" s="634">
        <v>0</v>
      </c>
      <c r="AE127" s="634">
        <v>0</v>
      </c>
      <c r="AF127" s="634">
        <v>0</v>
      </c>
      <c r="AG127" s="634">
        <v>0</v>
      </c>
      <c r="AH127" s="634">
        <v>0</v>
      </c>
      <c r="AI127" s="634">
        <v>0</v>
      </c>
      <c r="AJ127" s="634">
        <v>0</v>
      </c>
      <c r="AK127" s="634">
        <v>0</v>
      </c>
    </row>
    <row r="128" spans="3:37" x14ac:dyDescent="0.2">
      <c r="C128" s="646" t="s">
        <v>67</v>
      </c>
      <c r="D128" s="640">
        <v>0</v>
      </c>
      <c r="E128" s="647">
        <v>0</v>
      </c>
      <c r="F128" s="647">
        <v>0</v>
      </c>
      <c r="G128" s="640">
        <v>0</v>
      </c>
      <c r="H128" s="640">
        <v>0</v>
      </c>
      <c r="I128" s="640">
        <v>0</v>
      </c>
      <c r="J128" s="640">
        <v>0</v>
      </c>
      <c r="K128" s="640">
        <v>0</v>
      </c>
      <c r="L128" s="640">
        <v>0</v>
      </c>
      <c r="M128" s="640">
        <v>0</v>
      </c>
      <c r="N128" s="640">
        <v>0</v>
      </c>
      <c r="O128" s="640">
        <v>0</v>
      </c>
      <c r="P128" s="640">
        <v>0</v>
      </c>
      <c r="Q128" s="640">
        <v>0</v>
      </c>
      <c r="R128" s="640">
        <v>0</v>
      </c>
      <c r="S128" s="648">
        <v>0</v>
      </c>
      <c r="U128" s="646" t="s">
        <v>67</v>
      </c>
      <c r="V128" s="640">
        <v>0</v>
      </c>
      <c r="W128" s="647">
        <v>0</v>
      </c>
      <c r="X128" s="647">
        <v>0</v>
      </c>
      <c r="Y128" s="640">
        <v>0</v>
      </c>
      <c r="Z128" s="640">
        <v>0</v>
      </c>
      <c r="AA128" s="640">
        <v>0</v>
      </c>
      <c r="AB128" s="640">
        <v>0</v>
      </c>
      <c r="AC128" s="640">
        <v>0</v>
      </c>
      <c r="AD128" s="640">
        <v>0</v>
      </c>
      <c r="AE128" s="640">
        <v>0</v>
      </c>
      <c r="AF128" s="640">
        <v>0</v>
      </c>
      <c r="AG128" s="640">
        <v>0</v>
      </c>
      <c r="AH128" s="640">
        <v>0</v>
      </c>
      <c r="AI128" s="640">
        <v>0</v>
      </c>
      <c r="AJ128" s="640">
        <v>0</v>
      </c>
      <c r="AK128" s="648">
        <v>0</v>
      </c>
    </row>
    <row r="129" spans="3:37" x14ac:dyDescent="0.2">
      <c r="C129" s="646" t="s">
        <v>347</v>
      </c>
      <c r="D129" s="640">
        <v>2.8267856410252494</v>
      </c>
      <c r="E129" s="640">
        <v>0</v>
      </c>
      <c r="F129" s="640">
        <v>7.7941116668718937</v>
      </c>
      <c r="G129" s="640">
        <v>17.578475336322871</v>
      </c>
      <c r="H129" s="640">
        <v>1121.3636363636365</v>
      </c>
      <c r="I129" s="640">
        <v>207.57369132422022</v>
      </c>
      <c r="J129" s="649">
        <v>30.869450548245954</v>
      </c>
      <c r="K129" s="649">
        <v>7.6561165469613854</v>
      </c>
      <c r="L129" s="649">
        <v>2.2996832177069302</v>
      </c>
      <c r="M129" s="649">
        <v>0.47494016865067573</v>
      </c>
      <c r="N129" s="649">
        <v>0</v>
      </c>
      <c r="O129" s="649">
        <v>3.0833964576427819</v>
      </c>
      <c r="P129" s="640">
        <v>-607.79183020434141</v>
      </c>
      <c r="Q129" s="640">
        <v>0</v>
      </c>
      <c r="R129" s="640">
        <v>0</v>
      </c>
      <c r="S129" s="648">
        <v>793.72845706694284</v>
      </c>
      <c r="U129" s="646" t="s">
        <v>347</v>
      </c>
      <c r="V129" s="640">
        <v>0.62631490545869017</v>
      </c>
      <c r="W129" s="640">
        <v>0</v>
      </c>
      <c r="X129" s="640">
        <v>3.93047530323553</v>
      </c>
      <c r="Y129" s="640">
        <v>32.755695067264575</v>
      </c>
      <c r="Z129" s="640">
        <v>1024.3939393939395</v>
      </c>
      <c r="AA129" s="640">
        <v>228.1236913242202</v>
      </c>
      <c r="AB129" s="649">
        <v>25.192532039575013</v>
      </c>
      <c r="AC129" s="649">
        <v>7.1226809684101786</v>
      </c>
      <c r="AD129" s="649">
        <v>2.2996832177069302</v>
      </c>
      <c r="AE129" s="649">
        <v>5.010724922013905</v>
      </c>
      <c r="AF129" s="649">
        <v>0</v>
      </c>
      <c r="AG129" s="649">
        <v>3.0833964576427819</v>
      </c>
      <c r="AH129" s="640">
        <v>-605.04183020434141</v>
      </c>
      <c r="AI129" s="640">
        <v>0</v>
      </c>
      <c r="AJ129" s="640">
        <v>1.4249999999999998</v>
      </c>
      <c r="AK129" s="648">
        <v>728.92230339512548</v>
      </c>
    </row>
    <row r="130" spans="3:37" x14ac:dyDescent="0.2">
      <c r="C130" s="646" t="s">
        <v>348</v>
      </c>
      <c r="D130" s="640">
        <v>0</v>
      </c>
      <c r="E130" s="640">
        <v>0</v>
      </c>
      <c r="F130" s="640">
        <v>0</v>
      </c>
      <c r="G130" s="640">
        <v>15.306890454029709</v>
      </c>
      <c r="H130" s="640">
        <v>0</v>
      </c>
      <c r="I130" s="640">
        <v>0</v>
      </c>
      <c r="J130" s="649">
        <v>13.130836985616687</v>
      </c>
      <c r="K130" s="649">
        <v>12.274327089138302</v>
      </c>
      <c r="L130" s="649">
        <v>0</v>
      </c>
      <c r="M130" s="649">
        <v>0.32594257421966627</v>
      </c>
      <c r="N130" s="649">
        <v>0</v>
      </c>
      <c r="O130" s="649">
        <v>2.1777173090422202</v>
      </c>
      <c r="P130" s="640">
        <v>0</v>
      </c>
      <c r="Q130" s="640">
        <v>-38.962978394907431</v>
      </c>
      <c r="R130" s="640">
        <v>0</v>
      </c>
      <c r="S130" s="648">
        <v>4.2527360171391511</v>
      </c>
      <c r="U130" s="646" t="s">
        <v>348</v>
      </c>
      <c r="V130" s="640">
        <v>0</v>
      </c>
      <c r="W130" s="640">
        <v>0</v>
      </c>
      <c r="X130" s="640">
        <v>0</v>
      </c>
      <c r="Y130" s="640">
        <v>16.285163933286896</v>
      </c>
      <c r="Z130" s="640">
        <v>0</v>
      </c>
      <c r="AA130" s="640">
        <v>0</v>
      </c>
      <c r="AB130" s="649">
        <v>27.330859307935192</v>
      </c>
      <c r="AC130" s="649">
        <v>24.40929016388429</v>
      </c>
      <c r="AD130" s="649">
        <v>0</v>
      </c>
      <c r="AE130" s="649">
        <v>2.4469723551258755</v>
      </c>
      <c r="AF130" s="649">
        <v>0</v>
      </c>
      <c r="AG130" s="649">
        <v>7.1814032045118834</v>
      </c>
      <c r="AH130" s="640">
        <v>0</v>
      </c>
      <c r="AI130" s="640">
        <v>-70.686462815005612</v>
      </c>
      <c r="AJ130" s="640">
        <v>0</v>
      </c>
      <c r="AK130" s="648">
        <v>6.967226149738531</v>
      </c>
    </row>
    <row r="131" spans="3:37" x14ac:dyDescent="0.2">
      <c r="C131" s="646" t="s">
        <v>349</v>
      </c>
      <c r="D131" s="640">
        <v>0</v>
      </c>
      <c r="E131" s="640">
        <v>0</v>
      </c>
      <c r="F131" s="640">
        <v>0</v>
      </c>
      <c r="G131" s="640">
        <v>0</v>
      </c>
      <c r="H131" s="640">
        <v>0</v>
      </c>
      <c r="I131" s="640">
        <v>0</v>
      </c>
      <c r="J131" s="650">
        <v>7.549386302639002</v>
      </c>
      <c r="K131" s="650">
        <v>0</v>
      </c>
      <c r="L131" s="650">
        <v>0</v>
      </c>
      <c r="M131" s="650">
        <v>-6.6642207586545794</v>
      </c>
      <c r="N131" s="650">
        <v>0</v>
      </c>
      <c r="O131" s="650">
        <v>0</v>
      </c>
      <c r="P131" s="640">
        <v>0</v>
      </c>
      <c r="Q131" s="640">
        <v>0</v>
      </c>
      <c r="R131" s="640">
        <v>0</v>
      </c>
      <c r="S131" s="648">
        <v>0.8851655439844226</v>
      </c>
      <c r="U131" s="646" t="s">
        <v>349</v>
      </c>
      <c r="V131" s="640">
        <v>0</v>
      </c>
      <c r="W131" s="640">
        <v>0</v>
      </c>
      <c r="X131" s="640">
        <v>0</v>
      </c>
      <c r="Y131" s="640">
        <v>0</v>
      </c>
      <c r="Z131" s="640">
        <v>0</v>
      </c>
      <c r="AA131" s="640">
        <v>0</v>
      </c>
      <c r="AB131" s="650">
        <v>39.489443827479029</v>
      </c>
      <c r="AC131" s="650">
        <v>0</v>
      </c>
      <c r="AD131" s="650">
        <v>0</v>
      </c>
      <c r="AE131" s="650">
        <v>-34.859306538707116</v>
      </c>
      <c r="AF131" s="650">
        <v>0</v>
      </c>
      <c r="AG131" s="650">
        <v>0</v>
      </c>
      <c r="AH131" s="640">
        <v>0</v>
      </c>
      <c r="AI131" s="640">
        <v>0</v>
      </c>
      <c r="AJ131" s="640">
        <v>0</v>
      </c>
      <c r="AK131" s="648">
        <v>4.6301372887719126</v>
      </c>
    </row>
    <row r="132" spans="3:37" x14ac:dyDescent="0.2">
      <c r="C132" s="646" t="s">
        <v>350</v>
      </c>
      <c r="D132" s="640">
        <v>0</v>
      </c>
      <c r="E132" s="640">
        <v>0</v>
      </c>
      <c r="F132" s="640">
        <v>0</v>
      </c>
      <c r="G132" s="640">
        <v>0</v>
      </c>
      <c r="H132" s="640">
        <v>0</v>
      </c>
      <c r="I132" s="640">
        <v>0</v>
      </c>
      <c r="J132" s="640">
        <v>0</v>
      </c>
      <c r="K132" s="640">
        <v>0</v>
      </c>
      <c r="L132" s="640">
        <v>0</v>
      </c>
      <c r="M132" s="640">
        <v>0</v>
      </c>
      <c r="N132" s="640">
        <v>0</v>
      </c>
      <c r="O132" s="640">
        <v>0</v>
      </c>
      <c r="P132" s="640">
        <v>0</v>
      </c>
      <c r="Q132" s="640">
        <v>0</v>
      </c>
      <c r="R132" s="640">
        <v>0</v>
      </c>
      <c r="S132" s="648">
        <v>0</v>
      </c>
      <c r="U132" s="646" t="s">
        <v>350</v>
      </c>
      <c r="V132" s="640">
        <v>0</v>
      </c>
      <c r="W132" s="640">
        <v>0</v>
      </c>
      <c r="X132" s="640">
        <v>0</v>
      </c>
      <c r="Y132" s="640">
        <v>0</v>
      </c>
      <c r="Z132" s="640">
        <v>0</v>
      </c>
      <c r="AA132" s="640">
        <v>0</v>
      </c>
      <c r="AB132" s="640">
        <v>0</v>
      </c>
      <c r="AC132" s="640">
        <v>0</v>
      </c>
      <c r="AD132" s="640">
        <v>0</v>
      </c>
      <c r="AE132" s="640">
        <v>0</v>
      </c>
      <c r="AF132" s="640">
        <v>0</v>
      </c>
      <c r="AG132" s="640">
        <v>0</v>
      </c>
      <c r="AH132" s="640">
        <v>0</v>
      </c>
      <c r="AI132" s="640">
        <v>0</v>
      </c>
      <c r="AJ132" s="640">
        <v>0</v>
      </c>
      <c r="AK132" s="648">
        <v>0</v>
      </c>
    </row>
    <row r="133" spans="3:37" x14ac:dyDescent="0.2">
      <c r="C133" s="646" t="s">
        <v>72</v>
      </c>
      <c r="D133" s="640">
        <v>0</v>
      </c>
      <c r="E133" s="640">
        <v>550.85495716936975</v>
      </c>
      <c r="F133" s="640">
        <v>-545.34640759767603</v>
      </c>
      <c r="G133" s="640">
        <v>0</v>
      </c>
      <c r="H133" s="640">
        <v>0</v>
      </c>
      <c r="I133" s="640">
        <v>0</v>
      </c>
      <c r="J133" s="640">
        <v>0</v>
      </c>
      <c r="K133" s="640">
        <v>0</v>
      </c>
      <c r="L133" s="640">
        <v>0</v>
      </c>
      <c r="M133" s="640">
        <v>0</v>
      </c>
      <c r="N133" s="640">
        <v>0</v>
      </c>
      <c r="O133" s="640">
        <v>0</v>
      </c>
      <c r="P133" s="640">
        <v>0</v>
      </c>
      <c r="Q133" s="640">
        <v>0</v>
      </c>
      <c r="R133" s="640">
        <v>0</v>
      </c>
      <c r="S133" s="648">
        <v>5.5085495716937203</v>
      </c>
      <c r="U133" s="646" t="s">
        <v>72</v>
      </c>
      <c r="V133" s="640">
        <v>0</v>
      </c>
      <c r="W133" s="640">
        <v>386.55581999113582</v>
      </c>
      <c r="X133" s="640">
        <v>-382.69026179122449</v>
      </c>
      <c r="Y133" s="640">
        <v>0</v>
      </c>
      <c r="Z133" s="640">
        <v>0</v>
      </c>
      <c r="AA133" s="640">
        <v>0</v>
      </c>
      <c r="AB133" s="640">
        <v>0</v>
      </c>
      <c r="AC133" s="640">
        <v>0</v>
      </c>
      <c r="AD133" s="640">
        <v>0</v>
      </c>
      <c r="AE133" s="640">
        <v>0</v>
      </c>
      <c r="AF133" s="640">
        <v>0</v>
      </c>
      <c r="AG133" s="640">
        <v>0</v>
      </c>
      <c r="AH133" s="640">
        <v>0</v>
      </c>
      <c r="AI133" s="640">
        <v>0</v>
      </c>
      <c r="AJ133" s="640">
        <v>0</v>
      </c>
      <c r="AK133" s="648">
        <v>3.8655581999113338</v>
      </c>
    </row>
    <row r="134" spans="3:37" x14ac:dyDescent="0.2">
      <c r="C134" s="646" t="s">
        <v>351</v>
      </c>
      <c r="D134" s="640">
        <v>0</v>
      </c>
      <c r="E134" s="640">
        <v>0</v>
      </c>
      <c r="F134" s="640">
        <v>0</v>
      </c>
      <c r="G134" s="640">
        <v>0</v>
      </c>
      <c r="H134" s="640">
        <v>0</v>
      </c>
      <c r="I134" s="640">
        <v>0</v>
      </c>
      <c r="J134" s="640">
        <v>34.694031238964726</v>
      </c>
      <c r="K134" s="640">
        <v>0</v>
      </c>
      <c r="L134" s="640">
        <v>-34.694031238964726</v>
      </c>
      <c r="M134" s="640">
        <v>0</v>
      </c>
      <c r="N134" s="640">
        <v>0</v>
      </c>
      <c r="O134" s="640">
        <v>0</v>
      </c>
      <c r="P134" s="640">
        <v>0</v>
      </c>
      <c r="Q134" s="640">
        <v>0</v>
      </c>
      <c r="R134" s="640">
        <v>0</v>
      </c>
      <c r="S134" s="648">
        <v>0</v>
      </c>
      <c r="U134" s="646" t="s">
        <v>351</v>
      </c>
      <c r="V134" s="640">
        <v>0</v>
      </c>
      <c r="W134" s="640">
        <v>0</v>
      </c>
      <c r="X134" s="640">
        <v>0</v>
      </c>
      <c r="Y134" s="640">
        <v>0</v>
      </c>
      <c r="Z134" s="640">
        <v>0</v>
      </c>
      <c r="AA134" s="640">
        <v>0</v>
      </c>
      <c r="AB134" s="640" t="e">
        <v>#VALUE!</v>
      </c>
      <c r="AC134" s="640">
        <v>0</v>
      </c>
      <c r="AD134" s="640">
        <v>-64.13008508665132</v>
      </c>
      <c r="AE134" s="640">
        <v>0</v>
      </c>
      <c r="AF134" s="640">
        <v>0</v>
      </c>
      <c r="AG134" s="640">
        <v>0</v>
      </c>
      <c r="AH134" s="640">
        <v>0</v>
      </c>
      <c r="AI134" s="640">
        <v>0</v>
      </c>
      <c r="AJ134" s="640">
        <v>0</v>
      </c>
      <c r="AK134" s="648">
        <v>-64.13008508665132</v>
      </c>
    </row>
    <row r="135" spans="3:37" x14ac:dyDescent="0.2">
      <c r="C135" s="646" t="s">
        <v>352</v>
      </c>
      <c r="D135" s="640">
        <v>0</v>
      </c>
      <c r="E135" s="640">
        <v>0</v>
      </c>
      <c r="F135" s="640">
        <v>0</v>
      </c>
      <c r="G135" s="640">
        <v>0</v>
      </c>
      <c r="H135" s="640">
        <v>0</v>
      </c>
      <c r="I135" s="640">
        <v>0</v>
      </c>
      <c r="J135" s="640">
        <v>0</v>
      </c>
      <c r="K135" s="640">
        <v>0</v>
      </c>
      <c r="L135" s="640">
        <v>0</v>
      </c>
      <c r="M135" s="640">
        <v>0</v>
      </c>
      <c r="N135" s="640">
        <v>0</v>
      </c>
      <c r="O135" s="640">
        <v>0</v>
      </c>
      <c r="P135" s="640">
        <v>0</v>
      </c>
      <c r="Q135" s="640">
        <v>0</v>
      </c>
      <c r="R135" s="640">
        <v>0</v>
      </c>
      <c r="S135" s="648">
        <v>0</v>
      </c>
      <c r="U135" s="646" t="s">
        <v>352</v>
      </c>
      <c r="V135" s="640">
        <v>0</v>
      </c>
      <c r="W135" s="640">
        <v>0</v>
      </c>
      <c r="X135" s="640">
        <v>0</v>
      </c>
      <c r="Y135" s="640">
        <v>0</v>
      </c>
      <c r="Z135" s="640">
        <v>0</v>
      </c>
      <c r="AA135" s="640">
        <v>0</v>
      </c>
      <c r="AB135" s="640">
        <v>0</v>
      </c>
      <c r="AC135" s="640">
        <v>0</v>
      </c>
      <c r="AD135" s="640">
        <v>-12.704571841330187</v>
      </c>
      <c r="AE135" s="640">
        <v>0</v>
      </c>
      <c r="AF135" s="640">
        <v>0</v>
      </c>
      <c r="AG135" s="640">
        <v>0</v>
      </c>
      <c r="AH135" s="640">
        <v>0</v>
      </c>
      <c r="AI135" s="640">
        <v>0</v>
      </c>
      <c r="AJ135" s="640">
        <v>0</v>
      </c>
      <c r="AK135" s="648">
        <v>-12.704571841330187</v>
      </c>
    </row>
    <row r="136" spans="3:37" x14ac:dyDescent="0.2">
      <c r="C136" s="646" t="s">
        <v>73</v>
      </c>
      <c r="D136" s="640">
        <v>0</v>
      </c>
      <c r="E136" s="640">
        <v>0</v>
      </c>
      <c r="F136" s="640">
        <v>0</v>
      </c>
      <c r="G136" s="640">
        <v>2.1153211001028303</v>
      </c>
      <c r="H136" s="640">
        <v>0</v>
      </c>
      <c r="I136" s="640">
        <v>0</v>
      </c>
      <c r="J136" s="640">
        <v>0</v>
      </c>
      <c r="K136" s="640">
        <v>2.387711193000305E-2</v>
      </c>
      <c r="L136" s="640">
        <v>0</v>
      </c>
      <c r="M136" s="640">
        <v>4.3169818369445515E-2</v>
      </c>
      <c r="N136" s="640">
        <v>0</v>
      </c>
      <c r="O136" s="640">
        <v>0</v>
      </c>
      <c r="P136" s="640">
        <v>0.21762333659139796</v>
      </c>
      <c r="Q136" s="640">
        <v>0</v>
      </c>
      <c r="R136" s="640">
        <v>-1.6713978351002134</v>
      </c>
      <c r="S136" s="648">
        <v>0.72859353189346332</v>
      </c>
      <c r="U136" s="646" t="s">
        <v>73</v>
      </c>
      <c r="V136" s="640">
        <v>0</v>
      </c>
      <c r="W136" s="640">
        <v>0</v>
      </c>
      <c r="X136" s="640">
        <v>0</v>
      </c>
      <c r="Y136" s="640">
        <v>5.6183676161021641</v>
      </c>
      <c r="Z136" s="640">
        <v>0</v>
      </c>
      <c r="AA136" s="640">
        <v>0</v>
      </c>
      <c r="AB136" s="640">
        <v>0</v>
      </c>
      <c r="AC136" s="640">
        <v>0.19393074509344391</v>
      </c>
      <c r="AD136" s="640">
        <v>0</v>
      </c>
      <c r="AE136" s="640">
        <v>0.83952619550951879</v>
      </c>
      <c r="AF136" s="640">
        <v>0</v>
      </c>
      <c r="AG136" s="640">
        <v>0</v>
      </c>
      <c r="AH136" s="640">
        <v>13.50321720945872</v>
      </c>
      <c r="AI136" s="640">
        <v>0</v>
      </c>
      <c r="AJ136" s="640">
        <v>-13.575152156541073</v>
      </c>
      <c r="AK136" s="648">
        <v>6.579889609622775</v>
      </c>
    </row>
    <row r="137" spans="3:37" x14ac:dyDescent="0.2">
      <c r="C137" s="646" t="s">
        <v>353</v>
      </c>
      <c r="D137" s="640">
        <v>28.669681406249996</v>
      </c>
      <c r="E137" s="640">
        <v>-19.087124265918664</v>
      </c>
      <c r="F137" s="640">
        <v>24.964831154950382</v>
      </c>
      <c r="G137" s="640">
        <v>0</v>
      </c>
      <c r="H137" s="640">
        <v>0</v>
      </c>
      <c r="I137" s="640">
        <v>0</v>
      </c>
      <c r="J137" s="640">
        <v>0</v>
      </c>
      <c r="K137" s="640">
        <v>0</v>
      </c>
      <c r="L137" s="640">
        <v>0</v>
      </c>
      <c r="M137" s="640">
        <v>0</v>
      </c>
      <c r="N137" s="640">
        <v>0</v>
      </c>
      <c r="O137" s="640">
        <v>0</v>
      </c>
      <c r="P137" s="640">
        <v>0</v>
      </c>
      <c r="Q137" s="640">
        <v>0</v>
      </c>
      <c r="R137" s="640">
        <v>0</v>
      </c>
      <c r="S137" s="648">
        <v>34.547388295281714</v>
      </c>
      <c r="U137" s="646" t="s">
        <v>353</v>
      </c>
      <c r="V137" s="640">
        <v>4.3307530517578128</v>
      </c>
      <c r="W137" s="640">
        <v>-13.394159162692858</v>
      </c>
      <c r="X137" s="640">
        <v>17.518769056071054</v>
      </c>
      <c r="Y137" s="640">
        <v>0</v>
      </c>
      <c r="Z137" s="640">
        <v>0</v>
      </c>
      <c r="AA137" s="640">
        <v>0</v>
      </c>
      <c r="AB137" s="640">
        <v>0</v>
      </c>
      <c r="AC137" s="640">
        <v>0</v>
      </c>
      <c r="AD137" s="640">
        <v>0</v>
      </c>
      <c r="AE137" s="640">
        <v>0</v>
      </c>
      <c r="AF137" s="640">
        <v>0</v>
      </c>
      <c r="AG137" s="640">
        <v>0</v>
      </c>
      <c r="AH137" s="640">
        <v>0</v>
      </c>
      <c r="AI137" s="640">
        <v>0</v>
      </c>
      <c r="AJ137" s="640">
        <v>0</v>
      </c>
      <c r="AK137" s="648">
        <v>8.4553629451360095</v>
      </c>
    </row>
    <row r="138" spans="3:37" x14ac:dyDescent="0.2">
      <c r="C138" s="646" t="s">
        <v>75</v>
      </c>
      <c r="D138" s="640">
        <v>11.149320546875</v>
      </c>
      <c r="E138" s="640">
        <v>0</v>
      </c>
      <c r="F138" s="640">
        <v>18.729068543758572</v>
      </c>
      <c r="G138" s="640">
        <v>5.3443947944572248</v>
      </c>
      <c r="H138" s="640">
        <v>0</v>
      </c>
      <c r="I138" s="640">
        <v>0</v>
      </c>
      <c r="J138" s="640">
        <v>0</v>
      </c>
      <c r="K138" s="640">
        <v>0</v>
      </c>
      <c r="L138" s="640">
        <v>0</v>
      </c>
      <c r="M138" s="640">
        <v>0.10906928151953521</v>
      </c>
      <c r="N138" s="640">
        <v>0</v>
      </c>
      <c r="O138" s="640">
        <v>0</v>
      </c>
      <c r="P138" s="640">
        <v>34.631314570260251</v>
      </c>
      <c r="Q138" s="640">
        <v>0</v>
      </c>
      <c r="R138" s="640">
        <v>0</v>
      </c>
      <c r="S138" s="648">
        <v>69.963167736870574</v>
      </c>
      <c r="U138" s="646" t="s">
        <v>75</v>
      </c>
      <c r="V138" s="640">
        <v>4.9205957031249996</v>
      </c>
      <c r="W138" s="640">
        <v>0</v>
      </c>
      <c r="X138" s="640">
        <v>18.729068543758572</v>
      </c>
      <c r="Y138" s="640">
        <v>4.7445137460997815</v>
      </c>
      <c r="Z138" s="640">
        <v>0</v>
      </c>
      <c r="AA138" s="640">
        <v>0</v>
      </c>
      <c r="AB138" s="640">
        <v>0</v>
      </c>
      <c r="AC138" s="640">
        <v>0</v>
      </c>
      <c r="AD138" s="640">
        <v>0</v>
      </c>
      <c r="AE138" s="640">
        <v>0.70895032987697881</v>
      </c>
      <c r="AF138" s="640">
        <v>0</v>
      </c>
      <c r="AG138" s="640">
        <v>0</v>
      </c>
      <c r="AH138" s="640">
        <v>32.716541842987525</v>
      </c>
      <c r="AI138" s="640">
        <v>0</v>
      </c>
      <c r="AJ138" s="640">
        <v>0</v>
      </c>
      <c r="AK138" s="648">
        <v>61.819670165847853</v>
      </c>
    </row>
    <row r="139" spans="3:37" x14ac:dyDescent="0.2">
      <c r="C139" s="646" t="s">
        <v>76</v>
      </c>
      <c r="D139" s="640">
        <v>0</v>
      </c>
      <c r="E139" s="640">
        <v>0</v>
      </c>
      <c r="F139" s="640">
        <v>0</v>
      </c>
      <c r="G139" s="640">
        <v>3.8720966463328983</v>
      </c>
      <c r="H139" s="640">
        <v>0</v>
      </c>
      <c r="I139" s="640">
        <v>0</v>
      </c>
      <c r="J139" s="640">
        <v>0</v>
      </c>
      <c r="K139" s="640">
        <v>0</v>
      </c>
      <c r="L139" s="640">
        <v>0</v>
      </c>
      <c r="M139" s="640">
        <v>7.9022380537406095E-2</v>
      </c>
      <c r="N139" s="640">
        <v>0</v>
      </c>
      <c r="O139" s="640">
        <v>0</v>
      </c>
      <c r="P139" s="640">
        <v>41.938968757160723</v>
      </c>
      <c r="Q139" s="640">
        <v>3.0236871210614171</v>
      </c>
      <c r="R139" s="640">
        <v>0</v>
      </c>
      <c r="S139" s="648">
        <v>48.913774905092438</v>
      </c>
      <c r="U139" s="646" t="s">
        <v>76</v>
      </c>
      <c r="V139" s="640">
        <v>0</v>
      </c>
      <c r="W139" s="640">
        <v>0</v>
      </c>
      <c r="X139" s="640">
        <v>0</v>
      </c>
      <c r="Y139" s="640">
        <v>2.7662751616304524</v>
      </c>
      <c r="Z139" s="640">
        <v>0</v>
      </c>
      <c r="AA139" s="640">
        <v>0</v>
      </c>
      <c r="AB139" s="640">
        <v>0</v>
      </c>
      <c r="AC139" s="640">
        <v>0</v>
      </c>
      <c r="AD139" s="640">
        <v>0</v>
      </c>
      <c r="AE139" s="640">
        <v>0.41335146093328595</v>
      </c>
      <c r="AF139" s="640">
        <v>0</v>
      </c>
      <c r="AG139" s="640">
        <v>0</v>
      </c>
      <c r="AH139" s="640">
        <v>43.009166954325586</v>
      </c>
      <c r="AI139" s="640">
        <v>5.481964511548731</v>
      </c>
      <c r="AJ139" s="640">
        <v>0</v>
      </c>
      <c r="AK139" s="648">
        <v>51.670758088438056</v>
      </c>
    </row>
    <row r="140" spans="3:37" x14ac:dyDescent="0.2">
      <c r="C140" s="644" t="s">
        <v>77</v>
      </c>
      <c r="D140" s="645">
        <v>42.645787594150242</v>
      </c>
      <c r="E140" s="645">
        <v>531.76783290345111</v>
      </c>
      <c r="F140" s="645">
        <v>-493.85839623209517</v>
      </c>
      <c r="G140" s="645">
        <v>44.217178331245535</v>
      </c>
      <c r="H140" s="645">
        <v>1121.3636363636365</v>
      </c>
      <c r="I140" s="645">
        <v>207.57369132422022</v>
      </c>
      <c r="J140" s="645">
        <v>86.243705075466366</v>
      </c>
      <c r="K140" s="645">
        <v>19.954320748029687</v>
      </c>
      <c r="L140" s="645">
        <v>-32.394348021257798</v>
      </c>
      <c r="M140" s="645">
        <v>-5.6320765353578501</v>
      </c>
      <c r="N140" s="645">
        <v>0</v>
      </c>
      <c r="O140" s="645">
        <v>5.2611137666850016</v>
      </c>
      <c r="P140" s="645">
        <v>-531.00392354032908</v>
      </c>
      <c r="Q140" s="645">
        <v>-35.939291273846017</v>
      </c>
      <c r="R140" s="645">
        <v>-1.6713978351002134</v>
      </c>
      <c r="S140" s="645">
        <v>958.52783266889833</v>
      </c>
      <c r="U140" s="644" t="s">
        <v>77</v>
      </c>
      <c r="V140" s="645">
        <v>9.8776636603415024</v>
      </c>
      <c r="W140" s="645">
        <v>373.16166082844296</v>
      </c>
      <c r="X140" s="645">
        <v>-342.51194888815934</v>
      </c>
      <c r="Y140" s="645">
        <v>62.170015524383871</v>
      </c>
      <c r="Z140" s="645">
        <v>1024.3939393939395</v>
      </c>
      <c r="AA140" s="645">
        <v>228.1236913242202</v>
      </c>
      <c r="AB140" s="645">
        <v>92.01283517498922</v>
      </c>
      <c r="AC140" s="645">
        <v>31.725901877387908</v>
      </c>
      <c r="AD140" s="645">
        <v>-74.534973710274585</v>
      </c>
      <c r="AE140" s="645">
        <v>-25.439781275247555</v>
      </c>
      <c r="AF140" s="645">
        <v>0</v>
      </c>
      <c r="AG140" s="645">
        <v>10.264799662154665</v>
      </c>
      <c r="AH140" s="645">
        <v>-515.81290419756954</v>
      </c>
      <c r="AI140" s="645">
        <v>-65.204498303456887</v>
      </c>
      <c r="AJ140" s="645">
        <v>-12.150152156541072</v>
      </c>
      <c r="AK140" s="645">
        <v>796.07624891461057</v>
      </c>
    </row>
    <row r="141" spans="3:37" x14ac:dyDescent="0.2">
      <c r="C141" s="634"/>
      <c r="D141" s="634">
        <v>0</v>
      </c>
      <c r="E141" s="634">
        <v>0</v>
      </c>
      <c r="F141" s="634">
        <v>0</v>
      </c>
      <c r="G141" s="634">
        <v>0</v>
      </c>
      <c r="H141" s="634">
        <v>0</v>
      </c>
      <c r="I141" s="634">
        <v>0</v>
      </c>
      <c r="J141" s="634">
        <v>0</v>
      </c>
      <c r="K141" s="634">
        <v>0</v>
      </c>
      <c r="L141" s="634">
        <v>0</v>
      </c>
      <c r="M141" s="634">
        <v>0</v>
      </c>
      <c r="N141" s="634">
        <v>0</v>
      </c>
      <c r="O141" s="634">
        <v>0</v>
      </c>
      <c r="P141" s="634">
        <v>0</v>
      </c>
      <c r="Q141" s="634">
        <v>0</v>
      </c>
      <c r="R141" s="634">
        <v>0</v>
      </c>
      <c r="S141" s="634">
        <v>0</v>
      </c>
      <c r="U141" s="634"/>
      <c r="V141" s="634">
        <v>0</v>
      </c>
      <c r="W141" s="634">
        <v>0</v>
      </c>
      <c r="X141" s="634">
        <v>0</v>
      </c>
      <c r="Y141" s="634">
        <v>0</v>
      </c>
      <c r="Z141" s="634">
        <v>0</v>
      </c>
      <c r="AA141" s="634">
        <v>0</v>
      </c>
      <c r="AB141" s="634">
        <v>0</v>
      </c>
      <c r="AC141" s="634">
        <v>0</v>
      </c>
      <c r="AD141" s="634">
        <v>0</v>
      </c>
      <c r="AE141" s="634">
        <v>0</v>
      </c>
      <c r="AF141" s="634">
        <v>0</v>
      </c>
      <c r="AG141" s="634">
        <v>0</v>
      </c>
      <c r="AH141" s="634">
        <v>0</v>
      </c>
      <c r="AI141" s="634">
        <v>0</v>
      </c>
      <c r="AJ141" s="634">
        <v>0</v>
      </c>
      <c r="AK141" s="634">
        <v>0</v>
      </c>
    </row>
    <row r="142" spans="3:37" x14ac:dyDescent="0.2">
      <c r="C142" s="646" t="s">
        <v>78</v>
      </c>
      <c r="D142" s="640">
        <v>6.3476756101286895</v>
      </c>
      <c r="E142" s="640">
        <v>0</v>
      </c>
      <c r="F142" s="640">
        <v>23.963924152830415</v>
      </c>
      <c r="G142" s="640">
        <v>102.72602750235836</v>
      </c>
      <c r="H142" s="640">
        <v>0</v>
      </c>
      <c r="I142" s="640">
        <v>0</v>
      </c>
      <c r="J142" s="640">
        <v>19.164817057512749</v>
      </c>
      <c r="K142" s="640">
        <v>1.7769703360109936</v>
      </c>
      <c r="L142" s="640">
        <v>0.86552810351562492</v>
      </c>
      <c r="M142" s="640">
        <v>2.1151614516362294</v>
      </c>
      <c r="N142" s="640">
        <v>0</v>
      </c>
      <c r="O142" s="640">
        <v>3.8147295409713907E-4</v>
      </c>
      <c r="P142" s="640">
        <v>109.69856944385172</v>
      </c>
      <c r="Q142" s="640">
        <v>16.190109766233334</v>
      </c>
      <c r="R142" s="640">
        <v>0.34118215942382812</v>
      </c>
      <c r="S142" s="648">
        <v>283.19034705645606</v>
      </c>
      <c r="U142" s="646" t="s">
        <v>78</v>
      </c>
      <c r="V142" s="640">
        <v>0.96947057486293287</v>
      </c>
      <c r="W142" s="640">
        <v>0</v>
      </c>
      <c r="X142" s="640">
        <v>14.423852836289303</v>
      </c>
      <c r="Y142" s="640">
        <v>71.911931163769523</v>
      </c>
      <c r="Z142" s="640">
        <v>0</v>
      </c>
      <c r="AA142" s="640">
        <v>0</v>
      </c>
      <c r="AB142" s="640">
        <v>16.641526349557349</v>
      </c>
      <c r="AC142" s="640">
        <v>5.8374337597773929</v>
      </c>
      <c r="AD142" s="640">
        <v>1.8190377949218752</v>
      </c>
      <c r="AE142" s="640">
        <v>10.764172889266069</v>
      </c>
      <c r="AF142" s="640">
        <v>0</v>
      </c>
      <c r="AG142" s="640">
        <v>3.8147295409713907E-4</v>
      </c>
      <c r="AH142" s="640">
        <v>133.35975359263318</v>
      </c>
      <c r="AI142" s="640">
        <v>21.024156518221293</v>
      </c>
      <c r="AJ142" s="640">
        <v>5.3802006835937499</v>
      </c>
      <c r="AK142" s="648">
        <v>282.13191763584672</v>
      </c>
    </row>
    <row r="143" spans="3:37" x14ac:dyDescent="0.2">
      <c r="C143" s="646" t="s">
        <v>79</v>
      </c>
      <c r="D143" s="640">
        <v>0</v>
      </c>
      <c r="E143" s="640">
        <v>0</v>
      </c>
      <c r="F143" s="640">
        <v>312.50052508879821</v>
      </c>
      <c r="G143" s="640">
        <v>20.28727706696608</v>
      </c>
      <c r="H143" s="640">
        <v>0</v>
      </c>
      <c r="I143" s="640">
        <v>0</v>
      </c>
      <c r="J143" s="640">
        <v>0</v>
      </c>
      <c r="K143" s="640">
        <v>0</v>
      </c>
      <c r="L143" s="640">
        <v>30.35479180755361</v>
      </c>
      <c r="M143" s="640">
        <v>0.41402606259114449</v>
      </c>
      <c r="N143" s="640">
        <v>0</v>
      </c>
      <c r="O143" s="640">
        <v>0</v>
      </c>
      <c r="P143" s="640">
        <v>40.087101502259863</v>
      </c>
      <c r="Q143" s="640">
        <v>0</v>
      </c>
      <c r="R143" s="640">
        <v>0.80956479691939642</v>
      </c>
      <c r="S143" s="648">
        <v>404.45328632508824</v>
      </c>
      <c r="U143" s="646" t="s">
        <v>79</v>
      </c>
      <c r="V143" s="640">
        <v>0</v>
      </c>
      <c r="W143" s="640">
        <v>0</v>
      </c>
      <c r="X143" s="640">
        <v>200.27592241910855</v>
      </c>
      <c r="Y143" s="640">
        <v>16.649550205830046</v>
      </c>
      <c r="Z143" s="640">
        <v>0</v>
      </c>
      <c r="AA143" s="640">
        <v>0</v>
      </c>
      <c r="AB143" s="640">
        <v>0</v>
      </c>
      <c r="AC143" s="640">
        <v>0</v>
      </c>
      <c r="AD143" s="640">
        <v>44.40579181284334</v>
      </c>
      <c r="AE143" s="640">
        <v>2.5923432302996523</v>
      </c>
      <c r="AF143" s="640">
        <v>0</v>
      </c>
      <c r="AG143" s="640">
        <v>0</v>
      </c>
      <c r="AH143" s="640">
        <v>50.411052136241274</v>
      </c>
      <c r="AI143" s="640">
        <v>0</v>
      </c>
      <c r="AJ143" s="640">
        <v>1.5849058336758</v>
      </c>
      <c r="AK143" s="648">
        <v>315.91956563799869</v>
      </c>
    </row>
    <row r="144" spans="3:37" x14ac:dyDescent="0.2">
      <c r="C144" s="646" t="s">
        <v>80</v>
      </c>
      <c r="D144" s="640">
        <v>0</v>
      </c>
      <c r="E144" s="640">
        <v>0</v>
      </c>
      <c r="F144" s="640">
        <v>27.223306395871116</v>
      </c>
      <c r="G144" s="640">
        <v>94.787807272791255</v>
      </c>
      <c r="H144" s="640">
        <v>0</v>
      </c>
      <c r="I144" s="640">
        <v>0</v>
      </c>
      <c r="J144" s="640">
        <v>83.273177408961004</v>
      </c>
      <c r="K144" s="640">
        <v>0</v>
      </c>
      <c r="L144" s="640">
        <v>0</v>
      </c>
      <c r="M144" s="640">
        <v>1.9344450463834952</v>
      </c>
      <c r="N144" s="640">
        <v>46.067590504591024</v>
      </c>
      <c r="O144" s="640">
        <v>1.9582561857397398</v>
      </c>
      <c r="P144" s="640">
        <v>180.22551264292704</v>
      </c>
      <c r="Q144" s="640">
        <v>15.690776641240536</v>
      </c>
      <c r="R144" s="640">
        <v>0</v>
      </c>
      <c r="S144" s="648">
        <v>451.16087209850519</v>
      </c>
      <c r="U144" s="646" t="s">
        <v>80</v>
      </c>
      <c r="V144" s="640">
        <v>0</v>
      </c>
      <c r="W144" s="640">
        <v>0</v>
      </c>
      <c r="X144" s="640">
        <v>2.015713666762446</v>
      </c>
      <c r="Y144" s="640">
        <v>47.341776252628989</v>
      </c>
      <c r="Z144" s="640">
        <v>0</v>
      </c>
      <c r="AA144" s="640">
        <v>0</v>
      </c>
      <c r="AB144" s="640">
        <v>73.879452654225247</v>
      </c>
      <c r="AC144" s="640">
        <v>0</v>
      </c>
      <c r="AD144" s="640">
        <v>0</v>
      </c>
      <c r="AE144" s="640">
        <v>7.0740585205077799</v>
      </c>
      <c r="AF144" s="640">
        <v>56.247445771865117</v>
      </c>
      <c r="AG144" s="640">
        <v>2.3917818193760598</v>
      </c>
      <c r="AH144" s="640">
        <v>158.99417861004727</v>
      </c>
      <c r="AI144" s="640">
        <v>34.672503342788303</v>
      </c>
      <c r="AJ144" s="640">
        <v>0</v>
      </c>
      <c r="AK144" s="648">
        <v>382.61691063820126</v>
      </c>
    </row>
    <row r="145" spans="3:37" x14ac:dyDescent="0.2">
      <c r="C145" s="646" t="s">
        <v>81</v>
      </c>
      <c r="D145" s="640">
        <v>0</v>
      </c>
      <c r="E145" s="640">
        <v>0</v>
      </c>
      <c r="F145" s="640">
        <v>10.721858440723695</v>
      </c>
      <c r="G145" s="640">
        <v>62.595656083836779</v>
      </c>
      <c r="H145" s="640">
        <v>0</v>
      </c>
      <c r="I145" s="640">
        <v>0</v>
      </c>
      <c r="J145" s="640">
        <v>3.4596715414798309</v>
      </c>
      <c r="K145" s="640">
        <v>2.5030873755322387E-2</v>
      </c>
      <c r="L145" s="640">
        <v>0</v>
      </c>
      <c r="M145" s="640">
        <v>1.2774623690578935</v>
      </c>
      <c r="N145" s="640">
        <v>8.3421239681836319</v>
      </c>
      <c r="O145" s="640">
        <v>0.80110714509903691</v>
      </c>
      <c r="P145" s="640">
        <v>133.46461699259584</v>
      </c>
      <c r="Q145" s="640">
        <v>4.0584048663721433</v>
      </c>
      <c r="R145" s="640">
        <v>0</v>
      </c>
      <c r="S145" s="648">
        <v>224.74593228110413</v>
      </c>
      <c r="U145" s="646" t="s">
        <v>81</v>
      </c>
      <c r="V145" s="640">
        <v>0</v>
      </c>
      <c r="W145" s="640">
        <v>0</v>
      </c>
      <c r="X145" s="640">
        <v>3.1096233693990798</v>
      </c>
      <c r="Y145" s="640">
        <v>32.055438404613625</v>
      </c>
      <c r="Z145" s="640">
        <v>0</v>
      </c>
      <c r="AA145" s="640">
        <v>0</v>
      </c>
      <c r="AB145" s="640">
        <v>7.6606579921523004</v>
      </c>
      <c r="AC145" s="640">
        <v>2.5030873755322387E-2</v>
      </c>
      <c r="AD145" s="640">
        <v>0</v>
      </c>
      <c r="AE145" s="640">
        <v>4.7898930949422658</v>
      </c>
      <c r="AF145" s="640">
        <v>14.251121986476408</v>
      </c>
      <c r="AG145" s="640">
        <v>1.7168402703934114</v>
      </c>
      <c r="AH145" s="640">
        <v>121.34906004798763</v>
      </c>
      <c r="AI145" s="640">
        <v>9.5078384424472873</v>
      </c>
      <c r="AJ145" s="640">
        <v>0</v>
      </c>
      <c r="AK145" s="648">
        <v>194.46550448216732</v>
      </c>
    </row>
    <row r="146" spans="3:37" x14ac:dyDescent="0.2">
      <c r="C146" s="646" t="s">
        <v>82</v>
      </c>
      <c r="D146" s="640">
        <v>0</v>
      </c>
      <c r="E146" s="640">
        <v>0</v>
      </c>
      <c r="F146" s="640">
        <v>32.13207144146056</v>
      </c>
      <c r="G146" s="640">
        <v>1.9328709168763656</v>
      </c>
      <c r="H146" s="640">
        <v>0</v>
      </c>
      <c r="I146" s="640">
        <v>0</v>
      </c>
      <c r="J146" s="640">
        <v>2.05899706998358</v>
      </c>
      <c r="K146" s="640">
        <v>0</v>
      </c>
      <c r="L146" s="640">
        <v>2.6244824682898504</v>
      </c>
      <c r="M146" s="640">
        <v>3.9446345242374808E-2</v>
      </c>
      <c r="N146" s="640">
        <v>0</v>
      </c>
      <c r="O146" s="640">
        <v>8.070345812558942E-2</v>
      </c>
      <c r="P146" s="640">
        <v>7.3892266408052469</v>
      </c>
      <c r="Q146" s="640">
        <v>0</v>
      </c>
      <c r="R146" s="640">
        <v>0</v>
      </c>
      <c r="S146" s="648">
        <v>46.257798340783566</v>
      </c>
      <c r="U146" s="646" t="s">
        <v>82</v>
      </c>
      <c r="V146" s="640">
        <v>0</v>
      </c>
      <c r="W146" s="640">
        <v>0</v>
      </c>
      <c r="X146" s="640">
        <v>22.167558461996123</v>
      </c>
      <c r="Y146" s="640">
        <v>2.0916118720237509</v>
      </c>
      <c r="Z146" s="640">
        <v>0</v>
      </c>
      <c r="AA146" s="640">
        <v>0</v>
      </c>
      <c r="AB146" s="640">
        <v>2.05899706998358</v>
      </c>
      <c r="AC146" s="640">
        <v>0</v>
      </c>
      <c r="AD146" s="640">
        <v>14.821446231272425</v>
      </c>
      <c r="AE146" s="640">
        <v>0.31253970501504325</v>
      </c>
      <c r="AF146" s="640">
        <v>0</v>
      </c>
      <c r="AG146" s="640">
        <v>0.82781531321025892</v>
      </c>
      <c r="AH146" s="640">
        <v>7.4491158726448985</v>
      </c>
      <c r="AI146" s="640">
        <v>0</v>
      </c>
      <c r="AJ146" s="640">
        <v>0.21911019493558448</v>
      </c>
      <c r="AK146" s="648">
        <v>49.948194721081656</v>
      </c>
    </row>
    <row r="147" spans="3:37" x14ac:dyDescent="0.2">
      <c r="C147" s="646" t="s">
        <v>354</v>
      </c>
      <c r="D147" s="640">
        <v>0</v>
      </c>
      <c r="E147" s="640">
        <v>0</v>
      </c>
      <c r="F147" s="640">
        <v>0</v>
      </c>
      <c r="G147" s="640">
        <v>0</v>
      </c>
      <c r="H147" s="640">
        <v>0</v>
      </c>
      <c r="I147" s="640">
        <v>0</v>
      </c>
      <c r="J147" s="640">
        <v>0</v>
      </c>
      <c r="K147" s="640">
        <v>0</v>
      </c>
      <c r="L147" s="640">
        <v>0</v>
      </c>
      <c r="M147" s="640">
        <v>0</v>
      </c>
      <c r="N147" s="640">
        <v>0</v>
      </c>
      <c r="O147" s="640">
        <v>0</v>
      </c>
      <c r="P147" s="640">
        <v>0.13500000000000001</v>
      </c>
      <c r="Q147" s="640">
        <v>0</v>
      </c>
      <c r="R147" s="640">
        <v>0</v>
      </c>
      <c r="S147" s="648">
        <v>0.13500000000000001</v>
      </c>
      <c r="U147" s="646" t="s">
        <v>354</v>
      </c>
      <c r="V147" s="640">
        <v>0</v>
      </c>
      <c r="W147" s="640">
        <v>0</v>
      </c>
      <c r="X147" s="640">
        <v>0</v>
      </c>
      <c r="Y147" s="640">
        <v>0</v>
      </c>
      <c r="Z147" s="640">
        <v>0</v>
      </c>
      <c r="AA147" s="640">
        <v>0</v>
      </c>
      <c r="AB147" s="640">
        <v>0</v>
      </c>
      <c r="AC147" s="640">
        <v>0</v>
      </c>
      <c r="AD147" s="640">
        <v>0</v>
      </c>
      <c r="AE147" s="640">
        <v>0</v>
      </c>
      <c r="AF147" s="640">
        <v>0</v>
      </c>
      <c r="AG147" s="640">
        <v>0</v>
      </c>
      <c r="AH147" s="640">
        <v>0.96</v>
      </c>
      <c r="AI147" s="640">
        <v>0</v>
      </c>
      <c r="AJ147" s="640">
        <v>0</v>
      </c>
      <c r="AK147" s="648">
        <v>0.96</v>
      </c>
    </row>
    <row r="148" spans="3:37" x14ac:dyDescent="0.2">
      <c r="C148" s="644" t="s">
        <v>83</v>
      </c>
      <c r="D148" s="645">
        <v>6.3476756101286895</v>
      </c>
      <c r="E148" s="645">
        <v>0</v>
      </c>
      <c r="F148" s="645">
        <v>406.54168551968399</v>
      </c>
      <c r="G148" s="645">
        <v>282.32963884282884</v>
      </c>
      <c r="H148" s="645">
        <v>0</v>
      </c>
      <c r="I148" s="645">
        <v>0</v>
      </c>
      <c r="J148" s="645">
        <v>107.95666307793715</v>
      </c>
      <c r="K148" s="645">
        <v>1.8020012097663161</v>
      </c>
      <c r="L148" s="645">
        <v>33.844802379359088</v>
      </c>
      <c r="M148" s="645">
        <v>5.7805412749111369</v>
      </c>
      <c r="N148" s="645">
        <v>54.409714472774652</v>
      </c>
      <c r="O148" s="645">
        <v>2.8404482619184632</v>
      </c>
      <c r="P148" s="645">
        <v>471.00002722243971</v>
      </c>
      <c r="Q148" s="645">
        <v>35.93929127384601</v>
      </c>
      <c r="R148" s="645">
        <v>1.1507469563432244</v>
      </c>
      <c r="S148" s="645">
        <v>1409.9432361019371</v>
      </c>
      <c r="U148" s="644" t="s">
        <v>83</v>
      </c>
      <c r="V148" s="645">
        <v>0.96947057486293287</v>
      </c>
      <c r="W148" s="645">
        <v>0</v>
      </c>
      <c r="X148" s="645">
        <v>241.9926707535555</v>
      </c>
      <c r="Y148" s="645">
        <v>170.05030789886592</v>
      </c>
      <c r="Z148" s="645">
        <v>0</v>
      </c>
      <c r="AA148" s="645">
        <v>0</v>
      </c>
      <c r="AB148" s="645">
        <v>100.24063406591846</v>
      </c>
      <c r="AC148" s="645">
        <v>5.8624646335327153</v>
      </c>
      <c r="AD148" s="645">
        <v>61.046275839037641</v>
      </c>
      <c r="AE148" s="645">
        <v>25.533007440030815</v>
      </c>
      <c r="AF148" s="645">
        <v>70.498567758341522</v>
      </c>
      <c r="AG148" s="645">
        <v>4.9368188759338274</v>
      </c>
      <c r="AH148" s="645">
        <v>472.52316025955423</v>
      </c>
      <c r="AI148" s="645">
        <v>65.204498303456901</v>
      </c>
      <c r="AJ148" s="645">
        <v>7.184216712205135</v>
      </c>
      <c r="AK148" s="645">
        <v>1226.0420931152958</v>
      </c>
    </row>
    <row r="149" spans="3:37" x14ac:dyDescent="0.2">
      <c r="C149" s="639" t="s">
        <v>84</v>
      </c>
      <c r="D149" s="640">
        <v>0</v>
      </c>
      <c r="E149" s="640">
        <v>0</v>
      </c>
      <c r="F149" s="640">
        <v>117.0773058539918</v>
      </c>
      <c r="G149" s="640">
        <v>12.185345647681713</v>
      </c>
      <c r="H149" s="640">
        <v>0</v>
      </c>
      <c r="I149" s="640">
        <v>0</v>
      </c>
      <c r="J149" s="640">
        <v>0</v>
      </c>
      <c r="K149" s="640">
        <v>0</v>
      </c>
      <c r="L149" s="640">
        <v>0</v>
      </c>
      <c r="M149" s="640">
        <v>0</v>
      </c>
      <c r="N149" s="640">
        <v>0</v>
      </c>
      <c r="O149" s="640">
        <v>0</v>
      </c>
      <c r="P149" s="640">
        <v>0</v>
      </c>
      <c r="Q149" s="640">
        <v>0</v>
      </c>
      <c r="R149" s="640">
        <v>0.52065087875698901</v>
      </c>
      <c r="S149" s="648">
        <v>129.78330238043051</v>
      </c>
      <c r="U149" s="639" t="s">
        <v>84</v>
      </c>
      <c r="V149" s="640">
        <v>0</v>
      </c>
      <c r="W149" s="640">
        <v>0</v>
      </c>
      <c r="X149" s="640">
        <v>106.669872568297</v>
      </c>
      <c r="Y149" s="640">
        <v>1.6020598461664441</v>
      </c>
      <c r="Z149" s="640">
        <v>0</v>
      </c>
      <c r="AA149" s="640">
        <v>0</v>
      </c>
      <c r="AB149" s="640">
        <v>0</v>
      </c>
      <c r="AC149" s="640">
        <v>0</v>
      </c>
      <c r="AD149" s="640">
        <v>6.1061434912109362</v>
      </c>
      <c r="AE149" s="640">
        <v>0</v>
      </c>
      <c r="AF149" s="640">
        <v>0</v>
      </c>
      <c r="AG149" s="640">
        <v>0</v>
      </c>
      <c r="AH149" s="640">
        <v>0</v>
      </c>
      <c r="AI149" s="640">
        <v>0</v>
      </c>
      <c r="AJ149" s="640">
        <v>4.9659354443359369</v>
      </c>
      <c r="AK149" s="648">
        <v>119.34401135001032</v>
      </c>
    </row>
    <row r="150" spans="3:37" x14ac:dyDescent="0.2">
      <c r="C150" s="644" t="s">
        <v>85</v>
      </c>
      <c r="D150" s="645">
        <v>6.3476756101286895</v>
      </c>
      <c r="E150" s="645">
        <v>0</v>
      </c>
      <c r="F150" s="645">
        <v>523.61899137367573</v>
      </c>
      <c r="G150" s="645">
        <v>294.51498449051053</v>
      </c>
      <c r="H150" s="645">
        <v>0</v>
      </c>
      <c r="I150" s="645">
        <v>0</v>
      </c>
      <c r="J150" s="645">
        <v>107.95666307793715</v>
      </c>
      <c r="K150" s="645">
        <v>1.8020012097663161</v>
      </c>
      <c r="L150" s="645">
        <v>33.844802379359088</v>
      </c>
      <c r="M150" s="645">
        <v>5.7805412749111369</v>
      </c>
      <c r="N150" s="645">
        <v>54.409714472774652</v>
      </c>
      <c r="O150" s="645">
        <v>2.8404482619184632</v>
      </c>
      <c r="P150" s="645">
        <v>471.00002722243971</v>
      </c>
      <c r="Q150" s="645">
        <v>35.93929127384601</v>
      </c>
      <c r="R150" s="645">
        <v>1.6713978351002134</v>
      </c>
      <c r="S150" s="645">
        <v>1539.7265384823679</v>
      </c>
      <c r="U150" s="644" t="s">
        <v>85</v>
      </c>
      <c r="V150" s="645">
        <v>0.96947057486293287</v>
      </c>
      <c r="W150" s="645">
        <v>0</v>
      </c>
      <c r="X150" s="645">
        <v>348.66254332185252</v>
      </c>
      <c r="Y150" s="645">
        <v>171.65236774503236</v>
      </c>
      <c r="Z150" s="645">
        <v>0</v>
      </c>
      <c r="AA150" s="645">
        <v>0</v>
      </c>
      <c r="AB150" s="645">
        <v>100.24063406591846</v>
      </c>
      <c r="AC150" s="645">
        <v>5.8624646335327153</v>
      </c>
      <c r="AD150" s="645">
        <v>67.152419330248577</v>
      </c>
      <c r="AE150" s="645">
        <v>25.533007440030815</v>
      </c>
      <c r="AF150" s="645">
        <v>70.498567758341522</v>
      </c>
      <c r="AG150" s="645">
        <v>4.9368188759338274</v>
      </c>
      <c r="AH150" s="645">
        <v>472.52316025955423</v>
      </c>
      <c r="AI150" s="645">
        <v>65.204498303456901</v>
      </c>
      <c r="AJ150" s="645">
        <v>12.150152156541072</v>
      </c>
      <c r="AK150" s="645">
        <v>1345.3861044653063</v>
      </c>
    </row>
    <row r="151" spans="3:37" x14ac:dyDescent="0.2">
      <c r="C151" s="634"/>
      <c r="D151" s="634"/>
      <c r="E151" s="634"/>
      <c r="F151" s="634"/>
      <c r="G151" s="634"/>
      <c r="H151" s="634"/>
      <c r="I151" s="634"/>
      <c r="J151" s="634"/>
      <c r="K151" s="634"/>
      <c r="L151" s="634"/>
      <c r="M151" s="634"/>
      <c r="N151" s="634"/>
      <c r="O151" s="634"/>
      <c r="P151" s="634"/>
      <c r="Q151" s="634"/>
      <c r="R151" s="634"/>
      <c r="S151" s="634"/>
      <c r="U151" s="634"/>
      <c r="V151" s="634"/>
      <c r="W151" s="634"/>
      <c r="X151" s="634"/>
      <c r="Y151" s="634"/>
      <c r="Z151" s="634"/>
      <c r="AA151" s="634"/>
      <c r="AB151" s="634"/>
      <c r="AC151" s="634"/>
      <c r="AD151" s="634"/>
      <c r="AE151" s="634"/>
      <c r="AF151" s="634"/>
      <c r="AG151" s="634"/>
      <c r="AH151" s="634"/>
      <c r="AI151" s="634"/>
      <c r="AJ151" s="634"/>
      <c r="AK151" s="634"/>
    </row>
    <row r="152" spans="3:37" ht="22.5" x14ac:dyDescent="0.3">
      <c r="C152" s="759" t="s">
        <v>358</v>
      </c>
      <c r="D152" s="759"/>
      <c r="E152" s="759"/>
      <c r="F152" s="759"/>
      <c r="G152" s="759"/>
      <c r="H152" s="759"/>
      <c r="I152" s="759"/>
      <c r="J152" s="759"/>
      <c r="K152" s="759"/>
      <c r="L152" s="759"/>
      <c r="M152" s="759"/>
      <c r="N152" s="759"/>
      <c r="O152" s="759"/>
      <c r="P152" s="759"/>
      <c r="Q152" s="759"/>
      <c r="R152" s="759"/>
      <c r="S152" s="759"/>
      <c r="U152" s="759" t="s">
        <v>358</v>
      </c>
      <c r="V152" s="759"/>
      <c r="W152" s="759"/>
      <c r="X152" s="759"/>
      <c r="Y152" s="759"/>
      <c r="Z152" s="759"/>
      <c r="AA152" s="759"/>
      <c r="AB152" s="759"/>
      <c r="AC152" s="759"/>
      <c r="AD152" s="759"/>
      <c r="AE152" s="759"/>
      <c r="AF152" s="759"/>
      <c r="AG152" s="759"/>
      <c r="AH152" s="759"/>
      <c r="AI152" s="759"/>
      <c r="AJ152" s="759"/>
      <c r="AK152" s="759"/>
    </row>
    <row r="153" spans="3:37" x14ac:dyDescent="0.2">
      <c r="C153" s="634"/>
      <c r="D153" s="634"/>
      <c r="E153" s="634"/>
      <c r="F153" s="634"/>
      <c r="G153" s="634"/>
      <c r="H153" s="634"/>
      <c r="I153" s="634"/>
      <c r="J153" s="634"/>
      <c r="K153" s="634"/>
      <c r="L153" s="634"/>
      <c r="M153" s="634"/>
      <c r="N153" s="634"/>
      <c r="O153" s="634"/>
      <c r="P153" s="634"/>
      <c r="Q153" s="634"/>
      <c r="R153" s="634"/>
      <c r="S153" s="634"/>
      <c r="U153" s="634"/>
      <c r="V153" s="634"/>
      <c r="W153" s="634"/>
      <c r="X153" s="634"/>
      <c r="Y153" s="634"/>
      <c r="Z153" s="634"/>
      <c r="AA153" s="634"/>
      <c r="AB153" s="634"/>
      <c r="AC153" s="634"/>
      <c r="AD153" s="634"/>
      <c r="AE153" s="634"/>
      <c r="AF153" s="634"/>
      <c r="AG153" s="634"/>
      <c r="AH153" s="634"/>
      <c r="AI153" s="634"/>
      <c r="AJ153" s="634"/>
      <c r="AK153" s="634"/>
    </row>
    <row r="154" spans="3:37" ht="12.95" customHeight="1" x14ac:dyDescent="0.2">
      <c r="C154" s="758" t="s">
        <v>128</v>
      </c>
      <c r="D154" s="757" t="s">
        <v>42</v>
      </c>
      <c r="E154" s="757" t="s">
        <v>52</v>
      </c>
      <c r="F154" s="757" t="s">
        <v>53</v>
      </c>
      <c r="G154" s="757" t="s">
        <v>32</v>
      </c>
      <c r="H154" s="757" t="s">
        <v>20</v>
      </c>
      <c r="I154" s="757" t="s">
        <v>55</v>
      </c>
      <c r="J154" s="757" t="s">
        <v>56</v>
      </c>
      <c r="K154" s="757"/>
      <c r="L154" s="757"/>
      <c r="M154" s="757"/>
      <c r="N154" s="757"/>
      <c r="O154" s="757"/>
      <c r="P154" s="757" t="s">
        <v>57</v>
      </c>
      <c r="Q154" s="757" t="s">
        <v>58</v>
      </c>
      <c r="R154" s="757" t="s">
        <v>31</v>
      </c>
      <c r="S154" s="757" t="s">
        <v>10</v>
      </c>
      <c r="U154" s="758" t="s">
        <v>128</v>
      </c>
      <c r="V154" s="757" t="s">
        <v>42</v>
      </c>
      <c r="W154" s="757" t="s">
        <v>52</v>
      </c>
      <c r="X154" s="757" t="s">
        <v>53</v>
      </c>
      <c r="Y154" s="757" t="s">
        <v>32</v>
      </c>
      <c r="Z154" s="757" t="s">
        <v>20</v>
      </c>
      <c r="AA154" s="757" t="s">
        <v>55</v>
      </c>
      <c r="AB154" s="757" t="s">
        <v>56</v>
      </c>
      <c r="AC154" s="757"/>
      <c r="AD154" s="757"/>
      <c r="AE154" s="757"/>
      <c r="AF154" s="757"/>
      <c r="AG154" s="757"/>
      <c r="AH154" s="757" t="s">
        <v>57</v>
      </c>
      <c r="AI154" s="757" t="s">
        <v>58</v>
      </c>
      <c r="AJ154" s="757" t="s">
        <v>31</v>
      </c>
      <c r="AK154" s="757" t="s">
        <v>10</v>
      </c>
    </row>
    <row r="155" spans="3:37" ht="56.25" x14ac:dyDescent="0.2">
      <c r="C155" s="758"/>
      <c r="D155" s="757"/>
      <c r="E155" s="757"/>
      <c r="F155" s="757"/>
      <c r="G155" s="757"/>
      <c r="H155" s="757"/>
      <c r="I155" s="757"/>
      <c r="J155" s="638" t="s">
        <v>335</v>
      </c>
      <c r="K155" s="638" t="s">
        <v>40</v>
      </c>
      <c r="L155" s="638" t="s">
        <v>343</v>
      </c>
      <c r="M155" s="638" t="s">
        <v>344</v>
      </c>
      <c r="N155" s="638" t="s">
        <v>345</v>
      </c>
      <c r="O155" s="638" t="s">
        <v>346</v>
      </c>
      <c r="P155" s="757"/>
      <c r="Q155" s="757"/>
      <c r="R155" s="757"/>
      <c r="S155" s="757"/>
      <c r="U155" s="758"/>
      <c r="V155" s="757"/>
      <c r="W155" s="757"/>
      <c r="X155" s="757"/>
      <c r="Y155" s="757"/>
      <c r="Z155" s="757"/>
      <c r="AA155" s="757"/>
      <c r="AB155" s="638" t="s">
        <v>335</v>
      </c>
      <c r="AC155" s="638" t="s">
        <v>40</v>
      </c>
      <c r="AD155" s="638" t="s">
        <v>343</v>
      </c>
      <c r="AE155" s="638" t="s">
        <v>344</v>
      </c>
      <c r="AF155" s="638" t="s">
        <v>345</v>
      </c>
      <c r="AG155" s="638" t="s">
        <v>346</v>
      </c>
      <c r="AH155" s="757"/>
      <c r="AI155" s="757"/>
      <c r="AJ155" s="757"/>
      <c r="AK155" s="757"/>
    </row>
    <row r="156" spans="3:37" x14ac:dyDescent="0.2">
      <c r="C156" s="639" t="s">
        <v>59</v>
      </c>
      <c r="D156" s="640">
        <v>0</v>
      </c>
      <c r="E156" s="641">
        <v>5.8150000000000004</v>
      </c>
      <c r="F156" s="641">
        <v>0</v>
      </c>
      <c r="G156" s="640">
        <v>9.3040000000000012E-2</v>
      </c>
      <c r="H156" s="641">
        <v>1075.0000000000002</v>
      </c>
      <c r="I156" s="641">
        <v>224.13674723416887</v>
      </c>
      <c r="J156" s="641">
        <v>191.59942379122555</v>
      </c>
      <c r="K156" s="641">
        <v>21.432553878964274</v>
      </c>
      <c r="L156" s="641">
        <v>0.38158375751522683</v>
      </c>
      <c r="M156" s="641">
        <v>0.1566638564915529</v>
      </c>
      <c r="N156" s="641">
        <v>57.826394702164251</v>
      </c>
      <c r="O156" s="641">
        <v>8.0717549324466145</v>
      </c>
      <c r="P156" s="642">
        <v>0</v>
      </c>
      <c r="Q156" s="641">
        <v>0</v>
      </c>
      <c r="R156" s="641">
        <v>0</v>
      </c>
      <c r="S156" s="643">
        <v>1584.5131621529763</v>
      </c>
      <c r="U156" s="639" t="s">
        <v>59</v>
      </c>
      <c r="V156" s="640">
        <v>0</v>
      </c>
      <c r="W156" s="641">
        <v>5.8150000000000004</v>
      </c>
      <c r="X156" s="641">
        <v>0</v>
      </c>
      <c r="Y156" s="640">
        <v>9.3040000000000012E-2</v>
      </c>
      <c r="Z156" s="641">
        <v>994.39393939393949</v>
      </c>
      <c r="AA156" s="641">
        <v>248.70674723416883</v>
      </c>
      <c r="AB156" s="641">
        <v>191.76566332259941</v>
      </c>
      <c r="AC156" s="641">
        <v>38.031253697312572</v>
      </c>
      <c r="AD156" s="641">
        <v>0.38158375751522683</v>
      </c>
      <c r="AE156" s="641">
        <v>0.1566638564915529</v>
      </c>
      <c r="AF156" s="641">
        <v>76.992812580470769</v>
      </c>
      <c r="AG156" s="641">
        <v>16.738826185514363</v>
      </c>
      <c r="AH156" s="642">
        <v>0</v>
      </c>
      <c r="AI156" s="641">
        <v>0</v>
      </c>
      <c r="AJ156" s="641">
        <v>0</v>
      </c>
      <c r="AK156" s="643">
        <v>1573.0755300280123</v>
      </c>
    </row>
    <row r="157" spans="3:37" x14ac:dyDescent="0.2">
      <c r="C157" s="639" t="s">
        <v>60</v>
      </c>
      <c r="D157" s="640">
        <v>48.827265231041785</v>
      </c>
      <c r="E157" s="641">
        <v>518.07410535010388</v>
      </c>
      <c r="F157" s="641">
        <v>107.87457071926454</v>
      </c>
      <c r="G157" s="640">
        <v>335.04873882059013</v>
      </c>
      <c r="H157" s="641">
        <v>0</v>
      </c>
      <c r="I157" s="641">
        <v>0</v>
      </c>
      <c r="J157" s="641">
        <v>3.6983557386050134</v>
      </c>
      <c r="K157" s="641">
        <v>0</v>
      </c>
      <c r="L157" s="641">
        <v>2.0715216469959126</v>
      </c>
      <c r="M157" s="641">
        <v>0</v>
      </c>
      <c r="N157" s="641">
        <v>0</v>
      </c>
      <c r="O157" s="641">
        <v>0</v>
      </c>
      <c r="P157" s="642">
        <v>0</v>
      </c>
      <c r="Q157" s="641">
        <v>0</v>
      </c>
      <c r="R157" s="641">
        <v>0</v>
      </c>
      <c r="S157" s="643">
        <v>1015.5945575066012</v>
      </c>
      <c r="U157" s="639" t="s">
        <v>60</v>
      </c>
      <c r="V157" s="640">
        <v>9.7783497021920969</v>
      </c>
      <c r="W157" s="641">
        <v>336.80990869295175</v>
      </c>
      <c r="X157" s="641">
        <v>55.498271181254346</v>
      </c>
      <c r="Y157" s="640">
        <v>207.3573846689826</v>
      </c>
      <c r="Z157" s="641">
        <v>0</v>
      </c>
      <c r="AA157" s="641">
        <v>0</v>
      </c>
      <c r="AB157" s="641">
        <v>3.6983557386050134</v>
      </c>
      <c r="AC157" s="641">
        <v>0</v>
      </c>
      <c r="AD157" s="641">
        <v>2.0715216469959126</v>
      </c>
      <c r="AE157" s="641">
        <v>0</v>
      </c>
      <c r="AF157" s="641">
        <v>0</v>
      </c>
      <c r="AG157" s="641">
        <v>0</v>
      </c>
      <c r="AH157" s="642">
        <v>0</v>
      </c>
      <c r="AI157" s="641">
        <v>0</v>
      </c>
      <c r="AJ157" s="641">
        <v>0</v>
      </c>
      <c r="AK157" s="643">
        <v>615.21379163098163</v>
      </c>
    </row>
    <row r="158" spans="3:37" x14ac:dyDescent="0.2">
      <c r="C158" s="639" t="s">
        <v>61</v>
      </c>
      <c r="D158" s="640">
        <v>0</v>
      </c>
      <c r="E158" s="641">
        <v>0</v>
      </c>
      <c r="F158" s="641">
        <v>0</v>
      </c>
      <c r="G158" s="640">
        <v>0</v>
      </c>
      <c r="H158" s="641">
        <v>0</v>
      </c>
      <c r="I158" s="641">
        <v>0</v>
      </c>
      <c r="J158" s="641">
        <v>0</v>
      </c>
      <c r="K158" s="641">
        <v>0</v>
      </c>
      <c r="L158" s="641">
        <v>0</v>
      </c>
      <c r="M158" s="641">
        <v>0</v>
      </c>
      <c r="N158" s="641">
        <v>0</v>
      </c>
      <c r="O158" s="641">
        <v>0</v>
      </c>
      <c r="P158" s="642">
        <v>-50.941346245748719</v>
      </c>
      <c r="Q158" s="641">
        <v>0</v>
      </c>
      <c r="R158" s="641">
        <v>0</v>
      </c>
      <c r="S158" s="643">
        <v>-50.941346245748719</v>
      </c>
      <c r="U158" s="639" t="s">
        <v>61</v>
      </c>
      <c r="V158" s="640">
        <v>0</v>
      </c>
      <c r="W158" s="641">
        <v>0</v>
      </c>
      <c r="X158" s="641">
        <v>0</v>
      </c>
      <c r="Y158" s="640">
        <v>0</v>
      </c>
      <c r="Z158" s="641">
        <v>0</v>
      </c>
      <c r="AA158" s="641">
        <v>0</v>
      </c>
      <c r="AB158" s="641">
        <v>0</v>
      </c>
      <c r="AC158" s="641">
        <v>0</v>
      </c>
      <c r="AD158" s="641">
        <v>0</v>
      </c>
      <c r="AE158" s="641">
        <v>0</v>
      </c>
      <c r="AF158" s="641">
        <v>0</v>
      </c>
      <c r="AG158" s="641">
        <v>0</v>
      </c>
      <c r="AH158" s="642">
        <v>-32.476172245636349</v>
      </c>
      <c r="AI158" s="641">
        <v>0</v>
      </c>
      <c r="AJ158" s="641">
        <v>0</v>
      </c>
      <c r="AK158" s="643">
        <v>-32.476172245636349</v>
      </c>
    </row>
    <row r="159" spans="3:37" x14ac:dyDescent="0.2">
      <c r="C159" s="639" t="s">
        <v>62</v>
      </c>
      <c r="D159" s="640">
        <v>0</v>
      </c>
      <c r="E159" s="641">
        <v>0</v>
      </c>
      <c r="F159" s="641">
        <v>-16.25862008896565</v>
      </c>
      <c r="G159" s="640">
        <v>0</v>
      </c>
      <c r="H159" s="641">
        <v>0</v>
      </c>
      <c r="I159" s="641">
        <v>0</v>
      </c>
      <c r="J159" s="641">
        <v>0</v>
      </c>
      <c r="K159" s="641">
        <v>0</v>
      </c>
      <c r="L159" s="641">
        <v>0</v>
      </c>
      <c r="M159" s="641">
        <v>0</v>
      </c>
      <c r="N159" s="641">
        <v>0</v>
      </c>
      <c r="O159" s="641">
        <v>0</v>
      </c>
      <c r="P159" s="642">
        <v>0</v>
      </c>
      <c r="Q159" s="641">
        <v>0</v>
      </c>
      <c r="R159" s="641">
        <v>0</v>
      </c>
      <c r="S159" s="643">
        <v>-16.25862008896565</v>
      </c>
      <c r="U159" s="639" t="s">
        <v>62</v>
      </c>
      <c r="V159" s="640">
        <v>0</v>
      </c>
      <c r="W159" s="641">
        <v>0</v>
      </c>
      <c r="X159" s="641">
        <v>-12.937868047131742</v>
      </c>
      <c r="Y159" s="640">
        <v>-1.5571295869756494</v>
      </c>
      <c r="Z159" s="641">
        <v>0</v>
      </c>
      <c r="AA159" s="641">
        <v>0</v>
      </c>
      <c r="AB159" s="641">
        <v>0</v>
      </c>
      <c r="AC159" s="641">
        <v>0</v>
      </c>
      <c r="AD159" s="641">
        <v>0</v>
      </c>
      <c r="AE159" s="641">
        <v>-0.27478757417217342</v>
      </c>
      <c r="AF159" s="641">
        <v>0</v>
      </c>
      <c r="AG159" s="641">
        <v>0</v>
      </c>
      <c r="AH159" s="642">
        <v>0</v>
      </c>
      <c r="AI159" s="641">
        <v>0</v>
      </c>
      <c r="AJ159" s="641">
        <v>0</v>
      </c>
      <c r="AK159" s="643">
        <v>-14.769785208279565</v>
      </c>
    </row>
    <row r="160" spans="3:37" x14ac:dyDescent="0.2">
      <c r="C160" s="639" t="s">
        <v>63</v>
      </c>
      <c r="D160" s="640">
        <v>0</v>
      </c>
      <c r="E160" s="641">
        <v>0</v>
      </c>
      <c r="F160" s="641">
        <v>-83.551471621484865</v>
      </c>
      <c r="G160" s="640">
        <v>0</v>
      </c>
      <c r="H160" s="641">
        <v>0</v>
      </c>
      <c r="I160" s="641">
        <v>0</v>
      </c>
      <c r="J160" s="641">
        <v>0</v>
      </c>
      <c r="K160" s="641">
        <v>0</v>
      </c>
      <c r="L160" s="641">
        <v>-0.85914301655193537</v>
      </c>
      <c r="M160" s="641">
        <v>0</v>
      </c>
      <c r="N160" s="641">
        <v>0</v>
      </c>
      <c r="O160" s="641">
        <v>0</v>
      </c>
      <c r="P160" s="642">
        <v>0</v>
      </c>
      <c r="Q160" s="641">
        <v>0</v>
      </c>
      <c r="R160" s="641">
        <v>0</v>
      </c>
      <c r="S160" s="643">
        <v>-84.410614638036805</v>
      </c>
      <c r="U160" s="639" t="s">
        <v>63</v>
      </c>
      <c r="V160" s="640">
        <v>0</v>
      </c>
      <c r="W160" s="641">
        <v>0</v>
      </c>
      <c r="X160" s="641">
        <v>-67.135202148658564</v>
      </c>
      <c r="Y160" s="640">
        <v>0</v>
      </c>
      <c r="Z160" s="641">
        <v>0</v>
      </c>
      <c r="AA160" s="641">
        <v>0</v>
      </c>
      <c r="AB160" s="641">
        <v>0</v>
      </c>
      <c r="AC160" s="641">
        <v>0</v>
      </c>
      <c r="AD160" s="641">
        <v>-15.117527463171397</v>
      </c>
      <c r="AE160" s="641">
        <v>0</v>
      </c>
      <c r="AF160" s="641">
        <v>0</v>
      </c>
      <c r="AG160" s="641">
        <v>0</v>
      </c>
      <c r="AH160" s="642">
        <v>0</v>
      </c>
      <c r="AI160" s="641">
        <v>0</v>
      </c>
      <c r="AJ160" s="641">
        <v>0</v>
      </c>
      <c r="AK160" s="643">
        <v>-82.252729611829963</v>
      </c>
    </row>
    <row r="161" spans="3:37" x14ac:dyDescent="0.2">
      <c r="C161" s="639" t="s">
        <v>64</v>
      </c>
      <c r="D161" s="640">
        <v>0</v>
      </c>
      <c r="E161" s="641">
        <v>0</v>
      </c>
      <c r="F161" s="641">
        <v>0</v>
      </c>
      <c r="G161" s="640">
        <v>0</v>
      </c>
      <c r="H161" s="641">
        <v>0</v>
      </c>
      <c r="I161" s="641">
        <v>0</v>
      </c>
      <c r="J161" s="641">
        <v>0</v>
      </c>
      <c r="K161" s="641">
        <v>0</v>
      </c>
      <c r="L161" s="641">
        <v>0</v>
      </c>
      <c r="M161" s="641">
        <v>0</v>
      </c>
      <c r="N161" s="641">
        <v>0</v>
      </c>
      <c r="O161" s="641">
        <v>0</v>
      </c>
      <c r="P161" s="642">
        <v>0</v>
      </c>
      <c r="Q161" s="641">
        <v>0</v>
      </c>
      <c r="R161" s="641">
        <v>0</v>
      </c>
      <c r="S161" s="643">
        <v>0</v>
      </c>
      <c r="U161" s="639" t="s">
        <v>64</v>
      </c>
      <c r="V161" s="640">
        <v>0</v>
      </c>
      <c r="W161" s="641">
        <v>0</v>
      </c>
      <c r="X161" s="641">
        <v>0</v>
      </c>
      <c r="Y161" s="640">
        <v>0</v>
      </c>
      <c r="Z161" s="641">
        <v>0</v>
      </c>
      <c r="AA161" s="641">
        <v>0</v>
      </c>
      <c r="AB161" s="641">
        <v>0</v>
      </c>
      <c r="AC161" s="641">
        <v>0</v>
      </c>
      <c r="AD161" s="641">
        <v>0</v>
      </c>
      <c r="AE161" s="641">
        <v>0</v>
      </c>
      <c r="AF161" s="641">
        <v>0</v>
      </c>
      <c r="AG161" s="641">
        <v>0</v>
      </c>
      <c r="AH161" s="642">
        <v>0</v>
      </c>
      <c r="AI161" s="641">
        <v>0</v>
      </c>
      <c r="AJ161" s="641">
        <v>0</v>
      </c>
      <c r="AK161" s="643">
        <v>0</v>
      </c>
    </row>
    <row r="162" spans="3:37" x14ac:dyDescent="0.2">
      <c r="C162" s="644" t="s">
        <v>65</v>
      </c>
      <c r="D162" s="645">
        <v>48.827265231041785</v>
      </c>
      <c r="E162" s="645">
        <v>523.88910535010393</v>
      </c>
      <c r="F162" s="645">
        <v>8.0644790088140255</v>
      </c>
      <c r="G162" s="645">
        <v>335.1417788205901</v>
      </c>
      <c r="H162" s="645">
        <v>1075.0000000000002</v>
      </c>
      <c r="I162" s="645">
        <v>224.13674723416887</v>
      </c>
      <c r="J162" s="645">
        <v>195.29777952983056</v>
      </c>
      <c r="K162" s="645">
        <v>21.432553878964274</v>
      </c>
      <c r="L162" s="645">
        <v>1.5939623879592042</v>
      </c>
      <c r="M162" s="645">
        <v>0.1566638564915529</v>
      </c>
      <c r="N162" s="645">
        <v>57.826394702164251</v>
      </c>
      <c r="O162" s="645">
        <v>8.0717549324466145</v>
      </c>
      <c r="P162" s="645">
        <v>-50.941346245748719</v>
      </c>
      <c r="Q162" s="645">
        <v>0</v>
      </c>
      <c r="R162" s="645">
        <v>0</v>
      </c>
      <c r="S162" s="645">
        <v>2448.4971386868265</v>
      </c>
      <c r="U162" s="644" t="s">
        <v>65</v>
      </c>
      <c r="V162" s="645">
        <v>9.7783497021920969</v>
      </c>
      <c r="W162" s="645">
        <v>342.62490869295175</v>
      </c>
      <c r="X162" s="645">
        <v>-24.574799014535962</v>
      </c>
      <c r="Y162" s="645">
        <v>205.89329508200694</v>
      </c>
      <c r="Z162" s="645">
        <v>994.39393939393949</v>
      </c>
      <c r="AA162" s="645">
        <v>248.70674723416883</v>
      </c>
      <c r="AB162" s="645">
        <v>195.46401906120443</v>
      </c>
      <c r="AC162" s="645">
        <v>38.031253697312572</v>
      </c>
      <c r="AD162" s="645">
        <v>-12.664422058660257</v>
      </c>
      <c r="AE162" s="645">
        <v>-0.11812371768062052</v>
      </c>
      <c r="AF162" s="645">
        <v>76.992812580470769</v>
      </c>
      <c r="AG162" s="645">
        <v>16.738826185514363</v>
      </c>
      <c r="AH162" s="645">
        <v>-32.476172245636349</v>
      </c>
      <c r="AI162" s="645">
        <v>0</v>
      </c>
      <c r="AJ162" s="645">
        <v>0</v>
      </c>
      <c r="AK162" s="645">
        <v>2058.7906345932479</v>
      </c>
    </row>
    <row r="163" spans="3:37" x14ac:dyDescent="0.2">
      <c r="C163" s="634"/>
      <c r="D163" s="634">
        <v>0</v>
      </c>
      <c r="E163" s="634">
        <v>0</v>
      </c>
      <c r="F163" s="634">
        <v>0</v>
      </c>
      <c r="G163" s="634">
        <v>0</v>
      </c>
      <c r="H163" s="634">
        <v>0</v>
      </c>
      <c r="I163" s="634">
        <v>0</v>
      </c>
      <c r="J163" s="634">
        <v>0</v>
      </c>
      <c r="K163" s="634">
        <v>0</v>
      </c>
      <c r="L163" s="634">
        <v>0</v>
      </c>
      <c r="M163" s="634">
        <v>0</v>
      </c>
      <c r="N163" s="634">
        <v>0</v>
      </c>
      <c r="O163" s="634">
        <v>0</v>
      </c>
      <c r="P163" s="634">
        <v>0</v>
      </c>
      <c r="Q163" s="634">
        <v>0</v>
      </c>
      <c r="R163" s="634">
        <v>0</v>
      </c>
      <c r="S163" s="634">
        <v>0</v>
      </c>
      <c r="U163" s="634"/>
      <c r="V163" s="634">
        <v>0</v>
      </c>
      <c r="W163" s="634">
        <v>0</v>
      </c>
      <c r="X163" s="634">
        <v>0</v>
      </c>
      <c r="Y163" s="634">
        <v>0</v>
      </c>
      <c r="Z163" s="634">
        <v>0</v>
      </c>
      <c r="AA163" s="634">
        <v>0</v>
      </c>
      <c r="AB163" s="634">
        <v>0</v>
      </c>
      <c r="AC163" s="634">
        <v>0</v>
      </c>
      <c r="AD163" s="634">
        <v>0</v>
      </c>
      <c r="AE163" s="634">
        <v>0</v>
      </c>
      <c r="AF163" s="634">
        <v>0</v>
      </c>
      <c r="AG163" s="634">
        <v>0</v>
      </c>
      <c r="AH163" s="634">
        <v>0</v>
      </c>
      <c r="AI163" s="634">
        <v>0</v>
      </c>
      <c r="AJ163" s="634">
        <v>0</v>
      </c>
      <c r="AK163" s="634">
        <v>0</v>
      </c>
    </row>
    <row r="164" spans="3:37" x14ac:dyDescent="0.2">
      <c r="C164" s="646" t="s">
        <v>67</v>
      </c>
      <c r="D164" s="640">
        <v>0</v>
      </c>
      <c r="E164" s="647">
        <v>0</v>
      </c>
      <c r="F164" s="647">
        <v>0</v>
      </c>
      <c r="G164" s="640">
        <v>0</v>
      </c>
      <c r="H164" s="640">
        <v>0</v>
      </c>
      <c r="I164" s="640">
        <v>0</v>
      </c>
      <c r="J164" s="640">
        <v>0</v>
      </c>
      <c r="K164" s="640">
        <v>0</v>
      </c>
      <c r="L164" s="640">
        <v>0</v>
      </c>
      <c r="M164" s="640">
        <v>0</v>
      </c>
      <c r="N164" s="640">
        <v>0</v>
      </c>
      <c r="O164" s="640">
        <v>0</v>
      </c>
      <c r="P164" s="640">
        <v>0</v>
      </c>
      <c r="Q164" s="640">
        <v>0</v>
      </c>
      <c r="R164" s="640">
        <v>0</v>
      </c>
      <c r="S164" s="648">
        <v>0</v>
      </c>
      <c r="U164" s="646" t="s">
        <v>67</v>
      </c>
      <c r="V164" s="640">
        <v>0</v>
      </c>
      <c r="W164" s="647">
        <v>0</v>
      </c>
      <c r="X164" s="647">
        <v>0</v>
      </c>
      <c r="Y164" s="640">
        <v>0</v>
      </c>
      <c r="Z164" s="640">
        <v>0</v>
      </c>
      <c r="AA164" s="640">
        <v>0</v>
      </c>
      <c r="AB164" s="640">
        <v>0</v>
      </c>
      <c r="AC164" s="640">
        <v>0</v>
      </c>
      <c r="AD164" s="640">
        <v>0</v>
      </c>
      <c r="AE164" s="640">
        <v>0</v>
      </c>
      <c r="AF164" s="640">
        <v>0</v>
      </c>
      <c r="AG164" s="640">
        <v>0</v>
      </c>
      <c r="AH164" s="640">
        <v>0</v>
      </c>
      <c r="AI164" s="640">
        <v>0</v>
      </c>
      <c r="AJ164" s="640">
        <v>0</v>
      </c>
      <c r="AK164" s="648">
        <v>0</v>
      </c>
    </row>
    <row r="165" spans="3:37" x14ac:dyDescent="0.2">
      <c r="C165" s="646" t="s">
        <v>347</v>
      </c>
      <c r="D165" s="640">
        <v>2.8267856410252494</v>
      </c>
      <c r="E165" s="640">
        <v>0</v>
      </c>
      <c r="F165" s="640">
        <v>7.9696731063521415</v>
      </c>
      <c r="G165" s="640">
        <v>17.422222222222224</v>
      </c>
      <c r="H165" s="640">
        <v>1075.0000000000002</v>
      </c>
      <c r="I165" s="640">
        <v>224.13674723416887</v>
      </c>
      <c r="J165" s="649">
        <v>30.45355250478201</v>
      </c>
      <c r="K165" s="649">
        <v>7.4482212846984126</v>
      </c>
      <c r="L165" s="649">
        <v>2.4531054045111396</v>
      </c>
      <c r="M165" s="649">
        <v>0.47972213502804317</v>
      </c>
      <c r="N165" s="649">
        <v>0</v>
      </c>
      <c r="O165" s="649">
        <v>3.0833964576427819</v>
      </c>
      <c r="P165" s="640">
        <v>-609.30151807373261</v>
      </c>
      <c r="Q165" s="640">
        <v>0</v>
      </c>
      <c r="R165" s="640">
        <v>0</v>
      </c>
      <c r="S165" s="648">
        <v>761.97190791669834</v>
      </c>
      <c r="U165" s="646" t="s">
        <v>347</v>
      </c>
      <c r="V165" s="640">
        <v>0.62631490545869017</v>
      </c>
      <c r="W165" s="640">
        <v>0</v>
      </c>
      <c r="X165" s="640">
        <v>4.1060367427157782</v>
      </c>
      <c r="Y165" s="640">
        <v>24.857777777777773</v>
      </c>
      <c r="Z165" s="640">
        <v>994.39393939393949</v>
      </c>
      <c r="AA165" s="640">
        <v>248.70674723416883</v>
      </c>
      <c r="AB165" s="649">
        <v>24.641197042508384</v>
      </c>
      <c r="AC165" s="649">
        <v>6.6719525843779666</v>
      </c>
      <c r="AD165" s="649">
        <v>2.4531054045111396</v>
      </c>
      <c r="AE165" s="649">
        <v>4.5108332461391543</v>
      </c>
      <c r="AF165" s="649">
        <v>0</v>
      </c>
      <c r="AG165" s="649">
        <v>3.0833964576427819</v>
      </c>
      <c r="AH165" s="640">
        <v>-611.77151807373264</v>
      </c>
      <c r="AI165" s="640">
        <v>0</v>
      </c>
      <c r="AJ165" s="640">
        <v>2.3749999999999996</v>
      </c>
      <c r="AK165" s="648">
        <v>704.65478271550762</v>
      </c>
    </row>
    <row r="166" spans="3:37" x14ac:dyDescent="0.2">
      <c r="C166" s="646" t="s">
        <v>348</v>
      </c>
      <c r="D166" s="640">
        <v>0</v>
      </c>
      <c r="E166" s="640">
        <v>0</v>
      </c>
      <c r="F166" s="640">
        <v>0</v>
      </c>
      <c r="G166" s="640">
        <v>15.160725636684646</v>
      </c>
      <c r="H166" s="640">
        <v>0</v>
      </c>
      <c r="I166" s="640">
        <v>0</v>
      </c>
      <c r="J166" s="649">
        <v>12.939045348987106</v>
      </c>
      <c r="K166" s="649">
        <v>12.151724678588742</v>
      </c>
      <c r="L166" s="649">
        <v>0</v>
      </c>
      <c r="M166" s="649">
        <v>0.32322722394029924</v>
      </c>
      <c r="N166" s="649">
        <v>0</v>
      </c>
      <c r="O166" s="649">
        <v>2.1538235080806043</v>
      </c>
      <c r="P166" s="640">
        <v>0</v>
      </c>
      <c r="Q166" s="640">
        <v>-38.589386176372813</v>
      </c>
      <c r="R166" s="640">
        <v>0</v>
      </c>
      <c r="S166" s="648">
        <v>4.1391602199085806</v>
      </c>
      <c r="U166" s="646" t="s">
        <v>348</v>
      </c>
      <c r="V166" s="640">
        <v>0</v>
      </c>
      <c r="W166" s="640">
        <v>0</v>
      </c>
      <c r="X166" s="640">
        <v>0</v>
      </c>
      <c r="Y166" s="640">
        <v>15.290780965453443</v>
      </c>
      <c r="Z166" s="640">
        <v>0</v>
      </c>
      <c r="AA166" s="640">
        <v>0</v>
      </c>
      <c r="AB166" s="649">
        <v>28.500378674784677</v>
      </c>
      <c r="AC166" s="649">
        <v>25.381229817913329</v>
      </c>
      <c r="AD166" s="649">
        <v>0</v>
      </c>
      <c r="AE166" s="649">
        <v>2.712197771476935</v>
      </c>
      <c r="AF166" s="649">
        <v>0</v>
      </c>
      <c r="AG166" s="649">
        <v>8.3103526067541207</v>
      </c>
      <c r="AH166" s="640">
        <v>0</v>
      </c>
      <c r="AI166" s="640">
        <v>-73.223954421682024</v>
      </c>
      <c r="AJ166" s="640">
        <v>0</v>
      </c>
      <c r="AK166" s="648">
        <v>6.9709854147004844</v>
      </c>
    </row>
    <row r="167" spans="3:37" x14ac:dyDescent="0.2">
      <c r="C167" s="646" t="s">
        <v>349</v>
      </c>
      <c r="D167" s="640">
        <v>0</v>
      </c>
      <c r="E167" s="640">
        <v>0</v>
      </c>
      <c r="F167" s="640">
        <v>0</v>
      </c>
      <c r="G167" s="640">
        <v>0</v>
      </c>
      <c r="H167" s="640">
        <v>0</v>
      </c>
      <c r="I167" s="640">
        <v>0</v>
      </c>
      <c r="J167" s="650">
        <v>7.3987592400222235</v>
      </c>
      <c r="K167" s="650">
        <v>0</v>
      </c>
      <c r="L167" s="650">
        <v>0</v>
      </c>
      <c r="M167" s="650">
        <v>-6.5941441726698065</v>
      </c>
      <c r="N167" s="650">
        <v>0</v>
      </c>
      <c r="O167" s="650">
        <v>0</v>
      </c>
      <c r="P167" s="640">
        <v>0</v>
      </c>
      <c r="Q167" s="640">
        <v>0</v>
      </c>
      <c r="R167" s="640">
        <v>0</v>
      </c>
      <c r="S167" s="648">
        <v>0.80461506735241706</v>
      </c>
      <c r="U167" s="646" t="s">
        <v>349</v>
      </c>
      <c r="V167" s="640">
        <v>0</v>
      </c>
      <c r="W167" s="640">
        <v>0</v>
      </c>
      <c r="X167" s="640">
        <v>0</v>
      </c>
      <c r="Y167" s="640">
        <v>0</v>
      </c>
      <c r="Z167" s="640">
        <v>0</v>
      </c>
      <c r="AA167" s="640">
        <v>0</v>
      </c>
      <c r="AB167" s="650">
        <v>40.786473386605621</v>
      </c>
      <c r="AC167" s="650">
        <v>0</v>
      </c>
      <c r="AD167" s="650">
        <v>0</v>
      </c>
      <c r="AE167" s="650">
        <v>-36.350944405812257</v>
      </c>
      <c r="AF167" s="650">
        <v>0</v>
      </c>
      <c r="AG167" s="650">
        <v>0</v>
      </c>
      <c r="AH167" s="640">
        <v>0</v>
      </c>
      <c r="AI167" s="640">
        <v>0</v>
      </c>
      <c r="AJ167" s="640">
        <v>0</v>
      </c>
      <c r="AK167" s="648">
        <v>4.4355289807933644</v>
      </c>
    </row>
    <row r="168" spans="3:37" x14ac:dyDescent="0.2">
      <c r="C168" s="646" t="s">
        <v>350</v>
      </c>
      <c r="D168" s="640">
        <v>0</v>
      </c>
      <c r="E168" s="640">
        <v>0</v>
      </c>
      <c r="F168" s="640">
        <v>0</v>
      </c>
      <c r="G168" s="640">
        <v>0</v>
      </c>
      <c r="H168" s="640">
        <v>0</v>
      </c>
      <c r="I168" s="640">
        <v>0</v>
      </c>
      <c r="J168" s="640">
        <v>0</v>
      </c>
      <c r="K168" s="640">
        <v>0</v>
      </c>
      <c r="L168" s="640">
        <v>0</v>
      </c>
      <c r="M168" s="640">
        <v>0</v>
      </c>
      <c r="N168" s="640">
        <v>0</v>
      </c>
      <c r="O168" s="640">
        <v>0</v>
      </c>
      <c r="P168" s="640">
        <v>0</v>
      </c>
      <c r="Q168" s="640">
        <v>0</v>
      </c>
      <c r="R168" s="640">
        <v>0</v>
      </c>
      <c r="S168" s="648">
        <v>0</v>
      </c>
      <c r="U168" s="646" t="s">
        <v>350</v>
      </c>
      <c r="V168" s="640">
        <v>0</v>
      </c>
      <c r="W168" s="640">
        <v>0</v>
      </c>
      <c r="X168" s="640">
        <v>0</v>
      </c>
      <c r="Y168" s="640">
        <v>0</v>
      </c>
      <c r="Z168" s="640">
        <v>0</v>
      </c>
      <c r="AA168" s="640">
        <v>0</v>
      </c>
      <c r="AB168" s="640">
        <v>0</v>
      </c>
      <c r="AC168" s="640">
        <v>0</v>
      </c>
      <c r="AD168" s="640">
        <v>0</v>
      </c>
      <c r="AE168" s="640">
        <v>0</v>
      </c>
      <c r="AF168" s="640">
        <v>0</v>
      </c>
      <c r="AG168" s="640">
        <v>0</v>
      </c>
      <c r="AH168" s="640">
        <v>0</v>
      </c>
      <c r="AI168" s="640">
        <v>0</v>
      </c>
      <c r="AJ168" s="640">
        <v>0</v>
      </c>
      <c r="AK168" s="648">
        <v>0</v>
      </c>
    </row>
    <row r="169" spans="3:37" x14ac:dyDescent="0.2">
      <c r="C169" s="646" t="s">
        <v>72</v>
      </c>
      <c r="D169" s="640">
        <v>0</v>
      </c>
      <c r="E169" s="640">
        <v>542.69343279650275</v>
      </c>
      <c r="F169" s="640">
        <v>-537.26649846853775</v>
      </c>
      <c r="G169" s="640">
        <v>0</v>
      </c>
      <c r="H169" s="640">
        <v>0</v>
      </c>
      <c r="I169" s="640">
        <v>0</v>
      </c>
      <c r="J169" s="640">
        <v>0</v>
      </c>
      <c r="K169" s="640">
        <v>0</v>
      </c>
      <c r="L169" s="640">
        <v>0</v>
      </c>
      <c r="M169" s="640">
        <v>0</v>
      </c>
      <c r="N169" s="640">
        <v>0</v>
      </c>
      <c r="O169" s="640">
        <v>0</v>
      </c>
      <c r="P169" s="640">
        <v>0</v>
      </c>
      <c r="Q169" s="640">
        <v>0</v>
      </c>
      <c r="R169" s="640">
        <v>0</v>
      </c>
      <c r="S169" s="648">
        <v>5.4269343279650002</v>
      </c>
      <c r="U169" s="646" t="s">
        <v>72</v>
      </c>
      <c r="V169" s="640">
        <v>0</v>
      </c>
      <c r="W169" s="640">
        <v>354.9229903070925</v>
      </c>
      <c r="X169" s="640">
        <v>-351.3737604040216</v>
      </c>
      <c r="Y169" s="640">
        <v>0</v>
      </c>
      <c r="Z169" s="640">
        <v>0</v>
      </c>
      <c r="AA169" s="640">
        <v>0</v>
      </c>
      <c r="AB169" s="640">
        <v>0</v>
      </c>
      <c r="AC169" s="640">
        <v>0</v>
      </c>
      <c r="AD169" s="640">
        <v>0</v>
      </c>
      <c r="AE169" s="640">
        <v>0</v>
      </c>
      <c r="AF169" s="640">
        <v>0</v>
      </c>
      <c r="AG169" s="640">
        <v>0</v>
      </c>
      <c r="AH169" s="640">
        <v>0</v>
      </c>
      <c r="AI169" s="640">
        <v>0</v>
      </c>
      <c r="AJ169" s="640">
        <v>0</v>
      </c>
      <c r="AK169" s="648">
        <v>3.5492299030709091</v>
      </c>
    </row>
    <row r="170" spans="3:37" x14ac:dyDescent="0.2">
      <c r="C170" s="646" t="s">
        <v>351</v>
      </c>
      <c r="D170" s="640">
        <v>0</v>
      </c>
      <c r="E170" s="640">
        <v>0</v>
      </c>
      <c r="F170" s="640">
        <v>0</v>
      </c>
      <c r="G170" s="640">
        <v>0</v>
      </c>
      <c r="H170" s="640">
        <v>0</v>
      </c>
      <c r="I170" s="640">
        <v>0</v>
      </c>
      <c r="J170" s="640">
        <v>32.75009012852766</v>
      </c>
      <c r="K170" s="640">
        <v>0</v>
      </c>
      <c r="L170" s="640">
        <v>-32.75009012852766</v>
      </c>
      <c r="M170" s="640">
        <v>0</v>
      </c>
      <c r="N170" s="640">
        <v>0</v>
      </c>
      <c r="O170" s="640">
        <v>0</v>
      </c>
      <c r="P170" s="640">
        <v>0</v>
      </c>
      <c r="Q170" s="640">
        <v>0</v>
      </c>
      <c r="R170" s="640">
        <v>0</v>
      </c>
      <c r="S170" s="648">
        <v>0</v>
      </c>
      <c r="U170" s="646" t="s">
        <v>351</v>
      </c>
      <c r="V170" s="640">
        <v>0</v>
      </c>
      <c r="W170" s="640">
        <v>0</v>
      </c>
      <c r="X170" s="640">
        <v>0</v>
      </c>
      <c r="Y170" s="640">
        <v>0</v>
      </c>
      <c r="Z170" s="640">
        <v>0</v>
      </c>
      <c r="AA170" s="640">
        <v>0</v>
      </c>
      <c r="AB170" s="640" t="e">
        <v>#VALUE!</v>
      </c>
      <c r="AC170" s="640">
        <v>0</v>
      </c>
      <c r="AD170" s="640">
        <v>-76.638831624044727</v>
      </c>
      <c r="AE170" s="640">
        <v>0</v>
      </c>
      <c r="AF170" s="640">
        <v>0</v>
      </c>
      <c r="AG170" s="640">
        <v>0</v>
      </c>
      <c r="AH170" s="640">
        <v>0</v>
      </c>
      <c r="AI170" s="640">
        <v>0</v>
      </c>
      <c r="AJ170" s="640">
        <v>0</v>
      </c>
      <c r="AK170" s="648">
        <v>-76.638831624044727</v>
      </c>
    </row>
    <row r="171" spans="3:37" x14ac:dyDescent="0.2">
      <c r="C171" s="646" t="s">
        <v>352</v>
      </c>
      <c r="D171" s="640">
        <v>0</v>
      </c>
      <c r="E171" s="640">
        <v>0</v>
      </c>
      <c r="F171" s="640">
        <v>0</v>
      </c>
      <c r="G171" s="640">
        <v>0</v>
      </c>
      <c r="H171" s="640">
        <v>0</v>
      </c>
      <c r="I171" s="640">
        <v>0</v>
      </c>
      <c r="J171" s="640">
        <v>0</v>
      </c>
      <c r="K171" s="640">
        <v>0</v>
      </c>
      <c r="L171" s="640">
        <v>0</v>
      </c>
      <c r="M171" s="640">
        <v>0</v>
      </c>
      <c r="N171" s="640">
        <v>0</v>
      </c>
      <c r="O171" s="640">
        <v>0</v>
      </c>
      <c r="P171" s="640">
        <v>0</v>
      </c>
      <c r="Q171" s="640">
        <v>0</v>
      </c>
      <c r="R171" s="640">
        <v>0</v>
      </c>
      <c r="S171" s="648">
        <v>0</v>
      </c>
      <c r="U171" s="646" t="s">
        <v>352</v>
      </c>
      <c r="V171" s="640">
        <v>0</v>
      </c>
      <c r="W171" s="640">
        <v>0</v>
      </c>
      <c r="X171" s="640">
        <v>0</v>
      </c>
      <c r="Y171" s="640">
        <v>0</v>
      </c>
      <c r="Z171" s="640">
        <v>0</v>
      </c>
      <c r="AA171" s="640">
        <v>0</v>
      </c>
      <c r="AB171" s="640">
        <v>0</v>
      </c>
      <c r="AC171" s="640">
        <v>0</v>
      </c>
      <c r="AD171" s="640">
        <v>-16.893833779014706</v>
      </c>
      <c r="AE171" s="640">
        <v>0</v>
      </c>
      <c r="AF171" s="640">
        <v>0</v>
      </c>
      <c r="AG171" s="640">
        <v>0</v>
      </c>
      <c r="AH171" s="640">
        <v>0</v>
      </c>
      <c r="AI171" s="640">
        <v>0</v>
      </c>
      <c r="AJ171" s="640">
        <v>0</v>
      </c>
      <c r="AK171" s="648">
        <v>-16.893833779014706</v>
      </c>
    </row>
    <row r="172" spans="3:37" x14ac:dyDescent="0.2">
      <c r="C172" s="646" t="s">
        <v>73</v>
      </c>
      <c r="D172" s="640">
        <v>0</v>
      </c>
      <c r="E172" s="640">
        <v>0</v>
      </c>
      <c r="F172" s="640">
        <v>0</v>
      </c>
      <c r="G172" s="640">
        <v>2.9190475912378031</v>
      </c>
      <c r="H172" s="640">
        <v>0</v>
      </c>
      <c r="I172" s="640">
        <v>0</v>
      </c>
      <c r="J172" s="640">
        <v>0</v>
      </c>
      <c r="K172" s="640">
        <v>3.3095777678433143E-2</v>
      </c>
      <c r="L172" s="640">
        <v>0</v>
      </c>
      <c r="M172" s="640">
        <v>5.9572399821179664E-2</v>
      </c>
      <c r="N172" s="640">
        <v>0</v>
      </c>
      <c r="O172" s="640">
        <v>0</v>
      </c>
      <c r="P172" s="640">
        <v>0.31236464325712177</v>
      </c>
      <c r="Q172" s="640">
        <v>0</v>
      </c>
      <c r="R172" s="640">
        <v>-2.3167044374903201</v>
      </c>
      <c r="S172" s="648">
        <v>1.0073759745042175</v>
      </c>
      <c r="U172" s="646" t="s">
        <v>73</v>
      </c>
      <c r="V172" s="640">
        <v>0</v>
      </c>
      <c r="W172" s="640">
        <v>0</v>
      </c>
      <c r="X172" s="640">
        <v>0</v>
      </c>
      <c r="Y172" s="640">
        <v>6.287229939138852</v>
      </c>
      <c r="Z172" s="640">
        <v>0</v>
      </c>
      <c r="AA172" s="640">
        <v>0</v>
      </c>
      <c r="AB172" s="640">
        <v>0</v>
      </c>
      <c r="AC172" s="640">
        <v>0.25073698660573684</v>
      </c>
      <c r="AD172" s="640">
        <v>0</v>
      </c>
      <c r="AE172" s="640">
        <v>1.1095111657303856</v>
      </c>
      <c r="AF172" s="640">
        <v>0</v>
      </c>
      <c r="AG172" s="640">
        <v>0</v>
      </c>
      <c r="AH172" s="640">
        <v>18.274688237257074</v>
      </c>
      <c r="AI172" s="640">
        <v>0</v>
      </c>
      <c r="AJ172" s="640">
        <v>-17.551589062401579</v>
      </c>
      <c r="AK172" s="648">
        <v>8.3705772663304678</v>
      </c>
    </row>
    <row r="173" spans="3:37" x14ac:dyDescent="0.2">
      <c r="C173" s="646" t="s">
        <v>353</v>
      </c>
      <c r="D173" s="640">
        <v>28.656195468750003</v>
      </c>
      <c r="E173" s="640">
        <v>-18.804327446398823</v>
      </c>
      <c r="F173" s="640">
        <v>24.594949618470011</v>
      </c>
      <c r="G173" s="640">
        <v>0</v>
      </c>
      <c r="H173" s="640">
        <v>0</v>
      </c>
      <c r="I173" s="640">
        <v>0</v>
      </c>
      <c r="J173" s="640">
        <v>0</v>
      </c>
      <c r="K173" s="640">
        <v>0</v>
      </c>
      <c r="L173" s="640">
        <v>0</v>
      </c>
      <c r="M173" s="640">
        <v>0</v>
      </c>
      <c r="N173" s="640">
        <v>0</v>
      </c>
      <c r="O173" s="640">
        <v>0</v>
      </c>
      <c r="P173" s="640">
        <v>0</v>
      </c>
      <c r="Q173" s="640">
        <v>0</v>
      </c>
      <c r="R173" s="640">
        <v>0</v>
      </c>
      <c r="S173" s="648">
        <v>34.446817640821195</v>
      </c>
      <c r="U173" s="646" t="s">
        <v>353</v>
      </c>
      <c r="V173" s="640">
        <v>3.6632235107421875</v>
      </c>
      <c r="W173" s="640">
        <v>-12.298081614140758</v>
      </c>
      <c r="X173" s="640">
        <v>16.085164362607916</v>
      </c>
      <c r="Y173" s="640">
        <v>0</v>
      </c>
      <c r="Z173" s="640">
        <v>0</v>
      </c>
      <c r="AA173" s="640">
        <v>0</v>
      </c>
      <c r="AB173" s="640">
        <v>0</v>
      </c>
      <c r="AC173" s="640">
        <v>0</v>
      </c>
      <c r="AD173" s="640">
        <v>0</v>
      </c>
      <c r="AE173" s="640">
        <v>0</v>
      </c>
      <c r="AF173" s="640">
        <v>0</v>
      </c>
      <c r="AG173" s="640">
        <v>0</v>
      </c>
      <c r="AH173" s="640">
        <v>0</v>
      </c>
      <c r="AI173" s="640">
        <v>0</v>
      </c>
      <c r="AJ173" s="640">
        <v>0</v>
      </c>
      <c r="AK173" s="648">
        <v>7.450306259209345</v>
      </c>
    </row>
    <row r="174" spans="3:37" x14ac:dyDescent="0.2">
      <c r="C174" s="646" t="s">
        <v>75</v>
      </c>
      <c r="D174" s="640">
        <v>11.144076015625002</v>
      </c>
      <c r="E174" s="640">
        <v>0</v>
      </c>
      <c r="F174" s="640">
        <v>18.451576715081096</v>
      </c>
      <c r="G174" s="640">
        <v>5.2652116849916704</v>
      </c>
      <c r="H174" s="640">
        <v>0</v>
      </c>
      <c r="I174" s="640">
        <v>0</v>
      </c>
      <c r="J174" s="640">
        <v>0</v>
      </c>
      <c r="K174" s="640">
        <v>0</v>
      </c>
      <c r="L174" s="640">
        <v>0</v>
      </c>
      <c r="M174" s="640">
        <v>0.10745329969370757</v>
      </c>
      <c r="N174" s="640">
        <v>0</v>
      </c>
      <c r="O174" s="640">
        <v>0</v>
      </c>
      <c r="P174" s="640">
        <v>33.522260759660846</v>
      </c>
      <c r="Q174" s="640">
        <v>0</v>
      </c>
      <c r="R174" s="640">
        <v>0</v>
      </c>
      <c r="S174" s="648">
        <v>68.490578475052317</v>
      </c>
      <c r="U174" s="646" t="s">
        <v>75</v>
      </c>
      <c r="V174" s="640">
        <v>4.4693862304687499</v>
      </c>
      <c r="W174" s="640">
        <v>0</v>
      </c>
      <c r="X174" s="640">
        <v>18.451576715081096</v>
      </c>
      <c r="Y174" s="640">
        <v>4.5667652369825715</v>
      </c>
      <c r="Z174" s="640">
        <v>0</v>
      </c>
      <c r="AA174" s="640">
        <v>0</v>
      </c>
      <c r="AB174" s="640">
        <v>0</v>
      </c>
      <c r="AC174" s="640">
        <v>0</v>
      </c>
      <c r="AD174" s="640">
        <v>0</v>
      </c>
      <c r="AE174" s="640">
        <v>0.8058997477028067</v>
      </c>
      <c r="AF174" s="640">
        <v>0</v>
      </c>
      <c r="AG174" s="640">
        <v>0</v>
      </c>
      <c r="AH174" s="640">
        <v>33.775215305115388</v>
      </c>
      <c r="AI174" s="640">
        <v>0</v>
      </c>
      <c r="AJ174" s="640">
        <v>0</v>
      </c>
      <c r="AK174" s="648">
        <v>62.068843235350613</v>
      </c>
    </row>
    <row r="175" spans="3:37" x14ac:dyDescent="0.2">
      <c r="C175" s="646" t="s">
        <v>76</v>
      </c>
      <c r="D175" s="640">
        <v>0</v>
      </c>
      <c r="E175" s="640">
        <v>0</v>
      </c>
      <c r="F175" s="640">
        <v>0</v>
      </c>
      <c r="G175" s="640">
        <v>3.8313802109978718</v>
      </c>
      <c r="H175" s="640">
        <v>0</v>
      </c>
      <c r="I175" s="640">
        <v>0</v>
      </c>
      <c r="J175" s="640">
        <v>0</v>
      </c>
      <c r="K175" s="640">
        <v>0</v>
      </c>
      <c r="L175" s="640">
        <v>0</v>
      </c>
      <c r="M175" s="640">
        <v>7.8191432877507586E-2</v>
      </c>
      <c r="N175" s="640">
        <v>0</v>
      </c>
      <c r="O175" s="640">
        <v>0</v>
      </c>
      <c r="P175" s="640">
        <v>42.744249460921445</v>
      </c>
      <c r="Q175" s="640">
        <v>2.9948048478615572</v>
      </c>
      <c r="R175" s="640">
        <v>0</v>
      </c>
      <c r="S175" s="648">
        <v>49.648625952658385</v>
      </c>
      <c r="U175" s="646" t="s">
        <v>76</v>
      </c>
      <c r="V175" s="640">
        <v>0</v>
      </c>
      <c r="W175" s="640">
        <v>0</v>
      </c>
      <c r="X175" s="640">
        <v>0</v>
      </c>
      <c r="Y175" s="640">
        <v>2.4425535766751323</v>
      </c>
      <c r="Z175" s="640">
        <v>0</v>
      </c>
      <c r="AA175" s="640">
        <v>0</v>
      </c>
      <c r="AB175" s="640">
        <v>0</v>
      </c>
      <c r="AC175" s="640">
        <v>0</v>
      </c>
      <c r="AD175" s="640">
        <v>0</v>
      </c>
      <c r="AE175" s="640">
        <v>0.43103886647208217</v>
      </c>
      <c r="AF175" s="640">
        <v>0</v>
      </c>
      <c r="AG175" s="640">
        <v>0</v>
      </c>
      <c r="AH175" s="640">
        <v>44.348699545879278</v>
      </c>
      <c r="AI175" s="640">
        <v>5.6786643797858867</v>
      </c>
      <c r="AJ175" s="640">
        <v>0</v>
      </c>
      <c r="AK175" s="648">
        <v>52.900956368812388</v>
      </c>
    </row>
    <row r="176" spans="3:37" x14ac:dyDescent="0.2">
      <c r="C176" s="644" t="s">
        <v>77</v>
      </c>
      <c r="D176" s="645">
        <v>42.627057125400256</v>
      </c>
      <c r="E176" s="645">
        <v>523.88910535010393</v>
      </c>
      <c r="F176" s="645">
        <v>-486.25029902863446</v>
      </c>
      <c r="G176" s="645">
        <v>44.598587346134217</v>
      </c>
      <c r="H176" s="645">
        <v>1075.0000000000002</v>
      </c>
      <c r="I176" s="645">
        <v>224.13674723416887</v>
      </c>
      <c r="J176" s="645">
        <v>83.541447222318993</v>
      </c>
      <c r="K176" s="645">
        <v>19.633041740965588</v>
      </c>
      <c r="L176" s="645">
        <v>-30.296984724016522</v>
      </c>
      <c r="M176" s="645">
        <v>-5.5459776813090693</v>
      </c>
      <c r="N176" s="645">
        <v>0</v>
      </c>
      <c r="O176" s="645">
        <v>5.2372199657233862</v>
      </c>
      <c r="P176" s="645">
        <v>-532.72264320989325</v>
      </c>
      <c r="Q176" s="645">
        <v>-35.594581328511254</v>
      </c>
      <c r="R176" s="645">
        <v>-2.3167044374903201</v>
      </c>
      <c r="S176" s="645">
        <v>925.93601557496061</v>
      </c>
      <c r="U176" s="644" t="s">
        <v>77</v>
      </c>
      <c r="V176" s="645">
        <v>8.7589246466696284</v>
      </c>
      <c r="W176" s="645">
        <v>342.62490869295175</v>
      </c>
      <c r="X176" s="645">
        <v>-312.73098258361676</v>
      </c>
      <c r="Y176" s="645">
        <v>53.445107496027774</v>
      </c>
      <c r="Z176" s="645">
        <v>994.39393939393949</v>
      </c>
      <c r="AA176" s="645">
        <v>248.70674723416883</v>
      </c>
      <c r="AB176" s="645">
        <v>93.928049103898687</v>
      </c>
      <c r="AC176" s="645">
        <v>32.303919388897036</v>
      </c>
      <c r="AD176" s="645">
        <v>-91.079559998548305</v>
      </c>
      <c r="AE176" s="645">
        <v>-26.781463608290892</v>
      </c>
      <c r="AF176" s="645">
        <v>0</v>
      </c>
      <c r="AG176" s="645">
        <v>11.393749064396903</v>
      </c>
      <c r="AH176" s="645">
        <v>-515.37291498548086</v>
      </c>
      <c r="AI176" s="645">
        <v>-67.545290041896138</v>
      </c>
      <c r="AJ176" s="645">
        <v>-15.176589062401579</v>
      </c>
      <c r="AK176" s="645">
        <v>756.86854474071572</v>
      </c>
    </row>
    <row r="177" spans="3:37" x14ac:dyDescent="0.2">
      <c r="C177" s="634"/>
      <c r="D177" s="634">
        <v>0</v>
      </c>
      <c r="E177" s="634">
        <v>0</v>
      </c>
      <c r="F177" s="634">
        <v>0</v>
      </c>
      <c r="G177" s="634">
        <v>0</v>
      </c>
      <c r="H177" s="634">
        <v>0</v>
      </c>
      <c r="I177" s="634">
        <v>0</v>
      </c>
      <c r="J177" s="634">
        <v>0</v>
      </c>
      <c r="K177" s="634">
        <v>0</v>
      </c>
      <c r="L177" s="634">
        <v>0</v>
      </c>
      <c r="M177" s="634">
        <v>0</v>
      </c>
      <c r="N177" s="634">
        <v>0</v>
      </c>
      <c r="O177" s="634">
        <v>0</v>
      </c>
      <c r="P177" s="634">
        <v>0</v>
      </c>
      <c r="Q177" s="634">
        <v>0</v>
      </c>
      <c r="R177" s="634">
        <v>0</v>
      </c>
      <c r="S177" s="634">
        <v>0</v>
      </c>
      <c r="U177" s="634"/>
      <c r="V177" s="634">
        <v>0</v>
      </c>
      <c r="W177" s="634">
        <v>0</v>
      </c>
      <c r="X177" s="634">
        <v>0</v>
      </c>
      <c r="Y177" s="634">
        <v>0</v>
      </c>
      <c r="Z177" s="634">
        <v>0</v>
      </c>
      <c r="AA177" s="634">
        <v>0</v>
      </c>
      <c r="AB177" s="634">
        <v>0</v>
      </c>
      <c r="AC177" s="634">
        <v>0</v>
      </c>
      <c r="AD177" s="634">
        <v>0</v>
      </c>
      <c r="AE177" s="634">
        <v>0</v>
      </c>
      <c r="AF177" s="634">
        <v>0</v>
      </c>
      <c r="AG177" s="634">
        <v>0</v>
      </c>
      <c r="AH177" s="634">
        <v>0</v>
      </c>
      <c r="AI177" s="634">
        <v>0</v>
      </c>
      <c r="AJ177" s="634">
        <v>0</v>
      </c>
      <c r="AK177" s="634">
        <v>0</v>
      </c>
    </row>
    <row r="178" spans="3:37" x14ac:dyDescent="0.2">
      <c r="C178" s="646" t="s">
        <v>78</v>
      </c>
      <c r="D178" s="640">
        <v>6.2002081056415257</v>
      </c>
      <c r="E178" s="640">
        <v>0</v>
      </c>
      <c r="F178" s="640">
        <v>23.255205938178186</v>
      </c>
      <c r="G178" s="640">
        <v>101.12865293850786</v>
      </c>
      <c r="H178" s="640">
        <v>0</v>
      </c>
      <c r="I178" s="640">
        <v>0</v>
      </c>
      <c r="J178" s="640">
        <v>19.565687098295676</v>
      </c>
      <c r="K178" s="640">
        <v>1.7744589215827917</v>
      </c>
      <c r="L178" s="640">
        <v>0.87520713476562495</v>
      </c>
      <c r="M178" s="640">
        <v>2.0825226770622867</v>
      </c>
      <c r="N178" s="640">
        <v>0</v>
      </c>
      <c r="O178" s="640">
        <v>3.8067188808088001E-4</v>
      </c>
      <c r="P178" s="640">
        <v>109.76937284793219</v>
      </c>
      <c r="Q178" s="640">
        <v>16.103287978552984</v>
      </c>
      <c r="R178" s="640">
        <v>0.32868640136718752</v>
      </c>
      <c r="S178" s="648">
        <v>281.08367071377444</v>
      </c>
      <c r="U178" s="646" t="s">
        <v>78</v>
      </c>
      <c r="V178" s="640">
        <v>1.01942505552247</v>
      </c>
      <c r="W178" s="640">
        <v>0</v>
      </c>
      <c r="X178" s="640">
        <v>12.936117077553076</v>
      </c>
      <c r="Y178" s="640">
        <v>67.349539979102474</v>
      </c>
      <c r="Z178" s="640">
        <v>0</v>
      </c>
      <c r="AA178" s="640">
        <v>0</v>
      </c>
      <c r="AB178" s="640">
        <v>16.313565187348217</v>
      </c>
      <c r="AC178" s="640">
        <v>5.7022810919996436</v>
      </c>
      <c r="AD178" s="640">
        <v>2.2588896484375001</v>
      </c>
      <c r="AE178" s="640">
        <v>11.903885554581411</v>
      </c>
      <c r="AF178" s="640">
        <v>0</v>
      </c>
      <c r="AG178" s="640">
        <v>3.8067188808088001E-4</v>
      </c>
      <c r="AH178" s="640">
        <v>135.13428233654639</v>
      </c>
      <c r="AI178" s="640">
        <v>21.466888656055119</v>
      </c>
      <c r="AJ178" s="640">
        <v>5.7972734375000003</v>
      </c>
      <c r="AK178" s="648">
        <v>279.88252869653439</v>
      </c>
    </row>
    <row r="179" spans="3:37" x14ac:dyDescent="0.2">
      <c r="C179" s="646" t="s">
        <v>79</v>
      </c>
      <c r="D179" s="640">
        <v>0</v>
      </c>
      <c r="E179" s="640">
        <v>0</v>
      </c>
      <c r="F179" s="640">
        <v>291.38745921478562</v>
      </c>
      <c r="G179" s="640">
        <v>24.020829745272028</v>
      </c>
      <c r="H179" s="640">
        <v>0</v>
      </c>
      <c r="I179" s="640">
        <v>0</v>
      </c>
      <c r="J179" s="640">
        <v>0</v>
      </c>
      <c r="K179" s="640">
        <v>0</v>
      </c>
      <c r="L179" s="640">
        <v>28.280041762715456</v>
      </c>
      <c r="M179" s="640">
        <v>0.49022101520963324</v>
      </c>
      <c r="N179" s="640">
        <v>0</v>
      </c>
      <c r="O179" s="640">
        <v>0</v>
      </c>
      <c r="P179" s="640">
        <v>46.654707564142761</v>
      </c>
      <c r="Q179" s="640">
        <v>0</v>
      </c>
      <c r="R179" s="640">
        <v>1.1135281120019407</v>
      </c>
      <c r="S179" s="648">
        <v>391.94678741412741</v>
      </c>
      <c r="U179" s="646" t="s">
        <v>79</v>
      </c>
      <c r="V179" s="640">
        <v>0</v>
      </c>
      <c r="W179" s="640">
        <v>0</v>
      </c>
      <c r="X179" s="640">
        <v>152.5395921226515</v>
      </c>
      <c r="Y179" s="640">
        <v>18.931026789455995</v>
      </c>
      <c r="Z179" s="640">
        <v>0</v>
      </c>
      <c r="AA179" s="640">
        <v>0</v>
      </c>
      <c r="AB179" s="640">
        <v>0</v>
      </c>
      <c r="AC179" s="640">
        <v>0</v>
      </c>
      <c r="AD179" s="640">
        <v>49.546406871337183</v>
      </c>
      <c r="AE179" s="640">
        <v>3.3407694334334113</v>
      </c>
      <c r="AF179" s="640">
        <v>0</v>
      </c>
      <c r="AG179" s="640">
        <v>0</v>
      </c>
      <c r="AH179" s="640">
        <v>60.923926311544285</v>
      </c>
      <c r="AI179" s="640">
        <v>0</v>
      </c>
      <c r="AJ179" s="640">
        <v>2.0956611258816777</v>
      </c>
      <c r="AK179" s="648">
        <v>287.37738265430403</v>
      </c>
    </row>
    <row r="180" spans="3:37" x14ac:dyDescent="0.2">
      <c r="C180" s="646" t="s">
        <v>80</v>
      </c>
      <c r="D180" s="640">
        <v>0</v>
      </c>
      <c r="E180" s="640">
        <v>0</v>
      </c>
      <c r="F180" s="640">
        <v>24.366054746482678</v>
      </c>
      <c r="G180" s="640">
        <v>88.830627596834503</v>
      </c>
      <c r="H180" s="640">
        <v>0</v>
      </c>
      <c r="I180" s="640">
        <v>0</v>
      </c>
      <c r="J180" s="640">
        <v>86.298448588028648</v>
      </c>
      <c r="K180" s="640">
        <v>0</v>
      </c>
      <c r="L180" s="640">
        <v>0</v>
      </c>
      <c r="M180" s="640">
        <v>1.8128699509558064</v>
      </c>
      <c r="N180" s="640">
        <v>49.305914152356948</v>
      </c>
      <c r="O180" s="640">
        <v>1.9759423218950023</v>
      </c>
      <c r="P180" s="640">
        <v>183.08170703950353</v>
      </c>
      <c r="Q180" s="640">
        <v>15.629207143582217</v>
      </c>
      <c r="R180" s="640">
        <v>0</v>
      </c>
      <c r="S180" s="648">
        <v>451.3007715396393</v>
      </c>
      <c r="U180" s="646" t="s">
        <v>80</v>
      </c>
      <c r="V180" s="640">
        <v>0</v>
      </c>
      <c r="W180" s="640">
        <v>0</v>
      </c>
      <c r="X180" s="640">
        <v>1.5212022418020299</v>
      </c>
      <c r="Y180" s="640">
        <v>34.748278571527685</v>
      </c>
      <c r="Z180" s="640">
        <v>0</v>
      </c>
      <c r="AA180" s="640">
        <v>0</v>
      </c>
      <c r="AB180" s="640">
        <v>75.181836567082826</v>
      </c>
      <c r="AC180" s="640">
        <v>0</v>
      </c>
      <c r="AD180" s="640">
        <v>0</v>
      </c>
      <c r="AE180" s="640">
        <v>6.1320491596813564</v>
      </c>
      <c r="AF180" s="640">
        <v>62.645467095100628</v>
      </c>
      <c r="AG180" s="640">
        <v>2.6978117080871646</v>
      </c>
      <c r="AH180" s="640">
        <v>158.40967854762758</v>
      </c>
      <c r="AI180" s="640">
        <v>35.928967439236224</v>
      </c>
      <c r="AJ180" s="640">
        <v>0</v>
      </c>
      <c r="AK180" s="648">
        <v>377.26529133014549</v>
      </c>
    </row>
    <row r="181" spans="3:37" x14ac:dyDescent="0.2">
      <c r="C181" s="646" t="s">
        <v>81</v>
      </c>
      <c r="D181" s="640">
        <v>0</v>
      </c>
      <c r="E181" s="640">
        <v>0</v>
      </c>
      <c r="F181" s="640">
        <v>9.1434406229634497</v>
      </c>
      <c r="G181" s="640">
        <v>62.772902131190932</v>
      </c>
      <c r="H181" s="640">
        <v>0</v>
      </c>
      <c r="I181" s="640">
        <v>0</v>
      </c>
      <c r="J181" s="640">
        <v>3.3792389882828151</v>
      </c>
      <c r="K181" s="640">
        <v>2.5053216415896862E-2</v>
      </c>
      <c r="L181" s="640">
        <v>0</v>
      </c>
      <c r="M181" s="640">
        <v>1.2810796353304272</v>
      </c>
      <c r="N181" s="640">
        <v>8.5204805498073064</v>
      </c>
      <c r="O181" s="640">
        <v>0.77988306826531983</v>
      </c>
      <c r="P181" s="640">
        <v>134.9475862077569</v>
      </c>
      <c r="Q181" s="640">
        <v>3.8620862063760555</v>
      </c>
      <c r="R181" s="640">
        <v>0</v>
      </c>
      <c r="S181" s="648">
        <v>224.71175062638912</v>
      </c>
      <c r="U181" s="646" t="s">
        <v>81</v>
      </c>
      <c r="V181" s="640">
        <v>0</v>
      </c>
      <c r="W181" s="640">
        <v>0</v>
      </c>
      <c r="X181" s="640">
        <v>2.5747324311170368</v>
      </c>
      <c r="Y181" s="640">
        <v>28.050706446538126</v>
      </c>
      <c r="Z181" s="640">
        <v>0</v>
      </c>
      <c r="AA181" s="640">
        <v>0</v>
      </c>
      <c r="AB181" s="640">
        <v>7.5276105699702738</v>
      </c>
      <c r="AC181" s="640">
        <v>2.5053216415896862E-2</v>
      </c>
      <c r="AD181" s="640">
        <v>0</v>
      </c>
      <c r="AE181" s="640">
        <v>4.9501246670361398</v>
      </c>
      <c r="AF181" s="640">
        <v>14.347345485370148</v>
      </c>
      <c r="AG181" s="640">
        <v>1.6839822655905561</v>
      </c>
      <c r="AH181" s="640">
        <v>120.05488498756245</v>
      </c>
      <c r="AI181" s="640">
        <v>10.149433946604795</v>
      </c>
      <c r="AJ181" s="640">
        <v>0</v>
      </c>
      <c r="AK181" s="648">
        <v>189.36387401620541</v>
      </c>
    </row>
    <row r="182" spans="3:37" x14ac:dyDescent="0.2">
      <c r="C182" s="646" t="s">
        <v>82</v>
      </c>
      <c r="D182" s="640">
        <v>0</v>
      </c>
      <c r="E182" s="640">
        <v>0</v>
      </c>
      <c r="F182" s="640">
        <v>31.378359933180146</v>
      </c>
      <c r="G182" s="640">
        <v>1.761464702880946</v>
      </c>
      <c r="H182" s="640">
        <v>0</v>
      </c>
      <c r="I182" s="640">
        <v>0</v>
      </c>
      <c r="J182" s="640">
        <v>2.5129576329044134</v>
      </c>
      <c r="K182" s="640">
        <v>0</v>
      </c>
      <c r="L182" s="640">
        <v>2.7366524531426237</v>
      </c>
      <c r="M182" s="640">
        <v>3.5948259242468285E-2</v>
      </c>
      <c r="N182" s="640">
        <v>0</v>
      </c>
      <c r="O182" s="640">
        <v>7.8328904674825409E-2</v>
      </c>
      <c r="P182" s="640">
        <v>7.1029233048090266</v>
      </c>
      <c r="Q182" s="640">
        <v>0</v>
      </c>
      <c r="R182" s="640">
        <v>0</v>
      </c>
      <c r="S182" s="648">
        <v>45.606635190834446</v>
      </c>
      <c r="U182" s="646" t="s">
        <v>82</v>
      </c>
      <c r="V182" s="640">
        <v>0</v>
      </c>
      <c r="W182" s="640">
        <v>0</v>
      </c>
      <c r="X182" s="640">
        <v>18.696617357576709</v>
      </c>
      <c r="Y182" s="640">
        <v>1.906896096641761</v>
      </c>
      <c r="Z182" s="640">
        <v>0</v>
      </c>
      <c r="AA182" s="640">
        <v>0</v>
      </c>
      <c r="AB182" s="640">
        <v>2.5129576329044134</v>
      </c>
      <c r="AC182" s="640">
        <v>0</v>
      </c>
      <c r="AD182" s="640">
        <v>18.28747352858748</v>
      </c>
      <c r="AE182" s="640">
        <v>0.33651107587795781</v>
      </c>
      <c r="AF182" s="640">
        <v>0</v>
      </c>
      <c r="AG182" s="640">
        <v>0.96290247555165809</v>
      </c>
      <c r="AH182" s="640">
        <v>7.1739705565638916</v>
      </c>
      <c r="AI182" s="640">
        <v>0</v>
      </c>
      <c r="AJ182" s="640">
        <v>0.24940873791150003</v>
      </c>
      <c r="AK182" s="648">
        <v>50.12673746161537</v>
      </c>
    </row>
    <row r="183" spans="3:37" x14ac:dyDescent="0.2">
      <c r="C183" s="646" t="s">
        <v>354</v>
      </c>
      <c r="D183" s="640">
        <v>0</v>
      </c>
      <c r="E183" s="640">
        <v>0</v>
      </c>
      <c r="F183" s="640">
        <v>0</v>
      </c>
      <c r="G183" s="640">
        <v>0</v>
      </c>
      <c r="H183" s="640">
        <v>0</v>
      </c>
      <c r="I183" s="640">
        <v>0</v>
      </c>
      <c r="J183" s="640">
        <v>0</v>
      </c>
      <c r="K183" s="640">
        <v>0</v>
      </c>
      <c r="L183" s="640">
        <v>0</v>
      </c>
      <c r="M183" s="640">
        <v>0</v>
      </c>
      <c r="N183" s="640">
        <v>0</v>
      </c>
      <c r="O183" s="640">
        <v>0</v>
      </c>
      <c r="P183" s="640">
        <v>0.22499999999999998</v>
      </c>
      <c r="Q183" s="640">
        <v>0</v>
      </c>
      <c r="R183" s="640">
        <v>0</v>
      </c>
      <c r="S183" s="648">
        <v>0.22499999999999998</v>
      </c>
      <c r="U183" s="646" t="s">
        <v>354</v>
      </c>
      <c r="V183" s="640">
        <v>0</v>
      </c>
      <c r="W183" s="640">
        <v>0</v>
      </c>
      <c r="X183" s="640">
        <v>0</v>
      </c>
      <c r="Y183" s="640">
        <v>0</v>
      </c>
      <c r="Z183" s="640">
        <v>0</v>
      </c>
      <c r="AA183" s="640">
        <v>0</v>
      </c>
      <c r="AB183" s="640">
        <v>0</v>
      </c>
      <c r="AC183" s="640">
        <v>0</v>
      </c>
      <c r="AD183" s="640">
        <v>0</v>
      </c>
      <c r="AE183" s="640">
        <v>0</v>
      </c>
      <c r="AF183" s="640">
        <v>0</v>
      </c>
      <c r="AG183" s="640">
        <v>0</v>
      </c>
      <c r="AH183" s="640">
        <v>1.2</v>
      </c>
      <c r="AI183" s="640">
        <v>0</v>
      </c>
      <c r="AJ183" s="640">
        <v>0</v>
      </c>
      <c r="AK183" s="648">
        <v>1.2</v>
      </c>
    </row>
    <row r="184" spans="3:37" x14ac:dyDescent="0.2">
      <c r="C184" s="644" t="s">
        <v>83</v>
      </c>
      <c r="D184" s="645">
        <v>6.2002081056415257</v>
      </c>
      <c r="E184" s="645">
        <v>0</v>
      </c>
      <c r="F184" s="645">
        <v>379.53052045559002</v>
      </c>
      <c r="G184" s="645">
        <v>278.51447711468631</v>
      </c>
      <c r="H184" s="645">
        <v>0</v>
      </c>
      <c r="I184" s="645">
        <v>0</v>
      </c>
      <c r="J184" s="645">
        <v>111.75633230751156</v>
      </c>
      <c r="K184" s="645">
        <v>1.7995121379986885</v>
      </c>
      <c r="L184" s="645">
        <v>31.891901350623705</v>
      </c>
      <c r="M184" s="645">
        <v>5.7026415378006226</v>
      </c>
      <c r="N184" s="645">
        <v>57.826394702164251</v>
      </c>
      <c r="O184" s="645">
        <v>2.8345349667232282</v>
      </c>
      <c r="P184" s="645">
        <v>481.78129696414442</v>
      </c>
      <c r="Q184" s="645">
        <v>35.594581328511254</v>
      </c>
      <c r="R184" s="645">
        <v>1.4422145133691282</v>
      </c>
      <c r="S184" s="645">
        <v>1394.8746154847647</v>
      </c>
      <c r="U184" s="644" t="s">
        <v>83</v>
      </c>
      <c r="V184" s="645">
        <v>1.01942505552247</v>
      </c>
      <c r="W184" s="645">
        <v>0</v>
      </c>
      <c r="X184" s="645">
        <v>188.26826123070035</v>
      </c>
      <c r="Y184" s="645">
        <v>150.98644788326604</v>
      </c>
      <c r="Z184" s="645">
        <v>0</v>
      </c>
      <c r="AA184" s="645">
        <v>0</v>
      </c>
      <c r="AB184" s="645">
        <v>101.53596995730574</v>
      </c>
      <c r="AC184" s="645">
        <v>5.727334308415541</v>
      </c>
      <c r="AD184" s="645">
        <v>70.092770048362169</v>
      </c>
      <c r="AE184" s="645">
        <v>26.663339890610278</v>
      </c>
      <c r="AF184" s="645">
        <v>76.992812580470769</v>
      </c>
      <c r="AG184" s="645">
        <v>5.3450771211174599</v>
      </c>
      <c r="AH184" s="645">
        <v>482.89674273984457</v>
      </c>
      <c r="AI184" s="645">
        <v>67.545290041896138</v>
      </c>
      <c r="AJ184" s="645">
        <v>8.1423433012931774</v>
      </c>
      <c r="AK184" s="645">
        <v>1185.2158141588047</v>
      </c>
    </row>
    <row r="185" spans="3:37" x14ac:dyDescent="0.2">
      <c r="C185" s="639" t="s">
        <v>84</v>
      </c>
      <c r="D185" s="640">
        <v>0</v>
      </c>
      <c r="E185" s="640">
        <v>0</v>
      </c>
      <c r="F185" s="640">
        <v>114.78425758185857</v>
      </c>
      <c r="G185" s="640">
        <v>12.028714359769619</v>
      </c>
      <c r="H185" s="640">
        <v>0</v>
      </c>
      <c r="I185" s="640">
        <v>0</v>
      </c>
      <c r="J185" s="640">
        <v>0</v>
      </c>
      <c r="K185" s="640">
        <v>0</v>
      </c>
      <c r="L185" s="640">
        <v>0</v>
      </c>
      <c r="M185" s="640">
        <v>0</v>
      </c>
      <c r="N185" s="640">
        <v>0</v>
      </c>
      <c r="O185" s="640">
        <v>0</v>
      </c>
      <c r="P185" s="640">
        <v>0</v>
      </c>
      <c r="Q185" s="640">
        <v>0</v>
      </c>
      <c r="R185" s="640">
        <v>0.87448992412119186</v>
      </c>
      <c r="S185" s="648">
        <v>127.68746186574938</v>
      </c>
      <c r="U185" s="639" t="s">
        <v>84</v>
      </c>
      <c r="V185" s="640">
        <v>0</v>
      </c>
      <c r="W185" s="640">
        <v>0</v>
      </c>
      <c r="X185" s="640">
        <v>99.887922338380434</v>
      </c>
      <c r="Y185" s="640">
        <v>1.4617397027131513</v>
      </c>
      <c r="Z185" s="640">
        <v>0</v>
      </c>
      <c r="AA185" s="640">
        <v>0</v>
      </c>
      <c r="AB185" s="640">
        <v>0</v>
      </c>
      <c r="AC185" s="640">
        <v>0</v>
      </c>
      <c r="AD185" s="640">
        <v>9.6859590362548822</v>
      </c>
      <c r="AE185" s="640">
        <v>0</v>
      </c>
      <c r="AF185" s="640">
        <v>0</v>
      </c>
      <c r="AG185" s="640">
        <v>0</v>
      </c>
      <c r="AH185" s="640">
        <v>0</v>
      </c>
      <c r="AI185" s="640">
        <v>0</v>
      </c>
      <c r="AJ185" s="640">
        <v>7.0342457611083988</v>
      </c>
      <c r="AK185" s="648">
        <v>118.06986683845686</v>
      </c>
    </row>
    <row r="186" spans="3:37" x14ac:dyDescent="0.2">
      <c r="C186" s="644" t="s">
        <v>85</v>
      </c>
      <c r="D186" s="645">
        <v>6.2002081056415257</v>
      </c>
      <c r="E186" s="645">
        <v>0</v>
      </c>
      <c r="F186" s="645">
        <v>494.3147780374486</v>
      </c>
      <c r="G186" s="645">
        <v>290.54319147445591</v>
      </c>
      <c r="H186" s="645">
        <v>0</v>
      </c>
      <c r="I186" s="645">
        <v>0</v>
      </c>
      <c r="J186" s="645">
        <v>111.75633230751156</v>
      </c>
      <c r="K186" s="645">
        <v>1.7995121379986885</v>
      </c>
      <c r="L186" s="645">
        <v>31.891901350623705</v>
      </c>
      <c r="M186" s="645">
        <v>5.7026415378006226</v>
      </c>
      <c r="N186" s="645">
        <v>57.826394702164251</v>
      </c>
      <c r="O186" s="645">
        <v>2.8345349667232282</v>
      </c>
      <c r="P186" s="645">
        <v>481.78129696414442</v>
      </c>
      <c r="Q186" s="645">
        <v>35.594581328511254</v>
      </c>
      <c r="R186" s="645">
        <v>2.3167044374903201</v>
      </c>
      <c r="S186" s="645">
        <v>1522.5620773505141</v>
      </c>
      <c r="U186" s="644" t="s">
        <v>85</v>
      </c>
      <c r="V186" s="645">
        <v>1.01942505552247</v>
      </c>
      <c r="W186" s="645">
        <v>0</v>
      </c>
      <c r="X186" s="645">
        <v>288.15618356908084</v>
      </c>
      <c r="Y186" s="645">
        <v>152.44818758597918</v>
      </c>
      <c r="Z186" s="645">
        <v>0</v>
      </c>
      <c r="AA186" s="645">
        <v>0</v>
      </c>
      <c r="AB186" s="645">
        <v>101.53596995730574</v>
      </c>
      <c r="AC186" s="645">
        <v>5.727334308415541</v>
      </c>
      <c r="AD186" s="645">
        <v>79.778729084617055</v>
      </c>
      <c r="AE186" s="645">
        <v>26.663339890610278</v>
      </c>
      <c r="AF186" s="645">
        <v>76.992812580470769</v>
      </c>
      <c r="AG186" s="645">
        <v>5.3450771211174599</v>
      </c>
      <c r="AH186" s="645">
        <v>482.89674273984457</v>
      </c>
      <c r="AI186" s="645">
        <v>67.545290041896138</v>
      </c>
      <c r="AJ186" s="645">
        <v>15.176589062401575</v>
      </c>
      <c r="AK186" s="645">
        <v>1303.2856809972616</v>
      </c>
    </row>
    <row r="187" spans="3:37" x14ac:dyDescent="0.2">
      <c r="C187" s="634"/>
      <c r="D187" s="634"/>
      <c r="E187" s="634"/>
      <c r="F187" s="634"/>
      <c r="G187" s="634"/>
      <c r="H187" s="634"/>
      <c r="I187" s="634"/>
      <c r="J187" s="634"/>
      <c r="K187" s="634"/>
      <c r="L187" s="634"/>
      <c r="M187" s="634"/>
      <c r="N187" s="634"/>
      <c r="O187" s="634"/>
      <c r="P187" s="634"/>
      <c r="Q187" s="634"/>
      <c r="R187" s="634"/>
      <c r="S187" s="634"/>
      <c r="U187" s="634"/>
      <c r="V187" s="634"/>
      <c r="W187" s="634"/>
      <c r="X187" s="634"/>
      <c r="Y187" s="634"/>
      <c r="Z187" s="634"/>
      <c r="AA187" s="634"/>
      <c r="AB187" s="634"/>
      <c r="AC187" s="634"/>
      <c r="AD187" s="634"/>
      <c r="AE187" s="634"/>
      <c r="AF187" s="634"/>
      <c r="AG187" s="634"/>
      <c r="AH187" s="634"/>
      <c r="AI187" s="634"/>
      <c r="AJ187" s="634"/>
      <c r="AK187" s="634"/>
    </row>
    <row r="188" spans="3:37" ht="22.5" x14ac:dyDescent="0.3">
      <c r="C188" s="759" t="s">
        <v>359</v>
      </c>
      <c r="D188" s="759"/>
      <c r="E188" s="759"/>
      <c r="F188" s="759"/>
      <c r="G188" s="759"/>
      <c r="H188" s="759"/>
      <c r="I188" s="759"/>
      <c r="J188" s="759"/>
      <c r="K188" s="759"/>
      <c r="L188" s="759"/>
      <c r="M188" s="759"/>
      <c r="N188" s="759"/>
      <c r="O188" s="759"/>
      <c r="P188" s="759"/>
      <c r="Q188" s="759"/>
      <c r="R188" s="759"/>
      <c r="S188" s="759"/>
      <c r="U188" s="759" t="s">
        <v>359</v>
      </c>
      <c r="V188" s="759"/>
      <c r="W188" s="759"/>
      <c r="X188" s="759"/>
      <c r="Y188" s="759"/>
      <c r="Z188" s="759"/>
      <c r="AA188" s="759"/>
      <c r="AB188" s="759"/>
      <c r="AC188" s="759"/>
      <c r="AD188" s="759"/>
      <c r="AE188" s="759"/>
      <c r="AF188" s="759"/>
      <c r="AG188" s="759"/>
      <c r="AH188" s="759"/>
      <c r="AI188" s="759"/>
      <c r="AJ188" s="759"/>
      <c r="AK188" s="759"/>
    </row>
    <row r="189" spans="3:37" x14ac:dyDescent="0.2">
      <c r="C189" s="634"/>
      <c r="D189" s="634"/>
      <c r="E189" s="634"/>
      <c r="F189" s="634"/>
      <c r="G189" s="634"/>
      <c r="H189" s="634"/>
      <c r="I189" s="634"/>
      <c r="J189" s="634"/>
      <c r="K189" s="634"/>
      <c r="L189" s="634"/>
      <c r="M189" s="634"/>
      <c r="N189" s="634"/>
      <c r="O189" s="634"/>
      <c r="P189" s="634"/>
      <c r="Q189" s="634"/>
      <c r="R189" s="634"/>
      <c r="S189" s="634"/>
      <c r="U189" s="634"/>
      <c r="V189" s="634"/>
      <c r="W189" s="634"/>
      <c r="X189" s="634"/>
      <c r="Y189" s="634"/>
      <c r="Z189" s="634"/>
      <c r="AA189" s="634"/>
      <c r="AB189" s="634"/>
      <c r="AC189" s="634"/>
      <c r="AD189" s="634"/>
      <c r="AE189" s="634"/>
      <c r="AF189" s="634"/>
      <c r="AG189" s="634"/>
      <c r="AH189" s="634"/>
      <c r="AI189" s="634"/>
      <c r="AJ189" s="634"/>
      <c r="AK189" s="634"/>
    </row>
    <row r="190" spans="3:37" ht="12.95" customHeight="1" x14ac:dyDescent="0.2">
      <c r="C190" s="758" t="s">
        <v>128</v>
      </c>
      <c r="D190" s="757" t="s">
        <v>42</v>
      </c>
      <c r="E190" s="757" t="s">
        <v>52</v>
      </c>
      <c r="F190" s="757" t="s">
        <v>53</v>
      </c>
      <c r="G190" s="757" t="s">
        <v>32</v>
      </c>
      <c r="H190" s="757" t="s">
        <v>20</v>
      </c>
      <c r="I190" s="757" t="s">
        <v>55</v>
      </c>
      <c r="J190" s="757" t="s">
        <v>56</v>
      </c>
      <c r="K190" s="757"/>
      <c r="L190" s="757"/>
      <c r="M190" s="757"/>
      <c r="N190" s="757"/>
      <c r="O190" s="757"/>
      <c r="P190" s="757" t="s">
        <v>57</v>
      </c>
      <c r="Q190" s="757" t="s">
        <v>58</v>
      </c>
      <c r="R190" s="757" t="s">
        <v>31</v>
      </c>
      <c r="S190" s="757" t="s">
        <v>10</v>
      </c>
      <c r="U190" s="758" t="s">
        <v>128</v>
      </c>
      <c r="V190" s="757" t="s">
        <v>42</v>
      </c>
      <c r="W190" s="757" t="s">
        <v>52</v>
      </c>
      <c r="X190" s="757" t="s">
        <v>53</v>
      </c>
      <c r="Y190" s="757" t="s">
        <v>32</v>
      </c>
      <c r="Z190" s="757" t="s">
        <v>20</v>
      </c>
      <c r="AA190" s="757" t="s">
        <v>55</v>
      </c>
      <c r="AB190" s="757" t="s">
        <v>56</v>
      </c>
      <c r="AC190" s="757"/>
      <c r="AD190" s="757"/>
      <c r="AE190" s="757"/>
      <c r="AF190" s="757"/>
      <c r="AG190" s="757"/>
      <c r="AH190" s="757" t="s">
        <v>57</v>
      </c>
      <c r="AI190" s="757" t="s">
        <v>58</v>
      </c>
      <c r="AJ190" s="757" t="s">
        <v>31</v>
      </c>
      <c r="AK190" s="757" t="s">
        <v>10</v>
      </c>
    </row>
    <row r="191" spans="3:37" ht="56.25" x14ac:dyDescent="0.2">
      <c r="C191" s="758"/>
      <c r="D191" s="757"/>
      <c r="E191" s="757"/>
      <c r="F191" s="757"/>
      <c r="G191" s="757"/>
      <c r="H191" s="757"/>
      <c r="I191" s="757"/>
      <c r="J191" s="638" t="s">
        <v>335</v>
      </c>
      <c r="K191" s="638" t="s">
        <v>40</v>
      </c>
      <c r="L191" s="638" t="s">
        <v>343</v>
      </c>
      <c r="M191" s="638" t="s">
        <v>344</v>
      </c>
      <c r="N191" s="638" t="s">
        <v>345</v>
      </c>
      <c r="O191" s="638" t="s">
        <v>346</v>
      </c>
      <c r="P191" s="757"/>
      <c r="Q191" s="757"/>
      <c r="R191" s="757"/>
      <c r="S191" s="757"/>
      <c r="U191" s="758"/>
      <c r="V191" s="757"/>
      <c r="W191" s="757"/>
      <c r="X191" s="757"/>
      <c r="Y191" s="757"/>
      <c r="Z191" s="757"/>
      <c r="AA191" s="757"/>
      <c r="AB191" s="638" t="s">
        <v>335</v>
      </c>
      <c r="AC191" s="638" t="s">
        <v>40</v>
      </c>
      <c r="AD191" s="638" t="s">
        <v>343</v>
      </c>
      <c r="AE191" s="638" t="s">
        <v>344</v>
      </c>
      <c r="AF191" s="638" t="s">
        <v>345</v>
      </c>
      <c r="AG191" s="638" t="s">
        <v>346</v>
      </c>
      <c r="AH191" s="757"/>
      <c r="AI191" s="757"/>
      <c r="AJ191" s="757"/>
      <c r="AK191" s="757"/>
    </row>
    <row r="192" spans="3:37" x14ac:dyDescent="0.2">
      <c r="C192" s="639" t="s">
        <v>59</v>
      </c>
      <c r="D192" s="640">
        <v>0</v>
      </c>
      <c r="E192" s="641">
        <v>2.3260000000000005</v>
      </c>
      <c r="F192" s="641">
        <v>0</v>
      </c>
      <c r="G192" s="640">
        <v>3.7216000000000006E-2</v>
      </c>
      <c r="H192" s="641">
        <v>1005.4545454545456</v>
      </c>
      <c r="I192" s="641">
        <v>248.9826967827097</v>
      </c>
      <c r="J192" s="641">
        <v>189.82090717884753</v>
      </c>
      <c r="K192" s="641">
        <v>21.067323208066789</v>
      </c>
      <c r="L192" s="641">
        <v>0.444514092196865</v>
      </c>
      <c r="M192" s="641">
        <v>0.15770970126630299</v>
      </c>
      <c r="N192" s="641">
        <v>60.832905155553725</v>
      </c>
      <c r="O192" s="641">
        <v>10.347989753579439</v>
      </c>
      <c r="P192" s="642">
        <v>0</v>
      </c>
      <c r="Q192" s="641">
        <v>0</v>
      </c>
      <c r="R192" s="641">
        <v>0</v>
      </c>
      <c r="S192" s="643">
        <v>1539.4718073267661</v>
      </c>
      <c r="U192" s="639" t="s">
        <v>59</v>
      </c>
      <c r="V192" s="640">
        <v>0</v>
      </c>
      <c r="W192" s="641">
        <v>2.3260000000000005</v>
      </c>
      <c r="X192" s="641">
        <v>0</v>
      </c>
      <c r="Y192" s="640">
        <v>3.7216000000000006E-2</v>
      </c>
      <c r="Z192" s="641">
        <v>949.39393939393938</v>
      </c>
      <c r="AA192" s="641">
        <v>279.58269678270966</v>
      </c>
      <c r="AB192" s="641">
        <v>196.53145821434362</v>
      </c>
      <c r="AC192" s="641">
        <v>37.828582612394825</v>
      </c>
      <c r="AD192" s="641">
        <v>0.444514092196865</v>
      </c>
      <c r="AE192" s="641">
        <v>0.15770970126630299</v>
      </c>
      <c r="AF192" s="641">
        <v>86.476611770328219</v>
      </c>
      <c r="AG192" s="641">
        <v>21.065809354780896</v>
      </c>
      <c r="AH192" s="642">
        <v>0</v>
      </c>
      <c r="AI192" s="641">
        <v>0</v>
      </c>
      <c r="AJ192" s="641">
        <v>0</v>
      </c>
      <c r="AK192" s="643">
        <v>1573.8445379219597</v>
      </c>
    </row>
    <row r="193" spans="3:37" x14ac:dyDescent="0.2">
      <c r="C193" s="639" t="s">
        <v>60</v>
      </c>
      <c r="D193" s="640">
        <v>48.372001461449948</v>
      </c>
      <c r="E193" s="641">
        <v>509.74501402008315</v>
      </c>
      <c r="F193" s="641">
        <v>84.255119008679685</v>
      </c>
      <c r="G193" s="640">
        <v>333.85211586331565</v>
      </c>
      <c r="H193" s="641">
        <v>0</v>
      </c>
      <c r="I193" s="641">
        <v>0</v>
      </c>
      <c r="J193" s="641">
        <v>4.1218275156281265</v>
      </c>
      <c r="K193" s="641">
        <v>0</v>
      </c>
      <c r="L193" s="641">
        <v>2.2815668000430724</v>
      </c>
      <c r="M193" s="641">
        <v>0</v>
      </c>
      <c r="N193" s="641">
        <v>0</v>
      </c>
      <c r="O193" s="641">
        <v>0</v>
      </c>
      <c r="P193" s="642">
        <v>0</v>
      </c>
      <c r="Q193" s="641">
        <v>0</v>
      </c>
      <c r="R193" s="641">
        <v>0</v>
      </c>
      <c r="S193" s="643">
        <v>982.62764466919975</v>
      </c>
      <c r="U193" s="639" t="s">
        <v>60</v>
      </c>
      <c r="V193" s="640">
        <v>8.3965846696126416</v>
      </c>
      <c r="W193" s="641">
        <v>294.49378048971494</v>
      </c>
      <c r="X193" s="641">
        <v>18.517216360631103</v>
      </c>
      <c r="Y193" s="640">
        <v>163.11536747865699</v>
      </c>
      <c r="Z193" s="641">
        <v>0</v>
      </c>
      <c r="AA193" s="641">
        <v>0</v>
      </c>
      <c r="AB193" s="641">
        <v>4.1218275156281265</v>
      </c>
      <c r="AC193" s="641">
        <v>0</v>
      </c>
      <c r="AD193" s="641">
        <v>2.2815668000430724</v>
      </c>
      <c r="AE193" s="641">
        <v>0</v>
      </c>
      <c r="AF193" s="641">
        <v>0</v>
      </c>
      <c r="AG193" s="641">
        <v>0</v>
      </c>
      <c r="AH193" s="642">
        <v>0</v>
      </c>
      <c r="AI193" s="641">
        <v>0</v>
      </c>
      <c r="AJ193" s="641">
        <v>0</v>
      </c>
      <c r="AK193" s="643">
        <v>490.9263433142869</v>
      </c>
    </row>
    <row r="194" spans="3:37" x14ac:dyDescent="0.2">
      <c r="C194" s="639" t="s">
        <v>61</v>
      </c>
      <c r="D194" s="640">
        <v>0</v>
      </c>
      <c r="E194" s="641">
        <v>0</v>
      </c>
      <c r="F194" s="641">
        <v>0</v>
      </c>
      <c r="G194" s="640">
        <v>0</v>
      </c>
      <c r="H194" s="641">
        <v>0</v>
      </c>
      <c r="I194" s="641">
        <v>0</v>
      </c>
      <c r="J194" s="641">
        <v>0</v>
      </c>
      <c r="K194" s="641">
        <v>0</v>
      </c>
      <c r="L194" s="641">
        <v>0</v>
      </c>
      <c r="M194" s="641">
        <v>0</v>
      </c>
      <c r="N194" s="641">
        <v>0</v>
      </c>
      <c r="O194" s="641">
        <v>0</v>
      </c>
      <c r="P194" s="642">
        <v>-38.942042128507637</v>
      </c>
      <c r="Q194" s="641">
        <v>0</v>
      </c>
      <c r="R194" s="641">
        <v>0</v>
      </c>
      <c r="S194" s="643">
        <v>-38.942042128507637</v>
      </c>
      <c r="U194" s="639" t="s">
        <v>61</v>
      </c>
      <c r="V194" s="640">
        <v>0</v>
      </c>
      <c r="W194" s="641">
        <v>0</v>
      </c>
      <c r="X194" s="641">
        <v>0</v>
      </c>
      <c r="Y194" s="640">
        <v>0</v>
      </c>
      <c r="Z194" s="641">
        <v>0</v>
      </c>
      <c r="AA194" s="641">
        <v>0</v>
      </c>
      <c r="AB194" s="641">
        <v>0</v>
      </c>
      <c r="AC194" s="641">
        <v>0</v>
      </c>
      <c r="AD194" s="641">
        <v>0</v>
      </c>
      <c r="AE194" s="641">
        <v>0</v>
      </c>
      <c r="AF194" s="641">
        <v>0</v>
      </c>
      <c r="AG194" s="641">
        <v>0</v>
      </c>
      <c r="AH194" s="642">
        <v>-20.693548582118865</v>
      </c>
      <c r="AI194" s="641">
        <v>0</v>
      </c>
      <c r="AJ194" s="641">
        <v>0</v>
      </c>
      <c r="AK194" s="643">
        <v>-20.693548582118865</v>
      </c>
    </row>
    <row r="195" spans="3:37" x14ac:dyDescent="0.2">
      <c r="C195" s="639" t="s">
        <v>62</v>
      </c>
      <c r="D195" s="640">
        <v>0</v>
      </c>
      <c r="E195" s="641">
        <v>0</v>
      </c>
      <c r="F195" s="641">
        <v>-16.016991189558784</v>
      </c>
      <c r="G195" s="640">
        <v>0</v>
      </c>
      <c r="H195" s="641">
        <v>0</v>
      </c>
      <c r="I195" s="641">
        <v>0</v>
      </c>
      <c r="J195" s="641">
        <v>0</v>
      </c>
      <c r="K195" s="641">
        <v>0</v>
      </c>
      <c r="L195" s="641">
        <v>0</v>
      </c>
      <c r="M195" s="641">
        <v>0</v>
      </c>
      <c r="N195" s="641">
        <v>0</v>
      </c>
      <c r="O195" s="641">
        <v>0</v>
      </c>
      <c r="P195" s="642">
        <v>0</v>
      </c>
      <c r="Q195" s="641">
        <v>0</v>
      </c>
      <c r="R195" s="641">
        <v>0</v>
      </c>
      <c r="S195" s="643">
        <v>-16.016991189558784</v>
      </c>
      <c r="U195" s="639" t="s">
        <v>62</v>
      </c>
      <c r="V195" s="640">
        <v>0</v>
      </c>
      <c r="W195" s="641">
        <v>0</v>
      </c>
      <c r="X195" s="641">
        <v>-11.216317309287092</v>
      </c>
      <c r="Y195" s="640">
        <v>-1.9971079411498778</v>
      </c>
      <c r="Z195" s="641">
        <v>0</v>
      </c>
      <c r="AA195" s="641">
        <v>0</v>
      </c>
      <c r="AB195" s="641">
        <v>0</v>
      </c>
      <c r="AC195" s="641">
        <v>0</v>
      </c>
      <c r="AD195" s="641">
        <v>0</v>
      </c>
      <c r="AE195" s="641">
        <v>-0.69888193239441998</v>
      </c>
      <c r="AF195" s="641">
        <v>0</v>
      </c>
      <c r="AG195" s="641">
        <v>0</v>
      </c>
      <c r="AH195" s="642">
        <v>0</v>
      </c>
      <c r="AI195" s="641">
        <v>0</v>
      </c>
      <c r="AJ195" s="641">
        <v>0</v>
      </c>
      <c r="AK195" s="643">
        <v>-13.912307182831389</v>
      </c>
    </row>
    <row r="196" spans="3:37" x14ac:dyDescent="0.2">
      <c r="C196" s="639" t="s">
        <v>63</v>
      </c>
      <c r="D196" s="640">
        <v>0</v>
      </c>
      <c r="E196" s="641">
        <v>0</v>
      </c>
      <c r="F196" s="641">
        <v>-85.676103269538828</v>
      </c>
      <c r="G196" s="640">
        <v>0</v>
      </c>
      <c r="H196" s="641">
        <v>0</v>
      </c>
      <c r="I196" s="641">
        <v>0</v>
      </c>
      <c r="J196" s="641">
        <v>0</v>
      </c>
      <c r="K196" s="641">
        <v>0</v>
      </c>
      <c r="L196" s="641">
        <v>-0.88445591317339634</v>
      </c>
      <c r="M196" s="641">
        <v>0</v>
      </c>
      <c r="N196" s="641">
        <v>0</v>
      </c>
      <c r="O196" s="641">
        <v>0</v>
      </c>
      <c r="P196" s="642">
        <v>0</v>
      </c>
      <c r="Q196" s="641">
        <v>0</v>
      </c>
      <c r="R196" s="641">
        <v>0</v>
      </c>
      <c r="S196" s="643">
        <v>-86.560559182712225</v>
      </c>
      <c r="U196" s="639" t="s">
        <v>63</v>
      </c>
      <c r="V196" s="640">
        <v>0</v>
      </c>
      <c r="W196" s="641">
        <v>0</v>
      </c>
      <c r="X196" s="641">
        <v>-61.793178017106612</v>
      </c>
      <c r="Y196" s="640">
        <v>0</v>
      </c>
      <c r="Z196" s="641">
        <v>0</v>
      </c>
      <c r="AA196" s="641">
        <v>0</v>
      </c>
      <c r="AB196" s="641">
        <v>0</v>
      </c>
      <c r="AC196" s="641">
        <v>0</v>
      </c>
      <c r="AD196" s="641">
        <v>-20.442150229714262</v>
      </c>
      <c r="AE196" s="641">
        <v>0</v>
      </c>
      <c r="AF196" s="641">
        <v>0</v>
      </c>
      <c r="AG196" s="641">
        <v>0</v>
      </c>
      <c r="AH196" s="642">
        <v>0</v>
      </c>
      <c r="AI196" s="641">
        <v>0</v>
      </c>
      <c r="AJ196" s="641">
        <v>0</v>
      </c>
      <c r="AK196" s="643">
        <v>-82.23532824682087</v>
      </c>
    </row>
    <row r="197" spans="3:37" x14ac:dyDescent="0.2">
      <c r="C197" s="639" t="s">
        <v>64</v>
      </c>
      <c r="D197" s="640">
        <v>0</v>
      </c>
      <c r="E197" s="641">
        <v>0</v>
      </c>
      <c r="F197" s="641">
        <v>0</v>
      </c>
      <c r="G197" s="640">
        <v>0</v>
      </c>
      <c r="H197" s="641">
        <v>0</v>
      </c>
      <c r="I197" s="641">
        <v>0</v>
      </c>
      <c r="J197" s="641">
        <v>0</v>
      </c>
      <c r="K197" s="641">
        <v>0</v>
      </c>
      <c r="L197" s="641">
        <v>0</v>
      </c>
      <c r="M197" s="641">
        <v>0</v>
      </c>
      <c r="N197" s="641">
        <v>0</v>
      </c>
      <c r="O197" s="641">
        <v>0</v>
      </c>
      <c r="P197" s="642">
        <v>0</v>
      </c>
      <c r="Q197" s="641">
        <v>0</v>
      </c>
      <c r="R197" s="641">
        <v>0</v>
      </c>
      <c r="S197" s="643">
        <v>0</v>
      </c>
      <c r="U197" s="639" t="s">
        <v>64</v>
      </c>
      <c r="V197" s="640">
        <v>0</v>
      </c>
      <c r="W197" s="641">
        <v>0</v>
      </c>
      <c r="X197" s="641">
        <v>0</v>
      </c>
      <c r="Y197" s="640">
        <v>0</v>
      </c>
      <c r="Z197" s="641">
        <v>0</v>
      </c>
      <c r="AA197" s="641">
        <v>0</v>
      </c>
      <c r="AB197" s="641">
        <v>0</v>
      </c>
      <c r="AC197" s="641">
        <v>0</v>
      </c>
      <c r="AD197" s="641">
        <v>0</v>
      </c>
      <c r="AE197" s="641">
        <v>0</v>
      </c>
      <c r="AF197" s="641">
        <v>0</v>
      </c>
      <c r="AG197" s="641">
        <v>0</v>
      </c>
      <c r="AH197" s="642">
        <v>0</v>
      </c>
      <c r="AI197" s="641">
        <v>0</v>
      </c>
      <c r="AJ197" s="641">
        <v>0</v>
      </c>
      <c r="AK197" s="643">
        <v>0</v>
      </c>
    </row>
    <row r="198" spans="3:37" x14ac:dyDescent="0.2">
      <c r="C198" s="644" t="s">
        <v>65</v>
      </c>
      <c r="D198" s="645">
        <v>48.372001461449948</v>
      </c>
      <c r="E198" s="645">
        <v>512.07101402008311</v>
      </c>
      <c r="F198" s="645">
        <v>-17.437975450417916</v>
      </c>
      <c r="G198" s="645">
        <v>333.88933186331565</v>
      </c>
      <c r="H198" s="645">
        <v>1005.4545454545456</v>
      </c>
      <c r="I198" s="645">
        <v>248.9826967827097</v>
      </c>
      <c r="J198" s="645">
        <v>193.94273469447566</v>
      </c>
      <c r="K198" s="645">
        <v>21.067323208066789</v>
      </c>
      <c r="L198" s="645">
        <v>1.8416249790665411</v>
      </c>
      <c r="M198" s="645">
        <v>0.15770970126630299</v>
      </c>
      <c r="N198" s="645">
        <v>60.832905155553725</v>
      </c>
      <c r="O198" s="645">
        <v>10.347989753579439</v>
      </c>
      <c r="P198" s="645">
        <v>-38.942042128507637</v>
      </c>
      <c r="Q198" s="645">
        <v>0</v>
      </c>
      <c r="R198" s="645">
        <v>0</v>
      </c>
      <c r="S198" s="645">
        <v>2380.5798594951875</v>
      </c>
      <c r="U198" s="644" t="s">
        <v>65</v>
      </c>
      <c r="V198" s="645">
        <v>8.3965846696126416</v>
      </c>
      <c r="W198" s="645">
        <v>296.81978048971496</v>
      </c>
      <c r="X198" s="645">
        <v>-54.492278965762601</v>
      </c>
      <c r="Y198" s="645">
        <v>161.15547553750713</v>
      </c>
      <c r="Z198" s="645">
        <v>949.39393939393938</v>
      </c>
      <c r="AA198" s="645">
        <v>279.58269678270966</v>
      </c>
      <c r="AB198" s="645">
        <v>200.65328572997174</v>
      </c>
      <c r="AC198" s="645">
        <v>37.828582612394825</v>
      </c>
      <c r="AD198" s="645">
        <v>-17.716069337474323</v>
      </c>
      <c r="AE198" s="645">
        <v>-0.54117223112811697</v>
      </c>
      <c r="AF198" s="645">
        <v>86.476611770328219</v>
      </c>
      <c r="AG198" s="645">
        <v>21.065809354780896</v>
      </c>
      <c r="AH198" s="645">
        <v>-20.693548582118865</v>
      </c>
      <c r="AI198" s="645">
        <v>0</v>
      </c>
      <c r="AJ198" s="645">
        <v>0</v>
      </c>
      <c r="AK198" s="645">
        <v>1947.9296972244754</v>
      </c>
    </row>
    <row r="199" spans="3:37" x14ac:dyDescent="0.2">
      <c r="C199" s="634"/>
      <c r="D199" s="634">
        <v>0</v>
      </c>
      <c r="E199" s="634">
        <v>0</v>
      </c>
      <c r="F199" s="634">
        <v>0</v>
      </c>
      <c r="G199" s="634">
        <v>0</v>
      </c>
      <c r="H199" s="634">
        <v>0</v>
      </c>
      <c r="I199" s="634">
        <v>0</v>
      </c>
      <c r="J199" s="634">
        <v>0</v>
      </c>
      <c r="K199" s="634">
        <v>0</v>
      </c>
      <c r="L199" s="634">
        <v>0</v>
      </c>
      <c r="M199" s="634">
        <v>0</v>
      </c>
      <c r="N199" s="634">
        <v>0</v>
      </c>
      <c r="O199" s="634">
        <v>0</v>
      </c>
      <c r="P199" s="634">
        <v>0</v>
      </c>
      <c r="Q199" s="634">
        <v>0</v>
      </c>
      <c r="R199" s="634">
        <v>0</v>
      </c>
      <c r="S199" s="634">
        <v>0</v>
      </c>
      <c r="U199" s="634"/>
      <c r="V199" s="634">
        <v>0</v>
      </c>
      <c r="W199" s="634">
        <v>0</v>
      </c>
      <c r="X199" s="634">
        <v>0</v>
      </c>
      <c r="Y199" s="634">
        <v>0</v>
      </c>
      <c r="Z199" s="634">
        <v>0</v>
      </c>
      <c r="AA199" s="634">
        <v>0</v>
      </c>
      <c r="AB199" s="634">
        <v>0</v>
      </c>
      <c r="AC199" s="634">
        <v>0</v>
      </c>
      <c r="AD199" s="634">
        <v>0</v>
      </c>
      <c r="AE199" s="634">
        <v>0</v>
      </c>
      <c r="AF199" s="634">
        <v>0</v>
      </c>
      <c r="AG199" s="634">
        <v>0</v>
      </c>
      <c r="AH199" s="634">
        <v>0</v>
      </c>
      <c r="AI199" s="634">
        <v>0</v>
      </c>
      <c r="AJ199" s="634">
        <v>0</v>
      </c>
      <c r="AK199" s="634">
        <v>0</v>
      </c>
    </row>
    <row r="200" spans="3:37" x14ac:dyDescent="0.2">
      <c r="C200" s="646" t="s">
        <v>67</v>
      </c>
      <c r="D200" s="640">
        <v>0</v>
      </c>
      <c r="E200" s="647">
        <v>0</v>
      </c>
      <c r="F200" s="647">
        <v>0</v>
      </c>
      <c r="G200" s="640">
        <v>0</v>
      </c>
      <c r="H200" s="640">
        <v>0</v>
      </c>
      <c r="I200" s="640">
        <v>0</v>
      </c>
      <c r="J200" s="640">
        <v>0</v>
      </c>
      <c r="K200" s="640">
        <v>0</v>
      </c>
      <c r="L200" s="640">
        <v>0</v>
      </c>
      <c r="M200" s="640">
        <v>0</v>
      </c>
      <c r="N200" s="640">
        <v>0</v>
      </c>
      <c r="O200" s="640">
        <v>0</v>
      </c>
      <c r="P200" s="640">
        <v>0</v>
      </c>
      <c r="Q200" s="640">
        <v>0</v>
      </c>
      <c r="R200" s="640">
        <v>0</v>
      </c>
      <c r="S200" s="648">
        <v>0</v>
      </c>
      <c r="U200" s="646" t="s">
        <v>67</v>
      </c>
      <c r="V200" s="640">
        <v>0</v>
      </c>
      <c r="W200" s="647">
        <v>0</v>
      </c>
      <c r="X200" s="647">
        <v>0</v>
      </c>
      <c r="Y200" s="640">
        <v>0</v>
      </c>
      <c r="Z200" s="640">
        <v>0</v>
      </c>
      <c r="AA200" s="640">
        <v>0</v>
      </c>
      <c r="AB200" s="640">
        <v>0</v>
      </c>
      <c r="AC200" s="640">
        <v>0</v>
      </c>
      <c r="AD200" s="640">
        <v>0</v>
      </c>
      <c r="AE200" s="640">
        <v>0</v>
      </c>
      <c r="AF200" s="640">
        <v>0</v>
      </c>
      <c r="AG200" s="640">
        <v>0</v>
      </c>
      <c r="AH200" s="640">
        <v>0</v>
      </c>
      <c r="AI200" s="640">
        <v>0</v>
      </c>
      <c r="AJ200" s="640">
        <v>0</v>
      </c>
      <c r="AK200" s="648">
        <v>0</v>
      </c>
    </row>
    <row r="201" spans="3:37" x14ac:dyDescent="0.2">
      <c r="C201" s="646" t="s">
        <v>347</v>
      </c>
      <c r="D201" s="640">
        <v>2.8267856410252494</v>
      </c>
      <c r="E201" s="640">
        <v>0</v>
      </c>
      <c r="F201" s="640">
        <v>7.7008933134364401</v>
      </c>
      <c r="G201" s="640">
        <v>17.192982456140349</v>
      </c>
      <c r="H201" s="640">
        <v>1005.4545454545456</v>
      </c>
      <c r="I201" s="640">
        <v>248.9826967827097</v>
      </c>
      <c r="J201" s="649">
        <v>29.95115714704033</v>
      </c>
      <c r="K201" s="649">
        <v>7.1699357941539494</v>
      </c>
      <c r="L201" s="649">
        <v>2.7260808922399375</v>
      </c>
      <c r="M201" s="649">
        <v>0.47574727688811397</v>
      </c>
      <c r="N201" s="649">
        <v>0</v>
      </c>
      <c r="O201" s="649">
        <v>5.3758847536792693</v>
      </c>
      <c r="P201" s="640">
        <v>-611.6040304377284</v>
      </c>
      <c r="Q201" s="640">
        <v>0</v>
      </c>
      <c r="R201" s="640">
        <v>0</v>
      </c>
      <c r="S201" s="648">
        <v>716.25267907413024</v>
      </c>
      <c r="U201" s="646" t="s">
        <v>347</v>
      </c>
      <c r="V201" s="640">
        <v>0.62631490545869017</v>
      </c>
      <c r="W201" s="640">
        <v>0</v>
      </c>
      <c r="X201" s="640">
        <v>3.8372569498000768</v>
      </c>
      <c r="Y201" s="640">
        <v>12.853333333333333</v>
      </c>
      <c r="Z201" s="640">
        <v>949.39393939393938</v>
      </c>
      <c r="AA201" s="640">
        <v>279.58269678270966</v>
      </c>
      <c r="AB201" s="649">
        <v>24.143657694158538</v>
      </c>
      <c r="AC201" s="649">
        <v>6.0680800758314266</v>
      </c>
      <c r="AD201" s="649">
        <v>2.7260808922399375</v>
      </c>
      <c r="AE201" s="649">
        <v>4.1838174523267107</v>
      </c>
      <c r="AF201" s="649">
        <v>0</v>
      </c>
      <c r="AG201" s="649">
        <v>5.3758847536792693</v>
      </c>
      <c r="AH201" s="640">
        <v>-621.90403043772824</v>
      </c>
      <c r="AI201" s="640">
        <v>0</v>
      </c>
      <c r="AJ201" s="640">
        <v>3.8</v>
      </c>
      <c r="AK201" s="648">
        <v>670.68703179574891</v>
      </c>
    </row>
    <row r="202" spans="3:37" x14ac:dyDescent="0.2">
      <c r="C202" s="646" t="s">
        <v>348</v>
      </c>
      <c r="D202" s="640">
        <v>0</v>
      </c>
      <c r="E202" s="640">
        <v>0</v>
      </c>
      <c r="F202" s="640">
        <v>0</v>
      </c>
      <c r="G202" s="640">
        <v>15.048436077523924</v>
      </c>
      <c r="H202" s="640">
        <v>0</v>
      </c>
      <c r="I202" s="640">
        <v>0</v>
      </c>
      <c r="J202" s="649">
        <v>12.74533322609016</v>
      </c>
      <c r="K202" s="649">
        <v>12.056480951460374</v>
      </c>
      <c r="L202" s="649">
        <v>0</v>
      </c>
      <c r="M202" s="649">
        <v>0.32133708059977345</v>
      </c>
      <c r="N202" s="649">
        <v>0</v>
      </c>
      <c r="O202" s="649">
        <v>2.1348201063802894</v>
      </c>
      <c r="P202" s="640">
        <v>0</v>
      </c>
      <c r="Q202" s="640">
        <v>-38.309646115177976</v>
      </c>
      <c r="R202" s="640">
        <v>0</v>
      </c>
      <c r="S202" s="648">
        <v>3.9967613268765492</v>
      </c>
      <c r="U202" s="646" t="s">
        <v>348</v>
      </c>
      <c r="V202" s="640">
        <v>0</v>
      </c>
      <c r="W202" s="640">
        <v>0</v>
      </c>
      <c r="X202" s="640">
        <v>0</v>
      </c>
      <c r="Y202" s="640">
        <v>12.803359009118745</v>
      </c>
      <c r="Z202" s="640">
        <v>0</v>
      </c>
      <c r="AA202" s="640">
        <v>0</v>
      </c>
      <c r="AB202" s="649">
        <v>28.717481814983032</v>
      </c>
      <c r="AC202" s="649">
        <v>25.924008984647354</v>
      </c>
      <c r="AD202" s="649">
        <v>0</v>
      </c>
      <c r="AE202" s="649">
        <v>4.0573921431217457</v>
      </c>
      <c r="AF202" s="649">
        <v>0</v>
      </c>
      <c r="AG202" s="649">
        <v>9.7357518308203428</v>
      </c>
      <c r="AH202" s="640">
        <v>0</v>
      </c>
      <c r="AI202" s="640">
        <v>-74.504230286476243</v>
      </c>
      <c r="AJ202" s="640">
        <v>0</v>
      </c>
      <c r="AK202" s="648">
        <v>6.7337634962149808</v>
      </c>
    </row>
    <row r="203" spans="3:37" x14ac:dyDescent="0.2">
      <c r="C203" s="646" t="s">
        <v>349</v>
      </c>
      <c r="D203" s="640">
        <v>0</v>
      </c>
      <c r="E203" s="640">
        <v>0</v>
      </c>
      <c r="F203" s="640">
        <v>0</v>
      </c>
      <c r="G203" s="640">
        <v>0</v>
      </c>
      <c r="H203" s="640">
        <v>0</v>
      </c>
      <c r="I203" s="640">
        <v>0</v>
      </c>
      <c r="J203" s="650">
        <v>7.2695194025067336</v>
      </c>
      <c r="K203" s="650">
        <v>0</v>
      </c>
      <c r="L203" s="650">
        <v>0</v>
      </c>
      <c r="M203" s="650">
        <v>-6.5716455398660871</v>
      </c>
      <c r="N203" s="650">
        <v>0</v>
      </c>
      <c r="O203" s="650">
        <v>0</v>
      </c>
      <c r="P203" s="640">
        <v>0</v>
      </c>
      <c r="Q203" s="640">
        <v>0</v>
      </c>
      <c r="R203" s="640">
        <v>0</v>
      </c>
      <c r="S203" s="648">
        <v>0.69787386264064644</v>
      </c>
      <c r="U203" s="646" t="s">
        <v>349</v>
      </c>
      <c r="V203" s="640">
        <v>0</v>
      </c>
      <c r="W203" s="640">
        <v>0</v>
      </c>
      <c r="X203" s="640">
        <v>0</v>
      </c>
      <c r="Y203" s="640">
        <v>0</v>
      </c>
      <c r="Z203" s="640">
        <v>0</v>
      </c>
      <c r="AA203" s="640">
        <v>0</v>
      </c>
      <c r="AB203" s="650">
        <v>56.55251118568826</v>
      </c>
      <c r="AC203" s="650">
        <v>0</v>
      </c>
      <c r="AD203" s="650">
        <v>0</v>
      </c>
      <c r="AE203" s="650">
        <v>-51.12347011186219</v>
      </c>
      <c r="AF203" s="650">
        <v>0</v>
      </c>
      <c r="AG203" s="650">
        <v>0</v>
      </c>
      <c r="AH203" s="640">
        <v>0</v>
      </c>
      <c r="AI203" s="640">
        <v>0</v>
      </c>
      <c r="AJ203" s="640">
        <v>0</v>
      </c>
      <c r="AK203" s="648">
        <v>5.4290410738260704</v>
      </c>
    </row>
    <row r="204" spans="3:37" x14ac:dyDescent="0.2">
      <c r="C204" s="646" t="s">
        <v>350</v>
      </c>
      <c r="D204" s="640">
        <v>0</v>
      </c>
      <c r="E204" s="640">
        <v>0</v>
      </c>
      <c r="F204" s="640">
        <v>0</v>
      </c>
      <c r="G204" s="640">
        <v>0</v>
      </c>
      <c r="H204" s="640">
        <v>0</v>
      </c>
      <c r="I204" s="640">
        <v>0</v>
      </c>
      <c r="J204" s="640">
        <v>0</v>
      </c>
      <c r="K204" s="640">
        <v>0</v>
      </c>
      <c r="L204" s="640">
        <v>0</v>
      </c>
      <c r="M204" s="640">
        <v>0</v>
      </c>
      <c r="N204" s="640">
        <v>0</v>
      </c>
      <c r="O204" s="640">
        <v>0</v>
      </c>
      <c r="P204" s="640">
        <v>0</v>
      </c>
      <c r="Q204" s="640">
        <v>0</v>
      </c>
      <c r="R204" s="640">
        <v>0</v>
      </c>
      <c r="S204" s="648">
        <v>0</v>
      </c>
      <c r="U204" s="646" t="s">
        <v>350</v>
      </c>
      <c r="V204" s="640">
        <v>0</v>
      </c>
      <c r="W204" s="640">
        <v>0</v>
      </c>
      <c r="X204" s="640">
        <v>0</v>
      </c>
      <c r="Y204" s="640">
        <v>0</v>
      </c>
      <c r="Z204" s="640">
        <v>0</v>
      </c>
      <c r="AA204" s="640">
        <v>0</v>
      </c>
      <c r="AB204" s="640">
        <v>0</v>
      </c>
      <c r="AC204" s="640">
        <v>0</v>
      </c>
      <c r="AD204" s="640">
        <v>0</v>
      </c>
      <c r="AE204" s="640">
        <v>0</v>
      </c>
      <c r="AF204" s="640">
        <v>0</v>
      </c>
      <c r="AG204" s="640">
        <v>0</v>
      </c>
      <c r="AH204" s="640">
        <v>0</v>
      </c>
      <c r="AI204" s="640">
        <v>0</v>
      </c>
      <c r="AJ204" s="640">
        <v>0</v>
      </c>
      <c r="AK204" s="648">
        <v>0</v>
      </c>
    </row>
    <row r="205" spans="3:37" x14ac:dyDescent="0.2">
      <c r="C205" s="646" t="s">
        <v>72</v>
      </c>
      <c r="D205" s="640">
        <v>0</v>
      </c>
      <c r="E205" s="640">
        <v>530.45114623720224</v>
      </c>
      <c r="F205" s="640">
        <v>-525.1466347748302</v>
      </c>
      <c r="G205" s="640">
        <v>0</v>
      </c>
      <c r="H205" s="640">
        <v>0</v>
      </c>
      <c r="I205" s="640">
        <v>0</v>
      </c>
      <c r="J205" s="640">
        <v>0</v>
      </c>
      <c r="K205" s="640">
        <v>0</v>
      </c>
      <c r="L205" s="640">
        <v>0</v>
      </c>
      <c r="M205" s="640">
        <v>0</v>
      </c>
      <c r="N205" s="640">
        <v>0</v>
      </c>
      <c r="O205" s="640">
        <v>0</v>
      </c>
      <c r="P205" s="640">
        <v>0</v>
      </c>
      <c r="Q205" s="640">
        <v>0</v>
      </c>
      <c r="R205" s="640">
        <v>0</v>
      </c>
      <c r="S205" s="648">
        <v>5.3045114623720337</v>
      </c>
      <c r="U205" s="646" t="s">
        <v>72</v>
      </c>
      <c r="V205" s="640">
        <v>0</v>
      </c>
      <c r="W205" s="640">
        <v>307.47374578102756</v>
      </c>
      <c r="X205" s="640">
        <v>-304.39900832321729</v>
      </c>
      <c r="Y205" s="640">
        <v>0</v>
      </c>
      <c r="Z205" s="640">
        <v>0</v>
      </c>
      <c r="AA205" s="640">
        <v>0</v>
      </c>
      <c r="AB205" s="640">
        <v>0</v>
      </c>
      <c r="AC205" s="640">
        <v>0</v>
      </c>
      <c r="AD205" s="640">
        <v>0</v>
      </c>
      <c r="AE205" s="640">
        <v>0</v>
      </c>
      <c r="AF205" s="640">
        <v>0</v>
      </c>
      <c r="AG205" s="640">
        <v>0</v>
      </c>
      <c r="AH205" s="640">
        <v>0</v>
      </c>
      <c r="AI205" s="640">
        <v>0</v>
      </c>
      <c r="AJ205" s="640">
        <v>0</v>
      </c>
      <c r="AK205" s="648">
        <v>3.0747374578102722</v>
      </c>
    </row>
    <row r="206" spans="3:37" x14ac:dyDescent="0.2">
      <c r="C206" s="646" t="s">
        <v>351</v>
      </c>
      <c r="D206" s="640">
        <v>0</v>
      </c>
      <c r="E206" s="640">
        <v>0</v>
      </c>
      <c r="F206" s="640">
        <v>0</v>
      </c>
      <c r="G206" s="640">
        <v>0</v>
      </c>
      <c r="H206" s="640">
        <v>0</v>
      </c>
      <c r="I206" s="640">
        <v>0</v>
      </c>
      <c r="J206" s="640">
        <v>30.470996070194996</v>
      </c>
      <c r="K206" s="640">
        <v>0</v>
      </c>
      <c r="L206" s="640">
        <v>-30.470996070194996</v>
      </c>
      <c r="M206" s="640">
        <v>0</v>
      </c>
      <c r="N206" s="640">
        <v>0</v>
      </c>
      <c r="O206" s="640">
        <v>0</v>
      </c>
      <c r="P206" s="640">
        <v>0</v>
      </c>
      <c r="Q206" s="640">
        <v>0</v>
      </c>
      <c r="R206" s="640">
        <v>0</v>
      </c>
      <c r="S206" s="648">
        <v>0</v>
      </c>
      <c r="U206" s="646" t="s">
        <v>351</v>
      </c>
      <c r="V206" s="640">
        <v>0</v>
      </c>
      <c r="W206" s="640">
        <v>0</v>
      </c>
      <c r="X206" s="640">
        <v>0</v>
      </c>
      <c r="Y206" s="640">
        <v>0</v>
      </c>
      <c r="Z206" s="640">
        <v>0</v>
      </c>
      <c r="AA206" s="640">
        <v>0</v>
      </c>
      <c r="AB206" s="640" t="e">
        <v>#VALUE!</v>
      </c>
      <c r="AC206" s="640">
        <v>0</v>
      </c>
      <c r="AD206" s="640">
        <v>-92.079399970639116</v>
      </c>
      <c r="AE206" s="640">
        <v>0</v>
      </c>
      <c r="AF206" s="640">
        <v>0</v>
      </c>
      <c r="AG206" s="640">
        <v>0</v>
      </c>
      <c r="AH206" s="640">
        <v>0</v>
      </c>
      <c r="AI206" s="640">
        <v>0</v>
      </c>
      <c r="AJ206" s="640">
        <v>0</v>
      </c>
      <c r="AK206" s="648">
        <v>-92.079399970639116</v>
      </c>
    </row>
    <row r="207" spans="3:37" x14ac:dyDescent="0.2">
      <c r="C207" s="646" t="s">
        <v>352</v>
      </c>
      <c r="D207" s="640">
        <v>0</v>
      </c>
      <c r="E207" s="640">
        <v>0</v>
      </c>
      <c r="F207" s="640">
        <v>0</v>
      </c>
      <c r="G207" s="640">
        <v>0</v>
      </c>
      <c r="H207" s="640">
        <v>0</v>
      </c>
      <c r="I207" s="640">
        <v>0</v>
      </c>
      <c r="J207" s="640">
        <v>0</v>
      </c>
      <c r="K207" s="640">
        <v>0</v>
      </c>
      <c r="L207" s="640">
        <v>0</v>
      </c>
      <c r="M207" s="640">
        <v>0</v>
      </c>
      <c r="N207" s="640">
        <v>0</v>
      </c>
      <c r="O207" s="640">
        <v>0</v>
      </c>
      <c r="P207" s="640">
        <v>0</v>
      </c>
      <c r="Q207" s="640">
        <v>0</v>
      </c>
      <c r="R207" s="640">
        <v>0</v>
      </c>
      <c r="S207" s="648">
        <v>0</v>
      </c>
      <c r="U207" s="646" t="s">
        <v>352</v>
      </c>
      <c r="V207" s="640">
        <v>0</v>
      </c>
      <c r="W207" s="640">
        <v>0</v>
      </c>
      <c r="X207" s="640">
        <v>0</v>
      </c>
      <c r="Y207" s="640">
        <v>0</v>
      </c>
      <c r="Z207" s="640">
        <v>0</v>
      </c>
      <c r="AA207" s="640">
        <v>0</v>
      </c>
      <c r="AB207" s="640">
        <v>0</v>
      </c>
      <c r="AC207" s="640">
        <v>0</v>
      </c>
      <c r="AD207" s="640">
        <v>-18.857582137623396</v>
      </c>
      <c r="AE207" s="640">
        <v>0</v>
      </c>
      <c r="AF207" s="640">
        <v>0</v>
      </c>
      <c r="AG207" s="640">
        <v>0</v>
      </c>
      <c r="AH207" s="640">
        <v>0</v>
      </c>
      <c r="AI207" s="640">
        <v>0</v>
      </c>
      <c r="AJ207" s="640">
        <v>0</v>
      </c>
      <c r="AK207" s="648">
        <v>-18.857582137623396</v>
      </c>
    </row>
    <row r="208" spans="3:37" x14ac:dyDescent="0.2">
      <c r="C208" s="646" t="s">
        <v>73</v>
      </c>
      <c r="D208" s="640">
        <v>0</v>
      </c>
      <c r="E208" s="640">
        <v>0</v>
      </c>
      <c r="F208" s="640">
        <v>0</v>
      </c>
      <c r="G208" s="640">
        <v>4.2253053989858387</v>
      </c>
      <c r="H208" s="640">
        <v>0</v>
      </c>
      <c r="I208" s="640">
        <v>0</v>
      </c>
      <c r="J208" s="640">
        <v>0</v>
      </c>
      <c r="K208" s="640">
        <v>4.8227473393893973E-2</v>
      </c>
      <c r="L208" s="640">
        <v>0</v>
      </c>
      <c r="M208" s="640">
        <v>8.6230722428282419E-2</v>
      </c>
      <c r="N208" s="640">
        <v>0</v>
      </c>
      <c r="O208" s="640">
        <v>0</v>
      </c>
      <c r="P208" s="640">
        <v>0.47800681593948002</v>
      </c>
      <c r="Q208" s="640">
        <v>0</v>
      </c>
      <c r="R208" s="640">
        <v>-3.3759231375725771</v>
      </c>
      <c r="S208" s="648">
        <v>1.4618472731749175</v>
      </c>
      <c r="U208" s="646" t="s">
        <v>73</v>
      </c>
      <c r="V208" s="640">
        <v>0</v>
      </c>
      <c r="W208" s="640">
        <v>0</v>
      </c>
      <c r="X208" s="640">
        <v>0</v>
      </c>
      <c r="Y208" s="640">
        <v>6.2430459874299995</v>
      </c>
      <c r="Z208" s="640">
        <v>0</v>
      </c>
      <c r="AA208" s="640">
        <v>0</v>
      </c>
      <c r="AB208" s="640">
        <v>0</v>
      </c>
      <c r="AC208" s="640">
        <v>0.34514849554566557</v>
      </c>
      <c r="AD208" s="640">
        <v>0</v>
      </c>
      <c r="AE208" s="640">
        <v>1.9714882065568418</v>
      </c>
      <c r="AF208" s="640">
        <v>0</v>
      </c>
      <c r="AG208" s="640">
        <v>0</v>
      </c>
      <c r="AH208" s="640">
        <v>26.797369919651668</v>
      </c>
      <c r="AI208" s="640">
        <v>0</v>
      </c>
      <c r="AJ208" s="640">
        <v>-24.160394688196586</v>
      </c>
      <c r="AK208" s="648">
        <v>11.196657920987594</v>
      </c>
    </row>
    <row r="209" spans="3:37" x14ac:dyDescent="0.2">
      <c r="C209" s="646" t="s">
        <v>353</v>
      </c>
      <c r="D209" s="640">
        <v>28.633394531250001</v>
      </c>
      <c r="E209" s="640">
        <v>-18.380132217119058</v>
      </c>
      <c r="F209" s="640">
        <v>24.040127313749448</v>
      </c>
      <c r="G209" s="640">
        <v>0</v>
      </c>
      <c r="H209" s="640">
        <v>0</v>
      </c>
      <c r="I209" s="640">
        <v>0</v>
      </c>
      <c r="J209" s="640">
        <v>0</v>
      </c>
      <c r="K209" s="640">
        <v>0</v>
      </c>
      <c r="L209" s="640">
        <v>0</v>
      </c>
      <c r="M209" s="640">
        <v>0</v>
      </c>
      <c r="N209" s="640">
        <v>0</v>
      </c>
      <c r="O209" s="640">
        <v>0</v>
      </c>
      <c r="P209" s="640">
        <v>0</v>
      </c>
      <c r="Q209" s="640">
        <v>0</v>
      </c>
      <c r="R209" s="640">
        <v>0</v>
      </c>
      <c r="S209" s="648">
        <v>34.293389627880387</v>
      </c>
      <c r="U209" s="646" t="s">
        <v>353</v>
      </c>
      <c r="V209" s="640">
        <v>2.8339389038085936</v>
      </c>
      <c r="W209" s="640">
        <v>-10.653965291312606</v>
      </c>
      <c r="X209" s="640">
        <v>13.93475732241321</v>
      </c>
      <c r="Y209" s="640">
        <v>0</v>
      </c>
      <c r="Z209" s="640">
        <v>0</v>
      </c>
      <c r="AA209" s="640">
        <v>0</v>
      </c>
      <c r="AB209" s="640">
        <v>0</v>
      </c>
      <c r="AC209" s="640">
        <v>0</v>
      </c>
      <c r="AD209" s="640">
        <v>0</v>
      </c>
      <c r="AE209" s="640">
        <v>0</v>
      </c>
      <c r="AF209" s="640">
        <v>0</v>
      </c>
      <c r="AG209" s="640">
        <v>0</v>
      </c>
      <c r="AH209" s="640">
        <v>0</v>
      </c>
      <c r="AI209" s="640">
        <v>0</v>
      </c>
      <c r="AJ209" s="640">
        <v>0</v>
      </c>
      <c r="AK209" s="648">
        <v>6.1147309349091987</v>
      </c>
    </row>
    <row r="210" spans="3:37" x14ac:dyDescent="0.2">
      <c r="C210" s="646" t="s">
        <v>75</v>
      </c>
      <c r="D210" s="640">
        <v>11.135208984375002</v>
      </c>
      <c r="E210" s="640">
        <v>0</v>
      </c>
      <c r="F210" s="640">
        <v>18.035338972064878</v>
      </c>
      <c r="G210" s="640">
        <v>5.1464370207933356</v>
      </c>
      <c r="H210" s="640">
        <v>0</v>
      </c>
      <c r="I210" s="640">
        <v>0</v>
      </c>
      <c r="J210" s="640">
        <v>0</v>
      </c>
      <c r="K210" s="640">
        <v>0</v>
      </c>
      <c r="L210" s="640">
        <v>0</v>
      </c>
      <c r="M210" s="640">
        <v>0.10502932695496604</v>
      </c>
      <c r="N210" s="640">
        <v>0</v>
      </c>
      <c r="O210" s="640">
        <v>0</v>
      </c>
      <c r="P210" s="640">
        <v>31.859130537431355</v>
      </c>
      <c r="Q210" s="640">
        <v>0</v>
      </c>
      <c r="R210" s="640">
        <v>0</v>
      </c>
      <c r="S210" s="648">
        <v>66.281144841619536</v>
      </c>
      <c r="U210" s="646" t="s">
        <v>75</v>
      </c>
      <c r="V210" s="640">
        <v>3.871097900390625</v>
      </c>
      <c r="W210" s="640">
        <v>0</v>
      </c>
      <c r="X210" s="640">
        <v>18.035338972064878</v>
      </c>
      <c r="Y210" s="640">
        <v>3.9911144242887096</v>
      </c>
      <c r="Z210" s="640">
        <v>0</v>
      </c>
      <c r="AA210" s="640">
        <v>0</v>
      </c>
      <c r="AB210" s="640">
        <v>0</v>
      </c>
      <c r="AC210" s="640">
        <v>0</v>
      </c>
      <c r="AD210" s="640">
        <v>0</v>
      </c>
      <c r="AE210" s="640">
        <v>1.2603519234595923</v>
      </c>
      <c r="AF210" s="640">
        <v>0</v>
      </c>
      <c r="AG210" s="640">
        <v>0</v>
      </c>
      <c r="AH210" s="640">
        <v>35.363675991976798</v>
      </c>
      <c r="AI210" s="640">
        <v>0</v>
      </c>
      <c r="AJ210" s="640">
        <v>0</v>
      </c>
      <c r="AK210" s="648">
        <v>62.521579212180605</v>
      </c>
    </row>
    <row r="211" spans="3:37" x14ac:dyDescent="0.2">
      <c r="C211" s="646" t="s">
        <v>76</v>
      </c>
      <c r="D211" s="640">
        <v>0</v>
      </c>
      <c r="E211" s="640">
        <v>0</v>
      </c>
      <c r="F211" s="640">
        <v>0</v>
      </c>
      <c r="G211" s="640">
        <v>3.818307882847094</v>
      </c>
      <c r="H211" s="640">
        <v>0</v>
      </c>
      <c r="I211" s="640">
        <v>0</v>
      </c>
      <c r="J211" s="640">
        <v>0</v>
      </c>
      <c r="K211" s="640">
        <v>0</v>
      </c>
      <c r="L211" s="640">
        <v>0</v>
      </c>
      <c r="M211" s="640">
        <v>7.7924650670348858E-2</v>
      </c>
      <c r="N211" s="640">
        <v>0</v>
      </c>
      <c r="O211" s="640">
        <v>0</v>
      </c>
      <c r="P211" s="640">
        <v>43.831436480126726</v>
      </c>
      <c r="Q211" s="640">
        <v>2.9732290990631256</v>
      </c>
      <c r="R211" s="640">
        <v>0</v>
      </c>
      <c r="S211" s="648">
        <v>50.700898112707293</v>
      </c>
      <c r="U211" s="646" t="s">
        <v>76</v>
      </c>
      <c r="V211" s="640">
        <v>0</v>
      </c>
      <c r="W211" s="640">
        <v>0</v>
      </c>
      <c r="X211" s="640">
        <v>0</v>
      </c>
      <c r="Y211" s="640">
        <v>1.9196559923426515</v>
      </c>
      <c r="Z211" s="640">
        <v>0</v>
      </c>
      <c r="AA211" s="640">
        <v>0</v>
      </c>
      <c r="AB211" s="640">
        <v>0</v>
      </c>
      <c r="AC211" s="640">
        <v>0</v>
      </c>
      <c r="AD211" s="640">
        <v>0</v>
      </c>
      <c r="AE211" s="640">
        <v>0.60620715547662674</v>
      </c>
      <c r="AF211" s="640">
        <v>0</v>
      </c>
      <c r="AG211" s="640">
        <v>0</v>
      </c>
      <c r="AH211" s="640">
        <v>46.019363501687437</v>
      </c>
      <c r="AI211" s="640">
        <v>5.777975473960776</v>
      </c>
      <c r="AJ211" s="640">
        <v>0</v>
      </c>
      <c r="AK211" s="648">
        <v>54.323202123467496</v>
      </c>
    </row>
    <row r="212" spans="3:37" x14ac:dyDescent="0.2">
      <c r="C212" s="644" t="s">
        <v>77</v>
      </c>
      <c r="D212" s="645">
        <v>42.595389156650249</v>
      </c>
      <c r="E212" s="645">
        <v>512.07101402008323</v>
      </c>
      <c r="F212" s="645">
        <v>-475.37027517557942</v>
      </c>
      <c r="G212" s="645">
        <v>45.431468836290541</v>
      </c>
      <c r="H212" s="645">
        <v>1005.4545454545456</v>
      </c>
      <c r="I212" s="645">
        <v>248.9826967827097</v>
      </c>
      <c r="J212" s="645">
        <v>80.437005845832218</v>
      </c>
      <c r="K212" s="645">
        <v>19.274644219008216</v>
      </c>
      <c r="L212" s="645">
        <v>-27.744915177955058</v>
      </c>
      <c r="M212" s="645">
        <v>-5.5053764823246025</v>
      </c>
      <c r="N212" s="645">
        <v>0</v>
      </c>
      <c r="O212" s="645">
        <v>7.5107048600595583</v>
      </c>
      <c r="P212" s="645">
        <v>-535.43545660423092</v>
      </c>
      <c r="Q212" s="645">
        <v>-35.336417016114851</v>
      </c>
      <c r="R212" s="645">
        <v>-3.3759231375725771</v>
      </c>
      <c r="S212" s="645">
        <v>878.98910558140176</v>
      </c>
      <c r="U212" s="644" t="s">
        <v>77</v>
      </c>
      <c r="V212" s="645">
        <v>7.3313517096579091</v>
      </c>
      <c r="W212" s="645">
        <v>296.81978048971496</v>
      </c>
      <c r="X212" s="645">
        <v>-268.59165507893914</v>
      </c>
      <c r="Y212" s="645">
        <v>37.810508746513442</v>
      </c>
      <c r="Z212" s="645">
        <v>949.39393939393938</v>
      </c>
      <c r="AA212" s="645">
        <v>279.58269678270966</v>
      </c>
      <c r="AB212" s="645">
        <v>109.41365069482983</v>
      </c>
      <c r="AC212" s="645">
        <v>32.337237556024441</v>
      </c>
      <c r="AD212" s="645">
        <v>-108.21090121602258</v>
      </c>
      <c r="AE212" s="645">
        <v>-39.044213230920668</v>
      </c>
      <c r="AF212" s="645">
        <v>0</v>
      </c>
      <c r="AG212" s="645">
        <v>15.111636584499612</v>
      </c>
      <c r="AH212" s="645">
        <v>-513.7236210244123</v>
      </c>
      <c r="AI212" s="645">
        <v>-68.726254812515464</v>
      </c>
      <c r="AJ212" s="645">
        <v>-20.360394688196585</v>
      </c>
      <c r="AK212" s="645">
        <v>709.14376190688279</v>
      </c>
    </row>
    <row r="213" spans="3:37" x14ac:dyDescent="0.2">
      <c r="C213" s="634"/>
      <c r="D213" s="634">
        <v>0</v>
      </c>
      <c r="E213" s="634">
        <v>0</v>
      </c>
      <c r="F213" s="634">
        <v>0</v>
      </c>
      <c r="G213" s="634">
        <v>0</v>
      </c>
      <c r="H213" s="634">
        <v>0</v>
      </c>
      <c r="I213" s="634">
        <v>0</v>
      </c>
      <c r="J213" s="634">
        <v>0</v>
      </c>
      <c r="K213" s="634">
        <v>0</v>
      </c>
      <c r="L213" s="634">
        <v>0</v>
      </c>
      <c r="M213" s="634">
        <v>0</v>
      </c>
      <c r="N213" s="634">
        <v>0</v>
      </c>
      <c r="O213" s="634">
        <v>0</v>
      </c>
      <c r="P213" s="634">
        <v>0</v>
      </c>
      <c r="Q213" s="634">
        <v>0</v>
      </c>
      <c r="R213" s="634">
        <v>0</v>
      </c>
      <c r="S213" s="634">
        <v>0</v>
      </c>
      <c r="U213" s="634"/>
      <c r="V213" s="634">
        <v>0</v>
      </c>
      <c r="W213" s="634">
        <v>0</v>
      </c>
      <c r="X213" s="634">
        <v>0</v>
      </c>
      <c r="Y213" s="634">
        <v>0</v>
      </c>
      <c r="Z213" s="634">
        <v>0</v>
      </c>
      <c r="AA213" s="634">
        <v>0</v>
      </c>
      <c r="AB213" s="634">
        <v>0</v>
      </c>
      <c r="AC213" s="634">
        <v>0</v>
      </c>
      <c r="AD213" s="634">
        <v>0</v>
      </c>
      <c r="AE213" s="634">
        <v>0</v>
      </c>
      <c r="AF213" s="634">
        <v>0</v>
      </c>
      <c r="AG213" s="634">
        <v>0</v>
      </c>
      <c r="AH213" s="634">
        <v>0</v>
      </c>
      <c r="AI213" s="634">
        <v>0</v>
      </c>
      <c r="AJ213" s="634">
        <v>0</v>
      </c>
      <c r="AK213" s="634">
        <v>0</v>
      </c>
    </row>
    <row r="214" spans="3:37" x14ac:dyDescent="0.2">
      <c r="C214" s="646" t="s">
        <v>78</v>
      </c>
      <c r="D214" s="640">
        <v>5.7766123047996905</v>
      </c>
      <c r="E214" s="640">
        <v>0</v>
      </c>
      <c r="F214" s="640">
        <v>22.402619678599791</v>
      </c>
      <c r="G214" s="640">
        <v>99.281124041468402</v>
      </c>
      <c r="H214" s="640">
        <v>0</v>
      </c>
      <c r="I214" s="640">
        <v>0</v>
      </c>
      <c r="J214" s="640">
        <v>20.258622771310847</v>
      </c>
      <c r="K214" s="640">
        <v>1.7675748663376085</v>
      </c>
      <c r="L214" s="640">
        <v>0.898333240234375</v>
      </c>
      <c r="M214" s="640">
        <v>2.0447588657198987</v>
      </c>
      <c r="N214" s="640">
        <v>0</v>
      </c>
      <c r="O214" s="640">
        <v>3.7946622282562846E-4</v>
      </c>
      <c r="P214" s="640">
        <v>110.87393457022205</v>
      </c>
      <c r="Q214" s="640">
        <v>16.091742927144434</v>
      </c>
      <c r="R214" s="640">
        <v>0.31004003906249999</v>
      </c>
      <c r="S214" s="648">
        <v>279.70574277112252</v>
      </c>
      <c r="U214" s="646" t="s">
        <v>78</v>
      </c>
      <c r="V214" s="640">
        <v>1.065232959954733</v>
      </c>
      <c r="W214" s="640">
        <v>0</v>
      </c>
      <c r="X214" s="640">
        <v>10.225742404389669</v>
      </c>
      <c r="Y214" s="640">
        <v>56.981112862578769</v>
      </c>
      <c r="Z214" s="640">
        <v>0</v>
      </c>
      <c r="AA214" s="640">
        <v>0</v>
      </c>
      <c r="AB214" s="640">
        <v>15.894636498884354</v>
      </c>
      <c r="AC214" s="640">
        <v>5.4662409336494147</v>
      </c>
      <c r="AD214" s="640">
        <v>3.5459101562500011</v>
      </c>
      <c r="AE214" s="640">
        <v>18.012649117932849</v>
      </c>
      <c r="AF214" s="640">
        <v>0</v>
      </c>
      <c r="AG214" s="640">
        <v>3.7946622282562846E-4</v>
      </c>
      <c r="AH214" s="640">
        <v>139.02742097426295</v>
      </c>
      <c r="AI214" s="640">
        <v>22.276590949645215</v>
      </c>
      <c r="AJ214" s="640">
        <v>6.4302626953124999</v>
      </c>
      <c r="AK214" s="648">
        <v>278.92617901908329</v>
      </c>
    </row>
    <row r="215" spans="3:37" x14ac:dyDescent="0.2">
      <c r="C215" s="646" t="s">
        <v>79</v>
      </c>
      <c r="D215" s="640">
        <v>0</v>
      </c>
      <c r="E215" s="640">
        <v>0</v>
      </c>
      <c r="F215" s="640">
        <v>266.09529408288529</v>
      </c>
      <c r="G215" s="640">
        <v>27.519674276690072</v>
      </c>
      <c r="H215" s="640">
        <v>0</v>
      </c>
      <c r="I215" s="640">
        <v>0</v>
      </c>
      <c r="J215" s="640">
        <v>0</v>
      </c>
      <c r="K215" s="640">
        <v>0</v>
      </c>
      <c r="L215" s="640">
        <v>25.787483151262677</v>
      </c>
      <c r="M215" s="640">
        <v>0.56162600564673626</v>
      </c>
      <c r="N215" s="640">
        <v>0</v>
      </c>
      <c r="O215" s="640">
        <v>0</v>
      </c>
      <c r="P215" s="640">
        <v>55.913522242788574</v>
      </c>
      <c r="Q215" s="640">
        <v>0</v>
      </c>
      <c r="R215" s="640">
        <v>1.6351140344190074</v>
      </c>
      <c r="S215" s="648">
        <v>377.5127137936924</v>
      </c>
      <c r="U215" s="646" t="s">
        <v>79</v>
      </c>
      <c r="V215" s="640">
        <v>0</v>
      </c>
      <c r="W215" s="640">
        <v>0</v>
      </c>
      <c r="X215" s="640">
        <v>96.606255591578162</v>
      </c>
      <c r="Y215" s="640">
        <v>18.337650579977414</v>
      </c>
      <c r="Z215" s="640">
        <v>0</v>
      </c>
      <c r="AA215" s="640">
        <v>0</v>
      </c>
      <c r="AB215" s="640">
        <v>0</v>
      </c>
      <c r="AC215" s="640">
        <v>0</v>
      </c>
      <c r="AD215" s="640">
        <v>50.618247990049454</v>
      </c>
      <c r="AE215" s="640">
        <v>5.9499820008855142</v>
      </c>
      <c r="AF215" s="640">
        <v>0</v>
      </c>
      <c r="AG215" s="640">
        <v>0</v>
      </c>
      <c r="AH215" s="640">
        <v>73.690348279738799</v>
      </c>
      <c r="AI215" s="640">
        <v>0</v>
      </c>
      <c r="AJ215" s="640">
        <v>3.6092463767880076</v>
      </c>
      <c r="AK215" s="648">
        <v>248.81173081901736</v>
      </c>
    </row>
    <row r="216" spans="3:37" x14ac:dyDescent="0.2">
      <c r="C216" s="646" t="s">
        <v>80</v>
      </c>
      <c r="D216" s="640">
        <v>0</v>
      </c>
      <c r="E216" s="640">
        <v>0</v>
      </c>
      <c r="F216" s="640">
        <v>20.365336948925044</v>
      </c>
      <c r="G216" s="640">
        <v>85.23124323075227</v>
      </c>
      <c r="H216" s="640">
        <v>0</v>
      </c>
      <c r="I216" s="640">
        <v>0</v>
      </c>
      <c r="J216" s="640">
        <v>86.726820353783026</v>
      </c>
      <c r="K216" s="640">
        <v>0</v>
      </c>
      <c r="L216" s="640">
        <v>0</v>
      </c>
      <c r="M216" s="640">
        <v>1.7394131271582098</v>
      </c>
      <c r="N216" s="640">
        <v>52.217429119397167</v>
      </c>
      <c r="O216" s="640">
        <v>2.0042749347218733</v>
      </c>
      <c r="P216" s="640">
        <v>185.58174281281848</v>
      </c>
      <c r="Q216" s="640">
        <v>15.554343379011728</v>
      </c>
      <c r="R216" s="640">
        <v>0</v>
      </c>
      <c r="S216" s="648">
        <v>449.42060390656781</v>
      </c>
      <c r="U216" s="646" t="s">
        <v>80</v>
      </c>
      <c r="V216" s="640">
        <v>0</v>
      </c>
      <c r="W216" s="640">
        <v>0</v>
      </c>
      <c r="X216" s="640">
        <v>1.2585168598114169</v>
      </c>
      <c r="Y216" s="640">
        <v>24.208168890995722</v>
      </c>
      <c r="Z216" s="640">
        <v>0</v>
      </c>
      <c r="AA216" s="640">
        <v>0</v>
      </c>
      <c r="AB216" s="640">
        <v>64.793825414524548</v>
      </c>
      <c r="AC216" s="640">
        <v>0</v>
      </c>
      <c r="AD216" s="640">
        <v>0</v>
      </c>
      <c r="AE216" s="640">
        <v>7.6446849129460164</v>
      </c>
      <c r="AF216" s="640">
        <v>71.984931036617454</v>
      </c>
      <c r="AG216" s="640">
        <v>3.153558114778761</v>
      </c>
      <c r="AH216" s="640">
        <v>153.74527198137548</v>
      </c>
      <c r="AI216" s="640">
        <v>35.336807466581455</v>
      </c>
      <c r="AJ216" s="640">
        <v>0</v>
      </c>
      <c r="AK216" s="648">
        <v>362.12576467763085</v>
      </c>
    </row>
    <row r="217" spans="3:37" x14ac:dyDescent="0.2">
      <c r="C217" s="646" t="s">
        <v>81</v>
      </c>
      <c r="D217" s="640">
        <v>0</v>
      </c>
      <c r="E217" s="640">
        <v>0</v>
      </c>
      <c r="F217" s="640">
        <v>7.1130915409553364</v>
      </c>
      <c r="G217" s="640">
        <v>63.054682395398032</v>
      </c>
      <c r="H217" s="640">
        <v>0</v>
      </c>
      <c r="I217" s="640">
        <v>0</v>
      </c>
      <c r="J217" s="640">
        <v>3.2976998041276677</v>
      </c>
      <c r="K217" s="640">
        <v>2.5104122720965388E-2</v>
      </c>
      <c r="L217" s="640">
        <v>0</v>
      </c>
      <c r="M217" s="640">
        <v>1.2868302529673068</v>
      </c>
      <c r="N217" s="640">
        <v>8.6154760361565579</v>
      </c>
      <c r="O217" s="640">
        <v>0.75786341807650337</v>
      </c>
      <c r="P217" s="640">
        <v>137.18962935697431</v>
      </c>
      <c r="Q217" s="640">
        <v>3.6903307099586842</v>
      </c>
      <c r="R217" s="640">
        <v>0</v>
      </c>
      <c r="S217" s="648">
        <v>225.03070763733538</v>
      </c>
      <c r="U217" s="646" t="s">
        <v>81</v>
      </c>
      <c r="V217" s="640">
        <v>0</v>
      </c>
      <c r="W217" s="640">
        <v>0</v>
      </c>
      <c r="X217" s="640">
        <v>2.1697022188790429</v>
      </c>
      <c r="Y217" s="640">
        <v>20.911765460712612</v>
      </c>
      <c r="Z217" s="640">
        <v>0</v>
      </c>
      <c r="AA217" s="640">
        <v>0</v>
      </c>
      <c r="AB217" s="640">
        <v>7.3285872023111214</v>
      </c>
      <c r="AC217" s="640">
        <v>2.5104122720965388E-2</v>
      </c>
      <c r="AD217" s="640">
        <v>0</v>
      </c>
      <c r="AE217" s="640">
        <v>6.6037154086460879</v>
      </c>
      <c r="AF217" s="640">
        <v>14.491680733710758</v>
      </c>
      <c r="AG217" s="640">
        <v>1.6347019702159422</v>
      </c>
      <c r="AH217" s="640">
        <v>117.90366143236871</v>
      </c>
      <c r="AI217" s="640">
        <v>11.11285639628878</v>
      </c>
      <c r="AJ217" s="640">
        <v>0</v>
      </c>
      <c r="AK217" s="648">
        <v>182.18177494585402</v>
      </c>
    </row>
    <row r="218" spans="3:37" x14ac:dyDescent="0.2">
      <c r="C218" s="646" t="s">
        <v>82</v>
      </c>
      <c r="D218" s="640">
        <v>0</v>
      </c>
      <c r="E218" s="640">
        <v>0</v>
      </c>
      <c r="F218" s="640">
        <v>30.218764596795413</v>
      </c>
      <c r="G218" s="640">
        <v>1.4924386728389218</v>
      </c>
      <c r="H218" s="640">
        <v>0</v>
      </c>
      <c r="I218" s="640">
        <v>0</v>
      </c>
      <c r="J218" s="640">
        <v>3.2225859194218685</v>
      </c>
      <c r="K218" s="640">
        <v>0</v>
      </c>
      <c r="L218" s="640">
        <v>2.9019247412329854</v>
      </c>
      <c r="M218" s="640">
        <v>3.0457932098753505E-2</v>
      </c>
      <c r="N218" s="640">
        <v>0</v>
      </c>
      <c r="O218" s="640">
        <v>7.4767074498679406E-2</v>
      </c>
      <c r="P218" s="640">
        <v>6.6555854929198803</v>
      </c>
      <c r="Q218" s="640">
        <v>0</v>
      </c>
      <c r="R218" s="640">
        <v>0</v>
      </c>
      <c r="S218" s="648">
        <v>44.596524429806507</v>
      </c>
      <c r="U218" s="646" t="s">
        <v>82</v>
      </c>
      <c r="V218" s="640">
        <v>0</v>
      </c>
      <c r="W218" s="640">
        <v>0</v>
      </c>
      <c r="X218" s="640">
        <v>13.476198254352189</v>
      </c>
      <c r="Y218" s="640">
        <v>1.4718796614135594</v>
      </c>
      <c r="Z218" s="640">
        <v>0</v>
      </c>
      <c r="AA218" s="640">
        <v>0</v>
      </c>
      <c r="AB218" s="640">
        <v>3.2225859194218685</v>
      </c>
      <c r="AC218" s="640">
        <v>0</v>
      </c>
      <c r="AD218" s="640">
        <v>23.463730160224294</v>
      </c>
      <c r="AE218" s="640">
        <v>0.46480410360428193</v>
      </c>
      <c r="AF218" s="640">
        <v>0</v>
      </c>
      <c r="AG218" s="640">
        <v>1.1655332190637568</v>
      </c>
      <c r="AH218" s="640">
        <v>6.7433697745475678</v>
      </c>
      <c r="AI218" s="640">
        <v>0</v>
      </c>
      <c r="AJ218" s="640">
        <v>0.29485655237537339</v>
      </c>
      <c r="AK218" s="648">
        <v>50.302957645002891</v>
      </c>
    </row>
    <row r="219" spans="3:37" x14ac:dyDescent="0.2">
      <c r="C219" s="646" t="s">
        <v>354</v>
      </c>
      <c r="D219" s="640">
        <v>0</v>
      </c>
      <c r="E219" s="640">
        <v>0</v>
      </c>
      <c r="F219" s="640">
        <v>0</v>
      </c>
      <c r="G219" s="640">
        <v>0</v>
      </c>
      <c r="H219" s="640">
        <v>0</v>
      </c>
      <c r="I219" s="640">
        <v>0</v>
      </c>
      <c r="J219" s="640">
        <v>0</v>
      </c>
      <c r="K219" s="640">
        <v>0</v>
      </c>
      <c r="L219" s="640">
        <v>0</v>
      </c>
      <c r="M219" s="640">
        <v>0</v>
      </c>
      <c r="N219" s="640">
        <v>0</v>
      </c>
      <c r="O219" s="640">
        <v>0</v>
      </c>
      <c r="P219" s="640">
        <v>0.27899999999999997</v>
      </c>
      <c r="Q219" s="640">
        <v>0</v>
      </c>
      <c r="R219" s="640">
        <v>0</v>
      </c>
      <c r="S219" s="648">
        <v>0.27899999999999997</v>
      </c>
      <c r="U219" s="646" t="s">
        <v>354</v>
      </c>
      <c r="V219" s="640">
        <v>0</v>
      </c>
      <c r="W219" s="640">
        <v>0</v>
      </c>
      <c r="X219" s="640">
        <v>0</v>
      </c>
      <c r="Y219" s="640">
        <v>0</v>
      </c>
      <c r="Z219" s="640">
        <v>0</v>
      </c>
      <c r="AA219" s="640">
        <v>0</v>
      </c>
      <c r="AB219" s="640">
        <v>0</v>
      </c>
      <c r="AC219" s="640">
        <v>0</v>
      </c>
      <c r="AD219" s="640">
        <v>0</v>
      </c>
      <c r="AE219" s="640">
        <v>0</v>
      </c>
      <c r="AF219" s="640">
        <v>0</v>
      </c>
      <c r="AG219" s="640">
        <v>0</v>
      </c>
      <c r="AH219" s="640">
        <v>1.92</v>
      </c>
      <c r="AI219" s="640">
        <v>0</v>
      </c>
      <c r="AJ219" s="640">
        <v>0</v>
      </c>
      <c r="AK219" s="648">
        <v>1.92</v>
      </c>
    </row>
    <row r="220" spans="3:37" x14ac:dyDescent="0.2">
      <c r="C220" s="644" t="s">
        <v>83</v>
      </c>
      <c r="D220" s="645">
        <v>5.7766123047996905</v>
      </c>
      <c r="E220" s="645">
        <v>0</v>
      </c>
      <c r="F220" s="645">
        <v>346.19510684816078</v>
      </c>
      <c r="G220" s="645">
        <v>276.57916261714774</v>
      </c>
      <c r="H220" s="645">
        <v>0</v>
      </c>
      <c r="I220" s="645">
        <v>0</v>
      </c>
      <c r="J220" s="645">
        <v>113.50572884864343</v>
      </c>
      <c r="K220" s="645">
        <v>1.7926789890585739</v>
      </c>
      <c r="L220" s="645">
        <v>29.587741132730038</v>
      </c>
      <c r="M220" s="645">
        <v>5.6630861835909059</v>
      </c>
      <c r="N220" s="645">
        <v>60.832905155553725</v>
      </c>
      <c r="O220" s="645">
        <v>2.8372848935198816</v>
      </c>
      <c r="P220" s="645">
        <v>496.49341447572323</v>
      </c>
      <c r="Q220" s="645">
        <v>35.336417016114851</v>
      </c>
      <c r="R220" s="645">
        <v>1.9451540734815074</v>
      </c>
      <c r="S220" s="645">
        <v>1376.5452925385248</v>
      </c>
      <c r="U220" s="644" t="s">
        <v>83</v>
      </c>
      <c r="V220" s="645">
        <v>1.065232959954733</v>
      </c>
      <c r="W220" s="645">
        <v>0</v>
      </c>
      <c r="X220" s="645">
        <v>123.73641532901047</v>
      </c>
      <c r="Y220" s="645">
        <v>121.91057745567808</v>
      </c>
      <c r="Z220" s="645">
        <v>0</v>
      </c>
      <c r="AA220" s="645">
        <v>0</v>
      </c>
      <c r="AB220" s="645">
        <v>91.239635035141916</v>
      </c>
      <c r="AC220" s="645">
        <v>5.4913450563703794</v>
      </c>
      <c r="AD220" s="645">
        <v>77.627888306523744</v>
      </c>
      <c r="AE220" s="645">
        <v>38.675835544014738</v>
      </c>
      <c r="AF220" s="645">
        <v>86.476611770328219</v>
      </c>
      <c r="AG220" s="645">
        <v>5.9541727702812857</v>
      </c>
      <c r="AH220" s="645">
        <v>493.03007244229349</v>
      </c>
      <c r="AI220" s="645">
        <v>68.72625481251545</v>
      </c>
      <c r="AJ220" s="645">
        <v>10.334365624475881</v>
      </c>
      <c r="AK220" s="645">
        <v>1124.2684071065887</v>
      </c>
    </row>
    <row r="221" spans="3:37" x14ac:dyDescent="0.2">
      <c r="C221" s="639" t="s">
        <v>84</v>
      </c>
      <c r="D221" s="640">
        <v>0</v>
      </c>
      <c r="E221" s="640">
        <v>0</v>
      </c>
      <c r="F221" s="640">
        <v>111.73719287700069</v>
      </c>
      <c r="G221" s="640">
        <v>11.878700409877391</v>
      </c>
      <c r="H221" s="640">
        <v>0</v>
      </c>
      <c r="I221" s="640">
        <v>0</v>
      </c>
      <c r="J221" s="640">
        <v>0</v>
      </c>
      <c r="K221" s="640">
        <v>0</v>
      </c>
      <c r="L221" s="640">
        <v>0</v>
      </c>
      <c r="M221" s="640">
        <v>0</v>
      </c>
      <c r="N221" s="640">
        <v>0</v>
      </c>
      <c r="O221" s="640">
        <v>0</v>
      </c>
      <c r="P221" s="640">
        <v>0</v>
      </c>
      <c r="Q221" s="640">
        <v>0</v>
      </c>
      <c r="R221" s="640">
        <v>1.43076906409107</v>
      </c>
      <c r="S221" s="648">
        <v>125.04666235096916</v>
      </c>
      <c r="U221" s="639" t="s">
        <v>84</v>
      </c>
      <c r="V221" s="640">
        <v>0</v>
      </c>
      <c r="W221" s="640">
        <v>0</v>
      </c>
      <c r="X221" s="640">
        <v>90.362960784166091</v>
      </c>
      <c r="Y221" s="640">
        <v>1.2615947910933976</v>
      </c>
      <c r="Z221" s="640">
        <v>0</v>
      </c>
      <c r="AA221" s="640">
        <v>0</v>
      </c>
      <c r="AB221" s="640">
        <v>0</v>
      </c>
      <c r="AC221" s="640">
        <v>0</v>
      </c>
      <c r="AD221" s="640">
        <v>14.679117373046875</v>
      </c>
      <c r="AE221" s="640">
        <v>0</v>
      </c>
      <c r="AF221" s="640">
        <v>0</v>
      </c>
      <c r="AG221" s="640">
        <v>0</v>
      </c>
      <c r="AH221" s="640">
        <v>0</v>
      </c>
      <c r="AI221" s="640">
        <v>0</v>
      </c>
      <c r="AJ221" s="640">
        <v>10.026029063720703</v>
      </c>
      <c r="AK221" s="648">
        <v>116.32970201202707</v>
      </c>
    </row>
    <row r="222" spans="3:37" x14ac:dyDescent="0.2">
      <c r="C222" s="644" t="s">
        <v>85</v>
      </c>
      <c r="D222" s="645">
        <v>5.7766123047996905</v>
      </c>
      <c r="E222" s="645">
        <v>0</v>
      </c>
      <c r="F222" s="645">
        <v>457.9322997251615</v>
      </c>
      <c r="G222" s="645">
        <v>288.45786302702516</v>
      </c>
      <c r="H222" s="645">
        <v>0</v>
      </c>
      <c r="I222" s="645">
        <v>0</v>
      </c>
      <c r="J222" s="645">
        <v>113.50572884864343</v>
      </c>
      <c r="K222" s="645">
        <v>1.7926789890585739</v>
      </c>
      <c r="L222" s="645">
        <v>29.587741132730038</v>
      </c>
      <c r="M222" s="645">
        <v>5.6630861835909059</v>
      </c>
      <c r="N222" s="645">
        <v>60.832905155553725</v>
      </c>
      <c r="O222" s="645">
        <v>2.8372848935198816</v>
      </c>
      <c r="P222" s="645">
        <v>496.49341447572323</v>
      </c>
      <c r="Q222" s="645">
        <v>35.336417016114851</v>
      </c>
      <c r="R222" s="645">
        <v>3.3759231375725776</v>
      </c>
      <c r="S222" s="645">
        <v>1501.5919548894938</v>
      </c>
      <c r="U222" s="644" t="s">
        <v>85</v>
      </c>
      <c r="V222" s="645">
        <v>1.065232959954733</v>
      </c>
      <c r="W222" s="645">
        <v>0</v>
      </c>
      <c r="X222" s="645">
        <v>214.09937611317656</v>
      </c>
      <c r="Y222" s="645">
        <v>123.17217224677148</v>
      </c>
      <c r="Z222" s="645">
        <v>0</v>
      </c>
      <c r="AA222" s="645">
        <v>0</v>
      </c>
      <c r="AB222" s="645">
        <v>91.239635035141916</v>
      </c>
      <c r="AC222" s="645">
        <v>5.4913450563703794</v>
      </c>
      <c r="AD222" s="645">
        <v>92.307005679570622</v>
      </c>
      <c r="AE222" s="645">
        <v>38.675835544014738</v>
      </c>
      <c r="AF222" s="645">
        <v>86.476611770328219</v>
      </c>
      <c r="AG222" s="645">
        <v>5.9541727702812857</v>
      </c>
      <c r="AH222" s="645">
        <v>493.03007244229349</v>
      </c>
      <c r="AI222" s="645">
        <v>68.72625481251545</v>
      </c>
      <c r="AJ222" s="645">
        <v>20.360394688196585</v>
      </c>
      <c r="AK222" s="645">
        <v>1240.5981091186156</v>
      </c>
    </row>
    <row r="223" spans="3:37" x14ac:dyDescent="0.2">
      <c r="C223" s="634"/>
      <c r="D223" s="634"/>
      <c r="E223" s="634"/>
      <c r="F223" s="634"/>
      <c r="G223" s="634"/>
      <c r="H223" s="634"/>
      <c r="I223" s="634"/>
      <c r="J223" s="634"/>
      <c r="K223" s="634"/>
      <c r="L223" s="634"/>
      <c r="M223" s="634"/>
      <c r="N223" s="634"/>
      <c r="O223" s="634"/>
      <c r="P223" s="634"/>
      <c r="Q223" s="634"/>
      <c r="R223" s="634"/>
      <c r="S223" s="634"/>
      <c r="U223" s="634"/>
      <c r="V223" s="634"/>
      <c r="W223" s="634"/>
      <c r="X223" s="634"/>
      <c r="Y223" s="634"/>
      <c r="Z223" s="634"/>
      <c r="AA223" s="634"/>
      <c r="AB223" s="634"/>
      <c r="AC223" s="634"/>
      <c r="AD223" s="634"/>
      <c r="AE223" s="634"/>
      <c r="AF223" s="634"/>
      <c r="AG223" s="634"/>
      <c r="AH223" s="634"/>
      <c r="AI223" s="634"/>
      <c r="AJ223" s="634"/>
      <c r="AK223" s="634"/>
    </row>
    <row r="224" spans="3:37" ht="22.5" x14ac:dyDescent="0.3">
      <c r="C224" s="759" t="s">
        <v>360</v>
      </c>
      <c r="D224" s="759"/>
      <c r="E224" s="759"/>
      <c r="F224" s="759"/>
      <c r="G224" s="759"/>
      <c r="H224" s="759"/>
      <c r="I224" s="759"/>
      <c r="J224" s="759"/>
      <c r="K224" s="759"/>
      <c r="L224" s="759"/>
      <c r="M224" s="759"/>
      <c r="N224" s="759"/>
      <c r="O224" s="759"/>
      <c r="P224" s="759"/>
      <c r="Q224" s="759"/>
      <c r="R224" s="759"/>
      <c r="S224" s="759"/>
      <c r="U224" s="759" t="s">
        <v>360</v>
      </c>
      <c r="V224" s="759"/>
      <c r="W224" s="759"/>
      <c r="X224" s="759"/>
      <c r="Y224" s="759"/>
      <c r="Z224" s="759"/>
      <c r="AA224" s="759"/>
      <c r="AB224" s="759"/>
      <c r="AC224" s="759"/>
      <c r="AD224" s="759"/>
      <c r="AE224" s="759"/>
      <c r="AF224" s="759"/>
      <c r="AG224" s="759"/>
      <c r="AH224" s="759"/>
      <c r="AI224" s="759"/>
      <c r="AJ224" s="759"/>
      <c r="AK224" s="759"/>
    </row>
    <row r="225" spans="3:37" x14ac:dyDescent="0.2">
      <c r="C225" s="634"/>
      <c r="D225" s="634"/>
      <c r="E225" s="634"/>
      <c r="F225" s="634"/>
      <c r="G225" s="634"/>
      <c r="H225" s="634"/>
      <c r="I225" s="634"/>
      <c r="J225" s="634"/>
      <c r="K225" s="634"/>
      <c r="L225" s="634"/>
      <c r="M225" s="634"/>
      <c r="N225" s="634"/>
      <c r="O225" s="634"/>
      <c r="P225" s="634"/>
      <c r="Q225" s="634"/>
      <c r="R225" s="634"/>
      <c r="S225" s="634"/>
      <c r="U225" s="634"/>
      <c r="V225" s="634"/>
      <c r="W225" s="634"/>
      <c r="X225" s="634"/>
      <c r="Y225" s="634"/>
      <c r="Z225" s="634"/>
      <c r="AA225" s="634"/>
      <c r="AB225" s="634"/>
      <c r="AC225" s="634"/>
      <c r="AD225" s="634"/>
      <c r="AE225" s="634"/>
      <c r="AF225" s="634"/>
      <c r="AG225" s="634"/>
      <c r="AH225" s="634"/>
      <c r="AI225" s="634"/>
      <c r="AJ225" s="634"/>
      <c r="AK225" s="634"/>
    </row>
    <row r="226" spans="3:37" ht="12.95" customHeight="1" x14ac:dyDescent="0.2">
      <c r="C226" s="758" t="s">
        <v>128</v>
      </c>
      <c r="D226" s="757" t="s">
        <v>42</v>
      </c>
      <c r="E226" s="757" t="s">
        <v>52</v>
      </c>
      <c r="F226" s="757" t="s">
        <v>53</v>
      </c>
      <c r="G226" s="757" t="s">
        <v>32</v>
      </c>
      <c r="H226" s="757" t="s">
        <v>20</v>
      </c>
      <c r="I226" s="757" t="s">
        <v>55</v>
      </c>
      <c r="J226" s="757" t="s">
        <v>56</v>
      </c>
      <c r="K226" s="757"/>
      <c r="L226" s="757"/>
      <c r="M226" s="757"/>
      <c r="N226" s="757"/>
      <c r="O226" s="757"/>
      <c r="P226" s="757" t="s">
        <v>57</v>
      </c>
      <c r="Q226" s="757" t="s">
        <v>58</v>
      </c>
      <c r="R226" s="757" t="s">
        <v>31</v>
      </c>
      <c r="S226" s="757" t="s">
        <v>10</v>
      </c>
      <c r="U226" s="758" t="s">
        <v>128</v>
      </c>
      <c r="V226" s="757" t="s">
        <v>42</v>
      </c>
      <c r="W226" s="757" t="s">
        <v>52</v>
      </c>
      <c r="X226" s="757" t="s">
        <v>53</v>
      </c>
      <c r="Y226" s="757" t="s">
        <v>32</v>
      </c>
      <c r="Z226" s="757" t="s">
        <v>20</v>
      </c>
      <c r="AA226" s="757" t="s">
        <v>55</v>
      </c>
      <c r="AB226" s="757" t="s">
        <v>56</v>
      </c>
      <c r="AC226" s="757"/>
      <c r="AD226" s="757"/>
      <c r="AE226" s="757"/>
      <c r="AF226" s="757"/>
      <c r="AG226" s="757"/>
      <c r="AH226" s="757" t="s">
        <v>57</v>
      </c>
      <c r="AI226" s="757" t="s">
        <v>58</v>
      </c>
      <c r="AJ226" s="757" t="s">
        <v>31</v>
      </c>
      <c r="AK226" s="757" t="s">
        <v>10</v>
      </c>
    </row>
    <row r="227" spans="3:37" ht="56.25" x14ac:dyDescent="0.2">
      <c r="C227" s="758"/>
      <c r="D227" s="757"/>
      <c r="E227" s="757"/>
      <c r="F227" s="757"/>
      <c r="G227" s="757"/>
      <c r="H227" s="757"/>
      <c r="I227" s="757"/>
      <c r="J227" s="638" t="s">
        <v>335</v>
      </c>
      <c r="K227" s="638" t="s">
        <v>40</v>
      </c>
      <c r="L227" s="638" t="s">
        <v>343</v>
      </c>
      <c r="M227" s="638" t="s">
        <v>344</v>
      </c>
      <c r="N227" s="638" t="s">
        <v>345</v>
      </c>
      <c r="O227" s="638" t="s">
        <v>346</v>
      </c>
      <c r="P227" s="757"/>
      <c r="Q227" s="757"/>
      <c r="R227" s="757"/>
      <c r="S227" s="757"/>
      <c r="U227" s="758"/>
      <c r="V227" s="757"/>
      <c r="W227" s="757"/>
      <c r="X227" s="757"/>
      <c r="Y227" s="757"/>
      <c r="Z227" s="757"/>
      <c r="AA227" s="757"/>
      <c r="AB227" s="638" t="s">
        <v>335</v>
      </c>
      <c r="AC227" s="638" t="s">
        <v>40</v>
      </c>
      <c r="AD227" s="638" t="s">
        <v>343</v>
      </c>
      <c r="AE227" s="638" t="s">
        <v>344</v>
      </c>
      <c r="AF227" s="638" t="s">
        <v>345</v>
      </c>
      <c r="AG227" s="638" t="s">
        <v>346</v>
      </c>
      <c r="AH227" s="757"/>
      <c r="AI227" s="757"/>
      <c r="AJ227" s="757"/>
      <c r="AK227" s="757"/>
    </row>
    <row r="228" spans="3:37" x14ac:dyDescent="0.2">
      <c r="C228" s="639" t="s">
        <v>59</v>
      </c>
      <c r="D228" s="640">
        <v>0</v>
      </c>
      <c r="E228" s="641">
        <v>0</v>
      </c>
      <c r="F228" s="641">
        <v>0</v>
      </c>
      <c r="G228" s="640">
        <v>0</v>
      </c>
      <c r="H228" s="641">
        <v>959.09090909090924</v>
      </c>
      <c r="I228" s="641">
        <v>265.54666314840352</v>
      </c>
      <c r="J228" s="641">
        <v>188.6372712469306</v>
      </c>
      <c r="K228" s="641">
        <v>20.835963621356942</v>
      </c>
      <c r="L228" s="641">
        <v>0.48646764865129044</v>
      </c>
      <c r="M228" s="641">
        <v>0.15840693111613638</v>
      </c>
      <c r="N228" s="641">
        <v>62.897832024028709</v>
      </c>
      <c r="O228" s="641">
        <v>11.865462020109925</v>
      </c>
      <c r="P228" s="642">
        <v>0</v>
      </c>
      <c r="Q228" s="641">
        <v>0</v>
      </c>
      <c r="R228" s="641">
        <v>0</v>
      </c>
      <c r="S228" s="643">
        <v>1509.5189757315065</v>
      </c>
      <c r="U228" s="639" t="s">
        <v>59</v>
      </c>
      <c r="V228" s="640">
        <v>0</v>
      </c>
      <c r="W228" s="641">
        <v>0</v>
      </c>
      <c r="X228" s="641">
        <v>0</v>
      </c>
      <c r="Y228" s="640">
        <v>0</v>
      </c>
      <c r="Z228" s="641">
        <v>919.39393939393949</v>
      </c>
      <c r="AA228" s="641">
        <v>300.16666314840353</v>
      </c>
      <c r="AB228" s="641">
        <v>196.07210414009427</v>
      </c>
      <c r="AC228" s="641">
        <v>37.690284018354092</v>
      </c>
      <c r="AD228" s="641">
        <v>0.48646764865129044</v>
      </c>
      <c r="AE228" s="641">
        <v>0.15840693111613638</v>
      </c>
      <c r="AF228" s="641">
        <v>92.901000398225491</v>
      </c>
      <c r="AG228" s="641">
        <v>23.979405132943342</v>
      </c>
      <c r="AH228" s="642">
        <v>0</v>
      </c>
      <c r="AI228" s="641">
        <v>0</v>
      </c>
      <c r="AJ228" s="641">
        <v>0</v>
      </c>
      <c r="AK228" s="643">
        <v>1570.8482708117278</v>
      </c>
    </row>
    <row r="229" spans="3:37" x14ac:dyDescent="0.2">
      <c r="C229" s="639" t="s">
        <v>60</v>
      </c>
      <c r="D229" s="640">
        <v>48.037640466799544</v>
      </c>
      <c r="E229" s="641">
        <v>504.19228646673599</v>
      </c>
      <c r="F229" s="641">
        <v>68.527294255032075</v>
      </c>
      <c r="G229" s="640">
        <v>332.96357284387591</v>
      </c>
      <c r="H229" s="641">
        <v>0</v>
      </c>
      <c r="I229" s="641">
        <v>0</v>
      </c>
      <c r="J229" s="641">
        <v>4.4041420336435353</v>
      </c>
      <c r="K229" s="641">
        <v>0</v>
      </c>
      <c r="L229" s="641">
        <v>2.4215969020745125</v>
      </c>
      <c r="M229" s="641">
        <v>0</v>
      </c>
      <c r="N229" s="641">
        <v>0</v>
      </c>
      <c r="O229" s="641">
        <v>0</v>
      </c>
      <c r="P229" s="642">
        <v>0</v>
      </c>
      <c r="Q229" s="641">
        <v>0</v>
      </c>
      <c r="R229" s="641">
        <v>0</v>
      </c>
      <c r="S229" s="643">
        <v>960.54653296816161</v>
      </c>
      <c r="U229" s="639" t="s">
        <v>60</v>
      </c>
      <c r="V229" s="640">
        <v>7.5315222042138927</v>
      </c>
      <c r="W229" s="641">
        <v>266.28302835422375</v>
      </c>
      <c r="X229" s="641">
        <v>14.660534841020075</v>
      </c>
      <c r="Y229" s="640">
        <v>136.19700966140181</v>
      </c>
      <c r="Z229" s="641">
        <v>0</v>
      </c>
      <c r="AA229" s="641">
        <v>0</v>
      </c>
      <c r="AB229" s="641">
        <v>4.4041420336435353</v>
      </c>
      <c r="AC229" s="641">
        <v>0</v>
      </c>
      <c r="AD229" s="641">
        <v>2.4215969020745125</v>
      </c>
      <c r="AE229" s="641">
        <v>0</v>
      </c>
      <c r="AF229" s="641">
        <v>0</v>
      </c>
      <c r="AG229" s="641">
        <v>0</v>
      </c>
      <c r="AH229" s="642">
        <v>0</v>
      </c>
      <c r="AI229" s="641">
        <v>0</v>
      </c>
      <c r="AJ229" s="641">
        <v>0</v>
      </c>
      <c r="AK229" s="643">
        <v>431.49783399657758</v>
      </c>
    </row>
    <row r="230" spans="3:37" x14ac:dyDescent="0.2">
      <c r="C230" s="639" t="s">
        <v>61</v>
      </c>
      <c r="D230" s="640">
        <v>0</v>
      </c>
      <c r="E230" s="641">
        <v>0</v>
      </c>
      <c r="F230" s="641">
        <v>0</v>
      </c>
      <c r="G230" s="640">
        <v>0</v>
      </c>
      <c r="H230" s="641">
        <v>0</v>
      </c>
      <c r="I230" s="641">
        <v>0</v>
      </c>
      <c r="J230" s="641">
        <v>0</v>
      </c>
      <c r="K230" s="641">
        <v>0</v>
      </c>
      <c r="L230" s="641">
        <v>0</v>
      </c>
      <c r="M230" s="641">
        <v>0</v>
      </c>
      <c r="N230" s="641">
        <v>0</v>
      </c>
      <c r="O230" s="641">
        <v>0</v>
      </c>
      <c r="P230" s="642">
        <v>-31.055970799843635</v>
      </c>
      <c r="Q230" s="641">
        <v>0</v>
      </c>
      <c r="R230" s="641">
        <v>0</v>
      </c>
      <c r="S230" s="643">
        <v>-31.055970799843635</v>
      </c>
      <c r="U230" s="639" t="s">
        <v>61</v>
      </c>
      <c r="V230" s="640">
        <v>0</v>
      </c>
      <c r="W230" s="641">
        <v>0</v>
      </c>
      <c r="X230" s="641">
        <v>-20.238165107819981</v>
      </c>
      <c r="Y230" s="640">
        <v>0</v>
      </c>
      <c r="Z230" s="641">
        <v>0</v>
      </c>
      <c r="AA230" s="641">
        <v>0</v>
      </c>
      <c r="AB230" s="641">
        <v>0</v>
      </c>
      <c r="AC230" s="641">
        <v>0</v>
      </c>
      <c r="AD230" s="641">
        <v>0</v>
      </c>
      <c r="AE230" s="641">
        <v>0</v>
      </c>
      <c r="AF230" s="641">
        <v>0</v>
      </c>
      <c r="AG230" s="641">
        <v>0</v>
      </c>
      <c r="AH230" s="642">
        <v>-12.632253344037395</v>
      </c>
      <c r="AI230" s="641">
        <v>0</v>
      </c>
      <c r="AJ230" s="641">
        <v>0</v>
      </c>
      <c r="AK230" s="643">
        <v>-32.870418451857375</v>
      </c>
    </row>
    <row r="231" spans="3:37" x14ac:dyDescent="0.2">
      <c r="C231" s="639" t="s">
        <v>62</v>
      </c>
      <c r="D231" s="640">
        <v>0</v>
      </c>
      <c r="E231" s="641">
        <v>0</v>
      </c>
      <c r="F231" s="641">
        <v>-15.855905256620872</v>
      </c>
      <c r="G231" s="640">
        <v>0</v>
      </c>
      <c r="H231" s="641">
        <v>0</v>
      </c>
      <c r="I231" s="641">
        <v>0</v>
      </c>
      <c r="J231" s="641">
        <v>0</v>
      </c>
      <c r="K231" s="641">
        <v>0</v>
      </c>
      <c r="L231" s="641">
        <v>0</v>
      </c>
      <c r="M231" s="641">
        <v>0</v>
      </c>
      <c r="N231" s="641">
        <v>0</v>
      </c>
      <c r="O231" s="641">
        <v>0</v>
      </c>
      <c r="P231" s="642">
        <v>0</v>
      </c>
      <c r="Q231" s="641">
        <v>0</v>
      </c>
      <c r="R231" s="641">
        <v>0</v>
      </c>
      <c r="S231" s="643">
        <v>-15.855905256620872</v>
      </c>
      <c r="U231" s="639" t="s">
        <v>62</v>
      </c>
      <c r="V231" s="640">
        <v>0</v>
      </c>
      <c r="W231" s="641">
        <v>0</v>
      </c>
      <c r="X231" s="641">
        <v>-10.068616817390659</v>
      </c>
      <c r="Y231" s="640">
        <v>-2.2904268439326967</v>
      </c>
      <c r="Z231" s="641">
        <v>0</v>
      </c>
      <c r="AA231" s="641">
        <v>0</v>
      </c>
      <c r="AB231" s="641">
        <v>0</v>
      </c>
      <c r="AC231" s="641">
        <v>0</v>
      </c>
      <c r="AD231" s="641">
        <v>0</v>
      </c>
      <c r="AE231" s="641">
        <v>-0.98161150454258428</v>
      </c>
      <c r="AF231" s="641">
        <v>0</v>
      </c>
      <c r="AG231" s="641">
        <v>0</v>
      </c>
      <c r="AH231" s="642">
        <v>0</v>
      </c>
      <c r="AI231" s="641">
        <v>0</v>
      </c>
      <c r="AJ231" s="641">
        <v>0</v>
      </c>
      <c r="AK231" s="643">
        <v>-13.34065516586594</v>
      </c>
    </row>
    <row r="232" spans="3:37" x14ac:dyDescent="0.2">
      <c r="C232" s="639" t="s">
        <v>63</v>
      </c>
      <c r="D232" s="640">
        <v>0</v>
      </c>
      <c r="E232" s="641">
        <v>0</v>
      </c>
      <c r="F232" s="641">
        <v>-87.092524368241456</v>
      </c>
      <c r="G232" s="640">
        <v>0</v>
      </c>
      <c r="H232" s="641">
        <v>0</v>
      </c>
      <c r="I232" s="641">
        <v>0</v>
      </c>
      <c r="J232" s="641">
        <v>0</v>
      </c>
      <c r="K232" s="641">
        <v>0</v>
      </c>
      <c r="L232" s="641">
        <v>-0.90133117758770376</v>
      </c>
      <c r="M232" s="641">
        <v>0</v>
      </c>
      <c r="N232" s="641">
        <v>0</v>
      </c>
      <c r="O232" s="641">
        <v>0</v>
      </c>
      <c r="P232" s="642">
        <v>0</v>
      </c>
      <c r="Q232" s="641">
        <v>0</v>
      </c>
      <c r="R232" s="641">
        <v>0</v>
      </c>
      <c r="S232" s="643">
        <v>-87.993855545829163</v>
      </c>
      <c r="U232" s="639" t="s">
        <v>63</v>
      </c>
      <c r="V232" s="640">
        <v>0</v>
      </c>
      <c r="W232" s="641">
        <v>0</v>
      </c>
      <c r="X232" s="641">
        <v>-58.231828596071985</v>
      </c>
      <c r="Y232" s="640">
        <v>0</v>
      </c>
      <c r="Z232" s="641">
        <v>0</v>
      </c>
      <c r="AA232" s="641">
        <v>0</v>
      </c>
      <c r="AB232" s="641">
        <v>0</v>
      </c>
      <c r="AC232" s="641">
        <v>0</v>
      </c>
      <c r="AD232" s="641">
        <v>-23.991898740742837</v>
      </c>
      <c r="AE232" s="641">
        <v>0</v>
      </c>
      <c r="AF232" s="641">
        <v>0</v>
      </c>
      <c r="AG232" s="641">
        <v>0</v>
      </c>
      <c r="AH232" s="642">
        <v>0</v>
      </c>
      <c r="AI232" s="641">
        <v>0</v>
      </c>
      <c r="AJ232" s="641">
        <v>0</v>
      </c>
      <c r="AK232" s="643">
        <v>-82.223727336814818</v>
      </c>
    </row>
    <row r="233" spans="3:37" x14ac:dyDescent="0.2">
      <c r="C233" s="639" t="s">
        <v>64</v>
      </c>
      <c r="D233" s="640">
        <v>0</v>
      </c>
      <c r="E233" s="641">
        <v>0</v>
      </c>
      <c r="F233" s="641">
        <v>0</v>
      </c>
      <c r="G233" s="640">
        <v>0</v>
      </c>
      <c r="H233" s="641">
        <v>0</v>
      </c>
      <c r="I233" s="641">
        <v>0</v>
      </c>
      <c r="J233" s="641">
        <v>0</v>
      </c>
      <c r="K233" s="641">
        <v>0</v>
      </c>
      <c r="L233" s="641">
        <v>0</v>
      </c>
      <c r="M233" s="641">
        <v>0</v>
      </c>
      <c r="N233" s="641">
        <v>0</v>
      </c>
      <c r="O233" s="641">
        <v>0</v>
      </c>
      <c r="P233" s="642">
        <v>0</v>
      </c>
      <c r="Q233" s="641">
        <v>0</v>
      </c>
      <c r="R233" s="641">
        <v>0</v>
      </c>
      <c r="S233" s="643">
        <v>0</v>
      </c>
      <c r="U233" s="639" t="s">
        <v>64</v>
      </c>
      <c r="V233" s="640">
        <v>0</v>
      </c>
      <c r="W233" s="641">
        <v>0</v>
      </c>
      <c r="X233" s="641">
        <v>0</v>
      </c>
      <c r="Y233" s="640">
        <v>0</v>
      </c>
      <c r="Z233" s="641">
        <v>0</v>
      </c>
      <c r="AA233" s="641">
        <v>0</v>
      </c>
      <c r="AB233" s="641">
        <v>0</v>
      </c>
      <c r="AC233" s="641">
        <v>0</v>
      </c>
      <c r="AD233" s="641">
        <v>0</v>
      </c>
      <c r="AE233" s="641">
        <v>0</v>
      </c>
      <c r="AF233" s="641">
        <v>0</v>
      </c>
      <c r="AG233" s="641">
        <v>0</v>
      </c>
      <c r="AH233" s="642">
        <v>0</v>
      </c>
      <c r="AI233" s="641">
        <v>0</v>
      </c>
      <c r="AJ233" s="641">
        <v>0</v>
      </c>
      <c r="AK233" s="643">
        <v>0</v>
      </c>
    </row>
    <row r="234" spans="3:37" x14ac:dyDescent="0.2">
      <c r="C234" s="644" t="s">
        <v>65</v>
      </c>
      <c r="D234" s="645">
        <v>48.037640466799544</v>
      </c>
      <c r="E234" s="645">
        <v>504.19228646673599</v>
      </c>
      <c r="F234" s="645">
        <v>-34.42113536983026</v>
      </c>
      <c r="G234" s="645">
        <v>332.96357284387591</v>
      </c>
      <c r="H234" s="645">
        <v>959.09090909090924</v>
      </c>
      <c r="I234" s="645">
        <v>265.54666314840352</v>
      </c>
      <c r="J234" s="645">
        <v>193.04141328057412</v>
      </c>
      <c r="K234" s="645">
        <v>20.835963621356942</v>
      </c>
      <c r="L234" s="645">
        <v>2.0067333731380987</v>
      </c>
      <c r="M234" s="645">
        <v>0.15840693111613638</v>
      </c>
      <c r="N234" s="645">
        <v>62.897832024028709</v>
      </c>
      <c r="O234" s="645">
        <v>11.865462020109925</v>
      </c>
      <c r="P234" s="645">
        <v>-31.055970799843635</v>
      </c>
      <c r="Q234" s="645">
        <v>0</v>
      </c>
      <c r="R234" s="645">
        <v>0</v>
      </c>
      <c r="S234" s="645">
        <v>2335.159777097374</v>
      </c>
      <c r="U234" s="644" t="s">
        <v>65</v>
      </c>
      <c r="V234" s="645">
        <v>7.5315222042138927</v>
      </c>
      <c r="W234" s="645">
        <v>266.28302835422375</v>
      </c>
      <c r="X234" s="645">
        <v>-73.87807568026254</v>
      </c>
      <c r="Y234" s="645">
        <v>133.90658281746911</v>
      </c>
      <c r="Z234" s="645">
        <v>919.39393939393949</v>
      </c>
      <c r="AA234" s="645">
        <v>300.16666314840353</v>
      </c>
      <c r="AB234" s="645">
        <v>200.47624617373779</v>
      </c>
      <c r="AC234" s="645">
        <v>37.690284018354092</v>
      </c>
      <c r="AD234" s="645">
        <v>-21.083834190017033</v>
      </c>
      <c r="AE234" s="645">
        <v>-0.82320457342644793</v>
      </c>
      <c r="AF234" s="645">
        <v>92.901000398225491</v>
      </c>
      <c r="AG234" s="645">
        <v>23.979405132943342</v>
      </c>
      <c r="AH234" s="645">
        <v>-12.632253344037395</v>
      </c>
      <c r="AI234" s="645">
        <v>0</v>
      </c>
      <c r="AJ234" s="645">
        <v>0</v>
      </c>
      <c r="AK234" s="645">
        <v>1873.9113038537675</v>
      </c>
    </row>
    <row r="235" spans="3:37" x14ac:dyDescent="0.2">
      <c r="C235" s="634"/>
      <c r="D235" s="634">
        <v>0</v>
      </c>
      <c r="E235" s="634">
        <v>0</v>
      </c>
      <c r="F235" s="634">
        <v>0</v>
      </c>
      <c r="G235" s="634">
        <v>0</v>
      </c>
      <c r="H235" s="634">
        <v>0</v>
      </c>
      <c r="I235" s="634">
        <v>0</v>
      </c>
      <c r="J235" s="634">
        <v>0</v>
      </c>
      <c r="K235" s="634">
        <v>0</v>
      </c>
      <c r="L235" s="634">
        <v>0</v>
      </c>
      <c r="M235" s="634">
        <v>0</v>
      </c>
      <c r="N235" s="634">
        <v>0</v>
      </c>
      <c r="O235" s="634">
        <v>0</v>
      </c>
      <c r="P235" s="634">
        <v>0</v>
      </c>
      <c r="Q235" s="634">
        <v>0</v>
      </c>
      <c r="R235" s="634">
        <v>0</v>
      </c>
      <c r="S235" s="634">
        <v>0</v>
      </c>
      <c r="U235" s="634"/>
      <c r="V235" s="634">
        <v>0</v>
      </c>
      <c r="W235" s="634">
        <v>0</v>
      </c>
      <c r="X235" s="634">
        <v>0</v>
      </c>
      <c r="Y235" s="634">
        <v>0</v>
      </c>
      <c r="Z235" s="634">
        <v>0</v>
      </c>
      <c r="AA235" s="634">
        <v>0</v>
      </c>
      <c r="AB235" s="634">
        <v>0</v>
      </c>
      <c r="AC235" s="634">
        <v>0</v>
      </c>
      <c r="AD235" s="634">
        <v>0</v>
      </c>
      <c r="AE235" s="634">
        <v>0</v>
      </c>
      <c r="AF235" s="634">
        <v>0</v>
      </c>
      <c r="AG235" s="634">
        <v>0</v>
      </c>
      <c r="AH235" s="634">
        <v>0</v>
      </c>
      <c r="AI235" s="634">
        <v>0</v>
      </c>
      <c r="AJ235" s="634">
        <v>0</v>
      </c>
      <c r="AK235" s="634">
        <v>0</v>
      </c>
    </row>
    <row r="236" spans="3:37" x14ac:dyDescent="0.2">
      <c r="C236" s="646" t="s">
        <v>67</v>
      </c>
      <c r="D236" s="640">
        <v>0</v>
      </c>
      <c r="E236" s="647">
        <v>0</v>
      </c>
      <c r="F236" s="647">
        <v>0</v>
      </c>
      <c r="G236" s="640">
        <v>0</v>
      </c>
      <c r="H236" s="640">
        <v>0</v>
      </c>
      <c r="I236" s="640">
        <v>0</v>
      </c>
      <c r="J236" s="640">
        <v>0</v>
      </c>
      <c r="K236" s="640">
        <v>0</v>
      </c>
      <c r="L236" s="640">
        <v>0</v>
      </c>
      <c r="M236" s="640">
        <v>0</v>
      </c>
      <c r="N236" s="640">
        <v>0</v>
      </c>
      <c r="O236" s="640">
        <v>0</v>
      </c>
      <c r="P236" s="640">
        <v>0</v>
      </c>
      <c r="Q236" s="640">
        <v>0</v>
      </c>
      <c r="R236" s="640">
        <v>0</v>
      </c>
      <c r="S236" s="648">
        <v>0</v>
      </c>
      <c r="U236" s="646" t="s">
        <v>67</v>
      </c>
      <c r="V236" s="640">
        <v>0</v>
      </c>
      <c r="W236" s="647">
        <v>0</v>
      </c>
      <c r="X236" s="647">
        <v>0</v>
      </c>
      <c r="Y236" s="640">
        <v>0</v>
      </c>
      <c r="Z236" s="640">
        <v>0</v>
      </c>
      <c r="AA236" s="640">
        <v>0</v>
      </c>
      <c r="AB236" s="640">
        <v>0</v>
      </c>
      <c r="AC236" s="640">
        <v>0</v>
      </c>
      <c r="AD236" s="640">
        <v>0</v>
      </c>
      <c r="AE236" s="640">
        <v>0</v>
      </c>
      <c r="AF236" s="640">
        <v>0</v>
      </c>
      <c r="AG236" s="640">
        <v>0</v>
      </c>
      <c r="AH236" s="640">
        <v>0</v>
      </c>
      <c r="AI236" s="640">
        <v>0</v>
      </c>
      <c r="AJ236" s="640">
        <v>0</v>
      </c>
      <c r="AK236" s="648">
        <v>0</v>
      </c>
    </row>
    <row r="237" spans="3:37" x14ac:dyDescent="0.2">
      <c r="C237" s="646" t="s">
        <v>347</v>
      </c>
      <c r="D237" s="640">
        <v>2.8267856410252494</v>
      </c>
      <c r="E237" s="640">
        <v>0</v>
      </c>
      <c r="F237" s="640">
        <v>7.5217067848259731</v>
      </c>
      <c r="G237" s="640">
        <v>17.043478260869566</v>
      </c>
      <c r="H237" s="640">
        <v>959.09090909090924</v>
      </c>
      <c r="I237" s="640">
        <v>265.54666314840352</v>
      </c>
      <c r="J237" s="649">
        <v>29.657322749860491</v>
      </c>
      <c r="K237" s="649">
        <v>6.9984717304001904</v>
      </c>
      <c r="L237" s="649">
        <v>2.9080645507258027</v>
      </c>
      <c r="M237" s="649">
        <v>0.47316517381762646</v>
      </c>
      <c r="N237" s="649">
        <v>0</v>
      </c>
      <c r="O237" s="649">
        <v>6.9042102843702597</v>
      </c>
      <c r="P237" s="640">
        <v>-613.13903868039233</v>
      </c>
      <c r="Q237" s="640">
        <v>0</v>
      </c>
      <c r="R237" s="640">
        <v>0</v>
      </c>
      <c r="S237" s="648">
        <v>685.83173873481564</v>
      </c>
      <c r="U237" s="646" t="s">
        <v>347</v>
      </c>
      <c r="V237" s="640">
        <v>0.62631490545869017</v>
      </c>
      <c r="W237" s="640">
        <v>0</v>
      </c>
      <c r="X237" s="640">
        <v>3.6580704211896093</v>
      </c>
      <c r="Y237" s="640">
        <v>6.2086956521739127</v>
      </c>
      <c r="Z237" s="640">
        <v>919.39393939393949</v>
      </c>
      <c r="AA237" s="640">
        <v>300.16666314840353</v>
      </c>
      <c r="AB237" s="649">
        <v>23.86094386593884</v>
      </c>
      <c r="AC237" s="649">
        <v>5.6952120200596408</v>
      </c>
      <c r="AD237" s="649">
        <v>2.9080645507258027</v>
      </c>
      <c r="AE237" s="649">
        <v>2.7862086520784959</v>
      </c>
      <c r="AF237" s="649">
        <v>0</v>
      </c>
      <c r="AG237" s="649">
        <v>6.9042102843702597</v>
      </c>
      <c r="AH237" s="640">
        <v>-628.6590386803922</v>
      </c>
      <c r="AI237" s="640">
        <v>0</v>
      </c>
      <c r="AJ237" s="640">
        <v>4.7499999999999991</v>
      </c>
      <c r="AK237" s="648">
        <v>648.29928421394618</v>
      </c>
    </row>
    <row r="238" spans="3:37" x14ac:dyDescent="0.2">
      <c r="C238" s="646" t="s">
        <v>348</v>
      </c>
      <c r="D238" s="640">
        <v>0</v>
      </c>
      <c r="E238" s="640">
        <v>0</v>
      </c>
      <c r="F238" s="640">
        <v>0</v>
      </c>
      <c r="G238" s="640">
        <v>14.973464488470796</v>
      </c>
      <c r="H238" s="640">
        <v>0</v>
      </c>
      <c r="I238" s="640">
        <v>0</v>
      </c>
      <c r="J238" s="649">
        <v>12.61885930635281</v>
      </c>
      <c r="K238" s="649">
        <v>11.992989190910333</v>
      </c>
      <c r="L238" s="649">
        <v>0</v>
      </c>
      <c r="M238" s="649">
        <v>0.32007470171399477</v>
      </c>
      <c r="N238" s="649">
        <v>0</v>
      </c>
      <c r="O238" s="649">
        <v>2.1221335576886813</v>
      </c>
      <c r="P238" s="640">
        <v>0</v>
      </c>
      <c r="Q238" s="640">
        <v>-38.122859170635891</v>
      </c>
      <c r="R238" s="640">
        <v>0</v>
      </c>
      <c r="S238" s="648">
        <v>3.9046620745007217</v>
      </c>
      <c r="U238" s="646" t="s">
        <v>348</v>
      </c>
      <c r="V238" s="640">
        <v>0</v>
      </c>
      <c r="W238" s="640">
        <v>0</v>
      </c>
      <c r="X238" s="640">
        <v>0</v>
      </c>
      <c r="Y238" s="640">
        <v>11.236128743190402</v>
      </c>
      <c r="Z238" s="640">
        <v>0</v>
      </c>
      <c r="AA238" s="640">
        <v>0</v>
      </c>
      <c r="AB238" s="649">
        <v>28.835017835425074</v>
      </c>
      <c r="AC238" s="649">
        <v>26.276566272731909</v>
      </c>
      <c r="AD238" s="649">
        <v>0</v>
      </c>
      <c r="AE238" s="649">
        <v>4.8299775408676195</v>
      </c>
      <c r="AF238" s="649">
        <v>0</v>
      </c>
      <c r="AG238" s="649">
        <v>10.71495831218258</v>
      </c>
      <c r="AH238" s="640">
        <v>0</v>
      </c>
      <c r="AI238" s="640">
        <v>-75.331063655699538</v>
      </c>
      <c r="AJ238" s="640">
        <v>0</v>
      </c>
      <c r="AK238" s="648">
        <v>6.561585048698058</v>
      </c>
    </row>
    <row r="239" spans="3:37" x14ac:dyDescent="0.2">
      <c r="C239" s="646" t="s">
        <v>349</v>
      </c>
      <c r="D239" s="640">
        <v>0</v>
      </c>
      <c r="E239" s="640">
        <v>0</v>
      </c>
      <c r="F239" s="640">
        <v>0</v>
      </c>
      <c r="G239" s="640">
        <v>0</v>
      </c>
      <c r="H239" s="640">
        <v>0</v>
      </c>
      <c r="I239" s="640">
        <v>0</v>
      </c>
      <c r="J239" s="650">
        <v>7.1836152532588793</v>
      </c>
      <c r="K239" s="650">
        <v>0</v>
      </c>
      <c r="L239" s="650">
        <v>0</v>
      </c>
      <c r="M239" s="650">
        <v>-6.5550489185987271</v>
      </c>
      <c r="N239" s="650">
        <v>0</v>
      </c>
      <c r="O239" s="650">
        <v>0</v>
      </c>
      <c r="P239" s="640">
        <v>0</v>
      </c>
      <c r="Q239" s="640">
        <v>0</v>
      </c>
      <c r="R239" s="640">
        <v>0</v>
      </c>
      <c r="S239" s="648">
        <v>0.62856633466015222</v>
      </c>
      <c r="U239" s="646" t="s">
        <v>349</v>
      </c>
      <c r="V239" s="640">
        <v>0</v>
      </c>
      <c r="W239" s="640">
        <v>0</v>
      </c>
      <c r="X239" s="640">
        <v>0</v>
      </c>
      <c r="Y239" s="640">
        <v>0</v>
      </c>
      <c r="Z239" s="640">
        <v>0</v>
      </c>
      <c r="AA239" s="640">
        <v>0</v>
      </c>
      <c r="AB239" s="650">
        <v>63.436450079223192</v>
      </c>
      <c r="AC239" s="650">
        <v>0</v>
      </c>
      <c r="AD239" s="650">
        <v>0</v>
      </c>
      <c r="AE239" s="650">
        <v>-57.885760697291161</v>
      </c>
      <c r="AF239" s="650">
        <v>0</v>
      </c>
      <c r="AG239" s="650">
        <v>0</v>
      </c>
      <c r="AH239" s="640">
        <v>0</v>
      </c>
      <c r="AI239" s="640">
        <v>0</v>
      </c>
      <c r="AJ239" s="640">
        <v>0</v>
      </c>
      <c r="AK239" s="648">
        <v>5.5506893819320311</v>
      </c>
    </row>
    <row r="240" spans="3:37" x14ac:dyDescent="0.2">
      <c r="C240" s="646" t="s">
        <v>350</v>
      </c>
      <c r="D240" s="640">
        <v>0</v>
      </c>
      <c r="E240" s="640">
        <v>0</v>
      </c>
      <c r="F240" s="640">
        <v>0</v>
      </c>
      <c r="G240" s="640">
        <v>0</v>
      </c>
      <c r="H240" s="640">
        <v>0</v>
      </c>
      <c r="I240" s="640">
        <v>0</v>
      </c>
      <c r="J240" s="640">
        <v>0</v>
      </c>
      <c r="K240" s="640">
        <v>0</v>
      </c>
      <c r="L240" s="640">
        <v>0</v>
      </c>
      <c r="M240" s="640">
        <v>0</v>
      </c>
      <c r="N240" s="640">
        <v>0</v>
      </c>
      <c r="O240" s="640">
        <v>0</v>
      </c>
      <c r="P240" s="640">
        <v>0</v>
      </c>
      <c r="Q240" s="640">
        <v>0</v>
      </c>
      <c r="R240" s="640">
        <v>0</v>
      </c>
      <c r="S240" s="648">
        <v>0</v>
      </c>
      <c r="U240" s="646" t="s">
        <v>350</v>
      </c>
      <c r="V240" s="640">
        <v>0</v>
      </c>
      <c r="W240" s="640">
        <v>0</v>
      </c>
      <c r="X240" s="640">
        <v>0</v>
      </c>
      <c r="Y240" s="640">
        <v>0</v>
      </c>
      <c r="Z240" s="640">
        <v>0</v>
      </c>
      <c r="AA240" s="640">
        <v>0</v>
      </c>
      <c r="AB240" s="640">
        <v>0</v>
      </c>
      <c r="AC240" s="640">
        <v>0</v>
      </c>
      <c r="AD240" s="640">
        <v>0</v>
      </c>
      <c r="AE240" s="640">
        <v>0</v>
      </c>
      <c r="AF240" s="640">
        <v>0</v>
      </c>
      <c r="AG240" s="640">
        <v>0</v>
      </c>
      <c r="AH240" s="640">
        <v>0</v>
      </c>
      <c r="AI240" s="640">
        <v>0</v>
      </c>
      <c r="AJ240" s="640">
        <v>0</v>
      </c>
      <c r="AK240" s="648">
        <v>0</v>
      </c>
    </row>
    <row r="241" spans="3:37" x14ac:dyDescent="0.2">
      <c r="C241" s="646" t="s">
        <v>72</v>
      </c>
      <c r="D241" s="640">
        <v>0</v>
      </c>
      <c r="E241" s="640">
        <v>522.28962186433523</v>
      </c>
      <c r="F241" s="640">
        <v>-517.06672564569192</v>
      </c>
      <c r="G241" s="640">
        <v>0</v>
      </c>
      <c r="H241" s="640">
        <v>0</v>
      </c>
      <c r="I241" s="640">
        <v>0</v>
      </c>
      <c r="J241" s="640">
        <v>0</v>
      </c>
      <c r="K241" s="640">
        <v>0</v>
      </c>
      <c r="L241" s="640">
        <v>0</v>
      </c>
      <c r="M241" s="640">
        <v>0</v>
      </c>
      <c r="N241" s="640">
        <v>0</v>
      </c>
      <c r="O241" s="640">
        <v>0</v>
      </c>
      <c r="P241" s="640">
        <v>0</v>
      </c>
      <c r="Q241" s="640">
        <v>0</v>
      </c>
      <c r="R241" s="640">
        <v>0</v>
      </c>
      <c r="S241" s="648">
        <v>5.2228962186433137</v>
      </c>
      <c r="U241" s="646" t="s">
        <v>72</v>
      </c>
      <c r="V241" s="640">
        <v>0</v>
      </c>
      <c r="W241" s="640">
        <v>275.84091609698424</v>
      </c>
      <c r="X241" s="640">
        <v>-273.0825069360144</v>
      </c>
      <c r="Y241" s="640">
        <v>0</v>
      </c>
      <c r="Z241" s="640">
        <v>0</v>
      </c>
      <c r="AA241" s="640">
        <v>0</v>
      </c>
      <c r="AB241" s="640">
        <v>0</v>
      </c>
      <c r="AC241" s="640">
        <v>0</v>
      </c>
      <c r="AD241" s="640">
        <v>0</v>
      </c>
      <c r="AE241" s="640">
        <v>0</v>
      </c>
      <c r="AF241" s="640">
        <v>0</v>
      </c>
      <c r="AG241" s="640">
        <v>0</v>
      </c>
      <c r="AH241" s="640">
        <v>0</v>
      </c>
      <c r="AI241" s="640">
        <v>0</v>
      </c>
      <c r="AJ241" s="640">
        <v>0</v>
      </c>
      <c r="AK241" s="648">
        <v>2.7584091609698476</v>
      </c>
    </row>
    <row r="242" spans="3:37" x14ac:dyDescent="0.2">
      <c r="C242" s="646" t="s">
        <v>351</v>
      </c>
      <c r="D242" s="640">
        <v>0</v>
      </c>
      <c r="E242" s="640">
        <v>0</v>
      </c>
      <c r="F242" s="640">
        <v>0</v>
      </c>
      <c r="G242" s="640">
        <v>0</v>
      </c>
      <c r="H242" s="640">
        <v>0</v>
      </c>
      <c r="I242" s="640">
        <v>0</v>
      </c>
      <c r="J242" s="640">
        <v>28.942309114060045</v>
      </c>
      <c r="K242" s="640">
        <v>0</v>
      </c>
      <c r="L242" s="640">
        <v>-28.942309114060045</v>
      </c>
      <c r="M242" s="640">
        <v>0</v>
      </c>
      <c r="N242" s="640">
        <v>0</v>
      </c>
      <c r="O242" s="640">
        <v>0</v>
      </c>
      <c r="P242" s="640">
        <v>0</v>
      </c>
      <c r="Q242" s="640">
        <v>0</v>
      </c>
      <c r="R242" s="640">
        <v>0</v>
      </c>
      <c r="S242" s="648">
        <v>0</v>
      </c>
      <c r="U242" s="646" t="s">
        <v>351</v>
      </c>
      <c r="V242" s="640">
        <v>0</v>
      </c>
      <c r="W242" s="640">
        <v>0</v>
      </c>
      <c r="X242" s="640">
        <v>0</v>
      </c>
      <c r="Y242" s="640">
        <v>0</v>
      </c>
      <c r="Z242" s="640">
        <v>0</v>
      </c>
      <c r="AA242" s="640">
        <v>0</v>
      </c>
      <c r="AB242" s="640" t="e">
        <v>#VALUE!</v>
      </c>
      <c r="AC242" s="640">
        <v>0</v>
      </c>
      <c r="AD242" s="640">
        <v>-101.68735143023177</v>
      </c>
      <c r="AE242" s="640">
        <v>0</v>
      </c>
      <c r="AF242" s="640">
        <v>0</v>
      </c>
      <c r="AG242" s="640">
        <v>0</v>
      </c>
      <c r="AH242" s="640">
        <v>0</v>
      </c>
      <c r="AI242" s="640">
        <v>0</v>
      </c>
      <c r="AJ242" s="640">
        <v>0</v>
      </c>
      <c r="AK242" s="648">
        <v>-101.68735143023177</v>
      </c>
    </row>
    <row r="243" spans="3:37" x14ac:dyDescent="0.2">
      <c r="C243" s="646" t="s">
        <v>352</v>
      </c>
      <c r="D243" s="640">
        <v>0</v>
      </c>
      <c r="E243" s="640">
        <v>0</v>
      </c>
      <c r="F243" s="640">
        <v>0</v>
      </c>
      <c r="G243" s="640">
        <v>0</v>
      </c>
      <c r="H243" s="640">
        <v>0</v>
      </c>
      <c r="I243" s="640">
        <v>0</v>
      </c>
      <c r="J243" s="640">
        <v>0</v>
      </c>
      <c r="K243" s="640">
        <v>0</v>
      </c>
      <c r="L243" s="640">
        <v>0</v>
      </c>
      <c r="M243" s="640">
        <v>0</v>
      </c>
      <c r="N243" s="640">
        <v>0</v>
      </c>
      <c r="O243" s="640">
        <v>0</v>
      </c>
      <c r="P243" s="640">
        <v>0</v>
      </c>
      <c r="Q243" s="640">
        <v>0</v>
      </c>
      <c r="R243" s="640">
        <v>0</v>
      </c>
      <c r="S243" s="648">
        <v>0</v>
      </c>
      <c r="U243" s="646" t="s">
        <v>352</v>
      </c>
      <c r="V243" s="640">
        <v>0</v>
      </c>
      <c r="W243" s="640">
        <v>0</v>
      </c>
      <c r="X243" s="640">
        <v>0</v>
      </c>
      <c r="Y243" s="640">
        <v>0</v>
      </c>
      <c r="Z243" s="640">
        <v>0</v>
      </c>
      <c r="AA243" s="640">
        <v>0</v>
      </c>
      <c r="AB243" s="640">
        <v>0</v>
      </c>
      <c r="AC243" s="640">
        <v>0</v>
      </c>
      <c r="AD243" s="640">
        <v>-20.330518764117095</v>
      </c>
      <c r="AE243" s="640">
        <v>0</v>
      </c>
      <c r="AF243" s="640">
        <v>0</v>
      </c>
      <c r="AG243" s="640">
        <v>0</v>
      </c>
      <c r="AH243" s="640">
        <v>0</v>
      </c>
      <c r="AI243" s="640">
        <v>0</v>
      </c>
      <c r="AJ243" s="640">
        <v>0</v>
      </c>
      <c r="AK243" s="648">
        <v>-20.330518764117095</v>
      </c>
    </row>
    <row r="244" spans="3:37" x14ac:dyDescent="0.2">
      <c r="C244" s="646" t="s">
        <v>73</v>
      </c>
      <c r="D244" s="640">
        <v>0</v>
      </c>
      <c r="E244" s="640">
        <v>0</v>
      </c>
      <c r="F244" s="640">
        <v>0</v>
      </c>
      <c r="G244" s="640">
        <v>5.1012543356530031</v>
      </c>
      <c r="H244" s="640">
        <v>0</v>
      </c>
      <c r="I244" s="640">
        <v>0</v>
      </c>
      <c r="J244" s="640">
        <v>0</v>
      </c>
      <c r="K244" s="640">
        <v>5.8487208617897309E-2</v>
      </c>
      <c r="L244" s="640">
        <v>0</v>
      </c>
      <c r="M244" s="640">
        <v>0.10410723133985722</v>
      </c>
      <c r="N244" s="640">
        <v>0</v>
      </c>
      <c r="O244" s="640">
        <v>0</v>
      </c>
      <c r="P244" s="640">
        <v>0.59767950412449788</v>
      </c>
      <c r="Q244" s="640">
        <v>0</v>
      </c>
      <c r="R244" s="640">
        <v>-4.094104603252811</v>
      </c>
      <c r="S244" s="648">
        <v>1.7674236764824451</v>
      </c>
      <c r="U244" s="646" t="s">
        <v>73</v>
      </c>
      <c r="V244" s="640">
        <v>0</v>
      </c>
      <c r="W244" s="640">
        <v>0</v>
      </c>
      <c r="X244" s="640">
        <v>0</v>
      </c>
      <c r="Y244" s="640">
        <v>5.6948243223481816</v>
      </c>
      <c r="Z244" s="640">
        <v>0</v>
      </c>
      <c r="AA244" s="640">
        <v>0</v>
      </c>
      <c r="AB244" s="640">
        <v>0</v>
      </c>
      <c r="AC244" s="640">
        <v>0.40677316588201312</v>
      </c>
      <c r="AD244" s="640">
        <v>0</v>
      </c>
      <c r="AE244" s="640">
        <v>2.440638995292078</v>
      </c>
      <c r="AF244" s="640">
        <v>0</v>
      </c>
      <c r="AG244" s="640">
        <v>0</v>
      </c>
      <c r="AH244" s="640">
        <v>32.838767990182951</v>
      </c>
      <c r="AI244" s="640">
        <v>0</v>
      </c>
      <c r="AJ244" s="640">
        <v>-28.474121611740912</v>
      </c>
      <c r="AK244" s="648">
        <v>12.906882861964313</v>
      </c>
    </row>
    <row r="245" spans="3:37" x14ac:dyDescent="0.2">
      <c r="C245" s="646" t="s">
        <v>353</v>
      </c>
      <c r="D245" s="640">
        <v>28.616489999999999</v>
      </c>
      <c r="E245" s="640">
        <v>-18.09733539759922</v>
      </c>
      <c r="F245" s="640">
        <v>23.670245777269074</v>
      </c>
      <c r="G245" s="640">
        <v>0</v>
      </c>
      <c r="H245" s="640">
        <v>0</v>
      </c>
      <c r="I245" s="640">
        <v>0</v>
      </c>
      <c r="J245" s="640">
        <v>0</v>
      </c>
      <c r="K245" s="640">
        <v>0</v>
      </c>
      <c r="L245" s="640">
        <v>0</v>
      </c>
      <c r="M245" s="640">
        <v>0</v>
      </c>
      <c r="N245" s="640">
        <v>0</v>
      </c>
      <c r="O245" s="640">
        <v>0</v>
      </c>
      <c r="P245" s="640">
        <v>0</v>
      </c>
      <c r="Q245" s="640">
        <v>0</v>
      </c>
      <c r="R245" s="640">
        <v>0</v>
      </c>
      <c r="S245" s="648">
        <v>34.189400379669848</v>
      </c>
      <c r="U245" s="646" t="s">
        <v>353</v>
      </c>
      <c r="V245" s="640">
        <v>2.3505202026367185</v>
      </c>
      <c r="W245" s="640">
        <v>-9.5578877427605047</v>
      </c>
      <c r="X245" s="640">
        <v>12.501152628950074</v>
      </c>
      <c r="Y245" s="640">
        <v>0</v>
      </c>
      <c r="Z245" s="640">
        <v>0</v>
      </c>
      <c r="AA245" s="640">
        <v>0</v>
      </c>
      <c r="AB245" s="640">
        <v>0</v>
      </c>
      <c r="AC245" s="640">
        <v>0</v>
      </c>
      <c r="AD245" s="640">
        <v>0</v>
      </c>
      <c r="AE245" s="640">
        <v>0</v>
      </c>
      <c r="AF245" s="640">
        <v>0</v>
      </c>
      <c r="AG245" s="640">
        <v>0</v>
      </c>
      <c r="AH245" s="640">
        <v>0</v>
      </c>
      <c r="AI245" s="640">
        <v>0</v>
      </c>
      <c r="AJ245" s="640">
        <v>0</v>
      </c>
      <c r="AK245" s="648">
        <v>5.2937850888262874</v>
      </c>
    </row>
    <row r="246" spans="3:37" x14ac:dyDescent="0.2">
      <c r="C246" s="646" t="s">
        <v>75</v>
      </c>
      <c r="D246" s="640">
        <v>11.128635000000001</v>
      </c>
      <c r="E246" s="640">
        <v>0</v>
      </c>
      <c r="F246" s="640">
        <v>17.757847143387398</v>
      </c>
      <c r="G246" s="640">
        <v>5.0672539113277812</v>
      </c>
      <c r="H246" s="640">
        <v>0</v>
      </c>
      <c r="I246" s="640">
        <v>0</v>
      </c>
      <c r="J246" s="640">
        <v>0</v>
      </c>
      <c r="K246" s="640">
        <v>0</v>
      </c>
      <c r="L246" s="640">
        <v>0</v>
      </c>
      <c r="M246" s="640">
        <v>0.1034133451291384</v>
      </c>
      <c r="N246" s="640">
        <v>0</v>
      </c>
      <c r="O246" s="640">
        <v>0</v>
      </c>
      <c r="P246" s="640">
        <v>30.750377055945027</v>
      </c>
      <c r="Q246" s="640">
        <v>0</v>
      </c>
      <c r="R246" s="640">
        <v>0</v>
      </c>
      <c r="S246" s="648">
        <v>64.807526455789343</v>
      </c>
      <c r="U246" s="646" t="s">
        <v>75</v>
      </c>
      <c r="V246" s="640">
        <v>3.4784289550781251</v>
      </c>
      <c r="W246" s="640">
        <v>0</v>
      </c>
      <c r="X246" s="640">
        <v>17.757847143387398</v>
      </c>
      <c r="Y246" s="640">
        <v>3.6194670795198434</v>
      </c>
      <c r="Z246" s="640">
        <v>0</v>
      </c>
      <c r="AA246" s="640">
        <v>0</v>
      </c>
      <c r="AB246" s="640">
        <v>0</v>
      </c>
      <c r="AC246" s="640">
        <v>0</v>
      </c>
      <c r="AD246" s="640">
        <v>0</v>
      </c>
      <c r="AE246" s="640">
        <v>1.5512001769370758</v>
      </c>
      <c r="AF246" s="640">
        <v>0</v>
      </c>
      <c r="AG246" s="640">
        <v>0</v>
      </c>
      <c r="AH246" s="640">
        <v>36.42264978321775</v>
      </c>
      <c r="AI246" s="640">
        <v>0</v>
      </c>
      <c r="AJ246" s="640">
        <v>0</v>
      </c>
      <c r="AK246" s="648">
        <v>62.829593138140197</v>
      </c>
    </row>
    <row r="247" spans="3:37" x14ac:dyDescent="0.2">
      <c r="C247" s="646" t="s">
        <v>76</v>
      </c>
      <c r="D247" s="640">
        <v>0</v>
      </c>
      <c r="E247" s="640">
        <v>0</v>
      </c>
      <c r="F247" s="640">
        <v>0</v>
      </c>
      <c r="G247" s="640">
        <v>3.8086647866957031</v>
      </c>
      <c r="H247" s="640">
        <v>0</v>
      </c>
      <c r="I247" s="640">
        <v>0</v>
      </c>
      <c r="J247" s="640">
        <v>0</v>
      </c>
      <c r="K247" s="640">
        <v>0</v>
      </c>
      <c r="L247" s="640">
        <v>0</v>
      </c>
      <c r="M247" s="640">
        <v>7.7727852789708229E-2</v>
      </c>
      <c r="N247" s="640">
        <v>0</v>
      </c>
      <c r="O247" s="640">
        <v>0</v>
      </c>
      <c r="P247" s="640">
        <v>44.547532005203358</v>
      </c>
      <c r="Q247" s="640">
        <v>2.958822517532107</v>
      </c>
      <c r="R247" s="640">
        <v>0</v>
      </c>
      <c r="S247" s="648">
        <v>51.392747162220878</v>
      </c>
      <c r="U247" s="646" t="s">
        <v>76</v>
      </c>
      <c r="V247" s="640">
        <v>0</v>
      </c>
      <c r="W247" s="640">
        <v>0</v>
      </c>
      <c r="X247" s="640">
        <v>0</v>
      </c>
      <c r="Y247" s="640">
        <v>1.6015823117827594</v>
      </c>
      <c r="Z247" s="640">
        <v>0</v>
      </c>
      <c r="AA247" s="640">
        <v>0</v>
      </c>
      <c r="AB247" s="640">
        <v>0</v>
      </c>
      <c r="AC247" s="640">
        <v>0</v>
      </c>
      <c r="AD247" s="640">
        <v>0</v>
      </c>
      <c r="AE247" s="640">
        <v>0.68639241933546835</v>
      </c>
      <c r="AF247" s="640">
        <v>0</v>
      </c>
      <c r="AG247" s="640">
        <v>0</v>
      </c>
      <c r="AH247" s="640">
        <v>47.148943407633553</v>
      </c>
      <c r="AI247" s="640">
        <v>5.8421151160056723</v>
      </c>
      <c r="AJ247" s="640">
        <v>0</v>
      </c>
      <c r="AK247" s="648">
        <v>55.279033254757444</v>
      </c>
    </row>
    <row r="248" spans="3:37" x14ac:dyDescent="0.2">
      <c r="C248" s="644" t="s">
        <v>77</v>
      </c>
      <c r="D248" s="645">
        <v>42.571910641025248</v>
      </c>
      <c r="E248" s="645">
        <v>504.19228646673599</v>
      </c>
      <c r="F248" s="645">
        <v>-468.11692594020946</v>
      </c>
      <c r="G248" s="645">
        <v>45.994115783016845</v>
      </c>
      <c r="H248" s="645">
        <v>959.09090909090924</v>
      </c>
      <c r="I248" s="645">
        <v>265.54666314840352</v>
      </c>
      <c r="J248" s="645">
        <v>78.402106423532217</v>
      </c>
      <c r="K248" s="645">
        <v>19.049948129928421</v>
      </c>
      <c r="L248" s="645">
        <v>-26.034244563334241</v>
      </c>
      <c r="M248" s="645">
        <v>-5.4765606138084015</v>
      </c>
      <c r="N248" s="645">
        <v>0</v>
      </c>
      <c r="O248" s="645">
        <v>9.0263438420589424</v>
      </c>
      <c r="P248" s="645">
        <v>-537.24345011511946</v>
      </c>
      <c r="Q248" s="645">
        <v>-35.164036653103786</v>
      </c>
      <c r="R248" s="645">
        <v>-4.094104603252811</v>
      </c>
      <c r="S248" s="645">
        <v>847.74496103678234</v>
      </c>
      <c r="U248" s="644" t="s">
        <v>77</v>
      </c>
      <c r="V248" s="645">
        <v>6.4552640631735336</v>
      </c>
      <c r="W248" s="645">
        <v>266.28302835422375</v>
      </c>
      <c r="X248" s="645">
        <v>-239.16543674248729</v>
      </c>
      <c r="Y248" s="645">
        <v>28.3606981090151</v>
      </c>
      <c r="Z248" s="645">
        <v>919.39393939393949</v>
      </c>
      <c r="AA248" s="645">
        <v>300.16666314840353</v>
      </c>
      <c r="AB248" s="645">
        <v>116.13241178058709</v>
      </c>
      <c r="AC248" s="645">
        <v>32.378551458673563</v>
      </c>
      <c r="AD248" s="645">
        <v>-119.10980564362306</v>
      </c>
      <c r="AE248" s="645">
        <v>-45.591342912780426</v>
      </c>
      <c r="AF248" s="645">
        <v>0</v>
      </c>
      <c r="AG248" s="645">
        <v>17.619168596552839</v>
      </c>
      <c r="AH248" s="645">
        <v>-512.24867749935788</v>
      </c>
      <c r="AI248" s="645">
        <v>-69.488948539693865</v>
      </c>
      <c r="AJ248" s="645">
        <v>-23.724121611740912</v>
      </c>
      <c r="AK248" s="645">
        <v>677.46139195488558</v>
      </c>
    </row>
    <row r="249" spans="3:37" x14ac:dyDescent="0.2">
      <c r="C249" s="634"/>
      <c r="D249" s="634">
        <v>0</v>
      </c>
      <c r="E249" s="634">
        <v>0</v>
      </c>
      <c r="F249" s="634">
        <v>0</v>
      </c>
      <c r="G249" s="634">
        <v>0</v>
      </c>
      <c r="H249" s="634">
        <v>0</v>
      </c>
      <c r="I249" s="634">
        <v>0</v>
      </c>
      <c r="J249" s="634">
        <v>0</v>
      </c>
      <c r="K249" s="634">
        <v>0</v>
      </c>
      <c r="L249" s="634">
        <v>0</v>
      </c>
      <c r="M249" s="634">
        <v>0</v>
      </c>
      <c r="N249" s="634">
        <v>0</v>
      </c>
      <c r="O249" s="634">
        <v>0</v>
      </c>
      <c r="P249" s="634">
        <v>0</v>
      </c>
      <c r="Q249" s="634">
        <v>0</v>
      </c>
      <c r="R249" s="634">
        <v>0</v>
      </c>
      <c r="S249" s="634">
        <v>0</v>
      </c>
      <c r="U249" s="634"/>
      <c r="V249" s="634">
        <v>0</v>
      </c>
      <c r="W249" s="634">
        <v>0</v>
      </c>
      <c r="X249" s="634">
        <v>0</v>
      </c>
      <c r="Y249" s="634">
        <v>0</v>
      </c>
      <c r="Z249" s="634">
        <v>0</v>
      </c>
      <c r="AA249" s="634">
        <v>0</v>
      </c>
      <c r="AB249" s="634">
        <v>0</v>
      </c>
      <c r="AC249" s="634">
        <v>0</v>
      </c>
      <c r="AD249" s="634">
        <v>0</v>
      </c>
      <c r="AE249" s="634">
        <v>0</v>
      </c>
      <c r="AF249" s="634">
        <v>0</v>
      </c>
      <c r="AG249" s="634">
        <v>0</v>
      </c>
      <c r="AH249" s="634">
        <v>0</v>
      </c>
      <c r="AI249" s="634">
        <v>0</v>
      </c>
      <c r="AJ249" s="634">
        <v>0</v>
      </c>
      <c r="AK249" s="634">
        <v>0</v>
      </c>
    </row>
    <row r="250" spans="3:37" x14ac:dyDescent="0.2">
      <c r="C250" s="646" t="s">
        <v>78</v>
      </c>
      <c r="D250" s="640">
        <v>5.4657298257742912</v>
      </c>
      <c r="E250" s="640">
        <v>0</v>
      </c>
      <c r="F250" s="640">
        <v>21.83935294215906</v>
      </c>
      <c r="G250" s="640">
        <v>97.960240418883188</v>
      </c>
      <c r="H250" s="640">
        <v>0</v>
      </c>
      <c r="I250" s="640">
        <v>0</v>
      </c>
      <c r="J250" s="640">
        <v>20.699069714826329</v>
      </c>
      <c r="K250" s="640">
        <v>1.7608774311708451</v>
      </c>
      <c r="L250" s="640">
        <v>0.9136629082031249</v>
      </c>
      <c r="M250" s="640">
        <v>2.0177626304462204</v>
      </c>
      <c r="N250" s="640">
        <v>0</v>
      </c>
      <c r="O250" s="640">
        <v>3.7866244598879411E-4</v>
      </c>
      <c r="P250" s="640">
        <v>111.48933548215857</v>
      </c>
      <c r="Q250" s="640">
        <v>16.083775404791947</v>
      </c>
      <c r="R250" s="640">
        <v>0.29766925048828125</v>
      </c>
      <c r="S250" s="648">
        <v>278.52785467134788</v>
      </c>
      <c r="U250" s="646" t="s">
        <v>78</v>
      </c>
      <c r="V250" s="640">
        <v>1.0762581410403587</v>
      </c>
      <c r="W250" s="640">
        <v>0</v>
      </c>
      <c r="X250" s="640">
        <v>8.4892491154216376</v>
      </c>
      <c r="Y250" s="640">
        <v>50.497915430959594</v>
      </c>
      <c r="Z250" s="640">
        <v>0</v>
      </c>
      <c r="AA250" s="640">
        <v>0</v>
      </c>
      <c r="AB250" s="640">
        <v>15.594949526554588</v>
      </c>
      <c r="AC250" s="640">
        <v>5.2865944994228578</v>
      </c>
      <c r="AD250" s="640">
        <v>4.3757583007812499</v>
      </c>
      <c r="AE250" s="640">
        <v>21.660537806594554</v>
      </c>
      <c r="AF250" s="640">
        <v>0</v>
      </c>
      <c r="AG250" s="640">
        <v>3.7866244598879411E-4</v>
      </c>
      <c r="AH250" s="640">
        <v>141.44668524271188</v>
      </c>
      <c r="AI250" s="640">
        <v>22.79177635880415</v>
      </c>
      <c r="AJ250" s="640">
        <v>6.850041015625</v>
      </c>
      <c r="AK250" s="648">
        <v>278.07014410036186</v>
      </c>
    </row>
    <row r="251" spans="3:37" x14ac:dyDescent="0.2">
      <c r="C251" s="646" t="s">
        <v>79</v>
      </c>
      <c r="D251" s="640">
        <v>0</v>
      </c>
      <c r="E251" s="640">
        <v>0</v>
      </c>
      <c r="F251" s="640">
        <v>249.23385066161848</v>
      </c>
      <c r="G251" s="640">
        <v>29.852237297635437</v>
      </c>
      <c r="H251" s="640">
        <v>0</v>
      </c>
      <c r="I251" s="640">
        <v>0</v>
      </c>
      <c r="J251" s="640">
        <v>0</v>
      </c>
      <c r="K251" s="640">
        <v>0</v>
      </c>
      <c r="L251" s="640">
        <v>24.125777410294155</v>
      </c>
      <c r="M251" s="640">
        <v>0.60922933260480494</v>
      </c>
      <c r="N251" s="640">
        <v>0</v>
      </c>
      <c r="O251" s="640">
        <v>0</v>
      </c>
      <c r="P251" s="640">
        <v>62.086065361885787</v>
      </c>
      <c r="Q251" s="640">
        <v>0</v>
      </c>
      <c r="R251" s="640">
        <v>1.9828379826970517</v>
      </c>
      <c r="S251" s="648">
        <v>367.88999804673568</v>
      </c>
      <c r="U251" s="646" t="s">
        <v>79</v>
      </c>
      <c r="V251" s="640">
        <v>0</v>
      </c>
      <c r="W251" s="640">
        <v>0</v>
      </c>
      <c r="X251" s="640">
        <v>59.317364570862594</v>
      </c>
      <c r="Y251" s="640">
        <v>17.942066440325025</v>
      </c>
      <c r="Z251" s="640">
        <v>0</v>
      </c>
      <c r="AA251" s="640">
        <v>0</v>
      </c>
      <c r="AB251" s="640">
        <v>0</v>
      </c>
      <c r="AC251" s="640">
        <v>0</v>
      </c>
      <c r="AD251" s="640">
        <v>51.332808735857633</v>
      </c>
      <c r="AE251" s="640">
        <v>7.6894570458535831</v>
      </c>
      <c r="AF251" s="640">
        <v>0</v>
      </c>
      <c r="AG251" s="640">
        <v>0</v>
      </c>
      <c r="AH251" s="640">
        <v>82.201296258535137</v>
      </c>
      <c r="AI251" s="640">
        <v>0</v>
      </c>
      <c r="AJ251" s="640">
        <v>4.6183032107255606</v>
      </c>
      <c r="AK251" s="648">
        <v>223.10129626215951</v>
      </c>
    </row>
    <row r="252" spans="3:37" x14ac:dyDescent="0.2">
      <c r="C252" s="646" t="s">
        <v>80</v>
      </c>
      <c r="D252" s="640">
        <v>0</v>
      </c>
      <c r="E252" s="640">
        <v>0</v>
      </c>
      <c r="F252" s="640">
        <v>17.698191750553285</v>
      </c>
      <c r="G252" s="640">
        <v>82.8316536533641</v>
      </c>
      <c r="H252" s="640">
        <v>0</v>
      </c>
      <c r="I252" s="640">
        <v>0</v>
      </c>
      <c r="J252" s="640">
        <v>87.012401530952616</v>
      </c>
      <c r="K252" s="640">
        <v>0</v>
      </c>
      <c r="L252" s="640">
        <v>0</v>
      </c>
      <c r="M252" s="640">
        <v>1.690441911293145</v>
      </c>
      <c r="N252" s="640">
        <v>54.219025663639314</v>
      </c>
      <c r="O252" s="640">
        <v>2.0231633432731213</v>
      </c>
      <c r="P252" s="640">
        <v>187.24843332836184</v>
      </c>
      <c r="Q252" s="640">
        <v>15.504434202631401</v>
      </c>
      <c r="R252" s="640">
        <v>0</v>
      </c>
      <c r="S252" s="648">
        <v>448.22774538406884</v>
      </c>
      <c r="U252" s="646" t="s">
        <v>80</v>
      </c>
      <c r="V252" s="640">
        <v>0</v>
      </c>
      <c r="W252" s="640">
        <v>0</v>
      </c>
      <c r="X252" s="640">
        <v>1.0833932718176746</v>
      </c>
      <c r="Y252" s="640">
        <v>18.084176496701136</v>
      </c>
      <c r="Z252" s="640">
        <v>0</v>
      </c>
      <c r="AA252" s="640">
        <v>0</v>
      </c>
      <c r="AB252" s="640">
        <v>57.868484646152382</v>
      </c>
      <c r="AC252" s="640">
        <v>0</v>
      </c>
      <c r="AD252" s="640">
        <v>0</v>
      </c>
      <c r="AE252" s="640">
        <v>7.7503613557290594</v>
      </c>
      <c r="AF252" s="640">
        <v>78.313096165620991</v>
      </c>
      <c r="AG252" s="640">
        <v>3.4573890525731583</v>
      </c>
      <c r="AH252" s="640">
        <v>150.63566760387405</v>
      </c>
      <c r="AI252" s="640">
        <v>34.942034151478268</v>
      </c>
      <c r="AJ252" s="640">
        <v>0</v>
      </c>
      <c r="AK252" s="648">
        <v>352.13460274394669</v>
      </c>
    </row>
    <row r="253" spans="3:37" x14ac:dyDescent="0.2">
      <c r="C253" s="646" t="s">
        <v>81</v>
      </c>
      <c r="D253" s="640">
        <v>0</v>
      </c>
      <c r="E253" s="640">
        <v>0</v>
      </c>
      <c r="F253" s="640">
        <v>5.759525486283259</v>
      </c>
      <c r="G253" s="640">
        <v>63.242535904869413</v>
      </c>
      <c r="H253" s="640">
        <v>0</v>
      </c>
      <c r="I253" s="640">
        <v>0</v>
      </c>
      <c r="J253" s="640">
        <v>3.243340348024236</v>
      </c>
      <c r="K253" s="640">
        <v>2.5138060257677737E-2</v>
      </c>
      <c r="L253" s="640">
        <v>0</v>
      </c>
      <c r="M253" s="640">
        <v>1.2906639980585595</v>
      </c>
      <c r="N253" s="640">
        <v>8.6788063603893928</v>
      </c>
      <c r="O253" s="640">
        <v>0.74318365128395913</v>
      </c>
      <c r="P253" s="640">
        <v>138.68432478978596</v>
      </c>
      <c r="Q253" s="640">
        <v>3.5758270456804375</v>
      </c>
      <c r="R253" s="640">
        <v>0</v>
      </c>
      <c r="S253" s="648">
        <v>225.24334564463288</v>
      </c>
      <c r="U253" s="646" t="s">
        <v>81</v>
      </c>
      <c r="V253" s="640">
        <v>0</v>
      </c>
      <c r="W253" s="640">
        <v>0</v>
      </c>
      <c r="X253" s="640">
        <v>1.8996820773870462</v>
      </c>
      <c r="Y253" s="640">
        <v>16.701006494583829</v>
      </c>
      <c r="Z253" s="640">
        <v>0</v>
      </c>
      <c r="AA253" s="640">
        <v>0</v>
      </c>
      <c r="AB253" s="640">
        <v>7.1959049572050198</v>
      </c>
      <c r="AC253" s="640">
        <v>2.5138060257677737E-2</v>
      </c>
      <c r="AD253" s="640">
        <v>0</v>
      </c>
      <c r="AE253" s="640">
        <v>7.1575742119644987</v>
      </c>
      <c r="AF253" s="640">
        <v>14.587904232604497</v>
      </c>
      <c r="AG253" s="640">
        <v>1.6018484399661996</v>
      </c>
      <c r="AH253" s="640">
        <v>116.46951239557291</v>
      </c>
      <c r="AI253" s="640">
        <v>11.755138029411436</v>
      </c>
      <c r="AJ253" s="640">
        <v>0</v>
      </c>
      <c r="AK253" s="648">
        <v>177.39370889895312</v>
      </c>
    </row>
    <row r="254" spans="3:37" x14ac:dyDescent="0.2">
      <c r="C254" s="646" t="s">
        <v>82</v>
      </c>
      <c r="D254" s="640">
        <v>0</v>
      </c>
      <c r="E254" s="640">
        <v>0</v>
      </c>
      <c r="F254" s="640">
        <v>29.471786733039881</v>
      </c>
      <c r="G254" s="640">
        <v>1.3166139535686423</v>
      </c>
      <c r="H254" s="640">
        <v>0</v>
      </c>
      <c r="I254" s="640">
        <v>0</v>
      </c>
      <c r="J254" s="640">
        <v>3.6844952632387193</v>
      </c>
      <c r="K254" s="640">
        <v>0</v>
      </c>
      <c r="L254" s="640">
        <v>3.0029030850571363</v>
      </c>
      <c r="M254" s="640">
        <v>2.6869672521809031E-2</v>
      </c>
      <c r="N254" s="640">
        <v>0</v>
      </c>
      <c r="O254" s="640">
        <v>7.2392521047915395E-2</v>
      </c>
      <c r="P254" s="640">
        <v>6.3643203530837074</v>
      </c>
      <c r="Q254" s="640">
        <v>0</v>
      </c>
      <c r="R254" s="640">
        <v>0</v>
      </c>
      <c r="S254" s="648">
        <v>43.939381581557811</v>
      </c>
      <c r="U254" s="646" t="s">
        <v>82</v>
      </c>
      <c r="V254" s="640">
        <v>0</v>
      </c>
      <c r="W254" s="640">
        <v>0</v>
      </c>
      <c r="X254" s="640">
        <v>10.199143313422546</v>
      </c>
      <c r="Y254" s="640">
        <v>1.1904851448286324</v>
      </c>
      <c r="Z254" s="640">
        <v>0</v>
      </c>
      <c r="AA254" s="640">
        <v>0</v>
      </c>
      <c r="AB254" s="640">
        <v>3.6844952632387193</v>
      </c>
      <c r="AC254" s="640">
        <v>0</v>
      </c>
      <c r="AD254" s="640">
        <v>26.674568203776872</v>
      </c>
      <c r="AE254" s="640">
        <v>0.51020791921227104</v>
      </c>
      <c r="AF254" s="640">
        <v>0</v>
      </c>
      <c r="AG254" s="640">
        <v>1.300620381405156</v>
      </c>
      <c r="AH254" s="640">
        <v>6.4632626546266092</v>
      </c>
      <c r="AI254" s="640">
        <v>0</v>
      </c>
      <c r="AJ254" s="640">
        <v>0.325155095351289</v>
      </c>
      <c r="AK254" s="648">
        <v>50.347937975862088</v>
      </c>
    </row>
    <row r="255" spans="3:37" x14ac:dyDescent="0.2">
      <c r="C255" s="646" t="s">
        <v>354</v>
      </c>
      <c r="D255" s="640">
        <v>0</v>
      </c>
      <c r="E255" s="640">
        <v>0</v>
      </c>
      <c r="F255" s="640">
        <v>0</v>
      </c>
      <c r="G255" s="640">
        <v>0</v>
      </c>
      <c r="H255" s="640">
        <v>0</v>
      </c>
      <c r="I255" s="640">
        <v>0</v>
      </c>
      <c r="J255" s="640">
        <v>0</v>
      </c>
      <c r="K255" s="640">
        <v>0</v>
      </c>
      <c r="L255" s="640">
        <v>0</v>
      </c>
      <c r="M255" s="640">
        <v>0</v>
      </c>
      <c r="N255" s="640">
        <v>0</v>
      </c>
      <c r="O255" s="640">
        <v>0</v>
      </c>
      <c r="P255" s="640">
        <v>0.31499999999999995</v>
      </c>
      <c r="Q255" s="640">
        <v>0</v>
      </c>
      <c r="R255" s="640">
        <v>0</v>
      </c>
      <c r="S255" s="648">
        <v>0.31499999999999995</v>
      </c>
      <c r="U255" s="646" t="s">
        <v>354</v>
      </c>
      <c r="V255" s="640">
        <v>0</v>
      </c>
      <c r="W255" s="640">
        <v>0</v>
      </c>
      <c r="X255" s="640">
        <v>0</v>
      </c>
      <c r="Y255" s="640">
        <v>0</v>
      </c>
      <c r="Z255" s="640">
        <v>0</v>
      </c>
      <c r="AA255" s="640">
        <v>0</v>
      </c>
      <c r="AB255" s="640">
        <v>0</v>
      </c>
      <c r="AC255" s="640">
        <v>0</v>
      </c>
      <c r="AD255" s="640">
        <v>0</v>
      </c>
      <c r="AE255" s="640">
        <v>0</v>
      </c>
      <c r="AF255" s="640">
        <v>0</v>
      </c>
      <c r="AG255" s="640">
        <v>0</v>
      </c>
      <c r="AH255" s="640">
        <v>2.4</v>
      </c>
      <c r="AI255" s="640">
        <v>0</v>
      </c>
      <c r="AJ255" s="640">
        <v>0</v>
      </c>
      <c r="AK255" s="648">
        <v>2.4</v>
      </c>
    </row>
    <row r="256" spans="3:37" x14ac:dyDescent="0.2">
      <c r="C256" s="644" t="s">
        <v>83</v>
      </c>
      <c r="D256" s="645">
        <v>5.4657298257742912</v>
      </c>
      <c r="E256" s="645">
        <v>0</v>
      </c>
      <c r="F256" s="645">
        <v>324.00270757365394</v>
      </c>
      <c r="G256" s="645">
        <v>275.2032812283208</v>
      </c>
      <c r="H256" s="645">
        <v>0</v>
      </c>
      <c r="I256" s="645">
        <v>0</v>
      </c>
      <c r="J256" s="645">
        <v>114.6393068570419</v>
      </c>
      <c r="K256" s="645">
        <v>1.7860154914285227</v>
      </c>
      <c r="L256" s="645">
        <v>28.042343403554419</v>
      </c>
      <c r="M256" s="645">
        <v>5.6349675449245389</v>
      </c>
      <c r="N256" s="645">
        <v>62.897832024028709</v>
      </c>
      <c r="O256" s="645">
        <v>2.8391181780509842</v>
      </c>
      <c r="P256" s="645">
        <v>506.18747931527582</v>
      </c>
      <c r="Q256" s="645">
        <v>35.164036653103793</v>
      </c>
      <c r="R256" s="645">
        <v>2.2805072331853329</v>
      </c>
      <c r="S256" s="645">
        <v>1364.1433253283431</v>
      </c>
      <c r="U256" s="644" t="s">
        <v>83</v>
      </c>
      <c r="V256" s="645">
        <v>1.0762581410403587</v>
      </c>
      <c r="W256" s="645">
        <v>0</v>
      </c>
      <c r="X256" s="645">
        <v>80.988832348911515</v>
      </c>
      <c r="Y256" s="645">
        <v>104.41565000739821</v>
      </c>
      <c r="Z256" s="645">
        <v>0</v>
      </c>
      <c r="AA256" s="645">
        <v>0</v>
      </c>
      <c r="AB256" s="645">
        <v>84.343834393150701</v>
      </c>
      <c r="AC256" s="645">
        <v>5.3117325596805349</v>
      </c>
      <c r="AD256" s="645">
        <v>82.383135240415754</v>
      </c>
      <c r="AE256" s="645">
        <v>44.768138339353968</v>
      </c>
      <c r="AF256" s="645">
        <v>92.901000398225491</v>
      </c>
      <c r="AG256" s="645">
        <v>6.3602365363905022</v>
      </c>
      <c r="AH256" s="645">
        <v>499.61642415532054</v>
      </c>
      <c r="AI256" s="645">
        <v>69.488948539693865</v>
      </c>
      <c r="AJ256" s="645">
        <v>11.793499321701848</v>
      </c>
      <c r="AK256" s="645">
        <v>1083.4476899812832</v>
      </c>
    </row>
    <row r="257" spans="3:37" x14ac:dyDescent="0.2">
      <c r="C257" s="639" t="s">
        <v>84</v>
      </c>
      <c r="D257" s="640">
        <v>0</v>
      </c>
      <c r="E257" s="640">
        <v>0</v>
      </c>
      <c r="F257" s="640">
        <v>109.69308299672531</v>
      </c>
      <c r="G257" s="640">
        <v>11.766175832538266</v>
      </c>
      <c r="H257" s="640">
        <v>0</v>
      </c>
      <c r="I257" s="640">
        <v>0</v>
      </c>
      <c r="J257" s="640">
        <v>0</v>
      </c>
      <c r="K257" s="640">
        <v>0</v>
      </c>
      <c r="L257" s="640">
        <v>0</v>
      </c>
      <c r="M257" s="640">
        <v>0</v>
      </c>
      <c r="N257" s="640">
        <v>0</v>
      </c>
      <c r="O257" s="640">
        <v>0</v>
      </c>
      <c r="P257" s="640">
        <v>0</v>
      </c>
      <c r="Q257" s="640">
        <v>0</v>
      </c>
      <c r="R257" s="640">
        <v>1.8135973700674786</v>
      </c>
      <c r="S257" s="648">
        <v>123.27285619933106</v>
      </c>
      <c r="U257" s="639" t="s">
        <v>84</v>
      </c>
      <c r="V257" s="640">
        <v>0</v>
      </c>
      <c r="W257" s="640">
        <v>0</v>
      </c>
      <c r="X257" s="640">
        <v>84.298528713313246</v>
      </c>
      <c r="Y257" s="640">
        <v>1.1302347010557652</v>
      </c>
      <c r="Z257" s="640">
        <v>0</v>
      </c>
      <c r="AA257" s="640">
        <v>0</v>
      </c>
      <c r="AB257" s="640">
        <v>0</v>
      </c>
      <c r="AC257" s="640">
        <v>0</v>
      </c>
      <c r="AD257" s="640">
        <v>17.754065118408207</v>
      </c>
      <c r="AE257" s="640">
        <v>0</v>
      </c>
      <c r="AF257" s="640">
        <v>0</v>
      </c>
      <c r="AG257" s="640">
        <v>0</v>
      </c>
      <c r="AH257" s="640">
        <v>0</v>
      </c>
      <c r="AI257" s="640">
        <v>0</v>
      </c>
      <c r="AJ257" s="640">
        <v>11.930622290039064</v>
      </c>
      <c r="AK257" s="648">
        <v>115.11345082281629</v>
      </c>
    </row>
    <row r="258" spans="3:37" x14ac:dyDescent="0.2">
      <c r="C258" s="644" t="s">
        <v>85</v>
      </c>
      <c r="D258" s="645">
        <v>5.4657298257742912</v>
      </c>
      <c r="E258" s="645">
        <v>0</v>
      </c>
      <c r="F258" s="645">
        <v>433.69579057037924</v>
      </c>
      <c r="G258" s="645">
        <v>286.9694570608591</v>
      </c>
      <c r="H258" s="645">
        <v>0</v>
      </c>
      <c r="I258" s="645">
        <v>0</v>
      </c>
      <c r="J258" s="645">
        <v>114.6393068570419</v>
      </c>
      <c r="K258" s="645">
        <v>1.7860154914285227</v>
      </c>
      <c r="L258" s="645">
        <v>28.042343403554419</v>
      </c>
      <c r="M258" s="645">
        <v>5.6349675449245389</v>
      </c>
      <c r="N258" s="645">
        <v>62.897832024028709</v>
      </c>
      <c r="O258" s="645">
        <v>2.8391181780509842</v>
      </c>
      <c r="P258" s="645">
        <v>506.18747931527582</v>
      </c>
      <c r="Q258" s="645">
        <v>35.164036653103793</v>
      </c>
      <c r="R258" s="645">
        <v>4.094104603252811</v>
      </c>
      <c r="S258" s="645">
        <v>1487.4161815276743</v>
      </c>
      <c r="U258" s="644" t="s">
        <v>85</v>
      </c>
      <c r="V258" s="645">
        <v>1.0762581410403587</v>
      </c>
      <c r="W258" s="645">
        <v>0</v>
      </c>
      <c r="X258" s="645">
        <v>165.28736106222476</v>
      </c>
      <c r="Y258" s="645">
        <v>105.54588470845398</v>
      </c>
      <c r="Z258" s="645">
        <v>0</v>
      </c>
      <c r="AA258" s="645">
        <v>0</v>
      </c>
      <c r="AB258" s="645">
        <v>84.343834393150701</v>
      </c>
      <c r="AC258" s="645">
        <v>5.3117325596805349</v>
      </c>
      <c r="AD258" s="645">
        <v>100.13720035882396</v>
      </c>
      <c r="AE258" s="645">
        <v>44.768138339353968</v>
      </c>
      <c r="AF258" s="645">
        <v>92.901000398225491</v>
      </c>
      <c r="AG258" s="645">
        <v>6.3602365363905022</v>
      </c>
      <c r="AH258" s="645">
        <v>499.61642415532054</v>
      </c>
      <c r="AI258" s="645">
        <v>69.488948539693865</v>
      </c>
      <c r="AJ258" s="645">
        <v>23.724121611740912</v>
      </c>
      <c r="AK258" s="645">
        <v>1198.5611408040995</v>
      </c>
    </row>
    <row r="259" spans="3:37" x14ac:dyDescent="0.2">
      <c r="C259" s="634"/>
      <c r="D259" s="634"/>
      <c r="E259" s="634"/>
      <c r="F259" s="634"/>
      <c r="G259" s="634"/>
      <c r="H259" s="634"/>
      <c r="I259" s="634"/>
      <c r="J259" s="634"/>
      <c r="K259" s="634"/>
      <c r="L259" s="634"/>
      <c r="M259" s="634"/>
      <c r="N259" s="634"/>
      <c r="O259" s="634"/>
      <c r="P259" s="634"/>
      <c r="Q259" s="634"/>
      <c r="R259" s="634"/>
      <c r="S259" s="634"/>
      <c r="U259" s="634"/>
      <c r="V259" s="634"/>
      <c r="W259" s="634"/>
      <c r="X259" s="634"/>
      <c r="Y259" s="634"/>
      <c r="Z259" s="634"/>
      <c r="AA259" s="634"/>
      <c r="AB259" s="634"/>
      <c r="AC259" s="634"/>
      <c r="AD259" s="634"/>
      <c r="AE259" s="634"/>
      <c r="AF259" s="634"/>
      <c r="AG259" s="634"/>
      <c r="AH259" s="634"/>
      <c r="AI259" s="634"/>
      <c r="AJ259" s="634"/>
      <c r="AK259" s="634"/>
    </row>
    <row r="260" spans="3:37" ht="22.5" x14ac:dyDescent="0.3">
      <c r="C260" s="759" t="s">
        <v>518</v>
      </c>
      <c r="D260" s="759"/>
      <c r="E260" s="759"/>
      <c r="F260" s="759"/>
      <c r="G260" s="759"/>
      <c r="H260" s="759"/>
      <c r="I260" s="759"/>
      <c r="J260" s="759"/>
      <c r="K260" s="759"/>
      <c r="L260" s="759"/>
      <c r="M260" s="759"/>
      <c r="N260" s="759"/>
      <c r="O260" s="759"/>
      <c r="P260" s="759"/>
      <c r="Q260" s="759"/>
      <c r="R260" s="759"/>
      <c r="S260" s="759"/>
      <c r="U260" s="759" t="s">
        <v>518</v>
      </c>
      <c r="V260" s="759"/>
      <c r="W260" s="759"/>
      <c r="X260" s="759"/>
      <c r="Y260" s="759"/>
      <c r="Z260" s="759"/>
      <c r="AA260" s="759"/>
      <c r="AB260" s="759"/>
      <c r="AC260" s="759"/>
      <c r="AD260" s="759"/>
      <c r="AE260" s="759"/>
      <c r="AF260" s="759"/>
      <c r="AG260" s="759"/>
      <c r="AH260" s="759"/>
      <c r="AI260" s="759"/>
      <c r="AJ260" s="759"/>
      <c r="AK260" s="759"/>
    </row>
    <row r="261" spans="3:37" x14ac:dyDescent="0.2">
      <c r="C261" s="634"/>
      <c r="D261" s="634"/>
      <c r="E261" s="634"/>
      <c r="F261" s="634"/>
      <c r="G261" s="634"/>
      <c r="H261" s="634"/>
      <c r="I261" s="634"/>
      <c r="J261" s="634"/>
      <c r="K261" s="634"/>
      <c r="L261" s="634"/>
      <c r="M261" s="634"/>
      <c r="N261" s="634"/>
      <c r="O261" s="634"/>
      <c r="P261" s="634"/>
      <c r="Q261" s="634"/>
      <c r="R261" s="634"/>
      <c r="S261" s="634"/>
      <c r="U261" s="634"/>
      <c r="V261" s="634"/>
      <c r="W261" s="634"/>
      <c r="X261" s="634"/>
      <c r="Y261" s="634"/>
      <c r="Z261" s="634"/>
      <c r="AA261" s="634"/>
      <c r="AB261" s="634"/>
      <c r="AC261" s="634"/>
      <c r="AD261" s="634"/>
      <c r="AE261" s="634"/>
      <c r="AF261" s="634"/>
      <c r="AG261" s="634"/>
      <c r="AH261" s="634"/>
      <c r="AI261" s="634"/>
      <c r="AJ261" s="634"/>
      <c r="AK261" s="634"/>
    </row>
    <row r="262" spans="3:37" ht="12.95" customHeight="1" x14ac:dyDescent="0.2">
      <c r="C262" s="758" t="s">
        <v>128</v>
      </c>
      <c r="D262" s="757" t="s">
        <v>42</v>
      </c>
      <c r="E262" s="757" t="s">
        <v>52</v>
      </c>
      <c r="F262" s="757" t="s">
        <v>53</v>
      </c>
      <c r="G262" s="757" t="s">
        <v>32</v>
      </c>
      <c r="H262" s="757" t="s">
        <v>20</v>
      </c>
      <c r="I262" s="757" t="s">
        <v>55</v>
      </c>
      <c r="J262" s="757" t="s">
        <v>56</v>
      </c>
      <c r="K262" s="757"/>
      <c r="L262" s="757"/>
      <c r="M262" s="757"/>
      <c r="N262" s="757"/>
      <c r="O262" s="757"/>
      <c r="P262" s="757" t="s">
        <v>57</v>
      </c>
      <c r="Q262" s="757" t="s">
        <v>58</v>
      </c>
      <c r="R262" s="757" t="s">
        <v>31</v>
      </c>
      <c r="S262" s="757" t="s">
        <v>10</v>
      </c>
      <c r="U262" s="758" t="s">
        <v>128</v>
      </c>
      <c r="V262" s="757" t="s">
        <v>42</v>
      </c>
      <c r="W262" s="757" t="s">
        <v>52</v>
      </c>
      <c r="X262" s="757" t="s">
        <v>53</v>
      </c>
      <c r="Y262" s="757" t="s">
        <v>32</v>
      </c>
      <c r="Z262" s="757" t="s">
        <v>20</v>
      </c>
      <c r="AA262" s="757" t="s">
        <v>55</v>
      </c>
      <c r="AB262" s="757" t="s">
        <v>56</v>
      </c>
      <c r="AC262" s="757"/>
      <c r="AD262" s="757"/>
      <c r="AE262" s="757"/>
      <c r="AF262" s="757"/>
      <c r="AG262" s="757"/>
      <c r="AH262" s="757" t="s">
        <v>57</v>
      </c>
      <c r="AI262" s="757" t="s">
        <v>58</v>
      </c>
      <c r="AJ262" s="757" t="s">
        <v>31</v>
      </c>
      <c r="AK262" s="757" t="s">
        <v>10</v>
      </c>
    </row>
    <row r="263" spans="3:37" ht="56.25" x14ac:dyDescent="0.2">
      <c r="C263" s="758"/>
      <c r="D263" s="757"/>
      <c r="E263" s="757"/>
      <c r="F263" s="757"/>
      <c r="G263" s="757"/>
      <c r="H263" s="757"/>
      <c r="I263" s="757"/>
      <c r="J263" s="638" t="s">
        <v>335</v>
      </c>
      <c r="K263" s="638" t="s">
        <v>40</v>
      </c>
      <c r="L263" s="638" t="s">
        <v>343</v>
      </c>
      <c r="M263" s="638" t="s">
        <v>344</v>
      </c>
      <c r="N263" s="638" t="s">
        <v>345</v>
      </c>
      <c r="O263" s="638" t="s">
        <v>346</v>
      </c>
      <c r="P263" s="757"/>
      <c r="Q263" s="757"/>
      <c r="R263" s="757"/>
      <c r="S263" s="757"/>
      <c r="U263" s="758"/>
      <c r="V263" s="757"/>
      <c r="W263" s="757"/>
      <c r="X263" s="757"/>
      <c r="Y263" s="757"/>
      <c r="Z263" s="757"/>
      <c r="AA263" s="757"/>
      <c r="AB263" s="638" t="s">
        <v>335</v>
      </c>
      <c r="AC263" s="638" t="s">
        <v>40</v>
      </c>
      <c r="AD263" s="638" t="s">
        <v>343</v>
      </c>
      <c r="AE263" s="638" t="s">
        <v>344</v>
      </c>
      <c r="AF263" s="638" t="s">
        <v>345</v>
      </c>
      <c r="AG263" s="638" t="s">
        <v>346</v>
      </c>
      <c r="AH263" s="757"/>
      <c r="AI263" s="757"/>
      <c r="AJ263" s="757"/>
      <c r="AK263" s="757"/>
    </row>
    <row r="264" spans="3:37" x14ac:dyDescent="0.2">
      <c r="C264" s="639" t="s">
        <v>59</v>
      </c>
      <c r="D264" s="640">
        <v>0</v>
      </c>
      <c r="E264" s="641">
        <v>0</v>
      </c>
      <c r="F264" s="641">
        <v>0</v>
      </c>
      <c r="G264" s="640">
        <v>0</v>
      </c>
      <c r="H264" s="641">
        <v>889.54545454545473</v>
      </c>
      <c r="I264" s="641">
        <v>290.38619522472999</v>
      </c>
      <c r="J264" s="641">
        <v>188.26463769943669</v>
      </c>
      <c r="K264" s="641">
        <v>20.519346122490408</v>
      </c>
      <c r="L264" s="641">
        <v>0.54648995449606019</v>
      </c>
      <c r="M264" s="641">
        <v>0.15914693380563083</v>
      </c>
      <c r="N264" s="641">
        <v>65.898689554178929</v>
      </c>
      <c r="O264" s="641">
        <v>11.930124482632028</v>
      </c>
      <c r="P264" s="642">
        <v>0</v>
      </c>
      <c r="Q264" s="641">
        <v>0</v>
      </c>
      <c r="R264" s="641">
        <v>0</v>
      </c>
      <c r="S264" s="643">
        <v>1467.2500845172242</v>
      </c>
      <c r="U264" s="639" t="s">
        <v>59</v>
      </c>
      <c r="V264" s="640">
        <v>0</v>
      </c>
      <c r="W264" s="641">
        <v>0</v>
      </c>
      <c r="X264" s="641">
        <v>0</v>
      </c>
      <c r="Y264" s="640">
        <v>0</v>
      </c>
      <c r="Z264" s="641">
        <v>873.030303030303</v>
      </c>
      <c r="AA264" s="641">
        <v>337.06619522473</v>
      </c>
      <c r="AB264" s="641">
        <v>206.15489309499102</v>
      </c>
      <c r="AC264" s="641">
        <v>37.137182251794961</v>
      </c>
      <c r="AD264" s="641">
        <v>0.54648995449606019</v>
      </c>
      <c r="AE264" s="641">
        <v>0.15914693380563083</v>
      </c>
      <c r="AF264" s="641">
        <v>103.02458403584798</v>
      </c>
      <c r="AG264" s="641">
        <v>25.833176078824131</v>
      </c>
      <c r="AH264" s="642">
        <v>0</v>
      </c>
      <c r="AI264" s="641">
        <v>0</v>
      </c>
      <c r="AJ264" s="641">
        <v>0</v>
      </c>
      <c r="AK264" s="643">
        <v>1582.9519706047927</v>
      </c>
    </row>
    <row r="265" spans="3:37" x14ac:dyDescent="0.2">
      <c r="C265" s="639" t="s">
        <v>60</v>
      </c>
      <c r="D265" s="640">
        <v>47.523331421865407</v>
      </c>
      <c r="E265" s="641">
        <v>492.37419513671523</v>
      </c>
      <c r="F265" s="641">
        <v>57.352326080251387</v>
      </c>
      <c r="G265" s="640">
        <v>328.8885225556333</v>
      </c>
      <c r="H265" s="641">
        <v>0</v>
      </c>
      <c r="I265" s="641">
        <v>0</v>
      </c>
      <c r="J265" s="641">
        <v>4.8075322078390377</v>
      </c>
      <c r="K265" s="641">
        <v>0</v>
      </c>
      <c r="L265" s="641">
        <v>2.6229179175778925</v>
      </c>
      <c r="M265" s="641">
        <v>0</v>
      </c>
      <c r="N265" s="641">
        <v>0</v>
      </c>
      <c r="O265" s="641">
        <v>0</v>
      </c>
      <c r="P265" s="642">
        <v>0</v>
      </c>
      <c r="Q265" s="641">
        <v>0</v>
      </c>
      <c r="R265" s="641">
        <v>0</v>
      </c>
      <c r="S265" s="643">
        <v>933.56882531988219</v>
      </c>
      <c r="U265" s="639" t="s">
        <v>60</v>
      </c>
      <c r="V265" s="640">
        <v>6.5260336126681251</v>
      </c>
      <c r="W265" s="641">
        <v>220.47790015098695</v>
      </c>
      <c r="X265" s="641">
        <v>14.513856185365357</v>
      </c>
      <c r="Y265" s="640">
        <v>102.1346675179243</v>
      </c>
      <c r="Z265" s="641">
        <v>0</v>
      </c>
      <c r="AA265" s="641">
        <v>0</v>
      </c>
      <c r="AB265" s="641">
        <v>4.8075322078390377</v>
      </c>
      <c r="AC265" s="641">
        <v>0</v>
      </c>
      <c r="AD265" s="641">
        <v>2.6229179175778925</v>
      </c>
      <c r="AE265" s="641">
        <v>0</v>
      </c>
      <c r="AF265" s="641">
        <v>0</v>
      </c>
      <c r="AG265" s="641">
        <v>0</v>
      </c>
      <c r="AH265" s="642">
        <v>0</v>
      </c>
      <c r="AI265" s="641">
        <v>0</v>
      </c>
      <c r="AJ265" s="641">
        <v>0</v>
      </c>
      <c r="AK265" s="643">
        <v>351.08290759236166</v>
      </c>
    </row>
    <row r="266" spans="3:37" x14ac:dyDescent="0.2">
      <c r="C266" s="639" t="s">
        <v>61</v>
      </c>
      <c r="D266" s="640">
        <v>0</v>
      </c>
      <c r="E266" s="641">
        <v>0</v>
      </c>
      <c r="F266" s="641">
        <v>0</v>
      </c>
      <c r="G266" s="640">
        <v>0</v>
      </c>
      <c r="H266" s="641">
        <v>0</v>
      </c>
      <c r="I266" s="641">
        <v>0</v>
      </c>
      <c r="J266" s="641">
        <v>0</v>
      </c>
      <c r="K266" s="641">
        <v>0</v>
      </c>
      <c r="L266" s="641">
        <v>0</v>
      </c>
      <c r="M266" s="641">
        <v>0</v>
      </c>
      <c r="N266" s="641">
        <v>0</v>
      </c>
      <c r="O266" s="641">
        <v>0</v>
      </c>
      <c r="P266" s="642">
        <v>-22.391147784534837</v>
      </c>
      <c r="Q266" s="641">
        <v>0</v>
      </c>
      <c r="R266" s="641">
        <v>0</v>
      </c>
      <c r="S266" s="643">
        <v>-22.391147784534837</v>
      </c>
      <c r="U266" s="639" t="s">
        <v>61</v>
      </c>
      <c r="V266" s="640">
        <v>0</v>
      </c>
      <c r="W266" s="641">
        <v>0</v>
      </c>
      <c r="X266" s="641">
        <v>-19.691193817618341</v>
      </c>
      <c r="Y266" s="640">
        <v>0</v>
      </c>
      <c r="Z266" s="641">
        <v>0</v>
      </c>
      <c r="AA266" s="641">
        <v>0</v>
      </c>
      <c r="AB266" s="641">
        <v>0</v>
      </c>
      <c r="AC266" s="641">
        <v>0</v>
      </c>
      <c r="AD266" s="641">
        <v>0</v>
      </c>
      <c r="AE266" s="641">
        <v>0</v>
      </c>
      <c r="AF266" s="641">
        <v>0</v>
      </c>
      <c r="AG266" s="641">
        <v>0</v>
      </c>
      <c r="AH266" s="642">
        <v>-17.389600315785174</v>
      </c>
      <c r="AI266" s="641">
        <v>0</v>
      </c>
      <c r="AJ266" s="641">
        <v>0</v>
      </c>
      <c r="AK266" s="643">
        <v>-37.080794133403515</v>
      </c>
    </row>
    <row r="267" spans="3:37" x14ac:dyDescent="0.2">
      <c r="C267" s="639" t="s">
        <v>62</v>
      </c>
      <c r="D267" s="640">
        <v>0</v>
      </c>
      <c r="E267" s="641">
        <v>0</v>
      </c>
      <c r="F267" s="641">
        <v>-15.496739011683466</v>
      </c>
      <c r="G267" s="640">
        <v>0</v>
      </c>
      <c r="H267" s="641">
        <v>0</v>
      </c>
      <c r="I267" s="641">
        <v>0</v>
      </c>
      <c r="J267" s="641">
        <v>0</v>
      </c>
      <c r="K267" s="641">
        <v>0</v>
      </c>
      <c r="L267" s="641">
        <v>0</v>
      </c>
      <c r="M267" s="641">
        <v>0</v>
      </c>
      <c r="N267" s="641">
        <v>0</v>
      </c>
      <c r="O267" s="641">
        <v>0</v>
      </c>
      <c r="P267" s="642">
        <v>0</v>
      </c>
      <c r="Q267" s="641">
        <v>0</v>
      </c>
      <c r="R267" s="641">
        <v>0</v>
      </c>
      <c r="S267" s="643">
        <v>-15.496739011683466</v>
      </c>
      <c r="U267" s="639" t="s">
        <v>62</v>
      </c>
      <c r="V267" s="640">
        <v>0</v>
      </c>
      <c r="W267" s="641">
        <v>0</v>
      </c>
      <c r="X267" s="641">
        <v>-8.5387827474702789</v>
      </c>
      <c r="Y267" s="640">
        <v>-2.2272473327152178</v>
      </c>
      <c r="Z267" s="641">
        <v>0</v>
      </c>
      <c r="AA267" s="641">
        <v>0</v>
      </c>
      <c r="AB267" s="641">
        <v>0</v>
      </c>
      <c r="AC267" s="641">
        <v>0</v>
      </c>
      <c r="AD267" s="641">
        <v>0</v>
      </c>
      <c r="AE267" s="641">
        <v>-1.7037211969591732</v>
      </c>
      <c r="AF267" s="641">
        <v>0</v>
      </c>
      <c r="AG267" s="641">
        <v>0</v>
      </c>
      <c r="AH267" s="642">
        <v>0</v>
      </c>
      <c r="AI267" s="641">
        <v>0</v>
      </c>
      <c r="AJ267" s="641">
        <v>0</v>
      </c>
      <c r="AK267" s="643">
        <v>-12.46975127714467</v>
      </c>
    </row>
    <row r="268" spans="3:37" x14ac:dyDescent="0.2">
      <c r="C268" s="639" t="s">
        <v>63</v>
      </c>
      <c r="D268" s="640">
        <v>0</v>
      </c>
      <c r="E268" s="641">
        <v>0</v>
      </c>
      <c r="F268" s="641">
        <v>-89.42656352071144</v>
      </c>
      <c r="G268" s="640">
        <v>0</v>
      </c>
      <c r="H268" s="641">
        <v>0</v>
      </c>
      <c r="I268" s="641">
        <v>0</v>
      </c>
      <c r="J268" s="641">
        <v>0</v>
      </c>
      <c r="K268" s="641">
        <v>0</v>
      </c>
      <c r="L268" s="641">
        <v>-0.92190198395554845</v>
      </c>
      <c r="M268" s="641">
        <v>0</v>
      </c>
      <c r="N268" s="641">
        <v>0</v>
      </c>
      <c r="O268" s="641">
        <v>0</v>
      </c>
      <c r="P268" s="642">
        <v>0</v>
      </c>
      <c r="Q268" s="641">
        <v>0</v>
      </c>
      <c r="R268" s="641">
        <v>0</v>
      </c>
      <c r="S268" s="643">
        <v>-90.34846550466699</v>
      </c>
      <c r="U268" s="639" t="s">
        <v>63</v>
      </c>
      <c r="V268" s="640">
        <v>0</v>
      </c>
      <c r="W268" s="641">
        <v>0</v>
      </c>
      <c r="X268" s="641">
        <v>-55.486888716289528</v>
      </c>
      <c r="Y268" s="640">
        <v>0</v>
      </c>
      <c r="Z268" s="641">
        <v>0</v>
      </c>
      <c r="AA268" s="641">
        <v>0</v>
      </c>
      <c r="AB268" s="641">
        <v>0</v>
      </c>
      <c r="AC268" s="641">
        <v>0</v>
      </c>
      <c r="AD268" s="641">
        <v>-26.575233608452013</v>
      </c>
      <c r="AE268" s="641">
        <v>0</v>
      </c>
      <c r="AF268" s="641">
        <v>0</v>
      </c>
      <c r="AG268" s="641">
        <v>0</v>
      </c>
      <c r="AH268" s="642">
        <v>0</v>
      </c>
      <c r="AI268" s="641">
        <v>0</v>
      </c>
      <c r="AJ268" s="641">
        <v>0</v>
      </c>
      <c r="AK268" s="643">
        <v>-82.062122324741537</v>
      </c>
    </row>
    <row r="269" spans="3:37" x14ac:dyDescent="0.2">
      <c r="C269" s="639" t="s">
        <v>64</v>
      </c>
      <c r="D269" s="640">
        <v>0</v>
      </c>
      <c r="E269" s="641">
        <v>0</v>
      </c>
      <c r="F269" s="641">
        <v>0</v>
      </c>
      <c r="G269" s="640">
        <v>0</v>
      </c>
      <c r="H269" s="641">
        <v>0</v>
      </c>
      <c r="I269" s="641">
        <v>0</v>
      </c>
      <c r="J269" s="641">
        <v>0</v>
      </c>
      <c r="K269" s="641">
        <v>0</v>
      </c>
      <c r="L269" s="641">
        <v>0</v>
      </c>
      <c r="M269" s="641">
        <v>0</v>
      </c>
      <c r="N269" s="641">
        <v>0</v>
      </c>
      <c r="O269" s="641">
        <v>0</v>
      </c>
      <c r="P269" s="642">
        <v>0</v>
      </c>
      <c r="Q269" s="641">
        <v>0</v>
      </c>
      <c r="R269" s="641">
        <v>0</v>
      </c>
      <c r="S269" s="643">
        <v>0</v>
      </c>
      <c r="U269" s="639" t="s">
        <v>64</v>
      </c>
      <c r="V269" s="640">
        <v>0</v>
      </c>
      <c r="W269" s="641">
        <v>0</v>
      </c>
      <c r="X269" s="641">
        <v>0</v>
      </c>
      <c r="Y269" s="640">
        <v>0</v>
      </c>
      <c r="Z269" s="641">
        <v>0</v>
      </c>
      <c r="AA269" s="641">
        <v>0</v>
      </c>
      <c r="AB269" s="641">
        <v>0</v>
      </c>
      <c r="AC269" s="641">
        <v>0</v>
      </c>
      <c r="AD269" s="641">
        <v>0</v>
      </c>
      <c r="AE269" s="641">
        <v>0</v>
      </c>
      <c r="AF269" s="641">
        <v>0</v>
      </c>
      <c r="AG269" s="641">
        <v>0</v>
      </c>
      <c r="AH269" s="642">
        <v>0</v>
      </c>
      <c r="AI269" s="641">
        <v>0</v>
      </c>
      <c r="AJ269" s="641">
        <v>0</v>
      </c>
      <c r="AK269" s="643">
        <v>0</v>
      </c>
    </row>
    <row r="270" spans="3:37" x14ac:dyDescent="0.2">
      <c r="C270" s="644" t="s">
        <v>65</v>
      </c>
      <c r="D270" s="645">
        <v>47.523331421865407</v>
      </c>
      <c r="E270" s="645">
        <v>492.37419513671523</v>
      </c>
      <c r="F270" s="645">
        <v>-47.570976452143519</v>
      </c>
      <c r="G270" s="645">
        <v>328.8885225556333</v>
      </c>
      <c r="H270" s="645">
        <v>889.54545454545473</v>
      </c>
      <c r="I270" s="645">
        <v>290.38619522472999</v>
      </c>
      <c r="J270" s="645">
        <v>193.07216990727574</v>
      </c>
      <c r="K270" s="645">
        <v>20.519346122490408</v>
      </c>
      <c r="L270" s="645">
        <v>2.247505888118404</v>
      </c>
      <c r="M270" s="645">
        <v>0.15914693380563083</v>
      </c>
      <c r="N270" s="645">
        <v>65.898689554178929</v>
      </c>
      <c r="O270" s="645">
        <v>11.930124482632028</v>
      </c>
      <c r="P270" s="645">
        <v>-22.391147784534837</v>
      </c>
      <c r="Q270" s="645">
        <v>0</v>
      </c>
      <c r="R270" s="645">
        <v>0</v>
      </c>
      <c r="S270" s="645">
        <v>2272.5825575362214</v>
      </c>
      <c r="U270" s="644" t="s">
        <v>65</v>
      </c>
      <c r="V270" s="645">
        <v>6.5260336126681251</v>
      </c>
      <c r="W270" s="645">
        <v>220.47790015098695</v>
      </c>
      <c r="X270" s="645">
        <v>-69.203009096012792</v>
      </c>
      <c r="Y270" s="645">
        <v>99.907420185209077</v>
      </c>
      <c r="Z270" s="645">
        <v>873.030303030303</v>
      </c>
      <c r="AA270" s="645">
        <v>337.06619522473</v>
      </c>
      <c r="AB270" s="645">
        <v>210.96242530283007</v>
      </c>
      <c r="AC270" s="645">
        <v>37.137182251794961</v>
      </c>
      <c r="AD270" s="645">
        <v>-23.405825736378059</v>
      </c>
      <c r="AE270" s="645">
        <v>-1.5445742631535424</v>
      </c>
      <c r="AF270" s="645">
        <v>103.02458403584798</v>
      </c>
      <c r="AG270" s="645">
        <v>25.833176078824131</v>
      </c>
      <c r="AH270" s="645">
        <v>-17.389600315785174</v>
      </c>
      <c r="AI270" s="645">
        <v>0</v>
      </c>
      <c r="AJ270" s="645">
        <v>0</v>
      </c>
      <c r="AK270" s="645">
        <v>1802.4222104618648</v>
      </c>
    </row>
    <row r="271" spans="3:37" x14ac:dyDescent="0.2">
      <c r="C271" s="634"/>
      <c r="D271" s="634">
        <v>0</v>
      </c>
      <c r="E271" s="634">
        <v>0</v>
      </c>
      <c r="F271" s="634">
        <v>0</v>
      </c>
      <c r="G271" s="634">
        <v>0</v>
      </c>
      <c r="H271" s="634">
        <v>0</v>
      </c>
      <c r="I271" s="634">
        <v>0</v>
      </c>
      <c r="J271" s="634">
        <v>0</v>
      </c>
      <c r="K271" s="634">
        <v>0</v>
      </c>
      <c r="L271" s="634">
        <v>0</v>
      </c>
      <c r="M271" s="634">
        <v>0</v>
      </c>
      <c r="N271" s="634">
        <v>0</v>
      </c>
      <c r="O271" s="634">
        <v>0</v>
      </c>
      <c r="P271" s="634">
        <v>0</v>
      </c>
      <c r="Q271" s="634">
        <v>0</v>
      </c>
      <c r="R271" s="634">
        <v>0</v>
      </c>
      <c r="S271" s="634">
        <v>0</v>
      </c>
      <c r="U271" s="634"/>
      <c r="V271" s="634">
        <v>0</v>
      </c>
      <c r="W271" s="634">
        <v>0</v>
      </c>
      <c r="X271" s="634">
        <v>0</v>
      </c>
      <c r="Y271" s="634">
        <v>0</v>
      </c>
      <c r="Z271" s="634">
        <v>0</v>
      </c>
      <c r="AA271" s="634">
        <v>0</v>
      </c>
      <c r="AB271" s="634">
        <v>0</v>
      </c>
      <c r="AC271" s="634">
        <v>0</v>
      </c>
      <c r="AD271" s="634">
        <v>0</v>
      </c>
      <c r="AE271" s="634">
        <v>0</v>
      </c>
      <c r="AF271" s="634">
        <v>0</v>
      </c>
      <c r="AG271" s="634">
        <v>0</v>
      </c>
      <c r="AH271" s="634">
        <v>0</v>
      </c>
      <c r="AI271" s="634">
        <v>0</v>
      </c>
      <c r="AJ271" s="634">
        <v>0</v>
      </c>
      <c r="AK271" s="634">
        <v>0</v>
      </c>
    </row>
    <row r="272" spans="3:37" x14ac:dyDescent="0.2">
      <c r="C272" s="646" t="s">
        <v>67</v>
      </c>
      <c r="D272" s="640">
        <v>0</v>
      </c>
      <c r="E272" s="647">
        <v>0</v>
      </c>
      <c r="F272" s="647">
        <v>0</v>
      </c>
      <c r="G272" s="640">
        <v>0</v>
      </c>
      <c r="H272" s="640">
        <v>0</v>
      </c>
      <c r="I272" s="640">
        <v>0</v>
      </c>
      <c r="J272" s="640">
        <v>0</v>
      </c>
      <c r="K272" s="640">
        <v>0</v>
      </c>
      <c r="L272" s="640">
        <v>0</v>
      </c>
      <c r="M272" s="640">
        <v>0</v>
      </c>
      <c r="N272" s="640">
        <v>0</v>
      </c>
      <c r="O272" s="640">
        <v>0</v>
      </c>
      <c r="P272" s="640">
        <v>0</v>
      </c>
      <c r="Q272" s="640">
        <v>0</v>
      </c>
      <c r="R272" s="640">
        <v>0</v>
      </c>
      <c r="S272" s="648">
        <v>0</v>
      </c>
      <c r="U272" s="646" t="s">
        <v>67</v>
      </c>
      <c r="V272" s="640">
        <v>0</v>
      </c>
      <c r="W272" s="647">
        <v>0</v>
      </c>
      <c r="X272" s="647">
        <v>0</v>
      </c>
      <c r="Y272" s="640">
        <v>0</v>
      </c>
      <c r="Z272" s="640">
        <v>0</v>
      </c>
      <c r="AA272" s="640">
        <v>0</v>
      </c>
      <c r="AB272" s="640">
        <v>0</v>
      </c>
      <c r="AC272" s="640">
        <v>0</v>
      </c>
      <c r="AD272" s="640">
        <v>0</v>
      </c>
      <c r="AE272" s="640">
        <v>0</v>
      </c>
      <c r="AF272" s="640">
        <v>0</v>
      </c>
      <c r="AG272" s="640">
        <v>0</v>
      </c>
      <c r="AH272" s="640">
        <v>0</v>
      </c>
      <c r="AI272" s="640">
        <v>0</v>
      </c>
      <c r="AJ272" s="640">
        <v>0</v>
      </c>
      <c r="AK272" s="648">
        <v>0</v>
      </c>
    </row>
    <row r="273" spans="3:37" x14ac:dyDescent="0.2">
      <c r="C273" s="646" t="s">
        <v>347</v>
      </c>
      <c r="D273" s="640">
        <v>2.8267856410252494</v>
      </c>
      <c r="E273" s="640">
        <v>0</v>
      </c>
      <c r="F273" s="640">
        <v>7.7625293209280457</v>
      </c>
      <c r="G273" s="640">
        <v>16.824034334763951</v>
      </c>
      <c r="H273" s="640">
        <v>889.54545454545473</v>
      </c>
      <c r="I273" s="640">
        <v>290.38619522472999</v>
      </c>
      <c r="J273" s="649">
        <v>29.234857813431841</v>
      </c>
      <c r="K273" s="649">
        <v>6.7467623730381456</v>
      </c>
      <c r="L273" s="649">
        <v>3.1694078720739522</v>
      </c>
      <c r="M273" s="649">
        <v>0.46915285357606595</v>
      </c>
      <c r="N273" s="649">
        <v>0</v>
      </c>
      <c r="O273" s="649">
        <v>6.9727309871777221</v>
      </c>
      <c r="P273" s="640">
        <v>-615.41357369902562</v>
      </c>
      <c r="Q273" s="640">
        <v>0</v>
      </c>
      <c r="R273" s="640">
        <v>0</v>
      </c>
      <c r="S273" s="648">
        <v>638.52433726717402</v>
      </c>
      <c r="U273" s="646" t="s">
        <v>347</v>
      </c>
      <c r="V273" s="640">
        <v>0.62631490545869017</v>
      </c>
      <c r="W273" s="640">
        <v>0</v>
      </c>
      <c r="X273" s="640">
        <v>3.8988929572916824</v>
      </c>
      <c r="Y273" s="640">
        <v>3.6741630901287547</v>
      </c>
      <c r="Z273" s="640">
        <v>873.030303030303</v>
      </c>
      <c r="AA273" s="640">
        <v>337.06619522473</v>
      </c>
      <c r="AB273" s="649">
        <v>23.429523439383615</v>
      </c>
      <c r="AC273" s="649">
        <v>5.4991881500691626</v>
      </c>
      <c r="AD273" s="649">
        <v>3.1694078720739522</v>
      </c>
      <c r="AE273" s="649">
        <v>2.7864060724601858</v>
      </c>
      <c r="AF273" s="649">
        <v>0</v>
      </c>
      <c r="AG273" s="649">
        <v>6.9727309871777221</v>
      </c>
      <c r="AH273" s="640">
        <v>-649.11357369902544</v>
      </c>
      <c r="AI273" s="640">
        <v>0</v>
      </c>
      <c r="AJ273" s="640">
        <v>4.45</v>
      </c>
      <c r="AK273" s="648">
        <v>615.48955203005141</v>
      </c>
    </row>
    <row r="274" spans="3:37" x14ac:dyDescent="0.2">
      <c r="C274" s="646" t="s">
        <v>348</v>
      </c>
      <c r="D274" s="640">
        <v>0</v>
      </c>
      <c r="E274" s="640">
        <v>0</v>
      </c>
      <c r="F274" s="640">
        <v>0</v>
      </c>
      <c r="G274" s="640">
        <v>14.896462034387394</v>
      </c>
      <c r="H274" s="640">
        <v>0</v>
      </c>
      <c r="I274" s="640">
        <v>0</v>
      </c>
      <c r="J274" s="649">
        <v>12.461036592610267</v>
      </c>
      <c r="K274" s="649">
        <v>11.927183871567582</v>
      </c>
      <c r="L274" s="649">
        <v>0</v>
      </c>
      <c r="M274" s="649">
        <v>0.3188738120209938</v>
      </c>
      <c r="N274" s="649">
        <v>0</v>
      </c>
      <c r="O274" s="649">
        <v>2.1085025260592274</v>
      </c>
      <c r="P274" s="640">
        <v>0</v>
      </c>
      <c r="Q274" s="640">
        <v>-37.934258390495422</v>
      </c>
      <c r="R274" s="640">
        <v>0</v>
      </c>
      <c r="S274" s="648">
        <v>3.7778004461500441</v>
      </c>
      <c r="U274" s="646" t="s">
        <v>348</v>
      </c>
      <c r="V274" s="640">
        <v>0</v>
      </c>
      <c r="W274" s="640">
        <v>0</v>
      </c>
      <c r="X274" s="640">
        <v>0</v>
      </c>
      <c r="Y274" s="640">
        <v>8.218662070491261</v>
      </c>
      <c r="Z274" s="640">
        <v>0</v>
      </c>
      <c r="AA274" s="640">
        <v>0</v>
      </c>
      <c r="AB274" s="649">
        <v>28.560818034272483</v>
      </c>
      <c r="AC274" s="649">
        <v>26.163217208510932</v>
      </c>
      <c r="AD274" s="649">
        <v>0</v>
      </c>
      <c r="AE274" s="649">
        <v>5.9663093303449024</v>
      </c>
      <c r="AF274" s="649">
        <v>0</v>
      </c>
      <c r="AG274" s="649">
        <v>11.832895483778962</v>
      </c>
      <c r="AH274" s="640">
        <v>0</v>
      </c>
      <c r="AI274" s="640">
        <v>-74.578675527513624</v>
      </c>
      <c r="AJ274" s="640">
        <v>0</v>
      </c>
      <c r="AK274" s="648">
        <v>6.1632265998849274</v>
      </c>
    </row>
    <row r="275" spans="3:37" x14ac:dyDescent="0.2">
      <c r="C275" s="646" t="s">
        <v>349</v>
      </c>
      <c r="D275" s="640">
        <v>0</v>
      </c>
      <c r="E275" s="640">
        <v>0</v>
      </c>
      <c r="F275" s="640">
        <v>0</v>
      </c>
      <c r="G275" s="640">
        <v>0</v>
      </c>
      <c r="H275" s="640">
        <v>0</v>
      </c>
      <c r="I275" s="640">
        <v>0</v>
      </c>
      <c r="J275" s="650">
        <v>6.9979956174374891</v>
      </c>
      <c r="K275" s="650">
        <v>0</v>
      </c>
      <c r="L275" s="650">
        <v>0</v>
      </c>
      <c r="M275" s="650">
        <v>-6.4748954450340372</v>
      </c>
      <c r="N275" s="650">
        <v>0</v>
      </c>
      <c r="O275" s="650">
        <v>0</v>
      </c>
      <c r="P275" s="640">
        <v>0</v>
      </c>
      <c r="Q275" s="640">
        <v>0</v>
      </c>
      <c r="R275" s="640">
        <v>0</v>
      </c>
      <c r="S275" s="648">
        <v>0.52310017240345186</v>
      </c>
      <c r="U275" s="646" t="s">
        <v>349</v>
      </c>
      <c r="V275" s="640">
        <v>0</v>
      </c>
      <c r="W275" s="640">
        <v>0</v>
      </c>
      <c r="X275" s="640">
        <v>0</v>
      </c>
      <c r="Y275" s="640">
        <v>0</v>
      </c>
      <c r="Z275" s="640">
        <v>0</v>
      </c>
      <c r="AA275" s="640">
        <v>0</v>
      </c>
      <c r="AB275" s="650">
        <v>79.198989478899776</v>
      </c>
      <c r="AC275" s="650">
        <v>0</v>
      </c>
      <c r="AD275" s="650">
        <v>0</v>
      </c>
      <c r="AE275" s="650">
        <v>-73.278865015352025</v>
      </c>
      <c r="AF275" s="650">
        <v>0</v>
      </c>
      <c r="AG275" s="650">
        <v>0</v>
      </c>
      <c r="AH275" s="640">
        <v>0</v>
      </c>
      <c r="AI275" s="640">
        <v>0</v>
      </c>
      <c r="AJ275" s="640">
        <v>0</v>
      </c>
      <c r="AK275" s="648">
        <v>5.9201244635477508</v>
      </c>
    </row>
    <row r="276" spans="3:37" x14ac:dyDescent="0.2">
      <c r="C276" s="646" t="s">
        <v>350</v>
      </c>
      <c r="D276" s="640">
        <v>0</v>
      </c>
      <c r="E276" s="640">
        <v>0</v>
      </c>
      <c r="F276" s="640">
        <v>0</v>
      </c>
      <c r="G276" s="640">
        <v>0</v>
      </c>
      <c r="H276" s="640">
        <v>0</v>
      </c>
      <c r="I276" s="640">
        <v>0</v>
      </c>
      <c r="J276" s="640">
        <v>0</v>
      </c>
      <c r="K276" s="640">
        <v>0</v>
      </c>
      <c r="L276" s="640">
        <v>0</v>
      </c>
      <c r="M276" s="640">
        <v>0</v>
      </c>
      <c r="N276" s="640">
        <v>0</v>
      </c>
      <c r="O276" s="640">
        <v>0</v>
      </c>
      <c r="P276" s="640">
        <v>0</v>
      </c>
      <c r="Q276" s="640">
        <v>0</v>
      </c>
      <c r="R276" s="640">
        <v>0</v>
      </c>
      <c r="S276" s="648">
        <v>0</v>
      </c>
      <c r="U276" s="646" t="s">
        <v>350</v>
      </c>
      <c r="V276" s="640">
        <v>0</v>
      </c>
      <c r="W276" s="640">
        <v>0</v>
      </c>
      <c r="X276" s="640">
        <v>0</v>
      </c>
      <c r="Y276" s="640">
        <v>0</v>
      </c>
      <c r="Z276" s="640">
        <v>0</v>
      </c>
      <c r="AA276" s="640">
        <v>0</v>
      </c>
      <c r="AB276" s="640">
        <v>0</v>
      </c>
      <c r="AC276" s="640">
        <v>0</v>
      </c>
      <c r="AD276" s="640">
        <v>0</v>
      </c>
      <c r="AE276" s="640">
        <v>0</v>
      </c>
      <c r="AF276" s="640">
        <v>0</v>
      </c>
      <c r="AG276" s="640">
        <v>0</v>
      </c>
      <c r="AH276" s="640">
        <v>0</v>
      </c>
      <c r="AI276" s="640">
        <v>0</v>
      </c>
      <c r="AJ276" s="640">
        <v>0</v>
      </c>
      <c r="AK276" s="648">
        <v>0</v>
      </c>
    </row>
    <row r="277" spans="3:37" x14ac:dyDescent="0.2">
      <c r="C277" s="646" t="s">
        <v>72</v>
      </c>
      <c r="D277" s="640">
        <v>0</v>
      </c>
      <c r="E277" s="640">
        <v>510.04733530503466</v>
      </c>
      <c r="F277" s="640">
        <v>-504.94686195198432</v>
      </c>
      <c r="G277" s="640">
        <v>0</v>
      </c>
      <c r="H277" s="640">
        <v>0</v>
      </c>
      <c r="I277" s="640">
        <v>0</v>
      </c>
      <c r="J277" s="640">
        <v>0</v>
      </c>
      <c r="K277" s="640">
        <v>0</v>
      </c>
      <c r="L277" s="640">
        <v>0</v>
      </c>
      <c r="M277" s="640">
        <v>0</v>
      </c>
      <c r="N277" s="640">
        <v>0</v>
      </c>
      <c r="O277" s="640">
        <v>0</v>
      </c>
      <c r="P277" s="640">
        <v>0</v>
      </c>
      <c r="Q277" s="640">
        <v>0</v>
      </c>
      <c r="R277" s="640">
        <v>0</v>
      </c>
      <c r="S277" s="648">
        <v>5.1004733530503472</v>
      </c>
      <c r="U277" s="646" t="s">
        <v>72</v>
      </c>
      <c r="V277" s="640">
        <v>0</v>
      </c>
      <c r="W277" s="640">
        <v>228.3916715709193</v>
      </c>
      <c r="X277" s="640">
        <v>-226.10775485521012</v>
      </c>
      <c r="Y277" s="640">
        <v>0</v>
      </c>
      <c r="Z277" s="640">
        <v>0</v>
      </c>
      <c r="AA277" s="640">
        <v>0</v>
      </c>
      <c r="AB277" s="640">
        <v>0</v>
      </c>
      <c r="AC277" s="640">
        <v>0</v>
      </c>
      <c r="AD277" s="640">
        <v>0</v>
      </c>
      <c r="AE277" s="640">
        <v>0</v>
      </c>
      <c r="AF277" s="640">
        <v>0</v>
      </c>
      <c r="AG277" s="640">
        <v>0</v>
      </c>
      <c r="AH277" s="640">
        <v>0</v>
      </c>
      <c r="AI277" s="640">
        <v>0</v>
      </c>
      <c r="AJ277" s="640">
        <v>0</v>
      </c>
      <c r="AK277" s="648">
        <v>2.2839167157091822</v>
      </c>
    </row>
    <row r="278" spans="3:37" x14ac:dyDescent="0.2">
      <c r="C278" s="646" t="s">
        <v>351</v>
      </c>
      <c r="D278" s="640">
        <v>0</v>
      </c>
      <c r="E278" s="640">
        <v>0</v>
      </c>
      <c r="F278" s="640">
        <v>0</v>
      </c>
      <c r="G278" s="640">
        <v>0</v>
      </c>
      <c r="H278" s="640">
        <v>0</v>
      </c>
      <c r="I278" s="640">
        <v>0</v>
      </c>
      <c r="J278" s="640">
        <v>27.710201800923624</v>
      </c>
      <c r="K278" s="640">
        <v>0</v>
      </c>
      <c r="L278" s="640">
        <v>-27.710201800923624</v>
      </c>
      <c r="M278" s="640">
        <v>0</v>
      </c>
      <c r="N278" s="640">
        <v>0</v>
      </c>
      <c r="O278" s="640">
        <v>0</v>
      </c>
      <c r="P278" s="640">
        <v>0</v>
      </c>
      <c r="Q278" s="640">
        <v>0</v>
      </c>
      <c r="R278" s="640">
        <v>0</v>
      </c>
      <c r="S278" s="648">
        <v>0</v>
      </c>
      <c r="U278" s="646" t="s">
        <v>351</v>
      </c>
      <c r="V278" s="640">
        <v>0</v>
      </c>
      <c r="W278" s="640">
        <v>0</v>
      </c>
      <c r="X278" s="640">
        <v>0</v>
      </c>
      <c r="Y278" s="640">
        <v>0</v>
      </c>
      <c r="Z278" s="640">
        <v>0</v>
      </c>
      <c r="AA278" s="640">
        <v>0</v>
      </c>
      <c r="AB278" s="640" t="e">
        <v>#VALUE!</v>
      </c>
      <c r="AC278" s="640">
        <v>0</v>
      </c>
      <c r="AD278" s="640">
        <v>-101.17003146857277</v>
      </c>
      <c r="AE278" s="640">
        <v>0</v>
      </c>
      <c r="AF278" s="640">
        <v>0</v>
      </c>
      <c r="AG278" s="640">
        <v>0</v>
      </c>
      <c r="AH278" s="640">
        <v>0</v>
      </c>
      <c r="AI278" s="640">
        <v>0</v>
      </c>
      <c r="AJ278" s="640">
        <v>0</v>
      </c>
      <c r="AK278" s="648">
        <v>-101.17003146857277</v>
      </c>
    </row>
    <row r="279" spans="3:37" x14ac:dyDescent="0.2">
      <c r="C279" s="646" t="s">
        <v>352</v>
      </c>
      <c r="D279" s="640">
        <v>0</v>
      </c>
      <c r="E279" s="640">
        <v>0</v>
      </c>
      <c r="F279" s="640">
        <v>0</v>
      </c>
      <c r="G279" s="640">
        <v>0</v>
      </c>
      <c r="H279" s="640">
        <v>0</v>
      </c>
      <c r="I279" s="640">
        <v>0</v>
      </c>
      <c r="J279" s="640">
        <v>0</v>
      </c>
      <c r="K279" s="640">
        <v>0</v>
      </c>
      <c r="L279" s="640">
        <v>0</v>
      </c>
      <c r="M279" s="640">
        <v>0</v>
      </c>
      <c r="N279" s="640">
        <v>0</v>
      </c>
      <c r="O279" s="640">
        <v>0</v>
      </c>
      <c r="P279" s="640">
        <v>0</v>
      </c>
      <c r="Q279" s="640">
        <v>0</v>
      </c>
      <c r="R279" s="640">
        <v>0</v>
      </c>
      <c r="S279" s="648">
        <v>0</v>
      </c>
      <c r="U279" s="646" t="s">
        <v>352</v>
      </c>
      <c r="V279" s="640">
        <v>0</v>
      </c>
      <c r="W279" s="640">
        <v>0</v>
      </c>
      <c r="X279" s="640">
        <v>0</v>
      </c>
      <c r="Y279" s="640">
        <v>0</v>
      </c>
      <c r="Z279" s="640">
        <v>0</v>
      </c>
      <c r="AA279" s="640">
        <v>0</v>
      </c>
      <c r="AB279" s="640">
        <v>0</v>
      </c>
      <c r="AC279" s="640">
        <v>0</v>
      </c>
      <c r="AD279" s="640">
        <v>-18.691082885283098</v>
      </c>
      <c r="AE279" s="640">
        <v>0</v>
      </c>
      <c r="AF279" s="640">
        <v>0</v>
      </c>
      <c r="AG279" s="640">
        <v>0</v>
      </c>
      <c r="AH279" s="640">
        <v>0</v>
      </c>
      <c r="AI279" s="640">
        <v>0</v>
      </c>
      <c r="AJ279" s="640">
        <v>0</v>
      </c>
      <c r="AK279" s="648">
        <v>-18.691082885283098</v>
      </c>
    </row>
    <row r="280" spans="3:37" x14ac:dyDescent="0.2">
      <c r="C280" s="646" t="s">
        <v>73</v>
      </c>
      <c r="D280" s="640">
        <v>0</v>
      </c>
      <c r="E280" s="640">
        <v>0</v>
      </c>
      <c r="F280" s="640">
        <v>0</v>
      </c>
      <c r="G280" s="640">
        <v>6.2864428714474423</v>
      </c>
      <c r="H280" s="640">
        <v>0</v>
      </c>
      <c r="I280" s="640">
        <v>0</v>
      </c>
      <c r="J280" s="640">
        <v>0</v>
      </c>
      <c r="K280" s="640">
        <v>7.2564905248031233E-2</v>
      </c>
      <c r="L280" s="640">
        <v>0</v>
      </c>
      <c r="M280" s="640">
        <v>0.12829475247851924</v>
      </c>
      <c r="N280" s="640">
        <v>0</v>
      </c>
      <c r="O280" s="640">
        <v>0</v>
      </c>
      <c r="P280" s="640">
        <v>0.77416476914506349</v>
      </c>
      <c r="Q280" s="640">
        <v>0</v>
      </c>
      <c r="R280" s="640">
        <v>-5.0795433673621861</v>
      </c>
      <c r="S280" s="648">
        <v>2.1819239309568701</v>
      </c>
      <c r="U280" s="646" t="s">
        <v>73</v>
      </c>
      <c r="V280" s="640">
        <v>0</v>
      </c>
      <c r="W280" s="640">
        <v>0</v>
      </c>
      <c r="X280" s="640">
        <v>0</v>
      </c>
      <c r="Y280" s="640">
        <v>3.7837340239051791</v>
      </c>
      <c r="Z280" s="640">
        <v>0</v>
      </c>
      <c r="AA280" s="640">
        <v>0</v>
      </c>
      <c r="AB280" s="640">
        <v>0</v>
      </c>
      <c r="AC280" s="640">
        <v>0.46597709654004676</v>
      </c>
      <c r="AD280" s="640">
        <v>0</v>
      </c>
      <c r="AE280" s="640">
        <v>2.7399453276554748</v>
      </c>
      <c r="AF280" s="640">
        <v>0</v>
      </c>
      <c r="AG280" s="640">
        <v>0</v>
      </c>
      <c r="AH280" s="640">
        <v>39.864323859285086</v>
      </c>
      <c r="AI280" s="640">
        <v>0</v>
      </c>
      <c r="AJ280" s="640">
        <v>-32.618396757803268</v>
      </c>
      <c r="AK280" s="648">
        <v>14.235583549582522</v>
      </c>
    </row>
    <row r="281" spans="3:37" x14ac:dyDescent="0.2">
      <c r="C281" s="646" t="s">
        <v>353</v>
      </c>
      <c r="D281" s="640">
        <v>28.588592812499996</v>
      </c>
      <c r="E281" s="640">
        <v>-17.673140168319453</v>
      </c>
      <c r="F281" s="640">
        <v>23.11542347254851</v>
      </c>
      <c r="G281" s="640">
        <v>0</v>
      </c>
      <c r="H281" s="640">
        <v>0</v>
      </c>
      <c r="I281" s="640">
        <v>0</v>
      </c>
      <c r="J281" s="640">
        <v>0</v>
      </c>
      <c r="K281" s="640">
        <v>0</v>
      </c>
      <c r="L281" s="640">
        <v>0</v>
      </c>
      <c r="M281" s="640">
        <v>0</v>
      </c>
      <c r="N281" s="640">
        <v>0</v>
      </c>
      <c r="O281" s="640">
        <v>0</v>
      </c>
      <c r="P281" s="640">
        <v>0</v>
      </c>
      <c r="Q281" s="640">
        <v>0</v>
      </c>
      <c r="R281" s="640">
        <v>0</v>
      </c>
      <c r="S281" s="648">
        <v>34.030876116729054</v>
      </c>
      <c r="U281" s="646" t="s">
        <v>353</v>
      </c>
      <c r="V281" s="640">
        <v>1.7459712219238281</v>
      </c>
      <c r="W281" s="640">
        <v>-7.9137714199323552</v>
      </c>
      <c r="X281" s="640">
        <v>10.35074558875537</v>
      </c>
      <c r="Y281" s="640">
        <v>0</v>
      </c>
      <c r="Z281" s="640">
        <v>0</v>
      </c>
      <c r="AA281" s="640">
        <v>0</v>
      </c>
      <c r="AB281" s="640">
        <v>0</v>
      </c>
      <c r="AC281" s="640">
        <v>0</v>
      </c>
      <c r="AD281" s="640">
        <v>0</v>
      </c>
      <c r="AE281" s="640">
        <v>0</v>
      </c>
      <c r="AF281" s="640">
        <v>0</v>
      </c>
      <c r="AG281" s="640">
        <v>0</v>
      </c>
      <c r="AH281" s="640">
        <v>0</v>
      </c>
      <c r="AI281" s="640">
        <v>0</v>
      </c>
      <c r="AJ281" s="640">
        <v>0</v>
      </c>
      <c r="AK281" s="648">
        <v>4.182945390746843</v>
      </c>
    </row>
    <row r="282" spans="3:37" x14ac:dyDescent="0.2">
      <c r="C282" s="646" t="s">
        <v>75</v>
      </c>
      <c r="D282" s="640">
        <v>11.11778609375</v>
      </c>
      <c r="E282" s="640">
        <v>0</v>
      </c>
      <c r="F282" s="640">
        <v>17.34160940037118</v>
      </c>
      <c r="G282" s="640">
        <v>4.9484792471294465</v>
      </c>
      <c r="H282" s="640">
        <v>0</v>
      </c>
      <c r="I282" s="640">
        <v>0</v>
      </c>
      <c r="J282" s="640">
        <v>0</v>
      </c>
      <c r="K282" s="640">
        <v>0</v>
      </c>
      <c r="L282" s="640">
        <v>0</v>
      </c>
      <c r="M282" s="640">
        <v>0.10098937239039688</v>
      </c>
      <c r="N282" s="640">
        <v>0</v>
      </c>
      <c r="O282" s="640">
        <v>0</v>
      </c>
      <c r="P282" s="640">
        <v>29.08691491128284</v>
      </c>
      <c r="Q282" s="640">
        <v>0</v>
      </c>
      <c r="R282" s="640">
        <v>0</v>
      </c>
      <c r="S282" s="648">
        <v>62.595779024923864</v>
      </c>
      <c r="U282" s="646" t="s">
        <v>75</v>
      </c>
      <c r="V282" s="640">
        <v>2.938742431640625</v>
      </c>
      <c r="W282" s="640">
        <v>0</v>
      </c>
      <c r="X282" s="640">
        <v>17.34160940037118</v>
      </c>
      <c r="Y282" s="640">
        <v>2.9286917993215091</v>
      </c>
      <c r="Z282" s="640">
        <v>0</v>
      </c>
      <c r="AA282" s="640">
        <v>0</v>
      </c>
      <c r="AB282" s="640">
        <v>0</v>
      </c>
      <c r="AC282" s="640">
        <v>0</v>
      </c>
      <c r="AD282" s="640">
        <v>0</v>
      </c>
      <c r="AE282" s="640">
        <v>2.1207768201983344</v>
      </c>
      <c r="AF282" s="640">
        <v>0</v>
      </c>
      <c r="AG282" s="640">
        <v>0</v>
      </c>
      <c r="AH282" s="640">
        <v>36.505051274919204</v>
      </c>
      <c r="AI282" s="640">
        <v>0</v>
      </c>
      <c r="AJ282" s="640">
        <v>0</v>
      </c>
      <c r="AK282" s="648">
        <v>61.834871726450849</v>
      </c>
    </row>
    <row r="283" spans="3:37" x14ac:dyDescent="0.2">
      <c r="C283" s="646" t="s">
        <v>76</v>
      </c>
      <c r="D283" s="640">
        <v>0</v>
      </c>
      <c r="E283" s="640">
        <v>0</v>
      </c>
      <c r="F283" s="640">
        <v>0</v>
      </c>
      <c r="G283" s="640">
        <v>3.7620934008695794</v>
      </c>
      <c r="H283" s="640">
        <v>0</v>
      </c>
      <c r="I283" s="640">
        <v>0</v>
      </c>
      <c r="J283" s="640">
        <v>0</v>
      </c>
      <c r="K283" s="640">
        <v>0</v>
      </c>
      <c r="L283" s="640">
        <v>0</v>
      </c>
      <c r="M283" s="640">
        <v>7.6777416344277136E-2</v>
      </c>
      <c r="N283" s="640">
        <v>0</v>
      </c>
      <c r="O283" s="640">
        <v>0</v>
      </c>
      <c r="P283" s="640">
        <v>45.374638558517056</v>
      </c>
      <c r="Q283" s="640">
        <v>2.9442994019327013</v>
      </c>
      <c r="R283" s="640">
        <v>0</v>
      </c>
      <c r="S283" s="648">
        <v>52.157808777663611</v>
      </c>
      <c r="U283" s="646" t="s">
        <v>76</v>
      </c>
      <c r="V283" s="640">
        <v>0</v>
      </c>
      <c r="W283" s="640">
        <v>0</v>
      </c>
      <c r="X283" s="640">
        <v>0</v>
      </c>
      <c r="Y283" s="640">
        <v>1.1999362424874132</v>
      </c>
      <c r="Z283" s="640">
        <v>0</v>
      </c>
      <c r="AA283" s="640">
        <v>0</v>
      </c>
      <c r="AB283" s="640">
        <v>0</v>
      </c>
      <c r="AC283" s="640">
        <v>0</v>
      </c>
      <c r="AD283" s="640">
        <v>0</v>
      </c>
      <c r="AE283" s="640">
        <v>0.86891934800812698</v>
      </c>
      <c r="AF283" s="640">
        <v>0</v>
      </c>
      <c r="AG283" s="640">
        <v>0</v>
      </c>
      <c r="AH283" s="640">
        <v>48.340685132761017</v>
      </c>
      <c r="AI283" s="640">
        <v>5.7839036819230412</v>
      </c>
      <c r="AJ283" s="640">
        <v>0</v>
      </c>
      <c r="AK283" s="648">
        <v>56.193444405179591</v>
      </c>
    </row>
    <row r="284" spans="3:37" x14ac:dyDescent="0.2">
      <c r="C284" s="644" t="s">
        <v>77</v>
      </c>
      <c r="D284" s="645">
        <v>42.533164547275248</v>
      </c>
      <c r="E284" s="645">
        <v>492.37419513671523</v>
      </c>
      <c r="F284" s="645">
        <v>-456.72729975813655</v>
      </c>
      <c r="G284" s="645">
        <v>46.717511888597819</v>
      </c>
      <c r="H284" s="645">
        <v>889.54545454545473</v>
      </c>
      <c r="I284" s="645">
        <v>290.38619522472999</v>
      </c>
      <c r="J284" s="645">
        <v>76.404091824403224</v>
      </c>
      <c r="K284" s="645">
        <v>18.74651114985376</v>
      </c>
      <c r="L284" s="645">
        <v>-24.540793928849673</v>
      </c>
      <c r="M284" s="645">
        <v>-5.3808072382237846</v>
      </c>
      <c r="N284" s="645">
        <v>0</v>
      </c>
      <c r="O284" s="645">
        <v>9.0812335132369491</v>
      </c>
      <c r="P284" s="645">
        <v>-540.17785546008065</v>
      </c>
      <c r="Q284" s="645">
        <v>-34.989958988562719</v>
      </c>
      <c r="R284" s="645">
        <v>-5.0795433673621861</v>
      </c>
      <c r="S284" s="645">
        <v>798.89209908905127</v>
      </c>
      <c r="U284" s="644" t="s">
        <v>77</v>
      </c>
      <c r="V284" s="645">
        <v>5.3110285590231427</v>
      </c>
      <c r="W284" s="645">
        <v>220.47790015098695</v>
      </c>
      <c r="X284" s="645">
        <v>-194.51650690879191</v>
      </c>
      <c r="Y284" s="645">
        <v>19.805187226334116</v>
      </c>
      <c r="Z284" s="645">
        <v>873.030303030303</v>
      </c>
      <c r="AA284" s="645">
        <v>337.06619522473</v>
      </c>
      <c r="AB284" s="645">
        <v>131.18933095255588</v>
      </c>
      <c r="AC284" s="645">
        <v>32.128382455120146</v>
      </c>
      <c r="AD284" s="645">
        <v>-116.69170648178192</v>
      </c>
      <c r="AE284" s="645">
        <v>-58.796508116684997</v>
      </c>
      <c r="AF284" s="645">
        <v>0</v>
      </c>
      <c r="AG284" s="645">
        <v>18.805626470956682</v>
      </c>
      <c r="AH284" s="645">
        <v>-524.40351343206009</v>
      </c>
      <c r="AI284" s="645">
        <v>-68.794771845590574</v>
      </c>
      <c r="AJ284" s="645">
        <v>-28.168396757803269</v>
      </c>
      <c r="AK284" s="645">
        <v>646.44255052729716</v>
      </c>
    </row>
    <row r="285" spans="3:37" x14ac:dyDescent="0.2">
      <c r="C285" s="634"/>
      <c r="D285" s="634">
        <v>0</v>
      </c>
      <c r="E285" s="634">
        <v>0</v>
      </c>
      <c r="F285" s="634">
        <v>0</v>
      </c>
      <c r="G285" s="634">
        <v>0</v>
      </c>
      <c r="H285" s="634">
        <v>0</v>
      </c>
      <c r="I285" s="634">
        <v>0</v>
      </c>
      <c r="J285" s="634">
        <v>0</v>
      </c>
      <c r="K285" s="634">
        <v>0</v>
      </c>
      <c r="L285" s="634">
        <v>0</v>
      </c>
      <c r="M285" s="634">
        <v>0</v>
      </c>
      <c r="N285" s="634">
        <v>0</v>
      </c>
      <c r="O285" s="634">
        <v>0</v>
      </c>
      <c r="P285" s="634">
        <v>0</v>
      </c>
      <c r="Q285" s="634">
        <v>0</v>
      </c>
      <c r="R285" s="634">
        <v>0</v>
      </c>
      <c r="S285" s="634">
        <v>0</v>
      </c>
      <c r="U285" s="634"/>
      <c r="V285" s="634">
        <v>0</v>
      </c>
      <c r="W285" s="634">
        <v>0</v>
      </c>
      <c r="X285" s="634">
        <v>0</v>
      </c>
      <c r="Y285" s="634">
        <v>0</v>
      </c>
      <c r="Z285" s="634">
        <v>0</v>
      </c>
      <c r="AA285" s="634">
        <v>0</v>
      </c>
      <c r="AB285" s="634">
        <v>0</v>
      </c>
      <c r="AC285" s="634">
        <v>0</v>
      </c>
      <c r="AD285" s="634">
        <v>0</v>
      </c>
      <c r="AE285" s="634">
        <v>0</v>
      </c>
      <c r="AF285" s="634">
        <v>0</v>
      </c>
      <c r="AG285" s="634">
        <v>0</v>
      </c>
      <c r="AH285" s="634">
        <v>0</v>
      </c>
      <c r="AI285" s="634">
        <v>0</v>
      </c>
      <c r="AJ285" s="634">
        <v>0</v>
      </c>
      <c r="AK285" s="634">
        <v>0</v>
      </c>
    </row>
    <row r="286" spans="3:37" x14ac:dyDescent="0.2">
      <c r="C286" s="646" t="s">
        <v>78</v>
      </c>
      <c r="D286" s="640">
        <v>4.9901668745901624</v>
      </c>
      <c r="E286" s="640">
        <v>0</v>
      </c>
      <c r="F286" s="640">
        <v>21.091530324656198</v>
      </c>
      <c r="G286" s="640">
        <v>96.151700548391091</v>
      </c>
      <c r="H286" s="640">
        <v>0</v>
      </c>
      <c r="I286" s="640">
        <v>0</v>
      </c>
      <c r="J286" s="640">
        <v>21.387862541024852</v>
      </c>
      <c r="K286" s="640">
        <v>1.7476152779545906</v>
      </c>
      <c r="L286" s="640">
        <v>0.94211085156249985</v>
      </c>
      <c r="M286" s="640">
        <v>1.9807569399951515</v>
      </c>
      <c r="N286" s="640">
        <v>0</v>
      </c>
      <c r="O286" s="640">
        <v>3.7669078281368638E-4</v>
      </c>
      <c r="P286" s="640">
        <v>112.73505933145552</v>
      </c>
      <c r="Q286" s="640">
        <v>16.12568637832603</v>
      </c>
      <c r="R286" s="640">
        <v>0.27920700073242188</v>
      </c>
      <c r="S286" s="648">
        <v>277.43207275947128</v>
      </c>
      <c r="U286" s="646" t="s">
        <v>78</v>
      </c>
      <c r="V286" s="640">
        <v>1.2150050536449819</v>
      </c>
      <c r="W286" s="640">
        <v>0</v>
      </c>
      <c r="X286" s="640">
        <v>6.016341039248414</v>
      </c>
      <c r="Y286" s="640">
        <v>39.709503776891196</v>
      </c>
      <c r="Z286" s="640">
        <v>0</v>
      </c>
      <c r="AA286" s="640">
        <v>0</v>
      </c>
      <c r="AB286" s="640">
        <v>15.202189846170386</v>
      </c>
      <c r="AC286" s="640">
        <v>4.9835801019927617</v>
      </c>
      <c r="AD286" s="640">
        <v>5.6103854980468748</v>
      </c>
      <c r="AE286" s="640">
        <v>28.773635244370734</v>
      </c>
      <c r="AF286" s="640">
        <v>0</v>
      </c>
      <c r="AG286" s="640">
        <v>3.7669078281368638E-4</v>
      </c>
      <c r="AH286" s="640">
        <v>146.07653830614987</v>
      </c>
      <c r="AI286" s="640">
        <v>23.647869298816833</v>
      </c>
      <c r="AJ286" s="640">
        <v>7.4826708984375001</v>
      </c>
      <c r="AK286" s="648">
        <v>278.71809575455239</v>
      </c>
    </row>
    <row r="287" spans="3:37" x14ac:dyDescent="0.2">
      <c r="C287" s="646" t="s">
        <v>79</v>
      </c>
      <c r="D287" s="640">
        <v>0</v>
      </c>
      <c r="E287" s="640">
        <v>0</v>
      </c>
      <c r="F287" s="640">
        <v>235.12748928743429</v>
      </c>
      <c r="G287" s="640">
        <v>31.099379517950805</v>
      </c>
      <c r="H287" s="640">
        <v>0</v>
      </c>
      <c r="I287" s="640">
        <v>0</v>
      </c>
      <c r="J287" s="640">
        <v>0</v>
      </c>
      <c r="K287" s="640">
        <v>0</v>
      </c>
      <c r="L287" s="640">
        <v>22.716725008445675</v>
      </c>
      <c r="M287" s="640">
        <v>0.63468121465205729</v>
      </c>
      <c r="N287" s="640">
        <v>0</v>
      </c>
      <c r="O287" s="640">
        <v>0</v>
      </c>
      <c r="P287" s="640">
        <v>68.565930798083699</v>
      </c>
      <c r="Q287" s="640">
        <v>0</v>
      </c>
      <c r="R287" s="640">
        <v>2.3844112104980786</v>
      </c>
      <c r="S287" s="648">
        <v>360.52861703706463</v>
      </c>
      <c r="U287" s="646" t="s">
        <v>79</v>
      </c>
      <c r="V287" s="640">
        <v>0</v>
      </c>
      <c r="W287" s="640">
        <v>0</v>
      </c>
      <c r="X287" s="640">
        <v>35.128929389637456</v>
      </c>
      <c r="Y287" s="640">
        <v>15.137064293513523</v>
      </c>
      <c r="Z287" s="640">
        <v>0</v>
      </c>
      <c r="AA287" s="640">
        <v>0</v>
      </c>
      <c r="AB287" s="640">
        <v>0</v>
      </c>
      <c r="AC287" s="640">
        <v>0</v>
      </c>
      <c r="AD287" s="640">
        <v>37.187580566982817</v>
      </c>
      <c r="AE287" s="640">
        <v>11.036020535724948</v>
      </c>
      <c r="AF287" s="640">
        <v>0</v>
      </c>
      <c r="AG287" s="640">
        <v>0</v>
      </c>
      <c r="AH287" s="640">
        <v>89.614524523742418</v>
      </c>
      <c r="AI287" s="640">
        <v>0</v>
      </c>
      <c r="AJ287" s="640">
        <v>5.6351763144479268</v>
      </c>
      <c r="AK287" s="648">
        <v>193.73929562404911</v>
      </c>
    </row>
    <row r="288" spans="3:37" x14ac:dyDescent="0.2">
      <c r="C288" s="646" t="s">
        <v>80</v>
      </c>
      <c r="D288" s="640">
        <v>0</v>
      </c>
      <c r="E288" s="640">
        <v>0</v>
      </c>
      <c r="F288" s="640">
        <v>13.724834206032371</v>
      </c>
      <c r="G288" s="640">
        <v>79.131512261322683</v>
      </c>
      <c r="H288" s="640">
        <v>0</v>
      </c>
      <c r="I288" s="640">
        <v>0</v>
      </c>
      <c r="J288" s="640">
        <v>87.797108848078949</v>
      </c>
      <c r="K288" s="640">
        <v>0</v>
      </c>
      <c r="L288" s="640">
        <v>0</v>
      </c>
      <c r="M288" s="640">
        <v>1.6149288216596467</v>
      </c>
      <c r="N288" s="640">
        <v>57.41835645436403</v>
      </c>
      <c r="O288" s="640">
        <v>2.0533643919476137</v>
      </c>
      <c r="P288" s="640">
        <v>189.45880926265392</v>
      </c>
      <c r="Q288" s="640">
        <v>15.417775800116472</v>
      </c>
      <c r="R288" s="640">
        <v>0</v>
      </c>
      <c r="S288" s="648">
        <v>446.61669004617568</v>
      </c>
      <c r="U288" s="646" t="s">
        <v>80</v>
      </c>
      <c r="V288" s="640">
        <v>0</v>
      </c>
      <c r="W288" s="640">
        <v>0</v>
      </c>
      <c r="X288" s="640">
        <v>1.0209129157283405</v>
      </c>
      <c r="Y288" s="640">
        <v>12.832027751754538</v>
      </c>
      <c r="Z288" s="640">
        <v>0</v>
      </c>
      <c r="AA288" s="640">
        <v>0</v>
      </c>
      <c r="AB288" s="640">
        <v>53.270322236782164</v>
      </c>
      <c r="AC288" s="640">
        <v>0</v>
      </c>
      <c r="AD288" s="640">
        <v>0</v>
      </c>
      <c r="AE288" s="640">
        <v>9.2921580271325972</v>
      </c>
      <c r="AF288" s="640">
        <v>88.292344554902868</v>
      </c>
      <c r="AG288" s="640">
        <v>3.9079432862869607</v>
      </c>
      <c r="AH288" s="640">
        <v>146.88666477766319</v>
      </c>
      <c r="AI288" s="640">
        <v>32.427264426374379</v>
      </c>
      <c r="AJ288" s="640">
        <v>0</v>
      </c>
      <c r="AK288" s="648">
        <v>347.92963797662509</v>
      </c>
    </row>
    <row r="289" spans="3:37" x14ac:dyDescent="0.2">
      <c r="C289" s="646" t="s">
        <v>81</v>
      </c>
      <c r="D289" s="640">
        <v>0</v>
      </c>
      <c r="E289" s="640">
        <v>0</v>
      </c>
      <c r="F289" s="640">
        <v>3.9083972405176572</v>
      </c>
      <c r="G289" s="640">
        <v>63.089348266301698</v>
      </c>
      <c r="H289" s="640">
        <v>0</v>
      </c>
      <c r="I289" s="640">
        <v>0</v>
      </c>
      <c r="J289" s="640">
        <v>3.1804221278939271</v>
      </c>
      <c r="K289" s="640">
        <v>2.5219694682056978E-2</v>
      </c>
      <c r="L289" s="640">
        <v>0</v>
      </c>
      <c r="M289" s="640">
        <v>1.287537719720443</v>
      </c>
      <c r="N289" s="640">
        <v>8.4803330998149011</v>
      </c>
      <c r="O289" s="640">
        <v>0.72631919579288284</v>
      </c>
      <c r="P289" s="640">
        <v>140.69299872549993</v>
      </c>
      <c r="Q289" s="640">
        <v>3.4464968101202174</v>
      </c>
      <c r="R289" s="640">
        <v>0</v>
      </c>
      <c r="S289" s="648">
        <v>224.8370728803437</v>
      </c>
      <c r="U289" s="646" t="s">
        <v>81</v>
      </c>
      <c r="V289" s="640">
        <v>0</v>
      </c>
      <c r="W289" s="640">
        <v>0</v>
      </c>
      <c r="X289" s="640">
        <v>1.4952361732398858</v>
      </c>
      <c r="Y289" s="640">
        <v>10.610341518374359</v>
      </c>
      <c r="Z289" s="640">
        <v>0</v>
      </c>
      <c r="AA289" s="640">
        <v>0</v>
      </c>
      <c r="AB289" s="640">
        <v>6.9978977014468793</v>
      </c>
      <c r="AC289" s="640">
        <v>2.5219694682056978E-2</v>
      </c>
      <c r="AD289" s="640">
        <v>0</v>
      </c>
      <c r="AE289" s="640">
        <v>7.6833507546848816</v>
      </c>
      <c r="AF289" s="640">
        <v>14.732239480945108</v>
      </c>
      <c r="AG289" s="640">
        <v>1.5525732622869153</v>
      </c>
      <c r="AH289" s="640">
        <v>115.23036268987886</v>
      </c>
      <c r="AI289" s="640">
        <v>12.719638120399363</v>
      </c>
      <c r="AJ289" s="640">
        <v>0</v>
      </c>
      <c r="AK289" s="648">
        <v>171.04685939593833</v>
      </c>
    </row>
    <row r="290" spans="3:37" x14ac:dyDescent="0.2">
      <c r="C290" s="646" t="s">
        <v>82</v>
      </c>
      <c r="D290" s="640">
        <v>0</v>
      </c>
      <c r="E290" s="640">
        <v>0</v>
      </c>
      <c r="F290" s="640">
        <v>28.471648080197657</v>
      </c>
      <c r="G290" s="640">
        <v>1.0804243241036344</v>
      </c>
      <c r="H290" s="640">
        <v>0</v>
      </c>
      <c r="I290" s="640">
        <v>0</v>
      </c>
      <c r="J290" s="640">
        <v>4.3026845658747828</v>
      </c>
      <c r="K290" s="640">
        <v>0</v>
      </c>
      <c r="L290" s="640">
        <v>3.1299020072385213</v>
      </c>
      <c r="M290" s="640">
        <v>2.2049476002114991E-2</v>
      </c>
      <c r="N290" s="640">
        <v>0</v>
      </c>
      <c r="O290" s="640">
        <v>6.8830690871769351E-2</v>
      </c>
      <c r="P290" s="640">
        <v>5.9739095578527968</v>
      </c>
      <c r="Q290" s="640">
        <v>0</v>
      </c>
      <c r="R290" s="640">
        <v>0</v>
      </c>
      <c r="S290" s="648">
        <v>43.049448702141277</v>
      </c>
      <c r="U290" s="646" t="s">
        <v>82</v>
      </c>
      <c r="V290" s="640">
        <v>0</v>
      </c>
      <c r="W290" s="640">
        <v>0</v>
      </c>
      <c r="X290" s="640">
        <v>5.8604701162543282</v>
      </c>
      <c r="Y290" s="640">
        <v>0.77721189491485598</v>
      </c>
      <c r="Z290" s="640">
        <v>0</v>
      </c>
      <c r="AA290" s="640">
        <v>0</v>
      </c>
      <c r="AB290" s="640">
        <v>4.3026845658747828</v>
      </c>
      <c r="AC290" s="640">
        <v>0</v>
      </c>
      <c r="AD290" s="640">
        <v>30.776202948565647</v>
      </c>
      <c r="AE290" s="640">
        <v>0.56280861355903367</v>
      </c>
      <c r="AF290" s="640">
        <v>0</v>
      </c>
      <c r="AG290" s="640">
        <v>1.5666563685107562</v>
      </c>
      <c r="AH290" s="640">
        <v>6.0858228188406986</v>
      </c>
      <c r="AI290" s="640">
        <v>0</v>
      </c>
      <c r="AJ290" s="640">
        <v>0.36062656029870238</v>
      </c>
      <c r="AK290" s="648">
        <v>50.292483886818808</v>
      </c>
    </row>
    <row r="291" spans="3:37" x14ac:dyDescent="0.2">
      <c r="C291" s="646" t="s">
        <v>354</v>
      </c>
      <c r="D291" s="640">
        <v>0</v>
      </c>
      <c r="E291" s="640">
        <v>0</v>
      </c>
      <c r="F291" s="640">
        <v>0</v>
      </c>
      <c r="G291" s="640">
        <v>0</v>
      </c>
      <c r="H291" s="640">
        <v>0</v>
      </c>
      <c r="I291" s="640">
        <v>0</v>
      </c>
      <c r="J291" s="640">
        <v>0</v>
      </c>
      <c r="K291" s="640">
        <v>0</v>
      </c>
      <c r="L291" s="640">
        <v>0</v>
      </c>
      <c r="M291" s="640">
        <v>0</v>
      </c>
      <c r="N291" s="640">
        <v>0</v>
      </c>
      <c r="O291" s="640">
        <v>0</v>
      </c>
      <c r="P291" s="640">
        <v>0.36</v>
      </c>
      <c r="Q291" s="640">
        <v>0</v>
      </c>
      <c r="R291" s="640">
        <v>0</v>
      </c>
      <c r="S291" s="648">
        <v>0.36</v>
      </c>
      <c r="U291" s="646" t="s">
        <v>354</v>
      </c>
      <c r="V291" s="640">
        <v>0</v>
      </c>
      <c r="W291" s="640">
        <v>0</v>
      </c>
      <c r="X291" s="640">
        <v>0</v>
      </c>
      <c r="Y291" s="640">
        <v>0</v>
      </c>
      <c r="Z291" s="640">
        <v>0</v>
      </c>
      <c r="AA291" s="640">
        <v>0</v>
      </c>
      <c r="AB291" s="640">
        <v>0</v>
      </c>
      <c r="AC291" s="640">
        <v>0</v>
      </c>
      <c r="AD291" s="640">
        <v>0</v>
      </c>
      <c r="AE291" s="640">
        <v>0</v>
      </c>
      <c r="AF291" s="640">
        <v>0</v>
      </c>
      <c r="AG291" s="640">
        <v>0</v>
      </c>
      <c r="AH291" s="640">
        <v>3.12</v>
      </c>
      <c r="AI291" s="640">
        <v>0</v>
      </c>
      <c r="AJ291" s="640">
        <v>0</v>
      </c>
      <c r="AK291" s="648">
        <v>3.12</v>
      </c>
    </row>
    <row r="292" spans="3:37" x14ac:dyDescent="0.2">
      <c r="C292" s="644" t="s">
        <v>83</v>
      </c>
      <c r="D292" s="645">
        <v>4.9901668745901624</v>
      </c>
      <c r="E292" s="645">
        <v>0</v>
      </c>
      <c r="F292" s="645">
        <v>302.32389913883821</v>
      </c>
      <c r="G292" s="645">
        <v>270.55236491806994</v>
      </c>
      <c r="H292" s="645">
        <v>0</v>
      </c>
      <c r="I292" s="645">
        <v>0</v>
      </c>
      <c r="J292" s="645">
        <v>116.66807808287251</v>
      </c>
      <c r="K292" s="645">
        <v>1.7728349726366477</v>
      </c>
      <c r="L292" s="645">
        <v>26.788737867246695</v>
      </c>
      <c r="M292" s="645">
        <v>5.5399541720294136</v>
      </c>
      <c r="N292" s="645">
        <v>65.898689554178929</v>
      </c>
      <c r="O292" s="645">
        <v>2.8488909693950797</v>
      </c>
      <c r="P292" s="645">
        <v>517.78670767554593</v>
      </c>
      <c r="Q292" s="645">
        <v>34.989958988562719</v>
      </c>
      <c r="R292" s="645">
        <v>2.6636182112305002</v>
      </c>
      <c r="S292" s="645">
        <v>1352.8239014251965</v>
      </c>
      <c r="U292" s="644" t="s">
        <v>83</v>
      </c>
      <c r="V292" s="645">
        <v>1.2150050536449819</v>
      </c>
      <c r="W292" s="645">
        <v>0</v>
      </c>
      <c r="X292" s="645">
        <v>49.521889634108419</v>
      </c>
      <c r="Y292" s="645">
        <v>79.066149235448464</v>
      </c>
      <c r="Z292" s="645">
        <v>0</v>
      </c>
      <c r="AA292" s="645">
        <v>0</v>
      </c>
      <c r="AB292" s="645">
        <v>79.773094350274206</v>
      </c>
      <c r="AC292" s="645">
        <v>5.0087997966748192</v>
      </c>
      <c r="AD292" s="645">
        <v>73.574169013595338</v>
      </c>
      <c r="AE292" s="645">
        <v>57.347973175472191</v>
      </c>
      <c r="AF292" s="645">
        <v>103.02458403584798</v>
      </c>
      <c r="AG292" s="645">
        <v>7.0275496078674458</v>
      </c>
      <c r="AH292" s="645">
        <v>507.01391311627498</v>
      </c>
      <c r="AI292" s="645">
        <v>68.794771845590574</v>
      </c>
      <c r="AJ292" s="645">
        <v>13.478473773184128</v>
      </c>
      <c r="AK292" s="645">
        <v>1044.8463726379837</v>
      </c>
    </row>
    <row r="293" spans="3:37" x14ac:dyDescent="0.2">
      <c r="C293" s="639" t="s">
        <v>84</v>
      </c>
      <c r="D293" s="640">
        <v>0</v>
      </c>
      <c r="E293" s="640">
        <v>0</v>
      </c>
      <c r="F293" s="640">
        <v>106.83242416715484</v>
      </c>
      <c r="G293" s="640">
        <v>11.6186457489655</v>
      </c>
      <c r="H293" s="640">
        <v>0</v>
      </c>
      <c r="I293" s="640">
        <v>0</v>
      </c>
      <c r="J293" s="640">
        <v>0</v>
      </c>
      <c r="K293" s="640">
        <v>0</v>
      </c>
      <c r="L293" s="640">
        <v>0</v>
      </c>
      <c r="M293" s="640">
        <v>0</v>
      </c>
      <c r="N293" s="640">
        <v>0</v>
      </c>
      <c r="O293" s="640">
        <v>0</v>
      </c>
      <c r="P293" s="640">
        <v>0</v>
      </c>
      <c r="Q293" s="640">
        <v>0</v>
      </c>
      <c r="R293" s="640">
        <v>2.4159251561316859</v>
      </c>
      <c r="S293" s="648">
        <v>120.86699507225204</v>
      </c>
      <c r="U293" s="639" t="s">
        <v>84</v>
      </c>
      <c r="V293" s="640">
        <v>0</v>
      </c>
      <c r="W293" s="640">
        <v>0</v>
      </c>
      <c r="X293" s="640">
        <v>75.791608178670685</v>
      </c>
      <c r="Y293" s="640">
        <v>0.94004440148578539</v>
      </c>
      <c r="Z293" s="640">
        <v>0</v>
      </c>
      <c r="AA293" s="640">
        <v>0</v>
      </c>
      <c r="AB293" s="640">
        <v>0</v>
      </c>
      <c r="AC293" s="640">
        <v>0</v>
      </c>
      <c r="AD293" s="640">
        <v>21.99170920776367</v>
      </c>
      <c r="AE293" s="640">
        <v>0</v>
      </c>
      <c r="AF293" s="640">
        <v>0</v>
      </c>
      <c r="AG293" s="640">
        <v>0</v>
      </c>
      <c r="AH293" s="640">
        <v>0</v>
      </c>
      <c r="AI293" s="640">
        <v>0</v>
      </c>
      <c r="AJ293" s="640">
        <v>14.689922984619141</v>
      </c>
      <c r="AK293" s="648">
        <v>113.41328477253928</v>
      </c>
    </row>
    <row r="294" spans="3:37" x14ac:dyDescent="0.2">
      <c r="C294" s="644" t="s">
        <v>85</v>
      </c>
      <c r="D294" s="645">
        <v>4.9901668745901624</v>
      </c>
      <c r="E294" s="645">
        <v>0</v>
      </c>
      <c r="F294" s="645">
        <v>409.15632330599311</v>
      </c>
      <c r="G294" s="645">
        <v>282.17101066703543</v>
      </c>
      <c r="H294" s="645">
        <v>0</v>
      </c>
      <c r="I294" s="645">
        <v>0</v>
      </c>
      <c r="J294" s="645">
        <v>116.66807808287251</v>
      </c>
      <c r="K294" s="645">
        <v>1.7728349726366477</v>
      </c>
      <c r="L294" s="645">
        <v>26.788737867246695</v>
      </c>
      <c r="M294" s="645">
        <v>5.5399541720294136</v>
      </c>
      <c r="N294" s="645">
        <v>65.898689554178929</v>
      </c>
      <c r="O294" s="645">
        <v>2.8488909693950797</v>
      </c>
      <c r="P294" s="645">
        <v>517.78670767554593</v>
      </c>
      <c r="Q294" s="645">
        <v>34.989958988562719</v>
      </c>
      <c r="R294" s="645">
        <v>5.0795433673621861</v>
      </c>
      <c r="S294" s="645">
        <v>1473.6908964974484</v>
      </c>
      <c r="U294" s="644" t="s">
        <v>85</v>
      </c>
      <c r="V294" s="645">
        <v>1.2150050536449819</v>
      </c>
      <c r="W294" s="645">
        <v>0</v>
      </c>
      <c r="X294" s="645">
        <v>125.31349781277912</v>
      </c>
      <c r="Y294" s="645">
        <v>80.006193636934256</v>
      </c>
      <c r="Z294" s="645">
        <v>0</v>
      </c>
      <c r="AA294" s="645">
        <v>0</v>
      </c>
      <c r="AB294" s="645">
        <v>79.773094350274206</v>
      </c>
      <c r="AC294" s="645">
        <v>5.0087997966748192</v>
      </c>
      <c r="AD294" s="645">
        <v>95.565878221359014</v>
      </c>
      <c r="AE294" s="645">
        <v>57.347973175472191</v>
      </c>
      <c r="AF294" s="645">
        <v>103.02458403584798</v>
      </c>
      <c r="AG294" s="645">
        <v>7.0275496078674458</v>
      </c>
      <c r="AH294" s="645">
        <v>507.01391311627498</v>
      </c>
      <c r="AI294" s="645">
        <v>68.794771845590574</v>
      </c>
      <c r="AJ294" s="645">
        <v>28.168396757803269</v>
      </c>
      <c r="AK294" s="645">
        <v>1158.2596574105228</v>
      </c>
    </row>
    <row r="295" spans="3:37" x14ac:dyDescent="0.2">
      <c r="C295" s="634"/>
      <c r="D295" s="634"/>
      <c r="E295" s="634"/>
      <c r="F295" s="634"/>
      <c r="G295" s="634"/>
      <c r="H295" s="634"/>
      <c r="I295" s="634"/>
      <c r="J295" s="634"/>
      <c r="K295" s="634"/>
      <c r="L295" s="634"/>
      <c r="M295" s="634"/>
      <c r="N295" s="634"/>
      <c r="O295" s="634"/>
      <c r="P295" s="634"/>
      <c r="Q295" s="634"/>
      <c r="R295" s="634"/>
      <c r="S295" s="634"/>
      <c r="U295" s="634"/>
      <c r="V295" s="634"/>
      <c r="W295" s="634"/>
      <c r="X295" s="634"/>
      <c r="Y295" s="634"/>
      <c r="Z295" s="634"/>
      <c r="AA295" s="634"/>
      <c r="AB295" s="634"/>
      <c r="AC295" s="634"/>
      <c r="AD295" s="634"/>
      <c r="AE295" s="634"/>
      <c r="AF295" s="634"/>
      <c r="AG295" s="634"/>
      <c r="AH295" s="634"/>
      <c r="AI295" s="634"/>
      <c r="AJ295" s="634"/>
      <c r="AK295" s="634"/>
    </row>
    <row r="296" spans="3:37" ht="22.5" x14ac:dyDescent="0.3">
      <c r="C296" s="759" t="s">
        <v>361</v>
      </c>
      <c r="D296" s="759"/>
      <c r="E296" s="759"/>
      <c r="F296" s="759"/>
      <c r="G296" s="759"/>
      <c r="H296" s="759"/>
      <c r="I296" s="759"/>
      <c r="J296" s="759"/>
      <c r="K296" s="759"/>
      <c r="L296" s="759"/>
      <c r="M296" s="759"/>
      <c r="N296" s="759"/>
      <c r="O296" s="759"/>
      <c r="P296" s="759"/>
      <c r="Q296" s="759"/>
      <c r="R296" s="759"/>
      <c r="S296" s="759"/>
      <c r="U296" s="759" t="s">
        <v>361</v>
      </c>
      <c r="V296" s="759"/>
      <c r="W296" s="759"/>
      <c r="X296" s="759"/>
      <c r="Y296" s="759"/>
      <c r="Z296" s="759"/>
      <c r="AA296" s="759"/>
      <c r="AB296" s="759"/>
      <c r="AC296" s="759"/>
      <c r="AD296" s="759"/>
      <c r="AE296" s="759"/>
      <c r="AF296" s="759"/>
      <c r="AG296" s="759"/>
      <c r="AH296" s="759"/>
      <c r="AI296" s="759"/>
      <c r="AJ296" s="759"/>
      <c r="AK296" s="759"/>
    </row>
    <row r="297" spans="3:37" x14ac:dyDescent="0.2">
      <c r="C297" s="634"/>
      <c r="D297" s="634"/>
      <c r="E297" s="634"/>
      <c r="F297" s="634"/>
      <c r="G297" s="634"/>
      <c r="H297" s="634"/>
      <c r="I297" s="634"/>
      <c r="J297" s="634"/>
      <c r="K297" s="634"/>
      <c r="L297" s="634"/>
      <c r="M297" s="634"/>
      <c r="N297" s="634"/>
      <c r="O297" s="634"/>
      <c r="P297" s="634"/>
      <c r="Q297" s="634"/>
      <c r="R297" s="634"/>
      <c r="S297" s="634"/>
      <c r="U297" s="634"/>
      <c r="V297" s="634"/>
      <c r="W297" s="634"/>
      <c r="X297" s="634"/>
      <c r="Y297" s="634"/>
      <c r="Z297" s="634"/>
      <c r="AA297" s="634"/>
      <c r="AB297" s="634"/>
      <c r="AC297" s="634"/>
      <c r="AD297" s="634"/>
      <c r="AE297" s="634"/>
      <c r="AF297" s="634"/>
      <c r="AG297" s="634"/>
      <c r="AH297" s="634"/>
      <c r="AI297" s="634"/>
      <c r="AJ297" s="634"/>
      <c r="AK297" s="634"/>
    </row>
    <row r="298" spans="3:37" ht="12.95" customHeight="1" x14ac:dyDescent="0.2">
      <c r="C298" s="758" t="s">
        <v>128</v>
      </c>
      <c r="D298" s="757" t="s">
        <v>42</v>
      </c>
      <c r="E298" s="757" t="s">
        <v>52</v>
      </c>
      <c r="F298" s="757" t="s">
        <v>53</v>
      </c>
      <c r="G298" s="757" t="s">
        <v>32</v>
      </c>
      <c r="H298" s="757" t="s">
        <v>20</v>
      </c>
      <c r="I298" s="757" t="s">
        <v>55</v>
      </c>
      <c r="J298" s="757" t="s">
        <v>56</v>
      </c>
      <c r="K298" s="757"/>
      <c r="L298" s="757"/>
      <c r="M298" s="757"/>
      <c r="N298" s="757"/>
      <c r="O298" s="757"/>
      <c r="P298" s="757" t="s">
        <v>57</v>
      </c>
      <c r="Q298" s="757" t="s">
        <v>58</v>
      </c>
      <c r="R298" s="757" t="s">
        <v>31</v>
      </c>
      <c r="S298" s="757" t="s">
        <v>10</v>
      </c>
      <c r="U298" s="758" t="s">
        <v>128</v>
      </c>
      <c r="V298" s="757" t="s">
        <v>42</v>
      </c>
      <c r="W298" s="757" t="s">
        <v>52</v>
      </c>
      <c r="X298" s="757" t="s">
        <v>53</v>
      </c>
      <c r="Y298" s="757" t="s">
        <v>32</v>
      </c>
      <c r="Z298" s="757" t="s">
        <v>20</v>
      </c>
      <c r="AA298" s="757" t="s">
        <v>55</v>
      </c>
      <c r="AB298" s="757" t="s">
        <v>56</v>
      </c>
      <c r="AC298" s="757"/>
      <c r="AD298" s="757"/>
      <c r="AE298" s="757"/>
      <c r="AF298" s="757"/>
      <c r="AG298" s="757"/>
      <c r="AH298" s="757" t="s">
        <v>57</v>
      </c>
      <c r="AI298" s="757" t="s">
        <v>58</v>
      </c>
      <c r="AJ298" s="757" t="s">
        <v>31</v>
      </c>
      <c r="AK298" s="757" t="s">
        <v>10</v>
      </c>
    </row>
    <row r="299" spans="3:37" ht="56.25" x14ac:dyDescent="0.2">
      <c r="C299" s="758"/>
      <c r="D299" s="757"/>
      <c r="E299" s="757"/>
      <c r="F299" s="757"/>
      <c r="G299" s="757"/>
      <c r="H299" s="757"/>
      <c r="I299" s="757"/>
      <c r="J299" s="638" t="s">
        <v>335</v>
      </c>
      <c r="K299" s="638" t="s">
        <v>40</v>
      </c>
      <c r="L299" s="638" t="s">
        <v>343</v>
      </c>
      <c r="M299" s="638" t="s">
        <v>344</v>
      </c>
      <c r="N299" s="638" t="s">
        <v>345</v>
      </c>
      <c r="O299" s="638" t="s">
        <v>346</v>
      </c>
      <c r="P299" s="757"/>
      <c r="Q299" s="757"/>
      <c r="R299" s="757"/>
      <c r="S299" s="757"/>
      <c r="U299" s="758"/>
      <c r="V299" s="757"/>
      <c r="W299" s="757"/>
      <c r="X299" s="757"/>
      <c r="Y299" s="757"/>
      <c r="Z299" s="757"/>
      <c r="AA299" s="757"/>
      <c r="AB299" s="638" t="s">
        <v>335</v>
      </c>
      <c r="AC299" s="638" t="s">
        <v>40</v>
      </c>
      <c r="AD299" s="638" t="s">
        <v>343</v>
      </c>
      <c r="AE299" s="638" t="s">
        <v>344</v>
      </c>
      <c r="AF299" s="638" t="s">
        <v>345</v>
      </c>
      <c r="AG299" s="638" t="s">
        <v>346</v>
      </c>
      <c r="AH299" s="757"/>
      <c r="AI299" s="757"/>
      <c r="AJ299" s="757"/>
      <c r="AK299" s="757"/>
    </row>
    <row r="300" spans="3:37" x14ac:dyDescent="0.2">
      <c r="C300" s="639" t="s">
        <v>59</v>
      </c>
      <c r="D300" s="640">
        <v>0</v>
      </c>
      <c r="E300" s="641">
        <v>0</v>
      </c>
      <c r="F300" s="641">
        <v>0</v>
      </c>
      <c r="G300" s="640">
        <v>0</v>
      </c>
      <c r="H300" s="641">
        <v>843.18181818181824</v>
      </c>
      <c r="I300" s="641">
        <v>306.94588327561422</v>
      </c>
      <c r="J300" s="641">
        <v>187.92158364867245</v>
      </c>
      <c r="K300" s="641">
        <v>20.316638839186872</v>
      </c>
      <c r="L300" s="641">
        <v>0.58650482505924006</v>
      </c>
      <c r="M300" s="641">
        <v>0.15964026893196048</v>
      </c>
      <c r="N300" s="641">
        <v>67.964408038916218</v>
      </c>
      <c r="O300" s="641">
        <v>11.973026235836867</v>
      </c>
      <c r="P300" s="642">
        <v>0</v>
      </c>
      <c r="Q300" s="641">
        <v>0</v>
      </c>
      <c r="R300" s="641">
        <v>0</v>
      </c>
      <c r="S300" s="643">
        <v>1439.0495033140362</v>
      </c>
      <c r="U300" s="639" t="s">
        <v>59</v>
      </c>
      <c r="V300" s="640">
        <v>0</v>
      </c>
      <c r="W300" s="641">
        <v>0</v>
      </c>
      <c r="X300" s="641">
        <v>0</v>
      </c>
      <c r="Y300" s="640">
        <v>0</v>
      </c>
      <c r="Z300" s="641">
        <v>842.12121212121212</v>
      </c>
      <c r="AA300" s="641">
        <v>361.66588327561419</v>
      </c>
      <c r="AB300" s="641">
        <v>209.7499476733077</v>
      </c>
      <c r="AC300" s="641">
        <v>36.742499370225779</v>
      </c>
      <c r="AD300" s="641">
        <v>0.58650482505924006</v>
      </c>
      <c r="AE300" s="641">
        <v>0.15964026893196048</v>
      </c>
      <c r="AF300" s="641">
        <v>109.8518848230913</v>
      </c>
      <c r="AG300" s="641">
        <v>27.041217028647232</v>
      </c>
      <c r="AH300" s="642">
        <v>0</v>
      </c>
      <c r="AI300" s="641">
        <v>0</v>
      </c>
      <c r="AJ300" s="641">
        <v>0</v>
      </c>
      <c r="AK300" s="643">
        <v>1587.9187893860897</v>
      </c>
    </row>
    <row r="301" spans="3:37" x14ac:dyDescent="0.2">
      <c r="C301" s="639" t="s">
        <v>60</v>
      </c>
      <c r="D301" s="640">
        <v>47.14481987923083</v>
      </c>
      <c r="E301" s="641">
        <v>484.495467583368</v>
      </c>
      <c r="F301" s="641">
        <v>50.019697053221719</v>
      </c>
      <c r="G301" s="640">
        <v>326.09010493911637</v>
      </c>
      <c r="H301" s="641">
        <v>0</v>
      </c>
      <c r="I301" s="641">
        <v>0</v>
      </c>
      <c r="J301" s="641">
        <v>5.0764589906360387</v>
      </c>
      <c r="K301" s="641">
        <v>0</v>
      </c>
      <c r="L301" s="641">
        <v>2.7571319279134792</v>
      </c>
      <c r="M301" s="641">
        <v>0</v>
      </c>
      <c r="N301" s="641">
        <v>0</v>
      </c>
      <c r="O301" s="641">
        <v>0</v>
      </c>
      <c r="P301" s="642">
        <v>0</v>
      </c>
      <c r="Q301" s="641">
        <v>0</v>
      </c>
      <c r="R301" s="641">
        <v>0</v>
      </c>
      <c r="S301" s="643">
        <v>915.58368037348657</v>
      </c>
      <c r="U301" s="639" t="s">
        <v>60</v>
      </c>
      <c r="V301" s="640">
        <v>5.8768320762591904</v>
      </c>
      <c r="W301" s="641">
        <v>189.94114801549574</v>
      </c>
      <c r="X301" s="641">
        <v>14.41607041492888</v>
      </c>
      <c r="Y301" s="640">
        <v>81.728531694283333</v>
      </c>
      <c r="Z301" s="641">
        <v>0</v>
      </c>
      <c r="AA301" s="641">
        <v>0</v>
      </c>
      <c r="AB301" s="641">
        <v>5.0764589906360387</v>
      </c>
      <c r="AC301" s="641">
        <v>0</v>
      </c>
      <c r="AD301" s="641">
        <v>2.7571319279134792</v>
      </c>
      <c r="AE301" s="641">
        <v>0</v>
      </c>
      <c r="AF301" s="641">
        <v>0</v>
      </c>
      <c r="AG301" s="641">
        <v>0</v>
      </c>
      <c r="AH301" s="642">
        <v>0</v>
      </c>
      <c r="AI301" s="641">
        <v>0</v>
      </c>
      <c r="AJ301" s="641">
        <v>0</v>
      </c>
      <c r="AK301" s="643">
        <v>299.79617311951665</v>
      </c>
    </row>
    <row r="302" spans="3:37" x14ac:dyDescent="0.2">
      <c r="C302" s="639" t="s">
        <v>61</v>
      </c>
      <c r="D302" s="640">
        <v>0</v>
      </c>
      <c r="E302" s="641">
        <v>0</v>
      </c>
      <c r="F302" s="641">
        <v>0</v>
      </c>
      <c r="G302" s="640">
        <v>0</v>
      </c>
      <c r="H302" s="641">
        <v>0</v>
      </c>
      <c r="I302" s="641">
        <v>0</v>
      </c>
      <c r="J302" s="641">
        <v>0</v>
      </c>
      <c r="K302" s="641">
        <v>0</v>
      </c>
      <c r="L302" s="641">
        <v>0</v>
      </c>
      <c r="M302" s="641">
        <v>0</v>
      </c>
      <c r="N302" s="641">
        <v>0</v>
      </c>
      <c r="O302" s="641">
        <v>0</v>
      </c>
      <c r="P302" s="642">
        <v>-16.706363002811486</v>
      </c>
      <c r="Q302" s="641">
        <v>0</v>
      </c>
      <c r="R302" s="641">
        <v>0</v>
      </c>
      <c r="S302" s="643">
        <v>-16.706363002811486</v>
      </c>
      <c r="U302" s="639" t="s">
        <v>61</v>
      </c>
      <c r="V302" s="640">
        <v>0</v>
      </c>
      <c r="W302" s="641">
        <v>0</v>
      </c>
      <c r="X302" s="641">
        <v>-18.378136852904419</v>
      </c>
      <c r="Y302" s="640">
        <v>0</v>
      </c>
      <c r="Z302" s="641">
        <v>0</v>
      </c>
      <c r="AA302" s="641">
        <v>0</v>
      </c>
      <c r="AB302" s="641">
        <v>0</v>
      </c>
      <c r="AC302" s="641">
        <v>0</v>
      </c>
      <c r="AD302" s="641">
        <v>0</v>
      </c>
      <c r="AE302" s="641">
        <v>0</v>
      </c>
      <c r="AF302" s="641">
        <v>0</v>
      </c>
      <c r="AG302" s="641">
        <v>0</v>
      </c>
      <c r="AH302" s="642">
        <v>-20.522831714543145</v>
      </c>
      <c r="AI302" s="641">
        <v>0</v>
      </c>
      <c r="AJ302" s="641">
        <v>0</v>
      </c>
      <c r="AK302" s="643">
        <v>-38.900968567447563</v>
      </c>
    </row>
    <row r="303" spans="3:37" x14ac:dyDescent="0.2">
      <c r="C303" s="639" t="s">
        <v>62</v>
      </c>
      <c r="D303" s="640">
        <v>0</v>
      </c>
      <c r="E303" s="641">
        <v>0</v>
      </c>
      <c r="F303" s="641">
        <v>-15.257294848391862</v>
      </c>
      <c r="G303" s="640">
        <v>0</v>
      </c>
      <c r="H303" s="641">
        <v>0</v>
      </c>
      <c r="I303" s="641">
        <v>0</v>
      </c>
      <c r="J303" s="641">
        <v>0</v>
      </c>
      <c r="K303" s="641">
        <v>0</v>
      </c>
      <c r="L303" s="641">
        <v>0</v>
      </c>
      <c r="M303" s="641">
        <v>0</v>
      </c>
      <c r="N303" s="641">
        <v>0</v>
      </c>
      <c r="O303" s="641">
        <v>0</v>
      </c>
      <c r="P303" s="642">
        <v>0</v>
      </c>
      <c r="Q303" s="641">
        <v>0</v>
      </c>
      <c r="R303" s="641">
        <v>0</v>
      </c>
      <c r="S303" s="643">
        <v>-15.257294848391862</v>
      </c>
      <c r="U303" s="639" t="s">
        <v>62</v>
      </c>
      <c r="V303" s="640">
        <v>0</v>
      </c>
      <c r="W303" s="641">
        <v>0</v>
      </c>
      <c r="X303" s="641">
        <v>-7.5188933675233587</v>
      </c>
      <c r="Y303" s="640">
        <v>-2.1851276585702322</v>
      </c>
      <c r="Z303" s="641">
        <v>0</v>
      </c>
      <c r="AA303" s="641">
        <v>0</v>
      </c>
      <c r="AB303" s="641">
        <v>0</v>
      </c>
      <c r="AC303" s="641">
        <v>0</v>
      </c>
      <c r="AD303" s="641">
        <v>0</v>
      </c>
      <c r="AE303" s="641">
        <v>-2.1851276585702322</v>
      </c>
      <c r="AF303" s="641">
        <v>0</v>
      </c>
      <c r="AG303" s="641">
        <v>0</v>
      </c>
      <c r="AH303" s="642">
        <v>0</v>
      </c>
      <c r="AI303" s="641">
        <v>0</v>
      </c>
      <c r="AJ303" s="641">
        <v>0</v>
      </c>
      <c r="AK303" s="643">
        <v>-11.889148684663823</v>
      </c>
    </row>
    <row r="304" spans="3:37" x14ac:dyDescent="0.2">
      <c r="C304" s="639" t="s">
        <v>63</v>
      </c>
      <c r="D304" s="640">
        <v>0</v>
      </c>
      <c r="E304" s="641">
        <v>0</v>
      </c>
      <c r="F304" s="641">
        <v>-90.982589622358091</v>
      </c>
      <c r="G304" s="640">
        <v>0</v>
      </c>
      <c r="H304" s="641">
        <v>0</v>
      </c>
      <c r="I304" s="641">
        <v>0</v>
      </c>
      <c r="J304" s="641">
        <v>0</v>
      </c>
      <c r="K304" s="641">
        <v>0</v>
      </c>
      <c r="L304" s="641">
        <v>-0.93561585486744514</v>
      </c>
      <c r="M304" s="641">
        <v>0</v>
      </c>
      <c r="N304" s="641">
        <v>0</v>
      </c>
      <c r="O304" s="641">
        <v>0</v>
      </c>
      <c r="P304" s="642">
        <v>0</v>
      </c>
      <c r="Q304" s="641">
        <v>0</v>
      </c>
      <c r="R304" s="641">
        <v>0</v>
      </c>
      <c r="S304" s="643">
        <v>-91.918205477225541</v>
      </c>
      <c r="U304" s="639" t="s">
        <v>63</v>
      </c>
      <c r="V304" s="640">
        <v>0</v>
      </c>
      <c r="W304" s="641">
        <v>0</v>
      </c>
      <c r="X304" s="641">
        <v>-53.656928796434556</v>
      </c>
      <c r="Y304" s="640">
        <v>0</v>
      </c>
      <c r="Z304" s="641">
        <v>0</v>
      </c>
      <c r="AA304" s="641">
        <v>0</v>
      </c>
      <c r="AB304" s="641">
        <v>0</v>
      </c>
      <c r="AC304" s="641">
        <v>0</v>
      </c>
      <c r="AD304" s="641">
        <v>-28.297456853591466</v>
      </c>
      <c r="AE304" s="641">
        <v>0</v>
      </c>
      <c r="AF304" s="641">
        <v>0</v>
      </c>
      <c r="AG304" s="641">
        <v>0</v>
      </c>
      <c r="AH304" s="642">
        <v>0</v>
      </c>
      <c r="AI304" s="641">
        <v>0</v>
      </c>
      <c r="AJ304" s="641">
        <v>0</v>
      </c>
      <c r="AK304" s="643">
        <v>-81.954385650026026</v>
      </c>
    </row>
    <row r="305" spans="3:37" x14ac:dyDescent="0.2">
      <c r="C305" s="639" t="s">
        <v>64</v>
      </c>
      <c r="D305" s="640">
        <v>0</v>
      </c>
      <c r="E305" s="641">
        <v>0</v>
      </c>
      <c r="F305" s="641">
        <v>0</v>
      </c>
      <c r="G305" s="640">
        <v>0</v>
      </c>
      <c r="H305" s="641">
        <v>0</v>
      </c>
      <c r="I305" s="641">
        <v>0</v>
      </c>
      <c r="J305" s="641">
        <v>0</v>
      </c>
      <c r="K305" s="641">
        <v>0</v>
      </c>
      <c r="L305" s="641">
        <v>0</v>
      </c>
      <c r="M305" s="641">
        <v>0</v>
      </c>
      <c r="N305" s="641">
        <v>0</v>
      </c>
      <c r="O305" s="641">
        <v>0</v>
      </c>
      <c r="P305" s="642">
        <v>0</v>
      </c>
      <c r="Q305" s="641">
        <v>0</v>
      </c>
      <c r="R305" s="641">
        <v>0</v>
      </c>
      <c r="S305" s="643">
        <v>0</v>
      </c>
      <c r="U305" s="639" t="s">
        <v>64</v>
      </c>
      <c r="V305" s="640">
        <v>0</v>
      </c>
      <c r="W305" s="641">
        <v>0</v>
      </c>
      <c r="X305" s="641">
        <v>0</v>
      </c>
      <c r="Y305" s="640">
        <v>0</v>
      </c>
      <c r="Z305" s="641">
        <v>0</v>
      </c>
      <c r="AA305" s="641">
        <v>0</v>
      </c>
      <c r="AB305" s="641">
        <v>0</v>
      </c>
      <c r="AC305" s="641">
        <v>0</v>
      </c>
      <c r="AD305" s="641">
        <v>0</v>
      </c>
      <c r="AE305" s="641">
        <v>0</v>
      </c>
      <c r="AF305" s="641">
        <v>0</v>
      </c>
      <c r="AG305" s="641">
        <v>0</v>
      </c>
      <c r="AH305" s="642">
        <v>0</v>
      </c>
      <c r="AI305" s="641">
        <v>0</v>
      </c>
      <c r="AJ305" s="641">
        <v>0</v>
      </c>
      <c r="AK305" s="643">
        <v>0</v>
      </c>
    </row>
    <row r="306" spans="3:37" x14ac:dyDescent="0.2">
      <c r="C306" s="644" t="s">
        <v>65</v>
      </c>
      <c r="D306" s="645">
        <v>47.14481987923083</v>
      </c>
      <c r="E306" s="645">
        <v>484.495467583368</v>
      </c>
      <c r="F306" s="645">
        <v>-56.220187417528237</v>
      </c>
      <c r="G306" s="645">
        <v>326.09010493911637</v>
      </c>
      <c r="H306" s="645">
        <v>843.18181818181824</v>
      </c>
      <c r="I306" s="645">
        <v>306.94588327561422</v>
      </c>
      <c r="J306" s="645">
        <v>192.99804263930849</v>
      </c>
      <c r="K306" s="645">
        <v>20.316638839186872</v>
      </c>
      <c r="L306" s="645">
        <v>2.4080208981052738</v>
      </c>
      <c r="M306" s="645">
        <v>0.15964026893196048</v>
      </c>
      <c r="N306" s="645">
        <v>67.964408038916218</v>
      </c>
      <c r="O306" s="645">
        <v>11.973026235836867</v>
      </c>
      <c r="P306" s="645">
        <v>-16.706363002811486</v>
      </c>
      <c r="Q306" s="645">
        <v>0</v>
      </c>
      <c r="R306" s="645">
        <v>0</v>
      </c>
      <c r="S306" s="645">
        <v>2230.7513203590943</v>
      </c>
      <c r="U306" s="644" t="s">
        <v>65</v>
      </c>
      <c r="V306" s="645">
        <v>5.8768320762591904</v>
      </c>
      <c r="W306" s="645">
        <v>189.94114801549574</v>
      </c>
      <c r="X306" s="645">
        <v>-65.137888601933454</v>
      </c>
      <c r="Y306" s="645">
        <v>79.543404035713095</v>
      </c>
      <c r="Z306" s="645">
        <v>842.12121212121212</v>
      </c>
      <c r="AA306" s="645">
        <v>361.66588327561419</v>
      </c>
      <c r="AB306" s="645">
        <v>214.82640666394374</v>
      </c>
      <c r="AC306" s="645">
        <v>36.742499370225779</v>
      </c>
      <c r="AD306" s="645">
        <v>-24.953820100618749</v>
      </c>
      <c r="AE306" s="645">
        <v>-2.0254873896382719</v>
      </c>
      <c r="AF306" s="645">
        <v>109.8518848230913</v>
      </c>
      <c r="AG306" s="645">
        <v>27.041217028647232</v>
      </c>
      <c r="AH306" s="645">
        <v>-20.522831714543145</v>
      </c>
      <c r="AI306" s="645">
        <v>0</v>
      </c>
      <c r="AJ306" s="645">
        <v>0</v>
      </c>
      <c r="AK306" s="645">
        <v>1754.970459603469</v>
      </c>
    </row>
    <row r="307" spans="3:37" x14ac:dyDescent="0.2">
      <c r="C307" s="634"/>
      <c r="D307" s="634">
        <v>0</v>
      </c>
      <c r="E307" s="634">
        <v>0</v>
      </c>
      <c r="F307" s="634">
        <v>0</v>
      </c>
      <c r="G307" s="634">
        <v>0</v>
      </c>
      <c r="H307" s="634">
        <v>0</v>
      </c>
      <c r="I307" s="634">
        <v>0</v>
      </c>
      <c r="J307" s="634">
        <v>0</v>
      </c>
      <c r="K307" s="634">
        <v>0</v>
      </c>
      <c r="L307" s="634">
        <v>0</v>
      </c>
      <c r="M307" s="634">
        <v>0</v>
      </c>
      <c r="N307" s="634">
        <v>0</v>
      </c>
      <c r="O307" s="634">
        <v>0</v>
      </c>
      <c r="P307" s="634">
        <v>0</v>
      </c>
      <c r="Q307" s="634">
        <v>0</v>
      </c>
      <c r="R307" s="634">
        <v>0</v>
      </c>
      <c r="S307" s="634">
        <v>0</v>
      </c>
      <c r="U307" s="634"/>
      <c r="V307" s="634">
        <v>0</v>
      </c>
      <c r="W307" s="634">
        <v>0</v>
      </c>
      <c r="X307" s="634">
        <v>0</v>
      </c>
      <c r="Y307" s="634">
        <v>0</v>
      </c>
      <c r="Z307" s="634">
        <v>0</v>
      </c>
      <c r="AA307" s="634">
        <v>0</v>
      </c>
      <c r="AB307" s="634">
        <v>0</v>
      </c>
      <c r="AC307" s="634">
        <v>0</v>
      </c>
      <c r="AD307" s="634">
        <v>0</v>
      </c>
      <c r="AE307" s="634">
        <v>0</v>
      </c>
      <c r="AF307" s="634">
        <v>0</v>
      </c>
      <c r="AG307" s="634">
        <v>0</v>
      </c>
      <c r="AH307" s="634">
        <v>0</v>
      </c>
      <c r="AI307" s="634">
        <v>0</v>
      </c>
      <c r="AJ307" s="634">
        <v>0</v>
      </c>
      <c r="AK307" s="634">
        <v>0</v>
      </c>
    </row>
    <row r="308" spans="3:37" x14ac:dyDescent="0.2">
      <c r="C308" s="646" t="s">
        <v>67</v>
      </c>
      <c r="D308" s="640">
        <v>0</v>
      </c>
      <c r="E308" s="647">
        <v>0</v>
      </c>
      <c r="F308" s="647">
        <v>0</v>
      </c>
      <c r="G308" s="640">
        <v>0</v>
      </c>
      <c r="H308" s="640">
        <v>0</v>
      </c>
      <c r="I308" s="640">
        <v>0</v>
      </c>
      <c r="J308" s="640">
        <v>0</v>
      </c>
      <c r="K308" s="640">
        <v>0</v>
      </c>
      <c r="L308" s="640">
        <v>0</v>
      </c>
      <c r="M308" s="640">
        <v>0</v>
      </c>
      <c r="N308" s="640">
        <v>0</v>
      </c>
      <c r="O308" s="640">
        <v>0</v>
      </c>
      <c r="P308" s="640">
        <v>0</v>
      </c>
      <c r="Q308" s="640">
        <v>0</v>
      </c>
      <c r="R308" s="640">
        <v>0</v>
      </c>
      <c r="S308" s="648">
        <v>0</v>
      </c>
      <c r="U308" s="646" t="s">
        <v>67</v>
      </c>
      <c r="V308" s="640">
        <v>0</v>
      </c>
      <c r="W308" s="647">
        <v>0</v>
      </c>
      <c r="X308" s="647">
        <v>0</v>
      </c>
      <c r="Y308" s="640">
        <v>0</v>
      </c>
      <c r="Z308" s="640">
        <v>0</v>
      </c>
      <c r="AA308" s="640">
        <v>0</v>
      </c>
      <c r="AB308" s="640">
        <v>0</v>
      </c>
      <c r="AC308" s="640">
        <v>0</v>
      </c>
      <c r="AD308" s="640">
        <v>0</v>
      </c>
      <c r="AE308" s="640">
        <v>0</v>
      </c>
      <c r="AF308" s="640">
        <v>0</v>
      </c>
      <c r="AG308" s="640">
        <v>0</v>
      </c>
      <c r="AH308" s="640">
        <v>0</v>
      </c>
      <c r="AI308" s="640">
        <v>0</v>
      </c>
      <c r="AJ308" s="640">
        <v>0</v>
      </c>
      <c r="AK308" s="648">
        <v>0</v>
      </c>
    </row>
    <row r="309" spans="3:37" x14ac:dyDescent="0.2">
      <c r="C309" s="646" t="s">
        <v>347</v>
      </c>
      <c r="D309" s="640">
        <v>2.8267856410252494</v>
      </c>
      <c r="E309" s="640">
        <v>0</v>
      </c>
      <c r="F309" s="640">
        <v>7.9230776783294274</v>
      </c>
      <c r="G309" s="640">
        <v>16.680851063829788</v>
      </c>
      <c r="H309" s="640">
        <v>843.18181818181824</v>
      </c>
      <c r="I309" s="640">
        <v>306.94588327561422</v>
      </c>
      <c r="J309" s="649">
        <v>28.98717588629853</v>
      </c>
      <c r="K309" s="649">
        <v>6.5903281241207718</v>
      </c>
      <c r="L309" s="649">
        <v>3.3436367529727189</v>
      </c>
      <c r="M309" s="649">
        <v>0.46654149749263618</v>
      </c>
      <c r="N309" s="649">
        <v>0</v>
      </c>
      <c r="O309" s="649">
        <v>7.0184114557160298</v>
      </c>
      <c r="P309" s="640">
        <v>-616.92993037811448</v>
      </c>
      <c r="Q309" s="640">
        <v>0</v>
      </c>
      <c r="R309" s="640">
        <v>0</v>
      </c>
      <c r="S309" s="648">
        <v>607.03457917910316</v>
      </c>
      <c r="U309" s="646" t="s">
        <v>347</v>
      </c>
      <c r="V309" s="640">
        <v>0.62631490545869017</v>
      </c>
      <c r="W309" s="640">
        <v>0</v>
      </c>
      <c r="X309" s="640">
        <v>4.0594413146930641</v>
      </c>
      <c r="Y309" s="640">
        <v>2.3404255319148937</v>
      </c>
      <c r="Z309" s="640">
        <v>842.12121212121212</v>
      </c>
      <c r="AA309" s="640">
        <v>361.66588327561419</v>
      </c>
      <c r="AB309" s="649">
        <v>23.182357378111952</v>
      </c>
      <c r="AC309" s="649">
        <v>5.3775678130216455</v>
      </c>
      <c r="AD309" s="649">
        <v>3.3436367529727189</v>
      </c>
      <c r="AE309" s="649">
        <v>2.4665414974926363</v>
      </c>
      <c r="AF309" s="649">
        <v>0</v>
      </c>
      <c r="AG309" s="649">
        <v>7.0184114557160298</v>
      </c>
      <c r="AH309" s="640">
        <v>-662.7499303781143</v>
      </c>
      <c r="AI309" s="640">
        <v>0</v>
      </c>
      <c r="AJ309" s="640">
        <v>4.25</v>
      </c>
      <c r="AK309" s="648">
        <v>593.70186166809344</v>
      </c>
    </row>
    <row r="310" spans="3:37" x14ac:dyDescent="0.2">
      <c r="C310" s="646" t="s">
        <v>348</v>
      </c>
      <c r="D310" s="640">
        <v>0</v>
      </c>
      <c r="E310" s="640">
        <v>0</v>
      </c>
      <c r="F310" s="640">
        <v>0</v>
      </c>
      <c r="G310" s="640">
        <v>14.843815057329421</v>
      </c>
      <c r="H310" s="640">
        <v>0</v>
      </c>
      <c r="I310" s="640">
        <v>0</v>
      </c>
      <c r="J310" s="649">
        <v>12.357161229114668</v>
      </c>
      <c r="K310" s="649">
        <v>11.882304060636951</v>
      </c>
      <c r="L310" s="649">
        <v>0</v>
      </c>
      <c r="M310" s="649">
        <v>0.31804644322561132</v>
      </c>
      <c r="N310" s="649">
        <v>0</v>
      </c>
      <c r="O310" s="649">
        <v>2.0992086164963606</v>
      </c>
      <c r="P310" s="640">
        <v>0</v>
      </c>
      <c r="Q310" s="640">
        <v>-37.805081951347923</v>
      </c>
      <c r="R310" s="640">
        <v>0</v>
      </c>
      <c r="S310" s="648">
        <v>3.6954534554550835</v>
      </c>
      <c r="U310" s="646" t="s">
        <v>348</v>
      </c>
      <c r="V310" s="640">
        <v>0</v>
      </c>
      <c r="W310" s="640">
        <v>0</v>
      </c>
      <c r="X310" s="640">
        <v>0</v>
      </c>
      <c r="Y310" s="640">
        <v>6.4668066457611202</v>
      </c>
      <c r="Z310" s="640">
        <v>0</v>
      </c>
      <c r="AA310" s="640">
        <v>0</v>
      </c>
      <c r="AB310" s="649">
        <v>28.361573193229066</v>
      </c>
      <c r="AC310" s="649">
        <v>26.076316433417247</v>
      </c>
      <c r="AD310" s="649">
        <v>0</v>
      </c>
      <c r="AE310" s="649">
        <v>6.4819180878167435</v>
      </c>
      <c r="AF310" s="649">
        <v>0</v>
      </c>
      <c r="AG310" s="649">
        <v>12.550380584079129</v>
      </c>
      <c r="AH310" s="640">
        <v>0</v>
      </c>
      <c r="AI310" s="640">
        <v>-74.043519390541746</v>
      </c>
      <c r="AJ310" s="640">
        <v>0</v>
      </c>
      <c r="AK310" s="648">
        <v>5.8934755537615651</v>
      </c>
    </row>
    <row r="311" spans="3:37" x14ac:dyDescent="0.2">
      <c r="C311" s="646" t="s">
        <v>349</v>
      </c>
      <c r="D311" s="640">
        <v>0</v>
      </c>
      <c r="E311" s="640">
        <v>0</v>
      </c>
      <c r="F311" s="640">
        <v>0</v>
      </c>
      <c r="G311" s="640">
        <v>0</v>
      </c>
      <c r="H311" s="640">
        <v>0</v>
      </c>
      <c r="I311" s="640">
        <v>0</v>
      </c>
      <c r="J311" s="650">
        <v>6.8755991242523775</v>
      </c>
      <c r="K311" s="650">
        <v>0</v>
      </c>
      <c r="L311" s="650">
        <v>0</v>
      </c>
      <c r="M311" s="650">
        <v>-6.4200906822706569</v>
      </c>
      <c r="N311" s="650">
        <v>0</v>
      </c>
      <c r="O311" s="650">
        <v>0</v>
      </c>
      <c r="P311" s="640">
        <v>0</v>
      </c>
      <c r="Q311" s="640">
        <v>0</v>
      </c>
      <c r="R311" s="640">
        <v>0</v>
      </c>
      <c r="S311" s="648">
        <v>0.45550844198172058</v>
      </c>
      <c r="U311" s="646" t="s">
        <v>349</v>
      </c>
      <c r="V311" s="640">
        <v>0</v>
      </c>
      <c r="W311" s="640">
        <v>0</v>
      </c>
      <c r="X311" s="640">
        <v>0</v>
      </c>
      <c r="Y311" s="640">
        <v>0</v>
      </c>
      <c r="Z311" s="640">
        <v>0</v>
      </c>
      <c r="AA311" s="640">
        <v>0</v>
      </c>
      <c r="AB311" s="650">
        <v>86.654179241552072</v>
      </c>
      <c r="AC311" s="650">
        <v>0</v>
      </c>
      <c r="AD311" s="650">
        <v>0</v>
      </c>
      <c r="AE311" s="650">
        <v>-80.913339866799248</v>
      </c>
      <c r="AF311" s="650">
        <v>0</v>
      </c>
      <c r="AG311" s="650">
        <v>0</v>
      </c>
      <c r="AH311" s="640">
        <v>0</v>
      </c>
      <c r="AI311" s="640">
        <v>0</v>
      </c>
      <c r="AJ311" s="640">
        <v>0</v>
      </c>
      <c r="AK311" s="648">
        <v>5.7408393747528237</v>
      </c>
    </row>
    <row r="312" spans="3:37" x14ac:dyDescent="0.2">
      <c r="C312" s="646" t="s">
        <v>350</v>
      </c>
      <c r="D312" s="640">
        <v>0</v>
      </c>
      <c r="E312" s="640">
        <v>0</v>
      </c>
      <c r="F312" s="640">
        <v>0</v>
      </c>
      <c r="G312" s="640">
        <v>0</v>
      </c>
      <c r="H312" s="640">
        <v>0</v>
      </c>
      <c r="I312" s="640">
        <v>0</v>
      </c>
      <c r="J312" s="640">
        <v>0</v>
      </c>
      <c r="K312" s="640">
        <v>0</v>
      </c>
      <c r="L312" s="640">
        <v>0</v>
      </c>
      <c r="M312" s="640">
        <v>0</v>
      </c>
      <c r="N312" s="640">
        <v>0</v>
      </c>
      <c r="O312" s="640">
        <v>0</v>
      </c>
      <c r="P312" s="640">
        <v>0</v>
      </c>
      <c r="Q312" s="640">
        <v>0</v>
      </c>
      <c r="R312" s="640">
        <v>0</v>
      </c>
      <c r="S312" s="648">
        <v>0</v>
      </c>
      <c r="U312" s="646" t="s">
        <v>350</v>
      </c>
      <c r="V312" s="640">
        <v>0</v>
      </c>
      <c r="W312" s="640">
        <v>0</v>
      </c>
      <c r="X312" s="640">
        <v>0</v>
      </c>
      <c r="Y312" s="640">
        <v>0</v>
      </c>
      <c r="Z312" s="640">
        <v>0</v>
      </c>
      <c r="AA312" s="640">
        <v>0</v>
      </c>
      <c r="AB312" s="640">
        <v>0</v>
      </c>
      <c r="AC312" s="640">
        <v>0</v>
      </c>
      <c r="AD312" s="640">
        <v>0</v>
      </c>
      <c r="AE312" s="640">
        <v>0</v>
      </c>
      <c r="AF312" s="640">
        <v>0</v>
      </c>
      <c r="AG312" s="640">
        <v>0</v>
      </c>
      <c r="AH312" s="640">
        <v>0</v>
      </c>
      <c r="AI312" s="640">
        <v>0</v>
      </c>
      <c r="AJ312" s="640">
        <v>0</v>
      </c>
      <c r="AK312" s="648">
        <v>0</v>
      </c>
    </row>
    <row r="313" spans="3:37" x14ac:dyDescent="0.2">
      <c r="C313" s="646" t="s">
        <v>72</v>
      </c>
      <c r="D313" s="640">
        <v>0</v>
      </c>
      <c r="E313" s="640">
        <v>501.8858109321676</v>
      </c>
      <c r="F313" s="640">
        <v>-496.86695282284592</v>
      </c>
      <c r="G313" s="640">
        <v>0</v>
      </c>
      <c r="H313" s="640">
        <v>0</v>
      </c>
      <c r="I313" s="640">
        <v>0</v>
      </c>
      <c r="J313" s="640">
        <v>0</v>
      </c>
      <c r="K313" s="640">
        <v>0</v>
      </c>
      <c r="L313" s="640">
        <v>0</v>
      </c>
      <c r="M313" s="640">
        <v>0</v>
      </c>
      <c r="N313" s="640">
        <v>0</v>
      </c>
      <c r="O313" s="640">
        <v>0</v>
      </c>
      <c r="P313" s="640">
        <v>0</v>
      </c>
      <c r="Q313" s="640">
        <v>0</v>
      </c>
      <c r="R313" s="640">
        <v>0</v>
      </c>
      <c r="S313" s="648">
        <v>5.018858109321684</v>
      </c>
      <c r="U313" s="646" t="s">
        <v>72</v>
      </c>
      <c r="V313" s="640">
        <v>0</v>
      </c>
      <c r="W313" s="640">
        <v>196.75884188687598</v>
      </c>
      <c r="X313" s="640">
        <v>-194.79125346800723</v>
      </c>
      <c r="Y313" s="640">
        <v>0</v>
      </c>
      <c r="Z313" s="640">
        <v>0</v>
      </c>
      <c r="AA313" s="640">
        <v>0</v>
      </c>
      <c r="AB313" s="640">
        <v>0</v>
      </c>
      <c r="AC313" s="640">
        <v>0</v>
      </c>
      <c r="AD313" s="640">
        <v>0</v>
      </c>
      <c r="AE313" s="640">
        <v>0</v>
      </c>
      <c r="AF313" s="640">
        <v>0</v>
      </c>
      <c r="AG313" s="640">
        <v>0</v>
      </c>
      <c r="AH313" s="640">
        <v>0</v>
      </c>
      <c r="AI313" s="640">
        <v>0</v>
      </c>
      <c r="AJ313" s="640">
        <v>0</v>
      </c>
      <c r="AK313" s="648">
        <v>1.9675884188687576</v>
      </c>
    </row>
    <row r="314" spans="3:37" x14ac:dyDescent="0.2">
      <c r="C314" s="646" t="s">
        <v>351</v>
      </c>
      <c r="D314" s="640">
        <v>0</v>
      </c>
      <c r="E314" s="640">
        <v>0</v>
      </c>
      <c r="F314" s="640">
        <v>0</v>
      </c>
      <c r="G314" s="640">
        <v>0</v>
      </c>
      <c r="H314" s="640">
        <v>0</v>
      </c>
      <c r="I314" s="640">
        <v>0</v>
      </c>
      <c r="J314" s="640">
        <v>26.867608526350821</v>
      </c>
      <c r="K314" s="640">
        <v>0</v>
      </c>
      <c r="L314" s="640">
        <v>-26.867608526350821</v>
      </c>
      <c r="M314" s="640">
        <v>0</v>
      </c>
      <c r="N314" s="640">
        <v>0</v>
      </c>
      <c r="O314" s="640">
        <v>0</v>
      </c>
      <c r="P314" s="640">
        <v>0</v>
      </c>
      <c r="Q314" s="640">
        <v>0</v>
      </c>
      <c r="R314" s="640">
        <v>0</v>
      </c>
      <c r="S314" s="648">
        <v>0</v>
      </c>
      <c r="U314" s="646" t="s">
        <v>351</v>
      </c>
      <c r="V314" s="640">
        <v>0</v>
      </c>
      <c r="W314" s="640">
        <v>0</v>
      </c>
      <c r="X314" s="640">
        <v>0</v>
      </c>
      <c r="Y314" s="640">
        <v>0</v>
      </c>
      <c r="Z314" s="640">
        <v>0</v>
      </c>
      <c r="AA314" s="640">
        <v>0</v>
      </c>
      <c r="AB314" s="640" t="e">
        <v>#VALUE!</v>
      </c>
      <c r="AC314" s="640">
        <v>0</v>
      </c>
      <c r="AD314" s="640">
        <v>-99.513749603669936</v>
      </c>
      <c r="AE314" s="640">
        <v>0</v>
      </c>
      <c r="AF314" s="640">
        <v>0</v>
      </c>
      <c r="AG314" s="640">
        <v>0</v>
      </c>
      <c r="AH314" s="640">
        <v>0</v>
      </c>
      <c r="AI314" s="640">
        <v>0</v>
      </c>
      <c r="AJ314" s="640">
        <v>0</v>
      </c>
      <c r="AK314" s="648">
        <v>-99.513749603669936</v>
      </c>
    </row>
    <row r="315" spans="3:37" x14ac:dyDescent="0.2">
      <c r="C315" s="646" t="s">
        <v>352</v>
      </c>
      <c r="D315" s="640">
        <v>0</v>
      </c>
      <c r="E315" s="640">
        <v>0</v>
      </c>
      <c r="F315" s="640">
        <v>0</v>
      </c>
      <c r="G315" s="640">
        <v>0</v>
      </c>
      <c r="H315" s="640">
        <v>0</v>
      </c>
      <c r="I315" s="640">
        <v>0</v>
      </c>
      <c r="J315" s="640">
        <v>0</v>
      </c>
      <c r="K315" s="640">
        <v>0</v>
      </c>
      <c r="L315" s="640">
        <v>0</v>
      </c>
      <c r="M315" s="640">
        <v>0</v>
      </c>
      <c r="N315" s="640">
        <v>0</v>
      </c>
      <c r="O315" s="640">
        <v>0</v>
      </c>
      <c r="P315" s="640">
        <v>0</v>
      </c>
      <c r="Q315" s="640">
        <v>0</v>
      </c>
      <c r="R315" s="640">
        <v>0</v>
      </c>
      <c r="S315" s="648">
        <v>0</v>
      </c>
      <c r="U315" s="646" t="s">
        <v>352</v>
      </c>
      <c r="V315" s="640">
        <v>0</v>
      </c>
      <c r="W315" s="640">
        <v>0</v>
      </c>
      <c r="X315" s="640">
        <v>0</v>
      </c>
      <c r="Y315" s="640">
        <v>0</v>
      </c>
      <c r="Z315" s="640">
        <v>0</v>
      </c>
      <c r="AA315" s="640">
        <v>0</v>
      </c>
      <c r="AB315" s="640">
        <v>0</v>
      </c>
      <c r="AC315" s="640">
        <v>0</v>
      </c>
      <c r="AD315" s="640">
        <v>-17.985934640167208</v>
      </c>
      <c r="AE315" s="640">
        <v>0</v>
      </c>
      <c r="AF315" s="640">
        <v>0</v>
      </c>
      <c r="AG315" s="640">
        <v>0</v>
      </c>
      <c r="AH315" s="640">
        <v>0</v>
      </c>
      <c r="AI315" s="640">
        <v>0</v>
      </c>
      <c r="AJ315" s="640">
        <v>0</v>
      </c>
      <c r="AK315" s="648">
        <v>-17.985934640167208</v>
      </c>
    </row>
    <row r="316" spans="3:37" x14ac:dyDescent="0.2">
      <c r="C316" s="646" t="s">
        <v>73</v>
      </c>
      <c r="D316" s="640">
        <v>0</v>
      </c>
      <c r="E316" s="640">
        <v>0</v>
      </c>
      <c r="F316" s="640">
        <v>0</v>
      </c>
      <c r="G316" s="640">
        <v>7.0830222331165276</v>
      </c>
      <c r="H316" s="640">
        <v>0</v>
      </c>
      <c r="I316" s="640">
        <v>0</v>
      </c>
      <c r="J316" s="640">
        <v>0</v>
      </c>
      <c r="K316" s="640">
        <v>8.2131519400701847E-2</v>
      </c>
      <c r="L316" s="640">
        <v>0</v>
      </c>
      <c r="M316" s="640">
        <v>0.14455147414523528</v>
      </c>
      <c r="N316" s="640">
        <v>0</v>
      </c>
      <c r="O316" s="640">
        <v>0</v>
      </c>
      <c r="P316" s="640">
        <v>0.90023160054861806</v>
      </c>
      <c r="Q316" s="640">
        <v>0</v>
      </c>
      <c r="R316" s="640">
        <v>-5.7492063580491291</v>
      </c>
      <c r="S316" s="648">
        <v>2.4607304691619536</v>
      </c>
      <c r="U316" s="646" t="s">
        <v>73</v>
      </c>
      <c r="V316" s="640">
        <v>0</v>
      </c>
      <c r="W316" s="640">
        <v>0</v>
      </c>
      <c r="X316" s="640">
        <v>0</v>
      </c>
      <c r="Y316" s="640">
        <v>2.5209228009552263</v>
      </c>
      <c r="Z316" s="640">
        <v>0</v>
      </c>
      <c r="AA316" s="640">
        <v>0</v>
      </c>
      <c r="AB316" s="640">
        <v>0</v>
      </c>
      <c r="AC316" s="640">
        <v>0.50418456019104518</v>
      </c>
      <c r="AD316" s="640">
        <v>0</v>
      </c>
      <c r="AE316" s="640">
        <v>2.5209228009552263</v>
      </c>
      <c r="AF316" s="640">
        <v>0</v>
      </c>
      <c r="AG316" s="640">
        <v>0</v>
      </c>
      <c r="AH316" s="640">
        <v>44.712737508757456</v>
      </c>
      <c r="AI316" s="640">
        <v>0</v>
      </c>
      <c r="AJ316" s="640">
        <v>-35.29291921337316</v>
      </c>
      <c r="AK316" s="648">
        <v>14.965848457485791</v>
      </c>
    </row>
    <row r="317" spans="3:37" x14ac:dyDescent="0.2">
      <c r="C317" s="646" t="s">
        <v>353</v>
      </c>
      <c r="D317" s="640">
        <v>28.568314687499999</v>
      </c>
      <c r="E317" s="640">
        <v>-17.390343348799608</v>
      </c>
      <c r="F317" s="640">
        <v>22.745541936068136</v>
      </c>
      <c r="G317" s="640">
        <v>0</v>
      </c>
      <c r="H317" s="640">
        <v>0</v>
      </c>
      <c r="I317" s="640">
        <v>0</v>
      </c>
      <c r="J317" s="640">
        <v>0</v>
      </c>
      <c r="K317" s="640">
        <v>0</v>
      </c>
      <c r="L317" s="640">
        <v>0</v>
      </c>
      <c r="M317" s="640">
        <v>0</v>
      </c>
      <c r="N317" s="640">
        <v>0</v>
      </c>
      <c r="O317" s="640">
        <v>0</v>
      </c>
      <c r="P317" s="640">
        <v>0</v>
      </c>
      <c r="Q317" s="640">
        <v>0</v>
      </c>
      <c r="R317" s="640">
        <v>0</v>
      </c>
      <c r="S317" s="648">
        <v>33.923513274768524</v>
      </c>
      <c r="U317" s="646" t="s">
        <v>353</v>
      </c>
      <c r="V317" s="640">
        <v>1.4001075134277343</v>
      </c>
      <c r="W317" s="640">
        <v>-6.8176938713802535</v>
      </c>
      <c r="X317" s="640">
        <v>8.9171408952922331</v>
      </c>
      <c r="Y317" s="640">
        <v>0</v>
      </c>
      <c r="Z317" s="640">
        <v>0</v>
      </c>
      <c r="AA317" s="640">
        <v>0</v>
      </c>
      <c r="AB317" s="640">
        <v>0</v>
      </c>
      <c r="AC317" s="640">
        <v>0</v>
      </c>
      <c r="AD317" s="640">
        <v>0</v>
      </c>
      <c r="AE317" s="640">
        <v>0</v>
      </c>
      <c r="AF317" s="640">
        <v>0</v>
      </c>
      <c r="AG317" s="640">
        <v>0</v>
      </c>
      <c r="AH317" s="640">
        <v>0</v>
      </c>
      <c r="AI317" s="640">
        <v>0</v>
      </c>
      <c r="AJ317" s="640">
        <v>0</v>
      </c>
      <c r="AK317" s="648">
        <v>3.4995545373397139</v>
      </c>
    </row>
    <row r="318" spans="3:37" x14ac:dyDescent="0.2">
      <c r="C318" s="646" t="s">
        <v>75</v>
      </c>
      <c r="D318" s="640">
        <v>11.109900156250001</v>
      </c>
      <c r="E318" s="640">
        <v>0</v>
      </c>
      <c r="F318" s="640">
        <v>17.0641175716937</v>
      </c>
      <c r="G318" s="640">
        <v>4.8692961376638904</v>
      </c>
      <c r="H318" s="640">
        <v>0</v>
      </c>
      <c r="I318" s="640">
        <v>0</v>
      </c>
      <c r="J318" s="640">
        <v>0</v>
      </c>
      <c r="K318" s="640">
        <v>0</v>
      </c>
      <c r="L318" s="640">
        <v>0</v>
      </c>
      <c r="M318" s="640">
        <v>9.9373390564569189E-2</v>
      </c>
      <c r="N318" s="640">
        <v>0</v>
      </c>
      <c r="O318" s="640">
        <v>0</v>
      </c>
      <c r="P318" s="640">
        <v>27.977940148174714</v>
      </c>
      <c r="Q318" s="640">
        <v>0</v>
      </c>
      <c r="R318" s="640">
        <v>0</v>
      </c>
      <c r="S318" s="648">
        <v>61.12062740434687</v>
      </c>
      <c r="U318" s="646" t="s">
        <v>75</v>
      </c>
      <c r="V318" s="640">
        <v>2.585423095703125</v>
      </c>
      <c r="W318" s="640">
        <v>0</v>
      </c>
      <c r="X318" s="640">
        <v>17.0641175716937</v>
      </c>
      <c r="Y318" s="640">
        <v>2.4843347641142297</v>
      </c>
      <c r="Z318" s="640">
        <v>0</v>
      </c>
      <c r="AA318" s="640">
        <v>0</v>
      </c>
      <c r="AB318" s="640">
        <v>0</v>
      </c>
      <c r="AC318" s="640">
        <v>0</v>
      </c>
      <c r="AD318" s="640">
        <v>0</v>
      </c>
      <c r="AE318" s="640">
        <v>2.4843347641142297</v>
      </c>
      <c r="AF318" s="640">
        <v>0</v>
      </c>
      <c r="AG318" s="640">
        <v>0</v>
      </c>
      <c r="AH318" s="640">
        <v>36.559985602720168</v>
      </c>
      <c r="AI318" s="640">
        <v>0</v>
      </c>
      <c r="AJ318" s="640">
        <v>0</v>
      </c>
      <c r="AK318" s="648">
        <v>61.178195798345449</v>
      </c>
    </row>
    <row r="319" spans="3:37" x14ac:dyDescent="0.2">
      <c r="C319" s="646" t="s">
        <v>76</v>
      </c>
      <c r="D319" s="640">
        <v>0</v>
      </c>
      <c r="E319" s="640">
        <v>0</v>
      </c>
      <c r="F319" s="640">
        <v>0</v>
      </c>
      <c r="G319" s="640">
        <v>3.7302503173667452</v>
      </c>
      <c r="H319" s="640">
        <v>0</v>
      </c>
      <c r="I319" s="640">
        <v>0</v>
      </c>
      <c r="J319" s="640">
        <v>0</v>
      </c>
      <c r="K319" s="640">
        <v>0</v>
      </c>
      <c r="L319" s="640">
        <v>0</v>
      </c>
      <c r="M319" s="640">
        <v>7.6127557497280507E-2</v>
      </c>
      <c r="N319" s="640">
        <v>0</v>
      </c>
      <c r="O319" s="640">
        <v>0</v>
      </c>
      <c r="P319" s="640">
        <v>45.919010237367587</v>
      </c>
      <c r="Q319" s="640">
        <v>2.9343505562312622</v>
      </c>
      <c r="R319" s="640">
        <v>0</v>
      </c>
      <c r="S319" s="648">
        <v>52.659738668462872</v>
      </c>
      <c r="U319" s="646" t="s">
        <v>76</v>
      </c>
      <c r="V319" s="640">
        <v>0</v>
      </c>
      <c r="W319" s="640">
        <v>0</v>
      </c>
      <c r="X319" s="640">
        <v>0</v>
      </c>
      <c r="Y319" s="640">
        <v>0.95944671778813329</v>
      </c>
      <c r="Z319" s="640">
        <v>0</v>
      </c>
      <c r="AA319" s="640">
        <v>0</v>
      </c>
      <c r="AB319" s="640">
        <v>0</v>
      </c>
      <c r="AC319" s="640">
        <v>0</v>
      </c>
      <c r="AD319" s="640">
        <v>0</v>
      </c>
      <c r="AE319" s="640">
        <v>0.95944671778813329</v>
      </c>
      <c r="AF319" s="640">
        <v>0</v>
      </c>
      <c r="AG319" s="640">
        <v>0</v>
      </c>
      <c r="AH319" s="640">
        <v>49.138117436745475</v>
      </c>
      <c r="AI319" s="640">
        <v>5.7424951548403769</v>
      </c>
      <c r="AJ319" s="640">
        <v>0</v>
      </c>
      <c r="AK319" s="648">
        <v>56.799506027162117</v>
      </c>
    </row>
    <row r="320" spans="3:37" x14ac:dyDescent="0.2">
      <c r="C320" s="644" t="s">
        <v>77</v>
      </c>
      <c r="D320" s="645">
        <v>42.505000484775252</v>
      </c>
      <c r="E320" s="645">
        <v>484.495467583368</v>
      </c>
      <c r="F320" s="645">
        <v>-449.13421563675462</v>
      </c>
      <c r="G320" s="645">
        <v>47.207234809306371</v>
      </c>
      <c r="H320" s="645">
        <v>843.18181818181824</v>
      </c>
      <c r="I320" s="645">
        <v>306.94588327561422</v>
      </c>
      <c r="J320" s="645">
        <v>75.087544766016393</v>
      </c>
      <c r="K320" s="645">
        <v>18.554763704158422</v>
      </c>
      <c r="L320" s="645">
        <v>-23.523971773378101</v>
      </c>
      <c r="M320" s="645">
        <v>-5.3154503193453246</v>
      </c>
      <c r="N320" s="645">
        <v>0</v>
      </c>
      <c r="O320" s="645">
        <v>9.1176200722123912</v>
      </c>
      <c r="P320" s="645">
        <v>-542.13274839202359</v>
      </c>
      <c r="Q320" s="645">
        <v>-34.870731395116664</v>
      </c>
      <c r="R320" s="645">
        <v>-5.7492063580491291</v>
      </c>
      <c r="S320" s="645">
        <v>766.36900900260184</v>
      </c>
      <c r="U320" s="644" t="s">
        <v>77</v>
      </c>
      <c r="V320" s="645">
        <v>4.6118455145895494</v>
      </c>
      <c r="W320" s="645">
        <v>189.94114801549574</v>
      </c>
      <c r="X320" s="645">
        <v>-164.75055368632826</v>
      </c>
      <c r="Y320" s="645">
        <v>14.771936460533603</v>
      </c>
      <c r="Z320" s="645">
        <v>842.12121212121212</v>
      </c>
      <c r="AA320" s="645">
        <v>361.66588327561419</v>
      </c>
      <c r="AB320" s="645">
        <v>138.19810981289308</v>
      </c>
      <c r="AC320" s="645">
        <v>31.958068806629939</v>
      </c>
      <c r="AD320" s="645">
        <v>-114.15604749086444</v>
      </c>
      <c r="AE320" s="645">
        <v>-66.000175998632287</v>
      </c>
      <c r="AF320" s="645">
        <v>0</v>
      </c>
      <c r="AG320" s="645">
        <v>19.568792039795159</v>
      </c>
      <c r="AH320" s="645">
        <v>-532.33908982989124</v>
      </c>
      <c r="AI320" s="645">
        <v>-68.301024235701377</v>
      </c>
      <c r="AJ320" s="645">
        <v>-31.04291921337316</v>
      </c>
      <c r="AK320" s="645">
        <v>626.24718559197242</v>
      </c>
    </row>
    <row r="321" spans="3:37" x14ac:dyDescent="0.2">
      <c r="C321" s="634"/>
      <c r="D321" s="634">
        <v>0</v>
      </c>
      <c r="E321" s="634">
        <v>0</v>
      </c>
      <c r="F321" s="634">
        <v>0</v>
      </c>
      <c r="G321" s="634">
        <v>0</v>
      </c>
      <c r="H321" s="634">
        <v>0</v>
      </c>
      <c r="I321" s="634">
        <v>0</v>
      </c>
      <c r="J321" s="634">
        <v>0</v>
      </c>
      <c r="K321" s="634">
        <v>0</v>
      </c>
      <c r="L321" s="634">
        <v>0</v>
      </c>
      <c r="M321" s="634">
        <v>0</v>
      </c>
      <c r="N321" s="634">
        <v>0</v>
      </c>
      <c r="O321" s="634">
        <v>0</v>
      </c>
      <c r="P321" s="634">
        <v>0</v>
      </c>
      <c r="Q321" s="634">
        <v>0</v>
      </c>
      <c r="R321" s="634">
        <v>0</v>
      </c>
      <c r="S321" s="634">
        <v>0</v>
      </c>
      <c r="U321" s="634"/>
      <c r="V321" s="634">
        <v>0</v>
      </c>
      <c r="W321" s="634">
        <v>0</v>
      </c>
      <c r="X321" s="634">
        <v>0</v>
      </c>
      <c r="Y321" s="634">
        <v>0</v>
      </c>
      <c r="Z321" s="634">
        <v>0</v>
      </c>
      <c r="AA321" s="634">
        <v>0</v>
      </c>
      <c r="AB321" s="634">
        <v>0</v>
      </c>
      <c r="AC321" s="634">
        <v>0</v>
      </c>
      <c r="AD321" s="634">
        <v>0</v>
      </c>
      <c r="AE321" s="634">
        <v>0</v>
      </c>
      <c r="AF321" s="634">
        <v>0</v>
      </c>
      <c r="AG321" s="634">
        <v>0</v>
      </c>
      <c r="AH321" s="634">
        <v>0</v>
      </c>
      <c r="AI321" s="634">
        <v>0</v>
      </c>
      <c r="AJ321" s="634">
        <v>0</v>
      </c>
      <c r="AK321" s="634">
        <v>0</v>
      </c>
    </row>
    <row r="322" spans="3:37" x14ac:dyDescent="0.2">
      <c r="C322" s="646" t="s">
        <v>78</v>
      </c>
      <c r="D322" s="640">
        <v>4.6398193944555786</v>
      </c>
      <c r="E322" s="640">
        <v>0</v>
      </c>
      <c r="F322" s="640">
        <v>20.598782441852151</v>
      </c>
      <c r="G322" s="640">
        <v>94.839699954986926</v>
      </c>
      <c r="H322" s="640">
        <v>0</v>
      </c>
      <c r="I322" s="640">
        <v>0</v>
      </c>
      <c r="J322" s="640">
        <v>21.821162214793436</v>
      </c>
      <c r="K322" s="640">
        <v>1.7366010173968038</v>
      </c>
      <c r="L322" s="640">
        <v>0.96096945898437491</v>
      </c>
      <c r="M322" s="640">
        <v>1.9539169420126139</v>
      </c>
      <c r="N322" s="640">
        <v>0</v>
      </c>
      <c r="O322" s="640">
        <v>3.7537634069694789E-4</v>
      </c>
      <c r="P322" s="640">
        <v>113.419965125608</v>
      </c>
      <c r="Q322" s="640">
        <v>16.150451210263412</v>
      </c>
      <c r="R322" s="640">
        <v>0.26695886230468752</v>
      </c>
      <c r="S322" s="648">
        <v>276.38870199899873</v>
      </c>
      <c r="U322" s="646" t="s">
        <v>78</v>
      </c>
      <c r="V322" s="640">
        <v>1.264986561669641</v>
      </c>
      <c r="W322" s="640">
        <v>0</v>
      </c>
      <c r="X322" s="640">
        <v>4.4259635061357878</v>
      </c>
      <c r="Y322" s="640">
        <v>33.008089674756327</v>
      </c>
      <c r="Z322" s="640">
        <v>0</v>
      </c>
      <c r="AA322" s="640">
        <v>0</v>
      </c>
      <c r="AB322" s="640">
        <v>14.926911405045434</v>
      </c>
      <c r="AC322" s="640">
        <v>4.7591564459641997</v>
      </c>
      <c r="AD322" s="640">
        <v>6.4130046386718744</v>
      </c>
      <c r="AE322" s="640">
        <v>33.02650253605492</v>
      </c>
      <c r="AF322" s="640">
        <v>0</v>
      </c>
      <c r="AG322" s="640">
        <v>3.7537634069694789E-4</v>
      </c>
      <c r="AH322" s="640">
        <v>148.98135712801343</v>
      </c>
      <c r="AI322" s="640">
        <v>24.187634778338289</v>
      </c>
      <c r="AJ322" s="640">
        <v>7.9027373046875002</v>
      </c>
      <c r="AK322" s="648">
        <v>278.8967193556781</v>
      </c>
    </row>
    <row r="323" spans="3:37" x14ac:dyDescent="0.2">
      <c r="C323" s="646" t="s">
        <v>79</v>
      </c>
      <c r="D323" s="640">
        <v>0</v>
      </c>
      <c r="E323" s="640">
        <v>0</v>
      </c>
      <c r="F323" s="640">
        <v>225.72324837131151</v>
      </c>
      <c r="G323" s="640">
        <v>31.930807664827714</v>
      </c>
      <c r="H323" s="640">
        <v>0</v>
      </c>
      <c r="I323" s="640">
        <v>0</v>
      </c>
      <c r="J323" s="640">
        <v>0</v>
      </c>
      <c r="K323" s="640">
        <v>0</v>
      </c>
      <c r="L323" s="640">
        <v>21.777356740546686</v>
      </c>
      <c r="M323" s="640">
        <v>0.65164913601689212</v>
      </c>
      <c r="N323" s="640">
        <v>0</v>
      </c>
      <c r="O323" s="640">
        <v>0</v>
      </c>
      <c r="P323" s="640">
        <v>72.885841088882287</v>
      </c>
      <c r="Q323" s="640">
        <v>0</v>
      </c>
      <c r="R323" s="640">
        <v>2.6521266956987635</v>
      </c>
      <c r="S323" s="648">
        <v>355.62102969728386</v>
      </c>
      <c r="U323" s="646" t="s">
        <v>79</v>
      </c>
      <c r="V323" s="640">
        <v>0</v>
      </c>
      <c r="W323" s="640">
        <v>0</v>
      </c>
      <c r="X323" s="640">
        <v>19.003305935487372</v>
      </c>
      <c r="Y323" s="640">
        <v>13.267062862305856</v>
      </c>
      <c r="Z323" s="640">
        <v>0</v>
      </c>
      <c r="AA323" s="640">
        <v>0</v>
      </c>
      <c r="AB323" s="640">
        <v>0</v>
      </c>
      <c r="AC323" s="640">
        <v>0</v>
      </c>
      <c r="AD323" s="640">
        <v>27.757428454399612</v>
      </c>
      <c r="AE323" s="640">
        <v>13.267062862305856</v>
      </c>
      <c r="AF323" s="640">
        <v>0</v>
      </c>
      <c r="AG323" s="640">
        <v>0</v>
      </c>
      <c r="AH323" s="640">
        <v>94.556676700547257</v>
      </c>
      <c r="AI323" s="640">
        <v>0</v>
      </c>
      <c r="AJ323" s="640">
        <v>6.3130917169295051</v>
      </c>
      <c r="AK323" s="648">
        <v>174.16462853197544</v>
      </c>
    </row>
    <row r="324" spans="3:37" x14ac:dyDescent="0.2">
      <c r="C324" s="646" t="s">
        <v>80</v>
      </c>
      <c r="D324" s="640">
        <v>0</v>
      </c>
      <c r="E324" s="640">
        <v>0</v>
      </c>
      <c r="F324" s="640">
        <v>11.075929176351762</v>
      </c>
      <c r="G324" s="640">
        <v>76.664751333295058</v>
      </c>
      <c r="H324" s="640">
        <v>0</v>
      </c>
      <c r="I324" s="640">
        <v>0</v>
      </c>
      <c r="J324" s="640">
        <v>88.320247059496523</v>
      </c>
      <c r="K324" s="640">
        <v>0</v>
      </c>
      <c r="L324" s="640">
        <v>0</v>
      </c>
      <c r="M324" s="640">
        <v>1.5645867619039808</v>
      </c>
      <c r="N324" s="640">
        <v>59.616390446150973</v>
      </c>
      <c r="O324" s="640">
        <v>2.0734984243972754</v>
      </c>
      <c r="P324" s="640">
        <v>190.93239321884863</v>
      </c>
      <c r="Q324" s="640">
        <v>15.360003531773184</v>
      </c>
      <c r="R324" s="640">
        <v>0</v>
      </c>
      <c r="S324" s="648">
        <v>445.60779995221742</v>
      </c>
      <c r="U324" s="646" t="s">
        <v>80</v>
      </c>
      <c r="V324" s="640">
        <v>0</v>
      </c>
      <c r="W324" s="640">
        <v>0</v>
      </c>
      <c r="X324" s="640">
        <v>0.97925934500211753</v>
      </c>
      <c r="Y324" s="640">
        <v>9.8253088649292142</v>
      </c>
      <c r="Z324" s="640">
        <v>0</v>
      </c>
      <c r="AA324" s="640">
        <v>0</v>
      </c>
      <c r="AB324" s="640">
        <v>50.204880630535357</v>
      </c>
      <c r="AC324" s="640">
        <v>0</v>
      </c>
      <c r="AD324" s="640">
        <v>0</v>
      </c>
      <c r="AE324" s="640">
        <v>9.8253088649292142</v>
      </c>
      <c r="AF324" s="640">
        <v>95.02342184325245</v>
      </c>
      <c r="AG324" s="640">
        <v>4.208312775429496</v>
      </c>
      <c r="AH324" s="640">
        <v>144.38732956018927</v>
      </c>
      <c r="AI324" s="640">
        <v>30.75075127630511</v>
      </c>
      <c r="AJ324" s="640">
        <v>0</v>
      </c>
      <c r="AK324" s="648">
        <v>345.20457316057224</v>
      </c>
    </row>
    <row r="325" spans="3:37" x14ac:dyDescent="0.2">
      <c r="C325" s="646" t="s">
        <v>81</v>
      </c>
      <c r="D325" s="640">
        <v>0</v>
      </c>
      <c r="E325" s="640">
        <v>0</v>
      </c>
      <c r="F325" s="640">
        <v>2.6743117433405894</v>
      </c>
      <c r="G325" s="640">
        <v>62.987223173923248</v>
      </c>
      <c r="H325" s="640">
        <v>0</v>
      </c>
      <c r="I325" s="640">
        <v>0</v>
      </c>
      <c r="J325" s="640">
        <v>3.1384766478070549</v>
      </c>
      <c r="K325" s="640">
        <v>2.5274117631643136E-2</v>
      </c>
      <c r="L325" s="640">
        <v>0</v>
      </c>
      <c r="M325" s="640">
        <v>1.2854535341616988</v>
      </c>
      <c r="N325" s="640">
        <v>8.34801759276524</v>
      </c>
      <c r="O325" s="640">
        <v>0.71507622546549865</v>
      </c>
      <c r="P325" s="640">
        <v>142.0321146826426</v>
      </c>
      <c r="Q325" s="640">
        <v>3.3602766530800707</v>
      </c>
      <c r="R325" s="640">
        <v>0</v>
      </c>
      <c r="S325" s="648">
        <v>224.56622437081765</v>
      </c>
      <c r="U325" s="646" t="s">
        <v>81</v>
      </c>
      <c r="V325" s="640">
        <v>0</v>
      </c>
      <c r="W325" s="640">
        <v>0</v>
      </c>
      <c r="X325" s="640">
        <v>1.2256055704751125</v>
      </c>
      <c r="Y325" s="640">
        <v>7.2918833253665882</v>
      </c>
      <c r="Z325" s="640">
        <v>0</v>
      </c>
      <c r="AA325" s="640">
        <v>0</v>
      </c>
      <c r="AB325" s="640">
        <v>6.8658928642747856</v>
      </c>
      <c r="AC325" s="640">
        <v>2.5274117631643136E-2</v>
      </c>
      <c r="AD325" s="640">
        <v>0</v>
      </c>
      <c r="AE325" s="640">
        <v>7.2918833253665882</v>
      </c>
      <c r="AF325" s="640">
        <v>14.828462979838848</v>
      </c>
      <c r="AG325" s="640">
        <v>1.5197231438340593</v>
      </c>
      <c r="AH325" s="640">
        <v>114.40426288608282</v>
      </c>
      <c r="AI325" s="640">
        <v>13.362638181057982</v>
      </c>
      <c r="AJ325" s="640">
        <v>0</v>
      </c>
      <c r="AK325" s="648">
        <v>166.8156263939284</v>
      </c>
    </row>
    <row r="326" spans="3:37" x14ac:dyDescent="0.2">
      <c r="C326" s="646" t="s">
        <v>82</v>
      </c>
      <c r="D326" s="640">
        <v>0</v>
      </c>
      <c r="E326" s="640">
        <v>0</v>
      </c>
      <c r="F326" s="640">
        <v>27.931723909553636</v>
      </c>
      <c r="G326" s="640">
        <v>0.95472649492283324</v>
      </c>
      <c r="H326" s="640">
        <v>0</v>
      </c>
      <c r="I326" s="640">
        <v>0</v>
      </c>
      <c r="J326" s="640">
        <v>4.6306119511950978</v>
      </c>
      <c r="K326" s="640">
        <v>0</v>
      </c>
      <c r="L326" s="640">
        <v>3.1934862443619529</v>
      </c>
      <c r="M326" s="640">
        <v>1.9484214182098638E-2</v>
      </c>
      <c r="N326" s="640">
        <v>0</v>
      </c>
      <c r="O326" s="640">
        <v>6.6456137421005312E-2</v>
      </c>
      <c r="P326" s="640">
        <v>5.7660712732306445</v>
      </c>
      <c r="Q326" s="640">
        <v>0</v>
      </c>
      <c r="R326" s="640">
        <v>0</v>
      </c>
      <c r="S326" s="648">
        <v>42.562560224867276</v>
      </c>
      <c r="U326" s="646" t="s">
        <v>82</v>
      </c>
      <c r="V326" s="640">
        <v>0</v>
      </c>
      <c r="W326" s="640">
        <v>0</v>
      </c>
      <c r="X326" s="640">
        <v>3.5775053425595864</v>
      </c>
      <c r="Y326" s="640">
        <v>0.56393102033742082</v>
      </c>
      <c r="Z326" s="640">
        <v>0</v>
      </c>
      <c r="AA326" s="640">
        <v>0</v>
      </c>
      <c r="AB326" s="640">
        <v>4.6306119511950978</v>
      </c>
      <c r="AC326" s="640">
        <v>0</v>
      </c>
      <c r="AD326" s="640">
        <v>32.861113305842508</v>
      </c>
      <c r="AE326" s="640">
        <v>0.56393102033742082</v>
      </c>
      <c r="AF326" s="640">
        <v>0</v>
      </c>
      <c r="AG326" s="640">
        <v>1.7440136932478227</v>
      </c>
      <c r="AH326" s="640">
        <v>5.8866318405152116</v>
      </c>
      <c r="AI326" s="640">
        <v>0</v>
      </c>
      <c r="AJ326" s="640">
        <v>0.38427420359697795</v>
      </c>
      <c r="AK326" s="648">
        <v>50.21201237763205</v>
      </c>
    </row>
    <row r="327" spans="3:37" x14ac:dyDescent="0.2">
      <c r="C327" s="646" t="s">
        <v>354</v>
      </c>
      <c r="D327" s="640">
        <v>0</v>
      </c>
      <c r="E327" s="640">
        <v>0</v>
      </c>
      <c r="F327" s="640">
        <v>0</v>
      </c>
      <c r="G327" s="640">
        <v>0</v>
      </c>
      <c r="H327" s="640">
        <v>0</v>
      </c>
      <c r="I327" s="640">
        <v>0</v>
      </c>
      <c r="J327" s="640">
        <v>0</v>
      </c>
      <c r="K327" s="640">
        <v>0</v>
      </c>
      <c r="L327" s="640">
        <v>0</v>
      </c>
      <c r="M327" s="640">
        <v>0</v>
      </c>
      <c r="N327" s="640">
        <v>0</v>
      </c>
      <c r="O327" s="640">
        <v>0</v>
      </c>
      <c r="P327" s="640">
        <v>0.39</v>
      </c>
      <c r="Q327" s="640">
        <v>0</v>
      </c>
      <c r="R327" s="640">
        <v>0</v>
      </c>
      <c r="S327" s="648">
        <v>0.39</v>
      </c>
      <c r="U327" s="646" t="s">
        <v>354</v>
      </c>
      <c r="V327" s="640">
        <v>0</v>
      </c>
      <c r="W327" s="640">
        <v>0</v>
      </c>
      <c r="X327" s="640">
        <v>0</v>
      </c>
      <c r="Y327" s="640">
        <v>0</v>
      </c>
      <c r="Z327" s="640">
        <v>0</v>
      </c>
      <c r="AA327" s="640">
        <v>0</v>
      </c>
      <c r="AB327" s="640">
        <v>0</v>
      </c>
      <c r="AC327" s="640">
        <v>0</v>
      </c>
      <c r="AD327" s="640">
        <v>0</v>
      </c>
      <c r="AE327" s="640">
        <v>0</v>
      </c>
      <c r="AF327" s="640">
        <v>0</v>
      </c>
      <c r="AG327" s="640">
        <v>0</v>
      </c>
      <c r="AH327" s="640">
        <v>3.5999999999999996</v>
      </c>
      <c r="AI327" s="640">
        <v>0</v>
      </c>
      <c r="AJ327" s="640">
        <v>0</v>
      </c>
      <c r="AK327" s="648">
        <v>3.5999999999999996</v>
      </c>
    </row>
    <row r="328" spans="3:37" x14ac:dyDescent="0.2">
      <c r="C328" s="644" t="s">
        <v>83</v>
      </c>
      <c r="D328" s="645">
        <v>4.6398193944555786</v>
      </c>
      <c r="E328" s="645">
        <v>0</v>
      </c>
      <c r="F328" s="645">
        <v>288.00399564240968</v>
      </c>
      <c r="G328" s="645">
        <v>267.37720862195579</v>
      </c>
      <c r="H328" s="645">
        <v>0</v>
      </c>
      <c r="I328" s="645">
        <v>0</v>
      </c>
      <c r="J328" s="645">
        <v>117.91049787329212</v>
      </c>
      <c r="K328" s="645">
        <v>1.7618751350284469</v>
      </c>
      <c r="L328" s="645">
        <v>25.931812443893016</v>
      </c>
      <c r="M328" s="645">
        <v>5.4750905882772853</v>
      </c>
      <c r="N328" s="645">
        <v>67.964408038916218</v>
      </c>
      <c r="O328" s="645">
        <v>2.8554061636244761</v>
      </c>
      <c r="P328" s="645">
        <v>525.4263853892121</v>
      </c>
      <c r="Q328" s="645">
        <v>34.870731395116664</v>
      </c>
      <c r="R328" s="645">
        <v>2.9190855580034509</v>
      </c>
      <c r="S328" s="645">
        <v>1345.1363162441851</v>
      </c>
      <c r="U328" s="644" t="s">
        <v>83</v>
      </c>
      <c r="V328" s="645">
        <v>1.264986561669641</v>
      </c>
      <c r="W328" s="645">
        <v>0</v>
      </c>
      <c r="X328" s="645">
        <v>29.211639699659976</v>
      </c>
      <c r="Y328" s="645">
        <v>63.956275747695408</v>
      </c>
      <c r="Z328" s="645">
        <v>0</v>
      </c>
      <c r="AA328" s="645">
        <v>0</v>
      </c>
      <c r="AB328" s="645">
        <v>76.628296851050663</v>
      </c>
      <c r="AC328" s="645">
        <v>4.7844305635958433</v>
      </c>
      <c r="AD328" s="645">
        <v>67.031546398914003</v>
      </c>
      <c r="AE328" s="645">
        <v>63.974688608994001</v>
      </c>
      <c r="AF328" s="645">
        <v>109.8518848230913</v>
      </c>
      <c r="AG328" s="645">
        <v>7.4724249888520751</v>
      </c>
      <c r="AH328" s="645">
        <v>511.81625811534803</v>
      </c>
      <c r="AI328" s="645">
        <v>68.301024235701377</v>
      </c>
      <c r="AJ328" s="645">
        <v>14.600103225213982</v>
      </c>
      <c r="AK328" s="645">
        <v>1018.8935598197862</v>
      </c>
    </row>
    <row r="329" spans="3:37" x14ac:dyDescent="0.2">
      <c r="C329" s="639" t="s">
        <v>84</v>
      </c>
      <c r="D329" s="640">
        <v>0</v>
      </c>
      <c r="E329" s="640">
        <v>0</v>
      </c>
      <c r="F329" s="640">
        <v>104.91003257681685</v>
      </c>
      <c r="G329" s="640">
        <v>11.505661507854215</v>
      </c>
      <c r="H329" s="640">
        <v>0</v>
      </c>
      <c r="I329" s="640">
        <v>0</v>
      </c>
      <c r="J329" s="640">
        <v>0</v>
      </c>
      <c r="K329" s="640">
        <v>0</v>
      </c>
      <c r="L329" s="640">
        <v>0</v>
      </c>
      <c r="M329" s="640">
        <v>0</v>
      </c>
      <c r="N329" s="640">
        <v>0</v>
      </c>
      <c r="O329" s="640">
        <v>0</v>
      </c>
      <c r="P329" s="640">
        <v>0</v>
      </c>
      <c r="Q329" s="640">
        <v>0</v>
      </c>
      <c r="R329" s="640">
        <v>2.8301208000456781</v>
      </c>
      <c r="S329" s="648">
        <v>119.24581488471674</v>
      </c>
      <c r="U329" s="639" t="s">
        <v>84</v>
      </c>
      <c r="V329" s="640">
        <v>0</v>
      </c>
      <c r="W329" s="640">
        <v>0</v>
      </c>
      <c r="X329" s="640">
        <v>70.401025384734808</v>
      </c>
      <c r="Y329" s="640">
        <v>0.81519182748409058</v>
      </c>
      <c r="Z329" s="640">
        <v>0</v>
      </c>
      <c r="AA329" s="640">
        <v>0</v>
      </c>
      <c r="AB329" s="640">
        <v>0</v>
      </c>
      <c r="AC329" s="640">
        <v>0</v>
      </c>
      <c r="AD329" s="640">
        <v>24.563190847778323</v>
      </c>
      <c r="AE329" s="640">
        <v>0</v>
      </c>
      <c r="AF329" s="640">
        <v>0</v>
      </c>
      <c r="AG329" s="640">
        <v>0</v>
      </c>
      <c r="AH329" s="640">
        <v>0</v>
      </c>
      <c r="AI329" s="640">
        <v>0</v>
      </c>
      <c r="AJ329" s="640">
        <v>16.442815988159179</v>
      </c>
      <c r="AK329" s="648">
        <v>112.22222404815641</v>
      </c>
    </row>
    <row r="330" spans="3:37" x14ac:dyDescent="0.2">
      <c r="C330" s="644" t="s">
        <v>85</v>
      </c>
      <c r="D330" s="645">
        <v>4.6398193944555786</v>
      </c>
      <c r="E330" s="645">
        <v>0</v>
      </c>
      <c r="F330" s="645">
        <v>392.91402821922651</v>
      </c>
      <c r="G330" s="645">
        <v>278.88287012980999</v>
      </c>
      <c r="H330" s="645">
        <v>0</v>
      </c>
      <c r="I330" s="645">
        <v>0</v>
      </c>
      <c r="J330" s="645">
        <v>117.91049787329212</v>
      </c>
      <c r="K330" s="645">
        <v>1.7618751350284469</v>
      </c>
      <c r="L330" s="645">
        <v>25.931812443893016</v>
      </c>
      <c r="M330" s="645">
        <v>5.4750905882772853</v>
      </c>
      <c r="N330" s="645">
        <v>67.964408038916218</v>
      </c>
      <c r="O330" s="645">
        <v>2.8554061636244761</v>
      </c>
      <c r="P330" s="645">
        <v>525.4263853892121</v>
      </c>
      <c r="Q330" s="645">
        <v>34.870731395116664</v>
      </c>
      <c r="R330" s="645">
        <v>5.7492063580491291</v>
      </c>
      <c r="S330" s="645">
        <v>1464.3821311289018</v>
      </c>
      <c r="U330" s="644" t="s">
        <v>85</v>
      </c>
      <c r="V330" s="645">
        <v>1.264986561669641</v>
      </c>
      <c r="W330" s="645">
        <v>0</v>
      </c>
      <c r="X330" s="645">
        <v>99.612665084394791</v>
      </c>
      <c r="Y330" s="645">
        <v>64.7714675751795</v>
      </c>
      <c r="Z330" s="645">
        <v>0</v>
      </c>
      <c r="AA330" s="645">
        <v>0</v>
      </c>
      <c r="AB330" s="645">
        <v>76.628296851050663</v>
      </c>
      <c r="AC330" s="645">
        <v>4.7844305635958433</v>
      </c>
      <c r="AD330" s="645">
        <v>91.594737246692318</v>
      </c>
      <c r="AE330" s="645">
        <v>63.974688608994001</v>
      </c>
      <c r="AF330" s="645">
        <v>109.8518848230913</v>
      </c>
      <c r="AG330" s="645">
        <v>7.4724249888520751</v>
      </c>
      <c r="AH330" s="645">
        <v>511.81625811534803</v>
      </c>
      <c r="AI330" s="645">
        <v>68.301024235701377</v>
      </c>
      <c r="AJ330" s="645">
        <v>31.04291921337316</v>
      </c>
      <c r="AK330" s="645">
        <v>1131.1157838679426</v>
      </c>
    </row>
    <row r="331" spans="3:37" x14ac:dyDescent="0.2">
      <c r="C331" s="634"/>
      <c r="D331" s="634"/>
      <c r="E331" s="634"/>
      <c r="F331" s="634"/>
      <c r="G331" s="634"/>
      <c r="H331" s="634"/>
      <c r="I331" s="634"/>
      <c r="J331" s="634"/>
      <c r="K331" s="634"/>
      <c r="L331" s="634"/>
      <c r="M331" s="634"/>
      <c r="N331" s="634"/>
      <c r="O331" s="634"/>
      <c r="P331" s="634"/>
      <c r="Q331" s="634"/>
      <c r="R331" s="634"/>
      <c r="S331" s="634"/>
      <c r="U331" s="634"/>
      <c r="V331" s="634"/>
      <c r="W331" s="634"/>
      <c r="X331" s="634"/>
      <c r="Y331" s="634"/>
      <c r="Z331" s="634"/>
      <c r="AA331" s="634"/>
      <c r="AB331" s="634"/>
      <c r="AC331" s="634"/>
      <c r="AD331" s="634"/>
      <c r="AE331" s="634"/>
      <c r="AF331" s="634"/>
      <c r="AG331" s="634"/>
      <c r="AH331" s="634"/>
      <c r="AI331" s="634"/>
      <c r="AJ331" s="634"/>
      <c r="AK331" s="634"/>
    </row>
    <row r="332" spans="3:37" ht="22.5" x14ac:dyDescent="0.3">
      <c r="C332" s="759" t="s">
        <v>89</v>
      </c>
      <c r="D332" s="759"/>
      <c r="E332" s="759"/>
      <c r="F332" s="759"/>
      <c r="G332" s="759"/>
      <c r="H332" s="759"/>
      <c r="I332" s="759"/>
      <c r="J332" s="759"/>
      <c r="K332" s="759"/>
      <c r="L332" s="759"/>
      <c r="M332" s="759"/>
      <c r="N332" s="759"/>
      <c r="O332" s="759"/>
      <c r="P332" s="759"/>
      <c r="Q332" s="759"/>
      <c r="R332" s="759"/>
      <c r="S332" s="759"/>
      <c r="U332" s="759" t="s">
        <v>89</v>
      </c>
      <c r="V332" s="759"/>
      <c r="W332" s="759"/>
      <c r="X332" s="759"/>
      <c r="Y332" s="759"/>
      <c r="Z332" s="759"/>
      <c r="AA332" s="759"/>
      <c r="AB332" s="759"/>
      <c r="AC332" s="759"/>
      <c r="AD332" s="759"/>
      <c r="AE332" s="759"/>
      <c r="AF332" s="759"/>
      <c r="AG332" s="759"/>
      <c r="AH332" s="759"/>
      <c r="AI332" s="759"/>
      <c r="AJ332" s="759"/>
      <c r="AK332" s="759"/>
    </row>
    <row r="333" spans="3:37" x14ac:dyDescent="0.2">
      <c r="C333" s="634"/>
      <c r="D333" s="634"/>
      <c r="E333" s="634"/>
      <c r="F333" s="634"/>
      <c r="G333" s="634"/>
      <c r="H333" s="634"/>
      <c r="I333" s="634"/>
      <c r="J333" s="634"/>
      <c r="K333" s="634"/>
      <c r="L333" s="634"/>
      <c r="M333" s="634"/>
      <c r="N333" s="634"/>
      <c r="O333" s="634"/>
      <c r="P333" s="634"/>
      <c r="Q333" s="634"/>
      <c r="R333" s="634"/>
      <c r="S333" s="634"/>
      <c r="U333" s="634"/>
      <c r="V333" s="634"/>
      <c r="W333" s="634"/>
      <c r="X333" s="634"/>
      <c r="Y333" s="634"/>
      <c r="Z333" s="634"/>
      <c r="AA333" s="634"/>
      <c r="AB333" s="634"/>
      <c r="AC333" s="634"/>
      <c r="AD333" s="634"/>
      <c r="AE333" s="634"/>
      <c r="AF333" s="634"/>
      <c r="AG333" s="634"/>
      <c r="AH333" s="634"/>
      <c r="AI333" s="634"/>
      <c r="AJ333" s="634"/>
      <c r="AK333" s="634"/>
    </row>
    <row r="334" spans="3:37" ht="12.95" customHeight="1" x14ac:dyDescent="0.2">
      <c r="C334" s="758" t="s">
        <v>128</v>
      </c>
      <c r="D334" s="757" t="s">
        <v>42</v>
      </c>
      <c r="E334" s="757" t="s">
        <v>52</v>
      </c>
      <c r="F334" s="757" t="s">
        <v>53</v>
      </c>
      <c r="G334" s="757" t="s">
        <v>32</v>
      </c>
      <c r="H334" s="757" t="s">
        <v>20</v>
      </c>
      <c r="I334" s="757" t="s">
        <v>55</v>
      </c>
      <c r="J334" s="757" t="s">
        <v>56</v>
      </c>
      <c r="K334" s="757"/>
      <c r="L334" s="757"/>
      <c r="M334" s="757"/>
      <c r="N334" s="757"/>
      <c r="O334" s="757"/>
      <c r="P334" s="757" t="s">
        <v>57</v>
      </c>
      <c r="Q334" s="757" t="s">
        <v>58</v>
      </c>
      <c r="R334" s="757" t="s">
        <v>31</v>
      </c>
      <c r="S334" s="757" t="s">
        <v>10</v>
      </c>
      <c r="U334" s="758" t="s">
        <v>128</v>
      </c>
      <c r="V334" s="757" t="s">
        <v>42</v>
      </c>
      <c r="W334" s="757" t="s">
        <v>52</v>
      </c>
      <c r="X334" s="757" t="s">
        <v>53</v>
      </c>
      <c r="Y334" s="757" t="s">
        <v>32</v>
      </c>
      <c r="Z334" s="757" t="s">
        <v>20</v>
      </c>
      <c r="AA334" s="757" t="s">
        <v>55</v>
      </c>
      <c r="AB334" s="757" t="s">
        <v>56</v>
      </c>
      <c r="AC334" s="757"/>
      <c r="AD334" s="757"/>
      <c r="AE334" s="757"/>
      <c r="AF334" s="757"/>
      <c r="AG334" s="757"/>
      <c r="AH334" s="757" t="s">
        <v>57</v>
      </c>
      <c r="AI334" s="757" t="s">
        <v>58</v>
      </c>
      <c r="AJ334" s="757" t="s">
        <v>31</v>
      </c>
      <c r="AK334" s="757" t="s">
        <v>10</v>
      </c>
    </row>
    <row r="335" spans="3:37" ht="56.25" x14ac:dyDescent="0.2">
      <c r="C335" s="758"/>
      <c r="D335" s="757"/>
      <c r="E335" s="757"/>
      <c r="F335" s="757"/>
      <c r="G335" s="757"/>
      <c r="H335" s="757"/>
      <c r="I335" s="757"/>
      <c r="J335" s="638" t="s">
        <v>335</v>
      </c>
      <c r="K335" s="638" t="s">
        <v>40</v>
      </c>
      <c r="L335" s="638" t="s">
        <v>343</v>
      </c>
      <c r="M335" s="638" t="s">
        <v>344</v>
      </c>
      <c r="N335" s="638" t="s">
        <v>345</v>
      </c>
      <c r="O335" s="638" t="s">
        <v>346</v>
      </c>
      <c r="P335" s="757"/>
      <c r="Q335" s="757"/>
      <c r="R335" s="757"/>
      <c r="S335" s="757"/>
      <c r="U335" s="758"/>
      <c r="V335" s="757"/>
      <c r="W335" s="757"/>
      <c r="X335" s="757"/>
      <c r="Y335" s="757"/>
      <c r="Z335" s="757"/>
      <c r="AA335" s="757"/>
      <c r="AB335" s="638" t="s">
        <v>335</v>
      </c>
      <c r="AC335" s="638" t="s">
        <v>40</v>
      </c>
      <c r="AD335" s="638" t="s">
        <v>343</v>
      </c>
      <c r="AE335" s="638" t="s">
        <v>344</v>
      </c>
      <c r="AF335" s="638" t="s">
        <v>345</v>
      </c>
      <c r="AG335" s="638" t="s">
        <v>346</v>
      </c>
      <c r="AH335" s="757"/>
      <c r="AI335" s="757"/>
      <c r="AJ335" s="757"/>
      <c r="AK335" s="757"/>
    </row>
    <row r="336" spans="3:37" x14ac:dyDescent="0.2">
      <c r="C336" s="639" t="s">
        <v>59</v>
      </c>
      <c r="D336" s="640">
        <v>0</v>
      </c>
      <c r="E336" s="641">
        <v>0</v>
      </c>
      <c r="F336" s="641">
        <v>0</v>
      </c>
      <c r="G336" s="640">
        <v>0</v>
      </c>
      <c r="H336" s="641">
        <v>727.27272727272737</v>
      </c>
      <c r="I336" s="641">
        <v>338.37995078139568</v>
      </c>
      <c r="J336" s="641">
        <v>185.12606679296266</v>
      </c>
      <c r="K336" s="641">
        <v>19.887492227897642</v>
      </c>
      <c r="L336" s="641">
        <v>0.67629573379861951</v>
      </c>
      <c r="M336" s="641">
        <v>0.16041590589481752</v>
      </c>
      <c r="N336" s="641">
        <v>75.083762899489528</v>
      </c>
      <c r="O336" s="641">
        <v>12.515766779598991</v>
      </c>
      <c r="P336" s="642">
        <v>0</v>
      </c>
      <c r="Q336" s="641">
        <v>0</v>
      </c>
      <c r="R336" s="641">
        <v>0</v>
      </c>
      <c r="S336" s="643">
        <v>1359.1024783937653</v>
      </c>
      <c r="U336" s="639" t="s">
        <v>59</v>
      </c>
      <c r="V336" s="640">
        <v>0</v>
      </c>
      <c r="W336" s="641">
        <v>0</v>
      </c>
      <c r="X336" s="641">
        <v>0</v>
      </c>
      <c r="Y336" s="640">
        <v>0</v>
      </c>
      <c r="Z336" s="641">
        <v>764.84848484848499</v>
      </c>
      <c r="AA336" s="641">
        <v>423.19995078139567</v>
      </c>
      <c r="AB336" s="641">
        <v>256.09062969225096</v>
      </c>
      <c r="AC336" s="641">
        <v>36.108430969743218</v>
      </c>
      <c r="AD336" s="641">
        <v>0.67629573379861951</v>
      </c>
      <c r="AE336" s="641">
        <v>0.16041590589481752</v>
      </c>
      <c r="AF336" s="641">
        <v>123.16818516374138</v>
      </c>
      <c r="AG336" s="641">
        <v>30.250193334526926</v>
      </c>
      <c r="AH336" s="642">
        <v>0</v>
      </c>
      <c r="AI336" s="641">
        <v>0</v>
      </c>
      <c r="AJ336" s="641">
        <v>0</v>
      </c>
      <c r="AK336" s="643">
        <v>1634.5025864298366</v>
      </c>
    </row>
    <row r="337" spans="3:37" x14ac:dyDescent="0.2">
      <c r="C337" s="639" t="s">
        <v>60</v>
      </c>
      <c r="D337" s="640">
        <v>46.099891323621534</v>
      </c>
      <c r="E337" s="641">
        <v>464.7986487</v>
      </c>
      <c r="F337" s="641">
        <v>48.534128715927544</v>
      </c>
      <c r="G337" s="640">
        <v>345.55093723566335</v>
      </c>
      <c r="H337" s="641">
        <v>0</v>
      </c>
      <c r="I337" s="641">
        <v>0</v>
      </c>
      <c r="J337" s="641">
        <v>5.7213435879484642</v>
      </c>
      <c r="K337" s="641">
        <v>0</v>
      </c>
      <c r="L337" s="641">
        <v>3.0565993326094723</v>
      </c>
      <c r="M337" s="641">
        <v>0</v>
      </c>
      <c r="N337" s="641">
        <v>0</v>
      </c>
      <c r="O337" s="641">
        <v>0</v>
      </c>
      <c r="P337" s="642">
        <v>0</v>
      </c>
      <c r="Q337" s="641">
        <v>0</v>
      </c>
      <c r="R337" s="641">
        <v>0</v>
      </c>
      <c r="S337" s="643">
        <v>913.76154889577037</v>
      </c>
      <c r="U337" s="639" t="s">
        <v>60</v>
      </c>
      <c r="V337" s="640">
        <v>4.5871215860372576</v>
      </c>
      <c r="W337" s="641">
        <v>113.59926767676768</v>
      </c>
      <c r="X337" s="641">
        <v>20.138935454909394</v>
      </c>
      <c r="Y337" s="640">
        <v>0.51452681198611927</v>
      </c>
      <c r="Z337" s="641">
        <v>0</v>
      </c>
      <c r="AA337" s="641">
        <v>0</v>
      </c>
      <c r="AB337" s="641">
        <v>5.7213435879484642</v>
      </c>
      <c r="AC337" s="641">
        <v>0</v>
      </c>
      <c r="AD337" s="641">
        <v>3.0565993326094723</v>
      </c>
      <c r="AE337" s="641">
        <v>0</v>
      </c>
      <c r="AF337" s="641">
        <v>0</v>
      </c>
      <c r="AG337" s="641">
        <v>0</v>
      </c>
      <c r="AH337" s="642">
        <v>0</v>
      </c>
      <c r="AI337" s="641">
        <v>0</v>
      </c>
      <c r="AJ337" s="641">
        <v>0</v>
      </c>
      <c r="AK337" s="643">
        <v>147.6177944502584</v>
      </c>
    </row>
    <row r="338" spans="3:37" x14ac:dyDescent="0.2">
      <c r="C338" s="639" t="s">
        <v>61</v>
      </c>
      <c r="D338" s="640">
        <v>0</v>
      </c>
      <c r="E338" s="641">
        <v>0</v>
      </c>
      <c r="F338" s="641">
        <v>0</v>
      </c>
      <c r="G338" s="640">
        <v>0</v>
      </c>
      <c r="H338" s="641">
        <v>0</v>
      </c>
      <c r="I338" s="641">
        <v>0</v>
      </c>
      <c r="J338" s="641">
        <v>0</v>
      </c>
      <c r="K338" s="641">
        <v>0</v>
      </c>
      <c r="L338" s="641">
        <v>0</v>
      </c>
      <c r="M338" s="641">
        <v>0</v>
      </c>
      <c r="N338" s="641">
        <v>0</v>
      </c>
      <c r="O338" s="641">
        <v>0</v>
      </c>
      <c r="P338" s="642">
        <v>-12.7985093299136</v>
      </c>
      <c r="Q338" s="641">
        <v>0</v>
      </c>
      <c r="R338" s="641">
        <v>0</v>
      </c>
      <c r="S338" s="643">
        <v>-12.7985093299136</v>
      </c>
      <c r="U338" s="639" t="s">
        <v>61</v>
      </c>
      <c r="V338" s="640">
        <v>0</v>
      </c>
      <c r="W338" s="641">
        <v>0</v>
      </c>
      <c r="X338" s="641">
        <v>0</v>
      </c>
      <c r="Y338" s="640">
        <v>0</v>
      </c>
      <c r="Z338" s="641">
        <v>0</v>
      </c>
      <c r="AA338" s="641">
        <v>0</v>
      </c>
      <c r="AB338" s="641">
        <v>0</v>
      </c>
      <c r="AC338" s="641">
        <v>0</v>
      </c>
      <c r="AD338" s="641">
        <v>0</v>
      </c>
      <c r="AE338" s="641">
        <v>0</v>
      </c>
      <c r="AF338" s="641">
        <v>0</v>
      </c>
      <c r="AG338" s="641">
        <v>0</v>
      </c>
      <c r="AH338" s="642">
        <v>-41.639986107117011</v>
      </c>
      <c r="AI338" s="641">
        <v>0</v>
      </c>
      <c r="AJ338" s="641">
        <v>0</v>
      </c>
      <c r="AK338" s="643">
        <v>-41.639986107117011</v>
      </c>
    </row>
    <row r="339" spans="3:37" x14ac:dyDescent="0.2">
      <c r="C339" s="639" t="s">
        <v>62</v>
      </c>
      <c r="D339" s="640">
        <v>0</v>
      </c>
      <c r="E339" s="641">
        <v>0</v>
      </c>
      <c r="F339" s="641">
        <v>-14.431507774067331</v>
      </c>
      <c r="G339" s="640">
        <v>0</v>
      </c>
      <c r="H339" s="641">
        <v>0</v>
      </c>
      <c r="I339" s="641">
        <v>0</v>
      </c>
      <c r="J339" s="641">
        <v>0</v>
      </c>
      <c r="K339" s="641">
        <v>0</v>
      </c>
      <c r="L339" s="641">
        <v>0</v>
      </c>
      <c r="M339" s="641">
        <v>0</v>
      </c>
      <c r="N339" s="641">
        <v>0</v>
      </c>
      <c r="O339" s="641">
        <v>0</v>
      </c>
      <c r="P339" s="642">
        <v>0</v>
      </c>
      <c r="Q339" s="641">
        <v>0</v>
      </c>
      <c r="R339" s="641">
        <v>0</v>
      </c>
      <c r="S339" s="643">
        <v>-14.431507774067331</v>
      </c>
      <c r="U339" s="639" t="s">
        <v>62</v>
      </c>
      <c r="V339" s="640">
        <v>0</v>
      </c>
      <c r="W339" s="641">
        <v>0</v>
      </c>
      <c r="X339" s="641">
        <v>-5.3013702027186111</v>
      </c>
      <c r="Y339" s="640">
        <v>0</v>
      </c>
      <c r="Z339" s="641">
        <v>0</v>
      </c>
      <c r="AA339" s="641">
        <v>0</v>
      </c>
      <c r="AB339" s="641">
        <v>0</v>
      </c>
      <c r="AC339" s="641">
        <v>0</v>
      </c>
      <c r="AD339" s="641">
        <v>0</v>
      </c>
      <c r="AE339" s="641">
        <v>-5.1137296191648005</v>
      </c>
      <c r="AF339" s="641">
        <v>0</v>
      </c>
      <c r="AG339" s="641">
        <v>0</v>
      </c>
      <c r="AH339" s="642">
        <v>0</v>
      </c>
      <c r="AI339" s="641">
        <v>0</v>
      </c>
      <c r="AJ339" s="641">
        <v>0</v>
      </c>
      <c r="AK339" s="643">
        <v>-10.415099821883413</v>
      </c>
    </row>
    <row r="340" spans="3:37" x14ac:dyDescent="0.2">
      <c r="C340" s="639" t="s">
        <v>63</v>
      </c>
      <c r="D340" s="640">
        <v>0</v>
      </c>
      <c r="E340" s="641">
        <v>0</v>
      </c>
      <c r="F340" s="641">
        <v>-93.443844381495637</v>
      </c>
      <c r="G340" s="640">
        <v>0</v>
      </c>
      <c r="H340" s="641">
        <v>0</v>
      </c>
      <c r="I340" s="641">
        <v>0</v>
      </c>
      <c r="J340" s="641">
        <v>0</v>
      </c>
      <c r="K340" s="641">
        <v>0</v>
      </c>
      <c r="L340" s="641">
        <v>-0.96889726774865159</v>
      </c>
      <c r="M340" s="641">
        <v>0</v>
      </c>
      <c r="N340" s="641">
        <v>0</v>
      </c>
      <c r="O340" s="641">
        <v>0</v>
      </c>
      <c r="P340" s="642">
        <v>0</v>
      </c>
      <c r="Q340" s="641">
        <v>0</v>
      </c>
      <c r="R340" s="641">
        <v>0</v>
      </c>
      <c r="S340" s="643">
        <v>-94.412741649244282</v>
      </c>
      <c r="U340" s="639" t="s">
        <v>63</v>
      </c>
      <c r="V340" s="640">
        <v>0</v>
      </c>
      <c r="W340" s="641">
        <v>0</v>
      </c>
      <c r="X340" s="641">
        <v>-35.841594545498886</v>
      </c>
      <c r="Y340" s="640">
        <v>0</v>
      </c>
      <c r="Z340" s="641">
        <v>0</v>
      </c>
      <c r="AA340" s="641">
        <v>0</v>
      </c>
      <c r="AB340" s="641">
        <v>0</v>
      </c>
      <c r="AC340" s="641">
        <v>0</v>
      </c>
      <c r="AD340" s="641">
        <v>-46.567340427053182</v>
      </c>
      <c r="AE340" s="641">
        <v>0</v>
      </c>
      <c r="AF340" s="641">
        <v>0</v>
      </c>
      <c r="AG340" s="641">
        <v>0</v>
      </c>
      <c r="AH340" s="642">
        <v>0</v>
      </c>
      <c r="AI340" s="641">
        <v>0</v>
      </c>
      <c r="AJ340" s="641">
        <v>0</v>
      </c>
      <c r="AK340" s="643">
        <v>-82.408934972552061</v>
      </c>
    </row>
    <row r="341" spans="3:37" x14ac:dyDescent="0.2">
      <c r="C341" s="639" t="s">
        <v>64</v>
      </c>
      <c r="D341" s="640">
        <v>0</v>
      </c>
      <c r="E341" s="641">
        <v>0</v>
      </c>
      <c r="F341" s="641">
        <v>0</v>
      </c>
      <c r="G341" s="640">
        <v>0</v>
      </c>
      <c r="H341" s="641">
        <v>0</v>
      </c>
      <c r="I341" s="641">
        <v>0</v>
      </c>
      <c r="J341" s="641">
        <v>0</v>
      </c>
      <c r="K341" s="641">
        <v>0</v>
      </c>
      <c r="L341" s="641">
        <v>0</v>
      </c>
      <c r="M341" s="641">
        <v>0</v>
      </c>
      <c r="N341" s="641">
        <v>0</v>
      </c>
      <c r="O341" s="641">
        <v>0</v>
      </c>
      <c r="P341" s="642">
        <v>0</v>
      </c>
      <c r="Q341" s="641">
        <v>0</v>
      </c>
      <c r="R341" s="641">
        <v>0</v>
      </c>
      <c r="S341" s="643">
        <v>0</v>
      </c>
      <c r="U341" s="639" t="s">
        <v>64</v>
      </c>
      <c r="V341" s="640">
        <v>0</v>
      </c>
      <c r="W341" s="641">
        <v>0</v>
      </c>
      <c r="X341" s="641">
        <v>0</v>
      </c>
      <c r="Y341" s="640">
        <v>0</v>
      </c>
      <c r="Z341" s="641">
        <v>0</v>
      </c>
      <c r="AA341" s="641">
        <v>0</v>
      </c>
      <c r="AB341" s="641">
        <v>0</v>
      </c>
      <c r="AC341" s="641">
        <v>0</v>
      </c>
      <c r="AD341" s="641">
        <v>0</v>
      </c>
      <c r="AE341" s="641">
        <v>0</v>
      </c>
      <c r="AF341" s="641">
        <v>0</v>
      </c>
      <c r="AG341" s="641">
        <v>0</v>
      </c>
      <c r="AH341" s="642">
        <v>0</v>
      </c>
      <c r="AI341" s="641">
        <v>0</v>
      </c>
      <c r="AJ341" s="641">
        <v>0</v>
      </c>
      <c r="AK341" s="643">
        <v>0</v>
      </c>
    </row>
    <row r="342" spans="3:37" x14ac:dyDescent="0.2">
      <c r="C342" s="644" t="s">
        <v>65</v>
      </c>
      <c r="D342" s="645">
        <v>46.099891323621534</v>
      </c>
      <c r="E342" s="645">
        <v>464.7986487</v>
      </c>
      <c r="F342" s="645">
        <v>-59.341223439635421</v>
      </c>
      <c r="G342" s="645">
        <v>345.55093723566335</v>
      </c>
      <c r="H342" s="645">
        <v>727.27272727272737</v>
      </c>
      <c r="I342" s="645">
        <v>338.37995078139568</v>
      </c>
      <c r="J342" s="645">
        <v>190.84741038091113</v>
      </c>
      <c r="K342" s="645">
        <v>19.887492227897642</v>
      </c>
      <c r="L342" s="645">
        <v>2.7639977986594397</v>
      </c>
      <c r="M342" s="645">
        <v>0.16041590589481752</v>
      </c>
      <c r="N342" s="645">
        <v>75.083762899489528</v>
      </c>
      <c r="O342" s="645">
        <v>12.515766779598991</v>
      </c>
      <c r="P342" s="645">
        <v>-12.7985093299136</v>
      </c>
      <c r="Q342" s="645">
        <v>0</v>
      </c>
      <c r="R342" s="645">
        <v>0</v>
      </c>
      <c r="S342" s="645">
        <v>2151.2212685363102</v>
      </c>
      <c r="U342" s="644" t="s">
        <v>65</v>
      </c>
      <c r="V342" s="645">
        <v>4.5871215860372576</v>
      </c>
      <c r="W342" s="645">
        <v>113.59926767676768</v>
      </c>
      <c r="X342" s="645">
        <v>-21.004029293308101</v>
      </c>
      <c r="Y342" s="645">
        <v>0.51452681198611927</v>
      </c>
      <c r="Z342" s="645">
        <v>764.84848484848499</v>
      </c>
      <c r="AA342" s="645">
        <v>423.19995078139567</v>
      </c>
      <c r="AB342" s="645">
        <v>261.81197328019942</v>
      </c>
      <c r="AC342" s="645">
        <v>36.108430969743218</v>
      </c>
      <c r="AD342" s="645">
        <v>-42.834445360645091</v>
      </c>
      <c r="AE342" s="645">
        <v>-4.9533137132699832</v>
      </c>
      <c r="AF342" s="645">
        <v>123.16818516374138</v>
      </c>
      <c r="AG342" s="645">
        <v>30.250193334526926</v>
      </c>
      <c r="AH342" s="645">
        <v>-41.639986107117011</v>
      </c>
      <c r="AI342" s="645">
        <v>0</v>
      </c>
      <c r="AJ342" s="645">
        <v>0</v>
      </c>
      <c r="AK342" s="645">
        <v>1647.6563599785427</v>
      </c>
    </row>
    <row r="343" spans="3:37" x14ac:dyDescent="0.2">
      <c r="C343" s="634"/>
      <c r="D343" s="634">
        <v>0</v>
      </c>
      <c r="E343" s="634">
        <v>0</v>
      </c>
      <c r="F343" s="634">
        <v>0</v>
      </c>
      <c r="G343" s="634">
        <v>0</v>
      </c>
      <c r="H343" s="634">
        <v>0</v>
      </c>
      <c r="I343" s="634">
        <v>0</v>
      </c>
      <c r="J343" s="634">
        <v>0</v>
      </c>
      <c r="K343" s="634">
        <v>0</v>
      </c>
      <c r="L343" s="634">
        <v>0</v>
      </c>
      <c r="M343" s="634">
        <v>0</v>
      </c>
      <c r="N343" s="634">
        <v>0</v>
      </c>
      <c r="O343" s="634">
        <v>0</v>
      </c>
      <c r="P343" s="634">
        <v>0</v>
      </c>
      <c r="Q343" s="634">
        <v>0</v>
      </c>
      <c r="R343" s="634">
        <v>0</v>
      </c>
      <c r="S343" s="634">
        <v>0</v>
      </c>
      <c r="U343" s="634"/>
      <c r="V343" s="634">
        <v>0</v>
      </c>
      <c r="W343" s="634">
        <v>0</v>
      </c>
      <c r="X343" s="634">
        <v>0</v>
      </c>
      <c r="Y343" s="634">
        <v>0</v>
      </c>
      <c r="Z343" s="634">
        <v>0</v>
      </c>
      <c r="AA343" s="634">
        <v>0</v>
      </c>
      <c r="AB343" s="634">
        <v>0</v>
      </c>
      <c r="AC343" s="634">
        <v>0</v>
      </c>
      <c r="AD343" s="634">
        <v>0</v>
      </c>
      <c r="AE343" s="634">
        <v>0</v>
      </c>
      <c r="AF343" s="634">
        <v>0</v>
      </c>
      <c r="AG343" s="634">
        <v>0</v>
      </c>
      <c r="AH343" s="634">
        <v>0</v>
      </c>
      <c r="AI343" s="634">
        <v>0</v>
      </c>
      <c r="AJ343" s="634">
        <v>0</v>
      </c>
      <c r="AK343" s="634">
        <v>0</v>
      </c>
    </row>
    <row r="344" spans="3:37" x14ac:dyDescent="0.2">
      <c r="C344" s="646" t="s">
        <v>67</v>
      </c>
      <c r="D344" s="640">
        <v>0</v>
      </c>
      <c r="E344" s="647">
        <v>0</v>
      </c>
      <c r="F344" s="647">
        <v>0</v>
      </c>
      <c r="G344" s="640">
        <v>0</v>
      </c>
      <c r="H344" s="640">
        <v>0</v>
      </c>
      <c r="I344" s="640">
        <v>0</v>
      </c>
      <c r="J344" s="640">
        <v>0</v>
      </c>
      <c r="K344" s="640">
        <v>0</v>
      </c>
      <c r="L344" s="640">
        <v>0</v>
      </c>
      <c r="M344" s="640">
        <v>0</v>
      </c>
      <c r="N344" s="640">
        <v>0</v>
      </c>
      <c r="O344" s="640">
        <v>0</v>
      </c>
      <c r="P344" s="640">
        <v>0</v>
      </c>
      <c r="Q344" s="640">
        <v>0</v>
      </c>
      <c r="R344" s="640">
        <v>0</v>
      </c>
      <c r="S344" s="648">
        <v>0</v>
      </c>
      <c r="U344" s="646" t="s">
        <v>67</v>
      </c>
      <c r="V344" s="640">
        <v>0</v>
      </c>
      <c r="W344" s="647">
        <v>0</v>
      </c>
      <c r="X344" s="647">
        <v>0</v>
      </c>
      <c r="Y344" s="640">
        <v>0</v>
      </c>
      <c r="Z344" s="640">
        <v>0</v>
      </c>
      <c r="AA344" s="640">
        <v>0</v>
      </c>
      <c r="AB344" s="640">
        <v>0</v>
      </c>
      <c r="AC344" s="640">
        <v>0</v>
      </c>
      <c r="AD344" s="640">
        <v>0</v>
      </c>
      <c r="AE344" s="640">
        <v>0</v>
      </c>
      <c r="AF344" s="640">
        <v>0</v>
      </c>
      <c r="AG344" s="640">
        <v>0</v>
      </c>
      <c r="AH344" s="640">
        <v>0</v>
      </c>
      <c r="AI344" s="640">
        <v>0</v>
      </c>
      <c r="AJ344" s="640">
        <v>0</v>
      </c>
      <c r="AK344" s="648">
        <v>0</v>
      </c>
    </row>
    <row r="345" spans="3:37" x14ac:dyDescent="0.2">
      <c r="C345" s="646" t="s">
        <v>347</v>
      </c>
      <c r="D345" s="640">
        <v>2.8267856410252494</v>
      </c>
      <c r="E345" s="640">
        <v>0</v>
      </c>
      <c r="F345" s="640">
        <v>8.0599105831015567</v>
      </c>
      <c r="G345" s="640">
        <v>46.530346198952707</v>
      </c>
      <c r="H345" s="640">
        <v>727.27272727272737</v>
      </c>
      <c r="I345" s="640">
        <v>338.37995078139568</v>
      </c>
      <c r="J345" s="649">
        <v>28.452469116356035</v>
      </c>
      <c r="K345" s="649">
        <v>6.2305848357200952</v>
      </c>
      <c r="L345" s="649">
        <v>3.7328950664080915</v>
      </c>
      <c r="M345" s="649">
        <v>1.0761160081227215</v>
      </c>
      <c r="N345" s="649">
        <v>0</v>
      </c>
      <c r="O345" s="649">
        <v>7.5664382136221358</v>
      </c>
      <c r="P345" s="640">
        <v>-629.14515201417555</v>
      </c>
      <c r="Q345" s="640">
        <v>0</v>
      </c>
      <c r="R345" s="640">
        <v>0</v>
      </c>
      <c r="S345" s="648">
        <v>540.98307170325586</v>
      </c>
      <c r="U345" s="646" t="s">
        <v>347</v>
      </c>
      <c r="V345" s="640">
        <v>0.62631490545869017</v>
      </c>
      <c r="W345" s="640">
        <v>0</v>
      </c>
      <c r="X345" s="640">
        <v>4.1962742194651934</v>
      </c>
      <c r="Y345" s="640">
        <v>0</v>
      </c>
      <c r="Z345" s="640">
        <v>764.84848484848499</v>
      </c>
      <c r="AA345" s="640">
        <v>423.19995078139567</v>
      </c>
      <c r="AB345" s="649">
        <v>22.478183728982629</v>
      </c>
      <c r="AC345" s="649">
        <v>5.0926371917675839</v>
      </c>
      <c r="AD345" s="649">
        <v>3.7328950664080915</v>
      </c>
      <c r="AE345" s="649">
        <v>0.79318377276994545</v>
      </c>
      <c r="AF345" s="649">
        <v>0</v>
      </c>
      <c r="AG345" s="649">
        <v>7.5664382136221358</v>
      </c>
      <c r="AH345" s="640">
        <v>-696.77718495359215</v>
      </c>
      <c r="AI345" s="640">
        <v>0</v>
      </c>
      <c r="AJ345" s="640">
        <v>3.75</v>
      </c>
      <c r="AK345" s="648">
        <v>539.50717777476291</v>
      </c>
    </row>
    <row r="346" spans="3:37" x14ac:dyDescent="0.2">
      <c r="C346" s="646" t="s">
        <v>348</v>
      </c>
      <c r="D346" s="640">
        <v>0</v>
      </c>
      <c r="E346" s="640">
        <v>0</v>
      </c>
      <c r="F346" s="640">
        <v>0</v>
      </c>
      <c r="G346" s="640">
        <v>14.783508517784153</v>
      </c>
      <c r="H346" s="640">
        <v>0</v>
      </c>
      <c r="I346" s="640">
        <v>0</v>
      </c>
      <c r="J346" s="649">
        <v>12.163067049530284</v>
      </c>
      <c r="K346" s="649">
        <v>11.829214997579474</v>
      </c>
      <c r="L346" s="649">
        <v>0</v>
      </c>
      <c r="M346" s="649">
        <v>0.31740804730172578</v>
      </c>
      <c r="N346" s="649">
        <v>0</v>
      </c>
      <c r="O346" s="649">
        <v>2.086875550337155</v>
      </c>
      <c r="P346" s="640">
        <v>0</v>
      </c>
      <c r="Q346" s="640">
        <v>-37.667878685561853</v>
      </c>
      <c r="R346" s="640">
        <v>0</v>
      </c>
      <c r="S346" s="648">
        <v>3.5121954769709394</v>
      </c>
      <c r="U346" s="646" t="s">
        <v>348</v>
      </c>
      <c r="V346" s="640">
        <v>0</v>
      </c>
      <c r="W346" s="640">
        <v>0</v>
      </c>
      <c r="X346" s="640">
        <v>0</v>
      </c>
      <c r="Y346" s="640">
        <v>0</v>
      </c>
      <c r="Z346" s="640">
        <v>0</v>
      </c>
      <c r="AA346" s="640">
        <v>0</v>
      </c>
      <c r="AB346" s="649">
        <v>28.523630086620891</v>
      </c>
      <c r="AC346" s="649">
        <v>26.288013396118924</v>
      </c>
      <c r="AD346" s="649">
        <v>0</v>
      </c>
      <c r="AE346" s="649">
        <v>10.611192177482708</v>
      </c>
      <c r="AF346" s="649">
        <v>0</v>
      </c>
      <c r="AG346" s="649">
        <v>14.121402979798832</v>
      </c>
      <c r="AH346" s="640">
        <v>0</v>
      </c>
      <c r="AI346" s="640">
        <v>-74.176724382187018</v>
      </c>
      <c r="AJ346" s="640">
        <v>0</v>
      </c>
      <c r="AK346" s="648">
        <v>5.3675142578343316</v>
      </c>
    </row>
    <row r="347" spans="3:37" x14ac:dyDescent="0.2">
      <c r="C347" s="646" t="s">
        <v>349</v>
      </c>
      <c r="D347" s="640">
        <v>0</v>
      </c>
      <c r="E347" s="640">
        <v>0</v>
      </c>
      <c r="F347" s="640">
        <v>0</v>
      </c>
      <c r="G347" s="640">
        <v>0</v>
      </c>
      <c r="H347" s="640">
        <v>0</v>
      </c>
      <c r="I347" s="640">
        <v>0</v>
      </c>
      <c r="J347" s="650">
        <v>7.1450792385721682</v>
      </c>
      <c r="K347" s="650">
        <v>0</v>
      </c>
      <c r="L347" s="650">
        <v>0</v>
      </c>
      <c r="M347" s="650">
        <v>-6.8235506728364204</v>
      </c>
      <c r="N347" s="650">
        <v>0</v>
      </c>
      <c r="O347" s="650">
        <v>0</v>
      </c>
      <c r="P347" s="640">
        <v>0</v>
      </c>
      <c r="Q347" s="640">
        <v>0</v>
      </c>
      <c r="R347" s="640">
        <v>0</v>
      </c>
      <c r="S347" s="648">
        <v>0.32152856573574784</v>
      </c>
      <c r="U347" s="646" t="s">
        <v>349</v>
      </c>
      <c r="V347" s="640">
        <v>0</v>
      </c>
      <c r="W347" s="640">
        <v>0</v>
      </c>
      <c r="X347" s="640">
        <v>0</v>
      </c>
      <c r="Y347" s="640">
        <v>0</v>
      </c>
      <c r="Z347" s="640">
        <v>0</v>
      </c>
      <c r="AA347" s="640">
        <v>0</v>
      </c>
      <c r="AB347" s="650">
        <v>137.81211213320262</v>
      </c>
      <c r="AC347" s="650">
        <v>0</v>
      </c>
      <c r="AD347" s="650">
        <v>0</v>
      </c>
      <c r="AE347" s="650">
        <v>-131.61056708720849</v>
      </c>
      <c r="AF347" s="650">
        <v>0</v>
      </c>
      <c r="AG347" s="650">
        <v>0</v>
      </c>
      <c r="AH347" s="640">
        <v>0</v>
      </c>
      <c r="AI347" s="640">
        <v>0</v>
      </c>
      <c r="AJ347" s="640">
        <v>0</v>
      </c>
      <c r="AK347" s="648">
        <v>6.2015450459941235</v>
      </c>
    </row>
    <row r="348" spans="3:37" x14ac:dyDescent="0.2">
      <c r="C348" s="646" t="s">
        <v>350</v>
      </c>
      <c r="D348" s="640">
        <v>0</v>
      </c>
      <c r="E348" s="640">
        <v>0</v>
      </c>
      <c r="F348" s="640">
        <v>0</v>
      </c>
      <c r="G348" s="640">
        <v>0</v>
      </c>
      <c r="H348" s="640">
        <v>0</v>
      </c>
      <c r="I348" s="640">
        <v>0</v>
      </c>
      <c r="J348" s="640">
        <v>0</v>
      </c>
      <c r="K348" s="640">
        <v>0</v>
      </c>
      <c r="L348" s="640">
        <v>0</v>
      </c>
      <c r="M348" s="640">
        <v>0</v>
      </c>
      <c r="N348" s="640">
        <v>0</v>
      </c>
      <c r="O348" s="640">
        <v>0</v>
      </c>
      <c r="P348" s="640">
        <v>0</v>
      </c>
      <c r="Q348" s="640">
        <v>0</v>
      </c>
      <c r="R348" s="640">
        <v>0</v>
      </c>
      <c r="S348" s="648">
        <v>0</v>
      </c>
      <c r="U348" s="646" t="s">
        <v>350</v>
      </c>
      <c r="V348" s="640">
        <v>0</v>
      </c>
      <c r="W348" s="640">
        <v>0</v>
      </c>
      <c r="X348" s="640">
        <v>0</v>
      </c>
      <c r="Y348" s="640">
        <v>0</v>
      </c>
      <c r="Z348" s="640">
        <v>0</v>
      </c>
      <c r="AA348" s="640">
        <v>0</v>
      </c>
      <c r="AB348" s="640">
        <v>0</v>
      </c>
      <c r="AC348" s="640">
        <v>0</v>
      </c>
      <c r="AD348" s="640">
        <v>0</v>
      </c>
      <c r="AE348" s="640">
        <v>0</v>
      </c>
      <c r="AF348" s="640">
        <v>0</v>
      </c>
      <c r="AG348" s="640">
        <v>0</v>
      </c>
      <c r="AH348" s="640">
        <v>0</v>
      </c>
      <c r="AI348" s="640">
        <v>0</v>
      </c>
      <c r="AJ348" s="640">
        <v>0</v>
      </c>
      <c r="AK348" s="648">
        <v>0</v>
      </c>
    </row>
    <row r="349" spans="3:37" x14ac:dyDescent="0.2">
      <c r="C349" s="646" t="s">
        <v>72</v>
      </c>
      <c r="D349" s="640">
        <v>0</v>
      </c>
      <c r="E349" s="640">
        <v>481.48200000000003</v>
      </c>
      <c r="F349" s="640">
        <v>-476.66718000000003</v>
      </c>
      <c r="G349" s="640">
        <v>0</v>
      </c>
      <c r="H349" s="640">
        <v>0</v>
      </c>
      <c r="I349" s="640">
        <v>0</v>
      </c>
      <c r="J349" s="640">
        <v>0</v>
      </c>
      <c r="K349" s="640">
        <v>0</v>
      </c>
      <c r="L349" s="640">
        <v>0</v>
      </c>
      <c r="M349" s="640">
        <v>0</v>
      </c>
      <c r="N349" s="640">
        <v>0</v>
      </c>
      <c r="O349" s="640">
        <v>0</v>
      </c>
      <c r="P349" s="640">
        <v>0</v>
      </c>
      <c r="Q349" s="640">
        <v>0</v>
      </c>
      <c r="R349" s="640">
        <v>0</v>
      </c>
      <c r="S349" s="648">
        <v>4.8148199999999974</v>
      </c>
      <c r="U349" s="646" t="s">
        <v>72</v>
      </c>
      <c r="V349" s="640">
        <v>0</v>
      </c>
      <c r="W349" s="640">
        <v>117.67676767676768</v>
      </c>
      <c r="X349" s="640">
        <v>-116.5</v>
      </c>
      <c r="Y349" s="640">
        <v>0</v>
      </c>
      <c r="Z349" s="640">
        <v>0</v>
      </c>
      <c r="AA349" s="640">
        <v>0</v>
      </c>
      <c r="AB349" s="640">
        <v>0</v>
      </c>
      <c r="AC349" s="640">
        <v>0</v>
      </c>
      <c r="AD349" s="640">
        <v>0</v>
      </c>
      <c r="AE349" s="640">
        <v>0</v>
      </c>
      <c r="AF349" s="640">
        <v>0</v>
      </c>
      <c r="AG349" s="640">
        <v>0</v>
      </c>
      <c r="AH349" s="640">
        <v>0</v>
      </c>
      <c r="AI349" s="640">
        <v>0</v>
      </c>
      <c r="AJ349" s="640">
        <v>0</v>
      </c>
      <c r="AK349" s="648">
        <v>1.1767676767676818</v>
      </c>
    </row>
    <row r="350" spans="3:37" x14ac:dyDescent="0.2">
      <c r="C350" s="646" t="s">
        <v>351</v>
      </c>
      <c r="D350" s="640">
        <v>0</v>
      </c>
      <c r="E350" s="640">
        <v>0</v>
      </c>
      <c r="F350" s="640">
        <v>0</v>
      </c>
      <c r="G350" s="640">
        <v>0</v>
      </c>
      <c r="H350" s="640">
        <v>0</v>
      </c>
      <c r="I350" s="640">
        <v>0</v>
      </c>
      <c r="J350" s="640">
        <v>26.125483595276659</v>
      </c>
      <c r="K350" s="640">
        <v>0</v>
      </c>
      <c r="L350" s="640">
        <v>-26.125483595276659</v>
      </c>
      <c r="M350" s="640">
        <v>0</v>
      </c>
      <c r="N350" s="640">
        <v>0</v>
      </c>
      <c r="O350" s="640">
        <v>0</v>
      </c>
      <c r="P350" s="640">
        <v>0</v>
      </c>
      <c r="Q350" s="640">
        <v>0</v>
      </c>
      <c r="R350" s="640">
        <v>0</v>
      </c>
      <c r="S350" s="648">
        <v>0</v>
      </c>
      <c r="U350" s="646" t="s">
        <v>351</v>
      </c>
      <c r="V350" s="640">
        <v>0</v>
      </c>
      <c r="W350" s="640">
        <v>0</v>
      </c>
      <c r="X350" s="640">
        <v>0</v>
      </c>
      <c r="Y350" s="640">
        <v>0</v>
      </c>
      <c r="Z350" s="640">
        <v>0</v>
      </c>
      <c r="AA350" s="640">
        <v>0</v>
      </c>
      <c r="AB350" s="640" t="e">
        <v>#VALUE!</v>
      </c>
      <c r="AC350" s="640">
        <v>0</v>
      </c>
      <c r="AD350" s="640">
        <v>-100.69655001825291</v>
      </c>
      <c r="AE350" s="640">
        <v>0</v>
      </c>
      <c r="AF350" s="640">
        <v>0</v>
      </c>
      <c r="AG350" s="640">
        <v>0</v>
      </c>
      <c r="AH350" s="640">
        <v>0</v>
      </c>
      <c r="AI350" s="640">
        <v>0</v>
      </c>
      <c r="AJ350" s="640">
        <v>0</v>
      </c>
      <c r="AK350" s="648">
        <v>-100.69655001825291</v>
      </c>
    </row>
    <row r="351" spans="3:37" x14ac:dyDescent="0.2">
      <c r="C351" s="646" t="s">
        <v>352</v>
      </c>
      <c r="D351" s="640">
        <v>0</v>
      </c>
      <c r="E351" s="640">
        <v>0</v>
      </c>
      <c r="F351" s="640">
        <v>0</v>
      </c>
      <c r="G351" s="640">
        <v>0</v>
      </c>
      <c r="H351" s="640">
        <v>0</v>
      </c>
      <c r="I351" s="640">
        <v>0</v>
      </c>
      <c r="J351" s="640">
        <v>0</v>
      </c>
      <c r="K351" s="640">
        <v>0</v>
      </c>
      <c r="L351" s="640">
        <v>0</v>
      </c>
      <c r="M351" s="640">
        <v>0</v>
      </c>
      <c r="N351" s="640">
        <v>0</v>
      </c>
      <c r="O351" s="640">
        <v>0</v>
      </c>
      <c r="P351" s="640">
        <v>0</v>
      </c>
      <c r="Q351" s="640">
        <v>0</v>
      </c>
      <c r="R351" s="640">
        <v>0</v>
      </c>
      <c r="S351" s="648">
        <v>0</v>
      </c>
      <c r="U351" s="646" t="s">
        <v>352</v>
      </c>
      <c r="V351" s="640">
        <v>0</v>
      </c>
      <c r="W351" s="640">
        <v>0</v>
      </c>
      <c r="X351" s="640">
        <v>0</v>
      </c>
      <c r="Y351" s="640">
        <v>0</v>
      </c>
      <c r="Z351" s="640">
        <v>0</v>
      </c>
      <c r="AA351" s="640">
        <v>0</v>
      </c>
      <c r="AB351" s="640">
        <v>0</v>
      </c>
      <c r="AC351" s="640">
        <v>0</v>
      </c>
      <c r="AD351" s="640">
        <v>-28.460377640694865</v>
      </c>
      <c r="AE351" s="640">
        <v>0</v>
      </c>
      <c r="AF351" s="640">
        <v>0</v>
      </c>
      <c r="AG351" s="640">
        <v>0</v>
      </c>
      <c r="AH351" s="640">
        <v>0</v>
      </c>
      <c r="AI351" s="640">
        <v>0</v>
      </c>
      <c r="AJ351" s="640">
        <v>0</v>
      </c>
      <c r="AK351" s="648">
        <v>-28.460377640694865</v>
      </c>
    </row>
    <row r="352" spans="3:37" x14ac:dyDescent="0.2">
      <c r="C352" s="646" t="s">
        <v>73</v>
      </c>
      <c r="D352" s="640">
        <v>0</v>
      </c>
      <c r="E352" s="640">
        <v>0</v>
      </c>
      <c r="F352" s="640">
        <v>0</v>
      </c>
      <c r="G352" s="640">
        <v>8.6128889644156494</v>
      </c>
      <c r="H352" s="640">
        <v>0</v>
      </c>
      <c r="I352" s="640">
        <v>0</v>
      </c>
      <c r="J352" s="640">
        <v>0</v>
      </c>
      <c r="K352" s="640">
        <v>0.10101910584583218</v>
      </c>
      <c r="L352" s="640">
        <v>0</v>
      </c>
      <c r="M352" s="640">
        <v>0.17577324417174797</v>
      </c>
      <c r="N352" s="640">
        <v>0</v>
      </c>
      <c r="O352" s="640">
        <v>0</v>
      </c>
      <c r="P352" s="640">
        <v>1.1785562348680418</v>
      </c>
      <c r="Q352" s="640">
        <v>0</v>
      </c>
      <c r="R352" s="640">
        <v>-7.071337409208251</v>
      </c>
      <c r="S352" s="648">
        <v>2.99690014009302</v>
      </c>
      <c r="U352" s="646" t="s">
        <v>73</v>
      </c>
      <c r="V352" s="640">
        <v>0</v>
      </c>
      <c r="W352" s="640">
        <v>0</v>
      </c>
      <c r="X352" s="640">
        <v>0</v>
      </c>
      <c r="Y352" s="640">
        <v>0</v>
      </c>
      <c r="Z352" s="640">
        <v>0</v>
      </c>
      <c r="AA352" s="640">
        <v>0</v>
      </c>
      <c r="AB352" s="640">
        <v>0</v>
      </c>
      <c r="AC352" s="640">
        <v>0.58294529496624936</v>
      </c>
      <c r="AD352" s="640">
        <v>0</v>
      </c>
      <c r="AE352" s="640">
        <v>0</v>
      </c>
      <c r="AF352" s="640">
        <v>0</v>
      </c>
      <c r="AG352" s="640">
        <v>0</v>
      </c>
      <c r="AH352" s="640">
        <v>56.108484640501494</v>
      </c>
      <c r="AI352" s="640">
        <v>0</v>
      </c>
      <c r="AJ352" s="640">
        <v>-40.806170647637451</v>
      </c>
      <c r="AK352" s="648">
        <v>15.885259287830294</v>
      </c>
    </row>
    <row r="353" spans="3:37" x14ac:dyDescent="0.2">
      <c r="C353" s="646" t="s">
        <v>353</v>
      </c>
      <c r="D353" s="640">
        <v>28.51179328125</v>
      </c>
      <c r="E353" s="640">
        <v>-16.683351300000002</v>
      </c>
      <c r="F353" s="640">
        <v>21.820838094867195</v>
      </c>
      <c r="G353" s="640">
        <v>0</v>
      </c>
      <c r="H353" s="640">
        <v>0</v>
      </c>
      <c r="I353" s="640">
        <v>0</v>
      </c>
      <c r="J353" s="640">
        <v>0</v>
      </c>
      <c r="K353" s="640">
        <v>0</v>
      </c>
      <c r="L353" s="640">
        <v>0</v>
      </c>
      <c r="M353" s="640">
        <v>0</v>
      </c>
      <c r="N353" s="640">
        <v>0</v>
      </c>
      <c r="O353" s="640">
        <v>0</v>
      </c>
      <c r="P353" s="640">
        <v>0</v>
      </c>
      <c r="Q353" s="640">
        <v>0</v>
      </c>
      <c r="R353" s="640">
        <v>0</v>
      </c>
      <c r="S353" s="648">
        <v>33.649280076117194</v>
      </c>
      <c r="U353" s="646" t="s">
        <v>353</v>
      </c>
      <c r="V353" s="640">
        <v>0.72303211975097659</v>
      </c>
      <c r="W353" s="640">
        <v>-4.0775000000000006</v>
      </c>
      <c r="X353" s="640">
        <v>5.333129161634389</v>
      </c>
      <c r="Y353" s="640">
        <v>0</v>
      </c>
      <c r="Z353" s="640">
        <v>0</v>
      </c>
      <c r="AA353" s="640">
        <v>0</v>
      </c>
      <c r="AB353" s="640">
        <v>0</v>
      </c>
      <c r="AC353" s="640">
        <v>0</v>
      </c>
      <c r="AD353" s="640">
        <v>0</v>
      </c>
      <c r="AE353" s="640">
        <v>0</v>
      </c>
      <c r="AF353" s="640">
        <v>0</v>
      </c>
      <c r="AG353" s="640">
        <v>0</v>
      </c>
      <c r="AH353" s="640">
        <v>0</v>
      </c>
      <c r="AI353" s="640">
        <v>0</v>
      </c>
      <c r="AJ353" s="640">
        <v>0</v>
      </c>
      <c r="AK353" s="648">
        <v>1.978661281385365</v>
      </c>
    </row>
    <row r="354" spans="3:37" x14ac:dyDescent="0.2">
      <c r="C354" s="646" t="s">
        <v>75</v>
      </c>
      <c r="D354" s="640">
        <v>11.087919609375001</v>
      </c>
      <c r="E354" s="640">
        <v>0</v>
      </c>
      <c r="F354" s="640">
        <v>16.370388000000002</v>
      </c>
      <c r="G354" s="640">
        <v>4.6713383640000004</v>
      </c>
      <c r="H354" s="640">
        <v>0</v>
      </c>
      <c r="I354" s="640">
        <v>0</v>
      </c>
      <c r="J354" s="640">
        <v>0</v>
      </c>
      <c r="K354" s="640">
        <v>0</v>
      </c>
      <c r="L354" s="640">
        <v>0</v>
      </c>
      <c r="M354" s="640">
        <v>9.5333436000000008E-2</v>
      </c>
      <c r="N354" s="640">
        <v>0</v>
      </c>
      <c r="O354" s="640">
        <v>0</v>
      </c>
      <c r="P354" s="640">
        <v>26.129145836866744</v>
      </c>
      <c r="Q354" s="640">
        <v>0</v>
      </c>
      <c r="R354" s="640">
        <v>0</v>
      </c>
      <c r="S354" s="648">
        <v>58.35412524624175</v>
      </c>
      <c r="U354" s="646" t="s">
        <v>75</v>
      </c>
      <c r="V354" s="640">
        <v>1.73775830078125</v>
      </c>
      <c r="W354" s="640">
        <v>0</v>
      </c>
      <c r="X354" s="640">
        <v>16.370388000000002</v>
      </c>
      <c r="Y354" s="640">
        <v>0</v>
      </c>
      <c r="Z354" s="640">
        <v>0</v>
      </c>
      <c r="AA354" s="640">
        <v>0</v>
      </c>
      <c r="AB354" s="640">
        <v>0</v>
      </c>
      <c r="AC354" s="640">
        <v>0</v>
      </c>
      <c r="AD354" s="640">
        <v>0</v>
      </c>
      <c r="AE354" s="640">
        <v>4.7666718000000001</v>
      </c>
      <c r="AF354" s="640">
        <v>0</v>
      </c>
      <c r="AG354" s="640">
        <v>0</v>
      </c>
      <c r="AH354" s="640">
        <v>36.696565665655768</v>
      </c>
      <c r="AI354" s="640">
        <v>0</v>
      </c>
      <c r="AJ354" s="640">
        <v>0</v>
      </c>
      <c r="AK354" s="648">
        <v>59.571383766437016</v>
      </c>
    </row>
    <row r="355" spans="3:37" x14ac:dyDescent="0.2">
      <c r="C355" s="646" t="s">
        <v>76</v>
      </c>
      <c r="D355" s="640">
        <v>0</v>
      </c>
      <c r="E355" s="640">
        <v>0</v>
      </c>
      <c r="F355" s="640">
        <v>0</v>
      </c>
      <c r="G355" s="640">
        <v>3.9646717348100942</v>
      </c>
      <c r="H355" s="640">
        <v>0</v>
      </c>
      <c r="I355" s="640">
        <v>0</v>
      </c>
      <c r="J355" s="640">
        <v>0</v>
      </c>
      <c r="K355" s="640">
        <v>0</v>
      </c>
      <c r="L355" s="640">
        <v>0</v>
      </c>
      <c r="M355" s="640">
        <v>8.0911668057348868E-2</v>
      </c>
      <c r="N355" s="640">
        <v>0</v>
      </c>
      <c r="O355" s="640">
        <v>0</v>
      </c>
      <c r="P355" s="640">
        <v>47.131742012269626</v>
      </c>
      <c r="Q355" s="640">
        <v>2.9238621334994321</v>
      </c>
      <c r="R355" s="640">
        <v>0</v>
      </c>
      <c r="S355" s="648">
        <v>54.101187548636503</v>
      </c>
      <c r="U355" s="646" t="s">
        <v>76</v>
      </c>
      <c r="V355" s="640">
        <v>0</v>
      </c>
      <c r="W355" s="640">
        <v>0</v>
      </c>
      <c r="X355" s="640">
        <v>0</v>
      </c>
      <c r="Y355" s="640">
        <v>0</v>
      </c>
      <c r="Z355" s="640">
        <v>0</v>
      </c>
      <c r="AA355" s="640">
        <v>0</v>
      </c>
      <c r="AB355" s="640">
        <v>0</v>
      </c>
      <c r="AC355" s="640">
        <v>0</v>
      </c>
      <c r="AD355" s="640">
        <v>0</v>
      </c>
      <c r="AE355" s="640">
        <v>1.5605996097297452</v>
      </c>
      <c r="AF355" s="640">
        <v>0</v>
      </c>
      <c r="AG355" s="640">
        <v>0</v>
      </c>
      <c r="AH355" s="640">
        <v>50.104610120731024</v>
      </c>
      <c r="AI355" s="640">
        <v>5.7529608775183565</v>
      </c>
      <c r="AJ355" s="640">
        <v>0</v>
      </c>
      <c r="AK355" s="648">
        <v>57.418170607979121</v>
      </c>
    </row>
    <row r="356" spans="3:37" x14ac:dyDescent="0.2">
      <c r="C356" s="644" t="s">
        <v>77</v>
      </c>
      <c r="D356" s="645">
        <v>42.426498531650253</v>
      </c>
      <c r="E356" s="645">
        <v>464.7986487</v>
      </c>
      <c r="F356" s="645">
        <v>-430.41604332203127</v>
      </c>
      <c r="G356" s="645">
        <v>78.562753779962591</v>
      </c>
      <c r="H356" s="645">
        <v>727.27272727272737</v>
      </c>
      <c r="I356" s="645">
        <v>338.37995078139568</v>
      </c>
      <c r="J356" s="645">
        <v>73.88609899973514</v>
      </c>
      <c r="K356" s="645">
        <v>18.1608189391454</v>
      </c>
      <c r="L356" s="645">
        <v>-22.392588528868568</v>
      </c>
      <c r="M356" s="645">
        <v>-5.0780082691828765</v>
      </c>
      <c r="N356" s="645">
        <v>0</v>
      </c>
      <c r="O356" s="645">
        <v>9.6533137639592894</v>
      </c>
      <c r="P356" s="645">
        <v>-554.70570793017112</v>
      </c>
      <c r="Q356" s="645">
        <v>-34.744016552062419</v>
      </c>
      <c r="R356" s="645">
        <v>-7.071337409208251</v>
      </c>
      <c r="S356" s="645">
        <v>698.73310875705101</v>
      </c>
      <c r="U356" s="644" t="s">
        <v>77</v>
      </c>
      <c r="V356" s="645">
        <v>3.0871053259909167</v>
      </c>
      <c r="W356" s="645">
        <v>113.59926767676768</v>
      </c>
      <c r="X356" s="645">
        <v>-90.60020861890041</v>
      </c>
      <c r="Y356" s="645">
        <v>0</v>
      </c>
      <c r="Z356" s="645">
        <v>764.84848484848499</v>
      </c>
      <c r="AA356" s="645">
        <v>423.19995078139567</v>
      </c>
      <c r="AB356" s="645">
        <v>188.81392594880614</v>
      </c>
      <c r="AC356" s="645">
        <v>31.963595882852758</v>
      </c>
      <c r="AD356" s="645">
        <v>-125.42403259253969</v>
      </c>
      <c r="AE356" s="645">
        <v>-113.87891972722609</v>
      </c>
      <c r="AF356" s="645">
        <v>0</v>
      </c>
      <c r="AG356" s="645">
        <v>21.687841193420969</v>
      </c>
      <c r="AH356" s="645">
        <v>-553.86752452670385</v>
      </c>
      <c r="AI356" s="645">
        <v>-68.423763504668656</v>
      </c>
      <c r="AJ356" s="645">
        <v>-37.056170647637451</v>
      </c>
      <c r="AK356" s="645">
        <v>557.94955204004305</v>
      </c>
    </row>
    <row r="357" spans="3:37" x14ac:dyDescent="0.2">
      <c r="C357" s="634"/>
      <c r="D357" s="634">
        <v>0</v>
      </c>
      <c r="E357" s="634">
        <v>0</v>
      </c>
      <c r="F357" s="634">
        <v>0</v>
      </c>
      <c r="G357" s="634">
        <v>0</v>
      </c>
      <c r="H357" s="634">
        <v>0</v>
      </c>
      <c r="I357" s="634">
        <v>0</v>
      </c>
      <c r="J357" s="634">
        <v>0</v>
      </c>
      <c r="K357" s="634">
        <v>0</v>
      </c>
      <c r="L357" s="634">
        <v>0</v>
      </c>
      <c r="M357" s="634">
        <v>0</v>
      </c>
      <c r="N357" s="634">
        <v>0</v>
      </c>
      <c r="O357" s="634">
        <v>0</v>
      </c>
      <c r="P357" s="634">
        <v>0</v>
      </c>
      <c r="Q357" s="634">
        <v>0</v>
      </c>
      <c r="R357" s="634">
        <v>0</v>
      </c>
      <c r="S357" s="634">
        <v>0</v>
      </c>
      <c r="U357" s="634"/>
      <c r="V357" s="634">
        <v>0</v>
      </c>
      <c r="W357" s="634">
        <v>0</v>
      </c>
      <c r="X357" s="634">
        <v>0</v>
      </c>
      <c r="Y357" s="634">
        <v>0</v>
      </c>
      <c r="Z357" s="634">
        <v>0</v>
      </c>
      <c r="AA357" s="634">
        <v>0</v>
      </c>
      <c r="AB357" s="634">
        <v>0</v>
      </c>
      <c r="AC357" s="634">
        <v>0</v>
      </c>
      <c r="AD357" s="634">
        <v>0</v>
      </c>
      <c r="AE357" s="634">
        <v>0</v>
      </c>
      <c r="AF357" s="634">
        <v>0</v>
      </c>
      <c r="AG357" s="634">
        <v>0</v>
      </c>
      <c r="AH357" s="634">
        <v>0</v>
      </c>
      <c r="AI357" s="634">
        <v>0</v>
      </c>
      <c r="AJ357" s="634">
        <v>0</v>
      </c>
      <c r="AK357" s="634">
        <v>0</v>
      </c>
    </row>
    <row r="358" spans="3:37" x14ac:dyDescent="0.2">
      <c r="C358" s="646" t="s">
        <v>78</v>
      </c>
      <c r="D358" s="640">
        <v>3.6733927919712848</v>
      </c>
      <c r="E358" s="640">
        <v>0</v>
      </c>
      <c r="F358" s="640">
        <v>19.397200033553816</v>
      </c>
      <c r="G358" s="640">
        <v>91.130108310207916</v>
      </c>
      <c r="H358" s="640">
        <v>0</v>
      </c>
      <c r="I358" s="640">
        <v>0</v>
      </c>
      <c r="J358" s="640">
        <v>22.791437377983073</v>
      </c>
      <c r="K358" s="640">
        <v>1.7013098714668424</v>
      </c>
      <c r="L358" s="640">
        <v>1.007010953125</v>
      </c>
      <c r="M358" s="640">
        <v>1.8779931367345493</v>
      </c>
      <c r="N358" s="640">
        <v>0</v>
      </c>
      <c r="O358" s="640">
        <v>3.7093504340600874E-4</v>
      </c>
      <c r="P358" s="640">
        <v>114.54790196708234</v>
      </c>
      <c r="Q358" s="640">
        <v>16.21056036467343</v>
      </c>
      <c r="R358" s="640">
        <v>0.23655174255371095</v>
      </c>
      <c r="S358" s="648">
        <v>272.57383748439537</v>
      </c>
      <c r="U358" s="646" t="s">
        <v>78</v>
      </c>
      <c r="V358" s="640">
        <v>1.5000162600463405</v>
      </c>
      <c r="W358" s="640">
        <v>0</v>
      </c>
      <c r="X358" s="640">
        <v>0.65820239923796242</v>
      </c>
      <c r="Y358" s="640">
        <v>0</v>
      </c>
      <c r="Z358" s="640">
        <v>0</v>
      </c>
      <c r="AA358" s="640">
        <v>0</v>
      </c>
      <c r="AB358" s="640">
        <v>14.22856522114639</v>
      </c>
      <c r="AC358" s="640">
        <v>4.1194716696050602</v>
      </c>
      <c r="AD358" s="640">
        <v>8.3494072265624997</v>
      </c>
      <c r="AE358" s="640">
        <v>60.539358802903692</v>
      </c>
      <c r="AF358" s="640">
        <v>0</v>
      </c>
      <c r="AG358" s="640">
        <v>3.7093504340600874E-4</v>
      </c>
      <c r="AH358" s="640">
        <v>157.01971492382648</v>
      </c>
      <c r="AI358" s="640">
        <v>25.540840498351418</v>
      </c>
      <c r="AJ358" s="640">
        <v>8.9542294921874994</v>
      </c>
      <c r="AK358" s="648">
        <v>280.91017742891074</v>
      </c>
    </row>
    <row r="359" spans="3:37" x14ac:dyDescent="0.2">
      <c r="C359" s="646" t="s">
        <v>79</v>
      </c>
      <c r="D359" s="640">
        <v>0</v>
      </c>
      <c r="E359" s="640">
        <v>0</v>
      </c>
      <c r="F359" s="640">
        <v>216.8751541495462</v>
      </c>
      <c r="G359" s="640">
        <v>32.745585882615877</v>
      </c>
      <c r="H359" s="640">
        <v>0</v>
      </c>
      <c r="I359" s="640">
        <v>0</v>
      </c>
      <c r="J359" s="640">
        <v>0</v>
      </c>
      <c r="K359" s="640">
        <v>0</v>
      </c>
      <c r="L359" s="640">
        <v>20.896591906701669</v>
      </c>
      <c r="M359" s="640">
        <v>0.66827726291052814</v>
      </c>
      <c r="N359" s="640">
        <v>0</v>
      </c>
      <c r="O359" s="640">
        <v>0</v>
      </c>
      <c r="P359" s="640">
        <v>80.819270278256823</v>
      </c>
      <c r="Q359" s="640">
        <v>0</v>
      </c>
      <c r="R359" s="640">
        <v>2.9193508940431485</v>
      </c>
      <c r="S359" s="648">
        <v>354.92423037407423</v>
      </c>
      <c r="U359" s="646" t="s">
        <v>79</v>
      </c>
      <c r="V359" s="640">
        <v>0</v>
      </c>
      <c r="W359" s="640">
        <v>0</v>
      </c>
      <c r="X359" s="640">
        <v>8.8339079607242379</v>
      </c>
      <c r="Y359" s="640">
        <v>0</v>
      </c>
      <c r="Z359" s="640">
        <v>0</v>
      </c>
      <c r="AA359" s="640">
        <v>0</v>
      </c>
      <c r="AB359" s="640">
        <v>0</v>
      </c>
      <c r="AC359" s="640">
        <v>0</v>
      </c>
      <c r="AD359" s="640">
        <v>12.788272739607951</v>
      </c>
      <c r="AE359" s="640">
        <v>24.887279738493259</v>
      </c>
      <c r="AF359" s="640">
        <v>0</v>
      </c>
      <c r="AG359" s="640">
        <v>0</v>
      </c>
      <c r="AH359" s="640">
        <v>93.844452584108197</v>
      </c>
      <c r="AI359" s="640">
        <v>0</v>
      </c>
      <c r="AJ359" s="640">
        <v>7.1149935986121697</v>
      </c>
      <c r="AK359" s="648">
        <v>147.46890662154581</v>
      </c>
    </row>
    <row r="360" spans="3:37" x14ac:dyDescent="0.2">
      <c r="C360" s="646" t="s">
        <v>80</v>
      </c>
      <c r="D360" s="640">
        <v>0</v>
      </c>
      <c r="E360" s="640">
        <v>0</v>
      </c>
      <c r="F360" s="640">
        <v>5.2094674308398901</v>
      </c>
      <c r="G360" s="640">
        <v>68.551385920257417</v>
      </c>
      <c r="H360" s="640">
        <v>0</v>
      </c>
      <c r="I360" s="640">
        <v>0</v>
      </c>
      <c r="J360" s="640">
        <v>86.155325304334795</v>
      </c>
      <c r="K360" s="640">
        <v>0</v>
      </c>
      <c r="L360" s="640">
        <v>0</v>
      </c>
      <c r="M360" s="640">
        <v>1.3990078759236206</v>
      </c>
      <c r="N360" s="640">
        <v>66.478227859390046</v>
      </c>
      <c r="O360" s="640">
        <v>2.1206229173139883</v>
      </c>
      <c r="P360" s="640">
        <v>194.47767196350526</v>
      </c>
      <c r="Q360" s="640">
        <v>15.182773802844931</v>
      </c>
      <c r="R360" s="640">
        <v>0</v>
      </c>
      <c r="S360" s="648">
        <v>439.5744830744099</v>
      </c>
      <c r="U360" s="646" t="s">
        <v>80</v>
      </c>
      <c r="V360" s="640">
        <v>0</v>
      </c>
      <c r="W360" s="640">
        <v>0</v>
      </c>
      <c r="X360" s="640">
        <v>0.92826525658471626</v>
      </c>
      <c r="Y360" s="640">
        <v>0</v>
      </c>
      <c r="Z360" s="640">
        <v>0</v>
      </c>
      <c r="AA360" s="640">
        <v>0</v>
      </c>
      <c r="AB360" s="640">
        <v>47.227858114444189</v>
      </c>
      <c r="AC360" s="640">
        <v>0</v>
      </c>
      <c r="AD360" s="640">
        <v>0</v>
      </c>
      <c r="AE360" s="640">
        <v>17.293312779197663</v>
      </c>
      <c r="AF360" s="640">
        <v>108.09916343666818</v>
      </c>
      <c r="AG360" s="640">
        <v>4.9369795689122755</v>
      </c>
      <c r="AH360" s="640">
        <v>137.38519988829395</v>
      </c>
      <c r="AI360" s="640">
        <v>27.91071693101145</v>
      </c>
      <c r="AJ360" s="640">
        <v>0</v>
      </c>
      <c r="AK360" s="648">
        <v>343.78149597511242</v>
      </c>
    </row>
    <row r="361" spans="3:37" x14ac:dyDescent="0.2">
      <c r="C361" s="646" t="s">
        <v>81</v>
      </c>
      <c r="D361" s="640">
        <v>0</v>
      </c>
      <c r="E361" s="640">
        <v>0</v>
      </c>
      <c r="F361" s="640">
        <v>2.3181271880740835</v>
      </c>
      <c r="G361" s="640">
        <v>62.553452404821357</v>
      </c>
      <c r="H361" s="640">
        <v>0</v>
      </c>
      <c r="I361" s="640">
        <v>0</v>
      </c>
      <c r="J361" s="640">
        <v>3.0090868580403627</v>
      </c>
      <c r="K361" s="640">
        <v>2.5363417285398034E-2</v>
      </c>
      <c r="L361" s="640">
        <v>0</v>
      </c>
      <c r="M361" s="640">
        <v>1.27660106948615</v>
      </c>
      <c r="N361" s="640">
        <v>8.6055350400994808</v>
      </c>
      <c r="O361" s="640">
        <v>0.68093940948821108</v>
      </c>
      <c r="P361" s="640">
        <v>146.08879967332064</v>
      </c>
      <c r="Q361" s="640">
        <v>3.3506823845440552</v>
      </c>
      <c r="R361" s="640">
        <v>0</v>
      </c>
      <c r="S361" s="648">
        <v>227.90858744515972</v>
      </c>
      <c r="U361" s="646" t="s">
        <v>81</v>
      </c>
      <c r="V361" s="640">
        <v>0</v>
      </c>
      <c r="W361" s="640">
        <v>0</v>
      </c>
      <c r="X361" s="640">
        <v>0.55102356567889155</v>
      </c>
      <c r="Y361" s="640">
        <v>0</v>
      </c>
      <c r="Z361" s="640">
        <v>0</v>
      </c>
      <c r="AA361" s="640">
        <v>0</v>
      </c>
      <c r="AB361" s="640">
        <v>6.5361621549849476</v>
      </c>
      <c r="AC361" s="640">
        <v>2.5363417285398034E-2</v>
      </c>
      <c r="AD361" s="640">
        <v>0</v>
      </c>
      <c r="AE361" s="640">
        <v>5.3379988256415478</v>
      </c>
      <c r="AF361" s="640">
        <v>15.069021727073199</v>
      </c>
      <c r="AG361" s="640">
        <v>1.4375946320597892</v>
      </c>
      <c r="AH361" s="640">
        <v>112.31243747223964</v>
      </c>
      <c r="AI361" s="640">
        <v>14.972206075305797</v>
      </c>
      <c r="AJ361" s="640">
        <v>0</v>
      </c>
      <c r="AK361" s="648">
        <v>156.24180787026921</v>
      </c>
    </row>
    <row r="362" spans="3:37" x14ac:dyDescent="0.2">
      <c r="C362" s="646" t="s">
        <v>82</v>
      </c>
      <c r="D362" s="640">
        <v>0</v>
      </c>
      <c r="E362" s="640">
        <v>0</v>
      </c>
      <c r="F362" s="640">
        <v>27.219719362233906</v>
      </c>
      <c r="G362" s="640">
        <v>0.81069667111944488</v>
      </c>
      <c r="H362" s="640">
        <v>0</v>
      </c>
      <c r="I362" s="640">
        <v>0</v>
      </c>
      <c r="J362" s="640">
        <v>5.0054618408177598</v>
      </c>
      <c r="K362" s="640">
        <v>0</v>
      </c>
      <c r="L362" s="640">
        <v>3.2629555410385191</v>
      </c>
      <c r="M362" s="640">
        <v>1.6544830022845812E-2</v>
      </c>
      <c r="N362" s="640">
        <v>0</v>
      </c>
      <c r="O362" s="640">
        <v>6.051975379409523E-2</v>
      </c>
      <c r="P362" s="640">
        <v>5.5235547180923223</v>
      </c>
      <c r="Q362" s="640">
        <v>0</v>
      </c>
      <c r="R362" s="640">
        <v>0</v>
      </c>
      <c r="S362" s="648">
        <v>41.899452717118898</v>
      </c>
      <c r="U362" s="646" t="s">
        <v>82</v>
      </c>
      <c r="V362" s="640">
        <v>0</v>
      </c>
      <c r="W362" s="640">
        <v>0</v>
      </c>
      <c r="X362" s="640">
        <v>0.67158967449506357</v>
      </c>
      <c r="Y362" s="640">
        <v>0</v>
      </c>
      <c r="Z362" s="640">
        <v>0</v>
      </c>
      <c r="AA362" s="640">
        <v>0</v>
      </c>
      <c r="AB362" s="640">
        <v>5.0054618408177598</v>
      </c>
      <c r="AC362" s="640">
        <v>0</v>
      </c>
      <c r="AD362" s="640">
        <v>35.167200828266267</v>
      </c>
      <c r="AE362" s="640">
        <v>0.86765586771995196</v>
      </c>
      <c r="AF362" s="640">
        <v>0</v>
      </c>
      <c r="AG362" s="640">
        <v>2.1874070050904897</v>
      </c>
      <c r="AH362" s="640">
        <v>5.6657335511185538</v>
      </c>
      <c r="AI362" s="640">
        <v>0</v>
      </c>
      <c r="AJ362" s="640">
        <v>0.44339331184266689</v>
      </c>
      <c r="AK362" s="648">
        <v>50.008442079350758</v>
      </c>
    </row>
    <row r="363" spans="3:37" x14ac:dyDescent="0.2">
      <c r="C363" s="646" t="s">
        <v>354</v>
      </c>
      <c r="D363" s="640">
        <v>0</v>
      </c>
      <c r="E363" s="640">
        <v>0</v>
      </c>
      <c r="F363" s="640">
        <v>0</v>
      </c>
      <c r="G363" s="640">
        <v>0</v>
      </c>
      <c r="H363" s="640">
        <v>0</v>
      </c>
      <c r="I363" s="640">
        <v>0</v>
      </c>
      <c r="J363" s="640">
        <v>0</v>
      </c>
      <c r="K363" s="640">
        <v>0</v>
      </c>
      <c r="L363" s="640">
        <v>0</v>
      </c>
      <c r="M363" s="640">
        <v>0</v>
      </c>
      <c r="N363" s="640">
        <v>0</v>
      </c>
      <c r="O363" s="640">
        <v>0</v>
      </c>
      <c r="P363" s="640">
        <v>0.44999999999999996</v>
      </c>
      <c r="Q363" s="640">
        <v>0</v>
      </c>
      <c r="R363" s="640">
        <v>0</v>
      </c>
      <c r="S363" s="648">
        <v>0.44999999999999996</v>
      </c>
      <c r="U363" s="646" t="s">
        <v>354</v>
      </c>
      <c r="V363" s="640">
        <v>0</v>
      </c>
      <c r="W363" s="640">
        <v>0</v>
      </c>
      <c r="X363" s="640">
        <v>0</v>
      </c>
      <c r="Y363" s="640">
        <v>0</v>
      </c>
      <c r="Z363" s="640">
        <v>0</v>
      </c>
      <c r="AA363" s="640">
        <v>0</v>
      </c>
      <c r="AB363" s="640">
        <v>0</v>
      </c>
      <c r="AC363" s="640">
        <v>0</v>
      </c>
      <c r="AD363" s="640">
        <v>0</v>
      </c>
      <c r="AE363" s="640">
        <v>0</v>
      </c>
      <c r="AF363" s="640">
        <v>0</v>
      </c>
      <c r="AG363" s="640">
        <v>0</v>
      </c>
      <c r="AH363" s="640">
        <v>6</v>
      </c>
      <c r="AI363" s="640">
        <v>0</v>
      </c>
      <c r="AJ363" s="640">
        <v>0</v>
      </c>
      <c r="AK363" s="648">
        <v>6</v>
      </c>
    </row>
    <row r="364" spans="3:37" x14ac:dyDescent="0.2">
      <c r="C364" s="644" t="s">
        <v>83</v>
      </c>
      <c r="D364" s="645">
        <v>3.6733927919712848</v>
      </c>
      <c r="E364" s="645">
        <v>0</v>
      </c>
      <c r="F364" s="645">
        <v>271.01966816424783</v>
      </c>
      <c r="G364" s="645">
        <v>255.79122918902203</v>
      </c>
      <c r="H364" s="645">
        <v>0</v>
      </c>
      <c r="I364" s="645">
        <v>0</v>
      </c>
      <c r="J364" s="645">
        <v>116.96131138117599</v>
      </c>
      <c r="K364" s="645">
        <v>1.7266732887522405</v>
      </c>
      <c r="L364" s="645">
        <v>25.166558400865188</v>
      </c>
      <c r="M364" s="645">
        <v>5.238424175077693</v>
      </c>
      <c r="N364" s="645">
        <v>75.083762899489528</v>
      </c>
      <c r="O364" s="645">
        <v>2.8624530156397006</v>
      </c>
      <c r="P364" s="645">
        <v>541.90719860025752</v>
      </c>
      <c r="Q364" s="645">
        <v>34.744016552062419</v>
      </c>
      <c r="R364" s="645">
        <v>3.1559026365968594</v>
      </c>
      <c r="S364" s="645">
        <v>1337.3305910951583</v>
      </c>
      <c r="U364" s="644" t="s">
        <v>83</v>
      </c>
      <c r="V364" s="645">
        <v>1.5000162600463405</v>
      </c>
      <c r="W364" s="645">
        <v>0</v>
      </c>
      <c r="X364" s="645">
        <v>11.642988856720871</v>
      </c>
      <c r="Y364" s="645">
        <v>0</v>
      </c>
      <c r="Z364" s="645">
        <v>0</v>
      </c>
      <c r="AA364" s="645">
        <v>0</v>
      </c>
      <c r="AB364" s="645">
        <v>72.998047331393281</v>
      </c>
      <c r="AC364" s="645">
        <v>4.1448350868904589</v>
      </c>
      <c r="AD364" s="645">
        <v>56.30488079443672</v>
      </c>
      <c r="AE364" s="645">
        <v>108.92560601395611</v>
      </c>
      <c r="AF364" s="645">
        <v>123.16818516374138</v>
      </c>
      <c r="AG364" s="645">
        <v>8.5623521411059595</v>
      </c>
      <c r="AH364" s="645">
        <v>512.22753841958684</v>
      </c>
      <c r="AI364" s="645">
        <v>68.423763504668656</v>
      </c>
      <c r="AJ364" s="645">
        <v>16.512616402642333</v>
      </c>
      <c r="AK364" s="645">
        <v>984.4108299751889</v>
      </c>
    </row>
    <row r="365" spans="3:37" x14ac:dyDescent="0.2">
      <c r="C365" s="639" t="s">
        <v>84</v>
      </c>
      <c r="D365" s="640">
        <v>0</v>
      </c>
      <c r="E365" s="640">
        <v>0</v>
      </c>
      <c r="F365" s="640">
        <v>100.05515171814793</v>
      </c>
      <c r="G365" s="640">
        <v>11.196954266678716</v>
      </c>
      <c r="H365" s="640">
        <v>0</v>
      </c>
      <c r="I365" s="640">
        <v>0</v>
      </c>
      <c r="J365" s="640">
        <v>0</v>
      </c>
      <c r="K365" s="640">
        <v>0</v>
      </c>
      <c r="L365" s="640">
        <v>0</v>
      </c>
      <c r="M365" s="640">
        <v>0</v>
      </c>
      <c r="N365" s="640">
        <v>0</v>
      </c>
      <c r="O365" s="640">
        <v>0</v>
      </c>
      <c r="P365" s="640">
        <v>0</v>
      </c>
      <c r="Q365" s="640">
        <v>0</v>
      </c>
      <c r="R365" s="640">
        <v>3.9154347726113912</v>
      </c>
      <c r="S365" s="648">
        <v>115.16754075743803</v>
      </c>
      <c r="U365" s="639" t="s">
        <v>84</v>
      </c>
      <c r="V365" s="640">
        <v>0</v>
      </c>
      <c r="W365" s="640">
        <v>0</v>
      </c>
      <c r="X365" s="640">
        <v>57.953190468871433</v>
      </c>
      <c r="Y365" s="640">
        <v>0.51452681198611927</v>
      </c>
      <c r="Z365" s="640">
        <v>0</v>
      </c>
      <c r="AA365" s="640">
        <v>0</v>
      </c>
      <c r="AB365" s="640">
        <v>0</v>
      </c>
      <c r="AC365" s="640">
        <v>0</v>
      </c>
      <c r="AD365" s="640">
        <v>30.108432000732424</v>
      </c>
      <c r="AE365" s="640">
        <v>0</v>
      </c>
      <c r="AF365" s="640">
        <v>0</v>
      </c>
      <c r="AG365" s="640">
        <v>0</v>
      </c>
      <c r="AH365" s="640">
        <v>0</v>
      </c>
      <c r="AI365" s="640">
        <v>0</v>
      </c>
      <c r="AJ365" s="640">
        <v>20.543554244995118</v>
      </c>
      <c r="AK365" s="648">
        <v>109.1197035265851</v>
      </c>
    </row>
    <row r="366" spans="3:37" x14ac:dyDescent="0.2">
      <c r="C366" s="644" t="s">
        <v>85</v>
      </c>
      <c r="D366" s="645">
        <v>3.6733927919712848</v>
      </c>
      <c r="E366" s="645">
        <v>0</v>
      </c>
      <c r="F366" s="645">
        <v>371.07481988239573</v>
      </c>
      <c r="G366" s="645">
        <v>266.98818345570078</v>
      </c>
      <c r="H366" s="645">
        <v>0</v>
      </c>
      <c r="I366" s="645">
        <v>0</v>
      </c>
      <c r="J366" s="645">
        <v>116.96131138117599</v>
      </c>
      <c r="K366" s="645">
        <v>1.7266732887522405</v>
      </c>
      <c r="L366" s="645">
        <v>25.166558400865188</v>
      </c>
      <c r="M366" s="645">
        <v>5.238424175077693</v>
      </c>
      <c r="N366" s="645">
        <v>75.083762899489528</v>
      </c>
      <c r="O366" s="645">
        <v>2.8624530156397006</v>
      </c>
      <c r="P366" s="645">
        <v>541.90719860025752</v>
      </c>
      <c r="Q366" s="645">
        <v>34.744016552062419</v>
      </c>
      <c r="R366" s="645">
        <v>7.071337409208251</v>
      </c>
      <c r="S366" s="645">
        <v>1452.4981318525963</v>
      </c>
      <c r="U366" s="644" t="s">
        <v>85</v>
      </c>
      <c r="V366" s="645">
        <v>1.5000162600463405</v>
      </c>
      <c r="W366" s="645">
        <v>0</v>
      </c>
      <c r="X366" s="645">
        <v>69.596179325592303</v>
      </c>
      <c r="Y366" s="645">
        <v>0.51452681198611927</v>
      </c>
      <c r="Z366" s="645">
        <v>0</v>
      </c>
      <c r="AA366" s="645">
        <v>0</v>
      </c>
      <c r="AB366" s="645">
        <v>72.998047331393281</v>
      </c>
      <c r="AC366" s="645">
        <v>4.1448350868904589</v>
      </c>
      <c r="AD366" s="645">
        <v>86.413312795169148</v>
      </c>
      <c r="AE366" s="645">
        <v>108.92560601395611</v>
      </c>
      <c r="AF366" s="645">
        <v>123.16818516374138</v>
      </c>
      <c r="AG366" s="645">
        <v>8.5623521411059595</v>
      </c>
      <c r="AH366" s="645">
        <v>512.22753841958684</v>
      </c>
      <c r="AI366" s="645">
        <v>68.423763504668656</v>
      </c>
      <c r="AJ366" s="645">
        <v>37.056170647637451</v>
      </c>
      <c r="AK366" s="645">
        <v>1093.530533501774</v>
      </c>
    </row>
    <row r="367" spans="3:37" x14ac:dyDescent="0.2">
      <c r="C367" s="634"/>
      <c r="D367" s="634"/>
      <c r="E367" s="634"/>
      <c r="F367" s="634"/>
      <c r="G367" s="634"/>
      <c r="H367" s="634"/>
      <c r="I367" s="634"/>
      <c r="J367" s="634"/>
      <c r="K367" s="634"/>
      <c r="L367" s="634"/>
      <c r="M367" s="634"/>
      <c r="N367" s="634"/>
      <c r="O367" s="634"/>
      <c r="P367" s="634"/>
      <c r="Q367" s="634"/>
      <c r="R367" s="634"/>
      <c r="S367" s="634"/>
      <c r="U367" s="634"/>
      <c r="V367" s="634"/>
      <c r="W367" s="634"/>
      <c r="X367" s="634"/>
      <c r="Y367" s="634"/>
      <c r="Z367" s="634"/>
      <c r="AA367" s="634"/>
      <c r="AB367" s="634"/>
      <c r="AC367" s="634"/>
      <c r="AD367" s="634"/>
      <c r="AE367" s="634"/>
      <c r="AF367" s="634"/>
      <c r="AG367" s="634"/>
      <c r="AH367" s="634"/>
      <c r="AI367" s="634"/>
      <c r="AJ367" s="634"/>
      <c r="AK367" s="634"/>
    </row>
    <row r="368" spans="3:37" x14ac:dyDescent="0.2">
      <c r="C368" s="634"/>
      <c r="D368" s="634"/>
      <c r="E368" s="634"/>
      <c r="F368" s="634"/>
      <c r="G368" s="634"/>
      <c r="H368" s="634"/>
      <c r="I368" s="634"/>
      <c r="J368" s="634"/>
      <c r="K368" s="634"/>
      <c r="L368" s="634"/>
      <c r="M368" s="634"/>
      <c r="N368" s="634"/>
      <c r="O368" s="634"/>
      <c r="P368" s="634"/>
      <c r="Q368" s="634"/>
      <c r="R368" s="634"/>
      <c r="S368" s="634"/>
      <c r="U368" s="634"/>
      <c r="V368" s="634"/>
      <c r="W368" s="634"/>
      <c r="X368" s="634"/>
      <c r="Y368" s="634"/>
      <c r="Z368" s="634"/>
      <c r="AA368" s="634"/>
      <c r="AB368" s="634"/>
      <c r="AC368" s="634"/>
      <c r="AD368" s="634"/>
      <c r="AE368" s="634"/>
      <c r="AF368" s="634"/>
      <c r="AG368" s="634"/>
      <c r="AH368" s="634"/>
      <c r="AI368" s="634"/>
      <c r="AJ368" s="634"/>
      <c r="AK368" s="634"/>
    </row>
  </sheetData>
  <mergeCells count="262">
    <mergeCell ref="C2:S2"/>
    <mergeCell ref="U2:AK2"/>
    <mergeCell ref="C8:S8"/>
    <mergeCell ref="U8:AK8"/>
    <mergeCell ref="C10:C11"/>
    <mergeCell ref="D10:D11"/>
    <mergeCell ref="E10:E11"/>
    <mergeCell ref="F10:F11"/>
    <mergeCell ref="G10:G11"/>
    <mergeCell ref="H10:H11"/>
    <mergeCell ref="I10:I11"/>
    <mergeCell ref="J10:O10"/>
    <mergeCell ref="AH10:AH11"/>
    <mergeCell ref="AI10:AI11"/>
    <mergeCell ref="AJ10:AJ11"/>
    <mergeCell ref="AK10:AK11"/>
    <mergeCell ref="C44:S44"/>
    <mergeCell ref="U44:AK44"/>
    <mergeCell ref="W10:W11"/>
    <mergeCell ref="X10:X11"/>
    <mergeCell ref="Y10:Y11"/>
    <mergeCell ref="Z10:Z11"/>
    <mergeCell ref="AA10:AA11"/>
    <mergeCell ref="AB10:AG10"/>
    <mergeCell ref="P10:P11"/>
    <mergeCell ref="Q10:Q11"/>
    <mergeCell ref="R10:R11"/>
    <mergeCell ref="S10:S11"/>
    <mergeCell ref="U10:U11"/>
    <mergeCell ref="V10:V11"/>
    <mergeCell ref="I46:I47"/>
    <mergeCell ref="J46:O46"/>
    <mergeCell ref="P46:P47"/>
    <mergeCell ref="Q46:Q47"/>
    <mergeCell ref="R46:R47"/>
    <mergeCell ref="S46:S47"/>
    <mergeCell ref="C46:C47"/>
    <mergeCell ref="D46:D47"/>
    <mergeCell ref="E46:E47"/>
    <mergeCell ref="F46:F47"/>
    <mergeCell ref="G46:G47"/>
    <mergeCell ref="H46:H47"/>
    <mergeCell ref="AA46:AA47"/>
    <mergeCell ref="AB46:AG46"/>
    <mergeCell ref="AH46:AH47"/>
    <mergeCell ref="AI46:AI47"/>
    <mergeCell ref="AJ46:AJ47"/>
    <mergeCell ref="AK46:AK47"/>
    <mergeCell ref="U46:U47"/>
    <mergeCell ref="V46:V47"/>
    <mergeCell ref="W46:W47"/>
    <mergeCell ref="X46:X47"/>
    <mergeCell ref="Y46:Y47"/>
    <mergeCell ref="Z46:Z47"/>
    <mergeCell ref="C80:S80"/>
    <mergeCell ref="U80:AK80"/>
    <mergeCell ref="C82:C83"/>
    <mergeCell ref="D82:D83"/>
    <mergeCell ref="E82:E83"/>
    <mergeCell ref="F82:F83"/>
    <mergeCell ref="G82:G83"/>
    <mergeCell ref="H82:H83"/>
    <mergeCell ref="I82:I83"/>
    <mergeCell ref="J82:O82"/>
    <mergeCell ref="AH82:AH83"/>
    <mergeCell ref="AI82:AI83"/>
    <mergeCell ref="AJ82:AJ83"/>
    <mergeCell ref="AK82:AK83"/>
    <mergeCell ref="C116:S116"/>
    <mergeCell ref="U116:AK116"/>
    <mergeCell ref="W82:W83"/>
    <mergeCell ref="X82:X83"/>
    <mergeCell ref="Y82:Y83"/>
    <mergeCell ref="Z82:Z83"/>
    <mergeCell ref="AA82:AA83"/>
    <mergeCell ref="AB82:AG82"/>
    <mergeCell ref="P82:P83"/>
    <mergeCell ref="Q82:Q83"/>
    <mergeCell ref="R82:R83"/>
    <mergeCell ref="S82:S83"/>
    <mergeCell ref="U82:U83"/>
    <mergeCell ref="V82:V83"/>
    <mergeCell ref="I118:I119"/>
    <mergeCell ref="J118:O118"/>
    <mergeCell ref="P118:P119"/>
    <mergeCell ref="Q118:Q119"/>
    <mergeCell ref="R118:R119"/>
    <mergeCell ref="S118:S119"/>
    <mergeCell ref="C118:C119"/>
    <mergeCell ref="D118:D119"/>
    <mergeCell ref="E118:E119"/>
    <mergeCell ref="F118:F119"/>
    <mergeCell ref="G118:G119"/>
    <mergeCell ref="H118:H119"/>
    <mergeCell ref="AA118:AA119"/>
    <mergeCell ref="AB118:AG118"/>
    <mergeCell ref="AH118:AH119"/>
    <mergeCell ref="AI118:AI119"/>
    <mergeCell ref="AJ118:AJ119"/>
    <mergeCell ref="AK118:AK119"/>
    <mergeCell ref="U118:U119"/>
    <mergeCell ref="V118:V119"/>
    <mergeCell ref="W118:W119"/>
    <mergeCell ref="X118:X119"/>
    <mergeCell ref="Y118:Y119"/>
    <mergeCell ref="Z118:Z119"/>
    <mergeCell ref="C152:S152"/>
    <mergeCell ref="U152:AK152"/>
    <mergeCell ref="C154:C155"/>
    <mergeCell ref="D154:D155"/>
    <mergeCell ref="E154:E155"/>
    <mergeCell ref="F154:F155"/>
    <mergeCell ref="G154:G155"/>
    <mergeCell ref="H154:H155"/>
    <mergeCell ref="I154:I155"/>
    <mergeCell ref="J154:O154"/>
    <mergeCell ref="AH154:AH155"/>
    <mergeCell ref="AI154:AI155"/>
    <mergeCell ref="AJ154:AJ155"/>
    <mergeCell ref="AK154:AK155"/>
    <mergeCell ref="C188:S188"/>
    <mergeCell ref="U188:AK188"/>
    <mergeCell ref="W154:W155"/>
    <mergeCell ref="X154:X155"/>
    <mergeCell ref="Y154:Y155"/>
    <mergeCell ref="Z154:Z155"/>
    <mergeCell ref="AA154:AA155"/>
    <mergeCell ref="AB154:AG154"/>
    <mergeCell ref="P154:P155"/>
    <mergeCell ref="Q154:Q155"/>
    <mergeCell ref="R154:R155"/>
    <mergeCell ref="S154:S155"/>
    <mergeCell ref="U154:U155"/>
    <mergeCell ref="V154:V155"/>
    <mergeCell ref="I190:I191"/>
    <mergeCell ref="J190:O190"/>
    <mergeCell ref="P190:P191"/>
    <mergeCell ref="Q190:Q191"/>
    <mergeCell ref="R190:R191"/>
    <mergeCell ref="S190:S191"/>
    <mergeCell ref="C190:C191"/>
    <mergeCell ref="D190:D191"/>
    <mergeCell ref="E190:E191"/>
    <mergeCell ref="F190:F191"/>
    <mergeCell ref="G190:G191"/>
    <mergeCell ref="H190:H191"/>
    <mergeCell ref="AA190:AA191"/>
    <mergeCell ref="AB190:AG190"/>
    <mergeCell ref="AH190:AH191"/>
    <mergeCell ref="AI190:AI191"/>
    <mergeCell ref="AJ190:AJ191"/>
    <mergeCell ref="AK190:AK191"/>
    <mergeCell ref="U190:U191"/>
    <mergeCell ref="V190:V191"/>
    <mergeCell ref="W190:W191"/>
    <mergeCell ref="X190:X191"/>
    <mergeCell ref="Y190:Y191"/>
    <mergeCell ref="Z190:Z191"/>
    <mergeCell ref="C224:S224"/>
    <mergeCell ref="U224:AK224"/>
    <mergeCell ref="C226:C227"/>
    <mergeCell ref="D226:D227"/>
    <mergeCell ref="E226:E227"/>
    <mergeCell ref="F226:F227"/>
    <mergeCell ref="G226:G227"/>
    <mergeCell ref="H226:H227"/>
    <mergeCell ref="I226:I227"/>
    <mergeCell ref="J226:O226"/>
    <mergeCell ref="AH226:AH227"/>
    <mergeCell ref="AI226:AI227"/>
    <mergeCell ref="AJ226:AJ227"/>
    <mergeCell ref="AK226:AK227"/>
    <mergeCell ref="C260:S260"/>
    <mergeCell ref="U260:AK260"/>
    <mergeCell ref="W226:W227"/>
    <mergeCell ref="X226:X227"/>
    <mergeCell ref="Y226:Y227"/>
    <mergeCell ref="Z226:Z227"/>
    <mergeCell ref="AA226:AA227"/>
    <mergeCell ref="AB226:AG226"/>
    <mergeCell ref="P226:P227"/>
    <mergeCell ref="Q226:Q227"/>
    <mergeCell ref="R226:R227"/>
    <mergeCell ref="S226:S227"/>
    <mergeCell ref="U226:U227"/>
    <mergeCell ref="V226:V227"/>
    <mergeCell ref="I262:I263"/>
    <mergeCell ref="J262:O262"/>
    <mergeCell ref="P262:P263"/>
    <mergeCell ref="Q262:Q263"/>
    <mergeCell ref="R262:R263"/>
    <mergeCell ref="S262:S263"/>
    <mergeCell ref="C262:C263"/>
    <mergeCell ref="D262:D263"/>
    <mergeCell ref="E262:E263"/>
    <mergeCell ref="F262:F263"/>
    <mergeCell ref="G262:G263"/>
    <mergeCell ref="H262:H263"/>
    <mergeCell ref="AA262:AA263"/>
    <mergeCell ref="AB262:AG262"/>
    <mergeCell ref="AH262:AH263"/>
    <mergeCell ref="AI262:AI263"/>
    <mergeCell ref="AJ262:AJ263"/>
    <mergeCell ref="AK262:AK263"/>
    <mergeCell ref="U262:U263"/>
    <mergeCell ref="V262:V263"/>
    <mergeCell ref="W262:W263"/>
    <mergeCell ref="X262:X263"/>
    <mergeCell ref="Y262:Y263"/>
    <mergeCell ref="Z262:Z263"/>
    <mergeCell ref="C296:S296"/>
    <mergeCell ref="U296:AK296"/>
    <mergeCell ref="C298:C299"/>
    <mergeCell ref="D298:D299"/>
    <mergeCell ref="E298:E299"/>
    <mergeCell ref="F298:F299"/>
    <mergeCell ref="G298:G299"/>
    <mergeCell ref="H298:H299"/>
    <mergeCell ref="I298:I299"/>
    <mergeCell ref="J298:O298"/>
    <mergeCell ref="AH298:AH299"/>
    <mergeCell ref="AI298:AI299"/>
    <mergeCell ref="AJ298:AJ299"/>
    <mergeCell ref="AK298:AK299"/>
    <mergeCell ref="C332:S332"/>
    <mergeCell ref="U332:AK332"/>
    <mergeCell ref="W298:W299"/>
    <mergeCell ref="X298:X299"/>
    <mergeCell ref="Y298:Y299"/>
    <mergeCell ref="Z298:Z299"/>
    <mergeCell ref="AA298:AA299"/>
    <mergeCell ref="AB298:AG298"/>
    <mergeCell ref="P298:P299"/>
    <mergeCell ref="Q298:Q299"/>
    <mergeCell ref="R298:R299"/>
    <mergeCell ref="S298:S299"/>
    <mergeCell ref="U298:U299"/>
    <mergeCell ref="V298:V299"/>
    <mergeCell ref="I334:I335"/>
    <mergeCell ref="J334:O334"/>
    <mergeCell ref="P334:P335"/>
    <mergeCell ref="Q334:Q335"/>
    <mergeCell ref="R334:R335"/>
    <mergeCell ref="S334:S335"/>
    <mergeCell ref="C334:C335"/>
    <mergeCell ref="D334:D335"/>
    <mergeCell ref="E334:E335"/>
    <mergeCell ref="F334:F335"/>
    <mergeCell ref="G334:G335"/>
    <mergeCell ref="H334:H335"/>
    <mergeCell ref="AA334:AA335"/>
    <mergeCell ref="AB334:AG334"/>
    <mergeCell ref="AH334:AH335"/>
    <mergeCell ref="AI334:AI335"/>
    <mergeCell ref="AJ334:AJ335"/>
    <mergeCell ref="AK334:AK335"/>
    <mergeCell ref="U334:U335"/>
    <mergeCell ref="V334:V335"/>
    <mergeCell ref="W334:W335"/>
    <mergeCell ref="X334:X335"/>
    <mergeCell ref="Y334:Y335"/>
    <mergeCell ref="Z334:Z335"/>
  </mergeCells>
  <conditionalFormatting sqref="D12:S18">
    <cfRule type="expression" dxfId="2593" priority="989">
      <formula>LEN(TRIM(D12))=0</formula>
    </cfRule>
  </conditionalFormatting>
  <conditionalFormatting sqref="D20:S32">
    <cfRule type="expression" dxfId="2592" priority="966">
      <formula>LEN(TRIM(D20))=0</formula>
    </cfRule>
    <cfRule type="cellIs" dxfId="2591" priority="965" operator="equal">
      <formula>0</formula>
    </cfRule>
  </conditionalFormatting>
  <conditionalFormatting sqref="D34:S42">
    <cfRule type="cellIs" dxfId="2590" priority="953" operator="equal">
      <formula>0</formula>
    </cfRule>
    <cfRule type="expression" dxfId="2589" priority="954">
      <formula>LEN(TRIM(D34))=0</formula>
    </cfRule>
  </conditionalFormatting>
  <conditionalFormatting sqref="D48:S54">
    <cfRule type="expression" dxfId="2588" priority="948">
      <formula>LEN(TRIM(D48))=0</formula>
    </cfRule>
  </conditionalFormatting>
  <conditionalFormatting sqref="D56:S68">
    <cfRule type="expression" dxfId="2587" priority="925">
      <formula>LEN(TRIM(D56))=0</formula>
    </cfRule>
    <cfRule type="cellIs" dxfId="2586" priority="924" operator="equal">
      <formula>0</formula>
    </cfRule>
  </conditionalFormatting>
  <conditionalFormatting sqref="D70:S78">
    <cfRule type="expression" dxfId="2585" priority="913">
      <formula>LEN(TRIM(D70))=0</formula>
    </cfRule>
    <cfRule type="cellIs" dxfId="2584" priority="912" operator="equal">
      <formula>0</formula>
    </cfRule>
  </conditionalFormatting>
  <conditionalFormatting sqref="D84:S90">
    <cfRule type="expression" dxfId="2583" priority="907">
      <formula>LEN(TRIM(D84))=0</formula>
    </cfRule>
  </conditionalFormatting>
  <conditionalFormatting sqref="D92:S104">
    <cfRule type="expression" dxfId="2582" priority="884">
      <formula>LEN(TRIM(D92))=0</formula>
    </cfRule>
    <cfRule type="cellIs" dxfId="2581" priority="883" operator="equal">
      <formula>0</formula>
    </cfRule>
  </conditionalFormatting>
  <conditionalFormatting sqref="D106:S114">
    <cfRule type="expression" dxfId="2580" priority="872">
      <formula>LEN(TRIM(D106))=0</formula>
    </cfRule>
    <cfRule type="cellIs" dxfId="2579" priority="871" operator="equal">
      <formula>0</formula>
    </cfRule>
  </conditionalFormatting>
  <conditionalFormatting sqref="D120:S126">
    <cfRule type="expression" dxfId="2578" priority="866">
      <formula>LEN(TRIM(D120))=0</formula>
    </cfRule>
  </conditionalFormatting>
  <conditionalFormatting sqref="D128:S140">
    <cfRule type="expression" dxfId="2577" priority="843">
      <formula>LEN(TRIM(D128))=0</formula>
    </cfRule>
    <cfRule type="cellIs" dxfId="2576" priority="842" operator="equal">
      <formula>0</formula>
    </cfRule>
  </conditionalFormatting>
  <conditionalFormatting sqref="D142:S150">
    <cfRule type="cellIs" dxfId="2575" priority="830" operator="equal">
      <formula>0</formula>
    </cfRule>
    <cfRule type="expression" dxfId="2574" priority="831">
      <formula>LEN(TRIM(D142))=0</formula>
    </cfRule>
  </conditionalFormatting>
  <conditionalFormatting sqref="D156:S162">
    <cfRule type="expression" dxfId="2573" priority="825">
      <formula>LEN(TRIM(D156))=0</formula>
    </cfRule>
  </conditionalFormatting>
  <conditionalFormatting sqref="D164:S176">
    <cfRule type="expression" dxfId="2572" priority="802">
      <formula>LEN(TRIM(D164))=0</formula>
    </cfRule>
    <cfRule type="cellIs" dxfId="2571" priority="801" operator="equal">
      <formula>0</formula>
    </cfRule>
  </conditionalFormatting>
  <conditionalFormatting sqref="D178:S186">
    <cfRule type="expression" dxfId="2570" priority="790">
      <formula>LEN(TRIM(D178))=0</formula>
    </cfRule>
    <cfRule type="cellIs" dxfId="2569" priority="789" operator="equal">
      <formula>0</formula>
    </cfRule>
  </conditionalFormatting>
  <conditionalFormatting sqref="D192:S198">
    <cfRule type="expression" dxfId="2568" priority="784">
      <formula>LEN(TRIM(D192))=0</formula>
    </cfRule>
  </conditionalFormatting>
  <conditionalFormatting sqref="D200:S212">
    <cfRule type="cellIs" dxfId="2567" priority="760" operator="equal">
      <formula>0</formula>
    </cfRule>
    <cfRule type="expression" dxfId="2566" priority="761">
      <formula>LEN(TRIM(D200))=0</formula>
    </cfRule>
  </conditionalFormatting>
  <conditionalFormatting sqref="D214:S222">
    <cfRule type="cellIs" dxfId="2565" priority="748" operator="equal">
      <formula>0</formula>
    </cfRule>
    <cfRule type="expression" dxfId="2564" priority="749">
      <formula>LEN(TRIM(D214))=0</formula>
    </cfRule>
  </conditionalFormatting>
  <conditionalFormatting sqref="D228:S234">
    <cfRule type="expression" dxfId="2563" priority="743">
      <formula>LEN(TRIM(D228))=0</formula>
    </cfRule>
  </conditionalFormatting>
  <conditionalFormatting sqref="D236:S248">
    <cfRule type="cellIs" dxfId="2562" priority="719" operator="equal">
      <formula>0</formula>
    </cfRule>
    <cfRule type="expression" dxfId="2561" priority="720">
      <formula>LEN(TRIM(D236))=0</formula>
    </cfRule>
  </conditionalFormatting>
  <conditionalFormatting sqref="D250:S258">
    <cfRule type="cellIs" dxfId="2560" priority="707" operator="equal">
      <formula>0</formula>
    </cfRule>
    <cfRule type="expression" dxfId="2559" priority="708">
      <formula>LEN(TRIM(D250))=0</formula>
    </cfRule>
  </conditionalFormatting>
  <conditionalFormatting sqref="D264:S270">
    <cfRule type="expression" dxfId="2558" priority="702">
      <formula>LEN(TRIM(D264))=0</formula>
    </cfRule>
  </conditionalFormatting>
  <conditionalFormatting sqref="D272:S284">
    <cfRule type="cellIs" dxfId="2557" priority="678" operator="equal">
      <formula>0</formula>
    </cfRule>
    <cfRule type="expression" dxfId="2556" priority="679">
      <formula>LEN(TRIM(D272))=0</formula>
    </cfRule>
  </conditionalFormatting>
  <conditionalFormatting sqref="D286:S294">
    <cfRule type="cellIs" dxfId="2555" priority="666" operator="equal">
      <formula>0</formula>
    </cfRule>
    <cfRule type="expression" dxfId="2554" priority="667">
      <formula>LEN(TRIM(D286))=0</formula>
    </cfRule>
  </conditionalFormatting>
  <conditionalFormatting sqref="D300:S306">
    <cfRule type="expression" dxfId="2553" priority="661">
      <formula>LEN(TRIM(D300))=0</formula>
    </cfRule>
  </conditionalFormatting>
  <conditionalFormatting sqref="D308:S320">
    <cfRule type="cellIs" dxfId="2552" priority="637" operator="equal">
      <formula>0</formula>
    </cfRule>
    <cfRule type="expression" dxfId="2551" priority="638">
      <formula>LEN(TRIM(D308))=0</formula>
    </cfRule>
  </conditionalFormatting>
  <conditionalFormatting sqref="D322:S330">
    <cfRule type="cellIs" dxfId="2550" priority="625" operator="equal">
      <formula>0</formula>
    </cfRule>
    <cfRule type="expression" dxfId="2549" priority="626">
      <formula>LEN(TRIM(D322))=0</formula>
    </cfRule>
  </conditionalFormatting>
  <conditionalFormatting sqref="D336:S342">
    <cfRule type="expression" dxfId="2548" priority="620">
      <formula>LEN(TRIM(D336))=0</formula>
    </cfRule>
  </conditionalFormatting>
  <conditionalFormatting sqref="D344:S356">
    <cfRule type="cellIs" dxfId="2547" priority="596" operator="equal">
      <formula>0</formula>
    </cfRule>
    <cfRule type="expression" dxfId="2546" priority="597">
      <formula>LEN(TRIM(D344))=0</formula>
    </cfRule>
  </conditionalFormatting>
  <conditionalFormatting sqref="D358:S366">
    <cfRule type="cellIs" dxfId="2545" priority="584" operator="equal">
      <formula>0</formula>
    </cfRule>
    <cfRule type="expression" dxfId="2544" priority="585">
      <formula>LEN(TRIM(D358))=0</formula>
    </cfRule>
  </conditionalFormatting>
  <conditionalFormatting sqref="G12:G14 Q12:S14 D12:F17 E15:I17 P15:S17 D18:S18">
    <cfRule type="cellIs" dxfId="2543" priority="973" operator="equal">
      <formula>0</formula>
    </cfRule>
  </conditionalFormatting>
  <conditionalFormatting sqref="G48:G50 Q48:S50 D48:F53 E51:I53 P51:S53 D54:S54">
    <cfRule type="cellIs" dxfId="2542" priority="932" operator="equal">
      <formula>0</formula>
    </cfRule>
  </conditionalFormatting>
  <conditionalFormatting sqref="G84:G86 Q84:S86 D84:F89 E87:I89 P87:S89 D90:S90">
    <cfRule type="cellIs" dxfId="2541" priority="891" operator="equal">
      <formula>0</formula>
    </cfRule>
  </conditionalFormatting>
  <conditionalFormatting sqref="G120:G122 Q120:S122 D120:F125 E123:I125 P123:S125 D126:S126">
    <cfRule type="cellIs" dxfId="2540" priority="850" operator="equal">
      <formula>0</formula>
    </cfRule>
  </conditionalFormatting>
  <conditionalFormatting sqref="G156:G158 Q156:S158 D156:F161 E159:I161 P159:S161 D162:S162">
    <cfRule type="cellIs" dxfId="2539" priority="809" operator="equal">
      <formula>0</formula>
    </cfRule>
  </conditionalFormatting>
  <conditionalFormatting sqref="G192:G194 Q192:S194 D192:F197 E195:I197 P195:S197 D198:S198">
    <cfRule type="cellIs" dxfId="2538" priority="768" operator="equal">
      <formula>0</formula>
    </cfRule>
  </conditionalFormatting>
  <conditionalFormatting sqref="G228:G230 Q228:S230 D228:F233 E231:I233 P231:S233 D234:S234">
    <cfRule type="cellIs" dxfId="2537" priority="727" operator="equal">
      <formula>0</formula>
    </cfRule>
  </conditionalFormatting>
  <conditionalFormatting sqref="G264:G266 Q264:S266 D264:F269 E267:I269 P267:S269 D270:S270">
    <cfRule type="cellIs" dxfId="2536" priority="686" operator="equal">
      <formula>0</formula>
    </cfRule>
  </conditionalFormatting>
  <conditionalFormatting sqref="G300:G302 Q300:S302 D300:F305 E303:I305 P303:S305 D306:S306">
    <cfRule type="cellIs" dxfId="2535" priority="645" operator="equal">
      <formula>0</formula>
    </cfRule>
  </conditionalFormatting>
  <conditionalFormatting sqref="G336:G338 Q336:S338 D336:F341 E339:I341 P339:S341 D342:S342">
    <cfRule type="cellIs" dxfId="2534" priority="604" operator="equal">
      <formula>0</formula>
    </cfRule>
  </conditionalFormatting>
  <conditionalFormatting sqref="H12:I17">
    <cfRule type="cellIs" dxfId="2533" priority="975" operator="equal">
      <formula>0</formula>
    </cfRule>
  </conditionalFormatting>
  <conditionalFormatting sqref="H48:I53">
    <cfRule type="cellIs" dxfId="2532" priority="934" operator="equal">
      <formula>0</formula>
    </cfRule>
  </conditionalFormatting>
  <conditionalFormatting sqref="H84:I89">
    <cfRule type="cellIs" dxfId="2531" priority="893" operator="equal">
      <formula>0</formula>
    </cfRule>
  </conditionalFormatting>
  <conditionalFormatting sqref="H120:I125">
    <cfRule type="cellIs" dxfId="2530" priority="852" operator="equal">
      <formula>0</formula>
    </cfRule>
  </conditionalFormatting>
  <conditionalFormatting sqref="H156:I161">
    <cfRule type="cellIs" dxfId="2529" priority="811" operator="equal">
      <formula>0</formula>
    </cfRule>
  </conditionalFormatting>
  <conditionalFormatting sqref="H192:I197">
    <cfRule type="cellIs" dxfId="2528" priority="770" operator="equal">
      <formula>0</formula>
    </cfRule>
  </conditionalFormatting>
  <conditionalFormatting sqref="H228:I233">
    <cfRule type="cellIs" dxfId="2527" priority="729" operator="equal">
      <formula>0</formula>
    </cfRule>
  </conditionalFormatting>
  <conditionalFormatting sqref="H264:I269">
    <cfRule type="cellIs" dxfId="2526" priority="688" operator="equal">
      <formula>0</formula>
    </cfRule>
  </conditionalFormatting>
  <conditionalFormatting sqref="H300:I305">
    <cfRule type="cellIs" dxfId="2525" priority="647" operator="equal">
      <formula>0</formula>
    </cfRule>
  </conditionalFormatting>
  <conditionalFormatting sqref="H336:I341">
    <cfRule type="cellIs" dxfId="2524" priority="606" operator="equal">
      <formula>0</formula>
    </cfRule>
  </conditionalFormatting>
  <conditionalFormatting sqref="J11:O17">
    <cfRule type="cellIs" dxfId="2523" priority="115" operator="equal">
      <formula>0</formula>
    </cfRule>
  </conditionalFormatting>
  <conditionalFormatting sqref="J47:O53">
    <cfRule type="cellIs" dxfId="2522" priority="103" operator="equal">
      <formula>0</formula>
    </cfRule>
  </conditionalFormatting>
  <conditionalFormatting sqref="J83:O89">
    <cfRule type="cellIs" dxfId="2521" priority="91" operator="equal">
      <formula>0</formula>
    </cfRule>
  </conditionalFormatting>
  <conditionalFormatting sqref="J119:O125">
    <cfRule type="cellIs" dxfId="2520" priority="79" operator="equal">
      <formula>0</formula>
    </cfRule>
  </conditionalFormatting>
  <conditionalFormatting sqref="J155:O161">
    <cfRule type="cellIs" dxfId="2519" priority="67" operator="equal">
      <formula>0</formula>
    </cfRule>
  </conditionalFormatting>
  <conditionalFormatting sqref="J191:O197">
    <cfRule type="cellIs" dxfId="2518" priority="55" operator="equal">
      <formula>0</formula>
    </cfRule>
  </conditionalFormatting>
  <conditionalFormatting sqref="J227:O233">
    <cfRule type="cellIs" dxfId="2517" priority="43" operator="equal">
      <formula>0</formula>
    </cfRule>
  </conditionalFormatting>
  <conditionalFormatting sqref="J263:O269">
    <cfRule type="cellIs" dxfId="2516" priority="31" operator="equal">
      <formula>0</formula>
    </cfRule>
  </conditionalFormatting>
  <conditionalFormatting sqref="J299:O305">
    <cfRule type="cellIs" dxfId="2515" priority="19" operator="equal">
      <formula>0</formula>
    </cfRule>
  </conditionalFormatting>
  <conditionalFormatting sqref="J335:O341">
    <cfRule type="cellIs" dxfId="2514" priority="7" operator="equal">
      <formula>0</formula>
    </cfRule>
  </conditionalFormatting>
  <conditionalFormatting sqref="K12:O12">
    <cfRule type="cellIs" dxfId="2513" priority="978" operator="equal">
      <formula>0</formula>
    </cfRule>
  </conditionalFormatting>
  <conditionalFormatting sqref="K48:O48">
    <cfRule type="cellIs" dxfId="2512" priority="937" operator="equal">
      <formula>0</formula>
    </cfRule>
  </conditionalFormatting>
  <conditionalFormatting sqref="K84:O84">
    <cfRule type="cellIs" dxfId="2511" priority="896" operator="equal">
      <formula>0</formula>
    </cfRule>
  </conditionalFormatting>
  <conditionalFormatting sqref="K120:O120">
    <cfRule type="cellIs" dxfId="2510" priority="855" operator="equal">
      <formula>0</formula>
    </cfRule>
  </conditionalFormatting>
  <conditionalFormatting sqref="K156:O156">
    <cfRule type="cellIs" dxfId="2509" priority="814" operator="equal">
      <formula>0</formula>
    </cfRule>
  </conditionalFormatting>
  <conditionalFormatting sqref="K192:O192">
    <cfRule type="cellIs" dxfId="2508" priority="773" operator="equal">
      <formula>0</formula>
    </cfRule>
  </conditionalFormatting>
  <conditionalFormatting sqref="K228:O228">
    <cfRule type="cellIs" dxfId="2507" priority="732" operator="equal">
      <formula>0</formula>
    </cfRule>
  </conditionalFormatting>
  <conditionalFormatting sqref="K264:O264">
    <cfRule type="cellIs" dxfId="2506" priority="691" operator="equal">
      <formula>0</formula>
    </cfRule>
  </conditionalFormatting>
  <conditionalFormatting sqref="K300:O300">
    <cfRule type="cellIs" dxfId="2505" priority="650" operator="equal">
      <formula>0</formula>
    </cfRule>
  </conditionalFormatting>
  <conditionalFormatting sqref="K336:O336">
    <cfRule type="cellIs" dxfId="2504" priority="609" operator="equal">
      <formula>0</formula>
    </cfRule>
  </conditionalFormatting>
  <conditionalFormatting sqref="P12:P17">
    <cfRule type="cellIs" dxfId="2503" priority="974" operator="equal">
      <formula>0</formula>
    </cfRule>
  </conditionalFormatting>
  <conditionalFormatting sqref="P48:P53">
    <cfRule type="cellIs" dxfId="2502" priority="933" operator="equal">
      <formula>0</formula>
    </cfRule>
  </conditionalFormatting>
  <conditionalFormatting sqref="P84:P89">
    <cfRule type="cellIs" dxfId="2501" priority="892" operator="equal">
      <formula>0</formula>
    </cfRule>
  </conditionalFormatting>
  <conditionalFormatting sqref="P120:P125">
    <cfRule type="cellIs" dxfId="2500" priority="851" operator="equal">
      <formula>0</formula>
    </cfRule>
  </conditionalFormatting>
  <conditionalFormatting sqref="P156:P161">
    <cfRule type="cellIs" dxfId="2499" priority="810" operator="equal">
      <formula>0</formula>
    </cfRule>
  </conditionalFormatting>
  <conditionalFormatting sqref="P192:P197">
    <cfRule type="cellIs" dxfId="2498" priority="769" operator="equal">
      <formula>0</formula>
    </cfRule>
  </conditionalFormatting>
  <conditionalFormatting sqref="P228:P233">
    <cfRule type="cellIs" dxfId="2497" priority="728" operator="equal">
      <formula>0</formula>
    </cfRule>
  </conditionalFormatting>
  <conditionalFormatting sqref="P264:P269">
    <cfRule type="cellIs" dxfId="2496" priority="687" operator="equal">
      <formula>0</formula>
    </cfRule>
  </conditionalFormatting>
  <conditionalFormatting sqref="P300:P305">
    <cfRule type="cellIs" dxfId="2495" priority="646" operator="equal">
      <formula>0</formula>
    </cfRule>
  </conditionalFormatting>
  <conditionalFormatting sqref="P336:P341">
    <cfRule type="cellIs" dxfId="2494" priority="605" operator="equal">
      <formula>0</formula>
    </cfRule>
  </conditionalFormatting>
  <conditionalFormatting sqref="V12:AK18">
    <cfRule type="expression" dxfId="2493" priority="538">
      <formula>LEN(TRIM(V12))=0</formula>
    </cfRule>
  </conditionalFormatting>
  <conditionalFormatting sqref="V20:AK32">
    <cfRule type="cellIs" dxfId="2492" priority="514" operator="equal">
      <formula>0</formula>
    </cfRule>
    <cfRule type="expression" dxfId="2491" priority="515">
      <formula>LEN(TRIM(V20))=0</formula>
    </cfRule>
  </conditionalFormatting>
  <conditionalFormatting sqref="V34:AK42">
    <cfRule type="expression" dxfId="2490" priority="503">
      <formula>LEN(TRIM(V34))=0</formula>
    </cfRule>
    <cfRule type="cellIs" dxfId="2489" priority="502" operator="equal">
      <formula>0</formula>
    </cfRule>
  </conditionalFormatting>
  <conditionalFormatting sqref="V48:AK54">
    <cfRule type="expression" dxfId="2488" priority="497">
      <formula>LEN(TRIM(V48))=0</formula>
    </cfRule>
  </conditionalFormatting>
  <conditionalFormatting sqref="V56:AK68">
    <cfRule type="expression" dxfId="2487" priority="474">
      <formula>LEN(TRIM(V56))=0</formula>
    </cfRule>
    <cfRule type="cellIs" dxfId="2486" priority="473" operator="equal">
      <formula>0</formula>
    </cfRule>
  </conditionalFormatting>
  <conditionalFormatting sqref="V70:AK78">
    <cfRule type="expression" dxfId="2485" priority="462">
      <formula>LEN(TRIM(V70))=0</formula>
    </cfRule>
    <cfRule type="cellIs" dxfId="2484" priority="461" operator="equal">
      <formula>0</formula>
    </cfRule>
  </conditionalFormatting>
  <conditionalFormatting sqref="V84:AK90">
    <cfRule type="expression" dxfId="2483" priority="456">
      <formula>LEN(TRIM(V84))=0</formula>
    </cfRule>
  </conditionalFormatting>
  <conditionalFormatting sqref="V92:AK104">
    <cfRule type="expression" dxfId="2482" priority="433">
      <formula>LEN(TRIM(V92))=0</formula>
    </cfRule>
    <cfRule type="cellIs" dxfId="2481" priority="432" operator="equal">
      <formula>0</formula>
    </cfRule>
  </conditionalFormatting>
  <conditionalFormatting sqref="V106:AK114">
    <cfRule type="expression" dxfId="2480" priority="421">
      <formula>LEN(TRIM(V106))=0</formula>
    </cfRule>
    <cfRule type="cellIs" dxfId="2479" priority="420" operator="equal">
      <formula>0</formula>
    </cfRule>
  </conditionalFormatting>
  <conditionalFormatting sqref="V120:AK126">
    <cfRule type="expression" dxfId="2478" priority="415">
      <formula>LEN(TRIM(V120))=0</formula>
    </cfRule>
  </conditionalFormatting>
  <conditionalFormatting sqref="V128:AK140">
    <cfRule type="expression" dxfId="2477" priority="392">
      <formula>LEN(TRIM(V128))=0</formula>
    </cfRule>
    <cfRule type="cellIs" dxfId="2476" priority="391" operator="equal">
      <formula>0</formula>
    </cfRule>
  </conditionalFormatting>
  <conditionalFormatting sqref="V142:AK150">
    <cfRule type="expression" dxfId="2475" priority="380">
      <formula>LEN(TRIM(V142))=0</formula>
    </cfRule>
    <cfRule type="cellIs" dxfId="2474" priority="379" operator="equal">
      <formula>0</formula>
    </cfRule>
  </conditionalFormatting>
  <conditionalFormatting sqref="V156:AK162">
    <cfRule type="expression" dxfId="2473" priority="374">
      <formula>LEN(TRIM(V156))=0</formula>
    </cfRule>
  </conditionalFormatting>
  <conditionalFormatting sqref="V164:AK176">
    <cfRule type="cellIs" dxfId="2472" priority="350" operator="equal">
      <formula>0</formula>
    </cfRule>
    <cfRule type="expression" dxfId="2471" priority="351">
      <formula>LEN(TRIM(V164))=0</formula>
    </cfRule>
  </conditionalFormatting>
  <conditionalFormatting sqref="V178:AK186">
    <cfRule type="cellIs" dxfId="2470" priority="338" operator="equal">
      <formula>0</formula>
    </cfRule>
    <cfRule type="expression" dxfId="2469" priority="339">
      <formula>LEN(TRIM(V178))=0</formula>
    </cfRule>
  </conditionalFormatting>
  <conditionalFormatting sqref="V192:AK198">
    <cfRule type="expression" dxfId="2468" priority="333">
      <formula>LEN(TRIM(V192))=0</formula>
    </cfRule>
  </conditionalFormatting>
  <conditionalFormatting sqref="V200:AK212">
    <cfRule type="cellIs" dxfId="2467" priority="309" operator="equal">
      <formula>0</formula>
    </cfRule>
    <cfRule type="expression" dxfId="2466" priority="310">
      <formula>LEN(TRIM(V200))=0</formula>
    </cfRule>
  </conditionalFormatting>
  <conditionalFormatting sqref="V214:AK222">
    <cfRule type="expression" dxfId="2465" priority="298">
      <formula>LEN(TRIM(V214))=0</formula>
    </cfRule>
    <cfRule type="cellIs" dxfId="2464" priority="297" operator="equal">
      <formula>0</formula>
    </cfRule>
  </conditionalFormatting>
  <conditionalFormatting sqref="V228:AK234">
    <cfRule type="expression" dxfId="2463" priority="292">
      <formula>LEN(TRIM(V228))=0</formula>
    </cfRule>
  </conditionalFormatting>
  <conditionalFormatting sqref="V236:AK248">
    <cfRule type="cellIs" dxfId="2462" priority="268" operator="equal">
      <formula>0</formula>
    </cfRule>
    <cfRule type="expression" dxfId="2461" priority="269">
      <formula>LEN(TRIM(V236))=0</formula>
    </cfRule>
  </conditionalFormatting>
  <conditionalFormatting sqref="V250:AK258">
    <cfRule type="expression" dxfId="2460" priority="257">
      <formula>LEN(TRIM(V250))=0</formula>
    </cfRule>
    <cfRule type="cellIs" dxfId="2459" priority="256" operator="equal">
      <formula>0</formula>
    </cfRule>
  </conditionalFormatting>
  <conditionalFormatting sqref="V264:AK270">
    <cfRule type="expression" dxfId="2458" priority="251">
      <formula>LEN(TRIM(V264))=0</formula>
    </cfRule>
  </conditionalFormatting>
  <conditionalFormatting sqref="V272:AK284">
    <cfRule type="cellIs" dxfId="2457" priority="227" operator="equal">
      <formula>0</formula>
    </cfRule>
    <cfRule type="expression" dxfId="2456" priority="228">
      <formula>LEN(TRIM(V272))=0</formula>
    </cfRule>
  </conditionalFormatting>
  <conditionalFormatting sqref="V286:AK294">
    <cfRule type="cellIs" dxfId="2455" priority="215" operator="equal">
      <formula>0</formula>
    </cfRule>
    <cfRule type="expression" dxfId="2454" priority="216">
      <formula>LEN(TRIM(V286))=0</formula>
    </cfRule>
  </conditionalFormatting>
  <conditionalFormatting sqref="V300:AK306">
    <cfRule type="expression" dxfId="2453" priority="210">
      <formula>LEN(TRIM(V300))=0</formula>
    </cfRule>
  </conditionalFormatting>
  <conditionalFormatting sqref="V308:AK320">
    <cfRule type="cellIs" dxfId="2452" priority="186" operator="equal">
      <formula>0</formula>
    </cfRule>
    <cfRule type="expression" dxfId="2451" priority="187">
      <formula>LEN(TRIM(V308))=0</formula>
    </cfRule>
  </conditionalFormatting>
  <conditionalFormatting sqref="V322:AK330">
    <cfRule type="expression" dxfId="2450" priority="175">
      <formula>LEN(TRIM(V322))=0</formula>
    </cfRule>
    <cfRule type="cellIs" dxfId="2449" priority="174" operator="equal">
      <formula>0</formula>
    </cfRule>
  </conditionalFormatting>
  <conditionalFormatting sqref="V336:AK342">
    <cfRule type="expression" dxfId="2448" priority="169">
      <formula>LEN(TRIM(V336))=0</formula>
    </cfRule>
  </conditionalFormatting>
  <conditionalFormatting sqref="V344:AK356">
    <cfRule type="cellIs" dxfId="2447" priority="145" operator="equal">
      <formula>0</formula>
    </cfRule>
    <cfRule type="expression" dxfId="2446" priority="146">
      <formula>LEN(TRIM(V344))=0</formula>
    </cfRule>
  </conditionalFormatting>
  <conditionalFormatting sqref="V358:AK366">
    <cfRule type="expression" dxfId="2445" priority="134">
      <formula>LEN(TRIM(V358))=0</formula>
    </cfRule>
    <cfRule type="cellIs" dxfId="2444" priority="133" operator="equal">
      <formula>0</formula>
    </cfRule>
  </conditionalFormatting>
  <conditionalFormatting sqref="Y12:Y14 AI12:AK14 V12:X17 W15:AA17 AH15:AK17 V18:AK18">
    <cfRule type="cellIs" dxfId="2443" priority="522" operator="equal">
      <formula>0</formula>
    </cfRule>
  </conditionalFormatting>
  <conditionalFormatting sqref="Y48:Y50 AI48:AK50 V48:X53 W51:AA53 AH51:AK53 V54:AK54">
    <cfRule type="cellIs" dxfId="2442" priority="481" operator="equal">
      <formula>0</formula>
    </cfRule>
  </conditionalFormatting>
  <conditionalFormatting sqref="Y84:Y86 AI84:AK86 V84:X89 W87:AA89 AH87:AK89 V90:AK90">
    <cfRule type="cellIs" dxfId="2441" priority="440" operator="equal">
      <formula>0</formula>
    </cfRule>
  </conditionalFormatting>
  <conditionalFormatting sqref="Y120:Y122 AI120:AK122 V120:X125 W123:AA125 AH123:AK125 V126:AK126">
    <cfRule type="cellIs" dxfId="2440" priority="399" operator="equal">
      <formula>0</formula>
    </cfRule>
  </conditionalFormatting>
  <conditionalFormatting sqref="Y156:Y158 AI156:AK158 V156:X161 W159:AA161 AH159:AK161 V162:AK162">
    <cfRule type="cellIs" dxfId="2439" priority="358" operator="equal">
      <formula>0</formula>
    </cfRule>
  </conditionalFormatting>
  <conditionalFormatting sqref="Y192:Y194 AI192:AK194 V192:X197 W195:AA197 AH195:AK197 V198:AK198">
    <cfRule type="cellIs" dxfId="2438" priority="317" operator="equal">
      <formula>0</formula>
    </cfRule>
  </conditionalFormatting>
  <conditionalFormatting sqref="Y228:Y230 AI228:AK230 V228:X233 W231:AA233 AH231:AK233 V234:AK234">
    <cfRule type="cellIs" dxfId="2437" priority="276" operator="equal">
      <formula>0</formula>
    </cfRule>
  </conditionalFormatting>
  <conditionalFormatting sqref="Y264:Y266 AI264:AK266 V264:X269 W267:AA269 AH267:AK269 V270:AK270">
    <cfRule type="cellIs" dxfId="2436" priority="235" operator="equal">
      <formula>0</formula>
    </cfRule>
  </conditionalFormatting>
  <conditionalFormatting sqref="Y300:Y302 AI300:AK302 V300:X305 W303:AA305 AH303:AK305 V306:AK306">
    <cfRule type="cellIs" dxfId="2435" priority="194" operator="equal">
      <formula>0</formula>
    </cfRule>
  </conditionalFormatting>
  <conditionalFormatting sqref="Y336:Y338 AI336:AK338 V336:X341 W339:AA341 AH339:AK341 V342:AK342">
    <cfRule type="cellIs" dxfId="2434" priority="153" operator="equal">
      <formula>0</formula>
    </cfRule>
  </conditionalFormatting>
  <conditionalFormatting sqref="Z12:AA17">
    <cfRule type="cellIs" dxfId="2433" priority="524" operator="equal">
      <formula>0</formula>
    </cfRule>
  </conditionalFormatting>
  <conditionalFormatting sqref="Z48:AA53">
    <cfRule type="cellIs" dxfId="2432" priority="483" operator="equal">
      <formula>0</formula>
    </cfRule>
  </conditionalFormatting>
  <conditionalFormatting sqref="Z84:AA89">
    <cfRule type="cellIs" dxfId="2431" priority="442" operator="equal">
      <formula>0</formula>
    </cfRule>
  </conditionalFormatting>
  <conditionalFormatting sqref="Z120:AA125">
    <cfRule type="cellIs" dxfId="2430" priority="401" operator="equal">
      <formula>0</formula>
    </cfRule>
  </conditionalFormatting>
  <conditionalFormatting sqref="Z156:AA161">
    <cfRule type="cellIs" dxfId="2429" priority="360" operator="equal">
      <formula>0</formula>
    </cfRule>
  </conditionalFormatting>
  <conditionalFormatting sqref="Z192:AA197">
    <cfRule type="cellIs" dxfId="2428" priority="319" operator="equal">
      <formula>0</formula>
    </cfRule>
  </conditionalFormatting>
  <conditionalFormatting sqref="Z228:AA233">
    <cfRule type="cellIs" dxfId="2427" priority="278" operator="equal">
      <formula>0</formula>
    </cfRule>
  </conditionalFormatting>
  <conditionalFormatting sqref="Z264:AA269">
    <cfRule type="cellIs" dxfId="2426" priority="237" operator="equal">
      <formula>0</formula>
    </cfRule>
  </conditionalFormatting>
  <conditionalFormatting sqref="Z300:AA305">
    <cfRule type="cellIs" dxfId="2425" priority="196" operator="equal">
      <formula>0</formula>
    </cfRule>
  </conditionalFormatting>
  <conditionalFormatting sqref="Z336:AA341">
    <cfRule type="cellIs" dxfId="2424" priority="155" operator="equal">
      <formula>0</formula>
    </cfRule>
  </conditionalFormatting>
  <conditionalFormatting sqref="AB11:AG17">
    <cfRule type="cellIs" dxfId="2423" priority="109" operator="equal">
      <formula>0</formula>
    </cfRule>
  </conditionalFormatting>
  <conditionalFormatting sqref="AB47:AG53">
    <cfRule type="cellIs" dxfId="2422" priority="97" operator="equal">
      <formula>0</formula>
    </cfRule>
  </conditionalFormatting>
  <conditionalFormatting sqref="AB83:AG89">
    <cfRule type="cellIs" dxfId="2421" priority="85" operator="equal">
      <formula>0</formula>
    </cfRule>
  </conditionalFormatting>
  <conditionalFormatting sqref="AB119:AG125">
    <cfRule type="cellIs" dxfId="2420" priority="73" operator="equal">
      <formula>0</formula>
    </cfRule>
  </conditionalFormatting>
  <conditionalFormatting sqref="AB155:AG161">
    <cfRule type="cellIs" dxfId="2419" priority="61" operator="equal">
      <formula>0</formula>
    </cfRule>
  </conditionalFormatting>
  <conditionalFormatting sqref="AB191:AG197">
    <cfRule type="cellIs" dxfId="2418" priority="49" operator="equal">
      <formula>0</formula>
    </cfRule>
  </conditionalFormatting>
  <conditionalFormatting sqref="AB227:AG233">
    <cfRule type="cellIs" dxfId="2417" priority="37" operator="equal">
      <formula>0</formula>
    </cfRule>
  </conditionalFormatting>
  <conditionalFormatting sqref="AB263:AG269">
    <cfRule type="cellIs" dxfId="2416" priority="25" operator="equal">
      <formula>0</formula>
    </cfRule>
  </conditionalFormatting>
  <conditionalFormatting sqref="AB299:AG305">
    <cfRule type="cellIs" dxfId="2415" priority="13" operator="equal">
      <formula>0</formula>
    </cfRule>
  </conditionalFormatting>
  <conditionalFormatting sqref="AB335:AG341">
    <cfRule type="cellIs" dxfId="2414" priority="1" operator="equal">
      <formula>0</formula>
    </cfRule>
  </conditionalFormatting>
  <conditionalFormatting sqref="AC12:AG12">
    <cfRule type="cellIs" dxfId="2413" priority="527" operator="equal">
      <formula>0</formula>
    </cfRule>
  </conditionalFormatting>
  <conditionalFormatting sqref="AC48:AG48">
    <cfRule type="cellIs" dxfId="2412" priority="486" operator="equal">
      <formula>0</formula>
    </cfRule>
  </conditionalFormatting>
  <conditionalFormatting sqref="AC84:AG84">
    <cfRule type="cellIs" dxfId="2411" priority="445" operator="equal">
      <formula>0</formula>
    </cfRule>
  </conditionalFormatting>
  <conditionalFormatting sqref="AC120:AG120">
    <cfRule type="cellIs" dxfId="2410" priority="404" operator="equal">
      <formula>0</formula>
    </cfRule>
  </conditionalFormatting>
  <conditionalFormatting sqref="AC156:AG156">
    <cfRule type="cellIs" dxfId="2409" priority="363" operator="equal">
      <formula>0</formula>
    </cfRule>
  </conditionalFormatting>
  <conditionalFormatting sqref="AC192:AG192">
    <cfRule type="cellIs" dxfId="2408" priority="322" operator="equal">
      <formula>0</formula>
    </cfRule>
  </conditionalFormatting>
  <conditionalFormatting sqref="AC228:AG228">
    <cfRule type="cellIs" dxfId="2407" priority="281" operator="equal">
      <formula>0</formula>
    </cfRule>
  </conditionalFormatting>
  <conditionalFormatting sqref="AC264:AG264">
    <cfRule type="cellIs" dxfId="2406" priority="240" operator="equal">
      <formula>0</formula>
    </cfRule>
  </conditionalFormatting>
  <conditionalFormatting sqref="AC300:AG300">
    <cfRule type="cellIs" dxfId="2405" priority="199" operator="equal">
      <formula>0</formula>
    </cfRule>
  </conditionalFormatting>
  <conditionalFormatting sqref="AC336:AG336">
    <cfRule type="cellIs" dxfId="2404" priority="158" operator="equal">
      <formula>0</formula>
    </cfRule>
  </conditionalFormatting>
  <conditionalFormatting sqref="AH12:AH17">
    <cfRule type="cellIs" dxfId="2403" priority="523" operator="equal">
      <formula>0</formula>
    </cfRule>
  </conditionalFormatting>
  <conditionalFormatting sqref="AH48:AH53">
    <cfRule type="cellIs" dxfId="2402" priority="482" operator="equal">
      <formula>0</formula>
    </cfRule>
  </conditionalFormatting>
  <conditionalFormatting sqref="AH84:AH89">
    <cfRule type="cellIs" dxfId="2401" priority="441" operator="equal">
      <formula>0</formula>
    </cfRule>
  </conditionalFormatting>
  <conditionalFormatting sqref="AH120:AH125">
    <cfRule type="cellIs" dxfId="2400" priority="400" operator="equal">
      <formula>0</formula>
    </cfRule>
  </conditionalFormatting>
  <conditionalFormatting sqref="AH156:AH161">
    <cfRule type="cellIs" dxfId="2399" priority="359" operator="equal">
      <formula>0</formula>
    </cfRule>
  </conditionalFormatting>
  <conditionalFormatting sqref="AH192:AH197">
    <cfRule type="cellIs" dxfId="2398" priority="318" operator="equal">
      <formula>0</formula>
    </cfRule>
  </conditionalFormatting>
  <conditionalFormatting sqref="AH228:AH233">
    <cfRule type="cellIs" dxfId="2397" priority="277" operator="equal">
      <formula>0</formula>
    </cfRule>
  </conditionalFormatting>
  <conditionalFormatting sqref="AH264:AH269">
    <cfRule type="cellIs" dxfId="2396" priority="236" operator="equal">
      <formula>0</formula>
    </cfRule>
  </conditionalFormatting>
  <conditionalFormatting sqref="AH300:AH305">
    <cfRule type="cellIs" dxfId="2395" priority="195" operator="equal">
      <formula>0</formula>
    </cfRule>
  </conditionalFormatting>
  <conditionalFormatting sqref="AH336:AH341">
    <cfRule type="cellIs" dxfId="2394" priority="154"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E6373-DBDF-4281-A4B0-E357F09BA362}">
  <dimension ref="C2:AK332"/>
  <sheetViews>
    <sheetView workbookViewId="0"/>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60" t="s">
        <v>522</v>
      </c>
      <c r="D2" s="760"/>
      <c r="E2" s="760"/>
      <c r="F2" s="760"/>
      <c r="G2" s="760"/>
      <c r="H2" s="760"/>
      <c r="I2" s="760"/>
      <c r="J2" s="760"/>
      <c r="K2" s="760"/>
      <c r="L2" s="760"/>
      <c r="M2" s="760"/>
      <c r="N2" s="760"/>
      <c r="O2" s="760"/>
      <c r="P2" s="760"/>
      <c r="Q2" s="760"/>
      <c r="R2" s="760"/>
      <c r="S2" s="760"/>
      <c r="U2" s="760" t="s">
        <v>523</v>
      </c>
      <c r="V2" s="760"/>
      <c r="W2" s="760"/>
      <c r="X2" s="760"/>
      <c r="Y2" s="760"/>
      <c r="Z2" s="760"/>
      <c r="AA2" s="760"/>
      <c r="AB2" s="760"/>
      <c r="AC2" s="760"/>
      <c r="AD2" s="760"/>
      <c r="AE2" s="760"/>
      <c r="AF2" s="760"/>
      <c r="AG2" s="760"/>
      <c r="AH2" s="760"/>
      <c r="AI2" s="760"/>
      <c r="AJ2" s="760"/>
      <c r="AK2" s="760"/>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338</v>
      </c>
      <c r="D4" s="635" t="s">
        <v>524</v>
      </c>
      <c r="E4" s="634"/>
      <c r="F4" s="634"/>
      <c r="G4" s="634"/>
      <c r="H4" s="636"/>
      <c r="I4" s="634"/>
      <c r="J4" s="634"/>
      <c r="K4" s="634"/>
      <c r="L4" s="634"/>
      <c r="M4" s="634"/>
      <c r="N4" s="634"/>
      <c r="O4" s="634"/>
      <c r="P4" s="634"/>
      <c r="Q4" s="634"/>
      <c r="R4" s="634"/>
      <c r="S4" s="634"/>
      <c r="U4" s="635" t="s">
        <v>338</v>
      </c>
      <c r="V4" s="635" t="s">
        <v>524</v>
      </c>
      <c r="W4" s="634"/>
      <c r="X4" s="634"/>
      <c r="Y4" s="634"/>
      <c r="Z4" s="636"/>
      <c r="AA4" s="634"/>
      <c r="AB4" s="634"/>
      <c r="AC4" s="634"/>
      <c r="AD4" s="634"/>
      <c r="AE4" s="634"/>
      <c r="AF4" s="634"/>
      <c r="AG4" s="634"/>
      <c r="AH4" s="634"/>
      <c r="AI4" s="634"/>
      <c r="AJ4" s="634"/>
      <c r="AK4" s="634"/>
    </row>
    <row r="5" spans="3:37" ht="37.5" x14ac:dyDescent="0.3">
      <c r="C5" s="635" t="s">
        <v>341</v>
      </c>
      <c r="D5" s="635" t="s">
        <v>342</v>
      </c>
      <c r="E5" s="634"/>
      <c r="F5" s="634"/>
      <c r="G5" s="634"/>
      <c r="H5" s="634"/>
      <c r="I5" s="634"/>
      <c r="J5" s="634"/>
      <c r="K5" s="634"/>
      <c r="L5" s="634"/>
      <c r="M5" s="634"/>
      <c r="N5" s="634"/>
      <c r="O5" s="634"/>
      <c r="P5" s="634"/>
      <c r="Q5" s="634"/>
      <c r="R5" s="634"/>
      <c r="S5" s="634"/>
      <c r="U5" s="635" t="s">
        <v>341</v>
      </c>
      <c r="V5" s="635" t="s">
        <v>342</v>
      </c>
      <c r="W5" s="634"/>
      <c r="X5" s="634"/>
      <c r="Y5" s="634"/>
      <c r="Z5" s="634"/>
      <c r="AA5" s="634"/>
      <c r="AB5" s="634"/>
      <c r="AC5" s="634"/>
      <c r="AD5" s="634"/>
      <c r="AE5" s="634"/>
      <c r="AF5" s="634"/>
      <c r="AG5" s="634"/>
      <c r="AH5" s="634"/>
      <c r="AI5" s="634"/>
      <c r="AJ5" s="634"/>
      <c r="AK5" s="634"/>
    </row>
    <row r="6" spans="3:37" ht="18.75" x14ac:dyDescent="0.3">
      <c r="C6" s="635" t="s">
        <v>525</v>
      </c>
      <c r="D6" s="637">
        <v>44909</v>
      </c>
      <c r="E6" s="634"/>
      <c r="F6" s="634"/>
      <c r="G6" s="634"/>
      <c r="H6" s="634"/>
      <c r="I6" s="634"/>
      <c r="J6" s="634"/>
      <c r="K6" s="634"/>
      <c r="L6" s="634"/>
      <c r="M6" s="634"/>
      <c r="N6" s="634"/>
      <c r="O6" s="634"/>
      <c r="P6" s="634"/>
      <c r="Q6" s="634"/>
      <c r="R6" s="634"/>
      <c r="S6" s="634"/>
      <c r="U6" s="635" t="s">
        <v>525</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59" t="s">
        <v>356</v>
      </c>
      <c r="D8" s="759"/>
      <c r="E8" s="759"/>
      <c r="F8" s="759"/>
      <c r="G8" s="759"/>
      <c r="H8" s="759"/>
      <c r="I8" s="759"/>
      <c r="J8" s="759"/>
      <c r="K8" s="759"/>
      <c r="L8" s="759"/>
      <c r="M8" s="759"/>
      <c r="N8" s="759"/>
      <c r="O8" s="759"/>
      <c r="P8" s="759"/>
      <c r="Q8" s="759"/>
      <c r="R8" s="759"/>
      <c r="S8" s="759"/>
      <c r="U8" s="759" t="s">
        <v>356</v>
      </c>
      <c r="V8" s="759"/>
      <c r="W8" s="759"/>
      <c r="X8" s="759"/>
      <c r="Y8" s="759"/>
      <c r="Z8" s="759"/>
      <c r="AA8" s="759"/>
      <c r="AB8" s="759"/>
      <c r="AC8" s="759"/>
      <c r="AD8" s="759"/>
      <c r="AE8" s="759"/>
      <c r="AF8" s="759"/>
      <c r="AG8" s="759"/>
      <c r="AH8" s="759"/>
      <c r="AI8" s="759"/>
      <c r="AJ8" s="759"/>
      <c r="AK8" s="75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58" t="s">
        <v>128</v>
      </c>
      <c r="D10" s="757" t="s">
        <v>42</v>
      </c>
      <c r="E10" s="757" t="s">
        <v>52</v>
      </c>
      <c r="F10" s="757" t="s">
        <v>53</v>
      </c>
      <c r="G10" s="757" t="s">
        <v>32</v>
      </c>
      <c r="H10" s="757" t="s">
        <v>20</v>
      </c>
      <c r="I10" s="757" t="s">
        <v>55</v>
      </c>
      <c r="J10" s="757" t="s">
        <v>56</v>
      </c>
      <c r="K10" s="757"/>
      <c r="L10" s="757"/>
      <c r="M10" s="757"/>
      <c r="N10" s="757"/>
      <c r="O10" s="757"/>
      <c r="P10" s="757" t="s">
        <v>57</v>
      </c>
      <c r="Q10" s="757" t="s">
        <v>58</v>
      </c>
      <c r="R10" s="757" t="s">
        <v>31</v>
      </c>
      <c r="S10" s="757" t="s">
        <v>10</v>
      </c>
      <c r="U10" s="758" t="s">
        <v>128</v>
      </c>
      <c r="V10" s="757" t="s">
        <v>42</v>
      </c>
      <c r="W10" s="757" t="s">
        <v>52</v>
      </c>
      <c r="X10" s="757" t="s">
        <v>53</v>
      </c>
      <c r="Y10" s="757" t="s">
        <v>32</v>
      </c>
      <c r="Z10" s="757" t="s">
        <v>20</v>
      </c>
      <c r="AA10" s="757" t="s">
        <v>55</v>
      </c>
      <c r="AB10" s="757" t="s">
        <v>56</v>
      </c>
      <c r="AC10" s="757"/>
      <c r="AD10" s="757"/>
      <c r="AE10" s="757"/>
      <c r="AF10" s="757"/>
      <c r="AG10" s="757"/>
      <c r="AH10" s="757" t="s">
        <v>57</v>
      </c>
      <c r="AI10" s="757" t="s">
        <v>58</v>
      </c>
      <c r="AJ10" s="757" t="s">
        <v>31</v>
      </c>
      <c r="AK10" s="757" t="s">
        <v>10</v>
      </c>
    </row>
    <row r="11" spans="3:37" ht="56.25" x14ac:dyDescent="0.2">
      <c r="C11" s="758"/>
      <c r="D11" s="757"/>
      <c r="E11" s="757"/>
      <c r="F11" s="757"/>
      <c r="G11" s="757"/>
      <c r="H11" s="757"/>
      <c r="I11" s="757"/>
      <c r="J11" s="638" t="s">
        <v>335</v>
      </c>
      <c r="K11" s="638" t="s">
        <v>40</v>
      </c>
      <c r="L11" s="638" t="s">
        <v>343</v>
      </c>
      <c r="M11" s="638" t="s">
        <v>344</v>
      </c>
      <c r="N11" s="638" t="s">
        <v>345</v>
      </c>
      <c r="O11" s="638" t="s">
        <v>346</v>
      </c>
      <c r="P11" s="757"/>
      <c r="Q11" s="757"/>
      <c r="R11" s="757"/>
      <c r="S11" s="757"/>
      <c r="U11" s="758"/>
      <c r="V11" s="757"/>
      <c r="W11" s="757"/>
      <c r="X11" s="757"/>
      <c r="Y11" s="757"/>
      <c r="Z11" s="757"/>
      <c r="AA11" s="757"/>
      <c r="AB11" s="638" t="s">
        <v>335</v>
      </c>
      <c r="AC11" s="638" t="s">
        <v>40</v>
      </c>
      <c r="AD11" s="638" t="s">
        <v>343</v>
      </c>
      <c r="AE11" s="638" t="s">
        <v>344</v>
      </c>
      <c r="AF11" s="638" t="s">
        <v>345</v>
      </c>
      <c r="AG11" s="638" t="s">
        <v>346</v>
      </c>
      <c r="AH11" s="757"/>
      <c r="AI11" s="757"/>
      <c r="AJ11" s="757"/>
      <c r="AK11" s="757"/>
    </row>
    <row r="12" spans="3:37" x14ac:dyDescent="0.2">
      <c r="C12" s="639" t="s">
        <v>59</v>
      </c>
      <c r="D12" s="640">
        <v>0</v>
      </c>
      <c r="E12" s="641">
        <v>9.7691999999999997</v>
      </c>
      <c r="F12" s="641">
        <v>0</v>
      </c>
      <c r="G12" s="640">
        <v>0.18608000000000002</v>
      </c>
      <c r="H12" s="641">
        <v>1190.909090909091</v>
      </c>
      <c r="I12" s="641">
        <v>172.65095069399246</v>
      </c>
      <c r="J12" s="641">
        <v>190.83629555260256</v>
      </c>
      <c r="K12" s="641">
        <v>22.859954043709436</v>
      </c>
      <c r="L12" s="641">
        <v>0.28638238403450345</v>
      </c>
      <c r="M12" s="641">
        <v>0.13461365170799597</v>
      </c>
      <c r="N12" s="641">
        <v>45.31680426782367</v>
      </c>
      <c r="O12" s="641">
        <v>7.2729377495964416</v>
      </c>
      <c r="P12" s="642">
        <v>0</v>
      </c>
      <c r="Q12" s="641">
        <v>0</v>
      </c>
      <c r="R12" s="641">
        <v>0</v>
      </c>
      <c r="S12" s="643">
        <v>1640.222309252558</v>
      </c>
      <c r="U12" s="639" t="s">
        <v>59</v>
      </c>
      <c r="V12" s="640">
        <v>0</v>
      </c>
      <c r="W12" s="641">
        <v>9.7691999999999997</v>
      </c>
      <c r="X12" s="641">
        <v>0</v>
      </c>
      <c r="Y12" s="640">
        <v>0.18608000000000002</v>
      </c>
      <c r="Z12" s="641">
        <v>1083.7741046831957</v>
      </c>
      <c r="AA12" s="641">
        <v>180.88004160308333</v>
      </c>
      <c r="AB12" s="641">
        <v>179.66191601295682</v>
      </c>
      <c r="AC12" s="641">
        <v>35.233025744634077</v>
      </c>
      <c r="AD12" s="641">
        <v>0.28638238403450345</v>
      </c>
      <c r="AE12" s="641">
        <v>0.13461365170799597</v>
      </c>
      <c r="AF12" s="641">
        <v>55.315214066923446</v>
      </c>
      <c r="AG12" s="641">
        <v>11.104217144375802</v>
      </c>
      <c r="AH12" s="642">
        <v>0</v>
      </c>
      <c r="AI12" s="641">
        <v>0</v>
      </c>
      <c r="AJ12" s="641">
        <v>0</v>
      </c>
      <c r="AK12" s="643">
        <v>1556.3447952909116</v>
      </c>
    </row>
    <row r="13" spans="3:37" x14ac:dyDescent="0.2">
      <c r="C13" s="639" t="s">
        <v>60</v>
      </c>
      <c r="D13" s="640">
        <v>50.272309821560647</v>
      </c>
      <c r="E13" s="641">
        <v>541.69545178681915</v>
      </c>
      <c r="F13" s="641">
        <v>188.86081515186203</v>
      </c>
      <c r="G13" s="640">
        <v>351.61513464214681</v>
      </c>
      <c r="H13" s="641">
        <v>0</v>
      </c>
      <c r="I13" s="641">
        <v>0</v>
      </c>
      <c r="J13" s="641">
        <v>2.7986686910966072</v>
      </c>
      <c r="K13" s="641">
        <v>0</v>
      </c>
      <c r="L13" s="641">
        <v>1.9601939880201746</v>
      </c>
      <c r="M13" s="641">
        <v>0</v>
      </c>
      <c r="N13" s="641">
        <v>0</v>
      </c>
      <c r="O13" s="641">
        <v>0</v>
      </c>
      <c r="P13" s="642">
        <v>0</v>
      </c>
      <c r="Q13" s="641">
        <v>0</v>
      </c>
      <c r="R13" s="641">
        <v>0</v>
      </c>
      <c r="S13" s="643">
        <v>1137.2025740815054</v>
      </c>
      <c r="U13" s="639" t="s">
        <v>60</v>
      </c>
      <c r="V13" s="640">
        <v>19.313313128242111</v>
      </c>
      <c r="W13" s="641">
        <v>439.73434116717101</v>
      </c>
      <c r="X13" s="641">
        <v>187.81160121991923</v>
      </c>
      <c r="Y13" s="640">
        <v>309.5644193276562</v>
      </c>
      <c r="Z13" s="641">
        <v>0</v>
      </c>
      <c r="AA13" s="641">
        <v>0</v>
      </c>
      <c r="AB13" s="641">
        <v>2.7986686910966072</v>
      </c>
      <c r="AC13" s="641">
        <v>0</v>
      </c>
      <c r="AD13" s="641">
        <v>1.9601939880201746</v>
      </c>
      <c r="AE13" s="641">
        <v>0</v>
      </c>
      <c r="AF13" s="641">
        <v>0</v>
      </c>
      <c r="AG13" s="641">
        <v>0</v>
      </c>
      <c r="AH13" s="642">
        <v>0</v>
      </c>
      <c r="AI13" s="641">
        <v>0</v>
      </c>
      <c r="AJ13" s="641">
        <v>0</v>
      </c>
      <c r="AK13" s="643">
        <v>961.18253752210535</v>
      </c>
    </row>
    <row r="14" spans="3:37" x14ac:dyDescent="0.2">
      <c r="C14" s="639" t="s">
        <v>61</v>
      </c>
      <c r="D14" s="640">
        <v>0</v>
      </c>
      <c r="E14" s="641">
        <v>0</v>
      </c>
      <c r="F14" s="641">
        <v>0</v>
      </c>
      <c r="G14" s="640">
        <v>0</v>
      </c>
      <c r="H14" s="641">
        <v>0</v>
      </c>
      <c r="I14" s="641">
        <v>0</v>
      </c>
      <c r="J14" s="641">
        <v>0</v>
      </c>
      <c r="K14" s="641">
        <v>0</v>
      </c>
      <c r="L14" s="641">
        <v>0</v>
      </c>
      <c r="M14" s="641">
        <v>0</v>
      </c>
      <c r="N14" s="641">
        <v>0</v>
      </c>
      <c r="O14" s="641">
        <v>0</v>
      </c>
      <c r="P14" s="642">
        <v>-71.534753758802367</v>
      </c>
      <c r="Q14" s="641">
        <v>0</v>
      </c>
      <c r="R14" s="641">
        <v>0</v>
      </c>
      <c r="S14" s="643">
        <v>-71.534753758802367</v>
      </c>
      <c r="U14" s="639" t="s">
        <v>61</v>
      </c>
      <c r="V14" s="640">
        <v>0</v>
      </c>
      <c r="W14" s="641">
        <v>0</v>
      </c>
      <c r="X14" s="641">
        <v>0</v>
      </c>
      <c r="Y14" s="640">
        <v>0</v>
      </c>
      <c r="Z14" s="641">
        <v>0</v>
      </c>
      <c r="AA14" s="641">
        <v>0</v>
      </c>
      <c r="AB14" s="641">
        <v>0</v>
      </c>
      <c r="AC14" s="641">
        <v>0</v>
      </c>
      <c r="AD14" s="641">
        <v>0</v>
      </c>
      <c r="AE14" s="641">
        <v>0</v>
      </c>
      <c r="AF14" s="641">
        <v>0</v>
      </c>
      <c r="AG14" s="641">
        <v>0</v>
      </c>
      <c r="AH14" s="642">
        <v>-59.869044369838548</v>
      </c>
      <c r="AI14" s="641">
        <v>0</v>
      </c>
      <c r="AJ14" s="641">
        <v>0</v>
      </c>
      <c r="AK14" s="643">
        <v>-59.869044369838548</v>
      </c>
    </row>
    <row r="15" spans="3:37" x14ac:dyDescent="0.2">
      <c r="C15" s="639" t="s">
        <v>62</v>
      </c>
      <c r="D15" s="640">
        <v>0</v>
      </c>
      <c r="E15" s="641">
        <v>0</v>
      </c>
      <c r="F15" s="641">
        <v>-17.07041205275393</v>
      </c>
      <c r="G15" s="640">
        <v>0</v>
      </c>
      <c r="H15" s="641">
        <v>0</v>
      </c>
      <c r="I15" s="641">
        <v>0</v>
      </c>
      <c r="J15" s="641">
        <v>0</v>
      </c>
      <c r="K15" s="641">
        <v>0</v>
      </c>
      <c r="L15" s="641">
        <v>0</v>
      </c>
      <c r="M15" s="641">
        <v>0</v>
      </c>
      <c r="N15" s="641">
        <v>0</v>
      </c>
      <c r="O15" s="641">
        <v>0</v>
      </c>
      <c r="P15" s="642">
        <v>0</v>
      </c>
      <c r="Q15" s="641">
        <v>0</v>
      </c>
      <c r="R15" s="641">
        <v>0</v>
      </c>
      <c r="S15" s="643">
        <v>-17.07041205275393</v>
      </c>
      <c r="U15" s="639" t="s">
        <v>62</v>
      </c>
      <c r="V15" s="640">
        <v>0</v>
      </c>
      <c r="W15" s="641">
        <v>0</v>
      </c>
      <c r="X15" s="641">
        <v>-16.843089298461354</v>
      </c>
      <c r="Y15" s="640">
        <v>-3.370970564953437E-2</v>
      </c>
      <c r="Z15" s="641">
        <v>0</v>
      </c>
      <c r="AA15" s="641">
        <v>0</v>
      </c>
      <c r="AB15" s="641">
        <v>0</v>
      </c>
      <c r="AC15" s="641">
        <v>0</v>
      </c>
      <c r="AD15" s="641">
        <v>0</v>
      </c>
      <c r="AE15" s="641">
        <v>-3.7455228499482631E-3</v>
      </c>
      <c r="AF15" s="641">
        <v>0</v>
      </c>
      <c r="AG15" s="641">
        <v>0</v>
      </c>
      <c r="AH15" s="642">
        <v>0</v>
      </c>
      <c r="AI15" s="641">
        <v>0</v>
      </c>
      <c r="AJ15" s="641">
        <v>0</v>
      </c>
      <c r="AK15" s="643">
        <v>-16.880544526960836</v>
      </c>
    </row>
    <row r="16" spans="3:37" x14ac:dyDescent="0.2">
      <c r="C16" s="639" t="s">
        <v>63</v>
      </c>
      <c r="D16" s="640">
        <v>0</v>
      </c>
      <c r="E16" s="641">
        <v>0</v>
      </c>
      <c r="F16" s="641">
        <v>-79.881990921256516</v>
      </c>
      <c r="G16" s="640">
        <v>0</v>
      </c>
      <c r="H16" s="641">
        <v>0</v>
      </c>
      <c r="I16" s="641">
        <v>0</v>
      </c>
      <c r="J16" s="641">
        <v>0</v>
      </c>
      <c r="K16" s="641">
        <v>0</v>
      </c>
      <c r="L16" s="641">
        <v>-0.82615205603276265</v>
      </c>
      <c r="M16" s="641">
        <v>0</v>
      </c>
      <c r="N16" s="641">
        <v>0</v>
      </c>
      <c r="O16" s="641">
        <v>0</v>
      </c>
      <c r="P16" s="642">
        <v>0</v>
      </c>
      <c r="Q16" s="641">
        <v>0</v>
      </c>
      <c r="R16" s="641">
        <v>0</v>
      </c>
      <c r="S16" s="643">
        <v>-80.708142977289285</v>
      </c>
      <c r="U16" s="639" t="s">
        <v>63</v>
      </c>
      <c r="V16" s="640">
        <v>0</v>
      </c>
      <c r="W16" s="641">
        <v>0</v>
      </c>
      <c r="X16" s="641">
        <v>-78.255878538705957</v>
      </c>
      <c r="Y16" s="640">
        <v>0</v>
      </c>
      <c r="Z16" s="641">
        <v>0</v>
      </c>
      <c r="AA16" s="641">
        <v>0</v>
      </c>
      <c r="AB16" s="641">
        <v>0</v>
      </c>
      <c r="AC16" s="641">
        <v>0</v>
      </c>
      <c r="AD16" s="641">
        <v>-2.9528968014026442</v>
      </c>
      <c r="AE16" s="641">
        <v>0</v>
      </c>
      <c r="AF16" s="641">
        <v>0</v>
      </c>
      <c r="AG16" s="641">
        <v>0</v>
      </c>
      <c r="AH16" s="642">
        <v>0</v>
      </c>
      <c r="AI16" s="641">
        <v>0</v>
      </c>
      <c r="AJ16" s="641">
        <v>0</v>
      </c>
      <c r="AK16" s="643">
        <v>-81.208775340108602</v>
      </c>
    </row>
    <row r="17" spans="3:37" x14ac:dyDescent="0.2">
      <c r="C17" s="639" t="s">
        <v>64</v>
      </c>
      <c r="D17" s="640">
        <v>0</v>
      </c>
      <c r="E17" s="641">
        <v>0</v>
      </c>
      <c r="F17" s="641">
        <v>0</v>
      </c>
      <c r="G17" s="640">
        <v>0</v>
      </c>
      <c r="H17" s="641">
        <v>0</v>
      </c>
      <c r="I17" s="641">
        <v>0</v>
      </c>
      <c r="J17" s="641">
        <v>0</v>
      </c>
      <c r="K17" s="641">
        <v>0</v>
      </c>
      <c r="L17" s="641">
        <v>0</v>
      </c>
      <c r="M17" s="641">
        <v>0</v>
      </c>
      <c r="N17" s="641">
        <v>0</v>
      </c>
      <c r="O17" s="641">
        <v>0</v>
      </c>
      <c r="P17" s="642">
        <v>0</v>
      </c>
      <c r="Q17" s="641">
        <v>0</v>
      </c>
      <c r="R17" s="641">
        <v>0</v>
      </c>
      <c r="S17" s="643">
        <v>0</v>
      </c>
      <c r="U17" s="639" t="s">
        <v>64</v>
      </c>
      <c r="V17" s="640">
        <v>0</v>
      </c>
      <c r="W17" s="641">
        <v>0</v>
      </c>
      <c r="X17" s="641">
        <v>0</v>
      </c>
      <c r="Y17" s="640">
        <v>0</v>
      </c>
      <c r="Z17" s="641">
        <v>0</v>
      </c>
      <c r="AA17" s="641">
        <v>0</v>
      </c>
      <c r="AB17" s="641">
        <v>0</v>
      </c>
      <c r="AC17" s="641">
        <v>0</v>
      </c>
      <c r="AD17" s="641">
        <v>0</v>
      </c>
      <c r="AE17" s="641">
        <v>0</v>
      </c>
      <c r="AF17" s="641">
        <v>0</v>
      </c>
      <c r="AG17" s="641">
        <v>0</v>
      </c>
      <c r="AH17" s="642">
        <v>0</v>
      </c>
      <c r="AI17" s="641">
        <v>0</v>
      </c>
      <c r="AJ17" s="641">
        <v>0</v>
      </c>
      <c r="AK17" s="643">
        <v>0</v>
      </c>
    </row>
    <row r="18" spans="3:37" x14ac:dyDescent="0.2">
      <c r="C18" s="644" t="s">
        <v>65</v>
      </c>
      <c r="D18" s="645">
        <v>50.272309821560647</v>
      </c>
      <c r="E18" s="645">
        <v>551.4646517868191</v>
      </c>
      <c r="F18" s="645">
        <v>91.908412177851574</v>
      </c>
      <c r="G18" s="645">
        <v>351.80121464214682</v>
      </c>
      <c r="H18" s="645">
        <v>1190.909090909091</v>
      </c>
      <c r="I18" s="645">
        <v>172.65095069399246</v>
      </c>
      <c r="J18" s="645">
        <v>193.63496424369919</v>
      </c>
      <c r="K18" s="645">
        <v>22.859954043709436</v>
      </c>
      <c r="L18" s="645">
        <v>1.4204243160219152</v>
      </c>
      <c r="M18" s="645">
        <v>0.13461365170799597</v>
      </c>
      <c r="N18" s="645">
        <v>45.31680426782367</v>
      </c>
      <c r="O18" s="645">
        <v>7.2729377495964416</v>
      </c>
      <c r="P18" s="645">
        <v>-71.534753758802367</v>
      </c>
      <c r="Q18" s="645">
        <v>0</v>
      </c>
      <c r="R18" s="645">
        <v>0</v>
      </c>
      <c r="S18" s="645">
        <v>2608.111574545218</v>
      </c>
      <c r="U18" s="644" t="s">
        <v>65</v>
      </c>
      <c r="V18" s="645">
        <v>19.313313128242111</v>
      </c>
      <c r="W18" s="645">
        <v>449.50354116717102</v>
      </c>
      <c r="X18" s="645">
        <v>92.712633382751903</v>
      </c>
      <c r="Y18" s="645">
        <v>309.71678962200667</v>
      </c>
      <c r="Z18" s="645">
        <v>1083.7741046831957</v>
      </c>
      <c r="AA18" s="645">
        <v>180.88004160308333</v>
      </c>
      <c r="AB18" s="645">
        <v>182.46058470405345</v>
      </c>
      <c r="AC18" s="645">
        <v>35.233025744634077</v>
      </c>
      <c r="AD18" s="645">
        <v>-0.70632042934796635</v>
      </c>
      <c r="AE18" s="645">
        <v>0.13086812885804772</v>
      </c>
      <c r="AF18" s="645">
        <v>55.315214066923446</v>
      </c>
      <c r="AG18" s="645">
        <v>11.104217144375802</v>
      </c>
      <c r="AH18" s="645">
        <v>-59.869044369838548</v>
      </c>
      <c r="AI18" s="645">
        <v>0</v>
      </c>
      <c r="AJ18" s="645">
        <v>0</v>
      </c>
      <c r="AK18" s="645">
        <v>2359.5689685761085</v>
      </c>
    </row>
    <row r="19" spans="3:37" x14ac:dyDescent="0.2">
      <c r="C19" s="634"/>
      <c r="D19" s="634">
        <v>0</v>
      </c>
      <c r="E19" s="634">
        <v>0</v>
      </c>
      <c r="F19" s="634">
        <v>0</v>
      </c>
      <c r="G19" s="634">
        <v>0</v>
      </c>
      <c r="H19" s="634">
        <v>0</v>
      </c>
      <c r="I19" s="634">
        <v>0</v>
      </c>
      <c r="J19" s="634">
        <v>0</v>
      </c>
      <c r="K19" s="634">
        <v>0</v>
      </c>
      <c r="L19" s="634">
        <v>0</v>
      </c>
      <c r="M19" s="634">
        <v>0</v>
      </c>
      <c r="N19" s="634">
        <v>0</v>
      </c>
      <c r="O19" s="634">
        <v>0</v>
      </c>
      <c r="P19" s="634">
        <v>0</v>
      </c>
      <c r="Q19" s="634">
        <v>0</v>
      </c>
      <c r="R19" s="634">
        <v>0</v>
      </c>
      <c r="S19" s="634">
        <v>0</v>
      </c>
      <c r="U19" s="634"/>
      <c r="V19" s="634">
        <v>0</v>
      </c>
      <c r="W19" s="634">
        <v>0</v>
      </c>
      <c r="X19" s="634">
        <v>0</v>
      </c>
      <c r="Y19" s="634">
        <v>0</v>
      </c>
      <c r="Z19" s="634">
        <v>0</v>
      </c>
      <c r="AA19" s="634">
        <v>0</v>
      </c>
      <c r="AB19" s="634">
        <v>0</v>
      </c>
      <c r="AC19" s="634">
        <v>0</v>
      </c>
      <c r="AD19" s="634">
        <v>0</v>
      </c>
      <c r="AE19" s="634">
        <v>0</v>
      </c>
      <c r="AF19" s="634">
        <v>0</v>
      </c>
      <c r="AG19" s="634">
        <v>0</v>
      </c>
      <c r="AH19" s="634">
        <v>0</v>
      </c>
      <c r="AI19" s="634">
        <v>0</v>
      </c>
      <c r="AJ19" s="634">
        <v>0</v>
      </c>
      <c r="AK19" s="634">
        <v>0</v>
      </c>
    </row>
    <row r="20" spans="3:37" x14ac:dyDescent="0.2">
      <c r="C20" s="646" t="s">
        <v>67</v>
      </c>
      <c r="D20" s="640">
        <v>0</v>
      </c>
      <c r="E20" s="647">
        <v>0</v>
      </c>
      <c r="F20" s="647">
        <v>0</v>
      </c>
      <c r="G20" s="640">
        <v>0</v>
      </c>
      <c r="H20" s="640">
        <v>0</v>
      </c>
      <c r="I20" s="640">
        <v>0</v>
      </c>
      <c r="J20" s="640">
        <v>0</v>
      </c>
      <c r="K20" s="640">
        <v>0</v>
      </c>
      <c r="L20" s="640">
        <v>0</v>
      </c>
      <c r="M20" s="640">
        <v>0</v>
      </c>
      <c r="N20" s="640">
        <v>0</v>
      </c>
      <c r="O20" s="640">
        <v>0</v>
      </c>
      <c r="P20" s="640">
        <v>0</v>
      </c>
      <c r="Q20" s="640">
        <v>0</v>
      </c>
      <c r="R20" s="640">
        <v>0</v>
      </c>
      <c r="S20" s="648">
        <v>0</v>
      </c>
      <c r="U20" s="646" t="s">
        <v>67</v>
      </c>
      <c r="V20" s="640">
        <v>0</v>
      </c>
      <c r="W20" s="647">
        <v>0</v>
      </c>
      <c r="X20" s="647">
        <v>0</v>
      </c>
      <c r="Y20" s="640">
        <v>0</v>
      </c>
      <c r="Z20" s="640">
        <v>0</v>
      </c>
      <c r="AA20" s="640">
        <v>0</v>
      </c>
      <c r="AB20" s="640">
        <v>0</v>
      </c>
      <c r="AC20" s="640">
        <v>0</v>
      </c>
      <c r="AD20" s="640">
        <v>0</v>
      </c>
      <c r="AE20" s="640">
        <v>0</v>
      </c>
      <c r="AF20" s="640">
        <v>0</v>
      </c>
      <c r="AG20" s="640">
        <v>0</v>
      </c>
      <c r="AH20" s="640">
        <v>0</v>
      </c>
      <c r="AI20" s="640">
        <v>0</v>
      </c>
      <c r="AJ20" s="640">
        <v>0</v>
      </c>
      <c r="AK20" s="648">
        <v>0</v>
      </c>
    </row>
    <row r="21" spans="3:37" x14ac:dyDescent="0.2">
      <c r="C21" s="646" t="s">
        <v>347</v>
      </c>
      <c r="D21" s="640">
        <v>2.8283781870338589</v>
      </c>
      <c r="E21" s="640">
        <v>0</v>
      </c>
      <c r="F21" s="640">
        <v>7.6468438736280877</v>
      </c>
      <c r="G21" s="640">
        <v>18.081180811808117</v>
      </c>
      <c r="H21" s="640">
        <v>1190.909090909091</v>
      </c>
      <c r="I21" s="640">
        <v>172.65095069399246</v>
      </c>
      <c r="J21" s="649">
        <v>32.565743560582284</v>
      </c>
      <c r="K21" s="649">
        <v>8.5008344637363535</v>
      </c>
      <c r="L21" s="649">
        <v>2.2465763720546779</v>
      </c>
      <c r="M21" s="649">
        <v>0.47195886872926307</v>
      </c>
      <c r="N21" s="649">
        <v>0</v>
      </c>
      <c r="O21" s="649">
        <v>2.2844574579320316</v>
      </c>
      <c r="P21" s="640">
        <v>-595.37716565950768</v>
      </c>
      <c r="Q21" s="640">
        <v>0</v>
      </c>
      <c r="R21" s="640">
        <v>0</v>
      </c>
      <c r="S21" s="648">
        <v>842.80884953908037</v>
      </c>
      <c r="U21" s="646" t="s">
        <v>347</v>
      </c>
      <c r="V21" s="640">
        <v>1.5423887961183378</v>
      </c>
      <c r="W21" s="640">
        <v>0</v>
      </c>
      <c r="X21" s="640">
        <v>4.7336207331322191</v>
      </c>
      <c r="Y21" s="640">
        <v>50.521301576652128</v>
      </c>
      <c r="Z21" s="640">
        <v>1083.7741046831957</v>
      </c>
      <c r="AA21" s="640">
        <v>180.88004160308333</v>
      </c>
      <c r="AB21" s="649">
        <v>27.309071851402241</v>
      </c>
      <c r="AC21" s="649">
        <v>8.3886793509275197</v>
      </c>
      <c r="AD21" s="649">
        <v>2.2465763720546779</v>
      </c>
      <c r="AE21" s="649">
        <v>4.4961118375316795</v>
      </c>
      <c r="AF21" s="649">
        <v>0</v>
      </c>
      <c r="AG21" s="649">
        <v>2.2844574579320316</v>
      </c>
      <c r="AH21" s="640">
        <v>-585.94262020496217</v>
      </c>
      <c r="AI21" s="640">
        <v>0</v>
      </c>
      <c r="AJ21" s="640">
        <v>0</v>
      </c>
      <c r="AK21" s="648">
        <v>780.23373405706764</v>
      </c>
    </row>
    <row r="22" spans="3:37" x14ac:dyDescent="0.2">
      <c r="C22" s="646" t="s">
        <v>348</v>
      </c>
      <c r="D22" s="640">
        <v>4.9396474947490832E-2</v>
      </c>
      <c r="E22" s="640">
        <v>0</v>
      </c>
      <c r="F22" s="640">
        <v>0</v>
      </c>
      <c r="G22" s="640">
        <v>16.012530383781044</v>
      </c>
      <c r="H22" s="640">
        <v>0</v>
      </c>
      <c r="I22" s="640">
        <v>0</v>
      </c>
      <c r="J22" s="649">
        <v>13.847709445189022</v>
      </c>
      <c r="K22" s="649">
        <v>12.568399079785937</v>
      </c>
      <c r="L22" s="649">
        <v>0</v>
      </c>
      <c r="M22" s="649">
        <v>0.33966953640978992</v>
      </c>
      <c r="N22" s="649">
        <v>0</v>
      </c>
      <c r="O22" s="649">
        <v>2.2653429264336893</v>
      </c>
      <c r="P22" s="640">
        <v>0</v>
      </c>
      <c r="Q22" s="640">
        <v>-40.328896494092007</v>
      </c>
      <c r="R22" s="640">
        <v>0</v>
      </c>
      <c r="S22" s="648">
        <v>4.7541513524549677</v>
      </c>
      <c r="U22" s="646" t="s">
        <v>348</v>
      </c>
      <c r="V22" s="640">
        <v>9.8298985145506765E-2</v>
      </c>
      <c r="W22" s="640">
        <v>0</v>
      </c>
      <c r="X22" s="640">
        <v>0</v>
      </c>
      <c r="Y22" s="640">
        <v>18.159328264867909</v>
      </c>
      <c r="Z22" s="640">
        <v>0</v>
      </c>
      <c r="AA22" s="640">
        <v>0</v>
      </c>
      <c r="AB22" s="649">
        <v>24.238794590159831</v>
      </c>
      <c r="AC22" s="649">
        <v>21.035165918687227</v>
      </c>
      <c r="AD22" s="649">
        <v>0</v>
      </c>
      <c r="AE22" s="649">
        <v>1.5919552250789037</v>
      </c>
      <c r="AF22" s="649">
        <v>0</v>
      </c>
      <c r="AG22" s="649">
        <v>4.9326813925495161</v>
      </c>
      <c r="AH22" s="640">
        <v>0</v>
      </c>
      <c r="AI22" s="640">
        <v>-63.058158381408973</v>
      </c>
      <c r="AJ22" s="640">
        <v>0</v>
      </c>
      <c r="AK22" s="648">
        <v>6.9980659950799184</v>
      </c>
    </row>
    <row r="23" spans="3:37" x14ac:dyDescent="0.2">
      <c r="C23" s="646" t="s">
        <v>349</v>
      </c>
      <c r="D23" s="640">
        <v>0</v>
      </c>
      <c r="E23" s="640">
        <v>0</v>
      </c>
      <c r="F23" s="640">
        <v>0</v>
      </c>
      <c r="G23" s="640">
        <v>0</v>
      </c>
      <c r="H23" s="640">
        <v>0</v>
      </c>
      <c r="I23" s="640">
        <v>0</v>
      </c>
      <c r="J23" s="650">
        <v>7.7702715936307092</v>
      </c>
      <c r="K23" s="650">
        <v>0</v>
      </c>
      <c r="L23" s="650">
        <v>0</v>
      </c>
      <c r="M23" s="650">
        <v>-6.9252545578233695</v>
      </c>
      <c r="N23" s="650">
        <v>0</v>
      </c>
      <c r="O23" s="650">
        <v>0</v>
      </c>
      <c r="P23" s="640">
        <v>0</v>
      </c>
      <c r="Q23" s="640">
        <v>0</v>
      </c>
      <c r="R23" s="640">
        <v>0</v>
      </c>
      <c r="S23" s="648">
        <v>0.84501703580733967</v>
      </c>
      <c r="U23" s="646" t="s">
        <v>349</v>
      </c>
      <c r="V23" s="640">
        <v>0</v>
      </c>
      <c r="W23" s="640">
        <v>0</v>
      </c>
      <c r="X23" s="640">
        <v>0</v>
      </c>
      <c r="Y23" s="640">
        <v>0</v>
      </c>
      <c r="Z23" s="640">
        <v>0</v>
      </c>
      <c r="AA23" s="640">
        <v>0</v>
      </c>
      <c r="AB23" s="650">
        <v>30.043092797136723</v>
      </c>
      <c r="AC23" s="650">
        <v>0</v>
      </c>
      <c r="AD23" s="650">
        <v>0</v>
      </c>
      <c r="AE23" s="650">
        <v>-26.775906455448105</v>
      </c>
      <c r="AF23" s="650">
        <v>0</v>
      </c>
      <c r="AG23" s="650">
        <v>0</v>
      </c>
      <c r="AH23" s="640">
        <v>0</v>
      </c>
      <c r="AI23" s="640">
        <v>0</v>
      </c>
      <c r="AJ23" s="640">
        <v>0</v>
      </c>
      <c r="AK23" s="648">
        <v>3.2671863416886175</v>
      </c>
    </row>
    <row r="24" spans="3:37" x14ac:dyDescent="0.2">
      <c r="C24" s="646" t="s">
        <v>350</v>
      </c>
      <c r="D24" s="640">
        <v>0</v>
      </c>
      <c r="E24" s="640">
        <v>0</v>
      </c>
      <c r="F24" s="640">
        <v>0</v>
      </c>
      <c r="G24" s="640">
        <v>0</v>
      </c>
      <c r="H24" s="640">
        <v>0</v>
      </c>
      <c r="I24" s="640">
        <v>0</v>
      </c>
      <c r="J24" s="640">
        <v>0</v>
      </c>
      <c r="K24" s="640">
        <v>0</v>
      </c>
      <c r="L24" s="640">
        <v>0</v>
      </c>
      <c r="M24" s="640">
        <v>0</v>
      </c>
      <c r="N24" s="640">
        <v>0</v>
      </c>
      <c r="O24" s="640">
        <v>0</v>
      </c>
      <c r="P24" s="640">
        <v>0</v>
      </c>
      <c r="Q24" s="640">
        <v>0</v>
      </c>
      <c r="R24" s="640">
        <v>0</v>
      </c>
      <c r="S24" s="648">
        <v>0</v>
      </c>
      <c r="U24" s="646" t="s">
        <v>350</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646" t="s">
        <v>72</v>
      </c>
      <c r="D25" s="640">
        <v>0</v>
      </c>
      <c r="E25" s="640">
        <v>571.25876810153738</v>
      </c>
      <c r="F25" s="640">
        <v>-565.54618042052198</v>
      </c>
      <c r="G25" s="640">
        <v>0</v>
      </c>
      <c r="H25" s="640">
        <v>0</v>
      </c>
      <c r="I25" s="640">
        <v>0</v>
      </c>
      <c r="J25" s="640">
        <v>0</v>
      </c>
      <c r="K25" s="640">
        <v>0</v>
      </c>
      <c r="L25" s="640">
        <v>0</v>
      </c>
      <c r="M25" s="640">
        <v>0</v>
      </c>
      <c r="N25" s="640">
        <v>0</v>
      </c>
      <c r="O25" s="640">
        <v>0</v>
      </c>
      <c r="P25" s="640">
        <v>0</v>
      </c>
      <c r="Q25" s="640">
        <v>0</v>
      </c>
      <c r="R25" s="640">
        <v>0</v>
      </c>
      <c r="S25" s="648">
        <v>5.7125876810154068</v>
      </c>
      <c r="U25" s="646" t="s">
        <v>72</v>
      </c>
      <c r="V25" s="640">
        <v>0</v>
      </c>
      <c r="W25" s="640">
        <v>465.63789420124414</v>
      </c>
      <c r="X25" s="640">
        <v>-460.98151525923168</v>
      </c>
      <c r="Y25" s="640">
        <v>0</v>
      </c>
      <c r="Z25" s="640">
        <v>0</v>
      </c>
      <c r="AA25" s="640">
        <v>0</v>
      </c>
      <c r="AB25" s="640">
        <v>0</v>
      </c>
      <c r="AC25" s="640">
        <v>0</v>
      </c>
      <c r="AD25" s="640">
        <v>0</v>
      </c>
      <c r="AE25" s="640">
        <v>0</v>
      </c>
      <c r="AF25" s="640">
        <v>0</v>
      </c>
      <c r="AG25" s="640">
        <v>0</v>
      </c>
      <c r="AH25" s="640">
        <v>0</v>
      </c>
      <c r="AI25" s="640">
        <v>0</v>
      </c>
      <c r="AJ25" s="640">
        <v>0</v>
      </c>
      <c r="AK25" s="648">
        <v>4.6563789420124522</v>
      </c>
    </row>
    <row r="26" spans="3:37" x14ac:dyDescent="0.2">
      <c r="C26" s="646" t="s">
        <v>351</v>
      </c>
      <c r="D26" s="640">
        <v>0</v>
      </c>
      <c r="E26" s="640">
        <v>0</v>
      </c>
      <c r="F26" s="640">
        <v>0</v>
      </c>
      <c r="G26" s="640">
        <v>0</v>
      </c>
      <c r="H26" s="640">
        <v>0</v>
      </c>
      <c r="I26" s="640">
        <v>0</v>
      </c>
      <c r="J26" s="640">
        <v>39.987714904046477</v>
      </c>
      <c r="K26" s="640">
        <v>0</v>
      </c>
      <c r="L26" s="640">
        <v>-39.987714904046477</v>
      </c>
      <c r="M26" s="640">
        <v>0</v>
      </c>
      <c r="N26" s="640">
        <v>0</v>
      </c>
      <c r="O26" s="640">
        <v>0</v>
      </c>
      <c r="P26" s="640">
        <v>0</v>
      </c>
      <c r="Q26" s="640">
        <v>0</v>
      </c>
      <c r="R26" s="640">
        <v>0</v>
      </c>
      <c r="S26" s="648">
        <v>0</v>
      </c>
      <c r="U26" s="646" t="s">
        <v>351</v>
      </c>
      <c r="V26" s="640">
        <v>0</v>
      </c>
      <c r="W26" s="640">
        <v>0</v>
      </c>
      <c r="X26" s="640">
        <v>0</v>
      </c>
      <c r="Y26" s="640">
        <v>0</v>
      </c>
      <c r="Z26" s="640">
        <v>0</v>
      </c>
      <c r="AA26" s="640">
        <v>0</v>
      </c>
      <c r="AB26" s="640" t="e">
        <v>#VALUE!</v>
      </c>
      <c r="AC26" s="640">
        <v>0</v>
      </c>
      <c r="AD26" s="640">
        <v>-45.567606807542596</v>
      </c>
      <c r="AE26" s="640">
        <v>0</v>
      </c>
      <c r="AF26" s="640">
        <v>0</v>
      </c>
      <c r="AG26" s="640">
        <v>0</v>
      </c>
      <c r="AH26" s="640">
        <v>0</v>
      </c>
      <c r="AI26" s="640">
        <v>0</v>
      </c>
      <c r="AJ26" s="640">
        <v>0</v>
      </c>
      <c r="AK26" s="648">
        <v>-45.567606807542596</v>
      </c>
    </row>
    <row r="27" spans="3:37" x14ac:dyDescent="0.2">
      <c r="C27" s="646" t="s">
        <v>352</v>
      </c>
      <c r="D27" s="640">
        <v>0</v>
      </c>
      <c r="E27" s="640">
        <v>0</v>
      </c>
      <c r="F27" s="640">
        <v>0</v>
      </c>
      <c r="G27" s="640">
        <v>0</v>
      </c>
      <c r="H27" s="640">
        <v>0</v>
      </c>
      <c r="I27" s="640">
        <v>0</v>
      </c>
      <c r="J27" s="640">
        <v>0</v>
      </c>
      <c r="K27" s="640">
        <v>0</v>
      </c>
      <c r="L27" s="640">
        <v>0</v>
      </c>
      <c r="M27" s="640">
        <v>0</v>
      </c>
      <c r="N27" s="640">
        <v>0</v>
      </c>
      <c r="O27" s="640">
        <v>0</v>
      </c>
      <c r="P27" s="640">
        <v>0</v>
      </c>
      <c r="Q27" s="640">
        <v>0</v>
      </c>
      <c r="R27" s="640">
        <v>0</v>
      </c>
      <c r="S27" s="648">
        <v>0</v>
      </c>
      <c r="U27" s="646" t="s">
        <v>352</v>
      </c>
      <c r="V27" s="640">
        <v>0</v>
      </c>
      <c r="W27" s="640">
        <v>0</v>
      </c>
      <c r="X27" s="640">
        <v>0</v>
      </c>
      <c r="Y27" s="640">
        <v>0</v>
      </c>
      <c r="Z27" s="640">
        <v>0</v>
      </c>
      <c r="AA27" s="640">
        <v>0</v>
      </c>
      <c r="AB27" s="640">
        <v>0</v>
      </c>
      <c r="AC27" s="640">
        <v>0</v>
      </c>
      <c r="AD27" s="640">
        <v>-3.4570377590144092</v>
      </c>
      <c r="AE27" s="640">
        <v>0</v>
      </c>
      <c r="AF27" s="640">
        <v>0</v>
      </c>
      <c r="AG27" s="640">
        <v>0</v>
      </c>
      <c r="AH27" s="640">
        <v>0</v>
      </c>
      <c r="AI27" s="640">
        <v>0</v>
      </c>
      <c r="AJ27" s="640">
        <v>0</v>
      </c>
      <c r="AK27" s="648">
        <v>-3.4570377590144092</v>
      </c>
    </row>
    <row r="28" spans="3:37" x14ac:dyDescent="0.2">
      <c r="C28" s="646" t="s">
        <v>73</v>
      </c>
      <c r="D28" s="640">
        <v>0</v>
      </c>
      <c r="E28" s="640">
        <v>0</v>
      </c>
      <c r="F28" s="640">
        <v>0</v>
      </c>
      <c r="G28" s="640">
        <v>0.75220280486673308</v>
      </c>
      <c r="H28" s="640">
        <v>0</v>
      </c>
      <c r="I28" s="640">
        <v>0</v>
      </c>
      <c r="J28" s="640">
        <v>0</v>
      </c>
      <c r="K28" s="640">
        <v>8.3794091977846576E-3</v>
      </c>
      <c r="L28" s="640">
        <v>0</v>
      </c>
      <c r="M28" s="640">
        <v>1.5351077650341492E-2</v>
      </c>
      <c r="N28" s="640">
        <v>0</v>
      </c>
      <c r="O28" s="640">
        <v>0</v>
      </c>
      <c r="P28" s="640">
        <v>6.6777445606960792E-2</v>
      </c>
      <c r="Q28" s="640">
        <v>0</v>
      </c>
      <c r="R28" s="640">
        <v>-0.58655864384492595</v>
      </c>
      <c r="S28" s="648">
        <v>0.25615209347689405</v>
      </c>
      <c r="U28" s="646" t="s">
        <v>73</v>
      </c>
      <c r="V28" s="640">
        <v>0</v>
      </c>
      <c r="W28" s="640">
        <v>0</v>
      </c>
      <c r="X28" s="640">
        <v>0</v>
      </c>
      <c r="Y28" s="640">
        <v>3.5795956147675603</v>
      </c>
      <c r="Z28" s="640">
        <v>0</v>
      </c>
      <c r="AA28" s="640">
        <v>0</v>
      </c>
      <c r="AB28" s="640">
        <v>0</v>
      </c>
      <c r="AC28" s="640">
        <v>7.7817295973207842E-2</v>
      </c>
      <c r="AD28" s="640">
        <v>0</v>
      </c>
      <c r="AE28" s="640">
        <v>0.31126918389283142</v>
      </c>
      <c r="AF28" s="640">
        <v>0</v>
      </c>
      <c r="AG28" s="640">
        <v>0</v>
      </c>
      <c r="AH28" s="640">
        <v>4.1063588490477363</v>
      </c>
      <c r="AI28" s="640">
        <v>0</v>
      </c>
      <c r="AJ28" s="640">
        <v>-5.4472107181245484</v>
      </c>
      <c r="AK28" s="648">
        <v>2.6278302255567869</v>
      </c>
    </row>
    <row r="29" spans="3:37" x14ac:dyDescent="0.2">
      <c r="C29" s="646" t="s">
        <v>353</v>
      </c>
      <c r="D29" s="640">
        <v>29.279348437500001</v>
      </c>
      <c r="E29" s="640">
        <v>-19.79411631471827</v>
      </c>
      <c r="F29" s="640">
        <v>25.889534996151326</v>
      </c>
      <c r="G29" s="640">
        <v>0</v>
      </c>
      <c r="H29" s="640">
        <v>0</v>
      </c>
      <c r="I29" s="640">
        <v>0</v>
      </c>
      <c r="J29" s="640">
        <v>0</v>
      </c>
      <c r="K29" s="640">
        <v>0</v>
      </c>
      <c r="L29" s="640">
        <v>0</v>
      </c>
      <c r="M29" s="640">
        <v>0</v>
      </c>
      <c r="N29" s="640">
        <v>0</v>
      </c>
      <c r="O29" s="640">
        <v>0</v>
      </c>
      <c r="P29" s="640">
        <v>0</v>
      </c>
      <c r="Q29" s="640">
        <v>0</v>
      </c>
      <c r="R29" s="640">
        <v>0</v>
      </c>
      <c r="S29" s="648">
        <v>35.374767118933057</v>
      </c>
      <c r="U29" s="646" t="s">
        <v>353</v>
      </c>
      <c r="V29" s="640">
        <v>8.1420534667968738</v>
      </c>
      <c r="W29" s="640">
        <v>-16.134353034073111</v>
      </c>
      <c r="X29" s="640">
        <v>21.102780789728897</v>
      </c>
      <c r="Y29" s="640">
        <v>0</v>
      </c>
      <c r="Z29" s="640">
        <v>0</v>
      </c>
      <c r="AA29" s="640">
        <v>0</v>
      </c>
      <c r="AB29" s="640">
        <v>0</v>
      </c>
      <c r="AC29" s="640">
        <v>0</v>
      </c>
      <c r="AD29" s="640">
        <v>0</v>
      </c>
      <c r="AE29" s="640">
        <v>0</v>
      </c>
      <c r="AF29" s="640">
        <v>0</v>
      </c>
      <c r="AG29" s="640">
        <v>0</v>
      </c>
      <c r="AH29" s="640">
        <v>0</v>
      </c>
      <c r="AI29" s="640">
        <v>0</v>
      </c>
      <c r="AJ29" s="640">
        <v>0</v>
      </c>
      <c r="AK29" s="648">
        <v>13.110481222452659</v>
      </c>
    </row>
    <row r="30" spans="3:37" x14ac:dyDescent="0.2">
      <c r="C30" s="646" t="s">
        <v>75</v>
      </c>
      <c r="D30" s="640">
        <v>11.386413281250002</v>
      </c>
      <c r="E30" s="640">
        <v>0</v>
      </c>
      <c r="F30" s="640">
        <v>19.422798115452274</v>
      </c>
      <c r="G30" s="640">
        <v>5.5423525681211148</v>
      </c>
      <c r="H30" s="640">
        <v>0</v>
      </c>
      <c r="I30" s="640">
        <v>0</v>
      </c>
      <c r="J30" s="640">
        <v>0</v>
      </c>
      <c r="K30" s="640">
        <v>0</v>
      </c>
      <c r="L30" s="640">
        <v>0</v>
      </c>
      <c r="M30" s="640">
        <v>0.11310923608410439</v>
      </c>
      <c r="N30" s="640">
        <v>0</v>
      </c>
      <c r="O30" s="640">
        <v>0</v>
      </c>
      <c r="P30" s="640">
        <v>36.293113930785914</v>
      </c>
      <c r="Q30" s="640">
        <v>0</v>
      </c>
      <c r="R30" s="640">
        <v>0</v>
      </c>
      <c r="S30" s="648">
        <v>72.757787131693405</v>
      </c>
      <c r="U30" s="646" t="s">
        <v>75</v>
      </c>
      <c r="V30" s="640">
        <v>7.5011909179687501</v>
      </c>
      <c r="W30" s="640">
        <v>0</v>
      </c>
      <c r="X30" s="640">
        <v>19.422798115452274</v>
      </c>
      <c r="Y30" s="640">
        <v>5.203024859868802</v>
      </c>
      <c r="Z30" s="640">
        <v>0</v>
      </c>
      <c r="AA30" s="640">
        <v>0</v>
      </c>
      <c r="AB30" s="640">
        <v>0</v>
      </c>
      <c r="AC30" s="640">
        <v>0</v>
      </c>
      <c r="AD30" s="640">
        <v>0</v>
      </c>
      <c r="AE30" s="640">
        <v>0.45243694433641768</v>
      </c>
      <c r="AF30" s="640">
        <v>0</v>
      </c>
      <c r="AG30" s="640">
        <v>0</v>
      </c>
      <c r="AH30" s="640">
        <v>32.151874261364433</v>
      </c>
      <c r="AI30" s="640">
        <v>0</v>
      </c>
      <c r="AJ30" s="640">
        <v>0</v>
      </c>
      <c r="AK30" s="648">
        <v>64.731325098990681</v>
      </c>
    </row>
    <row r="31" spans="3:37" x14ac:dyDescent="0.2">
      <c r="C31" s="646" t="s">
        <v>76</v>
      </c>
      <c r="D31" s="640">
        <v>0</v>
      </c>
      <c r="E31" s="640">
        <v>0</v>
      </c>
      <c r="F31" s="640">
        <v>0</v>
      </c>
      <c r="G31" s="640">
        <v>4.0237645059289928</v>
      </c>
      <c r="H31" s="640">
        <v>0</v>
      </c>
      <c r="I31" s="640">
        <v>0</v>
      </c>
      <c r="J31" s="640">
        <v>0</v>
      </c>
      <c r="K31" s="640">
        <v>0</v>
      </c>
      <c r="L31" s="640">
        <v>0</v>
      </c>
      <c r="M31" s="640">
        <v>8.211764297814271E-2</v>
      </c>
      <c r="N31" s="640">
        <v>0</v>
      </c>
      <c r="O31" s="640">
        <v>0</v>
      </c>
      <c r="P31" s="640">
        <v>40.115929077638647</v>
      </c>
      <c r="Q31" s="640">
        <v>3.1293610589936001</v>
      </c>
      <c r="R31" s="640">
        <v>0</v>
      </c>
      <c r="S31" s="648">
        <v>47.351172285539384</v>
      </c>
      <c r="U31" s="646" t="s">
        <v>76</v>
      </c>
      <c r="V31" s="640">
        <v>0</v>
      </c>
      <c r="W31" s="640">
        <v>0</v>
      </c>
      <c r="X31" s="640">
        <v>0</v>
      </c>
      <c r="Y31" s="640">
        <v>3.6512599711974678</v>
      </c>
      <c r="Z31" s="640">
        <v>0</v>
      </c>
      <c r="AA31" s="640">
        <v>0</v>
      </c>
      <c r="AB31" s="640">
        <v>0</v>
      </c>
      <c r="AC31" s="640">
        <v>0</v>
      </c>
      <c r="AD31" s="640">
        <v>0</v>
      </c>
      <c r="AE31" s="640">
        <v>0.31750086706064945</v>
      </c>
      <c r="AF31" s="640">
        <v>0</v>
      </c>
      <c r="AG31" s="640">
        <v>0</v>
      </c>
      <c r="AH31" s="640">
        <v>40.286923174182249</v>
      </c>
      <c r="AI31" s="640">
        <v>4.8906691757229597</v>
      </c>
      <c r="AJ31" s="640">
        <v>0</v>
      </c>
      <c r="AK31" s="648">
        <v>49.146353188163332</v>
      </c>
    </row>
    <row r="32" spans="3:37" x14ac:dyDescent="0.2">
      <c r="C32" s="644" t="s">
        <v>77</v>
      </c>
      <c r="D32" s="645">
        <v>43.543536380731354</v>
      </c>
      <c r="E32" s="645">
        <v>551.4646517868191</v>
      </c>
      <c r="F32" s="645">
        <v>-512.58700343529028</v>
      </c>
      <c r="G32" s="645">
        <v>44.412031074506011</v>
      </c>
      <c r="H32" s="645">
        <v>1190.909090909091</v>
      </c>
      <c r="I32" s="645">
        <v>172.65095069399246</v>
      </c>
      <c r="J32" s="645">
        <v>94.171439503448497</v>
      </c>
      <c r="K32" s="645">
        <v>21.077612952720074</v>
      </c>
      <c r="L32" s="645">
        <v>-37.741138531991801</v>
      </c>
      <c r="M32" s="645">
        <v>-5.9030481959717278</v>
      </c>
      <c r="N32" s="645">
        <v>0</v>
      </c>
      <c r="O32" s="645">
        <v>4.5498003843657209</v>
      </c>
      <c r="P32" s="645">
        <v>-518.9013452054761</v>
      </c>
      <c r="Q32" s="645">
        <v>-37.199535435098404</v>
      </c>
      <c r="R32" s="645">
        <v>-0.58655864384492595</v>
      </c>
      <c r="S32" s="645">
        <v>1009.8604842380009</v>
      </c>
      <c r="U32" s="644" t="s">
        <v>77</v>
      </c>
      <c r="V32" s="645">
        <v>17.283932166029469</v>
      </c>
      <c r="W32" s="645">
        <v>449.50354116717102</v>
      </c>
      <c r="X32" s="645">
        <v>-415.72231562091827</v>
      </c>
      <c r="Y32" s="645">
        <v>81.114510287353866</v>
      </c>
      <c r="Z32" s="645">
        <v>1083.7741046831957</v>
      </c>
      <c r="AA32" s="645">
        <v>180.88004160308333</v>
      </c>
      <c r="AB32" s="645">
        <v>81.590959238698787</v>
      </c>
      <c r="AC32" s="645">
        <v>29.501662565587953</v>
      </c>
      <c r="AD32" s="645">
        <v>-46.778068194502332</v>
      </c>
      <c r="AE32" s="645">
        <v>-19.606632397547621</v>
      </c>
      <c r="AF32" s="645">
        <v>0</v>
      </c>
      <c r="AG32" s="645">
        <v>7.2171388504815477</v>
      </c>
      <c r="AH32" s="645">
        <v>-509.39746392036778</v>
      </c>
      <c r="AI32" s="645">
        <v>-58.16748920568601</v>
      </c>
      <c r="AJ32" s="645">
        <v>-5.4472107181245484</v>
      </c>
      <c r="AK32" s="645">
        <v>875.74671050445522</v>
      </c>
    </row>
    <row r="33" spans="3:37" x14ac:dyDescent="0.2">
      <c r="C33" s="634"/>
      <c r="D33" s="634">
        <v>0</v>
      </c>
      <c r="E33" s="634">
        <v>0</v>
      </c>
      <c r="F33" s="634">
        <v>0</v>
      </c>
      <c r="G33" s="634">
        <v>0</v>
      </c>
      <c r="H33" s="634">
        <v>0</v>
      </c>
      <c r="I33" s="634">
        <v>0</v>
      </c>
      <c r="J33" s="634">
        <v>0</v>
      </c>
      <c r="K33" s="634">
        <v>0</v>
      </c>
      <c r="L33" s="634">
        <v>0</v>
      </c>
      <c r="M33" s="634">
        <v>0</v>
      </c>
      <c r="N33" s="634">
        <v>0</v>
      </c>
      <c r="O33" s="634">
        <v>0</v>
      </c>
      <c r="P33" s="634">
        <v>0</v>
      </c>
      <c r="Q33" s="634">
        <v>0</v>
      </c>
      <c r="R33" s="634">
        <v>0</v>
      </c>
      <c r="S33" s="634">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646" t="s">
        <v>78</v>
      </c>
      <c r="D34" s="640">
        <v>6.728773440829297</v>
      </c>
      <c r="E34" s="640">
        <v>0</v>
      </c>
      <c r="F34" s="640">
        <v>25.863549799477383</v>
      </c>
      <c r="G34" s="640">
        <v>106.8903340661312</v>
      </c>
      <c r="H34" s="640">
        <v>0</v>
      </c>
      <c r="I34" s="640">
        <v>0</v>
      </c>
      <c r="J34" s="640">
        <v>18.169859613838756</v>
      </c>
      <c r="K34" s="640">
        <v>1.7567698743130979</v>
      </c>
      <c r="L34" s="640">
        <v>0.84376959960937503</v>
      </c>
      <c r="M34" s="640">
        <v>2.2002106600734406</v>
      </c>
      <c r="N34" s="640">
        <v>0</v>
      </c>
      <c r="O34" s="640">
        <v>3.8276465550578692E-4</v>
      </c>
      <c r="P34" s="640">
        <v>109.87696924977793</v>
      </c>
      <c r="Q34" s="640">
        <v>16.590503969858354</v>
      </c>
      <c r="R34" s="640">
        <v>0.37438674926757814</v>
      </c>
      <c r="S34" s="648">
        <v>289.29550978783192</v>
      </c>
      <c r="U34" s="646" t="s">
        <v>78</v>
      </c>
      <c r="V34" s="640">
        <v>2.0293809622126395</v>
      </c>
      <c r="W34" s="640">
        <v>0</v>
      </c>
      <c r="X34" s="640">
        <v>19.296192618187902</v>
      </c>
      <c r="Y34" s="640">
        <v>85.841195035715842</v>
      </c>
      <c r="Z34" s="640">
        <v>0</v>
      </c>
      <c r="AA34" s="640">
        <v>0</v>
      </c>
      <c r="AB34" s="640">
        <v>17.65205880284368</v>
      </c>
      <c r="AC34" s="640">
        <v>5.7057919623698545</v>
      </c>
      <c r="AD34" s="640">
        <v>1.0576742773437502</v>
      </c>
      <c r="AE34" s="640">
        <v>7.4832270132048837</v>
      </c>
      <c r="AF34" s="640">
        <v>0</v>
      </c>
      <c r="AG34" s="640">
        <v>3.8276465550578692E-4</v>
      </c>
      <c r="AH34" s="640">
        <v>128.8590842242281</v>
      </c>
      <c r="AI34" s="640">
        <v>20.165819518520905</v>
      </c>
      <c r="AJ34" s="640">
        <v>3.3051525878906252</v>
      </c>
      <c r="AK34" s="648">
        <v>291.39595976717368</v>
      </c>
    </row>
    <row r="35" spans="3:37" x14ac:dyDescent="0.2">
      <c r="C35" s="646" t="s">
        <v>79</v>
      </c>
      <c r="D35" s="640">
        <v>0</v>
      </c>
      <c r="E35" s="640">
        <v>0</v>
      </c>
      <c r="F35" s="640">
        <v>369.9552310331793</v>
      </c>
      <c r="G35" s="640">
        <v>11.471553092100274</v>
      </c>
      <c r="H35" s="640">
        <v>0</v>
      </c>
      <c r="I35" s="640">
        <v>0</v>
      </c>
      <c r="J35" s="640">
        <v>0</v>
      </c>
      <c r="K35" s="640">
        <v>0</v>
      </c>
      <c r="L35" s="640">
        <v>35.942658929765898</v>
      </c>
      <c r="M35" s="640">
        <v>0.23411332841020971</v>
      </c>
      <c r="N35" s="640">
        <v>0</v>
      </c>
      <c r="O35" s="640">
        <v>0</v>
      </c>
      <c r="P35" s="640">
        <v>25.304787135555738</v>
      </c>
      <c r="Q35" s="640">
        <v>0</v>
      </c>
      <c r="R35" s="640">
        <v>0.21217189457734786</v>
      </c>
      <c r="S35" s="648">
        <v>443.12051541358881</v>
      </c>
      <c r="U35" s="646" t="s">
        <v>79</v>
      </c>
      <c r="V35" s="640">
        <v>0</v>
      </c>
      <c r="W35" s="640">
        <v>0</v>
      </c>
      <c r="X35" s="640">
        <v>313.43701377185255</v>
      </c>
      <c r="Y35" s="640">
        <v>10.638728179836399</v>
      </c>
      <c r="Z35" s="640">
        <v>0</v>
      </c>
      <c r="AA35" s="640">
        <v>0</v>
      </c>
      <c r="AB35" s="640">
        <v>0</v>
      </c>
      <c r="AC35" s="640">
        <v>0</v>
      </c>
      <c r="AD35" s="640">
        <v>37.80600606344305</v>
      </c>
      <c r="AE35" s="640">
        <v>1.0240500912331831</v>
      </c>
      <c r="AF35" s="640">
        <v>0</v>
      </c>
      <c r="AG35" s="640">
        <v>0</v>
      </c>
      <c r="AH35" s="640">
        <v>27.763643315903455</v>
      </c>
      <c r="AI35" s="640">
        <v>0</v>
      </c>
      <c r="AJ35" s="640">
        <v>0.49126373722019012</v>
      </c>
      <c r="AK35" s="648">
        <v>391.16070515948877</v>
      </c>
    </row>
    <row r="36" spans="3:37" x14ac:dyDescent="0.2">
      <c r="C36" s="646" t="s">
        <v>80</v>
      </c>
      <c r="D36" s="640">
        <v>0</v>
      </c>
      <c r="E36" s="640">
        <v>0</v>
      </c>
      <c r="F36" s="640">
        <v>35.339410591812062</v>
      </c>
      <c r="G36" s="640">
        <v>110.15178599375342</v>
      </c>
      <c r="H36" s="640">
        <v>0</v>
      </c>
      <c r="I36" s="640">
        <v>0</v>
      </c>
      <c r="J36" s="640">
        <v>76.439784825488388</v>
      </c>
      <c r="K36" s="640">
        <v>0</v>
      </c>
      <c r="L36" s="640">
        <v>0</v>
      </c>
      <c r="M36" s="640">
        <v>2.2479956325255803</v>
      </c>
      <c r="N36" s="640">
        <v>37.868836361528707</v>
      </c>
      <c r="O36" s="640">
        <v>1.7588356807089602</v>
      </c>
      <c r="P36" s="640">
        <v>172.83410671700432</v>
      </c>
      <c r="Q36" s="640">
        <v>15.866907360541454</v>
      </c>
      <c r="R36" s="640">
        <v>0</v>
      </c>
      <c r="S36" s="648">
        <v>452.50766316336285</v>
      </c>
      <c r="U36" s="646" t="s">
        <v>80</v>
      </c>
      <c r="V36" s="640">
        <v>0</v>
      </c>
      <c r="W36" s="640">
        <v>0</v>
      </c>
      <c r="X36" s="640">
        <v>15.561012749366258</v>
      </c>
      <c r="Y36" s="640">
        <v>82.553801475145548</v>
      </c>
      <c r="Z36" s="640">
        <v>0</v>
      </c>
      <c r="AA36" s="640">
        <v>0</v>
      </c>
      <c r="AB36" s="640">
        <v>74.889683173020046</v>
      </c>
      <c r="AC36" s="640">
        <v>0</v>
      </c>
      <c r="AD36" s="640">
        <v>0</v>
      </c>
      <c r="AE36" s="640">
        <v>7.1785914326213538</v>
      </c>
      <c r="AF36" s="640">
        <v>42.28245423809345</v>
      </c>
      <c r="AG36" s="640">
        <v>1.7308148603825539</v>
      </c>
      <c r="AH36" s="640">
        <v>160.19147139934566</v>
      </c>
      <c r="AI36" s="640">
        <v>30.044387556600874</v>
      </c>
      <c r="AJ36" s="640">
        <v>0</v>
      </c>
      <c r="AK36" s="648">
        <v>414.43221688457572</v>
      </c>
    </row>
    <row r="37" spans="3:37" x14ac:dyDescent="0.2">
      <c r="C37" s="646" t="s">
        <v>81</v>
      </c>
      <c r="D37" s="640">
        <v>0</v>
      </c>
      <c r="E37" s="640">
        <v>0</v>
      </c>
      <c r="F37" s="640">
        <v>16.364991401651867</v>
      </c>
      <c r="G37" s="640">
        <v>64.121059154218784</v>
      </c>
      <c r="H37" s="640">
        <v>0</v>
      </c>
      <c r="I37" s="640">
        <v>0</v>
      </c>
      <c r="J37" s="640">
        <v>3.7472623320410015</v>
      </c>
      <c r="K37" s="640">
        <v>2.5571216676264549E-2</v>
      </c>
      <c r="L37" s="640">
        <v>0</v>
      </c>
      <c r="M37" s="640">
        <v>1.3085930439636488</v>
      </c>
      <c r="N37" s="640">
        <v>7.447967906294962</v>
      </c>
      <c r="O37" s="640">
        <v>0.8772790781137545</v>
      </c>
      <c r="P37" s="640">
        <v>131.35942241830159</v>
      </c>
      <c r="Q37" s="640">
        <v>4.7421241046985951</v>
      </c>
      <c r="R37" s="640">
        <v>0</v>
      </c>
      <c r="S37" s="648">
        <v>229.99427065596046</v>
      </c>
      <c r="U37" s="646" t="s">
        <v>81</v>
      </c>
      <c r="V37" s="640">
        <v>0</v>
      </c>
      <c r="W37" s="640">
        <v>0</v>
      </c>
      <c r="X37" s="640">
        <v>8.4431338424639417</v>
      </c>
      <c r="Y37" s="640">
        <v>45.209877020113709</v>
      </c>
      <c r="Z37" s="640">
        <v>0</v>
      </c>
      <c r="AA37" s="640">
        <v>0</v>
      </c>
      <c r="AB37" s="640">
        <v>7.2212655206083989</v>
      </c>
      <c r="AC37" s="640">
        <v>2.5571216676264549E-2</v>
      </c>
      <c r="AD37" s="640">
        <v>0</v>
      </c>
      <c r="AE37" s="640">
        <v>3.9312936539229324</v>
      </c>
      <c r="AF37" s="640">
        <v>13.032759828829999</v>
      </c>
      <c r="AG37" s="640">
        <v>1.6365054019865546</v>
      </c>
      <c r="AH37" s="640">
        <v>124.3283929234443</v>
      </c>
      <c r="AI37" s="640">
        <v>7.9572821305642334</v>
      </c>
      <c r="AJ37" s="640">
        <v>0</v>
      </c>
      <c r="AK37" s="648">
        <v>211.78608153861032</v>
      </c>
    </row>
    <row r="38" spans="3:37" x14ac:dyDescent="0.2">
      <c r="C38" s="646" t="s">
        <v>82</v>
      </c>
      <c r="D38" s="640">
        <v>0</v>
      </c>
      <c r="E38" s="640">
        <v>0</v>
      </c>
      <c r="F38" s="640">
        <v>33.765533014074606</v>
      </c>
      <c r="G38" s="640">
        <v>2.2907099526353965</v>
      </c>
      <c r="H38" s="640">
        <v>0</v>
      </c>
      <c r="I38" s="640">
        <v>0</v>
      </c>
      <c r="J38" s="640">
        <v>1.1066179688825246</v>
      </c>
      <c r="K38" s="640">
        <v>0</v>
      </c>
      <c r="L38" s="640">
        <v>2.3728212231152073</v>
      </c>
      <c r="M38" s="640">
        <v>4.6749182706844826E-2</v>
      </c>
      <c r="N38" s="640">
        <v>0</v>
      </c>
      <c r="O38" s="640">
        <v>8.6639841752499475E-2</v>
      </c>
      <c r="P38" s="640">
        <v>7.9913059260342072</v>
      </c>
      <c r="Q38" s="640">
        <v>0</v>
      </c>
      <c r="R38" s="640">
        <v>0</v>
      </c>
      <c r="S38" s="648">
        <v>47.660377109201292</v>
      </c>
      <c r="U38" s="646" t="s">
        <v>82</v>
      </c>
      <c r="V38" s="640">
        <v>0</v>
      </c>
      <c r="W38" s="640">
        <v>0</v>
      </c>
      <c r="X38" s="640">
        <v>29.817412370685851</v>
      </c>
      <c r="Y38" s="640">
        <v>2.4393255997206347</v>
      </c>
      <c r="Z38" s="640">
        <v>0</v>
      </c>
      <c r="AA38" s="640">
        <v>0</v>
      </c>
      <c r="AB38" s="640">
        <v>1.1066179688825246</v>
      </c>
      <c r="AC38" s="640">
        <v>0</v>
      </c>
      <c r="AD38" s="640">
        <v>7.1577097724425283</v>
      </c>
      <c r="AE38" s="640">
        <v>0.2121152695409248</v>
      </c>
      <c r="AF38" s="640">
        <v>0</v>
      </c>
      <c r="AG38" s="640">
        <v>0.5193752668696392</v>
      </c>
      <c r="AH38" s="640">
        <v>8.0258276876076717</v>
      </c>
      <c r="AI38" s="640">
        <v>0</v>
      </c>
      <c r="AJ38" s="640">
        <v>0.13892990437736891</v>
      </c>
      <c r="AK38" s="648">
        <v>49.417313840127143</v>
      </c>
    </row>
    <row r="39" spans="3:37" x14ac:dyDescent="0.2">
      <c r="C39" s="646" t="s">
        <v>354</v>
      </c>
      <c r="D39" s="640">
        <v>0</v>
      </c>
      <c r="E39" s="640">
        <v>0</v>
      </c>
      <c r="F39" s="640">
        <v>0</v>
      </c>
      <c r="G39" s="640">
        <v>0</v>
      </c>
      <c r="H39" s="640">
        <v>0</v>
      </c>
      <c r="I39" s="640">
        <v>0</v>
      </c>
      <c r="J39" s="640">
        <v>0</v>
      </c>
      <c r="K39" s="640">
        <v>0</v>
      </c>
      <c r="L39" s="640">
        <v>0</v>
      </c>
      <c r="M39" s="640">
        <v>0</v>
      </c>
      <c r="N39" s="640">
        <v>0</v>
      </c>
      <c r="O39" s="640">
        <v>0</v>
      </c>
      <c r="P39" s="640">
        <v>0</v>
      </c>
      <c r="Q39" s="640">
        <v>0</v>
      </c>
      <c r="R39" s="640">
        <v>0</v>
      </c>
      <c r="S39" s="648">
        <v>0</v>
      </c>
      <c r="U39" s="646" t="s">
        <v>354</v>
      </c>
      <c r="V39" s="640">
        <v>0</v>
      </c>
      <c r="W39" s="640">
        <v>0</v>
      </c>
      <c r="X39" s="640">
        <v>0</v>
      </c>
      <c r="Y39" s="640">
        <v>0</v>
      </c>
      <c r="Z39" s="640">
        <v>0</v>
      </c>
      <c r="AA39" s="640">
        <v>0</v>
      </c>
      <c r="AB39" s="640">
        <v>0</v>
      </c>
      <c r="AC39" s="640">
        <v>0</v>
      </c>
      <c r="AD39" s="640">
        <v>0</v>
      </c>
      <c r="AE39" s="640">
        <v>0</v>
      </c>
      <c r="AF39" s="640">
        <v>0</v>
      </c>
      <c r="AG39" s="640">
        <v>0</v>
      </c>
      <c r="AH39" s="640">
        <v>0.36</v>
      </c>
      <c r="AI39" s="640">
        <v>0</v>
      </c>
      <c r="AJ39" s="640">
        <v>0</v>
      </c>
      <c r="AK39" s="648">
        <v>0.36</v>
      </c>
    </row>
    <row r="40" spans="3:37" x14ac:dyDescent="0.2">
      <c r="C40" s="644" t="s">
        <v>83</v>
      </c>
      <c r="D40" s="645">
        <v>6.728773440829297</v>
      </c>
      <c r="E40" s="645">
        <v>0</v>
      </c>
      <c r="F40" s="645">
        <v>481.28871584019521</v>
      </c>
      <c r="G40" s="645">
        <v>294.92544225883904</v>
      </c>
      <c r="H40" s="645">
        <v>0</v>
      </c>
      <c r="I40" s="645">
        <v>0</v>
      </c>
      <c r="J40" s="645">
        <v>99.463524740250691</v>
      </c>
      <c r="K40" s="645">
        <v>1.7823410909893624</v>
      </c>
      <c r="L40" s="645">
        <v>39.159249752490481</v>
      </c>
      <c r="M40" s="645">
        <v>6.0376618476797237</v>
      </c>
      <c r="N40" s="645">
        <v>45.31680426782367</v>
      </c>
      <c r="O40" s="645">
        <v>2.7231373652307198</v>
      </c>
      <c r="P40" s="645">
        <v>447.36659144667379</v>
      </c>
      <c r="Q40" s="645">
        <v>37.199535435098404</v>
      </c>
      <c r="R40" s="645">
        <v>0.58655864384492595</v>
      </c>
      <c r="S40" s="645">
        <v>1462.5783361299455</v>
      </c>
      <c r="U40" s="644" t="s">
        <v>83</v>
      </c>
      <c r="V40" s="645">
        <v>2.0293809622126395</v>
      </c>
      <c r="W40" s="645">
        <v>0</v>
      </c>
      <c r="X40" s="645">
        <v>386.5547653525565</v>
      </c>
      <c r="Y40" s="645">
        <v>226.68292731053214</v>
      </c>
      <c r="Z40" s="645">
        <v>0</v>
      </c>
      <c r="AA40" s="645">
        <v>0</v>
      </c>
      <c r="AB40" s="645">
        <v>100.86962546535466</v>
      </c>
      <c r="AC40" s="645">
        <v>5.7313631790461192</v>
      </c>
      <c r="AD40" s="645">
        <v>46.02139011322933</v>
      </c>
      <c r="AE40" s="645">
        <v>19.829277460523276</v>
      </c>
      <c r="AF40" s="645">
        <v>55.315214066923446</v>
      </c>
      <c r="AG40" s="645">
        <v>3.8870782938942541</v>
      </c>
      <c r="AH40" s="645">
        <v>449.52841955052912</v>
      </c>
      <c r="AI40" s="645">
        <v>58.16748920568601</v>
      </c>
      <c r="AJ40" s="645">
        <v>3.9353462294881845</v>
      </c>
      <c r="AK40" s="645">
        <v>1358.5522771899757</v>
      </c>
    </row>
    <row r="41" spans="3:37" x14ac:dyDescent="0.2">
      <c r="C41" s="639" t="s">
        <v>84</v>
      </c>
      <c r="D41" s="640">
        <v>0</v>
      </c>
      <c r="E41" s="640">
        <v>0</v>
      </c>
      <c r="F41" s="640">
        <v>123.20669977294675</v>
      </c>
      <c r="G41" s="640">
        <v>12.463741308801668</v>
      </c>
      <c r="H41" s="640">
        <v>0</v>
      </c>
      <c r="I41" s="640">
        <v>0</v>
      </c>
      <c r="J41" s="640">
        <v>0</v>
      </c>
      <c r="K41" s="640">
        <v>0</v>
      </c>
      <c r="L41" s="640">
        <v>0</v>
      </c>
      <c r="M41" s="640">
        <v>0</v>
      </c>
      <c r="N41" s="640">
        <v>0</v>
      </c>
      <c r="O41" s="640">
        <v>0</v>
      </c>
      <c r="P41" s="640">
        <v>0</v>
      </c>
      <c r="Q41" s="640">
        <v>0</v>
      </c>
      <c r="R41" s="640">
        <v>0</v>
      </c>
      <c r="S41" s="648">
        <v>135.67044108174841</v>
      </c>
      <c r="U41" s="639" t="s">
        <v>84</v>
      </c>
      <c r="V41" s="640">
        <v>0</v>
      </c>
      <c r="W41" s="640">
        <v>0</v>
      </c>
      <c r="X41" s="640">
        <v>121.88018365111382</v>
      </c>
      <c r="Y41" s="640">
        <v>1.8275750900030534</v>
      </c>
      <c r="Z41" s="640">
        <v>0</v>
      </c>
      <c r="AA41" s="640">
        <v>0</v>
      </c>
      <c r="AB41" s="640">
        <v>0</v>
      </c>
      <c r="AC41" s="640">
        <v>0</v>
      </c>
      <c r="AD41" s="640">
        <v>0.27491428444602273</v>
      </c>
      <c r="AE41" s="640">
        <v>0</v>
      </c>
      <c r="AF41" s="640">
        <v>0</v>
      </c>
      <c r="AG41" s="640">
        <v>0</v>
      </c>
      <c r="AH41" s="640">
        <v>0</v>
      </c>
      <c r="AI41" s="640">
        <v>0</v>
      </c>
      <c r="AJ41" s="640">
        <v>1.5118644886363639</v>
      </c>
      <c r="AK41" s="648">
        <v>125.49453751419927</v>
      </c>
    </row>
    <row r="42" spans="3:37" x14ac:dyDescent="0.2">
      <c r="C42" s="644" t="s">
        <v>85</v>
      </c>
      <c r="D42" s="645">
        <v>6.728773440829297</v>
      </c>
      <c r="E42" s="645">
        <v>0</v>
      </c>
      <c r="F42" s="645">
        <v>604.49541561314186</v>
      </c>
      <c r="G42" s="645">
        <v>307.38918356764071</v>
      </c>
      <c r="H42" s="645">
        <v>0</v>
      </c>
      <c r="I42" s="645">
        <v>0</v>
      </c>
      <c r="J42" s="645">
        <v>99.463524740250691</v>
      </c>
      <c r="K42" s="645">
        <v>1.7823410909893624</v>
      </c>
      <c r="L42" s="645">
        <v>39.159249752490481</v>
      </c>
      <c r="M42" s="645">
        <v>6.0376618476797237</v>
      </c>
      <c r="N42" s="645">
        <v>45.31680426782367</v>
      </c>
      <c r="O42" s="645">
        <v>2.7231373652307198</v>
      </c>
      <c r="P42" s="645">
        <v>447.36659144667379</v>
      </c>
      <c r="Q42" s="645">
        <v>37.199535435098404</v>
      </c>
      <c r="R42" s="645">
        <v>0.58655864384492595</v>
      </c>
      <c r="S42" s="645">
        <v>1598.2487772116938</v>
      </c>
      <c r="U42" s="644" t="s">
        <v>85</v>
      </c>
      <c r="V42" s="645">
        <v>2.0293809622126395</v>
      </c>
      <c r="W42" s="645">
        <v>0</v>
      </c>
      <c r="X42" s="645">
        <v>508.43494900367028</v>
      </c>
      <c r="Y42" s="645">
        <v>228.51050240053519</v>
      </c>
      <c r="Z42" s="645">
        <v>0</v>
      </c>
      <c r="AA42" s="645">
        <v>0</v>
      </c>
      <c r="AB42" s="645">
        <v>100.86962546535466</v>
      </c>
      <c r="AC42" s="645">
        <v>5.7313631790461192</v>
      </c>
      <c r="AD42" s="645">
        <v>46.29630439767535</v>
      </c>
      <c r="AE42" s="645">
        <v>19.829277460523276</v>
      </c>
      <c r="AF42" s="645">
        <v>55.315214066923446</v>
      </c>
      <c r="AG42" s="645">
        <v>3.8870782938942541</v>
      </c>
      <c r="AH42" s="645">
        <v>449.52841955052912</v>
      </c>
      <c r="AI42" s="645">
        <v>58.16748920568601</v>
      </c>
      <c r="AJ42" s="645">
        <v>5.4472107181245484</v>
      </c>
      <c r="AK42" s="645">
        <v>1484.0468147041749</v>
      </c>
    </row>
    <row r="43" spans="3:37" x14ac:dyDescent="0.2">
      <c r="C43" s="634"/>
      <c r="D43" s="634"/>
      <c r="E43" s="634"/>
      <c r="F43" s="634"/>
      <c r="G43" s="634"/>
      <c r="H43" s="634"/>
      <c r="I43" s="634"/>
      <c r="J43" s="634"/>
      <c r="K43" s="634"/>
      <c r="L43" s="634"/>
      <c r="M43" s="634"/>
      <c r="N43" s="634"/>
      <c r="O43" s="634"/>
      <c r="P43" s="634"/>
      <c r="Q43" s="634"/>
      <c r="R43" s="634"/>
      <c r="S43" s="634"/>
      <c r="U43" s="634"/>
      <c r="V43" s="634"/>
      <c r="W43" s="634"/>
      <c r="X43" s="634"/>
      <c r="Y43" s="634"/>
      <c r="Z43" s="634"/>
      <c r="AA43" s="634"/>
      <c r="AB43" s="634"/>
      <c r="AC43" s="634"/>
      <c r="AD43" s="634"/>
      <c r="AE43" s="634"/>
      <c r="AF43" s="634"/>
      <c r="AG43" s="634"/>
      <c r="AH43" s="634"/>
      <c r="AI43" s="634"/>
      <c r="AJ43" s="634"/>
      <c r="AK43" s="634"/>
    </row>
    <row r="44" spans="3:37" ht="22.5" x14ac:dyDescent="0.3">
      <c r="C44" s="759" t="s">
        <v>88</v>
      </c>
      <c r="D44" s="759"/>
      <c r="E44" s="759"/>
      <c r="F44" s="759"/>
      <c r="G44" s="759"/>
      <c r="H44" s="759"/>
      <c r="I44" s="759"/>
      <c r="J44" s="759"/>
      <c r="K44" s="759"/>
      <c r="L44" s="759"/>
      <c r="M44" s="759"/>
      <c r="N44" s="759"/>
      <c r="O44" s="759"/>
      <c r="P44" s="759"/>
      <c r="Q44" s="759"/>
      <c r="R44" s="759"/>
      <c r="S44" s="759"/>
      <c r="U44" s="759" t="s">
        <v>88</v>
      </c>
      <c r="V44" s="759"/>
      <c r="W44" s="759"/>
      <c r="X44" s="759"/>
      <c r="Y44" s="759"/>
      <c r="Z44" s="759"/>
      <c r="AA44" s="759"/>
      <c r="AB44" s="759"/>
      <c r="AC44" s="759"/>
      <c r="AD44" s="759"/>
      <c r="AE44" s="759"/>
      <c r="AF44" s="759"/>
      <c r="AG44" s="759"/>
      <c r="AH44" s="759"/>
      <c r="AI44" s="759"/>
      <c r="AJ44" s="759"/>
      <c r="AK44" s="759"/>
    </row>
    <row r="45" spans="3:37" x14ac:dyDescent="0.2">
      <c r="C45" s="634"/>
      <c r="D45" s="634"/>
      <c r="E45" s="634"/>
      <c r="F45" s="634"/>
      <c r="G45" s="634"/>
      <c r="H45" s="634"/>
      <c r="I45" s="634"/>
      <c r="J45" s="634"/>
      <c r="K45" s="634"/>
      <c r="L45" s="634"/>
      <c r="M45" s="634"/>
      <c r="N45" s="634"/>
      <c r="O45" s="634"/>
      <c r="P45" s="634"/>
      <c r="Q45" s="634"/>
      <c r="R45" s="634"/>
      <c r="S45" s="634"/>
      <c r="U45" s="634"/>
      <c r="V45" s="634"/>
      <c r="W45" s="634"/>
      <c r="X45" s="634"/>
      <c r="Y45" s="634"/>
      <c r="Z45" s="634"/>
      <c r="AA45" s="634"/>
      <c r="AB45" s="634"/>
      <c r="AC45" s="634"/>
      <c r="AD45" s="634"/>
      <c r="AE45" s="634"/>
      <c r="AF45" s="634"/>
      <c r="AG45" s="634"/>
      <c r="AH45" s="634"/>
      <c r="AI45" s="634"/>
      <c r="AJ45" s="634"/>
      <c r="AK45" s="634"/>
    </row>
    <row r="46" spans="3:37" ht="12.95" customHeight="1" x14ac:dyDescent="0.2">
      <c r="C46" s="758" t="s">
        <v>128</v>
      </c>
      <c r="D46" s="757" t="s">
        <v>42</v>
      </c>
      <c r="E46" s="757" t="s">
        <v>52</v>
      </c>
      <c r="F46" s="757" t="s">
        <v>53</v>
      </c>
      <c r="G46" s="757" t="s">
        <v>32</v>
      </c>
      <c r="H46" s="757" t="s">
        <v>20</v>
      </c>
      <c r="I46" s="757" t="s">
        <v>55</v>
      </c>
      <c r="J46" s="757" t="s">
        <v>56</v>
      </c>
      <c r="K46" s="757"/>
      <c r="L46" s="757"/>
      <c r="M46" s="757"/>
      <c r="N46" s="757"/>
      <c r="O46" s="757"/>
      <c r="P46" s="757" t="s">
        <v>57</v>
      </c>
      <c r="Q46" s="757" t="s">
        <v>58</v>
      </c>
      <c r="R46" s="757" t="s">
        <v>31</v>
      </c>
      <c r="S46" s="757" t="s">
        <v>10</v>
      </c>
      <c r="U46" s="758" t="s">
        <v>128</v>
      </c>
      <c r="V46" s="757" t="s">
        <v>42</v>
      </c>
      <c r="W46" s="757" t="s">
        <v>52</v>
      </c>
      <c r="X46" s="757" t="s">
        <v>53</v>
      </c>
      <c r="Y46" s="757" t="s">
        <v>32</v>
      </c>
      <c r="Z46" s="757" t="s">
        <v>20</v>
      </c>
      <c r="AA46" s="757" t="s">
        <v>55</v>
      </c>
      <c r="AB46" s="757" t="s">
        <v>56</v>
      </c>
      <c r="AC46" s="757"/>
      <c r="AD46" s="757"/>
      <c r="AE46" s="757"/>
      <c r="AF46" s="757"/>
      <c r="AG46" s="757"/>
      <c r="AH46" s="757" t="s">
        <v>57</v>
      </c>
      <c r="AI46" s="757" t="s">
        <v>58</v>
      </c>
      <c r="AJ46" s="757" t="s">
        <v>31</v>
      </c>
      <c r="AK46" s="757" t="s">
        <v>10</v>
      </c>
    </row>
    <row r="47" spans="3:37" ht="56.25" x14ac:dyDescent="0.2">
      <c r="C47" s="758"/>
      <c r="D47" s="757"/>
      <c r="E47" s="757"/>
      <c r="F47" s="757"/>
      <c r="G47" s="757"/>
      <c r="H47" s="757"/>
      <c r="I47" s="757"/>
      <c r="J47" s="638" t="s">
        <v>335</v>
      </c>
      <c r="K47" s="638" t="s">
        <v>40</v>
      </c>
      <c r="L47" s="638" t="s">
        <v>343</v>
      </c>
      <c r="M47" s="638" t="s">
        <v>344</v>
      </c>
      <c r="N47" s="638" t="s">
        <v>345</v>
      </c>
      <c r="O47" s="638" t="s">
        <v>346</v>
      </c>
      <c r="P47" s="757"/>
      <c r="Q47" s="757"/>
      <c r="R47" s="757"/>
      <c r="S47" s="757"/>
      <c r="U47" s="758"/>
      <c r="V47" s="757"/>
      <c r="W47" s="757"/>
      <c r="X47" s="757"/>
      <c r="Y47" s="757"/>
      <c r="Z47" s="757"/>
      <c r="AA47" s="757"/>
      <c r="AB47" s="638" t="s">
        <v>335</v>
      </c>
      <c r="AC47" s="638" t="s">
        <v>40</v>
      </c>
      <c r="AD47" s="638" t="s">
        <v>343</v>
      </c>
      <c r="AE47" s="638" t="s">
        <v>344</v>
      </c>
      <c r="AF47" s="638" t="s">
        <v>345</v>
      </c>
      <c r="AG47" s="638" t="s">
        <v>346</v>
      </c>
      <c r="AH47" s="757"/>
      <c r="AI47" s="757"/>
      <c r="AJ47" s="757"/>
      <c r="AK47" s="757"/>
    </row>
    <row r="48" spans="3:37" x14ac:dyDescent="0.2">
      <c r="C48" s="639" t="s">
        <v>59</v>
      </c>
      <c r="D48" s="640">
        <v>0</v>
      </c>
      <c r="E48" s="641">
        <v>9.7691999999999997</v>
      </c>
      <c r="F48" s="641">
        <v>0</v>
      </c>
      <c r="G48" s="640">
        <v>0.18608000000000002</v>
      </c>
      <c r="H48" s="641">
        <v>1190.909090909091</v>
      </c>
      <c r="I48" s="641">
        <v>182.7291074592973</v>
      </c>
      <c r="J48" s="641">
        <v>189.61507961766128</v>
      </c>
      <c r="K48" s="641">
        <v>22.268083551618652</v>
      </c>
      <c r="L48" s="641">
        <v>0.30256781050897086</v>
      </c>
      <c r="M48" s="641">
        <v>0.13616606414588689</v>
      </c>
      <c r="N48" s="641">
        <v>49.514351265721807</v>
      </c>
      <c r="O48" s="641">
        <v>8.1467195883110648</v>
      </c>
      <c r="P48" s="642">
        <v>0</v>
      </c>
      <c r="Q48" s="641">
        <v>0</v>
      </c>
      <c r="R48" s="641">
        <v>0</v>
      </c>
      <c r="S48" s="643">
        <v>1653.5764462663558</v>
      </c>
      <c r="U48" s="639" t="s">
        <v>59</v>
      </c>
      <c r="V48" s="640">
        <v>0</v>
      </c>
      <c r="W48" s="641">
        <v>9.7691999999999997</v>
      </c>
      <c r="X48" s="641">
        <v>0</v>
      </c>
      <c r="Y48" s="640">
        <v>0.18608000000000002</v>
      </c>
      <c r="Z48" s="641">
        <v>1069.3939393939395</v>
      </c>
      <c r="AA48" s="641">
        <v>197.24910745929728</v>
      </c>
      <c r="AB48" s="641">
        <v>182.13163745220285</v>
      </c>
      <c r="AC48" s="641">
        <v>36.932838973655407</v>
      </c>
      <c r="AD48" s="641">
        <v>0.30256781050897086</v>
      </c>
      <c r="AE48" s="641">
        <v>0.13616606414588689</v>
      </c>
      <c r="AF48" s="641">
        <v>61.091225724919909</v>
      </c>
      <c r="AG48" s="641">
        <v>13.043980364734779</v>
      </c>
      <c r="AH48" s="642">
        <v>0</v>
      </c>
      <c r="AI48" s="641">
        <v>0</v>
      </c>
      <c r="AJ48" s="641">
        <v>0</v>
      </c>
      <c r="AK48" s="643">
        <v>1570.2367432434044</v>
      </c>
    </row>
    <row r="49" spans="3:37" x14ac:dyDescent="0.2">
      <c r="C49" s="639" t="s">
        <v>60</v>
      </c>
      <c r="D49" s="640">
        <v>49.173561762123036</v>
      </c>
      <c r="E49" s="641">
        <v>533.81672423347197</v>
      </c>
      <c r="F49" s="641">
        <v>159.30055959731865</v>
      </c>
      <c r="G49" s="640">
        <v>343.82692763471942</v>
      </c>
      <c r="H49" s="641">
        <v>0</v>
      </c>
      <c r="I49" s="641">
        <v>0</v>
      </c>
      <c r="J49" s="641">
        <v>3.0754920838007731</v>
      </c>
      <c r="K49" s="641">
        <v>0</v>
      </c>
      <c r="L49" s="641">
        <v>1.7669821269916453</v>
      </c>
      <c r="M49" s="641">
        <v>0</v>
      </c>
      <c r="N49" s="641">
        <v>0</v>
      </c>
      <c r="O49" s="641">
        <v>0</v>
      </c>
      <c r="P49" s="642">
        <v>0</v>
      </c>
      <c r="Q49" s="641">
        <v>0</v>
      </c>
      <c r="R49" s="641">
        <v>0</v>
      </c>
      <c r="S49" s="643">
        <v>1090.9602474384255</v>
      </c>
      <c r="U49" s="639" t="s">
        <v>60</v>
      </c>
      <c r="V49" s="640">
        <v>12.56447967339157</v>
      </c>
      <c r="W49" s="641">
        <v>409.1975890316798</v>
      </c>
      <c r="X49" s="641">
        <v>146.83839951059079</v>
      </c>
      <c r="Y49" s="640">
        <v>277.07529977218445</v>
      </c>
      <c r="Z49" s="641">
        <v>0</v>
      </c>
      <c r="AA49" s="641">
        <v>0</v>
      </c>
      <c r="AB49" s="641">
        <v>3.0754920838007731</v>
      </c>
      <c r="AC49" s="641">
        <v>0</v>
      </c>
      <c r="AD49" s="641">
        <v>1.7669821269916453</v>
      </c>
      <c r="AE49" s="641">
        <v>0</v>
      </c>
      <c r="AF49" s="641">
        <v>0</v>
      </c>
      <c r="AG49" s="641">
        <v>0</v>
      </c>
      <c r="AH49" s="642">
        <v>0</v>
      </c>
      <c r="AI49" s="641">
        <v>0</v>
      </c>
      <c r="AJ49" s="641">
        <v>0</v>
      </c>
      <c r="AK49" s="643">
        <v>850.51824219863909</v>
      </c>
    </row>
    <row r="50" spans="3:37" x14ac:dyDescent="0.2">
      <c r="C50" s="639" t="s">
        <v>61</v>
      </c>
      <c r="D50" s="640">
        <v>0</v>
      </c>
      <c r="E50" s="641">
        <v>0</v>
      </c>
      <c r="F50" s="641">
        <v>0</v>
      </c>
      <c r="G50" s="640">
        <v>0</v>
      </c>
      <c r="H50" s="641">
        <v>0</v>
      </c>
      <c r="I50" s="641">
        <v>0</v>
      </c>
      <c r="J50" s="641">
        <v>0</v>
      </c>
      <c r="K50" s="641">
        <v>0</v>
      </c>
      <c r="L50" s="641">
        <v>0</v>
      </c>
      <c r="M50" s="641">
        <v>0</v>
      </c>
      <c r="N50" s="641">
        <v>0</v>
      </c>
      <c r="O50" s="641">
        <v>0</v>
      </c>
      <c r="P50" s="642">
        <v>-73.711460432822037</v>
      </c>
      <c r="Q50" s="641">
        <v>0</v>
      </c>
      <c r="R50" s="641">
        <v>0</v>
      </c>
      <c r="S50" s="643">
        <v>-73.711460432822037</v>
      </c>
      <c r="U50" s="639" t="s">
        <v>61</v>
      </c>
      <c r="V50" s="640">
        <v>0</v>
      </c>
      <c r="W50" s="641">
        <v>0</v>
      </c>
      <c r="X50" s="641">
        <v>0</v>
      </c>
      <c r="Y50" s="640">
        <v>0</v>
      </c>
      <c r="Z50" s="641">
        <v>0</v>
      </c>
      <c r="AA50" s="641">
        <v>0</v>
      </c>
      <c r="AB50" s="641">
        <v>0</v>
      </c>
      <c r="AC50" s="641">
        <v>0</v>
      </c>
      <c r="AD50" s="641">
        <v>0</v>
      </c>
      <c r="AE50" s="641">
        <v>0</v>
      </c>
      <c r="AF50" s="641">
        <v>0</v>
      </c>
      <c r="AG50" s="641">
        <v>0</v>
      </c>
      <c r="AH50" s="642">
        <v>-59.233927293838519</v>
      </c>
      <c r="AI50" s="641">
        <v>0</v>
      </c>
      <c r="AJ50" s="641">
        <v>0</v>
      </c>
      <c r="AK50" s="643">
        <v>-59.233927293838519</v>
      </c>
    </row>
    <row r="51" spans="3:37" x14ac:dyDescent="0.2">
      <c r="C51" s="639" t="s">
        <v>62</v>
      </c>
      <c r="D51" s="640">
        <v>0</v>
      </c>
      <c r="E51" s="641">
        <v>0</v>
      </c>
      <c r="F51" s="641">
        <v>-16.493151741791234</v>
      </c>
      <c r="G51" s="640">
        <v>0</v>
      </c>
      <c r="H51" s="641">
        <v>0</v>
      </c>
      <c r="I51" s="641">
        <v>0</v>
      </c>
      <c r="J51" s="641">
        <v>0</v>
      </c>
      <c r="K51" s="641">
        <v>0</v>
      </c>
      <c r="L51" s="641">
        <v>0</v>
      </c>
      <c r="M51" s="641">
        <v>0</v>
      </c>
      <c r="N51" s="641">
        <v>0</v>
      </c>
      <c r="O51" s="641">
        <v>0</v>
      </c>
      <c r="P51" s="642">
        <v>0</v>
      </c>
      <c r="Q51" s="641">
        <v>0</v>
      </c>
      <c r="R51" s="641">
        <v>0</v>
      </c>
      <c r="S51" s="643">
        <v>-16.493151741791234</v>
      </c>
      <c r="U51" s="639" t="s">
        <v>62</v>
      </c>
      <c r="V51" s="640">
        <v>0</v>
      </c>
      <c r="W51" s="641">
        <v>0</v>
      </c>
      <c r="X51" s="641">
        <v>-16.114280484636947</v>
      </c>
      <c r="Y51" s="640">
        <v>-5.618284274922395E-2</v>
      </c>
      <c r="Z51" s="641">
        <v>0</v>
      </c>
      <c r="AA51" s="641">
        <v>0</v>
      </c>
      <c r="AB51" s="641">
        <v>0</v>
      </c>
      <c r="AC51" s="641">
        <v>0</v>
      </c>
      <c r="AD51" s="641">
        <v>0</v>
      </c>
      <c r="AE51" s="641">
        <v>-6.2425380832471051E-3</v>
      </c>
      <c r="AF51" s="641">
        <v>0</v>
      </c>
      <c r="AG51" s="641">
        <v>0</v>
      </c>
      <c r="AH51" s="642">
        <v>0</v>
      </c>
      <c r="AI51" s="641">
        <v>0</v>
      </c>
      <c r="AJ51" s="641">
        <v>0</v>
      </c>
      <c r="AK51" s="643">
        <v>-16.176705865469415</v>
      </c>
    </row>
    <row r="52" spans="3:37" x14ac:dyDescent="0.2">
      <c r="C52" s="639" t="s">
        <v>63</v>
      </c>
      <c r="D52" s="640">
        <v>0</v>
      </c>
      <c r="E52" s="641">
        <v>0</v>
      </c>
      <c r="F52" s="641">
        <v>-80.583101554650298</v>
      </c>
      <c r="G52" s="640">
        <v>0</v>
      </c>
      <c r="H52" s="641">
        <v>0</v>
      </c>
      <c r="I52" s="641">
        <v>0</v>
      </c>
      <c r="J52" s="641">
        <v>0</v>
      </c>
      <c r="K52" s="641">
        <v>0</v>
      </c>
      <c r="L52" s="641">
        <v>-0.83510983775166403</v>
      </c>
      <c r="M52" s="641">
        <v>0</v>
      </c>
      <c r="N52" s="641">
        <v>0</v>
      </c>
      <c r="O52" s="641">
        <v>0</v>
      </c>
      <c r="P52" s="642">
        <v>0</v>
      </c>
      <c r="Q52" s="641">
        <v>0</v>
      </c>
      <c r="R52" s="641">
        <v>0</v>
      </c>
      <c r="S52" s="643">
        <v>-81.418211392401957</v>
      </c>
      <c r="U52" s="639" t="s">
        <v>63</v>
      </c>
      <c r="V52" s="640">
        <v>0</v>
      </c>
      <c r="W52" s="641">
        <v>0</v>
      </c>
      <c r="X52" s="641">
        <v>-78.29497747164686</v>
      </c>
      <c r="Y52" s="640">
        <v>0</v>
      </c>
      <c r="Z52" s="641">
        <v>0</v>
      </c>
      <c r="AA52" s="641">
        <v>0</v>
      </c>
      <c r="AB52" s="641">
        <v>0</v>
      </c>
      <c r="AC52" s="641">
        <v>0</v>
      </c>
      <c r="AD52" s="641">
        <v>-3.8806739722042796</v>
      </c>
      <c r="AE52" s="641">
        <v>0</v>
      </c>
      <c r="AF52" s="641">
        <v>0</v>
      </c>
      <c r="AG52" s="641">
        <v>0</v>
      </c>
      <c r="AH52" s="642">
        <v>0</v>
      </c>
      <c r="AI52" s="641">
        <v>0</v>
      </c>
      <c r="AJ52" s="641">
        <v>0</v>
      </c>
      <c r="AK52" s="643">
        <v>-82.175651443851137</v>
      </c>
    </row>
    <row r="53" spans="3:37" x14ac:dyDescent="0.2">
      <c r="C53" s="639" t="s">
        <v>64</v>
      </c>
      <c r="D53" s="640">
        <v>0</v>
      </c>
      <c r="E53" s="641">
        <v>0</v>
      </c>
      <c r="F53" s="641">
        <v>0</v>
      </c>
      <c r="G53" s="640">
        <v>0</v>
      </c>
      <c r="H53" s="641">
        <v>0</v>
      </c>
      <c r="I53" s="641">
        <v>0</v>
      </c>
      <c r="J53" s="641">
        <v>0</v>
      </c>
      <c r="K53" s="641">
        <v>0</v>
      </c>
      <c r="L53" s="641">
        <v>0</v>
      </c>
      <c r="M53" s="641">
        <v>0</v>
      </c>
      <c r="N53" s="641">
        <v>0</v>
      </c>
      <c r="O53" s="641">
        <v>0</v>
      </c>
      <c r="P53" s="642">
        <v>0</v>
      </c>
      <c r="Q53" s="641">
        <v>0</v>
      </c>
      <c r="R53" s="641">
        <v>0</v>
      </c>
      <c r="S53" s="643">
        <v>0</v>
      </c>
      <c r="U53" s="639" t="s">
        <v>64</v>
      </c>
      <c r="V53" s="640">
        <v>0</v>
      </c>
      <c r="W53" s="641">
        <v>0</v>
      </c>
      <c r="X53" s="641">
        <v>0</v>
      </c>
      <c r="Y53" s="640">
        <v>0</v>
      </c>
      <c r="Z53" s="641">
        <v>0</v>
      </c>
      <c r="AA53" s="641">
        <v>0</v>
      </c>
      <c r="AB53" s="641">
        <v>0</v>
      </c>
      <c r="AC53" s="641">
        <v>0</v>
      </c>
      <c r="AD53" s="641">
        <v>0</v>
      </c>
      <c r="AE53" s="641">
        <v>0</v>
      </c>
      <c r="AF53" s="641">
        <v>0</v>
      </c>
      <c r="AG53" s="641">
        <v>0</v>
      </c>
      <c r="AH53" s="642">
        <v>0</v>
      </c>
      <c r="AI53" s="641">
        <v>0</v>
      </c>
      <c r="AJ53" s="641">
        <v>0</v>
      </c>
      <c r="AK53" s="643">
        <v>0</v>
      </c>
    </row>
    <row r="54" spans="3:37" x14ac:dyDescent="0.2">
      <c r="C54" s="644" t="s">
        <v>65</v>
      </c>
      <c r="D54" s="645">
        <v>49.173561762123036</v>
      </c>
      <c r="E54" s="645">
        <v>543.58592423347193</v>
      </c>
      <c r="F54" s="645">
        <v>62.224306300877117</v>
      </c>
      <c r="G54" s="645">
        <v>344.01300763471943</v>
      </c>
      <c r="H54" s="645">
        <v>1190.909090909091</v>
      </c>
      <c r="I54" s="645">
        <v>182.7291074592973</v>
      </c>
      <c r="J54" s="645">
        <v>192.69057170146206</v>
      </c>
      <c r="K54" s="645">
        <v>22.268083551618652</v>
      </c>
      <c r="L54" s="645">
        <v>1.234440099748952</v>
      </c>
      <c r="M54" s="645">
        <v>0.13616606414588689</v>
      </c>
      <c r="N54" s="645">
        <v>49.514351265721807</v>
      </c>
      <c r="O54" s="645">
        <v>8.1467195883110648</v>
      </c>
      <c r="P54" s="645">
        <v>-73.711460432822037</v>
      </c>
      <c r="Q54" s="645">
        <v>0</v>
      </c>
      <c r="R54" s="645">
        <v>0</v>
      </c>
      <c r="S54" s="645">
        <v>2572.9138701377656</v>
      </c>
      <c r="U54" s="644" t="s">
        <v>65</v>
      </c>
      <c r="V54" s="645">
        <v>12.56447967339157</v>
      </c>
      <c r="W54" s="645">
        <v>418.96678903167981</v>
      </c>
      <c r="X54" s="645">
        <v>52.42914155430698</v>
      </c>
      <c r="Y54" s="645">
        <v>277.2051969294352</v>
      </c>
      <c r="Z54" s="645">
        <v>1069.3939393939395</v>
      </c>
      <c r="AA54" s="645">
        <v>197.24910745929728</v>
      </c>
      <c r="AB54" s="645">
        <v>185.20712953600363</v>
      </c>
      <c r="AC54" s="645">
        <v>36.932838973655407</v>
      </c>
      <c r="AD54" s="645">
        <v>-1.8111240347036635</v>
      </c>
      <c r="AE54" s="645">
        <v>0.12992352606263979</v>
      </c>
      <c r="AF54" s="645">
        <v>61.091225724919909</v>
      </c>
      <c r="AG54" s="645">
        <v>13.043980364734779</v>
      </c>
      <c r="AH54" s="645">
        <v>-59.233927293838519</v>
      </c>
      <c r="AI54" s="645">
        <v>0</v>
      </c>
      <c r="AJ54" s="645">
        <v>0</v>
      </c>
      <c r="AK54" s="645">
        <v>2263.168700838884</v>
      </c>
    </row>
    <row r="55" spans="3:37" x14ac:dyDescent="0.2">
      <c r="C55" s="634"/>
      <c r="D55" s="634">
        <v>0</v>
      </c>
      <c r="E55" s="634">
        <v>0</v>
      </c>
      <c r="F55" s="634">
        <v>0</v>
      </c>
      <c r="G55" s="634">
        <v>0</v>
      </c>
      <c r="H55" s="634">
        <v>0</v>
      </c>
      <c r="I55" s="634">
        <v>0</v>
      </c>
      <c r="J55" s="634">
        <v>0</v>
      </c>
      <c r="K55" s="634">
        <v>0</v>
      </c>
      <c r="L55" s="634">
        <v>0</v>
      </c>
      <c r="M55" s="634">
        <v>0</v>
      </c>
      <c r="N55" s="634">
        <v>0</v>
      </c>
      <c r="O55" s="634">
        <v>0</v>
      </c>
      <c r="P55" s="634">
        <v>0</v>
      </c>
      <c r="Q55" s="634">
        <v>0</v>
      </c>
      <c r="R55" s="634">
        <v>0</v>
      </c>
      <c r="S55" s="634">
        <v>0</v>
      </c>
      <c r="U55" s="634"/>
      <c r="V55" s="634">
        <v>0</v>
      </c>
      <c r="W55" s="634">
        <v>0</v>
      </c>
      <c r="X55" s="634">
        <v>0</v>
      </c>
      <c r="Y55" s="634">
        <v>0</v>
      </c>
      <c r="Z55" s="634">
        <v>0</v>
      </c>
      <c r="AA55" s="634">
        <v>0</v>
      </c>
      <c r="AB55" s="634">
        <v>0</v>
      </c>
      <c r="AC55" s="634">
        <v>0</v>
      </c>
      <c r="AD55" s="634">
        <v>0</v>
      </c>
      <c r="AE55" s="634">
        <v>0</v>
      </c>
      <c r="AF55" s="634">
        <v>0</v>
      </c>
      <c r="AG55" s="634">
        <v>0</v>
      </c>
      <c r="AH55" s="634">
        <v>0</v>
      </c>
      <c r="AI55" s="634">
        <v>0</v>
      </c>
      <c r="AJ55" s="634">
        <v>0</v>
      </c>
      <c r="AK55" s="634">
        <v>0</v>
      </c>
    </row>
    <row r="56" spans="3:37" x14ac:dyDescent="0.2">
      <c r="C56" s="646" t="s">
        <v>67</v>
      </c>
      <c r="D56" s="640">
        <v>0</v>
      </c>
      <c r="E56" s="647">
        <v>0</v>
      </c>
      <c r="F56" s="647">
        <v>0</v>
      </c>
      <c r="G56" s="640">
        <v>0</v>
      </c>
      <c r="H56" s="640">
        <v>0</v>
      </c>
      <c r="I56" s="640">
        <v>0</v>
      </c>
      <c r="J56" s="640">
        <v>0</v>
      </c>
      <c r="K56" s="640">
        <v>0</v>
      </c>
      <c r="L56" s="640">
        <v>0</v>
      </c>
      <c r="M56" s="640">
        <v>0</v>
      </c>
      <c r="N56" s="640">
        <v>0</v>
      </c>
      <c r="O56" s="640">
        <v>0</v>
      </c>
      <c r="P56" s="640">
        <v>0</v>
      </c>
      <c r="Q56" s="640">
        <v>0</v>
      </c>
      <c r="R56" s="640">
        <v>0</v>
      </c>
      <c r="S56" s="648">
        <v>0</v>
      </c>
      <c r="U56" s="646" t="s">
        <v>67</v>
      </c>
      <c r="V56" s="640">
        <v>0</v>
      </c>
      <c r="W56" s="647">
        <v>0</v>
      </c>
      <c r="X56" s="647">
        <v>0</v>
      </c>
      <c r="Y56" s="640">
        <v>0</v>
      </c>
      <c r="Z56" s="640">
        <v>0</v>
      </c>
      <c r="AA56" s="640">
        <v>0</v>
      </c>
      <c r="AB56" s="640">
        <v>0</v>
      </c>
      <c r="AC56" s="640">
        <v>0</v>
      </c>
      <c r="AD56" s="640">
        <v>0</v>
      </c>
      <c r="AE56" s="640">
        <v>0</v>
      </c>
      <c r="AF56" s="640">
        <v>0</v>
      </c>
      <c r="AG56" s="640">
        <v>0</v>
      </c>
      <c r="AH56" s="640">
        <v>0</v>
      </c>
      <c r="AI56" s="640">
        <v>0</v>
      </c>
      <c r="AJ56" s="640">
        <v>0</v>
      </c>
      <c r="AK56" s="648">
        <v>0</v>
      </c>
    </row>
    <row r="57" spans="3:37" x14ac:dyDescent="0.2">
      <c r="C57" s="646" t="s">
        <v>347</v>
      </c>
      <c r="D57" s="640">
        <v>2.8267856410252494</v>
      </c>
      <c r="E57" s="640">
        <v>0</v>
      </c>
      <c r="F57" s="640">
        <v>7.5307695076515202</v>
      </c>
      <c r="G57" s="640">
        <v>17.818181818181817</v>
      </c>
      <c r="H57" s="640">
        <v>1190.909090909091</v>
      </c>
      <c r="I57" s="640">
        <v>182.7291074592973</v>
      </c>
      <c r="J57" s="649">
        <v>31.567770517320518</v>
      </c>
      <c r="K57" s="649">
        <v>7.9944017148664477</v>
      </c>
      <c r="L57" s="649">
        <v>2.0695499375006161</v>
      </c>
      <c r="M57" s="649">
        <v>0.46787592950723628</v>
      </c>
      <c r="N57" s="649">
        <v>0</v>
      </c>
      <c r="O57" s="649">
        <v>3.0833964576427819</v>
      </c>
      <c r="P57" s="640">
        <v>-605.52729840025461</v>
      </c>
      <c r="Q57" s="640">
        <v>0</v>
      </c>
      <c r="R57" s="640">
        <v>0</v>
      </c>
      <c r="S57" s="648">
        <v>841.46963149182989</v>
      </c>
      <c r="U57" s="646" t="s">
        <v>347</v>
      </c>
      <c r="V57" s="640">
        <v>0.62631490545869017</v>
      </c>
      <c r="W57" s="640">
        <v>0</v>
      </c>
      <c r="X57" s="640">
        <v>3.6671331440151573</v>
      </c>
      <c r="Y57" s="640">
        <v>45.490909090909085</v>
      </c>
      <c r="Z57" s="640">
        <v>1069.3939393939395</v>
      </c>
      <c r="AA57" s="640">
        <v>197.24910745929728</v>
      </c>
      <c r="AB57" s="649">
        <v>26.112388272824305</v>
      </c>
      <c r="AC57" s="649">
        <v>7.8557568383975527</v>
      </c>
      <c r="AD57" s="649">
        <v>2.0695499375006161</v>
      </c>
      <c r="AE57" s="649">
        <v>5.1587850204163272</v>
      </c>
      <c r="AF57" s="649">
        <v>0</v>
      </c>
      <c r="AG57" s="649">
        <v>3.0833964576427819</v>
      </c>
      <c r="AH57" s="640">
        <v>-594.94729840025457</v>
      </c>
      <c r="AI57" s="640">
        <v>0</v>
      </c>
      <c r="AJ57" s="640">
        <v>0</v>
      </c>
      <c r="AK57" s="648">
        <v>765.75998212014645</v>
      </c>
    </row>
    <row r="58" spans="3:37" x14ac:dyDescent="0.2">
      <c r="C58" s="646" t="s">
        <v>348</v>
      </c>
      <c r="D58" s="640">
        <v>0</v>
      </c>
      <c r="E58" s="640">
        <v>0</v>
      </c>
      <c r="F58" s="640">
        <v>0</v>
      </c>
      <c r="G58" s="640">
        <v>15.528976420917793</v>
      </c>
      <c r="H58" s="640">
        <v>0</v>
      </c>
      <c r="I58" s="640">
        <v>0</v>
      </c>
      <c r="J58" s="649">
        <v>13.425934567091144</v>
      </c>
      <c r="K58" s="649">
        <v>12.460813842705811</v>
      </c>
      <c r="L58" s="649">
        <v>0</v>
      </c>
      <c r="M58" s="649">
        <v>0.33007353312586968</v>
      </c>
      <c r="N58" s="649">
        <v>0</v>
      </c>
      <c r="O58" s="649">
        <v>2.2140049259569654</v>
      </c>
      <c r="P58" s="640">
        <v>0</v>
      </c>
      <c r="Q58" s="640">
        <v>-39.530815313914701</v>
      </c>
      <c r="R58" s="640">
        <v>0</v>
      </c>
      <c r="S58" s="648">
        <v>4.4289879758828699</v>
      </c>
      <c r="U58" s="646" t="s">
        <v>348</v>
      </c>
      <c r="V58" s="640">
        <v>0</v>
      </c>
      <c r="W58" s="640">
        <v>0</v>
      </c>
      <c r="X58" s="640">
        <v>0</v>
      </c>
      <c r="Y58" s="640">
        <v>17.633177295554518</v>
      </c>
      <c r="Z58" s="640">
        <v>0</v>
      </c>
      <c r="AA58" s="640">
        <v>0</v>
      </c>
      <c r="AB58" s="649">
        <v>25.59264276124566</v>
      </c>
      <c r="AC58" s="649">
        <v>22.938494140017696</v>
      </c>
      <c r="AD58" s="649">
        <v>0</v>
      </c>
      <c r="AE58" s="649">
        <v>1.9723975687129698</v>
      </c>
      <c r="AF58" s="649">
        <v>0</v>
      </c>
      <c r="AG58" s="649">
        <v>5.6361523989336151</v>
      </c>
      <c r="AH58" s="640">
        <v>0</v>
      </c>
      <c r="AI58" s="640">
        <v>-66.845421794322675</v>
      </c>
      <c r="AJ58" s="640">
        <v>0</v>
      </c>
      <c r="AK58" s="648">
        <v>6.927442370141784</v>
      </c>
    </row>
    <row r="59" spans="3:37" x14ac:dyDescent="0.2">
      <c r="C59" s="646" t="s">
        <v>349</v>
      </c>
      <c r="D59" s="640">
        <v>0</v>
      </c>
      <c r="E59" s="640">
        <v>0</v>
      </c>
      <c r="F59" s="640">
        <v>0</v>
      </c>
      <c r="G59" s="640">
        <v>0</v>
      </c>
      <c r="H59" s="640">
        <v>0</v>
      </c>
      <c r="I59" s="640">
        <v>0</v>
      </c>
      <c r="J59" s="650">
        <v>7.7785999169814284</v>
      </c>
      <c r="K59" s="650">
        <v>0</v>
      </c>
      <c r="L59" s="650">
        <v>0</v>
      </c>
      <c r="M59" s="650">
        <v>-6.767381927773843</v>
      </c>
      <c r="N59" s="650">
        <v>0</v>
      </c>
      <c r="O59" s="650">
        <v>0</v>
      </c>
      <c r="P59" s="640">
        <v>0</v>
      </c>
      <c r="Q59" s="640">
        <v>0</v>
      </c>
      <c r="R59" s="640">
        <v>0</v>
      </c>
      <c r="S59" s="648">
        <v>1.0112179892075854</v>
      </c>
      <c r="U59" s="646" t="s">
        <v>349</v>
      </c>
      <c r="V59" s="640">
        <v>0</v>
      </c>
      <c r="W59" s="640">
        <v>0</v>
      </c>
      <c r="X59" s="640">
        <v>0</v>
      </c>
      <c r="Y59" s="640">
        <v>0</v>
      </c>
      <c r="Z59" s="640">
        <v>0</v>
      </c>
      <c r="AA59" s="640">
        <v>0</v>
      </c>
      <c r="AB59" s="650">
        <v>35.178099528176176</v>
      </c>
      <c r="AC59" s="650">
        <v>0</v>
      </c>
      <c r="AD59" s="650">
        <v>0</v>
      </c>
      <c r="AE59" s="650">
        <v>-30.604946589513276</v>
      </c>
      <c r="AF59" s="650">
        <v>0</v>
      </c>
      <c r="AG59" s="650">
        <v>0</v>
      </c>
      <c r="AH59" s="640">
        <v>0</v>
      </c>
      <c r="AI59" s="640">
        <v>0</v>
      </c>
      <c r="AJ59" s="640">
        <v>0</v>
      </c>
      <c r="AK59" s="648">
        <v>4.5731529386629006</v>
      </c>
    </row>
    <row r="60" spans="3:37" x14ac:dyDescent="0.2">
      <c r="C60" s="646" t="s">
        <v>350</v>
      </c>
      <c r="D60" s="640">
        <v>0</v>
      </c>
      <c r="E60" s="640">
        <v>0</v>
      </c>
      <c r="F60" s="640">
        <v>0</v>
      </c>
      <c r="G60" s="640">
        <v>0</v>
      </c>
      <c r="H60" s="640">
        <v>0</v>
      </c>
      <c r="I60" s="640">
        <v>0</v>
      </c>
      <c r="J60" s="640">
        <v>0</v>
      </c>
      <c r="K60" s="640">
        <v>0</v>
      </c>
      <c r="L60" s="640">
        <v>0</v>
      </c>
      <c r="M60" s="640">
        <v>0</v>
      </c>
      <c r="N60" s="640">
        <v>0</v>
      </c>
      <c r="O60" s="640">
        <v>0</v>
      </c>
      <c r="P60" s="640">
        <v>0</v>
      </c>
      <c r="Q60" s="640">
        <v>0</v>
      </c>
      <c r="R60" s="640">
        <v>0</v>
      </c>
      <c r="S60" s="648">
        <v>0</v>
      </c>
      <c r="U60" s="646" t="s">
        <v>350</v>
      </c>
      <c r="V60" s="640">
        <v>0</v>
      </c>
      <c r="W60" s="640">
        <v>0</v>
      </c>
      <c r="X60" s="640">
        <v>0</v>
      </c>
      <c r="Y60" s="640">
        <v>0</v>
      </c>
      <c r="Z60" s="640">
        <v>0</v>
      </c>
      <c r="AA60" s="640">
        <v>0</v>
      </c>
      <c r="AB60" s="640">
        <v>0</v>
      </c>
      <c r="AC60" s="640">
        <v>0</v>
      </c>
      <c r="AD60" s="640">
        <v>0</v>
      </c>
      <c r="AE60" s="640">
        <v>0</v>
      </c>
      <c r="AF60" s="640">
        <v>0</v>
      </c>
      <c r="AG60" s="640">
        <v>0</v>
      </c>
      <c r="AH60" s="640">
        <v>0</v>
      </c>
      <c r="AI60" s="640">
        <v>0</v>
      </c>
      <c r="AJ60" s="640">
        <v>0</v>
      </c>
      <c r="AK60" s="648">
        <v>0</v>
      </c>
    </row>
    <row r="61" spans="3:37" x14ac:dyDescent="0.2">
      <c r="C61" s="646" t="s">
        <v>72</v>
      </c>
      <c r="D61" s="640">
        <v>0</v>
      </c>
      <c r="E61" s="640">
        <v>563.09724372867038</v>
      </c>
      <c r="F61" s="640">
        <v>-557.46627129138369</v>
      </c>
      <c r="G61" s="640">
        <v>0</v>
      </c>
      <c r="H61" s="640">
        <v>0</v>
      </c>
      <c r="I61" s="640">
        <v>0</v>
      </c>
      <c r="J61" s="640">
        <v>0</v>
      </c>
      <c r="K61" s="640">
        <v>0</v>
      </c>
      <c r="L61" s="640">
        <v>0</v>
      </c>
      <c r="M61" s="640">
        <v>0</v>
      </c>
      <c r="N61" s="640">
        <v>0</v>
      </c>
      <c r="O61" s="640">
        <v>0</v>
      </c>
      <c r="P61" s="640">
        <v>0</v>
      </c>
      <c r="Q61" s="640">
        <v>0</v>
      </c>
      <c r="R61" s="640">
        <v>0</v>
      </c>
      <c r="S61" s="648">
        <v>5.6309724372866867</v>
      </c>
      <c r="U61" s="646" t="s">
        <v>72</v>
      </c>
      <c r="V61" s="640">
        <v>0</v>
      </c>
      <c r="W61" s="640">
        <v>434.00506451720082</v>
      </c>
      <c r="X61" s="640">
        <v>-429.66501387202879</v>
      </c>
      <c r="Y61" s="640">
        <v>0</v>
      </c>
      <c r="Z61" s="640">
        <v>0</v>
      </c>
      <c r="AA61" s="640">
        <v>0</v>
      </c>
      <c r="AB61" s="640">
        <v>0</v>
      </c>
      <c r="AC61" s="640">
        <v>0</v>
      </c>
      <c r="AD61" s="640">
        <v>0</v>
      </c>
      <c r="AE61" s="640">
        <v>0</v>
      </c>
      <c r="AF61" s="640">
        <v>0</v>
      </c>
      <c r="AG61" s="640">
        <v>0</v>
      </c>
      <c r="AH61" s="640">
        <v>0</v>
      </c>
      <c r="AI61" s="640">
        <v>0</v>
      </c>
      <c r="AJ61" s="640">
        <v>0</v>
      </c>
      <c r="AK61" s="648">
        <v>4.3400506451720275</v>
      </c>
    </row>
    <row r="62" spans="3:37" x14ac:dyDescent="0.2">
      <c r="C62" s="646" t="s">
        <v>351</v>
      </c>
      <c r="D62" s="640">
        <v>0</v>
      </c>
      <c r="E62" s="640">
        <v>0</v>
      </c>
      <c r="F62" s="640">
        <v>0</v>
      </c>
      <c r="G62" s="640">
        <v>0</v>
      </c>
      <c r="H62" s="640">
        <v>0</v>
      </c>
      <c r="I62" s="640">
        <v>0</v>
      </c>
      <c r="J62" s="640">
        <v>37.619415842848596</v>
      </c>
      <c r="K62" s="640">
        <v>0</v>
      </c>
      <c r="L62" s="640">
        <v>-37.619415842848596</v>
      </c>
      <c r="M62" s="640">
        <v>0</v>
      </c>
      <c r="N62" s="640">
        <v>0</v>
      </c>
      <c r="O62" s="640">
        <v>0</v>
      </c>
      <c r="P62" s="640">
        <v>0</v>
      </c>
      <c r="Q62" s="640">
        <v>0</v>
      </c>
      <c r="R62" s="640">
        <v>0</v>
      </c>
      <c r="S62" s="648">
        <v>0</v>
      </c>
      <c r="U62" s="646" t="s">
        <v>351</v>
      </c>
      <c r="V62" s="640">
        <v>0</v>
      </c>
      <c r="W62" s="640">
        <v>0</v>
      </c>
      <c r="X62" s="640">
        <v>0</v>
      </c>
      <c r="Y62" s="640">
        <v>0</v>
      </c>
      <c r="Z62" s="640">
        <v>0</v>
      </c>
      <c r="AA62" s="640">
        <v>0</v>
      </c>
      <c r="AB62" s="640" t="e">
        <v>#VALUE!</v>
      </c>
      <c r="AC62" s="640">
        <v>0</v>
      </c>
      <c r="AD62" s="640">
        <v>-46.213611225378862</v>
      </c>
      <c r="AE62" s="640">
        <v>0</v>
      </c>
      <c r="AF62" s="640">
        <v>0</v>
      </c>
      <c r="AG62" s="640">
        <v>0</v>
      </c>
      <c r="AH62" s="640">
        <v>0</v>
      </c>
      <c r="AI62" s="640">
        <v>0</v>
      </c>
      <c r="AJ62" s="640">
        <v>0</v>
      </c>
      <c r="AK62" s="648">
        <v>-46.213611225378862</v>
      </c>
    </row>
    <row r="63" spans="3:37" x14ac:dyDescent="0.2">
      <c r="C63" s="646" t="s">
        <v>352</v>
      </c>
      <c r="D63" s="640">
        <v>0</v>
      </c>
      <c r="E63" s="640">
        <v>0</v>
      </c>
      <c r="F63" s="640">
        <v>0</v>
      </c>
      <c r="G63" s="640">
        <v>0</v>
      </c>
      <c r="H63" s="640">
        <v>0</v>
      </c>
      <c r="I63" s="640">
        <v>0</v>
      </c>
      <c r="J63" s="640">
        <v>0</v>
      </c>
      <c r="K63" s="640">
        <v>0</v>
      </c>
      <c r="L63" s="640">
        <v>0</v>
      </c>
      <c r="M63" s="640">
        <v>0</v>
      </c>
      <c r="N63" s="640">
        <v>0</v>
      </c>
      <c r="O63" s="640">
        <v>0</v>
      </c>
      <c r="P63" s="640">
        <v>0</v>
      </c>
      <c r="Q63" s="640">
        <v>0</v>
      </c>
      <c r="R63" s="640">
        <v>0</v>
      </c>
      <c r="S63" s="648">
        <v>0</v>
      </c>
      <c r="U63" s="646" t="s">
        <v>352</v>
      </c>
      <c r="V63" s="640">
        <v>0</v>
      </c>
      <c r="W63" s="640">
        <v>0</v>
      </c>
      <c r="X63" s="640">
        <v>0</v>
      </c>
      <c r="Y63" s="640">
        <v>0</v>
      </c>
      <c r="Z63" s="640">
        <v>0</v>
      </c>
      <c r="AA63" s="640">
        <v>0</v>
      </c>
      <c r="AB63" s="640">
        <v>0</v>
      </c>
      <c r="AC63" s="640">
        <v>0</v>
      </c>
      <c r="AD63" s="640">
        <v>-5.5104572320471013</v>
      </c>
      <c r="AE63" s="640">
        <v>0</v>
      </c>
      <c r="AF63" s="640">
        <v>0</v>
      </c>
      <c r="AG63" s="640">
        <v>0</v>
      </c>
      <c r="AH63" s="640">
        <v>0</v>
      </c>
      <c r="AI63" s="640">
        <v>0</v>
      </c>
      <c r="AJ63" s="640">
        <v>0</v>
      </c>
      <c r="AK63" s="648">
        <v>-5.5104572320471013</v>
      </c>
    </row>
    <row r="64" spans="3:37" x14ac:dyDescent="0.2">
      <c r="C64" s="646" t="s">
        <v>73</v>
      </c>
      <c r="D64" s="640">
        <v>0</v>
      </c>
      <c r="E64" s="640">
        <v>0</v>
      </c>
      <c r="F64" s="640">
        <v>0</v>
      </c>
      <c r="G64" s="640">
        <v>0.90917311757834995</v>
      </c>
      <c r="H64" s="640">
        <v>0</v>
      </c>
      <c r="I64" s="640">
        <v>0</v>
      </c>
      <c r="J64" s="640">
        <v>0</v>
      </c>
      <c r="K64" s="640">
        <v>1.0194809571410069E-2</v>
      </c>
      <c r="L64" s="640">
        <v>0</v>
      </c>
      <c r="M64" s="640">
        <v>1.8554553419966327E-2</v>
      </c>
      <c r="N64" s="640">
        <v>0</v>
      </c>
      <c r="O64" s="640">
        <v>0</v>
      </c>
      <c r="P64" s="640">
        <v>8.7832205538302136E-2</v>
      </c>
      <c r="Q64" s="640">
        <v>0</v>
      </c>
      <c r="R64" s="640">
        <v>-0.71363666999870479</v>
      </c>
      <c r="S64" s="648">
        <v>0.31211801610932366</v>
      </c>
      <c r="U64" s="646" t="s">
        <v>73</v>
      </c>
      <c r="V64" s="640">
        <v>0</v>
      </c>
      <c r="W64" s="640">
        <v>0</v>
      </c>
      <c r="X64" s="640">
        <v>0</v>
      </c>
      <c r="Y64" s="640">
        <v>3.7406895887912213</v>
      </c>
      <c r="Z64" s="640">
        <v>0</v>
      </c>
      <c r="AA64" s="640">
        <v>0</v>
      </c>
      <c r="AB64" s="640">
        <v>0</v>
      </c>
      <c r="AC64" s="640">
        <v>0.10657235295701485</v>
      </c>
      <c r="AD64" s="640">
        <v>0</v>
      </c>
      <c r="AE64" s="640">
        <v>0.4156321765323579</v>
      </c>
      <c r="AF64" s="640">
        <v>0</v>
      </c>
      <c r="AG64" s="640">
        <v>0</v>
      </c>
      <c r="AH64" s="640">
        <v>6.8862135756840344</v>
      </c>
      <c r="AI64" s="640">
        <v>0</v>
      </c>
      <c r="AJ64" s="640">
        <v>-7.4600647069910382</v>
      </c>
      <c r="AK64" s="648">
        <v>3.6890429869735906</v>
      </c>
    </row>
    <row r="65" spans="3:37" x14ac:dyDescent="0.2">
      <c r="C65" s="646" t="s">
        <v>353</v>
      </c>
      <c r="D65" s="640">
        <v>28.68732140625</v>
      </c>
      <c r="E65" s="640">
        <v>-19.511319495198432</v>
      </c>
      <c r="F65" s="640">
        <v>25.519653459670948</v>
      </c>
      <c r="G65" s="640">
        <v>0</v>
      </c>
      <c r="H65" s="640">
        <v>0</v>
      </c>
      <c r="I65" s="640">
        <v>0</v>
      </c>
      <c r="J65" s="640">
        <v>0</v>
      </c>
      <c r="K65" s="640">
        <v>0</v>
      </c>
      <c r="L65" s="640">
        <v>0</v>
      </c>
      <c r="M65" s="640">
        <v>0</v>
      </c>
      <c r="N65" s="640">
        <v>0</v>
      </c>
      <c r="O65" s="640">
        <v>0</v>
      </c>
      <c r="P65" s="640">
        <v>0</v>
      </c>
      <c r="Q65" s="640">
        <v>0</v>
      </c>
      <c r="R65" s="640">
        <v>0</v>
      </c>
      <c r="S65" s="648">
        <v>34.69565537072252</v>
      </c>
      <c r="U65" s="646" t="s">
        <v>353</v>
      </c>
      <c r="V65" s="640">
        <v>5.4641713867187498</v>
      </c>
      <c r="W65" s="640">
        <v>-15.038275485521009</v>
      </c>
      <c r="X65" s="640">
        <v>19.669176096265762</v>
      </c>
      <c r="Y65" s="640">
        <v>0</v>
      </c>
      <c r="Z65" s="640">
        <v>0</v>
      </c>
      <c r="AA65" s="640">
        <v>0</v>
      </c>
      <c r="AB65" s="640">
        <v>0</v>
      </c>
      <c r="AC65" s="640">
        <v>0</v>
      </c>
      <c r="AD65" s="640">
        <v>0</v>
      </c>
      <c r="AE65" s="640">
        <v>0</v>
      </c>
      <c r="AF65" s="640">
        <v>0</v>
      </c>
      <c r="AG65" s="640">
        <v>0</v>
      </c>
      <c r="AH65" s="640">
        <v>0</v>
      </c>
      <c r="AI65" s="640">
        <v>0</v>
      </c>
      <c r="AJ65" s="640">
        <v>0</v>
      </c>
      <c r="AK65" s="648">
        <v>10.095071997463503</v>
      </c>
    </row>
    <row r="66" spans="3:37" x14ac:dyDescent="0.2">
      <c r="C66" s="646" t="s">
        <v>75</v>
      </c>
      <c r="D66" s="640">
        <v>11.156180546875001</v>
      </c>
      <c r="E66" s="640">
        <v>0</v>
      </c>
      <c r="F66" s="640">
        <v>19.145306286774794</v>
      </c>
      <c r="G66" s="640">
        <v>5.4631694586555604</v>
      </c>
      <c r="H66" s="640">
        <v>0</v>
      </c>
      <c r="I66" s="640">
        <v>0</v>
      </c>
      <c r="J66" s="640">
        <v>0</v>
      </c>
      <c r="K66" s="640">
        <v>0</v>
      </c>
      <c r="L66" s="640">
        <v>0</v>
      </c>
      <c r="M66" s="640">
        <v>0.11149325425827675</v>
      </c>
      <c r="N66" s="640">
        <v>0</v>
      </c>
      <c r="O66" s="640">
        <v>0</v>
      </c>
      <c r="P66" s="640">
        <v>36.294895286159367</v>
      </c>
      <c r="Q66" s="640">
        <v>0</v>
      </c>
      <c r="R66" s="640">
        <v>0</v>
      </c>
      <c r="S66" s="648">
        <v>72.171044832722998</v>
      </c>
      <c r="U66" s="646" t="s">
        <v>75</v>
      </c>
      <c r="V66" s="640">
        <v>5.6084375</v>
      </c>
      <c r="W66" s="640">
        <v>0</v>
      </c>
      <c r="X66" s="640">
        <v>19.145306286774794</v>
      </c>
      <c r="Y66" s="640">
        <v>5.0171964416224535</v>
      </c>
      <c r="Z66" s="640">
        <v>0</v>
      </c>
      <c r="AA66" s="640">
        <v>0</v>
      </c>
      <c r="AB66" s="640">
        <v>0</v>
      </c>
      <c r="AC66" s="640">
        <v>0</v>
      </c>
      <c r="AD66" s="640">
        <v>0</v>
      </c>
      <c r="AE66" s="640">
        <v>0.55746627129138371</v>
      </c>
      <c r="AF66" s="640">
        <v>0</v>
      </c>
      <c r="AG66" s="640">
        <v>0</v>
      </c>
      <c r="AH66" s="640">
        <v>31.128531649795733</v>
      </c>
      <c r="AI66" s="640">
        <v>0</v>
      </c>
      <c r="AJ66" s="640">
        <v>0</v>
      </c>
      <c r="AK66" s="648">
        <v>61.456938149484365</v>
      </c>
    </row>
    <row r="67" spans="3:37" x14ac:dyDescent="0.2">
      <c r="C67" s="646" t="s">
        <v>76</v>
      </c>
      <c r="D67" s="640">
        <v>0</v>
      </c>
      <c r="E67" s="640">
        <v>0</v>
      </c>
      <c r="F67" s="640">
        <v>0</v>
      </c>
      <c r="G67" s="640">
        <v>3.9320361398527859</v>
      </c>
      <c r="H67" s="640">
        <v>0</v>
      </c>
      <c r="I67" s="640">
        <v>0</v>
      </c>
      <c r="J67" s="640">
        <v>0</v>
      </c>
      <c r="K67" s="640">
        <v>0</v>
      </c>
      <c r="L67" s="640">
        <v>0</v>
      </c>
      <c r="M67" s="640">
        <v>8.0245635507199722E-2</v>
      </c>
      <c r="N67" s="640">
        <v>0</v>
      </c>
      <c r="O67" s="640">
        <v>0</v>
      </c>
      <c r="P67" s="640">
        <v>40.722330861669313</v>
      </c>
      <c r="Q67" s="640">
        <v>3.067587727965682</v>
      </c>
      <c r="R67" s="640">
        <v>0</v>
      </c>
      <c r="S67" s="648">
        <v>47.802200364994981</v>
      </c>
      <c r="U67" s="646" t="s">
        <v>76</v>
      </c>
      <c r="V67" s="640">
        <v>0</v>
      </c>
      <c r="W67" s="640">
        <v>0</v>
      </c>
      <c r="X67" s="640">
        <v>0</v>
      </c>
      <c r="Y67" s="640">
        <v>3.2661405451259231</v>
      </c>
      <c r="Z67" s="640">
        <v>0</v>
      </c>
      <c r="AA67" s="640">
        <v>0</v>
      </c>
      <c r="AB67" s="640">
        <v>0</v>
      </c>
      <c r="AC67" s="640">
        <v>0</v>
      </c>
      <c r="AD67" s="640">
        <v>0</v>
      </c>
      <c r="AE67" s="640">
        <v>0.36290450501399146</v>
      </c>
      <c r="AF67" s="640">
        <v>0</v>
      </c>
      <c r="AG67" s="640">
        <v>0</v>
      </c>
      <c r="AH67" s="640">
        <v>41.021033770751153</v>
      </c>
      <c r="AI67" s="640">
        <v>5.1842177504327198</v>
      </c>
      <c r="AJ67" s="640">
        <v>0</v>
      </c>
      <c r="AK67" s="648">
        <v>49.83429657132379</v>
      </c>
    </row>
    <row r="68" spans="3:37" x14ac:dyDescent="0.2">
      <c r="C68" s="644" t="s">
        <v>77</v>
      </c>
      <c r="D68" s="645">
        <v>42.670287594150253</v>
      </c>
      <c r="E68" s="645">
        <v>543.58592423347193</v>
      </c>
      <c r="F68" s="645">
        <v>-505.27054203728642</v>
      </c>
      <c r="G68" s="645">
        <v>43.651536955186302</v>
      </c>
      <c r="H68" s="645">
        <v>1190.909090909091</v>
      </c>
      <c r="I68" s="645">
        <v>182.7291074592973</v>
      </c>
      <c r="J68" s="645">
        <v>90.391720844241689</v>
      </c>
      <c r="K68" s="645">
        <v>20.465410367143665</v>
      </c>
      <c r="L68" s="645">
        <v>-35.549865905347978</v>
      </c>
      <c r="M68" s="645">
        <v>-5.7591390219552938</v>
      </c>
      <c r="N68" s="645">
        <v>0</v>
      </c>
      <c r="O68" s="645">
        <v>5.2974013835997482</v>
      </c>
      <c r="P68" s="645">
        <v>-528.42224004688751</v>
      </c>
      <c r="Q68" s="645">
        <v>-36.463227585949021</v>
      </c>
      <c r="R68" s="645">
        <v>-0.71363666999870479</v>
      </c>
      <c r="S68" s="645">
        <v>1007.5218284787569</v>
      </c>
      <c r="U68" s="644" t="s">
        <v>77</v>
      </c>
      <c r="V68" s="645">
        <v>11.698923792177441</v>
      </c>
      <c r="W68" s="645">
        <v>418.96678903167981</v>
      </c>
      <c r="X68" s="645">
        <v>-387.18339834497311</v>
      </c>
      <c r="Y68" s="645">
        <v>75.148112962003211</v>
      </c>
      <c r="Z68" s="645">
        <v>1069.3939393939395</v>
      </c>
      <c r="AA68" s="645">
        <v>197.24910745929728</v>
      </c>
      <c r="AB68" s="645">
        <v>86.883130562246151</v>
      </c>
      <c r="AC68" s="645">
        <v>30.900823331372262</v>
      </c>
      <c r="AD68" s="645">
        <v>-49.654518519925347</v>
      </c>
      <c r="AE68" s="645">
        <v>-22.137761047546249</v>
      </c>
      <c r="AF68" s="645">
        <v>0</v>
      </c>
      <c r="AG68" s="645">
        <v>8.719548856576397</v>
      </c>
      <c r="AH68" s="645">
        <v>-515.91151940402369</v>
      </c>
      <c r="AI68" s="645">
        <v>-61.66120404388996</v>
      </c>
      <c r="AJ68" s="645">
        <v>-7.4600647069910382</v>
      </c>
      <c r="AK68" s="645">
        <v>854.95190932194248</v>
      </c>
    </row>
    <row r="69" spans="3:37" x14ac:dyDescent="0.2">
      <c r="C69" s="634"/>
      <c r="D69" s="634">
        <v>0</v>
      </c>
      <c r="E69" s="634">
        <v>0</v>
      </c>
      <c r="F69" s="634">
        <v>0</v>
      </c>
      <c r="G69" s="634">
        <v>0</v>
      </c>
      <c r="H69" s="634">
        <v>0</v>
      </c>
      <c r="I69" s="634">
        <v>0</v>
      </c>
      <c r="J69" s="634">
        <v>0</v>
      </c>
      <c r="K69" s="634">
        <v>0</v>
      </c>
      <c r="L69" s="634">
        <v>0</v>
      </c>
      <c r="M69" s="634">
        <v>0</v>
      </c>
      <c r="N69" s="634">
        <v>0</v>
      </c>
      <c r="O69" s="634">
        <v>0</v>
      </c>
      <c r="P69" s="634">
        <v>0</v>
      </c>
      <c r="Q69" s="634">
        <v>0</v>
      </c>
      <c r="R69" s="634">
        <v>0</v>
      </c>
      <c r="S69" s="634">
        <v>0</v>
      </c>
      <c r="U69" s="634"/>
      <c r="V69" s="634">
        <v>0</v>
      </c>
      <c r="W69" s="634">
        <v>0</v>
      </c>
      <c r="X69" s="634">
        <v>0</v>
      </c>
      <c r="Y69" s="634">
        <v>0</v>
      </c>
      <c r="Z69" s="634">
        <v>0</v>
      </c>
      <c r="AA69" s="634">
        <v>0</v>
      </c>
      <c r="AB69" s="634">
        <v>0</v>
      </c>
      <c r="AC69" s="634">
        <v>0</v>
      </c>
      <c r="AD69" s="634">
        <v>0</v>
      </c>
      <c r="AE69" s="634">
        <v>0</v>
      </c>
      <c r="AF69" s="634">
        <v>0</v>
      </c>
      <c r="AG69" s="634">
        <v>0</v>
      </c>
      <c r="AH69" s="634">
        <v>0</v>
      </c>
      <c r="AI69" s="634">
        <v>0</v>
      </c>
      <c r="AJ69" s="634">
        <v>0</v>
      </c>
      <c r="AK69" s="634">
        <v>0</v>
      </c>
    </row>
    <row r="70" spans="3:37" x14ac:dyDescent="0.2">
      <c r="C70" s="646" t="s">
        <v>78</v>
      </c>
      <c r="D70" s="640">
        <v>6.5032741679727843</v>
      </c>
      <c r="E70" s="640">
        <v>0</v>
      </c>
      <c r="F70" s="640">
        <v>25.052429385041094</v>
      </c>
      <c r="G70" s="640">
        <v>105.0474497029609</v>
      </c>
      <c r="H70" s="640">
        <v>0</v>
      </c>
      <c r="I70" s="640">
        <v>0</v>
      </c>
      <c r="J70" s="640">
        <v>18.534460646102772</v>
      </c>
      <c r="K70" s="640">
        <v>1.777675824710524</v>
      </c>
      <c r="L70" s="640">
        <v>0.85092246484375</v>
      </c>
      <c r="M70" s="640">
        <v>2.1625963554323833</v>
      </c>
      <c r="N70" s="640">
        <v>0</v>
      </c>
      <c r="O70" s="640">
        <v>3.8267455312152764E-4</v>
      </c>
      <c r="P70" s="640">
        <v>109.51907717242362</v>
      </c>
      <c r="Q70" s="640">
        <v>16.327213841854732</v>
      </c>
      <c r="R70" s="640">
        <v>0.36001684570312498</v>
      </c>
      <c r="S70" s="648">
        <v>286.13549908159882</v>
      </c>
      <c r="U70" s="646" t="s">
        <v>78</v>
      </c>
      <c r="V70" s="640">
        <v>0.86555588121413052</v>
      </c>
      <c r="W70" s="640">
        <v>0</v>
      </c>
      <c r="X70" s="640">
        <v>16.762295336222397</v>
      </c>
      <c r="Y70" s="640">
        <v>79.095876477460209</v>
      </c>
      <c r="Z70" s="640">
        <v>0</v>
      </c>
      <c r="AA70" s="640">
        <v>0</v>
      </c>
      <c r="AB70" s="640">
        <v>17.089093863910584</v>
      </c>
      <c r="AC70" s="640">
        <v>6.0070182825186862</v>
      </c>
      <c r="AD70" s="640">
        <v>1.13006109375</v>
      </c>
      <c r="AE70" s="640">
        <v>8.8072015710081235</v>
      </c>
      <c r="AF70" s="640">
        <v>0</v>
      </c>
      <c r="AG70" s="640">
        <v>3.8267455312152764E-4</v>
      </c>
      <c r="AH70" s="640">
        <v>130.4568218783393</v>
      </c>
      <c r="AI70" s="640">
        <v>20.327951659562498</v>
      </c>
      <c r="AJ70" s="640">
        <v>4.7486479492187499</v>
      </c>
      <c r="AK70" s="648">
        <v>285.29090666775784</v>
      </c>
    </row>
    <row r="71" spans="3:37" x14ac:dyDescent="0.2">
      <c r="C71" s="646" t="s">
        <v>79</v>
      </c>
      <c r="D71" s="640">
        <v>0</v>
      </c>
      <c r="E71" s="640">
        <v>0</v>
      </c>
      <c r="F71" s="640">
        <v>344.1701238998171</v>
      </c>
      <c r="G71" s="640">
        <v>14.686948049507158</v>
      </c>
      <c r="H71" s="640">
        <v>0</v>
      </c>
      <c r="I71" s="640">
        <v>0</v>
      </c>
      <c r="J71" s="640">
        <v>0</v>
      </c>
      <c r="K71" s="640">
        <v>0</v>
      </c>
      <c r="L71" s="640">
        <v>33.466916874810835</v>
      </c>
      <c r="M71" s="640">
        <v>0.29973363366341144</v>
      </c>
      <c r="N71" s="640">
        <v>0</v>
      </c>
      <c r="O71" s="640">
        <v>0</v>
      </c>
      <c r="P71" s="640">
        <v>30.235692409435519</v>
      </c>
      <c r="Q71" s="640">
        <v>0</v>
      </c>
      <c r="R71" s="640">
        <v>0.35361982429557981</v>
      </c>
      <c r="S71" s="648">
        <v>423.21303469152963</v>
      </c>
      <c r="U71" s="646" t="s">
        <v>79</v>
      </c>
      <c r="V71" s="640">
        <v>0</v>
      </c>
      <c r="W71" s="640">
        <v>0</v>
      </c>
      <c r="X71" s="640">
        <v>271.88041786379415</v>
      </c>
      <c r="Y71" s="640">
        <v>13.227335330391124</v>
      </c>
      <c r="Z71" s="640">
        <v>0</v>
      </c>
      <c r="AA71" s="640">
        <v>0</v>
      </c>
      <c r="AB71" s="640">
        <v>0</v>
      </c>
      <c r="AC71" s="640">
        <v>0</v>
      </c>
      <c r="AD71" s="640">
        <v>36.694869225102572</v>
      </c>
      <c r="AE71" s="640">
        <v>1.4697039255990136</v>
      </c>
      <c r="AF71" s="640">
        <v>0</v>
      </c>
      <c r="AG71" s="640">
        <v>0</v>
      </c>
      <c r="AH71" s="640">
        <v>34.641740873286757</v>
      </c>
      <c r="AI71" s="640">
        <v>0</v>
      </c>
      <c r="AJ71" s="640">
        <v>0.81877289536698361</v>
      </c>
      <c r="AK71" s="648">
        <v>358.73284011354053</v>
      </c>
    </row>
    <row r="72" spans="3:37" x14ac:dyDescent="0.2">
      <c r="C72" s="646" t="s">
        <v>80</v>
      </c>
      <c r="D72" s="640">
        <v>0</v>
      </c>
      <c r="E72" s="640">
        <v>0</v>
      </c>
      <c r="F72" s="640">
        <v>31.509183869953784</v>
      </c>
      <c r="G72" s="640">
        <v>103.72357678672635</v>
      </c>
      <c r="H72" s="640">
        <v>0</v>
      </c>
      <c r="I72" s="640">
        <v>0</v>
      </c>
      <c r="J72" s="640">
        <v>78.735270640359559</v>
      </c>
      <c r="K72" s="640">
        <v>0</v>
      </c>
      <c r="L72" s="640">
        <v>0</v>
      </c>
      <c r="M72" s="640">
        <v>2.1168076895250278</v>
      </c>
      <c r="N72" s="640">
        <v>41.43976216997369</v>
      </c>
      <c r="O72" s="640">
        <v>1.9317269815068459</v>
      </c>
      <c r="P72" s="640">
        <v>175.94122104806229</v>
      </c>
      <c r="Q72" s="640">
        <v>15.783130887728015</v>
      </c>
      <c r="R72" s="640">
        <v>0</v>
      </c>
      <c r="S72" s="648">
        <v>451.18068007383562</v>
      </c>
      <c r="U72" s="646" t="s">
        <v>80</v>
      </c>
      <c r="V72" s="640">
        <v>0</v>
      </c>
      <c r="W72" s="640">
        <v>0</v>
      </c>
      <c r="X72" s="640">
        <v>2.7574808042030705</v>
      </c>
      <c r="Y72" s="640">
        <v>67.24718580242552</v>
      </c>
      <c r="Z72" s="640">
        <v>0</v>
      </c>
      <c r="AA72" s="640">
        <v>0</v>
      </c>
      <c r="AB72" s="640">
        <v>71.925876784938879</v>
      </c>
      <c r="AC72" s="640">
        <v>0</v>
      </c>
      <c r="AD72" s="640">
        <v>0</v>
      </c>
      <c r="AE72" s="640">
        <v>7.4719095336028349</v>
      </c>
      <c r="AF72" s="640">
        <v>46.984438986784113</v>
      </c>
      <c r="AG72" s="640">
        <v>1.9327369863094026</v>
      </c>
      <c r="AH72" s="640">
        <v>159.87092870367675</v>
      </c>
      <c r="AI72" s="640">
        <v>32.787807198116425</v>
      </c>
      <c r="AJ72" s="640">
        <v>0</v>
      </c>
      <c r="AK72" s="648">
        <v>390.97836480005702</v>
      </c>
    </row>
    <row r="73" spans="3:37" x14ac:dyDescent="0.2">
      <c r="C73" s="646" t="s">
        <v>81</v>
      </c>
      <c r="D73" s="640">
        <v>0</v>
      </c>
      <c r="E73" s="640">
        <v>0</v>
      </c>
      <c r="F73" s="640">
        <v>13.089485167364064</v>
      </c>
      <c r="G73" s="640">
        <v>62.329787012805554</v>
      </c>
      <c r="H73" s="640">
        <v>0</v>
      </c>
      <c r="I73" s="640">
        <v>0</v>
      </c>
      <c r="J73" s="640">
        <v>3.5803203712753549</v>
      </c>
      <c r="K73" s="640">
        <v>2.4997359764460676E-2</v>
      </c>
      <c r="L73" s="640">
        <v>0</v>
      </c>
      <c r="M73" s="640">
        <v>1.2720364696490929</v>
      </c>
      <c r="N73" s="640">
        <v>8.0745890957481183</v>
      </c>
      <c r="O73" s="640">
        <v>0.83294326034961275</v>
      </c>
      <c r="P73" s="640">
        <v>131.24016316985416</v>
      </c>
      <c r="Q73" s="640">
        <v>4.3528828563662758</v>
      </c>
      <c r="R73" s="640">
        <v>0</v>
      </c>
      <c r="S73" s="648">
        <v>224.79720476317669</v>
      </c>
      <c r="U73" s="646" t="s">
        <v>81</v>
      </c>
      <c r="V73" s="640">
        <v>0</v>
      </c>
      <c r="W73" s="640">
        <v>0</v>
      </c>
      <c r="X73" s="640">
        <v>3.9119597768221439</v>
      </c>
      <c r="Y73" s="640">
        <v>38.3508738706755</v>
      </c>
      <c r="Z73" s="640">
        <v>0</v>
      </c>
      <c r="AA73" s="640">
        <v>0</v>
      </c>
      <c r="AB73" s="640">
        <v>7.8602291254253389</v>
      </c>
      <c r="AC73" s="640">
        <v>2.4997359764460676E-2</v>
      </c>
      <c r="AD73" s="640">
        <v>0</v>
      </c>
      <c r="AE73" s="640">
        <v>4.2612082078528335</v>
      </c>
      <c r="AF73" s="640">
        <v>14.106786738135797</v>
      </c>
      <c r="AG73" s="640">
        <v>1.7661272775976942</v>
      </c>
      <c r="AH73" s="640">
        <v>123.29032263862543</v>
      </c>
      <c r="AI73" s="640">
        <v>8.5454451862110297</v>
      </c>
      <c r="AJ73" s="640">
        <v>0</v>
      </c>
      <c r="AK73" s="648">
        <v>202.11795018111022</v>
      </c>
    </row>
    <row r="74" spans="3:37" x14ac:dyDescent="0.2">
      <c r="C74" s="646" t="s">
        <v>82</v>
      </c>
      <c r="D74" s="640">
        <v>0</v>
      </c>
      <c r="E74" s="640">
        <v>0</v>
      </c>
      <c r="F74" s="640">
        <v>33.167847610565538</v>
      </c>
      <c r="G74" s="640">
        <v>2.1624159537319825</v>
      </c>
      <c r="H74" s="640">
        <v>0</v>
      </c>
      <c r="I74" s="640">
        <v>0</v>
      </c>
      <c r="J74" s="640">
        <v>1.4487991994826963</v>
      </c>
      <c r="K74" s="640">
        <v>0</v>
      </c>
      <c r="L74" s="640">
        <v>2.4657875210358444</v>
      </c>
      <c r="M74" s="640">
        <v>4.4130937831264955E-2</v>
      </c>
      <c r="N74" s="640">
        <v>0</v>
      </c>
      <c r="O74" s="640">
        <v>8.4265288301735436E-2</v>
      </c>
      <c r="P74" s="640">
        <v>7.7746258142900144</v>
      </c>
      <c r="Q74" s="640">
        <v>0</v>
      </c>
      <c r="R74" s="640">
        <v>0</v>
      </c>
      <c r="S74" s="648">
        <v>47.147872325239064</v>
      </c>
      <c r="U74" s="646" t="s">
        <v>82</v>
      </c>
      <c r="V74" s="640">
        <v>0</v>
      </c>
      <c r="W74" s="640">
        <v>0</v>
      </c>
      <c r="X74" s="640">
        <v>27.0175910939627</v>
      </c>
      <c r="Y74" s="640">
        <v>2.3189520199147382</v>
      </c>
      <c r="Z74" s="640">
        <v>0</v>
      </c>
      <c r="AA74" s="640">
        <v>0</v>
      </c>
      <c r="AB74" s="640">
        <v>1.4487991994826963</v>
      </c>
      <c r="AC74" s="640">
        <v>0</v>
      </c>
      <c r="AD74" s="640">
        <v>9.9723689588186737</v>
      </c>
      <c r="AE74" s="640">
        <v>0.257661335546082</v>
      </c>
      <c r="AF74" s="640">
        <v>0</v>
      </c>
      <c r="AG74" s="640">
        <v>0.62518456969816016</v>
      </c>
      <c r="AH74" s="640">
        <v>7.8177780162568453</v>
      </c>
      <c r="AI74" s="640">
        <v>0</v>
      </c>
      <c r="AJ74" s="640">
        <v>0.17366238047171115</v>
      </c>
      <c r="AK74" s="648">
        <v>49.631997574151612</v>
      </c>
    </row>
    <row r="75" spans="3:37" x14ac:dyDescent="0.2">
      <c r="C75" s="646" t="s">
        <v>354</v>
      </c>
      <c r="D75" s="640">
        <v>0</v>
      </c>
      <c r="E75" s="640">
        <v>0</v>
      </c>
      <c r="F75" s="640">
        <v>0</v>
      </c>
      <c r="G75" s="640">
        <v>0</v>
      </c>
      <c r="H75" s="640">
        <v>0</v>
      </c>
      <c r="I75" s="640">
        <v>0</v>
      </c>
      <c r="J75" s="640">
        <v>0</v>
      </c>
      <c r="K75" s="640">
        <v>0</v>
      </c>
      <c r="L75" s="640">
        <v>0</v>
      </c>
      <c r="M75" s="640">
        <v>0</v>
      </c>
      <c r="N75" s="640">
        <v>0</v>
      </c>
      <c r="O75" s="640">
        <v>0</v>
      </c>
      <c r="P75" s="640">
        <v>0</v>
      </c>
      <c r="Q75" s="640">
        <v>0</v>
      </c>
      <c r="R75" s="640">
        <v>0</v>
      </c>
      <c r="S75" s="648">
        <v>0</v>
      </c>
      <c r="U75" s="646" t="s">
        <v>354</v>
      </c>
      <c r="V75" s="640">
        <v>0</v>
      </c>
      <c r="W75" s="640">
        <v>0</v>
      </c>
      <c r="X75" s="640">
        <v>0</v>
      </c>
      <c r="Y75" s="640">
        <v>0</v>
      </c>
      <c r="Z75" s="640">
        <v>0</v>
      </c>
      <c r="AA75" s="640">
        <v>0</v>
      </c>
      <c r="AB75" s="640">
        <v>0</v>
      </c>
      <c r="AC75" s="640">
        <v>0</v>
      </c>
      <c r="AD75" s="640">
        <v>0</v>
      </c>
      <c r="AE75" s="640">
        <v>0</v>
      </c>
      <c r="AF75" s="640">
        <v>0</v>
      </c>
      <c r="AG75" s="640">
        <v>0</v>
      </c>
      <c r="AH75" s="640">
        <v>0.6</v>
      </c>
      <c r="AI75" s="640">
        <v>0</v>
      </c>
      <c r="AJ75" s="640">
        <v>0</v>
      </c>
      <c r="AK75" s="648">
        <v>0.6</v>
      </c>
    </row>
    <row r="76" spans="3:37" x14ac:dyDescent="0.2">
      <c r="C76" s="644" t="s">
        <v>83</v>
      </c>
      <c r="D76" s="645">
        <v>6.5032741679727843</v>
      </c>
      <c r="E76" s="645">
        <v>0</v>
      </c>
      <c r="F76" s="645">
        <v>446.98906993274153</v>
      </c>
      <c r="G76" s="645">
        <v>287.95017750573197</v>
      </c>
      <c r="H76" s="645">
        <v>0</v>
      </c>
      <c r="I76" s="645">
        <v>0</v>
      </c>
      <c r="J76" s="645">
        <v>102.29885085722037</v>
      </c>
      <c r="K76" s="645">
        <v>1.8026731844749846</v>
      </c>
      <c r="L76" s="645">
        <v>36.783626860690426</v>
      </c>
      <c r="M76" s="645">
        <v>5.8953050861011809</v>
      </c>
      <c r="N76" s="645">
        <v>49.514351265721807</v>
      </c>
      <c r="O76" s="645">
        <v>2.8493182047113157</v>
      </c>
      <c r="P76" s="645">
        <v>454.71077961406559</v>
      </c>
      <c r="Q76" s="645">
        <v>36.463227585949028</v>
      </c>
      <c r="R76" s="645">
        <v>0.71363666999870479</v>
      </c>
      <c r="S76" s="645">
        <v>1432.4742909353797</v>
      </c>
      <c r="U76" s="644" t="s">
        <v>83</v>
      </c>
      <c r="V76" s="645">
        <v>0.86555588121413052</v>
      </c>
      <c r="W76" s="645">
        <v>0</v>
      </c>
      <c r="X76" s="645">
        <v>322.32974487500439</v>
      </c>
      <c r="Y76" s="645">
        <v>200.24022350086713</v>
      </c>
      <c r="Z76" s="645">
        <v>0</v>
      </c>
      <c r="AA76" s="645">
        <v>0</v>
      </c>
      <c r="AB76" s="645">
        <v>98.323998973757497</v>
      </c>
      <c r="AC76" s="645">
        <v>6.032015642283147</v>
      </c>
      <c r="AD76" s="645">
        <v>47.797299277671243</v>
      </c>
      <c r="AE76" s="645">
        <v>22.267684573608886</v>
      </c>
      <c r="AF76" s="645">
        <v>61.091225724919909</v>
      </c>
      <c r="AG76" s="645">
        <v>4.3244315081583782</v>
      </c>
      <c r="AH76" s="645">
        <v>456.67759211018512</v>
      </c>
      <c r="AI76" s="645">
        <v>61.66120404388996</v>
      </c>
      <c r="AJ76" s="645">
        <v>5.7410832250574444</v>
      </c>
      <c r="AK76" s="645">
        <v>1287.352059336617</v>
      </c>
    </row>
    <row r="77" spans="3:37" x14ac:dyDescent="0.2">
      <c r="C77" s="639" t="s">
        <v>84</v>
      </c>
      <c r="D77" s="640">
        <v>0</v>
      </c>
      <c r="E77" s="640">
        <v>0</v>
      </c>
      <c r="F77" s="640">
        <v>120.50577840542185</v>
      </c>
      <c r="G77" s="640">
        <v>12.411293173801123</v>
      </c>
      <c r="H77" s="640">
        <v>0</v>
      </c>
      <c r="I77" s="640">
        <v>0</v>
      </c>
      <c r="J77" s="640">
        <v>0</v>
      </c>
      <c r="K77" s="640">
        <v>0</v>
      </c>
      <c r="L77" s="640">
        <v>0</v>
      </c>
      <c r="M77" s="640">
        <v>0</v>
      </c>
      <c r="N77" s="640">
        <v>0</v>
      </c>
      <c r="O77" s="640">
        <v>0</v>
      </c>
      <c r="P77" s="640">
        <v>0</v>
      </c>
      <c r="Q77" s="640">
        <v>0</v>
      </c>
      <c r="R77" s="640">
        <v>0</v>
      </c>
      <c r="S77" s="648">
        <v>132.91707157922298</v>
      </c>
      <c r="U77" s="639" t="s">
        <v>84</v>
      </c>
      <c r="V77" s="640">
        <v>0</v>
      </c>
      <c r="W77" s="640">
        <v>0</v>
      </c>
      <c r="X77" s="640">
        <v>117.28279502427566</v>
      </c>
      <c r="Y77" s="640">
        <v>1.8168604665649504</v>
      </c>
      <c r="Z77" s="640">
        <v>0</v>
      </c>
      <c r="AA77" s="640">
        <v>0</v>
      </c>
      <c r="AB77" s="640">
        <v>0</v>
      </c>
      <c r="AC77" s="640">
        <v>0</v>
      </c>
      <c r="AD77" s="640">
        <v>0.35207966308593752</v>
      </c>
      <c r="AE77" s="640">
        <v>0</v>
      </c>
      <c r="AF77" s="640">
        <v>0</v>
      </c>
      <c r="AG77" s="640">
        <v>0</v>
      </c>
      <c r="AH77" s="640">
        <v>0</v>
      </c>
      <c r="AI77" s="640">
        <v>0</v>
      </c>
      <c r="AJ77" s="640">
        <v>1.7189814819335938</v>
      </c>
      <c r="AK77" s="648">
        <v>121.17071663586013</v>
      </c>
    </row>
    <row r="78" spans="3:37" x14ac:dyDescent="0.2">
      <c r="C78" s="644" t="s">
        <v>85</v>
      </c>
      <c r="D78" s="645">
        <v>6.5032741679727843</v>
      </c>
      <c r="E78" s="645">
        <v>0</v>
      </c>
      <c r="F78" s="645">
        <v>567.49484833816337</v>
      </c>
      <c r="G78" s="645">
        <v>300.36147067953311</v>
      </c>
      <c r="H78" s="645">
        <v>0</v>
      </c>
      <c r="I78" s="645">
        <v>0</v>
      </c>
      <c r="J78" s="645">
        <v>102.29885085722037</v>
      </c>
      <c r="K78" s="645">
        <v>1.8026731844749846</v>
      </c>
      <c r="L78" s="645">
        <v>36.783626860690426</v>
      </c>
      <c r="M78" s="645">
        <v>5.8953050861011809</v>
      </c>
      <c r="N78" s="645">
        <v>49.514351265721807</v>
      </c>
      <c r="O78" s="645">
        <v>2.8493182047113157</v>
      </c>
      <c r="P78" s="645">
        <v>454.71077961406559</v>
      </c>
      <c r="Q78" s="645">
        <v>36.463227585949028</v>
      </c>
      <c r="R78" s="645">
        <v>0.71363666999870479</v>
      </c>
      <c r="S78" s="645">
        <v>1565.3913625146026</v>
      </c>
      <c r="U78" s="644" t="s">
        <v>85</v>
      </c>
      <c r="V78" s="645">
        <v>0.86555588121413052</v>
      </c>
      <c r="W78" s="645">
        <v>0</v>
      </c>
      <c r="X78" s="645">
        <v>439.61253989928008</v>
      </c>
      <c r="Y78" s="645">
        <v>202.05708396743208</v>
      </c>
      <c r="Z78" s="645">
        <v>0</v>
      </c>
      <c r="AA78" s="645">
        <v>0</v>
      </c>
      <c r="AB78" s="645">
        <v>98.323998973757497</v>
      </c>
      <c r="AC78" s="645">
        <v>6.032015642283147</v>
      </c>
      <c r="AD78" s="645">
        <v>48.149378940757181</v>
      </c>
      <c r="AE78" s="645">
        <v>22.267684573608886</v>
      </c>
      <c r="AF78" s="645">
        <v>61.091225724919909</v>
      </c>
      <c r="AG78" s="645">
        <v>4.3244315081583782</v>
      </c>
      <c r="AH78" s="645">
        <v>456.67759211018512</v>
      </c>
      <c r="AI78" s="645">
        <v>61.66120404388996</v>
      </c>
      <c r="AJ78" s="645">
        <v>7.4600647069910382</v>
      </c>
      <c r="AK78" s="645">
        <v>1408.5227759724771</v>
      </c>
    </row>
    <row r="79" spans="3:37" x14ac:dyDescent="0.2">
      <c r="C79" s="634"/>
      <c r="D79" s="634"/>
      <c r="E79" s="634"/>
      <c r="F79" s="634"/>
      <c r="G79" s="634"/>
      <c r="H79" s="634"/>
      <c r="I79" s="634"/>
      <c r="J79" s="634"/>
      <c r="K79" s="634"/>
      <c r="L79" s="634"/>
      <c r="M79" s="634"/>
      <c r="N79" s="634"/>
      <c r="O79" s="634"/>
      <c r="P79" s="634"/>
      <c r="Q79" s="634"/>
      <c r="R79" s="634"/>
      <c r="S79" s="634"/>
      <c r="U79" s="634"/>
      <c r="V79" s="634"/>
      <c r="W79" s="634"/>
      <c r="X79" s="634"/>
      <c r="Y79" s="634"/>
      <c r="Z79" s="634"/>
      <c r="AA79" s="634"/>
      <c r="AB79" s="634"/>
      <c r="AC79" s="634"/>
      <c r="AD79" s="634"/>
      <c r="AE79" s="634"/>
      <c r="AF79" s="634"/>
      <c r="AG79" s="634"/>
      <c r="AH79" s="634"/>
      <c r="AI79" s="634"/>
      <c r="AJ79" s="634"/>
      <c r="AK79" s="634"/>
    </row>
    <row r="80" spans="3:37" ht="22.5" x14ac:dyDescent="0.3">
      <c r="C80" s="759" t="s">
        <v>357</v>
      </c>
      <c r="D80" s="759"/>
      <c r="E80" s="759"/>
      <c r="F80" s="759"/>
      <c r="G80" s="759"/>
      <c r="H80" s="759"/>
      <c r="I80" s="759"/>
      <c r="J80" s="759"/>
      <c r="K80" s="759"/>
      <c r="L80" s="759"/>
      <c r="M80" s="759"/>
      <c r="N80" s="759"/>
      <c r="O80" s="759"/>
      <c r="P80" s="759"/>
      <c r="Q80" s="759"/>
      <c r="R80" s="759"/>
      <c r="S80" s="759"/>
      <c r="U80" s="759" t="s">
        <v>357</v>
      </c>
      <c r="V80" s="759"/>
      <c r="W80" s="759"/>
      <c r="X80" s="759"/>
      <c r="Y80" s="759"/>
      <c r="Z80" s="759"/>
      <c r="AA80" s="759"/>
      <c r="AB80" s="759"/>
      <c r="AC80" s="759"/>
      <c r="AD80" s="759"/>
      <c r="AE80" s="759"/>
      <c r="AF80" s="759"/>
      <c r="AG80" s="759"/>
      <c r="AH80" s="759"/>
      <c r="AI80" s="759"/>
      <c r="AJ80" s="759"/>
      <c r="AK80" s="759"/>
    </row>
    <row r="81" spans="3:37" x14ac:dyDescent="0.2">
      <c r="C81" s="634"/>
      <c r="D81" s="634"/>
      <c r="E81" s="634"/>
      <c r="F81" s="634"/>
      <c r="G81" s="634"/>
      <c r="H81" s="634"/>
      <c r="I81" s="634"/>
      <c r="J81" s="634"/>
      <c r="K81" s="634"/>
      <c r="L81" s="634"/>
      <c r="M81" s="634"/>
      <c r="N81" s="634"/>
      <c r="O81" s="634"/>
      <c r="P81" s="634"/>
      <c r="Q81" s="634"/>
      <c r="R81" s="634"/>
      <c r="S81" s="634"/>
      <c r="U81" s="634"/>
      <c r="V81" s="634"/>
      <c r="W81" s="634"/>
      <c r="X81" s="634"/>
      <c r="Y81" s="634"/>
      <c r="Z81" s="634"/>
      <c r="AA81" s="634"/>
      <c r="AB81" s="634"/>
      <c r="AC81" s="634"/>
      <c r="AD81" s="634"/>
      <c r="AE81" s="634"/>
      <c r="AF81" s="634"/>
      <c r="AG81" s="634"/>
      <c r="AH81" s="634"/>
      <c r="AI81" s="634"/>
      <c r="AJ81" s="634"/>
      <c r="AK81" s="634"/>
    </row>
    <row r="82" spans="3:37" ht="12.95" customHeight="1" x14ac:dyDescent="0.2">
      <c r="C82" s="758" t="s">
        <v>128</v>
      </c>
      <c r="D82" s="757" t="s">
        <v>42</v>
      </c>
      <c r="E82" s="757" t="s">
        <v>52</v>
      </c>
      <c r="F82" s="757" t="s">
        <v>53</v>
      </c>
      <c r="G82" s="757" t="s">
        <v>32</v>
      </c>
      <c r="H82" s="757" t="s">
        <v>20</v>
      </c>
      <c r="I82" s="757" t="s">
        <v>55</v>
      </c>
      <c r="J82" s="757" t="s">
        <v>56</v>
      </c>
      <c r="K82" s="757"/>
      <c r="L82" s="757"/>
      <c r="M82" s="757"/>
      <c r="N82" s="757"/>
      <c r="O82" s="757"/>
      <c r="P82" s="757" t="s">
        <v>57</v>
      </c>
      <c r="Q82" s="757" t="s">
        <v>58</v>
      </c>
      <c r="R82" s="757" t="s">
        <v>31</v>
      </c>
      <c r="S82" s="757" t="s">
        <v>10</v>
      </c>
      <c r="U82" s="758" t="s">
        <v>128</v>
      </c>
      <c r="V82" s="757" t="s">
        <v>42</v>
      </c>
      <c r="W82" s="757" t="s">
        <v>52</v>
      </c>
      <c r="X82" s="757" t="s">
        <v>53</v>
      </c>
      <c r="Y82" s="757" t="s">
        <v>32</v>
      </c>
      <c r="Z82" s="757" t="s">
        <v>20</v>
      </c>
      <c r="AA82" s="757" t="s">
        <v>55</v>
      </c>
      <c r="AB82" s="757" t="s">
        <v>56</v>
      </c>
      <c r="AC82" s="757"/>
      <c r="AD82" s="757"/>
      <c r="AE82" s="757"/>
      <c r="AF82" s="757"/>
      <c r="AG82" s="757"/>
      <c r="AH82" s="757" t="s">
        <v>57</v>
      </c>
      <c r="AI82" s="757" t="s">
        <v>58</v>
      </c>
      <c r="AJ82" s="757" t="s">
        <v>31</v>
      </c>
      <c r="AK82" s="757" t="s">
        <v>10</v>
      </c>
    </row>
    <row r="83" spans="3:37" ht="56.25" x14ac:dyDescent="0.2">
      <c r="C83" s="758"/>
      <c r="D83" s="757"/>
      <c r="E83" s="757"/>
      <c r="F83" s="757"/>
      <c r="G83" s="757"/>
      <c r="H83" s="757"/>
      <c r="I83" s="757"/>
      <c r="J83" s="638" t="s">
        <v>335</v>
      </c>
      <c r="K83" s="638" t="s">
        <v>40</v>
      </c>
      <c r="L83" s="638" t="s">
        <v>343</v>
      </c>
      <c r="M83" s="638" t="s">
        <v>344</v>
      </c>
      <c r="N83" s="638" t="s">
        <v>345</v>
      </c>
      <c r="O83" s="638" t="s">
        <v>346</v>
      </c>
      <c r="P83" s="757"/>
      <c r="Q83" s="757"/>
      <c r="R83" s="757"/>
      <c r="S83" s="757"/>
      <c r="U83" s="758"/>
      <c r="V83" s="757"/>
      <c r="W83" s="757"/>
      <c r="X83" s="757"/>
      <c r="Y83" s="757"/>
      <c r="Z83" s="757"/>
      <c r="AA83" s="757"/>
      <c r="AB83" s="638" t="s">
        <v>335</v>
      </c>
      <c r="AC83" s="638" t="s">
        <v>40</v>
      </c>
      <c r="AD83" s="638" t="s">
        <v>343</v>
      </c>
      <c r="AE83" s="638" t="s">
        <v>344</v>
      </c>
      <c r="AF83" s="638" t="s">
        <v>345</v>
      </c>
      <c r="AG83" s="638" t="s">
        <v>346</v>
      </c>
      <c r="AH83" s="757"/>
      <c r="AI83" s="757"/>
      <c r="AJ83" s="757"/>
      <c r="AK83" s="757"/>
    </row>
    <row r="84" spans="3:37" x14ac:dyDescent="0.2">
      <c r="C84" s="639" t="s">
        <v>59</v>
      </c>
      <c r="D84" s="640">
        <v>0</v>
      </c>
      <c r="E84" s="641">
        <v>7.3966799999999999</v>
      </c>
      <c r="F84" s="641">
        <v>0</v>
      </c>
      <c r="G84" s="640">
        <v>0.13025600000000001</v>
      </c>
      <c r="H84" s="641">
        <v>1121.3636363636365</v>
      </c>
      <c r="I84" s="641">
        <v>207.57369132422022</v>
      </c>
      <c r="J84" s="641">
        <v>190.75115787672021</v>
      </c>
      <c r="K84" s="641">
        <v>21.756321957796004</v>
      </c>
      <c r="L84" s="641">
        <v>0.34997737871272444</v>
      </c>
      <c r="M84" s="641">
        <v>0.14846473955328648</v>
      </c>
      <c r="N84" s="641">
        <v>54.409714472774652</v>
      </c>
      <c r="O84" s="641">
        <v>8.1015620286034657</v>
      </c>
      <c r="P84" s="642">
        <v>0</v>
      </c>
      <c r="Q84" s="641">
        <v>0</v>
      </c>
      <c r="R84" s="641">
        <v>0</v>
      </c>
      <c r="S84" s="643">
        <v>1611.9814621420169</v>
      </c>
      <c r="U84" s="639" t="s">
        <v>59</v>
      </c>
      <c r="V84" s="640">
        <v>0</v>
      </c>
      <c r="W84" s="641">
        <v>7.3966799999999999</v>
      </c>
      <c r="X84" s="641">
        <v>0</v>
      </c>
      <c r="Y84" s="640">
        <v>0.13025600000000001</v>
      </c>
      <c r="Z84" s="641">
        <v>1024.3939393939395</v>
      </c>
      <c r="AA84" s="641">
        <v>228.1236913242202</v>
      </c>
      <c r="AB84" s="641">
        <v>188.80425896422437</v>
      </c>
      <c r="AC84" s="641">
        <v>37.588366510920622</v>
      </c>
      <c r="AD84" s="641">
        <v>0.34997737871272444</v>
      </c>
      <c r="AE84" s="641">
        <v>0.14846473955328648</v>
      </c>
      <c r="AF84" s="641">
        <v>70.498567758341522</v>
      </c>
      <c r="AG84" s="641">
        <v>15.201618538088493</v>
      </c>
      <c r="AH84" s="642">
        <v>0</v>
      </c>
      <c r="AI84" s="641">
        <v>0</v>
      </c>
      <c r="AJ84" s="641">
        <v>0</v>
      </c>
      <c r="AK84" s="643">
        <v>1572.6358206080006</v>
      </c>
    </row>
    <row r="85" spans="3:37" x14ac:dyDescent="0.2">
      <c r="C85" s="639" t="s">
        <v>60</v>
      </c>
      <c r="D85" s="640">
        <v>48.993463204278932</v>
      </c>
      <c r="E85" s="641">
        <v>524.37115290345116</v>
      </c>
      <c r="F85" s="641">
        <v>128.47715148642752</v>
      </c>
      <c r="G85" s="640">
        <v>338.60190682175607</v>
      </c>
      <c r="H85" s="641">
        <v>0</v>
      </c>
      <c r="I85" s="641">
        <v>0</v>
      </c>
      <c r="J85" s="641">
        <v>3.4492102766833175</v>
      </c>
      <c r="K85" s="641">
        <v>0</v>
      </c>
      <c r="L85" s="641">
        <v>1.9497058389942057</v>
      </c>
      <c r="M85" s="641">
        <v>0</v>
      </c>
      <c r="N85" s="641">
        <v>0</v>
      </c>
      <c r="O85" s="641">
        <v>0</v>
      </c>
      <c r="P85" s="642">
        <v>0</v>
      </c>
      <c r="Q85" s="641">
        <v>0</v>
      </c>
      <c r="R85" s="641">
        <v>0</v>
      </c>
      <c r="S85" s="643">
        <v>1045.8425905315912</v>
      </c>
      <c r="U85" s="639" t="s">
        <v>60</v>
      </c>
      <c r="V85" s="640">
        <v>10.847134235204434</v>
      </c>
      <c r="W85" s="641">
        <v>365.76498082844296</v>
      </c>
      <c r="X85" s="641">
        <v>91.958139733680838</v>
      </c>
      <c r="Y85" s="640">
        <v>234.76100914366791</v>
      </c>
      <c r="Z85" s="641">
        <v>0</v>
      </c>
      <c r="AA85" s="641">
        <v>0</v>
      </c>
      <c r="AB85" s="641">
        <v>3.4492102766833175</v>
      </c>
      <c r="AC85" s="641">
        <v>0</v>
      </c>
      <c r="AD85" s="641">
        <v>1.9497058389942057</v>
      </c>
      <c r="AE85" s="641">
        <v>0</v>
      </c>
      <c r="AF85" s="641">
        <v>0</v>
      </c>
      <c r="AG85" s="641">
        <v>0</v>
      </c>
      <c r="AH85" s="642">
        <v>0</v>
      </c>
      <c r="AI85" s="641">
        <v>0</v>
      </c>
      <c r="AJ85" s="641">
        <v>0</v>
      </c>
      <c r="AK85" s="643">
        <v>708.7301800566737</v>
      </c>
    </row>
    <row r="86" spans="3:37" x14ac:dyDescent="0.2">
      <c r="C86" s="639" t="s">
        <v>61</v>
      </c>
      <c r="D86" s="640">
        <v>0</v>
      </c>
      <c r="E86" s="641">
        <v>0</v>
      </c>
      <c r="F86" s="641">
        <v>0</v>
      </c>
      <c r="G86" s="640">
        <v>0</v>
      </c>
      <c r="H86" s="641">
        <v>0</v>
      </c>
      <c r="I86" s="641">
        <v>0</v>
      </c>
      <c r="J86" s="641">
        <v>0</v>
      </c>
      <c r="K86" s="641">
        <v>0</v>
      </c>
      <c r="L86" s="641">
        <v>0</v>
      </c>
      <c r="M86" s="641">
        <v>0</v>
      </c>
      <c r="N86" s="641">
        <v>0</v>
      </c>
      <c r="O86" s="641">
        <v>0</v>
      </c>
      <c r="P86" s="642">
        <v>-60.003896317889257</v>
      </c>
      <c r="Q86" s="641">
        <v>0</v>
      </c>
      <c r="R86" s="641">
        <v>0</v>
      </c>
      <c r="S86" s="643">
        <v>-60.003896317889257</v>
      </c>
      <c r="U86" s="639" t="s">
        <v>61</v>
      </c>
      <c r="V86" s="640">
        <v>0</v>
      </c>
      <c r="W86" s="641">
        <v>0</v>
      </c>
      <c r="X86" s="641">
        <v>0</v>
      </c>
      <c r="Y86" s="640">
        <v>0</v>
      </c>
      <c r="Z86" s="641">
        <v>0</v>
      </c>
      <c r="AA86" s="641">
        <v>0</v>
      </c>
      <c r="AB86" s="641">
        <v>0</v>
      </c>
      <c r="AC86" s="641">
        <v>0</v>
      </c>
      <c r="AD86" s="641">
        <v>0</v>
      </c>
      <c r="AE86" s="641">
        <v>0</v>
      </c>
      <c r="AF86" s="641">
        <v>0</v>
      </c>
      <c r="AG86" s="641">
        <v>0</v>
      </c>
      <c r="AH86" s="642">
        <v>-43.289743938015249</v>
      </c>
      <c r="AI86" s="641">
        <v>0</v>
      </c>
      <c r="AJ86" s="641">
        <v>0</v>
      </c>
      <c r="AK86" s="643">
        <v>-43.289743938015249</v>
      </c>
    </row>
    <row r="87" spans="3:37" x14ac:dyDescent="0.2">
      <c r="C87" s="639" t="s">
        <v>62</v>
      </c>
      <c r="D87" s="640">
        <v>0</v>
      </c>
      <c r="E87" s="641">
        <v>0</v>
      </c>
      <c r="F87" s="641">
        <v>-16.352432750095883</v>
      </c>
      <c r="G87" s="640">
        <v>0</v>
      </c>
      <c r="H87" s="641">
        <v>0</v>
      </c>
      <c r="I87" s="641">
        <v>0</v>
      </c>
      <c r="J87" s="641">
        <v>0</v>
      </c>
      <c r="K87" s="641">
        <v>0</v>
      </c>
      <c r="L87" s="641">
        <v>0</v>
      </c>
      <c r="M87" s="641">
        <v>0</v>
      </c>
      <c r="N87" s="641">
        <v>0</v>
      </c>
      <c r="O87" s="641">
        <v>0</v>
      </c>
      <c r="P87" s="642">
        <v>0</v>
      </c>
      <c r="Q87" s="641">
        <v>0</v>
      </c>
      <c r="R87" s="641">
        <v>0</v>
      </c>
      <c r="S87" s="643">
        <v>-16.352432750095883</v>
      </c>
      <c r="U87" s="639" t="s">
        <v>62</v>
      </c>
      <c r="V87" s="640">
        <v>0</v>
      </c>
      <c r="W87" s="641">
        <v>0</v>
      </c>
      <c r="X87" s="641">
        <v>-14.208433022133823</v>
      </c>
      <c r="Y87" s="640">
        <v>-0.95675088928507923</v>
      </c>
      <c r="Z87" s="641">
        <v>0</v>
      </c>
      <c r="AA87" s="641">
        <v>0</v>
      </c>
      <c r="AB87" s="641">
        <v>0</v>
      </c>
      <c r="AC87" s="641">
        <v>0</v>
      </c>
      <c r="AD87" s="641">
        <v>0</v>
      </c>
      <c r="AE87" s="641">
        <v>-0.16736955973660289</v>
      </c>
      <c r="AF87" s="641">
        <v>0</v>
      </c>
      <c r="AG87" s="641">
        <v>0</v>
      </c>
      <c r="AH87" s="642">
        <v>0</v>
      </c>
      <c r="AI87" s="641">
        <v>0</v>
      </c>
      <c r="AJ87" s="641">
        <v>0</v>
      </c>
      <c r="AK87" s="643">
        <v>-15.332553471155505</v>
      </c>
    </row>
    <row r="88" spans="3:37" x14ac:dyDescent="0.2">
      <c r="C88" s="639" t="s">
        <v>63</v>
      </c>
      <c r="D88" s="640">
        <v>0</v>
      </c>
      <c r="E88" s="641">
        <v>0</v>
      </c>
      <c r="F88" s="641">
        <v>-82.364123594751035</v>
      </c>
      <c r="G88" s="640">
        <v>0</v>
      </c>
      <c r="H88" s="641">
        <v>0</v>
      </c>
      <c r="I88" s="641">
        <v>0</v>
      </c>
      <c r="J88" s="641">
        <v>0</v>
      </c>
      <c r="K88" s="641">
        <v>0</v>
      </c>
      <c r="L88" s="641">
        <v>-0.84952974503182688</v>
      </c>
      <c r="M88" s="641">
        <v>0</v>
      </c>
      <c r="N88" s="641">
        <v>0</v>
      </c>
      <c r="O88" s="641">
        <v>0</v>
      </c>
      <c r="P88" s="642">
        <v>0</v>
      </c>
      <c r="Q88" s="641">
        <v>0</v>
      </c>
      <c r="R88" s="641">
        <v>0</v>
      </c>
      <c r="S88" s="643">
        <v>-83.213653339782866</v>
      </c>
      <c r="U88" s="639" t="s">
        <v>63</v>
      </c>
      <c r="V88" s="640">
        <v>0</v>
      </c>
      <c r="W88" s="641">
        <v>0</v>
      </c>
      <c r="X88" s="641">
        <v>-71.599112277853877</v>
      </c>
      <c r="Y88" s="640">
        <v>0</v>
      </c>
      <c r="Z88" s="641">
        <v>0</v>
      </c>
      <c r="AA88" s="641">
        <v>0</v>
      </c>
      <c r="AB88" s="641">
        <v>0</v>
      </c>
      <c r="AC88" s="641">
        <v>0</v>
      </c>
      <c r="AD88" s="641">
        <v>-10.622786066784549</v>
      </c>
      <c r="AE88" s="641">
        <v>0</v>
      </c>
      <c r="AF88" s="641">
        <v>0</v>
      </c>
      <c r="AG88" s="641">
        <v>0</v>
      </c>
      <c r="AH88" s="642">
        <v>0</v>
      </c>
      <c r="AI88" s="641">
        <v>0</v>
      </c>
      <c r="AJ88" s="641">
        <v>0</v>
      </c>
      <c r="AK88" s="643">
        <v>-82.221898344638419</v>
      </c>
    </row>
    <row r="89" spans="3:37" x14ac:dyDescent="0.2">
      <c r="C89" s="639" t="s">
        <v>64</v>
      </c>
      <c r="D89" s="640">
        <v>0</v>
      </c>
      <c r="E89" s="641">
        <v>0</v>
      </c>
      <c r="F89" s="641">
        <v>0</v>
      </c>
      <c r="G89" s="640">
        <v>0</v>
      </c>
      <c r="H89" s="641">
        <v>0</v>
      </c>
      <c r="I89" s="641">
        <v>0</v>
      </c>
      <c r="J89" s="641">
        <v>0</v>
      </c>
      <c r="K89" s="641">
        <v>0</v>
      </c>
      <c r="L89" s="641">
        <v>0</v>
      </c>
      <c r="M89" s="641">
        <v>0</v>
      </c>
      <c r="N89" s="641">
        <v>0</v>
      </c>
      <c r="O89" s="641">
        <v>0</v>
      </c>
      <c r="P89" s="642">
        <v>0</v>
      </c>
      <c r="Q89" s="641">
        <v>0</v>
      </c>
      <c r="R89" s="641">
        <v>0</v>
      </c>
      <c r="S89" s="643">
        <v>0</v>
      </c>
      <c r="U89" s="639" t="s">
        <v>64</v>
      </c>
      <c r="V89" s="640">
        <v>0</v>
      </c>
      <c r="W89" s="641">
        <v>0</v>
      </c>
      <c r="X89" s="641">
        <v>0</v>
      </c>
      <c r="Y89" s="640">
        <v>0</v>
      </c>
      <c r="Z89" s="641">
        <v>0</v>
      </c>
      <c r="AA89" s="641">
        <v>0</v>
      </c>
      <c r="AB89" s="641">
        <v>0</v>
      </c>
      <c r="AC89" s="641">
        <v>0</v>
      </c>
      <c r="AD89" s="641">
        <v>0</v>
      </c>
      <c r="AE89" s="641">
        <v>0</v>
      </c>
      <c r="AF89" s="641">
        <v>0</v>
      </c>
      <c r="AG89" s="641">
        <v>0</v>
      </c>
      <c r="AH89" s="642">
        <v>0</v>
      </c>
      <c r="AI89" s="641">
        <v>0</v>
      </c>
      <c r="AJ89" s="641">
        <v>0</v>
      </c>
      <c r="AK89" s="643">
        <v>0</v>
      </c>
    </row>
    <row r="90" spans="3:37" x14ac:dyDescent="0.2">
      <c r="C90" s="644" t="s">
        <v>65</v>
      </c>
      <c r="D90" s="645">
        <v>48.993463204278932</v>
      </c>
      <c r="E90" s="645">
        <v>531.76783290345111</v>
      </c>
      <c r="F90" s="645">
        <v>29.760595141580591</v>
      </c>
      <c r="G90" s="645">
        <v>338.73216282175605</v>
      </c>
      <c r="H90" s="645">
        <v>1121.3636363636365</v>
      </c>
      <c r="I90" s="645">
        <v>207.57369132422022</v>
      </c>
      <c r="J90" s="645">
        <v>194.20036815340353</v>
      </c>
      <c r="K90" s="645">
        <v>21.756321957796004</v>
      </c>
      <c r="L90" s="645">
        <v>1.4501534726751033</v>
      </c>
      <c r="M90" s="645">
        <v>0.14846473955328648</v>
      </c>
      <c r="N90" s="645">
        <v>54.409714472774652</v>
      </c>
      <c r="O90" s="645">
        <v>8.1015620286034657</v>
      </c>
      <c r="P90" s="645">
        <v>-60.003896317889257</v>
      </c>
      <c r="Q90" s="645">
        <v>0</v>
      </c>
      <c r="R90" s="645">
        <v>0</v>
      </c>
      <c r="S90" s="645">
        <v>2498.2540702658398</v>
      </c>
      <c r="U90" s="644" t="s">
        <v>65</v>
      </c>
      <c r="V90" s="645">
        <v>10.847134235204434</v>
      </c>
      <c r="W90" s="645">
        <v>373.16166082844296</v>
      </c>
      <c r="X90" s="645">
        <v>6.1505944336931329</v>
      </c>
      <c r="Y90" s="645">
        <v>233.93451425438283</v>
      </c>
      <c r="Z90" s="645">
        <v>1024.3939393939395</v>
      </c>
      <c r="AA90" s="645">
        <v>228.1236913242202</v>
      </c>
      <c r="AB90" s="645">
        <v>192.25346924090769</v>
      </c>
      <c r="AC90" s="645">
        <v>37.588366510920622</v>
      </c>
      <c r="AD90" s="645">
        <v>-8.3231028490776193</v>
      </c>
      <c r="AE90" s="645">
        <v>-1.8904820183316406E-2</v>
      </c>
      <c r="AF90" s="645">
        <v>70.498567758341522</v>
      </c>
      <c r="AG90" s="645">
        <v>15.201618538088493</v>
      </c>
      <c r="AH90" s="645">
        <v>-43.289743938015249</v>
      </c>
      <c r="AI90" s="645">
        <v>0</v>
      </c>
      <c r="AJ90" s="645">
        <v>0</v>
      </c>
      <c r="AK90" s="645">
        <v>2140.5218049108653</v>
      </c>
    </row>
    <row r="91" spans="3:37" x14ac:dyDescent="0.2">
      <c r="C91" s="634"/>
      <c r="D91" s="634">
        <v>0</v>
      </c>
      <c r="E91" s="634">
        <v>0</v>
      </c>
      <c r="F91" s="634">
        <v>0</v>
      </c>
      <c r="G91" s="634">
        <v>0</v>
      </c>
      <c r="H91" s="634">
        <v>0</v>
      </c>
      <c r="I91" s="634">
        <v>0</v>
      </c>
      <c r="J91" s="634">
        <v>0</v>
      </c>
      <c r="K91" s="634">
        <v>0</v>
      </c>
      <c r="L91" s="634">
        <v>0</v>
      </c>
      <c r="M91" s="634">
        <v>0</v>
      </c>
      <c r="N91" s="634">
        <v>0</v>
      </c>
      <c r="O91" s="634">
        <v>0</v>
      </c>
      <c r="P91" s="634">
        <v>0</v>
      </c>
      <c r="Q91" s="634">
        <v>0</v>
      </c>
      <c r="R91" s="634">
        <v>0</v>
      </c>
      <c r="S91" s="634">
        <v>0</v>
      </c>
      <c r="U91" s="634"/>
      <c r="V91" s="634">
        <v>0</v>
      </c>
      <c r="W91" s="634">
        <v>0</v>
      </c>
      <c r="X91" s="634">
        <v>0</v>
      </c>
      <c r="Y91" s="634">
        <v>0</v>
      </c>
      <c r="Z91" s="634">
        <v>0</v>
      </c>
      <c r="AA91" s="634">
        <v>0</v>
      </c>
      <c r="AB91" s="634">
        <v>0</v>
      </c>
      <c r="AC91" s="634">
        <v>0</v>
      </c>
      <c r="AD91" s="634">
        <v>0</v>
      </c>
      <c r="AE91" s="634">
        <v>0</v>
      </c>
      <c r="AF91" s="634">
        <v>0</v>
      </c>
      <c r="AG91" s="634">
        <v>0</v>
      </c>
      <c r="AH91" s="634">
        <v>0</v>
      </c>
      <c r="AI91" s="634">
        <v>0</v>
      </c>
      <c r="AJ91" s="634">
        <v>0</v>
      </c>
      <c r="AK91" s="634">
        <v>0</v>
      </c>
    </row>
    <row r="92" spans="3:37" x14ac:dyDescent="0.2">
      <c r="C92" s="646" t="s">
        <v>67</v>
      </c>
      <c r="D92" s="640">
        <v>0</v>
      </c>
      <c r="E92" s="647">
        <v>0</v>
      </c>
      <c r="F92" s="647">
        <v>0</v>
      </c>
      <c r="G92" s="640">
        <v>0</v>
      </c>
      <c r="H92" s="640">
        <v>0</v>
      </c>
      <c r="I92" s="640">
        <v>0</v>
      </c>
      <c r="J92" s="640">
        <v>0</v>
      </c>
      <c r="K92" s="640">
        <v>0</v>
      </c>
      <c r="L92" s="640">
        <v>0</v>
      </c>
      <c r="M92" s="640">
        <v>0</v>
      </c>
      <c r="N92" s="640">
        <v>0</v>
      </c>
      <c r="O92" s="640">
        <v>0</v>
      </c>
      <c r="P92" s="640">
        <v>0</v>
      </c>
      <c r="Q92" s="640">
        <v>0</v>
      </c>
      <c r="R92" s="640">
        <v>0</v>
      </c>
      <c r="S92" s="648">
        <v>0</v>
      </c>
      <c r="U92" s="646" t="s">
        <v>67</v>
      </c>
      <c r="V92" s="640">
        <v>0</v>
      </c>
      <c r="W92" s="647">
        <v>0</v>
      </c>
      <c r="X92" s="647">
        <v>0</v>
      </c>
      <c r="Y92" s="640">
        <v>0</v>
      </c>
      <c r="Z92" s="640">
        <v>0</v>
      </c>
      <c r="AA92" s="640">
        <v>0</v>
      </c>
      <c r="AB92" s="640">
        <v>0</v>
      </c>
      <c r="AC92" s="640">
        <v>0</v>
      </c>
      <c r="AD92" s="640">
        <v>0</v>
      </c>
      <c r="AE92" s="640">
        <v>0</v>
      </c>
      <c r="AF92" s="640">
        <v>0</v>
      </c>
      <c r="AG92" s="640">
        <v>0</v>
      </c>
      <c r="AH92" s="640">
        <v>0</v>
      </c>
      <c r="AI92" s="640">
        <v>0</v>
      </c>
      <c r="AJ92" s="640">
        <v>0</v>
      </c>
      <c r="AK92" s="648">
        <v>0</v>
      </c>
    </row>
    <row r="93" spans="3:37" x14ac:dyDescent="0.2">
      <c r="C93" s="646" t="s">
        <v>347</v>
      </c>
      <c r="D93" s="640">
        <v>2.8267856410252494</v>
      </c>
      <c r="E93" s="640">
        <v>0</v>
      </c>
      <c r="F93" s="640">
        <v>7.7941116668718937</v>
      </c>
      <c r="G93" s="640">
        <v>17.578475336322871</v>
      </c>
      <c r="H93" s="640">
        <v>1121.3636363636365</v>
      </c>
      <c r="I93" s="640">
        <v>207.57369132422022</v>
      </c>
      <c r="J93" s="649">
        <v>30.869450548245954</v>
      </c>
      <c r="K93" s="649">
        <v>7.6561165469613854</v>
      </c>
      <c r="L93" s="649">
        <v>2.2996832177069302</v>
      </c>
      <c r="M93" s="649">
        <v>0.47494016865067573</v>
      </c>
      <c r="N93" s="649">
        <v>0</v>
      </c>
      <c r="O93" s="649">
        <v>3.0833964576427819</v>
      </c>
      <c r="P93" s="640">
        <v>-607.79183020434141</v>
      </c>
      <c r="Q93" s="640">
        <v>0</v>
      </c>
      <c r="R93" s="640">
        <v>0</v>
      </c>
      <c r="S93" s="648">
        <v>793.72845706694284</v>
      </c>
      <c r="U93" s="646" t="s">
        <v>347</v>
      </c>
      <c r="V93" s="640">
        <v>0.62631490545869017</v>
      </c>
      <c r="W93" s="640">
        <v>0</v>
      </c>
      <c r="X93" s="640">
        <v>3.93047530323553</v>
      </c>
      <c r="Y93" s="640">
        <v>32.755695067264575</v>
      </c>
      <c r="Z93" s="640">
        <v>1024.3939393939395</v>
      </c>
      <c r="AA93" s="640">
        <v>228.1236913242202</v>
      </c>
      <c r="AB93" s="649">
        <v>25.192532039575013</v>
      </c>
      <c r="AC93" s="649">
        <v>7.1226809684101786</v>
      </c>
      <c r="AD93" s="649">
        <v>2.2996832177069302</v>
      </c>
      <c r="AE93" s="649">
        <v>5.010724922013905</v>
      </c>
      <c r="AF93" s="649">
        <v>0</v>
      </c>
      <c r="AG93" s="649">
        <v>3.0833964576427819</v>
      </c>
      <c r="AH93" s="640">
        <v>-605.04183020434141</v>
      </c>
      <c r="AI93" s="640">
        <v>0</v>
      </c>
      <c r="AJ93" s="640">
        <v>1.4249999999999998</v>
      </c>
      <c r="AK93" s="648">
        <v>728.92230339512548</v>
      </c>
    </row>
    <row r="94" spans="3:37" x14ac:dyDescent="0.2">
      <c r="C94" s="646" t="s">
        <v>348</v>
      </c>
      <c r="D94" s="640">
        <v>0</v>
      </c>
      <c r="E94" s="640">
        <v>0</v>
      </c>
      <c r="F94" s="640">
        <v>0</v>
      </c>
      <c r="G94" s="640">
        <v>15.306890454029709</v>
      </c>
      <c r="H94" s="640">
        <v>0</v>
      </c>
      <c r="I94" s="640">
        <v>0</v>
      </c>
      <c r="J94" s="649">
        <v>13.130836985616687</v>
      </c>
      <c r="K94" s="649">
        <v>12.274327089138302</v>
      </c>
      <c r="L94" s="649">
        <v>0</v>
      </c>
      <c r="M94" s="649">
        <v>0.32594257421966627</v>
      </c>
      <c r="N94" s="649">
        <v>0</v>
      </c>
      <c r="O94" s="649">
        <v>2.1777173090422202</v>
      </c>
      <c r="P94" s="640">
        <v>0</v>
      </c>
      <c r="Q94" s="640">
        <v>-38.962978394907431</v>
      </c>
      <c r="R94" s="640">
        <v>0</v>
      </c>
      <c r="S94" s="648">
        <v>4.2527360171391511</v>
      </c>
      <c r="U94" s="646" t="s">
        <v>348</v>
      </c>
      <c r="V94" s="640">
        <v>0</v>
      </c>
      <c r="W94" s="640">
        <v>0</v>
      </c>
      <c r="X94" s="640">
        <v>0</v>
      </c>
      <c r="Y94" s="640">
        <v>16.285163933286896</v>
      </c>
      <c r="Z94" s="640">
        <v>0</v>
      </c>
      <c r="AA94" s="640">
        <v>0</v>
      </c>
      <c r="AB94" s="649">
        <v>27.330859307935192</v>
      </c>
      <c r="AC94" s="649">
        <v>24.40929016388429</v>
      </c>
      <c r="AD94" s="649">
        <v>0</v>
      </c>
      <c r="AE94" s="649">
        <v>2.4469723551258755</v>
      </c>
      <c r="AF94" s="649">
        <v>0</v>
      </c>
      <c r="AG94" s="649">
        <v>7.1814032045118834</v>
      </c>
      <c r="AH94" s="640">
        <v>0</v>
      </c>
      <c r="AI94" s="640">
        <v>-70.686462815005612</v>
      </c>
      <c r="AJ94" s="640">
        <v>0</v>
      </c>
      <c r="AK94" s="648">
        <v>6.967226149738531</v>
      </c>
    </row>
    <row r="95" spans="3:37" x14ac:dyDescent="0.2">
      <c r="C95" s="646" t="s">
        <v>349</v>
      </c>
      <c r="D95" s="640">
        <v>0</v>
      </c>
      <c r="E95" s="640">
        <v>0</v>
      </c>
      <c r="F95" s="640">
        <v>0</v>
      </c>
      <c r="G95" s="640">
        <v>0</v>
      </c>
      <c r="H95" s="640">
        <v>0</v>
      </c>
      <c r="I95" s="640">
        <v>0</v>
      </c>
      <c r="J95" s="650">
        <v>7.549386302639002</v>
      </c>
      <c r="K95" s="650">
        <v>0</v>
      </c>
      <c r="L95" s="650">
        <v>0</v>
      </c>
      <c r="M95" s="650">
        <v>-6.6642207586545794</v>
      </c>
      <c r="N95" s="650">
        <v>0</v>
      </c>
      <c r="O95" s="650">
        <v>0</v>
      </c>
      <c r="P95" s="640">
        <v>0</v>
      </c>
      <c r="Q95" s="640">
        <v>0</v>
      </c>
      <c r="R95" s="640">
        <v>0</v>
      </c>
      <c r="S95" s="648">
        <v>0.8851655439844226</v>
      </c>
      <c r="U95" s="646" t="s">
        <v>349</v>
      </c>
      <c r="V95" s="640">
        <v>0</v>
      </c>
      <c r="W95" s="640">
        <v>0</v>
      </c>
      <c r="X95" s="640">
        <v>0</v>
      </c>
      <c r="Y95" s="640">
        <v>0</v>
      </c>
      <c r="Z95" s="640">
        <v>0</v>
      </c>
      <c r="AA95" s="640">
        <v>0</v>
      </c>
      <c r="AB95" s="650">
        <v>39.489443827479029</v>
      </c>
      <c r="AC95" s="650">
        <v>0</v>
      </c>
      <c r="AD95" s="650">
        <v>0</v>
      </c>
      <c r="AE95" s="650">
        <v>-34.859306538707116</v>
      </c>
      <c r="AF95" s="650">
        <v>0</v>
      </c>
      <c r="AG95" s="650">
        <v>0</v>
      </c>
      <c r="AH95" s="640">
        <v>0</v>
      </c>
      <c r="AI95" s="640">
        <v>0</v>
      </c>
      <c r="AJ95" s="640">
        <v>0</v>
      </c>
      <c r="AK95" s="648">
        <v>4.6301372887719126</v>
      </c>
    </row>
    <row r="96" spans="3:37" x14ac:dyDescent="0.2">
      <c r="C96" s="646" t="s">
        <v>350</v>
      </c>
      <c r="D96" s="640">
        <v>0</v>
      </c>
      <c r="E96" s="640">
        <v>0</v>
      </c>
      <c r="F96" s="640">
        <v>0</v>
      </c>
      <c r="G96" s="640">
        <v>0</v>
      </c>
      <c r="H96" s="640">
        <v>0</v>
      </c>
      <c r="I96" s="640">
        <v>0</v>
      </c>
      <c r="J96" s="640">
        <v>0</v>
      </c>
      <c r="K96" s="640">
        <v>0</v>
      </c>
      <c r="L96" s="640">
        <v>0</v>
      </c>
      <c r="M96" s="640">
        <v>0</v>
      </c>
      <c r="N96" s="640">
        <v>0</v>
      </c>
      <c r="O96" s="640">
        <v>0</v>
      </c>
      <c r="P96" s="640">
        <v>0</v>
      </c>
      <c r="Q96" s="640">
        <v>0</v>
      </c>
      <c r="R96" s="640">
        <v>0</v>
      </c>
      <c r="S96" s="648">
        <v>0</v>
      </c>
      <c r="U96" s="646" t="s">
        <v>350</v>
      </c>
      <c r="V96" s="640">
        <v>0</v>
      </c>
      <c r="W96" s="640">
        <v>0</v>
      </c>
      <c r="X96" s="640">
        <v>0</v>
      </c>
      <c r="Y96" s="640">
        <v>0</v>
      </c>
      <c r="Z96" s="640">
        <v>0</v>
      </c>
      <c r="AA96" s="640">
        <v>0</v>
      </c>
      <c r="AB96" s="640">
        <v>0</v>
      </c>
      <c r="AC96" s="640">
        <v>0</v>
      </c>
      <c r="AD96" s="640">
        <v>0</v>
      </c>
      <c r="AE96" s="640">
        <v>0</v>
      </c>
      <c r="AF96" s="640">
        <v>0</v>
      </c>
      <c r="AG96" s="640">
        <v>0</v>
      </c>
      <c r="AH96" s="640">
        <v>0</v>
      </c>
      <c r="AI96" s="640">
        <v>0</v>
      </c>
      <c r="AJ96" s="640">
        <v>0</v>
      </c>
      <c r="AK96" s="648">
        <v>0</v>
      </c>
    </row>
    <row r="97" spans="3:37" x14ac:dyDescent="0.2">
      <c r="C97" s="646" t="s">
        <v>72</v>
      </c>
      <c r="D97" s="640">
        <v>0</v>
      </c>
      <c r="E97" s="640">
        <v>550.85495716936975</v>
      </c>
      <c r="F97" s="640">
        <v>-545.34640759767603</v>
      </c>
      <c r="G97" s="640">
        <v>0</v>
      </c>
      <c r="H97" s="640">
        <v>0</v>
      </c>
      <c r="I97" s="640">
        <v>0</v>
      </c>
      <c r="J97" s="640">
        <v>0</v>
      </c>
      <c r="K97" s="640">
        <v>0</v>
      </c>
      <c r="L97" s="640">
        <v>0</v>
      </c>
      <c r="M97" s="640">
        <v>0</v>
      </c>
      <c r="N97" s="640">
        <v>0</v>
      </c>
      <c r="O97" s="640">
        <v>0</v>
      </c>
      <c r="P97" s="640">
        <v>0</v>
      </c>
      <c r="Q97" s="640">
        <v>0</v>
      </c>
      <c r="R97" s="640">
        <v>0</v>
      </c>
      <c r="S97" s="648">
        <v>5.5085495716937203</v>
      </c>
      <c r="U97" s="646" t="s">
        <v>72</v>
      </c>
      <c r="V97" s="640">
        <v>0</v>
      </c>
      <c r="W97" s="640">
        <v>386.55581999113582</v>
      </c>
      <c r="X97" s="640">
        <v>-382.69026179122449</v>
      </c>
      <c r="Y97" s="640">
        <v>0</v>
      </c>
      <c r="Z97" s="640">
        <v>0</v>
      </c>
      <c r="AA97" s="640">
        <v>0</v>
      </c>
      <c r="AB97" s="640">
        <v>0</v>
      </c>
      <c r="AC97" s="640">
        <v>0</v>
      </c>
      <c r="AD97" s="640">
        <v>0</v>
      </c>
      <c r="AE97" s="640">
        <v>0</v>
      </c>
      <c r="AF97" s="640">
        <v>0</v>
      </c>
      <c r="AG97" s="640">
        <v>0</v>
      </c>
      <c r="AH97" s="640">
        <v>0</v>
      </c>
      <c r="AI97" s="640">
        <v>0</v>
      </c>
      <c r="AJ97" s="640">
        <v>0</v>
      </c>
      <c r="AK97" s="648">
        <v>3.8655581999113338</v>
      </c>
    </row>
    <row r="98" spans="3:37" x14ac:dyDescent="0.2">
      <c r="C98" s="646" t="s">
        <v>351</v>
      </c>
      <c r="D98" s="640">
        <v>0</v>
      </c>
      <c r="E98" s="640">
        <v>0</v>
      </c>
      <c r="F98" s="640">
        <v>0</v>
      </c>
      <c r="G98" s="640">
        <v>0</v>
      </c>
      <c r="H98" s="640">
        <v>0</v>
      </c>
      <c r="I98" s="640">
        <v>0</v>
      </c>
      <c r="J98" s="640">
        <v>34.694031238964726</v>
      </c>
      <c r="K98" s="640">
        <v>0</v>
      </c>
      <c r="L98" s="640">
        <v>-34.694031238964726</v>
      </c>
      <c r="M98" s="640">
        <v>0</v>
      </c>
      <c r="N98" s="640">
        <v>0</v>
      </c>
      <c r="O98" s="640">
        <v>0</v>
      </c>
      <c r="P98" s="640">
        <v>0</v>
      </c>
      <c r="Q98" s="640">
        <v>0</v>
      </c>
      <c r="R98" s="640">
        <v>0</v>
      </c>
      <c r="S98" s="648">
        <v>0</v>
      </c>
      <c r="U98" s="646" t="s">
        <v>351</v>
      </c>
      <c r="V98" s="640">
        <v>0</v>
      </c>
      <c r="W98" s="640">
        <v>0</v>
      </c>
      <c r="X98" s="640">
        <v>0</v>
      </c>
      <c r="Y98" s="640">
        <v>0</v>
      </c>
      <c r="Z98" s="640">
        <v>0</v>
      </c>
      <c r="AA98" s="640">
        <v>0</v>
      </c>
      <c r="AB98" s="640" t="e">
        <v>#VALUE!</v>
      </c>
      <c r="AC98" s="640">
        <v>0</v>
      </c>
      <c r="AD98" s="640">
        <v>-64.13008508665132</v>
      </c>
      <c r="AE98" s="640">
        <v>0</v>
      </c>
      <c r="AF98" s="640">
        <v>0</v>
      </c>
      <c r="AG98" s="640">
        <v>0</v>
      </c>
      <c r="AH98" s="640">
        <v>0</v>
      </c>
      <c r="AI98" s="640">
        <v>0</v>
      </c>
      <c r="AJ98" s="640">
        <v>0</v>
      </c>
      <c r="AK98" s="648">
        <v>-64.13008508665132</v>
      </c>
    </row>
    <row r="99" spans="3:37" x14ac:dyDescent="0.2">
      <c r="C99" s="646" t="s">
        <v>352</v>
      </c>
      <c r="D99" s="640">
        <v>0</v>
      </c>
      <c r="E99" s="640">
        <v>0</v>
      </c>
      <c r="F99" s="640">
        <v>0</v>
      </c>
      <c r="G99" s="640">
        <v>0</v>
      </c>
      <c r="H99" s="640">
        <v>0</v>
      </c>
      <c r="I99" s="640">
        <v>0</v>
      </c>
      <c r="J99" s="640">
        <v>0</v>
      </c>
      <c r="K99" s="640">
        <v>0</v>
      </c>
      <c r="L99" s="640">
        <v>0</v>
      </c>
      <c r="M99" s="640">
        <v>0</v>
      </c>
      <c r="N99" s="640">
        <v>0</v>
      </c>
      <c r="O99" s="640">
        <v>0</v>
      </c>
      <c r="P99" s="640">
        <v>0</v>
      </c>
      <c r="Q99" s="640">
        <v>0</v>
      </c>
      <c r="R99" s="640">
        <v>0</v>
      </c>
      <c r="S99" s="648">
        <v>0</v>
      </c>
      <c r="U99" s="646" t="s">
        <v>352</v>
      </c>
      <c r="V99" s="640">
        <v>0</v>
      </c>
      <c r="W99" s="640">
        <v>0</v>
      </c>
      <c r="X99" s="640">
        <v>0</v>
      </c>
      <c r="Y99" s="640">
        <v>0</v>
      </c>
      <c r="Z99" s="640">
        <v>0</v>
      </c>
      <c r="AA99" s="640">
        <v>0</v>
      </c>
      <c r="AB99" s="640">
        <v>0</v>
      </c>
      <c r="AC99" s="640">
        <v>0</v>
      </c>
      <c r="AD99" s="640">
        <v>-12.704571841330187</v>
      </c>
      <c r="AE99" s="640">
        <v>0</v>
      </c>
      <c r="AF99" s="640">
        <v>0</v>
      </c>
      <c r="AG99" s="640">
        <v>0</v>
      </c>
      <c r="AH99" s="640">
        <v>0</v>
      </c>
      <c r="AI99" s="640">
        <v>0</v>
      </c>
      <c r="AJ99" s="640">
        <v>0</v>
      </c>
      <c r="AK99" s="648">
        <v>-12.704571841330187</v>
      </c>
    </row>
    <row r="100" spans="3:37" x14ac:dyDescent="0.2">
      <c r="C100" s="646" t="s">
        <v>73</v>
      </c>
      <c r="D100" s="640">
        <v>0</v>
      </c>
      <c r="E100" s="640">
        <v>0</v>
      </c>
      <c r="F100" s="640">
        <v>0</v>
      </c>
      <c r="G100" s="640">
        <v>2.1153211001028303</v>
      </c>
      <c r="H100" s="640">
        <v>0</v>
      </c>
      <c r="I100" s="640">
        <v>0</v>
      </c>
      <c r="J100" s="640">
        <v>0</v>
      </c>
      <c r="K100" s="640">
        <v>2.387711193000305E-2</v>
      </c>
      <c r="L100" s="640">
        <v>0</v>
      </c>
      <c r="M100" s="640">
        <v>4.3169818369445515E-2</v>
      </c>
      <c r="N100" s="640">
        <v>0</v>
      </c>
      <c r="O100" s="640">
        <v>0</v>
      </c>
      <c r="P100" s="640">
        <v>0.21762333659139796</v>
      </c>
      <c r="Q100" s="640">
        <v>0</v>
      </c>
      <c r="R100" s="640">
        <v>-1.6713978351002134</v>
      </c>
      <c r="S100" s="648">
        <v>0.72859353189346332</v>
      </c>
      <c r="U100" s="646" t="s">
        <v>73</v>
      </c>
      <c r="V100" s="640">
        <v>0</v>
      </c>
      <c r="W100" s="640">
        <v>0</v>
      </c>
      <c r="X100" s="640">
        <v>0</v>
      </c>
      <c r="Y100" s="640">
        <v>5.6183676161021641</v>
      </c>
      <c r="Z100" s="640">
        <v>0</v>
      </c>
      <c r="AA100" s="640">
        <v>0</v>
      </c>
      <c r="AB100" s="640">
        <v>0</v>
      </c>
      <c r="AC100" s="640">
        <v>0.19393074509344391</v>
      </c>
      <c r="AD100" s="640">
        <v>0</v>
      </c>
      <c r="AE100" s="640">
        <v>0.83952619550951879</v>
      </c>
      <c r="AF100" s="640">
        <v>0</v>
      </c>
      <c r="AG100" s="640">
        <v>0</v>
      </c>
      <c r="AH100" s="640">
        <v>13.50321720945872</v>
      </c>
      <c r="AI100" s="640">
        <v>0</v>
      </c>
      <c r="AJ100" s="640">
        <v>-13.575152156541073</v>
      </c>
      <c r="AK100" s="648">
        <v>6.579889609622775</v>
      </c>
    </row>
    <row r="101" spans="3:37" x14ac:dyDescent="0.2">
      <c r="C101" s="646" t="s">
        <v>353</v>
      </c>
      <c r="D101" s="640">
        <v>28.669681406249996</v>
      </c>
      <c r="E101" s="640">
        <v>-19.087124265918664</v>
      </c>
      <c r="F101" s="640">
        <v>24.964831154950382</v>
      </c>
      <c r="G101" s="640">
        <v>0</v>
      </c>
      <c r="H101" s="640">
        <v>0</v>
      </c>
      <c r="I101" s="640">
        <v>0</v>
      </c>
      <c r="J101" s="640">
        <v>0</v>
      </c>
      <c r="K101" s="640">
        <v>0</v>
      </c>
      <c r="L101" s="640">
        <v>0</v>
      </c>
      <c r="M101" s="640">
        <v>0</v>
      </c>
      <c r="N101" s="640">
        <v>0</v>
      </c>
      <c r="O101" s="640">
        <v>0</v>
      </c>
      <c r="P101" s="640">
        <v>0</v>
      </c>
      <c r="Q101" s="640">
        <v>0</v>
      </c>
      <c r="R101" s="640">
        <v>0</v>
      </c>
      <c r="S101" s="648">
        <v>34.547388295281714</v>
      </c>
      <c r="U101" s="646" t="s">
        <v>353</v>
      </c>
      <c r="V101" s="640">
        <v>4.3307530517578128</v>
      </c>
      <c r="W101" s="640">
        <v>-13.394159162692858</v>
      </c>
      <c r="X101" s="640">
        <v>17.518769056071054</v>
      </c>
      <c r="Y101" s="640">
        <v>0</v>
      </c>
      <c r="Z101" s="640">
        <v>0</v>
      </c>
      <c r="AA101" s="640">
        <v>0</v>
      </c>
      <c r="AB101" s="640">
        <v>0</v>
      </c>
      <c r="AC101" s="640">
        <v>0</v>
      </c>
      <c r="AD101" s="640">
        <v>0</v>
      </c>
      <c r="AE101" s="640">
        <v>0</v>
      </c>
      <c r="AF101" s="640">
        <v>0</v>
      </c>
      <c r="AG101" s="640">
        <v>0</v>
      </c>
      <c r="AH101" s="640">
        <v>0</v>
      </c>
      <c r="AI101" s="640">
        <v>0</v>
      </c>
      <c r="AJ101" s="640">
        <v>0</v>
      </c>
      <c r="AK101" s="648">
        <v>8.4553629451360095</v>
      </c>
    </row>
    <row r="102" spans="3:37" x14ac:dyDescent="0.2">
      <c r="C102" s="646" t="s">
        <v>75</v>
      </c>
      <c r="D102" s="640">
        <v>11.149320546875</v>
      </c>
      <c r="E102" s="640">
        <v>0</v>
      </c>
      <c r="F102" s="640">
        <v>18.729068543758572</v>
      </c>
      <c r="G102" s="640">
        <v>5.3443947944572248</v>
      </c>
      <c r="H102" s="640">
        <v>0</v>
      </c>
      <c r="I102" s="640">
        <v>0</v>
      </c>
      <c r="J102" s="640">
        <v>0</v>
      </c>
      <c r="K102" s="640">
        <v>0</v>
      </c>
      <c r="L102" s="640">
        <v>0</v>
      </c>
      <c r="M102" s="640">
        <v>0.10906928151953521</v>
      </c>
      <c r="N102" s="640">
        <v>0</v>
      </c>
      <c r="O102" s="640">
        <v>0</v>
      </c>
      <c r="P102" s="640">
        <v>34.631314570260251</v>
      </c>
      <c r="Q102" s="640">
        <v>0</v>
      </c>
      <c r="R102" s="640">
        <v>0</v>
      </c>
      <c r="S102" s="648">
        <v>69.963167736870574</v>
      </c>
      <c r="U102" s="646" t="s">
        <v>75</v>
      </c>
      <c r="V102" s="640">
        <v>4.9205957031249996</v>
      </c>
      <c r="W102" s="640">
        <v>0</v>
      </c>
      <c r="X102" s="640">
        <v>18.729068543758572</v>
      </c>
      <c r="Y102" s="640">
        <v>4.7445137460997815</v>
      </c>
      <c r="Z102" s="640">
        <v>0</v>
      </c>
      <c r="AA102" s="640">
        <v>0</v>
      </c>
      <c r="AB102" s="640">
        <v>0</v>
      </c>
      <c r="AC102" s="640">
        <v>0</v>
      </c>
      <c r="AD102" s="640">
        <v>0</v>
      </c>
      <c r="AE102" s="640">
        <v>0.70895032987697881</v>
      </c>
      <c r="AF102" s="640">
        <v>0</v>
      </c>
      <c r="AG102" s="640">
        <v>0</v>
      </c>
      <c r="AH102" s="640">
        <v>32.716541842987525</v>
      </c>
      <c r="AI102" s="640">
        <v>0</v>
      </c>
      <c r="AJ102" s="640">
        <v>0</v>
      </c>
      <c r="AK102" s="648">
        <v>61.819670165847853</v>
      </c>
    </row>
    <row r="103" spans="3:37" x14ac:dyDescent="0.2">
      <c r="C103" s="646" t="s">
        <v>76</v>
      </c>
      <c r="D103" s="640">
        <v>0</v>
      </c>
      <c r="E103" s="640">
        <v>0</v>
      </c>
      <c r="F103" s="640">
        <v>0</v>
      </c>
      <c r="G103" s="640">
        <v>3.8720966463328983</v>
      </c>
      <c r="H103" s="640">
        <v>0</v>
      </c>
      <c r="I103" s="640">
        <v>0</v>
      </c>
      <c r="J103" s="640">
        <v>0</v>
      </c>
      <c r="K103" s="640">
        <v>0</v>
      </c>
      <c r="L103" s="640">
        <v>0</v>
      </c>
      <c r="M103" s="640">
        <v>7.9022380537406095E-2</v>
      </c>
      <c r="N103" s="640">
        <v>0</v>
      </c>
      <c r="O103" s="640">
        <v>0</v>
      </c>
      <c r="P103" s="640">
        <v>41.938968757160723</v>
      </c>
      <c r="Q103" s="640">
        <v>3.0236871210614171</v>
      </c>
      <c r="R103" s="640">
        <v>0</v>
      </c>
      <c r="S103" s="648">
        <v>48.913774905092438</v>
      </c>
      <c r="U103" s="646" t="s">
        <v>76</v>
      </c>
      <c r="V103" s="640">
        <v>0</v>
      </c>
      <c r="W103" s="640">
        <v>0</v>
      </c>
      <c r="X103" s="640">
        <v>0</v>
      </c>
      <c r="Y103" s="640">
        <v>2.7662751616304524</v>
      </c>
      <c r="Z103" s="640">
        <v>0</v>
      </c>
      <c r="AA103" s="640">
        <v>0</v>
      </c>
      <c r="AB103" s="640">
        <v>0</v>
      </c>
      <c r="AC103" s="640">
        <v>0</v>
      </c>
      <c r="AD103" s="640">
        <v>0</v>
      </c>
      <c r="AE103" s="640">
        <v>0.41335146093328595</v>
      </c>
      <c r="AF103" s="640">
        <v>0</v>
      </c>
      <c r="AG103" s="640">
        <v>0</v>
      </c>
      <c r="AH103" s="640">
        <v>43.009166954325586</v>
      </c>
      <c r="AI103" s="640">
        <v>5.481964511548731</v>
      </c>
      <c r="AJ103" s="640">
        <v>0</v>
      </c>
      <c r="AK103" s="648">
        <v>51.670758088438056</v>
      </c>
    </row>
    <row r="104" spans="3:37" x14ac:dyDescent="0.2">
      <c r="C104" s="644" t="s">
        <v>77</v>
      </c>
      <c r="D104" s="645">
        <v>42.645787594150242</v>
      </c>
      <c r="E104" s="645">
        <v>531.76783290345111</v>
      </c>
      <c r="F104" s="645">
        <v>-493.85839623209517</v>
      </c>
      <c r="G104" s="645">
        <v>44.217178331245535</v>
      </c>
      <c r="H104" s="645">
        <v>1121.3636363636365</v>
      </c>
      <c r="I104" s="645">
        <v>207.57369132422022</v>
      </c>
      <c r="J104" s="645">
        <v>86.243705075466366</v>
      </c>
      <c r="K104" s="645">
        <v>19.954320748029687</v>
      </c>
      <c r="L104" s="645">
        <v>-32.394348021257798</v>
      </c>
      <c r="M104" s="645">
        <v>-5.6320765353578501</v>
      </c>
      <c r="N104" s="645">
        <v>0</v>
      </c>
      <c r="O104" s="645">
        <v>5.2611137666850016</v>
      </c>
      <c r="P104" s="645">
        <v>-531.00392354032908</v>
      </c>
      <c r="Q104" s="645">
        <v>-35.939291273846017</v>
      </c>
      <c r="R104" s="645">
        <v>-1.6713978351002134</v>
      </c>
      <c r="S104" s="645">
        <v>958.52783266889833</v>
      </c>
      <c r="U104" s="644" t="s">
        <v>77</v>
      </c>
      <c r="V104" s="645">
        <v>9.8776636603415024</v>
      </c>
      <c r="W104" s="645">
        <v>373.16166082844296</v>
      </c>
      <c r="X104" s="645">
        <v>-342.51194888815934</v>
      </c>
      <c r="Y104" s="645">
        <v>62.170015524383871</v>
      </c>
      <c r="Z104" s="645">
        <v>1024.3939393939395</v>
      </c>
      <c r="AA104" s="645">
        <v>228.1236913242202</v>
      </c>
      <c r="AB104" s="645">
        <v>92.01283517498922</v>
      </c>
      <c r="AC104" s="645">
        <v>31.725901877387908</v>
      </c>
      <c r="AD104" s="645">
        <v>-74.534973710274585</v>
      </c>
      <c r="AE104" s="645">
        <v>-25.439781275247555</v>
      </c>
      <c r="AF104" s="645">
        <v>0</v>
      </c>
      <c r="AG104" s="645">
        <v>10.264799662154665</v>
      </c>
      <c r="AH104" s="645">
        <v>-515.81290419756954</v>
      </c>
      <c r="AI104" s="645">
        <v>-65.204498303456887</v>
      </c>
      <c r="AJ104" s="645">
        <v>-12.150152156541072</v>
      </c>
      <c r="AK104" s="645">
        <v>796.07624891461057</v>
      </c>
    </row>
    <row r="105" spans="3:37" x14ac:dyDescent="0.2">
      <c r="C105" s="634"/>
      <c r="D105" s="634">
        <v>0</v>
      </c>
      <c r="E105" s="634">
        <v>0</v>
      </c>
      <c r="F105" s="634">
        <v>0</v>
      </c>
      <c r="G105" s="634">
        <v>0</v>
      </c>
      <c r="H105" s="634">
        <v>0</v>
      </c>
      <c r="I105" s="634">
        <v>0</v>
      </c>
      <c r="J105" s="634">
        <v>0</v>
      </c>
      <c r="K105" s="634">
        <v>0</v>
      </c>
      <c r="L105" s="634">
        <v>0</v>
      </c>
      <c r="M105" s="634">
        <v>0</v>
      </c>
      <c r="N105" s="634">
        <v>0</v>
      </c>
      <c r="O105" s="634">
        <v>0</v>
      </c>
      <c r="P105" s="634">
        <v>0</v>
      </c>
      <c r="Q105" s="634">
        <v>0</v>
      </c>
      <c r="R105" s="634">
        <v>0</v>
      </c>
      <c r="S105" s="634">
        <v>0</v>
      </c>
      <c r="U105" s="634"/>
      <c r="V105" s="634">
        <v>0</v>
      </c>
      <c r="W105" s="634">
        <v>0</v>
      </c>
      <c r="X105" s="634">
        <v>0</v>
      </c>
      <c r="Y105" s="634">
        <v>0</v>
      </c>
      <c r="Z105" s="634">
        <v>0</v>
      </c>
      <c r="AA105" s="634">
        <v>0</v>
      </c>
      <c r="AB105" s="634">
        <v>0</v>
      </c>
      <c r="AC105" s="634">
        <v>0</v>
      </c>
      <c r="AD105" s="634">
        <v>0</v>
      </c>
      <c r="AE105" s="634">
        <v>0</v>
      </c>
      <c r="AF105" s="634">
        <v>0</v>
      </c>
      <c r="AG105" s="634">
        <v>0</v>
      </c>
      <c r="AH105" s="634">
        <v>0</v>
      </c>
      <c r="AI105" s="634">
        <v>0</v>
      </c>
      <c r="AJ105" s="634">
        <v>0</v>
      </c>
      <c r="AK105" s="634">
        <v>0</v>
      </c>
    </row>
    <row r="106" spans="3:37" x14ac:dyDescent="0.2">
      <c r="C106" s="646" t="s">
        <v>78</v>
      </c>
      <c r="D106" s="640">
        <v>6.3476756101286895</v>
      </c>
      <c r="E106" s="640">
        <v>0</v>
      </c>
      <c r="F106" s="640">
        <v>23.963924152830415</v>
      </c>
      <c r="G106" s="640">
        <v>102.72602750235836</v>
      </c>
      <c r="H106" s="640">
        <v>0</v>
      </c>
      <c r="I106" s="640">
        <v>0</v>
      </c>
      <c r="J106" s="640">
        <v>19.164817057512749</v>
      </c>
      <c r="K106" s="640">
        <v>1.7769703360109936</v>
      </c>
      <c r="L106" s="640">
        <v>0.86552810351562492</v>
      </c>
      <c r="M106" s="640">
        <v>2.1151614516362294</v>
      </c>
      <c r="N106" s="640">
        <v>0</v>
      </c>
      <c r="O106" s="640">
        <v>3.8147295409713907E-4</v>
      </c>
      <c r="P106" s="640">
        <v>109.69856944385172</v>
      </c>
      <c r="Q106" s="640">
        <v>16.190109766233334</v>
      </c>
      <c r="R106" s="640">
        <v>0.34118215942382812</v>
      </c>
      <c r="S106" s="648">
        <v>283.19034705645606</v>
      </c>
      <c r="U106" s="646" t="s">
        <v>78</v>
      </c>
      <c r="V106" s="640">
        <v>0.96947057486293287</v>
      </c>
      <c r="W106" s="640">
        <v>0</v>
      </c>
      <c r="X106" s="640">
        <v>14.423852836289303</v>
      </c>
      <c r="Y106" s="640">
        <v>71.911931163769523</v>
      </c>
      <c r="Z106" s="640">
        <v>0</v>
      </c>
      <c r="AA106" s="640">
        <v>0</v>
      </c>
      <c r="AB106" s="640">
        <v>16.641526349557349</v>
      </c>
      <c r="AC106" s="640">
        <v>5.8374337597773929</v>
      </c>
      <c r="AD106" s="640">
        <v>1.8190377949218752</v>
      </c>
      <c r="AE106" s="640">
        <v>10.764172889266069</v>
      </c>
      <c r="AF106" s="640">
        <v>0</v>
      </c>
      <c r="AG106" s="640">
        <v>3.8147295409713907E-4</v>
      </c>
      <c r="AH106" s="640">
        <v>133.35975359263318</v>
      </c>
      <c r="AI106" s="640">
        <v>21.024156518221293</v>
      </c>
      <c r="AJ106" s="640">
        <v>5.3802006835937499</v>
      </c>
      <c r="AK106" s="648">
        <v>282.13191763584672</v>
      </c>
    </row>
    <row r="107" spans="3:37" x14ac:dyDescent="0.2">
      <c r="C107" s="646" t="s">
        <v>79</v>
      </c>
      <c r="D107" s="640">
        <v>0</v>
      </c>
      <c r="E107" s="640">
        <v>0</v>
      </c>
      <c r="F107" s="640">
        <v>312.50052508879821</v>
      </c>
      <c r="G107" s="640">
        <v>20.28727706696608</v>
      </c>
      <c r="H107" s="640">
        <v>0</v>
      </c>
      <c r="I107" s="640">
        <v>0</v>
      </c>
      <c r="J107" s="640">
        <v>0</v>
      </c>
      <c r="K107" s="640">
        <v>0</v>
      </c>
      <c r="L107" s="640">
        <v>30.35479180755361</v>
      </c>
      <c r="M107" s="640">
        <v>0.41402606259114449</v>
      </c>
      <c r="N107" s="640">
        <v>0</v>
      </c>
      <c r="O107" s="640">
        <v>0</v>
      </c>
      <c r="P107" s="640">
        <v>40.087101502259863</v>
      </c>
      <c r="Q107" s="640">
        <v>0</v>
      </c>
      <c r="R107" s="640">
        <v>0.80956479691939642</v>
      </c>
      <c r="S107" s="648">
        <v>404.45328632508824</v>
      </c>
      <c r="U107" s="646" t="s">
        <v>79</v>
      </c>
      <c r="V107" s="640">
        <v>0</v>
      </c>
      <c r="W107" s="640">
        <v>0</v>
      </c>
      <c r="X107" s="640">
        <v>200.27592241910855</v>
      </c>
      <c r="Y107" s="640">
        <v>16.649550205830046</v>
      </c>
      <c r="Z107" s="640">
        <v>0</v>
      </c>
      <c r="AA107" s="640">
        <v>0</v>
      </c>
      <c r="AB107" s="640">
        <v>0</v>
      </c>
      <c r="AC107" s="640">
        <v>0</v>
      </c>
      <c r="AD107" s="640">
        <v>44.40579181284334</v>
      </c>
      <c r="AE107" s="640">
        <v>2.5923432302996523</v>
      </c>
      <c r="AF107" s="640">
        <v>0</v>
      </c>
      <c r="AG107" s="640">
        <v>0</v>
      </c>
      <c r="AH107" s="640">
        <v>50.411052136241274</v>
      </c>
      <c r="AI107" s="640">
        <v>0</v>
      </c>
      <c r="AJ107" s="640">
        <v>1.5849058336758</v>
      </c>
      <c r="AK107" s="648">
        <v>315.91956563799869</v>
      </c>
    </row>
    <row r="108" spans="3:37" x14ac:dyDescent="0.2">
      <c r="C108" s="646" t="s">
        <v>80</v>
      </c>
      <c r="D108" s="640">
        <v>0</v>
      </c>
      <c r="E108" s="640">
        <v>0</v>
      </c>
      <c r="F108" s="640">
        <v>27.223306395871116</v>
      </c>
      <c r="G108" s="640">
        <v>94.787807272791255</v>
      </c>
      <c r="H108" s="640">
        <v>0</v>
      </c>
      <c r="I108" s="640">
        <v>0</v>
      </c>
      <c r="J108" s="640">
        <v>83.273177408961004</v>
      </c>
      <c r="K108" s="640">
        <v>0</v>
      </c>
      <c r="L108" s="640">
        <v>0</v>
      </c>
      <c r="M108" s="640">
        <v>1.9344450463834952</v>
      </c>
      <c r="N108" s="640">
        <v>46.067590504591024</v>
      </c>
      <c r="O108" s="640">
        <v>1.9582561857397398</v>
      </c>
      <c r="P108" s="640">
        <v>180.22551264292704</v>
      </c>
      <c r="Q108" s="640">
        <v>15.690776641240536</v>
      </c>
      <c r="R108" s="640">
        <v>0</v>
      </c>
      <c r="S108" s="648">
        <v>451.16087209850519</v>
      </c>
      <c r="U108" s="646" t="s">
        <v>80</v>
      </c>
      <c r="V108" s="640">
        <v>0</v>
      </c>
      <c r="W108" s="640">
        <v>0</v>
      </c>
      <c r="X108" s="640">
        <v>2.015713666762446</v>
      </c>
      <c r="Y108" s="640">
        <v>47.341776252628989</v>
      </c>
      <c r="Z108" s="640">
        <v>0</v>
      </c>
      <c r="AA108" s="640">
        <v>0</v>
      </c>
      <c r="AB108" s="640">
        <v>73.879452654225247</v>
      </c>
      <c r="AC108" s="640">
        <v>0</v>
      </c>
      <c r="AD108" s="640">
        <v>0</v>
      </c>
      <c r="AE108" s="640">
        <v>7.0740585205077799</v>
      </c>
      <c r="AF108" s="640">
        <v>56.247445771865117</v>
      </c>
      <c r="AG108" s="640">
        <v>2.3917818193760598</v>
      </c>
      <c r="AH108" s="640">
        <v>158.99417861004727</v>
      </c>
      <c r="AI108" s="640">
        <v>34.672503342788303</v>
      </c>
      <c r="AJ108" s="640">
        <v>0</v>
      </c>
      <c r="AK108" s="648">
        <v>382.61691063820126</v>
      </c>
    </row>
    <row r="109" spans="3:37" x14ac:dyDescent="0.2">
      <c r="C109" s="646" t="s">
        <v>81</v>
      </c>
      <c r="D109" s="640">
        <v>0</v>
      </c>
      <c r="E109" s="640">
        <v>0</v>
      </c>
      <c r="F109" s="640">
        <v>10.721858440723695</v>
      </c>
      <c r="G109" s="640">
        <v>62.595656083836779</v>
      </c>
      <c r="H109" s="640">
        <v>0</v>
      </c>
      <c r="I109" s="640">
        <v>0</v>
      </c>
      <c r="J109" s="640">
        <v>3.4596715414798309</v>
      </c>
      <c r="K109" s="640">
        <v>2.5030873755322387E-2</v>
      </c>
      <c r="L109" s="640">
        <v>0</v>
      </c>
      <c r="M109" s="640">
        <v>1.2774623690578935</v>
      </c>
      <c r="N109" s="640">
        <v>8.3421239681836319</v>
      </c>
      <c r="O109" s="640">
        <v>0.80110714509903691</v>
      </c>
      <c r="P109" s="640">
        <v>133.46461699259584</v>
      </c>
      <c r="Q109" s="640">
        <v>4.0584048663721433</v>
      </c>
      <c r="R109" s="640">
        <v>0</v>
      </c>
      <c r="S109" s="648">
        <v>224.74593228110413</v>
      </c>
      <c r="U109" s="646" t="s">
        <v>81</v>
      </c>
      <c r="V109" s="640">
        <v>0</v>
      </c>
      <c r="W109" s="640">
        <v>0</v>
      </c>
      <c r="X109" s="640">
        <v>3.1096233693990798</v>
      </c>
      <c r="Y109" s="640">
        <v>32.055438404613625</v>
      </c>
      <c r="Z109" s="640">
        <v>0</v>
      </c>
      <c r="AA109" s="640">
        <v>0</v>
      </c>
      <c r="AB109" s="640">
        <v>7.6606579921523004</v>
      </c>
      <c r="AC109" s="640">
        <v>2.5030873755322387E-2</v>
      </c>
      <c r="AD109" s="640">
        <v>0</v>
      </c>
      <c r="AE109" s="640">
        <v>4.7898930949422658</v>
      </c>
      <c r="AF109" s="640">
        <v>14.251121986476408</v>
      </c>
      <c r="AG109" s="640">
        <v>1.7168402703934114</v>
      </c>
      <c r="AH109" s="640">
        <v>121.34906004798763</v>
      </c>
      <c r="AI109" s="640">
        <v>9.5078384424472873</v>
      </c>
      <c r="AJ109" s="640">
        <v>0</v>
      </c>
      <c r="AK109" s="648">
        <v>194.46550448216732</v>
      </c>
    </row>
    <row r="110" spans="3:37" x14ac:dyDescent="0.2">
      <c r="C110" s="646" t="s">
        <v>82</v>
      </c>
      <c r="D110" s="640">
        <v>0</v>
      </c>
      <c r="E110" s="640">
        <v>0</v>
      </c>
      <c r="F110" s="640">
        <v>32.13207144146056</v>
      </c>
      <c r="G110" s="640">
        <v>1.9328709168763656</v>
      </c>
      <c r="H110" s="640">
        <v>0</v>
      </c>
      <c r="I110" s="640">
        <v>0</v>
      </c>
      <c r="J110" s="640">
        <v>2.05899706998358</v>
      </c>
      <c r="K110" s="640">
        <v>0</v>
      </c>
      <c r="L110" s="640">
        <v>2.6244824682898504</v>
      </c>
      <c r="M110" s="640">
        <v>3.9446345242374808E-2</v>
      </c>
      <c r="N110" s="640">
        <v>0</v>
      </c>
      <c r="O110" s="640">
        <v>8.070345812558942E-2</v>
      </c>
      <c r="P110" s="640">
        <v>7.3892266408052469</v>
      </c>
      <c r="Q110" s="640">
        <v>0</v>
      </c>
      <c r="R110" s="640">
        <v>0</v>
      </c>
      <c r="S110" s="648">
        <v>46.257798340783566</v>
      </c>
      <c r="U110" s="646" t="s">
        <v>82</v>
      </c>
      <c r="V110" s="640">
        <v>0</v>
      </c>
      <c r="W110" s="640">
        <v>0</v>
      </c>
      <c r="X110" s="640">
        <v>22.167558461996123</v>
      </c>
      <c r="Y110" s="640">
        <v>2.0916118720237509</v>
      </c>
      <c r="Z110" s="640">
        <v>0</v>
      </c>
      <c r="AA110" s="640">
        <v>0</v>
      </c>
      <c r="AB110" s="640">
        <v>2.05899706998358</v>
      </c>
      <c r="AC110" s="640">
        <v>0</v>
      </c>
      <c r="AD110" s="640">
        <v>14.821446231272425</v>
      </c>
      <c r="AE110" s="640">
        <v>0.31253970501504325</v>
      </c>
      <c r="AF110" s="640">
        <v>0</v>
      </c>
      <c r="AG110" s="640">
        <v>0.82781531321025892</v>
      </c>
      <c r="AH110" s="640">
        <v>7.4491158726448985</v>
      </c>
      <c r="AI110" s="640">
        <v>0</v>
      </c>
      <c r="AJ110" s="640">
        <v>0.21911019493558448</v>
      </c>
      <c r="AK110" s="648">
        <v>49.948194721081656</v>
      </c>
    </row>
    <row r="111" spans="3:37" x14ac:dyDescent="0.2">
      <c r="C111" s="646" t="s">
        <v>354</v>
      </c>
      <c r="D111" s="640">
        <v>0</v>
      </c>
      <c r="E111" s="640">
        <v>0</v>
      </c>
      <c r="F111" s="640">
        <v>0</v>
      </c>
      <c r="G111" s="640">
        <v>0</v>
      </c>
      <c r="H111" s="640">
        <v>0</v>
      </c>
      <c r="I111" s="640">
        <v>0</v>
      </c>
      <c r="J111" s="640">
        <v>0</v>
      </c>
      <c r="K111" s="640">
        <v>0</v>
      </c>
      <c r="L111" s="640">
        <v>0</v>
      </c>
      <c r="M111" s="640">
        <v>0</v>
      </c>
      <c r="N111" s="640">
        <v>0</v>
      </c>
      <c r="O111" s="640">
        <v>0</v>
      </c>
      <c r="P111" s="640">
        <v>0.13500000000000001</v>
      </c>
      <c r="Q111" s="640">
        <v>0</v>
      </c>
      <c r="R111" s="640">
        <v>0</v>
      </c>
      <c r="S111" s="648">
        <v>0.13500000000000001</v>
      </c>
      <c r="U111" s="646" t="s">
        <v>354</v>
      </c>
      <c r="V111" s="640">
        <v>0</v>
      </c>
      <c r="W111" s="640">
        <v>0</v>
      </c>
      <c r="X111" s="640">
        <v>0</v>
      </c>
      <c r="Y111" s="640">
        <v>0</v>
      </c>
      <c r="Z111" s="640">
        <v>0</v>
      </c>
      <c r="AA111" s="640">
        <v>0</v>
      </c>
      <c r="AB111" s="640">
        <v>0</v>
      </c>
      <c r="AC111" s="640">
        <v>0</v>
      </c>
      <c r="AD111" s="640">
        <v>0</v>
      </c>
      <c r="AE111" s="640">
        <v>0</v>
      </c>
      <c r="AF111" s="640">
        <v>0</v>
      </c>
      <c r="AG111" s="640">
        <v>0</v>
      </c>
      <c r="AH111" s="640">
        <v>0.96</v>
      </c>
      <c r="AI111" s="640">
        <v>0</v>
      </c>
      <c r="AJ111" s="640">
        <v>0</v>
      </c>
      <c r="AK111" s="648">
        <v>0.96</v>
      </c>
    </row>
    <row r="112" spans="3:37" x14ac:dyDescent="0.2">
      <c r="C112" s="644" t="s">
        <v>83</v>
      </c>
      <c r="D112" s="645">
        <v>6.3476756101286895</v>
      </c>
      <c r="E112" s="645">
        <v>0</v>
      </c>
      <c r="F112" s="645">
        <v>406.54168551968399</v>
      </c>
      <c r="G112" s="645">
        <v>282.32963884282884</v>
      </c>
      <c r="H112" s="645">
        <v>0</v>
      </c>
      <c r="I112" s="645">
        <v>0</v>
      </c>
      <c r="J112" s="645">
        <v>107.95666307793715</v>
      </c>
      <c r="K112" s="645">
        <v>1.8020012097663161</v>
      </c>
      <c r="L112" s="645">
        <v>33.844802379359088</v>
      </c>
      <c r="M112" s="645">
        <v>5.7805412749111369</v>
      </c>
      <c r="N112" s="645">
        <v>54.409714472774652</v>
      </c>
      <c r="O112" s="645">
        <v>2.8404482619184632</v>
      </c>
      <c r="P112" s="645">
        <v>471.00002722243971</v>
      </c>
      <c r="Q112" s="645">
        <v>35.93929127384601</v>
      </c>
      <c r="R112" s="645">
        <v>1.1507469563432244</v>
      </c>
      <c r="S112" s="645">
        <v>1409.9432361019371</v>
      </c>
      <c r="U112" s="644" t="s">
        <v>83</v>
      </c>
      <c r="V112" s="645">
        <v>0.96947057486293287</v>
      </c>
      <c r="W112" s="645">
        <v>0</v>
      </c>
      <c r="X112" s="645">
        <v>241.9926707535555</v>
      </c>
      <c r="Y112" s="645">
        <v>170.05030789886592</v>
      </c>
      <c r="Z112" s="645">
        <v>0</v>
      </c>
      <c r="AA112" s="645">
        <v>0</v>
      </c>
      <c r="AB112" s="645">
        <v>100.24063406591846</v>
      </c>
      <c r="AC112" s="645">
        <v>5.8624646335327153</v>
      </c>
      <c r="AD112" s="645">
        <v>61.046275839037641</v>
      </c>
      <c r="AE112" s="645">
        <v>25.533007440030815</v>
      </c>
      <c r="AF112" s="645">
        <v>70.498567758341522</v>
      </c>
      <c r="AG112" s="645">
        <v>4.9368188759338274</v>
      </c>
      <c r="AH112" s="645">
        <v>472.52316025955423</v>
      </c>
      <c r="AI112" s="645">
        <v>65.204498303456901</v>
      </c>
      <c r="AJ112" s="645">
        <v>7.184216712205135</v>
      </c>
      <c r="AK112" s="645">
        <v>1226.0420931152958</v>
      </c>
    </row>
    <row r="113" spans="3:37" x14ac:dyDescent="0.2">
      <c r="C113" s="639" t="s">
        <v>84</v>
      </c>
      <c r="D113" s="640">
        <v>0</v>
      </c>
      <c r="E113" s="640">
        <v>0</v>
      </c>
      <c r="F113" s="640">
        <v>117.0773058539918</v>
      </c>
      <c r="G113" s="640">
        <v>12.185345647681713</v>
      </c>
      <c r="H113" s="640">
        <v>0</v>
      </c>
      <c r="I113" s="640">
        <v>0</v>
      </c>
      <c r="J113" s="640">
        <v>0</v>
      </c>
      <c r="K113" s="640">
        <v>0</v>
      </c>
      <c r="L113" s="640">
        <v>0</v>
      </c>
      <c r="M113" s="640">
        <v>0</v>
      </c>
      <c r="N113" s="640">
        <v>0</v>
      </c>
      <c r="O113" s="640">
        <v>0</v>
      </c>
      <c r="P113" s="640">
        <v>0</v>
      </c>
      <c r="Q113" s="640">
        <v>0</v>
      </c>
      <c r="R113" s="640">
        <v>0.52065087875698901</v>
      </c>
      <c r="S113" s="648">
        <v>129.78330238043051</v>
      </c>
      <c r="U113" s="639" t="s">
        <v>84</v>
      </c>
      <c r="V113" s="640">
        <v>0</v>
      </c>
      <c r="W113" s="640">
        <v>0</v>
      </c>
      <c r="X113" s="640">
        <v>106.669872568297</v>
      </c>
      <c r="Y113" s="640">
        <v>1.6020598461664441</v>
      </c>
      <c r="Z113" s="640">
        <v>0</v>
      </c>
      <c r="AA113" s="640">
        <v>0</v>
      </c>
      <c r="AB113" s="640">
        <v>0</v>
      </c>
      <c r="AC113" s="640">
        <v>0</v>
      </c>
      <c r="AD113" s="640">
        <v>6.1061434912109362</v>
      </c>
      <c r="AE113" s="640">
        <v>0</v>
      </c>
      <c r="AF113" s="640">
        <v>0</v>
      </c>
      <c r="AG113" s="640">
        <v>0</v>
      </c>
      <c r="AH113" s="640">
        <v>0</v>
      </c>
      <c r="AI113" s="640">
        <v>0</v>
      </c>
      <c r="AJ113" s="640">
        <v>4.9659354443359369</v>
      </c>
      <c r="AK113" s="648">
        <v>119.34401135001032</v>
      </c>
    </row>
    <row r="114" spans="3:37" x14ac:dyDescent="0.2">
      <c r="C114" s="644" t="s">
        <v>85</v>
      </c>
      <c r="D114" s="645">
        <v>6.3476756101286895</v>
      </c>
      <c r="E114" s="645">
        <v>0</v>
      </c>
      <c r="F114" s="645">
        <v>523.61899137367573</v>
      </c>
      <c r="G114" s="645">
        <v>294.51498449051053</v>
      </c>
      <c r="H114" s="645">
        <v>0</v>
      </c>
      <c r="I114" s="645">
        <v>0</v>
      </c>
      <c r="J114" s="645">
        <v>107.95666307793715</v>
      </c>
      <c r="K114" s="645">
        <v>1.8020012097663161</v>
      </c>
      <c r="L114" s="645">
        <v>33.844802379359088</v>
      </c>
      <c r="M114" s="645">
        <v>5.7805412749111369</v>
      </c>
      <c r="N114" s="645">
        <v>54.409714472774652</v>
      </c>
      <c r="O114" s="645">
        <v>2.8404482619184632</v>
      </c>
      <c r="P114" s="645">
        <v>471.00002722243971</v>
      </c>
      <c r="Q114" s="645">
        <v>35.93929127384601</v>
      </c>
      <c r="R114" s="645">
        <v>1.6713978351002134</v>
      </c>
      <c r="S114" s="645">
        <v>1539.7265384823679</v>
      </c>
      <c r="U114" s="644" t="s">
        <v>85</v>
      </c>
      <c r="V114" s="645">
        <v>0.96947057486293287</v>
      </c>
      <c r="W114" s="645">
        <v>0</v>
      </c>
      <c r="X114" s="645">
        <v>348.66254332185252</v>
      </c>
      <c r="Y114" s="645">
        <v>171.65236774503236</v>
      </c>
      <c r="Z114" s="645">
        <v>0</v>
      </c>
      <c r="AA114" s="645">
        <v>0</v>
      </c>
      <c r="AB114" s="645">
        <v>100.24063406591846</v>
      </c>
      <c r="AC114" s="645">
        <v>5.8624646335327153</v>
      </c>
      <c r="AD114" s="645">
        <v>67.152419330248577</v>
      </c>
      <c r="AE114" s="645">
        <v>25.533007440030815</v>
      </c>
      <c r="AF114" s="645">
        <v>70.498567758341522</v>
      </c>
      <c r="AG114" s="645">
        <v>4.9368188759338274</v>
      </c>
      <c r="AH114" s="645">
        <v>472.52316025955423</v>
      </c>
      <c r="AI114" s="645">
        <v>65.204498303456901</v>
      </c>
      <c r="AJ114" s="645">
        <v>12.150152156541072</v>
      </c>
      <c r="AK114" s="645">
        <v>1345.3861044653063</v>
      </c>
    </row>
    <row r="115" spans="3:37" x14ac:dyDescent="0.2">
      <c r="C115" s="634"/>
      <c r="D115" s="634"/>
      <c r="E115" s="634"/>
      <c r="F115" s="634"/>
      <c r="G115" s="634"/>
      <c r="H115" s="634"/>
      <c r="I115" s="634"/>
      <c r="J115" s="634"/>
      <c r="K115" s="634"/>
      <c r="L115" s="634"/>
      <c r="M115" s="634"/>
      <c r="N115" s="634"/>
      <c r="O115" s="634"/>
      <c r="P115" s="634"/>
      <c r="Q115" s="634"/>
      <c r="R115" s="634"/>
      <c r="S115" s="634"/>
      <c r="U115" s="634"/>
      <c r="V115" s="634"/>
      <c r="W115" s="634"/>
      <c r="X115" s="634"/>
      <c r="Y115" s="634"/>
      <c r="Z115" s="634"/>
      <c r="AA115" s="634"/>
      <c r="AB115" s="634"/>
      <c r="AC115" s="634"/>
      <c r="AD115" s="634"/>
      <c r="AE115" s="634"/>
      <c r="AF115" s="634"/>
      <c r="AG115" s="634"/>
      <c r="AH115" s="634"/>
      <c r="AI115" s="634"/>
      <c r="AJ115" s="634"/>
      <c r="AK115" s="634"/>
    </row>
    <row r="116" spans="3:37" ht="22.5" x14ac:dyDescent="0.3">
      <c r="C116" s="759" t="s">
        <v>358</v>
      </c>
      <c r="D116" s="759"/>
      <c r="E116" s="759"/>
      <c r="F116" s="759"/>
      <c r="G116" s="759"/>
      <c r="H116" s="759"/>
      <c r="I116" s="759"/>
      <c r="J116" s="759"/>
      <c r="K116" s="759"/>
      <c r="L116" s="759"/>
      <c r="M116" s="759"/>
      <c r="N116" s="759"/>
      <c r="O116" s="759"/>
      <c r="P116" s="759"/>
      <c r="Q116" s="759"/>
      <c r="R116" s="759"/>
      <c r="S116" s="759"/>
      <c r="U116" s="759" t="s">
        <v>358</v>
      </c>
      <c r="V116" s="759"/>
      <c r="W116" s="759"/>
      <c r="X116" s="759"/>
      <c r="Y116" s="759"/>
      <c r="Z116" s="759"/>
      <c r="AA116" s="759"/>
      <c r="AB116" s="759"/>
      <c r="AC116" s="759"/>
      <c r="AD116" s="759"/>
      <c r="AE116" s="759"/>
      <c r="AF116" s="759"/>
      <c r="AG116" s="759"/>
      <c r="AH116" s="759"/>
      <c r="AI116" s="759"/>
      <c r="AJ116" s="759"/>
      <c r="AK116" s="759"/>
    </row>
    <row r="117" spans="3:37" x14ac:dyDescent="0.2">
      <c r="C117" s="634"/>
      <c r="D117" s="634"/>
      <c r="E117" s="634"/>
      <c r="F117" s="634"/>
      <c r="G117" s="634"/>
      <c r="H117" s="634"/>
      <c r="I117" s="634"/>
      <c r="J117" s="634"/>
      <c r="K117" s="634"/>
      <c r="L117" s="634"/>
      <c r="M117" s="634"/>
      <c r="N117" s="634"/>
      <c r="O117" s="634"/>
      <c r="P117" s="634"/>
      <c r="Q117" s="634"/>
      <c r="R117" s="634"/>
      <c r="S117" s="634"/>
      <c r="U117" s="634"/>
      <c r="V117" s="634"/>
      <c r="W117" s="634"/>
      <c r="X117" s="634"/>
      <c r="Y117" s="634"/>
      <c r="Z117" s="634"/>
      <c r="AA117" s="634"/>
      <c r="AB117" s="634"/>
      <c r="AC117" s="634"/>
      <c r="AD117" s="634"/>
      <c r="AE117" s="634"/>
      <c r="AF117" s="634"/>
      <c r="AG117" s="634"/>
      <c r="AH117" s="634"/>
      <c r="AI117" s="634"/>
      <c r="AJ117" s="634"/>
      <c r="AK117" s="634"/>
    </row>
    <row r="118" spans="3:37" ht="12.95" customHeight="1" x14ac:dyDescent="0.2">
      <c r="C118" s="758" t="s">
        <v>128</v>
      </c>
      <c r="D118" s="757" t="s">
        <v>42</v>
      </c>
      <c r="E118" s="757" t="s">
        <v>52</v>
      </c>
      <c r="F118" s="757" t="s">
        <v>53</v>
      </c>
      <c r="G118" s="757" t="s">
        <v>32</v>
      </c>
      <c r="H118" s="757" t="s">
        <v>20</v>
      </c>
      <c r="I118" s="757" t="s">
        <v>55</v>
      </c>
      <c r="J118" s="757" t="s">
        <v>56</v>
      </c>
      <c r="K118" s="757"/>
      <c r="L118" s="757"/>
      <c r="M118" s="757"/>
      <c r="N118" s="757"/>
      <c r="O118" s="757"/>
      <c r="P118" s="757" t="s">
        <v>57</v>
      </c>
      <c r="Q118" s="757" t="s">
        <v>58</v>
      </c>
      <c r="R118" s="757" t="s">
        <v>31</v>
      </c>
      <c r="S118" s="757" t="s">
        <v>10</v>
      </c>
      <c r="U118" s="758" t="s">
        <v>128</v>
      </c>
      <c r="V118" s="757" t="s">
        <v>42</v>
      </c>
      <c r="W118" s="757" t="s">
        <v>52</v>
      </c>
      <c r="X118" s="757" t="s">
        <v>53</v>
      </c>
      <c r="Y118" s="757" t="s">
        <v>32</v>
      </c>
      <c r="Z118" s="757" t="s">
        <v>20</v>
      </c>
      <c r="AA118" s="757" t="s">
        <v>55</v>
      </c>
      <c r="AB118" s="757" t="s">
        <v>56</v>
      </c>
      <c r="AC118" s="757"/>
      <c r="AD118" s="757"/>
      <c r="AE118" s="757"/>
      <c r="AF118" s="757"/>
      <c r="AG118" s="757"/>
      <c r="AH118" s="757" t="s">
        <v>57</v>
      </c>
      <c r="AI118" s="757" t="s">
        <v>58</v>
      </c>
      <c r="AJ118" s="757" t="s">
        <v>31</v>
      </c>
      <c r="AK118" s="757" t="s">
        <v>10</v>
      </c>
    </row>
    <row r="119" spans="3:37" ht="56.25" x14ac:dyDescent="0.2">
      <c r="C119" s="758"/>
      <c r="D119" s="757"/>
      <c r="E119" s="757"/>
      <c r="F119" s="757"/>
      <c r="G119" s="757"/>
      <c r="H119" s="757"/>
      <c r="I119" s="757"/>
      <c r="J119" s="638" t="s">
        <v>335</v>
      </c>
      <c r="K119" s="638" t="s">
        <v>40</v>
      </c>
      <c r="L119" s="638" t="s">
        <v>343</v>
      </c>
      <c r="M119" s="638" t="s">
        <v>344</v>
      </c>
      <c r="N119" s="638" t="s">
        <v>345</v>
      </c>
      <c r="O119" s="638" t="s">
        <v>346</v>
      </c>
      <c r="P119" s="757"/>
      <c r="Q119" s="757"/>
      <c r="R119" s="757"/>
      <c r="S119" s="757"/>
      <c r="U119" s="758"/>
      <c r="V119" s="757"/>
      <c r="W119" s="757"/>
      <c r="X119" s="757"/>
      <c r="Y119" s="757"/>
      <c r="Z119" s="757"/>
      <c r="AA119" s="757"/>
      <c r="AB119" s="638" t="s">
        <v>335</v>
      </c>
      <c r="AC119" s="638" t="s">
        <v>40</v>
      </c>
      <c r="AD119" s="638" t="s">
        <v>343</v>
      </c>
      <c r="AE119" s="638" t="s">
        <v>344</v>
      </c>
      <c r="AF119" s="638" t="s">
        <v>345</v>
      </c>
      <c r="AG119" s="638" t="s">
        <v>346</v>
      </c>
      <c r="AH119" s="757"/>
      <c r="AI119" s="757"/>
      <c r="AJ119" s="757"/>
      <c r="AK119" s="757"/>
    </row>
    <row r="120" spans="3:37" x14ac:dyDescent="0.2">
      <c r="C120" s="639" t="s">
        <v>59</v>
      </c>
      <c r="D120" s="640">
        <v>0</v>
      </c>
      <c r="E120" s="641">
        <v>5.8150000000000004</v>
      </c>
      <c r="F120" s="641">
        <v>0</v>
      </c>
      <c r="G120" s="640">
        <v>9.3040000000000012E-2</v>
      </c>
      <c r="H120" s="641">
        <v>1075.0000000000002</v>
      </c>
      <c r="I120" s="641">
        <v>224.13674723416887</v>
      </c>
      <c r="J120" s="641">
        <v>191.59942379122555</v>
      </c>
      <c r="K120" s="641">
        <v>21.432553878964274</v>
      </c>
      <c r="L120" s="641">
        <v>0.38158375751522683</v>
      </c>
      <c r="M120" s="641">
        <v>0.1566638564915529</v>
      </c>
      <c r="N120" s="641">
        <v>57.826394702164251</v>
      </c>
      <c r="O120" s="641">
        <v>8.0717549324466145</v>
      </c>
      <c r="P120" s="642">
        <v>0</v>
      </c>
      <c r="Q120" s="641">
        <v>0</v>
      </c>
      <c r="R120" s="641">
        <v>0</v>
      </c>
      <c r="S120" s="643">
        <v>1584.5131621529763</v>
      </c>
      <c r="U120" s="639" t="s">
        <v>59</v>
      </c>
      <c r="V120" s="640">
        <v>0</v>
      </c>
      <c r="W120" s="641">
        <v>5.8150000000000004</v>
      </c>
      <c r="X120" s="641">
        <v>0</v>
      </c>
      <c r="Y120" s="640">
        <v>9.3040000000000012E-2</v>
      </c>
      <c r="Z120" s="641">
        <v>994.39393939393949</v>
      </c>
      <c r="AA120" s="641">
        <v>248.70674723416883</v>
      </c>
      <c r="AB120" s="641">
        <v>191.76566332259941</v>
      </c>
      <c r="AC120" s="641">
        <v>38.031253697312572</v>
      </c>
      <c r="AD120" s="641">
        <v>0.38158375751522683</v>
      </c>
      <c r="AE120" s="641">
        <v>0.1566638564915529</v>
      </c>
      <c r="AF120" s="641">
        <v>76.992812580470769</v>
      </c>
      <c r="AG120" s="641">
        <v>16.738826185514363</v>
      </c>
      <c r="AH120" s="642">
        <v>0</v>
      </c>
      <c r="AI120" s="641">
        <v>0</v>
      </c>
      <c r="AJ120" s="641">
        <v>0</v>
      </c>
      <c r="AK120" s="643">
        <v>1573.0755300280123</v>
      </c>
    </row>
    <row r="121" spans="3:37" x14ac:dyDescent="0.2">
      <c r="C121" s="639" t="s">
        <v>60</v>
      </c>
      <c r="D121" s="640">
        <v>48.827265231041785</v>
      </c>
      <c r="E121" s="641">
        <v>518.07410535010388</v>
      </c>
      <c r="F121" s="641">
        <v>107.87457071926454</v>
      </c>
      <c r="G121" s="640">
        <v>335.04873882059013</v>
      </c>
      <c r="H121" s="641">
        <v>0</v>
      </c>
      <c r="I121" s="641">
        <v>0</v>
      </c>
      <c r="J121" s="641">
        <v>3.6983557386050134</v>
      </c>
      <c r="K121" s="641">
        <v>0</v>
      </c>
      <c r="L121" s="641">
        <v>2.0715216469959126</v>
      </c>
      <c r="M121" s="641">
        <v>0</v>
      </c>
      <c r="N121" s="641">
        <v>0</v>
      </c>
      <c r="O121" s="641">
        <v>0</v>
      </c>
      <c r="P121" s="642">
        <v>0</v>
      </c>
      <c r="Q121" s="641">
        <v>0</v>
      </c>
      <c r="R121" s="641">
        <v>0</v>
      </c>
      <c r="S121" s="643">
        <v>1015.5945575066012</v>
      </c>
      <c r="U121" s="639" t="s">
        <v>60</v>
      </c>
      <c r="V121" s="640">
        <v>9.7783497021920969</v>
      </c>
      <c r="W121" s="641">
        <v>336.80990869295175</v>
      </c>
      <c r="X121" s="641">
        <v>55.498271181254346</v>
      </c>
      <c r="Y121" s="640">
        <v>207.3573846689826</v>
      </c>
      <c r="Z121" s="641">
        <v>0</v>
      </c>
      <c r="AA121" s="641">
        <v>0</v>
      </c>
      <c r="AB121" s="641">
        <v>3.6983557386050134</v>
      </c>
      <c r="AC121" s="641">
        <v>0</v>
      </c>
      <c r="AD121" s="641">
        <v>2.0715216469959126</v>
      </c>
      <c r="AE121" s="641">
        <v>0</v>
      </c>
      <c r="AF121" s="641">
        <v>0</v>
      </c>
      <c r="AG121" s="641">
        <v>0</v>
      </c>
      <c r="AH121" s="642">
        <v>0</v>
      </c>
      <c r="AI121" s="641">
        <v>0</v>
      </c>
      <c r="AJ121" s="641">
        <v>0</v>
      </c>
      <c r="AK121" s="643">
        <v>615.21379163098163</v>
      </c>
    </row>
    <row r="122" spans="3:37" x14ac:dyDescent="0.2">
      <c r="C122" s="639" t="s">
        <v>61</v>
      </c>
      <c r="D122" s="640">
        <v>0</v>
      </c>
      <c r="E122" s="641">
        <v>0</v>
      </c>
      <c r="F122" s="641">
        <v>0</v>
      </c>
      <c r="G122" s="640">
        <v>0</v>
      </c>
      <c r="H122" s="641">
        <v>0</v>
      </c>
      <c r="I122" s="641">
        <v>0</v>
      </c>
      <c r="J122" s="641">
        <v>0</v>
      </c>
      <c r="K122" s="641">
        <v>0</v>
      </c>
      <c r="L122" s="641">
        <v>0</v>
      </c>
      <c r="M122" s="641">
        <v>0</v>
      </c>
      <c r="N122" s="641">
        <v>0</v>
      </c>
      <c r="O122" s="641">
        <v>0</v>
      </c>
      <c r="P122" s="642">
        <v>-50.941346245748719</v>
      </c>
      <c r="Q122" s="641">
        <v>0</v>
      </c>
      <c r="R122" s="641">
        <v>0</v>
      </c>
      <c r="S122" s="643">
        <v>-50.941346245748719</v>
      </c>
      <c r="U122" s="639" t="s">
        <v>61</v>
      </c>
      <c r="V122" s="640">
        <v>0</v>
      </c>
      <c r="W122" s="641">
        <v>0</v>
      </c>
      <c r="X122" s="641">
        <v>0</v>
      </c>
      <c r="Y122" s="640">
        <v>0</v>
      </c>
      <c r="Z122" s="641">
        <v>0</v>
      </c>
      <c r="AA122" s="641">
        <v>0</v>
      </c>
      <c r="AB122" s="641">
        <v>0</v>
      </c>
      <c r="AC122" s="641">
        <v>0</v>
      </c>
      <c r="AD122" s="641">
        <v>0</v>
      </c>
      <c r="AE122" s="641">
        <v>0</v>
      </c>
      <c r="AF122" s="641">
        <v>0</v>
      </c>
      <c r="AG122" s="641">
        <v>0</v>
      </c>
      <c r="AH122" s="642">
        <v>-32.476172245636349</v>
      </c>
      <c r="AI122" s="641">
        <v>0</v>
      </c>
      <c r="AJ122" s="641">
        <v>0</v>
      </c>
      <c r="AK122" s="643">
        <v>-32.476172245636349</v>
      </c>
    </row>
    <row r="123" spans="3:37" x14ac:dyDescent="0.2">
      <c r="C123" s="639" t="s">
        <v>62</v>
      </c>
      <c r="D123" s="640">
        <v>0</v>
      </c>
      <c r="E123" s="641">
        <v>0</v>
      </c>
      <c r="F123" s="641">
        <v>-16.25862008896565</v>
      </c>
      <c r="G123" s="640">
        <v>0</v>
      </c>
      <c r="H123" s="641">
        <v>0</v>
      </c>
      <c r="I123" s="641">
        <v>0</v>
      </c>
      <c r="J123" s="641">
        <v>0</v>
      </c>
      <c r="K123" s="641">
        <v>0</v>
      </c>
      <c r="L123" s="641">
        <v>0</v>
      </c>
      <c r="M123" s="641">
        <v>0</v>
      </c>
      <c r="N123" s="641">
        <v>0</v>
      </c>
      <c r="O123" s="641">
        <v>0</v>
      </c>
      <c r="P123" s="642">
        <v>0</v>
      </c>
      <c r="Q123" s="641">
        <v>0</v>
      </c>
      <c r="R123" s="641">
        <v>0</v>
      </c>
      <c r="S123" s="643">
        <v>-16.25862008896565</v>
      </c>
      <c r="U123" s="639" t="s">
        <v>62</v>
      </c>
      <c r="V123" s="640">
        <v>0</v>
      </c>
      <c r="W123" s="641">
        <v>0</v>
      </c>
      <c r="X123" s="641">
        <v>-12.937868047131742</v>
      </c>
      <c r="Y123" s="640">
        <v>-1.5571295869756494</v>
      </c>
      <c r="Z123" s="641">
        <v>0</v>
      </c>
      <c r="AA123" s="641">
        <v>0</v>
      </c>
      <c r="AB123" s="641">
        <v>0</v>
      </c>
      <c r="AC123" s="641">
        <v>0</v>
      </c>
      <c r="AD123" s="641">
        <v>0</v>
      </c>
      <c r="AE123" s="641">
        <v>-0.27478757417217342</v>
      </c>
      <c r="AF123" s="641">
        <v>0</v>
      </c>
      <c r="AG123" s="641">
        <v>0</v>
      </c>
      <c r="AH123" s="642">
        <v>0</v>
      </c>
      <c r="AI123" s="641">
        <v>0</v>
      </c>
      <c r="AJ123" s="641">
        <v>0</v>
      </c>
      <c r="AK123" s="643">
        <v>-14.769785208279565</v>
      </c>
    </row>
    <row r="124" spans="3:37" x14ac:dyDescent="0.2">
      <c r="C124" s="639" t="s">
        <v>63</v>
      </c>
      <c r="D124" s="640">
        <v>0</v>
      </c>
      <c r="E124" s="641">
        <v>0</v>
      </c>
      <c r="F124" s="641">
        <v>-83.551471621484865</v>
      </c>
      <c r="G124" s="640">
        <v>0</v>
      </c>
      <c r="H124" s="641">
        <v>0</v>
      </c>
      <c r="I124" s="641">
        <v>0</v>
      </c>
      <c r="J124" s="641">
        <v>0</v>
      </c>
      <c r="K124" s="641">
        <v>0</v>
      </c>
      <c r="L124" s="641">
        <v>-0.85914301655193537</v>
      </c>
      <c r="M124" s="641">
        <v>0</v>
      </c>
      <c r="N124" s="641">
        <v>0</v>
      </c>
      <c r="O124" s="641">
        <v>0</v>
      </c>
      <c r="P124" s="642">
        <v>0</v>
      </c>
      <c r="Q124" s="641">
        <v>0</v>
      </c>
      <c r="R124" s="641">
        <v>0</v>
      </c>
      <c r="S124" s="643">
        <v>-84.410614638036805</v>
      </c>
      <c r="U124" s="639" t="s">
        <v>63</v>
      </c>
      <c r="V124" s="640">
        <v>0</v>
      </c>
      <c r="W124" s="641">
        <v>0</v>
      </c>
      <c r="X124" s="641">
        <v>-67.135202148658564</v>
      </c>
      <c r="Y124" s="640">
        <v>0</v>
      </c>
      <c r="Z124" s="641">
        <v>0</v>
      </c>
      <c r="AA124" s="641">
        <v>0</v>
      </c>
      <c r="AB124" s="641">
        <v>0</v>
      </c>
      <c r="AC124" s="641">
        <v>0</v>
      </c>
      <c r="AD124" s="641">
        <v>-15.117527463171397</v>
      </c>
      <c r="AE124" s="641">
        <v>0</v>
      </c>
      <c r="AF124" s="641">
        <v>0</v>
      </c>
      <c r="AG124" s="641">
        <v>0</v>
      </c>
      <c r="AH124" s="642">
        <v>0</v>
      </c>
      <c r="AI124" s="641">
        <v>0</v>
      </c>
      <c r="AJ124" s="641">
        <v>0</v>
      </c>
      <c r="AK124" s="643">
        <v>-82.252729611829963</v>
      </c>
    </row>
    <row r="125" spans="3:37" x14ac:dyDescent="0.2">
      <c r="C125" s="639" t="s">
        <v>64</v>
      </c>
      <c r="D125" s="640">
        <v>0</v>
      </c>
      <c r="E125" s="641">
        <v>0</v>
      </c>
      <c r="F125" s="641">
        <v>0</v>
      </c>
      <c r="G125" s="640">
        <v>0</v>
      </c>
      <c r="H125" s="641">
        <v>0</v>
      </c>
      <c r="I125" s="641">
        <v>0</v>
      </c>
      <c r="J125" s="641">
        <v>0</v>
      </c>
      <c r="K125" s="641">
        <v>0</v>
      </c>
      <c r="L125" s="641">
        <v>0</v>
      </c>
      <c r="M125" s="641">
        <v>0</v>
      </c>
      <c r="N125" s="641">
        <v>0</v>
      </c>
      <c r="O125" s="641">
        <v>0</v>
      </c>
      <c r="P125" s="642">
        <v>0</v>
      </c>
      <c r="Q125" s="641">
        <v>0</v>
      </c>
      <c r="R125" s="641">
        <v>0</v>
      </c>
      <c r="S125" s="643">
        <v>0</v>
      </c>
      <c r="U125" s="639" t="s">
        <v>64</v>
      </c>
      <c r="V125" s="640">
        <v>0</v>
      </c>
      <c r="W125" s="641">
        <v>0</v>
      </c>
      <c r="X125" s="641">
        <v>0</v>
      </c>
      <c r="Y125" s="640">
        <v>0</v>
      </c>
      <c r="Z125" s="641">
        <v>0</v>
      </c>
      <c r="AA125" s="641">
        <v>0</v>
      </c>
      <c r="AB125" s="641">
        <v>0</v>
      </c>
      <c r="AC125" s="641">
        <v>0</v>
      </c>
      <c r="AD125" s="641">
        <v>0</v>
      </c>
      <c r="AE125" s="641">
        <v>0</v>
      </c>
      <c r="AF125" s="641">
        <v>0</v>
      </c>
      <c r="AG125" s="641">
        <v>0</v>
      </c>
      <c r="AH125" s="642">
        <v>0</v>
      </c>
      <c r="AI125" s="641">
        <v>0</v>
      </c>
      <c r="AJ125" s="641">
        <v>0</v>
      </c>
      <c r="AK125" s="643">
        <v>0</v>
      </c>
    </row>
    <row r="126" spans="3:37" x14ac:dyDescent="0.2">
      <c r="C126" s="644" t="s">
        <v>65</v>
      </c>
      <c r="D126" s="645">
        <v>48.827265231041785</v>
      </c>
      <c r="E126" s="645">
        <v>523.88910535010393</v>
      </c>
      <c r="F126" s="645">
        <v>8.0644790088140255</v>
      </c>
      <c r="G126" s="645">
        <v>335.1417788205901</v>
      </c>
      <c r="H126" s="645">
        <v>1075.0000000000002</v>
      </c>
      <c r="I126" s="645">
        <v>224.13674723416887</v>
      </c>
      <c r="J126" s="645">
        <v>195.29777952983056</v>
      </c>
      <c r="K126" s="645">
        <v>21.432553878964274</v>
      </c>
      <c r="L126" s="645">
        <v>1.5939623879592042</v>
      </c>
      <c r="M126" s="645">
        <v>0.1566638564915529</v>
      </c>
      <c r="N126" s="645">
        <v>57.826394702164251</v>
      </c>
      <c r="O126" s="645">
        <v>8.0717549324466145</v>
      </c>
      <c r="P126" s="645">
        <v>-50.941346245748719</v>
      </c>
      <c r="Q126" s="645">
        <v>0</v>
      </c>
      <c r="R126" s="645">
        <v>0</v>
      </c>
      <c r="S126" s="645">
        <v>2448.4971386868265</v>
      </c>
      <c r="U126" s="644" t="s">
        <v>65</v>
      </c>
      <c r="V126" s="645">
        <v>9.7783497021920969</v>
      </c>
      <c r="W126" s="645">
        <v>342.62490869295175</v>
      </c>
      <c r="X126" s="645">
        <v>-24.574799014535962</v>
      </c>
      <c r="Y126" s="645">
        <v>205.89329508200694</v>
      </c>
      <c r="Z126" s="645">
        <v>994.39393939393949</v>
      </c>
      <c r="AA126" s="645">
        <v>248.70674723416883</v>
      </c>
      <c r="AB126" s="645">
        <v>195.46401906120443</v>
      </c>
      <c r="AC126" s="645">
        <v>38.031253697312572</v>
      </c>
      <c r="AD126" s="645">
        <v>-12.664422058660257</v>
      </c>
      <c r="AE126" s="645">
        <v>-0.11812371768062052</v>
      </c>
      <c r="AF126" s="645">
        <v>76.992812580470769</v>
      </c>
      <c r="AG126" s="645">
        <v>16.738826185514363</v>
      </c>
      <c r="AH126" s="645">
        <v>-32.476172245636349</v>
      </c>
      <c r="AI126" s="645">
        <v>0</v>
      </c>
      <c r="AJ126" s="645">
        <v>0</v>
      </c>
      <c r="AK126" s="645">
        <v>2058.7906345932479</v>
      </c>
    </row>
    <row r="127" spans="3:37" x14ac:dyDescent="0.2">
      <c r="C127" s="634"/>
      <c r="D127" s="634">
        <v>0</v>
      </c>
      <c r="E127" s="634">
        <v>0</v>
      </c>
      <c r="F127" s="634">
        <v>0</v>
      </c>
      <c r="G127" s="634">
        <v>0</v>
      </c>
      <c r="H127" s="634">
        <v>0</v>
      </c>
      <c r="I127" s="634">
        <v>0</v>
      </c>
      <c r="J127" s="634">
        <v>0</v>
      </c>
      <c r="K127" s="634">
        <v>0</v>
      </c>
      <c r="L127" s="634">
        <v>0</v>
      </c>
      <c r="M127" s="634">
        <v>0</v>
      </c>
      <c r="N127" s="634">
        <v>0</v>
      </c>
      <c r="O127" s="634">
        <v>0</v>
      </c>
      <c r="P127" s="634">
        <v>0</v>
      </c>
      <c r="Q127" s="634">
        <v>0</v>
      </c>
      <c r="R127" s="634">
        <v>0</v>
      </c>
      <c r="S127" s="634">
        <v>0</v>
      </c>
      <c r="U127" s="634"/>
      <c r="V127" s="634">
        <v>0</v>
      </c>
      <c r="W127" s="634">
        <v>0</v>
      </c>
      <c r="X127" s="634">
        <v>0</v>
      </c>
      <c r="Y127" s="634">
        <v>0</v>
      </c>
      <c r="Z127" s="634">
        <v>0</v>
      </c>
      <c r="AA127" s="634">
        <v>0</v>
      </c>
      <c r="AB127" s="634">
        <v>0</v>
      </c>
      <c r="AC127" s="634">
        <v>0</v>
      </c>
      <c r="AD127" s="634">
        <v>0</v>
      </c>
      <c r="AE127" s="634">
        <v>0</v>
      </c>
      <c r="AF127" s="634">
        <v>0</v>
      </c>
      <c r="AG127" s="634">
        <v>0</v>
      </c>
      <c r="AH127" s="634">
        <v>0</v>
      </c>
      <c r="AI127" s="634">
        <v>0</v>
      </c>
      <c r="AJ127" s="634">
        <v>0</v>
      </c>
      <c r="AK127" s="634">
        <v>0</v>
      </c>
    </row>
    <row r="128" spans="3:37" x14ac:dyDescent="0.2">
      <c r="C128" s="646" t="s">
        <v>67</v>
      </c>
      <c r="D128" s="640">
        <v>0</v>
      </c>
      <c r="E128" s="647">
        <v>0</v>
      </c>
      <c r="F128" s="647">
        <v>0</v>
      </c>
      <c r="G128" s="640">
        <v>0</v>
      </c>
      <c r="H128" s="640">
        <v>0</v>
      </c>
      <c r="I128" s="640">
        <v>0</v>
      </c>
      <c r="J128" s="640">
        <v>0</v>
      </c>
      <c r="K128" s="640">
        <v>0</v>
      </c>
      <c r="L128" s="640">
        <v>0</v>
      </c>
      <c r="M128" s="640">
        <v>0</v>
      </c>
      <c r="N128" s="640">
        <v>0</v>
      </c>
      <c r="O128" s="640">
        <v>0</v>
      </c>
      <c r="P128" s="640">
        <v>0</v>
      </c>
      <c r="Q128" s="640">
        <v>0</v>
      </c>
      <c r="R128" s="640">
        <v>0</v>
      </c>
      <c r="S128" s="648">
        <v>0</v>
      </c>
      <c r="U128" s="646" t="s">
        <v>67</v>
      </c>
      <c r="V128" s="640">
        <v>0</v>
      </c>
      <c r="W128" s="647">
        <v>0</v>
      </c>
      <c r="X128" s="647">
        <v>0</v>
      </c>
      <c r="Y128" s="640">
        <v>0</v>
      </c>
      <c r="Z128" s="640">
        <v>0</v>
      </c>
      <c r="AA128" s="640">
        <v>0</v>
      </c>
      <c r="AB128" s="640">
        <v>0</v>
      </c>
      <c r="AC128" s="640">
        <v>0</v>
      </c>
      <c r="AD128" s="640">
        <v>0</v>
      </c>
      <c r="AE128" s="640">
        <v>0</v>
      </c>
      <c r="AF128" s="640">
        <v>0</v>
      </c>
      <c r="AG128" s="640">
        <v>0</v>
      </c>
      <c r="AH128" s="640">
        <v>0</v>
      </c>
      <c r="AI128" s="640">
        <v>0</v>
      </c>
      <c r="AJ128" s="640">
        <v>0</v>
      </c>
      <c r="AK128" s="648">
        <v>0</v>
      </c>
    </row>
    <row r="129" spans="3:37" x14ac:dyDescent="0.2">
      <c r="C129" s="646" t="s">
        <v>347</v>
      </c>
      <c r="D129" s="640">
        <v>2.8267856410252494</v>
      </c>
      <c r="E129" s="640">
        <v>0</v>
      </c>
      <c r="F129" s="640">
        <v>7.9696731063521415</v>
      </c>
      <c r="G129" s="640">
        <v>17.422222222222224</v>
      </c>
      <c r="H129" s="640">
        <v>1075.0000000000002</v>
      </c>
      <c r="I129" s="640">
        <v>224.13674723416887</v>
      </c>
      <c r="J129" s="649">
        <v>30.45355250478201</v>
      </c>
      <c r="K129" s="649">
        <v>7.4482212846984126</v>
      </c>
      <c r="L129" s="649">
        <v>2.4531054045111396</v>
      </c>
      <c r="M129" s="649">
        <v>0.47972213502804317</v>
      </c>
      <c r="N129" s="649">
        <v>0</v>
      </c>
      <c r="O129" s="649">
        <v>3.0833964576427819</v>
      </c>
      <c r="P129" s="640">
        <v>-609.30151807373261</v>
      </c>
      <c r="Q129" s="640">
        <v>0</v>
      </c>
      <c r="R129" s="640">
        <v>0</v>
      </c>
      <c r="S129" s="648">
        <v>761.97190791669834</v>
      </c>
      <c r="U129" s="646" t="s">
        <v>347</v>
      </c>
      <c r="V129" s="640">
        <v>0.62631490545869017</v>
      </c>
      <c r="W129" s="640">
        <v>0</v>
      </c>
      <c r="X129" s="640">
        <v>4.1060367427157782</v>
      </c>
      <c r="Y129" s="640">
        <v>24.857777777777773</v>
      </c>
      <c r="Z129" s="640">
        <v>994.39393939393949</v>
      </c>
      <c r="AA129" s="640">
        <v>248.70674723416883</v>
      </c>
      <c r="AB129" s="649">
        <v>24.641197042508384</v>
      </c>
      <c r="AC129" s="649">
        <v>6.6719525843779666</v>
      </c>
      <c r="AD129" s="649">
        <v>2.4531054045111396</v>
      </c>
      <c r="AE129" s="649">
        <v>4.5108332461391543</v>
      </c>
      <c r="AF129" s="649">
        <v>0</v>
      </c>
      <c r="AG129" s="649">
        <v>3.0833964576427819</v>
      </c>
      <c r="AH129" s="640">
        <v>-611.77151807373264</v>
      </c>
      <c r="AI129" s="640">
        <v>0</v>
      </c>
      <c r="AJ129" s="640">
        <v>2.3749999999999996</v>
      </c>
      <c r="AK129" s="648">
        <v>704.65478271550762</v>
      </c>
    </row>
    <row r="130" spans="3:37" x14ac:dyDescent="0.2">
      <c r="C130" s="646" t="s">
        <v>348</v>
      </c>
      <c r="D130" s="640">
        <v>0</v>
      </c>
      <c r="E130" s="640">
        <v>0</v>
      </c>
      <c r="F130" s="640">
        <v>0</v>
      </c>
      <c r="G130" s="640">
        <v>15.160725636684646</v>
      </c>
      <c r="H130" s="640">
        <v>0</v>
      </c>
      <c r="I130" s="640">
        <v>0</v>
      </c>
      <c r="J130" s="649">
        <v>12.939045348987106</v>
      </c>
      <c r="K130" s="649">
        <v>12.151724678588742</v>
      </c>
      <c r="L130" s="649">
        <v>0</v>
      </c>
      <c r="M130" s="649">
        <v>0.32322722394029924</v>
      </c>
      <c r="N130" s="649">
        <v>0</v>
      </c>
      <c r="O130" s="649">
        <v>2.1538235080806043</v>
      </c>
      <c r="P130" s="640">
        <v>0</v>
      </c>
      <c r="Q130" s="640">
        <v>-38.589386176372813</v>
      </c>
      <c r="R130" s="640">
        <v>0</v>
      </c>
      <c r="S130" s="648">
        <v>4.1391602199085806</v>
      </c>
      <c r="U130" s="646" t="s">
        <v>348</v>
      </c>
      <c r="V130" s="640">
        <v>0</v>
      </c>
      <c r="W130" s="640">
        <v>0</v>
      </c>
      <c r="X130" s="640">
        <v>0</v>
      </c>
      <c r="Y130" s="640">
        <v>15.290780965453443</v>
      </c>
      <c r="Z130" s="640">
        <v>0</v>
      </c>
      <c r="AA130" s="640">
        <v>0</v>
      </c>
      <c r="AB130" s="649">
        <v>28.500378674784677</v>
      </c>
      <c r="AC130" s="649">
        <v>25.381229817913329</v>
      </c>
      <c r="AD130" s="649">
        <v>0</v>
      </c>
      <c r="AE130" s="649">
        <v>2.712197771476935</v>
      </c>
      <c r="AF130" s="649">
        <v>0</v>
      </c>
      <c r="AG130" s="649">
        <v>8.3103526067541207</v>
      </c>
      <c r="AH130" s="640">
        <v>0</v>
      </c>
      <c r="AI130" s="640">
        <v>-73.223954421682024</v>
      </c>
      <c r="AJ130" s="640">
        <v>0</v>
      </c>
      <c r="AK130" s="648">
        <v>6.9709854147004844</v>
      </c>
    </row>
    <row r="131" spans="3:37" x14ac:dyDescent="0.2">
      <c r="C131" s="646" t="s">
        <v>349</v>
      </c>
      <c r="D131" s="640">
        <v>0</v>
      </c>
      <c r="E131" s="640">
        <v>0</v>
      </c>
      <c r="F131" s="640">
        <v>0</v>
      </c>
      <c r="G131" s="640">
        <v>0</v>
      </c>
      <c r="H131" s="640">
        <v>0</v>
      </c>
      <c r="I131" s="640">
        <v>0</v>
      </c>
      <c r="J131" s="650">
        <v>7.3987592400222235</v>
      </c>
      <c r="K131" s="650">
        <v>0</v>
      </c>
      <c r="L131" s="650">
        <v>0</v>
      </c>
      <c r="M131" s="650">
        <v>-6.5941441726698065</v>
      </c>
      <c r="N131" s="650">
        <v>0</v>
      </c>
      <c r="O131" s="650">
        <v>0</v>
      </c>
      <c r="P131" s="640">
        <v>0</v>
      </c>
      <c r="Q131" s="640">
        <v>0</v>
      </c>
      <c r="R131" s="640">
        <v>0</v>
      </c>
      <c r="S131" s="648">
        <v>0.80461506735241706</v>
      </c>
      <c r="U131" s="646" t="s">
        <v>349</v>
      </c>
      <c r="V131" s="640">
        <v>0</v>
      </c>
      <c r="W131" s="640">
        <v>0</v>
      </c>
      <c r="X131" s="640">
        <v>0</v>
      </c>
      <c r="Y131" s="640">
        <v>0</v>
      </c>
      <c r="Z131" s="640">
        <v>0</v>
      </c>
      <c r="AA131" s="640">
        <v>0</v>
      </c>
      <c r="AB131" s="650">
        <v>40.786473386605621</v>
      </c>
      <c r="AC131" s="650">
        <v>0</v>
      </c>
      <c r="AD131" s="650">
        <v>0</v>
      </c>
      <c r="AE131" s="650">
        <v>-36.350944405812257</v>
      </c>
      <c r="AF131" s="650">
        <v>0</v>
      </c>
      <c r="AG131" s="650">
        <v>0</v>
      </c>
      <c r="AH131" s="640">
        <v>0</v>
      </c>
      <c r="AI131" s="640">
        <v>0</v>
      </c>
      <c r="AJ131" s="640">
        <v>0</v>
      </c>
      <c r="AK131" s="648">
        <v>4.4355289807933644</v>
      </c>
    </row>
    <row r="132" spans="3:37" x14ac:dyDescent="0.2">
      <c r="C132" s="646" t="s">
        <v>350</v>
      </c>
      <c r="D132" s="640">
        <v>0</v>
      </c>
      <c r="E132" s="640">
        <v>0</v>
      </c>
      <c r="F132" s="640">
        <v>0</v>
      </c>
      <c r="G132" s="640">
        <v>0</v>
      </c>
      <c r="H132" s="640">
        <v>0</v>
      </c>
      <c r="I132" s="640">
        <v>0</v>
      </c>
      <c r="J132" s="640">
        <v>0</v>
      </c>
      <c r="K132" s="640">
        <v>0</v>
      </c>
      <c r="L132" s="640">
        <v>0</v>
      </c>
      <c r="M132" s="640">
        <v>0</v>
      </c>
      <c r="N132" s="640">
        <v>0</v>
      </c>
      <c r="O132" s="640">
        <v>0</v>
      </c>
      <c r="P132" s="640">
        <v>0</v>
      </c>
      <c r="Q132" s="640">
        <v>0</v>
      </c>
      <c r="R132" s="640">
        <v>0</v>
      </c>
      <c r="S132" s="648">
        <v>0</v>
      </c>
      <c r="U132" s="646" t="s">
        <v>350</v>
      </c>
      <c r="V132" s="640">
        <v>0</v>
      </c>
      <c r="W132" s="640">
        <v>0</v>
      </c>
      <c r="X132" s="640">
        <v>0</v>
      </c>
      <c r="Y132" s="640">
        <v>0</v>
      </c>
      <c r="Z132" s="640">
        <v>0</v>
      </c>
      <c r="AA132" s="640">
        <v>0</v>
      </c>
      <c r="AB132" s="640">
        <v>0</v>
      </c>
      <c r="AC132" s="640">
        <v>0</v>
      </c>
      <c r="AD132" s="640">
        <v>0</v>
      </c>
      <c r="AE132" s="640">
        <v>0</v>
      </c>
      <c r="AF132" s="640">
        <v>0</v>
      </c>
      <c r="AG132" s="640">
        <v>0</v>
      </c>
      <c r="AH132" s="640">
        <v>0</v>
      </c>
      <c r="AI132" s="640">
        <v>0</v>
      </c>
      <c r="AJ132" s="640">
        <v>0</v>
      </c>
      <c r="AK132" s="648">
        <v>0</v>
      </c>
    </row>
    <row r="133" spans="3:37" x14ac:dyDescent="0.2">
      <c r="C133" s="646" t="s">
        <v>72</v>
      </c>
      <c r="D133" s="640">
        <v>0</v>
      </c>
      <c r="E133" s="640">
        <v>542.69343279650275</v>
      </c>
      <c r="F133" s="640">
        <v>-537.26649846853775</v>
      </c>
      <c r="G133" s="640">
        <v>0</v>
      </c>
      <c r="H133" s="640">
        <v>0</v>
      </c>
      <c r="I133" s="640">
        <v>0</v>
      </c>
      <c r="J133" s="640">
        <v>0</v>
      </c>
      <c r="K133" s="640">
        <v>0</v>
      </c>
      <c r="L133" s="640">
        <v>0</v>
      </c>
      <c r="M133" s="640">
        <v>0</v>
      </c>
      <c r="N133" s="640">
        <v>0</v>
      </c>
      <c r="O133" s="640">
        <v>0</v>
      </c>
      <c r="P133" s="640">
        <v>0</v>
      </c>
      <c r="Q133" s="640">
        <v>0</v>
      </c>
      <c r="R133" s="640">
        <v>0</v>
      </c>
      <c r="S133" s="648">
        <v>5.4269343279650002</v>
      </c>
      <c r="U133" s="646" t="s">
        <v>72</v>
      </c>
      <c r="V133" s="640">
        <v>0</v>
      </c>
      <c r="W133" s="640">
        <v>354.9229903070925</v>
      </c>
      <c r="X133" s="640">
        <v>-351.3737604040216</v>
      </c>
      <c r="Y133" s="640">
        <v>0</v>
      </c>
      <c r="Z133" s="640">
        <v>0</v>
      </c>
      <c r="AA133" s="640">
        <v>0</v>
      </c>
      <c r="AB133" s="640">
        <v>0</v>
      </c>
      <c r="AC133" s="640">
        <v>0</v>
      </c>
      <c r="AD133" s="640">
        <v>0</v>
      </c>
      <c r="AE133" s="640">
        <v>0</v>
      </c>
      <c r="AF133" s="640">
        <v>0</v>
      </c>
      <c r="AG133" s="640">
        <v>0</v>
      </c>
      <c r="AH133" s="640">
        <v>0</v>
      </c>
      <c r="AI133" s="640">
        <v>0</v>
      </c>
      <c r="AJ133" s="640">
        <v>0</v>
      </c>
      <c r="AK133" s="648">
        <v>3.5492299030709091</v>
      </c>
    </row>
    <row r="134" spans="3:37" x14ac:dyDescent="0.2">
      <c r="C134" s="646" t="s">
        <v>351</v>
      </c>
      <c r="D134" s="640">
        <v>0</v>
      </c>
      <c r="E134" s="640">
        <v>0</v>
      </c>
      <c r="F134" s="640">
        <v>0</v>
      </c>
      <c r="G134" s="640">
        <v>0</v>
      </c>
      <c r="H134" s="640">
        <v>0</v>
      </c>
      <c r="I134" s="640">
        <v>0</v>
      </c>
      <c r="J134" s="640">
        <v>32.75009012852766</v>
      </c>
      <c r="K134" s="640">
        <v>0</v>
      </c>
      <c r="L134" s="640">
        <v>-32.75009012852766</v>
      </c>
      <c r="M134" s="640">
        <v>0</v>
      </c>
      <c r="N134" s="640">
        <v>0</v>
      </c>
      <c r="O134" s="640">
        <v>0</v>
      </c>
      <c r="P134" s="640">
        <v>0</v>
      </c>
      <c r="Q134" s="640">
        <v>0</v>
      </c>
      <c r="R134" s="640">
        <v>0</v>
      </c>
      <c r="S134" s="648">
        <v>0</v>
      </c>
      <c r="U134" s="646" t="s">
        <v>351</v>
      </c>
      <c r="V134" s="640">
        <v>0</v>
      </c>
      <c r="W134" s="640">
        <v>0</v>
      </c>
      <c r="X134" s="640">
        <v>0</v>
      </c>
      <c r="Y134" s="640">
        <v>0</v>
      </c>
      <c r="Z134" s="640">
        <v>0</v>
      </c>
      <c r="AA134" s="640">
        <v>0</v>
      </c>
      <c r="AB134" s="640" t="e">
        <v>#VALUE!</v>
      </c>
      <c r="AC134" s="640">
        <v>0</v>
      </c>
      <c r="AD134" s="640">
        <v>-76.638831624044727</v>
      </c>
      <c r="AE134" s="640">
        <v>0</v>
      </c>
      <c r="AF134" s="640">
        <v>0</v>
      </c>
      <c r="AG134" s="640">
        <v>0</v>
      </c>
      <c r="AH134" s="640">
        <v>0</v>
      </c>
      <c r="AI134" s="640">
        <v>0</v>
      </c>
      <c r="AJ134" s="640">
        <v>0</v>
      </c>
      <c r="AK134" s="648">
        <v>-76.638831624044727</v>
      </c>
    </row>
    <row r="135" spans="3:37" x14ac:dyDescent="0.2">
      <c r="C135" s="646" t="s">
        <v>352</v>
      </c>
      <c r="D135" s="640">
        <v>0</v>
      </c>
      <c r="E135" s="640">
        <v>0</v>
      </c>
      <c r="F135" s="640">
        <v>0</v>
      </c>
      <c r="G135" s="640">
        <v>0</v>
      </c>
      <c r="H135" s="640">
        <v>0</v>
      </c>
      <c r="I135" s="640">
        <v>0</v>
      </c>
      <c r="J135" s="640">
        <v>0</v>
      </c>
      <c r="K135" s="640">
        <v>0</v>
      </c>
      <c r="L135" s="640">
        <v>0</v>
      </c>
      <c r="M135" s="640">
        <v>0</v>
      </c>
      <c r="N135" s="640">
        <v>0</v>
      </c>
      <c r="O135" s="640">
        <v>0</v>
      </c>
      <c r="P135" s="640">
        <v>0</v>
      </c>
      <c r="Q135" s="640">
        <v>0</v>
      </c>
      <c r="R135" s="640">
        <v>0</v>
      </c>
      <c r="S135" s="648">
        <v>0</v>
      </c>
      <c r="U135" s="646" t="s">
        <v>352</v>
      </c>
      <c r="V135" s="640">
        <v>0</v>
      </c>
      <c r="W135" s="640">
        <v>0</v>
      </c>
      <c r="X135" s="640">
        <v>0</v>
      </c>
      <c r="Y135" s="640">
        <v>0</v>
      </c>
      <c r="Z135" s="640">
        <v>0</v>
      </c>
      <c r="AA135" s="640">
        <v>0</v>
      </c>
      <c r="AB135" s="640">
        <v>0</v>
      </c>
      <c r="AC135" s="640">
        <v>0</v>
      </c>
      <c r="AD135" s="640">
        <v>-16.893833779014706</v>
      </c>
      <c r="AE135" s="640">
        <v>0</v>
      </c>
      <c r="AF135" s="640">
        <v>0</v>
      </c>
      <c r="AG135" s="640">
        <v>0</v>
      </c>
      <c r="AH135" s="640">
        <v>0</v>
      </c>
      <c r="AI135" s="640">
        <v>0</v>
      </c>
      <c r="AJ135" s="640">
        <v>0</v>
      </c>
      <c r="AK135" s="648">
        <v>-16.893833779014706</v>
      </c>
    </row>
    <row r="136" spans="3:37" x14ac:dyDescent="0.2">
      <c r="C136" s="646" t="s">
        <v>73</v>
      </c>
      <c r="D136" s="640">
        <v>0</v>
      </c>
      <c r="E136" s="640">
        <v>0</v>
      </c>
      <c r="F136" s="640">
        <v>0</v>
      </c>
      <c r="G136" s="640">
        <v>2.9190475912378031</v>
      </c>
      <c r="H136" s="640">
        <v>0</v>
      </c>
      <c r="I136" s="640">
        <v>0</v>
      </c>
      <c r="J136" s="640">
        <v>0</v>
      </c>
      <c r="K136" s="640">
        <v>3.3095777678433143E-2</v>
      </c>
      <c r="L136" s="640">
        <v>0</v>
      </c>
      <c r="M136" s="640">
        <v>5.9572399821179664E-2</v>
      </c>
      <c r="N136" s="640">
        <v>0</v>
      </c>
      <c r="O136" s="640">
        <v>0</v>
      </c>
      <c r="P136" s="640">
        <v>0.31236464325712177</v>
      </c>
      <c r="Q136" s="640">
        <v>0</v>
      </c>
      <c r="R136" s="640">
        <v>-2.3167044374903201</v>
      </c>
      <c r="S136" s="648">
        <v>1.0073759745042175</v>
      </c>
      <c r="U136" s="646" t="s">
        <v>73</v>
      </c>
      <c r="V136" s="640">
        <v>0</v>
      </c>
      <c r="W136" s="640">
        <v>0</v>
      </c>
      <c r="X136" s="640">
        <v>0</v>
      </c>
      <c r="Y136" s="640">
        <v>6.287229939138852</v>
      </c>
      <c r="Z136" s="640">
        <v>0</v>
      </c>
      <c r="AA136" s="640">
        <v>0</v>
      </c>
      <c r="AB136" s="640">
        <v>0</v>
      </c>
      <c r="AC136" s="640">
        <v>0.25073698660573684</v>
      </c>
      <c r="AD136" s="640">
        <v>0</v>
      </c>
      <c r="AE136" s="640">
        <v>1.1095111657303856</v>
      </c>
      <c r="AF136" s="640">
        <v>0</v>
      </c>
      <c r="AG136" s="640">
        <v>0</v>
      </c>
      <c r="AH136" s="640">
        <v>18.274688237257074</v>
      </c>
      <c r="AI136" s="640">
        <v>0</v>
      </c>
      <c r="AJ136" s="640">
        <v>-17.551589062401579</v>
      </c>
      <c r="AK136" s="648">
        <v>8.3705772663304678</v>
      </c>
    </row>
    <row r="137" spans="3:37" x14ac:dyDescent="0.2">
      <c r="C137" s="646" t="s">
        <v>353</v>
      </c>
      <c r="D137" s="640">
        <v>28.656195468750003</v>
      </c>
      <c r="E137" s="640">
        <v>-18.804327446398823</v>
      </c>
      <c r="F137" s="640">
        <v>24.594949618470011</v>
      </c>
      <c r="G137" s="640">
        <v>0</v>
      </c>
      <c r="H137" s="640">
        <v>0</v>
      </c>
      <c r="I137" s="640">
        <v>0</v>
      </c>
      <c r="J137" s="640">
        <v>0</v>
      </c>
      <c r="K137" s="640">
        <v>0</v>
      </c>
      <c r="L137" s="640">
        <v>0</v>
      </c>
      <c r="M137" s="640">
        <v>0</v>
      </c>
      <c r="N137" s="640">
        <v>0</v>
      </c>
      <c r="O137" s="640">
        <v>0</v>
      </c>
      <c r="P137" s="640">
        <v>0</v>
      </c>
      <c r="Q137" s="640">
        <v>0</v>
      </c>
      <c r="R137" s="640">
        <v>0</v>
      </c>
      <c r="S137" s="648">
        <v>34.446817640821195</v>
      </c>
      <c r="U137" s="646" t="s">
        <v>353</v>
      </c>
      <c r="V137" s="640">
        <v>3.6632235107421875</v>
      </c>
      <c r="W137" s="640">
        <v>-12.298081614140758</v>
      </c>
      <c r="X137" s="640">
        <v>16.085164362607916</v>
      </c>
      <c r="Y137" s="640">
        <v>0</v>
      </c>
      <c r="Z137" s="640">
        <v>0</v>
      </c>
      <c r="AA137" s="640">
        <v>0</v>
      </c>
      <c r="AB137" s="640">
        <v>0</v>
      </c>
      <c r="AC137" s="640">
        <v>0</v>
      </c>
      <c r="AD137" s="640">
        <v>0</v>
      </c>
      <c r="AE137" s="640">
        <v>0</v>
      </c>
      <c r="AF137" s="640">
        <v>0</v>
      </c>
      <c r="AG137" s="640">
        <v>0</v>
      </c>
      <c r="AH137" s="640">
        <v>0</v>
      </c>
      <c r="AI137" s="640">
        <v>0</v>
      </c>
      <c r="AJ137" s="640">
        <v>0</v>
      </c>
      <c r="AK137" s="648">
        <v>7.450306259209345</v>
      </c>
    </row>
    <row r="138" spans="3:37" x14ac:dyDescent="0.2">
      <c r="C138" s="646" t="s">
        <v>75</v>
      </c>
      <c r="D138" s="640">
        <v>11.144076015625002</v>
      </c>
      <c r="E138" s="640">
        <v>0</v>
      </c>
      <c r="F138" s="640">
        <v>18.451576715081096</v>
      </c>
      <c r="G138" s="640">
        <v>5.2652116849916704</v>
      </c>
      <c r="H138" s="640">
        <v>0</v>
      </c>
      <c r="I138" s="640">
        <v>0</v>
      </c>
      <c r="J138" s="640">
        <v>0</v>
      </c>
      <c r="K138" s="640">
        <v>0</v>
      </c>
      <c r="L138" s="640">
        <v>0</v>
      </c>
      <c r="M138" s="640">
        <v>0.10745329969370757</v>
      </c>
      <c r="N138" s="640">
        <v>0</v>
      </c>
      <c r="O138" s="640">
        <v>0</v>
      </c>
      <c r="P138" s="640">
        <v>33.522260759660846</v>
      </c>
      <c r="Q138" s="640">
        <v>0</v>
      </c>
      <c r="R138" s="640">
        <v>0</v>
      </c>
      <c r="S138" s="648">
        <v>68.490578475052317</v>
      </c>
      <c r="U138" s="646" t="s">
        <v>75</v>
      </c>
      <c r="V138" s="640">
        <v>4.4693862304687499</v>
      </c>
      <c r="W138" s="640">
        <v>0</v>
      </c>
      <c r="X138" s="640">
        <v>18.451576715081096</v>
      </c>
      <c r="Y138" s="640">
        <v>4.5667652369825715</v>
      </c>
      <c r="Z138" s="640">
        <v>0</v>
      </c>
      <c r="AA138" s="640">
        <v>0</v>
      </c>
      <c r="AB138" s="640">
        <v>0</v>
      </c>
      <c r="AC138" s="640">
        <v>0</v>
      </c>
      <c r="AD138" s="640">
        <v>0</v>
      </c>
      <c r="AE138" s="640">
        <v>0.8058997477028067</v>
      </c>
      <c r="AF138" s="640">
        <v>0</v>
      </c>
      <c r="AG138" s="640">
        <v>0</v>
      </c>
      <c r="AH138" s="640">
        <v>33.775215305115388</v>
      </c>
      <c r="AI138" s="640">
        <v>0</v>
      </c>
      <c r="AJ138" s="640">
        <v>0</v>
      </c>
      <c r="AK138" s="648">
        <v>62.068843235350613</v>
      </c>
    </row>
    <row r="139" spans="3:37" x14ac:dyDescent="0.2">
      <c r="C139" s="646" t="s">
        <v>76</v>
      </c>
      <c r="D139" s="640">
        <v>0</v>
      </c>
      <c r="E139" s="640">
        <v>0</v>
      </c>
      <c r="F139" s="640">
        <v>0</v>
      </c>
      <c r="G139" s="640">
        <v>3.8313802109978718</v>
      </c>
      <c r="H139" s="640">
        <v>0</v>
      </c>
      <c r="I139" s="640">
        <v>0</v>
      </c>
      <c r="J139" s="640">
        <v>0</v>
      </c>
      <c r="K139" s="640">
        <v>0</v>
      </c>
      <c r="L139" s="640">
        <v>0</v>
      </c>
      <c r="M139" s="640">
        <v>7.8191432877507586E-2</v>
      </c>
      <c r="N139" s="640">
        <v>0</v>
      </c>
      <c r="O139" s="640">
        <v>0</v>
      </c>
      <c r="P139" s="640">
        <v>42.744249460921445</v>
      </c>
      <c r="Q139" s="640">
        <v>2.9948048478615572</v>
      </c>
      <c r="R139" s="640">
        <v>0</v>
      </c>
      <c r="S139" s="648">
        <v>49.648625952658385</v>
      </c>
      <c r="U139" s="646" t="s">
        <v>76</v>
      </c>
      <c r="V139" s="640">
        <v>0</v>
      </c>
      <c r="W139" s="640">
        <v>0</v>
      </c>
      <c r="X139" s="640">
        <v>0</v>
      </c>
      <c r="Y139" s="640">
        <v>2.4425535766751323</v>
      </c>
      <c r="Z139" s="640">
        <v>0</v>
      </c>
      <c r="AA139" s="640">
        <v>0</v>
      </c>
      <c r="AB139" s="640">
        <v>0</v>
      </c>
      <c r="AC139" s="640">
        <v>0</v>
      </c>
      <c r="AD139" s="640">
        <v>0</v>
      </c>
      <c r="AE139" s="640">
        <v>0.43103886647208217</v>
      </c>
      <c r="AF139" s="640">
        <v>0</v>
      </c>
      <c r="AG139" s="640">
        <v>0</v>
      </c>
      <c r="AH139" s="640">
        <v>44.348699545879278</v>
      </c>
      <c r="AI139" s="640">
        <v>5.6786643797858867</v>
      </c>
      <c r="AJ139" s="640">
        <v>0</v>
      </c>
      <c r="AK139" s="648">
        <v>52.900956368812388</v>
      </c>
    </row>
    <row r="140" spans="3:37" x14ac:dyDescent="0.2">
      <c r="C140" s="644" t="s">
        <v>77</v>
      </c>
      <c r="D140" s="645">
        <v>42.627057125400256</v>
      </c>
      <c r="E140" s="645">
        <v>523.88910535010393</v>
      </c>
      <c r="F140" s="645">
        <v>-486.25029902863446</v>
      </c>
      <c r="G140" s="645">
        <v>44.598587346134217</v>
      </c>
      <c r="H140" s="645">
        <v>1075.0000000000002</v>
      </c>
      <c r="I140" s="645">
        <v>224.13674723416887</v>
      </c>
      <c r="J140" s="645">
        <v>83.541447222318993</v>
      </c>
      <c r="K140" s="645">
        <v>19.633041740965588</v>
      </c>
      <c r="L140" s="645">
        <v>-30.296984724016522</v>
      </c>
      <c r="M140" s="645">
        <v>-5.5459776813090693</v>
      </c>
      <c r="N140" s="645">
        <v>0</v>
      </c>
      <c r="O140" s="645">
        <v>5.2372199657233862</v>
      </c>
      <c r="P140" s="645">
        <v>-532.72264320989325</v>
      </c>
      <c r="Q140" s="645">
        <v>-35.594581328511254</v>
      </c>
      <c r="R140" s="645">
        <v>-2.3167044374903201</v>
      </c>
      <c r="S140" s="645">
        <v>925.93601557496061</v>
      </c>
      <c r="U140" s="644" t="s">
        <v>77</v>
      </c>
      <c r="V140" s="645">
        <v>8.7589246466696284</v>
      </c>
      <c r="W140" s="645">
        <v>342.62490869295175</v>
      </c>
      <c r="X140" s="645">
        <v>-312.73098258361676</v>
      </c>
      <c r="Y140" s="645">
        <v>53.445107496027774</v>
      </c>
      <c r="Z140" s="645">
        <v>994.39393939393949</v>
      </c>
      <c r="AA140" s="645">
        <v>248.70674723416883</v>
      </c>
      <c r="AB140" s="645">
        <v>93.928049103898687</v>
      </c>
      <c r="AC140" s="645">
        <v>32.303919388897036</v>
      </c>
      <c r="AD140" s="645">
        <v>-91.079559998548305</v>
      </c>
      <c r="AE140" s="645">
        <v>-26.781463608290892</v>
      </c>
      <c r="AF140" s="645">
        <v>0</v>
      </c>
      <c r="AG140" s="645">
        <v>11.393749064396903</v>
      </c>
      <c r="AH140" s="645">
        <v>-515.37291498548086</v>
      </c>
      <c r="AI140" s="645">
        <v>-67.545290041896138</v>
      </c>
      <c r="AJ140" s="645">
        <v>-15.176589062401579</v>
      </c>
      <c r="AK140" s="645">
        <v>756.86854474071572</v>
      </c>
    </row>
    <row r="141" spans="3:37" x14ac:dyDescent="0.2">
      <c r="C141" s="634"/>
      <c r="D141" s="634">
        <v>0</v>
      </c>
      <c r="E141" s="634">
        <v>0</v>
      </c>
      <c r="F141" s="634">
        <v>0</v>
      </c>
      <c r="G141" s="634">
        <v>0</v>
      </c>
      <c r="H141" s="634">
        <v>0</v>
      </c>
      <c r="I141" s="634">
        <v>0</v>
      </c>
      <c r="J141" s="634">
        <v>0</v>
      </c>
      <c r="K141" s="634">
        <v>0</v>
      </c>
      <c r="L141" s="634">
        <v>0</v>
      </c>
      <c r="M141" s="634">
        <v>0</v>
      </c>
      <c r="N141" s="634">
        <v>0</v>
      </c>
      <c r="O141" s="634">
        <v>0</v>
      </c>
      <c r="P141" s="634">
        <v>0</v>
      </c>
      <c r="Q141" s="634">
        <v>0</v>
      </c>
      <c r="R141" s="634">
        <v>0</v>
      </c>
      <c r="S141" s="634">
        <v>0</v>
      </c>
      <c r="U141" s="634"/>
      <c r="V141" s="634">
        <v>0</v>
      </c>
      <c r="W141" s="634">
        <v>0</v>
      </c>
      <c r="X141" s="634">
        <v>0</v>
      </c>
      <c r="Y141" s="634">
        <v>0</v>
      </c>
      <c r="Z141" s="634">
        <v>0</v>
      </c>
      <c r="AA141" s="634">
        <v>0</v>
      </c>
      <c r="AB141" s="634">
        <v>0</v>
      </c>
      <c r="AC141" s="634">
        <v>0</v>
      </c>
      <c r="AD141" s="634">
        <v>0</v>
      </c>
      <c r="AE141" s="634">
        <v>0</v>
      </c>
      <c r="AF141" s="634">
        <v>0</v>
      </c>
      <c r="AG141" s="634">
        <v>0</v>
      </c>
      <c r="AH141" s="634">
        <v>0</v>
      </c>
      <c r="AI141" s="634">
        <v>0</v>
      </c>
      <c r="AJ141" s="634">
        <v>0</v>
      </c>
      <c r="AK141" s="634">
        <v>0</v>
      </c>
    </row>
    <row r="142" spans="3:37" x14ac:dyDescent="0.2">
      <c r="C142" s="646" t="s">
        <v>78</v>
      </c>
      <c r="D142" s="640">
        <v>6.2002081056415257</v>
      </c>
      <c r="E142" s="640">
        <v>0</v>
      </c>
      <c r="F142" s="640">
        <v>23.255205938178186</v>
      </c>
      <c r="G142" s="640">
        <v>101.12865293850786</v>
      </c>
      <c r="H142" s="640">
        <v>0</v>
      </c>
      <c r="I142" s="640">
        <v>0</v>
      </c>
      <c r="J142" s="640">
        <v>19.565687098295676</v>
      </c>
      <c r="K142" s="640">
        <v>1.7744589215827917</v>
      </c>
      <c r="L142" s="640">
        <v>0.87520713476562495</v>
      </c>
      <c r="M142" s="640">
        <v>2.0825226770622867</v>
      </c>
      <c r="N142" s="640">
        <v>0</v>
      </c>
      <c r="O142" s="640">
        <v>3.8067188808088001E-4</v>
      </c>
      <c r="P142" s="640">
        <v>109.76937284793219</v>
      </c>
      <c r="Q142" s="640">
        <v>16.103287978552984</v>
      </c>
      <c r="R142" s="640">
        <v>0.32868640136718752</v>
      </c>
      <c r="S142" s="648">
        <v>281.08367071377444</v>
      </c>
      <c r="U142" s="646" t="s">
        <v>78</v>
      </c>
      <c r="V142" s="640">
        <v>1.01942505552247</v>
      </c>
      <c r="W142" s="640">
        <v>0</v>
      </c>
      <c r="X142" s="640">
        <v>12.936117077553076</v>
      </c>
      <c r="Y142" s="640">
        <v>67.349539979102474</v>
      </c>
      <c r="Z142" s="640">
        <v>0</v>
      </c>
      <c r="AA142" s="640">
        <v>0</v>
      </c>
      <c r="AB142" s="640">
        <v>16.313565187348217</v>
      </c>
      <c r="AC142" s="640">
        <v>5.7022810919996436</v>
      </c>
      <c r="AD142" s="640">
        <v>2.2588896484375001</v>
      </c>
      <c r="AE142" s="640">
        <v>11.903885554581411</v>
      </c>
      <c r="AF142" s="640">
        <v>0</v>
      </c>
      <c r="AG142" s="640">
        <v>3.8067188808088001E-4</v>
      </c>
      <c r="AH142" s="640">
        <v>135.13428233654639</v>
      </c>
      <c r="AI142" s="640">
        <v>21.466888656055119</v>
      </c>
      <c r="AJ142" s="640">
        <v>5.7972734375000003</v>
      </c>
      <c r="AK142" s="648">
        <v>279.88252869653439</v>
      </c>
    </row>
    <row r="143" spans="3:37" x14ac:dyDescent="0.2">
      <c r="C143" s="646" t="s">
        <v>79</v>
      </c>
      <c r="D143" s="640">
        <v>0</v>
      </c>
      <c r="E143" s="640">
        <v>0</v>
      </c>
      <c r="F143" s="640">
        <v>291.38745921478562</v>
      </c>
      <c r="G143" s="640">
        <v>24.020829745272028</v>
      </c>
      <c r="H143" s="640">
        <v>0</v>
      </c>
      <c r="I143" s="640">
        <v>0</v>
      </c>
      <c r="J143" s="640">
        <v>0</v>
      </c>
      <c r="K143" s="640">
        <v>0</v>
      </c>
      <c r="L143" s="640">
        <v>28.280041762715456</v>
      </c>
      <c r="M143" s="640">
        <v>0.49022101520963324</v>
      </c>
      <c r="N143" s="640">
        <v>0</v>
      </c>
      <c r="O143" s="640">
        <v>0</v>
      </c>
      <c r="P143" s="640">
        <v>46.654707564142761</v>
      </c>
      <c r="Q143" s="640">
        <v>0</v>
      </c>
      <c r="R143" s="640">
        <v>1.1135281120019407</v>
      </c>
      <c r="S143" s="648">
        <v>391.94678741412741</v>
      </c>
      <c r="U143" s="646" t="s">
        <v>79</v>
      </c>
      <c r="V143" s="640">
        <v>0</v>
      </c>
      <c r="W143" s="640">
        <v>0</v>
      </c>
      <c r="X143" s="640">
        <v>152.5395921226515</v>
      </c>
      <c r="Y143" s="640">
        <v>18.931026789455995</v>
      </c>
      <c r="Z143" s="640">
        <v>0</v>
      </c>
      <c r="AA143" s="640">
        <v>0</v>
      </c>
      <c r="AB143" s="640">
        <v>0</v>
      </c>
      <c r="AC143" s="640">
        <v>0</v>
      </c>
      <c r="AD143" s="640">
        <v>49.546406871337183</v>
      </c>
      <c r="AE143" s="640">
        <v>3.3407694334334113</v>
      </c>
      <c r="AF143" s="640">
        <v>0</v>
      </c>
      <c r="AG143" s="640">
        <v>0</v>
      </c>
      <c r="AH143" s="640">
        <v>60.923926311544285</v>
      </c>
      <c r="AI143" s="640">
        <v>0</v>
      </c>
      <c r="AJ143" s="640">
        <v>2.0956611258816777</v>
      </c>
      <c r="AK143" s="648">
        <v>287.37738265430403</v>
      </c>
    </row>
    <row r="144" spans="3:37" x14ac:dyDescent="0.2">
      <c r="C144" s="646" t="s">
        <v>80</v>
      </c>
      <c r="D144" s="640">
        <v>0</v>
      </c>
      <c r="E144" s="640">
        <v>0</v>
      </c>
      <c r="F144" s="640">
        <v>24.366054746482678</v>
      </c>
      <c r="G144" s="640">
        <v>88.830627596834503</v>
      </c>
      <c r="H144" s="640">
        <v>0</v>
      </c>
      <c r="I144" s="640">
        <v>0</v>
      </c>
      <c r="J144" s="640">
        <v>86.298448588028648</v>
      </c>
      <c r="K144" s="640">
        <v>0</v>
      </c>
      <c r="L144" s="640">
        <v>0</v>
      </c>
      <c r="M144" s="640">
        <v>1.8128699509558064</v>
      </c>
      <c r="N144" s="640">
        <v>49.305914152356948</v>
      </c>
      <c r="O144" s="640">
        <v>1.9759423218950023</v>
      </c>
      <c r="P144" s="640">
        <v>183.08170703950353</v>
      </c>
      <c r="Q144" s="640">
        <v>15.629207143582217</v>
      </c>
      <c r="R144" s="640">
        <v>0</v>
      </c>
      <c r="S144" s="648">
        <v>451.3007715396393</v>
      </c>
      <c r="U144" s="646" t="s">
        <v>80</v>
      </c>
      <c r="V144" s="640">
        <v>0</v>
      </c>
      <c r="W144" s="640">
        <v>0</v>
      </c>
      <c r="X144" s="640">
        <v>1.5212022418020299</v>
      </c>
      <c r="Y144" s="640">
        <v>34.748278571527685</v>
      </c>
      <c r="Z144" s="640">
        <v>0</v>
      </c>
      <c r="AA144" s="640">
        <v>0</v>
      </c>
      <c r="AB144" s="640">
        <v>75.181836567082826</v>
      </c>
      <c r="AC144" s="640">
        <v>0</v>
      </c>
      <c r="AD144" s="640">
        <v>0</v>
      </c>
      <c r="AE144" s="640">
        <v>6.1320491596813564</v>
      </c>
      <c r="AF144" s="640">
        <v>62.645467095100628</v>
      </c>
      <c r="AG144" s="640">
        <v>2.6978117080871646</v>
      </c>
      <c r="AH144" s="640">
        <v>158.40967854762758</v>
      </c>
      <c r="AI144" s="640">
        <v>35.928967439236224</v>
      </c>
      <c r="AJ144" s="640">
        <v>0</v>
      </c>
      <c r="AK144" s="648">
        <v>377.26529133014549</v>
      </c>
    </row>
    <row r="145" spans="3:37" x14ac:dyDescent="0.2">
      <c r="C145" s="646" t="s">
        <v>81</v>
      </c>
      <c r="D145" s="640">
        <v>0</v>
      </c>
      <c r="E145" s="640">
        <v>0</v>
      </c>
      <c r="F145" s="640">
        <v>9.1434406229634497</v>
      </c>
      <c r="G145" s="640">
        <v>62.772902131190932</v>
      </c>
      <c r="H145" s="640">
        <v>0</v>
      </c>
      <c r="I145" s="640">
        <v>0</v>
      </c>
      <c r="J145" s="640">
        <v>3.3792389882828151</v>
      </c>
      <c r="K145" s="640">
        <v>2.5053216415896862E-2</v>
      </c>
      <c r="L145" s="640">
        <v>0</v>
      </c>
      <c r="M145" s="640">
        <v>1.2810796353304272</v>
      </c>
      <c r="N145" s="640">
        <v>8.5204805498073064</v>
      </c>
      <c r="O145" s="640">
        <v>0.77988306826531983</v>
      </c>
      <c r="P145" s="640">
        <v>134.9475862077569</v>
      </c>
      <c r="Q145" s="640">
        <v>3.8620862063760555</v>
      </c>
      <c r="R145" s="640">
        <v>0</v>
      </c>
      <c r="S145" s="648">
        <v>224.71175062638912</v>
      </c>
      <c r="U145" s="646" t="s">
        <v>81</v>
      </c>
      <c r="V145" s="640">
        <v>0</v>
      </c>
      <c r="W145" s="640">
        <v>0</v>
      </c>
      <c r="X145" s="640">
        <v>2.5747324311170368</v>
      </c>
      <c r="Y145" s="640">
        <v>28.050706446538126</v>
      </c>
      <c r="Z145" s="640">
        <v>0</v>
      </c>
      <c r="AA145" s="640">
        <v>0</v>
      </c>
      <c r="AB145" s="640">
        <v>7.5276105699702738</v>
      </c>
      <c r="AC145" s="640">
        <v>2.5053216415896862E-2</v>
      </c>
      <c r="AD145" s="640">
        <v>0</v>
      </c>
      <c r="AE145" s="640">
        <v>4.9501246670361398</v>
      </c>
      <c r="AF145" s="640">
        <v>14.347345485370148</v>
      </c>
      <c r="AG145" s="640">
        <v>1.6839822655905561</v>
      </c>
      <c r="AH145" s="640">
        <v>120.05488498756245</v>
      </c>
      <c r="AI145" s="640">
        <v>10.149433946604795</v>
      </c>
      <c r="AJ145" s="640">
        <v>0</v>
      </c>
      <c r="AK145" s="648">
        <v>189.36387401620541</v>
      </c>
    </row>
    <row r="146" spans="3:37" x14ac:dyDescent="0.2">
      <c r="C146" s="646" t="s">
        <v>82</v>
      </c>
      <c r="D146" s="640">
        <v>0</v>
      </c>
      <c r="E146" s="640">
        <v>0</v>
      </c>
      <c r="F146" s="640">
        <v>31.378359933180146</v>
      </c>
      <c r="G146" s="640">
        <v>1.761464702880946</v>
      </c>
      <c r="H146" s="640">
        <v>0</v>
      </c>
      <c r="I146" s="640">
        <v>0</v>
      </c>
      <c r="J146" s="640">
        <v>2.5129576329044134</v>
      </c>
      <c r="K146" s="640">
        <v>0</v>
      </c>
      <c r="L146" s="640">
        <v>2.7366524531426237</v>
      </c>
      <c r="M146" s="640">
        <v>3.5948259242468285E-2</v>
      </c>
      <c r="N146" s="640">
        <v>0</v>
      </c>
      <c r="O146" s="640">
        <v>7.8328904674825409E-2</v>
      </c>
      <c r="P146" s="640">
        <v>7.1029233048090266</v>
      </c>
      <c r="Q146" s="640">
        <v>0</v>
      </c>
      <c r="R146" s="640">
        <v>0</v>
      </c>
      <c r="S146" s="648">
        <v>45.606635190834446</v>
      </c>
      <c r="U146" s="646" t="s">
        <v>82</v>
      </c>
      <c r="V146" s="640">
        <v>0</v>
      </c>
      <c r="W146" s="640">
        <v>0</v>
      </c>
      <c r="X146" s="640">
        <v>18.696617357576709</v>
      </c>
      <c r="Y146" s="640">
        <v>1.906896096641761</v>
      </c>
      <c r="Z146" s="640">
        <v>0</v>
      </c>
      <c r="AA146" s="640">
        <v>0</v>
      </c>
      <c r="AB146" s="640">
        <v>2.5129576329044134</v>
      </c>
      <c r="AC146" s="640">
        <v>0</v>
      </c>
      <c r="AD146" s="640">
        <v>18.28747352858748</v>
      </c>
      <c r="AE146" s="640">
        <v>0.33651107587795781</v>
      </c>
      <c r="AF146" s="640">
        <v>0</v>
      </c>
      <c r="AG146" s="640">
        <v>0.96290247555165809</v>
      </c>
      <c r="AH146" s="640">
        <v>7.1739705565638916</v>
      </c>
      <c r="AI146" s="640">
        <v>0</v>
      </c>
      <c r="AJ146" s="640">
        <v>0.24940873791150003</v>
      </c>
      <c r="AK146" s="648">
        <v>50.12673746161537</v>
      </c>
    </row>
    <row r="147" spans="3:37" x14ac:dyDescent="0.2">
      <c r="C147" s="646" t="s">
        <v>354</v>
      </c>
      <c r="D147" s="640">
        <v>0</v>
      </c>
      <c r="E147" s="640">
        <v>0</v>
      </c>
      <c r="F147" s="640">
        <v>0</v>
      </c>
      <c r="G147" s="640">
        <v>0</v>
      </c>
      <c r="H147" s="640">
        <v>0</v>
      </c>
      <c r="I147" s="640">
        <v>0</v>
      </c>
      <c r="J147" s="640">
        <v>0</v>
      </c>
      <c r="K147" s="640">
        <v>0</v>
      </c>
      <c r="L147" s="640">
        <v>0</v>
      </c>
      <c r="M147" s="640">
        <v>0</v>
      </c>
      <c r="N147" s="640">
        <v>0</v>
      </c>
      <c r="O147" s="640">
        <v>0</v>
      </c>
      <c r="P147" s="640">
        <v>0.22499999999999998</v>
      </c>
      <c r="Q147" s="640">
        <v>0</v>
      </c>
      <c r="R147" s="640">
        <v>0</v>
      </c>
      <c r="S147" s="648">
        <v>0.22499999999999998</v>
      </c>
      <c r="U147" s="646" t="s">
        <v>354</v>
      </c>
      <c r="V147" s="640">
        <v>0</v>
      </c>
      <c r="W147" s="640">
        <v>0</v>
      </c>
      <c r="X147" s="640">
        <v>0</v>
      </c>
      <c r="Y147" s="640">
        <v>0</v>
      </c>
      <c r="Z147" s="640">
        <v>0</v>
      </c>
      <c r="AA147" s="640">
        <v>0</v>
      </c>
      <c r="AB147" s="640">
        <v>0</v>
      </c>
      <c r="AC147" s="640">
        <v>0</v>
      </c>
      <c r="AD147" s="640">
        <v>0</v>
      </c>
      <c r="AE147" s="640">
        <v>0</v>
      </c>
      <c r="AF147" s="640">
        <v>0</v>
      </c>
      <c r="AG147" s="640">
        <v>0</v>
      </c>
      <c r="AH147" s="640">
        <v>1.2</v>
      </c>
      <c r="AI147" s="640">
        <v>0</v>
      </c>
      <c r="AJ147" s="640">
        <v>0</v>
      </c>
      <c r="AK147" s="648">
        <v>1.2</v>
      </c>
    </row>
    <row r="148" spans="3:37" x14ac:dyDescent="0.2">
      <c r="C148" s="644" t="s">
        <v>83</v>
      </c>
      <c r="D148" s="645">
        <v>6.2002081056415257</v>
      </c>
      <c r="E148" s="645">
        <v>0</v>
      </c>
      <c r="F148" s="645">
        <v>379.53052045559002</v>
      </c>
      <c r="G148" s="645">
        <v>278.51447711468631</v>
      </c>
      <c r="H148" s="645">
        <v>0</v>
      </c>
      <c r="I148" s="645">
        <v>0</v>
      </c>
      <c r="J148" s="645">
        <v>111.75633230751156</v>
      </c>
      <c r="K148" s="645">
        <v>1.7995121379986885</v>
      </c>
      <c r="L148" s="645">
        <v>31.891901350623705</v>
      </c>
      <c r="M148" s="645">
        <v>5.7026415378006226</v>
      </c>
      <c r="N148" s="645">
        <v>57.826394702164251</v>
      </c>
      <c r="O148" s="645">
        <v>2.8345349667232282</v>
      </c>
      <c r="P148" s="645">
        <v>481.78129696414442</v>
      </c>
      <c r="Q148" s="645">
        <v>35.594581328511254</v>
      </c>
      <c r="R148" s="645">
        <v>1.4422145133691282</v>
      </c>
      <c r="S148" s="645">
        <v>1394.8746154847647</v>
      </c>
      <c r="U148" s="644" t="s">
        <v>83</v>
      </c>
      <c r="V148" s="645">
        <v>1.01942505552247</v>
      </c>
      <c r="W148" s="645">
        <v>0</v>
      </c>
      <c r="X148" s="645">
        <v>188.26826123070035</v>
      </c>
      <c r="Y148" s="645">
        <v>150.98644788326604</v>
      </c>
      <c r="Z148" s="645">
        <v>0</v>
      </c>
      <c r="AA148" s="645">
        <v>0</v>
      </c>
      <c r="AB148" s="645">
        <v>101.53596995730574</v>
      </c>
      <c r="AC148" s="645">
        <v>5.727334308415541</v>
      </c>
      <c r="AD148" s="645">
        <v>70.092770048362169</v>
      </c>
      <c r="AE148" s="645">
        <v>26.663339890610278</v>
      </c>
      <c r="AF148" s="645">
        <v>76.992812580470769</v>
      </c>
      <c r="AG148" s="645">
        <v>5.3450771211174599</v>
      </c>
      <c r="AH148" s="645">
        <v>482.89674273984457</v>
      </c>
      <c r="AI148" s="645">
        <v>67.545290041896138</v>
      </c>
      <c r="AJ148" s="645">
        <v>8.1423433012931774</v>
      </c>
      <c r="AK148" s="645">
        <v>1185.2158141588047</v>
      </c>
    </row>
    <row r="149" spans="3:37" x14ac:dyDescent="0.2">
      <c r="C149" s="639" t="s">
        <v>84</v>
      </c>
      <c r="D149" s="640">
        <v>0</v>
      </c>
      <c r="E149" s="640">
        <v>0</v>
      </c>
      <c r="F149" s="640">
        <v>114.78425758185857</v>
      </c>
      <c r="G149" s="640">
        <v>12.028714359769619</v>
      </c>
      <c r="H149" s="640">
        <v>0</v>
      </c>
      <c r="I149" s="640">
        <v>0</v>
      </c>
      <c r="J149" s="640">
        <v>0</v>
      </c>
      <c r="K149" s="640">
        <v>0</v>
      </c>
      <c r="L149" s="640">
        <v>0</v>
      </c>
      <c r="M149" s="640">
        <v>0</v>
      </c>
      <c r="N149" s="640">
        <v>0</v>
      </c>
      <c r="O149" s="640">
        <v>0</v>
      </c>
      <c r="P149" s="640">
        <v>0</v>
      </c>
      <c r="Q149" s="640">
        <v>0</v>
      </c>
      <c r="R149" s="640">
        <v>0.87448992412119186</v>
      </c>
      <c r="S149" s="648">
        <v>127.68746186574938</v>
      </c>
      <c r="U149" s="639" t="s">
        <v>84</v>
      </c>
      <c r="V149" s="640">
        <v>0</v>
      </c>
      <c r="W149" s="640">
        <v>0</v>
      </c>
      <c r="X149" s="640">
        <v>99.887922338380434</v>
      </c>
      <c r="Y149" s="640">
        <v>1.4617397027131513</v>
      </c>
      <c r="Z149" s="640">
        <v>0</v>
      </c>
      <c r="AA149" s="640">
        <v>0</v>
      </c>
      <c r="AB149" s="640">
        <v>0</v>
      </c>
      <c r="AC149" s="640">
        <v>0</v>
      </c>
      <c r="AD149" s="640">
        <v>9.6859590362548822</v>
      </c>
      <c r="AE149" s="640">
        <v>0</v>
      </c>
      <c r="AF149" s="640">
        <v>0</v>
      </c>
      <c r="AG149" s="640">
        <v>0</v>
      </c>
      <c r="AH149" s="640">
        <v>0</v>
      </c>
      <c r="AI149" s="640">
        <v>0</v>
      </c>
      <c r="AJ149" s="640">
        <v>7.0342457611083988</v>
      </c>
      <c r="AK149" s="648">
        <v>118.06986683845686</v>
      </c>
    </row>
    <row r="150" spans="3:37" x14ac:dyDescent="0.2">
      <c r="C150" s="644" t="s">
        <v>85</v>
      </c>
      <c r="D150" s="645">
        <v>6.2002081056415257</v>
      </c>
      <c r="E150" s="645">
        <v>0</v>
      </c>
      <c r="F150" s="645">
        <v>494.3147780374486</v>
      </c>
      <c r="G150" s="645">
        <v>290.54319147445591</v>
      </c>
      <c r="H150" s="645">
        <v>0</v>
      </c>
      <c r="I150" s="645">
        <v>0</v>
      </c>
      <c r="J150" s="645">
        <v>111.75633230751156</v>
      </c>
      <c r="K150" s="645">
        <v>1.7995121379986885</v>
      </c>
      <c r="L150" s="645">
        <v>31.891901350623705</v>
      </c>
      <c r="M150" s="645">
        <v>5.7026415378006226</v>
      </c>
      <c r="N150" s="645">
        <v>57.826394702164251</v>
      </c>
      <c r="O150" s="645">
        <v>2.8345349667232282</v>
      </c>
      <c r="P150" s="645">
        <v>481.78129696414442</v>
      </c>
      <c r="Q150" s="645">
        <v>35.594581328511254</v>
      </c>
      <c r="R150" s="645">
        <v>2.3167044374903201</v>
      </c>
      <c r="S150" s="645">
        <v>1522.5620773505141</v>
      </c>
      <c r="U150" s="644" t="s">
        <v>85</v>
      </c>
      <c r="V150" s="645">
        <v>1.01942505552247</v>
      </c>
      <c r="W150" s="645">
        <v>0</v>
      </c>
      <c r="X150" s="645">
        <v>288.15618356908084</v>
      </c>
      <c r="Y150" s="645">
        <v>152.44818758597918</v>
      </c>
      <c r="Z150" s="645">
        <v>0</v>
      </c>
      <c r="AA150" s="645">
        <v>0</v>
      </c>
      <c r="AB150" s="645">
        <v>101.53596995730574</v>
      </c>
      <c r="AC150" s="645">
        <v>5.727334308415541</v>
      </c>
      <c r="AD150" s="645">
        <v>79.778729084617055</v>
      </c>
      <c r="AE150" s="645">
        <v>26.663339890610278</v>
      </c>
      <c r="AF150" s="645">
        <v>76.992812580470769</v>
      </c>
      <c r="AG150" s="645">
        <v>5.3450771211174599</v>
      </c>
      <c r="AH150" s="645">
        <v>482.89674273984457</v>
      </c>
      <c r="AI150" s="645">
        <v>67.545290041896138</v>
      </c>
      <c r="AJ150" s="645">
        <v>15.176589062401575</v>
      </c>
      <c r="AK150" s="645">
        <v>1303.2856809972616</v>
      </c>
    </row>
    <row r="151" spans="3:37" x14ac:dyDescent="0.2">
      <c r="C151" s="634"/>
      <c r="D151" s="634"/>
      <c r="E151" s="634"/>
      <c r="F151" s="634"/>
      <c r="G151" s="634"/>
      <c r="H151" s="634"/>
      <c r="I151" s="634"/>
      <c r="J151" s="634"/>
      <c r="K151" s="634"/>
      <c r="L151" s="634"/>
      <c r="M151" s="634"/>
      <c r="N151" s="634"/>
      <c r="O151" s="634"/>
      <c r="P151" s="634"/>
      <c r="Q151" s="634"/>
      <c r="R151" s="634"/>
      <c r="S151" s="634"/>
      <c r="U151" s="634"/>
      <c r="V151" s="634"/>
      <c r="W151" s="634"/>
      <c r="X151" s="634"/>
      <c r="Y151" s="634"/>
      <c r="Z151" s="634"/>
      <c r="AA151" s="634"/>
      <c r="AB151" s="634"/>
      <c r="AC151" s="634"/>
      <c r="AD151" s="634"/>
      <c r="AE151" s="634"/>
      <c r="AF151" s="634"/>
      <c r="AG151" s="634"/>
      <c r="AH151" s="634"/>
      <c r="AI151" s="634"/>
      <c r="AJ151" s="634"/>
      <c r="AK151" s="634"/>
    </row>
    <row r="152" spans="3:37" ht="22.5" x14ac:dyDescent="0.3">
      <c r="C152" s="759" t="s">
        <v>359</v>
      </c>
      <c r="D152" s="759"/>
      <c r="E152" s="759"/>
      <c r="F152" s="759"/>
      <c r="G152" s="759"/>
      <c r="H152" s="759"/>
      <c r="I152" s="759"/>
      <c r="J152" s="759"/>
      <c r="K152" s="759"/>
      <c r="L152" s="759"/>
      <c r="M152" s="759"/>
      <c r="N152" s="759"/>
      <c r="O152" s="759"/>
      <c r="P152" s="759"/>
      <c r="Q152" s="759"/>
      <c r="R152" s="759"/>
      <c r="S152" s="759"/>
      <c r="U152" s="759" t="s">
        <v>359</v>
      </c>
      <c r="V152" s="759"/>
      <c r="W152" s="759"/>
      <c r="X152" s="759"/>
      <c r="Y152" s="759"/>
      <c r="Z152" s="759"/>
      <c r="AA152" s="759"/>
      <c r="AB152" s="759"/>
      <c r="AC152" s="759"/>
      <c r="AD152" s="759"/>
      <c r="AE152" s="759"/>
      <c r="AF152" s="759"/>
      <c r="AG152" s="759"/>
      <c r="AH152" s="759"/>
      <c r="AI152" s="759"/>
      <c r="AJ152" s="759"/>
      <c r="AK152" s="759"/>
    </row>
    <row r="153" spans="3:37" x14ac:dyDescent="0.2">
      <c r="C153" s="634"/>
      <c r="D153" s="634"/>
      <c r="E153" s="634"/>
      <c r="F153" s="634"/>
      <c r="G153" s="634"/>
      <c r="H153" s="634"/>
      <c r="I153" s="634"/>
      <c r="J153" s="634"/>
      <c r="K153" s="634"/>
      <c r="L153" s="634"/>
      <c r="M153" s="634"/>
      <c r="N153" s="634"/>
      <c r="O153" s="634"/>
      <c r="P153" s="634"/>
      <c r="Q153" s="634"/>
      <c r="R153" s="634"/>
      <c r="S153" s="634"/>
      <c r="U153" s="634"/>
      <c r="V153" s="634"/>
      <c r="W153" s="634"/>
      <c r="X153" s="634"/>
      <c r="Y153" s="634"/>
      <c r="Z153" s="634"/>
      <c r="AA153" s="634"/>
      <c r="AB153" s="634"/>
      <c r="AC153" s="634"/>
      <c r="AD153" s="634"/>
      <c r="AE153" s="634"/>
      <c r="AF153" s="634"/>
      <c r="AG153" s="634"/>
      <c r="AH153" s="634"/>
      <c r="AI153" s="634"/>
      <c r="AJ153" s="634"/>
      <c r="AK153" s="634"/>
    </row>
    <row r="154" spans="3:37" ht="12.95" customHeight="1" x14ac:dyDescent="0.2">
      <c r="C154" s="758" t="s">
        <v>128</v>
      </c>
      <c r="D154" s="757" t="s">
        <v>42</v>
      </c>
      <c r="E154" s="757" t="s">
        <v>52</v>
      </c>
      <c r="F154" s="757" t="s">
        <v>53</v>
      </c>
      <c r="G154" s="757" t="s">
        <v>32</v>
      </c>
      <c r="H154" s="757" t="s">
        <v>20</v>
      </c>
      <c r="I154" s="757" t="s">
        <v>55</v>
      </c>
      <c r="J154" s="757" t="s">
        <v>56</v>
      </c>
      <c r="K154" s="757"/>
      <c r="L154" s="757"/>
      <c r="M154" s="757"/>
      <c r="N154" s="757"/>
      <c r="O154" s="757"/>
      <c r="P154" s="757" t="s">
        <v>57</v>
      </c>
      <c r="Q154" s="757" t="s">
        <v>58</v>
      </c>
      <c r="R154" s="757" t="s">
        <v>31</v>
      </c>
      <c r="S154" s="757" t="s">
        <v>10</v>
      </c>
      <c r="U154" s="758" t="s">
        <v>128</v>
      </c>
      <c r="V154" s="757" t="s">
        <v>42</v>
      </c>
      <c r="W154" s="757" t="s">
        <v>52</v>
      </c>
      <c r="X154" s="757" t="s">
        <v>53</v>
      </c>
      <c r="Y154" s="757" t="s">
        <v>32</v>
      </c>
      <c r="Z154" s="757" t="s">
        <v>20</v>
      </c>
      <c r="AA154" s="757" t="s">
        <v>55</v>
      </c>
      <c r="AB154" s="757" t="s">
        <v>56</v>
      </c>
      <c r="AC154" s="757"/>
      <c r="AD154" s="757"/>
      <c r="AE154" s="757"/>
      <c r="AF154" s="757"/>
      <c r="AG154" s="757"/>
      <c r="AH154" s="757" t="s">
        <v>57</v>
      </c>
      <c r="AI154" s="757" t="s">
        <v>58</v>
      </c>
      <c r="AJ154" s="757" t="s">
        <v>31</v>
      </c>
      <c r="AK154" s="757" t="s">
        <v>10</v>
      </c>
    </row>
    <row r="155" spans="3:37" ht="56.25" x14ac:dyDescent="0.2">
      <c r="C155" s="758"/>
      <c r="D155" s="757"/>
      <c r="E155" s="757"/>
      <c r="F155" s="757"/>
      <c r="G155" s="757"/>
      <c r="H155" s="757"/>
      <c r="I155" s="757"/>
      <c r="J155" s="638" t="s">
        <v>335</v>
      </c>
      <c r="K155" s="638" t="s">
        <v>40</v>
      </c>
      <c r="L155" s="638" t="s">
        <v>343</v>
      </c>
      <c r="M155" s="638" t="s">
        <v>344</v>
      </c>
      <c r="N155" s="638" t="s">
        <v>345</v>
      </c>
      <c r="O155" s="638" t="s">
        <v>346</v>
      </c>
      <c r="P155" s="757"/>
      <c r="Q155" s="757"/>
      <c r="R155" s="757"/>
      <c r="S155" s="757"/>
      <c r="U155" s="758"/>
      <c r="V155" s="757"/>
      <c r="W155" s="757"/>
      <c r="X155" s="757"/>
      <c r="Y155" s="757"/>
      <c r="Z155" s="757"/>
      <c r="AA155" s="757"/>
      <c r="AB155" s="638" t="s">
        <v>335</v>
      </c>
      <c r="AC155" s="638" t="s">
        <v>40</v>
      </c>
      <c r="AD155" s="638" t="s">
        <v>343</v>
      </c>
      <c r="AE155" s="638" t="s">
        <v>344</v>
      </c>
      <c r="AF155" s="638" t="s">
        <v>345</v>
      </c>
      <c r="AG155" s="638" t="s">
        <v>346</v>
      </c>
      <c r="AH155" s="757"/>
      <c r="AI155" s="757"/>
      <c r="AJ155" s="757"/>
      <c r="AK155" s="757"/>
    </row>
    <row r="156" spans="3:37" x14ac:dyDescent="0.2">
      <c r="C156" s="639" t="s">
        <v>59</v>
      </c>
      <c r="D156" s="640">
        <v>0</v>
      </c>
      <c r="E156" s="641">
        <v>2.3260000000000005</v>
      </c>
      <c r="F156" s="641">
        <v>0</v>
      </c>
      <c r="G156" s="640">
        <v>3.7216000000000006E-2</v>
      </c>
      <c r="H156" s="641">
        <v>1005.4545454545456</v>
      </c>
      <c r="I156" s="641">
        <v>248.9826967827097</v>
      </c>
      <c r="J156" s="641">
        <v>189.82090717884753</v>
      </c>
      <c r="K156" s="641">
        <v>21.067323208066789</v>
      </c>
      <c r="L156" s="641">
        <v>0.444514092196865</v>
      </c>
      <c r="M156" s="641">
        <v>0.15770970126630299</v>
      </c>
      <c r="N156" s="641">
        <v>60.832905155553725</v>
      </c>
      <c r="O156" s="641">
        <v>10.347989753579439</v>
      </c>
      <c r="P156" s="642">
        <v>0</v>
      </c>
      <c r="Q156" s="641">
        <v>0</v>
      </c>
      <c r="R156" s="641">
        <v>0</v>
      </c>
      <c r="S156" s="643">
        <v>1539.4718073267661</v>
      </c>
      <c r="U156" s="639" t="s">
        <v>59</v>
      </c>
      <c r="V156" s="640">
        <v>0</v>
      </c>
      <c r="W156" s="641">
        <v>2.3260000000000005</v>
      </c>
      <c r="X156" s="641">
        <v>0</v>
      </c>
      <c r="Y156" s="640">
        <v>3.7216000000000006E-2</v>
      </c>
      <c r="Z156" s="641">
        <v>949.39393939393938</v>
      </c>
      <c r="AA156" s="641">
        <v>279.58269678270966</v>
      </c>
      <c r="AB156" s="641">
        <v>196.53145821434362</v>
      </c>
      <c r="AC156" s="641">
        <v>37.828582612394825</v>
      </c>
      <c r="AD156" s="641">
        <v>0.444514092196865</v>
      </c>
      <c r="AE156" s="641">
        <v>0.15770970126630299</v>
      </c>
      <c r="AF156" s="641">
        <v>86.476611770328219</v>
      </c>
      <c r="AG156" s="641">
        <v>21.065809354780896</v>
      </c>
      <c r="AH156" s="642">
        <v>0</v>
      </c>
      <c r="AI156" s="641">
        <v>0</v>
      </c>
      <c r="AJ156" s="641">
        <v>0</v>
      </c>
      <c r="AK156" s="643">
        <v>1573.8445379219597</v>
      </c>
    </row>
    <row r="157" spans="3:37" x14ac:dyDescent="0.2">
      <c r="C157" s="639" t="s">
        <v>60</v>
      </c>
      <c r="D157" s="640">
        <v>48.372001461449948</v>
      </c>
      <c r="E157" s="641">
        <v>509.74501402008315</v>
      </c>
      <c r="F157" s="641">
        <v>84.255119008679685</v>
      </c>
      <c r="G157" s="640">
        <v>333.85211586331565</v>
      </c>
      <c r="H157" s="641">
        <v>0</v>
      </c>
      <c r="I157" s="641">
        <v>0</v>
      </c>
      <c r="J157" s="641">
        <v>4.1218275156281265</v>
      </c>
      <c r="K157" s="641">
        <v>0</v>
      </c>
      <c r="L157" s="641">
        <v>2.2815668000430724</v>
      </c>
      <c r="M157" s="641">
        <v>0</v>
      </c>
      <c r="N157" s="641">
        <v>0</v>
      </c>
      <c r="O157" s="641">
        <v>0</v>
      </c>
      <c r="P157" s="642">
        <v>0</v>
      </c>
      <c r="Q157" s="641">
        <v>0</v>
      </c>
      <c r="R157" s="641">
        <v>0</v>
      </c>
      <c r="S157" s="643">
        <v>982.62764466919975</v>
      </c>
      <c r="U157" s="639" t="s">
        <v>60</v>
      </c>
      <c r="V157" s="640">
        <v>8.3965846696126416</v>
      </c>
      <c r="W157" s="641">
        <v>294.49378048971494</v>
      </c>
      <c r="X157" s="641">
        <v>18.517216360631103</v>
      </c>
      <c r="Y157" s="640">
        <v>163.11536747865699</v>
      </c>
      <c r="Z157" s="641">
        <v>0</v>
      </c>
      <c r="AA157" s="641">
        <v>0</v>
      </c>
      <c r="AB157" s="641">
        <v>4.1218275156281265</v>
      </c>
      <c r="AC157" s="641">
        <v>0</v>
      </c>
      <c r="AD157" s="641">
        <v>2.2815668000430724</v>
      </c>
      <c r="AE157" s="641">
        <v>0</v>
      </c>
      <c r="AF157" s="641">
        <v>0</v>
      </c>
      <c r="AG157" s="641">
        <v>0</v>
      </c>
      <c r="AH157" s="642">
        <v>0</v>
      </c>
      <c r="AI157" s="641">
        <v>0</v>
      </c>
      <c r="AJ157" s="641">
        <v>0</v>
      </c>
      <c r="AK157" s="643">
        <v>490.9263433142869</v>
      </c>
    </row>
    <row r="158" spans="3:37" x14ac:dyDescent="0.2">
      <c r="C158" s="639" t="s">
        <v>61</v>
      </c>
      <c r="D158" s="640">
        <v>0</v>
      </c>
      <c r="E158" s="641">
        <v>0</v>
      </c>
      <c r="F158" s="641">
        <v>0</v>
      </c>
      <c r="G158" s="640">
        <v>0</v>
      </c>
      <c r="H158" s="641">
        <v>0</v>
      </c>
      <c r="I158" s="641">
        <v>0</v>
      </c>
      <c r="J158" s="641">
        <v>0</v>
      </c>
      <c r="K158" s="641">
        <v>0</v>
      </c>
      <c r="L158" s="641">
        <v>0</v>
      </c>
      <c r="M158" s="641">
        <v>0</v>
      </c>
      <c r="N158" s="641">
        <v>0</v>
      </c>
      <c r="O158" s="641">
        <v>0</v>
      </c>
      <c r="P158" s="642">
        <v>-38.942042128507637</v>
      </c>
      <c r="Q158" s="641">
        <v>0</v>
      </c>
      <c r="R158" s="641">
        <v>0</v>
      </c>
      <c r="S158" s="643">
        <v>-38.942042128507637</v>
      </c>
      <c r="U158" s="639" t="s">
        <v>61</v>
      </c>
      <c r="V158" s="640">
        <v>0</v>
      </c>
      <c r="W158" s="641">
        <v>0</v>
      </c>
      <c r="X158" s="641">
        <v>0</v>
      </c>
      <c r="Y158" s="640">
        <v>0</v>
      </c>
      <c r="Z158" s="641">
        <v>0</v>
      </c>
      <c r="AA158" s="641">
        <v>0</v>
      </c>
      <c r="AB158" s="641">
        <v>0</v>
      </c>
      <c r="AC158" s="641">
        <v>0</v>
      </c>
      <c r="AD158" s="641">
        <v>0</v>
      </c>
      <c r="AE158" s="641">
        <v>0</v>
      </c>
      <c r="AF158" s="641">
        <v>0</v>
      </c>
      <c r="AG158" s="641">
        <v>0</v>
      </c>
      <c r="AH158" s="642">
        <v>-20.693548582118865</v>
      </c>
      <c r="AI158" s="641">
        <v>0</v>
      </c>
      <c r="AJ158" s="641">
        <v>0</v>
      </c>
      <c r="AK158" s="643">
        <v>-20.693548582118865</v>
      </c>
    </row>
    <row r="159" spans="3:37" x14ac:dyDescent="0.2">
      <c r="C159" s="639" t="s">
        <v>62</v>
      </c>
      <c r="D159" s="640">
        <v>0</v>
      </c>
      <c r="E159" s="641">
        <v>0</v>
      </c>
      <c r="F159" s="641">
        <v>-16.016991189558784</v>
      </c>
      <c r="G159" s="640">
        <v>0</v>
      </c>
      <c r="H159" s="641">
        <v>0</v>
      </c>
      <c r="I159" s="641">
        <v>0</v>
      </c>
      <c r="J159" s="641">
        <v>0</v>
      </c>
      <c r="K159" s="641">
        <v>0</v>
      </c>
      <c r="L159" s="641">
        <v>0</v>
      </c>
      <c r="M159" s="641">
        <v>0</v>
      </c>
      <c r="N159" s="641">
        <v>0</v>
      </c>
      <c r="O159" s="641">
        <v>0</v>
      </c>
      <c r="P159" s="642">
        <v>0</v>
      </c>
      <c r="Q159" s="641">
        <v>0</v>
      </c>
      <c r="R159" s="641">
        <v>0</v>
      </c>
      <c r="S159" s="643">
        <v>-16.016991189558784</v>
      </c>
      <c r="U159" s="639" t="s">
        <v>62</v>
      </c>
      <c r="V159" s="640">
        <v>0</v>
      </c>
      <c r="W159" s="641">
        <v>0</v>
      </c>
      <c r="X159" s="641">
        <v>-11.216317309287092</v>
      </c>
      <c r="Y159" s="640">
        <v>-1.9971079411498778</v>
      </c>
      <c r="Z159" s="641">
        <v>0</v>
      </c>
      <c r="AA159" s="641">
        <v>0</v>
      </c>
      <c r="AB159" s="641">
        <v>0</v>
      </c>
      <c r="AC159" s="641">
        <v>0</v>
      </c>
      <c r="AD159" s="641">
        <v>0</v>
      </c>
      <c r="AE159" s="641">
        <v>-0.69888193239441998</v>
      </c>
      <c r="AF159" s="641">
        <v>0</v>
      </c>
      <c r="AG159" s="641">
        <v>0</v>
      </c>
      <c r="AH159" s="642">
        <v>0</v>
      </c>
      <c r="AI159" s="641">
        <v>0</v>
      </c>
      <c r="AJ159" s="641">
        <v>0</v>
      </c>
      <c r="AK159" s="643">
        <v>-13.912307182831389</v>
      </c>
    </row>
    <row r="160" spans="3:37" x14ac:dyDescent="0.2">
      <c r="C160" s="639" t="s">
        <v>63</v>
      </c>
      <c r="D160" s="640">
        <v>0</v>
      </c>
      <c r="E160" s="641">
        <v>0</v>
      </c>
      <c r="F160" s="641">
        <v>-85.676103269538828</v>
      </c>
      <c r="G160" s="640">
        <v>0</v>
      </c>
      <c r="H160" s="641">
        <v>0</v>
      </c>
      <c r="I160" s="641">
        <v>0</v>
      </c>
      <c r="J160" s="641">
        <v>0</v>
      </c>
      <c r="K160" s="641">
        <v>0</v>
      </c>
      <c r="L160" s="641">
        <v>-0.88445591317339634</v>
      </c>
      <c r="M160" s="641">
        <v>0</v>
      </c>
      <c r="N160" s="641">
        <v>0</v>
      </c>
      <c r="O160" s="641">
        <v>0</v>
      </c>
      <c r="P160" s="642">
        <v>0</v>
      </c>
      <c r="Q160" s="641">
        <v>0</v>
      </c>
      <c r="R160" s="641">
        <v>0</v>
      </c>
      <c r="S160" s="643">
        <v>-86.560559182712225</v>
      </c>
      <c r="U160" s="639" t="s">
        <v>63</v>
      </c>
      <c r="V160" s="640">
        <v>0</v>
      </c>
      <c r="W160" s="641">
        <v>0</v>
      </c>
      <c r="X160" s="641">
        <v>-61.793178017106612</v>
      </c>
      <c r="Y160" s="640">
        <v>0</v>
      </c>
      <c r="Z160" s="641">
        <v>0</v>
      </c>
      <c r="AA160" s="641">
        <v>0</v>
      </c>
      <c r="AB160" s="641">
        <v>0</v>
      </c>
      <c r="AC160" s="641">
        <v>0</v>
      </c>
      <c r="AD160" s="641">
        <v>-20.442150229714262</v>
      </c>
      <c r="AE160" s="641">
        <v>0</v>
      </c>
      <c r="AF160" s="641">
        <v>0</v>
      </c>
      <c r="AG160" s="641">
        <v>0</v>
      </c>
      <c r="AH160" s="642">
        <v>0</v>
      </c>
      <c r="AI160" s="641">
        <v>0</v>
      </c>
      <c r="AJ160" s="641">
        <v>0</v>
      </c>
      <c r="AK160" s="643">
        <v>-82.23532824682087</v>
      </c>
    </row>
    <row r="161" spans="3:37" x14ac:dyDescent="0.2">
      <c r="C161" s="639" t="s">
        <v>64</v>
      </c>
      <c r="D161" s="640">
        <v>0</v>
      </c>
      <c r="E161" s="641">
        <v>0</v>
      </c>
      <c r="F161" s="641">
        <v>0</v>
      </c>
      <c r="G161" s="640">
        <v>0</v>
      </c>
      <c r="H161" s="641">
        <v>0</v>
      </c>
      <c r="I161" s="641">
        <v>0</v>
      </c>
      <c r="J161" s="641">
        <v>0</v>
      </c>
      <c r="K161" s="641">
        <v>0</v>
      </c>
      <c r="L161" s="641">
        <v>0</v>
      </c>
      <c r="M161" s="641">
        <v>0</v>
      </c>
      <c r="N161" s="641">
        <v>0</v>
      </c>
      <c r="O161" s="641">
        <v>0</v>
      </c>
      <c r="P161" s="642">
        <v>0</v>
      </c>
      <c r="Q161" s="641">
        <v>0</v>
      </c>
      <c r="R161" s="641">
        <v>0</v>
      </c>
      <c r="S161" s="643">
        <v>0</v>
      </c>
      <c r="U161" s="639" t="s">
        <v>64</v>
      </c>
      <c r="V161" s="640">
        <v>0</v>
      </c>
      <c r="W161" s="641">
        <v>0</v>
      </c>
      <c r="X161" s="641">
        <v>0</v>
      </c>
      <c r="Y161" s="640">
        <v>0</v>
      </c>
      <c r="Z161" s="641">
        <v>0</v>
      </c>
      <c r="AA161" s="641">
        <v>0</v>
      </c>
      <c r="AB161" s="641">
        <v>0</v>
      </c>
      <c r="AC161" s="641">
        <v>0</v>
      </c>
      <c r="AD161" s="641">
        <v>0</v>
      </c>
      <c r="AE161" s="641">
        <v>0</v>
      </c>
      <c r="AF161" s="641">
        <v>0</v>
      </c>
      <c r="AG161" s="641">
        <v>0</v>
      </c>
      <c r="AH161" s="642">
        <v>0</v>
      </c>
      <c r="AI161" s="641">
        <v>0</v>
      </c>
      <c r="AJ161" s="641">
        <v>0</v>
      </c>
      <c r="AK161" s="643">
        <v>0</v>
      </c>
    </row>
    <row r="162" spans="3:37" x14ac:dyDescent="0.2">
      <c r="C162" s="644" t="s">
        <v>65</v>
      </c>
      <c r="D162" s="645">
        <v>48.372001461449948</v>
      </c>
      <c r="E162" s="645">
        <v>512.07101402008311</v>
      </c>
      <c r="F162" s="645">
        <v>-17.437975450417916</v>
      </c>
      <c r="G162" s="645">
        <v>333.88933186331565</v>
      </c>
      <c r="H162" s="645">
        <v>1005.4545454545456</v>
      </c>
      <c r="I162" s="645">
        <v>248.9826967827097</v>
      </c>
      <c r="J162" s="645">
        <v>193.94273469447566</v>
      </c>
      <c r="K162" s="645">
        <v>21.067323208066789</v>
      </c>
      <c r="L162" s="645">
        <v>1.8416249790665411</v>
      </c>
      <c r="M162" s="645">
        <v>0.15770970126630299</v>
      </c>
      <c r="N162" s="645">
        <v>60.832905155553725</v>
      </c>
      <c r="O162" s="645">
        <v>10.347989753579439</v>
      </c>
      <c r="P162" s="645">
        <v>-38.942042128507637</v>
      </c>
      <c r="Q162" s="645">
        <v>0</v>
      </c>
      <c r="R162" s="645">
        <v>0</v>
      </c>
      <c r="S162" s="645">
        <v>2380.5798594951875</v>
      </c>
      <c r="U162" s="644" t="s">
        <v>65</v>
      </c>
      <c r="V162" s="645">
        <v>8.3965846696126416</v>
      </c>
      <c r="W162" s="645">
        <v>296.81978048971496</v>
      </c>
      <c r="X162" s="645">
        <v>-54.492278965762601</v>
      </c>
      <c r="Y162" s="645">
        <v>161.15547553750713</v>
      </c>
      <c r="Z162" s="645">
        <v>949.39393939393938</v>
      </c>
      <c r="AA162" s="645">
        <v>279.58269678270966</v>
      </c>
      <c r="AB162" s="645">
        <v>200.65328572997174</v>
      </c>
      <c r="AC162" s="645">
        <v>37.828582612394825</v>
      </c>
      <c r="AD162" s="645">
        <v>-17.716069337474323</v>
      </c>
      <c r="AE162" s="645">
        <v>-0.54117223112811697</v>
      </c>
      <c r="AF162" s="645">
        <v>86.476611770328219</v>
      </c>
      <c r="AG162" s="645">
        <v>21.065809354780896</v>
      </c>
      <c r="AH162" s="645">
        <v>-20.693548582118865</v>
      </c>
      <c r="AI162" s="645">
        <v>0</v>
      </c>
      <c r="AJ162" s="645">
        <v>0</v>
      </c>
      <c r="AK162" s="645">
        <v>1947.9296972244754</v>
      </c>
    </row>
    <row r="163" spans="3:37" x14ac:dyDescent="0.2">
      <c r="C163" s="634"/>
      <c r="D163" s="634">
        <v>0</v>
      </c>
      <c r="E163" s="634">
        <v>0</v>
      </c>
      <c r="F163" s="634">
        <v>0</v>
      </c>
      <c r="G163" s="634">
        <v>0</v>
      </c>
      <c r="H163" s="634">
        <v>0</v>
      </c>
      <c r="I163" s="634">
        <v>0</v>
      </c>
      <c r="J163" s="634">
        <v>0</v>
      </c>
      <c r="K163" s="634">
        <v>0</v>
      </c>
      <c r="L163" s="634">
        <v>0</v>
      </c>
      <c r="M163" s="634">
        <v>0</v>
      </c>
      <c r="N163" s="634">
        <v>0</v>
      </c>
      <c r="O163" s="634">
        <v>0</v>
      </c>
      <c r="P163" s="634">
        <v>0</v>
      </c>
      <c r="Q163" s="634">
        <v>0</v>
      </c>
      <c r="R163" s="634">
        <v>0</v>
      </c>
      <c r="S163" s="634">
        <v>0</v>
      </c>
      <c r="U163" s="634"/>
      <c r="V163" s="634">
        <v>0</v>
      </c>
      <c r="W163" s="634">
        <v>0</v>
      </c>
      <c r="X163" s="634">
        <v>0</v>
      </c>
      <c r="Y163" s="634">
        <v>0</v>
      </c>
      <c r="Z163" s="634">
        <v>0</v>
      </c>
      <c r="AA163" s="634">
        <v>0</v>
      </c>
      <c r="AB163" s="634">
        <v>0</v>
      </c>
      <c r="AC163" s="634">
        <v>0</v>
      </c>
      <c r="AD163" s="634">
        <v>0</v>
      </c>
      <c r="AE163" s="634">
        <v>0</v>
      </c>
      <c r="AF163" s="634">
        <v>0</v>
      </c>
      <c r="AG163" s="634">
        <v>0</v>
      </c>
      <c r="AH163" s="634">
        <v>0</v>
      </c>
      <c r="AI163" s="634">
        <v>0</v>
      </c>
      <c r="AJ163" s="634">
        <v>0</v>
      </c>
      <c r="AK163" s="634">
        <v>0</v>
      </c>
    </row>
    <row r="164" spans="3:37" x14ac:dyDescent="0.2">
      <c r="C164" s="646" t="s">
        <v>67</v>
      </c>
      <c r="D164" s="640">
        <v>0</v>
      </c>
      <c r="E164" s="647">
        <v>0</v>
      </c>
      <c r="F164" s="647">
        <v>0</v>
      </c>
      <c r="G164" s="640">
        <v>0</v>
      </c>
      <c r="H164" s="640">
        <v>0</v>
      </c>
      <c r="I164" s="640">
        <v>0</v>
      </c>
      <c r="J164" s="640">
        <v>0</v>
      </c>
      <c r="K164" s="640">
        <v>0</v>
      </c>
      <c r="L164" s="640">
        <v>0</v>
      </c>
      <c r="M164" s="640">
        <v>0</v>
      </c>
      <c r="N164" s="640">
        <v>0</v>
      </c>
      <c r="O164" s="640">
        <v>0</v>
      </c>
      <c r="P164" s="640">
        <v>0</v>
      </c>
      <c r="Q164" s="640">
        <v>0</v>
      </c>
      <c r="R164" s="640">
        <v>0</v>
      </c>
      <c r="S164" s="648">
        <v>0</v>
      </c>
      <c r="U164" s="646" t="s">
        <v>67</v>
      </c>
      <c r="V164" s="640">
        <v>0</v>
      </c>
      <c r="W164" s="647">
        <v>0</v>
      </c>
      <c r="X164" s="647">
        <v>0</v>
      </c>
      <c r="Y164" s="640">
        <v>0</v>
      </c>
      <c r="Z164" s="640">
        <v>0</v>
      </c>
      <c r="AA164" s="640">
        <v>0</v>
      </c>
      <c r="AB164" s="640">
        <v>0</v>
      </c>
      <c r="AC164" s="640">
        <v>0</v>
      </c>
      <c r="AD164" s="640">
        <v>0</v>
      </c>
      <c r="AE164" s="640">
        <v>0</v>
      </c>
      <c r="AF164" s="640">
        <v>0</v>
      </c>
      <c r="AG164" s="640">
        <v>0</v>
      </c>
      <c r="AH164" s="640">
        <v>0</v>
      </c>
      <c r="AI164" s="640">
        <v>0</v>
      </c>
      <c r="AJ164" s="640">
        <v>0</v>
      </c>
      <c r="AK164" s="648">
        <v>0</v>
      </c>
    </row>
    <row r="165" spans="3:37" x14ac:dyDescent="0.2">
      <c r="C165" s="646" t="s">
        <v>347</v>
      </c>
      <c r="D165" s="640">
        <v>2.8267856410252494</v>
      </c>
      <c r="E165" s="640">
        <v>0</v>
      </c>
      <c r="F165" s="640">
        <v>7.7008933134364401</v>
      </c>
      <c r="G165" s="640">
        <v>17.192982456140349</v>
      </c>
      <c r="H165" s="640">
        <v>1005.4545454545456</v>
      </c>
      <c r="I165" s="640">
        <v>248.9826967827097</v>
      </c>
      <c r="J165" s="649">
        <v>29.95115714704033</v>
      </c>
      <c r="K165" s="649">
        <v>7.1699357941539494</v>
      </c>
      <c r="L165" s="649">
        <v>2.7260808922399375</v>
      </c>
      <c r="M165" s="649">
        <v>0.47574727688811397</v>
      </c>
      <c r="N165" s="649">
        <v>0</v>
      </c>
      <c r="O165" s="649">
        <v>5.3758847536792693</v>
      </c>
      <c r="P165" s="640">
        <v>-611.6040304377284</v>
      </c>
      <c r="Q165" s="640">
        <v>0</v>
      </c>
      <c r="R165" s="640">
        <v>0</v>
      </c>
      <c r="S165" s="648">
        <v>716.25267907413024</v>
      </c>
      <c r="U165" s="646" t="s">
        <v>347</v>
      </c>
      <c r="V165" s="640">
        <v>0.62631490545869017</v>
      </c>
      <c r="W165" s="640">
        <v>0</v>
      </c>
      <c r="X165" s="640">
        <v>3.8372569498000768</v>
      </c>
      <c r="Y165" s="640">
        <v>12.853333333333333</v>
      </c>
      <c r="Z165" s="640">
        <v>949.39393939393938</v>
      </c>
      <c r="AA165" s="640">
        <v>279.58269678270966</v>
      </c>
      <c r="AB165" s="649">
        <v>24.143657694158538</v>
      </c>
      <c r="AC165" s="649">
        <v>6.0680800758314266</v>
      </c>
      <c r="AD165" s="649">
        <v>2.7260808922399375</v>
      </c>
      <c r="AE165" s="649">
        <v>4.1838174523267107</v>
      </c>
      <c r="AF165" s="649">
        <v>0</v>
      </c>
      <c r="AG165" s="649">
        <v>5.3758847536792693</v>
      </c>
      <c r="AH165" s="640">
        <v>-621.90403043772824</v>
      </c>
      <c r="AI165" s="640">
        <v>0</v>
      </c>
      <c r="AJ165" s="640">
        <v>3.8</v>
      </c>
      <c r="AK165" s="648">
        <v>670.68703179574891</v>
      </c>
    </row>
    <row r="166" spans="3:37" x14ac:dyDescent="0.2">
      <c r="C166" s="646" t="s">
        <v>348</v>
      </c>
      <c r="D166" s="640">
        <v>0</v>
      </c>
      <c r="E166" s="640">
        <v>0</v>
      </c>
      <c r="F166" s="640">
        <v>0</v>
      </c>
      <c r="G166" s="640">
        <v>15.048436077523924</v>
      </c>
      <c r="H166" s="640">
        <v>0</v>
      </c>
      <c r="I166" s="640">
        <v>0</v>
      </c>
      <c r="J166" s="649">
        <v>12.74533322609016</v>
      </c>
      <c r="K166" s="649">
        <v>12.056480951460374</v>
      </c>
      <c r="L166" s="649">
        <v>0</v>
      </c>
      <c r="M166" s="649">
        <v>0.32133708059977345</v>
      </c>
      <c r="N166" s="649">
        <v>0</v>
      </c>
      <c r="O166" s="649">
        <v>2.1348201063802894</v>
      </c>
      <c r="P166" s="640">
        <v>0</v>
      </c>
      <c r="Q166" s="640">
        <v>-38.309646115177976</v>
      </c>
      <c r="R166" s="640">
        <v>0</v>
      </c>
      <c r="S166" s="648">
        <v>3.9967613268765492</v>
      </c>
      <c r="U166" s="646" t="s">
        <v>348</v>
      </c>
      <c r="V166" s="640">
        <v>0</v>
      </c>
      <c r="W166" s="640">
        <v>0</v>
      </c>
      <c r="X166" s="640">
        <v>0</v>
      </c>
      <c r="Y166" s="640">
        <v>12.803359009118745</v>
      </c>
      <c r="Z166" s="640">
        <v>0</v>
      </c>
      <c r="AA166" s="640">
        <v>0</v>
      </c>
      <c r="AB166" s="649">
        <v>28.717481814983032</v>
      </c>
      <c r="AC166" s="649">
        <v>25.924008984647354</v>
      </c>
      <c r="AD166" s="649">
        <v>0</v>
      </c>
      <c r="AE166" s="649">
        <v>4.0573921431217457</v>
      </c>
      <c r="AF166" s="649">
        <v>0</v>
      </c>
      <c r="AG166" s="649">
        <v>9.7357518308203428</v>
      </c>
      <c r="AH166" s="640">
        <v>0</v>
      </c>
      <c r="AI166" s="640">
        <v>-74.504230286476243</v>
      </c>
      <c r="AJ166" s="640">
        <v>0</v>
      </c>
      <c r="AK166" s="648">
        <v>6.7337634962149808</v>
      </c>
    </row>
    <row r="167" spans="3:37" x14ac:dyDescent="0.2">
      <c r="C167" s="646" t="s">
        <v>349</v>
      </c>
      <c r="D167" s="640">
        <v>0</v>
      </c>
      <c r="E167" s="640">
        <v>0</v>
      </c>
      <c r="F167" s="640">
        <v>0</v>
      </c>
      <c r="G167" s="640">
        <v>0</v>
      </c>
      <c r="H167" s="640">
        <v>0</v>
      </c>
      <c r="I167" s="640">
        <v>0</v>
      </c>
      <c r="J167" s="650">
        <v>7.2695194025067336</v>
      </c>
      <c r="K167" s="650">
        <v>0</v>
      </c>
      <c r="L167" s="650">
        <v>0</v>
      </c>
      <c r="M167" s="650">
        <v>-6.5716455398660871</v>
      </c>
      <c r="N167" s="650">
        <v>0</v>
      </c>
      <c r="O167" s="650">
        <v>0</v>
      </c>
      <c r="P167" s="640">
        <v>0</v>
      </c>
      <c r="Q167" s="640">
        <v>0</v>
      </c>
      <c r="R167" s="640">
        <v>0</v>
      </c>
      <c r="S167" s="648">
        <v>0.69787386264064644</v>
      </c>
      <c r="U167" s="646" t="s">
        <v>349</v>
      </c>
      <c r="V167" s="640">
        <v>0</v>
      </c>
      <c r="W167" s="640">
        <v>0</v>
      </c>
      <c r="X167" s="640">
        <v>0</v>
      </c>
      <c r="Y167" s="640">
        <v>0</v>
      </c>
      <c r="Z167" s="640">
        <v>0</v>
      </c>
      <c r="AA167" s="640">
        <v>0</v>
      </c>
      <c r="AB167" s="650">
        <v>56.55251118568826</v>
      </c>
      <c r="AC167" s="650">
        <v>0</v>
      </c>
      <c r="AD167" s="650">
        <v>0</v>
      </c>
      <c r="AE167" s="650">
        <v>-51.12347011186219</v>
      </c>
      <c r="AF167" s="650">
        <v>0</v>
      </c>
      <c r="AG167" s="650">
        <v>0</v>
      </c>
      <c r="AH167" s="640">
        <v>0</v>
      </c>
      <c r="AI167" s="640">
        <v>0</v>
      </c>
      <c r="AJ167" s="640">
        <v>0</v>
      </c>
      <c r="AK167" s="648">
        <v>5.4290410738260704</v>
      </c>
    </row>
    <row r="168" spans="3:37" x14ac:dyDescent="0.2">
      <c r="C168" s="646" t="s">
        <v>350</v>
      </c>
      <c r="D168" s="640">
        <v>0</v>
      </c>
      <c r="E168" s="640">
        <v>0</v>
      </c>
      <c r="F168" s="640">
        <v>0</v>
      </c>
      <c r="G168" s="640">
        <v>0</v>
      </c>
      <c r="H168" s="640">
        <v>0</v>
      </c>
      <c r="I168" s="640">
        <v>0</v>
      </c>
      <c r="J168" s="640">
        <v>0</v>
      </c>
      <c r="K168" s="640">
        <v>0</v>
      </c>
      <c r="L168" s="640">
        <v>0</v>
      </c>
      <c r="M168" s="640">
        <v>0</v>
      </c>
      <c r="N168" s="640">
        <v>0</v>
      </c>
      <c r="O168" s="640">
        <v>0</v>
      </c>
      <c r="P168" s="640">
        <v>0</v>
      </c>
      <c r="Q168" s="640">
        <v>0</v>
      </c>
      <c r="R168" s="640">
        <v>0</v>
      </c>
      <c r="S168" s="648">
        <v>0</v>
      </c>
      <c r="U168" s="646" t="s">
        <v>350</v>
      </c>
      <c r="V168" s="640">
        <v>0</v>
      </c>
      <c r="W168" s="640">
        <v>0</v>
      </c>
      <c r="X168" s="640">
        <v>0</v>
      </c>
      <c r="Y168" s="640">
        <v>0</v>
      </c>
      <c r="Z168" s="640">
        <v>0</v>
      </c>
      <c r="AA168" s="640">
        <v>0</v>
      </c>
      <c r="AB168" s="640">
        <v>0</v>
      </c>
      <c r="AC168" s="640">
        <v>0</v>
      </c>
      <c r="AD168" s="640">
        <v>0</v>
      </c>
      <c r="AE168" s="640">
        <v>0</v>
      </c>
      <c r="AF168" s="640">
        <v>0</v>
      </c>
      <c r="AG168" s="640">
        <v>0</v>
      </c>
      <c r="AH168" s="640">
        <v>0</v>
      </c>
      <c r="AI168" s="640">
        <v>0</v>
      </c>
      <c r="AJ168" s="640">
        <v>0</v>
      </c>
      <c r="AK168" s="648">
        <v>0</v>
      </c>
    </row>
    <row r="169" spans="3:37" x14ac:dyDescent="0.2">
      <c r="C169" s="646" t="s">
        <v>72</v>
      </c>
      <c r="D169" s="640">
        <v>0</v>
      </c>
      <c r="E169" s="640">
        <v>530.45114623720224</v>
      </c>
      <c r="F169" s="640">
        <v>-525.1466347748302</v>
      </c>
      <c r="G169" s="640">
        <v>0</v>
      </c>
      <c r="H169" s="640">
        <v>0</v>
      </c>
      <c r="I169" s="640">
        <v>0</v>
      </c>
      <c r="J169" s="640">
        <v>0</v>
      </c>
      <c r="K169" s="640">
        <v>0</v>
      </c>
      <c r="L169" s="640">
        <v>0</v>
      </c>
      <c r="M169" s="640">
        <v>0</v>
      </c>
      <c r="N169" s="640">
        <v>0</v>
      </c>
      <c r="O169" s="640">
        <v>0</v>
      </c>
      <c r="P169" s="640">
        <v>0</v>
      </c>
      <c r="Q169" s="640">
        <v>0</v>
      </c>
      <c r="R169" s="640">
        <v>0</v>
      </c>
      <c r="S169" s="648">
        <v>5.3045114623720337</v>
      </c>
      <c r="U169" s="646" t="s">
        <v>72</v>
      </c>
      <c r="V169" s="640">
        <v>0</v>
      </c>
      <c r="W169" s="640">
        <v>307.47374578102756</v>
      </c>
      <c r="X169" s="640">
        <v>-304.39900832321729</v>
      </c>
      <c r="Y169" s="640">
        <v>0</v>
      </c>
      <c r="Z169" s="640">
        <v>0</v>
      </c>
      <c r="AA169" s="640">
        <v>0</v>
      </c>
      <c r="AB169" s="640">
        <v>0</v>
      </c>
      <c r="AC169" s="640">
        <v>0</v>
      </c>
      <c r="AD169" s="640">
        <v>0</v>
      </c>
      <c r="AE169" s="640">
        <v>0</v>
      </c>
      <c r="AF169" s="640">
        <v>0</v>
      </c>
      <c r="AG169" s="640">
        <v>0</v>
      </c>
      <c r="AH169" s="640">
        <v>0</v>
      </c>
      <c r="AI169" s="640">
        <v>0</v>
      </c>
      <c r="AJ169" s="640">
        <v>0</v>
      </c>
      <c r="AK169" s="648">
        <v>3.0747374578102722</v>
      </c>
    </row>
    <row r="170" spans="3:37" x14ac:dyDescent="0.2">
      <c r="C170" s="646" t="s">
        <v>351</v>
      </c>
      <c r="D170" s="640">
        <v>0</v>
      </c>
      <c r="E170" s="640">
        <v>0</v>
      </c>
      <c r="F170" s="640">
        <v>0</v>
      </c>
      <c r="G170" s="640">
        <v>0</v>
      </c>
      <c r="H170" s="640">
        <v>0</v>
      </c>
      <c r="I170" s="640">
        <v>0</v>
      </c>
      <c r="J170" s="640">
        <v>30.470996070194996</v>
      </c>
      <c r="K170" s="640">
        <v>0</v>
      </c>
      <c r="L170" s="640">
        <v>-30.470996070194996</v>
      </c>
      <c r="M170" s="640">
        <v>0</v>
      </c>
      <c r="N170" s="640">
        <v>0</v>
      </c>
      <c r="O170" s="640">
        <v>0</v>
      </c>
      <c r="P170" s="640">
        <v>0</v>
      </c>
      <c r="Q170" s="640">
        <v>0</v>
      </c>
      <c r="R170" s="640">
        <v>0</v>
      </c>
      <c r="S170" s="648">
        <v>0</v>
      </c>
      <c r="U170" s="646" t="s">
        <v>351</v>
      </c>
      <c r="V170" s="640">
        <v>0</v>
      </c>
      <c r="W170" s="640">
        <v>0</v>
      </c>
      <c r="X170" s="640">
        <v>0</v>
      </c>
      <c r="Y170" s="640">
        <v>0</v>
      </c>
      <c r="Z170" s="640">
        <v>0</v>
      </c>
      <c r="AA170" s="640">
        <v>0</v>
      </c>
      <c r="AB170" s="640" t="e">
        <v>#VALUE!</v>
      </c>
      <c r="AC170" s="640">
        <v>0</v>
      </c>
      <c r="AD170" s="640">
        <v>-92.079399970639116</v>
      </c>
      <c r="AE170" s="640">
        <v>0</v>
      </c>
      <c r="AF170" s="640">
        <v>0</v>
      </c>
      <c r="AG170" s="640">
        <v>0</v>
      </c>
      <c r="AH170" s="640">
        <v>0</v>
      </c>
      <c r="AI170" s="640">
        <v>0</v>
      </c>
      <c r="AJ170" s="640">
        <v>0</v>
      </c>
      <c r="AK170" s="648">
        <v>-92.079399970639116</v>
      </c>
    </row>
    <row r="171" spans="3:37" x14ac:dyDescent="0.2">
      <c r="C171" s="646" t="s">
        <v>352</v>
      </c>
      <c r="D171" s="640">
        <v>0</v>
      </c>
      <c r="E171" s="640">
        <v>0</v>
      </c>
      <c r="F171" s="640">
        <v>0</v>
      </c>
      <c r="G171" s="640">
        <v>0</v>
      </c>
      <c r="H171" s="640">
        <v>0</v>
      </c>
      <c r="I171" s="640">
        <v>0</v>
      </c>
      <c r="J171" s="640">
        <v>0</v>
      </c>
      <c r="K171" s="640">
        <v>0</v>
      </c>
      <c r="L171" s="640">
        <v>0</v>
      </c>
      <c r="M171" s="640">
        <v>0</v>
      </c>
      <c r="N171" s="640">
        <v>0</v>
      </c>
      <c r="O171" s="640">
        <v>0</v>
      </c>
      <c r="P171" s="640">
        <v>0</v>
      </c>
      <c r="Q171" s="640">
        <v>0</v>
      </c>
      <c r="R171" s="640">
        <v>0</v>
      </c>
      <c r="S171" s="648">
        <v>0</v>
      </c>
      <c r="U171" s="646" t="s">
        <v>352</v>
      </c>
      <c r="V171" s="640">
        <v>0</v>
      </c>
      <c r="W171" s="640">
        <v>0</v>
      </c>
      <c r="X171" s="640">
        <v>0</v>
      </c>
      <c r="Y171" s="640">
        <v>0</v>
      </c>
      <c r="Z171" s="640">
        <v>0</v>
      </c>
      <c r="AA171" s="640">
        <v>0</v>
      </c>
      <c r="AB171" s="640">
        <v>0</v>
      </c>
      <c r="AC171" s="640">
        <v>0</v>
      </c>
      <c r="AD171" s="640">
        <v>-18.857582137623396</v>
      </c>
      <c r="AE171" s="640">
        <v>0</v>
      </c>
      <c r="AF171" s="640">
        <v>0</v>
      </c>
      <c r="AG171" s="640">
        <v>0</v>
      </c>
      <c r="AH171" s="640">
        <v>0</v>
      </c>
      <c r="AI171" s="640">
        <v>0</v>
      </c>
      <c r="AJ171" s="640">
        <v>0</v>
      </c>
      <c r="AK171" s="648">
        <v>-18.857582137623396</v>
      </c>
    </row>
    <row r="172" spans="3:37" x14ac:dyDescent="0.2">
      <c r="C172" s="646" t="s">
        <v>73</v>
      </c>
      <c r="D172" s="640">
        <v>0</v>
      </c>
      <c r="E172" s="640">
        <v>0</v>
      </c>
      <c r="F172" s="640">
        <v>0</v>
      </c>
      <c r="G172" s="640">
        <v>4.2253053989858387</v>
      </c>
      <c r="H172" s="640">
        <v>0</v>
      </c>
      <c r="I172" s="640">
        <v>0</v>
      </c>
      <c r="J172" s="640">
        <v>0</v>
      </c>
      <c r="K172" s="640">
        <v>4.8227473393893973E-2</v>
      </c>
      <c r="L172" s="640">
        <v>0</v>
      </c>
      <c r="M172" s="640">
        <v>8.6230722428282419E-2</v>
      </c>
      <c r="N172" s="640">
        <v>0</v>
      </c>
      <c r="O172" s="640">
        <v>0</v>
      </c>
      <c r="P172" s="640">
        <v>0.47800681593948002</v>
      </c>
      <c r="Q172" s="640">
        <v>0</v>
      </c>
      <c r="R172" s="640">
        <v>-3.3759231375725771</v>
      </c>
      <c r="S172" s="648">
        <v>1.4618472731749175</v>
      </c>
      <c r="U172" s="646" t="s">
        <v>73</v>
      </c>
      <c r="V172" s="640">
        <v>0</v>
      </c>
      <c r="W172" s="640">
        <v>0</v>
      </c>
      <c r="X172" s="640">
        <v>0</v>
      </c>
      <c r="Y172" s="640">
        <v>6.2430459874299995</v>
      </c>
      <c r="Z172" s="640">
        <v>0</v>
      </c>
      <c r="AA172" s="640">
        <v>0</v>
      </c>
      <c r="AB172" s="640">
        <v>0</v>
      </c>
      <c r="AC172" s="640">
        <v>0.34514849554566557</v>
      </c>
      <c r="AD172" s="640">
        <v>0</v>
      </c>
      <c r="AE172" s="640">
        <v>1.9714882065568418</v>
      </c>
      <c r="AF172" s="640">
        <v>0</v>
      </c>
      <c r="AG172" s="640">
        <v>0</v>
      </c>
      <c r="AH172" s="640">
        <v>26.797369919651668</v>
      </c>
      <c r="AI172" s="640">
        <v>0</v>
      </c>
      <c r="AJ172" s="640">
        <v>-24.160394688196586</v>
      </c>
      <c r="AK172" s="648">
        <v>11.196657920987594</v>
      </c>
    </row>
    <row r="173" spans="3:37" x14ac:dyDescent="0.2">
      <c r="C173" s="646" t="s">
        <v>353</v>
      </c>
      <c r="D173" s="640">
        <v>28.633394531250001</v>
      </c>
      <c r="E173" s="640">
        <v>-18.380132217119058</v>
      </c>
      <c r="F173" s="640">
        <v>24.040127313749448</v>
      </c>
      <c r="G173" s="640">
        <v>0</v>
      </c>
      <c r="H173" s="640">
        <v>0</v>
      </c>
      <c r="I173" s="640">
        <v>0</v>
      </c>
      <c r="J173" s="640">
        <v>0</v>
      </c>
      <c r="K173" s="640">
        <v>0</v>
      </c>
      <c r="L173" s="640">
        <v>0</v>
      </c>
      <c r="M173" s="640">
        <v>0</v>
      </c>
      <c r="N173" s="640">
        <v>0</v>
      </c>
      <c r="O173" s="640">
        <v>0</v>
      </c>
      <c r="P173" s="640">
        <v>0</v>
      </c>
      <c r="Q173" s="640">
        <v>0</v>
      </c>
      <c r="R173" s="640">
        <v>0</v>
      </c>
      <c r="S173" s="648">
        <v>34.293389627880387</v>
      </c>
      <c r="U173" s="646" t="s">
        <v>353</v>
      </c>
      <c r="V173" s="640">
        <v>2.8339389038085936</v>
      </c>
      <c r="W173" s="640">
        <v>-10.653965291312606</v>
      </c>
      <c r="X173" s="640">
        <v>13.93475732241321</v>
      </c>
      <c r="Y173" s="640">
        <v>0</v>
      </c>
      <c r="Z173" s="640">
        <v>0</v>
      </c>
      <c r="AA173" s="640">
        <v>0</v>
      </c>
      <c r="AB173" s="640">
        <v>0</v>
      </c>
      <c r="AC173" s="640">
        <v>0</v>
      </c>
      <c r="AD173" s="640">
        <v>0</v>
      </c>
      <c r="AE173" s="640">
        <v>0</v>
      </c>
      <c r="AF173" s="640">
        <v>0</v>
      </c>
      <c r="AG173" s="640">
        <v>0</v>
      </c>
      <c r="AH173" s="640">
        <v>0</v>
      </c>
      <c r="AI173" s="640">
        <v>0</v>
      </c>
      <c r="AJ173" s="640">
        <v>0</v>
      </c>
      <c r="AK173" s="648">
        <v>6.1147309349091987</v>
      </c>
    </row>
    <row r="174" spans="3:37" x14ac:dyDescent="0.2">
      <c r="C174" s="646" t="s">
        <v>75</v>
      </c>
      <c r="D174" s="640">
        <v>11.135208984375002</v>
      </c>
      <c r="E174" s="640">
        <v>0</v>
      </c>
      <c r="F174" s="640">
        <v>18.035338972064878</v>
      </c>
      <c r="G174" s="640">
        <v>5.1464370207933356</v>
      </c>
      <c r="H174" s="640">
        <v>0</v>
      </c>
      <c r="I174" s="640">
        <v>0</v>
      </c>
      <c r="J174" s="640">
        <v>0</v>
      </c>
      <c r="K174" s="640">
        <v>0</v>
      </c>
      <c r="L174" s="640">
        <v>0</v>
      </c>
      <c r="M174" s="640">
        <v>0.10502932695496604</v>
      </c>
      <c r="N174" s="640">
        <v>0</v>
      </c>
      <c r="O174" s="640">
        <v>0</v>
      </c>
      <c r="P174" s="640">
        <v>31.859130537431355</v>
      </c>
      <c r="Q174" s="640">
        <v>0</v>
      </c>
      <c r="R174" s="640">
        <v>0</v>
      </c>
      <c r="S174" s="648">
        <v>66.281144841619536</v>
      </c>
      <c r="U174" s="646" t="s">
        <v>75</v>
      </c>
      <c r="V174" s="640">
        <v>3.871097900390625</v>
      </c>
      <c r="W174" s="640">
        <v>0</v>
      </c>
      <c r="X174" s="640">
        <v>18.035338972064878</v>
      </c>
      <c r="Y174" s="640">
        <v>3.9911144242887096</v>
      </c>
      <c r="Z174" s="640">
        <v>0</v>
      </c>
      <c r="AA174" s="640">
        <v>0</v>
      </c>
      <c r="AB174" s="640">
        <v>0</v>
      </c>
      <c r="AC174" s="640">
        <v>0</v>
      </c>
      <c r="AD174" s="640">
        <v>0</v>
      </c>
      <c r="AE174" s="640">
        <v>1.2603519234595923</v>
      </c>
      <c r="AF174" s="640">
        <v>0</v>
      </c>
      <c r="AG174" s="640">
        <v>0</v>
      </c>
      <c r="AH174" s="640">
        <v>35.363675991976798</v>
      </c>
      <c r="AI174" s="640">
        <v>0</v>
      </c>
      <c r="AJ174" s="640">
        <v>0</v>
      </c>
      <c r="AK174" s="648">
        <v>62.521579212180605</v>
      </c>
    </row>
    <row r="175" spans="3:37" x14ac:dyDescent="0.2">
      <c r="C175" s="646" t="s">
        <v>76</v>
      </c>
      <c r="D175" s="640">
        <v>0</v>
      </c>
      <c r="E175" s="640">
        <v>0</v>
      </c>
      <c r="F175" s="640">
        <v>0</v>
      </c>
      <c r="G175" s="640">
        <v>3.818307882847094</v>
      </c>
      <c r="H175" s="640">
        <v>0</v>
      </c>
      <c r="I175" s="640">
        <v>0</v>
      </c>
      <c r="J175" s="640">
        <v>0</v>
      </c>
      <c r="K175" s="640">
        <v>0</v>
      </c>
      <c r="L175" s="640">
        <v>0</v>
      </c>
      <c r="M175" s="640">
        <v>7.7924650670348858E-2</v>
      </c>
      <c r="N175" s="640">
        <v>0</v>
      </c>
      <c r="O175" s="640">
        <v>0</v>
      </c>
      <c r="P175" s="640">
        <v>43.831436480126726</v>
      </c>
      <c r="Q175" s="640">
        <v>2.9732290990631256</v>
      </c>
      <c r="R175" s="640">
        <v>0</v>
      </c>
      <c r="S175" s="648">
        <v>50.700898112707293</v>
      </c>
      <c r="U175" s="646" t="s">
        <v>76</v>
      </c>
      <c r="V175" s="640">
        <v>0</v>
      </c>
      <c r="W175" s="640">
        <v>0</v>
      </c>
      <c r="X175" s="640">
        <v>0</v>
      </c>
      <c r="Y175" s="640">
        <v>1.9196559923426515</v>
      </c>
      <c r="Z175" s="640">
        <v>0</v>
      </c>
      <c r="AA175" s="640">
        <v>0</v>
      </c>
      <c r="AB175" s="640">
        <v>0</v>
      </c>
      <c r="AC175" s="640">
        <v>0</v>
      </c>
      <c r="AD175" s="640">
        <v>0</v>
      </c>
      <c r="AE175" s="640">
        <v>0.60620715547662674</v>
      </c>
      <c r="AF175" s="640">
        <v>0</v>
      </c>
      <c r="AG175" s="640">
        <v>0</v>
      </c>
      <c r="AH175" s="640">
        <v>46.019363501687437</v>
      </c>
      <c r="AI175" s="640">
        <v>5.777975473960776</v>
      </c>
      <c r="AJ175" s="640">
        <v>0</v>
      </c>
      <c r="AK175" s="648">
        <v>54.323202123467496</v>
      </c>
    </row>
    <row r="176" spans="3:37" x14ac:dyDescent="0.2">
      <c r="C176" s="644" t="s">
        <v>77</v>
      </c>
      <c r="D176" s="645">
        <v>42.595389156650249</v>
      </c>
      <c r="E176" s="645">
        <v>512.07101402008323</v>
      </c>
      <c r="F176" s="645">
        <v>-475.37027517557942</v>
      </c>
      <c r="G176" s="645">
        <v>45.431468836290541</v>
      </c>
      <c r="H176" s="645">
        <v>1005.4545454545456</v>
      </c>
      <c r="I176" s="645">
        <v>248.9826967827097</v>
      </c>
      <c r="J176" s="645">
        <v>80.437005845832218</v>
      </c>
      <c r="K176" s="645">
        <v>19.274644219008216</v>
      </c>
      <c r="L176" s="645">
        <v>-27.744915177955058</v>
      </c>
      <c r="M176" s="645">
        <v>-5.5053764823246025</v>
      </c>
      <c r="N176" s="645">
        <v>0</v>
      </c>
      <c r="O176" s="645">
        <v>7.5107048600595583</v>
      </c>
      <c r="P176" s="645">
        <v>-535.43545660423092</v>
      </c>
      <c r="Q176" s="645">
        <v>-35.336417016114851</v>
      </c>
      <c r="R176" s="645">
        <v>-3.3759231375725771</v>
      </c>
      <c r="S176" s="645">
        <v>878.98910558140176</v>
      </c>
      <c r="U176" s="644" t="s">
        <v>77</v>
      </c>
      <c r="V176" s="645">
        <v>7.3313517096579091</v>
      </c>
      <c r="W176" s="645">
        <v>296.81978048971496</v>
      </c>
      <c r="X176" s="645">
        <v>-268.59165507893914</v>
      </c>
      <c r="Y176" s="645">
        <v>37.810508746513442</v>
      </c>
      <c r="Z176" s="645">
        <v>949.39393939393938</v>
      </c>
      <c r="AA176" s="645">
        <v>279.58269678270966</v>
      </c>
      <c r="AB176" s="645">
        <v>109.41365069482983</v>
      </c>
      <c r="AC176" s="645">
        <v>32.337237556024441</v>
      </c>
      <c r="AD176" s="645">
        <v>-108.21090121602258</v>
      </c>
      <c r="AE176" s="645">
        <v>-39.044213230920668</v>
      </c>
      <c r="AF176" s="645">
        <v>0</v>
      </c>
      <c r="AG176" s="645">
        <v>15.111636584499612</v>
      </c>
      <c r="AH176" s="645">
        <v>-513.7236210244123</v>
      </c>
      <c r="AI176" s="645">
        <v>-68.726254812515464</v>
      </c>
      <c r="AJ176" s="645">
        <v>-20.360394688196585</v>
      </c>
      <c r="AK176" s="645">
        <v>709.14376190688279</v>
      </c>
    </row>
    <row r="177" spans="3:37" x14ac:dyDescent="0.2">
      <c r="C177" s="634"/>
      <c r="D177" s="634">
        <v>0</v>
      </c>
      <c r="E177" s="634">
        <v>0</v>
      </c>
      <c r="F177" s="634">
        <v>0</v>
      </c>
      <c r="G177" s="634">
        <v>0</v>
      </c>
      <c r="H177" s="634">
        <v>0</v>
      </c>
      <c r="I177" s="634">
        <v>0</v>
      </c>
      <c r="J177" s="634">
        <v>0</v>
      </c>
      <c r="K177" s="634">
        <v>0</v>
      </c>
      <c r="L177" s="634">
        <v>0</v>
      </c>
      <c r="M177" s="634">
        <v>0</v>
      </c>
      <c r="N177" s="634">
        <v>0</v>
      </c>
      <c r="O177" s="634">
        <v>0</v>
      </c>
      <c r="P177" s="634">
        <v>0</v>
      </c>
      <c r="Q177" s="634">
        <v>0</v>
      </c>
      <c r="R177" s="634">
        <v>0</v>
      </c>
      <c r="S177" s="634">
        <v>0</v>
      </c>
      <c r="U177" s="634"/>
      <c r="V177" s="634">
        <v>0</v>
      </c>
      <c r="W177" s="634">
        <v>0</v>
      </c>
      <c r="X177" s="634">
        <v>0</v>
      </c>
      <c r="Y177" s="634">
        <v>0</v>
      </c>
      <c r="Z177" s="634">
        <v>0</v>
      </c>
      <c r="AA177" s="634">
        <v>0</v>
      </c>
      <c r="AB177" s="634">
        <v>0</v>
      </c>
      <c r="AC177" s="634">
        <v>0</v>
      </c>
      <c r="AD177" s="634">
        <v>0</v>
      </c>
      <c r="AE177" s="634">
        <v>0</v>
      </c>
      <c r="AF177" s="634">
        <v>0</v>
      </c>
      <c r="AG177" s="634">
        <v>0</v>
      </c>
      <c r="AH177" s="634">
        <v>0</v>
      </c>
      <c r="AI177" s="634">
        <v>0</v>
      </c>
      <c r="AJ177" s="634">
        <v>0</v>
      </c>
      <c r="AK177" s="634">
        <v>0</v>
      </c>
    </row>
    <row r="178" spans="3:37" x14ac:dyDescent="0.2">
      <c r="C178" s="646" t="s">
        <v>78</v>
      </c>
      <c r="D178" s="640">
        <v>5.7766123047996905</v>
      </c>
      <c r="E178" s="640">
        <v>0</v>
      </c>
      <c r="F178" s="640">
        <v>22.402619678599791</v>
      </c>
      <c r="G178" s="640">
        <v>99.281124041468402</v>
      </c>
      <c r="H178" s="640">
        <v>0</v>
      </c>
      <c r="I178" s="640">
        <v>0</v>
      </c>
      <c r="J178" s="640">
        <v>20.258622771310847</v>
      </c>
      <c r="K178" s="640">
        <v>1.7675748663376085</v>
      </c>
      <c r="L178" s="640">
        <v>0.898333240234375</v>
      </c>
      <c r="M178" s="640">
        <v>2.0447588657198987</v>
      </c>
      <c r="N178" s="640">
        <v>0</v>
      </c>
      <c r="O178" s="640">
        <v>3.7946622282562846E-4</v>
      </c>
      <c r="P178" s="640">
        <v>110.87393457022205</v>
      </c>
      <c r="Q178" s="640">
        <v>16.091742927144434</v>
      </c>
      <c r="R178" s="640">
        <v>0.31004003906249999</v>
      </c>
      <c r="S178" s="648">
        <v>279.70574277112252</v>
      </c>
      <c r="U178" s="646" t="s">
        <v>78</v>
      </c>
      <c r="V178" s="640">
        <v>1.065232959954733</v>
      </c>
      <c r="W178" s="640">
        <v>0</v>
      </c>
      <c r="X178" s="640">
        <v>10.225742404389669</v>
      </c>
      <c r="Y178" s="640">
        <v>56.981112862578769</v>
      </c>
      <c r="Z178" s="640">
        <v>0</v>
      </c>
      <c r="AA178" s="640">
        <v>0</v>
      </c>
      <c r="AB178" s="640">
        <v>15.894636498884354</v>
      </c>
      <c r="AC178" s="640">
        <v>5.4662409336494147</v>
      </c>
      <c r="AD178" s="640">
        <v>3.5459101562500011</v>
      </c>
      <c r="AE178" s="640">
        <v>18.012649117932849</v>
      </c>
      <c r="AF178" s="640">
        <v>0</v>
      </c>
      <c r="AG178" s="640">
        <v>3.7946622282562846E-4</v>
      </c>
      <c r="AH178" s="640">
        <v>139.02742097426295</v>
      </c>
      <c r="AI178" s="640">
        <v>22.276590949645215</v>
      </c>
      <c r="AJ178" s="640">
        <v>6.4302626953124999</v>
      </c>
      <c r="AK178" s="648">
        <v>278.92617901908329</v>
      </c>
    </row>
    <row r="179" spans="3:37" x14ac:dyDescent="0.2">
      <c r="C179" s="646" t="s">
        <v>79</v>
      </c>
      <c r="D179" s="640">
        <v>0</v>
      </c>
      <c r="E179" s="640">
        <v>0</v>
      </c>
      <c r="F179" s="640">
        <v>266.09529408288529</v>
      </c>
      <c r="G179" s="640">
        <v>27.519674276690072</v>
      </c>
      <c r="H179" s="640">
        <v>0</v>
      </c>
      <c r="I179" s="640">
        <v>0</v>
      </c>
      <c r="J179" s="640">
        <v>0</v>
      </c>
      <c r="K179" s="640">
        <v>0</v>
      </c>
      <c r="L179" s="640">
        <v>25.787483151262677</v>
      </c>
      <c r="M179" s="640">
        <v>0.56162600564673626</v>
      </c>
      <c r="N179" s="640">
        <v>0</v>
      </c>
      <c r="O179" s="640">
        <v>0</v>
      </c>
      <c r="P179" s="640">
        <v>55.913522242788574</v>
      </c>
      <c r="Q179" s="640">
        <v>0</v>
      </c>
      <c r="R179" s="640">
        <v>1.6351140344190074</v>
      </c>
      <c r="S179" s="648">
        <v>377.5127137936924</v>
      </c>
      <c r="U179" s="646" t="s">
        <v>79</v>
      </c>
      <c r="V179" s="640">
        <v>0</v>
      </c>
      <c r="W179" s="640">
        <v>0</v>
      </c>
      <c r="X179" s="640">
        <v>96.606255591578162</v>
      </c>
      <c r="Y179" s="640">
        <v>18.337650579977414</v>
      </c>
      <c r="Z179" s="640">
        <v>0</v>
      </c>
      <c r="AA179" s="640">
        <v>0</v>
      </c>
      <c r="AB179" s="640">
        <v>0</v>
      </c>
      <c r="AC179" s="640">
        <v>0</v>
      </c>
      <c r="AD179" s="640">
        <v>50.618247990049454</v>
      </c>
      <c r="AE179" s="640">
        <v>5.9499820008855142</v>
      </c>
      <c r="AF179" s="640">
        <v>0</v>
      </c>
      <c r="AG179" s="640">
        <v>0</v>
      </c>
      <c r="AH179" s="640">
        <v>73.690348279738799</v>
      </c>
      <c r="AI179" s="640">
        <v>0</v>
      </c>
      <c r="AJ179" s="640">
        <v>3.6092463767880076</v>
      </c>
      <c r="AK179" s="648">
        <v>248.81173081901736</v>
      </c>
    </row>
    <row r="180" spans="3:37" x14ac:dyDescent="0.2">
      <c r="C180" s="646" t="s">
        <v>80</v>
      </c>
      <c r="D180" s="640">
        <v>0</v>
      </c>
      <c r="E180" s="640">
        <v>0</v>
      </c>
      <c r="F180" s="640">
        <v>20.365336948925044</v>
      </c>
      <c r="G180" s="640">
        <v>85.23124323075227</v>
      </c>
      <c r="H180" s="640">
        <v>0</v>
      </c>
      <c r="I180" s="640">
        <v>0</v>
      </c>
      <c r="J180" s="640">
        <v>86.726820353783026</v>
      </c>
      <c r="K180" s="640">
        <v>0</v>
      </c>
      <c r="L180" s="640">
        <v>0</v>
      </c>
      <c r="M180" s="640">
        <v>1.7394131271582098</v>
      </c>
      <c r="N180" s="640">
        <v>52.217429119397167</v>
      </c>
      <c r="O180" s="640">
        <v>2.0042749347218733</v>
      </c>
      <c r="P180" s="640">
        <v>185.58174281281848</v>
      </c>
      <c r="Q180" s="640">
        <v>15.554343379011728</v>
      </c>
      <c r="R180" s="640">
        <v>0</v>
      </c>
      <c r="S180" s="648">
        <v>449.42060390656781</v>
      </c>
      <c r="U180" s="646" t="s">
        <v>80</v>
      </c>
      <c r="V180" s="640">
        <v>0</v>
      </c>
      <c r="W180" s="640">
        <v>0</v>
      </c>
      <c r="X180" s="640">
        <v>1.2585168598114169</v>
      </c>
      <c r="Y180" s="640">
        <v>24.208168890995722</v>
      </c>
      <c r="Z180" s="640">
        <v>0</v>
      </c>
      <c r="AA180" s="640">
        <v>0</v>
      </c>
      <c r="AB180" s="640">
        <v>64.793825414524548</v>
      </c>
      <c r="AC180" s="640">
        <v>0</v>
      </c>
      <c r="AD180" s="640">
        <v>0</v>
      </c>
      <c r="AE180" s="640">
        <v>7.6446849129460164</v>
      </c>
      <c r="AF180" s="640">
        <v>71.984931036617454</v>
      </c>
      <c r="AG180" s="640">
        <v>3.153558114778761</v>
      </c>
      <c r="AH180" s="640">
        <v>153.74527198137548</v>
      </c>
      <c r="AI180" s="640">
        <v>35.336807466581455</v>
      </c>
      <c r="AJ180" s="640">
        <v>0</v>
      </c>
      <c r="AK180" s="648">
        <v>362.12576467763085</v>
      </c>
    </row>
    <row r="181" spans="3:37" x14ac:dyDescent="0.2">
      <c r="C181" s="646" t="s">
        <v>81</v>
      </c>
      <c r="D181" s="640">
        <v>0</v>
      </c>
      <c r="E181" s="640">
        <v>0</v>
      </c>
      <c r="F181" s="640">
        <v>7.1130915409553364</v>
      </c>
      <c r="G181" s="640">
        <v>63.054682395398032</v>
      </c>
      <c r="H181" s="640">
        <v>0</v>
      </c>
      <c r="I181" s="640">
        <v>0</v>
      </c>
      <c r="J181" s="640">
        <v>3.2976998041276677</v>
      </c>
      <c r="K181" s="640">
        <v>2.5104122720965388E-2</v>
      </c>
      <c r="L181" s="640">
        <v>0</v>
      </c>
      <c r="M181" s="640">
        <v>1.2868302529673068</v>
      </c>
      <c r="N181" s="640">
        <v>8.6154760361565579</v>
      </c>
      <c r="O181" s="640">
        <v>0.75786341807650337</v>
      </c>
      <c r="P181" s="640">
        <v>137.18962935697431</v>
      </c>
      <c r="Q181" s="640">
        <v>3.6903307099586842</v>
      </c>
      <c r="R181" s="640">
        <v>0</v>
      </c>
      <c r="S181" s="648">
        <v>225.03070763733538</v>
      </c>
      <c r="U181" s="646" t="s">
        <v>81</v>
      </c>
      <c r="V181" s="640">
        <v>0</v>
      </c>
      <c r="W181" s="640">
        <v>0</v>
      </c>
      <c r="X181" s="640">
        <v>2.1697022188790429</v>
      </c>
      <c r="Y181" s="640">
        <v>20.911765460712612</v>
      </c>
      <c r="Z181" s="640">
        <v>0</v>
      </c>
      <c r="AA181" s="640">
        <v>0</v>
      </c>
      <c r="AB181" s="640">
        <v>7.3285872023111214</v>
      </c>
      <c r="AC181" s="640">
        <v>2.5104122720965388E-2</v>
      </c>
      <c r="AD181" s="640">
        <v>0</v>
      </c>
      <c r="AE181" s="640">
        <v>6.6037154086460879</v>
      </c>
      <c r="AF181" s="640">
        <v>14.491680733710758</v>
      </c>
      <c r="AG181" s="640">
        <v>1.6347019702159422</v>
      </c>
      <c r="AH181" s="640">
        <v>117.90366143236871</v>
      </c>
      <c r="AI181" s="640">
        <v>11.11285639628878</v>
      </c>
      <c r="AJ181" s="640">
        <v>0</v>
      </c>
      <c r="AK181" s="648">
        <v>182.18177494585402</v>
      </c>
    </row>
    <row r="182" spans="3:37" x14ac:dyDescent="0.2">
      <c r="C182" s="646" t="s">
        <v>82</v>
      </c>
      <c r="D182" s="640">
        <v>0</v>
      </c>
      <c r="E182" s="640">
        <v>0</v>
      </c>
      <c r="F182" s="640">
        <v>30.218764596795413</v>
      </c>
      <c r="G182" s="640">
        <v>1.4924386728389218</v>
      </c>
      <c r="H182" s="640">
        <v>0</v>
      </c>
      <c r="I182" s="640">
        <v>0</v>
      </c>
      <c r="J182" s="640">
        <v>3.2225859194218685</v>
      </c>
      <c r="K182" s="640">
        <v>0</v>
      </c>
      <c r="L182" s="640">
        <v>2.9019247412329854</v>
      </c>
      <c r="M182" s="640">
        <v>3.0457932098753505E-2</v>
      </c>
      <c r="N182" s="640">
        <v>0</v>
      </c>
      <c r="O182" s="640">
        <v>7.4767074498679406E-2</v>
      </c>
      <c r="P182" s="640">
        <v>6.6555854929198803</v>
      </c>
      <c r="Q182" s="640">
        <v>0</v>
      </c>
      <c r="R182" s="640">
        <v>0</v>
      </c>
      <c r="S182" s="648">
        <v>44.596524429806507</v>
      </c>
      <c r="U182" s="646" t="s">
        <v>82</v>
      </c>
      <c r="V182" s="640">
        <v>0</v>
      </c>
      <c r="W182" s="640">
        <v>0</v>
      </c>
      <c r="X182" s="640">
        <v>13.476198254352189</v>
      </c>
      <c r="Y182" s="640">
        <v>1.4718796614135594</v>
      </c>
      <c r="Z182" s="640">
        <v>0</v>
      </c>
      <c r="AA182" s="640">
        <v>0</v>
      </c>
      <c r="AB182" s="640">
        <v>3.2225859194218685</v>
      </c>
      <c r="AC182" s="640">
        <v>0</v>
      </c>
      <c r="AD182" s="640">
        <v>23.463730160224294</v>
      </c>
      <c r="AE182" s="640">
        <v>0.46480410360428193</v>
      </c>
      <c r="AF182" s="640">
        <v>0</v>
      </c>
      <c r="AG182" s="640">
        <v>1.1655332190637568</v>
      </c>
      <c r="AH182" s="640">
        <v>6.7433697745475678</v>
      </c>
      <c r="AI182" s="640">
        <v>0</v>
      </c>
      <c r="AJ182" s="640">
        <v>0.29485655237537339</v>
      </c>
      <c r="AK182" s="648">
        <v>50.302957645002891</v>
      </c>
    </row>
    <row r="183" spans="3:37" x14ac:dyDescent="0.2">
      <c r="C183" s="646" t="s">
        <v>354</v>
      </c>
      <c r="D183" s="640">
        <v>0</v>
      </c>
      <c r="E183" s="640">
        <v>0</v>
      </c>
      <c r="F183" s="640">
        <v>0</v>
      </c>
      <c r="G183" s="640">
        <v>0</v>
      </c>
      <c r="H183" s="640">
        <v>0</v>
      </c>
      <c r="I183" s="640">
        <v>0</v>
      </c>
      <c r="J183" s="640">
        <v>0</v>
      </c>
      <c r="K183" s="640">
        <v>0</v>
      </c>
      <c r="L183" s="640">
        <v>0</v>
      </c>
      <c r="M183" s="640">
        <v>0</v>
      </c>
      <c r="N183" s="640">
        <v>0</v>
      </c>
      <c r="O183" s="640">
        <v>0</v>
      </c>
      <c r="P183" s="640">
        <v>0.27899999999999997</v>
      </c>
      <c r="Q183" s="640">
        <v>0</v>
      </c>
      <c r="R183" s="640">
        <v>0</v>
      </c>
      <c r="S183" s="648">
        <v>0.27899999999999997</v>
      </c>
      <c r="U183" s="646" t="s">
        <v>354</v>
      </c>
      <c r="V183" s="640">
        <v>0</v>
      </c>
      <c r="W183" s="640">
        <v>0</v>
      </c>
      <c r="X183" s="640">
        <v>0</v>
      </c>
      <c r="Y183" s="640">
        <v>0</v>
      </c>
      <c r="Z183" s="640">
        <v>0</v>
      </c>
      <c r="AA183" s="640">
        <v>0</v>
      </c>
      <c r="AB183" s="640">
        <v>0</v>
      </c>
      <c r="AC183" s="640">
        <v>0</v>
      </c>
      <c r="AD183" s="640">
        <v>0</v>
      </c>
      <c r="AE183" s="640">
        <v>0</v>
      </c>
      <c r="AF183" s="640">
        <v>0</v>
      </c>
      <c r="AG183" s="640">
        <v>0</v>
      </c>
      <c r="AH183" s="640">
        <v>1.92</v>
      </c>
      <c r="AI183" s="640">
        <v>0</v>
      </c>
      <c r="AJ183" s="640">
        <v>0</v>
      </c>
      <c r="AK183" s="648">
        <v>1.92</v>
      </c>
    </row>
    <row r="184" spans="3:37" x14ac:dyDescent="0.2">
      <c r="C184" s="644" t="s">
        <v>83</v>
      </c>
      <c r="D184" s="645">
        <v>5.7766123047996905</v>
      </c>
      <c r="E184" s="645">
        <v>0</v>
      </c>
      <c r="F184" s="645">
        <v>346.19510684816078</v>
      </c>
      <c r="G184" s="645">
        <v>276.57916261714774</v>
      </c>
      <c r="H184" s="645">
        <v>0</v>
      </c>
      <c r="I184" s="645">
        <v>0</v>
      </c>
      <c r="J184" s="645">
        <v>113.50572884864343</v>
      </c>
      <c r="K184" s="645">
        <v>1.7926789890585739</v>
      </c>
      <c r="L184" s="645">
        <v>29.587741132730038</v>
      </c>
      <c r="M184" s="645">
        <v>5.6630861835909059</v>
      </c>
      <c r="N184" s="645">
        <v>60.832905155553725</v>
      </c>
      <c r="O184" s="645">
        <v>2.8372848935198816</v>
      </c>
      <c r="P184" s="645">
        <v>496.49341447572323</v>
      </c>
      <c r="Q184" s="645">
        <v>35.336417016114851</v>
      </c>
      <c r="R184" s="645">
        <v>1.9451540734815074</v>
      </c>
      <c r="S184" s="645">
        <v>1376.5452925385248</v>
      </c>
      <c r="U184" s="644" t="s">
        <v>83</v>
      </c>
      <c r="V184" s="645">
        <v>1.065232959954733</v>
      </c>
      <c r="W184" s="645">
        <v>0</v>
      </c>
      <c r="X184" s="645">
        <v>123.73641532901047</v>
      </c>
      <c r="Y184" s="645">
        <v>121.91057745567808</v>
      </c>
      <c r="Z184" s="645">
        <v>0</v>
      </c>
      <c r="AA184" s="645">
        <v>0</v>
      </c>
      <c r="AB184" s="645">
        <v>91.239635035141916</v>
      </c>
      <c r="AC184" s="645">
        <v>5.4913450563703794</v>
      </c>
      <c r="AD184" s="645">
        <v>77.627888306523744</v>
      </c>
      <c r="AE184" s="645">
        <v>38.675835544014738</v>
      </c>
      <c r="AF184" s="645">
        <v>86.476611770328219</v>
      </c>
      <c r="AG184" s="645">
        <v>5.9541727702812857</v>
      </c>
      <c r="AH184" s="645">
        <v>493.03007244229349</v>
      </c>
      <c r="AI184" s="645">
        <v>68.72625481251545</v>
      </c>
      <c r="AJ184" s="645">
        <v>10.334365624475881</v>
      </c>
      <c r="AK184" s="645">
        <v>1124.2684071065887</v>
      </c>
    </row>
    <row r="185" spans="3:37" x14ac:dyDescent="0.2">
      <c r="C185" s="639" t="s">
        <v>84</v>
      </c>
      <c r="D185" s="640">
        <v>0</v>
      </c>
      <c r="E185" s="640">
        <v>0</v>
      </c>
      <c r="F185" s="640">
        <v>111.73719287700069</v>
      </c>
      <c r="G185" s="640">
        <v>11.878700409877391</v>
      </c>
      <c r="H185" s="640">
        <v>0</v>
      </c>
      <c r="I185" s="640">
        <v>0</v>
      </c>
      <c r="J185" s="640">
        <v>0</v>
      </c>
      <c r="K185" s="640">
        <v>0</v>
      </c>
      <c r="L185" s="640">
        <v>0</v>
      </c>
      <c r="M185" s="640">
        <v>0</v>
      </c>
      <c r="N185" s="640">
        <v>0</v>
      </c>
      <c r="O185" s="640">
        <v>0</v>
      </c>
      <c r="P185" s="640">
        <v>0</v>
      </c>
      <c r="Q185" s="640">
        <v>0</v>
      </c>
      <c r="R185" s="640">
        <v>1.43076906409107</v>
      </c>
      <c r="S185" s="648">
        <v>125.04666235096916</v>
      </c>
      <c r="U185" s="639" t="s">
        <v>84</v>
      </c>
      <c r="V185" s="640">
        <v>0</v>
      </c>
      <c r="W185" s="640">
        <v>0</v>
      </c>
      <c r="X185" s="640">
        <v>90.362960784166091</v>
      </c>
      <c r="Y185" s="640">
        <v>1.2615947910933976</v>
      </c>
      <c r="Z185" s="640">
        <v>0</v>
      </c>
      <c r="AA185" s="640">
        <v>0</v>
      </c>
      <c r="AB185" s="640">
        <v>0</v>
      </c>
      <c r="AC185" s="640">
        <v>0</v>
      </c>
      <c r="AD185" s="640">
        <v>14.679117373046875</v>
      </c>
      <c r="AE185" s="640">
        <v>0</v>
      </c>
      <c r="AF185" s="640">
        <v>0</v>
      </c>
      <c r="AG185" s="640">
        <v>0</v>
      </c>
      <c r="AH185" s="640">
        <v>0</v>
      </c>
      <c r="AI185" s="640">
        <v>0</v>
      </c>
      <c r="AJ185" s="640">
        <v>10.026029063720703</v>
      </c>
      <c r="AK185" s="648">
        <v>116.32970201202707</v>
      </c>
    </row>
    <row r="186" spans="3:37" x14ac:dyDescent="0.2">
      <c r="C186" s="644" t="s">
        <v>85</v>
      </c>
      <c r="D186" s="645">
        <v>5.7766123047996905</v>
      </c>
      <c r="E186" s="645">
        <v>0</v>
      </c>
      <c r="F186" s="645">
        <v>457.9322997251615</v>
      </c>
      <c r="G186" s="645">
        <v>288.45786302702516</v>
      </c>
      <c r="H186" s="645">
        <v>0</v>
      </c>
      <c r="I186" s="645">
        <v>0</v>
      </c>
      <c r="J186" s="645">
        <v>113.50572884864343</v>
      </c>
      <c r="K186" s="645">
        <v>1.7926789890585739</v>
      </c>
      <c r="L186" s="645">
        <v>29.587741132730038</v>
      </c>
      <c r="M186" s="645">
        <v>5.6630861835909059</v>
      </c>
      <c r="N186" s="645">
        <v>60.832905155553725</v>
      </c>
      <c r="O186" s="645">
        <v>2.8372848935198816</v>
      </c>
      <c r="P186" s="645">
        <v>496.49341447572323</v>
      </c>
      <c r="Q186" s="645">
        <v>35.336417016114851</v>
      </c>
      <c r="R186" s="645">
        <v>3.3759231375725776</v>
      </c>
      <c r="S186" s="645">
        <v>1501.5919548894938</v>
      </c>
      <c r="U186" s="644" t="s">
        <v>85</v>
      </c>
      <c r="V186" s="645">
        <v>1.065232959954733</v>
      </c>
      <c r="W186" s="645">
        <v>0</v>
      </c>
      <c r="X186" s="645">
        <v>214.09937611317656</v>
      </c>
      <c r="Y186" s="645">
        <v>123.17217224677148</v>
      </c>
      <c r="Z186" s="645">
        <v>0</v>
      </c>
      <c r="AA186" s="645">
        <v>0</v>
      </c>
      <c r="AB186" s="645">
        <v>91.239635035141916</v>
      </c>
      <c r="AC186" s="645">
        <v>5.4913450563703794</v>
      </c>
      <c r="AD186" s="645">
        <v>92.307005679570622</v>
      </c>
      <c r="AE186" s="645">
        <v>38.675835544014738</v>
      </c>
      <c r="AF186" s="645">
        <v>86.476611770328219</v>
      </c>
      <c r="AG186" s="645">
        <v>5.9541727702812857</v>
      </c>
      <c r="AH186" s="645">
        <v>493.03007244229349</v>
      </c>
      <c r="AI186" s="645">
        <v>68.72625481251545</v>
      </c>
      <c r="AJ186" s="645">
        <v>20.360394688196585</v>
      </c>
      <c r="AK186" s="645">
        <v>1240.5981091186156</v>
      </c>
    </row>
    <row r="187" spans="3:37" x14ac:dyDescent="0.2">
      <c r="C187" s="634"/>
      <c r="D187" s="634"/>
      <c r="E187" s="634"/>
      <c r="F187" s="634"/>
      <c r="G187" s="634"/>
      <c r="H187" s="634"/>
      <c r="I187" s="634"/>
      <c r="J187" s="634"/>
      <c r="K187" s="634"/>
      <c r="L187" s="634"/>
      <c r="M187" s="634"/>
      <c r="N187" s="634"/>
      <c r="O187" s="634"/>
      <c r="P187" s="634"/>
      <c r="Q187" s="634"/>
      <c r="R187" s="634"/>
      <c r="S187" s="634"/>
      <c r="U187" s="634"/>
      <c r="V187" s="634"/>
      <c r="W187" s="634"/>
      <c r="X187" s="634"/>
      <c r="Y187" s="634"/>
      <c r="Z187" s="634"/>
      <c r="AA187" s="634"/>
      <c r="AB187" s="634"/>
      <c r="AC187" s="634"/>
      <c r="AD187" s="634"/>
      <c r="AE187" s="634"/>
      <c r="AF187" s="634"/>
      <c r="AG187" s="634"/>
      <c r="AH187" s="634"/>
      <c r="AI187" s="634"/>
      <c r="AJ187" s="634"/>
      <c r="AK187" s="634"/>
    </row>
    <row r="188" spans="3:37" ht="22.5" x14ac:dyDescent="0.3">
      <c r="C188" s="759" t="s">
        <v>360</v>
      </c>
      <c r="D188" s="759"/>
      <c r="E188" s="759"/>
      <c r="F188" s="759"/>
      <c r="G188" s="759"/>
      <c r="H188" s="759"/>
      <c r="I188" s="759"/>
      <c r="J188" s="759"/>
      <c r="K188" s="759"/>
      <c r="L188" s="759"/>
      <c r="M188" s="759"/>
      <c r="N188" s="759"/>
      <c r="O188" s="759"/>
      <c r="P188" s="759"/>
      <c r="Q188" s="759"/>
      <c r="R188" s="759"/>
      <c r="S188" s="759"/>
      <c r="U188" s="759" t="s">
        <v>360</v>
      </c>
      <c r="V188" s="759"/>
      <c r="W188" s="759"/>
      <c r="X188" s="759"/>
      <c r="Y188" s="759"/>
      <c r="Z188" s="759"/>
      <c r="AA188" s="759"/>
      <c r="AB188" s="759"/>
      <c r="AC188" s="759"/>
      <c r="AD188" s="759"/>
      <c r="AE188" s="759"/>
      <c r="AF188" s="759"/>
      <c r="AG188" s="759"/>
      <c r="AH188" s="759"/>
      <c r="AI188" s="759"/>
      <c r="AJ188" s="759"/>
      <c r="AK188" s="759"/>
    </row>
    <row r="189" spans="3:37" x14ac:dyDescent="0.2">
      <c r="C189" s="634"/>
      <c r="D189" s="634"/>
      <c r="E189" s="634"/>
      <c r="F189" s="634"/>
      <c r="G189" s="634"/>
      <c r="H189" s="634"/>
      <c r="I189" s="634"/>
      <c r="J189" s="634"/>
      <c r="K189" s="634"/>
      <c r="L189" s="634"/>
      <c r="M189" s="634"/>
      <c r="N189" s="634"/>
      <c r="O189" s="634"/>
      <c r="P189" s="634"/>
      <c r="Q189" s="634"/>
      <c r="R189" s="634"/>
      <c r="S189" s="634"/>
      <c r="U189" s="634"/>
      <c r="V189" s="634"/>
      <c r="W189" s="634"/>
      <c r="X189" s="634"/>
      <c r="Y189" s="634"/>
      <c r="Z189" s="634"/>
      <c r="AA189" s="634"/>
      <c r="AB189" s="634"/>
      <c r="AC189" s="634"/>
      <c r="AD189" s="634"/>
      <c r="AE189" s="634"/>
      <c r="AF189" s="634"/>
      <c r="AG189" s="634"/>
      <c r="AH189" s="634"/>
      <c r="AI189" s="634"/>
      <c r="AJ189" s="634"/>
      <c r="AK189" s="634"/>
    </row>
    <row r="190" spans="3:37" ht="12.95" customHeight="1" x14ac:dyDescent="0.2">
      <c r="C190" s="758" t="s">
        <v>128</v>
      </c>
      <c r="D190" s="757" t="s">
        <v>42</v>
      </c>
      <c r="E190" s="757" t="s">
        <v>52</v>
      </c>
      <c r="F190" s="757" t="s">
        <v>53</v>
      </c>
      <c r="G190" s="757" t="s">
        <v>32</v>
      </c>
      <c r="H190" s="757" t="s">
        <v>20</v>
      </c>
      <c r="I190" s="757" t="s">
        <v>55</v>
      </c>
      <c r="J190" s="757" t="s">
        <v>56</v>
      </c>
      <c r="K190" s="757"/>
      <c r="L190" s="757"/>
      <c r="M190" s="757"/>
      <c r="N190" s="757"/>
      <c r="O190" s="757"/>
      <c r="P190" s="757" t="s">
        <v>57</v>
      </c>
      <c r="Q190" s="757" t="s">
        <v>58</v>
      </c>
      <c r="R190" s="757" t="s">
        <v>31</v>
      </c>
      <c r="S190" s="757" t="s">
        <v>10</v>
      </c>
      <c r="U190" s="758" t="s">
        <v>128</v>
      </c>
      <c r="V190" s="757" t="s">
        <v>42</v>
      </c>
      <c r="W190" s="757" t="s">
        <v>52</v>
      </c>
      <c r="X190" s="757" t="s">
        <v>53</v>
      </c>
      <c r="Y190" s="757" t="s">
        <v>32</v>
      </c>
      <c r="Z190" s="757" t="s">
        <v>20</v>
      </c>
      <c r="AA190" s="757" t="s">
        <v>55</v>
      </c>
      <c r="AB190" s="757" t="s">
        <v>56</v>
      </c>
      <c r="AC190" s="757"/>
      <c r="AD190" s="757"/>
      <c r="AE190" s="757"/>
      <c r="AF190" s="757"/>
      <c r="AG190" s="757"/>
      <c r="AH190" s="757" t="s">
        <v>57</v>
      </c>
      <c r="AI190" s="757" t="s">
        <v>58</v>
      </c>
      <c r="AJ190" s="757" t="s">
        <v>31</v>
      </c>
      <c r="AK190" s="757" t="s">
        <v>10</v>
      </c>
    </row>
    <row r="191" spans="3:37" ht="56.25" x14ac:dyDescent="0.2">
      <c r="C191" s="758"/>
      <c r="D191" s="757"/>
      <c r="E191" s="757"/>
      <c r="F191" s="757"/>
      <c r="G191" s="757"/>
      <c r="H191" s="757"/>
      <c r="I191" s="757"/>
      <c r="J191" s="638" t="s">
        <v>335</v>
      </c>
      <c r="K191" s="638" t="s">
        <v>40</v>
      </c>
      <c r="L191" s="638" t="s">
        <v>343</v>
      </c>
      <c r="M191" s="638" t="s">
        <v>344</v>
      </c>
      <c r="N191" s="638" t="s">
        <v>345</v>
      </c>
      <c r="O191" s="638" t="s">
        <v>346</v>
      </c>
      <c r="P191" s="757"/>
      <c r="Q191" s="757"/>
      <c r="R191" s="757"/>
      <c r="S191" s="757"/>
      <c r="U191" s="758"/>
      <c r="V191" s="757"/>
      <c r="W191" s="757"/>
      <c r="X191" s="757"/>
      <c r="Y191" s="757"/>
      <c r="Z191" s="757"/>
      <c r="AA191" s="757"/>
      <c r="AB191" s="638" t="s">
        <v>335</v>
      </c>
      <c r="AC191" s="638" t="s">
        <v>40</v>
      </c>
      <c r="AD191" s="638" t="s">
        <v>343</v>
      </c>
      <c r="AE191" s="638" t="s">
        <v>344</v>
      </c>
      <c r="AF191" s="638" t="s">
        <v>345</v>
      </c>
      <c r="AG191" s="638" t="s">
        <v>346</v>
      </c>
      <c r="AH191" s="757"/>
      <c r="AI191" s="757"/>
      <c r="AJ191" s="757"/>
      <c r="AK191" s="757"/>
    </row>
    <row r="192" spans="3:37" x14ac:dyDescent="0.2">
      <c r="C192" s="639" t="s">
        <v>59</v>
      </c>
      <c r="D192" s="640">
        <v>0</v>
      </c>
      <c r="E192" s="641">
        <v>0</v>
      </c>
      <c r="F192" s="641">
        <v>0</v>
      </c>
      <c r="G192" s="640">
        <v>0</v>
      </c>
      <c r="H192" s="641">
        <v>959.09090909090924</v>
      </c>
      <c r="I192" s="641">
        <v>265.54666314840352</v>
      </c>
      <c r="J192" s="641">
        <v>188.6372712469306</v>
      </c>
      <c r="K192" s="641">
        <v>20.835963621356942</v>
      </c>
      <c r="L192" s="641">
        <v>0.48646764865129044</v>
      </c>
      <c r="M192" s="641">
        <v>0.15840693111613638</v>
      </c>
      <c r="N192" s="641">
        <v>62.897832024028709</v>
      </c>
      <c r="O192" s="641">
        <v>11.865462020109925</v>
      </c>
      <c r="P192" s="642">
        <v>0</v>
      </c>
      <c r="Q192" s="641">
        <v>0</v>
      </c>
      <c r="R192" s="641">
        <v>0</v>
      </c>
      <c r="S192" s="643">
        <v>1509.5189757315065</v>
      </c>
      <c r="U192" s="639" t="s">
        <v>59</v>
      </c>
      <c r="V192" s="640">
        <v>0</v>
      </c>
      <c r="W192" s="641">
        <v>0</v>
      </c>
      <c r="X192" s="641">
        <v>0</v>
      </c>
      <c r="Y192" s="640">
        <v>0</v>
      </c>
      <c r="Z192" s="641">
        <v>919.39393939393949</v>
      </c>
      <c r="AA192" s="641">
        <v>300.16666314840353</v>
      </c>
      <c r="AB192" s="641">
        <v>196.07210414009427</v>
      </c>
      <c r="AC192" s="641">
        <v>37.690284018354092</v>
      </c>
      <c r="AD192" s="641">
        <v>0.48646764865129044</v>
      </c>
      <c r="AE192" s="641">
        <v>0.15840693111613638</v>
      </c>
      <c r="AF192" s="641">
        <v>92.901000398225491</v>
      </c>
      <c r="AG192" s="641">
        <v>23.979405132943342</v>
      </c>
      <c r="AH192" s="642">
        <v>0</v>
      </c>
      <c r="AI192" s="641">
        <v>0</v>
      </c>
      <c r="AJ192" s="641">
        <v>0</v>
      </c>
      <c r="AK192" s="643">
        <v>1570.8482708117278</v>
      </c>
    </row>
    <row r="193" spans="3:37" x14ac:dyDescent="0.2">
      <c r="C193" s="639" t="s">
        <v>60</v>
      </c>
      <c r="D193" s="640">
        <v>48.037640466799544</v>
      </c>
      <c r="E193" s="641">
        <v>504.19228646673599</v>
      </c>
      <c r="F193" s="641">
        <v>68.527294255032075</v>
      </c>
      <c r="G193" s="640">
        <v>332.96357284387591</v>
      </c>
      <c r="H193" s="641">
        <v>0</v>
      </c>
      <c r="I193" s="641">
        <v>0</v>
      </c>
      <c r="J193" s="641">
        <v>4.4041420336435353</v>
      </c>
      <c r="K193" s="641">
        <v>0</v>
      </c>
      <c r="L193" s="641">
        <v>2.4215969020745125</v>
      </c>
      <c r="M193" s="641">
        <v>0</v>
      </c>
      <c r="N193" s="641">
        <v>0</v>
      </c>
      <c r="O193" s="641">
        <v>0</v>
      </c>
      <c r="P193" s="642">
        <v>0</v>
      </c>
      <c r="Q193" s="641">
        <v>0</v>
      </c>
      <c r="R193" s="641">
        <v>0</v>
      </c>
      <c r="S193" s="643">
        <v>960.54653296816161</v>
      </c>
      <c r="U193" s="639" t="s">
        <v>60</v>
      </c>
      <c r="V193" s="640">
        <v>7.5315222042138927</v>
      </c>
      <c r="W193" s="641">
        <v>266.28302835422375</v>
      </c>
      <c r="X193" s="641">
        <v>14.660534841020075</v>
      </c>
      <c r="Y193" s="640">
        <v>136.19700966140181</v>
      </c>
      <c r="Z193" s="641">
        <v>0</v>
      </c>
      <c r="AA193" s="641">
        <v>0</v>
      </c>
      <c r="AB193" s="641">
        <v>4.4041420336435353</v>
      </c>
      <c r="AC193" s="641">
        <v>0</v>
      </c>
      <c r="AD193" s="641">
        <v>2.4215969020745125</v>
      </c>
      <c r="AE193" s="641">
        <v>0</v>
      </c>
      <c r="AF193" s="641">
        <v>0</v>
      </c>
      <c r="AG193" s="641">
        <v>0</v>
      </c>
      <c r="AH193" s="642">
        <v>0</v>
      </c>
      <c r="AI193" s="641">
        <v>0</v>
      </c>
      <c r="AJ193" s="641">
        <v>0</v>
      </c>
      <c r="AK193" s="643">
        <v>431.49783399657758</v>
      </c>
    </row>
    <row r="194" spans="3:37" x14ac:dyDescent="0.2">
      <c r="C194" s="639" t="s">
        <v>61</v>
      </c>
      <c r="D194" s="640">
        <v>0</v>
      </c>
      <c r="E194" s="641">
        <v>0</v>
      </c>
      <c r="F194" s="641">
        <v>0</v>
      </c>
      <c r="G194" s="640">
        <v>0</v>
      </c>
      <c r="H194" s="641">
        <v>0</v>
      </c>
      <c r="I194" s="641">
        <v>0</v>
      </c>
      <c r="J194" s="641">
        <v>0</v>
      </c>
      <c r="K194" s="641">
        <v>0</v>
      </c>
      <c r="L194" s="641">
        <v>0</v>
      </c>
      <c r="M194" s="641">
        <v>0</v>
      </c>
      <c r="N194" s="641">
        <v>0</v>
      </c>
      <c r="O194" s="641">
        <v>0</v>
      </c>
      <c r="P194" s="642">
        <v>-31.055970799843635</v>
      </c>
      <c r="Q194" s="641">
        <v>0</v>
      </c>
      <c r="R194" s="641">
        <v>0</v>
      </c>
      <c r="S194" s="643">
        <v>-31.055970799843635</v>
      </c>
      <c r="U194" s="639" t="s">
        <v>61</v>
      </c>
      <c r="V194" s="640">
        <v>0</v>
      </c>
      <c r="W194" s="641">
        <v>0</v>
      </c>
      <c r="X194" s="641">
        <v>-20.238165107819981</v>
      </c>
      <c r="Y194" s="640">
        <v>0</v>
      </c>
      <c r="Z194" s="641">
        <v>0</v>
      </c>
      <c r="AA194" s="641">
        <v>0</v>
      </c>
      <c r="AB194" s="641">
        <v>0</v>
      </c>
      <c r="AC194" s="641">
        <v>0</v>
      </c>
      <c r="AD194" s="641">
        <v>0</v>
      </c>
      <c r="AE194" s="641">
        <v>0</v>
      </c>
      <c r="AF194" s="641">
        <v>0</v>
      </c>
      <c r="AG194" s="641">
        <v>0</v>
      </c>
      <c r="AH194" s="642">
        <v>-12.632253344037395</v>
      </c>
      <c r="AI194" s="641">
        <v>0</v>
      </c>
      <c r="AJ194" s="641">
        <v>0</v>
      </c>
      <c r="AK194" s="643">
        <v>-32.870418451857375</v>
      </c>
    </row>
    <row r="195" spans="3:37" x14ac:dyDescent="0.2">
      <c r="C195" s="639" t="s">
        <v>62</v>
      </c>
      <c r="D195" s="640">
        <v>0</v>
      </c>
      <c r="E195" s="641">
        <v>0</v>
      </c>
      <c r="F195" s="641">
        <v>-15.855905256620872</v>
      </c>
      <c r="G195" s="640">
        <v>0</v>
      </c>
      <c r="H195" s="641">
        <v>0</v>
      </c>
      <c r="I195" s="641">
        <v>0</v>
      </c>
      <c r="J195" s="641">
        <v>0</v>
      </c>
      <c r="K195" s="641">
        <v>0</v>
      </c>
      <c r="L195" s="641">
        <v>0</v>
      </c>
      <c r="M195" s="641">
        <v>0</v>
      </c>
      <c r="N195" s="641">
        <v>0</v>
      </c>
      <c r="O195" s="641">
        <v>0</v>
      </c>
      <c r="P195" s="642">
        <v>0</v>
      </c>
      <c r="Q195" s="641">
        <v>0</v>
      </c>
      <c r="R195" s="641">
        <v>0</v>
      </c>
      <c r="S195" s="643">
        <v>-15.855905256620872</v>
      </c>
      <c r="U195" s="639" t="s">
        <v>62</v>
      </c>
      <c r="V195" s="640">
        <v>0</v>
      </c>
      <c r="W195" s="641">
        <v>0</v>
      </c>
      <c r="X195" s="641">
        <v>-10.068616817390659</v>
      </c>
      <c r="Y195" s="640">
        <v>-2.2904268439326967</v>
      </c>
      <c r="Z195" s="641">
        <v>0</v>
      </c>
      <c r="AA195" s="641">
        <v>0</v>
      </c>
      <c r="AB195" s="641">
        <v>0</v>
      </c>
      <c r="AC195" s="641">
        <v>0</v>
      </c>
      <c r="AD195" s="641">
        <v>0</v>
      </c>
      <c r="AE195" s="641">
        <v>-0.98161150454258428</v>
      </c>
      <c r="AF195" s="641">
        <v>0</v>
      </c>
      <c r="AG195" s="641">
        <v>0</v>
      </c>
      <c r="AH195" s="642">
        <v>0</v>
      </c>
      <c r="AI195" s="641">
        <v>0</v>
      </c>
      <c r="AJ195" s="641">
        <v>0</v>
      </c>
      <c r="AK195" s="643">
        <v>-13.34065516586594</v>
      </c>
    </row>
    <row r="196" spans="3:37" x14ac:dyDescent="0.2">
      <c r="C196" s="639" t="s">
        <v>63</v>
      </c>
      <c r="D196" s="640">
        <v>0</v>
      </c>
      <c r="E196" s="641">
        <v>0</v>
      </c>
      <c r="F196" s="641">
        <v>-87.092524368241456</v>
      </c>
      <c r="G196" s="640">
        <v>0</v>
      </c>
      <c r="H196" s="641">
        <v>0</v>
      </c>
      <c r="I196" s="641">
        <v>0</v>
      </c>
      <c r="J196" s="641">
        <v>0</v>
      </c>
      <c r="K196" s="641">
        <v>0</v>
      </c>
      <c r="L196" s="641">
        <v>-0.90133117758770376</v>
      </c>
      <c r="M196" s="641">
        <v>0</v>
      </c>
      <c r="N196" s="641">
        <v>0</v>
      </c>
      <c r="O196" s="641">
        <v>0</v>
      </c>
      <c r="P196" s="642">
        <v>0</v>
      </c>
      <c r="Q196" s="641">
        <v>0</v>
      </c>
      <c r="R196" s="641">
        <v>0</v>
      </c>
      <c r="S196" s="643">
        <v>-87.993855545829163</v>
      </c>
      <c r="U196" s="639" t="s">
        <v>63</v>
      </c>
      <c r="V196" s="640">
        <v>0</v>
      </c>
      <c r="W196" s="641">
        <v>0</v>
      </c>
      <c r="X196" s="641">
        <v>-58.231828596071985</v>
      </c>
      <c r="Y196" s="640">
        <v>0</v>
      </c>
      <c r="Z196" s="641">
        <v>0</v>
      </c>
      <c r="AA196" s="641">
        <v>0</v>
      </c>
      <c r="AB196" s="641">
        <v>0</v>
      </c>
      <c r="AC196" s="641">
        <v>0</v>
      </c>
      <c r="AD196" s="641">
        <v>-23.991898740742837</v>
      </c>
      <c r="AE196" s="641">
        <v>0</v>
      </c>
      <c r="AF196" s="641">
        <v>0</v>
      </c>
      <c r="AG196" s="641">
        <v>0</v>
      </c>
      <c r="AH196" s="642">
        <v>0</v>
      </c>
      <c r="AI196" s="641">
        <v>0</v>
      </c>
      <c r="AJ196" s="641">
        <v>0</v>
      </c>
      <c r="AK196" s="643">
        <v>-82.223727336814818</v>
      </c>
    </row>
    <row r="197" spans="3:37" x14ac:dyDescent="0.2">
      <c r="C197" s="639" t="s">
        <v>64</v>
      </c>
      <c r="D197" s="640">
        <v>0</v>
      </c>
      <c r="E197" s="641">
        <v>0</v>
      </c>
      <c r="F197" s="641">
        <v>0</v>
      </c>
      <c r="G197" s="640">
        <v>0</v>
      </c>
      <c r="H197" s="641">
        <v>0</v>
      </c>
      <c r="I197" s="641">
        <v>0</v>
      </c>
      <c r="J197" s="641">
        <v>0</v>
      </c>
      <c r="K197" s="641">
        <v>0</v>
      </c>
      <c r="L197" s="641">
        <v>0</v>
      </c>
      <c r="M197" s="641">
        <v>0</v>
      </c>
      <c r="N197" s="641">
        <v>0</v>
      </c>
      <c r="O197" s="641">
        <v>0</v>
      </c>
      <c r="P197" s="642">
        <v>0</v>
      </c>
      <c r="Q197" s="641">
        <v>0</v>
      </c>
      <c r="R197" s="641">
        <v>0</v>
      </c>
      <c r="S197" s="643">
        <v>0</v>
      </c>
      <c r="U197" s="639" t="s">
        <v>64</v>
      </c>
      <c r="V197" s="640">
        <v>0</v>
      </c>
      <c r="W197" s="641">
        <v>0</v>
      </c>
      <c r="X197" s="641">
        <v>0</v>
      </c>
      <c r="Y197" s="640">
        <v>0</v>
      </c>
      <c r="Z197" s="641">
        <v>0</v>
      </c>
      <c r="AA197" s="641">
        <v>0</v>
      </c>
      <c r="AB197" s="641">
        <v>0</v>
      </c>
      <c r="AC197" s="641">
        <v>0</v>
      </c>
      <c r="AD197" s="641">
        <v>0</v>
      </c>
      <c r="AE197" s="641">
        <v>0</v>
      </c>
      <c r="AF197" s="641">
        <v>0</v>
      </c>
      <c r="AG197" s="641">
        <v>0</v>
      </c>
      <c r="AH197" s="642">
        <v>0</v>
      </c>
      <c r="AI197" s="641">
        <v>0</v>
      </c>
      <c r="AJ197" s="641">
        <v>0</v>
      </c>
      <c r="AK197" s="643">
        <v>0</v>
      </c>
    </row>
    <row r="198" spans="3:37" x14ac:dyDescent="0.2">
      <c r="C198" s="644" t="s">
        <v>65</v>
      </c>
      <c r="D198" s="645">
        <v>48.037640466799544</v>
      </c>
      <c r="E198" s="645">
        <v>504.19228646673599</v>
      </c>
      <c r="F198" s="645">
        <v>-34.42113536983026</v>
      </c>
      <c r="G198" s="645">
        <v>332.96357284387591</v>
      </c>
      <c r="H198" s="645">
        <v>959.09090909090924</v>
      </c>
      <c r="I198" s="645">
        <v>265.54666314840352</v>
      </c>
      <c r="J198" s="645">
        <v>193.04141328057412</v>
      </c>
      <c r="K198" s="645">
        <v>20.835963621356942</v>
      </c>
      <c r="L198" s="645">
        <v>2.0067333731380987</v>
      </c>
      <c r="M198" s="645">
        <v>0.15840693111613638</v>
      </c>
      <c r="N198" s="645">
        <v>62.897832024028709</v>
      </c>
      <c r="O198" s="645">
        <v>11.865462020109925</v>
      </c>
      <c r="P198" s="645">
        <v>-31.055970799843635</v>
      </c>
      <c r="Q198" s="645">
        <v>0</v>
      </c>
      <c r="R198" s="645">
        <v>0</v>
      </c>
      <c r="S198" s="645">
        <v>2335.159777097374</v>
      </c>
      <c r="U198" s="644" t="s">
        <v>65</v>
      </c>
      <c r="V198" s="645">
        <v>7.5315222042138927</v>
      </c>
      <c r="W198" s="645">
        <v>266.28302835422375</v>
      </c>
      <c r="X198" s="645">
        <v>-73.87807568026254</v>
      </c>
      <c r="Y198" s="645">
        <v>133.90658281746911</v>
      </c>
      <c r="Z198" s="645">
        <v>919.39393939393949</v>
      </c>
      <c r="AA198" s="645">
        <v>300.16666314840353</v>
      </c>
      <c r="AB198" s="645">
        <v>200.47624617373779</v>
      </c>
      <c r="AC198" s="645">
        <v>37.690284018354092</v>
      </c>
      <c r="AD198" s="645">
        <v>-21.083834190017033</v>
      </c>
      <c r="AE198" s="645">
        <v>-0.82320457342644793</v>
      </c>
      <c r="AF198" s="645">
        <v>92.901000398225491</v>
      </c>
      <c r="AG198" s="645">
        <v>23.979405132943342</v>
      </c>
      <c r="AH198" s="645">
        <v>-12.632253344037395</v>
      </c>
      <c r="AI198" s="645">
        <v>0</v>
      </c>
      <c r="AJ198" s="645">
        <v>0</v>
      </c>
      <c r="AK198" s="645">
        <v>1873.9113038537675</v>
      </c>
    </row>
    <row r="199" spans="3:37" x14ac:dyDescent="0.2">
      <c r="C199" s="634"/>
      <c r="D199" s="634">
        <v>0</v>
      </c>
      <c r="E199" s="634">
        <v>0</v>
      </c>
      <c r="F199" s="634">
        <v>0</v>
      </c>
      <c r="G199" s="634">
        <v>0</v>
      </c>
      <c r="H199" s="634">
        <v>0</v>
      </c>
      <c r="I199" s="634">
        <v>0</v>
      </c>
      <c r="J199" s="634">
        <v>0</v>
      </c>
      <c r="K199" s="634">
        <v>0</v>
      </c>
      <c r="L199" s="634">
        <v>0</v>
      </c>
      <c r="M199" s="634">
        <v>0</v>
      </c>
      <c r="N199" s="634">
        <v>0</v>
      </c>
      <c r="O199" s="634">
        <v>0</v>
      </c>
      <c r="P199" s="634">
        <v>0</v>
      </c>
      <c r="Q199" s="634">
        <v>0</v>
      </c>
      <c r="R199" s="634">
        <v>0</v>
      </c>
      <c r="S199" s="634">
        <v>0</v>
      </c>
      <c r="U199" s="634"/>
      <c r="V199" s="634">
        <v>0</v>
      </c>
      <c r="W199" s="634">
        <v>0</v>
      </c>
      <c r="X199" s="634">
        <v>0</v>
      </c>
      <c r="Y199" s="634">
        <v>0</v>
      </c>
      <c r="Z199" s="634">
        <v>0</v>
      </c>
      <c r="AA199" s="634">
        <v>0</v>
      </c>
      <c r="AB199" s="634">
        <v>0</v>
      </c>
      <c r="AC199" s="634">
        <v>0</v>
      </c>
      <c r="AD199" s="634">
        <v>0</v>
      </c>
      <c r="AE199" s="634">
        <v>0</v>
      </c>
      <c r="AF199" s="634">
        <v>0</v>
      </c>
      <c r="AG199" s="634">
        <v>0</v>
      </c>
      <c r="AH199" s="634">
        <v>0</v>
      </c>
      <c r="AI199" s="634">
        <v>0</v>
      </c>
      <c r="AJ199" s="634">
        <v>0</v>
      </c>
      <c r="AK199" s="634">
        <v>0</v>
      </c>
    </row>
    <row r="200" spans="3:37" x14ac:dyDescent="0.2">
      <c r="C200" s="646" t="s">
        <v>67</v>
      </c>
      <c r="D200" s="640">
        <v>0</v>
      </c>
      <c r="E200" s="647">
        <v>0</v>
      </c>
      <c r="F200" s="647">
        <v>0</v>
      </c>
      <c r="G200" s="640">
        <v>0</v>
      </c>
      <c r="H200" s="640">
        <v>0</v>
      </c>
      <c r="I200" s="640">
        <v>0</v>
      </c>
      <c r="J200" s="640">
        <v>0</v>
      </c>
      <c r="K200" s="640">
        <v>0</v>
      </c>
      <c r="L200" s="640">
        <v>0</v>
      </c>
      <c r="M200" s="640">
        <v>0</v>
      </c>
      <c r="N200" s="640">
        <v>0</v>
      </c>
      <c r="O200" s="640">
        <v>0</v>
      </c>
      <c r="P200" s="640">
        <v>0</v>
      </c>
      <c r="Q200" s="640">
        <v>0</v>
      </c>
      <c r="R200" s="640">
        <v>0</v>
      </c>
      <c r="S200" s="648">
        <v>0</v>
      </c>
      <c r="U200" s="646" t="s">
        <v>67</v>
      </c>
      <c r="V200" s="640">
        <v>0</v>
      </c>
      <c r="W200" s="647">
        <v>0</v>
      </c>
      <c r="X200" s="647">
        <v>0</v>
      </c>
      <c r="Y200" s="640">
        <v>0</v>
      </c>
      <c r="Z200" s="640">
        <v>0</v>
      </c>
      <c r="AA200" s="640">
        <v>0</v>
      </c>
      <c r="AB200" s="640">
        <v>0</v>
      </c>
      <c r="AC200" s="640">
        <v>0</v>
      </c>
      <c r="AD200" s="640">
        <v>0</v>
      </c>
      <c r="AE200" s="640">
        <v>0</v>
      </c>
      <c r="AF200" s="640">
        <v>0</v>
      </c>
      <c r="AG200" s="640">
        <v>0</v>
      </c>
      <c r="AH200" s="640">
        <v>0</v>
      </c>
      <c r="AI200" s="640">
        <v>0</v>
      </c>
      <c r="AJ200" s="640">
        <v>0</v>
      </c>
      <c r="AK200" s="648">
        <v>0</v>
      </c>
    </row>
    <row r="201" spans="3:37" x14ac:dyDescent="0.2">
      <c r="C201" s="646" t="s">
        <v>347</v>
      </c>
      <c r="D201" s="640">
        <v>2.8267856410252494</v>
      </c>
      <c r="E201" s="640">
        <v>0</v>
      </c>
      <c r="F201" s="640">
        <v>7.5217067848259731</v>
      </c>
      <c r="G201" s="640">
        <v>17.043478260869566</v>
      </c>
      <c r="H201" s="640">
        <v>959.09090909090924</v>
      </c>
      <c r="I201" s="640">
        <v>265.54666314840352</v>
      </c>
      <c r="J201" s="649">
        <v>29.657322749860491</v>
      </c>
      <c r="K201" s="649">
        <v>6.9984717304001904</v>
      </c>
      <c r="L201" s="649">
        <v>2.9080645507258027</v>
      </c>
      <c r="M201" s="649">
        <v>0.47316517381762646</v>
      </c>
      <c r="N201" s="649">
        <v>0</v>
      </c>
      <c r="O201" s="649">
        <v>6.9042102843702597</v>
      </c>
      <c r="P201" s="640">
        <v>-613.13903868039233</v>
      </c>
      <c r="Q201" s="640">
        <v>0</v>
      </c>
      <c r="R201" s="640">
        <v>0</v>
      </c>
      <c r="S201" s="648">
        <v>685.83173873481564</v>
      </c>
      <c r="U201" s="646" t="s">
        <v>347</v>
      </c>
      <c r="V201" s="640">
        <v>0.62631490545869017</v>
      </c>
      <c r="W201" s="640">
        <v>0</v>
      </c>
      <c r="X201" s="640">
        <v>3.6580704211896093</v>
      </c>
      <c r="Y201" s="640">
        <v>6.2086956521739127</v>
      </c>
      <c r="Z201" s="640">
        <v>919.39393939393949</v>
      </c>
      <c r="AA201" s="640">
        <v>300.16666314840353</v>
      </c>
      <c r="AB201" s="649">
        <v>23.86094386593884</v>
      </c>
      <c r="AC201" s="649">
        <v>5.6952120200596408</v>
      </c>
      <c r="AD201" s="649">
        <v>2.9080645507258027</v>
      </c>
      <c r="AE201" s="649">
        <v>2.7862086520784959</v>
      </c>
      <c r="AF201" s="649">
        <v>0</v>
      </c>
      <c r="AG201" s="649">
        <v>6.9042102843702597</v>
      </c>
      <c r="AH201" s="640">
        <v>-628.6590386803922</v>
      </c>
      <c r="AI201" s="640">
        <v>0</v>
      </c>
      <c r="AJ201" s="640">
        <v>4.7499999999999991</v>
      </c>
      <c r="AK201" s="648">
        <v>648.29928421394618</v>
      </c>
    </row>
    <row r="202" spans="3:37" x14ac:dyDescent="0.2">
      <c r="C202" s="646" t="s">
        <v>348</v>
      </c>
      <c r="D202" s="640">
        <v>0</v>
      </c>
      <c r="E202" s="640">
        <v>0</v>
      </c>
      <c r="F202" s="640">
        <v>0</v>
      </c>
      <c r="G202" s="640">
        <v>14.973464488470796</v>
      </c>
      <c r="H202" s="640">
        <v>0</v>
      </c>
      <c r="I202" s="640">
        <v>0</v>
      </c>
      <c r="J202" s="649">
        <v>12.61885930635281</v>
      </c>
      <c r="K202" s="649">
        <v>11.992989190910333</v>
      </c>
      <c r="L202" s="649">
        <v>0</v>
      </c>
      <c r="M202" s="649">
        <v>0.32007470171399477</v>
      </c>
      <c r="N202" s="649">
        <v>0</v>
      </c>
      <c r="O202" s="649">
        <v>2.1221335576886813</v>
      </c>
      <c r="P202" s="640">
        <v>0</v>
      </c>
      <c r="Q202" s="640">
        <v>-38.122859170635891</v>
      </c>
      <c r="R202" s="640">
        <v>0</v>
      </c>
      <c r="S202" s="648">
        <v>3.9046620745007217</v>
      </c>
      <c r="U202" s="646" t="s">
        <v>348</v>
      </c>
      <c r="V202" s="640">
        <v>0</v>
      </c>
      <c r="W202" s="640">
        <v>0</v>
      </c>
      <c r="X202" s="640">
        <v>0</v>
      </c>
      <c r="Y202" s="640">
        <v>11.236128743190402</v>
      </c>
      <c r="Z202" s="640">
        <v>0</v>
      </c>
      <c r="AA202" s="640">
        <v>0</v>
      </c>
      <c r="AB202" s="649">
        <v>28.835017835425074</v>
      </c>
      <c r="AC202" s="649">
        <v>26.276566272731909</v>
      </c>
      <c r="AD202" s="649">
        <v>0</v>
      </c>
      <c r="AE202" s="649">
        <v>4.8299775408676195</v>
      </c>
      <c r="AF202" s="649">
        <v>0</v>
      </c>
      <c r="AG202" s="649">
        <v>10.71495831218258</v>
      </c>
      <c r="AH202" s="640">
        <v>0</v>
      </c>
      <c r="AI202" s="640">
        <v>-75.331063655699538</v>
      </c>
      <c r="AJ202" s="640">
        <v>0</v>
      </c>
      <c r="AK202" s="648">
        <v>6.561585048698058</v>
      </c>
    </row>
    <row r="203" spans="3:37" x14ac:dyDescent="0.2">
      <c r="C203" s="646" t="s">
        <v>349</v>
      </c>
      <c r="D203" s="640">
        <v>0</v>
      </c>
      <c r="E203" s="640">
        <v>0</v>
      </c>
      <c r="F203" s="640">
        <v>0</v>
      </c>
      <c r="G203" s="640">
        <v>0</v>
      </c>
      <c r="H203" s="640">
        <v>0</v>
      </c>
      <c r="I203" s="640">
        <v>0</v>
      </c>
      <c r="J203" s="650">
        <v>7.1836152532588793</v>
      </c>
      <c r="K203" s="650">
        <v>0</v>
      </c>
      <c r="L203" s="650">
        <v>0</v>
      </c>
      <c r="M203" s="650">
        <v>-6.5550489185987271</v>
      </c>
      <c r="N203" s="650">
        <v>0</v>
      </c>
      <c r="O203" s="650">
        <v>0</v>
      </c>
      <c r="P203" s="640">
        <v>0</v>
      </c>
      <c r="Q203" s="640">
        <v>0</v>
      </c>
      <c r="R203" s="640">
        <v>0</v>
      </c>
      <c r="S203" s="648">
        <v>0.62856633466015222</v>
      </c>
      <c r="U203" s="646" t="s">
        <v>349</v>
      </c>
      <c r="V203" s="640">
        <v>0</v>
      </c>
      <c r="W203" s="640">
        <v>0</v>
      </c>
      <c r="X203" s="640">
        <v>0</v>
      </c>
      <c r="Y203" s="640">
        <v>0</v>
      </c>
      <c r="Z203" s="640">
        <v>0</v>
      </c>
      <c r="AA203" s="640">
        <v>0</v>
      </c>
      <c r="AB203" s="650">
        <v>63.436450079223192</v>
      </c>
      <c r="AC203" s="650">
        <v>0</v>
      </c>
      <c r="AD203" s="650">
        <v>0</v>
      </c>
      <c r="AE203" s="650">
        <v>-57.885760697291161</v>
      </c>
      <c r="AF203" s="650">
        <v>0</v>
      </c>
      <c r="AG203" s="650">
        <v>0</v>
      </c>
      <c r="AH203" s="640">
        <v>0</v>
      </c>
      <c r="AI203" s="640">
        <v>0</v>
      </c>
      <c r="AJ203" s="640">
        <v>0</v>
      </c>
      <c r="AK203" s="648">
        <v>5.5506893819320311</v>
      </c>
    </row>
    <row r="204" spans="3:37" x14ac:dyDescent="0.2">
      <c r="C204" s="646" t="s">
        <v>350</v>
      </c>
      <c r="D204" s="640">
        <v>0</v>
      </c>
      <c r="E204" s="640">
        <v>0</v>
      </c>
      <c r="F204" s="640">
        <v>0</v>
      </c>
      <c r="G204" s="640">
        <v>0</v>
      </c>
      <c r="H204" s="640">
        <v>0</v>
      </c>
      <c r="I204" s="640">
        <v>0</v>
      </c>
      <c r="J204" s="640">
        <v>0</v>
      </c>
      <c r="K204" s="640">
        <v>0</v>
      </c>
      <c r="L204" s="640">
        <v>0</v>
      </c>
      <c r="M204" s="640">
        <v>0</v>
      </c>
      <c r="N204" s="640">
        <v>0</v>
      </c>
      <c r="O204" s="640">
        <v>0</v>
      </c>
      <c r="P204" s="640">
        <v>0</v>
      </c>
      <c r="Q204" s="640">
        <v>0</v>
      </c>
      <c r="R204" s="640">
        <v>0</v>
      </c>
      <c r="S204" s="648">
        <v>0</v>
      </c>
      <c r="U204" s="646" t="s">
        <v>350</v>
      </c>
      <c r="V204" s="640">
        <v>0</v>
      </c>
      <c r="W204" s="640">
        <v>0</v>
      </c>
      <c r="X204" s="640">
        <v>0</v>
      </c>
      <c r="Y204" s="640">
        <v>0</v>
      </c>
      <c r="Z204" s="640">
        <v>0</v>
      </c>
      <c r="AA204" s="640">
        <v>0</v>
      </c>
      <c r="AB204" s="640">
        <v>0</v>
      </c>
      <c r="AC204" s="640">
        <v>0</v>
      </c>
      <c r="AD204" s="640">
        <v>0</v>
      </c>
      <c r="AE204" s="640">
        <v>0</v>
      </c>
      <c r="AF204" s="640">
        <v>0</v>
      </c>
      <c r="AG204" s="640">
        <v>0</v>
      </c>
      <c r="AH204" s="640">
        <v>0</v>
      </c>
      <c r="AI204" s="640">
        <v>0</v>
      </c>
      <c r="AJ204" s="640">
        <v>0</v>
      </c>
      <c r="AK204" s="648">
        <v>0</v>
      </c>
    </row>
    <row r="205" spans="3:37" x14ac:dyDescent="0.2">
      <c r="C205" s="646" t="s">
        <v>72</v>
      </c>
      <c r="D205" s="640">
        <v>0</v>
      </c>
      <c r="E205" s="640">
        <v>522.28962186433523</v>
      </c>
      <c r="F205" s="640">
        <v>-517.06672564569192</v>
      </c>
      <c r="G205" s="640">
        <v>0</v>
      </c>
      <c r="H205" s="640">
        <v>0</v>
      </c>
      <c r="I205" s="640">
        <v>0</v>
      </c>
      <c r="J205" s="640">
        <v>0</v>
      </c>
      <c r="K205" s="640">
        <v>0</v>
      </c>
      <c r="L205" s="640">
        <v>0</v>
      </c>
      <c r="M205" s="640">
        <v>0</v>
      </c>
      <c r="N205" s="640">
        <v>0</v>
      </c>
      <c r="O205" s="640">
        <v>0</v>
      </c>
      <c r="P205" s="640">
        <v>0</v>
      </c>
      <c r="Q205" s="640">
        <v>0</v>
      </c>
      <c r="R205" s="640">
        <v>0</v>
      </c>
      <c r="S205" s="648">
        <v>5.2228962186433137</v>
      </c>
      <c r="U205" s="646" t="s">
        <v>72</v>
      </c>
      <c r="V205" s="640">
        <v>0</v>
      </c>
      <c r="W205" s="640">
        <v>275.84091609698424</v>
      </c>
      <c r="X205" s="640">
        <v>-273.0825069360144</v>
      </c>
      <c r="Y205" s="640">
        <v>0</v>
      </c>
      <c r="Z205" s="640">
        <v>0</v>
      </c>
      <c r="AA205" s="640">
        <v>0</v>
      </c>
      <c r="AB205" s="640">
        <v>0</v>
      </c>
      <c r="AC205" s="640">
        <v>0</v>
      </c>
      <c r="AD205" s="640">
        <v>0</v>
      </c>
      <c r="AE205" s="640">
        <v>0</v>
      </c>
      <c r="AF205" s="640">
        <v>0</v>
      </c>
      <c r="AG205" s="640">
        <v>0</v>
      </c>
      <c r="AH205" s="640">
        <v>0</v>
      </c>
      <c r="AI205" s="640">
        <v>0</v>
      </c>
      <c r="AJ205" s="640">
        <v>0</v>
      </c>
      <c r="AK205" s="648">
        <v>2.7584091609698476</v>
      </c>
    </row>
    <row r="206" spans="3:37" x14ac:dyDescent="0.2">
      <c r="C206" s="646" t="s">
        <v>351</v>
      </c>
      <c r="D206" s="640">
        <v>0</v>
      </c>
      <c r="E206" s="640">
        <v>0</v>
      </c>
      <c r="F206" s="640">
        <v>0</v>
      </c>
      <c r="G206" s="640">
        <v>0</v>
      </c>
      <c r="H206" s="640">
        <v>0</v>
      </c>
      <c r="I206" s="640">
        <v>0</v>
      </c>
      <c r="J206" s="640">
        <v>28.942309114060045</v>
      </c>
      <c r="K206" s="640">
        <v>0</v>
      </c>
      <c r="L206" s="640">
        <v>-28.942309114060045</v>
      </c>
      <c r="M206" s="640">
        <v>0</v>
      </c>
      <c r="N206" s="640">
        <v>0</v>
      </c>
      <c r="O206" s="640">
        <v>0</v>
      </c>
      <c r="P206" s="640">
        <v>0</v>
      </c>
      <c r="Q206" s="640">
        <v>0</v>
      </c>
      <c r="R206" s="640">
        <v>0</v>
      </c>
      <c r="S206" s="648">
        <v>0</v>
      </c>
      <c r="U206" s="646" t="s">
        <v>351</v>
      </c>
      <c r="V206" s="640">
        <v>0</v>
      </c>
      <c r="W206" s="640">
        <v>0</v>
      </c>
      <c r="X206" s="640">
        <v>0</v>
      </c>
      <c r="Y206" s="640">
        <v>0</v>
      </c>
      <c r="Z206" s="640">
        <v>0</v>
      </c>
      <c r="AA206" s="640">
        <v>0</v>
      </c>
      <c r="AB206" s="640" t="e">
        <v>#VALUE!</v>
      </c>
      <c r="AC206" s="640">
        <v>0</v>
      </c>
      <c r="AD206" s="640">
        <v>-101.68735143023177</v>
      </c>
      <c r="AE206" s="640">
        <v>0</v>
      </c>
      <c r="AF206" s="640">
        <v>0</v>
      </c>
      <c r="AG206" s="640">
        <v>0</v>
      </c>
      <c r="AH206" s="640">
        <v>0</v>
      </c>
      <c r="AI206" s="640">
        <v>0</v>
      </c>
      <c r="AJ206" s="640">
        <v>0</v>
      </c>
      <c r="AK206" s="648">
        <v>-101.68735143023177</v>
      </c>
    </row>
    <row r="207" spans="3:37" x14ac:dyDescent="0.2">
      <c r="C207" s="646" t="s">
        <v>352</v>
      </c>
      <c r="D207" s="640">
        <v>0</v>
      </c>
      <c r="E207" s="640">
        <v>0</v>
      </c>
      <c r="F207" s="640">
        <v>0</v>
      </c>
      <c r="G207" s="640">
        <v>0</v>
      </c>
      <c r="H207" s="640">
        <v>0</v>
      </c>
      <c r="I207" s="640">
        <v>0</v>
      </c>
      <c r="J207" s="640">
        <v>0</v>
      </c>
      <c r="K207" s="640">
        <v>0</v>
      </c>
      <c r="L207" s="640">
        <v>0</v>
      </c>
      <c r="M207" s="640">
        <v>0</v>
      </c>
      <c r="N207" s="640">
        <v>0</v>
      </c>
      <c r="O207" s="640">
        <v>0</v>
      </c>
      <c r="P207" s="640">
        <v>0</v>
      </c>
      <c r="Q207" s="640">
        <v>0</v>
      </c>
      <c r="R207" s="640">
        <v>0</v>
      </c>
      <c r="S207" s="648">
        <v>0</v>
      </c>
      <c r="U207" s="646" t="s">
        <v>352</v>
      </c>
      <c r="V207" s="640">
        <v>0</v>
      </c>
      <c r="W207" s="640">
        <v>0</v>
      </c>
      <c r="X207" s="640">
        <v>0</v>
      </c>
      <c r="Y207" s="640">
        <v>0</v>
      </c>
      <c r="Z207" s="640">
        <v>0</v>
      </c>
      <c r="AA207" s="640">
        <v>0</v>
      </c>
      <c r="AB207" s="640">
        <v>0</v>
      </c>
      <c r="AC207" s="640">
        <v>0</v>
      </c>
      <c r="AD207" s="640">
        <v>-20.330518764117095</v>
      </c>
      <c r="AE207" s="640">
        <v>0</v>
      </c>
      <c r="AF207" s="640">
        <v>0</v>
      </c>
      <c r="AG207" s="640">
        <v>0</v>
      </c>
      <c r="AH207" s="640">
        <v>0</v>
      </c>
      <c r="AI207" s="640">
        <v>0</v>
      </c>
      <c r="AJ207" s="640">
        <v>0</v>
      </c>
      <c r="AK207" s="648">
        <v>-20.330518764117095</v>
      </c>
    </row>
    <row r="208" spans="3:37" x14ac:dyDescent="0.2">
      <c r="C208" s="646" t="s">
        <v>73</v>
      </c>
      <c r="D208" s="640">
        <v>0</v>
      </c>
      <c r="E208" s="640">
        <v>0</v>
      </c>
      <c r="F208" s="640">
        <v>0</v>
      </c>
      <c r="G208" s="640">
        <v>5.1012543356530031</v>
      </c>
      <c r="H208" s="640">
        <v>0</v>
      </c>
      <c r="I208" s="640">
        <v>0</v>
      </c>
      <c r="J208" s="640">
        <v>0</v>
      </c>
      <c r="K208" s="640">
        <v>5.8487208617897309E-2</v>
      </c>
      <c r="L208" s="640">
        <v>0</v>
      </c>
      <c r="M208" s="640">
        <v>0.10410723133985722</v>
      </c>
      <c r="N208" s="640">
        <v>0</v>
      </c>
      <c r="O208" s="640">
        <v>0</v>
      </c>
      <c r="P208" s="640">
        <v>0.59767950412449788</v>
      </c>
      <c r="Q208" s="640">
        <v>0</v>
      </c>
      <c r="R208" s="640">
        <v>-4.094104603252811</v>
      </c>
      <c r="S208" s="648">
        <v>1.7674236764824451</v>
      </c>
      <c r="U208" s="646" t="s">
        <v>73</v>
      </c>
      <c r="V208" s="640">
        <v>0</v>
      </c>
      <c r="W208" s="640">
        <v>0</v>
      </c>
      <c r="X208" s="640">
        <v>0</v>
      </c>
      <c r="Y208" s="640">
        <v>5.6948243223481816</v>
      </c>
      <c r="Z208" s="640">
        <v>0</v>
      </c>
      <c r="AA208" s="640">
        <v>0</v>
      </c>
      <c r="AB208" s="640">
        <v>0</v>
      </c>
      <c r="AC208" s="640">
        <v>0.40677316588201312</v>
      </c>
      <c r="AD208" s="640">
        <v>0</v>
      </c>
      <c r="AE208" s="640">
        <v>2.440638995292078</v>
      </c>
      <c r="AF208" s="640">
        <v>0</v>
      </c>
      <c r="AG208" s="640">
        <v>0</v>
      </c>
      <c r="AH208" s="640">
        <v>32.838767990182951</v>
      </c>
      <c r="AI208" s="640">
        <v>0</v>
      </c>
      <c r="AJ208" s="640">
        <v>-28.474121611740912</v>
      </c>
      <c r="AK208" s="648">
        <v>12.906882861964313</v>
      </c>
    </row>
    <row r="209" spans="3:37" x14ac:dyDescent="0.2">
      <c r="C209" s="646" t="s">
        <v>353</v>
      </c>
      <c r="D209" s="640">
        <v>28.616489999999999</v>
      </c>
      <c r="E209" s="640">
        <v>-18.09733539759922</v>
      </c>
      <c r="F209" s="640">
        <v>23.670245777269074</v>
      </c>
      <c r="G209" s="640">
        <v>0</v>
      </c>
      <c r="H209" s="640">
        <v>0</v>
      </c>
      <c r="I209" s="640">
        <v>0</v>
      </c>
      <c r="J209" s="640">
        <v>0</v>
      </c>
      <c r="K209" s="640">
        <v>0</v>
      </c>
      <c r="L209" s="640">
        <v>0</v>
      </c>
      <c r="M209" s="640">
        <v>0</v>
      </c>
      <c r="N209" s="640">
        <v>0</v>
      </c>
      <c r="O209" s="640">
        <v>0</v>
      </c>
      <c r="P209" s="640">
        <v>0</v>
      </c>
      <c r="Q209" s="640">
        <v>0</v>
      </c>
      <c r="R209" s="640">
        <v>0</v>
      </c>
      <c r="S209" s="648">
        <v>34.189400379669848</v>
      </c>
      <c r="U209" s="646" t="s">
        <v>353</v>
      </c>
      <c r="V209" s="640">
        <v>2.3505202026367185</v>
      </c>
      <c r="W209" s="640">
        <v>-9.5578877427605047</v>
      </c>
      <c r="X209" s="640">
        <v>12.501152628950074</v>
      </c>
      <c r="Y209" s="640">
        <v>0</v>
      </c>
      <c r="Z209" s="640">
        <v>0</v>
      </c>
      <c r="AA209" s="640">
        <v>0</v>
      </c>
      <c r="AB209" s="640">
        <v>0</v>
      </c>
      <c r="AC209" s="640">
        <v>0</v>
      </c>
      <c r="AD209" s="640">
        <v>0</v>
      </c>
      <c r="AE209" s="640">
        <v>0</v>
      </c>
      <c r="AF209" s="640">
        <v>0</v>
      </c>
      <c r="AG209" s="640">
        <v>0</v>
      </c>
      <c r="AH209" s="640">
        <v>0</v>
      </c>
      <c r="AI209" s="640">
        <v>0</v>
      </c>
      <c r="AJ209" s="640">
        <v>0</v>
      </c>
      <c r="AK209" s="648">
        <v>5.2937850888262874</v>
      </c>
    </row>
    <row r="210" spans="3:37" x14ac:dyDescent="0.2">
      <c r="C210" s="646" t="s">
        <v>75</v>
      </c>
      <c r="D210" s="640">
        <v>11.128635000000001</v>
      </c>
      <c r="E210" s="640">
        <v>0</v>
      </c>
      <c r="F210" s="640">
        <v>17.757847143387398</v>
      </c>
      <c r="G210" s="640">
        <v>5.0672539113277812</v>
      </c>
      <c r="H210" s="640">
        <v>0</v>
      </c>
      <c r="I210" s="640">
        <v>0</v>
      </c>
      <c r="J210" s="640">
        <v>0</v>
      </c>
      <c r="K210" s="640">
        <v>0</v>
      </c>
      <c r="L210" s="640">
        <v>0</v>
      </c>
      <c r="M210" s="640">
        <v>0.1034133451291384</v>
      </c>
      <c r="N210" s="640">
        <v>0</v>
      </c>
      <c r="O210" s="640">
        <v>0</v>
      </c>
      <c r="P210" s="640">
        <v>30.750377055945027</v>
      </c>
      <c r="Q210" s="640">
        <v>0</v>
      </c>
      <c r="R210" s="640">
        <v>0</v>
      </c>
      <c r="S210" s="648">
        <v>64.807526455789343</v>
      </c>
      <c r="U210" s="646" t="s">
        <v>75</v>
      </c>
      <c r="V210" s="640">
        <v>3.4784289550781251</v>
      </c>
      <c r="W210" s="640">
        <v>0</v>
      </c>
      <c r="X210" s="640">
        <v>17.757847143387398</v>
      </c>
      <c r="Y210" s="640">
        <v>3.6194670795198434</v>
      </c>
      <c r="Z210" s="640">
        <v>0</v>
      </c>
      <c r="AA210" s="640">
        <v>0</v>
      </c>
      <c r="AB210" s="640">
        <v>0</v>
      </c>
      <c r="AC210" s="640">
        <v>0</v>
      </c>
      <c r="AD210" s="640">
        <v>0</v>
      </c>
      <c r="AE210" s="640">
        <v>1.5512001769370758</v>
      </c>
      <c r="AF210" s="640">
        <v>0</v>
      </c>
      <c r="AG210" s="640">
        <v>0</v>
      </c>
      <c r="AH210" s="640">
        <v>36.42264978321775</v>
      </c>
      <c r="AI210" s="640">
        <v>0</v>
      </c>
      <c r="AJ210" s="640">
        <v>0</v>
      </c>
      <c r="AK210" s="648">
        <v>62.829593138140197</v>
      </c>
    </row>
    <row r="211" spans="3:37" x14ac:dyDescent="0.2">
      <c r="C211" s="646" t="s">
        <v>76</v>
      </c>
      <c r="D211" s="640">
        <v>0</v>
      </c>
      <c r="E211" s="640">
        <v>0</v>
      </c>
      <c r="F211" s="640">
        <v>0</v>
      </c>
      <c r="G211" s="640">
        <v>3.8086647866957031</v>
      </c>
      <c r="H211" s="640">
        <v>0</v>
      </c>
      <c r="I211" s="640">
        <v>0</v>
      </c>
      <c r="J211" s="640">
        <v>0</v>
      </c>
      <c r="K211" s="640">
        <v>0</v>
      </c>
      <c r="L211" s="640">
        <v>0</v>
      </c>
      <c r="M211" s="640">
        <v>7.7727852789708229E-2</v>
      </c>
      <c r="N211" s="640">
        <v>0</v>
      </c>
      <c r="O211" s="640">
        <v>0</v>
      </c>
      <c r="P211" s="640">
        <v>44.547532005203358</v>
      </c>
      <c r="Q211" s="640">
        <v>2.958822517532107</v>
      </c>
      <c r="R211" s="640">
        <v>0</v>
      </c>
      <c r="S211" s="648">
        <v>51.392747162220878</v>
      </c>
      <c r="U211" s="646" t="s">
        <v>76</v>
      </c>
      <c r="V211" s="640">
        <v>0</v>
      </c>
      <c r="W211" s="640">
        <v>0</v>
      </c>
      <c r="X211" s="640">
        <v>0</v>
      </c>
      <c r="Y211" s="640">
        <v>1.6015823117827594</v>
      </c>
      <c r="Z211" s="640">
        <v>0</v>
      </c>
      <c r="AA211" s="640">
        <v>0</v>
      </c>
      <c r="AB211" s="640">
        <v>0</v>
      </c>
      <c r="AC211" s="640">
        <v>0</v>
      </c>
      <c r="AD211" s="640">
        <v>0</v>
      </c>
      <c r="AE211" s="640">
        <v>0.68639241933546835</v>
      </c>
      <c r="AF211" s="640">
        <v>0</v>
      </c>
      <c r="AG211" s="640">
        <v>0</v>
      </c>
      <c r="AH211" s="640">
        <v>47.148943407633553</v>
      </c>
      <c r="AI211" s="640">
        <v>5.8421151160056723</v>
      </c>
      <c r="AJ211" s="640">
        <v>0</v>
      </c>
      <c r="AK211" s="648">
        <v>55.279033254757444</v>
      </c>
    </row>
    <row r="212" spans="3:37" x14ac:dyDescent="0.2">
      <c r="C212" s="644" t="s">
        <v>77</v>
      </c>
      <c r="D212" s="645">
        <v>42.571910641025248</v>
      </c>
      <c r="E212" s="645">
        <v>504.19228646673599</v>
      </c>
      <c r="F212" s="645">
        <v>-468.11692594020946</v>
      </c>
      <c r="G212" s="645">
        <v>45.994115783016845</v>
      </c>
      <c r="H212" s="645">
        <v>959.09090909090924</v>
      </c>
      <c r="I212" s="645">
        <v>265.54666314840352</v>
      </c>
      <c r="J212" s="645">
        <v>78.402106423532217</v>
      </c>
      <c r="K212" s="645">
        <v>19.049948129928421</v>
      </c>
      <c r="L212" s="645">
        <v>-26.034244563334241</v>
      </c>
      <c r="M212" s="645">
        <v>-5.4765606138084015</v>
      </c>
      <c r="N212" s="645">
        <v>0</v>
      </c>
      <c r="O212" s="645">
        <v>9.0263438420589424</v>
      </c>
      <c r="P212" s="645">
        <v>-537.24345011511946</v>
      </c>
      <c r="Q212" s="645">
        <v>-35.164036653103786</v>
      </c>
      <c r="R212" s="645">
        <v>-4.094104603252811</v>
      </c>
      <c r="S212" s="645">
        <v>847.74496103678234</v>
      </c>
      <c r="U212" s="644" t="s">
        <v>77</v>
      </c>
      <c r="V212" s="645">
        <v>6.4552640631735336</v>
      </c>
      <c r="W212" s="645">
        <v>266.28302835422375</v>
      </c>
      <c r="X212" s="645">
        <v>-239.16543674248729</v>
      </c>
      <c r="Y212" s="645">
        <v>28.3606981090151</v>
      </c>
      <c r="Z212" s="645">
        <v>919.39393939393949</v>
      </c>
      <c r="AA212" s="645">
        <v>300.16666314840353</v>
      </c>
      <c r="AB212" s="645">
        <v>116.13241178058709</v>
      </c>
      <c r="AC212" s="645">
        <v>32.378551458673563</v>
      </c>
      <c r="AD212" s="645">
        <v>-119.10980564362306</v>
      </c>
      <c r="AE212" s="645">
        <v>-45.591342912780426</v>
      </c>
      <c r="AF212" s="645">
        <v>0</v>
      </c>
      <c r="AG212" s="645">
        <v>17.619168596552839</v>
      </c>
      <c r="AH212" s="645">
        <v>-512.24867749935788</v>
      </c>
      <c r="AI212" s="645">
        <v>-69.488948539693865</v>
      </c>
      <c r="AJ212" s="645">
        <v>-23.724121611740912</v>
      </c>
      <c r="AK212" s="645">
        <v>677.46139195488558</v>
      </c>
    </row>
    <row r="213" spans="3:37" x14ac:dyDescent="0.2">
      <c r="C213" s="634"/>
      <c r="D213" s="634">
        <v>0</v>
      </c>
      <c r="E213" s="634">
        <v>0</v>
      </c>
      <c r="F213" s="634">
        <v>0</v>
      </c>
      <c r="G213" s="634">
        <v>0</v>
      </c>
      <c r="H213" s="634">
        <v>0</v>
      </c>
      <c r="I213" s="634">
        <v>0</v>
      </c>
      <c r="J213" s="634">
        <v>0</v>
      </c>
      <c r="K213" s="634">
        <v>0</v>
      </c>
      <c r="L213" s="634">
        <v>0</v>
      </c>
      <c r="M213" s="634">
        <v>0</v>
      </c>
      <c r="N213" s="634">
        <v>0</v>
      </c>
      <c r="O213" s="634">
        <v>0</v>
      </c>
      <c r="P213" s="634">
        <v>0</v>
      </c>
      <c r="Q213" s="634">
        <v>0</v>
      </c>
      <c r="R213" s="634">
        <v>0</v>
      </c>
      <c r="S213" s="634">
        <v>0</v>
      </c>
      <c r="U213" s="634"/>
      <c r="V213" s="634">
        <v>0</v>
      </c>
      <c r="W213" s="634">
        <v>0</v>
      </c>
      <c r="X213" s="634">
        <v>0</v>
      </c>
      <c r="Y213" s="634">
        <v>0</v>
      </c>
      <c r="Z213" s="634">
        <v>0</v>
      </c>
      <c r="AA213" s="634">
        <v>0</v>
      </c>
      <c r="AB213" s="634">
        <v>0</v>
      </c>
      <c r="AC213" s="634">
        <v>0</v>
      </c>
      <c r="AD213" s="634">
        <v>0</v>
      </c>
      <c r="AE213" s="634">
        <v>0</v>
      </c>
      <c r="AF213" s="634">
        <v>0</v>
      </c>
      <c r="AG213" s="634">
        <v>0</v>
      </c>
      <c r="AH213" s="634">
        <v>0</v>
      </c>
      <c r="AI213" s="634">
        <v>0</v>
      </c>
      <c r="AJ213" s="634">
        <v>0</v>
      </c>
      <c r="AK213" s="634">
        <v>0</v>
      </c>
    </row>
    <row r="214" spans="3:37" x14ac:dyDescent="0.2">
      <c r="C214" s="646" t="s">
        <v>78</v>
      </c>
      <c r="D214" s="640">
        <v>5.4657298257742912</v>
      </c>
      <c r="E214" s="640">
        <v>0</v>
      </c>
      <c r="F214" s="640">
        <v>21.83935294215906</v>
      </c>
      <c r="G214" s="640">
        <v>97.960240418883188</v>
      </c>
      <c r="H214" s="640">
        <v>0</v>
      </c>
      <c r="I214" s="640">
        <v>0</v>
      </c>
      <c r="J214" s="640">
        <v>20.699069714826329</v>
      </c>
      <c r="K214" s="640">
        <v>1.7608774311708451</v>
      </c>
      <c r="L214" s="640">
        <v>0.9136629082031249</v>
      </c>
      <c r="M214" s="640">
        <v>2.0177626304462204</v>
      </c>
      <c r="N214" s="640">
        <v>0</v>
      </c>
      <c r="O214" s="640">
        <v>3.7866244598879411E-4</v>
      </c>
      <c r="P214" s="640">
        <v>111.48933548215857</v>
      </c>
      <c r="Q214" s="640">
        <v>16.083775404791947</v>
      </c>
      <c r="R214" s="640">
        <v>0.29766925048828125</v>
      </c>
      <c r="S214" s="648">
        <v>278.52785467134788</v>
      </c>
      <c r="U214" s="646" t="s">
        <v>78</v>
      </c>
      <c r="V214" s="640">
        <v>1.0762581410403587</v>
      </c>
      <c r="W214" s="640">
        <v>0</v>
      </c>
      <c r="X214" s="640">
        <v>8.4892491154216376</v>
      </c>
      <c r="Y214" s="640">
        <v>50.497915430959594</v>
      </c>
      <c r="Z214" s="640">
        <v>0</v>
      </c>
      <c r="AA214" s="640">
        <v>0</v>
      </c>
      <c r="AB214" s="640">
        <v>15.594949526554588</v>
      </c>
      <c r="AC214" s="640">
        <v>5.2865944994228578</v>
      </c>
      <c r="AD214" s="640">
        <v>4.3757583007812499</v>
      </c>
      <c r="AE214" s="640">
        <v>21.660537806594554</v>
      </c>
      <c r="AF214" s="640">
        <v>0</v>
      </c>
      <c r="AG214" s="640">
        <v>3.7866244598879411E-4</v>
      </c>
      <c r="AH214" s="640">
        <v>141.44668524271188</v>
      </c>
      <c r="AI214" s="640">
        <v>22.79177635880415</v>
      </c>
      <c r="AJ214" s="640">
        <v>6.850041015625</v>
      </c>
      <c r="AK214" s="648">
        <v>278.07014410036186</v>
      </c>
    </row>
    <row r="215" spans="3:37" x14ac:dyDescent="0.2">
      <c r="C215" s="646" t="s">
        <v>79</v>
      </c>
      <c r="D215" s="640">
        <v>0</v>
      </c>
      <c r="E215" s="640">
        <v>0</v>
      </c>
      <c r="F215" s="640">
        <v>249.23385066161848</v>
      </c>
      <c r="G215" s="640">
        <v>29.852237297635437</v>
      </c>
      <c r="H215" s="640">
        <v>0</v>
      </c>
      <c r="I215" s="640">
        <v>0</v>
      </c>
      <c r="J215" s="640">
        <v>0</v>
      </c>
      <c r="K215" s="640">
        <v>0</v>
      </c>
      <c r="L215" s="640">
        <v>24.125777410294155</v>
      </c>
      <c r="M215" s="640">
        <v>0.60922933260480494</v>
      </c>
      <c r="N215" s="640">
        <v>0</v>
      </c>
      <c r="O215" s="640">
        <v>0</v>
      </c>
      <c r="P215" s="640">
        <v>62.086065361885787</v>
      </c>
      <c r="Q215" s="640">
        <v>0</v>
      </c>
      <c r="R215" s="640">
        <v>1.9828379826970517</v>
      </c>
      <c r="S215" s="648">
        <v>367.88999804673568</v>
      </c>
      <c r="U215" s="646" t="s">
        <v>79</v>
      </c>
      <c r="V215" s="640">
        <v>0</v>
      </c>
      <c r="W215" s="640">
        <v>0</v>
      </c>
      <c r="X215" s="640">
        <v>59.317364570862594</v>
      </c>
      <c r="Y215" s="640">
        <v>17.942066440325025</v>
      </c>
      <c r="Z215" s="640">
        <v>0</v>
      </c>
      <c r="AA215" s="640">
        <v>0</v>
      </c>
      <c r="AB215" s="640">
        <v>0</v>
      </c>
      <c r="AC215" s="640">
        <v>0</v>
      </c>
      <c r="AD215" s="640">
        <v>51.332808735857633</v>
      </c>
      <c r="AE215" s="640">
        <v>7.6894570458535831</v>
      </c>
      <c r="AF215" s="640">
        <v>0</v>
      </c>
      <c r="AG215" s="640">
        <v>0</v>
      </c>
      <c r="AH215" s="640">
        <v>82.201296258535137</v>
      </c>
      <c r="AI215" s="640">
        <v>0</v>
      </c>
      <c r="AJ215" s="640">
        <v>4.6183032107255606</v>
      </c>
      <c r="AK215" s="648">
        <v>223.10129626215951</v>
      </c>
    </row>
    <row r="216" spans="3:37" x14ac:dyDescent="0.2">
      <c r="C216" s="646" t="s">
        <v>80</v>
      </c>
      <c r="D216" s="640">
        <v>0</v>
      </c>
      <c r="E216" s="640">
        <v>0</v>
      </c>
      <c r="F216" s="640">
        <v>17.698191750553285</v>
      </c>
      <c r="G216" s="640">
        <v>82.8316536533641</v>
      </c>
      <c r="H216" s="640">
        <v>0</v>
      </c>
      <c r="I216" s="640">
        <v>0</v>
      </c>
      <c r="J216" s="640">
        <v>87.012401530952616</v>
      </c>
      <c r="K216" s="640">
        <v>0</v>
      </c>
      <c r="L216" s="640">
        <v>0</v>
      </c>
      <c r="M216" s="640">
        <v>1.690441911293145</v>
      </c>
      <c r="N216" s="640">
        <v>54.219025663639314</v>
      </c>
      <c r="O216" s="640">
        <v>2.0231633432731213</v>
      </c>
      <c r="P216" s="640">
        <v>187.24843332836184</v>
      </c>
      <c r="Q216" s="640">
        <v>15.504434202631401</v>
      </c>
      <c r="R216" s="640">
        <v>0</v>
      </c>
      <c r="S216" s="648">
        <v>448.22774538406884</v>
      </c>
      <c r="U216" s="646" t="s">
        <v>80</v>
      </c>
      <c r="V216" s="640">
        <v>0</v>
      </c>
      <c r="W216" s="640">
        <v>0</v>
      </c>
      <c r="X216" s="640">
        <v>1.0833932718176746</v>
      </c>
      <c r="Y216" s="640">
        <v>18.084176496701136</v>
      </c>
      <c r="Z216" s="640">
        <v>0</v>
      </c>
      <c r="AA216" s="640">
        <v>0</v>
      </c>
      <c r="AB216" s="640">
        <v>57.868484646152382</v>
      </c>
      <c r="AC216" s="640">
        <v>0</v>
      </c>
      <c r="AD216" s="640">
        <v>0</v>
      </c>
      <c r="AE216" s="640">
        <v>7.7503613557290594</v>
      </c>
      <c r="AF216" s="640">
        <v>78.313096165620991</v>
      </c>
      <c r="AG216" s="640">
        <v>3.4573890525731583</v>
      </c>
      <c r="AH216" s="640">
        <v>150.63566760387405</v>
      </c>
      <c r="AI216" s="640">
        <v>34.942034151478268</v>
      </c>
      <c r="AJ216" s="640">
        <v>0</v>
      </c>
      <c r="AK216" s="648">
        <v>352.13460274394669</v>
      </c>
    </row>
    <row r="217" spans="3:37" x14ac:dyDescent="0.2">
      <c r="C217" s="646" t="s">
        <v>81</v>
      </c>
      <c r="D217" s="640">
        <v>0</v>
      </c>
      <c r="E217" s="640">
        <v>0</v>
      </c>
      <c r="F217" s="640">
        <v>5.759525486283259</v>
      </c>
      <c r="G217" s="640">
        <v>63.242535904869413</v>
      </c>
      <c r="H217" s="640">
        <v>0</v>
      </c>
      <c r="I217" s="640">
        <v>0</v>
      </c>
      <c r="J217" s="640">
        <v>3.243340348024236</v>
      </c>
      <c r="K217" s="640">
        <v>2.5138060257677737E-2</v>
      </c>
      <c r="L217" s="640">
        <v>0</v>
      </c>
      <c r="M217" s="640">
        <v>1.2906639980585595</v>
      </c>
      <c r="N217" s="640">
        <v>8.6788063603893928</v>
      </c>
      <c r="O217" s="640">
        <v>0.74318365128395913</v>
      </c>
      <c r="P217" s="640">
        <v>138.68432478978596</v>
      </c>
      <c r="Q217" s="640">
        <v>3.5758270456804375</v>
      </c>
      <c r="R217" s="640">
        <v>0</v>
      </c>
      <c r="S217" s="648">
        <v>225.24334564463288</v>
      </c>
      <c r="U217" s="646" t="s">
        <v>81</v>
      </c>
      <c r="V217" s="640">
        <v>0</v>
      </c>
      <c r="W217" s="640">
        <v>0</v>
      </c>
      <c r="X217" s="640">
        <v>1.8996820773870462</v>
      </c>
      <c r="Y217" s="640">
        <v>16.701006494583829</v>
      </c>
      <c r="Z217" s="640">
        <v>0</v>
      </c>
      <c r="AA217" s="640">
        <v>0</v>
      </c>
      <c r="AB217" s="640">
        <v>7.1959049572050198</v>
      </c>
      <c r="AC217" s="640">
        <v>2.5138060257677737E-2</v>
      </c>
      <c r="AD217" s="640">
        <v>0</v>
      </c>
      <c r="AE217" s="640">
        <v>7.1575742119644987</v>
      </c>
      <c r="AF217" s="640">
        <v>14.587904232604497</v>
      </c>
      <c r="AG217" s="640">
        <v>1.6018484399661996</v>
      </c>
      <c r="AH217" s="640">
        <v>116.46951239557291</v>
      </c>
      <c r="AI217" s="640">
        <v>11.755138029411436</v>
      </c>
      <c r="AJ217" s="640">
        <v>0</v>
      </c>
      <c r="AK217" s="648">
        <v>177.39370889895312</v>
      </c>
    </row>
    <row r="218" spans="3:37" x14ac:dyDescent="0.2">
      <c r="C218" s="646" t="s">
        <v>82</v>
      </c>
      <c r="D218" s="640">
        <v>0</v>
      </c>
      <c r="E218" s="640">
        <v>0</v>
      </c>
      <c r="F218" s="640">
        <v>29.471786733039881</v>
      </c>
      <c r="G218" s="640">
        <v>1.3166139535686423</v>
      </c>
      <c r="H218" s="640">
        <v>0</v>
      </c>
      <c r="I218" s="640">
        <v>0</v>
      </c>
      <c r="J218" s="640">
        <v>3.6844952632387193</v>
      </c>
      <c r="K218" s="640">
        <v>0</v>
      </c>
      <c r="L218" s="640">
        <v>3.0029030850571363</v>
      </c>
      <c r="M218" s="640">
        <v>2.6869672521809031E-2</v>
      </c>
      <c r="N218" s="640">
        <v>0</v>
      </c>
      <c r="O218" s="640">
        <v>7.2392521047915395E-2</v>
      </c>
      <c r="P218" s="640">
        <v>6.3643203530837074</v>
      </c>
      <c r="Q218" s="640">
        <v>0</v>
      </c>
      <c r="R218" s="640">
        <v>0</v>
      </c>
      <c r="S218" s="648">
        <v>43.939381581557811</v>
      </c>
      <c r="U218" s="646" t="s">
        <v>82</v>
      </c>
      <c r="V218" s="640">
        <v>0</v>
      </c>
      <c r="W218" s="640">
        <v>0</v>
      </c>
      <c r="X218" s="640">
        <v>10.199143313422546</v>
      </c>
      <c r="Y218" s="640">
        <v>1.1904851448286324</v>
      </c>
      <c r="Z218" s="640">
        <v>0</v>
      </c>
      <c r="AA218" s="640">
        <v>0</v>
      </c>
      <c r="AB218" s="640">
        <v>3.6844952632387193</v>
      </c>
      <c r="AC218" s="640">
        <v>0</v>
      </c>
      <c r="AD218" s="640">
        <v>26.674568203776872</v>
      </c>
      <c r="AE218" s="640">
        <v>0.51020791921227104</v>
      </c>
      <c r="AF218" s="640">
        <v>0</v>
      </c>
      <c r="AG218" s="640">
        <v>1.300620381405156</v>
      </c>
      <c r="AH218" s="640">
        <v>6.4632626546266092</v>
      </c>
      <c r="AI218" s="640">
        <v>0</v>
      </c>
      <c r="AJ218" s="640">
        <v>0.325155095351289</v>
      </c>
      <c r="AK218" s="648">
        <v>50.347937975862088</v>
      </c>
    </row>
    <row r="219" spans="3:37" x14ac:dyDescent="0.2">
      <c r="C219" s="646" t="s">
        <v>354</v>
      </c>
      <c r="D219" s="640">
        <v>0</v>
      </c>
      <c r="E219" s="640">
        <v>0</v>
      </c>
      <c r="F219" s="640">
        <v>0</v>
      </c>
      <c r="G219" s="640">
        <v>0</v>
      </c>
      <c r="H219" s="640">
        <v>0</v>
      </c>
      <c r="I219" s="640">
        <v>0</v>
      </c>
      <c r="J219" s="640">
        <v>0</v>
      </c>
      <c r="K219" s="640">
        <v>0</v>
      </c>
      <c r="L219" s="640">
        <v>0</v>
      </c>
      <c r="M219" s="640">
        <v>0</v>
      </c>
      <c r="N219" s="640">
        <v>0</v>
      </c>
      <c r="O219" s="640">
        <v>0</v>
      </c>
      <c r="P219" s="640">
        <v>0.31499999999999995</v>
      </c>
      <c r="Q219" s="640">
        <v>0</v>
      </c>
      <c r="R219" s="640">
        <v>0</v>
      </c>
      <c r="S219" s="648">
        <v>0.31499999999999995</v>
      </c>
      <c r="U219" s="646" t="s">
        <v>354</v>
      </c>
      <c r="V219" s="640">
        <v>0</v>
      </c>
      <c r="W219" s="640">
        <v>0</v>
      </c>
      <c r="X219" s="640">
        <v>0</v>
      </c>
      <c r="Y219" s="640">
        <v>0</v>
      </c>
      <c r="Z219" s="640">
        <v>0</v>
      </c>
      <c r="AA219" s="640">
        <v>0</v>
      </c>
      <c r="AB219" s="640">
        <v>0</v>
      </c>
      <c r="AC219" s="640">
        <v>0</v>
      </c>
      <c r="AD219" s="640">
        <v>0</v>
      </c>
      <c r="AE219" s="640">
        <v>0</v>
      </c>
      <c r="AF219" s="640">
        <v>0</v>
      </c>
      <c r="AG219" s="640">
        <v>0</v>
      </c>
      <c r="AH219" s="640">
        <v>2.4</v>
      </c>
      <c r="AI219" s="640">
        <v>0</v>
      </c>
      <c r="AJ219" s="640">
        <v>0</v>
      </c>
      <c r="AK219" s="648">
        <v>2.4</v>
      </c>
    </row>
    <row r="220" spans="3:37" x14ac:dyDescent="0.2">
      <c r="C220" s="644" t="s">
        <v>83</v>
      </c>
      <c r="D220" s="645">
        <v>5.4657298257742912</v>
      </c>
      <c r="E220" s="645">
        <v>0</v>
      </c>
      <c r="F220" s="645">
        <v>324.00270757365394</v>
      </c>
      <c r="G220" s="645">
        <v>275.2032812283208</v>
      </c>
      <c r="H220" s="645">
        <v>0</v>
      </c>
      <c r="I220" s="645">
        <v>0</v>
      </c>
      <c r="J220" s="645">
        <v>114.6393068570419</v>
      </c>
      <c r="K220" s="645">
        <v>1.7860154914285227</v>
      </c>
      <c r="L220" s="645">
        <v>28.042343403554419</v>
      </c>
      <c r="M220" s="645">
        <v>5.6349675449245389</v>
      </c>
      <c r="N220" s="645">
        <v>62.897832024028709</v>
      </c>
      <c r="O220" s="645">
        <v>2.8391181780509842</v>
      </c>
      <c r="P220" s="645">
        <v>506.18747931527582</v>
      </c>
      <c r="Q220" s="645">
        <v>35.164036653103793</v>
      </c>
      <c r="R220" s="645">
        <v>2.2805072331853329</v>
      </c>
      <c r="S220" s="645">
        <v>1364.1433253283431</v>
      </c>
      <c r="U220" s="644" t="s">
        <v>83</v>
      </c>
      <c r="V220" s="645">
        <v>1.0762581410403587</v>
      </c>
      <c r="W220" s="645">
        <v>0</v>
      </c>
      <c r="X220" s="645">
        <v>80.988832348911515</v>
      </c>
      <c r="Y220" s="645">
        <v>104.41565000739821</v>
      </c>
      <c r="Z220" s="645">
        <v>0</v>
      </c>
      <c r="AA220" s="645">
        <v>0</v>
      </c>
      <c r="AB220" s="645">
        <v>84.343834393150701</v>
      </c>
      <c r="AC220" s="645">
        <v>5.3117325596805349</v>
      </c>
      <c r="AD220" s="645">
        <v>82.383135240415754</v>
      </c>
      <c r="AE220" s="645">
        <v>44.768138339353968</v>
      </c>
      <c r="AF220" s="645">
        <v>92.901000398225491</v>
      </c>
      <c r="AG220" s="645">
        <v>6.3602365363905022</v>
      </c>
      <c r="AH220" s="645">
        <v>499.61642415532054</v>
      </c>
      <c r="AI220" s="645">
        <v>69.488948539693865</v>
      </c>
      <c r="AJ220" s="645">
        <v>11.793499321701848</v>
      </c>
      <c r="AK220" s="645">
        <v>1083.4476899812832</v>
      </c>
    </row>
    <row r="221" spans="3:37" x14ac:dyDescent="0.2">
      <c r="C221" s="639" t="s">
        <v>84</v>
      </c>
      <c r="D221" s="640">
        <v>0</v>
      </c>
      <c r="E221" s="640">
        <v>0</v>
      </c>
      <c r="F221" s="640">
        <v>109.69308299672531</v>
      </c>
      <c r="G221" s="640">
        <v>11.766175832538266</v>
      </c>
      <c r="H221" s="640">
        <v>0</v>
      </c>
      <c r="I221" s="640">
        <v>0</v>
      </c>
      <c r="J221" s="640">
        <v>0</v>
      </c>
      <c r="K221" s="640">
        <v>0</v>
      </c>
      <c r="L221" s="640">
        <v>0</v>
      </c>
      <c r="M221" s="640">
        <v>0</v>
      </c>
      <c r="N221" s="640">
        <v>0</v>
      </c>
      <c r="O221" s="640">
        <v>0</v>
      </c>
      <c r="P221" s="640">
        <v>0</v>
      </c>
      <c r="Q221" s="640">
        <v>0</v>
      </c>
      <c r="R221" s="640">
        <v>1.8135973700674786</v>
      </c>
      <c r="S221" s="648">
        <v>123.27285619933106</v>
      </c>
      <c r="U221" s="639" t="s">
        <v>84</v>
      </c>
      <c r="V221" s="640">
        <v>0</v>
      </c>
      <c r="W221" s="640">
        <v>0</v>
      </c>
      <c r="X221" s="640">
        <v>84.298528713313246</v>
      </c>
      <c r="Y221" s="640">
        <v>1.1302347010557652</v>
      </c>
      <c r="Z221" s="640">
        <v>0</v>
      </c>
      <c r="AA221" s="640">
        <v>0</v>
      </c>
      <c r="AB221" s="640">
        <v>0</v>
      </c>
      <c r="AC221" s="640">
        <v>0</v>
      </c>
      <c r="AD221" s="640">
        <v>17.754065118408207</v>
      </c>
      <c r="AE221" s="640">
        <v>0</v>
      </c>
      <c r="AF221" s="640">
        <v>0</v>
      </c>
      <c r="AG221" s="640">
        <v>0</v>
      </c>
      <c r="AH221" s="640">
        <v>0</v>
      </c>
      <c r="AI221" s="640">
        <v>0</v>
      </c>
      <c r="AJ221" s="640">
        <v>11.930622290039064</v>
      </c>
      <c r="AK221" s="648">
        <v>115.11345082281629</v>
      </c>
    </row>
    <row r="222" spans="3:37" x14ac:dyDescent="0.2">
      <c r="C222" s="644" t="s">
        <v>85</v>
      </c>
      <c r="D222" s="645">
        <v>5.4657298257742912</v>
      </c>
      <c r="E222" s="645">
        <v>0</v>
      </c>
      <c r="F222" s="645">
        <v>433.69579057037924</v>
      </c>
      <c r="G222" s="645">
        <v>286.9694570608591</v>
      </c>
      <c r="H222" s="645">
        <v>0</v>
      </c>
      <c r="I222" s="645">
        <v>0</v>
      </c>
      <c r="J222" s="645">
        <v>114.6393068570419</v>
      </c>
      <c r="K222" s="645">
        <v>1.7860154914285227</v>
      </c>
      <c r="L222" s="645">
        <v>28.042343403554419</v>
      </c>
      <c r="M222" s="645">
        <v>5.6349675449245389</v>
      </c>
      <c r="N222" s="645">
        <v>62.897832024028709</v>
      </c>
      <c r="O222" s="645">
        <v>2.8391181780509842</v>
      </c>
      <c r="P222" s="645">
        <v>506.18747931527582</v>
      </c>
      <c r="Q222" s="645">
        <v>35.164036653103793</v>
      </c>
      <c r="R222" s="645">
        <v>4.094104603252811</v>
      </c>
      <c r="S222" s="645">
        <v>1487.4161815276743</v>
      </c>
      <c r="U222" s="644" t="s">
        <v>85</v>
      </c>
      <c r="V222" s="645">
        <v>1.0762581410403587</v>
      </c>
      <c r="W222" s="645">
        <v>0</v>
      </c>
      <c r="X222" s="645">
        <v>165.28736106222476</v>
      </c>
      <c r="Y222" s="645">
        <v>105.54588470845398</v>
      </c>
      <c r="Z222" s="645">
        <v>0</v>
      </c>
      <c r="AA222" s="645">
        <v>0</v>
      </c>
      <c r="AB222" s="645">
        <v>84.343834393150701</v>
      </c>
      <c r="AC222" s="645">
        <v>5.3117325596805349</v>
      </c>
      <c r="AD222" s="645">
        <v>100.13720035882396</v>
      </c>
      <c r="AE222" s="645">
        <v>44.768138339353968</v>
      </c>
      <c r="AF222" s="645">
        <v>92.901000398225491</v>
      </c>
      <c r="AG222" s="645">
        <v>6.3602365363905022</v>
      </c>
      <c r="AH222" s="645">
        <v>499.61642415532054</v>
      </c>
      <c r="AI222" s="645">
        <v>69.488948539693865</v>
      </c>
      <c r="AJ222" s="645">
        <v>23.724121611740912</v>
      </c>
      <c r="AK222" s="645">
        <v>1198.5611408040995</v>
      </c>
    </row>
    <row r="223" spans="3:37" x14ac:dyDescent="0.2">
      <c r="C223" s="634"/>
      <c r="D223" s="634"/>
      <c r="E223" s="634"/>
      <c r="F223" s="634"/>
      <c r="G223" s="634"/>
      <c r="H223" s="634"/>
      <c r="I223" s="634"/>
      <c r="J223" s="634"/>
      <c r="K223" s="634"/>
      <c r="L223" s="634"/>
      <c r="M223" s="634"/>
      <c r="N223" s="634"/>
      <c r="O223" s="634"/>
      <c r="P223" s="634"/>
      <c r="Q223" s="634"/>
      <c r="R223" s="634"/>
      <c r="S223" s="634"/>
      <c r="U223" s="634"/>
      <c r="V223" s="634"/>
      <c r="W223" s="634"/>
      <c r="X223" s="634"/>
      <c r="Y223" s="634"/>
      <c r="Z223" s="634"/>
      <c r="AA223" s="634"/>
      <c r="AB223" s="634"/>
      <c r="AC223" s="634"/>
      <c r="AD223" s="634"/>
      <c r="AE223" s="634"/>
      <c r="AF223" s="634"/>
      <c r="AG223" s="634"/>
      <c r="AH223" s="634"/>
      <c r="AI223" s="634"/>
      <c r="AJ223" s="634"/>
      <c r="AK223" s="634"/>
    </row>
    <row r="224" spans="3:37" ht="22.5" x14ac:dyDescent="0.3">
      <c r="C224" s="759" t="s">
        <v>518</v>
      </c>
      <c r="D224" s="759"/>
      <c r="E224" s="759"/>
      <c r="F224" s="759"/>
      <c r="G224" s="759"/>
      <c r="H224" s="759"/>
      <c r="I224" s="759"/>
      <c r="J224" s="759"/>
      <c r="K224" s="759"/>
      <c r="L224" s="759"/>
      <c r="M224" s="759"/>
      <c r="N224" s="759"/>
      <c r="O224" s="759"/>
      <c r="P224" s="759"/>
      <c r="Q224" s="759"/>
      <c r="R224" s="759"/>
      <c r="S224" s="759"/>
      <c r="U224" s="759" t="s">
        <v>518</v>
      </c>
      <c r="V224" s="759"/>
      <c r="W224" s="759"/>
      <c r="X224" s="759"/>
      <c r="Y224" s="759"/>
      <c r="Z224" s="759"/>
      <c r="AA224" s="759"/>
      <c r="AB224" s="759"/>
      <c r="AC224" s="759"/>
      <c r="AD224" s="759"/>
      <c r="AE224" s="759"/>
      <c r="AF224" s="759"/>
      <c r="AG224" s="759"/>
      <c r="AH224" s="759"/>
      <c r="AI224" s="759"/>
      <c r="AJ224" s="759"/>
      <c r="AK224" s="759"/>
    </row>
    <row r="225" spans="3:37" x14ac:dyDescent="0.2">
      <c r="C225" s="634"/>
      <c r="D225" s="634"/>
      <c r="E225" s="634"/>
      <c r="F225" s="634"/>
      <c r="G225" s="634"/>
      <c r="H225" s="634"/>
      <c r="I225" s="634"/>
      <c r="J225" s="634"/>
      <c r="K225" s="634"/>
      <c r="L225" s="634"/>
      <c r="M225" s="634"/>
      <c r="N225" s="634"/>
      <c r="O225" s="634"/>
      <c r="P225" s="634"/>
      <c r="Q225" s="634"/>
      <c r="R225" s="634"/>
      <c r="S225" s="634"/>
      <c r="U225" s="634"/>
      <c r="V225" s="634"/>
      <c r="W225" s="634"/>
      <c r="X225" s="634"/>
      <c r="Y225" s="634"/>
      <c r="Z225" s="634"/>
      <c r="AA225" s="634"/>
      <c r="AB225" s="634"/>
      <c r="AC225" s="634"/>
      <c r="AD225" s="634"/>
      <c r="AE225" s="634"/>
      <c r="AF225" s="634"/>
      <c r="AG225" s="634"/>
      <c r="AH225" s="634"/>
      <c r="AI225" s="634"/>
      <c r="AJ225" s="634"/>
      <c r="AK225" s="634"/>
    </row>
    <row r="226" spans="3:37" ht="12.95" customHeight="1" x14ac:dyDescent="0.2">
      <c r="C226" s="758" t="s">
        <v>128</v>
      </c>
      <c r="D226" s="757" t="s">
        <v>42</v>
      </c>
      <c r="E226" s="757" t="s">
        <v>52</v>
      </c>
      <c r="F226" s="757" t="s">
        <v>53</v>
      </c>
      <c r="G226" s="757" t="s">
        <v>32</v>
      </c>
      <c r="H226" s="757" t="s">
        <v>20</v>
      </c>
      <c r="I226" s="757" t="s">
        <v>55</v>
      </c>
      <c r="J226" s="757" t="s">
        <v>56</v>
      </c>
      <c r="K226" s="757"/>
      <c r="L226" s="757"/>
      <c r="M226" s="757"/>
      <c r="N226" s="757"/>
      <c r="O226" s="757"/>
      <c r="P226" s="757" t="s">
        <v>57</v>
      </c>
      <c r="Q226" s="757" t="s">
        <v>58</v>
      </c>
      <c r="R226" s="757" t="s">
        <v>31</v>
      </c>
      <c r="S226" s="757" t="s">
        <v>10</v>
      </c>
      <c r="U226" s="758" t="s">
        <v>128</v>
      </c>
      <c r="V226" s="757" t="s">
        <v>42</v>
      </c>
      <c r="W226" s="757" t="s">
        <v>52</v>
      </c>
      <c r="X226" s="757" t="s">
        <v>53</v>
      </c>
      <c r="Y226" s="757" t="s">
        <v>32</v>
      </c>
      <c r="Z226" s="757" t="s">
        <v>20</v>
      </c>
      <c r="AA226" s="757" t="s">
        <v>55</v>
      </c>
      <c r="AB226" s="757" t="s">
        <v>56</v>
      </c>
      <c r="AC226" s="757"/>
      <c r="AD226" s="757"/>
      <c r="AE226" s="757"/>
      <c r="AF226" s="757"/>
      <c r="AG226" s="757"/>
      <c r="AH226" s="757" t="s">
        <v>57</v>
      </c>
      <c r="AI226" s="757" t="s">
        <v>58</v>
      </c>
      <c r="AJ226" s="757" t="s">
        <v>31</v>
      </c>
      <c r="AK226" s="757" t="s">
        <v>10</v>
      </c>
    </row>
    <row r="227" spans="3:37" ht="56.25" x14ac:dyDescent="0.2">
      <c r="C227" s="758"/>
      <c r="D227" s="757"/>
      <c r="E227" s="757"/>
      <c r="F227" s="757"/>
      <c r="G227" s="757"/>
      <c r="H227" s="757"/>
      <c r="I227" s="757"/>
      <c r="J227" s="638" t="s">
        <v>335</v>
      </c>
      <c r="K227" s="638" t="s">
        <v>40</v>
      </c>
      <c r="L227" s="638" t="s">
        <v>343</v>
      </c>
      <c r="M227" s="638" t="s">
        <v>344</v>
      </c>
      <c r="N227" s="638" t="s">
        <v>345</v>
      </c>
      <c r="O227" s="638" t="s">
        <v>346</v>
      </c>
      <c r="P227" s="757"/>
      <c r="Q227" s="757"/>
      <c r="R227" s="757"/>
      <c r="S227" s="757"/>
      <c r="U227" s="758"/>
      <c r="V227" s="757"/>
      <c r="W227" s="757"/>
      <c r="X227" s="757"/>
      <c r="Y227" s="757"/>
      <c r="Z227" s="757"/>
      <c r="AA227" s="757"/>
      <c r="AB227" s="638" t="s">
        <v>335</v>
      </c>
      <c r="AC227" s="638" t="s">
        <v>40</v>
      </c>
      <c r="AD227" s="638" t="s">
        <v>343</v>
      </c>
      <c r="AE227" s="638" t="s">
        <v>344</v>
      </c>
      <c r="AF227" s="638" t="s">
        <v>345</v>
      </c>
      <c r="AG227" s="638" t="s">
        <v>346</v>
      </c>
      <c r="AH227" s="757"/>
      <c r="AI227" s="757"/>
      <c r="AJ227" s="757"/>
      <c r="AK227" s="757"/>
    </row>
    <row r="228" spans="3:37" x14ac:dyDescent="0.2">
      <c r="C228" s="639" t="s">
        <v>59</v>
      </c>
      <c r="D228" s="640">
        <v>0</v>
      </c>
      <c r="E228" s="641">
        <v>0</v>
      </c>
      <c r="F228" s="641">
        <v>0</v>
      </c>
      <c r="G228" s="640">
        <v>0</v>
      </c>
      <c r="H228" s="641">
        <v>889.54545454545473</v>
      </c>
      <c r="I228" s="641">
        <v>290.38619522472999</v>
      </c>
      <c r="J228" s="641">
        <v>188.26463769943669</v>
      </c>
      <c r="K228" s="641">
        <v>20.519346122490408</v>
      </c>
      <c r="L228" s="641">
        <v>0.54648995449606019</v>
      </c>
      <c r="M228" s="641">
        <v>0.15914693380563083</v>
      </c>
      <c r="N228" s="641">
        <v>65.898689554178929</v>
      </c>
      <c r="O228" s="641">
        <v>11.930124482632028</v>
      </c>
      <c r="P228" s="642">
        <v>0</v>
      </c>
      <c r="Q228" s="641">
        <v>0</v>
      </c>
      <c r="R228" s="641">
        <v>0</v>
      </c>
      <c r="S228" s="643">
        <v>1467.2500845172242</v>
      </c>
      <c r="U228" s="639" t="s">
        <v>59</v>
      </c>
      <c r="V228" s="640">
        <v>0</v>
      </c>
      <c r="W228" s="641">
        <v>0</v>
      </c>
      <c r="X228" s="641">
        <v>0</v>
      </c>
      <c r="Y228" s="640">
        <v>0</v>
      </c>
      <c r="Z228" s="641">
        <v>873.030303030303</v>
      </c>
      <c r="AA228" s="641">
        <v>337.06619522473</v>
      </c>
      <c r="AB228" s="641">
        <v>206.15489309499102</v>
      </c>
      <c r="AC228" s="641">
        <v>37.137182251794961</v>
      </c>
      <c r="AD228" s="641">
        <v>0.54648995449606019</v>
      </c>
      <c r="AE228" s="641">
        <v>0.15914693380563083</v>
      </c>
      <c r="AF228" s="641">
        <v>103.02458403584798</v>
      </c>
      <c r="AG228" s="641">
        <v>25.833176078824131</v>
      </c>
      <c r="AH228" s="642">
        <v>0</v>
      </c>
      <c r="AI228" s="641">
        <v>0</v>
      </c>
      <c r="AJ228" s="641">
        <v>0</v>
      </c>
      <c r="AK228" s="643">
        <v>1582.9519706047927</v>
      </c>
    </row>
    <row r="229" spans="3:37" x14ac:dyDescent="0.2">
      <c r="C229" s="639" t="s">
        <v>60</v>
      </c>
      <c r="D229" s="640">
        <v>47.523331421865407</v>
      </c>
      <c r="E229" s="641">
        <v>492.37419513671523</v>
      </c>
      <c r="F229" s="641">
        <v>57.352326080251387</v>
      </c>
      <c r="G229" s="640">
        <v>328.8885225556333</v>
      </c>
      <c r="H229" s="641">
        <v>0</v>
      </c>
      <c r="I229" s="641">
        <v>0</v>
      </c>
      <c r="J229" s="641">
        <v>4.8075322078390377</v>
      </c>
      <c r="K229" s="641">
        <v>0</v>
      </c>
      <c r="L229" s="641">
        <v>2.6229179175778925</v>
      </c>
      <c r="M229" s="641">
        <v>0</v>
      </c>
      <c r="N229" s="641">
        <v>0</v>
      </c>
      <c r="O229" s="641">
        <v>0</v>
      </c>
      <c r="P229" s="642">
        <v>0</v>
      </c>
      <c r="Q229" s="641">
        <v>0</v>
      </c>
      <c r="R229" s="641">
        <v>0</v>
      </c>
      <c r="S229" s="643">
        <v>933.56882531988219</v>
      </c>
      <c r="U229" s="639" t="s">
        <v>60</v>
      </c>
      <c r="V229" s="640">
        <v>6.5260336126681251</v>
      </c>
      <c r="W229" s="641">
        <v>220.47790015098695</v>
      </c>
      <c r="X229" s="641">
        <v>14.513856185365357</v>
      </c>
      <c r="Y229" s="640">
        <v>102.1346675179243</v>
      </c>
      <c r="Z229" s="641">
        <v>0</v>
      </c>
      <c r="AA229" s="641">
        <v>0</v>
      </c>
      <c r="AB229" s="641">
        <v>4.8075322078390377</v>
      </c>
      <c r="AC229" s="641">
        <v>0</v>
      </c>
      <c r="AD229" s="641">
        <v>2.6229179175778925</v>
      </c>
      <c r="AE229" s="641">
        <v>0</v>
      </c>
      <c r="AF229" s="641">
        <v>0</v>
      </c>
      <c r="AG229" s="641">
        <v>0</v>
      </c>
      <c r="AH229" s="642">
        <v>0</v>
      </c>
      <c r="AI229" s="641">
        <v>0</v>
      </c>
      <c r="AJ229" s="641">
        <v>0</v>
      </c>
      <c r="AK229" s="643">
        <v>351.08290759236166</v>
      </c>
    </row>
    <row r="230" spans="3:37" x14ac:dyDescent="0.2">
      <c r="C230" s="639" t="s">
        <v>61</v>
      </c>
      <c r="D230" s="640">
        <v>0</v>
      </c>
      <c r="E230" s="641">
        <v>0</v>
      </c>
      <c r="F230" s="641">
        <v>0</v>
      </c>
      <c r="G230" s="640">
        <v>0</v>
      </c>
      <c r="H230" s="641">
        <v>0</v>
      </c>
      <c r="I230" s="641">
        <v>0</v>
      </c>
      <c r="J230" s="641">
        <v>0</v>
      </c>
      <c r="K230" s="641">
        <v>0</v>
      </c>
      <c r="L230" s="641">
        <v>0</v>
      </c>
      <c r="M230" s="641">
        <v>0</v>
      </c>
      <c r="N230" s="641">
        <v>0</v>
      </c>
      <c r="O230" s="641">
        <v>0</v>
      </c>
      <c r="P230" s="642">
        <v>-22.391147784534837</v>
      </c>
      <c r="Q230" s="641">
        <v>0</v>
      </c>
      <c r="R230" s="641">
        <v>0</v>
      </c>
      <c r="S230" s="643">
        <v>-22.391147784534837</v>
      </c>
      <c r="U230" s="639" t="s">
        <v>61</v>
      </c>
      <c r="V230" s="640">
        <v>0</v>
      </c>
      <c r="W230" s="641">
        <v>0</v>
      </c>
      <c r="X230" s="641">
        <v>-19.691193817618341</v>
      </c>
      <c r="Y230" s="640">
        <v>0</v>
      </c>
      <c r="Z230" s="641">
        <v>0</v>
      </c>
      <c r="AA230" s="641">
        <v>0</v>
      </c>
      <c r="AB230" s="641">
        <v>0</v>
      </c>
      <c r="AC230" s="641">
        <v>0</v>
      </c>
      <c r="AD230" s="641">
        <v>0</v>
      </c>
      <c r="AE230" s="641">
        <v>0</v>
      </c>
      <c r="AF230" s="641">
        <v>0</v>
      </c>
      <c r="AG230" s="641">
        <v>0</v>
      </c>
      <c r="AH230" s="642">
        <v>-17.389600315785174</v>
      </c>
      <c r="AI230" s="641">
        <v>0</v>
      </c>
      <c r="AJ230" s="641">
        <v>0</v>
      </c>
      <c r="AK230" s="643">
        <v>-37.080794133403515</v>
      </c>
    </row>
    <row r="231" spans="3:37" x14ac:dyDescent="0.2">
      <c r="C231" s="639" t="s">
        <v>62</v>
      </c>
      <c r="D231" s="640">
        <v>0</v>
      </c>
      <c r="E231" s="641">
        <v>0</v>
      </c>
      <c r="F231" s="641">
        <v>-15.496739011683466</v>
      </c>
      <c r="G231" s="640">
        <v>0</v>
      </c>
      <c r="H231" s="641">
        <v>0</v>
      </c>
      <c r="I231" s="641">
        <v>0</v>
      </c>
      <c r="J231" s="641">
        <v>0</v>
      </c>
      <c r="K231" s="641">
        <v>0</v>
      </c>
      <c r="L231" s="641">
        <v>0</v>
      </c>
      <c r="M231" s="641">
        <v>0</v>
      </c>
      <c r="N231" s="641">
        <v>0</v>
      </c>
      <c r="O231" s="641">
        <v>0</v>
      </c>
      <c r="P231" s="642">
        <v>0</v>
      </c>
      <c r="Q231" s="641">
        <v>0</v>
      </c>
      <c r="R231" s="641">
        <v>0</v>
      </c>
      <c r="S231" s="643">
        <v>-15.496739011683466</v>
      </c>
      <c r="U231" s="639" t="s">
        <v>62</v>
      </c>
      <c r="V231" s="640">
        <v>0</v>
      </c>
      <c r="W231" s="641">
        <v>0</v>
      </c>
      <c r="X231" s="641">
        <v>-8.5387827474702789</v>
      </c>
      <c r="Y231" s="640">
        <v>-2.2272473327152178</v>
      </c>
      <c r="Z231" s="641">
        <v>0</v>
      </c>
      <c r="AA231" s="641">
        <v>0</v>
      </c>
      <c r="AB231" s="641">
        <v>0</v>
      </c>
      <c r="AC231" s="641">
        <v>0</v>
      </c>
      <c r="AD231" s="641">
        <v>0</v>
      </c>
      <c r="AE231" s="641">
        <v>-1.7037211969591732</v>
      </c>
      <c r="AF231" s="641">
        <v>0</v>
      </c>
      <c r="AG231" s="641">
        <v>0</v>
      </c>
      <c r="AH231" s="642">
        <v>0</v>
      </c>
      <c r="AI231" s="641">
        <v>0</v>
      </c>
      <c r="AJ231" s="641">
        <v>0</v>
      </c>
      <c r="AK231" s="643">
        <v>-12.46975127714467</v>
      </c>
    </row>
    <row r="232" spans="3:37" x14ac:dyDescent="0.2">
      <c r="C232" s="639" t="s">
        <v>63</v>
      </c>
      <c r="D232" s="640">
        <v>0</v>
      </c>
      <c r="E232" s="641">
        <v>0</v>
      </c>
      <c r="F232" s="641">
        <v>-89.42656352071144</v>
      </c>
      <c r="G232" s="640">
        <v>0</v>
      </c>
      <c r="H232" s="641">
        <v>0</v>
      </c>
      <c r="I232" s="641">
        <v>0</v>
      </c>
      <c r="J232" s="641">
        <v>0</v>
      </c>
      <c r="K232" s="641">
        <v>0</v>
      </c>
      <c r="L232" s="641">
        <v>-0.92190198395554845</v>
      </c>
      <c r="M232" s="641">
        <v>0</v>
      </c>
      <c r="N232" s="641">
        <v>0</v>
      </c>
      <c r="O232" s="641">
        <v>0</v>
      </c>
      <c r="P232" s="642">
        <v>0</v>
      </c>
      <c r="Q232" s="641">
        <v>0</v>
      </c>
      <c r="R232" s="641">
        <v>0</v>
      </c>
      <c r="S232" s="643">
        <v>-90.34846550466699</v>
      </c>
      <c r="U232" s="639" t="s">
        <v>63</v>
      </c>
      <c r="V232" s="640">
        <v>0</v>
      </c>
      <c r="W232" s="641">
        <v>0</v>
      </c>
      <c r="X232" s="641">
        <v>-55.486888716289528</v>
      </c>
      <c r="Y232" s="640">
        <v>0</v>
      </c>
      <c r="Z232" s="641">
        <v>0</v>
      </c>
      <c r="AA232" s="641">
        <v>0</v>
      </c>
      <c r="AB232" s="641">
        <v>0</v>
      </c>
      <c r="AC232" s="641">
        <v>0</v>
      </c>
      <c r="AD232" s="641">
        <v>-26.575233608452013</v>
      </c>
      <c r="AE232" s="641">
        <v>0</v>
      </c>
      <c r="AF232" s="641">
        <v>0</v>
      </c>
      <c r="AG232" s="641">
        <v>0</v>
      </c>
      <c r="AH232" s="642">
        <v>0</v>
      </c>
      <c r="AI232" s="641">
        <v>0</v>
      </c>
      <c r="AJ232" s="641">
        <v>0</v>
      </c>
      <c r="AK232" s="643">
        <v>-82.062122324741537</v>
      </c>
    </row>
    <row r="233" spans="3:37" x14ac:dyDescent="0.2">
      <c r="C233" s="639" t="s">
        <v>64</v>
      </c>
      <c r="D233" s="640">
        <v>0</v>
      </c>
      <c r="E233" s="641">
        <v>0</v>
      </c>
      <c r="F233" s="641">
        <v>0</v>
      </c>
      <c r="G233" s="640">
        <v>0</v>
      </c>
      <c r="H233" s="641">
        <v>0</v>
      </c>
      <c r="I233" s="641">
        <v>0</v>
      </c>
      <c r="J233" s="641">
        <v>0</v>
      </c>
      <c r="K233" s="641">
        <v>0</v>
      </c>
      <c r="L233" s="641">
        <v>0</v>
      </c>
      <c r="M233" s="641">
        <v>0</v>
      </c>
      <c r="N233" s="641">
        <v>0</v>
      </c>
      <c r="O233" s="641">
        <v>0</v>
      </c>
      <c r="P233" s="642">
        <v>0</v>
      </c>
      <c r="Q233" s="641">
        <v>0</v>
      </c>
      <c r="R233" s="641">
        <v>0</v>
      </c>
      <c r="S233" s="643">
        <v>0</v>
      </c>
      <c r="U233" s="639" t="s">
        <v>64</v>
      </c>
      <c r="V233" s="640">
        <v>0</v>
      </c>
      <c r="W233" s="641">
        <v>0</v>
      </c>
      <c r="X233" s="641">
        <v>0</v>
      </c>
      <c r="Y233" s="640">
        <v>0</v>
      </c>
      <c r="Z233" s="641">
        <v>0</v>
      </c>
      <c r="AA233" s="641">
        <v>0</v>
      </c>
      <c r="AB233" s="641">
        <v>0</v>
      </c>
      <c r="AC233" s="641">
        <v>0</v>
      </c>
      <c r="AD233" s="641">
        <v>0</v>
      </c>
      <c r="AE233" s="641">
        <v>0</v>
      </c>
      <c r="AF233" s="641">
        <v>0</v>
      </c>
      <c r="AG233" s="641">
        <v>0</v>
      </c>
      <c r="AH233" s="642">
        <v>0</v>
      </c>
      <c r="AI233" s="641">
        <v>0</v>
      </c>
      <c r="AJ233" s="641">
        <v>0</v>
      </c>
      <c r="AK233" s="643">
        <v>0</v>
      </c>
    </row>
    <row r="234" spans="3:37" x14ac:dyDescent="0.2">
      <c r="C234" s="644" t="s">
        <v>65</v>
      </c>
      <c r="D234" s="645">
        <v>47.523331421865407</v>
      </c>
      <c r="E234" s="645">
        <v>492.37419513671523</v>
      </c>
      <c r="F234" s="645">
        <v>-47.570976452143519</v>
      </c>
      <c r="G234" s="645">
        <v>328.8885225556333</v>
      </c>
      <c r="H234" s="645">
        <v>889.54545454545473</v>
      </c>
      <c r="I234" s="645">
        <v>290.38619522472999</v>
      </c>
      <c r="J234" s="645">
        <v>193.07216990727574</v>
      </c>
      <c r="K234" s="645">
        <v>20.519346122490408</v>
      </c>
      <c r="L234" s="645">
        <v>2.247505888118404</v>
      </c>
      <c r="M234" s="645">
        <v>0.15914693380563083</v>
      </c>
      <c r="N234" s="645">
        <v>65.898689554178929</v>
      </c>
      <c r="O234" s="645">
        <v>11.930124482632028</v>
      </c>
      <c r="P234" s="645">
        <v>-22.391147784534837</v>
      </c>
      <c r="Q234" s="645">
        <v>0</v>
      </c>
      <c r="R234" s="645">
        <v>0</v>
      </c>
      <c r="S234" s="645">
        <v>2272.5825575362214</v>
      </c>
      <c r="U234" s="644" t="s">
        <v>65</v>
      </c>
      <c r="V234" s="645">
        <v>6.5260336126681251</v>
      </c>
      <c r="W234" s="645">
        <v>220.47790015098695</v>
      </c>
      <c r="X234" s="645">
        <v>-69.203009096012792</v>
      </c>
      <c r="Y234" s="645">
        <v>99.907420185209077</v>
      </c>
      <c r="Z234" s="645">
        <v>873.030303030303</v>
      </c>
      <c r="AA234" s="645">
        <v>337.06619522473</v>
      </c>
      <c r="AB234" s="645">
        <v>210.96242530283007</v>
      </c>
      <c r="AC234" s="645">
        <v>37.137182251794961</v>
      </c>
      <c r="AD234" s="645">
        <v>-23.405825736378059</v>
      </c>
      <c r="AE234" s="645">
        <v>-1.5445742631535424</v>
      </c>
      <c r="AF234" s="645">
        <v>103.02458403584798</v>
      </c>
      <c r="AG234" s="645">
        <v>25.833176078824131</v>
      </c>
      <c r="AH234" s="645">
        <v>-17.389600315785174</v>
      </c>
      <c r="AI234" s="645">
        <v>0</v>
      </c>
      <c r="AJ234" s="645">
        <v>0</v>
      </c>
      <c r="AK234" s="645">
        <v>1802.4222104618648</v>
      </c>
    </row>
    <row r="235" spans="3:37" x14ac:dyDescent="0.2">
      <c r="C235" s="634"/>
      <c r="D235" s="634">
        <v>0</v>
      </c>
      <c r="E235" s="634">
        <v>0</v>
      </c>
      <c r="F235" s="634">
        <v>0</v>
      </c>
      <c r="G235" s="634">
        <v>0</v>
      </c>
      <c r="H235" s="634">
        <v>0</v>
      </c>
      <c r="I235" s="634">
        <v>0</v>
      </c>
      <c r="J235" s="634">
        <v>0</v>
      </c>
      <c r="K235" s="634">
        <v>0</v>
      </c>
      <c r="L235" s="634">
        <v>0</v>
      </c>
      <c r="M235" s="634">
        <v>0</v>
      </c>
      <c r="N235" s="634">
        <v>0</v>
      </c>
      <c r="O235" s="634">
        <v>0</v>
      </c>
      <c r="P235" s="634">
        <v>0</v>
      </c>
      <c r="Q235" s="634">
        <v>0</v>
      </c>
      <c r="R235" s="634">
        <v>0</v>
      </c>
      <c r="S235" s="634">
        <v>0</v>
      </c>
      <c r="U235" s="634"/>
      <c r="V235" s="634">
        <v>0</v>
      </c>
      <c r="W235" s="634">
        <v>0</v>
      </c>
      <c r="X235" s="634">
        <v>0</v>
      </c>
      <c r="Y235" s="634">
        <v>0</v>
      </c>
      <c r="Z235" s="634">
        <v>0</v>
      </c>
      <c r="AA235" s="634">
        <v>0</v>
      </c>
      <c r="AB235" s="634">
        <v>0</v>
      </c>
      <c r="AC235" s="634">
        <v>0</v>
      </c>
      <c r="AD235" s="634">
        <v>0</v>
      </c>
      <c r="AE235" s="634">
        <v>0</v>
      </c>
      <c r="AF235" s="634">
        <v>0</v>
      </c>
      <c r="AG235" s="634">
        <v>0</v>
      </c>
      <c r="AH235" s="634">
        <v>0</v>
      </c>
      <c r="AI235" s="634">
        <v>0</v>
      </c>
      <c r="AJ235" s="634">
        <v>0</v>
      </c>
      <c r="AK235" s="634">
        <v>0</v>
      </c>
    </row>
    <row r="236" spans="3:37" x14ac:dyDescent="0.2">
      <c r="C236" s="646" t="s">
        <v>67</v>
      </c>
      <c r="D236" s="640">
        <v>0</v>
      </c>
      <c r="E236" s="647">
        <v>0</v>
      </c>
      <c r="F236" s="647">
        <v>0</v>
      </c>
      <c r="G236" s="640">
        <v>0</v>
      </c>
      <c r="H236" s="640">
        <v>0</v>
      </c>
      <c r="I236" s="640">
        <v>0</v>
      </c>
      <c r="J236" s="640">
        <v>0</v>
      </c>
      <c r="K236" s="640">
        <v>0</v>
      </c>
      <c r="L236" s="640">
        <v>0</v>
      </c>
      <c r="M236" s="640">
        <v>0</v>
      </c>
      <c r="N236" s="640">
        <v>0</v>
      </c>
      <c r="O236" s="640">
        <v>0</v>
      </c>
      <c r="P236" s="640">
        <v>0</v>
      </c>
      <c r="Q236" s="640">
        <v>0</v>
      </c>
      <c r="R236" s="640">
        <v>0</v>
      </c>
      <c r="S236" s="648">
        <v>0</v>
      </c>
      <c r="U236" s="646" t="s">
        <v>67</v>
      </c>
      <c r="V236" s="640">
        <v>0</v>
      </c>
      <c r="W236" s="647">
        <v>0</v>
      </c>
      <c r="X236" s="647">
        <v>0</v>
      </c>
      <c r="Y236" s="640">
        <v>0</v>
      </c>
      <c r="Z236" s="640">
        <v>0</v>
      </c>
      <c r="AA236" s="640">
        <v>0</v>
      </c>
      <c r="AB236" s="640">
        <v>0</v>
      </c>
      <c r="AC236" s="640">
        <v>0</v>
      </c>
      <c r="AD236" s="640">
        <v>0</v>
      </c>
      <c r="AE236" s="640">
        <v>0</v>
      </c>
      <c r="AF236" s="640">
        <v>0</v>
      </c>
      <c r="AG236" s="640">
        <v>0</v>
      </c>
      <c r="AH236" s="640">
        <v>0</v>
      </c>
      <c r="AI236" s="640">
        <v>0</v>
      </c>
      <c r="AJ236" s="640">
        <v>0</v>
      </c>
      <c r="AK236" s="648">
        <v>0</v>
      </c>
    </row>
    <row r="237" spans="3:37" x14ac:dyDescent="0.2">
      <c r="C237" s="646" t="s">
        <v>347</v>
      </c>
      <c r="D237" s="640">
        <v>2.8267856410252494</v>
      </c>
      <c r="E237" s="640">
        <v>0</v>
      </c>
      <c r="F237" s="640">
        <v>7.7625293209280457</v>
      </c>
      <c r="G237" s="640">
        <v>16.824034334763951</v>
      </c>
      <c r="H237" s="640">
        <v>889.54545454545473</v>
      </c>
      <c r="I237" s="640">
        <v>290.38619522472999</v>
      </c>
      <c r="J237" s="649">
        <v>29.234857813431841</v>
      </c>
      <c r="K237" s="649">
        <v>6.7467623730381456</v>
      </c>
      <c r="L237" s="649">
        <v>3.1694078720739522</v>
      </c>
      <c r="M237" s="649">
        <v>0.46915285357606595</v>
      </c>
      <c r="N237" s="649">
        <v>0</v>
      </c>
      <c r="O237" s="649">
        <v>6.9727309871777221</v>
      </c>
      <c r="P237" s="640">
        <v>-615.41357369902562</v>
      </c>
      <c r="Q237" s="640">
        <v>0</v>
      </c>
      <c r="R237" s="640">
        <v>0</v>
      </c>
      <c r="S237" s="648">
        <v>638.52433726717402</v>
      </c>
      <c r="U237" s="646" t="s">
        <v>347</v>
      </c>
      <c r="V237" s="640">
        <v>0.62631490545869017</v>
      </c>
      <c r="W237" s="640">
        <v>0</v>
      </c>
      <c r="X237" s="640">
        <v>3.8988929572916824</v>
      </c>
      <c r="Y237" s="640">
        <v>3.6741630901287547</v>
      </c>
      <c r="Z237" s="640">
        <v>873.030303030303</v>
      </c>
      <c r="AA237" s="640">
        <v>337.06619522473</v>
      </c>
      <c r="AB237" s="649">
        <v>23.429523439383615</v>
      </c>
      <c r="AC237" s="649">
        <v>5.4991881500691626</v>
      </c>
      <c r="AD237" s="649">
        <v>3.1694078720739522</v>
      </c>
      <c r="AE237" s="649">
        <v>2.7864060724601858</v>
      </c>
      <c r="AF237" s="649">
        <v>0</v>
      </c>
      <c r="AG237" s="649">
        <v>6.9727309871777221</v>
      </c>
      <c r="AH237" s="640">
        <v>-649.11357369902544</v>
      </c>
      <c r="AI237" s="640">
        <v>0</v>
      </c>
      <c r="AJ237" s="640">
        <v>4.45</v>
      </c>
      <c r="AK237" s="648">
        <v>615.48955203005141</v>
      </c>
    </row>
    <row r="238" spans="3:37" x14ac:dyDescent="0.2">
      <c r="C238" s="646" t="s">
        <v>348</v>
      </c>
      <c r="D238" s="640">
        <v>0</v>
      </c>
      <c r="E238" s="640">
        <v>0</v>
      </c>
      <c r="F238" s="640">
        <v>0</v>
      </c>
      <c r="G238" s="640">
        <v>14.896462034387394</v>
      </c>
      <c r="H238" s="640">
        <v>0</v>
      </c>
      <c r="I238" s="640">
        <v>0</v>
      </c>
      <c r="J238" s="649">
        <v>12.461036592610267</v>
      </c>
      <c r="K238" s="649">
        <v>11.927183871567582</v>
      </c>
      <c r="L238" s="649">
        <v>0</v>
      </c>
      <c r="M238" s="649">
        <v>0.3188738120209938</v>
      </c>
      <c r="N238" s="649">
        <v>0</v>
      </c>
      <c r="O238" s="649">
        <v>2.1085025260592274</v>
      </c>
      <c r="P238" s="640">
        <v>0</v>
      </c>
      <c r="Q238" s="640">
        <v>-37.934258390495422</v>
      </c>
      <c r="R238" s="640">
        <v>0</v>
      </c>
      <c r="S238" s="648">
        <v>3.7778004461500441</v>
      </c>
      <c r="U238" s="646" t="s">
        <v>348</v>
      </c>
      <c r="V238" s="640">
        <v>0</v>
      </c>
      <c r="W238" s="640">
        <v>0</v>
      </c>
      <c r="X238" s="640">
        <v>0</v>
      </c>
      <c r="Y238" s="640">
        <v>8.218662070491261</v>
      </c>
      <c r="Z238" s="640">
        <v>0</v>
      </c>
      <c r="AA238" s="640">
        <v>0</v>
      </c>
      <c r="AB238" s="649">
        <v>28.560818034272483</v>
      </c>
      <c r="AC238" s="649">
        <v>26.163217208510932</v>
      </c>
      <c r="AD238" s="649">
        <v>0</v>
      </c>
      <c r="AE238" s="649">
        <v>5.9663093303449024</v>
      </c>
      <c r="AF238" s="649">
        <v>0</v>
      </c>
      <c r="AG238" s="649">
        <v>11.832895483778962</v>
      </c>
      <c r="AH238" s="640">
        <v>0</v>
      </c>
      <c r="AI238" s="640">
        <v>-74.578675527513624</v>
      </c>
      <c r="AJ238" s="640">
        <v>0</v>
      </c>
      <c r="AK238" s="648">
        <v>6.1632265998849274</v>
      </c>
    </row>
    <row r="239" spans="3:37" x14ac:dyDescent="0.2">
      <c r="C239" s="646" t="s">
        <v>349</v>
      </c>
      <c r="D239" s="640">
        <v>0</v>
      </c>
      <c r="E239" s="640">
        <v>0</v>
      </c>
      <c r="F239" s="640">
        <v>0</v>
      </c>
      <c r="G239" s="640">
        <v>0</v>
      </c>
      <c r="H239" s="640">
        <v>0</v>
      </c>
      <c r="I239" s="640">
        <v>0</v>
      </c>
      <c r="J239" s="650">
        <v>6.9979956174374891</v>
      </c>
      <c r="K239" s="650">
        <v>0</v>
      </c>
      <c r="L239" s="650">
        <v>0</v>
      </c>
      <c r="M239" s="650">
        <v>-6.4748954450340372</v>
      </c>
      <c r="N239" s="650">
        <v>0</v>
      </c>
      <c r="O239" s="650">
        <v>0</v>
      </c>
      <c r="P239" s="640">
        <v>0</v>
      </c>
      <c r="Q239" s="640">
        <v>0</v>
      </c>
      <c r="R239" s="640">
        <v>0</v>
      </c>
      <c r="S239" s="648">
        <v>0.52310017240345186</v>
      </c>
      <c r="U239" s="646" t="s">
        <v>349</v>
      </c>
      <c r="V239" s="640">
        <v>0</v>
      </c>
      <c r="W239" s="640">
        <v>0</v>
      </c>
      <c r="X239" s="640">
        <v>0</v>
      </c>
      <c r="Y239" s="640">
        <v>0</v>
      </c>
      <c r="Z239" s="640">
        <v>0</v>
      </c>
      <c r="AA239" s="640">
        <v>0</v>
      </c>
      <c r="AB239" s="650">
        <v>79.198989478899776</v>
      </c>
      <c r="AC239" s="650">
        <v>0</v>
      </c>
      <c r="AD239" s="650">
        <v>0</v>
      </c>
      <c r="AE239" s="650">
        <v>-73.278865015352025</v>
      </c>
      <c r="AF239" s="650">
        <v>0</v>
      </c>
      <c r="AG239" s="650">
        <v>0</v>
      </c>
      <c r="AH239" s="640">
        <v>0</v>
      </c>
      <c r="AI239" s="640">
        <v>0</v>
      </c>
      <c r="AJ239" s="640">
        <v>0</v>
      </c>
      <c r="AK239" s="648">
        <v>5.9201244635477508</v>
      </c>
    </row>
    <row r="240" spans="3:37" x14ac:dyDescent="0.2">
      <c r="C240" s="646" t="s">
        <v>350</v>
      </c>
      <c r="D240" s="640">
        <v>0</v>
      </c>
      <c r="E240" s="640">
        <v>0</v>
      </c>
      <c r="F240" s="640">
        <v>0</v>
      </c>
      <c r="G240" s="640">
        <v>0</v>
      </c>
      <c r="H240" s="640">
        <v>0</v>
      </c>
      <c r="I240" s="640">
        <v>0</v>
      </c>
      <c r="J240" s="640">
        <v>0</v>
      </c>
      <c r="K240" s="640">
        <v>0</v>
      </c>
      <c r="L240" s="640">
        <v>0</v>
      </c>
      <c r="M240" s="640">
        <v>0</v>
      </c>
      <c r="N240" s="640">
        <v>0</v>
      </c>
      <c r="O240" s="640">
        <v>0</v>
      </c>
      <c r="P240" s="640">
        <v>0</v>
      </c>
      <c r="Q240" s="640">
        <v>0</v>
      </c>
      <c r="R240" s="640">
        <v>0</v>
      </c>
      <c r="S240" s="648">
        <v>0</v>
      </c>
      <c r="U240" s="646" t="s">
        <v>350</v>
      </c>
      <c r="V240" s="640">
        <v>0</v>
      </c>
      <c r="W240" s="640">
        <v>0</v>
      </c>
      <c r="X240" s="640">
        <v>0</v>
      </c>
      <c r="Y240" s="640">
        <v>0</v>
      </c>
      <c r="Z240" s="640">
        <v>0</v>
      </c>
      <c r="AA240" s="640">
        <v>0</v>
      </c>
      <c r="AB240" s="640">
        <v>0</v>
      </c>
      <c r="AC240" s="640">
        <v>0</v>
      </c>
      <c r="AD240" s="640">
        <v>0</v>
      </c>
      <c r="AE240" s="640">
        <v>0</v>
      </c>
      <c r="AF240" s="640">
        <v>0</v>
      </c>
      <c r="AG240" s="640">
        <v>0</v>
      </c>
      <c r="AH240" s="640">
        <v>0</v>
      </c>
      <c r="AI240" s="640">
        <v>0</v>
      </c>
      <c r="AJ240" s="640">
        <v>0</v>
      </c>
      <c r="AK240" s="648">
        <v>0</v>
      </c>
    </row>
    <row r="241" spans="3:37" x14ac:dyDescent="0.2">
      <c r="C241" s="646" t="s">
        <v>72</v>
      </c>
      <c r="D241" s="640">
        <v>0</v>
      </c>
      <c r="E241" s="640">
        <v>510.04733530503466</v>
      </c>
      <c r="F241" s="640">
        <v>-504.94686195198432</v>
      </c>
      <c r="G241" s="640">
        <v>0</v>
      </c>
      <c r="H241" s="640">
        <v>0</v>
      </c>
      <c r="I241" s="640">
        <v>0</v>
      </c>
      <c r="J241" s="640">
        <v>0</v>
      </c>
      <c r="K241" s="640">
        <v>0</v>
      </c>
      <c r="L241" s="640">
        <v>0</v>
      </c>
      <c r="M241" s="640">
        <v>0</v>
      </c>
      <c r="N241" s="640">
        <v>0</v>
      </c>
      <c r="O241" s="640">
        <v>0</v>
      </c>
      <c r="P241" s="640">
        <v>0</v>
      </c>
      <c r="Q241" s="640">
        <v>0</v>
      </c>
      <c r="R241" s="640">
        <v>0</v>
      </c>
      <c r="S241" s="648">
        <v>5.1004733530503472</v>
      </c>
      <c r="U241" s="646" t="s">
        <v>72</v>
      </c>
      <c r="V241" s="640">
        <v>0</v>
      </c>
      <c r="W241" s="640">
        <v>228.3916715709193</v>
      </c>
      <c r="X241" s="640">
        <v>-226.10775485521012</v>
      </c>
      <c r="Y241" s="640">
        <v>0</v>
      </c>
      <c r="Z241" s="640">
        <v>0</v>
      </c>
      <c r="AA241" s="640">
        <v>0</v>
      </c>
      <c r="AB241" s="640">
        <v>0</v>
      </c>
      <c r="AC241" s="640">
        <v>0</v>
      </c>
      <c r="AD241" s="640">
        <v>0</v>
      </c>
      <c r="AE241" s="640">
        <v>0</v>
      </c>
      <c r="AF241" s="640">
        <v>0</v>
      </c>
      <c r="AG241" s="640">
        <v>0</v>
      </c>
      <c r="AH241" s="640">
        <v>0</v>
      </c>
      <c r="AI241" s="640">
        <v>0</v>
      </c>
      <c r="AJ241" s="640">
        <v>0</v>
      </c>
      <c r="AK241" s="648">
        <v>2.2839167157091822</v>
      </c>
    </row>
    <row r="242" spans="3:37" x14ac:dyDescent="0.2">
      <c r="C242" s="646" t="s">
        <v>351</v>
      </c>
      <c r="D242" s="640">
        <v>0</v>
      </c>
      <c r="E242" s="640">
        <v>0</v>
      </c>
      <c r="F242" s="640">
        <v>0</v>
      </c>
      <c r="G242" s="640">
        <v>0</v>
      </c>
      <c r="H242" s="640">
        <v>0</v>
      </c>
      <c r="I242" s="640">
        <v>0</v>
      </c>
      <c r="J242" s="640">
        <v>27.710201800923624</v>
      </c>
      <c r="K242" s="640">
        <v>0</v>
      </c>
      <c r="L242" s="640">
        <v>-27.710201800923624</v>
      </c>
      <c r="M242" s="640">
        <v>0</v>
      </c>
      <c r="N242" s="640">
        <v>0</v>
      </c>
      <c r="O242" s="640">
        <v>0</v>
      </c>
      <c r="P242" s="640">
        <v>0</v>
      </c>
      <c r="Q242" s="640">
        <v>0</v>
      </c>
      <c r="R242" s="640">
        <v>0</v>
      </c>
      <c r="S242" s="648">
        <v>0</v>
      </c>
      <c r="U242" s="646" t="s">
        <v>351</v>
      </c>
      <c r="V242" s="640">
        <v>0</v>
      </c>
      <c r="W242" s="640">
        <v>0</v>
      </c>
      <c r="X242" s="640">
        <v>0</v>
      </c>
      <c r="Y242" s="640">
        <v>0</v>
      </c>
      <c r="Z242" s="640">
        <v>0</v>
      </c>
      <c r="AA242" s="640">
        <v>0</v>
      </c>
      <c r="AB242" s="640" t="e">
        <v>#VALUE!</v>
      </c>
      <c r="AC242" s="640">
        <v>0</v>
      </c>
      <c r="AD242" s="640">
        <v>-101.17003146857277</v>
      </c>
      <c r="AE242" s="640">
        <v>0</v>
      </c>
      <c r="AF242" s="640">
        <v>0</v>
      </c>
      <c r="AG242" s="640">
        <v>0</v>
      </c>
      <c r="AH242" s="640">
        <v>0</v>
      </c>
      <c r="AI242" s="640">
        <v>0</v>
      </c>
      <c r="AJ242" s="640">
        <v>0</v>
      </c>
      <c r="AK242" s="648">
        <v>-101.17003146857277</v>
      </c>
    </row>
    <row r="243" spans="3:37" x14ac:dyDescent="0.2">
      <c r="C243" s="646" t="s">
        <v>352</v>
      </c>
      <c r="D243" s="640">
        <v>0</v>
      </c>
      <c r="E243" s="640">
        <v>0</v>
      </c>
      <c r="F243" s="640">
        <v>0</v>
      </c>
      <c r="G243" s="640">
        <v>0</v>
      </c>
      <c r="H243" s="640">
        <v>0</v>
      </c>
      <c r="I243" s="640">
        <v>0</v>
      </c>
      <c r="J243" s="640">
        <v>0</v>
      </c>
      <c r="K243" s="640">
        <v>0</v>
      </c>
      <c r="L243" s="640">
        <v>0</v>
      </c>
      <c r="M243" s="640">
        <v>0</v>
      </c>
      <c r="N243" s="640">
        <v>0</v>
      </c>
      <c r="O243" s="640">
        <v>0</v>
      </c>
      <c r="P243" s="640">
        <v>0</v>
      </c>
      <c r="Q243" s="640">
        <v>0</v>
      </c>
      <c r="R243" s="640">
        <v>0</v>
      </c>
      <c r="S243" s="648">
        <v>0</v>
      </c>
      <c r="U243" s="646" t="s">
        <v>352</v>
      </c>
      <c r="V243" s="640">
        <v>0</v>
      </c>
      <c r="W243" s="640">
        <v>0</v>
      </c>
      <c r="X243" s="640">
        <v>0</v>
      </c>
      <c r="Y243" s="640">
        <v>0</v>
      </c>
      <c r="Z243" s="640">
        <v>0</v>
      </c>
      <c r="AA243" s="640">
        <v>0</v>
      </c>
      <c r="AB243" s="640">
        <v>0</v>
      </c>
      <c r="AC243" s="640">
        <v>0</v>
      </c>
      <c r="AD243" s="640">
        <v>-18.691082885283098</v>
      </c>
      <c r="AE243" s="640">
        <v>0</v>
      </c>
      <c r="AF243" s="640">
        <v>0</v>
      </c>
      <c r="AG243" s="640">
        <v>0</v>
      </c>
      <c r="AH243" s="640">
        <v>0</v>
      </c>
      <c r="AI243" s="640">
        <v>0</v>
      </c>
      <c r="AJ243" s="640">
        <v>0</v>
      </c>
      <c r="AK243" s="648">
        <v>-18.691082885283098</v>
      </c>
    </row>
    <row r="244" spans="3:37" x14ac:dyDescent="0.2">
      <c r="C244" s="646" t="s">
        <v>73</v>
      </c>
      <c r="D244" s="640">
        <v>0</v>
      </c>
      <c r="E244" s="640">
        <v>0</v>
      </c>
      <c r="F244" s="640">
        <v>0</v>
      </c>
      <c r="G244" s="640">
        <v>6.2864428714474423</v>
      </c>
      <c r="H244" s="640">
        <v>0</v>
      </c>
      <c r="I244" s="640">
        <v>0</v>
      </c>
      <c r="J244" s="640">
        <v>0</v>
      </c>
      <c r="K244" s="640">
        <v>7.2564905248031233E-2</v>
      </c>
      <c r="L244" s="640">
        <v>0</v>
      </c>
      <c r="M244" s="640">
        <v>0.12829475247851924</v>
      </c>
      <c r="N244" s="640">
        <v>0</v>
      </c>
      <c r="O244" s="640">
        <v>0</v>
      </c>
      <c r="P244" s="640">
        <v>0.77416476914506349</v>
      </c>
      <c r="Q244" s="640">
        <v>0</v>
      </c>
      <c r="R244" s="640">
        <v>-5.0795433673621861</v>
      </c>
      <c r="S244" s="648">
        <v>2.1819239309568701</v>
      </c>
      <c r="U244" s="646" t="s">
        <v>73</v>
      </c>
      <c r="V244" s="640">
        <v>0</v>
      </c>
      <c r="W244" s="640">
        <v>0</v>
      </c>
      <c r="X244" s="640">
        <v>0</v>
      </c>
      <c r="Y244" s="640">
        <v>3.7837340239051791</v>
      </c>
      <c r="Z244" s="640">
        <v>0</v>
      </c>
      <c r="AA244" s="640">
        <v>0</v>
      </c>
      <c r="AB244" s="640">
        <v>0</v>
      </c>
      <c r="AC244" s="640">
        <v>0.46597709654004676</v>
      </c>
      <c r="AD244" s="640">
        <v>0</v>
      </c>
      <c r="AE244" s="640">
        <v>2.7399453276554748</v>
      </c>
      <c r="AF244" s="640">
        <v>0</v>
      </c>
      <c r="AG244" s="640">
        <v>0</v>
      </c>
      <c r="AH244" s="640">
        <v>39.864323859285086</v>
      </c>
      <c r="AI244" s="640">
        <v>0</v>
      </c>
      <c r="AJ244" s="640">
        <v>-32.618396757803268</v>
      </c>
      <c r="AK244" s="648">
        <v>14.235583549582522</v>
      </c>
    </row>
    <row r="245" spans="3:37" x14ac:dyDescent="0.2">
      <c r="C245" s="646" t="s">
        <v>353</v>
      </c>
      <c r="D245" s="640">
        <v>28.588592812499996</v>
      </c>
      <c r="E245" s="640">
        <v>-17.673140168319453</v>
      </c>
      <c r="F245" s="640">
        <v>23.11542347254851</v>
      </c>
      <c r="G245" s="640">
        <v>0</v>
      </c>
      <c r="H245" s="640">
        <v>0</v>
      </c>
      <c r="I245" s="640">
        <v>0</v>
      </c>
      <c r="J245" s="640">
        <v>0</v>
      </c>
      <c r="K245" s="640">
        <v>0</v>
      </c>
      <c r="L245" s="640">
        <v>0</v>
      </c>
      <c r="M245" s="640">
        <v>0</v>
      </c>
      <c r="N245" s="640">
        <v>0</v>
      </c>
      <c r="O245" s="640">
        <v>0</v>
      </c>
      <c r="P245" s="640">
        <v>0</v>
      </c>
      <c r="Q245" s="640">
        <v>0</v>
      </c>
      <c r="R245" s="640">
        <v>0</v>
      </c>
      <c r="S245" s="648">
        <v>34.030876116729054</v>
      </c>
      <c r="U245" s="646" t="s">
        <v>353</v>
      </c>
      <c r="V245" s="640">
        <v>1.7459712219238281</v>
      </c>
      <c r="W245" s="640">
        <v>-7.9137714199323552</v>
      </c>
      <c r="X245" s="640">
        <v>10.35074558875537</v>
      </c>
      <c r="Y245" s="640">
        <v>0</v>
      </c>
      <c r="Z245" s="640">
        <v>0</v>
      </c>
      <c r="AA245" s="640">
        <v>0</v>
      </c>
      <c r="AB245" s="640">
        <v>0</v>
      </c>
      <c r="AC245" s="640">
        <v>0</v>
      </c>
      <c r="AD245" s="640">
        <v>0</v>
      </c>
      <c r="AE245" s="640">
        <v>0</v>
      </c>
      <c r="AF245" s="640">
        <v>0</v>
      </c>
      <c r="AG245" s="640">
        <v>0</v>
      </c>
      <c r="AH245" s="640">
        <v>0</v>
      </c>
      <c r="AI245" s="640">
        <v>0</v>
      </c>
      <c r="AJ245" s="640">
        <v>0</v>
      </c>
      <c r="AK245" s="648">
        <v>4.182945390746843</v>
      </c>
    </row>
    <row r="246" spans="3:37" x14ac:dyDescent="0.2">
      <c r="C246" s="646" t="s">
        <v>75</v>
      </c>
      <c r="D246" s="640">
        <v>11.11778609375</v>
      </c>
      <c r="E246" s="640">
        <v>0</v>
      </c>
      <c r="F246" s="640">
        <v>17.34160940037118</v>
      </c>
      <c r="G246" s="640">
        <v>4.9484792471294465</v>
      </c>
      <c r="H246" s="640">
        <v>0</v>
      </c>
      <c r="I246" s="640">
        <v>0</v>
      </c>
      <c r="J246" s="640">
        <v>0</v>
      </c>
      <c r="K246" s="640">
        <v>0</v>
      </c>
      <c r="L246" s="640">
        <v>0</v>
      </c>
      <c r="M246" s="640">
        <v>0.10098937239039688</v>
      </c>
      <c r="N246" s="640">
        <v>0</v>
      </c>
      <c r="O246" s="640">
        <v>0</v>
      </c>
      <c r="P246" s="640">
        <v>29.08691491128284</v>
      </c>
      <c r="Q246" s="640">
        <v>0</v>
      </c>
      <c r="R246" s="640">
        <v>0</v>
      </c>
      <c r="S246" s="648">
        <v>62.595779024923864</v>
      </c>
      <c r="U246" s="646" t="s">
        <v>75</v>
      </c>
      <c r="V246" s="640">
        <v>2.938742431640625</v>
      </c>
      <c r="W246" s="640">
        <v>0</v>
      </c>
      <c r="X246" s="640">
        <v>17.34160940037118</v>
      </c>
      <c r="Y246" s="640">
        <v>2.9286917993215091</v>
      </c>
      <c r="Z246" s="640">
        <v>0</v>
      </c>
      <c r="AA246" s="640">
        <v>0</v>
      </c>
      <c r="AB246" s="640">
        <v>0</v>
      </c>
      <c r="AC246" s="640">
        <v>0</v>
      </c>
      <c r="AD246" s="640">
        <v>0</v>
      </c>
      <c r="AE246" s="640">
        <v>2.1207768201983344</v>
      </c>
      <c r="AF246" s="640">
        <v>0</v>
      </c>
      <c r="AG246" s="640">
        <v>0</v>
      </c>
      <c r="AH246" s="640">
        <v>36.505051274919204</v>
      </c>
      <c r="AI246" s="640">
        <v>0</v>
      </c>
      <c r="AJ246" s="640">
        <v>0</v>
      </c>
      <c r="AK246" s="648">
        <v>61.834871726450849</v>
      </c>
    </row>
    <row r="247" spans="3:37" x14ac:dyDescent="0.2">
      <c r="C247" s="646" t="s">
        <v>76</v>
      </c>
      <c r="D247" s="640">
        <v>0</v>
      </c>
      <c r="E247" s="640">
        <v>0</v>
      </c>
      <c r="F247" s="640">
        <v>0</v>
      </c>
      <c r="G247" s="640">
        <v>3.7620934008695794</v>
      </c>
      <c r="H247" s="640">
        <v>0</v>
      </c>
      <c r="I247" s="640">
        <v>0</v>
      </c>
      <c r="J247" s="640">
        <v>0</v>
      </c>
      <c r="K247" s="640">
        <v>0</v>
      </c>
      <c r="L247" s="640">
        <v>0</v>
      </c>
      <c r="M247" s="640">
        <v>7.6777416344277136E-2</v>
      </c>
      <c r="N247" s="640">
        <v>0</v>
      </c>
      <c r="O247" s="640">
        <v>0</v>
      </c>
      <c r="P247" s="640">
        <v>45.374638558517056</v>
      </c>
      <c r="Q247" s="640">
        <v>2.9442994019327013</v>
      </c>
      <c r="R247" s="640">
        <v>0</v>
      </c>
      <c r="S247" s="648">
        <v>52.157808777663611</v>
      </c>
      <c r="U247" s="646" t="s">
        <v>76</v>
      </c>
      <c r="V247" s="640">
        <v>0</v>
      </c>
      <c r="W247" s="640">
        <v>0</v>
      </c>
      <c r="X247" s="640">
        <v>0</v>
      </c>
      <c r="Y247" s="640">
        <v>1.1999362424874132</v>
      </c>
      <c r="Z247" s="640">
        <v>0</v>
      </c>
      <c r="AA247" s="640">
        <v>0</v>
      </c>
      <c r="AB247" s="640">
        <v>0</v>
      </c>
      <c r="AC247" s="640">
        <v>0</v>
      </c>
      <c r="AD247" s="640">
        <v>0</v>
      </c>
      <c r="AE247" s="640">
        <v>0.86891934800812698</v>
      </c>
      <c r="AF247" s="640">
        <v>0</v>
      </c>
      <c r="AG247" s="640">
        <v>0</v>
      </c>
      <c r="AH247" s="640">
        <v>48.340685132761017</v>
      </c>
      <c r="AI247" s="640">
        <v>5.7839036819230412</v>
      </c>
      <c r="AJ247" s="640">
        <v>0</v>
      </c>
      <c r="AK247" s="648">
        <v>56.193444405179591</v>
      </c>
    </row>
    <row r="248" spans="3:37" x14ac:dyDescent="0.2">
      <c r="C248" s="644" t="s">
        <v>77</v>
      </c>
      <c r="D248" s="645">
        <v>42.533164547275248</v>
      </c>
      <c r="E248" s="645">
        <v>492.37419513671523</v>
      </c>
      <c r="F248" s="645">
        <v>-456.72729975813655</v>
      </c>
      <c r="G248" s="645">
        <v>46.717511888597819</v>
      </c>
      <c r="H248" s="645">
        <v>889.54545454545473</v>
      </c>
      <c r="I248" s="645">
        <v>290.38619522472999</v>
      </c>
      <c r="J248" s="645">
        <v>76.404091824403224</v>
      </c>
      <c r="K248" s="645">
        <v>18.74651114985376</v>
      </c>
      <c r="L248" s="645">
        <v>-24.540793928849673</v>
      </c>
      <c r="M248" s="645">
        <v>-5.3808072382237846</v>
      </c>
      <c r="N248" s="645">
        <v>0</v>
      </c>
      <c r="O248" s="645">
        <v>9.0812335132369491</v>
      </c>
      <c r="P248" s="645">
        <v>-540.17785546008065</v>
      </c>
      <c r="Q248" s="645">
        <v>-34.989958988562719</v>
      </c>
      <c r="R248" s="645">
        <v>-5.0795433673621861</v>
      </c>
      <c r="S248" s="645">
        <v>798.89209908905127</v>
      </c>
      <c r="U248" s="644" t="s">
        <v>77</v>
      </c>
      <c r="V248" s="645">
        <v>5.3110285590231427</v>
      </c>
      <c r="W248" s="645">
        <v>220.47790015098695</v>
      </c>
      <c r="X248" s="645">
        <v>-194.51650690879191</v>
      </c>
      <c r="Y248" s="645">
        <v>19.805187226334116</v>
      </c>
      <c r="Z248" s="645">
        <v>873.030303030303</v>
      </c>
      <c r="AA248" s="645">
        <v>337.06619522473</v>
      </c>
      <c r="AB248" s="645">
        <v>131.18933095255588</v>
      </c>
      <c r="AC248" s="645">
        <v>32.128382455120146</v>
      </c>
      <c r="AD248" s="645">
        <v>-116.69170648178192</v>
      </c>
      <c r="AE248" s="645">
        <v>-58.796508116684997</v>
      </c>
      <c r="AF248" s="645">
        <v>0</v>
      </c>
      <c r="AG248" s="645">
        <v>18.805626470956682</v>
      </c>
      <c r="AH248" s="645">
        <v>-524.40351343206009</v>
      </c>
      <c r="AI248" s="645">
        <v>-68.794771845590574</v>
      </c>
      <c r="AJ248" s="645">
        <v>-28.168396757803269</v>
      </c>
      <c r="AK248" s="645">
        <v>646.44255052729716</v>
      </c>
    </row>
    <row r="249" spans="3:37" x14ac:dyDescent="0.2">
      <c r="C249" s="634"/>
      <c r="D249" s="634">
        <v>0</v>
      </c>
      <c r="E249" s="634">
        <v>0</v>
      </c>
      <c r="F249" s="634">
        <v>0</v>
      </c>
      <c r="G249" s="634">
        <v>0</v>
      </c>
      <c r="H249" s="634">
        <v>0</v>
      </c>
      <c r="I249" s="634">
        <v>0</v>
      </c>
      <c r="J249" s="634">
        <v>0</v>
      </c>
      <c r="K249" s="634">
        <v>0</v>
      </c>
      <c r="L249" s="634">
        <v>0</v>
      </c>
      <c r="M249" s="634">
        <v>0</v>
      </c>
      <c r="N249" s="634">
        <v>0</v>
      </c>
      <c r="O249" s="634">
        <v>0</v>
      </c>
      <c r="P249" s="634">
        <v>0</v>
      </c>
      <c r="Q249" s="634">
        <v>0</v>
      </c>
      <c r="R249" s="634">
        <v>0</v>
      </c>
      <c r="S249" s="634">
        <v>0</v>
      </c>
      <c r="U249" s="634"/>
      <c r="V249" s="634">
        <v>0</v>
      </c>
      <c r="W249" s="634">
        <v>0</v>
      </c>
      <c r="X249" s="634">
        <v>0</v>
      </c>
      <c r="Y249" s="634">
        <v>0</v>
      </c>
      <c r="Z249" s="634">
        <v>0</v>
      </c>
      <c r="AA249" s="634">
        <v>0</v>
      </c>
      <c r="AB249" s="634">
        <v>0</v>
      </c>
      <c r="AC249" s="634">
        <v>0</v>
      </c>
      <c r="AD249" s="634">
        <v>0</v>
      </c>
      <c r="AE249" s="634">
        <v>0</v>
      </c>
      <c r="AF249" s="634">
        <v>0</v>
      </c>
      <c r="AG249" s="634">
        <v>0</v>
      </c>
      <c r="AH249" s="634">
        <v>0</v>
      </c>
      <c r="AI249" s="634">
        <v>0</v>
      </c>
      <c r="AJ249" s="634">
        <v>0</v>
      </c>
      <c r="AK249" s="634">
        <v>0</v>
      </c>
    </row>
    <row r="250" spans="3:37" x14ac:dyDescent="0.2">
      <c r="C250" s="646" t="s">
        <v>78</v>
      </c>
      <c r="D250" s="640">
        <v>4.9901668745901624</v>
      </c>
      <c r="E250" s="640">
        <v>0</v>
      </c>
      <c r="F250" s="640">
        <v>21.091530324656198</v>
      </c>
      <c r="G250" s="640">
        <v>96.151700548391091</v>
      </c>
      <c r="H250" s="640">
        <v>0</v>
      </c>
      <c r="I250" s="640">
        <v>0</v>
      </c>
      <c r="J250" s="640">
        <v>21.387862541024852</v>
      </c>
      <c r="K250" s="640">
        <v>1.7476152779545906</v>
      </c>
      <c r="L250" s="640">
        <v>0.94211085156249985</v>
      </c>
      <c r="M250" s="640">
        <v>1.9807569399951515</v>
      </c>
      <c r="N250" s="640">
        <v>0</v>
      </c>
      <c r="O250" s="640">
        <v>3.7669078281368638E-4</v>
      </c>
      <c r="P250" s="640">
        <v>112.73505933145552</v>
      </c>
      <c r="Q250" s="640">
        <v>16.12568637832603</v>
      </c>
      <c r="R250" s="640">
        <v>0.27920700073242188</v>
      </c>
      <c r="S250" s="648">
        <v>277.43207275947128</v>
      </c>
      <c r="U250" s="646" t="s">
        <v>78</v>
      </c>
      <c r="V250" s="640">
        <v>1.2150050536449819</v>
      </c>
      <c r="W250" s="640">
        <v>0</v>
      </c>
      <c r="X250" s="640">
        <v>6.016341039248414</v>
      </c>
      <c r="Y250" s="640">
        <v>39.709503776891196</v>
      </c>
      <c r="Z250" s="640">
        <v>0</v>
      </c>
      <c r="AA250" s="640">
        <v>0</v>
      </c>
      <c r="AB250" s="640">
        <v>15.202189846170386</v>
      </c>
      <c r="AC250" s="640">
        <v>4.9835801019927617</v>
      </c>
      <c r="AD250" s="640">
        <v>5.6103854980468748</v>
      </c>
      <c r="AE250" s="640">
        <v>28.773635244370734</v>
      </c>
      <c r="AF250" s="640">
        <v>0</v>
      </c>
      <c r="AG250" s="640">
        <v>3.7669078281368638E-4</v>
      </c>
      <c r="AH250" s="640">
        <v>146.07653830614987</v>
      </c>
      <c r="AI250" s="640">
        <v>23.647869298816833</v>
      </c>
      <c r="AJ250" s="640">
        <v>7.4826708984375001</v>
      </c>
      <c r="AK250" s="648">
        <v>278.71809575455239</v>
      </c>
    </row>
    <row r="251" spans="3:37" x14ac:dyDescent="0.2">
      <c r="C251" s="646" t="s">
        <v>79</v>
      </c>
      <c r="D251" s="640">
        <v>0</v>
      </c>
      <c r="E251" s="640">
        <v>0</v>
      </c>
      <c r="F251" s="640">
        <v>235.12748928743429</v>
      </c>
      <c r="G251" s="640">
        <v>31.099379517950805</v>
      </c>
      <c r="H251" s="640">
        <v>0</v>
      </c>
      <c r="I251" s="640">
        <v>0</v>
      </c>
      <c r="J251" s="640">
        <v>0</v>
      </c>
      <c r="K251" s="640">
        <v>0</v>
      </c>
      <c r="L251" s="640">
        <v>22.716725008445675</v>
      </c>
      <c r="M251" s="640">
        <v>0.63468121465205729</v>
      </c>
      <c r="N251" s="640">
        <v>0</v>
      </c>
      <c r="O251" s="640">
        <v>0</v>
      </c>
      <c r="P251" s="640">
        <v>68.565930798083699</v>
      </c>
      <c r="Q251" s="640">
        <v>0</v>
      </c>
      <c r="R251" s="640">
        <v>2.3844112104980786</v>
      </c>
      <c r="S251" s="648">
        <v>360.52861703706463</v>
      </c>
      <c r="U251" s="646" t="s">
        <v>79</v>
      </c>
      <c r="V251" s="640">
        <v>0</v>
      </c>
      <c r="W251" s="640">
        <v>0</v>
      </c>
      <c r="X251" s="640">
        <v>35.128929389637456</v>
      </c>
      <c r="Y251" s="640">
        <v>15.137064293513523</v>
      </c>
      <c r="Z251" s="640">
        <v>0</v>
      </c>
      <c r="AA251" s="640">
        <v>0</v>
      </c>
      <c r="AB251" s="640">
        <v>0</v>
      </c>
      <c r="AC251" s="640">
        <v>0</v>
      </c>
      <c r="AD251" s="640">
        <v>37.187580566982817</v>
      </c>
      <c r="AE251" s="640">
        <v>11.036020535724948</v>
      </c>
      <c r="AF251" s="640">
        <v>0</v>
      </c>
      <c r="AG251" s="640">
        <v>0</v>
      </c>
      <c r="AH251" s="640">
        <v>89.614524523742418</v>
      </c>
      <c r="AI251" s="640">
        <v>0</v>
      </c>
      <c r="AJ251" s="640">
        <v>5.6351763144479268</v>
      </c>
      <c r="AK251" s="648">
        <v>193.73929562404911</v>
      </c>
    </row>
    <row r="252" spans="3:37" x14ac:dyDescent="0.2">
      <c r="C252" s="646" t="s">
        <v>80</v>
      </c>
      <c r="D252" s="640">
        <v>0</v>
      </c>
      <c r="E252" s="640">
        <v>0</v>
      </c>
      <c r="F252" s="640">
        <v>13.724834206032371</v>
      </c>
      <c r="G252" s="640">
        <v>79.131512261322683</v>
      </c>
      <c r="H252" s="640">
        <v>0</v>
      </c>
      <c r="I252" s="640">
        <v>0</v>
      </c>
      <c r="J252" s="640">
        <v>87.797108848078949</v>
      </c>
      <c r="K252" s="640">
        <v>0</v>
      </c>
      <c r="L252" s="640">
        <v>0</v>
      </c>
      <c r="M252" s="640">
        <v>1.6149288216596467</v>
      </c>
      <c r="N252" s="640">
        <v>57.41835645436403</v>
      </c>
      <c r="O252" s="640">
        <v>2.0533643919476137</v>
      </c>
      <c r="P252" s="640">
        <v>189.45880926265392</v>
      </c>
      <c r="Q252" s="640">
        <v>15.417775800116472</v>
      </c>
      <c r="R252" s="640">
        <v>0</v>
      </c>
      <c r="S252" s="648">
        <v>446.61669004617568</v>
      </c>
      <c r="U252" s="646" t="s">
        <v>80</v>
      </c>
      <c r="V252" s="640">
        <v>0</v>
      </c>
      <c r="W252" s="640">
        <v>0</v>
      </c>
      <c r="X252" s="640">
        <v>1.0209129157283405</v>
      </c>
      <c r="Y252" s="640">
        <v>12.832027751754538</v>
      </c>
      <c r="Z252" s="640">
        <v>0</v>
      </c>
      <c r="AA252" s="640">
        <v>0</v>
      </c>
      <c r="AB252" s="640">
        <v>53.270322236782164</v>
      </c>
      <c r="AC252" s="640">
        <v>0</v>
      </c>
      <c r="AD252" s="640">
        <v>0</v>
      </c>
      <c r="AE252" s="640">
        <v>9.2921580271325972</v>
      </c>
      <c r="AF252" s="640">
        <v>88.292344554902868</v>
      </c>
      <c r="AG252" s="640">
        <v>3.9079432862869607</v>
      </c>
      <c r="AH252" s="640">
        <v>146.88666477766319</v>
      </c>
      <c r="AI252" s="640">
        <v>32.427264426374379</v>
      </c>
      <c r="AJ252" s="640">
        <v>0</v>
      </c>
      <c r="AK252" s="648">
        <v>347.92963797662509</v>
      </c>
    </row>
    <row r="253" spans="3:37" x14ac:dyDescent="0.2">
      <c r="C253" s="646" t="s">
        <v>81</v>
      </c>
      <c r="D253" s="640">
        <v>0</v>
      </c>
      <c r="E253" s="640">
        <v>0</v>
      </c>
      <c r="F253" s="640">
        <v>3.9083972405176572</v>
      </c>
      <c r="G253" s="640">
        <v>63.089348266301698</v>
      </c>
      <c r="H253" s="640">
        <v>0</v>
      </c>
      <c r="I253" s="640">
        <v>0</v>
      </c>
      <c r="J253" s="640">
        <v>3.1804221278939271</v>
      </c>
      <c r="K253" s="640">
        <v>2.5219694682056978E-2</v>
      </c>
      <c r="L253" s="640">
        <v>0</v>
      </c>
      <c r="M253" s="640">
        <v>1.287537719720443</v>
      </c>
      <c r="N253" s="640">
        <v>8.4803330998149011</v>
      </c>
      <c r="O253" s="640">
        <v>0.72631919579288284</v>
      </c>
      <c r="P253" s="640">
        <v>140.69299872549993</v>
      </c>
      <c r="Q253" s="640">
        <v>3.4464968101202174</v>
      </c>
      <c r="R253" s="640">
        <v>0</v>
      </c>
      <c r="S253" s="648">
        <v>224.8370728803437</v>
      </c>
      <c r="U253" s="646" t="s">
        <v>81</v>
      </c>
      <c r="V253" s="640">
        <v>0</v>
      </c>
      <c r="W253" s="640">
        <v>0</v>
      </c>
      <c r="X253" s="640">
        <v>1.4952361732398858</v>
      </c>
      <c r="Y253" s="640">
        <v>10.610341518374359</v>
      </c>
      <c r="Z253" s="640">
        <v>0</v>
      </c>
      <c r="AA253" s="640">
        <v>0</v>
      </c>
      <c r="AB253" s="640">
        <v>6.9978977014468793</v>
      </c>
      <c r="AC253" s="640">
        <v>2.5219694682056978E-2</v>
      </c>
      <c r="AD253" s="640">
        <v>0</v>
      </c>
      <c r="AE253" s="640">
        <v>7.6833507546848816</v>
      </c>
      <c r="AF253" s="640">
        <v>14.732239480945108</v>
      </c>
      <c r="AG253" s="640">
        <v>1.5525732622869153</v>
      </c>
      <c r="AH253" s="640">
        <v>115.23036268987886</v>
      </c>
      <c r="AI253" s="640">
        <v>12.719638120399363</v>
      </c>
      <c r="AJ253" s="640">
        <v>0</v>
      </c>
      <c r="AK253" s="648">
        <v>171.04685939593833</v>
      </c>
    </row>
    <row r="254" spans="3:37" x14ac:dyDescent="0.2">
      <c r="C254" s="646" t="s">
        <v>82</v>
      </c>
      <c r="D254" s="640">
        <v>0</v>
      </c>
      <c r="E254" s="640">
        <v>0</v>
      </c>
      <c r="F254" s="640">
        <v>28.471648080197657</v>
      </c>
      <c r="G254" s="640">
        <v>1.0804243241036344</v>
      </c>
      <c r="H254" s="640">
        <v>0</v>
      </c>
      <c r="I254" s="640">
        <v>0</v>
      </c>
      <c r="J254" s="640">
        <v>4.3026845658747828</v>
      </c>
      <c r="K254" s="640">
        <v>0</v>
      </c>
      <c r="L254" s="640">
        <v>3.1299020072385213</v>
      </c>
      <c r="M254" s="640">
        <v>2.2049476002114991E-2</v>
      </c>
      <c r="N254" s="640">
        <v>0</v>
      </c>
      <c r="O254" s="640">
        <v>6.8830690871769351E-2</v>
      </c>
      <c r="P254" s="640">
        <v>5.9739095578527968</v>
      </c>
      <c r="Q254" s="640">
        <v>0</v>
      </c>
      <c r="R254" s="640">
        <v>0</v>
      </c>
      <c r="S254" s="648">
        <v>43.049448702141277</v>
      </c>
      <c r="U254" s="646" t="s">
        <v>82</v>
      </c>
      <c r="V254" s="640">
        <v>0</v>
      </c>
      <c r="W254" s="640">
        <v>0</v>
      </c>
      <c r="X254" s="640">
        <v>5.8604701162543282</v>
      </c>
      <c r="Y254" s="640">
        <v>0.77721189491485598</v>
      </c>
      <c r="Z254" s="640">
        <v>0</v>
      </c>
      <c r="AA254" s="640">
        <v>0</v>
      </c>
      <c r="AB254" s="640">
        <v>4.3026845658747828</v>
      </c>
      <c r="AC254" s="640">
        <v>0</v>
      </c>
      <c r="AD254" s="640">
        <v>30.776202948565647</v>
      </c>
      <c r="AE254" s="640">
        <v>0.56280861355903367</v>
      </c>
      <c r="AF254" s="640">
        <v>0</v>
      </c>
      <c r="AG254" s="640">
        <v>1.5666563685107562</v>
      </c>
      <c r="AH254" s="640">
        <v>6.0858228188406986</v>
      </c>
      <c r="AI254" s="640">
        <v>0</v>
      </c>
      <c r="AJ254" s="640">
        <v>0.36062656029870238</v>
      </c>
      <c r="AK254" s="648">
        <v>50.292483886818808</v>
      </c>
    </row>
    <row r="255" spans="3:37" x14ac:dyDescent="0.2">
      <c r="C255" s="646" t="s">
        <v>354</v>
      </c>
      <c r="D255" s="640">
        <v>0</v>
      </c>
      <c r="E255" s="640">
        <v>0</v>
      </c>
      <c r="F255" s="640">
        <v>0</v>
      </c>
      <c r="G255" s="640">
        <v>0</v>
      </c>
      <c r="H255" s="640">
        <v>0</v>
      </c>
      <c r="I255" s="640">
        <v>0</v>
      </c>
      <c r="J255" s="640">
        <v>0</v>
      </c>
      <c r="K255" s="640">
        <v>0</v>
      </c>
      <c r="L255" s="640">
        <v>0</v>
      </c>
      <c r="M255" s="640">
        <v>0</v>
      </c>
      <c r="N255" s="640">
        <v>0</v>
      </c>
      <c r="O255" s="640">
        <v>0</v>
      </c>
      <c r="P255" s="640">
        <v>0.36</v>
      </c>
      <c r="Q255" s="640">
        <v>0</v>
      </c>
      <c r="R255" s="640">
        <v>0</v>
      </c>
      <c r="S255" s="648">
        <v>0.36</v>
      </c>
      <c r="U255" s="646" t="s">
        <v>354</v>
      </c>
      <c r="V255" s="640">
        <v>0</v>
      </c>
      <c r="W255" s="640">
        <v>0</v>
      </c>
      <c r="X255" s="640">
        <v>0</v>
      </c>
      <c r="Y255" s="640">
        <v>0</v>
      </c>
      <c r="Z255" s="640">
        <v>0</v>
      </c>
      <c r="AA255" s="640">
        <v>0</v>
      </c>
      <c r="AB255" s="640">
        <v>0</v>
      </c>
      <c r="AC255" s="640">
        <v>0</v>
      </c>
      <c r="AD255" s="640">
        <v>0</v>
      </c>
      <c r="AE255" s="640">
        <v>0</v>
      </c>
      <c r="AF255" s="640">
        <v>0</v>
      </c>
      <c r="AG255" s="640">
        <v>0</v>
      </c>
      <c r="AH255" s="640">
        <v>3.12</v>
      </c>
      <c r="AI255" s="640">
        <v>0</v>
      </c>
      <c r="AJ255" s="640">
        <v>0</v>
      </c>
      <c r="AK255" s="648">
        <v>3.12</v>
      </c>
    </row>
    <row r="256" spans="3:37" x14ac:dyDescent="0.2">
      <c r="C256" s="644" t="s">
        <v>83</v>
      </c>
      <c r="D256" s="645">
        <v>4.9901668745901624</v>
      </c>
      <c r="E256" s="645">
        <v>0</v>
      </c>
      <c r="F256" s="645">
        <v>302.32389913883821</v>
      </c>
      <c r="G256" s="645">
        <v>270.55236491806994</v>
      </c>
      <c r="H256" s="645">
        <v>0</v>
      </c>
      <c r="I256" s="645">
        <v>0</v>
      </c>
      <c r="J256" s="645">
        <v>116.66807808287251</v>
      </c>
      <c r="K256" s="645">
        <v>1.7728349726366477</v>
      </c>
      <c r="L256" s="645">
        <v>26.788737867246695</v>
      </c>
      <c r="M256" s="645">
        <v>5.5399541720294136</v>
      </c>
      <c r="N256" s="645">
        <v>65.898689554178929</v>
      </c>
      <c r="O256" s="645">
        <v>2.8488909693950797</v>
      </c>
      <c r="P256" s="645">
        <v>517.78670767554593</v>
      </c>
      <c r="Q256" s="645">
        <v>34.989958988562719</v>
      </c>
      <c r="R256" s="645">
        <v>2.6636182112305002</v>
      </c>
      <c r="S256" s="645">
        <v>1352.8239014251965</v>
      </c>
      <c r="U256" s="644" t="s">
        <v>83</v>
      </c>
      <c r="V256" s="645">
        <v>1.2150050536449819</v>
      </c>
      <c r="W256" s="645">
        <v>0</v>
      </c>
      <c r="X256" s="645">
        <v>49.521889634108419</v>
      </c>
      <c r="Y256" s="645">
        <v>79.066149235448464</v>
      </c>
      <c r="Z256" s="645">
        <v>0</v>
      </c>
      <c r="AA256" s="645">
        <v>0</v>
      </c>
      <c r="AB256" s="645">
        <v>79.773094350274206</v>
      </c>
      <c r="AC256" s="645">
        <v>5.0087997966748192</v>
      </c>
      <c r="AD256" s="645">
        <v>73.574169013595338</v>
      </c>
      <c r="AE256" s="645">
        <v>57.347973175472191</v>
      </c>
      <c r="AF256" s="645">
        <v>103.02458403584798</v>
      </c>
      <c r="AG256" s="645">
        <v>7.0275496078674458</v>
      </c>
      <c r="AH256" s="645">
        <v>507.01391311627498</v>
      </c>
      <c r="AI256" s="645">
        <v>68.794771845590574</v>
      </c>
      <c r="AJ256" s="645">
        <v>13.478473773184128</v>
      </c>
      <c r="AK256" s="645">
        <v>1044.8463726379837</v>
      </c>
    </row>
    <row r="257" spans="3:37" x14ac:dyDescent="0.2">
      <c r="C257" s="639" t="s">
        <v>84</v>
      </c>
      <c r="D257" s="640">
        <v>0</v>
      </c>
      <c r="E257" s="640">
        <v>0</v>
      </c>
      <c r="F257" s="640">
        <v>106.83242416715484</v>
      </c>
      <c r="G257" s="640">
        <v>11.6186457489655</v>
      </c>
      <c r="H257" s="640">
        <v>0</v>
      </c>
      <c r="I257" s="640">
        <v>0</v>
      </c>
      <c r="J257" s="640">
        <v>0</v>
      </c>
      <c r="K257" s="640">
        <v>0</v>
      </c>
      <c r="L257" s="640">
        <v>0</v>
      </c>
      <c r="M257" s="640">
        <v>0</v>
      </c>
      <c r="N257" s="640">
        <v>0</v>
      </c>
      <c r="O257" s="640">
        <v>0</v>
      </c>
      <c r="P257" s="640">
        <v>0</v>
      </c>
      <c r="Q257" s="640">
        <v>0</v>
      </c>
      <c r="R257" s="640">
        <v>2.4159251561316859</v>
      </c>
      <c r="S257" s="648">
        <v>120.86699507225204</v>
      </c>
      <c r="U257" s="639" t="s">
        <v>84</v>
      </c>
      <c r="V257" s="640">
        <v>0</v>
      </c>
      <c r="W257" s="640">
        <v>0</v>
      </c>
      <c r="X257" s="640">
        <v>75.791608178670685</v>
      </c>
      <c r="Y257" s="640">
        <v>0.94004440148578539</v>
      </c>
      <c r="Z257" s="640">
        <v>0</v>
      </c>
      <c r="AA257" s="640">
        <v>0</v>
      </c>
      <c r="AB257" s="640">
        <v>0</v>
      </c>
      <c r="AC257" s="640">
        <v>0</v>
      </c>
      <c r="AD257" s="640">
        <v>21.99170920776367</v>
      </c>
      <c r="AE257" s="640">
        <v>0</v>
      </c>
      <c r="AF257" s="640">
        <v>0</v>
      </c>
      <c r="AG257" s="640">
        <v>0</v>
      </c>
      <c r="AH257" s="640">
        <v>0</v>
      </c>
      <c r="AI257" s="640">
        <v>0</v>
      </c>
      <c r="AJ257" s="640">
        <v>14.689922984619141</v>
      </c>
      <c r="AK257" s="648">
        <v>113.41328477253928</v>
      </c>
    </row>
    <row r="258" spans="3:37" x14ac:dyDescent="0.2">
      <c r="C258" s="644" t="s">
        <v>85</v>
      </c>
      <c r="D258" s="645">
        <v>4.9901668745901624</v>
      </c>
      <c r="E258" s="645">
        <v>0</v>
      </c>
      <c r="F258" s="645">
        <v>409.15632330599311</v>
      </c>
      <c r="G258" s="645">
        <v>282.17101066703543</v>
      </c>
      <c r="H258" s="645">
        <v>0</v>
      </c>
      <c r="I258" s="645">
        <v>0</v>
      </c>
      <c r="J258" s="645">
        <v>116.66807808287251</v>
      </c>
      <c r="K258" s="645">
        <v>1.7728349726366477</v>
      </c>
      <c r="L258" s="645">
        <v>26.788737867246695</v>
      </c>
      <c r="M258" s="645">
        <v>5.5399541720294136</v>
      </c>
      <c r="N258" s="645">
        <v>65.898689554178929</v>
      </c>
      <c r="O258" s="645">
        <v>2.8488909693950797</v>
      </c>
      <c r="P258" s="645">
        <v>517.78670767554593</v>
      </c>
      <c r="Q258" s="645">
        <v>34.989958988562719</v>
      </c>
      <c r="R258" s="645">
        <v>5.0795433673621861</v>
      </c>
      <c r="S258" s="645">
        <v>1473.6908964974484</v>
      </c>
      <c r="U258" s="644" t="s">
        <v>85</v>
      </c>
      <c r="V258" s="645">
        <v>1.2150050536449819</v>
      </c>
      <c r="W258" s="645">
        <v>0</v>
      </c>
      <c r="X258" s="645">
        <v>125.31349781277912</v>
      </c>
      <c r="Y258" s="645">
        <v>80.006193636934256</v>
      </c>
      <c r="Z258" s="645">
        <v>0</v>
      </c>
      <c r="AA258" s="645">
        <v>0</v>
      </c>
      <c r="AB258" s="645">
        <v>79.773094350274206</v>
      </c>
      <c r="AC258" s="645">
        <v>5.0087997966748192</v>
      </c>
      <c r="AD258" s="645">
        <v>95.565878221359014</v>
      </c>
      <c r="AE258" s="645">
        <v>57.347973175472191</v>
      </c>
      <c r="AF258" s="645">
        <v>103.02458403584798</v>
      </c>
      <c r="AG258" s="645">
        <v>7.0275496078674458</v>
      </c>
      <c r="AH258" s="645">
        <v>507.01391311627498</v>
      </c>
      <c r="AI258" s="645">
        <v>68.794771845590574</v>
      </c>
      <c r="AJ258" s="645">
        <v>28.168396757803269</v>
      </c>
      <c r="AK258" s="645">
        <v>1158.2596574105228</v>
      </c>
    </row>
    <row r="259" spans="3:37" x14ac:dyDescent="0.2">
      <c r="C259" s="634"/>
      <c r="D259" s="634"/>
      <c r="E259" s="634"/>
      <c r="F259" s="634"/>
      <c r="G259" s="634"/>
      <c r="H259" s="634"/>
      <c r="I259" s="634"/>
      <c r="J259" s="634"/>
      <c r="K259" s="634"/>
      <c r="L259" s="634"/>
      <c r="M259" s="634"/>
      <c r="N259" s="634"/>
      <c r="O259" s="634"/>
      <c r="P259" s="634"/>
      <c r="Q259" s="634"/>
      <c r="R259" s="634"/>
      <c r="S259" s="634"/>
      <c r="U259" s="634"/>
      <c r="V259" s="634"/>
      <c r="W259" s="634"/>
      <c r="X259" s="634"/>
      <c r="Y259" s="634"/>
      <c r="Z259" s="634"/>
      <c r="AA259" s="634"/>
      <c r="AB259" s="634"/>
      <c r="AC259" s="634"/>
      <c r="AD259" s="634"/>
      <c r="AE259" s="634"/>
      <c r="AF259" s="634"/>
      <c r="AG259" s="634"/>
      <c r="AH259" s="634"/>
      <c r="AI259" s="634"/>
      <c r="AJ259" s="634"/>
      <c r="AK259" s="634"/>
    </row>
    <row r="260" spans="3:37" ht="22.5" x14ac:dyDescent="0.3">
      <c r="C260" s="759" t="s">
        <v>361</v>
      </c>
      <c r="D260" s="759"/>
      <c r="E260" s="759"/>
      <c r="F260" s="759"/>
      <c r="G260" s="759"/>
      <c r="H260" s="759"/>
      <c r="I260" s="759"/>
      <c r="J260" s="759"/>
      <c r="K260" s="759"/>
      <c r="L260" s="759"/>
      <c r="M260" s="759"/>
      <c r="N260" s="759"/>
      <c r="O260" s="759"/>
      <c r="P260" s="759"/>
      <c r="Q260" s="759"/>
      <c r="R260" s="759"/>
      <c r="S260" s="759"/>
      <c r="U260" s="759" t="s">
        <v>361</v>
      </c>
      <c r="V260" s="759"/>
      <c r="W260" s="759"/>
      <c r="X260" s="759"/>
      <c r="Y260" s="759"/>
      <c r="Z260" s="759"/>
      <c r="AA260" s="759"/>
      <c r="AB260" s="759"/>
      <c r="AC260" s="759"/>
      <c r="AD260" s="759"/>
      <c r="AE260" s="759"/>
      <c r="AF260" s="759"/>
      <c r="AG260" s="759"/>
      <c r="AH260" s="759"/>
      <c r="AI260" s="759"/>
      <c r="AJ260" s="759"/>
      <c r="AK260" s="759"/>
    </row>
    <row r="261" spans="3:37" x14ac:dyDescent="0.2">
      <c r="C261" s="634"/>
      <c r="D261" s="634"/>
      <c r="E261" s="634"/>
      <c r="F261" s="634"/>
      <c r="G261" s="634"/>
      <c r="H261" s="634"/>
      <c r="I261" s="634"/>
      <c r="J261" s="634"/>
      <c r="K261" s="634"/>
      <c r="L261" s="634"/>
      <c r="M261" s="634"/>
      <c r="N261" s="634"/>
      <c r="O261" s="634"/>
      <c r="P261" s="634"/>
      <c r="Q261" s="634"/>
      <c r="R261" s="634"/>
      <c r="S261" s="634"/>
      <c r="U261" s="634"/>
      <c r="V261" s="634"/>
      <c r="W261" s="634"/>
      <c r="X261" s="634"/>
      <c r="Y261" s="634"/>
      <c r="Z261" s="634"/>
      <c r="AA261" s="634"/>
      <c r="AB261" s="634"/>
      <c r="AC261" s="634"/>
      <c r="AD261" s="634"/>
      <c r="AE261" s="634"/>
      <c r="AF261" s="634"/>
      <c r="AG261" s="634"/>
      <c r="AH261" s="634"/>
      <c r="AI261" s="634"/>
      <c r="AJ261" s="634"/>
      <c r="AK261" s="634"/>
    </row>
    <row r="262" spans="3:37" ht="12.95" customHeight="1" x14ac:dyDescent="0.2">
      <c r="C262" s="758" t="s">
        <v>128</v>
      </c>
      <c r="D262" s="757" t="s">
        <v>42</v>
      </c>
      <c r="E262" s="757" t="s">
        <v>52</v>
      </c>
      <c r="F262" s="757" t="s">
        <v>53</v>
      </c>
      <c r="G262" s="757" t="s">
        <v>32</v>
      </c>
      <c r="H262" s="757" t="s">
        <v>20</v>
      </c>
      <c r="I262" s="757" t="s">
        <v>55</v>
      </c>
      <c r="J262" s="757" t="s">
        <v>56</v>
      </c>
      <c r="K262" s="757"/>
      <c r="L262" s="757"/>
      <c r="M262" s="757"/>
      <c r="N262" s="757"/>
      <c r="O262" s="757"/>
      <c r="P262" s="757" t="s">
        <v>57</v>
      </c>
      <c r="Q262" s="757" t="s">
        <v>58</v>
      </c>
      <c r="R262" s="757" t="s">
        <v>31</v>
      </c>
      <c r="S262" s="757" t="s">
        <v>10</v>
      </c>
      <c r="U262" s="758" t="s">
        <v>128</v>
      </c>
      <c r="V262" s="757" t="s">
        <v>42</v>
      </c>
      <c r="W262" s="757" t="s">
        <v>52</v>
      </c>
      <c r="X262" s="757" t="s">
        <v>53</v>
      </c>
      <c r="Y262" s="757" t="s">
        <v>32</v>
      </c>
      <c r="Z262" s="757" t="s">
        <v>20</v>
      </c>
      <c r="AA262" s="757" t="s">
        <v>55</v>
      </c>
      <c r="AB262" s="757" t="s">
        <v>56</v>
      </c>
      <c r="AC262" s="757"/>
      <c r="AD262" s="757"/>
      <c r="AE262" s="757"/>
      <c r="AF262" s="757"/>
      <c r="AG262" s="757"/>
      <c r="AH262" s="757" t="s">
        <v>57</v>
      </c>
      <c r="AI262" s="757" t="s">
        <v>58</v>
      </c>
      <c r="AJ262" s="757" t="s">
        <v>31</v>
      </c>
      <c r="AK262" s="757" t="s">
        <v>10</v>
      </c>
    </row>
    <row r="263" spans="3:37" ht="56.25" x14ac:dyDescent="0.2">
      <c r="C263" s="758"/>
      <c r="D263" s="757"/>
      <c r="E263" s="757"/>
      <c r="F263" s="757"/>
      <c r="G263" s="757"/>
      <c r="H263" s="757"/>
      <c r="I263" s="757"/>
      <c r="J263" s="638" t="s">
        <v>335</v>
      </c>
      <c r="K263" s="638" t="s">
        <v>40</v>
      </c>
      <c r="L263" s="638" t="s">
        <v>343</v>
      </c>
      <c r="M263" s="638" t="s">
        <v>344</v>
      </c>
      <c r="N263" s="638" t="s">
        <v>345</v>
      </c>
      <c r="O263" s="638" t="s">
        <v>346</v>
      </c>
      <c r="P263" s="757"/>
      <c r="Q263" s="757"/>
      <c r="R263" s="757"/>
      <c r="S263" s="757"/>
      <c r="U263" s="758"/>
      <c r="V263" s="757"/>
      <c r="W263" s="757"/>
      <c r="X263" s="757"/>
      <c r="Y263" s="757"/>
      <c r="Z263" s="757"/>
      <c r="AA263" s="757"/>
      <c r="AB263" s="638" t="s">
        <v>335</v>
      </c>
      <c r="AC263" s="638" t="s">
        <v>40</v>
      </c>
      <c r="AD263" s="638" t="s">
        <v>343</v>
      </c>
      <c r="AE263" s="638" t="s">
        <v>344</v>
      </c>
      <c r="AF263" s="638" t="s">
        <v>345</v>
      </c>
      <c r="AG263" s="638" t="s">
        <v>346</v>
      </c>
      <c r="AH263" s="757"/>
      <c r="AI263" s="757"/>
      <c r="AJ263" s="757"/>
      <c r="AK263" s="757"/>
    </row>
    <row r="264" spans="3:37" x14ac:dyDescent="0.2">
      <c r="C264" s="639" t="s">
        <v>59</v>
      </c>
      <c r="D264" s="640">
        <v>0</v>
      </c>
      <c r="E264" s="641">
        <v>0</v>
      </c>
      <c r="F264" s="641">
        <v>0</v>
      </c>
      <c r="G264" s="640">
        <v>0</v>
      </c>
      <c r="H264" s="641">
        <v>843.18181818181824</v>
      </c>
      <c r="I264" s="641">
        <v>306.94588327561422</v>
      </c>
      <c r="J264" s="641">
        <v>187.92158364867245</v>
      </c>
      <c r="K264" s="641">
        <v>20.316638839186872</v>
      </c>
      <c r="L264" s="641">
        <v>0.58650482505924006</v>
      </c>
      <c r="M264" s="641">
        <v>0.15964026893196048</v>
      </c>
      <c r="N264" s="641">
        <v>67.964408038916218</v>
      </c>
      <c r="O264" s="641">
        <v>11.973026235836867</v>
      </c>
      <c r="P264" s="642">
        <v>0</v>
      </c>
      <c r="Q264" s="641">
        <v>0</v>
      </c>
      <c r="R264" s="641">
        <v>0</v>
      </c>
      <c r="S264" s="643">
        <v>1439.0495033140362</v>
      </c>
      <c r="U264" s="639" t="s">
        <v>59</v>
      </c>
      <c r="V264" s="640">
        <v>0</v>
      </c>
      <c r="W264" s="641">
        <v>0</v>
      </c>
      <c r="X264" s="641">
        <v>0</v>
      </c>
      <c r="Y264" s="640">
        <v>0</v>
      </c>
      <c r="Z264" s="641">
        <v>842.12121212121212</v>
      </c>
      <c r="AA264" s="641">
        <v>361.66588327561419</v>
      </c>
      <c r="AB264" s="641">
        <v>209.7499476733077</v>
      </c>
      <c r="AC264" s="641">
        <v>36.742499370225779</v>
      </c>
      <c r="AD264" s="641">
        <v>0.58650482505924006</v>
      </c>
      <c r="AE264" s="641">
        <v>0.15964026893196048</v>
      </c>
      <c r="AF264" s="641">
        <v>109.8518848230913</v>
      </c>
      <c r="AG264" s="641">
        <v>27.041217028647232</v>
      </c>
      <c r="AH264" s="642">
        <v>0</v>
      </c>
      <c r="AI264" s="641">
        <v>0</v>
      </c>
      <c r="AJ264" s="641">
        <v>0</v>
      </c>
      <c r="AK264" s="643">
        <v>1587.9187893860897</v>
      </c>
    </row>
    <row r="265" spans="3:37" x14ac:dyDescent="0.2">
      <c r="C265" s="639" t="s">
        <v>60</v>
      </c>
      <c r="D265" s="640">
        <v>47.14481987923083</v>
      </c>
      <c r="E265" s="641">
        <v>484.495467583368</v>
      </c>
      <c r="F265" s="641">
        <v>50.019697053221719</v>
      </c>
      <c r="G265" s="640">
        <v>326.09010493911637</v>
      </c>
      <c r="H265" s="641">
        <v>0</v>
      </c>
      <c r="I265" s="641">
        <v>0</v>
      </c>
      <c r="J265" s="641">
        <v>5.0764589906360387</v>
      </c>
      <c r="K265" s="641">
        <v>0</v>
      </c>
      <c r="L265" s="641">
        <v>2.7571319279134792</v>
      </c>
      <c r="M265" s="641">
        <v>0</v>
      </c>
      <c r="N265" s="641">
        <v>0</v>
      </c>
      <c r="O265" s="641">
        <v>0</v>
      </c>
      <c r="P265" s="642">
        <v>0</v>
      </c>
      <c r="Q265" s="641">
        <v>0</v>
      </c>
      <c r="R265" s="641">
        <v>0</v>
      </c>
      <c r="S265" s="643">
        <v>915.58368037348657</v>
      </c>
      <c r="U265" s="639" t="s">
        <v>60</v>
      </c>
      <c r="V265" s="640">
        <v>5.8768320762591904</v>
      </c>
      <c r="W265" s="641">
        <v>189.94114801549574</v>
      </c>
      <c r="X265" s="641">
        <v>14.41607041492888</v>
      </c>
      <c r="Y265" s="640">
        <v>81.728531694283333</v>
      </c>
      <c r="Z265" s="641">
        <v>0</v>
      </c>
      <c r="AA265" s="641">
        <v>0</v>
      </c>
      <c r="AB265" s="641">
        <v>5.0764589906360387</v>
      </c>
      <c r="AC265" s="641">
        <v>0</v>
      </c>
      <c r="AD265" s="641">
        <v>2.7571319279134792</v>
      </c>
      <c r="AE265" s="641">
        <v>0</v>
      </c>
      <c r="AF265" s="641">
        <v>0</v>
      </c>
      <c r="AG265" s="641">
        <v>0</v>
      </c>
      <c r="AH265" s="642">
        <v>0</v>
      </c>
      <c r="AI265" s="641">
        <v>0</v>
      </c>
      <c r="AJ265" s="641">
        <v>0</v>
      </c>
      <c r="AK265" s="643">
        <v>299.79617311951665</v>
      </c>
    </row>
    <row r="266" spans="3:37" x14ac:dyDescent="0.2">
      <c r="C266" s="639" t="s">
        <v>61</v>
      </c>
      <c r="D266" s="640">
        <v>0</v>
      </c>
      <c r="E266" s="641">
        <v>0</v>
      </c>
      <c r="F266" s="641">
        <v>0</v>
      </c>
      <c r="G266" s="640">
        <v>0</v>
      </c>
      <c r="H266" s="641">
        <v>0</v>
      </c>
      <c r="I266" s="641">
        <v>0</v>
      </c>
      <c r="J266" s="641">
        <v>0</v>
      </c>
      <c r="K266" s="641">
        <v>0</v>
      </c>
      <c r="L266" s="641">
        <v>0</v>
      </c>
      <c r="M266" s="641">
        <v>0</v>
      </c>
      <c r="N266" s="641">
        <v>0</v>
      </c>
      <c r="O266" s="641">
        <v>0</v>
      </c>
      <c r="P266" s="642">
        <v>-16.706363002811486</v>
      </c>
      <c r="Q266" s="641">
        <v>0</v>
      </c>
      <c r="R266" s="641">
        <v>0</v>
      </c>
      <c r="S266" s="643">
        <v>-16.706363002811486</v>
      </c>
      <c r="U266" s="639" t="s">
        <v>61</v>
      </c>
      <c r="V266" s="640">
        <v>0</v>
      </c>
      <c r="W266" s="641">
        <v>0</v>
      </c>
      <c r="X266" s="641">
        <v>-18.378136852904419</v>
      </c>
      <c r="Y266" s="640">
        <v>0</v>
      </c>
      <c r="Z266" s="641">
        <v>0</v>
      </c>
      <c r="AA266" s="641">
        <v>0</v>
      </c>
      <c r="AB266" s="641">
        <v>0</v>
      </c>
      <c r="AC266" s="641">
        <v>0</v>
      </c>
      <c r="AD266" s="641">
        <v>0</v>
      </c>
      <c r="AE266" s="641">
        <v>0</v>
      </c>
      <c r="AF266" s="641">
        <v>0</v>
      </c>
      <c r="AG266" s="641">
        <v>0</v>
      </c>
      <c r="AH266" s="642">
        <v>-20.522831714543145</v>
      </c>
      <c r="AI266" s="641">
        <v>0</v>
      </c>
      <c r="AJ266" s="641">
        <v>0</v>
      </c>
      <c r="AK266" s="643">
        <v>-38.900968567447563</v>
      </c>
    </row>
    <row r="267" spans="3:37" x14ac:dyDescent="0.2">
      <c r="C267" s="639" t="s">
        <v>62</v>
      </c>
      <c r="D267" s="640">
        <v>0</v>
      </c>
      <c r="E267" s="641">
        <v>0</v>
      </c>
      <c r="F267" s="641">
        <v>-15.257294848391862</v>
      </c>
      <c r="G267" s="640">
        <v>0</v>
      </c>
      <c r="H267" s="641">
        <v>0</v>
      </c>
      <c r="I267" s="641">
        <v>0</v>
      </c>
      <c r="J267" s="641">
        <v>0</v>
      </c>
      <c r="K267" s="641">
        <v>0</v>
      </c>
      <c r="L267" s="641">
        <v>0</v>
      </c>
      <c r="M267" s="641">
        <v>0</v>
      </c>
      <c r="N267" s="641">
        <v>0</v>
      </c>
      <c r="O267" s="641">
        <v>0</v>
      </c>
      <c r="P267" s="642">
        <v>0</v>
      </c>
      <c r="Q267" s="641">
        <v>0</v>
      </c>
      <c r="R267" s="641">
        <v>0</v>
      </c>
      <c r="S267" s="643">
        <v>-15.257294848391862</v>
      </c>
      <c r="U267" s="639" t="s">
        <v>62</v>
      </c>
      <c r="V267" s="640">
        <v>0</v>
      </c>
      <c r="W267" s="641">
        <v>0</v>
      </c>
      <c r="X267" s="641">
        <v>-7.5188933675233587</v>
      </c>
      <c r="Y267" s="640">
        <v>-2.1851276585702322</v>
      </c>
      <c r="Z267" s="641">
        <v>0</v>
      </c>
      <c r="AA267" s="641">
        <v>0</v>
      </c>
      <c r="AB267" s="641">
        <v>0</v>
      </c>
      <c r="AC267" s="641">
        <v>0</v>
      </c>
      <c r="AD267" s="641">
        <v>0</v>
      </c>
      <c r="AE267" s="641">
        <v>-2.1851276585702322</v>
      </c>
      <c r="AF267" s="641">
        <v>0</v>
      </c>
      <c r="AG267" s="641">
        <v>0</v>
      </c>
      <c r="AH267" s="642">
        <v>0</v>
      </c>
      <c r="AI267" s="641">
        <v>0</v>
      </c>
      <c r="AJ267" s="641">
        <v>0</v>
      </c>
      <c r="AK267" s="643">
        <v>-11.889148684663823</v>
      </c>
    </row>
    <row r="268" spans="3:37" x14ac:dyDescent="0.2">
      <c r="C268" s="639" t="s">
        <v>63</v>
      </c>
      <c r="D268" s="640">
        <v>0</v>
      </c>
      <c r="E268" s="641">
        <v>0</v>
      </c>
      <c r="F268" s="641">
        <v>-90.982589622358091</v>
      </c>
      <c r="G268" s="640">
        <v>0</v>
      </c>
      <c r="H268" s="641">
        <v>0</v>
      </c>
      <c r="I268" s="641">
        <v>0</v>
      </c>
      <c r="J268" s="641">
        <v>0</v>
      </c>
      <c r="K268" s="641">
        <v>0</v>
      </c>
      <c r="L268" s="641">
        <v>-0.93561585486744514</v>
      </c>
      <c r="M268" s="641">
        <v>0</v>
      </c>
      <c r="N268" s="641">
        <v>0</v>
      </c>
      <c r="O268" s="641">
        <v>0</v>
      </c>
      <c r="P268" s="642">
        <v>0</v>
      </c>
      <c r="Q268" s="641">
        <v>0</v>
      </c>
      <c r="R268" s="641">
        <v>0</v>
      </c>
      <c r="S268" s="643">
        <v>-91.918205477225541</v>
      </c>
      <c r="U268" s="639" t="s">
        <v>63</v>
      </c>
      <c r="V268" s="640">
        <v>0</v>
      </c>
      <c r="W268" s="641">
        <v>0</v>
      </c>
      <c r="X268" s="641">
        <v>-53.656928796434556</v>
      </c>
      <c r="Y268" s="640">
        <v>0</v>
      </c>
      <c r="Z268" s="641">
        <v>0</v>
      </c>
      <c r="AA268" s="641">
        <v>0</v>
      </c>
      <c r="AB268" s="641">
        <v>0</v>
      </c>
      <c r="AC268" s="641">
        <v>0</v>
      </c>
      <c r="AD268" s="641">
        <v>-28.297456853591466</v>
      </c>
      <c r="AE268" s="641">
        <v>0</v>
      </c>
      <c r="AF268" s="641">
        <v>0</v>
      </c>
      <c r="AG268" s="641">
        <v>0</v>
      </c>
      <c r="AH268" s="642">
        <v>0</v>
      </c>
      <c r="AI268" s="641">
        <v>0</v>
      </c>
      <c r="AJ268" s="641">
        <v>0</v>
      </c>
      <c r="AK268" s="643">
        <v>-81.954385650026026</v>
      </c>
    </row>
    <row r="269" spans="3:37" x14ac:dyDescent="0.2">
      <c r="C269" s="639" t="s">
        <v>64</v>
      </c>
      <c r="D269" s="640">
        <v>0</v>
      </c>
      <c r="E269" s="641">
        <v>0</v>
      </c>
      <c r="F269" s="641">
        <v>0</v>
      </c>
      <c r="G269" s="640">
        <v>0</v>
      </c>
      <c r="H269" s="641">
        <v>0</v>
      </c>
      <c r="I269" s="641">
        <v>0</v>
      </c>
      <c r="J269" s="641">
        <v>0</v>
      </c>
      <c r="K269" s="641">
        <v>0</v>
      </c>
      <c r="L269" s="641">
        <v>0</v>
      </c>
      <c r="M269" s="641">
        <v>0</v>
      </c>
      <c r="N269" s="641">
        <v>0</v>
      </c>
      <c r="O269" s="641">
        <v>0</v>
      </c>
      <c r="P269" s="642">
        <v>0</v>
      </c>
      <c r="Q269" s="641">
        <v>0</v>
      </c>
      <c r="R269" s="641">
        <v>0</v>
      </c>
      <c r="S269" s="643">
        <v>0</v>
      </c>
      <c r="U269" s="639" t="s">
        <v>64</v>
      </c>
      <c r="V269" s="640">
        <v>0</v>
      </c>
      <c r="W269" s="641">
        <v>0</v>
      </c>
      <c r="X269" s="641">
        <v>0</v>
      </c>
      <c r="Y269" s="640">
        <v>0</v>
      </c>
      <c r="Z269" s="641">
        <v>0</v>
      </c>
      <c r="AA269" s="641">
        <v>0</v>
      </c>
      <c r="AB269" s="641">
        <v>0</v>
      </c>
      <c r="AC269" s="641">
        <v>0</v>
      </c>
      <c r="AD269" s="641">
        <v>0</v>
      </c>
      <c r="AE269" s="641">
        <v>0</v>
      </c>
      <c r="AF269" s="641">
        <v>0</v>
      </c>
      <c r="AG269" s="641">
        <v>0</v>
      </c>
      <c r="AH269" s="642">
        <v>0</v>
      </c>
      <c r="AI269" s="641">
        <v>0</v>
      </c>
      <c r="AJ269" s="641">
        <v>0</v>
      </c>
      <c r="AK269" s="643">
        <v>0</v>
      </c>
    </row>
    <row r="270" spans="3:37" x14ac:dyDescent="0.2">
      <c r="C270" s="644" t="s">
        <v>65</v>
      </c>
      <c r="D270" s="645">
        <v>47.14481987923083</v>
      </c>
      <c r="E270" s="645">
        <v>484.495467583368</v>
      </c>
      <c r="F270" s="645">
        <v>-56.220187417528237</v>
      </c>
      <c r="G270" s="645">
        <v>326.09010493911637</v>
      </c>
      <c r="H270" s="645">
        <v>843.18181818181824</v>
      </c>
      <c r="I270" s="645">
        <v>306.94588327561422</v>
      </c>
      <c r="J270" s="645">
        <v>192.99804263930849</v>
      </c>
      <c r="K270" s="645">
        <v>20.316638839186872</v>
      </c>
      <c r="L270" s="645">
        <v>2.4080208981052738</v>
      </c>
      <c r="M270" s="645">
        <v>0.15964026893196048</v>
      </c>
      <c r="N270" s="645">
        <v>67.964408038916218</v>
      </c>
      <c r="O270" s="645">
        <v>11.973026235836867</v>
      </c>
      <c r="P270" s="645">
        <v>-16.706363002811486</v>
      </c>
      <c r="Q270" s="645">
        <v>0</v>
      </c>
      <c r="R270" s="645">
        <v>0</v>
      </c>
      <c r="S270" s="645">
        <v>2230.7513203590943</v>
      </c>
      <c r="U270" s="644" t="s">
        <v>65</v>
      </c>
      <c r="V270" s="645">
        <v>5.8768320762591904</v>
      </c>
      <c r="W270" s="645">
        <v>189.94114801549574</v>
      </c>
      <c r="X270" s="645">
        <v>-65.137888601933454</v>
      </c>
      <c r="Y270" s="645">
        <v>79.543404035713095</v>
      </c>
      <c r="Z270" s="645">
        <v>842.12121212121212</v>
      </c>
      <c r="AA270" s="645">
        <v>361.66588327561419</v>
      </c>
      <c r="AB270" s="645">
        <v>214.82640666394374</v>
      </c>
      <c r="AC270" s="645">
        <v>36.742499370225779</v>
      </c>
      <c r="AD270" s="645">
        <v>-24.953820100618749</v>
      </c>
      <c r="AE270" s="645">
        <v>-2.0254873896382719</v>
      </c>
      <c r="AF270" s="645">
        <v>109.8518848230913</v>
      </c>
      <c r="AG270" s="645">
        <v>27.041217028647232</v>
      </c>
      <c r="AH270" s="645">
        <v>-20.522831714543145</v>
      </c>
      <c r="AI270" s="645">
        <v>0</v>
      </c>
      <c r="AJ270" s="645">
        <v>0</v>
      </c>
      <c r="AK270" s="645">
        <v>1754.970459603469</v>
      </c>
    </row>
    <row r="271" spans="3:37" x14ac:dyDescent="0.2">
      <c r="C271" s="634"/>
      <c r="D271" s="634">
        <v>0</v>
      </c>
      <c r="E271" s="634">
        <v>0</v>
      </c>
      <c r="F271" s="634">
        <v>0</v>
      </c>
      <c r="G271" s="634">
        <v>0</v>
      </c>
      <c r="H271" s="634">
        <v>0</v>
      </c>
      <c r="I271" s="634">
        <v>0</v>
      </c>
      <c r="J271" s="634">
        <v>0</v>
      </c>
      <c r="K271" s="634">
        <v>0</v>
      </c>
      <c r="L271" s="634">
        <v>0</v>
      </c>
      <c r="M271" s="634">
        <v>0</v>
      </c>
      <c r="N271" s="634">
        <v>0</v>
      </c>
      <c r="O271" s="634">
        <v>0</v>
      </c>
      <c r="P271" s="634">
        <v>0</v>
      </c>
      <c r="Q271" s="634">
        <v>0</v>
      </c>
      <c r="R271" s="634">
        <v>0</v>
      </c>
      <c r="S271" s="634">
        <v>0</v>
      </c>
      <c r="U271" s="634"/>
      <c r="V271" s="634">
        <v>0</v>
      </c>
      <c r="W271" s="634">
        <v>0</v>
      </c>
      <c r="X271" s="634">
        <v>0</v>
      </c>
      <c r="Y271" s="634">
        <v>0</v>
      </c>
      <c r="Z271" s="634">
        <v>0</v>
      </c>
      <c r="AA271" s="634">
        <v>0</v>
      </c>
      <c r="AB271" s="634">
        <v>0</v>
      </c>
      <c r="AC271" s="634">
        <v>0</v>
      </c>
      <c r="AD271" s="634">
        <v>0</v>
      </c>
      <c r="AE271" s="634">
        <v>0</v>
      </c>
      <c r="AF271" s="634">
        <v>0</v>
      </c>
      <c r="AG271" s="634">
        <v>0</v>
      </c>
      <c r="AH271" s="634">
        <v>0</v>
      </c>
      <c r="AI271" s="634">
        <v>0</v>
      </c>
      <c r="AJ271" s="634">
        <v>0</v>
      </c>
      <c r="AK271" s="634">
        <v>0</v>
      </c>
    </row>
    <row r="272" spans="3:37" x14ac:dyDescent="0.2">
      <c r="C272" s="646" t="s">
        <v>67</v>
      </c>
      <c r="D272" s="640">
        <v>0</v>
      </c>
      <c r="E272" s="647">
        <v>0</v>
      </c>
      <c r="F272" s="647">
        <v>0</v>
      </c>
      <c r="G272" s="640">
        <v>0</v>
      </c>
      <c r="H272" s="640">
        <v>0</v>
      </c>
      <c r="I272" s="640">
        <v>0</v>
      </c>
      <c r="J272" s="640">
        <v>0</v>
      </c>
      <c r="K272" s="640">
        <v>0</v>
      </c>
      <c r="L272" s="640">
        <v>0</v>
      </c>
      <c r="M272" s="640">
        <v>0</v>
      </c>
      <c r="N272" s="640">
        <v>0</v>
      </c>
      <c r="O272" s="640">
        <v>0</v>
      </c>
      <c r="P272" s="640">
        <v>0</v>
      </c>
      <c r="Q272" s="640">
        <v>0</v>
      </c>
      <c r="R272" s="640">
        <v>0</v>
      </c>
      <c r="S272" s="648">
        <v>0</v>
      </c>
      <c r="U272" s="646" t="s">
        <v>67</v>
      </c>
      <c r="V272" s="640">
        <v>0</v>
      </c>
      <c r="W272" s="647">
        <v>0</v>
      </c>
      <c r="X272" s="647">
        <v>0</v>
      </c>
      <c r="Y272" s="640">
        <v>0</v>
      </c>
      <c r="Z272" s="640">
        <v>0</v>
      </c>
      <c r="AA272" s="640">
        <v>0</v>
      </c>
      <c r="AB272" s="640">
        <v>0</v>
      </c>
      <c r="AC272" s="640">
        <v>0</v>
      </c>
      <c r="AD272" s="640">
        <v>0</v>
      </c>
      <c r="AE272" s="640">
        <v>0</v>
      </c>
      <c r="AF272" s="640">
        <v>0</v>
      </c>
      <c r="AG272" s="640">
        <v>0</v>
      </c>
      <c r="AH272" s="640">
        <v>0</v>
      </c>
      <c r="AI272" s="640">
        <v>0</v>
      </c>
      <c r="AJ272" s="640">
        <v>0</v>
      </c>
      <c r="AK272" s="648">
        <v>0</v>
      </c>
    </row>
    <row r="273" spans="3:37" x14ac:dyDescent="0.2">
      <c r="C273" s="646" t="s">
        <v>347</v>
      </c>
      <c r="D273" s="640">
        <v>2.8267856410252494</v>
      </c>
      <c r="E273" s="640">
        <v>0</v>
      </c>
      <c r="F273" s="640">
        <v>7.9230776783294274</v>
      </c>
      <c r="G273" s="640">
        <v>16.680851063829788</v>
      </c>
      <c r="H273" s="640">
        <v>843.18181818181824</v>
      </c>
      <c r="I273" s="640">
        <v>306.94588327561422</v>
      </c>
      <c r="J273" s="649">
        <v>28.98717588629853</v>
      </c>
      <c r="K273" s="649">
        <v>6.5903281241207718</v>
      </c>
      <c r="L273" s="649">
        <v>3.3436367529727189</v>
      </c>
      <c r="M273" s="649">
        <v>0.46654149749263618</v>
      </c>
      <c r="N273" s="649">
        <v>0</v>
      </c>
      <c r="O273" s="649">
        <v>7.0184114557160298</v>
      </c>
      <c r="P273" s="640">
        <v>-616.92993037811448</v>
      </c>
      <c r="Q273" s="640">
        <v>0</v>
      </c>
      <c r="R273" s="640">
        <v>0</v>
      </c>
      <c r="S273" s="648">
        <v>607.03457917910316</v>
      </c>
      <c r="U273" s="646" t="s">
        <v>347</v>
      </c>
      <c r="V273" s="640">
        <v>0.62631490545869017</v>
      </c>
      <c r="W273" s="640">
        <v>0</v>
      </c>
      <c r="X273" s="640">
        <v>4.0594413146930641</v>
      </c>
      <c r="Y273" s="640">
        <v>2.3404255319148937</v>
      </c>
      <c r="Z273" s="640">
        <v>842.12121212121212</v>
      </c>
      <c r="AA273" s="640">
        <v>361.66588327561419</v>
      </c>
      <c r="AB273" s="649">
        <v>23.182357378111952</v>
      </c>
      <c r="AC273" s="649">
        <v>5.3775678130216455</v>
      </c>
      <c r="AD273" s="649">
        <v>3.3436367529727189</v>
      </c>
      <c r="AE273" s="649">
        <v>2.4665414974926363</v>
      </c>
      <c r="AF273" s="649">
        <v>0</v>
      </c>
      <c r="AG273" s="649">
        <v>7.0184114557160298</v>
      </c>
      <c r="AH273" s="640">
        <v>-662.7499303781143</v>
      </c>
      <c r="AI273" s="640">
        <v>0</v>
      </c>
      <c r="AJ273" s="640">
        <v>4.25</v>
      </c>
      <c r="AK273" s="648">
        <v>593.70186166809344</v>
      </c>
    </row>
    <row r="274" spans="3:37" x14ac:dyDescent="0.2">
      <c r="C274" s="646" t="s">
        <v>348</v>
      </c>
      <c r="D274" s="640">
        <v>0</v>
      </c>
      <c r="E274" s="640">
        <v>0</v>
      </c>
      <c r="F274" s="640">
        <v>0</v>
      </c>
      <c r="G274" s="640">
        <v>14.843815057329421</v>
      </c>
      <c r="H274" s="640">
        <v>0</v>
      </c>
      <c r="I274" s="640">
        <v>0</v>
      </c>
      <c r="J274" s="649">
        <v>12.357161229114668</v>
      </c>
      <c r="K274" s="649">
        <v>11.882304060636951</v>
      </c>
      <c r="L274" s="649">
        <v>0</v>
      </c>
      <c r="M274" s="649">
        <v>0.31804644322561132</v>
      </c>
      <c r="N274" s="649">
        <v>0</v>
      </c>
      <c r="O274" s="649">
        <v>2.0992086164963606</v>
      </c>
      <c r="P274" s="640">
        <v>0</v>
      </c>
      <c r="Q274" s="640">
        <v>-37.805081951347923</v>
      </c>
      <c r="R274" s="640">
        <v>0</v>
      </c>
      <c r="S274" s="648">
        <v>3.6954534554550835</v>
      </c>
      <c r="U274" s="646" t="s">
        <v>348</v>
      </c>
      <c r="V274" s="640">
        <v>0</v>
      </c>
      <c r="W274" s="640">
        <v>0</v>
      </c>
      <c r="X274" s="640">
        <v>0</v>
      </c>
      <c r="Y274" s="640">
        <v>6.4668066457611202</v>
      </c>
      <c r="Z274" s="640">
        <v>0</v>
      </c>
      <c r="AA274" s="640">
        <v>0</v>
      </c>
      <c r="AB274" s="649">
        <v>28.361573193229066</v>
      </c>
      <c r="AC274" s="649">
        <v>26.076316433417247</v>
      </c>
      <c r="AD274" s="649">
        <v>0</v>
      </c>
      <c r="AE274" s="649">
        <v>6.4819180878167435</v>
      </c>
      <c r="AF274" s="649">
        <v>0</v>
      </c>
      <c r="AG274" s="649">
        <v>12.550380584079129</v>
      </c>
      <c r="AH274" s="640">
        <v>0</v>
      </c>
      <c r="AI274" s="640">
        <v>-74.043519390541746</v>
      </c>
      <c r="AJ274" s="640">
        <v>0</v>
      </c>
      <c r="AK274" s="648">
        <v>5.8934755537615651</v>
      </c>
    </row>
    <row r="275" spans="3:37" x14ac:dyDescent="0.2">
      <c r="C275" s="646" t="s">
        <v>349</v>
      </c>
      <c r="D275" s="640">
        <v>0</v>
      </c>
      <c r="E275" s="640">
        <v>0</v>
      </c>
      <c r="F275" s="640">
        <v>0</v>
      </c>
      <c r="G275" s="640">
        <v>0</v>
      </c>
      <c r="H275" s="640">
        <v>0</v>
      </c>
      <c r="I275" s="640">
        <v>0</v>
      </c>
      <c r="J275" s="650">
        <v>6.8755991242523775</v>
      </c>
      <c r="K275" s="650">
        <v>0</v>
      </c>
      <c r="L275" s="650">
        <v>0</v>
      </c>
      <c r="M275" s="650">
        <v>-6.4200906822706569</v>
      </c>
      <c r="N275" s="650">
        <v>0</v>
      </c>
      <c r="O275" s="650">
        <v>0</v>
      </c>
      <c r="P275" s="640">
        <v>0</v>
      </c>
      <c r="Q275" s="640">
        <v>0</v>
      </c>
      <c r="R275" s="640">
        <v>0</v>
      </c>
      <c r="S275" s="648">
        <v>0.45550844198172058</v>
      </c>
      <c r="U275" s="646" t="s">
        <v>349</v>
      </c>
      <c r="V275" s="640">
        <v>0</v>
      </c>
      <c r="W275" s="640">
        <v>0</v>
      </c>
      <c r="X275" s="640">
        <v>0</v>
      </c>
      <c r="Y275" s="640">
        <v>0</v>
      </c>
      <c r="Z275" s="640">
        <v>0</v>
      </c>
      <c r="AA275" s="640">
        <v>0</v>
      </c>
      <c r="AB275" s="650">
        <v>86.654179241552072</v>
      </c>
      <c r="AC275" s="650">
        <v>0</v>
      </c>
      <c r="AD275" s="650">
        <v>0</v>
      </c>
      <c r="AE275" s="650">
        <v>-80.913339866799248</v>
      </c>
      <c r="AF275" s="650">
        <v>0</v>
      </c>
      <c r="AG275" s="650">
        <v>0</v>
      </c>
      <c r="AH275" s="640">
        <v>0</v>
      </c>
      <c r="AI275" s="640">
        <v>0</v>
      </c>
      <c r="AJ275" s="640">
        <v>0</v>
      </c>
      <c r="AK275" s="648">
        <v>5.7408393747528237</v>
      </c>
    </row>
    <row r="276" spans="3:37" x14ac:dyDescent="0.2">
      <c r="C276" s="646" t="s">
        <v>350</v>
      </c>
      <c r="D276" s="640">
        <v>0</v>
      </c>
      <c r="E276" s="640">
        <v>0</v>
      </c>
      <c r="F276" s="640">
        <v>0</v>
      </c>
      <c r="G276" s="640">
        <v>0</v>
      </c>
      <c r="H276" s="640">
        <v>0</v>
      </c>
      <c r="I276" s="640">
        <v>0</v>
      </c>
      <c r="J276" s="640">
        <v>0</v>
      </c>
      <c r="K276" s="640">
        <v>0</v>
      </c>
      <c r="L276" s="640">
        <v>0</v>
      </c>
      <c r="M276" s="640">
        <v>0</v>
      </c>
      <c r="N276" s="640">
        <v>0</v>
      </c>
      <c r="O276" s="640">
        <v>0</v>
      </c>
      <c r="P276" s="640">
        <v>0</v>
      </c>
      <c r="Q276" s="640">
        <v>0</v>
      </c>
      <c r="R276" s="640">
        <v>0</v>
      </c>
      <c r="S276" s="648">
        <v>0</v>
      </c>
      <c r="U276" s="646" t="s">
        <v>350</v>
      </c>
      <c r="V276" s="640">
        <v>0</v>
      </c>
      <c r="W276" s="640">
        <v>0</v>
      </c>
      <c r="X276" s="640">
        <v>0</v>
      </c>
      <c r="Y276" s="640">
        <v>0</v>
      </c>
      <c r="Z276" s="640">
        <v>0</v>
      </c>
      <c r="AA276" s="640">
        <v>0</v>
      </c>
      <c r="AB276" s="640">
        <v>0</v>
      </c>
      <c r="AC276" s="640">
        <v>0</v>
      </c>
      <c r="AD276" s="640">
        <v>0</v>
      </c>
      <c r="AE276" s="640">
        <v>0</v>
      </c>
      <c r="AF276" s="640">
        <v>0</v>
      </c>
      <c r="AG276" s="640">
        <v>0</v>
      </c>
      <c r="AH276" s="640">
        <v>0</v>
      </c>
      <c r="AI276" s="640">
        <v>0</v>
      </c>
      <c r="AJ276" s="640">
        <v>0</v>
      </c>
      <c r="AK276" s="648">
        <v>0</v>
      </c>
    </row>
    <row r="277" spans="3:37" x14ac:dyDescent="0.2">
      <c r="C277" s="646" t="s">
        <v>72</v>
      </c>
      <c r="D277" s="640">
        <v>0</v>
      </c>
      <c r="E277" s="640">
        <v>501.8858109321676</v>
      </c>
      <c r="F277" s="640">
        <v>-496.86695282284592</v>
      </c>
      <c r="G277" s="640">
        <v>0</v>
      </c>
      <c r="H277" s="640">
        <v>0</v>
      </c>
      <c r="I277" s="640">
        <v>0</v>
      </c>
      <c r="J277" s="640">
        <v>0</v>
      </c>
      <c r="K277" s="640">
        <v>0</v>
      </c>
      <c r="L277" s="640">
        <v>0</v>
      </c>
      <c r="M277" s="640">
        <v>0</v>
      </c>
      <c r="N277" s="640">
        <v>0</v>
      </c>
      <c r="O277" s="640">
        <v>0</v>
      </c>
      <c r="P277" s="640">
        <v>0</v>
      </c>
      <c r="Q277" s="640">
        <v>0</v>
      </c>
      <c r="R277" s="640">
        <v>0</v>
      </c>
      <c r="S277" s="648">
        <v>5.018858109321684</v>
      </c>
      <c r="U277" s="646" t="s">
        <v>72</v>
      </c>
      <c r="V277" s="640">
        <v>0</v>
      </c>
      <c r="W277" s="640">
        <v>196.75884188687598</v>
      </c>
      <c r="X277" s="640">
        <v>-194.79125346800723</v>
      </c>
      <c r="Y277" s="640">
        <v>0</v>
      </c>
      <c r="Z277" s="640">
        <v>0</v>
      </c>
      <c r="AA277" s="640">
        <v>0</v>
      </c>
      <c r="AB277" s="640">
        <v>0</v>
      </c>
      <c r="AC277" s="640">
        <v>0</v>
      </c>
      <c r="AD277" s="640">
        <v>0</v>
      </c>
      <c r="AE277" s="640">
        <v>0</v>
      </c>
      <c r="AF277" s="640">
        <v>0</v>
      </c>
      <c r="AG277" s="640">
        <v>0</v>
      </c>
      <c r="AH277" s="640">
        <v>0</v>
      </c>
      <c r="AI277" s="640">
        <v>0</v>
      </c>
      <c r="AJ277" s="640">
        <v>0</v>
      </c>
      <c r="AK277" s="648">
        <v>1.9675884188687576</v>
      </c>
    </row>
    <row r="278" spans="3:37" x14ac:dyDescent="0.2">
      <c r="C278" s="646" t="s">
        <v>351</v>
      </c>
      <c r="D278" s="640">
        <v>0</v>
      </c>
      <c r="E278" s="640">
        <v>0</v>
      </c>
      <c r="F278" s="640">
        <v>0</v>
      </c>
      <c r="G278" s="640">
        <v>0</v>
      </c>
      <c r="H278" s="640">
        <v>0</v>
      </c>
      <c r="I278" s="640">
        <v>0</v>
      </c>
      <c r="J278" s="640">
        <v>26.867608526350821</v>
      </c>
      <c r="K278" s="640">
        <v>0</v>
      </c>
      <c r="L278" s="640">
        <v>-26.867608526350821</v>
      </c>
      <c r="M278" s="640">
        <v>0</v>
      </c>
      <c r="N278" s="640">
        <v>0</v>
      </c>
      <c r="O278" s="640">
        <v>0</v>
      </c>
      <c r="P278" s="640">
        <v>0</v>
      </c>
      <c r="Q278" s="640">
        <v>0</v>
      </c>
      <c r="R278" s="640">
        <v>0</v>
      </c>
      <c r="S278" s="648">
        <v>0</v>
      </c>
      <c r="U278" s="646" t="s">
        <v>351</v>
      </c>
      <c r="V278" s="640">
        <v>0</v>
      </c>
      <c r="W278" s="640">
        <v>0</v>
      </c>
      <c r="X278" s="640">
        <v>0</v>
      </c>
      <c r="Y278" s="640">
        <v>0</v>
      </c>
      <c r="Z278" s="640">
        <v>0</v>
      </c>
      <c r="AA278" s="640">
        <v>0</v>
      </c>
      <c r="AB278" s="640" t="e">
        <v>#VALUE!</v>
      </c>
      <c r="AC278" s="640">
        <v>0</v>
      </c>
      <c r="AD278" s="640">
        <v>-99.513749603669936</v>
      </c>
      <c r="AE278" s="640">
        <v>0</v>
      </c>
      <c r="AF278" s="640">
        <v>0</v>
      </c>
      <c r="AG278" s="640">
        <v>0</v>
      </c>
      <c r="AH278" s="640">
        <v>0</v>
      </c>
      <c r="AI278" s="640">
        <v>0</v>
      </c>
      <c r="AJ278" s="640">
        <v>0</v>
      </c>
      <c r="AK278" s="648">
        <v>-99.513749603669936</v>
      </c>
    </row>
    <row r="279" spans="3:37" x14ac:dyDescent="0.2">
      <c r="C279" s="646" t="s">
        <v>352</v>
      </c>
      <c r="D279" s="640">
        <v>0</v>
      </c>
      <c r="E279" s="640">
        <v>0</v>
      </c>
      <c r="F279" s="640">
        <v>0</v>
      </c>
      <c r="G279" s="640">
        <v>0</v>
      </c>
      <c r="H279" s="640">
        <v>0</v>
      </c>
      <c r="I279" s="640">
        <v>0</v>
      </c>
      <c r="J279" s="640">
        <v>0</v>
      </c>
      <c r="K279" s="640">
        <v>0</v>
      </c>
      <c r="L279" s="640">
        <v>0</v>
      </c>
      <c r="M279" s="640">
        <v>0</v>
      </c>
      <c r="N279" s="640">
        <v>0</v>
      </c>
      <c r="O279" s="640">
        <v>0</v>
      </c>
      <c r="P279" s="640">
        <v>0</v>
      </c>
      <c r="Q279" s="640">
        <v>0</v>
      </c>
      <c r="R279" s="640">
        <v>0</v>
      </c>
      <c r="S279" s="648">
        <v>0</v>
      </c>
      <c r="U279" s="646" t="s">
        <v>352</v>
      </c>
      <c r="V279" s="640">
        <v>0</v>
      </c>
      <c r="W279" s="640">
        <v>0</v>
      </c>
      <c r="X279" s="640">
        <v>0</v>
      </c>
      <c r="Y279" s="640">
        <v>0</v>
      </c>
      <c r="Z279" s="640">
        <v>0</v>
      </c>
      <c r="AA279" s="640">
        <v>0</v>
      </c>
      <c r="AB279" s="640">
        <v>0</v>
      </c>
      <c r="AC279" s="640">
        <v>0</v>
      </c>
      <c r="AD279" s="640">
        <v>-17.985934640167208</v>
      </c>
      <c r="AE279" s="640">
        <v>0</v>
      </c>
      <c r="AF279" s="640">
        <v>0</v>
      </c>
      <c r="AG279" s="640">
        <v>0</v>
      </c>
      <c r="AH279" s="640">
        <v>0</v>
      </c>
      <c r="AI279" s="640">
        <v>0</v>
      </c>
      <c r="AJ279" s="640">
        <v>0</v>
      </c>
      <c r="AK279" s="648">
        <v>-17.985934640167208</v>
      </c>
    </row>
    <row r="280" spans="3:37" x14ac:dyDescent="0.2">
      <c r="C280" s="646" t="s">
        <v>73</v>
      </c>
      <c r="D280" s="640">
        <v>0</v>
      </c>
      <c r="E280" s="640">
        <v>0</v>
      </c>
      <c r="F280" s="640">
        <v>0</v>
      </c>
      <c r="G280" s="640">
        <v>7.0830222331165276</v>
      </c>
      <c r="H280" s="640">
        <v>0</v>
      </c>
      <c r="I280" s="640">
        <v>0</v>
      </c>
      <c r="J280" s="640">
        <v>0</v>
      </c>
      <c r="K280" s="640">
        <v>8.2131519400701847E-2</v>
      </c>
      <c r="L280" s="640">
        <v>0</v>
      </c>
      <c r="M280" s="640">
        <v>0.14455147414523528</v>
      </c>
      <c r="N280" s="640">
        <v>0</v>
      </c>
      <c r="O280" s="640">
        <v>0</v>
      </c>
      <c r="P280" s="640">
        <v>0.90023160054861806</v>
      </c>
      <c r="Q280" s="640">
        <v>0</v>
      </c>
      <c r="R280" s="640">
        <v>-5.7492063580491291</v>
      </c>
      <c r="S280" s="648">
        <v>2.4607304691619536</v>
      </c>
      <c r="U280" s="646" t="s">
        <v>73</v>
      </c>
      <c r="V280" s="640">
        <v>0</v>
      </c>
      <c r="W280" s="640">
        <v>0</v>
      </c>
      <c r="X280" s="640">
        <v>0</v>
      </c>
      <c r="Y280" s="640">
        <v>2.5209228009552263</v>
      </c>
      <c r="Z280" s="640">
        <v>0</v>
      </c>
      <c r="AA280" s="640">
        <v>0</v>
      </c>
      <c r="AB280" s="640">
        <v>0</v>
      </c>
      <c r="AC280" s="640">
        <v>0.50418456019104518</v>
      </c>
      <c r="AD280" s="640">
        <v>0</v>
      </c>
      <c r="AE280" s="640">
        <v>2.5209228009552263</v>
      </c>
      <c r="AF280" s="640">
        <v>0</v>
      </c>
      <c r="AG280" s="640">
        <v>0</v>
      </c>
      <c r="AH280" s="640">
        <v>44.712737508757456</v>
      </c>
      <c r="AI280" s="640">
        <v>0</v>
      </c>
      <c r="AJ280" s="640">
        <v>-35.29291921337316</v>
      </c>
      <c r="AK280" s="648">
        <v>14.965848457485791</v>
      </c>
    </row>
    <row r="281" spans="3:37" x14ac:dyDescent="0.2">
      <c r="C281" s="646" t="s">
        <v>353</v>
      </c>
      <c r="D281" s="640">
        <v>28.568314687499999</v>
      </c>
      <c r="E281" s="640">
        <v>-17.390343348799608</v>
      </c>
      <c r="F281" s="640">
        <v>22.745541936068136</v>
      </c>
      <c r="G281" s="640">
        <v>0</v>
      </c>
      <c r="H281" s="640">
        <v>0</v>
      </c>
      <c r="I281" s="640">
        <v>0</v>
      </c>
      <c r="J281" s="640">
        <v>0</v>
      </c>
      <c r="K281" s="640">
        <v>0</v>
      </c>
      <c r="L281" s="640">
        <v>0</v>
      </c>
      <c r="M281" s="640">
        <v>0</v>
      </c>
      <c r="N281" s="640">
        <v>0</v>
      </c>
      <c r="O281" s="640">
        <v>0</v>
      </c>
      <c r="P281" s="640">
        <v>0</v>
      </c>
      <c r="Q281" s="640">
        <v>0</v>
      </c>
      <c r="R281" s="640">
        <v>0</v>
      </c>
      <c r="S281" s="648">
        <v>33.923513274768524</v>
      </c>
      <c r="U281" s="646" t="s">
        <v>353</v>
      </c>
      <c r="V281" s="640">
        <v>1.4001075134277343</v>
      </c>
      <c r="W281" s="640">
        <v>-6.8176938713802535</v>
      </c>
      <c r="X281" s="640">
        <v>8.9171408952922331</v>
      </c>
      <c r="Y281" s="640">
        <v>0</v>
      </c>
      <c r="Z281" s="640">
        <v>0</v>
      </c>
      <c r="AA281" s="640">
        <v>0</v>
      </c>
      <c r="AB281" s="640">
        <v>0</v>
      </c>
      <c r="AC281" s="640">
        <v>0</v>
      </c>
      <c r="AD281" s="640">
        <v>0</v>
      </c>
      <c r="AE281" s="640">
        <v>0</v>
      </c>
      <c r="AF281" s="640">
        <v>0</v>
      </c>
      <c r="AG281" s="640">
        <v>0</v>
      </c>
      <c r="AH281" s="640">
        <v>0</v>
      </c>
      <c r="AI281" s="640">
        <v>0</v>
      </c>
      <c r="AJ281" s="640">
        <v>0</v>
      </c>
      <c r="AK281" s="648">
        <v>3.4995545373397139</v>
      </c>
    </row>
    <row r="282" spans="3:37" x14ac:dyDescent="0.2">
      <c r="C282" s="646" t="s">
        <v>75</v>
      </c>
      <c r="D282" s="640">
        <v>11.109900156250001</v>
      </c>
      <c r="E282" s="640">
        <v>0</v>
      </c>
      <c r="F282" s="640">
        <v>17.0641175716937</v>
      </c>
      <c r="G282" s="640">
        <v>4.8692961376638904</v>
      </c>
      <c r="H282" s="640">
        <v>0</v>
      </c>
      <c r="I282" s="640">
        <v>0</v>
      </c>
      <c r="J282" s="640">
        <v>0</v>
      </c>
      <c r="K282" s="640">
        <v>0</v>
      </c>
      <c r="L282" s="640">
        <v>0</v>
      </c>
      <c r="M282" s="640">
        <v>9.9373390564569189E-2</v>
      </c>
      <c r="N282" s="640">
        <v>0</v>
      </c>
      <c r="O282" s="640">
        <v>0</v>
      </c>
      <c r="P282" s="640">
        <v>27.977940148174714</v>
      </c>
      <c r="Q282" s="640">
        <v>0</v>
      </c>
      <c r="R282" s="640">
        <v>0</v>
      </c>
      <c r="S282" s="648">
        <v>61.12062740434687</v>
      </c>
      <c r="U282" s="646" t="s">
        <v>75</v>
      </c>
      <c r="V282" s="640">
        <v>2.585423095703125</v>
      </c>
      <c r="W282" s="640">
        <v>0</v>
      </c>
      <c r="X282" s="640">
        <v>17.0641175716937</v>
      </c>
      <c r="Y282" s="640">
        <v>2.4843347641142297</v>
      </c>
      <c r="Z282" s="640">
        <v>0</v>
      </c>
      <c r="AA282" s="640">
        <v>0</v>
      </c>
      <c r="AB282" s="640">
        <v>0</v>
      </c>
      <c r="AC282" s="640">
        <v>0</v>
      </c>
      <c r="AD282" s="640">
        <v>0</v>
      </c>
      <c r="AE282" s="640">
        <v>2.4843347641142297</v>
      </c>
      <c r="AF282" s="640">
        <v>0</v>
      </c>
      <c r="AG282" s="640">
        <v>0</v>
      </c>
      <c r="AH282" s="640">
        <v>36.559985602720168</v>
      </c>
      <c r="AI282" s="640">
        <v>0</v>
      </c>
      <c r="AJ282" s="640">
        <v>0</v>
      </c>
      <c r="AK282" s="648">
        <v>61.178195798345449</v>
      </c>
    </row>
    <row r="283" spans="3:37" x14ac:dyDescent="0.2">
      <c r="C283" s="646" t="s">
        <v>76</v>
      </c>
      <c r="D283" s="640">
        <v>0</v>
      </c>
      <c r="E283" s="640">
        <v>0</v>
      </c>
      <c r="F283" s="640">
        <v>0</v>
      </c>
      <c r="G283" s="640">
        <v>3.7302503173667452</v>
      </c>
      <c r="H283" s="640">
        <v>0</v>
      </c>
      <c r="I283" s="640">
        <v>0</v>
      </c>
      <c r="J283" s="640">
        <v>0</v>
      </c>
      <c r="K283" s="640">
        <v>0</v>
      </c>
      <c r="L283" s="640">
        <v>0</v>
      </c>
      <c r="M283" s="640">
        <v>7.6127557497280507E-2</v>
      </c>
      <c r="N283" s="640">
        <v>0</v>
      </c>
      <c r="O283" s="640">
        <v>0</v>
      </c>
      <c r="P283" s="640">
        <v>45.919010237367587</v>
      </c>
      <c r="Q283" s="640">
        <v>2.9343505562312622</v>
      </c>
      <c r="R283" s="640">
        <v>0</v>
      </c>
      <c r="S283" s="648">
        <v>52.659738668462872</v>
      </c>
      <c r="U283" s="646" t="s">
        <v>76</v>
      </c>
      <c r="V283" s="640">
        <v>0</v>
      </c>
      <c r="W283" s="640">
        <v>0</v>
      </c>
      <c r="X283" s="640">
        <v>0</v>
      </c>
      <c r="Y283" s="640">
        <v>0.95944671778813329</v>
      </c>
      <c r="Z283" s="640">
        <v>0</v>
      </c>
      <c r="AA283" s="640">
        <v>0</v>
      </c>
      <c r="AB283" s="640">
        <v>0</v>
      </c>
      <c r="AC283" s="640">
        <v>0</v>
      </c>
      <c r="AD283" s="640">
        <v>0</v>
      </c>
      <c r="AE283" s="640">
        <v>0.95944671778813329</v>
      </c>
      <c r="AF283" s="640">
        <v>0</v>
      </c>
      <c r="AG283" s="640">
        <v>0</v>
      </c>
      <c r="AH283" s="640">
        <v>49.138117436745475</v>
      </c>
      <c r="AI283" s="640">
        <v>5.7424951548403769</v>
      </c>
      <c r="AJ283" s="640">
        <v>0</v>
      </c>
      <c r="AK283" s="648">
        <v>56.799506027162117</v>
      </c>
    </row>
    <row r="284" spans="3:37" x14ac:dyDescent="0.2">
      <c r="C284" s="644" t="s">
        <v>77</v>
      </c>
      <c r="D284" s="645">
        <v>42.505000484775252</v>
      </c>
      <c r="E284" s="645">
        <v>484.495467583368</v>
      </c>
      <c r="F284" s="645">
        <v>-449.13421563675462</v>
      </c>
      <c r="G284" s="645">
        <v>47.207234809306371</v>
      </c>
      <c r="H284" s="645">
        <v>843.18181818181824</v>
      </c>
      <c r="I284" s="645">
        <v>306.94588327561422</v>
      </c>
      <c r="J284" s="645">
        <v>75.087544766016393</v>
      </c>
      <c r="K284" s="645">
        <v>18.554763704158422</v>
      </c>
      <c r="L284" s="645">
        <v>-23.523971773378101</v>
      </c>
      <c r="M284" s="645">
        <v>-5.3154503193453246</v>
      </c>
      <c r="N284" s="645">
        <v>0</v>
      </c>
      <c r="O284" s="645">
        <v>9.1176200722123912</v>
      </c>
      <c r="P284" s="645">
        <v>-542.13274839202359</v>
      </c>
      <c r="Q284" s="645">
        <v>-34.870731395116664</v>
      </c>
      <c r="R284" s="645">
        <v>-5.7492063580491291</v>
      </c>
      <c r="S284" s="645">
        <v>766.36900900260184</v>
      </c>
      <c r="U284" s="644" t="s">
        <v>77</v>
      </c>
      <c r="V284" s="645">
        <v>4.6118455145895494</v>
      </c>
      <c r="W284" s="645">
        <v>189.94114801549574</v>
      </c>
      <c r="X284" s="645">
        <v>-164.75055368632826</v>
      </c>
      <c r="Y284" s="645">
        <v>14.771936460533603</v>
      </c>
      <c r="Z284" s="645">
        <v>842.12121212121212</v>
      </c>
      <c r="AA284" s="645">
        <v>361.66588327561419</v>
      </c>
      <c r="AB284" s="645">
        <v>138.19810981289308</v>
      </c>
      <c r="AC284" s="645">
        <v>31.958068806629939</v>
      </c>
      <c r="AD284" s="645">
        <v>-114.15604749086444</v>
      </c>
      <c r="AE284" s="645">
        <v>-66.000175998632287</v>
      </c>
      <c r="AF284" s="645">
        <v>0</v>
      </c>
      <c r="AG284" s="645">
        <v>19.568792039795159</v>
      </c>
      <c r="AH284" s="645">
        <v>-532.33908982989124</v>
      </c>
      <c r="AI284" s="645">
        <v>-68.301024235701377</v>
      </c>
      <c r="AJ284" s="645">
        <v>-31.04291921337316</v>
      </c>
      <c r="AK284" s="645">
        <v>626.24718559197242</v>
      </c>
    </row>
    <row r="285" spans="3:37" x14ac:dyDescent="0.2">
      <c r="C285" s="634"/>
      <c r="D285" s="634">
        <v>0</v>
      </c>
      <c r="E285" s="634">
        <v>0</v>
      </c>
      <c r="F285" s="634">
        <v>0</v>
      </c>
      <c r="G285" s="634">
        <v>0</v>
      </c>
      <c r="H285" s="634">
        <v>0</v>
      </c>
      <c r="I285" s="634">
        <v>0</v>
      </c>
      <c r="J285" s="634">
        <v>0</v>
      </c>
      <c r="K285" s="634">
        <v>0</v>
      </c>
      <c r="L285" s="634">
        <v>0</v>
      </c>
      <c r="M285" s="634">
        <v>0</v>
      </c>
      <c r="N285" s="634">
        <v>0</v>
      </c>
      <c r="O285" s="634">
        <v>0</v>
      </c>
      <c r="P285" s="634">
        <v>0</v>
      </c>
      <c r="Q285" s="634">
        <v>0</v>
      </c>
      <c r="R285" s="634">
        <v>0</v>
      </c>
      <c r="S285" s="634">
        <v>0</v>
      </c>
      <c r="U285" s="634"/>
      <c r="V285" s="634">
        <v>0</v>
      </c>
      <c r="W285" s="634">
        <v>0</v>
      </c>
      <c r="X285" s="634">
        <v>0</v>
      </c>
      <c r="Y285" s="634">
        <v>0</v>
      </c>
      <c r="Z285" s="634">
        <v>0</v>
      </c>
      <c r="AA285" s="634">
        <v>0</v>
      </c>
      <c r="AB285" s="634">
        <v>0</v>
      </c>
      <c r="AC285" s="634">
        <v>0</v>
      </c>
      <c r="AD285" s="634">
        <v>0</v>
      </c>
      <c r="AE285" s="634">
        <v>0</v>
      </c>
      <c r="AF285" s="634">
        <v>0</v>
      </c>
      <c r="AG285" s="634">
        <v>0</v>
      </c>
      <c r="AH285" s="634">
        <v>0</v>
      </c>
      <c r="AI285" s="634">
        <v>0</v>
      </c>
      <c r="AJ285" s="634">
        <v>0</v>
      </c>
      <c r="AK285" s="634">
        <v>0</v>
      </c>
    </row>
    <row r="286" spans="3:37" x14ac:dyDescent="0.2">
      <c r="C286" s="646" t="s">
        <v>78</v>
      </c>
      <c r="D286" s="640">
        <v>4.6398193944555786</v>
      </c>
      <c r="E286" s="640">
        <v>0</v>
      </c>
      <c r="F286" s="640">
        <v>20.598782441852151</v>
      </c>
      <c r="G286" s="640">
        <v>94.839699954986926</v>
      </c>
      <c r="H286" s="640">
        <v>0</v>
      </c>
      <c r="I286" s="640">
        <v>0</v>
      </c>
      <c r="J286" s="640">
        <v>21.821162214793436</v>
      </c>
      <c r="K286" s="640">
        <v>1.7366010173968038</v>
      </c>
      <c r="L286" s="640">
        <v>0.96096945898437491</v>
      </c>
      <c r="M286" s="640">
        <v>1.9539169420126139</v>
      </c>
      <c r="N286" s="640">
        <v>0</v>
      </c>
      <c r="O286" s="640">
        <v>3.7537634069694789E-4</v>
      </c>
      <c r="P286" s="640">
        <v>113.419965125608</v>
      </c>
      <c r="Q286" s="640">
        <v>16.150451210263412</v>
      </c>
      <c r="R286" s="640">
        <v>0.26695886230468752</v>
      </c>
      <c r="S286" s="648">
        <v>276.38870199899873</v>
      </c>
      <c r="U286" s="646" t="s">
        <v>78</v>
      </c>
      <c r="V286" s="640">
        <v>1.264986561669641</v>
      </c>
      <c r="W286" s="640">
        <v>0</v>
      </c>
      <c r="X286" s="640">
        <v>4.4259635061357878</v>
      </c>
      <c r="Y286" s="640">
        <v>33.008089674756327</v>
      </c>
      <c r="Z286" s="640">
        <v>0</v>
      </c>
      <c r="AA286" s="640">
        <v>0</v>
      </c>
      <c r="AB286" s="640">
        <v>14.926911405045434</v>
      </c>
      <c r="AC286" s="640">
        <v>4.7591564459641997</v>
      </c>
      <c r="AD286" s="640">
        <v>6.4130046386718744</v>
      </c>
      <c r="AE286" s="640">
        <v>33.02650253605492</v>
      </c>
      <c r="AF286" s="640">
        <v>0</v>
      </c>
      <c r="AG286" s="640">
        <v>3.7537634069694789E-4</v>
      </c>
      <c r="AH286" s="640">
        <v>148.98135712801343</v>
      </c>
      <c r="AI286" s="640">
        <v>24.187634778338289</v>
      </c>
      <c r="AJ286" s="640">
        <v>7.9027373046875002</v>
      </c>
      <c r="AK286" s="648">
        <v>278.8967193556781</v>
      </c>
    </row>
    <row r="287" spans="3:37" x14ac:dyDescent="0.2">
      <c r="C287" s="646" t="s">
        <v>79</v>
      </c>
      <c r="D287" s="640">
        <v>0</v>
      </c>
      <c r="E287" s="640">
        <v>0</v>
      </c>
      <c r="F287" s="640">
        <v>225.72324837131151</v>
      </c>
      <c r="G287" s="640">
        <v>31.930807664827714</v>
      </c>
      <c r="H287" s="640">
        <v>0</v>
      </c>
      <c r="I287" s="640">
        <v>0</v>
      </c>
      <c r="J287" s="640">
        <v>0</v>
      </c>
      <c r="K287" s="640">
        <v>0</v>
      </c>
      <c r="L287" s="640">
        <v>21.777356740546686</v>
      </c>
      <c r="M287" s="640">
        <v>0.65164913601689212</v>
      </c>
      <c r="N287" s="640">
        <v>0</v>
      </c>
      <c r="O287" s="640">
        <v>0</v>
      </c>
      <c r="P287" s="640">
        <v>72.885841088882287</v>
      </c>
      <c r="Q287" s="640">
        <v>0</v>
      </c>
      <c r="R287" s="640">
        <v>2.6521266956987635</v>
      </c>
      <c r="S287" s="648">
        <v>355.62102969728386</v>
      </c>
      <c r="U287" s="646" t="s">
        <v>79</v>
      </c>
      <c r="V287" s="640">
        <v>0</v>
      </c>
      <c r="W287" s="640">
        <v>0</v>
      </c>
      <c r="X287" s="640">
        <v>19.003305935487372</v>
      </c>
      <c r="Y287" s="640">
        <v>13.267062862305856</v>
      </c>
      <c r="Z287" s="640">
        <v>0</v>
      </c>
      <c r="AA287" s="640">
        <v>0</v>
      </c>
      <c r="AB287" s="640">
        <v>0</v>
      </c>
      <c r="AC287" s="640">
        <v>0</v>
      </c>
      <c r="AD287" s="640">
        <v>27.757428454399612</v>
      </c>
      <c r="AE287" s="640">
        <v>13.267062862305856</v>
      </c>
      <c r="AF287" s="640">
        <v>0</v>
      </c>
      <c r="AG287" s="640">
        <v>0</v>
      </c>
      <c r="AH287" s="640">
        <v>94.556676700547257</v>
      </c>
      <c r="AI287" s="640">
        <v>0</v>
      </c>
      <c r="AJ287" s="640">
        <v>6.3130917169295051</v>
      </c>
      <c r="AK287" s="648">
        <v>174.16462853197544</v>
      </c>
    </row>
    <row r="288" spans="3:37" x14ac:dyDescent="0.2">
      <c r="C288" s="646" t="s">
        <v>80</v>
      </c>
      <c r="D288" s="640">
        <v>0</v>
      </c>
      <c r="E288" s="640">
        <v>0</v>
      </c>
      <c r="F288" s="640">
        <v>11.075929176351762</v>
      </c>
      <c r="G288" s="640">
        <v>76.664751333295058</v>
      </c>
      <c r="H288" s="640">
        <v>0</v>
      </c>
      <c r="I288" s="640">
        <v>0</v>
      </c>
      <c r="J288" s="640">
        <v>88.320247059496523</v>
      </c>
      <c r="K288" s="640">
        <v>0</v>
      </c>
      <c r="L288" s="640">
        <v>0</v>
      </c>
      <c r="M288" s="640">
        <v>1.5645867619039808</v>
      </c>
      <c r="N288" s="640">
        <v>59.616390446150973</v>
      </c>
      <c r="O288" s="640">
        <v>2.0734984243972754</v>
      </c>
      <c r="P288" s="640">
        <v>190.93239321884863</v>
      </c>
      <c r="Q288" s="640">
        <v>15.360003531773184</v>
      </c>
      <c r="R288" s="640">
        <v>0</v>
      </c>
      <c r="S288" s="648">
        <v>445.60779995221742</v>
      </c>
      <c r="U288" s="646" t="s">
        <v>80</v>
      </c>
      <c r="V288" s="640">
        <v>0</v>
      </c>
      <c r="W288" s="640">
        <v>0</v>
      </c>
      <c r="X288" s="640">
        <v>0.97925934500211753</v>
      </c>
      <c r="Y288" s="640">
        <v>9.8253088649292142</v>
      </c>
      <c r="Z288" s="640">
        <v>0</v>
      </c>
      <c r="AA288" s="640">
        <v>0</v>
      </c>
      <c r="AB288" s="640">
        <v>50.204880630535357</v>
      </c>
      <c r="AC288" s="640">
        <v>0</v>
      </c>
      <c r="AD288" s="640">
        <v>0</v>
      </c>
      <c r="AE288" s="640">
        <v>9.8253088649292142</v>
      </c>
      <c r="AF288" s="640">
        <v>95.02342184325245</v>
      </c>
      <c r="AG288" s="640">
        <v>4.208312775429496</v>
      </c>
      <c r="AH288" s="640">
        <v>144.38732956018927</v>
      </c>
      <c r="AI288" s="640">
        <v>30.75075127630511</v>
      </c>
      <c r="AJ288" s="640">
        <v>0</v>
      </c>
      <c r="AK288" s="648">
        <v>345.20457316057224</v>
      </c>
    </row>
    <row r="289" spans="3:37" x14ac:dyDescent="0.2">
      <c r="C289" s="646" t="s">
        <v>81</v>
      </c>
      <c r="D289" s="640">
        <v>0</v>
      </c>
      <c r="E289" s="640">
        <v>0</v>
      </c>
      <c r="F289" s="640">
        <v>2.6743117433405894</v>
      </c>
      <c r="G289" s="640">
        <v>62.987223173923248</v>
      </c>
      <c r="H289" s="640">
        <v>0</v>
      </c>
      <c r="I289" s="640">
        <v>0</v>
      </c>
      <c r="J289" s="640">
        <v>3.1384766478070549</v>
      </c>
      <c r="K289" s="640">
        <v>2.5274117631643136E-2</v>
      </c>
      <c r="L289" s="640">
        <v>0</v>
      </c>
      <c r="M289" s="640">
        <v>1.2854535341616988</v>
      </c>
      <c r="N289" s="640">
        <v>8.34801759276524</v>
      </c>
      <c r="O289" s="640">
        <v>0.71507622546549865</v>
      </c>
      <c r="P289" s="640">
        <v>142.0321146826426</v>
      </c>
      <c r="Q289" s="640">
        <v>3.3602766530800707</v>
      </c>
      <c r="R289" s="640">
        <v>0</v>
      </c>
      <c r="S289" s="648">
        <v>224.56622437081765</v>
      </c>
      <c r="U289" s="646" t="s">
        <v>81</v>
      </c>
      <c r="V289" s="640">
        <v>0</v>
      </c>
      <c r="W289" s="640">
        <v>0</v>
      </c>
      <c r="X289" s="640">
        <v>1.2256055704751125</v>
      </c>
      <c r="Y289" s="640">
        <v>7.2918833253665882</v>
      </c>
      <c r="Z289" s="640">
        <v>0</v>
      </c>
      <c r="AA289" s="640">
        <v>0</v>
      </c>
      <c r="AB289" s="640">
        <v>6.8658928642747856</v>
      </c>
      <c r="AC289" s="640">
        <v>2.5274117631643136E-2</v>
      </c>
      <c r="AD289" s="640">
        <v>0</v>
      </c>
      <c r="AE289" s="640">
        <v>7.2918833253665882</v>
      </c>
      <c r="AF289" s="640">
        <v>14.828462979838848</v>
      </c>
      <c r="AG289" s="640">
        <v>1.5197231438340593</v>
      </c>
      <c r="AH289" s="640">
        <v>114.40426288608282</v>
      </c>
      <c r="AI289" s="640">
        <v>13.362638181057982</v>
      </c>
      <c r="AJ289" s="640">
        <v>0</v>
      </c>
      <c r="AK289" s="648">
        <v>166.8156263939284</v>
      </c>
    </row>
    <row r="290" spans="3:37" x14ac:dyDescent="0.2">
      <c r="C290" s="646" t="s">
        <v>82</v>
      </c>
      <c r="D290" s="640">
        <v>0</v>
      </c>
      <c r="E290" s="640">
        <v>0</v>
      </c>
      <c r="F290" s="640">
        <v>27.931723909553636</v>
      </c>
      <c r="G290" s="640">
        <v>0.95472649492283324</v>
      </c>
      <c r="H290" s="640">
        <v>0</v>
      </c>
      <c r="I290" s="640">
        <v>0</v>
      </c>
      <c r="J290" s="640">
        <v>4.6306119511950978</v>
      </c>
      <c r="K290" s="640">
        <v>0</v>
      </c>
      <c r="L290" s="640">
        <v>3.1934862443619529</v>
      </c>
      <c r="M290" s="640">
        <v>1.9484214182098638E-2</v>
      </c>
      <c r="N290" s="640">
        <v>0</v>
      </c>
      <c r="O290" s="640">
        <v>6.6456137421005312E-2</v>
      </c>
      <c r="P290" s="640">
        <v>5.7660712732306445</v>
      </c>
      <c r="Q290" s="640">
        <v>0</v>
      </c>
      <c r="R290" s="640">
        <v>0</v>
      </c>
      <c r="S290" s="648">
        <v>42.562560224867276</v>
      </c>
      <c r="U290" s="646" t="s">
        <v>82</v>
      </c>
      <c r="V290" s="640">
        <v>0</v>
      </c>
      <c r="W290" s="640">
        <v>0</v>
      </c>
      <c r="X290" s="640">
        <v>3.5775053425595864</v>
      </c>
      <c r="Y290" s="640">
        <v>0.56393102033742082</v>
      </c>
      <c r="Z290" s="640">
        <v>0</v>
      </c>
      <c r="AA290" s="640">
        <v>0</v>
      </c>
      <c r="AB290" s="640">
        <v>4.6306119511950978</v>
      </c>
      <c r="AC290" s="640">
        <v>0</v>
      </c>
      <c r="AD290" s="640">
        <v>32.861113305842508</v>
      </c>
      <c r="AE290" s="640">
        <v>0.56393102033742082</v>
      </c>
      <c r="AF290" s="640">
        <v>0</v>
      </c>
      <c r="AG290" s="640">
        <v>1.7440136932478227</v>
      </c>
      <c r="AH290" s="640">
        <v>5.8866318405152116</v>
      </c>
      <c r="AI290" s="640">
        <v>0</v>
      </c>
      <c r="AJ290" s="640">
        <v>0.38427420359697795</v>
      </c>
      <c r="AK290" s="648">
        <v>50.21201237763205</v>
      </c>
    </row>
    <row r="291" spans="3:37" x14ac:dyDescent="0.2">
      <c r="C291" s="646" t="s">
        <v>354</v>
      </c>
      <c r="D291" s="640">
        <v>0</v>
      </c>
      <c r="E291" s="640">
        <v>0</v>
      </c>
      <c r="F291" s="640">
        <v>0</v>
      </c>
      <c r="G291" s="640">
        <v>0</v>
      </c>
      <c r="H291" s="640">
        <v>0</v>
      </c>
      <c r="I291" s="640">
        <v>0</v>
      </c>
      <c r="J291" s="640">
        <v>0</v>
      </c>
      <c r="K291" s="640">
        <v>0</v>
      </c>
      <c r="L291" s="640">
        <v>0</v>
      </c>
      <c r="M291" s="640">
        <v>0</v>
      </c>
      <c r="N291" s="640">
        <v>0</v>
      </c>
      <c r="O291" s="640">
        <v>0</v>
      </c>
      <c r="P291" s="640">
        <v>0.39</v>
      </c>
      <c r="Q291" s="640">
        <v>0</v>
      </c>
      <c r="R291" s="640">
        <v>0</v>
      </c>
      <c r="S291" s="648">
        <v>0.39</v>
      </c>
      <c r="U291" s="646" t="s">
        <v>354</v>
      </c>
      <c r="V291" s="640">
        <v>0</v>
      </c>
      <c r="W291" s="640">
        <v>0</v>
      </c>
      <c r="X291" s="640">
        <v>0</v>
      </c>
      <c r="Y291" s="640">
        <v>0</v>
      </c>
      <c r="Z291" s="640">
        <v>0</v>
      </c>
      <c r="AA291" s="640">
        <v>0</v>
      </c>
      <c r="AB291" s="640">
        <v>0</v>
      </c>
      <c r="AC291" s="640">
        <v>0</v>
      </c>
      <c r="AD291" s="640">
        <v>0</v>
      </c>
      <c r="AE291" s="640">
        <v>0</v>
      </c>
      <c r="AF291" s="640">
        <v>0</v>
      </c>
      <c r="AG291" s="640">
        <v>0</v>
      </c>
      <c r="AH291" s="640">
        <v>3.5999999999999996</v>
      </c>
      <c r="AI291" s="640">
        <v>0</v>
      </c>
      <c r="AJ291" s="640">
        <v>0</v>
      </c>
      <c r="AK291" s="648">
        <v>3.5999999999999996</v>
      </c>
    </row>
    <row r="292" spans="3:37" x14ac:dyDescent="0.2">
      <c r="C292" s="644" t="s">
        <v>83</v>
      </c>
      <c r="D292" s="645">
        <v>4.6398193944555786</v>
      </c>
      <c r="E292" s="645">
        <v>0</v>
      </c>
      <c r="F292" s="645">
        <v>288.00399564240968</v>
      </c>
      <c r="G292" s="645">
        <v>267.37720862195579</v>
      </c>
      <c r="H292" s="645">
        <v>0</v>
      </c>
      <c r="I292" s="645">
        <v>0</v>
      </c>
      <c r="J292" s="645">
        <v>117.91049787329212</v>
      </c>
      <c r="K292" s="645">
        <v>1.7618751350284469</v>
      </c>
      <c r="L292" s="645">
        <v>25.931812443893016</v>
      </c>
      <c r="M292" s="645">
        <v>5.4750905882772853</v>
      </c>
      <c r="N292" s="645">
        <v>67.964408038916218</v>
      </c>
      <c r="O292" s="645">
        <v>2.8554061636244761</v>
      </c>
      <c r="P292" s="645">
        <v>525.4263853892121</v>
      </c>
      <c r="Q292" s="645">
        <v>34.870731395116664</v>
      </c>
      <c r="R292" s="645">
        <v>2.9190855580034509</v>
      </c>
      <c r="S292" s="645">
        <v>1345.1363162441851</v>
      </c>
      <c r="U292" s="644" t="s">
        <v>83</v>
      </c>
      <c r="V292" s="645">
        <v>1.264986561669641</v>
      </c>
      <c r="W292" s="645">
        <v>0</v>
      </c>
      <c r="X292" s="645">
        <v>29.211639699659976</v>
      </c>
      <c r="Y292" s="645">
        <v>63.956275747695408</v>
      </c>
      <c r="Z292" s="645">
        <v>0</v>
      </c>
      <c r="AA292" s="645">
        <v>0</v>
      </c>
      <c r="AB292" s="645">
        <v>76.628296851050663</v>
      </c>
      <c r="AC292" s="645">
        <v>4.7844305635958433</v>
      </c>
      <c r="AD292" s="645">
        <v>67.031546398914003</v>
      </c>
      <c r="AE292" s="645">
        <v>63.974688608994001</v>
      </c>
      <c r="AF292" s="645">
        <v>109.8518848230913</v>
      </c>
      <c r="AG292" s="645">
        <v>7.4724249888520751</v>
      </c>
      <c r="AH292" s="645">
        <v>511.81625811534803</v>
      </c>
      <c r="AI292" s="645">
        <v>68.301024235701377</v>
      </c>
      <c r="AJ292" s="645">
        <v>14.600103225213982</v>
      </c>
      <c r="AK292" s="645">
        <v>1018.8935598197862</v>
      </c>
    </row>
    <row r="293" spans="3:37" x14ac:dyDescent="0.2">
      <c r="C293" s="639" t="s">
        <v>84</v>
      </c>
      <c r="D293" s="640">
        <v>0</v>
      </c>
      <c r="E293" s="640">
        <v>0</v>
      </c>
      <c r="F293" s="640">
        <v>104.91003257681685</v>
      </c>
      <c r="G293" s="640">
        <v>11.505661507854215</v>
      </c>
      <c r="H293" s="640">
        <v>0</v>
      </c>
      <c r="I293" s="640">
        <v>0</v>
      </c>
      <c r="J293" s="640">
        <v>0</v>
      </c>
      <c r="K293" s="640">
        <v>0</v>
      </c>
      <c r="L293" s="640">
        <v>0</v>
      </c>
      <c r="M293" s="640">
        <v>0</v>
      </c>
      <c r="N293" s="640">
        <v>0</v>
      </c>
      <c r="O293" s="640">
        <v>0</v>
      </c>
      <c r="P293" s="640">
        <v>0</v>
      </c>
      <c r="Q293" s="640">
        <v>0</v>
      </c>
      <c r="R293" s="640">
        <v>2.8301208000456781</v>
      </c>
      <c r="S293" s="648">
        <v>119.24581488471674</v>
      </c>
      <c r="U293" s="639" t="s">
        <v>84</v>
      </c>
      <c r="V293" s="640">
        <v>0</v>
      </c>
      <c r="W293" s="640">
        <v>0</v>
      </c>
      <c r="X293" s="640">
        <v>70.401025384734808</v>
      </c>
      <c r="Y293" s="640">
        <v>0.81519182748409058</v>
      </c>
      <c r="Z293" s="640">
        <v>0</v>
      </c>
      <c r="AA293" s="640">
        <v>0</v>
      </c>
      <c r="AB293" s="640">
        <v>0</v>
      </c>
      <c r="AC293" s="640">
        <v>0</v>
      </c>
      <c r="AD293" s="640">
        <v>24.563190847778323</v>
      </c>
      <c r="AE293" s="640">
        <v>0</v>
      </c>
      <c r="AF293" s="640">
        <v>0</v>
      </c>
      <c r="AG293" s="640">
        <v>0</v>
      </c>
      <c r="AH293" s="640">
        <v>0</v>
      </c>
      <c r="AI293" s="640">
        <v>0</v>
      </c>
      <c r="AJ293" s="640">
        <v>16.442815988159179</v>
      </c>
      <c r="AK293" s="648">
        <v>112.22222404815641</v>
      </c>
    </row>
    <row r="294" spans="3:37" x14ac:dyDescent="0.2">
      <c r="C294" s="644" t="s">
        <v>85</v>
      </c>
      <c r="D294" s="645">
        <v>4.6398193944555786</v>
      </c>
      <c r="E294" s="645">
        <v>0</v>
      </c>
      <c r="F294" s="645">
        <v>392.91402821922651</v>
      </c>
      <c r="G294" s="645">
        <v>278.88287012980999</v>
      </c>
      <c r="H294" s="645">
        <v>0</v>
      </c>
      <c r="I294" s="645">
        <v>0</v>
      </c>
      <c r="J294" s="645">
        <v>117.91049787329212</v>
      </c>
      <c r="K294" s="645">
        <v>1.7618751350284469</v>
      </c>
      <c r="L294" s="645">
        <v>25.931812443893016</v>
      </c>
      <c r="M294" s="645">
        <v>5.4750905882772853</v>
      </c>
      <c r="N294" s="645">
        <v>67.964408038916218</v>
      </c>
      <c r="O294" s="645">
        <v>2.8554061636244761</v>
      </c>
      <c r="P294" s="645">
        <v>525.4263853892121</v>
      </c>
      <c r="Q294" s="645">
        <v>34.870731395116664</v>
      </c>
      <c r="R294" s="645">
        <v>5.7492063580491291</v>
      </c>
      <c r="S294" s="645">
        <v>1464.3821311289018</v>
      </c>
      <c r="U294" s="644" t="s">
        <v>85</v>
      </c>
      <c r="V294" s="645">
        <v>1.264986561669641</v>
      </c>
      <c r="W294" s="645">
        <v>0</v>
      </c>
      <c r="X294" s="645">
        <v>99.612665084394791</v>
      </c>
      <c r="Y294" s="645">
        <v>64.7714675751795</v>
      </c>
      <c r="Z294" s="645">
        <v>0</v>
      </c>
      <c r="AA294" s="645">
        <v>0</v>
      </c>
      <c r="AB294" s="645">
        <v>76.628296851050663</v>
      </c>
      <c r="AC294" s="645">
        <v>4.7844305635958433</v>
      </c>
      <c r="AD294" s="645">
        <v>91.594737246692318</v>
      </c>
      <c r="AE294" s="645">
        <v>63.974688608994001</v>
      </c>
      <c r="AF294" s="645">
        <v>109.8518848230913</v>
      </c>
      <c r="AG294" s="645">
        <v>7.4724249888520751</v>
      </c>
      <c r="AH294" s="645">
        <v>511.81625811534803</v>
      </c>
      <c r="AI294" s="645">
        <v>68.301024235701377</v>
      </c>
      <c r="AJ294" s="645">
        <v>31.04291921337316</v>
      </c>
      <c r="AK294" s="645">
        <v>1131.1157838679426</v>
      </c>
    </row>
    <row r="295" spans="3:37" x14ac:dyDescent="0.2">
      <c r="C295" s="634"/>
      <c r="D295" s="634"/>
      <c r="E295" s="634"/>
      <c r="F295" s="634"/>
      <c r="G295" s="634"/>
      <c r="H295" s="634"/>
      <c r="I295" s="634"/>
      <c r="J295" s="634"/>
      <c r="K295" s="634"/>
      <c r="L295" s="634"/>
      <c r="M295" s="634"/>
      <c r="N295" s="634"/>
      <c r="O295" s="634"/>
      <c r="P295" s="634"/>
      <c r="Q295" s="634"/>
      <c r="R295" s="634"/>
      <c r="S295" s="634"/>
      <c r="U295" s="634"/>
      <c r="V295" s="634"/>
      <c r="W295" s="634"/>
      <c r="X295" s="634"/>
      <c r="Y295" s="634"/>
      <c r="Z295" s="634"/>
      <c r="AA295" s="634"/>
      <c r="AB295" s="634"/>
      <c r="AC295" s="634"/>
      <c r="AD295" s="634"/>
      <c r="AE295" s="634"/>
      <c r="AF295" s="634"/>
      <c r="AG295" s="634"/>
      <c r="AH295" s="634"/>
      <c r="AI295" s="634"/>
      <c r="AJ295" s="634"/>
      <c r="AK295" s="634"/>
    </row>
    <row r="296" spans="3:37" ht="22.5" x14ac:dyDescent="0.3">
      <c r="C296" s="759" t="s">
        <v>89</v>
      </c>
      <c r="D296" s="759"/>
      <c r="E296" s="759"/>
      <c r="F296" s="759"/>
      <c r="G296" s="759"/>
      <c r="H296" s="759"/>
      <c r="I296" s="759"/>
      <c r="J296" s="759"/>
      <c r="K296" s="759"/>
      <c r="L296" s="759"/>
      <c r="M296" s="759"/>
      <c r="N296" s="759"/>
      <c r="O296" s="759"/>
      <c r="P296" s="759"/>
      <c r="Q296" s="759"/>
      <c r="R296" s="759"/>
      <c r="S296" s="759"/>
      <c r="U296" s="759" t="s">
        <v>89</v>
      </c>
      <c r="V296" s="759"/>
      <c r="W296" s="759"/>
      <c r="X296" s="759"/>
      <c r="Y296" s="759"/>
      <c r="Z296" s="759"/>
      <c r="AA296" s="759"/>
      <c r="AB296" s="759"/>
      <c r="AC296" s="759"/>
      <c r="AD296" s="759"/>
      <c r="AE296" s="759"/>
      <c r="AF296" s="759"/>
      <c r="AG296" s="759"/>
      <c r="AH296" s="759"/>
      <c r="AI296" s="759"/>
      <c r="AJ296" s="759"/>
      <c r="AK296" s="759"/>
    </row>
    <row r="297" spans="3:37" x14ac:dyDescent="0.2">
      <c r="C297" s="634"/>
      <c r="D297" s="634"/>
      <c r="E297" s="634"/>
      <c r="F297" s="634"/>
      <c r="G297" s="634"/>
      <c r="H297" s="634"/>
      <c r="I297" s="634"/>
      <c r="J297" s="634"/>
      <c r="K297" s="634"/>
      <c r="L297" s="634"/>
      <c r="M297" s="634"/>
      <c r="N297" s="634"/>
      <c r="O297" s="634"/>
      <c r="P297" s="634"/>
      <c r="Q297" s="634"/>
      <c r="R297" s="634"/>
      <c r="S297" s="634"/>
      <c r="U297" s="634"/>
      <c r="V297" s="634"/>
      <c r="W297" s="634"/>
      <c r="X297" s="634"/>
      <c r="Y297" s="634"/>
      <c r="Z297" s="634"/>
      <c r="AA297" s="634"/>
      <c r="AB297" s="634"/>
      <c r="AC297" s="634"/>
      <c r="AD297" s="634"/>
      <c r="AE297" s="634"/>
      <c r="AF297" s="634"/>
      <c r="AG297" s="634"/>
      <c r="AH297" s="634"/>
      <c r="AI297" s="634"/>
      <c r="AJ297" s="634"/>
      <c r="AK297" s="634"/>
    </row>
    <row r="298" spans="3:37" ht="12.95" customHeight="1" x14ac:dyDescent="0.2">
      <c r="C298" s="758" t="s">
        <v>128</v>
      </c>
      <c r="D298" s="757" t="s">
        <v>42</v>
      </c>
      <c r="E298" s="757" t="s">
        <v>52</v>
      </c>
      <c r="F298" s="757" t="s">
        <v>53</v>
      </c>
      <c r="G298" s="757" t="s">
        <v>32</v>
      </c>
      <c r="H298" s="757" t="s">
        <v>20</v>
      </c>
      <c r="I298" s="757" t="s">
        <v>55</v>
      </c>
      <c r="J298" s="757" t="s">
        <v>56</v>
      </c>
      <c r="K298" s="757"/>
      <c r="L298" s="757"/>
      <c r="M298" s="757"/>
      <c r="N298" s="757"/>
      <c r="O298" s="757"/>
      <c r="P298" s="757" t="s">
        <v>57</v>
      </c>
      <c r="Q298" s="757" t="s">
        <v>58</v>
      </c>
      <c r="R298" s="757" t="s">
        <v>31</v>
      </c>
      <c r="S298" s="757" t="s">
        <v>10</v>
      </c>
      <c r="U298" s="758" t="s">
        <v>128</v>
      </c>
      <c r="V298" s="757" t="s">
        <v>42</v>
      </c>
      <c r="W298" s="757" t="s">
        <v>52</v>
      </c>
      <c r="X298" s="757" t="s">
        <v>53</v>
      </c>
      <c r="Y298" s="757" t="s">
        <v>32</v>
      </c>
      <c r="Z298" s="757" t="s">
        <v>20</v>
      </c>
      <c r="AA298" s="757" t="s">
        <v>55</v>
      </c>
      <c r="AB298" s="757" t="s">
        <v>56</v>
      </c>
      <c r="AC298" s="757"/>
      <c r="AD298" s="757"/>
      <c r="AE298" s="757"/>
      <c r="AF298" s="757"/>
      <c r="AG298" s="757"/>
      <c r="AH298" s="757" t="s">
        <v>57</v>
      </c>
      <c r="AI298" s="757" t="s">
        <v>58</v>
      </c>
      <c r="AJ298" s="757" t="s">
        <v>31</v>
      </c>
      <c r="AK298" s="757" t="s">
        <v>10</v>
      </c>
    </row>
    <row r="299" spans="3:37" ht="56.25" x14ac:dyDescent="0.2">
      <c r="C299" s="758"/>
      <c r="D299" s="757"/>
      <c r="E299" s="757"/>
      <c r="F299" s="757"/>
      <c r="G299" s="757"/>
      <c r="H299" s="757"/>
      <c r="I299" s="757"/>
      <c r="J299" s="638" t="s">
        <v>335</v>
      </c>
      <c r="K299" s="638" t="s">
        <v>40</v>
      </c>
      <c r="L299" s="638" t="s">
        <v>343</v>
      </c>
      <c r="M299" s="638" t="s">
        <v>344</v>
      </c>
      <c r="N299" s="638" t="s">
        <v>345</v>
      </c>
      <c r="O299" s="638" t="s">
        <v>346</v>
      </c>
      <c r="P299" s="757"/>
      <c r="Q299" s="757"/>
      <c r="R299" s="757"/>
      <c r="S299" s="757"/>
      <c r="U299" s="758"/>
      <c r="V299" s="757"/>
      <c r="W299" s="757"/>
      <c r="X299" s="757"/>
      <c r="Y299" s="757"/>
      <c r="Z299" s="757"/>
      <c r="AA299" s="757"/>
      <c r="AB299" s="638" t="s">
        <v>335</v>
      </c>
      <c r="AC299" s="638" t="s">
        <v>40</v>
      </c>
      <c r="AD299" s="638" t="s">
        <v>343</v>
      </c>
      <c r="AE299" s="638" t="s">
        <v>344</v>
      </c>
      <c r="AF299" s="638" t="s">
        <v>345</v>
      </c>
      <c r="AG299" s="638" t="s">
        <v>346</v>
      </c>
      <c r="AH299" s="757"/>
      <c r="AI299" s="757"/>
      <c r="AJ299" s="757"/>
      <c r="AK299" s="757"/>
    </row>
    <row r="300" spans="3:37" x14ac:dyDescent="0.2">
      <c r="C300" s="639" t="s">
        <v>59</v>
      </c>
      <c r="D300" s="640">
        <v>0</v>
      </c>
      <c r="E300" s="641">
        <v>0</v>
      </c>
      <c r="F300" s="641">
        <v>0</v>
      </c>
      <c r="G300" s="640">
        <v>0</v>
      </c>
      <c r="H300" s="641">
        <v>727.27272727272737</v>
      </c>
      <c r="I300" s="641">
        <v>338.37995078139568</v>
      </c>
      <c r="J300" s="641">
        <v>185.12606679296266</v>
      </c>
      <c r="K300" s="641">
        <v>19.887492227897642</v>
      </c>
      <c r="L300" s="641">
        <v>0.67629573379861951</v>
      </c>
      <c r="M300" s="641">
        <v>0.16041590589481752</v>
      </c>
      <c r="N300" s="641">
        <v>75.083762899489528</v>
      </c>
      <c r="O300" s="641">
        <v>12.515766779598991</v>
      </c>
      <c r="P300" s="642">
        <v>0</v>
      </c>
      <c r="Q300" s="641">
        <v>0</v>
      </c>
      <c r="R300" s="641">
        <v>0</v>
      </c>
      <c r="S300" s="643">
        <v>1359.1024783937653</v>
      </c>
      <c r="U300" s="639" t="s">
        <v>59</v>
      </c>
      <c r="V300" s="640">
        <v>0</v>
      </c>
      <c r="W300" s="641">
        <v>0</v>
      </c>
      <c r="X300" s="641">
        <v>0</v>
      </c>
      <c r="Y300" s="640">
        <v>0</v>
      </c>
      <c r="Z300" s="641">
        <v>764.84848484848499</v>
      </c>
      <c r="AA300" s="641">
        <v>423.19995078139567</v>
      </c>
      <c r="AB300" s="641">
        <v>256.09062969225096</v>
      </c>
      <c r="AC300" s="641">
        <v>36.108430969743218</v>
      </c>
      <c r="AD300" s="641">
        <v>0.67629573379861951</v>
      </c>
      <c r="AE300" s="641">
        <v>0.16041590589481752</v>
      </c>
      <c r="AF300" s="641">
        <v>123.16818516374138</v>
      </c>
      <c r="AG300" s="641">
        <v>30.250193334526926</v>
      </c>
      <c r="AH300" s="642">
        <v>0</v>
      </c>
      <c r="AI300" s="641">
        <v>0</v>
      </c>
      <c r="AJ300" s="641">
        <v>0</v>
      </c>
      <c r="AK300" s="643">
        <v>1634.5025864298366</v>
      </c>
    </row>
    <row r="301" spans="3:37" x14ac:dyDescent="0.2">
      <c r="C301" s="639" t="s">
        <v>60</v>
      </c>
      <c r="D301" s="640">
        <v>46.099891323621534</v>
      </c>
      <c r="E301" s="641">
        <v>464.7986487</v>
      </c>
      <c r="F301" s="641">
        <v>48.534128715927544</v>
      </c>
      <c r="G301" s="640">
        <v>345.55093723566335</v>
      </c>
      <c r="H301" s="641">
        <v>0</v>
      </c>
      <c r="I301" s="641">
        <v>0</v>
      </c>
      <c r="J301" s="641">
        <v>5.7213435879484642</v>
      </c>
      <c r="K301" s="641">
        <v>0</v>
      </c>
      <c r="L301" s="641">
        <v>3.0565993326094723</v>
      </c>
      <c r="M301" s="641">
        <v>0</v>
      </c>
      <c r="N301" s="641">
        <v>0</v>
      </c>
      <c r="O301" s="641">
        <v>0</v>
      </c>
      <c r="P301" s="642">
        <v>0</v>
      </c>
      <c r="Q301" s="641">
        <v>0</v>
      </c>
      <c r="R301" s="641">
        <v>0</v>
      </c>
      <c r="S301" s="643">
        <v>913.76154889577037</v>
      </c>
      <c r="U301" s="639" t="s">
        <v>60</v>
      </c>
      <c r="V301" s="640">
        <v>4.5871215860372576</v>
      </c>
      <c r="W301" s="641">
        <v>113.59926767676768</v>
      </c>
      <c r="X301" s="641">
        <v>20.138935454909394</v>
      </c>
      <c r="Y301" s="640">
        <v>0.51452681198611927</v>
      </c>
      <c r="Z301" s="641">
        <v>0</v>
      </c>
      <c r="AA301" s="641">
        <v>0</v>
      </c>
      <c r="AB301" s="641">
        <v>5.7213435879484642</v>
      </c>
      <c r="AC301" s="641">
        <v>0</v>
      </c>
      <c r="AD301" s="641">
        <v>3.0565993326094723</v>
      </c>
      <c r="AE301" s="641">
        <v>0</v>
      </c>
      <c r="AF301" s="641">
        <v>0</v>
      </c>
      <c r="AG301" s="641">
        <v>0</v>
      </c>
      <c r="AH301" s="642">
        <v>0</v>
      </c>
      <c r="AI301" s="641">
        <v>0</v>
      </c>
      <c r="AJ301" s="641">
        <v>0</v>
      </c>
      <c r="AK301" s="643">
        <v>147.6177944502584</v>
      </c>
    </row>
    <row r="302" spans="3:37" x14ac:dyDescent="0.2">
      <c r="C302" s="639" t="s">
        <v>61</v>
      </c>
      <c r="D302" s="640">
        <v>0</v>
      </c>
      <c r="E302" s="641">
        <v>0</v>
      </c>
      <c r="F302" s="641">
        <v>0</v>
      </c>
      <c r="G302" s="640">
        <v>0</v>
      </c>
      <c r="H302" s="641">
        <v>0</v>
      </c>
      <c r="I302" s="641">
        <v>0</v>
      </c>
      <c r="J302" s="641">
        <v>0</v>
      </c>
      <c r="K302" s="641">
        <v>0</v>
      </c>
      <c r="L302" s="641">
        <v>0</v>
      </c>
      <c r="M302" s="641">
        <v>0</v>
      </c>
      <c r="N302" s="641">
        <v>0</v>
      </c>
      <c r="O302" s="641">
        <v>0</v>
      </c>
      <c r="P302" s="642">
        <v>-12.7985093299136</v>
      </c>
      <c r="Q302" s="641">
        <v>0</v>
      </c>
      <c r="R302" s="641">
        <v>0</v>
      </c>
      <c r="S302" s="643">
        <v>-12.7985093299136</v>
      </c>
      <c r="U302" s="639" t="s">
        <v>61</v>
      </c>
      <c r="V302" s="640">
        <v>0</v>
      </c>
      <c r="W302" s="641">
        <v>0</v>
      </c>
      <c r="X302" s="641">
        <v>0</v>
      </c>
      <c r="Y302" s="640">
        <v>0</v>
      </c>
      <c r="Z302" s="641">
        <v>0</v>
      </c>
      <c r="AA302" s="641">
        <v>0</v>
      </c>
      <c r="AB302" s="641">
        <v>0</v>
      </c>
      <c r="AC302" s="641">
        <v>0</v>
      </c>
      <c r="AD302" s="641">
        <v>0</v>
      </c>
      <c r="AE302" s="641">
        <v>0</v>
      </c>
      <c r="AF302" s="641">
        <v>0</v>
      </c>
      <c r="AG302" s="641">
        <v>0</v>
      </c>
      <c r="AH302" s="642">
        <v>-41.639986107117011</v>
      </c>
      <c r="AI302" s="641">
        <v>0</v>
      </c>
      <c r="AJ302" s="641">
        <v>0</v>
      </c>
      <c r="AK302" s="643">
        <v>-41.639986107117011</v>
      </c>
    </row>
    <row r="303" spans="3:37" x14ac:dyDescent="0.2">
      <c r="C303" s="639" t="s">
        <v>62</v>
      </c>
      <c r="D303" s="640">
        <v>0</v>
      </c>
      <c r="E303" s="641">
        <v>0</v>
      </c>
      <c r="F303" s="641">
        <v>-14.431507774067331</v>
      </c>
      <c r="G303" s="640">
        <v>0</v>
      </c>
      <c r="H303" s="641">
        <v>0</v>
      </c>
      <c r="I303" s="641">
        <v>0</v>
      </c>
      <c r="J303" s="641">
        <v>0</v>
      </c>
      <c r="K303" s="641">
        <v>0</v>
      </c>
      <c r="L303" s="641">
        <v>0</v>
      </c>
      <c r="M303" s="641">
        <v>0</v>
      </c>
      <c r="N303" s="641">
        <v>0</v>
      </c>
      <c r="O303" s="641">
        <v>0</v>
      </c>
      <c r="P303" s="642">
        <v>0</v>
      </c>
      <c r="Q303" s="641">
        <v>0</v>
      </c>
      <c r="R303" s="641">
        <v>0</v>
      </c>
      <c r="S303" s="643">
        <v>-14.431507774067331</v>
      </c>
      <c r="U303" s="639" t="s">
        <v>62</v>
      </c>
      <c r="V303" s="640">
        <v>0</v>
      </c>
      <c r="W303" s="641">
        <v>0</v>
      </c>
      <c r="X303" s="641">
        <v>-5.3013702027186111</v>
      </c>
      <c r="Y303" s="640">
        <v>0</v>
      </c>
      <c r="Z303" s="641">
        <v>0</v>
      </c>
      <c r="AA303" s="641">
        <v>0</v>
      </c>
      <c r="AB303" s="641">
        <v>0</v>
      </c>
      <c r="AC303" s="641">
        <v>0</v>
      </c>
      <c r="AD303" s="641">
        <v>0</v>
      </c>
      <c r="AE303" s="641">
        <v>-5.1137296191648005</v>
      </c>
      <c r="AF303" s="641">
        <v>0</v>
      </c>
      <c r="AG303" s="641">
        <v>0</v>
      </c>
      <c r="AH303" s="642">
        <v>0</v>
      </c>
      <c r="AI303" s="641">
        <v>0</v>
      </c>
      <c r="AJ303" s="641">
        <v>0</v>
      </c>
      <c r="AK303" s="643">
        <v>-10.415099821883413</v>
      </c>
    </row>
    <row r="304" spans="3:37" x14ac:dyDescent="0.2">
      <c r="C304" s="639" t="s">
        <v>63</v>
      </c>
      <c r="D304" s="640">
        <v>0</v>
      </c>
      <c r="E304" s="641">
        <v>0</v>
      </c>
      <c r="F304" s="641">
        <v>-93.443844381495637</v>
      </c>
      <c r="G304" s="640">
        <v>0</v>
      </c>
      <c r="H304" s="641">
        <v>0</v>
      </c>
      <c r="I304" s="641">
        <v>0</v>
      </c>
      <c r="J304" s="641">
        <v>0</v>
      </c>
      <c r="K304" s="641">
        <v>0</v>
      </c>
      <c r="L304" s="641">
        <v>-0.96889726774865159</v>
      </c>
      <c r="M304" s="641">
        <v>0</v>
      </c>
      <c r="N304" s="641">
        <v>0</v>
      </c>
      <c r="O304" s="641">
        <v>0</v>
      </c>
      <c r="P304" s="642">
        <v>0</v>
      </c>
      <c r="Q304" s="641">
        <v>0</v>
      </c>
      <c r="R304" s="641">
        <v>0</v>
      </c>
      <c r="S304" s="643">
        <v>-94.412741649244282</v>
      </c>
      <c r="U304" s="639" t="s">
        <v>63</v>
      </c>
      <c r="V304" s="640">
        <v>0</v>
      </c>
      <c r="W304" s="641">
        <v>0</v>
      </c>
      <c r="X304" s="641">
        <v>-35.841594545498886</v>
      </c>
      <c r="Y304" s="640">
        <v>0</v>
      </c>
      <c r="Z304" s="641">
        <v>0</v>
      </c>
      <c r="AA304" s="641">
        <v>0</v>
      </c>
      <c r="AB304" s="641">
        <v>0</v>
      </c>
      <c r="AC304" s="641">
        <v>0</v>
      </c>
      <c r="AD304" s="641">
        <v>-46.567340427053182</v>
      </c>
      <c r="AE304" s="641">
        <v>0</v>
      </c>
      <c r="AF304" s="641">
        <v>0</v>
      </c>
      <c r="AG304" s="641">
        <v>0</v>
      </c>
      <c r="AH304" s="642">
        <v>0</v>
      </c>
      <c r="AI304" s="641">
        <v>0</v>
      </c>
      <c r="AJ304" s="641">
        <v>0</v>
      </c>
      <c r="AK304" s="643">
        <v>-82.408934972552061</v>
      </c>
    </row>
    <row r="305" spans="3:37" x14ac:dyDescent="0.2">
      <c r="C305" s="639" t="s">
        <v>64</v>
      </c>
      <c r="D305" s="640">
        <v>0</v>
      </c>
      <c r="E305" s="641">
        <v>0</v>
      </c>
      <c r="F305" s="641">
        <v>0</v>
      </c>
      <c r="G305" s="640">
        <v>0</v>
      </c>
      <c r="H305" s="641">
        <v>0</v>
      </c>
      <c r="I305" s="641">
        <v>0</v>
      </c>
      <c r="J305" s="641">
        <v>0</v>
      </c>
      <c r="K305" s="641">
        <v>0</v>
      </c>
      <c r="L305" s="641">
        <v>0</v>
      </c>
      <c r="M305" s="641">
        <v>0</v>
      </c>
      <c r="N305" s="641">
        <v>0</v>
      </c>
      <c r="O305" s="641">
        <v>0</v>
      </c>
      <c r="P305" s="642">
        <v>0</v>
      </c>
      <c r="Q305" s="641">
        <v>0</v>
      </c>
      <c r="R305" s="641">
        <v>0</v>
      </c>
      <c r="S305" s="643">
        <v>0</v>
      </c>
      <c r="U305" s="639" t="s">
        <v>64</v>
      </c>
      <c r="V305" s="640">
        <v>0</v>
      </c>
      <c r="W305" s="641">
        <v>0</v>
      </c>
      <c r="X305" s="641">
        <v>0</v>
      </c>
      <c r="Y305" s="640">
        <v>0</v>
      </c>
      <c r="Z305" s="641">
        <v>0</v>
      </c>
      <c r="AA305" s="641">
        <v>0</v>
      </c>
      <c r="AB305" s="641">
        <v>0</v>
      </c>
      <c r="AC305" s="641">
        <v>0</v>
      </c>
      <c r="AD305" s="641">
        <v>0</v>
      </c>
      <c r="AE305" s="641">
        <v>0</v>
      </c>
      <c r="AF305" s="641">
        <v>0</v>
      </c>
      <c r="AG305" s="641">
        <v>0</v>
      </c>
      <c r="AH305" s="642">
        <v>0</v>
      </c>
      <c r="AI305" s="641">
        <v>0</v>
      </c>
      <c r="AJ305" s="641">
        <v>0</v>
      </c>
      <c r="AK305" s="643">
        <v>0</v>
      </c>
    </row>
    <row r="306" spans="3:37" x14ac:dyDescent="0.2">
      <c r="C306" s="644" t="s">
        <v>65</v>
      </c>
      <c r="D306" s="645">
        <v>46.099891323621534</v>
      </c>
      <c r="E306" s="645">
        <v>464.7986487</v>
      </c>
      <c r="F306" s="645">
        <v>-59.341223439635421</v>
      </c>
      <c r="G306" s="645">
        <v>345.55093723566335</v>
      </c>
      <c r="H306" s="645">
        <v>727.27272727272737</v>
      </c>
      <c r="I306" s="645">
        <v>338.37995078139568</v>
      </c>
      <c r="J306" s="645">
        <v>190.84741038091113</v>
      </c>
      <c r="K306" s="645">
        <v>19.887492227897642</v>
      </c>
      <c r="L306" s="645">
        <v>2.7639977986594397</v>
      </c>
      <c r="M306" s="645">
        <v>0.16041590589481752</v>
      </c>
      <c r="N306" s="645">
        <v>75.083762899489528</v>
      </c>
      <c r="O306" s="645">
        <v>12.515766779598991</v>
      </c>
      <c r="P306" s="645">
        <v>-12.7985093299136</v>
      </c>
      <c r="Q306" s="645">
        <v>0</v>
      </c>
      <c r="R306" s="645">
        <v>0</v>
      </c>
      <c r="S306" s="645">
        <v>2151.2212685363102</v>
      </c>
      <c r="U306" s="644" t="s">
        <v>65</v>
      </c>
      <c r="V306" s="645">
        <v>4.5871215860372576</v>
      </c>
      <c r="W306" s="645">
        <v>113.59926767676768</v>
      </c>
      <c r="X306" s="645">
        <v>-21.004029293308101</v>
      </c>
      <c r="Y306" s="645">
        <v>0.51452681198611927</v>
      </c>
      <c r="Z306" s="645">
        <v>764.84848484848499</v>
      </c>
      <c r="AA306" s="645">
        <v>423.19995078139567</v>
      </c>
      <c r="AB306" s="645">
        <v>261.81197328019942</v>
      </c>
      <c r="AC306" s="645">
        <v>36.108430969743218</v>
      </c>
      <c r="AD306" s="645">
        <v>-42.834445360645091</v>
      </c>
      <c r="AE306" s="645">
        <v>-4.9533137132699832</v>
      </c>
      <c r="AF306" s="645">
        <v>123.16818516374138</v>
      </c>
      <c r="AG306" s="645">
        <v>30.250193334526926</v>
      </c>
      <c r="AH306" s="645">
        <v>-41.639986107117011</v>
      </c>
      <c r="AI306" s="645">
        <v>0</v>
      </c>
      <c r="AJ306" s="645">
        <v>0</v>
      </c>
      <c r="AK306" s="645">
        <v>1647.6563599785427</v>
      </c>
    </row>
    <row r="307" spans="3:37" x14ac:dyDescent="0.2">
      <c r="C307" s="634"/>
      <c r="D307" s="634">
        <v>0</v>
      </c>
      <c r="E307" s="634">
        <v>0</v>
      </c>
      <c r="F307" s="634">
        <v>0</v>
      </c>
      <c r="G307" s="634">
        <v>0</v>
      </c>
      <c r="H307" s="634">
        <v>0</v>
      </c>
      <c r="I307" s="634">
        <v>0</v>
      </c>
      <c r="J307" s="634">
        <v>0</v>
      </c>
      <c r="K307" s="634">
        <v>0</v>
      </c>
      <c r="L307" s="634">
        <v>0</v>
      </c>
      <c r="M307" s="634">
        <v>0</v>
      </c>
      <c r="N307" s="634">
        <v>0</v>
      </c>
      <c r="O307" s="634">
        <v>0</v>
      </c>
      <c r="P307" s="634">
        <v>0</v>
      </c>
      <c r="Q307" s="634">
        <v>0</v>
      </c>
      <c r="R307" s="634">
        <v>0</v>
      </c>
      <c r="S307" s="634">
        <v>0</v>
      </c>
      <c r="U307" s="634"/>
      <c r="V307" s="634">
        <v>0</v>
      </c>
      <c r="W307" s="634">
        <v>0</v>
      </c>
      <c r="X307" s="634">
        <v>0</v>
      </c>
      <c r="Y307" s="634">
        <v>0</v>
      </c>
      <c r="Z307" s="634">
        <v>0</v>
      </c>
      <c r="AA307" s="634">
        <v>0</v>
      </c>
      <c r="AB307" s="634">
        <v>0</v>
      </c>
      <c r="AC307" s="634">
        <v>0</v>
      </c>
      <c r="AD307" s="634">
        <v>0</v>
      </c>
      <c r="AE307" s="634">
        <v>0</v>
      </c>
      <c r="AF307" s="634">
        <v>0</v>
      </c>
      <c r="AG307" s="634">
        <v>0</v>
      </c>
      <c r="AH307" s="634">
        <v>0</v>
      </c>
      <c r="AI307" s="634">
        <v>0</v>
      </c>
      <c r="AJ307" s="634">
        <v>0</v>
      </c>
      <c r="AK307" s="634">
        <v>0</v>
      </c>
    </row>
    <row r="308" spans="3:37" x14ac:dyDescent="0.2">
      <c r="C308" s="646" t="s">
        <v>67</v>
      </c>
      <c r="D308" s="640">
        <v>0</v>
      </c>
      <c r="E308" s="647">
        <v>0</v>
      </c>
      <c r="F308" s="647">
        <v>0</v>
      </c>
      <c r="G308" s="640">
        <v>0</v>
      </c>
      <c r="H308" s="640">
        <v>0</v>
      </c>
      <c r="I308" s="640">
        <v>0</v>
      </c>
      <c r="J308" s="640">
        <v>0</v>
      </c>
      <c r="K308" s="640">
        <v>0</v>
      </c>
      <c r="L308" s="640">
        <v>0</v>
      </c>
      <c r="M308" s="640">
        <v>0</v>
      </c>
      <c r="N308" s="640">
        <v>0</v>
      </c>
      <c r="O308" s="640">
        <v>0</v>
      </c>
      <c r="P308" s="640">
        <v>0</v>
      </c>
      <c r="Q308" s="640">
        <v>0</v>
      </c>
      <c r="R308" s="640">
        <v>0</v>
      </c>
      <c r="S308" s="648">
        <v>0</v>
      </c>
      <c r="U308" s="646" t="s">
        <v>67</v>
      </c>
      <c r="V308" s="640">
        <v>0</v>
      </c>
      <c r="W308" s="647">
        <v>0</v>
      </c>
      <c r="X308" s="647">
        <v>0</v>
      </c>
      <c r="Y308" s="640">
        <v>0</v>
      </c>
      <c r="Z308" s="640">
        <v>0</v>
      </c>
      <c r="AA308" s="640">
        <v>0</v>
      </c>
      <c r="AB308" s="640">
        <v>0</v>
      </c>
      <c r="AC308" s="640">
        <v>0</v>
      </c>
      <c r="AD308" s="640">
        <v>0</v>
      </c>
      <c r="AE308" s="640">
        <v>0</v>
      </c>
      <c r="AF308" s="640">
        <v>0</v>
      </c>
      <c r="AG308" s="640">
        <v>0</v>
      </c>
      <c r="AH308" s="640">
        <v>0</v>
      </c>
      <c r="AI308" s="640">
        <v>0</v>
      </c>
      <c r="AJ308" s="640">
        <v>0</v>
      </c>
      <c r="AK308" s="648">
        <v>0</v>
      </c>
    </row>
    <row r="309" spans="3:37" x14ac:dyDescent="0.2">
      <c r="C309" s="646" t="s">
        <v>347</v>
      </c>
      <c r="D309" s="640">
        <v>2.8267856410252494</v>
      </c>
      <c r="E309" s="640">
        <v>0</v>
      </c>
      <c r="F309" s="640">
        <v>8.0599105831015567</v>
      </c>
      <c r="G309" s="640">
        <v>46.530346198952707</v>
      </c>
      <c r="H309" s="640">
        <v>727.27272727272737</v>
      </c>
      <c r="I309" s="640">
        <v>338.37995078139568</v>
      </c>
      <c r="J309" s="649">
        <v>28.452469116356035</v>
      </c>
      <c r="K309" s="649">
        <v>6.2305848357200952</v>
      </c>
      <c r="L309" s="649">
        <v>3.7328950664080915</v>
      </c>
      <c r="M309" s="649">
        <v>1.0761160081227215</v>
      </c>
      <c r="N309" s="649">
        <v>0</v>
      </c>
      <c r="O309" s="649">
        <v>7.5664382136221358</v>
      </c>
      <c r="P309" s="640">
        <v>-629.14515201417555</v>
      </c>
      <c r="Q309" s="640">
        <v>0</v>
      </c>
      <c r="R309" s="640">
        <v>0</v>
      </c>
      <c r="S309" s="648">
        <v>540.98307170325586</v>
      </c>
      <c r="U309" s="646" t="s">
        <v>347</v>
      </c>
      <c r="V309" s="640">
        <v>0.62631490545869017</v>
      </c>
      <c r="W309" s="640">
        <v>0</v>
      </c>
      <c r="X309" s="640">
        <v>4.1962742194651934</v>
      </c>
      <c r="Y309" s="640">
        <v>0</v>
      </c>
      <c r="Z309" s="640">
        <v>764.84848484848499</v>
      </c>
      <c r="AA309" s="640">
        <v>423.19995078139567</v>
      </c>
      <c r="AB309" s="649">
        <v>22.478183728982629</v>
      </c>
      <c r="AC309" s="649">
        <v>5.0926371917675839</v>
      </c>
      <c r="AD309" s="649">
        <v>3.7328950664080915</v>
      </c>
      <c r="AE309" s="649">
        <v>0.79318377276994545</v>
      </c>
      <c r="AF309" s="649">
        <v>0</v>
      </c>
      <c r="AG309" s="649">
        <v>7.5664382136221358</v>
      </c>
      <c r="AH309" s="640">
        <v>-696.77718495359215</v>
      </c>
      <c r="AI309" s="640">
        <v>0</v>
      </c>
      <c r="AJ309" s="640">
        <v>3.75</v>
      </c>
      <c r="AK309" s="648">
        <v>539.50717777476291</v>
      </c>
    </row>
    <row r="310" spans="3:37" x14ac:dyDescent="0.2">
      <c r="C310" s="646" t="s">
        <v>348</v>
      </c>
      <c r="D310" s="640">
        <v>0</v>
      </c>
      <c r="E310" s="640">
        <v>0</v>
      </c>
      <c r="F310" s="640">
        <v>0</v>
      </c>
      <c r="G310" s="640">
        <v>14.783508517784153</v>
      </c>
      <c r="H310" s="640">
        <v>0</v>
      </c>
      <c r="I310" s="640">
        <v>0</v>
      </c>
      <c r="J310" s="649">
        <v>12.163067049530284</v>
      </c>
      <c r="K310" s="649">
        <v>11.829214997579474</v>
      </c>
      <c r="L310" s="649">
        <v>0</v>
      </c>
      <c r="M310" s="649">
        <v>0.31740804730172578</v>
      </c>
      <c r="N310" s="649">
        <v>0</v>
      </c>
      <c r="O310" s="649">
        <v>2.086875550337155</v>
      </c>
      <c r="P310" s="640">
        <v>0</v>
      </c>
      <c r="Q310" s="640">
        <v>-37.667878685561853</v>
      </c>
      <c r="R310" s="640">
        <v>0</v>
      </c>
      <c r="S310" s="648">
        <v>3.5121954769709394</v>
      </c>
      <c r="U310" s="646" t="s">
        <v>348</v>
      </c>
      <c r="V310" s="640">
        <v>0</v>
      </c>
      <c r="W310" s="640">
        <v>0</v>
      </c>
      <c r="X310" s="640">
        <v>0</v>
      </c>
      <c r="Y310" s="640">
        <v>0</v>
      </c>
      <c r="Z310" s="640">
        <v>0</v>
      </c>
      <c r="AA310" s="640">
        <v>0</v>
      </c>
      <c r="AB310" s="649">
        <v>28.523630086620891</v>
      </c>
      <c r="AC310" s="649">
        <v>26.288013396118924</v>
      </c>
      <c r="AD310" s="649">
        <v>0</v>
      </c>
      <c r="AE310" s="649">
        <v>10.611192177482708</v>
      </c>
      <c r="AF310" s="649">
        <v>0</v>
      </c>
      <c r="AG310" s="649">
        <v>14.121402979798832</v>
      </c>
      <c r="AH310" s="640">
        <v>0</v>
      </c>
      <c r="AI310" s="640">
        <v>-74.176724382187018</v>
      </c>
      <c r="AJ310" s="640">
        <v>0</v>
      </c>
      <c r="AK310" s="648">
        <v>5.3675142578343316</v>
      </c>
    </row>
    <row r="311" spans="3:37" x14ac:dyDescent="0.2">
      <c r="C311" s="646" t="s">
        <v>349</v>
      </c>
      <c r="D311" s="640">
        <v>0</v>
      </c>
      <c r="E311" s="640">
        <v>0</v>
      </c>
      <c r="F311" s="640">
        <v>0</v>
      </c>
      <c r="G311" s="640">
        <v>0</v>
      </c>
      <c r="H311" s="640">
        <v>0</v>
      </c>
      <c r="I311" s="640">
        <v>0</v>
      </c>
      <c r="J311" s="650">
        <v>7.1450792385721682</v>
      </c>
      <c r="K311" s="650">
        <v>0</v>
      </c>
      <c r="L311" s="650">
        <v>0</v>
      </c>
      <c r="M311" s="650">
        <v>-6.8235506728364204</v>
      </c>
      <c r="N311" s="650">
        <v>0</v>
      </c>
      <c r="O311" s="650">
        <v>0</v>
      </c>
      <c r="P311" s="640">
        <v>0</v>
      </c>
      <c r="Q311" s="640">
        <v>0</v>
      </c>
      <c r="R311" s="640">
        <v>0</v>
      </c>
      <c r="S311" s="648">
        <v>0.32152856573574784</v>
      </c>
      <c r="U311" s="646" t="s">
        <v>349</v>
      </c>
      <c r="V311" s="640">
        <v>0</v>
      </c>
      <c r="W311" s="640">
        <v>0</v>
      </c>
      <c r="X311" s="640">
        <v>0</v>
      </c>
      <c r="Y311" s="640">
        <v>0</v>
      </c>
      <c r="Z311" s="640">
        <v>0</v>
      </c>
      <c r="AA311" s="640">
        <v>0</v>
      </c>
      <c r="AB311" s="650">
        <v>137.81211213320262</v>
      </c>
      <c r="AC311" s="650">
        <v>0</v>
      </c>
      <c r="AD311" s="650">
        <v>0</v>
      </c>
      <c r="AE311" s="650">
        <v>-131.61056708720849</v>
      </c>
      <c r="AF311" s="650">
        <v>0</v>
      </c>
      <c r="AG311" s="650">
        <v>0</v>
      </c>
      <c r="AH311" s="640">
        <v>0</v>
      </c>
      <c r="AI311" s="640">
        <v>0</v>
      </c>
      <c r="AJ311" s="640">
        <v>0</v>
      </c>
      <c r="AK311" s="648">
        <v>6.2015450459941235</v>
      </c>
    </row>
    <row r="312" spans="3:37" x14ac:dyDescent="0.2">
      <c r="C312" s="646" t="s">
        <v>350</v>
      </c>
      <c r="D312" s="640">
        <v>0</v>
      </c>
      <c r="E312" s="640">
        <v>0</v>
      </c>
      <c r="F312" s="640">
        <v>0</v>
      </c>
      <c r="G312" s="640">
        <v>0</v>
      </c>
      <c r="H312" s="640">
        <v>0</v>
      </c>
      <c r="I312" s="640">
        <v>0</v>
      </c>
      <c r="J312" s="640">
        <v>0</v>
      </c>
      <c r="K312" s="640">
        <v>0</v>
      </c>
      <c r="L312" s="640">
        <v>0</v>
      </c>
      <c r="M312" s="640">
        <v>0</v>
      </c>
      <c r="N312" s="640">
        <v>0</v>
      </c>
      <c r="O312" s="640">
        <v>0</v>
      </c>
      <c r="P312" s="640">
        <v>0</v>
      </c>
      <c r="Q312" s="640">
        <v>0</v>
      </c>
      <c r="R312" s="640">
        <v>0</v>
      </c>
      <c r="S312" s="648">
        <v>0</v>
      </c>
      <c r="U312" s="646" t="s">
        <v>350</v>
      </c>
      <c r="V312" s="640">
        <v>0</v>
      </c>
      <c r="W312" s="640">
        <v>0</v>
      </c>
      <c r="X312" s="640">
        <v>0</v>
      </c>
      <c r="Y312" s="640">
        <v>0</v>
      </c>
      <c r="Z312" s="640">
        <v>0</v>
      </c>
      <c r="AA312" s="640">
        <v>0</v>
      </c>
      <c r="AB312" s="640">
        <v>0</v>
      </c>
      <c r="AC312" s="640">
        <v>0</v>
      </c>
      <c r="AD312" s="640">
        <v>0</v>
      </c>
      <c r="AE312" s="640">
        <v>0</v>
      </c>
      <c r="AF312" s="640">
        <v>0</v>
      </c>
      <c r="AG312" s="640">
        <v>0</v>
      </c>
      <c r="AH312" s="640">
        <v>0</v>
      </c>
      <c r="AI312" s="640">
        <v>0</v>
      </c>
      <c r="AJ312" s="640">
        <v>0</v>
      </c>
      <c r="AK312" s="648">
        <v>0</v>
      </c>
    </row>
    <row r="313" spans="3:37" x14ac:dyDescent="0.2">
      <c r="C313" s="646" t="s">
        <v>72</v>
      </c>
      <c r="D313" s="640">
        <v>0</v>
      </c>
      <c r="E313" s="640">
        <v>481.48200000000003</v>
      </c>
      <c r="F313" s="640">
        <v>-476.66718000000003</v>
      </c>
      <c r="G313" s="640">
        <v>0</v>
      </c>
      <c r="H313" s="640">
        <v>0</v>
      </c>
      <c r="I313" s="640">
        <v>0</v>
      </c>
      <c r="J313" s="640">
        <v>0</v>
      </c>
      <c r="K313" s="640">
        <v>0</v>
      </c>
      <c r="L313" s="640">
        <v>0</v>
      </c>
      <c r="M313" s="640">
        <v>0</v>
      </c>
      <c r="N313" s="640">
        <v>0</v>
      </c>
      <c r="O313" s="640">
        <v>0</v>
      </c>
      <c r="P313" s="640">
        <v>0</v>
      </c>
      <c r="Q313" s="640">
        <v>0</v>
      </c>
      <c r="R313" s="640">
        <v>0</v>
      </c>
      <c r="S313" s="648">
        <v>4.8148199999999974</v>
      </c>
      <c r="U313" s="646" t="s">
        <v>72</v>
      </c>
      <c r="V313" s="640">
        <v>0</v>
      </c>
      <c r="W313" s="640">
        <v>117.67676767676768</v>
      </c>
      <c r="X313" s="640">
        <v>-116.5</v>
      </c>
      <c r="Y313" s="640">
        <v>0</v>
      </c>
      <c r="Z313" s="640">
        <v>0</v>
      </c>
      <c r="AA313" s="640">
        <v>0</v>
      </c>
      <c r="AB313" s="640">
        <v>0</v>
      </c>
      <c r="AC313" s="640">
        <v>0</v>
      </c>
      <c r="AD313" s="640">
        <v>0</v>
      </c>
      <c r="AE313" s="640">
        <v>0</v>
      </c>
      <c r="AF313" s="640">
        <v>0</v>
      </c>
      <c r="AG313" s="640">
        <v>0</v>
      </c>
      <c r="AH313" s="640">
        <v>0</v>
      </c>
      <c r="AI313" s="640">
        <v>0</v>
      </c>
      <c r="AJ313" s="640">
        <v>0</v>
      </c>
      <c r="AK313" s="648">
        <v>1.1767676767676818</v>
      </c>
    </row>
    <row r="314" spans="3:37" x14ac:dyDescent="0.2">
      <c r="C314" s="646" t="s">
        <v>351</v>
      </c>
      <c r="D314" s="640">
        <v>0</v>
      </c>
      <c r="E314" s="640">
        <v>0</v>
      </c>
      <c r="F314" s="640">
        <v>0</v>
      </c>
      <c r="G314" s="640">
        <v>0</v>
      </c>
      <c r="H314" s="640">
        <v>0</v>
      </c>
      <c r="I314" s="640">
        <v>0</v>
      </c>
      <c r="J314" s="640">
        <v>26.125483595276659</v>
      </c>
      <c r="K314" s="640">
        <v>0</v>
      </c>
      <c r="L314" s="640">
        <v>-26.125483595276659</v>
      </c>
      <c r="M314" s="640">
        <v>0</v>
      </c>
      <c r="N314" s="640">
        <v>0</v>
      </c>
      <c r="O314" s="640">
        <v>0</v>
      </c>
      <c r="P314" s="640">
        <v>0</v>
      </c>
      <c r="Q314" s="640">
        <v>0</v>
      </c>
      <c r="R314" s="640">
        <v>0</v>
      </c>
      <c r="S314" s="648">
        <v>0</v>
      </c>
      <c r="U314" s="646" t="s">
        <v>351</v>
      </c>
      <c r="V314" s="640">
        <v>0</v>
      </c>
      <c r="W314" s="640">
        <v>0</v>
      </c>
      <c r="X314" s="640">
        <v>0</v>
      </c>
      <c r="Y314" s="640">
        <v>0</v>
      </c>
      <c r="Z314" s="640">
        <v>0</v>
      </c>
      <c r="AA314" s="640">
        <v>0</v>
      </c>
      <c r="AB314" s="640" t="e">
        <v>#VALUE!</v>
      </c>
      <c r="AC314" s="640">
        <v>0</v>
      </c>
      <c r="AD314" s="640">
        <v>-100.69655001825291</v>
      </c>
      <c r="AE314" s="640">
        <v>0</v>
      </c>
      <c r="AF314" s="640">
        <v>0</v>
      </c>
      <c r="AG314" s="640">
        <v>0</v>
      </c>
      <c r="AH314" s="640">
        <v>0</v>
      </c>
      <c r="AI314" s="640">
        <v>0</v>
      </c>
      <c r="AJ314" s="640">
        <v>0</v>
      </c>
      <c r="AK314" s="648">
        <v>-100.69655001825291</v>
      </c>
    </row>
    <row r="315" spans="3:37" x14ac:dyDescent="0.2">
      <c r="C315" s="646" t="s">
        <v>352</v>
      </c>
      <c r="D315" s="640">
        <v>0</v>
      </c>
      <c r="E315" s="640">
        <v>0</v>
      </c>
      <c r="F315" s="640">
        <v>0</v>
      </c>
      <c r="G315" s="640">
        <v>0</v>
      </c>
      <c r="H315" s="640">
        <v>0</v>
      </c>
      <c r="I315" s="640">
        <v>0</v>
      </c>
      <c r="J315" s="640">
        <v>0</v>
      </c>
      <c r="K315" s="640">
        <v>0</v>
      </c>
      <c r="L315" s="640">
        <v>0</v>
      </c>
      <c r="M315" s="640">
        <v>0</v>
      </c>
      <c r="N315" s="640">
        <v>0</v>
      </c>
      <c r="O315" s="640">
        <v>0</v>
      </c>
      <c r="P315" s="640">
        <v>0</v>
      </c>
      <c r="Q315" s="640">
        <v>0</v>
      </c>
      <c r="R315" s="640">
        <v>0</v>
      </c>
      <c r="S315" s="648">
        <v>0</v>
      </c>
      <c r="U315" s="646" t="s">
        <v>352</v>
      </c>
      <c r="V315" s="640">
        <v>0</v>
      </c>
      <c r="W315" s="640">
        <v>0</v>
      </c>
      <c r="X315" s="640">
        <v>0</v>
      </c>
      <c r="Y315" s="640">
        <v>0</v>
      </c>
      <c r="Z315" s="640">
        <v>0</v>
      </c>
      <c r="AA315" s="640">
        <v>0</v>
      </c>
      <c r="AB315" s="640">
        <v>0</v>
      </c>
      <c r="AC315" s="640">
        <v>0</v>
      </c>
      <c r="AD315" s="640">
        <v>-28.460377640694865</v>
      </c>
      <c r="AE315" s="640">
        <v>0</v>
      </c>
      <c r="AF315" s="640">
        <v>0</v>
      </c>
      <c r="AG315" s="640">
        <v>0</v>
      </c>
      <c r="AH315" s="640">
        <v>0</v>
      </c>
      <c r="AI315" s="640">
        <v>0</v>
      </c>
      <c r="AJ315" s="640">
        <v>0</v>
      </c>
      <c r="AK315" s="648">
        <v>-28.460377640694865</v>
      </c>
    </row>
    <row r="316" spans="3:37" x14ac:dyDescent="0.2">
      <c r="C316" s="646" t="s">
        <v>73</v>
      </c>
      <c r="D316" s="640">
        <v>0</v>
      </c>
      <c r="E316" s="640">
        <v>0</v>
      </c>
      <c r="F316" s="640">
        <v>0</v>
      </c>
      <c r="G316" s="640">
        <v>8.6128889644156494</v>
      </c>
      <c r="H316" s="640">
        <v>0</v>
      </c>
      <c r="I316" s="640">
        <v>0</v>
      </c>
      <c r="J316" s="640">
        <v>0</v>
      </c>
      <c r="K316" s="640">
        <v>0.10101910584583218</v>
      </c>
      <c r="L316" s="640">
        <v>0</v>
      </c>
      <c r="M316" s="640">
        <v>0.17577324417174797</v>
      </c>
      <c r="N316" s="640">
        <v>0</v>
      </c>
      <c r="O316" s="640">
        <v>0</v>
      </c>
      <c r="P316" s="640">
        <v>1.1785562348680418</v>
      </c>
      <c r="Q316" s="640">
        <v>0</v>
      </c>
      <c r="R316" s="640">
        <v>-7.071337409208251</v>
      </c>
      <c r="S316" s="648">
        <v>2.99690014009302</v>
      </c>
      <c r="U316" s="646" t="s">
        <v>73</v>
      </c>
      <c r="V316" s="640">
        <v>0</v>
      </c>
      <c r="W316" s="640">
        <v>0</v>
      </c>
      <c r="X316" s="640">
        <v>0</v>
      </c>
      <c r="Y316" s="640">
        <v>0</v>
      </c>
      <c r="Z316" s="640">
        <v>0</v>
      </c>
      <c r="AA316" s="640">
        <v>0</v>
      </c>
      <c r="AB316" s="640">
        <v>0</v>
      </c>
      <c r="AC316" s="640">
        <v>0.58294529496624936</v>
      </c>
      <c r="AD316" s="640">
        <v>0</v>
      </c>
      <c r="AE316" s="640">
        <v>0</v>
      </c>
      <c r="AF316" s="640">
        <v>0</v>
      </c>
      <c r="AG316" s="640">
        <v>0</v>
      </c>
      <c r="AH316" s="640">
        <v>56.108484640501494</v>
      </c>
      <c r="AI316" s="640">
        <v>0</v>
      </c>
      <c r="AJ316" s="640">
        <v>-40.806170647637451</v>
      </c>
      <c r="AK316" s="648">
        <v>15.885259287830294</v>
      </c>
    </row>
    <row r="317" spans="3:37" x14ac:dyDescent="0.2">
      <c r="C317" s="646" t="s">
        <v>353</v>
      </c>
      <c r="D317" s="640">
        <v>28.51179328125</v>
      </c>
      <c r="E317" s="640">
        <v>-16.683351300000002</v>
      </c>
      <c r="F317" s="640">
        <v>21.820838094867195</v>
      </c>
      <c r="G317" s="640">
        <v>0</v>
      </c>
      <c r="H317" s="640">
        <v>0</v>
      </c>
      <c r="I317" s="640">
        <v>0</v>
      </c>
      <c r="J317" s="640">
        <v>0</v>
      </c>
      <c r="K317" s="640">
        <v>0</v>
      </c>
      <c r="L317" s="640">
        <v>0</v>
      </c>
      <c r="M317" s="640">
        <v>0</v>
      </c>
      <c r="N317" s="640">
        <v>0</v>
      </c>
      <c r="O317" s="640">
        <v>0</v>
      </c>
      <c r="P317" s="640">
        <v>0</v>
      </c>
      <c r="Q317" s="640">
        <v>0</v>
      </c>
      <c r="R317" s="640">
        <v>0</v>
      </c>
      <c r="S317" s="648">
        <v>33.649280076117194</v>
      </c>
      <c r="U317" s="646" t="s">
        <v>353</v>
      </c>
      <c r="V317" s="640">
        <v>0.72303211975097659</v>
      </c>
      <c r="W317" s="640">
        <v>-4.0775000000000006</v>
      </c>
      <c r="X317" s="640">
        <v>5.333129161634389</v>
      </c>
      <c r="Y317" s="640">
        <v>0</v>
      </c>
      <c r="Z317" s="640">
        <v>0</v>
      </c>
      <c r="AA317" s="640">
        <v>0</v>
      </c>
      <c r="AB317" s="640">
        <v>0</v>
      </c>
      <c r="AC317" s="640">
        <v>0</v>
      </c>
      <c r="AD317" s="640">
        <v>0</v>
      </c>
      <c r="AE317" s="640">
        <v>0</v>
      </c>
      <c r="AF317" s="640">
        <v>0</v>
      </c>
      <c r="AG317" s="640">
        <v>0</v>
      </c>
      <c r="AH317" s="640">
        <v>0</v>
      </c>
      <c r="AI317" s="640">
        <v>0</v>
      </c>
      <c r="AJ317" s="640">
        <v>0</v>
      </c>
      <c r="AK317" s="648">
        <v>1.978661281385365</v>
      </c>
    </row>
    <row r="318" spans="3:37" x14ac:dyDescent="0.2">
      <c r="C318" s="646" t="s">
        <v>75</v>
      </c>
      <c r="D318" s="640">
        <v>11.087919609375001</v>
      </c>
      <c r="E318" s="640">
        <v>0</v>
      </c>
      <c r="F318" s="640">
        <v>16.370388000000002</v>
      </c>
      <c r="G318" s="640">
        <v>4.6713383640000004</v>
      </c>
      <c r="H318" s="640">
        <v>0</v>
      </c>
      <c r="I318" s="640">
        <v>0</v>
      </c>
      <c r="J318" s="640">
        <v>0</v>
      </c>
      <c r="K318" s="640">
        <v>0</v>
      </c>
      <c r="L318" s="640">
        <v>0</v>
      </c>
      <c r="M318" s="640">
        <v>9.5333436000000008E-2</v>
      </c>
      <c r="N318" s="640">
        <v>0</v>
      </c>
      <c r="O318" s="640">
        <v>0</v>
      </c>
      <c r="P318" s="640">
        <v>26.129145836866744</v>
      </c>
      <c r="Q318" s="640">
        <v>0</v>
      </c>
      <c r="R318" s="640">
        <v>0</v>
      </c>
      <c r="S318" s="648">
        <v>58.35412524624175</v>
      </c>
      <c r="U318" s="646" t="s">
        <v>75</v>
      </c>
      <c r="V318" s="640">
        <v>1.73775830078125</v>
      </c>
      <c r="W318" s="640">
        <v>0</v>
      </c>
      <c r="X318" s="640">
        <v>16.370388000000002</v>
      </c>
      <c r="Y318" s="640">
        <v>0</v>
      </c>
      <c r="Z318" s="640">
        <v>0</v>
      </c>
      <c r="AA318" s="640">
        <v>0</v>
      </c>
      <c r="AB318" s="640">
        <v>0</v>
      </c>
      <c r="AC318" s="640">
        <v>0</v>
      </c>
      <c r="AD318" s="640">
        <v>0</v>
      </c>
      <c r="AE318" s="640">
        <v>4.7666718000000001</v>
      </c>
      <c r="AF318" s="640">
        <v>0</v>
      </c>
      <c r="AG318" s="640">
        <v>0</v>
      </c>
      <c r="AH318" s="640">
        <v>36.696565665655768</v>
      </c>
      <c r="AI318" s="640">
        <v>0</v>
      </c>
      <c r="AJ318" s="640">
        <v>0</v>
      </c>
      <c r="AK318" s="648">
        <v>59.571383766437016</v>
      </c>
    </row>
    <row r="319" spans="3:37" x14ac:dyDescent="0.2">
      <c r="C319" s="646" t="s">
        <v>76</v>
      </c>
      <c r="D319" s="640">
        <v>0</v>
      </c>
      <c r="E319" s="640">
        <v>0</v>
      </c>
      <c r="F319" s="640">
        <v>0</v>
      </c>
      <c r="G319" s="640">
        <v>3.9646717348100942</v>
      </c>
      <c r="H319" s="640">
        <v>0</v>
      </c>
      <c r="I319" s="640">
        <v>0</v>
      </c>
      <c r="J319" s="640">
        <v>0</v>
      </c>
      <c r="K319" s="640">
        <v>0</v>
      </c>
      <c r="L319" s="640">
        <v>0</v>
      </c>
      <c r="M319" s="640">
        <v>8.0911668057348868E-2</v>
      </c>
      <c r="N319" s="640">
        <v>0</v>
      </c>
      <c r="O319" s="640">
        <v>0</v>
      </c>
      <c r="P319" s="640">
        <v>47.131742012269626</v>
      </c>
      <c r="Q319" s="640">
        <v>2.9238621334994321</v>
      </c>
      <c r="R319" s="640">
        <v>0</v>
      </c>
      <c r="S319" s="648">
        <v>54.101187548636503</v>
      </c>
      <c r="U319" s="646" t="s">
        <v>76</v>
      </c>
      <c r="V319" s="640">
        <v>0</v>
      </c>
      <c r="W319" s="640">
        <v>0</v>
      </c>
      <c r="X319" s="640">
        <v>0</v>
      </c>
      <c r="Y319" s="640">
        <v>0</v>
      </c>
      <c r="Z319" s="640">
        <v>0</v>
      </c>
      <c r="AA319" s="640">
        <v>0</v>
      </c>
      <c r="AB319" s="640">
        <v>0</v>
      </c>
      <c r="AC319" s="640">
        <v>0</v>
      </c>
      <c r="AD319" s="640">
        <v>0</v>
      </c>
      <c r="AE319" s="640">
        <v>1.5605996097297452</v>
      </c>
      <c r="AF319" s="640">
        <v>0</v>
      </c>
      <c r="AG319" s="640">
        <v>0</v>
      </c>
      <c r="AH319" s="640">
        <v>50.104610120731024</v>
      </c>
      <c r="AI319" s="640">
        <v>5.7529608775183565</v>
      </c>
      <c r="AJ319" s="640">
        <v>0</v>
      </c>
      <c r="AK319" s="648">
        <v>57.418170607979121</v>
      </c>
    </row>
    <row r="320" spans="3:37" x14ac:dyDescent="0.2">
      <c r="C320" s="644" t="s">
        <v>77</v>
      </c>
      <c r="D320" s="645">
        <v>42.426498531650253</v>
      </c>
      <c r="E320" s="645">
        <v>464.7986487</v>
      </c>
      <c r="F320" s="645">
        <v>-430.41604332203127</v>
      </c>
      <c r="G320" s="645">
        <v>78.562753779962591</v>
      </c>
      <c r="H320" s="645">
        <v>727.27272727272737</v>
      </c>
      <c r="I320" s="645">
        <v>338.37995078139568</v>
      </c>
      <c r="J320" s="645">
        <v>73.88609899973514</v>
      </c>
      <c r="K320" s="645">
        <v>18.1608189391454</v>
      </c>
      <c r="L320" s="645">
        <v>-22.392588528868568</v>
      </c>
      <c r="M320" s="645">
        <v>-5.0780082691828765</v>
      </c>
      <c r="N320" s="645">
        <v>0</v>
      </c>
      <c r="O320" s="645">
        <v>9.6533137639592894</v>
      </c>
      <c r="P320" s="645">
        <v>-554.70570793017112</v>
      </c>
      <c r="Q320" s="645">
        <v>-34.744016552062419</v>
      </c>
      <c r="R320" s="645">
        <v>-7.071337409208251</v>
      </c>
      <c r="S320" s="645">
        <v>698.73310875705101</v>
      </c>
      <c r="U320" s="644" t="s">
        <v>77</v>
      </c>
      <c r="V320" s="645">
        <v>3.0871053259909167</v>
      </c>
      <c r="W320" s="645">
        <v>113.59926767676768</v>
      </c>
      <c r="X320" s="645">
        <v>-90.60020861890041</v>
      </c>
      <c r="Y320" s="645">
        <v>0</v>
      </c>
      <c r="Z320" s="645">
        <v>764.84848484848499</v>
      </c>
      <c r="AA320" s="645">
        <v>423.19995078139567</v>
      </c>
      <c r="AB320" s="645">
        <v>188.81392594880614</v>
      </c>
      <c r="AC320" s="645">
        <v>31.963595882852758</v>
      </c>
      <c r="AD320" s="645">
        <v>-125.42403259253969</v>
      </c>
      <c r="AE320" s="645">
        <v>-113.87891972722609</v>
      </c>
      <c r="AF320" s="645">
        <v>0</v>
      </c>
      <c r="AG320" s="645">
        <v>21.687841193420969</v>
      </c>
      <c r="AH320" s="645">
        <v>-553.86752452670385</v>
      </c>
      <c r="AI320" s="645">
        <v>-68.423763504668656</v>
      </c>
      <c r="AJ320" s="645">
        <v>-37.056170647637451</v>
      </c>
      <c r="AK320" s="645">
        <v>557.94955204004305</v>
      </c>
    </row>
    <row r="321" spans="3:37" x14ac:dyDescent="0.2">
      <c r="C321" s="634"/>
      <c r="D321" s="634">
        <v>0</v>
      </c>
      <c r="E321" s="634">
        <v>0</v>
      </c>
      <c r="F321" s="634">
        <v>0</v>
      </c>
      <c r="G321" s="634">
        <v>0</v>
      </c>
      <c r="H321" s="634">
        <v>0</v>
      </c>
      <c r="I321" s="634">
        <v>0</v>
      </c>
      <c r="J321" s="634">
        <v>0</v>
      </c>
      <c r="K321" s="634">
        <v>0</v>
      </c>
      <c r="L321" s="634">
        <v>0</v>
      </c>
      <c r="M321" s="634">
        <v>0</v>
      </c>
      <c r="N321" s="634">
        <v>0</v>
      </c>
      <c r="O321" s="634">
        <v>0</v>
      </c>
      <c r="P321" s="634">
        <v>0</v>
      </c>
      <c r="Q321" s="634">
        <v>0</v>
      </c>
      <c r="R321" s="634">
        <v>0</v>
      </c>
      <c r="S321" s="634">
        <v>0</v>
      </c>
      <c r="U321" s="634"/>
      <c r="V321" s="634">
        <v>0</v>
      </c>
      <c r="W321" s="634">
        <v>0</v>
      </c>
      <c r="X321" s="634">
        <v>0</v>
      </c>
      <c r="Y321" s="634">
        <v>0</v>
      </c>
      <c r="Z321" s="634">
        <v>0</v>
      </c>
      <c r="AA321" s="634">
        <v>0</v>
      </c>
      <c r="AB321" s="634">
        <v>0</v>
      </c>
      <c r="AC321" s="634">
        <v>0</v>
      </c>
      <c r="AD321" s="634">
        <v>0</v>
      </c>
      <c r="AE321" s="634">
        <v>0</v>
      </c>
      <c r="AF321" s="634">
        <v>0</v>
      </c>
      <c r="AG321" s="634">
        <v>0</v>
      </c>
      <c r="AH321" s="634">
        <v>0</v>
      </c>
      <c r="AI321" s="634">
        <v>0</v>
      </c>
      <c r="AJ321" s="634">
        <v>0</v>
      </c>
      <c r="AK321" s="634">
        <v>0</v>
      </c>
    </row>
    <row r="322" spans="3:37" x14ac:dyDescent="0.2">
      <c r="C322" s="646" t="s">
        <v>78</v>
      </c>
      <c r="D322" s="640">
        <v>3.6733927919712848</v>
      </c>
      <c r="E322" s="640">
        <v>0</v>
      </c>
      <c r="F322" s="640">
        <v>19.397200033553816</v>
      </c>
      <c r="G322" s="640">
        <v>91.130108310207916</v>
      </c>
      <c r="H322" s="640">
        <v>0</v>
      </c>
      <c r="I322" s="640">
        <v>0</v>
      </c>
      <c r="J322" s="640">
        <v>22.791437377983073</v>
      </c>
      <c r="K322" s="640">
        <v>1.7013098714668424</v>
      </c>
      <c r="L322" s="640">
        <v>1.007010953125</v>
      </c>
      <c r="M322" s="640">
        <v>1.8779931367345493</v>
      </c>
      <c r="N322" s="640">
        <v>0</v>
      </c>
      <c r="O322" s="640">
        <v>3.7093504340600874E-4</v>
      </c>
      <c r="P322" s="640">
        <v>114.54790196708234</v>
      </c>
      <c r="Q322" s="640">
        <v>16.21056036467343</v>
      </c>
      <c r="R322" s="640">
        <v>0.23655174255371095</v>
      </c>
      <c r="S322" s="648">
        <v>272.57383748439537</v>
      </c>
      <c r="U322" s="646" t="s">
        <v>78</v>
      </c>
      <c r="V322" s="640">
        <v>1.5000162600463405</v>
      </c>
      <c r="W322" s="640">
        <v>0</v>
      </c>
      <c r="X322" s="640">
        <v>0.65820239923796242</v>
      </c>
      <c r="Y322" s="640">
        <v>0</v>
      </c>
      <c r="Z322" s="640">
        <v>0</v>
      </c>
      <c r="AA322" s="640">
        <v>0</v>
      </c>
      <c r="AB322" s="640">
        <v>14.22856522114639</v>
      </c>
      <c r="AC322" s="640">
        <v>4.1194716696050602</v>
      </c>
      <c r="AD322" s="640">
        <v>8.3494072265624997</v>
      </c>
      <c r="AE322" s="640">
        <v>60.539358802903692</v>
      </c>
      <c r="AF322" s="640">
        <v>0</v>
      </c>
      <c r="AG322" s="640">
        <v>3.7093504340600874E-4</v>
      </c>
      <c r="AH322" s="640">
        <v>157.01971492382648</v>
      </c>
      <c r="AI322" s="640">
        <v>25.540840498351418</v>
      </c>
      <c r="AJ322" s="640">
        <v>8.9542294921874994</v>
      </c>
      <c r="AK322" s="648">
        <v>280.91017742891074</v>
      </c>
    </row>
    <row r="323" spans="3:37" x14ac:dyDescent="0.2">
      <c r="C323" s="646" t="s">
        <v>79</v>
      </c>
      <c r="D323" s="640">
        <v>0</v>
      </c>
      <c r="E323" s="640">
        <v>0</v>
      </c>
      <c r="F323" s="640">
        <v>216.8751541495462</v>
      </c>
      <c r="G323" s="640">
        <v>32.745585882615877</v>
      </c>
      <c r="H323" s="640">
        <v>0</v>
      </c>
      <c r="I323" s="640">
        <v>0</v>
      </c>
      <c r="J323" s="640">
        <v>0</v>
      </c>
      <c r="K323" s="640">
        <v>0</v>
      </c>
      <c r="L323" s="640">
        <v>20.896591906701669</v>
      </c>
      <c r="M323" s="640">
        <v>0.66827726291052814</v>
      </c>
      <c r="N323" s="640">
        <v>0</v>
      </c>
      <c r="O323" s="640">
        <v>0</v>
      </c>
      <c r="P323" s="640">
        <v>80.819270278256823</v>
      </c>
      <c r="Q323" s="640">
        <v>0</v>
      </c>
      <c r="R323" s="640">
        <v>2.9193508940431485</v>
      </c>
      <c r="S323" s="648">
        <v>354.92423037407423</v>
      </c>
      <c r="U323" s="646" t="s">
        <v>79</v>
      </c>
      <c r="V323" s="640">
        <v>0</v>
      </c>
      <c r="W323" s="640">
        <v>0</v>
      </c>
      <c r="X323" s="640">
        <v>8.8339079607242379</v>
      </c>
      <c r="Y323" s="640">
        <v>0</v>
      </c>
      <c r="Z323" s="640">
        <v>0</v>
      </c>
      <c r="AA323" s="640">
        <v>0</v>
      </c>
      <c r="AB323" s="640">
        <v>0</v>
      </c>
      <c r="AC323" s="640">
        <v>0</v>
      </c>
      <c r="AD323" s="640">
        <v>12.788272739607951</v>
      </c>
      <c r="AE323" s="640">
        <v>24.887279738493259</v>
      </c>
      <c r="AF323" s="640">
        <v>0</v>
      </c>
      <c r="AG323" s="640">
        <v>0</v>
      </c>
      <c r="AH323" s="640">
        <v>93.844452584108197</v>
      </c>
      <c r="AI323" s="640">
        <v>0</v>
      </c>
      <c r="AJ323" s="640">
        <v>7.1149935986121697</v>
      </c>
      <c r="AK323" s="648">
        <v>147.46890662154581</v>
      </c>
    </row>
    <row r="324" spans="3:37" x14ac:dyDescent="0.2">
      <c r="C324" s="646" t="s">
        <v>80</v>
      </c>
      <c r="D324" s="640">
        <v>0</v>
      </c>
      <c r="E324" s="640">
        <v>0</v>
      </c>
      <c r="F324" s="640">
        <v>5.2094674308398901</v>
      </c>
      <c r="G324" s="640">
        <v>68.551385920257417</v>
      </c>
      <c r="H324" s="640">
        <v>0</v>
      </c>
      <c r="I324" s="640">
        <v>0</v>
      </c>
      <c r="J324" s="640">
        <v>86.155325304334795</v>
      </c>
      <c r="K324" s="640">
        <v>0</v>
      </c>
      <c r="L324" s="640">
        <v>0</v>
      </c>
      <c r="M324" s="640">
        <v>1.3990078759236206</v>
      </c>
      <c r="N324" s="640">
        <v>66.478227859390046</v>
      </c>
      <c r="O324" s="640">
        <v>2.1206229173139883</v>
      </c>
      <c r="P324" s="640">
        <v>194.47767196350526</v>
      </c>
      <c r="Q324" s="640">
        <v>15.182773802844931</v>
      </c>
      <c r="R324" s="640">
        <v>0</v>
      </c>
      <c r="S324" s="648">
        <v>439.5744830744099</v>
      </c>
      <c r="U324" s="646" t="s">
        <v>80</v>
      </c>
      <c r="V324" s="640">
        <v>0</v>
      </c>
      <c r="W324" s="640">
        <v>0</v>
      </c>
      <c r="X324" s="640">
        <v>0.92826525658471626</v>
      </c>
      <c r="Y324" s="640">
        <v>0</v>
      </c>
      <c r="Z324" s="640">
        <v>0</v>
      </c>
      <c r="AA324" s="640">
        <v>0</v>
      </c>
      <c r="AB324" s="640">
        <v>47.227858114444189</v>
      </c>
      <c r="AC324" s="640">
        <v>0</v>
      </c>
      <c r="AD324" s="640">
        <v>0</v>
      </c>
      <c r="AE324" s="640">
        <v>17.293312779197663</v>
      </c>
      <c r="AF324" s="640">
        <v>108.09916343666818</v>
      </c>
      <c r="AG324" s="640">
        <v>4.9369795689122755</v>
      </c>
      <c r="AH324" s="640">
        <v>137.38519988829395</v>
      </c>
      <c r="AI324" s="640">
        <v>27.91071693101145</v>
      </c>
      <c r="AJ324" s="640">
        <v>0</v>
      </c>
      <c r="AK324" s="648">
        <v>343.78149597511242</v>
      </c>
    </row>
    <row r="325" spans="3:37" x14ac:dyDescent="0.2">
      <c r="C325" s="646" t="s">
        <v>81</v>
      </c>
      <c r="D325" s="640">
        <v>0</v>
      </c>
      <c r="E325" s="640">
        <v>0</v>
      </c>
      <c r="F325" s="640">
        <v>2.3181271880740835</v>
      </c>
      <c r="G325" s="640">
        <v>62.553452404821357</v>
      </c>
      <c r="H325" s="640">
        <v>0</v>
      </c>
      <c r="I325" s="640">
        <v>0</v>
      </c>
      <c r="J325" s="640">
        <v>3.0090868580403627</v>
      </c>
      <c r="K325" s="640">
        <v>2.5363417285398034E-2</v>
      </c>
      <c r="L325" s="640">
        <v>0</v>
      </c>
      <c r="M325" s="640">
        <v>1.27660106948615</v>
      </c>
      <c r="N325" s="640">
        <v>8.6055350400994808</v>
      </c>
      <c r="O325" s="640">
        <v>0.68093940948821108</v>
      </c>
      <c r="P325" s="640">
        <v>146.08879967332064</v>
      </c>
      <c r="Q325" s="640">
        <v>3.3506823845440552</v>
      </c>
      <c r="R325" s="640">
        <v>0</v>
      </c>
      <c r="S325" s="648">
        <v>227.90858744515972</v>
      </c>
      <c r="U325" s="646" t="s">
        <v>81</v>
      </c>
      <c r="V325" s="640">
        <v>0</v>
      </c>
      <c r="W325" s="640">
        <v>0</v>
      </c>
      <c r="X325" s="640">
        <v>0.55102356567889155</v>
      </c>
      <c r="Y325" s="640">
        <v>0</v>
      </c>
      <c r="Z325" s="640">
        <v>0</v>
      </c>
      <c r="AA325" s="640">
        <v>0</v>
      </c>
      <c r="AB325" s="640">
        <v>6.5361621549849476</v>
      </c>
      <c r="AC325" s="640">
        <v>2.5363417285398034E-2</v>
      </c>
      <c r="AD325" s="640">
        <v>0</v>
      </c>
      <c r="AE325" s="640">
        <v>5.3379988256415478</v>
      </c>
      <c r="AF325" s="640">
        <v>15.069021727073199</v>
      </c>
      <c r="AG325" s="640">
        <v>1.4375946320597892</v>
      </c>
      <c r="AH325" s="640">
        <v>112.31243747223964</v>
      </c>
      <c r="AI325" s="640">
        <v>14.972206075305797</v>
      </c>
      <c r="AJ325" s="640">
        <v>0</v>
      </c>
      <c r="AK325" s="648">
        <v>156.24180787026921</v>
      </c>
    </row>
    <row r="326" spans="3:37" x14ac:dyDescent="0.2">
      <c r="C326" s="646" t="s">
        <v>82</v>
      </c>
      <c r="D326" s="640">
        <v>0</v>
      </c>
      <c r="E326" s="640">
        <v>0</v>
      </c>
      <c r="F326" s="640">
        <v>27.219719362233906</v>
      </c>
      <c r="G326" s="640">
        <v>0.81069667111944488</v>
      </c>
      <c r="H326" s="640">
        <v>0</v>
      </c>
      <c r="I326" s="640">
        <v>0</v>
      </c>
      <c r="J326" s="640">
        <v>5.0054618408177598</v>
      </c>
      <c r="K326" s="640">
        <v>0</v>
      </c>
      <c r="L326" s="640">
        <v>3.2629555410385191</v>
      </c>
      <c r="M326" s="640">
        <v>1.6544830022845812E-2</v>
      </c>
      <c r="N326" s="640">
        <v>0</v>
      </c>
      <c r="O326" s="640">
        <v>6.051975379409523E-2</v>
      </c>
      <c r="P326" s="640">
        <v>5.5235547180923223</v>
      </c>
      <c r="Q326" s="640">
        <v>0</v>
      </c>
      <c r="R326" s="640">
        <v>0</v>
      </c>
      <c r="S326" s="648">
        <v>41.899452717118898</v>
      </c>
      <c r="U326" s="646" t="s">
        <v>82</v>
      </c>
      <c r="V326" s="640">
        <v>0</v>
      </c>
      <c r="W326" s="640">
        <v>0</v>
      </c>
      <c r="X326" s="640">
        <v>0.67158967449506357</v>
      </c>
      <c r="Y326" s="640">
        <v>0</v>
      </c>
      <c r="Z326" s="640">
        <v>0</v>
      </c>
      <c r="AA326" s="640">
        <v>0</v>
      </c>
      <c r="AB326" s="640">
        <v>5.0054618408177598</v>
      </c>
      <c r="AC326" s="640">
        <v>0</v>
      </c>
      <c r="AD326" s="640">
        <v>35.167200828266267</v>
      </c>
      <c r="AE326" s="640">
        <v>0.86765586771995196</v>
      </c>
      <c r="AF326" s="640">
        <v>0</v>
      </c>
      <c r="AG326" s="640">
        <v>2.1874070050904897</v>
      </c>
      <c r="AH326" s="640">
        <v>5.6657335511185538</v>
      </c>
      <c r="AI326" s="640">
        <v>0</v>
      </c>
      <c r="AJ326" s="640">
        <v>0.44339331184266689</v>
      </c>
      <c r="AK326" s="648">
        <v>50.008442079350758</v>
      </c>
    </row>
    <row r="327" spans="3:37" x14ac:dyDescent="0.2">
      <c r="C327" s="646" t="s">
        <v>354</v>
      </c>
      <c r="D327" s="640">
        <v>0</v>
      </c>
      <c r="E327" s="640">
        <v>0</v>
      </c>
      <c r="F327" s="640">
        <v>0</v>
      </c>
      <c r="G327" s="640">
        <v>0</v>
      </c>
      <c r="H327" s="640">
        <v>0</v>
      </c>
      <c r="I327" s="640">
        <v>0</v>
      </c>
      <c r="J327" s="640">
        <v>0</v>
      </c>
      <c r="K327" s="640">
        <v>0</v>
      </c>
      <c r="L327" s="640">
        <v>0</v>
      </c>
      <c r="M327" s="640">
        <v>0</v>
      </c>
      <c r="N327" s="640">
        <v>0</v>
      </c>
      <c r="O327" s="640">
        <v>0</v>
      </c>
      <c r="P327" s="640">
        <v>0.44999999999999996</v>
      </c>
      <c r="Q327" s="640">
        <v>0</v>
      </c>
      <c r="R327" s="640">
        <v>0</v>
      </c>
      <c r="S327" s="648">
        <v>0.44999999999999996</v>
      </c>
      <c r="U327" s="646" t="s">
        <v>354</v>
      </c>
      <c r="V327" s="640">
        <v>0</v>
      </c>
      <c r="W327" s="640">
        <v>0</v>
      </c>
      <c r="X327" s="640">
        <v>0</v>
      </c>
      <c r="Y327" s="640">
        <v>0</v>
      </c>
      <c r="Z327" s="640">
        <v>0</v>
      </c>
      <c r="AA327" s="640">
        <v>0</v>
      </c>
      <c r="AB327" s="640">
        <v>0</v>
      </c>
      <c r="AC327" s="640">
        <v>0</v>
      </c>
      <c r="AD327" s="640">
        <v>0</v>
      </c>
      <c r="AE327" s="640">
        <v>0</v>
      </c>
      <c r="AF327" s="640">
        <v>0</v>
      </c>
      <c r="AG327" s="640">
        <v>0</v>
      </c>
      <c r="AH327" s="640">
        <v>6</v>
      </c>
      <c r="AI327" s="640">
        <v>0</v>
      </c>
      <c r="AJ327" s="640">
        <v>0</v>
      </c>
      <c r="AK327" s="648">
        <v>6</v>
      </c>
    </row>
    <row r="328" spans="3:37" x14ac:dyDescent="0.2">
      <c r="C328" s="644" t="s">
        <v>83</v>
      </c>
      <c r="D328" s="645">
        <v>3.6733927919712848</v>
      </c>
      <c r="E328" s="645">
        <v>0</v>
      </c>
      <c r="F328" s="645">
        <v>271.01966816424783</v>
      </c>
      <c r="G328" s="645">
        <v>255.79122918902203</v>
      </c>
      <c r="H328" s="645">
        <v>0</v>
      </c>
      <c r="I328" s="645">
        <v>0</v>
      </c>
      <c r="J328" s="645">
        <v>116.96131138117599</v>
      </c>
      <c r="K328" s="645">
        <v>1.7266732887522405</v>
      </c>
      <c r="L328" s="645">
        <v>25.166558400865188</v>
      </c>
      <c r="M328" s="645">
        <v>5.238424175077693</v>
      </c>
      <c r="N328" s="645">
        <v>75.083762899489528</v>
      </c>
      <c r="O328" s="645">
        <v>2.8624530156397006</v>
      </c>
      <c r="P328" s="645">
        <v>541.90719860025752</v>
      </c>
      <c r="Q328" s="645">
        <v>34.744016552062419</v>
      </c>
      <c r="R328" s="645">
        <v>3.1559026365968594</v>
      </c>
      <c r="S328" s="645">
        <v>1337.3305910951583</v>
      </c>
      <c r="U328" s="644" t="s">
        <v>83</v>
      </c>
      <c r="V328" s="645">
        <v>1.5000162600463405</v>
      </c>
      <c r="W328" s="645">
        <v>0</v>
      </c>
      <c r="X328" s="645">
        <v>11.642988856720871</v>
      </c>
      <c r="Y328" s="645">
        <v>0</v>
      </c>
      <c r="Z328" s="645">
        <v>0</v>
      </c>
      <c r="AA328" s="645">
        <v>0</v>
      </c>
      <c r="AB328" s="645">
        <v>72.998047331393281</v>
      </c>
      <c r="AC328" s="645">
        <v>4.1448350868904589</v>
      </c>
      <c r="AD328" s="645">
        <v>56.30488079443672</v>
      </c>
      <c r="AE328" s="645">
        <v>108.92560601395611</v>
      </c>
      <c r="AF328" s="645">
        <v>123.16818516374138</v>
      </c>
      <c r="AG328" s="645">
        <v>8.5623521411059595</v>
      </c>
      <c r="AH328" s="645">
        <v>512.22753841958684</v>
      </c>
      <c r="AI328" s="645">
        <v>68.423763504668656</v>
      </c>
      <c r="AJ328" s="645">
        <v>16.512616402642333</v>
      </c>
      <c r="AK328" s="645">
        <v>984.4108299751889</v>
      </c>
    </row>
    <row r="329" spans="3:37" x14ac:dyDescent="0.2">
      <c r="C329" s="639" t="s">
        <v>84</v>
      </c>
      <c r="D329" s="640">
        <v>0</v>
      </c>
      <c r="E329" s="640">
        <v>0</v>
      </c>
      <c r="F329" s="640">
        <v>100.05515171814793</v>
      </c>
      <c r="G329" s="640">
        <v>11.196954266678716</v>
      </c>
      <c r="H329" s="640">
        <v>0</v>
      </c>
      <c r="I329" s="640">
        <v>0</v>
      </c>
      <c r="J329" s="640">
        <v>0</v>
      </c>
      <c r="K329" s="640">
        <v>0</v>
      </c>
      <c r="L329" s="640">
        <v>0</v>
      </c>
      <c r="M329" s="640">
        <v>0</v>
      </c>
      <c r="N329" s="640">
        <v>0</v>
      </c>
      <c r="O329" s="640">
        <v>0</v>
      </c>
      <c r="P329" s="640">
        <v>0</v>
      </c>
      <c r="Q329" s="640">
        <v>0</v>
      </c>
      <c r="R329" s="640">
        <v>3.9154347726113912</v>
      </c>
      <c r="S329" s="648">
        <v>115.16754075743803</v>
      </c>
      <c r="U329" s="639" t="s">
        <v>84</v>
      </c>
      <c r="V329" s="640">
        <v>0</v>
      </c>
      <c r="W329" s="640">
        <v>0</v>
      </c>
      <c r="X329" s="640">
        <v>57.953190468871433</v>
      </c>
      <c r="Y329" s="640">
        <v>0.51452681198611927</v>
      </c>
      <c r="Z329" s="640">
        <v>0</v>
      </c>
      <c r="AA329" s="640">
        <v>0</v>
      </c>
      <c r="AB329" s="640">
        <v>0</v>
      </c>
      <c r="AC329" s="640">
        <v>0</v>
      </c>
      <c r="AD329" s="640">
        <v>30.108432000732424</v>
      </c>
      <c r="AE329" s="640">
        <v>0</v>
      </c>
      <c r="AF329" s="640">
        <v>0</v>
      </c>
      <c r="AG329" s="640">
        <v>0</v>
      </c>
      <c r="AH329" s="640">
        <v>0</v>
      </c>
      <c r="AI329" s="640">
        <v>0</v>
      </c>
      <c r="AJ329" s="640">
        <v>20.543554244995118</v>
      </c>
      <c r="AK329" s="648">
        <v>109.1197035265851</v>
      </c>
    </row>
    <row r="330" spans="3:37" x14ac:dyDescent="0.2">
      <c r="C330" s="644" t="s">
        <v>85</v>
      </c>
      <c r="D330" s="645">
        <v>3.6733927919712848</v>
      </c>
      <c r="E330" s="645">
        <v>0</v>
      </c>
      <c r="F330" s="645">
        <v>371.07481988239573</v>
      </c>
      <c r="G330" s="645">
        <v>266.98818345570078</v>
      </c>
      <c r="H330" s="645">
        <v>0</v>
      </c>
      <c r="I330" s="645">
        <v>0</v>
      </c>
      <c r="J330" s="645">
        <v>116.96131138117599</v>
      </c>
      <c r="K330" s="645">
        <v>1.7266732887522405</v>
      </c>
      <c r="L330" s="645">
        <v>25.166558400865188</v>
      </c>
      <c r="M330" s="645">
        <v>5.238424175077693</v>
      </c>
      <c r="N330" s="645">
        <v>75.083762899489528</v>
      </c>
      <c r="O330" s="645">
        <v>2.8624530156397006</v>
      </c>
      <c r="P330" s="645">
        <v>541.90719860025752</v>
      </c>
      <c r="Q330" s="645">
        <v>34.744016552062419</v>
      </c>
      <c r="R330" s="645">
        <v>7.071337409208251</v>
      </c>
      <c r="S330" s="645">
        <v>1452.4981318525963</v>
      </c>
      <c r="U330" s="644" t="s">
        <v>85</v>
      </c>
      <c r="V330" s="645">
        <v>1.5000162600463405</v>
      </c>
      <c r="W330" s="645">
        <v>0</v>
      </c>
      <c r="X330" s="645">
        <v>69.596179325592303</v>
      </c>
      <c r="Y330" s="645">
        <v>0.51452681198611927</v>
      </c>
      <c r="Z330" s="645">
        <v>0</v>
      </c>
      <c r="AA330" s="645">
        <v>0</v>
      </c>
      <c r="AB330" s="645">
        <v>72.998047331393281</v>
      </c>
      <c r="AC330" s="645">
        <v>4.1448350868904589</v>
      </c>
      <c r="AD330" s="645">
        <v>86.413312795169148</v>
      </c>
      <c r="AE330" s="645">
        <v>108.92560601395611</v>
      </c>
      <c r="AF330" s="645">
        <v>123.16818516374138</v>
      </c>
      <c r="AG330" s="645">
        <v>8.5623521411059595</v>
      </c>
      <c r="AH330" s="645">
        <v>512.22753841958684</v>
      </c>
      <c r="AI330" s="645">
        <v>68.423763504668656</v>
      </c>
      <c r="AJ330" s="645">
        <v>37.056170647637451</v>
      </c>
      <c r="AK330" s="645">
        <v>1093.530533501774</v>
      </c>
    </row>
    <row r="331" spans="3:37" x14ac:dyDescent="0.2">
      <c r="C331" s="634"/>
      <c r="D331" s="634"/>
      <c r="E331" s="634"/>
      <c r="F331" s="634"/>
      <c r="G331" s="634"/>
      <c r="H331" s="634"/>
      <c r="I331" s="634"/>
      <c r="J331" s="634"/>
      <c r="K331" s="634"/>
      <c r="L331" s="634"/>
      <c r="M331" s="634"/>
      <c r="N331" s="634"/>
      <c r="O331" s="634"/>
      <c r="P331" s="634"/>
      <c r="Q331" s="634"/>
      <c r="R331" s="634"/>
      <c r="S331" s="634"/>
      <c r="U331" s="634"/>
      <c r="V331" s="634"/>
      <c r="W331" s="634"/>
      <c r="X331" s="634"/>
      <c r="Y331" s="634"/>
      <c r="Z331" s="634"/>
      <c r="AA331" s="634"/>
      <c r="AB331" s="634"/>
      <c r="AC331" s="634"/>
      <c r="AD331" s="634"/>
      <c r="AE331" s="634"/>
      <c r="AF331" s="634"/>
      <c r="AG331" s="634"/>
      <c r="AH331" s="634"/>
      <c r="AI331" s="634"/>
      <c r="AJ331" s="634"/>
      <c r="AK331" s="634"/>
    </row>
    <row r="332" spans="3:37" x14ac:dyDescent="0.2">
      <c r="C332" s="634"/>
      <c r="D332" s="634"/>
      <c r="E332" s="634"/>
      <c r="F332" s="634"/>
      <c r="G332" s="634"/>
      <c r="H332" s="634"/>
      <c r="I332" s="634"/>
      <c r="J332" s="634"/>
      <c r="K332" s="634"/>
      <c r="L332" s="634"/>
      <c r="M332" s="634"/>
      <c r="N332" s="634"/>
      <c r="O332" s="634"/>
      <c r="P332" s="634"/>
      <c r="Q332" s="634"/>
      <c r="R332" s="634"/>
      <c r="S332" s="634"/>
      <c r="U332" s="634"/>
      <c r="V332" s="634"/>
      <c r="W332" s="634"/>
      <c r="X332" s="634"/>
      <c r="Y332" s="634"/>
      <c r="Z332" s="634"/>
      <c r="AA332" s="634"/>
      <c r="AB332" s="634"/>
      <c r="AC332" s="634"/>
      <c r="AD332" s="634"/>
      <c r="AE332" s="634"/>
      <c r="AF332" s="634"/>
      <c r="AG332" s="634"/>
      <c r="AH332" s="634"/>
      <c r="AI332" s="634"/>
      <c r="AJ332" s="634"/>
      <c r="AK332" s="634"/>
    </row>
  </sheetData>
  <mergeCells count="236">
    <mergeCell ref="C2:S2"/>
    <mergeCell ref="U2:AK2"/>
    <mergeCell ref="C8:S8"/>
    <mergeCell ref="U8:AK8"/>
    <mergeCell ref="C10:C11"/>
    <mergeCell ref="D10:D11"/>
    <mergeCell ref="E10:E11"/>
    <mergeCell ref="F10:F11"/>
    <mergeCell ref="G10:G11"/>
    <mergeCell ref="H10:H11"/>
    <mergeCell ref="I10:I11"/>
    <mergeCell ref="J10:O10"/>
    <mergeCell ref="AH10:AH11"/>
    <mergeCell ref="AI10:AI11"/>
    <mergeCell ref="AJ10:AJ11"/>
    <mergeCell ref="AK10:AK11"/>
    <mergeCell ref="C44:S44"/>
    <mergeCell ref="U44:AK44"/>
    <mergeCell ref="W10:W11"/>
    <mergeCell ref="X10:X11"/>
    <mergeCell ref="Y10:Y11"/>
    <mergeCell ref="Z10:Z11"/>
    <mergeCell ref="AA10:AA11"/>
    <mergeCell ref="AB10:AG10"/>
    <mergeCell ref="P10:P11"/>
    <mergeCell ref="Q10:Q11"/>
    <mergeCell ref="R10:R11"/>
    <mergeCell ref="S10:S11"/>
    <mergeCell ref="U10:U11"/>
    <mergeCell ref="V10:V11"/>
    <mergeCell ref="I46:I47"/>
    <mergeCell ref="J46:O46"/>
    <mergeCell ref="P46:P47"/>
    <mergeCell ref="Q46:Q47"/>
    <mergeCell ref="R46:R47"/>
    <mergeCell ref="S46:S47"/>
    <mergeCell ref="C46:C47"/>
    <mergeCell ref="D46:D47"/>
    <mergeCell ref="E46:E47"/>
    <mergeCell ref="F46:F47"/>
    <mergeCell ref="G46:G47"/>
    <mergeCell ref="H46:H47"/>
    <mergeCell ref="AA46:AA47"/>
    <mergeCell ref="AB46:AG46"/>
    <mergeCell ref="AH46:AH47"/>
    <mergeCell ref="AI46:AI47"/>
    <mergeCell ref="AJ46:AJ47"/>
    <mergeCell ref="AK46:AK47"/>
    <mergeCell ref="U46:U47"/>
    <mergeCell ref="V46:V47"/>
    <mergeCell ref="W46:W47"/>
    <mergeCell ref="X46:X47"/>
    <mergeCell ref="Y46:Y47"/>
    <mergeCell ref="Z46:Z47"/>
    <mergeCell ref="C80:S80"/>
    <mergeCell ref="U80:AK80"/>
    <mergeCell ref="C82:C83"/>
    <mergeCell ref="D82:D83"/>
    <mergeCell ref="E82:E83"/>
    <mergeCell ref="F82:F83"/>
    <mergeCell ref="G82:G83"/>
    <mergeCell ref="H82:H83"/>
    <mergeCell ref="I82:I83"/>
    <mergeCell ref="J82:O82"/>
    <mergeCell ref="AH82:AH83"/>
    <mergeCell ref="AI82:AI83"/>
    <mergeCell ref="AJ82:AJ83"/>
    <mergeCell ref="AK82:AK83"/>
    <mergeCell ref="C116:S116"/>
    <mergeCell ref="U116:AK116"/>
    <mergeCell ref="W82:W83"/>
    <mergeCell ref="X82:X83"/>
    <mergeCell ref="Y82:Y83"/>
    <mergeCell ref="Z82:Z83"/>
    <mergeCell ref="AA82:AA83"/>
    <mergeCell ref="AB82:AG82"/>
    <mergeCell ref="P82:P83"/>
    <mergeCell ref="Q82:Q83"/>
    <mergeCell ref="R82:R83"/>
    <mergeCell ref="S82:S83"/>
    <mergeCell ref="U82:U83"/>
    <mergeCell ref="V82:V83"/>
    <mergeCell ref="I118:I119"/>
    <mergeCell ref="J118:O118"/>
    <mergeCell ref="P118:P119"/>
    <mergeCell ref="Q118:Q119"/>
    <mergeCell ref="R118:R119"/>
    <mergeCell ref="S118:S119"/>
    <mergeCell ref="C118:C119"/>
    <mergeCell ref="D118:D119"/>
    <mergeCell ref="E118:E119"/>
    <mergeCell ref="F118:F119"/>
    <mergeCell ref="G118:G119"/>
    <mergeCell ref="H118:H119"/>
    <mergeCell ref="AA118:AA119"/>
    <mergeCell ref="AB118:AG118"/>
    <mergeCell ref="AH118:AH119"/>
    <mergeCell ref="AI118:AI119"/>
    <mergeCell ref="AJ118:AJ119"/>
    <mergeCell ref="AK118:AK119"/>
    <mergeCell ref="U118:U119"/>
    <mergeCell ref="V118:V119"/>
    <mergeCell ref="W118:W119"/>
    <mergeCell ref="X118:X119"/>
    <mergeCell ref="Y118:Y119"/>
    <mergeCell ref="Z118:Z119"/>
    <mergeCell ref="C152:S152"/>
    <mergeCell ref="U152:AK152"/>
    <mergeCell ref="C154:C155"/>
    <mergeCell ref="D154:D155"/>
    <mergeCell ref="E154:E155"/>
    <mergeCell ref="F154:F155"/>
    <mergeCell ref="G154:G155"/>
    <mergeCell ref="H154:H155"/>
    <mergeCell ref="I154:I155"/>
    <mergeCell ref="J154:O154"/>
    <mergeCell ref="AH154:AH155"/>
    <mergeCell ref="AI154:AI155"/>
    <mergeCell ref="AJ154:AJ155"/>
    <mergeCell ref="AK154:AK155"/>
    <mergeCell ref="C188:S188"/>
    <mergeCell ref="U188:AK188"/>
    <mergeCell ref="W154:W155"/>
    <mergeCell ref="X154:X155"/>
    <mergeCell ref="Y154:Y155"/>
    <mergeCell ref="Z154:Z155"/>
    <mergeCell ref="AA154:AA155"/>
    <mergeCell ref="AB154:AG154"/>
    <mergeCell ref="P154:P155"/>
    <mergeCell ref="Q154:Q155"/>
    <mergeCell ref="R154:R155"/>
    <mergeCell ref="S154:S155"/>
    <mergeCell ref="U154:U155"/>
    <mergeCell ref="V154:V155"/>
    <mergeCell ref="I190:I191"/>
    <mergeCell ref="J190:O190"/>
    <mergeCell ref="P190:P191"/>
    <mergeCell ref="Q190:Q191"/>
    <mergeCell ref="R190:R191"/>
    <mergeCell ref="S190:S191"/>
    <mergeCell ref="C190:C191"/>
    <mergeCell ref="D190:D191"/>
    <mergeCell ref="E190:E191"/>
    <mergeCell ref="F190:F191"/>
    <mergeCell ref="G190:G191"/>
    <mergeCell ref="H190:H191"/>
    <mergeCell ref="AA190:AA191"/>
    <mergeCell ref="AB190:AG190"/>
    <mergeCell ref="AH190:AH191"/>
    <mergeCell ref="AI190:AI191"/>
    <mergeCell ref="AJ190:AJ191"/>
    <mergeCell ref="AK190:AK191"/>
    <mergeCell ref="U190:U191"/>
    <mergeCell ref="V190:V191"/>
    <mergeCell ref="W190:W191"/>
    <mergeCell ref="X190:X191"/>
    <mergeCell ref="Y190:Y191"/>
    <mergeCell ref="Z190:Z191"/>
    <mergeCell ref="C224:S224"/>
    <mergeCell ref="U224:AK224"/>
    <mergeCell ref="C226:C227"/>
    <mergeCell ref="D226:D227"/>
    <mergeCell ref="E226:E227"/>
    <mergeCell ref="F226:F227"/>
    <mergeCell ref="G226:G227"/>
    <mergeCell ref="H226:H227"/>
    <mergeCell ref="I226:I227"/>
    <mergeCell ref="J226:O226"/>
    <mergeCell ref="AH226:AH227"/>
    <mergeCell ref="AI226:AI227"/>
    <mergeCell ref="AJ226:AJ227"/>
    <mergeCell ref="AK226:AK227"/>
    <mergeCell ref="C296:S296"/>
    <mergeCell ref="U296:AK296"/>
    <mergeCell ref="C260:S260"/>
    <mergeCell ref="U260:AK260"/>
    <mergeCell ref="W226:W227"/>
    <mergeCell ref="X226:X227"/>
    <mergeCell ref="Y226:Y227"/>
    <mergeCell ref="Z226:Z227"/>
    <mergeCell ref="AA226:AA227"/>
    <mergeCell ref="AB226:AG226"/>
    <mergeCell ref="P226:P227"/>
    <mergeCell ref="Q226:Q227"/>
    <mergeCell ref="R226:R227"/>
    <mergeCell ref="S226:S227"/>
    <mergeCell ref="U226:U227"/>
    <mergeCell ref="V226:V227"/>
    <mergeCell ref="I262:I263"/>
    <mergeCell ref="J262:O262"/>
    <mergeCell ref="P262:P263"/>
    <mergeCell ref="Q262:Q263"/>
    <mergeCell ref="R262:R263"/>
    <mergeCell ref="S262:S263"/>
    <mergeCell ref="C262:C263"/>
    <mergeCell ref="D262:D263"/>
    <mergeCell ref="E262:E263"/>
    <mergeCell ref="F262:F263"/>
    <mergeCell ref="G262:G263"/>
    <mergeCell ref="H262:H263"/>
    <mergeCell ref="AH262:AH263"/>
    <mergeCell ref="AI262:AI263"/>
    <mergeCell ref="AJ262:AJ263"/>
    <mergeCell ref="AK262:AK263"/>
    <mergeCell ref="U262:U263"/>
    <mergeCell ref="V262:V263"/>
    <mergeCell ref="W262:W263"/>
    <mergeCell ref="X262:X263"/>
    <mergeCell ref="Y262:Y263"/>
    <mergeCell ref="Z262:Z263"/>
    <mergeCell ref="AA262:AA263"/>
    <mergeCell ref="AB262:AG262"/>
    <mergeCell ref="AI298:AI299"/>
    <mergeCell ref="AJ298:AJ299"/>
    <mergeCell ref="AK298:AK299"/>
    <mergeCell ref="W298:W299"/>
    <mergeCell ref="X298:X299"/>
    <mergeCell ref="Y298:Y299"/>
    <mergeCell ref="Z298:Z299"/>
    <mergeCell ref="C298:C299"/>
    <mergeCell ref="D298:D299"/>
    <mergeCell ref="E298:E299"/>
    <mergeCell ref="F298:F299"/>
    <mergeCell ref="G298:G299"/>
    <mergeCell ref="H298:H299"/>
    <mergeCell ref="I298:I299"/>
    <mergeCell ref="J298:O298"/>
    <mergeCell ref="AH298:AH299"/>
    <mergeCell ref="AA298:AA299"/>
    <mergeCell ref="AB298:AG298"/>
    <mergeCell ref="P298:P299"/>
    <mergeCell ref="Q298:Q299"/>
    <mergeCell ref="R298:R299"/>
    <mergeCell ref="S298:S299"/>
    <mergeCell ref="U298:U299"/>
    <mergeCell ref="V298:V299"/>
  </mergeCells>
  <conditionalFormatting sqref="D12:S18">
    <cfRule type="expression" dxfId="2393" priority="895">
      <formula>LEN(TRIM(D12))=0</formula>
    </cfRule>
  </conditionalFormatting>
  <conditionalFormatting sqref="D20:S32">
    <cfRule type="cellIs" dxfId="2392" priority="871" operator="equal">
      <formula>0</formula>
    </cfRule>
    <cfRule type="expression" dxfId="2391" priority="872">
      <formula>LEN(TRIM(D20))=0</formula>
    </cfRule>
  </conditionalFormatting>
  <conditionalFormatting sqref="D34:S42">
    <cfRule type="expression" dxfId="2390" priority="860">
      <formula>LEN(TRIM(D34))=0</formula>
    </cfRule>
    <cfRule type="cellIs" dxfId="2389" priority="859" operator="equal">
      <formula>0</formula>
    </cfRule>
  </conditionalFormatting>
  <conditionalFormatting sqref="D48:S54">
    <cfRule type="expression" dxfId="2388" priority="854">
      <formula>LEN(TRIM(D48))=0</formula>
    </cfRule>
  </conditionalFormatting>
  <conditionalFormatting sqref="D56:S68">
    <cfRule type="expression" dxfId="2387" priority="831">
      <formula>LEN(TRIM(D56))=0</formula>
    </cfRule>
    <cfRule type="cellIs" dxfId="2386" priority="830" operator="equal">
      <formula>0</formula>
    </cfRule>
  </conditionalFormatting>
  <conditionalFormatting sqref="D70:S78">
    <cfRule type="expression" dxfId="2385" priority="819">
      <formula>LEN(TRIM(D70))=0</formula>
    </cfRule>
    <cfRule type="cellIs" dxfId="2384" priority="818" operator="equal">
      <formula>0</formula>
    </cfRule>
  </conditionalFormatting>
  <conditionalFormatting sqref="D84:S90">
    <cfRule type="expression" dxfId="2383" priority="813">
      <formula>LEN(TRIM(D84))=0</formula>
    </cfRule>
  </conditionalFormatting>
  <conditionalFormatting sqref="D92:S104">
    <cfRule type="expression" dxfId="2382" priority="790">
      <formula>LEN(TRIM(D92))=0</formula>
    </cfRule>
    <cfRule type="cellIs" dxfId="2381" priority="789" operator="equal">
      <formula>0</formula>
    </cfRule>
  </conditionalFormatting>
  <conditionalFormatting sqref="D106:S114">
    <cfRule type="expression" dxfId="2380" priority="778">
      <formula>LEN(TRIM(D106))=0</formula>
    </cfRule>
    <cfRule type="cellIs" dxfId="2379" priority="777" operator="equal">
      <formula>0</formula>
    </cfRule>
  </conditionalFormatting>
  <conditionalFormatting sqref="D120:S126">
    <cfRule type="expression" dxfId="2378" priority="772">
      <formula>LEN(TRIM(D120))=0</formula>
    </cfRule>
  </conditionalFormatting>
  <conditionalFormatting sqref="D128:S140">
    <cfRule type="expression" dxfId="2377" priority="749">
      <formula>LEN(TRIM(D128))=0</formula>
    </cfRule>
    <cfRule type="cellIs" dxfId="2376" priority="748" operator="equal">
      <formula>0</formula>
    </cfRule>
  </conditionalFormatting>
  <conditionalFormatting sqref="D142:S150">
    <cfRule type="expression" dxfId="2375" priority="737">
      <formula>LEN(TRIM(D142))=0</formula>
    </cfRule>
    <cfRule type="cellIs" dxfId="2374" priority="736" operator="equal">
      <formula>0</formula>
    </cfRule>
  </conditionalFormatting>
  <conditionalFormatting sqref="D156:S162">
    <cfRule type="expression" dxfId="2373" priority="731">
      <formula>LEN(TRIM(D156))=0</formula>
    </cfRule>
  </conditionalFormatting>
  <conditionalFormatting sqref="D164:S176">
    <cfRule type="cellIs" dxfId="2372" priority="707" operator="equal">
      <formula>0</formula>
    </cfRule>
    <cfRule type="expression" dxfId="2371" priority="708">
      <formula>LEN(TRIM(D164))=0</formula>
    </cfRule>
  </conditionalFormatting>
  <conditionalFormatting sqref="D178:S186">
    <cfRule type="cellIs" dxfId="2370" priority="695" operator="equal">
      <formula>0</formula>
    </cfRule>
    <cfRule type="expression" dxfId="2369" priority="696">
      <formula>LEN(TRIM(D178))=0</formula>
    </cfRule>
  </conditionalFormatting>
  <conditionalFormatting sqref="D192:S198">
    <cfRule type="expression" dxfId="2368" priority="690">
      <formula>LEN(TRIM(D192))=0</formula>
    </cfRule>
  </conditionalFormatting>
  <conditionalFormatting sqref="D200:S212">
    <cfRule type="expression" dxfId="2367" priority="667">
      <formula>LEN(TRIM(D200))=0</formula>
    </cfRule>
    <cfRule type="cellIs" dxfId="2366" priority="666" operator="equal">
      <formula>0</formula>
    </cfRule>
  </conditionalFormatting>
  <conditionalFormatting sqref="D214:S222">
    <cfRule type="cellIs" dxfId="2365" priority="654" operator="equal">
      <formula>0</formula>
    </cfRule>
    <cfRule type="expression" dxfId="2364" priority="655">
      <formula>LEN(TRIM(D214))=0</formula>
    </cfRule>
  </conditionalFormatting>
  <conditionalFormatting sqref="D228:S234">
    <cfRule type="expression" dxfId="2363" priority="649">
      <formula>LEN(TRIM(D228))=0</formula>
    </cfRule>
  </conditionalFormatting>
  <conditionalFormatting sqref="D236:S248">
    <cfRule type="cellIs" dxfId="2362" priority="625" operator="equal">
      <formula>0</formula>
    </cfRule>
    <cfRule type="expression" dxfId="2361" priority="626">
      <formula>LEN(TRIM(D236))=0</formula>
    </cfRule>
  </conditionalFormatting>
  <conditionalFormatting sqref="D250:S258">
    <cfRule type="cellIs" dxfId="2360" priority="613" operator="equal">
      <formula>0</formula>
    </cfRule>
    <cfRule type="expression" dxfId="2359" priority="614">
      <formula>LEN(TRIM(D250))=0</formula>
    </cfRule>
  </conditionalFormatting>
  <conditionalFormatting sqref="D264:S270">
    <cfRule type="expression" dxfId="2358" priority="608">
      <formula>LEN(TRIM(D264))=0</formula>
    </cfRule>
  </conditionalFormatting>
  <conditionalFormatting sqref="D272:S284">
    <cfRule type="cellIs" dxfId="2357" priority="584" operator="equal">
      <formula>0</formula>
    </cfRule>
    <cfRule type="expression" dxfId="2356" priority="585">
      <formula>LEN(TRIM(D272))=0</formula>
    </cfRule>
  </conditionalFormatting>
  <conditionalFormatting sqref="D286:S294">
    <cfRule type="cellIs" dxfId="2355" priority="572" operator="equal">
      <formula>0</formula>
    </cfRule>
    <cfRule type="expression" dxfId="2354" priority="573">
      <formula>LEN(TRIM(D286))=0</formula>
    </cfRule>
  </conditionalFormatting>
  <conditionalFormatting sqref="D300:S306">
    <cfRule type="expression" dxfId="2353" priority="567">
      <formula>LEN(TRIM(D300))=0</formula>
    </cfRule>
  </conditionalFormatting>
  <conditionalFormatting sqref="D308:S320">
    <cfRule type="expression" dxfId="2352" priority="544">
      <formula>LEN(TRIM(D308))=0</formula>
    </cfRule>
    <cfRule type="cellIs" dxfId="2351" priority="543" operator="equal">
      <formula>0</formula>
    </cfRule>
  </conditionalFormatting>
  <conditionalFormatting sqref="D322:S330">
    <cfRule type="expression" dxfId="2350" priority="532">
      <formula>LEN(TRIM(D322))=0</formula>
    </cfRule>
    <cfRule type="cellIs" dxfId="2349" priority="531" operator="equal">
      <formula>0</formula>
    </cfRule>
  </conditionalFormatting>
  <conditionalFormatting sqref="G12:G14 Q12:S14 D12:F17 E15:I17 P15:S17 D18:S18">
    <cfRule type="cellIs" dxfId="2348" priority="879" operator="equal">
      <formula>0</formula>
    </cfRule>
  </conditionalFormatting>
  <conditionalFormatting sqref="G48:G50 Q48:S50 D48:F53 E51:I53 P51:S53 D54:S54">
    <cfRule type="cellIs" dxfId="2347" priority="838" operator="equal">
      <formula>0</formula>
    </cfRule>
  </conditionalFormatting>
  <conditionalFormatting sqref="G84:G86 Q84:S86 D84:F89 E87:I89 P87:S89 D90:S90">
    <cfRule type="cellIs" dxfId="2346" priority="797" operator="equal">
      <formula>0</formula>
    </cfRule>
  </conditionalFormatting>
  <conditionalFormatting sqref="G120:G122 Q120:S122 D120:F125 E123:I125 P123:S125 D126:S126">
    <cfRule type="cellIs" dxfId="2345" priority="756" operator="equal">
      <formula>0</formula>
    </cfRule>
  </conditionalFormatting>
  <conditionalFormatting sqref="G156:G158 Q156:S158 D156:F161 E159:I161 P159:S161 D162:S162">
    <cfRule type="cellIs" dxfId="2344" priority="715" operator="equal">
      <formula>0</formula>
    </cfRule>
  </conditionalFormatting>
  <conditionalFormatting sqref="G192:G194 Q192:S194 D192:F197 E195:I197 P195:S197 D198:S198">
    <cfRule type="cellIs" dxfId="2343" priority="674" operator="equal">
      <formula>0</formula>
    </cfRule>
  </conditionalFormatting>
  <conditionalFormatting sqref="G228:G230 Q228:S230 D228:F233 E231:I233 P231:S233 D234:S234">
    <cfRule type="cellIs" dxfId="2342" priority="633" operator="equal">
      <formula>0</formula>
    </cfRule>
  </conditionalFormatting>
  <conditionalFormatting sqref="G264:G266 Q264:S266 D264:F269 E267:I269 P267:S269 D270:S270">
    <cfRule type="cellIs" dxfId="2341" priority="592" operator="equal">
      <formula>0</formula>
    </cfRule>
  </conditionalFormatting>
  <conditionalFormatting sqref="G300:G302 Q300:S302 D300:F305 E303:I305 P303:S305 D306:S306">
    <cfRule type="cellIs" dxfId="2340" priority="551" operator="equal">
      <formula>0</formula>
    </cfRule>
  </conditionalFormatting>
  <conditionalFormatting sqref="H12:I17">
    <cfRule type="cellIs" dxfId="2339" priority="881" operator="equal">
      <formula>0</formula>
    </cfRule>
  </conditionalFormatting>
  <conditionalFormatting sqref="H48:I53">
    <cfRule type="cellIs" dxfId="2338" priority="840" operator="equal">
      <formula>0</formula>
    </cfRule>
  </conditionalFormatting>
  <conditionalFormatting sqref="H84:I89">
    <cfRule type="cellIs" dxfId="2337" priority="799" operator="equal">
      <formula>0</formula>
    </cfRule>
  </conditionalFormatting>
  <conditionalFormatting sqref="H120:I125">
    <cfRule type="cellIs" dxfId="2336" priority="758" operator="equal">
      <formula>0</formula>
    </cfRule>
  </conditionalFormatting>
  <conditionalFormatting sqref="H156:I161">
    <cfRule type="cellIs" dxfId="2335" priority="717" operator="equal">
      <formula>0</formula>
    </cfRule>
  </conditionalFormatting>
  <conditionalFormatting sqref="H192:I197">
    <cfRule type="cellIs" dxfId="2334" priority="676" operator="equal">
      <formula>0</formula>
    </cfRule>
  </conditionalFormatting>
  <conditionalFormatting sqref="H228:I233">
    <cfRule type="cellIs" dxfId="2333" priority="635" operator="equal">
      <formula>0</formula>
    </cfRule>
  </conditionalFormatting>
  <conditionalFormatting sqref="H264:I269">
    <cfRule type="cellIs" dxfId="2332" priority="594" operator="equal">
      <formula>0</formula>
    </cfRule>
  </conditionalFormatting>
  <conditionalFormatting sqref="H300:I305">
    <cfRule type="cellIs" dxfId="2331" priority="553" operator="equal">
      <formula>0</formula>
    </cfRule>
  </conditionalFormatting>
  <conditionalFormatting sqref="J11:O17">
    <cfRule type="cellIs" dxfId="2330" priority="103" operator="equal">
      <formula>0</formula>
    </cfRule>
  </conditionalFormatting>
  <conditionalFormatting sqref="J47:O53">
    <cfRule type="cellIs" dxfId="2329" priority="91" operator="equal">
      <formula>0</formula>
    </cfRule>
  </conditionalFormatting>
  <conditionalFormatting sqref="J83:O89">
    <cfRule type="cellIs" dxfId="2328" priority="79" operator="equal">
      <formula>0</formula>
    </cfRule>
  </conditionalFormatting>
  <conditionalFormatting sqref="J119:O125">
    <cfRule type="cellIs" dxfId="2327" priority="67" operator="equal">
      <formula>0</formula>
    </cfRule>
  </conditionalFormatting>
  <conditionalFormatting sqref="J155:O161">
    <cfRule type="cellIs" dxfId="2326" priority="55" operator="equal">
      <formula>0</formula>
    </cfRule>
  </conditionalFormatting>
  <conditionalFormatting sqref="J191:O197">
    <cfRule type="cellIs" dxfId="2325" priority="43" operator="equal">
      <formula>0</formula>
    </cfRule>
  </conditionalFormatting>
  <conditionalFormatting sqref="J227:O233">
    <cfRule type="cellIs" dxfId="2324" priority="31" operator="equal">
      <formula>0</formula>
    </cfRule>
  </conditionalFormatting>
  <conditionalFormatting sqref="J263:O269">
    <cfRule type="cellIs" dxfId="2323" priority="19" operator="equal">
      <formula>0</formula>
    </cfRule>
  </conditionalFormatting>
  <conditionalFormatting sqref="J299:O305">
    <cfRule type="cellIs" dxfId="2322" priority="7" operator="equal">
      <formula>0</formula>
    </cfRule>
  </conditionalFormatting>
  <conditionalFormatting sqref="K12:O12">
    <cfRule type="cellIs" dxfId="2321" priority="884" operator="equal">
      <formula>0</formula>
    </cfRule>
  </conditionalFormatting>
  <conditionalFormatting sqref="K48:O48">
    <cfRule type="cellIs" dxfId="2320" priority="843" operator="equal">
      <formula>0</formula>
    </cfRule>
  </conditionalFormatting>
  <conditionalFormatting sqref="K84:O84">
    <cfRule type="cellIs" dxfId="2319" priority="802" operator="equal">
      <formula>0</formula>
    </cfRule>
  </conditionalFormatting>
  <conditionalFormatting sqref="K120:O120">
    <cfRule type="cellIs" dxfId="2318" priority="761" operator="equal">
      <formula>0</formula>
    </cfRule>
  </conditionalFormatting>
  <conditionalFormatting sqref="K156:O156">
    <cfRule type="cellIs" dxfId="2317" priority="720" operator="equal">
      <formula>0</formula>
    </cfRule>
  </conditionalFormatting>
  <conditionalFormatting sqref="K192:O192">
    <cfRule type="cellIs" dxfId="2316" priority="679" operator="equal">
      <formula>0</formula>
    </cfRule>
  </conditionalFormatting>
  <conditionalFormatting sqref="K228:O228">
    <cfRule type="cellIs" dxfId="2315" priority="638" operator="equal">
      <formula>0</formula>
    </cfRule>
  </conditionalFormatting>
  <conditionalFormatting sqref="K264:O264">
    <cfRule type="cellIs" dxfId="2314" priority="597" operator="equal">
      <formula>0</formula>
    </cfRule>
  </conditionalFormatting>
  <conditionalFormatting sqref="K300:O300">
    <cfRule type="cellIs" dxfId="2313" priority="556" operator="equal">
      <formula>0</formula>
    </cfRule>
  </conditionalFormatting>
  <conditionalFormatting sqref="P12:P17">
    <cfRule type="cellIs" dxfId="2312" priority="880" operator="equal">
      <formula>0</formula>
    </cfRule>
  </conditionalFormatting>
  <conditionalFormatting sqref="P48:P53">
    <cfRule type="cellIs" dxfId="2311" priority="839" operator="equal">
      <formula>0</formula>
    </cfRule>
  </conditionalFormatting>
  <conditionalFormatting sqref="P84:P89">
    <cfRule type="cellIs" dxfId="2310" priority="798" operator="equal">
      <formula>0</formula>
    </cfRule>
  </conditionalFormatting>
  <conditionalFormatting sqref="P120:P125">
    <cfRule type="cellIs" dxfId="2309" priority="757" operator="equal">
      <formula>0</formula>
    </cfRule>
  </conditionalFormatting>
  <conditionalFormatting sqref="P156:P161">
    <cfRule type="cellIs" dxfId="2308" priority="716" operator="equal">
      <formula>0</formula>
    </cfRule>
  </conditionalFormatting>
  <conditionalFormatting sqref="P192:P197">
    <cfRule type="cellIs" dxfId="2307" priority="675" operator="equal">
      <formula>0</formula>
    </cfRule>
  </conditionalFormatting>
  <conditionalFormatting sqref="P228:P233">
    <cfRule type="cellIs" dxfId="2306" priority="634" operator="equal">
      <formula>0</formula>
    </cfRule>
  </conditionalFormatting>
  <conditionalFormatting sqref="P264:P269">
    <cfRule type="cellIs" dxfId="2305" priority="593" operator="equal">
      <formula>0</formula>
    </cfRule>
  </conditionalFormatting>
  <conditionalFormatting sqref="P300:P305">
    <cfRule type="cellIs" dxfId="2304" priority="552" operator="equal">
      <formula>0</formula>
    </cfRule>
  </conditionalFormatting>
  <conditionalFormatting sqref="V12:AK18">
    <cfRule type="expression" dxfId="2303" priority="485">
      <formula>LEN(TRIM(V12))=0</formula>
    </cfRule>
  </conditionalFormatting>
  <conditionalFormatting sqref="V20:AK32">
    <cfRule type="expression" dxfId="2302" priority="462">
      <formula>LEN(TRIM(V20))=0</formula>
    </cfRule>
    <cfRule type="cellIs" dxfId="2301" priority="461" operator="equal">
      <formula>0</formula>
    </cfRule>
  </conditionalFormatting>
  <conditionalFormatting sqref="V34:AK42">
    <cfRule type="expression" dxfId="2300" priority="450">
      <formula>LEN(TRIM(V34))=0</formula>
    </cfRule>
    <cfRule type="cellIs" dxfId="2299" priority="449" operator="equal">
      <formula>0</formula>
    </cfRule>
  </conditionalFormatting>
  <conditionalFormatting sqref="V48:AK54">
    <cfRule type="expression" dxfId="2298" priority="444">
      <formula>LEN(TRIM(V48))=0</formula>
    </cfRule>
  </conditionalFormatting>
  <conditionalFormatting sqref="V56:AK68">
    <cfRule type="expression" dxfId="2297" priority="421">
      <formula>LEN(TRIM(V56))=0</formula>
    </cfRule>
    <cfRule type="cellIs" dxfId="2296" priority="420" operator="equal">
      <formula>0</formula>
    </cfRule>
  </conditionalFormatting>
  <conditionalFormatting sqref="V70:AK78">
    <cfRule type="expression" dxfId="2295" priority="409">
      <formula>LEN(TRIM(V70))=0</formula>
    </cfRule>
    <cfRule type="cellIs" dxfId="2294" priority="408" operator="equal">
      <formula>0</formula>
    </cfRule>
  </conditionalFormatting>
  <conditionalFormatting sqref="V84:AK90">
    <cfRule type="expression" dxfId="2293" priority="403">
      <formula>LEN(TRIM(V84))=0</formula>
    </cfRule>
  </conditionalFormatting>
  <conditionalFormatting sqref="V92:AK104">
    <cfRule type="expression" dxfId="2292" priority="380">
      <formula>LEN(TRIM(V92))=0</formula>
    </cfRule>
    <cfRule type="cellIs" dxfId="2291" priority="379" operator="equal">
      <formula>0</formula>
    </cfRule>
  </conditionalFormatting>
  <conditionalFormatting sqref="V106:AK114">
    <cfRule type="expression" dxfId="2290" priority="368">
      <formula>LEN(TRIM(V106))=0</formula>
    </cfRule>
    <cfRule type="cellIs" dxfId="2289" priority="367" operator="equal">
      <formula>0</formula>
    </cfRule>
  </conditionalFormatting>
  <conditionalFormatting sqref="V120:AK126">
    <cfRule type="expression" dxfId="2288" priority="362">
      <formula>LEN(TRIM(V120))=0</formula>
    </cfRule>
  </conditionalFormatting>
  <conditionalFormatting sqref="V128:AK140">
    <cfRule type="expression" dxfId="2287" priority="339">
      <formula>LEN(TRIM(V128))=0</formula>
    </cfRule>
    <cfRule type="cellIs" dxfId="2286" priority="338" operator="equal">
      <formula>0</formula>
    </cfRule>
  </conditionalFormatting>
  <conditionalFormatting sqref="V142:AK150">
    <cfRule type="expression" dxfId="2285" priority="327">
      <formula>LEN(TRIM(V142))=0</formula>
    </cfRule>
    <cfRule type="cellIs" dxfId="2284" priority="326" operator="equal">
      <formula>0</formula>
    </cfRule>
  </conditionalFormatting>
  <conditionalFormatting sqref="V156:AK162">
    <cfRule type="expression" dxfId="2283" priority="321">
      <formula>LEN(TRIM(V156))=0</formula>
    </cfRule>
  </conditionalFormatting>
  <conditionalFormatting sqref="V164:AK176">
    <cfRule type="expression" dxfId="2282" priority="298">
      <formula>LEN(TRIM(V164))=0</formula>
    </cfRule>
    <cfRule type="cellIs" dxfId="2281" priority="297" operator="equal">
      <formula>0</formula>
    </cfRule>
  </conditionalFormatting>
  <conditionalFormatting sqref="V178:AK186">
    <cfRule type="expression" dxfId="2280" priority="286">
      <formula>LEN(TRIM(V178))=0</formula>
    </cfRule>
    <cfRule type="cellIs" dxfId="2279" priority="285" operator="equal">
      <formula>0</formula>
    </cfRule>
  </conditionalFormatting>
  <conditionalFormatting sqref="V192:AK198">
    <cfRule type="expression" dxfId="2278" priority="280">
      <formula>LEN(TRIM(V192))=0</formula>
    </cfRule>
  </conditionalFormatting>
  <conditionalFormatting sqref="V200:AK212">
    <cfRule type="cellIs" dxfId="2277" priority="256" operator="equal">
      <formula>0</formula>
    </cfRule>
    <cfRule type="expression" dxfId="2276" priority="257">
      <formula>LEN(TRIM(V200))=0</formula>
    </cfRule>
  </conditionalFormatting>
  <conditionalFormatting sqref="V214:AK222">
    <cfRule type="expression" dxfId="2275" priority="245">
      <formula>LEN(TRIM(V214))=0</formula>
    </cfRule>
    <cfRule type="cellIs" dxfId="2274" priority="244" operator="equal">
      <formula>0</formula>
    </cfRule>
  </conditionalFormatting>
  <conditionalFormatting sqref="V228:AK234">
    <cfRule type="expression" dxfId="2273" priority="239">
      <formula>LEN(TRIM(V228))=0</formula>
    </cfRule>
  </conditionalFormatting>
  <conditionalFormatting sqref="V236:AK248">
    <cfRule type="cellIs" dxfId="2272" priority="215" operator="equal">
      <formula>0</formula>
    </cfRule>
    <cfRule type="expression" dxfId="2271" priority="216">
      <formula>LEN(TRIM(V236))=0</formula>
    </cfRule>
  </conditionalFormatting>
  <conditionalFormatting sqref="V250:AK258">
    <cfRule type="cellIs" dxfId="2270" priority="203" operator="equal">
      <formula>0</formula>
    </cfRule>
    <cfRule type="expression" dxfId="2269" priority="204">
      <formula>LEN(TRIM(V250))=0</formula>
    </cfRule>
  </conditionalFormatting>
  <conditionalFormatting sqref="V264:AK270">
    <cfRule type="expression" dxfId="2268" priority="198">
      <formula>LEN(TRIM(V264))=0</formula>
    </cfRule>
  </conditionalFormatting>
  <conditionalFormatting sqref="V272:AK284">
    <cfRule type="cellIs" dxfId="2267" priority="174" operator="equal">
      <formula>0</formula>
    </cfRule>
    <cfRule type="expression" dxfId="2266" priority="175">
      <formula>LEN(TRIM(V272))=0</formula>
    </cfRule>
  </conditionalFormatting>
  <conditionalFormatting sqref="V286:AK294">
    <cfRule type="cellIs" dxfId="2265" priority="162" operator="equal">
      <formula>0</formula>
    </cfRule>
    <cfRule type="expression" dxfId="2264" priority="163">
      <formula>LEN(TRIM(V286))=0</formula>
    </cfRule>
  </conditionalFormatting>
  <conditionalFormatting sqref="V300:AK306">
    <cfRule type="expression" dxfId="2263" priority="157">
      <formula>LEN(TRIM(V300))=0</formula>
    </cfRule>
  </conditionalFormatting>
  <conditionalFormatting sqref="V308:AK320">
    <cfRule type="cellIs" dxfId="2262" priority="133" operator="equal">
      <formula>0</formula>
    </cfRule>
    <cfRule type="expression" dxfId="2261" priority="134">
      <formula>LEN(TRIM(V308))=0</formula>
    </cfRule>
  </conditionalFormatting>
  <conditionalFormatting sqref="V322:AK330">
    <cfRule type="cellIs" dxfId="2260" priority="121" operator="equal">
      <formula>0</formula>
    </cfRule>
    <cfRule type="expression" dxfId="2259" priority="122">
      <formula>LEN(TRIM(V322))=0</formula>
    </cfRule>
  </conditionalFormatting>
  <conditionalFormatting sqref="Y12:Y14 AI12:AK14 V12:X17 W15:AA17 AH15:AK17 V18:AK18">
    <cfRule type="cellIs" dxfId="2258" priority="469" operator="equal">
      <formula>0</formula>
    </cfRule>
  </conditionalFormatting>
  <conditionalFormatting sqref="Y48:Y50 AI48:AK50 V48:X53 W51:AA53 AH51:AK53 V54:AK54">
    <cfRule type="cellIs" dxfId="2257" priority="428" operator="equal">
      <formula>0</formula>
    </cfRule>
  </conditionalFormatting>
  <conditionalFormatting sqref="Y84:Y86 AI84:AK86 V84:X89 W87:AA89 AH87:AK89 V90:AK90">
    <cfRule type="cellIs" dxfId="2256" priority="387" operator="equal">
      <formula>0</formula>
    </cfRule>
  </conditionalFormatting>
  <conditionalFormatting sqref="Y120:Y122 AI120:AK122 V120:X125 W123:AA125 AH123:AK125 V126:AK126">
    <cfRule type="cellIs" dxfId="2255" priority="346" operator="equal">
      <formula>0</formula>
    </cfRule>
  </conditionalFormatting>
  <conditionalFormatting sqref="Y156:Y158 AI156:AK158 V156:X161 W159:AA161 AH159:AK161 V162:AK162">
    <cfRule type="cellIs" dxfId="2254" priority="305" operator="equal">
      <formula>0</formula>
    </cfRule>
  </conditionalFormatting>
  <conditionalFormatting sqref="Y192:Y194 AI192:AK194 V192:X197 W195:AA197 AH195:AK197 V198:AK198">
    <cfRule type="cellIs" dxfId="2253" priority="264" operator="equal">
      <formula>0</formula>
    </cfRule>
  </conditionalFormatting>
  <conditionalFormatting sqref="Y228:Y230 AI228:AK230 V228:X233 W231:AA233 AH231:AK233 V234:AK234">
    <cfRule type="cellIs" dxfId="2252" priority="223" operator="equal">
      <formula>0</formula>
    </cfRule>
  </conditionalFormatting>
  <conditionalFormatting sqref="Y264:Y266 AI264:AK266 V264:X269 W267:AA269 AH267:AK269 V270:AK270">
    <cfRule type="cellIs" dxfId="2251" priority="182" operator="equal">
      <formula>0</formula>
    </cfRule>
  </conditionalFormatting>
  <conditionalFormatting sqref="Y300:Y302 AI300:AK302 V300:X305 W303:AA305 AH303:AK305 V306:AK306">
    <cfRule type="cellIs" dxfId="2250" priority="141" operator="equal">
      <formula>0</formula>
    </cfRule>
  </conditionalFormatting>
  <conditionalFormatting sqref="Z12:AA17">
    <cfRule type="cellIs" dxfId="2249" priority="471" operator="equal">
      <formula>0</formula>
    </cfRule>
  </conditionalFormatting>
  <conditionalFormatting sqref="Z48:AA53">
    <cfRule type="cellIs" dxfId="2248" priority="430" operator="equal">
      <formula>0</formula>
    </cfRule>
  </conditionalFormatting>
  <conditionalFormatting sqref="Z84:AA89">
    <cfRule type="cellIs" dxfId="2247" priority="389" operator="equal">
      <formula>0</formula>
    </cfRule>
  </conditionalFormatting>
  <conditionalFormatting sqref="Z120:AA125">
    <cfRule type="cellIs" dxfId="2246" priority="348" operator="equal">
      <formula>0</formula>
    </cfRule>
  </conditionalFormatting>
  <conditionalFormatting sqref="Z156:AA161">
    <cfRule type="cellIs" dxfId="2245" priority="307" operator="equal">
      <formula>0</formula>
    </cfRule>
  </conditionalFormatting>
  <conditionalFormatting sqref="Z192:AA197">
    <cfRule type="cellIs" dxfId="2244" priority="266" operator="equal">
      <formula>0</formula>
    </cfRule>
  </conditionalFormatting>
  <conditionalFormatting sqref="Z228:AA233">
    <cfRule type="cellIs" dxfId="2243" priority="225" operator="equal">
      <formula>0</formula>
    </cfRule>
  </conditionalFormatting>
  <conditionalFormatting sqref="Z264:AA269">
    <cfRule type="cellIs" dxfId="2242" priority="184" operator="equal">
      <formula>0</formula>
    </cfRule>
  </conditionalFormatting>
  <conditionalFormatting sqref="Z300:AA305">
    <cfRule type="cellIs" dxfId="2241" priority="143" operator="equal">
      <formula>0</formula>
    </cfRule>
  </conditionalFormatting>
  <conditionalFormatting sqref="AB11:AG17">
    <cfRule type="cellIs" dxfId="2240" priority="97" operator="equal">
      <formula>0</formula>
    </cfRule>
  </conditionalFormatting>
  <conditionalFormatting sqref="AB47:AG53">
    <cfRule type="cellIs" dxfId="2239" priority="85" operator="equal">
      <formula>0</formula>
    </cfRule>
  </conditionalFormatting>
  <conditionalFormatting sqref="AB83:AG89">
    <cfRule type="cellIs" dxfId="2238" priority="73" operator="equal">
      <formula>0</formula>
    </cfRule>
  </conditionalFormatting>
  <conditionalFormatting sqref="AB119:AG125">
    <cfRule type="cellIs" dxfId="2237" priority="61" operator="equal">
      <formula>0</formula>
    </cfRule>
  </conditionalFormatting>
  <conditionalFormatting sqref="AB155:AG161">
    <cfRule type="cellIs" dxfId="2236" priority="49" operator="equal">
      <formula>0</formula>
    </cfRule>
  </conditionalFormatting>
  <conditionalFormatting sqref="AB191:AG197">
    <cfRule type="cellIs" dxfId="2235" priority="37" operator="equal">
      <formula>0</formula>
    </cfRule>
  </conditionalFormatting>
  <conditionalFormatting sqref="AB227:AG233">
    <cfRule type="cellIs" dxfId="2234" priority="25" operator="equal">
      <formula>0</formula>
    </cfRule>
  </conditionalFormatting>
  <conditionalFormatting sqref="AB263:AG269">
    <cfRule type="cellIs" dxfId="2233" priority="13" operator="equal">
      <formula>0</formula>
    </cfRule>
  </conditionalFormatting>
  <conditionalFormatting sqref="AB299:AG305">
    <cfRule type="cellIs" dxfId="2232" priority="1" operator="equal">
      <formula>0</formula>
    </cfRule>
  </conditionalFormatting>
  <conditionalFormatting sqref="AC12:AG12">
    <cfRule type="cellIs" dxfId="2231" priority="474" operator="equal">
      <formula>0</formula>
    </cfRule>
  </conditionalFormatting>
  <conditionalFormatting sqref="AC48:AG48">
    <cfRule type="cellIs" dxfId="2230" priority="433" operator="equal">
      <formula>0</formula>
    </cfRule>
  </conditionalFormatting>
  <conditionalFormatting sqref="AC84:AG84">
    <cfRule type="cellIs" dxfId="2229" priority="392" operator="equal">
      <formula>0</formula>
    </cfRule>
  </conditionalFormatting>
  <conditionalFormatting sqref="AC120:AG120">
    <cfRule type="cellIs" dxfId="2228" priority="351" operator="equal">
      <formula>0</formula>
    </cfRule>
  </conditionalFormatting>
  <conditionalFormatting sqref="AC156:AG156">
    <cfRule type="cellIs" dxfId="2227" priority="310" operator="equal">
      <formula>0</formula>
    </cfRule>
  </conditionalFormatting>
  <conditionalFormatting sqref="AC192:AG192">
    <cfRule type="cellIs" dxfId="2226" priority="269" operator="equal">
      <formula>0</formula>
    </cfRule>
  </conditionalFormatting>
  <conditionalFormatting sqref="AC228:AG228">
    <cfRule type="cellIs" dxfId="2225" priority="228" operator="equal">
      <formula>0</formula>
    </cfRule>
  </conditionalFormatting>
  <conditionalFormatting sqref="AC264:AG264">
    <cfRule type="cellIs" dxfId="2224" priority="187" operator="equal">
      <formula>0</formula>
    </cfRule>
  </conditionalFormatting>
  <conditionalFormatting sqref="AC300:AG300">
    <cfRule type="cellIs" dxfId="2223" priority="146" operator="equal">
      <formula>0</formula>
    </cfRule>
  </conditionalFormatting>
  <conditionalFormatting sqref="AH12:AH17">
    <cfRule type="cellIs" dxfId="2222" priority="470" operator="equal">
      <formula>0</formula>
    </cfRule>
  </conditionalFormatting>
  <conditionalFormatting sqref="AH48:AH53">
    <cfRule type="cellIs" dxfId="2221" priority="429" operator="equal">
      <formula>0</formula>
    </cfRule>
  </conditionalFormatting>
  <conditionalFormatting sqref="AH84:AH89">
    <cfRule type="cellIs" dxfId="2220" priority="388" operator="equal">
      <formula>0</formula>
    </cfRule>
  </conditionalFormatting>
  <conditionalFormatting sqref="AH120:AH125">
    <cfRule type="cellIs" dxfId="2219" priority="347" operator="equal">
      <formula>0</formula>
    </cfRule>
  </conditionalFormatting>
  <conditionalFormatting sqref="AH156:AH161">
    <cfRule type="cellIs" dxfId="2218" priority="306" operator="equal">
      <formula>0</formula>
    </cfRule>
  </conditionalFormatting>
  <conditionalFormatting sqref="AH192:AH197">
    <cfRule type="cellIs" dxfId="2217" priority="265" operator="equal">
      <formula>0</formula>
    </cfRule>
  </conditionalFormatting>
  <conditionalFormatting sqref="AH228:AH233">
    <cfRule type="cellIs" dxfId="2216" priority="224" operator="equal">
      <formula>0</formula>
    </cfRule>
  </conditionalFormatting>
  <conditionalFormatting sqref="AH264:AH269">
    <cfRule type="cellIs" dxfId="2215" priority="183" operator="equal">
      <formula>0</formula>
    </cfRule>
  </conditionalFormatting>
  <conditionalFormatting sqref="AH300:AH305">
    <cfRule type="cellIs" dxfId="2214" priority="142"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4B42E-6E70-467A-B59F-9832C5968E5B}">
  <dimension ref="C2:AK296"/>
  <sheetViews>
    <sheetView topLeftCell="A10" workbookViewId="0">
      <selection activeCell="K34" sqref="K34"/>
    </sheetView>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60" t="s">
        <v>522</v>
      </c>
      <c r="D2" s="760"/>
      <c r="E2" s="760"/>
      <c r="F2" s="760"/>
      <c r="G2" s="760"/>
      <c r="H2" s="760"/>
      <c r="I2" s="760"/>
      <c r="J2" s="760"/>
      <c r="K2" s="760"/>
      <c r="L2" s="760"/>
      <c r="M2" s="760"/>
      <c r="N2" s="760"/>
      <c r="O2" s="760"/>
      <c r="P2" s="760"/>
      <c r="Q2" s="760"/>
      <c r="R2" s="760"/>
      <c r="S2" s="760"/>
      <c r="U2" s="760" t="s">
        <v>523</v>
      </c>
      <c r="V2" s="760"/>
      <c r="W2" s="760"/>
      <c r="X2" s="760"/>
      <c r="Y2" s="760"/>
      <c r="Z2" s="760"/>
      <c r="AA2" s="760"/>
      <c r="AB2" s="760"/>
      <c r="AC2" s="760"/>
      <c r="AD2" s="760"/>
      <c r="AE2" s="760"/>
      <c r="AF2" s="760"/>
      <c r="AG2" s="760"/>
      <c r="AH2" s="760"/>
      <c r="AI2" s="760"/>
      <c r="AJ2" s="760"/>
      <c r="AK2" s="760"/>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338</v>
      </c>
      <c r="D4" s="635" t="s">
        <v>524</v>
      </c>
      <c r="E4" s="634"/>
      <c r="F4" s="634"/>
      <c r="G4" s="634"/>
      <c r="H4" s="636"/>
      <c r="I4" s="634"/>
      <c r="J4" s="634"/>
      <c r="K4" s="634"/>
      <c r="L4" s="634"/>
      <c r="M4" s="634"/>
      <c r="N4" s="634"/>
      <c r="O4" s="634"/>
      <c r="P4" s="634"/>
      <c r="Q4" s="634"/>
      <c r="R4" s="634"/>
      <c r="S4" s="634"/>
      <c r="U4" s="635" t="s">
        <v>338</v>
      </c>
      <c r="V4" s="635" t="s">
        <v>524</v>
      </c>
      <c r="W4" s="634"/>
      <c r="X4" s="634"/>
      <c r="Y4" s="634"/>
      <c r="Z4" s="636"/>
      <c r="AA4" s="634"/>
      <c r="AB4" s="634"/>
      <c r="AC4" s="634"/>
      <c r="AD4" s="634"/>
      <c r="AE4" s="634"/>
      <c r="AF4" s="634"/>
      <c r="AG4" s="634"/>
      <c r="AH4" s="634"/>
      <c r="AI4" s="634"/>
      <c r="AJ4" s="634"/>
      <c r="AK4" s="634"/>
    </row>
    <row r="5" spans="3:37" ht="37.5" x14ac:dyDescent="0.3">
      <c r="C5" s="635" t="s">
        <v>341</v>
      </c>
      <c r="D5" s="635" t="s">
        <v>342</v>
      </c>
      <c r="E5" s="634"/>
      <c r="F5" s="634"/>
      <c r="G5" s="634"/>
      <c r="H5" s="634"/>
      <c r="I5" s="634"/>
      <c r="J5" s="634"/>
      <c r="K5" s="634"/>
      <c r="L5" s="634"/>
      <c r="M5" s="634"/>
      <c r="N5" s="634"/>
      <c r="O5" s="634"/>
      <c r="P5" s="634"/>
      <c r="Q5" s="634"/>
      <c r="R5" s="634"/>
      <c r="S5" s="634"/>
      <c r="U5" s="635" t="s">
        <v>341</v>
      </c>
      <c r="V5" s="635" t="s">
        <v>342</v>
      </c>
      <c r="W5" s="634"/>
      <c r="X5" s="634"/>
      <c r="Y5" s="634"/>
      <c r="Z5" s="634"/>
      <c r="AA5" s="634"/>
      <c r="AB5" s="634"/>
      <c r="AC5" s="634"/>
      <c r="AD5" s="634"/>
      <c r="AE5" s="634"/>
      <c r="AF5" s="634"/>
      <c r="AG5" s="634"/>
      <c r="AH5" s="634"/>
      <c r="AI5" s="634"/>
      <c r="AJ5" s="634"/>
      <c r="AK5" s="634"/>
    </row>
    <row r="6" spans="3:37" ht="18.75" x14ac:dyDescent="0.3">
      <c r="C6" s="635" t="s">
        <v>525</v>
      </c>
      <c r="D6" s="637">
        <v>44909</v>
      </c>
      <c r="E6" s="634"/>
      <c r="F6" s="634"/>
      <c r="G6" s="634"/>
      <c r="H6" s="634"/>
      <c r="I6" s="634"/>
      <c r="J6" s="634"/>
      <c r="K6" s="634"/>
      <c r="L6" s="634"/>
      <c r="M6" s="634"/>
      <c r="N6" s="634"/>
      <c r="O6" s="634"/>
      <c r="P6" s="634"/>
      <c r="Q6" s="634"/>
      <c r="R6" s="634"/>
      <c r="S6" s="634"/>
      <c r="U6" s="635" t="s">
        <v>525</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59" t="s">
        <v>88</v>
      </c>
      <c r="D8" s="759"/>
      <c r="E8" s="759"/>
      <c r="F8" s="759"/>
      <c r="G8" s="759"/>
      <c r="H8" s="759"/>
      <c r="I8" s="759"/>
      <c r="J8" s="759"/>
      <c r="K8" s="759"/>
      <c r="L8" s="759"/>
      <c r="M8" s="759"/>
      <c r="N8" s="759"/>
      <c r="O8" s="759"/>
      <c r="P8" s="759"/>
      <c r="Q8" s="759"/>
      <c r="R8" s="759"/>
      <c r="S8" s="759"/>
      <c r="U8" s="759" t="s">
        <v>88</v>
      </c>
      <c r="V8" s="759"/>
      <c r="W8" s="759"/>
      <c r="X8" s="759"/>
      <c r="Y8" s="759"/>
      <c r="Z8" s="759"/>
      <c r="AA8" s="759"/>
      <c r="AB8" s="759"/>
      <c r="AC8" s="759"/>
      <c r="AD8" s="759"/>
      <c r="AE8" s="759"/>
      <c r="AF8" s="759"/>
      <c r="AG8" s="759"/>
      <c r="AH8" s="759"/>
      <c r="AI8" s="759"/>
      <c r="AJ8" s="759"/>
      <c r="AK8" s="75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58" t="s">
        <v>128</v>
      </c>
      <c r="D10" s="757" t="s">
        <v>42</v>
      </c>
      <c r="E10" s="757" t="s">
        <v>52</v>
      </c>
      <c r="F10" s="757" t="s">
        <v>53</v>
      </c>
      <c r="G10" s="757" t="s">
        <v>32</v>
      </c>
      <c r="H10" s="757" t="s">
        <v>20</v>
      </c>
      <c r="I10" s="757" t="s">
        <v>55</v>
      </c>
      <c r="J10" s="757" t="s">
        <v>56</v>
      </c>
      <c r="K10" s="757"/>
      <c r="L10" s="757"/>
      <c r="M10" s="757"/>
      <c r="N10" s="757"/>
      <c r="O10" s="757"/>
      <c r="P10" s="757" t="s">
        <v>57</v>
      </c>
      <c r="Q10" s="757" t="s">
        <v>58</v>
      </c>
      <c r="R10" s="757" t="s">
        <v>31</v>
      </c>
      <c r="S10" s="757" t="s">
        <v>10</v>
      </c>
      <c r="U10" s="758" t="s">
        <v>128</v>
      </c>
      <c r="V10" s="757" t="s">
        <v>42</v>
      </c>
      <c r="W10" s="757" t="s">
        <v>52</v>
      </c>
      <c r="X10" s="757" t="s">
        <v>53</v>
      </c>
      <c r="Y10" s="757" t="s">
        <v>32</v>
      </c>
      <c r="Z10" s="757" t="s">
        <v>20</v>
      </c>
      <c r="AA10" s="757" t="s">
        <v>55</v>
      </c>
      <c r="AB10" s="757" t="s">
        <v>56</v>
      </c>
      <c r="AC10" s="757"/>
      <c r="AD10" s="757"/>
      <c r="AE10" s="757"/>
      <c r="AF10" s="757"/>
      <c r="AG10" s="757"/>
      <c r="AH10" s="757" t="s">
        <v>57</v>
      </c>
      <c r="AI10" s="757" t="s">
        <v>58</v>
      </c>
      <c r="AJ10" s="757" t="s">
        <v>31</v>
      </c>
      <c r="AK10" s="757" t="s">
        <v>10</v>
      </c>
    </row>
    <row r="11" spans="3:37" ht="56.25" x14ac:dyDescent="0.2">
      <c r="C11" s="758"/>
      <c r="D11" s="757"/>
      <c r="E11" s="757"/>
      <c r="F11" s="757"/>
      <c r="G11" s="757"/>
      <c r="H11" s="757"/>
      <c r="I11" s="757"/>
      <c r="J11" s="638" t="s">
        <v>335</v>
      </c>
      <c r="K11" s="638" t="s">
        <v>40</v>
      </c>
      <c r="L11" s="638" t="s">
        <v>343</v>
      </c>
      <c r="M11" s="638" t="s">
        <v>344</v>
      </c>
      <c r="N11" s="638" t="s">
        <v>345</v>
      </c>
      <c r="O11" s="638" t="s">
        <v>346</v>
      </c>
      <c r="P11" s="757"/>
      <c r="Q11" s="757"/>
      <c r="R11" s="757"/>
      <c r="S11" s="757"/>
      <c r="U11" s="758"/>
      <c r="V11" s="757"/>
      <c r="W11" s="757"/>
      <c r="X11" s="757"/>
      <c r="Y11" s="757"/>
      <c r="Z11" s="757"/>
      <c r="AA11" s="757"/>
      <c r="AB11" s="638" t="s">
        <v>335</v>
      </c>
      <c r="AC11" s="638" t="s">
        <v>40</v>
      </c>
      <c r="AD11" s="638" t="s">
        <v>343</v>
      </c>
      <c r="AE11" s="638" t="s">
        <v>344</v>
      </c>
      <c r="AF11" s="638" t="s">
        <v>345</v>
      </c>
      <c r="AG11" s="638" t="s">
        <v>346</v>
      </c>
      <c r="AH11" s="757"/>
      <c r="AI11" s="757"/>
      <c r="AJ11" s="757"/>
      <c r="AK11" s="757"/>
    </row>
    <row r="12" spans="3:37" x14ac:dyDescent="0.2">
      <c r="C12" s="639" t="s">
        <v>59</v>
      </c>
      <c r="D12" s="640">
        <v>0</v>
      </c>
      <c r="E12" s="641">
        <v>9.7691999999999997</v>
      </c>
      <c r="F12" s="641">
        <v>0</v>
      </c>
      <c r="G12" s="640">
        <v>0.18608000000000002</v>
      </c>
      <c r="H12" s="641">
        <v>1190.909090909091</v>
      </c>
      <c r="I12" s="641">
        <v>182.7291074592973</v>
      </c>
      <c r="J12" s="641">
        <v>189.61507961766128</v>
      </c>
      <c r="K12" s="641">
        <v>22.268083551618652</v>
      </c>
      <c r="L12" s="641">
        <v>0.30256781050897086</v>
      </c>
      <c r="M12" s="641">
        <v>0.13616606414588689</v>
      </c>
      <c r="N12" s="641">
        <v>49.514351265721807</v>
      </c>
      <c r="O12" s="641">
        <v>8.1467195883110648</v>
      </c>
      <c r="P12" s="642">
        <v>0</v>
      </c>
      <c r="Q12" s="641">
        <v>0</v>
      </c>
      <c r="R12" s="641">
        <v>0</v>
      </c>
      <c r="S12" s="643">
        <v>1653.5764462663558</v>
      </c>
      <c r="U12" s="639" t="s">
        <v>59</v>
      </c>
      <c r="V12" s="640">
        <v>0</v>
      </c>
      <c r="W12" s="641">
        <v>9.7691999999999997</v>
      </c>
      <c r="X12" s="641">
        <v>0</v>
      </c>
      <c r="Y12" s="640">
        <v>0.18608000000000002</v>
      </c>
      <c r="Z12" s="641">
        <v>1069.3939393939395</v>
      </c>
      <c r="AA12" s="641">
        <v>197.24910745929728</v>
      </c>
      <c r="AB12" s="641">
        <v>182.13163745220285</v>
      </c>
      <c r="AC12" s="641">
        <v>36.932838973655407</v>
      </c>
      <c r="AD12" s="641">
        <v>0.30256781050897086</v>
      </c>
      <c r="AE12" s="641">
        <v>0.13616606414588689</v>
      </c>
      <c r="AF12" s="641">
        <v>61.091225724919909</v>
      </c>
      <c r="AG12" s="641">
        <v>13.043980364734779</v>
      </c>
      <c r="AH12" s="642">
        <v>0</v>
      </c>
      <c r="AI12" s="641">
        <v>0</v>
      </c>
      <c r="AJ12" s="641">
        <v>0</v>
      </c>
      <c r="AK12" s="643">
        <v>1570.2367432434044</v>
      </c>
    </row>
    <row r="13" spans="3:37" x14ac:dyDescent="0.2">
      <c r="C13" s="639" t="s">
        <v>60</v>
      </c>
      <c r="D13" s="640">
        <v>49.173561762123036</v>
      </c>
      <c r="E13" s="641">
        <v>533.81672423347197</v>
      </c>
      <c r="F13" s="641">
        <v>159.30055959731865</v>
      </c>
      <c r="G13" s="640">
        <v>343.82692763471942</v>
      </c>
      <c r="H13" s="641">
        <v>0</v>
      </c>
      <c r="I13" s="641">
        <v>0</v>
      </c>
      <c r="J13" s="641">
        <v>3.0754920838007731</v>
      </c>
      <c r="K13" s="641">
        <v>0</v>
      </c>
      <c r="L13" s="641">
        <v>1.7669821269916453</v>
      </c>
      <c r="M13" s="641">
        <v>0</v>
      </c>
      <c r="N13" s="641">
        <v>0</v>
      </c>
      <c r="O13" s="641">
        <v>0</v>
      </c>
      <c r="P13" s="642">
        <v>0</v>
      </c>
      <c r="Q13" s="641">
        <v>0</v>
      </c>
      <c r="R13" s="641">
        <v>0</v>
      </c>
      <c r="S13" s="643">
        <v>1090.9602474384255</v>
      </c>
      <c r="U13" s="639" t="s">
        <v>60</v>
      </c>
      <c r="V13" s="640">
        <v>12.56447967339157</v>
      </c>
      <c r="W13" s="641">
        <v>409.1975890316798</v>
      </c>
      <c r="X13" s="641">
        <v>146.83839951059079</v>
      </c>
      <c r="Y13" s="640">
        <v>277.07529977218445</v>
      </c>
      <c r="Z13" s="641">
        <v>0</v>
      </c>
      <c r="AA13" s="641">
        <v>0</v>
      </c>
      <c r="AB13" s="641">
        <v>3.0754920838007731</v>
      </c>
      <c r="AC13" s="641">
        <v>0</v>
      </c>
      <c r="AD13" s="641">
        <v>1.7669821269916453</v>
      </c>
      <c r="AE13" s="641">
        <v>0</v>
      </c>
      <c r="AF13" s="641">
        <v>0</v>
      </c>
      <c r="AG13" s="641">
        <v>0</v>
      </c>
      <c r="AH13" s="642">
        <v>0</v>
      </c>
      <c r="AI13" s="641">
        <v>0</v>
      </c>
      <c r="AJ13" s="641">
        <v>0</v>
      </c>
      <c r="AK13" s="643">
        <v>850.51824219863909</v>
      </c>
    </row>
    <row r="14" spans="3:37" x14ac:dyDescent="0.2">
      <c r="C14" s="639" t="s">
        <v>61</v>
      </c>
      <c r="D14" s="640">
        <v>0</v>
      </c>
      <c r="E14" s="641">
        <v>0</v>
      </c>
      <c r="F14" s="641">
        <v>0</v>
      </c>
      <c r="G14" s="640">
        <v>0</v>
      </c>
      <c r="H14" s="641">
        <v>0</v>
      </c>
      <c r="I14" s="641">
        <v>0</v>
      </c>
      <c r="J14" s="641">
        <v>0</v>
      </c>
      <c r="K14" s="641">
        <v>0</v>
      </c>
      <c r="L14" s="641">
        <v>0</v>
      </c>
      <c r="M14" s="641">
        <v>0</v>
      </c>
      <c r="N14" s="641">
        <v>0</v>
      </c>
      <c r="O14" s="641">
        <v>0</v>
      </c>
      <c r="P14" s="642">
        <v>-73.711460432822037</v>
      </c>
      <c r="Q14" s="641">
        <v>0</v>
      </c>
      <c r="R14" s="641">
        <v>0</v>
      </c>
      <c r="S14" s="643">
        <v>-73.711460432822037</v>
      </c>
      <c r="U14" s="639" t="s">
        <v>61</v>
      </c>
      <c r="V14" s="640">
        <v>0</v>
      </c>
      <c r="W14" s="641">
        <v>0</v>
      </c>
      <c r="X14" s="641">
        <v>0</v>
      </c>
      <c r="Y14" s="640">
        <v>0</v>
      </c>
      <c r="Z14" s="641">
        <v>0</v>
      </c>
      <c r="AA14" s="641">
        <v>0</v>
      </c>
      <c r="AB14" s="641">
        <v>0</v>
      </c>
      <c r="AC14" s="641">
        <v>0</v>
      </c>
      <c r="AD14" s="641">
        <v>0</v>
      </c>
      <c r="AE14" s="641">
        <v>0</v>
      </c>
      <c r="AF14" s="641">
        <v>0</v>
      </c>
      <c r="AG14" s="641">
        <v>0</v>
      </c>
      <c r="AH14" s="642">
        <v>-59.233927293838519</v>
      </c>
      <c r="AI14" s="641">
        <v>0</v>
      </c>
      <c r="AJ14" s="641">
        <v>0</v>
      </c>
      <c r="AK14" s="643">
        <v>-59.233927293838519</v>
      </c>
    </row>
    <row r="15" spans="3:37" x14ac:dyDescent="0.2">
      <c r="C15" s="639" t="s">
        <v>62</v>
      </c>
      <c r="D15" s="640">
        <v>0</v>
      </c>
      <c r="E15" s="641">
        <v>0</v>
      </c>
      <c r="F15" s="641">
        <v>-16.493151741791234</v>
      </c>
      <c r="G15" s="640">
        <v>0</v>
      </c>
      <c r="H15" s="641">
        <v>0</v>
      </c>
      <c r="I15" s="641">
        <v>0</v>
      </c>
      <c r="J15" s="641">
        <v>0</v>
      </c>
      <c r="K15" s="641">
        <v>0</v>
      </c>
      <c r="L15" s="641">
        <v>0</v>
      </c>
      <c r="M15" s="641">
        <v>0</v>
      </c>
      <c r="N15" s="641">
        <v>0</v>
      </c>
      <c r="O15" s="641">
        <v>0</v>
      </c>
      <c r="P15" s="642">
        <v>0</v>
      </c>
      <c r="Q15" s="641">
        <v>0</v>
      </c>
      <c r="R15" s="641">
        <v>0</v>
      </c>
      <c r="S15" s="643">
        <v>-16.493151741791234</v>
      </c>
      <c r="U15" s="639" t="s">
        <v>62</v>
      </c>
      <c r="V15" s="640">
        <v>0</v>
      </c>
      <c r="W15" s="641">
        <v>0</v>
      </c>
      <c r="X15" s="641">
        <v>-16.114280484636947</v>
      </c>
      <c r="Y15" s="640">
        <v>-5.618284274922395E-2</v>
      </c>
      <c r="Z15" s="641">
        <v>0</v>
      </c>
      <c r="AA15" s="641">
        <v>0</v>
      </c>
      <c r="AB15" s="641">
        <v>0</v>
      </c>
      <c r="AC15" s="641">
        <v>0</v>
      </c>
      <c r="AD15" s="641">
        <v>0</v>
      </c>
      <c r="AE15" s="641">
        <v>-6.2425380832471051E-3</v>
      </c>
      <c r="AF15" s="641">
        <v>0</v>
      </c>
      <c r="AG15" s="641">
        <v>0</v>
      </c>
      <c r="AH15" s="642">
        <v>0</v>
      </c>
      <c r="AI15" s="641">
        <v>0</v>
      </c>
      <c r="AJ15" s="641">
        <v>0</v>
      </c>
      <c r="AK15" s="643">
        <v>-16.176705865469415</v>
      </c>
    </row>
    <row r="16" spans="3:37" x14ac:dyDescent="0.2">
      <c r="C16" s="639" t="s">
        <v>63</v>
      </c>
      <c r="D16" s="640">
        <v>0</v>
      </c>
      <c r="E16" s="641">
        <v>0</v>
      </c>
      <c r="F16" s="641">
        <v>-80.583101554650298</v>
      </c>
      <c r="G16" s="640">
        <v>0</v>
      </c>
      <c r="H16" s="641">
        <v>0</v>
      </c>
      <c r="I16" s="641">
        <v>0</v>
      </c>
      <c r="J16" s="641">
        <v>0</v>
      </c>
      <c r="K16" s="641">
        <v>0</v>
      </c>
      <c r="L16" s="641">
        <v>-0.83510983775166403</v>
      </c>
      <c r="M16" s="641">
        <v>0</v>
      </c>
      <c r="N16" s="641">
        <v>0</v>
      </c>
      <c r="O16" s="641">
        <v>0</v>
      </c>
      <c r="P16" s="642">
        <v>0</v>
      </c>
      <c r="Q16" s="641">
        <v>0</v>
      </c>
      <c r="R16" s="641">
        <v>0</v>
      </c>
      <c r="S16" s="643">
        <v>-81.418211392401957</v>
      </c>
      <c r="U16" s="639" t="s">
        <v>63</v>
      </c>
      <c r="V16" s="640">
        <v>0</v>
      </c>
      <c r="W16" s="641">
        <v>0</v>
      </c>
      <c r="X16" s="641">
        <v>-78.29497747164686</v>
      </c>
      <c r="Y16" s="640">
        <v>0</v>
      </c>
      <c r="Z16" s="641">
        <v>0</v>
      </c>
      <c r="AA16" s="641">
        <v>0</v>
      </c>
      <c r="AB16" s="641">
        <v>0</v>
      </c>
      <c r="AC16" s="641">
        <v>0</v>
      </c>
      <c r="AD16" s="641">
        <v>-3.8806739722042796</v>
      </c>
      <c r="AE16" s="641">
        <v>0</v>
      </c>
      <c r="AF16" s="641">
        <v>0</v>
      </c>
      <c r="AG16" s="641">
        <v>0</v>
      </c>
      <c r="AH16" s="642">
        <v>0</v>
      </c>
      <c r="AI16" s="641">
        <v>0</v>
      </c>
      <c r="AJ16" s="641">
        <v>0</v>
      </c>
      <c r="AK16" s="643">
        <v>-82.175651443851137</v>
      </c>
    </row>
    <row r="17" spans="3:37" x14ac:dyDescent="0.2">
      <c r="C17" s="639" t="s">
        <v>64</v>
      </c>
      <c r="D17" s="640">
        <v>0</v>
      </c>
      <c r="E17" s="641">
        <v>0</v>
      </c>
      <c r="F17" s="641">
        <v>0</v>
      </c>
      <c r="G17" s="640">
        <v>0</v>
      </c>
      <c r="H17" s="641">
        <v>0</v>
      </c>
      <c r="I17" s="641">
        <v>0</v>
      </c>
      <c r="J17" s="641">
        <v>0</v>
      </c>
      <c r="K17" s="641">
        <v>0</v>
      </c>
      <c r="L17" s="641">
        <v>0</v>
      </c>
      <c r="M17" s="641">
        <v>0</v>
      </c>
      <c r="N17" s="641">
        <v>0</v>
      </c>
      <c r="O17" s="641">
        <v>0</v>
      </c>
      <c r="P17" s="642">
        <v>0</v>
      </c>
      <c r="Q17" s="641">
        <v>0</v>
      </c>
      <c r="R17" s="641">
        <v>0</v>
      </c>
      <c r="S17" s="643">
        <v>0</v>
      </c>
      <c r="U17" s="639" t="s">
        <v>64</v>
      </c>
      <c r="V17" s="640">
        <v>0</v>
      </c>
      <c r="W17" s="641">
        <v>0</v>
      </c>
      <c r="X17" s="641">
        <v>0</v>
      </c>
      <c r="Y17" s="640">
        <v>0</v>
      </c>
      <c r="Z17" s="641">
        <v>0</v>
      </c>
      <c r="AA17" s="641">
        <v>0</v>
      </c>
      <c r="AB17" s="641">
        <v>0</v>
      </c>
      <c r="AC17" s="641">
        <v>0</v>
      </c>
      <c r="AD17" s="641">
        <v>0</v>
      </c>
      <c r="AE17" s="641">
        <v>0</v>
      </c>
      <c r="AF17" s="641">
        <v>0</v>
      </c>
      <c r="AG17" s="641">
        <v>0</v>
      </c>
      <c r="AH17" s="642">
        <v>0</v>
      </c>
      <c r="AI17" s="641">
        <v>0</v>
      </c>
      <c r="AJ17" s="641">
        <v>0</v>
      </c>
      <c r="AK17" s="643">
        <v>0</v>
      </c>
    </row>
    <row r="18" spans="3:37" x14ac:dyDescent="0.2">
      <c r="C18" s="644" t="s">
        <v>65</v>
      </c>
      <c r="D18" s="645">
        <v>49.173561762123036</v>
      </c>
      <c r="E18" s="645">
        <v>543.58592423347193</v>
      </c>
      <c r="F18" s="645">
        <v>62.224306300877117</v>
      </c>
      <c r="G18" s="645">
        <v>344.01300763471943</v>
      </c>
      <c r="H18" s="645">
        <v>1190.909090909091</v>
      </c>
      <c r="I18" s="645">
        <v>182.7291074592973</v>
      </c>
      <c r="J18" s="645">
        <v>192.69057170146206</v>
      </c>
      <c r="K18" s="645">
        <v>22.268083551618652</v>
      </c>
      <c r="L18" s="645">
        <v>1.234440099748952</v>
      </c>
      <c r="M18" s="645">
        <v>0.13616606414588689</v>
      </c>
      <c r="N18" s="645">
        <v>49.514351265721807</v>
      </c>
      <c r="O18" s="645">
        <v>8.1467195883110648</v>
      </c>
      <c r="P18" s="645">
        <v>-73.711460432822037</v>
      </c>
      <c r="Q18" s="645">
        <v>0</v>
      </c>
      <c r="R18" s="645">
        <v>0</v>
      </c>
      <c r="S18" s="645">
        <v>2572.9138701377656</v>
      </c>
      <c r="U18" s="644" t="s">
        <v>65</v>
      </c>
      <c r="V18" s="645">
        <v>12.56447967339157</v>
      </c>
      <c r="W18" s="645">
        <v>418.96678903167981</v>
      </c>
      <c r="X18" s="645">
        <v>52.42914155430698</v>
      </c>
      <c r="Y18" s="645">
        <v>277.2051969294352</v>
      </c>
      <c r="Z18" s="645">
        <v>1069.3939393939395</v>
      </c>
      <c r="AA18" s="645">
        <v>197.24910745929728</v>
      </c>
      <c r="AB18" s="645">
        <v>185.20712953600363</v>
      </c>
      <c r="AC18" s="645">
        <v>36.932838973655407</v>
      </c>
      <c r="AD18" s="645">
        <v>-1.8111240347036635</v>
      </c>
      <c r="AE18" s="645">
        <v>0.12992352606263979</v>
      </c>
      <c r="AF18" s="645">
        <v>61.091225724919909</v>
      </c>
      <c r="AG18" s="645">
        <v>13.043980364734779</v>
      </c>
      <c r="AH18" s="645">
        <v>-59.233927293838519</v>
      </c>
      <c r="AI18" s="645">
        <v>0</v>
      </c>
      <c r="AJ18" s="645">
        <v>0</v>
      </c>
      <c r="AK18" s="645">
        <v>2263.168700838884</v>
      </c>
    </row>
    <row r="19" spans="3:37" x14ac:dyDescent="0.2">
      <c r="C19" s="634"/>
      <c r="D19" s="634">
        <v>0</v>
      </c>
      <c r="E19" s="634">
        <v>0</v>
      </c>
      <c r="F19" s="634">
        <v>0</v>
      </c>
      <c r="G19" s="634">
        <v>0</v>
      </c>
      <c r="H19" s="634">
        <v>0</v>
      </c>
      <c r="I19" s="634">
        <v>0</v>
      </c>
      <c r="J19" s="634">
        <v>0</v>
      </c>
      <c r="K19" s="634">
        <v>0</v>
      </c>
      <c r="L19" s="634">
        <v>0</v>
      </c>
      <c r="M19" s="634">
        <v>0</v>
      </c>
      <c r="N19" s="634">
        <v>0</v>
      </c>
      <c r="O19" s="634">
        <v>0</v>
      </c>
      <c r="P19" s="634">
        <v>0</v>
      </c>
      <c r="Q19" s="634">
        <v>0</v>
      </c>
      <c r="R19" s="634">
        <v>0</v>
      </c>
      <c r="S19" s="634">
        <v>0</v>
      </c>
      <c r="U19" s="634"/>
      <c r="V19" s="634">
        <v>0</v>
      </c>
      <c r="W19" s="634">
        <v>0</v>
      </c>
      <c r="X19" s="634">
        <v>0</v>
      </c>
      <c r="Y19" s="634">
        <v>0</v>
      </c>
      <c r="Z19" s="634">
        <v>0</v>
      </c>
      <c r="AA19" s="634">
        <v>0</v>
      </c>
      <c r="AB19" s="634">
        <v>0</v>
      </c>
      <c r="AC19" s="634">
        <v>0</v>
      </c>
      <c r="AD19" s="634">
        <v>0</v>
      </c>
      <c r="AE19" s="634">
        <v>0</v>
      </c>
      <c r="AF19" s="634">
        <v>0</v>
      </c>
      <c r="AG19" s="634">
        <v>0</v>
      </c>
      <c r="AH19" s="634">
        <v>0</v>
      </c>
      <c r="AI19" s="634">
        <v>0</v>
      </c>
      <c r="AJ19" s="634">
        <v>0</v>
      </c>
      <c r="AK19" s="634">
        <v>0</v>
      </c>
    </row>
    <row r="20" spans="3:37" x14ac:dyDescent="0.2">
      <c r="C20" s="646" t="s">
        <v>67</v>
      </c>
      <c r="D20" s="640">
        <v>0</v>
      </c>
      <c r="E20" s="647">
        <v>0</v>
      </c>
      <c r="F20" s="647">
        <v>0</v>
      </c>
      <c r="G20" s="640">
        <v>0</v>
      </c>
      <c r="H20" s="640">
        <v>0</v>
      </c>
      <c r="I20" s="640">
        <v>0</v>
      </c>
      <c r="J20" s="640">
        <v>0</v>
      </c>
      <c r="K20" s="640">
        <v>0</v>
      </c>
      <c r="L20" s="640">
        <v>0</v>
      </c>
      <c r="M20" s="640">
        <v>0</v>
      </c>
      <c r="N20" s="640">
        <v>0</v>
      </c>
      <c r="O20" s="640">
        <v>0</v>
      </c>
      <c r="P20" s="640">
        <v>0</v>
      </c>
      <c r="Q20" s="640">
        <v>0</v>
      </c>
      <c r="R20" s="640">
        <v>0</v>
      </c>
      <c r="S20" s="648">
        <v>0</v>
      </c>
      <c r="U20" s="646" t="s">
        <v>67</v>
      </c>
      <c r="V20" s="640">
        <v>0</v>
      </c>
      <c r="W20" s="647">
        <v>0</v>
      </c>
      <c r="X20" s="647">
        <v>0</v>
      </c>
      <c r="Y20" s="640">
        <v>0</v>
      </c>
      <c r="Z20" s="640">
        <v>0</v>
      </c>
      <c r="AA20" s="640">
        <v>0</v>
      </c>
      <c r="AB20" s="640">
        <v>0</v>
      </c>
      <c r="AC20" s="640">
        <v>0</v>
      </c>
      <c r="AD20" s="640">
        <v>0</v>
      </c>
      <c r="AE20" s="640">
        <v>0</v>
      </c>
      <c r="AF20" s="640">
        <v>0</v>
      </c>
      <c r="AG20" s="640">
        <v>0</v>
      </c>
      <c r="AH20" s="640">
        <v>0</v>
      </c>
      <c r="AI20" s="640">
        <v>0</v>
      </c>
      <c r="AJ20" s="640">
        <v>0</v>
      </c>
      <c r="AK20" s="648">
        <v>0</v>
      </c>
    </row>
    <row r="21" spans="3:37" x14ac:dyDescent="0.2">
      <c r="C21" s="646" t="s">
        <v>347</v>
      </c>
      <c r="D21" s="640">
        <v>2.8267856410252494</v>
      </c>
      <c r="E21" s="640">
        <v>0</v>
      </c>
      <c r="F21" s="640">
        <v>7.5307695076515202</v>
      </c>
      <c r="G21" s="640">
        <v>17.818181818181817</v>
      </c>
      <c r="H21" s="640">
        <v>1190.909090909091</v>
      </c>
      <c r="I21" s="640">
        <v>182.7291074592973</v>
      </c>
      <c r="J21" s="649">
        <v>31.567770517320518</v>
      </c>
      <c r="K21" s="649">
        <v>7.9944017148664477</v>
      </c>
      <c r="L21" s="649">
        <v>2.0695499375006161</v>
      </c>
      <c r="M21" s="649">
        <v>0.46787592950723628</v>
      </c>
      <c r="N21" s="649">
        <v>0</v>
      </c>
      <c r="O21" s="649">
        <v>3.0833964576427819</v>
      </c>
      <c r="P21" s="640">
        <v>-605.52729840025461</v>
      </c>
      <c r="Q21" s="640">
        <v>0</v>
      </c>
      <c r="R21" s="640">
        <v>0</v>
      </c>
      <c r="S21" s="648">
        <v>841.46963149182989</v>
      </c>
      <c r="U21" s="646" t="s">
        <v>347</v>
      </c>
      <c r="V21" s="640">
        <v>0.62631490545869017</v>
      </c>
      <c r="W21" s="640">
        <v>0</v>
      </c>
      <c r="X21" s="640">
        <v>3.6671331440151573</v>
      </c>
      <c r="Y21" s="640">
        <v>45.490909090909085</v>
      </c>
      <c r="Z21" s="640">
        <v>1069.3939393939395</v>
      </c>
      <c r="AA21" s="640">
        <v>197.24910745929728</v>
      </c>
      <c r="AB21" s="649">
        <v>26.112388272824305</v>
      </c>
      <c r="AC21" s="649">
        <v>7.8557568383975527</v>
      </c>
      <c r="AD21" s="649">
        <v>2.0695499375006161</v>
      </c>
      <c r="AE21" s="649">
        <v>5.1587850204163272</v>
      </c>
      <c r="AF21" s="649">
        <v>0</v>
      </c>
      <c r="AG21" s="649">
        <v>3.0833964576427819</v>
      </c>
      <c r="AH21" s="640">
        <v>-594.94729840025457</v>
      </c>
      <c r="AI21" s="640">
        <v>0</v>
      </c>
      <c r="AJ21" s="640">
        <v>0</v>
      </c>
      <c r="AK21" s="648">
        <v>765.75998212014645</v>
      </c>
    </row>
    <row r="22" spans="3:37" x14ac:dyDescent="0.2">
      <c r="C22" s="646" t="s">
        <v>348</v>
      </c>
      <c r="D22" s="640">
        <v>0</v>
      </c>
      <c r="E22" s="640">
        <v>0</v>
      </c>
      <c r="F22" s="640">
        <v>0</v>
      </c>
      <c r="G22" s="640">
        <v>15.528976420917793</v>
      </c>
      <c r="H22" s="640">
        <v>0</v>
      </c>
      <c r="I22" s="640">
        <v>0</v>
      </c>
      <c r="J22" s="649">
        <v>13.425934567091144</v>
      </c>
      <c r="K22" s="649">
        <v>12.460813842705811</v>
      </c>
      <c r="L22" s="649">
        <v>0</v>
      </c>
      <c r="M22" s="649">
        <v>0.33007353312586968</v>
      </c>
      <c r="N22" s="649">
        <v>0</v>
      </c>
      <c r="O22" s="649">
        <v>2.2140049259569654</v>
      </c>
      <c r="P22" s="640">
        <v>0</v>
      </c>
      <c r="Q22" s="640">
        <v>-39.530815313914701</v>
      </c>
      <c r="R22" s="640">
        <v>0</v>
      </c>
      <c r="S22" s="648">
        <v>4.4289879758828699</v>
      </c>
      <c r="U22" s="646" t="s">
        <v>348</v>
      </c>
      <c r="V22" s="640">
        <v>0</v>
      </c>
      <c r="W22" s="640">
        <v>0</v>
      </c>
      <c r="X22" s="640">
        <v>0</v>
      </c>
      <c r="Y22" s="640">
        <v>17.633177295554518</v>
      </c>
      <c r="Z22" s="640">
        <v>0</v>
      </c>
      <c r="AA22" s="640">
        <v>0</v>
      </c>
      <c r="AB22" s="649">
        <v>25.59264276124566</v>
      </c>
      <c r="AC22" s="649">
        <v>22.938494140017696</v>
      </c>
      <c r="AD22" s="649">
        <v>0</v>
      </c>
      <c r="AE22" s="649">
        <v>1.9723975687129698</v>
      </c>
      <c r="AF22" s="649">
        <v>0</v>
      </c>
      <c r="AG22" s="649">
        <v>5.6361523989336151</v>
      </c>
      <c r="AH22" s="640">
        <v>0</v>
      </c>
      <c r="AI22" s="640">
        <v>-66.845421794322675</v>
      </c>
      <c r="AJ22" s="640">
        <v>0</v>
      </c>
      <c r="AK22" s="648">
        <v>6.927442370141784</v>
      </c>
    </row>
    <row r="23" spans="3:37" x14ac:dyDescent="0.2">
      <c r="C23" s="646" t="s">
        <v>349</v>
      </c>
      <c r="D23" s="640">
        <v>0</v>
      </c>
      <c r="E23" s="640">
        <v>0</v>
      </c>
      <c r="F23" s="640">
        <v>0</v>
      </c>
      <c r="G23" s="640">
        <v>0</v>
      </c>
      <c r="H23" s="640">
        <v>0</v>
      </c>
      <c r="I23" s="640">
        <v>0</v>
      </c>
      <c r="J23" s="650">
        <v>7.7785999169814284</v>
      </c>
      <c r="K23" s="650">
        <v>0</v>
      </c>
      <c r="L23" s="650">
        <v>0</v>
      </c>
      <c r="M23" s="650">
        <v>-6.767381927773843</v>
      </c>
      <c r="N23" s="650">
        <v>0</v>
      </c>
      <c r="O23" s="650">
        <v>0</v>
      </c>
      <c r="P23" s="640">
        <v>0</v>
      </c>
      <c r="Q23" s="640">
        <v>0</v>
      </c>
      <c r="R23" s="640">
        <v>0</v>
      </c>
      <c r="S23" s="648">
        <v>1.0112179892075854</v>
      </c>
      <c r="U23" s="646" t="s">
        <v>349</v>
      </c>
      <c r="V23" s="640">
        <v>0</v>
      </c>
      <c r="W23" s="640">
        <v>0</v>
      </c>
      <c r="X23" s="640">
        <v>0</v>
      </c>
      <c r="Y23" s="640">
        <v>0</v>
      </c>
      <c r="Z23" s="640">
        <v>0</v>
      </c>
      <c r="AA23" s="640">
        <v>0</v>
      </c>
      <c r="AB23" s="650">
        <v>35.178099528176176</v>
      </c>
      <c r="AC23" s="650">
        <v>0</v>
      </c>
      <c r="AD23" s="650">
        <v>0</v>
      </c>
      <c r="AE23" s="650">
        <v>-30.604946589513276</v>
      </c>
      <c r="AF23" s="650">
        <v>0</v>
      </c>
      <c r="AG23" s="650">
        <v>0</v>
      </c>
      <c r="AH23" s="640">
        <v>0</v>
      </c>
      <c r="AI23" s="640">
        <v>0</v>
      </c>
      <c r="AJ23" s="640">
        <v>0</v>
      </c>
      <c r="AK23" s="648">
        <v>4.5731529386629006</v>
      </c>
    </row>
    <row r="24" spans="3:37" x14ac:dyDescent="0.2">
      <c r="C24" s="646" t="s">
        <v>350</v>
      </c>
      <c r="D24" s="640">
        <v>0</v>
      </c>
      <c r="E24" s="640">
        <v>0</v>
      </c>
      <c r="F24" s="640">
        <v>0</v>
      </c>
      <c r="G24" s="640">
        <v>0</v>
      </c>
      <c r="H24" s="640">
        <v>0</v>
      </c>
      <c r="I24" s="640">
        <v>0</v>
      </c>
      <c r="J24" s="640">
        <v>0</v>
      </c>
      <c r="K24" s="640">
        <v>0</v>
      </c>
      <c r="L24" s="640">
        <v>0</v>
      </c>
      <c r="M24" s="640">
        <v>0</v>
      </c>
      <c r="N24" s="640">
        <v>0</v>
      </c>
      <c r="O24" s="640">
        <v>0</v>
      </c>
      <c r="P24" s="640">
        <v>0</v>
      </c>
      <c r="Q24" s="640">
        <v>0</v>
      </c>
      <c r="R24" s="640">
        <v>0</v>
      </c>
      <c r="S24" s="648">
        <v>0</v>
      </c>
      <c r="U24" s="646" t="s">
        <v>350</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646" t="s">
        <v>72</v>
      </c>
      <c r="D25" s="640">
        <v>0</v>
      </c>
      <c r="E25" s="640">
        <v>563.09724372867038</v>
      </c>
      <c r="F25" s="640">
        <v>-557.46627129138369</v>
      </c>
      <c r="G25" s="640">
        <v>0</v>
      </c>
      <c r="H25" s="640">
        <v>0</v>
      </c>
      <c r="I25" s="640">
        <v>0</v>
      </c>
      <c r="J25" s="640">
        <v>0</v>
      </c>
      <c r="K25" s="640">
        <v>0</v>
      </c>
      <c r="L25" s="640">
        <v>0</v>
      </c>
      <c r="M25" s="640">
        <v>0</v>
      </c>
      <c r="N25" s="640">
        <v>0</v>
      </c>
      <c r="O25" s="640">
        <v>0</v>
      </c>
      <c r="P25" s="640">
        <v>0</v>
      </c>
      <c r="Q25" s="640">
        <v>0</v>
      </c>
      <c r="R25" s="640">
        <v>0</v>
      </c>
      <c r="S25" s="648">
        <v>5.6309724372866867</v>
      </c>
      <c r="U25" s="646" t="s">
        <v>72</v>
      </c>
      <c r="V25" s="640">
        <v>0</v>
      </c>
      <c r="W25" s="640">
        <v>434.00506451720082</v>
      </c>
      <c r="X25" s="640">
        <v>-429.66501387202879</v>
      </c>
      <c r="Y25" s="640">
        <v>0</v>
      </c>
      <c r="Z25" s="640">
        <v>0</v>
      </c>
      <c r="AA25" s="640">
        <v>0</v>
      </c>
      <c r="AB25" s="640">
        <v>0</v>
      </c>
      <c r="AC25" s="640">
        <v>0</v>
      </c>
      <c r="AD25" s="640">
        <v>0</v>
      </c>
      <c r="AE25" s="640">
        <v>0</v>
      </c>
      <c r="AF25" s="640">
        <v>0</v>
      </c>
      <c r="AG25" s="640">
        <v>0</v>
      </c>
      <c r="AH25" s="640">
        <v>0</v>
      </c>
      <c r="AI25" s="640">
        <v>0</v>
      </c>
      <c r="AJ25" s="640">
        <v>0</v>
      </c>
      <c r="AK25" s="648">
        <v>4.3400506451720275</v>
      </c>
    </row>
    <row r="26" spans="3:37" x14ac:dyDescent="0.2">
      <c r="C26" s="646" t="s">
        <v>351</v>
      </c>
      <c r="D26" s="640">
        <v>0</v>
      </c>
      <c r="E26" s="640">
        <v>0</v>
      </c>
      <c r="F26" s="640">
        <v>0</v>
      </c>
      <c r="G26" s="640">
        <v>0</v>
      </c>
      <c r="H26" s="640">
        <v>0</v>
      </c>
      <c r="I26" s="640">
        <v>0</v>
      </c>
      <c r="J26" s="640">
        <v>37.619415842848596</v>
      </c>
      <c r="K26" s="640">
        <v>0</v>
      </c>
      <c r="L26" s="640">
        <v>-37.619415842848596</v>
      </c>
      <c r="M26" s="640">
        <v>0</v>
      </c>
      <c r="N26" s="640">
        <v>0</v>
      </c>
      <c r="O26" s="640">
        <v>0</v>
      </c>
      <c r="P26" s="640">
        <v>0</v>
      </c>
      <c r="Q26" s="640">
        <v>0</v>
      </c>
      <c r="R26" s="640">
        <v>0</v>
      </c>
      <c r="S26" s="648">
        <v>0</v>
      </c>
      <c r="U26" s="646" t="s">
        <v>351</v>
      </c>
      <c r="V26" s="640">
        <v>0</v>
      </c>
      <c r="W26" s="640">
        <v>0</v>
      </c>
      <c r="X26" s="640">
        <v>0</v>
      </c>
      <c r="Y26" s="640">
        <v>0</v>
      </c>
      <c r="Z26" s="640">
        <v>0</v>
      </c>
      <c r="AA26" s="640">
        <v>0</v>
      </c>
      <c r="AB26" s="640" t="e">
        <v>#VALUE!</v>
      </c>
      <c r="AC26" s="640">
        <v>0</v>
      </c>
      <c r="AD26" s="640">
        <v>-46.213611225378862</v>
      </c>
      <c r="AE26" s="640">
        <v>0</v>
      </c>
      <c r="AF26" s="640">
        <v>0</v>
      </c>
      <c r="AG26" s="640">
        <v>0</v>
      </c>
      <c r="AH26" s="640">
        <v>0</v>
      </c>
      <c r="AI26" s="640">
        <v>0</v>
      </c>
      <c r="AJ26" s="640">
        <v>0</v>
      </c>
      <c r="AK26" s="648">
        <v>-46.213611225378862</v>
      </c>
    </row>
    <row r="27" spans="3:37" x14ac:dyDescent="0.2">
      <c r="C27" s="646" t="s">
        <v>352</v>
      </c>
      <c r="D27" s="640">
        <v>0</v>
      </c>
      <c r="E27" s="640">
        <v>0</v>
      </c>
      <c r="F27" s="640">
        <v>0</v>
      </c>
      <c r="G27" s="640">
        <v>0</v>
      </c>
      <c r="H27" s="640">
        <v>0</v>
      </c>
      <c r="I27" s="640">
        <v>0</v>
      </c>
      <c r="J27" s="640">
        <v>0</v>
      </c>
      <c r="K27" s="640">
        <v>0</v>
      </c>
      <c r="L27" s="640">
        <v>0</v>
      </c>
      <c r="M27" s="640">
        <v>0</v>
      </c>
      <c r="N27" s="640">
        <v>0</v>
      </c>
      <c r="O27" s="640">
        <v>0</v>
      </c>
      <c r="P27" s="640">
        <v>0</v>
      </c>
      <c r="Q27" s="640">
        <v>0</v>
      </c>
      <c r="R27" s="640">
        <v>0</v>
      </c>
      <c r="S27" s="648">
        <v>0</v>
      </c>
      <c r="U27" s="646" t="s">
        <v>352</v>
      </c>
      <c r="V27" s="640">
        <v>0</v>
      </c>
      <c r="W27" s="640">
        <v>0</v>
      </c>
      <c r="X27" s="640">
        <v>0</v>
      </c>
      <c r="Y27" s="640">
        <v>0</v>
      </c>
      <c r="Z27" s="640">
        <v>0</v>
      </c>
      <c r="AA27" s="640">
        <v>0</v>
      </c>
      <c r="AB27" s="640">
        <v>0</v>
      </c>
      <c r="AC27" s="640">
        <v>0</v>
      </c>
      <c r="AD27" s="640">
        <v>-5.5104572320471013</v>
      </c>
      <c r="AE27" s="640">
        <v>0</v>
      </c>
      <c r="AF27" s="640">
        <v>0</v>
      </c>
      <c r="AG27" s="640">
        <v>0</v>
      </c>
      <c r="AH27" s="640">
        <v>0</v>
      </c>
      <c r="AI27" s="640">
        <v>0</v>
      </c>
      <c r="AJ27" s="640">
        <v>0</v>
      </c>
      <c r="AK27" s="648">
        <v>-5.5104572320471013</v>
      </c>
    </row>
    <row r="28" spans="3:37" x14ac:dyDescent="0.2">
      <c r="C28" s="646" t="s">
        <v>73</v>
      </c>
      <c r="D28" s="640">
        <v>0</v>
      </c>
      <c r="E28" s="640">
        <v>0</v>
      </c>
      <c r="F28" s="640">
        <v>0</v>
      </c>
      <c r="G28" s="640">
        <v>0.90917311757834995</v>
      </c>
      <c r="H28" s="640">
        <v>0</v>
      </c>
      <c r="I28" s="640">
        <v>0</v>
      </c>
      <c r="J28" s="640">
        <v>0</v>
      </c>
      <c r="K28" s="640">
        <v>1.0194809571410069E-2</v>
      </c>
      <c r="L28" s="640">
        <v>0</v>
      </c>
      <c r="M28" s="640">
        <v>1.8554553419966327E-2</v>
      </c>
      <c r="N28" s="640">
        <v>0</v>
      </c>
      <c r="O28" s="640">
        <v>0</v>
      </c>
      <c r="P28" s="640">
        <v>8.7832205538302136E-2</v>
      </c>
      <c r="Q28" s="640">
        <v>0</v>
      </c>
      <c r="R28" s="640">
        <v>-0.71363666999870479</v>
      </c>
      <c r="S28" s="648">
        <v>0.31211801610932366</v>
      </c>
      <c r="U28" s="646" t="s">
        <v>73</v>
      </c>
      <c r="V28" s="640">
        <v>0</v>
      </c>
      <c r="W28" s="640">
        <v>0</v>
      </c>
      <c r="X28" s="640">
        <v>0</v>
      </c>
      <c r="Y28" s="640">
        <v>3.7406895887912213</v>
      </c>
      <c r="Z28" s="640">
        <v>0</v>
      </c>
      <c r="AA28" s="640">
        <v>0</v>
      </c>
      <c r="AB28" s="640">
        <v>0</v>
      </c>
      <c r="AC28" s="640">
        <v>0.10657235295701485</v>
      </c>
      <c r="AD28" s="640">
        <v>0</v>
      </c>
      <c r="AE28" s="640">
        <v>0.4156321765323579</v>
      </c>
      <c r="AF28" s="640">
        <v>0</v>
      </c>
      <c r="AG28" s="640">
        <v>0</v>
      </c>
      <c r="AH28" s="640">
        <v>6.8862135756840344</v>
      </c>
      <c r="AI28" s="640">
        <v>0</v>
      </c>
      <c r="AJ28" s="640">
        <v>-7.4600647069910382</v>
      </c>
      <c r="AK28" s="648">
        <v>3.6890429869735906</v>
      </c>
    </row>
    <row r="29" spans="3:37" x14ac:dyDescent="0.2">
      <c r="C29" s="646" t="s">
        <v>353</v>
      </c>
      <c r="D29" s="640">
        <v>28.68732140625</v>
      </c>
      <c r="E29" s="640">
        <v>-19.511319495198432</v>
      </c>
      <c r="F29" s="640">
        <v>25.519653459670948</v>
      </c>
      <c r="G29" s="640">
        <v>0</v>
      </c>
      <c r="H29" s="640">
        <v>0</v>
      </c>
      <c r="I29" s="640">
        <v>0</v>
      </c>
      <c r="J29" s="640">
        <v>0</v>
      </c>
      <c r="K29" s="640">
        <v>0</v>
      </c>
      <c r="L29" s="640">
        <v>0</v>
      </c>
      <c r="M29" s="640">
        <v>0</v>
      </c>
      <c r="N29" s="640">
        <v>0</v>
      </c>
      <c r="O29" s="640">
        <v>0</v>
      </c>
      <c r="P29" s="640">
        <v>0</v>
      </c>
      <c r="Q29" s="640">
        <v>0</v>
      </c>
      <c r="R29" s="640">
        <v>0</v>
      </c>
      <c r="S29" s="648">
        <v>34.69565537072252</v>
      </c>
      <c r="U29" s="646" t="s">
        <v>353</v>
      </c>
      <c r="V29" s="640">
        <v>5.4641713867187498</v>
      </c>
      <c r="W29" s="640">
        <v>-15.038275485521009</v>
      </c>
      <c r="X29" s="640">
        <v>19.669176096265762</v>
      </c>
      <c r="Y29" s="640">
        <v>0</v>
      </c>
      <c r="Z29" s="640">
        <v>0</v>
      </c>
      <c r="AA29" s="640">
        <v>0</v>
      </c>
      <c r="AB29" s="640">
        <v>0</v>
      </c>
      <c r="AC29" s="640">
        <v>0</v>
      </c>
      <c r="AD29" s="640">
        <v>0</v>
      </c>
      <c r="AE29" s="640">
        <v>0</v>
      </c>
      <c r="AF29" s="640">
        <v>0</v>
      </c>
      <c r="AG29" s="640">
        <v>0</v>
      </c>
      <c r="AH29" s="640">
        <v>0</v>
      </c>
      <c r="AI29" s="640">
        <v>0</v>
      </c>
      <c r="AJ29" s="640">
        <v>0</v>
      </c>
      <c r="AK29" s="648">
        <v>10.095071997463503</v>
      </c>
    </row>
    <row r="30" spans="3:37" x14ac:dyDescent="0.2">
      <c r="C30" s="646" t="s">
        <v>75</v>
      </c>
      <c r="D30" s="640">
        <v>11.156180546875001</v>
      </c>
      <c r="E30" s="640">
        <v>0</v>
      </c>
      <c r="F30" s="640">
        <v>19.145306286774794</v>
      </c>
      <c r="G30" s="640">
        <v>5.4631694586555604</v>
      </c>
      <c r="H30" s="640">
        <v>0</v>
      </c>
      <c r="I30" s="640">
        <v>0</v>
      </c>
      <c r="J30" s="640">
        <v>0</v>
      </c>
      <c r="K30" s="640">
        <v>0</v>
      </c>
      <c r="L30" s="640">
        <v>0</v>
      </c>
      <c r="M30" s="640">
        <v>0.11149325425827675</v>
      </c>
      <c r="N30" s="640">
        <v>0</v>
      </c>
      <c r="O30" s="640">
        <v>0</v>
      </c>
      <c r="P30" s="640">
        <v>36.294895286159367</v>
      </c>
      <c r="Q30" s="640">
        <v>0</v>
      </c>
      <c r="R30" s="640">
        <v>0</v>
      </c>
      <c r="S30" s="648">
        <v>72.171044832722998</v>
      </c>
      <c r="U30" s="646" t="s">
        <v>75</v>
      </c>
      <c r="V30" s="640">
        <v>5.6084375</v>
      </c>
      <c r="W30" s="640">
        <v>0</v>
      </c>
      <c r="X30" s="640">
        <v>19.145306286774794</v>
      </c>
      <c r="Y30" s="640">
        <v>5.0171964416224535</v>
      </c>
      <c r="Z30" s="640">
        <v>0</v>
      </c>
      <c r="AA30" s="640">
        <v>0</v>
      </c>
      <c r="AB30" s="640">
        <v>0</v>
      </c>
      <c r="AC30" s="640">
        <v>0</v>
      </c>
      <c r="AD30" s="640">
        <v>0</v>
      </c>
      <c r="AE30" s="640">
        <v>0.55746627129138371</v>
      </c>
      <c r="AF30" s="640">
        <v>0</v>
      </c>
      <c r="AG30" s="640">
        <v>0</v>
      </c>
      <c r="AH30" s="640">
        <v>31.128531649795733</v>
      </c>
      <c r="AI30" s="640">
        <v>0</v>
      </c>
      <c r="AJ30" s="640">
        <v>0</v>
      </c>
      <c r="AK30" s="648">
        <v>61.456938149484365</v>
      </c>
    </row>
    <row r="31" spans="3:37" x14ac:dyDescent="0.2">
      <c r="C31" s="646" t="s">
        <v>76</v>
      </c>
      <c r="D31" s="640">
        <v>0</v>
      </c>
      <c r="E31" s="640">
        <v>0</v>
      </c>
      <c r="F31" s="640">
        <v>0</v>
      </c>
      <c r="G31" s="640">
        <v>3.9320361398527859</v>
      </c>
      <c r="H31" s="640">
        <v>0</v>
      </c>
      <c r="I31" s="640">
        <v>0</v>
      </c>
      <c r="J31" s="640">
        <v>0</v>
      </c>
      <c r="K31" s="640">
        <v>0</v>
      </c>
      <c r="L31" s="640">
        <v>0</v>
      </c>
      <c r="M31" s="640">
        <v>8.0245635507199722E-2</v>
      </c>
      <c r="N31" s="640">
        <v>0</v>
      </c>
      <c r="O31" s="640">
        <v>0</v>
      </c>
      <c r="P31" s="640">
        <v>40.722330861669313</v>
      </c>
      <c r="Q31" s="640">
        <v>3.067587727965682</v>
      </c>
      <c r="R31" s="640">
        <v>0</v>
      </c>
      <c r="S31" s="648">
        <v>47.802200364994981</v>
      </c>
      <c r="U31" s="646" t="s">
        <v>76</v>
      </c>
      <c r="V31" s="640">
        <v>0</v>
      </c>
      <c r="W31" s="640">
        <v>0</v>
      </c>
      <c r="X31" s="640">
        <v>0</v>
      </c>
      <c r="Y31" s="640">
        <v>3.2661405451259231</v>
      </c>
      <c r="Z31" s="640">
        <v>0</v>
      </c>
      <c r="AA31" s="640">
        <v>0</v>
      </c>
      <c r="AB31" s="640">
        <v>0</v>
      </c>
      <c r="AC31" s="640">
        <v>0</v>
      </c>
      <c r="AD31" s="640">
        <v>0</v>
      </c>
      <c r="AE31" s="640">
        <v>0.36290450501399146</v>
      </c>
      <c r="AF31" s="640">
        <v>0</v>
      </c>
      <c r="AG31" s="640">
        <v>0</v>
      </c>
      <c r="AH31" s="640">
        <v>41.021033770751153</v>
      </c>
      <c r="AI31" s="640">
        <v>5.1842177504327198</v>
      </c>
      <c r="AJ31" s="640">
        <v>0</v>
      </c>
      <c r="AK31" s="648">
        <v>49.83429657132379</v>
      </c>
    </row>
    <row r="32" spans="3:37" x14ac:dyDescent="0.2">
      <c r="C32" s="644" t="s">
        <v>77</v>
      </c>
      <c r="D32" s="645">
        <v>42.670287594150253</v>
      </c>
      <c r="E32" s="645">
        <v>543.58592423347193</v>
      </c>
      <c r="F32" s="645">
        <v>-505.27054203728642</v>
      </c>
      <c r="G32" s="645">
        <v>43.651536955186302</v>
      </c>
      <c r="H32" s="645">
        <v>1190.909090909091</v>
      </c>
      <c r="I32" s="645">
        <v>182.7291074592973</v>
      </c>
      <c r="J32" s="645">
        <v>90.391720844241689</v>
      </c>
      <c r="K32" s="645">
        <v>20.465410367143665</v>
      </c>
      <c r="L32" s="645">
        <v>-35.549865905347978</v>
      </c>
      <c r="M32" s="645">
        <v>-5.7591390219552938</v>
      </c>
      <c r="N32" s="645">
        <v>0</v>
      </c>
      <c r="O32" s="645">
        <v>5.2974013835997482</v>
      </c>
      <c r="P32" s="645">
        <v>-528.42224004688751</v>
      </c>
      <c r="Q32" s="645">
        <v>-36.463227585949021</v>
      </c>
      <c r="R32" s="645">
        <v>-0.71363666999870479</v>
      </c>
      <c r="S32" s="645">
        <v>1007.5218284787569</v>
      </c>
      <c r="U32" s="644" t="s">
        <v>77</v>
      </c>
      <c r="V32" s="645">
        <v>11.698923792177441</v>
      </c>
      <c r="W32" s="645">
        <v>418.96678903167981</v>
      </c>
      <c r="X32" s="645">
        <v>-387.18339834497311</v>
      </c>
      <c r="Y32" s="645">
        <v>75.148112962003211</v>
      </c>
      <c r="Z32" s="645">
        <v>1069.3939393939395</v>
      </c>
      <c r="AA32" s="645">
        <v>197.24910745929728</v>
      </c>
      <c r="AB32" s="645">
        <v>86.883130562246151</v>
      </c>
      <c r="AC32" s="645">
        <v>30.900823331372262</v>
      </c>
      <c r="AD32" s="645">
        <v>-49.654518519925347</v>
      </c>
      <c r="AE32" s="645">
        <v>-22.137761047546249</v>
      </c>
      <c r="AF32" s="645">
        <v>0</v>
      </c>
      <c r="AG32" s="645">
        <v>8.719548856576397</v>
      </c>
      <c r="AH32" s="645">
        <v>-515.91151940402369</v>
      </c>
      <c r="AI32" s="645">
        <v>-61.66120404388996</v>
      </c>
      <c r="AJ32" s="645">
        <v>-7.4600647069910382</v>
      </c>
      <c r="AK32" s="645">
        <v>854.95190932194248</v>
      </c>
    </row>
    <row r="33" spans="3:37" x14ac:dyDescent="0.2">
      <c r="C33" s="634"/>
      <c r="D33" s="634">
        <v>0</v>
      </c>
      <c r="E33" s="634">
        <v>0</v>
      </c>
      <c r="F33" s="634">
        <v>0</v>
      </c>
      <c r="G33" s="634">
        <v>0</v>
      </c>
      <c r="H33" s="634">
        <v>0</v>
      </c>
      <c r="I33" s="634">
        <v>0</v>
      </c>
      <c r="J33" s="634">
        <v>0</v>
      </c>
      <c r="K33" s="634">
        <v>0</v>
      </c>
      <c r="L33" s="634">
        <v>0</v>
      </c>
      <c r="M33" s="634">
        <v>0</v>
      </c>
      <c r="N33" s="634">
        <v>0</v>
      </c>
      <c r="O33" s="634">
        <v>0</v>
      </c>
      <c r="P33" s="634">
        <v>0</v>
      </c>
      <c r="Q33" s="634">
        <v>0</v>
      </c>
      <c r="R33" s="634">
        <v>0</v>
      </c>
      <c r="S33" s="634">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646" t="s">
        <v>78</v>
      </c>
      <c r="D34" s="640">
        <v>6.5032741679727843</v>
      </c>
      <c r="E34" s="640">
        <v>0</v>
      </c>
      <c r="F34" s="640">
        <v>25.052429385041094</v>
      </c>
      <c r="G34" s="640">
        <v>105.0474497029609</v>
      </c>
      <c r="H34" s="640">
        <v>0</v>
      </c>
      <c r="I34" s="640">
        <v>0</v>
      </c>
      <c r="J34" s="640">
        <v>18.534460646102772</v>
      </c>
      <c r="K34" s="640">
        <v>1.777675824710524</v>
      </c>
      <c r="L34" s="640">
        <v>0.85092246484375</v>
      </c>
      <c r="M34" s="640">
        <v>2.1625963554323833</v>
      </c>
      <c r="N34" s="640">
        <v>0</v>
      </c>
      <c r="O34" s="640">
        <v>3.8267455312152764E-4</v>
      </c>
      <c r="P34" s="640">
        <v>109.51907717242362</v>
      </c>
      <c r="Q34" s="640">
        <v>16.327213841854732</v>
      </c>
      <c r="R34" s="640">
        <v>0.36001684570312498</v>
      </c>
      <c r="S34" s="648">
        <v>286.13549908159882</v>
      </c>
      <c r="U34" s="646" t="s">
        <v>78</v>
      </c>
      <c r="V34" s="640">
        <v>0.86555588121413052</v>
      </c>
      <c r="W34" s="640">
        <v>0</v>
      </c>
      <c r="X34" s="640">
        <v>16.762295336222397</v>
      </c>
      <c r="Y34" s="640">
        <v>79.095876477460209</v>
      </c>
      <c r="Z34" s="640">
        <v>0</v>
      </c>
      <c r="AA34" s="640">
        <v>0</v>
      </c>
      <c r="AB34" s="640">
        <v>17.089093863910584</v>
      </c>
      <c r="AC34" s="640">
        <v>6.0070182825186862</v>
      </c>
      <c r="AD34" s="640">
        <v>1.13006109375</v>
      </c>
      <c r="AE34" s="640">
        <v>8.8072015710081235</v>
      </c>
      <c r="AF34" s="640">
        <v>0</v>
      </c>
      <c r="AG34" s="640">
        <v>3.8267455312152764E-4</v>
      </c>
      <c r="AH34" s="640">
        <v>130.4568218783393</v>
      </c>
      <c r="AI34" s="640">
        <v>20.327951659562498</v>
      </c>
      <c r="AJ34" s="640">
        <v>4.7486479492187499</v>
      </c>
      <c r="AK34" s="648">
        <v>285.29090666775784</v>
      </c>
    </row>
    <row r="35" spans="3:37" x14ac:dyDescent="0.2">
      <c r="C35" s="646" t="s">
        <v>79</v>
      </c>
      <c r="D35" s="640">
        <v>0</v>
      </c>
      <c r="E35" s="640">
        <v>0</v>
      </c>
      <c r="F35" s="640">
        <v>344.1701238998171</v>
      </c>
      <c r="G35" s="640">
        <v>14.686948049507158</v>
      </c>
      <c r="H35" s="640">
        <v>0</v>
      </c>
      <c r="I35" s="640">
        <v>0</v>
      </c>
      <c r="J35" s="640">
        <v>0</v>
      </c>
      <c r="K35" s="640">
        <v>0</v>
      </c>
      <c r="L35" s="640">
        <v>33.466916874810835</v>
      </c>
      <c r="M35" s="640">
        <v>0.29973363366341144</v>
      </c>
      <c r="N35" s="640">
        <v>0</v>
      </c>
      <c r="O35" s="640">
        <v>0</v>
      </c>
      <c r="P35" s="640">
        <v>30.235692409435519</v>
      </c>
      <c r="Q35" s="640">
        <v>0</v>
      </c>
      <c r="R35" s="640">
        <v>0.35361982429557981</v>
      </c>
      <c r="S35" s="648">
        <v>423.21303469152963</v>
      </c>
      <c r="U35" s="646" t="s">
        <v>79</v>
      </c>
      <c r="V35" s="640">
        <v>0</v>
      </c>
      <c r="W35" s="640">
        <v>0</v>
      </c>
      <c r="X35" s="640">
        <v>271.88041786379415</v>
      </c>
      <c r="Y35" s="640">
        <v>13.227335330391124</v>
      </c>
      <c r="Z35" s="640">
        <v>0</v>
      </c>
      <c r="AA35" s="640">
        <v>0</v>
      </c>
      <c r="AB35" s="640">
        <v>0</v>
      </c>
      <c r="AC35" s="640">
        <v>0</v>
      </c>
      <c r="AD35" s="640">
        <v>36.694869225102572</v>
      </c>
      <c r="AE35" s="640">
        <v>1.4697039255990136</v>
      </c>
      <c r="AF35" s="640">
        <v>0</v>
      </c>
      <c r="AG35" s="640">
        <v>0</v>
      </c>
      <c r="AH35" s="640">
        <v>34.641740873286757</v>
      </c>
      <c r="AI35" s="640">
        <v>0</v>
      </c>
      <c r="AJ35" s="640">
        <v>0.81877289536698361</v>
      </c>
      <c r="AK35" s="648">
        <v>358.73284011354053</v>
      </c>
    </row>
    <row r="36" spans="3:37" x14ac:dyDescent="0.2">
      <c r="C36" s="646" t="s">
        <v>80</v>
      </c>
      <c r="D36" s="640">
        <v>0</v>
      </c>
      <c r="E36" s="640">
        <v>0</v>
      </c>
      <c r="F36" s="640">
        <v>31.509183869953784</v>
      </c>
      <c r="G36" s="640">
        <v>103.72357678672635</v>
      </c>
      <c r="H36" s="640">
        <v>0</v>
      </c>
      <c r="I36" s="640">
        <v>0</v>
      </c>
      <c r="J36" s="640">
        <v>78.735270640359559</v>
      </c>
      <c r="K36" s="640">
        <v>0</v>
      </c>
      <c r="L36" s="640">
        <v>0</v>
      </c>
      <c r="M36" s="640">
        <v>2.1168076895250278</v>
      </c>
      <c r="N36" s="640">
        <v>41.43976216997369</v>
      </c>
      <c r="O36" s="640">
        <v>1.9317269815068459</v>
      </c>
      <c r="P36" s="640">
        <v>175.94122104806229</v>
      </c>
      <c r="Q36" s="640">
        <v>15.783130887728015</v>
      </c>
      <c r="R36" s="640">
        <v>0</v>
      </c>
      <c r="S36" s="648">
        <v>451.18068007383562</v>
      </c>
      <c r="U36" s="646" t="s">
        <v>80</v>
      </c>
      <c r="V36" s="640">
        <v>0</v>
      </c>
      <c r="W36" s="640">
        <v>0</v>
      </c>
      <c r="X36" s="640">
        <v>2.7574808042030705</v>
      </c>
      <c r="Y36" s="640">
        <v>67.24718580242552</v>
      </c>
      <c r="Z36" s="640">
        <v>0</v>
      </c>
      <c r="AA36" s="640">
        <v>0</v>
      </c>
      <c r="AB36" s="640">
        <v>71.925876784938879</v>
      </c>
      <c r="AC36" s="640">
        <v>0</v>
      </c>
      <c r="AD36" s="640">
        <v>0</v>
      </c>
      <c r="AE36" s="640">
        <v>7.4719095336028349</v>
      </c>
      <c r="AF36" s="640">
        <v>46.984438986784113</v>
      </c>
      <c r="AG36" s="640">
        <v>1.9327369863094026</v>
      </c>
      <c r="AH36" s="640">
        <v>159.87092870367675</v>
      </c>
      <c r="AI36" s="640">
        <v>32.787807198116425</v>
      </c>
      <c r="AJ36" s="640">
        <v>0</v>
      </c>
      <c r="AK36" s="648">
        <v>390.97836480005702</v>
      </c>
    </row>
    <row r="37" spans="3:37" x14ac:dyDescent="0.2">
      <c r="C37" s="646" t="s">
        <v>81</v>
      </c>
      <c r="D37" s="640">
        <v>0</v>
      </c>
      <c r="E37" s="640">
        <v>0</v>
      </c>
      <c r="F37" s="640">
        <v>13.089485167364064</v>
      </c>
      <c r="G37" s="640">
        <v>62.329787012805554</v>
      </c>
      <c r="H37" s="640">
        <v>0</v>
      </c>
      <c r="I37" s="640">
        <v>0</v>
      </c>
      <c r="J37" s="640">
        <v>3.5803203712753549</v>
      </c>
      <c r="K37" s="640">
        <v>2.4997359764460676E-2</v>
      </c>
      <c r="L37" s="640">
        <v>0</v>
      </c>
      <c r="M37" s="640">
        <v>1.2720364696490929</v>
      </c>
      <c r="N37" s="640">
        <v>8.0745890957481183</v>
      </c>
      <c r="O37" s="640">
        <v>0.83294326034961275</v>
      </c>
      <c r="P37" s="640">
        <v>131.24016316985416</v>
      </c>
      <c r="Q37" s="640">
        <v>4.3528828563662758</v>
      </c>
      <c r="R37" s="640">
        <v>0</v>
      </c>
      <c r="S37" s="648">
        <v>224.79720476317669</v>
      </c>
      <c r="U37" s="646" t="s">
        <v>81</v>
      </c>
      <c r="V37" s="640">
        <v>0</v>
      </c>
      <c r="W37" s="640">
        <v>0</v>
      </c>
      <c r="X37" s="640">
        <v>3.9119597768221439</v>
      </c>
      <c r="Y37" s="640">
        <v>38.3508738706755</v>
      </c>
      <c r="Z37" s="640">
        <v>0</v>
      </c>
      <c r="AA37" s="640">
        <v>0</v>
      </c>
      <c r="AB37" s="640">
        <v>7.8602291254253389</v>
      </c>
      <c r="AC37" s="640">
        <v>2.4997359764460676E-2</v>
      </c>
      <c r="AD37" s="640">
        <v>0</v>
      </c>
      <c r="AE37" s="640">
        <v>4.2612082078528335</v>
      </c>
      <c r="AF37" s="640">
        <v>14.106786738135797</v>
      </c>
      <c r="AG37" s="640">
        <v>1.7661272775976942</v>
      </c>
      <c r="AH37" s="640">
        <v>123.29032263862543</v>
      </c>
      <c r="AI37" s="640">
        <v>8.5454451862110297</v>
      </c>
      <c r="AJ37" s="640">
        <v>0</v>
      </c>
      <c r="AK37" s="648">
        <v>202.11795018111022</v>
      </c>
    </row>
    <row r="38" spans="3:37" x14ac:dyDescent="0.2">
      <c r="C38" s="646" t="s">
        <v>82</v>
      </c>
      <c r="D38" s="640">
        <v>0</v>
      </c>
      <c r="E38" s="640">
        <v>0</v>
      </c>
      <c r="F38" s="640">
        <v>33.167847610565538</v>
      </c>
      <c r="G38" s="640">
        <v>2.1624159537319825</v>
      </c>
      <c r="H38" s="640">
        <v>0</v>
      </c>
      <c r="I38" s="640">
        <v>0</v>
      </c>
      <c r="J38" s="640">
        <v>1.4487991994826963</v>
      </c>
      <c r="K38" s="640">
        <v>0</v>
      </c>
      <c r="L38" s="640">
        <v>2.4657875210358444</v>
      </c>
      <c r="M38" s="640">
        <v>4.4130937831264955E-2</v>
      </c>
      <c r="N38" s="640">
        <v>0</v>
      </c>
      <c r="O38" s="640">
        <v>8.4265288301735436E-2</v>
      </c>
      <c r="P38" s="640">
        <v>7.7746258142900144</v>
      </c>
      <c r="Q38" s="640">
        <v>0</v>
      </c>
      <c r="R38" s="640">
        <v>0</v>
      </c>
      <c r="S38" s="648">
        <v>47.147872325239064</v>
      </c>
      <c r="U38" s="646" t="s">
        <v>82</v>
      </c>
      <c r="V38" s="640">
        <v>0</v>
      </c>
      <c r="W38" s="640">
        <v>0</v>
      </c>
      <c r="X38" s="640">
        <v>27.0175910939627</v>
      </c>
      <c r="Y38" s="640">
        <v>2.3189520199147382</v>
      </c>
      <c r="Z38" s="640">
        <v>0</v>
      </c>
      <c r="AA38" s="640">
        <v>0</v>
      </c>
      <c r="AB38" s="640">
        <v>1.4487991994826963</v>
      </c>
      <c r="AC38" s="640">
        <v>0</v>
      </c>
      <c r="AD38" s="640">
        <v>9.9723689588186737</v>
      </c>
      <c r="AE38" s="640">
        <v>0.257661335546082</v>
      </c>
      <c r="AF38" s="640">
        <v>0</v>
      </c>
      <c r="AG38" s="640">
        <v>0.62518456969816016</v>
      </c>
      <c r="AH38" s="640">
        <v>7.8177780162568453</v>
      </c>
      <c r="AI38" s="640">
        <v>0</v>
      </c>
      <c r="AJ38" s="640">
        <v>0.17366238047171115</v>
      </c>
      <c r="AK38" s="648">
        <v>49.631997574151612</v>
      </c>
    </row>
    <row r="39" spans="3:37" x14ac:dyDescent="0.2">
      <c r="C39" s="646" t="s">
        <v>354</v>
      </c>
      <c r="D39" s="640">
        <v>0</v>
      </c>
      <c r="E39" s="640">
        <v>0</v>
      </c>
      <c r="F39" s="640">
        <v>0</v>
      </c>
      <c r="G39" s="640">
        <v>0</v>
      </c>
      <c r="H39" s="640">
        <v>0</v>
      </c>
      <c r="I39" s="640">
        <v>0</v>
      </c>
      <c r="J39" s="640">
        <v>0</v>
      </c>
      <c r="K39" s="640">
        <v>0</v>
      </c>
      <c r="L39" s="640">
        <v>0</v>
      </c>
      <c r="M39" s="640">
        <v>0</v>
      </c>
      <c r="N39" s="640">
        <v>0</v>
      </c>
      <c r="O39" s="640">
        <v>0</v>
      </c>
      <c r="P39" s="640">
        <v>0</v>
      </c>
      <c r="Q39" s="640">
        <v>0</v>
      </c>
      <c r="R39" s="640">
        <v>0</v>
      </c>
      <c r="S39" s="648">
        <v>0</v>
      </c>
      <c r="U39" s="646" t="s">
        <v>354</v>
      </c>
      <c r="V39" s="640">
        <v>0</v>
      </c>
      <c r="W39" s="640">
        <v>0</v>
      </c>
      <c r="X39" s="640">
        <v>0</v>
      </c>
      <c r="Y39" s="640">
        <v>0</v>
      </c>
      <c r="Z39" s="640">
        <v>0</v>
      </c>
      <c r="AA39" s="640">
        <v>0</v>
      </c>
      <c r="AB39" s="640">
        <v>0</v>
      </c>
      <c r="AC39" s="640">
        <v>0</v>
      </c>
      <c r="AD39" s="640">
        <v>0</v>
      </c>
      <c r="AE39" s="640">
        <v>0</v>
      </c>
      <c r="AF39" s="640">
        <v>0</v>
      </c>
      <c r="AG39" s="640">
        <v>0</v>
      </c>
      <c r="AH39" s="640">
        <v>0.6</v>
      </c>
      <c r="AI39" s="640">
        <v>0</v>
      </c>
      <c r="AJ39" s="640">
        <v>0</v>
      </c>
      <c r="AK39" s="648">
        <v>0.6</v>
      </c>
    </row>
    <row r="40" spans="3:37" x14ac:dyDescent="0.2">
      <c r="C40" s="644" t="s">
        <v>83</v>
      </c>
      <c r="D40" s="645">
        <v>6.5032741679727843</v>
      </c>
      <c r="E40" s="645">
        <v>0</v>
      </c>
      <c r="F40" s="645">
        <v>446.98906993274153</v>
      </c>
      <c r="G40" s="645">
        <v>287.95017750573197</v>
      </c>
      <c r="H40" s="645">
        <v>0</v>
      </c>
      <c r="I40" s="645">
        <v>0</v>
      </c>
      <c r="J40" s="645">
        <v>102.29885085722037</v>
      </c>
      <c r="K40" s="645">
        <v>1.8026731844749846</v>
      </c>
      <c r="L40" s="645">
        <v>36.783626860690426</v>
      </c>
      <c r="M40" s="645">
        <v>5.8953050861011809</v>
      </c>
      <c r="N40" s="645">
        <v>49.514351265721807</v>
      </c>
      <c r="O40" s="645">
        <v>2.8493182047113157</v>
      </c>
      <c r="P40" s="645">
        <v>454.71077961406559</v>
      </c>
      <c r="Q40" s="645">
        <v>36.463227585949028</v>
      </c>
      <c r="R40" s="645">
        <v>0.71363666999870479</v>
      </c>
      <c r="S40" s="645">
        <v>1432.4742909353797</v>
      </c>
      <c r="U40" s="644" t="s">
        <v>83</v>
      </c>
      <c r="V40" s="645">
        <v>0.86555588121413052</v>
      </c>
      <c r="W40" s="645">
        <v>0</v>
      </c>
      <c r="X40" s="645">
        <v>322.32974487500439</v>
      </c>
      <c r="Y40" s="645">
        <v>200.24022350086713</v>
      </c>
      <c r="Z40" s="645">
        <v>0</v>
      </c>
      <c r="AA40" s="645">
        <v>0</v>
      </c>
      <c r="AB40" s="645">
        <v>98.323998973757497</v>
      </c>
      <c r="AC40" s="645">
        <v>6.032015642283147</v>
      </c>
      <c r="AD40" s="645">
        <v>47.797299277671243</v>
      </c>
      <c r="AE40" s="645">
        <v>22.267684573608886</v>
      </c>
      <c r="AF40" s="645">
        <v>61.091225724919909</v>
      </c>
      <c r="AG40" s="645">
        <v>4.3244315081583782</v>
      </c>
      <c r="AH40" s="645">
        <v>456.67759211018512</v>
      </c>
      <c r="AI40" s="645">
        <v>61.66120404388996</v>
      </c>
      <c r="AJ40" s="645">
        <v>5.7410832250574444</v>
      </c>
      <c r="AK40" s="645">
        <v>1287.352059336617</v>
      </c>
    </row>
    <row r="41" spans="3:37" x14ac:dyDescent="0.2">
      <c r="C41" s="639" t="s">
        <v>84</v>
      </c>
      <c r="D41" s="640">
        <v>0</v>
      </c>
      <c r="E41" s="640">
        <v>0</v>
      </c>
      <c r="F41" s="640">
        <v>120.50577840542185</v>
      </c>
      <c r="G41" s="640">
        <v>12.411293173801123</v>
      </c>
      <c r="H41" s="640">
        <v>0</v>
      </c>
      <c r="I41" s="640">
        <v>0</v>
      </c>
      <c r="J41" s="640">
        <v>0</v>
      </c>
      <c r="K41" s="640">
        <v>0</v>
      </c>
      <c r="L41" s="640">
        <v>0</v>
      </c>
      <c r="M41" s="640">
        <v>0</v>
      </c>
      <c r="N41" s="640">
        <v>0</v>
      </c>
      <c r="O41" s="640">
        <v>0</v>
      </c>
      <c r="P41" s="640">
        <v>0</v>
      </c>
      <c r="Q41" s="640">
        <v>0</v>
      </c>
      <c r="R41" s="640">
        <v>0</v>
      </c>
      <c r="S41" s="648">
        <v>132.91707157922298</v>
      </c>
      <c r="U41" s="639" t="s">
        <v>84</v>
      </c>
      <c r="V41" s="640">
        <v>0</v>
      </c>
      <c r="W41" s="640">
        <v>0</v>
      </c>
      <c r="X41" s="640">
        <v>117.28279502427566</v>
      </c>
      <c r="Y41" s="640">
        <v>1.8168604665649504</v>
      </c>
      <c r="Z41" s="640">
        <v>0</v>
      </c>
      <c r="AA41" s="640">
        <v>0</v>
      </c>
      <c r="AB41" s="640">
        <v>0</v>
      </c>
      <c r="AC41" s="640">
        <v>0</v>
      </c>
      <c r="AD41" s="640">
        <v>0.35207966308593752</v>
      </c>
      <c r="AE41" s="640">
        <v>0</v>
      </c>
      <c r="AF41" s="640">
        <v>0</v>
      </c>
      <c r="AG41" s="640">
        <v>0</v>
      </c>
      <c r="AH41" s="640">
        <v>0</v>
      </c>
      <c r="AI41" s="640">
        <v>0</v>
      </c>
      <c r="AJ41" s="640">
        <v>1.7189814819335938</v>
      </c>
      <c r="AK41" s="648">
        <v>121.17071663586013</v>
      </c>
    </row>
    <row r="42" spans="3:37" x14ac:dyDescent="0.2">
      <c r="C42" s="644" t="s">
        <v>85</v>
      </c>
      <c r="D42" s="645">
        <v>6.5032741679727843</v>
      </c>
      <c r="E42" s="645">
        <v>0</v>
      </c>
      <c r="F42" s="645">
        <v>567.49484833816337</v>
      </c>
      <c r="G42" s="645">
        <v>300.36147067953311</v>
      </c>
      <c r="H42" s="645">
        <v>0</v>
      </c>
      <c r="I42" s="645">
        <v>0</v>
      </c>
      <c r="J42" s="645">
        <v>102.29885085722037</v>
      </c>
      <c r="K42" s="645">
        <v>1.8026731844749846</v>
      </c>
      <c r="L42" s="645">
        <v>36.783626860690426</v>
      </c>
      <c r="M42" s="645">
        <v>5.8953050861011809</v>
      </c>
      <c r="N42" s="645">
        <v>49.514351265721807</v>
      </c>
      <c r="O42" s="645">
        <v>2.8493182047113157</v>
      </c>
      <c r="P42" s="645">
        <v>454.71077961406559</v>
      </c>
      <c r="Q42" s="645">
        <v>36.463227585949028</v>
      </c>
      <c r="R42" s="645">
        <v>0.71363666999870479</v>
      </c>
      <c r="S42" s="645">
        <v>1565.3913625146026</v>
      </c>
      <c r="U42" s="644" t="s">
        <v>85</v>
      </c>
      <c r="V42" s="645">
        <v>0.86555588121413052</v>
      </c>
      <c r="W42" s="645">
        <v>0</v>
      </c>
      <c r="X42" s="645">
        <v>439.61253989928008</v>
      </c>
      <c r="Y42" s="645">
        <v>202.05708396743208</v>
      </c>
      <c r="Z42" s="645">
        <v>0</v>
      </c>
      <c r="AA42" s="645">
        <v>0</v>
      </c>
      <c r="AB42" s="645">
        <v>98.323998973757497</v>
      </c>
      <c r="AC42" s="645">
        <v>6.032015642283147</v>
      </c>
      <c r="AD42" s="645">
        <v>48.149378940757181</v>
      </c>
      <c r="AE42" s="645">
        <v>22.267684573608886</v>
      </c>
      <c r="AF42" s="645">
        <v>61.091225724919909</v>
      </c>
      <c r="AG42" s="645">
        <v>4.3244315081583782</v>
      </c>
      <c r="AH42" s="645">
        <v>456.67759211018512</v>
      </c>
      <c r="AI42" s="645">
        <v>61.66120404388996</v>
      </c>
      <c r="AJ42" s="645">
        <v>7.4600647069910382</v>
      </c>
      <c r="AK42" s="645">
        <v>1408.5227759724771</v>
      </c>
    </row>
    <row r="43" spans="3:37" x14ac:dyDescent="0.2">
      <c r="C43" s="634"/>
      <c r="D43" s="634"/>
      <c r="E43" s="634"/>
      <c r="F43" s="634"/>
      <c r="G43" s="634"/>
      <c r="H43" s="634"/>
      <c r="I43" s="634"/>
      <c r="J43" s="634"/>
      <c r="K43" s="634"/>
      <c r="L43" s="634"/>
      <c r="M43" s="634"/>
      <c r="N43" s="634"/>
      <c r="O43" s="634"/>
      <c r="P43" s="634"/>
      <c r="Q43" s="634"/>
      <c r="R43" s="634"/>
      <c r="S43" s="634"/>
      <c r="U43" s="634"/>
      <c r="V43" s="634"/>
      <c r="W43" s="634"/>
      <c r="X43" s="634"/>
      <c r="Y43" s="634"/>
      <c r="Z43" s="634"/>
      <c r="AA43" s="634"/>
      <c r="AB43" s="634"/>
      <c r="AC43" s="634"/>
      <c r="AD43" s="634"/>
      <c r="AE43" s="634"/>
      <c r="AF43" s="634"/>
      <c r="AG43" s="634"/>
      <c r="AH43" s="634"/>
      <c r="AI43" s="634"/>
      <c r="AJ43" s="634"/>
      <c r="AK43" s="634"/>
    </row>
    <row r="44" spans="3:37" ht="22.5" x14ac:dyDescent="0.3">
      <c r="C44" s="759" t="s">
        <v>357</v>
      </c>
      <c r="D44" s="759"/>
      <c r="E44" s="759"/>
      <c r="F44" s="759"/>
      <c r="G44" s="759"/>
      <c r="H44" s="759"/>
      <c r="I44" s="759"/>
      <c r="J44" s="759"/>
      <c r="K44" s="759"/>
      <c r="L44" s="759"/>
      <c r="M44" s="759"/>
      <c r="N44" s="759"/>
      <c r="O44" s="759"/>
      <c r="P44" s="759"/>
      <c r="Q44" s="759"/>
      <c r="R44" s="759"/>
      <c r="S44" s="759"/>
      <c r="U44" s="759" t="s">
        <v>357</v>
      </c>
      <c r="V44" s="759"/>
      <c r="W44" s="759"/>
      <c r="X44" s="759"/>
      <c r="Y44" s="759"/>
      <c r="Z44" s="759"/>
      <c r="AA44" s="759"/>
      <c r="AB44" s="759"/>
      <c r="AC44" s="759"/>
      <c r="AD44" s="759"/>
      <c r="AE44" s="759"/>
      <c r="AF44" s="759"/>
      <c r="AG44" s="759"/>
      <c r="AH44" s="759"/>
      <c r="AI44" s="759"/>
      <c r="AJ44" s="759"/>
      <c r="AK44" s="759"/>
    </row>
    <row r="45" spans="3:37" x14ac:dyDescent="0.2">
      <c r="C45" s="634"/>
      <c r="D45" s="634"/>
      <c r="E45" s="634"/>
      <c r="F45" s="634"/>
      <c r="G45" s="634"/>
      <c r="H45" s="634"/>
      <c r="I45" s="634"/>
      <c r="J45" s="634"/>
      <c r="K45" s="634"/>
      <c r="L45" s="634"/>
      <c r="M45" s="634"/>
      <c r="N45" s="634"/>
      <c r="O45" s="634"/>
      <c r="P45" s="634"/>
      <c r="Q45" s="634"/>
      <c r="R45" s="634"/>
      <c r="S45" s="634"/>
      <c r="U45" s="634"/>
      <c r="V45" s="634"/>
      <c r="W45" s="634"/>
      <c r="X45" s="634"/>
      <c r="Y45" s="634"/>
      <c r="Z45" s="634"/>
      <c r="AA45" s="634"/>
      <c r="AB45" s="634"/>
      <c r="AC45" s="634"/>
      <c r="AD45" s="634"/>
      <c r="AE45" s="634"/>
      <c r="AF45" s="634"/>
      <c r="AG45" s="634"/>
      <c r="AH45" s="634"/>
      <c r="AI45" s="634"/>
      <c r="AJ45" s="634"/>
      <c r="AK45" s="634"/>
    </row>
    <row r="46" spans="3:37" ht="12.95" customHeight="1" x14ac:dyDescent="0.2">
      <c r="C46" s="758" t="s">
        <v>128</v>
      </c>
      <c r="D46" s="757" t="s">
        <v>42</v>
      </c>
      <c r="E46" s="757" t="s">
        <v>52</v>
      </c>
      <c r="F46" s="757" t="s">
        <v>53</v>
      </c>
      <c r="G46" s="757" t="s">
        <v>32</v>
      </c>
      <c r="H46" s="757" t="s">
        <v>20</v>
      </c>
      <c r="I46" s="757" t="s">
        <v>55</v>
      </c>
      <c r="J46" s="757" t="s">
        <v>56</v>
      </c>
      <c r="K46" s="757"/>
      <c r="L46" s="757"/>
      <c r="M46" s="757"/>
      <c r="N46" s="757"/>
      <c r="O46" s="757"/>
      <c r="P46" s="757" t="s">
        <v>57</v>
      </c>
      <c r="Q46" s="757" t="s">
        <v>58</v>
      </c>
      <c r="R46" s="757" t="s">
        <v>31</v>
      </c>
      <c r="S46" s="757" t="s">
        <v>10</v>
      </c>
      <c r="U46" s="758" t="s">
        <v>128</v>
      </c>
      <c r="V46" s="757" t="s">
        <v>42</v>
      </c>
      <c r="W46" s="757" t="s">
        <v>52</v>
      </c>
      <c r="X46" s="757" t="s">
        <v>53</v>
      </c>
      <c r="Y46" s="757" t="s">
        <v>32</v>
      </c>
      <c r="Z46" s="757" t="s">
        <v>20</v>
      </c>
      <c r="AA46" s="757" t="s">
        <v>55</v>
      </c>
      <c r="AB46" s="757" t="s">
        <v>56</v>
      </c>
      <c r="AC46" s="757"/>
      <c r="AD46" s="757"/>
      <c r="AE46" s="757"/>
      <c r="AF46" s="757"/>
      <c r="AG46" s="757"/>
      <c r="AH46" s="757" t="s">
        <v>57</v>
      </c>
      <c r="AI46" s="757" t="s">
        <v>58</v>
      </c>
      <c r="AJ46" s="757" t="s">
        <v>31</v>
      </c>
      <c r="AK46" s="757" t="s">
        <v>10</v>
      </c>
    </row>
    <row r="47" spans="3:37" ht="56.25" x14ac:dyDescent="0.2">
      <c r="C47" s="758"/>
      <c r="D47" s="757"/>
      <c r="E47" s="757"/>
      <c r="F47" s="757"/>
      <c r="G47" s="757"/>
      <c r="H47" s="757"/>
      <c r="I47" s="757"/>
      <c r="J47" s="638" t="s">
        <v>335</v>
      </c>
      <c r="K47" s="638" t="s">
        <v>40</v>
      </c>
      <c r="L47" s="638" t="s">
        <v>343</v>
      </c>
      <c r="M47" s="638" t="s">
        <v>344</v>
      </c>
      <c r="N47" s="638" t="s">
        <v>345</v>
      </c>
      <c r="O47" s="638" t="s">
        <v>346</v>
      </c>
      <c r="P47" s="757"/>
      <c r="Q47" s="757"/>
      <c r="R47" s="757"/>
      <c r="S47" s="757"/>
      <c r="U47" s="758"/>
      <c r="V47" s="757"/>
      <c r="W47" s="757"/>
      <c r="X47" s="757"/>
      <c r="Y47" s="757"/>
      <c r="Z47" s="757"/>
      <c r="AA47" s="757"/>
      <c r="AB47" s="638" t="s">
        <v>335</v>
      </c>
      <c r="AC47" s="638" t="s">
        <v>40</v>
      </c>
      <c r="AD47" s="638" t="s">
        <v>343</v>
      </c>
      <c r="AE47" s="638" t="s">
        <v>344</v>
      </c>
      <c r="AF47" s="638" t="s">
        <v>345</v>
      </c>
      <c r="AG47" s="638" t="s">
        <v>346</v>
      </c>
      <c r="AH47" s="757"/>
      <c r="AI47" s="757"/>
      <c r="AJ47" s="757"/>
      <c r="AK47" s="757"/>
    </row>
    <row r="48" spans="3:37" x14ac:dyDescent="0.2">
      <c r="C48" s="639" t="s">
        <v>59</v>
      </c>
      <c r="D48" s="640">
        <v>0</v>
      </c>
      <c r="E48" s="641">
        <v>7.3966799999999999</v>
      </c>
      <c r="F48" s="641">
        <v>0</v>
      </c>
      <c r="G48" s="640">
        <v>0.13025600000000001</v>
      </c>
      <c r="H48" s="641">
        <v>1121.3636363636365</v>
      </c>
      <c r="I48" s="641">
        <v>207.57369132422022</v>
      </c>
      <c r="J48" s="641">
        <v>190.75115787672021</v>
      </c>
      <c r="K48" s="641">
        <v>21.756321957796004</v>
      </c>
      <c r="L48" s="641">
        <v>0.34997737871272444</v>
      </c>
      <c r="M48" s="641">
        <v>0.14846473955328648</v>
      </c>
      <c r="N48" s="641">
        <v>54.409714472774652</v>
      </c>
      <c r="O48" s="641">
        <v>8.1015620286034657</v>
      </c>
      <c r="P48" s="642">
        <v>0</v>
      </c>
      <c r="Q48" s="641">
        <v>0</v>
      </c>
      <c r="R48" s="641">
        <v>0</v>
      </c>
      <c r="S48" s="643">
        <v>1611.9814621420169</v>
      </c>
      <c r="U48" s="639" t="s">
        <v>59</v>
      </c>
      <c r="V48" s="640">
        <v>0</v>
      </c>
      <c r="W48" s="641">
        <v>7.3966799999999999</v>
      </c>
      <c r="X48" s="641">
        <v>0</v>
      </c>
      <c r="Y48" s="640">
        <v>0.13025600000000001</v>
      </c>
      <c r="Z48" s="641">
        <v>1024.3939393939395</v>
      </c>
      <c r="AA48" s="641">
        <v>228.1236913242202</v>
      </c>
      <c r="AB48" s="641">
        <v>188.80425896422437</v>
      </c>
      <c r="AC48" s="641">
        <v>37.588366510920622</v>
      </c>
      <c r="AD48" s="641">
        <v>0.34997737871272444</v>
      </c>
      <c r="AE48" s="641">
        <v>0.14846473955328648</v>
      </c>
      <c r="AF48" s="641">
        <v>70.498567758341522</v>
      </c>
      <c r="AG48" s="641">
        <v>15.201618538088493</v>
      </c>
      <c r="AH48" s="642">
        <v>0</v>
      </c>
      <c r="AI48" s="641">
        <v>0</v>
      </c>
      <c r="AJ48" s="641">
        <v>0</v>
      </c>
      <c r="AK48" s="643">
        <v>1572.6358206080006</v>
      </c>
    </row>
    <row r="49" spans="3:37" x14ac:dyDescent="0.2">
      <c r="C49" s="639" t="s">
        <v>60</v>
      </c>
      <c r="D49" s="640">
        <v>48.993463204278932</v>
      </c>
      <c r="E49" s="641">
        <v>524.37115290345116</v>
      </c>
      <c r="F49" s="641">
        <v>128.47715148642752</v>
      </c>
      <c r="G49" s="640">
        <v>338.60190682175607</v>
      </c>
      <c r="H49" s="641">
        <v>0</v>
      </c>
      <c r="I49" s="641">
        <v>0</v>
      </c>
      <c r="J49" s="641">
        <v>3.4492102766833175</v>
      </c>
      <c r="K49" s="641">
        <v>0</v>
      </c>
      <c r="L49" s="641">
        <v>1.9497058389942057</v>
      </c>
      <c r="M49" s="641">
        <v>0</v>
      </c>
      <c r="N49" s="641">
        <v>0</v>
      </c>
      <c r="O49" s="641">
        <v>0</v>
      </c>
      <c r="P49" s="642">
        <v>0</v>
      </c>
      <c r="Q49" s="641">
        <v>0</v>
      </c>
      <c r="R49" s="641">
        <v>0</v>
      </c>
      <c r="S49" s="643">
        <v>1045.8425905315912</v>
      </c>
      <c r="U49" s="639" t="s">
        <v>60</v>
      </c>
      <c r="V49" s="640">
        <v>10.847134235204434</v>
      </c>
      <c r="W49" s="641">
        <v>365.76498082844296</v>
      </c>
      <c r="X49" s="641">
        <v>91.958139733680838</v>
      </c>
      <c r="Y49" s="640">
        <v>234.76100914366791</v>
      </c>
      <c r="Z49" s="641">
        <v>0</v>
      </c>
      <c r="AA49" s="641">
        <v>0</v>
      </c>
      <c r="AB49" s="641">
        <v>3.4492102766833175</v>
      </c>
      <c r="AC49" s="641">
        <v>0</v>
      </c>
      <c r="AD49" s="641">
        <v>1.9497058389942057</v>
      </c>
      <c r="AE49" s="641">
        <v>0</v>
      </c>
      <c r="AF49" s="641">
        <v>0</v>
      </c>
      <c r="AG49" s="641">
        <v>0</v>
      </c>
      <c r="AH49" s="642">
        <v>0</v>
      </c>
      <c r="AI49" s="641">
        <v>0</v>
      </c>
      <c r="AJ49" s="641">
        <v>0</v>
      </c>
      <c r="AK49" s="643">
        <v>708.7301800566737</v>
      </c>
    </row>
    <row r="50" spans="3:37" x14ac:dyDescent="0.2">
      <c r="C50" s="639" t="s">
        <v>61</v>
      </c>
      <c r="D50" s="640">
        <v>0</v>
      </c>
      <c r="E50" s="641">
        <v>0</v>
      </c>
      <c r="F50" s="641">
        <v>0</v>
      </c>
      <c r="G50" s="640">
        <v>0</v>
      </c>
      <c r="H50" s="641">
        <v>0</v>
      </c>
      <c r="I50" s="641">
        <v>0</v>
      </c>
      <c r="J50" s="641">
        <v>0</v>
      </c>
      <c r="K50" s="641">
        <v>0</v>
      </c>
      <c r="L50" s="641">
        <v>0</v>
      </c>
      <c r="M50" s="641">
        <v>0</v>
      </c>
      <c r="N50" s="641">
        <v>0</v>
      </c>
      <c r="O50" s="641">
        <v>0</v>
      </c>
      <c r="P50" s="642">
        <v>-60.003896317889257</v>
      </c>
      <c r="Q50" s="641">
        <v>0</v>
      </c>
      <c r="R50" s="641">
        <v>0</v>
      </c>
      <c r="S50" s="643">
        <v>-60.003896317889257</v>
      </c>
      <c r="U50" s="639" t="s">
        <v>61</v>
      </c>
      <c r="V50" s="640">
        <v>0</v>
      </c>
      <c r="W50" s="641">
        <v>0</v>
      </c>
      <c r="X50" s="641">
        <v>0</v>
      </c>
      <c r="Y50" s="640">
        <v>0</v>
      </c>
      <c r="Z50" s="641">
        <v>0</v>
      </c>
      <c r="AA50" s="641">
        <v>0</v>
      </c>
      <c r="AB50" s="641">
        <v>0</v>
      </c>
      <c r="AC50" s="641">
        <v>0</v>
      </c>
      <c r="AD50" s="641">
        <v>0</v>
      </c>
      <c r="AE50" s="641">
        <v>0</v>
      </c>
      <c r="AF50" s="641">
        <v>0</v>
      </c>
      <c r="AG50" s="641">
        <v>0</v>
      </c>
      <c r="AH50" s="642">
        <v>-43.289743938015249</v>
      </c>
      <c r="AI50" s="641">
        <v>0</v>
      </c>
      <c r="AJ50" s="641">
        <v>0</v>
      </c>
      <c r="AK50" s="643">
        <v>-43.289743938015249</v>
      </c>
    </row>
    <row r="51" spans="3:37" x14ac:dyDescent="0.2">
      <c r="C51" s="639" t="s">
        <v>62</v>
      </c>
      <c r="D51" s="640">
        <v>0</v>
      </c>
      <c r="E51" s="641">
        <v>0</v>
      </c>
      <c r="F51" s="641">
        <v>-16.352432750095883</v>
      </c>
      <c r="G51" s="640">
        <v>0</v>
      </c>
      <c r="H51" s="641">
        <v>0</v>
      </c>
      <c r="I51" s="641">
        <v>0</v>
      </c>
      <c r="J51" s="641">
        <v>0</v>
      </c>
      <c r="K51" s="641">
        <v>0</v>
      </c>
      <c r="L51" s="641">
        <v>0</v>
      </c>
      <c r="M51" s="641">
        <v>0</v>
      </c>
      <c r="N51" s="641">
        <v>0</v>
      </c>
      <c r="O51" s="641">
        <v>0</v>
      </c>
      <c r="P51" s="642">
        <v>0</v>
      </c>
      <c r="Q51" s="641">
        <v>0</v>
      </c>
      <c r="R51" s="641">
        <v>0</v>
      </c>
      <c r="S51" s="643">
        <v>-16.352432750095883</v>
      </c>
      <c r="U51" s="639" t="s">
        <v>62</v>
      </c>
      <c r="V51" s="640">
        <v>0</v>
      </c>
      <c r="W51" s="641">
        <v>0</v>
      </c>
      <c r="X51" s="641">
        <v>-14.208433022133823</v>
      </c>
      <c r="Y51" s="640">
        <v>-0.95675088928507923</v>
      </c>
      <c r="Z51" s="641">
        <v>0</v>
      </c>
      <c r="AA51" s="641">
        <v>0</v>
      </c>
      <c r="AB51" s="641">
        <v>0</v>
      </c>
      <c r="AC51" s="641">
        <v>0</v>
      </c>
      <c r="AD51" s="641">
        <v>0</v>
      </c>
      <c r="AE51" s="641">
        <v>-0.16736955973660289</v>
      </c>
      <c r="AF51" s="641">
        <v>0</v>
      </c>
      <c r="AG51" s="641">
        <v>0</v>
      </c>
      <c r="AH51" s="642">
        <v>0</v>
      </c>
      <c r="AI51" s="641">
        <v>0</v>
      </c>
      <c r="AJ51" s="641">
        <v>0</v>
      </c>
      <c r="AK51" s="643">
        <v>-15.332553471155505</v>
      </c>
    </row>
    <row r="52" spans="3:37" x14ac:dyDescent="0.2">
      <c r="C52" s="639" t="s">
        <v>63</v>
      </c>
      <c r="D52" s="640">
        <v>0</v>
      </c>
      <c r="E52" s="641">
        <v>0</v>
      </c>
      <c r="F52" s="641">
        <v>-82.364123594751035</v>
      </c>
      <c r="G52" s="640">
        <v>0</v>
      </c>
      <c r="H52" s="641">
        <v>0</v>
      </c>
      <c r="I52" s="641">
        <v>0</v>
      </c>
      <c r="J52" s="641">
        <v>0</v>
      </c>
      <c r="K52" s="641">
        <v>0</v>
      </c>
      <c r="L52" s="641">
        <v>-0.84952974503182688</v>
      </c>
      <c r="M52" s="641">
        <v>0</v>
      </c>
      <c r="N52" s="641">
        <v>0</v>
      </c>
      <c r="O52" s="641">
        <v>0</v>
      </c>
      <c r="P52" s="642">
        <v>0</v>
      </c>
      <c r="Q52" s="641">
        <v>0</v>
      </c>
      <c r="R52" s="641">
        <v>0</v>
      </c>
      <c r="S52" s="643">
        <v>-83.213653339782866</v>
      </c>
      <c r="U52" s="639" t="s">
        <v>63</v>
      </c>
      <c r="V52" s="640">
        <v>0</v>
      </c>
      <c r="W52" s="641">
        <v>0</v>
      </c>
      <c r="X52" s="641">
        <v>-71.599112277853877</v>
      </c>
      <c r="Y52" s="640">
        <v>0</v>
      </c>
      <c r="Z52" s="641">
        <v>0</v>
      </c>
      <c r="AA52" s="641">
        <v>0</v>
      </c>
      <c r="AB52" s="641">
        <v>0</v>
      </c>
      <c r="AC52" s="641">
        <v>0</v>
      </c>
      <c r="AD52" s="641">
        <v>-10.622786066784549</v>
      </c>
      <c r="AE52" s="641">
        <v>0</v>
      </c>
      <c r="AF52" s="641">
        <v>0</v>
      </c>
      <c r="AG52" s="641">
        <v>0</v>
      </c>
      <c r="AH52" s="642">
        <v>0</v>
      </c>
      <c r="AI52" s="641">
        <v>0</v>
      </c>
      <c r="AJ52" s="641">
        <v>0</v>
      </c>
      <c r="AK52" s="643">
        <v>-82.221898344638419</v>
      </c>
    </row>
    <row r="53" spans="3:37" x14ac:dyDescent="0.2">
      <c r="C53" s="639" t="s">
        <v>64</v>
      </c>
      <c r="D53" s="640">
        <v>0</v>
      </c>
      <c r="E53" s="641">
        <v>0</v>
      </c>
      <c r="F53" s="641">
        <v>0</v>
      </c>
      <c r="G53" s="640">
        <v>0</v>
      </c>
      <c r="H53" s="641">
        <v>0</v>
      </c>
      <c r="I53" s="641">
        <v>0</v>
      </c>
      <c r="J53" s="641">
        <v>0</v>
      </c>
      <c r="K53" s="641">
        <v>0</v>
      </c>
      <c r="L53" s="641">
        <v>0</v>
      </c>
      <c r="M53" s="641">
        <v>0</v>
      </c>
      <c r="N53" s="641">
        <v>0</v>
      </c>
      <c r="O53" s="641">
        <v>0</v>
      </c>
      <c r="P53" s="642">
        <v>0</v>
      </c>
      <c r="Q53" s="641">
        <v>0</v>
      </c>
      <c r="R53" s="641">
        <v>0</v>
      </c>
      <c r="S53" s="643">
        <v>0</v>
      </c>
      <c r="U53" s="639" t="s">
        <v>64</v>
      </c>
      <c r="V53" s="640">
        <v>0</v>
      </c>
      <c r="W53" s="641">
        <v>0</v>
      </c>
      <c r="X53" s="641">
        <v>0</v>
      </c>
      <c r="Y53" s="640">
        <v>0</v>
      </c>
      <c r="Z53" s="641">
        <v>0</v>
      </c>
      <c r="AA53" s="641">
        <v>0</v>
      </c>
      <c r="AB53" s="641">
        <v>0</v>
      </c>
      <c r="AC53" s="641">
        <v>0</v>
      </c>
      <c r="AD53" s="641">
        <v>0</v>
      </c>
      <c r="AE53" s="641">
        <v>0</v>
      </c>
      <c r="AF53" s="641">
        <v>0</v>
      </c>
      <c r="AG53" s="641">
        <v>0</v>
      </c>
      <c r="AH53" s="642">
        <v>0</v>
      </c>
      <c r="AI53" s="641">
        <v>0</v>
      </c>
      <c r="AJ53" s="641">
        <v>0</v>
      </c>
      <c r="AK53" s="643">
        <v>0</v>
      </c>
    </row>
    <row r="54" spans="3:37" x14ac:dyDescent="0.2">
      <c r="C54" s="644" t="s">
        <v>65</v>
      </c>
      <c r="D54" s="645">
        <v>48.993463204278932</v>
      </c>
      <c r="E54" s="645">
        <v>531.76783290345111</v>
      </c>
      <c r="F54" s="645">
        <v>29.760595141580591</v>
      </c>
      <c r="G54" s="645">
        <v>338.73216282175605</v>
      </c>
      <c r="H54" s="645">
        <v>1121.3636363636365</v>
      </c>
      <c r="I54" s="645">
        <v>207.57369132422022</v>
      </c>
      <c r="J54" s="645">
        <v>194.20036815340353</v>
      </c>
      <c r="K54" s="645">
        <v>21.756321957796004</v>
      </c>
      <c r="L54" s="645">
        <v>1.4501534726751033</v>
      </c>
      <c r="M54" s="645">
        <v>0.14846473955328648</v>
      </c>
      <c r="N54" s="645">
        <v>54.409714472774652</v>
      </c>
      <c r="O54" s="645">
        <v>8.1015620286034657</v>
      </c>
      <c r="P54" s="645">
        <v>-60.003896317889257</v>
      </c>
      <c r="Q54" s="645">
        <v>0</v>
      </c>
      <c r="R54" s="645">
        <v>0</v>
      </c>
      <c r="S54" s="645">
        <v>2498.2540702658398</v>
      </c>
      <c r="U54" s="644" t="s">
        <v>65</v>
      </c>
      <c r="V54" s="645">
        <v>10.847134235204434</v>
      </c>
      <c r="W54" s="645">
        <v>373.16166082844296</v>
      </c>
      <c r="X54" s="645">
        <v>6.1505944336931329</v>
      </c>
      <c r="Y54" s="645">
        <v>233.93451425438283</v>
      </c>
      <c r="Z54" s="645">
        <v>1024.3939393939395</v>
      </c>
      <c r="AA54" s="645">
        <v>228.1236913242202</v>
      </c>
      <c r="AB54" s="645">
        <v>192.25346924090769</v>
      </c>
      <c r="AC54" s="645">
        <v>37.588366510920622</v>
      </c>
      <c r="AD54" s="645">
        <v>-8.3231028490776193</v>
      </c>
      <c r="AE54" s="645">
        <v>-1.8904820183316406E-2</v>
      </c>
      <c r="AF54" s="645">
        <v>70.498567758341522</v>
      </c>
      <c r="AG54" s="645">
        <v>15.201618538088493</v>
      </c>
      <c r="AH54" s="645">
        <v>-43.289743938015249</v>
      </c>
      <c r="AI54" s="645">
        <v>0</v>
      </c>
      <c r="AJ54" s="645">
        <v>0</v>
      </c>
      <c r="AK54" s="645">
        <v>2140.5218049108653</v>
      </c>
    </row>
    <row r="55" spans="3:37" x14ac:dyDescent="0.2">
      <c r="C55" s="634"/>
      <c r="D55" s="634">
        <v>0</v>
      </c>
      <c r="E55" s="634">
        <v>0</v>
      </c>
      <c r="F55" s="634">
        <v>0</v>
      </c>
      <c r="G55" s="634">
        <v>0</v>
      </c>
      <c r="H55" s="634">
        <v>0</v>
      </c>
      <c r="I55" s="634">
        <v>0</v>
      </c>
      <c r="J55" s="634">
        <v>0</v>
      </c>
      <c r="K55" s="634">
        <v>0</v>
      </c>
      <c r="L55" s="634">
        <v>0</v>
      </c>
      <c r="M55" s="634">
        <v>0</v>
      </c>
      <c r="N55" s="634">
        <v>0</v>
      </c>
      <c r="O55" s="634">
        <v>0</v>
      </c>
      <c r="P55" s="634">
        <v>0</v>
      </c>
      <c r="Q55" s="634">
        <v>0</v>
      </c>
      <c r="R55" s="634">
        <v>0</v>
      </c>
      <c r="S55" s="634">
        <v>0</v>
      </c>
      <c r="U55" s="634"/>
      <c r="V55" s="634">
        <v>0</v>
      </c>
      <c r="W55" s="634">
        <v>0</v>
      </c>
      <c r="X55" s="634">
        <v>0</v>
      </c>
      <c r="Y55" s="634">
        <v>0</v>
      </c>
      <c r="Z55" s="634">
        <v>0</v>
      </c>
      <c r="AA55" s="634">
        <v>0</v>
      </c>
      <c r="AB55" s="634">
        <v>0</v>
      </c>
      <c r="AC55" s="634">
        <v>0</v>
      </c>
      <c r="AD55" s="634">
        <v>0</v>
      </c>
      <c r="AE55" s="634">
        <v>0</v>
      </c>
      <c r="AF55" s="634">
        <v>0</v>
      </c>
      <c r="AG55" s="634">
        <v>0</v>
      </c>
      <c r="AH55" s="634">
        <v>0</v>
      </c>
      <c r="AI55" s="634">
        <v>0</v>
      </c>
      <c r="AJ55" s="634">
        <v>0</v>
      </c>
      <c r="AK55" s="634">
        <v>0</v>
      </c>
    </row>
    <row r="56" spans="3:37" x14ac:dyDescent="0.2">
      <c r="C56" s="646" t="s">
        <v>67</v>
      </c>
      <c r="D56" s="640">
        <v>0</v>
      </c>
      <c r="E56" s="647">
        <v>0</v>
      </c>
      <c r="F56" s="647">
        <v>0</v>
      </c>
      <c r="G56" s="640">
        <v>0</v>
      </c>
      <c r="H56" s="640">
        <v>0</v>
      </c>
      <c r="I56" s="640">
        <v>0</v>
      </c>
      <c r="J56" s="640">
        <v>0</v>
      </c>
      <c r="K56" s="640">
        <v>0</v>
      </c>
      <c r="L56" s="640">
        <v>0</v>
      </c>
      <c r="M56" s="640">
        <v>0</v>
      </c>
      <c r="N56" s="640">
        <v>0</v>
      </c>
      <c r="O56" s="640">
        <v>0</v>
      </c>
      <c r="P56" s="640">
        <v>0</v>
      </c>
      <c r="Q56" s="640">
        <v>0</v>
      </c>
      <c r="R56" s="640">
        <v>0</v>
      </c>
      <c r="S56" s="648">
        <v>0</v>
      </c>
      <c r="U56" s="646" t="s">
        <v>67</v>
      </c>
      <c r="V56" s="640">
        <v>0</v>
      </c>
      <c r="W56" s="647">
        <v>0</v>
      </c>
      <c r="X56" s="647">
        <v>0</v>
      </c>
      <c r="Y56" s="640">
        <v>0</v>
      </c>
      <c r="Z56" s="640">
        <v>0</v>
      </c>
      <c r="AA56" s="640">
        <v>0</v>
      </c>
      <c r="AB56" s="640">
        <v>0</v>
      </c>
      <c r="AC56" s="640">
        <v>0</v>
      </c>
      <c r="AD56" s="640">
        <v>0</v>
      </c>
      <c r="AE56" s="640">
        <v>0</v>
      </c>
      <c r="AF56" s="640">
        <v>0</v>
      </c>
      <c r="AG56" s="640">
        <v>0</v>
      </c>
      <c r="AH56" s="640">
        <v>0</v>
      </c>
      <c r="AI56" s="640">
        <v>0</v>
      </c>
      <c r="AJ56" s="640">
        <v>0</v>
      </c>
      <c r="AK56" s="648">
        <v>0</v>
      </c>
    </row>
    <row r="57" spans="3:37" x14ac:dyDescent="0.2">
      <c r="C57" s="646" t="s">
        <v>347</v>
      </c>
      <c r="D57" s="640">
        <v>2.8267856410252494</v>
      </c>
      <c r="E57" s="640">
        <v>0</v>
      </c>
      <c r="F57" s="640">
        <v>7.7941116668718937</v>
      </c>
      <c r="G57" s="640">
        <v>17.578475336322871</v>
      </c>
      <c r="H57" s="640">
        <v>1121.3636363636365</v>
      </c>
      <c r="I57" s="640">
        <v>207.57369132422022</v>
      </c>
      <c r="J57" s="649">
        <v>30.869450548245954</v>
      </c>
      <c r="K57" s="649">
        <v>7.6561165469613854</v>
      </c>
      <c r="L57" s="649">
        <v>2.2996832177069302</v>
      </c>
      <c r="M57" s="649">
        <v>0.47494016865067573</v>
      </c>
      <c r="N57" s="649">
        <v>0</v>
      </c>
      <c r="O57" s="649">
        <v>3.0833964576427819</v>
      </c>
      <c r="P57" s="640">
        <v>-607.79183020434141</v>
      </c>
      <c r="Q57" s="640">
        <v>0</v>
      </c>
      <c r="R57" s="640">
        <v>0</v>
      </c>
      <c r="S57" s="648">
        <v>793.72845706694284</v>
      </c>
      <c r="U57" s="646" t="s">
        <v>347</v>
      </c>
      <c r="V57" s="640">
        <v>0.62631490545869017</v>
      </c>
      <c r="W57" s="640">
        <v>0</v>
      </c>
      <c r="X57" s="640">
        <v>3.93047530323553</v>
      </c>
      <c r="Y57" s="640">
        <v>32.755695067264575</v>
      </c>
      <c r="Z57" s="640">
        <v>1024.3939393939395</v>
      </c>
      <c r="AA57" s="640">
        <v>228.1236913242202</v>
      </c>
      <c r="AB57" s="649">
        <v>25.192532039575013</v>
      </c>
      <c r="AC57" s="649">
        <v>7.1226809684101786</v>
      </c>
      <c r="AD57" s="649">
        <v>2.2996832177069302</v>
      </c>
      <c r="AE57" s="649">
        <v>5.010724922013905</v>
      </c>
      <c r="AF57" s="649">
        <v>0</v>
      </c>
      <c r="AG57" s="649">
        <v>3.0833964576427819</v>
      </c>
      <c r="AH57" s="640">
        <v>-605.04183020434141</v>
      </c>
      <c r="AI57" s="640">
        <v>0</v>
      </c>
      <c r="AJ57" s="640">
        <v>1.4249999999999998</v>
      </c>
      <c r="AK57" s="648">
        <v>728.92230339512548</v>
      </c>
    </row>
    <row r="58" spans="3:37" x14ac:dyDescent="0.2">
      <c r="C58" s="646" t="s">
        <v>348</v>
      </c>
      <c r="D58" s="640">
        <v>0</v>
      </c>
      <c r="E58" s="640">
        <v>0</v>
      </c>
      <c r="F58" s="640">
        <v>0</v>
      </c>
      <c r="G58" s="640">
        <v>15.306890454029709</v>
      </c>
      <c r="H58" s="640">
        <v>0</v>
      </c>
      <c r="I58" s="640">
        <v>0</v>
      </c>
      <c r="J58" s="649">
        <v>13.130836985616687</v>
      </c>
      <c r="K58" s="649">
        <v>12.274327089138302</v>
      </c>
      <c r="L58" s="649">
        <v>0</v>
      </c>
      <c r="M58" s="649">
        <v>0.32594257421966627</v>
      </c>
      <c r="N58" s="649">
        <v>0</v>
      </c>
      <c r="O58" s="649">
        <v>2.1777173090422202</v>
      </c>
      <c r="P58" s="640">
        <v>0</v>
      </c>
      <c r="Q58" s="640">
        <v>-38.962978394907431</v>
      </c>
      <c r="R58" s="640">
        <v>0</v>
      </c>
      <c r="S58" s="648">
        <v>4.2527360171391511</v>
      </c>
      <c r="U58" s="646" t="s">
        <v>348</v>
      </c>
      <c r="V58" s="640">
        <v>0</v>
      </c>
      <c r="W58" s="640">
        <v>0</v>
      </c>
      <c r="X58" s="640">
        <v>0</v>
      </c>
      <c r="Y58" s="640">
        <v>16.285163933286896</v>
      </c>
      <c r="Z58" s="640">
        <v>0</v>
      </c>
      <c r="AA58" s="640">
        <v>0</v>
      </c>
      <c r="AB58" s="649">
        <v>27.330859307935192</v>
      </c>
      <c r="AC58" s="649">
        <v>24.40929016388429</v>
      </c>
      <c r="AD58" s="649">
        <v>0</v>
      </c>
      <c r="AE58" s="649">
        <v>2.4469723551258755</v>
      </c>
      <c r="AF58" s="649">
        <v>0</v>
      </c>
      <c r="AG58" s="649">
        <v>7.1814032045118834</v>
      </c>
      <c r="AH58" s="640">
        <v>0</v>
      </c>
      <c r="AI58" s="640">
        <v>-70.686462815005612</v>
      </c>
      <c r="AJ58" s="640">
        <v>0</v>
      </c>
      <c r="AK58" s="648">
        <v>6.967226149738531</v>
      </c>
    </row>
    <row r="59" spans="3:37" x14ac:dyDescent="0.2">
      <c r="C59" s="646" t="s">
        <v>349</v>
      </c>
      <c r="D59" s="640">
        <v>0</v>
      </c>
      <c r="E59" s="640">
        <v>0</v>
      </c>
      <c r="F59" s="640">
        <v>0</v>
      </c>
      <c r="G59" s="640">
        <v>0</v>
      </c>
      <c r="H59" s="640">
        <v>0</v>
      </c>
      <c r="I59" s="640">
        <v>0</v>
      </c>
      <c r="J59" s="650">
        <v>7.549386302639002</v>
      </c>
      <c r="K59" s="650">
        <v>0</v>
      </c>
      <c r="L59" s="650">
        <v>0</v>
      </c>
      <c r="M59" s="650">
        <v>-6.6642207586545794</v>
      </c>
      <c r="N59" s="650">
        <v>0</v>
      </c>
      <c r="O59" s="650">
        <v>0</v>
      </c>
      <c r="P59" s="640">
        <v>0</v>
      </c>
      <c r="Q59" s="640">
        <v>0</v>
      </c>
      <c r="R59" s="640">
        <v>0</v>
      </c>
      <c r="S59" s="648">
        <v>0.8851655439844226</v>
      </c>
      <c r="U59" s="646" t="s">
        <v>349</v>
      </c>
      <c r="V59" s="640">
        <v>0</v>
      </c>
      <c r="W59" s="640">
        <v>0</v>
      </c>
      <c r="X59" s="640">
        <v>0</v>
      </c>
      <c r="Y59" s="640">
        <v>0</v>
      </c>
      <c r="Z59" s="640">
        <v>0</v>
      </c>
      <c r="AA59" s="640">
        <v>0</v>
      </c>
      <c r="AB59" s="650">
        <v>39.489443827479029</v>
      </c>
      <c r="AC59" s="650">
        <v>0</v>
      </c>
      <c r="AD59" s="650">
        <v>0</v>
      </c>
      <c r="AE59" s="650">
        <v>-34.859306538707116</v>
      </c>
      <c r="AF59" s="650">
        <v>0</v>
      </c>
      <c r="AG59" s="650">
        <v>0</v>
      </c>
      <c r="AH59" s="640">
        <v>0</v>
      </c>
      <c r="AI59" s="640">
        <v>0</v>
      </c>
      <c r="AJ59" s="640">
        <v>0</v>
      </c>
      <c r="AK59" s="648">
        <v>4.6301372887719126</v>
      </c>
    </row>
    <row r="60" spans="3:37" x14ac:dyDescent="0.2">
      <c r="C60" s="646" t="s">
        <v>350</v>
      </c>
      <c r="D60" s="640">
        <v>0</v>
      </c>
      <c r="E60" s="640">
        <v>0</v>
      </c>
      <c r="F60" s="640">
        <v>0</v>
      </c>
      <c r="G60" s="640">
        <v>0</v>
      </c>
      <c r="H60" s="640">
        <v>0</v>
      </c>
      <c r="I60" s="640">
        <v>0</v>
      </c>
      <c r="J60" s="640">
        <v>0</v>
      </c>
      <c r="K60" s="640">
        <v>0</v>
      </c>
      <c r="L60" s="640">
        <v>0</v>
      </c>
      <c r="M60" s="640">
        <v>0</v>
      </c>
      <c r="N60" s="640">
        <v>0</v>
      </c>
      <c r="O60" s="640">
        <v>0</v>
      </c>
      <c r="P60" s="640">
        <v>0</v>
      </c>
      <c r="Q60" s="640">
        <v>0</v>
      </c>
      <c r="R60" s="640">
        <v>0</v>
      </c>
      <c r="S60" s="648">
        <v>0</v>
      </c>
      <c r="U60" s="646" t="s">
        <v>350</v>
      </c>
      <c r="V60" s="640">
        <v>0</v>
      </c>
      <c r="W60" s="640">
        <v>0</v>
      </c>
      <c r="X60" s="640">
        <v>0</v>
      </c>
      <c r="Y60" s="640">
        <v>0</v>
      </c>
      <c r="Z60" s="640">
        <v>0</v>
      </c>
      <c r="AA60" s="640">
        <v>0</v>
      </c>
      <c r="AB60" s="640">
        <v>0</v>
      </c>
      <c r="AC60" s="640">
        <v>0</v>
      </c>
      <c r="AD60" s="640">
        <v>0</v>
      </c>
      <c r="AE60" s="640">
        <v>0</v>
      </c>
      <c r="AF60" s="640">
        <v>0</v>
      </c>
      <c r="AG60" s="640">
        <v>0</v>
      </c>
      <c r="AH60" s="640">
        <v>0</v>
      </c>
      <c r="AI60" s="640">
        <v>0</v>
      </c>
      <c r="AJ60" s="640">
        <v>0</v>
      </c>
      <c r="AK60" s="648">
        <v>0</v>
      </c>
    </row>
    <row r="61" spans="3:37" x14ac:dyDescent="0.2">
      <c r="C61" s="646" t="s">
        <v>72</v>
      </c>
      <c r="D61" s="640">
        <v>0</v>
      </c>
      <c r="E61" s="640">
        <v>550.85495716936975</v>
      </c>
      <c r="F61" s="640">
        <v>-545.34640759767603</v>
      </c>
      <c r="G61" s="640">
        <v>0</v>
      </c>
      <c r="H61" s="640">
        <v>0</v>
      </c>
      <c r="I61" s="640">
        <v>0</v>
      </c>
      <c r="J61" s="640">
        <v>0</v>
      </c>
      <c r="K61" s="640">
        <v>0</v>
      </c>
      <c r="L61" s="640">
        <v>0</v>
      </c>
      <c r="M61" s="640">
        <v>0</v>
      </c>
      <c r="N61" s="640">
        <v>0</v>
      </c>
      <c r="O61" s="640">
        <v>0</v>
      </c>
      <c r="P61" s="640">
        <v>0</v>
      </c>
      <c r="Q61" s="640">
        <v>0</v>
      </c>
      <c r="R61" s="640">
        <v>0</v>
      </c>
      <c r="S61" s="648">
        <v>5.5085495716937203</v>
      </c>
      <c r="U61" s="646" t="s">
        <v>72</v>
      </c>
      <c r="V61" s="640">
        <v>0</v>
      </c>
      <c r="W61" s="640">
        <v>386.55581999113582</v>
      </c>
      <c r="X61" s="640">
        <v>-382.69026179122449</v>
      </c>
      <c r="Y61" s="640">
        <v>0</v>
      </c>
      <c r="Z61" s="640">
        <v>0</v>
      </c>
      <c r="AA61" s="640">
        <v>0</v>
      </c>
      <c r="AB61" s="640">
        <v>0</v>
      </c>
      <c r="AC61" s="640">
        <v>0</v>
      </c>
      <c r="AD61" s="640">
        <v>0</v>
      </c>
      <c r="AE61" s="640">
        <v>0</v>
      </c>
      <c r="AF61" s="640">
        <v>0</v>
      </c>
      <c r="AG61" s="640">
        <v>0</v>
      </c>
      <c r="AH61" s="640">
        <v>0</v>
      </c>
      <c r="AI61" s="640">
        <v>0</v>
      </c>
      <c r="AJ61" s="640">
        <v>0</v>
      </c>
      <c r="AK61" s="648">
        <v>3.8655581999113338</v>
      </c>
    </row>
    <row r="62" spans="3:37" x14ac:dyDescent="0.2">
      <c r="C62" s="646" t="s">
        <v>351</v>
      </c>
      <c r="D62" s="640">
        <v>0</v>
      </c>
      <c r="E62" s="640">
        <v>0</v>
      </c>
      <c r="F62" s="640">
        <v>0</v>
      </c>
      <c r="G62" s="640">
        <v>0</v>
      </c>
      <c r="H62" s="640">
        <v>0</v>
      </c>
      <c r="I62" s="640">
        <v>0</v>
      </c>
      <c r="J62" s="640">
        <v>34.694031238964726</v>
      </c>
      <c r="K62" s="640">
        <v>0</v>
      </c>
      <c r="L62" s="640">
        <v>-34.694031238964726</v>
      </c>
      <c r="M62" s="640">
        <v>0</v>
      </c>
      <c r="N62" s="640">
        <v>0</v>
      </c>
      <c r="O62" s="640">
        <v>0</v>
      </c>
      <c r="P62" s="640">
        <v>0</v>
      </c>
      <c r="Q62" s="640">
        <v>0</v>
      </c>
      <c r="R62" s="640">
        <v>0</v>
      </c>
      <c r="S62" s="648">
        <v>0</v>
      </c>
      <c r="U62" s="646" t="s">
        <v>351</v>
      </c>
      <c r="V62" s="640">
        <v>0</v>
      </c>
      <c r="W62" s="640">
        <v>0</v>
      </c>
      <c r="X62" s="640">
        <v>0</v>
      </c>
      <c r="Y62" s="640">
        <v>0</v>
      </c>
      <c r="Z62" s="640">
        <v>0</v>
      </c>
      <c r="AA62" s="640">
        <v>0</v>
      </c>
      <c r="AB62" s="640" t="e">
        <v>#VALUE!</v>
      </c>
      <c r="AC62" s="640">
        <v>0</v>
      </c>
      <c r="AD62" s="640">
        <v>-64.13008508665132</v>
      </c>
      <c r="AE62" s="640">
        <v>0</v>
      </c>
      <c r="AF62" s="640">
        <v>0</v>
      </c>
      <c r="AG62" s="640">
        <v>0</v>
      </c>
      <c r="AH62" s="640">
        <v>0</v>
      </c>
      <c r="AI62" s="640">
        <v>0</v>
      </c>
      <c r="AJ62" s="640">
        <v>0</v>
      </c>
      <c r="AK62" s="648">
        <v>-64.13008508665132</v>
      </c>
    </row>
    <row r="63" spans="3:37" x14ac:dyDescent="0.2">
      <c r="C63" s="646" t="s">
        <v>352</v>
      </c>
      <c r="D63" s="640">
        <v>0</v>
      </c>
      <c r="E63" s="640">
        <v>0</v>
      </c>
      <c r="F63" s="640">
        <v>0</v>
      </c>
      <c r="G63" s="640">
        <v>0</v>
      </c>
      <c r="H63" s="640">
        <v>0</v>
      </c>
      <c r="I63" s="640">
        <v>0</v>
      </c>
      <c r="J63" s="640">
        <v>0</v>
      </c>
      <c r="K63" s="640">
        <v>0</v>
      </c>
      <c r="L63" s="640">
        <v>0</v>
      </c>
      <c r="M63" s="640">
        <v>0</v>
      </c>
      <c r="N63" s="640">
        <v>0</v>
      </c>
      <c r="O63" s="640">
        <v>0</v>
      </c>
      <c r="P63" s="640">
        <v>0</v>
      </c>
      <c r="Q63" s="640">
        <v>0</v>
      </c>
      <c r="R63" s="640">
        <v>0</v>
      </c>
      <c r="S63" s="648">
        <v>0</v>
      </c>
      <c r="U63" s="646" t="s">
        <v>352</v>
      </c>
      <c r="V63" s="640">
        <v>0</v>
      </c>
      <c r="W63" s="640">
        <v>0</v>
      </c>
      <c r="X63" s="640">
        <v>0</v>
      </c>
      <c r="Y63" s="640">
        <v>0</v>
      </c>
      <c r="Z63" s="640">
        <v>0</v>
      </c>
      <c r="AA63" s="640">
        <v>0</v>
      </c>
      <c r="AB63" s="640">
        <v>0</v>
      </c>
      <c r="AC63" s="640">
        <v>0</v>
      </c>
      <c r="AD63" s="640">
        <v>-12.704571841330187</v>
      </c>
      <c r="AE63" s="640">
        <v>0</v>
      </c>
      <c r="AF63" s="640">
        <v>0</v>
      </c>
      <c r="AG63" s="640">
        <v>0</v>
      </c>
      <c r="AH63" s="640">
        <v>0</v>
      </c>
      <c r="AI63" s="640">
        <v>0</v>
      </c>
      <c r="AJ63" s="640">
        <v>0</v>
      </c>
      <c r="AK63" s="648">
        <v>-12.704571841330187</v>
      </c>
    </row>
    <row r="64" spans="3:37" x14ac:dyDescent="0.2">
      <c r="C64" s="646" t="s">
        <v>73</v>
      </c>
      <c r="D64" s="640">
        <v>0</v>
      </c>
      <c r="E64" s="640">
        <v>0</v>
      </c>
      <c r="F64" s="640">
        <v>0</v>
      </c>
      <c r="G64" s="640">
        <v>2.1153211001028303</v>
      </c>
      <c r="H64" s="640">
        <v>0</v>
      </c>
      <c r="I64" s="640">
        <v>0</v>
      </c>
      <c r="J64" s="640">
        <v>0</v>
      </c>
      <c r="K64" s="640">
        <v>2.387711193000305E-2</v>
      </c>
      <c r="L64" s="640">
        <v>0</v>
      </c>
      <c r="M64" s="640">
        <v>4.3169818369445515E-2</v>
      </c>
      <c r="N64" s="640">
        <v>0</v>
      </c>
      <c r="O64" s="640">
        <v>0</v>
      </c>
      <c r="P64" s="640">
        <v>0.21762333659139796</v>
      </c>
      <c r="Q64" s="640">
        <v>0</v>
      </c>
      <c r="R64" s="640">
        <v>-1.6713978351002134</v>
      </c>
      <c r="S64" s="648">
        <v>0.72859353189346332</v>
      </c>
      <c r="U64" s="646" t="s">
        <v>73</v>
      </c>
      <c r="V64" s="640">
        <v>0</v>
      </c>
      <c r="W64" s="640">
        <v>0</v>
      </c>
      <c r="X64" s="640">
        <v>0</v>
      </c>
      <c r="Y64" s="640">
        <v>5.6183676161021641</v>
      </c>
      <c r="Z64" s="640">
        <v>0</v>
      </c>
      <c r="AA64" s="640">
        <v>0</v>
      </c>
      <c r="AB64" s="640">
        <v>0</v>
      </c>
      <c r="AC64" s="640">
        <v>0.19393074509344391</v>
      </c>
      <c r="AD64" s="640">
        <v>0</v>
      </c>
      <c r="AE64" s="640">
        <v>0.83952619550951879</v>
      </c>
      <c r="AF64" s="640">
        <v>0</v>
      </c>
      <c r="AG64" s="640">
        <v>0</v>
      </c>
      <c r="AH64" s="640">
        <v>13.50321720945872</v>
      </c>
      <c r="AI64" s="640">
        <v>0</v>
      </c>
      <c r="AJ64" s="640">
        <v>-13.575152156541073</v>
      </c>
      <c r="AK64" s="648">
        <v>6.579889609622775</v>
      </c>
    </row>
    <row r="65" spans="3:37" x14ac:dyDescent="0.2">
      <c r="C65" s="646" t="s">
        <v>353</v>
      </c>
      <c r="D65" s="640">
        <v>28.669681406249996</v>
      </c>
      <c r="E65" s="640">
        <v>-19.087124265918664</v>
      </c>
      <c r="F65" s="640">
        <v>24.964831154950382</v>
      </c>
      <c r="G65" s="640">
        <v>0</v>
      </c>
      <c r="H65" s="640">
        <v>0</v>
      </c>
      <c r="I65" s="640">
        <v>0</v>
      </c>
      <c r="J65" s="640">
        <v>0</v>
      </c>
      <c r="K65" s="640">
        <v>0</v>
      </c>
      <c r="L65" s="640">
        <v>0</v>
      </c>
      <c r="M65" s="640">
        <v>0</v>
      </c>
      <c r="N65" s="640">
        <v>0</v>
      </c>
      <c r="O65" s="640">
        <v>0</v>
      </c>
      <c r="P65" s="640">
        <v>0</v>
      </c>
      <c r="Q65" s="640">
        <v>0</v>
      </c>
      <c r="R65" s="640">
        <v>0</v>
      </c>
      <c r="S65" s="648">
        <v>34.547388295281714</v>
      </c>
      <c r="U65" s="646" t="s">
        <v>353</v>
      </c>
      <c r="V65" s="640">
        <v>4.3307530517578128</v>
      </c>
      <c r="W65" s="640">
        <v>-13.394159162692858</v>
      </c>
      <c r="X65" s="640">
        <v>17.518769056071054</v>
      </c>
      <c r="Y65" s="640">
        <v>0</v>
      </c>
      <c r="Z65" s="640">
        <v>0</v>
      </c>
      <c r="AA65" s="640">
        <v>0</v>
      </c>
      <c r="AB65" s="640">
        <v>0</v>
      </c>
      <c r="AC65" s="640">
        <v>0</v>
      </c>
      <c r="AD65" s="640">
        <v>0</v>
      </c>
      <c r="AE65" s="640">
        <v>0</v>
      </c>
      <c r="AF65" s="640">
        <v>0</v>
      </c>
      <c r="AG65" s="640">
        <v>0</v>
      </c>
      <c r="AH65" s="640">
        <v>0</v>
      </c>
      <c r="AI65" s="640">
        <v>0</v>
      </c>
      <c r="AJ65" s="640">
        <v>0</v>
      </c>
      <c r="AK65" s="648">
        <v>8.4553629451360095</v>
      </c>
    </row>
    <row r="66" spans="3:37" x14ac:dyDescent="0.2">
      <c r="C66" s="646" t="s">
        <v>75</v>
      </c>
      <c r="D66" s="640">
        <v>11.149320546875</v>
      </c>
      <c r="E66" s="640">
        <v>0</v>
      </c>
      <c r="F66" s="640">
        <v>18.729068543758572</v>
      </c>
      <c r="G66" s="640">
        <v>5.3443947944572248</v>
      </c>
      <c r="H66" s="640">
        <v>0</v>
      </c>
      <c r="I66" s="640">
        <v>0</v>
      </c>
      <c r="J66" s="640">
        <v>0</v>
      </c>
      <c r="K66" s="640">
        <v>0</v>
      </c>
      <c r="L66" s="640">
        <v>0</v>
      </c>
      <c r="M66" s="640">
        <v>0.10906928151953521</v>
      </c>
      <c r="N66" s="640">
        <v>0</v>
      </c>
      <c r="O66" s="640">
        <v>0</v>
      </c>
      <c r="P66" s="640">
        <v>34.631314570260251</v>
      </c>
      <c r="Q66" s="640">
        <v>0</v>
      </c>
      <c r="R66" s="640">
        <v>0</v>
      </c>
      <c r="S66" s="648">
        <v>69.963167736870574</v>
      </c>
      <c r="U66" s="646" t="s">
        <v>75</v>
      </c>
      <c r="V66" s="640">
        <v>4.9205957031249996</v>
      </c>
      <c r="W66" s="640">
        <v>0</v>
      </c>
      <c r="X66" s="640">
        <v>18.729068543758572</v>
      </c>
      <c r="Y66" s="640">
        <v>4.7445137460997815</v>
      </c>
      <c r="Z66" s="640">
        <v>0</v>
      </c>
      <c r="AA66" s="640">
        <v>0</v>
      </c>
      <c r="AB66" s="640">
        <v>0</v>
      </c>
      <c r="AC66" s="640">
        <v>0</v>
      </c>
      <c r="AD66" s="640">
        <v>0</v>
      </c>
      <c r="AE66" s="640">
        <v>0.70895032987697881</v>
      </c>
      <c r="AF66" s="640">
        <v>0</v>
      </c>
      <c r="AG66" s="640">
        <v>0</v>
      </c>
      <c r="AH66" s="640">
        <v>32.716541842987525</v>
      </c>
      <c r="AI66" s="640">
        <v>0</v>
      </c>
      <c r="AJ66" s="640">
        <v>0</v>
      </c>
      <c r="AK66" s="648">
        <v>61.819670165847853</v>
      </c>
    </row>
    <row r="67" spans="3:37" x14ac:dyDescent="0.2">
      <c r="C67" s="646" t="s">
        <v>76</v>
      </c>
      <c r="D67" s="640">
        <v>0</v>
      </c>
      <c r="E67" s="640">
        <v>0</v>
      </c>
      <c r="F67" s="640">
        <v>0</v>
      </c>
      <c r="G67" s="640">
        <v>3.8720966463328983</v>
      </c>
      <c r="H67" s="640">
        <v>0</v>
      </c>
      <c r="I67" s="640">
        <v>0</v>
      </c>
      <c r="J67" s="640">
        <v>0</v>
      </c>
      <c r="K67" s="640">
        <v>0</v>
      </c>
      <c r="L67" s="640">
        <v>0</v>
      </c>
      <c r="M67" s="640">
        <v>7.9022380537406095E-2</v>
      </c>
      <c r="N67" s="640">
        <v>0</v>
      </c>
      <c r="O67" s="640">
        <v>0</v>
      </c>
      <c r="P67" s="640">
        <v>41.938968757160723</v>
      </c>
      <c r="Q67" s="640">
        <v>3.0236871210614171</v>
      </c>
      <c r="R67" s="640">
        <v>0</v>
      </c>
      <c r="S67" s="648">
        <v>48.913774905092438</v>
      </c>
      <c r="U67" s="646" t="s">
        <v>76</v>
      </c>
      <c r="V67" s="640">
        <v>0</v>
      </c>
      <c r="W67" s="640">
        <v>0</v>
      </c>
      <c r="X67" s="640">
        <v>0</v>
      </c>
      <c r="Y67" s="640">
        <v>2.7662751616304524</v>
      </c>
      <c r="Z67" s="640">
        <v>0</v>
      </c>
      <c r="AA67" s="640">
        <v>0</v>
      </c>
      <c r="AB67" s="640">
        <v>0</v>
      </c>
      <c r="AC67" s="640">
        <v>0</v>
      </c>
      <c r="AD67" s="640">
        <v>0</v>
      </c>
      <c r="AE67" s="640">
        <v>0.41335146093328595</v>
      </c>
      <c r="AF67" s="640">
        <v>0</v>
      </c>
      <c r="AG67" s="640">
        <v>0</v>
      </c>
      <c r="AH67" s="640">
        <v>43.009166954325586</v>
      </c>
      <c r="AI67" s="640">
        <v>5.481964511548731</v>
      </c>
      <c r="AJ67" s="640">
        <v>0</v>
      </c>
      <c r="AK67" s="648">
        <v>51.670758088438056</v>
      </c>
    </row>
    <row r="68" spans="3:37" x14ac:dyDescent="0.2">
      <c r="C68" s="644" t="s">
        <v>77</v>
      </c>
      <c r="D68" s="645">
        <v>42.645787594150242</v>
      </c>
      <c r="E68" s="645">
        <v>531.76783290345111</v>
      </c>
      <c r="F68" s="645">
        <v>-493.85839623209517</v>
      </c>
      <c r="G68" s="645">
        <v>44.217178331245535</v>
      </c>
      <c r="H68" s="645">
        <v>1121.3636363636365</v>
      </c>
      <c r="I68" s="645">
        <v>207.57369132422022</v>
      </c>
      <c r="J68" s="645">
        <v>86.243705075466366</v>
      </c>
      <c r="K68" s="645">
        <v>19.954320748029687</v>
      </c>
      <c r="L68" s="645">
        <v>-32.394348021257798</v>
      </c>
      <c r="M68" s="645">
        <v>-5.6320765353578501</v>
      </c>
      <c r="N68" s="645">
        <v>0</v>
      </c>
      <c r="O68" s="645">
        <v>5.2611137666850016</v>
      </c>
      <c r="P68" s="645">
        <v>-531.00392354032908</v>
      </c>
      <c r="Q68" s="645">
        <v>-35.939291273846017</v>
      </c>
      <c r="R68" s="645">
        <v>-1.6713978351002134</v>
      </c>
      <c r="S68" s="645">
        <v>958.52783266889833</v>
      </c>
      <c r="U68" s="644" t="s">
        <v>77</v>
      </c>
      <c r="V68" s="645">
        <v>9.8776636603415024</v>
      </c>
      <c r="W68" s="645">
        <v>373.16166082844296</v>
      </c>
      <c r="X68" s="645">
        <v>-342.51194888815934</v>
      </c>
      <c r="Y68" s="645">
        <v>62.170015524383871</v>
      </c>
      <c r="Z68" s="645">
        <v>1024.3939393939395</v>
      </c>
      <c r="AA68" s="645">
        <v>228.1236913242202</v>
      </c>
      <c r="AB68" s="645">
        <v>92.01283517498922</v>
      </c>
      <c r="AC68" s="645">
        <v>31.725901877387908</v>
      </c>
      <c r="AD68" s="645">
        <v>-74.534973710274585</v>
      </c>
      <c r="AE68" s="645">
        <v>-25.439781275247555</v>
      </c>
      <c r="AF68" s="645">
        <v>0</v>
      </c>
      <c r="AG68" s="645">
        <v>10.264799662154665</v>
      </c>
      <c r="AH68" s="645">
        <v>-515.81290419756954</v>
      </c>
      <c r="AI68" s="645">
        <v>-65.204498303456887</v>
      </c>
      <c r="AJ68" s="645">
        <v>-12.150152156541072</v>
      </c>
      <c r="AK68" s="645">
        <v>796.07624891461057</v>
      </c>
    </row>
    <row r="69" spans="3:37" x14ac:dyDescent="0.2">
      <c r="C69" s="634"/>
      <c r="D69" s="634">
        <v>0</v>
      </c>
      <c r="E69" s="634">
        <v>0</v>
      </c>
      <c r="F69" s="634">
        <v>0</v>
      </c>
      <c r="G69" s="634">
        <v>0</v>
      </c>
      <c r="H69" s="634">
        <v>0</v>
      </c>
      <c r="I69" s="634">
        <v>0</v>
      </c>
      <c r="J69" s="634">
        <v>0</v>
      </c>
      <c r="K69" s="634">
        <v>0</v>
      </c>
      <c r="L69" s="634">
        <v>0</v>
      </c>
      <c r="M69" s="634">
        <v>0</v>
      </c>
      <c r="N69" s="634">
        <v>0</v>
      </c>
      <c r="O69" s="634">
        <v>0</v>
      </c>
      <c r="P69" s="634">
        <v>0</v>
      </c>
      <c r="Q69" s="634">
        <v>0</v>
      </c>
      <c r="R69" s="634">
        <v>0</v>
      </c>
      <c r="S69" s="634">
        <v>0</v>
      </c>
      <c r="U69" s="634"/>
      <c r="V69" s="634">
        <v>0</v>
      </c>
      <c r="W69" s="634">
        <v>0</v>
      </c>
      <c r="X69" s="634">
        <v>0</v>
      </c>
      <c r="Y69" s="634">
        <v>0</v>
      </c>
      <c r="Z69" s="634">
        <v>0</v>
      </c>
      <c r="AA69" s="634">
        <v>0</v>
      </c>
      <c r="AB69" s="634">
        <v>0</v>
      </c>
      <c r="AC69" s="634">
        <v>0</v>
      </c>
      <c r="AD69" s="634">
        <v>0</v>
      </c>
      <c r="AE69" s="634">
        <v>0</v>
      </c>
      <c r="AF69" s="634">
        <v>0</v>
      </c>
      <c r="AG69" s="634">
        <v>0</v>
      </c>
      <c r="AH69" s="634">
        <v>0</v>
      </c>
      <c r="AI69" s="634">
        <v>0</v>
      </c>
      <c r="AJ69" s="634">
        <v>0</v>
      </c>
      <c r="AK69" s="634">
        <v>0</v>
      </c>
    </row>
    <row r="70" spans="3:37" x14ac:dyDescent="0.2">
      <c r="C70" s="646" t="s">
        <v>78</v>
      </c>
      <c r="D70" s="640">
        <v>6.3476756101286895</v>
      </c>
      <c r="E70" s="640">
        <v>0</v>
      </c>
      <c r="F70" s="640">
        <v>23.963924152830415</v>
      </c>
      <c r="G70" s="640">
        <v>102.72602750235836</v>
      </c>
      <c r="H70" s="640">
        <v>0</v>
      </c>
      <c r="I70" s="640">
        <v>0</v>
      </c>
      <c r="J70" s="640">
        <v>19.164817057512749</v>
      </c>
      <c r="K70" s="640">
        <v>1.7769703360109936</v>
      </c>
      <c r="L70" s="640">
        <v>0.86552810351562492</v>
      </c>
      <c r="M70" s="640">
        <v>2.1151614516362294</v>
      </c>
      <c r="N70" s="640">
        <v>0</v>
      </c>
      <c r="O70" s="640">
        <v>3.8147295409713907E-4</v>
      </c>
      <c r="P70" s="640">
        <v>109.69856944385172</v>
      </c>
      <c r="Q70" s="640">
        <v>16.190109766233334</v>
      </c>
      <c r="R70" s="640">
        <v>0.34118215942382812</v>
      </c>
      <c r="S70" s="648">
        <v>283.19034705645606</v>
      </c>
      <c r="U70" s="646" t="s">
        <v>78</v>
      </c>
      <c r="V70" s="640">
        <v>0.96947057486293287</v>
      </c>
      <c r="W70" s="640">
        <v>0</v>
      </c>
      <c r="X70" s="640">
        <v>14.423852836289303</v>
      </c>
      <c r="Y70" s="640">
        <v>71.911931163769523</v>
      </c>
      <c r="Z70" s="640">
        <v>0</v>
      </c>
      <c r="AA70" s="640">
        <v>0</v>
      </c>
      <c r="AB70" s="640">
        <v>16.641526349557349</v>
      </c>
      <c r="AC70" s="640">
        <v>5.8374337597773929</v>
      </c>
      <c r="AD70" s="640">
        <v>1.8190377949218752</v>
      </c>
      <c r="AE70" s="640">
        <v>10.764172889266069</v>
      </c>
      <c r="AF70" s="640">
        <v>0</v>
      </c>
      <c r="AG70" s="640">
        <v>3.8147295409713907E-4</v>
      </c>
      <c r="AH70" s="640">
        <v>133.35975359263318</v>
      </c>
      <c r="AI70" s="640">
        <v>21.024156518221293</v>
      </c>
      <c r="AJ70" s="640">
        <v>5.3802006835937499</v>
      </c>
      <c r="AK70" s="648">
        <v>282.13191763584672</v>
      </c>
    </row>
    <row r="71" spans="3:37" x14ac:dyDescent="0.2">
      <c r="C71" s="646" t="s">
        <v>79</v>
      </c>
      <c r="D71" s="640">
        <v>0</v>
      </c>
      <c r="E71" s="640">
        <v>0</v>
      </c>
      <c r="F71" s="640">
        <v>312.50052508879821</v>
      </c>
      <c r="G71" s="640">
        <v>20.28727706696608</v>
      </c>
      <c r="H71" s="640">
        <v>0</v>
      </c>
      <c r="I71" s="640">
        <v>0</v>
      </c>
      <c r="J71" s="640">
        <v>0</v>
      </c>
      <c r="K71" s="640">
        <v>0</v>
      </c>
      <c r="L71" s="640">
        <v>30.35479180755361</v>
      </c>
      <c r="M71" s="640">
        <v>0.41402606259114449</v>
      </c>
      <c r="N71" s="640">
        <v>0</v>
      </c>
      <c r="O71" s="640">
        <v>0</v>
      </c>
      <c r="P71" s="640">
        <v>40.087101502259863</v>
      </c>
      <c r="Q71" s="640">
        <v>0</v>
      </c>
      <c r="R71" s="640">
        <v>0.80956479691939642</v>
      </c>
      <c r="S71" s="648">
        <v>404.45328632508824</v>
      </c>
      <c r="U71" s="646" t="s">
        <v>79</v>
      </c>
      <c r="V71" s="640">
        <v>0</v>
      </c>
      <c r="W71" s="640">
        <v>0</v>
      </c>
      <c r="X71" s="640">
        <v>200.27592241910855</v>
      </c>
      <c r="Y71" s="640">
        <v>16.649550205830046</v>
      </c>
      <c r="Z71" s="640">
        <v>0</v>
      </c>
      <c r="AA71" s="640">
        <v>0</v>
      </c>
      <c r="AB71" s="640">
        <v>0</v>
      </c>
      <c r="AC71" s="640">
        <v>0</v>
      </c>
      <c r="AD71" s="640">
        <v>44.40579181284334</v>
      </c>
      <c r="AE71" s="640">
        <v>2.5923432302996523</v>
      </c>
      <c r="AF71" s="640">
        <v>0</v>
      </c>
      <c r="AG71" s="640">
        <v>0</v>
      </c>
      <c r="AH71" s="640">
        <v>50.411052136241274</v>
      </c>
      <c r="AI71" s="640">
        <v>0</v>
      </c>
      <c r="AJ71" s="640">
        <v>1.5849058336758</v>
      </c>
      <c r="AK71" s="648">
        <v>315.91956563799869</v>
      </c>
    </row>
    <row r="72" spans="3:37" x14ac:dyDescent="0.2">
      <c r="C72" s="646" t="s">
        <v>80</v>
      </c>
      <c r="D72" s="640">
        <v>0</v>
      </c>
      <c r="E72" s="640">
        <v>0</v>
      </c>
      <c r="F72" s="640">
        <v>27.223306395871116</v>
      </c>
      <c r="G72" s="640">
        <v>94.787807272791255</v>
      </c>
      <c r="H72" s="640">
        <v>0</v>
      </c>
      <c r="I72" s="640">
        <v>0</v>
      </c>
      <c r="J72" s="640">
        <v>83.273177408961004</v>
      </c>
      <c r="K72" s="640">
        <v>0</v>
      </c>
      <c r="L72" s="640">
        <v>0</v>
      </c>
      <c r="M72" s="640">
        <v>1.9344450463834952</v>
      </c>
      <c r="N72" s="640">
        <v>46.067590504591024</v>
      </c>
      <c r="O72" s="640">
        <v>1.9582561857397398</v>
      </c>
      <c r="P72" s="640">
        <v>180.22551264292704</v>
      </c>
      <c r="Q72" s="640">
        <v>15.690776641240536</v>
      </c>
      <c r="R72" s="640">
        <v>0</v>
      </c>
      <c r="S72" s="648">
        <v>451.16087209850519</v>
      </c>
      <c r="U72" s="646" t="s">
        <v>80</v>
      </c>
      <c r="V72" s="640">
        <v>0</v>
      </c>
      <c r="W72" s="640">
        <v>0</v>
      </c>
      <c r="X72" s="640">
        <v>2.015713666762446</v>
      </c>
      <c r="Y72" s="640">
        <v>47.341776252628989</v>
      </c>
      <c r="Z72" s="640">
        <v>0</v>
      </c>
      <c r="AA72" s="640">
        <v>0</v>
      </c>
      <c r="AB72" s="640">
        <v>73.879452654225247</v>
      </c>
      <c r="AC72" s="640">
        <v>0</v>
      </c>
      <c r="AD72" s="640">
        <v>0</v>
      </c>
      <c r="AE72" s="640">
        <v>7.0740585205077799</v>
      </c>
      <c r="AF72" s="640">
        <v>56.247445771865117</v>
      </c>
      <c r="AG72" s="640">
        <v>2.3917818193760598</v>
      </c>
      <c r="AH72" s="640">
        <v>158.99417861004727</v>
      </c>
      <c r="AI72" s="640">
        <v>34.672503342788303</v>
      </c>
      <c r="AJ72" s="640">
        <v>0</v>
      </c>
      <c r="AK72" s="648">
        <v>382.61691063820126</v>
      </c>
    </row>
    <row r="73" spans="3:37" x14ac:dyDescent="0.2">
      <c r="C73" s="646" t="s">
        <v>81</v>
      </c>
      <c r="D73" s="640">
        <v>0</v>
      </c>
      <c r="E73" s="640">
        <v>0</v>
      </c>
      <c r="F73" s="640">
        <v>10.721858440723695</v>
      </c>
      <c r="G73" s="640">
        <v>62.595656083836779</v>
      </c>
      <c r="H73" s="640">
        <v>0</v>
      </c>
      <c r="I73" s="640">
        <v>0</v>
      </c>
      <c r="J73" s="640">
        <v>3.4596715414798309</v>
      </c>
      <c r="K73" s="640">
        <v>2.5030873755322387E-2</v>
      </c>
      <c r="L73" s="640">
        <v>0</v>
      </c>
      <c r="M73" s="640">
        <v>1.2774623690578935</v>
      </c>
      <c r="N73" s="640">
        <v>8.3421239681836319</v>
      </c>
      <c r="O73" s="640">
        <v>0.80110714509903691</v>
      </c>
      <c r="P73" s="640">
        <v>133.46461699259584</v>
      </c>
      <c r="Q73" s="640">
        <v>4.0584048663721433</v>
      </c>
      <c r="R73" s="640">
        <v>0</v>
      </c>
      <c r="S73" s="648">
        <v>224.74593228110413</v>
      </c>
      <c r="U73" s="646" t="s">
        <v>81</v>
      </c>
      <c r="V73" s="640">
        <v>0</v>
      </c>
      <c r="W73" s="640">
        <v>0</v>
      </c>
      <c r="X73" s="640">
        <v>3.1096233693990798</v>
      </c>
      <c r="Y73" s="640">
        <v>32.055438404613625</v>
      </c>
      <c r="Z73" s="640">
        <v>0</v>
      </c>
      <c r="AA73" s="640">
        <v>0</v>
      </c>
      <c r="AB73" s="640">
        <v>7.6606579921523004</v>
      </c>
      <c r="AC73" s="640">
        <v>2.5030873755322387E-2</v>
      </c>
      <c r="AD73" s="640">
        <v>0</v>
      </c>
      <c r="AE73" s="640">
        <v>4.7898930949422658</v>
      </c>
      <c r="AF73" s="640">
        <v>14.251121986476408</v>
      </c>
      <c r="AG73" s="640">
        <v>1.7168402703934114</v>
      </c>
      <c r="AH73" s="640">
        <v>121.34906004798763</v>
      </c>
      <c r="AI73" s="640">
        <v>9.5078384424472873</v>
      </c>
      <c r="AJ73" s="640">
        <v>0</v>
      </c>
      <c r="AK73" s="648">
        <v>194.46550448216732</v>
      </c>
    </row>
    <row r="74" spans="3:37" x14ac:dyDescent="0.2">
      <c r="C74" s="646" t="s">
        <v>82</v>
      </c>
      <c r="D74" s="640">
        <v>0</v>
      </c>
      <c r="E74" s="640">
        <v>0</v>
      </c>
      <c r="F74" s="640">
        <v>32.13207144146056</v>
      </c>
      <c r="G74" s="640">
        <v>1.9328709168763656</v>
      </c>
      <c r="H74" s="640">
        <v>0</v>
      </c>
      <c r="I74" s="640">
        <v>0</v>
      </c>
      <c r="J74" s="640">
        <v>2.05899706998358</v>
      </c>
      <c r="K74" s="640">
        <v>0</v>
      </c>
      <c r="L74" s="640">
        <v>2.6244824682898504</v>
      </c>
      <c r="M74" s="640">
        <v>3.9446345242374808E-2</v>
      </c>
      <c r="N74" s="640">
        <v>0</v>
      </c>
      <c r="O74" s="640">
        <v>8.070345812558942E-2</v>
      </c>
      <c r="P74" s="640">
        <v>7.3892266408052469</v>
      </c>
      <c r="Q74" s="640">
        <v>0</v>
      </c>
      <c r="R74" s="640">
        <v>0</v>
      </c>
      <c r="S74" s="648">
        <v>46.257798340783566</v>
      </c>
      <c r="U74" s="646" t="s">
        <v>82</v>
      </c>
      <c r="V74" s="640">
        <v>0</v>
      </c>
      <c r="W74" s="640">
        <v>0</v>
      </c>
      <c r="X74" s="640">
        <v>22.167558461996123</v>
      </c>
      <c r="Y74" s="640">
        <v>2.0916118720237509</v>
      </c>
      <c r="Z74" s="640">
        <v>0</v>
      </c>
      <c r="AA74" s="640">
        <v>0</v>
      </c>
      <c r="AB74" s="640">
        <v>2.05899706998358</v>
      </c>
      <c r="AC74" s="640">
        <v>0</v>
      </c>
      <c r="AD74" s="640">
        <v>14.821446231272425</v>
      </c>
      <c r="AE74" s="640">
        <v>0.31253970501504325</v>
      </c>
      <c r="AF74" s="640">
        <v>0</v>
      </c>
      <c r="AG74" s="640">
        <v>0.82781531321025892</v>
      </c>
      <c r="AH74" s="640">
        <v>7.4491158726448985</v>
      </c>
      <c r="AI74" s="640">
        <v>0</v>
      </c>
      <c r="AJ74" s="640">
        <v>0.21911019493558448</v>
      </c>
      <c r="AK74" s="648">
        <v>49.948194721081656</v>
      </c>
    </row>
    <row r="75" spans="3:37" x14ac:dyDescent="0.2">
      <c r="C75" s="646" t="s">
        <v>354</v>
      </c>
      <c r="D75" s="640">
        <v>0</v>
      </c>
      <c r="E75" s="640">
        <v>0</v>
      </c>
      <c r="F75" s="640">
        <v>0</v>
      </c>
      <c r="G75" s="640">
        <v>0</v>
      </c>
      <c r="H75" s="640">
        <v>0</v>
      </c>
      <c r="I75" s="640">
        <v>0</v>
      </c>
      <c r="J75" s="640">
        <v>0</v>
      </c>
      <c r="K75" s="640">
        <v>0</v>
      </c>
      <c r="L75" s="640">
        <v>0</v>
      </c>
      <c r="M75" s="640">
        <v>0</v>
      </c>
      <c r="N75" s="640">
        <v>0</v>
      </c>
      <c r="O75" s="640">
        <v>0</v>
      </c>
      <c r="P75" s="640">
        <v>0.13500000000000001</v>
      </c>
      <c r="Q75" s="640">
        <v>0</v>
      </c>
      <c r="R75" s="640">
        <v>0</v>
      </c>
      <c r="S75" s="648">
        <v>0.13500000000000001</v>
      </c>
      <c r="U75" s="646" t="s">
        <v>354</v>
      </c>
      <c r="V75" s="640">
        <v>0</v>
      </c>
      <c r="W75" s="640">
        <v>0</v>
      </c>
      <c r="X75" s="640">
        <v>0</v>
      </c>
      <c r="Y75" s="640">
        <v>0</v>
      </c>
      <c r="Z75" s="640">
        <v>0</v>
      </c>
      <c r="AA75" s="640">
        <v>0</v>
      </c>
      <c r="AB75" s="640">
        <v>0</v>
      </c>
      <c r="AC75" s="640">
        <v>0</v>
      </c>
      <c r="AD75" s="640">
        <v>0</v>
      </c>
      <c r="AE75" s="640">
        <v>0</v>
      </c>
      <c r="AF75" s="640">
        <v>0</v>
      </c>
      <c r="AG75" s="640">
        <v>0</v>
      </c>
      <c r="AH75" s="640">
        <v>0.96</v>
      </c>
      <c r="AI75" s="640">
        <v>0</v>
      </c>
      <c r="AJ75" s="640">
        <v>0</v>
      </c>
      <c r="AK75" s="648">
        <v>0.96</v>
      </c>
    </row>
    <row r="76" spans="3:37" x14ac:dyDescent="0.2">
      <c r="C76" s="644" t="s">
        <v>83</v>
      </c>
      <c r="D76" s="645">
        <v>6.3476756101286895</v>
      </c>
      <c r="E76" s="645">
        <v>0</v>
      </c>
      <c r="F76" s="645">
        <v>406.54168551968399</v>
      </c>
      <c r="G76" s="645">
        <v>282.32963884282884</v>
      </c>
      <c r="H76" s="645">
        <v>0</v>
      </c>
      <c r="I76" s="645">
        <v>0</v>
      </c>
      <c r="J76" s="645">
        <v>107.95666307793715</v>
      </c>
      <c r="K76" s="645">
        <v>1.8020012097663161</v>
      </c>
      <c r="L76" s="645">
        <v>33.844802379359088</v>
      </c>
      <c r="M76" s="645">
        <v>5.7805412749111369</v>
      </c>
      <c r="N76" s="645">
        <v>54.409714472774652</v>
      </c>
      <c r="O76" s="645">
        <v>2.8404482619184632</v>
      </c>
      <c r="P76" s="645">
        <v>471.00002722243971</v>
      </c>
      <c r="Q76" s="645">
        <v>35.93929127384601</v>
      </c>
      <c r="R76" s="645">
        <v>1.1507469563432244</v>
      </c>
      <c r="S76" s="645">
        <v>1409.9432361019371</v>
      </c>
      <c r="U76" s="644" t="s">
        <v>83</v>
      </c>
      <c r="V76" s="645">
        <v>0.96947057486293287</v>
      </c>
      <c r="W76" s="645">
        <v>0</v>
      </c>
      <c r="X76" s="645">
        <v>241.9926707535555</v>
      </c>
      <c r="Y76" s="645">
        <v>170.05030789886592</v>
      </c>
      <c r="Z76" s="645">
        <v>0</v>
      </c>
      <c r="AA76" s="645">
        <v>0</v>
      </c>
      <c r="AB76" s="645">
        <v>100.24063406591846</v>
      </c>
      <c r="AC76" s="645">
        <v>5.8624646335327153</v>
      </c>
      <c r="AD76" s="645">
        <v>61.046275839037641</v>
      </c>
      <c r="AE76" s="645">
        <v>25.533007440030815</v>
      </c>
      <c r="AF76" s="645">
        <v>70.498567758341522</v>
      </c>
      <c r="AG76" s="645">
        <v>4.9368188759338274</v>
      </c>
      <c r="AH76" s="645">
        <v>472.52316025955423</v>
      </c>
      <c r="AI76" s="645">
        <v>65.204498303456901</v>
      </c>
      <c r="AJ76" s="645">
        <v>7.184216712205135</v>
      </c>
      <c r="AK76" s="645">
        <v>1226.0420931152958</v>
      </c>
    </row>
    <row r="77" spans="3:37" x14ac:dyDescent="0.2">
      <c r="C77" s="639" t="s">
        <v>84</v>
      </c>
      <c r="D77" s="640">
        <v>0</v>
      </c>
      <c r="E77" s="640">
        <v>0</v>
      </c>
      <c r="F77" s="640">
        <v>117.0773058539918</v>
      </c>
      <c r="G77" s="640">
        <v>12.185345647681713</v>
      </c>
      <c r="H77" s="640">
        <v>0</v>
      </c>
      <c r="I77" s="640">
        <v>0</v>
      </c>
      <c r="J77" s="640">
        <v>0</v>
      </c>
      <c r="K77" s="640">
        <v>0</v>
      </c>
      <c r="L77" s="640">
        <v>0</v>
      </c>
      <c r="M77" s="640">
        <v>0</v>
      </c>
      <c r="N77" s="640">
        <v>0</v>
      </c>
      <c r="O77" s="640">
        <v>0</v>
      </c>
      <c r="P77" s="640">
        <v>0</v>
      </c>
      <c r="Q77" s="640">
        <v>0</v>
      </c>
      <c r="R77" s="640">
        <v>0.52065087875698901</v>
      </c>
      <c r="S77" s="648">
        <v>129.78330238043051</v>
      </c>
      <c r="U77" s="639" t="s">
        <v>84</v>
      </c>
      <c r="V77" s="640">
        <v>0</v>
      </c>
      <c r="W77" s="640">
        <v>0</v>
      </c>
      <c r="X77" s="640">
        <v>106.669872568297</v>
      </c>
      <c r="Y77" s="640">
        <v>1.6020598461664441</v>
      </c>
      <c r="Z77" s="640">
        <v>0</v>
      </c>
      <c r="AA77" s="640">
        <v>0</v>
      </c>
      <c r="AB77" s="640">
        <v>0</v>
      </c>
      <c r="AC77" s="640">
        <v>0</v>
      </c>
      <c r="AD77" s="640">
        <v>6.1061434912109362</v>
      </c>
      <c r="AE77" s="640">
        <v>0</v>
      </c>
      <c r="AF77" s="640">
        <v>0</v>
      </c>
      <c r="AG77" s="640">
        <v>0</v>
      </c>
      <c r="AH77" s="640">
        <v>0</v>
      </c>
      <c r="AI77" s="640">
        <v>0</v>
      </c>
      <c r="AJ77" s="640">
        <v>4.9659354443359369</v>
      </c>
      <c r="AK77" s="648">
        <v>119.34401135001032</v>
      </c>
    </row>
    <row r="78" spans="3:37" x14ac:dyDescent="0.2">
      <c r="C78" s="644" t="s">
        <v>85</v>
      </c>
      <c r="D78" s="645">
        <v>6.3476756101286895</v>
      </c>
      <c r="E78" s="645">
        <v>0</v>
      </c>
      <c r="F78" s="645">
        <v>523.61899137367573</v>
      </c>
      <c r="G78" s="645">
        <v>294.51498449051053</v>
      </c>
      <c r="H78" s="645">
        <v>0</v>
      </c>
      <c r="I78" s="645">
        <v>0</v>
      </c>
      <c r="J78" s="645">
        <v>107.95666307793715</v>
      </c>
      <c r="K78" s="645">
        <v>1.8020012097663161</v>
      </c>
      <c r="L78" s="645">
        <v>33.844802379359088</v>
      </c>
      <c r="M78" s="645">
        <v>5.7805412749111369</v>
      </c>
      <c r="N78" s="645">
        <v>54.409714472774652</v>
      </c>
      <c r="O78" s="645">
        <v>2.8404482619184632</v>
      </c>
      <c r="P78" s="645">
        <v>471.00002722243971</v>
      </c>
      <c r="Q78" s="645">
        <v>35.93929127384601</v>
      </c>
      <c r="R78" s="645">
        <v>1.6713978351002134</v>
      </c>
      <c r="S78" s="645">
        <v>1539.7265384823679</v>
      </c>
      <c r="U78" s="644" t="s">
        <v>85</v>
      </c>
      <c r="V78" s="645">
        <v>0.96947057486293287</v>
      </c>
      <c r="W78" s="645">
        <v>0</v>
      </c>
      <c r="X78" s="645">
        <v>348.66254332185252</v>
      </c>
      <c r="Y78" s="645">
        <v>171.65236774503236</v>
      </c>
      <c r="Z78" s="645">
        <v>0</v>
      </c>
      <c r="AA78" s="645">
        <v>0</v>
      </c>
      <c r="AB78" s="645">
        <v>100.24063406591846</v>
      </c>
      <c r="AC78" s="645">
        <v>5.8624646335327153</v>
      </c>
      <c r="AD78" s="645">
        <v>67.152419330248577</v>
      </c>
      <c r="AE78" s="645">
        <v>25.533007440030815</v>
      </c>
      <c r="AF78" s="645">
        <v>70.498567758341522</v>
      </c>
      <c r="AG78" s="645">
        <v>4.9368188759338274</v>
      </c>
      <c r="AH78" s="645">
        <v>472.52316025955423</v>
      </c>
      <c r="AI78" s="645">
        <v>65.204498303456901</v>
      </c>
      <c r="AJ78" s="645">
        <v>12.150152156541072</v>
      </c>
      <c r="AK78" s="645">
        <v>1345.3861044653063</v>
      </c>
    </row>
    <row r="79" spans="3:37" x14ac:dyDescent="0.2">
      <c r="C79" s="634"/>
      <c r="D79" s="634"/>
      <c r="E79" s="634"/>
      <c r="F79" s="634"/>
      <c r="G79" s="634"/>
      <c r="H79" s="634"/>
      <c r="I79" s="634"/>
      <c r="J79" s="634"/>
      <c r="K79" s="634"/>
      <c r="L79" s="634"/>
      <c r="M79" s="634"/>
      <c r="N79" s="634"/>
      <c r="O79" s="634"/>
      <c r="P79" s="634"/>
      <c r="Q79" s="634"/>
      <c r="R79" s="634"/>
      <c r="S79" s="634"/>
      <c r="U79" s="634"/>
      <c r="V79" s="634"/>
      <c r="W79" s="634"/>
      <c r="X79" s="634"/>
      <c r="Y79" s="634"/>
      <c r="Z79" s="634"/>
      <c r="AA79" s="634"/>
      <c r="AB79" s="634"/>
      <c r="AC79" s="634"/>
      <c r="AD79" s="634"/>
      <c r="AE79" s="634"/>
      <c r="AF79" s="634"/>
      <c r="AG79" s="634"/>
      <c r="AH79" s="634"/>
      <c r="AI79" s="634"/>
      <c r="AJ79" s="634"/>
      <c r="AK79" s="634"/>
    </row>
    <row r="80" spans="3:37" ht="22.5" x14ac:dyDescent="0.3">
      <c r="C80" s="759" t="s">
        <v>358</v>
      </c>
      <c r="D80" s="759"/>
      <c r="E80" s="759"/>
      <c r="F80" s="759"/>
      <c r="G80" s="759"/>
      <c r="H80" s="759"/>
      <c r="I80" s="759"/>
      <c r="J80" s="759"/>
      <c r="K80" s="759"/>
      <c r="L80" s="759"/>
      <c r="M80" s="759"/>
      <c r="N80" s="759"/>
      <c r="O80" s="759"/>
      <c r="P80" s="759"/>
      <c r="Q80" s="759"/>
      <c r="R80" s="759"/>
      <c r="S80" s="759"/>
      <c r="U80" s="759" t="s">
        <v>358</v>
      </c>
      <c r="V80" s="759"/>
      <c r="W80" s="759"/>
      <c r="X80" s="759"/>
      <c r="Y80" s="759"/>
      <c r="Z80" s="759"/>
      <c r="AA80" s="759"/>
      <c r="AB80" s="759"/>
      <c r="AC80" s="759"/>
      <c r="AD80" s="759"/>
      <c r="AE80" s="759"/>
      <c r="AF80" s="759"/>
      <c r="AG80" s="759"/>
      <c r="AH80" s="759"/>
      <c r="AI80" s="759"/>
      <c r="AJ80" s="759"/>
      <c r="AK80" s="759"/>
    </row>
    <row r="81" spans="3:37" x14ac:dyDescent="0.2">
      <c r="C81" s="634"/>
      <c r="D81" s="634"/>
      <c r="E81" s="634"/>
      <c r="F81" s="634"/>
      <c r="G81" s="634"/>
      <c r="H81" s="634"/>
      <c r="I81" s="634"/>
      <c r="J81" s="634"/>
      <c r="K81" s="634"/>
      <c r="L81" s="634"/>
      <c r="M81" s="634"/>
      <c r="N81" s="634"/>
      <c r="O81" s="634"/>
      <c r="P81" s="634"/>
      <c r="Q81" s="634"/>
      <c r="R81" s="634"/>
      <c r="S81" s="634"/>
      <c r="U81" s="634"/>
      <c r="V81" s="634"/>
      <c r="W81" s="634"/>
      <c r="X81" s="634"/>
      <c r="Y81" s="634"/>
      <c r="Z81" s="634"/>
      <c r="AA81" s="634"/>
      <c r="AB81" s="634"/>
      <c r="AC81" s="634"/>
      <c r="AD81" s="634"/>
      <c r="AE81" s="634"/>
      <c r="AF81" s="634"/>
      <c r="AG81" s="634"/>
      <c r="AH81" s="634"/>
      <c r="AI81" s="634"/>
      <c r="AJ81" s="634"/>
      <c r="AK81" s="634"/>
    </row>
    <row r="82" spans="3:37" ht="12.95" customHeight="1" x14ac:dyDescent="0.2">
      <c r="C82" s="758" t="s">
        <v>128</v>
      </c>
      <c r="D82" s="757" t="s">
        <v>42</v>
      </c>
      <c r="E82" s="757" t="s">
        <v>52</v>
      </c>
      <c r="F82" s="757" t="s">
        <v>53</v>
      </c>
      <c r="G82" s="757" t="s">
        <v>32</v>
      </c>
      <c r="H82" s="757" t="s">
        <v>20</v>
      </c>
      <c r="I82" s="757" t="s">
        <v>55</v>
      </c>
      <c r="J82" s="757" t="s">
        <v>56</v>
      </c>
      <c r="K82" s="757"/>
      <c r="L82" s="757"/>
      <c r="M82" s="757"/>
      <c r="N82" s="757"/>
      <c r="O82" s="757"/>
      <c r="P82" s="757" t="s">
        <v>57</v>
      </c>
      <c r="Q82" s="757" t="s">
        <v>58</v>
      </c>
      <c r="R82" s="757" t="s">
        <v>31</v>
      </c>
      <c r="S82" s="757" t="s">
        <v>10</v>
      </c>
      <c r="U82" s="758" t="s">
        <v>128</v>
      </c>
      <c r="V82" s="757" t="s">
        <v>42</v>
      </c>
      <c r="W82" s="757" t="s">
        <v>52</v>
      </c>
      <c r="X82" s="757" t="s">
        <v>53</v>
      </c>
      <c r="Y82" s="757" t="s">
        <v>32</v>
      </c>
      <c r="Z82" s="757" t="s">
        <v>20</v>
      </c>
      <c r="AA82" s="757" t="s">
        <v>55</v>
      </c>
      <c r="AB82" s="757" t="s">
        <v>56</v>
      </c>
      <c r="AC82" s="757"/>
      <c r="AD82" s="757"/>
      <c r="AE82" s="757"/>
      <c r="AF82" s="757"/>
      <c r="AG82" s="757"/>
      <c r="AH82" s="757" t="s">
        <v>57</v>
      </c>
      <c r="AI82" s="757" t="s">
        <v>58</v>
      </c>
      <c r="AJ82" s="757" t="s">
        <v>31</v>
      </c>
      <c r="AK82" s="757" t="s">
        <v>10</v>
      </c>
    </row>
    <row r="83" spans="3:37" ht="56.25" x14ac:dyDescent="0.2">
      <c r="C83" s="758"/>
      <c r="D83" s="757"/>
      <c r="E83" s="757"/>
      <c r="F83" s="757"/>
      <c r="G83" s="757"/>
      <c r="H83" s="757"/>
      <c r="I83" s="757"/>
      <c r="J83" s="638" t="s">
        <v>335</v>
      </c>
      <c r="K83" s="638" t="s">
        <v>40</v>
      </c>
      <c r="L83" s="638" t="s">
        <v>343</v>
      </c>
      <c r="M83" s="638" t="s">
        <v>344</v>
      </c>
      <c r="N83" s="638" t="s">
        <v>345</v>
      </c>
      <c r="O83" s="638" t="s">
        <v>346</v>
      </c>
      <c r="P83" s="757"/>
      <c r="Q83" s="757"/>
      <c r="R83" s="757"/>
      <c r="S83" s="757"/>
      <c r="U83" s="758"/>
      <c r="V83" s="757"/>
      <c r="W83" s="757"/>
      <c r="X83" s="757"/>
      <c r="Y83" s="757"/>
      <c r="Z83" s="757"/>
      <c r="AA83" s="757"/>
      <c r="AB83" s="638" t="s">
        <v>335</v>
      </c>
      <c r="AC83" s="638" t="s">
        <v>40</v>
      </c>
      <c r="AD83" s="638" t="s">
        <v>343</v>
      </c>
      <c r="AE83" s="638" t="s">
        <v>344</v>
      </c>
      <c r="AF83" s="638" t="s">
        <v>345</v>
      </c>
      <c r="AG83" s="638" t="s">
        <v>346</v>
      </c>
      <c r="AH83" s="757"/>
      <c r="AI83" s="757"/>
      <c r="AJ83" s="757"/>
      <c r="AK83" s="757"/>
    </row>
    <row r="84" spans="3:37" x14ac:dyDescent="0.2">
      <c r="C84" s="639" t="s">
        <v>59</v>
      </c>
      <c r="D84" s="640">
        <v>0</v>
      </c>
      <c r="E84" s="641">
        <v>5.8150000000000004</v>
      </c>
      <c r="F84" s="641">
        <v>0</v>
      </c>
      <c r="G84" s="640">
        <v>9.3040000000000012E-2</v>
      </c>
      <c r="H84" s="641">
        <v>1075.0000000000002</v>
      </c>
      <c r="I84" s="641">
        <v>224.13674723416887</v>
      </c>
      <c r="J84" s="641">
        <v>191.59942379122555</v>
      </c>
      <c r="K84" s="641">
        <v>21.432553878964274</v>
      </c>
      <c r="L84" s="641">
        <v>0.38158375751522683</v>
      </c>
      <c r="M84" s="641">
        <v>0.1566638564915529</v>
      </c>
      <c r="N84" s="641">
        <v>57.826394702164251</v>
      </c>
      <c r="O84" s="641">
        <v>8.0717549324466145</v>
      </c>
      <c r="P84" s="642">
        <v>0</v>
      </c>
      <c r="Q84" s="641">
        <v>0</v>
      </c>
      <c r="R84" s="641">
        <v>0</v>
      </c>
      <c r="S84" s="643">
        <v>1584.5131621529763</v>
      </c>
      <c r="U84" s="639" t="s">
        <v>59</v>
      </c>
      <c r="V84" s="640">
        <v>0</v>
      </c>
      <c r="W84" s="641">
        <v>5.8150000000000004</v>
      </c>
      <c r="X84" s="641">
        <v>0</v>
      </c>
      <c r="Y84" s="640">
        <v>9.3040000000000012E-2</v>
      </c>
      <c r="Z84" s="641">
        <v>994.39393939393949</v>
      </c>
      <c r="AA84" s="641">
        <v>248.70674723416883</v>
      </c>
      <c r="AB84" s="641">
        <v>191.76566332259941</v>
      </c>
      <c r="AC84" s="641">
        <v>38.031253697312572</v>
      </c>
      <c r="AD84" s="641">
        <v>0.38158375751522683</v>
      </c>
      <c r="AE84" s="641">
        <v>0.1566638564915529</v>
      </c>
      <c r="AF84" s="641">
        <v>76.992812580470769</v>
      </c>
      <c r="AG84" s="641">
        <v>16.738826185514363</v>
      </c>
      <c r="AH84" s="642">
        <v>0</v>
      </c>
      <c r="AI84" s="641">
        <v>0</v>
      </c>
      <c r="AJ84" s="641">
        <v>0</v>
      </c>
      <c r="AK84" s="643">
        <v>1573.0755300280123</v>
      </c>
    </row>
    <row r="85" spans="3:37" x14ac:dyDescent="0.2">
      <c r="C85" s="639" t="s">
        <v>60</v>
      </c>
      <c r="D85" s="640">
        <v>48.827265231041785</v>
      </c>
      <c r="E85" s="641">
        <v>518.07410535010388</v>
      </c>
      <c r="F85" s="641">
        <v>107.87457071926454</v>
      </c>
      <c r="G85" s="640">
        <v>335.04873882059013</v>
      </c>
      <c r="H85" s="641">
        <v>0</v>
      </c>
      <c r="I85" s="641">
        <v>0</v>
      </c>
      <c r="J85" s="641">
        <v>3.6983557386050134</v>
      </c>
      <c r="K85" s="641">
        <v>0</v>
      </c>
      <c r="L85" s="641">
        <v>2.0715216469959126</v>
      </c>
      <c r="M85" s="641">
        <v>0</v>
      </c>
      <c r="N85" s="641">
        <v>0</v>
      </c>
      <c r="O85" s="641">
        <v>0</v>
      </c>
      <c r="P85" s="642">
        <v>0</v>
      </c>
      <c r="Q85" s="641">
        <v>0</v>
      </c>
      <c r="R85" s="641">
        <v>0</v>
      </c>
      <c r="S85" s="643">
        <v>1015.5945575066012</v>
      </c>
      <c r="U85" s="639" t="s">
        <v>60</v>
      </c>
      <c r="V85" s="640">
        <v>9.7783497021920969</v>
      </c>
      <c r="W85" s="641">
        <v>336.80990869295175</v>
      </c>
      <c r="X85" s="641">
        <v>55.498271181254346</v>
      </c>
      <c r="Y85" s="640">
        <v>207.3573846689826</v>
      </c>
      <c r="Z85" s="641">
        <v>0</v>
      </c>
      <c r="AA85" s="641">
        <v>0</v>
      </c>
      <c r="AB85" s="641">
        <v>3.6983557386050134</v>
      </c>
      <c r="AC85" s="641">
        <v>0</v>
      </c>
      <c r="AD85" s="641">
        <v>2.0715216469959126</v>
      </c>
      <c r="AE85" s="641">
        <v>0</v>
      </c>
      <c r="AF85" s="641">
        <v>0</v>
      </c>
      <c r="AG85" s="641">
        <v>0</v>
      </c>
      <c r="AH85" s="642">
        <v>0</v>
      </c>
      <c r="AI85" s="641">
        <v>0</v>
      </c>
      <c r="AJ85" s="641">
        <v>0</v>
      </c>
      <c r="AK85" s="643">
        <v>615.21379163098163</v>
      </c>
    </row>
    <row r="86" spans="3:37" x14ac:dyDescent="0.2">
      <c r="C86" s="639" t="s">
        <v>61</v>
      </c>
      <c r="D86" s="640">
        <v>0</v>
      </c>
      <c r="E86" s="641">
        <v>0</v>
      </c>
      <c r="F86" s="641">
        <v>0</v>
      </c>
      <c r="G86" s="640">
        <v>0</v>
      </c>
      <c r="H86" s="641">
        <v>0</v>
      </c>
      <c r="I86" s="641">
        <v>0</v>
      </c>
      <c r="J86" s="641">
        <v>0</v>
      </c>
      <c r="K86" s="641">
        <v>0</v>
      </c>
      <c r="L86" s="641">
        <v>0</v>
      </c>
      <c r="M86" s="641">
        <v>0</v>
      </c>
      <c r="N86" s="641">
        <v>0</v>
      </c>
      <c r="O86" s="641">
        <v>0</v>
      </c>
      <c r="P86" s="642">
        <v>-50.941346245748719</v>
      </c>
      <c r="Q86" s="641">
        <v>0</v>
      </c>
      <c r="R86" s="641">
        <v>0</v>
      </c>
      <c r="S86" s="643">
        <v>-50.941346245748719</v>
      </c>
      <c r="U86" s="639" t="s">
        <v>61</v>
      </c>
      <c r="V86" s="640">
        <v>0</v>
      </c>
      <c r="W86" s="641">
        <v>0</v>
      </c>
      <c r="X86" s="641">
        <v>0</v>
      </c>
      <c r="Y86" s="640">
        <v>0</v>
      </c>
      <c r="Z86" s="641">
        <v>0</v>
      </c>
      <c r="AA86" s="641">
        <v>0</v>
      </c>
      <c r="AB86" s="641">
        <v>0</v>
      </c>
      <c r="AC86" s="641">
        <v>0</v>
      </c>
      <c r="AD86" s="641">
        <v>0</v>
      </c>
      <c r="AE86" s="641">
        <v>0</v>
      </c>
      <c r="AF86" s="641">
        <v>0</v>
      </c>
      <c r="AG86" s="641">
        <v>0</v>
      </c>
      <c r="AH86" s="642">
        <v>-32.476172245636349</v>
      </c>
      <c r="AI86" s="641">
        <v>0</v>
      </c>
      <c r="AJ86" s="641">
        <v>0</v>
      </c>
      <c r="AK86" s="643">
        <v>-32.476172245636349</v>
      </c>
    </row>
    <row r="87" spans="3:37" x14ac:dyDescent="0.2">
      <c r="C87" s="639" t="s">
        <v>62</v>
      </c>
      <c r="D87" s="640">
        <v>0</v>
      </c>
      <c r="E87" s="641">
        <v>0</v>
      </c>
      <c r="F87" s="641">
        <v>-16.25862008896565</v>
      </c>
      <c r="G87" s="640">
        <v>0</v>
      </c>
      <c r="H87" s="641">
        <v>0</v>
      </c>
      <c r="I87" s="641">
        <v>0</v>
      </c>
      <c r="J87" s="641">
        <v>0</v>
      </c>
      <c r="K87" s="641">
        <v>0</v>
      </c>
      <c r="L87" s="641">
        <v>0</v>
      </c>
      <c r="M87" s="641">
        <v>0</v>
      </c>
      <c r="N87" s="641">
        <v>0</v>
      </c>
      <c r="O87" s="641">
        <v>0</v>
      </c>
      <c r="P87" s="642">
        <v>0</v>
      </c>
      <c r="Q87" s="641">
        <v>0</v>
      </c>
      <c r="R87" s="641">
        <v>0</v>
      </c>
      <c r="S87" s="643">
        <v>-16.25862008896565</v>
      </c>
      <c r="U87" s="639" t="s">
        <v>62</v>
      </c>
      <c r="V87" s="640">
        <v>0</v>
      </c>
      <c r="W87" s="641">
        <v>0</v>
      </c>
      <c r="X87" s="641">
        <v>-12.937868047131742</v>
      </c>
      <c r="Y87" s="640">
        <v>-1.5571295869756494</v>
      </c>
      <c r="Z87" s="641">
        <v>0</v>
      </c>
      <c r="AA87" s="641">
        <v>0</v>
      </c>
      <c r="AB87" s="641">
        <v>0</v>
      </c>
      <c r="AC87" s="641">
        <v>0</v>
      </c>
      <c r="AD87" s="641">
        <v>0</v>
      </c>
      <c r="AE87" s="641">
        <v>-0.27478757417217342</v>
      </c>
      <c r="AF87" s="641">
        <v>0</v>
      </c>
      <c r="AG87" s="641">
        <v>0</v>
      </c>
      <c r="AH87" s="642">
        <v>0</v>
      </c>
      <c r="AI87" s="641">
        <v>0</v>
      </c>
      <c r="AJ87" s="641">
        <v>0</v>
      </c>
      <c r="AK87" s="643">
        <v>-14.769785208279565</v>
      </c>
    </row>
    <row r="88" spans="3:37" x14ac:dyDescent="0.2">
      <c r="C88" s="639" t="s">
        <v>63</v>
      </c>
      <c r="D88" s="640">
        <v>0</v>
      </c>
      <c r="E88" s="641">
        <v>0</v>
      </c>
      <c r="F88" s="641">
        <v>-83.551471621484865</v>
      </c>
      <c r="G88" s="640">
        <v>0</v>
      </c>
      <c r="H88" s="641">
        <v>0</v>
      </c>
      <c r="I88" s="641">
        <v>0</v>
      </c>
      <c r="J88" s="641">
        <v>0</v>
      </c>
      <c r="K88" s="641">
        <v>0</v>
      </c>
      <c r="L88" s="641">
        <v>-0.85914301655193537</v>
      </c>
      <c r="M88" s="641">
        <v>0</v>
      </c>
      <c r="N88" s="641">
        <v>0</v>
      </c>
      <c r="O88" s="641">
        <v>0</v>
      </c>
      <c r="P88" s="642">
        <v>0</v>
      </c>
      <c r="Q88" s="641">
        <v>0</v>
      </c>
      <c r="R88" s="641">
        <v>0</v>
      </c>
      <c r="S88" s="643">
        <v>-84.410614638036805</v>
      </c>
      <c r="U88" s="639" t="s">
        <v>63</v>
      </c>
      <c r="V88" s="640">
        <v>0</v>
      </c>
      <c r="W88" s="641">
        <v>0</v>
      </c>
      <c r="X88" s="641">
        <v>-67.135202148658564</v>
      </c>
      <c r="Y88" s="640">
        <v>0</v>
      </c>
      <c r="Z88" s="641">
        <v>0</v>
      </c>
      <c r="AA88" s="641">
        <v>0</v>
      </c>
      <c r="AB88" s="641">
        <v>0</v>
      </c>
      <c r="AC88" s="641">
        <v>0</v>
      </c>
      <c r="AD88" s="641">
        <v>-15.117527463171397</v>
      </c>
      <c r="AE88" s="641">
        <v>0</v>
      </c>
      <c r="AF88" s="641">
        <v>0</v>
      </c>
      <c r="AG88" s="641">
        <v>0</v>
      </c>
      <c r="AH88" s="642">
        <v>0</v>
      </c>
      <c r="AI88" s="641">
        <v>0</v>
      </c>
      <c r="AJ88" s="641">
        <v>0</v>
      </c>
      <c r="AK88" s="643">
        <v>-82.252729611829963</v>
      </c>
    </row>
    <row r="89" spans="3:37" x14ac:dyDescent="0.2">
      <c r="C89" s="639" t="s">
        <v>64</v>
      </c>
      <c r="D89" s="640">
        <v>0</v>
      </c>
      <c r="E89" s="641">
        <v>0</v>
      </c>
      <c r="F89" s="641">
        <v>0</v>
      </c>
      <c r="G89" s="640">
        <v>0</v>
      </c>
      <c r="H89" s="641">
        <v>0</v>
      </c>
      <c r="I89" s="641">
        <v>0</v>
      </c>
      <c r="J89" s="641">
        <v>0</v>
      </c>
      <c r="K89" s="641">
        <v>0</v>
      </c>
      <c r="L89" s="641">
        <v>0</v>
      </c>
      <c r="M89" s="641">
        <v>0</v>
      </c>
      <c r="N89" s="641">
        <v>0</v>
      </c>
      <c r="O89" s="641">
        <v>0</v>
      </c>
      <c r="P89" s="642">
        <v>0</v>
      </c>
      <c r="Q89" s="641">
        <v>0</v>
      </c>
      <c r="R89" s="641">
        <v>0</v>
      </c>
      <c r="S89" s="643">
        <v>0</v>
      </c>
      <c r="U89" s="639" t="s">
        <v>64</v>
      </c>
      <c r="V89" s="640">
        <v>0</v>
      </c>
      <c r="W89" s="641">
        <v>0</v>
      </c>
      <c r="X89" s="641">
        <v>0</v>
      </c>
      <c r="Y89" s="640">
        <v>0</v>
      </c>
      <c r="Z89" s="641">
        <v>0</v>
      </c>
      <c r="AA89" s="641">
        <v>0</v>
      </c>
      <c r="AB89" s="641">
        <v>0</v>
      </c>
      <c r="AC89" s="641">
        <v>0</v>
      </c>
      <c r="AD89" s="641">
        <v>0</v>
      </c>
      <c r="AE89" s="641">
        <v>0</v>
      </c>
      <c r="AF89" s="641">
        <v>0</v>
      </c>
      <c r="AG89" s="641">
        <v>0</v>
      </c>
      <c r="AH89" s="642">
        <v>0</v>
      </c>
      <c r="AI89" s="641">
        <v>0</v>
      </c>
      <c r="AJ89" s="641">
        <v>0</v>
      </c>
      <c r="AK89" s="643">
        <v>0</v>
      </c>
    </row>
    <row r="90" spans="3:37" x14ac:dyDescent="0.2">
      <c r="C90" s="644" t="s">
        <v>65</v>
      </c>
      <c r="D90" s="645">
        <v>48.827265231041785</v>
      </c>
      <c r="E90" s="645">
        <v>523.88910535010393</v>
      </c>
      <c r="F90" s="645">
        <v>8.0644790088140255</v>
      </c>
      <c r="G90" s="645">
        <v>335.1417788205901</v>
      </c>
      <c r="H90" s="645">
        <v>1075.0000000000002</v>
      </c>
      <c r="I90" s="645">
        <v>224.13674723416887</v>
      </c>
      <c r="J90" s="645">
        <v>195.29777952983056</v>
      </c>
      <c r="K90" s="645">
        <v>21.432553878964274</v>
      </c>
      <c r="L90" s="645">
        <v>1.5939623879592042</v>
      </c>
      <c r="M90" s="645">
        <v>0.1566638564915529</v>
      </c>
      <c r="N90" s="645">
        <v>57.826394702164251</v>
      </c>
      <c r="O90" s="645">
        <v>8.0717549324466145</v>
      </c>
      <c r="P90" s="645">
        <v>-50.941346245748719</v>
      </c>
      <c r="Q90" s="645">
        <v>0</v>
      </c>
      <c r="R90" s="645">
        <v>0</v>
      </c>
      <c r="S90" s="645">
        <v>2448.4971386868265</v>
      </c>
      <c r="U90" s="644" t="s">
        <v>65</v>
      </c>
      <c r="V90" s="645">
        <v>9.7783497021920969</v>
      </c>
      <c r="W90" s="645">
        <v>342.62490869295175</v>
      </c>
      <c r="X90" s="645">
        <v>-24.574799014535962</v>
      </c>
      <c r="Y90" s="645">
        <v>205.89329508200694</v>
      </c>
      <c r="Z90" s="645">
        <v>994.39393939393949</v>
      </c>
      <c r="AA90" s="645">
        <v>248.70674723416883</v>
      </c>
      <c r="AB90" s="645">
        <v>195.46401906120443</v>
      </c>
      <c r="AC90" s="645">
        <v>38.031253697312572</v>
      </c>
      <c r="AD90" s="645">
        <v>-12.664422058660257</v>
      </c>
      <c r="AE90" s="645">
        <v>-0.11812371768062052</v>
      </c>
      <c r="AF90" s="645">
        <v>76.992812580470769</v>
      </c>
      <c r="AG90" s="645">
        <v>16.738826185514363</v>
      </c>
      <c r="AH90" s="645">
        <v>-32.476172245636349</v>
      </c>
      <c r="AI90" s="645">
        <v>0</v>
      </c>
      <c r="AJ90" s="645">
        <v>0</v>
      </c>
      <c r="AK90" s="645">
        <v>2058.7906345932479</v>
      </c>
    </row>
    <row r="91" spans="3:37" x14ac:dyDescent="0.2">
      <c r="C91" s="634"/>
      <c r="D91" s="634">
        <v>0</v>
      </c>
      <c r="E91" s="634">
        <v>0</v>
      </c>
      <c r="F91" s="634">
        <v>0</v>
      </c>
      <c r="G91" s="634">
        <v>0</v>
      </c>
      <c r="H91" s="634">
        <v>0</v>
      </c>
      <c r="I91" s="634">
        <v>0</v>
      </c>
      <c r="J91" s="634">
        <v>0</v>
      </c>
      <c r="K91" s="634">
        <v>0</v>
      </c>
      <c r="L91" s="634">
        <v>0</v>
      </c>
      <c r="M91" s="634">
        <v>0</v>
      </c>
      <c r="N91" s="634">
        <v>0</v>
      </c>
      <c r="O91" s="634">
        <v>0</v>
      </c>
      <c r="P91" s="634">
        <v>0</v>
      </c>
      <c r="Q91" s="634">
        <v>0</v>
      </c>
      <c r="R91" s="634">
        <v>0</v>
      </c>
      <c r="S91" s="634">
        <v>0</v>
      </c>
      <c r="U91" s="634"/>
      <c r="V91" s="634">
        <v>0</v>
      </c>
      <c r="W91" s="634">
        <v>0</v>
      </c>
      <c r="X91" s="634">
        <v>0</v>
      </c>
      <c r="Y91" s="634">
        <v>0</v>
      </c>
      <c r="Z91" s="634">
        <v>0</v>
      </c>
      <c r="AA91" s="634">
        <v>0</v>
      </c>
      <c r="AB91" s="634">
        <v>0</v>
      </c>
      <c r="AC91" s="634">
        <v>0</v>
      </c>
      <c r="AD91" s="634">
        <v>0</v>
      </c>
      <c r="AE91" s="634">
        <v>0</v>
      </c>
      <c r="AF91" s="634">
        <v>0</v>
      </c>
      <c r="AG91" s="634">
        <v>0</v>
      </c>
      <c r="AH91" s="634">
        <v>0</v>
      </c>
      <c r="AI91" s="634">
        <v>0</v>
      </c>
      <c r="AJ91" s="634">
        <v>0</v>
      </c>
      <c r="AK91" s="634">
        <v>0</v>
      </c>
    </row>
    <row r="92" spans="3:37" x14ac:dyDescent="0.2">
      <c r="C92" s="646" t="s">
        <v>67</v>
      </c>
      <c r="D92" s="640">
        <v>0</v>
      </c>
      <c r="E92" s="647">
        <v>0</v>
      </c>
      <c r="F92" s="647">
        <v>0</v>
      </c>
      <c r="G92" s="640">
        <v>0</v>
      </c>
      <c r="H92" s="640">
        <v>0</v>
      </c>
      <c r="I92" s="640">
        <v>0</v>
      </c>
      <c r="J92" s="640">
        <v>0</v>
      </c>
      <c r="K92" s="640">
        <v>0</v>
      </c>
      <c r="L92" s="640">
        <v>0</v>
      </c>
      <c r="M92" s="640">
        <v>0</v>
      </c>
      <c r="N92" s="640">
        <v>0</v>
      </c>
      <c r="O92" s="640">
        <v>0</v>
      </c>
      <c r="P92" s="640">
        <v>0</v>
      </c>
      <c r="Q92" s="640">
        <v>0</v>
      </c>
      <c r="R92" s="640">
        <v>0</v>
      </c>
      <c r="S92" s="648">
        <v>0</v>
      </c>
      <c r="U92" s="646" t="s">
        <v>67</v>
      </c>
      <c r="V92" s="640">
        <v>0</v>
      </c>
      <c r="W92" s="647">
        <v>0</v>
      </c>
      <c r="X92" s="647">
        <v>0</v>
      </c>
      <c r="Y92" s="640">
        <v>0</v>
      </c>
      <c r="Z92" s="640">
        <v>0</v>
      </c>
      <c r="AA92" s="640">
        <v>0</v>
      </c>
      <c r="AB92" s="640">
        <v>0</v>
      </c>
      <c r="AC92" s="640">
        <v>0</v>
      </c>
      <c r="AD92" s="640">
        <v>0</v>
      </c>
      <c r="AE92" s="640">
        <v>0</v>
      </c>
      <c r="AF92" s="640">
        <v>0</v>
      </c>
      <c r="AG92" s="640">
        <v>0</v>
      </c>
      <c r="AH92" s="640">
        <v>0</v>
      </c>
      <c r="AI92" s="640">
        <v>0</v>
      </c>
      <c r="AJ92" s="640">
        <v>0</v>
      </c>
      <c r="AK92" s="648">
        <v>0</v>
      </c>
    </row>
    <row r="93" spans="3:37" x14ac:dyDescent="0.2">
      <c r="C93" s="646" t="s">
        <v>347</v>
      </c>
      <c r="D93" s="640">
        <v>2.8267856410252494</v>
      </c>
      <c r="E93" s="640">
        <v>0</v>
      </c>
      <c r="F93" s="640">
        <v>7.9696731063521415</v>
      </c>
      <c r="G93" s="640">
        <v>17.422222222222224</v>
      </c>
      <c r="H93" s="640">
        <v>1075.0000000000002</v>
      </c>
      <c r="I93" s="640">
        <v>224.13674723416887</v>
      </c>
      <c r="J93" s="649">
        <v>30.45355250478201</v>
      </c>
      <c r="K93" s="649">
        <v>7.4482212846984126</v>
      </c>
      <c r="L93" s="649">
        <v>2.4531054045111396</v>
      </c>
      <c r="M93" s="649">
        <v>0.47972213502804317</v>
      </c>
      <c r="N93" s="649">
        <v>0</v>
      </c>
      <c r="O93" s="649">
        <v>3.0833964576427819</v>
      </c>
      <c r="P93" s="640">
        <v>-609.30151807373261</v>
      </c>
      <c r="Q93" s="640">
        <v>0</v>
      </c>
      <c r="R93" s="640">
        <v>0</v>
      </c>
      <c r="S93" s="648">
        <v>761.97190791669834</v>
      </c>
      <c r="U93" s="646" t="s">
        <v>347</v>
      </c>
      <c r="V93" s="640">
        <v>0.62631490545869017</v>
      </c>
      <c r="W93" s="640">
        <v>0</v>
      </c>
      <c r="X93" s="640">
        <v>4.1060367427157782</v>
      </c>
      <c r="Y93" s="640">
        <v>24.857777777777773</v>
      </c>
      <c r="Z93" s="640">
        <v>994.39393939393949</v>
      </c>
      <c r="AA93" s="640">
        <v>248.70674723416883</v>
      </c>
      <c r="AB93" s="649">
        <v>24.641197042508384</v>
      </c>
      <c r="AC93" s="649">
        <v>6.6719525843779666</v>
      </c>
      <c r="AD93" s="649">
        <v>2.4531054045111396</v>
      </c>
      <c r="AE93" s="649">
        <v>4.5108332461391543</v>
      </c>
      <c r="AF93" s="649">
        <v>0</v>
      </c>
      <c r="AG93" s="649">
        <v>3.0833964576427819</v>
      </c>
      <c r="AH93" s="640">
        <v>-611.77151807373264</v>
      </c>
      <c r="AI93" s="640">
        <v>0</v>
      </c>
      <c r="AJ93" s="640">
        <v>2.3749999999999996</v>
      </c>
      <c r="AK93" s="648">
        <v>704.65478271550762</v>
      </c>
    </row>
    <row r="94" spans="3:37" x14ac:dyDescent="0.2">
      <c r="C94" s="646" t="s">
        <v>348</v>
      </c>
      <c r="D94" s="640">
        <v>0</v>
      </c>
      <c r="E94" s="640">
        <v>0</v>
      </c>
      <c r="F94" s="640">
        <v>0</v>
      </c>
      <c r="G94" s="640">
        <v>15.160725636684646</v>
      </c>
      <c r="H94" s="640">
        <v>0</v>
      </c>
      <c r="I94" s="640">
        <v>0</v>
      </c>
      <c r="J94" s="649">
        <v>12.939045348987106</v>
      </c>
      <c r="K94" s="649">
        <v>12.151724678588742</v>
      </c>
      <c r="L94" s="649">
        <v>0</v>
      </c>
      <c r="M94" s="649">
        <v>0.32322722394029924</v>
      </c>
      <c r="N94" s="649">
        <v>0</v>
      </c>
      <c r="O94" s="649">
        <v>2.1538235080806043</v>
      </c>
      <c r="P94" s="640">
        <v>0</v>
      </c>
      <c r="Q94" s="640">
        <v>-38.589386176372813</v>
      </c>
      <c r="R94" s="640">
        <v>0</v>
      </c>
      <c r="S94" s="648">
        <v>4.1391602199085806</v>
      </c>
      <c r="U94" s="646" t="s">
        <v>348</v>
      </c>
      <c r="V94" s="640">
        <v>0</v>
      </c>
      <c r="W94" s="640">
        <v>0</v>
      </c>
      <c r="X94" s="640">
        <v>0</v>
      </c>
      <c r="Y94" s="640">
        <v>15.290780965453443</v>
      </c>
      <c r="Z94" s="640">
        <v>0</v>
      </c>
      <c r="AA94" s="640">
        <v>0</v>
      </c>
      <c r="AB94" s="649">
        <v>28.500378674784677</v>
      </c>
      <c r="AC94" s="649">
        <v>25.381229817913329</v>
      </c>
      <c r="AD94" s="649">
        <v>0</v>
      </c>
      <c r="AE94" s="649">
        <v>2.712197771476935</v>
      </c>
      <c r="AF94" s="649">
        <v>0</v>
      </c>
      <c r="AG94" s="649">
        <v>8.3103526067541207</v>
      </c>
      <c r="AH94" s="640">
        <v>0</v>
      </c>
      <c r="AI94" s="640">
        <v>-73.223954421682024</v>
      </c>
      <c r="AJ94" s="640">
        <v>0</v>
      </c>
      <c r="AK94" s="648">
        <v>6.9709854147004844</v>
      </c>
    </row>
    <row r="95" spans="3:37" x14ac:dyDescent="0.2">
      <c r="C95" s="646" t="s">
        <v>349</v>
      </c>
      <c r="D95" s="640">
        <v>0</v>
      </c>
      <c r="E95" s="640">
        <v>0</v>
      </c>
      <c r="F95" s="640">
        <v>0</v>
      </c>
      <c r="G95" s="640">
        <v>0</v>
      </c>
      <c r="H95" s="640">
        <v>0</v>
      </c>
      <c r="I95" s="640">
        <v>0</v>
      </c>
      <c r="J95" s="650">
        <v>7.3987592400222235</v>
      </c>
      <c r="K95" s="650">
        <v>0</v>
      </c>
      <c r="L95" s="650">
        <v>0</v>
      </c>
      <c r="M95" s="650">
        <v>-6.5941441726698065</v>
      </c>
      <c r="N95" s="650">
        <v>0</v>
      </c>
      <c r="O95" s="650">
        <v>0</v>
      </c>
      <c r="P95" s="640">
        <v>0</v>
      </c>
      <c r="Q95" s="640">
        <v>0</v>
      </c>
      <c r="R95" s="640">
        <v>0</v>
      </c>
      <c r="S95" s="648">
        <v>0.80461506735241706</v>
      </c>
      <c r="U95" s="646" t="s">
        <v>349</v>
      </c>
      <c r="V95" s="640">
        <v>0</v>
      </c>
      <c r="W95" s="640">
        <v>0</v>
      </c>
      <c r="X95" s="640">
        <v>0</v>
      </c>
      <c r="Y95" s="640">
        <v>0</v>
      </c>
      <c r="Z95" s="640">
        <v>0</v>
      </c>
      <c r="AA95" s="640">
        <v>0</v>
      </c>
      <c r="AB95" s="650">
        <v>40.786473386605621</v>
      </c>
      <c r="AC95" s="650">
        <v>0</v>
      </c>
      <c r="AD95" s="650">
        <v>0</v>
      </c>
      <c r="AE95" s="650">
        <v>-36.350944405812257</v>
      </c>
      <c r="AF95" s="650">
        <v>0</v>
      </c>
      <c r="AG95" s="650">
        <v>0</v>
      </c>
      <c r="AH95" s="640">
        <v>0</v>
      </c>
      <c r="AI95" s="640">
        <v>0</v>
      </c>
      <c r="AJ95" s="640">
        <v>0</v>
      </c>
      <c r="AK95" s="648">
        <v>4.4355289807933644</v>
      </c>
    </row>
    <row r="96" spans="3:37" x14ac:dyDescent="0.2">
      <c r="C96" s="646" t="s">
        <v>350</v>
      </c>
      <c r="D96" s="640">
        <v>0</v>
      </c>
      <c r="E96" s="640">
        <v>0</v>
      </c>
      <c r="F96" s="640">
        <v>0</v>
      </c>
      <c r="G96" s="640">
        <v>0</v>
      </c>
      <c r="H96" s="640">
        <v>0</v>
      </c>
      <c r="I96" s="640">
        <v>0</v>
      </c>
      <c r="J96" s="640">
        <v>0</v>
      </c>
      <c r="K96" s="640">
        <v>0</v>
      </c>
      <c r="L96" s="640">
        <v>0</v>
      </c>
      <c r="M96" s="640">
        <v>0</v>
      </c>
      <c r="N96" s="640">
        <v>0</v>
      </c>
      <c r="O96" s="640">
        <v>0</v>
      </c>
      <c r="P96" s="640">
        <v>0</v>
      </c>
      <c r="Q96" s="640">
        <v>0</v>
      </c>
      <c r="R96" s="640">
        <v>0</v>
      </c>
      <c r="S96" s="648">
        <v>0</v>
      </c>
      <c r="U96" s="646" t="s">
        <v>350</v>
      </c>
      <c r="V96" s="640">
        <v>0</v>
      </c>
      <c r="W96" s="640">
        <v>0</v>
      </c>
      <c r="X96" s="640">
        <v>0</v>
      </c>
      <c r="Y96" s="640">
        <v>0</v>
      </c>
      <c r="Z96" s="640">
        <v>0</v>
      </c>
      <c r="AA96" s="640">
        <v>0</v>
      </c>
      <c r="AB96" s="640">
        <v>0</v>
      </c>
      <c r="AC96" s="640">
        <v>0</v>
      </c>
      <c r="AD96" s="640">
        <v>0</v>
      </c>
      <c r="AE96" s="640">
        <v>0</v>
      </c>
      <c r="AF96" s="640">
        <v>0</v>
      </c>
      <c r="AG96" s="640">
        <v>0</v>
      </c>
      <c r="AH96" s="640">
        <v>0</v>
      </c>
      <c r="AI96" s="640">
        <v>0</v>
      </c>
      <c r="AJ96" s="640">
        <v>0</v>
      </c>
      <c r="AK96" s="648">
        <v>0</v>
      </c>
    </row>
    <row r="97" spans="3:37" x14ac:dyDescent="0.2">
      <c r="C97" s="646" t="s">
        <v>72</v>
      </c>
      <c r="D97" s="640">
        <v>0</v>
      </c>
      <c r="E97" s="640">
        <v>542.69343279650275</v>
      </c>
      <c r="F97" s="640">
        <v>-537.26649846853775</v>
      </c>
      <c r="G97" s="640">
        <v>0</v>
      </c>
      <c r="H97" s="640">
        <v>0</v>
      </c>
      <c r="I97" s="640">
        <v>0</v>
      </c>
      <c r="J97" s="640">
        <v>0</v>
      </c>
      <c r="K97" s="640">
        <v>0</v>
      </c>
      <c r="L97" s="640">
        <v>0</v>
      </c>
      <c r="M97" s="640">
        <v>0</v>
      </c>
      <c r="N97" s="640">
        <v>0</v>
      </c>
      <c r="O97" s="640">
        <v>0</v>
      </c>
      <c r="P97" s="640">
        <v>0</v>
      </c>
      <c r="Q97" s="640">
        <v>0</v>
      </c>
      <c r="R97" s="640">
        <v>0</v>
      </c>
      <c r="S97" s="648">
        <v>5.4269343279650002</v>
      </c>
      <c r="U97" s="646" t="s">
        <v>72</v>
      </c>
      <c r="V97" s="640">
        <v>0</v>
      </c>
      <c r="W97" s="640">
        <v>354.9229903070925</v>
      </c>
      <c r="X97" s="640">
        <v>-351.3737604040216</v>
      </c>
      <c r="Y97" s="640">
        <v>0</v>
      </c>
      <c r="Z97" s="640">
        <v>0</v>
      </c>
      <c r="AA97" s="640">
        <v>0</v>
      </c>
      <c r="AB97" s="640">
        <v>0</v>
      </c>
      <c r="AC97" s="640">
        <v>0</v>
      </c>
      <c r="AD97" s="640">
        <v>0</v>
      </c>
      <c r="AE97" s="640">
        <v>0</v>
      </c>
      <c r="AF97" s="640">
        <v>0</v>
      </c>
      <c r="AG97" s="640">
        <v>0</v>
      </c>
      <c r="AH97" s="640">
        <v>0</v>
      </c>
      <c r="AI97" s="640">
        <v>0</v>
      </c>
      <c r="AJ97" s="640">
        <v>0</v>
      </c>
      <c r="AK97" s="648">
        <v>3.5492299030709091</v>
      </c>
    </row>
    <row r="98" spans="3:37" x14ac:dyDescent="0.2">
      <c r="C98" s="646" t="s">
        <v>351</v>
      </c>
      <c r="D98" s="640">
        <v>0</v>
      </c>
      <c r="E98" s="640">
        <v>0</v>
      </c>
      <c r="F98" s="640">
        <v>0</v>
      </c>
      <c r="G98" s="640">
        <v>0</v>
      </c>
      <c r="H98" s="640">
        <v>0</v>
      </c>
      <c r="I98" s="640">
        <v>0</v>
      </c>
      <c r="J98" s="640">
        <v>32.75009012852766</v>
      </c>
      <c r="K98" s="640">
        <v>0</v>
      </c>
      <c r="L98" s="640">
        <v>-32.75009012852766</v>
      </c>
      <c r="M98" s="640">
        <v>0</v>
      </c>
      <c r="N98" s="640">
        <v>0</v>
      </c>
      <c r="O98" s="640">
        <v>0</v>
      </c>
      <c r="P98" s="640">
        <v>0</v>
      </c>
      <c r="Q98" s="640">
        <v>0</v>
      </c>
      <c r="R98" s="640">
        <v>0</v>
      </c>
      <c r="S98" s="648">
        <v>0</v>
      </c>
      <c r="U98" s="646" t="s">
        <v>351</v>
      </c>
      <c r="V98" s="640">
        <v>0</v>
      </c>
      <c r="W98" s="640">
        <v>0</v>
      </c>
      <c r="X98" s="640">
        <v>0</v>
      </c>
      <c r="Y98" s="640">
        <v>0</v>
      </c>
      <c r="Z98" s="640">
        <v>0</v>
      </c>
      <c r="AA98" s="640">
        <v>0</v>
      </c>
      <c r="AB98" s="640" t="e">
        <v>#VALUE!</v>
      </c>
      <c r="AC98" s="640">
        <v>0</v>
      </c>
      <c r="AD98" s="640">
        <v>-76.638831624044727</v>
      </c>
      <c r="AE98" s="640">
        <v>0</v>
      </c>
      <c r="AF98" s="640">
        <v>0</v>
      </c>
      <c r="AG98" s="640">
        <v>0</v>
      </c>
      <c r="AH98" s="640">
        <v>0</v>
      </c>
      <c r="AI98" s="640">
        <v>0</v>
      </c>
      <c r="AJ98" s="640">
        <v>0</v>
      </c>
      <c r="AK98" s="648">
        <v>-76.638831624044727</v>
      </c>
    </row>
    <row r="99" spans="3:37" x14ac:dyDescent="0.2">
      <c r="C99" s="646" t="s">
        <v>352</v>
      </c>
      <c r="D99" s="640">
        <v>0</v>
      </c>
      <c r="E99" s="640">
        <v>0</v>
      </c>
      <c r="F99" s="640">
        <v>0</v>
      </c>
      <c r="G99" s="640">
        <v>0</v>
      </c>
      <c r="H99" s="640">
        <v>0</v>
      </c>
      <c r="I99" s="640">
        <v>0</v>
      </c>
      <c r="J99" s="640">
        <v>0</v>
      </c>
      <c r="K99" s="640">
        <v>0</v>
      </c>
      <c r="L99" s="640">
        <v>0</v>
      </c>
      <c r="M99" s="640">
        <v>0</v>
      </c>
      <c r="N99" s="640">
        <v>0</v>
      </c>
      <c r="O99" s="640">
        <v>0</v>
      </c>
      <c r="P99" s="640">
        <v>0</v>
      </c>
      <c r="Q99" s="640">
        <v>0</v>
      </c>
      <c r="R99" s="640">
        <v>0</v>
      </c>
      <c r="S99" s="648">
        <v>0</v>
      </c>
      <c r="U99" s="646" t="s">
        <v>352</v>
      </c>
      <c r="V99" s="640">
        <v>0</v>
      </c>
      <c r="W99" s="640">
        <v>0</v>
      </c>
      <c r="X99" s="640">
        <v>0</v>
      </c>
      <c r="Y99" s="640">
        <v>0</v>
      </c>
      <c r="Z99" s="640">
        <v>0</v>
      </c>
      <c r="AA99" s="640">
        <v>0</v>
      </c>
      <c r="AB99" s="640">
        <v>0</v>
      </c>
      <c r="AC99" s="640">
        <v>0</v>
      </c>
      <c r="AD99" s="640">
        <v>-16.893833779014706</v>
      </c>
      <c r="AE99" s="640">
        <v>0</v>
      </c>
      <c r="AF99" s="640">
        <v>0</v>
      </c>
      <c r="AG99" s="640">
        <v>0</v>
      </c>
      <c r="AH99" s="640">
        <v>0</v>
      </c>
      <c r="AI99" s="640">
        <v>0</v>
      </c>
      <c r="AJ99" s="640">
        <v>0</v>
      </c>
      <c r="AK99" s="648">
        <v>-16.893833779014706</v>
      </c>
    </row>
    <row r="100" spans="3:37" x14ac:dyDescent="0.2">
      <c r="C100" s="646" t="s">
        <v>73</v>
      </c>
      <c r="D100" s="640">
        <v>0</v>
      </c>
      <c r="E100" s="640">
        <v>0</v>
      </c>
      <c r="F100" s="640">
        <v>0</v>
      </c>
      <c r="G100" s="640">
        <v>2.9190475912378031</v>
      </c>
      <c r="H100" s="640">
        <v>0</v>
      </c>
      <c r="I100" s="640">
        <v>0</v>
      </c>
      <c r="J100" s="640">
        <v>0</v>
      </c>
      <c r="K100" s="640">
        <v>3.3095777678433143E-2</v>
      </c>
      <c r="L100" s="640">
        <v>0</v>
      </c>
      <c r="M100" s="640">
        <v>5.9572399821179664E-2</v>
      </c>
      <c r="N100" s="640">
        <v>0</v>
      </c>
      <c r="O100" s="640">
        <v>0</v>
      </c>
      <c r="P100" s="640">
        <v>0.31236464325712177</v>
      </c>
      <c r="Q100" s="640">
        <v>0</v>
      </c>
      <c r="R100" s="640">
        <v>-2.3167044374903201</v>
      </c>
      <c r="S100" s="648">
        <v>1.0073759745042175</v>
      </c>
      <c r="U100" s="646" t="s">
        <v>73</v>
      </c>
      <c r="V100" s="640">
        <v>0</v>
      </c>
      <c r="W100" s="640">
        <v>0</v>
      </c>
      <c r="X100" s="640">
        <v>0</v>
      </c>
      <c r="Y100" s="640">
        <v>6.287229939138852</v>
      </c>
      <c r="Z100" s="640">
        <v>0</v>
      </c>
      <c r="AA100" s="640">
        <v>0</v>
      </c>
      <c r="AB100" s="640">
        <v>0</v>
      </c>
      <c r="AC100" s="640">
        <v>0.25073698660573684</v>
      </c>
      <c r="AD100" s="640">
        <v>0</v>
      </c>
      <c r="AE100" s="640">
        <v>1.1095111657303856</v>
      </c>
      <c r="AF100" s="640">
        <v>0</v>
      </c>
      <c r="AG100" s="640">
        <v>0</v>
      </c>
      <c r="AH100" s="640">
        <v>18.274688237257074</v>
      </c>
      <c r="AI100" s="640">
        <v>0</v>
      </c>
      <c r="AJ100" s="640">
        <v>-17.551589062401579</v>
      </c>
      <c r="AK100" s="648">
        <v>8.3705772663304678</v>
      </c>
    </row>
    <row r="101" spans="3:37" x14ac:dyDescent="0.2">
      <c r="C101" s="646" t="s">
        <v>353</v>
      </c>
      <c r="D101" s="640">
        <v>28.656195468750003</v>
      </c>
      <c r="E101" s="640">
        <v>-18.804327446398823</v>
      </c>
      <c r="F101" s="640">
        <v>24.594949618470011</v>
      </c>
      <c r="G101" s="640">
        <v>0</v>
      </c>
      <c r="H101" s="640">
        <v>0</v>
      </c>
      <c r="I101" s="640">
        <v>0</v>
      </c>
      <c r="J101" s="640">
        <v>0</v>
      </c>
      <c r="K101" s="640">
        <v>0</v>
      </c>
      <c r="L101" s="640">
        <v>0</v>
      </c>
      <c r="M101" s="640">
        <v>0</v>
      </c>
      <c r="N101" s="640">
        <v>0</v>
      </c>
      <c r="O101" s="640">
        <v>0</v>
      </c>
      <c r="P101" s="640">
        <v>0</v>
      </c>
      <c r="Q101" s="640">
        <v>0</v>
      </c>
      <c r="R101" s="640">
        <v>0</v>
      </c>
      <c r="S101" s="648">
        <v>34.446817640821195</v>
      </c>
      <c r="U101" s="646" t="s">
        <v>353</v>
      </c>
      <c r="V101" s="640">
        <v>3.6632235107421875</v>
      </c>
      <c r="W101" s="640">
        <v>-12.298081614140758</v>
      </c>
      <c r="X101" s="640">
        <v>16.085164362607916</v>
      </c>
      <c r="Y101" s="640">
        <v>0</v>
      </c>
      <c r="Z101" s="640">
        <v>0</v>
      </c>
      <c r="AA101" s="640">
        <v>0</v>
      </c>
      <c r="AB101" s="640">
        <v>0</v>
      </c>
      <c r="AC101" s="640">
        <v>0</v>
      </c>
      <c r="AD101" s="640">
        <v>0</v>
      </c>
      <c r="AE101" s="640">
        <v>0</v>
      </c>
      <c r="AF101" s="640">
        <v>0</v>
      </c>
      <c r="AG101" s="640">
        <v>0</v>
      </c>
      <c r="AH101" s="640">
        <v>0</v>
      </c>
      <c r="AI101" s="640">
        <v>0</v>
      </c>
      <c r="AJ101" s="640">
        <v>0</v>
      </c>
      <c r="AK101" s="648">
        <v>7.450306259209345</v>
      </c>
    </row>
    <row r="102" spans="3:37" x14ac:dyDescent="0.2">
      <c r="C102" s="646" t="s">
        <v>75</v>
      </c>
      <c r="D102" s="640">
        <v>11.144076015625002</v>
      </c>
      <c r="E102" s="640">
        <v>0</v>
      </c>
      <c r="F102" s="640">
        <v>18.451576715081096</v>
      </c>
      <c r="G102" s="640">
        <v>5.2652116849916704</v>
      </c>
      <c r="H102" s="640">
        <v>0</v>
      </c>
      <c r="I102" s="640">
        <v>0</v>
      </c>
      <c r="J102" s="640">
        <v>0</v>
      </c>
      <c r="K102" s="640">
        <v>0</v>
      </c>
      <c r="L102" s="640">
        <v>0</v>
      </c>
      <c r="M102" s="640">
        <v>0.10745329969370757</v>
      </c>
      <c r="N102" s="640">
        <v>0</v>
      </c>
      <c r="O102" s="640">
        <v>0</v>
      </c>
      <c r="P102" s="640">
        <v>33.522260759660846</v>
      </c>
      <c r="Q102" s="640">
        <v>0</v>
      </c>
      <c r="R102" s="640">
        <v>0</v>
      </c>
      <c r="S102" s="648">
        <v>68.490578475052317</v>
      </c>
      <c r="U102" s="646" t="s">
        <v>75</v>
      </c>
      <c r="V102" s="640">
        <v>4.4693862304687499</v>
      </c>
      <c r="W102" s="640">
        <v>0</v>
      </c>
      <c r="X102" s="640">
        <v>18.451576715081096</v>
      </c>
      <c r="Y102" s="640">
        <v>4.5667652369825715</v>
      </c>
      <c r="Z102" s="640">
        <v>0</v>
      </c>
      <c r="AA102" s="640">
        <v>0</v>
      </c>
      <c r="AB102" s="640">
        <v>0</v>
      </c>
      <c r="AC102" s="640">
        <v>0</v>
      </c>
      <c r="AD102" s="640">
        <v>0</v>
      </c>
      <c r="AE102" s="640">
        <v>0.8058997477028067</v>
      </c>
      <c r="AF102" s="640">
        <v>0</v>
      </c>
      <c r="AG102" s="640">
        <v>0</v>
      </c>
      <c r="AH102" s="640">
        <v>33.775215305115388</v>
      </c>
      <c r="AI102" s="640">
        <v>0</v>
      </c>
      <c r="AJ102" s="640">
        <v>0</v>
      </c>
      <c r="AK102" s="648">
        <v>62.068843235350613</v>
      </c>
    </row>
    <row r="103" spans="3:37" x14ac:dyDescent="0.2">
      <c r="C103" s="646" t="s">
        <v>76</v>
      </c>
      <c r="D103" s="640">
        <v>0</v>
      </c>
      <c r="E103" s="640">
        <v>0</v>
      </c>
      <c r="F103" s="640">
        <v>0</v>
      </c>
      <c r="G103" s="640">
        <v>3.8313802109978718</v>
      </c>
      <c r="H103" s="640">
        <v>0</v>
      </c>
      <c r="I103" s="640">
        <v>0</v>
      </c>
      <c r="J103" s="640">
        <v>0</v>
      </c>
      <c r="K103" s="640">
        <v>0</v>
      </c>
      <c r="L103" s="640">
        <v>0</v>
      </c>
      <c r="M103" s="640">
        <v>7.8191432877507586E-2</v>
      </c>
      <c r="N103" s="640">
        <v>0</v>
      </c>
      <c r="O103" s="640">
        <v>0</v>
      </c>
      <c r="P103" s="640">
        <v>42.744249460921445</v>
      </c>
      <c r="Q103" s="640">
        <v>2.9948048478615572</v>
      </c>
      <c r="R103" s="640">
        <v>0</v>
      </c>
      <c r="S103" s="648">
        <v>49.648625952658385</v>
      </c>
      <c r="U103" s="646" t="s">
        <v>76</v>
      </c>
      <c r="V103" s="640">
        <v>0</v>
      </c>
      <c r="W103" s="640">
        <v>0</v>
      </c>
      <c r="X103" s="640">
        <v>0</v>
      </c>
      <c r="Y103" s="640">
        <v>2.4425535766751323</v>
      </c>
      <c r="Z103" s="640">
        <v>0</v>
      </c>
      <c r="AA103" s="640">
        <v>0</v>
      </c>
      <c r="AB103" s="640">
        <v>0</v>
      </c>
      <c r="AC103" s="640">
        <v>0</v>
      </c>
      <c r="AD103" s="640">
        <v>0</v>
      </c>
      <c r="AE103" s="640">
        <v>0.43103886647208217</v>
      </c>
      <c r="AF103" s="640">
        <v>0</v>
      </c>
      <c r="AG103" s="640">
        <v>0</v>
      </c>
      <c r="AH103" s="640">
        <v>44.348699545879278</v>
      </c>
      <c r="AI103" s="640">
        <v>5.6786643797858867</v>
      </c>
      <c r="AJ103" s="640">
        <v>0</v>
      </c>
      <c r="AK103" s="648">
        <v>52.900956368812388</v>
      </c>
    </row>
    <row r="104" spans="3:37" x14ac:dyDescent="0.2">
      <c r="C104" s="644" t="s">
        <v>77</v>
      </c>
      <c r="D104" s="645">
        <v>42.627057125400256</v>
      </c>
      <c r="E104" s="645">
        <v>523.88910535010393</v>
      </c>
      <c r="F104" s="645">
        <v>-486.25029902863446</v>
      </c>
      <c r="G104" s="645">
        <v>44.598587346134217</v>
      </c>
      <c r="H104" s="645">
        <v>1075.0000000000002</v>
      </c>
      <c r="I104" s="645">
        <v>224.13674723416887</v>
      </c>
      <c r="J104" s="645">
        <v>83.541447222318993</v>
      </c>
      <c r="K104" s="645">
        <v>19.633041740965588</v>
      </c>
      <c r="L104" s="645">
        <v>-30.296984724016522</v>
      </c>
      <c r="M104" s="645">
        <v>-5.5459776813090693</v>
      </c>
      <c r="N104" s="645">
        <v>0</v>
      </c>
      <c r="O104" s="645">
        <v>5.2372199657233862</v>
      </c>
      <c r="P104" s="645">
        <v>-532.72264320989325</v>
      </c>
      <c r="Q104" s="645">
        <v>-35.594581328511254</v>
      </c>
      <c r="R104" s="645">
        <v>-2.3167044374903201</v>
      </c>
      <c r="S104" s="645">
        <v>925.93601557496061</v>
      </c>
      <c r="U104" s="644" t="s">
        <v>77</v>
      </c>
      <c r="V104" s="645">
        <v>8.7589246466696284</v>
      </c>
      <c r="W104" s="645">
        <v>342.62490869295175</v>
      </c>
      <c r="X104" s="645">
        <v>-312.73098258361676</v>
      </c>
      <c r="Y104" s="645">
        <v>53.445107496027774</v>
      </c>
      <c r="Z104" s="645">
        <v>994.39393939393949</v>
      </c>
      <c r="AA104" s="645">
        <v>248.70674723416883</v>
      </c>
      <c r="AB104" s="645">
        <v>93.928049103898687</v>
      </c>
      <c r="AC104" s="645">
        <v>32.303919388897036</v>
      </c>
      <c r="AD104" s="645">
        <v>-91.079559998548305</v>
      </c>
      <c r="AE104" s="645">
        <v>-26.781463608290892</v>
      </c>
      <c r="AF104" s="645">
        <v>0</v>
      </c>
      <c r="AG104" s="645">
        <v>11.393749064396903</v>
      </c>
      <c r="AH104" s="645">
        <v>-515.37291498548086</v>
      </c>
      <c r="AI104" s="645">
        <v>-67.545290041896138</v>
      </c>
      <c r="AJ104" s="645">
        <v>-15.176589062401579</v>
      </c>
      <c r="AK104" s="645">
        <v>756.86854474071572</v>
      </c>
    </row>
    <row r="105" spans="3:37" x14ac:dyDescent="0.2">
      <c r="C105" s="634"/>
      <c r="D105" s="634">
        <v>0</v>
      </c>
      <c r="E105" s="634">
        <v>0</v>
      </c>
      <c r="F105" s="634">
        <v>0</v>
      </c>
      <c r="G105" s="634">
        <v>0</v>
      </c>
      <c r="H105" s="634">
        <v>0</v>
      </c>
      <c r="I105" s="634">
        <v>0</v>
      </c>
      <c r="J105" s="634">
        <v>0</v>
      </c>
      <c r="K105" s="634">
        <v>0</v>
      </c>
      <c r="L105" s="634">
        <v>0</v>
      </c>
      <c r="M105" s="634">
        <v>0</v>
      </c>
      <c r="N105" s="634">
        <v>0</v>
      </c>
      <c r="O105" s="634">
        <v>0</v>
      </c>
      <c r="P105" s="634">
        <v>0</v>
      </c>
      <c r="Q105" s="634">
        <v>0</v>
      </c>
      <c r="R105" s="634">
        <v>0</v>
      </c>
      <c r="S105" s="634">
        <v>0</v>
      </c>
      <c r="U105" s="634"/>
      <c r="V105" s="634">
        <v>0</v>
      </c>
      <c r="W105" s="634">
        <v>0</v>
      </c>
      <c r="X105" s="634">
        <v>0</v>
      </c>
      <c r="Y105" s="634">
        <v>0</v>
      </c>
      <c r="Z105" s="634">
        <v>0</v>
      </c>
      <c r="AA105" s="634">
        <v>0</v>
      </c>
      <c r="AB105" s="634">
        <v>0</v>
      </c>
      <c r="AC105" s="634">
        <v>0</v>
      </c>
      <c r="AD105" s="634">
        <v>0</v>
      </c>
      <c r="AE105" s="634">
        <v>0</v>
      </c>
      <c r="AF105" s="634">
        <v>0</v>
      </c>
      <c r="AG105" s="634">
        <v>0</v>
      </c>
      <c r="AH105" s="634">
        <v>0</v>
      </c>
      <c r="AI105" s="634">
        <v>0</v>
      </c>
      <c r="AJ105" s="634">
        <v>0</v>
      </c>
      <c r="AK105" s="634">
        <v>0</v>
      </c>
    </row>
    <row r="106" spans="3:37" x14ac:dyDescent="0.2">
      <c r="C106" s="646" t="s">
        <v>78</v>
      </c>
      <c r="D106" s="640">
        <v>6.2002081056415257</v>
      </c>
      <c r="E106" s="640">
        <v>0</v>
      </c>
      <c r="F106" s="640">
        <v>23.255205938178186</v>
      </c>
      <c r="G106" s="640">
        <v>101.12865293850786</v>
      </c>
      <c r="H106" s="640">
        <v>0</v>
      </c>
      <c r="I106" s="640">
        <v>0</v>
      </c>
      <c r="J106" s="640">
        <v>19.565687098295676</v>
      </c>
      <c r="K106" s="640">
        <v>1.7744589215827917</v>
      </c>
      <c r="L106" s="640">
        <v>0.87520713476562495</v>
      </c>
      <c r="M106" s="640">
        <v>2.0825226770622867</v>
      </c>
      <c r="N106" s="640">
        <v>0</v>
      </c>
      <c r="O106" s="640">
        <v>3.8067188808088001E-4</v>
      </c>
      <c r="P106" s="640">
        <v>109.76937284793219</v>
      </c>
      <c r="Q106" s="640">
        <v>16.103287978552984</v>
      </c>
      <c r="R106" s="640">
        <v>0.32868640136718752</v>
      </c>
      <c r="S106" s="648">
        <v>281.08367071377444</v>
      </c>
      <c r="U106" s="646" t="s">
        <v>78</v>
      </c>
      <c r="V106" s="640">
        <v>1.01942505552247</v>
      </c>
      <c r="W106" s="640">
        <v>0</v>
      </c>
      <c r="X106" s="640">
        <v>12.936117077553076</v>
      </c>
      <c r="Y106" s="640">
        <v>67.349539979102474</v>
      </c>
      <c r="Z106" s="640">
        <v>0</v>
      </c>
      <c r="AA106" s="640">
        <v>0</v>
      </c>
      <c r="AB106" s="640">
        <v>16.313565187348217</v>
      </c>
      <c r="AC106" s="640">
        <v>5.7022810919996436</v>
      </c>
      <c r="AD106" s="640">
        <v>2.2588896484375001</v>
      </c>
      <c r="AE106" s="640">
        <v>11.903885554581411</v>
      </c>
      <c r="AF106" s="640">
        <v>0</v>
      </c>
      <c r="AG106" s="640">
        <v>3.8067188808088001E-4</v>
      </c>
      <c r="AH106" s="640">
        <v>135.13428233654639</v>
      </c>
      <c r="AI106" s="640">
        <v>21.466888656055119</v>
      </c>
      <c r="AJ106" s="640">
        <v>5.7972734375000003</v>
      </c>
      <c r="AK106" s="648">
        <v>279.88252869653439</v>
      </c>
    </row>
    <row r="107" spans="3:37" x14ac:dyDescent="0.2">
      <c r="C107" s="646" t="s">
        <v>79</v>
      </c>
      <c r="D107" s="640">
        <v>0</v>
      </c>
      <c r="E107" s="640">
        <v>0</v>
      </c>
      <c r="F107" s="640">
        <v>291.38745921478562</v>
      </c>
      <c r="G107" s="640">
        <v>24.020829745272028</v>
      </c>
      <c r="H107" s="640">
        <v>0</v>
      </c>
      <c r="I107" s="640">
        <v>0</v>
      </c>
      <c r="J107" s="640">
        <v>0</v>
      </c>
      <c r="K107" s="640">
        <v>0</v>
      </c>
      <c r="L107" s="640">
        <v>28.280041762715456</v>
      </c>
      <c r="M107" s="640">
        <v>0.49022101520963324</v>
      </c>
      <c r="N107" s="640">
        <v>0</v>
      </c>
      <c r="O107" s="640">
        <v>0</v>
      </c>
      <c r="P107" s="640">
        <v>46.654707564142761</v>
      </c>
      <c r="Q107" s="640">
        <v>0</v>
      </c>
      <c r="R107" s="640">
        <v>1.1135281120019407</v>
      </c>
      <c r="S107" s="648">
        <v>391.94678741412741</v>
      </c>
      <c r="U107" s="646" t="s">
        <v>79</v>
      </c>
      <c r="V107" s="640">
        <v>0</v>
      </c>
      <c r="W107" s="640">
        <v>0</v>
      </c>
      <c r="X107" s="640">
        <v>152.5395921226515</v>
      </c>
      <c r="Y107" s="640">
        <v>18.931026789455995</v>
      </c>
      <c r="Z107" s="640">
        <v>0</v>
      </c>
      <c r="AA107" s="640">
        <v>0</v>
      </c>
      <c r="AB107" s="640">
        <v>0</v>
      </c>
      <c r="AC107" s="640">
        <v>0</v>
      </c>
      <c r="AD107" s="640">
        <v>49.546406871337183</v>
      </c>
      <c r="AE107" s="640">
        <v>3.3407694334334113</v>
      </c>
      <c r="AF107" s="640">
        <v>0</v>
      </c>
      <c r="AG107" s="640">
        <v>0</v>
      </c>
      <c r="AH107" s="640">
        <v>60.923926311544285</v>
      </c>
      <c r="AI107" s="640">
        <v>0</v>
      </c>
      <c r="AJ107" s="640">
        <v>2.0956611258816777</v>
      </c>
      <c r="AK107" s="648">
        <v>287.37738265430403</v>
      </c>
    </row>
    <row r="108" spans="3:37" x14ac:dyDescent="0.2">
      <c r="C108" s="646" t="s">
        <v>80</v>
      </c>
      <c r="D108" s="640">
        <v>0</v>
      </c>
      <c r="E108" s="640">
        <v>0</v>
      </c>
      <c r="F108" s="640">
        <v>24.366054746482678</v>
      </c>
      <c r="G108" s="640">
        <v>88.830627596834503</v>
      </c>
      <c r="H108" s="640">
        <v>0</v>
      </c>
      <c r="I108" s="640">
        <v>0</v>
      </c>
      <c r="J108" s="640">
        <v>86.298448588028648</v>
      </c>
      <c r="K108" s="640">
        <v>0</v>
      </c>
      <c r="L108" s="640">
        <v>0</v>
      </c>
      <c r="M108" s="640">
        <v>1.8128699509558064</v>
      </c>
      <c r="N108" s="640">
        <v>49.305914152356948</v>
      </c>
      <c r="O108" s="640">
        <v>1.9759423218950023</v>
      </c>
      <c r="P108" s="640">
        <v>183.08170703950353</v>
      </c>
      <c r="Q108" s="640">
        <v>15.629207143582217</v>
      </c>
      <c r="R108" s="640">
        <v>0</v>
      </c>
      <c r="S108" s="648">
        <v>451.3007715396393</v>
      </c>
      <c r="U108" s="646" t="s">
        <v>80</v>
      </c>
      <c r="V108" s="640">
        <v>0</v>
      </c>
      <c r="W108" s="640">
        <v>0</v>
      </c>
      <c r="X108" s="640">
        <v>1.5212022418020299</v>
      </c>
      <c r="Y108" s="640">
        <v>34.748278571527685</v>
      </c>
      <c r="Z108" s="640">
        <v>0</v>
      </c>
      <c r="AA108" s="640">
        <v>0</v>
      </c>
      <c r="AB108" s="640">
        <v>75.181836567082826</v>
      </c>
      <c r="AC108" s="640">
        <v>0</v>
      </c>
      <c r="AD108" s="640">
        <v>0</v>
      </c>
      <c r="AE108" s="640">
        <v>6.1320491596813564</v>
      </c>
      <c r="AF108" s="640">
        <v>62.645467095100628</v>
      </c>
      <c r="AG108" s="640">
        <v>2.6978117080871646</v>
      </c>
      <c r="AH108" s="640">
        <v>158.40967854762758</v>
      </c>
      <c r="AI108" s="640">
        <v>35.928967439236224</v>
      </c>
      <c r="AJ108" s="640">
        <v>0</v>
      </c>
      <c r="AK108" s="648">
        <v>377.26529133014549</v>
      </c>
    </row>
    <row r="109" spans="3:37" x14ac:dyDescent="0.2">
      <c r="C109" s="646" t="s">
        <v>81</v>
      </c>
      <c r="D109" s="640">
        <v>0</v>
      </c>
      <c r="E109" s="640">
        <v>0</v>
      </c>
      <c r="F109" s="640">
        <v>9.1434406229634497</v>
      </c>
      <c r="G109" s="640">
        <v>62.772902131190932</v>
      </c>
      <c r="H109" s="640">
        <v>0</v>
      </c>
      <c r="I109" s="640">
        <v>0</v>
      </c>
      <c r="J109" s="640">
        <v>3.3792389882828151</v>
      </c>
      <c r="K109" s="640">
        <v>2.5053216415896862E-2</v>
      </c>
      <c r="L109" s="640">
        <v>0</v>
      </c>
      <c r="M109" s="640">
        <v>1.2810796353304272</v>
      </c>
      <c r="N109" s="640">
        <v>8.5204805498073064</v>
      </c>
      <c r="O109" s="640">
        <v>0.77988306826531983</v>
      </c>
      <c r="P109" s="640">
        <v>134.9475862077569</v>
      </c>
      <c r="Q109" s="640">
        <v>3.8620862063760555</v>
      </c>
      <c r="R109" s="640">
        <v>0</v>
      </c>
      <c r="S109" s="648">
        <v>224.71175062638912</v>
      </c>
      <c r="U109" s="646" t="s">
        <v>81</v>
      </c>
      <c r="V109" s="640">
        <v>0</v>
      </c>
      <c r="W109" s="640">
        <v>0</v>
      </c>
      <c r="X109" s="640">
        <v>2.5747324311170368</v>
      </c>
      <c r="Y109" s="640">
        <v>28.050706446538126</v>
      </c>
      <c r="Z109" s="640">
        <v>0</v>
      </c>
      <c r="AA109" s="640">
        <v>0</v>
      </c>
      <c r="AB109" s="640">
        <v>7.5276105699702738</v>
      </c>
      <c r="AC109" s="640">
        <v>2.5053216415896862E-2</v>
      </c>
      <c r="AD109" s="640">
        <v>0</v>
      </c>
      <c r="AE109" s="640">
        <v>4.9501246670361398</v>
      </c>
      <c r="AF109" s="640">
        <v>14.347345485370148</v>
      </c>
      <c r="AG109" s="640">
        <v>1.6839822655905561</v>
      </c>
      <c r="AH109" s="640">
        <v>120.05488498756245</v>
      </c>
      <c r="AI109" s="640">
        <v>10.149433946604795</v>
      </c>
      <c r="AJ109" s="640">
        <v>0</v>
      </c>
      <c r="AK109" s="648">
        <v>189.36387401620541</v>
      </c>
    </row>
    <row r="110" spans="3:37" x14ac:dyDescent="0.2">
      <c r="C110" s="646" t="s">
        <v>82</v>
      </c>
      <c r="D110" s="640">
        <v>0</v>
      </c>
      <c r="E110" s="640">
        <v>0</v>
      </c>
      <c r="F110" s="640">
        <v>31.378359933180146</v>
      </c>
      <c r="G110" s="640">
        <v>1.761464702880946</v>
      </c>
      <c r="H110" s="640">
        <v>0</v>
      </c>
      <c r="I110" s="640">
        <v>0</v>
      </c>
      <c r="J110" s="640">
        <v>2.5129576329044134</v>
      </c>
      <c r="K110" s="640">
        <v>0</v>
      </c>
      <c r="L110" s="640">
        <v>2.7366524531426237</v>
      </c>
      <c r="M110" s="640">
        <v>3.5948259242468285E-2</v>
      </c>
      <c r="N110" s="640">
        <v>0</v>
      </c>
      <c r="O110" s="640">
        <v>7.8328904674825409E-2</v>
      </c>
      <c r="P110" s="640">
        <v>7.1029233048090266</v>
      </c>
      <c r="Q110" s="640">
        <v>0</v>
      </c>
      <c r="R110" s="640">
        <v>0</v>
      </c>
      <c r="S110" s="648">
        <v>45.606635190834446</v>
      </c>
      <c r="U110" s="646" t="s">
        <v>82</v>
      </c>
      <c r="V110" s="640">
        <v>0</v>
      </c>
      <c r="W110" s="640">
        <v>0</v>
      </c>
      <c r="X110" s="640">
        <v>18.696617357576709</v>
      </c>
      <c r="Y110" s="640">
        <v>1.906896096641761</v>
      </c>
      <c r="Z110" s="640">
        <v>0</v>
      </c>
      <c r="AA110" s="640">
        <v>0</v>
      </c>
      <c r="AB110" s="640">
        <v>2.5129576329044134</v>
      </c>
      <c r="AC110" s="640">
        <v>0</v>
      </c>
      <c r="AD110" s="640">
        <v>18.28747352858748</v>
      </c>
      <c r="AE110" s="640">
        <v>0.33651107587795781</v>
      </c>
      <c r="AF110" s="640">
        <v>0</v>
      </c>
      <c r="AG110" s="640">
        <v>0.96290247555165809</v>
      </c>
      <c r="AH110" s="640">
        <v>7.1739705565638916</v>
      </c>
      <c r="AI110" s="640">
        <v>0</v>
      </c>
      <c r="AJ110" s="640">
        <v>0.24940873791150003</v>
      </c>
      <c r="AK110" s="648">
        <v>50.12673746161537</v>
      </c>
    </row>
    <row r="111" spans="3:37" x14ac:dyDescent="0.2">
      <c r="C111" s="646" t="s">
        <v>354</v>
      </c>
      <c r="D111" s="640">
        <v>0</v>
      </c>
      <c r="E111" s="640">
        <v>0</v>
      </c>
      <c r="F111" s="640">
        <v>0</v>
      </c>
      <c r="G111" s="640">
        <v>0</v>
      </c>
      <c r="H111" s="640">
        <v>0</v>
      </c>
      <c r="I111" s="640">
        <v>0</v>
      </c>
      <c r="J111" s="640">
        <v>0</v>
      </c>
      <c r="K111" s="640">
        <v>0</v>
      </c>
      <c r="L111" s="640">
        <v>0</v>
      </c>
      <c r="M111" s="640">
        <v>0</v>
      </c>
      <c r="N111" s="640">
        <v>0</v>
      </c>
      <c r="O111" s="640">
        <v>0</v>
      </c>
      <c r="P111" s="640">
        <v>0.22499999999999998</v>
      </c>
      <c r="Q111" s="640">
        <v>0</v>
      </c>
      <c r="R111" s="640">
        <v>0</v>
      </c>
      <c r="S111" s="648">
        <v>0.22499999999999998</v>
      </c>
      <c r="U111" s="646" t="s">
        <v>354</v>
      </c>
      <c r="V111" s="640">
        <v>0</v>
      </c>
      <c r="W111" s="640">
        <v>0</v>
      </c>
      <c r="X111" s="640">
        <v>0</v>
      </c>
      <c r="Y111" s="640">
        <v>0</v>
      </c>
      <c r="Z111" s="640">
        <v>0</v>
      </c>
      <c r="AA111" s="640">
        <v>0</v>
      </c>
      <c r="AB111" s="640">
        <v>0</v>
      </c>
      <c r="AC111" s="640">
        <v>0</v>
      </c>
      <c r="AD111" s="640">
        <v>0</v>
      </c>
      <c r="AE111" s="640">
        <v>0</v>
      </c>
      <c r="AF111" s="640">
        <v>0</v>
      </c>
      <c r="AG111" s="640">
        <v>0</v>
      </c>
      <c r="AH111" s="640">
        <v>1.2</v>
      </c>
      <c r="AI111" s="640">
        <v>0</v>
      </c>
      <c r="AJ111" s="640">
        <v>0</v>
      </c>
      <c r="AK111" s="648">
        <v>1.2</v>
      </c>
    </row>
    <row r="112" spans="3:37" x14ac:dyDescent="0.2">
      <c r="C112" s="644" t="s">
        <v>83</v>
      </c>
      <c r="D112" s="645">
        <v>6.2002081056415257</v>
      </c>
      <c r="E112" s="645">
        <v>0</v>
      </c>
      <c r="F112" s="645">
        <v>379.53052045559002</v>
      </c>
      <c r="G112" s="645">
        <v>278.51447711468631</v>
      </c>
      <c r="H112" s="645">
        <v>0</v>
      </c>
      <c r="I112" s="645">
        <v>0</v>
      </c>
      <c r="J112" s="645">
        <v>111.75633230751156</v>
      </c>
      <c r="K112" s="645">
        <v>1.7995121379986885</v>
      </c>
      <c r="L112" s="645">
        <v>31.891901350623705</v>
      </c>
      <c r="M112" s="645">
        <v>5.7026415378006226</v>
      </c>
      <c r="N112" s="645">
        <v>57.826394702164251</v>
      </c>
      <c r="O112" s="645">
        <v>2.8345349667232282</v>
      </c>
      <c r="P112" s="645">
        <v>481.78129696414442</v>
      </c>
      <c r="Q112" s="645">
        <v>35.594581328511254</v>
      </c>
      <c r="R112" s="645">
        <v>1.4422145133691282</v>
      </c>
      <c r="S112" s="645">
        <v>1394.8746154847647</v>
      </c>
      <c r="U112" s="644" t="s">
        <v>83</v>
      </c>
      <c r="V112" s="645">
        <v>1.01942505552247</v>
      </c>
      <c r="W112" s="645">
        <v>0</v>
      </c>
      <c r="X112" s="645">
        <v>188.26826123070035</v>
      </c>
      <c r="Y112" s="645">
        <v>150.98644788326604</v>
      </c>
      <c r="Z112" s="645">
        <v>0</v>
      </c>
      <c r="AA112" s="645">
        <v>0</v>
      </c>
      <c r="AB112" s="645">
        <v>101.53596995730574</v>
      </c>
      <c r="AC112" s="645">
        <v>5.727334308415541</v>
      </c>
      <c r="AD112" s="645">
        <v>70.092770048362169</v>
      </c>
      <c r="AE112" s="645">
        <v>26.663339890610278</v>
      </c>
      <c r="AF112" s="645">
        <v>76.992812580470769</v>
      </c>
      <c r="AG112" s="645">
        <v>5.3450771211174599</v>
      </c>
      <c r="AH112" s="645">
        <v>482.89674273984457</v>
      </c>
      <c r="AI112" s="645">
        <v>67.545290041896138</v>
      </c>
      <c r="AJ112" s="645">
        <v>8.1423433012931774</v>
      </c>
      <c r="AK112" s="645">
        <v>1185.2158141588047</v>
      </c>
    </row>
    <row r="113" spans="3:37" x14ac:dyDescent="0.2">
      <c r="C113" s="639" t="s">
        <v>84</v>
      </c>
      <c r="D113" s="640">
        <v>0</v>
      </c>
      <c r="E113" s="640">
        <v>0</v>
      </c>
      <c r="F113" s="640">
        <v>114.78425758185857</v>
      </c>
      <c r="G113" s="640">
        <v>12.028714359769619</v>
      </c>
      <c r="H113" s="640">
        <v>0</v>
      </c>
      <c r="I113" s="640">
        <v>0</v>
      </c>
      <c r="J113" s="640">
        <v>0</v>
      </c>
      <c r="K113" s="640">
        <v>0</v>
      </c>
      <c r="L113" s="640">
        <v>0</v>
      </c>
      <c r="M113" s="640">
        <v>0</v>
      </c>
      <c r="N113" s="640">
        <v>0</v>
      </c>
      <c r="O113" s="640">
        <v>0</v>
      </c>
      <c r="P113" s="640">
        <v>0</v>
      </c>
      <c r="Q113" s="640">
        <v>0</v>
      </c>
      <c r="R113" s="640">
        <v>0.87448992412119186</v>
      </c>
      <c r="S113" s="648">
        <v>127.68746186574938</v>
      </c>
      <c r="U113" s="639" t="s">
        <v>84</v>
      </c>
      <c r="V113" s="640">
        <v>0</v>
      </c>
      <c r="W113" s="640">
        <v>0</v>
      </c>
      <c r="X113" s="640">
        <v>99.887922338380434</v>
      </c>
      <c r="Y113" s="640">
        <v>1.4617397027131513</v>
      </c>
      <c r="Z113" s="640">
        <v>0</v>
      </c>
      <c r="AA113" s="640">
        <v>0</v>
      </c>
      <c r="AB113" s="640">
        <v>0</v>
      </c>
      <c r="AC113" s="640">
        <v>0</v>
      </c>
      <c r="AD113" s="640">
        <v>9.6859590362548822</v>
      </c>
      <c r="AE113" s="640">
        <v>0</v>
      </c>
      <c r="AF113" s="640">
        <v>0</v>
      </c>
      <c r="AG113" s="640">
        <v>0</v>
      </c>
      <c r="AH113" s="640">
        <v>0</v>
      </c>
      <c r="AI113" s="640">
        <v>0</v>
      </c>
      <c r="AJ113" s="640">
        <v>7.0342457611083988</v>
      </c>
      <c r="AK113" s="648">
        <v>118.06986683845686</v>
      </c>
    </row>
    <row r="114" spans="3:37" x14ac:dyDescent="0.2">
      <c r="C114" s="644" t="s">
        <v>85</v>
      </c>
      <c r="D114" s="645">
        <v>6.2002081056415257</v>
      </c>
      <c r="E114" s="645">
        <v>0</v>
      </c>
      <c r="F114" s="645">
        <v>494.3147780374486</v>
      </c>
      <c r="G114" s="645">
        <v>290.54319147445591</v>
      </c>
      <c r="H114" s="645">
        <v>0</v>
      </c>
      <c r="I114" s="645">
        <v>0</v>
      </c>
      <c r="J114" s="645">
        <v>111.75633230751156</v>
      </c>
      <c r="K114" s="645">
        <v>1.7995121379986885</v>
      </c>
      <c r="L114" s="645">
        <v>31.891901350623705</v>
      </c>
      <c r="M114" s="645">
        <v>5.7026415378006226</v>
      </c>
      <c r="N114" s="645">
        <v>57.826394702164251</v>
      </c>
      <c r="O114" s="645">
        <v>2.8345349667232282</v>
      </c>
      <c r="P114" s="645">
        <v>481.78129696414442</v>
      </c>
      <c r="Q114" s="645">
        <v>35.594581328511254</v>
      </c>
      <c r="R114" s="645">
        <v>2.3167044374903201</v>
      </c>
      <c r="S114" s="645">
        <v>1522.5620773505141</v>
      </c>
      <c r="U114" s="644" t="s">
        <v>85</v>
      </c>
      <c r="V114" s="645">
        <v>1.01942505552247</v>
      </c>
      <c r="W114" s="645">
        <v>0</v>
      </c>
      <c r="X114" s="645">
        <v>288.15618356908084</v>
      </c>
      <c r="Y114" s="645">
        <v>152.44818758597918</v>
      </c>
      <c r="Z114" s="645">
        <v>0</v>
      </c>
      <c r="AA114" s="645">
        <v>0</v>
      </c>
      <c r="AB114" s="645">
        <v>101.53596995730574</v>
      </c>
      <c r="AC114" s="645">
        <v>5.727334308415541</v>
      </c>
      <c r="AD114" s="645">
        <v>79.778729084617055</v>
      </c>
      <c r="AE114" s="645">
        <v>26.663339890610278</v>
      </c>
      <c r="AF114" s="645">
        <v>76.992812580470769</v>
      </c>
      <c r="AG114" s="645">
        <v>5.3450771211174599</v>
      </c>
      <c r="AH114" s="645">
        <v>482.89674273984457</v>
      </c>
      <c r="AI114" s="645">
        <v>67.545290041896138</v>
      </c>
      <c r="AJ114" s="645">
        <v>15.176589062401575</v>
      </c>
      <c r="AK114" s="645">
        <v>1303.2856809972616</v>
      </c>
    </row>
    <row r="115" spans="3:37" x14ac:dyDescent="0.2">
      <c r="C115" s="634"/>
      <c r="D115" s="634"/>
      <c r="E115" s="634"/>
      <c r="F115" s="634"/>
      <c r="G115" s="634"/>
      <c r="H115" s="634"/>
      <c r="I115" s="634"/>
      <c r="J115" s="634"/>
      <c r="K115" s="634"/>
      <c r="L115" s="634"/>
      <c r="M115" s="634"/>
      <c r="N115" s="634"/>
      <c r="O115" s="634"/>
      <c r="P115" s="634"/>
      <c r="Q115" s="634"/>
      <c r="R115" s="634"/>
      <c r="S115" s="634"/>
      <c r="U115" s="634"/>
      <c r="V115" s="634"/>
      <c r="W115" s="634"/>
      <c r="X115" s="634"/>
      <c r="Y115" s="634"/>
      <c r="Z115" s="634"/>
      <c r="AA115" s="634"/>
      <c r="AB115" s="634"/>
      <c r="AC115" s="634"/>
      <c r="AD115" s="634"/>
      <c r="AE115" s="634"/>
      <c r="AF115" s="634"/>
      <c r="AG115" s="634"/>
      <c r="AH115" s="634"/>
      <c r="AI115" s="634"/>
      <c r="AJ115" s="634"/>
      <c r="AK115" s="634"/>
    </row>
    <row r="116" spans="3:37" ht="22.5" x14ac:dyDescent="0.3">
      <c r="C116" s="759" t="s">
        <v>359</v>
      </c>
      <c r="D116" s="759"/>
      <c r="E116" s="759"/>
      <c r="F116" s="759"/>
      <c r="G116" s="759"/>
      <c r="H116" s="759"/>
      <c r="I116" s="759"/>
      <c r="J116" s="759"/>
      <c r="K116" s="759"/>
      <c r="L116" s="759"/>
      <c r="M116" s="759"/>
      <c r="N116" s="759"/>
      <c r="O116" s="759"/>
      <c r="P116" s="759"/>
      <c r="Q116" s="759"/>
      <c r="R116" s="759"/>
      <c r="S116" s="759"/>
      <c r="U116" s="759" t="s">
        <v>359</v>
      </c>
      <c r="V116" s="759"/>
      <c r="W116" s="759"/>
      <c r="X116" s="759"/>
      <c r="Y116" s="759"/>
      <c r="Z116" s="759"/>
      <c r="AA116" s="759"/>
      <c r="AB116" s="759"/>
      <c r="AC116" s="759"/>
      <c r="AD116" s="759"/>
      <c r="AE116" s="759"/>
      <c r="AF116" s="759"/>
      <c r="AG116" s="759"/>
      <c r="AH116" s="759"/>
      <c r="AI116" s="759"/>
      <c r="AJ116" s="759"/>
      <c r="AK116" s="759"/>
    </row>
    <row r="117" spans="3:37" x14ac:dyDescent="0.2">
      <c r="C117" s="634"/>
      <c r="D117" s="634"/>
      <c r="E117" s="634"/>
      <c r="F117" s="634"/>
      <c r="G117" s="634"/>
      <c r="H117" s="634"/>
      <c r="I117" s="634"/>
      <c r="J117" s="634"/>
      <c r="K117" s="634"/>
      <c r="L117" s="634"/>
      <c r="M117" s="634"/>
      <c r="N117" s="634"/>
      <c r="O117" s="634"/>
      <c r="P117" s="634"/>
      <c r="Q117" s="634"/>
      <c r="R117" s="634"/>
      <c r="S117" s="634"/>
      <c r="U117" s="634"/>
      <c r="V117" s="634"/>
      <c r="W117" s="634"/>
      <c r="X117" s="634"/>
      <c r="Y117" s="634"/>
      <c r="Z117" s="634"/>
      <c r="AA117" s="634"/>
      <c r="AB117" s="634"/>
      <c r="AC117" s="634"/>
      <c r="AD117" s="634"/>
      <c r="AE117" s="634"/>
      <c r="AF117" s="634"/>
      <c r="AG117" s="634"/>
      <c r="AH117" s="634"/>
      <c r="AI117" s="634"/>
      <c r="AJ117" s="634"/>
      <c r="AK117" s="634"/>
    </row>
    <row r="118" spans="3:37" ht="12.95" customHeight="1" x14ac:dyDescent="0.2">
      <c r="C118" s="758" t="s">
        <v>128</v>
      </c>
      <c r="D118" s="757" t="s">
        <v>42</v>
      </c>
      <c r="E118" s="757" t="s">
        <v>52</v>
      </c>
      <c r="F118" s="757" t="s">
        <v>53</v>
      </c>
      <c r="G118" s="757" t="s">
        <v>32</v>
      </c>
      <c r="H118" s="757" t="s">
        <v>20</v>
      </c>
      <c r="I118" s="757" t="s">
        <v>55</v>
      </c>
      <c r="J118" s="757" t="s">
        <v>56</v>
      </c>
      <c r="K118" s="757"/>
      <c r="L118" s="757"/>
      <c r="M118" s="757"/>
      <c r="N118" s="757"/>
      <c r="O118" s="757"/>
      <c r="P118" s="757" t="s">
        <v>57</v>
      </c>
      <c r="Q118" s="757" t="s">
        <v>58</v>
      </c>
      <c r="R118" s="757" t="s">
        <v>31</v>
      </c>
      <c r="S118" s="757" t="s">
        <v>10</v>
      </c>
      <c r="U118" s="758" t="s">
        <v>128</v>
      </c>
      <c r="V118" s="757" t="s">
        <v>42</v>
      </c>
      <c r="W118" s="757" t="s">
        <v>52</v>
      </c>
      <c r="X118" s="757" t="s">
        <v>53</v>
      </c>
      <c r="Y118" s="757" t="s">
        <v>32</v>
      </c>
      <c r="Z118" s="757" t="s">
        <v>20</v>
      </c>
      <c r="AA118" s="757" t="s">
        <v>55</v>
      </c>
      <c r="AB118" s="757" t="s">
        <v>56</v>
      </c>
      <c r="AC118" s="757"/>
      <c r="AD118" s="757"/>
      <c r="AE118" s="757"/>
      <c r="AF118" s="757"/>
      <c r="AG118" s="757"/>
      <c r="AH118" s="757" t="s">
        <v>57</v>
      </c>
      <c r="AI118" s="757" t="s">
        <v>58</v>
      </c>
      <c r="AJ118" s="757" t="s">
        <v>31</v>
      </c>
      <c r="AK118" s="757" t="s">
        <v>10</v>
      </c>
    </row>
    <row r="119" spans="3:37" ht="56.25" x14ac:dyDescent="0.2">
      <c r="C119" s="758"/>
      <c r="D119" s="757"/>
      <c r="E119" s="757"/>
      <c r="F119" s="757"/>
      <c r="G119" s="757"/>
      <c r="H119" s="757"/>
      <c r="I119" s="757"/>
      <c r="J119" s="638" t="s">
        <v>335</v>
      </c>
      <c r="K119" s="638" t="s">
        <v>40</v>
      </c>
      <c r="L119" s="638" t="s">
        <v>343</v>
      </c>
      <c r="M119" s="638" t="s">
        <v>344</v>
      </c>
      <c r="N119" s="638" t="s">
        <v>345</v>
      </c>
      <c r="O119" s="638" t="s">
        <v>346</v>
      </c>
      <c r="P119" s="757"/>
      <c r="Q119" s="757"/>
      <c r="R119" s="757"/>
      <c r="S119" s="757"/>
      <c r="U119" s="758"/>
      <c r="V119" s="757"/>
      <c r="W119" s="757"/>
      <c r="X119" s="757"/>
      <c r="Y119" s="757"/>
      <c r="Z119" s="757"/>
      <c r="AA119" s="757"/>
      <c r="AB119" s="638" t="s">
        <v>335</v>
      </c>
      <c r="AC119" s="638" t="s">
        <v>40</v>
      </c>
      <c r="AD119" s="638" t="s">
        <v>343</v>
      </c>
      <c r="AE119" s="638" t="s">
        <v>344</v>
      </c>
      <c r="AF119" s="638" t="s">
        <v>345</v>
      </c>
      <c r="AG119" s="638" t="s">
        <v>346</v>
      </c>
      <c r="AH119" s="757"/>
      <c r="AI119" s="757"/>
      <c r="AJ119" s="757"/>
      <c r="AK119" s="757"/>
    </row>
    <row r="120" spans="3:37" x14ac:dyDescent="0.2">
      <c r="C120" s="639" t="s">
        <v>59</v>
      </c>
      <c r="D120" s="640">
        <v>0</v>
      </c>
      <c r="E120" s="641">
        <v>2.3260000000000005</v>
      </c>
      <c r="F120" s="641">
        <v>0</v>
      </c>
      <c r="G120" s="640">
        <v>3.7216000000000006E-2</v>
      </c>
      <c r="H120" s="641">
        <v>1005.4545454545456</v>
      </c>
      <c r="I120" s="641">
        <v>248.9826967827097</v>
      </c>
      <c r="J120" s="641">
        <v>189.82090717884753</v>
      </c>
      <c r="K120" s="641">
        <v>21.067323208066789</v>
      </c>
      <c r="L120" s="641">
        <v>0.444514092196865</v>
      </c>
      <c r="M120" s="641">
        <v>0.15770970126630299</v>
      </c>
      <c r="N120" s="641">
        <v>60.832905155553725</v>
      </c>
      <c r="O120" s="641">
        <v>10.347989753579439</v>
      </c>
      <c r="P120" s="642">
        <v>0</v>
      </c>
      <c r="Q120" s="641">
        <v>0</v>
      </c>
      <c r="R120" s="641">
        <v>0</v>
      </c>
      <c r="S120" s="643">
        <v>1539.4718073267661</v>
      </c>
      <c r="U120" s="639" t="s">
        <v>59</v>
      </c>
      <c r="V120" s="640">
        <v>0</v>
      </c>
      <c r="W120" s="641">
        <v>2.3260000000000005</v>
      </c>
      <c r="X120" s="641">
        <v>0</v>
      </c>
      <c r="Y120" s="640">
        <v>3.7216000000000006E-2</v>
      </c>
      <c r="Z120" s="641">
        <v>949.39393939393938</v>
      </c>
      <c r="AA120" s="641">
        <v>279.58269678270966</v>
      </c>
      <c r="AB120" s="641">
        <v>196.53145821434362</v>
      </c>
      <c r="AC120" s="641">
        <v>37.828582612394825</v>
      </c>
      <c r="AD120" s="641">
        <v>0.444514092196865</v>
      </c>
      <c r="AE120" s="641">
        <v>0.15770970126630299</v>
      </c>
      <c r="AF120" s="641">
        <v>86.476611770328219</v>
      </c>
      <c r="AG120" s="641">
        <v>21.065809354780896</v>
      </c>
      <c r="AH120" s="642">
        <v>0</v>
      </c>
      <c r="AI120" s="641">
        <v>0</v>
      </c>
      <c r="AJ120" s="641">
        <v>0</v>
      </c>
      <c r="AK120" s="643">
        <v>1573.8445379219597</v>
      </c>
    </row>
    <row r="121" spans="3:37" x14ac:dyDescent="0.2">
      <c r="C121" s="639" t="s">
        <v>60</v>
      </c>
      <c r="D121" s="640">
        <v>48.372001461449948</v>
      </c>
      <c r="E121" s="641">
        <v>509.74501402008315</v>
      </c>
      <c r="F121" s="641">
        <v>84.255119008679685</v>
      </c>
      <c r="G121" s="640">
        <v>333.85211586331565</v>
      </c>
      <c r="H121" s="641">
        <v>0</v>
      </c>
      <c r="I121" s="641">
        <v>0</v>
      </c>
      <c r="J121" s="641">
        <v>4.1218275156281265</v>
      </c>
      <c r="K121" s="641">
        <v>0</v>
      </c>
      <c r="L121" s="641">
        <v>2.2815668000430724</v>
      </c>
      <c r="M121" s="641">
        <v>0</v>
      </c>
      <c r="N121" s="641">
        <v>0</v>
      </c>
      <c r="O121" s="641">
        <v>0</v>
      </c>
      <c r="P121" s="642">
        <v>0</v>
      </c>
      <c r="Q121" s="641">
        <v>0</v>
      </c>
      <c r="R121" s="641">
        <v>0</v>
      </c>
      <c r="S121" s="643">
        <v>982.62764466919975</v>
      </c>
      <c r="U121" s="639" t="s">
        <v>60</v>
      </c>
      <c r="V121" s="640">
        <v>8.3965846696126416</v>
      </c>
      <c r="W121" s="641">
        <v>294.49378048971494</v>
      </c>
      <c r="X121" s="641">
        <v>18.517216360631103</v>
      </c>
      <c r="Y121" s="640">
        <v>163.11536747865699</v>
      </c>
      <c r="Z121" s="641">
        <v>0</v>
      </c>
      <c r="AA121" s="641">
        <v>0</v>
      </c>
      <c r="AB121" s="641">
        <v>4.1218275156281265</v>
      </c>
      <c r="AC121" s="641">
        <v>0</v>
      </c>
      <c r="AD121" s="641">
        <v>2.2815668000430724</v>
      </c>
      <c r="AE121" s="641">
        <v>0</v>
      </c>
      <c r="AF121" s="641">
        <v>0</v>
      </c>
      <c r="AG121" s="641">
        <v>0</v>
      </c>
      <c r="AH121" s="642">
        <v>0</v>
      </c>
      <c r="AI121" s="641">
        <v>0</v>
      </c>
      <c r="AJ121" s="641">
        <v>0</v>
      </c>
      <c r="AK121" s="643">
        <v>490.9263433142869</v>
      </c>
    </row>
    <row r="122" spans="3:37" x14ac:dyDescent="0.2">
      <c r="C122" s="639" t="s">
        <v>61</v>
      </c>
      <c r="D122" s="640">
        <v>0</v>
      </c>
      <c r="E122" s="641">
        <v>0</v>
      </c>
      <c r="F122" s="641">
        <v>0</v>
      </c>
      <c r="G122" s="640">
        <v>0</v>
      </c>
      <c r="H122" s="641">
        <v>0</v>
      </c>
      <c r="I122" s="641">
        <v>0</v>
      </c>
      <c r="J122" s="641">
        <v>0</v>
      </c>
      <c r="K122" s="641">
        <v>0</v>
      </c>
      <c r="L122" s="641">
        <v>0</v>
      </c>
      <c r="M122" s="641">
        <v>0</v>
      </c>
      <c r="N122" s="641">
        <v>0</v>
      </c>
      <c r="O122" s="641">
        <v>0</v>
      </c>
      <c r="P122" s="642">
        <v>-38.942042128507637</v>
      </c>
      <c r="Q122" s="641">
        <v>0</v>
      </c>
      <c r="R122" s="641">
        <v>0</v>
      </c>
      <c r="S122" s="643">
        <v>-38.942042128507637</v>
      </c>
      <c r="U122" s="639" t="s">
        <v>61</v>
      </c>
      <c r="V122" s="640">
        <v>0</v>
      </c>
      <c r="W122" s="641">
        <v>0</v>
      </c>
      <c r="X122" s="641">
        <v>0</v>
      </c>
      <c r="Y122" s="640">
        <v>0</v>
      </c>
      <c r="Z122" s="641">
        <v>0</v>
      </c>
      <c r="AA122" s="641">
        <v>0</v>
      </c>
      <c r="AB122" s="641">
        <v>0</v>
      </c>
      <c r="AC122" s="641">
        <v>0</v>
      </c>
      <c r="AD122" s="641">
        <v>0</v>
      </c>
      <c r="AE122" s="641">
        <v>0</v>
      </c>
      <c r="AF122" s="641">
        <v>0</v>
      </c>
      <c r="AG122" s="641">
        <v>0</v>
      </c>
      <c r="AH122" s="642">
        <v>-20.693548582118865</v>
      </c>
      <c r="AI122" s="641">
        <v>0</v>
      </c>
      <c r="AJ122" s="641">
        <v>0</v>
      </c>
      <c r="AK122" s="643">
        <v>-20.693548582118865</v>
      </c>
    </row>
    <row r="123" spans="3:37" x14ac:dyDescent="0.2">
      <c r="C123" s="639" t="s">
        <v>62</v>
      </c>
      <c r="D123" s="640">
        <v>0</v>
      </c>
      <c r="E123" s="641">
        <v>0</v>
      </c>
      <c r="F123" s="641">
        <v>-16.016991189558784</v>
      </c>
      <c r="G123" s="640">
        <v>0</v>
      </c>
      <c r="H123" s="641">
        <v>0</v>
      </c>
      <c r="I123" s="641">
        <v>0</v>
      </c>
      <c r="J123" s="641">
        <v>0</v>
      </c>
      <c r="K123" s="641">
        <v>0</v>
      </c>
      <c r="L123" s="641">
        <v>0</v>
      </c>
      <c r="M123" s="641">
        <v>0</v>
      </c>
      <c r="N123" s="641">
        <v>0</v>
      </c>
      <c r="O123" s="641">
        <v>0</v>
      </c>
      <c r="P123" s="642">
        <v>0</v>
      </c>
      <c r="Q123" s="641">
        <v>0</v>
      </c>
      <c r="R123" s="641">
        <v>0</v>
      </c>
      <c r="S123" s="643">
        <v>-16.016991189558784</v>
      </c>
      <c r="U123" s="639" t="s">
        <v>62</v>
      </c>
      <c r="V123" s="640">
        <v>0</v>
      </c>
      <c r="W123" s="641">
        <v>0</v>
      </c>
      <c r="X123" s="641">
        <v>-11.216317309287092</v>
      </c>
      <c r="Y123" s="640">
        <v>-1.9971079411498778</v>
      </c>
      <c r="Z123" s="641">
        <v>0</v>
      </c>
      <c r="AA123" s="641">
        <v>0</v>
      </c>
      <c r="AB123" s="641">
        <v>0</v>
      </c>
      <c r="AC123" s="641">
        <v>0</v>
      </c>
      <c r="AD123" s="641">
        <v>0</v>
      </c>
      <c r="AE123" s="641">
        <v>-0.69888193239441998</v>
      </c>
      <c r="AF123" s="641">
        <v>0</v>
      </c>
      <c r="AG123" s="641">
        <v>0</v>
      </c>
      <c r="AH123" s="642">
        <v>0</v>
      </c>
      <c r="AI123" s="641">
        <v>0</v>
      </c>
      <c r="AJ123" s="641">
        <v>0</v>
      </c>
      <c r="AK123" s="643">
        <v>-13.912307182831389</v>
      </c>
    </row>
    <row r="124" spans="3:37" x14ac:dyDescent="0.2">
      <c r="C124" s="639" t="s">
        <v>63</v>
      </c>
      <c r="D124" s="640">
        <v>0</v>
      </c>
      <c r="E124" s="641">
        <v>0</v>
      </c>
      <c r="F124" s="641">
        <v>-85.676103269538828</v>
      </c>
      <c r="G124" s="640">
        <v>0</v>
      </c>
      <c r="H124" s="641">
        <v>0</v>
      </c>
      <c r="I124" s="641">
        <v>0</v>
      </c>
      <c r="J124" s="641">
        <v>0</v>
      </c>
      <c r="K124" s="641">
        <v>0</v>
      </c>
      <c r="L124" s="641">
        <v>-0.88445591317339634</v>
      </c>
      <c r="M124" s="641">
        <v>0</v>
      </c>
      <c r="N124" s="641">
        <v>0</v>
      </c>
      <c r="O124" s="641">
        <v>0</v>
      </c>
      <c r="P124" s="642">
        <v>0</v>
      </c>
      <c r="Q124" s="641">
        <v>0</v>
      </c>
      <c r="R124" s="641">
        <v>0</v>
      </c>
      <c r="S124" s="643">
        <v>-86.560559182712225</v>
      </c>
      <c r="U124" s="639" t="s">
        <v>63</v>
      </c>
      <c r="V124" s="640">
        <v>0</v>
      </c>
      <c r="W124" s="641">
        <v>0</v>
      </c>
      <c r="X124" s="641">
        <v>-61.793178017106612</v>
      </c>
      <c r="Y124" s="640">
        <v>0</v>
      </c>
      <c r="Z124" s="641">
        <v>0</v>
      </c>
      <c r="AA124" s="641">
        <v>0</v>
      </c>
      <c r="AB124" s="641">
        <v>0</v>
      </c>
      <c r="AC124" s="641">
        <v>0</v>
      </c>
      <c r="AD124" s="641">
        <v>-20.442150229714262</v>
      </c>
      <c r="AE124" s="641">
        <v>0</v>
      </c>
      <c r="AF124" s="641">
        <v>0</v>
      </c>
      <c r="AG124" s="641">
        <v>0</v>
      </c>
      <c r="AH124" s="642">
        <v>0</v>
      </c>
      <c r="AI124" s="641">
        <v>0</v>
      </c>
      <c r="AJ124" s="641">
        <v>0</v>
      </c>
      <c r="AK124" s="643">
        <v>-82.23532824682087</v>
      </c>
    </row>
    <row r="125" spans="3:37" x14ac:dyDescent="0.2">
      <c r="C125" s="639" t="s">
        <v>64</v>
      </c>
      <c r="D125" s="640">
        <v>0</v>
      </c>
      <c r="E125" s="641">
        <v>0</v>
      </c>
      <c r="F125" s="641">
        <v>0</v>
      </c>
      <c r="G125" s="640">
        <v>0</v>
      </c>
      <c r="H125" s="641">
        <v>0</v>
      </c>
      <c r="I125" s="641">
        <v>0</v>
      </c>
      <c r="J125" s="641">
        <v>0</v>
      </c>
      <c r="K125" s="641">
        <v>0</v>
      </c>
      <c r="L125" s="641">
        <v>0</v>
      </c>
      <c r="M125" s="641">
        <v>0</v>
      </c>
      <c r="N125" s="641">
        <v>0</v>
      </c>
      <c r="O125" s="641">
        <v>0</v>
      </c>
      <c r="P125" s="642">
        <v>0</v>
      </c>
      <c r="Q125" s="641">
        <v>0</v>
      </c>
      <c r="R125" s="641">
        <v>0</v>
      </c>
      <c r="S125" s="643">
        <v>0</v>
      </c>
      <c r="U125" s="639" t="s">
        <v>64</v>
      </c>
      <c r="V125" s="640">
        <v>0</v>
      </c>
      <c r="W125" s="641">
        <v>0</v>
      </c>
      <c r="X125" s="641">
        <v>0</v>
      </c>
      <c r="Y125" s="640">
        <v>0</v>
      </c>
      <c r="Z125" s="641">
        <v>0</v>
      </c>
      <c r="AA125" s="641">
        <v>0</v>
      </c>
      <c r="AB125" s="641">
        <v>0</v>
      </c>
      <c r="AC125" s="641">
        <v>0</v>
      </c>
      <c r="AD125" s="641">
        <v>0</v>
      </c>
      <c r="AE125" s="641">
        <v>0</v>
      </c>
      <c r="AF125" s="641">
        <v>0</v>
      </c>
      <c r="AG125" s="641">
        <v>0</v>
      </c>
      <c r="AH125" s="642">
        <v>0</v>
      </c>
      <c r="AI125" s="641">
        <v>0</v>
      </c>
      <c r="AJ125" s="641">
        <v>0</v>
      </c>
      <c r="AK125" s="643">
        <v>0</v>
      </c>
    </row>
    <row r="126" spans="3:37" x14ac:dyDescent="0.2">
      <c r="C126" s="644" t="s">
        <v>65</v>
      </c>
      <c r="D126" s="645">
        <v>48.372001461449948</v>
      </c>
      <c r="E126" s="645">
        <v>512.07101402008311</v>
      </c>
      <c r="F126" s="645">
        <v>-17.437975450417916</v>
      </c>
      <c r="G126" s="645">
        <v>333.88933186331565</v>
      </c>
      <c r="H126" s="645">
        <v>1005.4545454545456</v>
      </c>
      <c r="I126" s="645">
        <v>248.9826967827097</v>
      </c>
      <c r="J126" s="645">
        <v>193.94273469447566</v>
      </c>
      <c r="K126" s="645">
        <v>21.067323208066789</v>
      </c>
      <c r="L126" s="645">
        <v>1.8416249790665411</v>
      </c>
      <c r="M126" s="645">
        <v>0.15770970126630299</v>
      </c>
      <c r="N126" s="645">
        <v>60.832905155553725</v>
      </c>
      <c r="O126" s="645">
        <v>10.347989753579439</v>
      </c>
      <c r="P126" s="645">
        <v>-38.942042128507637</v>
      </c>
      <c r="Q126" s="645">
        <v>0</v>
      </c>
      <c r="R126" s="645">
        <v>0</v>
      </c>
      <c r="S126" s="645">
        <v>2380.5798594951875</v>
      </c>
      <c r="U126" s="644" t="s">
        <v>65</v>
      </c>
      <c r="V126" s="645">
        <v>8.3965846696126416</v>
      </c>
      <c r="W126" s="645">
        <v>296.81978048971496</v>
      </c>
      <c r="X126" s="645">
        <v>-54.492278965762601</v>
      </c>
      <c r="Y126" s="645">
        <v>161.15547553750713</v>
      </c>
      <c r="Z126" s="645">
        <v>949.39393939393938</v>
      </c>
      <c r="AA126" s="645">
        <v>279.58269678270966</v>
      </c>
      <c r="AB126" s="645">
        <v>200.65328572997174</v>
      </c>
      <c r="AC126" s="645">
        <v>37.828582612394825</v>
      </c>
      <c r="AD126" s="645">
        <v>-17.716069337474323</v>
      </c>
      <c r="AE126" s="645">
        <v>-0.54117223112811697</v>
      </c>
      <c r="AF126" s="645">
        <v>86.476611770328219</v>
      </c>
      <c r="AG126" s="645">
        <v>21.065809354780896</v>
      </c>
      <c r="AH126" s="645">
        <v>-20.693548582118865</v>
      </c>
      <c r="AI126" s="645">
        <v>0</v>
      </c>
      <c r="AJ126" s="645">
        <v>0</v>
      </c>
      <c r="AK126" s="645">
        <v>1947.9296972244754</v>
      </c>
    </row>
    <row r="127" spans="3:37" x14ac:dyDescent="0.2">
      <c r="C127" s="634"/>
      <c r="D127" s="634">
        <v>0</v>
      </c>
      <c r="E127" s="634">
        <v>0</v>
      </c>
      <c r="F127" s="634">
        <v>0</v>
      </c>
      <c r="G127" s="634">
        <v>0</v>
      </c>
      <c r="H127" s="634">
        <v>0</v>
      </c>
      <c r="I127" s="634">
        <v>0</v>
      </c>
      <c r="J127" s="634">
        <v>0</v>
      </c>
      <c r="K127" s="634">
        <v>0</v>
      </c>
      <c r="L127" s="634">
        <v>0</v>
      </c>
      <c r="M127" s="634">
        <v>0</v>
      </c>
      <c r="N127" s="634">
        <v>0</v>
      </c>
      <c r="O127" s="634">
        <v>0</v>
      </c>
      <c r="P127" s="634">
        <v>0</v>
      </c>
      <c r="Q127" s="634">
        <v>0</v>
      </c>
      <c r="R127" s="634">
        <v>0</v>
      </c>
      <c r="S127" s="634">
        <v>0</v>
      </c>
      <c r="U127" s="634"/>
      <c r="V127" s="634">
        <v>0</v>
      </c>
      <c r="W127" s="634">
        <v>0</v>
      </c>
      <c r="X127" s="634">
        <v>0</v>
      </c>
      <c r="Y127" s="634">
        <v>0</v>
      </c>
      <c r="Z127" s="634">
        <v>0</v>
      </c>
      <c r="AA127" s="634">
        <v>0</v>
      </c>
      <c r="AB127" s="634">
        <v>0</v>
      </c>
      <c r="AC127" s="634">
        <v>0</v>
      </c>
      <c r="AD127" s="634">
        <v>0</v>
      </c>
      <c r="AE127" s="634">
        <v>0</v>
      </c>
      <c r="AF127" s="634">
        <v>0</v>
      </c>
      <c r="AG127" s="634">
        <v>0</v>
      </c>
      <c r="AH127" s="634">
        <v>0</v>
      </c>
      <c r="AI127" s="634">
        <v>0</v>
      </c>
      <c r="AJ127" s="634">
        <v>0</v>
      </c>
      <c r="AK127" s="634">
        <v>0</v>
      </c>
    </row>
    <row r="128" spans="3:37" x14ac:dyDescent="0.2">
      <c r="C128" s="646" t="s">
        <v>67</v>
      </c>
      <c r="D128" s="640">
        <v>0</v>
      </c>
      <c r="E128" s="647">
        <v>0</v>
      </c>
      <c r="F128" s="647">
        <v>0</v>
      </c>
      <c r="G128" s="640">
        <v>0</v>
      </c>
      <c r="H128" s="640">
        <v>0</v>
      </c>
      <c r="I128" s="640">
        <v>0</v>
      </c>
      <c r="J128" s="640">
        <v>0</v>
      </c>
      <c r="K128" s="640">
        <v>0</v>
      </c>
      <c r="L128" s="640">
        <v>0</v>
      </c>
      <c r="M128" s="640">
        <v>0</v>
      </c>
      <c r="N128" s="640">
        <v>0</v>
      </c>
      <c r="O128" s="640">
        <v>0</v>
      </c>
      <c r="P128" s="640">
        <v>0</v>
      </c>
      <c r="Q128" s="640">
        <v>0</v>
      </c>
      <c r="R128" s="640">
        <v>0</v>
      </c>
      <c r="S128" s="648">
        <v>0</v>
      </c>
      <c r="U128" s="646" t="s">
        <v>67</v>
      </c>
      <c r="V128" s="640">
        <v>0</v>
      </c>
      <c r="W128" s="647">
        <v>0</v>
      </c>
      <c r="X128" s="647">
        <v>0</v>
      </c>
      <c r="Y128" s="640">
        <v>0</v>
      </c>
      <c r="Z128" s="640">
        <v>0</v>
      </c>
      <c r="AA128" s="640">
        <v>0</v>
      </c>
      <c r="AB128" s="640">
        <v>0</v>
      </c>
      <c r="AC128" s="640">
        <v>0</v>
      </c>
      <c r="AD128" s="640">
        <v>0</v>
      </c>
      <c r="AE128" s="640">
        <v>0</v>
      </c>
      <c r="AF128" s="640">
        <v>0</v>
      </c>
      <c r="AG128" s="640">
        <v>0</v>
      </c>
      <c r="AH128" s="640">
        <v>0</v>
      </c>
      <c r="AI128" s="640">
        <v>0</v>
      </c>
      <c r="AJ128" s="640">
        <v>0</v>
      </c>
      <c r="AK128" s="648">
        <v>0</v>
      </c>
    </row>
    <row r="129" spans="3:37" x14ac:dyDescent="0.2">
      <c r="C129" s="646" t="s">
        <v>347</v>
      </c>
      <c r="D129" s="640">
        <v>2.8267856410252494</v>
      </c>
      <c r="E129" s="640">
        <v>0</v>
      </c>
      <c r="F129" s="640">
        <v>7.7008933134364401</v>
      </c>
      <c r="G129" s="640">
        <v>17.192982456140349</v>
      </c>
      <c r="H129" s="640">
        <v>1005.4545454545456</v>
      </c>
      <c r="I129" s="640">
        <v>248.9826967827097</v>
      </c>
      <c r="J129" s="649">
        <v>29.95115714704033</v>
      </c>
      <c r="K129" s="649">
        <v>7.1699357941539494</v>
      </c>
      <c r="L129" s="649">
        <v>2.7260808922399375</v>
      </c>
      <c r="M129" s="649">
        <v>0.47574727688811397</v>
      </c>
      <c r="N129" s="649">
        <v>0</v>
      </c>
      <c r="O129" s="649">
        <v>5.3758847536792693</v>
      </c>
      <c r="P129" s="640">
        <v>-611.6040304377284</v>
      </c>
      <c r="Q129" s="640">
        <v>0</v>
      </c>
      <c r="R129" s="640">
        <v>0</v>
      </c>
      <c r="S129" s="648">
        <v>716.25267907413024</v>
      </c>
      <c r="U129" s="646" t="s">
        <v>347</v>
      </c>
      <c r="V129" s="640">
        <v>0.62631490545869017</v>
      </c>
      <c r="W129" s="640">
        <v>0</v>
      </c>
      <c r="X129" s="640">
        <v>3.8372569498000768</v>
      </c>
      <c r="Y129" s="640">
        <v>12.853333333333333</v>
      </c>
      <c r="Z129" s="640">
        <v>949.39393939393938</v>
      </c>
      <c r="AA129" s="640">
        <v>279.58269678270966</v>
      </c>
      <c r="AB129" s="649">
        <v>24.143657694158538</v>
      </c>
      <c r="AC129" s="649">
        <v>6.0680800758314266</v>
      </c>
      <c r="AD129" s="649">
        <v>2.7260808922399375</v>
      </c>
      <c r="AE129" s="649">
        <v>4.1838174523267107</v>
      </c>
      <c r="AF129" s="649">
        <v>0</v>
      </c>
      <c r="AG129" s="649">
        <v>5.3758847536792693</v>
      </c>
      <c r="AH129" s="640">
        <v>-621.90403043772824</v>
      </c>
      <c r="AI129" s="640">
        <v>0</v>
      </c>
      <c r="AJ129" s="640">
        <v>3.8</v>
      </c>
      <c r="AK129" s="648">
        <v>670.68703179574891</v>
      </c>
    </row>
    <row r="130" spans="3:37" x14ac:dyDescent="0.2">
      <c r="C130" s="646" t="s">
        <v>348</v>
      </c>
      <c r="D130" s="640">
        <v>0</v>
      </c>
      <c r="E130" s="640">
        <v>0</v>
      </c>
      <c r="F130" s="640">
        <v>0</v>
      </c>
      <c r="G130" s="640">
        <v>15.048436077523924</v>
      </c>
      <c r="H130" s="640">
        <v>0</v>
      </c>
      <c r="I130" s="640">
        <v>0</v>
      </c>
      <c r="J130" s="649">
        <v>12.74533322609016</v>
      </c>
      <c r="K130" s="649">
        <v>12.056480951460374</v>
      </c>
      <c r="L130" s="649">
        <v>0</v>
      </c>
      <c r="M130" s="649">
        <v>0.32133708059977345</v>
      </c>
      <c r="N130" s="649">
        <v>0</v>
      </c>
      <c r="O130" s="649">
        <v>2.1348201063802894</v>
      </c>
      <c r="P130" s="640">
        <v>0</v>
      </c>
      <c r="Q130" s="640">
        <v>-38.309646115177976</v>
      </c>
      <c r="R130" s="640">
        <v>0</v>
      </c>
      <c r="S130" s="648">
        <v>3.9967613268765492</v>
      </c>
      <c r="U130" s="646" t="s">
        <v>348</v>
      </c>
      <c r="V130" s="640">
        <v>0</v>
      </c>
      <c r="W130" s="640">
        <v>0</v>
      </c>
      <c r="X130" s="640">
        <v>0</v>
      </c>
      <c r="Y130" s="640">
        <v>12.803359009118745</v>
      </c>
      <c r="Z130" s="640">
        <v>0</v>
      </c>
      <c r="AA130" s="640">
        <v>0</v>
      </c>
      <c r="AB130" s="649">
        <v>28.717481814983032</v>
      </c>
      <c r="AC130" s="649">
        <v>25.924008984647354</v>
      </c>
      <c r="AD130" s="649">
        <v>0</v>
      </c>
      <c r="AE130" s="649">
        <v>4.0573921431217457</v>
      </c>
      <c r="AF130" s="649">
        <v>0</v>
      </c>
      <c r="AG130" s="649">
        <v>9.7357518308203428</v>
      </c>
      <c r="AH130" s="640">
        <v>0</v>
      </c>
      <c r="AI130" s="640">
        <v>-74.504230286476243</v>
      </c>
      <c r="AJ130" s="640">
        <v>0</v>
      </c>
      <c r="AK130" s="648">
        <v>6.7337634962149808</v>
      </c>
    </row>
    <row r="131" spans="3:37" x14ac:dyDescent="0.2">
      <c r="C131" s="646" t="s">
        <v>349</v>
      </c>
      <c r="D131" s="640">
        <v>0</v>
      </c>
      <c r="E131" s="640">
        <v>0</v>
      </c>
      <c r="F131" s="640">
        <v>0</v>
      </c>
      <c r="G131" s="640">
        <v>0</v>
      </c>
      <c r="H131" s="640">
        <v>0</v>
      </c>
      <c r="I131" s="640">
        <v>0</v>
      </c>
      <c r="J131" s="650">
        <v>7.2695194025067336</v>
      </c>
      <c r="K131" s="650">
        <v>0</v>
      </c>
      <c r="L131" s="650">
        <v>0</v>
      </c>
      <c r="M131" s="650">
        <v>-6.5716455398660871</v>
      </c>
      <c r="N131" s="650">
        <v>0</v>
      </c>
      <c r="O131" s="650">
        <v>0</v>
      </c>
      <c r="P131" s="640">
        <v>0</v>
      </c>
      <c r="Q131" s="640">
        <v>0</v>
      </c>
      <c r="R131" s="640">
        <v>0</v>
      </c>
      <c r="S131" s="648">
        <v>0.69787386264064644</v>
      </c>
      <c r="U131" s="646" t="s">
        <v>349</v>
      </c>
      <c r="V131" s="640">
        <v>0</v>
      </c>
      <c r="W131" s="640">
        <v>0</v>
      </c>
      <c r="X131" s="640">
        <v>0</v>
      </c>
      <c r="Y131" s="640">
        <v>0</v>
      </c>
      <c r="Z131" s="640">
        <v>0</v>
      </c>
      <c r="AA131" s="640">
        <v>0</v>
      </c>
      <c r="AB131" s="650">
        <v>56.55251118568826</v>
      </c>
      <c r="AC131" s="650">
        <v>0</v>
      </c>
      <c r="AD131" s="650">
        <v>0</v>
      </c>
      <c r="AE131" s="650">
        <v>-51.12347011186219</v>
      </c>
      <c r="AF131" s="650">
        <v>0</v>
      </c>
      <c r="AG131" s="650">
        <v>0</v>
      </c>
      <c r="AH131" s="640">
        <v>0</v>
      </c>
      <c r="AI131" s="640">
        <v>0</v>
      </c>
      <c r="AJ131" s="640">
        <v>0</v>
      </c>
      <c r="AK131" s="648">
        <v>5.4290410738260704</v>
      </c>
    </row>
    <row r="132" spans="3:37" x14ac:dyDescent="0.2">
      <c r="C132" s="646" t="s">
        <v>350</v>
      </c>
      <c r="D132" s="640">
        <v>0</v>
      </c>
      <c r="E132" s="640">
        <v>0</v>
      </c>
      <c r="F132" s="640">
        <v>0</v>
      </c>
      <c r="G132" s="640">
        <v>0</v>
      </c>
      <c r="H132" s="640">
        <v>0</v>
      </c>
      <c r="I132" s="640">
        <v>0</v>
      </c>
      <c r="J132" s="640">
        <v>0</v>
      </c>
      <c r="K132" s="640">
        <v>0</v>
      </c>
      <c r="L132" s="640">
        <v>0</v>
      </c>
      <c r="M132" s="640">
        <v>0</v>
      </c>
      <c r="N132" s="640">
        <v>0</v>
      </c>
      <c r="O132" s="640">
        <v>0</v>
      </c>
      <c r="P132" s="640">
        <v>0</v>
      </c>
      <c r="Q132" s="640">
        <v>0</v>
      </c>
      <c r="R132" s="640">
        <v>0</v>
      </c>
      <c r="S132" s="648">
        <v>0</v>
      </c>
      <c r="U132" s="646" t="s">
        <v>350</v>
      </c>
      <c r="V132" s="640">
        <v>0</v>
      </c>
      <c r="W132" s="640">
        <v>0</v>
      </c>
      <c r="X132" s="640">
        <v>0</v>
      </c>
      <c r="Y132" s="640">
        <v>0</v>
      </c>
      <c r="Z132" s="640">
        <v>0</v>
      </c>
      <c r="AA132" s="640">
        <v>0</v>
      </c>
      <c r="AB132" s="640">
        <v>0</v>
      </c>
      <c r="AC132" s="640">
        <v>0</v>
      </c>
      <c r="AD132" s="640">
        <v>0</v>
      </c>
      <c r="AE132" s="640">
        <v>0</v>
      </c>
      <c r="AF132" s="640">
        <v>0</v>
      </c>
      <c r="AG132" s="640">
        <v>0</v>
      </c>
      <c r="AH132" s="640">
        <v>0</v>
      </c>
      <c r="AI132" s="640">
        <v>0</v>
      </c>
      <c r="AJ132" s="640">
        <v>0</v>
      </c>
      <c r="AK132" s="648">
        <v>0</v>
      </c>
    </row>
    <row r="133" spans="3:37" x14ac:dyDescent="0.2">
      <c r="C133" s="646" t="s">
        <v>72</v>
      </c>
      <c r="D133" s="640">
        <v>0</v>
      </c>
      <c r="E133" s="640">
        <v>530.45114623720224</v>
      </c>
      <c r="F133" s="640">
        <v>-525.1466347748302</v>
      </c>
      <c r="G133" s="640">
        <v>0</v>
      </c>
      <c r="H133" s="640">
        <v>0</v>
      </c>
      <c r="I133" s="640">
        <v>0</v>
      </c>
      <c r="J133" s="640">
        <v>0</v>
      </c>
      <c r="K133" s="640">
        <v>0</v>
      </c>
      <c r="L133" s="640">
        <v>0</v>
      </c>
      <c r="M133" s="640">
        <v>0</v>
      </c>
      <c r="N133" s="640">
        <v>0</v>
      </c>
      <c r="O133" s="640">
        <v>0</v>
      </c>
      <c r="P133" s="640">
        <v>0</v>
      </c>
      <c r="Q133" s="640">
        <v>0</v>
      </c>
      <c r="R133" s="640">
        <v>0</v>
      </c>
      <c r="S133" s="648">
        <v>5.3045114623720337</v>
      </c>
      <c r="U133" s="646" t="s">
        <v>72</v>
      </c>
      <c r="V133" s="640">
        <v>0</v>
      </c>
      <c r="W133" s="640">
        <v>307.47374578102756</v>
      </c>
      <c r="X133" s="640">
        <v>-304.39900832321729</v>
      </c>
      <c r="Y133" s="640">
        <v>0</v>
      </c>
      <c r="Z133" s="640">
        <v>0</v>
      </c>
      <c r="AA133" s="640">
        <v>0</v>
      </c>
      <c r="AB133" s="640">
        <v>0</v>
      </c>
      <c r="AC133" s="640">
        <v>0</v>
      </c>
      <c r="AD133" s="640">
        <v>0</v>
      </c>
      <c r="AE133" s="640">
        <v>0</v>
      </c>
      <c r="AF133" s="640">
        <v>0</v>
      </c>
      <c r="AG133" s="640">
        <v>0</v>
      </c>
      <c r="AH133" s="640">
        <v>0</v>
      </c>
      <c r="AI133" s="640">
        <v>0</v>
      </c>
      <c r="AJ133" s="640">
        <v>0</v>
      </c>
      <c r="AK133" s="648">
        <v>3.0747374578102722</v>
      </c>
    </row>
    <row r="134" spans="3:37" x14ac:dyDescent="0.2">
      <c r="C134" s="646" t="s">
        <v>351</v>
      </c>
      <c r="D134" s="640">
        <v>0</v>
      </c>
      <c r="E134" s="640">
        <v>0</v>
      </c>
      <c r="F134" s="640">
        <v>0</v>
      </c>
      <c r="G134" s="640">
        <v>0</v>
      </c>
      <c r="H134" s="640">
        <v>0</v>
      </c>
      <c r="I134" s="640">
        <v>0</v>
      </c>
      <c r="J134" s="640">
        <v>30.470996070194996</v>
      </c>
      <c r="K134" s="640">
        <v>0</v>
      </c>
      <c r="L134" s="640">
        <v>-30.470996070194996</v>
      </c>
      <c r="M134" s="640">
        <v>0</v>
      </c>
      <c r="N134" s="640">
        <v>0</v>
      </c>
      <c r="O134" s="640">
        <v>0</v>
      </c>
      <c r="P134" s="640">
        <v>0</v>
      </c>
      <c r="Q134" s="640">
        <v>0</v>
      </c>
      <c r="R134" s="640">
        <v>0</v>
      </c>
      <c r="S134" s="648">
        <v>0</v>
      </c>
      <c r="U134" s="646" t="s">
        <v>351</v>
      </c>
      <c r="V134" s="640">
        <v>0</v>
      </c>
      <c r="W134" s="640">
        <v>0</v>
      </c>
      <c r="X134" s="640">
        <v>0</v>
      </c>
      <c r="Y134" s="640">
        <v>0</v>
      </c>
      <c r="Z134" s="640">
        <v>0</v>
      </c>
      <c r="AA134" s="640">
        <v>0</v>
      </c>
      <c r="AB134" s="640" t="e">
        <v>#VALUE!</v>
      </c>
      <c r="AC134" s="640">
        <v>0</v>
      </c>
      <c r="AD134" s="640">
        <v>-92.079399970639116</v>
      </c>
      <c r="AE134" s="640">
        <v>0</v>
      </c>
      <c r="AF134" s="640">
        <v>0</v>
      </c>
      <c r="AG134" s="640">
        <v>0</v>
      </c>
      <c r="AH134" s="640">
        <v>0</v>
      </c>
      <c r="AI134" s="640">
        <v>0</v>
      </c>
      <c r="AJ134" s="640">
        <v>0</v>
      </c>
      <c r="AK134" s="648">
        <v>-92.079399970639116</v>
      </c>
    </row>
    <row r="135" spans="3:37" x14ac:dyDescent="0.2">
      <c r="C135" s="646" t="s">
        <v>352</v>
      </c>
      <c r="D135" s="640">
        <v>0</v>
      </c>
      <c r="E135" s="640">
        <v>0</v>
      </c>
      <c r="F135" s="640">
        <v>0</v>
      </c>
      <c r="G135" s="640">
        <v>0</v>
      </c>
      <c r="H135" s="640">
        <v>0</v>
      </c>
      <c r="I135" s="640">
        <v>0</v>
      </c>
      <c r="J135" s="640">
        <v>0</v>
      </c>
      <c r="K135" s="640">
        <v>0</v>
      </c>
      <c r="L135" s="640">
        <v>0</v>
      </c>
      <c r="M135" s="640">
        <v>0</v>
      </c>
      <c r="N135" s="640">
        <v>0</v>
      </c>
      <c r="O135" s="640">
        <v>0</v>
      </c>
      <c r="P135" s="640">
        <v>0</v>
      </c>
      <c r="Q135" s="640">
        <v>0</v>
      </c>
      <c r="R135" s="640">
        <v>0</v>
      </c>
      <c r="S135" s="648">
        <v>0</v>
      </c>
      <c r="U135" s="646" t="s">
        <v>352</v>
      </c>
      <c r="V135" s="640">
        <v>0</v>
      </c>
      <c r="W135" s="640">
        <v>0</v>
      </c>
      <c r="X135" s="640">
        <v>0</v>
      </c>
      <c r="Y135" s="640">
        <v>0</v>
      </c>
      <c r="Z135" s="640">
        <v>0</v>
      </c>
      <c r="AA135" s="640">
        <v>0</v>
      </c>
      <c r="AB135" s="640">
        <v>0</v>
      </c>
      <c r="AC135" s="640">
        <v>0</v>
      </c>
      <c r="AD135" s="640">
        <v>-18.857582137623396</v>
      </c>
      <c r="AE135" s="640">
        <v>0</v>
      </c>
      <c r="AF135" s="640">
        <v>0</v>
      </c>
      <c r="AG135" s="640">
        <v>0</v>
      </c>
      <c r="AH135" s="640">
        <v>0</v>
      </c>
      <c r="AI135" s="640">
        <v>0</v>
      </c>
      <c r="AJ135" s="640">
        <v>0</v>
      </c>
      <c r="AK135" s="648">
        <v>-18.857582137623396</v>
      </c>
    </row>
    <row r="136" spans="3:37" x14ac:dyDescent="0.2">
      <c r="C136" s="646" t="s">
        <v>73</v>
      </c>
      <c r="D136" s="640">
        <v>0</v>
      </c>
      <c r="E136" s="640">
        <v>0</v>
      </c>
      <c r="F136" s="640">
        <v>0</v>
      </c>
      <c r="G136" s="640">
        <v>4.2253053989858387</v>
      </c>
      <c r="H136" s="640">
        <v>0</v>
      </c>
      <c r="I136" s="640">
        <v>0</v>
      </c>
      <c r="J136" s="640">
        <v>0</v>
      </c>
      <c r="K136" s="640">
        <v>4.8227473393893973E-2</v>
      </c>
      <c r="L136" s="640">
        <v>0</v>
      </c>
      <c r="M136" s="640">
        <v>8.6230722428282419E-2</v>
      </c>
      <c r="N136" s="640">
        <v>0</v>
      </c>
      <c r="O136" s="640">
        <v>0</v>
      </c>
      <c r="P136" s="640">
        <v>0.47800681593948002</v>
      </c>
      <c r="Q136" s="640">
        <v>0</v>
      </c>
      <c r="R136" s="640">
        <v>-3.3759231375725771</v>
      </c>
      <c r="S136" s="648">
        <v>1.4618472731749175</v>
      </c>
      <c r="U136" s="646" t="s">
        <v>73</v>
      </c>
      <c r="V136" s="640">
        <v>0</v>
      </c>
      <c r="W136" s="640">
        <v>0</v>
      </c>
      <c r="X136" s="640">
        <v>0</v>
      </c>
      <c r="Y136" s="640">
        <v>6.2430459874299995</v>
      </c>
      <c r="Z136" s="640">
        <v>0</v>
      </c>
      <c r="AA136" s="640">
        <v>0</v>
      </c>
      <c r="AB136" s="640">
        <v>0</v>
      </c>
      <c r="AC136" s="640">
        <v>0.34514849554566557</v>
      </c>
      <c r="AD136" s="640">
        <v>0</v>
      </c>
      <c r="AE136" s="640">
        <v>1.9714882065568418</v>
      </c>
      <c r="AF136" s="640">
        <v>0</v>
      </c>
      <c r="AG136" s="640">
        <v>0</v>
      </c>
      <c r="AH136" s="640">
        <v>26.797369919651668</v>
      </c>
      <c r="AI136" s="640">
        <v>0</v>
      </c>
      <c r="AJ136" s="640">
        <v>-24.160394688196586</v>
      </c>
      <c r="AK136" s="648">
        <v>11.196657920987594</v>
      </c>
    </row>
    <row r="137" spans="3:37" x14ac:dyDescent="0.2">
      <c r="C137" s="646" t="s">
        <v>353</v>
      </c>
      <c r="D137" s="640">
        <v>28.633394531250001</v>
      </c>
      <c r="E137" s="640">
        <v>-18.380132217119058</v>
      </c>
      <c r="F137" s="640">
        <v>24.040127313749448</v>
      </c>
      <c r="G137" s="640">
        <v>0</v>
      </c>
      <c r="H137" s="640">
        <v>0</v>
      </c>
      <c r="I137" s="640">
        <v>0</v>
      </c>
      <c r="J137" s="640">
        <v>0</v>
      </c>
      <c r="K137" s="640">
        <v>0</v>
      </c>
      <c r="L137" s="640">
        <v>0</v>
      </c>
      <c r="M137" s="640">
        <v>0</v>
      </c>
      <c r="N137" s="640">
        <v>0</v>
      </c>
      <c r="O137" s="640">
        <v>0</v>
      </c>
      <c r="P137" s="640">
        <v>0</v>
      </c>
      <c r="Q137" s="640">
        <v>0</v>
      </c>
      <c r="R137" s="640">
        <v>0</v>
      </c>
      <c r="S137" s="648">
        <v>34.293389627880387</v>
      </c>
      <c r="U137" s="646" t="s">
        <v>353</v>
      </c>
      <c r="V137" s="640">
        <v>2.8339389038085936</v>
      </c>
      <c r="W137" s="640">
        <v>-10.653965291312606</v>
      </c>
      <c r="X137" s="640">
        <v>13.93475732241321</v>
      </c>
      <c r="Y137" s="640">
        <v>0</v>
      </c>
      <c r="Z137" s="640">
        <v>0</v>
      </c>
      <c r="AA137" s="640">
        <v>0</v>
      </c>
      <c r="AB137" s="640">
        <v>0</v>
      </c>
      <c r="AC137" s="640">
        <v>0</v>
      </c>
      <c r="AD137" s="640">
        <v>0</v>
      </c>
      <c r="AE137" s="640">
        <v>0</v>
      </c>
      <c r="AF137" s="640">
        <v>0</v>
      </c>
      <c r="AG137" s="640">
        <v>0</v>
      </c>
      <c r="AH137" s="640">
        <v>0</v>
      </c>
      <c r="AI137" s="640">
        <v>0</v>
      </c>
      <c r="AJ137" s="640">
        <v>0</v>
      </c>
      <c r="AK137" s="648">
        <v>6.1147309349091987</v>
      </c>
    </row>
    <row r="138" spans="3:37" x14ac:dyDescent="0.2">
      <c r="C138" s="646" t="s">
        <v>75</v>
      </c>
      <c r="D138" s="640">
        <v>11.135208984375002</v>
      </c>
      <c r="E138" s="640">
        <v>0</v>
      </c>
      <c r="F138" s="640">
        <v>18.035338972064878</v>
      </c>
      <c r="G138" s="640">
        <v>5.1464370207933356</v>
      </c>
      <c r="H138" s="640">
        <v>0</v>
      </c>
      <c r="I138" s="640">
        <v>0</v>
      </c>
      <c r="J138" s="640">
        <v>0</v>
      </c>
      <c r="K138" s="640">
        <v>0</v>
      </c>
      <c r="L138" s="640">
        <v>0</v>
      </c>
      <c r="M138" s="640">
        <v>0.10502932695496604</v>
      </c>
      <c r="N138" s="640">
        <v>0</v>
      </c>
      <c r="O138" s="640">
        <v>0</v>
      </c>
      <c r="P138" s="640">
        <v>31.859130537431355</v>
      </c>
      <c r="Q138" s="640">
        <v>0</v>
      </c>
      <c r="R138" s="640">
        <v>0</v>
      </c>
      <c r="S138" s="648">
        <v>66.281144841619536</v>
      </c>
      <c r="U138" s="646" t="s">
        <v>75</v>
      </c>
      <c r="V138" s="640">
        <v>3.871097900390625</v>
      </c>
      <c r="W138" s="640">
        <v>0</v>
      </c>
      <c r="X138" s="640">
        <v>18.035338972064878</v>
      </c>
      <c r="Y138" s="640">
        <v>3.9911144242887096</v>
      </c>
      <c r="Z138" s="640">
        <v>0</v>
      </c>
      <c r="AA138" s="640">
        <v>0</v>
      </c>
      <c r="AB138" s="640">
        <v>0</v>
      </c>
      <c r="AC138" s="640">
        <v>0</v>
      </c>
      <c r="AD138" s="640">
        <v>0</v>
      </c>
      <c r="AE138" s="640">
        <v>1.2603519234595923</v>
      </c>
      <c r="AF138" s="640">
        <v>0</v>
      </c>
      <c r="AG138" s="640">
        <v>0</v>
      </c>
      <c r="AH138" s="640">
        <v>35.363675991976798</v>
      </c>
      <c r="AI138" s="640">
        <v>0</v>
      </c>
      <c r="AJ138" s="640">
        <v>0</v>
      </c>
      <c r="AK138" s="648">
        <v>62.521579212180605</v>
      </c>
    </row>
    <row r="139" spans="3:37" x14ac:dyDescent="0.2">
      <c r="C139" s="646" t="s">
        <v>76</v>
      </c>
      <c r="D139" s="640">
        <v>0</v>
      </c>
      <c r="E139" s="640">
        <v>0</v>
      </c>
      <c r="F139" s="640">
        <v>0</v>
      </c>
      <c r="G139" s="640">
        <v>3.818307882847094</v>
      </c>
      <c r="H139" s="640">
        <v>0</v>
      </c>
      <c r="I139" s="640">
        <v>0</v>
      </c>
      <c r="J139" s="640">
        <v>0</v>
      </c>
      <c r="K139" s="640">
        <v>0</v>
      </c>
      <c r="L139" s="640">
        <v>0</v>
      </c>
      <c r="M139" s="640">
        <v>7.7924650670348858E-2</v>
      </c>
      <c r="N139" s="640">
        <v>0</v>
      </c>
      <c r="O139" s="640">
        <v>0</v>
      </c>
      <c r="P139" s="640">
        <v>43.831436480126726</v>
      </c>
      <c r="Q139" s="640">
        <v>2.9732290990631256</v>
      </c>
      <c r="R139" s="640">
        <v>0</v>
      </c>
      <c r="S139" s="648">
        <v>50.700898112707293</v>
      </c>
      <c r="U139" s="646" t="s">
        <v>76</v>
      </c>
      <c r="V139" s="640">
        <v>0</v>
      </c>
      <c r="W139" s="640">
        <v>0</v>
      </c>
      <c r="X139" s="640">
        <v>0</v>
      </c>
      <c r="Y139" s="640">
        <v>1.9196559923426515</v>
      </c>
      <c r="Z139" s="640">
        <v>0</v>
      </c>
      <c r="AA139" s="640">
        <v>0</v>
      </c>
      <c r="AB139" s="640">
        <v>0</v>
      </c>
      <c r="AC139" s="640">
        <v>0</v>
      </c>
      <c r="AD139" s="640">
        <v>0</v>
      </c>
      <c r="AE139" s="640">
        <v>0.60620715547662674</v>
      </c>
      <c r="AF139" s="640">
        <v>0</v>
      </c>
      <c r="AG139" s="640">
        <v>0</v>
      </c>
      <c r="AH139" s="640">
        <v>46.019363501687437</v>
      </c>
      <c r="AI139" s="640">
        <v>5.777975473960776</v>
      </c>
      <c r="AJ139" s="640">
        <v>0</v>
      </c>
      <c r="AK139" s="648">
        <v>54.323202123467496</v>
      </c>
    </row>
    <row r="140" spans="3:37" x14ac:dyDescent="0.2">
      <c r="C140" s="644" t="s">
        <v>77</v>
      </c>
      <c r="D140" s="645">
        <v>42.595389156650249</v>
      </c>
      <c r="E140" s="645">
        <v>512.07101402008323</v>
      </c>
      <c r="F140" s="645">
        <v>-475.37027517557942</v>
      </c>
      <c r="G140" s="645">
        <v>45.431468836290541</v>
      </c>
      <c r="H140" s="645">
        <v>1005.4545454545456</v>
      </c>
      <c r="I140" s="645">
        <v>248.9826967827097</v>
      </c>
      <c r="J140" s="645">
        <v>80.437005845832218</v>
      </c>
      <c r="K140" s="645">
        <v>19.274644219008216</v>
      </c>
      <c r="L140" s="645">
        <v>-27.744915177955058</v>
      </c>
      <c r="M140" s="645">
        <v>-5.5053764823246025</v>
      </c>
      <c r="N140" s="645">
        <v>0</v>
      </c>
      <c r="O140" s="645">
        <v>7.5107048600595583</v>
      </c>
      <c r="P140" s="645">
        <v>-535.43545660423092</v>
      </c>
      <c r="Q140" s="645">
        <v>-35.336417016114851</v>
      </c>
      <c r="R140" s="645">
        <v>-3.3759231375725771</v>
      </c>
      <c r="S140" s="645">
        <v>878.98910558140176</v>
      </c>
      <c r="U140" s="644" t="s">
        <v>77</v>
      </c>
      <c r="V140" s="645">
        <v>7.3313517096579091</v>
      </c>
      <c r="W140" s="645">
        <v>296.81978048971496</v>
      </c>
      <c r="X140" s="645">
        <v>-268.59165507893914</v>
      </c>
      <c r="Y140" s="645">
        <v>37.810508746513442</v>
      </c>
      <c r="Z140" s="645">
        <v>949.39393939393938</v>
      </c>
      <c r="AA140" s="645">
        <v>279.58269678270966</v>
      </c>
      <c r="AB140" s="645">
        <v>109.41365069482983</v>
      </c>
      <c r="AC140" s="645">
        <v>32.337237556024441</v>
      </c>
      <c r="AD140" s="645">
        <v>-108.21090121602258</v>
      </c>
      <c r="AE140" s="645">
        <v>-39.044213230920668</v>
      </c>
      <c r="AF140" s="645">
        <v>0</v>
      </c>
      <c r="AG140" s="645">
        <v>15.111636584499612</v>
      </c>
      <c r="AH140" s="645">
        <v>-513.7236210244123</v>
      </c>
      <c r="AI140" s="645">
        <v>-68.726254812515464</v>
      </c>
      <c r="AJ140" s="645">
        <v>-20.360394688196585</v>
      </c>
      <c r="AK140" s="645">
        <v>709.14376190688279</v>
      </c>
    </row>
    <row r="141" spans="3:37" x14ac:dyDescent="0.2">
      <c r="C141" s="634"/>
      <c r="D141" s="634">
        <v>0</v>
      </c>
      <c r="E141" s="634">
        <v>0</v>
      </c>
      <c r="F141" s="634">
        <v>0</v>
      </c>
      <c r="G141" s="634">
        <v>0</v>
      </c>
      <c r="H141" s="634">
        <v>0</v>
      </c>
      <c r="I141" s="634">
        <v>0</v>
      </c>
      <c r="J141" s="634">
        <v>0</v>
      </c>
      <c r="K141" s="634">
        <v>0</v>
      </c>
      <c r="L141" s="634">
        <v>0</v>
      </c>
      <c r="M141" s="634">
        <v>0</v>
      </c>
      <c r="N141" s="634">
        <v>0</v>
      </c>
      <c r="O141" s="634">
        <v>0</v>
      </c>
      <c r="P141" s="634">
        <v>0</v>
      </c>
      <c r="Q141" s="634">
        <v>0</v>
      </c>
      <c r="R141" s="634">
        <v>0</v>
      </c>
      <c r="S141" s="634">
        <v>0</v>
      </c>
      <c r="U141" s="634"/>
      <c r="V141" s="634">
        <v>0</v>
      </c>
      <c r="W141" s="634">
        <v>0</v>
      </c>
      <c r="X141" s="634">
        <v>0</v>
      </c>
      <c r="Y141" s="634">
        <v>0</v>
      </c>
      <c r="Z141" s="634">
        <v>0</v>
      </c>
      <c r="AA141" s="634">
        <v>0</v>
      </c>
      <c r="AB141" s="634">
        <v>0</v>
      </c>
      <c r="AC141" s="634">
        <v>0</v>
      </c>
      <c r="AD141" s="634">
        <v>0</v>
      </c>
      <c r="AE141" s="634">
        <v>0</v>
      </c>
      <c r="AF141" s="634">
        <v>0</v>
      </c>
      <c r="AG141" s="634">
        <v>0</v>
      </c>
      <c r="AH141" s="634">
        <v>0</v>
      </c>
      <c r="AI141" s="634">
        <v>0</v>
      </c>
      <c r="AJ141" s="634">
        <v>0</v>
      </c>
      <c r="AK141" s="634">
        <v>0</v>
      </c>
    </row>
    <row r="142" spans="3:37" x14ac:dyDescent="0.2">
      <c r="C142" s="646" t="s">
        <v>78</v>
      </c>
      <c r="D142" s="640">
        <v>5.7766123047996905</v>
      </c>
      <c r="E142" s="640">
        <v>0</v>
      </c>
      <c r="F142" s="640">
        <v>22.402619678599791</v>
      </c>
      <c r="G142" s="640">
        <v>99.281124041468402</v>
      </c>
      <c r="H142" s="640">
        <v>0</v>
      </c>
      <c r="I142" s="640">
        <v>0</v>
      </c>
      <c r="J142" s="640">
        <v>20.258622771310847</v>
      </c>
      <c r="K142" s="640">
        <v>1.7675748663376085</v>
      </c>
      <c r="L142" s="640">
        <v>0.898333240234375</v>
      </c>
      <c r="M142" s="640">
        <v>2.0447588657198987</v>
      </c>
      <c r="N142" s="640">
        <v>0</v>
      </c>
      <c r="O142" s="640">
        <v>3.7946622282562846E-4</v>
      </c>
      <c r="P142" s="640">
        <v>110.87393457022205</v>
      </c>
      <c r="Q142" s="640">
        <v>16.091742927144434</v>
      </c>
      <c r="R142" s="640">
        <v>0.31004003906249999</v>
      </c>
      <c r="S142" s="648">
        <v>279.70574277112252</v>
      </c>
      <c r="U142" s="646" t="s">
        <v>78</v>
      </c>
      <c r="V142" s="640">
        <v>1.065232959954733</v>
      </c>
      <c r="W142" s="640">
        <v>0</v>
      </c>
      <c r="X142" s="640">
        <v>10.225742404389669</v>
      </c>
      <c r="Y142" s="640">
        <v>56.981112862578769</v>
      </c>
      <c r="Z142" s="640">
        <v>0</v>
      </c>
      <c r="AA142" s="640">
        <v>0</v>
      </c>
      <c r="AB142" s="640">
        <v>15.894636498884354</v>
      </c>
      <c r="AC142" s="640">
        <v>5.4662409336494147</v>
      </c>
      <c r="AD142" s="640">
        <v>3.5459101562500011</v>
      </c>
      <c r="AE142" s="640">
        <v>18.012649117932849</v>
      </c>
      <c r="AF142" s="640">
        <v>0</v>
      </c>
      <c r="AG142" s="640">
        <v>3.7946622282562846E-4</v>
      </c>
      <c r="AH142" s="640">
        <v>139.02742097426295</v>
      </c>
      <c r="AI142" s="640">
        <v>22.276590949645215</v>
      </c>
      <c r="AJ142" s="640">
        <v>6.4302626953124999</v>
      </c>
      <c r="AK142" s="648">
        <v>278.92617901908329</v>
      </c>
    </row>
    <row r="143" spans="3:37" x14ac:dyDescent="0.2">
      <c r="C143" s="646" t="s">
        <v>79</v>
      </c>
      <c r="D143" s="640">
        <v>0</v>
      </c>
      <c r="E143" s="640">
        <v>0</v>
      </c>
      <c r="F143" s="640">
        <v>266.09529408288529</v>
      </c>
      <c r="G143" s="640">
        <v>27.519674276690072</v>
      </c>
      <c r="H143" s="640">
        <v>0</v>
      </c>
      <c r="I143" s="640">
        <v>0</v>
      </c>
      <c r="J143" s="640">
        <v>0</v>
      </c>
      <c r="K143" s="640">
        <v>0</v>
      </c>
      <c r="L143" s="640">
        <v>25.787483151262677</v>
      </c>
      <c r="M143" s="640">
        <v>0.56162600564673626</v>
      </c>
      <c r="N143" s="640">
        <v>0</v>
      </c>
      <c r="O143" s="640">
        <v>0</v>
      </c>
      <c r="P143" s="640">
        <v>55.913522242788574</v>
      </c>
      <c r="Q143" s="640">
        <v>0</v>
      </c>
      <c r="R143" s="640">
        <v>1.6351140344190074</v>
      </c>
      <c r="S143" s="648">
        <v>377.5127137936924</v>
      </c>
      <c r="U143" s="646" t="s">
        <v>79</v>
      </c>
      <c r="V143" s="640">
        <v>0</v>
      </c>
      <c r="W143" s="640">
        <v>0</v>
      </c>
      <c r="X143" s="640">
        <v>96.606255591578162</v>
      </c>
      <c r="Y143" s="640">
        <v>18.337650579977414</v>
      </c>
      <c r="Z143" s="640">
        <v>0</v>
      </c>
      <c r="AA143" s="640">
        <v>0</v>
      </c>
      <c r="AB143" s="640">
        <v>0</v>
      </c>
      <c r="AC143" s="640">
        <v>0</v>
      </c>
      <c r="AD143" s="640">
        <v>50.618247990049454</v>
      </c>
      <c r="AE143" s="640">
        <v>5.9499820008855142</v>
      </c>
      <c r="AF143" s="640">
        <v>0</v>
      </c>
      <c r="AG143" s="640">
        <v>0</v>
      </c>
      <c r="AH143" s="640">
        <v>73.690348279738799</v>
      </c>
      <c r="AI143" s="640">
        <v>0</v>
      </c>
      <c r="AJ143" s="640">
        <v>3.6092463767880076</v>
      </c>
      <c r="AK143" s="648">
        <v>248.81173081901736</v>
      </c>
    </row>
    <row r="144" spans="3:37" x14ac:dyDescent="0.2">
      <c r="C144" s="646" t="s">
        <v>80</v>
      </c>
      <c r="D144" s="640">
        <v>0</v>
      </c>
      <c r="E144" s="640">
        <v>0</v>
      </c>
      <c r="F144" s="640">
        <v>20.365336948925044</v>
      </c>
      <c r="G144" s="640">
        <v>85.23124323075227</v>
      </c>
      <c r="H144" s="640">
        <v>0</v>
      </c>
      <c r="I144" s="640">
        <v>0</v>
      </c>
      <c r="J144" s="640">
        <v>86.726820353783026</v>
      </c>
      <c r="K144" s="640">
        <v>0</v>
      </c>
      <c r="L144" s="640">
        <v>0</v>
      </c>
      <c r="M144" s="640">
        <v>1.7394131271582098</v>
      </c>
      <c r="N144" s="640">
        <v>52.217429119397167</v>
      </c>
      <c r="O144" s="640">
        <v>2.0042749347218733</v>
      </c>
      <c r="P144" s="640">
        <v>185.58174281281848</v>
      </c>
      <c r="Q144" s="640">
        <v>15.554343379011728</v>
      </c>
      <c r="R144" s="640">
        <v>0</v>
      </c>
      <c r="S144" s="648">
        <v>449.42060390656781</v>
      </c>
      <c r="U144" s="646" t="s">
        <v>80</v>
      </c>
      <c r="V144" s="640">
        <v>0</v>
      </c>
      <c r="W144" s="640">
        <v>0</v>
      </c>
      <c r="X144" s="640">
        <v>1.2585168598114169</v>
      </c>
      <c r="Y144" s="640">
        <v>24.208168890995722</v>
      </c>
      <c r="Z144" s="640">
        <v>0</v>
      </c>
      <c r="AA144" s="640">
        <v>0</v>
      </c>
      <c r="AB144" s="640">
        <v>64.793825414524548</v>
      </c>
      <c r="AC144" s="640">
        <v>0</v>
      </c>
      <c r="AD144" s="640">
        <v>0</v>
      </c>
      <c r="AE144" s="640">
        <v>7.6446849129460164</v>
      </c>
      <c r="AF144" s="640">
        <v>71.984931036617454</v>
      </c>
      <c r="AG144" s="640">
        <v>3.153558114778761</v>
      </c>
      <c r="AH144" s="640">
        <v>153.74527198137548</v>
      </c>
      <c r="AI144" s="640">
        <v>35.336807466581455</v>
      </c>
      <c r="AJ144" s="640">
        <v>0</v>
      </c>
      <c r="AK144" s="648">
        <v>362.12576467763085</v>
      </c>
    </row>
    <row r="145" spans="3:37" x14ac:dyDescent="0.2">
      <c r="C145" s="646" t="s">
        <v>81</v>
      </c>
      <c r="D145" s="640">
        <v>0</v>
      </c>
      <c r="E145" s="640">
        <v>0</v>
      </c>
      <c r="F145" s="640">
        <v>7.1130915409553364</v>
      </c>
      <c r="G145" s="640">
        <v>63.054682395398032</v>
      </c>
      <c r="H145" s="640">
        <v>0</v>
      </c>
      <c r="I145" s="640">
        <v>0</v>
      </c>
      <c r="J145" s="640">
        <v>3.2976998041276677</v>
      </c>
      <c r="K145" s="640">
        <v>2.5104122720965388E-2</v>
      </c>
      <c r="L145" s="640">
        <v>0</v>
      </c>
      <c r="M145" s="640">
        <v>1.2868302529673068</v>
      </c>
      <c r="N145" s="640">
        <v>8.6154760361565579</v>
      </c>
      <c r="O145" s="640">
        <v>0.75786341807650337</v>
      </c>
      <c r="P145" s="640">
        <v>137.18962935697431</v>
      </c>
      <c r="Q145" s="640">
        <v>3.6903307099586842</v>
      </c>
      <c r="R145" s="640">
        <v>0</v>
      </c>
      <c r="S145" s="648">
        <v>225.03070763733538</v>
      </c>
      <c r="U145" s="646" t="s">
        <v>81</v>
      </c>
      <c r="V145" s="640">
        <v>0</v>
      </c>
      <c r="W145" s="640">
        <v>0</v>
      </c>
      <c r="X145" s="640">
        <v>2.1697022188790429</v>
      </c>
      <c r="Y145" s="640">
        <v>20.911765460712612</v>
      </c>
      <c r="Z145" s="640">
        <v>0</v>
      </c>
      <c r="AA145" s="640">
        <v>0</v>
      </c>
      <c r="AB145" s="640">
        <v>7.3285872023111214</v>
      </c>
      <c r="AC145" s="640">
        <v>2.5104122720965388E-2</v>
      </c>
      <c r="AD145" s="640">
        <v>0</v>
      </c>
      <c r="AE145" s="640">
        <v>6.6037154086460879</v>
      </c>
      <c r="AF145" s="640">
        <v>14.491680733710758</v>
      </c>
      <c r="AG145" s="640">
        <v>1.6347019702159422</v>
      </c>
      <c r="AH145" s="640">
        <v>117.90366143236871</v>
      </c>
      <c r="AI145" s="640">
        <v>11.11285639628878</v>
      </c>
      <c r="AJ145" s="640">
        <v>0</v>
      </c>
      <c r="AK145" s="648">
        <v>182.18177494585402</v>
      </c>
    </row>
    <row r="146" spans="3:37" x14ac:dyDescent="0.2">
      <c r="C146" s="646" t="s">
        <v>82</v>
      </c>
      <c r="D146" s="640">
        <v>0</v>
      </c>
      <c r="E146" s="640">
        <v>0</v>
      </c>
      <c r="F146" s="640">
        <v>30.218764596795413</v>
      </c>
      <c r="G146" s="640">
        <v>1.4924386728389218</v>
      </c>
      <c r="H146" s="640">
        <v>0</v>
      </c>
      <c r="I146" s="640">
        <v>0</v>
      </c>
      <c r="J146" s="640">
        <v>3.2225859194218685</v>
      </c>
      <c r="K146" s="640">
        <v>0</v>
      </c>
      <c r="L146" s="640">
        <v>2.9019247412329854</v>
      </c>
      <c r="M146" s="640">
        <v>3.0457932098753505E-2</v>
      </c>
      <c r="N146" s="640">
        <v>0</v>
      </c>
      <c r="O146" s="640">
        <v>7.4767074498679406E-2</v>
      </c>
      <c r="P146" s="640">
        <v>6.6555854929198803</v>
      </c>
      <c r="Q146" s="640">
        <v>0</v>
      </c>
      <c r="R146" s="640">
        <v>0</v>
      </c>
      <c r="S146" s="648">
        <v>44.596524429806507</v>
      </c>
      <c r="U146" s="646" t="s">
        <v>82</v>
      </c>
      <c r="V146" s="640">
        <v>0</v>
      </c>
      <c r="W146" s="640">
        <v>0</v>
      </c>
      <c r="X146" s="640">
        <v>13.476198254352189</v>
      </c>
      <c r="Y146" s="640">
        <v>1.4718796614135594</v>
      </c>
      <c r="Z146" s="640">
        <v>0</v>
      </c>
      <c r="AA146" s="640">
        <v>0</v>
      </c>
      <c r="AB146" s="640">
        <v>3.2225859194218685</v>
      </c>
      <c r="AC146" s="640">
        <v>0</v>
      </c>
      <c r="AD146" s="640">
        <v>23.463730160224294</v>
      </c>
      <c r="AE146" s="640">
        <v>0.46480410360428193</v>
      </c>
      <c r="AF146" s="640">
        <v>0</v>
      </c>
      <c r="AG146" s="640">
        <v>1.1655332190637568</v>
      </c>
      <c r="AH146" s="640">
        <v>6.7433697745475678</v>
      </c>
      <c r="AI146" s="640">
        <v>0</v>
      </c>
      <c r="AJ146" s="640">
        <v>0.29485655237537339</v>
      </c>
      <c r="AK146" s="648">
        <v>50.302957645002891</v>
      </c>
    </row>
    <row r="147" spans="3:37" x14ac:dyDescent="0.2">
      <c r="C147" s="646" t="s">
        <v>354</v>
      </c>
      <c r="D147" s="640">
        <v>0</v>
      </c>
      <c r="E147" s="640">
        <v>0</v>
      </c>
      <c r="F147" s="640">
        <v>0</v>
      </c>
      <c r="G147" s="640">
        <v>0</v>
      </c>
      <c r="H147" s="640">
        <v>0</v>
      </c>
      <c r="I147" s="640">
        <v>0</v>
      </c>
      <c r="J147" s="640">
        <v>0</v>
      </c>
      <c r="K147" s="640">
        <v>0</v>
      </c>
      <c r="L147" s="640">
        <v>0</v>
      </c>
      <c r="M147" s="640">
        <v>0</v>
      </c>
      <c r="N147" s="640">
        <v>0</v>
      </c>
      <c r="O147" s="640">
        <v>0</v>
      </c>
      <c r="P147" s="640">
        <v>0.27899999999999997</v>
      </c>
      <c r="Q147" s="640">
        <v>0</v>
      </c>
      <c r="R147" s="640">
        <v>0</v>
      </c>
      <c r="S147" s="648">
        <v>0.27899999999999997</v>
      </c>
      <c r="U147" s="646" t="s">
        <v>354</v>
      </c>
      <c r="V147" s="640">
        <v>0</v>
      </c>
      <c r="W147" s="640">
        <v>0</v>
      </c>
      <c r="X147" s="640">
        <v>0</v>
      </c>
      <c r="Y147" s="640">
        <v>0</v>
      </c>
      <c r="Z147" s="640">
        <v>0</v>
      </c>
      <c r="AA147" s="640">
        <v>0</v>
      </c>
      <c r="AB147" s="640">
        <v>0</v>
      </c>
      <c r="AC147" s="640">
        <v>0</v>
      </c>
      <c r="AD147" s="640">
        <v>0</v>
      </c>
      <c r="AE147" s="640">
        <v>0</v>
      </c>
      <c r="AF147" s="640">
        <v>0</v>
      </c>
      <c r="AG147" s="640">
        <v>0</v>
      </c>
      <c r="AH147" s="640">
        <v>1.92</v>
      </c>
      <c r="AI147" s="640">
        <v>0</v>
      </c>
      <c r="AJ147" s="640">
        <v>0</v>
      </c>
      <c r="AK147" s="648">
        <v>1.92</v>
      </c>
    </row>
    <row r="148" spans="3:37" x14ac:dyDescent="0.2">
      <c r="C148" s="644" t="s">
        <v>83</v>
      </c>
      <c r="D148" s="645">
        <v>5.7766123047996905</v>
      </c>
      <c r="E148" s="645">
        <v>0</v>
      </c>
      <c r="F148" s="645">
        <v>346.19510684816078</v>
      </c>
      <c r="G148" s="645">
        <v>276.57916261714774</v>
      </c>
      <c r="H148" s="645">
        <v>0</v>
      </c>
      <c r="I148" s="645">
        <v>0</v>
      </c>
      <c r="J148" s="645">
        <v>113.50572884864343</v>
      </c>
      <c r="K148" s="645">
        <v>1.7926789890585739</v>
      </c>
      <c r="L148" s="645">
        <v>29.587741132730038</v>
      </c>
      <c r="M148" s="645">
        <v>5.6630861835909059</v>
      </c>
      <c r="N148" s="645">
        <v>60.832905155553725</v>
      </c>
      <c r="O148" s="645">
        <v>2.8372848935198816</v>
      </c>
      <c r="P148" s="645">
        <v>496.49341447572323</v>
      </c>
      <c r="Q148" s="645">
        <v>35.336417016114851</v>
      </c>
      <c r="R148" s="645">
        <v>1.9451540734815074</v>
      </c>
      <c r="S148" s="645">
        <v>1376.5452925385248</v>
      </c>
      <c r="U148" s="644" t="s">
        <v>83</v>
      </c>
      <c r="V148" s="645">
        <v>1.065232959954733</v>
      </c>
      <c r="W148" s="645">
        <v>0</v>
      </c>
      <c r="X148" s="645">
        <v>123.73641532901047</v>
      </c>
      <c r="Y148" s="645">
        <v>121.91057745567808</v>
      </c>
      <c r="Z148" s="645">
        <v>0</v>
      </c>
      <c r="AA148" s="645">
        <v>0</v>
      </c>
      <c r="AB148" s="645">
        <v>91.239635035141916</v>
      </c>
      <c r="AC148" s="645">
        <v>5.4913450563703794</v>
      </c>
      <c r="AD148" s="645">
        <v>77.627888306523744</v>
      </c>
      <c r="AE148" s="645">
        <v>38.675835544014738</v>
      </c>
      <c r="AF148" s="645">
        <v>86.476611770328219</v>
      </c>
      <c r="AG148" s="645">
        <v>5.9541727702812857</v>
      </c>
      <c r="AH148" s="645">
        <v>493.03007244229349</v>
      </c>
      <c r="AI148" s="645">
        <v>68.72625481251545</v>
      </c>
      <c r="AJ148" s="645">
        <v>10.334365624475881</v>
      </c>
      <c r="AK148" s="645">
        <v>1124.2684071065887</v>
      </c>
    </row>
    <row r="149" spans="3:37" x14ac:dyDescent="0.2">
      <c r="C149" s="639" t="s">
        <v>84</v>
      </c>
      <c r="D149" s="640">
        <v>0</v>
      </c>
      <c r="E149" s="640">
        <v>0</v>
      </c>
      <c r="F149" s="640">
        <v>111.73719287700069</v>
      </c>
      <c r="G149" s="640">
        <v>11.878700409877391</v>
      </c>
      <c r="H149" s="640">
        <v>0</v>
      </c>
      <c r="I149" s="640">
        <v>0</v>
      </c>
      <c r="J149" s="640">
        <v>0</v>
      </c>
      <c r="K149" s="640">
        <v>0</v>
      </c>
      <c r="L149" s="640">
        <v>0</v>
      </c>
      <c r="M149" s="640">
        <v>0</v>
      </c>
      <c r="N149" s="640">
        <v>0</v>
      </c>
      <c r="O149" s="640">
        <v>0</v>
      </c>
      <c r="P149" s="640">
        <v>0</v>
      </c>
      <c r="Q149" s="640">
        <v>0</v>
      </c>
      <c r="R149" s="640">
        <v>1.43076906409107</v>
      </c>
      <c r="S149" s="648">
        <v>125.04666235096916</v>
      </c>
      <c r="U149" s="639" t="s">
        <v>84</v>
      </c>
      <c r="V149" s="640">
        <v>0</v>
      </c>
      <c r="W149" s="640">
        <v>0</v>
      </c>
      <c r="X149" s="640">
        <v>90.362960784166091</v>
      </c>
      <c r="Y149" s="640">
        <v>1.2615947910933976</v>
      </c>
      <c r="Z149" s="640">
        <v>0</v>
      </c>
      <c r="AA149" s="640">
        <v>0</v>
      </c>
      <c r="AB149" s="640">
        <v>0</v>
      </c>
      <c r="AC149" s="640">
        <v>0</v>
      </c>
      <c r="AD149" s="640">
        <v>14.679117373046875</v>
      </c>
      <c r="AE149" s="640">
        <v>0</v>
      </c>
      <c r="AF149" s="640">
        <v>0</v>
      </c>
      <c r="AG149" s="640">
        <v>0</v>
      </c>
      <c r="AH149" s="640">
        <v>0</v>
      </c>
      <c r="AI149" s="640">
        <v>0</v>
      </c>
      <c r="AJ149" s="640">
        <v>10.026029063720703</v>
      </c>
      <c r="AK149" s="648">
        <v>116.32970201202707</v>
      </c>
    </row>
    <row r="150" spans="3:37" x14ac:dyDescent="0.2">
      <c r="C150" s="644" t="s">
        <v>85</v>
      </c>
      <c r="D150" s="645">
        <v>5.7766123047996905</v>
      </c>
      <c r="E150" s="645">
        <v>0</v>
      </c>
      <c r="F150" s="645">
        <v>457.9322997251615</v>
      </c>
      <c r="G150" s="645">
        <v>288.45786302702516</v>
      </c>
      <c r="H150" s="645">
        <v>0</v>
      </c>
      <c r="I150" s="645">
        <v>0</v>
      </c>
      <c r="J150" s="645">
        <v>113.50572884864343</v>
      </c>
      <c r="K150" s="645">
        <v>1.7926789890585739</v>
      </c>
      <c r="L150" s="645">
        <v>29.587741132730038</v>
      </c>
      <c r="M150" s="645">
        <v>5.6630861835909059</v>
      </c>
      <c r="N150" s="645">
        <v>60.832905155553725</v>
      </c>
      <c r="O150" s="645">
        <v>2.8372848935198816</v>
      </c>
      <c r="P150" s="645">
        <v>496.49341447572323</v>
      </c>
      <c r="Q150" s="645">
        <v>35.336417016114851</v>
      </c>
      <c r="R150" s="645">
        <v>3.3759231375725776</v>
      </c>
      <c r="S150" s="645">
        <v>1501.5919548894938</v>
      </c>
      <c r="U150" s="644" t="s">
        <v>85</v>
      </c>
      <c r="V150" s="645">
        <v>1.065232959954733</v>
      </c>
      <c r="W150" s="645">
        <v>0</v>
      </c>
      <c r="X150" s="645">
        <v>214.09937611317656</v>
      </c>
      <c r="Y150" s="645">
        <v>123.17217224677148</v>
      </c>
      <c r="Z150" s="645">
        <v>0</v>
      </c>
      <c r="AA150" s="645">
        <v>0</v>
      </c>
      <c r="AB150" s="645">
        <v>91.239635035141916</v>
      </c>
      <c r="AC150" s="645">
        <v>5.4913450563703794</v>
      </c>
      <c r="AD150" s="645">
        <v>92.307005679570622</v>
      </c>
      <c r="AE150" s="645">
        <v>38.675835544014738</v>
      </c>
      <c r="AF150" s="645">
        <v>86.476611770328219</v>
      </c>
      <c r="AG150" s="645">
        <v>5.9541727702812857</v>
      </c>
      <c r="AH150" s="645">
        <v>493.03007244229349</v>
      </c>
      <c r="AI150" s="645">
        <v>68.72625481251545</v>
      </c>
      <c r="AJ150" s="645">
        <v>20.360394688196585</v>
      </c>
      <c r="AK150" s="645">
        <v>1240.5981091186156</v>
      </c>
    </row>
    <row r="151" spans="3:37" x14ac:dyDescent="0.2">
      <c r="C151" s="634"/>
      <c r="D151" s="634"/>
      <c r="E151" s="634"/>
      <c r="F151" s="634"/>
      <c r="G151" s="634"/>
      <c r="H151" s="634"/>
      <c r="I151" s="634"/>
      <c r="J151" s="634"/>
      <c r="K151" s="634"/>
      <c r="L151" s="634"/>
      <c r="M151" s="634"/>
      <c r="N151" s="634"/>
      <c r="O151" s="634"/>
      <c r="P151" s="634"/>
      <c r="Q151" s="634"/>
      <c r="R151" s="634"/>
      <c r="S151" s="634"/>
      <c r="U151" s="634"/>
      <c r="V151" s="634"/>
      <c r="W151" s="634"/>
      <c r="X151" s="634"/>
      <c r="Y151" s="634"/>
      <c r="Z151" s="634"/>
      <c r="AA151" s="634"/>
      <c r="AB151" s="634"/>
      <c r="AC151" s="634"/>
      <c r="AD151" s="634"/>
      <c r="AE151" s="634"/>
      <c r="AF151" s="634"/>
      <c r="AG151" s="634"/>
      <c r="AH151" s="634"/>
      <c r="AI151" s="634"/>
      <c r="AJ151" s="634"/>
      <c r="AK151" s="634"/>
    </row>
    <row r="152" spans="3:37" ht="22.5" x14ac:dyDescent="0.3">
      <c r="C152" s="759" t="s">
        <v>360</v>
      </c>
      <c r="D152" s="759"/>
      <c r="E152" s="759"/>
      <c r="F152" s="759"/>
      <c r="G152" s="759"/>
      <c r="H152" s="759"/>
      <c r="I152" s="759"/>
      <c r="J152" s="759"/>
      <c r="K152" s="759"/>
      <c r="L152" s="759"/>
      <c r="M152" s="759"/>
      <c r="N152" s="759"/>
      <c r="O152" s="759"/>
      <c r="P152" s="759"/>
      <c r="Q152" s="759"/>
      <c r="R152" s="759"/>
      <c r="S152" s="759"/>
      <c r="U152" s="759" t="s">
        <v>360</v>
      </c>
      <c r="V152" s="759"/>
      <c r="W152" s="759"/>
      <c r="X152" s="759"/>
      <c r="Y152" s="759"/>
      <c r="Z152" s="759"/>
      <c r="AA152" s="759"/>
      <c r="AB152" s="759"/>
      <c r="AC152" s="759"/>
      <c r="AD152" s="759"/>
      <c r="AE152" s="759"/>
      <c r="AF152" s="759"/>
      <c r="AG152" s="759"/>
      <c r="AH152" s="759"/>
      <c r="AI152" s="759"/>
      <c r="AJ152" s="759"/>
      <c r="AK152" s="759"/>
    </row>
    <row r="153" spans="3:37" x14ac:dyDescent="0.2">
      <c r="C153" s="634"/>
      <c r="D153" s="634"/>
      <c r="E153" s="634"/>
      <c r="F153" s="634"/>
      <c r="G153" s="634"/>
      <c r="H153" s="634"/>
      <c r="I153" s="634"/>
      <c r="J153" s="634"/>
      <c r="K153" s="634"/>
      <c r="L153" s="634"/>
      <c r="M153" s="634"/>
      <c r="N153" s="634"/>
      <c r="O153" s="634"/>
      <c r="P153" s="634"/>
      <c r="Q153" s="634"/>
      <c r="R153" s="634"/>
      <c r="S153" s="634"/>
      <c r="U153" s="634"/>
      <c r="V153" s="634"/>
      <c r="W153" s="634"/>
      <c r="X153" s="634"/>
      <c r="Y153" s="634"/>
      <c r="Z153" s="634"/>
      <c r="AA153" s="634"/>
      <c r="AB153" s="634"/>
      <c r="AC153" s="634"/>
      <c r="AD153" s="634"/>
      <c r="AE153" s="634"/>
      <c r="AF153" s="634"/>
      <c r="AG153" s="634"/>
      <c r="AH153" s="634"/>
      <c r="AI153" s="634"/>
      <c r="AJ153" s="634"/>
      <c r="AK153" s="634"/>
    </row>
    <row r="154" spans="3:37" ht="12.95" customHeight="1" x14ac:dyDescent="0.2">
      <c r="C154" s="758" t="s">
        <v>128</v>
      </c>
      <c r="D154" s="757" t="s">
        <v>42</v>
      </c>
      <c r="E154" s="757" t="s">
        <v>52</v>
      </c>
      <c r="F154" s="757" t="s">
        <v>53</v>
      </c>
      <c r="G154" s="757" t="s">
        <v>32</v>
      </c>
      <c r="H154" s="757" t="s">
        <v>20</v>
      </c>
      <c r="I154" s="757" t="s">
        <v>55</v>
      </c>
      <c r="J154" s="757" t="s">
        <v>56</v>
      </c>
      <c r="K154" s="757"/>
      <c r="L154" s="757"/>
      <c r="M154" s="757"/>
      <c r="N154" s="757"/>
      <c r="O154" s="757"/>
      <c r="P154" s="757" t="s">
        <v>57</v>
      </c>
      <c r="Q154" s="757" t="s">
        <v>58</v>
      </c>
      <c r="R154" s="757" t="s">
        <v>31</v>
      </c>
      <c r="S154" s="757" t="s">
        <v>10</v>
      </c>
      <c r="U154" s="758" t="s">
        <v>128</v>
      </c>
      <c r="V154" s="757" t="s">
        <v>42</v>
      </c>
      <c r="W154" s="757" t="s">
        <v>52</v>
      </c>
      <c r="X154" s="757" t="s">
        <v>53</v>
      </c>
      <c r="Y154" s="757" t="s">
        <v>32</v>
      </c>
      <c r="Z154" s="757" t="s">
        <v>20</v>
      </c>
      <c r="AA154" s="757" t="s">
        <v>55</v>
      </c>
      <c r="AB154" s="757" t="s">
        <v>56</v>
      </c>
      <c r="AC154" s="757"/>
      <c r="AD154" s="757"/>
      <c r="AE154" s="757"/>
      <c r="AF154" s="757"/>
      <c r="AG154" s="757"/>
      <c r="AH154" s="757" t="s">
        <v>57</v>
      </c>
      <c r="AI154" s="757" t="s">
        <v>58</v>
      </c>
      <c r="AJ154" s="757" t="s">
        <v>31</v>
      </c>
      <c r="AK154" s="757" t="s">
        <v>10</v>
      </c>
    </row>
    <row r="155" spans="3:37" ht="56.25" x14ac:dyDescent="0.2">
      <c r="C155" s="758"/>
      <c r="D155" s="757"/>
      <c r="E155" s="757"/>
      <c r="F155" s="757"/>
      <c r="G155" s="757"/>
      <c r="H155" s="757"/>
      <c r="I155" s="757"/>
      <c r="J155" s="638" t="s">
        <v>335</v>
      </c>
      <c r="K155" s="638" t="s">
        <v>40</v>
      </c>
      <c r="L155" s="638" t="s">
        <v>343</v>
      </c>
      <c r="M155" s="638" t="s">
        <v>344</v>
      </c>
      <c r="N155" s="638" t="s">
        <v>345</v>
      </c>
      <c r="O155" s="638" t="s">
        <v>346</v>
      </c>
      <c r="P155" s="757"/>
      <c r="Q155" s="757"/>
      <c r="R155" s="757"/>
      <c r="S155" s="757"/>
      <c r="U155" s="758"/>
      <c r="V155" s="757"/>
      <c r="W155" s="757"/>
      <c r="X155" s="757"/>
      <c r="Y155" s="757"/>
      <c r="Z155" s="757"/>
      <c r="AA155" s="757"/>
      <c r="AB155" s="638" t="s">
        <v>335</v>
      </c>
      <c r="AC155" s="638" t="s">
        <v>40</v>
      </c>
      <c r="AD155" s="638" t="s">
        <v>343</v>
      </c>
      <c r="AE155" s="638" t="s">
        <v>344</v>
      </c>
      <c r="AF155" s="638" t="s">
        <v>345</v>
      </c>
      <c r="AG155" s="638" t="s">
        <v>346</v>
      </c>
      <c r="AH155" s="757"/>
      <c r="AI155" s="757"/>
      <c r="AJ155" s="757"/>
      <c r="AK155" s="757"/>
    </row>
    <row r="156" spans="3:37" x14ac:dyDescent="0.2">
      <c r="C156" s="639" t="s">
        <v>59</v>
      </c>
      <c r="D156" s="640">
        <v>0</v>
      </c>
      <c r="E156" s="641">
        <v>0</v>
      </c>
      <c r="F156" s="641">
        <v>0</v>
      </c>
      <c r="G156" s="640">
        <v>0</v>
      </c>
      <c r="H156" s="641">
        <v>959.09090909090924</v>
      </c>
      <c r="I156" s="641">
        <v>265.54666314840352</v>
      </c>
      <c r="J156" s="641">
        <v>188.6372712469306</v>
      </c>
      <c r="K156" s="641">
        <v>20.835963621356942</v>
      </c>
      <c r="L156" s="641">
        <v>0.48646764865129044</v>
      </c>
      <c r="M156" s="641">
        <v>0.15840693111613638</v>
      </c>
      <c r="N156" s="641">
        <v>62.897832024028709</v>
      </c>
      <c r="O156" s="641">
        <v>11.865462020109925</v>
      </c>
      <c r="P156" s="642">
        <v>0</v>
      </c>
      <c r="Q156" s="641">
        <v>0</v>
      </c>
      <c r="R156" s="641">
        <v>0</v>
      </c>
      <c r="S156" s="643">
        <v>1509.5189757315065</v>
      </c>
      <c r="U156" s="639" t="s">
        <v>59</v>
      </c>
      <c r="V156" s="640">
        <v>0</v>
      </c>
      <c r="W156" s="641">
        <v>0</v>
      </c>
      <c r="X156" s="641">
        <v>0</v>
      </c>
      <c r="Y156" s="640">
        <v>0</v>
      </c>
      <c r="Z156" s="641">
        <v>919.39393939393949</v>
      </c>
      <c r="AA156" s="641">
        <v>300.16666314840353</v>
      </c>
      <c r="AB156" s="641">
        <v>196.07210414009427</v>
      </c>
      <c r="AC156" s="641">
        <v>37.690284018354092</v>
      </c>
      <c r="AD156" s="641">
        <v>0.48646764865129044</v>
      </c>
      <c r="AE156" s="641">
        <v>0.15840693111613638</v>
      </c>
      <c r="AF156" s="641">
        <v>92.901000398225491</v>
      </c>
      <c r="AG156" s="641">
        <v>23.979405132943342</v>
      </c>
      <c r="AH156" s="642">
        <v>0</v>
      </c>
      <c r="AI156" s="641">
        <v>0</v>
      </c>
      <c r="AJ156" s="641">
        <v>0</v>
      </c>
      <c r="AK156" s="643">
        <v>1570.8482708117278</v>
      </c>
    </row>
    <row r="157" spans="3:37" x14ac:dyDescent="0.2">
      <c r="C157" s="639" t="s">
        <v>60</v>
      </c>
      <c r="D157" s="640">
        <v>48.037640466799544</v>
      </c>
      <c r="E157" s="641">
        <v>504.19228646673599</v>
      </c>
      <c r="F157" s="641">
        <v>68.527294255032075</v>
      </c>
      <c r="G157" s="640">
        <v>332.96357284387591</v>
      </c>
      <c r="H157" s="641">
        <v>0</v>
      </c>
      <c r="I157" s="641">
        <v>0</v>
      </c>
      <c r="J157" s="641">
        <v>4.4041420336435353</v>
      </c>
      <c r="K157" s="641">
        <v>0</v>
      </c>
      <c r="L157" s="641">
        <v>2.4215969020745125</v>
      </c>
      <c r="M157" s="641">
        <v>0</v>
      </c>
      <c r="N157" s="641">
        <v>0</v>
      </c>
      <c r="O157" s="641">
        <v>0</v>
      </c>
      <c r="P157" s="642">
        <v>0</v>
      </c>
      <c r="Q157" s="641">
        <v>0</v>
      </c>
      <c r="R157" s="641">
        <v>0</v>
      </c>
      <c r="S157" s="643">
        <v>960.54653296816161</v>
      </c>
      <c r="U157" s="639" t="s">
        <v>60</v>
      </c>
      <c r="V157" s="640">
        <v>7.5315222042138927</v>
      </c>
      <c r="W157" s="641">
        <v>266.28302835422375</v>
      </c>
      <c r="X157" s="641">
        <v>14.660534841020075</v>
      </c>
      <c r="Y157" s="640">
        <v>136.19700966140181</v>
      </c>
      <c r="Z157" s="641">
        <v>0</v>
      </c>
      <c r="AA157" s="641">
        <v>0</v>
      </c>
      <c r="AB157" s="641">
        <v>4.4041420336435353</v>
      </c>
      <c r="AC157" s="641">
        <v>0</v>
      </c>
      <c r="AD157" s="641">
        <v>2.4215969020745125</v>
      </c>
      <c r="AE157" s="641">
        <v>0</v>
      </c>
      <c r="AF157" s="641">
        <v>0</v>
      </c>
      <c r="AG157" s="641">
        <v>0</v>
      </c>
      <c r="AH157" s="642">
        <v>0</v>
      </c>
      <c r="AI157" s="641">
        <v>0</v>
      </c>
      <c r="AJ157" s="641">
        <v>0</v>
      </c>
      <c r="AK157" s="643">
        <v>431.49783399657758</v>
      </c>
    </row>
    <row r="158" spans="3:37" x14ac:dyDescent="0.2">
      <c r="C158" s="639" t="s">
        <v>61</v>
      </c>
      <c r="D158" s="640">
        <v>0</v>
      </c>
      <c r="E158" s="641">
        <v>0</v>
      </c>
      <c r="F158" s="641">
        <v>0</v>
      </c>
      <c r="G158" s="640">
        <v>0</v>
      </c>
      <c r="H158" s="641">
        <v>0</v>
      </c>
      <c r="I158" s="641">
        <v>0</v>
      </c>
      <c r="J158" s="641">
        <v>0</v>
      </c>
      <c r="K158" s="641">
        <v>0</v>
      </c>
      <c r="L158" s="641">
        <v>0</v>
      </c>
      <c r="M158" s="641">
        <v>0</v>
      </c>
      <c r="N158" s="641">
        <v>0</v>
      </c>
      <c r="O158" s="641">
        <v>0</v>
      </c>
      <c r="P158" s="642">
        <v>-31.055970799843635</v>
      </c>
      <c r="Q158" s="641">
        <v>0</v>
      </c>
      <c r="R158" s="641">
        <v>0</v>
      </c>
      <c r="S158" s="643">
        <v>-31.055970799843635</v>
      </c>
      <c r="U158" s="639" t="s">
        <v>61</v>
      </c>
      <c r="V158" s="640">
        <v>0</v>
      </c>
      <c r="W158" s="641">
        <v>0</v>
      </c>
      <c r="X158" s="641">
        <v>-20.238165107819981</v>
      </c>
      <c r="Y158" s="640">
        <v>0</v>
      </c>
      <c r="Z158" s="641">
        <v>0</v>
      </c>
      <c r="AA158" s="641">
        <v>0</v>
      </c>
      <c r="AB158" s="641">
        <v>0</v>
      </c>
      <c r="AC158" s="641">
        <v>0</v>
      </c>
      <c r="AD158" s="641">
        <v>0</v>
      </c>
      <c r="AE158" s="641">
        <v>0</v>
      </c>
      <c r="AF158" s="641">
        <v>0</v>
      </c>
      <c r="AG158" s="641">
        <v>0</v>
      </c>
      <c r="AH158" s="642">
        <v>-12.632253344037395</v>
      </c>
      <c r="AI158" s="641">
        <v>0</v>
      </c>
      <c r="AJ158" s="641">
        <v>0</v>
      </c>
      <c r="AK158" s="643">
        <v>-32.870418451857375</v>
      </c>
    </row>
    <row r="159" spans="3:37" x14ac:dyDescent="0.2">
      <c r="C159" s="639" t="s">
        <v>62</v>
      </c>
      <c r="D159" s="640">
        <v>0</v>
      </c>
      <c r="E159" s="641">
        <v>0</v>
      </c>
      <c r="F159" s="641">
        <v>-15.855905256620872</v>
      </c>
      <c r="G159" s="640">
        <v>0</v>
      </c>
      <c r="H159" s="641">
        <v>0</v>
      </c>
      <c r="I159" s="641">
        <v>0</v>
      </c>
      <c r="J159" s="641">
        <v>0</v>
      </c>
      <c r="K159" s="641">
        <v>0</v>
      </c>
      <c r="L159" s="641">
        <v>0</v>
      </c>
      <c r="M159" s="641">
        <v>0</v>
      </c>
      <c r="N159" s="641">
        <v>0</v>
      </c>
      <c r="O159" s="641">
        <v>0</v>
      </c>
      <c r="P159" s="642">
        <v>0</v>
      </c>
      <c r="Q159" s="641">
        <v>0</v>
      </c>
      <c r="R159" s="641">
        <v>0</v>
      </c>
      <c r="S159" s="643">
        <v>-15.855905256620872</v>
      </c>
      <c r="U159" s="639" t="s">
        <v>62</v>
      </c>
      <c r="V159" s="640">
        <v>0</v>
      </c>
      <c r="W159" s="641">
        <v>0</v>
      </c>
      <c r="X159" s="641">
        <v>-10.068616817390659</v>
      </c>
      <c r="Y159" s="640">
        <v>-2.2904268439326967</v>
      </c>
      <c r="Z159" s="641">
        <v>0</v>
      </c>
      <c r="AA159" s="641">
        <v>0</v>
      </c>
      <c r="AB159" s="641">
        <v>0</v>
      </c>
      <c r="AC159" s="641">
        <v>0</v>
      </c>
      <c r="AD159" s="641">
        <v>0</v>
      </c>
      <c r="AE159" s="641">
        <v>-0.98161150454258428</v>
      </c>
      <c r="AF159" s="641">
        <v>0</v>
      </c>
      <c r="AG159" s="641">
        <v>0</v>
      </c>
      <c r="AH159" s="642">
        <v>0</v>
      </c>
      <c r="AI159" s="641">
        <v>0</v>
      </c>
      <c r="AJ159" s="641">
        <v>0</v>
      </c>
      <c r="AK159" s="643">
        <v>-13.34065516586594</v>
      </c>
    </row>
    <row r="160" spans="3:37" x14ac:dyDescent="0.2">
      <c r="C160" s="639" t="s">
        <v>63</v>
      </c>
      <c r="D160" s="640">
        <v>0</v>
      </c>
      <c r="E160" s="641">
        <v>0</v>
      </c>
      <c r="F160" s="641">
        <v>-87.092524368241456</v>
      </c>
      <c r="G160" s="640">
        <v>0</v>
      </c>
      <c r="H160" s="641">
        <v>0</v>
      </c>
      <c r="I160" s="641">
        <v>0</v>
      </c>
      <c r="J160" s="641">
        <v>0</v>
      </c>
      <c r="K160" s="641">
        <v>0</v>
      </c>
      <c r="L160" s="641">
        <v>-0.90133117758770376</v>
      </c>
      <c r="M160" s="641">
        <v>0</v>
      </c>
      <c r="N160" s="641">
        <v>0</v>
      </c>
      <c r="O160" s="641">
        <v>0</v>
      </c>
      <c r="P160" s="642">
        <v>0</v>
      </c>
      <c r="Q160" s="641">
        <v>0</v>
      </c>
      <c r="R160" s="641">
        <v>0</v>
      </c>
      <c r="S160" s="643">
        <v>-87.993855545829163</v>
      </c>
      <c r="U160" s="639" t="s">
        <v>63</v>
      </c>
      <c r="V160" s="640">
        <v>0</v>
      </c>
      <c r="W160" s="641">
        <v>0</v>
      </c>
      <c r="X160" s="641">
        <v>-58.231828596071985</v>
      </c>
      <c r="Y160" s="640">
        <v>0</v>
      </c>
      <c r="Z160" s="641">
        <v>0</v>
      </c>
      <c r="AA160" s="641">
        <v>0</v>
      </c>
      <c r="AB160" s="641">
        <v>0</v>
      </c>
      <c r="AC160" s="641">
        <v>0</v>
      </c>
      <c r="AD160" s="641">
        <v>-23.991898740742837</v>
      </c>
      <c r="AE160" s="641">
        <v>0</v>
      </c>
      <c r="AF160" s="641">
        <v>0</v>
      </c>
      <c r="AG160" s="641">
        <v>0</v>
      </c>
      <c r="AH160" s="642">
        <v>0</v>
      </c>
      <c r="AI160" s="641">
        <v>0</v>
      </c>
      <c r="AJ160" s="641">
        <v>0</v>
      </c>
      <c r="AK160" s="643">
        <v>-82.223727336814818</v>
      </c>
    </row>
    <row r="161" spans="3:37" x14ac:dyDescent="0.2">
      <c r="C161" s="639" t="s">
        <v>64</v>
      </c>
      <c r="D161" s="640">
        <v>0</v>
      </c>
      <c r="E161" s="641">
        <v>0</v>
      </c>
      <c r="F161" s="641">
        <v>0</v>
      </c>
      <c r="G161" s="640">
        <v>0</v>
      </c>
      <c r="H161" s="641">
        <v>0</v>
      </c>
      <c r="I161" s="641">
        <v>0</v>
      </c>
      <c r="J161" s="641">
        <v>0</v>
      </c>
      <c r="K161" s="641">
        <v>0</v>
      </c>
      <c r="L161" s="641">
        <v>0</v>
      </c>
      <c r="M161" s="641">
        <v>0</v>
      </c>
      <c r="N161" s="641">
        <v>0</v>
      </c>
      <c r="O161" s="641">
        <v>0</v>
      </c>
      <c r="P161" s="642">
        <v>0</v>
      </c>
      <c r="Q161" s="641">
        <v>0</v>
      </c>
      <c r="R161" s="641">
        <v>0</v>
      </c>
      <c r="S161" s="643">
        <v>0</v>
      </c>
      <c r="U161" s="639" t="s">
        <v>64</v>
      </c>
      <c r="V161" s="640">
        <v>0</v>
      </c>
      <c r="W161" s="641">
        <v>0</v>
      </c>
      <c r="X161" s="641">
        <v>0</v>
      </c>
      <c r="Y161" s="640">
        <v>0</v>
      </c>
      <c r="Z161" s="641">
        <v>0</v>
      </c>
      <c r="AA161" s="641">
        <v>0</v>
      </c>
      <c r="AB161" s="641">
        <v>0</v>
      </c>
      <c r="AC161" s="641">
        <v>0</v>
      </c>
      <c r="AD161" s="641">
        <v>0</v>
      </c>
      <c r="AE161" s="641">
        <v>0</v>
      </c>
      <c r="AF161" s="641">
        <v>0</v>
      </c>
      <c r="AG161" s="641">
        <v>0</v>
      </c>
      <c r="AH161" s="642">
        <v>0</v>
      </c>
      <c r="AI161" s="641">
        <v>0</v>
      </c>
      <c r="AJ161" s="641">
        <v>0</v>
      </c>
      <c r="AK161" s="643">
        <v>0</v>
      </c>
    </row>
    <row r="162" spans="3:37" x14ac:dyDescent="0.2">
      <c r="C162" s="644" t="s">
        <v>65</v>
      </c>
      <c r="D162" s="645">
        <v>48.037640466799544</v>
      </c>
      <c r="E162" s="645">
        <v>504.19228646673599</v>
      </c>
      <c r="F162" s="645">
        <v>-34.42113536983026</v>
      </c>
      <c r="G162" s="645">
        <v>332.96357284387591</v>
      </c>
      <c r="H162" s="645">
        <v>959.09090909090924</v>
      </c>
      <c r="I162" s="645">
        <v>265.54666314840352</v>
      </c>
      <c r="J162" s="645">
        <v>193.04141328057412</v>
      </c>
      <c r="K162" s="645">
        <v>20.835963621356942</v>
      </c>
      <c r="L162" s="645">
        <v>2.0067333731380987</v>
      </c>
      <c r="M162" s="645">
        <v>0.15840693111613638</v>
      </c>
      <c r="N162" s="645">
        <v>62.897832024028709</v>
      </c>
      <c r="O162" s="645">
        <v>11.865462020109925</v>
      </c>
      <c r="P162" s="645">
        <v>-31.055970799843635</v>
      </c>
      <c r="Q162" s="645">
        <v>0</v>
      </c>
      <c r="R162" s="645">
        <v>0</v>
      </c>
      <c r="S162" s="645">
        <v>2335.159777097374</v>
      </c>
      <c r="U162" s="644" t="s">
        <v>65</v>
      </c>
      <c r="V162" s="645">
        <v>7.5315222042138927</v>
      </c>
      <c r="W162" s="645">
        <v>266.28302835422375</v>
      </c>
      <c r="X162" s="645">
        <v>-73.87807568026254</v>
      </c>
      <c r="Y162" s="645">
        <v>133.90658281746911</v>
      </c>
      <c r="Z162" s="645">
        <v>919.39393939393949</v>
      </c>
      <c r="AA162" s="645">
        <v>300.16666314840353</v>
      </c>
      <c r="AB162" s="645">
        <v>200.47624617373779</v>
      </c>
      <c r="AC162" s="645">
        <v>37.690284018354092</v>
      </c>
      <c r="AD162" s="645">
        <v>-21.083834190017033</v>
      </c>
      <c r="AE162" s="645">
        <v>-0.82320457342644793</v>
      </c>
      <c r="AF162" s="645">
        <v>92.901000398225491</v>
      </c>
      <c r="AG162" s="645">
        <v>23.979405132943342</v>
      </c>
      <c r="AH162" s="645">
        <v>-12.632253344037395</v>
      </c>
      <c r="AI162" s="645">
        <v>0</v>
      </c>
      <c r="AJ162" s="645">
        <v>0</v>
      </c>
      <c r="AK162" s="645">
        <v>1873.9113038537675</v>
      </c>
    </row>
    <row r="163" spans="3:37" x14ac:dyDescent="0.2">
      <c r="C163" s="634"/>
      <c r="D163" s="634">
        <v>0</v>
      </c>
      <c r="E163" s="634">
        <v>0</v>
      </c>
      <c r="F163" s="634">
        <v>0</v>
      </c>
      <c r="G163" s="634">
        <v>0</v>
      </c>
      <c r="H163" s="634">
        <v>0</v>
      </c>
      <c r="I163" s="634">
        <v>0</v>
      </c>
      <c r="J163" s="634">
        <v>0</v>
      </c>
      <c r="K163" s="634">
        <v>0</v>
      </c>
      <c r="L163" s="634">
        <v>0</v>
      </c>
      <c r="M163" s="634">
        <v>0</v>
      </c>
      <c r="N163" s="634">
        <v>0</v>
      </c>
      <c r="O163" s="634">
        <v>0</v>
      </c>
      <c r="P163" s="634">
        <v>0</v>
      </c>
      <c r="Q163" s="634">
        <v>0</v>
      </c>
      <c r="R163" s="634">
        <v>0</v>
      </c>
      <c r="S163" s="634">
        <v>0</v>
      </c>
      <c r="U163" s="634"/>
      <c r="V163" s="634">
        <v>0</v>
      </c>
      <c r="W163" s="634">
        <v>0</v>
      </c>
      <c r="X163" s="634">
        <v>0</v>
      </c>
      <c r="Y163" s="634">
        <v>0</v>
      </c>
      <c r="Z163" s="634">
        <v>0</v>
      </c>
      <c r="AA163" s="634">
        <v>0</v>
      </c>
      <c r="AB163" s="634">
        <v>0</v>
      </c>
      <c r="AC163" s="634">
        <v>0</v>
      </c>
      <c r="AD163" s="634">
        <v>0</v>
      </c>
      <c r="AE163" s="634">
        <v>0</v>
      </c>
      <c r="AF163" s="634">
        <v>0</v>
      </c>
      <c r="AG163" s="634">
        <v>0</v>
      </c>
      <c r="AH163" s="634">
        <v>0</v>
      </c>
      <c r="AI163" s="634">
        <v>0</v>
      </c>
      <c r="AJ163" s="634">
        <v>0</v>
      </c>
      <c r="AK163" s="634">
        <v>0</v>
      </c>
    </row>
    <row r="164" spans="3:37" x14ac:dyDescent="0.2">
      <c r="C164" s="646" t="s">
        <v>67</v>
      </c>
      <c r="D164" s="640">
        <v>0</v>
      </c>
      <c r="E164" s="647">
        <v>0</v>
      </c>
      <c r="F164" s="647">
        <v>0</v>
      </c>
      <c r="G164" s="640">
        <v>0</v>
      </c>
      <c r="H164" s="640">
        <v>0</v>
      </c>
      <c r="I164" s="640">
        <v>0</v>
      </c>
      <c r="J164" s="640">
        <v>0</v>
      </c>
      <c r="K164" s="640">
        <v>0</v>
      </c>
      <c r="L164" s="640">
        <v>0</v>
      </c>
      <c r="M164" s="640">
        <v>0</v>
      </c>
      <c r="N164" s="640">
        <v>0</v>
      </c>
      <c r="O164" s="640">
        <v>0</v>
      </c>
      <c r="P164" s="640">
        <v>0</v>
      </c>
      <c r="Q164" s="640">
        <v>0</v>
      </c>
      <c r="R164" s="640">
        <v>0</v>
      </c>
      <c r="S164" s="648">
        <v>0</v>
      </c>
      <c r="U164" s="646" t="s">
        <v>67</v>
      </c>
      <c r="V164" s="640">
        <v>0</v>
      </c>
      <c r="W164" s="647">
        <v>0</v>
      </c>
      <c r="X164" s="647">
        <v>0</v>
      </c>
      <c r="Y164" s="640">
        <v>0</v>
      </c>
      <c r="Z164" s="640">
        <v>0</v>
      </c>
      <c r="AA164" s="640">
        <v>0</v>
      </c>
      <c r="AB164" s="640">
        <v>0</v>
      </c>
      <c r="AC164" s="640">
        <v>0</v>
      </c>
      <c r="AD164" s="640">
        <v>0</v>
      </c>
      <c r="AE164" s="640">
        <v>0</v>
      </c>
      <c r="AF164" s="640">
        <v>0</v>
      </c>
      <c r="AG164" s="640">
        <v>0</v>
      </c>
      <c r="AH164" s="640">
        <v>0</v>
      </c>
      <c r="AI164" s="640">
        <v>0</v>
      </c>
      <c r="AJ164" s="640">
        <v>0</v>
      </c>
      <c r="AK164" s="648">
        <v>0</v>
      </c>
    </row>
    <row r="165" spans="3:37" x14ac:dyDescent="0.2">
      <c r="C165" s="646" t="s">
        <v>347</v>
      </c>
      <c r="D165" s="640">
        <v>2.8267856410252494</v>
      </c>
      <c r="E165" s="640">
        <v>0</v>
      </c>
      <c r="F165" s="640">
        <v>7.5217067848259731</v>
      </c>
      <c r="G165" s="640">
        <v>17.043478260869566</v>
      </c>
      <c r="H165" s="640">
        <v>959.09090909090924</v>
      </c>
      <c r="I165" s="640">
        <v>265.54666314840352</v>
      </c>
      <c r="J165" s="649">
        <v>29.657322749860491</v>
      </c>
      <c r="K165" s="649">
        <v>6.9984717304001904</v>
      </c>
      <c r="L165" s="649">
        <v>2.9080645507258027</v>
      </c>
      <c r="M165" s="649">
        <v>0.47316517381762646</v>
      </c>
      <c r="N165" s="649">
        <v>0</v>
      </c>
      <c r="O165" s="649">
        <v>6.9042102843702597</v>
      </c>
      <c r="P165" s="640">
        <v>-613.13903868039233</v>
      </c>
      <c r="Q165" s="640">
        <v>0</v>
      </c>
      <c r="R165" s="640">
        <v>0</v>
      </c>
      <c r="S165" s="648">
        <v>685.83173873481564</v>
      </c>
      <c r="U165" s="646" t="s">
        <v>347</v>
      </c>
      <c r="V165" s="640">
        <v>0.62631490545869017</v>
      </c>
      <c r="W165" s="640">
        <v>0</v>
      </c>
      <c r="X165" s="640">
        <v>3.6580704211896093</v>
      </c>
      <c r="Y165" s="640">
        <v>6.2086956521739127</v>
      </c>
      <c r="Z165" s="640">
        <v>919.39393939393949</v>
      </c>
      <c r="AA165" s="640">
        <v>300.16666314840353</v>
      </c>
      <c r="AB165" s="649">
        <v>23.86094386593884</v>
      </c>
      <c r="AC165" s="649">
        <v>5.6952120200596408</v>
      </c>
      <c r="AD165" s="649">
        <v>2.9080645507258027</v>
      </c>
      <c r="AE165" s="649">
        <v>2.7862086520784959</v>
      </c>
      <c r="AF165" s="649">
        <v>0</v>
      </c>
      <c r="AG165" s="649">
        <v>6.9042102843702597</v>
      </c>
      <c r="AH165" s="640">
        <v>-628.6590386803922</v>
      </c>
      <c r="AI165" s="640">
        <v>0</v>
      </c>
      <c r="AJ165" s="640">
        <v>4.7499999999999991</v>
      </c>
      <c r="AK165" s="648">
        <v>648.29928421394618</v>
      </c>
    </row>
    <row r="166" spans="3:37" x14ac:dyDescent="0.2">
      <c r="C166" s="646" t="s">
        <v>348</v>
      </c>
      <c r="D166" s="640">
        <v>0</v>
      </c>
      <c r="E166" s="640">
        <v>0</v>
      </c>
      <c r="F166" s="640">
        <v>0</v>
      </c>
      <c r="G166" s="640">
        <v>14.973464488470796</v>
      </c>
      <c r="H166" s="640">
        <v>0</v>
      </c>
      <c r="I166" s="640">
        <v>0</v>
      </c>
      <c r="J166" s="649">
        <v>12.61885930635281</v>
      </c>
      <c r="K166" s="649">
        <v>11.992989190910333</v>
      </c>
      <c r="L166" s="649">
        <v>0</v>
      </c>
      <c r="M166" s="649">
        <v>0.32007470171399477</v>
      </c>
      <c r="N166" s="649">
        <v>0</v>
      </c>
      <c r="O166" s="649">
        <v>2.1221335576886813</v>
      </c>
      <c r="P166" s="640">
        <v>0</v>
      </c>
      <c r="Q166" s="640">
        <v>-38.122859170635891</v>
      </c>
      <c r="R166" s="640">
        <v>0</v>
      </c>
      <c r="S166" s="648">
        <v>3.9046620745007217</v>
      </c>
      <c r="U166" s="646" t="s">
        <v>348</v>
      </c>
      <c r="V166" s="640">
        <v>0</v>
      </c>
      <c r="W166" s="640">
        <v>0</v>
      </c>
      <c r="X166" s="640">
        <v>0</v>
      </c>
      <c r="Y166" s="640">
        <v>11.236128743190402</v>
      </c>
      <c r="Z166" s="640">
        <v>0</v>
      </c>
      <c r="AA166" s="640">
        <v>0</v>
      </c>
      <c r="AB166" s="649">
        <v>28.835017835425074</v>
      </c>
      <c r="AC166" s="649">
        <v>26.276566272731909</v>
      </c>
      <c r="AD166" s="649">
        <v>0</v>
      </c>
      <c r="AE166" s="649">
        <v>4.8299775408676195</v>
      </c>
      <c r="AF166" s="649">
        <v>0</v>
      </c>
      <c r="AG166" s="649">
        <v>10.71495831218258</v>
      </c>
      <c r="AH166" s="640">
        <v>0</v>
      </c>
      <c r="AI166" s="640">
        <v>-75.331063655699538</v>
      </c>
      <c r="AJ166" s="640">
        <v>0</v>
      </c>
      <c r="AK166" s="648">
        <v>6.561585048698058</v>
      </c>
    </row>
    <row r="167" spans="3:37" x14ac:dyDescent="0.2">
      <c r="C167" s="646" t="s">
        <v>349</v>
      </c>
      <c r="D167" s="640">
        <v>0</v>
      </c>
      <c r="E167" s="640">
        <v>0</v>
      </c>
      <c r="F167" s="640">
        <v>0</v>
      </c>
      <c r="G167" s="640">
        <v>0</v>
      </c>
      <c r="H167" s="640">
        <v>0</v>
      </c>
      <c r="I167" s="640">
        <v>0</v>
      </c>
      <c r="J167" s="650">
        <v>7.1836152532588793</v>
      </c>
      <c r="K167" s="650">
        <v>0</v>
      </c>
      <c r="L167" s="650">
        <v>0</v>
      </c>
      <c r="M167" s="650">
        <v>-6.5550489185987271</v>
      </c>
      <c r="N167" s="650">
        <v>0</v>
      </c>
      <c r="O167" s="650">
        <v>0</v>
      </c>
      <c r="P167" s="640">
        <v>0</v>
      </c>
      <c r="Q167" s="640">
        <v>0</v>
      </c>
      <c r="R167" s="640">
        <v>0</v>
      </c>
      <c r="S167" s="648">
        <v>0.62856633466015222</v>
      </c>
      <c r="U167" s="646" t="s">
        <v>349</v>
      </c>
      <c r="V167" s="640">
        <v>0</v>
      </c>
      <c r="W167" s="640">
        <v>0</v>
      </c>
      <c r="X167" s="640">
        <v>0</v>
      </c>
      <c r="Y167" s="640">
        <v>0</v>
      </c>
      <c r="Z167" s="640">
        <v>0</v>
      </c>
      <c r="AA167" s="640">
        <v>0</v>
      </c>
      <c r="AB167" s="650">
        <v>63.436450079223192</v>
      </c>
      <c r="AC167" s="650">
        <v>0</v>
      </c>
      <c r="AD167" s="650">
        <v>0</v>
      </c>
      <c r="AE167" s="650">
        <v>-57.885760697291161</v>
      </c>
      <c r="AF167" s="650">
        <v>0</v>
      </c>
      <c r="AG167" s="650">
        <v>0</v>
      </c>
      <c r="AH167" s="640">
        <v>0</v>
      </c>
      <c r="AI167" s="640">
        <v>0</v>
      </c>
      <c r="AJ167" s="640">
        <v>0</v>
      </c>
      <c r="AK167" s="648">
        <v>5.5506893819320311</v>
      </c>
    </row>
    <row r="168" spans="3:37" x14ac:dyDescent="0.2">
      <c r="C168" s="646" t="s">
        <v>350</v>
      </c>
      <c r="D168" s="640">
        <v>0</v>
      </c>
      <c r="E168" s="640">
        <v>0</v>
      </c>
      <c r="F168" s="640">
        <v>0</v>
      </c>
      <c r="G168" s="640">
        <v>0</v>
      </c>
      <c r="H168" s="640">
        <v>0</v>
      </c>
      <c r="I168" s="640">
        <v>0</v>
      </c>
      <c r="J168" s="640">
        <v>0</v>
      </c>
      <c r="K168" s="640">
        <v>0</v>
      </c>
      <c r="L168" s="640">
        <v>0</v>
      </c>
      <c r="M168" s="640">
        <v>0</v>
      </c>
      <c r="N168" s="640">
        <v>0</v>
      </c>
      <c r="O168" s="640">
        <v>0</v>
      </c>
      <c r="P168" s="640">
        <v>0</v>
      </c>
      <c r="Q168" s="640">
        <v>0</v>
      </c>
      <c r="R168" s="640">
        <v>0</v>
      </c>
      <c r="S168" s="648">
        <v>0</v>
      </c>
      <c r="U168" s="646" t="s">
        <v>350</v>
      </c>
      <c r="V168" s="640">
        <v>0</v>
      </c>
      <c r="W168" s="640">
        <v>0</v>
      </c>
      <c r="X168" s="640">
        <v>0</v>
      </c>
      <c r="Y168" s="640">
        <v>0</v>
      </c>
      <c r="Z168" s="640">
        <v>0</v>
      </c>
      <c r="AA168" s="640">
        <v>0</v>
      </c>
      <c r="AB168" s="640">
        <v>0</v>
      </c>
      <c r="AC168" s="640">
        <v>0</v>
      </c>
      <c r="AD168" s="640">
        <v>0</v>
      </c>
      <c r="AE168" s="640">
        <v>0</v>
      </c>
      <c r="AF168" s="640">
        <v>0</v>
      </c>
      <c r="AG168" s="640">
        <v>0</v>
      </c>
      <c r="AH168" s="640">
        <v>0</v>
      </c>
      <c r="AI168" s="640">
        <v>0</v>
      </c>
      <c r="AJ168" s="640">
        <v>0</v>
      </c>
      <c r="AK168" s="648">
        <v>0</v>
      </c>
    </row>
    <row r="169" spans="3:37" x14ac:dyDescent="0.2">
      <c r="C169" s="646" t="s">
        <v>72</v>
      </c>
      <c r="D169" s="640">
        <v>0</v>
      </c>
      <c r="E169" s="640">
        <v>522.28962186433523</v>
      </c>
      <c r="F169" s="640">
        <v>-517.06672564569192</v>
      </c>
      <c r="G169" s="640">
        <v>0</v>
      </c>
      <c r="H169" s="640">
        <v>0</v>
      </c>
      <c r="I169" s="640">
        <v>0</v>
      </c>
      <c r="J169" s="640">
        <v>0</v>
      </c>
      <c r="K169" s="640">
        <v>0</v>
      </c>
      <c r="L169" s="640">
        <v>0</v>
      </c>
      <c r="M169" s="640">
        <v>0</v>
      </c>
      <c r="N169" s="640">
        <v>0</v>
      </c>
      <c r="O169" s="640">
        <v>0</v>
      </c>
      <c r="P169" s="640">
        <v>0</v>
      </c>
      <c r="Q169" s="640">
        <v>0</v>
      </c>
      <c r="R169" s="640">
        <v>0</v>
      </c>
      <c r="S169" s="648">
        <v>5.2228962186433137</v>
      </c>
      <c r="U169" s="646" t="s">
        <v>72</v>
      </c>
      <c r="V169" s="640">
        <v>0</v>
      </c>
      <c r="W169" s="640">
        <v>275.84091609698424</v>
      </c>
      <c r="X169" s="640">
        <v>-273.0825069360144</v>
      </c>
      <c r="Y169" s="640">
        <v>0</v>
      </c>
      <c r="Z169" s="640">
        <v>0</v>
      </c>
      <c r="AA169" s="640">
        <v>0</v>
      </c>
      <c r="AB169" s="640">
        <v>0</v>
      </c>
      <c r="AC169" s="640">
        <v>0</v>
      </c>
      <c r="AD169" s="640">
        <v>0</v>
      </c>
      <c r="AE169" s="640">
        <v>0</v>
      </c>
      <c r="AF169" s="640">
        <v>0</v>
      </c>
      <c r="AG169" s="640">
        <v>0</v>
      </c>
      <c r="AH169" s="640">
        <v>0</v>
      </c>
      <c r="AI169" s="640">
        <v>0</v>
      </c>
      <c r="AJ169" s="640">
        <v>0</v>
      </c>
      <c r="AK169" s="648">
        <v>2.7584091609698476</v>
      </c>
    </row>
    <row r="170" spans="3:37" x14ac:dyDescent="0.2">
      <c r="C170" s="646" t="s">
        <v>351</v>
      </c>
      <c r="D170" s="640">
        <v>0</v>
      </c>
      <c r="E170" s="640">
        <v>0</v>
      </c>
      <c r="F170" s="640">
        <v>0</v>
      </c>
      <c r="G170" s="640">
        <v>0</v>
      </c>
      <c r="H170" s="640">
        <v>0</v>
      </c>
      <c r="I170" s="640">
        <v>0</v>
      </c>
      <c r="J170" s="640">
        <v>28.942309114060045</v>
      </c>
      <c r="K170" s="640">
        <v>0</v>
      </c>
      <c r="L170" s="640">
        <v>-28.942309114060045</v>
      </c>
      <c r="M170" s="640">
        <v>0</v>
      </c>
      <c r="N170" s="640">
        <v>0</v>
      </c>
      <c r="O170" s="640">
        <v>0</v>
      </c>
      <c r="P170" s="640">
        <v>0</v>
      </c>
      <c r="Q170" s="640">
        <v>0</v>
      </c>
      <c r="R170" s="640">
        <v>0</v>
      </c>
      <c r="S170" s="648">
        <v>0</v>
      </c>
      <c r="U170" s="646" t="s">
        <v>351</v>
      </c>
      <c r="V170" s="640">
        <v>0</v>
      </c>
      <c r="W170" s="640">
        <v>0</v>
      </c>
      <c r="X170" s="640">
        <v>0</v>
      </c>
      <c r="Y170" s="640">
        <v>0</v>
      </c>
      <c r="Z170" s="640">
        <v>0</v>
      </c>
      <c r="AA170" s="640">
        <v>0</v>
      </c>
      <c r="AB170" s="640" t="e">
        <v>#VALUE!</v>
      </c>
      <c r="AC170" s="640">
        <v>0</v>
      </c>
      <c r="AD170" s="640">
        <v>-101.68735143023177</v>
      </c>
      <c r="AE170" s="640">
        <v>0</v>
      </c>
      <c r="AF170" s="640">
        <v>0</v>
      </c>
      <c r="AG170" s="640">
        <v>0</v>
      </c>
      <c r="AH170" s="640">
        <v>0</v>
      </c>
      <c r="AI170" s="640">
        <v>0</v>
      </c>
      <c r="AJ170" s="640">
        <v>0</v>
      </c>
      <c r="AK170" s="648">
        <v>-101.68735143023177</v>
      </c>
    </row>
    <row r="171" spans="3:37" x14ac:dyDescent="0.2">
      <c r="C171" s="646" t="s">
        <v>352</v>
      </c>
      <c r="D171" s="640">
        <v>0</v>
      </c>
      <c r="E171" s="640">
        <v>0</v>
      </c>
      <c r="F171" s="640">
        <v>0</v>
      </c>
      <c r="G171" s="640">
        <v>0</v>
      </c>
      <c r="H171" s="640">
        <v>0</v>
      </c>
      <c r="I171" s="640">
        <v>0</v>
      </c>
      <c r="J171" s="640">
        <v>0</v>
      </c>
      <c r="K171" s="640">
        <v>0</v>
      </c>
      <c r="L171" s="640">
        <v>0</v>
      </c>
      <c r="M171" s="640">
        <v>0</v>
      </c>
      <c r="N171" s="640">
        <v>0</v>
      </c>
      <c r="O171" s="640">
        <v>0</v>
      </c>
      <c r="P171" s="640">
        <v>0</v>
      </c>
      <c r="Q171" s="640">
        <v>0</v>
      </c>
      <c r="R171" s="640">
        <v>0</v>
      </c>
      <c r="S171" s="648">
        <v>0</v>
      </c>
      <c r="U171" s="646" t="s">
        <v>352</v>
      </c>
      <c r="V171" s="640">
        <v>0</v>
      </c>
      <c r="W171" s="640">
        <v>0</v>
      </c>
      <c r="X171" s="640">
        <v>0</v>
      </c>
      <c r="Y171" s="640">
        <v>0</v>
      </c>
      <c r="Z171" s="640">
        <v>0</v>
      </c>
      <c r="AA171" s="640">
        <v>0</v>
      </c>
      <c r="AB171" s="640">
        <v>0</v>
      </c>
      <c r="AC171" s="640">
        <v>0</v>
      </c>
      <c r="AD171" s="640">
        <v>-20.330518764117095</v>
      </c>
      <c r="AE171" s="640">
        <v>0</v>
      </c>
      <c r="AF171" s="640">
        <v>0</v>
      </c>
      <c r="AG171" s="640">
        <v>0</v>
      </c>
      <c r="AH171" s="640">
        <v>0</v>
      </c>
      <c r="AI171" s="640">
        <v>0</v>
      </c>
      <c r="AJ171" s="640">
        <v>0</v>
      </c>
      <c r="AK171" s="648">
        <v>-20.330518764117095</v>
      </c>
    </row>
    <row r="172" spans="3:37" x14ac:dyDescent="0.2">
      <c r="C172" s="646" t="s">
        <v>73</v>
      </c>
      <c r="D172" s="640">
        <v>0</v>
      </c>
      <c r="E172" s="640">
        <v>0</v>
      </c>
      <c r="F172" s="640">
        <v>0</v>
      </c>
      <c r="G172" s="640">
        <v>5.1012543356530031</v>
      </c>
      <c r="H172" s="640">
        <v>0</v>
      </c>
      <c r="I172" s="640">
        <v>0</v>
      </c>
      <c r="J172" s="640">
        <v>0</v>
      </c>
      <c r="K172" s="640">
        <v>5.8487208617897309E-2</v>
      </c>
      <c r="L172" s="640">
        <v>0</v>
      </c>
      <c r="M172" s="640">
        <v>0.10410723133985722</v>
      </c>
      <c r="N172" s="640">
        <v>0</v>
      </c>
      <c r="O172" s="640">
        <v>0</v>
      </c>
      <c r="P172" s="640">
        <v>0.59767950412449788</v>
      </c>
      <c r="Q172" s="640">
        <v>0</v>
      </c>
      <c r="R172" s="640">
        <v>-4.094104603252811</v>
      </c>
      <c r="S172" s="648">
        <v>1.7674236764824451</v>
      </c>
      <c r="U172" s="646" t="s">
        <v>73</v>
      </c>
      <c r="V172" s="640">
        <v>0</v>
      </c>
      <c r="W172" s="640">
        <v>0</v>
      </c>
      <c r="X172" s="640">
        <v>0</v>
      </c>
      <c r="Y172" s="640">
        <v>5.6948243223481816</v>
      </c>
      <c r="Z172" s="640">
        <v>0</v>
      </c>
      <c r="AA172" s="640">
        <v>0</v>
      </c>
      <c r="AB172" s="640">
        <v>0</v>
      </c>
      <c r="AC172" s="640">
        <v>0.40677316588201312</v>
      </c>
      <c r="AD172" s="640">
        <v>0</v>
      </c>
      <c r="AE172" s="640">
        <v>2.440638995292078</v>
      </c>
      <c r="AF172" s="640">
        <v>0</v>
      </c>
      <c r="AG172" s="640">
        <v>0</v>
      </c>
      <c r="AH172" s="640">
        <v>32.838767990182951</v>
      </c>
      <c r="AI172" s="640">
        <v>0</v>
      </c>
      <c r="AJ172" s="640">
        <v>-28.474121611740912</v>
      </c>
      <c r="AK172" s="648">
        <v>12.906882861964313</v>
      </c>
    </row>
    <row r="173" spans="3:37" x14ac:dyDescent="0.2">
      <c r="C173" s="646" t="s">
        <v>353</v>
      </c>
      <c r="D173" s="640">
        <v>28.616489999999999</v>
      </c>
      <c r="E173" s="640">
        <v>-18.09733539759922</v>
      </c>
      <c r="F173" s="640">
        <v>23.670245777269074</v>
      </c>
      <c r="G173" s="640">
        <v>0</v>
      </c>
      <c r="H173" s="640">
        <v>0</v>
      </c>
      <c r="I173" s="640">
        <v>0</v>
      </c>
      <c r="J173" s="640">
        <v>0</v>
      </c>
      <c r="K173" s="640">
        <v>0</v>
      </c>
      <c r="L173" s="640">
        <v>0</v>
      </c>
      <c r="M173" s="640">
        <v>0</v>
      </c>
      <c r="N173" s="640">
        <v>0</v>
      </c>
      <c r="O173" s="640">
        <v>0</v>
      </c>
      <c r="P173" s="640">
        <v>0</v>
      </c>
      <c r="Q173" s="640">
        <v>0</v>
      </c>
      <c r="R173" s="640">
        <v>0</v>
      </c>
      <c r="S173" s="648">
        <v>34.189400379669848</v>
      </c>
      <c r="U173" s="646" t="s">
        <v>353</v>
      </c>
      <c r="V173" s="640">
        <v>2.3505202026367185</v>
      </c>
      <c r="W173" s="640">
        <v>-9.5578877427605047</v>
      </c>
      <c r="X173" s="640">
        <v>12.501152628950074</v>
      </c>
      <c r="Y173" s="640">
        <v>0</v>
      </c>
      <c r="Z173" s="640">
        <v>0</v>
      </c>
      <c r="AA173" s="640">
        <v>0</v>
      </c>
      <c r="AB173" s="640">
        <v>0</v>
      </c>
      <c r="AC173" s="640">
        <v>0</v>
      </c>
      <c r="AD173" s="640">
        <v>0</v>
      </c>
      <c r="AE173" s="640">
        <v>0</v>
      </c>
      <c r="AF173" s="640">
        <v>0</v>
      </c>
      <c r="AG173" s="640">
        <v>0</v>
      </c>
      <c r="AH173" s="640">
        <v>0</v>
      </c>
      <c r="AI173" s="640">
        <v>0</v>
      </c>
      <c r="AJ173" s="640">
        <v>0</v>
      </c>
      <c r="AK173" s="648">
        <v>5.2937850888262874</v>
      </c>
    </row>
    <row r="174" spans="3:37" x14ac:dyDescent="0.2">
      <c r="C174" s="646" t="s">
        <v>75</v>
      </c>
      <c r="D174" s="640">
        <v>11.128635000000001</v>
      </c>
      <c r="E174" s="640">
        <v>0</v>
      </c>
      <c r="F174" s="640">
        <v>17.757847143387398</v>
      </c>
      <c r="G174" s="640">
        <v>5.0672539113277812</v>
      </c>
      <c r="H174" s="640">
        <v>0</v>
      </c>
      <c r="I174" s="640">
        <v>0</v>
      </c>
      <c r="J174" s="640">
        <v>0</v>
      </c>
      <c r="K174" s="640">
        <v>0</v>
      </c>
      <c r="L174" s="640">
        <v>0</v>
      </c>
      <c r="M174" s="640">
        <v>0.1034133451291384</v>
      </c>
      <c r="N174" s="640">
        <v>0</v>
      </c>
      <c r="O174" s="640">
        <v>0</v>
      </c>
      <c r="P174" s="640">
        <v>30.750377055945027</v>
      </c>
      <c r="Q174" s="640">
        <v>0</v>
      </c>
      <c r="R174" s="640">
        <v>0</v>
      </c>
      <c r="S174" s="648">
        <v>64.807526455789343</v>
      </c>
      <c r="U174" s="646" t="s">
        <v>75</v>
      </c>
      <c r="V174" s="640">
        <v>3.4784289550781251</v>
      </c>
      <c r="W174" s="640">
        <v>0</v>
      </c>
      <c r="X174" s="640">
        <v>17.757847143387398</v>
      </c>
      <c r="Y174" s="640">
        <v>3.6194670795198434</v>
      </c>
      <c r="Z174" s="640">
        <v>0</v>
      </c>
      <c r="AA174" s="640">
        <v>0</v>
      </c>
      <c r="AB174" s="640">
        <v>0</v>
      </c>
      <c r="AC174" s="640">
        <v>0</v>
      </c>
      <c r="AD174" s="640">
        <v>0</v>
      </c>
      <c r="AE174" s="640">
        <v>1.5512001769370758</v>
      </c>
      <c r="AF174" s="640">
        <v>0</v>
      </c>
      <c r="AG174" s="640">
        <v>0</v>
      </c>
      <c r="AH174" s="640">
        <v>36.42264978321775</v>
      </c>
      <c r="AI174" s="640">
        <v>0</v>
      </c>
      <c r="AJ174" s="640">
        <v>0</v>
      </c>
      <c r="AK174" s="648">
        <v>62.829593138140197</v>
      </c>
    </row>
    <row r="175" spans="3:37" x14ac:dyDescent="0.2">
      <c r="C175" s="646" t="s">
        <v>76</v>
      </c>
      <c r="D175" s="640">
        <v>0</v>
      </c>
      <c r="E175" s="640">
        <v>0</v>
      </c>
      <c r="F175" s="640">
        <v>0</v>
      </c>
      <c r="G175" s="640">
        <v>3.8086647866957031</v>
      </c>
      <c r="H175" s="640">
        <v>0</v>
      </c>
      <c r="I175" s="640">
        <v>0</v>
      </c>
      <c r="J175" s="640">
        <v>0</v>
      </c>
      <c r="K175" s="640">
        <v>0</v>
      </c>
      <c r="L175" s="640">
        <v>0</v>
      </c>
      <c r="M175" s="640">
        <v>7.7727852789708229E-2</v>
      </c>
      <c r="N175" s="640">
        <v>0</v>
      </c>
      <c r="O175" s="640">
        <v>0</v>
      </c>
      <c r="P175" s="640">
        <v>44.547532005203358</v>
      </c>
      <c r="Q175" s="640">
        <v>2.958822517532107</v>
      </c>
      <c r="R175" s="640">
        <v>0</v>
      </c>
      <c r="S175" s="648">
        <v>51.392747162220878</v>
      </c>
      <c r="U175" s="646" t="s">
        <v>76</v>
      </c>
      <c r="V175" s="640">
        <v>0</v>
      </c>
      <c r="W175" s="640">
        <v>0</v>
      </c>
      <c r="X175" s="640">
        <v>0</v>
      </c>
      <c r="Y175" s="640">
        <v>1.6015823117827594</v>
      </c>
      <c r="Z175" s="640">
        <v>0</v>
      </c>
      <c r="AA175" s="640">
        <v>0</v>
      </c>
      <c r="AB175" s="640">
        <v>0</v>
      </c>
      <c r="AC175" s="640">
        <v>0</v>
      </c>
      <c r="AD175" s="640">
        <v>0</v>
      </c>
      <c r="AE175" s="640">
        <v>0.68639241933546835</v>
      </c>
      <c r="AF175" s="640">
        <v>0</v>
      </c>
      <c r="AG175" s="640">
        <v>0</v>
      </c>
      <c r="AH175" s="640">
        <v>47.148943407633553</v>
      </c>
      <c r="AI175" s="640">
        <v>5.8421151160056723</v>
      </c>
      <c r="AJ175" s="640">
        <v>0</v>
      </c>
      <c r="AK175" s="648">
        <v>55.279033254757444</v>
      </c>
    </row>
    <row r="176" spans="3:37" x14ac:dyDescent="0.2">
      <c r="C176" s="644" t="s">
        <v>77</v>
      </c>
      <c r="D176" s="645">
        <v>42.571910641025248</v>
      </c>
      <c r="E176" s="645">
        <v>504.19228646673599</v>
      </c>
      <c r="F176" s="645">
        <v>-468.11692594020946</v>
      </c>
      <c r="G176" s="645">
        <v>45.994115783016845</v>
      </c>
      <c r="H176" s="645">
        <v>959.09090909090924</v>
      </c>
      <c r="I176" s="645">
        <v>265.54666314840352</v>
      </c>
      <c r="J176" s="645">
        <v>78.402106423532217</v>
      </c>
      <c r="K176" s="645">
        <v>19.049948129928421</v>
      </c>
      <c r="L176" s="645">
        <v>-26.034244563334241</v>
      </c>
      <c r="M176" s="645">
        <v>-5.4765606138084015</v>
      </c>
      <c r="N176" s="645">
        <v>0</v>
      </c>
      <c r="O176" s="645">
        <v>9.0263438420589424</v>
      </c>
      <c r="P176" s="645">
        <v>-537.24345011511946</v>
      </c>
      <c r="Q176" s="645">
        <v>-35.164036653103786</v>
      </c>
      <c r="R176" s="645">
        <v>-4.094104603252811</v>
      </c>
      <c r="S176" s="645">
        <v>847.74496103678234</v>
      </c>
      <c r="U176" s="644" t="s">
        <v>77</v>
      </c>
      <c r="V176" s="645">
        <v>6.4552640631735336</v>
      </c>
      <c r="W176" s="645">
        <v>266.28302835422375</v>
      </c>
      <c r="X176" s="645">
        <v>-239.16543674248729</v>
      </c>
      <c r="Y176" s="645">
        <v>28.3606981090151</v>
      </c>
      <c r="Z176" s="645">
        <v>919.39393939393949</v>
      </c>
      <c r="AA176" s="645">
        <v>300.16666314840353</v>
      </c>
      <c r="AB176" s="645">
        <v>116.13241178058709</v>
      </c>
      <c r="AC176" s="645">
        <v>32.378551458673563</v>
      </c>
      <c r="AD176" s="645">
        <v>-119.10980564362306</v>
      </c>
      <c r="AE176" s="645">
        <v>-45.591342912780426</v>
      </c>
      <c r="AF176" s="645">
        <v>0</v>
      </c>
      <c r="AG176" s="645">
        <v>17.619168596552839</v>
      </c>
      <c r="AH176" s="645">
        <v>-512.24867749935788</v>
      </c>
      <c r="AI176" s="645">
        <v>-69.488948539693865</v>
      </c>
      <c r="AJ176" s="645">
        <v>-23.724121611740912</v>
      </c>
      <c r="AK176" s="645">
        <v>677.46139195488558</v>
      </c>
    </row>
    <row r="177" spans="3:37" x14ac:dyDescent="0.2">
      <c r="C177" s="634"/>
      <c r="D177" s="634">
        <v>0</v>
      </c>
      <c r="E177" s="634">
        <v>0</v>
      </c>
      <c r="F177" s="634">
        <v>0</v>
      </c>
      <c r="G177" s="634">
        <v>0</v>
      </c>
      <c r="H177" s="634">
        <v>0</v>
      </c>
      <c r="I177" s="634">
        <v>0</v>
      </c>
      <c r="J177" s="634">
        <v>0</v>
      </c>
      <c r="K177" s="634">
        <v>0</v>
      </c>
      <c r="L177" s="634">
        <v>0</v>
      </c>
      <c r="M177" s="634">
        <v>0</v>
      </c>
      <c r="N177" s="634">
        <v>0</v>
      </c>
      <c r="O177" s="634">
        <v>0</v>
      </c>
      <c r="P177" s="634">
        <v>0</v>
      </c>
      <c r="Q177" s="634">
        <v>0</v>
      </c>
      <c r="R177" s="634">
        <v>0</v>
      </c>
      <c r="S177" s="634">
        <v>0</v>
      </c>
      <c r="U177" s="634"/>
      <c r="V177" s="634">
        <v>0</v>
      </c>
      <c r="W177" s="634">
        <v>0</v>
      </c>
      <c r="X177" s="634">
        <v>0</v>
      </c>
      <c r="Y177" s="634">
        <v>0</v>
      </c>
      <c r="Z177" s="634">
        <v>0</v>
      </c>
      <c r="AA177" s="634">
        <v>0</v>
      </c>
      <c r="AB177" s="634">
        <v>0</v>
      </c>
      <c r="AC177" s="634">
        <v>0</v>
      </c>
      <c r="AD177" s="634">
        <v>0</v>
      </c>
      <c r="AE177" s="634">
        <v>0</v>
      </c>
      <c r="AF177" s="634">
        <v>0</v>
      </c>
      <c r="AG177" s="634">
        <v>0</v>
      </c>
      <c r="AH177" s="634">
        <v>0</v>
      </c>
      <c r="AI177" s="634">
        <v>0</v>
      </c>
      <c r="AJ177" s="634">
        <v>0</v>
      </c>
      <c r="AK177" s="634">
        <v>0</v>
      </c>
    </row>
    <row r="178" spans="3:37" x14ac:dyDescent="0.2">
      <c r="C178" s="646" t="s">
        <v>78</v>
      </c>
      <c r="D178" s="640">
        <v>5.4657298257742912</v>
      </c>
      <c r="E178" s="640">
        <v>0</v>
      </c>
      <c r="F178" s="640">
        <v>21.83935294215906</v>
      </c>
      <c r="G178" s="640">
        <v>97.960240418883188</v>
      </c>
      <c r="H178" s="640">
        <v>0</v>
      </c>
      <c r="I178" s="640">
        <v>0</v>
      </c>
      <c r="J178" s="640">
        <v>20.699069714826329</v>
      </c>
      <c r="K178" s="640">
        <v>1.7608774311708451</v>
      </c>
      <c r="L178" s="640">
        <v>0.9136629082031249</v>
      </c>
      <c r="M178" s="640">
        <v>2.0177626304462204</v>
      </c>
      <c r="N178" s="640">
        <v>0</v>
      </c>
      <c r="O178" s="640">
        <v>3.7866244598879411E-4</v>
      </c>
      <c r="P178" s="640">
        <v>111.48933548215857</v>
      </c>
      <c r="Q178" s="640">
        <v>16.083775404791947</v>
      </c>
      <c r="R178" s="640">
        <v>0.29766925048828125</v>
      </c>
      <c r="S178" s="648">
        <v>278.52785467134788</v>
      </c>
      <c r="U178" s="646" t="s">
        <v>78</v>
      </c>
      <c r="V178" s="640">
        <v>1.0762581410403587</v>
      </c>
      <c r="W178" s="640">
        <v>0</v>
      </c>
      <c r="X178" s="640">
        <v>8.4892491154216376</v>
      </c>
      <c r="Y178" s="640">
        <v>50.497915430959594</v>
      </c>
      <c r="Z178" s="640">
        <v>0</v>
      </c>
      <c r="AA178" s="640">
        <v>0</v>
      </c>
      <c r="AB178" s="640">
        <v>15.594949526554588</v>
      </c>
      <c r="AC178" s="640">
        <v>5.2865944994228578</v>
      </c>
      <c r="AD178" s="640">
        <v>4.3757583007812499</v>
      </c>
      <c r="AE178" s="640">
        <v>21.660537806594554</v>
      </c>
      <c r="AF178" s="640">
        <v>0</v>
      </c>
      <c r="AG178" s="640">
        <v>3.7866244598879411E-4</v>
      </c>
      <c r="AH178" s="640">
        <v>141.44668524271188</v>
      </c>
      <c r="AI178" s="640">
        <v>22.79177635880415</v>
      </c>
      <c r="AJ178" s="640">
        <v>6.850041015625</v>
      </c>
      <c r="AK178" s="648">
        <v>278.07014410036186</v>
      </c>
    </row>
    <row r="179" spans="3:37" x14ac:dyDescent="0.2">
      <c r="C179" s="646" t="s">
        <v>79</v>
      </c>
      <c r="D179" s="640">
        <v>0</v>
      </c>
      <c r="E179" s="640">
        <v>0</v>
      </c>
      <c r="F179" s="640">
        <v>249.23385066161848</v>
      </c>
      <c r="G179" s="640">
        <v>29.852237297635437</v>
      </c>
      <c r="H179" s="640">
        <v>0</v>
      </c>
      <c r="I179" s="640">
        <v>0</v>
      </c>
      <c r="J179" s="640">
        <v>0</v>
      </c>
      <c r="K179" s="640">
        <v>0</v>
      </c>
      <c r="L179" s="640">
        <v>24.125777410294155</v>
      </c>
      <c r="M179" s="640">
        <v>0.60922933260480494</v>
      </c>
      <c r="N179" s="640">
        <v>0</v>
      </c>
      <c r="O179" s="640">
        <v>0</v>
      </c>
      <c r="P179" s="640">
        <v>62.086065361885787</v>
      </c>
      <c r="Q179" s="640">
        <v>0</v>
      </c>
      <c r="R179" s="640">
        <v>1.9828379826970517</v>
      </c>
      <c r="S179" s="648">
        <v>367.88999804673568</v>
      </c>
      <c r="U179" s="646" t="s">
        <v>79</v>
      </c>
      <c r="V179" s="640">
        <v>0</v>
      </c>
      <c r="W179" s="640">
        <v>0</v>
      </c>
      <c r="X179" s="640">
        <v>59.317364570862594</v>
      </c>
      <c r="Y179" s="640">
        <v>17.942066440325025</v>
      </c>
      <c r="Z179" s="640">
        <v>0</v>
      </c>
      <c r="AA179" s="640">
        <v>0</v>
      </c>
      <c r="AB179" s="640">
        <v>0</v>
      </c>
      <c r="AC179" s="640">
        <v>0</v>
      </c>
      <c r="AD179" s="640">
        <v>51.332808735857633</v>
      </c>
      <c r="AE179" s="640">
        <v>7.6894570458535831</v>
      </c>
      <c r="AF179" s="640">
        <v>0</v>
      </c>
      <c r="AG179" s="640">
        <v>0</v>
      </c>
      <c r="AH179" s="640">
        <v>82.201296258535137</v>
      </c>
      <c r="AI179" s="640">
        <v>0</v>
      </c>
      <c r="AJ179" s="640">
        <v>4.6183032107255606</v>
      </c>
      <c r="AK179" s="648">
        <v>223.10129626215951</v>
      </c>
    </row>
    <row r="180" spans="3:37" x14ac:dyDescent="0.2">
      <c r="C180" s="646" t="s">
        <v>80</v>
      </c>
      <c r="D180" s="640">
        <v>0</v>
      </c>
      <c r="E180" s="640">
        <v>0</v>
      </c>
      <c r="F180" s="640">
        <v>17.698191750553285</v>
      </c>
      <c r="G180" s="640">
        <v>82.8316536533641</v>
      </c>
      <c r="H180" s="640">
        <v>0</v>
      </c>
      <c r="I180" s="640">
        <v>0</v>
      </c>
      <c r="J180" s="640">
        <v>87.012401530952616</v>
      </c>
      <c r="K180" s="640">
        <v>0</v>
      </c>
      <c r="L180" s="640">
        <v>0</v>
      </c>
      <c r="M180" s="640">
        <v>1.690441911293145</v>
      </c>
      <c r="N180" s="640">
        <v>54.219025663639314</v>
      </c>
      <c r="O180" s="640">
        <v>2.0231633432731213</v>
      </c>
      <c r="P180" s="640">
        <v>187.24843332836184</v>
      </c>
      <c r="Q180" s="640">
        <v>15.504434202631401</v>
      </c>
      <c r="R180" s="640">
        <v>0</v>
      </c>
      <c r="S180" s="648">
        <v>448.22774538406884</v>
      </c>
      <c r="U180" s="646" t="s">
        <v>80</v>
      </c>
      <c r="V180" s="640">
        <v>0</v>
      </c>
      <c r="W180" s="640">
        <v>0</v>
      </c>
      <c r="X180" s="640">
        <v>1.0833932718176746</v>
      </c>
      <c r="Y180" s="640">
        <v>18.084176496701136</v>
      </c>
      <c r="Z180" s="640">
        <v>0</v>
      </c>
      <c r="AA180" s="640">
        <v>0</v>
      </c>
      <c r="AB180" s="640">
        <v>57.868484646152382</v>
      </c>
      <c r="AC180" s="640">
        <v>0</v>
      </c>
      <c r="AD180" s="640">
        <v>0</v>
      </c>
      <c r="AE180" s="640">
        <v>7.7503613557290594</v>
      </c>
      <c r="AF180" s="640">
        <v>78.313096165620991</v>
      </c>
      <c r="AG180" s="640">
        <v>3.4573890525731583</v>
      </c>
      <c r="AH180" s="640">
        <v>150.63566760387405</v>
      </c>
      <c r="AI180" s="640">
        <v>34.942034151478268</v>
      </c>
      <c r="AJ180" s="640">
        <v>0</v>
      </c>
      <c r="AK180" s="648">
        <v>352.13460274394669</v>
      </c>
    </row>
    <row r="181" spans="3:37" x14ac:dyDescent="0.2">
      <c r="C181" s="646" t="s">
        <v>81</v>
      </c>
      <c r="D181" s="640">
        <v>0</v>
      </c>
      <c r="E181" s="640">
        <v>0</v>
      </c>
      <c r="F181" s="640">
        <v>5.759525486283259</v>
      </c>
      <c r="G181" s="640">
        <v>63.242535904869413</v>
      </c>
      <c r="H181" s="640">
        <v>0</v>
      </c>
      <c r="I181" s="640">
        <v>0</v>
      </c>
      <c r="J181" s="640">
        <v>3.243340348024236</v>
      </c>
      <c r="K181" s="640">
        <v>2.5138060257677737E-2</v>
      </c>
      <c r="L181" s="640">
        <v>0</v>
      </c>
      <c r="M181" s="640">
        <v>1.2906639980585595</v>
      </c>
      <c r="N181" s="640">
        <v>8.6788063603893928</v>
      </c>
      <c r="O181" s="640">
        <v>0.74318365128395913</v>
      </c>
      <c r="P181" s="640">
        <v>138.68432478978596</v>
      </c>
      <c r="Q181" s="640">
        <v>3.5758270456804375</v>
      </c>
      <c r="R181" s="640">
        <v>0</v>
      </c>
      <c r="S181" s="648">
        <v>225.24334564463288</v>
      </c>
      <c r="U181" s="646" t="s">
        <v>81</v>
      </c>
      <c r="V181" s="640">
        <v>0</v>
      </c>
      <c r="W181" s="640">
        <v>0</v>
      </c>
      <c r="X181" s="640">
        <v>1.8996820773870462</v>
      </c>
      <c r="Y181" s="640">
        <v>16.701006494583829</v>
      </c>
      <c r="Z181" s="640">
        <v>0</v>
      </c>
      <c r="AA181" s="640">
        <v>0</v>
      </c>
      <c r="AB181" s="640">
        <v>7.1959049572050198</v>
      </c>
      <c r="AC181" s="640">
        <v>2.5138060257677737E-2</v>
      </c>
      <c r="AD181" s="640">
        <v>0</v>
      </c>
      <c r="AE181" s="640">
        <v>7.1575742119644987</v>
      </c>
      <c r="AF181" s="640">
        <v>14.587904232604497</v>
      </c>
      <c r="AG181" s="640">
        <v>1.6018484399661996</v>
      </c>
      <c r="AH181" s="640">
        <v>116.46951239557291</v>
      </c>
      <c r="AI181" s="640">
        <v>11.755138029411436</v>
      </c>
      <c r="AJ181" s="640">
        <v>0</v>
      </c>
      <c r="AK181" s="648">
        <v>177.39370889895312</v>
      </c>
    </row>
    <row r="182" spans="3:37" x14ac:dyDescent="0.2">
      <c r="C182" s="646" t="s">
        <v>82</v>
      </c>
      <c r="D182" s="640">
        <v>0</v>
      </c>
      <c r="E182" s="640">
        <v>0</v>
      </c>
      <c r="F182" s="640">
        <v>29.471786733039881</v>
      </c>
      <c r="G182" s="640">
        <v>1.3166139535686423</v>
      </c>
      <c r="H182" s="640">
        <v>0</v>
      </c>
      <c r="I182" s="640">
        <v>0</v>
      </c>
      <c r="J182" s="640">
        <v>3.6844952632387193</v>
      </c>
      <c r="K182" s="640">
        <v>0</v>
      </c>
      <c r="L182" s="640">
        <v>3.0029030850571363</v>
      </c>
      <c r="M182" s="640">
        <v>2.6869672521809031E-2</v>
      </c>
      <c r="N182" s="640">
        <v>0</v>
      </c>
      <c r="O182" s="640">
        <v>7.2392521047915395E-2</v>
      </c>
      <c r="P182" s="640">
        <v>6.3643203530837074</v>
      </c>
      <c r="Q182" s="640">
        <v>0</v>
      </c>
      <c r="R182" s="640">
        <v>0</v>
      </c>
      <c r="S182" s="648">
        <v>43.939381581557811</v>
      </c>
      <c r="U182" s="646" t="s">
        <v>82</v>
      </c>
      <c r="V182" s="640">
        <v>0</v>
      </c>
      <c r="W182" s="640">
        <v>0</v>
      </c>
      <c r="X182" s="640">
        <v>10.199143313422546</v>
      </c>
      <c r="Y182" s="640">
        <v>1.1904851448286324</v>
      </c>
      <c r="Z182" s="640">
        <v>0</v>
      </c>
      <c r="AA182" s="640">
        <v>0</v>
      </c>
      <c r="AB182" s="640">
        <v>3.6844952632387193</v>
      </c>
      <c r="AC182" s="640">
        <v>0</v>
      </c>
      <c r="AD182" s="640">
        <v>26.674568203776872</v>
      </c>
      <c r="AE182" s="640">
        <v>0.51020791921227104</v>
      </c>
      <c r="AF182" s="640">
        <v>0</v>
      </c>
      <c r="AG182" s="640">
        <v>1.300620381405156</v>
      </c>
      <c r="AH182" s="640">
        <v>6.4632626546266092</v>
      </c>
      <c r="AI182" s="640">
        <v>0</v>
      </c>
      <c r="AJ182" s="640">
        <v>0.325155095351289</v>
      </c>
      <c r="AK182" s="648">
        <v>50.347937975862088</v>
      </c>
    </row>
    <row r="183" spans="3:37" x14ac:dyDescent="0.2">
      <c r="C183" s="646" t="s">
        <v>354</v>
      </c>
      <c r="D183" s="640">
        <v>0</v>
      </c>
      <c r="E183" s="640">
        <v>0</v>
      </c>
      <c r="F183" s="640">
        <v>0</v>
      </c>
      <c r="G183" s="640">
        <v>0</v>
      </c>
      <c r="H183" s="640">
        <v>0</v>
      </c>
      <c r="I183" s="640">
        <v>0</v>
      </c>
      <c r="J183" s="640">
        <v>0</v>
      </c>
      <c r="K183" s="640">
        <v>0</v>
      </c>
      <c r="L183" s="640">
        <v>0</v>
      </c>
      <c r="M183" s="640">
        <v>0</v>
      </c>
      <c r="N183" s="640">
        <v>0</v>
      </c>
      <c r="O183" s="640">
        <v>0</v>
      </c>
      <c r="P183" s="640">
        <v>0.31499999999999995</v>
      </c>
      <c r="Q183" s="640">
        <v>0</v>
      </c>
      <c r="R183" s="640">
        <v>0</v>
      </c>
      <c r="S183" s="648">
        <v>0.31499999999999995</v>
      </c>
      <c r="U183" s="646" t="s">
        <v>354</v>
      </c>
      <c r="V183" s="640">
        <v>0</v>
      </c>
      <c r="W183" s="640">
        <v>0</v>
      </c>
      <c r="X183" s="640">
        <v>0</v>
      </c>
      <c r="Y183" s="640">
        <v>0</v>
      </c>
      <c r="Z183" s="640">
        <v>0</v>
      </c>
      <c r="AA183" s="640">
        <v>0</v>
      </c>
      <c r="AB183" s="640">
        <v>0</v>
      </c>
      <c r="AC183" s="640">
        <v>0</v>
      </c>
      <c r="AD183" s="640">
        <v>0</v>
      </c>
      <c r="AE183" s="640">
        <v>0</v>
      </c>
      <c r="AF183" s="640">
        <v>0</v>
      </c>
      <c r="AG183" s="640">
        <v>0</v>
      </c>
      <c r="AH183" s="640">
        <v>2.4</v>
      </c>
      <c r="AI183" s="640">
        <v>0</v>
      </c>
      <c r="AJ183" s="640">
        <v>0</v>
      </c>
      <c r="AK183" s="648">
        <v>2.4</v>
      </c>
    </row>
    <row r="184" spans="3:37" x14ac:dyDescent="0.2">
      <c r="C184" s="644" t="s">
        <v>83</v>
      </c>
      <c r="D184" s="645">
        <v>5.4657298257742912</v>
      </c>
      <c r="E184" s="645">
        <v>0</v>
      </c>
      <c r="F184" s="645">
        <v>324.00270757365394</v>
      </c>
      <c r="G184" s="645">
        <v>275.2032812283208</v>
      </c>
      <c r="H184" s="645">
        <v>0</v>
      </c>
      <c r="I184" s="645">
        <v>0</v>
      </c>
      <c r="J184" s="645">
        <v>114.6393068570419</v>
      </c>
      <c r="K184" s="645">
        <v>1.7860154914285227</v>
      </c>
      <c r="L184" s="645">
        <v>28.042343403554419</v>
      </c>
      <c r="M184" s="645">
        <v>5.6349675449245389</v>
      </c>
      <c r="N184" s="645">
        <v>62.897832024028709</v>
      </c>
      <c r="O184" s="645">
        <v>2.8391181780509842</v>
      </c>
      <c r="P184" s="645">
        <v>506.18747931527582</v>
      </c>
      <c r="Q184" s="645">
        <v>35.164036653103793</v>
      </c>
      <c r="R184" s="645">
        <v>2.2805072331853329</v>
      </c>
      <c r="S184" s="645">
        <v>1364.1433253283431</v>
      </c>
      <c r="U184" s="644" t="s">
        <v>83</v>
      </c>
      <c r="V184" s="645">
        <v>1.0762581410403587</v>
      </c>
      <c r="W184" s="645">
        <v>0</v>
      </c>
      <c r="X184" s="645">
        <v>80.988832348911515</v>
      </c>
      <c r="Y184" s="645">
        <v>104.41565000739821</v>
      </c>
      <c r="Z184" s="645">
        <v>0</v>
      </c>
      <c r="AA184" s="645">
        <v>0</v>
      </c>
      <c r="AB184" s="645">
        <v>84.343834393150701</v>
      </c>
      <c r="AC184" s="645">
        <v>5.3117325596805349</v>
      </c>
      <c r="AD184" s="645">
        <v>82.383135240415754</v>
      </c>
      <c r="AE184" s="645">
        <v>44.768138339353968</v>
      </c>
      <c r="AF184" s="645">
        <v>92.901000398225491</v>
      </c>
      <c r="AG184" s="645">
        <v>6.3602365363905022</v>
      </c>
      <c r="AH184" s="645">
        <v>499.61642415532054</v>
      </c>
      <c r="AI184" s="645">
        <v>69.488948539693865</v>
      </c>
      <c r="AJ184" s="645">
        <v>11.793499321701848</v>
      </c>
      <c r="AK184" s="645">
        <v>1083.4476899812832</v>
      </c>
    </row>
    <row r="185" spans="3:37" x14ac:dyDescent="0.2">
      <c r="C185" s="639" t="s">
        <v>84</v>
      </c>
      <c r="D185" s="640">
        <v>0</v>
      </c>
      <c r="E185" s="640">
        <v>0</v>
      </c>
      <c r="F185" s="640">
        <v>109.69308299672531</v>
      </c>
      <c r="G185" s="640">
        <v>11.766175832538266</v>
      </c>
      <c r="H185" s="640">
        <v>0</v>
      </c>
      <c r="I185" s="640">
        <v>0</v>
      </c>
      <c r="J185" s="640">
        <v>0</v>
      </c>
      <c r="K185" s="640">
        <v>0</v>
      </c>
      <c r="L185" s="640">
        <v>0</v>
      </c>
      <c r="M185" s="640">
        <v>0</v>
      </c>
      <c r="N185" s="640">
        <v>0</v>
      </c>
      <c r="O185" s="640">
        <v>0</v>
      </c>
      <c r="P185" s="640">
        <v>0</v>
      </c>
      <c r="Q185" s="640">
        <v>0</v>
      </c>
      <c r="R185" s="640">
        <v>1.8135973700674786</v>
      </c>
      <c r="S185" s="648">
        <v>123.27285619933106</v>
      </c>
      <c r="U185" s="639" t="s">
        <v>84</v>
      </c>
      <c r="V185" s="640">
        <v>0</v>
      </c>
      <c r="W185" s="640">
        <v>0</v>
      </c>
      <c r="X185" s="640">
        <v>84.298528713313246</v>
      </c>
      <c r="Y185" s="640">
        <v>1.1302347010557652</v>
      </c>
      <c r="Z185" s="640">
        <v>0</v>
      </c>
      <c r="AA185" s="640">
        <v>0</v>
      </c>
      <c r="AB185" s="640">
        <v>0</v>
      </c>
      <c r="AC185" s="640">
        <v>0</v>
      </c>
      <c r="AD185" s="640">
        <v>17.754065118408207</v>
      </c>
      <c r="AE185" s="640">
        <v>0</v>
      </c>
      <c r="AF185" s="640">
        <v>0</v>
      </c>
      <c r="AG185" s="640">
        <v>0</v>
      </c>
      <c r="AH185" s="640">
        <v>0</v>
      </c>
      <c r="AI185" s="640">
        <v>0</v>
      </c>
      <c r="AJ185" s="640">
        <v>11.930622290039064</v>
      </c>
      <c r="AK185" s="648">
        <v>115.11345082281629</v>
      </c>
    </row>
    <row r="186" spans="3:37" x14ac:dyDescent="0.2">
      <c r="C186" s="644" t="s">
        <v>85</v>
      </c>
      <c r="D186" s="645">
        <v>5.4657298257742912</v>
      </c>
      <c r="E186" s="645">
        <v>0</v>
      </c>
      <c r="F186" s="645">
        <v>433.69579057037924</v>
      </c>
      <c r="G186" s="645">
        <v>286.9694570608591</v>
      </c>
      <c r="H186" s="645">
        <v>0</v>
      </c>
      <c r="I186" s="645">
        <v>0</v>
      </c>
      <c r="J186" s="645">
        <v>114.6393068570419</v>
      </c>
      <c r="K186" s="645">
        <v>1.7860154914285227</v>
      </c>
      <c r="L186" s="645">
        <v>28.042343403554419</v>
      </c>
      <c r="M186" s="645">
        <v>5.6349675449245389</v>
      </c>
      <c r="N186" s="645">
        <v>62.897832024028709</v>
      </c>
      <c r="O186" s="645">
        <v>2.8391181780509842</v>
      </c>
      <c r="P186" s="645">
        <v>506.18747931527582</v>
      </c>
      <c r="Q186" s="645">
        <v>35.164036653103793</v>
      </c>
      <c r="R186" s="645">
        <v>4.094104603252811</v>
      </c>
      <c r="S186" s="645">
        <v>1487.4161815276743</v>
      </c>
      <c r="U186" s="644" t="s">
        <v>85</v>
      </c>
      <c r="V186" s="645">
        <v>1.0762581410403587</v>
      </c>
      <c r="W186" s="645">
        <v>0</v>
      </c>
      <c r="X186" s="645">
        <v>165.28736106222476</v>
      </c>
      <c r="Y186" s="645">
        <v>105.54588470845398</v>
      </c>
      <c r="Z186" s="645">
        <v>0</v>
      </c>
      <c r="AA186" s="645">
        <v>0</v>
      </c>
      <c r="AB186" s="645">
        <v>84.343834393150701</v>
      </c>
      <c r="AC186" s="645">
        <v>5.3117325596805349</v>
      </c>
      <c r="AD186" s="645">
        <v>100.13720035882396</v>
      </c>
      <c r="AE186" s="645">
        <v>44.768138339353968</v>
      </c>
      <c r="AF186" s="645">
        <v>92.901000398225491</v>
      </c>
      <c r="AG186" s="645">
        <v>6.3602365363905022</v>
      </c>
      <c r="AH186" s="645">
        <v>499.61642415532054</v>
      </c>
      <c r="AI186" s="645">
        <v>69.488948539693865</v>
      </c>
      <c r="AJ186" s="645">
        <v>23.724121611740912</v>
      </c>
      <c r="AK186" s="645">
        <v>1198.5611408040995</v>
      </c>
    </row>
    <row r="187" spans="3:37" x14ac:dyDescent="0.2">
      <c r="C187" s="634"/>
      <c r="D187" s="634"/>
      <c r="E187" s="634"/>
      <c r="F187" s="634"/>
      <c r="G187" s="634"/>
      <c r="H187" s="634"/>
      <c r="I187" s="634"/>
      <c r="J187" s="634"/>
      <c r="K187" s="634"/>
      <c r="L187" s="634"/>
      <c r="M187" s="634"/>
      <c r="N187" s="634"/>
      <c r="O187" s="634"/>
      <c r="P187" s="634"/>
      <c r="Q187" s="634"/>
      <c r="R187" s="634"/>
      <c r="S187" s="634"/>
      <c r="U187" s="634"/>
      <c r="V187" s="634"/>
      <c r="W187" s="634"/>
      <c r="X187" s="634"/>
      <c r="Y187" s="634"/>
      <c r="Z187" s="634"/>
      <c r="AA187" s="634"/>
      <c r="AB187" s="634"/>
      <c r="AC187" s="634"/>
      <c r="AD187" s="634"/>
      <c r="AE187" s="634"/>
      <c r="AF187" s="634"/>
      <c r="AG187" s="634"/>
      <c r="AH187" s="634"/>
      <c r="AI187" s="634"/>
      <c r="AJ187" s="634"/>
      <c r="AK187" s="634"/>
    </row>
    <row r="188" spans="3:37" ht="22.5" x14ac:dyDescent="0.3">
      <c r="C188" s="759" t="s">
        <v>518</v>
      </c>
      <c r="D188" s="759"/>
      <c r="E188" s="759"/>
      <c r="F188" s="759"/>
      <c r="G188" s="759"/>
      <c r="H188" s="759"/>
      <c r="I188" s="759"/>
      <c r="J188" s="759"/>
      <c r="K188" s="759"/>
      <c r="L188" s="759"/>
      <c r="M188" s="759"/>
      <c r="N188" s="759"/>
      <c r="O188" s="759"/>
      <c r="P188" s="759"/>
      <c r="Q188" s="759"/>
      <c r="R188" s="759"/>
      <c r="S188" s="759"/>
      <c r="U188" s="759" t="s">
        <v>518</v>
      </c>
      <c r="V188" s="759"/>
      <c r="W188" s="759"/>
      <c r="X188" s="759"/>
      <c r="Y188" s="759"/>
      <c r="Z188" s="759"/>
      <c r="AA188" s="759"/>
      <c r="AB188" s="759"/>
      <c r="AC188" s="759"/>
      <c r="AD188" s="759"/>
      <c r="AE188" s="759"/>
      <c r="AF188" s="759"/>
      <c r="AG188" s="759"/>
      <c r="AH188" s="759"/>
      <c r="AI188" s="759"/>
      <c r="AJ188" s="759"/>
      <c r="AK188" s="759"/>
    </row>
    <row r="189" spans="3:37" x14ac:dyDescent="0.2">
      <c r="C189" s="634"/>
      <c r="D189" s="634"/>
      <c r="E189" s="634"/>
      <c r="F189" s="634"/>
      <c r="G189" s="634"/>
      <c r="H189" s="634"/>
      <c r="I189" s="634"/>
      <c r="J189" s="634"/>
      <c r="K189" s="634"/>
      <c r="L189" s="634"/>
      <c r="M189" s="634"/>
      <c r="N189" s="634"/>
      <c r="O189" s="634"/>
      <c r="P189" s="634"/>
      <c r="Q189" s="634"/>
      <c r="R189" s="634"/>
      <c r="S189" s="634"/>
      <c r="U189" s="634"/>
      <c r="V189" s="634"/>
      <c r="W189" s="634"/>
      <c r="X189" s="634"/>
      <c r="Y189" s="634"/>
      <c r="Z189" s="634"/>
      <c r="AA189" s="634"/>
      <c r="AB189" s="634"/>
      <c r="AC189" s="634"/>
      <c r="AD189" s="634"/>
      <c r="AE189" s="634"/>
      <c r="AF189" s="634"/>
      <c r="AG189" s="634"/>
      <c r="AH189" s="634"/>
      <c r="AI189" s="634"/>
      <c r="AJ189" s="634"/>
      <c r="AK189" s="634"/>
    </row>
    <row r="190" spans="3:37" ht="12.95" customHeight="1" x14ac:dyDescent="0.2">
      <c r="C190" s="758" t="s">
        <v>128</v>
      </c>
      <c r="D190" s="757" t="s">
        <v>42</v>
      </c>
      <c r="E190" s="757" t="s">
        <v>52</v>
      </c>
      <c r="F190" s="757" t="s">
        <v>53</v>
      </c>
      <c r="G190" s="757" t="s">
        <v>32</v>
      </c>
      <c r="H190" s="757" t="s">
        <v>20</v>
      </c>
      <c r="I190" s="757" t="s">
        <v>55</v>
      </c>
      <c r="J190" s="757" t="s">
        <v>56</v>
      </c>
      <c r="K190" s="757"/>
      <c r="L190" s="757"/>
      <c r="M190" s="757"/>
      <c r="N190" s="757"/>
      <c r="O190" s="757"/>
      <c r="P190" s="757" t="s">
        <v>57</v>
      </c>
      <c r="Q190" s="757" t="s">
        <v>58</v>
      </c>
      <c r="R190" s="757" t="s">
        <v>31</v>
      </c>
      <c r="S190" s="757" t="s">
        <v>10</v>
      </c>
      <c r="U190" s="758" t="s">
        <v>128</v>
      </c>
      <c r="V190" s="757" t="s">
        <v>42</v>
      </c>
      <c r="W190" s="757" t="s">
        <v>52</v>
      </c>
      <c r="X190" s="757" t="s">
        <v>53</v>
      </c>
      <c r="Y190" s="757" t="s">
        <v>32</v>
      </c>
      <c r="Z190" s="757" t="s">
        <v>20</v>
      </c>
      <c r="AA190" s="757" t="s">
        <v>55</v>
      </c>
      <c r="AB190" s="757" t="s">
        <v>56</v>
      </c>
      <c r="AC190" s="757"/>
      <c r="AD190" s="757"/>
      <c r="AE190" s="757"/>
      <c r="AF190" s="757"/>
      <c r="AG190" s="757"/>
      <c r="AH190" s="757" t="s">
        <v>57</v>
      </c>
      <c r="AI190" s="757" t="s">
        <v>58</v>
      </c>
      <c r="AJ190" s="757" t="s">
        <v>31</v>
      </c>
      <c r="AK190" s="757" t="s">
        <v>10</v>
      </c>
    </row>
    <row r="191" spans="3:37" ht="56.25" x14ac:dyDescent="0.2">
      <c r="C191" s="758"/>
      <c r="D191" s="757"/>
      <c r="E191" s="757"/>
      <c r="F191" s="757"/>
      <c r="G191" s="757"/>
      <c r="H191" s="757"/>
      <c r="I191" s="757"/>
      <c r="J191" s="638" t="s">
        <v>335</v>
      </c>
      <c r="K191" s="638" t="s">
        <v>40</v>
      </c>
      <c r="L191" s="638" t="s">
        <v>343</v>
      </c>
      <c r="M191" s="638" t="s">
        <v>344</v>
      </c>
      <c r="N191" s="638" t="s">
        <v>345</v>
      </c>
      <c r="O191" s="638" t="s">
        <v>346</v>
      </c>
      <c r="P191" s="757"/>
      <c r="Q191" s="757"/>
      <c r="R191" s="757"/>
      <c r="S191" s="757"/>
      <c r="U191" s="758"/>
      <c r="V191" s="757"/>
      <c r="W191" s="757"/>
      <c r="X191" s="757"/>
      <c r="Y191" s="757"/>
      <c r="Z191" s="757"/>
      <c r="AA191" s="757"/>
      <c r="AB191" s="638" t="s">
        <v>335</v>
      </c>
      <c r="AC191" s="638" t="s">
        <v>40</v>
      </c>
      <c r="AD191" s="638" t="s">
        <v>343</v>
      </c>
      <c r="AE191" s="638" t="s">
        <v>344</v>
      </c>
      <c r="AF191" s="638" t="s">
        <v>345</v>
      </c>
      <c r="AG191" s="638" t="s">
        <v>346</v>
      </c>
      <c r="AH191" s="757"/>
      <c r="AI191" s="757"/>
      <c r="AJ191" s="757"/>
      <c r="AK191" s="757"/>
    </row>
    <row r="192" spans="3:37" x14ac:dyDescent="0.2">
      <c r="C192" s="639" t="s">
        <v>59</v>
      </c>
      <c r="D192" s="640">
        <v>0</v>
      </c>
      <c r="E192" s="641">
        <v>0</v>
      </c>
      <c r="F192" s="641">
        <v>0</v>
      </c>
      <c r="G192" s="640">
        <v>0</v>
      </c>
      <c r="H192" s="641">
        <v>889.54545454545473</v>
      </c>
      <c r="I192" s="641">
        <v>290.38619522472999</v>
      </c>
      <c r="J192" s="641">
        <v>188.26463769943669</v>
      </c>
      <c r="K192" s="641">
        <v>20.519346122490408</v>
      </c>
      <c r="L192" s="641">
        <v>0.54648995449606019</v>
      </c>
      <c r="M192" s="641">
        <v>0.15914693380563083</v>
      </c>
      <c r="N192" s="641">
        <v>65.898689554178929</v>
      </c>
      <c r="O192" s="641">
        <v>11.930124482632028</v>
      </c>
      <c r="P192" s="642">
        <v>0</v>
      </c>
      <c r="Q192" s="641">
        <v>0</v>
      </c>
      <c r="R192" s="641">
        <v>0</v>
      </c>
      <c r="S192" s="643">
        <v>1467.2500845172242</v>
      </c>
      <c r="U192" s="639" t="s">
        <v>59</v>
      </c>
      <c r="V192" s="640">
        <v>0</v>
      </c>
      <c r="W192" s="641">
        <v>0</v>
      </c>
      <c r="X192" s="641">
        <v>0</v>
      </c>
      <c r="Y192" s="640">
        <v>0</v>
      </c>
      <c r="Z192" s="641">
        <v>873.030303030303</v>
      </c>
      <c r="AA192" s="641">
        <v>337.06619522473</v>
      </c>
      <c r="AB192" s="641">
        <v>206.15489309499102</v>
      </c>
      <c r="AC192" s="641">
        <v>37.137182251794961</v>
      </c>
      <c r="AD192" s="641">
        <v>0.54648995449606019</v>
      </c>
      <c r="AE192" s="641">
        <v>0.15914693380563083</v>
      </c>
      <c r="AF192" s="641">
        <v>103.02458403584798</v>
      </c>
      <c r="AG192" s="641">
        <v>25.833176078824131</v>
      </c>
      <c r="AH192" s="642">
        <v>0</v>
      </c>
      <c r="AI192" s="641">
        <v>0</v>
      </c>
      <c r="AJ192" s="641">
        <v>0</v>
      </c>
      <c r="AK192" s="643">
        <v>1582.9519706047927</v>
      </c>
    </row>
    <row r="193" spans="3:37" x14ac:dyDescent="0.2">
      <c r="C193" s="639" t="s">
        <v>60</v>
      </c>
      <c r="D193" s="640">
        <v>47.523331421865407</v>
      </c>
      <c r="E193" s="641">
        <v>492.37419513671523</v>
      </c>
      <c r="F193" s="641">
        <v>57.352326080251387</v>
      </c>
      <c r="G193" s="640">
        <v>328.8885225556333</v>
      </c>
      <c r="H193" s="641">
        <v>0</v>
      </c>
      <c r="I193" s="641">
        <v>0</v>
      </c>
      <c r="J193" s="641">
        <v>4.8075322078390377</v>
      </c>
      <c r="K193" s="641">
        <v>0</v>
      </c>
      <c r="L193" s="641">
        <v>2.6229179175778925</v>
      </c>
      <c r="M193" s="641">
        <v>0</v>
      </c>
      <c r="N193" s="641">
        <v>0</v>
      </c>
      <c r="O193" s="641">
        <v>0</v>
      </c>
      <c r="P193" s="642">
        <v>0</v>
      </c>
      <c r="Q193" s="641">
        <v>0</v>
      </c>
      <c r="R193" s="641">
        <v>0</v>
      </c>
      <c r="S193" s="643">
        <v>933.56882531988219</v>
      </c>
      <c r="U193" s="639" t="s">
        <v>60</v>
      </c>
      <c r="V193" s="640">
        <v>6.5260336126681251</v>
      </c>
      <c r="W193" s="641">
        <v>220.47790015098695</v>
      </c>
      <c r="X193" s="641">
        <v>14.513856185365357</v>
      </c>
      <c r="Y193" s="640">
        <v>102.1346675179243</v>
      </c>
      <c r="Z193" s="641">
        <v>0</v>
      </c>
      <c r="AA193" s="641">
        <v>0</v>
      </c>
      <c r="AB193" s="641">
        <v>4.8075322078390377</v>
      </c>
      <c r="AC193" s="641">
        <v>0</v>
      </c>
      <c r="AD193" s="641">
        <v>2.6229179175778925</v>
      </c>
      <c r="AE193" s="641">
        <v>0</v>
      </c>
      <c r="AF193" s="641">
        <v>0</v>
      </c>
      <c r="AG193" s="641">
        <v>0</v>
      </c>
      <c r="AH193" s="642">
        <v>0</v>
      </c>
      <c r="AI193" s="641">
        <v>0</v>
      </c>
      <c r="AJ193" s="641">
        <v>0</v>
      </c>
      <c r="AK193" s="643">
        <v>351.08290759236166</v>
      </c>
    </row>
    <row r="194" spans="3:37" x14ac:dyDescent="0.2">
      <c r="C194" s="639" t="s">
        <v>61</v>
      </c>
      <c r="D194" s="640">
        <v>0</v>
      </c>
      <c r="E194" s="641">
        <v>0</v>
      </c>
      <c r="F194" s="641">
        <v>0</v>
      </c>
      <c r="G194" s="640">
        <v>0</v>
      </c>
      <c r="H194" s="641">
        <v>0</v>
      </c>
      <c r="I194" s="641">
        <v>0</v>
      </c>
      <c r="J194" s="641">
        <v>0</v>
      </c>
      <c r="K194" s="641">
        <v>0</v>
      </c>
      <c r="L194" s="641">
        <v>0</v>
      </c>
      <c r="M194" s="641">
        <v>0</v>
      </c>
      <c r="N194" s="641">
        <v>0</v>
      </c>
      <c r="O194" s="641">
        <v>0</v>
      </c>
      <c r="P194" s="642">
        <v>-22.391147784534837</v>
      </c>
      <c r="Q194" s="641">
        <v>0</v>
      </c>
      <c r="R194" s="641">
        <v>0</v>
      </c>
      <c r="S194" s="643">
        <v>-22.391147784534837</v>
      </c>
      <c r="U194" s="639" t="s">
        <v>61</v>
      </c>
      <c r="V194" s="640">
        <v>0</v>
      </c>
      <c r="W194" s="641">
        <v>0</v>
      </c>
      <c r="X194" s="641">
        <v>-19.691193817618341</v>
      </c>
      <c r="Y194" s="640">
        <v>0</v>
      </c>
      <c r="Z194" s="641">
        <v>0</v>
      </c>
      <c r="AA194" s="641">
        <v>0</v>
      </c>
      <c r="AB194" s="641">
        <v>0</v>
      </c>
      <c r="AC194" s="641">
        <v>0</v>
      </c>
      <c r="AD194" s="641">
        <v>0</v>
      </c>
      <c r="AE194" s="641">
        <v>0</v>
      </c>
      <c r="AF194" s="641">
        <v>0</v>
      </c>
      <c r="AG194" s="641">
        <v>0</v>
      </c>
      <c r="AH194" s="642">
        <v>-17.389600315785174</v>
      </c>
      <c r="AI194" s="641">
        <v>0</v>
      </c>
      <c r="AJ194" s="641">
        <v>0</v>
      </c>
      <c r="AK194" s="643">
        <v>-37.080794133403515</v>
      </c>
    </row>
    <row r="195" spans="3:37" x14ac:dyDescent="0.2">
      <c r="C195" s="639" t="s">
        <v>62</v>
      </c>
      <c r="D195" s="640">
        <v>0</v>
      </c>
      <c r="E195" s="641">
        <v>0</v>
      </c>
      <c r="F195" s="641">
        <v>-15.496739011683466</v>
      </c>
      <c r="G195" s="640">
        <v>0</v>
      </c>
      <c r="H195" s="641">
        <v>0</v>
      </c>
      <c r="I195" s="641">
        <v>0</v>
      </c>
      <c r="J195" s="641">
        <v>0</v>
      </c>
      <c r="K195" s="641">
        <v>0</v>
      </c>
      <c r="L195" s="641">
        <v>0</v>
      </c>
      <c r="M195" s="641">
        <v>0</v>
      </c>
      <c r="N195" s="641">
        <v>0</v>
      </c>
      <c r="O195" s="641">
        <v>0</v>
      </c>
      <c r="P195" s="642">
        <v>0</v>
      </c>
      <c r="Q195" s="641">
        <v>0</v>
      </c>
      <c r="R195" s="641">
        <v>0</v>
      </c>
      <c r="S195" s="643">
        <v>-15.496739011683466</v>
      </c>
      <c r="U195" s="639" t="s">
        <v>62</v>
      </c>
      <c r="V195" s="640">
        <v>0</v>
      </c>
      <c r="W195" s="641">
        <v>0</v>
      </c>
      <c r="X195" s="641">
        <v>-8.5387827474702789</v>
      </c>
      <c r="Y195" s="640">
        <v>-2.2272473327152178</v>
      </c>
      <c r="Z195" s="641">
        <v>0</v>
      </c>
      <c r="AA195" s="641">
        <v>0</v>
      </c>
      <c r="AB195" s="641">
        <v>0</v>
      </c>
      <c r="AC195" s="641">
        <v>0</v>
      </c>
      <c r="AD195" s="641">
        <v>0</v>
      </c>
      <c r="AE195" s="641">
        <v>-1.7037211969591732</v>
      </c>
      <c r="AF195" s="641">
        <v>0</v>
      </c>
      <c r="AG195" s="641">
        <v>0</v>
      </c>
      <c r="AH195" s="642">
        <v>0</v>
      </c>
      <c r="AI195" s="641">
        <v>0</v>
      </c>
      <c r="AJ195" s="641">
        <v>0</v>
      </c>
      <c r="AK195" s="643">
        <v>-12.46975127714467</v>
      </c>
    </row>
    <row r="196" spans="3:37" x14ac:dyDescent="0.2">
      <c r="C196" s="639" t="s">
        <v>63</v>
      </c>
      <c r="D196" s="640">
        <v>0</v>
      </c>
      <c r="E196" s="641">
        <v>0</v>
      </c>
      <c r="F196" s="641">
        <v>-89.42656352071144</v>
      </c>
      <c r="G196" s="640">
        <v>0</v>
      </c>
      <c r="H196" s="641">
        <v>0</v>
      </c>
      <c r="I196" s="641">
        <v>0</v>
      </c>
      <c r="J196" s="641">
        <v>0</v>
      </c>
      <c r="K196" s="641">
        <v>0</v>
      </c>
      <c r="L196" s="641">
        <v>-0.92190198395554845</v>
      </c>
      <c r="M196" s="641">
        <v>0</v>
      </c>
      <c r="N196" s="641">
        <v>0</v>
      </c>
      <c r="O196" s="641">
        <v>0</v>
      </c>
      <c r="P196" s="642">
        <v>0</v>
      </c>
      <c r="Q196" s="641">
        <v>0</v>
      </c>
      <c r="R196" s="641">
        <v>0</v>
      </c>
      <c r="S196" s="643">
        <v>-90.34846550466699</v>
      </c>
      <c r="U196" s="639" t="s">
        <v>63</v>
      </c>
      <c r="V196" s="640">
        <v>0</v>
      </c>
      <c r="W196" s="641">
        <v>0</v>
      </c>
      <c r="X196" s="641">
        <v>-55.486888716289528</v>
      </c>
      <c r="Y196" s="640">
        <v>0</v>
      </c>
      <c r="Z196" s="641">
        <v>0</v>
      </c>
      <c r="AA196" s="641">
        <v>0</v>
      </c>
      <c r="AB196" s="641">
        <v>0</v>
      </c>
      <c r="AC196" s="641">
        <v>0</v>
      </c>
      <c r="AD196" s="641">
        <v>-26.575233608452013</v>
      </c>
      <c r="AE196" s="641">
        <v>0</v>
      </c>
      <c r="AF196" s="641">
        <v>0</v>
      </c>
      <c r="AG196" s="641">
        <v>0</v>
      </c>
      <c r="AH196" s="642">
        <v>0</v>
      </c>
      <c r="AI196" s="641">
        <v>0</v>
      </c>
      <c r="AJ196" s="641">
        <v>0</v>
      </c>
      <c r="AK196" s="643">
        <v>-82.062122324741537</v>
      </c>
    </row>
    <row r="197" spans="3:37" x14ac:dyDescent="0.2">
      <c r="C197" s="639" t="s">
        <v>64</v>
      </c>
      <c r="D197" s="640">
        <v>0</v>
      </c>
      <c r="E197" s="641">
        <v>0</v>
      </c>
      <c r="F197" s="641">
        <v>0</v>
      </c>
      <c r="G197" s="640">
        <v>0</v>
      </c>
      <c r="H197" s="641">
        <v>0</v>
      </c>
      <c r="I197" s="641">
        <v>0</v>
      </c>
      <c r="J197" s="641">
        <v>0</v>
      </c>
      <c r="K197" s="641">
        <v>0</v>
      </c>
      <c r="L197" s="641">
        <v>0</v>
      </c>
      <c r="M197" s="641">
        <v>0</v>
      </c>
      <c r="N197" s="641">
        <v>0</v>
      </c>
      <c r="O197" s="641">
        <v>0</v>
      </c>
      <c r="P197" s="642">
        <v>0</v>
      </c>
      <c r="Q197" s="641">
        <v>0</v>
      </c>
      <c r="R197" s="641">
        <v>0</v>
      </c>
      <c r="S197" s="643">
        <v>0</v>
      </c>
      <c r="U197" s="639" t="s">
        <v>64</v>
      </c>
      <c r="V197" s="640">
        <v>0</v>
      </c>
      <c r="W197" s="641">
        <v>0</v>
      </c>
      <c r="X197" s="641">
        <v>0</v>
      </c>
      <c r="Y197" s="640">
        <v>0</v>
      </c>
      <c r="Z197" s="641">
        <v>0</v>
      </c>
      <c r="AA197" s="641">
        <v>0</v>
      </c>
      <c r="AB197" s="641">
        <v>0</v>
      </c>
      <c r="AC197" s="641">
        <v>0</v>
      </c>
      <c r="AD197" s="641">
        <v>0</v>
      </c>
      <c r="AE197" s="641">
        <v>0</v>
      </c>
      <c r="AF197" s="641">
        <v>0</v>
      </c>
      <c r="AG197" s="641">
        <v>0</v>
      </c>
      <c r="AH197" s="642">
        <v>0</v>
      </c>
      <c r="AI197" s="641">
        <v>0</v>
      </c>
      <c r="AJ197" s="641">
        <v>0</v>
      </c>
      <c r="AK197" s="643">
        <v>0</v>
      </c>
    </row>
    <row r="198" spans="3:37" x14ac:dyDescent="0.2">
      <c r="C198" s="644" t="s">
        <v>65</v>
      </c>
      <c r="D198" s="645">
        <v>47.523331421865407</v>
      </c>
      <c r="E198" s="645">
        <v>492.37419513671523</v>
      </c>
      <c r="F198" s="645">
        <v>-47.570976452143519</v>
      </c>
      <c r="G198" s="645">
        <v>328.8885225556333</v>
      </c>
      <c r="H198" s="645">
        <v>889.54545454545473</v>
      </c>
      <c r="I198" s="645">
        <v>290.38619522472999</v>
      </c>
      <c r="J198" s="645">
        <v>193.07216990727574</v>
      </c>
      <c r="K198" s="645">
        <v>20.519346122490408</v>
      </c>
      <c r="L198" s="645">
        <v>2.247505888118404</v>
      </c>
      <c r="M198" s="645">
        <v>0.15914693380563083</v>
      </c>
      <c r="N198" s="645">
        <v>65.898689554178929</v>
      </c>
      <c r="O198" s="645">
        <v>11.930124482632028</v>
      </c>
      <c r="P198" s="645">
        <v>-22.391147784534837</v>
      </c>
      <c r="Q198" s="645">
        <v>0</v>
      </c>
      <c r="R198" s="645">
        <v>0</v>
      </c>
      <c r="S198" s="645">
        <v>2272.5825575362214</v>
      </c>
      <c r="U198" s="644" t="s">
        <v>65</v>
      </c>
      <c r="V198" s="645">
        <v>6.5260336126681251</v>
      </c>
      <c r="W198" s="645">
        <v>220.47790015098695</v>
      </c>
      <c r="X198" s="645">
        <v>-69.203009096012792</v>
      </c>
      <c r="Y198" s="645">
        <v>99.907420185209077</v>
      </c>
      <c r="Z198" s="645">
        <v>873.030303030303</v>
      </c>
      <c r="AA198" s="645">
        <v>337.06619522473</v>
      </c>
      <c r="AB198" s="645">
        <v>210.96242530283007</v>
      </c>
      <c r="AC198" s="645">
        <v>37.137182251794961</v>
      </c>
      <c r="AD198" s="645">
        <v>-23.405825736378059</v>
      </c>
      <c r="AE198" s="645">
        <v>-1.5445742631535424</v>
      </c>
      <c r="AF198" s="645">
        <v>103.02458403584798</v>
      </c>
      <c r="AG198" s="645">
        <v>25.833176078824131</v>
      </c>
      <c r="AH198" s="645">
        <v>-17.389600315785174</v>
      </c>
      <c r="AI198" s="645">
        <v>0</v>
      </c>
      <c r="AJ198" s="645">
        <v>0</v>
      </c>
      <c r="AK198" s="645">
        <v>1802.4222104618648</v>
      </c>
    </row>
    <row r="199" spans="3:37" x14ac:dyDescent="0.2">
      <c r="C199" s="634"/>
      <c r="D199" s="634">
        <v>0</v>
      </c>
      <c r="E199" s="634">
        <v>0</v>
      </c>
      <c r="F199" s="634">
        <v>0</v>
      </c>
      <c r="G199" s="634">
        <v>0</v>
      </c>
      <c r="H199" s="634">
        <v>0</v>
      </c>
      <c r="I199" s="634">
        <v>0</v>
      </c>
      <c r="J199" s="634">
        <v>0</v>
      </c>
      <c r="K199" s="634">
        <v>0</v>
      </c>
      <c r="L199" s="634">
        <v>0</v>
      </c>
      <c r="M199" s="634">
        <v>0</v>
      </c>
      <c r="N199" s="634">
        <v>0</v>
      </c>
      <c r="O199" s="634">
        <v>0</v>
      </c>
      <c r="P199" s="634">
        <v>0</v>
      </c>
      <c r="Q199" s="634">
        <v>0</v>
      </c>
      <c r="R199" s="634">
        <v>0</v>
      </c>
      <c r="S199" s="634">
        <v>0</v>
      </c>
      <c r="U199" s="634"/>
      <c r="V199" s="634">
        <v>0</v>
      </c>
      <c r="W199" s="634">
        <v>0</v>
      </c>
      <c r="X199" s="634">
        <v>0</v>
      </c>
      <c r="Y199" s="634">
        <v>0</v>
      </c>
      <c r="Z199" s="634">
        <v>0</v>
      </c>
      <c r="AA199" s="634">
        <v>0</v>
      </c>
      <c r="AB199" s="634">
        <v>0</v>
      </c>
      <c r="AC199" s="634">
        <v>0</v>
      </c>
      <c r="AD199" s="634">
        <v>0</v>
      </c>
      <c r="AE199" s="634">
        <v>0</v>
      </c>
      <c r="AF199" s="634">
        <v>0</v>
      </c>
      <c r="AG199" s="634">
        <v>0</v>
      </c>
      <c r="AH199" s="634">
        <v>0</v>
      </c>
      <c r="AI199" s="634">
        <v>0</v>
      </c>
      <c r="AJ199" s="634">
        <v>0</v>
      </c>
      <c r="AK199" s="634">
        <v>0</v>
      </c>
    </row>
    <row r="200" spans="3:37" x14ac:dyDescent="0.2">
      <c r="C200" s="646" t="s">
        <v>67</v>
      </c>
      <c r="D200" s="640">
        <v>0</v>
      </c>
      <c r="E200" s="647">
        <v>0</v>
      </c>
      <c r="F200" s="647">
        <v>0</v>
      </c>
      <c r="G200" s="640">
        <v>0</v>
      </c>
      <c r="H200" s="640">
        <v>0</v>
      </c>
      <c r="I200" s="640">
        <v>0</v>
      </c>
      <c r="J200" s="640">
        <v>0</v>
      </c>
      <c r="K200" s="640">
        <v>0</v>
      </c>
      <c r="L200" s="640">
        <v>0</v>
      </c>
      <c r="M200" s="640">
        <v>0</v>
      </c>
      <c r="N200" s="640">
        <v>0</v>
      </c>
      <c r="O200" s="640">
        <v>0</v>
      </c>
      <c r="P200" s="640">
        <v>0</v>
      </c>
      <c r="Q200" s="640">
        <v>0</v>
      </c>
      <c r="R200" s="640">
        <v>0</v>
      </c>
      <c r="S200" s="648">
        <v>0</v>
      </c>
      <c r="U200" s="646" t="s">
        <v>67</v>
      </c>
      <c r="V200" s="640">
        <v>0</v>
      </c>
      <c r="W200" s="647">
        <v>0</v>
      </c>
      <c r="X200" s="647">
        <v>0</v>
      </c>
      <c r="Y200" s="640">
        <v>0</v>
      </c>
      <c r="Z200" s="640">
        <v>0</v>
      </c>
      <c r="AA200" s="640">
        <v>0</v>
      </c>
      <c r="AB200" s="640">
        <v>0</v>
      </c>
      <c r="AC200" s="640">
        <v>0</v>
      </c>
      <c r="AD200" s="640">
        <v>0</v>
      </c>
      <c r="AE200" s="640">
        <v>0</v>
      </c>
      <c r="AF200" s="640">
        <v>0</v>
      </c>
      <c r="AG200" s="640">
        <v>0</v>
      </c>
      <c r="AH200" s="640">
        <v>0</v>
      </c>
      <c r="AI200" s="640">
        <v>0</v>
      </c>
      <c r="AJ200" s="640">
        <v>0</v>
      </c>
      <c r="AK200" s="648">
        <v>0</v>
      </c>
    </row>
    <row r="201" spans="3:37" x14ac:dyDescent="0.2">
      <c r="C201" s="646" t="s">
        <v>347</v>
      </c>
      <c r="D201" s="640">
        <v>2.8267856410252494</v>
      </c>
      <c r="E201" s="640">
        <v>0</v>
      </c>
      <c r="F201" s="640">
        <v>7.7625293209280457</v>
      </c>
      <c r="G201" s="640">
        <v>16.824034334763951</v>
      </c>
      <c r="H201" s="640">
        <v>889.54545454545473</v>
      </c>
      <c r="I201" s="640">
        <v>290.38619522472999</v>
      </c>
      <c r="J201" s="649">
        <v>29.234857813431841</v>
      </c>
      <c r="K201" s="649">
        <v>6.7467623730381456</v>
      </c>
      <c r="L201" s="649">
        <v>3.1694078720739522</v>
      </c>
      <c r="M201" s="649">
        <v>0.46915285357606595</v>
      </c>
      <c r="N201" s="649">
        <v>0</v>
      </c>
      <c r="O201" s="649">
        <v>6.9727309871777221</v>
      </c>
      <c r="P201" s="640">
        <v>-615.41357369902562</v>
      </c>
      <c r="Q201" s="640">
        <v>0</v>
      </c>
      <c r="R201" s="640">
        <v>0</v>
      </c>
      <c r="S201" s="648">
        <v>638.52433726717402</v>
      </c>
      <c r="U201" s="646" t="s">
        <v>347</v>
      </c>
      <c r="V201" s="640">
        <v>0.62631490545869017</v>
      </c>
      <c r="W201" s="640">
        <v>0</v>
      </c>
      <c r="X201" s="640">
        <v>3.8988929572916824</v>
      </c>
      <c r="Y201" s="640">
        <v>3.6741630901287547</v>
      </c>
      <c r="Z201" s="640">
        <v>873.030303030303</v>
      </c>
      <c r="AA201" s="640">
        <v>337.06619522473</v>
      </c>
      <c r="AB201" s="649">
        <v>23.429523439383615</v>
      </c>
      <c r="AC201" s="649">
        <v>5.4991881500691626</v>
      </c>
      <c r="AD201" s="649">
        <v>3.1694078720739522</v>
      </c>
      <c r="AE201" s="649">
        <v>2.7864060724601858</v>
      </c>
      <c r="AF201" s="649">
        <v>0</v>
      </c>
      <c r="AG201" s="649">
        <v>6.9727309871777221</v>
      </c>
      <c r="AH201" s="640">
        <v>-649.11357369902544</v>
      </c>
      <c r="AI201" s="640">
        <v>0</v>
      </c>
      <c r="AJ201" s="640">
        <v>4.45</v>
      </c>
      <c r="AK201" s="648">
        <v>615.48955203005141</v>
      </c>
    </row>
    <row r="202" spans="3:37" x14ac:dyDescent="0.2">
      <c r="C202" s="646" t="s">
        <v>348</v>
      </c>
      <c r="D202" s="640">
        <v>0</v>
      </c>
      <c r="E202" s="640">
        <v>0</v>
      </c>
      <c r="F202" s="640">
        <v>0</v>
      </c>
      <c r="G202" s="640">
        <v>14.896462034387394</v>
      </c>
      <c r="H202" s="640">
        <v>0</v>
      </c>
      <c r="I202" s="640">
        <v>0</v>
      </c>
      <c r="J202" s="649">
        <v>12.461036592610267</v>
      </c>
      <c r="K202" s="649">
        <v>11.927183871567582</v>
      </c>
      <c r="L202" s="649">
        <v>0</v>
      </c>
      <c r="M202" s="649">
        <v>0.3188738120209938</v>
      </c>
      <c r="N202" s="649">
        <v>0</v>
      </c>
      <c r="O202" s="649">
        <v>2.1085025260592274</v>
      </c>
      <c r="P202" s="640">
        <v>0</v>
      </c>
      <c r="Q202" s="640">
        <v>-37.934258390495422</v>
      </c>
      <c r="R202" s="640">
        <v>0</v>
      </c>
      <c r="S202" s="648">
        <v>3.7778004461500441</v>
      </c>
      <c r="U202" s="646" t="s">
        <v>348</v>
      </c>
      <c r="V202" s="640">
        <v>0</v>
      </c>
      <c r="W202" s="640">
        <v>0</v>
      </c>
      <c r="X202" s="640">
        <v>0</v>
      </c>
      <c r="Y202" s="640">
        <v>8.218662070491261</v>
      </c>
      <c r="Z202" s="640">
        <v>0</v>
      </c>
      <c r="AA202" s="640">
        <v>0</v>
      </c>
      <c r="AB202" s="649">
        <v>28.560818034272483</v>
      </c>
      <c r="AC202" s="649">
        <v>26.163217208510932</v>
      </c>
      <c r="AD202" s="649">
        <v>0</v>
      </c>
      <c r="AE202" s="649">
        <v>5.9663093303449024</v>
      </c>
      <c r="AF202" s="649">
        <v>0</v>
      </c>
      <c r="AG202" s="649">
        <v>11.832895483778962</v>
      </c>
      <c r="AH202" s="640">
        <v>0</v>
      </c>
      <c r="AI202" s="640">
        <v>-74.578675527513624</v>
      </c>
      <c r="AJ202" s="640">
        <v>0</v>
      </c>
      <c r="AK202" s="648">
        <v>6.1632265998849274</v>
      </c>
    </row>
    <row r="203" spans="3:37" x14ac:dyDescent="0.2">
      <c r="C203" s="646" t="s">
        <v>349</v>
      </c>
      <c r="D203" s="640">
        <v>0</v>
      </c>
      <c r="E203" s="640">
        <v>0</v>
      </c>
      <c r="F203" s="640">
        <v>0</v>
      </c>
      <c r="G203" s="640">
        <v>0</v>
      </c>
      <c r="H203" s="640">
        <v>0</v>
      </c>
      <c r="I203" s="640">
        <v>0</v>
      </c>
      <c r="J203" s="650">
        <v>6.9979956174374891</v>
      </c>
      <c r="K203" s="650">
        <v>0</v>
      </c>
      <c r="L203" s="650">
        <v>0</v>
      </c>
      <c r="M203" s="650">
        <v>-6.4748954450340372</v>
      </c>
      <c r="N203" s="650">
        <v>0</v>
      </c>
      <c r="O203" s="650">
        <v>0</v>
      </c>
      <c r="P203" s="640">
        <v>0</v>
      </c>
      <c r="Q203" s="640">
        <v>0</v>
      </c>
      <c r="R203" s="640">
        <v>0</v>
      </c>
      <c r="S203" s="648">
        <v>0.52310017240345186</v>
      </c>
      <c r="U203" s="646" t="s">
        <v>349</v>
      </c>
      <c r="V203" s="640">
        <v>0</v>
      </c>
      <c r="W203" s="640">
        <v>0</v>
      </c>
      <c r="X203" s="640">
        <v>0</v>
      </c>
      <c r="Y203" s="640">
        <v>0</v>
      </c>
      <c r="Z203" s="640">
        <v>0</v>
      </c>
      <c r="AA203" s="640">
        <v>0</v>
      </c>
      <c r="AB203" s="650">
        <v>79.198989478899776</v>
      </c>
      <c r="AC203" s="650">
        <v>0</v>
      </c>
      <c r="AD203" s="650">
        <v>0</v>
      </c>
      <c r="AE203" s="650">
        <v>-73.278865015352025</v>
      </c>
      <c r="AF203" s="650">
        <v>0</v>
      </c>
      <c r="AG203" s="650">
        <v>0</v>
      </c>
      <c r="AH203" s="640">
        <v>0</v>
      </c>
      <c r="AI203" s="640">
        <v>0</v>
      </c>
      <c r="AJ203" s="640">
        <v>0</v>
      </c>
      <c r="AK203" s="648">
        <v>5.9201244635477508</v>
      </c>
    </row>
    <row r="204" spans="3:37" x14ac:dyDescent="0.2">
      <c r="C204" s="646" t="s">
        <v>350</v>
      </c>
      <c r="D204" s="640">
        <v>0</v>
      </c>
      <c r="E204" s="640">
        <v>0</v>
      </c>
      <c r="F204" s="640">
        <v>0</v>
      </c>
      <c r="G204" s="640">
        <v>0</v>
      </c>
      <c r="H204" s="640">
        <v>0</v>
      </c>
      <c r="I204" s="640">
        <v>0</v>
      </c>
      <c r="J204" s="640">
        <v>0</v>
      </c>
      <c r="K204" s="640">
        <v>0</v>
      </c>
      <c r="L204" s="640">
        <v>0</v>
      </c>
      <c r="M204" s="640">
        <v>0</v>
      </c>
      <c r="N204" s="640">
        <v>0</v>
      </c>
      <c r="O204" s="640">
        <v>0</v>
      </c>
      <c r="P204" s="640">
        <v>0</v>
      </c>
      <c r="Q204" s="640">
        <v>0</v>
      </c>
      <c r="R204" s="640">
        <v>0</v>
      </c>
      <c r="S204" s="648">
        <v>0</v>
      </c>
      <c r="U204" s="646" t="s">
        <v>350</v>
      </c>
      <c r="V204" s="640">
        <v>0</v>
      </c>
      <c r="W204" s="640">
        <v>0</v>
      </c>
      <c r="X204" s="640">
        <v>0</v>
      </c>
      <c r="Y204" s="640">
        <v>0</v>
      </c>
      <c r="Z204" s="640">
        <v>0</v>
      </c>
      <c r="AA204" s="640">
        <v>0</v>
      </c>
      <c r="AB204" s="640">
        <v>0</v>
      </c>
      <c r="AC204" s="640">
        <v>0</v>
      </c>
      <c r="AD204" s="640">
        <v>0</v>
      </c>
      <c r="AE204" s="640">
        <v>0</v>
      </c>
      <c r="AF204" s="640">
        <v>0</v>
      </c>
      <c r="AG204" s="640">
        <v>0</v>
      </c>
      <c r="AH204" s="640">
        <v>0</v>
      </c>
      <c r="AI204" s="640">
        <v>0</v>
      </c>
      <c r="AJ204" s="640">
        <v>0</v>
      </c>
      <c r="AK204" s="648">
        <v>0</v>
      </c>
    </row>
    <row r="205" spans="3:37" x14ac:dyDescent="0.2">
      <c r="C205" s="646" t="s">
        <v>72</v>
      </c>
      <c r="D205" s="640">
        <v>0</v>
      </c>
      <c r="E205" s="640">
        <v>510.04733530503466</v>
      </c>
      <c r="F205" s="640">
        <v>-504.94686195198432</v>
      </c>
      <c r="G205" s="640">
        <v>0</v>
      </c>
      <c r="H205" s="640">
        <v>0</v>
      </c>
      <c r="I205" s="640">
        <v>0</v>
      </c>
      <c r="J205" s="640">
        <v>0</v>
      </c>
      <c r="K205" s="640">
        <v>0</v>
      </c>
      <c r="L205" s="640">
        <v>0</v>
      </c>
      <c r="M205" s="640">
        <v>0</v>
      </c>
      <c r="N205" s="640">
        <v>0</v>
      </c>
      <c r="O205" s="640">
        <v>0</v>
      </c>
      <c r="P205" s="640">
        <v>0</v>
      </c>
      <c r="Q205" s="640">
        <v>0</v>
      </c>
      <c r="R205" s="640">
        <v>0</v>
      </c>
      <c r="S205" s="648">
        <v>5.1004733530503472</v>
      </c>
      <c r="U205" s="646" t="s">
        <v>72</v>
      </c>
      <c r="V205" s="640">
        <v>0</v>
      </c>
      <c r="W205" s="640">
        <v>228.3916715709193</v>
      </c>
      <c r="X205" s="640">
        <v>-226.10775485521012</v>
      </c>
      <c r="Y205" s="640">
        <v>0</v>
      </c>
      <c r="Z205" s="640">
        <v>0</v>
      </c>
      <c r="AA205" s="640">
        <v>0</v>
      </c>
      <c r="AB205" s="640">
        <v>0</v>
      </c>
      <c r="AC205" s="640">
        <v>0</v>
      </c>
      <c r="AD205" s="640">
        <v>0</v>
      </c>
      <c r="AE205" s="640">
        <v>0</v>
      </c>
      <c r="AF205" s="640">
        <v>0</v>
      </c>
      <c r="AG205" s="640">
        <v>0</v>
      </c>
      <c r="AH205" s="640">
        <v>0</v>
      </c>
      <c r="AI205" s="640">
        <v>0</v>
      </c>
      <c r="AJ205" s="640">
        <v>0</v>
      </c>
      <c r="AK205" s="648">
        <v>2.2839167157091822</v>
      </c>
    </row>
    <row r="206" spans="3:37" x14ac:dyDescent="0.2">
      <c r="C206" s="646" t="s">
        <v>351</v>
      </c>
      <c r="D206" s="640">
        <v>0</v>
      </c>
      <c r="E206" s="640">
        <v>0</v>
      </c>
      <c r="F206" s="640">
        <v>0</v>
      </c>
      <c r="G206" s="640">
        <v>0</v>
      </c>
      <c r="H206" s="640">
        <v>0</v>
      </c>
      <c r="I206" s="640">
        <v>0</v>
      </c>
      <c r="J206" s="640">
        <v>27.710201800923624</v>
      </c>
      <c r="K206" s="640">
        <v>0</v>
      </c>
      <c r="L206" s="640">
        <v>-27.710201800923624</v>
      </c>
      <c r="M206" s="640">
        <v>0</v>
      </c>
      <c r="N206" s="640">
        <v>0</v>
      </c>
      <c r="O206" s="640">
        <v>0</v>
      </c>
      <c r="P206" s="640">
        <v>0</v>
      </c>
      <c r="Q206" s="640">
        <v>0</v>
      </c>
      <c r="R206" s="640">
        <v>0</v>
      </c>
      <c r="S206" s="648">
        <v>0</v>
      </c>
      <c r="U206" s="646" t="s">
        <v>351</v>
      </c>
      <c r="V206" s="640">
        <v>0</v>
      </c>
      <c r="W206" s="640">
        <v>0</v>
      </c>
      <c r="X206" s="640">
        <v>0</v>
      </c>
      <c r="Y206" s="640">
        <v>0</v>
      </c>
      <c r="Z206" s="640">
        <v>0</v>
      </c>
      <c r="AA206" s="640">
        <v>0</v>
      </c>
      <c r="AB206" s="640" t="e">
        <v>#VALUE!</v>
      </c>
      <c r="AC206" s="640">
        <v>0</v>
      </c>
      <c r="AD206" s="640">
        <v>-101.17003146857277</v>
      </c>
      <c r="AE206" s="640">
        <v>0</v>
      </c>
      <c r="AF206" s="640">
        <v>0</v>
      </c>
      <c r="AG206" s="640">
        <v>0</v>
      </c>
      <c r="AH206" s="640">
        <v>0</v>
      </c>
      <c r="AI206" s="640">
        <v>0</v>
      </c>
      <c r="AJ206" s="640">
        <v>0</v>
      </c>
      <c r="AK206" s="648">
        <v>-101.17003146857277</v>
      </c>
    </row>
    <row r="207" spans="3:37" x14ac:dyDescent="0.2">
      <c r="C207" s="646" t="s">
        <v>352</v>
      </c>
      <c r="D207" s="640">
        <v>0</v>
      </c>
      <c r="E207" s="640">
        <v>0</v>
      </c>
      <c r="F207" s="640">
        <v>0</v>
      </c>
      <c r="G207" s="640">
        <v>0</v>
      </c>
      <c r="H207" s="640">
        <v>0</v>
      </c>
      <c r="I207" s="640">
        <v>0</v>
      </c>
      <c r="J207" s="640">
        <v>0</v>
      </c>
      <c r="K207" s="640">
        <v>0</v>
      </c>
      <c r="L207" s="640">
        <v>0</v>
      </c>
      <c r="M207" s="640">
        <v>0</v>
      </c>
      <c r="N207" s="640">
        <v>0</v>
      </c>
      <c r="O207" s="640">
        <v>0</v>
      </c>
      <c r="P207" s="640">
        <v>0</v>
      </c>
      <c r="Q207" s="640">
        <v>0</v>
      </c>
      <c r="R207" s="640">
        <v>0</v>
      </c>
      <c r="S207" s="648">
        <v>0</v>
      </c>
      <c r="U207" s="646" t="s">
        <v>352</v>
      </c>
      <c r="V207" s="640">
        <v>0</v>
      </c>
      <c r="W207" s="640">
        <v>0</v>
      </c>
      <c r="X207" s="640">
        <v>0</v>
      </c>
      <c r="Y207" s="640">
        <v>0</v>
      </c>
      <c r="Z207" s="640">
        <v>0</v>
      </c>
      <c r="AA207" s="640">
        <v>0</v>
      </c>
      <c r="AB207" s="640">
        <v>0</v>
      </c>
      <c r="AC207" s="640">
        <v>0</v>
      </c>
      <c r="AD207" s="640">
        <v>-18.691082885283098</v>
      </c>
      <c r="AE207" s="640">
        <v>0</v>
      </c>
      <c r="AF207" s="640">
        <v>0</v>
      </c>
      <c r="AG207" s="640">
        <v>0</v>
      </c>
      <c r="AH207" s="640">
        <v>0</v>
      </c>
      <c r="AI207" s="640">
        <v>0</v>
      </c>
      <c r="AJ207" s="640">
        <v>0</v>
      </c>
      <c r="AK207" s="648">
        <v>-18.691082885283098</v>
      </c>
    </row>
    <row r="208" spans="3:37" x14ac:dyDescent="0.2">
      <c r="C208" s="646" t="s">
        <v>73</v>
      </c>
      <c r="D208" s="640">
        <v>0</v>
      </c>
      <c r="E208" s="640">
        <v>0</v>
      </c>
      <c r="F208" s="640">
        <v>0</v>
      </c>
      <c r="G208" s="640">
        <v>6.2864428714474423</v>
      </c>
      <c r="H208" s="640">
        <v>0</v>
      </c>
      <c r="I208" s="640">
        <v>0</v>
      </c>
      <c r="J208" s="640">
        <v>0</v>
      </c>
      <c r="K208" s="640">
        <v>7.2564905248031233E-2</v>
      </c>
      <c r="L208" s="640">
        <v>0</v>
      </c>
      <c r="M208" s="640">
        <v>0.12829475247851924</v>
      </c>
      <c r="N208" s="640">
        <v>0</v>
      </c>
      <c r="O208" s="640">
        <v>0</v>
      </c>
      <c r="P208" s="640">
        <v>0.77416476914506349</v>
      </c>
      <c r="Q208" s="640">
        <v>0</v>
      </c>
      <c r="R208" s="640">
        <v>-5.0795433673621861</v>
      </c>
      <c r="S208" s="648">
        <v>2.1819239309568701</v>
      </c>
      <c r="U208" s="646" t="s">
        <v>73</v>
      </c>
      <c r="V208" s="640">
        <v>0</v>
      </c>
      <c r="W208" s="640">
        <v>0</v>
      </c>
      <c r="X208" s="640">
        <v>0</v>
      </c>
      <c r="Y208" s="640">
        <v>3.7837340239051791</v>
      </c>
      <c r="Z208" s="640">
        <v>0</v>
      </c>
      <c r="AA208" s="640">
        <v>0</v>
      </c>
      <c r="AB208" s="640">
        <v>0</v>
      </c>
      <c r="AC208" s="640">
        <v>0.46597709654004676</v>
      </c>
      <c r="AD208" s="640">
        <v>0</v>
      </c>
      <c r="AE208" s="640">
        <v>2.7399453276554748</v>
      </c>
      <c r="AF208" s="640">
        <v>0</v>
      </c>
      <c r="AG208" s="640">
        <v>0</v>
      </c>
      <c r="AH208" s="640">
        <v>39.864323859285086</v>
      </c>
      <c r="AI208" s="640">
        <v>0</v>
      </c>
      <c r="AJ208" s="640">
        <v>-32.618396757803268</v>
      </c>
      <c r="AK208" s="648">
        <v>14.235583549582522</v>
      </c>
    </row>
    <row r="209" spans="3:37" x14ac:dyDescent="0.2">
      <c r="C209" s="646" t="s">
        <v>353</v>
      </c>
      <c r="D209" s="640">
        <v>28.588592812499996</v>
      </c>
      <c r="E209" s="640">
        <v>-17.673140168319453</v>
      </c>
      <c r="F209" s="640">
        <v>23.11542347254851</v>
      </c>
      <c r="G209" s="640">
        <v>0</v>
      </c>
      <c r="H209" s="640">
        <v>0</v>
      </c>
      <c r="I209" s="640">
        <v>0</v>
      </c>
      <c r="J209" s="640">
        <v>0</v>
      </c>
      <c r="K209" s="640">
        <v>0</v>
      </c>
      <c r="L209" s="640">
        <v>0</v>
      </c>
      <c r="M209" s="640">
        <v>0</v>
      </c>
      <c r="N209" s="640">
        <v>0</v>
      </c>
      <c r="O209" s="640">
        <v>0</v>
      </c>
      <c r="P209" s="640">
        <v>0</v>
      </c>
      <c r="Q209" s="640">
        <v>0</v>
      </c>
      <c r="R209" s="640">
        <v>0</v>
      </c>
      <c r="S209" s="648">
        <v>34.030876116729054</v>
      </c>
      <c r="U209" s="646" t="s">
        <v>353</v>
      </c>
      <c r="V209" s="640">
        <v>1.7459712219238281</v>
      </c>
      <c r="W209" s="640">
        <v>-7.9137714199323552</v>
      </c>
      <c r="X209" s="640">
        <v>10.35074558875537</v>
      </c>
      <c r="Y209" s="640">
        <v>0</v>
      </c>
      <c r="Z209" s="640">
        <v>0</v>
      </c>
      <c r="AA209" s="640">
        <v>0</v>
      </c>
      <c r="AB209" s="640">
        <v>0</v>
      </c>
      <c r="AC209" s="640">
        <v>0</v>
      </c>
      <c r="AD209" s="640">
        <v>0</v>
      </c>
      <c r="AE209" s="640">
        <v>0</v>
      </c>
      <c r="AF209" s="640">
        <v>0</v>
      </c>
      <c r="AG209" s="640">
        <v>0</v>
      </c>
      <c r="AH209" s="640">
        <v>0</v>
      </c>
      <c r="AI209" s="640">
        <v>0</v>
      </c>
      <c r="AJ209" s="640">
        <v>0</v>
      </c>
      <c r="AK209" s="648">
        <v>4.182945390746843</v>
      </c>
    </row>
    <row r="210" spans="3:37" x14ac:dyDescent="0.2">
      <c r="C210" s="646" t="s">
        <v>75</v>
      </c>
      <c r="D210" s="640">
        <v>11.11778609375</v>
      </c>
      <c r="E210" s="640">
        <v>0</v>
      </c>
      <c r="F210" s="640">
        <v>17.34160940037118</v>
      </c>
      <c r="G210" s="640">
        <v>4.9484792471294465</v>
      </c>
      <c r="H210" s="640">
        <v>0</v>
      </c>
      <c r="I210" s="640">
        <v>0</v>
      </c>
      <c r="J210" s="640">
        <v>0</v>
      </c>
      <c r="K210" s="640">
        <v>0</v>
      </c>
      <c r="L210" s="640">
        <v>0</v>
      </c>
      <c r="M210" s="640">
        <v>0.10098937239039688</v>
      </c>
      <c r="N210" s="640">
        <v>0</v>
      </c>
      <c r="O210" s="640">
        <v>0</v>
      </c>
      <c r="P210" s="640">
        <v>29.08691491128284</v>
      </c>
      <c r="Q210" s="640">
        <v>0</v>
      </c>
      <c r="R210" s="640">
        <v>0</v>
      </c>
      <c r="S210" s="648">
        <v>62.595779024923864</v>
      </c>
      <c r="U210" s="646" t="s">
        <v>75</v>
      </c>
      <c r="V210" s="640">
        <v>2.938742431640625</v>
      </c>
      <c r="W210" s="640">
        <v>0</v>
      </c>
      <c r="X210" s="640">
        <v>17.34160940037118</v>
      </c>
      <c r="Y210" s="640">
        <v>2.9286917993215091</v>
      </c>
      <c r="Z210" s="640">
        <v>0</v>
      </c>
      <c r="AA210" s="640">
        <v>0</v>
      </c>
      <c r="AB210" s="640">
        <v>0</v>
      </c>
      <c r="AC210" s="640">
        <v>0</v>
      </c>
      <c r="AD210" s="640">
        <v>0</v>
      </c>
      <c r="AE210" s="640">
        <v>2.1207768201983344</v>
      </c>
      <c r="AF210" s="640">
        <v>0</v>
      </c>
      <c r="AG210" s="640">
        <v>0</v>
      </c>
      <c r="AH210" s="640">
        <v>36.505051274919204</v>
      </c>
      <c r="AI210" s="640">
        <v>0</v>
      </c>
      <c r="AJ210" s="640">
        <v>0</v>
      </c>
      <c r="AK210" s="648">
        <v>61.834871726450849</v>
      </c>
    </row>
    <row r="211" spans="3:37" x14ac:dyDescent="0.2">
      <c r="C211" s="646" t="s">
        <v>76</v>
      </c>
      <c r="D211" s="640">
        <v>0</v>
      </c>
      <c r="E211" s="640">
        <v>0</v>
      </c>
      <c r="F211" s="640">
        <v>0</v>
      </c>
      <c r="G211" s="640">
        <v>3.7620934008695794</v>
      </c>
      <c r="H211" s="640">
        <v>0</v>
      </c>
      <c r="I211" s="640">
        <v>0</v>
      </c>
      <c r="J211" s="640">
        <v>0</v>
      </c>
      <c r="K211" s="640">
        <v>0</v>
      </c>
      <c r="L211" s="640">
        <v>0</v>
      </c>
      <c r="M211" s="640">
        <v>7.6777416344277136E-2</v>
      </c>
      <c r="N211" s="640">
        <v>0</v>
      </c>
      <c r="O211" s="640">
        <v>0</v>
      </c>
      <c r="P211" s="640">
        <v>45.374638558517056</v>
      </c>
      <c r="Q211" s="640">
        <v>2.9442994019327013</v>
      </c>
      <c r="R211" s="640">
        <v>0</v>
      </c>
      <c r="S211" s="648">
        <v>52.157808777663611</v>
      </c>
      <c r="U211" s="646" t="s">
        <v>76</v>
      </c>
      <c r="V211" s="640">
        <v>0</v>
      </c>
      <c r="W211" s="640">
        <v>0</v>
      </c>
      <c r="X211" s="640">
        <v>0</v>
      </c>
      <c r="Y211" s="640">
        <v>1.1999362424874132</v>
      </c>
      <c r="Z211" s="640">
        <v>0</v>
      </c>
      <c r="AA211" s="640">
        <v>0</v>
      </c>
      <c r="AB211" s="640">
        <v>0</v>
      </c>
      <c r="AC211" s="640">
        <v>0</v>
      </c>
      <c r="AD211" s="640">
        <v>0</v>
      </c>
      <c r="AE211" s="640">
        <v>0.86891934800812698</v>
      </c>
      <c r="AF211" s="640">
        <v>0</v>
      </c>
      <c r="AG211" s="640">
        <v>0</v>
      </c>
      <c r="AH211" s="640">
        <v>48.340685132761017</v>
      </c>
      <c r="AI211" s="640">
        <v>5.7839036819230412</v>
      </c>
      <c r="AJ211" s="640">
        <v>0</v>
      </c>
      <c r="AK211" s="648">
        <v>56.193444405179591</v>
      </c>
    </row>
    <row r="212" spans="3:37" x14ac:dyDescent="0.2">
      <c r="C212" s="644" t="s">
        <v>77</v>
      </c>
      <c r="D212" s="645">
        <v>42.533164547275248</v>
      </c>
      <c r="E212" s="645">
        <v>492.37419513671523</v>
      </c>
      <c r="F212" s="645">
        <v>-456.72729975813655</v>
      </c>
      <c r="G212" s="645">
        <v>46.717511888597819</v>
      </c>
      <c r="H212" s="645">
        <v>889.54545454545473</v>
      </c>
      <c r="I212" s="645">
        <v>290.38619522472999</v>
      </c>
      <c r="J212" s="645">
        <v>76.404091824403224</v>
      </c>
      <c r="K212" s="645">
        <v>18.74651114985376</v>
      </c>
      <c r="L212" s="645">
        <v>-24.540793928849673</v>
      </c>
      <c r="M212" s="645">
        <v>-5.3808072382237846</v>
      </c>
      <c r="N212" s="645">
        <v>0</v>
      </c>
      <c r="O212" s="645">
        <v>9.0812335132369491</v>
      </c>
      <c r="P212" s="645">
        <v>-540.17785546008065</v>
      </c>
      <c r="Q212" s="645">
        <v>-34.989958988562719</v>
      </c>
      <c r="R212" s="645">
        <v>-5.0795433673621861</v>
      </c>
      <c r="S212" s="645">
        <v>798.89209908905127</v>
      </c>
      <c r="U212" s="644" t="s">
        <v>77</v>
      </c>
      <c r="V212" s="645">
        <v>5.3110285590231427</v>
      </c>
      <c r="W212" s="645">
        <v>220.47790015098695</v>
      </c>
      <c r="X212" s="645">
        <v>-194.51650690879191</v>
      </c>
      <c r="Y212" s="645">
        <v>19.805187226334116</v>
      </c>
      <c r="Z212" s="645">
        <v>873.030303030303</v>
      </c>
      <c r="AA212" s="645">
        <v>337.06619522473</v>
      </c>
      <c r="AB212" s="645">
        <v>131.18933095255588</v>
      </c>
      <c r="AC212" s="645">
        <v>32.128382455120146</v>
      </c>
      <c r="AD212" s="645">
        <v>-116.69170648178192</v>
      </c>
      <c r="AE212" s="645">
        <v>-58.796508116684997</v>
      </c>
      <c r="AF212" s="645">
        <v>0</v>
      </c>
      <c r="AG212" s="645">
        <v>18.805626470956682</v>
      </c>
      <c r="AH212" s="645">
        <v>-524.40351343206009</v>
      </c>
      <c r="AI212" s="645">
        <v>-68.794771845590574</v>
      </c>
      <c r="AJ212" s="645">
        <v>-28.168396757803269</v>
      </c>
      <c r="AK212" s="645">
        <v>646.44255052729716</v>
      </c>
    </row>
    <row r="213" spans="3:37" x14ac:dyDescent="0.2">
      <c r="C213" s="634"/>
      <c r="D213" s="634">
        <v>0</v>
      </c>
      <c r="E213" s="634">
        <v>0</v>
      </c>
      <c r="F213" s="634">
        <v>0</v>
      </c>
      <c r="G213" s="634">
        <v>0</v>
      </c>
      <c r="H213" s="634">
        <v>0</v>
      </c>
      <c r="I213" s="634">
        <v>0</v>
      </c>
      <c r="J213" s="634">
        <v>0</v>
      </c>
      <c r="K213" s="634">
        <v>0</v>
      </c>
      <c r="L213" s="634">
        <v>0</v>
      </c>
      <c r="M213" s="634">
        <v>0</v>
      </c>
      <c r="N213" s="634">
        <v>0</v>
      </c>
      <c r="O213" s="634">
        <v>0</v>
      </c>
      <c r="P213" s="634">
        <v>0</v>
      </c>
      <c r="Q213" s="634">
        <v>0</v>
      </c>
      <c r="R213" s="634">
        <v>0</v>
      </c>
      <c r="S213" s="634">
        <v>0</v>
      </c>
      <c r="U213" s="634"/>
      <c r="V213" s="634">
        <v>0</v>
      </c>
      <c r="W213" s="634">
        <v>0</v>
      </c>
      <c r="X213" s="634">
        <v>0</v>
      </c>
      <c r="Y213" s="634">
        <v>0</v>
      </c>
      <c r="Z213" s="634">
        <v>0</v>
      </c>
      <c r="AA213" s="634">
        <v>0</v>
      </c>
      <c r="AB213" s="634">
        <v>0</v>
      </c>
      <c r="AC213" s="634">
        <v>0</v>
      </c>
      <c r="AD213" s="634">
        <v>0</v>
      </c>
      <c r="AE213" s="634">
        <v>0</v>
      </c>
      <c r="AF213" s="634">
        <v>0</v>
      </c>
      <c r="AG213" s="634">
        <v>0</v>
      </c>
      <c r="AH213" s="634">
        <v>0</v>
      </c>
      <c r="AI213" s="634">
        <v>0</v>
      </c>
      <c r="AJ213" s="634">
        <v>0</v>
      </c>
      <c r="AK213" s="634">
        <v>0</v>
      </c>
    </row>
    <row r="214" spans="3:37" x14ac:dyDescent="0.2">
      <c r="C214" s="646" t="s">
        <v>78</v>
      </c>
      <c r="D214" s="640">
        <v>4.9901668745901624</v>
      </c>
      <c r="E214" s="640">
        <v>0</v>
      </c>
      <c r="F214" s="640">
        <v>21.091530324656198</v>
      </c>
      <c r="G214" s="640">
        <v>96.151700548391091</v>
      </c>
      <c r="H214" s="640">
        <v>0</v>
      </c>
      <c r="I214" s="640">
        <v>0</v>
      </c>
      <c r="J214" s="640">
        <v>21.387862541024852</v>
      </c>
      <c r="K214" s="640">
        <v>1.7476152779545906</v>
      </c>
      <c r="L214" s="640">
        <v>0.94211085156249985</v>
      </c>
      <c r="M214" s="640">
        <v>1.9807569399951515</v>
      </c>
      <c r="N214" s="640">
        <v>0</v>
      </c>
      <c r="O214" s="640">
        <v>3.7669078281368638E-4</v>
      </c>
      <c r="P214" s="640">
        <v>112.73505933145552</v>
      </c>
      <c r="Q214" s="640">
        <v>16.12568637832603</v>
      </c>
      <c r="R214" s="640">
        <v>0.27920700073242188</v>
      </c>
      <c r="S214" s="648">
        <v>277.43207275947128</v>
      </c>
      <c r="U214" s="646" t="s">
        <v>78</v>
      </c>
      <c r="V214" s="640">
        <v>1.2150050536449819</v>
      </c>
      <c r="W214" s="640">
        <v>0</v>
      </c>
      <c r="X214" s="640">
        <v>6.016341039248414</v>
      </c>
      <c r="Y214" s="640">
        <v>39.709503776891196</v>
      </c>
      <c r="Z214" s="640">
        <v>0</v>
      </c>
      <c r="AA214" s="640">
        <v>0</v>
      </c>
      <c r="AB214" s="640">
        <v>15.202189846170386</v>
      </c>
      <c r="AC214" s="640">
        <v>4.9835801019927617</v>
      </c>
      <c r="AD214" s="640">
        <v>5.6103854980468748</v>
      </c>
      <c r="AE214" s="640">
        <v>28.773635244370734</v>
      </c>
      <c r="AF214" s="640">
        <v>0</v>
      </c>
      <c r="AG214" s="640">
        <v>3.7669078281368638E-4</v>
      </c>
      <c r="AH214" s="640">
        <v>146.07653830614987</v>
      </c>
      <c r="AI214" s="640">
        <v>23.647869298816833</v>
      </c>
      <c r="AJ214" s="640">
        <v>7.4826708984375001</v>
      </c>
      <c r="AK214" s="648">
        <v>278.71809575455239</v>
      </c>
    </row>
    <row r="215" spans="3:37" x14ac:dyDescent="0.2">
      <c r="C215" s="646" t="s">
        <v>79</v>
      </c>
      <c r="D215" s="640">
        <v>0</v>
      </c>
      <c r="E215" s="640">
        <v>0</v>
      </c>
      <c r="F215" s="640">
        <v>235.12748928743429</v>
      </c>
      <c r="G215" s="640">
        <v>31.099379517950805</v>
      </c>
      <c r="H215" s="640">
        <v>0</v>
      </c>
      <c r="I215" s="640">
        <v>0</v>
      </c>
      <c r="J215" s="640">
        <v>0</v>
      </c>
      <c r="K215" s="640">
        <v>0</v>
      </c>
      <c r="L215" s="640">
        <v>22.716725008445675</v>
      </c>
      <c r="M215" s="640">
        <v>0.63468121465205729</v>
      </c>
      <c r="N215" s="640">
        <v>0</v>
      </c>
      <c r="O215" s="640">
        <v>0</v>
      </c>
      <c r="P215" s="640">
        <v>68.565930798083699</v>
      </c>
      <c r="Q215" s="640">
        <v>0</v>
      </c>
      <c r="R215" s="640">
        <v>2.3844112104980786</v>
      </c>
      <c r="S215" s="648">
        <v>360.52861703706463</v>
      </c>
      <c r="U215" s="646" t="s">
        <v>79</v>
      </c>
      <c r="V215" s="640">
        <v>0</v>
      </c>
      <c r="W215" s="640">
        <v>0</v>
      </c>
      <c r="X215" s="640">
        <v>35.128929389637456</v>
      </c>
      <c r="Y215" s="640">
        <v>15.137064293513523</v>
      </c>
      <c r="Z215" s="640">
        <v>0</v>
      </c>
      <c r="AA215" s="640">
        <v>0</v>
      </c>
      <c r="AB215" s="640">
        <v>0</v>
      </c>
      <c r="AC215" s="640">
        <v>0</v>
      </c>
      <c r="AD215" s="640">
        <v>37.187580566982817</v>
      </c>
      <c r="AE215" s="640">
        <v>11.036020535724948</v>
      </c>
      <c r="AF215" s="640">
        <v>0</v>
      </c>
      <c r="AG215" s="640">
        <v>0</v>
      </c>
      <c r="AH215" s="640">
        <v>89.614524523742418</v>
      </c>
      <c r="AI215" s="640">
        <v>0</v>
      </c>
      <c r="AJ215" s="640">
        <v>5.6351763144479268</v>
      </c>
      <c r="AK215" s="648">
        <v>193.73929562404911</v>
      </c>
    </row>
    <row r="216" spans="3:37" x14ac:dyDescent="0.2">
      <c r="C216" s="646" t="s">
        <v>80</v>
      </c>
      <c r="D216" s="640">
        <v>0</v>
      </c>
      <c r="E216" s="640">
        <v>0</v>
      </c>
      <c r="F216" s="640">
        <v>13.724834206032371</v>
      </c>
      <c r="G216" s="640">
        <v>79.131512261322683</v>
      </c>
      <c r="H216" s="640">
        <v>0</v>
      </c>
      <c r="I216" s="640">
        <v>0</v>
      </c>
      <c r="J216" s="640">
        <v>87.797108848078949</v>
      </c>
      <c r="K216" s="640">
        <v>0</v>
      </c>
      <c r="L216" s="640">
        <v>0</v>
      </c>
      <c r="M216" s="640">
        <v>1.6149288216596467</v>
      </c>
      <c r="N216" s="640">
        <v>57.41835645436403</v>
      </c>
      <c r="O216" s="640">
        <v>2.0533643919476137</v>
      </c>
      <c r="P216" s="640">
        <v>189.45880926265392</v>
      </c>
      <c r="Q216" s="640">
        <v>15.417775800116472</v>
      </c>
      <c r="R216" s="640">
        <v>0</v>
      </c>
      <c r="S216" s="648">
        <v>446.61669004617568</v>
      </c>
      <c r="U216" s="646" t="s">
        <v>80</v>
      </c>
      <c r="V216" s="640">
        <v>0</v>
      </c>
      <c r="W216" s="640">
        <v>0</v>
      </c>
      <c r="X216" s="640">
        <v>1.0209129157283405</v>
      </c>
      <c r="Y216" s="640">
        <v>12.832027751754538</v>
      </c>
      <c r="Z216" s="640">
        <v>0</v>
      </c>
      <c r="AA216" s="640">
        <v>0</v>
      </c>
      <c r="AB216" s="640">
        <v>53.270322236782164</v>
      </c>
      <c r="AC216" s="640">
        <v>0</v>
      </c>
      <c r="AD216" s="640">
        <v>0</v>
      </c>
      <c r="AE216" s="640">
        <v>9.2921580271325972</v>
      </c>
      <c r="AF216" s="640">
        <v>88.292344554902868</v>
      </c>
      <c r="AG216" s="640">
        <v>3.9079432862869607</v>
      </c>
      <c r="AH216" s="640">
        <v>146.88666477766319</v>
      </c>
      <c r="AI216" s="640">
        <v>32.427264426374379</v>
      </c>
      <c r="AJ216" s="640">
        <v>0</v>
      </c>
      <c r="AK216" s="648">
        <v>347.92963797662509</v>
      </c>
    </row>
    <row r="217" spans="3:37" x14ac:dyDescent="0.2">
      <c r="C217" s="646" t="s">
        <v>81</v>
      </c>
      <c r="D217" s="640">
        <v>0</v>
      </c>
      <c r="E217" s="640">
        <v>0</v>
      </c>
      <c r="F217" s="640">
        <v>3.9083972405176572</v>
      </c>
      <c r="G217" s="640">
        <v>63.089348266301698</v>
      </c>
      <c r="H217" s="640">
        <v>0</v>
      </c>
      <c r="I217" s="640">
        <v>0</v>
      </c>
      <c r="J217" s="640">
        <v>3.1804221278939271</v>
      </c>
      <c r="K217" s="640">
        <v>2.5219694682056978E-2</v>
      </c>
      <c r="L217" s="640">
        <v>0</v>
      </c>
      <c r="M217" s="640">
        <v>1.287537719720443</v>
      </c>
      <c r="N217" s="640">
        <v>8.4803330998149011</v>
      </c>
      <c r="O217" s="640">
        <v>0.72631919579288284</v>
      </c>
      <c r="P217" s="640">
        <v>140.69299872549993</v>
      </c>
      <c r="Q217" s="640">
        <v>3.4464968101202174</v>
      </c>
      <c r="R217" s="640">
        <v>0</v>
      </c>
      <c r="S217" s="648">
        <v>224.8370728803437</v>
      </c>
      <c r="U217" s="646" t="s">
        <v>81</v>
      </c>
      <c r="V217" s="640">
        <v>0</v>
      </c>
      <c r="W217" s="640">
        <v>0</v>
      </c>
      <c r="X217" s="640">
        <v>1.4952361732398858</v>
      </c>
      <c r="Y217" s="640">
        <v>10.610341518374359</v>
      </c>
      <c r="Z217" s="640">
        <v>0</v>
      </c>
      <c r="AA217" s="640">
        <v>0</v>
      </c>
      <c r="AB217" s="640">
        <v>6.9978977014468793</v>
      </c>
      <c r="AC217" s="640">
        <v>2.5219694682056978E-2</v>
      </c>
      <c r="AD217" s="640">
        <v>0</v>
      </c>
      <c r="AE217" s="640">
        <v>7.6833507546848816</v>
      </c>
      <c r="AF217" s="640">
        <v>14.732239480945108</v>
      </c>
      <c r="AG217" s="640">
        <v>1.5525732622869153</v>
      </c>
      <c r="AH217" s="640">
        <v>115.23036268987886</v>
      </c>
      <c r="AI217" s="640">
        <v>12.719638120399363</v>
      </c>
      <c r="AJ217" s="640">
        <v>0</v>
      </c>
      <c r="AK217" s="648">
        <v>171.04685939593833</v>
      </c>
    </row>
    <row r="218" spans="3:37" x14ac:dyDescent="0.2">
      <c r="C218" s="646" t="s">
        <v>82</v>
      </c>
      <c r="D218" s="640">
        <v>0</v>
      </c>
      <c r="E218" s="640">
        <v>0</v>
      </c>
      <c r="F218" s="640">
        <v>28.471648080197657</v>
      </c>
      <c r="G218" s="640">
        <v>1.0804243241036344</v>
      </c>
      <c r="H218" s="640">
        <v>0</v>
      </c>
      <c r="I218" s="640">
        <v>0</v>
      </c>
      <c r="J218" s="640">
        <v>4.3026845658747828</v>
      </c>
      <c r="K218" s="640">
        <v>0</v>
      </c>
      <c r="L218" s="640">
        <v>3.1299020072385213</v>
      </c>
      <c r="M218" s="640">
        <v>2.2049476002114991E-2</v>
      </c>
      <c r="N218" s="640">
        <v>0</v>
      </c>
      <c r="O218" s="640">
        <v>6.8830690871769351E-2</v>
      </c>
      <c r="P218" s="640">
        <v>5.9739095578527968</v>
      </c>
      <c r="Q218" s="640">
        <v>0</v>
      </c>
      <c r="R218" s="640">
        <v>0</v>
      </c>
      <c r="S218" s="648">
        <v>43.049448702141277</v>
      </c>
      <c r="U218" s="646" t="s">
        <v>82</v>
      </c>
      <c r="V218" s="640">
        <v>0</v>
      </c>
      <c r="W218" s="640">
        <v>0</v>
      </c>
      <c r="X218" s="640">
        <v>5.8604701162543282</v>
      </c>
      <c r="Y218" s="640">
        <v>0.77721189491485598</v>
      </c>
      <c r="Z218" s="640">
        <v>0</v>
      </c>
      <c r="AA218" s="640">
        <v>0</v>
      </c>
      <c r="AB218" s="640">
        <v>4.3026845658747828</v>
      </c>
      <c r="AC218" s="640">
        <v>0</v>
      </c>
      <c r="AD218" s="640">
        <v>30.776202948565647</v>
      </c>
      <c r="AE218" s="640">
        <v>0.56280861355903367</v>
      </c>
      <c r="AF218" s="640">
        <v>0</v>
      </c>
      <c r="AG218" s="640">
        <v>1.5666563685107562</v>
      </c>
      <c r="AH218" s="640">
        <v>6.0858228188406986</v>
      </c>
      <c r="AI218" s="640">
        <v>0</v>
      </c>
      <c r="AJ218" s="640">
        <v>0.36062656029870238</v>
      </c>
      <c r="AK218" s="648">
        <v>50.292483886818808</v>
      </c>
    </row>
    <row r="219" spans="3:37" x14ac:dyDescent="0.2">
      <c r="C219" s="646" t="s">
        <v>354</v>
      </c>
      <c r="D219" s="640">
        <v>0</v>
      </c>
      <c r="E219" s="640">
        <v>0</v>
      </c>
      <c r="F219" s="640">
        <v>0</v>
      </c>
      <c r="G219" s="640">
        <v>0</v>
      </c>
      <c r="H219" s="640">
        <v>0</v>
      </c>
      <c r="I219" s="640">
        <v>0</v>
      </c>
      <c r="J219" s="640">
        <v>0</v>
      </c>
      <c r="K219" s="640">
        <v>0</v>
      </c>
      <c r="L219" s="640">
        <v>0</v>
      </c>
      <c r="M219" s="640">
        <v>0</v>
      </c>
      <c r="N219" s="640">
        <v>0</v>
      </c>
      <c r="O219" s="640">
        <v>0</v>
      </c>
      <c r="P219" s="640">
        <v>0.36</v>
      </c>
      <c r="Q219" s="640">
        <v>0</v>
      </c>
      <c r="R219" s="640">
        <v>0</v>
      </c>
      <c r="S219" s="648">
        <v>0.36</v>
      </c>
      <c r="U219" s="646" t="s">
        <v>354</v>
      </c>
      <c r="V219" s="640">
        <v>0</v>
      </c>
      <c r="W219" s="640">
        <v>0</v>
      </c>
      <c r="X219" s="640">
        <v>0</v>
      </c>
      <c r="Y219" s="640">
        <v>0</v>
      </c>
      <c r="Z219" s="640">
        <v>0</v>
      </c>
      <c r="AA219" s="640">
        <v>0</v>
      </c>
      <c r="AB219" s="640">
        <v>0</v>
      </c>
      <c r="AC219" s="640">
        <v>0</v>
      </c>
      <c r="AD219" s="640">
        <v>0</v>
      </c>
      <c r="AE219" s="640">
        <v>0</v>
      </c>
      <c r="AF219" s="640">
        <v>0</v>
      </c>
      <c r="AG219" s="640">
        <v>0</v>
      </c>
      <c r="AH219" s="640">
        <v>3.12</v>
      </c>
      <c r="AI219" s="640">
        <v>0</v>
      </c>
      <c r="AJ219" s="640">
        <v>0</v>
      </c>
      <c r="AK219" s="648">
        <v>3.12</v>
      </c>
    </row>
    <row r="220" spans="3:37" x14ac:dyDescent="0.2">
      <c r="C220" s="644" t="s">
        <v>83</v>
      </c>
      <c r="D220" s="645">
        <v>4.9901668745901624</v>
      </c>
      <c r="E220" s="645">
        <v>0</v>
      </c>
      <c r="F220" s="645">
        <v>302.32389913883821</v>
      </c>
      <c r="G220" s="645">
        <v>270.55236491806994</v>
      </c>
      <c r="H220" s="645">
        <v>0</v>
      </c>
      <c r="I220" s="645">
        <v>0</v>
      </c>
      <c r="J220" s="645">
        <v>116.66807808287251</v>
      </c>
      <c r="K220" s="645">
        <v>1.7728349726366477</v>
      </c>
      <c r="L220" s="645">
        <v>26.788737867246695</v>
      </c>
      <c r="M220" s="645">
        <v>5.5399541720294136</v>
      </c>
      <c r="N220" s="645">
        <v>65.898689554178929</v>
      </c>
      <c r="O220" s="645">
        <v>2.8488909693950797</v>
      </c>
      <c r="P220" s="645">
        <v>517.78670767554593</v>
      </c>
      <c r="Q220" s="645">
        <v>34.989958988562719</v>
      </c>
      <c r="R220" s="645">
        <v>2.6636182112305002</v>
      </c>
      <c r="S220" s="645">
        <v>1352.8239014251965</v>
      </c>
      <c r="U220" s="644" t="s">
        <v>83</v>
      </c>
      <c r="V220" s="645">
        <v>1.2150050536449819</v>
      </c>
      <c r="W220" s="645">
        <v>0</v>
      </c>
      <c r="X220" s="645">
        <v>49.521889634108419</v>
      </c>
      <c r="Y220" s="645">
        <v>79.066149235448464</v>
      </c>
      <c r="Z220" s="645">
        <v>0</v>
      </c>
      <c r="AA220" s="645">
        <v>0</v>
      </c>
      <c r="AB220" s="645">
        <v>79.773094350274206</v>
      </c>
      <c r="AC220" s="645">
        <v>5.0087997966748192</v>
      </c>
      <c r="AD220" s="645">
        <v>73.574169013595338</v>
      </c>
      <c r="AE220" s="645">
        <v>57.347973175472191</v>
      </c>
      <c r="AF220" s="645">
        <v>103.02458403584798</v>
      </c>
      <c r="AG220" s="645">
        <v>7.0275496078674458</v>
      </c>
      <c r="AH220" s="645">
        <v>507.01391311627498</v>
      </c>
      <c r="AI220" s="645">
        <v>68.794771845590574</v>
      </c>
      <c r="AJ220" s="645">
        <v>13.478473773184128</v>
      </c>
      <c r="AK220" s="645">
        <v>1044.8463726379837</v>
      </c>
    </row>
    <row r="221" spans="3:37" x14ac:dyDescent="0.2">
      <c r="C221" s="639" t="s">
        <v>84</v>
      </c>
      <c r="D221" s="640">
        <v>0</v>
      </c>
      <c r="E221" s="640">
        <v>0</v>
      </c>
      <c r="F221" s="640">
        <v>106.83242416715484</v>
      </c>
      <c r="G221" s="640">
        <v>11.6186457489655</v>
      </c>
      <c r="H221" s="640">
        <v>0</v>
      </c>
      <c r="I221" s="640">
        <v>0</v>
      </c>
      <c r="J221" s="640">
        <v>0</v>
      </c>
      <c r="K221" s="640">
        <v>0</v>
      </c>
      <c r="L221" s="640">
        <v>0</v>
      </c>
      <c r="M221" s="640">
        <v>0</v>
      </c>
      <c r="N221" s="640">
        <v>0</v>
      </c>
      <c r="O221" s="640">
        <v>0</v>
      </c>
      <c r="P221" s="640">
        <v>0</v>
      </c>
      <c r="Q221" s="640">
        <v>0</v>
      </c>
      <c r="R221" s="640">
        <v>2.4159251561316859</v>
      </c>
      <c r="S221" s="648">
        <v>120.86699507225204</v>
      </c>
      <c r="U221" s="639" t="s">
        <v>84</v>
      </c>
      <c r="V221" s="640">
        <v>0</v>
      </c>
      <c r="W221" s="640">
        <v>0</v>
      </c>
      <c r="X221" s="640">
        <v>75.791608178670685</v>
      </c>
      <c r="Y221" s="640">
        <v>0.94004440148578539</v>
      </c>
      <c r="Z221" s="640">
        <v>0</v>
      </c>
      <c r="AA221" s="640">
        <v>0</v>
      </c>
      <c r="AB221" s="640">
        <v>0</v>
      </c>
      <c r="AC221" s="640">
        <v>0</v>
      </c>
      <c r="AD221" s="640">
        <v>21.99170920776367</v>
      </c>
      <c r="AE221" s="640">
        <v>0</v>
      </c>
      <c r="AF221" s="640">
        <v>0</v>
      </c>
      <c r="AG221" s="640">
        <v>0</v>
      </c>
      <c r="AH221" s="640">
        <v>0</v>
      </c>
      <c r="AI221" s="640">
        <v>0</v>
      </c>
      <c r="AJ221" s="640">
        <v>14.689922984619141</v>
      </c>
      <c r="AK221" s="648">
        <v>113.41328477253928</v>
      </c>
    </row>
    <row r="222" spans="3:37" x14ac:dyDescent="0.2">
      <c r="C222" s="644" t="s">
        <v>85</v>
      </c>
      <c r="D222" s="645">
        <v>4.9901668745901624</v>
      </c>
      <c r="E222" s="645">
        <v>0</v>
      </c>
      <c r="F222" s="645">
        <v>409.15632330599311</v>
      </c>
      <c r="G222" s="645">
        <v>282.17101066703543</v>
      </c>
      <c r="H222" s="645">
        <v>0</v>
      </c>
      <c r="I222" s="645">
        <v>0</v>
      </c>
      <c r="J222" s="645">
        <v>116.66807808287251</v>
      </c>
      <c r="K222" s="645">
        <v>1.7728349726366477</v>
      </c>
      <c r="L222" s="645">
        <v>26.788737867246695</v>
      </c>
      <c r="M222" s="645">
        <v>5.5399541720294136</v>
      </c>
      <c r="N222" s="645">
        <v>65.898689554178929</v>
      </c>
      <c r="O222" s="645">
        <v>2.8488909693950797</v>
      </c>
      <c r="P222" s="645">
        <v>517.78670767554593</v>
      </c>
      <c r="Q222" s="645">
        <v>34.989958988562719</v>
      </c>
      <c r="R222" s="645">
        <v>5.0795433673621861</v>
      </c>
      <c r="S222" s="645">
        <v>1473.6908964974484</v>
      </c>
      <c r="U222" s="644" t="s">
        <v>85</v>
      </c>
      <c r="V222" s="645">
        <v>1.2150050536449819</v>
      </c>
      <c r="W222" s="645">
        <v>0</v>
      </c>
      <c r="X222" s="645">
        <v>125.31349781277912</v>
      </c>
      <c r="Y222" s="645">
        <v>80.006193636934256</v>
      </c>
      <c r="Z222" s="645">
        <v>0</v>
      </c>
      <c r="AA222" s="645">
        <v>0</v>
      </c>
      <c r="AB222" s="645">
        <v>79.773094350274206</v>
      </c>
      <c r="AC222" s="645">
        <v>5.0087997966748192</v>
      </c>
      <c r="AD222" s="645">
        <v>95.565878221359014</v>
      </c>
      <c r="AE222" s="645">
        <v>57.347973175472191</v>
      </c>
      <c r="AF222" s="645">
        <v>103.02458403584798</v>
      </c>
      <c r="AG222" s="645">
        <v>7.0275496078674458</v>
      </c>
      <c r="AH222" s="645">
        <v>507.01391311627498</v>
      </c>
      <c r="AI222" s="645">
        <v>68.794771845590574</v>
      </c>
      <c r="AJ222" s="645">
        <v>28.168396757803269</v>
      </c>
      <c r="AK222" s="645">
        <v>1158.2596574105228</v>
      </c>
    </row>
    <row r="223" spans="3:37" x14ac:dyDescent="0.2">
      <c r="C223" s="634"/>
      <c r="D223" s="634"/>
      <c r="E223" s="634"/>
      <c r="F223" s="634"/>
      <c r="G223" s="634"/>
      <c r="H223" s="634"/>
      <c r="I223" s="634"/>
      <c r="J223" s="634"/>
      <c r="K223" s="634"/>
      <c r="L223" s="634"/>
      <c r="M223" s="634"/>
      <c r="N223" s="634"/>
      <c r="O223" s="634"/>
      <c r="P223" s="634"/>
      <c r="Q223" s="634"/>
      <c r="R223" s="634"/>
      <c r="S223" s="634"/>
      <c r="U223" s="634"/>
      <c r="V223" s="634"/>
      <c r="W223" s="634"/>
      <c r="X223" s="634"/>
      <c r="Y223" s="634"/>
      <c r="Z223" s="634"/>
      <c r="AA223" s="634"/>
      <c r="AB223" s="634"/>
      <c r="AC223" s="634"/>
      <c r="AD223" s="634"/>
      <c r="AE223" s="634"/>
      <c r="AF223" s="634"/>
      <c r="AG223" s="634"/>
      <c r="AH223" s="634"/>
      <c r="AI223" s="634"/>
      <c r="AJ223" s="634"/>
      <c r="AK223" s="634"/>
    </row>
    <row r="224" spans="3:37" ht="22.5" x14ac:dyDescent="0.3">
      <c r="C224" s="759" t="s">
        <v>361</v>
      </c>
      <c r="D224" s="759"/>
      <c r="E224" s="759"/>
      <c r="F224" s="759"/>
      <c r="G224" s="759"/>
      <c r="H224" s="759"/>
      <c r="I224" s="759"/>
      <c r="J224" s="759"/>
      <c r="K224" s="759"/>
      <c r="L224" s="759"/>
      <c r="M224" s="759"/>
      <c r="N224" s="759"/>
      <c r="O224" s="759"/>
      <c r="P224" s="759"/>
      <c r="Q224" s="759"/>
      <c r="R224" s="759"/>
      <c r="S224" s="759"/>
      <c r="U224" s="759" t="s">
        <v>361</v>
      </c>
      <c r="V224" s="759"/>
      <c r="W224" s="759"/>
      <c r="X224" s="759"/>
      <c r="Y224" s="759"/>
      <c r="Z224" s="759"/>
      <c r="AA224" s="759"/>
      <c r="AB224" s="759"/>
      <c r="AC224" s="759"/>
      <c r="AD224" s="759"/>
      <c r="AE224" s="759"/>
      <c r="AF224" s="759"/>
      <c r="AG224" s="759"/>
      <c r="AH224" s="759"/>
      <c r="AI224" s="759"/>
      <c r="AJ224" s="759"/>
      <c r="AK224" s="759"/>
    </row>
    <row r="225" spans="3:37" x14ac:dyDescent="0.2">
      <c r="C225" s="634"/>
      <c r="D225" s="634"/>
      <c r="E225" s="634"/>
      <c r="F225" s="634"/>
      <c r="G225" s="634"/>
      <c r="H225" s="634"/>
      <c r="I225" s="634"/>
      <c r="J225" s="634"/>
      <c r="K225" s="634"/>
      <c r="L225" s="634"/>
      <c r="M225" s="634"/>
      <c r="N225" s="634"/>
      <c r="O225" s="634"/>
      <c r="P225" s="634"/>
      <c r="Q225" s="634"/>
      <c r="R225" s="634"/>
      <c r="S225" s="634"/>
      <c r="U225" s="634"/>
      <c r="V225" s="634"/>
      <c r="W225" s="634"/>
      <c r="X225" s="634"/>
      <c r="Y225" s="634"/>
      <c r="Z225" s="634"/>
      <c r="AA225" s="634"/>
      <c r="AB225" s="634"/>
      <c r="AC225" s="634"/>
      <c r="AD225" s="634"/>
      <c r="AE225" s="634"/>
      <c r="AF225" s="634"/>
      <c r="AG225" s="634"/>
      <c r="AH225" s="634"/>
      <c r="AI225" s="634"/>
      <c r="AJ225" s="634"/>
      <c r="AK225" s="634"/>
    </row>
    <row r="226" spans="3:37" ht="12.95" customHeight="1" x14ac:dyDescent="0.2">
      <c r="C226" s="758" t="s">
        <v>128</v>
      </c>
      <c r="D226" s="757" t="s">
        <v>42</v>
      </c>
      <c r="E226" s="757" t="s">
        <v>52</v>
      </c>
      <c r="F226" s="757" t="s">
        <v>53</v>
      </c>
      <c r="G226" s="757" t="s">
        <v>32</v>
      </c>
      <c r="H226" s="757" t="s">
        <v>20</v>
      </c>
      <c r="I226" s="757" t="s">
        <v>55</v>
      </c>
      <c r="J226" s="757" t="s">
        <v>56</v>
      </c>
      <c r="K226" s="757"/>
      <c r="L226" s="757"/>
      <c r="M226" s="757"/>
      <c r="N226" s="757"/>
      <c r="O226" s="757"/>
      <c r="P226" s="757" t="s">
        <v>57</v>
      </c>
      <c r="Q226" s="757" t="s">
        <v>58</v>
      </c>
      <c r="R226" s="757" t="s">
        <v>31</v>
      </c>
      <c r="S226" s="757" t="s">
        <v>10</v>
      </c>
      <c r="U226" s="758" t="s">
        <v>128</v>
      </c>
      <c r="V226" s="757" t="s">
        <v>42</v>
      </c>
      <c r="W226" s="757" t="s">
        <v>52</v>
      </c>
      <c r="X226" s="757" t="s">
        <v>53</v>
      </c>
      <c r="Y226" s="757" t="s">
        <v>32</v>
      </c>
      <c r="Z226" s="757" t="s">
        <v>20</v>
      </c>
      <c r="AA226" s="757" t="s">
        <v>55</v>
      </c>
      <c r="AB226" s="757" t="s">
        <v>56</v>
      </c>
      <c r="AC226" s="757"/>
      <c r="AD226" s="757"/>
      <c r="AE226" s="757"/>
      <c r="AF226" s="757"/>
      <c r="AG226" s="757"/>
      <c r="AH226" s="757" t="s">
        <v>57</v>
      </c>
      <c r="AI226" s="757" t="s">
        <v>58</v>
      </c>
      <c r="AJ226" s="757" t="s">
        <v>31</v>
      </c>
      <c r="AK226" s="757" t="s">
        <v>10</v>
      </c>
    </row>
    <row r="227" spans="3:37" ht="56.25" x14ac:dyDescent="0.2">
      <c r="C227" s="758"/>
      <c r="D227" s="757"/>
      <c r="E227" s="757"/>
      <c r="F227" s="757"/>
      <c r="G227" s="757"/>
      <c r="H227" s="757"/>
      <c r="I227" s="757"/>
      <c r="J227" s="638" t="s">
        <v>335</v>
      </c>
      <c r="K227" s="638" t="s">
        <v>40</v>
      </c>
      <c r="L227" s="638" t="s">
        <v>343</v>
      </c>
      <c r="M227" s="638" t="s">
        <v>344</v>
      </c>
      <c r="N227" s="638" t="s">
        <v>345</v>
      </c>
      <c r="O227" s="638" t="s">
        <v>346</v>
      </c>
      <c r="P227" s="757"/>
      <c r="Q227" s="757"/>
      <c r="R227" s="757"/>
      <c r="S227" s="757"/>
      <c r="U227" s="758"/>
      <c r="V227" s="757"/>
      <c r="W227" s="757"/>
      <c r="X227" s="757"/>
      <c r="Y227" s="757"/>
      <c r="Z227" s="757"/>
      <c r="AA227" s="757"/>
      <c r="AB227" s="638" t="s">
        <v>335</v>
      </c>
      <c r="AC227" s="638" t="s">
        <v>40</v>
      </c>
      <c r="AD227" s="638" t="s">
        <v>343</v>
      </c>
      <c r="AE227" s="638" t="s">
        <v>344</v>
      </c>
      <c r="AF227" s="638" t="s">
        <v>345</v>
      </c>
      <c r="AG227" s="638" t="s">
        <v>346</v>
      </c>
      <c r="AH227" s="757"/>
      <c r="AI227" s="757"/>
      <c r="AJ227" s="757"/>
      <c r="AK227" s="757"/>
    </row>
    <row r="228" spans="3:37" x14ac:dyDescent="0.2">
      <c r="C228" s="639" t="s">
        <v>59</v>
      </c>
      <c r="D228" s="640">
        <v>0</v>
      </c>
      <c r="E228" s="641">
        <v>0</v>
      </c>
      <c r="F228" s="641">
        <v>0</v>
      </c>
      <c r="G228" s="640">
        <v>0</v>
      </c>
      <c r="H228" s="641">
        <v>843.18181818181824</v>
      </c>
      <c r="I228" s="641">
        <v>306.94588327561422</v>
      </c>
      <c r="J228" s="641">
        <v>187.92158364867245</v>
      </c>
      <c r="K228" s="641">
        <v>20.316638839186872</v>
      </c>
      <c r="L228" s="641">
        <v>0.58650482505924006</v>
      </c>
      <c r="M228" s="641">
        <v>0.15964026893196048</v>
      </c>
      <c r="N228" s="641">
        <v>67.964408038916218</v>
      </c>
      <c r="O228" s="641">
        <v>11.973026235836867</v>
      </c>
      <c r="P228" s="642">
        <v>0</v>
      </c>
      <c r="Q228" s="641">
        <v>0</v>
      </c>
      <c r="R228" s="641">
        <v>0</v>
      </c>
      <c r="S228" s="643">
        <v>1439.0495033140362</v>
      </c>
      <c r="U228" s="639" t="s">
        <v>59</v>
      </c>
      <c r="V228" s="640">
        <v>0</v>
      </c>
      <c r="W228" s="641">
        <v>0</v>
      </c>
      <c r="X228" s="641">
        <v>0</v>
      </c>
      <c r="Y228" s="640">
        <v>0</v>
      </c>
      <c r="Z228" s="641">
        <v>842.12121212121212</v>
      </c>
      <c r="AA228" s="641">
        <v>361.66588327561419</v>
      </c>
      <c r="AB228" s="641">
        <v>209.7499476733077</v>
      </c>
      <c r="AC228" s="641">
        <v>36.742499370225779</v>
      </c>
      <c r="AD228" s="641">
        <v>0.58650482505924006</v>
      </c>
      <c r="AE228" s="641">
        <v>0.15964026893196048</v>
      </c>
      <c r="AF228" s="641">
        <v>109.8518848230913</v>
      </c>
      <c r="AG228" s="641">
        <v>27.041217028647232</v>
      </c>
      <c r="AH228" s="642">
        <v>0</v>
      </c>
      <c r="AI228" s="641">
        <v>0</v>
      </c>
      <c r="AJ228" s="641">
        <v>0</v>
      </c>
      <c r="AK228" s="643">
        <v>1587.9187893860897</v>
      </c>
    </row>
    <row r="229" spans="3:37" x14ac:dyDescent="0.2">
      <c r="C229" s="639" t="s">
        <v>60</v>
      </c>
      <c r="D229" s="640">
        <v>47.14481987923083</v>
      </c>
      <c r="E229" s="641">
        <v>484.495467583368</v>
      </c>
      <c r="F229" s="641">
        <v>50.019697053221719</v>
      </c>
      <c r="G229" s="640">
        <v>326.09010493911637</v>
      </c>
      <c r="H229" s="641">
        <v>0</v>
      </c>
      <c r="I229" s="641">
        <v>0</v>
      </c>
      <c r="J229" s="641">
        <v>5.0764589906360387</v>
      </c>
      <c r="K229" s="641">
        <v>0</v>
      </c>
      <c r="L229" s="641">
        <v>2.7571319279134792</v>
      </c>
      <c r="M229" s="641">
        <v>0</v>
      </c>
      <c r="N229" s="641">
        <v>0</v>
      </c>
      <c r="O229" s="641">
        <v>0</v>
      </c>
      <c r="P229" s="642">
        <v>0</v>
      </c>
      <c r="Q229" s="641">
        <v>0</v>
      </c>
      <c r="R229" s="641">
        <v>0</v>
      </c>
      <c r="S229" s="643">
        <v>915.58368037348657</v>
      </c>
      <c r="U229" s="639" t="s">
        <v>60</v>
      </c>
      <c r="V229" s="640">
        <v>5.8768320762591904</v>
      </c>
      <c r="W229" s="641">
        <v>189.94114801549574</v>
      </c>
      <c r="X229" s="641">
        <v>14.41607041492888</v>
      </c>
      <c r="Y229" s="640">
        <v>81.728531694283333</v>
      </c>
      <c r="Z229" s="641">
        <v>0</v>
      </c>
      <c r="AA229" s="641">
        <v>0</v>
      </c>
      <c r="AB229" s="641">
        <v>5.0764589906360387</v>
      </c>
      <c r="AC229" s="641">
        <v>0</v>
      </c>
      <c r="AD229" s="641">
        <v>2.7571319279134792</v>
      </c>
      <c r="AE229" s="641">
        <v>0</v>
      </c>
      <c r="AF229" s="641">
        <v>0</v>
      </c>
      <c r="AG229" s="641">
        <v>0</v>
      </c>
      <c r="AH229" s="642">
        <v>0</v>
      </c>
      <c r="AI229" s="641">
        <v>0</v>
      </c>
      <c r="AJ229" s="641">
        <v>0</v>
      </c>
      <c r="AK229" s="643">
        <v>299.79617311951665</v>
      </c>
    </row>
    <row r="230" spans="3:37" x14ac:dyDescent="0.2">
      <c r="C230" s="639" t="s">
        <v>61</v>
      </c>
      <c r="D230" s="640">
        <v>0</v>
      </c>
      <c r="E230" s="641">
        <v>0</v>
      </c>
      <c r="F230" s="641">
        <v>0</v>
      </c>
      <c r="G230" s="640">
        <v>0</v>
      </c>
      <c r="H230" s="641">
        <v>0</v>
      </c>
      <c r="I230" s="641">
        <v>0</v>
      </c>
      <c r="J230" s="641">
        <v>0</v>
      </c>
      <c r="K230" s="641">
        <v>0</v>
      </c>
      <c r="L230" s="641">
        <v>0</v>
      </c>
      <c r="M230" s="641">
        <v>0</v>
      </c>
      <c r="N230" s="641">
        <v>0</v>
      </c>
      <c r="O230" s="641">
        <v>0</v>
      </c>
      <c r="P230" s="642">
        <v>-16.706363002811486</v>
      </c>
      <c r="Q230" s="641">
        <v>0</v>
      </c>
      <c r="R230" s="641">
        <v>0</v>
      </c>
      <c r="S230" s="643">
        <v>-16.706363002811486</v>
      </c>
      <c r="U230" s="639" t="s">
        <v>61</v>
      </c>
      <c r="V230" s="640">
        <v>0</v>
      </c>
      <c r="W230" s="641">
        <v>0</v>
      </c>
      <c r="X230" s="641">
        <v>-18.378136852904419</v>
      </c>
      <c r="Y230" s="640">
        <v>0</v>
      </c>
      <c r="Z230" s="641">
        <v>0</v>
      </c>
      <c r="AA230" s="641">
        <v>0</v>
      </c>
      <c r="AB230" s="641">
        <v>0</v>
      </c>
      <c r="AC230" s="641">
        <v>0</v>
      </c>
      <c r="AD230" s="641">
        <v>0</v>
      </c>
      <c r="AE230" s="641">
        <v>0</v>
      </c>
      <c r="AF230" s="641">
        <v>0</v>
      </c>
      <c r="AG230" s="641">
        <v>0</v>
      </c>
      <c r="AH230" s="642">
        <v>-20.522831714543145</v>
      </c>
      <c r="AI230" s="641">
        <v>0</v>
      </c>
      <c r="AJ230" s="641">
        <v>0</v>
      </c>
      <c r="AK230" s="643">
        <v>-38.900968567447563</v>
      </c>
    </row>
    <row r="231" spans="3:37" x14ac:dyDescent="0.2">
      <c r="C231" s="639" t="s">
        <v>62</v>
      </c>
      <c r="D231" s="640">
        <v>0</v>
      </c>
      <c r="E231" s="641">
        <v>0</v>
      </c>
      <c r="F231" s="641">
        <v>-15.257294848391862</v>
      </c>
      <c r="G231" s="640">
        <v>0</v>
      </c>
      <c r="H231" s="641">
        <v>0</v>
      </c>
      <c r="I231" s="641">
        <v>0</v>
      </c>
      <c r="J231" s="641">
        <v>0</v>
      </c>
      <c r="K231" s="641">
        <v>0</v>
      </c>
      <c r="L231" s="641">
        <v>0</v>
      </c>
      <c r="M231" s="641">
        <v>0</v>
      </c>
      <c r="N231" s="641">
        <v>0</v>
      </c>
      <c r="O231" s="641">
        <v>0</v>
      </c>
      <c r="P231" s="642">
        <v>0</v>
      </c>
      <c r="Q231" s="641">
        <v>0</v>
      </c>
      <c r="R231" s="641">
        <v>0</v>
      </c>
      <c r="S231" s="643">
        <v>-15.257294848391862</v>
      </c>
      <c r="U231" s="639" t="s">
        <v>62</v>
      </c>
      <c r="V231" s="640">
        <v>0</v>
      </c>
      <c r="W231" s="641">
        <v>0</v>
      </c>
      <c r="X231" s="641">
        <v>-7.5188933675233587</v>
      </c>
      <c r="Y231" s="640">
        <v>-2.1851276585702322</v>
      </c>
      <c r="Z231" s="641">
        <v>0</v>
      </c>
      <c r="AA231" s="641">
        <v>0</v>
      </c>
      <c r="AB231" s="641">
        <v>0</v>
      </c>
      <c r="AC231" s="641">
        <v>0</v>
      </c>
      <c r="AD231" s="641">
        <v>0</v>
      </c>
      <c r="AE231" s="641">
        <v>-2.1851276585702322</v>
      </c>
      <c r="AF231" s="641">
        <v>0</v>
      </c>
      <c r="AG231" s="641">
        <v>0</v>
      </c>
      <c r="AH231" s="642">
        <v>0</v>
      </c>
      <c r="AI231" s="641">
        <v>0</v>
      </c>
      <c r="AJ231" s="641">
        <v>0</v>
      </c>
      <c r="AK231" s="643">
        <v>-11.889148684663823</v>
      </c>
    </row>
    <row r="232" spans="3:37" x14ac:dyDescent="0.2">
      <c r="C232" s="639" t="s">
        <v>63</v>
      </c>
      <c r="D232" s="640">
        <v>0</v>
      </c>
      <c r="E232" s="641">
        <v>0</v>
      </c>
      <c r="F232" s="641">
        <v>-90.982589622358091</v>
      </c>
      <c r="G232" s="640">
        <v>0</v>
      </c>
      <c r="H232" s="641">
        <v>0</v>
      </c>
      <c r="I232" s="641">
        <v>0</v>
      </c>
      <c r="J232" s="641">
        <v>0</v>
      </c>
      <c r="K232" s="641">
        <v>0</v>
      </c>
      <c r="L232" s="641">
        <v>-0.93561585486744514</v>
      </c>
      <c r="M232" s="641">
        <v>0</v>
      </c>
      <c r="N232" s="641">
        <v>0</v>
      </c>
      <c r="O232" s="641">
        <v>0</v>
      </c>
      <c r="P232" s="642">
        <v>0</v>
      </c>
      <c r="Q232" s="641">
        <v>0</v>
      </c>
      <c r="R232" s="641">
        <v>0</v>
      </c>
      <c r="S232" s="643">
        <v>-91.918205477225541</v>
      </c>
      <c r="U232" s="639" t="s">
        <v>63</v>
      </c>
      <c r="V232" s="640">
        <v>0</v>
      </c>
      <c r="W232" s="641">
        <v>0</v>
      </c>
      <c r="X232" s="641">
        <v>-53.656928796434556</v>
      </c>
      <c r="Y232" s="640">
        <v>0</v>
      </c>
      <c r="Z232" s="641">
        <v>0</v>
      </c>
      <c r="AA232" s="641">
        <v>0</v>
      </c>
      <c r="AB232" s="641">
        <v>0</v>
      </c>
      <c r="AC232" s="641">
        <v>0</v>
      </c>
      <c r="AD232" s="641">
        <v>-28.297456853591466</v>
      </c>
      <c r="AE232" s="641">
        <v>0</v>
      </c>
      <c r="AF232" s="641">
        <v>0</v>
      </c>
      <c r="AG232" s="641">
        <v>0</v>
      </c>
      <c r="AH232" s="642">
        <v>0</v>
      </c>
      <c r="AI232" s="641">
        <v>0</v>
      </c>
      <c r="AJ232" s="641">
        <v>0</v>
      </c>
      <c r="AK232" s="643">
        <v>-81.954385650026026</v>
      </c>
    </row>
    <row r="233" spans="3:37" x14ac:dyDescent="0.2">
      <c r="C233" s="639" t="s">
        <v>64</v>
      </c>
      <c r="D233" s="640">
        <v>0</v>
      </c>
      <c r="E233" s="641">
        <v>0</v>
      </c>
      <c r="F233" s="641">
        <v>0</v>
      </c>
      <c r="G233" s="640">
        <v>0</v>
      </c>
      <c r="H233" s="641">
        <v>0</v>
      </c>
      <c r="I233" s="641">
        <v>0</v>
      </c>
      <c r="J233" s="641">
        <v>0</v>
      </c>
      <c r="K233" s="641">
        <v>0</v>
      </c>
      <c r="L233" s="641">
        <v>0</v>
      </c>
      <c r="M233" s="641">
        <v>0</v>
      </c>
      <c r="N233" s="641">
        <v>0</v>
      </c>
      <c r="O233" s="641">
        <v>0</v>
      </c>
      <c r="P233" s="642">
        <v>0</v>
      </c>
      <c r="Q233" s="641">
        <v>0</v>
      </c>
      <c r="R233" s="641">
        <v>0</v>
      </c>
      <c r="S233" s="643">
        <v>0</v>
      </c>
      <c r="U233" s="639" t="s">
        <v>64</v>
      </c>
      <c r="V233" s="640">
        <v>0</v>
      </c>
      <c r="W233" s="641">
        <v>0</v>
      </c>
      <c r="X233" s="641">
        <v>0</v>
      </c>
      <c r="Y233" s="640">
        <v>0</v>
      </c>
      <c r="Z233" s="641">
        <v>0</v>
      </c>
      <c r="AA233" s="641">
        <v>0</v>
      </c>
      <c r="AB233" s="641">
        <v>0</v>
      </c>
      <c r="AC233" s="641">
        <v>0</v>
      </c>
      <c r="AD233" s="641">
        <v>0</v>
      </c>
      <c r="AE233" s="641">
        <v>0</v>
      </c>
      <c r="AF233" s="641">
        <v>0</v>
      </c>
      <c r="AG233" s="641">
        <v>0</v>
      </c>
      <c r="AH233" s="642">
        <v>0</v>
      </c>
      <c r="AI233" s="641">
        <v>0</v>
      </c>
      <c r="AJ233" s="641">
        <v>0</v>
      </c>
      <c r="AK233" s="643">
        <v>0</v>
      </c>
    </row>
    <row r="234" spans="3:37" x14ac:dyDescent="0.2">
      <c r="C234" s="644" t="s">
        <v>65</v>
      </c>
      <c r="D234" s="645">
        <v>47.14481987923083</v>
      </c>
      <c r="E234" s="645">
        <v>484.495467583368</v>
      </c>
      <c r="F234" s="645">
        <v>-56.220187417528237</v>
      </c>
      <c r="G234" s="645">
        <v>326.09010493911637</v>
      </c>
      <c r="H234" s="645">
        <v>843.18181818181824</v>
      </c>
      <c r="I234" s="645">
        <v>306.94588327561422</v>
      </c>
      <c r="J234" s="645">
        <v>192.99804263930849</v>
      </c>
      <c r="K234" s="645">
        <v>20.316638839186872</v>
      </c>
      <c r="L234" s="645">
        <v>2.4080208981052738</v>
      </c>
      <c r="M234" s="645">
        <v>0.15964026893196048</v>
      </c>
      <c r="N234" s="645">
        <v>67.964408038916218</v>
      </c>
      <c r="O234" s="645">
        <v>11.973026235836867</v>
      </c>
      <c r="P234" s="645">
        <v>-16.706363002811486</v>
      </c>
      <c r="Q234" s="645">
        <v>0</v>
      </c>
      <c r="R234" s="645">
        <v>0</v>
      </c>
      <c r="S234" s="645">
        <v>2230.7513203590943</v>
      </c>
      <c r="U234" s="644" t="s">
        <v>65</v>
      </c>
      <c r="V234" s="645">
        <v>5.8768320762591904</v>
      </c>
      <c r="W234" s="645">
        <v>189.94114801549574</v>
      </c>
      <c r="X234" s="645">
        <v>-65.137888601933454</v>
      </c>
      <c r="Y234" s="645">
        <v>79.543404035713095</v>
      </c>
      <c r="Z234" s="645">
        <v>842.12121212121212</v>
      </c>
      <c r="AA234" s="645">
        <v>361.66588327561419</v>
      </c>
      <c r="AB234" s="645">
        <v>214.82640666394374</v>
      </c>
      <c r="AC234" s="645">
        <v>36.742499370225779</v>
      </c>
      <c r="AD234" s="645">
        <v>-24.953820100618749</v>
      </c>
      <c r="AE234" s="645">
        <v>-2.0254873896382719</v>
      </c>
      <c r="AF234" s="645">
        <v>109.8518848230913</v>
      </c>
      <c r="AG234" s="645">
        <v>27.041217028647232</v>
      </c>
      <c r="AH234" s="645">
        <v>-20.522831714543145</v>
      </c>
      <c r="AI234" s="645">
        <v>0</v>
      </c>
      <c r="AJ234" s="645">
        <v>0</v>
      </c>
      <c r="AK234" s="645">
        <v>1754.970459603469</v>
      </c>
    </row>
    <row r="235" spans="3:37" x14ac:dyDescent="0.2">
      <c r="C235" s="634"/>
      <c r="D235" s="634">
        <v>0</v>
      </c>
      <c r="E235" s="634">
        <v>0</v>
      </c>
      <c r="F235" s="634">
        <v>0</v>
      </c>
      <c r="G235" s="634">
        <v>0</v>
      </c>
      <c r="H235" s="634">
        <v>0</v>
      </c>
      <c r="I235" s="634">
        <v>0</v>
      </c>
      <c r="J235" s="634">
        <v>0</v>
      </c>
      <c r="K235" s="634">
        <v>0</v>
      </c>
      <c r="L235" s="634">
        <v>0</v>
      </c>
      <c r="M235" s="634">
        <v>0</v>
      </c>
      <c r="N235" s="634">
        <v>0</v>
      </c>
      <c r="O235" s="634">
        <v>0</v>
      </c>
      <c r="P235" s="634">
        <v>0</v>
      </c>
      <c r="Q235" s="634">
        <v>0</v>
      </c>
      <c r="R235" s="634">
        <v>0</v>
      </c>
      <c r="S235" s="634">
        <v>0</v>
      </c>
      <c r="U235" s="634"/>
      <c r="V235" s="634">
        <v>0</v>
      </c>
      <c r="W235" s="634">
        <v>0</v>
      </c>
      <c r="X235" s="634">
        <v>0</v>
      </c>
      <c r="Y235" s="634">
        <v>0</v>
      </c>
      <c r="Z235" s="634">
        <v>0</v>
      </c>
      <c r="AA235" s="634">
        <v>0</v>
      </c>
      <c r="AB235" s="634">
        <v>0</v>
      </c>
      <c r="AC235" s="634">
        <v>0</v>
      </c>
      <c r="AD235" s="634">
        <v>0</v>
      </c>
      <c r="AE235" s="634">
        <v>0</v>
      </c>
      <c r="AF235" s="634">
        <v>0</v>
      </c>
      <c r="AG235" s="634">
        <v>0</v>
      </c>
      <c r="AH235" s="634">
        <v>0</v>
      </c>
      <c r="AI235" s="634">
        <v>0</v>
      </c>
      <c r="AJ235" s="634">
        <v>0</v>
      </c>
      <c r="AK235" s="634">
        <v>0</v>
      </c>
    </row>
    <row r="236" spans="3:37" x14ac:dyDescent="0.2">
      <c r="C236" s="646" t="s">
        <v>67</v>
      </c>
      <c r="D236" s="640">
        <v>0</v>
      </c>
      <c r="E236" s="647">
        <v>0</v>
      </c>
      <c r="F236" s="647">
        <v>0</v>
      </c>
      <c r="G236" s="640">
        <v>0</v>
      </c>
      <c r="H236" s="640">
        <v>0</v>
      </c>
      <c r="I236" s="640">
        <v>0</v>
      </c>
      <c r="J236" s="640">
        <v>0</v>
      </c>
      <c r="K236" s="640">
        <v>0</v>
      </c>
      <c r="L236" s="640">
        <v>0</v>
      </c>
      <c r="M236" s="640">
        <v>0</v>
      </c>
      <c r="N236" s="640">
        <v>0</v>
      </c>
      <c r="O236" s="640">
        <v>0</v>
      </c>
      <c r="P236" s="640">
        <v>0</v>
      </c>
      <c r="Q236" s="640">
        <v>0</v>
      </c>
      <c r="R236" s="640">
        <v>0</v>
      </c>
      <c r="S236" s="648">
        <v>0</v>
      </c>
      <c r="U236" s="646" t="s">
        <v>67</v>
      </c>
      <c r="V236" s="640">
        <v>0</v>
      </c>
      <c r="W236" s="647">
        <v>0</v>
      </c>
      <c r="X236" s="647">
        <v>0</v>
      </c>
      <c r="Y236" s="640">
        <v>0</v>
      </c>
      <c r="Z236" s="640">
        <v>0</v>
      </c>
      <c r="AA236" s="640">
        <v>0</v>
      </c>
      <c r="AB236" s="640">
        <v>0</v>
      </c>
      <c r="AC236" s="640">
        <v>0</v>
      </c>
      <c r="AD236" s="640">
        <v>0</v>
      </c>
      <c r="AE236" s="640">
        <v>0</v>
      </c>
      <c r="AF236" s="640">
        <v>0</v>
      </c>
      <c r="AG236" s="640">
        <v>0</v>
      </c>
      <c r="AH236" s="640">
        <v>0</v>
      </c>
      <c r="AI236" s="640">
        <v>0</v>
      </c>
      <c r="AJ236" s="640">
        <v>0</v>
      </c>
      <c r="AK236" s="648">
        <v>0</v>
      </c>
    </row>
    <row r="237" spans="3:37" x14ac:dyDescent="0.2">
      <c r="C237" s="646" t="s">
        <v>347</v>
      </c>
      <c r="D237" s="640">
        <v>2.8267856410252494</v>
      </c>
      <c r="E237" s="640">
        <v>0</v>
      </c>
      <c r="F237" s="640">
        <v>7.9230776783294274</v>
      </c>
      <c r="G237" s="640">
        <v>16.680851063829788</v>
      </c>
      <c r="H237" s="640">
        <v>843.18181818181824</v>
      </c>
      <c r="I237" s="640">
        <v>306.94588327561422</v>
      </c>
      <c r="J237" s="649">
        <v>28.98717588629853</v>
      </c>
      <c r="K237" s="649">
        <v>6.5903281241207718</v>
      </c>
      <c r="L237" s="649">
        <v>3.3436367529727189</v>
      </c>
      <c r="M237" s="649">
        <v>0.46654149749263618</v>
      </c>
      <c r="N237" s="649">
        <v>0</v>
      </c>
      <c r="O237" s="649">
        <v>7.0184114557160298</v>
      </c>
      <c r="P237" s="640">
        <v>-616.92993037811448</v>
      </c>
      <c r="Q237" s="640">
        <v>0</v>
      </c>
      <c r="R237" s="640">
        <v>0</v>
      </c>
      <c r="S237" s="648">
        <v>607.03457917910316</v>
      </c>
      <c r="U237" s="646" t="s">
        <v>347</v>
      </c>
      <c r="V237" s="640">
        <v>0.62631490545869017</v>
      </c>
      <c r="W237" s="640">
        <v>0</v>
      </c>
      <c r="X237" s="640">
        <v>4.0594413146930641</v>
      </c>
      <c r="Y237" s="640">
        <v>2.3404255319148937</v>
      </c>
      <c r="Z237" s="640">
        <v>842.12121212121212</v>
      </c>
      <c r="AA237" s="640">
        <v>361.66588327561419</v>
      </c>
      <c r="AB237" s="649">
        <v>23.182357378111952</v>
      </c>
      <c r="AC237" s="649">
        <v>5.3775678130216455</v>
      </c>
      <c r="AD237" s="649">
        <v>3.3436367529727189</v>
      </c>
      <c r="AE237" s="649">
        <v>2.4665414974926363</v>
      </c>
      <c r="AF237" s="649">
        <v>0</v>
      </c>
      <c r="AG237" s="649">
        <v>7.0184114557160298</v>
      </c>
      <c r="AH237" s="640">
        <v>-662.7499303781143</v>
      </c>
      <c r="AI237" s="640">
        <v>0</v>
      </c>
      <c r="AJ237" s="640">
        <v>4.25</v>
      </c>
      <c r="AK237" s="648">
        <v>593.70186166809344</v>
      </c>
    </row>
    <row r="238" spans="3:37" x14ac:dyDescent="0.2">
      <c r="C238" s="646" t="s">
        <v>348</v>
      </c>
      <c r="D238" s="640">
        <v>0</v>
      </c>
      <c r="E238" s="640">
        <v>0</v>
      </c>
      <c r="F238" s="640">
        <v>0</v>
      </c>
      <c r="G238" s="640">
        <v>14.843815057329421</v>
      </c>
      <c r="H238" s="640">
        <v>0</v>
      </c>
      <c r="I238" s="640">
        <v>0</v>
      </c>
      <c r="J238" s="649">
        <v>12.357161229114668</v>
      </c>
      <c r="K238" s="649">
        <v>11.882304060636951</v>
      </c>
      <c r="L238" s="649">
        <v>0</v>
      </c>
      <c r="M238" s="649">
        <v>0.31804644322561132</v>
      </c>
      <c r="N238" s="649">
        <v>0</v>
      </c>
      <c r="O238" s="649">
        <v>2.0992086164963606</v>
      </c>
      <c r="P238" s="640">
        <v>0</v>
      </c>
      <c r="Q238" s="640">
        <v>-37.805081951347923</v>
      </c>
      <c r="R238" s="640">
        <v>0</v>
      </c>
      <c r="S238" s="648">
        <v>3.6954534554550835</v>
      </c>
      <c r="U238" s="646" t="s">
        <v>348</v>
      </c>
      <c r="V238" s="640">
        <v>0</v>
      </c>
      <c r="W238" s="640">
        <v>0</v>
      </c>
      <c r="X238" s="640">
        <v>0</v>
      </c>
      <c r="Y238" s="640">
        <v>6.4668066457611202</v>
      </c>
      <c r="Z238" s="640">
        <v>0</v>
      </c>
      <c r="AA238" s="640">
        <v>0</v>
      </c>
      <c r="AB238" s="649">
        <v>28.361573193229066</v>
      </c>
      <c r="AC238" s="649">
        <v>26.076316433417247</v>
      </c>
      <c r="AD238" s="649">
        <v>0</v>
      </c>
      <c r="AE238" s="649">
        <v>6.4819180878167435</v>
      </c>
      <c r="AF238" s="649">
        <v>0</v>
      </c>
      <c r="AG238" s="649">
        <v>12.550380584079129</v>
      </c>
      <c r="AH238" s="640">
        <v>0</v>
      </c>
      <c r="AI238" s="640">
        <v>-74.043519390541746</v>
      </c>
      <c r="AJ238" s="640">
        <v>0</v>
      </c>
      <c r="AK238" s="648">
        <v>5.8934755537615651</v>
      </c>
    </row>
    <row r="239" spans="3:37" x14ac:dyDescent="0.2">
      <c r="C239" s="646" t="s">
        <v>349</v>
      </c>
      <c r="D239" s="640">
        <v>0</v>
      </c>
      <c r="E239" s="640">
        <v>0</v>
      </c>
      <c r="F239" s="640">
        <v>0</v>
      </c>
      <c r="G239" s="640">
        <v>0</v>
      </c>
      <c r="H239" s="640">
        <v>0</v>
      </c>
      <c r="I239" s="640">
        <v>0</v>
      </c>
      <c r="J239" s="650">
        <v>6.8755991242523775</v>
      </c>
      <c r="K239" s="650">
        <v>0</v>
      </c>
      <c r="L239" s="650">
        <v>0</v>
      </c>
      <c r="M239" s="650">
        <v>-6.4200906822706569</v>
      </c>
      <c r="N239" s="650">
        <v>0</v>
      </c>
      <c r="O239" s="650">
        <v>0</v>
      </c>
      <c r="P239" s="640">
        <v>0</v>
      </c>
      <c r="Q239" s="640">
        <v>0</v>
      </c>
      <c r="R239" s="640">
        <v>0</v>
      </c>
      <c r="S239" s="648">
        <v>0.45550844198172058</v>
      </c>
      <c r="U239" s="646" t="s">
        <v>349</v>
      </c>
      <c r="V239" s="640">
        <v>0</v>
      </c>
      <c r="W239" s="640">
        <v>0</v>
      </c>
      <c r="X239" s="640">
        <v>0</v>
      </c>
      <c r="Y239" s="640">
        <v>0</v>
      </c>
      <c r="Z239" s="640">
        <v>0</v>
      </c>
      <c r="AA239" s="640">
        <v>0</v>
      </c>
      <c r="AB239" s="650">
        <v>86.654179241552072</v>
      </c>
      <c r="AC239" s="650">
        <v>0</v>
      </c>
      <c r="AD239" s="650">
        <v>0</v>
      </c>
      <c r="AE239" s="650">
        <v>-80.913339866799248</v>
      </c>
      <c r="AF239" s="650">
        <v>0</v>
      </c>
      <c r="AG239" s="650">
        <v>0</v>
      </c>
      <c r="AH239" s="640">
        <v>0</v>
      </c>
      <c r="AI239" s="640">
        <v>0</v>
      </c>
      <c r="AJ239" s="640">
        <v>0</v>
      </c>
      <c r="AK239" s="648">
        <v>5.7408393747528237</v>
      </c>
    </row>
    <row r="240" spans="3:37" x14ac:dyDescent="0.2">
      <c r="C240" s="646" t="s">
        <v>350</v>
      </c>
      <c r="D240" s="640">
        <v>0</v>
      </c>
      <c r="E240" s="640">
        <v>0</v>
      </c>
      <c r="F240" s="640">
        <v>0</v>
      </c>
      <c r="G240" s="640">
        <v>0</v>
      </c>
      <c r="H240" s="640">
        <v>0</v>
      </c>
      <c r="I240" s="640">
        <v>0</v>
      </c>
      <c r="J240" s="640">
        <v>0</v>
      </c>
      <c r="K240" s="640">
        <v>0</v>
      </c>
      <c r="L240" s="640">
        <v>0</v>
      </c>
      <c r="M240" s="640">
        <v>0</v>
      </c>
      <c r="N240" s="640">
        <v>0</v>
      </c>
      <c r="O240" s="640">
        <v>0</v>
      </c>
      <c r="P240" s="640">
        <v>0</v>
      </c>
      <c r="Q240" s="640">
        <v>0</v>
      </c>
      <c r="R240" s="640">
        <v>0</v>
      </c>
      <c r="S240" s="648">
        <v>0</v>
      </c>
      <c r="U240" s="646" t="s">
        <v>350</v>
      </c>
      <c r="V240" s="640">
        <v>0</v>
      </c>
      <c r="W240" s="640">
        <v>0</v>
      </c>
      <c r="X240" s="640">
        <v>0</v>
      </c>
      <c r="Y240" s="640">
        <v>0</v>
      </c>
      <c r="Z240" s="640">
        <v>0</v>
      </c>
      <c r="AA240" s="640">
        <v>0</v>
      </c>
      <c r="AB240" s="640">
        <v>0</v>
      </c>
      <c r="AC240" s="640">
        <v>0</v>
      </c>
      <c r="AD240" s="640">
        <v>0</v>
      </c>
      <c r="AE240" s="640">
        <v>0</v>
      </c>
      <c r="AF240" s="640">
        <v>0</v>
      </c>
      <c r="AG240" s="640">
        <v>0</v>
      </c>
      <c r="AH240" s="640">
        <v>0</v>
      </c>
      <c r="AI240" s="640">
        <v>0</v>
      </c>
      <c r="AJ240" s="640">
        <v>0</v>
      </c>
      <c r="AK240" s="648">
        <v>0</v>
      </c>
    </row>
    <row r="241" spans="3:37" x14ac:dyDescent="0.2">
      <c r="C241" s="646" t="s">
        <v>72</v>
      </c>
      <c r="D241" s="640">
        <v>0</v>
      </c>
      <c r="E241" s="640">
        <v>501.8858109321676</v>
      </c>
      <c r="F241" s="640">
        <v>-496.86695282284592</v>
      </c>
      <c r="G241" s="640">
        <v>0</v>
      </c>
      <c r="H241" s="640">
        <v>0</v>
      </c>
      <c r="I241" s="640">
        <v>0</v>
      </c>
      <c r="J241" s="640">
        <v>0</v>
      </c>
      <c r="K241" s="640">
        <v>0</v>
      </c>
      <c r="L241" s="640">
        <v>0</v>
      </c>
      <c r="M241" s="640">
        <v>0</v>
      </c>
      <c r="N241" s="640">
        <v>0</v>
      </c>
      <c r="O241" s="640">
        <v>0</v>
      </c>
      <c r="P241" s="640">
        <v>0</v>
      </c>
      <c r="Q241" s="640">
        <v>0</v>
      </c>
      <c r="R241" s="640">
        <v>0</v>
      </c>
      <c r="S241" s="648">
        <v>5.018858109321684</v>
      </c>
      <c r="U241" s="646" t="s">
        <v>72</v>
      </c>
      <c r="V241" s="640">
        <v>0</v>
      </c>
      <c r="W241" s="640">
        <v>196.75884188687598</v>
      </c>
      <c r="X241" s="640">
        <v>-194.79125346800723</v>
      </c>
      <c r="Y241" s="640">
        <v>0</v>
      </c>
      <c r="Z241" s="640">
        <v>0</v>
      </c>
      <c r="AA241" s="640">
        <v>0</v>
      </c>
      <c r="AB241" s="640">
        <v>0</v>
      </c>
      <c r="AC241" s="640">
        <v>0</v>
      </c>
      <c r="AD241" s="640">
        <v>0</v>
      </c>
      <c r="AE241" s="640">
        <v>0</v>
      </c>
      <c r="AF241" s="640">
        <v>0</v>
      </c>
      <c r="AG241" s="640">
        <v>0</v>
      </c>
      <c r="AH241" s="640">
        <v>0</v>
      </c>
      <c r="AI241" s="640">
        <v>0</v>
      </c>
      <c r="AJ241" s="640">
        <v>0</v>
      </c>
      <c r="AK241" s="648">
        <v>1.9675884188687576</v>
      </c>
    </row>
    <row r="242" spans="3:37" x14ac:dyDescent="0.2">
      <c r="C242" s="646" t="s">
        <v>351</v>
      </c>
      <c r="D242" s="640">
        <v>0</v>
      </c>
      <c r="E242" s="640">
        <v>0</v>
      </c>
      <c r="F242" s="640">
        <v>0</v>
      </c>
      <c r="G242" s="640">
        <v>0</v>
      </c>
      <c r="H242" s="640">
        <v>0</v>
      </c>
      <c r="I242" s="640">
        <v>0</v>
      </c>
      <c r="J242" s="640">
        <v>26.867608526350821</v>
      </c>
      <c r="K242" s="640">
        <v>0</v>
      </c>
      <c r="L242" s="640">
        <v>-26.867608526350821</v>
      </c>
      <c r="M242" s="640">
        <v>0</v>
      </c>
      <c r="N242" s="640">
        <v>0</v>
      </c>
      <c r="O242" s="640">
        <v>0</v>
      </c>
      <c r="P242" s="640">
        <v>0</v>
      </c>
      <c r="Q242" s="640">
        <v>0</v>
      </c>
      <c r="R242" s="640">
        <v>0</v>
      </c>
      <c r="S242" s="648">
        <v>0</v>
      </c>
      <c r="U242" s="646" t="s">
        <v>351</v>
      </c>
      <c r="V242" s="640">
        <v>0</v>
      </c>
      <c r="W242" s="640">
        <v>0</v>
      </c>
      <c r="X242" s="640">
        <v>0</v>
      </c>
      <c r="Y242" s="640">
        <v>0</v>
      </c>
      <c r="Z242" s="640">
        <v>0</v>
      </c>
      <c r="AA242" s="640">
        <v>0</v>
      </c>
      <c r="AB242" s="640" t="e">
        <v>#VALUE!</v>
      </c>
      <c r="AC242" s="640">
        <v>0</v>
      </c>
      <c r="AD242" s="640">
        <v>-99.513749603669936</v>
      </c>
      <c r="AE242" s="640">
        <v>0</v>
      </c>
      <c r="AF242" s="640">
        <v>0</v>
      </c>
      <c r="AG242" s="640">
        <v>0</v>
      </c>
      <c r="AH242" s="640">
        <v>0</v>
      </c>
      <c r="AI242" s="640">
        <v>0</v>
      </c>
      <c r="AJ242" s="640">
        <v>0</v>
      </c>
      <c r="AK242" s="648">
        <v>-99.513749603669936</v>
      </c>
    </row>
    <row r="243" spans="3:37" x14ac:dyDescent="0.2">
      <c r="C243" s="646" t="s">
        <v>352</v>
      </c>
      <c r="D243" s="640">
        <v>0</v>
      </c>
      <c r="E243" s="640">
        <v>0</v>
      </c>
      <c r="F243" s="640">
        <v>0</v>
      </c>
      <c r="G243" s="640">
        <v>0</v>
      </c>
      <c r="H243" s="640">
        <v>0</v>
      </c>
      <c r="I243" s="640">
        <v>0</v>
      </c>
      <c r="J243" s="640">
        <v>0</v>
      </c>
      <c r="K243" s="640">
        <v>0</v>
      </c>
      <c r="L243" s="640">
        <v>0</v>
      </c>
      <c r="M243" s="640">
        <v>0</v>
      </c>
      <c r="N243" s="640">
        <v>0</v>
      </c>
      <c r="O243" s="640">
        <v>0</v>
      </c>
      <c r="P243" s="640">
        <v>0</v>
      </c>
      <c r="Q243" s="640">
        <v>0</v>
      </c>
      <c r="R243" s="640">
        <v>0</v>
      </c>
      <c r="S243" s="648">
        <v>0</v>
      </c>
      <c r="U243" s="646" t="s">
        <v>352</v>
      </c>
      <c r="V243" s="640">
        <v>0</v>
      </c>
      <c r="W243" s="640">
        <v>0</v>
      </c>
      <c r="X243" s="640">
        <v>0</v>
      </c>
      <c r="Y243" s="640">
        <v>0</v>
      </c>
      <c r="Z243" s="640">
        <v>0</v>
      </c>
      <c r="AA243" s="640">
        <v>0</v>
      </c>
      <c r="AB243" s="640">
        <v>0</v>
      </c>
      <c r="AC243" s="640">
        <v>0</v>
      </c>
      <c r="AD243" s="640">
        <v>-17.985934640167208</v>
      </c>
      <c r="AE243" s="640">
        <v>0</v>
      </c>
      <c r="AF243" s="640">
        <v>0</v>
      </c>
      <c r="AG243" s="640">
        <v>0</v>
      </c>
      <c r="AH243" s="640">
        <v>0</v>
      </c>
      <c r="AI243" s="640">
        <v>0</v>
      </c>
      <c r="AJ243" s="640">
        <v>0</v>
      </c>
      <c r="AK243" s="648">
        <v>-17.985934640167208</v>
      </c>
    </row>
    <row r="244" spans="3:37" x14ac:dyDescent="0.2">
      <c r="C244" s="646" t="s">
        <v>73</v>
      </c>
      <c r="D244" s="640">
        <v>0</v>
      </c>
      <c r="E244" s="640">
        <v>0</v>
      </c>
      <c r="F244" s="640">
        <v>0</v>
      </c>
      <c r="G244" s="640">
        <v>7.0830222331165276</v>
      </c>
      <c r="H244" s="640">
        <v>0</v>
      </c>
      <c r="I244" s="640">
        <v>0</v>
      </c>
      <c r="J244" s="640">
        <v>0</v>
      </c>
      <c r="K244" s="640">
        <v>8.2131519400701847E-2</v>
      </c>
      <c r="L244" s="640">
        <v>0</v>
      </c>
      <c r="M244" s="640">
        <v>0.14455147414523528</v>
      </c>
      <c r="N244" s="640">
        <v>0</v>
      </c>
      <c r="O244" s="640">
        <v>0</v>
      </c>
      <c r="P244" s="640">
        <v>0.90023160054861806</v>
      </c>
      <c r="Q244" s="640">
        <v>0</v>
      </c>
      <c r="R244" s="640">
        <v>-5.7492063580491291</v>
      </c>
      <c r="S244" s="648">
        <v>2.4607304691619536</v>
      </c>
      <c r="U244" s="646" t="s">
        <v>73</v>
      </c>
      <c r="V244" s="640">
        <v>0</v>
      </c>
      <c r="W244" s="640">
        <v>0</v>
      </c>
      <c r="X244" s="640">
        <v>0</v>
      </c>
      <c r="Y244" s="640">
        <v>2.5209228009552263</v>
      </c>
      <c r="Z244" s="640">
        <v>0</v>
      </c>
      <c r="AA244" s="640">
        <v>0</v>
      </c>
      <c r="AB244" s="640">
        <v>0</v>
      </c>
      <c r="AC244" s="640">
        <v>0.50418456019104518</v>
      </c>
      <c r="AD244" s="640">
        <v>0</v>
      </c>
      <c r="AE244" s="640">
        <v>2.5209228009552263</v>
      </c>
      <c r="AF244" s="640">
        <v>0</v>
      </c>
      <c r="AG244" s="640">
        <v>0</v>
      </c>
      <c r="AH244" s="640">
        <v>44.712737508757456</v>
      </c>
      <c r="AI244" s="640">
        <v>0</v>
      </c>
      <c r="AJ244" s="640">
        <v>-35.29291921337316</v>
      </c>
      <c r="AK244" s="648">
        <v>14.965848457485791</v>
      </c>
    </row>
    <row r="245" spans="3:37" x14ac:dyDescent="0.2">
      <c r="C245" s="646" t="s">
        <v>353</v>
      </c>
      <c r="D245" s="640">
        <v>28.568314687499999</v>
      </c>
      <c r="E245" s="640">
        <v>-17.390343348799608</v>
      </c>
      <c r="F245" s="640">
        <v>22.745541936068136</v>
      </c>
      <c r="G245" s="640">
        <v>0</v>
      </c>
      <c r="H245" s="640">
        <v>0</v>
      </c>
      <c r="I245" s="640">
        <v>0</v>
      </c>
      <c r="J245" s="640">
        <v>0</v>
      </c>
      <c r="K245" s="640">
        <v>0</v>
      </c>
      <c r="L245" s="640">
        <v>0</v>
      </c>
      <c r="M245" s="640">
        <v>0</v>
      </c>
      <c r="N245" s="640">
        <v>0</v>
      </c>
      <c r="O245" s="640">
        <v>0</v>
      </c>
      <c r="P245" s="640">
        <v>0</v>
      </c>
      <c r="Q245" s="640">
        <v>0</v>
      </c>
      <c r="R245" s="640">
        <v>0</v>
      </c>
      <c r="S245" s="648">
        <v>33.923513274768524</v>
      </c>
      <c r="U245" s="646" t="s">
        <v>353</v>
      </c>
      <c r="V245" s="640">
        <v>1.4001075134277343</v>
      </c>
      <c r="W245" s="640">
        <v>-6.8176938713802535</v>
      </c>
      <c r="X245" s="640">
        <v>8.9171408952922331</v>
      </c>
      <c r="Y245" s="640">
        <v>0</v>
      </c>
      <c r="Z245" s="640">
        <v>0</v>
      </c>
      <c r="AA245" s="640">
        <v>0</v>
      </c>
      <c r="AB245" s="640">
        <v>0</v>
      </c>
      <c r="AC245" s="640">
        <v>0</v>
      </c>
      <c r="AD245" s="640">
        <v>0</v>
      </c>
      <c r="AE245" s="640">
        <v>0</v>
      </c>
      <c r="AF245" s="640">
        <v>0</v>
      </c>
      <c r="AG245" s="640">
        <v>0</v>
      </c>
      <c r="AH245" s="640">
        <v>0</v>
      </c>
      <c r="AI245" s="640">
        <v>0</v>
      </c>
      <c r="AJ245" s="640">
        <v>0</v>
      </c>
      <c r="AK245" s="648">
        <v>3.4995545373397139</v>
      </c>
    </row>
    <row r="246" spans="3:37" x14ac:dyDescent="0.2">
      <c r="C246" s="646" t="s">
        <v>75</v>
      </c>
      <c r="D246" s="640">
        <v>11.109900156250001</v>
      </c>
      <c r="E246" s="640">
        <v>0</v>
      </c>
      <c r="F246" s="640">
        <v>17.0641175716937</v>
      </c>
      <c r="G246" s="640">
        <v>4.8692961376638904</v>
      </c>
      <c r="H246" s="640">
        <v>0</v>
      </c>
      <c r="I246" s="640">
        <v>0</v>
      </c>
      <c r="J246" s="640">
        <v>0</v>
      </c>
      <c r="K246" s="640">
        <v>0</v>
      </c>
      <c r="L246" s="640">
        <v>0</v>
      </c>
      <c r="M246" s="640">
        <v>9.9373390564569189E-2</v>
      </c>
      <c r="N246" s="640">
        <v>0</v>
      </c>
      <c r="O246" s="640">
        <v>0</v>
      </c>
      <c r="P246" s="640">
        <v>27.977940148174714</v>
      </c>
      <c r="Q246" s="640">
        <v>0</v>
      </c>
      <c r="R246" s="640">
        <v>0</v>
      </c>
      <c r="S246" s="648">
        <v>61.12062740434687</v>
      </c>
      <c r="U246" s="646" t="s">
        <v>75</v>
      </c>
      <c r="V246" s="640">
        <v>2.585423095703125</v>
      </c>
      <c r="W246" s="640">
        <v>0</v>
      </c>
      <c r="X246" s="640">
        <v>17.0641175716937</v>
      </c>
      <c r="Y246" s="640">
        <v>2.4843347641142297</v>
      </c>
      <c r="Z246" s="640">
        <v>0</v>
      </c>
      <c r="AA246" s="640">
        <v>0</v>
      </c>
      <c r="AB246" s="640">
        <v>0</v>
      </c>
      <c r="AC246" s="640">
        <v>0</v>
      </c>
      <c r="AD246" s="640">
        <v>0</v>
      </c>
      <c r="AE246" s="640">
        <v>2.4843347641142297</v>
      </c>
      <c r="AF246" s="640">
        <v>0</v>
      </c>
      <c r="AG246" s="640">
        <v>0</v>
      </c>
      <c r="AH246" s="640">
        <v>36.559985602720168</v>
      </c>
      <c r="AI246" s="640">
        <v>0</v>
      </c>
      <c r="AJ246" s="640">
        <v>0</v>
      </c>
      <c r="AK246" s="648">
        <v>61.178195798345449</v>
      </c>
    </row>
    <row r="247" spans="3:37" x14ac:dyDescent="0.2">
      <c r="C247" s="646" t="s">
        <v>76</v>
      </c>
      <c r="D247" s="640">
        <v>0</v>
      </c>
      <c r="E247" s="640">
        <v>0</v>
      </c>
      <c r="F247" s="640">
        <v>0</v>
      </c>
      <c r="G247" s="640">
        <v>3.7302503173667452</v>
      </c>
      <c r="H247" s="640">
        <v>0</v>
      </c>
      <c r="I247" s="640">
        <v>0</v>
      </c>
      <c r="J247" s="640">
        <v>0</v>
      </c>
      <c r="K247" s="640">
        <v>0</v>
      </c>
      <c r="L247" s="640">
        <v>0</v>
      </c>
      <c r="M247" s="640">
        <v>7.6127557497280507E-2</v>
      </c>
      <c r="N247" s="640">
        <v>0</v>
      </c>
      <c r="O247" s="640">
        <v>0</v>
      </c>
      <c r="P247" s="640">
        <v>45.919010237367587</v>
      </c>
      <c r="Q247" s="640">
        <v>2.9343505562312622</v>
      </c>
      <c r="R247" s="640">
        <v>0</v>
      </c>
      <c r="S247" s="648">
        <v>52.659738668462872</v>
      </c>
      <c r="U247" s="646" t="s">
        <v>76</v>
      </c>
      <c r="V247" s="640">
        <v>0</v>
      </c>
      <c r="W247" s="640">
        <v>0</v>
      </c>
      <c r="X247" s="640">
        <v>0</v>
      </c>
      <c r="Y247" s="640">
        <v>0.95944671778813329</v>
      </c>
      <c r="Z247" s="640">
        <v>0</v>
      </c>
      <c r="AA247" s="640">
        <v>0</v>
      </c>
      <c r="AB247" s="640">
        <v>0</v>
      </c>
      <c r="AC247" s="640">
        <v>0</v>
      </c>
      <c r="AD247" s="640">
        <v>0</v>
      </c>
      <c r="AE247" s="640">
        <v>0.95944671778813329</v>
      </c>
      <c r="AF247" s="640">
        <v>0</v>
      </c>
      <c r="AG247" s="640">
        <v>0</v>
      </c>
      <c r="AH247" s="640">
        <v>49.138117436745475</v>
      </c>
      <c r="AI247" s="640">
        <v>5.7424951548403769</v>
      </c>
      <c r="AJ247" s="640">
        <v>0</v>
      </c>
      <c r="AK247" s="648">
        <v>56.799506027162117</v>
      </c>
    </row>
    <row r="248" spans="3:37" x14ac:dyDescent="0.2">
      <c r="C248" s="644" t="s">
        <v>77</v>
      </c>
      <c r="D248" s="645">
        <v>42.505000484775252</v>
      </c>
      <c r="E248" s="645">
        <v>484.495467583368</v>
      </c>
      <c r="F248" s="645">
        <v>-449.13421563675462</v>
      </c>
      <c r="G248" s="645">
        <v>47.207234809306371</v>
      </c>
      <c r="H248" s="645">
        <v>843.18181818181824</v>
      </c>
      <c r="I248" s="645">
        <v>306.94588327561422</v>
      </c>
      <c r="J248" s="645">
        <v>75.087544766016393</v>
      </c>
      <c r="K248" s="645">
        <v>18.554763704158422</v>
      </c>
      <c r="L248" s="645">
        <v>-23.523971773378101</v>
      </c>
      <c r="M248" s="645">
        <v>-5.3154503193453246</v>
      </c>
      <c r="N248" s="645">
        <v>0</v>
      </c>
      <c r="O248" s="645">
        <v>9.1176200722123912</v>
      </c>
      <c r="P248" s="645">
        <v>-542.13274839202359</v>
      </c>
      <c r="Q248" s="645">
        <v>-34.870731395116664</v>
      </c>
      <c r="R248" s="645">
        <v>-5.7492063580491291</v>
      </c>
      <c r="S248" s="645">
        <v>766.36900900260184</v>
      </c>
      <c r="U248" s="644" t="s">
        <v>77</v>
      </c>
      <c r="V248" s="645">
        <v>4.6118455145895494</v>
      </c>
      <c r="W248" s="645">
        <v>189.94114801549574</v>
      </c>
      <c r="X248" s="645">
        <v>-164.75055368632826</v>
      </c>
      <c r="Y248" s="645">
        <v>14.771936460533603</v>
      </c>
      <c r="Z248" s="645">
        <v>842.12121212121212</v>
      </c>
      <c r="AA248" s="645">
        <v>361.66588327561419</v>
      </c>
      <c r="AB248" s="645">
        <v>138.19810981289308</v>
      </c>
      <c r="AC248" s="645">
        <v>31.958068806629939</v>
      </c>
      <c r="AD248" s="645">
        <v>-114.15604749086444</v>
      </c>
      <c r="AE248" s="645">
        <v>-66.000175998632287</v>
      </c>
      <c r="AF248" s="645">
        <v>0</v>
      </c>
      <c r="AG248" s="645">
        <v>19.568792039795159</v>
      </c>
      <c r="AH248" s="645">
        <v>-532.33908982989124</v>
      </c>
      <c r="AI248" s="645">
        <v>-68.301024235701377</v>
      </c>
      <c r="AJ248" s="645">
        <v>-31.04291921337316</v>
      </c>
      <c r="AK248" s="645">
        <v>626.24718559197242</v>
      </c>
    </row>
    <row r="249" spans="3:37" x14ac:dyDescent="0.2">
      <c r="C249" s="634"/>
      <c r="D249" s="634">
        <v>0</v>
      </c>
      <c r="E249" s="634">
        <v>0</v>
      </c>
      <c r="F249" s="634">
        <v>0</v>
      </c>
      <c r="G249" s="634">
        <v>0</v>
      </c>
      <c r="H249" s="634">
        <v>0</v>
      </c>
      <c r="I249" s="634">
        <v>0</v>
      </c>
      <c r="J249" s="634">
        <v>0</v>
      </c>
      <c r="K249" s="634">
        <v>0</v>
      </c>
      <c r="L249" s="634">
        <v>0</v>
      </c>
      <c r="M249" s="634">
        <v>0</v>
      </c>
      <c r="N249" s="634">
        <v>0</v>
      </c>
      <c r="O249" s="634">
        <v>0</v>
      </c>
      <c r="P249" s="634">
        <v>0</v>
      </c>
      <c r="Q249" s="634">
        <v>0</v>
      </c>
      <c r="R249" s="634">
        <v>0</v>
      </c>
      <c r="S249" s="634">
        <v>0</v>
      </c>
      <c r="U249" s="634"/>
      <c r="V249" s="634">
        <v>0</v>
      </c>
      <c r="W249" s="634">
        <v>0</v>
      </c>
      <c r="X249" s="634">
        <v>0</v>
      </c>
      <c r="Y249" s="634">
        <v>0</v>
      </c>
      <c r="Z249" s="634">
        <v>0</v>
      </c>
      <c r="AA249" s="634">
        <v>0</v>
      </c>
      <c r="AB249" s="634">
        <v>0</v>
      </c>
      <c r="AC249" s="634">
        <v>0</v>
      </c>
      <c r="AD249" s="634">
        <v>0</v>
      </c>
      <c r="AE249" s="634">
        <v>0</v>
      </c>
      <c r="AF249" s="634">
        <v>0</v>
      </c>
      <c r="AG249" s="634">
        <v>0</v>
      </c>
      <c r="AH249" s="634">
        <v>0</v>
      </c>
      <c r="AI249" s="634">
        <v>0</v>
      </c>
      <c r="AJ249" s="634">
        <v>0</v>
      </c>
      <c r="AK249" s="634">
        <v>0</v>
      </c>
    </row>
    <row r="250" spans="3:37" x14ac:dyDescent="0.2">
      <c r="C250" s="646" t="s">
        <v>78</v>
      </c>
      <c r="D250" s="640">
        <v>4.6398193944555786</v>
      </c>
      <c r="E250" s="640">
        <v>0</v>
      </c>
      <c r="F250" s="640">
        <v>20.598782441852151</v>
      </c>
      <c r="G250" s="640">
        <v>94.839699954986926</v>
      </c>
      <c r="H250" s="640">
        <v>0</v>
      </c>
      <c r="I250" s="640">
        <v>0</v>
      </c>
      <c r="J250" s="640">
        <v>21.821162214793436</v>
      </c>
      <c r="K250" s="640">
        <v>1.7366010173968038</v>
      </c>
      <c r="L250" s="640">
        <v>0.96096945898437491</v>
      </c>
      <c r="M250" s="640">
        <v>1.9539169420126139</v>
      </c>
      <c r="N250" s="640">
        <v>0</v>
      </c>
      <c r="O250" s="640">
        <v>3.7537634069694789E-4</v>
      </c>
      <c r="P250" s="640">
        <v>113.419965125608</v>
      </c>
      <c r="Q250" s="640">
        <v>16.150451210263412</v>
      </c>
      <c r="R250" s="640">
        <v>0.26695886230468752</v>
      </c>
      <c r="S250" s="648">
        <v>276.38870199899873</v>
      </c>
      <c r="U250" s="646" t="s">
        <v>78</v>
      </c>
      <c r="V250" s="640">
        <v>1.264986561669641</v>
      </c>
      <c r="W250" s="640">
        <v>0</v>
      </c>
      <c r="X250" s="640">
        <v>4.4259635061357878</v>
      </c>
      <c r="Y250" s="640">
        <v>33.008089674756327</v>
      </c>
      <c r="Z250" s="640">
        <v>0</v>
      </c>
      <c r="AA250" s="640">
        <v>0</v>
      </c>
      <c r="AB250" s="640">
        <v>14.926911405045434</v>
      </c>
      <c r="AC250" s="640">
        <v>4.7591564459641997</v>
      </c>
      <c r="AD250" s="640">
        <v>6.4130046386718744</v>
      </c>
      <c r="AE250" s="640">
        <v>33.02650253605492</v>
      </c>
      <c r="AF250" s="640">
        <v>0</v>
      </c>
      <c r="AG250" s="640">
        <v>3.7537634069694789E-4</v>
      </c>
      <c r="AH250" s="640">
        <v>148.98135712801343</v>
      </c>
      <c r="AI250" s="640">
        <v>24.187634778338289</v>
      </c>
      <c r="AJ250" s="640">
        <v>7.9027373046875002</v>
      </c>
      <c r="AK250" s="648">
        <v>278.8967193556781</v>
      </c>
    </row>
    <row r="251" spans="3:37" x14ac:dyDescent="0.2">
      <c r="C251" s="646" t="s">
        <v>79</v>
      </c>
      <c r="D251" s="640">
        <v>0</v>
      </c>
      <c r="E251" s="640">
        <v>0</v>
      </c>
      <c r="F251" s="640">
        <v>225.72324837131151</v>
      </c>
      <c r="G251" s="640">
        <v>31.930807664827714</v>
      </c>
      <c r="H251" s="640">
        <v>0</v>
      </c>
      <c r="I251" s="640">
        <v>0</v>
      </c>
      <c r="J251" s="640">
        <v>0</v>
      </c>
      <c r="K251" s="640">
        <v>0</v>
      </c>
      <c r="L251" s="640">
        <v>21.777356740546686</v>
      </c>
      <c r="M251" s="640">
        <v>0.65164913601689212</v>
      </c>
      <c r="N251" s="640">
        <v>0</v>
      </c>
      <c r="O251" s="640">
        <v>0</v>
      </c>
      <c r="P251" s="640">
        <v>72.885841088882287</v>
      </c>
      <c r="Q251" s="640">
        <v>0</v>
      </c>
      <c r="R251" s="640">
        <v>2.6521266956987635</v>
      </c>
      <c r="S251" s="648">
        <v>355.62102969728386</v>
      </c>
      <c r="U251" s="646" t="s">
        <v>79</v>
      </c>
      <c r="V251" s="640">
        <v>0</v>
      </c>
      <c r="W251" s="640">
        <v>0</v>
      </c>
      <c r="X251" s="640">
        <v>19.003305935487372</v>
      </c>
      <c r="Y251" s="640">
        <v>13.267062862305856</v>
      </c>
      <c r="Z251" s="640">
        <v>0</v>
      </c>
      <c r="AA251" s="640">
        <v>0</v>
      </c>
      <c r="AB251" s="640">
        <v>0</v>
      </c>
      <c r="AC251" s="640">
        <v>0</v>
      </c>
      <c r="AD251" s="640">
        <v>27.757428454399612</v>
      </c>
      <c r="AE251" s="640">
        <v>13.267062862305856</v>
      </c>
      <c r="AF251" s="640">
        <v>0</v>
      </c>
      <c r="AG251" s="640">
        <v>0</v>
      </c>
      <c r="AH251" s="640">
        <v>94.556676700547257</v>
      </c>
      <c r="AI251" s="640">
        <v>0</v>
      </c>
      <c r="AJ251" s="640">
        <v>6.3130917169295051</v>
      </c>
      <c r="AK251" s="648">
        <v>174.16462853197544</v>
      </c>
    </row>
    <row r="252" spans="3:37" x14ac:dyDescent="0.2">
      <c r="C252" s="646" t="s">
        <v>80</v>
      </c>
      <c r="D252" s="640">
        <v>0</v>
      </c>
      <c r="E252" s="640">
        <v>0</v>
      </c>
      <c r="F252" s="640">
        <v>11.075929176351762</v>
      </c>
      <c r="G252" s="640">
        <v>76.664751333295058</v>
      </c>
      <c r="H252" s="640">
        <v>0</v>
      </c>
      <c r="I252" s="640">
        <v>0</v>
      </c>
      <c r="J252" s="640">
        <v>88.320247059496523</v>
      </c>
      <c r="K252" s="640">
        <v>0</v>
      </c>
      <c r="L252" s="640">
        <v>0</v>
      </c>
      <c r="M252" s="640">
        <v>1.5645867619039808</v>
      </c>
      <c r="N252" s="640">
        <v>59.616390446150973</v>
      </c>
      <c r="O252" s="640">
        <v>2.0734984243972754</v>
      </c>
      <c r="P252" s="640">
        <v>190.93239321884863</v>
      </c>
      <c r="Q252" s="640">
        <v>15.360003531773184</v>
      </c>
      <c r="R252" s="640">
        <v>0</v>
      </c>
      <c r="S252" s="648">
        <v>445.60779995221742</v>
      </c>
      <c r="U252" s="646" t="s">
        <v>80</v>
      </c>
      <c r="V252" s="640">
        <v>0</v>
      </c>
      <c r="W252" s="640">
        <v>0</v>
      </c>
      <c r="X252" s="640">
        <v>0.97925934500211753</v>
      </c>
      <c r="Y252" s="640">
        <v>9.8253088649292142</v>
      </c>
      <c r="Z252" s="640">
        <v>0</v>
      </c>
      <c r="AA252" s="640">
        <v>0</v>
      </c>
      <c r="AB252" s="640">
        <v>50.204880630535357</v>
      </c>
      <c r="AC252" s="640">
        <v>0</v>
      </c>
      <c r="AD252" s="640">
        <v>0</v>
      </c>
      <c r="AE252" s="640">
        <v>9.8253088649292142</v>
      </c>
      <c r="AF252" s="640">
        <v>95.02342184325245</v>
      </c>
      <c r="AG252" s="640">
        <v>4.208312775429496</v>
      </c>
      <c r="AH252" s="640">
        <v>144.38732956018927</v>
      </c>
      <c r="AI252" s="640">
        <v>30.75075127630511</v>
      </c>
      <c r="AJ252" s="640">
        <v>0</v>
      </c>
      <c r="AK252" s="648">
        <v>345.20457316057224</v>
      </c>
    </row>
    <row r="253" spans="3:37" x14ac:dyDescent="0.2">
      <c r="C253" s="646" t="s">
        <v>81</v>
      </c>
      <c r="D253" s="640">
        <v>0</v>
      </c>
      <c r="E253" s="640">
        <v>0</v>
      </c>
      <c r="F253" s="640">
        <v>2.6743117433405894</v>
      </c>
      <c r="G253" s="640">
        <v>62.987223173923248</v>
      </c>
      <c r="H253" s="640">
        <v>0</v>
      </c>
      <c r="I253" s="640">
        <v>0</v>
      </c>
      <c r="J253" s="640">
        <v>3.1384766478070549</v>
      </c>
      <c r="K253" s="640">
        <v>2.5274117631643136E-2</v>
      </c>
      <c r="L253" s="640">
        <v>0</v>
      </c>
      <c r="M253" s="640">
        <v>1.2854535341616988</v>
      </c>
      <c r="N253" s="640">
        <v>8.34801759276524</v>
      </c>
      <c r="O253" s="640">
        <v>0.71507622546549865</v>
      </c>
      <c r="P253" s="640">
        <v>142.0321146826426</v>
      </c>
      <c r="Q253" s="640">
        <v>3.3602766530800707</v>
      </c>
      <c r="R253" s="640">
        <v>0</v>
      </c>
      <c r="S253" s="648">
        <v>224.56622437081765</v>
      </c>
      <c r="U253" s="646" t="s">
        <v>81</v>
      </c>
      <c r="V253" s="640">
        <v>0</v>
      </c>
      <c r="W253" s="640">
        <v>0</v>
      </c>
      <c r="X253" s="640">
        <v>1.2256055704751125</v>
      </c>
      <c r="Y253" s="640">
        <v>7.2918833253665882</v>
      </c>
      <c r="Z253" s="640">
        <v>0</v>
      </c>
      <c r="AA253" s="640">
        <v>0</v>
      </c>
      <c r="AB253" s="640">
        <v>6.8658928642747856</v>
      </c>
      <c r="AC253" s="640">
        <v>2.5274117631643136E-2</v>
      </c>
      <c r="AD253" s="640">
        <v>0</v>
      </c>
      <c r="AE253" s="640">
        <v>7.2918833253665882</v>
      </c>
      <c r="AF253" s="640">
        <v>14.828462979838848</v>
      </c>
      <c r="AG253" s="640">
        <v>1.5197231438340593</v>
      </c>
      <c r="AH253" s="640">
        <v>114.40426288608282</v>
      </c>
      <c r="AI253" s="640">
        <v>13.362638181057982</v>
      </c>
      <c r="AJ253" s="640">
        <v>0</v>
      </c>
      <c r="AK253" s="648">
        <v>166.8156263939284</v>
      </c>
    </row>
    <row r="254" spans="3:37" x14ac:dyDescent="0.2">
      <c r="C254" s="646" t="s">
        <v>82</v>
      </c>
      <c r="D254" s="640">
        <v>0</v>
      </c>
      <c r="E254" s="640">
        <v>0</v>
      </c>
      <c r="F254" s="640">
        <v>27.931723909553636</v>
      </c>
      <c r="G254" s="640">
        <v>0.95472649492283324</v>
      </c>
      <c r="H254" s="640">
        <v>0</v>
      </c>
      <c r="I254" s="640">
        <v>0</v>
      </c>
      <c r="J254" s="640">
        <v>4.6306119511950978</v>
      </c>
      <c r="K254" s="640">
        <v>0</v>
      </c>
      <c r="L254" s="640">
        <v>3.1934862443619529</v>
      </c>
      <c r="M254" s="640">
        <v>1.9484214182098638E-2</v>
      </c>
      <c r="N254" s="640">
        <v>0</v>
      </c>
      <c r="O254" s="640">
        <v>6.6456137421005312E-2</v>
      </c>
      <c r="P254" s="640">
        <v>5.7660712732306445</v>
      </c>
      <c r="Q254" s="640">
        <v>0</v>
      </c>
      <c r="R254" s="640">
        <v>0</v>
      </c>
      <c r="S254" s="648">
        <v>42.562560224867276</v>
      </c>
      <c r="U254" s="646" t="s">
        <v>82</v>
      </c>
      <c r="V254" s="640">
        <v>0</v>
      </c>
      <c r="W254" s="640">
        <v>0</v>
      </c>
      <c r="X254" s="640">
        <v>3.5775053425595864</v>
      </c>
      <c r="Y254" s="640">
        <v>0.56393102033742082</v>
      </c>
      <c r="Z254" s="640">
        <v>0</v>
      </c>
      <c r="AA254" s="640">
        <v>0</v>
      </c>
      <c r="AB254" s="640">
        <v>4.6306119511950978</v>
      </c>
      <c r="AC254" s="640">
        <v>0</v>
      </c>
      <c r="AD254" s="640">
        <v>32.861113305842508</v>
      </c>
      <c r="AE254" s="640">
        <v>0.56393102033742082</v>
      </c>
      <c r="AF254" s="640">
        <v>0</v>
      </c>
      <c r="AG254" s="640">
        <v>1.7440136932478227</v>
      </c>
      <c r="AH254" s="640">
        <v>5.8866318405152116</v>
      </c>
      <c r="AI254" s="640">
        <v>0</v>
      </c>
      <c r="AJ254" s="640">
        <v>0.38427420359697795</v>
      </c>
      <c r="AK254" s="648">
        <v>50.21201237763205</v>
      </c>
    </row>
    <row r="255" spans="3:37" x14ac:dyDescent="0.2">
      <c r="C255" s="646" t="s">
        <v>354</v>
      </c>
      <c r="D255" s="640">
        <v>0</v>
      </c>
      <c r="E255" s="640">
        <v>0</v>
      </c>
      <c r="F255" s="640">
        <v>0</v>
      </c>
      <c r="G255" s="640">
        <v>0</v>
      </c>
      <c r="H255" s="640">
        <v>0</v>
      </c>
      <c r="I255" s="640">
        <v>0</v>
      </c>
      <c r="J255" s="640">
        <v>0</v>
      </c>
      <c r="K255" s="640">
        <v>0</v>
      </c>
      <c r="L255" s="640">
        <v>0</v>
      </c>
      <c r="M255" s="640">
        <v>0</v>
      </c>
      <c r="N255" s="640">
        <v>0</v>
      </c>
      <c r="O255" s="640">
        <v>0</v>
      </c>
      <c r="P255" s="640">
        <v>0.39</v>
      </c>
      <c r="Q255" s="640">
        <v>0</v>
      </c>
      <c r="R255" s="640">
        <v>0</v>
      </c>
      <c r="S255" s="648">
        <v>0.39</v>
      </c>
      <c r="U255" s="646" t="s">
        <v>354</v>
      </c>
      <c r="V255" s="640">
        <v>0</v>
      </c>
      <c r="W255" s="640">
        <v>0</v>
      </c>
      <c r="X255" s="640">
        <v>0</v>
      </c>
      <c r="Y255" s="640">
        <v>0</v>
      </c>
      <c r="Z255" s="640">
        <v>0</v>
      </c>
      <c r="AA255" s="640">
        <v>0</v>
      </c>
      <c r="AB255" s="640">
        <v>0</v>
      </c>
      <c r="AC255" s="640">
        <v>0</v>
      </c>
      <c r="AD255" s="640">
        <v>0</v>
      </c>
      <c r="AE255" s="640">
        <v>0</v>
      </c>
      <c r="AF255" s="640">
        <v>0</v>
      </c>
      <c r="AG255" s="640">
        <v>0</v>
      </c>
      <c r="AH255" s="640">
        <v>3.5999999999999996</v>
      </c>
      <c r="AI255" s="640">
        <v>0</v>
      </c>
      <c r="AJ255" s="640">
        <v>0</v>
      </c>
      <c r="AK255" s="648">
        <v>3.5999999999999996</v>
      </c>
    </row>
    <row r="256" spans="3:37" x14ac:dyDescent="0.2">
      <c r="C256" s="644" t="s">
        <v>83</v>
      </c>
      <c r="D256" s="645">
        <v>4.6398193944555786</v>
      </c>
      <c r="E256" s="645">
        <v>0</v>
      </c>
      <c r="F256" s="645">
        <v>288.00399564240968</v>
      </c>
      <c r="G256" s="645">
        <v>267.37720862195579</v>
      </c>
      <c r="H256" s="645">
        <v>0</v>
      </c>
      <c r="I256" s="645">
        <v>0</v>
      </c>
      <c r="J256" s="645">
        <v>117.91049787329212</v>
      </c>
      <c r="K256" s="645">
        <v>1.7618751350284469</v>
      </c>
      <c r="L256" s="645">
        <v>25.931812443893016</v>
      </c>
      <c r="M256" s="645">
        <v>5.4750905882772853</v>
      </c>
      <c r="N256" s="645">
        <v>67.964408038916218</v>
      </c>
      <c r="O256" s="645">
        <v>2.8554061636244761</v>
      </c>
      <c r="P256" s="645">
        <v>525.4263853892121</v>
      </c>
      <c r="Q256" s="645">
        <v>34.870731395116664</v>
      </c>
      <c r="R256" s="645">
        <v>2.9190855580034509</v>
      </c>
      <c r="S256" s="645">
        <v>1345.1363162441851</v>
      </c>
      <c r="U256" s="644" t="s">
        <v>83</v>
      </c>
      <c r="V256" s="645">
        <v>1.264986561669641</v>
      </c>
      <c r="W256" s="645">
        <v>0</v>
      </c>
      <c r="X256" s="645">
        <v>29.211639699659976</v>
      </c>
      <c r="Y256" s="645">
        <v>63.956275747695408</v>
      </c>
      <c r="Z256" s="645">
        <v>0</v>
      </c>
      <c r="AA256" s="645">
        <v>0</v>
      </c>
      <c r="AB256" s="645">
        <v>76.628296851050663</v>
      </c>
      <c r="AC256" s="645">
        <v>4.7844305635958433</v>
      </c>
      <c r="AD256" s="645">
        <v>67.031546398914003</v>
      </c>
      <c r="AE256" s="645">
        <v>63.974688608994001</v>
      </c>
      <c r="AF256" s="645">
        <v>109.8518848230913</v>
      </c>
      <c r="AG256" s="645">
        <v>7.4724249888520751</v>
      </c>
      <c r="AH256" s="645">
        <v>511.81625811534803</v>
      </c>
      <c r="AI256" s="645">
        <v>68.301024235701377</v>
      </c>
      <c r="AJ256" s="645">
        <v>14.600103225213982</v>
      </c>
      <c r="AK256" s="645">
        <v>1018.8935598197862</v>
      </c>
    </row>
    <row r="257" spans="3:37" x14ac:dyDescent="0.2">
      <c r="C257" s="639" t="s">
        <v>84</v>
      </c>
      <c r="D257" s="640">
        <v>0</v>
      </c>
      <c r="E257" s="640">
        <v>0</v>
      </c>
      <c r="F257" s="640">
        <v>104.91003257681685</v>
      </c>
      <c r="G257" s="640">
        <v>11.505661507854215</v>
      </c>
      <c r="H257" s="640">
        <v>0</v>
      </c>
      <c r="I257" s="640">
        <v>0</v>
      </c>
      <c r="J257" s="640">
        <v>0</v>
      </c>
      <c r="K257" s="640">
        <v>0</v>
      </c>
      <c r="L257" s="640">
        <v>0</v>
      </c>
      <c r="M257" s="640">
        <v>0</v>
      </c>
      <c r="N257" s="640">
        <v>0</v>
      </c>
      <c r="O257" s="640">
        <v>0</v>
      </c>
      <c r="P257" s="640">
        <v>0</v>
      </c>
      <c r="Q257" s="640">
        <v>0</v>
      </c>
      <c r="R257" s="640">
        <v>2.8301208000456781</v>
      </c>
      <c r="S257" s="648">
        <v>119.24581488471674</v>
      </c>
      <c r="U257" s="639" t="s">
        <v>84</v>
      </c>
      <c r="V257" s="640">
        <v>0</v>
      </c>
      <c r="W257" s="640">
        <v>0</v>
      </c>
      <c r="X257" s="640">
        <v>70.401025384734808</v>
      </c>
      <c r="Y257" s="640">
        <v>0.81519182748409058</v>
      </c>
      <c r="Z257" s="640">
        <v>0</v>
      </c>
      <c r="AA257" s="640">
        <v>0</v>
      </c>
      <c r="AB257" s="640">
        <v>0</v>
      </c>
      <c r="AC257" s="640">
        <v>0</v>
      </c>
      <c r="AD257" s="640">
        <v>24.563190847778323</v>
      </c>
      <c r="AE257" s="640">
        <v>0</v>
      </c>
      <c r="AF257" s="640">
        <v>0</v>
      </c>
      <c r="AG257" s="640">
        <v>0</v>
      </c>
      <c r="AH257" s="640">
        <v>0</v>
      </c>
      <c r="AI257" s="640">
        <v>0</v>
      </c>
      <c r="AJ257" s="640">
        <v>16.442815988159179</v>
      </c>
      <c r="AK257" s="648">
        <v>112.22222404815641</v>
      </c>
    </row>
    <row r="258" spans="3:37" x14ac:dyDescent="0.2">
      <c r="C258" s="644" t="s">
        <v>85</v>
      </c>
      <c r="D258" s="645">
        <v>4.6398193944555786</v>
      </c>
      <c r="E258" s="645">
        <v>0</v>
      </c>
      <c r="F258" s="645">
        <v>392.91402821922651</v>
      </c>
      <c r="G258" s="645">
        <v>278.88287012980999</v>
      </c>
      <c r="H258" s="645">
        <v>0</v>
      </c>
      <c r="I258" s="645">
        <v>0</v>
      </c>
      <c r="J258" s="645">
        <v>117.91049787329212</v>
      </c>
      <c r="K258" s="645">
        <v>1.7618751350284469</v>
      </c>
      <c r="L258" s="645">
        <v>25.931812443893016</v>
      </c>
      <c r="M258" s="645">
        <v>5.4750905882772853</v>
      </c>
      <c r="N258" s="645">
        <v>67.964408038916218</v>
      </c>
      <c r="O258" s="645">
        <v>2.8554061636244761</v>
      </c>
      <c r="P258" s="645">
        <v>525.4263853892121</v>
      </c>
      <c r="Q258" s="645">
        <v>34.870731395116664</v>
      </c>
      <c r="R258" s="645">
        <v>5.7492063580491291</v>
      </c>
      <c r="S258" s="645">
        <v>1464.3821311289018</v>
      </c>
      <c r="U258" s="644" t="s">
        <v>85</v>
      </c>
      <c r="V258" s="645">
        <v>1.264986561669641</v>
      </c>
      <c r="W258" s="645">
        <v>0</v>
      </c>
      <c r="X258" s="645">
        <v>99.612665084394791</v>
      </c>
      <c r="Y258" s="645">
        <v>64.7714675751795</v>
      </c>
      <c r="Z258" s="645">
        <v>0</v>
      </c>
      <c r="AA258" s="645">
        <v>0</v>
      </c>
      <c r="AB258" s="645">
        <v>76.628296851050663</v>
      </c>
      <c r="AC258" s="645">
        <v>4.7844305635958433</v>
      </c>
      <c r="AD258" s="645">
        <v>91.594737246692318</v>
      </c>
      <c r="AE258" s="645">
        <v>63.974688608994001</v>
      </c>
      <c r="AF258" s="645">
        <v>109.8518848230913</v>
      </c>
      <c r="AG258" s="645">
        <v>7.4724249888520751</v>
      </c>
      <c r="AH258" s="645">
        <v>511.81625811534803</v>
      </c>
      <c r="AI258" s="645">
        <v>68.301024235701377</v>
      </c>
      <c r="AJ258" s="645">
        <v>31.04291921337316</v>
      </c>
      <c r="AK258" s="645">
        <v>1131.1157838679426</v>
      </c>
    </row>
    <row r="259" spans="3:37" x14ac:dyDescent="0.2">
      <c r="C259" s="634"/>
      <c r="D259" s="634"/>
      <c r="E259" s="634"/>
      <c r="F259" s="634"/>
      <c r="G259" s="634"/>
      <c r="H259" s="634"/>
      <c r="I259" s="634"/>
      <c r="J259" s="634"/>
      <c r="K259" s="634"/>
      <c r="L259" s="634"/>
      <c r="M259" s="634"/>
      <c r="N259" s="634"/>
      <c r="O259" s="634"/>
      <c r="P259" s="634"/>
      <c r="Q259" s="634"/>
      <c r="R259" s="634"/>
      <c r="S259" s="634"/>
      <c r="U259" s="634"/>
      <c r="V259" s="634"/>
      <c r="W259" s="634"/>
      <c r="X259" s="634"/>
      <c r="Y259" s="634"/>
      <c r="Z259" s="634"/>
      <c r="AA259" s="634"/>
      <c r="AB259" s="634"/>
      <c r="AC259" s="634"/>
      <c r="AD259" s="634"/>
      <c r="AE259" s="634"/>
      <c r="AF259" s="634"/>
      <c r="AG259" s="634"/>
      <c r="AH259" s="634"/>
      <c r="AI259" s="634"/>
      <c r="AJ259" s="634"/>
      <c r="AK259" s="634"/>
    </row>
    <row r="260" spans="3:37" ht="22.5" x14ac:dyDescent="0.3">
      <c r="C260" s="759" t="s">
        <v>89</v>
      </c>
      <c r="D260" s="759"/>
      <c r="E260" s="759"/>
      <c r="F260" s="759"/>
      <c r="G260" s="759"/>
      <c r="H260" s="759"/>
      <c r="I260" s="759"/>
      <c r="J260" s="759"/>
      <c r="K260" s="759"/>
      <c r="L260" s="759"/>
      <c r="M260" s="759"/>
      <c r="N260" s="759"/>
      <c r="O260" s="759"/>
      <c r="P260" s="759"/>
      <c r="Q260" s="759"/>
      <c r="R260" s="759"/>
      <c r="S260" s="759"/>
      <c r="U260" s="759" t="s">
        <v>89</v>
      </c>
      <c r="V260" s="759"/>
      <c r="W260" s="759"/>
      <c r="X260" s="759"/>
      <c r="Y260" s="759"/>
      <c r="Z260" s="759"/>
      <c r="AA260" s="759"/>
      <c r="AB260" s="759"/>
      <c r="AC260" s="759"/>
      <c r="AD260" s="759"/>
      <c r="AE260" s="759"/>
      <c r="AF260" s="759"/>
      <c r="AG260" s="759"/>
      <c r="AH260" s="759"/>
      <c r="AI260" s="759"/>
      <c r="AJ260" s="759"/>
      <c r="AK260" s="759"/>
    </row>
    <row r="261" spans="3:37" x14ac:dyDescent="0.2">
      <c r="C261" s="634"/>
      <c r="D261" s="634"/>
      <c r="E261" s="634"/>
      <c r="F261" s="634"/>
      <c r="G261" s="634"/>
      <c r="H261" s="634"/>
      <c r="I261" s="634"/>
      <c r="J261" s="634"/>
      <c r="K261" s="634"/>
      <c r="L261" s="634"/>
      <c r="M261" s="634"/>
      <c r="N261" s="634"/>
      <c r="O261" s="634"/>
      <c r="P261" s="634"/>
      <c r="Q261" s="634"/>
      <c r="R261" s="634"/>
      <c r="S261" s="634"/>
      <c r="U261" s="634"/>
      <c r="V261" s="634"/>
      <c r="W261" s="634"/>
      <c r="X261" s="634"/>
      <c r="Y261" s="634"/>
      <c r="Z261" s="634"/>
      <c r="AA261" s="634"/>
      <c r="AB261" s="634"/>
      <c r="AC261" s="634"/>
      <c r="AD261" s="634"/>
      <c r="AE261" s="634"/>
      <c r="AF261" s="634"/>
      <c r="AG261" s="634"/>
      <c r="AH261" s="634"/>
      <c r="AI261" s="634"/>
      <c r="AJ261" s="634"/>
      <c r="AK261" s="634"/>
    </row>
    <row r="262" spans="3:37" ht="12.95" customHeight="1" x14ac:dyDescent="0.2">
      <c r="C262" s="758" t="s">
        <v>128</v>
      </c>
      <c r="D262" s="757" t="s">
        <v>42</v>
      </c>
      <c r="E262" s="757" t="s">
        <v>52</v>
      </c>
      <c r="F262" s="757" t="s">
        <v>53</v>
      </c>
      <c r="G262" s="757" t="s">
        <v>32</v>
      </c>
      <c r="H262" s="757" t="s">
        <v>20</v>
      </c>
      <c r="I262" s="757" t="s">
        <v>55</v>
      </c>
      <c r="J262" s="757" t="s">
        <v>56</v>
      </c>
      <c r="K262" s="757"/>
      <c r="L262" s="757"/>
      <c r="M262" s="757"/>
      <c r="N262" s="757"/>
      <c r="O262" s="757"/>
      <c r="P262" s="757" t="s">
        <v>57</v>
      </c>
      <c r="Q262" s="757" t="s">
        <v>58</v>
      </c>
      <c r="R262" s="757" t="s">
        <v>31</v>
      </c>
      <c r="S262" s="757" t="s">
        <v>10</v>
      </c>
      <c r="U262" s="758" t="s">
        <v>128</v>
      </c>
      <c r="V262" s="757" t="s">
        <v>42</v>
      </c>
      <c r="W262" s="757" t="s">
        <v>52</v>
      </c>
      <c r="X262" s="757" t="s">
        <v>53</v>
      </c>
      <c r="Y262" s="757" t="s">
        <v>32</v>
      </c>
      <c r="Z262" s="757" t="s">
        <v>20</v>
      </c>
      <c r="AA262" s="757" t="s">
        <v>55</v>
      </c>
      <c r="AB262" s="757" t="s">
        <v>56</v>
      </c>
      <c r="AC262" s="757"/>
      <c r="AD262" s="757"/>
      <c r="AE262" s="757"/>
      <c r="AF262" s="757"/>
      <c r="AG262" s="757"/>
      <c r="AH262" s="757" t="s">
        <v>57</v>
      </c>
      <c r="AI262" s="757" t="s">
        <v>58</v>
      </c>
      <c r="AJ262" s="757" t="s">
        <v>31</v>
      </c>
      <c r="AK262" s="757" t="s">
        <v>10</v>
      </c>
    </row>
    <row r="263" spans="3:37" ht="56.25" x14ac:dyDescent="0.2">
      <c r="C263" s="758"/>
      <c r="D263" s="757"/>
      <c r="E263" s="757"/>
      <c r="F263" s="757"/>
      <c r="G263" s="757"/>
      <c r="H263" s="757"/>
      <c r="I263" s="757"/>
      <c r="J263" s="638" t="s">
        <v>335</v>
      </c>
      <c r="K263" s="638" t="s">
        <v>40</v>
      </c>
      <c r="L263" s="638" t="s">
        <v>343</v>
      </c>
      <c r="M263" s="638" t="s">
        <v>344</v>
      </c>
      <c r="N263" s="638" t="s">
        <v>345</v>
      </c>
      <c r="O263" s="638" t="s">
        <v>346</v>
      </c>
      <c r="P263" s="757"/>
      <c r="Q263" s="757"/>
      <c r="R263" s="757"/>
      <c r="S263" s="757"/>
      <c r="U263" s="758"/>
      <c r="V263" s="757"/>
      <c r="W263" s="757"/>
      <c r="X263" s="757"/>
      <c r="Y263" s="757"/>
      <c r="Z263" s="757"/>
      <c r="AA263" s="757"/>
      <c r="AB263" s="638" t="s">
        <v>335</v>
      </c>
      <c r="AC263" s="638" t="s">
        <v>40</v>
      </c>
      <c r="AD263" s="638" t="s">
        <v>343</v>
      </c>
      <c r="AE263" s="638" t="s">
        <v>344</v>
      </c>
      <c r="AF263" s="638" t="s">
        <v>345</v>
      </c>
      <c r="AG263" s="638" t="s">
        <v>346</v>
      </c>
      <c r="AH263" s="757"/>
      <c r="AI263" s="757"/>
      <c r="AJ263" s="757"/>
      <c r="AK263" s="757"/>
    </row>
    <row r="264" spans="3:37" x14ac:dyDescent="0.2">
      <c r="C264" s="639" t="s">
        <v>59</v>
      </c>
      <c r="D264" s="640">
        <v>0</v>
      </c>
      <c r="E264" s="641">
        <v>0</v>
      </c>
      <c r="F264" s="641">
        <v>0</v>
      </c>
      <c r="G264" s="640">
        <v>0</v>
      </c>
      <c r="H264" s="641">
        <v>727.27272727272737</v>
      </c>
      <c r="I264" s="641">
        <v>338.37995078139568</v>
      </c>
      <c r="J264" s="641">
        <v>185.12606679296266</v>
      </c>
      <c r="K264" s="641">
        <v>19.887492227897642</v>
      </c>
      <c r="L264" s="641">
        <v>0.67629573379861951</v>
      </c>
      <c r="M264" s="641">
        <v>0.16041590589481752</v>
      </c>
      <c r="N264" s="641">
        <v>75.083762899489528</v>
      </c>
      <c r="O264" s="641">
        <v>12.515766779598991</v>
      </c>
      <c r="P264" s="642">
        <v>0</v>
      </c>
      <c r="Q264" s="641">
        <v>0</v>
      </c>
      <c r="R264" s="641">
        <v>0</v>
      </c>
      <c r="S264" s="643">
        <v>1359.1024783937653</v>
      </c>
      <c r="U264" s="639" t="s">
        <v>59</v>
      </c>
      <c r="V264" s="640">
        <v>0</v>
      </c>
      <c r="W264" s="641">
        <v>0</v>
      </c>
      <c r="X264" s="641">
        <v>0</v>
      </c>
      <c r="Y264" s="640">
        <v>0</v>
      </c>
      <c r="Z264" s="641">
        <v>764.84848484848499</v>
      </c>
      <c r="AA264" s="641">
        <v>423.19995078139567</v>
      </c>
      <c r="AB264" s="641">
        <v>256.09062969225096</v>
      </c>
      <c r="AC264" s="641">
        <v>36.108430969743218</v>
      </c>
      <c r="AD264" s="641">
        <v>0.67629573379861951</v>
      </c>
      <c r="AE264" s="641">
        <v>0.16041590589481752</v>
      </c>
      <c r="AF264" s="641">
        <v>123.16818516374138</v>
      </c>
      <c r="AG264" s="641">
        <v>30.250193334526926</v>
      </c>
      <c r="AH264" s="642">
        <v>0</v>
      </c>
      <c r="AI264" s="641">
        <v>0</v>
      </c>
      <c r="AJ264" s="641">
        <v>0</v>
      </c>
      <c r="AK264" s="643">
        <v>1634.5025864298366</v>
      </c>
    </row>
    <row r="265" spans="3:37" x14ac:dyDescent="0.2">
      <c r="C265" s="639" t="s">
        <v>60</v>
      </c>
      <c r="D265" s="640">
        <v>46.099891323621534</v>
      </c>
      <c r="E265" s="641">
        <v>464.7986487</v>
      </c>
      <c r="F265" s="641">
        <v>48.534128715927544</v>
      </c>
      <c r="G265" s="640">
        <v>345.55093723566335</v>
      </c>
      <c r="H265" s="641">
        <v>0</v>
      </c>
      <c r="I265" s="641">
        <v>0</v>
      </c>
      <c r="J265" s="641">
        <v>5.7213435879484642</v>
      </c>
      <c r="K265" s="641">
        <v>0</v>
      </c>
      <c r="L265" s="641">
        <v>3.0565993326094723</v>
      </c>
      <c r="M265" s="641">
        <v>0</v>
      </c>
      <c r="N265" s="641">
        <v>0</v>
      </c>
      <c r="O265" s="641">
        <v>0</v>
      </c>
      <c r="P265" s="642">
        <v>0</v>
      </c>
      <c r="Q265" s="641">
        <v>0</v>
      </c>
      <c r="R265" s="641">
        <v>0</v>
      </c>
      <c r="S265" s="643">
        <v>913.76154889577037</v>
      </c>
      <c r="U265" s="639" t="s">
        <v>60</v>
      </c>
      <c r="V265" s="640">
        <v>4.5871215860372576</v>
      </c>
      <c r="W265" s="641">
        <v>113.59926767676768</v>
      </c>
      <c r="X265" s="641">
        <v>20.138935454909394</v>
      </c>
      <c r="Y265" s="640">
        <v>0.51452681198611927</v>
      </c>
      <c r="Z265" s="641">
        <v>0</v>
      </c>
      <c r="AA265" s="641">
        <v>0</v>
      </c>
      <c r="AB265" s="641">
        <v>5.7213435879484642</v>
      </c>
      <c r="AC265" s="641">
        <v>0</v>
      </c>
      <c r="AD265" s="641">
        <v>3.0565993326094723</v>
      </c>
      <c r="AE265" s="641">
        <v>0</v>
      </c>
      <c r="AF265" s="641">
        <v>0</v>
      </c>
      <c r="AG265" s="641">
        <v>0</v>
      </c>
      <c r="AH265" s="642">
        <v>0</v>
      </c>
      <c r="AI265" s="641">
        <v>0</v>
      </c>
      <c r="AJ265" s="641">
        <v>0</v>
      </c>
      <c r="AK265" s="643">
        <v>147.6177944502584</v>
      </c>
    </row>
    <row r="266" spans="3:37" x14ac:dyDescent="0.2">
      <c r="C266" s="639" t="s">
        <v>61</v>
      </c>
      <c r="D266" s="640">
        <v>0</v>
      </c>
      <c r="E266" s="641">
        <v>0</v>
      </c>
      <c r="F266" s="641">
        <v>0</v>
      </c>
      <c r="G266" s="640">
        <v>0</v>
      </c>
      <c r="H266" s="641">
        <v>0</v>
      </c>
      <c r="I266" s="641">
        <v>0</v>
      </c>
      <c r="J266" s="641">
        <v>0</v>
      </c>
      <c r="K266" s="641">
        <v>0</v>
      </c>
      <c r="L266" s="641">
        <v>0</v>
      </c>
      <c r="M266" s="641">
        <v>0</v>
      </c>
      <c r="N266" s="641">
        <v>0</v>
      </c>
      <c r="O266" s="641">
        <v>0</v>
      </c>
      <c r="P266" s="642">
        <v>-12.7985093299136</v>
      </c>
      <c r="Q266" s="641">
        <v>0</v>
      </c>
      <c r="R266" s="641">
        <v>0</v>
      </c>
      <c r="S266" s="643">
        <v>-12.7985093299136</v>
      </c>
      <c r="U266" s="639" t="s">
        <v>61</v>
      </c>
      <c r="V266" s="640">
        <v>0</v>
      </c>
      <c r="W266" s="641">
        <v>0</v>
      </c>
      <c r="X266" s="641">
        <v>0</v>
      </c>
      <c r="Y266" s="640">
        <v>0</v>
      </c>
      <c r="Z266" s="641">
        <v>0</v>
      </c>
      <c r="AA266" s="641">
        <v>0</v>
      </c>
      <c r="AB266" s="641">
        <v>0</v>
      </c>
      <c r="AC266" s="641">
        <v>0</v>
      </c>
      <c r="AD266" s="641">
        <v>0</v>
      </c>
      <c r="AE266" s="641">
        <v>0</v>
      </c>
      <c r="AF266" s="641">
        <v>0</v>
      </c>
      <c r="AG266" s="641">
        <v>0</v>
      </c>
      <c r="AH266" s="642">
        <v>-41.639986107117011</v>
      </c>
      <c r="AI266" s="641">
        <v>0</v>
      </c>
      <c r="AJ266" s="641">
        <v>0</v>
      </c>
      <c r="AK266" s="643">
        <v>-41.639986107117011</v>
      </c>
    </row>
    <row r="267" spans="3:37" x14ac:dyDescent="0.2">
      <c r="C267" s="639" t="s">
        <v>62</v>
      </c>
      <c r="D267" s="640">
        <v>0</v>
      </c>
      <c r="E267" s="641">
        <v>0</v>
      </c>
      <c r="F267" s="641">
        <v>-14.431507774067331</v>
      </c>
      <c r="G267" s="640">
        <v>0</v>
      </c>
      <c r="H267" s="641">
        <v>0</v>
      </c>
      <c r="I267" s="641">
        <v>0</v>
      </c>
      <c r="J267" s="641">
        <v>0</v>
      </c>
      <c r="K267" s="641">
        <v>0</v>
      </c>
      <c r="L267" s="641">
        <v>0</v>
      </c>
      <c r="M267" s="641">
        <v>0</v>
      </c>
      <c r="N267" s="641">
        <v>0</v>
      </c>
      <c r="O267" s="641">
        <v>0</v>
      </c>
      <c r="P267" s="642">
        <v>0</v>
      </c>
      <c r="Q267" s="641">
        <v>0</v>
      </c>
      <c r="R267" s="641">
        <v>0</v>
      </c>
      <c r="S267" s="643">
        <v>-14.431507774067331</v>
      </c>
      <c r="U267" s="639" t="s">
        <v>62</v>
      </c>
      <c r="V267" s="640">
        <v>0</v>
      </c>
      <c r="W267" s="641">
        <v>0</v>
      </c>
      <c r="X267" s="641">
        <v>-5.3013702027186111</v>
      </c>
      <c r="Y267" s="640">
        <v>0</v>
      </c>
      <c r="Z267" s="641">
        <v>0</v>
      </c>
      <c r="AA267" s="641">
        <v>0</v>
      </c>
      <c r="AB267" s="641">
        <v>0</v>
      </c>
      <c r="AC267" s="641">
        <v>0</v>
      </c>
      <c r="AD267" s="641">
        <v>0</v>
      </c>
      <c r="AE267" s="641">
        <v>-5.1137296191648005</v>
      </c>
      <c r="AF267" s="641">
        <v>0</v>
      </c>
      <c r="AG267" s="641">
        <v>0</v>
      </c>
      <c r="AH267" s="642">
        <v>0</v>
      </c>
      <c r="AI267" s="641">
        <v>0</v>
      </c>
      <c r="AJ267" s="641">
        <v>0</v>
      </c>
      <c r="AK267" s="643">
        <v>-10.415099821883413</v>
      </c>
    </row>
    <row r="268" spans="3:37" x14ac:dyDescent="0.2">
      <c r="C268" s="639" t="s">
        <v>63</v>
      </c>
      <c r="D268" s="640">
        <v>0</v>
      </c>
      <c r="E268" s="641">
        <v>0</v>
      </c>
      <c r="F268" s="641">
        <v>-93.443844381495637</v>
      </c>
      <c r="G268" s="640">
        <v>0</v>
      </c>
      <c r="H268" s="641">
        <v>0</v>
      </c>
      <c r="I268" s="641">
        <v>0</v>
      </c>
      <c r="J268" s="641">
        <v>0</v>
      </c>
      <c r="K268" s="641">
        <v>0</v>
      </c>
      <c r="L268" s="641">
        <v>-0.96889726774865159</v>
      </c>
      <c r="M268" s="641">
        <v>0</v>
      </c>
      <c r="N268" s="641">
        <v>0</v>
      </c>
      <c r="O268" s="641">
        <v>0</v>
      </c>
      <c r="P268" s="642">
        <v>0</v>
      </c>
      <c r="Q268" s="641">
        <v>0</v>
      </c>
      <c r="R268" s="641">
        <v>0</v>
      </c>
      <c r="S268" s="643">
        <v>-94.412741649244282</v>
      </c>
      <c r="U268" s="639" t="s">
        <v>63</v>
      </c>
      <c r="V268" s="640">
        <v>0</v>
      </c>
      <c r="W268" s="641">
        <v>0</v>
      </c>
      <c r="X268" s="641">
        <v>-35.841594545498886</v>
      </c>
      <c r="Y268" s="640">
        <v>0</v>
      </c>
      <c r="Z268" s="641">
        <v>0</v>
      </c>
      <c r="AA268" s="641">
        <v>0</v>
      </c>
      <c r="AB268" s="641">
        <v>0</v>
      </c>
      <c r="AC268" s="641">
        <v>0</v>
      </c>
      <c r="AD268" s="641">
        <v>-46.567340427053182</v>
      </c>
      <c r="AE268" s="641">
        <v>0</v>
      </c>
      <c r="AF268" s="641">
        <v>0</v>
      </c>
      <c r="AG268" s="641">
        <v>0</v>
      </c>
      <c r="AH268" s="642">
        <v>0</v>
      </c>
      <c r="AI268" s="641">
        <v>0</v>
      </c>
      <c r="AJ268" s="641">
        <v>0</v>
      </c>
      <c r="AK268" s="643">
        <v>-82.408934972552061</v>
      </c>
    </row>
    <row r="269" spans="3:37" x14ac:dyDescent="0.2">
      <c r="C269" s="639" t="s">
        <v>64</v>
      </c>
      <c r="D269" s="640">
        <v>0</v>
      </c>
      <c r="E269" s="641">
        <v>0</v>
      </c>
      <c r="F269" s="641">
        <v>0</v>
      </c>
      <c r="G269" s="640">
        <v>0</v>
      </c>
      <c r="H269" s="641">
        <v>0</v>
      </c>
      <c r="I269" s="641">
        <v>0</v>
      </c>
      <c r="J269" s="641">
        <v>0</v>
      </c>
      <c r="K269" s="641">
        <v>0</v>
      </c>
      <c r="L269" s="641">
        <v>0</v>
      </c>
      <c r="M269" s="641">
        <v>0</v>
      </c>
      <c r="N269" s="641">
        <v>0</v>
      </c>
      <c r="O269" s="641">
        <v>0</v>
      </c>
      <c r="P269" s="642">
        <v>0</v>
      </c>
      <c r="Q269" s="641">
        <v>0</v>
      </c>
      <c r="R269" s="641">
        <v>0</v>
      </c>
      <c r="S269" s="643">
        <v>0</v>
      </c>
      <c r="U269" s="639" t="s">
        <v>64</v>
      </c>
      <c r="V269" s="640">
        <v>0</v>
      </c>
      <c r="W269" s="641">
        <v>0</v>
      </c>
      <c r="X269" s="641">
        <v>0</v>
      </c>
      <c r="Y269" s="640">
        <v>0</v>
      </c>
      <c r="Z269" s="641">
        <v>0</v>
      </c>
      <c r="AA269" s="641">
        <v>0</v>
      </c>
      <c r="AB269" s="641">
        <v>0</v>
      </c>
      <c r="AC269" s="641">
        <v>0</v>
      </c>
      <c r="AD269" s="641">
        <v>0</v>
      </c>
      <c r="AE269" s="641">
        <v>0</v>
      </c>
      <c r="AF269" s="641">
        <v>0</v>
      </c>
      <c r="AG269" s="641">
        <v>0</v>
      </c>
      <c r="AH269" s="642">
        <v>0</v>
      </c>
      <c r="AI269" s="641">
        <v>0</v>
      </c>
      <c r="AJ269" s="641">
        <v>0</v>
      </c>
      <c r="AK269" s="643">
        <v>0</v>
      </c>
    </row>
    <row r="270" spans="3:37" x14ac:dyDescent="0.2">
      <c r="C270" s="644" t="s">
        <v>65</v>
      </c>
      <c r="D270" s="645">
        <v>46.099891323621534</v>
      </c>
      <c r="E270" s="645">
        <v>464.7986487</v>
      </c>
      <c r="F270" s="645">
        <v>-59.341223439635421</v>
      </c>
      <c r="G270" s="645">
        <v>345.55093723566335</v>
      </c>
      <c r="H270" s="645">
        <v>727.27272727272737</v>
      </c>
      <c r="I270" s="645">
        <v>338.37995078139568</v>
      </c>
      <c r="J270" s="645">
        <v>190.84741038091113</v>
      </c>
      <c r="K270" s="645">
        <v>19.887492227897642</v>
      </c>
      <c r="L270" s="645">
        <v>2.7639977986594397</v>
      </c>
      <c r="M270" s="645">
        <v>0.16041590589481752</v>
      </c>
      <c r="N270" s="645">
        <v>75.083762899489528</v>
      </c>
      <c r="O270" s="645">
        <v>12.515766779598991</v>
      </c>
      <c r="P270" s="645">
        <v>-12.7985093299136</v>
      </c>
      <c r="Q270" s="645">
        <v>0</v>
      </c>
      <c r="R270" s="645">
        <v>0</v>
      </c>
      <c r="S270" s="645">
        <v>2151.2212685363102</v>
      </c>
      <c r="U270" s="644" t="s">
        <v>65</v>
      </c>
      <c r="V270" s="645">
        <v>4.5871215860372576</v>
      </c>
      <c r="W270" s="645">
        <v>113.59926767676768</v>
      </c>
      <c r="X270" s="645">
        <v>-21.004029293308101</v>
      </c>
      <c r="Y270" s="645">
        <v>0.51452681198611927</v>
      </c>
      <c r="Z270" s="645">
        <v>764.84848484848499</v>
      </c>
      <c r="AA270" s="645">
        <v>423.19995078139567</v>
      </c>
      <c r="AB270" s="645">
        <v>261.81197328019942</v>
      </c>
      <c r="AC270" s="645">
        <v>36.108430969743218</v>
      </c>
      <c r="AD270" s="645">
        <v>-42.834445360645091</v>
      </c>
      <c r="AE270" s="645">
        <v>-4.9533137132699832</v>
      </c>
      <c r="AF270" s="645">
        <v>123.16818516374138</v>
      </c>
      <c r="AG270" s="645">
        <v>30.250193334526926</v>
      </c>
      <c r="AH270" s="645">
        <v>-41.639986107117011</v>
      </c>
      <c r="AI270" s="645">
        <v>0</v>
      </c>
      <c r="AJ270" s="645">
        <v>0</v>
      </c>
      <c r="AK270" s="645">
        <v>1647.6563599785427</v>
      </c>
    </row>
    <row r="271" spans="3:37" x14ac:dyDescent="0.2">
      <c r="C271" s="634"/>
      <c r="D271" s="634">
        <v>0</v>
      </c>
      <c r="E271" s="634">
        <v>0</v>
      </c>
      <c r="F271" s="634">
        <v>0</v>
      </c>
      <c r="G271" s="634">
        <v>0</v>
      </c>
      <c r="H271" s="634">
        <v>0</v>
      </c>
      <c r="I271" s="634">
        <v>0</v>
      </c>
      <c r="J271" s="634">
        <v>0</v>
      </c>
      <c r="K271" s="634">
        <v>0</v>
      </c>
      <c r="L271" s="634">
        <v>0</v>
      </c>
      <c r="M271" s="634">
        <v>0</v>
      </c>
      <c r="N271" s="634">
        <v>0</v>
      </c>
      <c r="O271" s="634">
        <v>0</v>
      </c>
      <c r="P271" s="634">
        <v>0</v>
      </c>
      <c r="Q271" s="634">
        <v>0</v>
      </c>
      <c r="R271" s="634">
        <v>0</v>
      </c>
      <c r="S271" s="634">
        <v>0</v>
      </c>
      <c r="U271" s="634"/>
      <c r="V271" s="634">
        <v>0</v>
      </c>
      <c r="W271" s="634">
        <v>0</v>
      </c>
      <c r="X271" s="634">
        <v>0</v>
      </c>
      <c r="Y271" s="634">
        <v>0</v>
      </c>
      <c r="Z271" s="634">
        <v>0</v>
      </c>
      <c r="AA271" s="634">
        <v>0</v>
      </c>
      <c r="AB271" s="634">
        <v>0</v>
      </c>
      <c r="AC271" s="634">
        <v>0</v>
      </c>
      <c r="AD271" s="634">
        <v>0</v>
      </c>
      <c r="AE271" s="634">
        <v>0</v>
      </c>
      <c r="AF271" s="634">
        <v>0</v>
      </c>
      <c r="AG271" s="634">
        <v>0</v>
      </c>
      <c r="AH271" s="634">
        <v>0</v>
      </c>
      <c r="AI271" s="634">
        <v>0</v>
      </c>
      <c r="AJ271" s="634">
        <v>0</v>
      </c>
      <c r="AK271" s="634">
        <v>0</v>
      </c>
    </row>
    <row r="272" spans="3:37" x14ac:dyDescent="0.2">
      <c r="C272" s="646" t="s">
        <v>67</v>
      </c>
      <c r="D272" s="640">
        <v>0</v>
      </c>
      <c r="E272" s="647">
        <v>0</v>
      </c>
      <c r="F272" s="647">
        <v>0</v>
      </c>
      <c r="G272" s="640">
        <v>0</v>
      </c>
      <c r="H272" s="640">
        <v>0</v>
      </c>
      <c r="I272" s="640">
        <v>0</v>
      </c>
      <c r="J272" s="640">
        <v>0</v>
      </c>
      <c r="K272" s="640">
        <v>0</v>
      </c>
      <c r="L272" s="640">
        <v>0</v>
      </c>
      <c r="M272" s="640">
        <v>0</v>
      </c>
      <c r="N272" s="640">
        <v>0</v>
      </c>
      <c r="O272" s="640">
        <v>0</v>
      </c>
      <c r="P272" s="640">
        <v>0</v>
      </c>
      <c r="Q272" s="640">
        <v>0</v>
      </c>
      <c r="R272" s="640">
        <v>0</v>
      </c>
      <c r="S272" s="648">
        <v>0</v>
      </c>
      <c r="U272" s="646" t="s">
        <v>67</v>
      </c>
      <c r="V272" s="640">
        <v>0</v>
      </c>
      <c r="W272" s="647">
        <v>0</v>
      </c>
      <c r="X272" s="647">
        <v>0</v>
      </c>
      <c r="Y272" s="640">
        <v>0</v>
      </c>
      <c r="Z272" s="640">
        <v>0</v>
      </c>
      <c r="AA272" s="640">
        <v>0</v>
      </c>
      <c r="AB272" s="640">
        <v>0</v>
      </c>
      <c r="AC272" s="640">
        <v>0</v>
      </c>
      <c r="AD272" s="640">
        <v>0</v>
      </c>
      <c r="AE272" s="640">
        <v>0</v>
      </c>
      <c r="AF272" s="640">
        <v>0</v>
      </c>
      <c r="AG272" s="640">
        <v>0</v>
      </c>
      <c r="AH272" s="640">
        <v>0</v>
      </c>
      <c r="AI272" s="640">
        <v>0</v>
      </c>
      <c r="AJ272" s="640">
        <v>0</v>
      </c>
      <c r="AK272" s="648">
        <v>0</v>
      </c>
    </row>
    <row r="273" spans="3:37" x14ac:dyDescent="0.2">
      <c r="C273" s="646" t="s">
        <v>347</v>
      </c>
      <c r="D273" s="640">
        <v>2.8267856410252494</v>
      </c>
      <c r="E273" s="640">
        <v>0</v>
      </c>
      <c r="F273" s="640">
        <v>8.0599105831015567</v>
      </c>
      <c r="G273" s="640">
        <v>46.530346198952707</v>
      </c>
      <c r="H273" s="640">
        <v>727.27272727272737</v>
      </c>
      <c r="I273" s="640">
        <v>338.37995078139568</v>
      </c>
      <c r="J273" s="649">
        <v>28.452469116356035</v>
      </c>
      <c r="K273" s="649">
        <v>6.2305848357200952</v>
      </c>
      <c r="L273" s="649">
        <v>3.7328950664080915</v>
      </c>
      <c r="M273" s="649">
        <v>1.0761160081227215</v>
      </c>
      <c r="N273" s="649">
        <v>0</v>
      </c>
      <c r="O273" s="649">
        <v>7.5664382136221358</v>
      </c>
      <c r="P273" s="640">
        <v>-629.14515201417555</v>
      </c>
      <c r="Q273" s="640">
        <v>0</v>
      </c>
      <c r="R273" s="640">
        <v>0</v>
      </c>
      <c r="S273" s="648">
        <v>540.98307170325586</v>
      </c>
      <c r="U273" s="646" t="s">
        <v>347</v>
      </c>
      <c r="V273" s="640">
        <v>0.62631490545869017</v>
      </c>
      <c r="W273" s="640">
        <v>0</v>
      </c>
      <c r="X273" s="640">
        <v>4.1962742194651934</v>
      </c>
      <c r="Y273" s="640">
        <v>0</v>
      </c>
      <c r="Z273" s="640">
        <v>764.84848484848499</v>
      </c>
      <c r="AA273" s="640">
        <v>423.19995078139567</v>
      </c>
      <c r="AB273" s="649">
        <v>22.478183728982629</v>
      </c>
      <c r="AC273" s="649">
        <v>5.0926371917675839</v>
      </c>
      <c r="AD273" s="649">
        <v>3.7328950664080915</v>
      </c>
      <c r="AE273" s="649">
        <v>0.79318377276994545</v>
      </c>
      <c r="AF273" s="649">
        <v>0</v>
      </c>
      <c r="AG273" s="649">
        <v>7.5664382136221358</v>
      </c>
      <c r="AH273" s="640">
        <v>-696.77718495359215</v>
      </c>
      <c r="AI273" s="640">
        <v>0</v>
      </c>
      <c r="AJ273" s="640">
        <v>3.75</v>
      </c>
      <c r="AK273" s="648">
        <v>539.50717777476291</v>
      </c>
    </row>
    <row r="274" spans="3:37" x14ac:dyDescent="0.2">
      <c r="C274" s="646" t="s">
        <v>348</v>
      </c>
      <c r="D274" s="640">
        <v>0</v>
      </c>
      <c r="E274" s="640">
        <v>0</v>
      </c>
      <c r="F274" s="640">
        <v>0</v>
      </c>
      <c r="G274" s="640">
        <v>14.783508517784153</v>
      </c>
      <c r="H274" s="640">
        <v>0</v>
      </c>
      <c r="I274" s="640">
        <v>0</v>
      </c>
      <c r="J274" s="649">
        <v>12.163067049530284</v>
      </c>
      <c r="K274" s="649">
        <v>11.829214997579474</v>
      </c>
      <c r="L274" s="649">
        <v>0</v>
      </c>
      <c r="M274" s="649">
        <v>0.31740804730172578</v>
      </c>
      <c r="N274" s="649">
        <v>0</v>
      </c>
      <c r="O274" s="649">
        <v>2.086875550337155</v>
      </c>
      <c r="P274" s="640">
        <v>0</v>
      </c>
      <c r="Q274" s="640">
        <v>-37.667878685561853</v>
      </c>
      <c r="R274" s="640">
        <v>0</v>
      </c>
      <c r="S274" s="648">
        <v>3.5121954769709394</v>
      </c>
      <c r="U274" s="646" t="s">
        <v>348</v>
      </c>
      <c r="V274" s="640">
        <v>0</v>
      </c>
      <c r="W274" s="640">
        <v>0</v>
      </c>
      <c r="X274" s="640">
        <v>0</v>
      </c>
      <c r="Y274" s="640">
        <v>0</v>
      </c>
      <c r="Z274" s="640">
        <v>0</v>
      </c>
      <c r="AA274" s="640">
        <v>0</v>
      </c>
      <c r="AB274" s="649">
        <v>28.523630086620891</v>
      </c>
      <c r="AC274" s="649">
        <v>26.288013396118924</v>
      </c>
      <c r="AD274" s="649">
        <v>0</v>
      </c>
      <c r="AE274" s="649">
        <v>10.611192177482708</v>
      </c>
      <c r="AF274" s="649">
        <v>0</v>
      </c>
      <c r="AG274" s="649">
        <v>14.121402979798832</v>
      </c>
      <c r="AH274" s="640">
        <v>0</v>
      </c>
      <c r="AI274" s="640">
        <v>-74.176724382187018</v>
      </c>
      <c r="AJ274" s="640">
        <v>0</v>
      </c>
      <c r="AK274" s="648">
        <v>5.3675142578343316</v>
      </c>
    </row>
    <row r="275" spans="3:37" x14ac:dyDescent="0.2">
      <c r="C275" s="646" t="s">
        <v>349</v>
      </c>
      <c r="D275" s="640">
        <v>0</v>
      </c>
      <c r="E275" s="640">
        <v>0</v>
      </c>
      <c r="F275" s="640">
        <v>0</v>
      </c>
      <c r="G275" s="640">
        <v>0</v>
      </c>
      <c r="H275" s="640">
        <v>0</v>
      </c>
      <c r="I275" s="640">
        <v>0</v>
      </c>
      <c r="J275" s="650">
        <v>7.1450792385721682</v>
      </c>
      <c r="K275" s="650">
        <v>0</v>
      </c>
      <c r="L275" s="650">
        <v>0</v>
      </c>
      <c r="M275" s="650">
        <v>-6.8235506728364204</v>
      </c>
      <c r="N275" s="650">
        <v>0</v>
      </c>
      <c r="O275" s="650">
        <v>0</v>
      </c>
      <c r="P275" s="640">
        <v>0</v>
      </c>
      <c r="Q275" s="640">
        <v>0</v>
      </c>
      <c r="R275" s="640">
        <v>0</v>
      </c>
      <c r="S275" s="648">
        <v>0.32152856573574784</v>
      </c>
      <c r="U275" s="646" t="s">
        <v>349</v>
      </c>
      <c r="V275" s="640">
        <v>0</v>
      </c>
      <c r="W275" s="640">
        <v>0</v>
      </c>
      <c r="X275" s="640">
        <v>0</v>
      </c>
      <c r="Y275" s="640">
        <v>0</v>
      </c>
      <c r="Z275" s="640">
        <v>0</v>
      </c>
      <c r="AA275" s="640">
        <v>0</v>
      </c>
      <c r="AB275" s="650">
        <v>137.81211213320262</v>
      </c>
      <c r="AC275" s="650">
        <v>0</v>
      </c>
      <c r="AD275" s="650">
        <v>0</v>
      </c>
      <c r="AE275" s="650">
        <v>-131.61056708720849</v>
      </c>
      <c r="AF275" s="650">
        <v>0</v>
      </c>
      <c r="AG275" s="650">
        <v>0</v>
      </c>
      <c r="AH275" s="640">
        <v>0</v>
      </c>
      <c r="AI275" s="640">
        <v>0</v>
      </c>
      <c r="AJ275" s="640">
        <v>0</v>
      </c>
      <c r="AK275" s="648">
        <v>6.2015450459941235</v>
      </c>
    </row>
    <row r="276" spans="3:37" x14ac:dyDescent="0.2">
      <c r="C276" s="646" t="s">
        <v>350</v>
      </c>
      <c r="D276" s="640">
        <v>0</v>
      </c>
      <c r="E276" s="640">
        <v>0</v>
      </c>
      <c r="F276" s="640">
        <v>0</v>
      </c>
      <c r="G276" s="640">
        <v>0</v>
      </c>
      <c r="H276" s="640">
        <v>0</v>
      </c>
      <c r="I276" s="640">
        <v>0</v>
      </c>
      <c r="J276" s="640">
        <v>0</v>
      </c>
      <c r="K276" s="640">
        <v>0</v>
      </c>
      <c r="L276" s="640">
        <v>0</v>
      </c>
      <c r="M276" s="640">
        <v>0</v>
      </c>
      <c r="N276" s="640">
        <v>0</v>
      </c>
      <c r="O276" s="640">
        <v>0</v>
      </c>
      <c r="P276" s="640">
        <v>0</v>
      </c>
      <c r="Q276" s="640">
        <v>0</v>
      </c>
      <c r="R276" s="640">
        <v>0</v>
      </c>
      <c r="S276" s="648">
        <v>0</v>
      </c>
      <c r="U276" s="646" t="s">
        <v>350</v>
      </c>
      <c r="V276" s="640">
        <v>0</v>
      </c>
      <c r="W276" s="640">
        <v>0</v>
      </c>
      <c r="X276" s="640">
        <v>0</v>
      </c>
      <c r="Y276" s="640">
        <v>0</v>
      </c>
      <c r="Z276" s="640">
        <v>0</v>
      </c>
      <c r="AA276" s="640">
        <v>0</v>
      </c>
      <c r="AB276" s="640">
        <v>0</v>
      </c>
      <c r="AC276" s="640">
        <v>0</v>
      </c>
      <c r="AD276" s="640">
        <v>0</v>
      </c>
      <c r="AE276" s="640">
        <v>0</v>
      </c>
      <c r="AF276" s="640">
        <v>0</v>
      </c>
      <c r="AG276" s="640">
        <v>0</v>
      </c>
      <c r="AH276" s="640">
        <v>0</v>
      </c>
      <c r="AI276" s="640">
        <v>0</v>
      </c>
      <c r="AJ276" s="640">
        <v>0</v>
      </c>
      <c r="AK276" s="648">
        <v>0</v>
      </c>
    </row>
    <row r="277" spans="3:37" x14ac:dyDescent="0.2">
      <c r="C277" s="646" t="s">
        <v>72</v>
      </c>
      <c r="D277" s="640">
        <v>0</v>
      </c>
      <c r="E277" s="640">
        <v>481.48200000000003</v>
      </c>
      <c r="F277" s="640">
        <v>-476.66718000000003</v>
      </c>
      <c r="G277" s="640">
        <v>0</v>
      </c>
      <c r="H277" s="640">
        <v>0</v>
      </c>
      <c r="I277" s="640">
        <v>0</v>
      </c>
      <c r="J277" s="640">
        <v>0</v>
      </c>
      <c r="K277" s="640">
        <v>0</v>
      </c>
      <c r="L277" s="640">
        <v>0</v>
      </c>
      <c r="M277" s="640">
        <v>0</v>
      </c>
      <c r="N277" s="640">
        <v>0</v>
      </c>
      <c r="O277" s="640">
        <v>0</v>
      </c>
      <c r="P277" s="640">
        <v>0</v>
      </c>
      <c r="Q277" s="640">
        <v>0</v>
      </c>
      <c r="R277" s="640">
        <v>0</v>
      </c>
      <c r="S277" s="648">
        <v>4.8148199999999974</v>
      </c>
      <c r="U277" s="646" t="s">
        <v>72</v>
      </c>
      <c r="V277" s="640">
        <v>0</v>
      </c>
      <c r="W277" s="640">
        <v>117.67676767676768</v>
      </c>
      <c r="X277" s="640">
        <v>-116.5</v>
      </c>
      <c r="Y277" s="640">
        <v>0</v>
      </c>
      <c r="Z277" s="640">
        <v>0</v>
      </c>
      <c r="AA277" s="640">
        <v>0</v>
      </c>
      <c r="AB277" s="640">
        <v>0</v>
      </c>
      <c r="AC277" s="640">
        <v>0</v>
      </c>
      <c r="AD277" s="640">
        <v>0</v>
      </c>
      <c r="AE277" s="640">
        <v>0</v>
      </c>
      <c r="AF277" s="640">
        <v>0</v>
      </c>
      <c r="AG277" s="640">
        <v>0</v>
      </c>
      <c r="AH277" s="640">
        <v>0</v>
      </c>
      <c r="AI277" s="640">
        <v>0</v>
      </c>
      <c r="AJ277" s="640">
        <v>0</v>
      </c>
      <c r="AK277" s="648">
        <v>1.1767676767676818</v>
      </c>
    </row>
    <row r="278" spans="3:37" x14ac:dyDescent="0.2">
      <c r="C278" s="646" t="s">
        <v>351</v>
      </c>
      <c r="D278" s="640">
        <v>0</v>
      </c>
      <c r="E278" s="640">
        <v>0</v>
      </c>
      <c r="F278" s="640">
        <v>0</v>
      </c>
      <c r="G278" s="640">
        <v>0</v>
      </c>
      <c r="H278" s="640">
        <v>0</v>
      </c>
      <c r="I278" s="640">
        <v>0</v>
      </c>
      <c r="J278" s="640">
        <v>26.125483595276659</v>
      </c>
      <c r="K278" s="640">
        <v>0</v>
      </c>
      <c r="L278" s="640">
        <v>-26.125483595276659</v>
      </c>
      <c r="M278" s="640">
        <v>0</v>
      </c>
      <c r="N278" s="640">
        <v>0</v>
      </c>
      <c r="O278" s="640">
        <v>0</v>
      </c>
      <c r="P278" s="640">
        <v>0</v>
      </c>
      <c r="Q278" s="640">
        <v>0</v>
      </c>
      <c r="R278" s="640">
        <v>0</v>
      </c>
      <c r="S278" s="648">
        <v>0</v>
      </c>
      <c r="U278" s="646" t="s">
        <v>351</v>
      </c>
      <c r="V278" s="640">
        <v>0</v>
      </c>
      <c r="W278" s="640">
        <v>0</v>
      </c>
      <c r="X278" s="640">
        <v>0</v>
      </c>
      <c r="Y278" s="640">
        <v>0</v>
      </c>
      <c r="Z278" s="640">
        <v>0</v>
      </c>
      <c r="AA278" s="640">
        <v>0</v>
      </c>
      <c r="AB278" s="640" t="e">
        <v>#VALUE!</v>
      </c>
      <c r="AC278" s="640">
        <v>0</v>
      </c>
      <c r="AD278" s="640">
        <v>-100.69655001825291</v>
      </c>
      <c r="AE278" s="640">
        <v>0</v>
      </c>
      <c r="AF278" s="640">
        <v>0</v>
      </c>
      <c r="AG278" s="640">
        <v>0</v>
      </c>
      <c r="AH278" s="640">
        <v>0</v>
      </c>
      <c r="AI278" s="640">
        <v>0</v>
      </c>
      <c r="AJ278" s="640">
        <v>0</v>
      </c>
      <c r="AK278" s="648">
        <v>-100.69655001825291</v>
      </c>
    </row>
    <row r="279" spans="3:37" x14ac:dyDescent="0.2">
      <c r="C279" s="646" t="s">
        <v>352</v>
      </c>
      <c r="D279" s="640">
        <v>0</v>
      </c>
      <c r="E279" s="640">
        <v>0</v>
      </c>
      <c r="F279" s="640">
        <v>0</v>
      </c>
      <c r="G279" s="640">
        <v>0</v>
      </c>
      <c r="H279" s="640">
        <v>0</v>
      </c>
      <c r="I279" s="640">
        <v>0</v>
      </c>
      <c r="J279" s="640">
        <v>0</v>
      </c>
      <c r="K279" s="640">
        <v>0</v>
      </c>
      <c r="L279" s="640">
        <v>0</v>
      </c>
      <c r="M279" s="640">
        <v>0</v>
      </c>
      <c r="N279" s="640">
        <v>0</v>
      </c>
      <c r="O279" s="640">
        <v>0</v>
      </c>
      <c r="P279" s="640">
        <v>0</v>
      </c>
      <c r="Q279" s="640">
        <v>0</v>
      </c>
      <c r="R279" s="640">
        <v>0</v>
      </c>
      <c r="S279" s="648">
        <v>0</v>
      </c>
      <c r="U279" s="646" t="s">
        <v>352</v>
      </c>
      <c r="V279" s="640">
        <v>0</v>
      </c>
      <c r="W279" s="640">
        <v>0</v>
      </c>
      <c r="X279" s="640">
        <v>0</v>
      </c>
      <c r="Y279" s="640">
        <v>0</v>
      </c>
      <c r="Z279" s="640">
        <v>0</v>
      </c>
      <c r="AA279" s="640">
        <v>0</v>
      </c>
      <c r="AB279" s="640">
        <v>0</v>
      </c>
      <c r="AC279" s="640">
        <v>0</v>
      </c>
      <c r="AD279" s="640">
        <v>-28.460377640694865</v>
      </c>
      <c r="AE279" s="640">
        <v>0</v>
      </c>
      <c r="AF279" s="640">
        <v>0</v>
      </c>
      <c r="AG279" s="640">
        <v>0</v>
      </c>
      <c r="AH279" s="640">
        <v>0</v>
      </c>
      <c r="AI279" s="640">
        <v>0</v>
      </c>
      <c r="AJ279" s="640">
        <v>0</v>
      </c>
      <c r="AK279" s="648">
        <v>-28.460377640694865</v>
      </c>
    </row>
    <row r="280" spans="3:37" x14ac:dyDescent="0.2">
      <c r="C280" s="646" t="s">
        <v>73</v>
      </c>
      <c r="D280" s="640">
        <v>0</v>
      </c>
      <c r="E280" s="640">
        <v>0</v>
      </c>
      <c r="F280" s="640">
        <v>0</v>
      </c>
      <c r="G280" s="640">
        <v>8.6128889644156494</v>
      </c>
      <c r="H280" s="640">
        <v>0</v>
      </c>
      <c r="I280" s="640">
        <v>0</v>
      </c>
      <c r="J280" s="640">
        <v>0</v>
      </c>
      <c r="K280" s="640">
        <v>0.10101910584583218</v>
      </c>
      <c r="L280" s="640">
        <v>0</v>
      </c>
      <c r="M280" s="640">
        <v>0.17577324417174797</v>
      </c>
      <c r="N280" s="640">
        <v>0</v>
      </c>
      <c r="O280" s="640">
        <v>0</v>
      </c>
      <c r="P280" s="640">
        <v>1.1785562348680418</v>
      </c>
      <c r="Q280" s="640">
        <v>0</v>
      </c>
      <c r="R280" s="640">
        <v>-7.071337409208251</v>
      </c>
      <c r="S280" s="648">
        <v>2.99690014009302</v>
      </c>
      <c r="U280" s="646" t="s">
        <v>73</v>
      </c>
      <c r="V280" s="640">
        <v>0</v>
      </c>
      <c r="W280" s="640">
        <v>0</v>
      </c>
      <c r="X280" s="640">
        <v>0</v>
      </c>
      <c r="Y280" s="640">
        <v>0</v>
      </c>
      <c r="Z280" s="640">
        <v>0</v>
      </c>
      <c r="AA280" s="640">
        <v>0</v>
      </c>
      <c r="AB280" s="640">
        <v>0</v>
      </c>
      <c r="AC280" s="640">
        <v>0.58294529496624936</v>
      </c>
      <c r="AD280" s="640">
        <v>0</v>
      </c>
      <c r="AE280" s="640">
        <v>0</v>
      </c>
      <c r="AF280" s="640">
        <v>0</v>
      </c>
      <c r="AG280" s="640">
        <v>0</v>
      </c>
      <c r="AH280" s="640">
        <v>56.108484640501494</v>
      </c>
      <c r="AI280" s="640">
        <v>0</v>
      </c>
      <c r="AJ280" s="640">
        <v>-40.806170647637451</v>
      </c>
      <c r="AK280" s="648">
        <v>15.885259287830294</v>
      </c>
    </row>
    <row r="281" spans="3:37" x14ac:dyDescent="0.2">
      <c r="C281" s="646" t="s">
        <v>353</v>
      </c>
      <c r="D281" s="640">
        <v>28.51179328125</v>
      </c>
      <c r="E281" s="640">
        <v>-16.683351300000002</v>
      </c>
      <c r="F281" s="640">
        <v>21.820838094867195</v>
      </c>
      <c r="G281" s="640">
        <v>0</v>
      </c>
      <c r="H281" s="640">
        <v>0</v>
      </c>
      <c r="I281" s="640">
        <v>0</v>
      </c>
      <c r="J281" s="640">
        <v>0</v>
      </c>
      <c r="K281" s="640">
        <v>0</v>
      </c>
      <c r="L281" s="640">
        <v>0</v>
      </c>
      <c r="M281" s="640">
        <v>0</v>
      </c>
      <c r="N281" s="640">
        <v>0</v>
      </c>
      <c r="O281" s="640">
        <v>0</v>
      </c>
      <c r="P281" s="640">
        <v>0</v>
      </c>
      <c r="Q281" s="640">
        <v>0</v>
      </c>
      <c r="R281" s="640">
        <v>0</v>
      </c>
      <c r="S281" s="648">
        <v>33.649280076117194</v>
      </c>
      <c r="U281" s="646" t="s">
        <v>353</v>
      </c>
      <c r="V281" s="640">
        <v>0.72303211975097659</v>
      </c>
      <c r="W281" s="640">
        <v>-4.0775000000000006</v>
      </c>
      <c r="X281" s="640">
        <v>5.333129161634389</v>
      </c>
      <c r="Y281" s="640">
        <v>0</v>
      </c>
      <c r="Z281" s="640">
        <v>0</v>
      </c>
      <c r="AA281" s="640">
        <v>0</v>
      </c>
      <c r="AB281" s="640">
        <v>0</v>
      </c>
      <c r="AC281" s="640">
        <v>0</v>
      </c>
      <c r="AD281" s="640">
        <v>0</v>
      </c>
      <c r="AE281" s="640">
        <v>0</v>
      </c>
      <c r="AF281" s="640">
        <v>0</v>
      </c>
      <c r="AG281" s="640">
        <v>0</v>
      </c>
      <c r="AH281" s="640">
        <v>0</v>
      </c>
      <c r="AI281" s="640">
        <v>0</v>
      </c>
      <c r="AJ281" s="640">
        <v>0</v>
      </c>
      <c r="AK281" s="648">
        <v>1.978661281385365</v>
      </c>
    </row>
    <row r="282" spans="3:37" x14ac:dyDescent="0.2">
      <c r="C282" s="646" t="s">
        <v>75</v>
      </c>
      <c r="D282" s="640">
        <v>11.087919609375001</v>
      </c>
      <c r="E282" s="640">
        <v>0</v>
      </c>
      <c r="F282" s="640">
        <v>16.370388000000002</v>
      </c>
      <c r="G282" s="640">
        <v>4.6713383640000004</v>
      </c>
      <c r="H282" s="640">
        <v>0</v>
      </c>
      <c r="I282" s="640">
        <v>0</v>
      </c>
      <c r="J282" s="640">
        <v>0</v>
      </c>
      <c r="K282" s="640">
        <v>0</v>
      </c>
      <c r="L282" s="640">
        <v>0</v>
      </c>
      <c r="M282" s="640">
        <v>9.5333436000000008E-2</v>
      </c>
      <c r="N282" s="640">
        <v>0</v>
      </c>
      <c r="O282" s="640">
        <v>0</v>
      </c>
      <c r="P282" s="640">
        <v>26.129145836866744</v>
      </c>
      <c r="Q282" s="640">
        <v>0</v>
      </c>
      <c r="R282" s="640">
        <v>0</v>
      </c>
      <c r="S282" s="648">
        <v>58.35412524624175</v>
      </c>
      <c r="U282" s="646" t="s">
        <v>75</v>
      </c>
      <c r="V282" s="640">
        <v>1.73775830078125</v>
      </c>
      <c r="W282" s="640">
        <v>0</v>
      </c>
      <c r="X282" s="640">
        <v>16.370388000000002</v>
      </c>
      <c r="Y282" s="640">
        <v>0</v>
      </c>
      <c r="Z282" s="640">
        <v>0</v>
      </c>
      <c r="AA282" s="640">
        <v>0</v>
      </c>
      <c r="AB282" s="640">
        <v>0</v>
      </c>
      <c r="AC282" s="640">
        <v>0</v>
      </c>
      <c r="AD282" s="640">
        <v>0</v>
      </c>
      <c r="AE282" s="640">
        <v>4.7666718000000001</v>
      </c>
      <c r="AF282" s="640">
        <v>0</v>
      </c>
      <c r="AG282" s="640">
        <v>0</v>
      </c>
      <c r="AH282" s="640">
        <v>36.696565665655768</v>
      </c>
      <c r="AI282" s="640">
        <v>0</v>
      </c>
      <c r="AJ282" s="640">
        <v>0</v>
      </c>
      <c r="AK282" s="648">
        <v>59.571383766437016</v>
      </c>
    </row>
    <row r="283" spans="3:37" x14ac:dyDescent="0.2">
      <c r="C283" s="646" t="s">
        <v>76</v>
      </c>
      <c r="D283" s="640">
        <v>0</v>
      </c>
      <c r="E283" s="640">
        <v>0</v>
      </c>
      <c r="F283" s="640">
        <v>0</v>
      </c>
      <c r="G283" s="640">
        <v>3.9646717348100942</v>
      </c>
      <c r="H283" s="640">
        <v>0</v>
      </c>
      <c r="I283" s="640">
        <v>0</v>
      </c>
      <c r="J283" s="640">
        <v>0</v>
      </c>
      <c r="K283" s="640">
        <v>0</v>
      </c>
      <c r="L283" s="640">
        <v>0</v>
      </c>
      <c r="M283" s="640">
        <v>8.0911668057348868E-2</v>
      </c>
      <c r="N283" s="640">
        <v>0</v>
      </c>
      <c r="O283" s="640">
        <v>0</v>
      </c>
      <c r="P283" s="640">
        <v>47.131742012269626</v>
      </c>
      <c r="Q283" s="640">
        <v>2.9238621334994321</v>
      </c>
      <c r="R283" s="640">
        <v>0</v>
      </c>
      <c r="S283" s="648">
        <v>54.101187548636503</v>
      </c>
      <c r="U283" s="646" t="s">
        <v>76</v>
      </c>
      <c r="V283" s="640">
        <v>0</v>
      </c>
      <c r="W283" s="640">
        <v>0</v>
      </c>
      <c r="X283" s="640">
        <v>0</v>
      </c>
      <c r="Y283" s="640">
        <v>0</v>
      </c>
      <c r="Z283" s="640">
        <v>0</v>
      </c>
      <c r="AA283" s="640">
        <v>0</v>
      </c>
      <c r="AB283" s="640">
        <v>0</v>
      </c>
      <c r="AC283" s="640">
        <v>0</v>
      </c>
      <c r="AD283" s="640">
        <v>0</v>
      </c>
      <c r="AE283" s="640">
        <v>1.5605996097297452</v>
      </c>
      <c r="AF283" s="640">
        <v>0</v>
      </c>
      <c r="AG283" s="640">
        <v>0</v>
      </c>
      <c r="AH283" s="640">
        <v>50.104610120731024</v>
      </c>
      <c r="AI283" s="640">
        <v>5.7529608775183565</v>
      </c>
      <c r="AJ283" s="640">
        <v>0</v>
      </c>
      <c r="AK283" s="648">
        <v>57.418170607979121</v>
      </c>
    </row>
    <row r="284" spans="3:37" x14ac:dyDescent="0.2">
      <c r="C284" s="644" t="s">
        <v>77</v>
      </c>
      <c r="D284" s="645">
        <v>42.426498531650253</v>
      </c>
      <c r="E284" s="645">
        <v>464.7986487</v>
      </c>
      <c r="F284" s="645">
        <v>-430.41604332203127</v>
      </c>
      <c r="G284" s="645">
        <v>78.562753779962591</v>
      </c>
      <c r="H284" s="645">
        <v>727.27272727272737</v>
      </c>
      <c r="I284" s="645">
        <v>338.37995078139568</v>
      </c>
      <c r="J284" s="645">
        <v>73.88609899973514</v>
      </c>
      <c r="K284" s="645">
        <v>18.1608189391454</v>
      </c>
      <c r="L284" s="645">
        <v>-22.392588528868568</v>
      </c>
      <c r="M284" s="645">
        <v>-5.0780082691828765</v>
      </c>
      <c r="N284" s="645">
        <v>0</v>
      </c>
      <c r="O284" s="645">
        <v>9.6533137639592894</v>
      </c>
      <c r="P284" s="645">
        <v>-554.70570793017112</v>
      </c>
      <c r="Q284" s="645">
        <v>-34.744016552062419</v>
      </c>
      <c r="R284" s="645">
        <v>-7.071337409208251</v>
      </c>
      <c r="S284" s="645">
        <v>698.73310875705101</v>
      </c>
      <c r="U284" s="644" t="s">
        <v>77</v>
      </c>
      <c r="V284" s="645">
        <v>3.0871053259909167</v>
      </c>
      <c r="W284" s="645">
        <v>113.59926767676768</v>
      </c>
      <c r="X284" s="645">
        <v>-90.60020861890041</v>
      </c>
      <c r="Y284" s="645">
        <v>0</v>
      </c>
      <c r="Z284" s="645">
        <v>764.84848484848499</v>
      </c>
      <c r="AA284" s="645">
        <v>423.19995078139567</v>
      </c>
      <c r="AB284" s="645">
        <v>188.81392594880614</v>
      </c>
      <c r="AC284" s="645">
        <v>31.963595882852758</v>
      </c>
      <c r="AD284" s="645">
        <v>-125.42403259253969</v>
      </c>
      <c r="AE284" s="645">
        <v>-113.87891972722609</v>
      </c>
      <c r="AF284" s="645">
        <v>0</v>
      </c>
      <c r="AG284" s="645">
        <v>21.687841193420969</v>
      </c>
      <c r="AH284" s="645">
        <v>-553.86752452670385</v>
      </c>
      <c r="AI284" s="645">
        <v>-68.423763504668656</v>
      </c>
      <c r="AJ284" s="645">
        <v>-37.056170647637451</v>
      </c>
      <c r="AK284" s="645">
        <v>557.94955204004305</v>
      </c>
    </row>
    <row r="285" spans="3:37" x14ac:dyDescent="0.2">
      <c r="C285" s="634"/>
      <c r="D285" s="634">
        <v>0</v>
      </c>
      <c r="E285" s="634">
        <v>0</v>
      </c>
      <c r="F285" s="634">
        <v>0</v>
      </c>
      <c r="G285" s="634">
        <v>0</v>
      </c>
      <c r="H285" s="634">
        <v>0</v>
      </c>
      <c r="I285" s="634">
        <v>0</v>
      </c>
      <c r="J285" s="634">
        <v>0</v>
      </c>
      <c r="K285" s="634">
        <v>0</v>
      </c>
      <c r="L285" s="634">
        <v>0</v>
      </c>
      <c r="M285" s="634">
        <v>0</v>
      </c>
      <c r="N285" s="634">
        <v>0</v>
      </c>
      <c r="O285" s="634">
        <v>0</v>
      </c>
      <c r="P285" s="634">
        <v>0</v>
      </c>
      <c r="Q285" s="634">
        <v>0</v>
      </c>
      <c r="R285" s="634">
        <v>0</v>
      </c>
      <c r="S285" s="634">
        <v>0</v>
      </c>
      <c r="U285" s="634"/>
      <c r="V285" s="634">
        <v>0</v>
      </c>
      <c r="W285" s="634">
        <v>0</v>
      </c>
      <c r="X285" s="634">
        <v>0</v>
      </c>
      <c r="Y285" s="634">
        <v>0</v>
      </c>
      <c r="Z285" s="634">
        <v>0</v>
      </c>
      <c r="AA285" s="634">
        <v>0</v>
      </c>
      <c r="AB285" s="634">
        <v>0</v>
      </c>
      <c r="AC285" s="634">
        <v>0</v>
      </c>
      <c r="AD285" s="634">
        <v>0</v>
      </c>
      <c r="AE285" s="634">
        <v>0</v>
      </c>
      <c r="AF285" s="634">
        <v>0</v>
      </c>
      <c r="AG285" s="634">
        <v>0</v>
      </c>
      <c r="AH285" s="634">
        <v>0</v>
      </c>
      <c r="AI285" s="634">
        <v>0</v>
      </c>
      <c r="AJ285" s="634">
        <v>0</v>
      </c>
      <c r="AK285" s="634">
        <v>0</v>
      </c>
    </row>
    <row r="286" spans="3:37" x14ac:dyDescent="0.2">
      <c r="C286" s="646" t="s">
        <v>78</v>
      </c>
      <c r="D286" s="640">
        <v>3.6733927919712848</v>
      </c>
      <c r="E286" s="640">
        <v>0</v>
      </c>
      <c r="F286" s="640">
        <v>19.397200033553816</v>
      </c>
      <c r="G286" s="640">
        <v>91.130108310207916</v>
      </c>
      <c r="H286" s="640">
        <v>0</v>
      </c>
      <c r="I286" s="640">
        <v>0</v>
      </c>
      <c r="J286" s="640">
        <v>22.791437377983073</v>
      </c>
      <c r="K286" s="640">
        <v>1.7013098714668424</v>
      </c>
      <c r="L286" s="640">
        <v>1.007010953125</v>
      </c>
      <c r="M286" s="640">
        <v>1.8779931367345493</v>
      </c>
      <c r="N286" s="640">
        <v>0</v>
      </c>
      <c r="O286" s="640">
        <v>3.7093504340600874E-4</v>
      </c>
      <c r="P286" s="640">
        <v>114.54790196708234</v>
      </c>
      <c r="Q286" s="640">
        <v>16.21056036467343</v>
      </c>
      <c r="R286" s="640">
        <v>0.23655174255371095</v>
      </c>
      <c r="S286" s="648">
        <v>272.57383748439537</v>
      </c>
      <c r="U286" s="646" t="s">
        <v>78</v>
      </c>
      <c r="V286" s="640">
        <v>1.5000162600463405</v>
      </c>
      <c r="W286" s="640">
        <v>0</v>
      </c>
      <c r="X286" s="640">
        <v>0.65820239923796242</v>
      </c>
      <c r="Y286" s="640">
        <v>0</v>
      </c>
      <c r="Z286" s="640">
        <v>0</v>
      </c>
      <c r="AA286" s="640">
        <v>0</v>
      </c>
      <c r="AB286" s="640">
        <v>14.22856522114639</v>
      </c>
      <c r="AC286" s="640">
        <v>4.1194716696050602</v>
      </c>
      <c r="AD286" s="640">
        <v>8.3494072265624997</v>
      </c>
      <c r="AE286" s="640">
        <v>60.539358802903692</v>
      </c>
      <c r="AF286" s="640">
        <v>0</v>
      </c>
      <c r="AG286" s="640">
        <v>3.7093504340600874E-4</v>
      </c>
      <c r="AH286" s="640">
        <v>157.01971492382648</v>
      </c>
      <c r="AI286" s="640">
        <v>25.540840498351418</v>
      </c>
      <c r="AJ286" s="640">
        <v>8.9542294921874994</v>
      </c>
      <c r="AK286" s="648">
        <v>280.91017742891074</v>
      </c>
    </row>
    <row r="287" spans="3:37" x14ac:dyDescent="0.2">
      <c r="C287" s="646" t="s">
        <v>79</v>
      </c>
      <c r="D287" s="640">
        <v>0</v>
      </c>
      <c r="E287" s="640">
        <v>0</v>
      </c>
      <c r="F287" s="640">
        <v>216.8751541495462</v>
      </c>
      <c r="G287" s="640">
        <v>32.745585882615877</v>
      </c>
      <c r="H287" s="640">
        <v>0</v>
      </c>
      <c r="I287" s="640">
        <v>0</v>
      </c>
      <c r="J287" s="640">
        <v>0</v>
      </c>
      <c r="K287" s="640">
        <v>0</v>
      </c>
      <c r="L287" s="640">
        <v>20.896591906701669</v>
      </c>
      <c r="M287" s="640">
        <v>0.66827726291052814</v>
      </c>
      <c r="N287" s="640">
        <v>0</v>
      </c>
      <c r="O287" s="640">
        <v>0</v>
      </c>
      <c r="P287" s="640">
        <v>80.819270278256823</v>
      </c>
      <c r="Q287" s="640">
        <v>0</v>
      </c>
      <c r="R287" s="640">
        <v>2.9193508940431485</v>
      </c>
      <c r="S287" s="648">
        <v>354.92423037407423</v>
      </c>
      <c r="U287" s="646" t="s">
        <v>79</v>
      </c>
      <c r="V287" s="640">
        <v>0</v>
      </c>
      <c r="W287" s="640">
        <v>0</v>
      </c>
      <c r="X287" s="640">
        <v>8.8339079607242379</v>
      </c>
      <c r="Y287" s="640">
        <v>0</v>
      </c>
      <c r="Z287" s="640">
        <v>0</v>
      </c>
      <c r="AA287" s="640">
        <v>0</v>
      </c>
      <c r="AB287" s="640">
        <v>0</v>
      </c>
      <c r="AC287" s="640">
        <v>0</v>
      </c>
      <c r="AD287" s="640">
        <v>12.788272739607951</v>
      </c>
      <c r="AE287" s="640">
        <v>24.887279738493259</v>
      </c>
      <c r="AF287" s="640">
        <v>0</v>
      </c>
      <c r="AG287" s="640">
        <v>0</v>
      </c>
      <c r="AH287" s="640">
        <v>93.844452584108197</v>
      </c>
      <c r="AI287" s="640">
        <v>0</v>
      </c>
      <c r="AJ287" s="640">
        <v>7.1149935986121697</v>
      </c>
      <c r="AK287" s="648">
        <v>147.46890662154581</v>
      </c>
    </row>
    <row r="288" spans="3:37" x14ac:dyDescent="0.2">
      <c r="C288" s="646" t="s">
        <v>80</v>
      </c>
      <c r="D288" s="640">
        <v>0</v>
      </c>
      <c r="E288" s="640">
        <v>0</v>
      </c>
      <c r="F288" s="640">
        <v>5.2094674308398901</v>
      </c>
      <c r="G288" s="640">
        <v>68.551385920257417</v>
      </c>
      <c r="H288" s="640">
        <v>0</v>
      </c>
      <c r="I288" s="640">
        <v>0</v>
      </c>
      <c r="J288" s="640">
        <v>86.155325304334795</v>
      </c>
      <c r="K288" s="640">
        <v>0</v>
      </c>
      <c r="L288" s="640">
        <v>0</v>
      </c>
      <c r="M288" s="640">
        <v>1.3990078759236206</v>
      </c>
      <c r="N288" s="640">
        <v>66.478227859390046</v>
      </c>
      <c r="O288" s="640">
        <v>2.1206229173139883</v>
      </c>
      <c r="P288" s="640">
        <v>194.47767196350526</v>
      </c>
      <c r="Q288" s="640">
        <v>15.182773802844931</v>
      </c>
      <c r="R288" s="640">
        <v>0</v>
      </c>
      <c r="S288" s="648">
        <v>439.5744830744099</v>
      </c>
      <c r="U288" s="646" t="s">
        <v>80</v>
      </c>
      <c r="V288" s="640">
        <v>0</v>
      </c>
      <c r="W288" s="640">
        <v>0</v>
      </c>
      <c r="X288" s="640">
        <v>0.92826525658471626</v>
      </c>
      <c r="Y288" s="640">
        <v>0</v>
      </c>
      <c r="Z288" s="640">
        <v>0</v>
      </c>
      <c r="AA288" s="640">
        <v>0</v>
      </c>
      <c r="AB288" s="640">
        <v>47.227858114444189</v>
      </c>
      <c r="AC288" s="640">
        <v>0</v>
      </c>
      <c r="AD288" s="640">
        <v>0</v>
      </c>
      <c r="AE288" s="640">
        <v>17.293312779197663</v>
      </c>
      <c r="AF288" s="640">
        <v>108.09916343666818</v>
      </c>
      <c r="AG288" s="640">
        <v>4.9369795689122755</v>
      </c>
      <c r="AH288" s="640">
        <v>137.38519988829395</v>
      </c>
      <c r="AI288" s="640">
        <v>27.91071693101145</v>
      </c>
      <c r="AJ288" s="640">
        <v>0</v>
      </c>
      <c r="AK288" s="648">
        <v>343.78149597511242</v>
      </c>
    </row>
    <row r="289" spans="3:37" x14ac:dyDescent="0.2">
      <c r="C289" s="646" t="s">
        <v>81</v>
      </c>
      <c r="D289" s="640">
        <v>0</v>
      </c>
      <c r="E289" s="640">
        <v>0</v>
      </c>
      <c r="F289" s="640">
        <v>2.3181271880740835</v>
      </c>
      <c r="G289" s="640">
        <v>62.553452404821357</v>
      </c>
      <c r="H289" s="640">
        <v>0</v>
      </c>
      <c r="I289" s="640">
        <v>0</v>
      </c>
      <c r="J289" s="640">
        <v>3.0090868580403627</v>
      </c>
      <c r="K289" s="640">
        <v>2.5363417285398034E-2</v>
      </c>
      <c r="L289" s="640">
        <v>0</v>
      </c>
      <c r="M289" s="640">
        <v>1.27660106948615</v>
      </c>
      <c r="N289" s="640">
        <v>8.6055350400994808</v>
      </c>
      <c r="O289" s="640">
        <v>0.68093940948821108</v>
      </c>
      <c r="P289" s="640">
        <v>146.08879967332064</v>
      </c>
      <c r="Q289" s="640">
        <v>3.3506823845440552</v>
      </c>
      <c r="R289" s="640">
        <v>0</v>
      </c>
      <c r="S289" s="648">
        <v>227.90858744515972</v>
      </c>
      <c r="U289" s="646" t="s">
        <v>81</v>
      </c>
      <c r="V289" s="640">
        <v>0</v>
      </c>
      <c r="W289" s="640">
        <v>0</v>
      </c>
      <c r="X289" s="640">
        <v>0.55102356567889155</v>
      </c>
      <c r="Y289" s="640">
        <v>0</v>
      </c>
      <c r="Z289" s="640">
        <v>0</v>
      </c>
      <c r="AA289" s="640">
        <v>0</v>
      </c>
      <c r="AB289" s="640">
        <v>6.5361621549849476</v>
      </c>
      <c r="AC289" s="640">
        <v>2.5363417285398034E-2</v>
      </c>
      <c r="AD289" s="640">
        <v>0</v>
      </c>
      <c r="AE289" s="640">
        <v>5.3379988256415478</v>
      </c>
      <c r="AF289" s="640">
        <v>15.069021727073199</v>
      </c>
      <c r="AG289" s="640">
        <v>1.4375946320597892</v>
      </c>
      <c r="AH289" s="640">
        <v>112.31243747223964</v>
      </c>
      <c r="AI289" s="640">
        <v>14.972206075305797</v>
      </c>
      <c r="AJ289" s="640">
        <v>0</v>
      </c>
      <c r="AK289" s="648">
        <v>156.24180787026921</v>
      </c>
    </row>
    <row r="290" spans="3:37" x14ac:dyDescent="0.2">
      <c r="C290" s="646" t="s">
        <v>82</v>
      </c>
      <c r="D290" s="640">
        <v>0</v>
      </c>
      <c r="E290" s="640">
        <v>0</v>
      </c>
      <c r="F290" s="640">
        <v>27.219719362233906</v>
      </c>
      <c r="G290" s="640">
        <v>0.81069667111944488</v>
      </c>
      <c r="H290" s="640">
        <v>0</v>
      </c>
      <c r="I290" s="640">
        <v>0</v>
      </c>
      <c r="J290" s="640">
        <v>5.0054618408177598</v>
      </c>
      <c r="K290" s="640">
        <v>0</v>
      </c>
      <c r="L290" s="640">
        <v>3.2629555410385191</v>
      </c>
      <c r="M290" s="640">
        <v>1.6544830022845812E-2</v>
      </c>
      <c r="N290" s="640">
        <v>0</v>
      </c>
      <c r="O290" s="640">
        <v>6.051975379409523E-2</v>
      </c>
      <c r="P290" s="640">
        <v>5.5235547180923223</v>
      </c>
      <c r="Q290" s="640">
        <v>0</v>
      </c>
      <c r="R290" s="640">
        <v>0</v>
      </c>
      <c r="S290" s="648">
        <v>41.899452717118898</v>
      </c>
      <c r="U290" s="646" t="s">
        <v>82</v>
      </c>
      <c r="V290" s="640">
        <v>0</v>
      </c>
      <c r="W290" s="640">
        <v>0</v>
      </c>
      <c r="X290" s="640">
        <v>0.67158967449506357</v>
      </c>
      <c r="Y290" s="640">
        <v>0</v>
      </c>
      <c r="Z290" s="640">
        <v>0</v>
      </c>
      <c r="AA290" s="640">
        <v>0</v>
      </c>
      <c r="AB290" s="640">
        <v>5.0054618408177598</v>
      </c>
      <c r="AC290" s="640">
        <v>0</v>
      </c>
      <c r="AD290" s="640">
        <v>35.167200828266267</v>
      </c>
      <c r="AE290" s="640">
        <v>0.86765586771995196</v>
      </c>
      <c r="AF290" s="640">
        <v>0</v>
      </c>
      <c r="AG290" s="640">
        <v>2.1874070050904897</v>
      </c>
      <c r="AH290" s="640">
        <v>5.6657335511185538</v>
      </c>
      <c r="AI290" s="640">
        <v>0</v>
      </c>
      <c r="AJ290" s="640">
        <v>0.44339331184266689</v>
      </c>
      <c r="AK290" s="648">
        <v>50.008442079350758</v>
      </c>
    </row>
    <row r="291" spans="3:37" x14ac:dyDescent="0.2">
      <c r="C291" s="646" t="s">
        <v>354</v>
      </c>
      <c r="D291" s="640">
        <v>0</v>
      </c>
      <c r="E291" s="640">
        <v>0</v>
      </c>
      <c r="F291" s="640">
        <v>0</v>
      </c>
      <c r="G291" s="640">
        <v>0</v>
      </c>
      <c r="H291" s="640">
        <v>0</v>
      </c>
      <c r="I291" s="640">
        <v>0</v>
      </c>
      <c r="J291" s="640">
        <v>0</v>
      </c>
      <c r="K291" s="640">
        <v>0</v>
      </c>
      <c r="L291" s="640">
        <v>0</v>
      </c>
      <c r="M291" s="640">
        <v>0</v>
      </c>
      <c r="N291" s="640">
        <v>0</v>
      </c>
      <c r="O291" s="640">
        <v>0</v>
      </c>
      <c r="P291" s="640">
        <v>0.44999999999999996</v>
      </c>
      <c r="Q291" s="640">
        <v>0</v>
      </c>
      <c r="R291" s="640">
        <v>0</v>
      </c>
      <c r="S291" s="648">
        <v>0.44999999999999996</v>
      </c>
      <c r="U291" s="646" t="s">
        <v>354</v>
      </c>
      <c r="V291" s="640">
        <v>0</v>
      </c>
      <c r="W291" s="640">
        <v>0</v>
      </c>
      <c r="X291" s="640">
        <v>0</v>
      </c>
      <c r="Y291" s="640">
        <v>0</v>
      </c>
      <c r="Z291" s="640">
        <v>0</v>
      </c>
      <c r="AA291" s="640">
        <v>0</v>
      </c>
      <c r="AB291" s="640">
        <v>0</v>
      </c>
      <c r="AC291" s="640">
        <v>0</v>
      </c>
      <c r="AD291" s="640">
        <v>0</v>
      </c>
      <c r="AE291" s="640">
        <v>0</v>
      </c>
      <c r="AF291" s="640">
        <v>0</v>
      </c>
      <c r="AG291" s="640">
        <v>0</v>
      </c>
      <c r="AH291" s="640">
        <v>6</v>
      </c>
      <c r="AI291" s="640">
        <v>0</v>
      </c>
      <c r="AJ291" s="640">
        <v>0</v>
      </c>
      <c r="AK291" s="648">
        <v>6</v>
      </c>
    </row>
    <row r="292" spans="3:37" x14ac:dyDescent="0.2">
      <c r="C292" s="644" t="s">
        <v>83</v>
      </c>
      <c r="D292" s="645">
        <v>3.6733927919712848</v>
      </c>
      <c r="E292" s="645">
        <v>0</v>
      </c>
      <c r="F292" s="645">
        <v>271.01966816424783</v>
      </c>
      <c r="G292" s="645">
        <v>255.79122918902203</v>
      </c>
      <c r="H292" s="645">
        <v>0</v>
      </c>
      <c r="I292" s="645">
        <v>0</v>
      </c>
      <c r="J292" s="645">
        <v>116.96131138117599</v>
      </c>
      <c r="K292" s="645">
        <v>1.7266732887522405</v>
      </c>
      <c r="L292" s="645">
        <v>25.166558400865188</v>
      </c>
      <c r="M292" s="645">
        <v>5.238424175077693</v>
      </c>
      <c r="N292" s="645">
        <v>75.083762899489528</v>
      </c>
      <c r="O292" s="645">
        <v>2.8624530156397006</v>
      </c>
      <c r="P292" s="645">
        <v>541.90719860025752</v>
      </c>
      <c r="Q292" s="645">
        <v>34.744016552062419</v>
      </c>
      <c r="R292" s="645">
        <v>3.1559026365968594</v>
      </c>
      <c r="S292" s="645">
        <v>1337.3305910951583</v>
      </c>
      <c r="U292" s="644" t="s">
        <v>83</v>
      </c>
      <c r="V292" s="645">
        <v>1.5000162600463405</v>
      </c>
      <c r="W292" s="645">
        <v>0</v>
      </c>
      <c r="X292" s="645">
        <v>11.642988856720871</v>
      </c>
      <c r="Y292" s="645">
        <v>0</v>
      </c>
      <c r="Z292" s="645">
        <v>0</v>
      </c>
      <c r="AA292" s="645">
        <v>0</v>
      </c>
      <c r="AB292" s="645">
        <v>72.998047331393281</v>
      </c>
      <c r="AC292" s="645">
        <v>4.1448350868904589</v>
      </c>
      <c r="AD292" s="645">
        <v>56.30488079443672</v>
      </c>
      <c r="AE292" s="645">
        <v>108.92560601395611</v>
      </c>
      <c r="AF292" s="645">
        <v>123.16818516374138</v>
      </c>
      <c r="AG292" s="645">
        <v>8.5623521411059595</v>
      </c>
      <c r="AH292" s="645">
        <v>512.22753841958684</v>
      </c>
      <c r="AI292" s="645">
        <v>68.423763504668656</v>
      </c>
      <c r="AJ292" s="645">
        <v>16.512616402642333</v>
      </c>
      <c r="AK292" s="645">
        <v>984.4108299751889</v>
      </c>
    </row>
    <row r="293" spans="3:37" x14ac:dyDescent="0.2">
      <c r="C293" s="639" t="s">
        <v>84</v>
      </c>
      <c r="D293" s="640">
        <v>0</v>
      </c>
      <c r="E293" s="640">
        <v>0</v>
      </c>
      <c r="F293" s="640">
        <v>100.05515171814793</v>
      </c>
      <c r="G293" s="640">
        <v>11.196954266678716</v>
      </c>
      <c r="H293" s="640">
        <v>0</v>
      </c>
      <c r="I293" s="640">
        <v>0</v>
      </c>
      <c r="J293" s="640">
        <v>0</v>
      </c>
      <c r="K293" s="640">
        <v>0</v>
      </c>
      <c r="L293" s="640">
        <v>0</v>
      </c>
      <c r="M293" s="640">
        <v>0</v>
      </c>
      <c r="N293" s="640">
        <v>0</v>
      </c>
      <c r="O293" s="640">
        <v>0</v>
      </c>
      <c r="P293" s="640">
        <v>0</v>
      </c>
      <c r="Q293" s="640">
        <v>0</v>
      </c>
      <c r="R293" s="640">
        <v>3.9154347726113912</v>
      </c>
      <c r="S293" s="648">
        <v>115.16754075743803</v>
      </c>
      <c r="U293" s="639" t="s">
        <v>84</v>
      </c>
      <c r="V293" s="640">
        <v>0</v>
      </c>
      <c r="W293" s="640">
        <v>0</v>
      </c>
      <c r="X293" s="640">
        <v>57.953190468871433</v>
      </c>
      <c r="Y293" s="640">
        <v>0.51452681198611927</v>
      </c>
      <c r="Z293" s="640">
        <v>0</v>
      </c>
      <c r="AA293" s="640">
        <v>0</v>
      </c>
      <c r="AB293" s="640">
        <v>0</v>
      </c>
      <c r="AC293" s="640">
        <v>0</v>
      </c>
      <c r="AD293" s="640">
        <v>30.108432000732424</v>
      </c>
      <c r="AE293" s="640">
        <v>0</v>
      </c>
      <c r="AF293" s="640">
        <v>0</v>
      </c>
      <c r="AG293" s="640">
        <v>0</v>
      </c>
      <c r="AH293" s="640">
        <v>0</v>
      </c>
      <c r="AI293" s="640">
        <v>0</v>
      </c>
      <c r="AJ293" s="640">
        <v>20.543554244995118</v>
      </c>
      <c r="AK293" s="648">
        <v>109.1197035265851</v>
      </c>
    </row>
    <row r="294" spans="3:37" x14ac:dyDescent="0.2">
      <c r="C294" s="644" t="s">
        <v>85</v>
      </c>
      <c r="D294" s="645">
        <v>3.6733927919712848</v>
      </c>
      <c r="E294" s="645">
        <v>0</v>
      </c>
      <c r="F294" s="645">
        <v>371.07481988239573</v>
      </c>
      <c r="G294" s="645">
        <v>266.98818345570078</v>
      </c>
      <c r="H294" s="645">
        <v>0</v>
      </c>
      <c r="I294" s="645">
        <v>0</v>
      </c>
      <c r="J294" s="645">
        <v>116.96131138117599</v>
      </c>
      <c r="K294" s="645">
        <v>1.7266732887522405</v>
      </c>
      <c r="L294" s="645">
        <v>25.166558400865188</v>
      </c>
      <c r="M294" s="645">
        <v>5.238424175077693</v>
      </c>
      <c r="N294" s="645">
        <v>75.083762899489528</v>
      </c>
      <c r="O294" s="645">
        <v>2.8624530156397006</v>
      </c>
      <c r="P294" s="645">
        <v>541.90719860025752</v>
      </c>
      <c r="Q294" s="645">
        <v>34.744016552062419</v>
      </c>
      <c r="R294" s="645">
        <v>7.071337409208251</v>
      </c>
      <c r="S294" s="645">
        <v>1452.4981318525963</v>
      </c>
      <c r="U294" s="644" t="s">
        <v>85</v>
      </c>
      <c r="V294" s="645">
        <v>1.5000162600463405</v>
      </c>
      <c r="W294" s="645">
        <v>0</v>
      </c>
      <c r="X294" s="645">
        <v>69.596179325592303</v>
      </c>
      <c r="Y294" s="645">
        <v>0.51452681198611927</v>
      </c>
      <c r="Z294" s="645">
        <v>0</v>
      </c>
      <c r="AA294" s="645">
        <v>0</v>
      </c>
      <c r="AB294" s="645">
        <v>72.998047331393281</v>
      </c>
      <c r="AC294" s="645">
        <v>4.1448350868904589</v>
      </c>
      <c r="AD294" s="645">
        <v>86.413312795169148</v>
      </c>
      <c r="AE294" s="645">
        <v>108.92560601395611</v>
      </c>
      <c r="AF294" s="645">
        <v>123.16818516374138</v>
      </c>
      <c r="AG294" s="645">
        <v>8.5623521411059595</v>
      </c>
      <c r="AH294" s="645">
        <v>512.22753841958684</v>
      </c>
      <c r="AI294" s="645">
        <v>68.423763504668656</v>
      </c>
      <c r="AJ294" s="645">
        <v>37.056170647637451</v>
      </c>
      <c r="AK294" s="645">
        <v>1093.530533501774</v>
      </c>
    </row>
    <row r="295" spans="3:37" x14ac:dyDescent="0.2">
      <c r="C295" s="634"/>
      <c r="D295" s="634"/>
      <c r="E295" s="634"/>
      <c r="F295" s="634"/>
      <c r="G295" s="634"/>
      <c r="H295" s="634"/>
      <c r="I295" s="634"/>
      <c r="J295" s="634"/>
      <c r="K295" s="634"/>
      <c r="L295" s="634"/>
      <c r="M295" s="634"/>
      <c r="N295" s="634"/>
      <c r="O295" s="634"/>
      <c r="P295" s="634"/>
      <c r="Q295" s="634"/>
      <c r="R295" s="634"/>
      <c r="S295" s="634"/>
      <c r="U295" s="634"/>
      <c r="V295" s="634"/>
      <c r="W295" s="634"/>
      <c r="X295" s="634"/>
      <c r="Y295" s="634"/>
      <c r="Z295" s="634"/>
      <c r="AA295" s="634"/>
      <c r="AB295" s="634"/>
      <c r="AC295" s="634"/>
      <c r="AD295" s="634"/>
      <c r="AE295" s="634"/>
      <c r="AF295" s="634"/>
      <c r="AG295" s="634"/>
      <c r="AH295" s="634"/>
      <c r="AI295" s="634"/>
      <c r="AJ295" s="634"/>
      <c r="AK295" s="634"/>
    </row>
    <row r="296" spans="3:37" x14ac:dyDescent="0.2">
      <c r="C296" s="634"/>
      <c r="D296" s="634"/>
      <c r="E296" s="634"/>
      <c r="F296" s="634"/>
      <c r="G296" s="634"/>
      <c r="H296" s="634"/>
      <c r="I296" s="634"/>
      <c r="J296" s="634"/>
      <c r="K296" s="634"/>
      <c r="L296" s="634"/>
      <c r="M296" s="634"/>
      <c r="N296" s="634"/>
      <c r="O296" s="634"/>
      <c r="P296" s="634"/>
      <c r="Q296" s="634"/>
      <c r="R296" s="634"/>
      <c r="S296" s="634"/>
      <c r="U296" s="634"/>
      <c r="V296" s="634"/>
      <c r="W296" s="634"/>
      <c r="X296" s="634"/>
      <c r="Y296" s="634"/>
      <c r="Z296" s="634"/>
      <c r="AA296" s="634"/>
      <c r="AB296" s="634"/>
      <c r="AC296" s="634"/>
      <c r="AD296" s="634"/>
      <c r="AE296" s="634"/>
      <c r="AF296" s="634"/>
      <c r="AG296" s="634"/>
      <c r="AH296" s="634"/>
      <c r="AI296" s="634"/>
      <c r="AJ296" s="634"/>
      <c r="AK296" s="634"/>
    </row>
  </sheetData>
  <mergeCells count="210">
    <mergeCell ref="C2:S2"/>
    <mergeCell ref="U2:AK2"/>
    <mergeCell ref="C8:S8"/>
    <mergeCell ref="U8:AK8"/>
    <mergeCell ref="C10:C11"/>
    <mergeCell ref="D10:D11"/>
    <mergeCell ref="E10:E11"/>
    <mergeCell ref="F10:F11"/>
    <mergeCell ref="G10:G11"/>
    <mergeCell ref="H10:H11"/>
    <mergeCell ref="I10:I11"/>
    <mergeCell ref="J10:O10"/>
    <mergeCell ref="AH10:AH11"/>
    <mergeCell ref="AI10:AI11"/>
    <mergeCell ref="AJ10:AJ11"/>
    <mergeCell ref="AK10:AK11"/>
    <mergeCell ref="C44:S44"/>
    <mergeCell ref="U44:AK44"/>
    <mergeCell ref="W10:W11"/>
    <mergeCell ref="X10:X11"/>
    <mergeCell ref="Y10:Y11"/>
    <mergeCell ref="Z10:Z11"/>
    <mergeCell ref="AA10:AA11"/>
    <mergeCell ref="AB10:AG10"/>
    <mergeCell ref="P10:P11"/>
    <mergeCell ref="Q10:Q11"/>
    <mergeCell ref="R10:R11"/>
    <mergeCell ref="S10:S11"/>
    <mergeCell ref="U10:U11"/>
    <mergeCell ref="V10:V11"/>
    <mergeCell ref="I46:I47"/>
    <mergeCell ref="J46:O46"/>
    <mergeCell ref="P46:P47"/>
    <mergeCell ref="Q46:Q47"/>
    <mergeCell ref="R46:R47"/>
    <mergeCell ref="S46:S47"/>
    <mergeCell ref="C46:C47"/>
    <mergeCell ref="D46:D47"/>
    <mergeCell ref="E46:E47"/>
    <mergeCell ref="F46:F47"/>
    <mergeCell ref="G46:G47"/>
    <mergeCell ref="H46:H47"/>
    <mergeCell ref="AA46:AA47"/>
    <mergeCell ref="AB46:AG46"/>
    <mergeCell ref="AH46:AH47"/>
    <mergeCell ref="AI46:AI47"/>
    <mergeCell ref="AJ46:AJ47"/>
    <mergeCell ref="AK46:AK47"/>
    <mergeCell ref="U46:U47"/>
    <mergeCell ref="V46:V47"/>
    <mergeCell ref="W46:W47"/>
    <mergeCell ref="X46:X47"/>
    <mergeCell ref="Y46:Y47"/>
    <mergeCell ref="Z46:Z47"/>
    <mergeCell ref="C80:S80"/>
    <mergeCell ref="U80:AK80"/>
    <mergeCell ref="C82:C83"/>
    <mergeCell ref="D82:D83"/>
    <mergeCell ref="E82:E83"/>
    <mergeCell ref="F82:F83"/>
    <mergeCell ref="G82:G83"/>
    <mergeCell ref="H82:H83"/>
    <mergeCell ref="I82:I83"/>
    <mergeCell ref="J82:O82"/>
    <mergeCell ref="AH82:AH83"/>
    <mergeCell ref="AI82:AI83"/>
    <mergeCell ref="AJ82:AJ83"/>
    <mergeCell ref="AK82:AK83"/>
    <mergeCell ref="C116:S116"/>
    <mergeCell ref="U116:AK116"/>
    <mergeCell ref="W82:W83"/>
    <mergeCell ref="X82:X83"/>
    <mergeCell ref="Y82:Y83"/>
    <mergeCell ref="Z82:Z83"/>
    <mergeCell ref="AA82:AA83"/>
    <mergeCell ref="AB82:AG82"/>
    <mergeCell ref="P82:P83"/>
    <mergeCell ref="Q82:Q83"/>
    <mergeCell ref="R82:R83"/>
    <mergeCell ref="S82:S83"/>
    <mergeCell ref="U82:U83"/>
    <mergeCell ref="V82:V83"/>
    <mergeCell ref="I118:I119"/>
    <mergeCell ref="J118:O118"/>
    <mergeCell ref="P118:P119"/>
    <mergeCell ref="Q118:Q119"/>
    <mergeCell ref="R118:R119"/>
    <mergeCell ref="S118:S119"/>
    <mergeCell ref="C118:C119"/>
    <mergeCell ref="D118:D119"/>
    <mergeCell ref="E118:E119"/>
    <mergeCell ref="F118:F119"/>
    <mergeCell ref="G118:G119"/>
    <mergeCell ref="H118:H119"/>
    <mergeCell ref="AA118:AA119"/>
    <mergeCell ref="AB118:AG118"/>
    <mergeCell ref="AH118:AH119"/>
    <mergeCell ref="AI118:AI119"/>
    <mergeCell ref="AJ118:AJ119"/>
    <mergeCell ref="AK118:AK119"/>
    <mergeCell ref="U118:U119"/>
    <mergeCell ref="V118:V119"/>
    <mergeCell ref="W118:W119"/>
    <mergeCell ref="X118:X119"/>
    <mergeCell ref="Y118:Y119"/>
    <mergeCell ref="Z118:Z119"/>
    <mergeCell ref="C152:S152"/>
    <mergeCell ref="U152:AK152"/>
    <mergeCell ref="C154:C155"/>
    <mergeCell ref="D154:D155"/>
    <mergeCell ref="E154:E155"/>
    <mergeCell ref="F154:F155"/>
    <mergeCell ref="G154:G155"/>
    <mergeCell ref="H154:H155"/>
    <mergeCell ref="I154:I155"/>
    <mergeCell ref="J154:O154"/>
    <mergeCell ref="AH154:AH155"/>
    <mergeCell ref="AI154:AI155"/>
    <mergeCell ref="AJ154:AJ155"/>
    <mergeCell ref="AK154:AK155"/>
    <mergeCell ref="C188:S188"/>
    <mergeCell ref="U188:AK188"/>
    <mergeCell ref="W154:W155"/>
    <mergeCell ref="X154:X155"/>
    <mergeCell ref="Y154:Y155"/>
    <mergeCell ref="Z154:Z155"/>
    <mergeCell ref="AA154:AA155"/>
    <mergeCell ref="AB154:AG154"/>
    <mergeCell ref="P154:P155"/>
    <mergeCell ref="Q154:Q155"/>
    <mergeCell ref="R154:R155"/>
    <mergeCell ref="S154:S155"/>
    <mergeCell ref="U154:U155"/>
    <mergeCell ref="V154:V155"/>
    <mergeCell ref="I190:I191"/>
    <mergeCell ref="J190:O190"/>
    <mergeCell ref="P190:P191"/>
    <mergeCell ref="Q190:Q191"/>
    <mergeCell ref="R190:R191"/>
    <mergeCell ref="S190:S191"/>
    <mergeCell ref="C190:C191"/>
    <mergeCell ref="D190:D191"/>
    <mergeCell ref="E190:E191"/>
    <mergeCell ref="F190:F191"/>
    <mergeCell ref="G190:G191"/>
    <mergeCell ref="H190:H191"/>
    <mergeCell ref="AA190:AA191"/>
    <mergeCell ref="AB190:AG190"/>
    <mergeCell ref="AH190:AH191"/>
    <mergeCell ref="AI190:AI191"/>
    <mergeCell ref="AJ190:AJ191"/>
    <mergeCell ref="AK190:AK191"/>
    <mergeCell ref="U190:U191"/>
    <mergeCell ref="V190:V191"/>
    <mergeCell ref="W190:W191"/>
    <mergeCell ref="X190:X191"/>
    <mergeCell ref="Y190:Y191"/>
    <mergeCell ref="Z190:Z191"/>
    <mergeCell ref="C224:S224"/>
    <mergeCell ref="U224:AK224"/>
    <mergeCell ref="C226:C227"/>
    <mergeCell ref="D226:D227"/>
    <mergeCell ref="E226:E227"/>
    <mergeCell ref="F226:F227"/>
    <mergeCell ref="G226:G227"/>
    <mergeCell ref="H226:H227"/>
    <mergeCell ref="I226:I227"/>
    <mergeCell ref="J226:O226"/>
    <mergeCell ref="AH226:AH227"/>
    <mergeCell ref="AI226:AI227"/>
    <mergeCell ref="AJ226:AJ227"/>
    <mergeCell ref="AK226:AK227"/>
    <mergeCell ref="C260:S260"/>
    <mergeCell ref="U260:AK260"/>
    <mergeCell ref="W226:W227"/>
    <mergeCell ref="X226:X227"/>
    <mergeCell ref="Y226:Y227"/>
    <mergeCell ref="Z226:Z227"/>
    <mergeCell ref="AA226:AA227"/>
    <mergeCell ref="AB226:AG226"/>
    <mergeCell ref="P226:P227"/>
    <mergeCell ref="Q226:Q227"/>
    <mergeCell ref="R226:R227"/>
    <mergeCell ref="S226:S227"/>
    <mergeCell ref="U226:U227"/>
    <mergeCell ref="V226:V227"/>
    <mergeCell ref="I262:I263"/>
    <mergeCell ref="J262:O262"/>
    <mergeCell ref="P262:P263"/>
    <mergeCell ref="Q262:Q263"/>
    <mergeCell ref="R262:R263"/>
    <mergeCell ref="S262:S263"/>
    <mergeCell ref="C262:C263"/>
    <mergeCell ref="D262:D263"/>
    <mergeCell ref="E262:E263"/>
    <mergeCell ref="F262:F263"/>
    <mergeCell ref="G262:G263"/>
    <mergeCell ref="H262:H263"/>
    <mergeCell ref="AA262:AA263"/>
    <mergeCell ref="AB262:AG262"/>
    <mergeCell ref="AH262:AH263"/>
    <mergeCell ref="AI262:AI263"/>
    <mergeCell ref="AJ262:AJ263"/>
    <mergeCell ref="AK262:AK263"/>
    <mergeCell ref="U262:U263"/>
    <mergeCell ref="V262:V263"/>
    <mergeCell ref="W262:W263"/>
    <mergeCell ref="X262:X263"/>
    <mergeCell ref="Y262:Y263"/>
    <mergeCell ref="Z262:Z263"/>
  </mergeCells>
  <conditionalFormatting sqref="D12:S18">
    <cfRule type="expression" dxfId="2213" priority="801">
      <formula>LEN(TRIM(D12))=0</formula>
    </cfRule>
  </conditionalFormatting>
  <conditionalFormatting sqref="D20:S32">
    <cfRule type="expression" dxfId="2212" priority="778">
      <formula>LEN(TRIM(D20))=0</formula>
    </cfRule>
    <cfRule type="cellIs" dxfId="2211" priority="777" operator="equal">
      <formula>0</formula>
    </cfRule>
  </conditionalFormatting>
  <conditionalFormatting sqref="D34:S42">
    <cfRule type="expression" dxfId="2210" priority="766">
      <formula>LEN(TRIM(D34))=0</formula>
    </cfRule>
    <cfRule type="cellIs" dxfId="2209" priority="765" operator="equal">
      <formula>0</formula>
    </cfRule>
  </conditionalFormatting>
  <conditionalFormatting sqref="D48:S54">
    <cfRule type="expression" dxfId="2208" priority="760">
      <formula>LEN(TRIM(D48))=0</formula>
    </cfRule>
  </conditionalFormatting>
  <conditionalFormatting sqref="D56:S68">
    <cfRule type="expression" dxfId="2207" priority="737">
      <formula>LEN(TRIM(D56))=0</formula>
    </cfRule>
    <cfRule type="cellIs" dxfId="2206" priority="736" operator="equal">
      <formula>0</formula>
    </cfRule>
  </conditionalFormatting>
  <conditionalFormatting sqref="D70:S78">
    <cfRule type="expression" dxfId="2205" priority="725">
      <formula>LEN(TRIM(D70))=0</formula>
    </cfRule>
    <cfRule type="cellIs" dxfId="2204" priority="724" operator="equal">
      <formula>0</formula>
    </cfRule>
  </conditionalFormatting>
  <conditionalFormatting sqref="D84:S90">
    <cfRule type="expression" dxfId="2203" priority="719">
      <formula>LEN(TRIM(D84))=0</formula>
    </cfRule>
  </conditionalFormatting>
  <conditionalFormatting sqref="D92:S104">
    <cfRule type="cellIs" dxfId="2202" priority="695" operator="equal">
      <formula>0</formula>
    </cfRule>
    <cfRule type="expression" dxfId="2201" priority="696">
      <formula>LEN(TRIM(D92))=0</formula>
    </cfRule>
  </conditionalFormatting>
  <conditionalFormatting sqref="D106:S114">
    <cfRule type="cellIs" dxfId="2200" priority="683" operator="equal">
      <formula>0</formula>
    </cfRule>
    <cfRule type="expression" dxfId="2199" priority="684">
      <formula>LEN(TRIM(D106))=0</formula>
    </cfRule>
  </conditionalFormatting>
  <conditionalFormatting sqref="D120:S126">
    <cfRule type="expression" dxfId="2198" priority="678">
      <formula>LEN(TRIM(D120))=0</formula>
    </cfRule>
  </conditionalFormatting>
  <conditionalFormatting sqref="D128:S140">
    <cfRule type="expression" dxfId="2197" priority="655">
      <formula>LEN(TRIM(D128))=0</formula>
    </cfRule>
    <cfRule type="cellIs" dxfId="2196" priority="654" operator="equal">
      <formula>0</formula>
    </cfRule>
  </conditionalFormatting>
  <conditionalFormatting sqref="D142:S150">
    <cfRule type="expression" dxfId="2195" priority="643">
      <formula>LEN(TRIM(D142))=0</formula>
    </cfRule>
    <cfRule type="cellIs" dxfId="2194" priority="642" operator="equal">
      <formula>0</formula>
    </cfRule>
  </conditionalFormatting>
  <conditionalFormatting sqref="D156:S162">
    <cfRule type="expression" dxfId="2193" priority="637">
      <formula>LEN(TRIM(D156))=0</formula>
    </cfRule>
  </conditionalFormatting>
  <conditionalFormatting sqref="D164:S176">
    <cfRule type="expression" dxfId="2192" priority="614">
      <formula>LEN(TRIM(D164))=0</formula>
    </cfRule>
    <cfRule type="cellIs" dxfId="2191" priority="613" operator="equal">
      <formula>0</formula>
    </cfRule>
  </conditionalFormatting>
  <conditionalFormatting sqref="D178:S186">
    <cfRule type="cellIs" dxfId="2190" priority="601" operator="equal">
      <formula>0</formula>
    </cfRule>
    <cfRule type="expression" dxfId="2189" priority="602">
      <formula>LEN(TRIM(D178))=0</formula>
    </cfRule>
  </conditionalFormatting>
  <conditionalFormatting sqref="D192:S198">
    <cfRule type="expression" dxfId="2188" priority="596">
      <formula>LEN(TRIM(D192))=0</formula>
    </cfRule>
  </conditionalFormatting>
  <conditionalFormatting sqref="D200:S212">
    <cfRule type="cellIs" dxfId="2187" priority="572" operator="equal">
      <formula>0</formula>
    </cfRule>
    <cfRule type="expression" dxfId="2186" priority="573">
      <formula>LEN(TRIM(D200))=0</formula>
    </cfRule>
  </conditionalFormatting>
  <conditionalFormatting sqref="D214:S222">
    <cfRule type="cellIs" dxfId="2185" priority="560" operator="equal">
      <formula>0</formula>
    </cfRule>
    <cfRule type="expression" dxfId="2184" priority="561">
      <formula>LEN(TRIM(D214))=0</formula>
    </cfRule>
  </conditionalFormatting>
  <conditionalFormatting sqref="D228:S234">
    <cfRule type="expression" dxfId="2183" priority="555">
      <formula>LEN(TRIM(D228))=0</formula>
    </cfRule>
  </conditionalFormatting>
  <conditionalFormatting sqref="D236:S248">
    <cfRule type="expression" dxfId="2182" priority="532">
      <formula>LEN(TRIM(D236))=0</formula>
    </cfRule>
    <cfRule type="cellIs" dxfId="2181" priority="531" operator="equal">
      <formula>0</formula>
    </cfRule>
  </conditionalFormatting>
  <conditionalFormatting sqref="D250:S258">
    <cfRule type="expression" dxfId="2180" priority="520">
      <formula>LEN(TRIM(D250))=0</formula>
    </cfRule>
    <cfRule type="cellIs" dxfId="2179" priority="519" operator="equal">
      <formula>0</formula>
    </cfRule>
  </conditionalFormatting>
  <conditionalFormatting sqref="D264:S270">
    <cfRule type="expression" dxfId="2178" priority="514">
      <formula>LEN(TRIM(D264))=0</formula>
    </cfRule>
  </conditionalFormatting>
  <conditionalFormatting sqref="D272:S284">
    <cfRule type="expression" dxfId="2177" priority="491">
      <formula>LEN(TRIM(D272))=0</formula>
    </cfRule>
    <cfRule type="cellIs" dxfId="2176" priority="490" operator="equal">
      <formula>0</formula>
    </cfRule>
  </conditionalFormatting>
  <conditionalFormatting sqref="D286:S294">
    <cfRule type="expression" dxfId="2175" priority="479">
      <formula>LEN(TRIM(D286))=0</formula>
    </cfRule>
    <cfRule type="cellIs" dxfId="2174" priority="478" operator="equal">
      <formula>0</formula>
    </cfRule>
  </conditionalFormatting>
  <conditionalFormatting sqref="G12:G14 Q12:S14 D12:F17 E15:I17 P15:S17 D18:S18">
    <cfRule type="cellIs" dxfId="2173" priority="785" operator="equal">
      <formula>0</formula>
    </cfRule>
  </conditionalFormatting>
  <conditionalFormatting sqref="G48:G50 Q48:S50 D48:F53 E51:I53 P51:S53 D54:S54">
    <cfRule type="cellIs" dxfId="2172" priority="744" operator="equal">
      <formula>0</formula>
    </cfRule>
  </conditionalFormatting>
  <conditionalFormatting sqref="G84:G86 Q84:S86 D84:F89 E87:I89 P87:S89 D90:S90">
    <cfRule type="cellIs" dxfId="2171" priority="703" operator="equal">
      <formula>0</formula>
    </cfRule>
  </conditionalFormatting>
  <conditionalFormatting sqref="G120:G122 Q120:S122 D120:F125 E123:I125 P123:S125 D126:S126">
    <cfRule type="cellIs" dxfId="2170" priority="662" operator="equal">
      <formula>0</formula>
    </cfRule>
  </conditionalFormatting>
  <conditionalFormatting sqref="G156:G158 Q156:S158 D156:F161 E159:I161 P159:S161 D162:S162">
    <cfRule type="cellIs" dxfId="2169" priority="621" operator="equal">
      <formula>0</formula>
    </cfRule>
  </conditionalFormatting>
  <conditionalFormatting sqref="G192:G194 Q192:S194 D192:F197 E195:I197 P195:S197 D198:S198">
    <cfRule type="cellIs" dxfId="2168" priority="580" operator="equal">
      <formula>0</formula>
    </cfRule>
  </conditionalFormatting>
  <conditionalFormatting sqref="G228:G230 Q228:S230 D228:F233 E231:I233 P231:S233 D234:S234">
    <cfRule type="cellIs" dxfId="2167" priority="539" operator="equal">
      <formula>0</formula>
    </cfRule>
  </conditionalFormatting>
  <conditionalFormatting sqref="G264:G266 Q264:S266 D264:F269 E267:I269 P267:S269 D270:S270">
    <cfRule type="cellIs" dxfId="2166" priority="498" operator="equal">
      <formula>0</formula>
    </cfRule>
  </conditionalFormatting>
  <conditionalFormatting sqref="H12:I17">
    <cfRule type="cellIs" dxfId="2165" priority="787" operator="equal">
      <formula>0</formula>
    </cfRule>
  </conditionalFormatting>
  <conditionalFormatting sqref="H48:I53">
    <cfRule type="cellIs" dxfId="2164" priority="746" operator="equal">
      <formula>0</formula>
    </cfRule>
  </conditionalFormatting>
  <conditionalFormatting sqref="H84:I89">
    <cfRule type="cellIs" dxfId="2163" priority="705" operator="equal">
      <formula>0</formula>
    </cfRule>
  </conditionalFormatting>
  <conditionalFormatting sqref="H120:I125">
    <cfRule type="cellIs" dxfId="2162" priority="664" operator="equal">
      <formula>0</formula>
    </cfRule>
  </conditionalFormatting>
  <conditionalFormatting sqref="H156:I161">
    <cfRule type="cellIs" dxfId="2161" priority="623" operator="equal">
      <formula>0</formula>
    </cfRule>
  </conditionalFormatting>
  <conditionalFormatting sqref="H192:I197">
    <cfRule type="cellIs" dxfId="2160" priority="582" operator="equal">
      <formula>0</formula>
    </cfRule>
  </conditionalFormatting>
  <conditionalFormatting sqref="H228:I233">
    <cfRule type="cellIs" dxfId="2159" priority="541" operator="equal">
      <formula>0</formula>
    </cfRule>
  </conditionalFormatting>
  <conditionalFormatting sqref="H264:I269">
    <cfRule type="cellIs" dxfId="2158" priority="500" operator="equal">
      <formula>0</formula>
    </cfRule>
  </conditionalFormatting>
  <conditionalFormatting sqref="J11:O17">
    <cfRule type="cellIs" dxfId="2157" priority="91" operator="equal">
      <formula>0</formula>
    </cfRule>
  </conditionalFormatting>
  <conditionalFormatting sqref="J47:O53">
    <cfRule type="cellIs" dxfId="2156" priority="79" operator="equal">
      <formula>0</formula>
    </cfRule>
  </conditionalFormatting>
  <conditionalFormatting sqref="J83:O89">
    <cfRule type="cellIs" dxfId="2155" priority="67" operator="equal">
      <formula>0</formula>
    </cfRule>
  </conditionalFormatting>
  <conditionalFormatting sqref="J119:O125">
    <cfRule type="cellIs" dxfId="2154" priority="55" operator="equal">
      <formula>0</formula>
    </cfRule>
  </conditionalFormatting>
  <conditionalFormatting sqref="J155:O161">
    <cfRule type="cellIs" dxfId="2153" priority="43" operator="equal">
      <formula>0</formula>
    </cfRule>
  </conditionalFormatting>
  <conditionalFormatting sqref="J191:O197">
    <cfRule type="cellIs" dxfId="2152" priority="31" operator="equal">
      <formula>0</formula>
    </cfRule>
  </conditionalFormatting>
  <conditionalFormatting sqref="J227:O233">
    <cfRule type="cellIs" dxfId="2151" priority="19" operator="equal">
      <formula>0</formula>
    </cfRule>
  </conditionalFormatting>
  <conditionalFormatting sqref="J263:O269">
    <cfRule type="cellIs" dxfId="2150" priority="7" operator="equal">
      <formula>0</formula>
    </cfRule>
  </conditionalFormatting>
  <conditionalFormatting sqref="K12:O12">
    <cfRule type="cellIs" dxfId="2149" priority="790" operator="equal">
      <formula>0</formula>
    </cfRule>
  </conditionalFormatting>
  <conditionalFormatting sqref="K48:O48">
    <cfRule type="cellIs" dxfId="2148" priority="749" operator="equal">
      <formula>0</formula>
    </cfRule>
  </conditionalFormatting>
  <conditionalFormatting sqref="K84:O84">
    <cfRule type="cellIs" dxfId="2147" priority="708" operator="equal">
      <formula>0</formula>
    </cfRule>
  </conditionalFormatting>
  <conditionalFormatting sqref="K120:O120">
    <cfRule type="cellIs" dxfId="2146" priority="667" operator="equal">
      <formula>0</formula>
    </cfRule>
  </conditionalFormatting>
  <conditionalFormatting sqref="K156:O156">
    <cfRule type="cellIs" dxfId="2145" priority="626" operator="equal">
      <formula>0</formula>
    </cfRule>
  </conditionalFormatting>
  <conditionalFormatting sqref="K192:O192">
    <cfRule type="cellIs" dxfId="2144" priority="585" operator="equal">
      <formula>0</formula>
    </cfRule>
  </conditionalFormatting>
  <conditionalFormatting sqref="K228:O228">
    <cfRule type="cellIs" dxfId="2143" priority="544" operator="equal">
      <formula>0</formula>
    </cfRule>
  </conditionalFormatting>
  <conditionalFormatting sqref="K264:O264">
    <cfRule type="cellIs" dxfId="2142" priority="503" operator="equal">
      <formula>0</formula>
    </cfRule>
  </conditionalFormatting>
  <conditionalFormatting sqref="P12:P17">
    <cfRule type="cellIs" dxfId="2141" priority="786" operator="equal">
      <formula>0</formula>
    </cfRule>
  </conditionalFormatting>
  <conditionalFormatting sqref="P48:P53">
    <cfRule type="cellIs" dxfId="2140" priority="745" operator="equal">
      <formula>0</formula>
    </cfRule>
  </conditionalFormatting>
  <conditionalFormatting sqref="P84:P89">
    <cfRule type="cellIs" dxfId="2139" priority="704" operator="equal">
      <formula>0</formula>
    </cfRule>
  </conditionalFormatting>
  <conditionalFormatting sqref="P120:P125">
    <cfRule type="cellIs" dxfId="2138" priority="663" operator="equal">
      <formula>0</formula>
    </cfRule>
  </conditionalFormatting>
  <conditionalFormatting sqref="P156:P161">
    <cfRule type="cellIs" dxfId="2137" priority="622" operator="equal">
      <formula>0</formula>
    </cfRule>
  </conditionalFormatting>
  <conditionalFormatting sqref="P192:P197">
    <cfRule type="cellIs" dxfId="2136" priority="581" operator="equal">
      <formula>0</formula>
    </cfRule>
  </conditionalFormatting>
  <conditionalFormatting sqref="P228:P233">
    <cfRule type="cellIs" dxfId="2135" priority="540" operator="equal">
      <formula>0</formula>
    </cfRule>
  </conditionalFormatting>
  <conditionalFormatting sqref="P264:P269">
    <cfRule type="cellIs" dxfId="2134" priority="499" operator="equal">
      <formula>0</formula>
    </cfRule>
  </conditionalFormatting>
  <conditionalFormatting sqref="V12:AK18">
    <cfRule type="expression" dxfId="2133" priority="432">
      <formula>LEN(TRIM(V12))=0</formula>
    </cfRule>
  </conditionalFormatting>
  <conditionalFormatting sqref="V20:AK32">
    <cfRule type="expression" dxfId="2132" priority="409">
      <formula>LEN(TRIM(V20))=0</formula>
    </cfRule>
    <cfRule type="cellIs" dxfId="2131" priority="408" operator="equal">
      <formula>0</formula>
    </cfRule>
  </conditionalFormatting>
  <conditionalFormatting sqref="V34:AK42">
    <cfRule type="cellIs" dxfId="2130" priority="396" operator="equal">
      <formula>0</formula>
    </cfRule>
    <cfRule type="expression" dxfId="2129" priority="397">
      <formula>LEN(TRIM(V34))=0</formula>
    </cfRule>
  </conditionalFormatting>
  <conditionalFormatting sqref="V48:AK54">
    <cfRule type="expression" dxfId="2128" priority="391">
      <formula>LEN(TRIM(V48))=0</formula>
    </cfRule>
  </conditionalFormatting>
  <conditionalFormatting sqref="V56:AK68">
    <cfRule type="expression" dxfId="2127" priority="368">
      <formula>LEN(TRIM(V56))=0</formula>
    </cfRule>
    <cfRule type="cellIs" dxfId="2126" priority="367" operator="equal">
      <formula>0</formula>
    </cfRule>
  </conditionalFormatting>
  <conditionalFormatting sqref="V70:AK78">
    <cfRule type="cellIs" dxfId="2125" priority="355" operator="equal">
      <formula>0</formula>
    </cfRule>
    <cfRule type="expression" dxfId="2124" priority="356">
      <formula>LEN(TRIM(V70))=0</formula>
    </cfRule>
  </conditionalFormatting>
  <conditionalFormatting sqref="V84:AK90">
    <cfRule type="expression" dxfId="2123" priority="350">
      <formula>LEN(TRIM(V84))=0</formula>
    </cfRule>
  </conditionalFormatting>
  <conditionalFormatting sqref="V92:AK104">
    <cfRule type="cellIs" dxfId="2122" priority="326" operator="equal">
      <formula>0</formula>
    </cfRule>
    <cfRule type="expression" dxfId="2121" priority="327">
      <formula>LEN(TRIM(V92))=0</formula>
    </cfRule>
  </conditionalFormatting>
  <conditionalFormatting sqref="V106:AK114">
    <cfRule type="expression" dxfId="2120" priority="315">
      <formula>LEN(TRIM(V106))=0</formula>
    </cfRule>
    <cfRule type="cellIs" dxfId="2119" priority="314" operator="equal">
      <formula>0</formula>
    </cfRule>
  </conditionalFormatting>
  <conditionalFormatting sqref="V120:AK126">
    <cfRule type="expression" dxfId="2118" priority="309">
      <formula>LEN(TRIM(V120))=0</formula>
    </cfRule>
  </conditionalFormatting>
  <conditionalFormatting sqref="V128:AK140">
    <cfRule type="cellIs" dxfId="2117" priority="285" operator="equal">
      <formula>0</formula>
    </cfRule>
    <cfRule type="expression" dxfId="2116" priority="286">
      <formula>LEN(TRIM(V128))=0</formula>
    </cfRule>
  </conditionalFormatting>
  <conditionalFormatting sqref="V142:AK150">
    <cfRule type="expression" dxfId="2115" priority="274">
      <formula>LEN(TRIM(V142))=0</formula>
    </cfRule>
    <cfRule type="cellIs" dxfId="2114" priority="273" operator="equal">
      <formula>0</formula>
    </cfRule>
  </conditionalFormatting>
  <conditionalFormatting sqref="V156:AK162">
    <cfRule type="expression" dxfId="2113" priority="268">
      <formula>LEN(TRIM(V156))=0</formula>
    </cfRule>
  </conditionalFormatting>
  <conditionalFormatting sqref="V164:AK176">
    <cfRule type="expression" dxfId="2112" priority="245">
      <formula>LEN(TRIM(V164))=0</formula>
    </cfRule>
    <cfRule type="cellIs" dxfId="2111" priority="244" operator="equal">
      <formula>0</formula>
    </cfRule>
  </conditionalFormatting>
  <conditionalFormatting sqref="V178:AK186">
    <cfRule type="expression" dxfId="2110" priority="233">
      <formula>LEN(TRIM(V178))=0</formula>
    </cfRule>
    <cfRule type="cellIs" dxfId="2109" priority="232" operator="equal">
      <formula>0</formula>
    </cfRule>
  </conditionalFormatting>
  <conditionalFormatting sqref="V192:AK198">
    <cfRule type="expression" dxfId="2108" priority="227">
      <formula>LEN(TRIM(V192))=0</formula>
    </cfRule>
  </conditionalFormatting>
  <conditionalFormatting sqref="V200:AK212">
    <cfRule type="cellIs" dxfId="2107" priority="203" operator="equal">
      <formula>0</formula>
    </cfRule>
    <cfRule type="expression" dxfId="2106" priority="204">
      <formula>LEN(TRIM(V200))=0</formula>
    </cfRule>
  </conditionalFormatting>
  <conditionalFormatting sqref="V214:AK222">
    <cfRule type="expression" dxfId="2105" priority="192">
      <formula>LEN(TRIM(V214))=0</formula>
    </cfRule>
    <cfRule type="cellIs" dxfId="2104" priority="191" operator="equal">
      <formula>0</formula>
    </cfRule>
  </conditionalFormatting>
  <conditionalFormatting sqref="V228:AK234">
    <cfRule type="expression" dxfId="2103" priority="186">
      <formula>LEN(TRIM(V228))=0</formula>
    </cfRule>
  </conditionalFormatting>
  <conditionalFormatting sqref="V236:AK248">
    <cfRule type="cellIs" dxfId="2102" priority="162" operator="equal">
      <formula>0</formula>
    </cfRule>
    <cfRule type="expression" dxfId="2101" priority="163">
      <formula>LEN(TRIM(V236))=0</formula>
    </cfRule>
  </conditionalFormatting>
  <conditionalFormatting sqref="V250:AK258">
    <cfRule type="cellIs" dxfId="2100" priority="150" operator="equal">
      <formula>0</formula>
    </cfRule>
    <cfRule type="expression" dxfId="2099" priority="151">
      <formula>LEN(TRIM(V250))=0</formula>
    </cfRule>
  </conditionalFormatting>
  <conditionalFormatting sqref="V264:AK270">
    <cfRule type="expression" dxfId="2098" priority="145">
      <formula>LEN(TRIM(V264))=0</formula>
    </cfRule>
  </conditionalFormatting>
  <conditionalFormatting sqref="V272:AK284">
    <cfRule type="cellIs" dxfId="2097" priority="121" operator="equal">
      <formula>0</formula>
    </cfRule>
    <cfRule type="expression" dxfId="2096" priority="122">
      <formula>LEN(TRIM(V272))=0</formula>
    </cfRule>
  </conditionalFormatting>
  <conditionalFormatting sqref="V286:AK294">
    <cfRule type="expression" dxfId="2095" priority="110">
      <formula>LEN(TRIM(V286))=0</formula>
    </cfRule>
    <cfRule type="cellIs" dxfId="2094" priority="109" operator="equal">
      <formula>0</formula>
    </cfRule>
  </conditionalFormatting>
  <conditionalFormatting sqref="Y12:Y14 AI12:AK14 V12:X17 W15:AA17 AH15:AK17 V18:AK18">
    <cfRule type="cellIs" dxfId="2093" priority="416" operator="equal">
      <formula>0</formula>
    </cfRule>
  </conditionalFormatting>
  <conditionalFormatting sqref="Y48:Y50 AI48:AK50 V48:X53 W51:AA53 AH51:AK53 V54:AK54">
    <cfRule type="cellIs" dxfId="2092" priority="375" operator="equal">
      <formula>0</formula>
    </cfRule>
  </conditionalFormatting>
  <conditionalFormatting sqref="Y84:Y86 AI84:AK86 V84:X89 W87:AA89 AH87:AK89 V90:AK90">
    <cfRule type="cellIs" dxfId="2091" priority="334" operator="equal">
      <formula>0</formula>
    </cfRule>
  </conditionalFormatting>
  <conditionalFormatting sqref="Y120:Y122 AI120:AK122 V120:X125 W123:AA125 AH123:AK125 V126:AK126">
    <cfRule type="cellIs" dxfId="2090" priority="293" operator="equal">
      <formula>0</formula>
    </cfRule>
  </conditionalFormatting>
  <conditionalFormatting sqref="Y156:Y158 AI156:AK158 V156:X161 W159:AA161 AH159:AK161 V162:AK162">
    <cfRule type="cellIs" dxfId="2089" priority="252" operator="equal">
      <formula>0</formula>
    </cfRule>
  </conditionalFormatting>
  <conditionalFormatting sqref="Y192:Y194 AI192:AK194 V192:X197 W195:AA197 AH195:AK197 V198:AK198">
    <cfRule type="cellIs" dxfId="2088" priority="211" operator="equal">
      <formula>0</formula>
    </cfRule>
  </conditionalFormatting>
  <conditionalFormatting sqref="Y228:Y230 AI228:AK230 V228:X233 W231:AA233 AH231:AK233 V234:AK234">
    <cfRule type="cellIs" dxfId="2087" priority="170" operator="equal">
      <formula>0</formula>
    </cfRule>
  </conditionalFormatting>
  <conditionalFormatting sqref="Y264:Y266 AI264:AK266 V264:X269 W267:AA269 AH267:AK269 V270:AK270">
    <cfRule type="cellIs" dxfId="2086" priority="129" operator="equal">
      <formula>0</formula>
    </cfRule>
  </conditionalFormatting>
  <conditionalFormatting sqref="Z12:AA17">
    <cfRule type="cellIs" dxfId="2085" priority="418" operator="equal">
      <formula>0</formula>
    </cfRule>
  </conditionalFormatting>
  <conditionalFormatting sqref="Z48:AA53">
    <cfRule type="cellIs" dxfId="2084" priority="377" operator="equal">
      <formula>0</formula>
    </cfRule>
  </conditionalFormatting>
  <conditionalFormatting sqref="Z84:AA89">
    <cfRule type="cellIs" dxfId="2083" priority="336" operator="equal">
      <formula>0</formula>
    </cfRule>
  </conditionalFormatting>
  <conditionalFormatting sqref="Z120:AA125">
    <cfRule type="cellIs" dxfId="2082" priority="295" operator="equal">
      <formula>0</formula>
    </cfRule>
  </conditionalFormatting>
  <conditionalFormatting sqref="Z156:AA161">
    <cfRule type="cellIs" dxfId="2081" priority="254" operator="equal">
      <formula>0</formula>
    </cfRule>
  </conditionalFormatting>
  <conditionalFormatting sqref="Z192:AA197">
    <cfRule type="cellIs" dxfId="2080" priority="213" operator="equal">
      <formula>0</formula>
    </cfRule>
  </conditionalFormatting>
  <conditionalFormatting sqref="Z228:AA233">
    <cfRule type="cellIs" dxfId="2079" priority="172" operator="equal">
      <formula>0</formula>
    </cfRule>
  </conditionalFormatting>
  <conditionalFormatting sqref="Z264:AA269">
    <cfRule type="cellIs" dxfId="2078" priority="131" operator="equal">
      <formula>0</formula>
    </cfRule>
  </conditionalFormatting>
  <conditionalFormatting sqref="AB11:AG17">
    <cfRule type="cellIs" dxfId="2077" priority="85" operator="equal">
      <formula>0</formula>
    </cfRule>
  </conditionalFormatting>
  <conditionalFormatting sqref="AB47:AG53">
    <cfRule type="cellIs" dxfId="2076" priority="73" operator="equal">
      <formula>0</formula>
    </cfRule>
  </conditionalFormatting>
  <conditionalFormatting sqref="AB83:AG89">
    <cfRule type="cellIs" dxfId="2075" priority="61" operator="equal">
      <formula>0</formula>
    </cfRule>
  </conditionalFormatting>
  <conditionalFormatting sqref="AB119:AG125">
    <cfRule type="cellIs" dxfId="2074" priority="49" operator="equal">
      <formula>0</formula>
    </cfRule>
  </conditionalFormatting>
  <conditionalFormatting sqref="AB155:AG161">
    <cfRule type="cellIs" dxfId="2073" priority="37" operator="equal">
      <formula>0</formula>
    </cfRule>
  </conditionalFormatting>
  <conditionalFormatting sqref="AB191:AG197">
    <cfRule type="cellIs" dxfId="2072" priority="25" operator="equal">
      <formula>0</formula>
    </cfRule>
  </conditionalFormatting>
  <conditionalFormatting sqref="AB227:AG233">
    <cfRule type="cellIs" dxfId="2071" priority="13" operator="equal">
      <formula>0</formula>
    </cfRule>
  </conditionalFormatting>
  <conditionalFormatting sqref="AB263:AG269">
    <cfRule type="cellIs" dxfId="2070" priority="1" operator="equal">
      <formula>0</formula>
    </cfRule>
  </conditionalFormatting>
  <conditionalFormatting sqref="AC12:AG12">
    <cfRule type="cellIs" dxfId="2069" priority="421" operator="equal">
      <formula>0</formula>
    </cfRule>
  </conditionalFormatting>
  <conditionalFormatting sqref="AC48:AG48">
    <cfRule type="cellIs" dxfId="2068" priority="380" operator="equal">
      <formula>0</formula>
    </cfRule>
  </conditionalFormatting>
  <conditionalFormatting sqref="AC84:AG84">
    <cfRule type="cellIs" dxfId="2067" priority="339" operator="equal">
      <formula>0</formula>
    </cfRule>
  </conditionalFormatting>
  <conditionalFormatting sqref="AC120:AG120">
    <cfRule type="cellIs" dxfId="2066" priority="298" operator="equal">
      <formula>0</formula>
    </cfRule>
  </conditionalFormatting>
  <conditionalFormatting sqref="AC156:AG156">
    <cfRule type="cellIs" dxfId="2065" priority="257" operator="equal">
      <formula>0</formula>
    </cfRule>
  </conditionalFormatting>
  <conditionalFormatting sqref="AC192:AG192">
    <cfRule type="cellIs" dxfId="2064" priority="216" operator="equal">
      <formula>0</formula>
    </cfRule>
  </conditionalFormatting>
  <conditionalFormatting sqref="AC228:AG228">
    <cfRule type="cellIs" dxfId="2063" priority="175" operator="equal">
      <formula>0</formula>
    </cfRule>
  </conditionalFormatting>
  <conditionalFormatting sqref="AC264:AG264">
    <cfRule type="cellIs" dxfId="2062" priority="134" operator="equal">
      <formula>0</formula>
    </cfRule>
  </conditionalFormatting>
  <conditionalFormatting sqref="AH12:AH17">
    <cfRule type="cellIs" dxfId="2061" priority="417" operator="equal">
      <formula>0</formula>
    </cfRule>
  </conditionalFormatting>
  <conditionalFormatting sqref="AH48:AH53">
    <cfRule type="cellIs" dxfId="2060" priority="376" operator="equal">
      <formula>0</formula>
    </cfRule>
  </conditionalFormatting>
  <conditionalFormatting sqref="AH84:AH89">
    <cfRule type="cellIs" dxfId="2059" priority="335" operator="equal">
      <formula>0</formula>
    </cfRule>
  </conditionalFormatting>
  <conditionalFormatting sqref="AH120:AH125">
    <cfRule type="cellIs" dxfId="2058" priority="294" operator="equal">
      <formula>0</formula>
    </cfRule>
  </conditionalFormatting>
  <conditionalFormatting sqref="AH156:AH161">
    <cfRule type="cellIs" dxfId="2057" priority="253" operator="equal">
      <formula>0</formula>
    </cfRule>
  </conditionalFormatting>
  <conditionalFormatting sqref="AH192:AH197">
    <cfRule type="cellIs" dxfId="2056" priority="212" operator="equal">
      <formula>0</formula>
    </cfRule>
  </conditionalFormatting>
  <conditionalFormatting sqref="AH228:AH233">
    <cfRule type="cellIs" dxfId="2055" priority="171" operator="equal">
      <formula>0</formula>
    </cfRule>
  </conditionalFormatting>
  <conditionalFormatting sqref="AH264:AH269">
    <cfRule type="cellIs" dxfId="2054" priority="130"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DFD2E-B0D8-43A3-B863-835DE34640C5}">
  <dimension ref="C2:AK260"/>
  <sheetViews>
    <sheetView workbookViewId="0"/>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60" t="s">
        <v>522</v>
      </c>
      <c r="D2" s="760"/>
      <c r="E2" s="760"/>
      <c r="F2" s="760"/>
      <c r="G2" s="760"/>
      <c r="H2" s="760"/>
      <c r="I2" s="760"/>
      <c r="J2" s="760"/>
      <c r="K2" s="760"/>
      <c r="L2" s="760"/>
      <c r="M2" s="760"/>
      <c r="N2" s="760"/>
      <c r="O2" s="760"/>
      <c r="P2" s="760"/>
      <c r="Q2" s="760"/>
      <c r="R2" s="760"/>
      <c r="S2" s="760"/>
      <c r="U2" s="760" t="s">
        <v>523</v>
      </c>
      <c r="V2" s="760"/>
      <c r="W2" s="760"/>
      <c r="X2" s="760"/>
      <c r="Y2" s="760"/>
      <c r="Z2" s="760"/>
      <c r="AA2" s="760"/>
      <c r="AB2" s="760"/>
      <c r="AC2" s="760"/>
      <c r="AD2" s="760"/>
      <c r="AE2" s="760"/>
      <c r="AF2" s="760"/>
      <c r="AG2" s="760"/>
      <c r="AH2" s="760"/>
      <c r="AI2" s="760"/>
      <c r="AJ2" s="760"/>
      <c r="AK2" s="760"/>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338</v>
      </c>
      <c r="D4" s="635" t="s">
        <v>524</v>
      </c>
      <c r="E4" s="634"/>
      <c r="F4" s="634"/>
      <c r="G4" s="634"/>
      <c r="H4" s="636"/>
      <c r="I4" s="634"/>
      <c r="J4" s="634"/>
      <c r="K4" s="634"/>
      <c r="L4" s="634"/>
      <c r="M4" s="634"/>
      <c r="N4" s="634"/>
      <c r="O4" s="634"/>
      <c r="P4" s="634"/>
      <c r="Q4" s="634"/>
      <c r="R4" s="634"/>
      <c r="S4" s="634"/>
      <c r="U4" s="635" t="s">
        <v>338</v>
      </c>
      <c r="V4" s="635" t="s">
        <v>524</v>
      </c>
      <c r="W4" s="634"/>
      <c r="X4" s="634"/>
      <c r="Y4" s="634"/>
      <c r="Z4" s="636"/>
      <c r="AA4" s="634"/>
      <c r="AB4" s="634"/>
      <c r="AC4" s="634"/>
      <c r="AD4" s="634"/>
      <c r="AE4" s="634"/>
      <c r="AF4" s="634"/>
      <c r="AG4" s="634"/>
      <c r="AH4" s="634"/>
      <c r="AI4" s="634"/>
      <c r="AJ4" s="634"/>
      <c r="AK4" s="634"/>
    </row>
    <row r="5" spans="3:37" ht="37.5" x14ac:dyDescent="0.3">
      <c r="C5" s="635" t="s">
        <v>341</v>
      </c>
      <c r="D5" s="635" t="s">
        <v>342</v>
      </c>
      <c r="E5" s="634"/>
      <c r="F5" s="634"/>
      <c r="G5" s="634"/>
      <c r="H5" s="634"/>
      <c r="I5" s="634"/>
      <c r="J5" s="634"/>
      <c r="K5" s="634"/>
      <c r="L5" s="634"/>
      <c r="M5" s="634"/>
      <c r="N5" s="634"/>
      <c r="O5" s="634"/>
      <c r="P5" s="634"/>
      <c r="Q5" s="634"/>
      <c r="R5" s="634"/>
      <c r="S5" s="634"/>
      <c r="U5" s="635" t="s">
        <v>341</v>
      </c>
      <c r="V5" s="635" t="s">
        <v>342</v>
      </c>
      <c r="W5" s="634"/>
      <c r="X5" s="634"/>
      <c r="Y5" s="634"/>
      <c r="Z5" s="634"/>
      <c r="AA5" s="634"/>
      <c r="AB5" s="634"/>
      <c r="AC5" s="634"/>
      <c r="AD5" s="634"/>
      <c r="AE5" s="634"/>
      <c r="AF5" s="634"/>
      <c r="AG5" s="634"/>
      <c r="AH5" s="634"/>
      <c r="AI5" s="634"/>
      <c r="AJ5" s="634"/>
      <c r="AK5" s="634"/>
    </row>
    <row r="6" spans="3:37" ht="18.75" x14ac:dyDescent="0.3">
      <c r="C6" s="635" t="s">
        <v>525</v>
      </c>
      <c r="D6" s="637">
        <v>44909</v>
      </c>
      <c r="E6" s="634"/>
      <c r="F6" s="634"/>
      <c r="G6" s="634"/>
      <c r="H6" s="634"/>
      <c r="I6" s="634"/>
      <c r="J6" s="634"/>
      <c r="K6" s="634"/>
      <c r="L6" s="634"/>
      <c r="M6" s="634"/>
      <c r="N6" s="634"/>
      <c r="O6" s="634"/>
      <c r="P6" s="634"/>
      <c r="Q6" s="634"/>
      <c r="R6" s="634"/>
      <c r="S6" s="634"/>
      <c r="U6" s="635" t="s">
        <v>525</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59" t="s">
        <v>357</v>
      </c>
      <c r="D8" s="759"/>
      <c r="E8" s="759"/>
      <c r="F8" s="759"/>
      <c r="G8" s="759"/>
      <c r="H8" s="759"/>
      <c r="I8" s="759"/>
      <c r="J8" s="759"/>
      <c r="K8" s="759"/>
      <c r="L8" s="759"/>
      <c r="M8" s="759"/>
      <c r="N8" s="759"/>
      <c r="O8" s="759"/>
      <c r="P8" s="759"/>
      <c r="Q8" s="759"/>
      <c r="R8" s="759"/>
      <c r="S8" s="759"/>
      <c r="U8" s="759" t="s">
        <v>357</v>
      </c>
      <c r="V8" s="759"/>
      <c r="W8" s="759"/>
      <c r="X8" s="759"/>
      <c r="Y8" s="759"/>
      <c r="Z8" s="759"/>
      <c r="AA8" s="759"/>
      <c r="AB8" s="759"/>
      <c r="AC8" s="759"/>
      <c r="AD8" s="759"/>
      <c r="AE8" s="759"/>
      <c r="AF8" s="759"/>
      <c r="AG8" s="759"/>
      <c r="AH8" s="759"/>
      <c r="AI8" s="759"/>
      <c r="AJ8" s="759"/>
      <c r="AK8" s="75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58" t="s">
        <v>128</v>
      </c>
      <c r="D10" s="757" t="s">
        <v>42</v>
      </c>
      <c r="E10" s="757" t="s">
        <v>52</v>
      </c>
      <c r="F10" s="757" t="s">
        <v>53</v>
      </c>
      <c r="G10" s="757" t="s">
        <v>32</v>
      </c>
      <c r="H10" s="757" t="s">
        <v>20</v>
      </c>
      <c r="I10" s="757" t="s">
        <v>55</v>
      </c>
      <c r="J10" s="757" t="s">
        <v>56</v>
      </c>
      <c r="K10" s="757"/>
      <c r="L10" s="757"/>
      <c r="M10" s="757"/>
      <c r="N10" s="757"/>
      <c r="O10" s="757"/>
      <c r="P10" s="757" t="s">
        <v>57</v>
      </c>
      <c r="Q10" s="757" t="s">
        <v>58</v>
      </c>
      <c r="R10" s="757" t="s">
        <v>31</v>
      </c>
      <c r="S10" s="757" t="s">
        <v>10</v>
      </c>
      <c r="U10" s="758" t="s">
        <v>128</v>
      </c>
      <c r="V10" s="757" t="s">
        <v>42</v>
      </c>
      <c r="W10" s="757" t="s">
        <v>52</v>
      </c>
      <c r="X10" s="757" t="s">
        <v>53</v>
      </c>
      <c r="Y10" s="757" t="s">
        <v>32</v>
      </c>
      <c r="Z10" s="757" t="s">
        <v>20</v>
      </c>
      <c r="AA10" s="757" t="s">
        <v>55</v>
      </c>
      <c r="AB10" s="757" t="s">
        <v>56</v>
      </c>
      <c r="AC10" s="757"/>
      <c r="AD10" s="757"/>
      <c r="AE10" s="757"/>
      <c r="AF10" s="757"/>
      <c r="AG10" s="757"/>
      <c r="AH10" s="757" t="s">
        <v>57</v>
      </c>
      <c r="AI10" s="757" t="s">
        <v>58</v>
      </c>
      <c r="AJ10" s="757" t="s">
        <v>31</v>
      </c>
      <c r="AK10" s="757" t="s">
        <v>10</v>
      </c>
    </row>
    <row r="11" spans="3:37" ht="56.25" x14ac:dyDescent="0.2">
      <c r="C11" s="758"/>
      <c r="D11" s="757"/>
      <c r="E11" s="757"/>
      <c r="F11" s="757"/>
      <c r="G11" s="757"/>
      <c r="H11" s="757"/>
      <c r="I11" s="757"/>
      <c r="J11" s="638" t="s">
        <v>335</v>
      </c>
      <c r="K11" s="638" t="s">
        <v>40</v>
      </c>
      <c r="L11" s="638" t="s">
        <v>343</v>
      </c>
      <c r="M11" s="638" t="s">
        <v>344</v>
      </c>
      <c r="N11" s="638" t="s">
        <v>345</v>
      </c>
      <c r="O11" s="638" t="s">
        <v>346</v>
      </c>
      <c r="P11" s="757"/>
      <c r="Q11" s="757"/>
      <c r="R11" s="757"/>
      <c r="S11" s="757"/>
      <c r="U11" s="758"/>
      <c r="V11" s="757"/>
      <c r="W11" s="757"/>
      <c r="X11" s="757"/>
      <c r="Y11" s="757"/>
      <c r="Z11" s="757"/>
      <c r="AA11" s="757"/>
      <c r="AB11" s="638" t="s">
        <v>335</v>
      </c>
      <c r="AC11" s="638" t="s">
        <v>40</v>
      </c>
      <c r="AD11" s="638" t="s">
        <v>343</v>
      </c>
      <c r="AE11" s="638" t="s">
        <v>344</v>
      </c>
      <c r="AF11" s="638" t="s">
        <v>345</v>
      </c>
      <c r="AG11" s="638" t="s">
        <v>346</v>
      </c>
      <c r="AH11" s="757"/>
      <c r="AI11" s="757"/>
      <c r="AJ11" s="757"/>
      <c r="AK11" s="757"/>
    </row>
    <row r="12" spans="3:37" x14ac:dyDescent="0.2">
      <c r="C12" s="639" t="s">
        <v>59</v>
      </c>
      <c r="D12" s="640">
        <v>0</v>
      </c>
      <c r="E12" s="641">
        <v>7.3966799999999999</v>
      </c>
      <c r="F12" s="641">
        <v>0</v>
      </c>
      <c r="G12" s="640">
        <v>0.13025600000000001</v>
      </c>
      <c r="H12" s="641">
        <v>1121.3636363636365</v>
      </c>
      <c r="I12" s="641">
        <v>207.57369132422022</v>
      </c>
      <c r="J12" s="641">
        <v>190.75115787672021</v>
      </c>
      <c r="K12" s="641">
        <v>21.756321957796004</v>
      </c>
      <c r="L12" s="641">
        <v>0.34997737871272444</v>
      </c>
      <c r="M12" s="641">
        <v>0.14846473955328648</v>
      </c>
      <c r="N12" s="641">
        <v>54.409714472774652</v>
      </c>
      <c r="O12" s="641">
        <v>8.1015620286034657</v>
      </c>
      <c r="P12" s="642">
        <v>0</v>
      </c>
      <c r="Q12" s="641">
        <v>0</v>
      </c>
      <c r="R12" s="641">
        <v>0</v>
      </c>
      <c r="S12" s="643">
        <v>1611.9814621420169</v>
      </c>
      <c r="U12" s="639" t="s">
        <v>59</v>
      </c>
      <c r="V12" s="640">
        <v>0</v>
      </c>
      <c r="W12" s="641">
        <v>7.3966799999999999</v>
      </c>
      <c r="X12" s="641">
        <v>0</v>
      </c>
      <c r="Y12" s="640">
        <v>0.13025600000000001</v>
      </c>
      <c r="Z12" s="641">
        <v>1024.3939393939395</v>
      </c>
      <c r="AA12" s="641">
        <v>228.1236913242202</v>
      </c>
      <c r="AB12" s="641">
        <v>188.80425896422437</v>
      </c>
      <c r="AC12" s="641">
        <v>37.588366510920622</v>
      </c>
      <c r="AD12" s="641">
        <v>0.34997737871272444</v>
      </c>
      <c r="AE12" s="641">
        <v>0.14846473955328648</v>
      </c>
      <c r="AF12" s="641">
        <v>70.498567758341522</v>
      </c>
      <c r="AG12" s="641">
        <v>15.201618538088493</v>
      </c>
      <c r="AH12" s="642">
        <v>0</v>
      </c>
      <c r="AI12" s="641">
        <v>0</v>
      </c>
      <c r="AJ12" s="641">
        <v>0</v>
      </c>
      <c r="AK12" s="643">
        <v>1572.6358206080006</v>
      </c>
    </row>
    <row r="13" spans="3:37" x14ac:dyDescent="0.2">
      <c r="C13" s="639" t="s">
        <v>60</v>
      </c>
      <c r="D13" s="640">
        <v>48.993463204278932</v>
      </c>
      <c r="E13" s="641">
        <v>524.37115290345116</v>
      </c>
      <c r="F13" s="641">
        <v>128.47715148642752</v>
      </c>
      <c r="G13" s="640">
        <v>338.60190682175607</v>
      </c>
      <c r="H13" s="641">
        <v>0</v>
      </c>
      <c r="I13" s="641">
        <v>0</v>
      </c>
      <c r="J13" s="641">
        <v>3.4492102766833175</v>
      </c>
      <c r="K13" s="641">
        <v>0</v>
      </c>
      <c r="L13" s="641">
        <v>1.9497058389942057</v>
      </c>
      <c r="M13" s="641">
        <v>0</v>
      </c>
      <c r="N13" s="641">
        <v>0</v>
      </c>
      <c r="O13" s="641">
        <v>0</v>
      </c>
      <c r="P13" s="642">
        <v>0</v>
      </c>
      <c r="Q13" s="641">
        <v>0</v>
      </c>
      <c r="R13" s="641">
        <v>0</v>
      </c>
      <c r="S13" s="643">
        <v>1045.8425905315912</v>
      </c>
      <c r="U13" s="639" t="s">
        <v>60</v>
      </c>
      <c r="V13" s="640">
        <v>10.847134235204434</v>
      </c>
      <c r="W13" s="641">
        <v>365.76498082844296</v>
      </c>
      <c r="X13" s="641">
        <v>91.958139733680838</v>
      </c>
      <c r="Y13" s="640">
        <v>234.76100914366791</v>
      </c>
      <c r="Z13" s="641">
        <v>0</v>
      </c>
      <c r="AA13" s="641">
        <v>0</v>
      </c>
      <c r="AB13" s="641">
        <v>3.4492102766833175</v>
      </c>
      <c r="AC13" s="641">
        <v>0</v>
      </c>
      <c r="AD13" s="641">
        <v>1.9497058389942057</v>
      </c>
      <c r="AE13" s="641">
        <v>0</v>
      </c>
      <c r="AF13" s="641">
        <v>0</v>
      </c>
      <c r="AG13" s="641">
        <v>0</v>
      </c>
      <c r="AH13" s="642">
        <v>0</v>
      </c>
      <c r="AI13" s="641">
        <v>0</v>
      </c>
      <c r="AJ13" s="641">
        <v>0</v>
      </c>
      <c r="AK13" s="643">
        <v>708.7301800566737</v>
      </c>
    </row>
    <row r="14" spans="3:37" x14ac:dyDescent="0.2">
      <c r="C14" s="639" t="s">
        <v>61</v>
      </c>
      <c r="D14" s="640">
        <v>0</v>
      </c>
      <c r="E14" s="641">
        <v>0</v>
      </c>
      <c r="F14" s="641">
        <v>0</v>
      </c>
      <c r="G14" s="640">
        <v>0</v>
      </c>
      <c r="H14" s="641">
        <v>0</v>
      </c>
      <c r="I14" s="641">
        <v>0</v>
      </c>
      <c r="J14" s="641">
        <v>0</v>
      </c>
      <c r="K14" s="641">
        <v>0</v>
      </c>
      <c r="L14" s="641">
        <v>0</v>
      </c>
      <c r="M14" s="641">
        <v>0</v>
      </c>
      <c r="N14" s="641">
        <v>0</v>
      </c>
      <c r="O14" s="641">
        <v>0</v>
      </c>
      <c r="P14" s="642">
        <v>-60.003896317889257</v>
      </c>
      <c r="Q14" s="641">
        <v>0</v>
      </c>
      <c r="R14" s="641">
        <v>0</v>
      </c>
      <c r="S14" s="643">
        <v>-60.003896317889257</v>
      </c>
      <c r="U14" s="639" t="s">
        <v>61</v>
      </c>
      <c r="V14" s="640">
        <v>0</v>
      </c>
      <c r="W14" s="641">
        <v>0</v>
      </c>
      <c r="X14" s="641">
        <v>0</v>
      </c>
      <c r="Y14" s="640">
        <v>0</v>
      </c>
      <c r="Z14" s="641">
        <v>0</v>
      </c>
      <c r="AA14" s="641">
        <v>0</v>
      </c>
      <c r="AB14" s="641">
        <v>0</v>
      </c>
      <c r="AC14" s="641">
        <v>0</v>
      </c>
      <c r="AD14" s="641">
        <v>0</v>
      </c>
      <c r="AE14" s="641">
        <v>0</v>
      </c>
      <c r="AF14" s="641">
        <v>0</v>
      </c>
      <c r="AG14" s="641">
        <v>0</v>
      </c>
      <c r="AH14" s="642">
        <v>-43.289743938015249</v>
      </c>
      <c r="AI14" s="641">
        <v>0</v>
      </c>
      <c r="AJ14" s="641">
        <v>0</v>
      </c>
      <c r="AK14" s="643">
        <v>-43.289743938015249</v>
      </c>
    </row>
    <row r="15" spans="3:37" x14ac:dyDescent="0.2">
      <c r="C15" s="639" t="s">
        <v>62</v>
      </c>
      <c r="D15" s="640">
        <v>0</v>
      </c>
      <c r="E15" s="641">
        <v>0</v>
      </c>
      <c r="F15" s="641">
        <v>-16.352432750095883</v>
      </c>
      <c r="G15" s="640">
        <v>0</v>
      </c>
      <c r="H15" s="641">
        <v>0</v>
      </c>
      <c r="I15" s="641">
        <v>0</v>
      </c>
      <c r="J15" s="641">
        <v>0</v>
      </c>
      <c r="K15" s="641">
        <v>0</v>
      </c>
      <c r="L15" s="641">
        <v>0</v>
      </c>
      <c r="M15" s="641">
        <v>0</v>
      </c>
      <c r="N15" s="641">
        <v>0</v>
      </c>
      <c r="O15" s="641">
        <v>0</v>
      </c>
      <c r="P15" s="642">
        <v>0</v>
      </c>
      <c r="Q15" s="641">
        <v>0</v>
      </c>
      <c r="R15" s="641">
        <v>0</v>
      </c>
      <c r="S15" s="643">
        <v>-16.352432750095883</v>
      </c>
      <c r="U15" s="639" t="s">
        <v>62</v>
      </c>
      <c r="V15" s="640">
        <v>0</v>
      </c>
      <c r="W15" s="641">
        <v>0</v>
      </c>
      <c r="X15" s="641">
        <v>-14.208433022133823</v>
      </c>
      <c r="Y15" s="640">
        <v>-0.95675088928507923</v>
      </c>
      <c r="Z15" s="641">
        <v>0</v>
      </c>
      <c r="AA15" s="641">
        <v>0</v>
      </c>
      <c r="AB15" s="641">
        <v>0</v>
      </c>
      <c r="AC15" s="641">
        <v>0</v>
      </c>
      <c r="AD15" s="641">
        <v>0</v>
      </c>
      <c r="AE15" s="641">
        <v>-0.16736955973660289</v>
      </c>
      <c r="AF15" s="641">
        <v>0</v>
      </c>
      <c r="AG15" s="641">
        <v>0</v>
      </c>
      <c r="AH15" s="642">
        <v>0</v>
      </c>
      <c r="AI15" s="641">
        <v>0</v>
      </c>
      <c r="AJ15" s="641">
        <v>0</v>
      </c>
      <c r="AK15" s="643">
        <v>-15.332553471155505</v>
      </c>
    </row>
    <row r="16" spans="3:37" x14ac:dyDescent="0.2">
      <c r="C16" s="639" t="s">
        <v>63</v>
      </c>
      <c r="D16" s="640">
        <v>0</v>
      </c>
      <c r="E16" s="641">
        <v>0</v>
      </c>
      <c r="F16" s="641">
        <v>-82.364123594751035</v>
      </c>
      <c r="G16" s="640">
        <v>0</v>
      </c>
      <c r="H16" s="641">
        <v>0</v>
      </c>
      <c r="I16" s="641">
        <v>0</v>
      </c>
      <c r="J16" s="641">
        <v>0</v>
      </c>
      <c r="K16" s="641">
        <v>0</v>
      </c>
      <c r="L16" s="641">
        <v>-0.84952974503182688</v>
      </c>
      <c r="M16" s="641">
        <v>0</v>
      </c>
      <c r="N16" s="641">
        <v>0</v>
      </c>
      <c r="O16" s="641">
        <v>0</v>
      </c>
      <c r="P16" s="642">
        <v>0</v>
      </c>
      <c r="Q16" s="641">
        <v>0</v>
      </c>
      <c r="R16" s="641">
        <v>0</v>
      </c>
      <c r="S16" s="643">
        <v>-83.213653339782866</v>
      </c>
      <c r="U16" s="639" t="s">
        <v>63</v>
      </c>
      <c r="V16" s="640">
        <v>0</v>
      </c>
      <c r="W16" s="641">
        <v>0</v>
      </c>
      <c r="X16" s="641">
        <v>-71.599112277853877</v>
      </c>
      <c r="Y16" s="640">
        <v>0</v>
      </c>
      <c r="Z16" s="641">
        <v>0</v>
      </c>
      <c r="AA16" s="641">
        <v>0</v>
      </c>
      <c r="AB16" s="641">
        <v>0</v>
      </c>
      <c r="AC16" s="641">
        <v>0</v>
      </c>
      <c r="AD16" s="641">
        <v>-10.622786066784549</v>
      </c>
      <c r="AE16" s="641">
        <v>0</v>
      </c>
      <c r="AF16" s="641">
        <v>0</v>
      </c>
      <c r="AG16" s="641">
        <v>0</v>
      </c>
      <c r="AH16" s="642">
        <v>0</v>
      </c>
      <c r="AI16" s="641">
        <v>0</v>
      </c>
      <c r="AJ16" s="641">
        <v>0</v>
      </c>
      <c r="AK16" s="643">
        <v>-82.221898344638419</v>
      </c>
    </row>
    <row r="17" spans="3:37" x14ac:dyDescent="0.2">
      <c r="C17" s="639" t="s">
        <v>64</v>
      </c>
      <c r="D17" s="640">
        <v>0</v>
      </c>
      <c r="E17" s="641">
        <v>0</v>
      </c>
      <c r="F17" s="641">
        <v>0</v>
      </c>
      <c r="G17" s="640">
        <v>0</v>
      </c>
      <c r="H17" s="641">
        <v>0</v>
      </c>
      <c r="I17" s="641">
        <v>0</v>
      </c>
      <c r="J17" s="641">
        <v>0</v>
      </c>
      <c r="K17" s="641">
        <v>0</v>
      </c>
      <c r="L17" s="641">
        <v>0</v>
      </c>
      <c r="M17" s="641">
        <v>0</v>
      </c>
      <c r="N17" s="641">
        <v>0</v>
      </c>
      <c r="O17" s="641">
        <v>0</v>
      </c>
      <c r="P17" s="642">
        <v>0</v>
      </c>
      <c r="Q17" s="641">
        <v>0</v>
      </c>
      <c r="R17" s="641">
        <v>0</v>
      </c>
      <c r="S17" s="643">
        <v>0</v>
      </c>
      <c r="U17" s="639" t="s">
        <v>64</v>
      </c>
      <c r="V17" s="640">
        <v>0</v>
      </c>
      <c r="W17" s="641">
        <v>0</v>
      </c>
      <c r="X17" s="641">
        <v>0</v>
      </c>
      <c r="Y17" s="640">
        <v>0</v>
      </c>
      <c r="Z17" s="641">
        <v>0</v>
      </c>
      <c r="AA17" s="641">
        <v>0</v>
      </c>
      <c r="AB17" s="641">
        <v>0</v>
      </c>
      <c r="AC17" s="641">
        <v>0</v>
      </c>
      <c r="AD17" s="641">
        <v>0</v>
      </c>
      <c r="AE17" s="641">
        <v>0</v>
      </c>
      <c r="AF17" s="641">
        <v>0</v>
      </c>
      <c r="AG17" s="641">
        <v>0</v>
      </c>
      <c r="AH17" s="642">
        <v>0</v>
      </c>
      <c r="AI17" s="641">
        <v>0</v>
      </c>
      <c r="AJ17" s="641">
        <v>0</v>
      </c>
      <c r="AK17" s="643">
        <v>0</v>
      </c>
    </row>
    <row r="18" spans="3:37" x14ac:dyDescent="0.2">
      <c r="C18" s="644" t="s">
        <v>65</v>
      </c>
      <c r="D18" s="645">
        <v>48.993463204278932</v>
      </c>
      <c r="E18" s="645">
        <v>531.76783290345111</v>
      </c>
      <c r="F18" s="645">
        <v>29.760595141580591</v>
      </c>
      <c r="G18" s="645">
        <v>338.73216282175605</v>
      </c>
      <c r="H18" s="645">
        <v>1121.3636363636365</v>
      </c>
      <c r="I18" s="645">
        <v>207.57369132422022</v>
      </c>
      <c r="J18" s="645">
        <v>194.20036815340353</v>
      </c>
      <c r="K18" s="645">
        <v>21.756321957796004</v>
      </c>
      <c r="L18" s="645">
        <v>1.4501534726751033</v>
      </c>
      <c r="M18" s="645">
        <v>0.14846473955328648</v>
      </c>
      <c r="N18" s="645">
        <v>54.409714472774652</v>
      </c>
      <c r="O18" s="645">
        <v>8.1015620286034657</v>
      </c>
      <c r="P18" s="645">
        <v>-60.003896317889257</v>
      </c>
      <c r="Q18" s="645">
        <v>0</v>
      </c>
      <c r="R18" s="645">
        <v>0</v>
      </c>
      <c r="S18" s="645">
        <v>2498.2540702658398</v>
      </c>
      <c r="U18" s="644" t="s">
        <v>65</v>
      </c>
      <c r="V18" s="645">
        <v>10.847134235204434</v>
      </c>
      <c r="W18" s="645">
        <v>373.16166082844296</v>
      </c>
      <c r="X18" s="645">
        <v>6.1505944336931329</v>
      </c>
      <c r="Y18" s="645">
        <v>233.93451425438283</v>
      </c>
      <c r="Z18" s="645">
        <v>1024.3939393939395</v>
      </c>
      <c r="AA18" s="645">
        <v>228.1236913242202</v>
      </c>
      <c r="AB18" s="645">
        <v>192.25346924090769</v>
      </c>
      <c r="AC18" s="645">
        <v>37.588366510920622</v>
      </c>
      <c r="AD18" s="645">
        <v>-8.3231028490776193</v>
      </c>
      <c r="AE18" s="645">
        <v>-1.8904820183316406E-2</v>
      </c>
      <c r="AF18" s="645">
        <v>70.498567758341522</v>
      </c>
      <c r="AG18" s="645">
        <v>15.201618538088493</v>
      </c>
      <c r="AH18" s="645">
        <v>-43.289743938015249</v>
      </c>
      <c r="AI18" s="645">
        <v>0</v>
      </c>
      <c r="AJ18" s="645">
        <v>0</v>
      </c>
      <c r="AK18" s="645">
        <v>2140.5218049108653</v>
      </c>
    </row>
    <row r="19" spans="3:37" x14ac:dyDescent="0.2">
      <c r="C19" s="634"/>
      <c r="D19" s="634">
        <v>0</v>
      </c>
      <c r="E19" s="634">
        <v>0</v>
      </c>
      <c r="F19" s="634">
        <v>0</v>
      </c>
      <c r="G19" s="634">
        <v>0</v>
      </c>
      <c r="H19" s="634">
        <v>0</v>
      </c>
      <c r="I19" s="634">
        <v>0</v>
      </c>
      <c r="J19" s="634">
        <v>0</v>
      </c>
      <c r="K19" s="634">
        <v>0</v>
      </c>
      <c r="L19" s="634">
        <v>0</v>
      </c>
      <c r="M19" s="634">
        <v>0</v>
      </c>
      <c r="N19" s="634">
        <v>0</v>
      </c>
      <c r="O19" s="634">
        <v>0</v>
      </c>
      <c r="P19" s="634">
        <v>0</v>
      </c>
      <c r="Q19" s="634">
        <v>0</v>
      </c>
      <c r="R19" s="634">
        <v>0</v>
      </c>
      <c r="S19" s="634">
        <v>0</v>
      </c>
      <c r="U19" s="634"/>
      <c r="V19" s="634">
        <v>0</v>
      </c>
      <c r="W19" s="634">
        <v>0</v>
      </c>
      <c r="X19" s="634">
        <v>0</v>
      </c>
      <c r="Y19" s="634">
        <v>0</v>
      </c>
      <c r="Z19" s="634">
        <v>0</v>
      </c>
      <c r="AA19" s="634">
        <v>0</v>
      </c>
      <c r="AB19" s="634">
        <v>0</v>
      </c>
      <c r="AC19" s="634">
        <v>0</v>
      </c>
      <c r="AD19" s="634">
        <v>0</v>
      </c>
      <c r="AE19" s="634">
        <v>0</v>
      </c>
      <c r="AF19" s="634">
        <v>0</v>
      </c>
      <c r="AG19" s="634">
        <v>0</v>
      </c>
      <c r="AH19" s="634">
        <v>0</v>
      </c>
      <c r="AI19" s="634">
        <v>0</v>
      </c>
      <c r="AJ19" s="634">
        <v>0</v>
      </c>
      <c r="AK19" s="634">
        <v>0</v>
      </c>
    </row>
    <row r="20" spans="3:37" x14ac:dyDescent="0.2">
      <c r="C20" s="646" t="s">
        <v>67</v>
      </c>
      <c r="D20" s="640">
        <v>0</v>
      </c>
      <c r="E20" s="647">
        <v>0</v>
      </c>
      <c r="F20" s="647">
        <v>0</v>
      </c>
      <c r="G20" s="640">
        <v>0</v>
      </c>
      <c r="H20" s="640">
        <v>0</v>
      </c>
      <c r="I20" s="640">
        <v>0</v>
      </c>
      <c r="J20" s="640">
        <v>0</v>
      </c>
      <c r="K20" s="640">
        <v>0</v>
      </c>
      <c r="L20" s="640">
        <v>0</v>
      </c>
      <c r="M20" s="640">
        <v>0</v>
      </c>
      <c r="N20" s="640">
        <v>0</v>
      </c>
      <c r="O20" s="640">
        <v>0</v>
      </c>
      <c r="P20" s="640">
        <v>0</v>
      </c>
      <c r="Q20" s="640">
        <v>0</v>
      </c>
      <c r="R20" s="640">
        <v>0</v>
      </c>
      <c r="S20" s="648">
        <v>0</v>
      </c>
      <c r="U20" s="646" t="s">
        <v>67</v>
      </c>
      <c r="V20" s="640">
        <v>0</v>
      </c>
      <c r="W20" s="647">
        <v>0</v>
      </c>
      <c r="X20" s="647">
        <v>0</v>
      </c>
      <c r="Y20" s="640">
        <v>0</v>
      </c>
      <c r="Z20" s="640">
        <v>0</v>
      </c>
      <c r="AA20" s="640">
        <v>0</v>
      </c>
      <c r="AB20" s="640">
        <v>0</v>
      </c>
      <c r="AC20" s="640">
        <v>0</v>
      </c>
      <c r="AD20" s="640">
        <v>0</v>
      </c>
      <c r="AE20" s="640">
        <v>0</v>
      </c>
      <c r="AF20" s="640">
        <v>0</v>
      </c>
      <c r="AG20" s="640">
        <v>0</v>
      </c>
      <c r="AH20" s="640">
        <v>0</v>
      </c>
      <c r="AI20" s="640">
        <v>0</v>
      </c>
      <c r="AJ20" s="640">
        <v>0</v>
      </c>
      <c r="AK20" s="648">
        <v>0</v>
      </c>
    </row>
    <row r="21" spans="3:37" x14ac:dyDescent="0.2">
      <c r="C21" s="646" t="s">
        <v>347</v>
      </c>
      <c r="D21" s="640">
        <v>2.8267856410252494</v>
      </c>
      <c r="E21" s="640">
        <v>0</v>
      </c>
      <c r="F21" s="640">
        <v>7.7941116668718937</v>
      </c>
      <c r="G21" s="640">
        <v>17.578475336322871</v>
      </c>
      <c r="H21" s="640">
        <v>1121.3636363636365</v>
      </c>
      <c r="I21" s="640">
        <v>207.57369132422022</v>
      </c>
      <c r="J21" s="649">
        <v>30.869450548245954</v>
      </c>
      <c r="K21" s="649">
        <v>7.6561165469613854</v>
      </c>
      <c r="L21" s="649">
        <v>2.2996832177069302</v>
      </c>
      <c r="M21" s="649">
        <v>0.47494016865067573</v>
      </c>
      <c r="N21" s="649">
        <v>0</v>
      </c>
      <c r="O21" s="649">
        <v>3.0833964576427819</v>
      </c>
      <c r="P21" s="640">
        <v>-607.79183020434141</v>
      </c>
      <c r="Q21" s="640">
        <v>0</v>
      </c>
      <c r="R21" s="640">
        <v>0</v>
      </c>
      <c r="S21" s="648">
        <v>793.72845706694284</v>
      </c>
      <c r="U21" s="646" t="s">
        <v>347</v>
      </c>
      <c r="V21" s="640">
        <v>0.62631490545869017</v>
      </c>
      <c r="W21" s="640">
        <v>0</v>
      </c>
      <c r="X21" s="640">
        <v>3.93047530323553</v>
      </c>
      <c r="Y21" s="640">
        <v>32.755695067264575</v>
      </c>
      <c r="Z21" s="640">
        <v>1024.3939393939395</v>
      </c>
      <c r="AA21" s="640">
        <v>228.1236913242202</v>
      </c>
      <c r="AB21" s="649">
        <v>25.192532039575013</v>
      </c>
      <c r="AC21" s="649">
        <v>7.1226809684101786</v>
      </c>
      <c r="AD21" s="649">
        <v>2.2996832177069302</v>
      </c>
      <c r="AE21" s="649">
        <v>5.010724922013905</v>
      </c>
      <c r="AF21" s="649">
        <v>0</v>
      </c>
      <c r="AG21" s="649">
        <v>3.0833964576427819</v>
      </c>
      <c r="AH21" s="640">
        <v>-605.04183020434141</v>
      </c>
      <c r="AI21" s="640">
        <v>0</v>
      </c>
      <c r="AJ21" s="640">
        <v>1.4249999999999998</v>
      </c>
      <c r="AK21" s="648">
        <v>728.92230339512548</v>
      </c>
    </row>
    <row r="22" spans="3:37" x14ac:dyDescent="0.2">
      <c r="C22" s="646" t="s">
        <v>348</v>
      </c>
      <c r="D22" s="640">
        <v>0</v>
      </c>
      <c r="E22" s="640">
        <v>0</v>
      </c>
      <c r="F22" s="640">
        <v>0</v>
      </c>
      <c r="G22" s="640">
        <v>15.306890454029709</v>
      </c>
      <c r="H22" s="640">
        <v>0</v>
      </c>
      <c r="I22" s="640">
        <v>0</v>
      </c>
      <c r="J22" s="649">
        <v>13.130836985616687</v>
      </c>
      <c r="K22" s="649">
        <v>12.274327089138302</v>
      </c>
      <c r="L22" s="649">
        <v>0</v>
      </c>
      <c r="M22" s="649">
        <v>0.32594257421966627</v>
      </c>
      <c r="N22" s="649">
        <v>0</v>
      </c>
      <c r="O22" s="649">
        <v>2.1777173090422202</v>
      </c>
      <c r="P22" s="640">
        <v>0</v>
      </c>
      <c r="Q22" s="640">
        <v>-38.962978394907431</v>
      </c>
      <c r="R22" s="640">
        <v>0</v>
      </c>
      <c r="S22" s="648">
        <v>4.2527360171391511</v>
      </c>
      <c r="U22" s="646" t="s">
        <v>348</v>
      </c>
      <c r="V22" s="640">
        <v>0</v>
      </c>
      <c r="W22" s="640">
        <v>0</v>
      </c>
      <c r="X22" s="640">
        <v>0</v>
      </c>
      <c r="Y22" s="640">
        <v>16.285163933286896</v>
      </c>
      <c r="Z22" s="640">
        <v>0</v>
      </c>
      <c r="AA22" s="640">
        <v>0</v>
      </c>
      <c r="AB22" s="649">
        <v>27.330859307935192</v>
      </c>
      <c r="AC22" s="649">
        <v>24.40929016388429</v>
      </c>
      <c r="AD22" s="649">
        <v>0</v>
      </c>
      <c r="AE22" s="649">
        <v>2.4469723551258755</v>
      </c>
      <c r="AF22" s="649">
        <v>0</v>
      </c>
      <c r="AG22" s="649">
        <v>7.1814032045118834</v>
      </c>
      <c r="AH22" s="640">
        <v>0</v>
      </c>
      <c r="AI22" s="640">
        <v>-70.686462815005612</v>
      </c>
      <c r="AJ22" s="640">
        <v>0</v>
      </c>
      <c r="AK22" s="648">
        <v>6.967226149738531</v>
      </c>
    </row>
    <row r="23" spans="3:37" x14ac:dyDescent="0.2">
      <c r="C23" s="646" t="s">
        <v>349</v>
      </c>
      <c r="D23" s="640">
        <v>0</v>
      </c>
      <c r="E23" s="640">
        <v>0</v>
      </c>
      <c r="F23" s="640">
        <v>0</v>
      </c>
      <c r="G23" s="640">
        <v>0</v>
      </c>
      <c r="H23" s="640">
        <v>0</v>
      </c>
      <c r="I23" s="640">
        <v>0</v>
      </c>
      <c r="J23" s="650">
        <v>7.549386302639002</v>
      </c>
      <c r="K23" s="650">
        <v>0</v>
      </c>
      <c r="L23" s="650">
        <v>0</v>
      </c>
      <c r="M23" s="650">
        <v>-6.6642207586545794</v>
      </c>
      <c r="N23" s="650">
        <v>0</v>
      </c>
      <c r="O23" s="650">
        <v>0</v>
      </c>
      <c r="P23" s="640">
        <v>0</v>
      </c>
      <c r="Q23" s="640">
        <v>0</v>
      </c>
      <c r="R23" s="640">
        <v>0</v>
      </c>
      <c r="S23" s="648">
        <v>0.8851655439844226</v>
      </c>
      <c r="U23" s="646" t="s">
        <v>349</v>
      </c>
      <c r="V23" s="640">
        <v>0</v>
      </c>
      <c r="W23" s="640">
        <v>0</v>
      </c>
      <c r="X23" s="640">
        <v>0</v>
      </c>
      <c r="Y23" s="640">
        <v>0</v>
      </c>
      <c r="Z23" s="640">
        <v>0</v>
      </c>
      <c r="AA23" s="640">
        <v>0</v>
      </c>
      <c r="AB23" s="650">
        <v>39.489443827479029</v>
      </c>
      <c r="AC23" s="650">
        <v>0</v>
      </c>
      <c r="AD23" s="650">
        <v>0</v>
      </c>
      <c r="AE23" s="650">
        <v>-34.859306538707116</v>
      </c>
      <c r="AF23" s="650">
        <v>0</v>
      </c>
      <c r="AG23" s="650">
        <v>0</v>
      </c>
      <c r="AH23" s="640">
        <v>0</v>
      </c>
      <c r="AI23" s="640">
        <v>0</v>
      </c>
      <c r="AJ23" s="640">
        <v>0</v>
      </c>
      <c r="AK23" s="648">
        <v>4.6301372887719126</v>
      </c>
    </row>
    <row r="24" spans="3:37" x14ac:dyDescent="0.2">
      <c r="C24" s="646" t="s">
        <v>350</v>
      </c>
      <c r="D24" s="640">
        <v>0</v>
      </c>
      <c r="E24" s="640">
        <v>0</v>
      </c>
      <c r="F24" s="640">
        <v>0</v>
      </c>
      <c r="G24" s="640">
        <v>0</v>
      </c>
      <c r="H24" s="640">
        <v>0</v>
      </c>
      <c r="I24" s="640">
        <v>0</v>
      </c>
      <c r="J24" s="640">
        <v>0</v>
      </c>
      <c r="K24" s="640">
        <v>0</v>
      </c>
      <c r="L24" s="640">
        <v>0</v>
      </c>
      <c r="M24" s="640">
        <v>0</v>
      </c>
      <c r="N24" s="640">
        <v>0</v>
      </c>
      <c r="O24" s="640">
        <v>0</v>
      </c>
      <c r="P24" s="640">
        <v>0</v>
      </c>
      <c r="Q24" s="640">
        <v>0</v>
      </c>
      <c r="R24" s="640">
        <v>0</v>
      </c>
      <c r="S24" s="648">
        <v>0</v>
      </c>
      <c r="U24" s="646" t="s">
        <v>350</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646" t="s">
        <v>72</v>
      </c>
      <c r="D25" s="640">
        <v>0</v>
      </c>
      <c r="E25" s="640">
        <v>550.85495716936975</v>
      </c>
      <c r="F25" s="640">
        <v>-545.34640759767603</v>
      </c>
      <c r="G25" s="640">
        <v>0</v>
      </c>
      <c r="H25" s="640">
        <v>0</v>
      </c>
      <c r="I25" s="640">
        <v>0</v>
      </c>
      <c r="J25" s="640">
        <v>0</v>
      </c>
      <c r="K25" s="640">
        <v>0</v>
      </c>
      <c r="L25" s="640">
        <v>0</v>
      </c>
      <c r="M25" s="640">
        <v>0</v>
      </c>
      <c r="N25" s="640">
        <v>0</v>
      </c>
      <c r="O25" s="640">
        <v>0</v>
      </c>
      <c r="P25" s="640">
        <v>0</v>
      </c>
      <c r="Q25" s="640">
        <v>0</v>
      </c>
      <c r="R25" s="640">
        <v>0</v>
      </c>
      <c r="S25" s="648">
        <v>5.5085495716937203</v>
      </c>
      <c r="U25" s="646" t="s">
        <v>72</v>
      </c>
      <c r="V25" s="640">
        <v>0</v>
      </c>
      <c r="W25" s="640">
        <v>386.55581999113582</v>
      </c>
      <c r="X25" s="640">
        <v>-382.69026179122449</v>
      </c>
      <c r="Y25" s="640">
        <v>0</v>
      </c>
      <c r="Z25" s="640">
        <v>0</v>
      </c>
      <c r="AA25" s="640">
        <v>0</v>
      </c>
      <c r="AB25" s="640">
        <v>0</v>
      </c>
      <c r="AC25" s="640">
        <v>0</v>
      </c>
      <c r="AD25" s="640">
        <v>0</v>
      </c>
      <c r="AE25" s="640">
        <v>0</v>
      </c>
      <c r="AF25" s="640">
        <v>0</v>
      </c>
      <c r="AG25" s="640">
        <v>0</v>
      </c>
      <c r="AH25" s="640">
        <v>0</v>
      </c>
      <c r="AI25" s="640">
        <v>0</v>
      </c>
      <c r="AJ25" s="640">
        <v>0</v>
      </c>
      <c r="AK25" s="648">
        <v>3.8655581999113338</v>
      </c>
    </row>
    <row r="26" spans="3:37" x14ac:dyDescent="0.2">
      <c r="C26" s="646" t="s">
        <v>351</v>
      </c>
      <c r="D26" s="640">
        <v>0</v>
      </c>
      <c r="E26" s="640">
        <v>0</v>
      </c>
      <c r="F26" s="640">
        <v>0</v>
      </c>
      <c r="G26" s="640">
        <v>0</v>
      </c>
      <c r="H26" s="640">
        <v>0</v>
      </c>
      <c r="I26" s="640">
        <v>0</v>
      </c>
      <c r="J26" s="640">
        <v>34.694031238964726</v>
      </c>
      <c r="K26" s="640">
        <v>0</v>
      </c>
      <c r="L26" s="640">
        <v>-34.694031238964726</v>
      </c>
      <c r="M26" s="640">
        <v>0</v>
      </c>
      <c r="N26" s="640">
        <v>0</v>
      </c>
      <c r="O26" s="640">
        <v>0</v>
      </c>
      <c r="P26" s="640">
        <v>0</v>
      </c>
      <c r="Q26" s="640">
        <v>0</v>
      </c>
      <c r="R26" s="640">
        <v>0</v>
      </c>
      <c r="S26" s="648">
        <v>0</v>
      </c>
      <c r="U26" s="646" t="s">
        <v>351</v>
      </c>
      <c r="V26" s="640">
        <v>0</v>
      </c>
      <c r="W26" s="640">
        <v>0</v>
      </c>
      <c r="X26" s="640">
        <v>0</v>
      </c>
      <c r="Y26" s="640">
        <v>0</v>
      </c>
      <c r="Z26" s="640">
        <v>0</v>
      </c>
      <c r="AA26" s="640">
        <v>0</v>
      </c>
      <c r="AB26" s="640" t="e">
        <v>#VALUE!</v>
      </c>
      <c r="AC26" s="640">
        <v>0</v>
      </c>
      <c r="AD26" s="640">
        <v>-64.13008508665132</v>
      </c>
      <c r="AE26" s="640">
        <v>0</v>
      </c>
      <c r="AF26" s="640">
        <v>0</v>
      </c>
      <c r="AG26" s="640">
        <v>0</v>
      </c>
      <c r="AH26" s="640">
        <v>0</v>
      </c>
      <c r="AI26" s="640">
        <v>0</v>
      </c>
      <c r="AJ26" s="640">
        <v>0</v>
      </c>
      <c r="AK26" s="648">
        <v>-64.13008508665132</v>
      </c>
    </row>
    <row r="27" spans="3:37" x14ac:dyDescent="0.2">
      <c r="C27" s="646" t="s">
        <v>352</v>
      </c>
      <c r="D27" s="640">
        <v>0</v>
      </c>
      <c r="E27" s="640">
        <v>0</v>
      </c>
      <c r="F27" s="640">
        <v>0</v>
      </c>
      <c r="G27" s="640">
        <v>0</v>
      </c>
      <c r="H27" s="640">
        <v>0</v>
      </c>
      <c r="I27" s="640">
        <v>0</v>
      </c>
      <c r="J27" s="640">
        <v>0</v>
      </c>
      <c r="K27" s="640">
        <v>0</v>
      </c>
      <c r="L27" s="640">
        <v>0</v>
      </c>
      <c r="M27" s="640">
        <v>0</v>
      </c>
      <c r="N27" s="640">
        <v>0</v>
      </c>
      <c r="O27" s="640">
        <v>0</v>
      </c>
      <c r="P27" s="640">
        <v>0</v>
      </c>
      <c r="Q27" s="640">
        <v>0</v>
      </c>
      <c r="R27" s="640">
        <v>0</v>
      </c>
      <c r="S27" s="648">
        <v>0</v>
      </c>
      <c r="U27" s="646" t="s">
        <v>352</v>
      </c>
      <c r="V27" s="640">
        <v>0</v>
      </c>
      <c r="W27" s="640">
        <v>0</v>
      </c>
      <c r="X27" s="640">
        <v>0</v>
      </c>
      <c r="Y27" s="640">
        <v>0</v>
      </c>
      <c r="Z27" s="640">
        <v>0</v>
      </c>
      <c r="AA27" s="640">
        <v>0</v>
      </c>
      <c r="AB27" s="640">
        <v>0</v>
      </c>
      <c r="AC27" s="640">
        <v>0</v>
      </c>
      <c r="AD27" s="640">
        <v>-12.704571841330187</v>
      </c>
      <c r="AE27" s="640">
        <v>0</v>
      </c>
      <c r="AF27" s="640">
        <v>0</v>
      </c>
      <c r="AG27" s="640">
        <v>0</v>
      </c>
      <c r="AH27" s="640">
        <v>0</v>
      </c>
      <c r="AI27" s="640">
        <v>0</v>
      </c>
      <c r="AJ27" s="640">
        <v>0</v>
      </c>
      <c r="AK27" s="648">
        <v>-12.704571841330187</v>
      </c>
    </row>
    <row r="28" spans="3:37" x14ac:dyDescent="0.2">
      <c r="C28" s="646" t="s">
        <v>73</v>
      </c>
      <c r="D28" s="640">
        <v>0</v>
      </c>
      <c r="E28" s="640">
        <v>0</v>
      </c>
      <c r="F28" s="640">
        <v>0</v>
      </c>
      <c r="G28" s="640">
        <v>2.1153211001028303</v>
      </c>
      <c r="H28" s="640">
        <v>0</v>
      </c>
      <c r="I28" s="640">
        <v>0</v>
      </c>
      <c r="J28" s="640">
        <v>0</v>
      </c>
      <c r="K28" s="640">
        <v>2.387711193000305E-2</v>
      </c>
      <c r="L28" s="640">
        <v>0</v>
      </c>
      <c r="M28" s="640">
        <v>4.3169818369445515E-2</v>
      </c>
      <c r="N28" s="640">
        <v>0</v>
      </c>
      <c r="O28" s="640">
        <v>0</v>
      </c>
      <c r="P28" s="640">
        <v>0.21762333659139796</v>
      </c>
      <c r="Q28" s="640">
        <v>0</v>
      </c>
      <c r="R28" s="640">
        <v>-1.6713978351002134</v>
      </c>
      <c r="S28" s="648">
        <v>0.72859353189346332</v>
      </c>
      <c r="U28" s="646" t="s">
        <v>73</v>
      </c>
      <c r="V28" s="640">
        <v>0</v>
      </c>
      <c r="W28" s="640">
        <v>0</v>
      </c>
      <c r="X28" s="640">
        <v>0</v>
      </c>
      <c r="Y28" s="640">
        <v>5.6183676161021641</v>
      </c>
      <c r="Z28" s="640">
        <v>0</v>
      </c>
      <c r="AA28" s="640">
        <v>0</v>
      </c>
      <c r="AB28" s="640">
        <v>0</v>
      </c>
      <c r="AC28" s="640">
        <v>0.19393074509344391</v>
      </c>
      <c r="AD28" s="640">
        <v>0</v>
      </c>
      <c r="AE28" s="640">
        <v>0.83952619550951879</v>
      </c>
      <c r="AF28" s="640">
        <v>0</v>
      </c>
      <c r="AG28" s="640">
        <v>0</v>
      </c>
      <c r="AH28" s="640">
        <v>13.50321720945872</v>
      </c>
      <c r="AI28" s="640">
        <v>0</v>
      </c>
      <c r="AJ28" s="640">
        <v>-13.575152156541073</v>
      </c>
      <c r="AK28" s="648">
        <v>6.579889609622775</v>
      </c>
    </row>
    <row r="29" spans="3:37" x14ac:dyDescent="0.2">
      <c r="C29" s="646" t="s">
        <v>353</v>
      </c>
      <c r="D29" s="640">
        <v>28.669681406249996</v>
      </c>
      <c r="E29" s="640">
        <v>-19.087124265918664</v>
      </c>
      <c r="F29" s="640">
        <v>24.964831154950382</v>
      </c>
      <c r="G29" s="640">
        <v>0</v>
      </c>
      <c r="H29" s="640">
        <v>0</v>
      </c>
      <c r="I29" s="640">
        <v>0</v>
      </c>
      <c r="J29" s="640">
        <v>0</v>
      </c>
      <c r="K29" s="640">
        <v>0</v>
      </c>
      <c r="L29" s="640">
        <v>0</v>
      </c>
      <c r="M29" s="640">
        <v>0</v>
      </c>
      <c r="N29" s="640">
        <v>0</v>
      </c>
      <c r="O29" s="640">
        <v>0</v>
      </c>
      <c r="P29" s="640">
        <v>0</v>
      </c>
      <c r="Q29" s="640">
        <v>0</v>
      </c>
      <c r="R29" s="640">
        <v>0</v>
      </c>
      <c r="S29" s="648">
        <v>34.547388295281714</v>
      </c>
      <c r="U29" s="646" t="s">
        <v>353</v>
      </c>
      <c r="V29" s="640">
        <v>4.3307530517578128</v>
      </c>
      <c r="W29" s="640">
        <v>-13.394159162692858</v>
      </c>
      <c r="X29" s="640">
        <v>17.518769056071054</v>
      </c>
      <c r="Y29" s="640">
        <v>0</v>
      </c>
      <c r="Z29" s="640">
        <v>0</v>
      </c>
      <c r="AA29" s="640">
        <v>0</v>
      </c>
      <c r="AB29" s="640">
        <v>0</v>
      </c>
      <c r="AC29" s="640">
        <v>0</v>
      </c>
      <c r="AD29" s="640">
        <v>0</v>
      </c>
      <c r="AE29" s="640">
        <v>0</v>
      </c>
      <c r="AF29" s="640">
        <v>0</v>
      </c>
      <c r="AG29" s="640">
        <v>0</v>
      </c>
      <c r="AH29" s="640">
        <v>0</v>
      </c>
      <c r="AI29" s="640">
        <v>0</v>
      </c>
      <c r="AJ29" s="640">
        <v>0</v>
      </c>
      <c r="AK29" s="648">
        <v>8.4553629451360095</v>
      </c>
    </row>
    <row r="30" spans="3:37" x14ac:dyDescent="0.2">
      <c r="C30" s="646" t="s">
        <v>75</v>
      </c>
      <c r="D30" s="640">
        <v>11.149320546875</v>
      </c>
      <c r="E30" s="640">
        <v>0</v>
      </c>
      <c r="F30" s="640">
        <v>18.729068543758572</v>
      </c>
      <c r="G30" s="640">
        <v>5.3443947944572248</v>
      </c>
      <c r="H30" s="640">
        <v>0</v>
      </c>
      <c r="I30" s="640">
        <v>0</v>
      </c>
      <c r="J30" s="640">
        <v>0</v>
      </c>
      <c r="K30" s="640">
        <v>0</v>
      </c>
      <c r="L30" s="640">
        <v>0</v>
      </c>
      <c r="M30" s="640">
        <v>0.10906928151953521</v>
      </c>
      <c r="N30" s="640">
        <v>0</v>
      </c>
      <c r="O30" s="640">
        <v>0</v>
      </c>
      <c r="P30" s="640">
        <v>34.631314570260251</v>
      </c>
      <c r="Q30" s="640">
        <v>0</v>
      </c>
      <c r="R30" s="640">
        <v>0</v>
      </c>
      <c r="S30" s="648">
        <v>69.963167736870574</v>
      </c>
      <c r="U30" s="646" t="s">
        <v>75</v>
      </c>
      <c r="V30" s="640">
        <v>4.9205957031249996</v>
      </c>
      <c r="W30" s="640">
        <v>0</v>
      </c>
      <c r="X30" s="640">
        <v>18.729068543758572</v>
      </c>
      <c r="Y30" s="640">
        <v>4.7445137460997815</v>
      </c>
      <c r="Z30" s="640">
        <v>0</v>
      </c>
      <c r="AA30" s="640">
        <v>0</v>
      </c>
      <c r="AB30" s="640">
        <v>0</v>
      </c>
      <c r="AC30" s="640">
        <v>0</v>
      </c>
      <c r="AD30" s="640">
        <v>0</v>
      </c>
      <c r="AE30" s="640">
        <v>0.70895032987697881</v>
      </c>
      <c r="AF30" s="640">
        <v>0</v>
      </c>
      <c r="AG30" s="640">
        <v>0</v>
      </c>
      <c r="AH30" s="640">
        <v>32.716541842987525</v>
      </c>
      <c r="AI30" s="640">
        <v>0</v>
      </c>
      <c r="AJ30" s="640">
        <v>0</v>
      </c>
      <c r="AK30" s="648">
        <v>61.819670165847853</v>
      </c>
    </row>
    <row r="31" spans="3:37" x14ac:dyDescent="0.2">
      <c r="C31" s="646" t="s">
        <v>76</v>
      </c>
      <c r="D31" s="640">
        <v>0</v>
      </c>
      <c r="E31" s="640">
        <v>0</v>
      </c>
      <c r="F31" s="640">
        <v>0</v>
      </c>
      <c r="G31" s="640">
        <v>3.8720966463328983</v>
      </c>
      <c r="H31" s="640">
        <v>0</v>
      </c>
      <c r="I31" s="640">
        <v>0</v>
      </c>
      <c r="J31" s="640">
        <v>0</v>
      </c>
      <c r="K31" s="640">
        <v>0</v>
      </c>
      <c r="L31" s="640">
        <v>0</v>
      </c>
      <c r="M31" s="640">
        <v>7.9022380537406095E-2</v>
      </c>
      <c r="N31" s="640">
        <v>0</v>
      </c>
      <c r="O31" s="640">
        <v>0</v>
      </c>
      <c r="P31" s="640">
        <v>41.938968757160723</v>
      </c>
      <c r="Q31" s="640">
        <v>3.0236871210614171</v>
      </c>
      <c r="R31" s="640">
        <v>0</v>
      </c>
      <c r="S31" s="648">
        <v>48.913774905092438</v>
      </c>
      <c r="U31" s="646" t="s">
        <v>76</v>
      </c>
      <c r="V31" s="640">
        <v>0</v>
      </c>
      <c r="W31" s="640">
        <v>0</v>
      </c>
      <c r="X31" s="640">
        <v>0</v>
      </c>
      <c r="Y31" s="640">
        <v>2.7662751616304524</v>
      </c>
      <c r="Z31" s="640">
        <v>0</v>
      </c>
      <c r="AA31" s="640">
        <v>0</v>
      </c>
      <c r="AB31" s="640">
        <v>0</v>
      </c>
      <c r="AC31" s="640">
        <v>0</v>
      </c>
      <c r="AD31" s="640">
        <v>0</v>
      </c>
      <c r="AE31" s="640">
        <v>0.41335146093328595</v>
      </c>
      <c r="AF31" s="640">
        <v>0</v>
      </c>
      <c r="AG31" s="640">
        <v>0</v>
      </c>
      <c r="AH31" s="640">
        <v>43.009166954325586</v>
      </c>
      <c r="AI31" s="640">
        <v>5.481964511548731</v>
      </c>
      <c r="AJ31" s="640">
        <v>0</v>
      </c>
      <c r="AK31" s="648">
        <v>51.670758088438056</v>
      </c>
    </row>
    <row r="32" spans="3:37" x14ac:dyDescent="0.2">
      <c r="C32" s="644" t="s">
        <v>77</v>
      </c>
      <c r="D32" s="645">
        <v>42.645787594150242</v>
      </c>
      <c r="E32" s="645">
        <v>531.76783290345111</v>
      </c>
      <c r="F32" s="645">
        <v>-493.85839623209517</v>
      </c>
      <c r="G32" s="645">
        <v>44.217178331245535</v>
      </c>
      <c r="H32" s="645">
        <v>1121.3636363636365</v>
      </c>
      <c r="I32" s="645">
        <v>207.57369132422022</v>
      </c>
      <c r="J32" s="645">
        <v>86.243705075466366</v>
      </c>
      <c r="K32" s="645">
        <v>19.954320748029687</v>
      </c>
      <c r="L32" s="645">
        <v>-32.394348021257798</v>
      </c>
      <c r="M32" s="645">
        <v>-5.6320765353578501</v>
      </c>
      <c r="N32" s="645">
        <v>0</v>
      </c>
      <c r="O32" s="645">
        <v>5.2611137666850016</v>
      </c>
      <c r="P32" s="645">
        <v>-531.00392354032908</v>
      </c>
      <c r="Q32" s="645">
        <v>-35.939291273846017</v>
      </c>
      <c r="R32" s="645">
        <v>-1.6713978351002134</v>
      </c>
      <c r="S32" s="645">
        <v>958.52783266889833</v>
      </c>
      <c r="U32" s="644" t="s">
        <v>77</v>
      </c>
      <c r="V32" s="645">
        <v>9.8776636603415024</v>
      </c>
      <c r="W32" s="645">
        <v>373.16166082844296</v>
      </c>
      <c r="X32" s="645">
        <v>-342.51194888815934</v>
      </c>
      <c r="Y32" s="645">
        <v>62.170015524383871</v>
      </c>
      <c r="Z32" s="645">
        <v>1024.3939393939395</v>
      </c>
      <c r="AA32" s="645">
        <v>228.1236913242202</v>
      </c>
      <c r="AB32" s="645">
        <v>92.01283517498922</v>
      </c>
      <c r="AC32" s="645">
        <v>31.725901877387908</v>
      </c>
      <c r="AD32" s="645">
        <v>-74.534973710274585</v>
      </c>
      <c r="AE32" s="645">
        <v>-25.439781275247555</v>
      </c>
      <c r="AF32" s="645">
        <v>0</v>
      </c>
      <c r="AG32" s="645">
        <v>10.264799662154665</v>
      </c>
      <c r="AH32" s="645">
        <v>-515.81290419756954</v>
      </c>
      <c r="AI32" s="645">
        <v>-65.204498303456887</v>
      </c>
      <c r="AJ32" s="645">
        <v>-12.150152156541072</v>
      </c>
      <c r="AK32" s="645">
        <v>796.07624891461057</v>
      </c>
    </row>
    <row r="33" spans="3:37" x14ac:dyDescent="0.2">
      <c r="C33" s="634"/>
      <c r="D33" s="634">
        <v>0</v>
      </c>
      <c r="E33" s="634">
        <v>0</v>
      </c>
      <c r="F33" s="634">
        <v>0</v>
      </c>
      <c r="G33" s="634">
        <v>0</v>
      </c>
      <c r="H33" s="634">
        <v>0</v>
      </c>
      <c r="I33" s="634">
        <v>0</v>
      </c>
      <c r="J33" s="634">
        <v>0</v>
      </c>
      <c r="K33" s="634">
        <v>0</v>
      </c>
      <c r="L33" s="634">
        <v>0</v>
      </c>
      <c r="M33" s="634">
        <v>0</v>
      </c>
      <c r="N33" s="634">
        <v>0</v>
      </c>
      <c r="O33" s="634">
        <v>0</v>
      </c>
      <c r="P33" s="634">
        <v>0</v>
      </c>
      <c r="Q33" s="634">
        <v>0</v>
      </c>
      <c r="R33" s="634">
        <v>0</v>
      </c>
      <c r="S33" s="634">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646" t="s">
        <v>78</v>
      </c>
      <c r="D34" s="640">
        <v>6.3476756101286895</v>
      </c>
      <c r="E34" s="640">
        <v>0</v>
      </c>
      <c r="F34" s="640">
        <v>23.963924152830415</v>
      </c>
      <c r="G34" s="640">
        <v>102.72602750235836</v>
      </c>
      <c r="H34" s="640">
        <v>0</v>
      </c>
      <c r="I34" s="640">
        <v>0</v>
      </c>
      <c r="J34" s="640">
        <v>19.164817057512749</v>
      </c>
      <c r="K34" s="640">
        <v>1.7769703360109936</v>
      </c>
      <c r="L34" s="640">
        <v>0.86552810351562492</v>
      </c>
      <c r="M34" s="640">
        <v>2.1151614516362294</v>
      </c>
      <c r="N34" s="640">
        <v>0</v>
      </c>
      <c r="O34" s="640">
        <v>3.8147295409713907E-4</v>
      </c>
      <c r="P34" s="640">
        <v>109.69856944385172</v>
      </c>
      <c r="Q34" s="640">
        <v>16.190109766233334</v>
      </c>
      <c r="R34" s="640">
        <v>0.34118215942382812</v>
      </c>
      <c r="S34" s="648">
        <v>283.19034705645606</v>
      </c>
      <c r="U34" s="646" t="s">
        <v>78</v>
      </c>
      <c r="V34" s="640">
        <v>0.96947057486293287</v>
      </c>
      <c r="W34" s="640">
        <v>0</v>
      </c>
      <c r="X34" s="640">
        <v>14.423852836289303</v>
      </c>
      <c r="Y34" s="640">
        <v>71.911931163769523</v>
      </c>
      <c r="Z34" s="640">
        <v>0</v>
      </c>
      <c r="AA34" s="640">
        <v>0</v>
      </c>
      <c r="AB34" s="640">
        <v>16.641526349557349</v>
      </c>
      <c r="AC34" s="640">
        <v>5.8374337597773929</v>
      </c>
      <c r="AD34" s="640">
        <v>1.8190377949218752</v>
      </c>
      <c r="AE34" s="640">
        <v>10.764172889266069</v>
      </c>
      <c r="AF34" s="640">
        <v>0</v>
      </c>
      <c r="AG34" s="640">
        <v>3.8147295409713907E-4</v>
      </c>
      <c r="AH34" s="640">
        <v>133.35975359263318</v>
      </c>
      <c r="AI34" s="640">
        <v>21.024156518221293</v>
      </c>
      <c r="AJ34" s="640">
        <v>5.3802006835937499</v>
      </c>
      <c r="AK34" s="648">
        <v>282.13191763584672</v>
      </c>
    </row>
    <row r="35" spans="3:37" x14ac:dyDescent="0.2">
      <c r="C35" s="646" t="s">
        <v>79</v>
      </c>
      <c r="D35" s="640">
        <v>0</v>
      </c>
      <c r="E35" s="640">
        <v>0</v>
      </c>
      <c r="F35" s="640">
        <v>312.50052508879821</v>
      </c>
      <c r="G35" s="640">
        <v>20.28727706696608</v>
      </c>
      <c r="H35" s="640">
        <v>0</v>
      </c>
      <c r="I35" s="640">
        <v>0</v>
      </c>
      <c r="J35" s="640">
        <v>0</v>
      </c>
      <c r="K35" s="640">
        <v>0</v>
      </c>
      <c r="L35" s="640">
        <v>30.35479180755361</v>
      </c>
      <c r="M35" s="640">
        <v>0.41402606259114449</v>
      </c>
      <c r="N35" s="640">
        <v>0</v>
      </c>
      <c r="O35" s="640">
        <v>0</v>
      </c>
      <c r="P35" s="640">
        <v>40.087101502259863</v>
      </c>
      <c r="Q35" s="640">
        <v>0</v>
      </c>
      <c r="R35" s="640">
        <v>0.80956479691939642</v>
      </c>
      <c r="S35" s="648">
        <v>404.45328632508824</v>
      </c>
      <c r="U35" s="646" t="s">
        <v>79</v>
      </c>
      <c r="V35" s="640">
        <v>0</v>
      </c>
      <c r="W35" s="640">
        <v>0</v>
      </c>
      <c r="X35" s="640">
        <v>200.27592241910855</v>
      </c>
      <c r="Y35" s="640">
        <v>16.649550205830046</v>
      </c>
      <c r="Z35" s="640">
        <v>0</v>
      </c>
      <c r="AA35" s="640">
        <v>0</v>
      </c>
      <c r="AB35" s="640">
        <v>0</v>
      </c>
      <c r="AC35" s="640">
        <v>0</v>
      </c>
      <c r="AD35" s="640">
        <v>44.40579181284334</v>
      </c>
      <c r="AE35" s="640">
        <v>2.5923432302996523</v>
      </c>
      <c r="AF35" s="640">
        <v>0</v>
      </c>
      <c r="AG35" s="640">
        <v>0</v>
      </c>
      <c r="AH35" s="640">
        <v>50.411052136241274</v>
      </c>
      <c r="AI35" s="640">
        <v>0</v>
      </c>
      <c r="AJ35" s="640">
        <v>1.5849058336758</v>
      </c>
      <c r="AK35" s="648">
        <v>315.91956563799869</v>
      </c>
    </row>
    <row r="36" spans="3:37" x14ac:dyDescent="0.2">
      <c r="C36" s="646" t="s">
        <v>80</v>
      </c>
      <c r="D36" s="640">
        <v>0</v>
      </c>
      <c r="E36" s="640">
        <v>0</v>
      </c>
      <c r="F36" s="640">
        <v>27.223306395871116</v>
      </c>
      <c r="G36" s="640">
        <v>94.787807272791255</v>
      </c>
      <c r="H36" s="640">
        <v>0</v>
      </c>
      <c r="I36" s="640">
        <v>0</v>
      </c>
      <c r="J36" s="640">
        <v>83.273177408961004</v>
      </c>
      <c r="K36" s="640">
        <v>0</v>
      </c>
      <c r="L36" s="640">
        <v>0</v>
      </c>
      <c r="M36" s="640">
        <v>1.9344450463834952</v>
      </c>
      <c r="N36" s="640">
        <v>46.067590504591024</v>
      </c>
      <c r="O36" s="640">
        <v>1.9582561857397398</v>
      </c>
      <c r="P36" s="640">
        <v>180.22551264292704</v>
      </c>
      <c r="Q36" s="640">
        <v>15.690776641240536</v>
      </c>
      <c r="R36" s="640">
        <v>0</v>
      </c>
      <c r="S36" s="648">
        <v>451.16087209850519</v>
      </c>
      <c r="U36" s="646" t="s">
        <v>80</v>
      </c>
      <c r="V36" s="640">
        <v>0</v>
      </c>
      <c r="W36" s="640">
        <v>0</v>
      </c>
      <c r="X36" s="640">
        <v>2.015713666762446</v>
      </c>
      <c r="Y36" s="640">
        <v>47.341776252628989</v>
      </c>
      <c r="Z36" s="640">
        <v>0</v>
      </c>
      <c r="AA36" s="640">
        <v>0</v>
      </c>
      <c r="AB36" s="640">
        <v>73.879452654225247</v>
      </c>
      <c r="AC36" s="640">
        <v>0</v>
      </c>
      <c r="AD36" s="640">
        <v>0</v>
      </c>
      <c r="AE36" s="640">
        <v>7.0740585205077799</v>
      </c>
      <c r="AF36" s="640">
        <v>56.247445771865117</v>
      </c>
      <c r="AG36" s="640">
        <v>2.3917818193760598</v>
      </c>
      <c r="AH36" s="640">
        <v>158.99417861004727</v>
      </c>
      <c r="AI36" s="640">
        <v>34.672503342788303</v>
      </c>
      <c r="AJ36" s="640">
        <v>0</v>
      </c>
      <c r="AK36" s="648">
        <v>382.61691063820126</v>
      </c>
    </row>
    <row r="37" spans="3:37" x14ac:dyDescent="0.2">
      <c r="C37" s="646" t="s">
        <v>81</v>
      </c>
      <c r="D37" s="640">
        <v>0</v>
      </c>
      <c r="E37" s="640">
        <v>0</v>
      </c>
      <c r="F37" s="640">
        <v>10.721858440723695</v>
      </c>
      <c r="G37" s="640">
        <v>62.595656083836779</v>
      </c>
      <c r="H37" s="640">
        <v>0</v>
      </c>
      <c r="I37" s="640">
        <v>0</v>
      </c>
      <c r="J37" s="640">
        <v>3.4596715414798309</v>
      </c>
      <c r="K37" s="640">
        <v>2.5030873755322387E-2</v>
      </c>
      <c r="L37" s="640">
        <v>0</v>
      </c>
      <c r="M37" s="640">
        <v>1.2774623690578935</v>
      </c>
      <c r="N37" s="640">
        <v>8.3421239681836319</v>
      </c>
      <c r="O37" s="640">
        <v>0.80110714509903691</v>
      </c>
      <c r="P37" s="640">
        <v>133.46461699259584</v>
      </c>
      <c r="Q37" s="640">
        <v>4.0584048663721433</v>
      </c>
      <c r="R37" s="640">
        <v>0</v>
      </c>
      <c r="S37" s="648">
        <v>224.74593228110413</v>
      </c>
      <c r="U37" s="646" t="s">
        <v>81</v>
      </c>
      <c r="V37" s="640">
        <v>0</v>
      </c>
      <c r="W37" s="640">
        <v>0</v>
      </c>
      <c r="X37" s="640">
        <v>3.1096233693990798</v>
      </c>
      <c r="Y37" s="640">
        <v>32.055438404613625</v>
      </c>
      <c r="Z37" s="640">
        <v>0</v>
      </c>
      <c r="AA37" s="640">
        <v>0</v>
      </c>
      <c r="AB37" s="640">
        <v>7.6606579921523004</v>
      </c>
      <c r="AC37" s="640">
        <v>2.5030873755322387E-2</v>
      </c>
      <c r="AD37" s="640">
        <v>0</v>
      </c>
      <c r="AE37" s="640">
        <v>4.7898930949422658</v>
      </c>
      <c r="AF37" s="640">
        <v>14.251121986476408</v>
      </c>
      <c r="AG37" s="640">
        <v>1.7168402703934114</v>
      </c>
      <c r="AH37" s="640">
        <v>121.34906004798763</v>
      </c>
      <c r="AI37" s="640">
        <v>9.5078384424472873</v>
      </c>
      <c r="AJ37" s="640">
        <v>0</v>
      </c>
      <c r="AK37" s="648">
        <v>194.46550448216732</v>
      </c>
    </row>
    <row r="38" spans="3:37" x14ac:dyDescent="0.2">
      <c r="C38" s="646" t="s">
        <v>82</v>
      </c>
      <c r="D38" s="640">
        <v>0</v>
      </c>
      <c r="E38" s="640">
        <v>0</v>
      </c>
      <c r="F38" s="640">
        <v>32.13207144146056</v>
      </c>
      <c r="G38" s="640">
        <v>1.9328709168763656</v>
      </c>
      <c r="H38" s="640">
        <v>0</v>
      </c>
      <c r="I38" s="640">
        <v>0</v>
      </c>
      <c r="J38" s="640">
        <v>2.05899706998358</v>
      </c>
      <c r="K38" s="640">
        <v>0</v>
      </c>
      <c r="L38" s="640">
        <v>2.6244824682898504</v>
      </c>
      <c r="M38" s="640">
        <v>3.9446345242374808E-2</v>
      </c>
      <c r="N38" s="640">
        <v>0</v>
      </c>
      <c r="O38" s="640">
        <v>8.070345812558942E-2</v>
      </c>
      <c r="P38" s="640">
        <v>7.3892266408052469</v>
      </c>
      <c r="Q38" s="640">
        <v>0</v>
      </c>
      <c r="R38" s="640">
        <v>0</v>
      </c>
      <c r="S38" s="648">
        <v>46.257798340783566</v>
      </c>
      <c r="U38" s="646" t="s">
        <v>82</v>
      </c>
      <c r="V38" s="640">
        <v>0</v>
      </c>
      <c r="W38" s="640">
        <v>0</v>
      </c>
      <c r="X38" s="640">
        <v>22.167558461996123</v>
      </c>
      <c r="Y38" s="640">
        <v>2.0916118720237509</v>
      </c>
      <c r="Z38" s="640">
        <v>0</v>
      </c>
      <c r="AA38" s="640">
        <v>0</v>
      </c>
      <c r="AB38" s="640">
        <v>2.05899706998358</v>
      </c>
      <c r="AC38" s="640">
        <v>0</v>
      </c>
      <c r="AD38" s="640">
        <v>14.821446231272425</v>
      </c>
      <c r="AE38" s="640">
        <v>0.31253970501504325</v>
      </c>
      <c r="AF38" s="640">
        <v>0</v>
      </c>
      <c r="AG38" s="640">
        <v>0.82781531321025892</v>
      </c>
      <c r="AH38" s="640">
        <v>7.4491158726448985</v>
      </c>
      <c r="AI38" s="640">
        <v>0</v>
      </c>
      <c r="AJ38" s="640">
        <v>0.21911019493558448</v>
      </c>
      <c r="AK38" s="648">
        <v>49.948194721081656</v>
      </c>
    </row>
    <row r="39" spans="3:37" x14ac:dyDescent="0.2">
      <c r="C39" s="646" t="s">
        <v>354</v>
      </c>
      <c r="D39" s="640">
        <v>0</v>
      </c>
      <c r="E39" s="640">
        <v>0</v>
      </c>
      <c r="F39" s="640">
        <v>0</v>
      </c>
      <c r="G39" s="640">
        <v>0</v>
      </c>
      <c r="H39" s="640">
        <v>0</v>
      </c>
      <c r="I39" s="640">
        <v>0</v>
      </c>
      <c r="J39" s="640">
        <v>0</v>
      </c>
      <c r="K39" s="640">
        <v>0</v>
      </c>
      <c r="L39" s="640">
        <v>0</v>
      </c>
      <c r="M39" s="640">
        <v>0</v>
      </c>
      <c r="N39" s="640">
        <v>0</v>
      </c>
      <c r="O39" s="640">
        <v>0</v>
      </c>
      <c r="P39" s="640">
        <v>0.13500000000000001</v>
      </c>
      <c r="Q39" s="640">
        <v>0</v>
      </c>
      <c r="R39" s="640">
        <v>0</v>
      </c>
      <c r="S39" s="648">
        <v>0.13500000000000001</v>
      </c>
      <c r="U39" s="646" t="s">
        <v>354</v>
      </c>
      <c r="V39" s="640">
        <v>0</v>
      </c>
      <c r="W39" s="640">
        <v>0</v>
      </c>
      <c r="X39" s="640">
        <v>0</v>
      </c>
      <c r="Y39" s="640">
        <v>0</v>
      </c>
      <c r="Z39" s="640">
        <v>0</v>
      </c>
      <c r="AA39" s="640">
        <v>0</v>
      </c>
      <c r="AB39" s="640">
        <v>0</v>
      </c>
      <c r="AC39" s="640">
        <v>0</v>
      </c>
      <c r="AD39" s="640">
        <v>0</v>
      </c>
      <c r="AE39" s="640">
        <v>0</v>
      </c>
      <c r="AF39" s="640">
        <v>0</v>
      </c>
      <c r="AG39" s="640">
        <v>0</v>
      </c>
      <c r="AH39" s="640">
        <v>0.96</v>
      </c>
      <c r="AI39" s="640">
        <v>0</v>
      </c>
      <c r="AJ39" s="640">
        <v>0</v>
      </c>
      <c r="AK39" s="648">
        <v>0.96</v>
      </c>
    </row>
    <row r="40" spans="3:37" x14ac:dyDescent="0.2">
      <c r="C40" s="644" t="s">
        <v>83</v>
      </c>
      <c r="D40" s="645">
        <v>6.3476756101286895</v>
      </c>
      <c r="E40" s="645">
        <v>0</v>
      </c>
      <c r="F40" s="645">
        <v>406.54168551968399</v>
      </c>
      <c r="G40" s="645">
        <v>282.32963884282884</v>
      </c>
      <c r="H40" s="645">
        <v>0</v>
      </c>
      <c r="I40" s="645">
        <v>0</v>
      </c>
      <c r="J40" s="645">
        <v>107.95666307793715</v>
      </c>
      <c r="K40" s="645">
        <v>1.8020012097663161</v>
      </c>
      <c r="L40" s="645">
        <v>33.844802379359088</v>
      </c>
      <c r="M40" s="645">
        <v>5.7805412749111369</v>
      </c>
      <c r="N40" s="645">
        <v>54.409714472774652</v>
      </c>
      <c r="O40" s="645">
        <v>2.8404482619184632</v>
      </c>
      <c r="P40" s="645">
        <v>471.00002722243971</v>
      </c>
      <c r="Q40" s="645">
        <v>35.93929127384601</v>
      </c>
      <c r="R40" s="645">
        <v>1.1507469563432244</v>
      </c>
      <c r="S40" s="645">
        <v>1409.9432361019371</v>
      </c>
      <c r="U40" s="644" t="s">
        <v>83</v>
      </c>
      <c r="V40" s="645">
        <v>0.96947057486293287</v>
      </c>
      <c r="W40" s="645">
        <v>0</v>
      </c>
      <c r="X40" s="645">
        <v>241.9926707535555</v>
      </c>
      <c r="Y40" s="645">
        <v>170.05030789886592</v>
      </c>
      <c r="Z40" s="645">
        <v>0</v>
      </c>
      <c r="AA40" s="645">
        <v>0</v>
      </c>
      <c r="AB40" s="645">
        <v>100.24063406591846</v>
      </c>
      <c r="AC40" s="645">
        <v>5.8624646335327153</v>
      </c>
      <c r="AD40" s="645">
        <v>61.046275839037641</v>
      </c>
      <c r="AE40" s="645">
        <v>25.533007440030815</v>
      </c>
      <c r="AF40" s="645">
        <v>70.498567758341522</v>
      </c>
      <c r="AG40" s="645">
        <v>4.9368188759338274</v>
      </c>
      <c r="AH40" s="645">
        <v>472.52316025955423</v>
      </c>
      <c r="AI40" s="645">
        <v>65.204498303456901</v>
      </c>
      <c r="AJ40" s="645">
        <v>7.184216712205135</v>
      </c>
      <c r="AK40" s="645">
        <v>1226.0420931152958</v>
      </c>
    </row>
    <row r="41" spans="3:37" x14ac:dyDescent="0.2">
      <c r="C41" s="639" t="s">
        <v>84</v>
      </c>
      <c r="D41" s="640">
        <v>0</v>
      </c>
      <c r="E41" s="640">
        <v>0</v>
      </c>
      <c r="F41" s="640">
        <v>117.0773058539918</v>
      </c>
      <c r="G41" s="640">
        <v>12.185345647681713</v>
      </c>
      <c r="H41" s="640">
        <v>0</v>
      </c>
      <c r="I41" s="640">
        <v>0</v>
      </c>
      <c r="J41" s="640">
        <v>0</v>
      </c>
      <c r="K41" s="640">
        <v>0</v>
      </c>
      <c r="L41" s="640">
        <v>0</v>
      </c>
      <c r="M41" s="640">
        <v>0</v>
      </c>
      <c r="N41" s="640">
        <v>0</v>
      </c>
      <c r="O41" s="640">
        <v>0</v>
      </c>
      <c r="P41" s="640">
        <v>0</v>
      </c>
      <c r="Q41" s="640">
        <v>0</v>
      </c>
      <c r="R41" s="640">
        <v>0.52065087875698901</v>
      </c>
      <c r="S41" s="648">
        <v>129.78330238043051</v>
      </c>
      <c r="U41" s="639" t="s">
        <v>84</v>
      </c>
      <c r="V41" s="640">
        <v>0</v>
      </c>
      <c r="W41" s="640">
        <v>0</v>
      </c>
      <c r="X41" s="640">
        <v>106.669872568297</v>
      </c>
      <c r="Y41" s="640">
        <v>1.6020598461664441</v>
      </c>
      <c r="Z41" s="640">
        <v>0</v>
      </c>
      <c r="AA41" s="640">
        <v>0</v>
      </c>
      <c r="AB41" s="640">
        <v>0</v>
      </c>
      <c r="AC41" s="640">
        <v>0</v>
      </c>
      <c r="AD41" s="640">
        <v>6.1061434912109362</v>
      </c>
      <c r="AE41" s="640">
        <v>0</v>
      </c>
      <c r="AF41" s="640">
        <v>0</v>
      </c>
      <c r="AG41" s="640">
        <v>0</v>
      </c>
      <c r="AH41" s="640">
        <v>0</v>
      </c>
      <c r="AI41" s="640">
        <v>0</v>
      </c>
      <c r="AJ41" s="640">
        <v>4.9659354443359369</v>
      </c>
      <c r="AK41" s="648">
        <v>119.34401135001032</v>
      </c>
    </row>
    <row r="42" spans="3:37" x14ac:dyDescent="0.2">
      <c r="C42" s="644" t="s">
        <v>85</v>
      </c>
      <c r="D42" s="645">
        <v>6.3476756101286895</v>
      </c>
      <c r="E42" s="645">
        <v>0</v>
      </c>
      <c r="F42" s="645">
        <v>523.61899137367573</v>
      </c>
      <c r="G42" s="645">
        <v>294.51498449051053</v>
      </c>
      <c r="H42" s="645">
        <v>0</v>
      </c>
      <c r="I42" s="645">
        <v>0</v>
      </c>
      <c r="J42" s="645">
        <v>107.95666307793715</v>
      </c>
      <c r="K42" s="645">
        <v>1.8020012097663161</v>
      </c>
      <c r="L42" s="645">
        <v>33.844802379359088</v>
      </c>
      <c r="M42" s="645">
        <v>5.7805412749111369</v>
      </c>
      <c r="N42" s="645">
        <v>54.409714472774652</v>
      </c>
      <c r="O42" s="645">
        <v>2.8404482619184632</v>
      </c>
      <c r="P42" s="645">
        <v>471.00002722243971</v>
      </c>
      <c r="Q42" s="645">
        <v>35.93929127384601</v>
      </c>
      <c r="R42" s="645">
        <v>1.6713978351002134</v>
      </c>
      <c r="S42" s="645">
        <v>1539.7265384823679</v>
      </c>
      <c r="U42" s="644" t="s">
        <v>85</v>
      </c>
      <c r="V42" s="645">
        <v>0.96947057486293287</v>
      </c>
      <c r="W42" s="645">
        <v>0</v>
      </c>
      <c r="X42" s="645">
        <v>348.66254332185252</v>
      </c>
      <c r="Y42" s="645">
        <v>171.65236774503236</v>
      </c>
      <c r="Z42" s="645">
        <v>0</v>
      </c>
      <c r="AA42" s="645">
        <v>0</v>
      </c>
      <c r="AB42" s="645">
        <v>100.24063406591846</v>
      </c>
      <c r="AC42" s="645">
        <v>5.8624646335327153</v>
      </c>
      <c r="AD42" s="645">
        <v>67.152419330248577</v>
      </c>
      <c r="AE42" s="645">
        <v>25.533007440030815</v>
      </c>
      <c r="AF42" s="645">
        <v>70.498567758341522</v>
      </c>
      <c r="AG42" s="645">
        <v>4.9368188759338274</v>
      </c>
      <c r="AH42" s="645">
        <v>472.52316025955423</v>
      </c>
      <c r="AI42" s="645">
        <v>65.204498303456901</v>
      </c>
      <c r="AJ42" s="645">
        <v>12.150152156541072</v>
      </c>
      <c r="AK42" s="645">
        <v>1345.3861044653063</v>
      </c>
    </row>
    <row r="43" spans="3:37" x14ac:dyDescent="0.2">
      <c r="C43" s="634"/>
      <c r="D43" s="634"/>
      <c r="E43" s="634"/>
      <c r="F43" s="634"/>
      <c r="G43" s="634"/>
      <c r="H43" s="634"/>
      <c r="I43" s="634"/>
      <c r="J43" s="634"/>
      <c r="K43" s="634"/>
      <c r="L43" s="634"/>
      <c r="M43" s="634"/>
      <c r="N43" s="634"/>
      <c r="O43" s="634"/>
      <c r="P43" s="634"/>
      <c r="Q43" s="634"/>
      <c r="R43" s="634"/>
      <c r="S43" s="634"/>
      <c r="U43" s="634"/>
      <c r="V43" s="634"/>
      <c r="W43" s="634"/>
      <c r="X43" s="634"/>
      <c r="Y43" s="634"/>
      <c r="Z43" s="634"/>
      <c r="AA43" s="634"/>
      <c r="AB43" s="634"/>
      <c r="AC43" s="634"/>
      <c r="AD43" s="634"/>
      <c r="AE43" s="634"/>
      <c r="AF43" s="634"/>
      <c r="AG43" s="634"/>
      <c r="AH43" s="634"/>
      <c r="AI43" s="634"/>
      <c r="AJ43" s="634"/>
      <c r="AK43" s="634"/>
    </row>
    <row r="44" spans="3:37" ht="22.5" x14ac:dyDescent="0.3">
      <c r="C44" s="759" t="s">
        <v>358</v>
      </c>
      <c r="D44" s="759"/>
      <c r="E44" s="759"/>
      <c r="F44" s="759"/>
      <c r="G44" s="759"/>
      <c r="H44" s="759"/>
      <c r="I44" s="759"/>
      <c r="J44" s="759"/>
      <c r="K44" s="759"/>
      <c r="L44" s="759"/>
      <c r="M44" s="759"/>
      <c r="N44" s="759"/>
      <c r="O44" s="759"/>
      <c r="P44" s="759"/>
      <c r="Q44" s="759"/>
      <c r="R44" s="759"/>
      <c r="S44" s="759"/>
      <c r="U44" s="759" t="s">
        <v>358</v>
      </c>
      <c r="V44" s="759"/>
      <c r="W44" s="759"/>
      <c r="X44" s="759"/>
      <c r="Y44" s="759"/>
      <c r="Z44" s="759"/>
      <c r="AA44" s="759"/>
      <c r="AB44" s="759"/>
      <c r="AC44" s="759"/>
      <c r="AD44" s="759"/>
      <c r="AE44" s="759"/>
      <c r="AF44" s="759"/>
      <c r="AG44" s="759"/>
      <c r="AH44" s="759"/>
      <c r="AI44" s="759"/>
      <c r="AJ44" s="759"/>
      <c r="AK44" s="759"/>
    </row>
    <row r="45" spans="3:37" x14ac:dyDescent="0.2">
      <c r="C45" s="634"/>
      <c r="D45" s="634"/>
      <c r="E45" s="634"/>
      <c r="F45" s="634"/>
      <c r="G45" s="634"/>
      <c r="H45" s="634"/>
      <c r="I45" s="634"/>
      <c r="J45" s="634"/>
      <c r="K45" s="634"/>
      <c r="L45" s="634"/>
      <c r="M45" s="634"/>
      <c r="N45" s="634"/>
      <c r="O45" s="634"/>
      <c r="P45" s="634"/>
      <c r="Q45" s="634"/>
      <c r="R45" s="634"/>
      <c r="S45" s="634"/>
      <c r="U45" s="634"/>
      <c r="V45" s="634"/>
      <c r="W45" s="634"/>
      <c r="X45" s="634"/>
      <c r="Y45" s="634"/>
      <c r="Z45" s="634"/>
      <c r="AA45" s="634"/>
      <c r="AB45" s="634"/>
      <c r="AC45" s="634"/>
      <c r="AD45" s="634"/>
      <c r="AE45" s="634"/>
      <c r="AF45" s="634"/>
      <c r="AG45" s="634"/>
      <c r="AH45" s="634"/>
      <c r="AI45" s="634"/>
      <c r="AJ45" s="634"/>
      <c r="AK45" s="634"/>
    </row>
    <row r="46" spans="3:37" ht="12.95" customHeight="1" x14ac:dyDescent="0.2">
      <c r="C46" s="758" t="s">
        <v>128</v>
      </c>
      <c r="D46" s="757" t="s">
        <v>42</v>
      </c>
      <c r="E46" s="757" t="s">
        <v>52</v>
      </c>
      <c r="F46" s="757" t="s">
        <v>53</v>
      </c>
      <c r="G46" s="757" t="s">
        <v>32</v>
      </c>
      <c r="H46" s="757" t="s">
        <v>20</v>
      </c>
      <c r="I46" s="757" t="s">
        <v>55</v>
      </c>
      <c r="J46" s="757" t="s">
        <v>56</v>
      </c>
      <c r="K46" s="757"/>
      <c r="L46" s="757"/>
      <c r="M46" s="757"/>
      <c r="N46" s="757"/>
      <c r="O46" s="757"/>
      <c r="P46" s="757" t="s">
        <v>57</v>
      </c>
      <c r="Q46" s="757" t="s">
        <v>58</v>
      </c>
      <c r="R46" s="757" t="s">
        <v>31</v>
      </c>
      <c r="S46" s="757" t="s">
        <v>10</v>
      </c>
      <c r="U46" s="758" t="s">
        <v>128</v>
      </c>
      <c r="V46" s="757" t="s">
        <v>42</v>
      </c>
      <c r="W46" s="757" t="s">
        <v>52</v>
      </c>
      <c r="X46" s="757" t="s">
        <v>53</v>
      </c>
      <c r="Y46" s="757" t="s">
        <v>32</v>
      </c>
      <c r="Z46" s="757" t="s">
        <v>20</v>
      </c>
      <c r="AA46" s="757" t="s">
        <v>55</v>
      </c>
      <c r="AB46" s="757" t="s">
        <v>56</v>
      </c>
      <c r="AC46" s="757"/>
      <c r="AD46" s="757"/>
      <c r="AE46" s="757"/>
      <c r="AF46" s="757"/>
      <c r="AG46" s="757"/>
      <c r="AH46" s="757" t="s">
        <v>57</v>
      </c>
      <c r="AI46" s="757" t="s">
        <v>58</v>
      </c>
      <c r="AJ46" s="757" t="s">
        <v>31</v>
      </c>
      <c r="AK46" s="757" t="s">
        <v>10</v>
      </c>
    </row>
    <row r="47" spans="3:37" ht="56.25" x14ac:dyDescent="0.2">
      <c r="C47" s="758"/>
      <c r="D47" s="757"/>
      <c r="E47" s="757"/>
      <c r="F47" s="757"/>
      <c r="G47" s="757"/>
      <c r="H47" s="757"/>
      <c r="I47" s="757"/>
      <c r="J47" s="638" t="s">
        <v>335</v>
      </c>
      <c r="K47" s="638" t="s">
        <v>40</v>
      </c>
      <c r="L47" s="638" t="s">
        <v>343</v>
      </c>
      <c r="M47" s="638" t="s">
        <v>344</v>
      </c>
      <c r="N47" s="638" t="s">
        <v>345</v>
      </c>
      <c r="O47" s="638" t="s">
        <v>346</v>
      </c>
      <c r="P47" s="757"/>
      <c r="Q47" s="757"/>
      <c r="R47" s="757"/>
      <c r="S47" s="757"/>
      <c r="U47" s="758"/>
      <c r="V47" s="757"/>
      <c r="W47" s="757"/>
      <c r="X47" s="757"/>
      <c r="Y47" s="757"/>
      <c r="Z47" s="757"/>
      <c r="AA47" s="757"/>
      <c r="AB47" s="638" t="s">
        <v>335</v>
      </c>
      <c r="AC47" s="638" t="s">
        <v>40</v>
      </c>
      <c r="AD47" s="638" t="s">
        <v>343</v>
      </c>
      <c r="AE47" s="638" t="s">
        <v>344</v>
      </c>
      <c r="AF47" s="638" t="s">
        <v>345</v>
      </c>
      <c r="AG47" s="638" t="s">
        <v>346</v>
      </c>
      <c r="AH47" s="757"/>
      <c r="AI47" s="757"/>
      <c r="AJ47" s="757"/>
      <c r="AK47" s="757"/>
    </row>
    <row r="48" spans="3:37" x14ac:dyDescent="0.2">
      <c r="C48" s="639" t="s">
        <v>59</v>
      </c>
      <c r="D48" s="640">
        <v>0</v>
      </c>
      <c r="E48" s="641">
        <v>5.8150000000000004</v>
      </c>
      <c r="F48" s="641">
        <v>0</v>
      </c>
      <c r="G48" s="640">
        <v>9.3040000000000012E-2</v>
      </c>
      <c r="H48" s="641">
        <v>1075.0000000000002</v>
      </c>
      <c r="I48" s="641">
        <v>224.13674723416887</v>
      </c>
      <c r="J48" s="641">
        <v>191.59942379122555</v>
      </c>
      <c r="K48" s="641">
        <v>21.432553878964274</v>
      </c>
      <c r="L48" s="641">
        <v>0.38158375751522683</v>
      </c>
      <c r="M48" s="641">
        <v>0.1566638564915529</v>
      </c>
      <c r="N48" s="641">
        <v>57.826394702164251</v>
      </c>
      <c r="O48" s="641">
        <v>8.0717549324466145</v>
      </c>
      <c r="P48" s="642">
        <v>0</v>
      </c>
      <c r="Q48" s="641">
        <v>0</v>
      </c>
      <c r="R48" s="641">
        <v>0</v>
      </c>
      <c r="S48" s="643">
        <v>1584.5131621529763</v>
      </c>
      <c r="U48" s="639" t="s">
        <v>59</v>
      </c>
      <c r="V48" s="640">
        <v>0</v>
      </c>
      <c r="W48" s="641">
        <v>5.8150000000000004</v>
      </c>
      <c r="X48" s="641">
        <v>0</v>
      </c>
      <c r="Y48" s="640">
        <v>9.3040000000000012E-2</v>
      </c>
      <c r="Z48" s="641">
        <v>994.39393939393949</v>
      </c>
      <c r="AA48" s="641">
        <v>248.70674723416883</v>
      </c>
      <c r="AB48" s="641">
        <v>191.76566332259941</v>
      </c>
      <c r="AC48" s="641">
        <v>38.031253697312572</v>
      </c>
      <c r="AD48" s="641">
        <v>0.38158375751522683</v>
      </c>
      <c r="AE48" s="641">
        <v>0.1566638564915529</v>
      </c>
      <c r="AF48" s="641">
        <v>76.992812580470769</v>
      </c>
      <c r="AG48" s="641">
        <v>16.738826185514363</v>
      </c>
      <c r="AH48" s="642">
        <v>0</v>
      </c>
      <c r="AI48" s="641">
        <v>0</v>
      </c>
      <c r="AJ48" s="641">
        <v>0</v>
      </c>
      <c r="AK48" s="643">
        <v>1573.0755300280123</v>
      </c>
    </row>
    <row r="49" spans="3:37" x14ac:dyDescent="0.2">
      <c r="C49" s="639" t="s">
        <v>60</v>
      </c>
      <c r="D49" s="640">
        <v>48.827265231041785</v>
      </c>
      <c r="E49" s="641">
        <v>518.07410535010388</v>
      </c>
      <c r="F49" s="641">
        <v>107.87457071926454</v>
      </c>
      <c r="G49" s="640">
        <v>335.04873882059013</v>
      </c>
      <c r="H49" s="641">
        <v>0</v>
      </c>
      <c r="I49" s="641">
        <v>0</v>
      </c>
      <c r="J49" s="641">
        <v>3.6983557386050134</v>
      </c>
      <c r="K49" s="641">
        <v>0</v>
      </c>
      <c r="L49" s="641">
        <v>2.0715216469959126</v>
      </c>
      <c r="M49" s="641">
        <v>0</v>
      </c>
      <c r="N49" s="641">
        <v>0</v>
      </c>
      <c r="O49" s="641">
        <v>0</v>
      </c>
      <c r="P49" s="642">
        <v>0</v>
      </c>
      <c r="Q49" s="641">
        <v>0</v>
      </c>
      <c r="R49" s="641">
        <v>0</v>
      </c>
      <c r="S49" s="643">
        <v>1015.5945575066012</v>
      </c>
      <c r="U49" s="639" t="s">
        <v>60</v>
      </c>
      <c r="V49" s="640">
        <v>9.7783497021920969</v>
      </c>
      <c r="W49" s="641">
        <v>336.80990869295175</v>
      </c>
      <c r="X49" s="641">
        <v>55.498271181254346</v>
      </c>
      <c r="Y49" s="640">
        <v>207.3573846689826</v>
      </c>
      <c r="Z49" s="641">
        <v>0</v>
      </c>
      <c r="AA49" s="641">
        <v>0</v>
      </c>
      <c r="AB49" s="641">
        <v>3.6983557386050134</v>
      </c>
      <c r="AC49" s="641">
        <v>0</v>
      </c>
      <c r="AD49" s="641">
        <v>2.0715216469959126</v>
      </c>
      <c r="AE49" s="641">
        <v>0</v>
      </c>
      <c r="AF49" s="641">
        <v>0</v>
      </c>
      <c r="AG49" s="641">
        <v>0</v>
      </c>
      <c r="AH49" s="642">
        <v>0</v>
      </c>
      <c r="AI49" s="641">
        <v>0</v>
      </c>
      <c r="AJ49" s="641">
        <v>0</v>
      </c>
      <c r="AK49" s="643">
        <v>615.21379163098163</v>
      </c>
    </row>
    <row r="50" spans="3:37" x14ac:dyDescent="0.2">
      <c r="C50" s="639" t="s">
        <v>61</v>
      </c>
      <c r="D50" s="640">
        <v>0</v>
      </c>
      <c r="E50" s="641">
        <v>0</v>
      </c>
      <c r="F50" s="641">
        <v>0</v>
      </c>
      <c r="G50" s="640">
        <v>0</v>
      </c>
      <c r="H50" s="641">
        <v>0</v>
      </c>
      <c r="I50" s="641">
        <v>0</v>
      </c>
      <c r="J50" s="641">
        <v>0</v>
      </c>
      <c r="K50" s="641">
        <v>0</v>
      </c>
      <c r="L50" s="641">
        <v>0</v>
      </c>
      <c r="M50" s="641">
        <v>0</v>
      </c>
      <c r="N50" s="641">
        <v>0</v>
      </c>
      <c r="O50" s="641">
        <v>0</v>
      </c>
      <c r="P50" s="642">
        <v>-50.941346245748719</v>
      </c>
      <c r="Q50" s="641">
        <v>0</v>
      </c>
      <c r="R50" s="641">
        <v>0</v>
      </c>
      <c r="S50" s="643">
        <v>-50.941346245748719</v>
      </c>
      <c r="U50" s="639" t="s">
        <v>61</v>
      </c>
      <c r="V50" s="640">
        <v>0</v>
      </c>
      <c r="W50" s="641">
        <v>0</v>
      </c>
      <c r="X50" s="641">
        <v>0</v>
      </c>
      <c r="Y50" s="640">
        <v>0</v>
      </c>
      <c r="Z50" s="641">
        <v>0</v>
      </c>
      <c r="AA50" s="641">
        <v>0</v>
      </c>
      <c r="AB50" s="641">
        <v>0</v>
      </c>
      <c r="AC50" s="641">
        <v>0</v>
      </c>
      <c r="AD50" s="641">
        <v>0</v>
      </c>
      <c r="AE50" s="641">
        <v>0</v>
      </c>
      <c r="AF50" s="641">
        <v>0</v>
      </c>
      <c r="AG50" s="641">
        <v>0</v>
      </c>
      <c r="AH50" s="642">
        <v>-32.476172245636349</v>
      </c>
      <c r="AI50" s="641">
        <v>0</v>
      </c>
      <c r="AJ50" s="641">
        <v>0</v>
      </c>
      <c r="AK50" s="643">
        <v>-32.476172245636349</v>
      </c>
    </row>
    <row r="51" spans="3:37" x14ac:dyDescent="0.2">
      <c r="C51" s="639" t="s">
        <v>62</v>
      </c>
      <c r="D51" s="640">
        <v>0</v>
      </c>
      <c r="E51" s="641">
        <v>0</v>
      </c>
      <c r="F51" s="641">
        <v>-16.25862008896565</v>
      </c>
      <c r="G51" s="640">
        <v>0</v>
      </c>
      <c r="H51" s="641">
        <v>0</v>
      </c>
      <c r="I51" s="641">
        <v>0</v>
      </c>
      <c r="J51" s="641">
        <v>0</v>
      </c>
      <c r="K51" s="641">
        <v>0</v>
      </c>
      <c r="L51" s="641">
        <v>0</v>
      </c>
      <c r="M51" s="641">
        <v>0</v>
      </c>
      <c r="N51" s="641">
        <v>0</v>
      </c>
      <c r="O51" s="641">
        <v>0</v>
      </c>
      <c r="P51" s="642">
        <v>0</v>
      </c>
      <c r="Q51" s="641">
        <v>0</v>
      </c>
      <c r="R51" s="641">
        <v>0</v>
      </c>
      <c r="S51" s="643">
        <v>-16.25862008896565</v>
      </c>
      <c r="U51" s="639" t="s">
        <v>62</v>
      </c>
      <c r="V51" s="640">
        <v>0</v>
      </c>
      <c r="W51" s="641">
        <v>0</v>
      </c>
      <c r="X51" s="641">
        <v>-12.937868047131742</v>
      </c>
      <c r="Y51" s="640">
        <v>-1.5571295869756494</v>
      </c>
      <c r="Z51" s="641">
        <v>0</v>
      </c>
      <c r="AA51" s="641">
        <v>0</v>
      </c>
      <c r="AB51" s="641">
        <v>0</v>
      </c>
      <c r="AC51" s="641">
        <v>0</v>
      </c>
      <c r="AD51" s="641">
        <v>0</v>
      </c>
      <c r="AE51" s="641">
        <v>-0.27478757417217342</v>
      </c>
      <c r="AF51" s="641">
        <v>0</v>
      </c>
      <c r="AG51" s="641">
        <v>0</v>
      </c>
      <c r="AH51" s="642">
        <v>0</v>
      </c>
      <c r="AI51" s="641">
        <v>0</v>
      </c>
      <c r="AJ51" s="641">
        <v>0</v>
      </c>
      <c r="AK51" s="643">
        <v>-14.769785208279565</v>
      </c>
    </row>
    <row r="52" spans="3:37" x14ac:dyDescent="0.2">
      <c r="C52" s="639" t="s">
        <v>63</v>
      </c>
      <c r="D52" s="640">
        <v>0</v>
      </c>
      <c r="E52" s="641">
        <v>0</v>
      </c>
      <c r="F52" s="641">
        <v>-83.551471621484865</v>
      </c>
      <c r="G52" s="640">
        <v>0</v>
      </c>
      <c r="H52" s="641">
        <v>0</v>
      </c>
      <c r="I52" s="641">
        <v>0</v>
      </c>
      <c r="J52" s="641">
        <v>0</v>
      </c>
      <c r="K52" s="641">
        <v>0</v>
      </c>
      <c r="L52" s="641">
        <v>-0.85914301655193537</v>
      </c>
      <c r="M52" s="641">
        <v>0</v>
      </c>
      <c r="N52" s="641">
        <v>0</v>
      </c>
      <c r="O52" s="641">
        <v>0</v>
      </c>
      <c r="P52" s="642">
        <v>0</v>
      </c>
      <c r="Q52" s="641">
        <v>0</v>
      </c>
      <c r="R52" s="641">
        <v>0</v>
      </c>
      <c r="S52" s="643">
        <v>-84.410614638036805</v>
      </c>
      <c r="U52" s="639" t="s">
        <v>63</v>
      </c>
      <c r="V52" s="640">
        <v>0</v>
      </c>
      <c r="W52" s="641">
        <v>0</v>
      </c>
      <c r="X52" s="641">
        <v>-67.135202148658564</v>
      </c>
      <c r="Y52" s="640">
        <v>0</v>
      </c>
      <c r="Z52" s="641">
        <v>0</v>
      </c>
      <c r="AA52" s="641">
        <v>0</v>
      </c>
      <c r="AB52" s="641">
        <v>0</v>
      </c>
      <c r="AC52" s="641">
        <v>0</v>
      </c>
      <c r="AD52" s="641">
        <v>-15.117527463171397</v>
      </c>
      <c r="AE52" s="641">
        <v>0</v>
      </c>
      <c r="AF52" s="641">
        <v>0</v>
      </c>
      <c r="AG52" s="641">
        <v>0</v>
      </c>
      <c r="AH52" s="642">
        <v>0</v>
      </c>
      <c r="AI52" s="641">
        <v>0</v>
      </c>
      <c r="AJ52" s="641">
        <v>0</v>
      </c>
      <c r="AK52" s="643">
        <v>-82.252729611829963</v>
      </c>
    </row>
    <row r="53" spans="3:37" x14ac:dyDescent="0.2">
      <c r="C53" s="639" t="s">
        <v>64</v>
      </c>
      <c r="D53" s="640">
        <v>0</v>
      </c>
      <c r="E53" s="641">
        <v>0</v>
      </c>
      <c r="F53" s="641">
        <v>0</v>
      </c>
      <c r="G53" s="640">
        <v>0</v>
      </c>
      <c r="H53" s="641">
        <v>0</v>
      </c>
      <c r="I53" s="641">
        <v>0</v>
      </c>
      <c r="J53" s="641">
        <v>0</v>
      </c>
      <c r="K53" s="641">
        <v>0</v>
      </c>
      <c r="L53" s="641">
        <v>0</v>
      </c>
      <c r="M53" s="641">
        <v>0</v>
      </c>
      <c r="N53" s="641">
        <v>0</v>
      </c>
      <c r="O53" s="641">
        <v>0</v>
      </c>
      <c r="P53" s="642">
        <v>0</v>
      </c>
      <c r="Q53" s="641">
        <v>0</v>
      </c>
      <c r="R53" s="641">
        <v>0</v>
      </c>
      <c r="S53" s="643">
        <v>0</v>
      </c>
      <c r="U53" s="639" t="s">
        <v>64</v>
      </c>
      <c r="V53" s="640">
        <v>0</v>
      </c>
      <c r="W53" s="641">
        <v>0</v>
      </c>
      <c r="X53" s="641">
        <v>0</v>
      </c>
      <c r="Y53" s="640">
        <v>0</v>
      </c>
      <c r="Z53" s="641">
        <v>0</v>
      </c>
      <c r="AA53" s="641">
        <v>0</v>
      </c>
      <c r="AB53" s="641">
        <v>0</v>
      </c>
      <c r="AC53" s="641">
        <v>0</v>
      </c>
      <c r="AD53" s="641">
        <v>0</v>
      </c>
      <c r="AE53" s="641">
        <v>0</v>
      </c>
      <c r="AF53" s="641">
        <v>0</v>
      </c>
      <c r="AG53" s="641">
        <v>0</v>
      </c>
      <c r="AH53" s="642">
        <v>0</v>
      </c>
      <c r="AI53" s="641">
        <v>0</v>
      </c>
      <c r="AJ53" s="641">
        <v>0</v>
      </c>
      <c r="AK53" s="643">
        <v>0</v>
      </c>
    </row>
    <row r="54" spans="3:37" x14ac:dyDescent="0.2">
      <c r="C54" s="644" t="s">
        <v>65</v>
      </c>
      <c r="D54" s="645">
        <v>48.827265231041785</v>
      </c>
      <c r="E54" s="645">
        <v>523.88910535010393</v>
      </c>
      <c r="F54" s="645">
        <v>8.0644790088140255</v>
      </c>
      <c r="G54" s="645">
        <v>335.1417788205901</v>
      </c>
      <c r="H54" s="645">
        <v>1075.0000000000002</v>
      </c>
      <c r="I54" s="645">
        <v>224.13674723416887</v>
      </c>
      <c r="J54" s="645">
        <v>195.29777952983056</v>
      </c>
      <c r="K54" s="645">
        <v>21.432553878964274</v>
      </c>
      <c r="L54" s="645">
        <v>1.5939623879592042</v>
      </c>
      <c r="M54" s="645">
        <v>0.1566638564915529</v>
      </c>
      <c r="N54" s="645">
        <v>57.826394702164251</v>
      </c>
      <c r="O54" s="645">
        <v>8.0717549324466145</v>
      </c>
      <c r="P54" s="645">
        <v>-50.941346245748719</v>
      </c>
      <c r="Q54" s="645">
        <v>0</v>
      </c>
      <c r="R54" s="645">
        <v>0</v>
      </c>
      <c r="S54" s="645">
        <v>2448.4971386868265</v>
      </c>
      <c r="U54" s="644" t="s">
        <v>65</v>
      </c>
      <c r="V54" s="645">
        <v>9.7783497021920969</v>
      </c>
      <c r="W54" s="645">
        <v>342.62490869295175</v>
      </c>
      <c r="X54" s="645">
        <v>-24.574799014535962</v>
      </c>
      <c r="Y54" s="645">
        <v>205.89329508200694</v>
      </c>
      <c r="Z54" s="645">
        <v>994.39393939393949</v>
      </c>
      <c r="AA54" s="645">
        <v>248.70674723416883</v>
      </c>
      <c r="AB54" s="645">
        <v>195.46401906120443</v>
      </c>
      <c r="AC54" s="645">
        <v>38.031253697312572</v>
      </c>
      <c r="AD54" s="645">
        <v>-12.664422058660257</v>
      </c>
      <c r="AE54" s="645">
        <v>-0.11812371768062052</v>
      </c>
      <c r="AF54" s="645">
        <v>76.992812580470769</v>
      </c>
      <c r="AG54" s="645">
        <v>16.738826185514363</v>
      </c>
      <c r="AH54" s="645">
        <v>-32.476172245636349</v>
      </c>
      <c r="AI54" s="645">
        <v>0</v>
      </c>
      <c r="AJ54" s="645">
        <v>0</v>
      </c>
      <c r="AK54" s="645">
        <v>2058.7906345932479</v>
      </c>
    </row>
    <row r="55" spans="3:37" x14ac:dyDescent="0.2">
      <c r="C55" s="634"/>
      <c r="D55" s="634">
        <v>0</v>
      </c>
      <c r="E55" s="634">
        <v>0</v>
      </c>
      <c r="F55" s="634">
        <v>0</v>
      </c>
      <c r="G55" s="634">
        <v>0</v>
      </c>
      <c r="H55" s="634">
        <v>0</v>
      </c>
      <c r="I55" s="634">
        <v>0</v>
      </c>
      <c r="J55" s="634">
        <v>0</v>
      </c>
      <c r="K55" s="634">
        <v>0</v>
      </c>
      <c r="L55" s="634">
        <v>0</v>
      </c>
      <c r="M55" s="634">
        <v>0</v>
      </c>
      <c r="N55" s="634">
        <v>0</v>
      </c>
      <c r="O55" s="634">
        <v>0</v>
      </c>
      <c r="P55" s="634">
        <v>0</v>
      </c>
      <c r="Q55" s="634">
        <v>0</v>
      </c>
      <c r="R55" s="634">
        <v>0</v>
      </c>
      <c r="S55" s="634">
        <v>0</v>
      </c>
      <c r="U55" s="634"/>
      <c r="V55" s="634">
        <v>0</v>
      </c>
      <c r="W55" s="634">
        <v>0</v>
      </c>
      <c r="X55" s="634">
        <v>0</v>
      </c>
      <c r="Y55" s="634">
        <v>0</v>
      </c>
      <c r="Z55" s="634">
        <v>0</v>
      </c>
      <c r="AA55" s="634">
        <v>0</v>
      </c>
      <c r="AB55" s="634">
        <v>0</v>
      </c>
      <c r="AC55" s="634">
        <v>0</v>
      </c>
      <c r="AD55" s="634">
        <v>0</v>
      </c>
      <c r="AE55" s="634">
        <v>0</v>
      </c>
      <c r="AF55" s="634">
        <v>0</v>
      </c>
      <c r="AG55" s="634">
        <v>0</v>
      </c>
      <c r="AH55" s="634">
        <v>0</v>
      </c>
      <c r="AI55" s="634">
        <v>0</v>
      </c>
      <c r="AJ55" s="634">
        <v>0</v>
      </c>
      <c r="AK55" s="634">
        <v>0</v>
      </c>
    </row>
    <row r="56" spans="3:37" x14ac:dyDescent="0.2">
      <c r="C56" s="646" t="s">
        <v>67</v>
      </c>
      <c r="D56" s="640">
        <v>0</v>
      </c>
      <c r="E56" s="647">
        <v>0</v>
      </c>
      <c r="F56" s="647">
        <v>0</v>
      </c>
      <c r="G56" s="640">
        <v>0</v>
      </c>
      <c r="H56" s="640">
        <v>0</v>
      </c>
      <c r="I56" s="640">
        <v>0</v>
      </c>
      <c r="J56" s="640">
        <v>0</v>
      </c>
      <c r="K56" s="640">
        <v>0</v>
      </c>
      <c r="L56" s="640">
        <v>0</v>
      </c>
      <c r="M56" s="640">
        <v>0</v>
      </c>
      <c r="N56" s="640">
        <v>0</v>
      </c>
      <c r="O56" s="640">
        <v>0</v>
      </c>
      <c r="P56" s="640">
        <v>0</v>
      </c>
      <c r="Q56" s="640">
        <v>0</v>
      </c>
      <c r="R56" s="640">
        <v>0</v>
      </c>
      <c r="S56" s="648">
        <v>0</v>
      </c>
      <c r="U56" s="646" t="s">
        <v>67</v>
      </c>
      <c r="V56" s="640">
        <v>0</v>
      </c>
      <c r="W56" s="647">
        <v>0</v>
      </c>
      <c r="X56" s="647">
        <v>0</v>
      </c>
      <c r="Y56" s="640">
        <v>0</v>
      </c>
      <c r="Z56" s="640">
        <v>0</v>
      </c>
      <c r="AA56" s="640">
        <v>0</v>
      </c>
      <c r="AB56" s="640">
        <v>0</v>
      </c>
      <c r="AC56" s="640">
        <v>0</v>
      </c>
      <c r="AD56" s="640">
        <v>0</v>
      </c>
      <c r="AE56" s="640">
        <v>0</v>
      </c>
      <c r="AF56" s="640">
        <v>0</v>
      </c>
      <c r="AG56" s="640">
        <v>0</v>
      </c>
      <c r="AH56" s="640">
        <v>0</v>
      </c>
      <c r="AI56" s="640">
        <v>0</v>
      </c>
      <c r="AJ56" s="640">
        <v>0</v>
      </c>
      <c r="AK56" s="648">
        <v>0</v>
      </c>
    </row>
    <row r="57" spans="3:37" x14ac:dyDescent="0.2">
      <c r="C57" s="646" t="s">
        <v>347</v>
      </c>
      <c r="D57" s="640">
        <v>2.8267856410252494</v>
      </c>
      <c r="E57" s="640">
        <v>0</v>
      </c>
      <c r="F57" s="640">
        <v>7.9696731063521415</v>
      </c>
      <c r="G57" s="640">
        <v>17.422222222222224</v>
      </c>
      <c r="H57" s="640">
        <v>1075.0000000000002</v>
      </c>
      <c r="I57" s="640">
        <v>224.13674723416887</v>
      </c>
      <c r="J57" s="649">
        <v>30.45355250478201</v>
      </c>
      <c r="K57" s="649">
        <v>7.4482212846984126</v>
      </c>
      <c r="L57" s="649">
        <v>2.4531054045111396</v>
      </c>
      <c r="M57" s="649">
        <v>0.47972213502804317</v>
      </c>
      <c r="N57" s="649">
        <v>0</v>
      </c>
      <c r="O57" s="649">
        <v>3.0833964576427819</v>
      </c>
      <c r="P57" s="640">
        <v>-609.30151807373261</v>
      </c>
      <c r="Q57" s="640">
        <v>0</v>
      </c>
      <c r="R57" s="640">
        <v>0</v>
      </c>
      <c r="S57" s="648">
        <v>761.97190791669834</v>
      </c>
      <c r="U57" s="646" t="s">
        <v>347</v>
      </c>
      <c r="V57" s="640">
        <v>0.62631490545869017</v>
      </c>
      <c r="W57" s="640">
        <v>0</v>
      </c>
      <c r="X57" s="640">
        <v>4.1060367427157782</v>
      </c>
      <c r="Y57" s="640">
        <v>24.857777777777773</v>
      </c>
      <c r="Z57" s="640">
        <v>994.39393939393949</v>
      </c>
      <c r="AA57" s="640">
        <v>248.70674723416883</v>
      </c>
      <c r="AB57" s="649">
        <v>24.641197042508384</v>
      </c>
      <c r="AC57" s="649">
        <v>6.6719525843779666</v>
      </c>
      <c r="AD57" s="649">
        <v>2.4531054045111396</v>
      </c>
      <c r="AE57" s="649">
        <v>4.5108332461391543</v>
      </c>
      <c r="AF57" s="649">
        <v>0</v>
      </c>
      <c r="AG57" s="649">
        <v>3.0833964576427819</v>
      </c>
      <c r="AH57" s="640">
        <v>-611.77151807373264</v>
      </c>
      <c r="AI57" s="640">
        <v>0</v>
      </c>
      <c r="AJ57" s="640">
        <v>2.3749999999999996</v>
      </c>
      <c r="AK57" s="648">
        <v>704.65478271550762</v>
      </c>
    </row>
    <row r="58" spans="3:37" x14ac:dyDescent="0.2">
      <c r="C58" s="646" t="s">
        <v>348</v>
      </c>
      <c r="D58" s="640">
        <v>0</v>
      </c>
      <c r="E58" s="640">
        <v>0</v>
      </c>
      <c r="F58" s="640">
        <v>0</v>
      </c>
      <c r="G58" s="640">
        <v>15.160725636684646</v>
      </c>
      <c r="H58" s="640">
        <v>0</v>
      </c>
      <c r="I58" s="640">
        <v>0</v>
      </c>
      <c r="J58" s="649">
        <v>12.939045348987106</v>
      </c>
      <c r="K58" s="649">
        <v>12.151724678588742</v>
      </c>
      <c r="L58" s="649">
        <v>0</v>
      </c>
      <c r="M58" s="649">
        <v>0.32322722394029924</v>
      </c>
      <c r="N58" s="649">
        <v>0</v>
      </c>
      <c r="O58" s="649">
        <v>2.1538235080806043</v>
      </c>
      <c r="P58" s="640">
        <v>0</v>
      </c>
      <c r="Q58" s="640">
        <v>-38.589386176372813</v>
      </c>
      <c r="R58" s="640">
        <v>0</v>
      </c>
      <c r="S58" s="648">
        <v>4.1391602199085806</v>
      </c>
      <c r="U58" s="646" t="s">
        <v>348</v>
      </c>
      <c r="V58" s="640">
        <v>0</v>
      </c>
      <c r="W58" s="640">
        <v>0</v>
      </c>
      <c r="X58" s="640">
        <v>0</v>
      </c>
      <c r="Y58" s="640">
        <v>15.290780965453443</v>
      </c>
      <c r="Z58" s="640">
        <v>0</v>
      </c>
      <c r="AA58" s="640">
        <v>0</v>
      </c>
      <c r="AB58" s="649">
        <v>28.500378674784677</v>
      </c>
      <c r="AC58" s="649">
        <v>25.381229817913329</v>
      </c>
      <c r="AD58" s="649">
        <v>0</v>
      </c>
      <c r="AE58" s="649">
        <v>2.712197771476935</v>
      </c>
      <c r="AF58" s="649">
        <v>0</v>
      </c>
      <c r="AG58" s="649">
        <v>8.3103526067541207</v>
      </c>
      <c r="AH58" s="640">
        <v>0</v>
      </c>
      <c r="AI58" s="640">
        <v>-73.223954421682024</v>
      </c>
      <c r="AJ58" s="640">
        <v>0</v>
      </c>
      <c r="AK58" s="648">
        <v>6.9709854147004844</v>
      </c>
    </row>
    <row r="59" spans="3:37" x14ac:dyDescent="0.2">
      <c r="C59" s="646" t="s">
        <v>349</v>
      </c>
      <c r="D59" s="640">
        <v>0</v>
      </c>
      <c r="E59" s="640">
        <v>0</v>
      </c>
      <c r="F59" s="640">
        <v>0</v>
      </c>
      <c r="G59" s="640">
        <v>0</v>
      </c>
      <c r="H59" s="640">
        <v>0</v>
      </c>
      <c r="I59" s="640">
        <v>0</v>
      </c>
      <c r="J59" s="650">
        <v>7.3987592400222235</v>
      </c>
      <c r="K59" s="650">
        <v>0</v>
      </c>
      <c r="L59" s="650">
        <v>0</v>
      </c>
      <c r="M59" s="650">
        <v>-6.5941441726698065</v>
      </c>
      <c r="N59" s="650">
        <v>0</v>
      </c>
      <c r="O59" s="650">
        <v>0</v>
      </c>
      <c r="P59" s="640">
        <v>0</v>
      </c>
      <c r="Q59" s="640">
        <v>0</v>
      </c>
      <c r="R59" s="640">
        <v>0</v>
      </c>
      <c r="S59" s="648">
        <v>0.80461506735241706</v>
      </c>
      <c r="U59" s="646" t="s">
        <v>349</v>
      </c>
      <c r="V59" s="640">
        <v>0</v>
      </c>
      <c r="W59" s="640">
        <v>0</v>
      </c>
      <c r="X59" s="640">
        <v>0</v>
      </c>
      <c r="Y59" s="640">
        <v>0</v>
      </c>
      <c r="Z59" s="640">
        <v>0</v>
      </c>
      <c r="AA59" s="640">
        <v>0</v>
      </c>
      <c r="AB59" s="650">
        <v>40.786473386605621</v>
      </c>
      <c r="AC59" s="650">
        <v>0</v>
      </c>
      <c r="AD59" s="650">
        <v>0</v>
      </c>
      <c r="AE59" s="650">
        <v>-36.350944405812257</v>
      </c>
      <c r="AF59" s="650">
        <v>0</v>
      </c>
      <c r="AG59" s="650">
        <v>0</v>
      </c>
      <c r="AH59" s="640">
        <v>0</v>
      </c>
      <c r="AI59" s="640">
        <v>0</v>
      </c>
      <c r="AJ59" s="640">
        <v>0</v>
      </c>
      <c r="AK59" s="648">
        <v>4.4355289807933644</v>
      </c>
    </row>
    <row r="60" spans="3:37" x14ac:dyDescent="0.2">
      <c r="C60" s="646" t="s">
        <v>350</v>
      </c>
      <c r="D60" s="640">
        <v>0</v>
      </c>
      <c r="E60" s="640">
        <v>0</v>
      </c>
      <c r="F60" s="640">
        <v>0</v>
      </c>
      <c r="G60" s="640">
        <v>0</v>
      </c>
      <c r="H60" s="640">
        <v>0</v>
      </c>
      <c r="I60" s="640">
        <v>0</v>
      </c>
      <c r="J60" s="640">
        <v>0</v>
      </c>
      <c r="K60" s="640">
        <v>0</v>
      </c>
      <c r="L60" s="640">
        <v>0</v>
      </c>
      <c r="M60" s="640">
        <v>0</v>
      </c>
      <c r="N60" s="640">
        <v>0</v>
      </c>
      <c r="O60" s="640">
        <v>0</v>
      </c>
      <c r="P60" s="640">
        <v>0</v>
      </c>
      <c r="Q60" s="640">
        <v>0</v>
      </c>
      <c r="R60" s="640">
        <v>0</v>
      </c>
      <c r="S60" s="648">
        <v>0</v>
      </c>
      <c r="U60" s="646" t="s">
        <v>350</v>
      </c>
      <c r="V60" s="640">
        <v>0</v>
      </c>
      <c r="W60" s="640">
        <v>0</v>
      </c>
      <c r="X60" s="640">
        <v>0</v>
      </c>
      <c r="Y60" s="640">
        <v>0</v>
      </c>
      <c r="Z60" s="640">
        <v>0</v>
      </c>
      <c r="AA60" s="640">
        <v>0</v>
      </c>
      <c r="AB60" s="640">
        <v>0</v>
      </c>
      <c r="AC60" s="640">
        <v>0</v>
      </c>
      <c r="AD60" s="640">
        <v>0</v>
      </c>
      <c r="AE60" s="640">
        <v>0</v>
      </c>
      <c r="AF60" s="640">
        <v>0</v>
      </c>
      <c r="AG60" s="640">
        <v>0</v>
      </c>
      <c r="AH60" s="640">
        <v>0</v>
      </c>
      <c r="AI60" s="640">
        <v>0</v>
      </c>
      <c r="AJ60" s="640">
        <v>0</v>
      </c>
      <c r="AK60" s="648">
        <v>0</v>
      </c>
    </row>
    <row r="61" spans="3:37" x14ac:dyDescent="0.2">
      <c r="C61" s="646" t="s">
        <v>72</v>
      </c>
      <c r="D61" s="640">
        <v>0</v>
      </c>
      <c r="E61" s="640">
        <v>542.69343279650275</v>
      </c>
      <c r="F61" s="640">
        <v>-537.26649846853775</v>
      </c>
      <c r="G61" s="640">
        <v>0</v>
      </c>
      <c r="H61" s="640">
        <v>0</v>
      </c>
      <c r="I61" s="640">
        <v>0</v>
      </c>
      <c r="J61" s="640">
        <v>0</v>
      </c>
      <c r="K61" s="640">
        <v>0</v>
      </c>
      <c r="L61" s="640">
        <v>0</v>
      </c>
      <c r="M61" s="640">
        <v>0</v>
      </c>
      <c r="N61" s="640">
        <v>0</v>
      </c>
      <c r="O61" s="640">
        <v>0</v>
      </c>
      <c r="P61" s="640">
        <v>0</v>
      </c>
      <c r="Q61" s="640">
        <v>0</v>
      </c>
      <c r="R61" s="640">
        <v>0</v>
      </c>
      <c r="S61" s="648">
        <v>5.4269343279650002</v>
      </c>
      <c r="U61" s="646" t="s">
        <v>72</v>
      </c>
      <c r="V61" s="640">
        <v>0</v>
      </c>
      <c r="W61" s="640">
        <v>354.9229903070925</v>
      </c>
      <c r="X61" s="640">
        <v>-351.3737604040216</v>
      </c>
      <c r="Y61" s="640">
        <v>0</v>
      </c>
      <c r="Z61" s="640">
        <v>0</v>
      </c>
      <c r="AA61" s="640">
        <v>0</v>
      </c>
      <c r="AB61" s="640">
        <v>0</v>
      </c>
      <c r="AC61" s="640">
        <v>0</v>
      </c>
      <c r="AD61" s="640">
        <v>0</v>
      </c>
      <c r="AE61" s="640">
        <v>0</v>
      </c>
      <c r="AF61" s="640">
        <v>0</v>
      </c>
      <c r="AG61" s="640">
        <v>0</v>
      </c>
      <c r="AH61" s="640">
        <v>0</v>
      </c>
      <c r="AI61" s="640">
        <v>0</v>
      </c>
      <c r="AJ61" s="640">
        <v>0</v>
      </c>
      <c r="AK61" s="648">
        <v>3.5492299030709091</v>
      </c>
    </row>
    <row r="62" spans="3:37" x14ac:dyDescent="0.2">
      <c r="C62" s="646" t="s">
        <v>351</v>
      </c>
      <c r="D62" s="640">
        <v>0</v>
      </c>
      <c r="E62" s="640">
        <v>0</v>
      </c>
      <c r="F62" s="640">
        <v>0</v>
      </c>
      <c r="G62" s="640">
        <v>0</v>
      </c>
      <c r="H62" s="640">
        <v>0</v>
      </c>
      <c r="I62" s="640">
        <v>0</v>
      </c>
      <c r="J62" s="640">
        <v>32.75009012852766</v>
      </c>
      <c r="K62" s="640">
        <v>0</v>
      </c>
      <c r="L62" s="640">
        <v>-32.75009012852766</v>
      </c>
      <c r="M62" s="640">
        <v>0</v>
      </c>
      <c r="N62" s="640">
        <v>0</v>
      </c>
      <c r="O62" s="640">
        <v>0</v>
      </c>
      <c r="P62" s="640">
        <v>0</v>
      </c>
      <c r="Q62" s="640">
        <v>0</v>
      </c>
      <c r="R62" s="640">
        <v>0</v>
      </c>
      <c r="S62" s="648">
        <v>0</v>
      </c>
      <c r="U62" s="646" t="s">
        <v>351</v>
      </c>
      <c r="V62" s="640">
        <v>0</v>
      </c>
      <c r="W62" s="640">
        <v>0</v>
      </c>
      <c r="X62" s="640">
        <v>0</v>
      </c>
      <c r="Y62" s="640">
        <v>0</v>
      </c>
      <c r="Z62" s="640">
        <v>0</v>
      </c>
      <c r="AA62" s="640">
        <v>0</v>
      </c>
      <c r="AB62" s="640" t="e">
        <v>#VALUE!</v>
      </c>
      <c r="AC62" s="640">
        <v>0</v>
      </c>
      <c r="AD62" s="640">
        <v>-76.638831624044727</v>
      </c>
      <c r="AE62" s="640">
        <v>0</v>
      </c>
      <c r="AF62" s="640">
        <v>0</v>
      </c>
      <c r="AG62" s="640">
        <v>0</v>
      </c>
      <c r="AH62" s="640">
        <v>0</v>
      </c>
      <c r="AI62" s="640">
        <v>0</v>
      </c>
      <c r="AJ62" s="640">
        <v>0</v>
      </c>
      <c r="AK62" s="648">
        <v>-76.638831624044727</v>
      </c>
    </row>
    <row r="63" spans="3:37" x14ac:dyDescent="0.2">
      <c r="C63" s="646" t="s">
        <v>352</v>
      </c>
      <c r="D63" s="640">
        <v>0</v>
      </c>
      <c r="E63" s="640">
        <v>0</v>
      </c>
      <c r="F63" s="640">
        <v>0</v>
      </c>
      <c r="G63" s="640">
        <v>0</v>
      </c>
      <c r="H63" s="640">
        <v>0</v>
      </c>
      <c r="I63" s="640">
        <v>0</v>
      </c>
      <c r="J63" s="640">
        <v>0</v>
      </c>
      <c r="K63" s="640">
        <v>0</v>
      </c>
      <c r="L63" s="640">
        <v>0</v>
      </c>
      <c r="M63" s="640">
        <v>0</v>
      </c>
      <c r="N63" s="640">
        <v>0</v>
      </c>
      <c r="O63" s="640">
        <v>0</v>
      </c>
      <c r="P63" s="640">
        <v>0</v>
      </c>
      <c r="Q63" s="640">
        <v>0</v>
      </c>
      <c r="R63" s="640">
        <v>0</v>
      </c>
      <c r="S63" s="648">
        <v>0</v>
      </c>
      <c r="U63" s="646" t="s">
        <v>352</v>
      </c>
      <c r="V63" s="640">
        <v>0</v>
      </c>
      <c r="W63" s="640">
        <v>0</v>
      </c>
      <c r="X63" s="640">
        <v>0</v>
      </c>
      <c r="Y63" s="640">
        <v>0</v>
      </c>
      <c r="Z63" s="640">
        <v>0</v>
      </c>
      <c r="AA63" s="640">
        <v>0</v>
      </c>
      <c r="AB63" s="640">
        <v>0</v>
      </c>
      <c r="AC63" s="640">
        <v>0</v>
      </c>
      <c r="AD63" s="640">
        <v>-16.893833779014706</v>
      </c>
      <c r="AE63" s="640">
        <v>0</v>
      </c>
      <c r="AF63" s="640">
        <v>0</v>
      </c>
      <c r="AG63" s="640">
        <v>0</v>
      </c>
      <c r="AH63" s="640">
        <v>0</v>
      </c>
      <c r="AI63" s="640">
        <v>0</v>
      </c>
      <c r="AJ63" s="640">
        <v>0</v>
      </c>
      <c r="AK63" s="648">
        <v>-16.893833779014706</v>
      </c>
    </row>
    <row r="64" spans="3:37" x14ac:dyDescent="0.2">
      <c r="C64" s="646" t="s">
        <v>73</v>
      </c>
      <c r="D64" s="640">
        <v>0</v>
      </c>
      <c r="E64" s="640">
        <v>0</v>
      </c>
      <c r="F64" s="640">
        <v>0</v>
      </c>
      <c r="G64" s="640">
        <v>2.9190475912378031</v>
      </c>
      <c r="H64" s="640">
        <v>0</v>
      </c>
      <c r="I64" s="640">
        <v>0</v>
      </c>
      <c r="J64" s="640">
        <v>0</v>
      </c>
      <c r="K64" s="640">
        <v>3.3095777678433143E-2</v>
      </c>
      <c r="L64" s="640">
        <v>0</v>
      </c>
      <c r="M64" s="640">
        <v>5.9572399821179664E-2</v>
      </c>
      <c r="N64" s="640">
        <v>0</v>
      </c>
      <c r="O64" s="640">
        <v>0</v>
      </c>
      <c r="P64" s="640">
        <v>0.31236464325712177</v>
      </c>
      <c r="Q64" s="640">
        <v>0</v>
      </c>
      <c r="R64" s="640">
        <v>-2.3167044374903201</v>
      </c>
      <c r="S64" s="648">
        <v>1.0073759745042175</v>
      </c>
      <c r="U64" s="646" t="s">
        <v>73</v>
      </c>
      <c r="V64" s="640">
        <v>0</v>
      </c>
      <c r="W64" s="640">
        <v>0</v>
      </c>
      <c r="X64" s="640">
        <v>0</v>
      </c>
      <c r="Y64" s="640">
        <v>6.287229939138852</v>
      </c>
      <c r="Z64" s="640">
        <v>0</v>
      </c>
      <c r="AA64" s="640">
        <v>0</v>
      </c>
      <c r="AB64" s="640">
        <v>0</v>
      </c>
      <c r="AC64" s="640">
        <v>0.25073698660573684</v>
      </c>
      <c r="AD64" s="640">
        <v>0</v>
      </c>
      <c r="AE64" s="640">
        <v>1.1095111657303856</v>
      </c>
      <c r="AF64" s="640">
        <v>0</v>
      </c>
      <c r="AG64" s="640">
        <v>0</v>
      </c>
      <c r="AH64" s="640">
        <v>18.274688237257074</v>
      </c>
      <c r="AI64" s="640">
        <v>0</v>
      </c>
      <c r="AJ64" s="640">
        <v>-17.551589062401579</v>
      </c>
      <c r="AK64" s="648">
        <v>8.3705772663304678</v>
      </c>
    </row>
    <row r="65" spans="3:37" x14ac:dyDescent="0.2">
      <c r="C65" s="646" t="s">
        <v>353</v>
      </c>
      <c r="D65" s="640">
        <v>28.656195468750003</v>
      </c>
      <c r="E65" s="640">
        <v>-18.804327446398823</v>
      </c>
      <c r="F65" s="640">
        <v>24.594949618470011</v>
      </c>
      <c r="G65" s="640">
        <v>0</v>
      </c>
      <c r="H65" s="640">
        <v>0</v>
      </c>
      <c r="I65" s="640">
        <v>0</v>
      </c>
      <c r="J65" s="640">
        <v>0</v>
      </c>
      <c r="K65" s="640">
        <v>0</v>
      </c>
      <c r="L65" s="640">
        <v>0</v>
      </c>
      <c r="M65" s="640">
        <v>0</v>
      </c>
      <c r="N65" s="640">
        <v>0</v>
      </c>
      <c r="O65" s="640">
        <v>0</v>
      </c>
      <c r="P65" s="640">
        <v>0</v>
      </c>
      <c r="Q65" s="640">
        <v>0</v>
      </c>
      <c r="R65" s="640">
        <v>0</v>
      </c>
      <c r="S65" s="648">
        <v>34.446817640821195</v>
      </c>
      <c r="U65" s="646" t="s">
        <v>353</v>
      </c>
      <c r="V65" s="640">
        <v>3.6632235107421875</v>
      </c>
      <c r="W65" s="640">
        <v>-12.298081614140758</v>
      </c>
      <c r="X65" s="640">
        <v>16.085164362607916</v>
      </c>
      <c r="Y65" s="640">
        <v>0</v>
      </c>
      <c r="Z65" s="640">
        <v>0</v>
      </c>
      <c r="AA65" s="640">
        <v>0</v>
      </c>
      <c r="AB65" s="640">
        <v>0</v>
      </c>
      <c r="AC65" s="640">
        <v>0</v>
      </c>
      <c r="AD65" s="640">
        <v>0</v>
      </c>
      <c r="AE65" s="640">
        <v>0</v>
      </c>
      <c r="AF65" s="640">
        <v>0</v>
      </c>
      <c r="AG65" s="640">
        <v>0</v>
      </c>
      <c r="AH65" s="640">
        <v>0</v>
      </c>
      <c r="AI65" s="640">
        <v>0</v>
      </c>
      <c r="AJ65" s="640">
        <v>0</v>
      </c>
      <c r="AK65" s="648">
        <v>7.450306259209345</v>
      </c>
    </row>
    <row r="66" spans="3:37" x14ac:dyDescent="0.2">
      <c r="C66" s="646" t="s">
        <v>75</v>
      </c>
      <c r="D66" s="640">
        <v>11.144076015625002</v>
      </c>
      <c r="E66" s="640">
        <v>0</v>
      </c>
      <c r="F66" s="640">
        <v>18.451576715081096</v>
      </c>
      <c r="G66" s="640">
        <v>5.2652116849916704</v>
      </c>
      <c r="H66" s="640">
        <v>0</v>
      </c>
      <c r="I66" s="640">
        <v>0</v>
      </c>
      <c r="J66" s="640">
        <v>0</v>
      </c>
      <c r="K66" s="640">
        <v>0</v>
      </c>
      <c r="L66" s="640">
        <v>0</v>
      </c>
      <c r="M66" s="640">
        <v>0.10745329969370757</v>
      </c>
      <c r="N66" s="640">
        <v>0</v>
      </c>
      <c r="O66" s="640">
        <v>0</v>
      </c>
      <c r="P66" s="640">
        <v>33.522260759660846</v>
      </c>
      <c r="Q66" s="640">
        <v>0</v>
      </c>
      <c r="R66" s="640">
        <v>0</v>
      </c>
      <c r="S66" s="648">
        <v>68.490578475052317</v>
      </c>
      <c r="U66" s="646" t="s">
        <v>75</v>
      </c>
      <c r="V66" s="640">
        <v>4.4693862304687499</v>
      </c>
      <c r="W66" s="640">
        <v>0</v>
      </c>
      <c r="X66" s="640">
        <v>18.451576715081096</v>
      </c>
      <c r="Y66" s="640">
        <v>4.5667652369825715</v>
      </c>
      <c r="Z66" s="640">
        <v>0</v>
      </c>
      <c r="AA66" s="640">
        <v>0</v>
      </c>
      <c r="AB66" s="640">
        <v>0</v>
      </c>
      <c r="AC66" s="640">
        <v>0</v>
      </c>
      <c r="AD66" s="640">
        <v>0</v>
      </c>
      <c r="AE66" s="640">
        <v>0.8058997477028067</v>
      </c>
      <c r="AF66" s="640">
        <v>0</v>
      </c>
      <c r="AG66" s="640">
        <v>0</v>
      </c>
      <c r="AH66" s="640">
        <v>33.775215305115388</v>
      </c>
      <c r="AI66" s="640">
        <v>0</v>
      </c>
      <c r="AJ66" s="640">
        <v>0</v>
      </c>
      <c r="AK66" s="648">
        <v>62.068843235350613</v>
      </c>
    </row>
    <row r="67" spans="3:37" x14ac:dyDescent="0.2">
      <c r="C67" s="646" t="s">
        <v>76</v>
      </c>
      <c r="D67" s="640">
        <v>0</v>
      </c>
      <c r="E67" s="640">
        <v>0</v>
      </c>
      <c r="F67" s="640">
        <v>0</v>
      </c>
      <c r="G67" s="640">
        <v>3.8313802109978718</v>
      </c>
      <c r="H67" s="640">
        <v>0</v>
      </c>
      <c r="I67" s="640">
        <v>0</v>
      </c>
      <c r="J67" s="640">
        <v>0</v>
      </c>
      <c r="K67" s="640">
        <v>0</v>
      </c>
      <c r="L67" s="640">
        <v>0</v>
      </c>
      <c r="M67" s="640">
        <v>7.8191432877507586E-2</v>
      </c>
      <c r="N67" s="640">
        <v>0</v>
      </c>
      <c r="O67" s="640">
        <v>0</v>
      </c>
      <c r="P67" s="640">
        <v>42.744249460921445</v>
      </c>
      <c r="Q67" s="640">
        <v>2.9948048478615572</v>
      </c>
      <c r="R67" s="640">
        <v>0</v>
      </c>
      <c r="S67" s="648">
        <v>49.648625952658385</v>
      </c>
      <c r="U67" s="646" t="s">
        <v>76</v>
      </c>
      <c r="V67" s="640">
        <v>0</v>
      </c>
      <c r="W67" s="640">
        <v>0</v>
      </c>
      <c r="X67" s="640">
        <v>0</v>
      </c>
      <c r="Y67" s="640">
        <v>2.4425535766751323</v>
      </c>
      <c r="Z67" s="640">
        <v>0</v>
      </c>
      <c r="AA67" s="640">
        <v>0</v>
      </c>
      <c r="AB67" s="640">
        <v>0</v>
      </c>
      <c r="AC67" s="640">
        <v>0</v>
      </c>
      <c r="AD67" s="640">
        <v>0</v>
      </c>
      <c r="AE67" s="640">
        <v>0.43103886647208217</v>
      </c>
      <c r="AF67" s="640">
        <v>0</v>
      </c>
      <c r="AG67" s="640">
        <v>0</v>
      </c>
      <c r="AH67" s="640">
        <v>44.348699545879278</v>
      </c>
      <c r="AI67" s="640">
        <v>5.6786643797858867</v>
      </c>
      <c r="AJ67" s="640">
        <v>0</v>
      </c>
      <c r="AK67" s="648">
        <v>52.900956368812388</v>
      </c>
    </row>
    <row r="68" spans="3:37" x14ac:dyDescent="0.2">
      <c r="C68" s="644" t="s">
        <v>77</v>
      </c>
      <c r="D68" s="645">
        <v>42.627057125400256</v>
      </c>
      <c r="E68" s="645">
        <v>523.88910535010393</v>
      </c>
      <c r="F68" s="645">
        <v>-486.25029902863446</v>
      </c>
      <c r="G68" s="645">
        <v>44.598587346134217</v>
      </c>
      <c r="H68" s="645">
        <v>1075.0000000000002</v>
      </c>
      <c r="I68" s="645">
        <v>224.13674723416887</v>
      </c>
      <c r="J68" s="645">
        <v>83.541447222318993</v>
      </c>
      <c r="K68" s="645">
        <v>19.633041740965588</v>
      </c>
      <c r="L68" s="645">
        <v>-30.296984724016522</v>
      </c>
      <c r="M68" s="645">
        <v>-5.5459776813090693</v>
      </c>
      <c r="N68" s="645">
        <v>0</v>
      </c>
      <c r="O68" s="645">
        <v>5.2372199657233862</v>
      </c>
      <c r="P68" s="645">
        <v>-532.72264320989325</v>
      </c>
      <c r="Q68" s="645">
        <v>-35.594581328511254</v>
      </c>
      <c r="R68" s="645">
        <v>-2.3167044374903201</v>
      </c>
      <c r="S68" s="645">
        <v>925.93601557496061</v>
      </c>
      <c r="U68" s="644" t="s">
        <v>77</v>
      </c>
      <c r="V68" s="645">
        <v>8.7589246466696284</v>
      </c>
      <c r="W68" s="645">
        <v>342.62490869295175</v>
      </c>
      <c r="X68" s="645">
        <v>-312.73098258361676</v>
      </c>
      <c r="Y68" s="645">
        <v>53.445107496027774</v>
      </c>
      <c r="Z68" s="645">
        <v>994.39393939393949</v>
      </c>
      <c r="AA68" s="645">
        <v>248.70674723416883</v>
      </c>
      <c r="AB68" s="645">
        <v>93.928049103898687</v>
      </c>
      <c r="AC68" s="645">
        <v>32.303919388897036</v>
      </c>
      <c r="AD68" s="645">
        <v>-91.079559998548305</v>
      </c>
      <c r="AE68" s="645">
        <v>-26.781463608290892</v>
      </c>
      <c r="AF68" s="645">
        <v>0</v>
      </c>
      <c r="AG68" s="645">
        <v>11.393749064396903</v>
      </c>
      <c r="AH68" s="645">
        <v>-515.37291498548086</v>
      </c>
      <c r="AI68" s="645">
        <v>-67.545290041896138</v>
      </c>
      <c r="AJ68" s="645">
        <v>-15.176589062401579</v>
      </c>
      <c r="AK68" s="645">
        <v>756.86854474071572</v>
      </c>
    </row>
    <row r="69" spans="3:37" x14ac:dyDescent="0.2">
      <c r="C69" s="634"/>
      <c r="D69" s="634">
        <v>0</v>
      </c>
      <c r="E69" s="634">
        <v>0</v>
      </c>
      <c r="F69" s="634">
        <v>0</v>
      </c>
      <c r="G69" s="634">
        <v>0</v>
      </c>
      <c r="H69" s="634">
        <v>0</v>
      </c>
      <c r="I69" s="634">
        <v>0</v>
      </c>
      <c r="J69" s="634">
        <v>0</v>
      </c>
      <c r="K69" s="634">
        <v>0</v>
      </c>
      <c r="L69" s="634">
        <v>0</v>
      </c>
      <c r="M69" s="634">
        <v>0</v>
      </c>
      <c r="N69" s="634">
        <v>0</v>
      </c>
      <c r="O69" s="634">
        <v>0</v>
      </c>
      <c r="P69" s="634">
        <v>0</v>
      </c>
      <c r="Q69" s="634">
        <v>0</v>
      </c>
      <c r="R69" s="634">
        <v>0</v>
      </c>
      <c r="S69" s="634">
        <v>0</v>
      </c>
      <c r="U69" s="634"/>
      <c r="V69" s="634">
        <v>0</v>
      </c>
      <c r="W69" s="634">
        <v>0</v>
      </c>
      <c r="X69" s="634">
        <v>0</v>
      </c>
      <c r="Y69" s="634">
        <v>0</v>
      </c>
      <c r="Z69" s="634">
        <v>0</v>
      </c>
      <c r="AA69" s="634">
        <v>0</v>
      </c>
      <c r="AB69" s="634">
        <v>0</v>
      </c>
      <c r="AC69" s="634">
        <v>0</v>
      </c>
      <c r="AD69" s="634">
        <v>0</v>
      </c>
      <c r="AE69" s="634">
        <v>0</v>
      </c>
      <c r="AF69" s="634">
        <v>0</v>
      </c>
      <c r="AG69" s="634">
        <v>0</v>
      </c>
      <c r="AH69" s="634">
        <v>0</v>
      </c>
      <c r="AI69" s="634">
        <v>0</v>
      </c>
      <c r="AJ69" s="634">
        <v>0</v>
      </c>
      <c r="AK69" s="634">
        <v>0</v>
      </c>
    </row>
    <row r="70" spans="3:37" x14ac:dyDescent="0.2">
      <c r="C70" s="646" t="s">
        <v>78</v>
      </c>
      <c r="D70" s="640">
        <v>6.2002081056415257</v>
      </c>
      <c r="E70" s="640">
        <v>0</v>
      </c>
      <c r="F70" s="640">
        <v>23.255205938178186</v>
      </c>
      <c r="G70" s="640">
        <v>101.12865293850786</v>
      </c>
      <c r="H70" s="640">
        <v>0</v>
      </c>
      <c r="I70" s="640">
        <v>0</v>
      </c>
      <c r="J70" s="640">
        <v>19.565687098295676</v>
      </c>
      <c r="K70" s="640">
        <v>1.7744589215827917</v>
      </c>
      <c r="L70" s="640">
        <v>0.87520713476562495</v>
      </c>
      <c r="M70" s="640">
        <v>2.0825226770622867</v>
      </c>
      <c r="N70" s="640">
        <v>0</v>
      </c>
      <c r="O70" s="640">
        <v>3.8067188808088001E-4</v>
      </c>
      <c r="P70" s="640">
        <v>109.76937284793219</v>
      </c>
      <c r="Q70" s="640">
        <v>16.103287978552984</v>
      </c>
      <c r="R70" s="640">
        <v>0.32868640136718752</v>
      </c>
      <c r="S70" s="648">
        <v>281.08367071377444</v>
      </c>
      <c r="U70" s="646" t="s">
        <v>78</v>
      </c>
      <c r="V70" s="640">
        <v>1.01942505552247</v>
      </c>
      <c r="W70" s="640">
        <v>0</v>
      </c>
      <c r="X70" s="640">
        <v>12.936117077553076</v>
      </c>
      <c r="Y70" s="640">
        <v>67.349539979102474</v>
      </c>
      <c r="Z70" s="640">
        <v>0</v>
      </c>
      <c r="AA70" s="640">
        <v>0</v>
      </c>
      <c r="AB70" s="640">
        <v>16.313565187348217</v>
      </c>
      <c r="AC70" s="640">
        <v>5.7022810919996436</v>
      </c>
      <c r="AD70" s="640">
        <v>2.2588896484375001</v>
      </c>
      <c r="AE70" s="640">
        <v>11.903885554581411</v>
      </c>
      <c r="AF70" s="640">
        <v>0</v>
      </c>
      <c r="AG70" s="640">
        <v>3.8067188808088001E-4</v>
      </c>
      <c r="AH70" s="640">
        <v>135.13428233654639</v>
      </c>
      <c r="AI70" s="640">
        <v>21.466888656055119</v>
      </c>
      <c r="AJ70" s="640">
        <v>5.7972734375000003</v>
      </c>
      <c r="AK70" s="648">
        <v>279.88252869653439</v>
      </c>
    </row>
    <row r="71" spans="3:37" x14ac:dyDescent="0.2">
      <c r="C71" s="646" t="s">
        <v>79</v>
      </c>
      <c r="D71" s="640">
        <v>0</v>
      </c>
      <c r="E71" s="640">
        <v>0</v>
      </c>
      <c r="F71" s="640">
        <v>291.38745921478562</v>
      </c>
      <c r="G71" s="640">
        <v>24.020829745272028</v>
      </c>
      <c r="H71" s="640">
        <v>0</v>
      </c>
      <c r="I71" s="640">
        <v>0</v>
      </c>
      <c r="J71" s="640">
        <v>0</v>
      </c>
      <c r="K71" s="640">
        <v>0</v>
      </c>
      <c r="L71" s="640">
        <v>28.280041762715456</v>
      </c>
      <c r="M71" s="640">
        <v>0.49022101520963324</v>
      </c>
      <c r="N71" s="640">
        <v>0</v>
      </c>
      <c r="O71" s="640">
        <v>0</v>
      </c>
      <c r="P71" s="640">
        <v>46.654707564142761</v>
      </c>
      <c r="Q71" s="640">
        <v>0</v>
      </c>
      <c r="R71" s="640">
        <v>1.1135281120019407</v>
      </c>
      <c r="S71" s="648">
        <v>391.94678741412741</v>
      </c>
      <c r="U71" s="646" t="s">
        <v>79</v>
      </c>
      <c r="V71" s="640">
        <v>0</v>
      </c>
      <c r="W71" s="640">
        <v>0</v>
      </c>
      <c r="X71" s="640">
        <v>152.5395921226515</v>
      </c>
      <c r="Y71" s="640">
        <v>18.931026789455995</v>
      </c>
      <c r="Z71" s="640">
        <v>0</v>
      </c>
      <c r="AA71" s="640">
        <v>0</v>
      </c>
      <c r="AB71" s="640">
        <v>0</v>
      </c>
      <c r="AC71" s="640">
        <v>0</v>
      </c>
      <c r="AD71" s="640">
        <v>49.546406871337183</v>
      </c>
      <c r="AE71" s="640">
        <v>3.3407694334334113</v>
      </c>
      <c r="AF71" s="640">
        <v>0</v>
      </c>
      <c r="AG71" s="640">
        <v>0</v>
      </c>
      <c r="AH71" s="640">
        <v>60.923926311544285</v>
      </c>
      <c r="AI71" s="640">
        <v>0</v>
      </c>
      <c r="AJ71" s="640">
        <v>2.0956611258816777</v>
      </c>
      <c r="AK71" s="648">
        <v>287.37738265430403</v>
      </c>
    </row>
    <row r="72" spans="3:37" x14ac:dyDescent="0.2">
      <c r="C72" s="646" t="s">
        <v>80</v>
      </c>
      <c r="D72" s="640">
        <v>0</v>
      </c>
      <c r="E72" s="640">
        <v>0</v>
      </c>
      <c r="F72" s="640">
        <v>24.366054746482678</v>
      </c>
      <c r="G72" s="640">
        <v>88.830627596834503</v>
      </c>
      <c r="H72" s="640">
        <v>0</v>
      </c>
      <c r="I72" s="640">
        <v>0</v>
      </c>
      <c r="J72" s="640">
        <v>86.298448588028648</v>
      </c>
      <c r="K72" s="640">
        <v>0</v>
      </c>
      <c r="L72" s="640">
        <v>0</v>
      </c>
      <c r="M72" s="640">
        <v>1.8128699509558064</v>
      </c>
      <c r="N72" s="640">
        <v>49.305914152356948</v>
      </c>
      <c r="O72" s="640">
        <v>1.9759423218950023</v>
      </c>
      <c r="P72" s="640">
        <v>183.08170703950353</v>
      </c>
      <c r="Q72" s="640">
        <v>15.629207143582217</v>
      </c>
      <c r="R72" s="640">
        <v>0</v>
      </c>
      <c r="S72" s="648">
        <v>451.3007715396393</v>
      </c>
      <c r="U72" s="646" t="s">
        <v>80</v>
      </c>
      <c r="V72" s="640">
        <v>0</v>
      </c>
      <c r="W72" s="640">
        <v>0</v>
      </c>
      <c r="X72" s="640">
        <v>1.5212022418020299</v>
      </c>
      <c r="Y72" s="640">
        <v>34.748278571527685</v>
      </c>
      <c r="Z72" s="640">
        <v>0</v>
      </c>
      <c r="AA72" s="640">
        <v>0</v>
      </c>
      <c r="AB72" s="640">
        <v>75.181836567082826</v>
      </c>
      <c r="AC72" s="640">
        <v>0</v>
      </c>
      <c r="AD72" s="640">
        <v>0</v>
      </c>
      <c r="AE72" s="640">
        <v>6.1320491596813564</v>
      </c>
      <c r="AF72" s="640">
        <v>62.645467095100628</v>
      </c>
      <c r="AG72" s="640">
        <v>2.6978117080871646</v>
      </c>
      <c r="AH72" s="640">
        <v>158.40967854762758</v>
      </c>
      <c r="AI72" s="640">
        <v>35.928967439236224</v>
      </c>
      <c r="AJ72" s="640">
        <v>0</v>
      </c>
      <c r="AK72" s="648">
        <v>377.26529133014549</v>
      </c>
    </row>
    <row r="73" spans="3:37" x14ac:dyDescent="0.2">
      <c r="C73" s="646" t="s">
        <v>81</v>
      </c>
      <c r="D73" s="640">
        <v>0</v>
      </c>
      <c r="E73" s="640">
        <v>0</v>
      </c>
      <c r="F73" s="640">
        <v>9.1434406229634497</v>
      </c>
      <c r="G73" s="640">
        <v>62.772902131190932</v>
      </c>
      <c r="H73" s="640">
        <v>0</v>
      </c>
      <c r="I73" s="640">
        <v>0</v>
      </c>
      <c r="J73" s="640">
        <v>3.3792389882828151</v>
      </c>
      <c r="K73" s="640">
        <v>2.5053216415896862E-2</v>
      </c>
      <c r="L73" s="640">
        <v>0</v>
      </c>
      <c r="M73" s="640">
        <v>1.2810796353304272</v>
      </c>
      <c r="N73" s="640">
        <v>8.5204805498073064</v>
      </c>
      <c r="O73" s="640">
        <v>0.77988306826531983</v>
      </c>
      <c r="P73" s="640">
        <v>134.9475862077569</v>
      </c>
      <c r="Q73" s="640">
        <v>3.8620862063760555</v>
      </c>
      <c r="R73" s="640">
        <v>0</v>
      </c>
      <c r="S73" s="648">
        <v>224.71175062638912</v>
      </c>
      <c r="U73" s="646" t="s">
        <v>81</v>
      </c>
      <c r="V73" s="640">
        <v>0</v>
      </c>
      <c r="W73" s="640">
        <v>0</v>
      </c>
      <c r="X73" s="640">
        <v>2.5747324311170368</v>
      </c>
      <c r="Y73" s="640">
        <v>28.050706446538126</v>
      </c>
      <c r="Z73" s="640">
        <v>0</v>
      </c>
      <c r="AA73" s="640">
        <v>0</v>
      </c>
      <c r="AB73" s="640">
        <v>7.5276105699702738</v>
      </c>
      <c r="AC73" s="640">
        <v>2.5053216415896862E-2</v>
      </c>
      <c r="AD73" s="640">
        <v>0</v>
      </c>
      <c r="AE73" s="640">
        <v>4.9501246670361398</v>
      </c>
      <c r="AF73" s="640">
        <v>14.347345485370148</v>
      </c>
      <c r="AG73" s="640">
        <v>1.6839822655905561</v>
      </c>
      <c r="AH73" s="640">
        <v>120.05488498756245</v>
      </c>
      <c r="AI73" s="640">
        <v>10.149433946604795</v>
      </c>
      <c r="AJ73" s="640">
        <v>0</v>
      </c>
      <c r="AK73" s="648">
        <v>189.36387401620541</v>
      </c>
    </row>
    <row r="74" spans="3:37" x14ac:dyDescent="0.2">
      <c r="C74" s="646" t="s">
        <v>82</v>
      </c>
      <c r="D74" s="640">
        <v>0</v>
      </c>
      <c r="E74" s="640">
        <v>0</v>
      </c>
      <c r="F74" s="640">
        <v>31.378359933180146</v>
      </c>
      <c r="G74" s="640">
        <v>1.761464702880946</v>
      </c>
      <c r="H74" s="640">
        <v>0</v>
      </c>
      <c r="I74" s="640">
        <v>0</v>
      </c>
      <c r="J74" s="640">
        <v>2.5129576329044134</v>
      </c>
      <c r="K74" s="640">
        <v>0</v>
      </c>
      <c r="L74" s="640">
        <v>2.7366524531426237</v>
      </c>
      <c r="M74" s="640">
        <v>3.5948259242468285E-2</v>
      </c>
      <c r="N74" s="640">
        <v>0</v>
      </c>
      <c r="O74" s="640">
        <v>7.8328904674825409E-2</v>
      </c>
      <c r="P74" s="640">
        <v>7.1029233048090266</v>
      </c>
      <c r="Q74" s="640">
        <v>0</v>
      </c>
      <c r="R74" s="640">
        <v>0</v>
      </c>
      <c r="S74" s="648">
        <v>45.606635190834446</v>
      </c>
      <c r="U74" s="646" t="s">
        <v>82</v>
      </c>
      <c r="V74" s="640">
        <v>0</v>
      </c>
      <c r="W74" s="640">
        <v>0</v>
      </c>
      <c r="X74" s="640">
        <v>18.696617357576709</v>
      </c>
      <c r="Y74" s="640">
        <v>1.906896096641761</v>
      </c>
      <c r="Z74" s="640">
        <v>0</v>
      </c>
      <c r="AA74" s="640">
        <v>0</v>
      </c>
      <c r="AB74" s="640">
        <v>2.5129576329044134</v>
      </c>
      <c r="AC74" s="640">
        <v>0</v>
      </c>
      <c r="AD74" s="640">
        <v>18.28747352858748</v>
      </c>
      <c r="AE74" s="640">
        <v>0.33651107587795781</v>
      </c>
      <c r="AF74" s="640">
        <v>0</v>
      </c>
      <c r="AG74" s="640">
        <v>0.96290247555165809</v>
      </c>
      <c r="AH74" s="640">
        <v>7.1739705565638916</v>
      </c>
      <c r="AI74" s="640">
        <v>0</v>
      </c>
      <c r="AJ74" s="640">
        <v>0.24940873791150003</v>
      </c>
      <c r="AK74" s="648">
        <v>50.12673746161537</v>
      </c>
    </row>
    <row r="75" spans="3:37" x14ac:dyDescent="0.2">
      <c r="C75" s="646" t="s">
        <v>354</v>
      </c>
      <c r="D75" s="640">
        <v>0</v>
      </c>
      <c r="E75" s="640">
        <v>0</v>
      </c>
      <c r="F75" s="640">
        <v>0</v>
      </c>
      <c r="G75" s="640">
        <v>0</v>
      </c>
      <c r="H75" s="640">
        <v>0</v>
      </c>
      <c r="I75" s="640">
        <v>0</v>
      </c>
      <c r="J75" s="640">
        <v>0</v>
      </c>
      <c r="K75" s="640">
        <v>0</v>
      </c>
      <c r="L75" s="640">
        <v>0</v>
      </c>
      <c r="M75" s="640">
        <v>0</v>
      </c>
      <c r="N75" s="640">
        <v>0</v>
      </c>
      <c r="O75" s="640">
        <v>0</v>
      </c>
      <c r="P75" s="640">
        <v>0.22499999999999998</v>
      </c>
      <c r="Q75" s="640">
        <v>0</v>
      </c>
      <c r="R75" s="640">
        <v>0</v>
      </c>
      <c r="S75" s="648">
        <v>0.22499999999999998</v>
      </c>
      <c r="U75" s="646" t="s">
        <v>354</v>
      </c>
      <c r="V75" s="640">
        <v>0</v>
      </c>
      <c r="W75" s="640">
        <v>0</v>
      </c>
      <c r="X75" s="640">
        <v>0</v>
      </c>
      <c r="Y75" s="640">
        <v>0</v>
      </c>
      <c r="Z75" s="640">
        <v>0</v>
      </c>
      <c r="AA75" s="640">
        <v>0</v>
      </c>
      <c r="AB75" s="640">
        <v>0</v>
      </c>
      <c r="AC75" s="640">
        <v>0</v>
      </c>
      <c r="AD75" s="640">
        <v>0</v>
      </c>
      <c r="AE75" s="640">
        <v>0</v>
      </c>
      <c r="AF75" s="640">
        <v>0</v>
      </c>
      <c r="AG75" s="640">
        <v>0</v>
      </c>
      <c r="AH75" s="640">
        <v>1.2</v>
      </c>
      <c r="AI75" s="640">
        <v>0</v>
      </c>
      <c r="AJ75" s="640">
        <v>0</v>
      </c>
      <c r="AK75" s="648">
        <v>1.2</v>
      </c>
    </row>
    <row r="76" spans="3:37" x14ac:dyDescent="0.2">
      <c r="C76" s="644" t="s">
        <v>83</v>
      </c>
      <c r="D76" s="645">
        <v>6.2002081056415257</v>
      </c>
      <c r="E76" s="645">
        <v>0</v>
      </c>
      <c r="F76" s="645">
        <v>379.53052045559002</v>
      </c>
      <c r="G76" s="645">
        <v>278.51447711468631</v>
      </c>
      <c r="H76" s="645">
        <v>0</v>
      </c>
      <c r="I76" s="645">
        <v>0</v>
      </c>
      <c r="J76" s="645">
        <v>111.75633230751156</v>
      </c>
      <c r="K76" s="645">
        <v>1.7995121379986885</v>
      </c>
      <c r="L76" s="645">
        <v>31.891901350623705</v>
      </c>
      <c r="M76" s="645">
        <v>5.7026415378006226</v>
      </c>
      <c r="N76" s="645">
        <v>57.826394702164251</v>
      </c>
      <c r="O76" s="645">
        <v>2.8345349667232282</v>
      </c>
      <c r="P76" s="645">
        <v>481.78129696414442</v>
      </c>
      <c r="Q76" s="645">
        <v>35.594581328511254</v>
      </c>
      <c r="R76" s="645">
        <v>1.4422145133691282</v>
      </c>
      <c r="S76" s="645">
        <v>1394.8746154847647</v>
      </c>
      <c r="U76" s="644" t="s">
        <v>83</v>
      </c>
      <c r="V76" s="645">
        <v>1.01942505552247</v>
      </c>
      <c r="W76" s="645">
        <v>0</v>
      </c>
      <c r="X76" s="645">
        <v>188.26826123070035</v>
      </c>
      <c r="Y76" s="645">
        <v>150.98644788326604</v>
      </c>
      <c r="Z76" s="645">
        <v>0</v>
      </c>
      <c r="AA76" s="645">
        <v>0</v>
      </c>
      <c r="AB76" s="645">
        <v>101.53596995730574</v>
      </c>
      <c r="AC76" s="645">
        <v>5.727334308415541</v>
      </c>
      <c r="AD76" s="645">
        <v>70.092770048362169</v>
      </c>
      <c r="AE76" s="645">
        <v>26.663339890610278</v>
      </c>
      <c r="AF76" s="645">
        <v>76.992812580470769</v>
      </c>
      <c r="AG76" s="645">
        <v>5.3450771211174599</v>
      </c>
      <c r="AH76" s="645">
        <v>482.89674273984457</v>
      </c>
      <c r="AI76" s="645">
        <v>67.545290041896138</v>
      </c>
      <c r="AJ76" s="645">
        <v>8.1423433012931774</v>
      </c>
      <c r="AK76" s="645">
        <v>1185.2158141588047</v>
      </c>
    </row>
    <row r="77" spans="3:37" x14ac:dyDescent="0.2">
      <c r="C77" s="639" t="s">
        <v>84</v>
      </c>
      <c r="D77" s="640">
        <v>0</v>
      </c>
      <c r="E77" s="640">
        <v>0</v>
      </c>
      <c r="F77" s="640">
        <v>114.78425758185857</v>
      </c>
      <c r="G77" s="640">
        <v>12.028714359769619</v>
      </c>
      <c r="H77" s="640">
        <v>0</v>
      </c>
      <c r="I77" s="640">
        <v>0</v>
      </c>
      <c r="J77" s="640">
        <v>0</v>
      </c>
      <c r="K77" s="640">
        <v>0</v>
      </c>
      <c r="L77" s="640">
        <v>0</v>
      </c>
      <c r="M77" s="640">
        <v>0</v>
      </c>
      <c r="N77" s="640">
        <v>0</v>
      </c>
      <c r="O77" s="640">
        <v>0</v>
      </c>
      <c r="P77" s="640">
        <v>0</v>
      </c>
      <c r="Q77" s="640">
        <v>0</v>
      </c>
      <c r="R77" s="640">
        <v>0.87448992412119186</v>
      </c>
      <c r="S77" s="648">
        <v>127.68746186574938</v>
      </c>
      <c r="U77" s="639" t="s">
        <v>84</v>
      </c>
      <c r="V77" s="640">
        <v>0</v>
      </c>
      <c r="W77" s="640">
        <v>0</v>
      </c>
      <c r="X77" s="640">
        <v>99.887922338380434</v>
      </c>
      <c r="Y77" s="640">
        <v>1.4617397027131513</v>
      </c>
      <c r="Z77" s="640">
        <v>0</v>
      </c>
      <c r="AA77" s="640">
        <v>0</v>
      </c>
      <c r="AB77" s="640">
        <v>0</v>
      </c>
      <c r="AC77" s="640">
        <v>0</v>
      </c>
      <c r="AD77" s="640">
        <v>9.6859590362548822</v>
      </c>
      <c r="AE77" s="640">
        <v>0</v>
      </c>
      <c r="AF77" s="640">
        <v>0</v>
      </c>
      <c r="AG77" s="640">
        <v>0</v>
      </c>
      <c r="AH77" s="640">
        <v>0</v>
      </c>
      <c r="AI77" s="640">
        <v>0</v>
      </c>
      <c r="AJ77" s="640">
        <v>7.0342457611083988</v>
      </c>
      <c r="AK77" s="648">
        <v>118.06986683845686</v>
      </c>
    </row>
    <row r="78" spans="3:37" x14ac:dyDescent="0.2">
      <c r="C78" s="644" t="s">
        <v>85</v>
      </c>
      <c r="D78" s="645">
        <v>6.2002081056415257</v>
      </c>
      <c r="E78" s="645">
        <v>0</v>
      </c>
      <c r="F78" s="645">
        <v>494.3147780374486</v>
      </c>
      <c r="G78" s="645">
        <v>290.54319147445591</v>
      </c>
      <c r="H78" s="645">
        <v>0</v>
      </c>
      <c r="I78" s="645">
        <v>0</v>
      </c>
      <c r="J78" s="645">
        <v>111.75633230751156</v>
      </c>
      <c r="K78" s="645">
        <v>1.7995121379986885</v>
      </c>
      <c r="L78" s="645">
        <v>31.891901350623705</v>
      </c>
      <c r="M78" s="645">
        <v>5.7026415378006226</v>
      </c>
      <c r="N78" s="645">
        <v>57.826394702164251</v>
      </c>
      <c r="O78" s="645">
        <v>2.8345349667232282</v>
      </c>
      <c r="P78" s="645">
        <v>481.78129696414442</v>
      </c>
      <c r="Q78" s="645">
        <v>35.594581328511254</v>
      </c>
      <c r="R78" s="645">
        <v>2.3167044374903201</v>
      </c>
      <c r="S78" s="645">
        <v>1522.5620773505141</v>
      </c>
      <c r="U78" s="644" t="s">
        <v>85</v>
      </c>
      <c r="V78" s="645">
        <v>1.01942505552247</v>
      </c>
      <c r="W78" s="645">
        <v>0</v>
      </c>
      <c r="X78" s="645">
        <v>288.15618356908084</v>
      </c>
      <c r="Y78" s="645">
        <v>152.44818758597918</v>
      </c>
      <c r="Z78" s="645">
        <v>0</v>
      </c>
      <c r="AA78" s="645">
        <v>0</v>
      </c>
      <c r="AB78" s="645">
        <v>101.53596995730574</v>
      </c>
      <c r="AC78" s="645">
        <v>5.727334308415541</v>
      </c>
      <c r="AD78" s="645">
        <v>79.778729084617055</v>
      </c>
      <c r="AE78" s="645">
        <v>26.663339890610278</v>
      </c>
      <c r="AF78" s="645">
        <v>76.992812580470769</v>
      </c>
      <c r="AG78" s="645">
        <v>5.3450771211174599</v>
      </c>
      <c r="AH78" s="645">
        <v>482.89674273984457</v>
      </c>
      <c r="AI78" s="645">
        <v>67.545290041896138</v>
      </c>
      <c r="AJ78" s="645">
        <v>15.176589062401575</v>
      </c>
      <c r="AK78" s="645">
        <v>1303.2856809972616</v>
      </c>
    </row>
    <row r="79" spans="3:37" x14ac:dyDescent="0.2">
      <c r="C79" s="634"/>
      <c r="D79" s="634"/>
      <c r="E79" s="634"/>
      <c r="F79" s="634"/>
      <c r="G79" s="634"/>
      <c r="H79" s="634"/>
      <c r="I79" s="634"/>
      <c r="J79" s="634"/>
      <c r="K79" s="634"/>
      <c r="L79" s="634"/>
      <c r="M79" s="634"/>
      <c r="N79" s="634"/>
      <c r="O79" s="634"/>
      <c r="P79" s="634"/>
      <c r="Q79" s="634"/>
      <c r="R79" s="634"/>
      <c r="S79" s="634"/>
      <c r="U79" s="634"/>
      <c r="V79" s="634"/>
      <c r="W79" s="634"/>
      <c r="X79" s="634"/>
      <c r="Y79" s="634"/>
      <c r="Z79" s="634"/>
      <c r="AA79" s="634"/>
      <c r="AB79" s="634"/>
      <c r="AC79" s="634"/>
      <c r="AD79" s="634"/>
      <c r="AE79" s="634"/>
      <c r="AF79" s="634"/>
      <c r="AG79" s="634"/>
      <c r="AH79" s="634"/>
      <c r="AI79" s="634"/>
      <c r="AJ79" s="634"/>
      <c r="AK79" s="634"/>
    </row>
    <row r="80" spans="3:37" ht="22.5" x14ac:dyDescent="0.3">
      <c r="C80" s="759" t="s">
        <v>359</v>
      </c>
      <c r="D80" s="759"/>
      <c r="E80" s="759"/>
      <c r="F80" s="759"/>
      <c r="G80" s="759"/>
      <c r="H80" s="759"/>
      <c r="I80" s="759"/>
      <c r="J80" s="759"/>
      <c r="K80" s="759"/>
      <c r="L80" s="759"/>
      <c r="M80" s="759"/>
      <c r="N80" s="759"/>
      <c r="O80" s="759"/>
      <c r="P80" s="759"/>
      <c r="Q80" s="759"/>
      <c r="R80" s="759"/>
      <c r="S80" s="759"/>
      <c r="U80" s="759" t="s">
        <v>359</v>
      </c>
      <c r="V80" s="759"/>
      <c r="W80" s="759"/>
      <c r="X80" s="759"/>
      <c r="Y80" s="759"/>
      <c r="Z80" s="759"/>
      <c r="AA80" s="759"/>
      <c r="AB80" s="759"/>
      <c r="AC80" s="759"/>
      <c r="AD80" s="759"/>
      <c r="AE80" s="759"/>
      <c r="AF80" s="759"/>
      <c r="AG80" s="759"/>
      <c r="AH80" s="759"/>
      <c r="AI80" s="759"/>
      <c r="AJ80" s="759"/>
      <c r="AK80" s="759"/>
    </row>
    <row r="81" spans="3:37" x14ac:dyDescent="0.2">
      <c r="C81" s="634"/>
      <c r="D81" s="634"/>
      <c r="E81" s="634"/>
      <c r="F81" s="634"/>
      <c r="G81" s="634"/>
      <c r="H81" s="634"/>
      <c r="I81" s="634"/>
      <c r="J81" s="634"/>
      <c r="K81" s="634"/>
      <c r="L81" s="634"/>
      <c r="M81" s="634"/>
      <c r="N81" s="634"/>
      <c r="O81" s="634"/>
      <c r="P81" s="634"/>
      <c r="Q81" s="634"/>
      <c r="R81" s="634"/>
      <c r="S81" s="634"/>
      <c r="U81" s="634"/>
      <c r="V81" s="634"/>
      <c r="W81" s="634"/>
      <c r="X81" s="634"/>
      <c r="Y81" s="634"/>
      <c r="Z81" s="634"/>
      <c r="AA81" s="634"/>
      <c r="AB81" s="634"/>
      <c r="AC81" s="634"/>
      <c r="AD81" s="634"/>
      <c r="AE81" s="634"/>
      <c r="AF81" s="634"/>
      <c r="AG81" s="634"/>
      <c r="AH81" s="634"/>
      <c r="AI81" s="634"/>
      <c r="AJ81" s="634"/>
      <c r="AK81" s="634"/>
    </row>
    <row r="82" spans="3:37" ht="12.95" customHeight="1" x14ac:dyDescent="0.2">
      <c r="C82" s="758" t="s">
        <v>128</v>
      </c>
      <c r="D82" s="757" t="s">
        <v>42</v>
      </c>
      <c r="E82" s="757" t="s">
        <v>52</v>
      </c>
      <c r="F82" s="757" t="s">
        <v>53</v>
      </c>
      <c r="G82" s="757" t="s">
        <v>32</v>
      </c>
      <c r="H82" s="757" t="s">
        <v>20</v>
      </c>
      <c r="I82" s="757" t="s">
        <v>55</v>
      </c>
      <c r="J82" s="757" t="s">
        <v>56</v>
      </c>
      <c r="K82" s="757"/>
      <c r="L82" s="757"/>
      <c r="M82" s="757"/>
      <c r="N82" s="757"/>
      <c r="O82" s="757"/>
      <c r="P82" s="757" t="s">
        <v>57</v>
      </c>
      <c r="Q82" s="757" t="s">
        <v>58</v>
      </c>
      <c r="R82" s="757" t="s">
        <v>31</v>
      </c>
      <c r="S82" s="757" t="s">
        <v>10</v>
      </c>
      <c r="U82" s="758" t="s">
        <v>128</v>
      </c>
      <c r="V82" s="757" t="s">
        <v>42</v>
      </c>
      <c r="W82" s="757" t="s">
        <v>52</v>
      </c>
      <c r="X82" s="757" t="s">
        <v>53</v>
      </c>
      <c r="Y82" s="757" t="s">
        <v>32</v>
      </c>
      <c r="Z82" s="757" t="s">
        <v>20</v>
      </c>
      <c r="AA82" s="757" t="s">
        <v>55</v>
      </c>
      <c r="AB82" s="757" t="s">
        <v>56</v>
      </c>
      <c r="AC82" s="757"/>
      <c r="AD82" s="757"/>
      <c r="AE82" s="757"/>
      <c r="AF82" s="757"/>
      <c r="AG82" s="757"/>
      <c r="AH82" s="757" t="s">
        <v>57</v>
      </c>
      <c r="AI82" s="757" t="s">
        <v>58</v>
      </c>
      <c r="AJ82" s="757" t="s">
        <v>31</v>
      </c>
      <c r="AK82" s="757" t="s">
        <v>10</v>
      </c>
    </row>
    <row r="83" spans="3:37" ht="56.25" x14ac:dyDescent="0.2">
      <c r="C83" s="758"/>
      <c r="D83" s="757"/>
      <c r="E83" s="757"/>
      <c r="F83" s="757"/>
      <c r="G83" s="757"/>
      <c r="H83" s="757"/>
      <c r="I83" s="757"/>
      <c r="J83" s="638" t="s">
        <v>335</v>
      </c>
      <c r="K83" s="638" t="s">
        <v>40</v>
      </c>
      <c r="L83" s="638" t="s">
        <v>343</v>
      </c>
      <c r="M83" s="638" t="s">
        <v>344</v>
      </c>
      <c r="N83" s="638" t="s">
        <v>345</v>
      </c>
      <c r="O83" s="638" t="s">
        <v>346</v>
      </c>
      <c r="P83" s="757"/>
      <c r="Q83" s="757"/>
      <c r="R83" s="757"/>
      <c r="S83" s="757"/>
      <c r="U83" s="758"/>
      <c r="V83" s="757"/>
      <c r="W83" s="757"/>
      <c r="X83" s="757"/>
      <c r="Y83" s="757"/>
      <c r="Z83" s="757"/>
      <c r="AA83" s="757"/>
      <c r="AB83" s="638" t="s">
        <v>335</v>
      </c>
      <c r="AC83" s="638" t="s">
        <v>40</v>
      </c>
      <c r="AD83" s="638" t="s">
        <v>343</v>
      </c>
      <c r="AE83" s="638" t="s">
        <v>344</v>
      </c>
      <c r="AF83" s="638" t="s">
        <v>345</v>
      </c>
      <c r="AG83" s="638" t="s">
        <v>346</v>
      </c>
      <c r="AH83" s="757"/>
      <c r="AI83" s="757"/>
      <c r="AJ83" s="757"/>
      <c r="AK83" s="757"/>
    </row>
    <row r="84" spans="3:37" x14ac:dyDescent="0.2">
      <c r="C84" s="639" t="s">
        <v>59</v>
      </c>
      <c r="D84" s="640">
        <v>0</v>
      </c>
      <c r="E84" s="641">
        <v>2.3260000000000005</v>
      </c>
      <c r="F84" s="641">
        <v>0</v>
      </c>
      <c r="G84" s="640">
        <v>3.7216000000000006E-2</v>
      </c>
      <c r="H84" s="641">
        <v>1005.4545454545456</v>
      </c>
      <c r="I84" s="641">
        <v>248.9826967827097</v>
      </c>
      <c r="J84" s="641">
        <v>189.82090717884753</v>
      </c>
      <c r="K84" s="641">
        <v>21.067323208066789</v>
      </c>
      <c r="L84" s="641">
        <v>0.444514092196865</v>
      </c>
      <c r="M84" s="641">
        <v>0.15770970126630299</v>
      </c>
      <c r="N84" s="641">
        <v>60.832905155553725</v>
      </c>
      <c r="O84" s="641">
        <v>10.347989753579439</v>
      </c>
      <c r="P84" s="642">
        <v>0</v>
      </c>
      <c r="Q84" s="641">
        <v>0</v>
      </c>
      <c r="R84" s="641">
        <v>0</v>
      </c>
      <c r="S84" s="643">
        <v>1539.4718073267661</v>
      </c>
      <c r="U84" s="639" t="s">
        <v>59</v>
      </c>
      <c r="V84" s="640">
        <v>0</v>
      </c>
      <c r="W84" s="641">
        <v>2.3260000000000005</v>
      </c>
      <c r="X84" s="641">
        <v>0</v>
      </c>
      <c r="Y84" s="640">
        <v>3.7216000000000006E-2</v>
      </c>
      <c r="Z84" s="641">
        <v>949.39393939393938</v>
      </c>
      <c r="AA84" s="641">
        <v>279.58269678270966</v>
      </c>
      <c r="AB84" s="641">
        <v>196.53145821434362</v>
      </c>
      <c r="AC84" s="641">
        <v>37.828582612394825</v>
      </c>
      <c r="AD84" s="641">
        <v>0.444514092196865</v>
      </c>
      <c r="AE84" s="641">
        <v>0.15770970126630299</v>
      </c>
      <c r="AF84" s="641">
        <v>86.476611770328219</v>
      </c>
      <c r="AG84" s="641">
        <v>21.065809354780896</v>
      </c>
      <c r="AH84" s="642">
        <v>0</v>
      </c>
      <c r="AI84" s="641">
        <v>0</v>
      </c>
      <c r="AJ84" s="641">
        <v>0</v>
      </c>
      <c r="AK84" s="643">
        <v>1573.8445379219597</v>
      </c>
    </row>
    <row r="85" spans="3:37" x14ac:dyDescent="0.2">
      <c r="C85" s="639" t="s">
        <v>60</v>
      </c>
      <c r="D85" s="640">
        <v>48.372001461449948</v>
      </c>
      <c r="E85" s="641">
        <v>509.74501402008315</v>
      </c>
      <c r="F85" s="641">
        <v>84.255119008679685</v>
      </c>
      <c r="G85" s="640">
        <v>333.85211586331565</v>
      </c>
      <c r="H85" s="641">
        <v>0</v>
      </c>
      <c r="I85" s="641">
        <v>0</v>
      </c>
      <c r="J85" s="641">
        <v>4.1218275156281265</v>
      </c>
      <c r="K85" s="641">
        <v>0</v>
      </c>
      <c r="L85" s="641">
        <v>2.2815668000430724</v>
      </c>
      <c r="M85" s="641">
        <v>0</v>
      </c>
      <c r="N85" s="641">
        <v>0</v>
      </c>
      <c r="O85" s="641">
        <v>0</v>
      </c>
      <c r="P85" s="642">
        <v>0</v>
      </c>
      <c r="Q85" s="641">
        <v>0</v>
      </c>
      <c r="R85" s="641">
        <v>0</v>
      </c>
      <c r="S85" s="643">
        <v>982.62764466919975</v>
      </c>
      <c r="U85" s="639" t="s">
        <v>60</v>
      </c>
      <c r="V85" s="640">
        <v>8.3965846696126416</v>
      </c>
      <c r="W85" s="641">
        <v>294.49378048971494</v>
      </c>
      <c r="X85" s="641">
        <v>18.517216360631103</v>
      </c>
      <c r="Y85" s="640">
        <v>163.11536747865699</v>
      </c>
      <c r="Z85" s="641">
        <v>0</v>
      </c>
      <c r="AA85" s="641">
        <v>0</v>
      </c>
      <c r="AB85" s="641">
        <v>4.1218275156281265</v>
      </c>
      <c r="AC85" s="641">
        <v>0</v>
      </c>
      <c r="AD85" s="641">
        <v>2.2815668000430724</v>
      </c>
      <c r="AE85" s="641">
        <v>0</v>
      </c>
      <c r="AF85" s="641">
        <v>0</v>
      </c>
      <c r="AG85" s="641">
        <v>0</v>
      </c>
      <c r="AH85" s="642">
        <v>0</v>
      </c>
      <c r="AI85" s="641">
        <v>0</v>
      </c>
      <c r="AJ85" s="641">
        <v>0</v>
      </c>
      <c r="AK85" s="643">
        <v>490.9263433142869</v>
      </c>
    </row>
    <row r="86" spans="3:37" x14ac:dyDescent="0.2">
      <c r="C86" s="639" t="s">
        <v>61</v>
      </c>
      <c r="D86" s="640">
        <v>0</v>
      </c>
      <c r="E86" s="641">
        <v>0</v>
      </c>
      <c r="F86" s="641">
        <v>0</v>
      </c>
      <c r="G86" s="640">
        <v>0</v>
      </c>
      <c r="H86" s="641">
        <v>0</v>
      </c>
      <c r="I86" s="641">
        <v>0</v>
      </c>
      <c r="J86" s="641">
        <v>0</v>
      </c>
      <c r="K86" s="641">
        <v>0</v>
      </c>
      <c r="L86" s="641">
        <v>0</v>
      </c>
      <c r="M86" s="641">
        <v>0</v>
      </c>
      <c r="N86" s="641">
        <v>0</v>
      </c>
      <c r="O86" s="641">
        <v>0</v>
      </c>
      <c r="P86" s="642">
        <v>-38.942042128507637</v>
      </c>
      <c r="Q86" s="641">
        <v>0</v>
      </c>
      <c r="R86" s="641">
        <v>0</v>
      </c>
      <c r="S86" s="643">
        <v>-38.942042128507637</v>
      </c>
      <c r="U86" s="639" t="s">
        <v>61</v>
      </c>
      <c r="V86" s="640">
        <v>0</v>
      </c>
      <c r="W86" s="641">
        <v>0</v>
      </c>
      <c r="X86" s="641">
        <v>0</v>
      </c>
      <c r="Y86" s="640">
        <v>0</v>
      </c>
      <c r="Z86" s="641">
        <v>0</v>
      </c>
      <c r="AA86" s="641">
        <v>0</v>
      </c>
      <c r="AB86" s="641">
        <v>0</v>
      </c>
      <c r="AC86" s="641">
        <v>0</v>
      </c>
      <c r="AD86" s="641">
        <v>0</v>
      </c>
      <c r="AE86" s="641">
        <v>0</v>
      </c>
      <c r="AF86" s="641">
        <v>0</v>
      </c>
      <c r="AG86" s="641">
        <v>0</v>
      </c>
      <c r="AH86" s="642">
        <v>-20.693548582118865</v>
      </c>
      <c r="AI86" s="641">
        <v>0</v>
      </c>
      <c r="AJ86" s="641">
        <v>0</v>
      </c>
      <c r="AK86" s="643">
        <v>-20.693548582118865</v>
      </c>
    </row>
    <row r="87" spans="3:37" x14ac:dyDescent="0.2">
      <c r="C87" s="639" t="s">
        <v>62</v>
      </c>
      <c r="D87" s="640">
        <v>0</v>
      </c>
      <c r="E87" s="641">
        <v>0</v>
      </c>
      <c r="F87" s="641">
        <v>-16.016991189558784</v>
      </c>
      <c r="G87" s="640">
        <v>0</v>
      </c>
      <c r="H87" s="641">
        <v>0</v>
      </c>
      <c r="I87" s="641">
        <v>0</v>
      </c>
      <c r="J87" s="641">
        <v>0</v>
      </c>
      <c r="K87" s="641">
        <v>0</v>
      </c>
      <c r="L87" s="641">
        <v>0</v>
      </c>
      <c r="M87" s="641">
        <v>0</v>
      </c>
      <c r="N87" s="641">
        <v>0</v>
      </c>
      <c r="O87" s="641">
        <v>0</v>
      </c>
      <c r="P87" s="642">
        <v>0</v>
      </c>
      <c r="Q87" s="641">
        <v>0</v>
      </c>
      <c r="R87" s="641">
        <v>0</v>
      </c>
      <c r="S87" s="643">
        <v>-16.016991189558784</v>
      </c>
      <c r="U87" s="639" t="s">
        <v>62</v>
      </c>
      <c r="V87" s="640">
        <v>0</v>
      </c>
      <c r="W87" s="641">
        <v>0</v>
      </c>
      <c r="X87" s="641">
        <v>-11.216317309287092</v>
      </c>
      <c r="Y87" s="640">
        <v>-1.9971079411498778</v>
      </c>
      <c r="Z87" s="641">
        <v>0</v>
      </c>
      <c r="AA87" s="641">
        <v>0</v>
      </c>
      <c r="AB87" s="641">
        <v>0</v>
      </c>
      <c r="AC87" s="641">
        <v>0</v>
      </c>
      <c r="AD87" s="641">
        <v>0</v>
      </c>
      <c r="AE87" s="641">
        <v>-0.69888193239441998</v>
      </c>
      <c r="AF87" s="641">
        <v>0</v>
      </c>
      <c r="AG87" s="641">
        <v>0</v>
      </c>
      <c r="AH87" s="642">
        <v>0</v>
      </c>
      <c r="AI87" s="641">
        <v>0</v>
      </c>
      <c r="AJ87" s="641">
        <v>0</v>
      </c>
      <c r="AK87" s="643">
        <v>-13.912307182831389</v>
      </c>
    </row>
    <row r="88" spans="3:37" x14ac:dyDescent="0.2">
      <c r="C88" s="639" t="s">
        <v>63</v>
      </c>
      <c r="D88" s="640">
        <v>0</v>
      </c>
      <c r="E88" s="641">
        <v>0</v>
      </c>
      <c r="F88" s="641">
        <v>-85.676103269538828</v>
      </c>
      <c r="G88" s="640">
        <v>0</v>
      </c>
      <c r="H88" s="641">
        <v>0</v>
      </c>
      <c r="I88" s="641">
        <v>0</v>
      </c>
      <c r="J88" s="641">
        <v>0</v>
      </c>
      <c r="K88" s="641">
        <v>0</v>
      </c>
      <c r="L88" s="641">
        <v>-0.88445591317339634</v>
      </c>
      <c r="M88" s="641">
        <v>0</v>
      </c>
      <c r="N88" s="641">
        <v>0</v>
      </c>
      <c r="O88" s="641">
        <v>0</v>
      </c>
      <c r="P88" s="642">
        <v>0</v>
      </c>
      <c r="Q88" s="641">
        <v>0</v>
      </c>
      <c r="R88" s="641">
        <v>0</v>
      </c>
      <c r="S88" s="643">
        <v>-86.560559182712225</v>
      </c>
      <c r="U88" s="639" t="s">
        <v>63</v>
      </c>
      <c r="V88" s="640">
        <v>0</v>
      </c>
      <c r="W88" s="641">
        <v>0</v>
      </c>
      <c r="X88" s="641">
        <v>-61.793178017106612</v>
      </c>
      <c r="Y88" s="640">
        <v>0</v>
      </c>
      <c r="Z88" s="641">
        <v>0</v>
      </c>
      <c r="AA88" s="641">
        <v>0</v>
      </c>
      <c r="AB88" s="641">
        <v>0</v>
      </c>
      <c r="AC88" s="641">
        <v>0</v>
      </c>
      <c r="AD88" s="641">
        <v>-20.442150229714262</v>
      </c>
      <c r="AE88" s="641">
        <v>0</v>
      </c>
      <c r="AF88" s="641">
        <v>0</v>
      </c>
      <c r="AG88" s="641">
        <v>0</v>
      </c>
      <c r="AH88" s="642">
        <v>0</v>
      </c>
      <c r="AI88" s="641">
        <v>0</v>
      </c>
      <c r="AJ88" s="641">
        <v>0</v>
      </c>
      <c r="AK88" s="643">
        <v>-82.23532824682087</v>
      </c>
    </row>
    <row r="89" spans="3:37" x14ac:dyDescent="0.2">
      <c r="C89" s="639" t="s">
        <v>64</v>
      </c>
      <c r="D89" s="640">
        <v>0</v>
      </c>
      <c r="E89" s="641">
        <v>0</v>
      </c>
      <c r="F89" s="641">
        <v>0</v>
      </c>
      <c r="G89" s="640">
        <v>0</v>
      </c>
      <c r="H89" s="641">
        <v>0</v>
      </c>
      <c r="I89" s="641">
        <v>0</v>
      </c>
      <c r="J89" s="641">
        <v>0</v>
      </c>
      <c r="K89" s="641">
        <v>0</v>
      </c>
      <c r="L89" s="641">
        <v>0</v>
      </c>
      <c r="M89" s="641">
        <v>0</v>
      </c>
      <c r="N89" s="641">
        <v>0</v>
      </c>
      <c r="O89" s="641">
        <v>0</v>
      </c>
      <c r="P89" s="642">
        <v>0</v>
      </c>
      <c r="Q89" s="641">
        <v>0</v>
      </c>
      <c r="R89" s="641">
        <v>0</v>
      </c>
      <c r="S89" s="643">
        <v>0</v>
      </c>
      <c r="U89" s="639" t="s">
        <v>64</v>
      </c>
      <c r="V89" s="640">
        <v>0</v>
      </c>
      <c r="W89" s="641">
        <v>0</v>
      </c>
      <c r="X89" s="641">
        <v>0</v>
      </c>
      <c r="Y89" s="640">
        <v>0</v>
      </c>
      <c r="Z89" s="641">
        <v>0</v>
      </c>
      <c r="AA89" s="641">
        <v>0</v>
      </c>
      <c r="AB89" s="641">
        <v>0</v>
      </c>
      <c r="AC89" s="641">
        <v>0</v>
      </c>
      <c r="AD89" s="641">
        <v>0</v>
      </c>
      <c r="AE89" s="641">
        <v>0</v>
      </c>
      <c r="AF89" s="641">
        <v>0</v>
      </c>
      <c r="AG89" s="641">
        <v>0</v>
      </c>
      <c r="AH89" s="642">
        <v>0</v>
      </c>
      <c r="AI89" s="641">
        <v>0</v>
      </c>
      <c r="AJ89" s="641">
        <v>0</v>
      </c>
      <c r="AK89" s="643">
        <v>0</v>
      </c>
    </row>
    <row r="90" spans="3:37" x14ac:dyDescent="0.2">
      <c r="C90" s="644" t="s">
        <v>65</v>
      </c>
      <c r="D90" s="645">
        <v>48.372001461449948</v>
      </c>
      <c r="E90" s="645">
        <v>512.07101402008311</v>
      </c>
      <c r="F90" s="645">
        <v>-17.437975450417916</v>
      </c>
      <c r="G90" s="645">
        <v>333.88933186331565</v>
      </c>
      <c r="H90" s="645">
        <v>1005.4545454545456</v>
      </c>
      <c r="I90" s="645">
        <v>248.9826967827097</v>
      </c>
      <c r="J90" s="645">
        <v>193.94273469447566</v>
      </c>
      <c r="K90" s="645">
        <v>21.067323208066789</v>
      </c>
      <c r="L90" s="645">
        <v>1.8416249790665411</v>
      </c>
      <c r="M90" s="645">
        <v>0.15770970126630299</v>
      </c>
      <c r="N90" s="645">
        <v>60.832905155553725</v>
      </c>
      <c r="O90" s="645">
        <v>10.347989753579439</v>
      </c>
      <c r="P90" s="645">
        <v>-38.942042128507637</v>
      </c>
      <c r="Q90" s="645">
        <v>0</v>
      </c>
      <c r="R90" s="645">
        <v>0</v>
      </c>
      <c r="S90" s="645">
        <v>2380.5798594951875</v>
      </c>
      <c r="U90" s="644" t="s">
        <v>65</v>
      </c>
      <c r="V90" s="645">
        <v>8.3965846696126416</v>
      </c>
      <c r="W90" s="645">
        <v>296.81978048971496</v>
      </c>
      <c r="X90" s="645">
        <v>-54.492278965762601</v>
      </c>
      <c r="Y90" s="645">
        <v>161.15547553750713</v>
      </c>
      <c r="Z90" s="645">
        <v>949.39393939393938</v>
      </c>
      <c r="AA90" s="645">
        <v>279.58269678270966</v>
      </c>
      <c r="AB90" s="645">
        <v>200.65328572997174</v>
      </c>
      <c r="AC90" s="645">
        <v>37.828582612394825</v>
      </c>
      <c r="AD90" s="645">
        <v>-17.716069337474323</v>
      </c>
      <c r="AE90" s="645">
        <v>-0.54117223112811697</v>
      </c>
      <c r="AF90" s="645">
        <v>86.476611770328219</v>
      </c>
      <c r="AG90" s="645">
        <v>21.065809354780896</v>
      </c>
      <c r="AH90" s="645">
        <v>-20.693548582118865</v>
      </c>
      <c r="AI90" s="645">
        <v>0</v>
      </c>
      <c r="AJ90" s="645">
        <v>0</v>
      </c>
      <c r="AK90" s="645">
        <v>1947.9296972244754</v>
      </c>
    </row>
    <row r="91" spans="3:37" x14ac:dyDescent="0.2">
      <c r="C91" s="634"/>
      <c r="D91" s="634">
        <v>0</v>
      </c>
      <c r="E91" s="634">
        <v>0</v>
      </c>
      <c r="F91" s="634">
        <v>0</v>
      </c>
      <c r="G91" s="634">
        <v>0</v>
      </c>
      <c r="H91" s="634">
        <v>0</v>
      </c>
      <c r="I91" s="634">
        <v>0</v>
      </c>
      <c r="J91" s="634">
        <v>0</v>
      </c>
      <c r="K91" s="634">
        <v>0</v>
      </c>
      <c r="L91" s="634">
        <v>0</v>
      </c>
      <c r="M91" s="634">
        <v>0</v>
      </c>
      <c r="N91" s="634">
        <v>0</v>
      </c>
      <c r="O91" s="634">
        <v>0</v>
      </c>
      <c r="P91" s="634">
        <v>0</v>
      </c>
      <c r="Q91" s="634">
        <v>0</v>
      </c>
      <c r="R91" s="634">
        <v>0</v>
      </c>
      <c r="S91" s="634">
        <v>0</v>
      </c>
      <c r="U91" s="634"/>
      <c r="V91" s="634">
        <v>0</v>
      </c>
      <c r="W91" s="634">
        <v>0</v>
      </c>
      <c r="X91" s="634">
        <v>0</v>
      </c>
      <c r="Y91" s="634">
        <v>0</v>
      </c>
      <c r="Z91" s="634">
        <v>0</v>
      </c>
      <c r="AA91" s="634">
        <v>0</v>
      </c>
      <c r="AB91" s="634">
        <v>0</v>
      </c>
      <c r="AC91" s="634">
        <v>0</v>
      </c>
      <c r="AD91" s="634">
        <v>0</v>
      </c>
      <c r="AE91" s="634">
        <v>0</v>
      </c>
      <c r="AF91" s="634">
        <v>0</v>
      </c>
      <c r="AG91" s="634">
        <v>0</v>
      </c>
      <c r="AH91" s="634">
        <v>0</v>
      </c>
      <c r="AI91" s="634">
        <v>0</v>
      </c>
      <c r="AJ91" s="634">
        <v>0</v>
      </c>
      <c r="AK91" s="634">
        <v>0</v>
      </c>
    </row>
    <row r="92" spans="3:37" x14ac:dyDescent="0.2">
      <c r="C92" s="646" t="s">
        <v>67</v>
      </c>
      <c r="D92" s="640">
        <v>0</v>
      </c>
      <c r="E92" s="647">
        <v>0</v>
      </c>
      <c r="F92" s="647">
        <v>0</v>
      </c>
      <c r="G92" s="640">
        <v>0</v>
      </c>
      <c r="H92" s="640">
        <v>0</v>
      </c>
      <c r="I92" s="640">
        <v>0</v>
      </c>
      <c r="J92" s="640">
        <v>0</v>
      </c>
      <c r="K92" s="640">
        <v>0</v>
      </c>
      <c r="L92" s="640">
        <v>0</v>
      </c>
      <c r="M92" s="640">
        <v>0</v>
      </c>
      <c r="N92" s="640">
        <v>0</v>
      </c>
      <c r="O92" s="640">
        <v>0</v>
      </c>
      <c r="P92" s="640">
        <v>0</v>
      </c>
      <c r="Q92" s="640">
        <v>0</v>
      </c>
      <c r="R92" s="640">
        <v>0</v>
      </c>
      <c r="S92" s="648">
        <v>0</v>
      </c>
      <c r="U92" s="646" t="s">
        <v>67</v>
      </c>
      <c r="V92" s="640">
        <v>0</v>
      </c>
      <c r="W92" s="647">
        <v>0</v>
      </c>
      <c r="X92" s="647">
        <v>0</v>
      </c>
      <c r="Y92" s="640">
        <v>0</v>
      </c>
      <c r="Z92" s="640">
        <v>0</v>
      </c>
      <c r="AA92" s="640">
        <v>0</v>
      </c>
      <c r="AB92" s="640">
        <v>0</v>
      </c>
      <c r="AC92" s="640">
        <v>0</v>
      </c>
      <c r="AD92" s="640">
        <v>0</v>
      </c>
      <c r="AE92" s="640">
        <v>0</v>
      </c>
      <c r="AF92" s="640">
        <v>0</v>
      </c>
      <c r="AG92" s="640">
        <v>0</v>
      </c>
      <c r="AH92" s="640">
        <v>0</v>
      </c>
      <c r="AI92" s="640">
        <v>0</v>
      </c>
      <c r="AJ92" s="640">
        <v>0</v>
      </c>
      <c r="AK92" s="648">
        <v>0</v>
      </c>
    </row>
    <row r="93" spans="3:37" x14ac:dyDescent="0.2">
      <c r="C93" s="646" t="s">
        <v>347</v>
      </c>
      <c r="D93" s="640">
        <v>2.8267856410252494</v>
      </c>
      <c r="E93" s="640">
        <v>0</v>
      </c>
      <c r="F93" s="640">
        <v>7.7008933134364401</v>
      </c>
      <c r="G93" s="640">
        <v>17.192982456140349</v>
      </c>
      <c r="H93" s="640">
        <v>1005.4545454545456</v>
      </c>
      <c r="I93" s="640">
        <v>248.9826967827097</v>
      </c>
      <c r="J93" s="649">
        <v>29.95115714704033</v>
      </c>
      <c r="K93" s="649">
        <v>7.1699357941539494</v>
      </c>
      <c r="L93" s="649">
        <v>2.7260808922399375</v>
      </c>
      <c r="M93" s="649">
        <v>0.47574727688811397</v>
      </c>
      <c r="N93" s="649">
        <v>0</v>
      </c>
      <c r="O93" s="649">
        <v>5.3758847536792693</v>
      </c>
      <c r="P93" s="640">
        <v>-611.6040304377284</v>
      </c>
      <c r="Q93" s="640">
        <v>0</v>
      </c>
      <c r="R93" s="640">
        <v>0</v>
      </c>
      <c r="S93" s="648">
        <v>716.25267907413024</v>
      </c>
      <c r="U93" s="646" t="s">
        <v>347</v>
      </c>
      <c r="V93" s="640">
        <v>0.62631490545869017</v>
      </c>
      <c r="W93" s="640">
        <v>0</v>
      </c>
      <c r="X93" s="640">
        <v>3.8372569498000768</v>
      </c>
      <c r="Y93" s="640">
        <v>12.853333333333333</v>
      </c>
      <c r="Z93" s="640">
        <v>949.39393939393938</v>
      </c>
      <c r="AA93" s="640">
        <v>279.58269678270966</v>
      </c>
      <c r="AB93" s="649">
        <v>24.143657694158538</v>
      </c>
      <c r="AC93" s="649">
        <v>6.0680800758314266</v>
      </c>
      <c r="AD93" s="649">
        <v>2.7260808922399375</v>
      </c>
      <c r="AE93" s="649">
        <v>4.1838174523267107</v>
      </c>
      <c r="AF93" s="649">
        <v>0</v>
      </c>
      <c r="AG93" s="649">
        <v>5.3758847536792693</v>
      </c>
      <c r="AH93" s="640">
        <v>-621.90403043772824</v>
      </c>
      <c r="AI93" s="640">
        <v>0</v>
      </c>
      <c r="AJ93" s="640">
        <v>3.8</v>
      </c>
      <c r="AK93" s="648">
        <v>670.68703179574891</v>
      </c>
    </row>
    <row r="94" spans="3:37" x14ac:dyDescent="0.2">
      <c r="C94" s="646" t="s">
        <v>348</v>
      </c>
      <c r="D94" s="640">
        <v>0</v>
      </c>
      <c r="E94" s="640">
        <v>0</v>
      </c>
      <c r="F94" s="640">
        <v>0</v>
      </c>
      <c r="G94" s="640">
        <v>15.048436077523924</v>
      </c>
      <c r="H94" s="640">
        <v>0</v>
      </c>
      <c r="I94" s="640">
        <v>0</v>
      </c>
      <c r="J94" s="649">
        <v>12.74533322609016</v>
      </c>
      <c r="K94" s="649">
        <v>12.056480951460374</v>
      </c>
      <c r="L94" s="649">
        <v>0</v>
      </c>
      <c r="M94" s="649">
        <v>0.32133708059977345</v>
      </c>
      <c r="N94" s="649">
        <v>0</v>
      </c>
      <c r="O94" s="649">
        <v>2.1348201063802894</v>
      </c>
      <c r="P94" s="640">
        <v>0</v>
      </c>
      <c r="Q94" s="640">
        <v>-38.309646115177976</v>
      </c>
      <c r="R94" s="640">
        <v>0</v>
      </c>
      <c r="S94" s="648">
        <v>3.9967613268765492</v>
      </c>
      <c r="U94" s="646" t="s">
        <v>348</v>
      </c>
      <c r="V94" s="640">
        <v>0</v>
      </c>
      <c r="W94" s="640">
        <v>0</v>
      </c>
      <c r="X94" s="640">
        <v>0</v>
      </c>
      <c r="Y94" s="640">
        <v>12.803359009118745</v>
      </c>
      <c r="Z94" s="640">
        <v>0</v>
      </c>
      <c r="AA94" s="640">
        <v>0</v>
      </c>
      <c r="AB94" s="649">
        <v>28.717481814983032</v>
      </c>
      <c r="AC94" s="649">
        <v>25.924008984647354</v>
      </c>
      <c r="AD94" s="649">
        <v>0</v>
      </c>
      <c r="AE94" s="649">
        <v>4.0573921431217457</v>
      </c>
      <c r="AF94" s="649">
        <v>0</v>
      </c>
      <c r="AG94" s="649">
        <v>9.7357518308203428</v>
      </c>
      <c r="AH94" s="640">
        <v>0</v>
      </c>
      <c r="AI94" s="640">
        <v>-74.504230286476243</v>
      </c>
      <c r="AJ94" s="640">
        <v>0</v>
      </c>
      <c r="AK94" s="648">
        <v>6.7337634962149808</v>
      </c>
    </row>
    <row r="95" spans="3:37" x14ac:dyDescent="0.2">
      <c r="C95" s="646" t="s">
        <v>349</v>
      </c>
      <c r="D95" s="640">
        <v>0</v>
      </c>
      <c r="E95" s="640">
        <v>0</v>
      </c>
      <c r="F95" s="640">
        <v>0</v>
      </c>
      <c r="G95" s="640">
        <v>0</v>
      </c>
      <c r="H95" s="640">
        <v>0</v>
      </c>
      <c r="I95" s="640">
        <v>0</v>
      </c>
      <c r="J95" s="650">
        <v>7.2695194025067336</v>
      </c>
      <c r="K95" s="650">
        <v>0</v>
      </c>
      <c r="L95" s="650">
        <v>0</v>
      </c>
      <c r="M95" s="650">
        <v>-6.5716455398660871</v>
      </c>
      <c r="N95" s="650">
        <v>0</v>
      </c>
      <c r="O95" s="650">
        <v>0</v>
      </c>
      <c r="P95" s="640">
        <v>0</v>
      </c>
      <c r="Q95" s="640">
        <v>0</v>
      </c>
      <c r="R95" s="640">
        <v>0</v>
      </c>
      <c r="S95" s="648">
        <v>0.69787386264064644</v>
      </c>
      <c r="U95" s="646" t="s">
        <v>349</v>
      </c>
      <c r="V95" s="640">
        <v>0</v>
      </c>
      <c r="W95" s="640">
        <v>0</v>
      </c>
      <c r="X95" s="640">
        <v>0</v>
      </c>
      <c r="Y95" s="640">
        <v>0</v>
      </c>
      <c r="Z95" s="640">
        <v>0</v>
      </c>
      <c r="AA95" s="640">
        <v>0</v>
      </c>
      <c r="AB95" s="650">
        <v>56.55251118568826</v>
      </c>
      <c r="AC95" s="650">
        <v>0</v>
      </c>
      <c r="AD95" s="650">
        <v>0</v>
      </c>
      <c r="AE95" s="650">
        <v>-51.12347011186219</v>
      </c>
      <c r="AF95" s="650">
        <v>0</v>
      </c>
      <c r="AG95" s="650">
        <v>0</v>
      </c>
      <c r="AH95" s="640">
        <v>0</v>
      </c>
      <c r="AI95" s="640">
        <v>0</v>
      </c>
      <c r="AJ95" s="640">
        <v>0</v>
      </c>
      <c r="AK95" s="648">
        <v>5.4290410738260704</v>
      </c>
    </row>
    <row r="96" spans="3:37" x14ac:dyDescent="0.2">
      <c r="C96" s="646" t="s">
        <v>350</v>
      </c>
      <c r="D96" s="640">
        <v>0</v>
      </c>
      <c r="E96" s="640">
        <v>0</v>
      </c>
      <c r="F96" s="640">
        <v>0</v>
      </c>
      <c r="G96" s="640">
        <v>0</v>
      </c>
      <c r="H96" s="640">
        <v>0</v>
      </c>
      <c r="I96" s="640">
        <v>0</v>
      </c>
      <c r="J96" s="640">
        <v>0</v>
      </c>
      <c r="K96" s="640">
        <v>0</v>
      </c>
      <c r="L96" s="640">
        <v>0</v>
      </c>
      <c r="M96" s="640">
        <v>0</v>
      </c>
      <c r="N96" s="640">
        <v>0</v>
      </c>
      <c r="O96" s="640">
        <v>0</v>
      </c>
      <c r="P96" s="640">
        <v>0</v>
      </c>
      <c r="Q96" s="640">
        <v>0</v>
      </c>
      <c r="R96" s="640">
        <v>0</v>
      </c>
      <c r="S96" s="648">
        <v>0</v>
      </c>
      <c r="U96" s="646" t="s">
        <v>350</v>
      </c>
      <c r="V96" s="640">
        <v>0</v>
      </c>
      <c r="W96" s="640">
        <v>0</v>
      </c>
      <c r="X96" s="640">
        <v>0</v>
      </c>
      <c r="Y96" s="640">
        <v>0</v>
      </c>
      <c r="Z96" s="640">
        <v>0</v>
      </c>
      <c r="AA96" s="640">
        <v>0</v>
      </c>
      <c r="AB96" s="640">
        <v>0</v>
      </c>
      <c r="AC96" s="640">
        <v>0</v>
      </c>
      <c r="AD96" s="640">
        <v>0</v>
      </c>
      <c r="AE96" s="640">
        <v>0</v>
      </c>
      <c r="AF96" s="640">
        <v>0</v>
      </c>
      <c r="AG96" s="640">
        <v>0</v>
      </c>
      <c r="AH96" s="640">
        <v>0</v>
      </c>
      <c r="AI96" s="640">
        <v>0</v>
      </c>
      <c r="AJ96" s="640">
        <v>0</v>
      </c>
      <c r="AK96" s="648">
        <v>0</v>
      </c>
    </row>
    <row r="97" spans="3:37" x14ac:dyDescent="0.2">
      <c r="C97" s="646" t="s">
        <v>72</v>
      </c>
      <c r="D97" s="640">
        <v>0</v>
      </c>
      <c r="E97" s="640">
        <v>530.45114623720224</v>
      </c>
      <c r="F97" s="640">
        <v>-525.1466347748302</v>
      </c>
      <c r="G97" s="640">
        <v>0</v>
      </c>
      <c r="H97" s="640">
        <v>0</v>
      </c>
      <c r="I97" s="640">
        <v>0</v>
      </c>
      <c r="J97" s="640">
        <v>0</v>
      </c>
      <c r="K97" s="640">
        <v>0</v>
      </c>
      <c r="L97" s="640">
        <v>0</v>
      </c>
      <c r="M97" s="640">
        <v>0</v>
      </c>
      <c r="N97" s="640">
        <v>0</v>
      </c>
      <c r="O97" s="640">
        <v>0</v>
      </c>
      <c r="P97" s="640">
        <v>0</v>
      </c>
      <c r="Q97" s="640">
        <v>0</v>
      </c>
      <c r="R97" s="640">
        <v>0</v>
      </c>
      <c r="S97" s="648">
        <v>5.3045114623720337</v>
      </c>
      <c r="U97" s="646" t="s">
        <v>72</v>
      </c>
      <c r="V97" s="640">
        <v>0</v>
      </c>
      <c r="W97" s="640">
        <v>307.47374578102756</v>
      </c>
      <c r="X97" s="640">
        <v>-304.39900832321729</v>
      </c>
      <c r="Y97" s="640">
        <v>0</v>
      </c>
      <c r="Z97" s="640">
        <v>0</v>
      </c>
      <c r="AA97" s="640">
        <v>0</v>
      </c>
      <c r="AB97" s="640">
        <v>0</v>
      </c>
      <c r="AC97" s="640">
        <v>0</v>
      </c>
      <c r="AD97" s="640">
        <v>0</v>
      </c>
      <c r="AE97" s="640">
        <v>0</v>
      </c>
      <c r="AF97" s="640">
        <v>0</v>
      </c>
      <c r="AG97" s="640">
        <v>0</v>
      </c>
      <c r="AH97" s="640">
        <v>0</v>
      </c>
      <c r="AI97" s="640">
        <v>0</v>
      </c>
      <c r="AJ97" s="640">
        <v>0</v>
      </c>
      <c r="AK97" s="648">
        <v>3.0747374578102722</v>
      </c>
    </row>
    <row r="98" spans="3:37" x14ac:dyDescent="0.2">
      <c r="C98" s="646" t="s">
        <v>351</v>
      </c>
      <c r="D98" s="640">
        <v>0</v>
      </c>
      <c r="E98" s="640">
        <v>0</v>
      </c>
      <c r="F98" s="640">
        <v>0</v>
      </c>
      <c r="G98" s="640">
        <v>0</v>
      </c>
      <c r="H98" s="640">
        <v>0</v>
      </c>
      <c r="I98" s="640">
        <v>0</v>
      </c>
      <c r="J98" s="640">
        <v>30.470996070194996</v>
      </c>
      <c r="K98" s="640">
        <v>0</v>
      </c>
      <c r="L98" s="640">
        <v>-30.470996070194996</v>
      </c>
      <c r="M98" s="640">
        <v>0</v>
      </c>
      <c r="N98" s="640">
        <v>0</v>
      </c>
      <c r="O98" s="640">
        <v>0</v>
      </c>
      <c r="P98" s="640">
        <v>0</v>
      </c>
      <c r="Q98" s="640">
        <v>0</v>
      </c>
      <c r="R98" s="640">
        <v>0</v>
      </c>
      <c r="S98" s="648">
        <v>0</v>
      </c>
      <c r="U98" s="646" t="s">
        <v>351</v>
      </c>
      <c r="V98" s="640">
        <v>0</v>
      </c>
      <c r="W98" s="640">
        <v>0</v>
      </c>
      <c r="X98" s="640">
        <v>0</v>
      </c>
      <c r="Y98" s="640">
        <v>0</v>
      </c>
      <c r="Z98" s="640">
        <v>0</v>
      </c>
      <c r="AA98" s="640">
        <v>0</v>
      </c>
      <c r="AB98" s="640" t="e">
        <v>#VALUE!</v>
      </c>
      <c r="AC98" s="640">
        <v>0</v>
      </c>
      <c r="AD98" s="640">
        <v>-92.079399970639116</v>
      </c>
      <c r="AE98" s="640">
        <v>0</v>
      </c>
      <c r="AF98" s="640">
        <v>0</v>
      </c>
      <c r="AG98" s="640">
        <v>0</v>
      </c>
      <c r="AH98" s="640">
        <v>0</v>
      </c>
      <c r="AI98" s="640">
        <v>0</v>
      </c>
      <c r="AJ98" s="640">
        <v>0</v>
      </c>
      <c r="AK98" s="648">
        <v>-92.079399970639116</v>
      </c>
    </row>
    <row r="99" spans="3:37" x14ac:dyDescent="0.2">
      <c r="C99" s="646" t="s">
        <v>352</v>
      </c>
      <c r="D99" s="640">
        <v>0</v>
      </c>
      <c r="E99" s="640">
        <v>0</v>
      </c>
      <c r="F99" s="640">
        <v>0</v>
      </c>
      <c r="G99" s="640">
        <v>0</v>
      </c>
      <c r="H99" s="640">
        <v>0</v>
      </c>
      <c r="I99" s="640">
        <v>0</v>
      </c>
      <c r="J99" s="640">
        <v>0</v>
      </c>
      <c r="K99" s="640">
        <v>0</v>
      </c>
      <c r="L99" s="640">
        <v>0</v>
      </c>
      <c r="M99" s="640">
        <v>0</v>
      </c>
      <c r="N99" s="640">
        <v>0</v>
      </c>
      <c r="O99" s="640">
        <v>0</v>
      </c>
      <c r="P99" s="640">
        <v>0</v>
      </c>
      <c r="Q99" s="640">
        <v>0</v>
      </c>
      <c r="R99" s="640">
        <v>0</v>
      </c>
      <c r="S99" s="648">
        <v>0</v>
      </c>
      <c r="U99" s="646" t="s">
        <v>352</v>
      </c>
      <c r="V99" s="640">
        <v>0</v>
      </c>
      <c r="W99" s="640">
        <v>0</v>
      </c>
      <c r="X99" s="640">
        <v>0</v>
      </c>
      <c r="Y99" s="640">
        <v>0</v>
      </c>
      <c r="Z99" s="640">
        <v>0</v>
      </c>
      <c r="AA99" s="640">
        <v>0</v>
      </c>
      <c r="AB99" s="640">
        <v>0</v>
      </c>
      <c r="AC99" s="640">
        <v>0</v>
      </c>
      <c r="AD99" s="640">
        <v>-18.857582137623396</v>
      </c>
      <c r="AE99" s="640">
        <v>0</v>
      </c>
      <c r="AF99" s="640">
        <v>0</v>
      </c>
      <c r="AG99" s="640">
        <v>0</v>
      </c>
      <c r="AH99" s="640">
        <v>0</v>
      </c>
      <c r="AI99" s="640">
        <v>0</v>
      </c>
      <c r="AJ99" s="640">
        <v>0</v>
      </c>
      <c r="AK99" s="648">
        <v>-18.857582137623396</v>
      </c>
    </row>
    <row r="100" spans="3:37" x14ac:dyDescent="0.2">
      <c r="C100" s="646" t="s">
        <v>73</v>
      </c>
      <c r="D100" s="640">
        <v>0</v>
      </c>
      <c r="E100" s="640">
        <v>0</v>
      </c>
      <c r="F100" s="640">
        <v>0</v>
      </c>
      <c r="G100" s="640">
        <v>4.2253053989858387</v>
      </c>
      <c r="H100" s="640">
        <v>0</v>
      </c>
      <c r="I100" s="640">
        <v>0</v>
      </c>
      <c r="J100" s="640">
        <v>0</v>
      </c>
      <c r="K100" s="640">
        <v>4.8227473393893973E-2</v>
      </c>
      <c r="L100" s="640">
        <v>0</v>
      </c>
      <c r="M100" s="640">
        <v>8.6230722428282419E-2</v>
      </c>
      <c r="N100" s="640">
        <v>0</v>
      </c>
      <c r="O100" s="640">
        <v>0</v>
      </c>
      <c r="P100" s="640">
        <v>0.47800681593948002</v>
      </c>
      <c r="Q100" s="640">
        <v>0</v>
      </c>
      <c r="R100" s="640">
        <v>-3.3759231375725771</v>
      </c>
      <c r="S100" s="648">
        <v>1.4618472731749175</v>
      </c>
      <c r="U100" s="646" t="s">
        <v>73</v>
      </c>
      <c r="V100" s="640">
        <v>0</v>
      </c>
      <c r="W100" s="640">
        <v>0</v>
      </c>
      <c r="X100" s="640">
        <v>0</v>
      </c>
      <c r="Y100" s="640">
        <v>6.2430459874299995</v>
      </c>
      <c r="Z100" s="640">
        <v>0</v>
      </c>
      <c r="AA100" s="640">
        <v>0</v>
      </c>
      <c r="AB100" s="640">
        <v>0</v>
      </c>
      <c r="AC100" s="640">
        <v>0.34514849554566557</v>
      </c>
      <c r="AD100" s="640">
        <v>0</v>
      </c>
      <c r="AE100" s="640">
        <v>1.9714882065568418</v>
      </c>
      <c r="AF100" s="640">
        <v>0</v>
      </c>
      <c r="AG100" s="640">
        <v>0</v>
      </c>
      <c r="AH100" s="640">
        <v>26.797369919651668</v>
      </c>
      <c r="AI100" s="640">
        <v>0</v>
      </c>
      <c r="AJ100" s="640">
        <v>-24.160394688196586</v>
      </c>
      <c r="AK100" s="648">
        <v>11.196657920987594</v>
      </c>
    </row>
    <row r="101" spans="3:37" x14ac:dyDescent="0.2">
      <c r="C101" s="646" t="s">
        <v>353</v>
      </c>
      <c r="D101" s="640">
        <v>28.633394531250001</v>
      </c>
      <c r="E101" s="640">
        <v>-18.380132217119058</v>
      </c>
      <c r="F101" s="640">
        <v>24.040127313749448</v>
      </c>
      <c r="G101" s="640">
        <v>0</v>
      </c>
      <c r="H101" s="640">
        <v>0</v>
      </c>
      <c r="I101" s="640">
        <v>0</v>
      </c>
      <c r="J101" s="640">
        <v>0</v>
      </c>
      <c r="K101" s="640">
        <v>0</v>
      </c>
      <c r="L101" s="640">
        <v>0</v>
      </c>
      <c r="M101" s="640">
        <v>0</v>
      </c>
      <c r="N101" s="640">
        <v>0</v>
      </c>
      <c r="O101" s="640">
        <v>0</v>
      </c>
      <c r="P101" s="640">
        <v>0</v>
      </c>
      <c r="Q101" s="640">
        <v>0</v>
      </c>
      <c r="R101" s="640">
        <v>0</v>
      </c>
      <c r="S101" s="648">
        <v>34.293389627880387</v>
      </c>
      <c r="U101" s="646" t="s">
        <v>353</v>
      </c>
      <c r="V101" s="640">
        <v>2.8339389038085936</v>
      </c>
      <c r="W101" s="640">
        <v>-10.653965291312606</v>
      </c>
      <c r="X101" s="640">
        <v>13.93475732241321</v>
      </c>
      <c r="Y101" s="640">
        <v>0</v>
      </c>
      <c r="Z101" s="640">
        <v>0</v>
      </c>
      <c r="AA101" s="640">
        <v>0</v>
      </c>
      <c r="AB101" s="640">
        <v>0</v>
      </c>
      <c r="AC101" s="640">
        <v>0</v>
      </c>
      <c r="AD101" s="640">
        <v>0</v>
      </c>
      <c r="AE101" s="640">
        <v>0</v>
      </c>
      <c r="AF101" s="640">
        <v>0</v>
      </c>
      <c r="AG101" s="640">
        <v>0</v>
      </c>
      <c r="AH101" s="640">
        <v>0</v>
      </c>
      <c r="AI101" s="640">
        <v>0</v>
      </c>
      <c r="AJ101" s="640">
        <v>0</v>
      </c>
      <c r="AK101" s="648">
        <v>6.1147309349091987</v>
      </c>
    </row>
    <row r="102" spans="3:37" x14ac:dyDescent="0.2">
      <c r="C102" s="646" t="s">
        <v>75</v>
      </c>
      <c r="D102" s="640">
        <v>11.135208984375002</v>
      </c>
      <c r="E102" s="640">
        <v>0</v>
      </c>
      <c r="F102" s="640">
        <v>18.035338972064878</v>
      </c>
      <c r="G102" s="640">
        <v>5.1464370207933356</v>
      </c>
      <c r="H102" s="640">
        <v>0</v>
      </c>
      <c r="I102" s="640">
        <v>0</v>
      </c>
      <c r="J102" s="640">
        <v>0</v>
      </c>
      <c r="K102" s="640">
        <v>0</v>
      </c>
      <c r="L102" s="640">
        <v>0</v>
      </c>
      <c r="M102" s="640">
        <v>0.10502932695496604</v>
      </c>
      <c r="N102" s="640">
        <v>0</v>
      </c>
      <c r="O102" s="640">
        <v>0</v>
      </c>
      <c r="P102" s="640">
        <v>31.859130537431355</v>
      </c>
      <c r="Q102" s="640">
        <v>0</v>
      </c>
      <c r="R102" s="640">
        <v>0</v>
      </c>
      <c r="S102" s="648">
        <v>66.281144841619536</v>
      </c>
      <c r="U102" s="646" t="s">
        <v>75</v>
      </c>
      <c r="V102" s="640">
        <v>3.871097900390625</v>
      </c>
      <c r="W102" s="640">
        <v>0</v>
      </c>
      <c r="X102" s="640">
        <v>18.035338972064878</v>
      </c>
      <c r="Y102" s="640">
        <v>3.9911144242887096</v>
      </c>
      <c r="Z102" s="640">
        <v>0</v>
      </c>
      <c r="AA102" s="640">
        <v>0</v>
      </c>
      <c r="AB102" s="640">
        <v>0</v>
      </c>
      <c r="AC102" s="640">
        <v>0</v>
      </c>
      <c r="AD102" s="640">
        <v>0</v>
      </c>
      <c r="AE102" s="640">
        <v>1.2603519234595923</v>
      </c>
      <c r="AF102" s="640">
        <v>0</v>
      </c>
      <c r="AG102" s="640">
        <v>0</v>
      </c>
      <c r="AH102" s="640">
        <v>35.363675991976798</v>
      </c>
      <c r="AI102" s="640">
        <v>0</v>
      </c>
      <c r="AJ102" s="640">
        <v>0</v>
      </c>
      <c r="AK102" s="648">
        <v>62.521579212180605</v>
      </c>
    </row>
    <row r="103" spans="3:37" x14ac:dyDescent="0.2">
      <c r="C103" s="646" t="s">
        <v>76</v>
      </c>
      <c r="D103" s="640">
        <v>0</v>
      </c>
      <c r="E103" s="640">
        <v>0</v>
      </c>
      <c r="F103" s="640">
        <v>0</v>
      </c>
      <c r="G103" s="640">
        <v>3.818307882847094</v>
      </c>
      <c r="H103" s="640">
        <v>0</v>
      </c>
      <c r="I103" s="640">
        <v>0</v>
      </c>
      <c r="J103" s="640">
        <v>0</v>
      </c>
      <c r="K103" s="640">
        <v>0</v>
      </c>
      <c r="L103" s="640">
        <v>0</v>
      </c>
      <c r="M103" s="640">
        <v>7.7924650670348858E-2</v>
      </c>
      <c r="N103" s="640">
        <v>0</v>
      </c>
      <c r="O103" s="640">
        <v>0</v>
      </c>
      <c r="P103" s="640">
        <v>43.831436480126726</v>
      </c>
      <c r="Q103" s="640">
        <v>2.9732290990631256</v>
      </c>
      <c r="R103" s="640">
        <v>0</v>
      </c>
      <c r="S103" s="648">
        <v>50.700898112707293</v>
      </c>
      <c r="U103" s="646" t="s">
        <v>76</v>
      </c>
      <c r="V103" s="640">
        <v>0</v>
      </c>
      <c r="W103" s="640">
        <v>0</v>
      </c>
      <c r="X103" s="640">
        <v>0</v>
      </c>
      <c r="Y103" s="640">
        <v>1.9196559923426515</v>
      </c>
      <c r="Z103" s="640">
        <v>0</v>
      </c>
      <c r="AA103" s="640">
        <v>0</v>
      </c>
      <c r="AB103" s="640">
        <v>0</v>
      </c>
      <c r="AC103" s="640">
        <v>0</v>
      </c>
      <c r="AD103" s="640">
        <v>0</v>
      </c>
      <c r="AE103" s="640">
        <v>0.60620715547662674</v>
      </c>
      <c r="AF103" s="640">
        <v>0</v>
      </c>
      <c r="AG103" s="640">
        <v>0</v>
      </c>
      <c r="AH103" s="640">
        <v>46.019363501687437</v>
      </c>
      <c r="AI103" s="640">
        <v>5.777975473960776</v>
      </c>
      <c r="AJ103" s="640">
        <v>0</v>
      </c>
      <c r="AK103" s="648">
        <v>54.323202123467496</v>
      </c>
    </row>
    <row r="104" spans="3:37" x14ac:dyDescent="0.2">
      <c r="C104" s="644" t="s">
        <v>77</v>
      </c>
      <c r="D104" s="645">
        <v>42.595389156650249</v>
      </c>
      <c r="E104" s="645">
        <v>512.07101402008323</v>
      </c>
      <c r="F104" s="645">
        <v>-475.37027517557942</v>
      </c>
      <c r="G104" s="645">
        <v>45.431468836290541</v>
      </c>
      <c r="H104" s="645">
        <v>1005.4545454545456</v>
      </c>
      <c r="I104" s="645">
        <v>248.9826967827097</v>
      </c>
      <c r="J104" s="645">
        <v>80.437005845832218</v>
      </c>
      <c r="K104" s="645">
        <v>19.274644219008216</v>
      </c>
      <c r="L104" s="645">
        <v>-27.744915177955058</v>
      </c>
      <c r="M104" s="645">
        <v>-5.5053764823246025</v>
      </c>
      <c r="N104" s="645">
        <v>0</v>
      </c>
      <c r="O104" s="645">
        <v>7.5107048600595583</v>
      </c>
      <c r="P104" s="645">
        <v>-535.43545660423092</v>
      </c>
      <c r="Q104" s="645">
        <v>-35.336417016114851</v>
      </c>
      <c r="R104" s="645">
        <v>-3.3759231375725771</v>
      </c>
      <c r="S104" s="645">
        <v>878.98910558140176</v>
      </c>
      <c r="U104" s="644" t="s">
        <v>77</v>
      </c>
      <c r="V104" s="645">
        <v>7.3313517096579091</v>
      </c>
      <c r="W104" s="645">
        <v>296.81978048971496</v>
      </c>
      <c r="X104" s="645">
        <v>-268.59165507893914</v>
      </c>
      <c r="Y104" s="645">
        <v>37.810508746513442</v>
      </c>
      <c r="Z104" s="645">
        <v>949.39393939393938</v>
      </c>
      <c r="AA104" s="645">
        <v>279.58269678270966</v>
      </c>
      <c r="AB104" s="645">
        <v>109.41365069482983</v>
      </c>
      <c r="AC104" s="645">
        <v>32.337237556024441</v>
      </c>
      <c r="AD104" s="645">
        <v>-108.21090121602258</v>
      </c>
      <c r="AE104" s="645">
        <v>-39.044213230920668</v>
      </c>
      <c r="AF104" s="645">
        <v>0</v>
      </c>
      <c r="AG104" s="645">
        <v>15.111636584499612</v>
      </c>
      <c r="AH104" s="645">
        <v>-513.7236210244123</v>
      </c>
      <c r="AI104" s="645">
        <v>-68.726254812515464</v>
      </c>
      <c r="AJ104" s="645">
        <v>-20.360394688196585</v>
      </c>
      <c r="AK104" s="645">
        <v>709.14376190688279</v>
      </c>
    </row>
    <row r="105" spans="3:37" x14ac:dyDescent="0.2">
      <c r="C105" s="634"/>
      <c r="D105" s="634">
        <v>0</v>
      </c>
      <c r="E105" s="634">
        <v>0</v>
      </c>
      <c r="F105" s="634">
        <v>0</v>
      </c>
      <c r="G105" s="634">
        <v>0</v>
      </c>
      <c r="H105" s="634">
        <v>0</v>
      </c>
      <c r="I105" s="634">
        <v>0</v>
      </c>
      <c r="J105" s="634">
        <v>0</v>
      </c>
      <c r="K105" s="634">
        <v>0</v>
      </c>
      <c r="L105" s="634">
        <v>0</v>
      </c>
      <c r="M105" s="634">
        <v>0</v>
      </c>
      <c r="N105" s="634">
        <v>0</v>
      </c>
      <c r="O105" s="634">
        <v>0</v>
      </c>
      <c r="P105" s="634">
        <v>0</v>
      </c>
      <c r="Q105" s="634">
        <v>0</v>
      </c>
      <c r="R105" s="634">
        <v>0</v>
      </c>
      <c r="S105" s="634">
        <v>0</v>
      </c>
      <c r="U105" s="634"/>
      <c r="V105" s="634">
        <v>0</v>
      </c>
      <c r="W105" s="634">
        <v>0</v>
      </c>
      <c r="X105" s="634">
        <v>0</v>
      </c>
      <c r="Y105" s="634">
        <v>0</v>
      </c>
      <c r="Z105" s="634">
        <v>0</v>
      </c>
      <c r="AA105" s="634">
        <v>0</v>
      </c>
      <c r="AB105" s="634">
        <v>0</v>
      </c>
      <c r="AC105" s="634">
        <v>0</v>
      </c>
      <c r="AD105" s="634">
        <v>0</v>
      </c>
      <c r="AE105" s="634">
        <v>0</v>
      </c>
      <c r="AF105" s="634">
        <v>0</v>
      </c>
      <c r="AG105" s="634">
        <v>0</v>
      </c>
      <c r="AH105" s="634">
        <v>0</v>
      </c>
      <c r="AI105" s="634">
        <v>0</v>
      </c>
      <c r="AJ105" s="634">
        <v>0</v>
      </c>
      <c r="AK105" s="634">
        <v>0</v>
      </c>
    </row>
    <row r="106" spans="3:37" x14ac:dyDescent="0.2">
      <c r="C106" s="646" t="s">
        <v>78</v>
      </c>
      <c r="D106" s="640">
        <v>5.7766123047996905</v>
      </c>
      <c r="E106" s="640">
        <v>0</v>
      </c>
      <c r="F106" s="640">
        <v>22.402619678599791</v>
      </c>
      <c r="G106" s="640">
        <v>99.281124041468402</v>
      </c>
      <c r="H106" s="640">
        <v>0</v>
      </c>
      <c r="I106" s="640">
        <v>0</v>
      </c>
      <c r="J106" s="640">
        <v>20.258622771310847</v>
      </c>
      <c r="K106" s="640">
        <v>1.7675748663376085</v>
      </c>
      <c r="L106" s="640">
        <v>0.898333240234375</v>
      </c>
      <c r="M106" s="640">
        <v>2.0447588657198987</v>
      </c>
      <c r="N106" s="640">
        <v>0</v>
      </c>
      <c r="O106" s="640">
        <v>3.7946622282562846E-4</v>
      </c>
      <c r="P106" s="640">
        <v>110.87393457022205</v>
      </c>
      <c r="Q106" s="640">
        <v>16.091742927144434</v>
      </c>
      <c r="R106" s="640">
        <v>0.31004003906249999</v>
      </c>
      <c r="S106" s="648">
        <v>279.70574277112252</v>
      </c>
      <c r="U106" s="646" t="s">
        <v>78</v>
      </c>
      <c r="V106" s="640">
        <v>1.065232959954733</v>
      </c>
      <c r="W106" s="640">
        <v>0</v>
      </c>
      <c r="X106" s="640">
        <v>10.225742404389669</v>
      </c>
      <c r="Y106" s="640">
        <v>56.981112862578769</v>
      </c>
      <c r="Z106" s="640">
        <v>0</v>
      </c>
      <c r="AA106" s="640">
        <v>0</v>
      </c>
      <c r="AB106" s="640">
        <v>15.894636498884354</v>
      </c>
      <c r="AC106" s="640">
        <v>5.4662409336494147</v>
      </c>
      <c r="AD106" s="640">
        <v>3.5459101562500011</v>
      </c>
      <c r="AE106" s="640">
        <v>18.012649117932849</v>
      </c>
      <c r="AF106" s="640">
        <v>0</v>
      </c>
      <c r="AG106" s="640">
        <v>3.7946622282562846E-4</v>
      </c>
      <c r="AH106" s="640">
        <v>139.02742097426295</v>
      </c>
      <c r="AI106" s="640">
        <v>22.276590949645215</v>
      </c>
      <c r="AJ106" s="640">
        <v>6.4302626953124999</v>
      </c>
      <c r="AK106" s="648">
        <v>278.92617901908329</v>
      </c>
    </row>
    <row r="107" spans="3:37" x14ac:dyDescent="0.2">
      <c r="C107" s="646" t="s">
        <v>79</v>
      </c>
      <c r="D107" s="640">
        <v>0</v>
      </c>
      <c r="E107" s="640">
        <v>0</v>
      </c>
      <c r="F107" s="640">
        <v>266.09529408288529</v>
      </c>
      <c r="G107" s="640">
        <v>27.519674276690072</v>
      </c>
      <c r="H107" s="640">
        <v>0</v>
      </c>
      <c r="I107" s="640">
        <v>0</v>
      </c>
      <c r="J107" s="640">
        <v>0</v>
      </c>
      <c r="K107" s="640">
        <v>0</v>
      </c>
      <c r="L107" s="640">
        <v>25.787483151262677</v>
      </c>
      <c r="M107" s="640">
        <v>0.56162600564673626</v>
      </c>
      <c r="N107" s="640">
        <v>0</v>
      </c>
      <c r="O107" s="640">
        <v>0</v>
      </c>
      <c r="P107" s="640">
        <v>55.913522242788574</v>
      </c>
      <c r="Q107" s="640">
        <v>0</v>
      </c>
      <c r="R107" s="640">
        <v>1.6351140344190074</v>
      </c>
      <c r="S107" s="648">
        <v>377.5127137936924</v>
      </c>
      <c r="U107" s="646" t="s">
        <v>79</v>
      </c>
      <c r="V107" s="640">
        <v>0</v>
      </c>
      <c r="W107" s="640">
        <v>0</v>
      </c>
      <c r="X107" s="640">
        <v>96.606255591578162</v>
      </c>
      <c r="Y107" s="640">
        <v>18.337650579977414</v>
      </c>
      <c r="Z107" s="640">
        <v>0</v>
      </c>
      <c r="AA107" s="640">
        <v>0</v>
      </c>
      <c r="AB107" s="640">
        <v>0</v>
      </c>
      <c r="AC107" s="640">
        <v>0</v>
      </c>
      <c r="AD107" s="640">
        <v>50.618247990049454</v>
      </c>
      <c r="AE107" s="640">
        <v>5.9499820008855142</v>
      </c>
      <c r="AF107" s="640">
        <v>0</v>
      </c>
      <c r="AG107" s="640">
        <v>0</v>
      </c>
      <c r="AH107" s="640">
        <v>73.690348279738799</v>
      </c>
      <c r="AI107" s="640">
        <v>0</v>
      </c>
      <c r="AJ107" s="640">
        <v>3.6092463767880076</v>
      </c>
      <c r="AK107" s="648">
        <v>248.81173081901736</v>
      </c>
    </row>
    <row r="108" spans="3:37" x14ac:dyDescent="0.2">
      <c r="C108" s="646" t="s">
        <v>80</v>
      </c>
      <c r="D108" s="640">
        <v>0</v>
      </c>
      <c r="E108" s="640">
        <v>0</v>
      </c>
      <c r="F108" s="640">
        <v>20.365336948925044</v>
      </c>
      <c r="G108" s="640">
        <v>85.23124323075227</v>
      </c>
      <c r="H108" s="640">
        <v>0</v>
      </c>
      <c r="I108" s="640">
        <v>0</v>
      </c>
      <c r="J108" s="640">
        <v>86.726820353783026</v>
      </c>
      <c r="K108" s="640">
        <v>0</v>
      </c>
      <c r="L108" s="640">
        <v>0</v>
      </c>
      <c r="M108" s="640">
        <v>1.7394131271582098</v>
      </c>
      <c r="N108" s="640">
        <v>52.217429119397167</v>
      </c>
      <c r="O108" s="640">
        <v>2.0042749347218733</v>
      </c>
      <c r="P108" s="640">
        <v>185.58174281281848</v>
      </c>
      <c r="Q108" s="640">
        <v>15.554343379011728</v>
      </c>
      <c r="R108" s="640">
        <v>0</v>
      </c>
      <c r="S108" s="648">
        <v>449.42060390656781</v>
      </c>
      <c r="U108" s="646" t="s">
        <v>80</v>
      </c>
      <c r="V108" s="640">
        <v>0</v>
      </c>
      <c r="W108" s="640">
        <v>0</v>
      </c>
      <c r="X108" s="640">
        <v>1.2585168598114169</v>
      </c>
      <c r="Y108" s="640">
        <v>24.208168890995722</v>
      </c>
      <c r="Z108" s="640">
        <v>0</v>
      </c>
      <c r="AA108" s="640">
        <v>0</v>
      </c>
      <c r="AB108" s="640">
        <v>64.793825414524548</v>
      </c>
      <c r="AC108" s="640">
        <v>0</v>
      </c>
      <c r="AD108" s="640">
        <v>0</v>
      </c>
      <c r="AE108" s="640">
        <v>7.6446849129460164</v>
      </c>
      <c r="AF108" s="640">
        <v>71.984931036617454</v>
      </c>
      <c r="AG108" s="640">
        <v>3.153558114778761</v>
      </c>
      <c r="AH108" s="640">
        <v>153.74527198137548</v>
      </c>
      <c r="AI108" s="640">
        <v>35.336807466581455</v>
      </c>
      <c r="AJ108" s="640">
        <v>0</v>
      </c>
      <c r="AK108" s="648">
        <v>362.12576467763085</v>
      </c>
    </row>
    <row r="109" spans="3:37" x14ac:dyDescent="0.2">
      <c r="C109" s="646" t="s">
        <v>81</v>
      </c>
      <c r="D109" s="640">
        <v>0</v>
      </c>
      <c r="E109" s="640">
        <v>0</v>
      </c>
      <c r="F109" s="640">
        <v>7.1130915409553364</v>
      </c>
      <c r="G109" s="640">
        <v>63.054682395398032</v>
      </c>
      <c r="H109" s="640">
        <v>0</v>
      </c>
      <c r="I109" s="640">
        <v>0</v>
      </c>
      <c r="J109" s="640">
        <v>3.2976998041276677</v>
      </c>
      <c r="K109" s="640">
        <v>2.5104122720965388E-2</v>
      </c>
      <c r="L109" s="640">
        <v>0</v>
      </c>
      <c r="M109" s="640">
        <v>1.2868302529673068</v>
      </c>
      <c r="N109" s="640">
        <v>8.6154760361565579</v>
      </c>
      <c r="O109" s="640">
        <v>0.75786341807650337</v>
      </c>
      <c r="P109" s="640">
        <v>137.18962935697431</v>
      </c>
      <c r="Q109" s="640">
        <v>3.6903307099586842</v>
      </c>
      <c r="R109" s="640">
        <v>0</v>
      </c>
      <c r="S109" s="648">
        <v>225.03070763733538</v>
      </c>
      <c r="U109" s="646" t="s">
        <v>81</v>
      </c>
      <c r="V109" s="640">
        <v>0</v>
      </c>
      <c r="W109" s="640">
        <v>0</v>
      </c>
      <c r="X109" s="640">
        <v>2.1697022188790429</v>
      </c>
      <c r="Y109" s="640">
        <v>20.911765460712612</v>
      </c>
      <c r="Z109" s="640">
        <v>0</v>
      </c>
      <c r="AA109" s="640">
        <v>0</v>
      </c>
      <c r="AB109" s="640">
        <v>7.3285872023111214</v>
      </c>
      <c r="AC109" s="640">
        <v>2.5104122720965388E-2</v>
      </c>
      <c r="AD109" s="640">
        <v>0</v>
      </c>
      <c r="AE109" s="640">
        <v>6.6037154086460879</v>
      </c>
      <c r="AF109" s="640">
        <v>14.491680733710758</v>
      </c>
      <c r="AG109" s="640">
        <v>1.6347019702159422</v>
      </c>
      <c r="AH109" s="640">
        <v>117.90366143236871</v>
      </c>
      <c r="AI109" s="640">
        <v>11.11285639628878</v>
      </c>
      <c r="AJ109" s="640">
        <v>0</v>
      </c>
      <c r="AK109" s="648">
        <v>182.18177494585402</v>
      </c>
    </row>
    <row r="110" spans="3:37" x14ac:dyDescent="0.2">
      <c r="C110" s="646" t="s">
        <v>82</v>
      </c>
      <c r="D110" s="640">
        <v>0</v>
      </c>
      <c r="E110" s="640">
        <v>0</v>
      </c>
      <c r="F110" s="640">
        <v>30.218764596795413</v>
      </c>
      <c r="G110" s="640">
        <v>1.4924386728389218</v>
      </c>
      <c r="H110" s="640">
        <v>0</v>
      </c>
      <c r="I110" s="640">
        <v>0</v>
      </c>
      <c r="J110" s="640">
        <v>3.2225859194218685</v>
      </c>
      <c r="K110" s="640">
        <v>0</v>
      </c>
      <c r="L110" s="640">
        <v>2.9019247412329854</v>
      </c>
      <c r="M110" s="640">
        <v>3.0457932098753505E-2</v>
      </c>
      <c r="N110" s="640">
        <v>0</v>
      </c>
      <c r="O110" s="640">
        <v>7.4767074498679406E-2</v>
      </c>
      <c r="P110" s="640">
        <v>6.6555854929198803</v>
      </c>
      <c r="Q110" s="640">
        <v>0</v>
      </c>
      <c r="R110" s="640">
        <v>0</v>
      </c>
      <c r="S110" s="648">
        <v>44.596524429806507</v>
      </c>
      <c r="U110" s="646" t="s">
        <v>82</v>
      </c>
      <c r="V110" s="640">
        <v>0</v>
      </c>
      <c r="W110" s="640">
        <v>0</v>
      </c>
      <c r="X110" s="640">
        <v>13.476198254352189</v>
      </c>
      <c r="Y110" s="640">
        <v>1.4718796614135594</v>
      </c>
      <c r="Z110" s="640">
        <v>0</v>
      </c>
      <c r="AA110" s="640">
        <v>0</v>
      </c>
      <c r="AB110" s="640">
        <v>3.2225859194218685</v>
      </c>
      <c r="AC110" s="640">
        <v>0</v>
      </c>
      <c r="AD110" s="640">
        <v>23.463730160224294</v>
      </c>
      <c r="AE110" s="640">
        <v>0.46480410360428193</v>
      </c>
      <c r="AF110" s="640">
        <v>0</v>
      </c>
      <c r="AG110" s="640">
        <v>1.1655332190637568</v>
      </c>
      <c r="AH110" s="640">
        <v>6.7433697745475678</v>
      </c>
      <c r="AI110" s="640">
        <v>0</v>
      </c>
      <c r="AJ110" s="640">
        <v>0.29485655237537339</v>
      </c>
      <c r="AK110" s="648">
        <v>50.302957645002891</v>
      </c>
    </row>
    <row r="111" spans="3:37" x14ac:dyDescent="0.2">
      <c r="C111" s="646" t="s">
        <v>354</v>
      </c>
      <c r="D111" s="640">
        <v>0</v>
      </c>
      <c r="E111" s="640">
        <v>0</v>
      </c>
      <c r="F111" s="640">
        <v>0</v>
      </c>
      <c r="G111" s="640">
        <v>0</v>
      </c>
      <c r="H111" s="640">
        <v>0</v>
      </c>
      <c r="I111" s="640">
        <v>0</v>
      </c>
      <c r="J111" s="640">
        <v>0</v>
      </c>
      <c r="K111" s="640">
        <v>0</v>
      </c>
      <c r="L111" s="640">
        <v>0</v>
      </c>
      <c r="M111" s="640">
        <v>0</v>
      </c>
      <c r="N111" s="640">
        <v>0</v>
      </c>
      <c r="O111" s="640">
        <v>0</v>
      </c>
      <c r="P111" s="640">
        <v>0.27899999999999997</v>
      </c>
      <c r="Q111" s="640">
        <v>0</v>
      </c>
      <c r="R111" s="640">
        <v>0</v>
      </c>
      <c r="S111" s="648">
        <v>0.27899999999999997</v>
      </c>
      <c r="U111" s="646" t="s">
        <v>354</v>
      </c>
      <c r="V111" s="640">
        <v>0</v>
      </c>
      <c r="W111" s="640">
        <v>0</v>
      </c>
      <c r="X111" s="640">
        <v>0</v>
      </c>
      <c r="Y111" s="640">
        <v>0</v>
      </c>
      <c r="Z111" s="640">
        <v>0</v>
      </c>
      <c r="AA111" s="640">
        <v>0</v>
      </c>
      <c r="AB111" s="640">
        <v>0</v>
      </c>
      <c r="AC111" s="640">
        <v>0</v>
      </c>
      <c r="AD111" s="640">
        <v>0</v>
      </c>
      <c r="AE111" s="640">
        <v>0</v>
      </c>
      <c r="AF111" s="640">
        <v>0</v>
      </c>
      <c r="AG111" s="640">
        <v>0</v>
      </c>
      <c r="AH111" s="640">
        <v>1.92</v>
      </c>
      <c r="AI111" s="640">
        <v>0</v>
      </c>
      <c r="AJ111" s="640">
        <v>0</v>
      </c>
      <c r="AK111" s="648">
        <v>1.92</v>
      </c>
    </row>
    <row r="112" spans="3:37" x14ac:dyDescent="0.2">
      <c r="C112" s="644" t="s">
        <v>83</v>
      </c>
      <c r="D112" s="645">
        <v>5.7766123047996905</v>
      </c>
      <c r="E112" s="645">
        <v>0</v>
      </c>
      <c r="F112" s="645">
        <v>346.19510684816078</v>
      </c>
      <c r="G112" s="645">
        <v>276.57916261714774</v>
      </c>
      <c r="H112" s="645">
        <v>0</v>
      </c>
      <c r="I112" s="645">
        <v>0</v>
      </c>
      <c r="J112" s="645">
        <v>113.50572884864343</v>
      </c>
      <c r="K112" s="645">
        <v>1.7926789890585739</v>
      </c>
      <c r="L112" s="645">
        <v>29.587741132730038</v>
      </c>
      <c r="M112" s="645">
        <v>5.6630861835909059</v>
      </c>
      <c r="N112" s="645">
        <v>60.832905155553725</v>
      </c>
      <c r="O112" s="645">
        <v>2.8372848935198816</v>
      </c>
      <c r="P112" s="645">
        <v>496.49341447572323</v>
      </c>
      <c r="Q112" s="645">
        <v>35.336417016114851</v>
      </c>
      <c r="R112" s="645">
        <v>1.9451540734815074</v>
      </c>
      <c r="S112" s="645">
        <v>1376.5452925385248</v>
      </c>
      <c r="U112" s="644" t="s">
        <v>83</v>
      </c>
      <c r="V112" s="645">
        <v>1.065232959954733</v>
      </c>
      <c r="W112" s="645">
        <v>0</v>
      </c>
      <c r="X112" s="645">
        <v>123.73641532901047</v>
      </c>
      <c r="Y112" s="645">
        <v>121.91057745567808</v>
      </c>
      <c r="Z112" s="645">
        <v>0</v>
      </c>
      <c r="AA112" s="645">
        <v>0</v>
      </c>
      <c r="AB112" s="645">
        <v>91.239635035141916</v>
      </c>
      <c r="AC112" s="645">
        <v>5.4913450563703794</v>
      </c>
      <c r="AD112" s="645">
        <v>77.627888306523744</v>
      </c>
      <c r="AE112" s="645">
        <v>38.675835544014738</v>
      </c>
      <c r="AF112" s="645">
        <v>86.476611770328219</v>
      </c>
      <c r="AG112" s="645">
        <v>5.9541727702812857</v>
      </c>
      <c r="AH112" s="645">
        <v>493.03007244229349</v>
      </c>
      <c r="AI112" s="645">
        <v>68.72625481251545</v>
      </c>
      <c r="AJ112" s="645">
        <v>10.334365624475881</v>
      </c>
      <c r="AK112" s="645">
        <v>1124.2684071065887</v>
      </c>
    </row>
    <row r="113" spans="3:37" x14ac:dyDescent="0.2">
      <c r="C113" s="639" t="s">
        <v>84</v>
      </c>
      <c r="D113" s="640">
        <v>0</v>
      </c>
      <c r="E113" s="640">
        <v>0</v>
      </c>
      <c r="F113" s="640">
        <v>111.73719287700069</v>
      </c>
      <c r="G113" s="640">
        <v>11.878700409877391</v>
      </c>
      <c r="H113" s="640">
        <v>0</v>
      </c>
      <c r="I113" s="640">
        <v>0</v>
      </c>
      <c r="J113" s="640">
        <v>0</v>
      </c>
      <c r="K113" s="640">
        <v>0</v>
      </c>
      <c r="L113" s="640">
        <v>0</v>
      </c>
      <c r="M113" s="640">
        <v>0</v>
      </c>
      <c r="N113" s="640">
        <v>0</v>
      </c>
      <c r="O113" s="640">
        <v>0</v>
      </c>
      <c r="P113" s="640">
        <v>0</v>
      </c>
      <c r="Q113" s="640">
        <v>0</v>
      </c>
      <c r="R113" s="640">
        <v>1.43076906409107</v>
      </c>
      <c r="S113" s="648">
        <v>125.04666235096916</v>
      </c>
      <c r="U113" s="639" t="s">
        <v>84</v>
      </c>
      <c r="V113" s="640">
        <v>0</v>
      </c>
      <c r="W113" s="640">
        <v>0</v>
      </c>
      <c r="X113" s="640">
        <v>90.362960784166091</v>
      </c>
      <c r="Y113" s="640">
        <v>1.2615947910933976</v>
      </c>
      <c r="Z113" s="640">
        <v>0</v>
      </c>
      <c r="AA113" s="640">
        <v>0</v>
      </c>
      <c r="AB113" s="640">
        <v>0</v>
      </c>
      <c r="AC113" s="640">
        <v>0</v>
      </c>
      <c r="AD113" s="640">
        <v>14.679117373046875</v>
      </c>
      <c r="AE113" s="640">
        <v>0</v>
      </c>
      <c r="AF113" s="640">
        <v>0</v>
      </c>
      <c r="AG113" s="640">
        <v>0</v>
      </c>
      <c r="AH113" s="640">
        <v>0</v>
      </c>
      <c r="AI113" s="640">
        <v>0</v>
      </c>
      <c r="AJ113" s="640">
        <v>10.026029063720703</v>
      </c>
      <c r="AK113" s="648">
        <v>116.32970201202707</v>
      </c>
    </row>
    <row r="114" spans="3:37" x14ac:dyDescent="0.2">
      <c r="C114" s="644" t="s">
        <v>85</v>
      </c>
      <c r="D114" s="645">
        <v>5.7766123047996905</v>
      </c>
      <c r="E114" s="645">
        <v>0</v>
      </c>
      <c r="F114" s="645">
        <v>457.9322997251615</v>
      </c>
      <c r="G114" s="645">
        <v>288.45786302702516</v>
      </c>
      <c r="H114" s="645">
        <v>0</v>
      </c>
      <c r="I114" s="645">
        <v>0</v>
      </c>
      <c r="J114" s="645">
        <v>113.50572884864343</v>
      </c>
      <c r="K114" s="645">
        <v>1.7926789890585739</v>
      </c>
      <c r="L114" s="645">
        <v>29.587741132730038</v>
      </c>
      <c r="M114" s="645">
        <v>5.6630861835909059</v>
      </c>
      <c r="N114" s="645">
        <v>60.832905155553725</v>
      </c>
      <c r="O114" s="645">
        <v>2.8372848935198816</v>
      </c>
      <c r="P114" s="645">
        <v>496.49341447572323</v>
      </c>
      <c r="Q114" s="645">
        <v>35.336417016114851</v>
      </c>
      <c r="R114" s="645">
        <v>3.3759231375725776</v>
      </c>
      <c r="S114" s="645">
        <v>1501.5919548894938</v>
      </c>
      <c r="U114" s="644" t="s">
        <v>85</v>
      </c>
      <c r="V114" s="645">
        <v>1.065232959954733</v>
      </c>
      <c r="W114" s="645">
        <v>0</v>
      </c>
      <c r="X114" s="645">
        <v>214.09937611317656</v>
      </c>
      <c r="Y114" s="645">
        <v>123.17217224677148</v>
      </c>
      <c r="Z114" s="645">
        <v>0</v>
      </c>
      <c r="AA114" s="645">
        <v>0</v>
      </c>
      <c r="AB114" s="645">
        <v>91.239635035141916</v>
      </c>
      <c r="AC114" s="645">
        <v>5.4913450563703794</v>
      </c>
      <c r="AD114" s="645">
        <v>92.307005679570622</v>
      </c>
      <c r="AE114" s="645">
        <v>38.675835544014738</v>
      </c>
      <c r="AF114" s="645">
        <v>86.476611770328219</v>
      </c>
      <c r="AG114" s="645">
        <v>5.9541727702812857</v>
      </c>
      <c r="AH114" s="645">
        <v>493.03007244229349</v>
      </c>
      <c r="AI114" s="645">
        <v>68.72625481251545</v>
      </c>
      <c r="AJ114" s="645">
        <v>20.360394688196585</v>
      </c>
      <c r="AK114" s="645">
        <v>1240.5981091186156</v>
      </c>
    </row>
    <row r="115" spans="3:37" x14ac:dyDescent="0.2">
      <c r="C115" s="634"/>
      <c r="D115" s="634"/>
      <c r="E115" s="634"/>
      <c r="F115" s="634"/>
      <c r="G115" s="634"/>
      <c r="H115" s="634"/>
      <c r="I115" s="634"/>
      <c r="J115" s="634"/>
      <c r="K115" s="634"/>
      <c r="L115" s="634"/>
      <c r="M115" s="634"/>
      <c r="N115" s="634"/>
      <c r="O115" s="634"/>
      <c r="P115" s="634"/>
      <c r="Q115" s="634"/>
      <c r="R115" s="634"/>
      <c r="S115" s="634"/>
      <c r="U115" s="634"/>
      <c r="V115" s="634"/>
      <c r="W115" s="634"/>
      <c r="X115" s="634"/>
      <c r="Y115" s="634"/>
      <c r="Z115" s="634"/>
      <c r="AA115" s="634"/>
      <c r="AB115" s="634"/>
      <c r="AC115" s="634"/>
      <c r="AD115" s="634"/>
      <c r="AE115" s="634"/>
      <c r="AF115" s="634"/>
      <c r="AG115" s="634"/>
      <c r="AH115" s="634"/>
      <c r="AI115" s="634"/>
      <c r="AJ115" s="634"/>
      <c r="AK115" s="634"/>
    </row>
    <row r="116" spans="3:37" ht="22.5" x14ac:dyDescent="0.3">
      <c r="C116" s="759" t="s">
        <v>360</v>
      </c>
      <c r="D116" s="759"/>
      <c r="E116" s="759"/>
      <c r="F116" s="759"/>
      <c r="G116" s="759"/>
      <c r="H116" s="759"/>
      <c r="I116" s="759"/>
      <c r="J116" s="759"/>
      <c r="K116" s="759"/>
      <c r="L116" s="759"/>
      <c r="M116" s="759"/>
      <c r="N116" s="759"/>
      <c r="O116" s="759"/>
      <c r="P116" s="759"/>
      <c r="Q116" s="759"/>
      <c r="R116" s="759"/>
      <c r="S116" s="759"/>
      <c r="U116" s="759" t="s">
        <v>360</v>
      </c>
      <c r="V116" s="759"/>
      <c r="W116" s="759"/>
      <c r="X116" s="759"/>
      <c r="Y116" s="759"/>
      <c r="Z116" s="759"/>
      <c r="AA116" s="759"/>
      <c r="AB116" s="759"/>
      <c r="AC116" s="759"/>
      <c r="AD116" s="759"/>
      <c r="AE116" s="759"/>
      <c r="AF116" s="759"/>
      <c r="AG116" s="759"/>
      <c r="AH116" s="759"/>
      <c r="AI116" s="759"/>
      <c r="AJ116" s="759"/>
      <c r="AK116" s="759"/>
    </row>
    <row r="117" spans="3:37" x14ac:dyDescent="0.2">
      <c r="C117" s="634"/>
      <c r="D117" s="634"/>
      <c r="E117" s="634"/>
      <c r="F117" s="634"/>
      <c r="G117" s="634"/>
      <c r="H117" s="634"/>
      <c r="I117" s="634"/>
      <c r="J117" s="634"/>
      <c r="K117" s="634"/>
      <c r="L117" s="634"/>
      <c r="M117" s="634"/>
      <c r="N117" s="634"/>
      <c r="O117" s="634"/>
      <c r="P117" s="634"/>
      <c r="Q117" s="634"/>
      <c r="R117" s="634"/>
      <c r="S117" s="634"/>
      <c r="U117" s="634"/>
      <c r="V117" s="634"/>
      <c r="W117" s="634"/>
      <c r="X117" s="634"/>
      <c r="Y117" s="634"/>
      <c r="Z117" s="634"/>
      <c r="AA117" s="634"/>
      <c r="AB117" s="634"/>
      <c r="AC117" s="634"/>
      <c r="AD117" s="634"/>
      <c r="AE117" s="634"/>
      <c r="AF117" s="634"/>
      <c r="AG117" s="634"/>
      <c r="AH117" s="634"/>
      <c r="AI117" s="634"/>
      <c r="AJ117" s="634"/>
      <c r="AK117" s="634"/>
    </row>
    <row r="118" spans="3:37" ht="12.95" customHeight="1" x14ac:dyDescent="0.2">
      <c r="C118" s="758" t="s">
        <v>128</v>
      </c>
      <c r="D118" s="757" t="s">
        <v>42</v>
      </c>
      <c r="E118" s="757" t="s">
        <v>52</v>
      </c>
      <c r="F118" s="757" t="s">
        <v>53</v>
      </c>
      <c r="G118" s="757" t="s">
        <v>32</v>
      </c>
      <c r="H118" s="757" t="s">
        <v>20</v>
      </c>
      <c r="I118" s="757" t="s">
        <v>55</v>
      </c>
      <c r="J118" s="757" t="s">
        <v>56</v>
      </c>
      <c r="K118" s="757"/>
      <c r="L118" s="757"/>
      <c r="M118" s="757"/>
      <c r="N118" s="757"/>
      <c r="O118" s="757"/>
      <c r="P118" s="757" t="s">
        <v>57</v>
      </c>
      <c r="Q118" s="757" t="s">
        <v>58</v>
      </c>
      <c r="R118" s="757" t="s">
        <v>31</v>
      </c>
      <c r="S118" s="757" t="s">
        <v>10</v>
      </c>
      <c r="U118" s="758" t="s">
        <v>128</v>
      </c>
      <c r="V118" s="757" t="s">
        <v>42</v>
      </c>
      <c r="W118" s="757" t="s">
        <v>52</v>
      </c>
      <c r="X118" s="757" t="s">
        <v>53</v>
      </c>
      <c r="Y118" s="757" t="s">
        <v>32</v>
      </c>
      <c r="Z118" s="757" t="s">
        <v>20</v>
      </c>
      <c r="AA118" s="757" t="s">
        <v>55</v>
      </c>
      <c r="AB118" s="757" t="s">
        <v>56</v>
      </c>
      <c r="AC118" s="757"/>
      <c r="AD118" s="757"/>
      <c r="AE118" s="757"/>
      <c r="AF118" s="757"/>
      <c r="AG118" s="757"/>
      <c r="AH118" s="757" t="s">
        <v>57</v>
      </c>
      <c r="AI118" s="757" t="s">
        <v>58</v>
      </c>
      <c r="AJ118" s="757" t="s">
        <v>31</v>
      </c>
      <c r="AK118" s="757" t="s">
        <v>10</v>
      </c>
    </row>
    <row r="119" spans="3:37" ht="56.25" x14ac:dyDescent="0.2">
      <c r="C119" s="758"/>
      <c r="D119" s="757"/>
      <c r="E119" s="757"/>
      <c r="F119" s="757"/>
      <c r="G119" s="757"/>
      <c r="H119" s="757"/>
      <c r="I119" s="757"/>
      <c r="J119" s="638" t="s">
        <v>335</v>
      </c>
      <c r="K119" s="638" t="s">
        <v>40</v>
      </c>
      <c r="L119" s="638" t="s">
        <v>343</v>
      </c>
      <c r="M119" s="638" t="s">
        <v>344</v>
      </c>
      <c r="N119" s="638" t="s">
        <v>345</v>
      </c>
      <c r="O119" s="638" t="s">
        <v>346</v>
      </c>
      <c r="P119" s="757"/>
      <c r="Q119" s="757"/>
      <c r="R119" s="757"/>
      <c r="S119" s="757"/>
      <c r="U119" s="758"/>
      <c r="V119" s="757"/>
      <c r="W119" s="757"/>
      <c r="X119" s="757"/>
      <c r="Y119" s="757"/>
      <c r="Z119" s="757"/>
      <c r="AA119" s="757"/>
      <c r="AB119" s="638" t="s">
        <v>335</v>
      </c>
      <c r="AC119" s="638" t="s">
        <v>40</v>
      </c>
      <c r="AD119" s="638" t="s">
        <v>343</v>
      </c>
      <c r="AE119" s="638" t="s">
        <v>344</v>
      </c>
      <c r="AF119" s="638" t="s">
        <v>345</v>
      </c>
      <c r="AG119" s="638" t="s">
        <v>346</v>
      </c>
      <c r="AH119" s="757"/>
      <c r="AI119" s="757"/>
      <c r="AJ119" s="757"/>
      <c r="AK119" s="757"/>
    </row>
    <row r="120" spans="3:37" x14ac:dyDescent="0.2">
      <c r="C120" s="639" t="s">
        <v>59</v>
      </c>
      <c r="D120" s="640">
        <v>0</v>
      </c>
      <c r="E120" s="641">
        <v>0</v>
      </c>
      <c r="F120" s="641">
        <v>0</v>
      </c>
      <c r="G120" s="640">
        <v>0</v>
      </c>
      <c r="H120" s="641">
        <v>959.09090909090924</v>
      </c>
      <c r="I120" s="641">
        <v>265.54666314840352</v>
      </c>
      <c r="J120" s="641">
        <v>188.6372712469306</v>
      </c>
      <c r="K120" s="641">
        <v>20.835963621356942</v>
      </c>
      <c r="L120" s="641">
        <v>0.48646764865129044</v>
      </c>
      <c r="M120" s="641">
        <v>0.15840693111613638</v>
      </c>
      <c r="N120" s="641">
        <v>62.897832024028709</v>
      </c>
      <c r="O120" s="641">
        <v>11.865462020109925</v>
      </c>
      <c r="P120" s="642">
        <v>0</v>
      </c>
      <c r="Q120" s="641">
        <v>0</v>
      </c>
      <c r="R120" s="641">
        <v>0</v>
      </c>
      <c r="S120" s="643">
        <v>1509.5189757315065</v>
      </c>
      <c r="U120" s="639" t="s">
        <v>59</v>
      </c>
      <c r="V120" s="640">
        <v>0</v>
      </c>
      <c r="W120" s="641">
        <v>0</v>
      </c>
      <c r="X120" s="641">
        <v>0</v>
      </c>
      <c r="Y120" s="640">
        <v>0</v>
      </c>
      <c r="Z120" s="641">
        <v>919.39393939393949</v>
      </c>
      <c r="AA120" s="641">
        <v>300.16666314840353</v>
      </c>
      <c r="AB120" s="641">
        <v>196.07210414009427</v>
      </c>
      <c r="AC120" s="641">
        <v>37.690284018354092</v>
      </c>
      <c r="AD120" s="641">
        <v>0.48646764865129044</v>
      </c>
      <c r="AE120" s="641">
        <v>0.15840693111613638</v>
      </c>
      <c r="AF120" s="641">
        <v>92.901000398225491</v>
      </c>
      <c r="AG120" s="641">
        <v>23.979405132943342</v>
      </c>
      <c r="AH120" s="642">
        <v>0</v>
      </c>
      <c r="AI120" s="641">
        <v>0</v>
      </c>
      <c r="AJ120" s="641">
        <v>0</v>
      </c>
      <c r="AK120" s="643">
        <v>1570.8482708117278</v>
      </c>
    </row>
    <row r="121" spans="3:37" x14ac:dyDescent="0.2">
      <c r="C121" s="639" t="s">
        <v>60</v>
      </c>
      <c r="D121" s="640">
        <v>48.037640466799544</v>
      </c>
      <c r="E121" s="641">
        <v>504.19228646673599</v>
      </c>
      <c r="F121" s="641">
        <v>68.527294255032075</v>
      </c>
      <c r="G121" s="640">
        <v>332.96357284387591</v>
      </c>
      <c r="H121" s="641">
        <v>0</v>
      </c>
      <c r="I121" s="641">
        <v>0</v>
      </c>
      <c r="J121" s="641">
        <v>4.4041420336435353</v>
      </c>
      <c r="K121" s="641">
        <v>0</v>
      </c>
      <c r="L121" s="641">
        <v>2.4215969020745125</v>
      </c>
      <c r="M121" s="641">
        <v>0</v>
      </c>
      <c r="N121" s="641">
        <v>0</v>
      </c>
      <c r="O121" s="641">
        <v>0</v>
      </c>
      <c r="P121" s="642">
        <v>0</v>
      </c>
      <c r="Q121" s="641">
        <v>0</v>
      </c>
      <c r="R121" s="641">
        <v>0</v>
      </c>
      <c r="S121" s="643">
        <v>960.54653296816161</v>
      </c>
      <c r="U121" s="639" t="s">
        <v>60</v>
      </c>
      <c r="V121" s="640">
        <v>7.5315222042138927</v>
      </c>
      <c r="W121" s="641">
        <v>266.28302835422375</v>
      </c>
      <c r="X121" s="641">
        <v>14.660534841020075</v>
      </c>
      <c r="Y121" s="640">
        <v>136.19700966140181</v>
      </c>
      <c r="Z121" s="641">
        <v>0</v>
      </c>
      <c r="AA121" s="641">
        <v>0</v>
      </c>
      <c r="AB121" s="641">
        <v>4.4041420336435353</v>
      </c>
      <c r="AC121" s="641">
        <v>0</v>
      </c>
      <c r="AD121" s="641">
        <v>2.4215969020745125</v>
      </c>
      <c r="AE121" s="641">
        <v>0</v>
      </c>
      <c r="AF121" s="641">
        <v>0</v>
      </c>
      <c r="AG121" s="641">
        <v>0</v>
      </c>
      <c r="AH121" s="642">
        <v>0</v>
      </c>
      <c r="AI121" s="641">
        <v>0</v>
      </c>
      <c r="AJ121" s="641">
        <v>0</v>
      </c>
      <c r="AK121" s="643">
        <v>431.49783399657758</v>
      </c>
    </row>
    <row r="122" spans="3:37" x14ac:dyDescent="0.2">
      <c r="C122" s="639" t="s">
        <v>61</v>
      </c>
      <c r="D122" s="640">
        <v>0</v>
      </c>
      <c r="E122" s="641">
        <v>0</v>
      </c>
      <c r="F122" s="641">
        <v>0</v>
      </c>
      <c r="G122" s="640">
        <v>0</v>
      </c>
      <c r="H122" s="641">
        <v>0</v>
      </c>
      <c r="I122" s="641">
        <v>0</v>
      </c>
      <c r="J122" s="641">
        <v>0</v>
      </c>
      <c r="K122" s="641">
        <v>0</v>
      </c>
      <c r="L122" s="641">
        <v>0</v>
      </c>
      <c r="M122" s="641">
        <v>0</v>
      </c>
      <c r="N122" s="641">
        <v>0</v>
      </c>
      <c r="O122" s="641">
        <v>0</v>
      </c>
      <c r="P122" s="642">
        <v>-31.055970799843635</v>
      </c>
      <c r="Q122" s="641">
        <v>0</v>
      </c>
      <c r="R122" s="641">
        <v>0</v>
      </c>
      <c r="S122" s="643">
        <v>-31.055970799843635</v>
      </c>
      <c r="U122" s="639" t="s">
        <v>61</v>
      </c>
      <c r="V122" s="640">
        <v>0</v>
      </c>
      <c r="W122" s="641">
        <v>0</v>
      </c>
      <c r="X122" s="641">
        <v>-20.238165107819981</v>
      </c>
      <c r="Y122" s="640">
        <v>0</v>
      </c>
      <c r="Z122" s="641">
        <v>0</v>
      </c>
      <c r="AA122" s="641">
        <v>0</v>
      </c>
      <c r="AB122" s="641">
        <v>0</v>
      </c>
      <c r="AC122" s="641">
        <v>0</v>
      </c>
      <c r="AD122" s="641">
        <v>0</v>
      </c>
      <c r="AE122" s="641">
        <v>0</v>
      </c>
      <c r="AF122" s="641">
        <v>0</v>
      </c>
      <c r="AG122" s="641">
        <v>0</v>
      </c>
      <c r="AH122" s="642">
        <v>-12.632253344037395</v>
      </c>
      <c r="AI122" s="641">
        <v>0</v>
      </c>
      <c r="AJ122" s="641">
        <v>0</v>
      </c>
      <c r="AK122" s="643">
        <v>-32.870418451857375</v>
      </c>
    </row>
    <row r="123" spans="3:37" x14ac:dyDescent="0.2">
      <c r="C123" s="639" t="s">
        <v>62</v>
      </c>
      <c r="D123" s="640">
        <v>0</v>
      </c>
      <c r="E123" s="641">
        <v>0</v>
      </c>
      <c r="F123" s="641">
        <v>-15.855905256620872</v>
      </c>
      <c r="G123" s="640">
        <v>0</v>
      </c>
      <c r="H123" s="641">
        <v>0</v>
      </c>
      <c r="I123" s="641">
        <v>0</v>
      </c>
      <c r="J123" s="641">
        <v>0</v>
      </c>
      <c r="K123" s="641">
        <v>0</v>
      </c>
      <c r="L123" s="641">
        <v>0</v>
      </c>
      <c r="M123" s="641">
        <v>0</v>
      </c>
      <c r="N123" s="641">
        <v>0</v>
      </c>
      <c r="O123" s="641">
        <v>0</v>
      </c>
      <c r="P123" s="642">
        <v>0</v>
      </c>
      <c r="Q123" s="641">
        <v>0</v>
      </c>
      <c r="R123" s="641">
        <v>0</v>
      </c>
      <c r="S123" s="643">
        <v>-15.855905256620872</v>
      </c>
      <c r="U123" s="639" t="s">
        <v>62</v>
      </c>
      <c r="V123" s="640">
        <v>0</v>
      </c>
      <c r="W123" s="641">
        <v>0</v>
      </c>
      <c r="X123" s="641">
        <v>-10.068616817390659</v>
      </c>
      <c r="Y123" s="640">
        <v>-2.2904268439326967</v>
      </c>
      <c r="Z123" s="641">
        <v>0</v>
      </c>
      <c r="AA123" s="641">
        <v>0</v>
      </c>
      <c r="AB123" s="641">
        <v>0</v>
      </c>
      <c r="AC123" s="641">
        <v>0</v>
      </c>
      <c r="AD123" s="641">
        <v>0</v>
      </c>
      <c r="AE123" s="641">
        <v>-0.98161150454258428</v>
      </c>
      <c r="AF123" s="641">
        <v>0</v>
      </c>
      <c r="AG123" s="641">
        <v>0</v>
      </c>
      <c r="AH123" s="642">
        <v>0</v>
      </c>
      <c r="AI123" s="641">
        <v>0</v>
      </c>
      <c r="AJ123" s="641">
        <v>0</v>
      </c>
      <c r="AK123" s="643">
        <v>-13.34065516586594</v>
      </c>
    </row>
    <row r="124" spans="3:37" x14ac:dyDescent="0.2">
      <c r="C124" s="639" t="s">
        <v>63</v>
      </c>
      <c r="D124" s="640">
        <v>0</v>
      </c>
      <c r="E124" s="641">
        <v>0</v>
      </c>
      <c r="F124" s="641">
        <v>-87.092524368241456</v>
      </c>
      <c r="G124" s="640">
        <v>0</v>
      </c>
      <c r="H124" s="641">
        <v>0</v>
      </c>
      <c r="I124" s="641">
        <v>0</v>
      </c>
      <c r="J124" s="641">
        <v>0</v>
      </c>
      <c r="K124" s="641">
        <v>0</v>
      </c>
      <c r="L124" s="641">
        <v>-0.90133117758770376</v>
      </c>
      <c r="M124" s="641">
        <v>0</v>
      </c>
      <c r="N124" s="641">
        <v>0</v>
      </c>
      <c r="O124" s="641">
        <v>0</v>
      </c>
      <c r="P124" s="642">
        <v>0</v>
      </c>
      <c r="Q124" s="641">
        <v>0</v>
      </c>
      <c r="R124" s="641">
        <v>0</v>
      </c>
      <c r="S124" s="643">
        <v>-87.993855545829163</v>
      </c>
      <c r="U124" s="639" t="s">
        <v>63</v>
      </c>
      <c r="V124" s="640">
        <v>0</v>
      </c>
      <c r="W124" s="641">
        <v>0</v>
      </c>
      <c r="X124" s="641">
        <v>-58.231828596071985</v>
      </c>
      <c r="Y124" s="640">
        <v>0</v>
      </c>
      <c r="Z124" s="641">
        <v>0</v>
      </c>
      <c r="AA124" s="641">
        <v>0</v>
      </c>
      <c r="AB124" s="641">
        <v>0</v>
      </c>
      <c r="AC124" s="641">
        <v>0</v>
      </c>
      <c r="AD124" s="641">
        <v>-23.991898740742837</v>
      </c>
      <c r="AE124" s="641">
        <v>0</v>
      </c>
      <c r="AF124" s="641">
        <v>0</v>
      </c>
      <c r="AG124" s="641">
        <v>0</v>
      </c>
      <c r="AH124" s="642">
        <v>0</v>
      </c>
      <c r="AI124" s="641">
        <v>0</v>
      </c>
      <c r="AJ124" s="641">
        <v>0</v>
      </c>
      <c r="AK124" s="643">
        <v>-82.223727336814818</v>
      </c>
    </row>
    <row r="125" spans="3:37" x14ac:dyDescent="0.2">
      <c r="C125" s="639" t="s">
        <v>64</v>
      </c>
      <c r="D125" s="640">
        <v>0</v>
      </c>
      <c r="E125" s="641">
        <v>0</v>
      </c>
      <c r="F125" s="641">
        <v>0</v>
      </c>
      <c r="G125" s="640">
        <v>0</v>
      </c>
      <c r="H125" s="641">
        <v>0</v>
      </c>
      <c r="I125" s="641">
        <v>0</v>
      </c>
      <c r="J125" s="641">
        <v>0</v>
      </c>
      <c r="K125" s="641">
        <v>0</v>
      </c>
      <c r="L125" s="641">
        <v>0</v>
      </c>
      <c r="M125" s="641">
        <v>0</v>
      </c>
      <c r="N125" s="641">
        <v>0</v>
      </c>
      <c r="O125" s="641">
        <v>0</v>
      </c>
      <c r="P125" s="642">
        <v>0</v>
      </c>
      <c r="Q125" s="641">
        <v>0</v>
      </c>
      <c r="R125" s="641">
        <v>0</v>
      </c>
      <c r="S125" s="643">
        <v>0</v>
      </c>
      <c r="U125" s="639" t="s">
        <v>64</v>
      </c>
      <c r="V125" s="640">
        <v>0</v>
      </c>
      <c r="W125" s="641">
        <v>0</v>
      </c>
      <c r="X125" s="641">
        <v>0</v>
      </c>
      <c r="Y125" s="640">
        <v>0</v>
      </c>
      <c r="Z125" s="641">
        <v>0</v>
      </c>
      <c r="AA125" s="641">
        <v>0</v>
      </c>
      <c r="AB125" s="641">
        <v>0</v>
      </c>
      <c r="AC125" s="641">
        <v>0</v>
      </c>
      <c r="AD125" s="641">
        <v>0</v>
      </c>
      <c r="AE125" s="641">
        <v>0</v>
      </c>
      <c r="AF125" s="641">
        <v>0</v>
      </c>
      <c r="AG125" s="641">
        <v>0</v>
      </c>
      <c r="AH125" s="642">
        <v>0</v>
      </c>
      <c r="AI125" s="641">
        <v>0</v>
      </c>
      <c r="AJ125" s="641">
        <v>0</v>
      </c>
      <c r="AK125" s="643">
        <v>0</v>
      </c>
    </row>
    <row r="126" spans="3:37" x14ac:dyDescent="0.2">
      <c r="C126" s="644" t="s">
        <v>65</v>
      </c>
      <c r="D126" s="645">
        <v>48.037640466799544</v>
      </c>
      <c r="E126" s="645">
        <v>504.19228646673599</v>
      </c>
      <c r="F126" s="645">
        <v>-34.42113536983026</v>
      </c>
      <c r="G126" s="645">
        <v>332.96357284387591</v>
      </c>
      <c r="H126" s="645">
        <v>959.09090909090924</v>
      </c>
      <c r="I126" s="645">
        <v>265.54666314840352</v>
      </c>
      <c r="J126" s="645">
        <v>193.04141328057412</v>
      </c>
      <c r="K126" s="645">
        <v>20.835963621356942</v>
      </c>
      <c r="L126" s="645">
        <v>2.0067333731380987</v>
      </c>
      <c r="M126" s="645">
        <v>0.15840693111613638</v>
      </c>
      <c r="N126" s="645">
        <v>62.897832024028709</v>
      </c>
      <c r="O126" s="645">
        <v>11.865462020109925</v>
      </c>
      <c r="P126" s="645">
        <v>-31.055970799843635</v>
      </c>
      <c r="Q126" s="645">
        <v>0</v>
      </c>
      <c r="R126" s="645">
        <v>0</v>
      </c>
      <c r="S126" s="645">
        <v>2335.159777097374</v>
      </c>
      <c r="U126" s="644" t="s">
        <v>65</v>
      </c>
      <c r="V126" s="645">
        <v>7.5315222042138927</v>
      </c>
      <c r="W126" s="645">
        <v>266.28302835422375</v>
      </c>
      <c r="X126" s="645">
        <v>-73.87807568026254</v>
      </c>
      <c r="Y126" s="645">
        <v>133.90658281746911</v>
      </c>
      <c r="Z126" s="645">
        <v>919.39393939393949</v>
      </c>
      <c r="AA126" s="645">
        <v>300.16666314840353</v>
      </c>
      <c r="AB126" s="645">
        <v>200.47624617373779</v>
      </c>
      <c r="AC126" s="645">
        <v>37.690284018354092</v>
      </c>
      <c r="AD126" s="645">
        <v>-21.083834190017033</v>
      </c>
      <c r="AE126" s="645">
        <v>-0.82320457342644793</v>
      </c>
      <c r="AF126" s="645">
        <v>92.901000398225491</v>
      </c>
      <c r="AG126" s="645">
        <v>23.979405132943342</v>
      </c>
      <c r="AH126" s="645">
        <v>-12.632253344037395</v>
      </c>
      <c r="AI126" s="645">
        <v>0</v>
      </c>
      <c r="AJ126" s="645">
        <v>0</v>
      </c>
      <c r="AK126" s="645">
        <v>1873.9113038537675</v>
      </c>
    </row>
    <row r="127" spans="3:37" x14ac:dyDescent="0.2">
      <c r="C127" s="634"/>
      <c r="D127" s="634">
        <v>0</v>
      </c>
      <c r="E127" s="634">
        <v>0</v>
      </c>
      <c r="F127" s="634">
        <v>0</v>
      </c>
      <c r="G127" s="634">
        <v>0</v>
      </c>
      <c r="H127" s="634">
        <v>0</v>
      </c>
      <c r="I127" s="634">
        <v>0</v>
      </c>
      <c r="J127" s="634">
        <v>0</v>
      </c>
      <c r="K127" s="634">
        <v>0</v>
      </c>
      <c r="L127" s="634">
        <v>0</v>
      </c>
      <c r="M127" s="634">
        <v>0</v>
      </c>
      <c r="N127" s="634">
        <v>0</v>
      </c>
      <c r="O127" s="634">
        <v>0</v>
      </c>
      <c r="P127" s="634">
        <v>0</v>
      </c>
      <c r="Q127" s="634">
        <v>0</v>
      </c>
      <c r="R127" s="634">
        <v>0</v>
      </c>
      <c r="S127" s="634">
        <v>0</v>
      </c>
      <c r="U127" s="634"/>
      <c r="V127" s="634">
        <v>0</v>
      </c>
      <c r="W127" s="634">
        <v>0</v>
      </c>
      <c r="X127" s="634">
        <v>0</v>
      </c>
      <c r="Y127" s="634">
        <v>0</v>
      </c>
      <c r="Z127" s="634">
        <v>0</v>
      </c>
      <c r="AA127" s="634">
        <v>0</v>
      </c>
      <c r="AB127" s="634">
        <v>0</v>
      </c>
      <c r="AC127" s="634">
        <v>0</v>
      </c>
      <c r="AD127" s="634">
        <v>0</v>
      </c>
      <c r="AE127" s="634">
        <v>0</v>
      </c>
      <c r="AF127" s="634">
        <v>0</v>
      </c>
      <c r="AG127" s="634">
        <v>0</v>
      </c>
      <c r="AH127" s="634">
        <v>0</v>
      </c>
      <c r="AI127" s="634">
        <v>0</v>
      </c>
      <c r="AJ127" s="634">
        <v>0</v>
      </c>
      <c r="AK127" s="634">
        <v>0</v>
      </c>
    </row>
    <row r="128" spans="3:37" x14ac:dyDescent="0.2">
      <c r="C128" s="646" t="s">
        <v>67</v>
      </c>
      <c r="D128" s="640">
        <v>0</v>
      </c>
      <c r="E128" s="647">
        <v>0</v>
      </c>
      <c r="F128" s="647">
        <v>0</v>
      </c>
      <c r="G128" s="640">
        <v>0</v>
      </c>
      <c r="H128" s="640">
        <v>0</v>
      </c>
      <c r="I128" s="640">
        <v>0</v>
      </c>
      <c r="J128" s="640">
        <v>0</v>
      </c>
      <c r="K128" s="640">
        <v>0</v>
      </c>
      <c r="L128" s="640">
        <v>0</v>
      </c>
      <c r="M128" s="640">
        <v>0</v>
      </c>
      <c r="N128" s="640">
        <v>0</v>
      </c>
      <c r="O128" s="640">
        <v>0</v>
      </c>
      <c r="P128" s="640">
        <v>0</v>
      </c>
      <c r="Q128" s="640">
        <v>0</v>
      </c>
      <c r="R128" s="640">
        <v>0</v>
      </c>
      <c r="S128" s="648">
        <v>0</v>
      </c>
      <c r="U128" s="646" t="s">
        <v>67</v>
      </c>
      <c r="V128" s="640">
        <v>0</v>
      </c>
      <c r="W128" s="647">
        <v>0</v>
      </c>
      <c r="X128" s="647">
        <v>0</v>
      </c>
      <c r="Y128" s="640">
        <v>0</v>
      </c>
      <c r="Z128" s="640">
        <v>0</v>
      </c>
      <c r="AA128" s="640">
        <v>0</v>
      </c>
      <c r="AB128" s="640">
        <v>0</v>
      </c>
      <c r="AC128" s="640">
        <v>0</v>
      </c>
      <c r="AD128" s="640">
        <v>0</v>
      </c>
      <c r="AE128" s="640">
        <v>0</v>
      </c>
      <c r="AF128" s="640">
        <v>0</v>
      </c>
      <c r="AG128" s="640">
        <v>0</v>
      </c>
      <c r="AH128" s="640">
        <v>0</v>
      </c>
      <c r="AI128" s="640">
        <v>0</v>
      </c>
      <c r="AJ128" s="640">
        <v>0</v>
      </c>
      <c r="AK128" s="648">
        <v>0</v>
      </c>
    </row>
    <row r="129" spans="3:37" x14ac:dyDescent="0.2">
      <c r="C129" s="646" t="s">
        <v>347</v>
      </c>
      <c r="D129" s="640">
        <v>2.8267856410252494</v>
      </c>
      <c r="E129" s="640">
        <v>0</v>
      </c>
      <c r="F129" s="640">
        <v>7.5217067848259731</v>
      </c>
      <c r="G129" s="640">
        <v>17.043478260869566</v>
      </c>
      <c r="H129" s="640">
        <v>959.09090909090924</v>
      </c>
      <c r="I129" s="640">
        <v>265.54666314840352</v>
      </c>
      <c r="J129" s="649">
        <v>29.657322749860491</v>
      </c>
      <c r="K129" s="649">
        <v>6.9984717304001904</v>
      </c>
      <c r="L129" s="649">
        <v>2.9080645507258027</v>
      </c>
      <c r="M129" s="649">
        <v>0.47316517381762646</v>
      </c>
      <c r="N129" s="649">
        <v>0</v>
      </c>
      <c r="O129" s="649">
        <v>6.9042102843702597</v>
      </c>
      <c r="P129" s="640">
        <v>-613.13903868039233</v>
      </c>
      <c r="Q129" s="640">
        <v>0</v>
      </c>
      <c r="R129" s="640">
        <v>0</v>
      </c>
      <c r="S129" s="648">
        <v>685.83173873481564</v>
      </c>
      <c r="U129" s="646" t="s">
        <v>347</v>
      </c>
      <c r="V129" s="640">
        <v>0.62631490545869017</v>
      </c>
      <c r="W129" s="640">
        <v>0</v>
      </c>
      <c r="X129" s="640">
        <v>3.6580704211896093</v>
      </c>
      <c r="Y129" s="640">
        <v>6.2086956521739127</v>
      </c>
      <c r="Z129" s="640">
        <v>919.39393939393949</v>
      </c>
      <c r="AA129" s="640">
        <v>300.16666314840353</v>
      </c>
      <c r="AB129" s="649">
        <v>23.86094386593884</v>
      </c>
      <c r="AC129" s="649">
        <v>5.6952120200596408</v>
      </c>
      <c r="AD129" s="649">
        <v>2.9080645507258027</v>
      </c>
      <c r="AE129" s="649">
        <v>2.7862086520784959</v>
      </c>
      <c r="AF129" s="649">
        <v>0</v>
      </c>
      <c r="AG129" s="649">
        <v>6.9042102843702597</v>
      </c>
      <c r="AH129" s="640">
        <v>-628.6590386803922</v>
      </c>
      <c r="AI129" s="640">
        <v>0</v>
      </c>
      <c r="AJ129" s="640">
        <v>4.7499999999999991</v>
      </c>
      <c r="AK129" s="648">
        <v>648.29928421394618</v>
      </c>
    </row>
    <row r="130" spans="3:37" x14ac:dyDescent="0.2">
      <c r="C130" s="646" t="s">
        <v>348</v>
      </c>
      <c r="D130" s="640">
        <v>0</v>
      </c>
      <c r="E130" s="640">
        <v>0</v>
      </c>
      <c r="F130" s="640">
        <v>0</v>
      </c>
      <c r="G130" s="640">
        <v>14.973464488470796</v>
      </c>
      <c r="H130" s="640">
        <v>0</v>
      </c>
      <c r="I130" s="640">
        <v>0</v>
      </c>
      <c r="J130" s="649">
        <v>12.61885930635281</v>
      </c>
      <c r="K130" s="649">
        <v>11.992989190910333</v>
      </c>
      <c r="L130" s="649">
        <v>0</v>
      </c>
      <c r="M130" s="649">
        <v>0.32007470171399477</v>
      </c>
      <c r="N130" s="649">
        <v>0</v>
      </c>
      <c r="O130" s="649">
        <v>2.1221335576886813</v>
      </c>
      <c r="P130" s="640">
        <v>0</v>
      </c>
      <c r="Q130" s="640">
        <v>-38.122859170635891</v>
      </c>
      <c r="R130" s="640">
        <v>0</v>
      </c>
      <c r="S130" s="648">
        <v>3.9046620745007217</v>
      </c>
      <c r="U130" s="646" t="s">
        <v>348</v>
      </c>
      <c r="V130" s="640">
        <v>0</v>
      </c>
      <c r="W130" s="640">
        <v>0</v>
      </c>
      <c r="X130" s="640">
        <v>0</v>
      </c>
      <c r="Y130" s="640">
        <v>11.236128743190402</v>
      </c>
      <c r="Z130" s="640">
        <v>0</v>
      </c>
      <c r="AA130" s="640">
        <v>0</v>
      </c>
      <c r="AB130" s="649">
        <v>28.835017835425074</v>
      </c>
      <c r="AC130" s="649">
        <v>26.276566272731909</v>
      </c>
      <c r="AD130" s="649">
        <v>0</v>
      </c>
      <c r="AE130" s="649">
        <v>4.8299775408676195</v>
      </c>
      <c r="AF130" s="649">
        <v>0</v>
      </c>
      <c r="AG130" s="649">
        <v>10.71495831218258</v>
      </c>
      <c r="AH130" s="640">
        <v>0</v>
      </c>
      <c r="AI130" s="640">
        <v>-75.331063655699538</v>
      </c>
      <c r="AJ130" s="640">
        <v>0</v>
      </c>
      <c r="AK130" s="648">
        <v>6.561585048698058</v>
      </c>
    </row>
    <row r="131" spans="3:37" x14ac:dyDescent="0.2">
      <c r="C131" s="646" t="s">
        <v>349</v>
      </c>
      <c r="D131" s="640">
        <v>0</v>
      </c>
      <c r="E131" s="640">
        <v>0</v>
      </c>
      <c r="F131" s="640">
        <v>0</v>
      </c>
      <c r="G131" s="640">
        <v>0</v>
      </c>
      <c r="H131" s="640">
        <v>0</v>
      </c>
      <c r="I131" s="640">
        <v>0</v>
      </c>
      <c r="J131" s="650">
        <v>7.1836152532588793</v>
      </c>
      <c r="K131" s="650">
        <v>0</v>
      </c>
      <c r="L131" s="650">
        <v>0</v>
      </c>
      <c r="M131" s="650">
        <v>-6.5550489185987271</v>
      </c>
      <c r="N131" s="650">
        <v>0</v>
      </c>
      <c r="O131" s="650">
        <v>0</v>
      </c>
      <c r="P131" s="640">
        <v>0</v>
      </c>
      <c r="Q131" s="640">
        <v>0</v>
      </c>
      <c r="R131" s="640">
        <v>0</v>
      </c>
      <c r="S131" s="648">
        <v>0.62856633466015222</v>
      </c>
      <c r="U131" s="646" t="s">
        <v>349</v>
      </c>
      <c r="V131" s="640">
        <v>0</v>
      </c>
      <c r="W131" s="640">
        <v>0</v>
      </c>
      <c r="X131" s="640">
        <v>0</v>
      </c>
      <c r="Y131" s="640">
        <v>0</v>
      </c>
      <c r="Z131" s="640">
        <v>0</v>
      </c>
      <c r="AA131" s="640">
        <v>0</v>
      </c>
      <c r="AB131" s="650">
        <v>63.436450079223192</v>
      </c>
      <c r="AC131" s="650">
        <v>0</v>
      </c>
      <c r="AD131" s="650">
        <v>0</v>
      </c>
      <c r="AE131" s="650">
        <v>-57.885760697291161</v>
      </c>
      <c r="AF131" s="650">
        <v>0</v>
      </c>
      <c r="AG131" s="650">
        <v>0</v>
      </c>
      <c r="AH131" s="640">
        <v>0</v>
      </c>
      <c r="AI131" s="640">
        <v>0</v>
      </c>
      <c r="AJ131" s="640">
        <v>0</v>
      </c>
      <c r="AK131" s="648">
        <v>5.5506893819320311</v>
      </c>
    </row>
    <row r="132" spans="3:37" x14ac:dyDescent="0.2">
      <c r="C132" s="646" t="s">
        <v>350</v>
      </c>
      <c r="D132" s="640">
        <v>0</v>
      </c>
      <c r="E132" s="640">
        <v>0</v>
      </c>
      <c r="F132" s="640">
        <v>0</v>
      </c>
      <c r="G132" s="640">
        <v>0</v>
      </c>
      <c r="H132" s="640">
        <v>0</v>
      </c>
      <c r="I132" s="640">
        <v>0</v>
      </c>
      <c r="J132" s="640">
        <v>0</v>
      </c>
      <c r="K132" s="640">
        <v>0</v>
      </c>
      <c r="L132" s="640">
        <v>0</v>
      </c>
      <c r="M132" s="640">
        <v>0</v>
      </c>
      <c r="N132" s="640">
        <v>0</v>
      </c>
      <c r="O132" s="640">
        <v>0</v>
      </c>
      <c r="P132" s="640">
        <v>0</v>
      </c>
      <c r="Q132" s="640">
        <v>0</v>
      </c>
      <c r="R132" s="640">
        <v>0</v>
      </c>
      <c r="S132" s="648">
        <v>0</v>
      </c>
      <c r="U132" s="646" t="s">
        <v>350</v>
      </c>
      <c r="V132" s="640">
        <v>0</v>
      </c>
      <c r="W132" s="640">
        <v>0</v>
      </c>
      <c r="X132" s="640">
        <v>0</v>
      </c>
      <c r="Y132" s="640">
        <v>0</v>
      </c>
      <c r="Z132" s="640">
        <v>0</v>
      </c>
      <c r="AA132" s="640">
        <v>0</v>
      </c>
      <c r="AB132" s="640">
        <v>0</v>
      </c>
      <c r="AC132" s="640">
        <v>0</v>
      </c>
      <c r="AD132" s="640">
        <v>0</v>
      </c>
      <c r="AE132" s="640">
        <v>0</v>
      </c>
      <c r="AF132" s="640">
        <v>0</v>
      </c>
      <c r="AG132" s="640">
        <v>0</v>
      </c>
      <c r="AH132" s="640">
        <v>0</v>
      </c>
      <c r="AI132" s="640">
        <v>0</v>
      </c>
      <c r="AJ132" s="640">
        <v>0</v>
      </c>
      <c r="AK132" s="648">
        <v>0</v>
      </c>
    </row>
    <row r="133" spans="3:37" x14ac:dyDescent="0.2">
      <c r="C133" s="646" t="s">
        <v>72</v>
      </c>
      <c r="D133" s="640">
        <v>0</v>
      </c>
      <c r="E133" s="640">
        <v>522.28962186433523</v>
      </c>
      <c r="F133" s="640">
        <v>-517.06672564569192</v>
      </c>
      <c r="G133" s="640">
        <v>0</v>
      </c>
      <c r="H133" s="640">
        <v>0</v>
      </c>
      <c r="I133" s="640">
        <v>0</v>
      </c>
      <c r="J133" s="640">
        <v>0</v>
      </c>
      <c r="K133" s="640">
        <v>0</v>
      </c>
      <c r="L133" s="640">
        <v>0</v>
      </c>
      <c r="M133" s="640">
        <v>0</v>
      </c>
      <c r="N133" s="640">
        <v>0</v>
      </c>
      <c r="O133" s="640">
        <v>0</v>
      </c>
      <c r="P133" s="640">
        <v>0</v>
      </c>
      <c r="Q133" s="640">
        <v>0</v>
      </c>
      <c r="R133" s="640">
        <v>0</v>
      </c>
      <c r="S133" s="648">
        <v>5.2228962186433137</v>
      </c>
      <c r="U133" s="646" t="s">
        <v>72</v>
      </c>
      <c r="V133" s="640">
        <v>0</v>
      </c>
      <c r="W133" s="640">
        <v>275.84091609698424</v>
      </c>
      <c r="X133" s="640">
        <v>-273.0825069360144</v>
      </c>
      <c r="Y133" s="640">
        <v>0</v>
      </c>
      <c r="Z133" s="640">
        <v>0</v>
      </c>
      <c r="AA133" s="640">
        <v>0</v>
      </c>
      <c r="AB133" s="640">
        <v>0</v>
      </c>
      <c r="AC133" s="640">
        <v>0</v>
      </c>
      <c r="AD133" s="640">
        <v>0</v>
      </c>
      <c r="AE133" s="640">
        <v>0</v>
      </c>
      <c r="AF133" s="640">
        <v>0</v>
      </c>
      <c r="AG133" s="640">
        <v>0</v>
      </c>
      <c r="AH133" s="640">
        <v>0</v>
      </c>
      <c r="AI133" s="640">
        <v>0</v>
      </c>
      <c r="AJ133" s="640">
        <v>0</v>
      </c>
      <c r="AK133" s="648">
        <v>2.7584091609698476</v>
      </c>
    </row>
    <row r="134" spans="3:37" x14ac:dyDescent="0.2">
      <c r="C134" s="646" t="s">
        <v>351</v>
      </c>
      <c r="D134" s="640">
        <v>0</v>
      </c>
      <c r="E134" s="640">
        <v>0</v>
      </c>
      <c r="F134" s="640">
        <v>0</v>
      </c>
      <c r="G134" s="640">
        <v>0</v>
      </c>
      <c r="H134" s="640">
        <v>0</v>
      </c>
      <c r="I134" s="640">
        <v>0</v>
      </c>
      <c r="J134" s="640">
        <v>28.942309114060045</v>
      </c>
      <c r="K134" s="640">
        <v>0</v>
      </c>
      <c r="L134" s="640">
        <v>-28.942309114060045</v>
      </c>
      <c r="M134" s="640">
        <v>0</v>
      </c>
      <c r="N134" s="640">
        <v>0</v>
      </c>
      <c r="O134" s="640">
        <v>0</v>
      </c>
      <c r="P134" s="640">
        <v>0</v>
      </c>
      <c r="Q134" s="640">
        <v>0</v>
      </c>
      <c r="R134" s="640">
        <v>0</v>
      </c>
      <c r="S134" s="648">
        <v>0</v>
      </c>
      <c r="U134" s="646" t="s">
        <v>351</v>
      </c>
      <c r="V134" s="640">
        <v>0</v>
      </c>
      <c r="W134" s="640">
        <v>0</v>
      </c>
      <c r="X134" s="640">
        <v>0</v>
      </c>
      <c r="Y134" s="640">
        <v>0</v>
      </c>
      <c r="Z134" s="640">
        <v>0</v>
      </c>
      <c r="AA134" s="640">
        <v>0</v>
      </c>
      <c r="AB134" s="640" t="e">
        <v>#VALUE!</v>
      </c>
      <c r="AC134" s="640">
        <v>0</v>
      </c>
      <c r="AD134" s="640">
        <v>-101.68735143023177</v>
      </c>
      <c r="AE134" s="640">
        <v>0</v>
      </c>
      <c r="AF134" s="640">
        <v>0</v>
      </c>
      <c r="AG134" s="640">
        <v>0</v>
      </c>
      <c r="AH134" s="640">
        <v>0</v>
      </c>
      <c r="AI134" s="640">
        <v>0</v>
      </c>
      <c r="AJ134" s="640">
        <v>0</v>
      </c>
      <c r="AK134" s="648">
        <v>-101.68735143023177</v>
      </c>
    </row>
    <row r="135" spans="3:37" x14ac:dyDescent="0.2">
      <c r="C135" s="646" t="s">
        <v>352</v>
      </c>
      <c r="D135" s="640">
        <v>0</v>
      </c>
      <c r="E135" s="640">
        <v>0</v>
      </c>
      <c r="F135" s="640">
        <v>0</v>
      </c>
      <c r="G135" s="640">
        <v>0</v>
      </c>
      <c r="H135" s="640">
        <v>0</v>
      </c>
      <c r="I135" s="640">
        <v>0</v>
      </c>
      <c r="J135" s="640">
        <v>0</v>
      </c>
      <c r="K135" s="640">
        <v>0</v>
      </c>
      <c r="L135" s="640">
        <v>0</v>
      </c>
      <c r="M135" s="640">
        <v>0</v>
      </c>
      <c r="N135" s="640">
        <v>0</v>
      </c>
      <c r="O135" s="640">
        <v>0</v>
      </c>
      <c r="P135" s="640">
        <v>0</v>
      </c>
      <c r="Q135" s="640">
        <v>0</v>
      </c>
      <c r="R135" s="640">
        <v>0</v>
      </c>
      <c r="S135" s="648">
        <v>0</v>
      </c>
      <c r="U135" s="646" t="s">
        <v>352</v>
      </c>
      <c r="V135" s="640">
        <v>0</v>
      </c>
      <c r="W135" s="640">
        <v>0</v>
      </c>
      <c r="X135" s="640">
        <v>0</v>
      </c>
      <c r="Y135" s="640">
        <v>0</v>
      </c>
      <c r="Z135" s="640">
        <v>0</v>
      </c>
      <c r="AA135" s="640">
        <v>0</v>
      </c>
      <c r="AB135" s="640">
        <v>0</v>
      </c>
      <c r="AC135" s="640">
        <v>0</v>
      </c>
      <c r="AD135" s="640">
        <v>-20.330518764117095</v>
      </c>
      <c r="AE135" s="640">
        <v>0</v>
      </c>
      <c r="AF135" s="640">
        <v>0</v>
      </c>
      <c r="AG135" s="640">
        <v>0</v>
      </c>
      <c r="AH135" s="640">
        <v>0</v>
      </c>
      <c r="AI135" s="640">
        <v>0</v>
      </c>
      <c r="AJ135" s="640">
        <v>0</v>
      </c>
      <c r="AK135" s="648">
        <v>-20.330518764117095</v>
      </c>
    </row>
    <row r="136" spans="3:37" x14ac:dyDescent="0.2">
      <c r="C136" s="646" t="s">
        <v>73</v>
      </c>
      <c r="D136" s="640">
        <v>0</v>
      </c>
      <c r="E136" s="640">
        <v>0</v>
      </c>
      <c r="F136" s="640">
        <v>0</v>
      </c>
      <c r="G136" s="640">
        <v>5.1012543356530031</v>
      </c>
      <c r="H136" s="640">
        <v>0</v>
      </c>
      <c r="I136" s="640">
        <v>0</v>
      </c>
      <c r="J136" s="640">
        <v>0</v>
      </c>
      <c r="K136" s="640">
        <v>5.8487208617897309E-2</v>
      </c>
      <c r="L136" s="640">
        <v>0</v>
      </c>
      <c r="M136" s="640">
        <v>0.10410723133985722</v>
      </c>
      <c r="N136" s="640">
        <v>0</v>
      </c>
      <c r="O136" s="640">
        <v>0</v>
      </c>
      <c r="P136" s="640">
        <v>0.59767950412449788</v>
      </c>
      <c r="Q136" s="640">
        <v>0</v>
      </c>
      <c r="R136" s="640">
        <v>-4.094104603252811</v>
      </c>
      <c r="S136" s="648">
        <v>1.7674236764824451</v>
      </c>
      <c r="U136" s="646" t="s">
        <v>73</v>
      </c>
      <c r="V136" s="640">
        <v>0</v>
      </c>
      <c r="W136" s="640">
        <v>0</v>
      </c>
      <c r="X136" s="640">
        <v>0</v>
      </c>
      <c r="Y136" s="640">
        <v>5.6948243223481816</v>
      </c>
      <c r="Z136" s="640">
        <v>0</v>
      </c>
      <c r="AA136" s="640">
        <v>0</v>
      </c>
      <c r="AB136" s="640">
        <v>0</v>
      </c>
      <c r="AC136" s="640">
        <v>0.40677316588201312</v>
      </c>
      <c r="AD136" s="640">
        <v>0</v>
      </c>
      <c r="AE136" s="640">
        <v>2.440638995292078</v>
      </c>
      <c r="AF136" s="640">
        <v>0</v>
      </c>
      <c r="AG136" s="640">
        <v>0</v>
      </c>
      <c r="AH136" s="640">
        <v>32.838767990182951</v>
      </c>
      <c r="AI136" s="640">
        <v>0</v>
      </c>
      <c r="AJ136" s="640">
        <v>-28.474121611740912</v>
      </c>
      <c r="AK136" s="648">
        <v>12.906882861964313</v>
      </c>
    </row>
    <row r="137" spans="3:37" x14ac:dyDescent="0.2">
      <c r="C137" s="646" t="s">
        <v>353</v>
      </c>
      <c r="D137" s="640">
        <v>28.616489999999999</v>
      </c>
      <c r="E137" s="640">
        <v>-18.09733539759922</v>
      </c>
      <c r="F137" s="640">
        <v>23.670245777269074</v>
      </c>
      <c r="G137" s="640">
        <v>0</v>
      </c>
      <c r="H137" s="640">
        <v>0</v>
      </c>
      <c r="I137" s="640">
        <v>0</v>
      </c>
      <c r="J137" s="640">
        <v>0</v>
      </c>
      <c r="K137" s="640">
        <v>0</v>
      </c>
      <c r="L137" s="640">
        <v>0</v>
      </c>
      <c r="M137" s="640">
        <v>0</v>
      </c>
      <c r="N137" s="640">
        <v>0</v>
      </c>
      <c r="O137" s="640">
        <v>0</v>
      </c>
      <c r="P137" s="640">
        <v>0</v>
      </c>
      <c r="Q137" s="640">
        <v>0</v>
      </c>
      <c r="R137" s="640">
        <v>0</v>
      </c>
      <c r="S137" s="648">
        <v>34.189400379669848</v>
      </c>
      <c r="U137" s="646" t="s">
        <v>353</v>
      </c>
      <c r="V137" s="640">
        <v>2.3505202026367185</v>
      </c>
      <c r="W137" s="640">
        <v>-9.5578877427605047</v>
      </c>
      <c r="X137" s="640">
        <v>12.501152628950074</v>
      </c>
      <c r="Y137" s="640">
        <v>0</v>
      </c>
      <c r="Z137" s="640">
        <v>0</v>
      </c>
      <c r="AA137" s="640">
        <v>0</v>
      </c>
      <c r="AB137" s="640">
        <v>0</v>
      </c>
      <c r="AC137" s="640">
        <v>0</v>
      </c>
      <c r="AD137" s="640">
        <v>0</v>
      </c>
      <c r="AE137" s="640">
        <v>0</v>
      </c>
      <c r="AF137" s="640">
        <v>0</v>
      </c>
      <c r="AG137" s="640">
        <v>0</v>
      </c>
      <c r="AH137" s="640">
        <v>0</v>
      </c>
      <c r="AI137" s="640">
        <v>0</v>
      </c>
      <c r="AJ137" s="640">
        <v>0</v>
      </c>
      <c r="AK137" s="648">
        <v>5.2937850888262874</v>
      </c>
    </row>
    <row r="138" spans="3:37" x14ac:dyDescent="0.2">
      <c r="C138" s="646" t="s">
        <v>75</v>
      </c>
      <c r="D138" s="640">
        <v>11.128635000000001</v>
      </c>
      <c r="E138" s="640">
        <v>0</v>
      </c>
      <c r="F138" s="640">
        <v>17.757847143387398</v>
      </c>
      <c r="G138" s="640">
        <v>5.0672539113277812</v>
      </c>
      <c r="H138" s="640">
        <v>0</v>
      </c>
      <c r="I138" s="640">
        <v>0</v>
      </c>
      <c r="J138" s="640">
        <v>0</v>
      </c>
      <c r="K138" s="640">
        <v>0</v>
      </c>
      <c r="L138" s="640">
        <v>0</v>
      </c>
      <c r="M138" s="640">
        <v>0.1034133451291384</v>
      </c>
      <c r="N138" s="640">
        <v>0</v>
      </c>
      <c r="O138" s="640">
        <v>0</v>
      </c>
      <c r="P138" s="640">
        <v>30.750377055945027</v>
      </c>
      <c r="Q138" s="640">
        <v>0</v>
      </c>
      <c r="R138" s="640">
        <v>0</v>
      </c>
      <c r="S138" s="648">
        <v>64.807526455789343</v>
      </c>
      <c r="U138" s="646" t="s">
        <v>75</v>
      </c>
      <c r="V138" s="640">
        <v>3.4784289550781251</v>
      </c>
      <c r="W138" s="640">
        <v>0</v>
      </c>
      <c r="X138" s="640">
        <v>17.757847143387398</v>
      </c>
      <c r="Y138" s="640">
        <v>3.6194670795198434</v>
      </c>
      <c r="Z138" s="640">
        <v>0</v>
      </c>
      <c r="AA138" s="640">
        <v>0</v>
      </c>
      <c r="AB138" s="640">
        <v>0</v>
      </c>
      <c r="AC138" s="640">
        <v>0</v>
      </c>
      <c r="AD138" s="640">
        <v>0</v>
      </c>
      <c r="AE138" s="640">
        <v>1.5512001769370758</v>
      </c>
      <c r="AF138" s="640">
        <v>0</v>
      </c>
      <c r="AG138" s="640">
        <v>0</v>
      </c>
      <c r="AH138" s="640">
        <v>36.42264978321775</v>
      </c>
      <c r="AI138" s="640">
        <v>0</v>
      </c>
      <c r="AJ138" s="640">
        <v>0</v>
      </c>
      <c r="AK138" s="648">
        <v>62.829593138140197</v>
      </c>
    </row>
    <row r="139" spans="3:37" x14ac:dyDescent="0.2">
      <c r="C139" s="646" t="s">
        <v>76</v>
      </c>
      <c r="D139" s="640">
        <v>0</v>
      </c>
      <c r="E139" s="640">
        <v>0</v>
      </c>
      <c r="F139" s="640">
        <v>0</v>
      </c>
      <c r="G139" s="640">
        <v>3.8086647866957031</v>
      </c>
      <c r="H139" s="640">
        <v>0</v>
      </c>
      <c r="I139" s="640">
        <v>0</v>
      </c>
      <c r="J139" s="640">
        <v>0</v>
      </c>
      <c r="K139" s="640">
        <v>0</v>
      </c>
      <c r="L139" s="640">
        <v>0</v>
      </c>
      <c r="M139" s="640">
        <v>7.7727852789708229E-2</v>
      </c>
      <c r="N139" s="640">
        <v>0</v>
      </c>
      <c r="O139" s="640">
        <v>0</v>
      </c>
      <c r="P139" s="640">
        <v>44.547532005203358</v>
      </c>
      <c r="Q139" s="640">
        <v>2.958822517532107</v>
      </c>
      <c r="R139" s="640">
        <v>0</v>
      </c>
      <c r="S139" s="648">
        <v>51.392747162220878</v>
      </c>
      <c r="U139" s="646" t="s">
        <v>76</v>
      </c>
      <c r="V139" s="640">
        <v>0</v>
      </c>
      <c r="W139" s="640">
        <v>0</v>
      </c>
      <c r="X139" s="640">
        <v>0</v>
      </c>
      <c r="Y139" s="640">
        <v>1.6015823117827594</v>
      </c>
      <c r="Z139" s="640">
        <v>0</v>
      </c>
      <c r="AA139" s="640">
        <v>0</v>
      </c>
      <c r="AB139" s="640">
        <v>0</v>
      </c>
      <c r="AC139" s="640">
        <v>0</v>
      </c>
      <c r="AD139" s="640">
        <v>0</v>
      </c>
      <c r="AE139" s="640">
        <v>0.68639241933546835</v>
      </c>
      <c r="AF139" s="640">
        <v>0</v>
      </c>
      <c r="AG139" s="640">
        <v>0</v>
      </c>
      <c r="AH139" s="640">
        <v>47.148943407633553</v>
      </c>
      <c r="AI139" s="640">
        <v>5.8421151160056723</v>
      </c>
      <c r="AJ139" s="640">
        <v>0</v>
      </c>
      <c r="AK139" s="648">
        <v>55.279033254757444</v>
      </c>
    </row>
    <row r="140" spans="3:37" x14ac:dyDescent="0.2">
      <c r="C140" s="644" t="s">
        <v>77</v>
      </c>
      <c r="D140" s="645">
        <v>42.571910641025248</v>
      </c>
      <c r="E140" s="645">
        <v>504.19228646673599</v>
      </c>
      <c r="F140" s="645">
        <v>-468.11692594020946</v>
      </c>
      <c r="G140" s="645">
        <v>45.994115783016845</v>
      </c>
      <c r="H140" s="645">
        <v>959.09090909090924</v>
      </c>
      <c r="I140" s="645">
        <v>265.54666314840352</v>
      </c>
      <c r="J140" s="645">
        <v>78.402106423532217</v>
      </c>
      <c r="K140" s="645">
        <v>19.049948129928421</v>
      </c>
      <c r="L140" s="645">
        <v>-26.034244563334241</v>
      </c>
      <c r="M140" s="645">
        <v>-5.4765606138084015</v>
      </c>
      <c r="N140" s="645">
        <v>0</v>
      </c>
      <c r="O140" s="645">
        <v>9.0263438420589424</v>
      </c>
      <c r="P140" s="645">
        <v>-537.24345011511946</v>
      </c>
      <c r="Q140" s="645">
        <v>-35.164036653103786</v>
      </c>
      <c r="R140" s="645">
        <v>-4.094104603252811</v>
      </c>
      <c r="S140" s="645">
        <v>847.74496103678234</v>
      </c>
      <c r="U140" s="644" t="s">
        <v>77</v>
      </c>
      <c r="V140" s="645">
        <v>6.4552640631735336</v>
      </c>
      <c r="W140" s="645">
        <v>266.28302835422375</v>
      </c>
      <c r="X140" s="645">
        <v>-239.16543674248729</v>
      </c>
      <c r="Y140" s="645">
        <v>28.3606981090151</v>
      </c>
      <c r="Z140" s="645">
        <v>919.39393939393949</v>
      </c>
      <c r="AA140" s="645">
        <v>300.16666314840353</v>
      </c>
      <c r="AB140" s="645">
        <v>116.13241178058709</v>
      </c>
      <c r="AC140" s="645">
        <v>32.378551458673563</v>
      </c>
      <c r="AD140" s="645">
        <v>-119.10980564362306</v>
      </c>
      <c r="AE140" s="645">
        <v>-45.591342912780426</v>
      </c>
      <c r="AF140" s="645">
        <v>0</v>
      </c>
      <c r="AG140" s="645">
        <v>17.619168596552839</v>
      </c>
      <c r="AH140" s="645">
        <v>-512.24867749935788</v>
      </c>
      <c r="AI140" s="645">
        <v>-69.488948539693865</v>
      </c>
      <c r="AJ140" s="645">
        <v>-23.724121611740912</v>
      </c>
      <c r="AK140" s="645">
        <v>677.46139195488558</v>
      </c>
    </row>
    <row r="141" spans="3:37" x14ac:dyDescent="0.2">
      <c r="C141" s="634"/>
      <c r="D141" s="634">
        <v>0</v>
      </c>
      <c r="E141" s="634">
        <v>0</v>
      </c>
      <c r="F141" s="634">
        <v>0</v>
      </c>
      <c r="G141" s="634">
        <v>0</v>
      </c>
      <c r="H141" s="634">
        <v>0</v>
      </c>
      <c r="I141" s="634">
        <v>0</v>
      </c>
      <c r="J141" s="634">
        <v>0</v>
      </c>
      <c r="K141" s="634">
        <v>0</v>
      </c>
      <c r="L141" s="634">
        <v>0</v>
      </c>
      <c r="M141" s="634">
        <v>0</v>
      </c>
      <c r="N141" s="634">
        <v>0</v>
      </c>
      <c r="O141" s="634">
        <v>0</v>
      </c>
      <c r="P141" s="634">
        <v>0</v>
      </c>
      <c r="Q141" s="634">
        <v>0</v>
      </c>
      <c r="R141" s="634">
        <v>0</v>
      </c>
      <c r="S141" s="634">
        <v>0</v>
      </c>
      <c r="U141" s="634"/>
      <c r="V141" s="634">
        <v>0</v>
      </c>
      <c r="W141" s="634">
        <v>0</v>
      </c>
      <c r="X141" s="634">
        <v>0</v>
      </c>
      <c r="Y141" s="634">
        <v>0</v>
      </c>
      <c r="Z141" s="634">
        <v>0</v>
      </c>
      <c r="AA141" s="634">
        <v>0</v>
      </c>
      <c r="AB141" s="634">
        <v>0</v>
      </c>
      <c r="AC141" s="634">
        <v>0</v>
      </c>
      <c r="AD141" s="634">
        <v>0</v>
      </c>
      <c r="AE141" s="634">
        <v>0</v>
      </c>
      <c r="AF141" s="634">
        <v>0</v>
      </c>
      <c r="AG141" s="634">
        <v>0</v>
      </c>
      <c r="AH141" s="634">
        <v>0</v>
      </c>
      <c r="AI141" s="634">
        <v>0</v>
      </c>
      <c r="AJ141" s="634">
        <v>0</v>
      </c>
      <c r="AK141" s="634">
        <v>0</v>
      </c>
    </row>
    <row r="142" spans="3:37" x14ac:dyDescent="0.2">
      <c r="C142" s="646" t="s">
        <v>78</v>
      </c>
      <c r="D142" s="640">
        <v>5.4657298257742912</v>
      </c>
      <c r="E142" s="640">
        <v>0</v>
      </c>
      <c r="F142" s="640">
        <v>21.83935294215906</v>
      </c>
      <c r="G142" s="640">
        <v>97.960240418883188</v>
      </c>
      <c r="H142" s="640">
        <v>0</v>
      </c>
      <c r="I142" s="640">
        <v>0</v>
      </c>
      <c r="J142" s="640">
        <v>20.699069714826329</v>
      </c>
      <c r="K142" s="640">
        <v>1.7608774311708451</v>
      </c>
      <c r="L142" s="640">
        <v>0.9136629082031249</v>
      </c>
      <c r="M142" s="640">
        <v>2.0177626304462204</v>
      </c>
      <c r="N142" s="640">
        <v>0</v>
      </c>
      <c r="O142" s="640">
        <v>3.7866244598879411E-4</v>
      </c>
      <c r="P142" s="640">
        <v>111.48933548215857</v>
      </c>
      <c r="Q142" s="640">
        <v>16.083775404791947</v>
      </c>
      <c r="R142" s="640">
        <v>0.29766925048828125</v>
      </c>
      <c r="S142" s="648">
        <v>278.52785467134788</v>
      </c>
      <c r="U142" s="646" t="s">
        <v>78</v>
      </c>
      <c r="V142" s="640">
        <v>1.0762581410403587</v>
      </c>
      <c r="W142" s="640">
        <v>0</v>
      </c>
      <c r="X142" s="640">
        <v>8.4892491154216376</v>
      </c>
      <c r="Y142" s="640">
        <v>50.497915430959594</v>
      </c>
      <c r="Z142" s="640">
        <v>0</v>
      </c>
      <c r="AA142" s="640">
        <v>0</v>
      </c>
      <c r="AB142" s="640">
        <v>15.594949526554588</v>
      </c>
      <c r="AC142" s="640">
        <v>5.2865944994228578</v>
      </c>
      <c r="AD142" s="640">
        <v>4.3757583007812499</v>
      </c>
      <c r="AE142" s="640">
        <v>21.660537806594554</v>
      </c>
      <c r="AF142" s="640">
        <v>0</v>
      </c>
      <c r="AG142" s="640">
        <v>3.7866244598879411E-4</v>
      </c>
      <c r="AH142" s="640">
        <v>141.44668524271188</v>
      </c>
      <c r="AI142" s="640">
        <v>22.79177635880415</v>
      </c>
      <c r="AJ142" s="640">
        <v>6.850041015625</v>
      </c>
      <c r="AK142" s="648">
        <v>278.07014410036186</v>
      </c>
    </row>
    <row r="143" spans="3:37" x14ac:dyDescent="0.2">
      <c r="C143" s="646" t="s">
        <v>79</v>
      </c>
      <c r="D143" s="640">
        <v>0</v>
      </c>
      <c r="E143" s="640">
        <v>0</v>
      </c>
      <c r="F143" s="640">
        <v>249.23385066161848</v>
      </c>
      <c r="G143" s="640">
        <v>29.852237297635437</v>
      </c>
      <c r="H143" s="640">
        <v>0</v>
      </c>
      <c r="I143" s="640">
        <v>0</v>
      </c>
      <c r="J143" s="640">
        <v>0</v>
      </c>
      <c r="K143" s="640">
        <v>0</v>
      </c>
      <c r="L143" s="640">
        <v>24.125777410294155</v>
      </c>
      <c r="M143" s="640">
        <v>0.60922933260480494</v>
      </c>
      <c r="N143" s="640">
        <v>0</v>
      </c>
      <c r="O143" s="640">
        <v>0</v>
      </c>
      <c r="P143" s="640">
        <v>62.086065361885787</v>
      </c>
      <c r="Q143" s="640">
        <v>0</v>
      </c>
      <c r="R143" s="640">
        <v>1.9828379826970517</v>
      </c>
      <c r="S143" s="648">
        <v>367.88999804673568</v>
      </c>
      <c r="U143" s="646" t="s">
        <v>79</v>
      </c>
      <c r="V143" s="640">
        <v>0</v>
      </c>
      <c r="W143" s="640">
        <v>0</v>
      </c>
      <c r="X143" s="640">
        <v>59.317364570862594</v>
      </c>
      <c r="Y143" s="640">
        <v>17.942066440325025</v>
      </c>
      <c r="Z143" s="640">
        <v>0</v>
      </c>
      <c r="AA143" s="640">
        <v>0</v>
      </c>
      <c r="AB143" s="640">
        <v>0</v>
      </c>
      <c r="AC143" s="640">
        <v>0</v>
      </c>
      <c r="AD143" s="640">
        <v>51.332808735857633</v>
      </c>
      <c r="AE143" s="640">
        <v>7.6894570458535831</v>
      </c>
      <c r="AF143" s="640">
        <v>0</v>
      </c>
      <c r="AG143" s="640">
        <v>0</v>
      </c>
      <c r="AH143" s="640">
        <v>82.201296258535137</v>
      </c>
      <c r="AI143" s="640">
        <v>0</v>
      </c>
      <c r="AJ143" s="640">
        <v>4.6183032107255606</v>
      </c>
      <c r="AK143" s="648">
        <v>223.10129626215951</v>
      </c>
    </row>
    <row r="144" spans="3:37" x14ac:dyDescent="0.2">
      <c r="C144" s="646" t="s">
        <v>80</v>
      </c>
      <c r="D144" s="640">
        <v>0</v>
      </c>
      <c r="E144" s="640">
        <v>0</v>
      </c>
      <c r="F144" s="640">
        <v>17.698191750553285</v>
      </c>
      <c r="G144" s="640">
        <v>82.8316536533641</v>
      </c>
      <c r="H144" s="640">
        <v>0</v>
      </c>
      <c r="I144" s="640">
        <v>0</v>
      </c>
      <c r="J144" s="640">
        <v>87.012401530952616</v>
      </c>
      <c r="K144" s="640">
        <v>0</v>
      </c>
      <c r="L144" s="640">
        <v>0</v>
      </c>
      <c r="M144" s="640">
        <v>1.690441911293145</v>
      </c>
      <c r="N144" s="640">
        <v>54.219025663639314</v>
      </c>
      <c r="O144" s="640">
        <v>2.0231633432731213</v>
      </c>
      <c r="P144" s="640">
        <v>187.24843332836184</v>
      </c>
      <c r="Q144" s="640">
        <v>15.504434202631401</v>
      </c>
      <c r="R144" s="640">
        <v>0</v>
      </c>
      <c r="S144" s="648">
        <v>448.22774538406884</v>
      </c>
      <c r="U144" s="646" t="s">
        <v>80</v>
      </c>
      <c r="V144" s="640">
        <v>0</v>
      </c>
      <c r="W144" s="640">
        <v>0</v>
      </c>
      <c r="X144" s="640">
        <v>1.0833932718176746</v>
      </c>
      <c r="Y144" s="640">
        <v>18.084176496701136</v>
      </c>
      <c r="Z144" s="640">
        <v>0</v>
      </c>
      <c r="AA144" s="640">
        <v>0</v>
      </c>
      <c r="AB144" s="640">
        <v>57.868484646152382</v>
      </c>
      <c r="AC144" s="640">
        <v>0</v>
      </c>
      <c r="AD144" s="640">
        <v>0</v>
      </c>
      <c r="AE144" s="640">
        <v>7.7503613557290594</v>
      </c>
      <c r="AF144" s="640">
        <v>78.313096165620991</v>
      </c>
      <c r="AG144" s="640">
        <v>3.4573890525731583</v>
      </c>
      <c r="AH144" s="640">
        <v>150.63566760387405</v>
      </c>
      <c r="AI144" s="640">
        <v>34.942034151478268</v>
      </c>
      <c r="AJ144" s="640">
        <v>0</v>
      </c>
      <c r="AK144" s="648">
        <v>352.13460274394669</v>
      </c>
    </row>
    <row r="145" spans="3:37" x14ac:dyDescent="0.2">
      <c r="C145" s="646" t="s">
        <v>81</v>
      </c>
      <c r="D145" s="640">
        <v>0</v>
      </c>
      <c r="E145" s="640">
        <v>0</v>
      </c>
      <c r="F145" s="640">
        <v>5.759525486283259</v>
      </c>
      <c r="G145" s="640">
        <v>63.242535904869413</v>
      </c>
      <c r="H145" s="640">
        <v>0</v>
      </c>
      <c r="I145" s="640">
        <v>0</v>
      </c>
      <c r="J145" s="640">
        <v>3.243340348024236</v>
      </c>
      <c r="K145" s="640">
        <v>2.5138060257677737E-2</v>
      </c>
      <c r="L145" s="640">
        <v>0</v>
      </c>
      <c r="M145" s="640">
        <v>1.2906639980585595</v>
      </c>
      <c r="N145" s="640">
        <v>8.6788063603893928</v>
      </c>
      <c r="O145" s="640">
        <v>0.74318365128395913</v>
      </c>
      <c r="P145" s="640">
        <v>138.68432478978596</v>
      </c>
      <c r="Q145" s="640">
        <v>3.5758270456804375</v>
      </c>
      <c r="R145" s="640">
        <v>0</v>
      </c>
      <c r="S145" s="648">
        <v>225.24334564463288</v>
      </c>
      <c r="U145" s="646" t="s">
        <v>81</v>
      </c>
      <c r="V145" s="640">
        <v>0</v>
      </c>
      <c r="W145" s="640">
        <v>0</v>
      </c>
      <c r="X145" s="640">
        <v>1.8996820773870462</v>
      </c>
      <c r="Y145" s="640">
        <v>16.701006494583829</v>
      </c>
      <c r="Z145" s="640">
        <v>0</v>
      </c>
      <c r="AA145" s="640">
        <v>0</v>
      </c>
      <c r="AB145" s="640">
        <v>7.1959049572050198</v>
      </c>
      <c r="AC145" s="640">
        <v>2.5138060257677737E-2</v>
      </c>
      <c r="AD145" s="640">
        <v>0</v>
      </c>
      <c r="AE145" s="640">
        <v>7.1575742119644987</v>
      </c>
      <c r="AF145" s="640">
        <v>14.587904232604497</v>
      </c>
      <c r="AG145" s="640">
        <v>1.6018484399661996</v>
      </c>
      <c r="AH145" s="640">
        <v>116.46951239557291</v>
      </c>
      <c r="AI145" s="640">
        <v>11.755138029411436</v>
      </c>
      <c r="AJ145" s="640">
        <v>0</v>
      </c>
      <c r="AK145" s="648">
        <v>177.39370889895312</v>
      </c>
    </row>
    <row r="146" spans="3:37" x14ac:dyDescent="0.2">
      <c r="C146" s="646" t="s">
        <v>82</v>
      </c>
      <c r="D146" s="640">
        <v>0</v>
      </c>
      <c r="E146" s="640">
        <v>0</v>
      </c>
      <c r="F146" s="640">
        <v>29.471786733039881</v>
      </c>
      <c r="G146" s="640">
        <v>1.3166139535686423</v>
      </c>
      <c r="H146" s="640">
        <v>0</v>
      </c>
      <c r="I146" s="640">
        <v>0</v>
      </c>
      <c r="J146" s="640">
        <v>3.6844952632387193</v>
      </c>
      <c r="K146" s="640">
        <v>0</v>
      </c>
      <c r="L146" s="640">
        <v>3.0029030850571363</v>
      </c>
      <c r="M146" s="640">
        <v>2.6869672521809031E-2</v>
      </c>
      <c r="N146" s="640">
        <v>0</v>
      </c>
      <c r="O146" s="640">
        <v>7.2392521047915395E-2</v>
      </c>
      <c r="P146" s="640">
        <v>6.3643203530837074</v>
      </c>
      <c r="Q146" s="640">
        <v>0</v>
      </c>
      <c r="R146" s="640">
        <v>0</v>
      </c>
      <c r="S146" s="648">
        <v>43.939381581557811</v>
      </c>
      <c r="U146" s="646" t="s">
        <v>82</v>
      </c>
      <c r="V146" s="640">
        <v>0</v>
      </c>
      <c r="W146" s="640">
        <v>0</v>
      </c>
      <c r="X146" s="640">
        <v>10.199143313422546</v>
      </c>
      <c r="Y146" s="640">
        <v>1.1904851448286324</v>
      </c>
      <c r="Z146" s="640">
        <v>0</v>
      </c>
      <c r="AA146" s="640">
        <v>0</v>
      </c>
      <c r="AB146" s="640">
        <v>3.6844952632387193</v>
      </c>
      <c r="AC146" s="640">
        <v>0</v>
      </c>
      <c r="AD146" s="640">
        <v>26.674568203776872</v>
      </c>
      <c r="AE146" s="640">
        <v>0.51020791921227104</v>
      </c>
      <c r="AF146" s="640">
        <v>0</v>
      </c>
      <c r="AG146" s="640">
        <v>1.300620381405156</v>
      </c>
      <c r="AH146" s="640">
        <v>6.4632626546266092</v>
      </c>
      <c r="AI146" s="640">
        <v>0</v>
      </c>
      <c r="AJ146" s="640">
        <v>0.325155095351289</v>
      </c>
      <c r="AK146" s="648">
        <v>50.347937975862088</v>
      </c>
    </row>
    <row r="147" spans="3:37" x14ac:dyDescent="0.2">
      <c r="C147" s="646" t="s">
        <v>354</v>
      </c>
      <c r="D147" s="640">
        <v>0</v>
      </c>
      <c r="E147" s="640">
        <v>0</v>
      </c>
      <c r="F147" s="640">
        <v>0</v>
      </c>
      <c r="G147" s="640">
        <v>0</v>
      </c>
      <c r="H147" s="640">
        <v>0</v>
      </c>
      <c r="I147" s="640">
        <v>0</v>
      </c>
      <c r="J147" s="640">
        <v>0</v>
      </c>
      <c r="K147" s="640">
        <v>0</v>
      </c>
      <c r="L147" s="640">
        <v>0</v>
      </c>
      <c r="M147" s="640">
        <v>0</v>
      </c>
      <c r="N147" s="640">
        <v>0</v>
      </c>
      <c r="O147" s="640">
        <v>0</v>
      </c>
      <c r="P147" s="640">
        <v>0.31499999999999995</v>
      </c>
      <c r="Q147" s="640">
        <v>0</v>
      </c>
      <c r="R147" s="640">
        <v>0</v>
      </c>
      <c r="S147" s="648">
        <v>0.31499999999999995</v>
      </c>
      <c r="U147" s="646" t="s">
        <v>354</v>
      </c>
      <c r="V147" s="640">
        <v>0</v>
      </c>
      <c r="W147" s="640">
        <v>0</v>
      </c>
      <c r="X147" s="640">
        <v>0</v>
      </c>
      <c r="Y147" s="640">
        <v>0</v>
      </c>
      <c r="Z147" s="640">
        <v>0</v>
      </c>
      <c r="AA147" s="640">
        <v>0</v>
      </c>
      <c r="AB147" s="640">
        <v>0</v>
      </c>
      <c r="AC147" s="640">
        <v>0</v>
      </c>
      <c r="AD147" s="640">
        <v>0</v>
      </c>
      <c r="AE147" s="640">
        <v>0</v>
      </c>
      <c r="AF147" s="640">
        <v>0</v>
      </c>
      <c r="AG147" s="640">
        <v>0</v>
      </c>
      <c r="AH147" s="640">
        <v>2.4</v>
      </c>
      <c r="AI147" s="640">
        <v>0</v>
      </c>
      <c r="AJ147" s="640">
        <v>0</v>
      </c>
      <c r="AK147" s="648">
        <v>2.4</v>
      </c>
    </row>
    <row r="148" spans="3:37" x14ac:dyDescent="0.2">
      <c r="C148" s="644" t="s">
        <v>83</v>
      </c>
      <c r="D148" s="645">
        <v>5.4657298257742912</v>
      </c>
      <c r="E148" s="645">
        <v>0</v>
      </c>
      <c r="F148" s="645">
        <v>324.00270757365394</v>
      </c>
      <c r="G148" s="645">
        <v>275.2032812283208</v>
      </c>
      <c r="H148" s="645">
        <v>0</v>
      </c>
      <c r="I148" s="645">
        <v>0</v>
      </c>
      <c r="J148" s="645">
        <v>114.6393068570419</v>
      </c>
      <c r="K148" s="645">
        <v>1.7860154914285227</v>
      </c>
      <c r="L148" s="645">
        <v>28.042343403554419</v>
      </c>
      <c r="M148" s="645">
        <v>5.6349675449245389</v>
      </c>
      <c r="N148" s="645">
        <v>62.897832024028709</v>
      </c>
      <c r="O148" s="645">
        <v>2.8391181780509842</v>
      </c>
      <c r="P148" s="645">
        <v>506.18747931527582</v>
      </c>
      <c r="Q148" s="645">
        <v>35.164036653103793</v>
      </c>
      <c r="R148" s="645">
        <v>2.2805072331853329</v>
      </c>
      <c r="S148" s="645">
        <v>1364.1433253283431</v>
      </c>
      <c r="U148" s="644" t="s">
        <v>83</v>
      </c>
      <c r="V148" s="645">
        <v>1.0762581410403587</v>
      </c>
      <c r="W148" s="645">
        <v>0</v>
      </c>
      <c r="X148" s="645">
        <v>80.988832348911515</v>
      </c>
      <c r="Y148" s="645">
        <v>104.41565000739821</v>
      </c>
      <c r="Z148" s="645">
        <v>0</v>
      </c>
      <c r="AA148" s="645">
        <v>0</v>
      </c>
      <c r="AB148" s="645">
        <v>84.343834393150701</v>
      </c>
      <c r="AC148" s="645">
        <v>5.3117325596805349</v>
      </c>
      <c r="AD148" s="645">
        <v>82.383135240415754</v>
      </c>
      <c r="AE148" s="645">
        <v>44.768138339353968</v>
      </c>
      <c r="AF148" s="645">
        <v>92.901000398225491</v>
      </c>
      <c r="AG148" s="645">
        <v>6.3602365363905022</v>
      </c>
      <c r="AH148" s="645">
        <v>499.61642415532054</v>
      </c>
      <c r="AI148" s="645">
        <v>69.488948539693865</v>
      </c>
      <c r="AJ148" s="645">
        <v>11.793499321701848</v>
      </c>
      <c r="AK148" s="645">
        <v>1083.4476899812832</v>
      </c>
    </row>
    <row r="149" spans="3:37" x14ac:dyDescent="0.2">
      <c r="C149" s="639" t="s">
        <v>84</v>
      </c>
      <c r="D149" s="640">
        <v>0</v>
      </c>
      <c r="E149" s="640">
        <v>0</v>
      </c>
      <c r="F149" s="640">
        <v>109.69308299672531</v>
      </c>
      <c r="G149" s="640">
        <v>11.766175832538266</v>
      </c>
      <c r="H149" s="640">
        <v>0</v>
      </c>
      <c r="I149" s="640">
        <v>0</v>
      </c>
      <c r="J149" s="640">
        <v>0</v>
      </c>
      <c r="K149" s="640">
        <v>0</v>
      </c>
      <c r="L149" s="640">
        <v>0</v>
      </c>
      <c r="M149" s="640">
        <v>0</v>
      </c>
      <c r="N149" s="640">
        <v>0</v>
      </c>
      <c r="O149" s="640">
        <v>0</v>
      </c>
      <c r="P149" s="640">
        <v>0</v>
      </c>
      <c r="Q149" s="640">
        <v>0</v>
      </c>
      <c r="R149" s="640">
        <v>1.8135973700674786</v>
      </c>
      <c r="S149" s="648">
        <v>123.27285619933106</v>
      </c>
      <c r="U149" s="639" t="s">
        <v>84</v>
      </c>
      <c r="V149" s="640">
        <v>0</v>
      </c>
      <c r="W149" s="640">
        <v>0</v>
      </c>
      <c r="X149" s="640">
        <v>84.298528713313246</v>
      </c>
      <c r="Y149" s="640">
        <v>1.1302347010557652</v>
      </c>
      <c r="Z149" s="640">
        <v>0</v>
      </c>
      <c r="AA149" s="640">
        <v>0</v>
      </c>
      <c r="AB149" s="640">
        <v>0</v>
      </c>
      <c r="AC149" s="640">
        <v>0</v>
      </c>
      <c r="AD149" s="640">
        <v>17.754065118408207</v>
      </c>
      <c r="AE149" s="640">
        <v>0</v>
      </c>
      <c r="AF149" s="640">
        <v>0</v>
      </c>
      <c r="AG149" s="640">
        <v>0</v>
      </c>
      <c r="AH149" s="640">
        <v>0</v>
      </c>
      <c r="AI149" s="640">
        <v>0</v>
      </c>
      <c r="AJ149" s="640">
        <v>11.930622290039064</v>
      </c>
      <c r="AK149" s="648">
        <v>115.11345082281629</v>
      </c>
    </row>
    <row r="150" spans="3:37" x14ac:dyDescent="0.2">
      <c r="C150" s="644" t="s">
        <v>85</v>
      </c>
      <c r="D150" s="645">
        <v>5.4657298257742912</v>
      </c>
      <c r="E150" s="645">
        <v>0</v>
      </c>
      <c r="F150" s="645">
        <v>433.69579057037924</v>
      </c>
      <c r="G150" s="645">
        <v>286.9694570608591</v>
      </c>
      <c r="H150" s="645">
        <v>0</v>
      </c>
      <c r="I150" s="645">
        <v>0</v>
      </c>
      <c r="J150" s="645">
        <v>114.6393068570419</v>
      </c>
      <c r="K150" s="645">
        <v>1.7860154914285227</v>
      </c>
      <c r="L150" s="645">
        <v>28.042343403554419</v>
      </c>
      <c r="M150" s="645">
        <v>5.6349675449245389</v>
      </c>
      <c r="N150" s="645">
        <v>62.897832024028709</v>
      </c>
      <c r="O150" s="645">
        <v>2.8391181780509842</v>
      </c>
      <c r="P150" s="645">
        <v>506.18747931527582</v>
      </c>
      <c r="Q150" s="645">
        <v>35.164036653103793</v>
      </c>
      <c r="R150" s="645">
        <v>4.094104603252811</v>
      </c>
      <c r="S150" s="645">
        <v>1487.4161815276743</v>
      </c>
      <c r="U150" s="644" t="s">
        <v>85</v>
      </c>
      <c r="V150" s="645">
        <v>1.0762581410403587</v>
      </c>
      <c r="W150" s="645">
        <v>0</v>
      </c>
      <c r="X150" s="645">
        <v>165.28736106222476</v>
      </c>
      <c r="Y150" s="645">
        <v>105.54588470845398</v>
      </c>
      <c r="Z150" s="645">
        <v>0</v>
      </c>
      <c r="AA150" s="645">
        <v>0</v>
      </c>
      <c r="AB150" s="645">
        <v>84.343834393150701</v>
      </c>
      <c r="AC150" s="645">
        <v>5.3117325596805349</v>
      </c>
      <c r="AD150" s="645">
        <v>100.13720035882396</v>
      </c>
      <c r="AE150" s="645">
        <v>44.768138339353968</v>
      </c>
      <c r="AF150" s="645">
        <v>92.901000398225491</v>
      </c>
      <c r="AG150" s="645">
        <v>6.3602365363905022</v>
      </c>
      <c r="AH150" s="645">
        <v>499.61642415532054</v>
      </c>
      <c r="AI150" s="645">
        <v>69.488948539693865</v>
      </c>
      <c r="AJ150" s="645">
        <v>23.724121611740912</v>
      </c>
      <c r="AK150" s="645">
        <v>1198.5611408040995</v>
      </c>
    </row>
    <row r="151" spans="3:37" x14ac:dyDescent="0.2">
      <c r="C151" s="634"/>
      <c r="D151" s="634"/>
      <c r="E151" s="634"/>
      <c r="F151" s="634"/>
      <c r="G151" s="634"/>
      <c r="H151" s="634"/>
      <c r="I151" s="634"/>
      <c r="J151" s="634"/>
      <c r="K151" s="634"/>
      <c r="L151" s="634"/>
      <c r="M151" s="634"/>
      <c r="N151" s="634"/>
      <c r="O151" s="634"/>
      <c r="P151" s="634"/>
      <c r="Q151" s="634"/>
      <c r="R151" s="634"/>
      <c r="S151" s="634"/>
      <c r="U151" s="634"/>
      <c r="V151" s="634"/>
      <c r="W151" s="634"/>
      <c r="X151" s="634"/>
      <c r="Y151" s="634"/>
      <c r="Z151" s="634"/>
      <c r="AA151" s="634"/>
      <c r="AB151" s="634"/>
      <c r="AC151" s="634"/>
      <c r="AD151" s="634"/>
      <c r="AE151" s="634"/>
      <c r="AF151" s="634"/>
      <c r="AG151" s="634"/>
      <c r="AH151" s="634"/>
      <c r="AI151" s="634"/>
      <c r="AJ151" s="634"/>
      <c r="AK151" s="634"/>
    </row>
    <row r="152" spans="3:37" ht="22.5" x14ac:dyDescent="0.3">
      <c r="C152" s="759" t="s">
        <v>518</v>
      </c>
      <c r="D152" s="759"/>
      <c r="E152" s="759"/>
      <c r="F152" s="759"/>
      <c r="G152" s="759"/>
      <c r="H152" s="759"/>
      <c r="I152" s="759"/>
      <c r="J152" s="759"/>
      <c r="K152" s="759"/>
      <c r="L152" s="759"/>
      <c r="M152" s="759"/>
      <c r="N152" s="759"/>
      <c r="O152" s="759"/>
      <c r="P152" s="759"/>
      <c r="Q152" s="759"/>
      <c r="R152" s="759"/>
      <c r="S152" s="759"/>
      <c r="U152" s="759" t="s">
        <v>518</v>
      </c>
      <c r="V152" s="759"/>
      <c r="W152" s="759"/>
      <c r="X152" s="759"/>
      <c r="Y152" s="759"/>
      <c r="Z152" s="759"/>
      <c r="AA152" s="759"/>
      <c r="AB152" s="759"/>
      <c r="AC152" s="759"/>
      <c r="AD152" s="759"/>
      <c r="AE152" s="759"/>
      <c r="AF152" s="759"/>
      <c r="AG152" s="759"/>
      <c r="AH152" s="759"/>
      <c r="AI152" s="759"/>
      <c r="AJ152" s="759"/>
      <c r="AK152" s="759"/>
    </row>
    <row r="153" spans="3:37" x14ac:dyDescent="0.2">
      <c r="C153" s="634"/>
      <c r="D153" s="634"/>
      <c r="E153" s="634"/>
      <c r="F153" s="634"/>
      <c r="G153" s="634"/>
      <c r="H153" s="634"/>
      <c r="I153" s="634"/>
      <c r="J153" s="634"/>
      <c r="K153" s="634"/>
      <c r="L153" s="634"/>
      <c r="M153" s="634"/>
      <c r="N153" s="634"/>
      <c r="O153" s="634"/>
      <c r="P153" s="634"/>
      <c r="Q153" s="634"/>
      <c r="R153" s="634"/>
      <c r="S153" s="634"/>
      <c r="U153" s="634"/>
      <c r="V153" s="634"/>
      <c r="W153" s="634"/>
      <c r="X153" s="634"/>
      <c r="Y153" s="634"/>
      <c r="Z153" s="634"/>
      <c r="AA153" s="634"/>
      <c r="AB153" s="634"/>
      <c r="AC153" s="634"/>
      <c r="AD153" s="634"/>
      <c r="AE153" s="634"/>
      <c r="AF153" s="634"/>
      <c r="AG153" s="634"/>
      <c r="AH153" s="634"/>
      <c r="AI153" s="634"/>
      <c r="AJ153" s="634"/>
      <c r="AK153" s="634"/>
    </row>
    <row r="154" spans="3:37" ht="12.95" customHeight="1" x14ac:dyDescent="0.2">
      <c r="C154" s="758" t="s">
        <v>128</v>
      </c>
      <c r="D154" s="757" t="s">
        <v>42</v>
      </c>
      <c r="E154" s="757" t="s">
        <v>52</v>
      </c>
      <c r="F154" s="757" t="s">
        <v>53</v>
      </c>
      <c r="G154" s="757" t="s">
        <v>32</v>
      </c>
      <c r="H154" s="757" t="s">
        <v>20</v>
      </c>
      <c r="I154" s="757" t="s">
        <v>55</v>
      </c>
      <c r="J154" s="757" t="s">
        <v>56</v>
      </c>
      <c r="K154" s="757"/>
      <c r="L154" s="757"/>
      <c r="M154" s="757"/>
      <c r="N154" s="757"/>
      <c r="O154" s="757"/>
      <c r="P154" s="757" t="s">
        <v>57</v>
      </c>
      <c r="Q154" s="757" t="s">
        <v>58</v>
      </c>
      <c r="R154" s="757" t="s">
        <v>31</v>
      </c>
      <c r="S154" s="757" t="s">
        <v>10</v>
      </c>
      <c r="U154" s="758" t="s">
        <v>128</v>
      </c>
      <c r="V154" s="757" t="s">
        <v>42</v>
      </c>
      <c r="W154" s="757" t="s">
        <v>52</v>
      </c>
      <c r="X154" s="757" t="s">
        <v>53</v>
      </c>
      <c r="Y154" s="757" t="s">
        <v>32</v>
      </c>
      <c r="Z154" s="757" t="s">
        <v>20</v>
      </c>
      <c r="AA154" s="757" t="s">
        <v>55</v>
      </c>
      <c r="AB154" s="757" t="s">
        <v>56</v>
      </c>
      <c r="AC154" s="757"/>
      <c r="AD154" s="757"/>
      <c r="AE154" s="757"/>
      <c r="AF154" s="757"/>
      <c r="AG154" s="757"/>
      <c r="AH154" s="757" t="s">
        <v>57</v>
      </c>
      <c r="AI154" s="757" t="s">
        <v>58</v>
      </c>
      <c r="AJ154" s="757" t="s">
        <v>31</v>
      </c>
      <c r="AK154" s="757" t="s">
        <v>10</v>
      </c>
    </row>
    <row r="155" spans="3:37" ht="56.25" x14ac:dyDescent="0.2">
      <c r="C155" s="758"/>
      <c r="D155" s="757"/>
      <c r="E155" s="757"/>
      <c r="F155" s="757"/>
      <c r="G155" s="757"/>
      <c r="H155" s="757"/>
      <c r="I155" s="757"/>
      <c r="J155" s="638" t="s">
        <v>335</v>
      </c>
      <c r="K155" s="638" t="s">
        <v>40</v>
      </c>
      <c r="L155" s="638" t="s">
        <v>343</v>
      </c>
      <c r="M155" s="638" t="s">
        <v>344</v>
      </c>
      <c r="N155" s="638" t="s">
        <v>345</v>
      </c>
      <c r="O155" s="638" t="s">
        <v>346</v>
      </c>
      <c r="P155" s="757"/>
      <c r="Q155" s="757"/>
      <c r="R155" s="757"/>
      <c r="S155" s="757"/>
      <c r="U155" s="758"/>
      <c r="V155" s="757"/>
      <c r="W155" s="757"/>
      <c r="X155" s="757"/>
      <c r="Y155" s="757"/>
      <c r="Z155" s="757"/>
      <c r="AA155" s="757"/>
      <c r="AB155" s="638" t="s">
        <v>335</v>
      </c>
      <c r="AC155" s="638" t="s">
        <v>40</v>
      </c>
      <c r="AD155" s="638" t="s">
        <v>343</v>
      </c>
      <c r="AE155" s="638" t="s">
        <v>344</v>
      </c>
      <c r="AF155" s="638" t="s">
        <v>345</v>
      </c>
      <c r="AG155" s="638" t="s">
        <v>346</v>
      </c>
      <c r="AH155" s="757"/>
      <c r="AI155" s="757"/>
      <c r="AJ155" s="757"/>
      <c r="AK155" s="757"/>
    </row>
    <row r="156" spans="3:37" x14ac:dyDescent="0.2">
      <c r="C156" s="639" t="s">
        <v>59</v>
      </c>
      <c r="D156" s="640">
        <v>0</v>
      </c>
      <c r="E156" s="641">
        <v>0</v>
      </c>
      <c r="F156" s="641">
        <v>0</v>
      </c>
      <c r="G156" s="640">
        <v>0</v>
      </c>
      <c r="H156" s="641">
        <v>889.54545454545473</v>
      </c>
      <c r="I156" s="641">
        <v>290.38619522472999</v>
      </c>
      <c r="J156" s="641">
        <v>188.26463769943669</v>
      </c>
      <c r="K156" s="641">
        <v>20.519346122490408</v>
      </c>
      <c r="L156" s="641">
        <v>0.54648995449606019</v>
      </c>
      <c r="M156" s="641">
        <v>0.15914693380563083</v>
      </c>
      <c r="N156" s="641">
        <v>65.898689554178929</v>
      </c>
      <c r="O156" s="641">
        <v>11.930124482632028</v>
      </c>
      <c r="P156" s="642">
        <v>0</v>
      </c>
      <c r="Q156" s="641">
        <v>0</v>
      </c>
      <c r="R156" s="641">
        <v>0</v>
      </c>
      <c r="S156" s="643">
        <v>1467.2500845172242</v>
      </c>
      <c r="U156" s="639" t="s">
        <v>59</v>
      </c>
      <c r="V156" s="640">
        <v>0</v>
      </c>
      <c r="W156" s="641">
        <v>0</v>
      </c>
      <c r="X156" s="641">
        <v>0</v>
      </c>
      <c r="Y156" s="640">
        <v>0</v>
      </c>
      <c r="Z156" s="641">
        <v>873.030303030303</v>
      </c>
      <c r="AA156" s="641">
        <v>337.06619522473</v>
      </c>
      <c r="AB156" s="641">
        <v>206.15489309499102</v>
      </c>
      <c r="AC156" s="641">
        <v>37.137182251794961</v>
      </c>
      <c r="AD156" s="641">
        <v>0.54648995449606019</v>
      </c>
      <c r="AE156" s="641">
        <v>0.15914693380563083</v>
      </c>
      <c r="AF156" s="641">
        <v>103.02458403584798</v>
      </c>
      <c r="AG156" s="641">
        <v>25.833176078824131</v>
      </c>
      <c r="AH156" s="642">
        <v>0</v>
      </c>
      <c r="AI156" s="641">
        <v>0</v>
      </c>
      <c r="AJ156" s="641">
        <v>0</v>
      </c>
      <c r="AK156" s="643">
        <v>1582.9519706047927</v>
      </c>
    </row>
    <row r="157" spans="3:37" x14ac:dyDescent="0.2">
      <c r="C157" s="639" t="s">
        <v>60</v>
      </c>
      <c r="D157" s="640">
        <v>47.523331421865407</v>
      </c>
      <c r="E157" s="641">
        <v>492.37419513671523</v>
      </c>
      <c r="F157" s="641">
        <v>57.352326080251387</v>
      </c>
      <c r="G157" s="640">
        <v>328.8885225556333</v>
      </c>
      <c r="H157" s="641">
        <v>0</v>
      </c>
      <c r="I157" s="641">
        <v>0</v>
      </c>
      <c r="J157" s="641">
        <v>4.8075322078390377</v>
      </c>
      <c r="K157" s="641">
        <v>0</v>
      </c>
      <c r="L157" s="641">
        <v>2.6229179175778925</v>
      </c>
      <c r="M157" s="641">
        <v>0</v>
      </c>
      <c r="N157" s="641">
        <v>0</v>
      </c>
      <c r="O157" s="641">
        <v>0</v>
      </c>
      <c r="P157" s="642">
        <v>0</v>
      </c>
      <c r="Q157" s="641">
        <v>0</v>
      </c>
      <c r="R157" s="641">
        <v>0</v>
      </c>
      <c r="S157" s="643">
        <v>933.56882531988219</v>
      </c>
      <c r="U157" s="639" t="s">
        <v>60</v>
      </c>
      <c r="V157" s="640">
        <v>6.5260336126681251</v>
      </c>
      <c r="W157" s="641">
        <v>220.47790015098695</v>
      </c>
      <c r="X157" s="641">
        <v>14.513856185365357</v>
      </c>
      <c r="Y157" s="640">
        <v>102.1346675179243</v>
      </c>
      <c r="Z157" s="641">
        <v>0</v>
      </c>
      <c r="AA157" s="641">
        <v>0</v>
      </c>
      <c r="AB157" s="641">
        <v>4.8075322078390377</v>
      </c>
      <c r="AC157" s="641">
        <v>0</v>
      </c>
      <c r="AD157" s="641">
        <v>2.6229179175778925</v>
      </c>
      <c r="AE157" s="641">
        <v>0</v>
      </c>
      <c r="AF157" s="641">
        <v>0</v>
      </c>
      <c r="AG157" s="641">
        <v>0</v>
      </c>
      <c r="AH157" s="642">
        <v>0</v>
      </c>
      <c r="AI157" s="641">
        <v>0</v>
      </c>
      <c r="AJ157" s="641">
        <v>0</v>
      </c>
      <c r="AK157" s="643">
        <v>351.08290759236166</v>
      </c>
    </row>
    <row r="158" spans="3:37" x14ac:dyDescent="0.2">
      <c r="C158" s="639" t="s">
        <v>61</v>
      </c>
      <c r="D158" s="640">
        <v>0</v>
      </c>
      <c r="E158" s="641">
        <v>0</v>
      </c>
      <c r="F158" s="641">
        <v>0</v>
      </c>
      <c r="G158" s="640">
        <v>0</v>
      </c>
      <c r="H158" s="641">
        <v>0</v>
      </c>
      <c r="I158" s="641">
        <v>0</v>
      </c>
      <c r="J158" s="641">
        <v>0</v>
      </c>
      <c r="K158" s="641">
        <v>0</v>
      </c>
      <c r="L158" s="641">
        <v>0</v>
      </c>
      <c r="M158" s="641">
        <v>0</v>
      </c>
      <c r="N158" s="641">
        <v>0</v>
      </c>
      <c r="O158" s="641">
        <v>0</v>
      </c>
      <c r="P158" s="642">
        <v>-22.391147784534837</v>
      </c>
      <c r="Q158" s="641">
        <v>0</v>
      </c>
      <c r="R158" s="641">
        <v>0</v>
      </c>
      <c r="S158" s="643">
        <v>-22.391147784534837</v>
      </c>
      <c r="U158" s="639" t="s">
        <v>61</v>
      </c>
      <c r="V158" s="640">
        <v>0</v>
      </c>
      <c r="W158" s="641">
        <v>0</v>
      </c>
      <c r="X158" s="641">
        <v>-19.691193817618341</v>
      </c>
      <c r="Y158" s="640">
        <v>0</v>
      </c>
      <c r="Z158" s="641">
        <v>0</v>
      </c>
      <c r="AA158" s="641">
        <v>0</v>
      </c>
      <c r="AB158" s="641">
        <v>0</v>
      </c>
      <c r="AC158" s="641">
        <v>0</v>
      </c>
      <c r="AD158" s="641">
        <v>0</v>
      </c>
      <c r="AE158" s="641">
        <v>0</v>
      </c>
      <c r="AF158" s="641">
        <v>0</v>
      </c>
      <c r="AG158" s="641">
        <v>0</v>
      </c>
      <c r="AH158" s="642">
        <v>-17.389600315785174</v>
      </c>
      <c r="AI158" s="641">
        <v>0</v>
      </c>
      <c r="AJ158" s="641">
        <v>0</v>
      </c>
      <c r="AK158" s="643">
        <v>-37.080794133403515</v>
      </c>
    </row>
    <row r="159" spans="3:37" x14ac:dyDescent="0.2">
      <c r="C159" s="639" t="s">
        <v>62</v>
      </c>
      <c r="D159" s="640">
        <v>0</v>
      </c>
      <c r="E159" s="641">
        <v>0</v>
      </c>
      <c r="F159" s="641">
        <v>-15.496739011683466</v>
      </c>
      <c r="G159" s="640">
        <v>0</v>
      </c>
      <c r="H159" s="641">
        <v>0</v>
      </c>
      <c r="I159" s="641">
        <v>0</v>
      </c>
      <c r="J159" s="641">
        <v>0</v>
      </c>
      <c r="K159" s="641">
        <v>0</v>
      </c>
      <c r="L159" s="641">
        <v>0</v>
      </c>
      <c r="M159" s="641">
        <v>0</v>
      </c>
      <c r="N159" s="641">
        <v>0</v>
      </c>
      <c r="O159" s="641">
        <v>0</v>
      </c>
      <c r="P159" s="642">
        <v>0</v>
      </c>
      <c r="Q159" s="641">
        <v>0</v>
      </c>
      <c r="R159" s="641">
        <v>0</v>
      </c>
      <c r="S159" s="643">
        <v>-15.496739011683466</v>
      </c>
      <c r="U159" s="639" t="s">
        <v>62</v>
      </c>
      <c r="V159" s="640">
        <v>0</v>
      </c>
      <c r="W159" s="641">
        <v>0</v>
      </c>
      <c r="X159" s="641">
        <v>-8.5387827474702789</v>
      </c>
      <c r="Y159" s="640">
        <v>-2.2272473327152178</v>
      </c>
      <c r="Z159" s="641">
        <v>0</v>
      </c>
      <c r="AA159" s="641">
        <v>0</v>
      </c>
      <c r="AB159" s="641">
        <v>0</v>
      </c>
      <c r="AC159" s="641">
        <v>0</v>
      </c>
      <c r="AD159" s="641">
        <v>0</v>
      </c>
      <c r="AE159" s="641">
        <v>-1.7037211969591732</v>
      </c>
      <c r="AF159" s="641">
        <v>0</v>
      </c>
      <c r="AG159" s="641">
        <v>0</v>
      </c>
      <c r="AH159" s="642">
        <v>0</v>
      </c>
      <c r="AI159" s="641">
        <v>0</v>
      </c>
      <c r="AJ159" s="641">
        <v>0</v>
      </c>
      <c r="AK159" s="643">
        <v>-12.46975127714467</v>
      </c>
    </row>
    <row r="160" spans="3:37" x14ac:dyDescent="0.2">
      <c r="C160" s="639" t="s">
        <v>63</v>
      </c>
      <c r="D160" s="640">
        <v>0</v>
      </c>
      <c r="E160" s="641">
        <v>0</v>
      </c>
      <c r="F160" s="641">
        <v>-89.42656352071144</v>
      </c>
      <c r="G160" s="640">
        <v>0</v>
      </c>
      <c r="H160" s="641">
        <v>0</v>
      </c>
      <c r="I160" s="641">
        <v>0</v>
      </c>
      <c r="J160" s="641">
        <v>0</v>
      </c>
      <c r="K160" s="641">
        <v>0</v>
      </c>
      <c r="L160" s="641">
        <v>-0.92190198395554845</v>
      </c>
      <c r="M160" s="641">
        <v>0</v>
      </c>
      <c r="N160" s="641">
        <v>0</v>
      </c>
      <c r="O160" s="641">
        <v>0</v>
      </c>
      <c r="P160" s="642">
        <v>0</v>
      </c>
      <c r="Q160" s="641">
        <v>0</v>
      </c>
      <c r="R160" s="641">
        <v>0</v>
      </c>
      <c r="S160" s="643">
        <v>-90.34846550466699</v>
      </c>
      <c r="U160" s="639" t="s">
        <v>63</v>
      </c>
      <c r="V160" s="640">
        <v>0</v>
      </c>
      <c r="W160" s="641">
        <v>0</v>
      </c>
      <c r="X160" s="641">
        <v>-55.486888716289528</v>
      </c>
      <c r="Y160" s="640">
        <v>0</v>
      </c>
      <c r="Z160" s="641">
        <v>0</v>
      </c>
      <c r="AA160" s="641">
        <v>0</v>
      </c>
      <c r="AB160" s="641">
        <v>0</v>
      </c>
      <c r="AC160" s="641">
        <v>0</v>
      </c>
      <c r="AD160" s="641">
        <v>-26.575233608452013</v>
      </c>
      <c r="AE160" s="641">
        <v>0</v>
      </c>
      <c r="AF160" s="641">
        <v>0</v>
      </c>
      <c r="AG160" s="641">
        <v>0</v>
      </c>
      <c r="AH160" s="642">
        <v>0</v>
      </c>
      <c r="AI160" s="641">
        <v>0</v>
      </c>
      <c r="AJ160" s="641">
        <v>0</v>
      </c>
      <c r="AK160" s="643">
        <v>-82.062122324741537</v>
      </c>
    </row>
    <row r="161" spans="3:37" x14ac:dyDescent="0.2">
      <c r="C161" s="639" t="s">
        <v>64</v>
      </c>
      <c r="D161" s="640">
        <v>0</v>
      </c>
      <c r="E161" s="641">
        <v>0</v>
      </c>
      <c r="F161" s="641">
        <v>0</v>
      </c>
      <c r="G161" s="640">
        <v>0</v>
      </c>
      <c r="H161" s="641">
        <v>0</v>
      </c>
      <c r="I161" s="641">
        <v>0</v>
      </c>
      <c r="J161" s="641">
        <v>0</v>
      </c>
      <c r="K161" s="641">
        <v>0</v>
      </c>
      <c r="L161" s="641">
        <v>0</v>
      </c>
      <c r="M161" s="641">
        <v>0</v>
      </c>
      <c r="N161" s="641">
        <v>0</v>
      </c>
      <c r="O161" s="641">
        <v>0</v>
      </c>
      <c r="P161" s="642">
        <v>0</v>
      </c>
      <c r="Q161" s="641">
        <v>0</v>
      </c>
      <c r="R161" s="641">
        <v>0</v>
      </c>
      <c r="S161" s="643">
        <v>0</v>
      </c>
      <c r="U161" s="639" t="s">
        <v>64</v>
      </c>
      <c r="V161" s="640">
        <v>0</v>
      </c>
      <c r="W161" s="641">
        <v>0</v>
      </c>
      <c r="X161" s="641">
        <v>0</v>
      </c>
      <c r="Y161" s="640">
        <v>0</v>
      </c>
      <c r="Z161" s="641">
        <v>0</v>
      </c>
      <c r="AA161" s="641">
        <v>0</v>
      </c>
      <c r="AB161" s="641">
        <v>0</v>
      </c>
      <c r="AC161" s="641">
        <v>0</v>
      </c>
      <c r="AD161" s="641">
        <v>0</v>
      </c>
      <c r="AE161" s="641">
        <v>0</v>
      </c>
      <c r="AF161" s="641">
        <v>0</v>
      </c>
      <c r="AG161" s="641">
        <v>0</v>
      </c>
      <c r="AH161" s="642">
        <v>0</v>
      </c>
      <c r="AI161" s="641">
        <v>0</v>
      </c>
      <c r="AJ161" s="641">
        <v>0</v>
      </c>
      <c r="AK161" s="643">
        <v>0</v>
      </c>
    </row>
    <row r="162" spans="3:37" x14ac:dyDescent="0.2">
      <c r="C162" s="644" t="s">
        <v>65</v>
      </c>
      <c r="D162" s="645">
        <v>47.523331421865407</v>
      </c>
      <c r="E162" s="645">
        <v>492.37419513671523</v>
      </c>
      <c r="F162" s="645">
        <v>-47.570976452143519</v>
      </c>
      <c r="G162" s="645">
        <v>328.8885225556333</v>
      </c>
      <c r="H162" s="645">
        <v>889.54545454545473</v>
      </c>
      <c r="I162" s="645">
        <v>290.38619522472999</v>
      </c>
      <c r="J162" s="645">
        <v>193.07216990727574</v>
      </c>
      <c r="K162" s="645">
        <v>20.519346122490408</v>
      </c>
      <c r="L162" s="645">
        <v>2.247505888118404</v>
      </c>
      <c r="M162" s="645">
        <v>0.15914693380563083</v>
      </c>
      <c r="N162" s="645">
        <v>65.898689554178929</v>
      </c>
      <c r="O162" s="645">
        <v>11.930124482632028</v>
      </c>
      <c r="P162" s="645">
        <v>-22.391147784534837</v>
      </c>
      <c r="Q162" s="645">
        <v>0</v>
      </c>
      <c r="R162" s="645">
        <v>0</v>
      </c>
      <c r="S162" s="645">
        <v>2272.5825575362214</v>
      </c>
      <c r="U162" s="644" t="s">
        <v>65</v>
      </c>
      <c r="V162" s="645">
        <v>6.5260336126681251</v>
      </c>
      <c r="W162" s="645">
        <v>220.47790015098695</v>
      </c>
      <c r="X162" s="645">
        <v>-69.203009096012792</v>
      </c>
      <c r="Y162" s="645">
        <v>99.907420185209077</v>
      </c>
      <c r="Z162" s="645">
        <v>873.030303030303</v>
      </c>
      <c r="AA162" s="645">
        <v>337.06619522473</v>
      </c>
      <c r="AB162" s="645">
        <v>210.96242530283007</v>
      </c>
      <c r="AC162" s="645">
        <v>37.137182251794961</v>
      </c>
      <c r="AD162" s="645">
        <v>-23.405825736378059</v>
      </c>
      <c r="AE162" s="645">
        <v>-1.5445742631535424</v>
      </c>
      <c r="AF162" s="645">
        <v>103.02458403584798</v>
      </c>
      <c r="AG162" s="645">
        <v>25.833176078824131</v>
      </c>
      <c r="AH162" s="645">
        <v>-17.389600315785174</v>
      </c>
      <c r="AI162" s="645">
        <v>0</v>
      </c>
      <c r="AJ162" s="645">
        <v>0</v>
      </c>
      <c r="AK162" s="645">
        <v>1802.4222104618648</v>
      </c>
    </row>
    <row r="163" spans="3:37" x14ac:dyDescent="0.2">
      <c r="C163" s="634"/>
      <c r="D163" s="634">
        <v>0</v>
      </c>
      <c r="E163" s="634">
        <v>0</v>
      </c>
      <c r="F163" s="634">
        <v>0</v>
      </c>
      <c r="G163" s="634">
        <v>0</v>
      </c>
      <c r="H163" s="634">
        <v>0</v>
      </c>
      <c r="I163" s="634">
        <v>0</v>
      </c>
      <c r="J163" s="634">
        <v>0</v>
      </c>
      <c r="K163" s="634">
        <v>0</v>
      </c>
      <c r="L163" s="634">
        <v>0</v>
      </c>
      <c r="M163" s="634">
        <v>0</v>
      </c>
      <c r="N163" s="634">
        <v>0</v>
      </c>
      <c r="O163" s="634">
        <v>0</v>
      </c>
      <c r="P163" s="634">
        <v>0</v>
      </c>
      <c r="Q163" s="634">
        <v>0</v>
      </c>
      <c r="R163" s="634">
        <v>0</v>
      </c>
      <c r="S163" s="634">
        <v>0</v>
      </c>
      <c r="U163" s="634"/>
      <c r="V163" s="634">
        <v>0</v>
      </c>
      <c r="W163" s="634">
        <v>0</v>
      </c>
      <c r="X163" s="634">
        <v>0</v>
      </c>
      <c r="Y163" s="634">
        <v>0</v>
      </c>
      <c r="Z163" s="634">
        <v>0</v>
      </c>
      <c r="AA163" s="634">
        <v>0</v>
      </c>
      <c r="AB163" s="634">
        <v>0</v>
      </c>
      <c r="AC163" s="634">
        <v>0</v>
      </c>
      <c r="AD163" s="634">
        <v>0</v>
      </c>
      <c r="AE163" s="634">
        <v>0</v>
      </c>
      <c r="AF163" s="634">
        <v>0</v>
      </c>
      <c r="AG163" s="634">
        <v>0</v>
      </c>
      <c r="AH163" s="634">
        <v>0</v>
      </c>
      <c r="AI163" s="634">
        <v>0</v>
      </c>
      <c r="AJ163" s="634">
        <v>0</v>
      </c>
      <c r="AK163" s="634">
        <v>0</v>
      </c>
    </row>
    <row r="164" spans="3:37" x14ac:dyDescent="0.2">
      <c r="C164" s="646" t="s">
        <v>67</v>
      </c>
      <c r="D164" s="640">
        <v>0</v>
      </c>
      <c r="E164" s="647">
        <v>0</v>
      </c>
      <c r="F164" s="647">
        <v>0</v>
      </c>
      <c r="G164" s="640">
        <v>0</v>
      </c>
      <c r="H164" s="640">
        <v>0</v>
      </c>
      <c r="I164" s="640">
        <v>0</v>
      </c>
      <c r="J164" s="640">
        <v>0</v>
      </c>
      <c r="K164" s="640">
        <v>0</v>
      </c>
      <c r="L164" s="640">
        <v>0</v>
      </c>
      <c r="M164" s="640">
        <v>0</v>
      </c>
      <c r="N164" s="640">
        <v>0</v>
      </c>
      <c r="O164" s="640">
        <v>0</v>
      </c>
      <c r="P164" s="640">
        <v>0</v>
      </c>
      <c r="Q164" s="640">
        <v>0</v>
      </c>
      <c r="R164" s="640">
        <v>0</v>
      </c>
      <c r="S164" s="648">
        <v>0</v>
      </c>
      <c r="U164" s="646" t="s">
        <v>67</v>
      </c>
      <c r="V164" s="640">
        <v>0</v>
      </c>
      <c r="W164" s="647">
        <v>0</v>
      </c>
      <c r="X164" s="647">
        <v>0</v>
      </c>
      <c r="Y164" s="640">
        <v>0</v>
      </c>
      <c r="Z164" s="640">
        <v>0</v>
      </c>
      <c r="AA164" s="640">
        <v>0</v>
      </c>
      <c r="AB164" s="640">
        <v>0</v>
      </c>
      <c r="AC164" s="640">
        <v>0</v>
      </c>
      <c r="AD164" s="640">
        <v>0</v>
      </c>
      <c r="AE164" s="640">
        <v>0</v>
      </c>
      <c r="AF164" s="640">
        <v>0</v>
      </c>
      <c r="AG164" s="640">
        <v>0</v>
      </c>
      <c r="AH164" s="640">
        <v>0</v>
      </c>
      <c r="AI164" s="640">
        <v>0</v>
      </c>
      <c r="AJ164" s="640">
        <v>0</v>
      </c>
      <c r="AK164" s="648">
        <v>0</v>
      </c>
    </row>
    <row r="165" spans="3:37" x14ac:dyDescent="0.2">
      <c r="C165" s="646" t="s">
        <v>347</v>
      </c>
      <c r="D165" s="640">
        <v>2.8267856410252494</v>
      </c>
      <c r="E165" s="640">
        <v>0</v>
      </c>
      <c r="F165" s="640">
        <v>7.7625293209280457</v>
      </c>
      <c r="G165" s="640">
        <v>16.824034334763951</v>
      </c>
      <c r="H165" s="640">
        <v>889.54545454545473</v>
      </c>
      <c r="I165" s="640">
        <v>290.38619522472999</v>
      </c>
      <c r="J165" s="649">
        <v>29.234857813431841</v>
      </c>
      <c r="K165" s="649">
        <v>6.7467623730381456</v>
      </c>
      <c r="L165" s="649">
        <v>3.1694078720739522</v>
      </c>
      <c r="M165" s="649">
        <v>0.46915285357606595</v>
      </c>
      <c r="N165" s="649">
        <v>0</v>
      </c>
      <c r="O165" s="649">
        <v>6.9727309871777221</v>
      </c>
      <c r="P165" s="640">
        <v>-615.41357369902562</v>
      </c>
      <c r="Q165" s="640">
        <v>0</v>
      </c>
      <c r="R165" s="640">
        <v>0</v>
      </c>
      <c r="S165" s="648">
        <v>638.52433726717402</v>
      </c>
      <c r="U165" s="646" t="s">
        <v>347</v>
      </c>
      <c r="V165" s="640">
        <v>0.62631490545869017</v>
      </c>
      <c r="W165" s="640">
        <v>0</v>
      </c>
      <c r="X165" s="640">
        <v>3.8988929572916824</v>
      </c>
      <c r="Y165" s="640">
        <v>3.6741630901287547</v>
      </c>
      <c r="Z165" s="640">
        <v>873.030303030303</v>
      </c>
      <c r="AA165" s="640">
        <v>337.06619522473</v>
      </c>
      <c r="AB165" s="649">
        <v>23.429523439383615</v>
      </c>
      <c r="AC165" s="649">
        <v>5.4991881500691626</v>
      </c>
      <c r="AD165" s="649">
        <v>3.1694078720739522</v>
      </c>
      <c r="AE165" s="649">
        <v>2.7864060724601858</v>
      </c>
      <c r="AF165" s="649">
        <v>0</v>
      </c>
      <c r="AG165" s="649">
        <v>6.9727309871777221</v>
      </c>
      <c r="AH165" s="640">
        <v>-649.11357369902544</v>
      </c>
      <c r="AI165" s="640">
        <v>0</v>
      </c>
      <c r="AJ165" s="640">
        <v>4.45</v>
      </c>
      <c r="AK165" s="648">
        <v>615.48955203005141</v>
      </c>
    </row>
    <row r="166" spans="3:37" x14ac:dyDescent="0.2">
      <c r="C166" s="646" t="s">
        <v>348</v>
      </c>
      <c r="D166" s="640">
        <v>0</v>
      </c>
      <c r="E166" s="640">
        <v>0</v>
      </c>
      <c r="F166" s="640">
        <v>0</v>
      </c>
      <c r="G166" s="640">
        <v>14.896462034387394</v>
      </c>
      <c r="H166" s="640">
        <v>0</v>
      </c>
      <c r="I166" s="640">
        <v>0</v>
      </c>
      <c r="J166" s="649">
        <v>12.461036592610267</v>
      </c>
      <c r="K166" s="649">
        <v>11.927183871567582</v>
      </c>
      <c r="L166" s="649">
        <v>0</v>
      </c>
      <c r="M166" s="649">
        <v>0.3188738120209938</v>
      </c>
      <c r="N166" s="649">
        <v>0</v>
      </c>
      <c r="O166" s="649">
        <v>2.1085025260592274</v>
      </c>
      <c r="P166" s="640">
        <v>0</v>
      </c>
      <c r="Q166" s="640">
        <v>-37.934258390495422</v>
      </c>
      <c r="R166" s="640">
        <v>0</v>
      </c>
      <c r="S166" s="648">
        <v>3.7778004461500441</v>
      </c>
      <c r="U166" s="646" t="s">
        <v>348</v>
      </c>
      <c r="V166" s="640">
        <v>0</v>
      </c>
      <c r="W166" s="640">
        <v>0</v>
      </c>
      <c r="X166" s="640">
        <v>0</v>
      </c>
      <c r="Y166" s="640">
        <v>8.218662070491261</v>
      </c>
      <c r="Z166" s="640">
        <v>0</v>
      </c>
      <c r="AA166" s="640">
        <v>0</v>
      </c>
      <c r="AB166" s="649">
        <v>28.560818034272483</v>
      </c>
      <c r="AC166" s="649">
        <v>26.163217208510932</v>
      </c>
      <c r="AD166" s="649">
        <v>0</v>
      </c>
      <c r="AE166" s="649">
        <v>5.9663093303449024</v>
      </c>
      <c r="AF166" s="649">
        <v>0</v>
      </c>
      <c r="AG166" s="649">
        <v>11.832895483778962</v>
      </c>
      <c r="AH166" s="640">
        <v>0</v>
      </c>
      <c r="AI166" s="640">
        <v>-74.578675527513624</v>
      </c>
      <c r="AJ166" s="640">
        <v>0</v>
      </c>
      <c r="AK166" s="648">
        <v>6.1632265998849274</v>
      </c>
    </row>
    <row r="167" spans="3:37" x14ac:dyDescent="0.2">
      <c r="C167" s="646" t="s">
        <v>349</v>
      </c>
      <c r="D167" s="640">
        <v>0</v>
      </c>
      <c r="E167" s="640">
        <v>0</v>
      </c>
      <c r="F167" s="640">
        <v>0</v>
      </c>
      <c r="G167" s="640">
        <v>0</v>
      </c>
      <c r="H167" s="640">
        <v>0</v>
      </c>
      <c r="I167" s="640">
        <v>0</v>
      </c>
      <c r="J167" s="650">
        <v>6.9979956174374891</v>
      </c>
      <c r="K167" s="650">
        <v>0</v>
      </c>
      <c r="L167" s="650">
        <v>0</v>
      </c>
      <c r="M167" s="650">
        <v>-6.4748954450340372</v>
      </c>
      <c r="N167" s="650">
        <v>0</v>
      </c>
      <c r="O167" s="650">
        <v>0</v>
      </c>
      <c r="P167" s="640">
        <v>0</v>
      </c>
      <c r="Q167" s="640">
        <v>0</v>
      </c>
      <c r="R167" s="640">
        <v>0</v>
      </c>
      <c r="S167" s="648">
        <v>0.52310017240345186</v>
      </c>
      <c r="U167" s="646" t="s">
        <v>349</v>
      </c>
      <c r="V167" s="640">
        <v>0</v>
      </c>
      <c r="W167" s="640">
        <v>0</v>
      </c>
      <c r="X167" s="640">
        <v>0</v>
      </c>
      <c r="Y167" s="640">
        <v>0</v>
      </c>
      <c r="Z167" s="640">
        <v>0</v>
      </c>
      <c r="AA167" s="640">
        <v>0</v>
      </c>
      <c r="AB167" s="650">
        <v>79.198989478899776</v>
      </c>
      <c r="AC167" s="650">
        <v>0</v>
      </c>
      <c r="AD167" s="650">
        <v>0</v>
      </c>
      <c r="AE167" s="650">
        <v>-73.278865015352025</v>
      </c>
      <c r="AF167" s="650">
        <v>0</v>
      </c>
      <c r="AG167" s="650">
        <v>0</v>
      </c>
      <c r="AH167" s="640">
        <v>0</v>
      </c>
      <c r="AI167" s="640">
        <v>0</v>
      </c>
      <c r="AJ167" s="640">
        <v>0</v>
      </c>
      <c r="AK167" s="648">
        <v>5.9201244635477508</v>
      </c>
    </row>
    <row r="168" spans="3:37" x14ac:dyDescent="0.2">
      <c r="C168" s="646" t="s">
        <v>350</v>
      </c>
      <c r="D168" s="640">
        <v>0</v>
      </c>
      <c r="E168" s="640">
        <v>0</v>
      </c>
      <c r="F168" s="640">
        <v>0</v>
      </c>
      <c r="G168" s="640">
        <v>0</v>
      </c>
      <c r="H168" s="640">
        <v>0</v>
      </c>
      <c r="I168" s="640">
        <v>0</v>
      </c>
      <c r="J168" s="640">
        <v>0</v>
      </c>
      <c r="K168" s="640">
        <v>0</v>
      </c>
      <c r="L168" s="640">
        <v>0</v>
      </c>
      <c r="M168" s="640">
        <v>0</v>
      </c>
      <c r="N168" s="640">
        <v>0</v>
      </c>
      <c r="O168" s="640">
        <v>0</v>
      </c>
      <c r="P168" s="640">
        <v>0</v>
      </c>
      <c r="Q168" s="640">
        <v>0</v>
      </c>
      <c r="R168" s="640">
        <v>0</v>
      </c>
      <c r="S168" s="648">
        <v>0</v>
      </c>
      <c r="U168" s="646" t="s">
        <v>350</v>
      </c>
      <c r="V168" s="640">
        <v>0</v>
      </c>
      <c r="W168" s="640">
        <v>0</v>
      </c>
      <c r="X168" s="640">
        <v>0</v>
      </c>
      <c r="Y168" s="640">
        <v>0</v>
      </c>
      <c r="Z168" s="640">
        <v>0</v>
      </c>
      <c r="AA168" s="640">
        <v>0</v>
      </c>
      <c r="AB168" s="640">
        <v>0</v>
      </c>
      <c r="AC168" s="640">
        <v>0</v>
      </c>
      <c r="AD168" s="640">
        <v>0</v>
      </c>
      <c r="AE168" s="640">
        <v>0</v>
      </c>
      <c r="AF168" s="640">
        <v>0</v>
      </c>
      <c r="AG168" s="640">
        <v>0</v>
      </c>
      <c r="AH168" s="640">
        <v>0</v>
      </c>
      <c r="AI168" s="640">
        <v>0</v>
      </c>
      <c r="AJ168" s="640">
        <v>0</v>
      </c>
      <c r="AK168" s="648">
        <v>0</v>
      </c>
    </row>
    <row r="169" spans="3:37" x14ac:dyDescent="0.2">
      <c r="C169" s="646" t="s">
        <v>72</v>
      </c>
      <c r="D169" s="640">
        <v>0</v>
      </c>
      <c r="E169" s="640">
        <v>510.04733530503466</v>
      </c>
      <c r="F169" s="640">
        <v>-504.94686195198432</v>
      </c>
      <c r="G169" s="640">
        <v>0</v>
      </c>
      <c r="H169" s="640">
        <v>0</v>
      </c>
      <c r="I169" s="640">
        <v>0</v>
      </c>
      <c r="J169" s="640">
        <v>0</v>
      </c>
      <c r="K169" s="640">
        <v>0</v>
      </c>
      <c r="L169" s="640">
        <v>0</v>
      </c>
      <c r="M169" s="640">
        <v>0</v>
      </c>
      <c r="N169" s="640">
        <v>0</v>
      </c>
      <c r="O169" s="640">
        <v>0</v>
      </c>
      <c r="P169" s="640">
        <v>0</v>
      </c>
      <c r="Q169" s="640">
        <v>0</v>
      </c>
      <c r="R169" s="640">
        <v>0</v>
      </c>
      <c r="S169" s="648">
        <v>5.1004733530503472</v>
      </c>
      <c r="U169" s="646" t="s">
        <v>72</v>
      </c>
      <c r="V169" s="640">
        <v>0</v>
      </c>
      <c r="W169" s="640">
        <v>228.3916715709193</v>
      </c>
      <c r="X169" s="640">
        <v>-226.10775485521012</v>
      </c>
      <c r="Y169" s="640">
        <v>0</v>
      </c>
      <c r="Z169" s="640">
        <v>0</v>
      </c>
      <c r="AA169" s="640">
        <v>0</v>
      </c>
      <c r="AB169" s="640">
        <v>0</v>
      </c>
      <c r="AC169" s="640">
        <v>0</v>
      </c>
      <c r="AD169" s="640">
        <v>0</v>
      </c>
      <c r="AE169" s="640">
        <v>0</v>
      </c>
      <c r="AF169" s="640">
        <v>0</v>
      </c>
      <c r="AG169" s="640">
        <v>0</v>
      </c>
      <c r="AH169" s="640">
        <v>0</v>
      </c>
      <c r="AI169" s="640">
        <v>0</v>
      </c>
      <c r="AJ169" s="640">
        <v>0</v>
      </c>
      <c r="AK169" s="648">
        <v>2.2839167157091822</v>
      </c>
    </row>
    <row r="170" spans="3:37" x14ac:dyDescent="0.2">
      <c r="C170" s="646" t="s">
        <v>351</v>
      </c>
      <c r="D170" s="640">
        <v>0</v>
      </c>
      <c r="E170" s="640">
        <v>0</v>
      </c>
      <c r="F170" s="640">
        <v>0</v>
      </c>
      <c r="G170" s="640">
        <v>0</v>
      </c>
      <c r="H170" s="640">
        <v>0</v>
      </c>
      <c r="I170" s="640">
        <v>0</v>
      </c>
      <c r="J170" s="640">
        <v>27.710201800923624</v>
      </c>
      <c r="K170" s="640">
        <v>0</v>
      </c>
      <c r="L170" s="640">
        <v>-27.710201800923624</v>
      </c>
      <c r="M170" s="640">
        <v>0</v>
      </c>
      <c r="N170" s="640">
        <v>0</v>
      </c>
      <c r="O170" s="640">
        <v>0</v>
      </c>
      <c r="P170" s="640">
        <v>0</v>
      </c>
      <c r="Q170" s="640">
        <v>0</v>
      </c>
      <c r="R170" s="640">
        <v>0</v>
      </c>
      <c r="S170" s="648">
        <v>0</v>
      </c>
      <c r="U170" s="646" t="s">
        <v>351</v>
      </c>
      <c r="V170" s="640">
        <v>0</v>
      </c>
      <c r="W170" s="640">
        <v>0</v>
      </c>
      <c r="X170" s="640">
        <v>0</v>
      </c>
      <c r="Y170" s="640">
        <v>0</v>
      </c>
      <c r="Z170" s="640">
        <v>0</v>
      </c>
      <c r="AA170" s="640">
        <v>0</v>
      </c>
      <c r="AB170" s="640" t="e">
        <v>#VALUE!</v>
      </c>
      <c r="AC170" s="640">
        <v>0</v>
      </c>
      <c r="AD170" s="640">
        <v>-101.17003146857277</v>
      </c>
      <c r="AE170" s="640">
        <v>0</v>
      </c>
      <c r="AF170" s="640">
        <v>0</v>
      </c>
      <c r="AG170" s="640">
        <v>0</v>
      </c>
      <c r="AH170" s="640">
        <v>0</v>
      </c>
      <c r="AI170" s="640">
        <v>0</v>
      </c>
      <c r="AJ170" s="640">
        <v>0</v>
      </c>
      <c r="AK170" s="648">
        <v>-101.17003146857277</v>
      </c>
    </row>
    <row r="171" spans="3:37" x14ac:dyDescent="0.2">
      <c r="C171" s="646" t="s">
        <v>352</v>
      </c>
      <c r="D171" s="640">
        <v>0</v>
      </c>
      <c r="E171" s="640">
        <v>0</v>
      </c>
      <c r="F171" s="640">
        <v>0</v>
      </c>
      <c r="G171" s="640">
        <v>0</v>
      </c>
      <c r="H171" s="640">
        <v>0</v>
      </c>
      <c r="I171" s="640">
        <v>0</v>
      </c>
      <c r="J171" s="640">
        <v>0</v>
      </c>
      <c r="K171" s="640">
        <v>0</v>
      </c>
      <c r="L171" s="640">
        <v>0</v>
      </c>
      <c r="M171" s="640">
        <v>0</v>
      </c>
      <c r="N171" s="640">
        <v>0</v>
      </c>
      <c r="O171" s="640">
        <v>0</v>
      </c>
      <c r="P171" s="640">
        <v>0</v>
      </c>
      <c r="Q171" s="640">
        <v>0</v>
      </c>
      <c r="R171" s="640">
        <v>0</v>
      </c>
      <c r="S171" s="648">
        <v>0</v>
      </c>
      <c r="U171" s="646" t="s">
        <v>352</v>
      </c>
      <c r="V171" s="640">
        <v>0</v>
      </c>
      <c r="W171" s="640">
        <v>0</v>
      </c>
      <c r="X171" s="640">
        <v>0</v>
      </c>
      <c r="Y171" s="640">
        <v>0</v>
      </c>
      <c r="Z171" s="640">
        <v>0</v>
      </c>
      <c r="AA171" s="640">
        <v>0</v>
      </c>
      <c r="AB171" s="640">
        <v>0</v>
      </c>
      <c r="AC171" s="640">
        <v>0</v>
      </c>
      <c r="AD171" s="640">
        <v>-18.691082885283098</v>
      </c>
      <c r="AE171" s="640">
        <v>0</v>
      </c>
      <c r="AF171" s="640">
        <v>0</v>
      </c>
      <c r="AG171" s="640">
        <v>0</v>
      </c>
      <c r="AH171" s="640">
        <v>0</v>
      </c>
      <c r="AI171" s="640">
        <v>0</v>
      </c>
      <c r="AJ171" s="640">
        <v>0</v>
      </c>
      <c r="AK171" s="648">
        <v>-18.691082885283098</v>
      </c>
    </row>
    <row r="172" spans="3:37" x14ac:dyDescent="0.2">
      <c r="C172" s="646" t="s">
        <v>73</v>
      </c>
      <c r="D172" s="640">
        <v>0</v>
      </c>
      <c r="E172" s="640">
        <v>0</v>
      </c>
      <c r="F172" s="640">
        <v>0</v>
      </c>
      <c r="G172" s="640">
        <v>6.2864428714474423</v>
      </c>
      <c r="H172" s="640">
        <v>0</v>
      </c>
      <c r="I172" s="640">
        <v>0</v>
      </c>
      <c r="J172" s="640">
        <v>0</v>
      </c>
      <c r="K172" s="640">
        <v>7.2564905248031233E-2</v>
      </c>
      <c r="L172" s="640">
        <v>0</v>
      </c>
      <c r="M172" s="640">
        <v>0.12829475247851924</v>
      </c>
      <c r="N172" s="640">
        <v>0</v>
      </c>
      <c r="O172" s="640">
        <v>0</v>
      </c>
      <c r="P172" s="640">
        <v>0.77416476914506349</v>
      </c>
      <c r="Q172" s="640">
        <v>0</v>
      </c>
      <c r="R172" s="640">
        <v>-5.0795433673621861</v>
      </c>
      <c r="S172" s="648">
        <v>2.1819239309568701</v>
      </c>
      <c r="U172" s="646" t="s">
        <v>73</v>
      </c>
      <c r="V172" s="640">
        <v>0</v>
      </c>
      <c r="W172" s="640">
        <v>0</v>
      </c>
      <c r="X172" s="640">
        <v>0</v>
      </c>
      <c r="Y172" s="640">
        <v>3.7837340239051791</v>
      </c>
      <c r="Z172" s="640">
        <v>0</v>
      </c>
      <c r="AA172" s="640">
        <v>0</v>
      </c>
      <c r="AB172" s="640">
        <v>0</v>
      </c>
      <c r="AC172" s="640">
        <v>0.46597709654004676</v>
      </c>
      <c r="AD172" s="640">
        <v>0</v>
      </c>
      <c r="AE172" s="640">
        <v>2.7399453276554748</v>
      </c>
      <c r="AF172" s="640">
        <v>0</v>
      </c>
      <c r="AG172" s="640">
        <v>0</v>
      </c>
      <c r="AH172" s="640">
        <v>39.864323859285086</v>
      </c>
      <c r="AI172" s="640">
        <v>0</v>
      </c>
      <c r="AJ172" s="640">
        <v>-32.618396757803268</v>
      </c>
      <c r="AK172" s="648">
        <v>14.235583549582522</v>
      </c>
    </row>
    <row r="173" spans="3:37" x14ac:dyDescent="0.2">
      <c r="C173" s="646" t="s">
        <v>353</v>
      </c>
      <c r="D173" s="640">
        <v>28.588592812499996</v>
      </c>
      <c r="E173" s="640">
        <v>-17.673140168319453</v>
      </c>
      <c r="F173" s="640">
        <v>23.11542347254851</v>
      </c>
      <c r="G173" s="640">
        <v>0</v>
      </c>
      <c r="H173" s="640">
        <v>0</v>
      </c>
      <c r="I173" s="640">
        <v>0</v>
      </c>
      <c r="J173" s="640">
        <v>0</v>
      </c>
      <c r="K173" s="640">
        <v>0</v>
      </c>
      <c r="L173" s="640">
        <v>0</v>
      </c>
      <c r="M173" s="640">
        <v>0</v>
      </c>
      <c r="N173" s="640">
        <v>0</v>
      </c>
      <c r="O173" s="640">
        <v>0</v>
      </c>
      <c r="P173" s="640">
        <v>0</v>
      </c>
      <c r="Q173" s="640">
        <v>0</v>
      </c>
      <c r="R173" s="640">
        <v>0</v>
      </c>
      <c r="S173" s="648">
        <v>34.030876116729054</v>
      </c>
      <c r="U173" s="646" t="s">
        <v>353</v>
      </c>
      <c r="V173" s="640">
        <v>1.7459712219238281</v>
      </c>
      <c r="W173" s="640">
        <v>-7.9137714199323552</v>
      </c>
      <c r="X173" s="640">
        <v>10.35074558875537</v>
      </c>
      <c r="Y173" s="640">
        <v>0</v>
      </c>
      <c r="Z173" s="640">
        <v>0</v>
      </c>
      <c r="AA173" s="640">
        <v>0</v>
      </c>
      <c r="AB173" s="640">
        <v>0</v>
      </c>
      <c r="AC173" s="640">
        <v>0</v>
      </c>
      <c r="AD173" s="640">
        <v>0</v>
      </c>
      <c r="AE173" s="640">
        <v>0</v>
      </c>
      <c r="AF173" s="640">
        <v>0</v>
      </c>
      <c r="AG173" s="640">
        <v>0</v>
      </c>
      <c r="AH173" s="640">
        <v>0</v>
      </c>
      <c r="AI173" s="640">
        <v>0</v>
      </c>
      <c r="AJ173" s="640">
        <v>0</v>
      </c>
      <c r="AK173" s="648">
        <v>4.182945390746843</v>
      </c>
    </row>
    <row r="174" spans="3:37" x14ac:dyDescent="0.2">
      <c r="C174" s="646" t="s">
        <v>75</v>
      </c>
      <c r="D174" s="640">
        <v>11.11778609375</v>
      </c>
      <c r="E174" s="640">
        <v>0</v>
      </c>
      <c r="F174" s="640">
        <v>17.34160940037118</v>
      </c>
      <c r="G174" s="640">
        <v>4.9484792471294465</v>
      </c>
      <c r="H174" s="640">
        <v>0</v>
      </c>
      <c r="I174" s="640">
        <v>0</v>
      </c>
      <c r="J174" s="640">
        <v>0</v>
      </c>
      <c r="K174" s="640">
        <v>0</v>
      </c>
      <c r="L174" s="640">
        <v>0</v>
      </c>
      <c r="M174" s="640">
        <v>0.10098937239039688</v>
      </c>
      <c r="N174" s="640">
        <v>0</v>
      </c>
      <c r="O174" s="640">
        <v>0</v>
      </c>
      <c r="P174" s="640">
        <v>29.08691491128284</v>
      </c>
      <c r="Q174" s="640">
        <v>0</v>
      </c>
      <c r="R174" s="640">
        <v>0</v>
      </c>
      <c r="S174" s="648">
        <v>62.595779024923864</v>
      </c>
      <c r="U174" s="646" t="s">
        <v>75</v>
      </c>
      <c r="V174" s="640">
        <v>2.938742431640625</v>
      </c>
      <c r="W174" s="640">
        <v>0</v>
      </c>
      <c r="X174" s="640">
        <v>17.34160940037118</v>
      </c>
      <c r="Y174" s="640">
        <v>2.9286917993215091</v>
      </c>
      <c r="Z174" s="640">
        <v>0</v>
      </c>
      <c r="AA174" s="640">
        <v>0</v>
      </c>
      <c r="AB174" s="640">
        <v>0</v>
      </c>
      <c r="AC174" s="640">
        <v>0</v>
      </c>
      <c r="AD174" s="640">
        <v>0</v>
      </c>
      <c r="AE174" s="640">
        <v>2.1207768201983344</v>
      </c>
      <c r="AF174" s="640">
        <v>0</v>
      </c>
      <c r="AG174" s="640">
        <v>0</v>
      </c>
      <c r="AH174" s="640">
        <v>36.505051274919204</v>
      </c>
      <c r="AI174" s="640">
        <v>0</v>
      </c>
      <c r="AJ174" s="640">
        <v>0</v>
      </c>
      <c r="AK174" s="648">
        <v>61.834871726450849</v>
      </c>
    </row>
    <row r="175" spans="3:37" x14ac:dyDescent="0.2">
      <c r="C175" s="646" t="s">
        <v>76</v>
      </c>
      <c r="D175" s="640">
        <v>0</v>
      </c>
      <c r="E175" s="640">
        <v>0</v>
      </c>
      <c r="F175" s="640">
        <v>0</v>
      </c>
      <c r="G175" s="640">
        <v>3.7620934008695794</v>
      </c>
      <c r="H175" s="640">
        <v>0</v>
      </c>
      <c r="I175" s="640">
        <v>0</v>
      </c>
      <c r="J175" s="640">
        <v>0</v>
      </c>
      <c r="K175" s="640">
        <v>0</v>
      </c>
      <c r="L175" s="640">
        <v>0</v>
      </c>
      <c r="M175" s="640">
        <v>7.6777416344277136E-2</v>
      </c>
      <c r="N175" s="640">
        <v>0</v>
      </c>
      <c r="O175" s="640">
        <v>0</v>
      </c>
      <c r="P175" s="640">
        <v>45.374638558517056</v>
      </c>
      <c r="Q175" s="640">
        <v>2.9442994019327013</v>
      </c>
      <c r="R175" s="640">
        <v>0</v>
      </c>
      <c r="S175" s="648">
        <v>52.157808777663611</v>
      </c>
      <c r="U175" s="646" t="s">
        <v>76</v>
      </c>
      <c r="V175" s="640">
        <v>0</v>
      </c>
      <c r="W175" s="640">
        <v>0</v>
      </c>
      <c r="X175" s="640">
        <v>0</v>
      </c>
      <c r="Y175" s="640">
        <v>1.1999362424874132</v>
      </c>
      <c r="Z175" s="640">
        <v>0</v>
      </c>
      <c r="AA175" s="640">
        <v>0</v>
      </c>
      <c r="AB175" s="640">
        <v>0</v>
      </c>
      <c r="AC175" s="640">
        <v>0</v>
      </c>
      <c r="AD175" s="640">
        <v>0</v>
      </c>
      <c r="AE175" s="640">
        <v>0.86891934800812698</v>
      </c>
      <c r="AF175" s="640">
        <v>0</v>
      </c>
      <c r="AG175" s="640">
        <v>0</v>
      </c>
      <c r="AH175" s="640">
        <v>48.340685132761017</v>
      </c>
      <c r="AI175" s="640">
        <v>5.7839036819230412</v>
      </c>
      <c r="AJ175" s="640">
        <v>0</v>
      </c>
      <c r="AK175" s="648">
        <v>56.193444405179591</v>
      </c>
    </row>
    <row r="176" spans="3:37" x14ac:dyDescent="0.2">
      <c r="C176" s="644" t="s">
        <v>77</v>
      </c>
      <c r="D176" s="645">
        <v>42.533164547275248</v>
      </c>
      <c r="E176" s="645">
        <v>492.37419513671523</v>
      </c>
      <c r="F176" s="645">
        <v>-456.72729975813655</v>
      </c>
      <c r="G176" s="645">
        <v>46.717511888597819</v>
      </c>
      <c r="H176" s="645">
        <v>889.54545454545473</v>
      </c>
      <c r="I176" s="645">
        <v>290.38619522472999</v>
      </c>
      <c r="J176" s="645">
        <v>76.404091824403224</v>
      </c>
      <c r="K176" s="645">
        <v>18.74651114985376</v>
      </c>
      <c r="L176" s="645">
        <v>-24.540793928849673</v>
      </c>
      <c r="M176" s="645">
        <v>-5.3808072382237846</v>
      </c>
      <c r="N176" s="645">
        <v>0</v>
      </c>
      <c r="O176" s="645">
        <v>9.0812335132369491</v>
      </c>
      <c r="P176" s="645">
        <v>-540.17785546008065</v>
      </c>
      <c r="Q176" s="645">
        <v>-34.989958988562719</v>
      </c>
      <c r="R176" s="645">
        <v>-5.0795433673621861</v>
      </c>
      <c r="S176" s="645">
        <v>798.89209908905127</v>
      </c>
      <c r="U176" s="644" t="s">
        <v>77</v>
      </c>
      <c r="V176" s="645">
        <v>5.3110285590231427</v>
      </c>
      <c r="W176" s="645">
        <v>220.47790015098695</v>
      </c>
      <c r="X176" s="645">
        <v>-194.51650690879191</v>
      </c>
      <c r="Y176" s="645">
        <v>19.805187226334116</v>
      </c>
      <c r="Z176" s="645">
        <v>873.030303030303</v>
      </c>
      <c r="AA176" s="645">
        <v>337.06619522473</v>
      </c>
      <c r="AB176" s="645">
        <v>131.18933095255588</v>
      </c>
      <c r="AC176" s="645">
        <v>32.128382455120146</v>
      </c>
      <c r="AD176" s="645">
        <v>-116.69170648178192</v>
      </c>
      <c r="AE176" s="645">
        <v>-58.796508116684997</v>
      </c>
      <c r="AF176" s="645">
        <v>0</v>
      </c>
      <c r="AG176" s="645">
        <v>18.805626470956682</v>
      </c>
      <c r="AH176" s="645">
        <v>-524.40351343206009</v>
      </c>
      <c r="AI176" s="645">
        <v>-68.794771845590574</v>
      </c>
      <c r="AJ176" s="645">
        <v>-28.168396757803269</v>
      </c>
      <c r="AK176" s="645">
        <v>646.44255052729716</v>
      </c>
    </row>
    <row r="177" spans="3:37" x14ac:dyDescent="0.2">
      <c r="C177" s="634"/>
      <c r="D177" s="634">
        <v>0</v>
      </c>
      <c r="E177" s="634">
        <v>0</v>
      </c>
      <c r="F177" s="634">
        <v>0</v>
      </c>
      <c r="G177" s="634">
        <v>0</v>
      </c>
      <c r="H177" s="634">
        <v>0</v>
      </c>
      <c r="I177" s="634">
        <v>0</v>
      </c>
      <c r="J177" s="634">
        <v>0</v>
      </c>
      <c r="K177" s="634">
        <v>0</v>
      </c>
      <c r="L177" s="634">
        <v>0</v>
      </c>
      <c r="M177" s="634">
        <v>0</v>
      </c>
      <c r="N177" s="634">
        <v>0</v>
      </c>
      <c r="O177" s="634">
        <v>0</v>
      </c>
      <c r="P177" s="634">
        <v>0</v>
      </c>
      <c r="Q177" s="634">
        <v>0</v>
      </c>
      <c r="R177" s="634">
        <v>0</v>
      </c>
      <c r="S177" s="634">
        <v>0</v>
      </c>
      <c r="U177" s="634"/>
      <c r="V177" s="634">
        <v>0</v>
      </c>
      <c r="W177" s="634">
        <v>0</v>
      </c>
      <c r="X177" s="634">
        <v>0</v>
      </c>
      <c r="Y177" s="634">
        <v>0</v>
      </c>
      <c r="Z177" s="634">
        <v>0</v>
      </c>
      <c r="AA177" s="634">
        <v>0</v>
      </c>
      <c r="AB177" s="634">
        <v>0</v>
      </c>
      <c r="AC177" s="634">
        <v>0</v>
      </c>
      <c r="AD177" s="634">
        <v>0</v>
      </c>
      <c r="AE177" s="634">
        <v>0</v>
      </c>
      <c r="AF177" s="634">
        <v>0</v>
      </c>
      <c r="AG177" s="634">
        <v>0</v>
      </c>
      <c r="AH177" s="634">
        <v>0</v>
      </c>
      <c r="AI177" s="634">
        <v>0</v>
      </c>
      <c r="AJ177" s="634">
        <v>0</v>
      </c>
      <c r="AK177" s="634">
        <v>0</v>
      </c>
    </row>
    <row r="178" spans="3:37" x14ac:dyDescent="0.2">
      <c r="C178" s="646" t="s">
        <v>78</v>
      </c>
      <c r="D178" s="640">
        <v>4.9901668745901624</v>
      </c>
      <c r="E178" s="640">
        <v>0</v>
      </c>
      <c r="F178" s="640">
        <v>21.091530324656198</v>
      </c>
      <c r="G178" s="640">
        <v>96.151700548391091</v>
      </c>
      <c r="H178" s="640">
        <v>0</v>
      </c>
      <c r="I178" s="640">
        <v>0</v>
      </c>
      <c r="J178" s="640">
        <v>21.387862541024852</v>
      </c>
      <c r="K178" s="640">
        <v>1.7476152779545906</v>
      </c>
      <c r="L178" s="640">
        <v>0.94211085156249985</v>
      </c>
      <c r="M178" s="640">
        <v>1.9807569399951515</v>
      </c>
      <c r="N178" s="640">
        <v>0</v>
      </c>
      <c r="O178" s="640">
        <v>3.7669078281368638E-4</v>
      </c>
      <c r="P178" s="640">
        <v>112.73505933145552</v>
      </c>
      <c r="Q178" s="640">
        <v>16.12568637832603</v>
      </c>
      <c r="R178" s="640">
        <v>0.27920700073242188</v>
      </c>
      <c r="S178" s="648">
        <v>277.43207275947128</v>
      </c>
      <c r="U178" s="646" t="s">
        <v>78</v>
      </c>
      <c r="V178" s="640">
        <v>1.2150050536449819</v>
      </c>
      <c r="W178" s="640">
        <v>0</v>
      </c>
      <c r="X178" s="640">
        <v>6.016341039248414</v>
      </c>
      <c r="Y178" s="640">
        <v>39.709503776891196</v>
      </c>
      <c r="Z178" s="640">
        <v>0</v>
      </c>
      <c r="AA178" s="640">
        <v>0</v>
      </c>
      <c r="AB178" s="640">
        <v>15.202189846170386</v>
      </c>
      <c r="AC178" s="640">
        <v>4.9835801019927617</v>
      </c>
      <c r="AD178" s="640">
        <v>5.6103854980468748</v>
      </c>
      <c r="AE178" s="640">
        <v>28.773635244370734</v>
      </c>
      <c r="AF178" s="640">
        <v>0</v>
      </c>
      <c r="AG178" s="640">
        <v>3.7669078281368638E-4</v>
      </c>
      <c r="AH178" s="640">
        <v>146.07653830614987</v>
      </c>
      <c r="AI178" s="640">
        <v>23.647869298816833</v>
      </c>
      <c r="AJ178" s="640">
        <v>7.4826708984375001</v>
      </c>
      <c r="AK178" s="648">
        <v>278.71809575455239</v>
      </c>
    </row>
    <row r="179" spans="3:37" x14ac:dyDescent="0.2">
      <c r="C179" s="646" t="s">
        <v>79</v>
      </c>
      <c r="D179" s="640">
        <v>0</v>
      </c>
      <c r="E179" s="640">
        <v>0</v>
      </c>
      <c r="F179" s="640">
        <v>235.12748928743429</v>
      </c>
      <c r="G179" s="640">
        <v>31.099379517950805</v>
      </c>
      <c r="H179" s="640">
        <v>0</v>
      </c>
      <c r="I179" s="640">
        <v>0</v>
      </c>
      <c r="J179" s="640">
        <v>0</v>
      </c>
      <c r="K179" s="640">
        <v>0</v>
      </c>
      <c r="L179" s="640">
        <v>22.716725008445675</v>
      </c>
      <c r="M179" s="640">
        <v>0.63468121465205729</v>
      </c>
      <c r="N179" s="640">
        <v>0</v>
      </c>
      <c r="O179" s="640">
        <v>0</v>
      </c>
      <c r="P179" s="640">
        <v>68.565930798083699</v>
      </c>
      <c r="Q179" s="640">
        <v>0</v>
      </c>
      <c r="R179" s="640">
        <v>2.3844112104980786</v>
      </c>
      <c r="S179" s="648">
        <v>360.52861703706463</v>
      </c>
      <c r="U179" s="646" t="s">
        <v>79</v>
      </c>
      <c r="V179" s="640">
        <v>0</v>
      </c>
      <c r="W179" s="640">
        <v>0</v>
      </c>
      <c r="X179" s="640">
        <v>35.128929389637456</v>
      </c>
      <c r="Y179" s="640">
        <v>15.137064293513523</v>
      </c>
      <c r="Z179" s="640">
        <v>0</v>
      </c>
      <c r="AA179" s="640">
        <v>0</v>
      </c>
      <c r="AB179" s="640">
        <v>0</v>
      </c>
      <c r="AC179" s="640">
        <v>0</v>
      </c>
      <c r="AD179" s="640">
        <v>37.187580566982817</v>
      </c>
      <c r="AE179" s="640">
        <v>11.036020535724948</v>
      </c>
      <c r="AF179" s="640">
        <v>0</v>
      </c>
      <c r="AG179" s="640">
        <v>0</v>
      </c>
      <c r="AH179" s="640">
        <v>89.614524523742418</v>
      </c>
      <c r="AI179" s="640">
        <v>0</v>
      </c>
      <c r="AJ179" s="640">
        <v>5.6351763144479268</v>
      </c>
      <c r="AK179" s="648">
        <v>193.73929562404911</v>
      </c>
    </row>
    <row r="180" spans="3:37" x14ac:dyDescent="0.2">
      <c r="C180" s="646" t="s">
        <v>80</v>
      </c>
      <c r="D180" s="640">
        <v>0</v>
      </c>
      <c r="E180" s="640">
        <v>0</v>
      </c>
      <c r="F180" s="640">
        <v>13.724834206032371</v>
      </c>
      <c r="G180" s="640">
        <v>79.131512261322683</v>
      </c>
      <c r="H180" s="640">
        <v>0</v>
      </c>
      <c r="I180" s="640">
        <v>0</v>
      </c>
      <c r="J180" s="640">
        <v>87.797108848078949</v>
      </c>
      <c r="K180" s="640">
        <v>0</v>
      </c>
      <c r="L180" s="640">
        <v>0</v>
      </c>
      <c r="M180" s="640">
        <v>1.6149288216596467</v>
      </c>
      <c r="N180" s="640">
        <v>57.41835645436403</v>
      </c>
      <c r="O180" s="640">
        <v>2.0533643919476137</v>
      </c>
      <c r="P180" s="640">
        <v>189.45880926265392</v>
      </c>
      <c r="Q180" s="640">
        <v>15.417775800116472</v>
      </c>
      <c r="R180" s="640">
        <v>0</v>
      </c>
      <c r="S180" s="648">
        <v>446.61669004617568</v>
      </c>
      <c r="U180" s="646" t="s">
        <v>80</v>
      </c>
      <c r="V180" s="640">
        <v>0</v>
      </c>
      <c r="W180" s="640">
        <v>0</v>
      </c>
      <c r="X180" s="640">
        <v>1.0209129157283405</v>
      </c>
      <c r="Y180" s="640">
        <v>12.832027751754538</v>
      </c>
      <c r="Z180" s="640">
        <v>0</v>
      </c>
      <c r="AA180" s="640">
        <v>0</v>
      </c>
      <c r="AB180" s="640">
        <v>53.270322236782164</v>
      </c>
      <c r="AC180" s="640">
        <v>0</v>
      </c>
      <c r="AD180" s="640">
        <v>0</v>
      </c>
      <c r="AE180" s="640">
        <v>9.2921580271325972</v>
      </c>
      <c r="AF180" s="640">
        <v>88.292344554902868</v>
      </c>
      <c r="AG180" s="640">
        <v>3.9079432862869607</v>
      </c>
      <c r="AH180" s="640">
        <v>146.88666477766319</v>
      </c>
      <c r="AI180" s="640">
        <v>32.427264426374379</v>
      </c>
      <c r="AJ180" s="640">
        <v>0</v>
      </c>
      <c r="AK180" s="648">
        <v>347.92963797662509</v>
      </c>
    </row>
    <row r="181" spans="3:37" x14ac:dyDescent="0.2">
      <c r="C181" s="646" t="s">
        <v>81</v>
      </c>
      <c r="D181" s="640">
        <v>0</v>
      </c>
      <c r="E181" s="640">
        <v>0</v>
      </c>
      <c r="F181" s="640">
        <v>3.9083972405176572</v>
      </c>
      <c r="G181" s="640">
        <v>63.089348266301698</v>
      </c>
      <c r="H181" s="640">
        <v>0</v>
      </c>
      <c r="I181" s="640">
        <v>0</v>
      </c>
      <c r="J181" s="640">
        <v>3.1804221278939271</v>
      </c>
      <c r="K181" s="640">
        <v>2.5219694682056978E-2</v>
      </c>
      <c r="L181" s="640">
        <v>0</v>
      </c>
      <c r="M181" s="640">
        <v>1.287537719720443</v>
      </c>
      <c r="N181" s="640">
        <v>8.4803330998149011</v>
      </c>
      <c r="O181" s="640">
        <v>0.72631919579288284</v>
      </c>
      <c r="P181" s="640">
        <v>140.69299872549993</v>
      </c>
      <c r="Q181" s="640">
        <v>3.4464968101202174</v>
      </c>
      <c r="R181" s="640">
        <v>0</v>
      </c>
      <c r="S181" s="648">
        <v>224.8370728803437</v>
      </c>
      <c r="U181" s="646" t="s">
        <v>81</v>
      </c>
      <c r="V181" s="640">
        <v>0</v>
      </c>
      <c r="W181" s="640">
        <v>0</v>
      </c>
      <c r="X181" s="640">
        <v>1.4952361732398858</v>
      </c>
      <c r="Y181" s="640">
        <v>10.610341518374359</v>
      </c>
      <c r="Z181" s="640">
        <v>0</v>
      </c>
      <c r="AA181" s="640">
        <v>0</v>
      </c>
      <c r="AB181" s="640">
        <v>6.9978977014468793</v>
      </c>
      <c r="AC181" s="640">
        <v>2.5219694682056978E-2</v>
      </c>
      <c r="AD181" s="640">
        <v>0</v>
      </c>
      <c r="AE181" s="640">
        <v>7.6833507546848816</v>
      </c>
      <c r="AF181" s="640">
        <v>14.732239480945108</v>
      </c>
      <c r="AG181" s="640">
        <v>1.5525732622869153</v>
      </c>
      <c r="AH181" s="640">
        <v>115.23036268987886</v>
      </c>
      <c r="AI181" s="640">
        <v>12.719638120399363</v>
      </c>
      <c r="AJ181" s="640">
        <v>0</v>
      </c>
      <c r="AK181" s="648">
        <v>171.04685939593833</v>
      </c>
    </row>
    <row r="182" spans="3:37" x14ac:dyDescent="0.2">
      <c r="C182" s="646" t="s">
        <v>82</v>
      </c>
      <c r="D182" s="640">
        <v>0</v>
      </c>
      <c r="E182" s="640">
        <v>0</v>
      </c>
      <c r="F182" s="640">
        <v>28.471648080197657</v>
      </c>
      <c r="G182" s="640">
        <v>1.0804243241036344</v>
      </c>
      <c r="H182" s="640">
        <v>0</v>
      </c>
      <c r="I182" s="640">
        <v>0</v>
      </c>
      <c r="J182" s="640">
        <v>4.3026845658747828</v>
      </c>
      <c r="K182" s="640">
        <v>0</v>
      </c>
      <c r="L182" s="640">
        <v>3.1299020072385213</v>
      </c>
      <c r="M182" s="640">
        <v>2.2049476002114991E-2</v>
      </c>
      <c r="N182" s="640">
        <v>0</v>
      </c>
      <c r="O182" s="640">
        <v>6.8830690871769351E-2</v>
      </c>
      <c r="P182" s="640">
        <v>5.9739095578527968</v>
      </c>
      <c r="Q182" s="640">
        <v>0</v>
      </c>
      <c r="R182" s="640">
        <v>0</v>
      </c>
      <c r="S182" s="648">
        <v>43.049448702141277</v>
      </c>
      <c r="U182" s="646" t="s">
        <v>82</v>
      </c>
      <c r="V182" s="640">
        <v>0</v>
      </c>
      <c r="W182" s="640">
        <v>0</v>
      </c>
      <c r="X182" s="640">
        <v>5.8604701162543282</v>
      </c>
      <c r="Y182" s="640">
        <v>0.77721189491485598</v>
      </c>
      <c r="Z182" s="640">
        <v>0</v>
      </c>
      <c r="AA182" s="640">
        <v>0</v>
      </c>
      <c r="AB182" s="640">
        <v>4.3026845658747828</v>
      </c>
      <c r="AC182" s="640">
        <v>0</v>
      </c>
      <c r="AD182" s="640">
        <v>30.776202948565647</v>
      </c>
      <c r="AE182" s="640">
        <v>0.56280861355903367</v>
      </c>
      <c r="AF182" s="640">
        <v>0</v>
      </c>
      <c r="AG182" s="640">
        <v>1.5666563685107562</v>
      </c>
      <c r="AH182" s="640">
        <v>6.0858228188406986</v>
      </c>
      <c r="AI182" s="640">
        <v>0</v>
      </c>
      <c r="AJ182" s="640">
        <v>0.36062656029870238</v>
      </c>
      <c r="AK182" s="648">
        <v>50.292483886818808</v>
      </c>
    </row>
    <row r="183" spans="3:37" x14ac:dyDescent="0.2">
      <c r="C183" s="646" t="s">
        <v>354</v>
      </c>
      <c r="D183" s="640">
        <v>0</v>
      </c>
      <c r="E183" s="640">
        <v>0</v>
      </c>
      <c r="F183" s="640">
        <v>0</v>
      </c>
      <c r="G183" s="640">
        <v>0</v>
      </c>
      <c r="H183" s="640">
        <v>0</v>
      </c>
      <c r="I183" s="640">
        <v>0</v>
      </c>
      <c r="J183" s="640">
        <v>0</v>
      </c>
      <c r="K183" s="640">
        <v>0</v>
      </c>
      <c r="L183" s="640">
        <v>0</v>
      </c>
      <c r="M183" s="640">
        <v>0</v>
      </c>
      <c r="N183" s="640">
        <v>0</v>
      </c>
      <c r="O183" s="640">
        <v>0</v>
      </c>
      <c r="P183" s="640">
        <v>0.36</v>
      </c>
      <c r="Q183" s="640">
        <v>0</v>
      </c>
      <c r="R183" s="640">
        <v>0</v>
      </c>
      <c r="S183" s="648">
        <v>0.36</v>
      </c>
      <c r="U183" s="646" t="s">
        <v>354</v>
      </c>
      <c r="V183" s="640">
        <v>0</v>
      </c>
      <c r="W183" s="640">
        <v>0</v>
      </c>
      <c r="X183" s="640">
        <v>0</v>
      </c>
      <c r="Y183" s="640">
        <v>0</v>
      </c>
      <c r="Z183" s="640">
        <v>0</v>
      </c>
      <c r="AA183" s="640">
        <v>0</v>
      </c>
      <c r="AB183" s="640">
        <v>0</v>
      </c>
      <c r="AC183" s="640">
        <v>0</v>
      </c>
      <c r="AD183" s="640">
        <v>0</v>
      </c>
      <c r="AE183" s="640">
        <v>0</v>
      </c>
      <c r="AF183" s="640">
        <v>0</v>
      </c>
      <c r="AG183" s="640">
        <v>0</v>
      </c>
      <c r="AH183" s="640">
        <v>3.12</v>
      </c>
      <c r="AI183" s="640">
        <v>0</v>
      </c>
      <c r="AJ183" s="640">
        <v>0</v>
      </c>
      <c r="AK183" s="648">
        <v>3.12</v>
      </c>
    </row>
    <row r="184" spans="3:37" x14ac:dyDescent="0.2">
      <c r="C184" s="644" t="s">
        <v>83</v>
      </c>
      <c r="D184" s="645">
        <v>4.9901668745901624</v>
      </c>
      <c r="E184" s="645">
        <v>0</v>
      </c>
      <c r="F184" s="645">
        <v>302.32389913883821</v>
      </c>
      <c r="G184" s="645">
        <v>270.55236491806994</v>
      </c>
      <c r="H184" s="645">
        <v>0</v>
      </c>
      <c r="I184" s="645">
        <v>0</v>
      </c>
      <c r="J184" s="645">
        <v>116.66807808287251</v>
      </c>
      <c r="K184" s="645">
        <v>1.7728349726366477</v>
      </c>
      <c r="L184" s="645">
        <v>26.788737867246695</v>
      </c>
      <c r="M184" s="645">
        <v>5.5399541720294136</v>
      </c>
      <c r="N184" s="645">
        <v>65.898689554178929</v>
      </c>
      <c r="O184" s="645">
        <v>2.8488909693950797</v>
      </c>
      <c r="P184" s="645">
        <v>517.78670767554593</v>
      </c>
      <c r="Q184" s="645">
        <v>34.989958988562719</v>
      </c>
      <c r="R184" s="645">
        <v>2.6636182112305002</v>
      </c>
      <c r="S184" s="645">
        <v>1352.8239014251965</v>
      </c>
      <c r="U184" s="644" t="s">
        <v>83</v>
      </c>
      <c r="V184" s="645">
        <v>1.2150050536449819</v>
      </c>
      <c r="W184" s="645">
        <v>0</v>
      </c>
      <c r="X184" s="645">
        <v>49.521889634108419</v>
      </c>
      <c r="Y184" s="645">
        <v>79.066149235448464</v>
      </c>
      <c r="Z184" s="645">
        <v>0</v>
      </c>
      <c r="AA184" s="645">
        <v>0</v>
      </c>
      <c r="AB184" s="645">
        <v>79.773094350274206</v>
      </c>
      <c r="AC184" s="645">
        <v>5.0087997966748192</v>
      </c>
      <c r="AD184" s="645">
        <v>73.574169013595338</v>
      </c>
      <c r="AE184" s="645">
        <v>57.347973175472191</v>
      </c>
      <c r="AF184" s="645">
        <v>103.02458403584798</v>
      </c>
      <c r="AG184" s="645">
        <v>7.0275496078674458</v>
      </c>
      <c r="AH184" s="645">
        <v>507.01391311627498</v>
      </c>
      <c r="AI184" s="645">
        <v>68.794771845590574</v>
      </c>
      <c r="AJ184" s="645">
        <v>13.478473773184128</v>
      </c>
      <c r="AK184" s="645">
        <v>1044.8463726379837</v>
      </c>
    </row>
    <row r="185" spans="3:37" x14ac:dyDescent="0.2">
      <c r="C185" s="639" t="s">
        <v>84</v>
      </c>
      <c r="D185" s="640">
        <v>0</v>
      </c>
      <c r="E185" s="640">
        <v>0</v>
      </c>
      <c r="F185" s="640">
        <v>106.83242416715484</v>
      </c>
      <c r="G185" s="640">
        <v>11.6186457489655</v>
      </c>
      <c r="H185" s="640">
        <v>0</v>
      </c>
      <c r="I185" s="640">
        <v>0</v>
      </c>
      <c r="J185" s="640">
        <v>0</v>
      </c>
      <c r="K185" s="640">
        <v>0</v>
      </c>
      <c r="L185" s="640">
        <v>0</v>
      </c>
      <c r="M185" s="640">
        <v>0</v>
      </c>
      <c r="N185" s="640">
        <v>0</v>
      </c>
      <c r="O185" s="640">
        <v>0</v>
      </c>
      <c r="P185" s="640">
        <v>0</v>
      </c>
      <c r="Q185" s="640">
        <v>0</v>
      </c>
      <c r="R185" s="640">
        <v>2.4159251561316859</v>
      </c>
      <c r="S185" s="648">
        <v>120.86699507225204</v>
      </c>
      <c r="U185" s="639" t="s">
        <v>84</v>
      </c>
      <c r="V185" s="640">
        <v>0</v>
      </c>
      <c r="W185" s="640">
        <v>0</v>
      </c>
      <c r="X185" s="640">
        <v>75.791608178670685</v>
      </c>
      <c r="Y185" s="640">
        <v>0.94004440148578539</v>
      </c>
      <c r="Z185" s="640">
        <v>0</v>
      </c>
      <c r="AA185" s="640">
        <v>0</v>
      </c>
      <c r="AB185" s="640">
        <v>0</v>
      </c>
      <c r="AC185" s="640">
        <v>0</v>
      </c>
      <c r="AD185" s="640">
        <v>21.99170920776367</v>
      </c>
      <c r="AE185" s="640">
        <v>0</v>
      </c>
      <c r="AF185" s="640">
        <v>0</v>
      </c>
      <c r="AG185" s="640">
        <v>0</v>
      </c>
      <c r="AH185" s="640">
        <v>0</v>
      </c>
      <c r="AI185" s="640">
        <v>0</v>
      </c>
      <c r="AJ185" s="640">
        <v>14.689922984619141</v>
      </c>
      <c r="AK185" s="648">
        <v>113.41328477253928</v>
      </c>
    </row>
    <row r="186" spans="3:37" x14ac:dyDescent="0.2">
      <c r="C186" s="644" t="s">
        <v>85</v>
      </c>
      <c r="D186" s="645">
        <v>4.9901668745901624</v>
      </c>
      <c r="E186" s="645">
        <v>0</v>
      </c>
      <c r="F186" s="645">
        <v>409.15632330599311</v>
      </c>
      <c r="G186" s="645">
        <v>282.17101066703543</v>
      </c>
      <c r="H186" s="645">
        <v>0</v>
      </c>
      <c r="I186" s="645">
        <v>0</v>
      </c>
      <c r="J186" s="645">
        <v>116.66807808287251</v>
      </c>
      <c r="K186" s="645">
        <v>1.7728349726366477</v>
      </c>
      <c r="L186" s="645">
        <v>26.788737867246695</v>
      </c>
      <c r="M186" s="645">
        <v>5.5399541720294136</v>
      </c>
      <c r="N186" s="645">
        <v>65.898689554178929</v>
      </c>
      <c r="O186" s="645">
        <v>2.8488909693950797</v>
      </c>
      <c r="P186" s="645">
        <v>517.78670767554593</v>
      </c>
      <c r="Q186" s="645">
        <v>34.989958988562719</v>
      </c>
      <c r="R186" s="645">
        <v>5.0795433673621861</v>
      </c>
      <c r="S186" s="645">
        <v>1473.6908964974484</v>
      </c>
      <c r="U186" s="644" t="s">
        <v>85</v>
      </c>
      <c r="V186" s="645">
        <v>1.2150050536449819</v>
      </c>
      <c r="W186" s="645">
        <v>0</v>
      </c>
      <c r="X186" s="645">
        <v>125.31349781277912</v>
      </c>
      <c r="Y186" s="645">
        <v>80.006193636934256</v>
      </c>
      <c r="Z186" s="645">
        <v>0</v>
      </c>
      <c r="AA186" s="645">
        <v>0</v>
      </c>
      <c r="AB186" s="645">
        <v>79.773094350274206</v>
      </c>
      <c r="AC186" s="645">
        <v>5.0087997966748192</v>
      </c>
      <c r="AD186" s="645">
        <v>95.565878221359014</v>
      </c>
      <c r="AE186" s="645">
        <v>57.347973175472191</v>
      </c>
      <c r="AF186" s="645">
        <v>103.02458403584798</v>
      </c>
      <c r="AG186" s="645">
        <v>7.0275496078674458</v>
      </c>
      <c r="AH186" s="645">
        <v>507.01391311627498</v>
      </c>
      <c r="AI186" s="645">
        <v>68.794771845590574</v>
      </c>
      <c r="AJ186" s="645">
        <v>28.168396757803269</v>
      </c>
      <c r="AK186" s="645">
        <v>1158.2596574105228</v>
      </c>
    </row>
    <row r="187" spans="3:37" x14ac:dyDescent="0.2">
      <c r="C187" s="634"/>
      <c r="D187" s="634"/>
      <c r="E187" s="634"/>
      <c r="F187" s="634"/>
      <c r="G187" s="634"/>
      <c r="H187" s="634"/>
      <c r="I187" s="634"/>
      <c r="J187" s="634"/>
      <c r="K187" s="634"/>
      <c r="L187" s="634"/>
      <c r="M187" s="634"/>
      <c r="N187" s="634"/>
      <c r="O187" s="634"/>
      <c r="P187" s="634"/>
      <c r="Q187" s="634"/>
      <c r="R187" s="634"/>
      <c r="S187" s="634"/>
      <c r="U187" s="634"/>
      <c r="V187" s="634"/>
      <c r="W187" s="634"/>
      <c r="X187" s="634"/>
      <c r="Y187" s="634"/>
      <c r="Z187" s="634"/>
      <c r="AA187" s="634"/>
      <c r="AB187" s="634"/>
      <c r="AC187" s="634"/>
      <c r="AD187" s="634"/>
      <c r="AE187" s="634"/>
      <c r="AF187" s="634"/>
      <c r="AG187" s="634"/>
      <c r="AH187" s="634"/>
      <c r="AI187" s="634"/>
      <c r="AJ187" s="634"/>
      <c r="AK187" s="634"/>
    </row>
    <row r="188" spans="3:37" ht="22.5" x14ac:dyDescent="0.3">
      <c r="C188" s="759" t="s">
        <v>361</v>
      </c>
      <c r="D188" s="759"/>
      <c r="E188" s="759"/>
      <c r="F188" s="759"/>
      <c r="G188" s="759"/>
      <c r="H188" s="759"/>
      <c r="I188" s="759"/>
      <c r="J188" s="759"/>
      <c r="K188" s="759"/>
      <c r="L188" s="759"/>
      <c r="M188" s="759"/>
      <c r="N188" s="759"/>
      <c r="O188" s="759"/>
      <c r="P188" s="759"/>
      <c r="Q188" s="759"/>
      <c r="R188" s="759"/>
      <c r="S188" s="759"/>
      <c r="U188" s="759" t="s">
        <v>361</v>
      </c>
      <c r="V188" s="759"/>
      <c r="W188" s="759"/>
      <c r="X188" s="759"/>
      <c r="Y188" s="759"/>
      <c r="Z188" s="759"/>
      <c r="AA188" s="759"/>
      <c r="AB188" s="759"/>
      <c r="AC188" s="759"/>
      <c r="AD188" s="759"/>
      <c r="AE188" s="759"/>
      <c r="AF188" s="759"/>
      <c r="AG188" s="759"/>
      <c r="AH188" s="759"/>
      <c r="AI188" s="759"/>
      <c r="AJ188" s="759"/>
      <c r="AK188" s="759"/>
    </row>
    <row r="189" spans="3:37" x14ac:dyDescent="0.2">
      <c r="C189" s="634"/>
      <c r="D189" s="634"/>
      <c r="E189" s="634"/>
      <c r="F189" s="634"/>
      <c r="G189" s="634"/>
      <c r="H189" s="634"/>
      <c r="I189" s="634"/>
      <c r="J189" s="634"/>
      <c r="K189" s="634"/>
      <c r="L189" s="634"/>
      <c r="M189" s="634"/>
      <c r="N189" s="634"/>
      <c r="O189" s="634"/>
      <c r="P189" s="634"/>
      <c r="Q189" s="634"/>
      <c r="R189" s="634"/>
      <c r="S189" s="634"/>
      <c r="U189" s="634"/>
      <c r="V189" s="634"/>
      <c r="W189" s="634"/>
      <c r="X189" s="634"/>
      <c r="Y189" s="634"/>
      <c r="Z189" s="634"/>
      <c r="AA189" s="634"/>
      <c r="AB189" s="634"/>
      <c r="AC189" s="634"/>
      <c r="AD189" s="634"/>
      <c r="AE189" s="634"/>
      <c r="AF189" s="634"/>
      <c r="AG189" s="634"/>
      <c r="AH189" s="634"/>
      <c r="AI189" s="634"/>
      <c r="AJ189" s="634"/>
      <c r="AK189" s="634"/>
    </row>
    <row r="190" spans="3:37" ht="12.95" customHeight="1" x14ac:dyDescent="0.2">
      <c r="C190" s="758" t="s">
        <v>128</v>
      </c>
      <c r="D190" s="757" t="s">
        <v>42</v>
      </c>
      <c r="E190" s="757" t="s">
        <v>52</v>
      </c>
      <c r="F190" s="757" t="s">
        <v>53</v>
      </c>
      <c r="G190" s="757" t="s">
        <v>32</v>
      </c>
      <c r="H190" s="757" t="s">
        <v>20</v>
      </c>
      <c r="I190" s="757" t="s">
        <v>55</v>
      </c>
      <c r="J190" s="757" t="s">
        <v>56</v>
      </c>
      <c r="K190" s="757"/>
      <c r="L190" s="757"/>
      <c r="M190" s="757"/>
      <c r="N190" s="757"/>
      <c r="O190" s="757"/>
      <c r="P190" s="757" t="s">
        <v>57</v>
      </c>
      <c r="Q190" s="757" t="s">
        <v>58</v>
      </c>
      <c r="R190" s="757" t="s">
        <v>31</v>
      </c>
      <c r="S190" s="757" t="s">
        <v>10</v>
      </c>
      <c r="U190" s="758" t="s">
        <v>128</v>
      </c>
      <c r="V190" s="757" t="s">
        <v>42</v>
      </c>
      <c r="W190" s="757" t="s">
        <v>52</v>
      </c>
      <c r="X190" s="757" t="s">
        <v>53</v>
      </c>
      <c r="Y190" s="757" t="s">
        <v>32</v>
      </c>
      <c r="Z190" s="757" t="s">
        <v>20</v>
      </c>
      <c r="AA190" s="757" t="s">
        <v>55</v>
      </c>
      <c r="AB190" s="757" t="s">
        <v>56</v>
      </c>
      <c r="AC190" s="757"/>
      <c r="AD190" s="757"/>
      <c r="AE190" s="757"/>
      <c r="AF190" s="757"/>
      <c r="AG190" s="757"/>
      <c r="AH190" s="757" t="s">
        <v>57</v>
      </c>
      <c r="AI190" s="757" t="s">
        <v>58</v>
      </c>
      <c r="AJ190" s="757" t="s">
        <v>31</v>
      </c>
      <c r="AK190" s="757" t="s">
        <v>10</v>
      </c>
    </row>
    <row r="191" spans="3:37" ht="56.25" x14ac:dyDescent="0.2">
      <c r="C191" s="758"/>
      <c r="D191" s="757"/>
      <c r="E191" s="757"/>
      <c r="F191" s="757"/>
      <c r="G191" s="757"/>
      <c r="H191" s="757"/>
      <c r="I191" s="757"/>
      <c r="J191" s="638" t="s">
        <v>335</v>
      </c>
      <c r="K191" s="638" t="s">
        <v>40</v>
      </c>
      <c r="L191" s="638" t="s">
        <v>343</v>
      </c>
      <c r="M191" s="638" t="s">
        <v>344</v>
      </c>
      <c r="N191" s="638" t="s">
        <v>345</v>
      </c>
      <c r="O191" s="638" t="s">
        <v>346</v>
      </c>
      <c r="P191" s="757"/>
      <c r="Q191" s="757"/>
      <c r="R191" s="757"/>
      <c r="S191" s="757"/>
      <c r="U191" s="758"/>
      <c r="V191" s="757"/>
      <c r="W191" s="757"/>
      <c r="X191" s="757"/>
      <c r="Y191" s="757"/>
      <c r="Z191" s="757"/>
      <c r="AA191" s="757"/>
      <c r="AB191" s="638" t="s">
        <v>335</v>
      </c>
      <c r="AC191" s="638" t="s">
        <v>40</v>
      </c>
      <c r="AD191" s="638" t="s">
        <v>343</v>
      </c>
      <c r="AE191" s="638" t="s">
        <v>344</v>
      </c>
      <c r="AF191" s="638" t="s">
        <v>345</v>
      </c>
      <c r="AG191" s="638" t="s">
        <v>346</v>
      </c>
      <c r="AH191" s="757"/>
      <c r="AI191" s="757"/>
      <c r="AJ191" s="757"/>
      <c r="AK191" s="757"/>
    </row>
    <row r="192" spans="3:37" x14ac:dyDescent="0.2">
      <c r="C192" s="639" t="s">
        <v>59</v>
      </c>
      <c r="D192" s="640">
        <v>0</v>
      </c>
      <c r="E192" s="641">
        <v>0</v>
      </c>
      <c r="F192" s="641">
        <v>0</v>
      </c>
      <c r="G192" s="640">
        <v>0</v>
      </c>
      <c r="H192" s="641">
        <v>843.18181818181824</v>
      </c>
      <c r="I192" s="641">
        <v>306.94588327561422</v>
      </c>
      <c r="J192" s="641">
        <v>187.92158364867245</v>
      </c>
      <c r="K192" s="641">
        <v>20.316638839186872</v>
      </c>
      <c r="L192" s="641">
        <v>0.58650482505924006</v>
      </c>
      <c r="M192" s="641">
        <v>0.15964026893196048</v>
      </c>
      <c r="N192" s="641">
        <v>67.964408038916218</v>
      </c>
      <c r="O192" s="641">
        <v>11.973026235836867</v>
      </c>
      <c r="P192" s="642">
        <v>0</v>
      </c>
      <c r="Q192" s="641">
        <v>0</v>
      </c>
      <c r="R192" s="641">
        <v>0</v>
      </c>
      <c r="S192" s="643">
        <v>1439.0495033140362</v>
      </c>
      <c r="U192" s="639" t="s">
        <v>59</v>
      </c>
      <c r="V192" s="640">
        <v>0</v>
      </c>
      <c r="W192" s="641">
        <v>0</v>
      </c>
      <c r="X192" s="641">
        <v>0</v>
      </c>
      <c r="Y192" s="640">
        <v>0</v>
      </c>
      <c r="Z192" s="641">
        <v>842.12121212121212</v>
      </c>
      <c r="AA192" s="641">
        <v>361.66588327561419</v>
      </c>
      <c r="AB192" s="641">
        <v>209.7499476733077</v>
      </c>
      <c r="AC192" s="641">
        <v>36.742499370225779</v>
      </c>
      <c r="AD192" s="641">
        <v>0.58650482505924006</v>
      </c>
      <c r="AE192" s="641">
        <v>0.15964026893196048</v>
      </c>
      <c r="AF192" s="641">
        <v>109.8518848230913</v>
      </c>
      <c r="AG192" s="641">
        <v>27.041217028647232</v>
      </c>
      <c r="AH192" s="642">
        <v>0</v>
      </c>
      <c r="AI192" s="641">
        <v>0</v>
      </c>
      <c r="AJ192" s="641">
        <v>0</v>
      </c>
      <c r="AK192" s="643">
        <v>1587.9187893860897</v>
      </c>
    </row>
    <row r="193" spans="3:37" x14ac:dyDescent="0.2">
      <c r="C193" s="639" t="s">
        <v>60</v>
      </c>
      <c r="D193" s="640">
        <v>47.14481987923083</v>
      </c>
      <c r="E193" s="641">
        <v>484.495467583368</v>
      </c>
      <c r="F193" s="641">
        <v>50.019697053221719</v>
      </c>
      <c r="G193" s="640">
        <v>326.09010493911637</v>
      </c>
      <c r="H193" s="641">
        <v>0</v>
      </c>
      <c r="I193" s="641">
        <v>0</v>
      </c>
      <c r="J193" s="641">
        <v>5.0764589906360387</v>
      </c>
      <c r="K193" s="641">
        <v>0</v>
      </c>
      <c r="L193" s="641">
        <v>2.7571319279134792</v>
      </c>
      <c r="M193" s="641">
        <v>0</v>
      </c>
      <c r="N193" s="641">
        <v>0</v>
      </c>
      <c r="O193" s="641">
        <v>0</v>
      </c>
      <c r="P193" s="642">
        <v>0</v>
      </c>
      <c r="Q193" s="641">
        <v>0</v>
      </c>
      <c r="R193" s="641">
        <v>0</v>
      </c>
      <c r="S193" s="643">
        <v>915.58368037348657</v>
      </c>
      <c r="U193" s="639" t="s">
        <v>60</v>
      </c>
      <c r="V193" s="640">
        <v>5.8768320762591904</v>
      </c>
      <c r="W193" s="641">
        <v>189.94114801549574</v>
      </c>
      <c r="X193" s="641">
        <v>14.41607041492888</v>
      </c>
      <c r="Y193" s="640">
        <v>81.728531694283333</v>
      </c>
      <c r="Z193" s="641">
        <v>0</v>
      </c>
      <c r="AA193" s="641">
        <v>0</v>
      </c>
      <c r="AB193" s="641">
        <v>5.0764589906360387</v>
      </c>
      <c r="AC193" s="641">
        <v>0</v>
      </c>
      <c r="AD193" s="641">
        <v>2.7571319279134792</v>
      </c>
      <c r="AE193" s="641">
        <v>0</v>
      </c>
      <c r="AF193" s="641">
        <v>0</v>
      </c>
      <c r="AG193" s="641">
        <v>0</v>
      </c>
      <c r="AH193" s="642">
        <v>0</v>
      </c>
      <c r="AI193" s="641">
        <v>0</v>
      </c>
      <c r="AJ193" s="641">
        <v>0</v>
      </c>
      <c r="AK193" s="643">
        <v>299.79617311951665</v>
      </c>
    </row>
    <row r="194" spans="3:37" x14ac:dyDescent="0.2">
      <c r="C194" s="639" t="s">
        <v>61</v>
      </c>
      <c r="D194" s="640">
        <v>0</v>
      </c>
      <c r="E194" s="641">
        <v>0</v>
      </c>
      <c r="F194" s="641">
        <v>0</v>
      </c>
      <c r="G194" s="640">
        <v>0</v>
      </c>
      <c r="H194" s="641">
        <v>0</v>
      </c>
      <c r="I194" s="641">
        <v>0</v>
      </c>
      <c r="J194" s="641">
        <v>0</v>
      </c>
      <c r="K194" s="641">
        <v>0</v>
      </c>
      <c r="L194" s="641">
        <v>0</v>
      </c>
      <c r="M194" s="641">
        <v>0</v>
      </c>
      <c r="N194" s="641">
        <v>0</v>
      </c>
      <c r="O194" s="641">
        <v>0</v>
      </c>
      <c r="P194" s="642">
        <v>-16.706363002811486</v>
      </c>
      <c r="Q194" s="641">
        <v>0</v>
      </c>
      <c r="R194" s="641">
        <v>0</v>
      </c>
      <c r="S194" s="643">
        <v>-16.706363002811486</v>
      </c>
      <c r="U194" s="639" t="s">
        <v>61</v>
      </c>
      <c r="V194" s="640">
        <v>0</v>
      </c>
      <c r="W194" s="641">
        <v>0</v>
      </c>
      <c r="X194" s="641">
        <v>-18.378136852904419</v>
      </c>
      <c r="Y194" s="640">
        <v>0</v>
      </c>
      <c r="Z194" s="641">
        <v>0</v>
      </c>
      <c r="AA194" s="641">
        <v>0</v>
      </c>
      <c r="AB194" s="641">
        <v>0</v>
      </c>
      <c r="AC194" s="641">
        <v>0</v>
      </c>
      <c r="AD194" s="641">
        <v>0</v>
      </c>
      <c r="AE194" s="641">
        <v>0</v>
      </c>
      <c r="AF194" s="641">
        <v>0</v>
      </c>
      <c r="AG194" s="641">
        <v>0</v>
      </c>
      <c r="AH194" s="642">
        <v>-20.522831714543145</v>
      </c>
      <c r="AI194" s="641">
        <v>0</v>
      </c>
      <c r="AJ194" s="641">
        <v>0</v>
      </c>
      <c r="AK194" s="643">
        <v>-38.900968567447563</v>
      </c>
    </row>
    <row r="195" spans="3:37" x14ac:dyDescent="0.2">
      <c r="C195" s="639" t="s">
        <v>62</v>
      </c>
      <c r="D195" s="640">
        <v>0</v>
      </c>
      <c r="E195" s="641">
        <v>0</v>
      </c>
      <c r="F195" s="641">
        <v>-15.257294848391862</v>
      </c>
      <c r="G195" s="640">
        <v>0</v>
      </c>
      <c r="H195" s="641">
        <v>0</v>
      </c>
      <c r="I195" s="641">
        <v>0</v>
      </c>
      <c r="J195" s="641">
        <v>0</v>
      </c>
      <c r="K195" s="641">
        <v>0</v>
      </c>
      <c r="L195" s="641">
        <v>0</v>
      </c>
      <c r="M195" s="641">
        <v>0</v>
      </c>
      <c r="N195" s="641">
        <v>0</v>
      </c>
      <c r="O195" s="641">
        <v>0</v>
      </c>
      <c r="P195" s="642">
        <v>0</v>
      </c>
      <c r="Q195" s="641">
        <v>0</v>
      </c>
      <c r="R195" s="641">
        <v>0</v>
      </c>
      <c r="S195" s="643">
        <v>-15.257294848391862</v>
      </c>
      <c r="U195" s="639" t="s">
        <v>62</v>
      </c>
      <c r="V195" s="640">
        <v>0</v>
      </c>
      <c r="W195" s="641">
        <v>0</v>
      </c>
      <c r="X195" s="641">
        <v>-7.5188933675233587</v>
      </c>
      <c r="Y195" s="640">
        <v>-2.1851276585702322</v>
      </c>
      <c r="Z195" s="641">
        <v>0</v>
      </c>
      <c r="AA195" s="641">
        <v>0</v>
      </c>
      <c r="AB195" s="641">
        <v>0</v>
      </c>
      <c r="AC195" s="641">
        <v>0</v>
      </c>
      <c r="AD195" s="641">
        <v>0</v>
      </c>
      <c r="AE195" s="641">
        <v>-2.1851276585702322</v>
      </c>
      <c r="AF195" s="641">
        <v>0</v>
      </c>
      <c r="AG195" s="641">
        <v>0</v>
      </c>
      <c r="AH195" s="642">
        <v>0</v>
      </c>
      <c r="AI195" s="641">
        <v>0</v>
      </c>
      <c r="AJ195" s="641">
        <v>0</v>
      </c>
      <c r="AK195" s="643">
        <v>-11.889148684663823</v>
      </c>
    </row>
    <row r="196" spans="3:37" x14ac:dyDescent="0.2">
      <c r="C196" s="639" t="s">
        <v>63</v>
      </c>
      <c r="D196" s="640">
        <v>0</v>
      </c>
      <c r="E196" s="641">
        <v>0</v>
      </c>
      <c r="F196" s="641">
        <v>-90.982589622358091</v>
      </c>
      <c r="G196" s="640">
        <v>0</v>
      </c>
      <c r="H196" s="641">
        <v>0</v>
      </c>
      <c r="I196" s="641">
        <v>0</v>
      </c>
      <c r="J196" s="641">
        <v>0</v>
      </c>
      <c r="K196" s="641">
        <v>0</v>
      </c>
      <c r="L196" s="641">
        <v>-0.93561585486744514</v>
      </c>
      <c r="M196" s="641">
        <v>0</v>
      </c>
      <c r="N196" s="641">
        <v>0</v>
      </c>
      <c r="O196" s="641">
        <v>0</v>
      </c>
      <c r="P196" s="642">
        <v>0</v>
      </c>
      <c r="Q196" s="641">
        <v>0</v>
      </c>
      <c r="R196" s="641">
        <v>0</v>
      </c>
      <c r="S196" s="643">
        <v>-91.918205477225541</v>
      </c>
      <c r="U196" s="639" t="s">
        <v>63</v>
      </c>
      <c r="V196" s="640">
        <v>0</v>
      </c>
      <c r="W196" s="641">
        <v>0</v>
      </c>
      <c r="X196" s="641">
        <v>-53.656928796434556</v>
      </c>
      <c r="Y196" s="640">
        <v>0</v>
      </c>
      <c r="Z196" s="641">
        <v>0</v>
      </c>
      <c r="AA196" s="641">
        <v>0</v>
      </c>
      <c r="AB196" s="641">
        <v>0</v>
      </c>
      <c r="AC196" s="641">
        <v>0</v>
      </c>
      <c r="AD196" s="641">
        <v>-28.297456853591466</v>
      </c>
      <c r="AE196" s="641">
        <v>0</v>
      </c>
      <c r="AF196" s="641">
        <v>0</v>
      </c>
      <c r="AG196" s="641">
        <v>0</v>
      </c>
      <c r="AH196" s="642">
        <v>0</v>
      </c>
      <c r="AI196" s="641">
        <v>0</v>
      </c>
      <c r="AJ196" s="641">
        <v>0</v>
      </c>
      <c r="AK196" s="643">
        <v>-81.954385650026026</v>
      </c>
    </row>
    <row r="197" spans="3:37" x14ac:dyDescent="0.2">
      <c r="C197" s="639" t="s">
        <v>64</v>
      </c>
      <c r="D197" s="640">
        <v>0</v>
      </c>
      <c r="E197" s="641">
        <v>0</v>
      </c>
      <c r="F197" s="641">
        <v>0</v>
      </c>
      <c r="G197" s="640">
        <v>0</v>
      </c>
      <c r="H197" s="641">
        <v>0</v>
      </c>
      <c r="I197" s="641">
        <v>0</v>
      </c>
      <c r="J197" s="641">
        <v>0</v>
      </c>
      <c r="K197" s="641">
        <v>0</v>
      </c>
      <c r="L197" s="641">
        <v>0</v>
      </c>
      <c r="M197" s="641">
        <v>0</v>
      </c>
      <c r="N197" s="641">
        <v>0</v>
      </c>
      <c r="O197" s="641">
        <v>0</v>
      </c>
      <c r="P197" s="642">
        <v>0</v>
      </c>
      <c r="Q197" s="641">
        <v>0</v>
      </c>
      <c r="R197" s="641">
        <v>0</v>
      </c>
      <c r="S197" s="643">
        <v>0</v>
      </c>
      <c r="U197" s="639" t="s">
        <v>64</v>
      </c>
      <c r="V197" s="640">
        <v>0</v>
      </c>
      <c r="W197" s="641">
        <v>0</v>
      </c>
      <c r="X197" s="641">
        <v>0</v>
      </c>
      <c r="Y197" s="640">
        <v>0</v>
      </c>
      <c r="Z197" s="641">
        <v>0</v>
      </c>
      <c r="AA197" s="641">
        <v>0</v>
      </c>
      <c r="AB197" s="641">
        <v>0</v>
      </c>
      <c r="AC197" s="641">
        <v>0</v>
      </c>
      <c r="AD197" s="641">
        <v>0</v>
      </c>
      <c r="AE197" s="641">
        <v>0</v>
      </c>
      <c r="AF197" s="641">
        <v>0</v>
      </c>
      <c r="AG197" s="641">
        <v>0</v>
      </c>
      <c r="AH197" s="642">
        <v>0</v>
      </c>
      <c r="AI197" s="641">
        <v>0</v>
      </c>
      <c r="AJ197" s="641">
        <v>0</v>
      </c>
      <c r="AK197" s="643">
        <v>0</v>
      </c>
    </row>
    <row r="198" spans="3:37" x14ac:dyDescent="0.2">
      <c r="C198" s="644" t="s">
        <v>65</v>
      </c>
      <c r="D198" s="645">
        <v>47.14481987923083</v>
      </c>
      <c r="E198" s="645">
        <v>484.495467583368</v>
      </c>
      <c r="F198" s="645">
        <v>-56.220187417528237</v>
      </c>
      <c r="G198" s="645">
        <v>326.09010493911637</v>
      </c>
      <c r="H198" s="645">
        <v>843.18181818181824</v>
      </c>
      <c r="I198" s="645">
        <v>306.94588327561422</v>
      </c>
      <c r="J198" s="645">
        <v>192.99804263930849</v>
      </c>
      <c r="K198" s="645">
        <v>20.316638839186872</v>
      </c>
      <c r="L198" s="645">
        <v>2.4080208981052738</v>
      </c>
      <c r="M198" s="645">
        <v>0.15964026893196048</v>
      </c>
      <c r="N198" s="645">
        <v>67.964408038916218</v>
      </c>
      <c r="O198" s="645">
        <v>11.973026235836867</v>
      </c>
      <c r="P198" s="645">
        <v>-16.706363002811486</v>
      </c>
      <c r="Q198" s="645">
        <v>0</v>
      </c>
      <c r="R198" s="645">
        <v>0</v>
      </c>
      <c r="S198" s="645">
        <v>2230.7513203590943</v>
      </c>
      <c r="U198" s="644" t="s">
        <v>65</v>
      </c>
      <c r="V198" s="645">
        <v>5.8768320762591904</v>
      </c>
      <c r="W198" s="645">
        <v>189.94114801549574</v>
      </c>
      <c r="X198" s="645">
        <v>-65.137888601933454</v>
      </c>
      <c r="Y198" s="645">
        <v>79.543404035713095</v>
      </c>
      <c r="Z198" s="645">
        <v>842.12121212121212</v>
      </c>
      <c r="AA198" s="645">
        <v>361.66588327561419</v>
      </c>
      <c r="AB198" s="645">
        <v>214.82640666394374</v>
      </c>
      <c r="AC198" s="645">
        <v>36.742499370225779</v>
      </c>
      <c r="AD198" s="645">
        <v>-24.953820100618749</v>
      </c>
      <c r="AE198" s="645">
        <v>-2.0254873896382719</v>
      </c>
      <c r="AF198" s="645">
        <v>109.8518848230913</v>
      </c>
      <c r="AG198" s="645">
        <v>27.041217028647232</v>
      </c>
      <c r="AH198" s="645">
        <v>-20.522831714543145</v>
      </c>
      <c r="AI198" s="645">
        <v>0</v>
      </c>
      <c r="AJ198" s="645">
        <v>0</v>
      </c>
      <c r="AK198" s="645">
        <v>1754.970459603469</v>
      </c>
    </row>
    <row r="199" spans="3:37" x14ac:dyDescent="0.2">
      <c r="C199" s="634"/>
      <c r="D199" s="634">
        <v>0</v>
      </c>
      <c r="E199" s="634">
        <v>0</v>
      </c>
      <c r="F199" s="634">
        <v>0</v>
      </c>
      <c r="G199" s="634">
        <v>0</v>
      </c>
      <c r="H199" s="634">
        <v>0</v>
      </c>
      <c r="I199" s="634">
        <v>0</v>
      </c>
      <c r="J199" s="634">
        <v>0</v>
      </c>
      <c r="K199" s="634">
        <v>0</v>
      </c>
      <c r="L199" s="634">
        <v>0</v>
      </c>
      <c r="M199" s="634">
        <v>0</v>
      </c>
      <c r="N199" s="634">
        <v>0</v>
      </c>
      <c r="O199" s="634">
        <v>0</v>
      </c>
      <c r="P199" s="634">
        <v>0</v>
      </c>
      <c r="Q199" s="634">
        <v>0</v>
      </c>
      <c r="R199" s="634">
        <v>0</v>
      </c>
      <c r="S199" s="634">
        <v>0</v>
      </c>
      <c r="U199" s="634"/>
      <c r="V199" s="634">
        <v>0</v>
      </c>
      <c r="W199" s="634">
        <v>0</v>
      </c>
      <c r="X199" s="634">
        <v>0</v>
      </c>
      <c r="Y199" s="634">
        <v>0</v>
      </c>
      <c r="Z199" s="634">
        <v>0</v>
      </c>
      <c r="AA199" s="634">
        <v>0</v>
      </c>
      <c r="AB199" s="634">
        <v>0</v>
      </c>
      <c r="AC199" s="634">
        <v>0</v>
      </c>
      <c r="AD199" s="634">
        <v>0</v>
      </c>
      <c r="AE199" s="634">
        <v>0</v>
      </c>
      <c r="AF199" s="634">
        <v>0</v>
      </c>
      <c r="AG199" s="634">
        <v>0</v>
      </c>
      <c r="AH199" s="634">
        <v>0</v>
      </c>
      <c r="AI199" s="634">
        <v>0</v>
      </c>
      <c r="AJ199" s="634">
        <v>0</v>
      </c>
      <c r="AK199" s="634">
        <v>0</v>
      </c>
    </row>
    <row r="200" spans="3:37" x14ac:dyDescent="0.2">
      <c r="C200" s="646" t="s">
        <v>67</v>
      </c>
      <c r="D200" s="640">
        <v>0</v>
      </c>
      <c r="E200" s="647">
        <v>0</v>
      </c>
      <c r="F200" s="647">
        <v>0</v>
      </c>
      <c r="G200" s="640">
        <v>0</v>
      </c>
      <c r="H200" s="640">
        <v>0</v>
      </c>
      <c r="I200" s="640">
        <v>0</v>
      </c>
      <c r="J200" s="640">
        <v>0</v>
      </c>
      <c r="K200" s="640">
        <v>0</v>
      </c>
      <c r="L200" s="640">
        <v>0</v>
      </c>
      <c r="M200" s="640">
        <v>0</v>
      </c>
      <c r="N200" s="640">
        <v>0</v>
      </c>
      <c r="O200" s="640">
        <v>0</v>
      </c>
      <c r="P200" s="640">
        <v>0</v>
      </c>
      <c r="Q200" s="640">
        <v>0</v>
      </c>
      <c r="R200" s="640">
        <v>0</v>
      </c>
      <c r="S200" s="648">
        <v>0</v>
      </c>
      <c r="U200" s="646" t="s">
        <v>67</v>
      </c>
      <c r="V200" s="640">
        <v>0</v>
      </c>
      <c r="W200" s="647">
        <v>0</v>
      </c>
      <c r="X200" s="647">
        <v>0</v>
      </c>
      <c r="Y200" s="640">
        <v>0</v>
      </c>
      <c r="Z200" s="640">
        <v>0</v>
      </c>
      <c r="AA200" s="640">
        <v>0</v>
      </c>
      <c r="AB200" s="640">
        <v>0</v>
      </c>
      <c r="AC200" s="640">
        <v>0</v>
      </c>
      <c r="AD200" s="640">
        <v>0</v>
      </c>
      <c r="AE200" s="640">
        <v>0</v>
      </c>
      <c r="AF200" s="640">
        <v>0</v>
      </c>
      <c r="AG200" s="640">
        <v>0</v>
      </c>
      <c r="AH200" s="640">
        <v>0</v>
      </c>
      <c r="AI200" s="640">
        <v>0</v>
      </c>
      <c r="AJ200" s="640">
        <v>0</v>
      </c>
      <c r="AK200" s="648">
        <v>0</v>
      </c>
    </row>
    <row r="201" spans="3:37" x14ac:dyDescent="0.2">
      <c r="C201" s="646" t="s">
        <v>347</v>
      </c>
      <c r="D201" s="640">
        <v>2.8267856410252494</v>
      </c>
      <c r="E201" s="640">
        <v>0</v>
      </c>
      <c r="F201" s="640">
        <v>7.9230776783294274</v>
      </c>
      <c r="G201" s="640">
        <v>16.680851063829788</v>
      </c>
      <c r="H201" s="640">
        <v>843.18181818181824</v>
      </c>
      <c r="I201" s="640">
        <v>306.94588327561422</v>
      </c>
      <c r="J201" s="649">
        <v>28.98717588629853</v>
      </c>
      <c r="K201" s="649">
        <v>6.5903281241207718</v>
      </c>
      <c r="L201" s="649">
        <v>3.3436367529727189</v>
      </c>
      <c r="M201" s="649">
        <v>0.46654149749263618</v>
      </c>
      <c r="N201" s="649">
        <v>0</v>
      </c>
      <c r="O201" s="649">
        <v>7.0184114557160298</v>
      </c>
      <c r="P201" s="640">
        <v>-616.92993037811448</v>
      </c>
      <c r="Q201" s="640">
        <v>0</v>
      </c>
      <c r="R201" s="640">
        <v>0</v>
      </c>
      <c r="S201" s="648">
        <v>607.03457917910316</v>
      </c>
      <c r="U201" s="646" t="s">
        <v>347</v>
      </c>
      <c r="V201" s="640">
        <v>0.62631490545869017</v>
      </c>
      <c r="W201" s="640">
        <v>0</v>
      </c>
      <c r="X201" s="640">
        <v>4.0594413146930641</v>
      </c>
      <c r="Y201" s="640">
        <v>2.3404255319148937</v>
      </c>
      <c r="Z201" s="640">
        <v>842.12121212121212</v>
      </c>
      <c r="AA201" s="640">
        <v>361.66588327561419</v>
      </c>
      <c r="AB201" s="649">
        <v>23.182357378111952</v>
      </c>
      <c r="AC201" s="649">
        <v>5.3775678130216455</v>
      </c>
      <c r="AD201" s="649">
        <v>3.3436367529727189</v>
      </c>
      <c r="AE201" s="649">
        <v>2.4665414974926363</v>
      </c>
      <c r="AF201" s="649">
        <v>0</v>
      </c>
      <c r="AG201" s="649">
        <v>7.0184114557160298</v>
      </c>
      <c r="AH201" s="640">
        <v>-662.7499303781143</v>
      </c>
      <c r="AI201" s="640">
        <v>0</v>
      </c>
      <c r="AJ201" s="640">
        <v>4.25</v>
      </c>
      <c r="AK201" s="648">
        <v>593.70186166809344</v>
      </c>
    </row>
    <row r="202" spans="3:37" x14ac:dyDescent="0.2">
      <c r="C202" s="646" t="s">
        <v>348</v>
      </c>
      <c r="D202" s="640">
        <v>0</v>
      </c>
      <c r="E202" s="640">
        <v>0</v>
      </c>
      <c r="F202" s="640">
        <v>0</v>
      </c>
      <c r="G202" s="640">
        <v>14.843815057329421</v>
      </c>
      <c r="H202" s="640">
        <v>0</v>
      </c>
      <c r="I202" s="640">
        <v>0</v>
      </c>
      <c r="J202" s="649">
        <v>12.357161229114668</v>
      </c>
      <c r="K202" s="649">
        <v>11.882304060636951</v>
      </c>
      <c r="L202" s="649">
        <v>0</v>
      </c>
      <c r="M202" s="649">
        <v>0.31804644322561132</v>
      </c>
      <c r="N202" s="649">
        <v>0</v>
      </c>
      <c r="O202" s="649">
        <v>2.0992086164963606</v>
      </c>
      <c r="P202" s="640">
        <v>0</v>
      </c>
      <c r="Q202" s="640">
        <v>-37.805081951347923</v>
      </c>
      <c r="R202" s="640">
        <v>0</v>
      </c>
      <c r="S202" s="648">
        <v>3.6954534554550835</v>
      </c>
      <c r="U202" s="646" t="s">
        <v>348</v>
      </c>
      <c r="V202" s="640">
        <v>0</v>
      </c>
      <c r="W202" s="640">
        <v>0</v>
      </c>
      <c r="X202" s="640">
        <v>0</v>
      </c>
      <c r="Y202" s="640">
        <v>6.4668066457611202</v>
      </c>
      <c r="Z202" s="640">
        <v>0</v>
      </c>
      <c r="AA202" s="640">
        <v>0</v>
      </c>
      <c r="AB202" s="649">
        <v>28.361573193229066</v>
      </c>
      <c r="AC202" s="649">
        <v>26.076316433417247</v>
      </c>
      <c r="AD202" s="649">
        <v>0</v>
      </c>
      <c r="AE202" s="649">
        <v>6.4819180878167435</v>
      </c>
      <c r="AF202" s="649">
        <v>0</v>
      </c>
      <c r="AG202" s="649">
        <v>12.550380584079129</v>
      </c>
      <c r="AH202" s="640">
        <v>0</v>
      </c>
      <c r="AI202" s="640">
        <v>-74.043519390541746</v>
      </c>
      <c r="AJ202" s="640">
        <v>0</v>
      </c>
      <c r="AK202" s="648">
        <v>5.8934755537615651</v>
      </c>
    </row>
    <row r="203" spans="3:37" x14ac:dyDescent="0.2">
      <c r="C203" s="646" t="s">
        <v>349</v>
      </c>
      <c r="D203" s="640">
        <v>0</v>
      </c>
      <c r="E203" s="640">
        <v>0</v>
      </c>
      <c r="F203" s="640">
        <v>0</v>
      </c>
      <c r="G203" s="640">
        <v>0</v>
      </c>
      <c r="H203" s="640">
        <v>0</v>
      </c>
      <c r="I203" s="640">
        <v>0</v>
      </c>
      <c r="J203" s="650">
        <v>6.8755991242523775</v>
      </c>
      <c r="K203" s="650">
        <v>0</v>
      </c>
      <c r="L203" s="650">
        <v>0</v>
      </c>
      <c r="M203" s="650">
        <v>-6.4200906822706569</v>
      </c>
      <c r="N203" s="650">
        <v>0</v>
      </c>
      <c r="O203" s="650">
        <v>0</v>
      </c>
      <c r="P203" s="640">
        <v>0</v>
      </c>
      <c r="Q203" s="640">
        <v>0</v>
      </c>
      <c r="R203" s="640">
        <v>0</v>
      </c>
      <c r="S203" s="648">
        <v>0.45550844198172058</v>
      </c>
      <c r="U203" s="646" t="s">
        <v>349</v>
      </c>
      <c r="V203" s="640">
        <v>0</v>
      </c>
      <c r="W203" s="640">
        <v>0</v>
      </c>
      <c r="X203" s="640">
        <v>0</v>
      </c>
      <c r="Y203" s="640">
        <v>0</v>
      </c>
      <c r="Z203" s="640">
        <v>0</v>
      </c>
      <c r="AA203" s="640">
        <v>0</v>
      </c>
      <c r="AB203" s="650">
        <v>86.654179241552072</v>
      </c>
      <c r="AC203" s="650">
        <v>0</v>
      </c>
      <c r="AD203" s="650">
        <v>0</v>
      </c>
      <c r="AE203" s="650">
        <v>-80.913339866799248</v>
      </c>
      <c r="AF203" s="650">
        <v>0</v>
      </c>
      <c r="AG203" s="650">
        <v>0</v>
      </c>
      <c r="AH203" s="640">
        <v>0</v>
      </c>
      <c r="AI203" s="640">
        <v>0</v>
      </c>
      <c r="AJ203" s="640">
        <v>0</v>
      </c>
      <c r="AK203" s="648">
        <v>5.7408393747528237</v>
      </c>
    </row>
    <row r="204" spans="3:37" x14ac:dyDescent="0.2">
      <c r="C204" s="646" t="s">
        <v>350</v>
      </c>
      <c r="D204" s="640">
        <v>0</v>
      </c>
      <c r="E204" s="640">
        <v>0</v>
      </c>
      <c r="F204" s="640">
        <v>0</v>
      </c>
      <c r="G204" s="640">
        <v>0</v>
      </c>
      <c r="H204" s="640">
        <v>0</v>
      </c>
      <c r="I204" s="640">
        <v>0</v>
      </c>
      <c r="J204" s="640">
        <v>0</v>
      </c>
      <c r="K204" s="640">
        <v>0</v>
      </c>
      <c r="L204" s="640">
        <v>0</v>
      </c>
      <c r="M204" s="640">
        <v>0</v>
      </c>
      <c r="N204" s="640">
        <v>0</v>
      </c>
      <c r="O204" s="640">
        <v>0</v>
      </c>
      <c r="P204" s="640">
        <v>0</v>
      </c>
      <c r="Q204" s="640">
        <v>0</v>
      </c>
      <c r="R204" s="640">
        <v>0</v>
      </c>
      <c r="S204" s="648">
        <v>0</v>
      </c>
      <c r="U204" s="646" t="s">
        <v>350</v>
      </c>
      <c r="V204" s="640">
        <v>0</v>
      </c>
      <c r="W204" s="640">
        <v>0</v>
      </c>
      <c r="X204" s="640">
        <v>0</v>
      </c>
      <c r="Y204" s="640">
        <v>0</v>
      </c>
      <c r="Z204" s="640">
        <v>0</v>
      </c>
      <c r="AA204" s="640">
        <v>0</v>
      </c>
      <c r="AB204" s="640">
        <v>0</v>
      </c>
      <c r="AC204" s="640">
        <v>0</v>
      </c>
      <c r="AD204" s="640">
        <v>0</v>
      </c>
      <c r="AE204" s="640">
        <v>0</v>
      </c>
      <c r="AF204" s="640">
        <v>0</v>
      </c>
      <c r="AG204" s="640">
        <v>0</v>
      </c>
      <c r="AH204" s="640">
        <v>0</v>
      </c>
      <c r="AI204" s="640">
        <v>0</v>
      </c>
      <c r="AJ204" s="640">
        <v>0</v>
      </c>
      <c r="AK204" s="648">
        <v>0</v>
      </c>
    </row>
    <row r="205" spans="3:37" x14ac:dyDescent="0.2">
      <c r="C205" s="646" t="s">
        <v>72</v>
      </c>
      <c r="D205" s="640">
        <v>0</v>
      </c>
      <c r="E205" s="640">
        <v>501.8858109321676</v>
      </c>
      <c r="F205" s="640">
        <v>-496.86695282284592</v>
      </c>
      <c r="G205" s="640">
        <v>0</v>
      </c>
      <c r="H205" s="640">
        <v>0</v>
      </c>
      <c r="I205" s="640">
        <v>0</v>
      </c>
      <c r="J205" s="640">
        <v>0</v>
      </c>
      <c r="K205" s="640">
        <v>0</v>
      </c>
      <c r="L205" s="640">
        <v>0</v>
      </c>
      <c r="M205" s="640">
        <v>0</v>
      </c>
      <c r="N205" s="640">
        <v>0</v>
      </c>
      <c r="O205" s="640">
        <v>0</v>
      </c>
      <c r="P205" s="640">
        <v>0</v>
      </c>
      <c r="Q205" s="640">
        <v>0</v>
      </c>
      <c r="R205" s="640">
        <v>0</v>
      </c>
      <c r="S205" s="648">
        <v>5.018858109321684</v>
      </c>
      <c r="U205" s="646" t="s">
        <v>72</v>
      </c>
      <c r="V205" s="640">
        <v>0</v>
      </c>
      <c r="W205" s="640">
        <v>196.75884188687598</v>
      </c>
      <c r="X205" s="640">
        <v>-194.79125346800723</v>
      </c>
      <c r="Y205" s="640">
        <v>0</v>
      </c>
      <c r="Z205" s="640">
        <v>0</v>
      </c>
      <c r="AA205" s="640">
        <v>0</v>
      </c>
      <c r="AB205" s="640">
        <v>0</v>
      </c>
      <c r="AC205" s="640">
        <v>0</v>
      </c>
      <c r="AD205" s="640">
        <v>0</v>
      </c>
      <c r="AE205" s="640">
        <v>0</v>
      </c>
      <c r="AF205" s="640">
        <v>0</v>
      </c>
      <c r="AG205" s="640">
        <v>0</v>
      </c>
      <c r="AH205" s="640">
        <v>0</v>
      </c>
      <c r="AI205" s="640">
        <v>0</v>
      </c>
      <c r="AJ205" s="640">
        <v>0</v>
      </c>
      <c r="AK205" s="648">
        <v>1.9675884188687576</v>
      </c>
    </row>
    <row r="206" spans="3:37" x14ac:dyDescent="0.2">
      <c r="C206" s="646" t="s">
        <v>351</v>
      </c>
      <c r="D206" s="640">
        <v>0</v>
      </c>
      <c r="E206" s="640">
        <v>0</v>
      </c>
      <c r="F206" s="640">
        <v>0</v>
      </c>
      <c r="G206" s="640">
        <v>0</v>
      </c>
      <c r="H206" s="640">
        <v>0</v>
      </c>
      <c r="I206" s="640">
        <v>0</v>
      </c>
      <c r="J206" s="640">
        <v>26.867608526350821</v>
      </c>
      <c r="K206" s="640">
        <v>0</v>
      </c>
      <c r="L206" s="640">
        <v>-26.867608526350821</v>
      </c>
      <c r="M206" s="640">
        <v>0</v>
      </c>
      <c r="N206" s="640">
        <v>0</v>
      </c>
      <c r="O206" s="640">
        <v>0</v>
      </c>
      <c r="P206" s="640">
        <v>0</v>
      </c>
      <c r="Q206" s="640">
        <v>0</v>
      </c>
      <c r="R206" s="640">
        <v>0</v>
      </c>
      <c r="S206" s="648">
        <v>0</v>
      </c>
      <c r="U206" s="646" t="s">
        <v>351</v>
      </c>
      <c r="V206" s="640">
        <v>0</v>
      </c>
      <c r="W206" s="640">
        <v>0</v>
      </c>
      <c r="X206" s="640">
        <v>0</v>
      </c>
      <c r="Y206" s="640">
        <v>0</v>
      </c>
      <c r="Z206" s="640">
        <v>0</v>
      </c>
      <c r="AA206" s="640">
        <v>0</v>
      </c>
      <c r="AB206" s="640" t="e">
        <v>#VALUE!</v>
      </c>
      <c r="AC206" s="640">
        <v>0</v>
      </c>
      <c r="AD206" s="640">
        <v>-99.513749603669936</v>
      </c>
      <c r="AE206" s="640">
        <v>0</v>
      </c>
      <c r="AF206" s="640">
        <v>0</v>
      </c>
      <c r="AG206" s="640">
        <v>0</v>
      </c>
      <c r="AH206" s="640">
        <v>0</v>
      </c>
      <c r="AI206" s="640">
        <v>0</v>
      </c>
      <c r="AJ206" s="640">
        <v>0</v>
      </c>
      <c r="AK206" s="648">
        <v>-99.513749603669936</v>
      </c>
    </row>
    <row r="207" spans="3:37" x14ac:dyDescent="0.2">
      <c r="C207" s="646" t="s">
        <v>352</v>
      </c>
      <c r="D207" s="640">
        <v>0</v>
      </c>
      <c r="E207" s="640">
        <v>0</v>
      </c>
      <c r="F207" s="640">
        <v>0</v>
      </c>
      <c r="G207" s="640">
        <v>0</v>
      </c>
      <c r="H207" s="640">
        <v>0</v>
      </c>
      <c r="I207" s="640">
        <v>0</v>
      </c>
      <c r="J207" s="640">
        <v>0</v>
      </c>
      <c r="K207" s="640">
        <v>0</v>
      </c>
      <c r="L207" s="640">
        <v>0</v>
      </c>
      <c r="M207" s="640">
        <v>0</v>
      </c>
      <c r="N207" s="640">
        <v>0</v>
      </c>
      <c r="O207" s="640">
        <v>0</v>
      </c>
      <c r="P207" s="640">
        <v>0</v>
      </c>
      <c r="Q207" s="640">
        <v>0</v>
      </c>
      <c r="R207" s="640">
        <v>0</v>
      </c>
      <c r="S207" s="648">
        <v>0</v>
      </c>
      <c r="U207" s="646" t="s">
        <v>352</v>
      </c>
      <c r="V207" s="640">
        <v>0</v>
      </c>
      <c r="W207" s="640">
        <v>0</v>
      </c>
      <c r="X207" s="640">
        <v>0</v>
      </c>
      <c r="Y207" s="640">
        <v>0</v>
      </c>
      <c r="Z207" s="640">
        <v>0</v>
      </c>
      <c r="AA207" s="640">
        <v>0</v>
      </c>
      <c r="AB207" s="640">
        <v>0</v>
      </c>
      <c r="AC207" s="640">
        <v>0</v>
      </c>
      <c r="AD207" s="640">
        <v>-17.985934640167208</v>
      </c>
      <c r="AE207" s="640">
        <v>0</v>
      </c>
      <c r="AF207" s="640">
        <v>0</v>
      </c>
      <c r="AG207" s="640">
        <v>0</v>
      </c>
      <c r="AH207" s="640">
        <v>0</v>
      </c>
      <c r="AI207" s="640">
        <v>0</v>
      </c>
      <c r="AJ207" s="640">
        <v>0</v>
      </c>
      <c r="AK207" s="648">
        <v>-17.985934640167208</v>
      </c>
    </row>
    <row r="208" spans="3:37" x14ac:dyDescent="0.2">
      <c r="C208" s="646" t="s">
        <v>73</v>
      </c>
      <c r="D208" s="640">
        <v>0</v>
      </c>
      <c r="E208" s="640">
        <v>0</v>
      </c>
      <c r="F208" s="640">
        <v>0</v>
      </c>
      <c r="G208" s="640">
        <v>7.0830222331165276</v>
      </c>
      <c r="H208" s="640">
        <v>0</v>
      </c>
      <c r="I208" s="640">
        <v>0</v>
      </c>
      <c r="J208" s="640">
        <v>0</v>
      </c>
      <c r="K208" s="640">
        <v>8.2131519400701847E-2</v>
      </c>
      <c r="L208" s="640">
        <v>0</v>
      </c>
      <c r="M208" s="640">
        <v>0.14455147414523528</v>
      </c>
      <c r="N208" s="640">
        <v>0</v>
      </c>
      <c r="O208" s="640">
        <v>0</v>
      </c>
      <c r="P208" s="640">
        <v>0.90023160054861806</v>
      </c>
      <c r="Q208" s="640">
        <v>0</v>
      </c>
      <c r="R208" s="640">
        <v>-5.7492063580491291</v>
      </c>
      <c r="S208" s="648">
        <v>2.4607304691619536</v>
      </c>
      <c r="U208" s="646" t="s">
        <v>73</v>
      </c>
      <c r="V208" s="640">
        <v>0</v>
      </c>
      <c r="W208" s="640">
        <v>0</v>
      </c>
      <c r="X208" s="640">
        <v>0</v>
      </c>
      <c r="Y208" s="640">
        <v>2.5209228009552263</v>
      </c>
      <c r="Z208" s="640">
        <v>0</v>
      </c>
      <c r="AA208" s="640">
        <v>0</v>
      </c>
      <c r="AB208" s="640">
        <v>0</v>
      </c>
      <c r="AC208" s="640">
        <v>0.50418456019104518</v>
      </c>
      <c r="AD208" s="640">
        <v>0</v>
      </c>
      <c r="AE208" s="640">
        <v>2.5209228009552263</v>
      </c>
      <c r="AF208" s="640">
        <v>0</v>
      </c>
      <c r="AG208" s="640">
        <v>0</v>
      </c>
      <c r="AH208" s="640">
        <v>44.712737508757456</v>
      </c>
      <c r="AI208" s="640">
        <v>0</v>
      </c>
      <c r="AJ208" s="640">
        <v>-35.29291921337316</v>
      </c>
      <c r="AK208" s="648">
        <v>14.965848457485791</v>
      </c>
    </row>
    <row r="209" spans="3:37" x14ac:dyDescent="0.2">
      <c r="C209" s="646" t="s">
        <v>353</v>
      </c>
      <c r="D209" s="640">
        <v>28.568314687499999</v>
      </c>
      <c r="E209" s="640">
        <v>-17.390343348799608</v>
      </c>
      <c r="F209" s="640">
        <v>22.745541936068136</v>
      </c>
      <c r="G209" s="640">
        <v>0</v>
      </c>
      <c r="H209" s="640">
        <v>0</v>
      </c>
      <c r="I209" s="640">
        <v>0</v>
      </c>
      <c r="J209" s="640">
        <v>0</v>
      </c>
      <c r="K209" s="640">
        <v>0</v>
      </c>
      <c r="L209" s="640">
        <v>0</v>
      </c>
      <c r="M209" s="640">
        <v>0</v>
      </c>
      <c r="N209" s="640">
        <v>0</v>
      </c>
      <c r="O209" s="640">
        <v>0</v>
      </c>
      <c r="P209" s="640">
        <v>0</v>
      </c>
      <c r="Q209" s="640">
        <v>0</v>
      </c>
      <c r="R209" s="640">
        <v>0</v>
      </c>
      <c r="S209" s="648">
        <v>33.923513274768524</v>
      </c>
      <c r="U209" s="646" t="s">
        <v>353</v>
      </c>
      <c r="V209" s="640">
        <v>1.4001075134277343</v>
      </c>
      <c r="W209" s="640">
        <v>-6.8176938713802535</v>
      </c>
      <c r="X209" s="640">
        <v>8.9171408952922331</v>
      </c>
      <c r="Y209" s="640">
        <v>0</v>
      </c>
      <c r="Z209" s="640">
        <v>0</v>
      </c>
      <c r="AA209" s="640">
        <v>0</v>
      </c>
      <c r="AB209" s="640">
        <v>0</v>
      </c>
      <c r="AC209" s="640">
        <v>0</v>
      </c>
      <c r="AD209" s="640">
        <v>0</v>
      </c>
      <c r="AE209" s="640">
        <v>0</v>
      </c>
      <c r="AF209" s="640">
        <v>0</v>
      </c>
      <c r="AG209" s="640">
        <v>0</v>
      </c>
      <c r="AH209" s="640">
        <v>0</v>
      </c>
      <c r="AI209" s="640">
        <v>0</v>
      </c>
      <c r="AJ209" s="640">
        <v>0</v>
      </c>
      <c r="AK209" s="648">
        <v>3.4995545373397139</v>
      </c>
    </row>
    <row r="210" spans="3:37" x14ac:dyDescent="0.2">
      <c r="C210" s="646" t="s">
        <v>75</v>
      </c>
      <c r="D210" s="640">
        <v>11.109900156250001</v>
      </c>
      <c r="E210" s="640">
        <v>0</v>
      </c>
      <c r="F210" s="640">
        <v>17.0641175716937</v>
      </c>
      <c r="G210" s="640">
        <v>4.8692961376638904</v>
      </c>
      <c r="H210" s="640">
        <v>0</v>
      </c>
      <c r="I210" s="640">
        <v>0</v>
      </c>
      <c r="J210" s="640">
        <v>0</v>
      </c>
      <c r="K210" s="640">
        <v>0</v>
      </c>
      <c r="L210" s="640">
        <v>0</v>
      </c>
      <c r="M210" s="640">
        <v>9.9373390564569189E-2</v>
      </c>
      <c r="N210" s="640">
        <v>0</v>
      </c>
      <c r="O210" s="640">
        <v>0</v>
      </c>
      <c r="P210" s="640">
        <v>27.977940148174714</v>
      </c>
      <c r="Q210" s="640">
        <v>0</v>
      </c>
      <c r="R210" s="640">
        <v>0</v>
      </c>
      <c r="S210" s="648">
        <v>61.12062740434687</v>
      </c>
      <c r="U210" s="646" t="s">
        <v>75</v>
      </c>
      <c r="V210" s="640">
        <v>2.585423095703125</v>
      </c>
      <c r="W210" s="640">
        <v>0</v>
      </c>
      <c r="X210" s="640">
        <v>17.0641175716937</v>
      </c>
      <c r="Y210" s="640">
        <v>2.4843347641142297</v>
      </c>
      <c r="Z210" s="640">
        <v>0</v>
      </c>
      <c r="AA210" s="640">
        <v>0</v>
      </c>
      <c r="AB210" s="640">
        <v>0</v>
      </c>
      <c r="AC210" s="640">
        <v>0</v>
      </c>
      <c r="AD210" s="640">
        <v>0</v>
      </c>
      <c r="AE210" s="640">
        <v>2.4843347641142297</v>
      </c>
      <c r="AF210" s="640">
        <v>0</v>
      </c>
      <c r="AG210" s="640">
        <v>0</v>
      </c>
      <c r="AH210" s="640">
        <v>36.559985602720168</v>
      </c>
      <c r="AI210" s="640">
        <v>0</v>
      </c>
      <c r="AJ210" s="640">
        <v>0</v>
      </c>
      <c r="AK210" s="648">
        <v>61.178195798345449</v>
      </c>
    </row>
    <row r="211" spans="3:37" x14ac:dyDescent="0.2">
      <c r="C211" s="646" t="s">
        <v>76</v>
      </c>
      <c r="D211" s="640">
        <v>0</v>
      </c>
      <c r="E211" s="640">
        <v>0</v>
      </c>
      <c r="F211" s="640">
        <v>0</v>
      </c>
      <c r="G211" s="640">
        <v>3.7302503173667452</v>
      </c>
      <c r="H211" s="640">
        <v>0</v>
      </c>
      <c r="I211" s="640">
        <v>0</v>
      </c>
      <c r="J211" s="640">
        <v>0</v>
      </c>
      <c r="K211" s="640">
        <v>0</v>
      </c>
      <c r="L211" s="640">
        <v>0</v>
      </c>
      <c r="M211" s="640">
        <v>7.6127557497280507E-2</v>
      </c>
      <c r="N211" s="640">
        <v>0</v>
      </c>
      <c r="O211" s="640">
        <v>0</v>
      </c>
      <c r="P211" s="640">
        <v>45.919010237367587</v>
      </c>
      <c r="Q211" s="640">
        <v>2.9343505562312622</v>
      </c>
      <c r="R211" s="640">
        <v>0</v>
      </c>
      <c r="S211" s="648">
        <v>52.659738668462872</v>
      </c>
      <c r="U211" s="646" t="s">
        <v>76</v>
      </c>
      <c r="V211" s="640">
        <v>0</v>
      </c>
      <c r="W211" s="640">
        <v>0</v>
      </c>
      <c r="X211" s="640">
        <v>0</v>
      </c>
      <c r="Y211" s="640">
        <v>0.95944671778813329</v>
      </c>
      <c r="Z211" s="640">
        <v>0</v>
      </c>
      <c r="AA211" s="640">
        <v>0</v>
      </c>
      <c r="AB211" s="640">
        <v>0</v>
      </c>
      <c r="AC211" s="640">
        <v>0</v>
      </c>
      <c r="AD211" s="640">
        <v>0</v>
      </c>
      <c r="AE211" s="640">
        <v>0.95944671778813329</v>
      </c>
      <c r="AF211" s="640">
        <v>0</v>
      </c>
      <c r="AG211" s="640">
        <v>0</v>
      </c>
      <c r="AH211" s="640">
        <v>49.138117436745475</v>
      </c>
      <c r="AI211" s="640">
        <v>5.7424951548403769</v>
      </c>
      <c r="AJ211" s="640">
        <v>0</v>
      </c>
      <c r="AK211" s="648">
        <v>56.799506027162117</v>
      </c>
    </row>
    <row r="212" spans="3:37" x14ac:dyDescent="0.2">
      <c r="C212" s="644" t="s">
        <v>77</v>
      </c>
      <c r="D212" s="645">
        <v>42.505000484775252</v>
      </c>
      <c r="E212" s="645">
        <v>484.495467583368</v>
      </c>
      <c r="F212" s="645">
        <v>-449.13421563675462</v>
      </c>
      <c r="G212" s="645">
        <v>47.207234809306371</v>
      </c>
      <c r="H212" s="645">
        <v>843.18181818181824</v>
      </c>
      <c r="I212" s="645">
        <v>306.94588327561422</v>
      </c>
      <c r="J212" s="645">
        <v>75.087544766016393</v>
      </c>
      <c r="K212" s="645">
        <v>18.554763704158422</v>
      </c>
      <c r="L212" s="645">
        <v>-23.523971773378101</v>
      </c>
      <c r="M212" s="645">
        <v>-5.3154503193453246</v>
      </c>
      <c r="N212" s="645">
        <v>0</v>
      </c>
      <c r="O212" s="645">
        <v>9.1176200722123912</v>
      </c>
      <c r="P212" s="645">
        <v>-542.13274839202359</v>
      </c>
      <c r="Q212" s="645">
        <v>-34.870731395116664</v>
      </c>
      <c r="R212" s="645">
        <v>-5.7492063580491291</v>
      </c>
      <c r="S212" s="645">
        <v>766.36900900260184</v>
      </c>
      <c r="U212" s="644" t="s">
        <v>77</v>
      </c>
      <c r="V212" s="645">
        <v>4.6118455145895494</v>
      </c>
      <c r="W212" s="645">
        <v>189.94114801549574</v>
      </c>
      <c r="X212" s="645">
        <v>-164.75055368632826</v>
      </c>
      <c r="Y212" s="645">
        <v>14.771936460533603</v>
      </c>
      <c r="Z212" s="645">
        <v>842.12121212121212</v>
      </c>
      <c r="AA212" s="645">
        <v>361.66588327561419</v>
      </c>
      <c r="AB212" s="645">
        <v>138.19810981289308</v>
      </c>
      <c r="AC212" s="645">
        <v>31.958068806629939</v>
      </c>
      <c r="AD212" s="645">
        <v>-114.15604749086444</v>
      </c>
      <c r="AE212" s="645">
        <v>-66.000175998632287</v>
      </c>
      <c r="AF212" s="645">
        <v>0</v>
      </c>
      <c r="AG212" s="645">
        <v>19.568792039795159</v>
      </c>
      <c r="AH212" s="645">
        <v>-532.33908982989124</v>
      </c>
      <c r="AI212" s="645">
        <v>-68.301024235701377</v>
      </c>
      <c r="AJ212" s="645">
        <v>-31.04291921337316</v>
      </c>
      <c r="AK212" s="645">
        <v>626.24718559197242</v>
      </c>
    </row>
    <row r="213" spans="3:37" x14ac:dyDescent="0.2">
      <c r="C213" s="634"/>
      <c r="D213" s="634">
        <v>0</v>
      </c>
      <c r="E213" s="634">
        <v>0</v>
      </c>
      <c r="F213" s="634">
        <v>0</v>
      </c>
      <c r="G213" s="634">
        <v>0</v>
      </c>
      <c r="H213" s="634">
        <v>0</v>
      </c>
      <c r="I213" s="634">
        <v>0</v>
      </c>
      <c r="J213" s="634">
        <v>0</v>
      </c>
      <c r="K213" s="634">
        <v>0</v>
      </c>
      <c r="L213" s="634">
        <v>0</v>
      </c>
      <c r="M213" s="634">
        <v>0</v>
      </c>
      <c r="N213" s="634">
        <v>0</v>
      </c>
      <c r="O213" s="634">
        <v>0</v>
      </c>
      <c r="P213" s="634">
        <v>0</v>
      </c>
      <c r="Q213" s="634">
        <v>0</v>
      </c>
      <c r="R213" s="634">
        <v>0</v>
      </c>
      <c r="S213" s="634">
        <v>0</v>
      </c>
      <c r="U213" s="634"/>
      <c r="V213" s="634">
        <v>0</v>
      </c>
      <c r="W213" s="634">
        <v>0</v>
      </c>
      <c r="X213" s="634">
        <v>0</v>
      </c>
      <c r="Y213" s="634">
        <v>0</v>
      </c>
      <c r="Z213" s="634">
        <v>0</v>
      </c>
      <c r="AA213" s="634">
        <v>0</v>
      </c>
      <c r="AB213" s="634">
        <v>0</v>
      </c>
      <c r="AC213" s="634">
        <v>0</v>
      </c>
      <c r="AD213" s="634">
        <v>0</v>
      </c>
      <c r="AE213" s="634">
        <v>0</v>
      </c>
      <c r="AF213" s="634">
        <v>0</v>
      </c>
      <c r="AG213" s="634">
        <v>0</v>
      </c>
      <c r="AH213" s="634">
        <v>0</v>
      </c>
      <c r="AI213" s="634">
        <v>0</v>
      </c>
      <c r="AJ213" s="634">
        <v>0</v>
      </c>
      <c r="AK213" s="634">
        <v>0</v>
      </c>
    </row>
    <row r="214" spans="3:37" x14ac:dyDescent="0.2">
      <c r="C214" s="646" t="s">
        <v>78</v>
      </c>
      <c r="D214" s="640">
        <v>4.6398193944555786</v>
      </c>
      <c r="E214" s="640">
        <v>0</v>
      </c>
      <c r="F214" s="640">
        <v>20.598782441852151</v>
      </c>
      <c r="G214" s="640">
        <v>94.839699954986926</v>
      </c>
      <c r="H214" s="640">
        <v>0</v>
      </c>
      <c r="I214" s="640">
        <v>0</v>
      </c>
      <c r="J214" s="640">
        <v>21.821162214793436</v>
      </c>
      <c r="K214" s="640">
        <v>1.7366010173968038</v>
      </c>
      <c r="L214" s="640">
        <v>0.96096945898437491</v>
      </c>
      <c r="M214" s="640">
        <v>1.9539169420126139</v>
      </c>
      <c r="N214" s="640">
        <v>0</v>
      </c>
      <c r="O214" s="640">
        <v>3.7537634069694789E-4</v>
      </c>
      <c r="P214" s="640">
        <v>113.419965125608</v>
      </c>
      <c r="Q214" s="640">
        <v>16.150451210263412</v>
      </c>
      <c r="R214" s="640">
        <v>0.26695886230468752</v>
      </c>
      <c r="S214" s="648">
        <v>276.38870199899873</v>
      </c>
      <c r="U214" s="646" t="s">
        <v>78</v>
      </c>
      <c r="V214" s="640">
        <v>1.264986561669641</v>
      </c>
      <c r="W214" s="640">
        <v>0</v>
      </c>
      <c r="X214" s="640">
        <v>4.4259635061357878</v>
      </c>
      <c r="Y214" s="640">
        <v>33.008089674756327</v>
      </c>
      <c r="Z214" s="640">
        <v>0</v>
      </c>
      <c r="AA214" s="640">
        <v>0</v>
      </c>
      <c r="AB214" s="640">
        <v>14.926911405045434</v>
      </c>
      <c r="AC214" s="640">
        <v>4.7591564459641997</v>
      </c>
      <c r="AD214" s="640">
        <v>6.4130046386718744</v>
      </c>
      <c r="AE214" s="640">
        <v>33.02650253605492</v>
      </c>
      <c r="AF214" s="640">
        <v>0</v>
      </c>
      <c r="AG214" s="640">
        <v>3.7537634069694789E-4</v>
      </c>
      <c r="AH214" s="640">
        <v>148.98135712801343</v>
      </c>
      <c r="AI214" s="640">
        <v>24.187634778338289</v>
      </c>
      <c r="AJ214" s="640">
        <v>7.9027373046875002</v>
      </c>
      <c r="AK214" s="648">
        <v>278.8967193556781</v>
      </c>
    </row>
    <row r="215" spans="3:37" x14ac:dyDescent="0.2">
      <c r="C215" s="646" t="s">
        <v>79</v>
      </c>
      <c r="D215" s="640">
        <v>0</v>
      </c>
      <c r="E215" s="640">
        <v>0</v>
      </c>
      <c r="F215" s="640">
        <v>225.72324837131151</v>
      </c>
      <c r="G215" s="640">
        <v>31.930807664827714</v>
      </c>
      <c r="H215" s="640">
        <v>0</v>
      </c>
      <c r="I215" s="640">
        <v>0</v>
      </c>
      <c r="J215" s="640">
        <v>0</v>
      </c>
      <c r="K215" s="640">
        <v>0</v>
      </c>
      <c r="L215" s="640">
        <v>21.777356740546686</v>
      </c>
      <c r="M215" s="640">
        <v>0.65164913601689212</v>
      </c>
      <c r="N215" s="640">
        <v>0</v>
      </c>
      <c r="O215" s="640">
        <v>0</v>
      </c>
      <c r="P215" s="640">
        <v>72.885841088882287</v>
      </c>
      <c r="Q215" s="640">
        <v>0</v>
      </c>
      <c r="R215" s="640">
        <v>2.6521266956987635</v>
      </c>
      <c r="S215" s="648">
        <v>355.62102969728386</v>
      </c>
      <c r="U215" s="646" t="s">
        <v>79</v>
      </c>
      <c r="V215" s="640">
        <v>0</v>
      </c>
      <c r="W215" s="640">
        <v>0</v>
      </c>
      <c r="X215" s="640">
        <v>19.003305935487372</v>
      </c>
      <c r="Y215" s="640">
        <v>13.267062862305856</v>
      </c>
      <c r="Z215" s="640">
        <v>0</v>
      </c>
      <c r="AA215" s="640">
        <v>0</v>
      </c>
      <c r="AB215" s="640">
        <v>0</v>
      </c>
      <c r="AC215" s="640">
        <v>0</v>
      </c>
      <c r="AD215" s="640">
        <v>27.757428454399612</v>
      </c>
      <c r="AE215" s="640">
        <v>13.267062862305856</v>
      </c>
      <c r="AF215" s="640">
        <v>0</v>
      </c>
      <c r="AG215" s="640">
        <v>0</v>
      </c>
      <c r="AH215" s="640">
        <v>94.556676700547257</v>
      </c>
      <c r="AI215" s="640">
        <v>0</v>
      </c>
      <c r="AJ215" s="640">
        <v>6.3130917169295051</v>
      </c>
      <c r="AK215" s="648">
        <v>174.16462853197544</v>
      </c>
    </row>
    <row r="216" spans="3:37" x14ac:dyDescent="0.2">
      <c r="C216" s="646" t="s">
        <v>80</v>
      </c>
      <c r="D216" s="640">
        <v>0</v>
      </c>
      <c r="E216" s="640">
        <v>0</v>
      </c>
      <c r="F216" s="640">
        <v>11.075929176351762</v>
      </c>
      <c r="G216" s="640">
        <v>76.664751333295058</v>
      </c>
      <c r="H216" s="640">
        <v>0</v>
      </c>
      <c r="I216" s="640">
        <v>0</v>
      </c>
      <c r="J216" s="640">
        <v>88.320247059496523</v>
      </c>
      <c r="K216" s="640">
        <v>0</v>
      </c>
      <c r="L216" s="640">
        <v>0</v>
      </c>
      <c r="M216" s="640">
        <v>1.5645867619039808</v>
      </c>
      <c r="N216" s="640">
        <v>59.616390446150973</v>
      </c>
      <c r="O216" s="640">
        <v>2.0734984243972754</v>
      </c>
      <c r="P216" s="640">
        <v>190.93239321884863</v>
      </c>
      <c r="Q216" s="640">
        <v>15.360003531773184</v>
      </c>
      <c r="R216" s="640">
        <v>0</v>
      </c>
      <c r="S216" s="648">
        <v>445.60779995221742</v>
      </c>
      <c r="U216" s="646" t="s">
        <v>80</v>
      </c>
      <c r="V216" s="640">
        <v>0</v>
      </c>
      <c r="W216" s="640">
        <v>0</v>
      </c>
      <c r="X216" s="640">
        <v>0.97925934500211753</v>
      </c>
      <c r="Y216" s="640">
        <v>9.8253088649292142</v>
      </c>
      <c r="Z216" s="640">
        <v>0</v>
      </c>
      <c r="AA216" s="640">
        <v>0</v>
      </c>
      <c r="AB216" s="640">
        <v>50.204880630535357</v>
      </c>
      <c r="AC216" s="640">
        <v>0</v>
      </c>
      <c r="AD216" s="640">
        <v>0</v>
      </c>
      <c r="AE216" s="640">
        <v>9.8253088649292142</v>
      </c>
      <c r="AF216" s="640">
        <v>95.02342184325245</v>
      </c>
      <c r="AG216" s="640">
        <v>4.208312775429496</v>
      </c>
      <c r="AH216" s="640">
        <v>144.38732956018927</v>
      </c>
      <c r="AI216" s="640">
        <v>30.75075127630511</v>
      </c>
      <c r="AJ216" s="640">
        <v>0</v>
      </c>
      <c r="AK216" s="648">
        <v>345.20457316057224</v>
      </c>
    </row>
    <row r="217" spans="3:37" x14ac:dyDescent="0.2">
      <c r="C217" s="646" t="s">
        <v>81</v>
      </c>
      <c r="D217" s="640">
        <v>0</v>
      </c>
      <c r="E217" s="640">
        <v>0</v>
      </c>
      <c r="F217" s="640">
        <v>2.6743117433405894</v>
      </c>
      <c r="G217" s="640">
        <v>62.987223173923248</v>
      </c>
      <c r="H217" s="640">
        <v>0</v>
      </c>
      <c r="I217" s="640">
        <v>0</v>
      </c>
      <c r="J217" s="640">
        <v>3.1384766478070549</v>
      </c>
      <c r="K217" s="640">
        <v>2.5274117631643136E-2</v>
      </c>
      <c r="L217" s="640">
        <v>0</v>
      </c>
      <c r="M217" s="640">
        <v>1.2854535341616988</v>
      </c>
      <c r="N217" s="640">
        <v>8.34801759276524</v>
      </c>
      <c r="O217" s="640">
        <v>0.71507622546549865</v>
      </c>
      <c r="P217" s="640">
        <v>142.0321146826426</v>
      </c>
      <c r="Q217" s="640">
        <v>3.3602766530800707</v>
      </c>
      <c r="R217" s="640">
        <v>0</v>
      </c>
      <c r="S217" s="648">
        <v>224.56622437081765</v>
      </c>
      <c r="U217" s="646" t="s">
        <v>81</v>
      </c>
      <c r="V217" s="640">
        <v>0</v>
      </c>
      <c r="W217" s="640">
        <v>0</v>
      </c>
      <c r="X217" s="640">
        <v>1.2256055704751125</v>
      </c>
      <c r="Y217" s="640">
        <v>7.2918833253665882</v>
      </c>
      <c r="Z217" s="640">
        <v>0</v>
      </c>
      <c r="AA217" s="640">
        <v>0</v>
      </c>
      <c r="AB217" s="640">
        <v>6.8658928642747856</v>
      </c>
      <c r="AC217" s="640">
        <v>2.5274117631643136E-2</v>
      </c>
      <c r="AD217" s="640">
        <v>0</v>
      </c>
      <c r="AE217" s="640">
        <v>7.2918833253665882</v>
      </c>
      <c r="AF217" s="640">
        <v>14.828462979838848</v>
      </c>
      <c r="AG217" s="640">
        <v>1.5197231438340593</v>
      </c>
      <c r="AH217" s="640">
        <v>114.40426288608282</v>
      </c>
      <c r="AI217" s="640">
        <v>13.362638181057982</v>
      </c>
      <c r="AJ217" s="640">
        <v>0</v>
      </c>
      <c r="AK217" s="648">
        <v>166.8156263939284</v>
      </c>
    </row>
    <row r="218" spans="3:37" x14ac:dyDescent="0.2">
      <c r="C218" s="646" t="s">
        <v>82</v>
      </c>
      <c r="D218" s="640">
        <v>0</v>
      </c>
      <c r="E218" s="640">
        <v>0</v>
      </c>
      <c r="F218" s="640">
        <v>27.931723909553636</v>
      </c>
      <c r="G218" s="640">
        <v>0.95472649492283324</v>
      </c>
      <c r="H218" s="640">
        <v>0</v>
      </c>
      <c r="I218" s="640">
        <v>0</v>
      </c>
      <c r="J218" s="640">
        <v>4.6306119511950978</v>
      </c>
      <c r="K218" s="640">
        <v>0</v>
      </c>
      <c r="L218" s="640">
        <v>3.1934862443619529</v>
      </c>
      <c r="M218" s="640">
        <v>1.9484214182098638E-2</v>
      </c>
      <c r="N218" s="640">
        <v>0</v>
      </c>
      <c r="O218" s="640">
        <v>6.6456137421005312E-2</v>
      </c>
      <c r="P218" s="640">
        <v>5.7660712732306445</v>
      </c>
      <c r="Q218" s="640">
        <v>0</v>
      </c>
      <c r="R218" s="640">
        <v>0</v>
      </c>
      <c r="S218" s="648">
        <v>42.562560224867276</v>
      </c>
      <c r="U218" s="646" t="s">
        <v>82</v>
      </c>
      <c r="V218" s="640">
        <v>0</v>
      </c>
      <c r="W218" s="640">
        <v>0</v>
      </c>
      <c r="X218" s="640">
        <v>3.5775053425595864</v>
      </c>
      <c r="Y218" s="640">
        <v>0.56393102033742082</v>
      </c>
      <c r="Z218" s="640">
        <v>0</v>
      </c>
      <c r="AA218" s="640">
        <v>0</v>
      </c>
      <c r="AB218" s="640">
        <v>4.6306119511950978</v>
      </c>
      <c r="AC218" s="640">
        <v>0</v>
      </c>
      <c r="AD218" s="640">
        <v>32.861113305842508</v>
      </c>
      <c r="AE218" s="640">
        <v>0.56393102033742082</v>
      </c>
      <c r="AF218" s="640">
        <v>0</v>
      </c>
      <c r="AG218" s="640">
        <v>1.7440136932478227</v>
      </c>
      <c r="AH218" s="640">
        <v>5.8866318405152116</v>
      </c>
      <c r="AI218" s="640">
        <v>0</v>
      </c>
      <c r="AJ218" s="640">
        <v>0.38427420359697795</v>
      </c>
      <c r="AK218" s="648">
        <v>50.21201237763205</v>
      </c>
    </row>
    <row r="219" spans="3:37" x14ac:dyDescent="0.2">
      <c r="C219" s="646" t="s">
        <v>354</v>
      </c>
      <c r="D219" s="640">
        <v>0</v>
      </c>
      <c r="E219" s="640">
        <v>0</v>
      </c>
      <c r="F219" s="640">
        <v>0</v>
      </c>
      <c r="G219" s="640">
        <v>0</v>
      </c>
      <c r="H219" s="640">
        <v>0</v>
      </c>
      <c r="I219" s="640">
        <v>0</v>
      </c>
      <c r="J219" s="640">
        <v>0</v>
      </c>
      <c r="K219" s="640">
        <v>0</v>
      </c>
      <c r="L219" s="640">
        <v>0</v>
      </c>
      <c r="M219" s="640">
        <v>0</v>
      </c>
      <c r="N219" s="640">
        <v>0</v>
      </c>
      <c r="O219" s="640">
        <v>0</v>
      </c>
      <c r="P219" s="640">
        <v>0.39</v>
      </c>
      <c r="Q219" s="640">
        <v>0</v>
      </c>
      <c r="R219" s="640">
        <v>0</v>
      </c>
      <c r="S219" s="648">
        <v>0.39</v>
      </c>
      <c r="U219" s="646" t="s">
        <v>354</v>
      </c>
      <c r="V219" s="640">
        <v>0</v>
      </c>
      <c r="W219" s="640">
        <v>0</v>
      </c>
      <c r="X219" s="640">
        <v>0</v>
      </c>
      <c r="Y219" s="640">
        <v>0</v>
      </c>
      <c r="Z219" s="640">
        <v>0</v>
      </c>
      <c r="AA219" s="640">
        <v>0</v>
      </c>
      <c r="AB219" s="640">
        <v>0</v>
      </c>
      <c r="AC219" s="640">
        <v>0</v>
      </c>
      <c r="AD219" s="640">
        <v>0</v>
      </c>
      <c r="AE219" s="640">
        <v>0</v>
      </c>
      <c r="AF219" s="640">
        <v>0</v>
      </c>
      <c r="AG219" s="640">
        <v>0</v>
      </c>
      <c r="AH219" s="640">
        <v>3.5999999999999996</v>
      </c>
      <c r="AI219" s="640">
        <v>0</v>
      </c>
      <c r="AJ219" s="640">
        <v>0</v>
      </c>
      <c r="AK219" s="648">
        <v>3.5999999999999996</v>
      </c>
    </row>
    <row r="220" spans="3:37" x14ac:dyDescent="0.2">
      <c r="C220" s="644" t="s">
        <v>83</v>
      </c>
      <c r="D220" s="645">
        <v>4.6398193944555786</v>
      </c>
      <c r="E220" s="645">
        <v>0</v>
      </c>
      <c r="F220" s="645">
        <v>288.00399564240968</v>
      </c>
      <c r="G220" s="645">
        <v>267.37720862195579</v>
      </c>
      <c r="H220" s="645">
        <v>0</v>
      </c>
      <c r="I220" s="645">
        <v>0</v>
      </c>
      <c r="J220" s="645">
        <v>117.91049787329212</v>
      </c>
      <c r="K220" s="645">
        <v>1.7618751350284469</v>
      </c>
      <c r="L220" s="645">
        <v>25.931812443893016</v>
      </c>
      <c r="M220" s="645">
        <v>5.4750905882772853</v>
      </c>
      <c r="N220" s="645">
        <v>67.964408038916218</v>
      </c>
      <c r="O220" s="645">
        <v>2.8554061636244761</v>
      </c>
      <c r="P220" s="645">
        <v>525.4263853892121</v>
      </c>
      <c r="Q220" s="645">
        <v>34.870731395116664</v>
      </c>
      <c r="R220" s="645">
        <v>2.9190855580034509</v>
      </c>
      <c r="S220" s="645">
        <v>1345.1363162441851</v>
      </c>
      <c r="U220" s="644" t="s">
        <v>83</v>
      </c>
      <c r="V220" s="645">
        <v>1.264986561669641</v>
      </c>
      <c r="W220" s="645">
        <v>0</v>
      </c>
      <c r="X220" s="645">
        <v>29.211639699659976</v>
      </c>
      <c r="Y220" s="645">
        <v>63.956275747695408</v>
      </c>
      <c r="Z220" s="645">
        <v>0</v>
      </c>
      <c r="AA220" s="645">
        <v>0</v>
      </c>
      <c r="AB220" s="645">
        <v>76.628296851050663</v>
      </c>
      <c r="AC220" s="645">
        <v>4.7844305635958433</v>
      </c>
      <c r="AD220" s="645">
        <v>67.031546398914003</v>
      </c>
      <c r="AE220" s="645">
        <v>63.974688608994001</v>
      </c>
      <c r="AF220" s="645">
        <v>109.8518848230913</v>
      </c>
      <c r="AG220" s="645">
        <v>7.4724249888520751</v>
      </c>
      <c r="AH220" s="645">
        <v>511.81625811534803</v>
      </c>
      <c r="AI220" s="645">
        <v>68.301024235701377</v>
      </c>
      <c r="AJ220" s="645">
        <v>14.600103225213982</v>
      </c>
      <c r="AK220" s="645">
        <v>1018.8935598197862</v>
      </c>
    </row>
    <row r="221" spans="3:37" x14ac:dyDescent="0.2">
      <c r="C221" s="639" t="s">
        <v>84</v>
      </c>
      <c r="D221" s="640">
        <v>0</v>
      </c>
      <c r="E221" s="640">
        <v>0</v>
      </c>
      <c r="F221" s="640">
        <v>104.91003257681685</v>
      </c>
      <c r="G221" s="640">
        <v>11.505661507854215</v>
      </c>
      <c r="H221" s="640">
        <v>0</v>
      </c>
      <c r="I221" s="640">
        <v>0</v>
      </c>
      <c r="J221" s="640">
        <v>0</v>
      </c>
      <c r="K221" s="640">
        <v>0</v>
      </c>
      <c r="L221" s="640">
        <v>0</v>
      </c>
      <c r="M221" s="640">
        <v>0</v>
      </c>
      <c r="N221" s="640">
        <v>0</v>
      </c>
      <c r="O221" s="640">
        <v>0</v>
      </c>
      <c r="P221" s="640">
        <v>0</v>
      </c>
      <c r="Q221" s="640">
        <v>0</v>
      </c>
      <c r="R221" s="640">
        <v>2.8301208000456781</v>
      </c>
      <c r="S221" s="648">
        <v>119.24581488471674</v>
      </c>
      <c r="U221" s="639" t="s">
        <v>84</v>
      </c>
      <c r="V221" s="640">
        <v>0</v>
      </c>
      <c r="W221" s="640">
        <v>0</v>
      </c>
      <c r="X221" s="640">
        <v>70.401025384734808</v>
      </c>
      <c r="Y221" s="640">
        <v>0.81519182748409058</v>
      </c>
      <c r="Z221" s="640">
        <v>0</v>
      </c>
      <c r="AA221" s="640">
        <v>0</v>
      </c>
      <c r="AB221" s="640">
        <v>0</v>
      </c>
      <c r="AC221" s="640">
        <v>0</v>
      </c>
      <c r="AD221" s="640">
        <v>24.563190847778323</v>
      </c>
      <c r="AE221" s="640">
        <v>0</v>
      </c>
      <c r="AF221" s="640">
        <v>0</v>
      </c>
      <c r="AG221" s="640">
        <v>0</v>
      </c>
      <c r="AH221" s="640">
        <v>0</v>
      </c>
      <c r="AI221" s="640">
        <v>0</v>
      </c>
      <c r="AJ221" s="640">
        <v>16.442815988159179</v>
      </c>
      <c r="AK221" s="648">
        <v>112.22222404815641</v>
      </c>
    </row>
    <row r="222" spans="3:37" x14ac:dyDescent="0.2">
      <c r="C222" s="644" t="s">
        <v>85</v>
      </c>
      <c r="D222" s="645">
        <v>4.6398193944555786</v>
      </c>
      <c r="E222" s="645">
        <v>0</v>
      </c>
      <c r="F222" s="645">
        <v>392.91402821922651</v>
      </c>
      <c r="G222" s="645">
        <v>278.88287012980999</v>
      </c>
      <c r="H222" s="645">
        <v>0</v>
      </c>
      <c r="I222" s="645">
        <v>0</v>
      </c>
      <c r="J222" s="645">
        <v>117.91049787329212</v>
      </c>
      <c r="K222" s="645">
        <v>1.7618751350284469</v>
      </c>
      <c r="L222" s="645">
        <v>25.931812443893016</v>
      </c>
      <c r="M222" s="645">
        <v>5.4750905882772853</v>
      </c>
      <c r="N222" s="645">
        <v>67.964408038916218</v>
      </c>
      <c r="O222" s="645">
        <v>2.8554061636244761</v>
      </c>
      <c r="P222" s="645">
        <v>525.4263853892121</v>
      </c>
      <c r="Q222" s="645">
        <v>34.870731395116664</v>
      </c>
      <c r="R222" s="645">
        <v>5.7492063580491291</v>
      </c>
      <c r="S222" s="645">
        <v>1464.3821311289018</v>
      </c>
      <c r="U222" s="644" t="s">
        <v>85</v>
      </c>
      <c r="V222" s="645">
        <v>1.264986561669641</v>
      </c>
      <c r="W222" s="645">
        <v>0</v>
      </c>
      <c r="X222" s="645">
        <v>99.612665084394791</v>
      </c>
      <c r="Y222" s="645">
        <v>64.7714675751795</v>
      </c>
      <c r="Z222" s="645">
        <v>0</v>
      </c>
      <c r="AA222" s="645">
        <v>0</v>
      </c>
      <c r="AB222" s="645">
        <v>76.628296851050663</v>
      </c>
      <c r="AC222" s="645">
        <v>4.7844305635958433</v>
      </c>
      <c r="AD222" s="645">
        <v>91.594737246692318</v>
      </c>
      <c r="AE222" s="645">
        <v>63.974688608994001</v>
      </c>
      <c r="AF222" s="645">
        <v>109.8518848230913</v>
      </c>
      <c r="AG222" s="645">
        <v>7.4724249888520751</v>
      </c>
      <c r="AH222" s="645">
        <v>511.81625811534803</v>
      </c>
      <c r="AI222" s="645">
        <v>68.301024235701377</v>
      </c>
      <c r="AJ222" s="645">
        <v>31.04291921337316</v>
      </c>
      <c r="AK222" s="645">
        <v>1131.1157838679426</v>
      </c>
    </row>
    <row r="223" spans="3:37" x14ac:dyDescent="0.2">
      <c r="C223" s="634"/>
      <c r="D223" s="634"/>
      <c r="E223" s="634"/>
      <c r="F223" s="634"/>
      <c r="G223" s="634"/>
      <c r="H223" s="634"/>
      <c r="I223" s="634"/>
      <c r="J223" s="634"/>
      <c r="K223" s="634"/>
      <c r="L223" s="634"/>
      <c r="M223" s="634"/>
      <c r="N223" s="634"/>
      <c r="O223" s="634"/>
      <c r="P223" s="634"/>
      <c r="Q223" s="634"/>
      <c r="R223" s="634"/>
      <c r="S223" s="634"/>
      <c r="U223" s="634"/>
      <c r="V223" s="634"/>
      <c r="W223" s="634"/>
      <c r="X223" s="634"/>
      <c r="Y223" s="634"/>
      <c r="Z223" s="634"/>
      <c r="AA223" s="634"/>
      <c r="AB223" s="634"/>
      <c r="AC223" s="634"/>
      <c r="AD223" s="634"/>
      <c r="AE223" s="634"/>
      <c r="AF223" s="634"/>
      <c r="AG223" s="634"/>
      <c r="AH223" s="634"/>
      <c r="AI223" s="634"/>
      <c r="AJ223" s="634"/>
      <c r="AK223" s="634"/>
    </row>
    <row r="224" spans="3:37" ht="22.5" x14ac:dyDescent="0.3">
      <c r="C224" s="759" t="s">
        <v>89</v>
      </c>
      <c r="D224" s="759"/>
      <c r="E224" s="759"/>
      <c r="F224" s="759"/>
      <c r="G224" s="759"/>
      <c r="H224" s="759"/>
      <c r="I224" s="759"/>
      <c r="J224" s="759"/>
      <c r="K224" s="759"/>
      <c r="L224" s="759"/>
      <c r="M224" s="759"/>
      <c r="N224" s="759"/>
      <c r="O224" s="759"/>
      <c r="P224" s="759"/>
      <c r="Q224" s="759"/>
      <c r="R224" s="759"/>
      <c r="S224" s="759"/>
      <c r="U224" s="759" t="s">
        <v>89</v>
      </c>
      <c r="V224" s="759"/>
      <c r="W224" s="759"/>
      <c r="X224" s="759"/>
      <c r="Y224" s="759"/>
      <c r="Z224" s="759"/>
      <c r="AA224" s="759"/>
      <c r="AB224" s="759"/>
      <c r="AC224" s="759"/>
      <c r="AD224" s="759"/>
      <c r="AE224" s="759"/>
      <c r="AF224" s="759"/>
      <c r="AG224" s="759"/>
      <c r="AH224" s="759"/>
      <c r="AI224" s="759"/>
      <c r="AJ224" s="759"/>
      <c r="AK224" s="759"/>
    </row>
    <row r="225" spans="3:37" x14ac:dyDescent="0.2">
      <c r="C225" s="634"/>
      <c r="D225" s="634"/>
      <c r="E225" s="634"/>
      <c r="F225" s="634"/>
      <c r="G225" s="634"/>
      <c r="H225" s="634"/>
      <c r="I225" s="634"/>
      <c r="J225" s="634"/>
      <c r="K225" s="634"/>
      <c r="L225" s="634"/>
      <c r="M225" s="634"/>
      <c r="N225" s="634"/>
      <c r="O225" s="634"/>
      <c r="P225" s="634"/>
      <c r="Q225" s="634"/>
      <c r="R225" s="634"/>
      <c r="S225" s="634"/>
      <c r="U225" s="634"/>
      <c r="V225" s="634"/>
      <c r="W225" s="634"/>
      <c r="X225" s="634"/>
      <c r="Y225" s="634"/>
      <c r="Z225" s="634"/>
      <c r="AA225" s="634"/>
      <c r="AB225" s="634"/>
      <c r="AC225" s="634"/>
      <c r="AD225" s="634"/>
      <c r="AE225" s="634"/>
      <c r="AF225" s="634"/>
      <c r="AG225" s="634"/>
      <c r="AH225" s="634"/>
      <c r="AI225" s="634"/>
      <c r="AJ225" s="634"/>
      <c r="AK225" s="634"/>
    </row>
    <row r="226" spans="3:37" ht="12.95" customHeight="1" x14ac:dyDescent="0.2">
      <c r="C226" s="758" t="s">
        <v>128</v>
      </c>
      <c r="D226" s="757" t="s">
        <v>42</v>
      </c>
      <c r="E226" s="757" t="s">
        <v>52</v>
      </c>
      <c r="F226" s="757" t="s">
        <v>53</v>
      </c>
      <c r="G226" s="757" t="s">
        <v>32</v>
      </c>
      <c r="H226" s="757" t="s">
        <v>20</v>
      </c>
      <c r="I226" s="757" t="s">
        <v>55</v>
      </c>
      <c r="J226" s="757" t="s">
        <v>56</v>
      </c>
      <c r="K226" s="757"/>
      <c r="L226" s="757"/>
      <c r="M226" s="757"/>
      <c r="N226" s="757"/>
      <c r="O226" s="757"/>
      <c r="P226" s="757" t="s">
        <v>57</v>
      </c>
      <c r="Q226" s="757" t="s">
        <v>58</v>
      </c>
      <c r="R226" s="757" t="s">
        <v>31</v>
      </c>
      <c r="S226" s="757" t="s">
        <v>10</v>
      </c>
      <c r="U226" s="758" t="s">
        <v>128</v>
      </c>
      <c r="V226" s="757" t="s">
        <v>42</v>
      </c>
      <c r="W226" s="757" t="s">
        <v>52</v>
      </c>
      <c r="X226" s="757" t="s">
        <v>53</v>
      </c>
      <c r="Y226" s="757" t="s">
        <v>32</v>
      </c>
      <c r="Z226" s="757" t="s">
        <v>20</v>
      </c>
      <c r="AA226" s="757" t="s">
        <v>55</v>
      </c>
      <c r="AB226" s="757" t="s">
        <v>56</v>
      </c>
      <c r="AC226" s="757"/>
      <c r="AD226" s="757"/>
      <c r="AE226" s="757"/>
      <c r="AF226" s="757"/>
      <c r="AG226" s="757"/>
      <c r="AH226" s="757" t="s">
        <v>57</v>
      </c>
      <c r="AI226" s="757" t="s">
        <v>58</v>
      </c>
      <c r="AJ226" s="757" t="s">
        <v>31</v>
      </c>
      <c r="AK226" s="757" t="s">
        <v>10</v>
      </c>
    </row>
    <row r="227" spans="3:37" ht="56.25" x14ac:dyDescent="0.2">
      <c r="C227" s="758"/>
      <c r="D227" s="757"/>
      <c r="E227" s="757"/>
      <c r="F227" s="757"/>
      <c r="G227" s="757"/>
      <c r="H227" s="757"/>
      <c r="I227" s="757"/>
      <c r="J227" s="638" t="s">
        <v>335</v>
      </c>
      <c r="K227" s="638" t="s">
        <v>40</v>
      </c>
      <c r="L227" s="638" t="s">
        <v>343</v>
      </c>
      <c r="M227" s="638" t="s">
        <v>344</v>
      </c>
      <c r="N227" s="638" t="s">
        <v>345</v>
      </c>
      <c r="O227" s="638" t="s">
        <v>346</v>
      </c>
      <c r="P227" s="757"/>
      <c r="Q227" s="757"/>
      <c r="R227" s="757"/>
      <c r="S227" s="757"/>
      <c r="U227" s="758"/>
      <c r="V227" s="757"/>
      <c r="W227" s="757"/>
      <c r="X227" s="757"/>
      <c r="Y227" s="757"/>
      <c r="Z227" s="757"/>
      <c r="AA227" s="757"/>
      <c r="AB227" s="638" t="s">
        <v>335</v>
      </c>
      <c r="AC227" s="638" t="s">
        <v>40</v>
      </c>
      <c r="AD227" s="638" t="s">
        <v>343</v>
      </c>
      <c r="AE227" s="638" t="s">
        <v>344</v>
      </c>
      <c r="AF227" s="638" t="s">
        <v>345</v>
      </c>
      <c r="AG227" s="638" t="s">
        <v>346</v>
      </c>
      <c r="AH227" s="757"/>
      <c r="AI227" s="757"/>
      <c r="AJ227" s="757"/>
      <c r="AK227" s="757"/>
    </row>
    <row r="228" spans="3:37" x14ac:dyDescent="0.2">
      <c r="C228" s="639" t="s">
        <v>59</v>
      </c>
      <c r="D228" s="640">
        <v>0</v>
      </c>
      <c r="E228" s="641">
        <v>0</v>
      </c>
      <c r="F228" s="641">
        <v>0</v>
      </c>
      <c r="G228" s="640">
        <v>0</v>
      </c>
      <c r="H228" s="641">
        <v>727.27272727272737</v>
      </c>
      <c r="I228" s="641">
        <v>338.37995078139568</v>
      </c>
      <c r="J228" s="641">
        <v>185.12606679296266</v>
      </c>
      <c r="K228" s="641">
        <v>19.887492227897642</v>
      </c>
      <c r="L228" s="641">
        <v>0.67629573379861951</v>
      </c>
      <c r="M228" s="641">
        <v>0.16041590589481752</v>
      </c>
      <c r="N228" s="641">
        <v>75.083762899489528</v>
      </c>
      <c r="O228" s="641">
        <v>12.515766779598991</v>
      </c>
      <c r="P228" s="642">
        <v>0</v>
      </c>
      <c r="Q228" s="641">
        <v>0</v>
      </c>
      <c r="R228" s="641">
        <v>0</v>
      </c>
      <c r="S228" s="643">
        <v>1359.1024783937653</v>
      </c>
      <c r="U228" s="639" t="s">
        <v>59</v>
      </c>
      <c r="V228" s="640">
        <v>0</v>
      </c>
      <c r="W228" s="641">
        <v>0</v>
      </c>
      <c r="X228" s="641">
        <v>0</v>
      </c>
      <c r="Y228" s="640">
        <v>0</v>
      </c>
      <c r="Z228" s="641">
        <v>764.84848484848499</v>
      </c>
      <c r="AA228" s="641">
        <v>423.19995078139567</v>
      </c>
      <c r="AB228" s="641">
        <v>256.09062969225096</v>
      </c>
      <c r="AC228" s="641">
        <v>36.108430969743218</v>
      </c>
      <c r="AD228" s="641">
        <v>0.67629573379861951</v>
      </c>
      <c r="AE228" s="641">
        <v>0.16041590589481752</v>
      </c>
      <c r="AF228" s="641">
        <v>123.16818516374138</v>
      </c>
      <c r="AG228" s="641">
        <v>30.250193334526926</v>
      </c>
      <c r="AH228" s="642">
        <v>0</v>
      </c>
      <c r="AI228" s="641">
        <v>0</v>
      </c>
      <c r="AJ228" s="641">
        <v>0</v>
      </c>
      <c r="AK228" s="643">
        <v>1634.5025864298366</v>
      </c>
    </row>
    <row r="229" spans="3:37" x14ac:dyDescent="0.2">
      <c r="C229" s="639" t="s">
        <v>60</v>
      </c>
      <c r="D229" s="640">
        <v>46.099891323621534</v>
      </c>
      <c r="E229" s="641">
        <v>464.7986487</v>
      </c>
      <c r="F229" s="641">
        <v>48.534128715927544</v>
      </c>
      <c r="G229" s="640">
        <v>345.55093723566335</v>
      </c>
      <c r="H229" s="641">
        <v>0</v>
      </c>
      <c r="I229" s="641">
        <v>0</v>
      </c>
      <c r="J229" s="641">
        <v>5.7213435879484642</v>
      </c>
      <c r="K229" s="641">
        <v>0</v>
      </c>
      <c r="L229" s="641">
        <v>3.0565993326094723</v>
      </c>
      <c r="M229" s="641">
        <v>0</v>
      </c>
      <c r="N229" s="641">
        <v>0</v>
      </c>
      <c r="O229" s="641">
        <v>0</v>
      </c>
      <c r="P229" s="642">
        <v>0</v>
      </c>
      <c r="Q229" s="641">
        <v>0</v>
      </c>
      <c r="R229" s="641">
        <v>0</v>
      </c>
      <c r="S229" s="643">
        <v>913.76154889577037</v>
      </c>
      <c r="U229" s="639" t="s">
        <v>60</v>
      </c>
      <c r="V229" s="640">
        <v>4.5871215860372576</v>
      </c>
      <c r="W229" s="641">
        <v>113.59926767676768</v>
      </c>
      <c r="X229" s="641">
        <v>20.138935454909394</v>
      </c>
      <c r="Y229" s="640">
        <v>0.51452681198611927</v>
      </c>
      <c r="Z229" s="641">
        <v>0</v>
      </c>
      <c r="AA229" s="641">
        <v>0</v>
      </c>
      <c r="AB229" s="641">
        <v>5.7213435879484642</v>
      </c>
      <c r="AC229" s="641">
        <v>0</v>
      </c>
      <c r="AD229" s="641">
        <v>3.0565993326094723</v>
      </c>
      <c r="AE229" s="641">
        <v>0</v>
      </c>
      <c r="AF229" s="641">
        <v>0</v>
      </c>
      <c r="AG229" s="641">
        <v>0</v>
      </c>
      <c r="AH229" s="642">
        <v>0</v>
      </c>
      <c r="AI229" s="641">
        <v>0</v>
      </c>
      <c r="AJ229" s="641">
        <v>0</v>
      </c>
      <c r="AK229" s="643">
        <v>147.6177944502584</v>
      </c>
    </row>
    <row r="230" spans="3:37" x14ac:dyDescent="0.2">
      <c r="C230" s="639" t="s">
        <v>61</v>
      </c>
      <c r="D230" s="640">
        <v>0</v>
      </c>
      <c r="E230" s="641">
        <v>0</v>
      </c>
      <c r="F230" s="641">
        <v>0</v>
      </c>
      <c r="G230" s="640">
        <v>0</v>
      </c>
      <c r="H230" s="641">
        <v>0</v>
      </c>
      <c r="I230" s="641">
        <v>0</v>
      </c>
      <c r="J230" s="641">
        <v>0</v>
      </c>
      <c r="K230" s="641">
        <v>0</v>
      </c>
      <c r="L230" s="641">
        <v>0</v>
      </c>
      <c r="M230" s="641">
        <v>0</v>
      </c>
      <c r="N230" s="641">
        <v>0</v>
      </c>
      <c r="O230" s="641">
        <v>0</v>
      </c>
      <c r="P230" s="642">
        <v>-12.7985093299136</v>
      </c>
      <c r="Q230" s="641">
        <v>0</v>
      </c>
      <c r="R230" s="641">
        <v>0</v>
      </c>
      <c r="S230" s="643">
        <v>-12.7985093299136</v>
      </c>
      <c r="U230" s="639" t="s">
        <v>61</v>
      </c>
      <c r="V230" s="640">
        <v>0</v>
      </c>
      <c r="W230" s="641">
        <v>0</v>
      </c>
      <c r="X230" s="641">
        <v>0</v>
      </c>
      <c r="Y230" s="640">
        <v>0</v>
      </c>
      <c r="Z230" s="641">
        <v>0</v>
      </c>
      <c r="AA230" s="641">
        <v>0</v>
      </c>
      <c r="AB230" s="641">
        <v>0</v>
      </c>
      <c r="AC230" s="641">
        <v>0</v>
      </c>
      <c r="AD230" s="641">
        <v>0</v>
      </c>
      <c r="AE230" s="641">
        <v>0</v>
      </c>
      <c r="AF230" s="641">
        <v>0</v>
      </c>
      <c r="AG230" s="641">
        <v>0</v>
      </c>
      <c r="AH230" s="642">
        <v>-41.639986107117011</v>
      </c>
      <c r="AI230" s="641">
        <v>0</v>
      </c>
      <c r="AJ230" s="641">
        <v>0</v>
      </c>
      <c r="AK230" s="643">
        <v>-41.639986107117011</v>
      </c>
    </row>
    <row r="231" spans="3:37" x14ac:dyDescent="0.2">
      <c r="C231" s="639" t="s">
        <v>62</v>
      </c>
      <c r="D231" s="640">
        <v>0</v>
      </c>
      <c r="E231" s="641">
        <v>0</v>
      </c>
      <c r="F231" s="641">
        <v>-14.431507774067331</v>
      </c>
      <c r="G231" s="640">
        <v>0</v>
      </c>
      <c r="H231" s="641">
        <v>0</v>
      </c>
      <c r="I231" s="641">
        <v>0</v>
      </c>
      <c r="J231" s="641">
        <v>0</v>
      </c>
      <c r="K231" s="641">
        <v>0</v>
      </c>
      <c r="L231" s="641">
        <v>0</v>
      </c>
      <c r="M231" s="641">
        <v>0</v>
      </c>
      <c r="N231" s="641">
        <v>0</v>
      </c>
      <c r="O231" s="641">
        <v>0</v>
      </c>
      <c r="P231" s="642">
        <v>0</v>
      </c>
      <c r="Q231" s="641">
        <v>0</v>
      </c>
      <c r="R231" s="641">
        <v>0</v>
      </c>
      <c r="S231" s="643">
        <v>-14.431507774067331</v>
      </c>
      <c r="U231" s="639" t="s">
        <v>62</v>
      </c>
      <c r="V231" s="640">
        <v>0</v>
      </c>
      <c r="W231" s="641">
        <v>0</v>
      </c>
      <c r="X231" s="641">
        <v>-5.3013702027186111</v>
      </c>
      <c r="Y231" s="640">
        <v>0</v>
      </c>
      <c r="Z231" s="641">
        <v>0</v>
      </c>
      <c r="AA231" s="641">
        <v>0</v>
      </c>
      <c r="AB231" s="641">
        <v>0</v>
      </c>
      <c r="AC231" s="641">
        <v>0</v>
      </c>
      <c r="AD231" s="641">
        <v>0</v>
      </c>
      <c r="AE231" s="641">
        <v>-5.1137296191648005</v>
      </c>
      <c r="AF231" s="641">
        <v>0</v>
      </c>
      <c r="AG231" s="641">
        <v>0</v>
      </c>
      <c r="AH231" s="642">
        <v>0</v>
      </c>
      <c r="AI231" s="641">
        <v>0</v>
      </c>
      <c r="AJ231" s="641">
        <v>0</v>
      </c>
      <c r="AK231" s="643">
        <v>-10.415099821883413</v>
      </c>
    </row>
    <row r="232" spans="3:37" x14ac:dyDescent="0.2">
      <c r="C232" s="639" t="s">
        <v>63</v>
      </c>
      <c r="D232" s="640">
        <v>0</v>
      </c>
      <c r="E232" s="641">
        <v>0</v>
      </c>
      <c r="F232" s="641">
        <v>-93.443844381495637</v>
      </c>
      <c r="G232" s="640">
        <v>0</v>
      </c>
      <c r="H232" s="641">
        <v>0</v>
      </c>
      <c r="I232" s="641">
        <v>0</v>
      </c>
      <c r="J232" s="641">
        <v>0</v>
      </c>
      <c r="K232" s="641">
        <v>0</v>
      </c>
      <c r="L232" s="641">
        <v>-0.96889726774865159</v>
      </c>
      <c r="M232" s="641">
        <v>0</v>
      </c>
      <c r="N232" s="641">
        <v>0</v>
      </c>
      <c r="O232" s="641">
        <v>0</v>
      </c>
      <c r="P232" s="642">
        <v>0</v>
      </c>
      <c r="Q232" s="641">
        <v>0</v>
      </c>
      <c r="R232" s="641">
        <v>0</v>
      </c>
      <c r="S232" s="643">
        <v>-94.412741649244282</v>
      </c>
      <c r="U232" s="639" t="s">
        <v>63</v>
      </c>
      <c r="V232" s="640">
        <v>0</v>
      </c>
      <c r="W232" s="641">
        <v>0</v>
      </c>
      <c r="X232" s="641">
        <v>-35.841594545498886</v>
      </c>
      <c r="Y232" s="640">
        <v>0</v>
      </c>
      <c r="Z232" s="641">
        <v>0</v>
      </c>
      <c r="AA232" s="641">
        <v>0</v>
      </c>
      <c r="AB232" s="641">
        <v>0</v>
      </c>
      <c r="AC232" s="641">
        <v>0</v>
      </c>
      <c r="AD232" s="641">
        <v>-46.567340427053182</v>
      </c>
      <c r="AE232" s="641">
        <v>0</v>
      </c>
      <c r="AF232" s="641">
        <v>0</v>
      </c>
      <c r="AG232" s="641">
        <v>0</v>
      </c>
      <c r="AH232" s="642">
        <v>0</v>
      </c>
      <c r="AI232" s="641">
        <v>0</v>
      </c>
      <c r="AJ232" s="641">
        <v>0</v>
      </c>
      <c r="AK232" s="643">
        <v>-82.408934972552061</v>
      </c>
    </row>
    <row r="233" spans="3:37" x14ac:dyDescent="0.2">
      <c r="C233" s="639" t="s">
        <v>64</v>
      </c>
      <c r="D233" s="640">
        <v>0</v>
      </c>
      <c r="E233" s="641">
        <v>0</v>
      </c>
      <c r="F233" s="641">
        <v>0</v>
      </c>
      <c r="G233" s="640">
        <v>0</v>
      </c>
      <c r="H233" s="641">
        <v>0</v>
      </c>
      <c r="I233" s="641">
        <v>0</v>
      </c>
      <c r="J233" s="641">
        <v>0</v>
      </c>
      <c r="K233" s="641">
        <v>0</v>
      </c>
      <c r="L233" s="641">
        <v>0</v>
      </c>
      <c r="M233" s="641">
        <v>0</v>
      </c>
      <c r="N233" s="641">
        <v>0</v>
      </c>
      <c r="O233" s="641">
        <v>0</v>
      </c>
      <c r="P233" s="642">
        <v>0</v>
      </c>
      <c r="Q233" s="641">
        <v>0</v>
      </c>
      <c r="R233" s="641">
        <v>0</v>
      </c>
      <c r="S233" s="643">
        <v>0</v>
      </c>
      <c r="U233" s="639" t="s">
        <v>64</v>
      </c>
      <c r="V233" s="640">
        <v>0</v>
      </c>
      <c r="W233" s="641">
        <v>0</v>
      </c>
      <c r="X233" s="641">
        <v>0</v>
      </c>
      <c r="Y233" s="640">
        <v>0</v>
      </c>
      <c r="Z233" s="641">
        <v>0</v>
      </c>
      <c r="AA233" s="641">
        <v>0</v>
      </c>
      <c r="AB233" s="641">
        <v>0</v>
      </c>
      <c r="AC233" s="641">
        <v>0</v>
      </c>
      <c r="AD233" s="641">
        <v>0</v>
      </c>
      <c r="AE233" s="641">
        <v>0</v>
      </c>
      <c r="AF233" s="641">
        <v>0</v>
      </c>
      <c r="AG233" s="641">
        <v>0</v>
      </c>
      <c r="AH233" s="642">
        <v>0</v>
      </c>
      <c r="AI233" s="641">
        <v>0</v>
      </c>
      <c r="AJ233" s="641">
        <v>0</v>
      </c>
      <c r="AK233" s="643">
        <v>0</v>
      </c>
    </row>
    <row r="234" spans="3:37" x14ac:dyDescent="0.2">
      <c r="C234" s="644" t="s">
        <v>65</v>
      </c>
      <c r="D234" s="645">
        <v>46.099891323621534</v>
      </c>
      <c r="E234" s="645">
        <v>464.7986487</v>
      </c>
      <c r="F234" s="645">
        <v>-59.341223439635421</v>
      </c>
      <c r="G234" s="645">
        <v>345.55093723566335</v>
      </c>
      <c r="H234" s="645">
        <v>727.27272727272737</v>
      </c>
      <c r="I234" s="645">
        <v>338.37995078139568</v>
      </c>
      <c r="J234" s="645">
        <v>190.84741038091113</v>
      </c>
      <c r="K234" s="645">
        <v>19.887492227897642</v>
      </c>
      <c r="L234" s="645">
        <v>2.7639977986594397</v>
      </c>
      <c r="M234" s="645">
        <v>0.16041590589481752</v>
      </c>
      <c r="N234" s="645">
        <v>75.083762899489528</v>
      </c>
      <c r="O234" s="645">
        <v>12.515766779598991</v>
      </c>
      <c r="P234" s="645">
        <v>-12.7985093299136</v>
      </c>
      <c r="Q234" s="645">
        <v>0</v>
      </c>
      <c r="R234" s="645">
        <v>0</v>
      </c>
      <c r="S234" s="645">
        <v>2151.2212685363102</v>
      </c>
      <c r="U234" s="644" t="s">
        <v>65</v>
      </c>
      <c r="V234" s="645">
        <v>4.5871215860372576</v>
      </c>
      <c r="W234" s="645">
        <v>113.59926767676768</v>
      </c>
      <c r="X234" s="645">
        <v>-21.004029293308101</v>
      </c>
      <c r="Y234" s="645">
        <v>0.51452681198611927</v>
      </c>
      <c r="Z234" s="645">
        <v>764.84848484848499</v>
      </c>
      <c r="AA234" s="645">
        <v>423.19995078139567</v>
      </c>
      <c r="AB234" s="645">
        <v>261.81197328019942</v>
      </c>
      <c r="AC234" s="645">
        <v>36.108430969743218</v>
      </c>
      <c r="AD234" s="645">
        <v>-42.834445360645091</v>
      </c>
      <c r="AE234" s="645">
        <v>-4.9533137132699832</v>
      </c>
      <c r="AF234" s="645">
        <v>123.16818516374138</v>
      </c>
      <c r="AG234" s="645">
        <v>30.250193334526926</v>
      </c>
      <c r="AH234" s="645">
        <v>-41.639986107117011</v>
      </c>
      <c r="AI234" s="645">
        <v>0</v>
      </c>
      <c r="AJ234" s="645">
        <v>0</v>
      </c>
      <c r="AK234" s="645">
        <v>1647.6563599785427</v>
      </c>
    </row>
    <row r="235" spans="3:37" x14ac:dyDescent="0.2">
      <c r="C235" s="634"/>
      <c r="D235" s="634">
        <v>0</v>
      </c>
      <c r="E235" s="634">
        <v>0</v>
      </c>
      <c r="F235" s="634">
        <v>0</v>
      </c>
      <c r="G235" s="634">
        <v>0</v>
      </c>
      <c r="H235" s="634">
        <v>0</v>
      </c>
      <c r="I235" s="634">
        <v>0</v>
      </c>
      <c r="J235" s="634">
        <v>0</v>
      </c>
      <c r="K235" s="634">
        <v>0</v>
      </c>
      <c r="L235" s="634">
        <v>0</v>
      </c>
      <c r="M235" s="634">
        <v>0</v>
      </c>
      <c r="N235" s="634">
        <v>0</v>
      </c>
      <c r="O235" s="634">
        <v>0</v>
      </c>
      <c r="P235" s="634">
        <v>0</v>
      </c>
      <c r="Q235" s="634">
        <v>0</v>
      </c>
      <c r="R235" s="634">
        <v>0</v>
      </c>
      <c r="S235" s="634">
        <v>0</v>
      </c>
      <c r="U235" s="634"/>
      <c r="V235" s="634">
        <v>0</v>
      </c>
      <c r="W235" s="634">
        <v>0</v>
      </c>
      <c r="X235" s="634">
        <v>0</v>
      </c>
      <c r="Y235" s="634">
        <v>0</v>
      </c>
      <c r="Z235" s="634">
        <v>0</v>
      </c>
      <c r="AA235" s="634">
        <v>0</v>
      </c>
      <c r="AB235" s="634">
        <v>0</v>
      </c>
      <c r="AC235" s="634">
        <v>0</v>
      </c>
      <c r="AD235" s="634">
        <v>0</v>
      </c>
      <c r="AE235" s="634">
        <v>0</v>
      </c>
      <c r="AF235" s="634">
        <v>0</v>
      </c>
      <c r="AG235" s="634">
        <v>0</v>
      </c>
      <c r="AH235" s="634">
        <v>0</v>
      </c>
      <c r="AI235" s="634">
        <v>0</v>
      </c>
      <c r="AJ235" s="634">
        <v>0</v>
      </c>
      <c r="AK235" s="634">
        <v>0</v>
      </c>
    </row>
    <row r="236" spans="3:37" x14ac:dyDescent="0.2">
      <c r="C236" s="646" t="s">
        <v>67</v>
      </c>
      <c r="D236" s="640">
        <v>0</v>
      </c>
      <c r="E236" s="647">
        <v>0</v>
      </c>
      <c r="F236" s="647">
        <v>0</v>
      </c>
      <c r="G236" s="640">
        <v>0</v>
      </c>
      <c r="H236" s="640">
        <v>0</v>
      </c>
      <c r="I236" s="640">
        <v>0</v>
      </c>
      <c r="J236" s="640">
        <v>0</v>
      </c>
      <c r="K236" s="640">
        <v>0</v>
      </c>
      <c r="L236" s="640">
        <v>0</v>
      </c>
      <c r="M236" s="640">
        <v>0</v>
      </c>
      <c r="N236" s="640">
        <v>0</v>
      </c>
      <c r="O236" s="640">
        <v>0</v>
      </c>
      <c r="P236" s="640">
        <v>0</v>
      </c>
      <c r="Q236" s="640">
        <v>0</v>
      </c>
      <c r="R236" s="640">
        <v>0</v>
      </c>
      <c r="S236" s="648">
        <v>0</v>
      </c>
      <c r="U236" s="646" t="s">
        <v>67</v>
      </c>
      <c r="V236" s="640">
        <v>0</v>
      </c>
      <c r="W236" s="647">
        <v>0</v>
      </c>
      <c r="X236" s="647">
        <v>0</v>
      </c>
      <c r="Y236" s="640">
        <v>0</v>
      </c>
      <c r="Z236" s="640">
        <v>0</v>
      </c>
      <c r="AA236" s="640">
        <v>0</v>
      </c>
      <c r="AB236" s="640">
        <v>0</v>
      </c>
      <c r="AC236" s="640">
        <v>0</v>
      </c>
      <c r="AD236" s="640">
        <v>0</v>
      </c>
      <c r="AE236" s="640">
        <v>0</v>
      </c>
      <c r="AF236" s="640">
        <v>0</v>
      </c>
      <c r="AG236" s="640">
        <v>0</v>
      </c>
      <c r="AH236" s="640">
        <v>0</v>
      </c>
      <c r="AI236" s="640">
        <v>0</v>
      </c>
      <c r="AJ236" s="640">
        <v>0</v>
      </c>
      <c r="AK236" s="648">
        <v>0</v>
      </c>
    </row>
    <row r="237" spans="3:37" x14ac:dyDescent="0.2">
      <c r="C237" s="646" t="s">
        <v>347</v>
      </c>
      <c r="D237" s="640">
        <v>2.8267856410252494</v>
      </c>
      <c r="E237" s="640">
        <v>0</v>
      </c>
      <c r="F237" s="640">
        <v>8.0599105831015567</v>
      </c>
      <c r="G237" s="640">
        <v>46.530346198952707</v>
      </c>
      <c r="H237" s="640">
        <v>727.27272727272737</v>
      </c>
      <c r="I237" s="640">
        <v>338.37995078139568</v>
      </c>
      <c r="J237" s="649">
        <v>28.452469116356035</v>
      </c>
      <c r="K237" s="649">
        <v>6.2305848357200952</v>
      </c>
      <c r="L237" s="649">
        <v>3.7328950664080915</v>
      </c>
      <c r="M237" s="649">
        <v>1.0761160081227215</v>
      </c>
      <c r="N237" s="649">
        <v>0</v>
      </c>
      <c r="O237" s="649">
        <v>7.5664382136221358</v>
      </c>
      <c r="P237" s="640">
        <v>-629.14515201417555</v>
      </c>
      <c r="Q237" s="640">
        <v>0</v>
      </c>
      <c r="R237" s="640">
        <v>0</v>
      </c>
      <c r="S237" s="648">
        <v>540.98307170325586</v>
      </c>
      <c r="U237" s="646" t="s">
        <v>347</v>
      </c>
      <c r="V237" s="640">
        <v>0.62631490545869017</v>
      </c>
      <c r="W237" s="640">
        <v>0</v>
      </c>
      <c r="X237" s="640">
        <v>4.1962742194651934</v>
      </c>
      <c r="Y237" s="640">
        <v>0</v>
      </c>
      <c r="Z237" s="640">
        <v>764.84848484848499</v>
      </c>
      <c r="AA237" s="640">
        <v>423.19995078139567</v>
      </c>
      <c r="AB237" s="649">
        <v>22.478183728982629</v>
      </c>
      <c r="AC237" s="649">
        <v>5.0926371917675839</v>
      </c>
      <c r="AD237" s="649">
        <v>3.7328950664080915</v>
      </c>
      <c r="AE237" s="649">
        <v>0.79318377276994545</v>
      </c>
      <c r="AF237" s="649">
        <v>0</v>
      </c>
      <c r="AG237" s="649">
        <v>7.5664382136221358</v>
      </c>
      <c r="AH237" s="640">
        <v>-696.77718495359215</v>
      </c>
      <c r="AI237" s="640">
        <v>0</v>
      </c>
      <c r="AJ237" s="640">
        <v>3.75</v>
      </c>
      <c r="AK237" s="648">
        <v>539.50717777476291</v>
      </c>
    </row>
    <row r="238" spans="3:37" x14ac:dyDescent="0.2">
      <c r="C238" s="646" t="s">
        <v>348</v>
      </c>
      <c r="D238" s="640">
        <v>0</v>
      </c>
      <c r="E238" s="640">
        <v>0</v>
      </c>
      <c r="F238" s="640">
        <v>0</v>
      </c>
      <c r="G238" s="640">
        <v>14.783508517784153</v>
      </c>
      <c r="H238" s="640">
        <v>0</v>
      </c>
      <c r="I238" s="640">
        <v>0</v>
      </c>
      <c r="J238" s="649">
        <v>12.163067049530284</v>
      </c>
      <c r="K238" s="649">
        <v>11.829214997579474</v>
      </c>
      <c r="L238" s="649">
        <v>0</v>
      </c>
      <c r="M238" s="649">
        <v>0.31740804730172578</v>
      </c>
      <c r="N238" s="649">
        <v>0</v>
      </c>
      <c r="O238" s="649">
        <v>2.086875550337155</v>
      </c>
      <c r="P238" s="640">
        <v>0</v>
      </c>
      <c r="Q238" s="640">
        <v>-37.667878685561853</v>
      </c>
      <c r="R238" s="640">
        <v>0</v>
      </c>
      <c r="S238" s="648">
        <v>3.5121954769709394</v>
      </c>
      <c r="U238" s="646" t="s">
        <v>348</v>
      </c>
      <c r="V238" s="640">
        <v>0</v>
      </c>
      <c r="W238" s="640">
        <v>0</v>
      </c>
      <c r="X238" s="640">
        <v>0</v>
      </c>
      <c r="Y238" s="640">
        <v>0</v>
      </c>
      <c r="Z238" s="640">
        <v>0</v>
      </c>
      <c r="AA238" s="640">
        <v>0</v>
      </c>
      <c r="AB238" s="649">
        <v>28.523630086620891</v>
      </c>
      <c r="AC238" s="649">
        <v>26.288013396118924</v>
      </c>
      <c r="AD238" s="649">
        <v>0</v>
      </c>
      <c r="AE238" s="649">
        <v>10.611192177482708</v>
      </c>
      <c r="AF238" s="649">
        <v>0</v>
      </c>
      <c r="AG238" s="649">
        <v>14.121402979798832</v>
      </c>
      <c r="AH238" s="640">
        <v>0</v>
      </c>
      <c r="AI238" s="640">
        <v>-74.176724382187018</v>
      </c>
      <c r="AJ238" s="640">
        <v>0</v>
      </c>
      <c r="AK238" s="648">
        <v>5.3675142578343316</v>
      </c>
    </row>
    <row r="239" spans="3:37" x14ac:dyDescent="0.2">
      <c r="C239" s="646" t="s">
        <v>349</v>
      </c>
      <c r="D239" s="640">
        <v>0</v>
      </c>
      <c r="E239" s="640">
        <v>0</v>
      </c>
      <c r="F239" s="640">
        <v>0</v>
      </c>
      <c r="G239" s="640">
        <v>0</v>
      </c>
      <c r="H239" s="640">
        <v>0</v>
      </c>
      <c r="I239" s="640">
        <v>0</v>
      </c>
      <c r="J239" s="650">
        <v>7.1450792385721682</v>
      </c>
      <c r="K239" s="650">
        <v>0</v>
      </c>
      <c r="L239" s="650">
        <v>0</v>
      </c>
      <c r="M239" s="650">
        <v>-6.8235506728364204</v>
      </c>
      <c r="N239" s="650">
        <v>0</v>
      </c>
      <c r="O239" s="650">
        <v>0</v>
      </c>
      <c r="P239" s="640">
        <v>0</v>
      </c>
      <c r="Q239" s="640">
        <v>0</v>
      </c>
      <c r="R239" s="640">
        <v>0</v>
      </c>
      <c r="S239" s="648">
        <v>0.32152856573574784</v>
      </c>
      <c r="U239" s="646" t="s">
        <v>349</v>
      </c>
      <c r="V239" s="640">
        <v>0</v>
      </c>
      <c r="W239" s="640">
        <v>0</v>
      </c>
      <c r="X239" s="640">
        <v>0</v>
      </c>
      <c r="Y239" s="640">
        <v>0</v>
      </c>
      <c r="Z239" s="640">
        <v>0</v>
      </c>
      <c r="AA239" s="640">
        <v>0</v>
      </c>
      <c r="AB239" s="650">
        <v>137.81211213320262</v>
      </c>
      <c r="AC239" s="650">
        <v>0</v>
      </c>
      <c r="AD239" s="650">
        <v>0</v>
      </c>
      <c r="AE239" s="650">
        <v>-131.61056708720849</v>
      </c>
      <c r="AF239" s="650">
        <v>0</v>
      </c>
      <c r="AG239" s="650">
        <v>0</v>
      </c>
      <c r="AH239" s="640">
        <v>0</v>
      </c>
      <c r="AI239" s="640">
        <v>0</v>
      </c>
      <c r="AJ239" s="640">
        <v>0</v>
      </c>
      <c r="AK239" s="648">
        <v>6.2015450459941235</v>
      </c>
    </row>
    <row r="240" spans="3:37" x14ac:dyDescent="0.2">
      <c r="C240" s="646" t="s">
        <v>350</v>
      </c>
      <c r="D240" s="640">
        <v>0</v>
      </c>
      <c r="E240" s="640">
        <v>0</v>
      </c>
      <c r="F240" s="640">
        <v>0</v>
      </c>
      <c r="G240" s="640">
        <v>0</v>
      </c>
      <c r="H240" s="640">
        <v>0</v>
      </c>
      <c r="I240" s="640">
        <v>0</v>
      </c>
      <c r="J240" s="640">
        <v>0</v>
      </c>
      <c r="K240" s="640">
        <v>0</v>
      </c>
      <c r="L240" s="640">
        <v>0</v>
      </c>
      <c r="M240" s="640">
        <v>0</v>
      </c>
      <c r="N240" s="640">
        <v>0</v>
      </c>
      <c r="O240" s="640">
        <v>0</v>
      </c>
      <c r="P240" s="640">
        <v>0</v>
      </c>
      <c r="Q240" s="640">
        <v>0</v>
      </c>
      <c r="R240" s="640">
        <v>0</v>
      </c>
      <c r="S240" s="648">
        <v>0</v>
      </c>
      <c r="U240" s="646" t="s">
        <v>350</v>
      </c>
      <c r="V240" s="640">
        <v>0</v>
      </c>
      <c r="W240" s="640">
        <v>0</v>
      </c>
      <c r="X240" s="640">
        <v>0</v>
      </c>
      <c r="Y240" s="640">
        <v>0</v>
      </c>
      <c r="Z240" s="640">
        <v>0</v>
      </c>
      <c r="AA240" s="640">
        <v>0</v>
      </c>
      <c r="AB240" s="640">
        <v>0</v>
      </c>
      <c r="AC240" s="640">
        <v>0</v>
      </c>
      <c r="AD240" s="640">
        <v>0</v>
      </c>
      <c r="AE240" s="640">
        <v>0</v>
      </c>
      <c r="AF240" s="640">
        <v>0</v>
      </c>
      <c r="AG240" s="640">
        <v>0</v>
      </c>
      <c r="AH240" s="640">
        <v>0</v>
      </c>
      <c r="AI240" s="640">
        <v>0</v>
      </c>
      <c r="AJ240" s="640">
        <v>0</v>
      </c>
      <c r="AK240" s="648">
        <v>0</v>
      </c>
    </row>
    <row r="241" spans="3:37" x14ac:dyDescent="0.2">
      <c r="C241" s="646" t="s">
        <v>72</v>
      </c>
      <c r="D241" s="640">
        <v>0</v>
      </c>
      <c r="E241" s="640">
        <v>481.48200000000003</v>
      </c>
      <c r="F241" s="640">
        <v>-476.66718000000003</v>
      </c>
      <c r="G241" s="640">
        <v>0</v>
      </c>
      <c r="H241" s="640">
        <v>0</v>
      </c>
      <c r="I241" s="640">
        <v>0</v>
      </c>
      <c r="J241" s="640">
        <v>0</v>
      </c>
      <c r="K241" s="640">
        <v>0</v>
      </c>
      <c r="L241" s="640">
        <v>0</v>
      </c>
      <c r="M241" s="640">
        <v>0</v>
      </c>
      <c r="N241" s="640">
        <v>0</v>
      </c>
      <c r="O241" s="640">
        <v>0</v>
      </c>
      <c r="P241" s="640">
        <v>0</v>
      </c>
      <c r="Q241" s="640">
        <v>0</v>
      </c>
      <c r="R241" s="640">
        <v>0</v>
      </c>
      <c r="S241" s="648">
        <v>4.8148199999999974</v>
      </c>
      <c r="U241" s="646" t="s">
        <v>72</v>
      </c>
      <c r="V241" s="640">
        <v>0</v>
      </c>
      <c r="W241" s="640">
        <v>117.67676767676768</v>
      </c>
      <c r="X241" s="640">
        <v>-116.5</v>
      </c>
      <c r="Y241" s="640">
        <v>0</v>
      </c>
      <c r="Z241" s="640">
        <v>0</v>
      </c>
      <c r="AA241" s="640">
        <v>0</v>
      </c>
      <c r="AB241" s="640">
        <v>0</v>
      </c>
      <c r="AC241" s="640">
        <v>0</v>
      </c>
      <c r="AD241" s="640">
        <v>0</v>
      </c>
      <c r="AE241" s="640">
        <v>0</v>
      </c>
      <c r="AF241" s="640">
        <v>0</v>
      </c>
      <c r="AG241" s="640">
        <v>0</v>
      </c>
      <c r="AH241" s="640">
        <v>0</v>
      </c>
      <c r="AI241" s="640">
        <v>0</v>
      </c>
      <c r="AJ241" s="640">
        <v>0</v>
      </c>
      <c r="AK241" s="648">
        <v>1.1767676767676818</v>
      </c>
    </row>
    <row r="242" spans="3:37" x14ac:dyDescent="0.2">
      <c r="C242" s="646" t="s">
        <v>351</v>
      </c>
      <c r="D242" s="640">
        <v>0</v>
      </c>
      <c r="E242" s="640">
        <v>0</v>
      </c>
      <c r="F242" s="640">
        <v>0</v>
      </c>
      <c r="G242" s="640">
        <v>0</v>
      </c>
      <c r="H242" s="640">
        <v>0</v>
      </c>
      <c r="I242" s="640">
        <v>0</v>
      </c>
      <c r="J242" s="640">
        <v>26.125483595276659</v>
      </c>
      <c r="K242" s="640">
        <v>0</v>
      </c>
      <c r="L242" s="640">
        <v>-26.125483595276659</v>
      </c>
      <c r="M242" s="640">
        <v>0</v>
      </c>
      <c r="N242" s="640">
        <v>0</v>
      </c>
      <c r="O242" s="640">
        <v>0</v>
      </c>
      <c r="P242" s="640">
        <v>0</v>
      </c>
      <c r="Q242" s="640">
        <v>0</v>
      </c>
      <c r="R242" s="640">
        <v>0</v>
      </c>
      <c r="S242" s="648">
        <v>0</v>
      </c>
      <c r="U242" s="646" t="s">
        <v>351</v>
      </c>
      <c r="V242" s="640">
        <v>0</v>
      </c>
      <c r="W242" s="640">
        <v>0</v>
      </c>
      <c r="X242" s="640">
        <v>0</v>
      </c>
      <c r="Y242" s="640">
        <v>0</v>
      </c>
      <c r="Z242" s="640">
        <v>0</v>
      </c>
      <c r="AA242" s="640">
        <v>0</v>
      </c>
      <c r="AB242" s="640" t="e">
        <v>#VALUE!</v>
      </c>
      <c r="AC242" s="640">
        <v>0</v>
      </c>
      <c r="AD242" s="640">
        <v>-100.69655001825291</v>
      </c>
      <c r="AE242" s="640">
        <v>0</v>
      </c>
      <c r="AF242" s="640">
        <v>0</v>
      </c>
      <c r="AG242" s="640">
        <v>0</v>
      </c>
      <c r="AH242" s="640">
        <v>0</v>
      </c>
      <c r="AI242" s="640">
        <v>0</v>
      </c>
      <c r="AJ242" s="640">
        <v>0</v>
      </c>
      <c r="AK242" s="648">
        <v>-100.69655001825291</v>
      </c>
    </row>
    <row r="243" spans="3:37" x14ac:dyDescent="0.2">
      <c r="C243" s="646" t="s">
        <v>352</v>
      </c>
      <c r="D243" s="640">
        <v>0</v>
      </c>
      <c r="E243" s="640">
        <v>0</v>
      </c>
      <c r="F243" s="640">
        <v>0</v>
      </c>
      <c r="G243" s="640">
        <v>0</v>
      </c>
      <c r="H243" s="640">
        <v>0</v>
      </c>
      <c r="I243" s="640">
        <v>0</v>
      </c>
      <c r="J243" s="640">
        <v>0</v>
      </c>
      <c r="K243" s="640">
        <v>0</v>
      </c>
      <c r="L243" s="640">
        <v>0</v>
      </c>
      <c r="M243" s="640">
        <v>0</v>
      </c>
      <c r="N243" s="640">
        <v>0</v>
      </c>
      <c r="O243" s="640">
        <v>0</v>
      </c>
      <c r="P243" s="640">
        <v>0</v>
      </c>
      <c r="Q243" s="640">
        <v>0</v>
      </c>
      <c r="R243" s="640">
        <v>0</v>
      </c>
      <c r="S243" s="648">
        <v>0</v>
      </c>
      <c r="U243" s="646" t="s">
        <v>352</v>
      </c>
      <c r="V243" s="640">
        <v>0</v>
      </c>
      <c r="W243" s="640">
        <v>0</v>
      </c>
      <c r="X243" s="640">
        <v>0</v>
      </c>
      <c r="Y243" s="640">
        <v>0</v>
      </c>
      <c r="Z243" s="640">
        <v>0</v>
      </c>
      <c r="AA243" s="640">
        <v>0</v>
      </c>
      <c r="AB243" s="640">
        <v>0</v>
      </c>
      <c r="AC243" s="640">
        <v>0</v>
      </c>
      <c r="AD243" s="640">
        <v>-28.460377640694865</v>
      </c>
      <c r="AE243" s="640">
        <v>0</v>
      </c>
      <c r="AF243" s="640">
        <v>0</v>
      </c>
      <c r="AG243" s="640">
        <v>0</v>
      </c>
      <c r="AH243" s="640">
        <v>0</v>
      </c>
      <c r="AI243" s="640">
        <v>0</v>
      </c>
      <c r="AJ243" s="640">
        <v>0</v>
      </c>
      <c r="AK243" s="648">
        <v>-28.460377640694865</v>
      </c>
    </row>
    <row r="244" spans="3:37" x14ac:dyDescent="0.2">
      <c r="C244" s="646" t="s">
        <v>73</v>
      </c>
      <c r="D244" s="640">
        <v>0</v>
      </c>
      <c r="E244" s="640">
        <v>0</v>
      </c>
      <c r="F244" s="640">
        <v>0</v>
      </c>
      <c r="G244" s="640">
        <v>8.6128889644156494</v>
      </c>
      <c r="H244" s="640">
        <v>0</v>
      </c>
      <c r="I244" s="640">
        <v>0</v>
      </c>
      <c r="J244" s="640">
        <v>0</v>
      </c>
      <c r="K244" s="640">
        <v>0.10101910584583218</v>
      </c>
      <c r="L244" s="640">
        <v>0</v>
      </c>
      <c r="M244" s="640">
        <v>0.17577324417174797</v>
      </c>
      <c r="N244" s="640">
        <v>0</v>
      </c>
      <c r="O244" s="640">
        <v>0</v>
      </c>
      <c r="P244" s="640">
        <v>1.1785562348680418</v>
      </c>
      <c r="Q244" s="640">
        <v>0</v>
      </c>
      <c r="R244" s="640">
        <v>-7.071337409208251</v>
      </c>
      <c r="S244" s="648">
        <v>2.99690014009302</v>
      </c>
      <c r="U244" s="646" t="s">
        <v>73</v>
      </c>
      <c r="V244" s="640">
        <v>0</v>
      </c>
      <c r="W244" s="640">
        <v>0</v>
      </c>
      <c r="X244" s="640">
        <v>0</v>
      </c>
      <c r="Y244" s="640">
        <v>0</v>
      </c>
      <c r="Z244" s="640">
        <v>0</v>
      </c>
      <c r="AA244" s="640">
        <v>0</v>
      </c>
      <c r="AB244" s="640">
        <v>0</v>
      </c>
      <c r="AC244" s="640">
        <v>0.58294529496624936</v>
      </c>
      <c r="AD244" s="640">
        <v>0</v>
      </c>
      <c r="AE244" s="640">
        <v>0</v>
      </c>
      <c r="AF244" s="640">
        <v>0</v>
      </c>
      <c r="AG244" s="640">
        <v>0</v>
      </c>
      <c r="AH244" s="640">
        <v>56.108484640501494</v>
      </c>
      <c r="AI244" s="640">
        <v>0</v>
      </c>
      <c r="AJ244" s="640">
        <v>-40.806170647637451</v>
      </c>
      <c r="AK244" s="648">
        <v>15.885259287830294</v>
      </c>
    </row>
    <row r="245" spans="3:37" x14ac:dyDescent="0.2">
      <c r="C245" s="646" t="s">
        <v>353</v>
      </c>
      <c r="D245" s="640">
        <v>28.51179328125</v>
      </c>
      <c r="E245" s="640">
        <v>-16.683351300000002</v>
      </c>
      <c r="F245" s="640">
        <v>21.820838094867195</v>
      </c>
      <c r="G245" s="640">
        <v>0</v>
      </c>
      <c r="H245" s="640">
        <v>0</v>
      </c>
      <c r="I245" s="640">
        <v>0</v>
      </c>
      <c r="J245" s="640">
        <v>0</v>
      </c>
      <c r="K245" s="640">
        <v>0</v>
      </c>
      <c r="L245" s="640">
        <v>0</v>
      </c>
      <c r="M245" s="640">
        <v>0</v>
      </c>
      <c r="N245" s="640">
        <v>0</v>
      </c>
      <c r="O245" s="640">
        <v>0</v>
      </c>
      <c r="P245" s="640">
        <v>0</v>
      </c>
      <c r="Q245" s="640">
        <v>0</v>
      </c>
      <c r="R245" s="640">
        <v>0</v>
      </c>
      <c r="S245" s="648">
        <v>33.649280076117194</v>
      </c>
      <c r="U245" s="646" t="s">
        <v>353</v>
      </c>
      <c r="V245" s="640">
        <v>0.72303211975097659</v>
      </c>
      <c r="W245" s="640">
        <v>-4.0775000000000006</v>
      </c>
      <c r="X245" s="640">
        <v>5.333129161634389</v>
      </c>
      <c r="Y245" s="640">
        <v>0</v>
      </c>
      <c r="Z245" s="640">
        <v>0</v>
      </c>
      <c r="AA245" s="640">
        <v>0</v>
      </c>
      <c r="AB245" s="640">
        <v>0</v>
      </c>
      <c r="AC245" s="640">
        <v>0</v>
      </c>
      <c r="AD245" s="640">
        <v>0</v>
      </c>
      <c r="AE245" s="640">
        <v>0</v>
      </c>
      <c r="AF245" s="640">
        <v>0</v>
      </c>
      <c r="AG245" s="640">
        <v>0</v>
      </c>
      <c r="AH245" s="640">
        <v>0</v>
      </c>
      <c r="AI245" s="640">
        <v>0</v>
      </c>
      <c r="AJ245" s="640">
        <v>0</v>
      </c>
      <c r="AK245" s="648">
        <v>1.978661281385365</v>
      </c>
    </row>
    <row r="246" spans="3:37" x14ac:dyDescent="0.2">
      <c r="C246" s="646" t="s">
        <v>75</v>
      </c>
      <c r="D246" s="640">
        <v>11.087919609375001</v>
      </c>
      <c r="E246" s="640">
        <v>0</v>
      </c>
      <c r="F246" s="640">
        <v>16.370388000000002</v>
      </c>
      <c r="G246" s="640">
        <v>4.6713383640000004</v>
      </c>
      <c r="H246" s="640">
        <v>0</v>
      </c>
      <c r="I246" s="640">
        <v>0</v>
      </c>
      <c r="J246" s="640">
        <v>0</v>
      </c>
      <c r="K246" s="640">
        <v>0</v>
      </c>
      <c r="L246" s="640">
        <v>0</v>
      </c>
      <c r="M246" s="640">
        <v>9.5333436000000008E-2</v>
      </c>
      <c r="N246" s="640">
        <v>0</v>
      </c>
      <c r="O246" s="640">
        <v>0</v>
      </c>
      <c r="P246" s="640">
        <v>26.129145836866744</v>
      </c>
      <c r="Q246" s="640">
        <v>0</v>
      </c>
      <c r="R246" s="640">
        <v>0</v>
      </c>
      <c r="S246" s="648">
        <v>58.35412524624175</v>
      </c>
      <c r="U246" s="646" t="s">
        <v>75</v>
      </c>
      <c r="V246" s="640">
        <v>1.73775830078125</v>
      </c>
      <c r="W246" s="640">
        <v>0</v>
      </c>
      <c r="X246" s="640">
        <v>16.370388000000002</v>
      </c>
      <c r="Y246" s="640">
        <v>0</v>
      </c>
      <c r="Z246" s="640">
        <v>0</v>
      </c>
      <c r="AA246" s="640">
        <v>0</v>
      </c>
      <c r="AB246" s="640">
        <v>0</v>
      </c>
      <c r="AC246" s="640">
        <v>0</v>
      </c>
      <c r="AD246" s="640">
        <v>0</v>
      </c>
      <c r="AE246" s="640">
        <v>4.7666718000000001</v>
      </c>
      <c r="AF246" s="640">
        <v>0</v>
      </c>
      <c r="AG246" s="640">
        <v>0</v>
      </c>
      <c r="AH246" s="640">
        <v>36.696565665655768</v>
      </c>
      <c r="AI246" s="640">
        <v>0</v>
      </c>
      <c r="AJ246" s="640">
        <v>0</v>
      </c>
      <c r="AK246" s="648">
        <v>59.571383766437016</v>
      </c>
    </row>
    <row r="247" spans="3:37" x14ac:dyDescent="0.2">
      <c r="C247" s="646" t="s">
        <v>76</v>
      </c>
      <c r="D247" s="640">
        <v>0</v>
      </c>
      <c r="E247" s="640">
        <v>0</v>
      </c>
      <c r="F247" s="640">
        <v>0</v>
      </c>
      <c r="G247" s="640">
        <v>3.9646717348100942</v>
      </c>
      <c r="H247" s="640">
        <v>0</v>
      </c>
      <c r="I247" s="640">
        <v>0</v>
      </c>
      <c r="J247" s="640">
        <v>0</v>
      </c>
      <c r="K247" s="640">
        <v>0</v>
      </c>
      <c r="L247" s="640">
        <v>0</v>
      </c>
      <c r="M247" s="640">
        <v>8.0911668057348868E-2</v>
      </c>
      <c r="N247" s="640">
        <v>0</v>
      </c>
      <c r="O247" s="640">
        <v>0</v>
      </c>
      <c r="P247" s="640">
        <v>47.131742012269626</v>
      </c>
      <c r="Q247" s="640">
        <v>2.9238621334994321</v>
      </c>
      <c r="R247" s="640">
        <v>0</v>
      </c>
      <c r="S247" s="648">
        <v>54.101187548636503</v>
      </c>
      <c r="U247" s="646" t="s">
        <v>76</v>
      </c>
      <c r="V247" s="640">
        <v>0</v>
      </c>
      <c r="W247" s="640">
        <v>0</v>
      </c>
      <c r="X247" s="640">
        <v>0</v>
      </c>
      <c r="Y247" s="640">
        <v>0</v>
      </c>
      <c r="Z247" s="640">
        <v>0</v>
      </c>
      <c r="AA247" s="640">
        <v>0</v>
      </c>
      <c r="AB247" s="640">
        <v>0</v>
      </c>
      <c r="AC247" s="640">
        <v>0</v>
      </c>
      <c r="AD247" s="640">
        <v>0</v>
      </c>
      <c r="AE247" s="640">
        <v>1.5605996097297452</v>
      </c>
      <c r="AF247" s="640">
        <v>0</v>
      </c>
      <c r="AG247" s="640">
        <v>0</v>
      </c>
      <c r="AH247" s="640">
        <v>50.104610120731024</v>
      </c>
      <c r="AI247" s="640">
        <v>5.7529608775183565</v>
      </c>
      <c r="AJ247" s="640">
        <v>0</v>
      </c>
      <c r="AK247" s="648">
        <v>57.418170607979121</v>
      </c>
    </row>
    <row r="248" spans="3:37" x14ac:dyDescent="0.2">
      <c r="C248" s="644" t="s">
        <v>77</v>
      </c>
      <c r="D248" s="645">
        <v>42.426498531650253</v>
      </c>
      <c r="E248" s="645">
        <v>464.7986487</v>
      </c>
      <c r="F248" s="645">
        <v>-430.41604332203127</v>
      </c>
      <c r="G248" s="645">
        <v>78.562753779962591</v>
      </c>
      <c r="H248" s="645">
        <v>727.27272727272737</v>
      </c>
      <c r="I248" s="645">
        <v>338.37995078139568</v>
      </c>
      <c r="J248" s="645">
        <v>73.88609899973514</v>
      </c>
      <c r="K248" s="645">
        <v>18.1608189391454</v>
      </c>
      <c r="L248" s="645">
        <v>-22.392588528868568</v>
      </c>
      <c r="M248" s="645">
        <v>-5.0780082691828765</v>
      </c>
      <c r="N248" s="645">
        <v>0</v>
      </c>
      <c r="O248" s="645">
        <v>9.6533137639592894</v>
      </c>
      <c r="P248" s="645">
        <v>-554.70570793017112</v>
      </c>
      <c r="Q248" s="645">
        <v>-34.744016552062419</v>
      </c>
      <c r="R248" s="645">
        <v>-7.071337409208251</v>
      </c>
      <c r="S248" s="645">
        <v>698.73310875705101</v>
      </c>
      <c r="U248" s="644" t="s">
        <v>77</v>
      </c>
      <c r="V248" s="645">
        <v>3.0871053259909167</v>
      </c>
      <c r="W248" s="645">
        <v>113.59926767676768</v>
      </c>
      <c r="X248" s="645">
        <v>-90.60020861890041</v>
      </c>
      <c r="Y248" s="645">
        <v>0</v>
      </c>
      <c r="Z248" s="645">
        <v>764.84848484848499</v>
      </c>
      <c r="AA248" s="645">
        <v>423.19995078139567</v>
      </c>
      <c r="AB248" s="645">
        <v>188.81392594880614</v>
      </c>
      <c r="AC248" s="645">
        <v>31.963595882852758</v>
      </c>
      <c r="AD248" s="645">
        <v>-125.42403259253969</v>
      </c>
      <c r="AE248" s="645">
        <v>-113.87891972722609</v>
      </c>
      <c r="AF248" s="645">
        <v>0</v>
      </c>
      <c r="AG248" s="645">
        <v>21.687841193420969</v>
      </c>
      <c r="AH248" s="645">
        <v>-553.86752452670385</v>
      </c>
      <c r="AI248" s="645">
        <v>-68.423763504668656</v>
      </c>
      <c r="AJ248" s="645">
        <v>-37.056170647637451</v>
      </c>
      <c r="AK248" s="645">
        <v>557.94955204004305</v>
      </c>
    </row>
    <row r="249" spans="3:37" x14ac:dyDescent="0.2">
      <c r="C249" s="634"/>
      <c r="D249" s="634">
        <v>0</v>
      </c>
      <c r="E249" s="634">
        <v>0</v>
      </c>
      <c r="F249" s="634">
        <v>0</v>
      </c>
      <c r="G249" s="634">
        <v>0</v>
      </c>
      <c r="H249" s="634">
        <v>0</v>
      </c>
      <c r="I249" s="634">
        <v>0</v>
      </c>
      <c r="J249" s="634">
        <v>0</v>
      </c>
      <c r="K249" s="634">
        <v>0</v>
      </c>
      <c r="L249" s="634">
        <v>0</v>
      </c>
      <c r="M249" s="634">
        <v>0</v>
      </c>
      <c r="N249" s="634">
        <v>0</v>
      </c>
      <c r="O249" s="634">
        <v>0</v>
      </c>
      <c r="P249" s="634">
        <v>0</v>
      </c>
      <c r="Q249" s="634">
        <v>0</v>
      </c>
      <c r="R249" s="634">
        <v>0</v>
      </c>
      <c r="S249" s="634">
        <v>0</v>
      </c>
      <c r="U249" s="634"/>
      <c r="V249" s="634">
        <v>0</v>
      </c>
      <c r="W249" s="634">
        <v>0</v>
      </c>
      <c r="X249" s="634">
        <v>0</v>
      </c>
      <c r="Y249" s="634">
        <v>0</v>
      </c>
      <c r="Z249" s="634">
        <v>0</v>
      </c>
      <c r="AA249" s="634">
        <v>0</v>
      </c>
      <c r="AB249" s="634">
        <v>0</v>
      </c>
      <c r="AC249" s="634">
        <v>0</v>
      </c>
      <c r="AD249" s="634">
        <v>0</v>
      </c>
      <c r="AE249" s="634">
        <v>0</v>
      </c>
      <c r="AF249" s="634">
        <v>0</v>
      </c>
      <c r="AG249" s="634">
        <v>0</v>
      </c>
      <c r="AH249" s="634">
        <v>0</v>
      </c>
      <c r="AI249" s="634">
        <v>0</v>
      </c>
      <c r="AJ249" s="634">
        <v>0</v>
      </c>
      <c r="AK249" s="634">
        <v>0</v>
      </c>
    </row>
    <row r="250" spans="3:37" x14ac:dyDescent="0.2">
      <c r="C250" s="646" t="s">
        <v>78</v>
      </c>
      <c r="D250" s="640">
        <v>3.6733927919712848</v>
      </c>
      <c r="E250" s="640">
        <v>0</v>
      </c>
      <c r="F250" s="640">
        <v>19.397200033553816</v>
      </c>
      <c r="G250" s="640">
        <v>91.130108310207916</v>
      </c>
      <c r="H250" s="640">
        <v>0</v>
      </c>
      <c r="I250" s="640">
        <v>0</v>
      </c>
      <c r="J250" s="640">
        <v>22.791437377983073</v>
      </c>
      <c r="K250" s="640">
        <v>1.7013098714668424</v>
      </c>
      <c r="L250" s="640">
        <v>1.007010953125</v>
      </c>
      <c r="M250" s="640">
        <v>1.8779931367345493</v>
      </c>
      <c r="N250" s="640">
        <v>0</v>
      </c>
      <c r="O250" s="640">
        <v>3.7093504340600874E-4</v>
      </c>
      <c r="P250" s="640">
        <v>114.54790196708234</v>
      </c>
      <c r="Q250" s="640">
        <v>16.21056036467343</v>
      </c>
      <c r="R250" s="640">
        <v>0.23655174255371095</v>
      </c>
      <c r="S250" s="648">
        <v>272.57383748439537</v>
      </c>
      <c r="U250" s="646" t="s">
        <v>78</v>
      </c>
      <c r="V250" s="640">
        <v>1.5000162600463405</v>
      </c>
      <c r="W250" s="640">
        <v>0</v>
      </c>
      <c r="X250" s="640">
        <v>0.65820239923796242</v>
      </c>
      <c r="Y250" s="640">
        <v>0</v>
      </c>
      <c r="Z250" s="640">
        <v>0</v>
      </c>
      <c r="AA250" s="640">
        <v>0</v>
      </c>
      <c r="AB250" s="640">
        <v>14.22856522114639</v>
      </c>
      <c r="AC250" s="640">
        <v>4.1194716696050602</v>
      </c>
      <c r="AD250" s="640">
        <v>8.3494072265624997</v>
      </c>
      <c r="AE250" s="640">
        <v>60.539358802903692</v>
      </c>
      <c r="AF250" s="640">
        <v>0</v>
      </c>
      <c r="AG250" s="640">
        <v>3.7093504340600874E-4</v>
      </c>
      <c r="AH250" s="640">
        <v>157.01971492382648</v>
      </c>
      <c r="AI250" s="640">
        <v>25.540840498351418</v>
      </c>
      <c r="AJ250" s="640">
        <v>8.9542294921874994</v>
      </c>
      <c r="AK250" s="648">
        <v>280.91017742891074</v>
      </c>
    </row>
    <row r="251" spans="3:37" x14ac:dyDescent="0.2">
      <c r="C251" s="646" t="s">
        <v>79</v>
      </c>
      <c r="D251" s="640">
        <v>0</v>
      </c>
      <c r="E251" s="640">
        <v>0</v>
      </c>
      <c r="F251" s="640">
        <v>216.8751541495462</v>
      </c>
      <c r="G251" s="640">
        <v>32.745585882615877</v>
      </c>
      <c r="H251" s="640">
        <v>0</v>
      </c>
      <c r="I251" s="640">
        <v>0</v>
      </c>
      <c r="J251" s="640">
        <v>0</v>
      </c>
      <c r="K251" s="640">
        <v>0</v>
      </c>
      <c r="L251" s="640">
        <v>20.896591906701669</v>
      </c>
      <c r="M251" s="640">
        <v>0.66827726291052814</v>
      </c>
      <c r="N251" s="640">
        <v>0</v>
      </c>
      <c r="O251" s="640">
        <v>0</v>
      </c>
      <c r="P251" s="640">
        <v>80.819270278256823</v>
      </c>
      <c r="Q251" s="640">
        <v>0</v>
      </c>
      <c r="R251" s="640">
        <v>2.9193508940431485</v>
      </c>
      <c r="S251" s="648">
        <v>354.92423037407423</v>
      </c>
      <c r="U251" s="646" t="s">
        <v>79</v>
      </c>
      <c r="V251" s="640">
        <v>0</v>
      </c>
      <c r="W251" s="640">
        <v>0</v>
      </c>
      <c r="X251" s="640">
        <v>8.8339079607242379</v>
      </c>
      <c r="Y251" s="640">
        <v>0</v>
      </c>
      <c r="Z251" s="640">
        <v>0</v>
      </c>
      <c r="AA251" s="640">
        <v>0</v>
      </c>
      <c r="AB251" s="640">
        <v>0</v>
      </c>
      <c r="AC251" s="640">
        <v>0</v>
      </c>
      <c r="AD251" s="640">
        <v>12.788272739607951</v>
      </c>
      <c r="AE251" s="640">
        <v>24.887279738493259</v>
      </c>
      <c r="AF251" s="640">
        <v>0</v>
      </c>
      <c r="AG251" s="640">
        <v>0</v>
      </c>
      <c r="AH251" s="640">
        <v>93.844452584108197</v>
      </c>
      <c r="AI251" s="640">
        <v>0</v>
      </c>
      <c r="AJ251" s="640">
        <v>7.1149935986121697</v>
      </c>
      <c r="AK251" s="648">
        <v>147.46890662154581</v>
      </c>
    </row>
    <row r="252" spans="3:37" x14ac:dyDescent="0.2">
      <c r="C252" s="646" t="s">
        <v>80</v>
      </c>
      <c r="D252" s="640">
        <v>0</v>
      </c>
      <c r="E252" s="640">
        <v>0</v>
      </c>
      <c r="F252" s="640">
        <v>5.2094674308398901</v>
      </c>
      <c r="G252" s="640">
        <v>68.551385920257417</v>
      </c>
      <c r="H252" s="640">
        <v>0</v>
      </c>
      <c r="I252" s="640">
        <v>0</v>
      </c>
      <c r="J252" s="640">
        <v>86.155325304334795</v>
      </c>
      <c r="K252" s="640">
        <v>0</v>
      </c>
      <c r="L252" s="640">
        <v>0</v>
      </c>
      <c r="M252" s="640">
        <v>1.3990078759236206</v>
      </c>
      <c r="N252" s="640">
        <v>66.478227859390046</v>
      </c>
      <c r="O252" s="640">
        <v>2.1206229173139883</v>
      </c>
      <c r="P252" s="640">
        <v>194.47767196350526</v>
      </c>
      <c r="Q252" s="640">
        <v>15.182773802844931</v>
      </c>
      <c r="R252" s="640">
        <v>0</v>
      </c>
      <c r="S252" s="648">
        <v>439.5744830744099</v>
      </c>
      <c r="U252" s="646" t="s">
        <v>80</v>
      </c>
      <c r="V252" s="640">
        <v>0</v>
      </c>
      <c r="W252" s="640">
        <v>0</v>
      </c>
      <c r="X252" s="640">
        <v>0.92826525658471626</v>
      </c>
      <c r="Y252" s="640">
        <v>0</v>
      </c>
      <c r="Z252" s="640">
        <v>0</v>
      </c>
      <c r="AA252" s="640">
        <v>0</v>
      </c>
      <c r="AB252" s="640">
        <v>47.227858114444189</v>
      </c>
      <c r="AC252" s="640">
        <v>0</v>
      </c>
      <c r="AD252" s="640">
        <v>0</v>
      </c>
      <c r="AE252" s="640">
        <v>17.293312779197663</v>
      </c>
      <c r="AF252" s="640">
        <v>108.09916343666818</v>
      </c>
      <c r="AG252" s="640">
        <v>4.9369795689122755</v>
      </c>
      <c r="AH252" s="640">
        <v>137.38519988829395</v>
      </c>
      <c r="AI252" s="640">
        <v>27.91071693101145</v>
      </c>
      <c r="AJ252" s="640">
        <v>0</v>
      </c>
      <c r="AK252" s="648">
        <v>343.78149597511242</v>
      </c>
    </row>
    <row r="253" spans="3:37" x14ac:dyDescent="0.2">
      <c r="C253" s="646" t="s">
        <v>81</v>
      </c>
      <c r="D253" s="640">
        <v>0</v>
      </c>
      <c r="E253" s="640">
        <v>0</v>
      </c>
      <c r="F253" s="640">
        <v>2.3181271880740835</v>
      </c>
      <c r="G253" s="640">
        <v>62.553452404821357</v>
      </c>
      <c r="H253" s="640">
        <v>0</v>
      </c>
      <c r="I253" s="640">
        <v>0</v>
      </c>
      <c r="J253" s="640">
        <v>3.0090868580403627</v>
      </c>
      <c r="K253" s="640">
        <v>2.5363417285398034E-2</v>
      </c>
      <c r="L253" s="640">
        <v>0</v>
      </c>
      <c r="M253" s="640">
        <v>1.27660106948615</v>
      </c>
      <c r="N253" s="640">
        <v>8.6055350400994808</v>
      </c>
      <c r="O253" s="640">
        <v>0.68093940948821108</v>
      </c>
      <c r="P253" s="640">
        <v>146.08879967332064</v>
      </c>
      <c r="Q253" s="640">
        <v>3.3506823845440552</v>
      </c>
      <c r="R253" s="640">
        <v>0</v>
      </c>
      <c r="S253" s="648">
        <v>227.90858744515972</v>
      </c>
      <c r="U253" s="646" t="s">
        <v>81</v>
      </c>
      <c r="V253" s="640">
        <v>0</v>
      </c>
      <c r="W253" s="640">
        <v>0</v>
      </c>
      <c r="X253" s="640">
        <v>0.55102356567889155</v>
      </c>
      <c r="Y253" s="640">
        <v>0</v>
      </c>
      <c r="Z253" s="640">
        <v>0</v>
      </c>
      <c r="AA253" s="640">
        <v>0</v>
      </c>
      <c r="AB253" s="640">
        <v>6.5361621549849476</v>
      </c>
      <c r="AC253" s="640">
        <v>2.5363417285398034E-2</v>
      </c>
      <c r="AD253" s="640">
        <v>0</v>
      </c>
      <c r="AE253" s="640">
        <v>5.3379988256415478</v>
      </c>
      <c r="AF253" s="640">
        <v>15.069021727073199</v>
      </c>
      <c r="AG253" s="640">
        <v>1.4375946320597892</v>
      </c>
      <c r="AH253" s="640">
        <v>112.31243747223964</v>
      </c>
      <c r="AI253" s="640">
        <v>14.972206075305797</v>
      </c>
      <c r="AJ253" s="640">
        <v>0</v>
      </c>
      <c r="AK253" s="648">
        <v>156.24180787026921</v>
      </c>
    </row>
    <row r="254" spans="3:37" x14ac:dyDescent="0.2">
      <c r="C254" s="646" t="s">
        <v>82</v>
      </c>
      <c r="D254" s="640">
        <v>0</v>
      </c>
      <c r="E254" s="640">
        <v>0</v>
      </c>
      <c r="F254" s="640">
        <v>27.219719362233906</v>
      </c>
      <c r="G254" s="640">
        <v>0.81069667111944488</v>
      </c>
      <c r="H254" s="640">
        <v>0</v>
      </c>
      <c r="I254" s="640">
        <v>0</v>
      </c>
      <c r="J254" s="640">
        <v>5.0054618408177598</v>
      </c>
      <c r="K254" s="640">
        <v>0</v>
      </c>
      <c r="L254" s="640">
        <v>3.2629555410385191</v>
      </c>
      <c r="M254" s="640">
        <v>1.6544830022845812E-2</v>
      </c>
      <c r="N254" s="640">
        <v>0</v>
      </c>
      <c r="O254" s="640">
        <v>6.051975379409523E-2</v>
      </c>
      <c r="P254" s="640">
        <v>5.5235547180923223</v>
      </c>
      <c r="Q254" s="640">
        <v>0</v>
      </c>
      <c r="R254" s="640">
        <v>0</v>
      </c>
      <c r="S254" s="648">
        <v>41.899452717118898</v>
      </c>
      <c r="U254" s="646" t="s">
        <v>82</v>
      </c>
      <c r="V254" s="640">
        <v>0</v>
      </c>
      <c r="W254" s="640">
        <v>0</v>
      </c>
      <c r="X254" s="640">
        <v>0.67158967449506357</v>
      </c>
      <c r="Y254" s="640">
        <v>0</v>
      </c>
      <c r="Z254" s="640">
        <v>0</v>
      </c>
      <c r="AA254" s="640">
        <v>0</v>
      </c>
      <c r="AB254" s="640">
        <v>5.0054618408177598</v>
      </c>
      <c r="AC254" s="640">
        <v>0</v>
      </c>
      <c r="AD254" s="640">
        <v>35.167200828266267</v>
      </c>
      <c r="AE254" s="640">
        <v>0.86765586771995196</v>
      </c>
      <c r="AF254" s="640">
        <v>0</v>
      </c>
      <c r="AG254" s="640">
        <v>2.1874070050904897</v>
      </c>
      <c r="AH254" s="640">
        <v>5.6657335511185538</v>
      </c>
      <c r="AI254" s="640">
        <v>0</v>
      </c>
      <c r="AJ254" s="640">
        <v>0.44339331184266689</v>
      </c>
      <c r="AK254" s="648">
        <v>50.008442079350758</v>
      </c>
    </row>
    <row r="255" spans="3:37" x14ac:dyDescent="0.2">
      <c r="C255" s="646" t="s">
        <v>354</v>
      </c>
      <c r="D255" s="640">
        <v>0</v>
      </c>
      <c r="E255" s="640">
        <v>0</v>
      </c>
      <c r="F255" s="640">
        <v>0</v>
      </c>
      <c r="G255" s="640">
        <v>0</v>
      </c>
      <c r="H255" s="640">
        <v>0</v>
      </c>
      <c r="I255" s="640">
        <v>0</v>
      </c>
      <c r="J255" s="640">
        <v>0</v>
      </c>
      <c r="K255" s="640">
        <v>0</v>
      </c>
      <c r="L255" s="640">
        <v>0</v>
      </c>
      <c r="M255" s="640">
        <v>0</v>
      </c>
      <c r="N255" s="640">
        <v>0</v>
      </c>
      <c r="O255" s="640">
        <v>0</v>
      </c>
      <c r="P255" s="640">
        <v>0.44999999999999996</v>
      </c>
      <c r="Q255" s="640">
        <v>0</v>
      </c>
      <c r="R255" s="640">
        <v>0</v>
      </c>
      <c r="S255" s="648">
        <v>0.44999999999999996</v>
      </c>
      <c r="U255" s="646" t="s">
        <v>354</v>
      </c>
      <c r="V255" s="640">
        <v>0</v>
      </c>
      <c r="W255" s="640">
        <v>0</v>
      </c>
      <c r="X255" s="640">
        <v>0</v>
      </c>
      <c r="Y255" s="640">
        <v>0</v>
      </c>
      <c r="Z255" s="640">
        <v>0</v>
      </c>
      <c r="AA255" s="640">
        <v>0</v>
      </c>
      <c r="AB255" s="640">
        <v>0</v>
      </c>
      <c r="AC255" s="640">
        <v>0</v>
      </c>
      <c r="AD255" s="640">
        <v>0</v>
      </c>
      <c r="AE255" s="640">
        <v>0</v>
      </c>
      <c r="AF255" s="640">
        <v>0</v>
      </c>
      <c r="AG255" s="640">
        <v>0</v>
      </c>
      <c r="AH255" s="640">
        <v>6</v>
      </c>
      <c r="AI255" s="640">
        <v>0</v>
      </c>
      <c r="AJ255" s="640">
        <v>0</v>
      </c>
      <c r="AK255" s="648">
        <v>6</v>
      </c>
    </row>
    <row r="256" spans="3:37" x14ac:dyDescent="0.2">
      <c r="C256" s="644" t="s">
        <v>83</v>
      </c>
      <c r="D256" s="645">
        <v>3.6733927919712848</v>
      </c>
      <c r="E256" s="645">
        <v>0</v>
      </c>
      <c r="F256" s="645">
        <v>271.01966816424783</v>
      </c>
      <c r="G256" s="645">
        <v>255.79122918902203</v>
      </c>
      <c r="H256" s="645">
        <v>0</v>
      </c>
      <c r="I256" s="645">
        <v>0</v>
      </c>
      <c r="J256" s="645">
        <v>116.96131138117599</v>
      </c>
      <c r="K256" s="645">
        <v>1.7266732887522405</v>
      </c>
      <c r="L256" s="645">
        <v>25.166558400865188</v>
      </c>
      <c r="M256" s="645">
        <v>5.238424175077693</v>
      </c>
      <c r="N256" s="645">
        <v>75.083762899489528</v>
      </c>
      <c r="O256" s="645">
        <v>2.8624530156397006</v>
      </c>
      <c r="P256" s="645">
        <v>541.90719860025752</v>
      </c>
      <c r="Q256" s="645">
        <v>34.744016552062419</v>
      </c>
      <c r="R256" s="645">
        <v>3.1559026365968594</v>
      </c>
      <c r="S256" s="645">
        <v>1337.3305910951583</v>
      </c>
      <c r="U256" s="644" t="s">
        <v>83</v>
      </c>
      <c r="V256" s="645">
        <v>1.5000162600463405</v>
      </c>
      <c r="W256" s="645">
        <v>0</v>
      </c>
      <c r="X256" s="645">
        <v>11.642988856720871</v>
      </c>
      <c r="Y256" s="645">
        <v>0</v>
      </c>
      <c r="Z256" s="645">
        <v>0</v>
      </c>
      <c r="AA256" s="645">
        <v>0</v>
      </c>
      <c r="AB256" s="645">
        <v>72.998047331393281</v>
      </c>
      <c r="AC256" s="645">
        <v>4.1448350868904589</v>
      </c>
      <c r="AD256" s="645">
        <v>56.30488079443672</v>
      </c>
      <c r="AE256" s="645">
        <v>108.92560601395611</v>
      </c>
      <c r="AF256" s="645">
        <v>123.16818516374138</v>
      </c>
      <c r="AG256" s="645">
        <v>8.5623521411059595</v>
      </c>
      <c r="AH256" s="645">
        <v>512.22753841958684</v>
      </c>
      <c r="AI256" s="645">
        <v>68.423763504668656</v>
      </c>
      <c r="AJ256" s="645">
        <v>16.512616402642333</v>
      </c>
      <c r="AK256" s="645">
        <v>984.4108299751889</v>
      </c>
    </row>
    <row r="257" spans="3:37" x14ac:dyDescent="0.2">
      <c r="C257" s="639" t="s">
        <v>84</v>
      </c>
      <c r="D257" s="640">
        <v>0</v>
      </c>
      <c r="E257" s="640">
        <v>0</v>
      </c>
      <c r="F257" s="640">
        <v>100.05515171814793</v>
      </c>
      <c r="G257" s="640">
        <v>11.196954266678716</v>
      </c>
      <c r="H257" s="640">
        <v>0</v>
      </c>
      <c r="I257" s="640">
        <v>0</v>
      </c>
      <c r="J257" s="640">
        <v>0</v>
      </c>
      <c r="K257" s="640">
        <v>0</v>
      </c>
      <c r="L257" s="640">
        <v>0</v>
      </c>
      <c r="M257" s="640">
        <v>0</v>
      </c>
      <c r="N257" s="640">
        <v>0</v>
      </c>
      <c r="O257" s="640">
        <v>0</v>
      </c>
      <c r="P257" s="640">
        <v>0</v>
      </c>
      <c r="Q257" s="640">
        <v>0</v>
      </c>
      <c r="R257" s="640">
        <v>3.9154347726113912</v>
      </c>
      <c r="S257" s="648">
        <v>115.16754075743803</v>
      </c>
      <c r="U257" s="639" t="s">
        <v>84</v>
      </c>
      <c r="V257" s="640">
        <v>0</v>
      </c>
      <c r="W257" s="640">
        <v>0</v>
      </c>
      <c r="X257" s="640">
        <v>57.953190468871433</v>
      </c>
      <c r="Y257" s="640">
        <v>0.51452681198611927</v>
      </c>
      <c r="Z257" s="640">
        <v>0</v>
      </c>
      <c r="AA257" s="640">
        <v>0</v>
      </c>
      <c r="AB257" s="640">
        <v>0</v>
      </c>
      <c r="AC257" s="640">
        <v>0</v>
      </c>
      <c r="AD257" s="640">
        <v>30.108432000732424</v>
      </c>
      <c r="AE257" s="640">
        <v>0</v>
      </c>
      <c r="AF257" s="640">
        <v>0</v>
      </c>
      <c r="AG257" s="640">
        <v>0</v>
      </c>
      <c r="AH257" s="640">
        <v>0</v>
      </c>
      <c r="AI257" s="640">
        <v>0</v>
      </c>
      <c r="AJ257" s="640">
        <v>20.543554244995118</v>
      </c>
      <c r="AK257" s="648">
        <v>109.1197035265851</v>
      </c>
    </row>
    <row r="258" spans="3:37" x14ac:dyDescent="0.2">
      <c r="C258" s="644" t="s">
        <v>85</v>
      </c>
      <c r="D258" s="645">
        <v>3.6733927919712848</v>
      </c>
      <c r="E258" s="645">
        <v>0</v>
      </c>
      <c r="F258" s="645">
        <v>371.07481988239573</v>
      </c>
      <c r="G258" s="645">
        <v>266.98818345570078</v>
      </c>
      <c r="H258" s="645">
        <v>0</v>
      </c>
      <c r="I258" s="645">
        <v>0</v>
      </c>
      <c r="J258" s="645">
        <v>116.96131138117599</v>
      </c>
      <c r="K258" s="645">
        <v>1.7266732887522405</v>
      </c>
      <c r="L258" s="645">
        <v>25.166558400865188</v>
      </c>
      <c r="M258" s="645">
        <v>5.238424175077693</v>
      </c>
      <c r="N258" s="645">
        <v>75.083762899489528</v>
      </c>
      <c r="O258" s="645">
        <v>2.8624530156397006</v>
      </c>
      <c r="P258" s="645">
        <v>541.90719860025752</v>
      </c>
      <c r="Q258" s="645">
        <v>34.744016552062419</v>
      </c>
      <c r="R258" s="645">
        <v>7.071337409208251</v>
      </c>
      <c r="S258" s="645">
        <v>1452.4981318525963</v>
      </c>
      <c r="U258" s="644" t="s">
        <v>85</v>
      </c>
      <c r="V258" s="645">
        <v>1.5000162600463405</v>
      </c>
      <c r="W258" s="645">
        <v>0</v>
      </c>
      <c r="X258" s="645">
        <v>69.596179325592303</v>
      </c>
      <c r="Y258" s="645">
        <v>0.51452681198611927</v>
      </c>
      <c r="Z258" s="645">
        <v>0</v>
      </c>
      <c r="AA258" s="645">
        <v>0</v>
      </c>
      <c r="AB258" s="645">
        <v>72.998047331393281</v>
      </c>
      <c r="AC258" s="645">
        <v>4.1448350868904589</v>
      </c>
      <c r="AD258" s="645">
        <v>86.413312795169148</v>
      </c>
      <c r="AE258" s="645">
        <v>108.92560601395611</v>
      </c>
      <c r="AF258" s="645">
        <v>123.16818516374138</v>
      </c>
      <c r="AG258" s="645">
        <v>8.5623521411059595</v>
      </c>
      <c r="AH258" s="645">
        <v>512.22753841958684</v>
      </c>
      <c r="AI258" s="645">
        <v>68.423763504668656</v>
      </c>
      <c r="AJ258" s="645">
        <v>37.056170647637451</v>
      </c>
      <c r="AK258" s="645">
        <v>1093.530533501774</v>
      </c>
    </row>
    <row r="259" spans="3:37" x14ac:dyDescent="0.2">
      <c r="C259" s="634"/>
      <c r="D259" s="634"/>
      <c r="E259" s="634"/>
      <c r="F259" s="634"/>
      <c r="G259" s="634"/>
      <c r="H259" s="634"/>
      <c r="I259" s="634"/>
      <c r="J259" s="634"/>
      <c r="K259" s="634"/>
      <c r="L259" s="634"/>
      <c r="M259" s="634"/>
      <c r="N259" s="634"/>
      <c r="O259" s="634"/>
      <c r="P259" s="634"/>
      <c r="Q259" s="634"/>
      <c r="R259" s="634"/>
      <c r="S259" s="634"/>
      <c r="U259" s="634"/>
      <c r="V259" s="634"/>
      <c r="W259" s="634"/>
      <c r="X259" s="634"/>
      <c r="Y259" s="634"/>
      <c r="Z259" s="634"/>
      <c r="AA259" s="634"/>
      <c r="AB259" s="634"/>
      <c r="AC259" s="634"/>
      <c r="AD259" s="634"/>
      <c r="AE259" s="634"/>
      <c r="AF259" s="634"/>
      <c r="AG259" s="634"/>
      <c r="AH259" s="634"/>
      <c r="AI259" s="634"/>
      <c r="AJ259" s="634"/>
      <c r="AK259" s="634"/>
    </row>
    <row r="260" spans="3:37" x14ac:dyDescent="0.2">
      <c r="C260" s="634"/>
      <c r="D260" s="634"/>
      <c r="E260" s="634"/>
      <c r="F260" s="634"/>
      <c r="G260" s="634"/>
      <c r="H260" s="634"/>
      <c r="I260" s="634"/>
      <c r="J260" s="634"/>
      <c r="K260" s="634"/>
      <c r="L260" s="634"/>
      <c r="M260" s="634"/>
      <c r="N260" s="634"/>
      <c r="O260" s="634"/>
      <c r="P260" s="634"/>
      <c r="Q260" s="634"/>
      <c r="R260" s="634"/>
      <c r="S260" s="634"/>
      <c r="U260" s="634"/>
      <c r="V260" s="634"/>
      <c r="W260" s="634"/>
      <c r="X260" s="634"/>
      <c r="Y260" s="634"/>
      <c r="Z260" s="634"/>
      <c r="AA260" s="634"/>
      <c r="AB260" s="634"/>
      <c r="AC260" s="634"/>
      <c r="AD260" s="634"/>
      <c r="AE260" s="634"/>
      <c r="AF260" s="634"/>
      <c r="AG260" s="634"/>
      <c r="AH260" s="634"/>
      <c r="AI260" s="634"/>
      <c r="AJ260" s="634"/>
      <c r="AK260" s="634"/>
    </row>
  </sheetData>
  <mergeCells count="184">
    <mergeCell ref="C2:S2"/>
    <mergeCell ref="U2:AK2"/>
    <mergeCell ref="C8:S8"/>
    <mergeCell ref="U8:AK8"/>
    <mergeCell ref="C10:C11"/>
    <mergeCell ref="D10:D11"/>
    <mergeCell ref="E10:E11"/>
    <mergeCell ref="F10:F11"/>
    <mergeCell ref="G10:G11"/>
    <mergeCell ref="H10:H11"/>
    <mergeCell ref="I10:I11"/>
    <mergeCell ref="J10:O10"/>
    <mergeCell ref="AH10:AH11"/>
    <mergeCell ref="AI10:AI11"/>
    <mergeCell ref="AJ10:AJ11"/>
    <mergeCell ref="AK10:AK11"/>
    <mergeCell ref="C44:S44"/>
    <mergeCell ref="U44:AK44"/>
    <mergeCell ref="W10:W11"/>
    <mergeCell ref="X10:X11"/>
    <mergeCell ref="Y10:Y11"/>
    <mergeCell ref="Z10:Z11"/>
    <mergeCell ref="AA10:AA11"/>
    <mergeCell ref="AB10:AG10"/>
    <mergeCell ref="P10:P11"/>
    <mergeCell ref="Q10:Q11"/>
    <mergeCell ref="R10:R11"/>
    <mergeCell ref="S10:S11"/>
    <mergeCell ref="U10:U11"/>
    <mergeCell ref="V10:V11"/>
    <mergeCell ref="I46:I47"/>
    <mergeCell ref="J46:O46"/>
    <mergeCell ref="P46:P47"/>
    <mergeCell ref="Q46:Q47"/>
    <mergeCell ref="R46:R47"/>
    <mergeCell ref="S46:S47"/>
    <mergeCell ref="C46:C47"/>
    <mergeCell ref="D46:D47"/>
    <mergeCell ref="E46:E47"/>
    <mergeCell ref="F46:F47"/>
    <mergeCell ref="G46:G47"/>
    <mergeCell ref="H46:H47"/>
    <mergeCell ref="AA46:AA47"/>
    <mergeCell ref="AB46:AG46"/>
    <mergeCell ref="AH46:AH47"/>
    <mergeCell ref="AI46:AI47"/>
    <mergeCell ref="AJ46:AJ47"/>
    <mergeCell ref="AK46:AK47"/>
    <mergeCell ref="U46:U47"/>
    <mergeCell ref="V46:V47"/>
    <mergeCell ref="W46:W47"/>
    <mergeCell ref="X46:X47"/>
    <mergeCell ref="Y46:Y47"/>
    <mergeCell ref="Z46:Z47"/>
    <mergeCell ref="C80:S80"/>
    <mergeCell ref="U80:AK80"/>
    <mergeCell ref="C82:C83"/>
    <mergeCell ref="D82:D83"/>
    <mergeCell ref="E82:E83"/>
    <mergeCell ref="F82:F83"/>
    <mergeCell ref="G82:G83"/>
    <mergeCell ref="H82:H83"/>
    <mergeCell ref="I82:I83"/>
    <mergeCell ref="J82:O82"/>
    <mergeCell ref="AH82:AH83"/>
    <mergeCell ref="AI82:AI83"/>
    <mergeCell ref="AJ82:AJ83"/>
    <mergeCell ref="AK82:AK83"/>
    <mergeCell ref="C116:S116"/>
    <mergeCell ref="U116:AK116"/>
    <mergeCell ref="W82:W83"/>
    <mergeCell ref="X82:X83"/>
    <mergeCell ref="Y82:Y83"/>
    <mergeCell ref="Z82:Z83"/>
    <mergeCell ref="AA82:AA83"/>
    <mergeCell ref="AB82:AG82"/>
    <mergeCell ref="P82:P83"/>
    <mergeCell ref="Q82:Q83"/>
    <mergeCell ref="R82:R83"/>
    <mergeCell ref="S82:S83"/>
    <mergeCell ref="U82:U83"/>
    <mergeCell ref="V82:V83"/>
    <mergeCell ref="I118:I119"/>
    <mergeCell ref="J118:O118"/>
    <mergeCell ref="P118:P119"/>
    <mergeCell ref="Q118:Q119"/>
    <mergeCell ref="R118:R119"/>
    <mergeCell ref="S118:S119"/>
    <mergeCell ref="C118:C119"/>
    <mergeCell ref="D118:D119"/>
    <mergeCell ref="E118:E119"/>
    <mergeCell ref="F118:F119"/>
    <mergeCell ref="G118:G119"/>
    <mergeCell ref="H118:H119"/>
    <mergeCell ref="AA118:AA119"/>
    <mergeCell ref="AB118:AG118"/>
    <mergeCell ref="AH118:AH119"/>
    <mergeCell ref="AI118:AI119"/>
    <mergeCell ref="AJ118:AJ119"/>
    <mergeCell ref="AK118:AK119"/>
    <mergeCell ref="U118:U119"/>
    <mergeCell ref="V118:V119"/>
    <mergeCell ref="W118:W119"/>
    <mergeCell ref="X118:X119"/>
    <mergeCell ref="Y118:Y119"/>
    <mergeCell ref="Z118:Z119"/>
    <mergeCell ref="C152:S152"/>
    <mergeCell ref="U152:AK152"/>
    <mergeCell ref="C154:C155"/>
    <mergeCell ref="D154:D155"/>
    <mergeCell ref="E154:E155"/>
    <mergeCell ref="F154:F155"/>
    <mergeCell ref="G154:G155"/>
    <mergeCell ref="H154:H155"/>
    <mergeCell ref="I154:I155"/>
    <mergeCell ref="J154:O154"/>
    <mergeCell ref="AH154:AH155"/>
    <mergeCell ref="AI154:AI155"/>
    <mergeCell ref="AJ154:AJ155"/>
    <mergeCell ref="AK154:AK155"/>
    <mergeCell ref="C224:S224"/>
    <mergeCell ref="U224:AK224"/>
    <mergeCell ref="C188:S188"/>
    <mergeCell ref="U188:AK188"/>
    <mergeCell ref="W154:W155"/>
    <mergeCell ref="X154:X155"/>
    <mergeCell ref="Y154:Y155"/>
    <mergeCell ref="Z154:Z155"/>
    <mergeCell ref="AA154:AA155"/>
    <mergeCell ref="AB154:AG154"/>
    <mergeCell ref="P154:P155"/>
    <mergeCell ref="Q154:Q155"/>
    <mergeCell ref="R154:R155"/>
    <mergeCell ref="S154:S155"/>
    <mergeCell ref="U154:U155"/>
    <mergeCell ref="V154:V155"/>
    <mergeCell ref="I190:I191"/>
    <mergeCell ref="J190:O190"/>
    <mergeCell ref="P190:P191"/>
    <mergeCell ref="Q190:Q191"/>
    <mergeCell ref="R190:R191"/>
    <mergeCell ref="S190:S191"/>
    <mergeCell ref="C190:C191"/>
    <mergeCell ref="D190:D191"/>
    <mergeCell ref="E190:E191"/>
    <mergeCell ref="F190:F191"/>
    <mergeCell ref="G190:G191"/>
    <mergeCell ref="H190:H191"/>
    <mergeCell ref="AH190:AH191"/>
    <mergeCell ref="AI190:AI191"/>
    <mergeCell ref="AJ190:AJ191"/>
    <mergeCell ref="AK190:AK191"/>
    <mergeCell ref="U190:U191"/>
    <mergeCell ref="V190:V191"/>
    <mergeCell ref="W190:W191"/>
    <mergeCell ref="X190:X191"/>
    <mergeCell ref="Y190:Y191"/>
    <mergeCell ref="Z190:Z191"/>
    <mergeCell ref="AA190:AA191"/>
    <mergeCell ref="AB190:AG190"/>
    <mergeCell ref="AI226:AI227"/>
    <mergeCell ref="AJ226:AJ227"/>
    <mergeCell ref="AK226:AK227"/>
    <mergeCell ref="W226:W227"/>
    <mergeCell ref="X226:X227"/>
    <mergeCell ref="Y226:Y227"/>
    <mergeCell ref="Z226:Z227"/>
    <mergeCell ref="C226:C227"/>
    <mergeCell ref="D226:D227"/>
    <mergeCell ref="E226:E227"/>
    <mergeCell ref="F226:F227"/>
    <mergeCell ref="G226:G227"/>
    <mergeCell ref="H226:H227"/>
    <mergeCell ref="I226:I227"/>
    <mergeCell ref="J226:O226"/>
    <mergeCell ref="AH226:AH227"/>
    <mergeCell ref="AA226:AA227"/>
    <mergeCell ref="AB226:AG226"/>
    <mergeCell ref="P226:P227"/>
    <mergeCell ref="Q226:Q227"/>
    <mergeCell ref="R226:R227"/>
    <mergeCell ref="S226:S227"/>
    <mergeCell ref="U226:U227"/>
    <mergeCell ref="V226:V227"/>
  </mergeCells>
  <conditionalFormatting sqref="D12:S18">
    <cfRule type="expression" dxfId="2053" priority="707">
      <formula>LEN(TRIM(D12))=0</formula>
    </cfRule>
  </conditionalFormatting>
  <conditionalFormatting sqref="D20:S32">
    <cfRule type="expression" dxfId="2052" priority="684">
      <formula>LEN(TRIM(D20))=0</formula>
    </cfRule>
    <cfRule type="cellIs" dxfId="2051" priority="683" operator="equal">
      <formula>0</formula>
    </cfRule>
  </conditionalFormatting>
  <conditionalFormatting sqref="D34:S42">
    <cfRule type="cellIs" dxfId="2050" priority="671" operator="equal">
      <formula>0</formula>
    </cfRule>
    <cfRule type="expression" dxfId="2049" priority="672">
      <formula>LEN(TRIM(D34))=0</formula>
    </cfRule>
  </conditionalFormatting>
  <conditionalFormatting sqref="D48:S54">
    <cfRule type="expression" dxfId="2048" priority="666">
      <formula>LEN(TRIM(D48))=0</formula>
    </cfRule>
  </conditionalFormatting>
  <conditionalFormatting sqref="D56:S68">
    <cfRule type="expression" dxfId="2047" priority="643">
      <formula>LEN(TRIM(D56))=0</formula>
    </cfRule>
    <cfRule type="cellIs" dxfId="2046" priority="642" operator="equal">
      <formula>0</formula>
    </cfRule>
  </conditionalFormatting>
  <conditionalFormatting sqref="D70:S78">
    <cfRule type="expression" dxfId="2045" priority="631">
      <formula>LEN(TRIM(D70))=0</formula>
    </cfRule>
    <cfRule type="cellIs" dxfId="2044" priority="630" operator="equal">
      <formula>0</formula>
    </cfRule>
  </conditionalFormatting>
  <conditionalFormatting sqref="D84:S90">
    <cfRule type="expression" dxfId="2043" priority="625">
      <formula>LEN(TRIM(D84))=0</formula>
    </cfRule>
  </conditionalFormatting>
  <conditionalFormatting sqref="D92:S104">
    <cfRule type="cellIs" dxfId="2042" priority="601" operator="equal">
      <formula>0</formula>
    </cfRule>
    <cfRule type="expression" dxfId="2041" priority="602">
      <formula>LEN(TRIM(D92))=0</formula>
    </cfRule>
  </conditionalFormatting>
  <conditionalFormatting sqref="D106:S114">
    <cfRule type="expression" dxfId="2040" priority="590">
      <formula>LEN(TRIM(D106))=0</formula>
    </cfRule>
    <cfRule type="cellIs" dxfId="2039" priority="589" operator="equal">
      <formula>0</formula>
    </cfRule>
  </conditionalFormatting>
  <conditionalFormatting sqref="D120:S126">
    <cfRule type="expression" dxfId="2038" priority="584">
      <formula>LEN(TRIM(D120))=0</formula>
    </cfRule>
  </conditionalFormatting>
  <conditionalFormatting sqref="D128:S140">
    <cfRule type="expression" dxfId="2037" priority="561">
      <formula>LEN(TRIM(D128))=0</formula>
    </cfRule>
    <cfRule type="cellIs" dxfId="2036" priority="560" operator="equal">
      <formula>0</formula>
    </cfRule>
  </conditionalFormatting>
  <conditionalFormatting sqref="D142:S150">
    <cfRule type="cellIs" dxfId="2035" priority="548" operator="equal">
      <formula>0</formula>
    </cfRule>
    <cfRule type="expression" dxfId="2034" priority="549">
      <formula>LEN(TRIM(D142))=0</formula>
    </cfRule>
  </conditionalFormatting>
  <conditionalFormatting sqref="D156:S162">
    <cfRule type="expression" dxfId="2033" priority="543">
      <formula>LEN(TRIM(D156))=0</formula>
    </cfRule>
  </conditionalFormatting>
  <conditionalFormatting sqref="D164:S176">
    <cfRule type="expression" dxfId="2032" priority="520">
      <formula>LEN(TRIM(D164))=0</formula>
    </cfRule>
    <cfRule type="cellIs" dxfId="2031" priority="519" operator="equal">
      <formula>0</formula>
    </cfRule>
  </conditionalFormatting>
  <conditionalFormatting sqref="D178:S186">
    <cfRule type="cellIs" dxfId="2030" priority="507" operator="equal">
      <formula>0</formula>
    </cfRule>
    <cfRule type="expression" dxfId="2029" priority="508">
      <formula>LEN(TRIM(D178))=0</formula>
    </cfRule>
  </conditionalFormatting>
  <conditionalFormatting sqref="D192:S198">
    <cfRule type="expression" dxfId="2028" priority="502">
      <formula>LEN(TRIM(D192))=0</formula>
    </cfRule>
  </conditionalFormatting>
  <conditionalFormatting sqref="D200:S212">
    <cfRule type="expression" dxfId="2027" priority="479">
      <formula>LEN(TRIM(D200))=0</formula>
    </cfRule>
    <cfRule type="cellIs" dxfId="2026" priority="478" operator="equal">
      <formula>0</formula>
    </cfRule>
  </conditionalFormatting>
  <conditionalFormatting sqref="D214:S222">
    <cfRule type="expression" dxfId="2025" priority="467">
      <formula>LEN(TRIM(D214))=0</formula>
    </cfRule>
    <cfRule type="cellIs" dxfId="2024" priority="466" operator="equal">
      <formula>0</formula>
    </cfRule>
  </conditionalFormatting>
  <conditionalFormatting sqref="D228:S234">
    <cfRule type="expression" dxfId="2023" priority="461">
      <formula>LEN(TRIM(D228))=0</formula>
    </cfRule>
  </conditionalFormatting>
  <conditionalFormatting sqref="D236:S248">
    <cfRule type="expression" dxfId="2022" priority="438">
      <formula>LEN(TRIM(D236))=0</formula>
    </cfRule>
    <cfRule type="cellIs" dxfId="2021" priority="437" operator="equal">
      <formula>0</formula>
    </cfRule>
  </conditionalFormatting>
  <conditionalFormatting sqref="D250:S258">
    <cfRule type="expression" dxfId="2020" priority="426">
      <formula>LEN(TRIM(D250))=0</formula>
    </cfRule>
    <cfRule type="cellIs" dxfId="2019" priority="425" operator="equal">
      <formula>0</formula>
    </cfRule>
  </conditionalFormatting>
  <conditionalFormatting sqref="G12:G14 Q12:S14 D12:F17 E15:I17 P15:S17 D18:S18">
    <cfRule type="cellIs" dxfId="2018" priority="691" operator="equal">
      <formula>0</formula>
    </cfRule>
  </conditionalFormatting>
  <conditionalFormatting sqref="G48:G50 Q48:S50 D48:F53 E51:I53 P51:S53 D54:S54">
    <cfRule type="cellIs" dxfId="2017" priority="650" operator="equal">
      <formula>0</formula>
    </cfRule>
  </conditionalFormatting>
  <conditionalFormatting sqref="G84:G86 Q84:S86 D84:F89 E87:I89 P87:S89 D90:S90">
    <cfRule type="cellIs" dxfId="2016" priority="609" operator="equal">
      <formula>0</formula>
    </cfRule>
  </conditionalFormatting>
  <conditionalFormatting sqref="G120:G122 Q120:S122 D120:F125 E123:I125 P123:S125 D126:S126">
    <cfRule type="cellIs" dxfId="2015" priority="568" operator="equal">
      <formula>0</formula>
    </cfRule>
  </conditionalFormatting>
  <conditionalFormatting sqref="G156:G158 Q156:S158 D156:F161 E159:I161 P159:S161 D162:S162">
    <cfRule type="cellIs" dxfId="2014" priority="527" operator="equal">
      <formula>0</formula>
    </cfRule>
  </conditionalFormatting>
  <conditionalFormatting sqref="G192:G194 Q192:S194 D192:F197 E195:I197 P195:S197 D198:S198">
    <cfRule type="cellIs" dxfId="2013" priority="486" operator="equal">
      <formula>0</formula>
    </cfRule>
  </conditionalFormatting>
  <conditionalFormatting sqref="G228:G230 Q228:S230 D228:F233 E231:I233 P231:S233 D234:S234">
    <cfRule type="cellIs" dxfId="2012" priority="445" operator="equal">
      <formula>0</formula>
    </cfRule>
  </conditionalFormatting>
  <conditionalFormatting sqref="H12:I17">
    <cfRule type="cellIs" dxfId="2011" priority="693" operator="equal">
      <formula>0</formula>
    </cfRule>
  </conditionalFormatting>
  <conditionalFormatting sqref="H48:I53">
    <cfRule type="cellIs" dxfId="2010" priority="652" operator="equal">
      <formula>0</formula>
    </cfRule>
  </conditionalFormatting>
  <conditionalFormatting sqref="H84:I89">
    <cfRule type="cellIs" dxfId="2009" priority="611" operator="equal">
      <formula>0</formula>
    </cfRule>
  </conditionalFormatting>
  <conditionalFormatting sqref="H120:I125">
    <cfRule type="cellIs" dxfId="2008" priority="570" operator="equal">
      <formula>0</formula>
    </cfRule>
  </conditionalFormatting>
  <conditionalFormatting sqref="H156:I161">
    <cfRule type="cellIs" dxfId="2007" priority="529" operator="equal">
      <formula>0</formula>
    </cfRule>
  </conditionalFormatting>
  <conditionalFormatting sqref="H192:I197">
    <cfRule type="cellIs" dxfId="2006" priority="488" operator="equal">
      <formula>0</formula>
    </cfRule>
  </conditionalFormatting>
  <conditionalFormatting sqref="H228:I233">
    <cfRule type="cellIs" dxfId="2005" priority="447" operator="equal">
      <formula>0</formula>
    </cfRule>
  </conditionalFormatting>
  <conditionalFormatting sqref="J11:O17">
    <cfRule type="cellIs" dxfId="2004" priority="79" operator="equal">
      <formula>0</formula>
    </cfRule>
  </conditionalFormatting>
  <conditionalFormatting sqref="J47:O53">
    <cfRule type="cellIs" dxfId="2003" priority="67" operator="equal">
      <formula>0</formula>
    </cfRule>
  </conditionalFormatting>
  <conditionalFormatting sqref="J83:O89">
    <cfRule type="cellIs" dxfId="2002" priority="55" operator="equal">
      <formula>0</formula>
    </cfRule>
  </conditionalFormatting>
  <conditionalFormatting sqref="J119:O125">
    <cfRule type="cellIs" dxfId="2001" priority="43" operator="equal">
      <formula>0</formula>
    </cfRule>
  </conditionalFormatting>
  <conditionalFormatting sqref="J155:O161">
    <cfRule type="cellIs" dxfId="2000" priority="31" operator="equal">
      <formula>0</formula>
    </cfRule>
  </conditionalFormatting>
  <conditionalFormatting sqref="J191:O197">
    <cfRule type="cellIs" dxfId="1999" priority="19" operator="equal">
      <formula>0</formula>
    </cfRule>
  </conditionalFormatting>
  <conditionalFormatting sqref="J227:O233">
    <cfRule type="cellIs" dxfId="1998" priority="7" operator="equal">
      <formula>0</formula>
    </cfRule>
  </conditionalFormatting>
  <conditionalFormatting sqref="K12:O12">
    <cfRule type="cellIs" dxfId="1997" priority="696" operator="equal">
      <formula>0</formula>
    </cfRule>
  </conditionalFormatting>
  <conditionalFormatting sqref="K48:O48">
    <cfRule type="cellIs" dxfId="1996" priority="655" operator="equal">
      <formula>0</formula>
    </cfRule>
  </conditionalFormatting>
  <conditionalFormatting sqref="K84:O84">
    <cfRule type="cellIs" dxfId="1995" priority="614" operator="equal">
      <formula>0</formula>
    </cfRule>
  </conditionalFormatting>
  <conditionalFormatting sqref="K120:O120">
    <cfRule type="cellIs" dxfId="1994" priority="573" operator="equal">
      <formula>0</formula>
    </cfRule>
  </conditionalFormatting>
  <conditionalFormatting sqref="K156:O156">
    <cfRule type="cellIs" dxfId="1993" priority="532" operator="equal">
      <formula>0</formula>
    </cfRule>
  </conditionalFormatting>
  <conditionalFormatting sqref="K192:O192">
    <cfRule type="cellIs" dxfId="1992" priority="491" operator="equal">
      <formula>0</formula>
    </cfRule>
  </conditionalFormatting>
  <conditionalFormatting sqref="K228:O228">
    <cfRule type="cellIs" dxfId="1991" priority="450" operator="equal">
      <formula>0</formula>
    </cfRule>
  </conditionalFormatting>
  <conditionalFormatting sqref="P12:P17">
    <cfRule type="cellIs" dxfId="1990" priority="692" operator="equal">
      <formula>0</formula>
    </cfRule>
  </conditionalFormatting>
  <conditionalFormatting sqref="P48:P53">
    <cfRule type="cellIs" dxfId="1989" priority="651" operator="equal">
      <formula>0</formula>
    </cfRule>
  </conditionalFormatting>
  <conditionalFormatting sqref="P84:P89">
    <cfRule type="cellIs" dxfId="1988" priority="610" operator="equal">
      <formula>0</formula>
    </cfRule>
  </conditionalFormatting>
  <conditionalFormatting sqref="P120:P125">
    <cfRule type="cellIs" dxfId="1987" priority="569" operator="equal">
      <formula>0</formula>
    </cfRule>
  </conditionalFormatting>
  <conditionalFormatting sqref="P156:P161">
    <cfRule type="cellIs" dxfId="1986" priority="528" operator="equal">
      <formula>0</formula>
    </cfRule>
  </conditionalFormatting>
  <conditionalFormatting sqref="P192:P197">
    <cfRule type="cellIs" dxfId="1985" priority="487" operator="equal">
      <formula>0</formula>
    </cfRule>
  </conditionalFormatting>
  <conditionalFormatting sqref="P228:P233">
    <cfRule type="cellIs" dxfId="1984" priority="446" operator="equal">
      <formula>0</formula>
    </cfRule>
  </conditionalFormatting>
  <conditionalFormatting sqref="V12:AK18">
    <cfRule type="expression" dxfId="1983" priority="379">
      <formula>LEN(TRIM(V12))=0</formula>
    </cfRule>
  </conditionalFormatting>
  <conditionalFormatting sqref="V20:AK32">
    <cfRule type="expression" dxfId="1982" priority="356">
      <formula>LEN(TRIM(V20))=0</formula>
    </cfRule>
    <cfRule type="cellIs" dxfId="1981" priority="355" operator="equal">
      <formula>0</formula>
    </cfRule>
  </conditionalFormatting>
  <conditionalFormatting sqref="V34:AK42">
    <cfRule type="expression" dxfId="1980" priority="344">
      <formula>LEN(TRIM(V34))=0</formula>
    </cfRule>
    <cfRule type="cellIs" dxfId="1979" priority="343" operator="equal">
      <formula>0</formula>
    </cfRule>
  </conditionalFormatting>
  <conditionalFormatting sqref="V48:AK54">
    <cfRule type="expression" dxfId="1978" priority="338">
      <formula>LEN(TRIM(V48))=0</formula>
    </cfRule>
  </conditionalFormatting>
  <conditionalFormatting sqref="V56:AK68">
    <cfRule type="expression" dxfId="1977" priority="315">
      <formula>LEN(TRIM(V56))=0</formula>
    </cfRule>
    <cfRule type="cellIs" dxfId="1976" priority="314" operator="equal">
      <formula>0</formula>
    </cfRule>
  </conditionalFormatting>
  <conditionalFormatting sqref="V70:AK78">
    <cfRule type="expression" dxfId="1975" priority="303">
      <formula>LEN(TRIM(V70))=0</formula>
    </cfRule>
    <cfRule type="cellIs" dxfId="1974" priority="302" operator="equal">
      <formula>0</formula>
    </cfRule>
  </conditionalFormatting>
  <conditionalFormatting sqref="V84:AK90">
    <cfRule type="expression" dxfId="1973" priority="297">
      <formula>LEN(TRIM(V84))=0</formula>
    </cfRule>
  </conditionalFormatting>
  <conditionalFormatting sqref="V92:AK104">
    <cfRule type="expression" dxfId="1972" priority="274">
      <formula>LEN(TRIM(V92))=0</formula>
    </cfRule>
    <cfRule type="cellIs" dxfId="1971" priority="273" operator="equal">
      <formula>0</formula>
    </cfRule>
  </conditionalFormatting>
  <conditionalFormatting sqref="V106:AK114">
    <cfRule type="expression" dxfId="1970" priority="262">
      <formula>LEN(TRIM(V106))=0</formula>
    </cfRule>
    <cfRule type="cellIs" dxfId="1969" priority="261" operator="equal">
      <formula>0</formula>
    </cfRule>
  </conditionalFormatting>
  <conditionalFormatting sqref="V120:AK126">
    <cfRule type="expression" dxfId="1968" priority="256">
      <formula>LEN(TRIM(V120))=0</formula>
    </cfRule>
  </conditionalFormatting>
  <conditionalFormatting sqref="V128:AK140">
    <cfRule type="cellIs" dxfId="1967" priority="232" operator="equal">
      <formula>0</formula>
    </cfRule>
    <cfRule type="expression" dxfId="1966" priority="233">
      <formula>LEN(TRIM(V128))=0</formula>
    </cfRule>
  </conditionalFormatting>
  <conditionalFormatting sqref="V142:AK150">
    <cfRule type="cellIs" dxfId="1965" priority="220" operator="equal">
      <formula>0</formula>
    </cfRule>
    <cfRule type="expression" dxfId="1964" priority="221">
      <formula>LEN(TRIM(V142))=0</formula>
    </cfRule>
  </conditionalFormatting>
  <conditionalFormatting sqref="V156:AK162">
    <cfRule type="expression" dxfId="1963" priority="215">
      <formula>LEN(TRIM(V156))=0</formula>
    </cfRule>
  </conditionalFormatting>
  <conditionalFormatting sqref="V164:AK176">
    <cfRule type="cellIs" dxfId="1962" priority="191" operator="equal">
      <formula>0</formula>
    </cfRule>
    <cfRule type="expression" dxfId="1961" priority="192">
      <formula>LEN(TRIM(V164))=0</formula>
    </cfRule>
  </conditionalFormatting>
  <conditionalFormatting sqref="V178:AK186">
    <cfRule type="expression" dxfId="1960" priority="180">
      <formula>LEN(TRIM(V178))=0</formula>
    </cfRule>
    <cfRule type="cellIs" dxfId="1959" priority="179" operator="equal">
      <formula>0</formula>
    </cfRule>
  </conditionalFormatting>
  <conditionalFormatting sqref="V192:AK198">
    <cfRule type="expression" dxfId="1958" priority="174">
      <formula>LEN(TRIM(V192))=0</formula>
    </cfRule>
  </conditionalFormatting>
  <conditionalFormatting sqref="V200:AK212">
    <cfRule type="cellIs" dxfId="1957" priority="150" operator="equal">
      <formula>0</formula>
    </cfRule>
    <cfRule type="expression" dxfId="1956" priority="151">
      <formula>LEN(TRIM(V200))=0</formula>
    </cfRule>
  </conditionalFormatting>
  <conditionalFormatting sqref="V214:AK222">
    <cfRule type="expression" dxfId="1955" priority="139">
      <formula>LEN(TRIM(V214))=0</formula>
    </cfRule>
    <cfRule type="cellIs" dxfId="1954" priority="138" operator="equal">
      <formula>0</formula>
    </cfRule>
  </conditionalFormatting>
  <conditionalFormatting sqref="V228:AK234">
    <cfRule type="expression" dxfId="1953" priority="133">
      <formula>LEN(TRIM(V228))=0</formula>
    </cfRule>
  </conditionalFormatting>
  <conditionalFormatting sqref="V236:AK248">
    <cfRule type="expression" dxfId="1952" priority="110">
      <formula>LEN(TRIM(V236))=0</formula>
    </cfRule>
    <cfRule type="cellIs" dxfId="1951" priority="109" operator="equal">
      <formula>0</formula>
    </cfRule>
  </conditionalFormatting>
  <conditionalFormatting sqref="V250:AK258">
    <cfRule type="cellIs" dxfId="1950" priority="97" operator="equal">
      <formula>0</formula>
    </cfRule>
    <cfRule type="expression" dxfId="1949" priority="98">
      <formula>LEN(TRIM(V250))=0</formula>
    </cfRule>
  </conditionalFormatting>
  <conditionalFormatting sqref="Y12:Y14 AI12:AK14 V12:X17 W15:AA17 AH15:AK17 V18:AK18">
    <cfRule type="cellIs" dxfId="1948" priority="363" operator="equal">
      <formula>0</formula>
    </cfRule>
  </conditionalFormatting>
  <conditionalFormatting sqref="Y48:Y50 AI48:AK50 V48:X53 W51:AA53 AH51:AK53 V54:AK54">
    <cfRule type="cellIs" dxfId="1947" priority="322" operator="equal">
      <formula>0</formula>
    </cfRule>
  </conditionalFormatting>
  <conditionalFormatting sqref="Y84:Y86 AI84:AK86 V84:X89 W87:AA89 AH87:AK89 V90:AK90">
    <cfRule type="cellIs" dxfId="1946" priority="281" operator="equal">
      <formula>0</formula>
    </cfRule>
  </conditionalFormatting>
  <conditionalFormatting sqref="Y120:Y122 AI120:AK122 V120:X125 W123:AA125 AH123:AK125 V126:AK126">
    <cfRule type="cellIs" dxfId="1945" priority="240" operator="equal">
      <formula>0</formula>
    </cfRule>
  </conditionalFormatting>
  <conditionalFormatting sqref="Y156:Y158 AI156:AK158 V156:X161 W159:AA161 AH159:AK161 V162:AK162">
    <cfRule type="cellIs" dxfId="1944" priority="199" operator="equal">
      <formula>0</formula>
    </cfRule>
  </conditionalFormatting>
  <conditionalFormatting sqref="Y192:Y194 AI192:AK194 V192:X197 W195:AA197 AH195:AK197 V198:AK198">
    <cfRule type="cellIs" dxfId="1943" priority="158" operator="equal">
      <formula>0</formula>
    </cfRule>
  </conditionalFormatting>
  <conditionalFormatting sqref="Y228:Y230 AI228:AK230 V228:X233 W231:AA233 AH231:AK233 V234:AK234">
    <cfRule type="cellIs" dxfId="1942" priority="117" operator="equal">
      <formula>0</formula>
    </cfRule>
  </conditionalFormatting>
  <conditionalFormatting sqref="Z12:AA17">
    <cfRule type="cellIs" dxfId="1941" priority="365" operator="equal">
      <formula>0</formula>
    </cfRule>
  </conditionalFormatting>
  <conditionalFormatting sqref="Z48:AA53">
    <cfRule type="cellIs" dxfId="1940" priority="324" operator="equal">
      <formula>0</formula>
    </cfRule>
  </conditionalFormatting>
  <conditionalFormatting sqref="Z84:AA89">
    <cfRule type="cellIs" dxfId="1939" priority="283" operator="equal">
      <formula>0</formula>
    </cfRule>
  </conditionalFormatting>
  <conditionalFormatting sqref="Z120:AA125">
    <cfRule type="cellIs" dxfId="1938" priority="242" operator="equal">
      <formula>0</formula>
    </cfRule>
  </conditionalFormatting>
  <conditionalFormatting sqref="Z156:AA161">
    <cfRule type="cellIs" dxfId="1937" priority="201" operator="equal">
      <formula>0</formula>
    </cfRule>
  </conditionalFormatting>
  <conditionalFormatting sqref="Z192:AA197">
    <cfRule type="cellIs" dxfId="1936" priority="160" operator="equal">
      <formula>0</formula>
    </cfRule>
  </conditionalFormatting>
  <conditionalFormatting sqref="Z228:AA233">
    <cfRule type="cellIs" dxfId="1935" priority="119" operator="equal">
      <formula>0</formula>
    </cfRule>
  </conditionalFormatting>
  <conditionalFormatting sqref="AB11:AG17">
    <cfRule type="cellIs" dxfId="1934" priority="73" operator="equal">
      <formula>0</formula>
    </cfRule>
  </conditionalFormatting>
  <conditionalFormatting sqref="AB47:AG53">
    <cfRule type="cellIs" dxfId="1933" priority="61" operator="equal">
      <formula>0</formula>
    </cfRule>
  </conditionalFormatting>
  <conditionalFormatting sqref="AB83:AG89">
    <cfRule type="cellIs" dxfId="1932" priority="49" operator="equal">
      <formula>0</formula>
    </cfRule>
  </conditionalFormatting>
  <conditionalFormatting sqref="AB119:AG125">
    <cfRule type="cellIs" dxfId="1931" priority="37" operator="equal">
      <formula>0</formula>
    </cfRule>
  </conditionalFormatting>
  <conditionalFormatting sqref="AB155:AG161">
    <cfRule type="cellIs" dxfId="1930" priority="25" operator="equal">
      <formula>0</formula>
    </cfRule>
  </conditionalFormatting>
  <conditionalFormatting sqref="AB191:AG197">
    <cfRule type="cellIs" dxfId="1929" priority="13" operator="equal">
      <formula>0</formula>
    </cfRule>
  </conditionalFormatting>
  <conditionalFormatting sqref="AB227:AG233">
    <cfRule type="cellIs" dxfId="1928" priority="1" operator="equal">
      <formula>0</formula>
    </cfRule>
  </conditionalFormatting>
  <conditionalFormatting sqref="AC12:AG12">
    <cfRule type="cellIs" dxfId="1927" priority="368" operator="equal">
      <formula>0</formula>
    </cfRule>
  </conditionalFormatting>
  <conditionalFormatting sqref="AC48:AG48">
    <cfRule type="cellIs" dxfId="1926" priority="327" operator="equal">
      <formula>0</formula>
    </cfRule>
  </conditionalFormatting>
  <conditionalFormatting sqref="AC84:AG84">
    <cfRule type="cellIs" dxfId="1925" priority="286" operator="equal">
      <formula>0</formula>
    </cfRule>
  </conditionalFormatting>
  <conditionalFormatting sqref="AC120:AG120">
    <cfRule type="cellIs" dxfId="1924" priority="245" operator="equal">
      <formula>0</formula>
    </cfRule>
  </conditionalFormatting>
  <conditionalFormatting sqref="AC156:AG156">
    <cfRule type="cellIs" dxfId="1923" priority="204" operator="equal">
      <formula>0</formula>
    </cfRule>
  </conditionalFormatting>
  <conditionalFormatting sqref="AC192:AG192">
    <cfRule type="cellIs" dxfId="1922" priority="163" operator="equal">
      <formula>0</formula>
    </cfRule>
  </conditionalFormatting>
  <conditionalFormatting sqref="AC228:AG228">
    <cfRule type="cellIs" dxfId="1921" priority="122" operator="equal">
      <formula>0</formula>
    </cfRule>
  </conditionalFormatting>
  <conditionalFormatting sqref="AH12:AH17">
    <cfRule type="cellIs" dxfId="1920" priority="364" operator="equal">
      <formula>0</formula>
    </cfRule>
  </conditionalFormatting>
  <conditionalFormatting sqref="AH48:AH53">
    <cfRule type="cellIs" dxfId="1919" priority="323" operator="equal">
      <formula>0</formula>
    </cfRule>
  </conditionalFormatting>
  <conditionalFormatting sqref="AH84:AH89">
    <cfRule type="cellIs" dxfId="1918" priority="282" operator="equal">
      <formula>0</formula>
    </cfRule>
  </conditionalFormatting>
  <conditionalFormatting sqref="AH120:AH125">
    <cfRule type="cellIs" dxfId="1917" priority="241" operator="equal">
      <formula>0</formula>
    </cfRule>
  </conditionalFormatting>
  <conditionalFormatting sqref="AH156:AH161">
    <cfRule type="cellIs" dxfId="1916" priority="200" operator="equal">
      <formula>0</formula>
    </cfRule>
  </conditionalFormatting>
  <conditionalFormatting sqref="AH192:AH197">
    <cfRule type="cellIs" dxfId="1915" priority="159" operator="equal">
      <formula>0</formula>
    </cfRule>
  </conditionalFormatting>
  <conditionalFormatting sqref="AH228:AH233">
    <cfRule type="cellIs" dxfId="1914" priority="118"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42862-846F-4A69-B1BE-6598FF20CEF1}">
  <dimension ref="C2:AK224"/>
  <sheetViews>
    <sheetView workbookViewId="0"/>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60" t="s">
        <v>522</v>
      </c>
      <c r="D2" s="760"/>
      <c r="E2" s="760"/>
      <c r="F2" s="760"/>
      <c r="G2" s="760"/>
      <c r="H2" s="760"/>
      <c r="I2" s="760"/>
      <c r="J2" s="760"/>
      <c r="K2" s="760"/>
      <c r="L2" s="760"/>
      <c r="M2" s="760"/>
      <c r="N2" s="760"/>
      <c r="O2" s="760"/>
      <c r="P2" s="760"/>
      <c r="Q2" s="760"/>
      <c r="R2" s="760"/>
      <c r="S2" s="760"/>
      <c r="U2" s="760" t="s">
        <v>523</v>
      </c>
      <c r="V2" s="760"/>
      <c r="W2" s="760"/>
      <c r="X2" s="760"/>
      <c r="Y2" s="760"/>
      <c r="Z2" s="760"/>
      <c r="AA2" s="760"/>
      <c r="AB2" s="760"/>
      <c r="AC2" s="760"/>
      <c r="AD2" s="760"/>
      <c r="AE2" s="760"/>
      <c r="AF2" s="760"/>
      <c r="AG2" s="760"/>
      <c r="AH2" s="760"/>
      <c r="AI2" s="760"/>
      <c r="AJ2" s="760"/>
      <c r="AK2" s="760"/>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338</v>
      </c>
      <c r="D4" s="635" t="s">
        <v>524</v>
      </c>
      <c r="E4" s="634"/>
      <c r="F4" s="634"/>
      <c r="G4" s="634"/>
      <c r="H4" s="636"/>
      <c r="I4" s="634"/>
      <c r="J4" s="634"/>
      <c r="K4" s="634"/>
      <c r="L4" s="634"/>
      <c r="M4" s="634"/>
      <c r="N4" s="634"/>
      <c r="O4" s="634"/>
      <c r="P4" s="634"/>
      <c r="Q4" s="634"/>
      <c r="R4" s="634"/>
      <c r="S4" s="634"/>
      <c r="U4" s="635" t="s">
        <v>338</v>
      </c>
      <c r="V4" s="635" t="s">
        <v>524</v>
      </c>
      <c r="W4" s="634"/>
      <c r="X4" s="634"/>
      <c r="Y4" s="634"/>
      <c r="Z4" s="636"/>
      <c r="AA4" s="634"/>
      <c r="AB4" s="634"/>
      <c r="AC4" s="634"/>
      <c r="AD4" s="634"/>
      <c r="AE4" s="634"/>
      <c r="AF4" s="634"/>
      <c r="AG4" s="634"/>
      <c r="AH4" s="634"/>
      <c r="AI4" s="634"/>
      <c r="AJ4" s="634"/>
      <c r="AK4" s="634"/>
    </row>
    <row r="5" spans="3:37" ht="37.5" x14ac:dyDescent="0.3">
      <c r="C5" s="635" t="s">
        <v>341</v>
      </c>
      <c r="D5" s="635" t="s">
        <v>342</v>
      </c>
      <c r="E5" s="634"/>
      <c r="F5" s="634"/>
      <c r="G5" s="634"/>
      <c r="H5" s="634"/>
      <c r="I5" s="634"/>
      <c r="J5" s="634"/>
      <c r="K5" s="634"/>
      <c r="L5" s="634"/>
      <c r="M5" s="634"/>
      <c r="N5" s="634"/>
      <c r="O5" s="634"/>
      <c r="P5" s="634"/>
      <c r="Q5" s="634"/>
      <c r="R5" s="634"/>
      <c r="S5" s="634"/>
      <c r="U5" s="635" t="s">
        <v>341</v>
      </c>
      <c r="V5" s="635" t="s">
        <v>342</v>
      </c>
      <c r="W5" s="634"/>
      <c r="X5" s="634"/>
      <c r="Y5" s="634"/>
      <c r="Z5" s="634"/>
      <c r="AA5" s="634"/>
      <c r="AB5" s="634"/>
      <c r="AC5" s="634"/>
      <c r="AD5" s="634"/>
      <c r="AE5" s="634"/>
      <c r="AF5" s="634"/>
      <c r="AG5" s="634"/>
      <c r="AH5" s="634"/>
      <c r="AI5" s="634"/>
      <c r="AJ5" s="634"/>
      <c r="AK5" s="634"/>
    </row>
    <row r="6" spans="3:37" ht="18.75" x14ac:dyDescent="0.3">
      <c r="C6" s="635" t="s">
        <v>525</v>
      </c>
      <c r="D6" s="637">
        <v>44909</v>
      </c>
      <c r="E6" s="634"/>
      <c r="F6" s="634"/>
      <c r="G6" s="634"/>
      <c r="H6" s="634"/>
      <c r="I6" s="634"/>
      <c r="J6" s="634"/>
      <c r="K6" s="634"/>
      <c r="L6" s="634"/>
      <c r="M6" s="634"/>
      <c r="N6" s="634"/>
      <c r="O6" s="634"/>
      <c r="P6" s="634"/>
      <c r="Q6" s="634"/>
      <c r="R6" s="634"/>
      <c r="S6" s="634"/>
      <c r="U6" s="635" t="s">
        <v>525</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59" t="s">
        <v>358</v>
      </c>
      <c r="D8" s="759"/>
      <c r="E8" s="759"/>
      <c r="F8" s="759"/>
      <c r="G8" s="759"/>
      <c r="H8" s="759"/>
      <c r="I8" s="759"/>
      <c r="J8" s="759"/>
      <c r="K8" s="759"/>
      <c r="L8" s="759"/>
      <c r="M8" s="759"/>
      <c r="N8" s="759"/>
      <c r="O8" s="759"/>
      <c r="P8" s="759"/>
      <c r="Q8" s="759"/>
      <c r="R8" s="759"/>
      <c r="S8" s="759"/>
      <c r="U8" s="759" t="s">
        <v>358</v>
      </c>
      <c r="V8" s="759"/>
      <c r="W8" s="759"/>
      <c r="X8" s="759"/>
      <c r="Y8" s="759"/>
      <c r="Z8" s="759"/>
      <c r="AA8" s="759"/>
      <c r="AB8" s="759"/>
      <c r="AC8" s="759"/>
      <c r="AD8" s="759"/>
      <c r="AE8" s="759"/>
      <c r="AF8" s="759"/>
      <c r="AG8" s="759"/>
      <c r="AH8" s="759"/>
      <c r="AI8" s="759"/>
      <c r="AJ8" s="759"/>
      <c r="AK8" s="75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58" t="s">
        <v>128</v>
      </c>
      <c r="D10" s="757" t="s">
        <v>42</v>
      </c>
      <c r="E10" s="757" t="s">
        <v>52</v>
      </c>
      <c r="F10" s="757" t="s">
        <v>53</v>
      </c>
      <c r="G10" s="757" t="s">
        <v>32</v>
      </c>
      <c r="H10" s="757" t="s">
        <v>20</v>
      </c>
      <c r="I10" s="757" t="s">
        <v>55</v>
      </c>
      <c r="J10" s="757" t="s">
        <v>56</v>
      </c>
      <c r="K10" s="757"/>
      <c r="L10" s="757"/>
      <c r="M10" s="757"/>
      <c r="N10" s="757"/>
      <c r="O10" s="757"/>
      <c r="P10" s="757" t="s">
        <v>57</v>
      </c>
      <c r="Q10" s="757" t="s">
        <v>58</v>
      </c>
      <c r="R10" s="757" t="s">
        <v>31</v>
      </c>
      <c r="S10" s="757" t="s">
        <v>10</v>
      </c>
      <c r="U10" s="758" t="s">
        <v>128</v>
      </c>
      <c r="V10" s="757" t="s">
        <v>42</v>
      </c>
      <c r="W10" s="757" t="s">
        <v>52</v>
      </c>
      <c r="X10" s="757" t="s">
        <v>53</v>
      </c>
      <c r="Y10" s="757" t="s">
        <v>32</v>
      </c>
      <c r="Z10" s="757" t="s">
        <v>20</v>
      </c>
      <c r="AA10" s="757" t="s">
        <v>55</v>
      </c>
      <c r="AB10" s="757" t="s">
        <v>56</v>
      </c>
      <c r="AC10" s="757"/>
      <c r="AD10" s="757"/>
      <c r="AE10" s="757"/>
      <c r="AF10" s="757"/>
      <c r="AG10" s="757"/>
      <c r="AH10" s="757" t="s">
        <v>57</v>
      </c>
      <c r="AI10" s="757" t="s">
        <v>58</v>
      </c>
      <c r="AJ10" s="757" t="s">
        <v>31</v>
      </c>
      <c r="AK10" s="757" t="s">
        <v>10</v>
      </c>
    </row>
    <row r="11" spans="3:37" ht="56.25" x14ac:dyDescent="0.2">
      <c r="C11" s="758"/>
      <c r="D11" s="757"/>
      <c r="E11" s="757"/>
      <c r="F11" s="757"/>
      <c r="G11" s="757"/>
      <c r="H11" s="757"/>
      <c r="I11" s="757"/>
      <c r="J11" s="638" t="s">
        <v>335</v>
      </c>
      <c r="K11" s="638" t="s">
        <v>40</v>
      </c>
      <c r="L11" s="638" t="s">
        <v>343</v>
      </c>
      <c r="M11" s="638" t="s">
        <v>344</v>
      </c>
      <c r="N11" s="638" t="s">
        <v>345</v>
      </c>
      <c r="O11" s="638" t="s">
        <v>346</v>
      </c>
      <c r="P11" s="757"/>
      <c r="Q11" s="757"/>
      <c r="R11" s="757"/>
      <c r="S11" s="757"/>
      <c r="U11" s="758"/>
      <c r="V11" s="757"/>
      <c r="W11" s="757"/>
      <c r="X11" s="757"/>
      <c r="Y11" s="757"/>
      <c r="Z11" s="757"/>
      <c r="AA11" s="757"/>
      <c r="AB11" s="638" t="s">
        <v>335</v>
      </c>
      <c r="AC11" s="638" t="s">
        <v>40</v>
      </c>
      <c r="AD11" s="638" t="s">
        <v>343</v>
      </c>
      <c r="AE11" s="638" t="s">
        <v>344</v>
      </c>
      <c r="AF11" s="638" t="s">
        <v>345</v>
      </c>
      <c r="AG11" s="638" t="s">
        <v>346</v>
      </c>
      <c r="AH11" s="757"/>
      <c r="AI11" s="757"/>
      <c r="AJ11" s="757"/>
      <c r="AK11" s="757"/>
    </row>
    <row r="12" spans="3:37" x14ac:dyDescent="0.2">
      <c r="C12" s="639" t="s">
        <v>59</v>
      </c>
      <c r="D12" s="640">
        <v>0</v>
      </c>
      <c r="E12" s="641">
        <v>5.8150000000000004</v>
      </c>
      <c r="F12" s="641">
        <v>0</v>
      </c>
      <c r="G12" s="640">
        <v>9.3040000000000012E-2</v>
      </c>
      <c r="H12" s="641">
        <v>1075.0000000000002</v>
      </c>
      <c r="I12" s="641">
        <v>224.13674723416887</v>
      </c>
      <c r="J12" s="641">
        <v>191.59942379122555</v>
      </c>
      <c r="K12" s="641">
        <v>21.432553878964274</v>
      </c>
      <c r="L12" s="641">
        <v>0.38158375751522683</v>
      </c>
      <c r="M12" s="641">
        <v>0.1566638564915529</v>
      </c>
      <c r="N12" s="641">
        <v>57.826394702164251</v>
      </c>
      <c r="O12" s="641">
        <v>8.0717549324466145</v>
      </c>
      <c r="P12" s="642">
        <v>0</v>
      </c>
      <c r="Q12" s="641">
        <v>0</v>
      </c>
      <c r="R12" s="641">
        <v>0</v>
      </c>
      <c r="S12" s="643">
        <v>1584.5131621529763</v>
      </c>
      <c r="U12" s="639" t="s">
        <v>59</v>
      </c>
      <c r="V12" s="640">
        <v>0</v>
      </c>
      <c r="W12" s="641">
        <v>5.8150000000000004</v>
      </c>
      <c r="X12" s="641">
        <v>0</v>
      </c>
      <c r="Y12" s="640">
        <v>9.3040000000000012E-2</v>
      </c>
      <c r="Z12" s="641">
        <v>994.39393939393949</v>
      </c>
      <c r="AA12" s="641">
        <v>248.70674723416883</v>
      </c>
      <c r="AB12" s="641">
        <v>191.76566332259941</v>
      </c>
      <c r="AC12" s="641">
        <v>38.031253697312572</v>
      </c>
      <c r="AD12" s="641">
        <v>0.38158375751522683</v>
      </c>
      <c r="AE12" s="641">
        <v>0.1566638564915529</v>
      </c>
      <c r="AF12" s="641">
        <v>76.992812580470769</v>
      </c>
      <c r="AG12" s="641">
        <v>16.738826185514363</v>
      </c>
      <c r="AH12" s="642">
        <v>0</v>
      </c>
      <c r="AI12" s="641">
        <v>0</v>
      </c>
      <c r="AJ12" s="641">
        <v>0</v>
      </c>
      <c r="AK12" s="643">
        <v>1573.0755300280123</v>
      </c>
    </row>
    <row r="13" spans="3:37" x14ac:dyDescent="0.2">
      <c r="C13" s="639" t="s">
        <v>60</v>
      </c>
      <c r="D13" s="640">
        <v>48.827265231041785</v>
      </c>
      <c r="E13" s="641">
        <v>518.07410535010388</v>
      </c>
      <c r="F13" s="641">
        <v>107.87457071926454</v>
      </c>
      <c r="G13" s="640">
        <v>335.04873882059013</v>
      </c>
      <c r="H13" s="641">
        <v>0</v>
      </c>
      <c r="I13" s="641">
        <v>0</v>
      </c>
      <c r="J13" s="641">
        <v>3.6983557386050134</v>
      </c>
      <c r="K13" s="641">
        <v>0</v>
      </c>
      <c r="L13" s="641">
        <v>2.0715216469959126</v>
      </c>
      <c r="M13" s="641">
        <v>0</v>
      </c>
      <c r="N13" s="641">
        <v>0</v>
      </c>
      <c r="O13" s="641">
        <v>0</v>
      </c>
      <c r="P13" s="642">
        <v>0</v>
      </c>
      <c r="Q13" s="641">
        <v>0</v>
      </c>
      <c r="R13" s="641">
        <v>0</v>
      </c>
      <c r="S13" s="643">
        <v>1015.5945575066012</v>
      </c>
      <c r="U13" s="639" t="s">
        <v>60</v>
      </c>
      <c r="V13" s="640">
        <v>9.7783497021920969</v>
      </c>
      <c r="W13" s="641">
        <v>336.80990869295175</v>
      </c>
      <c r="X13" s="641">
        <v>55.498271181254346</v>
      </c>
      <c r="Y13" s="640">
        <v>207.3573846689826</v>
      </c>
      <c r="Z13" s="641">
        <v>0</v>
      </c>
      <c r="AA13" s="641">
        <v>0</v>
      </c>
      <c r="AB13" s="641">
        <v>3.6983557386050134</v>
      </c>
      <c r="AC13" s="641">
        <v>0</v>
      </c>
      <c r="AD13" s="641">
        <v>2.0715216469959126</v>
      </c>
      <c r="AE13" s="641">
        <v>0</v>
      </c>
      <c r="AF13" s="641">
        <v>0</v>
      </c>
      <c r="AG13" s="641">
        <v>0</v>
      </c>
      <c r="AH13" s="642">
        <v>0</v>
      </c>
      <c r="AI13" s="641">
        <v>0</v>
      </c>
      <c r="AJ13" s="641">
        <v>0</v>
      </c>
      <c r="AK13" s="643">
        <v>615.21379163098163</v>
      </c>
    </row>
    <row r="14" spans="3:37" x14ac:dyDescent="0.2">
      <c r="C14" s="639" t="s">
        <v>61</v>
      </c>
      <c r="D14" s="640">
        <v>0</v>
      </c>
      <c r="E14" s="641">
        <v>0</v>
      </c>
      <c r="F14" s="641">
        <v>0</v>
      </c>
      <c r="G14" s="640">
        <v>0</v>
      </c>
      <c r="H14" s="641">
        <v>0</v>
      </c>
      <c r="I14" s="641">
        <v>0</v>
      </c>
      <c r="J14" s="641">
        <v>0</v>
      </c>
      <c r="K14" s="641">
        <v>0</v>
      </c>
      <c r="L14" s="641">
        <v>0</v>
      </c>
      <c r="M14" s="641">
        <v>0</v>
      </c>
      <c r="N14" s="641">
        <v>0</v>
      </c>
      <c r="O14" s="641">
        <v>0</v>
      </c>
      <c r="P14" s="642">
        <v>-50.941346245748719</v>
      </c>
      <c r="Q14" s="641">
        <v>0</v>
      </c>
      <c r="R14" s="641">
        <v>0</v>
      </c>
      <c r="S14" s="643">
        <v>-50.941346245748719</v>
      </c>
      <c r="U14" s="639" t="s">
        <v>61</v>
      </c>
      <c r="V14" s="640">
        <v>0</v>
      </c>
      <c r="W14" s="641">
        <v>0</v>
      </c>
      <c r="X14" s="641">
        <v>0</v>
      </c>
      <c r="Y14" s="640">
        <v>0</v>
      </c>
      <c r="Z14" s="641">
        <v>0</v>
      </c>
      <c r="AA14" s="641">
        <v>0</v>
      </c>
      <c r="AB14" s="641">
        <v>0</v>
      </c>
      <c r="AC14" s="641">
        <v>0</v>
      </c>
      <c r="AD14" s="641">
        <v>0</v>
      </c>
      <c r="AE14" s="641">
        <v>0</v>
      </c>
      <c r="AF14" s="641">
        <v>0</v>
      </c>
      <c r="AG14" s="641">
        <v>0</v>
      </c>
      <c r="AH14" s="642">
        <v>-32.476172245636349</v>
      </c>
      <c r="AI14" s="641">
        <v>0</v>
      </c>
      <c r="AJ14" s="641">
        <v>0</v>
      </c>
      <c r="AK14" s="643">
        <v>-32.476172245636349</v>
      </c>
    </row>
    <row r="15" spans="3:37" x14ac:dyDescent="0.2">
      <c r="C15" s="639" t="s">
        <v>62</v>
      </c>
      <c r="D15" s="640">
        <v>0</v>
      </c>
      <c r="E15" s="641">
        <v>0</v>
      </c>
      <c r="F15" s="641">
        <v>-16.25862008896565</v>
      </c>
      <c r="G15" s="640">
        <v>0</v>
      </c>
      <c r="H15" s="641">
        <v>0</v>
      </c>
      <c r="I15" s="641">
        <v>0</v>
      </c>
      <c r="J15" s="641">
        <v>0</v>
      </c>
      <c r="K15" s="641">
        <v>0</v>
      </c>
      <c r="L15" s="641">
        <v>0</v>
      </c>
      <c r="M15" s="641">
        <v>0</v>
      </c>
      <c r="N15" s="641">
        <v>0</v>
      </c>
      <c r="O15" s="641">
        <v>0</v>
      </c>
      <c r="P15" s="642">
        <v>0</v>
      </c>
      <c r="Q15" s="641">
        <v>0</v>
      </c>
      <c r="R15" s="641">
        <v>0</v>
      </c>
      <c r="S15" s="643">
        <v>-16.25862008896565</v>
      </c>
      <c r="U15" s="639" t="s">
        <v>62</v>
      </c>
      <c r="V15" s="640">
        <v>0</v>
      </c>
      <c r="W15" s="641">
        <v>0</v>
      </c>
      <c r="X15" s="641">
        <v>-12.937868047131742</v>
      </c>
      <c r="Y15" s="640">
        <v>-1.5571295869756494</v>
      </c>
      <c r="Z15" s="641">
        <v>0</v>
      </c>
      <c r="AA15" s="641">
        <v>0</v>
      </c>
      <c r="AB15" s="641">
        <v>0</v>
      </c>
      <c r="AC15" s="641">
        <v>0</v>
      </c>
      <c r="AD15" s="641">
        <v>0</v>
      </c>
      <c r="AE15" s="641">
        <v>-0.27478757417217342</v>
      </c>
      <c r="AF15" s="641">
        <v>0</v>
      </c>
      <c r="AG15" s="641">
        <v>0</v>
      </c>
      <c r="AH15" s="642">
        <v>0</v>
      </c>
      <c r="AI15" s="641">
        <v>0</v>
      </c>
      <c r="AJ15" s="641">
        <v>0</v>
      </c>
      <c r="AK15" s="643">
        <v>-14.769785208279565</v>
      </c>
    </row>
    <row r="16" spans="3:37" x14ac:dyDescent="0.2">
      <c r="C16" s="639" t="s">
        <v>63</v>
      </c>
      <c r="D16" s="640">
        <v>0</v>
      </c>
      <c r="E16" s="641">
        <v>0</v>
      </c>
      <c r="F16" s="641">
        <v>-83.551471621484865</v>
      </c>
      <c r="G16" s="640">
        <v>0</v>
      </c>
      <c r="H16" s="641">
        <v>0</v>
      </c>
      <c r="I16" s="641">
        <v>0</v>
      </c>
      <c r="J16" s="641">
        <v>0</v>
      </c>
      <c r="K16" s="641">
        <v>0</v>
      </c>
      <c r="L16" s="641">
        <v>-0.85914301655193537</v>
      </c>
      <c r="M16" s="641">
        <v>0</v>
      </c>
      <c r="N16" s="641">
        <v>0</v>
      </c>
      <c r="O16" s="641">
        <v>0</v>
      </c>
      <c r="P16" s="642">
        <v>0</v>
      </c>
      <c r="Q16" s="641">
        <v>0</v>
      </c>
      <c r="R16" s="641">
        <v>0</v>
      </c>
      <c r="S16" s="643">
        <v>-84.410614638036805</v>
      </c>
      <c r="U16" s="639" t="s">
        <v>63</v>
      </c>
      <c r="V16" s="640">
        <v>0</v>
      </c>
      <c r="W16" s="641">
        <v>0</v>
      </c>
      <c r="X16" s="641">
        <v>-67.135202148658564</v>
      </c>
      <c r="Y16" s="640">
        <v>0</v>
      </c>
      <c r="Z16" s="641">
        <v>0</v>
      </c>
      <c r="AA16" s="641">
        <v>0</v>
      </c>
      <c r="AB16" s="641">
        <v>0</v>
      </c>
      <c r="AC16" s="641">
        <v>0</v>
      </c>
      <c r="AD16" s="641">
        <v>-15.117527463171397</v>
      </c>
      <c r="AE16" s="641">
        <v>0</v>
      </c>
      <c r="AF16" s="641">
        <v>0</v>
      </c>
      <c r="AG16" s="641">
        <v>0</v>
      </c>
      <c r="AH16" s="642">
        <v>0</v>
      </c>
      <c r="AI16" s="641">
        <v>0</v>
      </c>
      <c r="AJ16" s="641">
        <v>0</v>
      </c>
      <c r="AK16" s="643">
        <v>-82.252729611829963</v>
      </c>
    </row>
    <row r="17" spans="3:37" x14ac:dyDescent="0.2">
      <c r="C17" s="639" t="s">
        <v>64</v>
      </c>
      <c r="D17" s="640">
        <v>0</v>
      </c>
      <c r="E17" s="641">
        <v>0</v>
      </c>
      <c r="F17" s="641">
        <v>0</v>
      </c>
      <c r="G17" s="640">
        <v>0</v>
      </c>
      <c r="H17" s="641">
        <v>0</v>
      </c>
      <c r="I17" s="641">
        <v>0</v>
      </c>
      <c r="J17" s="641">
        <v>0</v>
      </c>
      <c r="K17" s="641">
        <v>0</v>
      </c>
      <c r="L17" s="641">
        <v>0</v>
      </c>
      <c r="M17" s="641">
        <v>0</v>
      </c>
      <c r="N17" s="641">
        <v>0</v>
      </c>
      <c r="O17" s="641">
        <v>0</v>
      </c>
      <c r="P17" s="642">
        <v>0</v>
      </c>
      <c r="Q17" s="641">
        <v>0</v>
      </c>
      <c r="R17" s="641">
        <v>0</v>
      </c>
      <c r="S17" s="643">
        <v>0</v>
      </c>
      <c r="U17" s="639" t="s">
        <v>64</v>
      </c>
      <c r="V17" s="640">
        <v>0</v>
      </c>
      <c r="W17" s="641">
        <v>0</v>
      </c>
      <c r="X17" s="641">
        <v>0</v>
      </c>
      <c r="Y17" s="640">
        <v>0</v>
      </c>
      <c r="Z17" s="641">
        <v>0</v>
      </c>
      <c r="AA17" s="641">
        <v>0</v>
      </c>
      <c r="AB17" s="641">
        <v>0</v>
      </c>
      <c r="AC17" s="641">
        <v>0</v>
      </c>
      <c r="AD17" s="641">
        <v>0</v>
      </c>
      <c r="AE17" s="641">
        <v>0</v>
      </c>
      <c r="AF17" s="641">
        <v>0</v>
      </c>
      <c r="AG17" s="641">
        <v>0</v>
      </c>
      <c r="AH17" s="642">
        <v>0</v>
      </c>
      <c r="AI17" s="641">
        <v>0</v>
      </c>
      <c r="AJ17" s="641">
        <v>0</v>
      </c>
      <c r="AK17" s="643">
        <v>0</v>
      </c>
    </row>
    <row r="18" spans="3:37" x14ac:dyDescent="0.2">
      <c r="C18" s="644" t="s">
        <v>65</v>
      </c>
      <c r="D18" s="645">
        <v>48.827265231041785</v>
      </c>
      <c r="E18" s="645">
        <v>523.88910535010393</v>
      </c>
      <c r="F18" s="645">
        <v>8.0644790088140255</v>
      </c>
      <c r="G18" s="645">
        <v>335.1417788205901</v>
      </c>
      <c r="H18" s="645">
        <v>1075.0000000000002</v>
      </c>
      <c r="I18" s="645">
        <v>224.13674723416887</v>
      </c>
      <c r="J18" s="645">
        <v>195.29777952983056</v>
      </c>
      <c r="K18" s="645">
        <v>21.432553878964274</v>
      </c>
      <c r="L18" s="645">
        <v>1.5939623879592042</v>
      </c>
      <c r="M18" s="645">
        <v>0.1566638564915529</v>
      </c>
      <c r="N18" s="645">
        <v>57.826394702164251</v>
      </c>
      <c r="O18" s="645">
        <v>8.0717549324466145</v>
      </c>
      <c r="P18" s="645">
        <v>-50.941346245748719</v>
      </c>
      <c r="Q18" s="645">
        <v>0</v>
      </c>
      <c r="R18" s="645">
        <v>0</v>
      </c>
      <c r="S18" s="645">
        <v>2448.4971386868265</v>
      </c>
      <c r="U18" s="644" t="s">
        <v>65</v>
      </c>
      <c r="V18" s="645">
        <v>9.7783497021920969</v>
      </c>
      <c r="W18" s="645">
        <v>342.62490869295175</v>
      </c>
      <c r="X18" s="645">
        <v>-24.574799014535962</v>
      </c>
      <c r="Y18" s="645">
        <v>205.89329508200694</v>
      </c>
      <c r="Z18" s="645">
        <v>994.39393939393949</v>
      </c>
      <c r="AA18" s="645">
        <v>248.70674723416883</v>
      </c>
      <c r="AB18" s="645">
        <v>195.46401906120443</v>
      </c>
      <c r="AC18" s="645">
        <v>38.031253697312572</v>
      </c>
      <c r="AD18" s="645">
        <v>-12.664422058660257</v>
      </c>
      <c r="AE18" s="645">
        <v>-0.11812371768062052</v>
      </c>
      <c r="AF18" s="645">
        <v>76.992812580470769</v>
      </c>
      <c r="AG18" s="645">
        <v>16.738826185514363</v>
      </c>
      <c r="AH18" s="645">
        <v>-32.476172245636349</v>
      </c>
      <c r="AI18" s="645">
        <v>0</v>
      </c>
      <c r="AJ18" s="645">
        <v>0</v>
      </c>
      <c r="AK18" s="645">
        <v>2058.7906345932479</v>
      </c>
    </row>
    <row r="19" spans="3:37" x14ac:dyDescent="0.2">
      <c r="C19" s="634"/>
      <c r="D19" s="634">
        <v>0</v>
      </c>
      <c r="E19" s="634">
        <v>0</v>
      </c>
      <c r="F19" s="634">
        <v>0</v>
      </c>
      <c r="G19" s="634">
        <v>0</v>
      </c>
      <c r="H19" s="634">
        <v>0</v>
      </c>
      <c r="I19" s="634">
        <v>0</v>
      </c>
      <c r="J19" s="634">
        <v>0</v>
      </c>
      <c r="K19" s="634">
        <v>0</v>
      </c>
      <c r="L19" s="634">
        <v>0</v>
      </c>
      <c r="M19" s="634">
        <v>0</v>
      </c>
      <c r="N19" s="634">
        <v>0</v>
      </c>
      <c r="O19" s="634">
        <v>0</v>
      </c>
      <c r="P19" s="634">
        <v>0</v>
      </c>
      <c r="Q19" s="634">
        <v>0</v>
      </c>
      <c r="R19" s="634">
        <v>0</v>
      </c>
      <c r="S19" s="634">
        <v>0</v>
      </c>
      <c r="U19" s="634"/>
      <c r="V19" s="634">
        <v>0</v>
      </c>
      <c r="W19" s="634">
        <v>0</v>
      </c>
      <c r="X19" s="634">
        <v>0</v>
      </c>
      <c r="Y19" s="634">
        <v>0</v>
      </c>
      <c r="Z19" s="634">
        <v>0</v>
      </c>
      <c r="AA19" s="634">
        <v>0</v>
      </c>
      <c r="AB19" s="634">
        <v>0</v>
      </c>
      <c r="AC19" s="634">
        <v>0</v>
      </c>
      <c r="AD19" s="634">
        <v>0</v>
      </c>
      <c r="AE19" s="634">
        <v>0</v>
      </c>
      <c r="AF19" s="634">
        <v>0</v>
      </c>
      <c r="AG19" s="634">
        <v>0</v>
      </c>
      <c r="AH19" s="634">
        <v>0</v>
      </c>
      <c r="AI19" s="634">
        <v>0</v>
      </c>
      <c r="AJ19" s="634">
        <v>0</v>
      </c>
      <c r="AK19" s="634">
        <v>0</v>
      </c>
    </row>
    <row r="20" spans="3:37" x14ac:dyDescent="0.2">
      <c r="C20" s="646" t="s">
        <v>67</v>
      </c>
      <c r="D20" s="640">
        <v>0</v>
      </c>
      <c r="E20" s="647">
        <v>0</v>
      </c>
      <c r="F20" s="647">
        <v>0</v>
      </c>
      <c r="G20" s="640">
        <v>0</v>
      </c>
      <c r="H20" s="640">
        <v>0</v>
      </c>
      <c r="I20" s="640">
        <v>0</v>
      </c>
      <c r="J20" s="640">
        <v>0</v>
      </c>
      <c r="K20" s="640">
        <v>0</v>
      </c>
      <c r="L20" s="640">
        <v>0</v>
      </c>
      <c r="M20" s="640">
        <v>0</v>
      </c>
      <c r="N20" s="640">
        <v>0</v>
      </c>
      <c r="O20" s="640">
        <v>0</v>
      </c>
      <c r="P20" s="640">
        <v>0</v>
      </c>
      <c r="Q20" s="640">
        <v>0</v>
      </c>
      <c r="R20" s="640">
        <v>0</v>
      </c>
      <c r="S20" s="648">
        <v>0</v>
      </c>
      <c r="U20" s="646" t="s">
        <v>67</v>
      </c>
      <c r="V20" s="640">
        <v>0</v>
      </c>
      <c r="W20" s="647">
        <v>0</v>
      </c>
      <c r="X20" s="647">
        <v>0</v>
      </c>
      <c r="Y20" s="640">
        <v>0</v>
      </c>
      <c r="Z20" s="640">
        <v>0</v>
      </c>
      <c r="AA20" s="640">
        <v>0</v>
      </c>
      <c r="AB20" s="640">
        <v>0</v>
      </c>
      <c r="AC20" s="640">
        <v>0</v>
      </c>
      <c r="AD20" s="640">
        <v>0</v>
      </c>
      <c r="AE20" s="640">
        <v>0</v>
      </c>
      <c r="AF20" s="640">
        <v>0</v>
      </c>
      <c r="AG20" s="640">
        <v>0</v>
      </c>
      <c r="AH20" s="640">
        <v>0</v>
      </c>
      <c r="AI20" s="640">
        <v>0</v>
      </c>
      <c r="AJ20" s="640">
        <v>0</v>
      </c>
      <c r="AK20" s="648">
        <v>0</v>
      </c>
    </row>
    <row r="21" spans="3:37" x14ac:dyDescent="0.2">
      <c r="C21" s="646" t="s">
        <v>347</v>
      </c>
      <c r="D21" s="640">
        <v>2.8267856410252494</v>
      </c>
      <c r="E21" s="640">
        <v>0</v>
      </c>
      <c r="F21" s="640">
        <v>7.9696731063521415</v>
      </c>
      <c r="G21" s="640">
        <v>17.422222222222224</v>
      </c>
      <c r="H21" s="640">
        <v>1075.0000000000002</v>
      </c>
      <c r="I21" s="640">
        <v>224.13674723416887</v>
      </c>
      <c r="J21" s="649">
        <v>30.45355250478201</v>
      </c>
      <c r="K21" s="649">
        <v>7.4482212846984126</v>
      </c>
      <c r="L21" s="649">
        <v>2.4531054045111396</v>
      </c>
      <c r="M21" s="649">
        <v>0.47972213502804317</v>
      </c>
      <c r="N21" s="649">
        <v>0</v>
      </c>
      <c r="O21" s="649">
        <v>3.0833964576427819</v>
      </c>
      <c r="P21" s="640">
        <v>-609.30151807373261</v>
      </c>
      <c r="Q21" s="640">
        <v>0</v>
      </c>
      <c r="R21" s="640">
        <v>0</v>
      </c>
      <c r="S21" s="648">
        <v>761.97190791669834</v>
      </c>
      <c r="U21" s="646" t="s">
        <v>347</v>
      </c>
      <c r="V21" s="640">
        <v>0.62631490545869017</v>
      </c>
      <c r="W21" s="640">
        <v>0</v>
      </c>
      <c r="X21" s="640">
        <v>4.1060367427157782</v>
      </c>
      <c r="Y21" s="640">
        <v>24.857777777777773</v>
      </c>
      <c r="Z21" s="640">
        <v>994.39393939393949</v>
      </c>
      <c r="AA21" s="640">
        <v>248.70674723416883</v>
      </c>
      <c r="AB21" s="649">
        <v>24.641197042508384</v>
      </c>
      <c r="AC21" s="649">
        <v>6.6719525843779666</v>
      </c>
      <c r="AD21" s="649">
        <v>2.4531054045111396</v>
      </c>
      <c r="AE21" s="649">
        <v>4.5108332461391543</v>
      </c>
      <c r="AF21" s="649">
        <v>0</v>
      </c>
      <c r="AG21" s="649">
        <v>3.0833964576427819</v>
      </c>
      <c r="AH21" s="640">
        <v>-611.77151807373264</v>
      </c>
      <c r="AI21" s="640">
        <v>0</v>
      </c>
      <c r="AJ21" s="640">
        <v>2.3749999999999996</v>
      </c>
      <c r="AK21" s="648">
        <v>704.65478271550762</v>
      </c>
    </row>
    <row r="22" spans="3:37" x14ac:dyDescent="0.2">
      <c r="C22" s="646" t="s">
        <v>348</v>
      </c>
      <c r="D22" s="640">
        <v>0</v>
      </c>
      <c r="E22" s="640">
        <v>0</v>
      </c>
      <c r="F22" s="640">
        <v>0</v>
      </c>
      <c r="G22" s="640">
        <v>15.160725636684646</v>
      </c>
      <c r="H22" s="640">
        <v>0</v>
      </c>
      <c r="I22" s="640">
        <v>0</v>
      </c>
      <c r="J22" s="649">
        <v>12.939045348987106</v>
      </c>
      <c r="K22" s="649">
        <v>12.151724678588742</v>
      </c>
      <c r="L22" s="649">
        <v>0</v>
      </c>
      <c r="M22" s="649">
        <v>0.32322722394029924</v>
      </c>
      <c r="N22" s="649">
        <v>0</v>
      </c>
      <c r="O22" s="649">
        <v>2.1538235080806043</v>
      </c>
      <c r="P22" s="640">
        <v>0</v>
      </c>
      <c r="Q22" s="640">
        <v>-38.589386176372813</v>
      </c>
      <c r="R22" s="640">
        <v>0</v>
      </c>
      <c r="S22" s="648">
        <v>4.1391602199085806</v>
      </c>
      <c r="U22" s="646" t="s">
        <v>348</v>
      </c>
      <c r="V22" s="640">
        <v>0</v>
      </c>
      <c r="W22" s="640">
        <v>0</v>
      </c>
      <c r="X22" s="640">
        <v>0</v>
      </c>
      <c r="Y22" s="640">
        <v>15.290780965453443</v>
      </c>
      <c r="Z22" s="640">
        <v>0</v>
      </c>
      <c r="AA22" s="640">
        <v>0</v>
      </c>
      <c r="AB22" s="649">
        <v>28.500378674784677</v>
      </c>
      <c r="AC22" s="649">
        <v>25.381229817913329</v>
      </c>
      <c r="AD22" s="649">
        <v>0</v>
      </c>
      <c r="AE22" s="649">
        <v>2.712197771476935</v>
      </c>
      <c r="AF22" s="649">
        <v>0</v>
      </c>
      <c r="AG22" s="649">
        <v>8.3103526067541207</v>
      </c>
      <c r="AH22" s="640">
        <v>0</v>
      </c>
      <c r="AI22" s="640">
        <v>-73.223954421682024</v>
      </c>
      <c r="AJ22" s="640">
        <v>0</v>
      </c>
      <c r="AK22" s="648">
        <v>6.9709854147004844</v>
      </c>
    </row>
    <row r="23" spans="3:37" x14ac:dyDescent="0.2">
      <c r="C23" s="646" t="s">
        <v>349</v>
      </c>
      <c r="D23" s="640">
        <v>0</v>
      </c>
      <c r="E23" s="640">
        <v>0</v>
      </c>
      <c r="F23" s="640">
        <v>0</v>
      </c>
      <c r="G23" s="640">
        <v>0</v>
      </c>
      <c r="H23" s="640">
        <v>0</v>
      </c>
      <c r="I23" s="640">
        <v>0</v>
      </c>
      <c r="J23" s="650">
        <v>7.3987592400222235</v>
      </c>
      <c r="K23" s="650">
        <v>0</v>
      </c>
      <c r="L23" s="650">
        <v>0</v>
      </c>
      <c r="M23" s="650">
        <v>-6.5941441726698065</v>
      </c>
      <c r="N23" s="650">
        <v>0</v>
      </c>
      <c r="O23" s="650">
        <v>0</v>
      </c>
      <c r="P23" s="640">
        <v>0</v>
      </c>
      <c r="Q23" s="640">
        <v>0</v>
      </c>
      <c r="R23" s="640">
        <v>0</v>
      </c>
      <c r="S23" s="648">
        <v>0.80461506735241706</v>
      </c>
      <c r="U23" s="646" t="s">
        <v>349</v>
      </c>
      <c r="V23" s="640">
        <v>0</v>
      </c>
      <c r="W23" s="640">
        <v>0</v>
      </c>
      <c r="X23" s="640">
        <v>0</v>
      </c>
      <c r="Y23" s="640">
        <v>0</v>
      </c>
      <c r="Z23" s="640">
        <v>0</v>
      </c>
      <c r="AA23" s="640">
        <v>0</v>
      </c>
      <c r="AB23" s="650">
        <v>40.786473386605621</v>
      </c>
      <c r="AC23" s="650">
        <v>0</v>
      </c>
      <c r="AD23" s="650">
        <v>0</v>
      </c>
      <c r="AE23" s="650">
        <v>-36.350944405812257</v>
      </c>
      <c r="AF23" s="650">
        <v>0</v>
      </c>
      <c r="AG23" s="650">
        <v>0</v>
      </c>
      <c r="AH23" s="640">
        <v>0</v>
      </c>
      <c r="AI23" s="640">
        <v>0</v>
      </c>
      <c r="AJ23" s="640">
        <v>0</v>
      </c>
      <c r="AK23" s="648">
        <v>4.4355289807933644</v>
      </c>
    </row>
    <row r="24" spans="3:37" x14ac:dyDescent="0.2">
      <c r="C24" s="646" t="s">
        <v>350</v>
      </c>
      <c r="D24" s="640">
        <v>0</v>
      </c>
      <c r="E24" s="640">
        <v>0</v>
      </c>
      <c r="F24" s="640">
        <v>0</v>
      </c>
      <c r="G24" s="640">
        <v>0</v>
      </c>
      <c r="H24" s="640">
        <v>0</v>
      </c>
      <c r="I24" s="640">
        <v>0</v>
      </c>
      <c r="J24" s="640">
        <v>0</v>
      </c>
      <c r="K24" s="640">
        <v>0</v>
      </c>
      <c r="L24" s="640">
        <v>0</v>
      </c>
      <c r="M24" s="640">
        <v>0</v>
      </c>
      <c r="N24" s="640">
        <v>0</v>
      </c>
      <c r="O24" s="640">
        <v>0</v>
      </c>
      <c r="P24" s="640">
        <v>0</v>
      </c>
      <c r="Q24" s="640">
        <v>0</v>
      </c>
      <c r="R24" s="640">
        <v>0</v>
      </c>
      <c r="S24" s="648">
        <v>0</v>
      </c>
      <c r="U24" s="646" t="s">
        <v>350</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646" t="s">
        <v>72</v>
      </c>
      <c r="D25" s="640">
        <v>0</v>
      </c>
      <c r="E25" s="640">
        <v>542.69343279650275</v>
      </c>
      <c r="F25" s="640">
        <v>-537.26649846853775</v>
      </c>
      <c r="G25" s="640">
        <v>0</v>
      </c>
      <c r="H25" s="640">
        <v>0</v>
      </c>
      <c r="I25" s="640">
        <v>0</v>
      </c>
      <c r="J25" s="640">
        <v>0</v>
      </c>
      <c r="K25" s="640">
        <v>0</v>
      </c>
      <c r="L25" s="640">
        <v>0</v>
      </c>
      <c r="M25" s="640">
        <v>0</v>
      </c>
      <c r="N25" s="640">
        <v>0</v>
      </c>
      <c r="O25" s="640">
        <v>0</v>
      </c>
      <c r="P25" s="640">
        <v>0</v>
      </c>
      <c r="Q25" s="640">
        <v>0</v>
      </c>
      <c r="R25" s="640">
        <v>0</v>
      </c>
      <c r="S25" s="648">
        <v>5.4269343279650002</v>
      </c>
      <c r="U25" s="646" t="s">
        <v>72</v>
      </c>
      <c r="V25" s="640">
        <v>0</v>
      </c>
      <c r="W25" s="640">
        <v>354.9229903070925</v>
      </c>
      <c r="X25" s="640">
        <v>-351.3737604040216</v>
      </c>
      <c r="Y25" s="640">
        <v>0</v>
      </c>
      <c r="Z25" s="640">
        <v>0</v>
      </c>
      <c r="AA25" s="640">
        <v>0</v>
      </c>
      <c r="AB25" s="640">
        <v>0</v>
      </c>
      <c r="AC25" s="640">
        <v>0</v>
      </c>
      <c r="AD25" s="640">
        <v>0</v>
      </c>
      <c r="AE25" s="640">
        <v>0</v>
      </c>
      <c r="AF25" s="640">
        <v>0</v>
      </c>
      <c r="AG25" s="640">
        <v>0</v>
      </c>
      <c r="AH25" s="640">
        <v>0</v>
      </c>
      <c r="AI25" s="640">
        <v>0</v>
      </c>
      <c r="AJ25" s="640">
        <v>0</v>
      </c>
      <c r="AK25" s="648">
        <v>3.5492299030709091</v>
      </c>
    </row>
    <row r="26" spans="3:37" x14ac:dyDescent="0.2">
      <c r="C26" s="646" t="s">
        <v>351</v>
      </c>
      <c r="D26" s="640">
        <v>0</v>
      </c>
      <c r="E26" s="640">
        <v>0</v>
      </c>
      <c r="F26" s="640">
        <v>0</v>
      </c>
      <c r="G26" s="640">
        <v>0</v>
      </c>
      <c r="H26" s="640">
        <v>0</v>
      </c>
      <c r="I26" s="640">
        <v>0</v>
      </c>
      <c r="J26" s="640">
        <v>32.75009012852766</v>
      </c>
      <c r="K26" s="640">
        <v>0</v>
      </c>
      <c r="L26" s="640">
        <v>-32.75009012852766</v>
      </c>
      <c r="M26" s="640">
        <v>0</v>
      </c>
      <c r="N26" s="640">
        <v>0</v>
      </c>
      <c r="O26" s="640">
        <v>0</v>
      </c>
      <c r="P26" s="640">
        <v>0</v>
      </c>
      <c r="Q26" s="640">
        <v>0</v>
      </c>
      <c r="R26" s="640">
        <v>0</v>
      </c>
      <c r="S26" s="648">
        <v>0</v>
      </c>
      <c r="U26" s="646" t="s">
        <v>351</v>
      </c>
      <c r="V26" s="640">
        <v>0</v>
      </c>
      <c r="W26" s="640">
        <v>0</v>
      </c>
      <c r="X26" s="640">
        <v>0</v>
      </c>
      <c r="Y26" s="640">
        <v>0</v>
      </c>
      <c r="Z26" s="640">
        <v>0</v>
      </c>
      <c r="AA26" s="640">
        <v>0</v>
      </c>
      <c r="AB26" s="640" t="e">
        <v>#VALUE!</v>
      </c>
      <c r="AC26" s="640">
        <v>0</v>
      </c>
      <c r="AD26" s="640">
        <v>-76.638831624044727</v>
      </c>
      <c r="AE26" s="640">
        <v>0</v>
      </c>
      <c r="AF26" s="640">
        <v>0</v>
      </c>
      <c r="AG26" s="640">
        <v>0</v>
      </c>
      <c r="AH26" s="640">
        <v>0</v>
      </c>
      <c r="AI26" s="640">
        <v>0</v>
      </c>
      <c r="AJ26" s="640">
        <v>0</v>
      </c>
      <c r="AK26" s="648">
        <v>-76.638831624044727</v>
      </c>
    </row>
    <row r="27" spans="3:37" x14ac:dyDescent="0.2">
      <c r="C27" s="646" t="s">
        <v>352</v>
      </c>
      <c r="D27" s="640">
        <v>0</v>
      </c>
      <c r="E27" s="640">
        <v>0</v>
      </c>
      <c r="F27" s="640">
        <v>0</v>
      </c>
      <c r="G27" s="640">
        <v>0</v>
      </c>
      <c r="H27" s="640">
        <v>0</v>
      </c>
      <c r="I27" s="640">
        <v>0</v>
      </c>
      <c r="J27" s="640">
        <v>0</v>
      </c>
      <c r="K27" s="640">
        <v>0</v>
      </c>
      <c r="L27" s="640">
        <v>0</v>
      </c>
      <c r="M27" s="640">
        <v>0</v>
      </c>
      <c r="N27" s="640">
        <v>0</v>
      </c>
      <c r="O27" s="640">
        <v>0</v>
      </c>
      <c r="P27" s="640">
        <v>0</v>
      </c>
      <c r="Q27" s="640">
        <v>0</v>
      </c>
      <c r="R27" s="640">
        <v>0</v>
      </c>
      <c r="S27" s="648">
        <v>0</v>
      </c>
      <c r="U27" s="646" t="s">
        <v>352</v>
      </c>
      <c r="V27" s="640">
        <v>0</v>
      </c>
      <c r="W27" s="640">
        <v>0</v>
      </c>
      <c r="X27" s="640">
        <v>0</v>
      </c>
      <c r="Y27" s="640">
        <v>0</v>
      </c>
      <c r="Z27" s="640">
        <v>0</v>
      </c>
      <c r="AA27" s="640">
        <v>0</v>
      </c>
      <c r="AB27" s="640">
        <v>0</v>
      </c>
      <c r="AC27" s="640">
        <v>0</v>
      </c>
      <c r="AD27" s="640">
        <v>-16.893833779014706</v>
      </c>
      <c r="AE27" s="640">
        <v>0</v>
      </c>
      <c r="AF27" s="640">
        <v>0</v>
      </c>
      <c r="AG27" s="640">
        <v>0</v>
      </c>
      <c r="AH27" s="640">
        <v>0</v>
      </c>
      <c r="AI27" s="640">
        <v>0</v>
      </c>
      <c r="AJ27" s="640">
        <v>0</v>
      </c>
      <c r="AK27" s="648">
        <v>-16.893833779014706</v>
      </c>
    </row>
    <row r="28" spans="3:37" x14ac:dyDescent="0.2">
      <c r="C28" s="646" t="s">
        <v>73</v>
      </c>
      <c r="D28" s="640">
        <v>0</v>
      </c>
      <c r="E28" s="640">
        <v>0</v>
      </c>
      <c r="F28" s="640">
        <v>0</v>
      </c>
      <c r="G28" s="640">
        <v>2.9190475912378031</v>
      </c>
      <c r="H28" s="640">
        <v>0</v>
      </c>
      <c r="I28" s="640">
        <v>0</v>
      </c>
      <c r="J28" s="640">
        <v>0</v>
      </c>
      <c r="K28" s="640">
        <v>3.3095777678433143E-2</v>
      </c>
      <c r="L28" s="640">
        <v>0</v>
      </c>
      <c r="M28" s="640">
        <v>5.9572399821179664E-2</v>
      </c>
      <c r="N28" s="640">
        <v>0</v>
      </c>
      <c r="O28" s="640">
        <v>0</v>
      </c>
      <c r="P28" s="640">
        <v>0.31236464325712177</v>
      </c>
      <c r="Q28" s="640">
        <v>0</v>
      </c>
      <c r="R28" s="640">
        <v>-2.3167044374903201</v>
      </c>
      <c r="S28" s="648">
        <v>1.0073759745042175</v>
      </c>
      <c r="U28" s="646" t="s">
        <v>73</v>
      </c>
      <c r="V28" s="640">
        <v>0</v>
      </c>
      <c r="W28" s="640">
        <v>0</v>
      </c>
      <c r="X28" s="640">
        <v>0</v>
      </c>
      <c r="Y28" s="640">
        <v>6.287229939138852</v>
      </c>
      <c r="Z28" s="640">
        <v>0</v>
      </c>
      <c r="AA28" s="640">
        <v>0</v>
      </c>
      <c r="AB28" s="640">
        <v>0</v>
      </c>
      <c r="AC28" s="640">
        <v>0.25073698660573684</v>
      </c>
      <c r="AD28" s="640">
        <v>0</v>
      </c>
      <c r="AE28" s="640">
        <v>1.1095111657303856</v>
      </c>
      <c r="AF28" s="640">
        <v>0</v>
      </c>
      <c r="AG28" s="640">
        <v>0</v>
      </c>
      <c r="AH28" s="640">
        <v>18.274688237257074</v>
      </c>
      <c r="AI28" s="640">
        <v>0</v>
      </c>
      <c r="AJ28" s="640">
        <v>-17.551589062401579</v>
      </c>
      <c r="AK28" s="648">
        <v>8.3705772663304678</v>
      </c>
    </row>
    <row r="29" spans="3:37" x14ac:dyDescent="0.2">
      <c r="C29" s="646" t="s">
        <v>353</v>
      </c>
      <c r="D29" s="640">
        <v>28.656195468750003</v>
      </c>
      <c r="E29" s="640">
        <v>-18.804327446398823</v>
      </c>
      <c r="F29" s="640">
        <v>24.594949618470011</v>
      </c>
      <c r="G29" s="640">
        <v>0</v>
      </c>
      <c r="H29" s="640">
        <v>0</v>
      </c>
      <c r="I29" s="640">
        <v>0</v>
      </c>
      <c r="J29" s="640">
        <v>0</v>
      </c>
      <c r="K29" s="640">
        <v>0</v>
      </c>
      <c r="L29" s="640">
        <v>0</v>
      </c>
      <c r="M29" s="640">
        <v>0</v>
      </c>
      <c r="N29" s="640">
        <v>0</v>
      </c>
      <c r="O29" s="640">
        <v>0</v>
      </c>
      <c r="P29" s="640">
        <v>0</v>
      </c>
      <c r="Q29" s="640">
        <v>0</v>
      </c>
      <c r="R29" s="640">
        <v>0</v>
      </c>
      <c r="S29" s="648">
        <v>34.446817640821195</v>
      </c>
      <c r="U29" s="646" t="s">
        <v>353</v>
      </c>
      <c r="V29" s="640">
        <v>3.6632235107421875</v>
      </c>
      <c r="W29" s="640">
        <v>-12.298081614140758</v>
      </c>
      <c r="X29" s="640">
        <v>16.085164362607916</v>
      </c>
      <c r="Y29" s="640">
        <v>0</v>
      </c>
      <c r="Z29" s="640">
        <v>0</v>
      </c>
      <c r="AA29" s="640">
        <v>0</v>
      </c>
      <c r="AB29" s="640">
        <v>0</v>
      </c>
      <c r="AC29" s="640">
        <v>0</v>
      </c>
      <c r="AD29" s="640">
        <v>0</v>
      </c>
      <c r="AE29" s="640">
        <v>0</v>
      </c>
      <c r="AF29" s="640">
        <v>0</v>
      </c>
      <c r="AG29" s="640">
        <v>0</v>
      </c>
      <c r="AH29" s="640">
        <v>0</v>
      </c>
      <c r="AI29" s="640">
        <v>0</v>
      </c>
      <c r="AJ29" s="640">
        <v>0</v>
      </c>
      <c r="AK29" s="648">
        <v>7.450306259209345</v>
      </c>
    </row>
    <row r="30" spans="3:37" x14ac:dyDescent="0.2">
      <c r="C30" s="646" t="s">
        <v>75</v>
      </c>
      <c r="D30" s="640">
        <v>11.144076015625002</v>
      </c>
      <c r="E30" s="640">
        <v>0</v>
      </c>
      <c r="F30" s="640">
        <v>18.451576715081096</v>
      </c>
      <c r="G30" s="640">
        <v>5.2652116849916704</v>
      </c>
      <c r="H30" s="640">
        <v>0</v>
      </c>
      <c r="I30" s="640">
        <v>0</v>
      </c>
      <c r="J30" s="640">
        <v>0</v>
      </c>
      <c r="K30" s="640">
        <v>0</v>
      </c>
      <c r="L30" s="640">
        <v>0</v>
      </c>
      <c r="M30" s="640">
        <v>0.10745329969370757</v>
      </c>
      <c r="N30" s="640">
        <v>0</v>
      </c>
      <c r="O30" s="640">
        <v>0</v>
      </c>
      <c r="P30" s="640">
        <v>33.522260759660846</v>
      </c>
      <c r="Q30" s="640">
        <v>0</v>
      </c>
      <c r="R30" s="640">
        <v>0</v>
      </c>
      <c r="S30" s="648">
        <v>68.490578475052317</v>
      </c>
      <c r="U30" s="646" t="s">
        <v>75</v>
      </c>
      <c r="V30" s="640">
        <v>4.4693862304687499</v>
      </c>
      <c r="W30" s="640">
        <v>0</v>
      </c>
      <c r="X30" s="640">
        <v>18.451576715081096</v>
      </c>
      <c r="Y30" s="640">
        <v>4.5667652369825715</v>
      </c>
      <c r="Z30" s="640">
        <v>0</v>
      </c>
      <c r="AA30" s="640">
        <v>0</v>
      </c>
      <c r="AB30" s="640">
        <v>0</v>
      </c>
      <c r="AC30" s="640">
        <v>0</v>
      </c>
      <c r="AD30" s="640">
        <v>0</v>
      </c>
      <c r="AE30" s="640">
        <v>0.8058997477028067</v>
      </c>
      <c r="AF30" s="640">
        <v>0</v>
      </c>
      <c r="AG30" s="640">
        <v>0</v>
      </c>
      <c r="AH30" s="640">
        <v>33.775215305115388</v>
      </c>
      <c r="AI30" s="640">
        <v>0</v>
      </c>
      <c r="AJ30" s="640">
        <v>0</v>
      </c>
      <c r="AK30" s="648">
        <v>62.068843235350613</v>
      </c>
    </row>
    <row r="31" spans="3:37" x14ac:dyDescent="0.2">
      <c r="C31" s="646" t="s">
        <v>76</v>
      </c>
      <c r="D31" s="640">
        <v>0</v>
      </c>
      <c r="E31" s="640">
        <v>0</v>
      </c>
      <c r="F31" s="640">
        <v>0</v>
      </c>
      <c r="G31" s="640">
        <v>3.8313802109978718</v>
      </c>
      <c r="H31" s="640">
        <v>0</v>
      </c>
      <c r="I31" s="640">
        <v>0</v>
      </c>
      <c r="J31" s="640">
        <v>0</v>
      </c>
      <c r="K31" s="640">
        <v>0</v>
      </c>
      <c r="L31" s="640">
        <v>0</v>
      </c>
      <c r="M31" s="640">
        <v>7.8191432877507586E-2</v>
      </c>
      <c r="N31" s="640">
        <v>0</v>
      </c>
      <c r="O31" s="640">
        <v>0</v>
      </c>
      <c r="P31" s="640">
        <v>42.744249460921445</v>
      </c>
      <c r="Q31" s="640">
        <v>2.9948048478615572</v>
      </c>
      <c r="R31" s="640">
        <v>0</v>
      </c>
      <c r="S31" s="648">
        <v>49.648625952658385</v>
      </c>
      <c r="U31" s="646" t="s">
        <v>76</v>
      </c>
      <c r="V31" s="640">
        <v>0</v>
      </c>
      <c r="W31" s="640">
        <v>0</v>
      </c>
      <c r="X31" s="640">
        <v>0</v>
      </c>
      <c r="Y31" s="640">
        <v>2.4425535766751323</v>
      </c>
      <c r="Z31" s="640">
        <v>0</v>
      </c>
      <c r="AA31" s="640">
        <v>0</v>
      </c>
      <c r="AB31" s="640">
        <v>0</v>
      </c>
      <c r="AC31" s="640">
        <v>0</v>
      </c>
      <c r="AD31" s="640">
        <v>0</v>
      </c>
      <c r="AE31" s="640">
        <v>0.43103886647208217</v>
      </c>
      <c r="AF31" s="640">
        <v>0</v>
      </c>
      <c r="AG31" s="640">
        <v>0</v>
      </c>
      <c r="AH31" s="640">
        <v>44.348699545879278</v>
      </c>
      <c r="AI31" s="640">
        <v>5.6786643797858867</v>
      </c>
      <c r="AJ31" s="640">
        <v>0</v>
      </c>
      <c r="AK31" s="648">
        <v>52.900956368812388</v>
      </c>
    </row>
    <row r="32" spans="3:37" x14ac:dyDescent="0.2">
      <c r="C32" s="644" t="s">
        <v>77</v>
      </c>
      <c r="D32" s="645">
        <v>42.627057125400256</v>
      </c>
      <c r="E32" s="645">
        <v>523.88910535010393</v>
      </c>
      <c r="F32" s="645">
        <v>-486.25029902863446</v>
      </c>
      <c r="G32" s="645">
        <v>44.598587346134217</v>
      </c>
      <c r="H32" s="645">
        <v>1075.0000000000002</v>
      </c>
      <c r="I32" s="645">
        <v>224.13674723416887</v>
      </c>
      <c r="J32" s="645">
        <v>83.541447222318993</v>
      </c>
      <c r="K32" s="645">
        <v>19.633041740965588</v>
      </c>
      <c r="L32" s="645">
        <v>-30.296984724016522</v>
      </c>
      <c r="M32" s="645">
        <v>-5.5459776813090693</v>
      </c>
      <c r="N32" s="645">
        <v>0</v>
      </c>
      <c r="O32" s="645">
        <v>5.2372199657233862</v>
      </c>
      <c r="P32" s="645">
        <v>-532.72264320989325</v>
      </c>
      <c r="Q32" s="645">
        <v>-35.594581328511254</v>
      </c>
      <c r="R32" s="645">
        <v>-2.3167044374903201</v>
      </c>
      <c r="S32" s="645">
        <v>925.93601557496061</v>
      </c>
      <c r="U32" s="644" t="s">
        <v>77</v>
      </c>
      <c r="V32" s="645">
        <v>8.7589246466696284</v>
      </c>
      <c r="W32" s="645">
        <v>342.62490869295175</v>
      </c>
      <c r="X32" s="645">
        <v>-312.73098258361676</v>
      </c>
      <c r="Y32" s="645">
        <v>53.445107496027774</v>
      </c>
      <c r="Z32" s="645">
        <v>994.39393939393949</v>
      </c>
      <c r="AA32" s="645">
        <v>248.70674723416883</v>
      </c>
      <c r="AB32" s="645">
        <v>93.928049103898687</v>
      </c>
      <c r="AC32" s="645">
        <v>32.303919388897036</v>
      </c>
      <c r="AD32" s="645">
        <v>-91.079559998548305</v>
      </c>
      <c r="AE32" s="645">
        <v>-26.781463608290892</v>
      </c>
      <c r="AF32" s="645">
        <v>0</v>
      </c>
      <c r="AG32" s="645">
        <v>11.393749064396903</v>
      </c>
      <c r="AH32" s="645">
        <v>-515.37291498548086</v>
      </c>
      <c r="AI32" s="645">
        <v>-67.545290041896138</v>
      </c>
      <c r="AJ32" s="645">
        <v>-15.176589062401579</v>
      </c>
      <c r="AK32" s="645">
        <v>756.86854474071572</v>
      </c>
    </row>
    <row r="33" spans="3:37" x14ac:dyDescent="0.2">
      <c r="C33" s="634"/>
      <c r="D33" s="634">
        <v>0</v>
      </c>
      <c r="E33" s="634">
        <v>0</v>
      </c>
      <c r="F33" s="634">
        <v>0</v>
      </c>
      <c r="G33" s="634">
        <v>0</v>
      </c>
      <c r="H33" s="634">
        <v>0</v>
      </c>
      <c r="I33" s="634">
        <v>0</v>
      </c>
      <c r="J33" s="634">
        <v>0</v>
      </c>
      <c r="K33" s="634">
        <v>0</v>
      </c>
      <c r="L33" s="634">
        <v>0</v>
      </c>
      <c r="M33" s="634">
        <v>0</v>
      </c>
      <c r="N33" s="634">
        <v>0</v>
      </c>
      <c r="O33" s="634">
        <v>0</v>
      </c>
      <c r="P33" s="634">
        <v>0</v>
      </c>
      <c r="Q33" s="634">
        <v>0</v>
      </c>
      <c r="R33" s="634">
        <v>0</v>
      </c>
      <c r="S33" s="634">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646" t="s">
        <v>78</v>
      </c>
      <c r="D34" s="640">
        <v>6.2002081056415257</v>
      </c>
      <c r="E34" s="640">
        <v>0</v>
      </c>
      <c r="F34" s="640">
        <v>23.255205938178186</v>
      </c>
      <c r="G34" s="640">
        <v>101.12865293850786</v>
      </c>
      <c r="H34" s="640">
        <v>0</v>
      </c>
      <c r="I34" s="640">
        <v>0</v>
      </c>
      <c r="J34" s="640">
        <v>19.565687098295676</v>
      </c>
      <c r="K34" s="640">
        <v>1.7744589215827917</v>
      </c>
      <c r="L34" s="640">
        <v>0.87520713476562495</v>
      </c>
      <c r="M34" s="640">
        <v>2.0825226770622867</v>
      </c>
      <c r="N34" s="640">
        <v>0</v>
      </c>
      <c r="O34" s="640">
        <v>3.8067188808088001E-4</v>
      </c>
      <c r="P34" s="640">
        <v>109.76937284793219</v>
      </c>
      <c r="Q34" s="640">
        <v>16.103287978552984</v>
      </c>
      <c r="R34" s="640">
        <v>0.32868640136718752</v>
      </c>
      <c r="S34" s="648">
        <v>281.08367071377444</v>
      </c>
      <c r="U34" s="646" t="s">
        <v>78</v>
      </c>
      <c r="V34" s="640">
        <v>1.01942505552247</v>
      </c>
      <c r="W34" s="640">
        <v>0</v>
      </c>
      <c r="X34" s="640">
        <v>12.936117077553076</v>
      </c>
      <c r="Y34" s="640">
        <v>67.349539979102474</v>
      </c>
      <c r="Z34" s="640">
        <v>0</v>
      </c>
      <c r="AA34" s="640">
        <v>0</v>
      </c>
      <c r="AB34" s="640">
        <v>16.313565187348217</v>
      </c>
      <c r="AC34" s="640">
        <v>5.7022810919996436</v>
      </c>
      <c r="AD34" s="640">
        <v>2.2588896484375001</v>
      </c>
      <c r="AE34" s="640">
        <v>11.903885554581411</v>
      </c>
      <c r="AF34" s="640">
        <v>0</v>
      </c>
      <c r="AG34" s="640">
        <v>3.8067188808088001E-4</v>
      </c>
      <c r="AH34" s="640">
        <v>135.13428233654639</v>
      </c>
      <c r="AI34" s="640">
        <v>21.466888656055119</v>
      </c>
      <c r="AJ34" s="640">
        <v>5.7972734375000003</v>
      </c>
      <c r="AK34" s="648">
        <v>279.88252869653439</v>
      </c>
    </row>
    <row r="35" spans="3:37" x14ac:dyDescent="0.2">
      <c r="C35" s="646" t="s">
        <v>79</v>
      </c>
      <c r="D35" s="640">
        <v>0</v>
      </c>
      <c r="E35" s="640">
        <v>0</v>
      </c>
      <c r="F35" s="640">
        <v>291.38745921478562</v>
      </c>
      <c r="G35" s="640">
        <v>24.020829745272028</v>
      </c>
      <c r="H35" s="640">
        <v>0</v>
      </c>
      <c r="I35" s="640">
        <v>0</v>
      </c>
      <c r="J35" s="640">
        <v>0</v>
      </c>
      <c r="K35" s="640">
        <v>0</v>
      </c>
      <c r="L35" s="640">
        <v>28.280041762715456</v>
      </c>
      <c r="M35" s="640">
        <v>0.49022101520963324</v>
      </c>
      <c r="N35" s="640">
        <v>0</v>
      </c>
      <c r="O35" s="640">
        <v>0</v>
      </c>
      <c r="P35" s="640">
        <v>46.654707564142761</v>
      </c>
      <c r="Q35" s="640">
        <v>0</v>
      </c>
      <c r="R35" s="640">
        <v>1.1135281120019407</v>
      </c>
      <c r="S35" s="648">
        <v>391.94678741412741</v>
      </c>
      <c r="U35" s="646" t="s">
        <v>79</v>
      </c>
      <c r="V35" s="640">
        <v>0</v>
      </c>
      <c r="W35" s="640">
        <v>0</v>
      </c>
      <c r="X35" s="640">
        <v>152.5395921226515</v>
      </c>
      <c r="Y35" s="640">
        <v>18.931026789455995</v>
      </c>
      <c r="Z35" s="640">
        <v>0</v>
      </c>
      <c r="AA35" s="640">
        <v>0</v>
      </c>
      <c r="AB35" s="640">
        <v>0</v>
      </c>
      <c r="AC35" s="640">
        <v>0</v>
      </c>
      <c r="AD35" s="640">
        <v>49.546406871337183</v>
      </c>
      <c r="AE35" s="640">
        <v>3.3407694334334113</v>
      </c>
      <c r="AF35" s="640">
        <v>0</v>
      </c>
      <c r="AG35" s="640">
        <v>0</v>
      </c>
      <c r="AH35" s="640">
        <v>60.923926311544285</v>
      </c>
      <c r="AI35" s="640">
        <v>0</v>
      </c>
      <c r="AJ35" s="640">
        <v>2.0956611258816777</v>
      </c>
      <c r="AK35" s="648">
        <v>287.37738265430403</v>
      </c>
    </row>
    <row r="36" spans="3:37" x14ac:dyDescent="0.2">
      <c r="C36" s="646" t="s">
        <v>80</v>
      </c>
      <c r="D36" s="640">
        <v>0</v>
      </c>
      <c r="E36" s="640">
        <v>0</v>
      </c>
      <c r="F36" s="640">
        <v>24.366054746482678</v>
      </c>
      <c r="G36" s="640">
        <v>88.830627596834503</v>
      </c>
      <c r="H36" s="640">
        <v>0</v>
      </c>
      <c r="I36" s="640">
        <v>0</v>
      </c>
      <c r="J36" s="640">
        <v>86.298448588028648</v>
      </c>
      <c r="K36" s="640">
        <v>0</v>
      </c>
      <c r="L36" s="640">
        <v>0</v>
      </c>
      <c r="M36" s="640">
        <v>1.8128699509558064</v>
      </c>
      <c r="N36" s="640">
        <v>49.305914152356948</v>
      </c>
      <c r="O36" s="640">
        <v>1.9759423218950023</v>
      </c>
      <c r="P36" s="640">
        <v>183.08170703950353</v>
      </c>
      <c r="Q36" s="640">
        <v>15.629207143582217</v>
      </c>
      <c r="R36" s="640">
        <v>0</v>
      </c>
      <c r="S36" s="648">
        <v>451.3007715396393</v>
      </c>
      <c r="U36" s="646" t="s">
        <v>80</v>
      </c>
      <c r="V36" s="640">
        <v>0</v>
      </c>
      <c r="W36" s="640">
        <v>0</v>
      </c>
      <c r="X36" s="640">
        <v>1.5212022418020299</v>
      </c>
      <c r="Y36" s="640">
        <v>34.748278571527685</v>
      </c>
      <c r="Z36" s="640">
        <v>0</v>
      </c>
      <c r="AA36" s="640">
        <v>0</v>
      </c>
      <c r="AB36" s="640">
        <v>75.181836567082826</v>
      </c>
      <c r="AC36" s="640">
        <v>0</v>
      </c>
      <c r="AD36" s="640">
        <v>0</v>
      </c>
      <c r="AE36" s="640">
        <v>6.1320491596813564</v>
      </c>
      <c r="AF36" s="640">
        <v>62.645467095100628</v>
      </c>
      <c r="AG36" s="640">
        <v>2.6978117080871646</v>
      </c>
      <c r="AH36" s="640">
        <v>158.40967854762758</v>
      </c>
      <c r="AI36" s="640">
        <v>35.928967439236224</v>
      </c>
      <c r="AJ36" s="640">
        <v>0</v>
      </c>
      <c r="AK36" s="648">
        <v>377.26529133014549</v>
      </c>
    </row>
    <row r="37" spans="3:37" x14ac:dyDescent="0.2">
      <c r="C37" s="646" t="s">
        <v>81</v>
      </c>
      <c r="D37" s="640">
        <v>0</v>
      </c>
      <c r="E37" s="640">
        <v>0</v>
      </c>
      <c r="F37" s="640">
        <v>9.1434406229634497</v>
      </c>
      <c r="G37" s="640">
        <v>62.772902131190932</v>
      </c>
      <c r="H37" s="640">
        <v>0</v>
      </c>
      <c r="I37" s="640">
        <v>0</v>
      </c>
      <c r="J37" s="640">
        <v>3.3792389882828151</v>
      </c>
      <c r="K37" s="640">
        <v>2.5053216415896862E-2</v>
      </c>
      <c r="L37" s="640">
        <v>0</v>
      </c>
      <c r="M37" s="640">
        <v>1.2810796353304272</v>
      </c>
      <c r="N37" s="640">
        <v>8.5204805498073064</v>
      </c>
      <c r="O37" s="640">
        <v>0.77988306826531983</v>
      </c>
      <c r="P37" s="640">
        <v>134.9475862077569</v>
      </c>
      <c r="Q37" s="640">
        <v>3.8620862063760555</v>
      </c>
      <c r="R37" s="640">
        <v>0</v>
      </c>
      <c r="S37" s="648">
        <v>224.71175062638912</v>
      </c>
      <c r="U37" s="646" t="s">
        <v>81</v>
      </c>
      <c r="V37" s="640">
        <v>0</v>
      </c>
      <c r="W37" s="640">
        <v>0</v>
      </c>
      <c r="X37" s="640">
        <v>2.5747324311170368</v>
      </c>
      <c r="Y37" s="640">
        <v>28.050706446538126</v>
      </c>
      <c r="Z37" s="640">
        <v>0</v>
      </c>
      <c r="AA37" s="640">
        <v>0</v>
      </c>
      <c r="AB37" s="640">
        <v>7.5276105699702738</v>
      </c>
      <c r="AC37" s="640">
        <v>2.5053216415896862E-2</v>
      </c>
      <c r="AD37" s="640">
        <v>0</v>
      </c>
      <c r="AE37" s="640">
        <v>4.9501246670361398</v>
      </c>
      <c r="AF37" s="640">
        <v>14.347345485370148</v>
      </c>
      <c r="AG37" s="640">
        <v>1.6839822655905561</v>
      </c>
      <c r="AH37" s="640">
        <v>120.05488498756245</v>
      </c>
      <c r="AI37" s="640">
        <v>10.149433946604795</v>
      </c>
      <c r="AJ37" s="640">
        <v>0</v>
      </c>
      <c r="AK37" s="648">
        <v>189.36387401620541</v>
      </c>
    </row>
    <row r="38" spans="3:37" x14ac:dyDescent="0.2">
      <c r="C38" s="646" t="s">
        <v>82</v>
      </c>
      <c r="D38" s="640">
        <v>0</v>
      </c>
      <c r="E38" s="640">
        <v>0</v>
      </c>
      <c r="F38" s="640">
        <v>31.378359933180146</v>
      </c>
      <c r="G38" s="640">
        <v>1.761464702880946</v>
      </c>
      <c r="H38" s="640">
        <v>0</v>
      </c>
      <c r="I38" s="640">
        <v>0</v>
      </c>
      <c r="J38" s="640">
        <v>2.5129576329044134</v>
      </c>
      <c r="K38" s="640">
        <v>0</v>
      </c>
      <c r="L38" s="640">
        <v>2.7366524531426237</v>
      </c>
      <c r="M38" s="640">
        <v>3.5948259242468285E-2</v>
      </c>
      <c r="N38" s="640">
        <v>0</v>
      </c>
      <c r="O38" s="640">
        <v>7.8328904674825409E-2</v>
      </c>
      <c r="P38" s="640">
        <v>7.1029233048090266</v>
      </c>
      <c r="Q38" s="640">
        <v>0</v>
      </c>
      <c r="R38" s="640">
        <v>0</v>
      </c>
      <c r="S38" s="648">
        <v>45.606635190834446</v>
      </c>
      <c r="U38" s="646" t="s">
        <v>82</v>
      </c>
      <c r="V38" s="640">
        <v>0</v>
      </c>
      <c r="W38" s="640">
        <v>0</v>
      </c>
      <c r="X38" s="640">
        <v>18.696617357576709</v>
      </c>
      <c r="Y38" s="640">
        <v>1.906896096641761</v>
      </c>
      <c r="Z38" s="640">
        <v>0</v>
      </c>
      <c r="AA38" s="640">
        <v>0</v>
      </c>
      <c r="AB38" s="640">
        <v>2.5129576329044134</v>
      </c>
      <c r="AC38" s="640">
        <v>0</v>
      </c>
      <c r="AD38" s="640">
        <v>18.28747352858748</v>
      </c>
      <c r="AE38" s="640">
        <v>0.33651107587795781</v>
      </c>
      <c r="AF38" s="640">
        <v>0</v>
      </c>
      <c r="AG38" s="640">
        <v>0.96290247555165809</v>
      </c>
      <c r="AH38" s="640">
        <v>7.1739705565638916</v>
      </c>
      <c r="AI38" s="640">
        <v>0</v>
      </c>
      <c r="AJ38" s="640">
        <v>0.24940873791150003</v>
      </c>
      <c r="AK38" s="648">
        <v>50.12673746161537</v>
      </c>
    </row>
    <row r="39" spans="3:37" x14ac:dyDescent="0.2">
      <c r="C39" s="646" t="s">
        <v>354</v>
      </c>
      <c r="D39" s="640">
        <v>0</v>
      </c>
      <c r="E39" s="640">
        <v>0</v>
      </c>
      <c r="F39" s="640">
        <v>0</v>
      </c>
      <c r="G39" s="640">
        <v>0</v>
      </c>
      <c r="H39" s="640">
        <v>0</v>
      </c>
      <c r="I39" s="640">
        <v>0</v>
      </c>
      <c r="J39" s="640">
        <v>0</v>
      </c>
      <c r="K39" s="640">
        <v>0</v>
      </c>
      <c r="L39" s="640">
        <v>0</v>
      </c>
      <c r="M39" s="640">
        <v>0</v>
      </c>
      <c r="N39" s="640">
        <v>0</v>
      </c>
      <c r="O39" s="640">
        <v>0</v>
      </c>
      <c r="P39" s="640">
        <v>0.22499999999999998</v>
      </c>
      <c r="Q39" s="640">
        <v>0</v>
      </c>
      <c r="R39" s="640">
        <v>0</v>
      </c>
      <c r="S39" s="648">
        <v>0.22499999999999998</v>
      </c>
      <c r="U39" s="646" t="s">
        <v>354</v>
      </c>
      <c r="V39" s="640">
        <v>0</v>
      </c>
      <c r="W39" s="640">
        <v>0</v>
      </c>
      <c r="X39" s="640">
        <v>0</v>
      </c>
      <c r="Y39" s="640">
        <v>0</v>
      </c>
      <c r="Z39" s="640">
        <v>0</v>
      </c>
      <c r="AA39" s="640">
        <v>0</v>
      </c>
      <c r="AB39" s="640">
        <v>0</v>
      </c>
      <c r="AC39" s="640">
        <v>0</v>
      </c>
      <c r="AD39" s="640">
        <v>0</v>
      </c>
      <c r="AE39" s="640">
        <v>0</v>
      </c>
      <c r="AF39" s="640">
        <v>0</v>
      </c>
      <c r="AG39" s="640">
        <v>0</v>
      </c>
      <c r="AH39" s="640">
        <v>1.2</v>
      </c>
      <c r="AI39" s="640">
        <v>0</v>
      </c>
      <c r="AJ39" s="640">
        <v>0</v>
      </c>
      <c r="AK39" s="648">
        <v>1.2</v>
      </c>
    </row>
    <row r="40" spans="3:37" x14ac:dyDescent="0.2">
      <c r="C40" s="644" t="s">
        <v>83</v>
      </c>
      <c r="D40" s="645">
        <v>6.2002081056415257</v>
      </c>
      <c r="E40" s="645">
        <v>0</v>
      </c>
      <c r="F40" s="645">
        <v>379.53052045559002</v>
      </c>
      <c r="G40" s="645">
        <v>278.51447711468631</v>
      </c>
      <c r="H40" s="645">
        <v>0</v>
      </c>
      <c r="I40" s="645">
        <v>0</v>
      </c>
      <c r="J40" s="645">
        <v>111.75633230751156</v>
      </c>
      <c r="K40" s="645">
        <v>1.7995121379986885</v>
      </c>
      <c r="L40" s="645">
        <v>31.891901350623705</v>
      </c>
      <c r="M40" s="645">
        <v>5.7026415378006226</v>
      </c>
      <c r="N40" s="645">
        <v>57.826394702164251</v>
      </c>
      <c r="O40" s="645">
        <v>2.8345349667232282</v>
      </c>
      <c r="P40" s="645">
        <v>481.78129696414442</v>
      </c>
      <c r="Q40" s="645">
        <v>35.594581328511254</v>
      </c>
      <c r="R40" s="645">
        <v>1.4422145133691282</v>
      </c>
      <c r="S40" s="645">
        <v>1394.8746154847647</v>
      </c>
      <c r="U40" s="644" t="s">
        <v>83</v>
      </c>
      <c r="V40" s="645">
        <v>1.01942505552247</v>
      </c>
      <c r="W40" s="645">
        <v>0</v>
      </c>
      <c r="X40" s="645">
        <v>188.26826123070035</v>
      </c>
      <c r="Y40" s="645">
        <v>150.98644788326604</v>
      </c>
      <c r="Z40" s="645">
        <v>0</v>
      </c>
      <c r="AA40" s="645">
        <v>0</v>
      </c>
      <c r="AB40" s="645">
        <v>101.53596995730574</v>
      </c>
      <c r="AC40" s="645">
        <v>5.727334308415541</v>
      </c>
      <c r="AD40" s="645">
        <v>70.092770048362169</v>
      </c>
      <c r="AE40" s="645">
        <v>26.663339890610278</v>
      </c>
      <c r="AF40" s="645">
        <v>76.992812580470769</v>
      </c>
      <c r="AG40" s="645">
        <v>5.3450771211174599</v>
      </c>
      <c r="AH40" s="645">
        <v>482.89674273984457</v>
      </c>
      <c r="AI40" s="645">
        <v>67.545290041896138</v>
      </c>
      <c r="AJ40" s="645">
        <v>8.1423433012931774</v>
      </c>
      <c r="AK40" s="645">
        <v>1185.2158141588047</v>
      </c>
    </row>
    <row r="41" spans="3:37" x14ac:dyDescent="0.2">
      <c r="C41" s="639" t="s">
        <v>84</v>
      </c>
      <c r="D41" s="640">
        <v>0</v>
      </c>
      <c r="E41" s="640">
        <v>0</v>
      </c>
      <c r="F41" s="640">
        <v>114.78425758185857</v>
      </c>
      <c r="G41" s="640">
        <v>12.028714359769619</v>
      </c>
      <c r="H41" s="640">
        <v>0</v>
      </c>
      <c r="I41" s="640">
        <v>0</v>
      </c>
      <c r="J41" s="640">
        <v>0</v>
      </c>
      <c r="K41" s="640">
        <v>0</v>
      </c>
      <c r="L41" s="640">
        <v>0</v>
      </c>
      <c r="M41" s="640">
        <v>0</v>
      </c>
      <c r="N41" s="640">
        <v>0</v>
      </c>
      <c r="O41" s="640">
        <v>0</v>
      </c>
      <c r="P41" s="640">
        <v>0</v>
      </c>
      <c r="Q41" s="640">
        <v>0</v>
      </c>
      <c r="R41" s="640">
        <v>0.87448992412119186</v>
      </c>
      <c r="S41" s="648">
        <v>127.68746186574938</v>
      </c>
      <c r="U41" s="639" t="s">
        <v>84</v>
      </c>
      <c r="V41" s="640">
        <v>0</v>
      </c>
      <c r="W41" s="640">
        <v>0</v>
      </c>
      <c r="X41" s="640">
        <v>99.887922338380434</v>
      </c>
      <c r="Y41" s="640">
        <v>1.4617397027131513</v>
      </c>
      <c r="Z41" s="640">
        <v>0</v>
      </c>
      <c r="AA41" s="640">
        <v>0</v>
      </c>
      <c r="AB41" s="640">
        <v>0</v>
      </c>
      <c r="AC41" s="640">
        <v>0</v>
      </c>
      <c r="AD41" s="640">
        <v>9.6859590362548822</v>
      </c>
      <c r="AE41" s="640">
        <v>0</v>
      </c>
      <c r="AF41" s="640">
        <v>0</v>
      </c>
      <c r="AG41" s="640">
        <v>0</v>
      </c>
      <c r="AH41" s="640">
        <v>0</v>
      </c>
      <c r="AI41" s="640">
        <v>0</v>
      </c>
      <c r="AJ41" s="640">
        <v>7.0342457611083988</v>
      </c>
      <c r="AK41" s="648">
        <v>118.06986683845686</v>
      </c>
    </row>
    <row r="42" spans="3:37" x14ac:dyDescent="0.2">
      <c r="C42" s="644" t="s">
        <v>85</v>
      </c>
      <c r="D42" s="645">
        <v>6.2002081056415257</v>
      </c>
      <c r="E42" s="645">
        <v>0</v>
      </c>
      <c r="F42" s="645">
        <v>494.3147780374486</v>
      </c>
      <c r="G42" s="645">
        <v>290.54319147445591</v>
      </c>
      <c r="H42" s="645">
        <v>0</v>
      </c>
      <c r="I42" s="645">
        <v>0</v>
      </c>
      <c r="J42" s="645">
        <v>111.75633230751156</v>
      </c>
      <c r="K42" s="645">
        <v>1.7995121379986885</v>
      </c>
      <c r="L42" s="645">
        <v>31.891901350623705</v>
      </c>
      <c r="M42" s="645">
        <v>5.7026415378006226</v>
      </c>
      <c r="N42" s="645">
        <v>57.826394702164251</v>
      </c>
      <c r="O42" s="645">
        <v>2.8345349667232282</v>
      </c>
      <c r="P42" s="645">
        <v>481.78129696414442</v>
      </c>
      <c r="Q42" s="645">
        <v>35.594581328511254</v>
      </c>
      <c r="R42" s="645">
        <v>2.3167044374903201</v>
      </c>
      <c r="S42" s="645">
        <v>1522.5620773505141</v>
      </c>
      <c r="U42" s="644" t="s">
        <v>85</v>
      </c>
      <c r="V42" s="645">
        <v>1.01942505552247</v>
      </c>
      <c r="W42" s="645">
        <v>0</v>
      </c>
      <c r="X42" s="645">
        <v>288.15618356908084</v>
      </c>
      <c r="Y42" s="645">
        <v>152.44818758597918</v>
      </c>
      <c r="Z42" s="645">
        <v>0</v>
      </c>
      <c r="AA42" s="645">
        <v>0</v>
      </c>
      <c r="AB42" s="645">
        <v>101.53596995730574</v>
      </c>
      <c r="AC42" s="645">
        <v>5.727334308415541</v>
      </c>
      <c r="AD42" s="645">
        <v>79.778729084617055</v>
      </c>
      <c r="AE42" s="645">
        <v>26.663339890610278</v>
      </c>
      <c r="AF42" s="645">
        <v>76.992812580470769</v>
      </c>
      <c r="AG42" s="645">
        <v>5.3450771211174599</v>
      </c>
      <c r="AH42" s="645">
        <v>482.89674273984457</v>
      </c>
      <c r="AI42" s="645">
        <v>67.545290041896138</v>
      </c>
      <c r="AJ42" s="645">
        <v>15.176589062401575</v>
      </c>
      <c r="AK42" s="645">
        <v>1303.2856809972616</v>
      </c>
    </row>
    <row r="43" spans="3:37" x14ac:dyDescent="0.2">
      <c r="C43" s="634"/>
      <c r="D43" s="634"/>
      <c r="E43" s="634"/>
      <c r="F43" s="634"/>
      <c r="G43" s="634"/>
      <c r="H43" s="634"/>
      <c r="I43" s="634"/>
      <c r="J43" s="634"/>
      <c r="K43" s="634"/>
      <c r="L43" s="634"/>
      <c r="M43" s="634"/>
      <c r="N43" s="634"/>
      <c r="O43" s="634"/>
      <c r="P43" s="634"/>
      <c r="Q43" s="634"/>
      <c r="R43" s="634"/>
      <c r="S43" s="634"/>
      <c r="U43" s="634"/>
      <c r="V43" s="634"/>
      <c r="W43" s="634"/>
      <c r="X43" s="634"/>
      <c r="Y43" s="634"/>
      <c r="Z43" s="634"/>
      <c r="AA43" s="634"/>
      <c r="AB43" s="634"/>
      <c r="AC43" s="634"/>
      <c r="AD43" s="634"/>
      <c r="AE43" s="634"/>
      <c r="AF43" s="634"/>
      <c r="AG43" s="634"/>
      <c r="AH43" s="634"/>
      <c r="AI43" s="634"/>
      <c r="AJ43" s="634"/>
      <c r="AK43" s="634"/>
    </row>
    <row r="44" spans="3:37" ht="22.5" x14ac:dyDescent="0.3">
      <c r="C44" s="759" t="s">
        <v>359</v>
      </c>
      <c r="D44" s="759"/>
      <c r="E44" s="759"/>
      <c r="F44" s="759"/>
      <c r="G44" s="759"/>
      <c r="H44" s="759"/>
      <c r="I44" s="759"/>
      <c r="J44" s="759"/>
      <c r="K44" s="759"/>
      <c r="L44" s="759"/>
      <c r="M44" s="759"/>
      <c r="N44" s="759"/>
      <c r="O44" s="759"/>
      <c r="P44" s="759"/>
      <c r="Q44" s="759"/>
      <c r="R44" s="759"/>
      <c r="S44" s="759"/>
      <c r="U44" s="759" t="s">
        <v>359</v>
      </c>
      <c r="V44" s="759"/>
      <c r="W44" s="759"/>
      <c r="X44" s="759"/>
      <c r="Y44" s="759"/>
      <c r="Z44" s="759"/>
      <c r="AA44" s="759"/>
      <c r="AB44" s="759"/>
      <c r="AC44" s="759"/>
      <c r="AD44" s="759"/>
      <c r="AE44" s="759"/>
      <c r="AF44" s="759"/>
      <c r="AG44" s="759"/>
      <c r="AH44" s="759"/>
      <c r="AI44" s="759"/>
      <c r="AJ44" s="759"/>
      <c r="AK44" s="759"/>
    </row>
    <row r="45" spans="3:37" x14ac:dyDescent="0.2">
      <c r="C45" s="634"/>
      <c r="D45" s="634"/>
      <c r="E45" s="634"/>
      <c r="F45" s="634"/>
      <c r="G45" s="634"/>
      <c r="H45" s="634"/>
      <c r="I45" s="634"/>
      <c r="J45" s="634"/>
      <c r="K45" s="634"/>
      <c r="L45" s="634"/>
      <c r="M45" s="634"/>
      <c r="N45" s="634"/>
      <c r="O45" s="634"/>
      <c r="P45" s="634"/>
      <c r="Q45" s="634"/>
      <c r="R45" s="634"/>
      <c r="S45" s="634"/>
      <c r="U45" s="634"/>
      <c r="V45" s="634"/>
      <c r="W45" s="634"/>
      <c r="X45" s="634"/>
      <c r="Y45" s="634"/>
      <c r="Z45" s="634"/>
      <c r="AA45" s="634"/>
      <c r="AB45" s="634"/>
      <c r="AC45" s="634"/>
      <c r="AD45" s="634"/>
      <c r="AE45" s="634"/>
      <c r="AF45" s="634"/>
      <c r="AG45" s="634"/>
      <c r="AH45" s="634"/>
      <c r="AI45" s="634"/>
      <c r="AJ45" s="634"/>
      <c r="AK45" s="634"/>
    </row>
    <row r="46" spans="3:37" ht="12.95" customHeight="1" x14ac:dyDescent="0.2">
      <c r="C46" s="758" t="s">
        <v>128</v>
      </c>
      <c r="D46" s="757" t="s">
        <v>42</v>
      </c>
      <c r="E46" s="757" t="s">
        <v>52</v>
      </c>
      <c r="F46" s="757" t="s">
        <v>53</v>
      </c>
      <c r="G46" s="757" t="s">
        <v>32</v>
      </c>
      <c r="H46" s="757" t="s">
        <v>20</v>
      </c>
      <c r="I46" s="757" t="s">
        <v>55</v>
      </c>
      <c r="J46" s="757" t="s">
        <v>56</v>
      </c>
      <c r="K46" s="757"/>
      <c r="L46" s="757"/>
      <c r="M46" s="757"/>
      <c r="N46" s="757"/>
      <c r="O46" s="757"/>
      <c r="P46" s="757" t="s">
        <v>57</v>
      </c>
      <c r="Q46" s="757" t="s">
        <v>58</v>
      </c>
      <c r="R46" s="757" t="s">
        <v>31</v>
      </c>
      <c r="S46" s="757" t="s">
        <v>10</v>
      </c>
      <c r="U46" s="758" t="s">
        <v>128</v>
      </c>
      <c r="V46" s="757" t="s">
        <v>42</v>
      </c>
      <c r="W46" s="757" t="s">
        <v>52</v>
      </c>
      <c r="X46" s="757" t="s">
        <v>53</v>
      </c>
      <c r="Y46" s="757" t="s">
        <v>32</v>
      </c>
      <c r="Z46" s="757" t="s">
        <v>20</v>
      </c>
      <c r="AA46" s="757" t="s">
        <v>55</v>
      </c>
      <c r="AB46" s="757" t="s">
        <v>56</v>
      </c>
      <c r="AC46" s="757"/>
      <c r="AD46" s="757"/>
      <c r="AE46" s="757"/>
      <c r="AF46" s="757"/>
      <c r="AG46" s="757"/>
      <c r="AH46" s="757" t="s">
        <v>57</v>
      </c>
      <c r="AI46" s="757" t="s">
        <v>58</v>
      </c>
      <c r="AJ46" s="757" t="s">
        <v>31</v>
      </c>
      <c r="AK46" s="757" t="s">
        <v>10</v>
      </c>
    </row>
    <row r="47" spans="3:37" ht="56.25" x14ac:dyDescent="0.2">
      <c r="C47" s="758"/>
      <c r="D47" s="757"/>
      <c r="E47" s="757"/>
      <c r="F47" s="757"/>
      <c r="G47" s="757"/>
      <c r="H47" s="757"/>
      <c r="I47" s="757"/>
      <c r="J47" s="638" t="s">
        <v>335</v>
      </c>
      <c r="K47" s="638" t="s">
        <v>40</v>
      </c>
      <c r="L47" s="638" t="s">
        <v>343</v>
      </c>
      <c r="M47" s="638" t="s">
        <v>344</v>
      </c>
      <c r="N47" s="638" t="s">
        <v>345</v>
      </c>
      <c r="O47" s="638" t="s">
        <v>346</v>
      </c>
      <c r="P47" s="757"/>
      <c r="Q47" s="757"/>
      <c r="R47" s="757"/>
      <c r="S47" s="757"/>
      <c r="U47" s="758"/>
      <c r="V47" s="757"/>
      <c r="W47" s="757"/>
      <c r="X47" s="757"/>
      <c r="Y47" s="757"/>
      <c r="Z47" s="757"/>
      <c r="AA47" s="757"/>
      <c r="AB47" s="638" t="s">
        <v>335</v>
      </c>
      <c r="AC47" s="638" t="s">
        <v>40</v>
      </c>
      <c r="AD47" s="638" t="s">
        <v>343</v>
      </c>
      <c r="AE47" s="638" t="s">
        <v>344</v>
      </c>
      <c r="AF47" s="638" t="s">
        <v>345</v>
      </c>
      <c r="AG47" s="638" t="s">
        <v>346</v>
      </c>
      <c r="AH47" s="757"/>
      <c r="AI47" s="757"/>
      <c r="AJ47" s="757"/>
      <c r="AK47" s="757"/>
    </row>
    <row r="48" spans="3:37" x14ac:dyDescent="0.2">
      <c r="C48" s="639" t="s">
        <v>59</v>
      </c>
      <c r="D48" s="640">
        <v>0</v>
      </c>
      <c r="E48" s="641">
        <v>2.3260000000000005</v>
      </c>
      <c r="F48" s="641">
        <v>0</v>
      </c>
      <c r="G48" s="640">
        <v>3.7216000000000006E-2</v>
      </c>
      <c r="H48" s="641">
        <v>1005.4545454545456</v>
      </c>
      <c r="I48" s="641">
        <v>248.9826967827097</v>
      </c>
      <c r="J48" s="641">
        <v>189.82090717884753</v>
      </c>
      <c r="K48" s="641">
        <v>21.067323208066789</v>
      </c>
      <c r="L48" s="641">
        <v>0.444514092196865</v>
      </c>
      <c r="M48" s="641">
        <v>0.15770970126630299</v>
      </c>
      <c r="N48" s="641">
        <v>60.832905155553725</v>
      </c>
      <c r="O48" s="641">
        <v>10.347989753579439</v>
      </c>
      <c r="P48" s="642">
        <v>0</v>
      </c>
      <c r="Q48" s="641">
        <v>0</v>
      </c>
      <c r="R48" s="641">
        <v>0</v>
      </c>
      <c r="S48" s="643">
        <v>1539.4718073267661</v>
      </c>
      <c r="U48" s="639" t="s">
        <v>59</v>
      </c>
      <c r="V48" s="640">
        <v>0</v>
      </c>
      <c r="W48" s="641">
        <v>2.3260000000000005</v>
      </c>
      <c r="X48" s="641">
        <v>0</v>
      </c>
      <c r="Y48" s="640">
        <v>3.7216000000000006E-2</v>
      </c>
      <c r="Z48" s="641">
        <v>949.39393939393938</v>
      </c>
      <c r="AA48" s="641">
        <v>279.58269678270966</v>
      </c>
      <c r="AB48" s="641">
        <v>196.53145821434362</v>
      </c>
      <c r="AC48" s="641">
        <v>37.828582612394825</v>
      </c>
      <c r="AD48" s="641">
        <v>0.444514092196865</v>
      </c>
      <c r="AE48" s="641">
        <v>0.15770970126630299</v>
      </c>
      <c r="AF48" s="641">
        <v>86.476611770328219</v>
      </c>
      <c r="AG48" s="641">
        <v>21.065809354780896</v>
      </c>
      <c r="AH48" s="642">
        <v>0</v>
      </c>
      <c r="AI48" s="641">
        <v>0</v>
      </c>
      <c r="AJ48" s="641">
        <v>0</v>
      </c>
      <c r="AK48" s="643">
        <v>1573.8445379219597</v>
      </c>
    </row>
    <row r="49" spans="3:37" x14ac:dyDescent="0.2">
      <c r="C49" s="639" t="s">
        <v>60</v>
      </c>
      <c r="D49" s="640">
        <v>48.372001461449948</v>
      </c>
      <c r="E49" s="641">
        <v>509.74501402008315</v>
      </c>
      <c r="F49" s="641">
        <v>84.255119008679685</v>
      </c>
      <c r="G49" s="640">
        <v>333.85211586331565</v>
      </c>
      <c r="H49" s="641">
        <v>0</v>
      </c>
      <c r="I49" s="641">
        <v>0</v>
      </c>
      <c r="J49" s="641">
        <v>4.1218275156281265</v>
      </c>
      <c r="K49" s="641">
        <v>0</v>
      </c>
      <c r="L49" s="641">
        <v>2.2815668000430724</v>
      </c>
      <c r="M49" s="641">
        <v>0</v>
      </c>
      <c r="N49" s="641">
        <v>0</v>
      </c>
      <c r="O49" s="641">
        <v>0</v>
      </c>
      <c r="P49" s="642">
        <v>0</v>
      </c>
      <c r="Q49" s="641">
        <v>0</v>
      </c>
      <c r="R49" s="641">
        <v>0</v>
      </c>
      <c r="S49" s="643">
        <v>982.62764466919975</v>
      </c>
      <c r="U49" s="639" t="s">
        <v>60</v>
      </c>
      <c r="V49" s="640">
        <v>8.3965846696126416</v>
      </c>
      <c r="W49" s="641">
        <v>294.49378048971494</v>
      </c>
      <c r="X49" s="641">
        <v>18.517216360631103</v>
      </c>
      <c r="Y49" s="640">
        <v>163.11536747865699</v>
      </c>
      <c r="Z49" s="641">
        <v>0</v>
      </c>
      <c r="AA49" s="641">
        <v>0</v>
      </c>
      <c r="AB49" s="641">
        <v>4.1218275156281265</v>
      </c>
      <c r="AC49" s="641">
        <v>0</v>
      </c>
      <c r="AD49" s="641">
        <v>2.2815668000430724</v>
      </c>
      <c r="AE49" s="641">
        <v>0</v>
      </c>
      <c r="AF49" s="641">
        <v>0</v>
      </c>
      <c r="AG49" s="641">
        <v>0</v>
      </c>
      <c r="AH49" s="642">
        <v>0</v>
      </c>
      <c r="AI49" s="641">
        <v>0</v>
      </c>
      <c r="AJ49" s="641">
        <v>0</v>
      </c>
      <c r="AK49" s="643">
        <v>490.9263433142869</v>
      </c>
    </row>
    <row r="50" spans="3:37" x14ac:dyDescent="0.2">
      <c r="C50" s="639" t="s">
        <v>61</v>
      </c>
      <c r="D50" s="640">
        <v>0</v>
      </c>
      <c r="E50" s="641">
        <v>0</v>
      </c>
      <c r="F50" s="641">
        <v>0</v>
      </c>
      <c r="G50" s="640">
        <v>0</v>
      </c>
      <c r="H50" s="641">
        <v>0</v>
      </c>
      <c r="I50" s="641">
        <v>0</v>
      </c>
      <c r="J50" s="641">
        <v>0</v>
      </c>
      <c r="K50" s="641">
        <v>0</v>
      </c>
      <c r="L50" s="641">
        <v>0</v>
      </c>
      <c r="M50" s="641">
        <v>0</v>
      </c>
      <c r="N50" s="641">
        <v>0</v>
      </c>
      <c r="O50" s="641">
        <v>0</v>
      </c>
      <c r="P50" s="642">
        <v>-38.942042128507637</v>
      </c>
      <c r="Q50" s="641">
        <v>0</v>
      </c>
      <c r="R50" s="641">
        <v>0</v>
      </c>
      <c r="S50" s="643">
        <v>-38.942042128507637</v>
      </c>
      <c r="U50" s="639" t="s">
        <v>61</v>
      </c>
      <c r="V50" s="640">
        <v>0</v>
      </c>
      <c r="W50" s="641">
        <v>0</v>
      </c>
      <c r="X50" s="641">
        <v>0</v>
      </c>
      <c r="Y50" s="640">
        <v>0</v>
      </c>
      <c r="Z50" s="641">
        <v>0</v>
      </c>
      <c r="AA50" s="641">
        <v>0</v>
      </c>
      <c r="AB50" s="641">
        <v>0</v>
      </c>
      <c r="AC50" s="641">
        <v>0</v>
      </c>
      <c r="AD50" s="641">
        <v>0</v>
      </c>
      <c r="AE50" s="641">
        <v>0</v>
      </c>
      <c r="AF50" s="641">
        <v>0</v>
      </c>
      <c r="AG50" s="641">
        <v>0</v>
      </c>
      <c r="AH50" s="642">
        <v>-20.693548582118865</v>
      </c>
      <c r="AI50" s="641">
        <v>0</v>
      </c>
      <c r="AJ50" s="641">
        <v>0</v>
      </c>
      <c r="AK50" s="643">
        <v>-20.693548582118865</v>
      </c>
    </row>
    <row r="51" spans="3:37" x14ac:dyDescent="0.2">
      <c r="C51" s="639" t="s">
        <v>62</v>
      </c>
      <c r="D51" s="640">
        <v>0</v>
      </c>
      <c r="E51" s="641">
        <v>0</v>
      </c>
      <c r="F51" s="641">
        <v>-16.016991189558784</v>
      </c>
      <c r="G51" s="640">
        <v>0</v>
      </c>
      <c r="H51" s="641">
        <v>0</v>
      </c>
      <c r="I51" s="641">
        <v>0</v>
      </c>
      <c r="J51" s="641">
        <v>0</v>
      </c>
      <c r="K51" s="641">
        <v>0</v>
      </c>
      <c r="L51" s="641">
        <v>0</v>
      </c>
      <c r="M51" s="641">
        <v>0</v>
      </c>
      <c r="N51" s="641">
        <v>0</v>
      </c>
      <c r="O51" s="641">
        <v>0</v>
      </c>
      <c r="P51" s="642">
        <v>0</v>
      </c>
      <c r="Q51" s="641">
        <v>0</v>
      </c>
      <c r="R51" s="641">
        <v>0</v>
      </c>
      <c r="S51" s="643">
        <v>-16.016991189558784</v>
      </c>
      <c r="U51" s="639" t="s">
        <v>62</v>
      </c>
      <c r="V51" s="640">
        <v>0</v>
      </c>
      <c r="W51" s="641">
        <v>0</v>
      </c>
      <c r="X51" s="641">
        <v>-11.216317309287092</v>
      </c>
      <c r="Y51" s="640">
        <v>-1.9971079411498778</v>
      </c>
      <c r="Z51" s="641">
        <v>0</v>
      </c>
      <c r="AA51" s="641">
        <v>0</v>
      </c>
      <c r="AB51" s="641">
        <v>0</v>
      </c>
      <c r="AC51" s="641">
        <v>0</v>
      </c>
      <c r="AD51" s="641">
        <v>0</v>
      </c>
      <c r="AE51" s="641">
        <v>-0.69888193239441998</v>
      </c>
      <c r="AF51" s="641">
        <v>0</v>
      </c>
      <c r="AG51" s="641">
        <v>0</v>
      </c>
      <c r="AH51" s="642">
        <v>0</v>
      </c>
      <c r="AI51" s="641">
        <v>0</v>
      </c>
      <c r="AJ51" s="641">
        <v>0</v>
      </c>
      <c r="AK51" s="643">
        <v>-13.912307182831389</v>
      </c>
    </row>
    <row r="52" spans="3:37" x14ac:dyDescent="0.2">
      <c r="C52" s="639" t="s">
        <v>63</v>
      </c>
      <c r="D52" s="640">
        <v>0</v>
      </c>
      <c r="E52" s="641">
        <v>0</v>
      </c>
      <c r="F52" s="641">
        <v>-85.676103269538828</v>
      </c>
      <c r="G52" s="640">
        <v>0</v>
      </c>
      <c r="H52" s="641">
        <v>0</v>
      </c>
      <c r="I52" s="641">
        <v>0</v>
      </c>
      <c r="J52" s="641">
        <v>0</v>
      </c>
      <c r="K52" s="641">
        <v>0</v>
      </c>
      <c r="L52" s="641">
        <v>-0.88445591317339634</v>
      </c>
      <c r="M52" s="641">
        <v>0</v>
      </c>
      <c r="N52" s="641">
        <v>0</v>
      </c>
      <c r="O52" s="641">
        <v>0</v>
      </c>
      <c r="P52" s="642">
        <v>0</v>
      </c>
      <c r="Q52" s="641">
        <v>0</v>
      </c>
      <c r="R52" s="641">
        <v>0</v>
      </c>
      <c r="S52" s="643">
        <v>-86.560559182712225</v>
      </c>
      <c r="U52" s="639" t="s">
        <v>63</v>
      </c>
      <c r="V52" s="640">
        <v>0</v>
      </c>
      <c r="W52" s="641">
        <v>0</v>
      </c>
      <c r="X52" s="641">
        <v>-61.793178017106612</v>
      </c>
      <c r="Y52" s="640">
        <v>0</v>
      </c>
      <c r="Z52" s="641">
        <v>0</v>
      </c>
      <c r="AA52" s="641">
        <v>0</v>
      </c>
      <c r="AB52" s="641">
        <v>0</v>
      </c>
      <c r="AC52" s="641">
        <v>0</v>
      </c>
      <c r="AD52" s="641">
        <v>-20.442150229714262</v>
      </c>
      <c r="AE52" s="641">
        <v>0</v>
      </c>
      <c r="AF52" s="641">
        <v>0</v>
      </c>
      <c r="AG52" s="641">
        <v>0</v>
      </c>
      <c r="AH52" s="642">
        <v>0</v>
      </c>
      <c r="AI52" s="641">
        <v>0</v>
      </c>
      <c r="AJ52" s="641">
        <v>0</v>
      </c>
      <c r="AK52" s="643">
        <v>-82.23532824682087</v>
      </c>
    </row>
    <row r="53" spans="3:37" x14ac:dyDescent="0.2">
      <c r="C53" s="639" t="s">
        <v>64</v>
      </c>
      <c r="D53" s="640">
        <v>0</v>
      </c>
      <c r="E53" s="641">
        <v>0</v>
      </c>
      <c r="F53" s="641">
        <v>0</v>
      </c>
      <c r="G53" s="640">
        <v>0</v>
      </c>
      <c r="H53" s="641">
        <v>0</v>
      </c>
      <c r="I53" s="641">
        <v>0</v>
      </c>
      <c r="J53" s="641">
        <v>0</v>
      </c>
      <c r="K53" s="641">
        <v>0</v>
      </c>
      <c r="L53" s="641">
        <v>0</v>
      </c>
      <c r="M53" s="641">
        <v>0</v>
      </c>
      <c r="N53" s="641">
        <v>0</v>
      </c>
      <c r="O53" s="641">
        <v>0</v>
      </c>
      <c r="P53" s="642">
        <v>0</v>
      </c>
      <c r="Q53" s="641">
        <v>0</v>
      </c>
      <c r="R53" s="641">
        <v>0</v>
      </c>
      <c r="S53" s="643">
        <v>0</v>
      </c>
      <c r="U53" s="639" t="s">
        <v>64</v>
      </c>
      <c r="V53" s="640">
        <v>0</v>
      </c>
      <c r="W53" s="641">
        <v>0</v>
      </c>
      <c r="X53" s="641">
        <v>0</v>
      </c>
      <c r="Y53" s="640">
        <v>0</v>
      </c>
      <c r="Z53" s="641">
        <v>0</v>
      </c>
      <c r="AA53" s="641">
        <v>0</v>
      </c>
      <c r="AB53" s="641">
        <v>0</v>
      </c>
      <c r="AC53" s="641">
        <v>0</v>
      </c>
      <c r="AD53" s="641">
        <v>0</v>
      </c>
      <c r="AE53" s="641">
        <v>0</v>
      </c>
      <c r="AF53" s="641">
        <v>0</v>
      </c>
      <c r="AG53" s="641">
        <v>0</v>
      </c>
      <c r="AH53" s="642">
        <v>0</v>
      </c>
      <c r="AI53" s="641">
        <v>0</v>
      </c>
      <c r="AJ53" s="641">
        <v>0</v>
      </c>
      <c r="AK53" s="643">
        <v>0</v>
      </c>
    </row>
    <row r="54" spans="3:37" x14ac:dyDescent="0.2">
      <c r="C54" s="644" t="s">
        <v>65</v>
      </c>
      <c r="D54" s="645">
        <v>48.372001461449948</v>
      </c>
      <c r="E54" s="645">
        <v>512.07101402008311</v>
      </c>
      <c r="F54" s="645">
        <v>-17.437975450417916</v>
      </c>
      <c r="G54" s="645">
        <v>333.88933186331565</v>
      </c>
      <c r="H54" s="645">
        <v>1005.4545454545456</v>
      </c>
      <c r="I54" s="645">
        <v>248.9826967827097</v>
      </c>
      <c r="J54" s="645">
        <v>193.94273469447566</v>
      </c>
      <c r="K54" s="645">
        <v>21.067323208066789</v>
      </c>
      <c r="L54" s="645">
        <v>1.8416249790665411</v>
      </c>
      <c r="M54" s="645">
        <v>0.15770970126630299</v>
      </c>
      <c r="N54" s="645">
        <v>60.832905155553725</v>
      </c>
      <c r="O54" s="645">
        <v>10.347989753579439</v>
      </c>
      <c r="P54" s="645">
        <v>-38.942042128507637</v>
      </c>
      <c r="Q54" s="645">
        <v>0</v>
      </c>
      <c r="R54" s="645">
        <v>0</v>
      </c>
      <c r="S54" s="645">
        <v>2380.5798594951875</v>
      </c>
      <c r="U54" s="644" t="s">
        <v>65</v>
      </c>
      <c r="V54" s="645">
        <v>8.3965846696126416</v>
      </c>
      <c r="W54" s="645">
        <v>296.81978048971496</v>
      </c>
      <c r="X54" s="645">
        <v>-54.492278965762601</v>
      </c>
      <c r="Y54" s="645">
        <v>161.15547553750713</v>
      </c>
      <c r="Z54" s="645">
        <v>949.39393939393938</v>
      </c>
      <c r="AA54" s="645">
        <v>279.58269678270966</v>
      </c>
      <c r="AB54" s="645">
        <v>200.65328572997174</v>
      </c>
      <c r="AC54" s="645">
        <v>37.828582612394825</v>
      </c>
      <c r="AD54" s="645">
        <v>-17.716069337474323</v>
      </c>
      <c r="AE54" s="645">
        <v>-0.54117223112811697</v>
      </c>
      <c r="AF54" s="645">
        <v>86.476611770328219</v>
      </c>
      <c r="AG54" s="645">
        <v>21.065809354780896</v>
      </c>
      <c r="AH54" s="645">
        <v>-20.693548582118865</v>
      </c>
      <c r="AI54" s="645">
        <v>0</v>
      </c>
      <c r="AJ54" s="645">
        <v>0</v>
      </c>
      <c r="AK54" s="645">
        <v>1947.9296972244754</v>
      </c>
    </row>
    <row r="55" spans="3:37" x14ac:dyDescent="0.2">
      <c r="C55" s="634"/>
      <c r="D55" s="634">
        <v>0</v>
      </c>
      <c r="E55" s="634">
        <v>0</v>
      </c>
      <c r="F55" s="634">
        <v>0</v>
      </c>
      <c r="G55" s="634">
        <v>0</v>
      </c>
      <c r="H55" s="634">
        <v>0</v>
      </c>
      <c r="I55" s="634">
        <v>0</v>
      </c>
      <c r="J55" s="634">
        <v>0</v>
      </c>
      <c r="K55" s="634">
        <v>0</v>
      </c>
      <c r="L55" s="634">
        <v>0</v>
      </c>
      <c r="M55" s="634">
        <v>0</v>
      </c>
      <c r="N55" s="634">
        <v>0</v>
      </c>
      <c r="O55" s="634">
        <v>0</v>
      </c>
      <c r="P55" s="634">
        <v>0</v>
      </c>
      <c r="Q55" s="634">
        <v>0</v>
      </c>
      <c r="R55" s="634">
        <v>0</v>
      </c>
      <c r="S55" s="634">
        <v>0</v>
      </c>
      <c r="U55" s="634"/>
      <c r="V55" s="634">
        <v>0</v>
      </c>
      <c r="W55" s="634">
        <v>0</v>
      </c>
      <c r="X55" s="634">
        <v>0</v>
      </c>
      <c r="Y55" s="634">
        <v>0</v>
      </c>
      <c r="Z55" s="634">
        <v>0</v>
      </c>
      <c r="AA55" s="634">
        <v>0</v>
      </c>
      <c r="AB55" s="634">
        <v>0</v>
      </c>
      <c r="AC55" s="634">
        <v>0</v>
      </c>
      <c r="AD55" s="634">
        <v>0</v>
      </c>
      <c r="AE55" s="634">
        <v>0</v>
      </c>
      <c r="AF55" s="634">
        <v>0</v>
      </c>
      <c r="AG55" s="634">
        <v>0</v>
      </c>
      <c r="AH55" s="634">
        <v>0</v>
      </c>
      <c r="AI55" s="634">
        <v>0</v>
      </c>
      <c r="AJ55" s="634">
        <v>0</v>
      </c>
      <c r="AK55" s="634">
        <v>0</v>
      </c>
    </row>
    <row r="56" spans="3:37" x14ac:dyDescent="0.2">
      <c r="C56" s="646" t="s">
        <v>67</v>
      </c>
      <c r="D56" s="640">
        <v>0</v>
      </c>
      <c r="E56" s="647">
        <v>0</v>
      </c>
      <c r="F56" s="647">
        <v>0</v>
      </c>
      <c r="G56" s="640">
        <v>0</v>
      </c>
      <c r="H56" s="640">
        <v>0</v>
      </c>
      <c r="I56" s="640">
        <v>0</v>
      </c>
      <c r="J56" s="640">
        <v>0</v>
      </c>
      <c r="K56" s="640">
        <v>0</v>
      </c>
      <c r="L56" s="640">
        <v>0</v>
      </c>
      <c r="M56" s="640">
        <v>0</v>
      </c>
      <c r="N56" s="640">
        <v>0</v>
      </c>
      <c r="O56" s="640">
        <v>0</v>
      </c>
      <c r="P56" s="640">
        <v>0</v>
      </c>
      <c r="Q56" s="640">
        <v>0</v>
      </c>
      <c r="R56" s="640">
        <v>0</v>
      </c>
      <c r="S56" s="648">
        <v>0</v>
      </c>
      <c r="U56" s="646" t="s">
        <v>67</v>
      </c>
      <c r="V56" s="640">
        <v>0</v>
      </c>
      <c r="W56" s="647">
        <v>0</v>
      </c>
      <c r="X56" s="647">
        <v>0</v>
      </c>
      <c r="Y56" s="640">
        <v>0</v>
      </c>
      <c r="Z56" s="640">
        <v>0</v>
      </c>
      <c r="AA56" s="640">
        <v>0</v>
      </c>
      <c r="AB56" s="640">
        <v>0</v>
      </c>
      <c r="AC56" s="640">
        <v>0</v>
      </c>
      <c r="AD56" s="640">
        <v>0</v>
      </c>
      <c r="AE56" s="640">
        <v>0</v>
      </c>
      <c r="AF56" s="640">
        <v>0</v>
      </c>
      <c r="AG56" s="640">
        <v>0</v>
      </c>
      <c r="AH56" s="640">
        <v>0</v>
      </c>
      <c r="AI56" s="640">
        <v>0</v>
      </c>
      <c r="AJ56" s="640">
        <v>0</v>
      </c>
      <c r="AK56" s="648">
        <v>0</v>
      </c>
    </row>
    <row r="57" spans="3:37" x14ac:dyDescent="0.2">
      <c r="C57" s="646" t="s">
        <v>347</v>
      </c>
      <c r="D57" s="640">
        <v>2.8267856410252494</v>
      </c>
      <c r="E57" s="640">
        <v>0</v>
      </c>
      <c r="F57" s="640">
        <v>7.7008933134364401</v>
      </c>
      <c r="G57" s="640">
        <v>17.192982456140349</v>
      </c>
      <c r="H57" s="640">
        <v>1005.4545454545456</v>
      </c>
      <c r="I57" s="640">
        <v>248.9826967827097</v>
      </c>
      <c r="J57" s="649">
        <v>29.95115714704033</v>
      </c>
      <c r="K57" s="649">
        <v>7.1699357941539494</v>
      </c>
      <c r="L57" s="649">
        <v>2.7260808922399375</v>
      </c>
      <c r="M57" s="649">
        <v>0.47574727688811397</v>
      </c>
      <c r="N57" s="649">
        <v>0</v>
      </c>
      <c r="O57" s="649">
        <v>5.3758847536792693</v>
      </c>
      <c r="P57" s="640">
        <v>-611.6040304377284</v>
      </c>
      <c r="Q57" s="640">
        <v>0</v>
      </c>
      <c r="R57" s="640">
        <v>0</v>
      </c>
      <c r="S57" s="648">
        <v>716.25267907413024</v>
      </c>
      <c r="U57" s="646" t="s">
        <v>347</v>
      </c>
      <c r="V57" s="640">
        <v>0.62631490545869017</v>
      </c>
      <c r="W57" s="640">
        <v>0</v>
      </c>
      <c r="X57" s="640">
        <v>3.8372569498000768</v>
      </c>
      <c r="Y57" s="640">
        <v>12.853333333333333</v>
      </c>
      <c r="Z57" s="640">
        <v>949.39393939393938</v>
      </c>
      <c r="AA57" s="640">
        <v>279.58269678270966</v>
      </c>
      <c r="AB57" s="649">
        <v>24.143657694158538</v>
      </c>
      <c r="AC57" s="649">
        <v>6.0680800758314266</v>
      </c>
      <c r="AD57" s="649">
        <v>2.7260808922399375</v>
      </c>
      <c r="AE57" s="649">
        <v>4.1838174523267107</v>
      </c>
      <c r="AF57" s="649">
        <v>0</v>
      </c>
      <c r="AG57" s="649">
        <v>5.3758847536792693</v>
      </c>
      <c r="AH57" s="640">
        <v>-621.90403043772824</v>
      </c>
      <c r="AI57" s="640">
        <v>0</v>
      </c>
      <c r="AJ57" s="640">
        <v>3.8</v>
      </c>
      <c r="AK57" s="648">
        <v>670.68703179574891</v>
      </c>
    </row>
    <row r="58" spans="3:37" x14ac:dyDescent="0.2">
      <c r="C58" s="646" t="s">
        <v>348</v>
      </c>
      <c r="D58" s="640">
        <v>0</v>
      </c>
      <c r="E58" s="640">
        <v>0</v>
      </c>
      <c r="F58" s="640">
        <v>0</v>
      </c>
      <c r="G58" s="640">
        <v>15.048436077523924</v>
      </c>
      <c r="H58" s="640">
        <v>0</v>
      </c>
      <c r="I58" s="640">
        <v>0</v>
      </c>
      <c r="J58" s="649">
        <v>12.74533322609016</v>
      </c>
      <c r="K58" s="649">
        <v>12.056480951460374</v>
      </c>
      <c r="L58" s="649">
        <v>0</v>
      </c>
      <c r="M58" s="649">
        <v>0.32133708059977345</v>
      </c>
      <c r="N58" s="649">
        <v>0</v>
      </c>
      <c r="O58" s="649">
        <v>2.1348201063802894</v>
      </c>
      <c r="P58" s="640">
        <v>0</v>
      </c>
      <c r="Q58" s="640">
        <v>-38.309646115177976</v>
      </c>
      <c r="R58" s="640">
        <v>0</v>
      </c>
      <c r="S58" s="648">
        <v>3.9967613268765492</v>
      </c>
      <c r="U58" s="646" t="s">
        <v>348</v>
      </c>
      <c r="V58" s="640">
        <v>0</v>
      </c>
      <c r="W58" s="640">
        <v>0</v>
      </c>
      <c r="X58" s="640">
        <v>0</v>
      </c>
      <c r="Y58" s="640">
        <v>12.803359009118745</v>
      </c>
      <c r="Z58" s="640">
        <v>0</v>
      </c>
      <c r="AA58" s="640">
        <v>0</v>
      </c>
      <c r="AB58" s="649">
        <v>28.717481814983032</v>
      </c>
      <c r="AC58" s="649">
        <v>25.924008984647354</v>
      </c>
      <c r="AD58" s="649">
        <v>0</v>
      </c>
      <c r="AE58" s="649">
        <v>4.0573921431217457</v>
      </c>
      <c r="AF58" s="649">
        <v>0</v>
      </c>
      <c r="AG58" s="649">
        <v>9.7357518308203428</v>
      </c>
      <c r="AH58" s="640">
        <v>0</v>
      </c>
      <c r="AI58" s="640">
        <v>-74.504230286476243</v>
      </c>
      <c r="AJ58" s="640">
        <v>0</v>
      </c>
      <c r="AK58" s="648">
        <v>6.7337634962149808</v>
      </c>
    </row>
    <row r="59" spans="3:37" x14ac:dyDescent="0.2">
      <c r="C59" s="646" t="s">
        <v>349</v>
      </c>
      <c r="D59" s="640">
        <v>0</v>
      </c>
      <c r="E59" s="640">
        <v>0</v>
      </c>
      <c r="F59" s="640">
        <v>0</v>
      </c>
      <c r="G59" s="640">
        <v>0</v>
      </c>
      <c r="H59" s="640">
        <v>0</v>
      </c>
      <c r="I59" s="640">
        <v>0</v>
      </c>
      <c r="J59" s="650">
        <v>7.2695194025067336</v>
      </c>
      <c r="K59" s="650">
        <v>0</v>
      </c>
      <c r="L59" s="650">
        <v>0</v>
      </c>
      <c r="M59" s="650">
        <v>-6.5716455398660871</v>
      </c>
      <c r="N59" s="650">
        <v>0</v>
      </c>
      <c r="O59" s="650">
        <v>0</v>
      </c>
      <c r="P59" s="640">
        <v>0</v>
      </c>
      <c r="Q59" s="640">
        <v>0</v>
      </c>
      <c r="R59" s="640">
        <v>0</v>
      </c>
      <c r="S59" s="648">
        <v>0.69787386264064644</v>
      </c>
      <c r="U59" s="646" t="s">
        <v>349</v>
      </c>
      <c r="V59" s="640">
        <v>0</v>
      </c>
      <c r="W59" s="640">
        <v>0</v>
      </c>
      <c r="X59" s="640">
        <v>0</v>
      </c>
      <c r="Y59" s="640">
        <v>0</v>
      </c>
      <c r="Z59" s="640">
        <v>0</v>
      </c>
      <c r="AA59" s="640">
        <v>0</v>
      </c>
      <c r="AB59" s="650">
        <v>56.55251118568826</v>
      </c>
      <c r="AC59" s="650">
        <v>0</v>
      </c>
      <c r="AD59" s="650">
        <v>0</v>
      </c>
      <c r="AE59" s="650">
        <v>-51.12347011186219</v>
      </c>
      <c r="AF59" s="650">
        <v>0</v>
      </c>
      <c r="AG59" s="650">
        <v>0</v>
      </c>
      <c r="AH59" s="640">
        <v>0</v>
      </c>
      <c r="AI59" s="640">
        <v>0</v>
      </c>
      <c r="AJ59" s="640">
        <v>0</v>
      </c>
      <c r="AK59" s="648">
        <v>5.4290410738260704</v>
      </c>
    </row>
    <row r="60" spans="3:37" x14ac:dyDescent="0.2">
      <c r="C60" s="646" t="s">
        <v>350</v>
      </c>
      <c r="D60" s="640">
        <v>0</v>
      </c>
      <c r="E60" s="640">
        <v>0</v>
      </c>
      <c r="F60" s="640">
        <v>0</v>
      </c>
      <c r="G60" s="640">
        <v>0</v>
      </c>
      <c r="H60" s="640">
        <v>0</v>
      </c>
      <c r="I60" s="640">
        <v>0</v>
      </c>
      <c r="J60" s="640">
        <v>0</v>
      </c>
      <c r="K60" s="640">
        <v>0</v>
      </c>
      <c r="L60" s="640">
        <v>0</v>
      </c>
      <c r="M60" s="640">
        <v>0</v>
      </c>
      <c r="N60" s="640">
        <v>0</v>
      </c>
      <c r="O60" s="640">
        <v>0</v>
      </c>
      <c r="P60" s="640">
        <v>0</v>
      </c>
      <c r="Q60" s="640">
        <v>0</v>
      </c>
      <c r="R60" s="640">
        <v>0</v>
      </c>
      <c r="S60" s="648">
        <v>0</v>
      </c>
      <c r="U60" s="646" t="s">
        <v>350</v>
      </c>
      <c r="V60" s="640">
        <v>0</v>
      </c>
      <c r="W60" s="640">
        <v>0</v>
      </c>
      <c r="X60" s="640">
        <v>0</v>
      </c>
      <c r="Y60" s="640">
        <v>0</v>
      </c>
      <c r="Z60" s="640">
        <v>0</v>
      </c>
      <c r="AA60" s="640">
        <v>0</v>
      </c>
      <c r="AB60" s="640">
        <v>0</v>
      </c>
      <c r="AC60" s="640">
        <v>0</v>
      </c>
      <c r="AD60" s="640">
        <v>0</v>
      </c>
      <c r="AE60" s="640">
        <v>0</v>
      </c>
      <c r="AF60" s="640">
        <v>0</v>
      </c>
      <c r="AG60" s="640">
        <v>0</v>
      </c>
      <c r="AH60" s="640">
        <v>0</v>
      </c>
      <c r="AI60" s="640">
        <v>0</v>
      </c>
      <c r="AJ60" s="640">
        <v>0</v>
      </c>
      <c r="AK60" s="648">
        <v>0</v>
      </c>
    </row>
    <row r="61" spans="3:37" x14ac:dyDescent="0.2">
      <c r="C61" s="646" t="s">
        <v>72</v>
      </c>
      <c r="D61" s="640">
        <v>0</v>
      </c>
      <c r="E61" s="640">
        <v>530.45114623720224</v>
      </c>
      <c r="F61" s="640">
        <v>-525.1466347748302</v>
      </c>
      <c r="G61" s="640">
        <v>0</v>
      </c>
      <c r="H61" s="640">
        <v>0</v>
      </c>
      <c r="I61" s="640">
        <v>0</v>
      </c>
      <c r="J61" s="640">
        <v>0</v>
      </c>
      <c r="K61" s="640">
        <v>0</v>
      </c>
      <c r="L61" s="640">
        <v>0</v>
      </c>
      <c r="M61" s="640">
        <v>0</v>
      </c>
      <c r="N61" s="640">
        <v>0</v>
      </c>
      <c r="O61" s="640">
        <v>0</v>
      </c>
      <c r="P61" s="640">
        <v>0</v>
      </c>
      <c r="Q61" s="640">
        <v>0</v>
      </c>
      <c r="R61" s="640">
        <v>0</v>
      </c>
      <c r="S61" s="648">
        <v>5.3045114623720337</v>
      </c>
      <c r="U61" s="646" t="s">
        <v>72</v>
      </c>
      <c r="V61" s="640">
        <v>0</v>
      </c>
      <c r="W61" s="640">
        <v>307.47374578102756</v>
      </c>
      <c r="X61" s="640">
        <v>-304.39900832321729</v>
      </c>
      <c r="Y61" s="640">
        <v>0</v>
      </c>
      <c r="Z61" s="640">
        <v>0</v>
      </c>
      <c r="AA61" s="640">
        <v>0</v>
      </c>
      <c r="AB61" s="640">
        <v>0</v>
      </c>
      <c r="AC61" s="640">
        <v>0</v>
      </c>
      <c r="AD61" s="640">
        <v>0</v>
      </c>
      <c r="AE61" s="640">
        <v>0</v>
      </c>
      <c r="AF61" s="640">
        <v>0</v>
      </c>
      <c r="AG61" s="640">
        <v>0</v>
      </c>
      <c r="AH61" s="640">
        <v>0</v>
      </c>
      <c r="AI61" s="640">
        <v>0</v>
      </c>
      <c r="AJ61" s="640">
        <v>0</v>
      </c>
      <c r="AK61" s="648">
        <v>3.0747374578102722</v>
      </c>
    </row>
    <row r="62" spans="3:37" x14ac:dyDescent="0.2">
      <c r="C62" s="646" t="s">
        <v>351</v>
      </c>
      <c r="D62" s="640">
        <v>0</v>
      </c>
      <c r="E62" s="640">
        <v>0</v>
      </c>
      <c r="F62" s="640">
        <v>0</v>
      </c>
      <c r="G62" s="640">
        <v>0</v>
      </c>
      <c r="H62" s="640">
        <v>0</v>
      </c>
      <c r="I62" s="640">
        <v>0</v>
      </c>
      <c r="J62" s="640">
        <v>30.470996070194996</v>
      </c>
      <c r="K62" s="640">
        <v>0</v>
      </c>
      <c r="L62" s="640">
        <v>-30.470996070194996</v>
      </c>
      <c r="M62" s="640">
        <v>0</v>
      </c>
      <c r="N62" s="640">
        <v>0</v>
      </c>
      <c r="O62" s="640">
        <v>0</v>
      </c>
      <c r="P62" s="640">
        <v>0</v>
      </c>
      <c r="Q62" s="640">
        <v>0</v>
      </c>
      <c r="R62" s="640">
        <v>0</v>
      </c>
      <c r="S62" s="648">
        <v>0</v>
      </c>
      <c r="U62" s="646" t="s">
        <v>351</v>
      </c>
      <c r="V62" s="640">
        <v>0</v>
      </c>
      <c r="W62" s="640">
        <v>0</v>
      </c>
      <c r="X62" s="640">
        <v>0</v>
      </c>
      <c r="Y62" s="640">
        <v>0</v>
      </c>
      <c r="Z62" s="640">
        <v>0</v>
      </c>
      <c r="AA62" s="640">
        <v>0</v>
      </c>
      <c r="AB62" s="640" t="e">
        <v>#VALUE!</v>
      </c>
      <c r="AC62" s="640">
        <v>0</v>
      </c>
      <c r="AD62" s="640">
        <v>-92.079399970639116</v>
      </c>
      <c r="AE62" s="640">
        <v>0</v>
      </c>
      <c r="AF62" s="640">
        <v>0</v>
      </c>
      <c r="AG62" s="640">
        <v>0</v>
      </c>
      <c r="AH62" s="640">
        <v>0</v>
      </c>
      <c r="AI62" s="640">
        <v>0</v>
      </c>
      <c r="AJ62" s="640">
        <v>0</v>
      </c>
      <c r="AK62" s="648">
        <v>-92.079399970639116</v>
      </c>
    </row>
    <row r="63" spans="3:37" x14ac:dyDescent="0.2">
      <c r="C63" s="646" t="s">
        <v>352</v>
      </c>
      <c r="D63" s="640">
        <v>0</v>
      </c>
      <c r="E63" s="640">
        <v>0</v>
      </c>
      <c r="F63" s="640">
        <v>0</v>
      </c>
      <c r="G63" s="640">
        <v>0</v>
      </c>
      <c r="H63" s="640">
        <v>0</v>
      </c>
      <c r="I63" s="640">
        <v>0</v>
      </c>
      <c r="J63" s="640">
        <v>0</v>
      </c>
      <c r="K63" s="640">
        <v>0</v>
      </c>
      <c r="L63" s="640">
        <v>0</v>
      </c>
      <c r="M63" s="640">
        <v>0</v>
      </c>
      <c r="N63" s="640">
        <v>0</v>
      </c>
      <c r="O63" s="640">
        <v>0</v>
      </c>
      <c r="P63" s="640">
        <v>0</v>
      </c>
      <c r="Q63" s="640">
        <v>0</v>
      </c>
      <c r="R63" s="640">
        <v>0</v>
      </c>
      <c r="S63" s="648">
        <v>0</v>
      </c>
      <c r="U63" s="646" t="s">
        <v>352</v>
      </c>
      <c r="V63" s="640">
        <v>0</v>
      </c>
      <c r="W63" s="640">
        <v>0</v>
      </c>
      <c r="X63" s="640">
        <v>0</v>
      </c>
      <c r="Y63" s="640">
        <v>0</v>
      </c>
      <c r="Z63" s="640">
        <v>0</v>
      </c>
      <c r="AA63" s="640">
        <v>0</v>
      </c>
      <c r="AB63" s="640">
        <v>0</v>
      </c>
      <c r="AC63" s="640">
        <v>0</v>
      </c>
      <c r="AD63" s="640">
        <v>-18.857582137623396</v>
      </c>
      <c r="AE63" s="640">
        <v>0</v>
      </c>
      <c r="AF63" s="640">
        <v>0</v>
      </c>
      <c r="AG63" s="640">
        <v>0</v>
      </c>
      <c r="AH63" s="640">
        <v>0</v>
      </c>
      <c r="AI63" s="640">
        <v>0</v>
      </c>
      <c r="AJ63" s="640">
        <v>0</v>
      </c>
      <c r="AK63" s="648">
        <v>-18.857582137623396</v>
      </c>
    </row>
    <row r="64" spans="3:37" x14ac:dyDescent="0.2">
      <c r="C64" s="646" t="s">
        <v>73</v>
      </c>
      <c r="D64" s="640">
        <v>0</v>
      </c>
      <c r="E64" s="640">
        <v>0</v>
      </c>
      <c r="F64" s="640">
        <v>0</v>
      </c>
      <c r="G64" s="640">
        <v>4.2253053989858387</v>
      </c>
      <c r="H64" s="640">
        <v>0</v>
      </c>
      <c r="I64" s="640">
        <v>0</v>
      </c>
      <c r="J64" s="640">
        <v>0</v>
      </c>
      <c r="K64" s="640">
        <v>4.8227473393893973E-2</v>
      </c>
      <c r="L64" s="640">
        <v>0</v>
      </c>
      <c r="M64" s="640">
        <v>8.6230722428282419E-2</v>
      </c>
      <c r="N64" s="640">
        <v>0</v>
      </c>
      <c r="O64" s="640">
        <v>0</v>
      </c>
      <c r="P64" s="640">
        <v>0.47800681593948002</v>
      </c>
      <c r="Q64" s="640">
        <v>0</v>
      </c>
      <c r="R64" s="640">
        <v>-3.3759231375725771</v>
      </c>
      <c r="S64" s="648">
        <v>1.4618472731749175</v>
      </c>
      <c r="U64" s="646" t="s">
        <v>73</v>
      </c>
      <c r="V64" s="640">
        <v>0</v>
      </c>
      <c r="W64" s="640">
        <v>0</v>
      </c>
      <c r="X64" s="640">
        <v>0</v>
      </c>
      <c r="Y64" s="640">
        <v>6.2430459874299995</v>
      </c>
      <c r="Z64" s="640">
        <v>0</v>
      </c>
      <c r="AA64" s="640">
        <v>0</v>
      </c>
      <c r="AB64" s="640">
        <v>0</v>
      </c>
      <c r="AC64" s="640">
        <v>0.34514849554566557</v>
      </c>
      <c r="AD64" s="640">
        <v>0</v>
      </c>
      <c r="AE64" s="640">
        <v>1.9714882065568418</v>
      </c>
      <c r="AF64" s="640">
        <v>0</v>
      </c>
      <c r="AG64" s="640">
        <v>0</v>
      </c>
      <c r="AH64" s="640">
        <v>26.797369919651668</v>
      </c>
      <c r="AI64" s="640">
        <v>0</v>
      </c>
      <c r="AJ64" s="640">
        <v>-24.160394688196586</v>
      </c>
      <c r="AK64" s="648">
        <v>11.196657920987594</v>
      </c>
    </row>
    <row r="65" spans="3:37" x14ac:dyDescent="0.2">
      <c r="C65" s="646" t="s">
        <v>353</v>
      </c>
      <c r="D65" s="640">
        <v>28.633394531250001</v>
      </c>
      <c r="E65" s="640">
        <v>-18.380132217119058</v>
      </c>
      <c r="F65" s="640">
        <v>24.040127313749448</v>
      </c>
      <c r="G65" s="640">
        <v>0</v>
      </c>
      <c r="H65" s="640">
        <v>0</v>
      </c>
      <c r="I65" s="640">
        <v>0</v>
      </c>
      <c r="J65" s="640">
        <v>0</v>
      </c>
      <c r="K65" s="640">
        <v>0</v>
      </c>
      <c r="L65" s="640">
        <v>0</v>
      </c>
      <c r="M65" s="640">
        <v>0</v>
      </c>
      <c r="N65" s="640">
        <v>0</v>
      </c>
      <c r="O65" s="640">
        <v>0</v>
      </c>
      <c r="P65" s="640">
        <v>0</v>
      </c>
      <c r="Q65" s="640">
        <v>0</v>
      </c>
      <c r="R65" s="640">
        <v>0</v>
      </c>
      <c r="S65" s="648">
        <v>34.293389627880387</v>
      </c>
      <c r="U65" s="646" t="s">
        <v>353</v>
      </c>
      <c r="V65" s="640">
        <v>2.8339389038085936</v>
      </c>
      <c r="W65" s="640">
        <v>-10.653965291312606</v>
      </c>
      <c r="X65" s="640">
        <v>13.93475732241321</v>
      </c>
      <c r="Y65" s="640">
        <v>0</v>
      </c>
      <c r="Z65" s="640">
        <v>0</v>
      </c>
      <c r="AA65" s="640">
        <v>0</v>
      </c>
      <c r="AB65" s="640">
        <v>0</v>
      </c>
      <c r="AC65" s="640">
        <v>0</v>
      </c>
      <c r="AD65" s="640">
        <v>0</v>
      </c>
      <c r="AE65" s="640">
        <v>0</v>
      </c>
      <c r="AF65" s="640">
        <v>0</v>
      </c>
      <c r="AG65" s="640">
        <v>0</v>
      </c>
      <c r="AH65" s="640">
        <v>0</v>
      </c>
      <c r="AI65" s="640">
        <v>0</v>
      </c>
      <c r="AJ65" s="640">
        <v>0</v>
      </c>
      <c r="AK65" s="648">
        <v>6.1147309349091987</v>
      </c>
    </row>
    <row r="66" spans="3:37" x14ac:dyDescent="0.2">
      <c r="C66" s="646" t="s">
        <v>75</v>
      </c>
      <c r="D66" s="640">
        <v>11.135208984375002</v>
      </c>
      <c r="E66" s="640">
        <v>0</v>
      </c>
      <c r="F66" s="640">
        <v>18.035338972064878</v>
      </c>
      <c r="G66" s="640">
        <v>5.1464370207933356</v>
      </c>
      <c r="H66" s="640">
        <v>0</v>
      </c>
      <c r="I66" s="640">
        <v>0</v>
      </c>
      <c r="J66" s="640">
        <v>0</v>
      </c>
      <c r="K66" s="640">
        <v>0</v>
      </c>
      <c r="L66" s="640">
        <v>0</v>
      </c>
      <c r="M66" s="640">
        <v>0.10502932695496604</v>
      </c>
      <c r="N66" s="640">
        <v>0</v>
      </c>
      <c r="O66" s="640">
        <v>0</v>
      </c>
      <c r="P66" s="640">
        <v>31.859130537431355</v>
      </c>
      <c r="Q66" s="640">
        <v>0</v>
      </c>
      <c r="R66" s="640">
        <v>0</v>
      </c>
      <c r="S66" s="648">
        <v>66.281144841619536</v>
      </c>
      <c r="U66" s="646" t="s">
        <v>75</v>
      </c>
      <c r="V66" s="640">
        <v>3.871097900390625</v>
      </c>
      <c r="W66" s="640">
        <v>0</v>
      </c>
      <c r="X66" s="640">
        <v>18.035338972064878</v>
      </c>
      <c r="Y66" s="640">
        <v>3.9911144242887096</v>
      </c>
      <c r="Z66" s="640">
        <v>0</v>
      </c>
      <c r="AA66" s="640">
        <v>0</v>
      </c>
      <c r="AB66" s="640">
        <v>0</v>
      </c>
      <c r="AC66" s="640">
        <v>0</v>
      </c>
      <c r="AD66" s="640">
        <v>0</v>
      </c>
      <c r="AE66" s="640">
        <v>1.2603519234595923</v>
      </c>
      <c r="AF66" s="640">
        <v>0</v>
      </c>
      <c r="AG66" s="640">
        <v>0</v>
      </c>
      <c r="AH66" s="640">
        <v>35.363675991976798</v>
      </c>
      <c r="AI66" s="640">
        <v>0</v>
      </c>
      <c r="AJ66" s="640">
        <v>0</v>
      </c>
      <c r="AK66" s="648">
        <v>62.521579212180605</v>
      </c>
    </row>
    <row r="67" spans="3:37" x14ac:dyDescent="0.2">
      <c r="C67" s="646" t="s">
        <v>76</v>
      </c>
      <c r="D67" s="640">
        <v>0</v>
      </c>
      <c r="E67" s="640">
        <v>0</v>
      </c>
      <c r="F67" s="640">
        <v>0</v>
      </c>
      <c r="G67" s="640">
        <v>3.818307882847094</v>
      </c>
      <c r="H67" s="640">
        <v>0</v>
      </c>
      <c r="I67" s="640">
        <v>0</v>
      </c>
      <c r="J67" s="640">
        <v>0</v>
      </c>
      <c r="K67" s="640">
        <v>0</v>
      </c>
      <c r="L67" s="640">
        <v>0</v>
      </c>
      <c r="M67" s="640">
        <v>7.7924650670348858E-2</v>
      </c>
      <c r="N67" s="640">
        <v>0</v>
      </c>
      <c r="O67" s="640">
        <v>0</v>
      </c>
      <c r="P67" s="640">
        <v>43.831436480126726</v>
      </c>
      <c r="Q67" s="640">
        <v>2.9732290990631256</v>
      </c>
      <c r="R67" s="640">
        <v>0</v>
      </c>
      <c r="S67" s="648">
        <v>50.700898112707293</v>
      </c>
      <c r="U67" s="646" t="s">
        <v>76</v>
      </c>
      <c r="V67" s="640">
        <v>0</v>
      </c>
      <c r="W67" s="640">
        <v>0</v>
      </c>
      <c r="X67" s="640">
        <v>0</v>
      </c>
      <c r="Y67" s="640">
        <v>1.9196559923426515</v>
      </c>
      <c r="Z67" s="640">
        <v>0</v>
      </c>
      <c r="AA67" s="640">
        <v>0</v>
      </c>
      <c r="AB67" s="640">
        <v>0</v>
      </c>
      <c r="AC67" s="640">
        <v>0</v>
      </c>
      <c r="AD67" s="640">
        <v>0</v>
      </c>
      <c r="AE67" s="640">
        <v>0.60620715547662674</v>
      </c>
      <c r="AF67" s="640">
        <v>0</v>
      </c>
      <c r="AG67" s="640">
        <v>0</v>
      </c>
      <c r="AH67" s="640">
        <v>46.019363501687437</v>
      </c>
      <c r="AI67" s="640">
        <v>5.777975473960776</v>
      </c>
      <c r="AJ67" s="640">
        <v>0</v>
      </c>
      <c r="AK67" s="648">
        <v>54.323202123467496</v>
      </c>
    </row>
    <row r="68" spans="3:37" x14ac:dyDescent="0.2">
      <c r="C68" s="644" t="s">
        <v>77</v>
      </c>
      <c r="D68" s="645">
        <v>42.595389156650249</v>
      </c>
      <c r="E68" s="645">
        <v>512.07101402008323</v>
      </c>
      <c r="F68" s="645">
        <v>-475.37027517557942</v>
      </c>
      <c r="G68" s="645">
        <v>45.431468836290541</v>
      </c>
      <c r="H68" s="645">
        <v>1005.4545454545456</v>
      </c>
      <c r="I68" s="645">
        <v>248.9826967827097</v>
      </c>
      <c r="J68" s="645">
        <v>80.437005845832218</v>
      </c>
      <c r="K68" s="645">
        <v>19.274644219008216</v>
      </c>
      <c r="L68" s="645">
        <v>-27.744915177955058</v>
      </c>
      <c r="M68" s="645">
        <v>-5.5053764823246025</v>
      </c>
      <c r="N68" s="645">
        <v>0</v>
      </c>
      <c r="O68" s="645">
        <v>7.5107048600595583</v>
      </c>
      <c r="P68" s="645">
        <v>-535.43545660423092</v>
      </c>
      <c r="Q68" s="645">
        <v>-35.336417016114851</v>
      </c>
      <c r="R68" s="645">
        <v>-3.3759231375725771</v>
      </c>
      <c r="S68" s="645">
        <v>878.98910558140176</v>
      </c>
      <c r="U68" s="644" t="s">
        <v>77</v>
      </c>
      <c r="V68" s="645">
        <v>7.3313517096579091</v>
      </c>
      <c r="W68" s="645">
        <v>296.81978048971496</v>
      </c>
      <c r="X68" s="645">
        <v>-268.59165507893914</v>
      </c>
      <c r="Y68" s="645">
        <v>37.810508746513442</v>
      </c>
      <c r="Z68" s="645">
        <v>949.39393939393938</v>
      </c>
      <c r="AA68" s="645">
        <v>279.58269678270966</v>
      </c>
      <c r="AB68" s="645">
        <v>109.41365069482983</v>
      </c>
      <c r="AC68" s="645">
        <v>32.337237556024441</v>
      </c>
      <c r="AD68" s="645">
        <v>-108.21090121602258</v>
      </c>
      <c r="AE68" s="645">
        <v>-39.044213230920668</v>
      </c>
      <c r="AF68" s="645">
        <v>0</v>
      </c>
      <c r="AG68" s="645">
        <v>15.111636584499612</v>
      </c>
      <c r="AH68" s="645">
        <v>-513.7236210244123</v>
      </c>
      <c r="AI68" s="645">
        <v>-68.726254812515464</v>
      </c>
      <c r="AJ68" s="645">
        <v>-20.360394688196585</v>
      </c>
      <c r="AK68" s="645">
        <v>709.14376190688279</v>
      </c>
    </row>
    <row r="69" spans="3:37" x14ac:dyDescent="0.2">
      <c r="C69" s="634"/>
      <c r="D69" s="634">
        <v>0</v>
      </c>
      <c r="E69" s="634">
        <v>0</v>
      </c>
      <c r="F69" s="634">
        <v>0</v>
      </c>
      <c r="G69" s="634">
        <v>0</v>
      </c>
      <c r="H69" s="634">
        <v>0</v>
      </c>
      <c r="I69" s="634">
        <v>0</v>
      </c>
      <c r="J69" s="634">
        <v>0</v>
      </c>
      <c r="K69" s="634">
        <v>0</v>
      </c>
      <c r="L69" s="634">
        <v>0</v>
      </c>
      <c r="M69" s="634">
        <v>0</v>
      </c>
      <c r="N69" s="634">
        <v>0</v>
      </c>
      <c r="O69" s="634">
        <v>0</v>
      </c>
      <c r="P69" s="634">
        <v>0</v>
      </c>
      <c r="Q69" s="634">
        <v>0</v>
      </c>
      <c r="R69" s="634">
        <v>0</v>
      </c>
      <c r="S69" s="634">
        <v>0</v>
      </c>
      <c r="U69" s="634"/>
      <c r="V69" s="634">
        <v>0</v>
      </c>
      <c r="W69" s="634">
        <v>0</v>
      </c>
      <c r="X69" s="634">
        <v>0</v>
      </c>
      <c r="Y69" s="634">
        <v>0</v>
      </c>
      <c r="Z69" s="634">
        <v>0</v>
      </c>
      <c r="AA69" s="634">
        <v>0</v>
      </c>
      <c r="AB69" s="634">
        <v>0</v>
      </c>
      <c r="AC69" s="634">
        <v>0</v>
      </c>
      <c r="AD69" s="634">
        <v>0</v>
      </c>
      <c r="AE69" s="634">
        <v>0</v>
      </c>
      <c r="AF69" s="634">
        <v>0</v>
      </c>
      <c r="AG69" s="634">
        <v>0</v>
      </c>
      <c r="AH69" s="634">
        <v>0</v>
      </c>
      <c r="AI69" s="634">
        <v>0</v>
      </c>
      <c r="AJ69" s="634">
        <v>0</v>
      </c>
      <c r="AK69" s="634">
        <v>0</v>
      </c>
    </row>
    <row r="70" spans="3:37" x14ac:dyDescent="0.2">
      <c r="C70" s="646" t="s">
        <v>78</v>
      </c>
      <c r="D70" s="640">
        <v>5.7766123047996905</v>
      </c>
      <c r="E70" s="640">
        <v>0</v>
      </c>
      <c r="F70" s="640">
        <v>22.402619678599791</v>
      </c>
      <c r="G70" s="640">
        <v>99.281124041468402</v>
      </c>
      <c r="H70" s="640">
        <v>0</v>
      </c>
      <c r="I70" s="640">
        <v>0</v>
      </c>
      <c r="J70" s="640">
        <v>20.258622771310847</v>
      </c>
      <c r="K70" s="640">
        <v>1.7675748663376085</v>
      </c>
      <c r="L70" s="640">
        <v>0.898333240234375</v>
      </c>
      <c r="M70" s="640">
        <v>2.0447588657198987</v>
      </c>
      <c r="N70" s="640">
        <v>0</v>
      </c>
      <c r="O70" s="640">
        <v>3.7946622282562846E-4</v>
      </c>
      <c r="P70" s="640">
        <v>110.87393457022205</v>
      </c>
      <c r="Q70" s="640">
        <v>16.091742927144434</v>
      </c>
      <c r="R70" s="640">
        <v>0.31004003906249999</v>
      </c>
      <c r="S70" s="648">
        <v>279.70574277112252</v>
      </c>
      <c r="U70" s="646" t="s">
        <v>78</v>
      </c>
      <c r="V70" s="640">
        <v>1.065232959954733</v>
      </c>
      <c r="W70" s="640">
        <v>0</v>
      </c>
      <c r="X70" s="640">
        <v>10.225742404389669</v>
      </c>
      <c r="Y70" s="640">
        <v>56.981112862578769</v>
      </c>
      <c r="Z70" s="640">
        <v>0</v>
      </c>
      <c r="AA70" s="640">
        <v>0</v>
      </c>
      <c r="AB70" s="640">
        <v>15.894636498884354</v>
      </c>
      <c r="AC70" s="640">
        <v>5.4662409336494147</v>
      </c>
      <c r="AD70" s="640">
        <v>3.5459101562500011</v>
      </c>
      <c r="AE70" s="640">
        <v>18.012649117932849</v>
      </c>
      <c r="AF70" s="640">
        <v>0</v>
      </c>
      <c r="AG70" s="640">
        <v>3.7946622282562846E-4</v>
      </c>
      <c r="AH70" s="640">
        <v>139.02742097426295</v>
      </c>
      <c r="AI70" s="640">
        <v>22.276590949645215</v>
      </c>
      <c r="AJ70" s="640">
        <v>6.4302626953124999</v>
      </c>
      <c r="AK70" s="648">
        <v>278.92617901908329</v>
      </c>
    </row>
    <row r="71" spans="3:37" x14ac:dyDescent="0.2">
      <c r="C71" s="646" t="s">
        <v>79</v>
      </c>
      <c r="D71" s="640">
        <v>0</v>
      </c>
      <c r="E71" s="640">
        <v>0</v>
      </c>
      <c r="F71" s="640">
        <v>266.09529408288529</v>
      </c>
      <c r="G71" s="640">
        <v>27.519674276690072</v>
      </c>
      <c r="H71" s="640">
        <v>0</v>
      </c>
      <c r="I71" s="640">
        <v>0</v>
      </c>
      <c r="J71" s="640">
        <v>0</v>
      </c>
      <c r="K71" s="640">
        <v>0</v>
      </c>
      <c r="L71" s="640">
        <v>25.787483151262677</v>
      </c>
      <c r="M71" s="640">
        <v>0.56162600564673626</v>
      </c>
      <c r="N71" s="640">
        <v>0</v>
      </c>
      <c r="O71" s="640">
        <v>0</v>
      </c>
      <c r="P71" s="640">
        <v>55.913522242788574</v>
      </c>
      <c r="Q71" s="640">
        <v>0</v>
      </c>
      <c r="R71" s="640">
        <v>1.6351140344190074</v>
      </c>
      <c r="S71" s="648">
        <v>377.5127137936924</v>
      </c>
      <c r="U71" s="646" t="s">
        <v>79</v>
      </c>
      <c r="V71" s="640">
        <v>0</v>
      </c>
      <c r="W71" s="640">
        <v>0</v>
      </c>
      <c r="X71" s="640">
        <v>96.606255591578162</v>
      </c>
      <c r="Y71" s="640">
        <v>18.337650579977414</v>
      </c>
      <c r="Z71" s="640">
        <v>0</v>
      </c>
      <c r="AA71" s="640">
        <v>0</v>
      </c>
      <c r="AB71" s="640">
        <v>0</v>
      </c>
      <c r="AC71" s="640">
        <v>0</v>
      </c>
      <c r="AD71" s="640">
        <v>50.618247990049454</v>
      </c>
      <c r="AE71" s="640">
        <v>5.9499820008855142</v>
      </c>
      <c r="AF71" s="640">
        <v>0</v>
      </c>
      <c r="AG71" s="640">
        <v>0</v>
      </c>
      <c r="AH71" s="640">
        <v>73.690348279738799</v>
      </c>
      <c r="AI71" s="640">
        <v>0</v>
      </c>
      <c r="AJ71" s="640">
        <v>3.6092463767880076</v>
      </c>
      <c r="AK71" s="648">
        <v>248.81173081901736</v>
      </c>
    </row>
    <row r="72" spans="3:37" x14ac:dyDescent="0.2">
      <c r="C72" s="646" t="s">
        <v>80</v>
      </c>
      <c r="D72" s="640">
        <v>0</v>
      </c>
      <c r="E72" s="640">
        <v>0</v>
      </c>
      <c r="F72" s="640">
        <v>20.365336948925044</v>
      </c>
      <c r="G72" s="640">
        <v>85.23124323075227</v>
      </c>
      <c r="H72" s="640">
        <v>0</v>
      </c>
      <c r="I72" s="640">
        <v>0</v>
      </c>
      <c r="J72" s="640">
        <v>86.726820353783026</v>
      </c>
      <c r="K72" s="640">
        <v>0</v>
      </c>
      <c r="L72" s="640">
        <v>0</v>
      </c>
      <c r="M72" s="640">
        <v>1.7394131271582098</v>
      </c>
      <c r="N72" s="640">
        <v>52.217429119397167</v>
      </c>
      <c r="O72" s="640">
        <v>2.0042749347218733</v>
      </c>
      <c r="P72" s="640">
        <v>185.58174281281848</v>
      </c>
      <c r="Q72" s="640">
        <v>15.554343379011728</v>
      </c>
      <c r="R72" s="640">
        <v>0</v>
      </c>
      <c r="S72" s="648">
        <v>449.42060390656781</v>
      </c>
      <c r="U72" s="646" t="s">
        <v>80</v>
      </c>
      <c r="V72" s="640">
        <v>0</v>
      </c>
      <c r="W72" s="640">
        <v>0</v>
      </c>
      <c r="X72" s="640">
        <v>1.2585168598114169</v>
      </c>
      <c r="Y72" s="640">
        <v>24.208168890995722</v>
      </c>
      <c r="Z72" s="640">
        <v>0</v>
      </c>
      <c r="AA72" s="640">
        <v>0</v>
      </c>
      <c r="AB72" s="640">
        <v>64.793825414524548</v>
      </c>
      <c r="AC72" s="640">
        <v>0</v>
      </c>
      <c r="AD72" s="640">
        <v>0</v>
      </c>
      <c r="AE72" s="640">
        <v>7.6446849129460164</v>
      </c>
      <c r="AF72" s="640">
        <v>71.984931036617454</v>
      </c>
      <c r="AG72" s="640">
        <v>3.153558114778761</v>
      </c>
      <c r="AH72" s="640">
        <v>153.74527198137548</v>
      </c>
      <c r="AI72" s="640">
        <v>35.336807466581455</v>
      </c>
      <c r="AJ72" s="640">
        <v>0</v>
      </c>
      <c r="AK72" s="648">
        <v>362.12576467763085</v>
      </c>
    </row>
    <row r="73" spans="3:37" x14ac:dyDescent="0.2">
      <c r="C73" s="646" t="s">
        <v>81</v>
      </c>
      <c r="D73" s="640">
        <v>0</v>
      </c>
      <c r="E73" s="640">
        <v>0</v>
      </c>
      <c r="F73" s="640">
        <v>7.1130915409553364</v>
      </c>
      <c r="G73" s="640">
        <v>63.054682395398032</v>
      </c>
      <c r="H73" s="640">
        <v>0</v>
      </c>
      <c r="I73" s="640">
        <v>0</v>
      </c>
      <c r="J73" s="640">
        <v>3.2976998041276677</v>
      </c>
      <c r="K73" s="640">
        <v>2.5104122720965388E-2</v>
      </c>
      <c r="L73" s="640">
        <v>0</v>
      </c>
      <c r="M73" s="640">
        <v>1.2868302529673068</v>
      </c>
      <c r="N73" s="640">
        <v>8.6154760361565579</v>
      </c>
      <c r="O73" s="640">
        <v>0.75786341807650337</v>
      </c>
      <c r="P73" s="640">
        <v>137.18962935697431</v>
      </c>
      <c r="Q73" s="640">
        <v>3.6903307099586842</v>
      </c>
      <c r="R73" s="640">
        <v>0</v>
      </c>
      <c r="S73" s="648">
        <v>225.03070763733538</v>
      </c>
      <c r="U73" s="646" t="s">
        <v>81</v>
      </c>
      <c r="V73" s="640">
        <v>0</v>
      </c>
      <c r="W73" s="640">
        <v>0</v>
      </c>
      <c r="X73" s="640">
        <v>2.1697022188790429</v>
      </c>
      <c r="Y73" s="640">
        <v>20.911765460712612</v>
      </c>
      <c r="Z73" s="640">
        <v>0</v>
      </c>
      <c r="AA73" s="640">
        <v>0</v>
      </c>
      <c r="AB73" s="640">
        <v>7.3285872023111214</v>
      </c>
      <c r="AC73" s="640">
        <v>2.5104122720965388E-2</v>
      </c>
      <c r="AD73" s="640">
        <v>0</v>
      </c>
      <c r="AE73" s="640">
        <v>6.6037154086460879</v>
      </c>
      <c r="AF73" s="640">
        <v>14.491680733710758</v>
      </c>
      <c r="AG73" s="640">
        <v>1.6347019702159422</v>
      </c>
      <c r="AH73" s="640">
        <v>117.90366143236871</v>
      </c>
      <c r="AI73" s="640">
        <v>11.11285639628878</v>
      </c>
      <c r="AJ73" s="640">
        <v>0</v>
      </c>
      <c r="AK73" s="648">
        <v>182.18177494585402</v>
      </c>
    </row>
    <row r="74" spans="3:37" x14ac:dyDescent="0.2">
      <c r="C74" s="646" t="s">
        <v>82</v>
      </c>
      <c r="D74" s="640">
        <v>0</v>
      </c>
      <c r="E74" s="640">
        <v>0</v>
      </c>
      <c r="F74" s="640">
        <v>30.218764596795413</v>
      </c>
      <c r="G74" s="640">
        <v>1.4924386728389218</v>
      </c>
      <c r="H74" s="640">
        <v>0</v>
      </c>
      <c r="I74" s="640">
        <v>0</v>
      </c>
      <c r="J74" s="640">
        <v>3.2225859194218685</v>
      </c>
      <c r="K74" s="640">
        <v>0</v>
      </c>
      <c r="L74" s="640">
        <v>2.9019247412329854</v>
      </c>
      <c r="M74" s="640">
        <v>3.0457932098753505E-2</v>
      </c>
      <c r="N74" s="640">
        <v>0</v>
      </c>
      <c r="O74" s="640">
        <v>7.4767074498679406E-2</v>
      </c>
      <c r="P74" s="640">
        <v>6.6555854929198803</v>
      </c>
      <c r="Q74" s="640">
        <v>0</v>
      </c>
      <c r="R74" s="640">
        <v>0</v>
      </c>
      <c r="S74" s="648">
        <v>44.596524429806507</v>
      </c>
      <c r="U74" s="646" t="s">
        <v>82</v>
      </c>
      <c r="V74" s="640">
        <v>0</v>
      </c>
      <c r="W74" s="640">
        <v>0</v>
      </c>
      <c r="X74" s="640">
        <v>13.476198254352189</v>
      </c>
      <c r="Y74" s="640">
        <v>1.4718796614135594</v>
      </c>
      <c r="Z74" s="640">
        <v>0</v>
      </c>
      <c r="AA74" s="640">
        <v>0</v>
      </c>
      <c r="AB74" s="640">
        <v>3.2225859194218685</v>
      </c>
      <c r="AC74" s="640">
        <v>0</v>
      </c>
      <c r="AD74" s="640">
        <v>23.463730160224294</v>
      </c>
      <c r="AE74" s="640">
        <v>0.46480410360428193</v>
      </c>
      <c r="AF74" s="640">
        <v>0</v>
      </c>
      <c r="AG74" s="640">
        <v>1.1655332190637568</v>
      </c>
      <c r="AH74" s="640">
        <v>6.7433697745475678</v>
      </c>
      <c r="AI74" s="640">
        <v>0</v>
      </c>
      <c r="AJ74" s="640">
        <v>0.29485655237537339</v>
      </c>
      <c r="AK74" s="648">
        <v>50.302957645002891</v>
      </c>
    </row>
    <row r="75" spans="3:37" x14ac:dyDescent="0.2">
      <c r="C75" s="646" t="s">
        <v>354</v>
      </c>
      <c r="D75" s="640">
        <v>0</v>
      </c>
      <c r="E75" s="640">
        <v>0</v>
      </c>
      <c r="F75" s="640">
        <v>0</v>
      </c>
      <c r="G75" s="640">
        <v>0</v>
      </c>
      <c r="H75" s="640">
        <v>0</v>
      </c>
      <c r="I75" s="640">
        <v>0</v>
      </c>
      <c r="J75" s="640">
        <v>0</v>
      </c>
      <c r="K75" s="640">
        <v>0</v>
      </c>
      <c r="L75" s="640">
        <v>0</v>
      </c>
      <c r="M75" s="640">
        <v>0</v>
      </c>
      <c r="N75" s="640">
        <v>0</v>
      </c>
      <c r="O75" s="640">
        <v>0</v>
      </c>
      <c r="P75" s="640">
        <v>0.27899999999999997</v>
      </c>
      <c r="Q75" s="640">
        <v>0</v>
      </c>
      <c r="R75" s="640">
        <v>0</v>
      </c>
      <c r="S75" s="648">
        <v>0.27899999999999997</v>
      </c>
      <c r="U75" s="646" t="s">
        <v>354</v>
      </c>
      <c r="V75" s="640">
        <v>0</v>
      </c>
      <c r="W75" s="640">
        <v>0</v>
      </c>
      <c r="X75" s="640">
        <v>0</v>
      </c>
      <c r="Y75" s="640">
        <v>0</v>
      </c>
      <c r="Z75" s="640">
        <v>0</v>
      </c>
      <c r="AA75" s="640">
        <v>0</v>
      </c>
      <c r="AB75" s="640">
        <v>0</v>
      </c>
      <c r="AC75" s="640">
        <v>0</v>
      </c>
      <c r="AD75" s="640">
        <v>0</v>
      </c>
      <c r="AE75" s="640">
        <v>0</v>
      </c>
      <c r="AF75" s="640">
        <v>0</v>
      </c>
      <c r="AG75" s="640">
        <v>0</v>
      </c>
      <c r="AH75" s="640">
        <v>1.92</v>
      </c>
      <c r="AI75" s="640">
        <v>0</v>
      </c>
      <c r="AJ75" s="640">
        <v>0</v>
      </c>
      <c r="AK75" s="648">
        <v>1.92</v>
      </c>
    </row>
    <row r="76" spans="3:37" x14ac:dyDescent="0.2">
      <c r="C76" s="644" t="s">
        <v>83</v>
      </c>
      <c r="D76" s="645">
        <v>5.7766123047996905</v>
      </c>
      <c r="E76" s="645">
        <v>0</v>
      </c>
      <c r="F76" s="645">
        <v>346.19510684816078</v>
      </c>
      <c r="G76" s="645">
        <v>276.57916261714774</v>
      </c>
      <c r="H76" s="645">
        <v>0</v>
      </c>
      <c r="I76" s="645">
        <v>0</v>
      </c>
      <c r="J76" s="645">
        <v>113.50572884864343</v>
      </c>
      <c r="K76" s="645">
        <v>1.7926789890585739</v>
      </c>
      <c r="L76" s="645">
        <v>29.587741132730038</v>
      </c>
      <c r="M76" s="645">
        <v>5.6630861835909059</v>
      </c>
      <c r="N76" s="645">
        <v>60.832905155553725</v>
      </c>
      <c r="O76" s="645">
        <v>2.8372848935198816</v>
      </c>
      <c r="P76" s="645">
        <v>496.49341447572323</v>
      </c>
      <c r="Q76" s="645">
        <v>35.336417016114851</v>
      </c>
      <c r="R76" s="645">
        <v>1.9451540734815074</v>
      </c>
      <c r="S76" s="645">
        <v>1376.5452925385248</v>
      </c>
      <c r="U76" s="644" t="s">
        <v>83</v>
      </c>
      <c r="V76" s="645">
        <v>1.065232959954733</v>
      </c>
      <c r="W76" s="645">
        <v>0</v>
      </c>
      <c r="X76" s="645">
        <v>123.73641532901047</v>
      </c>
      <c r="Y76" s="645">
        <v>121.91057745567808</v>
      </c>
      <c r="Z76" s="645">
        <v>0</v>
      </c>
      <c r="AA76" s="645">
        <v>0</v>
      </c>
      <c r="AB76" s="645">
        <v>91.239635035141916</v>
      </c>
      <c r="AC76" s="645">
        <v>5.4913450563703794</v>
      </c>
      <c r="AD76" s="645">
        <v>77.627888306523744</v>
      </c>
      <c r="AE76" s="645">
        <v>38.675835544014738</v>
      </c>
      <c r="AF76" s="645">
        <v>86.476611770328219</v>
      </c>
      <c r="AG76" s="645">
        <v>5.9541727702812857</v>
      </c>
      <c r="AH76" s="645">
        <v>493.03007244229349</v>
      </c>
      <c r="AI76" s="645">
        <v>68.72625481251545</v>
      </c>
      <c r="AJ76" s="645">
        <v>10.334365624475881</v>
      </c>
      <c r="AK76" s="645">
        <v>1124.2684071065887</v>
      </c>
    </row>
    <row r="77" spans="3:37" x14ac:dyDescent="0.2">
      <c r="C77" s="639" t="s">
        <v>84</v>
      </c>
      <c r="D77" s="640">
        <v>0</v>
      </c>
      <c r="E77" s="640">
        <v>0</v>
      </c>
      <c r="F77" s="640">
        <v>111.73719287700069</v>
      </c>
      <c r="G77" s="640">
        <v>11.878700409877391</v>
      </c>
      <c r="H77" s="640">
        <v>0</v>
      </c>
      <c r="I77" s="640">
        <v>0</v>
      </c>
      <c r="J77" s="640">
        <v>0</v>
      </c>
      <c r="K77" s="640">
        <v>0</v>
      </c>
      <c r="L77" s="640">
        <v>0</v>
      </c>
      <c r="M77" s="640">
        <v>0</v>
      </c>
      <c r="N77" s="640">
        <v>0</v>
      </c>
      <c r="O77" s="640">
        <v>0</v>
      </c>
      <c r="P77" s="640">
        <v>0</v>
      </c>
      <c r="Q77" s="640">
        <v>0</v>
      </c>
      <c r="R77" s="640">
        <v>1.43076906409107</v>
      </c>
      <c r="S77" s="648">
        <v>125.04666235096916</v>
      </c>
      <c r="U77" s="639" t="s">
        <v>84</v>
      </c>
      <c r="V77" s="640">
        <v>0</v>
      </c>
      <c r="W77" s="640">
        <v>0</v>
      </c>
      <c r="X77" s="640">
        <v>90.362960784166091</v>
      </c>
      <c r="Y77" s="640">
        <v>1.2615947910933976</v>
      </c>
      <c r="Z77" s="640">
        <v>0</v>
      </c>
      <c r="AA77" s="640">
        <v>0</v>
      </c>
      <c r="AB77" s="640">
        <v>0</v>
      </c>
      <c r="AC77" s="640">
        <v>0</v>
      </c>
      <c r="AD77" s="640">
        <v>14.679117373046875</v>
      </c>
      <c r="AE77" s="640">
        <v>0</v>
      </c>
      <c r="AF77" s="640">
        <v>0</v>
      </c>
      <c r="AG77" s="640">
        <v>0</v>
      </c>
      <c r="AH77" s="640">
        <v>0</v>
      </c>
      <c r="AI77" s="640">
        <v>0</v>
      </c>
      <c r="AJ77" s="640">
        <v>10.026029063720703</v>
      </c>
      <c r="AK77" s="648">
        <v>116.32970201202707</v>
      </c>
    </row>
    <row r="78" spans="3:37" x14ac:dyDescent="0.2">
      <c r="C78" s="644" t="s">
        <v>85</v>
      </c>
      <c r="D78" s="645">
        <v>5.7766123047996905</v>
      </c>
      <c r="E78" s="645">
        <v>0</v>
      </c>
      <c r="F78" s="645">
        <v>457.9322997251615</v>
      </c>
      <c r="G78" s="645">
        <v>288.45786302702516</v>
      </c>
      <c r="H78" s="645">
        <v>0</v>
      </c>
      <c r="I78" s="645">
        <v>0</v>
      </c>
      <c r="J78" s="645">
        <v>113.50572884864343</v>
      </c>
      <c r="K78" s="645">
        <v>1.7926789890585739</v>
      </c>
      <c r="L78" s="645">
        <v>29.587741132730038</v>
      </c>
      <c r="M78" s="645">
        <v>5.6630861835909059</v>
      </c>
      <c r="N78" s="645">
        <v>60.832905155553725</v>
      </c>
      <c r="O78" s="645">
        <v>2.8372848935198816</v>
      </c>
      <c r="P78" s="645">
        <v>496.49341447572323</v>
      </c>
      <c r="Q78" s="645">
        <v>35.336417016114851</v>
      </c>
      <c r="R78" s="645">
        <v>3.3759231375725776</v>
      </c>
      <c r="S78" s="645">
        <v>1501.5919548894938</v>
      </c>
      <c r="U78" s="644" t="s">
        <v>85</v>
      </c>
      <c r="V78" s="645">
        <v>1.065232959954733</v>
      </c>
      <c r="W78" s="645">
        <v>0</v>
      </c>
      <c r="X78" s="645">
        <v>214.09937611317656</v>
      </c>
      <c r="Y78" s="645">
        <v>123.17217224677148</v>
      </c>
      <c r="Z78" s="645">
        <v>0</v>
      </c>
      <c r="AA78" s="645">
        <v>0</v>
      </c>
      <c r="AB78" s="645">
        <v>91.239635035141916</v>
      </c>
      <c r="AC78" s="645">
        <v>5.4913450563703794</v>
      </c>
      <c r="AD78" s="645">
        <v>92.307005679570622</v>
      </c>
      <c r="AE78" s="645">
        <v>38.675835544014738</v>
      </c>
      <c r="AF78" s="645">
        <v>86.476611770328219</v>
      </c>
      <c r="AG78" s="645">
        <v>5.9541727702812857</v>
      </c>
      <c r="AH78" s="645">
        <v>493.03007244229349</v>
      </c>
      <c r="AI78" s="645">
        <v>68.72625481251545</v>
      </c>
      <c r="AJ78" s="645">
        <v>20.360394688196585</v>
      </c>
      <c r="AK78" s="645">
        <v>1240.5981091186156</v>
      </c>
    </row>
    <row r="79" spans="3:37" x14ac:dyDescent="0.2">
      <c r="C79" s="634"/>
      <c r="D79" s="634"/>
      <c r="E79" s="634"/>
      <c r="F79" s="634"/>
      <c r="G79" s="634"/>
      <c r="H79" s="634"/>
      <c r="I79" s="634"/>
      <c r="J79" s="634"/>
      <c r="K79" s="634"/>
      <c r="L79" s="634"/>
      <c r="M79" s="634"/>
      <c r="N79" s="634"/>
      <c r="O79" s="634"/>
      <c r="P79" s="634"/>
      <c r="Q79" s="634"/>
      <c r="R79" s="634"/>
      <c r="S79" s="634"/>
      <c r="U79" s="634"/>
      <c r="V79" s="634"/>
      <c r="W79" s="634"/>
      <c r="X79" s="634"/>
      <c r="Y79" s="634"/>
      <c r="Z79" s="634"/>
      <c r="AA79" s="634"/>
      <c r="AB79" s="634"/>
      <c r="AC79" s="634"/>
      <c r="AD79" s="634"/>
      <c r="AE79" s="634"/>
      <c r="AF79" s="634"/>
      <c r="AG79" s="634"/>
      <c r="AH79" s="634"/>
      <c r="AI79" s="634"/>
      <c r="AJ79" s="634"/>
      <c r="AK79" s="634"/>
    </row>
    <row r="80" spans="3:37" ht="22.5" x14ac:dyDescent="0.3">
      <c r="C80" s="759" t="s">
        <v>360</v>
      </c>
      <c r="D80" s="759"/>
      <c r="E80" s="759"/>
      <c r="F80" s="759"/>
      <c r="G80" s="759"/>
      <c r="H80" s="759"/>
      <c r="I80" s="759"/>
      <c r="J80" s="759"/>
      <c r="K80" s="759"/>
      <c r="L80" s="759"/>
      <c r="M80" s="759"/>
      <c r="N80" s="759"/>
      <c r="O80" s="759"/>
      <c r="P80" s="759"/>
      <c r="Q80" s="759"/>
      <c r="R80" s="759"/>
      <c r="S80" s="759"/>
      <c r="U80" s="759" t="s">
        <v>360</v>
      </c>
      <c r="V80" s="759"/>
      <c r="W80" s="759"/>
      <c r="X80" s="759"/>
      <c r="Y80" s="759"/>
      <c r="Z80" s="759"/>
      <c r="AA80" s="759"/>
      <c r="AB80" s="759"/>
      <c r="AC80" s="759"/>
      <c r="AD80" s="759"/>
      <c r="AE80" s="759"/>
      <c r="AF80" s="759"/>
      <c r="AG80" s="759"/>
      <c r="AH80" s="759"/>
      <c r="AI80" s="759"/>
      <c r="AJ80" s="759"/>
      <c r="AK80" s="759"/>
    </row>
    <row r="81" spans="3:37" x14ac:dyDescent="0.2">
      <c r="C81" s="634"/>
      <c r="D81" s="634"/>
      <c r="E81" s="634"/>
      <c r="F81" s="634"/>
      <c r="G81" s="634"/>
      <c r="H81" s="634"/>
      <c r="I81" s="634"/>
      <c r="J81" s="634"/>
      <c r="K81" s="634"/>
      <c r="L81" s="634"/>
      <c r="M81" s="634"/>
      <c r="N81" s="634"/>
      <c r="O81" s="634"/>
      <c r="P81" s="634"/>
      <c r="Q81" s="634"/>
      <c r="R81" s="634"/>
      <c r="S81" s="634"/>
      <c r="U81" s="634"/>
      <c r="V81" s="634"/>
      <c r="W81" s="634"/>
      <c r="X81" s="634"/>
      <c r="Y81" s="634"/>
      <c r="Z81" s="634"/>
      <c r="AA81" s="634"/>
      <c r="AB81" s="634"/>
      <c r="AC81" s="634"/>
      <c r="AD81" s="634"/>
      <c r="AE81" s="634"/>
      <c r="AF81" s="634"/>
      <c r="AG81" s="634"/>
      <c r="AH81" s="634"/>
      <c r="AI81" s="634"/>
      <c r="AJ81" s="634"/>
      <c r="AK81" s="634"/>
    </row>
    <row r="82" spans="3:37" ht="12.95" customHeight="1" x14ac:dyDescent="0.2">
      <c r="C82" s="758" t="s">
        <v>128</v>
      </c>
      <c r="D82" s="757" t="s">
        <v>42</v>
      </c>
      <c r="E82" s="757" t="s">
        <v>52</v>
      </c>
      <c r="F82" s="757" t="s">
        <v>53</v>
      </c>
      <c r="G82" s="757" t="s">
        <v>32</v>
      </c>
      <c r="H82" s="757" t="s">
        <v>20</v>
      </c>
      <c r="I82" s="757" t="s">
        <v>55</v>
      </c>
      <c r="J82" s="757" t="s">
        <v>56</v>
      </c>
      <c r="K82" s="757"/>
      <c r="L82" s="757"/>
      <c r="M82" s="757"/>
      <c r="N82" s="757"/>
      <c r="O82" s="757"/>
      <c r="P82" s="757" t="s">
        <v>57</v>
      </c>
      <c r="Q82" s="757" t="s">
        <v>58</v>
      </c>
      <c r="R82" s="757" t="s">
        <v>31</v>
      </c>
      <c r="S82" s="757" t="s">
        <v>10</v>
      </c>
      <c r="U82" s="758" t="s">
        <v>128</v>
      </c>
      <c r="V82" s="757" t="s">
        <v>42</v>
      </c>
      <c r="W82" s="757" t="s">
        <v>52</v>
      </c>
      <c r="X82" s="757" t="s">
        <v>53</v>
      </c>
      <c r="Y82" s="757" t="s">
        <v>32</v>
      </c>
      <c r="Z82" s="757" t="s">
        <v>20</v>
      </c>
      <c r="AA82" s="757" t="s">
        <v>55</v>
      </c>
      <c r="AB82" s="757" t="s">
        <v>56</v>
      </c>
      <c r="AC82" s="757"/>
      <c r="AD82" s="757"/>
      <c r="AE82" s="757"/>
      <c r="AF82" s="757"/>
      <c r="AG82" s="757"/>
      <c r="AH82" s="757" t="s">
        <v>57</v>
      </c>
      <c r="AI82" s="757" t="s">
        <v>58</v>
      </c>
      <c r="AJ82" s="757" t="s">
        <v>31</v>
      </c>
      <c r="AK82" s="757" t="s">
        <v>10</v>
      </c>
    </row>
    <row r="83" spans="3:37" ht="56.25" x14ac:dyDescent="0.2">
      <c r="C83" s="758"/>
      <c r="D83" s="757"/>
      <c r="E83" s="757"/>
      <c r="F83" s="757"/>
      <c r="G83" s="757"/>
      <c r="H83" s="757"/>
      <c r="I83" s="757"/>
      <c r="J83" s="638" t="s">
        <v>335</v>
      </c>
      <c r="K83" s="638" t="s">
        <v>40</v>
      </c>
      <c r="L83" s="638" t="s">
        <v>343</v>
      </c>
      <c r="M83" s="638" t="s">
        <v>344</v>
      </c>
      <c r="N83" s="638" t="s">
        <v>345</v>
      </c>
      <c r="O83" s="638" t="s">
        <v>346</v>
      </c>
      <c r="P83" s="757"/>
      <c r="Q83" s="757"/>
      <c r="R83" s="757"/>
      <c r="S83" s="757"/>
      <c r="U83" s="758"/>
      <c r="V83" s="757"/>
      <c r="W83" s="757"/>
      <c r="X83" s="757"/>
      <c r="Y83" s="757"/>
      <c r="Z83" s="757"/>
      <c r="AA83" s="757"/>
      <c r="AB83" s="638" t="s">
        <v>335</v>
      </c>
      <c r="AC83" s="638" t="s">
        <v>40</v>
      </c>
      <c r="AD83" s="638" t="s">
        <v>343</v>
      </c>
      <c r="AE83" s="638" t="s">
        <v>344</v>
      </c>
      <c r="AF83" s="638" t="s">
        <v>345</v>
      </c>
      <c r="AG83" s="638" t="s">
        <v>346</v>
      </c>
      <c r="AH83" s="757"/>
      <c r="AI83" s="757"/>
      <c r="AJ83" s="757"/>
      <c r="AK83" s="757"/>
    </row>
    <row r="84" spans="3:37" x14ac:dyDescent="0.2">
      <c r="C84" s="639" t="s">
        <v>59</v>
      </c>
      <c r="D84" s="640">
        <v>0</v>
      </c>
      <c r="E84" s="641">
        <v>0</v>
      </c>
      <c r="F84" s="641">
        <v>0</v>
      </c>
      <c r="G84" s="640">
        <v>0</v>
      </c>
      <c r="H84" s="641">
        <v>959.09090909090924</v>
      </c>
      <c r="I84" s="641">
        <v>265.54666314840352</v>
      </c>
      <c r="J84" s="641">
        <v>188.6372712469306</v>
      </c>
      <c r="K84" s="641">
        <v>20.835963621356942</v>
      </c>
      <c r="L84" s="641">
        <v>0.48646764865129044</v>
      </c>
      <c r="M84" s="641">
        <v>0.15840693111613638</v>
      </c>
      <c r="N84" s="641">
        <v>62.897832024028709</v>
      </c>
      <c r="O84" s="641">
        <v>11.865462020109925</v>
      </c>
      <c r="P84" s="642">
        <v>0</v>
      </c>
      <c r="Q84" s="641">
        <v>0</v>
      </c>
      <c r="R84" s="641">
        <v>0</v>
      </c>
      <c r="S84" s="643">
        <v>1509.5189757315065</v>
      </c>
      <c r="U84" s="639" t="s">
        <v>59</v>
      </c>
      <c r="V84" s="640">
        <v>0</v>
      </c>
      <c r="W84" s="641">
        <v>0</v>
      </c>
      <c r="X84" s="641">
        <v>0</v>
      </c>
      <c r="Y84" s="640">
        <v>0</v>
      </c>
      <c r="Z84" s="641">
        <v>919.39393939393949</v>
      </c>
      <c r="AA84" s="641">
        <v>300.16666314840353</v>
      </c>
      <c r="AB84" s="641">
        <v>196.07210414009427</v>
      </c>
      <c r="AC84" s="641">
        <v>37.690284018354092</v>
      </c>
      <c r="AD84" s="641">
        <v>0.48646764865129044</v>
      </c>
      <c r="AE84" s="641">
        <v>0.15840693111613638</v>
      </c>
      <c r="AF84" s="641">
        <v>92.901000398225491</v>
      </c>
      <c r="AG84" s="641">
        <v>23.979405132943342</v>
      </c>
      <c r="AH84" s="642">
        <v>0</v>
      </c>
      <c r="AI84" s="641">
        <v>0</v>
      </c>
      <c r="AJ84" s="641">
        <v>0</v>
      </c>
      <c r="AK84" s="643">
        <v>1570.8482708117278</v>
      </c>
    </row>
    <row r="85" spans="3:37" x14ac:dyDescent="0.2">
      <c r="C85" s="639" t="s">
        <v>60</v>
      </c>
      <c r="D85" s="640">
        <v>48.037640466799544</v>
      </c>
      <c r="E85" s="641">
        <v>504.19228646673599</v>
      </c>
      <c r="F85" s="641">
        <v>68.527294255032075</v>
      </c>
      <c r="G85" s="640">
        <v>332.96357284387591</v>
      </c>
      <c r="H85" s="641">
        <v>0</v>
      </c>
      <c r="I85" s="641">
        <v>0</v>
      </c>
      <c r="J85" s="641">
        <v>4.4041420336435353</v>
      </c>
      <c r="K85" s="641">
        <v>0</v>
      </c>
      <c r="L85" s="641">
        <v>2.4215969020745125</v>
      </c>
      <c r="M85" s="641">
        <v>0</v>
      </c>
      <c r="N85" s="641">
        <v>0</v>
      </c>
      <c r="O85" s="641">
        <v>0</v>
      </c>
      <c r="P85" s="642">
        <v>0</v>
      </c>
      <c r="Q85" s="641">
        <v>0</v>
      </c>
      <c r="R85" s="641">
        <v>0</v>
      </c>
      <c r="S85" s="643">
        <v>960.54653296816161</v>
      </c>
      <c r="U85" s="639" t="s">
        <v>60</v>
      </c>
      <c r="V85" s="640">
        <v>7.5315222042138927</v>
      </c>
      <c r="W85" s="641">
        <v>266.28302835422375</v>
      </c>
      <c r="X85" s="641">
        <v>14.660534841020075</v>
      </c>
      <c r="Y85" s="640">
        <v>136.19700966140181</v>
      </c>
      <c r="Z85" s="641">
        <v>0</v>
      </c>
      <c r="AA85" s="641">
        <v>0</v>
      </c>
      <c r="AB85" s="641">
        <v>4.4041420336435353</v>
      </c>
      <c r="AC85" s="641">
        <v>0</v>
      </c>
      <c r="AD85" s="641">
        <v>2.4215969020745125</v>
      </c>
      <c r="AE85" s="641">
        <v>0</v>
      </c>
      <c r="AF85" s="641">
        <v>0</v>
      </c>
      <c r="AG85" s="641">
        <v>0</v>
      </c>
      <c r="AH85" s="642">
        <v>0</v>
      </c>
      <c r="AI85" s="641">
        <v>0</v>
      </c>
      <c r="AJ85" s="641">
        <v>0</v>
      </c>
      <c r="AK85" s="643">
        <v>431.49783399657758</v>
      </c>
    </row>
    <row r="86" spans="3:37" x14ac:dyDescent="0.2">
      <c r="C86" s="639" t="s">
        <v>61</v>
      </c>
      <c r="D86" s="640">
        <v>0</v>
      </c>
      <c r="E86" s="641">
        <v>0</v>
      </c>
      <c r="F86" s="641">
        <v>0</v>
      </c>
      <c r="G86" s="640">
        <v>0</v>
      </c>
      <c r="H86" s="641">
        <v>0</v>
      </c>
      <c r="I86" s="641">
        <v>0</v>
      </c>
      <c r="J86" s="641">
        <v>0</v>
      </c>
      <c r="K86" s="641">
        <v>0</v>
      </c>
      <c r="L86" s="641">
        <v>0</v>
      </c>
      <c r="M86" s="641">
        <v>0</v>
      </c>
      <c r="N86" s="641">
        <v>0</v>
      </c>
      <c r="O86" s="641">
        <v>0</v>
      </c>
      <c r="P86" s="642">
        <v>-31.055970799843635</v>
      </c>
      <c r="Q86" s="641">
        <v>0</v>
      </c>
      <c r="R86" s="641">
        <v>0</v>
      </c>
      <c r="S86" s="643">
        <v>-31.055970799843635</v>
      </c>
      <c r="U86" s="639" t="s">
        <v>61</v>
      </c>
      <c r="V86" s="640">
        <v>0</v>
      </c>
      <c r="W86" s="641">
        <v>0</v>
      </c>
      <c r="X86" s="641">
        <v>-20.238165107819981</v>
      </c>
      <c r="Y86" s="640">
        <v>0</v>
      </c>
      <c r="Z86" s="641">
        <v>0</v>
      </c>
      <c r="AA86" s="641">
        <v>0</v>
      </c>
      <c r="AB86" s="641">
        <v>0</v>
      </c>
      <c r="AC86" s="641">
        <v>0</v>
      </c>
      <c r="AD86" s="641">
        <v>0</v>
      </c>
      <c r="AE86" s="641">
        <v>0</v>
      </c>
      <c r="AF86" s="641">
        <v>0</v>
      </c>
      <c r="AG86" s="641">
        <v>0</v>
      </c>
      <c r="AH86" s="642">
        <v>-12.632253344037395</v>
      </c>
      <c r="AI86" s="641">
        <v>0</v>
      </c>
      <c r="AJ86" s="641">
        <v>0</v>
      </c>
      <c r="AK86" s="643">
        <v>-32.870418451857375</v>
      </c>
    </row>
    <row r="87" spans="3:37" x14ac:dyDescent="0.2">
      <c r="C87" s="639" t="s">
        <v>62</v>
      </c>
      <c r="D87" s="640">
        <v>0</v>
      </c>
      <c r="E87" s="641">
        <v>0</v>
      </c>
      <c r="F87" s="641">
        <v>-15.855905256620872</v>
      </c>
      <c r="G87" s="640">
        <v>0</v>
      </c>
      <c r="H87" s="641">
        <v>0</v>
      </c>
      <c r="I87" s="641">
        <v>0</v>
      </c>
      <c r="J87" s="641">
        <v>0</v>
      </c>
      <c r="K87" s="641">
        <v>0</v>
      </c>
      <c r="L87" s="641">
        <v>0</v>
      </c>
      <c r="M87" s="641">
        <v>0</v>
      </c>
      <c r="N87" s="641">
        <v>0</v>
      </c>
      <c r="O87" s="641">
        <v>0</v>
      </c>
      <c r="P87" s="642">
        <v>0</v>
      </c>
      <c r="Q87" s="641">
        <v>0</v>
      </c>
      <c r="R87" s="641">
        <v>0</v>
      </c>
      <c r="S87" s="643">
        <v>-15.855905256620872</v>
      </c>
      <c r="U87" s="639" t="s">
        <v>62</v>
      </c>
      <c r="V87" s="640">
        <v>0</v>
      </c>
      <c r="W87" s="641">
        <v>0</v>
      </c>
      <c r="X87" s="641">
        <v>-10.068616817390659</v>
      </c>
      <c r="Y87" s="640">
        <v>-2.2904268439326967</v>
      </c>
      <c r="Z87" s="641">
        <v>0</v>
      </c>
      <c r="AA87" s="641">
        <v>0</v>
      </c>
      <c r="AB87" s="641">
        <v>0</v>
      </c>
      <c r="AC87" s="641">
        <v>0</v>
      </c>
      <c r="AD87" s="641">
        <v>0</v>
      </c>
      <c r="AE87" s="641">
        <v>-0.98161150454258428</v>
      </c>
      <c r="AF87" s="641">
        <v>0</v>
      </c>
      <c r="AG87" s="641">
        <v>0</v>
      </c>
      <c r="AH87" s="642">
        <v>0</v>
      </c>
      <c r="AI87" s="641">
        <v>0</v>
      </c>
      <c r="AJ87" s="641">
        <v>0</v>
      </c>
      <c r="AK87" s="643">
        <v>-13.34065516586594</v>
      </c>
    </row>
    <row r="88" spans="3:37" x14ac:dyDescent="0.2">
      <c r="C88" s="639" t="s">
        <v>63</v>
      </c>
      <c r="D88" s="640">
        <v>0</v>
      </c>
      <c r="E88" s="641">
        <v>0</v>
      </c>
      <c r="F88" s="641">
        <v>-87.092524368241456</v>
      </c>
      <c r="G88" s="640">
        <v>0</v>
      </c>
      <c r="H88" s="641">
        <v>0</v>
      </c>
      <c r="I88" s="641">
        <v>0</v>
      </c>
      <c r="J88" s="641">
        <v>0</v>
      </c>
      <c r="K88" s="641">
        <v>0</v>
      </c>
      <c r="L88" s="641">
        <v>-0.90133117758770376</v>
      </c>
      <c r="M88" s="641">
        <v>0</v>
      </c>
      <c r="N88" s="641">
        <v>0</v>
      </c>
      <c r="O88" s="641">
        <v>0</v>
      </c>
      <c r="P88" s="642">
        <v>0</v>
      </c>
      <c r="Q88" s="641">
        <v>0</v>
      </c>
      <c r="R88" s="641">
        <v>0</v>
      </c>
      <c r="S88" s="643">
        <v>-87.993855545829163</v>
      </c>
      <c r="U88" s="639" t="s">
        <v>63</v>
      </c>
      <c r="V88" s="640">
        <v>0</v>
      </c>
      <c r="W88" s="641">
        <v>0</v>
      </c>
      <c r="X88" s="641">
        <v>-58.231828596071985</v>
      </c>
      <c r="Y88" s="640">
        <v>0</v>
      </c>
      <c r="Z88" s="641">
        <v>0</v>
      </c>
      <c r="AA88" s="641">
        <v>0</v>
      </c>
      <c r="AB88" s="641">
        <v>0</v>
      </c>
      <c r="AC88" s="641">
        <v>0</v>
      </c>
      <c r="AD88" s="641">
        <v>-23.991898740742837</v>
      </c>
      <c r="AE88" s="641">
        <v>0</v>
      </c>
      <c r="AF88" s="641">
        <v>0</v>
      </c>
      <c r="AG88" s="641">
        <v>0</v>
      </c>
      <c r="AH88" s="642">
        <v>0</v>
      </c>
      <c r="AI88" s="641">
        <v>0</v>
      </c>
      <c r="AJ88" s="641">
        <v>0</v>
      </c>
      <c r="AK88" s="643">
        <v>-82.223727336814818</v>
      </c>
    </row>
    <row r="89" spans="3:37" x14ac:dyDescent="0.2">
      <c r="C89" s="639" t="s">
        <v>64</v>
      </c>
      <c r="D89" s="640">
        <v>0</v>
      </c>
      <c r="E89" s="641">
        <v>0</v>
      </c>
      <c r="F89" s="641">
        <v>0</v>
      </c>
      <c r="G89" s="640">
        <v>0</v>
      </c>
      <c r="H89" s="641">
        <v>0</v>
      </c>
      <c r="I89" s="641">
        <v>0</v>
      </c>
      <c r="J89" s="641">
        <v>0</v>
      </c>
      <c r="K89" s="641">
        <v>0</v>
      </c>
      <c r="L89" s="641">
        <v>0</v>
      </c>
      <c r="M89" s="641">
        <v>0</v>
      </c>
      <c r="N89" s="641">
        <v>0</v>
      </c>
      <c r="O89" s="641">
        <v>0</v>
      </c>
      <c r="P89" s="642">
        <v>0</v>
      </c>
      <c r="Q89" s="641">
        <v>0</v>
      </c>
      <c r="R89" s="641">
        <v>0</v>
      </c>
      <c r="S89" s="643">
        <v>0</v>
      </c>
      <c r="U89" s="639" t="s">
        <v>64</v>
      </c>
      <c r="V89" s="640">
        <v>0</v>
      </c>
      <c r="W89" s="641">
        <v>0</v>
      </c>
      <c r="X89" s="641">
        <v>0</v>
      </c>
      <c r="Y89" s="640">
        <v>0</v>
      </c>
      <c r="Z89" s="641">
        <v>0</v>
      </c>
      <c r="AA89" s="641">
        <v>0</v>
      </c>
      <c r="AB89" s="641">
        <v>0</v>
      </c>
      <c r="AC89" s="641">
        <v>0</v>
      </c>
      <c r="AD89" s="641">
        <v>0</v>
      </c>
      <c r="AE89" s="641">
        <v>0</v>
      </c>
      <c r="AF89" s="641">
        <v>0</v>
      </c>
      <c r="AG89" s="641">
        <v>0</v>
      </c>
      <c r="AH89" s="642">
        <v>0</v>
      </c>
      <c r="AI89" s="641">
        <v>0</v>
      </c>
      <c r="AJ89" s="641">
        <v>0</v>
      </c>
      <c r="AK89" s="643">
        <v>0</v>
      </c>
    </row>
    <row r="90" spans="3:37" x14ac:dyDescent="0.2">
      <c r="C90" s="644" t="s">
        <v>65</v>
      </c>
      <c r="D90" s="645">
        <v>48.037640466799544</v>
      </c>
      <c r="E90" s="645">
        <v>504.19228646673599</v>
      </c>
      <c r="F90" s="645">
        <v>-34.42113536983026</v>
      </c>
      <c r="G90" s="645">
        <v>332.96357284387591</v>
      </c>
      <c r="H90" s="645">
        <v>959.09090909090924</v>
      </c>
      <c r="I90" s="645">
        <v>265.54666314840352</v>
      </c>
      <c r="J90" s="645">
        <v>193.04141328057412</v>
      </c>
      <c r="K90" s="645">
        <v>20.835963621356942</v>
      </c>
      <c r="L90" s="645">
        <v>2.0067333731380987</v>
      </c>
      <c r="M90" s="645">
        <v>0.15840693111613638</v>
      </c>
      <c r="N90" s="645">
        <v>62.897832024028709</v>
      </c>
      <c r="O90" s="645">
        <v>11.865462020109925</v>
      </c>
      <c r="P90" s="645">
        <v>-31.055970799843635</v>
      </c>
      <c r="Q90" s="645">
        <v>0</v>
      </c>
      <c r="R90" s="645">
        <v>0</v>
      </c>
      <c r="S90" s="645">
        <v>2335.159777097374</v>
      </c>
      <c r="U90" s="644" t="s">
        <v>65</v>
      </c>
      <c r="V90" s="645">
        <v>7.5315222042138927</v>
      </c>
      <c r="W90" s="645">
        <v>266.28302835422375</v>
      </c>
      <c r="X90" s="645">
        <v>-73.87807568026254</v>
      </c>
      <c r="Y90" s="645">
        <v>133.90658281746911</v>
      </c>
      <c r="Z90" s="645">
        <v>919.39393939393949</v>
      </c>
      <c r="AA90" s="645">
        <v>300.16666314840353</v>
      </c>
      <c r="AB90" s="645">
        <v>200.47624617373779</v>
      </c>
      <c r="AC90" s="645">
        <v>37.690284018354092</v>
      </c>
      <c r="AD90" s="645">
        <v>-21.083834190017033</v>
      </c>
      <c r="AE90" s="645">
        <v>-0.82320457342644793</v>
      </c>
      <c r="AF90" s="645">
        <v>92.901000398225491</v>
      </c>
      <c r="AG90" s="645">
        <v>23.979405132943342</v>
      </c>
      <c r="AH90" s="645">
        <v>-12.632253344037395</v>
      </c>
      <c r="AI90" s="645">
        <v>0</v>
      </c>
      <c r="AJ90" s="645">
        <v>0</v>
      </c>
      <c r="AK90" s="645">
        <v>1873.9113038537675</v>
      </c>
    </row>
    <row r="91" spans="3:37" x14ac:dyDescent="0.2">
      <c r="C91" s="634"/>
      <c r="D91" s="634">
        <v>0</v>
      </c>
      <c r="E91" s="634">
        <v>0</v>
      </c>
      <c r="F91" s="634">
        <v>0</v>
      </c>
      <c r="G91" s="634">
        <v>0</v>
      </c>
      <c r="H91" s="634">
        <v>0</v>
      </c>
      <c r="I91" s="634">
        <v>0</v>
      </c>
      <c r="J91" s="634">
        <v>0</v>
      </c>
      <c r="K91" s="634">
        <v>0</v>
      </c>
      <c r="L91" s="634">
        <v>0</v>
      </c>
      <c r="M91" s="634">
        <v>0</v>
      </c>
      <c r="N91" s="634">
        <v>0</v>
      </c>
      <c r="O91" s="634">
        <v>0</v>
      </c>
      <c r="P91" s="634">
        <v>0</v>
      </c>
      <c r="Q91" s="634">
        <v>0</v>
      </c>
      <c r="R91" s="634">
        <v>0</v>
      </c>
      <c r="S91" s="634">
        <v>0</v>
      </c>
      <c r="U91" s="634"/>
      <c r="V91" s="634">
        <v>0</v>
      </c>
      <c r="W91" s="634">
        <v>0</v>
      </c>
      <c r="X91" s="634">
        <v>0</v>
      </c>
      <c r="Y91" s="634">
        <v>0</v>
      </c>
      <c r="Z91" s="634">
        <v>0</v>
      </c>
      <c r="AA91" s="634">
        <v>0</v>
      </c>
      <c r="AB91" s="634">
        <v>0</v>
      </c>
      <c r="AC91" s="634">
        <v>0</v>
      </c>
      <c r="AD91" s="634">
        <v>0</v>
      </c>
      <c r="AE91" s="634">
        <v>0</v>
      </c>
      <c r="AF91" s="634">
        <v>0</v>
      </c>
      <c r="AG91" s="634">
        <v>0</v>
      </c>
      <c r="AH91" s="634">
        <v>0</v>
      </c>
      <c r="AI91" s="634">
        <v>0</v>
      </c>
      <c r="AJ91" s="634">
        <v>0</v>
      </c>
      <c r="AK91" s="634">
        <v>0</v>
      </c>
    </row>
    <row r="92" spans="3:37" x14ac:dyDescent="0.2">
      <c r="C92" s="646" t="s">
        <v>67</v>
      </c>
      <c r="D92" s="640">
        <v>0</v>
      </c>
      <c r="E92" s="647">
        <v>0</v>
      </c>
      <c r="F92" s="647">
        <v>0</v>
      </c>
      <c r="G92" s="640">
        <v>0</v>
      </c>
      <c r="H92" s="640">
        <v>0</v>
      </c>
      <c r="I92" s="640">
        <v>0</v>
      </c>
      <c r="J92" s="640">
        <v>0</v>
      </c>
      <c r="K92" s="640">
        <v>0</v>
      </c>
      <c r="L92" s="640">
        <v>0</v>
      </c>
      <c r="M92" s="640">
        <v>0</v>
      </c>
      <c r="N92" s="640">
        <v>0</v>
      </c>
      <c r="O92" s="640">
        <v>0</v>
      </c>
      <c r="P92" s="640">
        <v>0</v>
      </c>
      <c r="Q92" s="640">
        <v>0</v>
      </c>
      <c r="R92" s="640">
        <v>0</v>
      </c>
      <c r="S92" s="648">
        <v>0</v>
      </c>
      <c r="U92" s="646" t="s">
        <v>67</v>
      </c>
      <c r="V92" s="640">
        <v>0</v>
      </c>
      <c r="W92" s="647">
        <v>0</v>
      </c>
      <c r="X92" s="647">
        <v>0</v>
      </c>
      <c r="Y92" s="640">
        <v>0</v>
      </c>
      <c r="Z92" s="640">
        <v>0</v>
      </c>
      <c r="AA92" s="640">
        <v>0</v>
      </c>
      <c r="AB92" s="640">
        <v>0</v>
      </c>
      <c r="AC92" s="640">
        <v>0</v>
      </c>
      <c r="AD92" s="640">
        <v>0</v>
      </c>
      <c r="AE92" s="640">
        <v>0</v>
      </c>
      <c r="AF92" s="640">
        <v>0</v>
      </c>
      <c r="AG92" s="640">
        <v>0</v>
      </c>
      <c r="AH92" s="640">
        <v>0</v>
      </c>
      <c r="AI92" s="640">
        <v>0</v>
      </c>
      <c r="AJ92" s="640">
        <v>0</v>
      </c>
      <c r="AK92" s="648">
        <v>0</v>
      </c>
    </row>
    <row r="93" spans="3:37" x14ac:dyDescent="0.2">
      <c r="C93" s="646" t="s">
        <v>347</v>
      </c>
      <c r="D93" s="640">
        <v>2.8267856410252494</v>
      </c>
      <c r="E93" s="640">
        <v>0</v>
      </c>
      <c r="F93" s="640">
        <v>7.5217067848259731</v>
      </c>
      <c r="G93" s="640">
        <v>17.043478260869566</v>
      </c>
      <c r="H93" s="640">
        <v>959.09090909090924</v>
      </c>
      <c r="I93" s="640">
        <v>265.54666314840352</v>
      </c>
      <c r="J93" s="649">
        <v>29.657322749860491</v>
      </c>
      <c r="K93" s="649">
        <v>6.9984717304001904</v>
      </c>
      <c r="L93" s="649">
        <v>2.9080645507258027</v>
      </c>
      <c r="M93" s="649">
        <v>0.47316517381762646</v>
      </c>
      <c r="N93" s="649">
        <v>0</v>
      </c>
      <c r="O93" s="649">
        <v>6.9042102843702597</v>
      </c>
      <c r="P93" s="640">
        <v>-613.13903868039233</v>
      </c>
      <c r="Q93" s="640">
        <v>0</v>
      </c>
      <c r="R93" s="640">
        <v>0</v>
      </c>
      <c r="S93" s="648">
        <v>685.83173873481564</v>
      </c>
      <c r="U93" s="646" t="s">
        <v>347</v>
      </c>
      <c r="V93" s="640">
        <v>0.62631490545869017</v>
      </c>
      <c r="W93" s="640">
        <v>0</v>
      </c>
      <c r="X93" s="640">
        <v>3.6580704211896093</v>
      </c>
      <c r="Y93" s="640">
        <v>6.2086956521739127</v>
      </c>
      <c r="Z93" s="640">
        <v>919.39393939393949</v>
      </c>
      <c r="AA93" s="640">
        <v>300.16666314840353</v>
      </c>
      <c r="AB93" s="649">
        <v>23.86094386593884</v>
      </c>
      <c r="AC93" s="649">
        <v>5.6952120200596408</v>
      </c>
      <c r="AD93" s="649">
        <v>2.9080645507258027</v>
      </c>
      <c r="AE93" s="649">
        <v>2.7862086520784959</v>
      </c>
      <c r="AF93" s="649">
        <v>0</v>
      </c>
      <c r="AG93" s="649">
        <v>6.9042102843702597</v>
      </c>
      <c r="AH93" s="640">
        <v>-628.6590386803922</v>
      </c>
      <c r="AI93" s="640">
        <v>0</v>
      </c>
      <c r="AJ93" s="640">
        <v>4.7499999999999991</v>
      </c>
      <c r="AK93" s="648">
        <v>648.29928421394618</v>
      </c>
    </row>
    <row r="94" spans="3:37" x14ac:dyDescent="0.2">
      <c r="C94" s="646" t="s">
        <v>348</v>
      </c>
      <c r="D94" s="640">
        <v>0</v>
      </c>
      <c r="E94" s="640">
        <v>0</v>
      </c>
      <c r="F94" s="640">
        <v>0</v>
      </c>
      <c r="G94" s="640">
        <v>14.973464488470796</v>
      </c>
      <c r="H94" s="640">
        <v>0</v>
      </c>
      <c r="I94" s="640">
        <v>0</v>
      </c>
      <c r="J94" s="649">
        <v>12.61885930635281</v>
      </c>
      <c r="K94" s="649">
        <v>11.992989190910333</v>
      </c>
      <c r="L94" s="649">
        <v>0</v>
      </c>
      <c r="M94" s="649">
        <v>0.32007470171399477</v>
      </c>
      <c r="N94" s="649">
        <v>0</v>
      </c>
      <c r="O94" s="649">
        <v>2.1221335576886813</v>
      </c>
      <c r="P94" s="640">
        <v>0</v>
      </c>
      <c r="Q94" s="640">
        <v>-38.122859170635891</v>
      </c>
      <c r="R94" s="640">
        <v>0</v>
      </c>
      <c r="S94" s="648">
        <v>3.9046620745007217</v>
      </c>
      <c r="U94" s="646" t="s">
        <v>348</v>
      </c>
      <c r="V94" s="640">
        <v>0</v>
      </c>
      <c r="W94" s="640">
        <v>0</v>
      </c>
      <c r="X94" s="640">
        <v>0</v>
      </c>
      <c r="Y94" s="640">
        <v>11.236128743190402</v>
      </c>
      <c r="Z94" s="640">
        <v>0</v>
      </c>
      <c r="AA94" s="640">
        <v>0</v>
      </c>
      <c r="AB94" s="649">
        <v>28.835017835425074</v>
      </c>
      <c r="AC94" s="649">
        <v>26.276566272731909</v>
      </c>
      <c r="AD94" s="649">
        <v>0</v>
      </c>
      <c r="AE94" s="649">
        <v>4.8299775408676195</v>
      </c>
      <c r="AF94" s="649">
        <v>0</v>
      </c>
      <c r="AG94" s="649">
        <v>10.71495831218258</v>
      </c>
      <c r="AH94" s="640">
        <v>0</v>
      </c>
      <c r="AI94" s="640">
        <v>-75.331063655699538</v>
      </c>
      <c r="AJ94" s="640">
        <v>0</v>
      </c>
      <c r="AK94" s="648">
        <v>6.561585048698058</v>
      </c>
    </row>
    <row r="95" spans="3:37" x14ac:dyDescent="0.2">
      <c r="C95" s="646" t="s">
        <v>349</v>
      </c>
      <c r="D95" s="640">
        <v>0</v>
      </c>
      <c r="E95" s="640">
        <v>0</v>
      </c>
      <c r="F95" s="640">
        <v>0</v>
      </c>
      <c r="G95" s="640">
        <v>0</v>
      </c>
      <c r="H95" s="640">
        <v>0</v>
      </c>
      <c r="I95" s="640">
        <v>0</v>
      </c>
      <c r="J95" s="650">
        <v>7.1836152532588793</v>
      </c>
      <c r="K95" s="650">
        <v>0</v>
      </c>
      <c r="L95" s="650">
        <v>0</v>
      </c>
      <c r="M95" s="650">
        <v>-6.5550489185987271</v>
      </c>
      <c r="N95" s="650">
        <v>0</v>
      </c>
      <c r="O95" s="650">
        <v>0</v>
      </c>
      <c r="P95" s="640">
        <v>0</v>
      </c>
      <c r="Q95" s="640">
        <v>0</v>
      </c>
      <c r="R95" s="640">
        <v>0</v>
      </c>
      <c r="S95" s="648">
        <v>0.62856633466015222</v>
      </c>
      <c r="U95" s="646" t="s">
        <v>349</v>
      </c>
      <c r="V95" s="640">
        <v>0</v>
      </c>
      <c r="W95" s="640">
        <v>0</v>
      </c>
      <c r="X95" s="640">
        <v>0</v>
      </c>
      <c r="Y95" s="640">
        <v>0</v>
      </c>
      <c r="Z95" s="640">
        <v>0</v>
      </c>
      <c r="AA95" s="640">
        <v>0</v>
      </c>
      <c r="AB95" s="650">
        <v>63.436450079223192</v>
      </c>
      <c r="AC95" s="650">
        <v>0</v>
      </c>
      <c r="AD95" s="650">
        <v>0</v>
      </c>
      <c r="AE95" s="650">
        <v>-57.885760697291161</v>
      </c>
      <c r="AF95" s="650">
        <v>0</v>
      </c>
      <c r="AG95" s="650">
        <v>0</v>
      </c>
      <c r="AH95" s="640">
        <v>0</v>
      </c>
      <c r="AI95" s="640">
        <v>0</v>
      </c>
      <c r="AJ95" s="640">
        <v>0</v>
      </c>
      <c r="AK95" s="648">
        <v>5.5506893819320311</v>
      </c>
    </row>
    <row r="96" spans="3:37" x14ac:dyDescent="0.2">
      <c r="C96" s="646" t="s">
        <v>350</v>
      </c>
      <c r="D96" s="640">
        <v>0</v>
      </c>
      <c r="E96" s="640">
        <v>0</v>
      </c>
      <c r="F96" s="640">
        <v>0</v>
      </c>
      <c r="G96" s="640">
        <v>0</v>
      </c>
      <c r="H96" s="640">
        <v>0</v>
      </c>
      <c r="I96" s="640">
        <v>0</v>
      </c>
      <c r="J96" s="640">
        <v>0</v>
      </c>
      <c r="K96" s="640">
        <v>0</v>
      </c>
      <c r="L96" s="640">
        <v>0</v>
      </c>
      <c r="M96" s="640">
        <v>0</v>
      </c>
      <c r="N96" s="640">
        <v>0</v>
      </c>
      <c r="O96" s="640">
        <v>0</v>
      </c>
      <c r="P96" s="640">
        <v>0</v>
      </c>
      <c r="Q96" s="640">
        <v>0</v>
      </c>
      <c r="R96" s="640">
        <v>0</v>
      </c>
      <c r="S96" s="648">
        <v>0</v>
      </c>
      <c r="U96" s="646" t="s">
        <v>350</v>
      </c>
      <c r="V96" s="640">
        <v>0</v>
      </c>
      <c r="W96" s="640">
        <v>0</v>
      </c>
      <c r="X96" s="640">
        <v>0</v>
      </c>
      <c r="Y96" s="640">
        <v>0</v>
      </c>
      <c r="Z96" s="640">
        <v>0</v>
      </c>
      <c r="AA96" s="640">
        <v>0</v>
      </c>
      <c r="AB96" s="640">
        <v>0</v>
      </c>
      <c r="AC96" s="640">
        <v>0</v>
      </c>
      <c r="AD96" s="640">
        <v>0</v>
      </c>
      <c r="AE96" s="640">
        <v>0</v>
      </c>
      <c r="AF96" s="640">
        <v>0</v>
      </c>
      <c r="AG96" s="640">
        <v>0</v>
      </c>
      <c r="AH96" s="640">
        <v>0</v>
      </c>
      <c r="AI96" s="640">
        <v>0</v>
      </c>
      <c r="AJ96" s="640">
        <v>0</v>
      </c>
      <c r="AK96" s="648">
        <v>0</v>
      </c>
    </row>
    <row r="97" spans="3:37" x14ac:dyDescent="0.2">
      <c r="C97" s="646" t="s">
        <v>72</v>
      </c>
      <c r="D97" s="640">
        <v>0</v>
      </c>
      <c r="E97" s="640">
        <v>522.28962186433523</v>
      </c>
      <c r="F97" s="640">
        <v>-517.06672564569192</v>
      </c>
      <c r="G97" s="640">
        <v>0</v>
      </c>
      <c r="H97" s="640">
        <v>0</v>
      </c>
      <c r="I97" s="640">
        <v>0</v>
      </c>
      <c r="J97" s="640">
        <v>0</v>
      </c>
      <c r="K97" s="640">
        <v>0</v>
      </c>
      <c r="L97" s="640">
        <v>0</v>
      </c>
      <c r="M97" s="640">
        <v>0</v>
      </c>
      <c r="N97" s="640">
        <v>0</v>
      </c>
      <c r="O97" s="640">
        <v>0</v>
      </c>
      <c r="P97" s="640">
        <v>0</v>
      </c>
      <c r="Q97" s="640">
        <v>0</v>
      </c>
      <c r="R97" s="640">
        <v>0</v>
      </c>
      <c r="S97" s="648">
        <v>5.2228962186433137</v>
      </c>
      <c r="U97" s="646" t="s">
        <v>72</v>
      </c>
      <c r="V97" s="640">
        <v>0</v>
      </c>
      <c r="W97" s="640">
        <v>275.84091609698424</v>
      </c>
      <c r="X97" s="640">
        <v>-273.0825069360144</v>
      </c>
      <c r="Y97" s="640">
        <v>0</v>
      </c>
      <c r="Z97" s="640">
        <v>0</v>
      </c>
      <c r="AA97" s="640">
        <v>0</v>
      </c>
      <c r="AB97" s="640">
        <v>0</v>
      </c>
      <c r="AC97" s="640">
        <v>0</v>
      </c>
      <c r="AD97" s="640">
        <v>0</v>
      </c>
      <c r="AE97" s="640">
        <v>0</v>
      </c>
      <c r="AF97" s="640">
        <v>0</v>
      </c>
      <c r="AG97" s="640">
        <v>0</v>
      </c>
      <c r="AH97" s="640">
        <v>0</v>
      </c>
      <c r="AI97" s="640">
        <v>0</v>
      </c>
      <c r="AJ97" s="640">
        <v>0</v>
      </c>
      <c r="AK97" s="648">
        <v>2.7584091609698476</v>
      </c>
    </row>
    <row r="98" spans="3:37" x14ac:dyDescent="0.2">
      <c r="C98" s="646" t="s">
        <v>351</v>
      </c>
      <c r="D98" s="640">
        <v>0</v>
      </c>
      <c r="E98" s="640">
        <v>0</v>
      </c>
      <c r="F98" s="640">
        <v>0</v>
      </c>
      <c r="G98" s="640">
        <v>0</v>
      </c>
      <c r="H98" s="640">
        <v>0</v>
      </c>
      <c r="I98" s="640">
        <v>0</v>
      </c>
      <c r="J98" s="640">
        <v>28.942309114060045</v>
      </c>
      <c r="K98" s="640">
        <v>0</v>
      </c>
      <c r="L98" s="640">
        <v>-28.942309114060045</v>
      </c>
      <c r="M98" s="640">
        <v>0</v>
      </c>
      <c r="N98" s="640">
        <v>0</v>
      </c>
      <c r="O98" s="640">
        <v>0</v>
      </c>
      <c r="P98" s="640">
        <v>0</v>
      </c>
      <c r="Q98" s="640">
        <v>0</v>
      </c>
      <c r="R98" s="640">
        <v>0</v>
      </c>
      <c r="S98" s="648">
        <v>0</v>
      </c>
      <c r="U98" s="646" t="s">
        <v>351</v>
      </c>
      <c r="V98" s="640">
        <v>0</v>
      </c>
      <c r="W98" s="640">
        <v>0</v>
      </c>
      <c r="X98" s="640">
        <v>0</v>
      </c>
      <c r="Y98" s="640">
        <v>0</v>
      </c>
      <c r="Z98" s="640">
        <v>0</v>
      </c>
      <c r="AA98" s="640">
        <v>0</v>
      </c>
      <c r="AB98" s="640" t="e">
        <v>#VALUE!</v>
      </c>
      <c r="AC98" s="640">
        <v>0</v>
      </c>
      <c r="AD98" s="640">
        <v>-101.68735143023177</v>
      </c>
      <c r="AE98" s="640">
        <v>0</v>
      </c>
      <c r="AF98" s="640">
        <v>0</v>
      </c>
      <c r="AG98" s="640">
        <v>0</v>
      </c>
      <c r="AH98" s="640">
        <v>0</v>
      </c>
      <c r="AI98" s="640">
        <v>0</v>
      </c>
      <c r="AJ98" s="640">
        <v>0</v>
      </c>
      <c r="AK98" s="648">
        <v>-101.68735143023177</v>
      </c>
    </row>
    <row r="99" spans="3:37" x14ac:dyDescent="0.2">
      <c r="C99" s="646" t="s">
        <v>352</v>
      </c>
      <c r="D99" s="640">
        <v>0</v>
      </c>
      <c r="E99" s="640">
        <v>0</v>
      </c>
      <c r="F99" s="640">
        <v>0</v>
      </c>
      <c r="G99" s="640">
        <v>0</v>
      </c>
      <c r="H99" s="640">
        <v>0</v>
      </c>
      <c r="I99" s="640">
        <v>0</v>
      </c>
      <c r="J99" s="640">
        <v>0</v>
      </c>
      <c r="K99" s="640">
        <v>0</v>
      </c>
      <c r="L99" s="640">
        <v>0</v>
      </c>
      <c r="M99" s="640">
        <v>0</v>
      </c>
      <c r="N99" s="640">
        <v>0</v>
      </c>
      <c r="O99" s="640">
        <v>0</v>
      </c>
      <c r="P99" s="640">
        <v>0</v>
      </c>
      <c r="Q99" s="640">
        <v>0</v>
      </c>
      <c r="R99" s="640">
        <v>0</v>
      </c>
      <c r="S99" s="648">
        <v>0</v>
      </c>
      <c r="U99" s="646" t="s">
        <v>352</v>
      </c>
      <c r="V99" s="640">
        <v>0</v>
      </c>
      <c r="W99" s="640">
        <v>0</v>
      </c>
      <c r="X99" s="640">
        <v>0</v>
      </c>
      <c r="Y99" s="640">
        <v>0</v>
      </c>
      <c r="Z99" s="640">
        <v>0</v>
      </c>
      <c r="AA99" s="640">
        <v>0</v>
      </c>
      <c r="AB99" s="640">
        <v>0</v>
      </c>
      <c r="AC99" s="640">
        <v>0</v>
      </c>
      <c r="AD99" s="640">
        <v>-20.330518764117095</v>
      </c>
      <c r="AE99" s="640">
        <v>0</v>
      </c>
      <c r="AF99" s="640">
        <v>0</v>
      </c>
      <c r="AG99" s="640">
        <v>0</v>
      </c>
      <c r="AH99" s="640">
        <v>0</v>
      </c>
      <c r="AI99" s="640">
        <v>0</v>
      </c>
      <c r="AJ99" s="640">
        <v>0</v>
      </c>
      <c r="AK99" s="648">
        <v>-20.330518764117095</v>
      </c>
    </row>
    <row r="100" spans="3:37" x14ac:dyDescent="0.2">
      <c r="C100" s="646" t="s">
        <v>73</v>
      </c>
      <c r="D100" s="640">
        <v>0</v>
      </c>
      <c r="E100" s="640">
        <v>0</v>
      </c>
      <c r="F100" s="640">
        <v>0</v>
      </c>
      <c r="G100" s="640">
        <v>5.1012543356530031</v>
      </c>
      <c r="H100" s="640">
        <v>0</v>
      </c>
      <c r="I100" s="640">
        <v>0</v>
      </c>
      <c r="J100" s="640">
        <v>0</v>
      </c>
      <c r="K100" s="640">
        <v>5.8487208617897309E-2</v>
      </c>
      <c r="L100" s="640">
        <v>0</v>
      </c>
      <c r="M100" s="640">
        <v>0.10410723133985722</v>
      </c>
      <c r="N100" s="640">
        <v>0</v>
      </c>
      <c r="O100" s="640">
        <v>0</v>
      </c>
      <c r="P100" s="640">
        <v>0.59767950412449788</v>
      </c>
      <c r="Q100" s="640">
        <v>0</v>
      </c>
      <c r="R100" s="640">
        <v>-4.094104603252811</v>
      </c>
      <c r="S100" s="648">
        <v>1.7674236764824451</v>
      </c>
      <c r="U100" s="646" t="s">
        <v>73</v>
      </c>
      <c r="V100" s="640">
        <v>0</v>
      </c>
      <c r="W100" s="640">
        <v>0</v>
      </c>
      <c r="X100" s="640">
        <v>0</v>
      </c>
      <c r="Y100" s="640">
        <v>5.6948243223481816</v>
      </c>
      <c r="Z100" s="640">
        <v>0</v>
      </c>
      <c r="AA100" s="640">
        <v>0</v>
      </c>
      <c r="AB100" s="640">
        <v>0</v>
      </c>
      <c r="AC100" s="640">
        <v>0.40677316588201312</v>
      </c>
      <c r="AD100" s="640">
        <v>0</v>
      </c>
      <c r="AE100" s="640">
        <v>2.440638995292078</v>
      </c>
      <c r="AF100" s="640">
        <v>0</v>
      </c>
      <c r="AG100" s="640">
        <v>0</v>
      </c>
      <c r="AH100" s="640">
        <v>32.838767990182951</v>
      </c>
      <c r="AI100" s="640">
        <v>0</v>
      </c>
      <c r="AJ100" s="640">
        <v>-28.474121611740912</v>
      </c>
      <c r="AK100" s="648">
        <v>12.906882861964313</v>
      </c>
    </row>
    <row r="101" spans="3:37" x14ac:dyDescent="0.2">
      <c r="C101" s="646" t="s">
        <v>353</v>
      </c>
      <c r="D101" s="640">
        <v>28.616489999999999</v>
      </c>
      <c r="E101" s="640">
        <v>-18.09733539759922</v>
      </c>
      <c r="F101" s="640">
        <v>23.670245777269074</v>
      </c>
      <c r="G101" s="640">
        <v>0</v>
      </c>
      <c r="H101" s="640">
        <v>0</v>
      </c>
      <c r="I101" s="640">
        <v>0</v>
      </c>
      <c r="J101" s="640">
        <v>0</v>
      </c>
      <c r="K101" s="640">
        <v>0</v>
      </c>
      <c r="L101" s="640">
        <v>0</v>
      </c>
      <c r="M101" s="640">
        <v>0</v>
      </c>
      <c r="N101" s="640">
        <v>0</v>
      </c>
      <c r="O101" s="640">
        <v>0</v>
      </c>
      <c r="P101" s="640">
        <v>0</v>
      </c>
      <c r="Q101" s="640">
        <v>0</v>
      </c>
      <c r="R101" s="640">
        <v>0</v>
      </c>
      <c r="S101" s="648">
        <v>34.189400379669848</v>
      </c>
      <c r="U101" s="646" t="s">
        <v>353</v>
      </c>
      <c r="V101" s="640">
        <v>2.3505202026367185</v>
      </c>
      <c r="W101" s="640">
        <v>-9.5578877427605047</v>
      </c>
      <c r="X101" s="640">
        <v>12.501152628950074</v>
      </c>
      <c r="Y101" s="640">
        <v>0</v>
      </c>
      <c r="Z101" s="640">
        <v>0</v>
      </c>
      <c r="AA101" s="640">
        <v>0</v>
      </c>
      <c r="AB101" s="640">
        <v>0</v>
      </c>
      <c r="AC101" s="640">
        <v>0</v>
      </c>
      <c r="AD101" s="640">
        <v>0</v>
      </c>
      <c r="AE101" s="640">
        <v>0</v>
      </c>
      <c r="AF101" s="640">
        <v>0</v>
      </c>
      <c r="AG101" s="640">
        <v>0</v>
      </c>
      <c r="AH101" s="640">
        <v>0</v>
      </c>
      <c r="AI101" s="640">
        <v>0</v>
      </c>
      <c r="AJ101" s="640">
        <v>0</v>
      </c>
      <c r="AK101" s="648">
        <v>5.2937850888262874</v>
      </c>
    </row>
    <row r="102" spans="3:37" x14ac:dyDescent="0.2">
      <c r="C102" s="646" t="s">
        <v>75</v>
      </c>
      <c r="D102" s="640">
        <v>11.128635000000001</v>
      </c>
      <c r="E102" s="640">
        <v>0</v>
      </c>
      <c r="F102" s="640">
        <v>17.757847143387398</v>
      </c>
      <c r="G102" s="640">
        <v>5.0672539113277812</v>
      </c>
      <c r="H102" s="640">
        <v>0</v>
      </c>
      <c r="I102" s="640">
        <v>0</v>
      </c>
      <c r="J102" s="640">
        <v>0</v>
      </c>
      <c r="K102" s="640">
        <v>0</v>
      </c>
      <c r="L102" s="640">
        <v>0</v>
      </c>
      <c r="M102" s="640">
        <v>0.1034133451291384</v>
      </c>
      <c r="N102" s="640">
        <v>0</v>
      </c>
      <c r="O102" s="640">
        <v>0</v>
      </c>
      <c r="P102" s="640">
        <v>30.750377055945027</v>
      </c>
      <c r="Q102" s="640">
        <v>0</v>
      </c>
      <c r="R102" s="640">
        <v>0</v>
      </c>
      <c r="S102" s="648">
        <v>64.807526455789343</v>
      </c>
      <c r="U102" s="646" t="s">
        <v>75</v>
      </c>
      <c r="V102" s="640">
        <v>3.4784289550781251</v>
      </c>
      <c r="W102" s="640">
        <v>0</v>
      </c>
      <c r="X102" s="640">
        <v>17.757847143387398</v>
      </c>
      <c r="Y102" s="640">
        <v>3.6194670795198434</v>
      </c>
      <c r="Z102" s="640">
        <v>0</v>
      </c>
      <c r="AA102" s="640">
        <v>0</v>
      </c>
      <c r="AB102" s="640">
        <v>0</v>
      </c>
      <c r="AC102" s="640">
        <v>0</v>
      </c>
      <c r="AD102" s="640">
        <v>0</v>
      </c>
      <c r="AE102" s="640">
        <v>1.5512001769370758</v>
      </c>
      <c r="AF102" s="640">
        <v>0</v>
      </c>
      <c r="AG102" s="640">
        <v>0</v>
      </c>
      <c r="AH102" s="640">
        <v>36.42264978321775</v>
      </c>
      <c r="AI102" s="640">
        <v>0</v>
      </c>
      <c r="AJ102" s="640">
        <v>0</v>
      </c>
      <c r="AK102" s="648">
        <v>62.829593138140197</v>
      </c>
    </row>
    <row r="103" spans="3:37" x14ac:dyDescent="0.2">
      <c r="C103" s="646" t="s">
        <v>76</v>
      </c>
      <c r="D103" s="640">
        <v>0</v>
      </c>
      <c r="E103" s="640">
        <v>0</v>
      </c>
      <c r="F103" s="640">
        <v>0</v>
      </c>
      <c r="G103" s="640">
        <v>3.8086647866957031</v>
      </c>
      <c r="H103" s="640">
        <v>0</v>
      </c>
      <c r="I103" s="640">
        <v>0</v>
      </c>
      <c r="J103" s="640">
        <v>0</v>
      </c>
      <c r="K103" s="640">
        <v>0</v>
      </c>
      <c r="L103" s="640">
        <v>0</v>
      </c>
      <c r="M103" s="640">
        <v>7.7727852789708229E-2</v>
      </c>
      <c r="N103" s="640">
        <v>0</v>
      </c>
      <c r="O103" s="640">
        <v>0</v>
      </c>
      <c r="P103" s="640">
        <v>44.547532005203358</v>
      </c>
      <c r="Q103" s="640">
        <v>2.958822517532107</v>
      </c>
      <c r="R103" s="640">
        <v>0</v>
      </c>
      <c r="S103" s="648">
        <v>51.392747162220878</v>
      </c>
      <c r="U103" s="646" t="s">
        <v>76</v>
      </c>
      <c r="V103" s="640">
        <v>0</v>
      </c>
      <c r="W103" s="640">
        <v>0</v>
      </c>
      <c r="X103" s="640">
        <v>0</v>
      </c>
      <c r="Y103" s="640">
        <v>1.6015823117827594</v>
      </c>
      <c r="Z103" s="640">
        <v>0</v>
      </c>
      <c r="AA103" s="640">
        <v>0</v>
      </c>
      <c r="AB103" s="640">
        <v>0</v>
      </c>
      <c r="AC103" s="640">
        <v>0</v>
      </c>
      <c r="AD103" s="640">
        <v>0</v>
      </c>
      <c r="AE103" s="640">
        <v>0.68639241933546835</v>
      </c>
      <c r="AF103" s="640">
        <v>0</v>
      </c>
      <c r="AG103" s="640">
        <v>0</v>
      </c>
      <c r="AH103" s="640">
        <v>47.148943407633553</v>
      </c>
      <c r="AI103" s="640">
        <v>5.8421151160056723</v>
      </c>
      <c r="AJ103" s="640">
        <v>0</v>
      </c>
      <c r="AK103" s="648">
        <v>55.279033254757444</v>
      </c>
    </row>
    <row r="104" spans="3:37" x14ac:dyDescent="0.2">
      <c r="C104" s="644" t="s">
        <v>77</v>
      </c>
      <c r="D104" s="645">
        <v>42.571910641025248</v>
      </c>
      <c r="E104" s="645">
        <v>504.19228646673599</v>
      </c>
      <c r="F104" s="645">
        <v>-468.11692594020946</v>
      </c>
      <c r="G104" s="645">
        <v>45.994115783016845</v>
      </c>
      <c r="H104" s="645">
        <v>959.09090909090924</v>
      </c>
      <c r="I104" s="645">
        <v>265.54666314840352</v>
      </c>
      <c r="J104" s="645">
        <v>78.402106423532217</v>
      </c>
      <c r="K104" s="645">
        <v>19.049948129928421</v>
      </c>
      <c r="L104" s="645">
        <v>-26.034244563334241</v>
      </c>
      <c r="M104" s="645">
        <v>-5.4765606138084015</v>
      </c>
      <c r="N104" s="645">
        <v>0</v>
      </c>
      <c r="O104" s="645">
        <v>9.0263438420589424</v>
      </c>
      <c r="P104" s="645">
        <v>-537.24345011511946</v>
      </c>
      <c r="Q104" s="645">
        <v>-35.164036653103786</v>
      </c>
      <c r="R104" s="645">
        <v>-4.094104603252811</v>
      </c>
      <c r="S104" s="645">
        <v>847.74496103678234</v>
      </c>
      <c r="U104" s="644" t="s">
        <v>77</v>
      </c>
      <c r="V104" s="645">
        <v>6.4552640631735336</v>
      </c>
      <c r="W104" s="645">
        <v>266.28302835422375</v>
      </c>
      <c r="X104" s="645">
        <v>-239.16543674248729</v>
      </c>
      <c r="Y104" s="645">
        <v>28.3606981090151</v>
      </c>
      <c r="Z104" s="645">
        <v>919.39393939393949</v>
      </c>
      <c r="AA104" s="645">
        <v>300.16666314840353</v>
      </c>
      <c r="AB104" s="645">
        <v>116.13241178058709</v>
      </c>
      <c r="AC104" s="645">
        <v>32.378551458673563</v>
      </c>
      <c r="AD104" s="645">
        <v>-119.10980564362306</v>
      </c>
      <c r="AE104" s="645">
        <v>-45.591342912780426</v>
      </c>
      <c r="AF104" s="645">
        <v>0</v>
      </c>
      <c r="AG104" s="645">
        <v>17.619168596552839</v>
      </c>
      <c r="AH104" s="645">
        <v>-512.24867749935788</v>
      </c>
      <c r="AI104" s="645">
        <v>-69.488948539693865</v>
      </c>
      <c r="AJ104" s="645">
        <v>-23.724121611740912</v>
      </c>
      <c r="AK104" s="645">
        <v>677.46139195488558</v>
      </c>
    </row>
    <row r="105" spans="3:37" x14ac:dyDescent="0.2">
      <c r="C105" s="634"/>
      <c r="D105" s="634">
        <v>0</v>
      </c>
      <c r="E105" s="634">
        <v>0</v>
      </c>
      <c r="F105" s="634">
        <v>0</v>
      </c>
      <c r="G105" s="634">
        <v>0</v>
      </c>
      <c r="H105" s="634">
        <v>0</v>
      </c>
      <c r="I105" s="634">
        <v>0</v>
      </c>
      <c r="J105" s="634">
        <v>0</v>
      </c>
      <c r="K105" s="634">
        <v>0</v>
      </c>
      <c r="L105" s="634">
        <v>0</v>
      </c>
      <c r="M105" s="634">
        <v>0</v>
      </c>
      <c r="N105" s="634">
        <v>0</v>
      </c>
      <c r="O105" s="634">
        <v>0</v>
      </c>
      <c r="P105" s="634">
        <v>0</v>
      </c>
      <c r="Q105" s="634">
        <v>0</v>
      </c>
      <c r="R105" s="634">
        <v>0</v>
      </c>
      <c r="S105" s="634">
        <v>0</v>
      </c>
      <c r="U105" s="634"/>
      <c r="V105" s="634">
        <v>0</v>
      </c>
      <c r="W105" s="634">
        <v>0</v>
      </c>
      <c r="X105" s="634">
        <v>0</v>
      </c>
      <c r="Y105" s="634">
        <v>0</v>
      </c>
      <c r="Z105" s="634">
        <v>0</v>
      </c>
      <c r="AA105" s="634">
        <v>0</v>
      </c>
      <c r="AB105" s="634">
        <v>0</v>
      </c>
      <c r="AC105" s="634">
        <v>0</v>
      </c>
      <c r="AD105" s="634">
        <v>0</v>
      </c>
      <c r="AE105" s="634">
        <v>0</v>
      </c>
      <c r="AF105" s="634">
        <v>0</v>
      </c>
      <c r="AG105" s="634">
        <v>0</v>
      </c>
      <c r="AH105" s="634">
        <v>0</v>
      </c>
      <c r="AI105" s="634">
        <v>0</v>
      </c>
      <c r="AJ105" s="634">
        <v>0</v>
      </c>
      <c r="AK105" s="634">
        <v>0</v>
      </c>
    </row>
    <row r="106" spans="3:37" x14ac:dyDescent="0.2">
      <c r="C106" s="646" t="s">
        <v>78</v>
      </c>
      <c r="D106" s="640">
        <v>5.4657298257742912</v>
      </c>
      <c r="E106" s="640">
        <v>0</v>
      </c>
      <c r="F106" s="640">
        <v>21.83935294215906</v>
      </c>
      <c r="G106" s="640">
        <v>97.960240418883188</v>
      </c>
      <c r="H106" s="640">
        <v>0</v>
      </c>
      <c r="I106" s="640">
        <v>0</v>
      </c>
      <c r="J106" s="640">
        <v>20.699069714826329</v>
      </c>
      <c r="K106" s="640">
        <v>1.7608774311708451</v>
      </c>
      <c r="L106" s="640">
        <v>0.9136629082031249</v>
      </c>
      <c r="M106" s="640">
        <v>2.0177626304462204</v>
      </c>
      <c r="N106" s="640">
        <v>0</v>
      </c>
      <c r="O106" s="640">
        <v>3.7866244598879411E-4</v>
      </c>
      <c r="P106" s="640">
        <v>111.48933548215857</v>
      </c>
      <c r="Q106" s="640">
        <v>16.083775404791947</v>
      </c>
      <c r="R106" s="640">
        <v>0.29766925048828125</v>
      </c>
      <c r="S106" s="648">
        <v>278.52785467134788</v>
      </c>
      <c r="U106" s="646" t="s">
        <v>78</v>
      </c>
      <c r="V106" s="640">
        <v>1.0762581410403587</v>
      </c>
      <c r="W106" s="640">
        <v>0</v>
      </c>
      <c r="X106" s="640">
        <v>8.4892491154216376</v>
      </c>
      <c r="Y106" s="640">
        <v>50.497915430959594</v>
      </c>
      <c r="Z106" s="640">
        <v>0</v>
      </c>
      <c r="AA106" s="640">
        <v>0</v>
      </c>
      <c r="AB106" s="640">
        <v>15.594949526554588</v>
      </c>
      <c r="AC106" s="640">
        <v>5.2865944994228578</v>
      </c>
      <c r="AD106" s="640">
        <v>4.3757583007812499</v>
      </c>
      <c r="AE106" s="640">
        <v>21.660537806594554</v>
      </c>
      <c r="AF106" s="640">
        <v>0</v>
      </c>
      <c r="AG106" s="640">
        <v>3.7866244598879411E-4</v>
      </c>
      <c r="AH106" s="640">
        <v>141.44668524271188</v>
      </c>
      <c r="AI106" s="640">
        <v>22.79177635880415</v>
      </c>
      <c r="AJ106" s="640">
        <v>6.850041015625</v>
      </c>
      <c r="AK106" s="648">
        <v>278.07014410036186</v>
      </c>
    </row>
    <row r="107" spans="3:37" x14ac:dyDescent="0.2">
      <c r="C107" s="646" t="s">
        <v>79</v>
      </c>
      <c r="D107" s="640">
        <v>0</v>
      </c>
      <c r="E107" s="640">
        <v>0</v>
      </c>
      <c r="F107" s="640">
        <v>249.23385066161848</v>
      </c>
      <c r="G107" s="640">
        <v>29.852237297635437</v>
      </c>
      <c r="H107" s="640">
        <v>0</v>
      </c>
      <c r="I107" s="640">
        <v>0</v>
      </c>
      <c r="J107" s="640">
        <v>0</v>
      </c>
      <c r="K107" s="640">
        <v>0</v>
      </c>
      <c r="L107" s="640">
        <v>24.125777410294155</v>
      </c>
      <c r="M107" s="640">
        <v>0.60922933260480494</v>
      </c>
      <c r="N107" s="640">
        <v>0</v>
      </c>
      <c r="O107" s="640">
        <v>0</v>
      </c>
      <c r="P107" s="640">
        <v>62.086065361885787</v>
      </c>
      <c r="Q107" s="640">
        <v>0</v>
      </c>
      <c r="R107" s="640">
        <v>1.9828379826970517</v>
      </c>
      <c r="S107" s="648">
        <v>367.88999804673568</v>
      </c>
      <c r="U107" s="646" t="s">
        <v>79</v>
      </c>
      <c r="V107" s="640">
        <v>0</v>
      </c>
      <c r="W107" s="640">
        <v>0</v>
      </c>
      <c r="X107" s="640">
        <v>59.317364570862594</v>
      </c>
      <c r="Y107" s="640">
        <v>17.942066440325025</v>
      </c>
      <c r="Z107" s="640">
        <v>0</v>
      </c>
      <c r="AA107" s="640">
        <v>0</v>
      </c>
      <c r="AB107" s="640">
        <v>0</v>
      </c>
      <c r="AC107" s="640">
        <v>0</v>
      </c>
      <c r="AD107" s="640">
        <v>51.332808735857633</v>
      </c>
      <c r="AE107" s="640">
        <v>7.6894570458535831</v>
      </c>
      <c r="AF107" s="640">
        <v>0</v>
      </c>
      <c r="AG107" s="640">
        <v>0</v>
      </c>
      <c r="AH107" s="640">
        <v>82.201296258535137</v>
      </c>
      <c r="AI107" s="640">
        <v>0</v>
      </c>
      <c r="AJ107" s="640">
        <v>4.6183032107255606</v>
      </c>
      <c r="AK107" s="648">
        <v>223.10129626215951</v>
      </c>
    </row>
    <row r="108" spans="3:37" x14ac:dyDescent="0.2">
      <c r="C108" s="646" t="s">
        <v>80</v>
      </c>
      <c r="D108" s="640">
        <v>0</v>
      </c>
      <c r="E108" s="640">
        <v>0</v>
      </c>
      <c r="F108" s="640">
        <v>17.698191750553285</v>
      </c>
      <c r="G108" s="640">
        <v>82.8316536533641</v>
      </c>
      <c r="H108" s="640">
        <v>0</v>
      </c>
      <c r="I108" s="640">
        <v>0</v>
      </c>
      <c r="J108" s="640">
        <v>87.012401530952616</v>
      </c>
      <c r="K108" s="640">
        <v>0</v>
      </c>
      <c r="L108" s="640">
        <v>0</v>
      </c>
      <c r="M108" s="640">
        <v>1.690441911293145</v>
      </c>
      <c r="N108" s="640">
        <v>54.219025663639314</v>
      </c>
      <c r="O108" s="640">
        <v>2.0231633432731213</v>
      </c>
      <c r="P108" s="640">
        <v>187.24843332836184</v>
      </c>
      <c r="Q108" s="640">
        <v>15.504434202631401</v>
      </c>
      <c r="R108" s="640">
        <v>0</v>
      </c>
      <c r="S108" s="648">
        <v>448.22774538406884</v>
      </c>
      <c r="U108" s="646" t="s">
        <v>80</v>
      </c>
      <c r="V108" s="640">
        <v>0</v>
      </c>
      <c r="W108" s="640">
        <v>0</v>
      </c>
      <c r="X108" s="640">
        <v>1.0833932718176746</v>
      </c>
      <c r="Y108" s="640">
        <v>18.084176496701136</v>
      </c>
      <c r="Z108" s="640">
        <v>0</v>
      </c>
      <c r="AA108" s="640">
        <v>0</v>
      </c>
      <c r="AB108" s="640">
        <v>57.868484646152382</v>
      </c>
      <c r="AC108" s="640">
        <v>0</v>
      </c>
      <c r="AD108" s="640">
        <v>0</v>
      </c>
      <c r="AE108" s="640">
        <v>7.7503613557290594</v>
      </c>
      <c r="AF108" s="640">
        <v>78.313096165620991</v>
      </c>
      <c r="AG108" s="640">
        <v>3.4573890525731583</v>
      </c>
      <c r="AH108" s="640">
        <v>150.63566760387405</v>
      </c>
      <c r="AI108" s="640">
        <v>34.942034151478268</v>
      </c>
      <c r="AJ108" s="640">
        <v>0</v>
      </c>
      <c r="AK108" s="648">
        <v>352.13460274394669</v>
      </c>
    </row>
    <row r="109" spans="3:37" x14ac:dyDescent="0.2">
      <c r="C109" s="646" t="s">
        <v>81</v>
      </c>
      <c r="D109" s="640">
        <v>0</v>
      </c>
      <c r="E109" s="640">
        <v>0</v>
      </c>
      <c r="F109" s="640">
        <v>5.759525486283259</v>
      </c>
      <c r="G109" s="640">
        <v>63.242535904869413</v>
      </c>
      <c r="H109" s="640">
        <v>0</v>
      </c>
      <c r="I109" s="640">
        <v>0</v>
      </c>
      <c r="J109" s="640">
        <v>3.243340348024236</v>
      </c>
      <c r="K109" s="640">
        <v>2.5138060257677737E-2</v>
      </c>
      <c r="L109" s="640">
        <v>0</v>
      </c>
      <c r="M109" s="640">
        <v>1.2906639980585595</v>
      </c>
      <c r="N109" s="640">
        <v>8.6788063603893928</v>
      </c>
      <c r="O109" s="640">
        <v>0.74318365128395913</v>
      </c>
      <c r="P109" s="640">
        <v>138.68432478978596</v>
      </c>
      <c r="Q109" s="640">
        <v>3.5758270456804375</v>
      </c>
      <c r="R109" s="640">
        <v>0</v>
      </c>
      <c r="S109" s="648">
        <v>225.24334564463288</v>
      </c>
      <c r="U109" s="646" t="s">
        <v>81</v>
      </c>
      <c r="V109" s="640">
        <v>0</v>
      </c>
      <c r="W109" s="640">
        <v>0</v>
      </c>
      <c r="X109" s="640">
        <v>1.8996820773870462</v>
      </c>
      <c r="Y109" s="640">
        <v>16.701006494583829</v>
      </c>
      <c r="Z109" s="640">
        <v>0</v>
      </c>
      <c r="AA109" s="640">
        <v>0</v>
      </c>
      <c r="AB109" s="640">
        <v>7.1959049572050198</v>
      </c>
      <c r="AC109" s="640">
        <v>2.5138060257677737E-2</v>
      </c>
      <c r="AD109" s="640">
        <v>0</v>
      </c>
      <c r="AE109" s="640">
        <v>7.1575742119644987</v>
      </c>
      <c r="AF109" s="640">
        <v>14.587904232604497</v>
      </c>
      <c r="AG109" s="640">
        <v>1.6018484399661996</v>
      </c>
      <c r="AH109" s="640">
        <v>116.46951239557291</v>
      </c>
      <c r="AI109" s="640">
        <v>11.755138029411436</v>
      </c>
      <c r="AJ109" s="640">
        <v>0</v>
      </c>
      <c r="AK109" s="648">
        <v>177.39370889895312</v>
      </c>
    </row>
    <row r="110" spans="3:37" x14ac:dyDescent="0.2">
      <c r="C110" s="646" t="s">
        <v>82</v>
      </c>
      <c r="D110" s="640">
        <v>0</v>
      </c>
      <c r="E110" s="640">
        <v>0</v>
      </c>
      <c r="F110" s="640">
        <v>29.471786733039881</v>
      </c>
      <c r="G110" s="640">
        <v>1.3166139535686423</v>
      </c>
      <c r="H110" s="640">
        <v>0</v>
      </c>
      <c r="I110" s="640">
        <v>0</v>
      </c>
      <c r="J110" s="640">
        <v>3.6844952632387193</v>
      </c>
      <c r="K110" s="640">
        <v>0</v>
      </c>
      <c r="L110" s="640">
        <v>3.0029030850571363</v>
      </c>
      <c r="M110" s="640">
        <v>2.6869672521809031E-2</v>
      </c>
      <c r="N110" s="640">
        <v>0</v>
      </c>
      <c r="O110" s="640">
        <v>7.2392521047915395E-2</v>
      </c>
      <c r="P110" s="640">
        <v>6.3643203530837074</v>
      </c>
      <c r="Q110" s="640">
        <v>0</v>
      </c>
      <c r="R110" s="640">
        <v>0</v>
      </c>
      <c r="S110" s="648">
        <v>43.939381581557811</v>
      </c>
      <c r="U110" s="646" t="s">
        <v>82</v>
      </c>
      <c r="V110" s="640">
        <v>0</v>
      </c>
      <c r="W110" s="640">
        <v>0</v>
      </c>
      <c r="X110" s="640">
        <v>10.199143313422546</v>
      </c>
      <c r="Y110" s="640">
        <v>1.1904851448286324</v>
      </c>
      <c r="Z110" s="640">
        <v>0</v>
      </c>
      <c r="AA110" s="640">
        <v>0</v>
      </c>
      <c r="AB110" s="640">
        <v>3.6844952632387193</v>
      </c>
      <c r="AC110" s="640">
        <v>0</v>
      </c>
      <c r="AD110" s="640">
        <v>26.674568203776872</v>
      </c>
      <c r="AE110" s="640">
        <v>0.51020791921227104</v>
      </c>
      <c r="AF110" s="640">
        <v>0</v>
      </c>
      <c r="AG110" s="640">
        <v>1.300620381405156</v>
      </c>
      <c r="AH110" s="640">
        <v>6.4632626546266092</v>
      </c>
      <c r="AI110" s="640">
        <v>0</v>
      </c>
      <c r="AJ110" s="640">
        <v>0.325155095351289</v>
      </c>
      <c r="AK110" s="648">
        <v>50.347937975862088</v>
      </c>
    </row>
    <row r="111" spans="3:37" x14ac:dyDescent="0.2">
      <c r="C111" s="646" t="s">
        <v>354</v>
      </c>
      <c r="D111" s="640">
        <v>0</v>
      </c>
      <c r="E111" s="640">
        <v>0</v>
      </c>
      <c r="F111" s="640">
        <v>0</v>
      </c>
      <c r="G111" s="640">
        <v>0</v>
      </c>
      <c r="H111" s="640">
        <v>0</v>
      </c>
      <c r="I111" s="640">
        <v>0</v>
      </c>
      <c r="J111" s="640">
        <v>0</v>
      </c>
      <c r="K111" s="640">
        <v>0</v>
      </c>
      <c r="L111" s="640">
        <v>0</v>
      </c>
      <c r="M111" s="640">
        <v>0</v>
      </c>
      <c r="N111" s="640">
        <v>0</v>
      </c>
      <c r="O111" s="640">
        <v>0</v>
      </c>
      <c r="P111" s="640">
        <v>0.31499999999999995</v>
      </c>
      <c r="Q111" s="640">
        <v>0</v>
      </c>
      <c r="R111" s="640">
        <v>0</v>
      </c>
      <c r="S111" s="648">
        <v>0.31499999999999995</v>
      </c>
      <c r="U111" s="646" t="s">
        <v>354</v>
      </c>
      <c r="V111" s="640">
        <v>0</v>
      </c>
      <c r="W111" s="640">
        <v>0</v>
      </c>
      <c r="X111" s="640">
        <v>0</v>
      </c>
      <c r="Y111" s="640">
        <v>0</v>
      </c>
      <c r="Z111" s="640">
        <v>0</v>
      </c>
      <c r="AA111" s="640">
        <v>0</v>
      </c>
      <c r="AB111" s="640">
        <v>0</v>
      </c>
      <c r="AC111" s="640">
        <v>0</v>
      </c>
      <c r="AD111" s="640">
        <v>0</v>
      </c>
      <c r="AE111" s="640">
        <v>0</v>
      </c>
      <c r="AF111" s="640">
        <v>0</v>
      </c>
      <c r="AG111" s="640">
        <v>0</v>
      </c>
      <c r="AH111" s="640">
        <v>2.4</v>
      </c>
      <c r="AI111" s="640">
        <v>0</v>
      </c>
      <c r="AJ111" s="640">
        <v>0</v>
      </c>
      <c r="AK111" s="648">
        <v>2.4</v>
      </c>
    </row>
    <row r="112" spans="3:37" x14ac:dyDescent="0.2">
      <c r="C112" s="644" t="s">
        <v>83</v>
      </c>
      <c r="D112" s="645">
        <v>5.4657298257742912</v>
      </c>
      <c r="E112" s="645">
        <v>0</v>
      </c>
      <c r="F112" s="645">
        <v>324.00270757365394</v>
      </c>
      <c r="G112" s="645">
        <v>275.2032812283208</v>
      </c>
      <c r="H112" s="645">
        <v>0</v>
      </c>
      <c r="I112" s="645">
        <v>0</v>
      </c>
      <c r="J112" s="645">
        <v>114.6393068570419</v>
      </c>
      <c r="K112" s="645">
        <v>1.7860154914285227</v>
      </c>
      <c r="L112" s="645">
        <v>28.042343403554419</v>
      </c>
      <c r="M112" s="645">
        <v>5.6349675449245389</v>
      </c>
      <c r="N112" s="645">
        <v>62.897832024028709</v>
      </c>
      <c r="O112" s="645">
        <v>2.8391181780509842</v>
      </c>
      <c r="P112" s="645">
        <v>506.18747931527582</v>
      </c>
      <c r="Q112" s="645">
        <v>35.164036653103793</v>
      </c>
      <c r="R112" s="645">
        <v>2.2805072331853329</v>
      </c>
      <c r="S112" s="645">
        <v>1364.1433253283431</v>
      </c>
      <c r="U112" s="644" t="s">
        <v>83</v>
      </c>
      <c r="V112" s="645">
        <v>1.0762581410403587</v>
      </c>
      <c r="W112" s="645">
        <v>0</v>
      </c>
      <c r="X112" s="645">
        <v>80.988832348911515</v>
      </c>
      <c r="Y112" s="645">
        <v>104.41565000739821</v>
      </c>
      <c r="Z112" s="645">
        <v>0</v>
      </c>
      <c r="AA112" s="645">
        <v>0</v>
      </c>
      <c r="AB112" s="645">
        <v>84.343834393150701</v>
      </c>
      <c r="AC112" s="645">
        <v>5.3117325596805349</v>
      </c>
      <c r="AD112" s="645">
        <v>82.383135240415754</v>
      </c>
      <c r="AE112" s="645">
        <v>44.768138339353968</v>
      </c>
      <c r="AF112" s="645">
        <v>92.901000398225491</v>
      </c>
      <c r="AG112" s="645">
        <v>6.3602365363905022</v>
      </c>
      <c r="AH112" s="645">
        <v>499.61642415532054</v>
      </c>
      <c r="AI112" s="645">
        <v>69.488948539693865</v>
      </c>
      <c r="AJ112" s="645">
        <v>11.793499321701848</v>
      </c>
      <c r="AK112" s="645">
        <v>1083.4476899812832</v>
      </c>
    </row>
    <row r="113" spans="3:37" x14ac:dyDescent="0.2">
      <c r="C113" s="639" t="s">
        <v>84</v>
      </c>
      <c r="D113" s="640">
        <v>0</v>
      </c>
      <c r="E113" s="640">
        <v>0</v>
      </c>
      <c r="F113" s="640">
        <v>109.69308299672531</v>
      </c>
      <c r="G113" s="640">
        <v>11.766175832538266</v>
      </c>
      <c r="H113" s="640">
        <v>0</v>
      </c>
      <c r="I113" s="640">
        <v>0</v>
      </c>
      <c r="J113" s="640">
        <v>0</v>
      </c>
      <c r="K113" s="640">
        <v>0</v>
      </c>
      <c r="L113" s="640">
        <v>0</v>
      </c>
      <c r="M113" s="640">
        <v>0</v>
      </c>
      <c r="N113" s="640">
        <v>0</v>
      </c>
      <c r="O113" s="640">
        <v>0</v>
      </c>
      <c r="P113" s="640">
        <v>0</v>
      </c>
      <c r="Q113" s="640">
        <v>0</v>
      </c>
      <c r="R113" s="640">
        <v>1.8135973700674786</v>
      </c>
      <c r="S113" s="648">
        <v>123.27285619933106</v>
      </c>
      <c r="U113" s="639" t="s">
        <v>84</v>
      </c>
      <c r="V113" s="640">
        <v>0</v>
      </c>
      <c r="W113" s="640">
        <v>0</v>
      </c>
      <c r="X113" s="640">
        <v>84.298528713313246</v>
      </c>
      <c r="Y113" s="640">
        <v>1.1302347010557652</v>
      </c>
      <c r="Z113" s="640">
        <v>0</v>
      </c>
      <c r="AA113" s="640">
        <v>0</v>
      </c>
      <c r="AB113" s="640">
        <v>0</v>
      </c>
      <c r="AC113" s="640">
        <v>0</v>
      </c>
      <c r="AD113" s="640">
        <v>17.754065118408207</v>
      </c>
      <c r="AE113" s="640">
        <v>0</v>
      </c>
      <c r="AF113" s="640">
        <v>0</v>
      </c>
      <c r="AG113" s="640">
        <v>0</v>
      </c>
      <c r="AH113" s="640">
        <v>0</v>
      </c>
      <c r="AI113" s="640">
        <v>0</v>
      </c>
      <c r="AJ113" s="640">
        <v>11.930622290039064</v>
      </c>
      <c r="AK113" s="648">
        <v>115.11345082281629</v>
      </c>
    </row>
    <row r="114" spans="3:37" x14ac:dyDescent="0.2">
      <c r="C114" s="644" t="s">
        <v>85</v>
      </c>
      <c r="D114" s="645">
        <v>5.4657298257742912</v>
      </c>
      <c r="E114" s="645">
        <v>0</v>
      </c>
      <c r="F114" s="645">
        <v>433.69579057037924</v>
      </c>
      <c r="G114" s="645">
        <v>286.9694570608591</v>
      </c>
      <c r="H114" s="645">
        <v>0</v>
      </c>
      <c r="I114" s="645">
        <v>0</v>
      </c>
      <c r="J114" s="645">
        <v>114.6393068570419</v>
      </c>
      <c r="K114" s="645">
        <v>1.7860154914285227</v>
      </c>
      <c r="L114" s="645">
        <v>28.042343403554419</v>
      </c>
      <c r="M114" s="645">
        <v>5.6349675449245389</v>
      </c>
      <c r="N114" s="645">
        <v>62.897832024028709</v>
      </c>
      <c r="O114" s="645">
        <v>2.8391181780509842</v>
      </c>
      <c r="P114" s="645">
        <v>506.18747931527582</v>
      </c>
      <c r="Q114" s="645">
        <v>35.164036653103793</v>
      </c>
      <c r="R114" s="645">
        <v>4.094104603252811</v>
      </c>
      <c r="S114" s="645">
        <v>1487.4161815276743</v>
      </c>
      <c r="U114" s="644" t="s">
        <v>85</v>
      </c>
      <c r="V114" s="645">
        <v>1.0762581410403587</v>
      </c>
      <c r="W114" s="645">
        <v>0</v>
      </c>
      <c r="X114" s="645">
        <v>165.28736106222476</v>
      </c>
      <c r="Y114" s="645">
        <v>105.54588470845398</v>
      </c>
      <c r="Z114" s="645">
        <v>0</v>
      </c>
      <c r="AA114" s="645">
        <v>0</v>
      </c>
      <c r="AB114" s="645">
        <v>84.343834393150701</v>
      </c>
      <c r="AC114" s="645">
        <v>5.3117325596805349</v>
      </c>
      <c r="AD114" s="645">
        <v>100.13720035882396</v>
      </c>
      <c r="AE114" s="645">
        <v>44.768138339353968</v>
      </c>
      <c r="AF114" s="645">
        <v>92.901000398225491</v>
      </c>
      <c r="AG114" s="645">
        <v>6.3602365363905022</v>
      </c>
      <c r="AH114" s="645">
        <v>499.61642415532054</v>
      </c>
      <c r="AI114" s="645">
        <v>69.488948539693865</v>
      </c>
      <c r="AJ114" s="645">
        <v>23.724121611740912</v>
      </c>
      <c r="AK114" s="645">
        <v>1198.5611408040995</v>
      </c>
    </row>
    <row r="115" spans="3:37" x14ac:dyDescent="0.2">
      <c r="C115" s="634"/>
      <c r="D115" s="634"/>
      <c r="E115" s="634"/>
      <c r="F115" s="634"/>
      <c r="G115" s="634"/>
      <c r="H115" s="634"/>
      <c r="I115" s="634"/>
      <c r="J115" s="634"/>
      <c r="K115" s="634"/>
      <c r="L115" s="634"/>
      <c r="M115" s="634"/>
      <c r="N115" s="634"/>
      <c r="O115" s="634"/>
      <c r="P115" s="634"/>
      <c r="Q115" s="634"/>
      <c r="R115" s="634"/>
      <c r="S115" s="634"/>
      <c r="U115" s="634"/>
      <c r="V115" s="634"/>
      <c r="W115" s="634"/>
      <c r="X115" s="634"/>
      <c r="Y115" s="634"/>
      <c r="Z115" s="634"/>
      <c r="AA115" s="634"/>
      <c r="AB115" s="634"/>
      <c r="AC115" s="634"/>
      <c r="AD115" s="634"/>
      <c r="AE115" s="634"/>
      <c r="AF115" s="634"/>
      <c r="AG115" s="634"/>
      <c r="AH115" s="634"/>
      <c r="AI115" s="634"/>
      <c r="AJ115" s="634"/>
      <c r="AK115" s="634"/>
    </row>
    <row r="116" spans="3:37" ht="22.5" x14ac:dyDescent="0.3">
      <c r="C116" s="759" t="s">
        <v>518</v>
      </c>
      <c r="D116" s="759"/>
      <c r="E116" s="759"/>
      <c r="F116" s="759"/>
      <c r="G116" s="759"/>
      <c r="H116" s="759"/>
      <c r="I116" s="759"/>
      <c r="J116" s="759"/>
      <c r="K116" s="759"/>
      <c r="L116" s="759"/>
      <c r="M116" s="759"/>
      <c r="N116" s="759"/>
      <c r="O116" s="759"/>
      <c r="P116" s="759"/>
      <c r="Q116" s="759"/>
      <c r="R116" s="759"/>
      <c r="S116" s="759"/>
      <c r="U116" s="759" t="s">
        <v>518</v>
      </c>
      <c r="V116" s="759"/>
      <c r="W116" s="759"/>
      <c r="X116" s="759"/>
      <c r="Y116" s="759"/>
      <c r="Z116" s="759"/>
      <c r="AA116" s="759"/>
      <c r="AB116" s="759"/>
      <c r="AC116" s="759"/>
      <c r="AD116" s="759"/>
      <c r="AE116" s="759"/>
      <c r="AF116" s="759"/>
      <c r="AG116" s="759"/>
      <c r="AH116" s="759"/>
      <c r="AI116" s="759"/>
      <c r="AJ116" s="759"/>
      <c r="AK116" s="759"/>
    </row>
    <row r="117" spans="3:37" x14ac:dyDescent="0.2">
      <c r="C117" s="634"/>
      <c r="D117" s="634"/>
      <c r="E117" s="634"/>
      <c r="F117" s="634"/>
      <c r="G117" s="634"/>
      <c r="H117" s="634"/>
      <c r="I117" s="634"/>
      <c r="J117" s="634"/>
      <c r="K117" s="634"/>
      <c r="L117" s="634"/>
      <c r="M117" s="634"/>
      <c r="N117" s="634"/>
      <c r="O117" s="634"/>
      <c r="P117" s="634"/>
      <c r="Q117" s="634"/>
      <c r="R117" s="634"/>
      <c r="S117" s="634"/>
      <c r="U117" s="634"/>
      <c r="V117" s="634"/>
      <c r="W117" s="634"/>
      <c r="X117" s="634"/>
      <c r="Y117" s="634"/>
      <c r="Z117" s="634"/>
      <c r="AA117" s="634"/>
      <c r="AB117" s="634"/>
      <c r="AC117" s="634"/>
      <c r="AD117" s="634"/>
      <c r="AE117" s="634"/>
      <c r="AF117" s="634"/>
      <c r="AG117" s="634"/>
      <c r="AH117" s="634"/>
      <c r="AI117" s="634"/>
      <c r="AJ117" s="634"/>
      <c r="AK117" s="634"/>
    </row>
    <row r="118" spans="3:37" ht="12.95" customHeight="1" x14ac:dyDescent="0.2">
      <c r="C118" s="758" t="s">
        <v>128</v>
      </c>
      <c r="D118" s="757" t="s">
        <v>42</v>
      </c>
      <c r="E118" s="757" t="s">
        <v>52</v>
      </c>
      <c r="F118" s="757" t="s">
        <v>53</v>
      </c>
      <c r="G118" s="757" t="s">
        <v>32</v>
      </c>
      <c r="H118" s="757" t="s">
        <v>20</v>
      </c>
      <c r="I118" s="757" t="s">
        <v>55</v>
      </c>
      <c r="J118" s="757" t="s">
        <v>56</v>
      </c>
      <c r="K118" s="757"/>
      <c r="L118" s="757"/>
      <c r="M118" s="757"/>
      <c r="N118" s="757"/>
      <c r="O118" s="757"/>
      <c r="P118" s="757" t="s">
        <v>57</v>
      </c>
      <c r="Q118" s="757" t="s">
        <v>58</v>
      </c>
      <c r="R118" s="757" t="s">
        <v>31</v>
      </c>
      <c r="S118" s="757" t="s">
        <v>10</v>
      </c>
      <c r="U118" s="758" t="s">
        <v>128</v>
      </c>
      <c r="V118" s="757" t="s">
        <v>42</v>
      </c>
      <c r="W118" s="757" t="s">
        <v>52</v>
      </c>
      <c r="X118" s="757" t="s">
        <v>53</v>
      </c>
      <c r="Y118" s="757" t="s">
        <v>32</v>
      </c>
      <c r="Z118" s="757" t="s">
        <v>20</v>
      </c>
      <c r="AA118" s="757" t="s">
        <v>55</v>
      </c>
      <c r="AB118" s="757" t="s">
        <v>56</v>
      </c>
      <c r="AC118" s="757"/>
      <c r="AD118" s="757"/>
      <c r="AE118" s="757"/>
      <c r="AF118" s="757"/>
      <c r="AG118" s="757"/>
      <c r="AH118" s="757" t="s">
        <v>57</v>
      </c>
      <c r="AI118" s="757" t="s">
        <v>58</v>
      </c>
      <c r="AJ118" s="757" t="s">
        <v>31</v>
      </c>
      <c r="AK118" s="757" t="s">
        <v>10</v>
      </c>
    </row>
    <row r="119" spans="3:37" ht="56.25" x14ac:dyDescent="0.2">
      <c r="C119" s="758"/>
      <c r="D119" s="757"/>
      <c r="E119" s="757"/>
      <c r="F119" s="757"/>
      <c r="G119" s="757"/>
      <c r="H119" s="757"/>
      <c r="I119" s="757"/>
      <c r="J119" s="638" t="s">
        <v>335</v>
      </c>
      <c r="K119" s="638" t="s">
        <v>40</v>
      </c>
      <c r="L119" s="638" t="s">
        <v>343</v>
      </c>
      <c r="M119" s="638" t="s">
        <v>344</v>
      </c>
      <c r="N119" s="638" t="s">
        <v>345</v>
      </c>
      <c r="O119" s="638" t="s">
        <v>346</v>
      </c>
      <c r="P119" s="757"/>
      <c r="Q119" s="757"/>
      <c r="R119" s="757"/>
      <c r="S119" s="757"/>
      <c r="U119" s="758"/>
      <c r="V119" s="757"/>
      <c r="W119" s="757"/>
      <c r="X119" s="757"/>
      <c r="Y119" s="757"/>
      <c r="Z119" s="757"/>
      <c r="AA119" s="757"/>
      <c r="AB119" s="638" t="s">
        <v>335</v>
      </c>
      <c r="AC119" s="638" t="s">
        <v>40</v>
      </c>
      <c r="AD119" s="638" t="s">
        <v>343</v>
      </c>
      <c r="AE119" s="638" t="s">
        <v>344</v>
      </c>
      <c r="AF119" s="638" t="s">
        <v>345</v>
      </c>
      <c r="AG119" s="638" t="s">
        <v>346</v>
      </c>
      <c r="AH119" s="757"/>
      <c r="AI119" s="757"/>
      <c r="AJ119" s="757"/>
      <c r="AK119" s="757"/>
    </row>
    <row r="120" spans="3:37" x14ac:dyDescent="0.2">
      <c r="C120" s="639" t="s">
        <v>59</v>
      </c>
      <c r="D120" s="640">
        <v>0</v>
      </c>
      <c r="E120" s="641">
        <v>0</v>
      </c>
      <c r="F120" s="641">
        <v>0</v>
      </c>
      <c r="G120" s="640">
        <v>0</v>
      </c>
      <c r="H120" s="641">
        <v>889.54545454545473</v>
      </c>
      <c r="I120" s="641">
        <v>290.38619522472999</v>
      </c>
      <c r="J120" s="641">
        <v>188.26463769943669</v>
      </c>
      <c r="K120" s="641">
        <v>20.519346122490408</v>
      </c>
      <c r="L120" s="641">
        <v>0.54648995449606019</v>
      </c>
      <c r="M120" s="641">
        <v>0.15914693380563083</v>
      </c>
      <c r="N120" s="641">
        <v>65.898689554178929</v>
      </c>
      <c r="O120" s="641">
        <v>11.930124482632028</v>
      </c>
      <c r="P120" s="642">
        <v>0</v>
      </c>
      <c r="Q120" s="641">
        <v>0</v>
      </c>
      <c r="R120" s="641">
        <v>0</v>
      </c>
      <c r="S120" s="643">
        <v>1467.2500845172242</v>
      </c>
      <c r="U120" s="639" t="s">
        <v>59</v>
      </c>
      <c r="V120" s="640">
        <v>0</v>
      </c>
      <c r="W120" s="641">
        <v>0</v>
      </c>
      <c r="X120" s="641">
        <v>0</v>
      </c>
      <c r="Y120" s="640">
        <v>0</v>
      </c>
      <c r="Z120" s="641">
        <v>873.030303030303</v>
      </c>
      <c r="AA120" s="641">
        <v>337.06619522473</v>
      </c>
      <c r="AB120" s="641">
        <v>206.15489309499102</v>
      </c>
      <c r="AC120" s="641">
        <v>37.137182251794961</v>
      </c>
      <c r="AD120" s="641">
        <v>0.54648995449606019</v>
      </c>
      <c r="AE120" s="641">
        <v>0.15914693380563083</v>
      </c>
      <c r="AF120" s="641">
        <v>103.02458403584798</v>
      </c>
      <c r="AG120" s="641">
        <v>25.833176078824131</v>
      </c>
      <c r="AH120" s="642">
        <v>0</v>
      </c>
      <c r="AI120" s="641">
        <v>0</v>
      </c>
      <c r="AJ120" s="641">
        <v>0</v>
      </c>
      <c r="AK120" s="643">
        <v>1582.9519706047927</v>
      </c>
    </row>
    <row r="121" spans="3:37" x14ac:dyDescent="0.2">
      <c r="C121" s="639" t="s">
        <v>60</v>
      </c>
      <c r="D121" s="640">
        <v>47.523331421865407</v>
      </c>
      <c r="E121" s="641">
        <v>492.37419513671523</v>
      </c>
      <c r="F121" s="641">
        <v>57.352326080251387</v>
      </c>
      <c r="G121" s="640">
        <v>328.8885225556333</v>
      </c>
      <c r="H121" s="641">
        <v>0</v>
      </c>
      <c r="I121" s="641">
        <v>0</v>
      </c>
      <c r="J121" s="641">
        <v>4.8075322078390377</v>
      </c>
      <c r="K121" s="641">
        <v>0</v>
      </c>
      <c r="L121" s="641">
        <v>2.6229179175778925</v>
      </c>
      <c r="M121" s="641">
        <v>0</v>
      </c>
      <c r="N121" s="641">
        <v>0</v>
      </c>
      <c r="O121" s="641">
        <v>0</v>
      </c>
      <c r="P121" s="642">
        <v>0</v>
      </c>
      <c r="Q121" s="641">
        <v>0</v>
      </c>
      <c r="R121" s="641">
        <v>0</v>
      </c>
      <c r="S121" s="643">
        <v>933.56882531988219</v>
      </c>
      <c r="U121" s="639" t="s">
        <v>60</v>
      </c>
      <c r="V121" s="640">
        <v>6.5260336126681251</v>
      </c>
      <c r="W121" s="641">
        <v>220.47790015098695</v>
      </c>
      <c r="X121" s="641">
        <v>14.513856185365357</v>
      </c>
      <c r="Y121" s="640">
        <v>102.1346675179243</v>
      </c>
      <c r="Z121" s="641">
        <v>0</v>
      </c>
      <c r="AA121" s="641">
        <v>0</v>
      </c>
      <c r="AB121" s="641">
        <v>4.8075322078390377</v>
      </c>
      <c r="AC121" s="641">
        <v>0</v>
      </c>
      <c r="AD121" s="641">
        <v>2.6229179175778925</v>
      </c>
      <c r="AE121" s="641">
        <v>0</v>
      </c>
      <c r="AF121" s="641">
        <v>0</v>
      </c>
      <c r="AG121" s="641">
        <v>0</v>
      </c>
      <c r="AH121" s="642">
        <v>0</v>
      </c>
      <c r="AI121" s="641">
        <v>0</v>
      </c>
      <c r="AJ121" s="641">
        <v>0</v>
      </c>
      <c r="AK121" s="643">
        <v>351.08290759236166</v>
      </c>
    </row>
    <row r="122" spans="3:37" x14ac:dyDescent="0.2">
      <c r="C122" s="639" t="s">
        <v>61</v>
      </c>
      <c r="D122" s="640">
        <v>0</v>
      </c>
      <c r="E122" s="641">
        <v>0</v>
      </c>
      <c r="F122" s="641">
        <v>0</v>
      </c>
      <c r="G122" s="640">
        <v>0</v>
      </c>
      <c r="H122" s="641">
        <v>0</v>
      </c>
      <c r="I122" s="641">
        <v>0</v>
      </c>
      <c r="J122" s="641">
        <v>0</v>
      </c>
      <c r="K122" s="641">
        <v>0</v>
      </c>
      <c r="L122" s="641">
        <v>0</v>
      </c>
      <c r="M122" s="641">
        <v>0</v>
      </c>
      <c r="N122" s="641">
        <v>0</v>
      </c>
      <c r="O122" s="641">
        <v>0</v>
      </c>
      <c r="P122" s="642">
        <v>-22.391147784534837</v>
      </c>
      <c r="Q122" s="641">
        <v>0</v>
      </c>
      <c r="R122" s="641">
        <v>0</v>
      </c>
      <c r="S122" s="643">
        <v>-22.391147784534837</v>
      </c>
      <c r="U122" s="639" t="s">
        <v>61</v>
      </c>
      <c r="V122" s="640">
        <v>0</v>
      </c>
      <c r="W122" s="641">
        <v>0</v>
      </c>
      <c r="X122" s="641">
        <v>-19.691193817618341</v>
      </c>
      <c r="Y122" s="640">
        <v>0</v>
      </c>
      <c r="Z122" s="641">
        <v>0</v>
      </c>
      <c r="AA122" s="641">
        <v>0</v>
      </c>
      <c r="AB122" s="641">
        <v>0</v>
      </c>
      <c r="AC122" s="641">
        <v>0</v>
      </c>
      <c r="AD122" s="641">
        <v>0</v>
      </c>
      <c r="AE122" s="641">
        <v>0</v>
      </c>
      <c r="AF122" s="641">
        <v>0</v>
      </c>
      <c r="AG122" s="641">
        <v>0</v>
      </c>
      <c r="AH122" s="642">
        <v>-17.389600315785174</v>
      </c>
      <c r="AI122" s="641">
        <v>0</v>
      </c>
      <c r="AJ122" s="641">
        <v>0</v>
      </c>
      <c r="AK122" s="643">
        <v>-37.080794133403515</v>
      </c>
    </row>
    <row r="123" spans="3:37" x14ac:dyDescent="0.2">
      <c r="C123" s="639" t="s">
        <v>62</v>
      </c>
      <c r="D123" s="640">
        <v>0</v>
      </c>
      <c r="E123" s="641">
        <v>0</v>
      </c>
      <c r="F123" s="641">
        <v>-15.496739011683466</v>
      </c>
      <c r="G123" s="640">
        <v>0</v>
      </c>
      <c r="H123" s="641">
        <v>0</v>
      </c>
      <c r="I123" s="641">
        <v>0</v>
      </c>
      <c r="J123" s="641">
        <v>0</v>
      </c>
      <c r="K123" s="641">
        <v>0</v>
      </c>
      <c r="L123" s="641">
        <v>0</v>
      </c>
      <c r="M123" s="641">
        <v>0</v>
      </c>
      <c r="N123" s="641">
        <v>0</v>
      </c>
      <c r="O123" s="641">
        <v>0</v>
      </c>
      <c r="P123" s="642">
        <v>0</v>
      </c>
      <c r="Q123" s="641">
        <v>0</v>
      </c>
      <c r="R123" s="641">
        <v>0</v>
      </c>
      <c r="S123" s="643">
        <v>-15.496739011683466</v>
      </c>
      <c r="U123" s="639" t="s">
        <v>62</v>
      </c>
      <c r="V123" s="640">
        <v>0</v>
      </c>
      <c r="W123" s="641">
        <v>0</v>
      </c>
      <c r="X123" s="641">
        <v>-8.5387827474702789</v>
      </c>
      <c r="Y123" s="640">
        <v>-2.2272473327152178</v>
      </c>
      <c r="Z123" s="641">
        <v>0</v>
      </c>
      <c r="AA123" s="641">
        <v>0</v>
      </c>
      <c r="AB123" s="641">
        <v>0</v>
      </c>
      <c r="AC123" s="641">
        <v>0</v>
      </c>
      <c r="AD123" s="641">
        <v>0</v>
      </c>
      <c r="AE123" s="641">
        <v>-1.7037211969591732</v>
      </c>
      <c r="AF123" s="641">
        <v>0</v>
      </c>
      <c r="AG123" s="641">
        <v>0</v>
      </c>
      <c r="AH123" s="642">
        <v>0</v>
      </c>
      <c r="AI123" s="641">
        <v>0</v>
      </c>
      <c r="AJ123" s="641">
        <v>0</v>
      </c>
      <c r="AK123" s="643">
        <v>-12.46975127714467</v>
      </c>
    </row>
    <row r="124" spans="3:37" x14ac:dyDescent="0.2">
      <c r="C124" s="639" t="s">
        <v>63</v>
      </c>
      <c r="D124" s="640">
        <v>0</v>
      </c>
      <c r="E124" s="641">
        <v>0</v>
      </c>
      <c r="F124" s="641">
        <v>-89.42656352071144</v>
      </c>
      <c r="G124" s="640">
        <v>0</v>
      </c>
      <c r="H124" s="641">
        <v>0</v>
      </c>
      <c r="I124" s="641">
        <v>0</v>
      </c>
      <c r="J124" s="641">
        <v>0</v>
      </c>
      <c r="K124" s="641">
        <v>0</v>
      </c>
      <c r="L124" s="641">
        <v>-0.92190198395554845</v>
      </c>
      <c r="M124" s="641">
        <v>0</v>
      </c>
      <c r="N124" s="641">
        <v>0</v>
      </c>
      <c r="O124" s="641">
        <v>0</v>
      </c>
      <c r="P124" s="642">
        <v>0</v>
      </c>
      <c r="Q124" s="641">
        <v>0</v>
      </c>
      <c r="R124" s="641">
        <v>0</v>
      </c>
      <c r="S124" s="643">
        <v>-90.34846550466699</v>
      </c>
      <c r="U124" s="639" t="s">
        <v>63</v>
      </c>
      <c r="V124" s="640">
        <v>0</v>
      </c>
      <c r="W124" s="641">
        <v>0</v>
      </c>
      <c r="X124" s="641">
        <v>-55.486888716289528</v>
      </c>
      <c r="Y124" s="640">
        <v>0</v>
      </c>
      <c r="Z124" s="641">
        <v>0</v>
      </c>
      <c r="AA124" s="641">
        <v>0</v>
      </c>
      <c r="AB124" s="641">
        <v>0</v>
      </c>
      <c r="AC124" s="641">
        <v>0</v>
      </c>
      <c r="AD124" s="641">
        <v>-26.575233608452013</v>
      </c>
      <c r="AE124" s="641">
        <v>0</v>
      </c>
      <c r="AF124" s="641">
        <v>0</v>
      </c>
      <c r="AG124" s="641">
        <v>0</v>
      </c>
      <c r="AH124" s="642">
        <v>0</v>
      </c>
      <c r="AI124" s="641">
        <v>0</v>
      </c>
      <c r="AJ124" s="641">
        <v>0</v>
      </c>
      <c r="AK124" s="643">
        <v>-82.062122324741537</v>
      </c>
    </row>
    <row r="125" spans="3:37" x14ac:dyDescent="0.2">
      <c r="C125" s="639" t="s">
        <v>64</v>
      </c>
      <c r="D125" s="640">
        <v>0</v>
      </c>
      <c r="E125" s="641">
        <v>0</v>
      </c>
      <c r="F125" s="641">
        <v>0</v>
      </c>
      <c r="G125" s="640">
        <v>0</v>
      </c>
      <c r="H125" s="641">
        <v>0</v>
      </c>
      <c r="I125" s="641">
        <v>0</v>
      </c>
      <c r="J125" s="641">
        <v>0</v>
      </c>
      <c r="K125" s="641">
        <v>0</v>
      </c>
      <c r="L125" s="641">
        <v>0</v>
      </c>
      <c r="M125" s="641">
        <v>0</v>
      </c>
      <c r="N125" s="641">
        <v>0</v>
      </c>
      <c r="O125" s="641">
        <v>0</v>
      </c>
      <c r="P125" s="642">
        <v>0</v>
      </c>
      <c r="Q125" s="641">
        <v>0</v>
      </c>
      <c r="R125" s="641">
        <v>0</v>
      </c>
      <c r="S125" s="643">
        <v>0</v>
      </c>
      <c r="U125" s="639" t="s">
        <v>64</v>
      </c>
      <c r="V125" s="640">
        <v>0</v>
      </c>
      <c r="W125" s="641">
        <v>0</v>
      </c>
      <c r="X125" s="641">
        <v>0</v>
      </c>
      <c r="Y125" s="640">
        <v>0</v>
      </c>
      <c r="Z125" s="641">
        <v>0</v>
      </c>
      <c r="AA125" s="641">
        <v>0</v>
      </c>
      <c r="AB125" s="641">
        <v>0</v>
      </c>
      <c r="AC125" s="641">
        <v>0</v>
      </c>
      <c r="AD125" s="641">
        <v>0</v>
      </c>
      <c r="AE125" s="641">
        <v>0</v>
      </c>
      <c r="AF125" s="641">
        <v>0</v>
      </c>
      <c r="AG125" s="641">
        <v>0</v>
      </c>
      <c r="AH125" s="642">
        <v>0</v>
      </c>
      <c r="AI125" s="641">
        <v>0</v>
      </c>
      <c r="AJ125" s="641">
        <v>0</v>
      </c>
      <c r="AK125" s="643">
        <v>0</v>
      </c>
    </row>
    <row r="126" spans="3:37" x14ac:dyDescent="0.2">
      <c r="C126" s="644" t="s">
        <v>65</v>
      </c>
      <c r="D126" s="645">
        <v>47.523331421865407</v>
      </c>
      <c r="E126" s="645">
        <v>492.37419513671523</v>
      </c>
      <c r="F126" s="645">
        <v>-47.570976452143519</v>
      </c>
      <c r="G126" s="645">
        <v>328.8885225556333</v>
      </c>
      <c r="H126" s="645">
        <v>889.54545454545473</v>
      </c>
      <c r="I126" s="645">
        <v>290.38619522472999</v>
      </c>
      <c r="J126" s="645">
        <v>193.07216990727574</v>
      </c>
      <c r="K126" s="645">
        <v>20.519346122490408</v>
      </c>
      <c r="L126" s="645">
        <v>2.247505888118404</v>
      </c>
      <c r="M126" s="645">
        <v>0.15914693380563083</v>
      </c>
      <c r="N126" s="645">
        <v>65.898689554178929</v>
      </c>
      <c r="O126" s="645">
        <v>11.930124482632028</v>
      </c>
      <c r="P126" s="645">
        <v>-22.391147784534837</v>
      </c>
      <c r="Q126" s="645">
        <v>0</v>
      </c>
      <c r="R126" s="645">
        <v>0</v>
      </c>
      <c r="S126" s="645">
        <v>2272.5825575362214</v>
      </c>
      <c r="U126" s="644" t="s">
        <v>65</v>
      </c>
      <c r="V126" s="645">
        <v>6.5260336126681251</v>
      </c>
      <c r="W126" s="645">
        <v>220.47790015098695</v>
      </c>
      <c r="X126" s="645">
        <v>-69.203009096012792</v>
      </c>
      <c r="Y126" s="645">
        <v>99.907420185209077</v>
      </c>
      <c r="Z126" s="645">
        <v>873.030303030303</v>
      </c>
      <c r="AA126" s="645">
        <v>337.06619522473</v>
      </c>
      <c r="AB126" s="645">
        <v>210.96242530283007</v>
      </c>
      <c r="AC126" s="645">
        <v>37.137182251794961</v>
      </c>
      <c r="AD126" s="645">
        <v>-23.405825736378059</v>
      </c>
      <c r="AE126" s="645">
        <v>-1.5445742631535424</v>
      </c>
      <c r="AF126" s="645">
        <v>103.02458403584798</v>
      </c>
      <c r="AG126" s="645">
        <v>25.833176078824131</v>
      </c>
      <c r="AH126" s="645">
        <v>-17.389600315785174</v>
      </c>
      <c r="AI126" s="645">
        <v>0</v>
      </c>
      <c r="AJ126" s="645">
        <v>0</v>
      </c>
      <c r="AK126" s="645">
        <v>1802.4222104618648</v>
      </c>
    </row>
    <row r="127" spans="3:37" x14ac:dyDescent="0.2">
      <c r="C127" s="634"/>
      <c r="D127" s="634">
        <v>0</v>
      </c>
      <c r="E127" s="634">
        <v>0</v>
      </c>
      <c r="F127" s="634">
        <v>0</v>
      </c>
      <c r="G127" s="634">
        <v>0</v>
      </c>
      <c r="H127" s="634">
        <v>0</v>
      </c>
      <c r="I127" s="634">
        <v>0</v>
      </c>
      <c r="J127" s="634">
        <v>0</v>
      </c>
      <c r="K127" s="634">
        <v>0</v>
      </c>
      <c r="L127" s="634">
        <v>0</v>
      </c>
      <c r="M127" s="634">
        <v>0</v>
      </c>
      <c r="N127" s="634">
        <v>0</v>
      </c>
      <c r="O127" s="634">
        <v>0</v>
      </c>
      <c r="P127" s="634">
        <v>0</v>
      </c>
      <c r="Q127" s="634">
        <v>0</v>
      </c>
      <c r="R127" s="634">
        <v>0</v>
      </c>
      <c r="S127" s="634">
        <v>0</v>
      </c>
      <c r="U127" s="634"/>
      <c r="V127" s="634">
        <v>0</v>
      </c>
      <c r="W127" s="634">
        <v>0</v>
      </c>
      <c r="X127" s="634">
        <v>0</v>
      </c>
      <c r="Y127" s="634">
        <v>0</v>
      </c>
      <c r="Z127" s="634">
        <v>0</v>
      </c>
      <c r="AA127" s="634">
        <v>0</v>
      </c>
      <c r="AB127" s="634">
        <v>0</v>
      </c>
      <c r="AC127" s="634">
        <v>0</v>
      </c>
      <c r="AD127" s="634">
        <v>0</v>
      </c>
      <c r="AE127" s="634">
        <v>0</v>
      </c>
      <c r="AF127" s="634">
        <v>0</v>
      </c>
      <c r="AG127" s="634">
        <v>0</v>
      </c>
      <c r="AH127" s="634">
        <v>0</v>
      </c>
      <c r="AI127" s="634">
        <v>0</v>
      </c>
      <c r="AJ127" s="634">
        <v>0</v>
      </c>
      <c r="AK127" s="634">
        <v>0</v>
      </c>
    </row>
    <row r="128" spans="3:37" x14ac:dyDescent="0.2">
      <c r="C128" s="646" t="s">
        <v>67</v>
      </c>
      <c r="D128" s="640">
        <v>0</v>
      </c>
      <c r="E128" s="647">
        <v>0</v>
      </c>
      <c r="F128" s="647">
        <v>0</v>
      </c>
      <c r="G128" s="640">
        <v>0</v>
      </c>
      <c r="H128" s="640">
        <v>0</v>
      </c>
      <c r="I128" s="640">
        <v>0</v>
      </c>
      <c r="J128" s="640">
        <v>0</v>
      </c>
      <c r="K128" s="640">
        <v>0</v>
      </c>
      <c r="L128" s="640">
        <v>0</v>
      </c>
      <c r="M128" s="640">
        <v>0</v>
      </c>
      <c r="N128" s="640">
        <v>0</v>
      </c>
      <c r="O128" s="640">
        <v>0</v>
      </c>
      <c r="P128" s="640">
        <v>0</v>
      </c>
      <c r="Q128" s="640">
        <v>0</v>
      </c>
      <c r="R128" s="640">
        <v>0</v>
      </c>
      <c r="S128" s="648">
        <v>0</v>
      </c>
      <c r="U128" s="646" t="s">
        <v>67</v>
      </c>
      <c r="V128" s="640">
        <v>0</v>
      </c>
      <c r="W128" s="647">
        <v>0</v>
      </c>
      <c r="X128" s="647">
        <v>0</v>
      </c>
      <c r="Y128" s="640">
        <v>0</v>
      </c>
      <c r="Z128" s="640">
        <v>0</v>
      </c>
      <c r="AA128" s="640">
        <v>0</v>
      </c>
      <c r="AB128" s="640">
        <v>0</v>
      </c>
      <c r="AC128" s="640">
        <v>0</v>
      </c>
      <c r="AD128" s="640">
        <v>0</v>
      </c>
      <c r="AE128" s="640">
        <v>0</v>
      </c>
      <c r="AF128" s="640">
        <v>0</v>
      </c>
      <c r="AG128" s="640">
        <v>0</v>
      </c>
      <c r="AH128" s="640">
        <v>0</v>
      </c>
      <c r="AI128" s="640">
        <v>0</v>
      </c>
      <c r="AJ128" s="640">
        <v>0</v>
      </c>
      <c r="AK128" s="648">
        <v>0</v>
      </c>
    </row>
    <row r="129" spans="3:37" x14ac:dyDescent="0.2">
      <c r="C129" s="646" t="s">
        <v>347</v>
      </c>
      <c r="D129" s="640">
        <v>2.8267856410252494</v>
      </c>
      <c r="E129" s="640">
        <v>0</v>
      </c>
      <c r="F129" s="640">
        <v>7.7625293209280457</v>
      </c>
      <c r="G129" s="640">
        <v>16.824034334763951</v>
      </c>
      <c r="H129" s="640">
        <v>889.54545454545473</v>
      </c>
      <c r="I129" s="640">
        <v>290.38619522472999</v>
      </c>
      <c r="J129" s="649">
        <v>29.234857813431841</v>
      </c>
      <c r="K129" s="649">
        <v>6.7467623730381456</v>
      </c>
      <c r="L129" s="649">
        <v>3.1694078720739522</v>
      </c>
      <c r="M129" s="649">
        <v>0.46915285357606595</v>
      </c>
      <c r="N129" s="649">
        <v>0</v>
      </c>
      <c r="O129" s="649">
        <v>6.9727309871777221</v>
      </c>
      <c r="P129" s="640">
        <v>-615.41357369902562</v>
      </c>
      <c r="Q129" s="640">
        <v>0</v>
      </c>
      <c r="R129" s="640">
        <v>0</v>
      </c>
      <c r="S129" s="648">
        <v>638.52433726717402</v>
      </c>
      <c r="U129" s="646" t="s">
        <v>347</v>
      </c>
      <c r="V129" s="640">
        <v>0.62631490545869017</v>
      </c>
      <c r="W129" s="640">
        <v>0</v>
      </c>
      <c r="X129" s="640">
        <v>3.8988929572916824</v>
      </c>
      <c r="Y129" s="640">
        <v>3.6741630901287547</v>
      </c>
      <c r="Z129" s="640">
        <v>873.030303030303</v>
      </c>
      <c r="AA129" s="640">
        <v>337.06619522473</v>
      </c>
      <c r="AB129" s="649">
        <v>23.429523439383615</v>
      </c>
      <c r="AC129" s="649">
        <v>5.4991881500691626</v>
      </c>
      <c r="AD129" s="649">
        <v>3.1694078720739522</v>
      </c>
      <c r="AE129" s="649">
        <v>2.7864060724601858</v>
      </c>
      <c r="AF129" s="649">
        <v>0</v>
      </c>
      <c r="AG129" s="649">
        <v>6.9727309871777221</v>
      </c>
      <c r="AH129" s="640">
        <v>-649.11357369902544</v>
      </c>
      <c r="AI129" s="640">
        <v>0</v>
      </c>
      <c r="AJ129" s="640">
        <v>4.45</v>
      </c>
      <c r="AK129" s="648">
        <v>615.48955203005141</v>
      </c>
    </row>
    <row r="130" spans="3:37" x14ac:dyDescent="0.2">
      <c r="C130" s="646" t="s">
        <v>348</v>
      </c>
      <c r="D130" s="640">
        <v>0</v>
      </c>
      <c r="E130" s="640">
        <v>0</v>
      </c>
      <c r="F130" s="640">
        <v>0</v>
      </c>
      <c r="G130" s="640">
        <v>14.896462034387394</v>
      </c>
      <c r="H130" s="640">
        <v>0</v>
      </c>
      <c r="I130" s="640">
        <v>0</v>
      </c>
      <c r="J130" s="649">
        <v>12.461036592610267</v>
      </c>
      <c r="K130" s="649">
        <v>11.927183871567582</v>
      </c>
      <c r="L130" s="649">
        <v>0</v>
      </c>
      <c r="M130" s="649">
        <v>0.3188738120209938</v>
      </c>
      <c r="N130" s="649">
        <v>0</v>
      </c>
      <c r="O130" s="649">
        <v>2.1085025260592274</v>
      </c>
      <c r="P130" s="640">
        <v>0</v>
      </c>
      <c r="Q130" s="640">
        <v>-37.934258390495422</v>
      </c>
      <c r="R130" s="640">
        <v>0</v>
      </c>
      <c r="S130" s="648">
        <v>3.7778004461500441</v>
      </c>
      <c r="U130" s="646" t="s">
        <v>348</v>
      </c>
      <c r="V130" s="640">
        <v>0</v>
      </c>
      <c r="W130" s="640">
        <v>0</v>
      </c>
      <c r="X130" s="640">
        <v>0</v>
      </c>
      <c r="Y130" s="640">
        <v>8.218662070491261</v>
      </c>
      <c r="Z130" s="640">
        <v>0</v>
      </c>
      <c r="AA130" s="640">
        <v>0</v>
      </c>
      <c r="AB130" s="649">
        <v>28.560818034272483</v>
      </c>
      <c r="AC130" s="649">
        <v>26.163217208510932</v>
      </c>
      <c r="AD130" s="649">
        <v>0</v>
      </c>
      <c r="AE130" s="649">
        <v>5.9663093303449024</v>
      </c>
      <c r="AF130" s="649">
        <v>0</v>
      </c>
      <c r="AG130" s="649">
        <v>11.832895483778962</v>
      </c>
      <c r="AH130" s="640">
        <v>0</v>
      </c>
      <c r="AI130" s="640">
        <v>-74.578675527513624</v>
      </c>
      <c r="AJ130" s="640">
        <v>0</v>
      </c>
      <c r="AK130" s="648">
        <v>6.1632265998849274</v>
      </c>
    </row>
    <row r="131" spans="3:37" x14ac:dyDescent="0.2">
      <c r="C131" s="646" t="s">
        <v>349</v>
      </c>
      <c r="D131" s="640">
        <v>0</v>
      </c>
      <c r="E131" s="640">
        <v>0</v>
      </c>
      <c r="F131" s="640">
        <v>0</v>
      </c>
      <c r="G131" s="640">
        <v>0</v>
      </c>
      <c r="H131" s="640">
        <v>0</v>
      </c>
      <c r="I131" s="640">
        <v>0</v>
      </c>
      <c r="J131" s="650">
        <v>6.9979956174374891</v>
      </c>
      <c r="K131" s="650">
        <v>0</v>
      </c>
      <c r="L131" s="650">
        <v>0</v>
      </c>
      <c r="M131" s="650">
        <v>-6.4748954450340372</v>
      </c>
      <c r="N131" s="650">
        <v>0</v>
      </c>
      <c r="O131" s="650">
        <v>0</v>
      </c>
      <c r="P131" s="640">
        <v>0</v>
      </c>
      <c r="Q131" s="640">
        <v>0</v>
      </c>
      <c r="R131" s="640">
        <v>0</v>
      </c>
      <c r="S131" s="648">
        <v>0.52310017240345186</v>
      </c>
      <c r="U131" s="646" t="s">
        <v>349</v>
      </c>
      <c r="V131" s="640">
        <v>0</v>
      </c>
      <c r="W131" s="640">
        <v>0</v>
      </c>
      <c r="X131" s="640">
        <v>0</v>
      </c>
      <c r="Y131" s="640">
        <v>0</v>
      </c>
      <c r="Z131" s="640">
        <v>0</v>
      </c>
      <c r="AA131" s="640">
        <v>0</v>
      </c>
      <c r="AB131" s="650">
        <v>79.198989478899776</v>
      </c>
      <c r="AC131" s="650">
        <v>0</v>
      </c>
      <c r="AD131" s="650">
        <v>0</v>
      </c>
      <c r="AE131" s="650">
        <v>-73.278865015352025</v>
      </c>
      <c r="AF131" s="650">
        <v>0</v>
      </c>
      <c r="AG131" s="650">
        <v>0</v>
      </c>
      <c r="AH131" s="640">
        <v>0</v>
      </c>
      <c r="AI131" s="640">
        <v>0</v>
      </c>
      <c r="AJ131" s="640">
        <v>0</v>
      </c>
      <c r="AK131" s="648">
        <v>5.9201244635477508</v>
      </c>
    </row>
    <row r="132" spans="3:37" x14ac:dyDescent="0.2">
      <c r="C132" s="646" t="s">
        <v>350</v>
      </c>
      <c r="D132" s="640">
        <v>0</v>
      </c>
      <c r="E132" s="640">
        <v>0</v>
      </c>
      <c r="F132" s="640">
        <v>0</v>
      </c>
      <c r="G132" s="640">
        <v>0</v>
      </c>
      <c r="H132" s="640">
        <v>0</v>
      </c>
      <c r="I132" s="640">
        <v>0</v>
      </c>
      <c r="J132" s="640">
        <v>0</v>
      </c>
      <c r="K132" s="640">
        <v>0</v>
      </c>
      <c r="L132" s="640">
        <v>0</v>
      </c>
      <c r="M132" s="640">
        <v>0</v>
      </c>
      <c r="N132" s="640">
        <v>0</v>
      </c>
      <c r="O132" s="640">
        <v>0</v>
      </c>
      <c r="P132" s="640">
        <v>0</v>
      </c>
      <c r="Q132" s="640">
        <v>0</v>
      </c>
      <c r="R132" s="640">
        <v>0</v>
      </c>
      <c r="S132" s="648">
        <v>0</v>
      </c>
      <c r="U132" s="646" t="s">
        <v>350</v>
      </c>
      <c r="V132" s="640">
        <v>0</v>
      </c>
      <c r="W132" s="640">
        <v>0</v>
      </c>
      <c r="X132" s="640">
        <v>0</v>
      </c>
      <c r="Y132" s="640">
        <v>0</v>
      </c>
      <c r="Z132" s="640">
        <v>0</v>
      </c>
      <c r="AA132" s="640">
        <v>0</v>
      </c>
      <c r="AB132" s="640">
        <v>0</v>
      </c>
      <c r="AC132" s="640">
        <v>0</v>
      </c>
      <c r="AD132" s="640">
        <v>0</v>
      </c>
      <c r="AE132" s="640">
        <v>0</v>
      </c>
      <c r="AF132" s="640">
        <v>0</v>
      </c>
      <c r="AG132" s="640">
        <v>0</v>
      </c>
      <c r="AH132" s="640">
        <v>0</v>
      </c>
      <c r="AI132" s="640">
        <v>0</v>
      </c>
      <c r="AJ132" s="640">
        <v>0</v>
      </c>
      <c r="AK132" s="648">
        <v>0</v>
      </c>
    </row>
    <row r="133" spans="3:37" x14ac:dyDescent="0.2">
      <c r="C133" s="646" t="s">
        <v>72</v>
      </c>
      <c r="D133" s="640">
        <v>0</v>
      </c>
      <c r="E133" s="640">
        <v>510.04733530503466</v>
      </c>
      <c r="F133" s="640">
        <v>-504.94686195198432</v>
      </c>
      <c r="G133" s="640">
        <v>0</v>
      </c>
      <c r="H133" s="640">
        <v>0</v>
      </c>
      <c r="I133" s="640">
        <v>0</v>
      </c>
      <c r="J133" s="640">
        <v>0</v>
      </c>
      <c r="K133" s="640">
        <v>0</v>
      </c>
      <c r="L133" s="640">
        <v>0</v>
      </c>
      <c r="M133" s="640">
        <v>0</v>
      </c>
      <c r="N133" s="640">
        <v>0</v>
      </c>
      <c r="O133" s="640">
        <v>0</v>
      </c>
      <c r="P133" s="640">
        <v>0</v>
      </c>
      <c r="Q133" s="640">
        <v>0</v>
      </c>
      <c r="R133" s="640">
        <v>0</v>
      </c>
      <c r="S133" s="648">
        <v>5.1004733530503472</v>
      </c>
      <c r="U133" s="646" t="s">
        <v>72</v>
      </c>
      <c r="V133" s="640">
        <v>0</v>
      </c>
      <c r="W133" s="640">
        <v>228.3916715709193</v>
      </c>
      <c r="X133" s="640">
        <v>-226.10775485521012</v>
      </c>
      <c r="Y133" s="640">
        <v>0</v>
      </c>
      <c r="Z133" s="640">
        <v>0</v>
      </c>
      <c r="AA133" s="640">
        <v>0</v>
      </c>
      <c r="AB133" s="640">
        <v>0</v>
      </c>
      <c r="AC133" s="640">
        <v>0</v>
      </c>
      <c r="AD133" s="640">
        <v>0</v>
      </c>
      <c r="AE133" s="640">
        <v>0</v>
      </c>
      <c r="AF133" s="640">
        <v>0</v>
      </c>
      <c r="AG133" s="640">
        <v>0</v>
      </c>
      <c r="AH133" s="640">
        <v>0</v>
      </c>
      <c r="AI133" s="640">
        <v>0</v>
      </c>
      <c r="AJ133" s="640">
        <v>0</v>
      </c>
      <c r="AK133" s="648">
        <v>2.2839167157091822</v>
      </c>
    </row>
    <row r="134" spans="3:37" x14ac:dyDescent="0.2">
      <c r="C134" s="646" t="s">
        <v>351</v>
      </c>
      <c r="D134" s="640">
        <v>0</v>
      </c>
      <c r="E134" s="640">
        <v>0</v>
      </c>
      <c r="F134" s="640">
        <v>0</v>
      </c>
      <c r="G134" s="640">
        <v>0</v>
      </c>
      <c r="H134" s="640">
        <v>0</v>
      </c>
      <c r="I134" s="640">
        <v>0</v>
      </c>
      <c r="J134" s="640">
        <v>27.710201800923624</v>
      </c>
      <c r="K134" s="640">
        <v>0</v>
      </c>
      <c r="L134" s="640">
        <v>-27.710201800923624</v>
      </c>
      <c r="M134" s="640">
        <v>0</v>
      </c>
      <c r="N134" s="640">
        <v>0</v>
      </c>
      <c r="O134" s="640">
        <v>0</v>
      </c>
      <c r="P134" s="640">
        <v>0</v>
      </c>
      <c r="Q134" s="640">
        <v>0</v>
      </c>
      <c r="R134" s="640">
        <v>0</v>
      </c>
      <c r="S134" s="648">
        <v>0</v>
      </c>
      <c r="U134" s="646" t="s">
        <v>351</v>
      </c>
      <c r="V134" s="640">
        <v>0</v>
      </c>
      <c r="W134" s="640">
        <v>0</v>
      </c>
      <c r="X134" s="640">
        <v>0</v>
      </c>
      <c r="Y134" s="640">
        <v>0</v>
      </c>
      <c r="Z134" s="640">
        <v>0</v>
      </c>
      <c r="AA134" s="640">
        <v>0</v>
      </c>
      <c r="AB134" s="640" t="e">
        <v>#VALUE!</v>
      </c>
      <c r="AC134" s="640">
        <v>0</v>
      </c>
      <c r="AD134" s="640">
        <v>-101.17003146857277</v>
      </c>
      <c r="AE134" s="640">
        <v>0</v>
      </c>
      <c r="AF134" s="640">
        <v>0</v>
      </c>
      <c r="AG134" s="640">
        <v>0</v>
      </c>
      <c r="AH134" s="640">
        <v>0</v>
      </c>
      <c r="AI134" s="640">
        <v>0</v>
      </c>
      <c r="AJ134" s="640">
        <v>0</v>
      </c>
      <c r="AK134" s="648">
        <v>-101.17003146857277</v>
      </c>
    </row>
    <row r="135" spans="3:37" x14ac:dyDescent="0.2">
      <c r="C135" s="646" t="s">
        <v>352</v>
      </c>
      <c r="D135" s="640">
        <v>0</v>
      </c>
      <c r="E135" s="640">
        <v>0</v>
      </c>
      <c r="F135" s="640">
        <v>0</v>
      </c>
      <c r="G135" s="640">
        <v>0</v>
      </c>
      <c r="H135" s="640">
        <v>0</v>
      </c>
      <c r="I135" s="640">
        <v>0</v>
      </c>
      <c r="J135" s="640">
        <v>0</v>
      </c>
      <c r="K135" s="640">
        <v>0</v>
      </c>
      <c r="L135" s="640">
        <v>0</v>
      </c>
      <c r="M135" s="640">
        <v>0</v>
      </c>
      <c r="N135" s="640">
        <v>0</v>
      </c>
      <c r="O135" s="640">
        <v>0</v>
      </c>
      <c r="P135" s="640">
        <v>0</v>
      </c>
      <c r="Q135" s="640">
        <v>0</v>
      </c>
      <c r="R135" s="640">
        <v>0</v>
      </c>
      <c r="S135" s="648">
        <v>0</v>
      </c>
      <c r="U135" s="646" t="s">
        <v>352</v>
      </c>
      <c r="V135" s="640">
        <v>0</v>
      </c>
      <c r="W135" s="640">
        <v>0</v>
      </c>
      <c r="X135" s="640">
        <v>0</v>
      </c>
      <c r="Y135" s="640">
        <v>0</v>
      </c>
      <c r="Z135" s="640">
        <v>0</v>
      </c>
      <c r="AA135" s="640">
        <v>0</v>
      </c>
      <c r="AB135" s="640">
        <v>0</v>
      </c>
      <c r="AC135" s="640">
        <v>0</v>
      </c>
      <c r="AD135" s="640">
        <v>-18.691082885283098</v>
      </c>
      <c r="AE135" s="640">
        <v>0</v>
      </c>
      <c r="AF135" s="640">
        <v>0</v>
      </c>
      <c r="AG135" s="640">
        <v>0</v>
      </c>
      <c r="AH135" s="640">
        <v>0</v>
      </c>
      <c r="AI135" s="640">
        <v>0</v>
      </c>
      <c r="AJ135" s="640">
        <v>0</v>
      </c>
      <c r="AK135" s="648">
        <v>-18.691082885283098</v>
      </c>
    </row>
    <row r="136" spans="3:37" x14ac:dyDescent="0.2">
      <c r="C136" s="646" t="s">
        <v>73</v>
      </c>
      <c r="D136" s="640">
        <v>0</v>
      </c>
      <c r="E136" s="640">
        <v>0</v>
      </c>
      <c r="F136" s="640">
        <v>0</v>
      </c>
      <c r="G136" s="640">
        <v>6.2864428714474423</v>
      </c>
      <c r="H136" s="640">
        <v>0</v>
      </c>
      <c r="I136" s="640">
        <v>0</v>
      </c>
      <c r="J136" s="640">
        <v>0</v>
      </c>
      <c r="K136" s="640">
        <v>7.2564905248031233E-2</v>
      </c>
      <c r="L136" s="640">
        <v>0</v>
      </c>
      <c r="M136" s="640">
        <v>0.12829475247851924</v>
      </c>
      <c r="N136" s="640">
        <v>0</v>
      </c>
      <c r="O136" s="640">
        <v>0</v>
      </c>
      <c r="P136" s="640">
        <v>0.77416476914506349</v>
      </c>
      <c r="Q136" s="640">
        <v>0</v>
      </c>
      <c r="R136" s="640">
        <v>-5.0795433673621861</v>
      </c>
      <c r="S136" s="648">
        <v>2.1819239309568701</v>
      </c>
      <c r="U136" s="646" t="s">
        <v>73</v>
      </c>
      <c r="V136" s="640">
        <v>0</v>
      </c>
      <c r="W136" s="640">
        <v>0</v>
      </c>
      <c r="X136" s="640">
        <v>0</v>
      </c>
      <c r="Y136" s="640">
        <v>3.7837340239051791</v>
      </c>
      <c r="Z136" s="640">
        <v>0</v>
      </c>
      <c r="AA136" s="640">
        <v>0</v>
      </c>
      <c r="AB136" s="640">
        <v>0</v>
      </c>
      <c r="AC136" s="640">
        <v>0.46597709654004676</v>
      </c>
      <c r="AD136" s="640">
        <v>0</v>
      </c>
      <c r="AE136" s="640">
        <v>2.7399453276554748</v>
      </c>
      <c r="AF136" s="640">
        <v>0</v>
      </c>
      <c r="AG136" s="640">
        <v>0</v>
      </c>
      <c r="AH136" s="640">
        <v>39.864323859285086</v>
      </c>
      <c r="AI136" s="640">
        <v>0</v>
      </c>
      <c r="AJ136" s="640">
        <v>-32.618396757803268</v>
      </c>
      <c r="AK136" s="648">
        <v>14.235583549582522</v>
      </c>
    </row>
    <row r="137" spans="3:37" x14ac:dyDescent="0.2">
      <c r="C137" s="646" t="s">
        <v>353</v>
      </c>
      <c r="D137" s="640">
        <v>28.588592812499996</v>
      </c>
      <c r="E137" s="640">
        <v>-17.673140168319453</v>
      </c>
      <c r="F137" s="640">
        <v>23.11542347254851</v>
      </c>
      <c r="G137" s="640">
        <v>0</v>
      </c>
      <c r="H137" s="640">
        <v>0</v>
      </c>
      <c r="I137" s="640">
        <v>0</v>
      </c>
      <c r="J137" s="640">
        <v>0</v>
      </c>
      <c r="K137" s="640">
        <v>0</v>
      </c>
      <c r="L137" s="640">
        <v>0</v>
      </c>
      <c r="M137" s="640">
        <v>0</v>
      </c>
      <c r="N137" s="640">
        <v>0</v>
      </c>
      <c r="O137" s="640">
        <v>0</v>
      </c>
      <c r="P137" s="640">
        <v>0</v>
      </c>
      <c r="Q137" s="640">
        <v>0</v>
      </c>
      <c r="R137" s="640">
        <v>0</v>
      </c>
      <c r="S137" s="648">
        <v>34.030876116729054</v>
      </c>
      <c r="U137" s="646" t="s">
        <v>353</v>
      </c>
      <c r="V137" s="640">
        <v>1.7459712219238281</v>
      </c>
      <c r="W137" s="640">
        <v>-7.9137714199323552</v>
      </c>
      <c r="X137" s="640">
        <v>10.35074558875537</v>
      </c>
      <c r="Y137" s="640">
        <v>0</v>
      </c>
      <c r="Z137" s="640">
        <v>0</v>
      </c>
      <c r="AA137" s="640">
        <v>0</v>
      </c>
      <c r="AB137" s="640">
        <v>0</v>
      </c>
      <c r="AC137" s="640">
        <v>0</v>
      </c>
      <c r="AD137" s="640">
        <v>0</v>
      </c>
      <c r="AE137" s="640">
        <v>0</v>
      </c>
      <c r="AF137" s="640">
        <v>0</v>
      </c>
      <c r="AG137" s="640">
        <v>0</v>
      </c>
      <c r="AH137" s="640">
        <v>0</v>
      </c>
      <c r="AI137" s="640">
        <v>0</v>
      </c>
      <c r="AJ137" s="640">
        <v>0</v>
      </c>
      <c r="AK137" s="648">
        <v>4.182945390746843</v>
      </c>
    </row>
    <row r="138" spans="3:37" x14ac:dyDescent="0.2">
      <c r="C138" s="646" t="s">
        <v>75</v>
      </c>
      <c r="D138" s="640">
        <v>11.11778609375</v>
      </c>
      <c r="E138" s="640">
        <v>0</v>
      </c>
      <c r="F138" s="640">
        <v>17.34160940037118</v>
      </c>
      <c r="G138" s="640">
        <v>4.9484792471294465</v>
      </c>
      <c r="H138" s="640">
        <v>0</v>
      </c>
      <c r="I138" s="640">
        <v>0</v>
      </c>
      <c r="J138" s="640">
        <v>0</v>
      </c>
      <c r="K138" s="640">
        <v>0</v>
      </c>
      <c r="L138" s="640">
        <v>0</v>
      </c>
      <c r="M138" s="640">
        <v>0.10098937239039688</v>
      </c>
      <c r="N138" s="640">
        <v>0</v>
      </c>
      <c r="O138" s="640">
        <v>0</v>
      </c>
      <c r="P138" s="640">
        <v>29.08691491128284</v>
      </c>
      <c r="Q138" s="640">
        <v>0</v>
      </c>
      <c r="R138" s="640">
        <v>0</v>
      </c>
      <c r="S138" s="648">
        <v>62.595779024923864</v>
      </c>
      <c r="U138" s="646" t="s">
        <v>75</v>
      </c>
      <c r="V138" s="640">
        <v>2.938742431640625</v>
      </c>
      <c r="W138" s="640">
        <v>0</v>
      </c>
      <c r="X138" s="640">
        <v>17.34160940037118</v>
      </c>
      <c r="Y138" s="640">
        <v>2.9286917993215091</v>
      </c>
      <c r="Z138" s="640">
        <v>0</v>
      </c>
      <c r="AA138" s="640">
        <v>0</v>
      </c>
      <c r="AB138" s="640">
        <v>0</v>
      </c>
      <c r="AC138" s="640">
        <v>0</v>
      </c>
      <c r="AD138" s="640">
        <v>0</v>
      </c>
      <c r="AE138" s="640">
        <v>2.1207768201983344</v>
      </c>
      <c r="AF138" s="640">
        <v>0</v>
      </c>
      <c r="AG138" s="640">
        <v>0</v>
      </c>
      <c r="AH138" s="640">
        <v>36.505051274919204</v>
      </c>
      <c r="AI138" s="640">
        <v>0</v>
      </c>
      <c r="AJ138" s="640">
        <v>0</v>
      </c>
      <c r="AK138" s="648">
        <v>61.834871726450849</v>
      </c>
    </row>
    <row r="139" spans="3:37" x14ac:dyDescent="0.2">
      <c r="C139" s="646" t="s">
        <v>76</v>
      </c>
      <c r="D139" s="640">
        <v>0</v>
      </c>
      <c r="E139" s="640">
        <v>0</v>
      </c>
      <c r="F139" s="640">
        <v>0</v>
      </c>
      <c r="G139" s="640">
        <v>3.7620934008695794</v>
      </c>
      <c r="H139" s="640">
        <v>0</v>
      </c>
      <c r="I139" s="640">
        <v>0</v>
      </c>
      <c r="J139" s="640">
        <v>0</v>
      </c>
      <c r="K139" s="640">
        <v>0</v>
      </c>
      <c r="L139" s="640">
        <v>0</v>
      </c>
      <c r="M139" s="640">
        <v>7.6777416344277136E-2</v>
      </c>
      <c r="N139" s="640">
        <v>0</v>
      </c>
      <c r="O139" s="640">
        <v>0</v>
      </c>
      <c r="P139" s="640">
        <v>45.374638558517056</v>
      </c>
      <c r="Q139" s="640">
        <v>2.9442994019327013</v>
      </c>
      <c r="R139" s="640">
        <v>0</v>
      </c>
      <c r="S139" s="648">
        <v>52.157808777663611</v>
      </c>
      <c r="U139" s="646" t="s">
        <v>76</v>
      </c>
      <c r="V139" s="640">
        <v>0</v>
      </c>
      <c r="W139" s="640">
        <v>0</v>
      </c>
      <c r="X139" s="640">
        <v>0</v>
      </c>
      <c r="Y139" s="640">
        <v>1.1999362424874132</v>
      </c>
      <c r="Z139" s="640">
        <v>0</v>
      </c>
      <c r="AA139" s="640">
        <v>0</v>
      </c>
      <c r="AB139" s="640">
        <v>0</v>
      </c>
      <c r="AC139" s="640">
        <v>0</v>
      </c>
      <c r="AD139" s="640">
        <v>0</v>
      </c>
      <c r="AE139" s="640">
        <v>0.86891934800812698</v>
      </c>
      <c r="AF139" s="640">
        <v>0</v>
      </c>
      <c r="AG139" s="640">
        <v>0</v>
      </c>
      <c r="AH139" s="640">
        <v>48.340685132761017</v>
      </c>
      <c r="AI139" s="640">
        <v>5.7839036819230412</v>
      </c>
      <c r="AJ139" s="640">
        <v>0</v>
      </c>
      <c r="AK139" s="648">
        <v>56.193444405179591</v>
      </c>
    </row>
    <row r="140" spans="3:37" x14ac:dyDescent="0.2">
      <c r="C140" s="644" t="s">
        <v>77</v>
      </c>
      <c r="D140" s="645">
        <v>42.533164547275248</v>
      </c>
      <c r="E140" s="645">
        <v>492.37419513671523</v>
      </c>
      <c r="F140" s="645">
        <v>-456.72729975813655</v>
      </c>
      <c r="G140" s="645">
        <v>46.717511888597819</v>
      </c>
      <c r="H140" s="645">
        <v>889.54545454545473</v>
      </c>
      <c r="I140" s="645">
        <v>290.38619522472999</v>
      </c>
      <c r="J140" s="645">
        <v>76.404091824403224</v>
      </c>
      <c r="K140" s="645">
        <v>18.74651114985376</v>
      </c>
      <c r="L140" s="645">
        <v>-24.540793928849673</v>
      </c>
      <c r="M140" s="645">
        <v>-5.3808072382237846</v>
      </c>
      <c r="N140" s="645">
        <v>0</v>
      </c>
      <c r="O140" s="645">
        <v>9.0812335132369491</v>
      </c>
      <c r="P140" s="645">
        <v>-540.17785546008065</v>
      </c>
      <c r="Q140" s="645">
        <v>-34.989958988562719</v>
      </c>
      <c r="R140" s="645">
        <v>-5.0795433673621861</v>
      </c>
      <c r="S140" s="645">
        <v>798.89209908905127</v>
      </c>
      <c r="U140" s="644" t="s">
        <v>77</v>
      </c>
      <c r="V140" s="645">
        <v>5.3110285590231427</v>
      </c>
      <c r="W140" s="645">
        <v>220.47790015098695</v>
      </c>
      <c r="X140" s="645">
        <v>-194.51650690879191</v>
      </c>
      <c r="Y140" s="645">
        <v>19.805187226334116</v>
      </c>
      <c r="Z140" s="645">
        <v>873.030303030303</v>
      </c>
      <c r="AA140" s="645">
        <v>337.06619522473</v>
      </c>
      <c r="AB140" s="645">
        <v>131.18933095255588</v>
      </c>
      <c r="AC140" s="645">
        <v>32.128382455120146</v>
      </c>
      <c r="AD140" s="645">
        <v>-116.69170648178192</v>
      </c>
      <c r="AE140" s="645">
        <v>-58.796508116684997</v>
      </c>
      <c r="AF140" s="645">
        <v>0</v>
      </c>
      <c r="AG140" s="645">
        <v>18.805626470956682</v>
      </c>
      <c r="AH140" s="645">
        <v>-524.40351343206009</v>
      </c>
      <c r="AI140" s="645">
        <v>-68.794771845590574</v>
      </c>
      <c r="AJ140" s="645">
        <v>-28.168396757803269</v>
      </c>
      <c r="AK140" s="645">
        <v>646.44255052729716</v>
      </c>
    </row>
    <row r="141" spans="3:37" x14ac:dyDescent="0.2">
      <c r="C141" s="634"/>
      <c r="D141" s="634">
        <v>0</v>
      </c>
      <c r="E141" s="634">
        <v>0</v>
      </c>
      <c r="F141" s="634">
        <v>0</v>
      </c>
      <c r="G141" s="634">
        <v>0</v>
      </c>
      <c r="H141" s="634">
        <v>0</v>
      </c>
      <c r="I141" s="634">
        <v>0</v>
      </c>
      <c r="J141" s="634">
        <v>0</v>
      </c>
      <c r="K141" s="634">
        <v>0</v>
      </c>
      <c r="L141" s="634">
        <v>0</v>
      </c>
      <c r="M141" s="634">
        <v>0</v>
      </c>
      <c r="N141" s="634">
        <v>0</v>
      </c>
      <c r="O141" s="634">
        <v>0</v>
      </c>
      <c r="P141" s="634">
        <v>0</v>
      </c>
      <c r="Q141" s="634">
        <v>0</v>
      </c>
      <c r="R141" s="634">
        <v>0</v>
      </c>
      <c r="S141" s="634">
        <v>0</v>
      </c>
      <c r="U141" s="634"/>
      <c r="V141" s="634">
        <v>0</v>
      </c>
      <c r="W141" s="634">
        <v>0</v>
      </c>
      <c r="X141" s="634">
        <v>0</v>
      </c>
      <c r="Y141" s="634">
        <v>0</v>
      </c>
      <c r="Z141" s="634">
        <v>0</v>
      </c>
      <c r="AA141" s="634">
        <v>0</v>
      </c>
      <c r="AB141" s="634">
        <v>0</v>
      </c>
      <c r="AC141" s="634">
        <v>0</v>
      </c>
      <c r="AD141" s="634">
        <v>0</v>
      </c>
      <c r="AE141" s="634">
        <v>0</v>
      </c>
      <c r="AF141" s="634">
        <v>0</v>
      </c>
      <c r="AG141" s="634">
        <v>0</v>
      </c>
      <c r="AH141" s="634">
        <v>0</v>
      </c>
      <c r="AI141" s="634">
        <v>0</v>
      </c>
      <c r="AJ141" s="634">
        <v>0</v>
      </c>
      <c r="AK141" s="634">
        <v>0</v>
      </c>
    </row>
    <row r="142" spans="3:37" x14ac:dyDescent="0.2">
      <c r="C142" s="646" t="s">
        <v>78</v>
      </c>
      <c r="D142" s="640">
        <v>4.9901668745901624</v>
      </c>
      <c r="E142" s="640">
        <v>0</v>
      </c>
      <c r="F142" s="640">
        <v>21.091530324656198</v>
      </c>
      <c r="G142" s="640">
        <v>96.151700548391091</v>
      </c>
      <c r="H142" s="640">
        <v>0</v>
      </c>
      <c r="I142" s="640">
        <v>0</v>
      </c>
      <c r="J142" s="640">
        <v>21.387862541024852</v>
      </c>
      <c r="K142" s="640">
        <v>1.7476152779545906</v>
      </c>
      <c r="L142" s="640">
        <v>0.94211085156249985</v>
      </c>
      <c r="M142" s="640">
        <v>1.9807569399951515</v>
      </c>
      <c r="N142" s="640">
        <v>0</v>
      </c>
      <c r="O142" s="640">
        <v>3.7669078281368638E-4</v>
      </c>
      <c r="P142" s="640">
        <v>112.73505933145552</v>
      </c>
      <c r="Q142" s="640">
        <v>16.12568637832603</v>
      </c>
      <c r="R142" s="640">
        <v>0.27920700073242188</v>
      </c>
      <c r="S142" s="648">
        <v>277.43207275947128</v>
      </c>
      <c r="U142" s="646" t="s">
        <v>78</v>
      </c>
      <c r="V142" s="640">
        <v>1.2150050536449819</v>
      </c>
      <c r="W142" s="640">
        <v>0</v>
      </c>
      <c r="X142" s="640">
        <v>6.016341039248414</v>
      </c>
      <c r="Y142" s="640">
        <v>39.709503776891196</v>
      </c>
      <c r="Z142" s="640">
        <v>0</v>
      </c>
      <c r="AA142" s="640">
        <v>0</v>
      </c>
      <c r="AB142" s="640">
        <v>15.202189846170386</v>
      </c>
      <c r="AC142" s="640">
        <v>4.9835801019927617</v>
      </c>
      <c r="AD142" s="640">
        <v>5.6103854980468748</v>
      </c>
      <c r="AE142" s="640">
        <v>28.773635244370734</v>
      </c>
      <c r="AF142" s="640">
        <v>0</v>
      </c>
      <c r="AG142" s="640">
        <v>3.7669078281368638E-4</v>
      </c>
      <c r="AH142" s="640">
        <v>146.07653830614987</v>
      </c>
      <c r="AI142" s="640">
        <v>23.647869298816833</v>
      </c>
      <c r="AJ142" s="640">
        <v>7.4826708984375001</v>
      </c>
      <c r="AK142" s="648">
        <v>278.71809575455239</v>
      </c>
    </row>
    <row r="143" spans="3:37" x14ac:dyDescent="0.2">
      <c r="C143" s="646" t="s">
        <v>79</v>
      </c>
      <c r="D143" s="640">
        <v>0</v>
      </c>
      <c r="E143" s="640">
        <v>0</v>
      </c>
      <c r="F143" s="640">
        <v>235.12748928743429</v>
      </c>
      <c r="G143" s="640">
        <v>31.099379517950805</v>
      </c>
      <c r="H143" s="640">
        <v>0</v>
      </c>
      <c r="I143" s="640">
        <v>0</v>
      </c>
      <c r="J143" s="640">
        <v>0</v>
      </c>
      <c r="K143" s="640">
        <v>0</v>
      </c>
      <c r="L143" s="640">
        <v>22.716725008445675</v>
      </c>
      <c r="M143" s="640">
        <v>0.63468121465205729</v>
      </c>
      <c r="N143" s="640">
        <v>0</v>
      </c>
      <c r="O143" s="640">
        <v>0</v>
      </c>
      <c r="P143" s="640">
        <v>68.565930798083699</v>
      </c>
      <c r="Q143" s="640">
        <v>0</v>
      </c>
      <c r="R143" s="640">
        <v>2.3844112104980786</v>
      </c>
      <c r="S143" s="648">
        <v>360.52861703706463</v>
      </c>
      <c r="U143" s="646" t="s">
        <v>79</v>
      </c>
      <c r="V143" s="640">
        <v>0</v>
      </c>
      <c r="W143" s="640">
        <v>0</v>
      </c>
      <c r="X143" s="640">
        <v>35.128929389637456</v>
      </c>
      <c r="Y143" s="640">
        <v>15.137064293513523</v>
      </c>
      <c r="Z143" s="640">
        <v>0</v>
      </c>
      <c r="AA143" s="640">
        <v>0</v>
      </c>
      <c r="AB143" s="640">
        <v>0</v>
      </c>
      <c r="AC143" s="640">
        <v>0</v>
      </c>
      <c r="AD143" s="640">
        <v>37.187580566982817</v>
      </c>
      <c r="AE143" s="640">
        <v>11.036020535724948</v>
      </c>
      <c r="AF143" s="640">
        <v>0</v>
      </c>
      <c r="AG143" s="640">
        <v>0</v>
      </c>
      <c r="AH143" s="640">
        <v>89.614524523742418</v>
      </c>
      <c r="AI143" s="640">
        <v>0</v>
      </c>
      <c r="AJ143" s="640">
        <v>5.6351763144479268</v>
      </c>
      <c r="AK143" s="648">
        <v>193.73929562404911</v>
      </c>
    </row>
    <row r="144" spans="3:37" x14ac:dyDescent="0.2">
      <c r="C144" s="646" t="s">
        <v>80</v>
      </c>
      <c r="D144" s="640">
        <v>0</v>
      </c>
      <c r="E144" s="640">
        <v>0</v>
      </c>
      <c r="F144" s="640">
        <v>13.724834206032371</v>
      </c>
      <c r="G144" s="640">
        <v>79.131512261322683</v>
      </c>
      <c r="H144" s="640">
        <v>0</v>
      </c>
      <c r="I144" s="640">
        <v>0</v>
      </c>
      <c r="J144" s="640">
        <v>87.797108848078949</v>
      </c>
      <c r="K144" s="640">
        <v>0</v>
      </c>
      <c r="L144" s="640">
        <v>0</v>
      </c>
      <c r="M144" s="640">
        <v>1.6149288216596467</v>
      </c>
      <c r="N144" s="640">
        <v>57.41835645436403</v>
      </c>
      <c r="O144" s="640">
        <v>2.0533643919476137</v>
      </c>
      <c r="P144" s="640">
        <v>189.45880926265392</v>
      </c>
      <c r="Q144" s="640">
        <v>15.417775800116472</v>
      </c>
      <c r="R144" s="640">
        <v>0</v>
      </c>
      <c r="S144" s="648">
        <v>446.61669004617568</v>
      </c>
      <c r="U144" s="646" t="s">
        <v>80</v>
      </c>
      <c r="V144" s="640">
        <v>0</v>
      </c>
      <c r="W144" s="640">
        <v>0</v>
      </c>
      <c r="X144" s="640">
        <v>1.0209129157283405</v>
      </c>
      <c r="Y144" s="640">
        <v>12.832027751754538</v>
      </c>
      <c r="Z144" s="640">
        <v>0</v>
      </c>
      <c r="AA144" s="640">
        <v>0</v>
      </c>
      <c r="AB144" s="640">
        <v>53.270322236782164</v>
      </c>
      <c r="AC144" s="640">
        <v>0</v>
      </c>
      <c r="AD144" s="640">
        <v>0</v>
      </c>
      <c r="AE144" s="640">
        <v>9.2921580271325972</v>
      </c>
      <c r="AF144" s="640">
        <v>88.292344554902868</v>
      </c>
      <c r="AG144" s="640">
        <v>3.9079432862869607</v>
      </c>
      <c r="AH144" s="640">
        <v>146.88666477766319</v>
      </c>
      <c r="AI144" s="640">
        <v>32.427264426374379</v>
      </c>
      <c r="AJ144" s="640">
        <v>0</v>
      </c>
      <c r="AK144" s="648">
        <v>347.92963797662509</v>
      </c>
    </row>
    <row r="145" spans="3:37" x14ac:dyDescent="0.2">
      <c r="C145" s="646" t="s">
        <v>81</v>
      </c>
      <c r="D145" s="640">
        <v>0</v>
      </c>
      <c r="E145" s="640">
        <v>0</v>
      </c>
      <c r="F145" s="640">
        <v>3.9083972405176572</v>
      </c>
      <c r="G145" s="640">
        <v>63.089348266301698</v>
      </c>
      <c r="H145" s="640">
        <v>0</v>
      </c>
      <c r="I145" s="640">
        <v>0</v>
      </c>
      <c r="J145" s="640">
        <v>3.1804221278939271</v>
      </c>
      <c r="K145" s="640">
        <v>2.5219694682056978E-2</v>
      </c>
      <c r="L145" s="640">
        <v>0</v>
      </c>
      <c r="M145" s="640">
        <v>1.287537719720443</v>
      </c>
      <c r="N145" s="640">
        <v>8.4803330998149011</v>
      </c>
      <c r="O145" s="640">
        <v>0.72631919579288284</v>
      </c>
      <c r="P145" s="640">
        <v>140.69299872549993</v>
      </c>
      <c r="Q145" s="640">
        <v>3.4464968101202174</v>
      </c>
      <c r="R145" s="640">
        <v>0</v>
      </c>
      <c r="S145" s="648">
        <v>224.8370728803437</v>
      </c>
      <c r="U145" s="646" t="s">
        <v>81</v>
      </c>
      <c r="V145" s="640">
        <v>0</v>
      </c>
      <c r="W145" s="640">
        <v>0</v>
      </c>
      <c r="X145" s="640">
        <v>1.4952361732398858</v>
      </c>
      <c r="Y145" s="640">
        <v>10.610341518374359</v>
      </c>
      <c r="Z145" s="640">
        <v>0</v>
      </c>
      <c r="AA145" s="640">
        <v>0</v>
      </c>
      <c r="AB145" s="640">
        <v>6.9978977014468793</v>
      </c>
      <c r="AC145" s="640">
        <v>2.5219694682056978E-2</v>
      </c>
      <c r="AD145" s="640">
        <v>0</v>
      </c>
      <c r="AE145" s="640">
        <v>7.6833507546848816</v>
      </c>
      <c r="AF145" s="640">
        <v>14.732239480945108</v>
      </c>
      <c r="AG145" s="640">
        <v>1.5525732622869153</v>
      </c>
      <c r="AH145" s="640">
        <v>115.23036268987886</v>
      </c>
      <c r="AI145" s="640">
        <v>12.719638120399363</v>
      </c>
      <c r="AJ145" s="640">
        <v>0</v>
      </c>
      <c r="AK145" s="648">
        <v>171.04685939593833</v>
      </c>
    </row>
    <row r="146" spans="3:37" x14ac:dyDescent="0.2">
      <c r="C146" s="646" t="s">
        <v>82</v>
      </c>
      <c r="D146" s="640">
        <v>0</v>
      </c>
      <c r="E146" s="640">
        <v>0</v>
      </c>
      <c r="F146" s="640">
        <v>28.471648080197657</v>
      </c>
      <c r="G146" s="640">
        <v>1.0804243241036344</v>
      </c>
      <c r="H146" s="640">
        <v>0</v>
      </c>
      <c r="I146" s="640">
        <v>0</v>
      </c>
      <c r="J146" s="640">
        <v>4.3026845658747828</v>
      </c>
      <c r="K146" s="640">
        <v>0</v>
      </c>
      <c r="L146" s="640">
        <v>3.1299020072385213</v>
      </c>
      <c r="M146" s="640">
        <v>2.2049476002114991E-2</v>
      </c>
      <c r="N146" s="640">
        <v>0</v>
      </c>
      <c r="O146" s="640">
        <v>6.8830690871769351E-2</v>
      </c>
      <c r="P146" s="640">
        <v>5.9739095578527968</v>
      </c>
      <c r="Q146" s="640">
        <v>0</v>
      </c>
      <c r="R146" s="640">
        <v>0</v>
      </c>
      <c r="S146" s="648">
        <v>43.049448702141277</v>
      </c>
      <c r="U146" s="646" t="s">
        <v>82</v>
      </c>
      <c r="V146" s="640">
        <v>0</v>
      </c>
      <c r="W146" s="640">
        <v>0</v>
      </c>
      <c r="X146" s="640">
        <v>5.8604701162543282</v>
      </c>
      <c r="Y146" s="640">
        <v>0.77721189491485598</v>
      </c>
      <c r="Z146" s="640">
        <v>0</v>
      </c>
      <c r="AA146" s="640">
        <v>0</v>
      </c>
      <c r="AB146" s="640">
        <v>4.3026845658747828</v>
      </c>
      <c r="AC146" s="640">
        <v>0</v>
      </c>
      <c r="AD146" s="640">
        <v>30.776202948565647</v>
      </c>
      <c r="AE146" s="640">
        <v>0.56280861355903367</v>
      </c>
      <c r="AF146" s="640">
        <v>0</v>
      </c>
      <c r="AG146" s="640">
        <v>1.5666563685107562</v>
      </c>
      <c r="AH146" s="640">
        <v>6.0858228188406986</v>
      </c>
      <c r="AI146" s="640">
        <v>0</v>
      </c>
      <c r="AJ146" s="640">
        <v>0.36062656029870238</v>
      </c>
      <c r="AK146" s="648">
        <v>50.292483886818808</v>
      </c>
    </row>
    <row r="147" spans="3:37" x14ac:dyDescent="0.2">
      <c r="C147" s="646" t="s">
        <v>354</v>
      </c>
      <c r="D147" s="640">
        <v>0</v>
      </c>
      <c r="E147" s="640">
        <v>0</v>
      </c>
      <c r="F147" s="640">
        <v>0</v>
      </c>
      <c r="G147" s="640">
        <v>0</v>
      </c>
      <c r="H147" s="640">
        <v>0</v>
      </c>
      <c r="I147" s="640">
        <v>0</v>
      </c>
      <c r="J147" s="640">
        <v>0</v>
      </c>
      <c r="K147" s="640">
        <v>0</v>
      </c>
      <c r="L147" s="640">
        <v>0</v>
      </c>
      <c r="M147" s="640">
        <v>0</v>
      </c>
      <c r="N147" s="640">
        <v>0</v>
      </c>
      <c r="O147" s="640">
        <v>0</v>
      </c>
      <c r="P147" s="640">
        <v>0.36</v>
      </c>
      <c r="Q147" s="640">
        <v>0</v>
      </c>
      <c r="R147" s="640">
        <v>0</v>
      </c>
      <c r="S147" s="648">
        <v>0.36</v>
      </c>
      <c r="U147" s="646" t="s">
        <v>354</v>
      </c>
      <c r="V147" s="640">
        <v>0</v>
      </c>
      <c r="W147" s="640">
        <v>0</v>
      </c>
      <c r="X147" s="640">
        <v>0</v>
      </c>
      <c r="Y147" s="640">
        <v>0</v>
      </c>
      <c r="Z147" s="640">
        <v>0</v>
      </c>
      <c r="AA147" s="640">
        <v>0</v>
      </c>
      <c r="AB147" s="640">
        <v>0</v>
      </c>
      <c r="AC147" s="640">
        <v>0</v>
      </c>
      <c r="AD147" s="640">
        <v>0</v>
      </c>
      <c r="AE147" s="640">
        <v>0</v>
      </c>
      <c r="AF147" s="640">
        <v>0</v>
      </c>
      <c r="AG147" s="640">
        <v>0</v>
      </c>
      <c r="AH147" s="640">
        <v>3.12</v>
      </c>
      <c r="AI147" s="640">
        <v>0</v>
      </c>
      <c r="AJ147" s="640">
        <v>0</v>
      </c>
      <c r="AK147" s="648">
        <v>3.12</v>
      </c>
    </row>
    <row r="148" spans="3:37" x14ac:dyDescent="0.2">
      <c r="C148" s="644" t="s">
        <v>83</v>
      </c>
      <c r="D148" s="645">
        <v>4.9901668745901624</v>
      </c>
      <c r="E148" s="645">
        <v>0</v>
      </c>
      <c r="F148" s="645">
        <v>302.32389913883821</v>
      </c>
      <c r="G148" s="645">
        <v>270.55236491806994</v>
      </c>
      <c r="H148" s="645">
        <v>0</v>
      </c>
      <c r="I148" s="645">
        <v>0</v>
      </c>
      <c r="J148" s="645">
        <v>116.66807808287251</v>
      </c>
      <c r="K148" s="645">
        <v>1.7728349726366477</v>
      </c>
      <c r="L148" s="645">
        <v>26.788737867246695</v>
      </c>
      <c r="M148" s="645">
        <v>5.5399541720294136</v>
      </c>
      <c r="N148" s="645">
        <v>65.898689554178929</v>
      </c>
      <c r="O148" s="645">
        <v>2.8488909693950797</v>
      </c>
      <c r="P148" s="645">
        <v>517.78670767554593</v>
      </c>
      <c r="Q148" s="645">
        <v>34.989958988562719</v>
      </c>
      <c r="R148" s="645">
        <v>2.6636182112305002</v>
      </c>
      <c r="S148" s="645">
        <v>1352.8239014251965</v>
      </c>
      <c r="U148" s="644" t="s">
        <v>83</v>
      </c>
      <c r="V148" s="645">
        <v>1.2150050536449819</v>
      </c>
      <c r="W148" s="645">
        <v>0</v>
      </c>
      <c r="X148" s="645">
        <v>49.521889634108419</v>
      </c>
      <c r="Y148" s="645">
        <v>79.066149235448464</v>
      </c>
      <c r="Z148" s="645">
        <v>0</v>
      </c>
      <c r="AA148" s="645">
        <v>0</v>
      </c>
      <c r="AB148" s="645">
        <v>79.773094350274206</v>
      </c>
      <c r="AC148" s="645">
        <v>5.0087997966748192</v>
      </c>
      <c r="AD148" s="645">
        <v>73.574169013595338</v>
      </c>
      <c r="AE148" s="645">
        <v>57.347973175472191</v>
      </c>
      <c r="AF148" s="645">
        <v>103.02458403584798</v>
      </c>
      <c r="AG148" s="645">
        <v>7.0275496078674458</v>
      </c>
      <c r="AH148" s="645">
        <v>507.01391311627498</v>
      </c>
      <c r="AI148" s="645">
        <v>68.794771845590574</v>
      </c>
      <c r="AJ148" s="645">
        <v>13.478473773184128</v>
      </c>
      <c r="AK148" s="645">
        <v>1044.8463726379837</v>
      </c>
    </row>
    <row r="149" spans="3:37" x14ac:dyDescent="0.2">
      <c r="C149" s="639" t="s">
        <v>84</v>
      </c>
      <c r="D149" s="640">
        <v>0</v>
      </c>
      <c r="E149" s="640">
        <v>0</v>
      </c>
      <c r="F149" s="640">
        <v>106.83242416715484</v>
      </c>
      <c r="G149" s="640">
        <v>11.6186457489655</v>
      </c>
      <c r="H149" s="640">
        <v>0</v>
      </c>
      <c r="I149" s="640">
        <v>0</v>
      </c>
      <c r="J149" s="640">
        <v>0</v>
      </c>
      <c r="K149" s="640">
        <v>0</v>
      </c>
      <c r="L149" s="640">
        <v>0</v>
      </c>
      <c r="M149" s="640">
        <v>0</v>
      </c>
      <c r="N149" s="640">
        <v>0</v>
      </c>
      <c r="O149" s="640">
        <v>0</v>
      </c>
      <c r="P149" s="640">
        <v>0</v>
      </c>
      <c r="Q149" s="640">
        <v>0</v>
      </c>
      <c r="R149" s="640">
        <v>2.4159251561316859</v>
      </c>
      <c r="S149" s="648">
        <v>120.86699507225204</v>
      </c>
      <c r="U149" s="639" t="s">
        <v>84</v>
      </c>
      <c r="V149" s="640">
        <v>0</v>
      </c>
      <c r="W149" s="640">
        <v>0</v>
      </c>
      <c r="X149" s="640">
        <v>75.791608178670685</v>
      </c>
      <c r="Y149" s="640">
        <v>0.94004440148578539</v>
      </c>
      <c r="Z149" s="640">
        <v>0</v>
      </c>
      <c r="AA149" s="640">
        <v>0</v>
      </c>
      <c r="AB149" s="640">
        <v>0</v>
      </c>
      <c r="AC149" s="640">
        <v>0</v>
      </c>
      <c r="AD149" s="640">
        <v>21.99170920776367</v>
      </c>
      <c r="AE149" s="640">
        <v>0</v>
      </c>
      <c r="AF149" s="640">
        <v>0</v>
      </c>
      <c r="AG149" s="640">
        <v>0</v>
      </c>
      <c r="AH149" s="640">
        <v>0</v>
      </c>
      <c r="AI149" s="640">
        <v>0</v>
      </c>
      <c r="AJ149" s="640">
        <v>14.689922984619141</v>
      </c>
      <c r="AK149" s="648">
        <v>113.41328477253928</v>
      </c>
    </row>
    <row r="150" spans="3:37" x14ac:dyDescent="0.2">
      <c r="C150" s="644" t="s">
        <v>85</v>
      </c>
      <c r="D150" s="645">
        <v>4.9901668745901624</v>
      </c>
      <c r="E150" s="645">
        <v>0</v>
      </c>
      <c r="F150" s="645">
        <v>409.15632330599311</v>
      </c>
      <c r="G150" s="645">
        <v>282.17101066703543</v>
      </c>
      <c r="H150" s="645">
        <v>0</v>
      </c>
      <c r="I150" s="645">
        <v>0</v>
      </c>
      <c r="J150" s="645">
        <v>116.66807808287251</v>
      </c>
      <c r="K150" s="645">
        <v>1.7728349726366477</v>
      </c>
      <c r="L150" s="645">
        <v>26.788737867246695</v>
      </c>
      <c r="M150" s="645">
        <v>5.5399541720294136</v>
      </c>
      <c r="N150" s="645">
        <v>65.898689554178929</v>
      </c>
      <c r="O150" s="645">
        <v>2.8488909693950797</v>
      </c>
      <c r="P150" s="645">
        <v>517.78670767554593</v>
      </c>
      <c r="Q150" s="645">
        <v>34.989958988562719</v>
      </c>
      <c r="R150" s="645">
        <v>5.0795433673621861</v>
      </c>
      <c r="S150" s="645">
        <v>1473.6908964974484</v>
      </c>
      <c r="U150" s="644" t="s">
        <v>85</v>
      </c>
      <c r="V150" s="645">
        <v>1.2150050536449819</v>
      </c>
      <c r="W150" s="645">
        <v>0</v>
      </c>
      <c r="X150" s="645">
        <v>125.31349781277912</v>
      </c>
      <c r="Y150" s="645">
        <v>80.006193636934256</v>
      </c>
      <c r="Z150" s="645">
        <v>0</v>
      </c>
      <c r="AA150" s="645">
        <v>0</v>
      </c>
      <c r="AB150" s="645">
        <v>79.773094350274206</v>
      </c>
      <c r="AC150" s="645">
        <v>5.0087997966748192</v>
      </c>
      <c r="AD150" s="645">
        <v>95.565878221359014</v>
      </c>
      <c r="AE150" s="645">
        <v>57.347973175472191</v>
      </c>
      <c r="AF150" s="645">
        <v>103.02458403584798</v>
      </c>
      <c r="AG150" s="645">
        <v>7.0275496078674458</v>
      </c>
      <c r="AH150" s="645">
        <v>507.01391311627498</v>
      </c>
      <c r="AI150" s="645">
        <v>68.794771845590574</v>
      </c>
      <c r="AJ150" s="645">
        <v>28.168396757803269</v>
      </c>
      <c r="AK150" s="645">
        <v>1158.2596574105228</v>
      </c>
    </row>
    <row r="151" spans="3:37" x14ac:dyDescent="0.2">
      <c r="C151" s="634"/>
      <c r="D151" s="634"/>
      <c r="E151" s="634"/>
      <c r="F151" s="634"/>
      <c r="G151" s="634"/>
      <c r="H151" s="634"/>
      <c r="I151" s="634"/>
      <c r="J151" s="634"/>
      <c r="K151" s="634"/>
      <c r="L151" s="634"/>
      <c r="M151" s="634"/>
      <c r="N151" s="634"/>
      <c r="O151" s="634"/>
      <c r="P151" s="634"/>
      <c r="Q151" s="634"/>
      <c r="R151" s="634"/>
      <c r="S151" s="634"/>
      <c r="U151" s="634"/>
      <c r="V151" s="634"/>
      <c r="W151" s="634"/>
      <c r="X151" s="634"/>
      <c r="Y151" s="634"/>
      <c r="Z151" s="634"/>
      <c r="AA151" s="634"/>
      <c r="AB151" s="634"/>
      <c r="AC151" s="634"/>
      <c r="AD151" s="634"/>
      <c r="AE151" s="634"/>
      <c r="AF151" s="634"/>
      <c r="AG151" s="634"/>
      <c r="AH151" s="634"/>
      <c r="AI151" s="634"/>
      <c r="AJ151" s="634"/>
      <c r="AK151" s="634"/>
    </row>
    <row r="152" spans="3:37" ht="22.5" x14ac:dyDescent="0.3">
      <c r="C152" s="759" t="s">
        <v>361</v>
      </c>
      <c r="D152" s="759"/>
      <c r="E152" s="759"/>
      <c r="F152" s="759"/>
      <c r="G152" s="759"/>
      <c r="H152" s="759"/>
      <c r="I152" s="759"/>
      <c r="J152" s="759"/>
      <c r="K152" s="759"/>
      <c r="L152" s="759"/>
      <c r="M152" s="759"/>
      <c r="N152" s="759"/>
      <c r="O152" s="759"/>
      <c r="P152" s="759"/>
      <c r="Q152" s="759"/>
      <c r="R152" s="759"/>
      <c r="S152" s="759"/>
      <c r="U152" s="759" t="s">
        <v>361</v>
      </c>
      <c r="V152" s="759"/>
      <c r="W152" s="759"/>
      <c r="X152" s="759"/>
      <c r="Y152" s="759"/>
      <c r="Z152" s="759"/>
      <c r="AA152" s="759"/>
      <c r="AB152" s="759"/>
      <c r="AC152" s="759"/>
      <c r="AD152" s="759"/>
      <c r="AE152" s="759"/>
      <c r="AF152" s="759"/>
      <c r="AG152" s="759"/>
      <c r="AH152" s="759"/>
      <c r="AI152" s="759"/>
      <c r="AJ152" s="759"/>
      <c r="AK152" s="759"/>
    </row>
    <row r="153" spans="3:37" x14ac:dyDescent="0.2">
      <c r="C153" s="634"/>
      <c r="D153" s="634"/>
      <c r="E153" s="634"/>
      <c r="F153" s="634"/>
      <c r="G153" s="634"/>
      <c r="H153" s="634"/>
      <c r="I153" s="634"/>
      <c r="J153" s="634"/>
      <c r="K153" s="634"/>
      <c r="L153" s="634"/>
      <c r="M153" s="634"/>
      <c r="N153" s="634"/>
      <c r="O153" s="634"/>
      <c r="P153" s="634"/>
      <c r="Q153" s="634"/>
      <c r="R153" s="634"/>
      <c r="S153" s="634"/>
      <c r="U153" s="634"/>
      <c r="V153" s="634"/>
      <c r="W153" s="634"/>
      <c r="X153" s="634"/>
      <c r="Y153" s="634"/>
      <c r="Z153" s="634"/>
      <c r="AA153" s="634"/>
      <c r="AB153" s="634"/>
      <c r="AC153" s="634"/>
      <c r="AD153" s="634"/>
      <c r="AE153" s="634"/>
      <c r="AF153" s="634"/>
      <c r="AG153" s="634"/>
      <c r="AH153" s="634"/>
      <c r="AI153" s="634"/>
      <c r="AJ153" s="634"/>
      <c r="AK153" s="634"/>
    </row>
    <row r="154" spans="3:37" ht="12.95" customHeight="1" x14ac:dyDescent="0.2">
      <c r="C154" s="758" t="s">
        <v>128</v>
      </c>
      <c r="D154" s="757" t="s">
        <v>42</v>
      </c>
      <c r="E154" s="757" t="s">
        <v>52</v>
      </c>
      <c r="F154" s="757" t="s">
        <v>53</v>
      </c>
      <c r="G154" s="757" t="s">
        <v>32</v>
      </c>
      <c r="H154" s="757" t="s">
        <v>20</v>
      </c>
      <c r="I154" s="757" t="s">
        <v>55</v>
      </c>
      <c r="J154" s="757" t="s">
        <v>56</v>
      </c>
      <c r="K154" s="757"/>
      <c r="L154" s="757"/>
      <c r="M154" s="757"/>
      <c r="N154" s="757"/>
      <c r="O154" s="757"/>
      <c r="P154" s="757" t="s">
        <v>57</v>
      </c>
      <c r="Q154" s="757" t="s">
        <v>58</v>
      </c>
      <c r="R154" s="757" t="s">
        <v>31</v>
      </c>
      <c r="S154" s="757" t="s">
        <v>10</v>
      </c>
      <c r="U154" s="758" t="s">
        <v>128</v>
      </c>
      <c r="V154" s="757" t="s">
        <v>42</v>
      </c>
      <c r="W154" s="757" t="s">
        <v>52</v>
      </c>
      <c r="X154" s="757" t="s">
        <v>53</v>
      </c>
      <c r="Y154" s="757" t="s">
        <v>32</v>
      </c>
      <c r="Z154" s="757" t="s">
        <v>20</v>
      </c>
      <c r="AA154" s="757" t="s">
        <v>55</v>
      </c>
      <c r="AB154" s="757" t="s">
        <v>56</v>
      </c>
      <c r="AC154" s="757"/>
      <c r="AD154" s="757"/>
      <c r="AE154" s="757"/>
      <c r="AF154" s="757"/>
      <c r="AG154" s="757"/>
      <c r="AH154" s="757" t="s">
        <v>57</v>
      </c>
      <c r="AI154" s="757" t="s">
        <v>58</v>
      </c>
      <c r="AJ154" s="757" t="s">
        <v>31</v>
      </c>
      <c r="AK154" s="757" t="s">
        <v>10</v>
      </c>
    </row>
    <row r="155" spans="3:37" ht="56.25" x14ac:dyDescent="0.2">
      <c r="C155" s="758"/>
      <c r="D155" s="757"/>
      <c r="E155" s="757"/>
      <c r="F155" s="757"/>
      <c r="G155" s="757"/>
      <c r="H155" s="757"/>
      <c r="I155" s="757"/>
      <c r="J155" s="638" t="s">
        <v>335</v>
      </c>
      <c r="K155" s="638" t="s">
        <v>40</v>
      </c>
      <c r="L155" s="638" t="s">
        <v>343</v>
      </c>
      <c r="M155" s="638" t="s">
        <v>344</v>
      </c>
      <c r="N155" s="638" t="s">
        <v>345</v>
      </c>
      <c r="O155" s="638" t="s">
        <v>346</v>
      </c>
      <c r="P155" s="757"/>
      <c r="Q155" s="757"/>
      <c r="R155" s="757"/>
      <c r="S155" s="757"/>
      <c r="U155" s="758"/>
      <c r="V155" s="757"/>
      <c r="W155" s="757"/>
      <c r="X155" s="757"/>
      <c r="Y155" s="757"/>
      <c r="Z155" s="757"/>
      <c r="AA155" s="757"/>
      <c r="AB155" s="638" t="s">
        <v>335</v>
      </c>
      <c r="AC155" s="638" t="s">
        <v>40</v>
      </c>
      <c r="AD155" s="638" t="s">
        <v>343</v>
      </c>
      <c r="AE155" s="638" t="s">
        <v>344</v>
      </c>
      <c r="AF155" s="638" t="s">
        <v>345</v>
      </c>
      <c r="AG155" s="638" t="s">
        <v>346</v>
      </c>
      <c r="AH155" s="757"/>
      <c r="AI155" s="757"/>
      <c r="AJ155" s="757"/>
      <c r="AK155" s="757"/>
    </row>
    <row r="156" spans="3:37" x14ac:dyDescent="0.2">
      <c r="C156" s="639" t="s">
        <v>59</v>
      </c>
      <c r="D156" s="640">
        <v>0</v>
      </c>
      <c r="E156" s="641">
        <v>0</v>
      </c>
      <c r="F156" s="641">
        <v>0</v>
      </c>
      <c r="G156" s="640">
        <v>0</v>
      </c>
      <c r="H156" s="641">
        <v>843.18181818181824</v>
      </c>
      <c r="I156" s="641">
        <v>306.94588327561422</v>
      </c>
      <c r="J156" s="641">
        <v>187.92158364867245</v>
      </c>
      <c r="K156" s="641">
        <v>20.316638839186872</v>
      </c>
      <c r="L156" s="641">
        <v>0.58650482505924006</v>
      </c>
      <c r="M156" s="641">
        <v>0.15964026893196048</v>
      </c>
      <c r="N156" s="641">
        <v>67.964408038916218</v>
      </c>
      <c r="O156" s="641">
        <v>11.973026235836867</v>
      </c>
      <c r="P156" s="642">
        <v>0</v>
      </c>
      <c r="Q156" s="641">
        <v>0</v>
      </c>
      <c r="R156" s="641">
        <v>0</v>
      </c>
      <c r="S156" s="643">
        <v>1439.0495033140362</v>
      </c>
      <c r="U156" s="639" t="s">
        <v>59</v>
      </c>
      <c r="V156" s="640">
        <v>0</v>
      </c>
      <c r="W156" s="641">
        <v>0</v>
      </c>
      <c r="X156" s="641">
        <v>0</v>
      </c>
      <c r="Y156" s="640">
        <v>0</v>
      </c>
      <c r="Z156" s="641">
        <v>842.12121212121212</v>
      </c>
      <c r="AA156" s="641">
        <v>361.66588327561419</v>
      </c>
      <c r="AB156" s="641">
        <v>209.7499476733077</v>
      </c>
      <c r="AC156" s="641">
        <v>36.742499370225779</v>
      </c>
      <c r="AD156" s="641">
        <v>0.58650482505924006</v>
      </c>
      <c r="AE156" s="641">
        <v>0.15964026893196048</v>
      </c>
      <c r="AF156" s="641">
        <v>109.8518848230913</v>
      </c>
      <c r="AG156" s="641">
        <v>27.041217028647232</v>
      </c>
      <c r="AH156" s="642">
        <v>0</v>
      </c>
      <c r="AI156" s="641">
        <v>0</v>
      </c>
      <c r="AJ156" s="641">
        <v>0</v>
      </c>
      <c r="AK156" s="643">
        <v>1587.9187893860897</v>
      </c>
    </row>
    <row r="157" spans="3:37" x14ac:dyDescent="0.2">
      <c r="C157" s="639" t="s">
        <v>60</v>
      </c>
      <c r="D157" s="640">
        <v>47.14481987923083</v>
      </c>
      <c r="E157" s="641">
        <v>484.495467583368</v>
      </c>
      <c r="F157" s="641">
        <v>50.019697053221719</v>
      </c>
      <c r="G157" s="640">
        <v>326.09010493911637</v>
      </c>
      <c r="H157" s="641">
        <v>0</v>
      </c>
      <c r="I157" s="641">
        <v>0</v>
      </c>
      <c r="J157" s="641">
        <v>5.0764589906360387</v>
      </c>
      <c r="K157" s="641">
        <v>0</v>
      </c>
      <c r="L157" s="641">
        <v>2.7571319279134792</v>
      </c>
      <c r="M157" s="641">
        <v>0</v>
      </c>
      <c r="N157" s="641">
        <v>0</v>
      </c>
      <c r="O157" s="641">
        <v>0</v>
      </c>
      <c r="P157" s="642">
        <v>0</v>
      </c>
      <c r="Q157" s="641">
        <v>0</v>
      </c>
      <c r="R157" s="641">
        <v>0</v>
      </c>
      <c r="S157" s="643">
        <v>915.58368037348657</v>
      </c>
      <c r="U157" s="639" t="s">
        <v>60</v>
      </c>
      <c r="V157" s="640">
        <v>5.8768320762591904</v>
      </c>
      <c r="W157" s="641">
        <v>189.94114801549574</v>
      </c>
      <c r="X157" s="641">
        <v>14.41607041492888</v>
      </c>
      <c r="Y157" s="640">
        <v>81.728531694283333</v>
      </c>
      <c r="Z157" s="641">
        <v>0</v>
      </c>
      <c r="AA157" s="641">
        <v>0</v>
      </c>
      <c r="AB157" s="641">
        <v>5.0764589906360387</v>
      </c>
      <c r="AC157" s="641">
        <v>0</v>
      </c>
      <c r="AD157" s="641">
        <v>2.7571319279134792</v>
      </c>
      <c r="AE157" s="641">
        <v>0</v>
      </c>
      <c r="AF157" s="641">
        <v>0</v>
      </c>
      <c r="AG157" s="641">
        <v>0</v>
      </c>
      <c r="AH157" s="642">
        <v>0</v>
      </c>
      <c r="AI157" s="641">
        <v>0</v>
      </c>
      <c r="AJ157" s="641">
        <v>0</v>
      </c>
      <c r="AK157" s="643">
        <v>299.79617311951665</v>
      </c>
    </row>
    <row r="158" spans="3:37" x14ac:dyDescent="0.2">
      <c r="C158" s="639" t="s">
        <v>61</v>
      </c>
      <c r="D158" s="640">
        <v>0</v>
      </c>
      <c r="E158" s="641">
        <v>0</v>
      </c>
      <c r="F158" s="641">
        <v>0</v>
      </c>
      <c r="G158" s="640">
        <v>0</v>
      </c>
      <c r="H158" s="641">
        <v>0</v>
      </c>
      <c r="I158" s="641">
        <v>0</v>
      </c>
      <c r="J158" s="641">
        <v>0</v>
      </c>
      <c r="K158" s="641">
        <v>0</v>
      </c>
      <c r="L158" s="641">
        <v>0</v>
      </c>
      <c r="M158" s="641">
        <v>0</v>
      </c>
      <c r="N158" s="641">
        <v>0</v>
      </c>
      <c r="O158" s="641">
        <v>0</v>
      </c>
      <c r="P158" s="642">
        <v>-16.706363002811486</v>
      </c>
      <c r="Q158" s="641">
        <v>0</v>
      </c>
      <c r="R158" s="641">
        <v>0</v>
      </c>
      <c r="S158" s="643">
        <v>-16.706363002811486</v>
      </c>
      <c r="U158" s="639" t="s">
        <v>61</v>
      </c>
      <c r="V158" s="640">
        <v>0</v>
      </c>
      <c r="W158" s="641">
        <v>0</v>
      </c>
      <c r="X158" s="641">
        <v>-18.378136852904419</v>
      </c>
      <c r="Y158" s="640">
        <v>0</v>
      </c>
      <c r="Z158" s="641">
        <v>0</v>
      </c>
      <c r="AA158" s="641">
        <v>0</v>
      </c>
      <c r="AB158" s="641">
        <v>0</v>
      </c>
      <c r="AC158" s="641">
        <v>0</v>
      </c>
      <c r="AD158" s="641">
        <v>0</v>
      </c>
      <c r="AE158" s="641">
        <v>0</v>
      </c>
      <c r="AF158" s="641">
        <v>0</v>
      </c>
      <c r="AG158" s="641">
        <v>0</v>
      </c>
      <c r="AH158" s="642">
        <v>-20.522831714543145</v>
      </c>
      <c r="AI158" s="641">
        <v>0</v>
      </c>
      <c r="AJ158" s="641">
        <v>0</v>
      </c>
      <c r="AK158" s="643">
        <v>-38.900968567447563</v>
      </c>
    </row>
    <row r="159" spans="3:37" x14ac:dyDescent="0.2">
      <c r="C159" s="639" t="s">
        <v>62</v>
      </c>
      <c r="D159" s="640">
        <v>0</v>
      </c>
      <c r="E159" s="641">
        <v>0</v>
      </c>
      <c r="F159" s="641">
        <v>-15.257294848391862</v>
      </c>
      <c r="G159" s="640">
        <v>0</v>
      </c>
      <c r="H159" s="641">
        <v>0</v>
      </c>
      <c r="I159" s="641">
        <v>0</v>
      </c>
      <c r="J159" s="641">
        <v>0</v>
      </c>
      <c r="K159" s="641">
        <v>0</v>
      </c>
      <c r="L159" s="641">
        <v>0</v>
      </c>
      <c r="M159" s="641">
        <v>0</v>
      </c>
      <c r="N159" s="641">
        <v>0</v>
      </c>
      <c r="O159" s="641">
        <v>0</v>
      </c>
      <c r="P159" s="642">
        <v>0</v>
      </c>
      <c r="Q159" s="641">
        <v>0</v>
      </c>
      <c r="R159" s="641">
        <v>0</v>
      </c>
      <c r="S159" s="643">
        <v>-15.257294848391862</v>
      </c>
      <c r="U159" s="639" t="s">
        <v>62</v>
      </c>
      <c r="V159" s="640">
        <v>0</v>
      </c>
      <c r="W159" s="641">
        <v>0</v>
      </c>
      <c r="X159" s="641">
        <v>-7.5188933675233587</v>
      </c>
      <c r="Y159" s="640">
        <v>-2.1851276585702322</v>
      </c>
      <c r="Z159" s="641">
        <v>0</v>
      </c>
      <c r="AA159" s="641">
        <v>0</v>
      </c>
      <c r="AB159" s="641">
        <v>0</v>
      </c>
      <c r="AC159" s="641">
        <v>0</v>
      </c>
      <c r="AD159" s="641">
        <v>0</v>
      </c>
      <c r="AE159" s="641">
        <v>-2.1851276585702322</v>
      </c>
      <c r="AF159" s="641">
        <v>0</v>
      </c>
      <c r="AG159" s="641">
        <v>0</v>
      </c>
      <c r="AH159" s="642">
        <v>0</v>
      </c>
      <c r="AI159" s="641">
        <v>0</v>
      </c>
      <c r="AJ159" s="641">
        <v>0</v>
      </c>
      <c r="AK159" s="643">
        <v>-11.889148684663823</v>
      </c>
    </row>
    <row r="160" spans="3:37" x14ac:dyDescent="0.2">
      <c r="C160" s="639" t="s">
        <v>63</v>
      </c>
      <c r="D160" s="640">
        <v>0</v>
      </c>
      <c r="E160" s="641">
        <v>0</v>
      </c>
      <c r="F160" s="641">
        <v>-90.982589622358091</v>
      </c>
      <c r="G160" s="640">
        <v>0</v>
      </c>
      <c r="H160" s="641">
        <v>0</v>
      </c>
      <c r="I160" s="641">
        <v>0</v>
      </c>
      <c r="J160" s="641">
        <v>0</v>
      </c>
      <c r="K160" s="641">
        <v>0</v>
      </c>
      <c r="L160" s="641">
        <v>-0.93561585486744514</v>
      </c>
      <c r="M160" s="641">
        <v>0</v>
      </c>
      <c r="N160" s="641">
        <v>0</v>
      </c>
      <c r="O160" s="641">
        <v>0</v>
      </c>
      <c r="P160" s="642">
        <v>0</v>
      </c>
      <c r="Q160" s="641">
        <v>0</v>
      </c>
      <c r="R160" s="641">
        <v>0</v>
      </c>
      <c r="S160" s="643">
        <v>-91.918205477225541</v>
      </c>
      <c r="U160" s="639" t="s">
        <v>63</v>
      </c>
      <c r="V160" s="640">
        <v>0</v>
      </c>
      <c r="W160" s="641">
        <v>0</v>
      </c>
      <c r="X160" s="641">
        <v>-53.656928796434556</v>
      </c>
      <c r="Y160" s="640">
        <v>0</v>
      </c>
      <c r="Z160" s="641">
        <v>0</v>
      </c>
      <c r="AA160" s="641">
        <v>0</v>
      </c>
      <c r="AB160" s="641">
        <v>0</v>
      </c>
      <c r="AC160" s="641">
        <v>0</v>
      </c>
      <c r="AD160" s="641">
        <v>-28.297456853591466</v>
      </c>
      <c r="AE160" s="641">
        <v>0</v>
      </c>
      <c r="AF160" s="641">
        <v>0</v>
      </c>
      <c r="AG160" s="641">
        <v>0</v>
      </c>
      <c r="AH160" s="642">
        <v>0</v>
      </c>
      <c r="AI160" s="641">
        <v>0</v>
      </c>
      <c r="AJ160" s="641">
        <v>0</v>
      </c>
      <c r="AK160" s="643">
        <v>-81.954385650026026</v>
      </c>
    </row>
    <row r="161" spans="3:37" x14ac:dyDescent="0.2">
      <c r="C161" s="639" t="s">
        <v>64</v>
      </c>
      <c r="D161" s="640">
        <v>0</v>
      </c>
      <c r="E161" s="641">
        <v>0</v>
      </c>
      <c r="F161" s="641">
        <v>0</v>
      </c>
      <c r="G161" s="640">
        <v>0</v>
      </c>
      <c r="H161" s="641">
        <v>0</v>
      </c>
      <c r="I161" s="641">
        <v>0</v>
      </c>
      <c r="J161" s="641">
        <v>0</v>
      </c>
      <c r="K161" s="641">
        <v>0</v>
      </c>
      <c r="L161" s="641">
        <v>0</v>
      </c>
      <c r="M161" s="641">
        <v>0</v>
      </c>
      <c r="N161" s="641">
        <v>0</v>
      </c>
      <c r="O161" s="641">
        <v>0</v>
      </c>
      <c r="P161" s="642">
        <v>0</v>
      </c>
      <c r="Q161" s="641">
        <v>0</v>
      </c>
      <c r="R161" s="641">
        <v>0</v>
      </c>
      <c r="S161" s="643">
        <v>0</v>
      </c>
      <c r="U161" s="639" t="s">
        <v>64</v>
      </c>
      <c r="V161" s="640">
        <v>0</v>
      </c>
      <c r="W161" s="641">
        <v>0</v>
      </c>
      <c r="X161" s="641">
        <v>0</v>
      </c>
      <c r="Y161" s="640">
        <v>0</v>
      </c>
      <c r="Z161" s="641">
        <v>0</v>
      </c>
      <c r="AA161" s="641">
        <v>0</v>
      </c>
      <c r="AB161" s="641">
        <v>0</v>
      </c>
      <c r="AC161" s="641">
        <v>0</v>
      </c>
      <c r="AD161" s="641">
        <v>0</v>
      </c>
      <c r="AE161" s="641">
        <v>0</v>
      </c>
      <c r="AF161" s="641">
        <v>0</v>
      </c>
      <c r="AG161" s="641">
        <v>0</v>
      </c>
      <c r="AH161" s="642">
        <v>0</v>
      </c>
      <c r="AI161" s="641">
        <v>0</v>
      </c>
      <c r="AJ161" s="641">
        <v>0</v>
      </c>
      <c r="AK161" s="643">
        <v>0</v>
      </c>
    </row>
    <row r="162" spans="3:37" x14ac:dyDescent="0.2">
      <c r="C162" s="644" t="s">
        <v>65</v>
      </c>
      <c r="D162" s="645">
        <v>47.14481987923083</v>
      </c>
      <c r="E162" s="645">
        <v>484.495467583368</v>
      </c>
      <c r="F162" s="645">
        <v>-56.220187417528237</v>
      </c>
      <c r="G162" s="645">
        <v>326.09010493911637</v>
      </c>
      <c r="H162" s="645">
        <v>843.18181818181824</v>
      </c>
      <c r="I162" s="645">
        <v>306.94588327561422</v>
      </c>
      <c r="J162" s="645">
        <v>192.99804263930849</v>
      </c>
      <c r="K162" s="645">
        <v>20.316638839186872</v>
      </c>
      <c r="L162" s="645">
        <v>2.4080208981052738</v>
      </c>
      <c r="M162" s="645">
        <v>0.15964026893196048</v>
      </c>
      <c r="N162" s="645">
        <v>67.964408038916218</v>
      </c>
      <c r="O162" s="645">
        <v>11.973026235836867</v>
      </c>
      <c r="P162" s="645">
        <v>-16.706363002811486</v>
      </c>
      <c r="Q162" s="645">
        <v>0</v>
      </c>
      <c r="R162" s="645">
        <v>0</v>
      </c>
      <c r="S162" s="645">
        <v>2230.7513203590943</v>
      </c>
      <c r="U162" s="644" t="s">
        <v>65</v>
      </c>
      <c r="V162" s="645">
        <v>5.8768320762591904</v>
      </c>
      <c r="W162" s="645">
        <v>189.94114801549574</v>
      </c>
      <c r="X162" s="645">
        <v>-65.137888601933454</v>
      </c>
      <c r="Y162" s="645">
        <v>79.543404035713095</v>
      </c>
      <c r="Z162" s="645">
        <v>842.12121212121212</v>
      </c>
      <c r="AA162" s="645">
        <v>361.66588327561419</v>
      </c>
      <c r="AB162" s="645">
        <v>214.82640666394374</v>
      </c>
      <c r="AC162" s="645">
        <v>36.742499370225779</v>
      </c>
      <c r="AD162" s="645">
        <v>-24.953820100618749</v>
      </c>
      <c r="AE162" s="645">
        <v>-2.0254873896382719</v>
      </c>
      <c r="AF162" s="645">
        <v>109.8518848230913</v>
      </c>
      <c r="AG162" s="645">
        <v>27.041217028647232</v>
      </c>
      <c r="AH162" s="645">
        <v>-20.522831714543145</v>
      </c>
      <c r="AI162" s="645">
        <v>0</v>
      </c>
      <c r="AJ162" s="645">
        <v>0</v>
      </c>
      <c r="AK162" s="645">
        <v>1754.970459603469</v>
      </c>
    </row>
    <row r="163" spans="3:37" x14ac:dyDescent="0.2">
      <c r="C163" s="634"/>
      <c r="D163" s="634">
        <v>0</v>
      </c>
      <c r="E163" s="634">
        <v>0</v>
      </c>
      <c r="F163" s="634">
        <v>0</v>
      </c>
      <c r="G163" s="634">
        <v>0</v>
      </c>
      <c r="H163" s="634">
        <v>0</v>
      </c>
      <c r="I163" s="634">
        <v>0</v>
      </c>
      <c r="J163" s="634">
        <v>0</v>
      </c>
      <c r="K163" s="634">
        <v>0</v>
      </c>
      <c r="L163" s="634">
        <v>0</v>
      </c>
      <c r="M163" s="634">
        <v>0</v>
      </c>
      <c r="N163" s="634">
        <v>0</v>
      </c>
      <c r="O163" s="634">
        <v>0</v>
      </c>
      <c r="P163" s="634">
        <v>0</v>
      </c>
      <c r="Q163" s="634">
        <v>0</v>
      </c>
      <c r="R163" s="634">
        <v>0</v>
      </c>
      <c r="S163" s="634">
        <v>0</v>
      </c>
      <c r="U163" s="634"/>
      <c r="V163" s="634">
        <v>0</v>
      </c>
      <c r="W163" s="634">
        <v>0</v>
      </c>
      <c r="X163" s="634">
        <v>0</v>
      </c>
      <c r="Y163" s="634">
        <v>0</v>
      </c>
      <c r="Z163" s="634">
        <v>0</v>
      </c>
      <c r="AA163" s="634">
        <v>0</v>
      </c>
      <c r="AB163" s="634">
        <v>0</v>
      </c>
      <c r="AC163" s="634">
        <v>0</v>
      </c>
      <c r="AD163" s="634">
        <v>0</v>
      </c>
      <c r="AE163" s="634">
        <v>0</v>
      </c>
      <c r="AF163" s="634">
        <v>0</v>
      </c>
      <c r="AG163" s="634">
        <v>0</v>
      </c>
      <c r="AH163" s="634">
        <v>0</v>
      </c>
      <c r="AI163" s="634">
        <v>0</v>
      </c>
      <c r="AJ163" s="634">
        <v>0</v>
      </c>
      <c r="AK163" s="634">
        <v>0</v>
      </c>
    </row>
    <row r="164" spans="3:37" x14ac:dyDescent="0.2">
      <c r="C164" s="646" t="s">
        <v>67</v>
      </c>
      <c r="D164" s="640">
        <v>0</v>
      </c>
      <c r="E164" s="647">
        <v>0</v>
      </c>
      <c r="F164" s="647">
        <v>0</v>
      </c>
      <c r="G164" s="640">
        <v>0</v>
      </c>
      <c r="H164" s="640">
        <v>0</v>
      </c>
      <c r="I164" s="640">
        <v>0</v>
      </c>
      <c r="J164" s="640">
        <v>0</v>
      </c>
      <c r="K164" s="640">
        <v>0</v>
      </c>
      <c r="L164" s="640">
        <v>0</v>
      </c>
      <c r="M164" s="640">
        <v>0</v>
      </c>
      <c r="N164" s="640">
        <v>0</v>
      </c>
      <c r="O164" s="640">
        <v>0</v>
      </c>
      <c r="P164" s="640">
        <v>0</v>
      </c>
      <c r="Q164" s="640">
        <v>0</v>
      </c>
      <c r="R164" s="640">
        <v>0</v>
      </c>
      <c r="S164" s="648">
        <v>0</v>
      </c>
      <c r="U164" s="646" t="s">
        <v>67</v>
      </c>
      <c r="V164" s="640">
        <v>0</v>
      </c>
      <c r="W164" s="647">
        <v>0</v>
      </c>
      <c r="X164" s="647">
        <v>0</v>
      </c>
      <c r="Y164" s="640">
        <v>0</v>
      </c>
      <c r="Z164" s="640">
        <v>0</v>
      </c>
      <c r="AA164" s="640">
        <v>0</v>
      </c>
      <c r="AB164" s="640">
        <v>0</v>
      </c>
      <c r="AC164" s="640">
        <v>0</v>
      </c>
      <c r="AD164" s="640">
        <v>0</v>
      </c>
      <c r="AE164" s="640">
        <v>0</v>
      </c>
      <c r="AF164" s="640">
        <v>0</v>
      </c>
      <c r="AG164" s="640">
        <v>0</v>
      </c>
      <c r="AH164" s="640">
        <v>0</v>
      </c>
      <c r="AI164" s="640">
        <v>0</v>
      </c>
      <c r="AJ164" s="640">
        <v>0</v>
      </c>
      <c r="AK164" s="648">
        <v>0</v>
      </c>
    </row>
    <row r="165" spans="3:37" x14ac:dyDescent="0.2">
      <c r="C165" s="646" t="s">
        <v>347</v>
      </c>
      <c r="D165" s="640">
        <v>2.8267856410252494</v>
      </c>
      <c r="E165" s="640">
        <v>0</v>
      </c>
      <c r="F165" s="640">
        <v>7.9230776783294274</v>
      </c>
      <c r="G165" s="640">
        <v>16.680851063829788</v>
      </c>
      <c r="H165" s="640">
        <v>843.18181818181824</v>
      </c>
      <c r="I165" s="640">
        <v>306.94588327561422</v>
      </c>
      <c r="J165" s="649">
        <v>28.98717588629853</v>
      </c>
      <c r="K165" s="649">
        <v>6.5903281241207718</v>
      </c>
      <c r="L165" s="649">
        <v>3.3436367529727189</v>
      </c>
      <c r="M165" s="649">
        <v>0.46654149749263618</v>
      </c>
      <c r="N165" s="649">
        <v>0</v>
      </c>
      <c r="O165" s="649">
        <v>7.0184114557160298</v>
      </c>
      <c r="P165" s="640">
        <v>-616.92993037811448</v>
      </c>
      <c r="Q165" s="640">
        <v>0</v>
      </c>
      <c r="R165" s="640">
        <v>0</v>
      </c>
      <c r="S165" s="648">
        <v>607.03457917910316</v>
      </c>
      <c r="U165" s="646" t="s">
        <v>347</v>
      </c>
      <c r="V165" s="640">
        <v>0.62631490545869017</v>
      </c>
      <c r="W165" s="640">
        <v>0</v>
      </c>
      <c r="X165" s="640">
        <v>4.0594413146930641</v>
      </c>
      <c r="Y165" s="640">
        <v>2.3404255319148937</v>
      </c>
      <c r="Z165" s="640">
        <v>842.12121212121212</v>
      </c>
      <c r="AA165" s="640">
        <v>361.66588327561419</v>
      </c>
      <c r="AB165" s="649">
        <v>23.182357378111952</v>
      </c>
      <c r="AC165" s="649">
        <v>5.3775678130216455</v>
      </c>
      <c r="AD165" s="649">
        <v>3.3436367529727189</v>
      </c>
      <c r="AE165" s="649">
        <v>2.4665414974926363</v>
      </c>
      <c r="AF165" s="649">
        <v>0</v>
      </c>
      <c r="AG165" s="649">
        <v>7.0184114557160298</v>
      </c>
      <c r="AH165" s="640">
        <v>-662.7499303781143</v>
      </c>
      <c r="AI165" s="640">
        <v>0</v>
      </c>
      <c r="AJ165" s="640">
        <v>4.25</v>
      </c>
      <c r="AK165" s="648">
        <v>593.70186166809344</v>
      </c>
    </row>
    <row r="166" spans="3:37" x14ac:dyDescent="0.2">
      <c r="C166" s="646" t="s">
        <v>348</v>
      </c>
      <c r="D166" s="640">
        <v>0</v>
      </c>
      <c r="E166" s="640">
        <v>0</v>
      </c>
      <c r="F166" s="640">
        <v>0</v>
      </c>
      <c r="G166" s="640">
        <v>14.843815057329421</v>
      </c>
      <c r="H166" s="640">
        <v>0</v>
      </c>
      <c r="I166" s="640">
        <v>0</v>
      </c>
      <c r="J166" s="649">
        <v>12.357161229114668</v>
      </c>
      <c r="K166" s="649">
        <v>11.882304060636951</v>
      </c>
      <c r="L166" s="649">
        <v>0</v>
      </c>
      <c r="M166" s="649">
        <v>0.31804644322561132</v>
      </c>
      <c r="N166" s="649">
        <v>0</v>
      </c>
      <c r="O166" s="649">
        <v>2.0992086164963606</v>
      </c>
      <c r="P166" s="640">
        <v>0</v>
      </c>
      <c r="Q166" s="640">
        <v>-37.805081951347923</v>
      </c>
      <c r="R166" s="640">
        <v>0</v>
      </c>
      <c r="S166" s="648">
        <v>3.6954534554550835</v>
      </c>
      <c r="U166" s="646" t="s">
        <v>348</v>
      </c>
      <c r="V166" s="640">
        <v>0</v>
      </c>
      <c r="W166" s="640">
        <v>0</v>
      </c>
      <c r="X166" s="640">
        <v>0</v>
      </c>
      <c r="Y166" s="640">
        <v>6.4668066457611202</v>
      </c>
      <c r="Z166" s="640">
        <v>0</v>
      </c>
      <c r="AA166" s="640">
        <v>0</v>
      </c>
      <c r="AB166" s="649">
        <v>28.361573193229066</v>
      </c>
      <c r="AC166" s="649">
        <v>26.076316433417247</v>
      </c>
      <c r="AD166" s="649">
        <v>0</v>
      </c>
      <c r="AE166" s="649">
        <v>6.4819180878167435</v>
      </c>
      <c r="AF166" s="649">
        <v>0</v>
      </c>
      <c r="AG166" s="649">
        <v>12.550380584079129</v>
      </c>
      <c r="AH166" s="640">
        <v>0</v>
      </c>
      <c r="AI166" s="640">
        <v>-74.043519390541746</v>
      </c>
      <c r="AJ166" s="640">
        <v>0</v>
      </c>
      <c r="AK166" s="648">
        <v>5.8934755537615651</v>
      </c>
    </row>
    <row r="167" spans="3:37" x14ac:dyDescent="0.2">
      <c r="C167" s="646" t="s">
        <v>349</v>
      </c>
      <c r="D167" s="640">
        <v>0</v>
      </c>
      <c r="E167" s="640">
        <v>0</v>
      </c>
      <c r="F167" s="640">
        <v>0</v>
      </c>
      <c r="G167" s="640">
        <v>0</v>
      </c>
      <c r="H167" s="640">
        <v>0</v>
      </c>
      <c r="I167" s="640">
        <v>0</v>
      </c>
      <c r="J167" s="650">
        <v>6.8755991242523775</v>
      </c>
      <c r="K167" s="650">
        <v>0</v>
      </c>
      <c r="L167" s="650">
        <v>0</v>
      </c>
      <c r="M167" s="650">
        <v>-6.4200906822706569</v>
      </c>
      <c r="N167" s="650">
        <v>0</v>
      </c>
      <c r="O167" s="650">
        <v>0</v>
      </c>
      <c r="P167" s="640">
        <v>0</v>
      </c>
      <c r="Q167" s="640">
        <v>0</v>
      </c>
      <c r="R167" s="640">
        <v>0</v>
      </c>
      <c r="S167" s="648">
        <v>0.45550844198172058</v>
      </c>
      <c r="U167" s="646" t="s">
        <v>349</v>
      </c>
      <c r="V167" s="640">
        <v>0</v>
      </c>
      <c r="W167" s="640">
        <v>0</v>
      </c>
      <c r="X167" s="640">
        <v>0</v>
      </c>
      <c r="Y167" s="640">
        <v>0</v>
      </c>
      <c r="Z167" s="640">
        <v>0</v>
      </c>
      <c r="AA167" s="640">
        <v>0</v>
      </c>
      <c r="AB167" s="650">
        <v>86.654179241552072</v>
      </c>
      <c r="AC167" s="650">
        <v>0</v>
      </c>
      <c r="AD167" s="650">
        <v>0</v>
      </c>
      <c r="AE167" s="650">
        <v>-80.913339866799248</v>
      </c>
      <c r="AF167" s="650">
        <v>0</v>
      </c>
      <c r="AG167" s="650">
        <v>0</v>
      </c>
      <c r="AH167" s="640">
        <v>0</v>
      </c>
      <c r="AI167" s="640">
        <v>0</v>
      </c>
      <c r="AJ167" s="640">
        <v>0</v>
      </c>
      <c r="AK167" s="648">
        <v>5.7408393747528237</v>
      </c>
    </row>
    <row r="168" spans="3:37" x14ac:dyDescent="0.2">
      <c r="C168" s="646" t="s">
        <v>350</v>
      </c>
      <c r="D168" s="640">
        <v>0</v>
      </c>
      <c r="E168" s="640">
        <v>0</v>
      </c>
      <c r="F168" s="640">
        <v>0</v>
      </c>
      <c r="G168" s="640">
        <v>0</v>
      </c>
      <c r="H168" s="640">
        <v>0</v>
      </c>
      <c r="I168" s="640">
        <v>0</v>
      </c>
      <c r="J168" s="640">
        <v>0</v>
      </c>
      <c r="K168" s="640">
        <v>0</v>
      </c>
      <c r="L168" s="640">
        <v>0</v>
      </c>
      <c r="M168" s="640">
        <v>0</v>
      </c>
      <c r="N168" s="640">
        <v>0</v>
      </c>
      <c r="O168" s="640">
        <v>0</v>
      </c>
      <c r="P168" s="640">
        <v>0</v>
      </c>
      <c r="Q168" s="640">
        <v>0</v>
      </c>
      <c r="R168" s="640">
        <v>0</v>
      </c>
      <c r="S168" s="648">
        <v>0</v>
      </c>
      <c r="U168" s="646" t="s">
        <v>350</v>
      </c>
      <c r="V168" s="640">
        <v>0</v>
      </c>
      <c r="W168" s="640">
        <v>0</v>
      </c>
      <c r="X168" s="640">
        <v>0</v>
      </c>
      <c r="Y168" s="640">
        <v>0</v>
      </c>
      <c r="Z168" s="640">
        <v>0</v>
      </c>
      <c r="AA168" s="640">
        <v>0</v>
      </c>
      <c r="AB168" s="640">
        <v>0</v>
      </c>
      <c r="AC168" s="640">
        <v>0</v>
      </c>
      <c r="AD168" s="640">
        <v>0</v>
      </c>
      <c r="AE168" s="640">
        <v>0</v>
      </c>
      <c r="AF168" s="640">
        <v>0</v>
      </c>
      <c r="AG168" s="640">
        <v>0</v>
      </c>
      <c r="AH168" s="640">
        <v>0</v>
      </c>
      <c r="AI168" s="640">
        <v>0</v>
      </c>
      <c r="AJ168" s="640">
        <v>0</v>
      </c>
      <c r="AK168" s="648">
        <v>0</v>
      </c>
    </row>
    <row r="169" spans="3:37" x14ac:dyDescent="0.2">
      <c r="C169" s="646" t="s">
        <v>72</v>
      </c>
      <c r="D169" s="640">
        <v>0</v>
      </c>
      <c r="E169" s="640">
        <v>501.8858109321676</v>
      </c>
      <c r="F169" s="640">
        <v>-496.86695282284592</v>
      </c>
      <c r="G169" s="640">
        <v>0</v>
      </c>
      <c r="H169" s="640">
        <v>0</v>
      </c>
      <c r="I169" s="640">
        <v>0</v>
      </c>
      <c r="J169" s="640">
        <v>0</v>
      </c>
      <c r="K169" s="640">
        <v>0</v>
      </c>
      <c r="L169" s="640">
        <v>0</v>
      </c>
      <c r="M169" s="640">
        <v>0</v>
      </c>
      <c r="N169" s="640">
        <v>0</v>
      </c>
      <c r="O169" s="640">
        <v>0</v>
      </c>
      <c r="P169" s="640">
        <v>0</v>
      </c>
      <c r="Q169" s="640">
        <v>0</v>
      </c>
      <c r="R169" s="640">
        <v>0</v>
      </c>
      <c r="S169" s="648">
        <v>5.018858109321684</v>
      </c>
      <c r="U169" s="646" t="s">
        <v>72</v>
      </c>
      <c r="V169" s="640">
        <v>0</v>
      </c>
      <c r="W169" s="640">
        <v>196.75884188687598</v>
      </c>
      <c r="X169" s="640">
        <v>-194.79125346800723</v>
      </c>
      <c r="Y169" s="640">
        <v>0</v>
      </c>
      <c r="Z169" s="640">
        <v>0</v>
      </c>
      <c r="AA169" s="640">
        <v>0</v>
      </c>
      <c r="AB169" s="640">
        <v>0</v>
      </c>
      <c r="AC169" s="640">
        <v>0</v>
      </c>
      <c r="AD169" s="640">
        <v>0</v>
      </c>
      <c r="AE169" s="640">
        <v>0</v>
      </c>
      <c r="AF169" s="640">
        <v>0</v>
      </c>
      <c r="AG169" s="640">
        <v>0</v>
      </c>
      <c r="AH169" s="640">
        <v>0</v>
      </c>
      <c r="AI169" s="640">
        <v>0</v>
      </c>
      <c r="AJ169" s="640">
        <v>0</v>
      </c>
      <c r="AK169" s="648">
        <v>1.9675884188687576</v>
      </c>
    </row>
    <row r="170" spans="3:37" x14ac:dyDescent="0.2">
      <c r="C170" s="646" t="s">
        <v>351</v>
      </c>
      <c r="D170" s="640">
        <v>0</v>
      </c>
      <c r="E170" s="640">
        <v>0</v>
      </c>
      <c r="F170" s="640">
        <v>0</v>
      </c>
      <c r="G170" s="640">
        <v>0</v>
      </c>
      <c r="H170" s="640">
        <v>0</v>
      </c>
      <c r="I170" s="640">
        <v>0</v>
      </c>
      <c r="J170" s="640">
        <v>26.867608526350821</v>
      </c>
      <c r="K170" s="640">
        <v>0</v>
      </c>
      <c r="L170" s="640">
        <v>-26.867608526350821</v>
      </c>
      <c r="M170" s="640">
        <v>0</v>
      </c>
      <c r="N170" s="640">
        <v>0</v>
      </c>
      <c r="O170" s="640">
        <v>0</v>
      </c>
      <c r="P170" s="640">
        <v>0</v>
      </c>
      <c r="Q170" s="640">
        <v>0</v>
      </c>
      <c r="R170" s="640">
        <v>0</v>
      </c>
      <c r="S170" s="648">
        <v>0</v>
      </c>
      <c r="U170" s="646" t="s">
        <v>351</v>
      </c>
      <c r="V170" s="640">
        <v>0</v>
      </c>
      <c r="W170" s="640">
        <v>0</v>
      </c>
      <c r="X170" s="640">
        <v>0</v>
      </c>
      <c r="Y170" s="640">
        <v>0</v>
      </c>
      <c r="Z170" s="640">
        <v>0</v>
      </c>
      <c r="AA170" s="640">
        <v>0</v>
      </c>
      <c r="AB170" s="640" t="e">
        <v>#VALUE!</v>
      </c>
      <c r="AC170" s="640">
        <v>0</v>
      </c>
      <c r="AD170" s="640">
        <v>-99.513749603669936</v>
      </c>
      <c r="AE170" s="640">
        <v>0</v>
      </c>
      <c r="AF170" s="640">
        <v>0</v>
      </c>
      <c r="AG170" s="640">
        <v>0</v>
      </c>
      <c r="AH170" s="640">
        <v>0</v>
      </c>
      <c r="AI170" s="640">
        <v>0</v>
      </c>
      <c r="AJ170" s="640">
        <v>0</v>
      </c>
      <c r="AK170" s="648">
        <v>-99.513749603669936</v>
      </c>
    </row>
    <row r="171" spans="3:37" x14ac:dyDescent="0.2">
      <c r="C171" s="646" t="s">
        <v>352</v>
      </c>
      <c r="D171" s="640">
        <v>0</v>
      </c>
      <c r="E171" s="640">
        <v>0</v>
      </c>
      <c r="F171" s="640">
        <v>0</v>
      </c>
      <c r="G171" s="640">
        <v>0</v>
      </c>
      <c r="H171" s="640">
        <v>0</v>
      </c>
      <c r="I171" s="640">
        <v>0</v>
      </c>
      <c r="J171" s="640">
        <v>0</v>
      </c>
      <c r="K171" s="640">
        <v>0</v>
      </c>
      <c r="L171" s="640">
        <v>0</v>
      </c>
      <c r="M171" s="640">
        <v>0</v>
      </c>
      <c r="N171" s="640">
        <v>0</v>
      </c>
      <c r="O171" s="640">
        <v>0</v>
      </c>
      <c r="P171" s="640">
        <v>0</v>
      </c>
      <c r="Q171" s="640">
        <v>0</v>
      </c>
      <c r="R171" s="640">
        <v>0</v>
      </c>
      <c r="S171" s="648">
        <v>0</v>
      </c>
      <c r="U171" s="646" t="s">
        <v>352</v>
      </c>
      <c r="V171" s="640">
        <v>0</v>
      </c>
      <c r="W171" s="640">
        <v>0</v>
      </c>
      <c r="X171" s="640">
        <v>0</v>
      </c>
      <c r="Y171" s="640">
        <v>0</v>
      </c>
      <c r="Z171" s="640">
        <v>0</v>
      </c>
      <c r="AA171" s="640">
        <v>0</v>
      </c>
      <c r="AB171" s="640">
        <v>0</v>
      </c>
      <c r="AC171" s="640">
        <v>0</v>
      </c>
      <c r="AD171" s="640">
        <v>-17.985934640167208</v>
      </c>
      <c r="AE171" s="640">
        <v>0</v>
      </c>
      <c r="AF171" s="640">
        <v>0</v>
      </c>
      <c r="AG171" s="640">
        <v>0</v>
      </c>
      <c r="AH171" s="640">
        <v>0</v>
      </c>
      <c r="AI171" s="640">
        <v>0</v>
      </c>
      <c r="AJ171" s="640">
        <v>0</v>
      </c>
      <c r="AK171" s="648">
        <v>-17.985934640167208</v>
      </c>
    </row>
    <row r="172" spans="3:37" x14ac:dyDescent="0.2">
      <c r="C172" s="646" t="s">
        <v>73</v>
      </c>
      <c r="D172" s="640">
        <v>0</v>
      </c>
      <c r="E172" s="640">
        <v>0</v>
      </c>
      <c r="F172" s="640">
        <v>0</v>
      </c>
      <c r="G172" s="640">
        <v>7.0830222331165276</v>
      </c>
      <c r="H172" s="640">
        <v>0</v>
      </c>
      <c r="I172" s="640">
        <v>0</v>
      </c>
      <c r="J172" s="640">
        <v>0</v>
      </c>
      <c r="K172" s="640">
        <v>8.2131519400701847E-2</v>
      </c>
      <c r="L172" s="640">
        <v>0</v>
      </c>
      <c r="M172" s="640">
        <v>0.14455147414523528</v>
      </c>
      <c r="N172" s="640">
        <v>0</v>
      </c>
      <c r="O172" s="640">
        <v>0</v>
      </c>
      <c r="P172" s="640">
        <v>0.90023160054861806</v>
      </c>
      <c r="Q172" s="640">
        <v>0</v>
      </c>
      <c r="R172" s="640">
        <v>-5.7492063580491291</v>
      </c>
      <c r="S172" s="648">
        <v>2.4607304691619536</v>
      </c>
      <c r="U172" s="646" t="s">
        <v>73</v>
      </c>
      <c r="V172" s="640">
        <v>0</v>
      </c>
      <c r="W172" s="640">
        <v>0</v>
      </c>
      <c r="X172" s="640">
        <v>0</v>
      </c>
      <c r="Y172" s="640">
        <v>2.5209228009552263</v>
      </c>
      <c r="Z172" s="640">
        <v>0</v>
      </c>
      <c r="AA172" s="640">
        <v>0</v>
      </c>
      <c r="AB172" s="640">
        <v>0</v>
      </c>
      <c r="AC172" s="640">
        <v>0.50418456019104518</v>
      </c>
      <c r="AD172" s="640">
        <v>0</v>
      </c>
      <c r="AE172" s="640">
        <v>2.5209228009552263</v>
      </c>
      <c r="AF172" s="640">
        <v>0</v>
      </c>
      <c r="AG172" s="640">
        <v>0</v>
      </c>
      <c r="AH172" s="640">
        <v>44.712737508757456</v>
      </c>
      <c r="AI172" s="640">
        <v>0</v>
      </c>
      <c r="AJ172" s="640">
        <v>-35.29291921337316</v>
      </c>
      <c r="AK172" s="648">
        <v>14.965848457485791</v>
      </c>
    </row>
    <row r="173" spans="3:37" x14ac:dyDescent="0.2">
      <c r="C173" s="646" t="s">
        <v>353</v>
      </c>
      <c r="D173" s="640">
        <v>28.568314687499999</v>
      </c>
      <c r="E173" s="640">
        <v>-17.390343348799608</v>
      </c>
      <c r="F173" s="640">
        <v>22.745541936068136</v>
      </c>
      <c r="G173" s="640">
        <v>0</v>
      </c>
      <c r="H173" s="640">
        <v>0</v>
      </c>
      <c r="I173" s="640">
        <v>0</v>
      </c>
      <c r="J173" s="640">
        <v>0</v>
      </c>
      <c r="K173" s="640">
        <v>0</v>
      </c>
      <c r="L173" s="640">
        <v>0</v>
      </c>
      <c r="M173" s="640">
        <v>0</v>
      </c>
      <c r="N173" s="640">
        <v>0</v>
      </c>
      <c r="O173" s="640">
        <v>0</v>
      </c>
      <c r="P173" s="640">
        <v>0</v>
      </c>
      <c r="Q173" s="640">
        <v>0</v>
      </c>
      <c r="R173" s="640">
        <v>0</v>
      </c>
      <c r="S173" s="648">
        <v>33.923513274768524</v>
      </c>
      <c r="U173" s="646" t="s">
        <v>353</v>
      </c>
      <c r="V173" s="640">
        <v>1.4001075134277343</v>
      </c>
      <c r="W173" s="640">
        <v>-6.8176938713802535</v>
      </c>
      <c r="X173" s="640">
        <v>8.9171408952922331</v>
      </c>
      <c r="Y173" s="640">
        <v>0</v>
      </c>
      <c r="Z173" s="640">
        <v>0</v>
      </c>
      <c r="AA173" s="640">
        <v>0</v>
      </c>
      <c r="AB173" s="640">
        <v>0</v>
      </c>
      <c r="AC173" s="640">
        <v>0</v>
      </c>
      <c r="AD173" s="640">
        <v>0</v>
      </c>
      <c r="AE173" s="640">
        <v>0</v>
      </c>
      <c r="AF173" s="640">
        <v>0</v>
      </c>
      <c r="AG173" s="640">
        <v>0</v>
      </c>
      <c r="AH173" s="640">
        <v>0</v>
      </c>
      <c r="AI173" s="640">
        <v>0</v>
      </c>
      <c r="AJ173" s="640">
        <v>0</v>
      </c>
      <c r="AK173" s="648">
        <v>3.4995545373397139</v>
      </c>
    </row>
    <row r="174" spans="3:37" x14ac:dyDescent="0.2">
      <c r="C174" s="646" t="s">
        <v>75</v>
      </c>
      <c r="D174" s="640">
        <v>11.109900156250001</v>
      </c>
      <c r="E174" s="640">
        <v>0</v>
      </c>
      <c r="F174" s="640">
        <v>17.0641175716937</v>
      </c>
      <c r="G174" s="640">
        <v>4.8692961376638904</v>
      </c>
      <c r="H174" s="640">
        <v>0</v>
      </c>
      <c r="I174" s="640">
        <v>0</v>
      </c>
      <c r="J174" s="640">
        <v>0</v>
      </c>
      <c r="K174" s="640">
        <v>0</v>
      </c>
      <c r="L174" s="640">
        <v>0</v>
      </c>
      <c r="M174" s="640">
        <v>9.9373390564569189E-2</v>
      </c>
      <c r="N174" s="640">
        <v>0</v>
      </c>
      <c r="O174" s="640">
        <v>0</v>
      </c>
      <c r="P174" s="640">
        <v>27.977940148174714</v>
      </c>
      <c r="Q174" s="640">
        <v>0</v>
      </c>
      <c r="R174" s="640">
        <v>0</v>
      </c>
      <c r="S174" s="648">
        <v>61.12062740434687</v>
      </c>
      <c r="U174" s="646" t="s">
        <v>75</v>
      </c>
      <c r="V174" s="640">
        <v>2.585423095703125</v>
      </c>
      <c r="W174" s="640">
        <v>0</v>
      </c>
      <c r="X174" s="640">
        <v>17.0641175716937</v>
      </c>
      <c r="Y174" s="640">
        <v>2.4843347641142297</v>
      </c>
      <c r="Z174" s="640">
        <v>0</v>
      </c>
      <c r="AA174" s="640">
        <v>0</v>
      </c>
      <c r="AB174" s="640">
        <v>0</v>
      </c>
      <c r="AC174" s="640">
        <v>0</v>
      </c>
      <c r="AD174" s="640">
        <v>0</v>
      </c>
      <c r="AE174" s="640">
        <v>2.4843347641142297</v>
      </c>
      <c r="AF174" s="640">
        <v>0</v>
      </c>
      <c r="AG174" s="640">
        <v>0</v>
      </c>
      <c r="AH174" s="640">
        <v>36.559985602720168</v>
      </c>
      <c r="AI174" s="640">
        <v>0</v>
      </c>
      <c r="AJ174" s="640">
        <v>0</v>
      </c>
      <c r="AK174" s="648">
        <v>61.178195798345449</v>
      </c>
    </row>
    <row r="175" spans="3:37" x14ac:dyDescent="0.2">
      <c r="C175" s="646" t="s">
        <v>76</v>
      </c>
      <c r="D175" s="640">
        <v>0</v>
      </c>
      <c r="E175" s="640">
        <v>0</v>
      </c>
      <c r="F175" s="640">
        <v>0</v>
      </c>
      <c r="G175" s="640">
        <v>3.7302503173667452</v>
      </c>
      <c r="H175" s="640">
        <v>0</v>
      </c>
      <c r="I175" s="640">
        <v>0</v>
      </c>
      <c r="J175" s="640">
        <v>0</v>
      </c>
      <c r="K175" s="640">
        <v>0</v>
      </c>
      <c r="L175" s="640">
        <v>0</v>
      </c>
      <c r="M175" s="640">
        <v>7.6127557497280507E-2</v>
      </c>
      <c r="N175" s="640">
        <v>0</v>
      </c>
      <c r="O175" s="640">
        <v>0</v>
      </c>
      <c r="P175" s="640">
        <v>45.919010237367587</v>
      </c>
      <c r="Q175" s="640">
        <v>2.9343505562312622</v>
      </c>
      <c r="R175" s="640">
        <v>0</v>
      </c>
      <c r="S175" s="648">
        <v>52.659738668462872</v>
      </c>
      <c r="U175" s="646" t="s">
        <v>76</v>
      </c>
      <c r="V175" s="640">
        <v>0</v>
      </c>
      <c r="W175" s="640">
        <v>0</v>
      </c>
      <c r="X175" s="640">
        <v>0</v>
      </c>
      <c r="Y175" s="640">
        <v>0.95944671778813329</v>
      </c>
      <c r="Z175" s="640">
        <v>0</v>
      </c>
      <c r="AA175" s="640">
        <v>0</v>
      </c>
      <c r="AB175" s="640">
        <v>0</v>
      </c>
      <c r="AC175" s="640">
        <v>0</v>
      </c>
      <c r="AD175" s="640">
        <v>0</v>
      </c>
      <c r="AE175" s="640">
        <v>0.95944671778813329</v>
      </c>
      <c r="AF175" s="640">
        <v>0</v>
      </c>
      <c r="AG175" s="640">
        <v>0</v>
      </c>
      <c r="AH175" s="640">
        <v>49.138117436745475</v>
      </c>
      <c r="AI175" s="640">
        <v>5.7424951548403769</v>
      </c>
      <c r="AJ175" s="640">
        <v>0</v>
      </c>
      <c r="AK175" s="648">
        <v>56.799506027162117</v>
      </c>
    </row>
    <row r="176" spans="3:37" x14ac:dyDescent="0.2">
      <c r="C176" s="644" t="s">
        <v>77</v>
      </c>
      <c r="D176" s="645">
        <v>42.505000484775252</v>
      </c>
      <c r="E176" s="645">
        <v>484.495467583368</v>
      </c>
      <c r="F176" s="645">
        <v>-449.13421563675462</v>
      </c>
      <c r="G176" s="645">
        <v>47.207234809306371</v>
      </c>
      <c r="H176" s="645">
        <v>843.18181818181824</v>
      </c>
      <c r="I176" s="645">
        <v>306.94588327561422</v>
      </c>
      <c r="J176" s="645">
        <v>75.087544766016393</v>
      </c>
      <c r="K176" s="645">
        <v>18.554763704158422</v>
      </c>
      <c r="L176" s="645">
        <v>-23.523971773378101</v>
      </c>
      <c r="M176" s="645">
        <v>-5.3154503193453246</v>
      </c>
      <c r="N176" s="645">
        <v>0</v>
      </c>
      <c r="O176" s="645">
        <v>9.1176200722123912</v>
      </c>
      <c r="P176" s="645">
        <v>-542.13274839202359</v>
      </c>
      <c r="Q176" s="645">
        <v>-34.870731395116664</v>
      </c>
      <c r="R176" s="645">
        <v>-5.7492063580491291</v>
      </c>
      <c r="S176" s="645">
        <v>766.36900900260184</v>
      </c>
      <c r="U176" s="644" t="s">
        <v>77</v>
      </c>
      <c r="V176" s="645">
        <v>4.6118455145895494</v>
      </c>
      <c r="W176" s="645">
        <v>189.94114801549574</v>
      </c>
      <c r="X176" s="645">
        <v>-164.75055368632826</v>
      </c>
      <c r="Y176" s="645">
        <v>14.771936460533603</v>
      </c>
      <c r="Z176" s="645">
        <v>842.12121212121212</v>
      </c>
      <c r="AA176" s="645">
        <v>361.66588327561419</v>
      </c>
      <c r="AB176" s="645">
        <v>138.19810981289308</v>
      </c>
      <c r="AC176" s="645">
        <v>31.958068806629939</v>
      </c>
      <c r="AD176" s="645">
        <v>-114.15604749086444</v>
      </c>
      <c r="AE176" s="645">
        <v>-66.000175998632287</v>
      </c>
      <c r="AF176" s="645">
        <v>0</v>
      </c>
      <c r="AG176" s="645">
        <v>19.568792039795159</v>
      </c>
      <c r="AH176" s="645">
        <v>-532.33908982989124</v>
      </c>
      <c r="AI176" s="645">
        <v>-68.301024235701377</v>
      </c>
      <c r="AJ176" s="645">
        <v>-31.04291921337316</v>
      </c>
      <c r="AK176" s="645">
        <v>626.24718559197242</v>
      </c>
    </row>
    <row r="177" spans="3:37" x14ac:dyDescent="0.2">
      <c r="C177" s="634"/>
      <c r="D177" s="634">
        <v>0</v>
      </c>
      <c r="E177" s="634">
        <v>0</v>
      </c>
      <c r="F177" s="634">
        <v>0</v>
      </c>
      <c r="G177" s="634">
        <v>0</v>
      </c>
      <c r="H177" s="634">
        <v>0</v>
      </c>
      <c r="I177" s="634">
        <v>0</v>
      </c>
      <c r="J177" s="634">
        <v>0</v>
      </c>
      <c r="K177" s="634">
        <v>0</v>
      </c>
      <c r="L177" s="634">
        <v>0</v>
      </c>
      <c r="M177" s="634">
        <v>0</v>
      </c>
      <c r="N177" s="634">
        <v>0</v>
      </c>
      <c r="O177" s="634">
        <v>0</v>
      </c>
      <c r="P177" s="634">
        <v>0</v>
      </c>
      <c r="Q177" s="634">
        <v>0</v>
      </c>
      <c r="R177" s="634">
        <v>0</v>
      </c>
      <c r="S177" s="634">
        <v>0</v>
      </c>
      <c r="U177" s="634"/>
      <c r="V177" s="634">
        <v>0</v>
      </c>
      <c r="W177" s="634">
        <v>0</v>
      </c>
      <c r="X177" s="634">
        <v>0</v>
      </c>
      <c r="Y177" s="634">
        <v>0</v>
      </c>
      <c r="Z177" s="634">
        <v>0</v>
      </c>
      <c r="AA177" s="634">
        <v>0</v>
      </c>
      <c r="AB177" s="634">
        <v>0</v>
      </c>
      <c r="AC177" s="634">
        <v>0</v>
      </c>
      <c r="AD177" s="634">
        <v>0</v>
      </c>
      <c r="AE177" s="634">
        <v>0</v>
      </c>
      <c r="AF177" s="634">
        <v>0</v>
      </c>
      <c r="AG177" s="634">
        <v>0</v>
      </c>
      <c r="AH177" s="634">
        <v>0</v>
      </c>
      <c r="AI177" s="634">
        <v>0</v>
      </c>
      <c r="AJ177" s="634">
        <v>0</v>
      </c>
      <c r="AK177" s="634">
        <v>0</v>
      </c>
    </row>
    <row r="178" spans="3:37" x14ac:dyDescent="0.2">
      <c r="C178" s="646" t="s">
        <v>78</v>
      </c>
      <c r="D178" s="640">
        <v>4.6398193944555786</v>
      </c>
      <c r="E178" s="640">
        <v>0</v>
      </c>
      <c r="F178" s="640">
        <v>20.598782441852151</v>
      </c>
      <c r="G178" s="640">
        <v>94.839699954986926</v>
      </c>
      <c r="H178" s="640">
        <v>0</v>
      </c>
      <c r="I178" s="640">
        <v>0</v>
      </c>
      <c r="J178" s="640">
        <v>21.821162214793436</v>
      </c>
      <c r="K178" s="640">
        <v>1.7366010173968038</v>
      </c>
      <c r="L178" s="640">
        <v>0.96096945898437491</v>
      </c>
      <c r="M178" s="640">
        <v>1.9539169420126139</v>
      </c>
      <c r="N178" s="640">
        <v>0</v>
      </c>
      <c r="O178" s="640">
        <v>3.7537634069694789E-4</v>
      </c>
      <c r="P178" s="640">
        <v>113.419965125608</v>
      </c>
      <c r="Q178" s="640">
        <v>16.150451210263412</v>
      </c>
      <c r="R178" s="640">
        <v>0.26695886230468752</v>
      </c>
      <c r="S178" s="648">
        <v>276.38870199899873</v>
      </c>
      <c r="U178" s="646" t="s">
        <v>78</v>
      </c>
      <c r="V178" s="640">
        <v>1.264986561669641</v>
      </c>
      <c r="W178" s="640">
        <v>0</v>
      </c>
      <c r="X178" s="640">
        <v>4.4259635061357878</v>
      </c>
      <c r="Y178" s="640">
        <v>33.008089674756327</v>
      </c>
      <c r="Z178" s="640">
        <v>0</v>
      </c>
      <c r="AA178" s="640">
        <v>0</v>
      </c>
      <c r="AB178" s="640">
        <v>14.926911405045434</v>
      </c>
      <c r="AC178" s="640">
        <v>4.7591564459641997</v>
      </c>
      <c r="AD178" s="640">
        <v>6.4130046386718744</v>
      </c>
      <c r="AE178" s="640">
        <v>33.02650253605492</v>
      </c>
      <c r="AF178" s="640">
        <v>0</v>
      </c>
      <c r="AG178" s="640">
        <v>3.7537634069694789E-4</v>
      </c>
      <c r="AH178" s="640">
        <v>148.98135712801343</v>
      </c>
      <c r="AI178" s="640">
        <v>24.187634778338289</v>
      </c>
      <c r="AJ178" s="640">
        <v>7.9027373046875002</v>
      </c>
      <c r="AK178" s="648">
        <v>278.8967193556781</v>
      </c>
    </row>
    <row r="179" spans="3:37" x14ac:dyDescent="0.2">
      <c r="C179" s="646" t="s">
        <v>79</v>
      </c>
      <c r="D179" s="640">
        <v>0</v>
      </c>
      <c r="E179" s="640">
        <v>0</v>
      </c>
      <c r="F179" s="640">
        <v>225.72324837131151</v>
      </c>
      <c r="G179" s="640">
        <v>31.930807664827714</v>
      </c>
      <c r="H179" s="640">
        <v>0</v>
      </c>
      <c r="I179" s="640">
        <v>0</v>
      </c>
      <c r="J179" s="640">
        <v>0</v>
      </c>
      <c r="K179" s="640">
        <v>0</v>
      </c>
      <c r="L179" s="640">
        <v>21.777356740546686</v>
      </c>
      <c r="M179" s="640">
        <v>0.65164913601689212</v>
      </c>
      <c r="N179" s="640">
        <v>0</v>
      </c>
      <c r="O179" s="640">
        <v>0</v>
      </c>
      <c r="P179" s="640">
        <v>72.885841088882287</v>
      </c>
      <c r="Q179" s="640">
        <v>0</v>
      </c>
      <c r="R179" s="640">
        <v>2.6521266956987635</v>
      </c>
      <c r="S179" s="648">
        <v>355.62102969728386</v>
      </c>
      <c r="U179" s="646" t="s">
        <v>79</v>
      </c>
      <c r="V179" s="640">
        <v>0</v>
      </c>
      <c r="W179" s="640">
        <v>0</v>
      </c>
      <c r="X179" s="640">
        <v>19.003305935487372</v>
      </c>
      <c r="Y179" s="640">
        <v>13.267062862305856</v>
      </c>
      <c r="Z179" s="640">
        <v>0</v>
      </c>
      <c r="AA179" s="640">
        <v>0</v>
      </c>
      <c r="AB179" s="640">
        <v>0</v>
      </c>
      <c r="AC179" s="640">
        <v>0</v>
      </c>
      <c r="AD179" s="640">
        <v>27.757428454399612</v>
      </c>
      <c r="AE179" s="640">
        <v>13.267062862305856</v>
      </c>
      <c r="AF179" s="640">
        <v>0</v>
      </c>
      <c r="AG179" s="640">
        <v>0</v>
      </c>
      <c r="AH179" s="640">
        <v>94.556676700547257</v>
      </c>
      <c r="AI179" s="640">
        <v>0</v>
      </c>
      <c r="AJ179" s="640">
        <v>6.3130917169295051</v>
      </c>
      <c r="AK179" s="648">
        <v>174.16462853197544</v>
      </c>
    </row>
    <row r="180" spans="3:37" x14ac:dyDescent="0.2">
      <c r="C180" s="646" t="s">
        <v>80</v>
      </c>
      <c r="D180" s="640">
        <v>0</v>
      </c>
      <c r="E180" s="640">
        <v>0</v>
      </c>
      <c r="F180" s="640">
        <v>11.075929176351762</v>
      </c>
      <c r="G180" s="640">
        <v>76.664751333295058</v>
      </c>
      <c r="H180" s="640">
        <v>0</v>
      </c>
      <c r="I180" s="640">
        <v>0</v>
      </c>
      <c r="J180" s="640">
        <v>88.320247059496523</v>
      </c>
      <c r="K180" s="640">
        <v>0</v>
      </c>
      <c r="L180" s="640">
        <v>0</v>
      </c>
      <c r="M180" s="640">
        <v>1.5645867619039808</v>
      </c>
      <c r="N180" s="640">
        <v>59.616390446150973</v>
      </c>
      <c r="O180" s="640">
        <v>2.0734984243972754</v>
      </c>
      <c r="P180" s="640">
        <v>190.93239321884863</v>
      </c>
      <c r="Q180" s="640">
        <v>15.360003531773184</v>
      </c>
      <c r="R180" s="640">
        <v>0</v>
      </c>
      <c r="S180" s="648">
        <v>445.60779995221742</v>
      </c>
      <c r="U180" s="646" t="s">
        <v>80</v>
      </c>
      <c r="V180" s="640">
        <v>0</v>
      </c>
      <c r="W180" s="640">
        <v>0</v>
      </c>
      <c r="X180" s="640">
        <v>0.97925934500211753</v>
      </c>
      <c r="Y180" s="640">
        <v>9.8253088649292142</v>
      </c>
      <c r="Z180" s="640">
        <v>0</v>
      </c>
      <c r="AA180" s="640">
        <v>0</v>
      </c>
      <c r="AB180" s="640">
        <v>50.204880630535357</v>
      </c>
      <c r="AC180" s="640">
        <v>0</v>
      </c>
      <c r="AD180" s="640">
        <v>0</v>
      </c>
      <c r="AE180" s="640">
        <v>9.8253088649292142</v>
      </c>
      <c r="AF180" s="640">
        <v>95.02342184325245</v>
      </c>
      <c r="AG180" s="640">
        <v>4.208312775429496</v>
      </c>
      <c r="AH180" s="640">
        <v>144.38732956018927</v>
      </c>
      <c r="AI180" s="640">
        <v>30.75075127630511</v>
      </c>
      <c r="AJ180" s="640">
        <v>0</v>
      </c>
      <c r="AK180" s="648">
        <v>345.20457316057224</v>
      </c>
    </row>
    <row r="181" spans="3:37" x14ac:dyDescent="0.2">
      <c r="C181" s="646" t="s">
        <v>81</v>
      </c>
      <c r="D181" s="640">
        <v>0</v>
      </c>
      <c r="E181" s="640">
        <v>0</v>
      </c>
      <c r="F181" s="640">
        <v>2.6743117433405894</v>
      </c>
      <c r="G181" s="640">
        <v>62.987223173923248</v>
      </c>
      <c r="H181" s="640">
        <v>0</v>
      </c>
      <c r="I181" s="640">
        <v>0</v>
      </c>
      <c r="J181" s="640">
        <v>3.1384766478070549</v>
      </c>
      <c r="K181" s="640">
        <v>2.5274117631643136E-2</v>
      </c>
      <c r="L181" s="640">
        <v>0</v>
      </c>
      <c r="M181" s="640">
        <v>1.2854535341616988</v>
      </c>
      <c r="N181" s="640">
        <v>8.34801759276524</v>
      </c>
      <c r="O181" s="640">
        <v>0.71507622546549865</v>
      </c>
      <c r="P181" s="640">
        <v>142.0321146826426</v>
      </c>
      <c r="Q181" s="640">
        <v>3.3602766530800707</v>
      </c>
      <c r="R181" s="640">
        <v>0</v>
      </c>
      <c r="S181" s="648">
        <v>224.56622437081765</v>
      </c>
      <c r="U181" s="646" t="s">
        <v>81</v>
      </c>
      <c r="V181" s="640">
        <v>0</v>
      </c>
      <c r="W181" s="640">
        <v>0</v>
      </c>
      <c r="X181" s="640">
        <v>1.2256055704751125</v>
      </c>
      <c r="Y181" s="640">
        <v>7.2918833253665882</v>
      </c>
      <c r="Z181" s="640">
        <v>0</v>
      </c>
      <c r="AA181" s="640">
        <v>0</v>
      </c>
      <c r="AB181" s="640">
        <v>6.8658928642747856</v>
      </c>
      <c r="AC181" s="640">
        <v>2.5274117631643136E-2</v>
      </c>
      <c r="AD181" s="640">
        <v>0</v>
      </c>
      <c r="AE181" s="640">
        <v>7.2918833253665882</v>
      </c>
      <c r="AF181" s="640">
        <v>14.828462979838848</v>
      </c>
      <c r="AG181" s="640">
        <v>1.5197231438340593</v>
      </c>
      <c r="AH181" s="640">
        <v>114.40426288608282</v>
      </c>
      <c r="AI181" s="640">
        <v>13.362638181057982</v>
      </c>
      <c r="AJ181" s="640">
        <v>0</v>
      </c>
      <c r="AK181" s="648">
        <v>166.8156263939284</v>
      </c>
    </row>
    <row r="182" spans="3:37" x14ac:dyDescent="0.2">
      <c r="C182" s="646" t="s">
        <v>82</v>
      </c>
      <c r="D182" s="640">
        <v>0</v>
      </c>
      <c r="E182" s="640">
        <v>0</v>
      </c>
      <c r="F182" s="640">
        <v>27.931723909553636</v>
      </c>
      <c r="G182" s="640">
        <v>0.95472649492283324</v>
      </c>
      <c r="H182" s="640">
        <v>0</v>
      </c>
      <c r="I182" s="640">
        <v>0</v>
      </c>
      <c r="J182" s="640">
        <v>4.6306119511950978</v>
      </c>
      <c r="K182" s="640">
        <v>0</v>
      </c>
      <c r="L182" s="640">
        <v>3.1934862443619529</v>
      </c>
      <c r="M182" s="640">
        <v>1.9484214182098638E-2</v>
      </c>
      <c r="N182" s="640">
        <v>0</v>
      </c>
      <c r="O182" s="640">
        <v>6.6456137421005312E-2</v>
      </c>
      <c r="P182" s="640">
        <v>5.7660712732306445</v>
      </c>
      <c r="Q182" s="640">
        <v>0</v>
      </c>
      <c r="R182" s="640">
        <v>0</v>
      </c>
      <c r="S182" s="648">
        <v>42.562560224867276</v>
      </c>
      <c r="U182" s="646" t="s">
        <v>82</v>
      </c>
      <c r="V182" s="640">
        <v>0</v>
      </c>
      <c r="W182" s="640">
        <v>0</v>
      </c>
      <c r="X182" s="640">
        <v>3.5775053425595864</v>
      </c>
      <c r="Y182" s="640">
        <v>0.56393102033742082</v>
      </c>
      <c r="Z182" s="640">
        <v>0</v>
      </c>
      <c r="AA182" s="640">
        <v>0</v>
      </c>
      <c r="AB182" s="640">
        <v>4.6306119511950978</v>
      </c>
      <c r="AC182" s="640">
        <v>0</v>
      </c>
      <c r="AD182" s="640">
        <v>32.861113305842508</v>
      </c>
      <c r="AE182" s="640">
        <v>0.56393102033742082</v>
      </c>
      <c r="AF182" s="640">
        <v>0</v>
      </c>
      <c r="AG182" s="640">
        <v>1.7440136932478227</v>
      </c>
      <c r="AH182" s="640">
        <v>5.8866318405152116</v>
      </c>
      <c r="AI182" s="640">
        <v>0</v>
      </c>
      <c r="AJ182" s="640">
        <v>0.38427420359697795</v>
      </c>
      <c r="AK182" s="648">
        <v>50.21201237763205</v>
      </c>
    </row>
    <row r="183" spans="3:37" x14ac:dyDescent="0.2">
      <c r="C183" s="646" t="s">
        <v>354</v>
      </c>
      <c r="D183" s="640">
        <v>0</v>
      </c>
      <c r="E183" s="640">
        <v>0</v>
      </c>
      <c r="F183" s="640">
        <v>0</v>
      </c>
      <c r="G183" s="640">
        <v>0</v>
      </c>
      <c r="H183" s="640">
        <v>0</v>
      </c>
      <c r="I183" s="640">
        <v>0</v>
      </c>
      <c r="J183" s="640">
        <v>0</v>
      </c>
      <c r="K183" s="640">
        <v>0</v>
      </c>
      <c r="L183" s="640">
        <v>0</v>
      </c>
      <c r="M183" s="640">
        <v>0</v>
      </c>
      <c r="N183" s="640">
        <v>0</v>
      </c>
      <c r="O183" s="640">
        <v>0</v>
      </c>
      <c r="P183" s="640">
        <v>0.39</v>
      </c>
      <c r="Q183" s="640">
        <v>0</v>
      </c>
      <c r="R183" s="640">
        <v>0</v>
      </c>
      <c r="S183" s="648">
        <v>0.39</v>
      </c>
      <c r="U183" s="646" t="s">
        <v>354</v>
      </c>
      <c r="V183" s="640">
        <v>0</v>
      </c>
      <c r="W183" s="640">
        <v>0</v>
      </c>
      <c r="X183" s="640">
        <v>0</v>
      </c>
      <c r="Y183" s="640">
        <v>0</v>
      </c>
      <c r="Z183" s="640">
        <v>0</v>
      </c>
      <c r="AA183" s="640">
        <v>0</v>
      </c>
      <c r="AB183" s="640">
        <v>0</v>
      </c>
      <c r="AC183" s="640">
        <v>0</v>
      </c>
      <c r="AD183" s="640">
        <v>0</v>
      </c>
      <c r="AE183" s="640">
        <v>0</v>
      </c>
      <c r="AF183" s="640">
        <v>0</v>
      </c>
      <c r="AG183" s="640">
        <v>0</v>
      </c>
      <c r="AH183" s="640">
        <v>3.5999999999999996</v>
      </c>
      <c r="AI183" s="640">
        <v>0</v>
      </c>
      <c r="AJ183" s="640">
        <v>0</v>
      </c>
      <c r="AK183" s="648">
        <v>3.5999999999999996</v>
      </c>
    </row>
    <row r="184" spans="3:37" x14ac:dyDescent="0.2">
      <c r="C184" s="644" t="s">
        <v>83</v>
      </c>
      <c r="D184" s="645">
        <v>4.6398193944555786</v>
      </c>
      <c r="E184" s="645">
        <v>0</v>
      </c>
      <c r="F184" s="645">
        <v>288.00399564240968</v>
      </c>
      <c r="G184" s="645">
        <v>267.37720862195579</v>
      </c>
      <c r="H184" s="645">
        <v>0</v>
      </c>
      <c r="I184" s="645">
        <v>0</v>
      </c>
      <c r="J184" s="645">
        <v>117.91049787329212</v>
      </c>
      <c r="K184" s="645">
        <v>1.7618751350284469</v>
      </c>
      <c r="L184" s="645">
        <v>25.931812443893016</v>
      </c>
      <c r="M184" s="645">
        <v>5.4750905882772853</v>
      </c>
      <c r="N184" s="645">
        <v>67.964408038916218</v>
      </c>
      <c r="O184" s="645">
        <v>2.8554061636244761</v>
      </c>
      <c r="P184" s="645">
        <v>525.4263853892121</v>
      </c>
      <c r="Q184" s="645">
        <v>34.870731395116664</v>
      </c>
      <c r="R184" s="645">
        <v>2.9190855580034509</v>
      </c>
      <c r="S184" s="645">
        <v>1345.1363162441851</v>
      </c>
      <c r="U184" s="644" t="s">
        <v>83</v>
      </c>
      <c r="V184" s="645">
        <v>1.264986561669641</v>
      </c>
      <c r="W184" s="645">
        <v>0</v>
      </c>
      <c r="X184" s="645">
        <v>29.211639699659976</v>
      </c>
      <c r="Y184" s="645">
        <v>63.956275747695408</v>
      </c>
      <c r="Z184" s="645">
        <v>0</v>
      </c>
      <c r="AA184" s="645">
        <v>0</v>
      </c>
      <c r="AB184" s="645">
        <v>76.628296851050663</v>
      </c>
      <c r="AC184" s="645">
        <v>4.7844305635958433</v>
      </c>
      <c r="AD184" s="645">
        <v>67.031546398914003</v>
      </c>
      <c r="AE184" s="645">
        <v>63.974688608994001</v>
      </c>
      <c r="AF184" s="645">
        <v>109.8518848230913</v>
      </c>
      <c r="AG184" s="645">
        <v>7.4724249888520751</v>
      </c>
      <c r="AH184" s="645">
        <v>511.81625811534803</v>
      </c>
      <c r="AI184" s="645">
        <v>68.301024235701377</v>
      </c>
      <c r="AJ184" s="645">
        <v>14.600103225213982</v>
      </c>
      <c r="AK184" s="645">
        <v>1018.8935598197862</v>
      </c>
    </row>
    <row r="185" spans="3:37" x14ac:dyDescent="0.2">
      <c r="C185" s="639" t="s">
        <v>84</v>
      </c>
      <c r="D185" s="640">
        <v>0</v>
      </c>
      <c r="E185" s="640">
        <v>0</v>
      </c>
      <c r="F185" s="640">
        <v>104.91003257681685</v>
      </c>
      <c r="G185" s="640">
        <v>11.505661507854215</v>
      </c>
      <c r="H185" s="640">
        <v>0</v>
      </c>
      <c r="I185" s="640">
        <v>0</v>
      </c>
      <c r="J185" s="640">
        <v>0</v>
      </c>
      <c r="K185" s="640">
        <v>0</v>
      </c>
      <c r="L185" s="640">
        <v>0</v>
      </c>
      <c r="M185" s="640">
        <v>0</v>
      </c>
      <c r="N185" s="640">
        <v>0</v>
      </c>
      <c r="O185" s="640">
        <v>0</v>
      </c>
      <c r="P185" s="640">
        <v>0</v>
      </c>
      <c r="Q185" s="640">
        <v>0</v>
      </c>
      <c r="R185" s="640">
        <v>2.8301208000456781</v>
      </c>
      <c r="S185" s="648">
        <v>119.24581488471674</v>
      </c>
      <c r="U185" s="639" t="s">
        <v>84</v>
      </c>
      <c r="V185" s="640">
        <v>0</v>
      </c>
      <c r="W185" s="640">
        <v>0</v>
      </c>
      <c r="X185" s="640">
        <v>70.401025384734808</v>
      </c>
      <c r="Y185" s="640">
        <v>0.81519182748409058</v>
      </c>
      <c r="Z185" s="640">
        <v>0</v>
      </c>
      <c r="AA185" s="640">
        <v>0</v>
      </c>
      <c r="AB185" s="640">
        <v>0</v>
      </c>
      <c r="AC185" s="640">
        <v>0</v>
      </c>
      <c r="AD185" s="640">
        <v>24.563190847778323</v>
      </c>
      <c r="AE185" s="640">
        <v>0</v>
      </c>
      <c r="AF185" s="640">
        <v>0</v>
      </c>
      <c r="AG185" s="640">
        <v>0</v>
      </c>
      <c r="AH185" s="640">
        <v>0</v>
      </c>
      <c r="AI185" s="640">
        <v>0</v>
      </c>
      <c r="AJ185" s="640">
        <v>16.442815988159179</v>
      </c>
      <c r="AK185" s="648">
        <v>112.22222404815641</v>
      </c>
    </row>
    <row r="186" spans="3:37" x14ac:dyDescent="0.2">
      <c r="C186" s="644" t="s">
        <v>85</v>
      </c>
      <c r="D186" s="645">
        <v>4.6398193944555786</v>
      </c>
      <c r="E186" s="645">
        <v>0</v>
      </c>
      <c r="F186" s="645">
        <v>392.91402821922651</v>
      </c>
      <c r="G186" s="645">
        <v>278.88287012980999</v>
      </c>
      <c r="H186" s="645">
        <v>0</v>
      </c>
      <c r="I186" s="645">
        <v>0</v>
      </c>
      <c r="J186" s="645">
        <v>117.91049787329212</v>
      </c>
      <c r="K186" s="645">
        <v>1.7618751350284469</v>
      </c>
      <c r="L186" s="645">
        <v>25.931812443893016</v>
      </c>
      <c r="M186" s="645">
        <v>5.4750905882772853</v>
      </c>
      <c r="N186" s="645">
        <v>67.964408038916218</v>
      </c>
      <c r="O186" s="645">
        <v>2.8554061636244761</v>
      </c>
      <c r="P186" s="645">
        <v>525.4263853892121</v>
      </c>
      <c r="Q186" s="645">
        <v>34.870731395116664</v>
      </c>
      <c r="R186" s="645">
        <v>5.7492063580491291</v>
      </c>
      <c r="S186" s="645">
        <v>1464.3821311289018</v>
      </c>
      <c r="U186" s="644" t="s">
        <v>85</v>
      </c>
      <c r="V186" s="645">
        <v>1.264986561669641</v>
      </c>
      <c r="W186" s="645">
        <v>0</v>
      </c>
      <c r="X186" s="645">
        <v>99.612665084394791</v>
      </c>
      <c r="Y186" s="645">
        <v>64.7714675751795</v>
      </c>
      <c r="Z186" s="645">
        <v>0</v>
      </c>
      <c r="AA186" s="645">
        <v>0</v>
      </c>
      <c r="AB186" s="645">
        <v>76.628296851050663</v>
      </c>
      <c r="AC186" s="645">
        <v>4.7844305635958433</v>
      </c>
      <c r="AD186" s="645">
        <v>91.594737246692318</v>
      </c>
      <c r="AE186" s="645">
        <v>63.974688608994001</v>
      </c>
      <c r="AF186" s="645">
        <v>109.8518848230913</v>
      </c>
      <c r="AG186" s="645">
        <v>7.4724249888520751</v>
      </c>
      <c r="AH186" s="645">
        <v>511.81625811534803</v>
      </c>
      <c r="AI186" s="645">
        <v>68.301024235701377</v>
      </c>
      <c r="AJ186" s="645">
        <v>31.04291921337316</v>
      </c>
      <c r="AK186" s="645">
        <v>1131.1157838679426</v>
      </c>
    </row>
    <row r="187" spans="3:37" x14ac:dyDescent="0.2">
      <c r="C187" s="634"/>
      <c r="D187" s="634"/>
      <c r="E187" s="634"/>
      <c r="F187" s="634"/>
      <c r="G187" s="634"/>
      <c r="H187" s="634"/>
      <c r="I187" s="634"/>
      <c r="J187" s="634"/>
      <c r="K187" s="634"/>
      <c r="L187" s="634"/>
      <c r="M187" s="634"/>
      <c r="N187" s="634"/>
      <c r="O187" s="634"/>
      <c r="P187" s="634"/>
      <c r="Q187" s="634"/>
      <c r="R187" s="634"/>
      <c r="S187" s="634"/>
      <c r="U187" s="634"/>
      <c r="V187" s="634"/>
      <c r="W187" s="634"/>
      <c r="X187" s="634"/>
      <c r="Y187" s="634"/>
      <c r="Z187" s="634"/>
      <c r="AA187" s="634"/>
      <c r="AB187" s="634"/>
      <c r="AC187" s="634"/>
      <c r="AD187" s="634"/>
      <c r="AE187" s="634"/>
      <c r="AF187" s="634"/>
      <c r="AG187" s="634"/>
      <c r="AH187" s="634"/>
      <c r="AI187" s="634"/>
      <c r="AJ187" s="634"/>
      <c r="AK187" s="634"/>
    </row>
    <row r="188" spans="3:37" ht="22.5" x14ac:dyDescent="0.3">
      <c r="C188" s="759" t="s">
        <v>89</v>
      </c>
      <c r="D188" s="759"/>
      <c r="E188" s="759"/>
      <c r="F188" s="759"/>
      <c r="G188" s="759"/>
      <c r="H188" s="759"/>
      <c r="I188" s="759"/>
      <c r="J188" s="759"/>
      <c r="K188" s="759"/>
      <c r="L188" s="759"/>
      <c r="M188" s="759"/>
      <c r="N188" s="759"/>
      <c r="O188" s="759"/>
      <c r="P188" s="759"/>
      <c r="Q188" s="759"/>
      <c r="R188" s="759"/>
      <c r="S188" s="759"/>
      <c r="U188" s="759" t="s">
        <v>89</v>
      </c>
      <c r="V188" s="759"/>
      <c r="W188" s="759"/>
      <c r="X188" s="759"/>
      <c r="Y188" s="759"/>
      <c r="Z188" s="759"/>
      <c r="AA188" s="759"/>
      <c r="AB188" s="759"/>
      <c r="AC188" s="759"/>
      <c r="AD188" s="759"/>
      <c r="AE188" s="759"/>
      <c r="AF188" s="759"/>
      <c r="AG188" s="759"/>
      <c r="AH188" s="759"/>
      <c r="AI188" s="759"/>
      <c r="AJ188" s="759"/>
      <c r="AK188" s="759"/>
    </row>
    <row r="189" spans="3:37" x14ac:dyDescent="0.2">
      <c r="C189" s="634"/>
      <c r="D189" s="634"/>
      <c r="E189" s="634"/>
      <c r="F189" s="634"/>
      <c r="G189" s="634"/>
      <c r="H189" s="634"/>
      <c r="I189" s="634"/>
      <c r="J189" s="634"/>
      <c r="K189" s="634"/>
      <c r="L189" s="634"/>
      <c r="M189" s="634"/>
      <c r="N189" s="634"/>
      <c r="O189" s="634"/>
      <c r="P189" s="634"/>
      <c r="Q189" s="634"/>
      <c r="R189" s="634"/>
      <c r="S189" s="634"/>
      <c r="U189" s="634"/>
      <c r="V189" s="634"/>
      <c r="W189" s="634"/>
      <c r="X189" s="634"/>
      <c r="Y189" s="634"/>
      <c r="Z189" s="634"/>
      <c r="AA189" s="634"/>
      <c r="AB189" s="634"/>
      <c r="AC189" s="634"/>
      <c r="AD189" s="634"/>
      <c r="AE189" s="634"/>
      <c r="AF189" s="634"/>
      <c r="AG189" s="634"/>
      <c r="AH189" s="634"/>
      <c r="AI189" s="634"/>
      <c r="AJ189" s="634"/>
      <c r="AK189" s="634"/>
    </row>
    <row r="190" spans="3:37" ht="12.95" customHeight="1" x14ac:dyDescent="0.2">
      <c r="C190" s="758" t="s">
        <v>128</v>
      </c>
      <c r="D190" s="757" t="s">
        <v>42</v>
      </c>
      <c r="E190" s="757" t="s">
        <v>52</v>
      </c>
      <c r="F190" s="757" t="s">
        <v>53</v>
      </c>
      <c r="G190" s="757" t="s">
        <v>32</v>
      </c>
      <c r="H190" s="757" t="s">
        <v>20</v>
      </c>
      <c r="I190" s="757" t="s">
        <v>55</v>
      </c>
      <c r="J190" s="757" t="s">
        <v>56</v>
      </c>
      <c r="K190" s="757"/>
      <c r="L190" s="757"/>
      <c r="M190" s="757"/>
      <c r="N190" s="757"/>
      <c r="O190" s="757"/>
      <c r="P190" s="757" t="s">
        <v>57</v>
      </c>
      <c r="Q190" s="757" t="s">
        <v>58</v>
      </c>
      <c r="R190" s="757" t="s">
        <v>31</v>
      </c>
      <c r="S190" s="757" t="s">
        <v>10</v>
      </c>
      <c r="U190" s="758" t="s">
        <v>128</v>
      </c>
      <c r="V190" s="757" t="s">
        <v>42</v>
      </c>
      <c r="W190" s="757" t="s">
        <v>52</v>
      </c>
      <c r="X190" s="757" t="s">
        <v>53</v>
      </c>
      <c r="Y190" s="757" t="s">
        <v>32</v>
      </c>
      <c r="Z190" s="757" t="s">
        <v>20</v>
      </c>
      <c r="AA190" s="757" t="s">
        <v>55</v>
      </c>
      <c r="AB190" s="757" t="s">
        <v>56</v>
      </c>
      <c r="AC190" s="757"/>
      <c r="AD190" s="757"/>
      <c r="AE190" s="757"/>
      <c r="AF190" s="757"/>
      <c r="AG190" s="757"/>
      <c r="AH190" s="757" t="s">
        <v>57</v>
      </c>
      <c r="AI190" s="757" t="s">
        <v>58</v>
      </c>
      <c r="AJ190" s="757" t="s">
        <v>31</v>
      </c>
      <c r="AK190" s="757" t="s">
        <v>10</v>
      </c>
    </row>
    <row r="191" spans="3:37" ht="56.25" x14ac:dyDescent="0.2">
      <c r="C191" s="758"/>
      <c r="D191" s="757"/>
      <c r="E191" s="757"/>
      <c r="F191" s="757"/>
      <c r="G191" s="757"/>
      <c r="H191" s="757"/>
      <c r="I191" s="757"/>
      <c r="J191" s="638" t="s">
        <v>335</v>
      </c>
      <c r="K191" s="638" t="s">
        <v>40</v>
      </c>
      <c r="L191" s="638" t="s">
        <v>343</v>
      </c>
      <c r="M191" s="638" t="s">
        <v>344</v>
      </c>
      <c r="N191" s="638" t="s">
        <v>345</v>
      </c>
      <c r="O191" s="638" t="s">
        <v>346</v>
      </c>
      <c r="P191" s="757"/>
      <c r="Q191" s="757"/>
      <c r="R191" s="757"/>
      <c r="S191" s="757"/>
      <c r="U191" s="758"/>
      <c r="V191" s="757"/>
      <c r="W191" s="757"/>
      <c r="X191" s="757"/>
      <c r="Y191" s="757"/>
      <c r="Z191" s="757"/>
      <c r="AA191" s="757"/>
      <c r="AB191" s="638" t="s">
        <v>335</v>
      </c>
      <c r="AC191" s="638" t="s">
        <v>40</v>
      </c>
      <c r="AD191" s="638" t="s">
        <v>343</v>
      </c>
      <c r="AE191" s="638" t="s">
        <v>344</v>
      </c>
      <c r="AF191" s="638" t="s">
        <v>345</v>
      </c>
      <c r="AG191" s="638" t="s">
        <v>346</v>
      </c>
      <c r="AH191" s="757"/>
      <c r="AI191" s="757"/>
      <c r="AJ191" s="757"/>
      <c r="AK191" s="757"/>
    </row>
    <row r="192" spans="3:37" x14ac:dyDescent="0.2">
      <c r="C192" s="639" t="s">
        <v>59</v>
      </c>
      <c r="D192" s="640">
        <v>0</v>
      </c>
      <c r="E192" s="641">
        <v>0</v>
      </c>
      <c r="F192" s="641">
        <v>0</v>
      </c>
      <c r="G192" s="640">
        <v>0</v>
      </c>
      <c r="H192" s="641">
        <v>727.27272727272737</v>
      </c>
      <c r="I192" s="641">
        <v>338.37995078139568</v>
      </c>
      <c r="J192" s="641">
        <v>185.12606679296266</v>
      </c>
      <c r="K192" s="641">
        <v>19.887492227897642</v>
      </c>
      <c r="L192" s="641">
        <v>0.67629573379861951</v>
      </c>
      <c r="M192" s="641">
        <v>0.16041590589481752</v>
      </c>
      <c r="N192" s="641">
        <v>75.083762899489528</v>
      </c>
      <c r="O192" s="641">
        <v>12.515766779598991</v>
      </c>
      <c r="P192" s="642">
        <v>0</v>
      </c>
      <c r="Q192" s="641">
        <v>0</v>
      </c>
      <c r="R192" s="641">
        <v>0</v>
      </c>
      <c r="S192" s="643">
        <v>1359.1024783937653</v>
      </c>
      <c r="U192" s="639" t="s">
        <v>59</v>
      </c>
      <c r="V192" s="640">
        <v>0</v>
      </c>
      <c r="W192" s="641">
        <v>0</v>
      </c>
      <c r="X192" s="641">
        <v>0</v>
      </c>
      <c r="Y192" s="640">
        <v>0</v>
      </c>
      <c r="Z192" s="641">
        <v>764.84848484848499</v>
      </c>
      <c r="AA192" s="641">
        <v>423.19995078139567</v>
      </c>
      <c r="AB192" s="641">
        <v>256.09062969225096</v>
      </c>
      <c r="AC192" s="641">
        <v>36.108430969743218</v>
      </c>
      <c r="AD192" s="641">
        <v>0.67629573379861951</v>
      </c>
      <c r="AE192" s="641">
        <v>0.16041590589481752</v>
      </c>
      <c r="AF192" s="641">
        <v>123.16818516374138</v>
      </c>
      <c r="AG192" s="641">
        <v>30.250193334526926</v>
      </c>
      <c r="AH192" s="642">
        <v>0</v>
      </c>
      <c r="AI192" s="641">
        <v>0</v>
      </c>
      <c r="AJ192" s="641">
        <v>0</v>
      </c>
      <c r="AK192" s="643">
        <v>1634.5025864298366</v>
      </c>
    </row>
    <row r="193" spans="3:37" x14ac:dyDescent="0.2">
      <c r="C193" s="639" t="s">
        <v>60</v>
      </c>
      <c r="D193" s="640">
        <v>46.099891323621534</v>
      </c>
      <c r="E193" s="641">
        <v>464.7986487</v>
      </c>
      <c r="F193" s="641">
        <v>48.534128715927544</v>
      </c>
      <c r="G193" s="640">
        <v>345.55093723566335</v>
      </c>
      <c r="H193" s="641">
        <v>0</v>
      </c>
      <c r="I193" s="641">
        <v>0</v>
      </c>
      <c r="J193" s="641">
        <v>5.7213435879484642</v>
      </c>
      <c r="K193" s="641">
        <v>0</v>
      </c>
      <c r="L193" s="641">
        <v>3.0565993326094723</v>
      </c>
      <c r="M193" s="641">
        <v>0</v>
      </c>
      <c r="N193" s="641">
        <v>0</v>
      </c>
      <c r="O193" s="641">
        <v>0</v>
      </c>
      <c r="P193" s="642">
        <v>0</v>
      </c>
      <c r="Q193" s="641">
        <v>0</v>
      </c>
      <c r="R193" s="641">
        <v>0</v>
      </c>
      <c r="S193" s="643">
        <v>913.76154889577037</v>
      </c>
      <c r="U193" s="639" t="s">
        <v>60</v>
      </c>
      <c r="V193" s="640">
        <v>4.5871215860372576</v>
      </c>
      <c r="W193" s="641">
        <v>113.59926767676768</v>
      </c>
      <c r="X193" s="641">
        <v>20.138935454909394</v>
      </c>
      <c r="Y193" s="640">
        <v>0.51452681198611927</v>
      </c>
      <c r="Z193" s="641">
        <v>0</v>
      </c>
      <c r="AA193" s="641">
        <v>0</v>
      </c>
      <c r="AB193" s="641">
        <v>5.7213435879484642</v>
      </c>
      <c r="AC193" s="641">
        <v>0</v>
      </c>
      <c r="AD193" s="641">
        <v>3.0565993326094723</v>
      </c>
      <c r="AE193" s="641">
        <v>0</v>
      </c>
      <c r="AF193" s="641">
        <v>0</v>
      </c>
      <c r="AG193" s="641">
        <v>0</v>
      </c>
      <c r="AH193" s="642">
        <v>0</v>
      </c>
      <c r="AI193" s="641">
        <v>0</v>
      </c>
      <c r="AJ193" s="641">
        <v>0</v>
      </c>
      <c r="AK193" s="643">
        <v>147.6177944502584</v>
      </c>
    </row>
    <row r="194" spans="3:37" x14ac:dyDescent="0.2">
      <c r="C194" s="639" t="s">
        <v>61</v>
      </c>
      <c r="D194" s="640">
        <v>0</v>
      </c>
      <c r="E194" s="641">
        <v>0</v>
      </c>
      <c r="F194" s="641">
        <v>0</v>
      </c>
      <c r="G194" s="640">
        <v>0</v>
      </c>
      <c r="H194" s="641">
        <v>0</v>
      </c>
      <c r="I194" s="641">
        <v>0</v>
      </c>
      <c r="J194" s="641">
        <v>0</v>
      </c>
      <c r="K194" s="641">
        <v>0</v>
      </c>
      <c r="L194" s="641">
        <v>0</v>
      </c>
      <c r="M194" s="641">
        <v>0</v>
      </c>
      <c r="N194" s="641">
        <v>0</v>
      </c>
      <c r="O194" s="641">
        <v>0</v>
      </c>
      <c r="P194" s="642">
        <v>-12.7985093299136</v>
      </c>
      <c r="Q194" s="641">
        <v>0</v>
      </c>
      <c r="R194" s="641">
        <v>0</v>
      </c>
      <c r="S194" s="643">
        <v>-12.7985093299136</v>
      </c>
      <c r="U194" s="639" t="s">
        <v>61</v>
      </c>
      <c r="V194" s="640">
        <v>0</v>
      </c>
      <c r="W194" s="641">
        <v>0</v>
      </c>
      <c r="X194" s="641">
        <v>0</v>
      </c>
      <c r="Y194" s="640">
        <v>0</v>
      </c>
      <c r="Z194" s="641">
        <v>0</v>
      </c>
      <c r="AA194" s="641">
        <v>0</v>
      </c>
      <c r="AB194" s="641">
        <v>0</v>
      </c>
      <c r="AC194" s="641">
        <v>0</v>
      </c>
      <c r="AD194" s="641">
        <v>0</v>
      </c>
      <c r="AE194" s="641">
        <v>0</v>
      </c>
      <c r="AF194" s="641">
        <v>0</v>
      </c>
      <c r="AG194" s="641">
        <v>0</v>
      </c>
      <c r="AH194" s="642">
        <v>-41.639986107117011</v>
      </c>
      <c r="AI194" s="641">
        <v>0</v>
      </c>
      <c r="AJ194" s="641">
        <v>0</v>
      </c>
      <c r="AK194" s="643">
        <v>-41.639986107117011</v>
      </c>
    </row>
    <row r="195" spans="3:37" x14ac:dyDescent="0.2">
      <c r="C195" s="639" t="s">
        <v>62</v>
      </c>
      <c r="D195" s="640">
        <v>0</v>
      </c>
      <c r="E195" s="641">
        <v>0</v>
      </c>
      <c r="F195" s="641">
        <v>-14.431507774067331</v>
      </c>
      <c r="G195" s="640">
        <v>0</v>
      </c>
      <c r="H195" s="641">
        <v>0</v>
      </c>
      <c r="I195" s="641">
        <v>0</v>
      </c>
      <c r="J195" s="641">
        <v>0</v>
      </c>
      <c r="K195" s="641">
        <v>0</v>
      </c>
      <c r="L195" s="641">
        <v>0</v>
      </c>
      <c r="M195" s="641">
        <v>0</v>
      </c>
      <c r="N195" s="641">
        <v>0</v>
      </c>
      <c r="O195" s="641">
        <v>0</v>
      </c>
      <c r="P195" s="642">
        <v>0</v>
      </c>
      <c r="Q195" s="641">
        <v>0</v>
      </c>
      <c r="R195" s="641">
        <v>0</v>
      </c>
      <c r="S195" s="643">
        <v>-14.431507774067331</v>
      </c>
      <c r="U195" s="639" t="s">
        <v>62</v>
      </c>
      <c r="V195" s="640">
        <v>0</v>
      </c>
      <c r="W195" s="641">
        <v>0</v>
      </c>
      <c r="X195" s="641">
        <v>-5.3013702027186111</v>
      </c>
      <c r="Y195" s="640">
        <v>0</v>
      </c>
      <c r="Z195" s="641">
        <v>0</v>
      </c>
      <c r="AA195" s="641">
        <v>0</v>
      </c>
      <c r="AB195" s="641">
        <v>0</v>
      </c>
      <c r="AC195" s="641">
        <v>0</v>
      </c>
      <c r="AD195" s="641">
        <v>0</v>
      </c>
      <c r="AE195" s="641">
        <v>-5.1137296191648005</v>
      </c>
      <c r="AF195" s="641">
        <v>0</v>
      </c>
      <c r="AG195" s="641">
        <v>0</v>
      </c>
      <c r="AH195" s="642">
        <v>0</v>
      </c>
      <c r="AI195" s="641">
        <v>0</v>
      </c>
      <c r="AJ195" s="641">
        <v>0</v>
      </c>
      <c r="AK195" s="643">
        <v>-10.415099821883413</v>
      </c>
    </row>
    <row r="196" spans="3:37" x14ac:dyDescent="0.2">
      <c r="C196" s="639" t="s">
        <v>63</v>
      </c>
      <c r="D196" s="640">
        <v>0</v>
      </c>
      <c r="E196" s="641">
        <v>0</v>
      </c>
      <c r="F196" s="641">
        <v>-93.443844381495637</v>
      </c>
      <c r="G196" s="640">
        <v>0</v>
      </c>
      <c r="H196" s="641">
        <v>0</v>
      </c>
      <c r="I196" s="641">
        <v>0</v>
      </c>
      <c r="J196" s="641">
        <v>0</v>
      </c>
      <c r="K196" s="641">
        <v>0</v>
      </c>
      <c r="L196" s="641">
        <v>-0.96889726774865159</v>
      </c>
      <c r="M196" s="641">
        <v>0</v>
      </c>
      <c r="N196" s="641">
        <v>0</v>
      </c>
      <c r="O196" s="641">
        <v>0</v>
      </c>
      <c r="P196" s="642">
        <v>0</v>
      </c>
      <c r="Q196" s="641">
        <v>0</v>
      </c>
      <c r="R196" s="641">
        <v>0</v>
      </c>
      <c r="S196" s="643">
        <v>-94.412741649244282</v>
      </c>
      <c r="U196" s="639" t="s">
        <v>63</v>
      </c>
      <c r="V196" s="640">
        <v>0</v>
      </c>
      <c r="W196" s="641">
        <v>0</v>
      </c>
      <c r="X196" s="641">
        <v>-35.841594545498886</v>
      </c>
      <c r="Y196" s="640">
        <v>0</v>
      </c>
      <c r="Z196" s="641">
        <v>0</v>
      </c>
      <c r="AA196" s="641">
        <v>0</v>
      </c>
      <c r="AB196" s="641">
        <v>0</v>
      </c>
      <c r="AC196" s="641">
        <v>0</v>
      </c>
      <c r="AD196" s="641">
        <v>-46.567340427053182</v>
      </c>
      <c r="AE196" s="641">
        <v>0</v>
      </c>
      <c r="AF196" s="641">
        <v>0</v>
      </c>
      <c r="AG196" s="641">
        <v>0</v>
      </c>
      <c r="AH196" s="642">
        <v>0</v>
      </c>
      <c r="AI196" s="641">
        <v>0</v>
      </c>
      <c r="AJ196" s="641">
        <v>0</v>
      </c>
      <c r="AK196" s="643">
        <v>-82.408934972552061</v>
      </c>
    </row>
    <row r="197" spans="3:37" x14ac:dyDescent="0.2">
      <c r="C197" s="639" t="s">
        <v>64</v>
      </c>
      <c r="D197" s="640">
        <v>0</v>
      </c>
      <c r="E197" s="641">
        <v>0</v>
      </c>
      <c r="F197" s="641">
        <v>0</v>
      </c>
      <c r="G197" s="640">
        <v>0</v>
      </c>
      <c r="H197" s="641">
        <v>0</v>
      </c>
      <c r="I197" s="641">
        <v>0</v>
      </c>
      <c r="J197" s="641">
        <v>0</v>
      </c>
      <c r="K197" s="641">
        <v>0</v>
      </c>
      <c r="L197" s="641">
        <v>0</v>
      </c>
      <c r="M197" s="641">
        <v>0</v>
      </c>
      <c r="N197" s="641">
        <v>0</v>
      </c>
      <c r="O197" s="641">
        <v>0</v>
      </c>
      <c r="P197" s="642">
        <v>0</v>
      </c>
      <c r="Q197" s="641">
        <v>0</v>
      </c>
      <c r="R197" s="641">
        <v>0</v>
      </c>
      <c r="S197" s="643">
        <v>0</v>
      </c>
      <c r="U197" s="639" t="s">
        <v>64</v>
      </c>
      <c r="V197" s="640">
        <v>0</v>
      </c>
      <c r="W197" s="641">
        <v>0</v>
      </c>
      <c r="X197" s="641">
        <v>0</v>
      </c>
      <c r="Y197" s="640">
        <v>0</v>
      </c>
      <c r="Z197" s="641">
        <v>0</v>
      </c>
      <c r="AA197" s="641">
        <v>0</v>
      </c>
      <c r="AB197" s="641">
        <v>0</v>
      </c>
      <c r="AC197" s="641">
        <v>0</v>
      </c>
      <c r="AD197" s="641">
        <v>0</v>
      </c>
      <c r="AE197" s="641">
        <v>0</v>
      </c>
      <c r="AF197" s="641">
        <v>0</v>
      </c>
      <c r="AG197" s="641">
        <v>0</v>
      </c>
      <c r="AH197" s="642">
        <v>0</v>
      </c>
      <c r="AI197" s="641">
        <v>0</v>
      </c>
      <c r="AJ197" s="641">
        <v>0</v>
      </c>
      <c r="AK197" s="643">
        <v>0</v>
      </c>
    </row>
    <row r="198" spans="3:37" x14ac:dyDescent="0.2">
      <c r="C198" s="644" t="s">
        <v>65</v>
      </c>
      <c r="D198" s="645">
        <v>46.099891323621534</v>
      </c>
      <c r="E198" s="645">
        <v>464.7986487</v>
      </c>
      <c r="F198" s="645">
        <v>-59.341223439635421</v>
      </c>
      <c r="G198" s="645">
        <v>345.55093723566335</v>
      </c>
      <c r="H198" s="645">
        <v>727.27272727272737</v>
      </c>
      <c r="I198" s="645">
        <v>338.37995078139568</v>
      </c>
      <c r="J198" s="645">
        <v>190.84741038091113</v>
      </c>
      <c r="K198" s="645">
        <v>19.887492227897642</v>
      </c>
      <c r="L198" s="645">
        <v>2.7639977986594397</v>
      </c>
      <c r="M198" s="645">
        <v>0.16041590589481752</v>
      </c>
      <c r="N198" s="645">
        <v>75.083762899489528</v>
      </c>
      <c r="O198" s="645">
        <v>12.515766779598991</v>
      </c>
      <c r="P198" s="645">
        <v>-12.7985093299136</v>
      </c>
      <c r="Q198" s="645">
        <v>0</v>
      </c>
      <c r="R198" s="645">
        <v>0</v>
      </c>
      <c r="S198" s="645">
        <v>2151.2212685363102</v>
      </c>
      <c r="U198" s="644" t="s">
        <v>65</v>
      </c>
      <c r="V198" s="645">
        <v>4.5871215860372576</v>
      </c>
      <c r="W198" s="645">
        <v>113.59926767676768</v>
      </c>
      <c r="X198" s="645">
        <v>-21.004029293308101</v>
      </c>
      <c r="Y198" s="645">
        <v>0.51452681198611927</v>
      </c>
      <c r="Z198" s="645">
        <v>764.84848484848499</v>
      </c>
      <c r="AA198" s="645">
        <v>423.19995078139567</v>
      </c>
      <c r="AB198" s="645">
        <v>261.81197328019942</v>
      </c>
      <c r="AC198" s="645">
        <v>36.108430969743218</v>
      </c>
      <c r="AD198" s="645">
        <v>-42.834445360645091</v>
      </c>
      <c r="AE198" s="645">
        <v>-4.9533137132699832</v>
      </c>
      <c r="AF198" s="645">
        <v>123.16818516374138</v>
      </c>
      <c r="AG198" s="645">
        <v>30.250193334526926</v>
      </c>
      <c r="AH198" s="645">
        <v>-41.639986107117011</v>
      </c>
      <c r="AI198" s="645">
        <v>0</v>
      </c>
      <c r="AJ198" s="645">
        <v>0</v>
      </c>
      <c r="AK198" s="645">
        <v>1647.6563599785427</v>
      </c>
    </row>
    <row r="199" spans="3:37" x14ac:dyDescent="0.2">
      <c r="C199" s="634"/>
      <c r="D199" s="634">
        <v>0</v>
      </c>
      <c r="E199" s="634">
        <v>0</v>
      </c>
      <c r="F199" s="634">
        <v>0</v>
      </c>
      <c r="G199" s="634">
        <v>0</v>
      </c>
      <c r="H199" s="634">
        <v>0</v>
      </c>
      <c r="I199" s="634">
        <v>0</v>
      </c>
      <c r="J199" s="634">
        <v>0</v>
      </c>
      <c r="K199" s="634">
        <v>0</v>
      </c>
      <c r="L199" s="634">
        <v>0</v>
      </c>
      <c r="M199" s="634">
        <v>0</v>
      </c>
      <c r="N199" s="634">
        <v>0</v>
      </c>
      <c r="O199" s="634">
        <v>0</v>
      </c>
      <c r="P199" s="634">
        <v>0</v>
      </c>
      <c r="Q199" s="634">
        <v>0</v>
      </c>
      <c r="R199" s="634">
        <v>0</v>
      </c>
      <c r="S199" s="634">
        <v>0</v>
      </c>
      <c r="U199" s="634"/>
      <c r="V199" s="634">
        <v>0</v>
      </c>
      <c r="W199" s="634">
        <v>0</v>
      </c>
      <c r="X199" s="634">
        <v>0</v>
      </c>
      <c r="Y199" s="634">
        <v>0</v>
      </c>
      <c r="Z199" s="634">
        <v>0</v>
      </c>
      <c r="AA199" s="634">
        <v>0</v>
      </c>
      <c r="AB199" s="634">
        <v>0</v>
      </c>
      <c r="AC199" s="634">
        <v>0</v>
      </c>
      <c r="AD199" s="634">
        <v>0</v>
      </c>
      <c r="AE199" s="634">
        <v>0</v>
      </c>
      <c r="AF199" s="634">
        <v>0</v>
      </c>
      <c r="AG199" s="634">
        <v>0</v>
      </c>
      <c r="AH199" s="634">
        <v>0</v>
      </c>
      <c r="AI199" s="634">
        <v>0</v>
      </c>
      <c r="AJ199" s="634">
        <v>0</v>
      </c>
      <c r="AK199" s="634">
        <v>0</v>
      </c>
    </row>
    <row r="200" spans="3:37" x14ac:dyDescent="0.2">
      <c r="C200" s="646" t="s">
        <v>67</v>
      </c>
      <c r="D200" s="640">
        <v>0</v>
      </c>
      <c r="E200" s="647">
        <v>0</v>
      </c>
      <c r="F200" s="647">
        <v>0</v>
      </c>
      <c r="G200" s="640">
        <v>0</v>
      </c>
      <c r="H200" s="640">
        <v>0</v>
      </c>
      <c r="I200" s="640">
        <v>0</v>
      </c>
      <c r="J200" s="640">
        <v>0</v>
      </c>
      <c r="K200" s="640">
        <v>0</v>
      </c>
      <c r="L200" s="640">
        <v>0</v>
      </c>
      <c r="M200" s="640">
        <v>0</v>
      </c>
      <c r="N200" s="640">
        <v>0</v>
      </c>
      <c r="O200" s="640">
        <v>0</v>
      </c>
      <c r="P200" s="640">
        <v>0</v>
      </c>
      <c r="Q200" s="640">
        <v>0</v>
      </c>
      <c r="R200" s="640">
        <v>0</v>
      </c>
      <c r="S200" s="648">
        <v>0</v>
      </c>
      <c r="U200" s="646" t="s">
        <v>67</v>
      </c>
      <c r="V200" s="640">
        <v>0</v>
      </c>
      <c r="W200" s="647">
        <v>0</v>
      </c>
      <c r="X200" s="647">
        <v>0</v>
      </c>
      <c r="Y200" s="640">
        <v>0</v>
      </c>
      <c r="Z200" s="640">
        <v>0</v>
      </c>
      <c r="AA200" s="640">
        <v>0</v>
      </c>
      <c r="AB200" s="640">
        <v>0</v>
      </c>
      <c r="AC200" s="640">
        <v>0</v>
      </c>
      <c r="AD200" s="640">
        <v>0</v>
      </c>
      <c r="AE200" s="640">
        <v>0</v>
      </c>
      <c r="AF200" s="640">
        <v>0</v>
      </c>
      <c r="AG200" s="640">
        <v>0</v>
      </c>
      <c r="AH200" s="640">
        <v>0</v>
      </c>
      <c r="AI200" s="640">
        <v>0</v>
      </c>
      <c r="AJ200" s="640">
        <v>0</v>
      </c>
      <c r="AK200" s="648">
        <v>0</v>
      </c>
    </row>
    <row r="201" spans="3:37" x14ac:dyDescent="0.2">
      <c r="C201" s="646" t="s">
        <v>347</v>
      </c>
      <c r="D201" s="640">
        <v>2.8267856410252494</v>
      </c>
      <c r="E201" s="640">
        <v>0</v>
      </c>
      <c r="F201" s="640">
        <v>8.0599105831015567</v>
      </c>
      <c r="G201" s="640">
        <v>46.530346198952707</v>
      </c>
      <c r="H201" s="640">
        <v>727.27272727272737</v>
      </c>
      <c r="I201" s="640">
        <v>338.37995078139568</v>
      </c>
      <c r="J201" s="649">
        <v>28.452469116356035</v>
      </c>
      <c r="K201" s="649">
        <v>6.2305848357200952</v>
      </c>
      <c r="L201" s="649">
        <v>3.7328950664080915</v>
      </c>
      <c r="M201" s="649">
        <v>1.0761160081227215</v>
      </c>
      <c r="N201" s="649">
        <v>0</v>
      </c>
      <c r="O201" s="649">
        <v>7.5664382136221358</v>
      </c>
      <c r="P201" s="640">
        <v>-629.14515201417555</v>
      </c>
      <c r="Q201" s="640">
        <v>0</v>
      </c>
      <c r="R201" s="640">
        <v>0</v>
      </c>
      <c r="S201" s="648">
        <v>540.98307170325586</v>
      </c>
      <c r="U201" s="646" t="s">
        <v>347</v>
      </c>
      <c r="V201" s="640">
        <v>0.62631490545869017</v>
      </c>
      <c r="W201" s="640">
        <v>0</v>
      </c>
      <c r="X201" s="640">
        <v>4.1962742194651934</v>
      </c>
      <c r="Y201" s="640">
        <v>0</v>
      </c>
      <c r="Z201" s="640">
        <v>764.84848484848499</v>
      </c>
      <c r="AA201" s="640">
        <v>423.19995078139567</v>
      </c>
      <c r="AB201" s="649">
        <v>22.478183728982629</v>
      </c>
      <c r="AC201" s="649">
        <v>5.0926371917675839</v>
      </c>
      <c r="AD201" s="649">
        <v>3.7328950664080915</v>
      </c>
      <c r="AE201" s="649">
        <v>0.79318377276994545</v>
      </c>
      <c r="AF201" s="649">
        <v>0</v>
      </c>
      <c r="AG201" s="649">
        <v>7.5664382136221358</v>
      </c>
      <c r="AH201" s="640">
        <v>-696.77718495359215</v>
      </c>
      <c r="AI201" s="640">
        <v>0</v>
      </c>
      <c r="AJ201" s="640">
        <v>3.75</v>
      </c>
      <c r="AK201" s="648">
        <v>539.50717777476291</v>
      </c>
    </row>
    <row r="202" spans="3:37" x14ac:dyDescent="0.2">
      <c r="C202" s="646" t="s">
        <v>348</v>
      </c>
      <c r="D202" s="640">
        <v>0</v>
      </c>
      <c r="E202" s="640">
        <v>0</v>
      </c>
      <c r="F202" s="640">
        <v>0</v>
      </c>
      <c r="G202" s="640">
        <v>14.783508517784153</v>
      </c>
      <c r="H202" s="640">
        <v>0</v>
      </c>
      <c r="I202" s="640">
        <v>0</v>
      </c>
      <c r="J202" s="649">
        <v>12.163067049530284</v>
      </c>
      <c r="K202" s="649">
        <v>11.829214997579474</v>
      </c>
      <c r="L202" s="649">
        <v>0</v>
      </c>
      <c r="M202" s="649">
        <v>0.31740804730172578</v>
      </c>
      <c r="N202" s="649">
        <v>0</v>
      </c>
      <c r="O202" s="649">
        <v>2.086875550337155</v>
      </c>
      <c r="P202" s="640">
        <v>0</v>
      </c>
      <c r="Q202" s="640">
        <v>-37.667878685561853</v>
      </c>
      <c r="R202" s="640">
        <v>0</v>
      </c>
      <c r="S202" s="648">
        <v>3.5121954769709394</v>
      </c>
      <c r="U202" s="646" t="s">
        <v>348</v>
      </c>
      <c r="V202" s="640">
        <v>0</v>
      </c>
      <c r="W202" s="640">
        <v>0</v>
      </c>
      <c r="X202" s="640">
        <v>0</v>
      </c>
      <c r="Y202" s="640">
        <v>0</v>
      </c>
      <c r="Z202" s="640">
        <v>0</v>
      </c>
      <c r="AA202" s="640">
        <v>0</v>
      </c>
      <c r="AB202" s="649">
        <v>28.523630086620891</v>
      </c>
      <c r="AC202" s="649">
        <v>26.288013396118924</v>
      </c>
      <c r="AD202" s="649">
        <v>0</v>
      </c>
      <c r="AE202" s="649">
        <v>10.611192177482708</v>
      </c>
      <c r="AF202" s="649">
        <v>0</v>
      </c>
      <c r="AG202" s="649">
        <v>14.121402979798832</v>
      </c>
      <c r="AH202" s="640">
        <v>0</v>
      </c>
      <c r="AI202" s="640">
        <v>-74.176724382187018</v>
      </c>
      <c r="AJ202" s="640">
        <v>0</v>
      </c>
      <c r="AK202" s="648">
        <v>5.3675142578343316</v>
      </c>
    </row>
    <row r="203" spans="3:37" x14ac:dyDescent="0.2">
      <c r="C203" s="646" t="s">
        <v>349</v>
      </c>
      <c r="D203" s="640">
        <v>0</v>
      </c>
      <c r="E203" s="640">
        <v>0</v>
      </c>
      <c r="F203" s="640">
        <v>0</v>
      </c>
      <c r="G203" s="640">
        <v>0</v>
      </c>
      <c r="H203" s="640">
        <v>0</v>
      </c>
      <c r="I203" s="640">
        <v>0</v>
      </c>
      <c r="J203" s="650">
        <v>7.1450792385721682</v>
      </c>
      <c r="K203" s="650">
        <v>0</v>
      </c>
      <c r="L203" s="650">
        <v>0</v>
      </c>
      <c r="M203" s="650">
        <v>-6.8235506728364204</v>
      </c>
      <c r="N203" s="650">
        <v>0</v>
      </c>
      <c r="O203" s="650">
        <v>0</v>
      </c>
      <c r="P203" s="640">
        <v>0</v>
      </c>
      <c r="Q203" s="640">
        <v>0</v>
      </c>
      <c r="R203" s="640">
        <v>0</v>
      </c>
      <c r="S203" s="648">
        <v>0.32152856573574784</v>
      </c>
      <c r="U203" s="646" t="s">
        <v>349</v>
      </c>
      <c r="V203" s="640">
        <v>0</v>
      </c>
      <c r="W203" s="640">
        <v>0</v>
      </c>
      <c r="X203" s="640">
        <v>0</v>
      </c>
      <c r="Y203" s="640">
        <v>0</v>
      </c>
      <c r="Z203" s="640">
        <v>0</v>
      </c>
      <c r="AA203" s="640">
        <v>0</v>
      </c>
      <c r="AB203" s="650">
        <v>137.81211213320262</v>
      </c>
      <c r="AC203" s="650">
        <v>0</v>
      </c>
      <c r="AD203" s="650">
        <v>0</v>
      </c>
      <c r="AE203" s="650">
        <v>-131.61056708720849</v>
      </c>
      <c r="AF203" s="650">
        <v>0</v>
      </c>
      <c r="AG203" s="650">
        <v>0</v>
      </c>
      <c r="AH203" s="640">
        <v>0</v>
      </c>
      <c r="AI203" s="640">
        <v>0</v>
      </c>
      <c r="AJ203" s="640">
        <v>0</v>
      </c>
      <c r="AK203" s="648">
        <v>6.2015450459941235</v>
      </c>
    </row>
    <row r="204" spans="3:37" x14ac:dyDescent="0.2">
      <c r="C204" s="646" t="s">
        <v>350</v>
      </c>
      <c r="D204" s="640">
        <v>0</v>
      </c>
      <c r="E204" s="640">
        <v>0</v>
      </c>
      <c r="F204" s="640">
        <v>0</v>
      </c>
      <c r="G204" s="640">
        <v>0</v>
      </c>
      <c r="H204" s="640">
        <v>0</v>
      </c>
      <c r="I204" s="640">
        <v>0</v>
      </c>
      <c r="J204" s="640">
        <v>0</v>
      </c>
      <c r="K204" s="640">
        <v>0</v>
      </c>
      <c r="L204" s="640">
        <v>0</v>
      </c>
      <c r="M204" s="640">
        <v>0</v>
      </c>
      <c r="N204" s="640">
        <v>0</v>
      </c>
      <c r="O204" s="640">
        <v>0</v>
      </c>
      <c r="P204" s="640">
        <v>0</v>
      </c>
      <c r="Q204" s="640">
        <v>0</v>
      </c>
      <c r="R204" s="640">
        <v>0</v>
      </c>
      <c r="S204" s="648">
        <v>0</v>
      </c>
      <c r="U204" s="646" t="s">
        <v>350</v>
      </c>
      <c r="V204" s="640">
        <v>0</v>
      </c>
      <c r="W204" s="640">
        <v>0</v>
      </c>
      <c r="X204" s="640">
        <v>0</v>
      </c>
      <c r="Y204" s="640">
        <v>0</v>
      </c>
      <c r="Z204" s="640">
        <v>0</v>
      </c>
      <c r="AA204" s="640">
        <v>0</v>
      </c>
      <c r="AB204" s="640">
        <v>0</v>
      </c>
      <c r="AC204" s="640">
        <v>0</v>
      </c>
      <c r="AD204" s="640">
        <v>0</v>
      </c>
      <c r="AE204" s="640">
        <v>0</v>
      </c>
      <c r="AF204" s="640">
        <v>0</v>
      </c>
      <c r="AG204" s="640">
        <v>0</v>
      </c>
      <c r="AH204" s="640">
        <v>0</v>
      </c>
      <c r="AI204" s="640">
        <v>0</v>
      </c>
      <c r="AJ204" s="640">
        <v>0</v>
      </c>
      <c r="AK204" s="648">
        <v>0</v>
      </c>
    </row>
    <row r="205" spans="3:37" x14ac:dyDescent="0.2">
      <c r="C205" s="646" t="s">
        <v>72</v>
      </c>
      <c r="D205" s="640">
        <v>0</v>
      </c>
      <c r="E205" s="640">
        <v>481.48200000000003</v>
      </c>
      <c r="F205" s="640">
        <v>-476.66718000000003</v>
      </c>
      <c r="G205" s="640">
        <v>0</v>
      </c>
      <c r="H205" s="640">
        <v>0</v>
      </c>
      <c r="I205" s="640">
        <v>0</v>
      </c>
      <c r="J205" s="640">
        <v>0</v>
      </c>
      <c r="K205" s="640">
        <v>0</v>
      </c>
      <c r="L205" s="640">
        <v>0</v>
      </c>
      <c r="M205" s="640">
        <v>0</v>
      </c>
      <c r="N205" s="640">
        <v>0</v>
      </c>
      <c r="O205" s="640">
        <v>0</v>
      </c>
      <c r="P205" s="640">
        <v>0</v>
      </c>
      <c r="Q205" s="640">
        <v>0</v>
      </c>
      <c r="R205" s="640">
        <v>0</v>
      </c>
      <c r="S205" s="648">
        <v>4.8148199999999974</v>
      </c>
      <c r="U205" s="646" t="s">
        <v>72</v>
      </c>
      <c r="V205" s="640">
        <v>0</v>
      </c>
      <c r="W205" s="640">
        <v>117.67676767676768</v>
      </c>
      <c r="X205" s="640">
        <v>-116.5</v>
      </c>
      <c r="Y205" s="640">
        <v>0</v>
      </c>
      <c r="Z205" s="640">
        <v>0</v>
      </c>
      <c r="AA205" s="640">
        <v>0</v>
      </c>
      <c r="AB205" s="640">
        <v>0</v>
      </c>
      <c r="AC205" s="640">
        <v>0</v>
      </c>
      <c r="AD205" s="640">
        <v>0</v>
      </c>
      <c r="AE205" s="640">
        <v>0</v>
      </c>
      <c r="AF205" s="640">
        <v>0</v>
      </c>
      <c r="AG205" s="640">
        <v>0</v>
      </c>
      <c r="AH205" s="640">
        <v>0</v>
      </c>
      <c r="AI205" s="640">
        <v>0</v>
      </c>
      <c r="AJ205" s="640">
        <v>0</v>
      </c>
      <c r="AK205" s="648">
        <v>1.1767676767676818</v>
      </c>
    </row>
    <row r="206" spans="3:37" x14ac:dyDescent="0.2">
      <c r="C206" s="646" t="s">
        <v>351</v>
      </c>
      <c r="D206" s="640">
        <v>0</v>
      </c>
      <c r="E206" s="640">
        <v>0</v>
      </c>
      <c r="F206" s="640">
        <v>0</v>
      </c>
      <c r="G206" s="640">
        <v>0</v>
      </c>
      <c r="H206" s="640">
        <v>0</v>
      </c>
      <c r="I206" s="640">
        <v>0</v>
      </c>
      <c r="J206" s="640">
        <v>26.125483595276659</v>
      </c>
      <c r="K206" s="640">
        <v>0</v>
      </c>
      <c r="L206" s="640">
        <v>-26.125483595276659</v>
      </c>
      <c r="M206" s="640">
        <v>0</v>
      </c>
      <c r="N206" s="640">
        <v>0</v>
      </c>
      <c r="O206" s="640">
        <v>0</v>
      </c>
      <c r="P206" s="640">
        <v>0</v>
      </c>
      <c r="Q206" s="640">
        <v>0</v>
      </c>
      <c r="R206" s="640">
        <v>0</v>
      </c>
      <c r="S206" s="648">
        <v>0</v>
      </c>
      <c r="U206" s="646" t="s">
        <v>351</v>
      </c>
      <c r="V206" s="640">
        <v>0</v>
      </c>
      <c r="W206" s="640">
        <v>0</v>
      </c>
      <c r="X206" s="640">
        <v>0</v>
      </c>
      <c r="Y206" s="640">
        <v>0</v>
      </c>
      <c r="Z206" s="640">
        <v>0</v>
      </c>
      <c r="AA206" s="640">
        <v>0</v>
      </c>
      <c r="AB206" s="640" t="e">
        <v>#VALUE!</v>
      </c>
      <c r="AC206" s="640">
        <v>0</v>
      </c>
      <c r="AD206" s="640">
        <v>-100.69655001825291</v>
      </c>
      <c r="AE206" s="640">
        <v>0</v>
      </c>
      <c r="AF206" s="640">
        <v>0</v>
      </c>
      <c r="AG206" s="640">
        <v>0</v>
      </c>
      <c r="AH206" s="640">
        <v>0</v>
      </c>
      <c r="AI206" s="640">
        <v>0</v>
      </c>
      <c r="AJ206" s="640">
        <v>0</v>
      </c>
      <c r="AK206" s="648">
        <v>-100.69655001825291</v>
      </c>
    </row>
    <row r="207" spans="3:37" x14ac:dyDescent="0.2">
      <c r="C207" s="646" t="s">
        <v>352</v>
      </c>
      <c r="D207" s="640">
        <v>0</v>
      </c>
      <c r="E207" s="640">
        <v>0</v>
      </c>
      <c r="F207" s="640">
        <v>0</v>
      </c>
      <c r="G207" s="640">
        <v>0</v>
      </c>
      <c r="H207" s="640">
        <v>0</v>
      </c>
      <c r="I207" s="640">
        <v>0</v>
      </c>
      <c r="J207" s="640">
        <v>0</v>
      </c>
      <c r="K207" s="640">
        <v>0</v>
      </c>
      <c r="L207" s="640">
        <v>0</v>
      </c>
      <c r="M207" s="640">
        <v>0</v>
      </c>
      <c r="N207" s="640">
        <v>0</v>
      </c>
      <c r="O207" s="640">
        <v>0</v>
      </c>
      <c r="P207" s="640">
        <v>0</v>
      </c>
      <c r="Q207" s="640">
        <v>0</v>
      </c>
      <c r="R207" s="640">
        <v>0</v>
      </c>
      <c r="S207" s="648">
        <v>0</v>
      </c>
      <c r="U207" s="646" t="s">
        <v>352</v>
      </c>
      <c r="V207" s="640">
        <v>0</v>
      </c>
      <c r="W207" s="640">
        <v>0</v>
      </c>
      <c r="X207" s="640">
        <v>0</v>
      </c>
      <c r="Y207" s="640">
        <v>0</v>
      </c>
      <c r="Z207" s="640">
        <v>0</v>
      </c>
      <c r="AA207" s="640">
        <v>0</v>
      </c>
      <c r="AB207" s="640">
        <v>0</v>
      </c>
      <c r="AC207" s="640">
        <v>0</v>
      </c>
      <c r="AD207" s="640">
        <v>-28.460377640694865</v>
      </c>
      <c r="AE207" s="640">
        <v>0</v>
      </c>
      <c r="AF207" s="640">
        <v>0</v>
      </c>
      <c r="AG207" s="640">
        <v>0</v>
      </c>
      <c r="AH207" s="640">
        <v>0</v>
      </c>
      <c r="AI207" s="640">
        <v>0</v>
      </c>
      <c r="AJ207" s="640">
        <v>0</v>
      </c>
      <c r="AK207" s="648">
        <v>-28.460377640694865</v>
      </c>
    </row>
    <row r="208" spans="3:37" x14ac:dyDescent="0.2">
      <c r="C208" s="646" t="s">
        <v>73</v>
      </c>
      <c r="D208" s="640">
        <v>0</v>
      </c>
      <c r="E208" s="640">
        <v>0</v>
      </c>
      <c r="F208" s="640">
        <v>0</v>
      </c>
      <c r="G208" s="640">
        <v>8.6128889644156494</v>
      </c>
      <c r="H208" s="640">
        <v>0</v>
      </c>
      <c r="I208" s="640">
        <v>0</v>
      </c>
      <c r="J208" s="640">
        <v>0</v>
      </c>
      <c r="K208" s="640">
        <v>0.10101910584583218</v>
      </c>
      <c r="L208" s="640">
        <v>0</v>
      </c>
      <c r="M208" s="640">
        <v>0.17577324417174797</v>
      </c>
      <c r="N208" s="640">
        <v>0</v>
      </c>
      <c r="O208" s="640">
        <v>0</v>
      </c>
      <c r="P208" s="640">
        <v>1.1785562348680418</v>
      </c>
      <c r="Q208" s="640">
        <v>0</v>
      </c>
      <c r="R208" s="640">
        <v>-7.071337409208251</v>
      </c>
      <c r="S208" s="648">
        <v>2.99690014009302</v>
      </c>
      <c r="U208" s="646" t="s">
        <v>73</v>
      </c>
      <c r="V208" s="640">
        <v>0</v>
      </c>
      <c r="W208" s="640">
        <v>0</v>
      </c>
      <c r="X208" s="640">
        <v>0</v>
      </c>
      <c r="Y208" s="640">
        <v>0</v>
      </c>
      <c r="Z208" s="640">
        <v>0</v>
      </c>
      <c r="AA208" s="640">
        <v>0</v>
      </c>
      <c r="AB208" s="640">
        <v>0</v>
      </c>
      <c r="AC208" s="640">
        <v>0.58294529496624936</v>
      </c>
      <c r="AD208" s="640">
        <v>0</v>
      </c>
      <c r="AE208" s="640">
        <v>0</v>
      </c>
      <c r="AF208" s="640">
        <v>0</v>
      </c>
      <c r="AG208" s="640">
        <v>0</v>
      </c>
      <c r="AH208" s="640">
        <v>56.108484640501494</v>
      </c>
      <c r="AI208" s="640">
        <v>0</v>
      </c>
      <c r="AJ208" s="640">
        <v>-40.806170647637451</v>
      </c>
      <c r="AK208" s="648">
        <v>15.885259287830294</v>
      </c>
    </row>
    <row r="209" spans="3:37" x14ac:dyDescent="0.2">
      <c r="C209" s="646" t="s">
        <v>353</v>
      </c>
      <c r="D209" s="640">
        <v>28.51179328125</v>
      </c>
      <c r="E209" s="640">
        <v>-16.683351300000002</v>
      </c>
      <c r="F209" s="640">
        <v>21.820838094867195</v>
      </c>
      <c r="G209" s="640">
        <v>0</v>
      </c>
      <c r="H209" s="640">
        <v>0</v>
      </c>
      <c r="I209" s="640">
        <v>0</v>
      </c>
      <c r="J209" s="640">
        <v>0</v>
      </c>
      <c r="K209" s="640">
        <v>0</v>
      </c>
      <c r="L209" s="640">
        <v>0</v>
      </c>
      <c r="M209" s="640">
        <v>0</v>
      </c>
      <c r="N209" s="640">
        <v>0</v>
      </c>
      <c r="O209" s="640">
        <v>0</v>
      </c>
      <c r="P209" s="640">
        <v>0</v>
      </c>
      <c r="Q209" s="640">
        <v>0</v>
      </c>
      <c r="R209" s="640">
        <v>0</v>
      </c>
      <c r="S209" s="648">
        <v>33.649280076117194</v>
      </c>
      <c r="U209" s="646" t="s">
        <v>353</v>
      </c>
      <c r="V209" s="640">
        <v>0.72303211975097659</v>
      </c>
      <c r="W209" s="640">
        <v>-4.0775000000000006</v>
      </c>
      <c r="X209" s="640">
        <v>5.333129161634389</v>
      </c>
      <c r="Y209" s="640">
        <v>0</v>
      </c>
      <c r="Z209" s="640">
        <v>0</v>
      </c>
      <c r="AA209" s="640">
        <v>0</v>
      </c>
      <c r="AB209" s="640">
        <v>0</v>
      </c>
      <c r="AC209" s="640">
        <v>0</v>
      </c>
      <c r="AD209" s="640">
        <v>0</v>
      </c>
      <c r="AE209" s="640">
        <v>0</v>
      </c>
      <c r="AF209" s="640">
        <v>0</v>
      </c>
      <c r="AG209" s="640">
        <v>0</v>
      </c>
      <c r="AH209" s="640">
        <v>0</v>
      </c>
      <c r="AI209" s="640">
        <v>0</v>
      </c>
      <c r="AJ209" s="640">
        <v>0</v>
      </c>
      <c r="AK209" s="648">
        <v>1.978661281385365</v>
      </c>
    </row>
    <row r="210" spans="3:37" x14ac:dyDescent="0.2">
      <c r="C210" s="646" t="s">
        <v>75</v>
      </c>
      <c r="D210" s="640">
        <v>11.087919609375001</v>
      </c>
      <c r="E210" s="640">
        <v>0</v>
      </c>
      <c r="F210" s="640">
        <v>16.370388000000002</v>
      </c>
      <c r="G210" s="640">
        <v>4.6713383640000004</v>
      </c>
      <c r="H210" s="640">
        <v>0</v>
      </c>
      <c r="I210" s="640">
        <v>0</v>
      </c>
      <c r="J210" s="640">
        <v>0</v>
      </c>
      <c r="K210" s="640">
        <v>0</v>
      </c>
      <c r="L210" s="640">
        <v>0</v>
      </c>
      <c r="M210" s="640">
        <v>9.5333436000000008E-2</v>
      </c>
      <c r="N210" s="640">
        <v>0</v>
      </c>
      <c r="O210" s="640">
        <v>0</v>
      </c>
      <c r="P210" s="640">
        <v>26.129145836866744</v>
      </c>
      <c r="Q210" s="640">
        <v>0</v>
      </c>
      <c r="R210" s="640">
        <v>0</v>
      </c>
      <c r="S210" s="648">
        <v>58.35412524624175</v>
      </c>
      <c r="U210" s="646" t="s">
        <v>75</v>
      </c>
      <c r="V210" s="640">
        <v>1.73775830078125</v>
      </c>
      <c r="W210" s="640">
        <v>0</v>
      </c>
      <c r="X210" s="640">
        <v>16.370388000000002</v>
      </c>
      <c r="Y210" s="640">
        <v>0</v>
      </c>
      <c r="Z210" s="640">
        <v>0</v>
      </c>
      <c r="AA210" s="640">
        <v>0</v>
      </c>
      <c r="AB210" s="640">
        <v>0</v>
      </c>
      <c r="AC210" s="640">
        <v>0</v>
      </c>
      <c r="AD210" s="640">
        <v>0</v>
      </c>
      <c r="AE210" s="640">
        <v>4.7666718000000001</v>
      </c>
      <c r="AF210" s="640">
        <v>0</v>
      </c>
      <c r="AG210" s="640">
        <v>0</v>
      </c>
      <c r="AH210" s="640">
        <v>36.696565665655768</v>
      </c>
      <c r="AI210" s="640">
        <v>0</v>
      </c>
      <c r="AJ210" s="640">
        <v>0</v>
      </c>
      <c r="AK210" s="648">
        <v>59.571383766437016</v>
      </c>
    </row>
    <row r="211" spans="3:37" x14ac:dyDescent="0.2">
      <c r="C211" s="646" t="s">
        <v>76</v>
      </c>
      <c r="D211" s="640">
        <v>0</v>
      </c>
      <c r="E211" s="640">
        <v>0</v>
      </c>
      <c r="F211" s="640">
        <v>0</v>
      </c>
      <c r="G211" s="640">
        <v>3.9646717348100942</v>
      </c>
      <c r="H211" s="640">
        <v>0</v>
      </c>
      <c r="I211" s="640">
        <v>0</v>
      </c>
      <c r="J211" s="640">
        <v>0</v>
      </c>
      <c r="K211" s="640">
        <v>0</v>
      </c>
      <c r="L211" s="640">
        <v>0</v>
      </c>
      <c r="M211" s="640">
        <v>8.0911668057348868E-2</v>
      </c>
      <c r="N211" s="640">
        <v>0</v>
      </c>
      <c r="O211" s="640">
        <v>0</v>
      </c>
      <c r="P211" s="640">
        <v>47.131742012269626</v>
      </c>
      <c r="Q211" s="640">
        <v>2.9238621334994321</v>
      </c>
      <c r="R211" s="640">
        <v>0</v>
      </c>
      <c r="S211" s="648">
        <v>54.101187548636503</v>
      </c>
      <c r="U211" s="646" t="s">
        <v>76</v>
      </c>
      <c r="V211" s="640">
        <v>0</v>
      </c>
      <c r="W211" s="640">
        <v>0</v>
      </c>
      <c r="X211" s="640">
        <v>0</v>
      </c>
      <c r="Y211" s="640">
        <v>0</v>
      </c>
      <c r="Z211" s="640">
        <v>0</v>
      </c>
      <c r="AA211" s="640">
        <v>0</v>
      </c>
      <c r="AB211" s="640">
        <v>0</v>
      </c>
      <c r="AC211" s="640">
        <v>0</v>
      </c>
      <c r="AD211" s="640">
        <v>0</v>
      </c>
      <c r="AE211" s="640">
        <v>1.5605996097297452</v>
      </c>
      <c r="AF211" s="640">
        <v>0</v>
      </c>
      <c r="AG211" s="640">
        <v>0</v>
      </c>
      <c r="AH211" s="640">
        <v>50.104610120731024</v>
      </c>
      <c r="AI211" s="640">
        <v>5.7529608775183565</v>
      </c>
      <c r="AJ211" s="640">
        <v>0</v>
      </c>
      <c r="AK211" s="648">
        <v>57.418170607979121</v>
      </c>
    </row>
    <row r="212" spans="3:37" x14ac:dyDescent="0.2">
      <c r="C212" s="644" t="s">
        <v>77</v>
      </c>
      <c r="D212" s="645">
        <v>42.426498531650253</v>
      </c>
      <c r="E212" s="645">
        <v>464.7986487</v>
      </c>
      <c r="F212" s="645">
        <v>-430.41604332203127</v>
      </c>
      <c r="G212" s="645">
        <v>78.562753779962591</v>
      </c>
      <c r="H212" s="645">
        <v>727.27272727272737</v>
      </c>
      <c r="I212" s="645">
        <v>338.37995078139568</v>
      </c>
      <c r="J212" s="645">
        <v>73.88609899973514</v>
      </c>
      <c r="K212" s="645">
        <v>18.1608189391454</v>
      </c>
      <c r="L212" s="645">
        <v>-22.392588528868568</v>
      </c>
      <c r="M212" s="645">
        <v>-5.0780082691828765</v>
      </c>
      <c r="N212" s="645">
        <v>0</v>
      </c>
      <c r="O212" s="645">
        <v>9.6533137639592894</v>
      </c>
      <c r="P212" s="645">
        <v>-554.70570793017112</v>
      </c>
      <c r="Q212" s="645">
        <v>-34.744016552062419</v>
      </c>
      <c r="R212" s="645">
        <v>-7.071337409208251</v>
      </c>
      <c r="S212" s="645">
        <v>698.73310875705101</v>
      </c>
      <c r="U212" s="644" t="s">
        <v>77</v>
      </c>
      <c r="V212" s="645">
        <v>3.0871053259909167</v>
      </c>
      <c r="W212" s="645">
        <v>113.59926767676768</v>
      </c>
      <c r="X212" s="645">
        <v>-90.60020861890041</v>
      </c>
      <c r="Y212" s="645">
        <v>0</v>
      </c>
      <c r="Z212" s="645">
        <v>764.84848484848499</v>
      </c>
      <c r="AA212" s="645">
        <v>423.19995078139567</v>
      </c>
      <c r="AB212" s="645">
        <v>188.81392594880614</v>
      </c>
      <c r="AC212" s="645">
        <v>31.963595882852758</v>
      </c>
      <c r="AD212" s="645">
        <v>-125.42403259253969</v>
      </c>
      <c r="AE212" s="645">
        <v>-113.87891972722609</v>
      </c>
      <c r="AF212" s="645">
        <v>0</v>
      </c>
      <c r="AG212" s="645">
        <v>21.687841193420969</v>
      </c>
      <c r="AH212" s="645">
        <v>-553.86752452670385</v>
      </c>
      <c r="AI212" s="645">
        <v>-68.423763504668656</v>
      </c>
      <c r="AJ212" s="645">
        <v>-37.056170647637451</v>
      </c>
      <c r="AK212" s="645">
        <v>557.94955204004305</v>
      </c>
    </row>
    <row r="213" spans="3:37" x14ac:dyDescent="0.2">
      <c r="C213" s="634"/>
      <c r="D213" s="634">
        <v>0</v>
      </c>
      <c r="E213" s="634">
        <v>0</v>
      </c>
      <c r="F213" s="634">
        <v>0</v>
      </c>
      <c r="G213" s="634">
        <v>0</v>
      </c>
      <c r="H213" s="634">
        <v>0</v>
      </c>
      <c r="I213" s="634">
        <v>0</v>
      </c>
      <c r="J213" s="634">
        <v>0</v>
      </c>
      <c r="K213" s="634">
        <v>0</v>
      </c>
      <c r="L213" s="634">
        <v>0</v>
      </c>
      <c r="M213" s="634">
        <v>0</v>
      </c>
      <c r="N213" s="634">
        <v>0</v>
      </c>
      <c r="O213" s="634">
        <v>0</v>
      </c>
      <c r="P213" s="634">
        <v>0</v>
      </c>
      <c r="Q213" s="634">
        <v>0</v>
      </c>
      <c r="R213" s="634">
        <v>0</v>
      </c>
      <c r="S213" s="634">
        <v>0</v>
      </c>
      <c r="U213" s="634"/>
      <c r="V213" s="634">
        <v>0</v>
      </c>
      <c r="W213" s="634">
        <v>0</v>
      </c>
      <c r="X213" s="634">
        <v>0</v>
      </c>
      <c r="Y213" s="634">
        <v>0</v>
      </c>
      <c r="Z213" s="634">
        <v>0</v>
      </c>
      <c r="AA213" s="634">
        <v>0</v>
      </c>
      <c r="AB213" s="634">
        <v>0</v>
      </c>
      <c r="AC213" s="634">
        <v>0</v>
      </c>
      <c r="AD213" s="634">
        <v>0</v>
      </c>
      <c r="AE213" s="634">
        <v>0</v>
      </c>
      <c r="AF213" s="634">
        <v>0</v>
      </c>
      <c r="AG213" s="634">
        <v>0</v>
      </c>
      <c r="AH213" s="634">
        <v>0</v>
      </c>
      <c r="AI213" s="634">
        <v>0</v>
      </c>
      <c r="AJ213" s="634">
        <v>0</v>
      </c>
      <c r="AK213" s="634">
        <v>0</v>
      </c>
    </row>
    <row r="214" spans="3:37" x14ac:dyDescent="0.2">
      <c r="C214" s="646" t="s">
        <v>78</v>
      </c>
      <c r="D214" s="640">
        <v>3.6733927919712848</v>
      </c>
      <c r="E214" s="640">
        <v>0</v>
      </c>
      <c r="F214" s="640">
        <v>19.397200033553816</v>
      </c>
      <c r="G214" s="640">
        <v>91.130108310207916</v>
      </c>
      <c r="H214" s="640">
        <v>0</v>
      </c>
      <c r="I214" s="640">
        <v>0</v>
      </c>
      <c r="J214" s="640">
        <v>22.791437377983073</v>
      </c>
      <c r="K214" s="640">
        <v>1.7013098714668424</v>
      </c>
      <c r="L214" s="640">
        <v>1.007010953125</v>
      </c>
      <c r="M214" s="640">
        <v>1.8779931367345493</v>
      </c>
      <c r="N214" s="640">
        <v>0</v>
      </c>
      <c r="O214" s="640">
        <v>3.7093504340600874E-4</v>
      </c>
      <c r="P214" s="640">
        <v>114.54790196708234</v>
      </c>
      <c r="Q214" s="640">
        <v>16.21056036467343</v>
      </c>
      <c r="R214" s="640">
        <v>0.23655174255371095</v>
      </c>
      <c r="S214" s="648">
        <v>272.57383748439537</v>
      </c>
      <c r="U214" s="646" t="s">
        <v>78</v>
      </c>
      <c r="V214" s="640">
        <v>1.5000162600463405</v>
      </c>
      <c r="W214" s="640">
        <v>0</v>
      </c>
      <c r="X214" s="640">
        <v>0.65820239923796242</v>
      </c>
      <c r="Y214" s="640">
        <v>0</v>
      </c>
      <c r="Z214" s="640">
        <v>0</v>
      </c>
      <c r="AA214" s="640">
        <v>0</v>
      </c>
      <c r="AB214" s="640">
        <v>14.22856522114639</v>
      </c>
      <c r="AC214" s="640">
        <v>4.1194716696050602</v>
      </c>
      <c r="AD214" s="640">
        <v>8.3494072265624997</v>
      </c>
      <c r="AE214" s="640">
        <v>60.539358802903692</v>
      </c>
      <c r="AF214" s="640">
        <v>0</v>
      </c>
      <c r="AG214" s="640">
        <v>3.7093504340600874E-4</v>
      </c>
      <c r="AH214" s="640">
        <v>157.01971492382648</v>
      </c>
      <c r="AI214" s="640">
        <v>25.540840498351418</v>
      </c>
      <c r="AJ214" s="640">
        <v>8.9542294921874994</v>
      </c>
      <c r="AK214" s="648">
        <v>280.91017742891074</v>
      </c>
    </row>
    <row r="215" spans="3:37" x14ac:dyDescent="0.2">
      <c r="C215" s="646" t="s">
        <v>79</v>
      </c>
      <c r="D215" s="640">
        <v>0</v>
      </c>
      <c r="E215" s="640">
        <v>0</v>
      </c>
      <c r="F215" s="640">
        <v>216.8751541495462</v>
      </c>
      <c r="G215" s="640">
        <v>32.745585882615877</v>
      </c>
      <c r="H215" s="640">
        <v>0</v>
      </c>
      <c r="I215" s="640">
        <v>0</v>
      </c>
      <c r="J215" s="640">
        <v>0</v>
      </c>
      <c r="K215" s="640">
        <v>0</v>
      </c>
      <c r="L215" s="640">
        <v>20.896591906701669</v>
      </c>
      <c r="M215" s="640">
        <v>0.66827726291052814</v>
      </c>
      <c r="N215" s="640">
        <v>0</v>
      </c>
      <c r="O215" s="640">
        <v>0</v>
      </c>
      <c r="P215" s="640">
        <v>80.819270278256823</v>
      </c>
      <c r="Q215" s="640">
        <v>0</v>
      </c>
      <c r="R215" s="640">
        <v>2.9193508940431485</v>
      </c>
      <c r="S215" s="648">
        <v>354.92423037407423</v>
      </c>
      <c r="U215" s="646" t="s">
        <v>79</v>
      </c>
      <c r="V215" s="640">
        <v>0</v>
      </c>
      <c r="W215" s="640">
        <v>0</v>
      </c>
      <c r="X215" s="640">
        <v>8.8339079607242379</v>
      </c>
      <c r="Y215" s="640">
        <v>0</v>
      </c>
      <c r="Z215" s="640">
        <v>0</v>
      </c>
      <c r="AA215" s="640">
        <v>0</v>
      </c>
      <c r="AB215" s="640">
        <v>0</v>
      </c>
      <c r="AC215" s="640">
        <v>0</v>
      </c>
      <c r="AD215" s="640">
        <v>12.788272739607951</v>
      </c>
      <c r="AE215" s="640">
        <v>24.887279738493259</v>
      </c>
      <c r="AF215" s="640">
        <v>0</v>
      </c>
      <c r="AG215" s="640">
        <v>0</v>
      </c>
      <c r="AH215" s="640">
        <v>93.844452584108197</v>
      </c>
      <c r="AI215" s="640">
        <v>0</v>
      </c>
      <c r="AJ215" s="640">
        <v>7.1149935986121697</v>
      </c>
      <c r="AK215" s="648">
        <v>147.46890662154581</v>
      </c>
    </row>
    <row r="216" spans="3:37" x14ac:dyDescent="0.2">
      <c r="C216" s="646" t="s">
        <v>80</v>
      </c>
      <c r="D216" s="640">
        <v>0</v>
      </c>
      <c r="E216" s="640">
        <v>0</v>
      </c>
      <c r="F216" s="640">
        <v>5.2094674308398901</v>
      </c>
      <c r="G216" s="640">
        <v>68.551385920257417</v>
      </c>
      <c r="H216" s="640">
        <v>0</v>
      </c>
      <c r="I216" s="640">
        <v>0</v>
      </c>
      <c r="J216" s="640">
        <v>86.155325304334795</v>
      </c>
      <c r="K216" s="640">
        <v>0</v>
      </c>
      <c r="L216" s="640">
        <v>0</v>
      </c>
      <c r="M216" s="640">
        <v>1.3990078759236206</v>
      </c>
      <c r="N216" s="640">
        <v>66.478227859390046</v>
      </c>
      <c r="O216" s="640">
        <v>2.1206229173139883</v>
      </c>
      <c r="P216" s="640">
        <v>194.47767196350526</v>
      </c>
      <c r="Q216" s="640">
        <v>15.182773802844931</v>
      </c>
      <c r="R216" s="640">
        <v>0</v>
      </c>
      <c r="S216" s="648">
        <v>439.5744830744099</v>
      </c>
      <c r="U216" s="646" t="s">
        <v>80</v>
      </c>
      <c r="V216" s="640">
        <v>0</v>
      </c>
      <c r="W216" s="640">
        <v>0</v>
      </c>
      <c r="X216" s="640">
        <v>0.92826525658471626</v>
      </c>
      <c r="Y216" s="640">
        <v>0</v>
      </c>
      <c r="Z216" s="640">
        <v>0</v>
      </c>
      <c r="AA216" s="640">
        <v>0</v>
      </c>
      <c r="AB216" s="640">
        <v>47.227858114444189</v>
      </c>
      <c r="AC216" s="640">
        <v>0</v>
      </c>
      <c r="AD216" s="640">
        <v>0</v>
      </c>
      <c r="AE216" s="640">
        <v>17.293312779197663</v>
      </c>
      <c r="AF216" s="640">
        <v>108.09916343666818</v>
      </c>
      <c r="AG216" s="640">
        <v>4.9369795689122755</v>
      </c>
      <c r="AH216" s="640">
        <v>137.38519988829395</v>
      </c>
      <c r="AI216" s="640">
        <v>27.91071693101145</v>
      </c>
      <c r="AJ216" s="640">
        <v>0</v>
      </c>
      <c r="AK216" s="648">
        <v>343.78149597511242</v>
      </c>
    </row>
    <row r="217" spans="3:37" x14ac:dyDescent="0.2">
      <c r="C217" s="646" t="s">
        <v>81</v>
      </c>
      <c r="D217" s="640">
        <v>0</v>
      </c>
      <c r="E217" s="640">
        <v>0</v>
      </c>
      <c r="F217" s="640">
        <v>2.3181271880740835</v>
      </c>
      <c r="G217" s="640">
        <v>62.553452404821357</v>
      </c>
      <c r="H217" s="640">
        <v>0</v>
      </c>
      <c r="I217" s="640">
        <v>0</v>
      </c>
      <c r="J217" s="640">
        <v>3.0090868580403627</v>
      </c>
      <c r="K217" s="640">
        <v>2.5363417285398034E-2</v>
      </c>
      <c r="L217" s="640">
        <v>0</v>
      </c>
      <c r="M217" s="640">
        <v>1.27660106948615</v>
      </c>
      <c r="N217" s="640">
        <v>8.6055350400994808</v>
      </c>
      <c r="O217" s="640">
        <v>0.68093940948821108</v>
      </c>
      <c r="P217" s="640">
        <v>146.08879967332064</v>
      </c>
      <c r="Q217" s="640">
        <v>3.3506823845440552</v>
      </c>
      <c r="R217" s="640">
        <v>0</v>
      </c>
      <c r="S217" s="648">
        <v>227.90858744515972</v>
      </c>
      <c r="U217" s="646" t="s">
        <v>81</v>
      </c>
      <c r="V217" s="640">
        <v>0</v>
      </c>
      <c r="W217" s="640">
        <v>0</v>
      </c>
      <c r="X217" s="640">
        <v>0.55102356567889155</v>
      </c>
      <c r="Y217" s="640">
        <v>0</v>
      </c>
      <c r="Z217" s="640">
        <v>0</v>
      </c>
      <c r="AA217" s="640">
        <v>0</v>
      </c>
      <c r="AB217" s="640">
        <v>6.5361621549849476</v>
      </c>
      <c r="AC217" s="640">
        <v>2.5363417285398034E-2</v>
      </c>
      <c r="AD217" s="640">
        <v>0</v>
      </c>
      <c r="AE217" s="640">
        <v>5.3379988256415478</v>
      </c>
      <c r="AF217" s="640">
        <v>15.069021727073199</v>
      </c>
      <c r="AG217" s="640">
        <v>1.4375946320597892</v>
      </c>
      <c r="AH217" s="640">
        <v>112.31243747223964</v>
      </c>
      <c r="AI217" s="640">
        <v>14.972206075305797</v>
      </c>
      <c r="AJ217" s="640">
        <v>0</v>
      </c>
      <c r="AK217" s="648">
        <v>156.24180787026921</v>
      </c>
    </row>
    <row r="218" spans="3:37" x14ac:dyDescent="0.2">
      <c r="C218" s="646" t="s">
        <v>82</v>
      </c>
      <c r="D218" s="640">
        <v>0</v>
      </c>
      <c r="E218" s="640">
        <v>0</v>
      </c>
      <c r="F218" s="640">
        <v>27.219719362233906</v>
      </c>
      <c r="G218" s="640">
        <v>0.81069667111944488</v>
      </c>
      <c r="H218" s="640">
        <v>0</v>
      </c>
      <c r="I218" s="640">
        <v>0</v>
      </c>
      <c r="J218" s="640">
        <v>5.0054618408177598</v>
      </c>
      <c r="K218" s="640">
        <v>0</v>
      </c>
      <c r="L218" s="640">
        <v>3.2629555410385191</v>
      </c>
      <c r="M218" s="640">
        <v>1.6544830022845812E-2</v>
      </c>
      <c r="N218" s="640">
        <v>0</v>
      </c>
      <c r="O218" s="640">
        <v>6.051975379409523E-2</v>
      </c>
      <c r="P218" s="640">
        <v>5.5235547180923223</v>
      </c>
      <c r="Q218" s="640">
        <v>0</v>
      </c>
      <c r="R218" s="640">
        <v>0</v>
      </c>
      <c r="S218" s="648">
        <v>41.899452717118898</v>
      </c>
      <c r="U218" s="646" t="s">
        <v>82</v>
      </c>
      <c r="V218" s="640">
        <v>0</v>
      </c>
      <c r="W218" s="640">
        <v>0</v>
      </c>
      <c r="X218" s="640">
        <v>0.67158967449506357</v>
      </c>
      <c r="Y218" s="640">
        <v>0</v>
      </c>
      <c r="Z218" s="640">
        <v>0</v>
      </c>
      <c r="AA218" s="640">
        <v>0</v>
      </c>
      <c r="AB218" s="640">
        <v>5.0054618408177598</v>
      </c>
      <c r="AC218" s="640">
        <v>0</v>
      </c>
      <c r="AD218" s="640">
        <v>35.167200828266267</v>
      </c>
      <c r="AE218" s="640">
        <v>0.86765586771995196</v>
      </c>
      <c r="AF218" s="640">
        <v>0</v>
      </c>
      <c r="AG218" s="640">
        <v>2.1874070050904897</v>
      </c>
      <c r="AH218" s="640">
        <v>5.6657335511185538</v>
      </c>
      <c r="AI218" s="640">
        <v>0</v>
      </c>
      <c r="AJ218" s="640">
        <v>0.44339331184266689</v>
      </c>
      <c r="AK218" s="648">
        <v>50.008442079350758</v>
      </c>
    </row>
    <row r="219" spans="3:37" x14ac:dyDescent="0.2">
      <c r="C219" s="646" t="s">
        <v>354</v>
      </c>
      <c r="D219" s="640">
        <v>0</v>
      </c>
      <c r="E219" s="640">
        <v>0</v>
      </c>
      <c r="F219" s="640">
        <v>0</v>
      </c>
      <c r="G219" s="640">
        <v>0</v>
      </c>
      <c r="H219" s="640">
        <v>0</v>
      </c>
      <c r="I219" s="640">
        <v>0</v>
      </c>
      <c r="J219" s="640">
        <v>0</v>
      </c>
      <c r="K219" s="640">
        <v>0</v>
      </c>
      <c r="L219" s="640">
        <v>0</v>
      </c>
      <c r="M219" s="640">
        <v>0</v>
      </c>
      <c r="N219" s="640">
        <v>0</v>
      </c>
      <c r="O219" s="640">
        <v>0</v>
      </c>
      <c r="P219" s="640">
        <v>0.44999999999999996</v>
      </c>
      <c r="Q219" s="640">
        <v>0</v>
      </c>
      <c r="R219" s="640">
        <v>0</v>
      </c>
      <c r="S219" s="648">
        <v>0.44999999999999996</v>
      </c>
      <c r="U219" s="646" t="s">
        <v>354</v>
      </c>
      <c r="V219" s="640">
        <v>0</v>
      </c>
      <c r="W219" s="640">
        <v>0</v>
      </c>
      <c r="X219" s="640">
        <v>0</v>
      </c>
      <c r="Y219" s="640">
        <v>0</v>
      </c>
      <c r="Z219" s="640">
        <v>0</v>
      </c>
      <c r="AA219" s="640">
        <v>0</v>
      </c>
      <c r="AB219" s="640">
        <v>0</v>
      </c>
      <c r="AC219" s="640">
        <v>0</v>
      </c>
      <c r="AD219" s="640">
        <v>0</v>
      </c>
      <c r="AE219" s="640">
        <v>0</v>
      </c>
      <c r="AF219" s="640">
        <v>0</v>
      </c>
      <c r="AG219" s="640">
        <v>0</v>
      </c>
      <c r="AH219" s="640">
        <v>6</v>
      </c>
      <c r="AI219" s="640">
        <v>0</v>
      </c>
      <c r="AJ219" s="640">
        <v>0</v>
      </c>
      <c r="AK219" s="648">
        <v>6</v>
      </c>
    </row>
    <row r="220" spans="3:37" x14ac:dyDescent="0.2">
      <c r="C220" s="644" t="s">
        <v>83</v>
      </c>
      <c r="D220" s="645">
        <v>3.6733927919712848</v>
      </c>
      <c r="E220" s="645">
        <v>0</v>
      </c>
      <c r="F220" s="645">
        <v>271.01966816424783</v>
      </c>
      <c r="G220" s="645">
        <v>255.79122918902203</v>
      </c>
      <c r="H220" s="645">
        <v>0</v>
      </c>
      <c r="I220" s="645">
        <v>0</v>
      </c>
      <c r="J220" s="645">
        <v>116.96131138117599</v>
      </c>
      <c r="K220" s="645">
        <v>1.7266732887522405</v>
      </c>
      <c r="L220" s="645">
        <v>25.166558400865188</v>
      </c>
      <c r="M220" s="645">
        <v>5.238424175077693</v>
      </c>
      <c r="N220" s="645">
        <v>75.083762899489528</v>
      </c>
      <c r="O220" s="645">
        <v>2.8624530156397006</v>
      </c>
      <c r="P220" s="645">
        <v>541.90719860025752</v>
      </c>
      <c r="Q220" s="645">
        <v>34.744016552062419</v>
      </c>
      <c r="R220" s="645">
        <v>3.1559026365968594</v>
      </c>
      <c r="S220" s="645">
        <v>1337.3305910951583</v>
      </c>
      <c r="U220" s="644" t="s">
        <v>83</v>
      </c>
      <c r="V220" s="645">
        <v>1.5000162600463405</v>
      </c>
      <c r="W220" s="645">
        <v>0</v>
      </c>
      <c r="X220" s="645">
        <v>11.642988856720871</v>
      </c>
      <c r="Y220" s="645">
        <v>0</v>
      </c>
      <c r="Z220" s="645">
        <v>0</v>
      </c>
      <c r="AA220" s="645">
        <v>0</v>
      </c>
      <c r="AB220" s="645">
        <v>72.998047331393281</v>
      </c>
      <c r="AC220" s="645">
        <v>4.1448350868904589</v>
      </c>
      <c r="AD220" s="645">
        <v>56.30488079443672</v>
      </c>
      <c r="AE220" s="645">
        <v>108.92560601395611</v>
      </c>
      <c r="AF220" s="645">
        <v>123.16818516374138</v>
      </c>
      <c r="AG220" s="645">
        <v>8.5623521411059595</v>
      </c>
      <c r="AH220" s="645">
        <v>512.22753841958684</v>
      </c>
      <c r="AI220" s="645">
        <v>68.423763504668656</v>
      </c>
      <c r="AJ220" s="645">
        <v>16.512616402642333</v>
      </c>
      <c r="AK220" s="645">
        <v>984.4108299751889</v>
      </c>
    </row>
    <row r="221" spans="3:37" x14ac:dyDescent="0.2">
      <c r="C221" s="639" t="s">
        <v>84</v>
      </c>
      <c r="D221" s="640">
        <v>0</v>
      </c>
      <c r="E221" s="640">
        <v>0</v>
      </c>
      <c r="F221" s="640">
        <v>100.05515171814793</v>
      </c>
      <c r="G221" s="640">
        <v>11.196954266678716</v>
      </c>
      <c r="H221" s="640">
        <v>0</v>
      </c>
      <c r="I221" s="640">
        <v>0</v>
      </c>
      <c r="J221" s="640">
        <v>0</v>
      </c>
      <c r="K221" s="640">
        <v>0</v>
      </c>
      <c r="L221" s="640">
        <v>0</v>
      </c>
      <c r="M221" s="640">
        <v>0</v>
      </c>
      <c r="N221" s="640">
        <v>0</v>
      </c>
      <c r="O221" s="640">
        <v>0</v>
      </c>
      <c r="P221" s="640">
        <v>0</v>
      </c>
      <c r="Q221" s="640">
        <v>0</v>
      </c>
      <c r="R221" s="640">
        <v>3.9154347726113912</v>
      </c>
      <c r="S221" s="648">
        <v>115.16754075743803</v>
      </c>
      <c r="U221" s="639" t="s">
        <v>84</v>
      </c>
      <c r="V221" s="640">
        <v>0</v>
      </c>
      <c r="W221" s="640">
        <v>0</v>
      </c>
      <c r="X221" s="640">
        <v>57.953190468871433</v>
      </c>
      <c r="Y221" s="640">
        <v>0.51452681198611927</v>
      </c>
      <c r="Z221" s="640">
        <v>0</v>
      </c>
      <c r="AA221" s="640">
        <v>0</v>
      </c>
      <c r="AB221" s="640">
        <v>0</v>
      </c>
      <c r="AC221" s="640">
        <v>0</v>
      </c>
      <c r="AD221" s="640">
        <v>30.108432000732424</v>
      </c>
      <c r="AE221" s="640">
        <v>0</v>
      </c>
      <c r="AF221" s="640">
        <v>0</v>
      </c>
      <c r="AG221" s="640">
        <v>0</v>
      </c>
      <c r="AH221" s="640">
        <v>0</v>
      </c>
      <c r="AI221" s="640">
        <v>0</v>
      </c>
      <c r="AJ221" s="640">
        <v>20.543554244995118</v>
      </c>
      <c r="AK221" s="648">
        <v>109.1197035265851</v>
      </c>
    </row>
    <row r="222" spans="3:37" x14ac:dyDescent="0.2">
      <c r="C222" s="644" t="s">
        <v>85</v>
      </c>
      <c r="D222" s="645">
        <v>3.6733927919712848</v>
      </c>
      <c r="E222" s="645">
        <v>0</v>
      </c>
      <c r="F222" s="645">
        <v>371.07481988239573</v>
      </c>
      <c r="G222" s="645">
        <v>266.98818345570078</v>
      </c>
      <c r="H222" s="645">
        <v>0</v>
      </c>
      <c r="I222" s="645">
        <v>0</v>
      </c>
      <c r="J222" s="645">
        <v>116.96131138117599</v>
      </c>
      <c r="K222" s="645">
        <v>1.7266732887522405</v>
      </c>
      <c r="L222" s="645">
        <v>25.166558400865188</v>
      </c>
      <c r="M222" s="645">
        <v>5.238424175077693</v>
      </c>
      <c r="N222" s="645">
        <v>75.083762899489528</v>
      </c>
      <c r="O222" s="645">
        <v>2.8624530156397006</v>
      </c>
      <c r="P222" s="645">
        <v>541.90719860025752</v>
      </c>
      <c r="Q222" s="645">
        <v>34.744016552062419</v>
      </c>
      <c r="R222" s="645">
        <v>7.071337409208251</v>
      </c>
      <c r="S222" s="645">
        <v>1452.4981318525963</v>
      </c>
      <c r="U222" s="644" t="s">
        <v>85</v>
      </c>
      <c r="V222" s="645">
        <v>1.5000162600463405</v>
      </c>
      <c r="W222" s="645">
        <v>0</v>
      </c>
      <c r="X222" s="645">
        <v>69.596179325592303</v>
      </c>
      <c r="Y222" s="645">
        <v>0.51452681198611927</v>
      </c>
      <c r="Z222" s="645">
        <v>0</v>
      </c>
      <c r="AA222" s="645">
        <v>0</v>
      </c>
      <c r="AB222" s="645">
        <v>72.998047331393281</v>
      </c>
      <c r="AC222" s="645">
        <v>4.1448350868904589</v>
      </c>
      <c r="AD222" s="645">
        <v>86.413312795169148</v>
      </c>
      <c r="AE222" s="645">
        <v>108.92560601395611</v>
      </c>
      <c r="AF222" s="645">
        <v>123.16818516374138</v>
      </c>
      <c r="AG222" s="645">
        <v>8.5623521411059595</v>
      </c>
      <c r="AH222" s="645">
        <v>512.22753841958684</v>
      </c>
      <c r="AI222" s="645">
        <v>68.423763504668656</v>
      </c>
      <c r="AJ222" s="645">
        <v>37.056170647637451</v>
      </c>
      <c r="AK222" s="645">
        <v>1093.530533501774</v>
      </c>
    </row>
    <row r="223" spans="3:37" x14ac:dyDescent="0.2">
      <c r="C223" s="634"/>
      <c r="D223" s="634"/>
      <c r="E223" s="634"/>
      <c r="F223" s="634"/>
      <c r="G223" s="634"/>
      <c r="H223" s="634"/>
      <c r="I223" s="634"/>
      <c r="J223" s="634"/>
      <c r="K223" s="634"/>
      <c r="L223" s="634"/>
      <c r="M223" s="634"/>
      <c r="N223" s="634"/>
      <c r="O223" s="634"/>
      <c r="P223" s="634"/>
      <c r="Q223" s="634"/>
      <c r="R223" s="634"/>
      <c r="S223" s="634"/>
      <c r="U223" s="634"/>
      <c r="V223" s="634"/>
      <c r="W223" s="634"/>
      <c r="X223" s="634"/>
      <c r="Y223" s="634"/>
      <c r="Z223" s="634"/>
      <c r="AA223" s="634"/>
      <c r="AB223" s="634"/>
      <c r="AC223" s="634"/>
      <c r="AD223" s="634"/>
      <c r="AE223" s="634"/>
      <c r="AF223" s="634"/>
      <c r="AG223" s="634"/>
      <c r="AH223" s="634"/>
      <c r="AI223" s="634"/>
      <c r="AJ223" s="634"/>
      <c r="AK223" s="634"/>
    </row>
    <row r="224" spans="3:37" x14ac:dyDescent="0.2">
      <c r="C224" s="634"/>
      <c r="D224" s="634"/>
      <c r="E224" s="634"/>
      <c r="F224" s="634"/>
      <c r="G224" s="634"/>
      <c r="H224" s="634"/>
      <c r="I224" s="634"/>
      <c r="J224" s="634"/>
      <c r="K224" s="634"/>
      <c r="L224" s="634"/>
      <c r="M224" s="634"/>
      <c r="N224" s="634"/>
      <c r="O224" s="634"/>
      <c r="P224" s="634"/>
      <c r="Q224" s="634"/>
      <c r="R224" s="634"/>
      <c r="S224" s="634"/>
      <c r="U224" s="634"/>
      <c r="V224" s="634"/>
      <c r="W224" s="634"/>
      <c r="X224" s="634"/>
      <c r="Y224" s="634"/>
      <c r="Z224" s="634"/>
      <c r="AA224" s="634"/>
      <c r="AB224" s="634"/>
      <c r="AC224" s="634"/>
      <c r="AD224" s="634"/>
      <c r="AE224" s="634"/>
      <c r="AF224" s="634"/>
      <c r="AG224" s="634"/>
      <c r="AH224" s="634"/>
      <c r="AI224" s="634"/>
      <c r="AJ224" s="634"/>
      <c r="AK224" s="634"/>
    </row>
  </sheetData>
  <mergeCells count="158">
    <mergeCell ref="C2:S2"/>
    <mergeCell ref="U2:AK2"/>
    <mergeCell ref="C8:S8"/>
    <mergeCell ref="U8:AK8"/>
    <mergeCell ref="C10:C11"/>
    <mergeCell ref="D10:D11"/>
    <mergeCell ref="E10:E11"/>
    <mergeCell ref="F10:F11"/>
    <mergeCell ref="G10:G11"/>
    <mergeCell ref="H10:H11"/>
    <mergeCell ref="I10:I11"/>
    <mergeCell ref="J10:O10"/>
    <mergeCell ref="AH10:AH11"/>
    <mergeCell ref="AI10:AI11"/>
    <mergeCell ref="AJ10:AJ11"/>
    <mergeCell ref="AK10:AK11"/>
    <mergeCell ref="C44:S44"/>
    <mergeCell ref="U44:AK44"/>
    <mergeCell ref="W10:W11"/>
    <mergeCell ref="X10:X11"/>
    <mergeCell ref="Y10:Y11"/>
    <mergeCell ref="Z10:Z11"/>
    <mergeCell ref="AA10:AA11"/>
    <mergeCell ref="AB10:AG10"/>
    <mergeCell ref="P10:P11"/>
    <mergeCell ref="Q10:Q11"/>
    <mergeCell ref="R10:R11"/>
    <mergeCell ref="S10:S11"/>
    <mergeCell ref="U10:U11"/>
    <mergeCell ref="V10:V11"/>
    <mergeCell ref="I46:I47"/>
    <mergeCell ref="J46:O46"/>
    <mergeCell ref="P46:P47"/>
    <mergeCell ref="Q46:Q47"/>
    <mergeCell ref="R46:R47"/>
    <mergeCell ref="S46:S47"/>
    <mergeCell ref="C46:C47"/>
    <mergeCell ref="D46:D47"/>
    <mergeCell ref="E46:E47"/>
    <mergeCell ref="F46:F47"/>
    <mergeCell ref="G46:G47"/>
    <mergeCell ref="H46:H47"/>
    <mergeCell ref="AA46:AA47"/>
    <mergeCell ref="AB46:AG46"/>
    <mergeCell ref="AH46:AH47"/>
    <mergeCell ref="AI46:AI47"/>
    <mergeCell ref="AJ46:AJ47"/>
    <mergeCell ref="AK46:AK47"/>
    <mergeCell ref="U46:U47"/>
    <mergeCell ref="V46:V47"/>
    <mergeCell ref="W46:W47"/>
    <mergeCell ref="X46:X47"/>
    <mergeCell ref="Y46:Y47"/>
    <mergeCell ref="Z46:Z47"/>
    <mergeCell ref="C80:S80"/>
    <mergeCell ref="U80:AK80"/>
    <mergeCell ref="C82:C83"/>
    <mergeCell ref="D82:D83"/>
    <mergeCell ref="E82:E83"/>
    <mergeCell ref="F82:F83"/>
    <mergeCell ref="G82:G83"/>
    <mergeCell ref="H82:H83"/>
    <mergeCell ref="I82:I83"/>
    <mergeCell ref="J82:O82"/>
    <mergeCell ref="AH82:AH83"/>
    <mergeCell ref="AI82:AI83"/>
    <mergeCell ref="AJ82:AJ83"/>
    <mergeCell ref="AK82:AK83"/>
    <mergeCell ref="C116:S116"/>
    <mergeCell ref="U116:AK116"/>
    <mergeCell ref="W82:W83"/>
    <mergeCell ref="X82:X83"/>
    <mergeCell ref="Y82:Y83"/>
    <mergeCell ref="Z82:Z83"/>
    <mergeCell ref="AA82:AA83"/>
    <mergeCell ref="AB82:AG82"/>
    <mergeCell ref="P82:P83"/>
    <mergeCell ref="Q82:Q83"/>
    <mergeCell ref="R82:R83"/>
    <mergeCell ref="S82:S83"/>
    <mergeCell ref="U82:U83"/>
    <mergeCell ref="V82:V83"/>
    <mergeCell ref="I118:I119"/>
    <mergeCell ref="J118:O118"/>
    <mergeCell ref="P118:P119"/>
    <mergeCell ref="Q118:Q119"/>
    <mergeCell ref="R118:R119"/>
    <mergeCell ref="S118:S119"/>
    <mergeCell ref="C118:C119"/>
    <mergeCell ref="D118:D119"/>
    <mergeCell ref="E118:E119"/>
    <mergeCell ref="F118:F119"/>
    <mergeCell ref="G118:G119"/>
    <mergeCell ref="H118:H119"/>
    <mergeCell ref="AA118:AA119"/>
    <mergeCell ref="AB118:AG118"/>
    <mergeCell ref="AH118:AH119"/>
    <mergeCell ref="AI118:AI119"/>
    <mergeCell ref="AJ118:AJ119"/>
    <mergeCell ref="AK118:AK119"/>
    <mergeCell ref="U118:U119"/>
    <mergeCell ref="V118:V119"/>
    <mergeCell ref="W118:W119"/>
    <mergeCell ref="X118:X119"/>
    <mergeCell ref="Y118:Y119"/>
    <mergeCell ref="Z118:Z119"/>
    <mergeCell ref="C152:S152"/>
    <mergeCell ref="U152:AK152"/>
    <mergeCell ref="C154:C155"/>
    <mergeCell ref="D154:D155"/>
    <mergeCell ref="E154:E155"/>
    <mergeCell ref="F154:F155"/>
    <mergeCell ref="G154:G155"/>
    <mergeCell ref="H154:H155"/>
    <mergeCell ref="I154:I155"/>
    <mergeCell ref="J154:O154"/>
    <mergeCell ref="AH154:AH155"/>
    <mergeCell ref="AI154:AI155"/>
    <mergeCell ref="AJ154:AJ155"/>
    <mergeCell ref="AK154:AK155"/>
    <mergeCell ref="C188:S188"/>
    <mergeCell ref="U188:AK188"/>
    <mergeCell ref="W154:W155"/>
    <mergeCell ref="X154:X155"/>
    <mergeCell ref="Y154:Y155"/>
    <mergeCell ref="Z154:Z155"/>
    <mergeCell ref="AA154:AA155"/>
    <mergeCell ref="AB154:AG154"/>
    <mergeCell ref="P154:P155"/>
    <mergeCell ref="Q154:Q155"/>
    <mergeCell ref="R154:R155"/>
    <mergeCell ref="S154:S155"/>
    <mergeCell ref="U154:U155"/>
    <mergeCell ref="V154:V155"/>
    <mergeCell ref="I190:I191"/>
    <mergeCell ref="J190:O190"/>
    <mergeCell ref="P190:P191"/>
    <mergeCell ref="Q190:Q191"/>
    <mergeCell ref="R190:R191"/>
    <mergeCell ref="S190:S191"/>
    <mergeCell ref="C190:C191"/>
    <mergeCell ref="D190:D191"/>
    <mergeCell ref="E190:E191"/>
    <mergeCell ref="F190:F191"/>
    <mergeCell ref="G190:G191"/>
    <mergeCell ref="H190:H191"/>
    <mergeCell ref="AA190:AA191"/>
    <mergeCell ref="AB190:AG190"/>
    <mergeCell ref="AH190:AH191"/>
    <mergeCell ref="AI190:AI191"/>
    <mergeCell ref="AJ190:AJ191"/>
    <mergeCell ref="AK190:AK191"/>
    <mergeCell ref="U190:U191"/>
    <mergeCell ref="V190:V191"/>
    <mergeCell ref="W190:W191"/>
    <mergeCell ref="X190:X191"/>
    <mergeCell ref="Y190:Y191"/>
    <mergeCell ref="Z190:Z191"/>
  </mergeCells>
  <conditionalFormatting sqref="D12:S18">
    <cfRule type="expression" dxfId="1913" priority="613">
      <formula>LEN(TRIM(D12))=0</formula>
    </cfRule>
  </conditionalFormatting>
  <conditionalFormatting sqref="D20:S32">
    <cfRule type="expression" dxfId="1912" priority="590">
      <formula>LEN(TRIM(D20))=0</formula>
    </cfRule>
    <cfRule type="cellIs" dxfId="1911" priority="589" operator="equal">
      <formula>0</formula>
    </cfRule>
  </conditionalFormatting>
  <conditionalFormatting sqref="D34:S42">
    <cfRule type="expression" dxfId="1910" priority="578">
      <formula>LEN(TRIM(D34))=0</formula>
    </cfRule>
    <cfRule type="cellIs" dxfId="1909" priority="577" operator="equal">
      <formula>0</formula>
    </cfRule>
  </conditionalFormatting>
  <conditionalFormatting sqref="D48:S54">
    <cfRule type="expression" dxfId="1908" priority="572">
      <formula>LEN(TRIM(D48))=0</formula>
    </cfRule>
  </conditionalFormatting>
  <conditionalFormatting sqref="D56:S68">
    <cfRule type="expression" dxfId="1907" priority="549">
      <formula>LEN(TRIM(D56))=0</formula>
    </cfRule>
    <cfRule type="cellIs" dxfId="1906" priority="548" operator="equal">
      <formula>0</formula>
    </cfRule>
  </conditionalFormatting>
  <conditionalFormatting sqref="D70:S78">
    <cfRule type="expression" dxfId="1905" priority="537">
      <formula>LEN(TRIM(D70))=0</formula>
    </cfRule>
    <cfRule type="cellIs" dxfId="1904" priority="536" operator="equal">
      <formula>0</formula>
    </cfRule>
  </conditionalFormatting>
  <conditionalFormatting sqref="D84:S90">
    <cfRule type="expression" dxfId="1903" priority="531">
      <formula>LEN(TRIM(D84))=0</formula>
    </cfRule>
  </conditionalFormatting>
  <conditionalFormatting sqref="D92:S104">
    <cfRule type="expression" dxfId="1902" priority="508">
      <formula>LEN(TRIM(D92))=0</formula>
    </cfRule>
    <cfRule type="cellIs" dxfId="1901" priority="507" operator="equal">
      <formula>0</formula>
    </cfRule>
  </conditionalFormatting>
  <conditionalFormatting sqref="D106:S114">
    <cfRule type="cellIs" dxfId="1900" priority="495" operator="equal">
      <formula>0</formula>
    </cfRule>
    <cfRule type="expression" dxfId="1899" priority="496">
      <formula>LEN(TRIM(D106))=0</formula>
    </cfRule>
  </conditionalFormatting>
  <conditionalFormatting sqref="D120:S126">
    <cfRule type="expression" dxfId="1898" priority="490">
      <formula>LEN(TRIM(D120))=0</formula>
    </cfRule>
  </conditionalFormatting>
  <conditionalFormatting sqref="D128:S140">
    <cfRule type="cellIs" dxfId="1897" priority="466" operator="equal">
      <formula>0</formula>
    </cfRule>
    <cfRule type="expression" dxfId="1896" priority="467">
      <formula>LEN(TRIM(D128))=0</formula>
    </cfRule>
  </conditionalFormatting>
  <conditionalFormatting sqref="D142:S150">
    <cfRule type="cellIs" dxfId="1895" priority="454" operator="equal">
      <formula>0</formula>
    </cfRule>
    <cfRule type="expression" dxfId="1894" priority="455">
      <formula>LEN(TRIM(D142))=0</formula>
    </cfRule>
  </conditionalFormatting>
  <conditionalFormatting sqref="D156:S162">
    <cfRule type="expression" dxfId="1893" priority="449">
      <formula>LEN(TRIM(D156))=0</formula>
    </cfRule>
  </conditionalFormatting>
  <conditionalFormatting sqref="D164:S176">
    <cfRule type="cellIs" dxfId="1892" priority="425" operator="equal">
      <formula>0</formula>
    </cfRule>
    <cfRule type="expression" dxfId="1891" priority="426">
      <formula>LEN(TRIM(D164))=0</formula>
    </cfRule>
  </conditionalFormatting>
  <conditionalFormatting sqref="D178:S186">
    <cfRule type="expression" dxfId="1890" priority="414">
      <formula>LEN(TRIM(D178))=0</formula>
    </cfRule>
    <cfRule type="cellIs" dxfId="1889" priority="413" operator="equal">
      <formula>0</formula>
    </cfRule>
  </conditionalFormatting>
  <conditionalFormatting sqref="D192:S198">
    <cfRule type="expression" dxfId="1888" priority="408">
      <formula>LEN(TRIM(D192))=0</formula>
    </cfRule>
  </conditionalFormatting>
  <conditionalFormatting sqref="D200:S212">
    <cfRule type="expression" dxfId="1887" priority="385">
      <formula>LEN(TRIM(D200))=0</formula>
    </cfRule>
    <cfRule type="cellIs" dxfId="1886" priority="384" operator="equal">
      <formula>0</formula>
    </cfRule>
  </conditionalFormatting>
  <conditionalFormatting sqref="D214:S222">
    <cfRule type="cellIs" dxfId="1885" priority="372" operator="equal">
      <formula>0</formula>
    </cfRule>
    <cfRule type="expression" dxfId="1884" priority="373">
      <formula>LEN(TRIM(D214))=0</formula>
    </cfRule>
  </conditionalFormatting>
  <conditionalFormatting sqref="G12:G14 Q12:S14 D12:F17 E15:I17 P15:S17 D18:S18">
    <cfRule type="cellIs" dxfId="1883" priority="597" operator="equal">
      <formula>0</formula>
    </cfRule>
  </conditionalFormatting>
  <conditionalFormatting sqref="G48:G50 Q48:S50 D48:F53 E51:I53 P51:S53 D54:S54">
    <cfRule type="cellIs" dxfId="1882" priority="556" operator="equal">
      <formula>0</formula>
    </cfRule>
  </conditionalFormatting>
  <conditionalFormatting sqref="G84:G86 Q84:S86 D84:F89 E87:I89 P87:S89 D90:S90">
    <cfRule type="cellIs" dxfId="1881" priority="515" operator="equal">
      <formula>0</formula>
    </cfRule>
  </conditionalFormatting>
  <conditionalFormatting sqref="G120:G122 Q120:S122 D120:F125 E123:I125 P123:S125 D126:S126">
    <cfRule type="cellIs" dxfId="1880" priority="474" operator="equal">
      <formula>0</formula>
    </cfRule>
  </conditionalFormatting>
  <conditionalFormatting sqref="G156:G158 Q156:S158 D156:F161 E159:I161 P159:S161 D162:S162">
    <cfRule type="cellIs" dxfId="1879" priority="433" operator="equal">
      <formula>0</formula>
    </cfRule>
  </conditionalFormatting>
  <conditionalFormatting sqref="G192:G194 Q192:S194 D192:F197 E195:I197 P195:S197 D198:S198">
    <cfRule type="cellIs" dxfId="1878" priority="392" operator="equal">
      <formula>0</formula>
    </cfRule>
  </conditionalFormatting>
  <conditionalFormatting sqref="H12:I17">
    <cfRule type="cellIs" dxfId="1877" priority="599" operator="equal">
      <formula>0</formula>
    </cfRule>
  </conditionalFormatting>
  <conditionalFormatting sqref="H48:I53">
    <cfRule type="cellIs" dxfId="1876" priority="558" operator="equal">
      <formula>0</formula>
    </cfRule>
  </conditionalFormatting>
  <conditionalFormatting sqref="H84:I89">
    <cfRule type="cellIs" dxfId="1875" priority="517" operator="equal">
      <formula>0</formula>
    </cfRule>
  </conditionalFormatting>
  <conditionalFormatting sqref="H120:I125">
    <cfRule type="cellIs" dxfId="1874" priority="476" operator="equal">
      <formula>0</formula>
    </cfRule>
  </conditionalFormatting>
  <conditionalFormatting sqref="H156:I161">
    <cfRule type="cellIs" dxfId="1873" priority="435" operator="equal">
      <formula>0</formula>
    </cfRule>
  </conditionalFormatting>
  <conditionalFormatting sqref="H192:I197">
    <cfRule type="cellIs" dxfId="1872" priority="394" operator="equal">
      <formula>0</formula>
    </cfRule>
  </conditionalFormatting>
  <conditionalFormatting sqref="J11:O17">
    <cfRule type="cellIs" dxfId="1871" priority="67" operator="equal">
      <formula>0</formula>
    </cfRule>
  </conditionalFormatting>
  <conditionalFormatting sqref="J47:O53">
    <cfRule type="cellIs" dxfId="1870" priority="55" operator="equal">
      <formula>0</formula>
    </cfRule>
  </conditionalFormatting>
  <conditionalFormatting sqref="J83:O89">
    <cfRule type="cellIs" dxfId="1869" priority="43" operator="equal">
      <formula>0</formula>
    </cfRule>
  </conditionalFormatting>
  <conditionalFormatting sqref="J119:O125">
    <cfRule type="cellIs" dxfId="1868" priority="31" operator="equal">
      <formula>0</formula>
    </cfRule>
  </conditionalFormatting>
  <conditionalFormatting sqref="J155:O161">
    <cfRule type="cellIs" dxfId="1867" priority="19" operator="equal">
      <formula>0</formula>
    </cfRule>
  </conditionalFormatting>
  <conditionalFormatting sqref="J191:O197">
    <cfRule type="cellIs" dxfId="1866" priority="7" operator="equal">
      <formula>0</formula>
    </cfRule>
  </conditionalFormatting>
  <conditionalFormatting sqref="K12:O12">
    <cfRule type="cellIs" dxfId="1865" priority="602" operator="equal">
      <formula>0</formula>
    </cfRule>
  </conditionalFormatting>
  <conditionalFormatting sqref="K48:O48">
    <cfRule type="cellIs" dxfId="1864" priority="561" operator="equal">
      <formula>0</formula>
    </cfRule>
  </conditionalFormatting>
  <conditionalFormatting sqref="K84:O84">
    <cfRule type="cellIs" dxfId="1863" priority="520" operator="equal">
      <formula>0</formula>
    </cfRule>
  </conditionalFormatting>
  <conditionalFormatting sqref="K120:O120">
    <cfRule type="cellIs" dxfId="1862" priority="479" operator="equal">
      <formula>0</formula>
    </cfRule>
  </conditionalFormatting>
  <conditionalFormatting sqref="K156:O156">
    <cfRule type="cellIs" dxfId="1861" priority="438" operator="equal">
      <formula>0</formula>
    </cfRule>
  </conditionalFormatting>
  <conditionalFormatting sqref="K192:O192">
    <cfRule type="cellIs" dxfId="1860" priority="397" operator="equal">
      <formula>0</formula>
    </cfRule>
  </conditionalFormatting>
  <conditionalFormatting sqref="P12:P17">
    <cfRule type="cellIs" dxfId="1859" priority="598" operator="equal">
      <formula>0</formula>
    </cfRule>
  </conditionalFormatting>
  <conditionalFormatting sqref="P48:P53">
    <cfRule type="cellIs" dxfId="1858" priority="557" operator="equal">
      <formula>0</formula>
    </cfRule>
  </conditionalFormatting>
  <conditionalFormatting sqref="P84:P89">
    <cfRule type="cellIs" dxfId="1857" priority="516" operator="equal">
      <formula>0</formula>
    </cfRule>
  </conditionalFormatting>
  <conditionalFormatting sqref="P120:P125">
    <cfRule type="cellIs" dxfId="1856" priority="475" operator="equal">
      <formula>0</formula>
    </cfRule>
  </conditionalFormatting>
  <conditionalFormatting sqref="P156:P161">
    <cfRule type="cellIs" dxfId="1855" priority="434" operator="equal">
      <formula>0</formula>
    </cfRule>
  </conditionalFormatting>
  <conditionalFormatting sqref="P192:P197">
    <cfRule type="cellIs" dxfId="1854" priority="393" operator="equal">
      <formula>0</formula>
    </cfRule>
  </conditionalFormatting>
  <conditionalFormatting sqref="V12:AK18">
    <cfRule type="expression" dxfId="1853" priority="326">
      <formula>LEN(TRIM(V12))=0</formula>
    </cfRule>
  </conditionalFormatting>
  <conditionalFormatting sqref="V20:AK32">
    <cfRule type="cellIs" dxfId="1852" priority="302" operator="equal">
      <formula>0</formula>
    </cfRule>
    <cfRule type="expression" dxfId="1851" priority="303">
      <formula>LEN(TRIM(V20))=0</formula>
    </cfRule>
  </conditionalFormatting>
  <conditionalFormatting sqref="V34:AK42">
    <cfRule type="expression" dxfId="1850" priority="291">
      <formula>LEN(TRIM(V34))=0</formula>
    </cfRule>
    <cfRule type="cellIs" dxfId="1849" priority="290" operator="equal">
      <formula>0</formula>
    </cfRule>
  </conditionalFormatting>
  <conditionalFormatting sqref="V48:AK54">
    <cfRule type="expression" dxfId="1848" priority="285">
      <formula>LEN(TRIM(V48))=0</formula>
    </cfRule>
  </conditionalFormatting>
  <conditionalFormatting sqref="V56:AK68">
    <cfRule type="expression" dxfId="1847" priority="262">
      <formula>LEN(TRIM(V56))=0</formula>
    </cfRule>
    <cfRule type="cellIs" dxfId="1846" priority="261" operator="equal">
      <formula>0</formula>
    </cfRule>
  </conditionalFormatting>
  <conditionalFormatting sqref="V70:AK78">
    <cfRule type="expression" dxfId="1845" priority="250">
      <formula>LEN(TRIM(V70))=0</formula>
    </cfRule>
    <cfRule type="cellIs" dxfId="1844" priority="249" operator="equal">
      <formula>0</formula>
    </cfRule>
  </conditionalFormatting>
  <conditionalFormatting sqref="V84:AK90">
    <cfRule type="expression" dxfId="1843" priority="244">
      <formula>LEN(TRIM(V84))=0</formula>
    </cfRule>
  </conditionalFormatting>
  <conditionalFormatting sqref="V92:AK104">
    <cfRule type="cellIs" dxfId="1842" priority="220" operator="equal">
      <formula>0</formula>
    </cfRule>
    <cfRule type="expression" dxfId="1841" priority="221">
      <formula>LEN(TRIM(V92))=0</formula>
    </cfRule>
  </conditionalFormatting>
  <conditionalFormatting sqref="V106:AK114">
    <cfRule type="cellIs" dxfId="1840" priority="208" operator="equal">
      <formula>0</formula>
    </cfRule>
    <cfRule type="expression" dxfId="1839" priority="209">
      <formula>LEN(TRIM(V106))=0</formula>
    </cfRule>
  </conditionalFormatting>
  <conditionalFormatting sqref="V120:AK126">
    <cfRule type="expression" dxfId="1838" priority="203">
      <formula>LEN(TRIM(V120))=0</formula>
    </cfRule>
  </conditionalFormatting>
  <conditionalFormatting sqref="V128:AK140">
    <cfRule type="cellIs" dxfId="1837" priority="179" operator="equal">
      <formula>0</formula>
    </cfRule>
    <cfRule type="expression" dxfId="1836" priority="180">
      <formula>LEN(TRIM(V128))=0</formula>
    </cfRule>
  </conditionalFormatting>
  <conditionalFormatting sqref="V142:AK150">
    <cfRule type="expression" dxfId="1835" priority="168">
      <formula>LEN(TRIM(V142))=0</formula>
    </cfRule>
    <cfRule type="cellIs" dxfId="1834" priority="167" operator="equal">
      <formula>0</formula>
    </cfRule>
  </conditionalFormatting>
  <conditionalFormatting sqref="V156:AK162">
    <cfRule type="expression" dxfId="1833" priority="162">
      <formula>LEN(TRIM(V156))=0</formula>
    </cfRule>
  </conditionalFormatting>
  <conditionalFormatting sqref="V164:AK176">
    <cfRule type="expression" dxfId="1832" priority="139">
      <formula>LEN(TRIM(V164))=0</formula>
    </cfRule>
    <cfRule type="cellIs" dxfId="1831" priority="138" operator="equal">
      <formula>0</formula>
    </cfRule>
  </conditionalFormatting>
  <conditionalFormatting sqref="V178:AK186">
    <cfRule type="expression" dxfId="1830" priority="127">
      <formula>LEN(TRIM(V178))=0</formula>
    </cfRule>
    <cfRule type="cellIs" dxfId="1829" priority="126" operator="equal">
      <formula>0</formula>
    </cfRule>
  </conditionalFormatting>
  <conditionalFormatting sqref="V192:AK198">
    <cfRule type="expression" dxfId="1828" priority="121">
      <formula>LEN(TRIM(V192))=0</formula>
    </cfRule>
  </conditionalFormatting>
  <conditionalFormatting sqref="V200:AK212">
    <cfRule type="expression" dxfId="1827" priority="98">
      <formula>LEN(TRIM(V200))=0</formula>
    </cfRule>
    <cfRule type="cellIs" dxfId="1826" priority="97" operator="equal">
      <formula>0</formula>
    </cfRule>
  </conditionalFormatting>
  <conditionalFormatting sqref="V214:AK222">
    <cfRule type="expression" dxfId="1825" priority="86">
      <formula>LEN(TRIM(V214))=0</formula>
    </cfRule>
    <cfRule type="cellIs" dxfId="1824" priority="85" operator="equal">
      <formula>0</formula>
    </cfRule>
  </conditionalFormatting>
  <conditionalFormatting sqref="Y12:Y14 AI12:AK14 V12:X17 W15:AA17 AH15:AK17 V18:AK18">
    <cfRule type="cellIs" dxfId="1823" priority="310" operator="equal">
      <formula>0</formula>
    </cfRule>
  </conditionalFormatting>
  <conditionalFormatting sqref="Y48:Y50 AI48:AK50 V48:X53 W51:AA53 AH51:AK53 V54:AK54">
    <cfRule type="cellIs" dxfId="1822" priority="269" operator="equal">
      <formula>0</formula>
    </cfRule>
  </conditionalFormatting>
  <conditionalFormatting sqref="Y84:Y86 AI84:AK86 V84:X89 W87:AA89 AH87:AK89 V90:AK90">
    <cfRule type="cellIs" dxfId="1821" priority="228" operator="equal">
      <formula>0</formula>
    </cfRule>
  </conditionalFormatting>
  <conditionalFormatting sqref="Y120:Y122 AI120:AK122 V120:X125 W123:AA125 AH123:AK125 V126:AK126">
    <cfRule type="cellIs" dxfId="1820" priority="187" operator="equal">
      <formula>0</formula>
    </cfRule>
  </conditionalFormatting>
  <conditionalFormatting sqref="Y156:Y158 AI156:AK158 V156:X161 W159:AA161 AH159:AK161 V162:AK162">
    <cfRule type="cellIs" dxfId="1819" priority="146" operator="equal">
      <formula>0</formula>
    </cfRule>
  </conditionalFormatting>
  <conditionalFormatting sqref="Y192:Y194 AI192:AK194 V192:X197 W195:AA197 AH195:AK197 V198:AK198">
    <cfRule type="cellIs" dxfId="1818" priority="105" operator="equal">
      <formula>0</formula>
    </cfRule>
  </conditionalFormatting>
  <conditionalFormatting sqref="Z12:AA17">
    <cfRule type="cellIs" dxfId="1817" priority="312" operator="equal">
      <formula>0</formula>
    </cfRule>
  </conditionalFormatting>
  <conditionalFormatting sqref="Z48:AA53">
    <cfRule type="cellIs" dxfId="1816" priority="271" operator="equal">
      <formula>0</formula>
    </cfRule>
  </conditionalFormatting>
  <conditionalFormatting sqref="Z84:AA89">
    <cfRule type="cellIs" dxfId="1815" priority="230" operator="equal">
      <formula>0</formula>
    </cfRule>
  </conditionalFormatting>
  <conditionalFormatting sqref="Z120:AA125">
    <cfRule type="cellIs" dxfId="1814" priority="189" operator="equal">
      <formula>0</formula>
    </cfRule>
  </conditionalFormatting>
  <conditionalFormatting sqref="Z156:AA161">
    <cfRule type="cellIs" dxfId="1813" priority="148" operator="equal">
      <formula>0</formula>
    </cfRule>
  </conditionalFormatting>
  <conditionalFormatting sqref="Z192:AA197">
    <cfRule type="cellIs" dxfId="1812" priority="107" operator="equal">
      <formula>0</formula>
    </cfRule>
  </conditionalFormatting>
  <conditionalFormatting sqref="AB11:AG17">
    <cfRule type="cellIs" dxfId="1811" priority="61" operator="equal">
      <formula>0</formula>
    </cfRule>
  </conditionalFormatting>
  <conditionalFormatting sqref="AB47:AG53">
    <cfRule type="cellIs" dxfId="1810" priority="49" operator="equal">
      <formula>0</formula>
    </cfRule>
  </conditionalFormatting>
  <conditionalFormatting sqref="AB83:AG89">
    <cfRule type="cellIs" dxfId="1809" priority="37" operator="equal">
      <formula>0</formula>
    </cfRule>
  </conditionalFormatting>
  <conditionalFormatting sqref="AB119:AG125">
    <cfRule type="cellIs" dxfId="1808" priority="25" operator="equal">
      <formula>0</formula>
    </cfRule>
  </conditionalFormatting>
  <conditionalFormatting sqref="AB155:AG161">
    <cfRule type="cellIs" dxfId="1807" priority="13" operator="equal">
      <formula>0</formula>
    </cfRule>
  </conditionalFormatting>
  <conditionalFormatting sqref="AB191:AG197">
    <cfRule type="cellIs" dxfId="1806" priority="1" operator="equal">
      <formula>0</formula>
    </cfRule>
  </conditionalFormatting>
  <conditionalFormatting sqref="AC12:AG12">
    <cfRule type="cellIs" dxfId="1805" priority="315" operator="equal">
      <formula>0</formula>
    </cfRule>
  </conditionalFormatting>
  <conditionalFormatting sqref="AC48:AG48">
    <cfRule type="cellIs" dxfId="1804" priority="274" operator="equal">
      <formula>0</formula>
    </cfRule>
  </conditionalFormatting>
  <conditionalFormatting sqref="AC84:AG84">
    <cfRule type="cellIs" dxfId="1803" priority="233" operator="equal">
      <formula>0</formula>
    </cfRule>
  </conditionalFormatting>
  <conditionalFormatting sqref="AC120:AG120">
    <cfRule type="cellIs" dxfId="1802" priority="192" operator="equal">
      <formula>0</formula>
    </cfRule>
  </conditionalFormatting>
  <conditionalFormatting sqref="AC156:AG156">
    <cfRule type="cellIs" dxfId="1801" priority="151" operator="equal">
      <formula>0</formula>
    </cfRule>
  </conditionalFormatting>
  <conditionalFormatting sqref="AC192:AG192">
    <cfRule type="cellIs" dxfId="1800" priority="110" operator="equal">
      <formula>0</formula>
    </cfRule>
  </conditionalFormatting>
  <conditionalFormatting sqref="AH12:AH17">
    <cfRule type="cellIs" dxfId="1799" priority="311" operator="equal">
      <formula>0</formula>
    </cfRule>
  </conditionalFormatting>
  <conditionalFormatting sqref="AH48:AH53">
    <cfRule type="cellIs" dxfId="1798" priority="270" operator="equal">
      <formula>0</formula>
    </cfRule>
  </conditionalFormatting>
  <conditionalFormatting sqref="AH84:AH89">
    <cfRule type="cellIs" dxfId="1797" priority="229" operator="equal">
      <formula>0</formula>
    </cfRule>
  </conditionalFormatting>
  <conditionalFormatting sqref="AH120:AH125">
    <cfRule type="cellIs" dxfId="1796" priority="188" operator="equal">
      <formula>0</formula>
    </cfRule>
  </conditionalFormatting>
  <conditionalFormatting sqref="AH156:AH161">
    <cfRule type="cellIs" dxfId="1795" priority="147" operator="equal">
      <formula>0</formula>
    </cfRule>
  </conditionalFormatting>
  <conditionalFormatting sqref="AH192:AH197">
    <cfRule type="cellIs" dxfId="1794" priority="106"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8C022-026D-476D-B320-DBBE1889DDED}">
  <dimension ref="C2:AK188"/>
  <sheetViews>
    <sheetView workbookViewId="0"/>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60" t="s">
        <v>522</v>
      </c>
      <c r="D2" s="760"/>
      <c r="E2" s="760"/>
      <c r="F2" s="760"/>
      <c r="G2" s="760"/>
      <c r="H2" s="760"/>
      <c r="I2" s="760"/>
      <c r="J2" s="760"/>
      <c r="K2" s="760"/>
      <c r="L2" s="760"/>
      <c r="M2" s="760"/>
      <c r="N2" s="760"/>
      <c r="O2" s="760"/>
      <c r="P2" s="760"/>
      <c r="Q2" s="760"/>
      <c r="R2" s="760"/>
      <c r="S2" s="760"/>
      <c r="U2" s="760" t="s">
        <v>523</v>
      </c>
      <c r="V2" s="760"/>
      <c r="W2" s="760"/>
      <c r="X2" s="760"/>
      <c r="Y2" s="760"/>
      <c r="Z2" s="760"/>
      <c r="AA2" s="760"/>
      <c r="AB2" s="760"/>
      <c r="AC2" s="760"/>
      <c r="AD2" s="760"/>
      <c r="AE2" s="760"/>
      <c r="AF2" s="760"/>
      <c r="AG2" s="760"/>
      <c r="AH2" s="760"/>
      <c r="AI2" s="760"/>
      <c r="AJ2" s="760"/>
      <c r="AK2" s="760"/>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338</v>
      </c>
      <c r="D4" s="635" t="s">
        <v>524</v>
      </c>
      <c r="E4" s="634"/>
      <c r="F4" s="634"/>
      <c r="G4" s="634"/>
      <c r="H4" s="636"/>
      <c r="I4" s="634"/>
      <c r="J4" s="634"/>
      <c r="K4" s="634"/>
      <c r="L4" s="634"/>
      <c r="M4" s="634"/>
      <c r="N4" s="634"/>
      <c r="O4" s="634"/>
      <c r="P4" s="634"/>
      <c r="Q4" s="634"/>
      <c r="R4" s="634"/>
      <c r="S4" s="634"/>
      <c r="U4" s="635" t="s">
        <v>338</v>
      </c>
      <c r="V4" s="635" t="s">
        <v>524</v>
      </c>
      <c r="W4" s="634"/>
      <c r="X4" s="634"/>
      <c r="Y4" s="634"/>
      <c r="Z4" s="636"/>
      <c r="AA4" s="634"/>
      <c r="AB4" s="634"/>
      <c r="AC4" s="634"/>
      <c r="AD4" s="634"/>
      <c r="AE4" s="634"/>
      <c r="AF4" s="634"/>
      <c r="AG4" s="634"/>
      <c r="AH4" s="634"/>
      <c r="AI4" s="634"/>
      <c r="AJ4" s="634"/>
      <c r="AK4" s="634"/>
    </row>
    <row r="5" spans="3:37" ht="37.5" x14ac:dyDescent="0.3">
      <c r="C5" s="635" t="s">
        <v>341</v>
      </c>
      <c r="D5" s="635" t="s">
        <v>342</v>
      </c>
      <c r="E5" s="634"/>
      <c r="F5" s="634"/>
      <c r="G5" s="634"/>
      <c r="H5" s="634"/>
      <c r="I5" s="634"/>
      <c r="J5" s="634"/>
      <c r="K5" s="634"/>
      <c r="L5" s="634"/>
      <c r="M5" s="634"/>
      <c r="N5" s="634"/>
      <c r="O5" s="634"/>
      <c r="P5" s="634"/>
      <c r="Q5" s="634"/>
      <c r="R5" s="634"/>
      <c r="S5" s="634"/>
      <c r="U5" s="635" t="s">
        <v>341</v>
      </c>
      <c r="V5" s="635" t="s">
        <v>342</v>
      </c>
      <c r="W5" s="634"/>
      <c r="X5" s="634"/>
      <c r="Y5" s="634"/>
      <c r="Z5" s="634"/>
      <c r="AA5" s="634"/>
      <c r="AB5" s="634"/>
      <c r="AC5" s="634"/>
      <c r="AD5" s="634"/>
      <c r="AE5" s="634"/>
      <c r="AF5" s="634"/>
      <c r="AG5" s="634"/>
      <c r="AH5" s="634"/>
      <c r="AI5" s="634"/>
      <c r="AJ5" s="634"/>
      <c r="AK5" s="634"/>
    </row>
    <row r="6" spans="3:37" ht="18.75" x14ac:dyDescent="0.3">
      <c r="C6" s="635" t="s">
        <v>525</v>
      </c>
      <c r="D6" s="637">
        <v>44909</v>
      </c>
      <c r="E6" s="634"/>
      <c r="F6" s="634"/>
      <c r="G6" s="634"/>
      <c r="H6" s="634"/>
      <c r="I6" s="634"/>
      <c r="J6" s="634"/>
      <c r="K6" s="634"/>
      <c r="L6" s="634"/>
      <c r="M6" s="634"/>
      <c r="N6" s="634"/>
      <c r="O6" s="634"/>
      <c r="P6" s="634"/>
      <c r="Q6" s="634"/>
      <c r="R6" s="634"/>
      <c r="S6" s="634"/>
      <c r="U6" s="635" t="s">
        <v>525</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59" t="s">
        <v>359</v>
      </c>
      <c r="D8" s="759"/>
      <c r="E8" s="759"/>
      <c r="F8" s="759"/>
      <c r="G8" s="759"/>
      <c r="H8" s="759"/>
      <c r="I8" s="759"/>
      <c r="J8" s="759"/>
      <c r="K8" s="759"/>
      <c r="L8" s="759"/>
      <c r="M8" s="759"/>
      <c r="N8" s="759"/>
      <c r="O8" s="759"/>
      <c r="P8" s="759"/>
      <c r="Q8" s="759"/>
      <c r="R8" s="759"/>
      <c r="S8" s="759"/>
      <c r="U8" s="759" t="s">
        <v>359</v>
      </c>
      <c r="V8" s="759"/>
      <c r="W8" s="759"/>
      <c r="X8" s="759"/>
      <c r="Y8" s="759"/>
      <c r="Z8" s="759"/>
      <c r="AA8" s="759"/>
      <c r="AB8" s="759"/>
      <c r="AC8" s="759"/>
      <c r="AD8" s="759"/>
      <c r="AE8" s="759"/>
      <c r="AF8" s="759"/>
      <c r="AG8" s="759"/>
      <c r="AH8" s="759"/>
      <c r="AI8" s="759"/>
      <c r="AJ8" s="759"/>
      <c r="AK8" s="75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58" t="s">
        <v>128</v>
      </c>
      <c r="D10" s="757" t="s">
        <v>42</v>
      </c>
      <c r="E10" s="757" t="s">
        <v>52</v>
      </c>
      <c r="F10" s="757" t="s">
        <v>53</v>
      </c>
      <c r="G10" s="757" t="s">
        <v>32</v>
      </c>
      <c r="H10" s="757" t="s">
        <v>20</v>
      </c>
      <c r="I10" s="757" t="s">
        <v>55</v>
      </c>
      <c r="J10" s="757" t="s">
        <v>56</v>
      </c>
      <c r="K10" s="757"/>
      <c r="L10" s="757"/>
      <c r="M10" s="757"/>
      <c r="N10" s="757"/>
      <c r="O10" s="757"/>
      <c r="P10" s="757" t="s">
        <v>57</v>
      </c>
      <c r="Q10" s="757" t="s">
        <v>58</v>
      </c>
      <c r="R10" s="757" t="s">
        <v>31</v>
      </c>
      <c r="S10" s="757" t="s">
        <v>10</v>
      </c>
      <c r="U10" s="758" t="s">
        <v>128</v>
      </c>
      <c r="V10" s="757" t="s">
        <v>42</v>
      </c>
      <c r="W10" s="757" t="s">
        <v>52</v>
      </c>
      <c r="X10" s="757" t="s">
        <v>53</v>
      </c>
      <c r="Y10" s="757" t="s">
        <v>32</v>
      </c>
      <c r="Z10" s="757" t="s">
        <v>20</v>
      </c>
      <c r="AA10" s="757" t="s">
        <v>55</v>
      </c>
      <c r="AB10" s="757" t="s">
        <v>56</v>
      </c>
      <c r="AC10" s="757"/>
      <c r="AD10" s="757"/>
      <c r="AE10" s="757"/>
      <c r="AF10" s="757"/>
      <c r="AG10" s="757"/>
      <c r="AH10" s="757" t="s">
        <v>57</v>
      </c>
      <c r="AI10" s="757" t="s">
        <v>58</v>
      </c>
      <c r="AJ10" s="757" t="s">
        <v>31</v>
      </c>
      <c r="AK10" s="757" t="s">
        <v>10</v>
      </c>
    </row>
    <row r="11" spans="3:37" ht="56.25" x14ac:dyDescent="0.2">
      <c r="C11" s="758"/>
      <c r="D11" s="757"/>
      <c r="E11" s="757"/>
      <c r="F11" s="757"/>
      <c r="G11" s="757"/>
      <c r="H11" s="757"/>
      <c r="I11" s="757"/>
      <c r="J11" s="638" t="s">
        <v>335</v>
      </c>
      <c r="K11" s="638" t="s">
        <v>40</v>
      </c>
      <c r="L11" s="638" t="s">
        <v>343</v>
      </c>
      <c r="M11" s="638" t="s">
        <v>344</v>
      </c>
      <c r="N11" s="638" t="s">
        <v>345</v>
      </c>
      <c r="O11" s="638" t="s">
        <v>346</v>
      </c>
      <c r="P11" s="757"/>
      <c r="Q11" s="757"/>
      <c r="R11" s="757"/>
      <c r="S11" s="757"/>
      <c r="U11" s="758"/>
      <c r="V11" s="757"/>
      <c r="W11" s="757"/>
      <c r="X11" s="757"/>
      <c r="Y11" s="757"/>
      <c r="Z11" s="757"/>
      <c r="AA11" s="757"/>
      <c r="AB11" s="638" t="s">
        <v>335</v>
      </c>
      <c r="AC11" s="638" t="s">
        <v>40</v>
      </c>
      <c r="AD11" s="638" t="s">
        <v>343</v>
      </c>
      <c r="AE11" s="638" t="s">
        <v>344</v>
      </c>
      <c r="AF11" s="638" t="s">
        <v>345</v>
      </c>
      <c r="AG11" s="638" t="s">
        <v>346</v>
      </c>
      <c r="AH11" s="757"/>
      <c r="AI11" s="757"/>
      <c r="AJ11" s="757"/>
      <c r="AK11" s="757"/>
    </row>
    <row r="12" spans="3:37" x14ac:dyDescent="0.2">
      <c r="C12" s="639" t="s">
        <v>59</v>
      </c>
      <c r="D12" s="640">
        <v>0</v>
      </c>
      <c r="E12" s="641">
        <v>2.3260000000000005</v>
      </c>
      <c r="F12" s="641">
        <v>0</v>
      </c>
      <c r="G12" s="640">
        <v>3.7216000000000006E-2</v>
      </c>
      <c r="H12" s="641">
        <v>1005.4545454545456</v>
      </c>
      <c r="I12" s="641">
        <v>248.9826967827097</v>
      </c>
      <c r="J12" s="641">
        <v>189.82090717884753</v>
      </c>
      <c r="K12" s="641">
        <v>21.067323208066789</v>
      </c>
      <c r="L12" s="641">
        <v>0.444514092196865</v>
      </c>
      <c r="M12" s="641">
        <v>0.15770970126630299</v>
      </c>
      <c r="N12" s="641">
        <v>60.832905155553725</v>
      </c>
      <c r="O12" s="641">
        <v>10.347989753579439</v>
      </c>
      <c r="P12" s="642">
        <v>0</v>
      </c>
      <c r="Q12" s="641">
        <v>0</v>
      </c>
      <c r="R12" s="641">
        <v>0</v>
      </c>
      <c r="S12" s="643">
        <v>1539.4718073267661</v>
      </c>
      <c r="U12" s="639" t="s">
        <v>59</v>
      </c>
      <c r="V12" s="640">
        <v>0</v>
      </c>
      <c r="W12" s="641">
        <v>2.3260000000000005</v>
      </c>
      <c r="X12" s="641">
        <v>0</v>
      </c>
      <c r="Y12" s="640">
        <v>3.7216000000000006E-2</v>
      </c>
      <c r="Z12" s="641">
        <v>949.39393939393938</v>
      </c>
      <c r="AA12" s="641">
        <v>279.58269678270966</v>
      </c>
      <c r="AB12" s="641">
        <v>196.53145821434362</v>
      </c>
      <c r="AC12" s="641">
        <v>37.828582612394825</v>
      </c>
      <c r="AD12" s="641">
        <v>0.444514092196865</v>
      </c>
      <c r="AE12" s="641">
        <v>0.15770970126630299</v>
      </c>
      <c r="AF12" s="641">
        <v>86.476611770328219</v>
      </c>
      <c r="AG12" s="641">
        <v>21.065809354780896</v>
      </c>
      <c r="AH12" s="642">
        <v>0</v>
      </c>
      <c r="AI12" s="641">
        <v>0</v>
      </c>
      <c r="AJ12" s="641">
        <v>0</v>
      </c>
      <c r="AK12" s="643">
        <v>1573.8445379219597</v>
      </c>
    </row>
    <row r="13" spans="3:37" x14ac:dyDescent="0.2">
      <c r="C13" s="639" t="s">
        <v>60</v>
      </c>
      <c r="D13" s="640">
        <v>48.372001461449948</v>
      </c>
      <c r="E13" s="641">
        <v>509.74501402008315</v>
      </c>
      <c r="F13" s="641">
        <v>84.255119008679685</v>
      </c>
      <c r="G13" s="640">
        <v>333.85211586331565</v>
      </c>
      <c r="H13" s="641">
        <v>0</v>
      </c>
      <c r="I13" s="641">
        <v>0</v>
      </c>
      <c r="J13" s="641">
        <v>4.1218275156281265</v>
      </c>
      <c r="K13" s="641">
        <v>0</v>
      </c>
      <c r="L13" s="641">
        <v>2.2815668000430724</v>
      </c>
      <c r="M13" s="641">
        <v>0</v>
      </c>
      <c r="N13" s="641">
        <v>0</v>
      </c>
      <c r="O13" s="641">
        <v>0</v>
      </c>
      <c r="P13" s="642">
        <v>0</v>
      </c>
      <c r="Q13" s="641">
        <v>0</v>
      </c>
      <c r="R13" s="641">
        <v>0</v>
      </c>
      <c r="S13" s="643">
        <v>982.62764466919975</v>
      </c>
      <c r="U13" s="639" t="s">
        <v>60</v>
      </c>
      <c r="V13" s="640">
        <v>8.3965846696126416</v>
      </c>
      <c r="W13" s="641">
        <v>294.49378048971494</v>
      </c>
      <c r="X13" s="641">
        <v>18.517216360631103</v>
      </c>
      <c r="Y13" s="640">
        <v>163.11536747865699</v>
      </c>
      <c r="Z13" s="641">
        <v>0</v>
      </c>
      <c r="AA13" s="641">
        <v>0</v>
      </c>
      <c r="AB13" s="641">
        <v>4.1218275156281265</v>
      </c>
      <c r="AC13" s="641">
        <v>0</v>
      </c>
      <c r="AD13" s="641">
        <v>2.2815668000430724</v>
      </c>
      <c r="AE13" s="641">
        <v>0</v>
      </c>
      <c r="AF13" s="641">
        <v>0</v>
      </c>
      <c r="AG13" s="641">
        <v>0</v>
      </c>
      <c r="AH13" s="642">
        <v>0</v>
      </c>
      <c r="AI13" s="641">
        <v>0</v>
      </c>
      <c r="AJ13" s="641">
        <v>0</v>
      </c>
      <c r="AK13" s="643">
        <v>490.9263433142869</v>
      </c>
    </row>
    <row r="14" spans="3:37" x14ac:dyDescent="0.2">
      <c r="C14" s="639" t="s">
        <v>61</v>
      </c>
      <c r="D14" s="640">
        <v>0</v>
      </c>
      <c r="E14" s="641">
        <v>0</v>
      </c>
      <c r="F14" s="641">
        <v>0</v>
      </c>
      <c r="G14" s="640">
        <v>0</v>
      </c>
      <c r="H14" s="641">
        <v>0</v>
      </c>
      <c r="I14" s="641">
        <v>0</v>
      </c>
      <c r="J14" s="641">
        <v>0</v>
      </c>
      <c r="K14" s="641">
        <v>0</v>
      </c>
      <c r="L14" s="641">
        <v>0</v>
      </c>
      <c r="M14" s="641">
        <v>0</v>
      </c>
      <c r="N14" s="641">
        <v>0</v>
      </c>
      <c r="O14" s="641">
        <v>0</v>
      </c>
      <c r="P14" s="642">
        <v>-38.942042128507637</v>
      </c>
      <c r="Q14" s="641">
        <v>0</v>
      </c>
      <c r="R14" s="641">
        <v>0</v>
      </c>
      <c r="S14" s="643">
        <v>-38.942042128507637</v>
      </c>
      <c r="U14" s="639" t="s">
        <v>61</v>
      </c>
      <c r="V14" s="640">
        <v>0</v>
      </c>
      <c r="W14" s="641">
        <v>0</v>
      </c>
      <c r="X14" s="641">
        <v>0</v>
      </c>
      <c r="Y14" s="640">
        <v>0</v>
      </c>
      <c r="Z14" s="641">
        <v>0</v>
      </c>
      <c r="AA14" s="641">
        <v>0</v>
      </c>
      <c r="AB14" s="641">
        <v>0</v>
      </c>
      <c r="AC14" s="641">
        <v>0</v>
      </c>
      <c r="AD14" s="641">
        <v>0</v>
      </c>
      <c r="AE14" s="641">
        <v>0</v>
      </c>
      <c r="AF14" s="641">
        <v>0</v>
      </c>
      <c r="AG14" s="641">
        <v>0</v>
      </c>
      <c r="AH14" s="642">
        <v>-20.693548582118865</v>
      </c>
      <c r="AI14" s="641">
        <v>0</v>
      </c>
      <c r="AJ14" s="641">
        <v>0</v>
      </c>
      <c r="AK14" s="643">
        <v>-20.693548582118865</v>
      </c>
    </row>
    <row r="15" spans="3:37" x14ac:dyDescent="0.2">
      <c r="C15" s="639" t="s">
        <v>62</v>
      </c>
      <c r="D15" s="640">
        <v>0</v>
      </c>
      <c r="E15" s="641">
        <v>0</v>
      </c>
      <c r="F15" s="641">
        <v>-16.016991189558784</v>
      </c>
      <c r="G15" s="640">
        <v>0</v>
      </c>
      <c r="H15" s="641">
        <v>0</v>
      </c>
      <c r="I15" s="641">
        <v>0</v>
      </c>
      <c r="J15" s="641">
        <v>0</v>
      </c>
      <c r="K15" s="641">
        <v>0</v>
      </c>
      <c r="L15" s="641">
        <v>0</v>
      </c>
      <c r="M15" s="641">
        <v>0</v>
      </c>
      <c r="N15" s="641">
        <v>0</v>
      </c>
      <c r="O15" s="641">
        <v>0</v>
      </c>
      <c r="P15" s="642">
        <v>0</v>
      </c>
      <c r="Q15" s="641">
        <v>0</v>
      </c>
      <c r="R15" s="641">
        <v>0</v>
      </c>
      <c r="S15" s="643">
        <v>-16.016991189558784</v>
      </c>
      <c r="U15" s="639" t="s">
        <v>62</v>
      </c>
      <c r="V15" s="640">
        <v>0</v>
      </c>
      <c r="W15" s="641">
        <v>0</v>
      </c>
      <c r="X15" s="641">
        <v>-11.216317309287092</v>
      </c>
      <c r="Y15" s="640">
        <v>-1.9971079411498778</v>
      </c>
      <c r="Z15" s="641">
        <v>0</v>
      </c>
      <c r="AA15" s="641">
        <v>0</v>
      </c>
      <c r="AB15" s="641">
        <v>0</v>
      </c>
      <c r="AC15" s="641">
        <v>0</v>
      </c>
      <c r="AD15" s="641">
        <v>0</v>
      </c>
      <c r="AE15" s="641">
        <v>-0.69888193239441998</v>
      </c>
      <c r="AF15" s="641">
        <v>0</v>
      </c>
      <c r="AG15" s="641">
        <v>0</v>
      </c>
      <c r="AH15" s="642">
        <v>0</v>
      </c>
      <c r="AI15" s="641">
        <v>0</v>
      </c>
      <c r="AJ15" s="641">
        <v>0</v>
      </c>
      <c r="AK15" s="643">
        <v>-13.912307182831389</v>
      </c>
    </row>
    <row r="16" spans="3:37" x14ac:dyDescent="0.2">
      <c r="C16" s="639" t="s">
        <v>63</v>
      </c>
      <c r="D16" s="640">
        <v>0</v>
      </c>
      <c r="E16" s="641">
        <v>0</v>
      </c>
      <c r="F16" s="641">
        <v>-85.676103269538828</v>
      </c>
      <c r="G16" s="640">
        <v>0</v>
      </c>
      <c r="H16" s="641">
        <v>0</v>
      </c>
      <c r="I16" s="641">
        <v>0</v>
      </c>
      <c r="J16" s="641">
        <v>0</v>
      </c>
      <c r="K16" s="641">
        <v>0</v>
      </c>
      <c r="L16" s="641">
        <v>-0.88445591317339634</v>
      </c>
      <c r="M16" s="641">
        <v>0</v>
      </c>
      <c r="N16" s="641">
        <v>0</v>
      </c>
      <c r="O16" s="641">
        <v>0</v>
      </c>
      <c r="P16" s="642">
        <v>0</v>
      </c>
      <c r="Q16" s="641">
        <v>0</v>
      </c>
      <c r="R16" s="641">
        <v>0</v>
      </c>
      <c r="S16" s="643">
        <v>-86.560559182712225</v>
      </c>
      <c r="U16" s="639" t="s">
        <v>63</v>
      </c>
      <c r="V16" s="640">
        <v>0</v>
      </c>
      <c r="W16" s="641">
        <v>0</v>
      </c>
      <c r="X16" s="641">
        <v>-61.793178017106612</v>
      </c>
      <c r="Y16" s="640">
        <v>0</v>
      </c>
      <c r="Z16" s="641">
        <v>0</v>
      </c>
      <c r="AA16" s="641">
        <v>0</v>
      </c>
      <c r="AB16" s="641">
        <v>0</v>
      </c>
      <c r="AC16" s="641">
        <v>0</v>
      </c>
      <c r="AD16" s="641">
        <v>-20.442150229714262</v>
      </c>
      <c r="AE16" s="641">
        <v>0</v>
      </c>
      <c r="AF16" s="641">
        <v>0</v>
      </c>
      <c r="AG16" s="641">
        <v>0</v>
      </c>
      <c r="AH16" s="642">
        <v>0</v>
      </c>
      <c r="AI16" s="641">
        <v>0</v>
      </c>
      <c r="AJ16" s="641">
        <v>0</v>
      </c>
      <c r="AK16" s="643">
        <v>-82.23532824682087</v>
      </c>
    </row>
    <row r="17" spans="3:37" x14ac:dyDescent="0.2">
      <c r="C17" s="639" t="s">
        <v>64</v>
      </c>
      <c r="D17" s="640">
        <v>0</v>
      </c>
      <c r="E17" s="641">
        <v>0</v>
      </c>
      <c r="F17" s="641">
        <v>0</v>
      </c>
      <c r="G17" s="640">
        <v>0</v>
      </c>
      <c r="H17" s="641">
        <v>0</v>
      </c>
      <c r="I17" s="641">
        <v>0</v>
      </c>
      <c r="J17" s="641">
        <v>0</v>
      </c>
      <c r="K17" s="641">
        <v>0</v>
      </c>
      <c r="L17" s="641">
        <v>0</v>
      </c>
      <c r="M17" s="641">
        <v>0</v>
      </c>
      <c r="N17" s="641">
        <v>0</v>
      </c>
      <c r="O17" s="641">
        <v>0</v>
      </c>
      <c r="P17" s="642">
        <v>0</v>
      </c>
      <c r="Q17" s="641">
        <v>0</v>
      </c>
      <c r="R17" s="641">
        <v>0</v>
      </c>
      <c r="S17" s="643">
        <v>0</v>
      </c>
      <c r="U17" s="639" t="s">
        <v>64</v>
      </c>
      <c r="V17" s="640">
        <v>0</v>
      </c>
      <c r="W17" s="641">
        <v>0</v>
      </c>
      <c r="X17" s="641">
        <v>0</v>
      </c>
      <c r="Y17" s="640">
        <v>0</v>
      </c>
      <c r="Z17" s="641">
        <v>0</v>
      </c>
      <c r="AA17" s="641">
        <v>0</v>
      </c>
      <c r="AB17" s="641">
        <v>0</v>
      </c>
      <c r="AC17" s="641">
        <v>0</v>
      </c>
      <c r="AD17" s="641">
        <v>0</v>
      </c>
      <c r="AE17" s="641">
        <v>0</v>
      </c>
      <c r="AF17" s="641">
        <v>0</v>
      </c>
      <c r="AG17" s="641">
        <v>0</v>
      </c>
      <c r="AH17" s="642">
        <v>0</v>
      </c>
      <c r="AI17" s="641">
        <v>0</v>
      </c>
      <c r="AJ17" s="641">
        <v>0</v>
      </c>
      <c r="AK17" s="643">
        <v>0</v>
      </c>
    </row>
    <row r="18" spans="3:37" x14ac:dyDescent="0.2">
      <c r="C18" s="644" t="s">
        <v>65</v>
      </c>
      <c r="D18" s="645">
        <v>48.372001461449948</v>
      </c>
      <c r="E18" s="645">
        <v>512.07101402008311</v>
      </c>
      <c r="F18" s="645">
        <v>-17.437975450417916</v>
      </c>
      <c r="G18" s="645">
        <v>333.88933186331565</v>
      </c>
      <c r="H18" s="645">
        <v>1005.4545454545456</v>
      </c>
      <c r="I18" s="645">
        <v>248.9826967827097</v>
      </c>
      <c r="J18" s="645">
        <v>193.94273469447566</v>
      </c>
      <c r="K18" s="645">
        <v>21.067323208066789</v>
      </c>
      <c r="L18" s="645">
        <v>1.8416249790665411</v>
      </c>
      <c r="M18" s="645">
        <v>0.15770970126630299</v>
      </c>
      <c r="N18" s="645">
        <v>60.832905155553725</v>
      </c>
      <c r="O18" s="645">
        <v>10.347989753579439</v>
      </c>
      <c r="P18" s="645">
        <v>-38.942042128507637</v>
      </c>
      <c r="Q18" s="645">
        <v>0</v>
      </c>
      <c r="R18" s="645">
        <v>0</v>
      </c>
      <c r="S18" s="645">
        <v>2380.5798594951875</v>
      </c>
      <c r="U18" s="644" t="s">
        <v>65</v>
      </c>
      <c r="V18" s="645">
        <v>8.3965846696126416</v>
      </c>
      <c r="W18" s="645">
        <v>296.81978048971496</v>
      </c>
      <c r="X18" s="645">
        <v>-54.492278965762601</v>
      </c>
      <c r="Y18" s="645">
        <v>161.15547553750713</v>
      </c>
      <c r="Z18" s="645">
        <v>949.39393939393938</v>
      </c>
      <c r="AA18" s="645">
        <v>279.58269678270966</v>
      </c>
      <c r="AB18" s="645">
        <v>200.65328572997174</v>
      </c>
      <c r="AC18" s="645">
        <v>37.828582612394825</v>
      </c>
      <c r="AD18" s="645">
        <v>-17.716069337474323</v>
      </c>
      <c r="AE18" s="645">
        <v>-0.54117223112811697</v>
      </c>
      <c r="AF18" s="645">
        <v>86.476611770328219</v>
      </c>
      <c r="AG18" s="645">
        <v>21.065809354780896</v>
      </c>
      <c r="AH18" s="645">
        <v>-20.693548582118865</v>
      </c>
      <c r="AI18" s="645">
        <v>0</v>
      </c>
      <c r="AJ18" s="645">
        <v>0</v>
      </c>
      <c r="AK18" s="645">
        <v>1947.9296972244754</v>
      </c>
    </row>
    <row r="19" spans="3:37" x14ac:dyDescent="0.2">
      <c r="C19" s="634"/>
      <c r="D19" s="634">
        <v>0</v>
      </c>
      <c r="E19" s="634">
        <v>0</v>
      </c>
      <c r="F19" s="634">
        <v>0</v>
      </c>
      <c r="G19" s="634">
        <v>0</v>
      </c>
      <c r="H19" s="634">
        <v>0</v>
      </c>
      <c r="I19" s="634">
        <v>0</v>
      </c>
      <c r="J19" s="634">
        <v>0</v>
      </c>
      <c r="K19" s="634">
        <v>0</v>
      </c>
      <c r="L19" s="634">
        <v>0</v>
      </c>
      <c r="M19" s="634">
        <v>0</v>
      </c>
      <c r="N19" s="634">
        <v>0</v>
      </c>
      <c r="O19" s="634">
        <v>0</v>
      </c>
      <c r="P19" s="634">
        <v>0</v>
      </c>
      <c r="Q19" s="634">
        <v>0</v>
      </c>
      <c r="R19" s="634">
        <v>0</v>
      </c>
      <c r="S19" s="634">
        <v>0</v>
      </c>
      <c r="U19" s="634"/>
      <c r="V19" s="634">
        <v>0</v>
      </c>
      <c r="W19" s="634">
        <v>0</v>
      </c>
      <c r="X19" s="634">
        <v>0</v>
      </c>
      <c r="Y19" s="634">
        <v>0</v>
      </c>
      <c r="Z19" s="634">
        <v>0</v>
      </c>
      <c r="AA19" s="634">
        <v>0</v>
      </c>
      <c r="AB19" s="634">
        <v>0</v>
      </c>
      <c r="AC19" s="634">
        <v>0</v>
      </c>
      <c r="AD19" s="634">
        <v>0</v>
      </c>
      <c r="AE19" s="634">
        <v>0</v>
      </c>
      <c r="AF19" s="634">
        <v>0</v>
      </c>
      <c r="AG19" s="634">
        <v>0</v>
      </c>
      <c r="AH19" s="634">
        <v>0</v>
      </c>
      <c r="AI19" s="634">
        <v>0</v>
      </c>
      <c r="AJ19" s="634">
        <v>0</v>
      </c>
      <c r="AK19" s="634">
        <v>0</v>
      </c>
    </row>
    <row r="20" spans="3:37" x14ac:dyDescent="0.2">
      <c r="C20" s="646" t="s">
        <v>67</v>
      </c>
      <c r="D20" s="640">
        <v>0</v>
      </c>
      <c r="E20" s="647">
        <v>0</v>
      </c>
      <c r="F20" s="647">
        <v>0</v>
      </c>
      <c r="G20" s="640">
        <v>0</v>
      </c>
      <c r="H20" s="640">
        <v>0</v>
      </c>
      <c r="I20" s="640">
        <v>0</v>
      </c>
      <c r="J20" s="640">
        <v>0</v>
      </c>
      <c r="K20" s="640">
        <v>0</v>
      </c>
      <c r="L20" s="640">
        <v>0</v>
      </c>
      <c r="M20" s="640">
        <v>0</v>
      </c>
      <c r="N20" s="640">
        <v>0</v>
      </c>
      <c r="O20" s="640">
        <v>0</v>
      </c>
      <c r="P20" s="640">
        <v>0</v>
      </c>
      <c r="Q20" s="640">
        <v>0</v>
      </c>
      <c r="R20" s="640">
        <v>0</v>
      </c>
      <c r="S20" s="648">
        <v>0</v>
      </c>
      <c r="U20" s="646" t="s">
        <v>67</v>
      </c>
      <c r="V20" s="640">
        <v>0</v>
      </c>
      <c r="W20" s="647">
        <v>0</v>
      </c>
      <c r="X20" s="647">
        <v>0</v>
      </c>
      <c r="Y20" s="640">
        <v>0</v>
      </c>
      <c r="Z20" s="640">
        <v>0</v>
      </c>
      <c r="AA20" s="640">
        <v>0</v>
      </c>
      <c r="AB20" s="640">
        <v>0</v>
      </c>
      <c r="AC20" s="640">
        <v>0</v>
      </c>
      <c r="AD20" s="640">
        <v>0</v>
      </c>
      <c r="AE20" s="640">
        <v>0</v>
      </c>
      <c r="AF20" s="640">
        <v>0</v>
      </c>
      <c r="AG20" s="640">
        <v>0</v>
      </c>
      <c r="AH20" s="640">
        <v>0</v>
      </c>
      <c r="AI20" s="640">
        <v>0</v>
      </c>
      <c r="AJ20" s="640">
        <v>0</v>
      </c>
      <c r="AK20" s="648">
        <v>0</v>
      </c>
    </row>
    <row r="21" spans="3:37" x14ac:dyDescent="0.2">
      <c r="C21" s="646" t="s">
        <v>347</v>
      </c>
      <c r="D21" s="640">
        <v>2.8267856410252494</v>
      </c>
      <c r="E21" s="640">
        <v>0</v>
      </c>
      <c r="F21" s="640">
        <v>7.7008933134364401</v>
      </c>
      <c r="G21" s="640">
        <v>17.192982456140349</v>
      </c>
      <c r="H21" s="640">
        <v>1005.4545454545456</v>
      </c>
      <c r="I21" s="640">
        <v>248.9826967827097</v>
      </c>
      <c r="J21" s="649">
        <v>29.95115714704033</v>
      </c>
      <c r="K21" s="649">
        <v>7.1699357941539494</v>
      </c>
      <c r="L21" s="649">
        <v>2.7260808922399375</v>
      </c>
      <c r="M21" s="649">
        <v>0.47574727688811397</v>
      </c>
      <c r="N21" s="649">
        <v>0</v>
      </c>
      <c r="O21" s="649">
        <v>5.3758847536792693</v>
      </c>
      <c r="P21" s="640">
        <v>-611.6040304377284</v>
      </c>
      <c r="Q21" s="640">
        <v>0</v>
      </c>
      <c r="R21" s="640">
        <v>0</v>
      </c>
      <c r="S21" s="648">
        <v>716.25267907413024</v>
      </c>
      <c r="U21" s="646" t="s">
        <v>347</v>
      </c>
      <c r="V21" s="640">
        <v>0.62631490545869017</v>
      </c>
      <c r="W21" s="640">
        <v>0</v>
      </c>
      <c r="X21" s="640">
        <v>3.8372569498000768</v>
      </c>
      <c r="Y21" s="640">
        <v>12.853333333333333</v>
      </c>
      <c r="Z21" s="640">
        <v>949.39393939393938</v>
      </c>
      <c r="AA21" s="640">
        <v>279.58269678270966</v>
      </c>
      <c r="AB21" s="649">
        <v>24.143657694158538</v>
      </c>
      <c r="AC21" s="649">
        <v>6.0680800758314266</v>
      </c>
      <c r="AD21" s="649">
        <v>2.7260808922399375</v>
      </c>
      <c r="AE21" s="649">
        <v>4.1838174523267107</v>
      </c>
      <c r="AF21" s="649">
        <v>0</v>
      </c>
      <c r="AG21" s="649">
        <v>5.3758847536792693</v>
      </c>
      <c r="AH21" s="640">
        <v>-621.90403043772824</v>
      </c>
      <c r="AI21" s="640">
        <v>0</v>
      </c>
      <c r="AJ21" s="640">
        <v>3.8</v>
      </c>
      <c r="AK21" s="648">
        <v>670.68703179574891</v>
      </c>
    </row>
    <row r="22" spans="3:37" x14ac:dyDescent="0.2">
      <c r="C22" s="646" t="s">
        <v>348</v>
      </c>
      <c r="D22" s="640">
        <v>0</v>
      </c>
      <c r="E22" s="640">
        <v>0</v>
      </c>
      <c r="F22" s="640">
        <v>0</v>
      </c>
      <c r="G22" s="640">
        <v>15.048436077523924</v>
      </c>
      <c r="H22" s="640">
        <v>0</v>
      </c>
      <c r="I22" s="640">
        <v>0</v>
      </c>
      <c r="J22" s="649">
        <v>12.74533322609016</v>
      </c>
      <c r="K22" s="649">
        <v>12.056480951460374</v>
      </c>
      <c r="L22" s="649">
        <v>0</v>
      </c>
      <c r="M22" s="649">
        <v>0.32133708059977345</v>
      </c>
      <c r="N22" s="649">
        <v>0</v>
      </c>
      <c r="O22" s="649">
        <v>2.1348201063802894</v>
      </c>
      <c r="P22" s="640">
        <v>0</v>
      </c>
      <c r="Q22" s="640">
        <v>-38.309646115177976</v>
      </c>
      <c r="R22" s="640">
        <v>0</v>
      </c>
      <c r="S22" s="648">
        <v>3.9967613268765492</v>
      </c>
      <c r="U22" s="646" t="s">
        <v>348</v>
      </c>
      <c r="V22" s="640">
        <v>0</v>
      </c>
      <c r="W22" s="640">
        <v>0</v>
      </c>
      <c r="X22" s="640">
        <v>0</v>
      </c>
      <c r="Y22" s="640">
        <v>12.803359009118745</v>
      </c>
      <c r="Z22" s="640">
        <v>0</v>
      </c>
      <c r="AA22" s="640">
        <v>0</v>
      </c>
      <c r="AB22" s="649">
        <v>28.717481814983032</v>
      </c>
      <c r="AC22" s="649">
        <v>25.924008984647354</v>
      </c>
      <c r="AD22" s="649">
        <v>0</v>
      </c>
      <c r="AE22" s="649">
        <v>4.0573921431217457</v>
      </c>
      <c r="AF22" s="649">
        <v>0</v>
      </c>
      <c r="AG22" s="649">
        <v>9.7357518308203428</v>
      </c>
      <c r="AH22" s="640">
        <v>0</v>
      </c>
      <c r="AI22" s="640">
        <v>-74.504230286476243</v>
      </c>
      <c r="AJ22" s="640">
        <v>0</v>
      </c>
      <c r="AK22" s="648">
        <v>6.7337634962149808</v>
      </c>
    </row>
    <row r="23" spans="3:37" x14ac:dyDescent="0.2">
      <c r="C23" s="646" t="s">
        <v>349</v>
      </c>
      <c r="D23" s="640">
        <v>0</v>
      </c>
      <c r="E23" s="640">
        <v>0</v>
      </c>
      <c r="F23" s="640">
        <v>0</v>
      </c>
      <c r="G23" s="640">
        <v>0</v>
      </c>
      <c r="H23" s="640">
        <v>0</v>
      </c>
      <c r="I23" s="640">
        <v>0</v>
      </c>
      <c r="J23" s="650">
        <v>7.2695194025067336</v>
      </c>
      <c r="K23" s="650">
        <v>0</v>
      </c>
      <c r="L23" s="650">
        <v>0</v>
      </c>
      <c r="M23" s="650">
        <v>-6.5716455398660871</v>
      </c>
      <c r="N23" s="650">
        <v>0</v>
      </c>
      <c r="O23" s="650">
        <v>0</v>
      </c>
      <c r="P23" s="640">
        <v>0</v>
      </c>
      <c r="Q23" s="640">
        <v>0</v>
      </c>
      <c r="R23" s="640">
        <v>0</v>
      </c>
      <c r="S23" s="648">
        <v>0.69787386264064644</v>
      </c>
      <c r="U23" s="646" t="s">
        <v>349</v>
      </c>
      <c r="V23" s="640">
        <v>0</v>
      </c>
      <c r="W23" s="640">
        <v>0</v>
      </c>
      <c r="X23" s="640">
        <v>0</v>
      </c>
      <c r="Y23" s="640">
        <v>0</v>
      </c>
      <c r="Z23" s="640">
        <v>0</v>
      </c>
      <c r="AA23" s="640">
        <v>0</v>
      </c>
      <c r="AB23" s="650">
        <v>56.55251118568826</v>
      </c>
      <c r="AC23" s="650">
        <v>0</v>
      </c>
      <c r="AD23" s="650">
        <v>0</v>
      </c>
      <c r="AE23" s="650">
        <v>-51.12347011186219</v>
      </c>
      <c r="AF23" s="650">
        <v>0</v>
      </c>
      <c r="AG23" s="650">
        <v>0</v>
      </c>
      <c r="AH23" s="640">
        <v>0</v>
      </c>
      <c r="AI23" s="640">
        <v>0</v>
      </c>
      <c r="AJ23" s="640">
        <v>0</v>
      </c>
      <c r="AK23" s="648">
        <v>5.4290410738260704</v>
      </c>
    </row>
    <row r="24" spans="3:37" x14ac:dyDescent="0.2">
      <c r="C24" s="646" t="s">
        <v>350</v>
      </c>
      <c r="D24" s="640">
        <v>0</v>
      </c>
      <c r="E24" s="640">
        <v>0</v>
      </c>
      <c r="F24" s="640">
        <v>0</v>
      </c>
      <c r="G24" s="640">
        <v>0</v>
      </c>
      <c r="H24" s="640">
        <v>0</v>
      </c>
      <c r="I24" s="640">
        <v>0</v>
      </c>
      <c r="J24" s="640">
        <v>0</v>
      </c>
      <c r="K24" s="640">
        <v>0</v>
      </c>
      <c r="L24" s="640">
        <v>0</v>
      </c>
      <c r="M24" s="640">
        <v>0</v>
      </c>
      <c r="N24" s="640">
        <v>0</v>
      </c>
      <c r="O24" s="640">
        <v>0</v>
      </c>
      <c r="P24" s="640">
        <v>0</v>
      </c>
      <c r="Q24" s="640">
        <v>0</v>
      </c>
      <c r="R24" s="640">
        <v>0</v>
      </c>
      <c r="S24" s="648">
        <v>0</v>
      </c>
      <c r="U24" s="646" t="s">
        <v>350</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646" t="s">
        <v>72</v>
      </c>
      <c r="D25" s="640">
        <v>0</v>
      </c>
      <c r="E25" s="640">
        <v>530.45114623720224</v>
      </c>
      <c r="F25" s="640">
        <v>-525.1466347748302</v>
      </c>
      <c r="G25" s="640">
        <v>0</v>
      </c>
      <c r="H25" s="640">
        <v>0</v>
      </c>
      <c r="I25" s="640">
        <v>0</v>
      </c>
      <c r="J25" s="640">
        <v>0</v>
      </c>
      <c r="K25" s="640">
        <v>0</v>
      </c>
      <c r="L25" s="640">
        <v>0</v>
      </c>
      <c r="M25" s="640">
        <v>0</v>
      </c>
      <c r="N25" s="640">
        <v>0</v>
      </c>
      <c r="O25" s="640">
        <v>0</v>
      </c>
      <c r="P25" s="640">
        <v>0</v>
      </c>
      <c r="Q25" s="640">
        <v>0</v>
      </c>
      <c r="R25" s="640">
        <v>0</v>
      </c>
      <c r="S25" s="648">
        <v>5.3045114623720337</v>
      </c>
      <c r="U25" s="646" t="s">
        <v>72</v>
      </c>
      <c r="V25" s="640">
        <v>0</v>
      </c>
      <c r="W25" s="640">
        <v>307.47374578102756</v>
      </c>
      <c r="X25" s="640">
        <v>-304.39900832321729</v>
      </c>
      <c r="Y25" s="640">
        <v>0</v>
      </c>
      <c r="Z25" s="640">
        <v>0</v>
      </c>
      <c r="AA25" s="640">
        <v>0</v>
      </c>
      <c r="AB25" s="640">
        <v>0</v>
      </c>
      <c r="AC25" s="640">
        <v>0</v>
      </c>
      <c r="AD25" s="640">
        <v>0</v>
      </c>
      <c r="AE25" s="640">
        <v>0</v>
      </c>
      <c r="AF25" s="640">
        <v>0</v>
      </c>
      <c r="AG25" s="640">
        <v>0</v>
      </c>
      <c r="AH25" s="640">
        <v>0</v>
      </c>
      <c r="AI25" s="640">
        <v>0</v>
      </c>
      <c r="AJ25" s="640">
        <v>0</v>
      </c>
      <c r="AK25" s="648">
        <v>3.0747374578102722</v>
      </c>
    </row>
    <row r="26" spans="3:37" x14ac:dyDescent="0.2">
      <c r="C26" s="646" t="s">
        <v>351</v>
      </c>
      <c r="D26" s="640">
        <v>0</v>
      </c>
      <c r="E26" s="640">
        <v>0</v>
      </c>
      <c r="F26" s="640">
        <v>0</v>
      </c>
      <c r="G26" s="640">
        <v>0</v>
      </c>
      <c r="H26" s="640">
        <v>0</v>
      </c>
      <c r="I26" s="640">
        <v>0</v>
      </c>
      <c r="J26" s="640">
        <v>30.470996070194996</v>
      </c>
      <c r="K26" s="640">
        <v>0</v>
      </c>
      <c r="L26" s="640">
        <v>-30.470996070194996</v>
      </c>
      <c r="M26" s="640">
        <v>0</v>
      </c>
      <c r="N26" s="640">
        <v>0</v>
      </c>
      <c r="O26" s="640">
        <v>0</v>
      </c>
      <c r="P26" s="640">
        <v>0</v>
      </c>
      <c r="Q26" s="640">
        <v>0</v>
      </c>
      <c r="R26" s="640">
        <v>0</v>
      </c>
      <c r="S26" s="648">
        <v>0</v>
      </c>
      <c r="U26" s="646" t="s">
        <v>351</v>
      </c>
      <c r="V26" s="640">
        <v>0</v>
      </c>
      <c r="W26" s="640">
        <v>0</v>
      </c>
      <c r="X26" s="640">
        <v>0</v>
      </c>
      <c r="Y26" s="640">
        <v>0</v>
      </c>
      <c r="Z26" s="640">
        <v>0</v>
      </c>
      <c r="AA26" s="640">
        <v>0</v>
      </c>
      <c r="AB26" s="640" t="e">
        <v>#VALUE!</v>
      </c>
      <c r="AC26" s="640">
        <v>0</v>
      </c>
      <c r="AD26" s="640">
        <v>-92.079399970639116</v>
      </c>
      <c r="AE26" s="640">
        <v>0</v>
      </c>
      <c r="AF26" s="640">
        <v>0</v>
      </c>
      <c r="AG26" s="640">
        <v>0</v>
      </c>
      <c r="AH26" s="640">
        <v>0</v>
      </c>
      <c r="AI26" s="640">
        <v>0</v>
      </c>
      <c r="AJ26" s="640">
        <v>0</v>
      </c>
      <c r="AK26" s="648">
        <v>-92.079399970639116</v>
      </c>
    </row>
    <row r="27" spans="3:37" x14ac:dyDescent="0.2">
      <c r="C27" s="646" t="s">
        <v>352</v>
      </c>
      <c r="D27" s="640">
        <v>0</v>
      </c>
      <c r="E27" s="640">
        <v>0</v>
      </c>
      <c r="F27" s="640">
        <v>0</v>
      </c>
      <c r="G27" s="640">
        <v>0</v>
      </c>
      <c r="H27" s="640">
        <v>0</v>
      </c>
      <c r="I27" s="640">
        <v>0</v>
      </c>
      <c r="J27" s="640">
        <v>0</v>
      </c>
      <c r="K27" s="640">
        <v>0</v>
      </c>
      <c r="L27" s="640">
        <v>0</v>
      </c>
      <c r="M27" s="640">
        <v>0</v>
      </c>
      <c r="N27" s="640">
        <v>0</v>
      </c>
      <c r="O27" s="640">
        <v>0</v>
      </c>
      <c r="P27" s="640">
        <v>0</v>
      </c>
      <c r="Q27" s="640">
        <v>0</v>
      </c>
      <c r="R27" s="640">
        <v>0</v>
      </c>
      <c r="S27" s="648">
        <v>0</v>
      </c>
      <c r="U27" s="646" t="s">
        <v>352</v>
      </c>
      <c r="V27" s="640">
        <v>0</v>
      </c>
      <c r="W27" s="640">
        <v>0</v>
      </c>
      <c r="X27" s="640">
        <v>0</v>
      </c>
      <c r="Y27" s="640">
        <v>0</v>
      </c>
      <c r="Z27" s="640">
        <v>0</v>
      </c>
      <c r="AA27" s="640">
        <v>0</v>
      </c>
      <c r="AB27" s="640">
        <v>0</v>
      </c>
      <c r="AC27" s="640">
        <v>0</v>
      </c>
      <c r="AD27" s="640">
        <v>-18.857582137623396</v>
      </c>
      <c r="AE27" s="640">
        <v>0</v>
      </c>
      <c r="AF27" s="640">
        <v>0</v>
      </c>
      <c r="AG27" s="640">
        <v>0</v>
      </c>
      <c r="AH27" s="640">
        <v>0</v>
      </c>
      <c r="AI27" s="640">
        <v>0</v>
      </c>
      <c r="AJ27" s="640">
        <v>0</v>
      </c>
      <c r="AK27" s="648">
        <v>-18.857582137623396</v>
      </c>
    </row>
    <row r="28" spans="3:37" x14ac:dyDescent="0.2">
      <c r="C28" s="646" t="s">
        <v>73</v>
      </c>
      <c r="D28" s="640">
        <v>0</v>
      </c>
      <c r="E28" s="640">
        <v>0</v>
      </c>
      <c r="F28" s="640">
        <v>0</v>
      </c>
      <c r="G28" s="640">
        <v>4.2253053989858387</v>
      </c>
      <c r="H28" s="640">
        <v>0</v>
      </c>
      <c r="I28" s="640">
        <v>0</v>
      </c>
      <c r="J28" s="640">
        <v>0</v>
      </c>
      <c r="K28" s="640">
        <v>4.8227473393893973E-2</v>
      </c>
      <c r="L28" s="640">
        <v>0</v>
      </c>
      <c r="M28" s="640">
        <v>8.6230722428282419E-2</v>
      </c>
      <c r="N28" s="640">
        <v>0</v>
      </c>
      <c r="O28" s="640">
        <v>0</v>
      </c>
      <c r="P28" s="640">
        <v>0.47800681593948002</v>
      </c>
      <c r="Q28" s="640">
        <v>0</v>
      </c>
      <c r="R28" s="640">
        <v>-3.3759231375725771</v>
      </c>
      <c r="S28" s="648">
        <v>1.4618472731749175</v>
      </c>
      <c r="U28" s="646" t="s">
        <v>73</v>
      </c>
      <c r="V28" s="640">
        <v>0</v>
      </c>
      <c r="W28" s="640">
        <v>0</v>
      </c>
      <c r="X28" s="640">
        <v>0</v>
      </c>
      <c r="Y28" s="640">
        <v>6.2430459874299995</v>
      </c>
      <c r="Z28" s="640">
        <v>0</v>
      </c>
      <c r="AA28" s="640">
        <v>0</v>
      </c>
      <c r="AB28" s="640">
        <v>0</v>
      </c>
      <c r="AC28" s="640">
        <v>0.34514849554566557</v>
      </c>
      <c r="AD28" s="640">
        <v>0</v>
      </c>
      <c r="AE28" s="640">
        <v>1.9714882065568418</v>
      </c>
      <c r="AF28" s="640">
        <v>0</v>
      </c>
      <c r="AG28" s="640">
        <v>0</v>
      </c>
      <c r="AH28" s="640">
        <v>26.797369919651668</v>
      </c>
      <c r="AI28" s="640">
        <v>0</v>
      </c>
      <c r="AJ28" s="640">
        <v>-24.160394688196586</v>
      </c>
      <c r="AK28" s="648">
        <v>11.196657920987594</v>
      </c>
    </row>
    <row r="29" spans="3:37" x14ac:dyDescent="0.2">
      <c r="C29" s="646" t="s">
        <v>353</v>
      </c>
      <c r="D29" s="640">
        <v>28.633394531250001</v>
      </c>
      <c r="E29" s="640">
        <v>-18.380132217119058</v>
      </c>
      <c r="F29" s="640">
        <v>24.040127313749448</v>
      </c>
      <c r="G29" s="640">
        <v>0</v>
      </c>
      <c r="H29" s="640">
        <v>0</v>
      </c>
      <c r="I29" s="640">
        <v>0</v>
      </c>
      <c r="J29" s="640">
        <v>0</v>
      </c>
      <c r="K29" s="640">
        <v>0</v>
      </c>
      <c r="L29" s="640">
        <v>0</v>
      </c>
      <c r="M29" s="640">
        <v>0</v>
      </c>
      <c r="N29" s="640">
        <v>0</v>
      </c>
      <c r="O29" s="640">
        <v>0</v>
      </c>
      <c r="P29" s="640">
        <v>0</v>
      </c>
      <c r="Q29" s="640">
        <v>0</v>
      </c>
      <c r="R29" s="640">
        <v>0</v>
      </c>
      <c r="S29" s="648">
        <v>34.293389627880387</v>
      </c>
      <c r="U29" s="646" t="s">
        <v>353</v>
      </c>
      <c r="V29" s="640">
        <v>2.8339389038085936</v>
      </c>
      <c r="W29" s="640">
        <v>-10.653965291312606</v>
      </c>
      <c r="X29" s="640">
        <v>13.93475732241321</v>
      </c>
      <c r="Y29" s="640">
        <v>0</v>
      </c>
      <c r="Z29" s="640">
        <v>0</v>
      </c>
      <c r="AA29" s="640">
        <v>0</v>
      </c>
      <c r="AB29" s="640">
        <v>0</v>
      </c>
      <c r="AC29" s="640">
        <v>0</v>
      </c>
      <c r="AD29" s="640">
        <v>0</v>
      </c>
      <c r="AE29" s="640">
        <v>0</v>
      </c>
      <c r="AF29" s="640">
        <v>0</v>
      </c>
      <c r="AG29" s="640">
        <v>0</v>
      </c>
      <c r="AH29" s="640">
        <v>0</v>
      </c>
      <c r="AI29" s="640">
        <v>0</v>
      </c>
      <c r="AJ29" s="640">
        <v>0</v>
      </c>
      <c r="AK29" s="648">
        <v>6.1147309349091987</v>
      </c>
    </row>
    <row r="30" spans="3:37" x14ac:dyDescent="0.2">
      <c r="C30" s="646" t="s">
        <v>75</v>
      </c>
      <c r="D30" s="640">
        <v>11.135208984375002</v>
      </c>
      <c r="E30" s="640">
        <v>0</v>
      </c>
      <c r="F30" s="640">
        <v>18.035338972064878</v>
      </c>
      <c r="G30" s="640">
        <v>5.1464370207933356</v>
      </c>
      <c r="H30" s="640">
        <v>0</v>
      </c>
      <c r="I30" s="640">
        <v>0</v>
      </c>
      <c r="J30" s="640">
        <v>0</v>
      </c>
      <c r="K30" s="640">
        <v>0</v>
      </c>
      <c r="L30" s="640">
        <v>0</v>
      </c>
      <c r="M30" s="640">
        <v>0.10502932695496604</v>
      </c>
      <c r="N30" s="640">
        <v>0</v>
      </c>
      <c r="O30" s="640">
        <v>0</v>
      </c>
      <c r="P30" s="640">
        <v>31.859130537431355</v>
      </c>
      <c r="Q30" s="640">
        <v>0</v>
      </c>
      <c r="R30" s="640">
        <v>0</v>
      </c>
      <c r="S30" s="648">
        <v>66.281144841619536</v>
      </c>
      <c r="U30" s="646" t="s">
        <v>75</v>
      </c>
      <c r="V30" s="640">
        <v>3.871097900390625</v>
      </c>
      <c r="W30" s="640">
        <v>0</v>
      </c>
      <c r="X30" s="640">
        <v>18.035338972064878</v>
      </c>
      <c r="Y30" s="640">
        <v>3.9911144242887096</v>
      </c>
      <c r="Z30" s="640">
        <v>0</v>
      </c>
      <c r="AA30" s="640">
        <v>0</v>
      </c>
      <c r="AB30" s="640">
        <v>0</v>
      </c>
      <c r="AC30" s="640">
        <v>0</v>
      </c>
      <c r="AD30" s="640">
        <v>0</v>
      </c>
      <c r="AE30" s="640">
        <v>1.2603519234595923</v>
      </c>
      <c r="AF30" s="640">
        <v>0</v>
      </c>
      <c r="AG30" s="640">
        <v>0</v>
      </c>
      <c r="AH30" s="640">
        <v>35.363675991976798</v>
      </c>
      <c r="AI30" s="640">
        <v>0</v>
      </c>
      <c r="AJ30" s="640">
        <v>0</v>
      </c>
      <c r="AK30" s="648">
        <v>62.521579212180605</v>
      </c>
    </row>
    <row r="31" spans="3:37" x14ac:dyDescent="0.2">
      <c r="C31" s="646" t="s">
        <v>76</v>
      </c>
      <c r="D31" s="640">
        <v>0</v>
      </c>
      <c r="E31" s="640">
        <v>0</v>
      </c>
      <c r="F31" s="640">
        <v>0</v>
      </c>
      <c r="G31" s="640">
        <v>3.818307882847094</v>
      </c>
      <c r="H31" s="640">
        <v>0</v>
      </c>
      <c r="I31" s="640">
        <v>0</v>
      </c>
      <c r="J31" s="640">
        <v>0</v>
      </c>
      <c r="K31" s="640">
        <v>0</v>
      </c>
      <c r="L31" s="640">
        <v>0</v>
      </c>
      <c r="M31" s="640">
        <v>7.7924650670348858E-2</v>
      </c>
      <c r="N31" s="640">
        <v>0</v>
      </c>
      <c r="O31" s="640">
        <v>0</v>
      </c>
      <c r="P31" s="640">
        <v>43.831436480126726</v>
      </c>
      <c r="Q31" s="640">
        <v>2.9732290990631256</v>
      </c>
      <c r="R31" s="640">
        <v>0</v>
      </c>
      <c r="S31" s="648">
        <v>50.700898112707293</v>
      </c>
      <c r="U31" s="646" t="s">
        <v>76</v>
      </c>
      <c r="V31" s="640">
        <v>0</v>
      </c>
      <c r="W31" s="640">
        <v>0</v>
      </c>
      <c r="X31" s="640">
        <v>0</v>
      </c>
      <c r="Y31" s="640">
        <v>1.9196559923426515</v>
      </c>
      <c r="Z31" s="640">
        <v>0</v>
      </c>
      <c r="AA31" s="640">
        <v>0</v>
      </c>
      <c r="AB31" s="640">
        <v>0</v>
      </c>
      <c r="AC31" s="640">
        <v>0</v>
      </c>
      <c r="AD31" s="640">
        <v>0</v>
      </c>
      <c r="AE31" s="640">
        <v>0.60620715547662674</v>
      </c>
      <c r="AF31" s="640">
        <v>0</v>
      </c>
      <c r="AG31" s="640">
        <v>0</v>
      </c>
      <c r="AH31" s="640">
        <v>46.019363501687437</v>
      </c>
      <c r="AI31" s="640">
        <v>5.777975473960776</v>
      </c>
      <c r="AJ31" s="640">
        <v>0</v>
      </c>
      <c r="AK31" s="648">
        <v>54.323202123467496</v>
      </c>
    </row>
    <row r="32" spans="3:37" x14ac:dyDescent="0.2">
      <c r="C32" s="644" t="s">
        <v>77</v>
      </c>
      <c r="D32" s="645">
        <v>42.595389156650249</v>
      </c>
      <c r="E32" s="645">
        <v>512.07101402008323</v>
      </c>
      <c r="F32" s="645">
        <v>-475.37027517557942</v>
      </c>
      <c r="G32" s="645">
        <v>45.431468836290541</v>
      </c>
      <c r="H32" s="645">
        <v>1005.4545454545456</v>
      </c>
      <c r="I32" s="645">
        <v>248.9826967827097</v>
      </c>
      <c r="J32" s="645">
        <v>80.437005845832218</v>
      </c>
      <c r="K32" s="645">
        <v>19.274644219008216</v>
      </c>
      <c r="L32" s="645">
        <v>-27.744915177955058</v>
      </c>
      <c r="M32" s="645">
        <v>-5.5053764823246025</v>
      </c>
      <c r="N32" s="645">
        <v>0</v>
      </c>
      <c r="O32" s="645">
        <v>7.5107048600595583</v>
      </c>
      <c r="P32" s="645">
        <v>-535.43545660423092</v>
      </c>
      <c r="Q32" s="645">
        <v>-35.336417016114851</v>
      </c>
      <c r="R32" s="645">
        <v>-3.3759231375725771</v>
      </c>
      <c r="S32" s="645">
        <v>878.98910558140176</v>
      </c>
      <c r="U32" s="644" t="s">
        <v>77</v>
      </c>
      <c r="V32" s="645">
        <v>7.3313517096579091</v>
      </c>
      <c r="W32" s="645">
        <v>296.81978048971496</v>
      </c>
      <c r="X32" s="645">
        <v>-268.59165507893914</v>
      </c>
      <c r="Y32" s="645">
        <v>37.810508746513442</v>
      </c>
      <c r="Z32" s="645">
        <v>949.39393939393938</v>
      </c>
      <c r="AA32" s="645">
        <v>279.58269678270966</v>
      </c>
      <c r="AB32" s="645">
        <v>109.41365069482983</v>
      </c>
      <c r="AC32" s="645">
        <v>32.337237556024441</v>
      </c>
      <c r="AD32" s="645">
        <v>-108.21090121602258</v>
      </c>
      <c r="AE32" s="645">
        <v>-39.044213230920668</v>
      </c>
      <c r="AF32" s="645">
        <v>0</v>
      </c>
      <c r="AG32" s="645">
        <v>15.111636584499612</v>
      </c>
      <c r="AH32" s="645">
        <v>-513.7236210244123</v>
      </c>
      <c r="AI32" s="645">
        <v>-68.726254812515464</v>
      </c>
      <c r="AJ32" s="645">
        <v>-20.360394688196585</v>
      </c>
      <c r="AK32" s="645">
        <v>709.14376190688279</v>
      </c>
    </row>
    <row r="33" spans="3:37" x14ac:dyDescent="0.2">
      <c r="C33" s="634"/>
      <c r="D33" s="634">
        <v>0</v>
      </c>
      <c r="E33" s="634">
        <v>0</v>
      </c>
      <c r="F33" s="634">
        <v>0</v>
      </c>
      <c r="G33" s="634">
        <v>0</v>
      </c>
      <c r="H33" s="634">
        <v>0</v>
      </c>
      <c r="I33" s="634">
        <v>0</v>
      </c>
      <c r="J33" s="634">
        <v>0</v>
      </c>
      <c r="K33" s="634">
        <v>0</v>
      </c>
      <c r="L33" s="634">
        <v>0</v>
      </c>
      <c r="M33" s="634">
        <v>0</v>
      </c>
      <c r="N33" s="634">
        <v>0</v>
      </c>
      <c r="O33" s="634">
        <v>0</v>
      </c>
      <c r="P33" s="634">
        <v>0</v>
      </c>
      <c r="Q33" s="634">
        <v>0</v>
      </c>
      <c r="R33" s="634">
        <v>0</v>
      </c>
      <c r="S33" s="634">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646" t="s">
        <v>78</v>
      </c>
      <c r="D34" s="640">
        <v>5.7766123047996905</v>
      </c>
      <c r="E34" s="640">
        <v>0</v>
      </c>
      <c r="F34" s="640">
        <v>22.402619678599791</v>
      </c>
      <c r="G34" s="640">
        <v>99.281124041468402</v>
      </c>
      <c r="H34" s="640">
        <v>0</v>
      </c>
      <c r="I34" s="640">
        <v>0</v>
      </c>
      <c r="J34" s="640">
        <v>20.258622771310847</v>
      </c>
      <c r="K34" s="640">
        <v>1.7675748663376085</v>
      </c>
      <c r="L34" s="640">
        <v>0.898333240234375</v>
      </c>
      <c r="M34" s="640">
        <v>2.0447588657198987</v>
      </c>
      <c r="N34" s="640">
        <v>0</v>
      </c>
      <c r="O34" s="640">
        <v>3.7946622282562846E-4</v>
      </c>
      <c r="P34" s="640">
        <v>110.87393457022205</v>
      </c>
      <c r="Q34" s="640">
        <v>16.091742927144434</v>
      </c>
      <c r="R34" s="640">
        <v>0.31004003906249999</v>
      </c>
      <c r="S34" s="648">
        <v>279.70574277112252</v>
      </c>
      <c r="U34" s="646" t="s">
        <v>78</v>
      </c>
      <c r="V34" s="640">
        <v>1.065232959954733</v>
      </c>
      <c r="W34" s="640">
        <v>0</v>
      </c>
      <c r="X34" s="640">
        <v>10.225742404389669</v>
      </c>
      <c r="Y34" s="640">
        <v>56.981112862578769</v>
      </c>
      <c r="Z34" s="640">
        <v>0</v>
      </c>
      <c r="AA34" s="640">
        <v>0</v>
      </c>
      <c r="AB34" s="640">
        <v>15.894636498884354</v>
      </c>
      <c r="AC34" s="640">
        <v>5.4662409336494147</v>
      </c>
      <c r="AD34" s="640">
        <v>3.5459101562500011</v>
      </c>
      <c r="AE34" s="640">
        <v>18.012649117932849</v>
      </c>
      <c r="AF34" s="640">
        <v>0</v>
      </c>
      <c r="AG34" s="640">
        <v>3.7946622282562846E-4</v>
      </c>
      <c r="AH34" s="640">
        <v>139.02742097426295</v>
      </c>
      <c r="AI34" s="640">
        <v>22.276590949645215</v>
      </c>
      <c r="AJ34" s="640">
        <v>6.4302626953124999</v>
      </c>
      <c r="AK34" s="648">
        <v>278.92617901908329</v>
      </c>
    </row>
    <row r="35" spans="3:37" x14ac:dyDescent="0.2">
      <c r="C35" s="646" t="s">
        <v>79</v>
      </c>
      <c r="D35" s="640">
        <v>0</v>
      </c>
      <c r="E35" s="640">
        <v>0</v>
      </c>
      <c r="F35" s="640">
        <v>266.09529408288529</v>
      </c>
      <c r="G35" s="640">
        <v>27.519674276690072</v>
      </c>
      <c r="H35" s="640">
        <v>0</v>
      </c>
      <c r="I35" s="640">
        <v>0</v>
      </c>
      <c r="J35" s="640">
        <v>0</v>
      </c>
      <c r="K35" s="640">
        <v>0</v>
      </c>
      <c r="L35" s="640">
        <v>25.787483151262677</v>
      </c>
      <c r="M35" s="640">
        <v>0.56162600564673626</v>
      </c>
      <c r="N35" s="640">
        <v>0</v>
      </c>
      <c r="O35" s="640">
        <v>0</v>
      </c>
      <c r="P35" s="640">
        <v>55.913522242788574</v>
      </c>
      <c r="Q35" s="640">
        <v>0</v>
      </c>
      <c r="R35" s="640">
        <v>1.6351140344190074</v>
      </c>
      <c r="S35" s="648">
        <v>377.5127137936924</v>
      </c>
      <c r="U35" s="646" t="s">
        <v>79</v>
      </c>
      <c r="V35" s="640">
        <v>0</v>
      </c>
      <c r="W35" s="640">
        <v>0</v>
      </c>
      <c r="X35" s="640">
        <v>96.606255591578162</v>
      </c>
      <c r="Y35" s="640">
        <v>18.337650579977414</v>
      </c>
      <c r="Z35" s="640">
        <v>0</v>
      </c>
      <c r="AA35" s="640">
        <v>0</v>
      </c>
      <c r="AB35" s="640">
        <v>0</v>
      </c>
      <c r="AC35" s="640">
        <v>0</v>
      </c>
      <c r="AD35" s="640">
        <v>50.618247990049454</v>
      </c>
      <c r="AE35" s="640">
        <v>5.9499820008855142</v>
      </c>
      <c r="AF35" s="640">
        <v>0</v>
      </c>
      <c r="AG35" s="640">
        <v>0</v>
      </c>
      <c r="AH35" s="640">
        <v>73.690348279738799</v>
      </c>
      <c r="AI35" s="640">
        <v>0</v>
      </c>
      <c r="AJ35" s="640">
        <v>3.6092463767880076</v>
      </c>
      <c r="AK35" s="648">
        <v>248.81173081901736</v>
      </c>
    </row>
    <row r="36" spans="3:37" x14ac:dyDescent="0.2">
      <c r="C36" s="646" t="s">
        <v>80</v>
      </c>
      <c r="D36" s="640">
        <v>0</v>
      </c>
      <c r="E36" s="640">
        <v>0</v>
      </c>
      <c r="F36" s="640">
        <v>20.365336948925044</v>
      </c>
      <c r="G36" s="640">
        <v>85.23124323075227</v>
      </c>
      <c r="H36" s="640">
        <v>0</v>
      </c>
      <c r="I36" s="640">
        <v>0</v>
      </c>
      <c r="J36" s="640">
        <v>86.726820353783026</v>
      </c>
      <c r="K36" s="640">
        <v>0</v>
      </c>
      <c r="L36" s="640">
        <v>0</v>
      </c>
      <c r="M36" s="640">
        <v>1.7394131271582098</v>
      </c>
      <c r="N36" s="640">
        <v>52.217429119397167</v>
      </c>
      <c r="O36" s="640">
        <v>2.0042749347218733</v>
      </c>
      <c r="P36" s="640">
        <v>185.58174281281848</v>
      </c>
      <c r="Q36" s="640">
        <v>15.554343379011728</v>
      </c>
      <c r="R36" s="640">
        <v>0</v>
      </c>
      <c r="S36" s="648">
        <v>449.42060390656781</v>
      </c>
      <c r="U36" s="646" t="s">
        <v>80</v>
      </c>
      <c r="V36" s="640">
        <v>0</v>
      </c>
      <c r="W36" s="640">
        <v>0</v>
      </c>
      <c r="X36" s="640">
        <v>1.2585168598114169</v>
      </c>
      <c r="Y36" s="640">
        <v>24.208168890995722</v>
      </c>
      <c r="Z36" s="640">
        <v>0</v>
      </c>
      <c r="AA36" s="640">
        <v>0</v>
      </c>
      <c r="AB36" s="640">
        <v>64.793825414524548</v>
      </c>
      <c r="AC36" s="640">
        <v>0</v>
      </c>
      <c r="AD36" s="640">
        <v>0</v>
      </c>
      <c r="AE36" s="640">
        <v>7.6446849129460164</v>
      </c>
      <c r="AF36" s="640">
        <v>71.984931036617454</v>
      </c>
      <c r="AG36" s="640">
        <v>3.153558114778761</v>
      </c>
      <c r="AH36" s="640">
        <v>153.74527198137548</v>
      </c>
      <c r="AI36" s="640">
        <v>35.336807466581455</v>
      </c>
      <c r="AJ36" s="640">
        <v>0</v>
      </c>
      <c r="AK36" s="648">
        <v>362.12576467763085</v>
      </c>
    </row>
    <row r="37" spans="3:37" x14ac:dyDescent="0.2">
      <c r="C37" s="646" t="s">
        <v>81</v>
      </c>
      <c r="D37" s="640">
        <v>0</v>
      </c>
      <c r="E37" s="640">
        <v>0</v>
      </c>
      <c r="F37" s="640">
        <v>7.1130915409553364</v>
      </c>
      <c r="G37" s="640">
        <v>63.054682395398032</v>
      </c>
      <c r="H37" s="640">
        <v>0</v>
      </c>
      <c r="I37" s="640">
        <v>0</v>
      </c>
      <c r="J37" s="640">
        <v>3.2976998041276677</v>
      </c>
      <c r="K37" s="640">
        <v>2.5104122720965388E-2</v>
      </c>
      <c r="L37" s="640">
        <v>0</v>
      </c>
      <c r="M37" s="640">
        <v>1.2868302529673068</v>
      </c>
      <c r="N37" s="640">
        <v>8.6154760361565579</v>
      </c>
      <c r="O37" s="640">
        <v>0.75786341807650337</v>
      </c>
      <c r="P37" s="640">
        <v>137.18962935697431</v>
      </c>
      <c r="Q37" s="640">
        <v>3.6903307099586842</v>
      </c>
      <c r="R37" s="640">
        <v>0</v>
      </c>
      <c r="S37" s="648">
        <v>225.03070763733538</v>
      </c>
      <c r="U37" s="646" t="s">
        <v>81</v>
      </c>
      <c r="V37" s="640">
        <v>0</v>
      </c>
      <c r="W37" s="640">
        <v>0</v>
      </c>
      <c r="X37" s="640">
        <v>2.1697022188790429</v>
      </c>
      <c r="Y37" s="640">
        <v>20.911765460712612</v>
      </c>
      <c r="Z37" s="640">
        <v>0</v>
      </c>
      <c r="AA37" s="640">
        <v>0</v>
      </c>
      <c r="AB37" s="640">
        <v>7.3285872023111214</v>
      </c>
      <c r="AC37" s="640">
        <v>2.5104122720965388E-2</v>
      </c>
      <c r="AD37" s="640">
        <v>0</v>
      </c>
      <c r="AE37" s="640">
        <v>6.6037154086460879</v>
      </c>
      <c r="AF37" s="640">
        <v>14.491680733710758</v>
      </c>
      <c r="AG37" s="640">
        <v>1.6347019702159422</v>
      </c>
      <c r="AH37" s="640">
        <v>117.90366143236871</v>
      </c>
      <c r="AI37" s="640">
        <v>11.11285639628878</v>
      </c>
      <c r="AJ37" s="640">
        <v>0</v>
      </c>
      <c r="AK37" s="648">
        <v>182.18177494585402</v>
      </c>
    </row>
    <row r="38" spans="3:37" x14ac:dyDescent="0.2">
      <c r="C38" s="646" t="s">
        <v>82</v>
      </c>
      <c r="D38" s="640">
        <v>0</v>
      </c>
      <c r="E38" s="640">
        <v>0</v>
      </c>
      <c r="F38" s="640">
        <v>30.218764596795413</v>
      </c>
      <c r="G38" s="640">
        <v>1.4924386728389218</v>
      </c>
      <c r="H38" s="640">
        <v>0</v>
      </c>
      <c r="I38" s="640">
        <v>0</v>
      </c>
      <c r="J38" s="640">
        <v>3.2225859194218685</v>
      </c>
      <c r="K38" s="640">
        <v>0</v>
      </c>
      <c r="L38" s="640">
        <v>2.9019247412329854</v>
      </c>
      <c r="M38" s="640">
        <v>3.0457932098753505E-2</v>
      </c>
      <c r="N38" s="640">
        <v>0</v>
      </c>
      <c r="O38" s="640">
        <v>7.4767074498679406E-2</v>
      </c>
      <c r="P38" s="640">
        <v>6.6555854929198803</v>
      </c>
      <c r="Q38" s="640">
        <v>0</v>
      </c>
      <c r="R38" s="640">
        <v>0</v>
      </c>
      <c r="S38" s="648">
        <v>44.596524429806507</v>
      </c>
      <c r="U38" s="646" t="s">
        <v>82</v>
      </c>
      <c r="V38" s="640">
        <v>0</v>
      </c>
      <c r="W38" s="640">
        <v>0</v>
      </c>
      <c r="X38" s="640">
        <v>13.476198254352189</v>
      </c>
      <c r="Y38" s="640">
        <v>1.4718796614135594</v>
      </c>
      <c r="Z38" s="640">
        <v>0</v>
      </c>
      <c r="AA38" s="640">
        <v>0</v>
      </c>
      <c r="AB38" s="640">
        <v>3.2225859194218685</v>
      </c>
      <c r="AC38" s="640">
        <v>0</v>
      </c>
      <c r="AD38" s="640">
        <v>23.463730160224294</v>
      </c>
      <c r="AE38" s="640">
        <v>0.46480410360428193</v>
      </c>
      <c r="AF38" s="640">
        <v>0</v>
      </c>
      <c r="AG38" s="640">
        <v>1.1655332190637568</v>
      </c>
      <c r="AH38" s="640">
        <v>6.7433697745475678</v>
      </c>
      <c r="AI38" s="640">
        <v>0</v>
      </c>
      <c r="AJ38" s="640">
        <v>0.29485655237537339</v>
      </c>
      <c r="AK38" s="648">
        <v>50.302957645002891</v>
      </c>
    </row>
    <row r="39" spans="3:37" x14ac:dyDescent="0.2">
      <c r="C39" s="646" t="s">
        <v>354</v>
      </c>
      <c r="D39" s="640">
        <v>0</v>
      </c>
      <c r="E39" s="640">
        <v>0</v>
      </c>
      <c r="F39" s="640">
        <v>0</v>
      </c>
      <c r="G39" s="640">
        <v>0</v>
      </c>
      <c r="H39" s="640">
        <v>0</v>
      </c>
      <c r="I39" s="640">
        <v>0</v>
      </c>
      <c r="J39" s="640">
        <v>0</v>
      </c>
      <c r="K39" s="640">
        <v>0</v>
      </c>
      <c r="L39" s="640">
        <v>0</v>
      </c>
      <c r="M39" s="640">
        <v>0</v>
      </c>
      <c r="N39" s="640">
        <v>0</v>
      </c>
      <c r="O39" s="640">
        <v>0</v>
      </c>
      <c r="P39" s="640">
        <v>0.27899999999999997</v>
      </c>
      <c r="Q39" s="640">
        <v>0</v>
      </c>
      <c r="R39" s="640">
        <v>0</v>
      </c>
      <c r="S39" s="648">
        <v>0.27899999999999997</v>
      </c>
      <c r="U39" s="646" t="s">
        <v>354</v>
      </c>
      <c r="V39" s="640">
        <v>0</v>
      </c>
      <c r="W39" s="640">
        <v>0</v>
      </c>
      <c r="X39" s="640">
        <v>0</v>
      </c>
      <c r="Y39" s="640">
        <v>0</v>
      </c>
      <c r="Z39" s="640">
        <v>0</v>
      </c>
      <c r="AA39" s="640">
        <v>0</v>
      </c>
      <c r="AB39" s="640">
        <v>0</v>
      </c>
      <c r="AC39" s="640">
        <v>0</v>
      </c>
      <c r="AD39" s="640">
        <v>0</v>
      </c>
      <c r="AE39" s="640">
        <v>0</v>
      </c>
      <c r="AF39" s="640">
        <v>0</v>
      </c>
      <c r="AG39" s="640">
        <v>0</v>
      </c>
      <c r="AH39" s="640">
        <v>1.92</v>
      </c>
      <c r="AI39" s="640">
        <v>0</v>
      </c>
      <c r="AJ39" s="640">
        <v>0</v>
      </c>
      <c r="AK39" s="648">
        <v>1.92</v>
      </c>
    </row>
    <row r="40" spans="3:37" x14ac:dyDescent="0.2">
      <c r="C40" s="644" t="s">
        <v>83</v>
      </c>
      <c r="D40" s="645">
        <v>5.7766123047996905</v>
      </c>
      <c r="E40" s="645">
        <v>0</v>
      </c>
      <c r="F40" s="645">
        <v>346.19510684816078</v>
      </c>
      <c r="G40" s="645">
        <v>276.57916261714774</v>
      </c>
      <c r="H40" s="645">
        <v>0</v>
      </c>
      <c r="I40" s="645">
        <v>0</v>
      </c>
      <c r="J40" s="645">
        <v>113.50572884864343</v>
      </c>
      <c r="K40" s="645">
        <v>1.7926789890585739</v>
      </c>
      <c r="L40" s="645">
        <v>29.587741132730038</v>
      </c>
      <c r="M40" s="645">
        <v>5.6630861835909059</v>
      </c>
      <c r="N40" s="645">
        <v>60.832905155553725</v>
      </c>
      <c r="O40" s="645">
        <v>2.8372848935198816</v>
      </c>
      <c r="P40" s="645">
        <v>496.49341447572323</v>
      </c>
      <c r="Q40" s="645">
        <v>35.336417016114851</v>
      </c>
      <c r="R40" s="645">
        <v>1.9451540734815074</v>
      </c>
      <c r="S40" s="645">
        <v>1376.5452925385248</v>
      </c>
      <c r="U40" s="644" t="s">
        <v>83</v>
      </c>
      <c r="V40" s="645">
        <v>1.065232959954733</v>
      </c>
      <c r="W40" s="645">
        <v>0</v>
      </c>
      <c r="X40" s="645">
        <v>123.73641532901047</v>
      </c>
      <c r="Y40" s="645">
        <v>121.91057745567808</v>
      </c>
      <c r="Z40" s="645">
        <v>0</v>
      </c>
      <c r="AA40" s="645">
        <v>0</v>
      </c>
      <c r="AB40" s="645">
        <v>91.239635035141916</v>
      </c>
      <c r="AC40" s="645">
        <v>5.4913450563703794</v>
      </c>
      <c r="AD40" s="645">
        <v>77.627888306523744</v>
      </c>
      <c r="AE40" s="645">
        <v>38.675835544014738</v>
      </c>
      <c r="AF40" s="645">
        <v>86.476611770328219</v>
      </c>
      <c r="AG40" s="645">
        <v>5.9541727702812857</v>
      </c>
      <c r="AH40" s="645">
        <v>493.03007244229349</v>
      </c>
      <c r="AI40" s="645">
        <v>68.72625481251545</v>
      </c>
      <c r="AJ40" s="645">
        <v>10.334365624475881</v>
      </c>
      <c r="AK40" s="645">
        <v>1124.2684071065887</v>
      </c>
    </row>
    <row r="41" spans="3:37" x14ac:dyDescent="0.2">
      <c r="C41" s="639" t="s">
        <v>84</v>
      </c>
      <c r="D41" s="640">
        <v>0</v>
      </c>
      <c r="E41" s="640">
        <v>0</v>
      </c>
      <c r="F41" s="640">
        <v>111.73719287700069</v>
      </c>
      <c r="G41" s="640">
        <v>11.878700409877391</v>
      </c>
      <c r="H41" s="640">
        <v>0</v>
      </c>
      <c r="I41" s="640">
        <v>0</v>
      </c>
      <c r="J41" s="640">
        <v>0</v>
      </c>
      <c r="K41" s="640">
        <v>0</v>
      </c>
      <c r="L41" s="640">
        <v>0</v>
      </c>
      <c r="M41" s="640">
        <v>0</v>
      </c>
      <c r="N41" s="640">
        <v>0</v>
      </c>
      <c r="O41" s="640">
        <v>0</v>
      </c>
      <c r="P41" s="640">
        <v>0</v>
      </c>
      <c r="Q41" s="640">
        <v>0</v>
      </c>
      <c r="R41" s="640">
        <v>1.43076906409107</v>
      </c>
      <c r="S41" s="648">
        <v>125.04666235096916</v>
      </c>
      <c r="U41" s="639" t="s">
        <v>84</v>
      </c>
      <c r="V41" s="640">
        <v>0</v>
      </c>
      <c r="W41" s="640">
        <v>0</v>
      </c>
      <c r="X41" s="640">
        <v>90.362960784166091</v>
      </c>
      <c r="Y41" s="640">
        <v>1.2615947910933976</v>
      </c>
      <c r="Z41" s="640">
        <v>0</v>
      </c>
      <c r="AA41" s="640">
        <v>0</v>
      </c>
      <c r="AB41" s="640">
        <v>0</v>
      </c>
      <c r="AC41" s="640">
        <v>0</v>
      </c>
      <c r="AD41" s="640">
        <v>14.679117373046875</v>
      </c>
      <c r="AE41" s="640">
        <v>0</v>
      </c>
      <c r="AF41" s="640">
        <v>0</v>
      </c>
      <c r="AG41" s="640">
        <v>0</v>
      </c>
      <c r="AH41" s="640">
        <v>0</v>
      </c>
      <c r="AI41" s="640">
        <v>0</v>
      </c>
      <c r="AJ41" s="640">
        <v>10.026029063720703</v>
      </c>
      <c r="AK41" s="648">
        <v>116.32970201202707</v>
      </c>
    </row>
    <row r="42" spans="3:37" x14ac:dyDescent="0.2">
      <c r="C42" s="644" t="s">
        <v>85</v>
      </c>
      <c r="D42" s="645">
        <v>5.7766123047996905</v>
      </c>
      <c r="E42" s="645">
        <v>0</v>
      </c>
      <c r="F42" s="645">
        <v>457.9322997251615</v>
      </c>
      <c r="G42" s="645">
        <v>288.45786302702516</v>
      </c>
      <c r="H42" s="645">
        <v>0</v>
      </c>
      <c r="I42" s="645">
        <v>0</v>
      </c>
      <c r="J42" s="645">
        <v>113.50572884864343</v>
      </c>
      <c r="K42" s="645">
        <v>1.7926789890585739</v>
      </c>
      <c r="L42" s="645">
        <v>29.587741132730038</v>
      </c>
      <c r="M42" s="645">
        <v>5.6630861835909059</v>
      </c>
      <c r="N42" s="645">
        <v>60.832905155553725</v>
      </c>
      <c r="O42" s="645">
        <v>2.8372848935198816</v>
      </c>
      <c r="P42" s="645">
        <v>496.49341447572323</v>
      </c>
      <c r="Q42" s="645">
        <v>35.336417016114851</v>
      </c>
      <c r="R42" s="645">
        <v>3.3759231375725776</v>
      </c>
      <c r="S42" s="645">
        <v>1501.5919548894938</v>
      </c>
      <c r="U42" s="644" t="s">
        <v>85</v>
      </c>
      <c r="V42" s="645">
        <v>1.065232959954733</v>
      </c>
      <c r="W42" s="645">
        <v>0</v>
      </c>
      <c r="X42" s="645">
        <v>214.09937611317656</v>
      </c>
      <c r="Y42" s="645">
        <v>123.17217224677148</v>
      </c>
      <c r="Z42" s="645">
        <v>0</v>
      </c>
      <c r="AA42" s="645">
        <v>0</v>
      </c>
      <c r="AB42" s="645">
        <v>91.239635035141916</v>
      </c>
      <c r="AC42" s="645">
        <v>5.4913450563703794</v>
      </c>
      <c r="AD42" s="645">
        <v>92.307005679570622</v>
      </c>
      <c r="AE42" s="645">
        <v>38.675835544014738</v>
      </c>
      <c r="AF42" s="645">
        <v>86.476611770328219</v>
      </c>
      <c r="AG42" s="645">
        <v>5.9541727702812857</v>
      </c>
      <c r="AH42" s="645">
        <v>493.03007244229349</v>
      </c>
      <c r="AI42" s="645">
        <v>68.72625481251545</v>
      </c>
      <c r="AJ42" s="645">
        <v>20.360394688196585</v>
      </c>
      <c r="AK42" s="645">
        <v>1240.5981091186156</v>
      </c>
    </row>
    <row r="43" spans="3:37" x14ac:dyDescent="0.2">
      <c r="C43" s="634"/>
      <c r="D43" s="634"/>
      <c r="E43" s="634"/>
      <c r="F43" s="634"/>
      <c r="G43" s="634"/>
      <c r="H43" s="634"/>
      <c r="I43" s="634"/>
      <c r="J43" s="634"/>
      <c r="K43" s="634"/>
      <c r="L43" s="634"/>
      <c r="M43" s="634"/>
      <c r="N43" s="634"/>
      <c r="O43" s="634"/>
      <c r="P43" s="634"/>
      <c r="Q43" s="634"/>
      <c r="R43" s="634"/>
      <c r="S43" s="634"/>
      <c r="U43" s="634"/>
      <c r="V43" s="634"/>
      <c r="W43" s="634"/>
      <c r="X43" s="634"/>
      <c r="Y43" s="634"/>
      <c r="Z43" s="634"/>
      <c r="AA43" s="634"/>
      <c r="AB43" s="634"/>
      <c r="AC43" s="634"/>
      <c r="AD43" s="634"/>
      <c r="AE43" s="634"/>
      <c r="AF43" s="634"/>
      <c r="AG43" s="634"/>
      <c r="AH43" s="634"/>
      <c r="AI43" s="634"/>
      <c r="AJ43" s="634"/>
      <c r="AK43" s="634"/>
    </row>
    <row r="44" spans="3:37" ht="22.5" x14ac:dyDescent="0.3">
      <c r="C44" s="759" t="s">
        <v>360</v>
      </c>
      <c r="D44" s="759"/>
      <c r="E44" s="759"/>
      <c r="F44" s="759"/>
      <c r="G44" s="759"/>
      <c r="H44" s="759"/>
      <c r="I44" s="759"/>
      <c r="J44" s="759"/>
      <c r="K44" s="759"/>
      <c r="L44" s="759"/>
      <c r="M44" s="759"/>
      <c r="N44" s="759"/>
      <c r="O44" s="759"/>
      <c r="P44" s="759"/>
      <c r="Q44" s="759"/>
      <c r="R44" s="759"/>
      <c r="S44" s="759"/>
      <c r="U44" s="759" t="s">
        <v>360</v>
      </c>
      <c r="V44" s="759"/>
      <c r="W44" s="759"/>
      <c r="X44" s="759"/>
      <c r="Y44" s="759"/>
      <c r="Z44" s="759"/>
      <c r="AA44" s="759"/>
      <c r="AB44" s="759"/>
      <c r="AC44" s="759"/>
      <c r="AD44" s="759"/>
      <c r="AE44" s="759"/>
      <c r="AF44" s="759"/>
      <c r="AG44" s="759"/>
      <c r="AH44" s="759"/>
      <c r="AI44" s="759"/>
      <c r="AJ44" s="759"/>
      <c r="AK44" s="759"/>
    </row>
    <row r="45" spans="3:37" x14ac:dyDescent="0.2">
      <c r="C45" s="634"/>
      <c r="D45" s="634"/>
      <c r="E45" s="634"/>
      <c r="F45" s="634"/>
      <c r="G45" s="634"/>
      <c r="H45" s="634"/>
      <c r="I45" s="634"/>
      <c r="J45" s="634"/>
      <c r="K45" s="634"/>
      <c r="L45" s="634"/>
      <c r="M45" s="634"/>
      <c r="N45" s="634"/>
      <c r="O45" s="634"/>
      <c r="P45" s="634"/>
      <c r="Q45" s="634"/>
      <c r="R45" s="634"/>
      <c r="S45" s="634"/>
      <c r="U45" s="634"/>
      <c r="V45" s="634"/>
      <c r="W45" s="634"/>
      <c r="X45" s="634"/>
      <c r="Y45" s="634"/>
      <c r="Z45" s="634"/>
      <c r="AA45" s="634"/>
      <c r="AB45" s="634"/>
      <c r="AC45" s="634"/>
      <c r="AD45" s="634"/>
      <c r="AE45" s="634"/>
      <c r="AF45" s="634"/>
      <c r="AG45" s="634"/>
      <c r="AH45" s="634"/>
      <c r="AI45" s="634"/>
      <c r="AJ45" s="634"/>
      <c r="AK45" s="634"/>
    </row>
    <row r="46" spans="3:37" ht="12.95" customHeight="1" x14ac:dyDescent="0.2">
      <c r="C46" s="758" t="s">
        <v>128</v>
      </c>
      <c r="D46" s="757" t="s">
        <v>42</v>
      </c>
      <c r="E46" s="757" t="s">
        <v>52</v>
      </c>
      <c r="F46" s="757" t="s">
        <v>53</v>
      </c>
      <c r="G46" s="757" t="s">
        <v>32</v>
      </c>
      <c r="H46" s="757" t="s">
        <v>20</v>
      </c>
      <c r="I46" s="757" t="s">
        <v>55</v>
      </c>
      <c r="J46" s="757" t="s">
        <v>56</v>
      </c>
      <c r="K46" s="757"/>
      <c r="L46" s="757"/>
      <c r="M46" s="757"/>
      <c r="N46" s="757"/>
      <c r="O46" s="757"/>
      <c r="P46" s="757" t="s">
        <v>57</v>
      </c>
      <c r="Q46" s="757" t="s">
        <v>58</v>
      </c>
      <c r="R46" s="757" t="s">
        <v>31</v>
      </c>
      <c r="S46" s="757" t="s">
        <v>10</v>
      </c>
      <c r="U46" s="758" t="s">
        <v>128</v>
      </c>
      <c r="V46" s="757" t="s">
        <v>42</v>
      </c>
      <c r="W46" s="757" t="s">
        <v>52</v>
      </c>
      <c r="X46" s="757" t="s">
        <v>53</v>
      </c>
      <c r="Y46" s="757" t="s">
        <v>32</v>
      </c>
      <c r="Z46" s="757" t="s">
        <v>20</v>
      </c>
      <c r="AA46" s="757" t="s">
        <v>55</v>
      </c>
      <c r="AB46" s="757" t="s">
        <v>56</v>
      </c>
      <c r="AC46" s="757"/>
      <c r="AD46" s="757"/>
      <c r="AE46" s="757"/>
      <c r="AF46" s="757"/>
      <c r="AG46" s="757"/>
      <c r="AH46" s="757" t="s">
        <v>57</v>
      </c>
      <c r="AI46" s="757" t="s">
        <v>58</v>
      </c>
      <c r="AJ46" s="757" t="s">
        <v>31</v>
      </c>
      <c r="AK46" s="757" t="s">
        <v>10</v>
      </c>
    </row>
    <row r="47" spans="3:37" ht="56.25" x14ac:dyDescent="0.2">
      <c r="C47" s="758"/>
      <c r="D47" s="757"/>
      <c r="E47" s="757"/>
      <c r="F47" s="757"/>
      <c r="G47" s="757"/>
      <c r="H47" s="757"/>
      <c r="I47" s="757"/>
      <c r="J47" s="638" t="s">
        <v>335</v>
      </c>
      <c r="K47" s="638" t="s">
        <v>40</v>
      </c>
      <c r="L47" s="638" t="s">
        <v>343</v>
      </c>
      <c r="M47" s="638" t="s">
        <v>344</v>
      </c>
      <c r="N47" s="638" t="s">
        <v>345</v>
      </c>
      <c r="O47" s="638" t="s">
        <v>346</v>
      </c>
      <c r="P47" s="757"/>
      <c r="Q47" s="757"/>
      <c r="R47" s="757"/>
      <c r="S47" s="757"/>
      <c r="U47" s="758"/>
      <c r="V47" s="757"/>
      <c r="W47" s="757"/>
      <c r="X47" s="757"/>
      <c r="Y47" s="757"/>
      <c r="Z47" s="757"/>
      <c r="AA47" s="757"/>
      <c r="AB47" s="638" t="s">
        <v>335</v>
      </c>
      <c r="AC47" s="638" t="s">
        <v>40</v>
      </c>
      <c r="AD47" s="638" t="s">
        <v>343</v>
      </c>
      <c r="AE47" s="638" t="s">
        <v>344</v>
      </c>
      <c r="AF47" s="638" t="s">
        <v>345</v>
      </c>
      <c r="AG47" s="638" t="s">
        <v>346</v>
      </c>
      <c r="AH47" s="757"/>
      <c r="AI47" s="757"/>
      <c r="AJ47" s="757"/>
      <c r="AK47" s="757"/>
    </row>
    <row r="48" spans="3:37" x14ac:dyDescent="0.2">
      <c r="C48" s="639" t="s">
        <v>59</v>
      </c>
      <c r="D48" s="640">
        <v>0</v>
      </c>
      <c r="E48" s="641">
        <v>0</v>
      </c>
      <c r="F48" s="641">
        <v>0</v>
      </c>
      <c r="G48" s="640">
        <v>0</v>
      </c>
      <c r="H48" s="641">
        <v>959.09090909090924</v>
      </c>
      <c r="I48" s="641">
        <v>265.54666314840352</v>
      </c>
      <c r="J48" s="641">
        <v>188.6372712469306</v>
      </c>
      <c r="K48" s="641">
        <v>20.835963621356942</v>
      </c>
      <c r="L48" s="641">
        <v>0.48646764865129044</v>
      </c>
      <c r="M48" s="641">
        <v>0.15840693111613638</v>
      </c>
      <c r="N48" s="641">
        <v>62.897832024028709</v>
      </c>
      <c r="O48" s="641">
        <v>11.865462020109925</v>
      </c>
      <c r="P48" s="642">
        <v>0</v>
      </c>
      <c r="Q48" s="641">
        <v>0</v>
      </c>
      <c r="R48" s="641">
        <v>0</v>
      </c>
      <c r="S48" s="643">
        <v>1509.5189757315065</v>
      </c>
      <c r="U48" s="639" t="s">
        <v>59</v>
      </c>
      <c r="V48" s="640">
        <v>0</v>
      </c>
      <c r="W48" s="641">
        <v>0</v>
      </c>
      <c r="X48" s="641">
        <v>0</v>
      </c>
      <c r="Y48" s="640">
        <v>0</v>
      </c>
      <c r="Z48" s="641">
        <v>919.39393939393949</v>
      </c>
      <c r="AA48" s="641">
        <v>300.16666314840353</v>
      </c>
      <c r="AB48" s="641">
        <v>196.07210414009427</v>
      </c>
      <c r="AC48" s="641">
        <v>37.690284018354092</v>
      </c>
      <c r="AD48" s="641">
        <v>0.48646764865129044</v>
      </c>
      <c r="AE48" s="641">
        <v>0.15840693111613638</v>
      </c>
      <c r="AF48" s="641">
        <v>92.901000398225491</v>
      </c>
      <c r="AG48" s="641">
        <v>23.979405132943342</v>
      </c>
      <c r="AH48" s="642">
        <v>0</v>
      </c>
      <c r="AI48" s="641">
        <v>0</v>
      </c>
      <c r="AJ48" s="641">
        <v>0</v>
      </c>
      <c r="AK48" s="643">
        <v>1570.8482708117278</v>
      </c>
    </row>
    <row r="49" spans="3:37" x14ac:dyDescent="0.2">
      <c r="C49" s="639" t="s">
        <v>60</v>
      </c>
      <c r="D49" s="640">
        <v>48.037640466799544</v>
      </c>
      <c r="E49" s="641">
        <v>504.19228646673599</v>
      </c>
      <c r="F49" s="641">
        <v>68.527294255032075</v>
      </c>
      <c r="G49" s="640">
        <v>332.96357284387591</v>
      </c>
      <c r="H49" s="641">
        <v>0</v>
      </c>
      <c r="I49" s="641">
        <v>0</v>
      </c>
      <c r="J49" s="641">
        <v>4.4041420336435353</v>
      </c>
      <c r="K49" s="641">
        <v>0</v>
      </c>
      <c r="L49" s="641">
        <v>2.4215969020745125</v>
      </c>
      <c r="M49" s="641">
        <v>0</v>
      </c>
      <c r="N49" s="641">
        <v>0</v>
      </c>
      <c r="O49" s="641">
        <v>0</v>
      </c>
      <c r="P49" s="642">
        <v>0</v>
      </c>
      <c r="Q49" s="641">
        <v>0</v>
      </c>
      <c r="R49" s="641">
        <v>0</v>
      </c>
      <c r="S49" s="643">
        <v>960.54653296816161</v>
      </c>
      <c r="U49" s="639" t="s">
        <v>60</v>
      </c>
      <c r="V49" s="640">
        <v>7.5315222042138927</v>
      </c>
      <c r="W49" s="641">
        <v>266.28302835422375</v>
      </c>
      <c r="X49" s="641">
        <v>14.660534841020075</v>
      </c>
      <c r="Y49" s="640">
        <v>136.19700966140181</v>
      </c>
      <c r="Z49" s="641">
        <v>0</v>
      </c>
      <c r="AA49" s="641">
        <v>0</v>
      </c>
      <c r="AB49" s="641">
        <v>4.4041420336435353</v>
      </c>
      <c r="AC49" s="641">
        <v>0</v>
      </c>
      <c r="AD49" s="641">
        <v>2.4215969020745125</v>
      </c>
      <c r="AE49" s="641">
        <v>0</v>
      </c>
      <c r="AF49" s="641">
        <v>0</v>
      </c>
      <c r="AG49" s="641">
        <v>0</v>
      </c>
      <c r="AH49" s="642">
        <v>0</v>
      </c>
      <c r="AI49" s="641">
        <v>0</v>
      </c>
      <c r="AJ49" s="641">
        <v>0</v>
      </c>
      <c r="AK49" s="643">
        <v>431.49783399657758</v>
      </c>
    </row>
    <row r="50" spans="3:37" x14ac:dyDescent="0.2">
      <c r="C50" s="639" t="s">
        <v>61</v>
      </c>
      <c r="D50" s="640">
        <v>0</v>
      </c>
      <c r="E50" s="641">
        <v>0</v>
      </c>
      <c r="F50" s="641">
        <v>0</v>
      </c>
      <c r="G50" s="640">
        <v>0</v>
      </c>
      <c r="H50" s="641">
        <v>0</v>
      </c>
      <c r="I50" s="641">
        <v>0</v>
      </c>
      <c r="J50" s="641">
        <v>0</v>
      </c>
      <c r="K50" s="641">
        <v>0</v>
      </c>
      <c r="L50" s="641">
        <v>0</v>
      </c>
      <c r="M50" s="641">
        <v>0</v>
      </c>
      <c r="N50" s="641">
        <v>0</v>
      </c>
      <c r="O50" s="641">
        <v>0</v>
      </c>
      <c r="P50" s="642">
        <v>-31.055970799843635</v>
      </c>
      <c r="Q50" s="641">
        <v>0</v>
      </c>
      <c r="R50" s="641">
        <v>0</v>
      </c>
      <c r="S50" s="643">
        <v>-31.055970799843635</v>
      </c>
      <c r="U50" s="639" t="s">
        <v>61</v>
      </c>
      <c r="V50" s="640">
        <v>0</v>
      </c>
      <c r="W50" s="641">
        <v>0</v>
      </c>
      <c r="X50" s="641">
        <v>-20.238165107819981</v>
      </c>
      <c r="Y50" s="640">
        <v>0</v>
      </c>
      <c r="Z50" s="641">
        <v>0</v>
      </c>
      <c r="AA50" s="641">
        <v>0</v>
      </c>
      <c r="AB50" s="641">
        <v>0</v>
      </c>
      <c r="AC50" s="641">
        <v>0</v>
      </c>
      <c r="AD50" s="641">
        <v>0</v>
      </c>
      <c r="AE50" s="641">
        <v>0</v>
      </c>
      <c r="AF50" s="641">
        <v>0</v>
      </c>
      <c r="AG50" s="641">
        <v>0</v>
      </c>
      <c r="AH50" s="642">
        <v>-12.632253344037395</v>
      </c>
      <c r="AI50" s="641">
        <v>0</v>
      </c>
      <c r="AJ50" s="641">
        <v>0</v>
      </c>
      <c r="AK50" s="643">
        <v>-32.870418451857375</v>
      </c>
    </row>
    <row r="51" spans="3:37" x14ac:dyDescent="0.2">
      <c r="C51" s="639" t="s">
        <v>62</v>
      </c>
      <c r="D51" s="640">
        <v>0</v>
      </c>
      <c r="E51" s="641">
        <v>0</v>
      </c>
      <c r="F51" s="641">
        <v>-15.855905256620872</v>
      </c>
      <c r="G51" s="640">
        <v>0</v>
      </c>
      <c r="H51" s="641">
        <v>0</v>
      </c>
      <c r="I51" s="641">
        <v>0</v>
      </c>
      <c r="J51" s="641">
        <v>0</v>
      </c>
      <c r="K51" s="641">
        <v>0</v>
      </c>
      <c r="L51" s="641">
        <v>0</v>
      </c>
      <c r="M51" s="641">
        <v>0</v>
      </c>
      <c r="N51" s="641">
        <v>0</v>
      </c>
      <c r="O51" s="641">
        <v>0</v>
      </c>
      <c r="P51" s="642">
        <v>0</v>
      </c>
      <c r="Q51" s="641">
        <v>0</v>
      </c>
      <c r="R51" s="641">
        <v>0</v>
      </c>
      <c r="S51" s="643">
        <v>-15.855905256620872</v>
      </c>
      <c r="U51" s="639" t="s">
        <v>62</v>
      </c>
      <c r="V51" s="640">
        <v>0</v>
      </c>
      <c r="W51" s="641">
        <v>0</v>
      </c>
      <c r="X51" s="641">
        <v>-10.068616817390659</v>
      </c>
      <c r="Y51" s="640">
        <v>-2.2904268439326967</v>
      </c>
      <c r="Z51" s="641">
        <v>0</v>
      </c>
      <c r="AA51" s="641">
        <v>0</v>
      </c>
      <c r="AB51" s="641">
        <v>0</v>
      </c>
      <c r="AC51" s="641">
        <v>0</v>
      </c>
      <c r="AD51" s="641">
        <v>0</v>
      </c>
      <c r="AE51" s="641">
        <v>-0.98161150454258428</v>
      </c>
      <c r="AF51" s="641">
        <v>0</v>
      </c>
      <c r="AG51" s="641">
        <v>0</v>
      </c>
      <c r="AH51" s="642">
        <v>0</v>
      </c>
      <c r="AI51" s="641">
        <v>0</v>
      </c>
      <c r="AJ51" s="641">
        <v>0</v>
      </c>
      <c r="AK51" s="643">
        <v>-13.34065516586594</v>
      </c>
    </row>
    <row r="52" spans="3:37" x14ac:dyDescent="0.2">
      <c r="C52" s="639" t="s">
        <v>63</v>
      </c>
      <c r="D52" s="640">
        <v>0</v>
      </c>
      <c r="E52" s="641">
        <v>0</v>
      </c>
      <c r="F52" s="641">
        <v>-87.092524368241456</v>
      </c>
      <c r="G52" s="640">
        <v>0</v>
      </c>
      <c r="H52" s="641">
        <v>0</v>
      </c>
      <c r="I52" s="641">
        <v>0</v>
      </c>
      <c r="J52" s="641">
        <v>0</v>
      </c>
      <c r="K52" s="641">
        <v>0</v>
      </c>
      <c r="L52" s="641">
        <v>-0.90133117758770376</v>
      </c>
      <c r="M52" s="641">
        <v>0</v>
      </c>
      <c r="N52" s="641">
        <v>0</v>
      </c>
      <c r="O52" s="641">
        <v>0</v>
      </c>
      <c r="P52" s="642">
        <v>0</v>
      </c>
      <c r="Q52" s="641">
        <v>0</v>
      </c>
      <c r="R52" s="641">
        <v>0</v>
      </c>
      <c r="S52" s="643">
        <v>-87.993855545829163</v>
      </c>
      <c r="U52" s="639" t="s">
        <v>63</v>
      </c>
      <c r="V52" s="640">
        <v>0</v>
      </c>
      <c r="W52" s="641">
        <v>0</v>
      </c>
      <c r="X52" s="641">
        <v>-58.231828596071985</v>
      </c>
      <c r="Y52" s="640">
        <v>0</v>
      </c>
      <c r="Z52" s="641">
        <v>0</v>
      </c>
      <c r="AA52" s="641">
        <v>0</v>
      </c>
      <c r="AB52" s="641">
        <v>0</v>
      </c>
      <c r="AC52" s="641">
        <v>0</v>
      </c>
      <c r="AD52" s="641">
        <v>-23.991898740742837</v>
      </c>
      <c r="AE52" s="641">
        <v>0</v>
      </c>
      <c r="AF52" s="641">
        <v>0</v>
      </c>
      <c r="AG52" s="641">
        <v>0</v>
      </c>
      <c r="AH52" s="642">
        <v>0</v>
      </c>
      <c r="AI52" s="641">
        <v>0</v>
      </c>
      <c r="AJ52" s="641">
        <v>0</v>
      </c>
      <c r="AK52" s="643">
        <v>-82.223727336814818</v>
      </c>
    </row>
    <row r="53" spans="3:37" x14ac:dyDescent="0.2">
      <c r="C53" s="639" t="s">
        <v>64</v>
      </c>
      <c r="D53" s="640">
        <v>0</v>
      </c>
      <c r="E53" s="641">
        <v>0</v>
      </c>
      <c r="F53" s="641">
        <v>0</v>
      </c>
      <c r="G53" s="640">
        <v>0</v>
      </c>
      <c r="H53" s="641">
        <v>0</v>
      </c>
      <c r="I53" s="641">
        <v>0</v>
      </c>
      <c r="J53" s="641">
        <v>0</v>
      </c>
      <c r="K53" s="641">
        <v>0</v>
      </c>
      <c r="L53" s="641">
        <v>0</v>
      </c>
      <c r="M53" s="641">
        <v>0</v>
      </c>
      <c r="N53" s="641">
        <v>0</v>
      </c>
      <c r="O53" s="641">
        <v>0</v>
      </c>
      <c r="P53" s="642">
        <v>0</v>
      </c>
      <c r="Q53" s="641">
        <v>0</v>
      </c>
      <c r="R53" s="641">
        <v>0</v>
      </c>
      <c r="S53" s="643">
        <v>0</v>
      </c>
      <c r="U53" s="639" t="s">
        <v>64</v>
      </c>
      <c r="V53" s="640">
        <v>0</v>
      </c>
      <c r="W53" s="641">
        <v>0</v>
      </c>
      <c r="X53" s="641">
        <v>0</v>
      </c>
      <c r="Y53" s="640">
        <v>0</v>
      </c>
      <c r="Z53" s="641">
        <v>0</v>
      </c>
      <c r="AA53" s="641">
        <v>0</v>
      </c>
      <c r="AB53" s="641">
        <v>0</v>
      </c>
      <c r="AC53" s="641">
        <v>0</v>
      </c>
      <c r="AD53" s="641">
        <v>0</v>
      </c>
      <c r="AE53" s="641">
        <v>0</v>
      </c>
      <c r="AF53" s="641">
        <v>0</v>
      </c>
      <c r="AG53" s="641">
        <v>0</v>
      </c>
      <c r="AH53" s="642">
        <v>0</v>
      </c>
      <c r="AI53" s="641">
        <v>0</v>
      </c>
      <c r="AJ53" s="641">
        <v>0</v>
      </c>
      <c r="AK53" s="643">
        <v>0</v>
      </c>
    </row>
    <row r="54" spans="3:37" x14ac:dyDescent="0.2">
      <c r="C54" s="644" t="s">
        <v>65</v>
      </c>
      <c r="D54" s="645">
        <v>48.037640466799544</v>
      </c>
      <c r="E54" s="645">
        <v>504.19228646673599</v>
      </c>
      <c r="F54" s="645">
        <v>-34.42113536983026</v>
      </c>
      <c r="G54" s="645">
        <v>332.96357284387591</v>
      </c>
      <c r="H54" s="645">
        <v>959.09090909090924</v>
      </c>
      <c r="I54" s="645">
        <v>265.54666314840352</v>
      </c>
      <c r="J54" s="645">
        <v>193.04141328057412</v>
      </c>
      <c r="K54" s="645">
        <v>20.835963621356942</v>
      </c>
      <c r="L54" s="645">
        <v>2.0067333731380987</v>
      </c>
      <c r="M54" s="645">
        <v>0.15840693111613638</v>
      </c>
      <c r="N54" s="645">
        <v>62.897832024028709</v>
      </c>
      <c r="O54" s="645">
        <v>11.865462020109925</v>
      </c>
      <c r="P54" s="645">
        <v>-31.055970799843635</v>
      </c>
      <c r="Q54" s="645">
        <v>0</v>
      </c>
      <c r="R54" s="645">
        <v>0</v>
      </c>
      <c r="S54" s="645">
        <v>2335.159777097374</v>
      </c>
      <c r="U54" s="644" t="s">
        <v>65</v>
      </c>
      <c r="V54" s="645">
        <v>7.5315222042138927</v>
      </c>
      <c r="W54" s="645">
        <v>266.28302835422375</v>
      </c>
      <c r="X54" s="645">
        <v>-73.87807568026254</v>
      </c>
      <c r="Y54" s="645">
        <v>133.90658281746911</v>
      </c>
      <c r="Z54" s="645">
        <v>919.39393939393949</v>
      </c>
      <c r="AA54" s="645">
        <v>300.16666314840353</v>
      </c>
      <c r="AB54" s="645">
        <v>200.47624617373779</v>
      </c>
      <c r="AC54" s="645">
        <v>37.690284018354092</v>
      </c>
      <c r="AD54" s="645">
        <v>-21.083834190017033</v>
      </c>
      <c r="AE54" s="645">
        <v>-0.82320457342644793</v>
      </c>
      <c r="AF54" s="645">
        <v>92.901000398225491</v>
      </c>
      <c r="AG54" s="645">
        <v>23.979405132943342</v>
      </c>
      <c r="AH54" s="645">
        <v>-12.632253344037395</v>
      </c>
      <c r="AI54" s="645">
        <v>0</v>
      </c>
      <c r="AJ54" s="645">
        <v>0</v>
      </c>
      <c r="AK54" s="645">
        <v>1873.9113038537675</v>
      </c>
    </row>
    <row r="55" spans="3:37" x14ac:dyDescent="0.2">
      <c r="C55" s="634"/>
      <c r="D55" s="634">
        <v>0</v>
      </c>
      <c r="E55" s="634">
        <v>0</v>
      </c>
      <c r="F55" s="634">
        <v>0</v>
      </c>
      <c r="G55" s="634">
        <v>0</v>
      </c>
      <c r="H55" s="634">
        <v>0</v>
      </c>
      <c r="I55" s="634">
        <v>0</v>
      </c>
      <c r="J55" s="634">
        <v>0</v>
      </c>
      <c r="K55" s="634">
        <v>0</v>
      </c>
      <c r="L55" s="634">
        <v>0</v>
      </c>
      <c r="M55" s="634">
        <v>0</v>
      </c>
      <c r="N55" s="634">
        <v>0</v>
      </c>
      <c r="O55" s="634">
        <v>0</v>
      </c>
      <c r="P55" s="634">
        <v>0</v>
      </c>
      <c r="Q55" s="634">
        <v>0</v>
      </c>
      <c r="R55" s="634">
        <v>0</v>
      </c>
      <c r="S55" s="634">
        <v>0</v>
      </c>
      <c r="U55" s="634"/>
      <c r="V55" s="634">
        <v>0</v>
      </c>
      <c r="W55" s="634">
        <v>0</v>
      </c>
      <c r="X55" s="634">
        <v>0</v>
      </c>
      <c r="Y55" s="634">
        <v>0</v>
      </c>
      <c r="Z55" s="634">
        <v>0</v>
      </c>
      <c r="AA55" s="634">
        <v>0</v>
      </c>
      <c r="AB55" s="634">
        <v>0</v>
      </c>
      <c r="AC55" s="634">
        <v>0</v>
      </c>
      <c r="AD55" s="634">
        <v>0</v>
      </c>
      <c r="AE55" s="634">
        <v>0</v>
      </c>
      <c r="AF55" s="634">
        <v>0</v>
      </c>
      <c r="AG55" s="634">
        <v>0</v>
      </c>
      <c r="AH55" s="634">
        <v>0</v>
      </c>
      <c r="AI55" s="634">
        <v>0</v>
      </c>
      <c r="AJ55" s="634">
        <v>0</v>
      </c>
      <c r="AK55" s="634">
        <v>0</v>
      </c>
    </row>
    <row r="56" spans="3:37" x14ac:dyDescent="0.2">
      <c r="C56" s="646" t="s">
        <v>67</v>
      </c>
      <c r="D56" s="640">
        <v>0</v>
      </c>
      <c r="E56" s="647">
        <v>0</v>
      </c>
      <c r="F56" s="647">
        <v>0</v>
      </c>
      <c r="G56" s="640">
        <v>0</v>
      </c>
      <c r="H56" s="640">
        <v>0</v>
      </c>
      <c r="I56" s="640">
        <v>0</v>
      </c>
      <c r="J56" s="640">
        <v>0</v>
      </c>
      <c r="K56" s="640">
        <v>0</v>
      </c>
      <c r="L56" s="640">
        <v>0</v>
      </c>
      <c r="M56" s="640">
        <v>0</v>
      </c>
      <c r="N56" s="640">
        <v>0</v>
      </c>
      <c r="O56" s="640">
        <v>0</v>
      </c>
      <c r="P56" s="640">
        <v>0</v>
      </c>
      <c r="Q56" s="640">
        <v>0</v>
      </c>
      <c r="R56" s="640">
        <v>0</v>
      </c>
      <c r="S56" s="648">
        <v>0</v>
      </c>
      <c r="U56" s="646" t="s">
        <v>67</v>
      </c>
      <c r="V56" s="640">
        <v>0</v>
      </c>
      <c r="W56" s="647">
        <v>0</v>
      </c>
      <c r="X56" s="647">
        <v>0</v>
      </c>
      <c r="Y56" s="640">
        <v>0</v>
      </c>
      <c r="Z56" s="640">
        <v>0</v>
      </c>
      <c r="AA56" s="640">
        <v>0</v>
      </c>
      <c r="AB56" s="640">
        <v>0</v>
      </c>
      <c r="AC56" s="640">
        <v>0</v>
      </c>
      <c r="AD56" s="640">
        <v>0</v>
      </c>
      <c r="AE56" s="640">
        <v>0</v>
      </c>
      <c r="AF56" s="640">
        <v>0</v>
      </c>
      <c r="AG56" s="640">
        <v>0</v>
      </c>
      <c r="AH56" s="640">
        <v>0</v>
      </c>
      <c r="AI56" s="640">
        <v>0</v>
      </c>
      <c r="AJ56" s="640">
        <v>0</v>
      </c>
      <c r="AK56" s="648">
        <v>0</v>
      </c>
    </row>
    <row r="57" spans="3:37" x14ac:dyDescent="0.2">
      <c r="C57" s="646" t="s">
        <v>347</v>
      </c>
      <c r="D57" s="640">
        <v>2.8267856410252494</v>
      </c>
      <c r="E57" s="640">
        <v>0</v>
      </c>
      <c r="F57" s="640">
        <v>7.5217067848259731</v>
      </c>
      <c r="G57" s="640">
        <v>17.043478260869566</v>
      </c>
      <c r="H57" s="640">
        <v>959.09090909090924</v>
      </c>
      <c r="I57" s="640">
        <v>265.54666314840352</v>
      </c>
      <c r="J57" s="649">
        <v>29.657322749860491</v>
      </c>
      <c r="K57" s="649">
        <v>6.9984717304001904</v>
      </c>
      <c r="L57" s="649">
        <v>2.9080645507258027</v>
      </c>
      <c r="M57" s="649">
        <v>0.47316517381762646</v>
      </c>
      <c r="N57" s="649">
        <v>0</v>
      </c>
      <c r="O57" s="649">
        <v>6.9042102843702597</v>
      </c>
      <c r="P57" s="640">
        <v>-613.13903868039233</v>
      </c>
      <c r="Q57" s="640">
        <v>0</v>
      </c>
      <c r="R57" s="640">
        <v>0</v>
      </c>
      <c r="S57" s="648">
        <v>685.83173873481564</v>
      </c>
      <c r="U57" s="646" t="s">
        <v>347</v>
      </c>
      <c r="V57" s="640">
        <v>0.62631490545869017</v>
      </c>
      <c r="W57" s="640">
        <v>0</v>
      </c>
      <c r="X57" s="640">
        <v>3.6580704211896093</v>
      </c>
      <c r="Y57" s="640">
        <v>6.2086956521739127</v>
      </c>
      <c r="Z57" s="640">
        <v>919.39393939393949</v>
      </c>
      <c r="AA57" s="640">
        <v>300.16666314840353</v>
      </c>
      <c r="AB57" s="649">
        <v>23.86094386593884</v>
      </c>
      <c r="AC57" s="649">
        <v>5.6952120200596408</v>
      </c>
      <c r="AD57" s="649">
        <v>2.9080645507258027</v>
      </c>
      <c r="AE57" s="649">
        <v>2.7862086520784959</v>
      </c>
      <c r="AF57" s="649">
        <v>0</v>
      </c>
      <c r="AG57" s="649">
        <v>6.9042102843702597</v>
      </c>
      <c r="AH57" s="640">
        <v>-628.6590386803922</v>
      </c>
      <c r="AI57" s="640">
        <v>0</v>
      </c>
      <c r="AJ57" s="640">
        <v>4.7499999999999991</v>
      </c>
      <c r="AK57" s="648">
        <v>648.29928421394618</v>
      </c>
    </row>
    <row r="58" spans="3:37" x14ac:dyDescent="0.2">
      <c r="C58" s="646" t="s">
        <v>348</v>
      </c>
      <c r="D58" s="640">
        <v>0</v>
      </c>
      <c r="E58" s="640">
        <v>0</v>
      </c>
      <c r="F58" s="640">
        <v>0</v>
      </c>
      <c r="G58" s="640">
        <v>14.973464488470796</v>
      </c>
      <c r="H58" s="640">
        <v>0</v>
      </c>
      <c r="I58" s="640">
        <v>0</v>
      </c>
      <c r="J58" s="649">
        <v>12.61885930635281</v>
      </c>
      <c r="K58" s="649">
        <v>11.992989190910333</v>
      </c>
      <c r="L58" s="649">
        <v>0</v>
      </c>
      <c r="M58" s="649">
        <v>0.32007470171399477</v>
      </c>
      <c r="N58" s="649">
        <v>0</v>
      </c>
      <c r="O58" s="649">
        <v>2.1221335576886813</v>
      </c>
      <c r="P58" s="640">
        <v>0</v>
      </c>
      <c r="Q58" s="640">
        <v>-38.122859170635891</v>
      </c>
      <c r="R58" s="640">
        <v>0</v>
      </c>
      <c r="S58" s="648">
        <v>3.9046620745007217</v>
      </c>
      <c r="U58" s="646" t="s">
        <v>348</v>
      </c>
      <c r="V58" s="640">
        <v>0</v>
      </c>
      <c r="W58" s="640">
        <v>0</v>
      </c>
      <c r="X58" s="640">
        <v>0</v>
      </c>
      <c r="Y58" s="640">
        <v>11.236128743190402</v>
      </c>
      <c r="Z58" s="640">
        <v>0</v>
      </c>
      <c r="AA58" s="640">
        <v>0</v>
      </c>
      <c r="AB58" s="649">
        <v>28.835017835425074</v>
      </c>
      <c r="AC58" s="649">
        <v>26.276566272731909</v>
      </c>
      <c r="AD58" s="649">
        <v>0</v>
      </c>
      <c r="AE58" s="649">
        <v>4.8299775408676195</v>
      </c>
      <c r="AF58" s="649">
        <v>0</v>
      </c>
      <c r="AG58" s="649">
        <v>10.71495831218258</v>
      </c>
      <c r="AH58" s="640">
        <v>0</v>
      </c>
      <c r="AI58" s="640">
        <v>-75.331063655699538</v>
      </c>
      <c r="AJ58" s="640">
        <v>0</v>
      </c>
      <c r="AK58" s="648">
        <v>6.561585048698058</v>
      </c>
    </row>
    <row r="59" spans="3:37" x14ac:dyDescent="0.2">
      <c r="C59" s="646" t="s">
        <v>349</v>
      </c>
      <c r="D59" s="640">
        <v>0</v>
      </c>
      <c r="E59" s="640">
        <v>0</v>
      </c>
      <c r="F59" s="640">
        <v>0</v>
      </c>
      <c r="G59" s="640">
        <v>0</v>
      </c>
      <c r="H59" s="640">
        <v>0</v>
      </c>
      <c r="I59" s="640">
        <v>0</v>
      </c>
      <c r="J59" s="650">
        <v>7.1836152532588793</v>
      </c>
      <c r="K59" s="650">
        <v>0</v>
      </c>
      <c r="L59" s="650">
        <v>0</v>
      </c>
      <c r="M59" s="650">
        <v>-6.5550489185987271</v>
      </c>
      <c r="N59" s="650">
        <v>0</v>
      </c>
      <c r="O59" s="650">
        <v>0</v>
      </c>
      <c r="P59" s="640">
        <v>0</v>
      </c>
      <c r="Q59" s="640">
        <v>0</v>
      </c>
      <c r="R59" s="640">
        <v>0</v>
      </c>
      <c r="S59" s="648">
        <v>0.62856633466015222</v>
      </c>
      <c r="U59" s="646" t="s">
        <v>349</v>
      </c>
      <c r="V59" s="640">
        <v>0</v>
      </c>
      <c r="W59" s="640">
        <v>0</v>
      </c>
      <c r="X59" s="640">
        <v>0</v>
      </c>
      <c r="Y59" s="640">
        <v>0</v>
      </c>
      <c r="Z59" s="640">
        <v>0</v>
      </c>
      <c r="AA59" s="640">
        <v>0</v>
      </c>
      <c r="AB59" s="650">
        <v>63.436450079223192</v>
      </c>
      <c r="AC59" s="650">
        <v>0</v>
      </c>
      <c r="AD59" s="650">
        <v>0</v>
      </c>
      <c r="AE59" s="650">
        <v>-57.885760697291161</v>
      </c>
      <c r="AF59" s="650">
        <v>0</v>
      </c>
      <c r="AG59" s="650">
        <v>0</v>
      </c>
      <c r="AH59" s="640">
        <v>0</v>
      </c>
      <c r="AI59" s="640">
        <v>0</v>
      </c>
      <c r="AJ59" s="640">
        <v>0</v>
      </c>
      <c r="AK59" s="648">
        <v>5.5506893819320311</v>
      </c>
    </row>
    <row r="60" spans="3:37" x14ac:dyDescent="0.2">
      <c r="C60" s="646" t="s">
        <v>350</v>
      </c>
      <c r="D60" s="640">
        <v>0</v>
      </c>
      <c r="E60" s="640">
        <v>0</v>
      </c>
      <c r="F60" s="640">
        <v>0</v>
      </c>
      <c r="G60" s="640">
        <v>0</v>
      </c>
      <c r="H60" s="640">
        <v>0</v>
      </c>
      <c r="I60" s="640">
        <v>0</v>
      </c>
      <c r="J60" s="640">
        <v>0</v>
      </c>
      <c r="K60" s="640">
        <v>0</v>
      </c>
      <c r="L60" s="640">
        <v>0</v>
      </c>
      <c r="M60" s="640">
        <v>0</v>
      </c>
      <c r="N60" s="640">
        <v>0</v>
      </c>
      <c r="O60" s="640">
        <v>0</v>
      </c>
      <c r="P60" s="640">
        <v>0</v>
      </c>
      <c r="Q60" s="640">
        <v>0</v>
      </c>
      <c r="R60" s="640">
        <v>0</v>
      </c>
      <c r="S60" s="648">
        <v>0</v>
      </c>
      <c r="U60" s="646" t="s">
        <v>350</v>
      </c>
      <c r="V60" s="640">
        <v>0</v>
      </c>
      <c r="W60" s="640">
        <v>0</v>
      </c>
      <c r="X60" s="640">
        <v>0</v>
      </c>
      <c r="Y60" s="640">
        <v>0</v>
      </c>
      <c r="Z60" s="640">
        <v>0</v>
      </c>
      <c r="AA60" s="640">
        <v>0</v>
      </c>
      <c r="AB60" s="640">
        <v>0</v>
      </c>
      <c r="AC60" s="640">
        <v>0</v>
      </c>
      <c r="AD60" s="640">
        <v>0</v>
      </c>
      <c r="AE60" s="640">
        <v>0</v>
      </c>
      <c r="AF60" s="640">
        <v>0</v>
      </c>
      <c r="AG60" s="640">
        <v>0</v>
      </c>
      <c r="AH60" s="640">
        <v>0</v>
      </c>
      <c r="AI60" s="640">
        <v>0</v>
      </c>
      <c r="AJ60" s="640">
        <v>0</v>
      </c>
      <c r="AK60" s="648">
        <v>0</v>
      </c>
    </row>
    <row r="61" spans="3:37" x14ac:dyDescent="0.2">
      <c r="C61" s="646" t="s">
        <v>72</v>
      </c>
      <c r="D61" s="640">
        <v>0</v>
      </c>
      <c r="E61" s="640">
        <v>522.28962186433523</v>
      </c>
      <c r="F61" s="640">
        <v>-517.06672564569192</v>
      </c>
      <c r="G61" s="640">
        <v>0</v>
      </c>
      <c r="H61" s="640">
        <v>0</v>
      </c>
      <c r="I61" s="640">
        <v>0</v>
      </c>
      <c r="J61" s="640">
        <v>0</v>
      </c>
      <c r="K61" s="640">
        <v>0</v>
      </c>
      <c r="L61" s="640">
        <v>0</v>
      </c>
      <c r="M61" s="640">
        <v>0</v>
      </c>
      <c r="N61" s="640">
        <v>0</v>
      </c>
      <c r="O61" s="640">
        <v>0</v>
      </c>
      <c r="P61" s="640">
        <v>0</v>
      </c>
      <c r="Q61" s="640">
        <v>0</v>
      </c>
      <c r="R61" s="640">
        <v>0</v>
      </c>
      <c r="S61" s="648">
        <v>5.2228962186433137</v>
      </c>
      <c r="U61" s="646" t="s">
        <v>72</v>
      </c>
      <c r="V61" s="640">
        <v>0</v>
      </c>
      <c r="W61" s="640">
        <v>275.84091609698424</v>
      </c>
      <c r="X61" s="640">
        <v>-273.0825069360144</v>
      </c>
      <c r="Y61" s="640">
        <v>0</v>
      </c>
      <c r="Z61" s="640">
        <v>0</v>
      </c>
      <c r="AA61" s="640">
        <v>0</v>
      </c>
      <c r="AB61" s="640">
        <v>0</v>
      </c>
      <c r="AC61" s="640">
        <v>0</v>
      </c>
      <c r="AD61" s="640">
        <v>0</v>
      </c>
      <c r="AE61" s="640">
        <v>0</v>
      </c>
      <c r="AF61" s="640">
        <v>0</v>
      </c>
      <c r="AG61" s="640">
        <v>0</v>
      </c>
      <c r="AH61" s="640">
        <v>0</v>
      </c>
      <c r="AI61" s="640">
        <v>0</v>
      </c>
      <c r="AJ61" s="640">
        <v>0</v>
      </c>
      <c r="AK61" s="648">
        <v>2.7584091609698476</v>
      </c>
    </row>
    <row r="62" spans="3:37" x14ac:dyDescent="0.2">
      <c r="C62" s="646" t="s">
        <v>351</v>
      </c>
      <c r="D62" s="640">
        <v>0</v>
      </c>
      <c r="E62" s="640">
        <v>0</v>
      </c>
      <c r="F62" s="640">
        <v>0</v>
      </c>
      <c r="G62" s="640">
        <v>0</v>
      </c>
      <c r="H62" s="640">
        <v>0</v>
      </c>
      <c r="I62" s="640">
        <v>0</v>
      </c>
      <c r="J62" s="640">
        <v>28.942309114060045</v>
      </c>
      <c r="K62" s="640">
        <v>0</v>
      </c>
      <c r="L62" s="640">
        <v>-28.942309114060045</v>
      </c>
      <c r="M62" s="640">
        <v>0</v>
      </c>
      <c r="N62" s="640">
        <v>0</v>
      </c>
      <c r="O62" s="640">
        <v>0</v>
      </c>
      <c r="P62" s="640">
        <v>0</v>
      </c>
      <c r="Q62" s="640">
        <v>0</v>
      </c>
      <c r="R62" s="640">
        <v>0</v>
      </c>
      <c r="S62" s="648">
        <v>0</v>
      </c>
      <c r="U62" s="646" t="s">
        <v>351</v>
      </c>
      <c r="V62" s="640">
        <v>0</v>
      </c>
      <c r="W62" s="640">
        <v>0</v>
      </c>
      <c r="X62" s="640">
        <v>0</v>
      </c>
      <c r="Y62" s="640">
        <v>0</v>
      </c>
      <c r="Z62" s="640">
        <v>0</v>
      </c>
      <c r="AA62" s="640">
        <v>0</v>
      </c>
      <c r="AB62" s="640" t="e">
        <v>#VALUE!</v>
      </c>
      <c r="AC62" s="640">
        <v>0</v>
      </c>
      <c r="AD62" s="640">
        <v>-101.68735143023177</v>
      </c>
      <c r="AE62" s="640">
        <v>0</v>
      </c>
      <c r="AF62" s="640">
        <v>0</v>
      </c>
      <c r="AG62" s="640">
        <v>0</v>
      </c>
      <c r="AH62" s="640">
        <v>0</v>
      </c>
      <c r="AI62" s="640">
        <v>0</v>
      </c>
      <c r="AJ62" s="640">
        <v>0</v>
      </c>
      <c r="AK62" s="648">
        <v>-101.68735143023177</v>
      </c>
    </row>
    <row r="63" spans="3:37" x14ac:dyDescent="0.2">
      <c r="C63" s="646" t="s">
        <v>352</v>
      </c>
      <c r="D63" s="640">
        <v>0</v>
      </c>
      <c r="E63" s="640">
        <v>0</v>
      </c>
      <c r="F63" s="640">
        <v>0</v>
      </c>
      <c r="G63" s="640">
        <v>0</v>
      </c>
      <c r="H63" s="640">
        <v>0</v>
      </c>
      <c r="I63" s="640">
        <v>0</v>
      </c>
      <c r="J63" s="640">
        <v>0</v>
      </c>
      <c r="K63" s="640">
        <v>0</v>
      </c>
      <c r="L63" s="640">
        <v>0</v>
      </c>
      <c r="M63" s="640">
        <v>0</v>
      </c>
      <c r="N63" s="640">
        <v>0</v>
      </c>
      <c r="O63" s="640">
        <v>0</v>
      </c>
      <c r="P63" s="640">
        <v>0</v>
      </c>
      <c r="Q63" s="640">
        <v>0</v>
      </c>
      <c r="R63" s="640">
        <v>0</v>
      </c>
      <c r="S63" s="648">
        <v>0</v>
      </c>
      <c r="U63" s="646" t="s">
        <v>352</v>
      </c>
      <c r="V63" s="640">
        <v>0</v>
      </c>
      <c r="W63" s="640">
        <v>0</v>
      </c>
      <c r="X63" s="640">
        <v>0</v>
      </c>
      <c r="Y63" s="640">
        <v>0</v>
      </c>
      <c r="Z63" s="640">
        <v>0</v>
      </c>
      <c r="AA63" s="640">
        <v>0</v>
      </c>
      <c r="AB63" s="640">
        <v>0</v>
      </c>
      <c r="AC63" s="640">
        <v>0</v>
      </c>
      <c r="AD63" s="640">
        <v>-20.330518764117095</v>
      </c>
      <c r="AE63" s="640">
        <v>0</v>
      </c>
      <c r="AF63" s="640">
        <v>0</v>
      </c>
      <c r="AG63" s="640">
        <v>0</v>
      </c>
      <c r="AH63" s="640">
        <v>0</v>
      </c>
      <c r="AI63" s="640">
        <v>0</v>
      </c>
      <c r="AJ63" s="640">
        <v>0</v>
      </c>
      <c r="AK63" s="648">
        <v>-20.330518764117095</v>
      </c>
    </row>
    <row r="64" spans="3:37" x14ac:dyDescent="0.2">
      <c r="C64" s="646" t="s">
        <v>73</v>
      </c>
      <c r="D64" s="640">
        <v>0</v>
      </c>
      <c r="E64" s="640">
        <v>0</v>
      </c>
      <c r="F64" s="640">
        <v>0</v>
      </c>
      <c r="G64" s="640">
        <v>5.1012543356530031</v>
      </c>
      <c r="H64" s="640">
        <v>0</v>
      </c>
      <c r="I64" s="640">
        <v>0</v>
      </c>
      <c r="J64" s="640">
        <v>0</v>
      </c>
      <c r="K64" s="640">
        <v>5.8487208617897309E-2</v>
      </c>
      <c r="L64" s="640">
        <v>0</v>
      </c>
      <c r="M64" s="640">
        <v>0.10410723133985722</v>
      </c>
      <c r="N64" s="640">
        <v>0</v>
      </c>
      <c r="O64" s="640">
        <v>0</v>
      </c>
      <c r="P64" s="640">
        <v>0.59767950412449788</v>
      </c>
      <c r="Q64" s="640">
        <v>0</v>
      </c>
      <c r="R64" s="640">
        <v>-4.094104603252811</v>
      </c>
      <c r="S64" s="648">
        <v>1.7674236764824451</v>
      </c>
      <c r="U64" s="646" t="s">
        <v>73</v>
      </c>
      <c r="V64" s="640">
        <v>0</v>
      </c>
      <c r="W64" s="640">
        <v>0</v>
      </c>
      <c r="X64" s="640">
        <v>0</v>
      </c>
      <c r="Y64" s="640">
        <v>5.6948243223481816</v>
      </c>
      <c r="Z64" s="640">
        <v>0</v>
      </c>
      <c r="AA64" s="640">
        <v>0</v>
      </c>
      <c r="AB64" s="640">
        <v>0</v>
      </c>
      <c r="AC64" s="640">
        <v>0.40677316588201312</v>
      </c>
      <c r="AD64" s="640">
        <v>0</v>
      </c>
      <c r="AE64" s="640">
        <v>2.440638995292078</v>
      </c>
      <c r="AF64" s="640">
        <v>0</v>
      </c>
      <c r="AG64" s="640">
        <v>0</v>
      </c>
      <c r="AH64" s="640">
        <v>32.838767990182951</v>
      </c>
      <c r="AI64" s="640">
        <v>0</v>
      </c>
      <c r="AJ64" s="640">
        <v>-28.474121611740912</v>
      </c>
      <c r="AK64" s="648">
        <v>12.906882861964313</v>
      </c>
    </row>
    <row r="65" spans="3:37" x14ac:dyDescent="0.2">
      <c r="C65" s="646" t="s">
        <v>353</v>
      </c>
      <c r="D65" s="640">
        <v>28.616489999999999</v>
      </c>
      <c r="E65" s="640">
        <v>-18.09733539759922</v>
      </c>
      <c r="F65" s="640">
        <v>23.670245777269074</v>
      </c>
      <c r="G65" s="640">
        <v>0</v>
      </c>
      <c r="H65" s="640">
        <v>0</v>
      </c>
      <c r="I65" s="640">
        <v>0</v>
      </c>
      <c r="J65" s="640">
        <v>0</v>
      </c>
      <c r="K65" s="640">
        <v>0</v>
      </c>
      <c r="L65" s="640">
        <v>0</v>
      </c>
      <c r="M65" s="640">
        <v>0</v>
      </c>
      <c r="N65" s="640">
        <v>0</v>
      </c>
      <c r="O65" s="640">
        <v>0</v>
      </c>
      <c r="P65" s="640">
        <v>0</v>
      </c>
      <c r="Q65" s="640">
        <v>0</v>
      </c>
      <c r="R65" s="640">
        <v>0</v>
      </c>
      <c r="S65" s="648">
        <v>34.189400379669848</v>
      </c>
      <c r="U65" s="646" t="s">
        <v>353</v>
      </c>
      <c r="V65" s="640">
        <v>2.3505202026367185</v>
      </c>
      <c r="W65" s="640">
        <v>-9.5578877427605047</v>
      </c>
      <c r="X65" s="640">
        <v>12.501152628950074</v>
      </c>
      <c r="Y65" s="640">
        <v>0</v>
      </c>
      <c r="Z65" s="640">
        <v>0</v>
      </c>
      <c r="AA65" s="640">
        <v>0</v>
      </c>
      <c r="AB65" s="640">
        <v>0</v>
      </c>
      <c r="AC65" s="640">
        <v>0</v>
      </c>
      <c r="AD65" s="640">
        <v>0</v>
      </c>
      <c r="AE65" s="640">
        <v>0</v>
      </c>
      <c r="AF65" s="640">
        <v>0</v>
      </c>
      <c r="AG65" s="640">
        <v>0</v>
      </c>
      <c r="AH65" s="640">
        <v>0</v>
      </c>
      <c r="AI65" s="640">
        <v>0</v>
      </c>
      <c r="AJ65" s="640">
        <v>0</v>
      </c>
      <c r="AK65" s="648">
        <v>5.2937850888262874</v>
      </c>
    </row>
    <row r="66" spans="3:37" x14ac:dyDescent="0.2">
      <c r="C66" s="646" t="s">
        <v>75</v>
      </c>
      <c r="D66" s="640">
        <v>11.128635000000001</v>
      </c>
      <c r="E66" s="640">
        <v>0</v>
      </c>
      <c r="F66" s="640">
        <v>17.757847143387398</v>
      </c>
      <c r="G66" s="640">
        <v>5.0672539113277812</v>
      </c>
      <c r="H66" s="640">
        <v>0</v>
      </c>
      <c r="I66" s="640">
        <v>0</v>
      </c>
      <c r="J66" s="640">
        <v>0</v>
      </c>
      <c r="K66" s="640">
        <v>0</v>
      </c>
      <c r="L66" s="640">
        <v>0</v>
      </c>
      <c r="M66" s="640">
        <v>0.1034133451291384</v>
      </c>
      <c r="N66" s="640">
        <v>0</v>
      </c>
      <c r="O66" s="640">
        <v>0</v>
      </c>
      <c r="P66" s="640">
        <v>30.750377055945027</v>
      </c>
      <c r="Q66" s="640">
        <v>0</v>
      </c>
      <c r="R66" s="640">
        <v>0</v>
      </c>
      <c r="S66" s="648">
        <v>64.807526455789343</v>
      </c>
      <c r="U66" s="646" t="s">
        <v>75</v>
      </c>
      <c r="V66" s="640">
        <v>3.4784289550781251</v>
      </c>
      <c r="W66" s="640">
        <v>0</v>
      </c>
      <c r="X66" s="640">
        <v>17.757847143387398</v>
      </c>
      <c r="Y66" s="640">
        <v>3.6194670795198434</v>
      </c>
      <c r="Z66" s="640">
        <v>0</v>
      </c>
      <c r="AA66" s="640">
        <v>0</v>
      </c>
      <c r="AB66" s="640">
        <v>0</v>
      </c>
      <c r="AC66" s="640">
        <v>0</v>
      </c>
      <c r="AD66" s="640">
        <v>0</v>
      </c>
      <c r="AE66" s="640">
        <v>1.5512001769370758</v>
      </c>
      <c r="AF66" s="640">
        <v>0</v>
      </c>
      <c r="AG66" s="640">
        <v>0</v>
      </c>
      <c r="AH66" s="640">
        <v>36.42264978321775</v>
      </c>
      <c r="AI66" s="640">
        <v>0</v>
      </c>
      <c r="AJ66" s="640">
        <v>0</v>
      </c>
      <c r="AK66" s="648">
        <v>62.829593138140197</v>
      </c>
    </row>
    <row r="67" spans="3:37" x14ac:dyDescent="0.2">
      <c r="C67" s="646" t="s">
        <v>76</v>
      </c>
      <c r="D67" s="640">
        <v>0</v>
      </c>
      <c r="E67" s="640">
        <v>0</v>
      </c>
      <c r="F67" s="640">
        <v>0</v>
      </c>
      <c r="G67" s="640">
        <v>3.8086647866957031</v>
      </c>
      <c r="H67" s="640">
        <v>0</v>
      </c>
      <c r="I67" s="640">
        <v>0</v>
      </c>
      <c r="J67" s="640">
        <v>0</v>
      </c>
      <c r="K67" s="640">
        <v>0</v>
      </c>
      <c r="L67" s="640">
        <v>0</v>
      </c>
      <c r="M67" s="640">
        <v>7.7727852789708229E-2</v>
      </c>
      <c r="N67" s="640">
        <v>0</v>
      </c>
      <c r="O67" s="640">
        <v>0</v>
      </c>
      <c r="P67" s="640">
        <v>44.547532005203358</v>
      </c>
      <c r="Q67" s="640">
        <v>2.958822517532107</v>
      </c>
      <c r="R67" s="640">
        <v>0</v>
      </c>
      <c r="S67" s="648">
        <v>51.392747162220878</v>
      </c>
      <c r="U67" s="646" t="s">
        <v>76</v>
      </c>
      <c r="V67" s="640">
        <v>0</v>
      </c>
      <c r="W67" s="640">
        <v>0</v>
      </c>
      <c r="X67" s="640">
        <v>0</v>
      </c>
      <c r="Y67" s="640">
        <v>1.6015823117827594</v>
      </c>
      <c r="Z67" s="640">
        <v>0</v>
      </c>
      <c r="AA67" s="640">
        <v>0</v>
      </c>
      <c r="AB67" s="640">
        <v>0</v>
      </c>
      <c r="AC67" s="640">
        <v>0</v>
      </c>
      <c r="AD67" s="640">
        <v>0</v>
      </c>
      <c r="AE67" s="640">
        <v>0.68639241933546835</v>
      </c>
      <c r="AF67" s="640">
        <v>0</v>
      </c>
      <c r="AG67" s="640">
        <v>0</v>
      </c>
      <c r="AH67" s="640">
        <v>47.148943407633553</v>
      </c>
      <c r="AI67" s="640">
        <v>5.8421151160056723</v>
      </c>
      <c r="AJ67" s="640">
        <v>0</v>
      </c>
      <c r="AK67" s="648">
        <v>55.279033254757444</v>
      </c>
    </row>
    <row r="68" spans="3:37" x14ac:dyDescent="0.2">
      <c r="C68" s="644" t="s">
        <v>77</v>
      </c>
      <c r="D68" s="645">
        <v>42.571910641025248</v>
      </c>
      <c r="E68" s="645">
        <v>504.19228646673599</v>
      </c>
      <c r="F68" s="645">
        <v>-468.11692594020946</v>
      </c>
      <c r="G68" s="645">
        <v>45.994115783016845</v>
      </c>
      <c r="H68" s="645">
        <v>959.09090909090924</v>
      </c>
      <c r="I68" s="645">
        <v>265.54666314840352</v>
      </c>
      <c r="J68" s="645">
        <v>78.402106423532217</v>
      </c>
      <c r="K68" s="645">
        <v>19.049948129928421</v>
      </c>
      <c r="L68" s="645">
        <v>-26.034244563334241</v>
      </c>
      <c r="M68" s="645">
        <v>-5.4765606138084015</v>
      </c>
      <c r="N68" s="645">
        <v>0</v>
      </c>
      <c r="O68" s="645">
        <v>9.0263438420589424</v>
      </c>
      <c r="P68" s="645">
        <v>-537.24345011511946</v>
      </c>
      <c r="Q68" s="645">
        <v>-35.164036653103786</v>
      </c>
      <c r="R68" s="645">
        <v>-4.094104603252811</v>
      </c>
      <c r="S68" s="645">
        <v>847.74496103678234</v>
      </c>
      <c r="U68" s="644" t="s">
        <v>77</v>
      </c>
      <c r="V68" s="645">
        <v>6.4552640631735336</v>
      </c>
      <c r="W68" s="645">
        <v>266.28302835422375</v>
      </c>
      <c r="X68" s="645">
        <v>-239.16543674248729</v>
      </c>
      <c r="Y68" s="645">
        <v>28.3606981090151</v>
      </c>
      <c r="Z68" s="645">
        <v>919.39393939393949</v>
      </c>
      <c r="AA68" s="645">
        <v>300.16666314840353</v>
      </c>
      <c r="AB68" s="645">
        <v>116.13241178058709</v>
      </c>
      <c r="AC68" s="645">
        <v>32.378551458673563</v>
      </c>
      <c r="AD68" s="645">
        <v>-119.10980564362306</v>
      </c>
      <c r="AE68" s="645">
        <v>-45.591342912780426</v>
      </c>
      <c r="AF68" s="645">
        <v>0</v>
      </c>
      <c r="AG68" s="645">
        <v>17.619168596552839</v>
      </c>
      <c r="AH68" s="645">
        <v>-512.24867749935788</v>
      </c>
      <c r="AI68" s="645">
        <v>-69.488948539693865</v>
      </c>
      <c r="AJ68" s="645">
        <v>-23.724121611740912</v>
      </c>
      <c r="AK68" s="645">
        <v>677.46139195488558</v>
      </c>
    </row>
    <row r="69" spans="3:37" x14ac:dyDescent="0.2">
      <c r="C69" s="634"/>
      <c r="D69" s="634">
        <v>0</v>
      </c>
      <c r="E69" s="634">
        <v>0</v>
      </c>
      <c r="F69" s="634">
        <v>0</v>
      </c>
      <c r="G69" s="634">
        <v>0</v>
      </c>
      <c r="H69" s="634">
        <v>0</v>
      </c>
      <c r="I69" s="634">
        <v>0</v>
      </c>
      <c r="J69" s="634">
        <v>0</v>
      </c>
      <c r="K69" s="634">
        <v>0</v>
      </c>
      <c r="L69" s="634">
        <v>0</v>
      </c>
      <c r="M69" s="634">
        <v>0</v>
      </c>
      <c r="N69" s="634">
        <v>0</v>
      </c>
      <c r="O69" s="634">
        <v>0</v>
      </c>
      <c r="P69" s="634">
        <v>0</v>
      </c>
      <c r="Q69" s="634">
        <v>0</v>
      </c>
      <c r="R69" s="634">
        <v>0</v>
      </c>
      <c r="S69" s="634">
        <v>0</v>
      </c>
      <c r="U69" s="634"/>
      <c r="V69" s="634">
        <v>0</v>
      </c>
      <c r="W69" s="634">
        <v>0</v>
      </c>
      <c r="X69" s="634">
        <v>0</v>
      </c>
      <c r="Y69" s="634">
        <v>0</v>
      </c>
      <c r="Z69" s="634">
        <v>0</v>
      </c>
      <c r="AA69" s="634">
        <v>0</v>
      </c>
      <c r="AB69" s="634">
        <v>0</v>
      </c>
      <c r="AC69" s="634">
        <v>0</v>
      </c>
      <c r="AD69" s="634">
        <v>0</v>
      </c>
      <c r="AE69" s="634">
        <v>0</v>
      </c>
      <c r="AF69" s="634">
        <v>0</v>
      </c>
      <c r="AG69" s="634">
        <v>0</v>
      </c>
      <c r="AH69" s="634">
        <v>0</v>
      </c>
      <c r="AI69" s="634">
        <v>0</v>
      </c>
      <c r="AJ69" s="634">
        <v>0</v>
      </c>
      <c r="AK69" s="634">
        <v>0</v>
      </c>
    </row>
    <row r="70" spans="3:37" x14ac:dyDescent="0.2">
      <c r="C70" s="646" t="s">
        <v>78</v>
      </c>
      <c r="D70" s="640">
        <v>5.4657298257742912</v>
      </c>
      <c r="E70" s="640">
        <v>0</v>
      </c>
      <c r="F70" s="640">
        <v>21.83935294215906</v>
      </c>
      <c r="G70" s="640">
        <v>97.960240418883188</v>
      </c>
      <c r="H70" s="640">
        <v>0</v>
      </c>
      <c r="I70" s="640">
        <v>0</v>
      </c>
      <c r="J70" s="640">
        <v>20.699069714826329</v>
      </c>
      <c r="K70" s="640">
        <v>1.7608774311708451</v>
      </c>
      <c r="L70" s="640">
        <v>0.9136629082031249</v>
      </c>
      <c r="M70" s="640">
        <v>2.0177626304462204</v>
      </c>
      <c r="N70" s="640">
        <v>0</v>
      </c>
      <c r="O70" s="640">
        <v>3.7866244598879411E-4</v>
      </c>
      <c r="P70" s="640">
        <v>111.48933548215857</v>
      </c>
      <c r="Q70" s="640">
        <v>16.083775404791947</v>
      </c>
      <c r="R70" s="640">
        <v>0.29766925048828125</v>
      </c>
      <c r="S70" s="648">
        <v>278.52785467134788</v>
      </c>
      <c r="U70" s="646" t="s">
        <v>78</v>
      </c>
      <c r="V70" s="640">
        <v>1.0762581410403587</v>
      </c>
      <c r="W70" s="640">
        <v>0</v>
      </c>
      <c r="X70" s="640">
        <v>8.4892491154216376</v>
      </c>
      <c r="Y70" s="640">
        <v>50.497915430959594</v>
      </c>
      <c r="Z70" s="640">
        <v>0</v>
      </c>
      <c r="AA70" s="640">
        <v>0</v>
      </c>
      <c r="AB70" s="640">
        <v>15.594949526554588</v>
      </c>
      <c r="AC70" s="640">
        <v>5.2865944994228578</v>
      </c>
      <c r="AD70" s="640">
        <v>4.3757583007812499</v>
      </c>
      <c r="AE70" s="640">
        <v>21.660537806594554</v>
      </c>
      <c r="AF70" s="640">
        <v>0</v>
      </c>
      <c r="AG70" s="640">
        <v>3.7866244598879411E-4</v>
      </c>
      <c r="AH70" s="640">
        <v>141.44668524271188</v>
      </c>
      <c r="AI70" s="640">
        <v>22.79177635880415</v>
      </c>
      <c r="AJ70" s="640">
        <v>6.850041015625</v>
      </c>
      <c r="AK70" s="648">
        <v>278.07014410036186</v>
      </c>
    </row>
    <row r="71" spans="3:37" x14ac:dyDescent="0.2">
      <c r="C71" s="646" t="s">
        <v>79</v>
      </c>
      <c r="D71" s="640">
        <v>0</v>
      </c>
      <c r="E71" s="640">
        <v>0</v>
      </c>
      <c r="F71" s="640">
        <v>249.23385066161848</v>
      </c>
      <c r="G71" s="640">
        <v>29.852237297635437</v>
      </c>
      <c r="H71" s="640">
        <v>0</v>
      </c>
      <c r="I71" s="640">
        <v>0</v>
      </c>
      <c r="J71" s="640">
        <v>0</v>
      </c>
      <c r="K71" s="640">
        <v>0</v>
      </c>
      <c r="L71" s="640">
        <v>24.125777410294155</v>
      </c>
      <c r="M71" s="640">
        <v>0.60922933260480494</v>
      </c>
      <c r="N71" s="640">
        <v>0</v>
      </c>
      <c r="O71" s="640">
        <v>0</v>
      </c>
      <c r="P71" s="640">
        <v>62.086065361885787</v>
      </c>
      <c r="Q71" s="640">
        <v>0</v>
      </c>
      <c r="R71" s="640">
        <v>1.9828379826970517</v>
      </c>
      <c r="S71" s="648">
        <v>367.88999804673568</v>
      </c>
      <c r="U71" s="646" t="s">
        <v>79</v>
      </c>
      <c r="V71" s="640">
        <v>0</v>
      </c>
      <c r="W71" s="640">
        <v>0</v>
      </c>
      <c r="X71" s="640">
        <v>59.317364570862594</v>
      </c>
      <c r="Y71" s="640">
        <v>17.942066440325025</v>
      </c>
      <c r="Z71" s="640">
        <v>0</v>
      </c>
      <c r="AA71" s="640">
        <v>0</v>
      </c>
      <c r="AB71" s="640">
        <v>0</v>
      </c>
      <c r="AC71" s="640">
        <v>0</v>
      </c>
      <c r="AD71" s="640">
        <v>51.332808735857633</v>
      </c>
      <c r="AE71" s="640">
        <v>7.6894570458535831</v>
      </c>
      <c r="AF71" s="640">
        <v>0</v>
      </c>
      <c r="AG71" s="640">
        <v>0</v>
      </c>
      <c r="AH71" s="640">
        <v>82.201296258535137</v>
      </c>
      <c r="AI71" s="640">
        <v>0</v>
      </c>
      <c r="AJ71" s="640">
        <v>4.6183032107255606</v>
      </c>
      <c r="AK71" s="648">
        <v>223.10129626215951</v>
      </c>
    </row>
    <row r="72" spans="3:37" x14ac:dyDescent="0.2">
      <c r="C72" s="646" t="s">
        <v>80</v>
      </c>
      <c r="D72" s="640">
        <v>0</v>
      </c>
      <c r="E72" s="640">
        <v>0</v>
      </c>
      <c r="F72" s="640">
        <v>17.698191750553285</v>
      </c>
      <c r="G72" s="640">
        <v>82.8316536533641</v>
      </c>
      <c r="H72" s="640">
        <v>0</v>
      </c>
      <c r="I72" s="640">
        <v>0</v>
      </c>
      <c r="J72" s="640">
        <v>87.012401530952616</v>
      </c>
      <c r="K72" s="640">
        <v>0</v>
      </c>
      <c r="L72" s="640">
        <v>0</v>
      </c>
      <c r="M72" s="640">
        <v>1.690441911293145</v>
      </c>
      <c r="N72" s="640">
        <v>54.219025663639314</v>
      </c>
      <c r="O72" s="640">
        <v>2.0231633432731213</v>
      </c>
      <c r="P72" s="640">
        <v>187.24843332836184</v>
      </c>
      <c r="Q72" s="640">
        <v>15.504434202631401</v>
      </c>
      <c r="R72" s="640">
        <v>0</v>
      </c>
      <c r="S72" s="648">
        <v>448.22774538406884</v>
      </c>
      <c r="U72" s="646" t="s">
        <v>80</v>
      </c>
      <c r="V72" s="640">
        <v>0</v>
      </c>
      <c r="W72" s="640">
        <v>0</v>
      </c>
      <c r="X72" s="640">
        <v>1.0833932718176746</v>
      </c>
      <c r="Y72" s="640">
        <v>18.084176496701136</v>
      </c>
      <c r="Z72" s="640">
        <v>0</v>
      </c>
      <c r="AA72" s="640">
        <v>0</v>
      </c>
      <c r="AB72" s="640">
        <v>57.868484646152382</v>
      </c>
      <c r="AC72" s="640">
        <v>0</v>
      </c>
      <c r="AD72" s="640">
        <v>0</v>
      </c>
      <c r="AE72" s="640">
        <v>7.7503613557290594</v>
      </c>
      <c r="AF72" s="640">
        <v>78.313096165620991</v>
      </c>
      <c r="AG72" s="640">
        <v>3.4573890525731583</v>
      </c>
      <c r="AH72" s="640">
        <v>150.63566760387405</v>
      </c>
      <c r="AI72" s="640">
        <v>34.942034151478268</v>
      </c>
      <c r="AJ72" s="640">
        <v>0</v>
      </c>
      <c r="AK72" s="648">
        <v>352.13460274394669</v>
      </c>
    </row>
    <row r="73" spans="3:37" x14ac:dyDescent="0.2">
      <c r="C73" s="646" t="s">
        <v>81</v>
      </c>
      <c r="D73" s="640">
        <v>0</v>
      </c>
      <c r="E73" s="640">
        <v>0</v>
      </c>
      <c r="F73" s="640">
        <v>5.759525486283259</v>
      </c>
      <c r="G73" s="640">
        <v>63.242535904869413</v>
      </c>
      <c r="H73" s="640">
        <v>0</v>
      </c>
      <c r="I73" s="640">
        <v>0</v>
      </c>
      <c r="J73" s="640">
        <v>3.243340348024236</v>
      </c>
      <c r="K73" s="640">
        <v>2.5138060257677737E-2</v>
      </c>
      <c r="L73" s="640">
        <v>0</v>
      </c>
      <c r="M73" s="640">
        <v>1.2906639980585595</v>
      </c>
      <c r="N73" s="640">
        <v>8.6788063603893928</v>
      </c>
      <c r="O73" s="640">
        <v>0.74318365128395913</v>
      </c>
      <c r="P73" s="640">
        <v>138.68432478978596</v>
      </c>
      <c r="Q73" s="640">
        <v>3.5758270456804375</v>
      </c>
      <c r="R73" s="640">
        <v>0</v>
      </c>
      <c r="S73" s="648">
        <v>225.24334564463288</v>
      </c>
      <c r="U73" s="646" t="s">
        <v>81</v>
      </c>
      <c r="V73" s="640">
        <v>0</v>
      </c>
      <c r="W73" s="640">
        <v>0</v>
      </c>
      <c r="X73" s="640">
        <v>1.8996820773870462</v>
      </c>
      <c r="Y73" s="640">
        <v>16.701006494583829</v>
      </c>
      <c r="Z73" s="640">
        <v>0</v>
      </c>
      <c r="AA73" s="640">
        <v>0</v>
      </c>
      <c r="AB73" s="640">
        <v>7.1959049572050198</v>
      </c>
      <c r="AC73" s="640">
        <v>2.5138060257677737E-2</v>
      </c>
      <c r="AD73" s="640">
        <v>0</v>
      </c>
      <c r="AE73" s="640">
        <v>7.1575742119644987</v>
      </c>
      <c r="AF73" s="640">
        <v>14.587904232604497</v>
      </c>
      <c r="AG73" s="640">
        <v>1.6018484399661996</v>
      </c>
      <c r="AH73" s="640">
        <v>116.46951239557291</v>
      </c>
      <c r="AI73" s="640">
        <v>11.755138029411436</v>
      </c>
      <c r="AJ73" s="640">
        <v>0</v>
      </c>
      <c r="AK73" s="648">
        <v>177.39370889895312</v>
      </c>
    </row>
    <row r="74" spans="3:37" x14ac:dyDescent="0.2">
      <c r="C74" s="646" t="s">
        <v>82</v>
      </c>
      <c r="D74" s="640">
        <v>0</v>
      </c>
      <c r="E74" s="640">
        <v>0</v>
      </c>
      <c r="F74" s="640">
        <v>29.471786733039881</v>
      </c>
      <c r="G74" s="640">
        <v>1.3166139535686423</v>
      </c>
      <c r="H74" s="640">
        <v>0</v>
      </c>
      <c r="I74" s="640">
        <v>0</v>
      </c>
      <c r="J74" s="640">
        <v>3.6844952632387193</v>
      </c>
      <c r="K74" s="640">
        <v>0</v>
      </c>
      <c r="L74" s="640">
        <v>3.0029030850571363</v>
      </c>
      <c r="M74" s="640">
        <v>2.6869672521809031E-2</v>
      </c>
      <c r="N74" s="640">
        <v>0</v>
      </c>
      <c r="O74" s="640">
        <v>7.2392521047915395E-2</v>
      </c>
      <c r="P74" s="640">
        <v>6.3643203530837074</v>
      </c>
      <c r="Q74" s="640">
        <v>0</v>
      </c>
      <c r="R74" s="640">
        <v>0</v>
      </c>
      <c r="S74" s="648">
        <v>43.939381581557811</v>
      </c>
      <c r="U74" s="646" t="s">
        <v>82</v>
      </c>
      <c r="V74" s="640">
        <v>0</v>
      </c>
      <c r="W74" s="640">
        <v>0</v>
      </c>
      <c r="X74" s="640">
        <v>10.199143313422546</v>
      </c>
      <c r="Y74" s="640">
        <v>1.1904851448286324</v>
      </c>
      <c r="Z74" s="640">
        <v>0</v>
      </c>
      <c r="AA74" s="640">
        <v>0</v>
      </c>
      <c r="AB74" s="640">
        <v>3.6844952632387193</v>
      </c>
      <c r="AC74" s="640">
        <v>0</v>
      </c>
      <c r="AD74" s="640">
        <v>26.674568203776872</v>
      </c>
      <c r="AE74" s="640">
        <v>0.51020791921227104</v>
      </c>
      <c r="AF74" s="640">
        <v>0</v>
      </c>
      <c r="AG74" s="640">
        <v>1.300620381405156</v>
      </c>
      <c r="AH74" s="640">
        <v>6.4632626546266092</v>
      </c>
      <c r="AI74" s="640">
        <v>0</v>
      </c>
      <c r="AJ74" s="640">
        <v>0.325155095351289</v>
      </c>
      <c r="AK74" s="648">
        <v>50.347937975862088</v>
      </c>
    </row>
    <row r="75" spans="3:37" x14ac:dyDescent="0.2">
      <c r="C75" s="646" t="s">
        <v>354</v>
      </c>
      <c r="D75" s="640">
        <v>0</v>
      </c>
      <c r="E75" s="640">
        <v>0</v>
      </c>
      <c r="F75" s="640">
        <v>0</v>
      </c>
      <c r="G75" s="640">
        <v>0</v>
      </c>
      <c r="H75" s="640">
        <v>0</v>
      </c>
      <c r="I75" s="640">
        <v>0</v>
      </c>
      <c r="J75" s="640">
        <v>0</v>
      </c>
      <c r="K75" s="640">
        <v>0</v>
      </c>
      <c r="L75" s="640">
        <v>0</v>
      </c>
      <c r="M75" s="640">
        <v>0</v>
      </c>
      <c r="N75" s="640">
        <v>0</v>
      </c>
      <c r="O75" s="640">
        <v>0</v>
      </c>
      <c r="P75" s="640">
        <v>0.31499999999999995</v>
      </c>
      <c r="Q75" s="640">
        <v>0</v>
      </c>
      <c r="R75" s="640">
        <v>0</v>
      </c>
      <c r="S75" s="648">
        <v>0.31499999999999995</v>
      </c>
      <c r="U75" s="646" t="s">
        <v>354</v>
      </c>
      <c r="V75" s="640">
        <v>0</v>
      </c>
      <c r="W75" s="640">
        <v>0</v>
      </c>
      <c r="X75" s="640">
        <v>0</v>
      </c>
      <c r="Y75" s="640">
        <v>0</v>
      </c>
      <c r="Z75" s="640">
        <v>0</v>
      </c>
      <c r="AA75" s="640">
        <v>0</v>
      </c>
      <c r="AB75" s="640">
        <v>0</v>
      </c>
      <c r="AC75" s="640">
        <v>0</v>
      </c>
      <c r="AD75" s="640">
        <v>0</v>
      </c>
      <c r="AE75" s="640">
        <v>0</v>
      </c>
      <c r="AF75" s="640">
        <v>0</v>
      </c>
      <c r="AG75" s="640">
        <v>0</v>
      </c>
      <c r="AH75" s="640">
        <v>2.4</v>
      </c>
      <c r="AI75" s="640">
        <v>0</v>
      </c>
      <c r="AJ75" s="640">
        <v>0</v>
      </c>
      <c r="AK75" s="648">
        <v>2.4</v>
      </c>
    </row>
    <row r="76" spans="3:37" x14ac:dyDescent="0.2">
      <c r="C76" s="644" t="s">
        <v>83</v>
      </c>
      <c r="D76" s="645">
        <v>5.4657298257742912</v>
      </c>
      <c r="E76" s="645">
        <v>0</v>
      </c>
      <c r="F76" s="645">
        <v>324.00270757365394</v>
      </c>
      <c r="G76" s="645">
        <v>275.2032812283208</v>
      </c>
      <c r="H76" s="645">
        <v>0</v>
      </c>
      <c r="I76" s="645">
        <v>0</v>
      </c>
      <c r="J76" s="645">
        <v>114.6393068570419</v>
      </c>
      <c r="K76" s="645">
        <v>1.7860154914285227</v>
      </c>
      <c r="L76" s="645">
        <v>28.042343403554419</v>
      </c>
      <c r="M76" s="645">
        <v>5.6349675449245389</v>
      </c>
      <c r="N76" s="645">
        <v>62.897832024028709</v>
      </c>
      <c r="O76" s="645">
        <v>2.8391181780509842</v>
      </c>
      <c r="P76" s="645">
        <v>506.18747931527582</v>
      </c>
      <c r="Q76" s="645">
        <v>35.164036653103793</v>
      </c>
      <c r="R76" s="645">
        <v>2.2805072331853329</v>
      </c>
      <c r="S76" s="645">
        <v>1364.1433253283431</v>
      </c>
      <c r="U76" s="644" t="s">
        <v>83</v>
      </c>
      <c r="V76" s="645">
        <v>1.0762581410403587</v>
      </c>
      <c r="W76" s="645">
        <v>0</v>
      </c>
      <c r="X76" s="645">
        <v>80.988832348911515</v>
      </c>
      <c r="Y76" s="645">
        <v>104.41565000739821</v>
      </c>
      <c r="Z76" s="645">
        <v>0</v>
      </c>
      <c r="AA76" s="645">
        <v>0</v>
      </c>
      <c r="AB76" s="645">
        <v>84.343834393150701</v>
      </c>
      <c r="AC76" s="645">
        <v>5.3117325596805349</v>
      </c>
      <c r="AD76" s="645">
        <v>82.383135240415754</v>
      </c>
      <c r="AE76" s="645">
        <v>44.768138339353968</v>
      </c>
      <c r="AF76" s="645">
        <v>92.901000398225491</v>
      </c>
      <c r="AG76" s="645">
        <v>6.3602365363905022</v>
      </c>
      <c r="AH76" s="645">
        <v>499.61642415532054</v>
      </c>
      <c r="AI76" s="645">
        <v>69.488948539693865</v>
      </c>
      <c r="AJ76" s="645">
        <v>11.793499321701848</v>
      </c>
      <c r="AK76" s="645">
        <v>1083.4476899812832</v>
      </c>
    </row>
    <row r="77" spans="3:37" x14ac:dyDescent="0.2">
      <c r="C77" s="639" t="s">
        <v>84</v>
      </c>
      <c r="D77" s="640">
        <v>0</v>
      </c>
      <c r="E77" s="640">
        <v>0</v>
      </c>
      <c r="F77" s="640">
        <v>109.69308299672531</v>
      </c>
      <c r="G77" s="640">
        <v>11.766175832538266</v>
      </c>
      <c r="H77" s="640">
        <v>0</v>
      </c>
      <c r="I77" s="640">
        <v>0</v>
      </c>
      <c r="J77" s="640">
        <v>0</v>
      </c>
      <c r="K77" s="640">
        <v>0</v>
      </c>
      <c r="L77" s="640">
        <v>0</v>
      </c>
      <c r="M77" s="640">
        <v>0</v>
      </c>
      <c r="N77" s="640">
        <v>0</v>
      </c>
      <c r="O77" s="640">
        <v>0</v>
      </c>
      <c r="P77" s="640">
        <v>0</v>
      </c>
      <c r="Q77" s="640">
        <v>0</v>
      </c>
      <c r="R77" s="640">
        <v>1.8135973700674786</v>
      </c>
      <c r="S77" s="648">
        <v>123.27285619933106</v>
      </c>
      <c r="U77" s="639" t="s">
        <v>84</v>
      </c>
      <c r="V77" s="640">
        <v>0</v>
      </c>
      <c r="W77" s="640">
        <v>0</v>
      </c>
      <c r="X77" s="640">
        <v>84.298528713313246</v>
      </c>
      <c r="Y77" s="640">
        <v>1.1302347010557652</v>
      </c>
      <c r="Z77" s="640">
        <v>0</v>
      </c>
      <c r="AA77" s="640">
        <v>0</v>
      </c>
      <c r="AB77" s="640">
        <v>0</v>
      </c>
      <c r="AC77" s="640">
        <v>0</v>
      </c>
      <c r="AD77" s="640">
        <v>17.754065118408207</v>
      </c>
      <c r="AE77" s="640">
        <v>0</v>
      </c>
      <c r="AF77" s="640">
        <v>0</v>
      </c>
      <c r="AG77" s="640">
        <v>0</v>
      </c>
      <c r="AH77" s="640">
        <v>0</v>
      </c>
      <c r="AI77" s="640">
        <v>0</v>
      </c>
      <c r="AJ77" s="640">
        <v>11.930622290039064</v>
      </c>
      <c r="AK77" s="648">
        <v>115.11345082281629</v>
      </c>
    </row>
    <row r="78" spans="3:37" x14ac:dyDescent="0.2">
      <c r="C78" s="644" t="s">
        <v>85</v>
      </c>
      <c r="D78" s="645">
        <v>5.4657298257742912</v>
      </c>
      <c r="E78" s="645">
        <v>0</v>
      </c>
      <c r="F78" s="645">
        <v>433.69579057037924</v>
      </c>
      <c r="G78" s="645">
        <v>286.9694570608591</v>
      </c>
      <c r="H78" s="645">
        <v>0</v>
      </c>
      <c r="I78" s="645">
        <v>0</v>
      </c>
      <c r="J78" s="645">
        <v>114.6393068570419</v>
      </c>
      <c r="K78" s="645">
        <v>1.7860154914285227</v>
      </c>
      <c r="L78" s="645">
        <v>28.042343403554419</v>
      </c>
      <c r="M78" s="645">
        <v>5.6349675449245389</v>
      </c>
      <c r="N78" s="645">
        <v>62.897832024028709</v>
      </c>
      <c r="O78" s="645">
        <v>2.8391181780509842</v>
      </c>
      <c r="P78" s="645">
        <v>506.18747931527582</v>
      </c>
      <c r="Q78" s="645">
        <v>35.164036653103793</v>
      </c>
      <c r="R78" s="645">
        <v>4.094104603252811</v>
      </c>
      <c r="S78" s="645">
        <v>1487.4161815276743</v>
      </c>
      <c r="U78" s="644" t="s">
        <v>85</v>
      </c>
      <c r="V78" s="645">
        <v>1.0762581410403587</v>
      </c>
      <c r="W78" s="645">
        <v>0</v>
      </c>
      <c r="X78" s="645">
        <v>165.28736106222476</v>
      </c>
      <c r="Y78" s="645">
        <v>105.54588470845398</v>
      </c>
      <c r="Z78" s="645">
        <v>0</v>
      </c>
      <c r="AA78" s="645">
        <v>0</v>
      </c>
      <c r="AB78" s="645">
        <v>84.343834393150701</v>
      </c>
      <c r="AC78" s="645">
        <v>5.3117325596805349</v>
      </c>
      <c r="AD78" s="645">
        <v>100.13720035882396</v>
      </c>
      <c r="AE78" s="645">
        <v>44.768138339353968</v>
      </c>
      <c r="AF78" s="645">
        <v>92.901000398225491</v>
      </c>
      <c r="AG78" s="645">
        <v>6.3602365363905022</v>
      </c>
      <c r="AH78" s="645">
        <v>499.61642415532054</v>
      </c>
      <c r="AI78" s="645">
        <v>69.488948539693865</v>
      </c>
      <c r="AJ78" s="645">
        <v>23.724121611740912</v>
      </c>
      <c r="AK78" s="645">
        <v>1198.5611408040995</v>
      </c>
    </row>
    <row r="79" spans="3:37" x14ac:dyDescent="0.2">
      <c r="C79" s="634"/>
      <c r="D79" s="634"/>
      <c r="E79" s="634"/>
      <c r="F79" s="634"/>
      <c r="G79" s="634"/>
      <c r="H79" s="634"/>
      <c r="I79" s="634"/>
      <c r="J79" s="634"/>
      <c r="K79" s="634"/>
      <c r="L79" s="634"/>
      <c r="M79" s="634"/>
      <c r="N79" s="634"/>
      <c r="O79" s="634"/>
      <c r="P79" s="634"/>
      <c r="Q79" s="634"/>
      <c r="R79" s="634"/>
      <c r="S79" s="634"/>
      <c r="U79" s="634"/>
      <c r="V79" s="634"/>
      <c r="W79" s="634"/>
      <c r="X79" s="634"/>
      <c r="Y79" s="634"/>
      <c r="Z79" s="634"/>
      <c r="AA79" s="634"/>
      <c r="AB79" s="634"/>
      <c r="AC79" s="634"/>
      <c r="AD79" s="634"/>
      <c r="AE79" s="634"/>
      <c r="AF79" s="634"/>
      <c r="AG79" s="634"/>
      <c r="AH79" s="634"/>
      <c r="AI79" s="634"/>
      <c r="AJ79" s="634"/>
      <c r="AK79" s="634"/>
    </row>
    <row r="80" spans="3:37" ht="22.5" x14ac:dyDescent="0.3">
      <c r="C80" s="759" t="s">
        <v>518</v>
      </c>
      <c r="D80" s="759"/>
      <c r="E80" s="759"/>
      <c r="F80" s="759"/>
      <c r="G80" s="759"/>
      <c r="H80" s="759"/>
      <c r="I80" s="759"/>
      <c r="J80" s="759"/>
      <c r="K80" s="759"/>
      <c r="L80" s="759"/>
      <c r="M80" s="759"/>
      <c r="N80" s="759"/>
      <c r="O80" s="759"/>
      <c r="P80" s="759"/>
      <c r="Q80" s="759"/>
      <c r="R80" s="759"/>
      <c r="S80" s="759"/>
      <c r="U80" s="759" t="s">
        <v>518</v>
      </c>
      <c r="V80" s="759"/>
      <c r="W80" s="759"/>
      <c r="X80" s="759"/>
      <c r="Y80" s="759"/>
      <c r="Z80" s="759"/>
      <c r="AA80" s="759"/>
      <c r="AB80" s="759"/>
      <c r="AC80" s="759"/>
      <c r="AD80" s="759"/>
      <c r="AE80" s="759"/>
      <c r="AF80" s="759"/>
      <c r="AG80" s="759"/>
      <c r="AH80" s="759"/>
      <c r="AI80" s="759"/>
      <c r="AJ80" s="759"/>
      <c r="AK80" s="759"/>
    </row>
    <row r="81" spans="3:37" x14ac:dyDescent="0.2">
      <c r="C81" s="634"/>
      <c r="D81" s="634"/>
      <c r="E81" s="634"/>
      <c r="F81" s="634"/>
      <c r="G81" s="634"/>
      <c r="H81" s="634"/>
      <c r="I81" s="634"/>
      <c r="J81" s="634"/>
      <c r="K81" s="634"/>
      <c r="L81" s="634"/>
      <c r="M81" s="634"/>
      <c r="N81" s="634"/>
      <c r="O81" s="634"/>
      <c r="P81" s="634"/>
      <c r="Q81" s="634"/>
      <c r="R81" s="634"/>
      <c r="S81" s="634"/>
      <c r="U81" s="634"/>
      <c r="V81" s="634"/>
      <c r="W81" s="634"/>
      <c r="X81" s="634"/>
      <c r="Y81" s="634"/>
      <c r="Z81" s="634"/>
      <c r="AA81" s="634"/>
      <c r="AB81" s="634"/>
      <c r="AC81" s="634"/>
      <c r="AD81" s="634"/>
      <c r="AE81" s="634"/>
      <c r="AF81" s="634"/>
      <c r="AG81" s="634"/>
      <c r="AH81" s="634"/>
      <c r="AI81" s="634"/>
      <c r="AJ81" s="634"/>
      <c r="AK81" s="634"/>
    </row>
    <row r="82" spans="3:37" ht="12.95" customHeight="1" x14ac:dyDescent="0.2">
      <c r="C82" s="758" t="s">
        <v>128</v>
      </c>
      <c r="D82" s="757" t="s">
        <v>42</v>
      </c>
      <c r="E82" s="757" t="s">
        <v>52</v>
      </c>
      <c r="F82" s="757" t="s">
        <v>53</v>
      </c>
      <c r="G82" s="757" t="s">
        <v>32</v>
      </c>
      <c r="H82" s="757" t="s">
        <v>20</v>
      </c>
      <c r="I82" s="757" t="s">
        <v>55</v>
      </c>
      <c r="J82" s="757" t="s">
        <v>56</v>
      </c>
      <c r="K82" s="757"/>
      <c r="L82" s="757"/>
      <c r="M82" s="757"/>
      <c r="N82" s="757"/>
      <c r="O82" s="757"/>
      <c r="P82" s="757" t="s">
        <v>57</v>
      </c>
      <c r="Q82" s="757" t="s">
        <v>58</v>
      </c>
      <c r="R82" s="757" t="s">
        <v>31</v>
      </c>
      <c r="S82" s="757" t="s">
        <v>10</v>
      </c>
      <c r="U82" s="758" t="s">
        <v>128</v>
      </c>
      <c r="V82" s="757" t="s">
        <v>42</v>
      </c>
      <c r="W82" s="757" t="s">
        <v>52</v>
      </c>
      <c r="X82" s="757" t="s">
        <v>53</v>
      </c>
      <c r="Y82" s="757" t="s">
        <v>32</v>
      </c>
      <c r="Z82" s="757" t="s">
        <v>20</v>
      </c>
      <c r="AA82" s="757" t="s">
        <v>55</v>
      </c>
      <c r="AB82" s="757" t="s">
        <v>56</v>
      </c>
      <c r="AC82" s="757"/>
      <c r="AD82" s="757"/>
      <c r="AE82" s="757"/>
      <c r="AF82" s="757"/>
      <c r="AG82" s="757"/>
      <c r="AH82" s="757" t="s">
        <v>57</v>
      </c>
      <c r="AI82" s="757" t="s">
        <v>58</v>
      </c>
      <c r="AJ82" s="757" t="s">
        <v>31</v>
      </c>
      <c r="AK82" s="757" t="s">
        <v>10</v>
      </c>
    </row>
    <row r="83" spans="3:37" ht="56.25" x14ac:dyDescent="0.2">
      <c r="C83" s="758"/>
      <c r="D83" s="757"/>
      <c r="E83" s="757"/>
      <c r="F83" s="757"/>
      <c r="G83" s="757"/>
      <c r="H83" s="757"/>
      <c r="I83" s="757"/>
      <c r="J83" s="638" t="s">
        <v>335</v>
      </c>
      <c r="K83" s="638" t="s">
        <v>40</v>
      </c>
      <c r="L83" s="638" t="s">
        <v>343</v>
      </c>
      <c r="M83" s="638" t="s">
        <v>344</v>
      </c>
      <c r="N83" s="638" t="s">
        <v>345</v>
      </c>
      <c r="O83" s="638" t="s">
        <v>346</v>
      </c>
      <c r="P83" s="757"/>
      <c r="Q83" s="757"/>
      <c r="R83" s="757"/>
      <c r="S83" s="757"/>
      <c r="U83" s="758"/>
      <c r="V83" s="757"/>
      <c r="W83" s="757"/>
      <c r="X83" s="757"/>
      <c r="Y83" s="757"/>
      <c r="Z83" s="757"/>
      <c r="AA83" s="757"/>
      <c r="AB83" s="638" t="s">
        <v>335</v>
      </c>
      <c r="AC83" s="638" t="s">
        <v>40</v>
      </c>
      <c r="AD83" s="638" t="s">
        <v>343</v>
      </c>
      <c r="AE83" s="638" t="s">
        <v>344</v>
      </c>
      <c r="AF83" s="638" t="s">
        <v>345</v>
      </c>
      <c r="AG83" s="638" t="s">
        <v>346</v>
      </c>
      <c r="AH83" s="757"/>
      <c r="AI83" s="757"/>
      <c r="AJ83" s="757"/>
      <c r="AK83" s="757"/>
    </row>
    <row r="84" spans="3:37" x14ac:dyDescent="0.2">
      <c r="C84" s="639" t="s">
        <v>59</v>
      </c>
      <c r="D84" s="640">
        <v>0</v>
      </c>
      <c r="E84" s="641">
        <v>0</v>
      </c>
      <c r="F84" s="641">
        <v>0</v>
      </c>
      <c r="G84" s="640">
        <v>0</v>
      </c>
      <c r="H84" s="641">
        <v>889.54545454545473</v>
      </c>
      <c r="I84" s="641">
        <v>290.38619522472999</v>
      </c>
      <c r="J84" s="641">
        <v>188.26463769943669</v>
      </c>
      <c r="K84" s="641">
        <v>20.519346122490408</v>
      </c>
      <c r="L84" s="641">
        <v>0.54648995449606019</v>
      </c>
      <c r="M84" s="641">
        <v>0.15914693380563083</v>
      </c>
      <c r="N84" s="641">
        <v>65.898689554178929</v>
      </c>
      <c r="O84" s="641">
        <v>11.930124482632028</v>
      </c>
      <c r="P84" s="642">
        <v>0</v>
      </c>
      <c r="Q84" s="641">
        <v>0</v>
      </c>
      <c r="R84" s="641">
        <v>0</v>
      </c>
      <c r="S84" s="643">
        <v>1467.2500845172242</v>
      </c>
      <c r="U84" s="639" t="s">
        <v>59</v>
      </c>
      <c r="V84" s="640">
        <v>0</v>
      </c>
      <c r="W84" s="641">
        <v>0</v>
      </c>
      <c r="X84" s="641">
        <v>0</v>
      </c>
      <c r="Y84" s="640">
        <v>0</v>
      </c>
      <c r="Z84" s="641">
        <v>873.030303030303</v>
      </c>
      <c r="AA84" s="641">
        <v>337.06619522473</v>
      </c>
      <c r="AB84" s="641">
        <v>206.15489309499102</v>
      </c>
      <c r="AC84" s="641">
        <v>37.137182251794961</v>
      </c>
      <c r="AD84" s="641">
        <v>0.54648995449606019</v>
      </c>
      <c r="AE84" s="641">
        <v>0.15914693380563083</v>
      </c>
      <c r="AF84" s="641">
        <v>103.02458403584798</v>
      </c>
      <c r="AG84" s="641">
        <v>25.833176078824131</v>
      </c>
      <c r="AH84" s="642">
        <v>0</v>
      </c>
      <c r="AI84" s="641">
        <v>0</v>
      </c>
      <c r="AJ84" s="641">
        <v>0</v>
      </c>
      <c r="AK84" s="643">
        <v>1582.9519706047927</v>
      </c>
    </row>
    <row r="85" spans="3:37" x14ac:dyDescent="0.2">
      <c r="C85" s="639" t="s">
        <v>60</v>
      </c>
      <c r="D85" s="640">
        <v>47.523331421865407</v>
      </c>
      <c r="E85" s="641">
        <v>492.37419513671523</v>
      </c>
      <c r="F85" s="641">
        <v>57.352326080251387</v>
      </c>
      <c r="G85" s="640">
        <v>328.8885225556333</v>
      </c>
      <c r="H85" s="641">
        <v>0</v>
      </c>
      <c r="I85" s="641">
        <v>0</v>
      </c>
      <c r="J85" s="641">
        <v>4.8075322078390377</v>
      </c>
      <c r="K85" s="641">
        <v>0</v>
      </c>
      <c r="L85" s="641">
        <v>2.6229179175778925</v>
      </c>
      <c r="M85" s="641">
        <v>0</v>
      </c>
      <c r="N85" s="641">
        <v>0</v>
      </c>
      <c r="O85" s="641">
        <v>0</v>
      </c>
      <c r="P85" s="642">
        <v>0</v>
      </c>
      <c r="Q85" s="641">
        <v>0</v>
      </c>
      <c r="R85" s="641">
        <v>0</v>
      </c>
      <c r="S85" s="643">
        <v>933.56882531988219</v>
      </c>
      <c r="U85" s="639" t="s">
        <v>60</v>
      </c>
      <c r="V85" s="640">
        <v>6.5260336126681251</v>
      </c>
      <c r="W85" s="641">
        <v>220.47790015098695</v>
      </c>
      <c r="X85" s="641">
        <v>14.513856185365357</v>
      </c>
      <c r="Y85" s="640">
        <v>102.1346675179243</v>
      </c>
      <c r="Z85" s="641">
        <v>0</v>
      </c>
      <c r="AA85" s="641">
        <v>0</v>
      </c>
      <c r="AB85" s="641">
        <v>4.8075322078390377</v>
      </c>
      <c r="AC85" s="641">
        <v>0</v>
      </c>
      <c r="AD85" s="641">
        <v>2.6229179175778925</v>
      </c>
      <c r="AE85" s="641">
        <v>0</v>
      </c>
      <c r="AF85" s="641">
        <v>0</v>
      </c>
      <c r="AG85" s="641">
        <v>0</v>
      </c>
      <c r="AH85" s="642">
        <v>0</v>
      </c>
      <c r="AI85" s="641">
        <v>0</v>
      </c>
      <c r="AJ85" s="641">
        <v>0</v>
      </c>
      <c r="AK85" s="643">
        <v>351.08290759236166</v>
      </c>
    </row>
    <row r="86" spans="3:37" x14ac:dyDescent="0.2">
      <c r="C86" s="639" t="s">
        <v>61</v>
      </c>
      <c r="D86" s="640">
        <v>0</v>
      </c>
      <c r="E86" s="641">
        <v>0</v>
      </c>
      <c r="F86" s="641">
        <v>0</v>
      </c>
      <c r="G86" s="640">
        <v>0</v>
      </c>
      <c r="H86" s="641">
        <v>0</v>
      </c>
      <c r="I86" s="641">
        <v>0</v>
      </c>
      <c r="J86" s="641">
        <v>0</v>
      </c>
      <c r="K86" s="641">
        <v>0</v>
      </c>
      <c r="L86" s="641">
        <v>0</v>
      </c>
      <c r="M86" s="641">
        <v>0</v>
      </c>
      <c r="N86" s="641">
        <v>0</v>
      </c>
      <c r="O86" s="641">
        <v>0</v>
      </c>
      <c r="P86" s="642">
        <v>-22.391147784534837</v>
      </c>
      <c r="Q86" s="641">
        <v>0</v>
      </c>
      <c r="R86" s="641">
        <v>0</v>
      </c>
      <c r="S86" s="643">
        <v>-22.391147784534837</v>
      </c>
      <c r="U86" s="639" t="s">
        <v>61</v>
      </c>
      <c r="V86" s="640">
        <v>0</v>
      </c>
      <c r="W86" s="641">
        <v>0</v>
      </c>
      <c r="X86" s="641">
        <v>-19.691193817618341</v>
      </c>
      <c r="Y86" s="640">
        <v>0</v>
      </c>
      <c r="Z86" s="641">
        <v>0</v>
      </c>
      <c r="AA86" s="641">
        <v>0</v>
      </c>
      <c r="AB86" s="641">
        <v>0</v>
      </c>
      <c r="AC86" s="641">
        <v>0</v>
      </c>
      <c r="AD86" s="641">
        <v>0</v>
      </c>
      <c r="AE86" s="641">
        <v>0</v>
      </c>
      <c r="AF86" s="641">
        <v>0</v>
      </c>
      <c r="AG86" s="641">
        <v>0</v>
      </c>
      <c r="AH86" s="642">
        <v>-17.389600315785174</v>
      </c>
      <c r="AI86" s="641">
        <v>0</v>
      </c>
      <c r="AJ86" s="641">
        <v>0</v>
      </c>
      <c r="AK86" s="643">
        <v>-37.080794133403515</v>
      </c>
    </row>
    <row r="87" spans="3:37" x14ac:dyDescent="0.2">
      <c r="C87" s="639" t="s">
        <v>62</v>
      </c>
      <c r="D87" s="640">
        <v>0</v>
      </c>
      <c r="E87" s="641">
        <v>0</v>
      </c>
      <c r="F87" s="641">
        <v>-15.496739011683466</v>
      </c>
      <c r="G87" s="640">
        <v>0</v>
      </c>
      <c r="H87" s="641">
        <v>0</v>
      </c>
      <c r="I87" s="641">
        <v>0</v>
      </c>
      <c r="J87" s="641">
        <v>0</v>
      </c>
      <c r="K87" s="641">
        <v>0</v>
      </c>
      <c r="L87" s="641">
        <v>0</v>
      </c>
      <c r="M87" s="641">
        <v>0</v>
      </c>
      <c r="N87" s="641">
        <v>0</v>
      </c>
      <c r="O87" s="641">
        <v>0</v>
      </c>
      <c r="P87" s="642">
        <v>0</v>
      </c>
      <c r="Q87" s="641">
        <v>0</v>
      </c>
      <c r="R87" s="641">
        <v>0</v>
      </c>
      <c r="S87" s="643">
        <v>-15.496739011683466</v>
      </c>
      <c r="U87" s="639" t="s">
        <v>62</v>
      </c>
      <c r="V87" s="640">
        <v>0</v>
      </c>
      <c r="W87" s="641">
        <v>0</v>
      </c>
      <c r="X87" s="641">
        <v>-8.5387827474702789</v>
      </c>
      <c r="Y87" s="640">
        <v>-2.2272473327152178</v>
      </c>
      <c r="Z87" s="641">
        <v>0</v>
      </c>
      <c r="AA87" s="641">
        <v>0</v>
      </c>
      <c r="AB87" s="641">
        <v>0</v>
      </c>
      <c r="AC87" s="641">
        <v>0</v>
      </c>
      <c r="AD87" s="641">
        <v>0</v>
      </c>
      <c r="AE87" s="641">
        <v>-1.7037211969591732</v>
      </c>
      <c r="AF87" s="641">
        <v>0</v>
      </c>
      <c r="AG87" s="641">
        <v>0</v>
      </c>
      <c r="AH87" s="642">
        <v>0</v>
      </c>
      <c r="AI87" s="641">
        <v>0</v>
      </c>
      <c r="AJ87" s="641">
        <v>0</v>
      </c>
      <c r="AK87" s="643">
        <v>-12.46975127714467</v>
      </c>
    </row>
    <row r="88" spans="3:37" x14ac:dyDescent="0.2">
      <c r="C88" s="639" t="s">
        <v>63</v>
      </c>
      <c r="D88" s="640">
        <v>0</v>
      </c>
      <c r="E88" s="641">
        <v>0</v>
      </c>
      <c r="F88" s="641">
        <v>-89.42656352071144</v>
      </c>
      <c r="G88" s="640">
        <v>0</v>
      </c>
      <c r="H88" s="641">
        <v>0</v>
      </c>
      <c r="I88" s="641">
        <v>0</v>
      </c>
      <c r="J88" s="641">
        <v>0</v>
      </c>
      <c r="K88" s="641">
        <v>0</v>
      </c>
      <c r="L88" s="641">
        <v>-0.92190198395554845</v>
      </c>
      <c r="M88" s="641">
        <v>0</v>
      </c>
      <c r="N88" s="641">
        <v>0</v>
      </c>
      <c r="O88" s="641">
        <v>0</v>
      </c>
      <c r="P88" s="642">
        <v>0</v>
      </c>
      <c r="Q88" s="641">
        <v>0</v>
      </c>
      <c r="R88" s="641">
        <v>0</v>
      </c>
      <c r="S88" s="643">
        <v>-90.34846550466699</v>
      </c>
      <c r="U88" s="639" t="s">
        <v>63</v>
      </c>
      <c r="V88" s="640">
        <v>0</v>
      </c>
      <c r="W88" s="641">
        <v>0</v>
      </c>
      <c r="X88" s="641">
        <v>-55.486888716289528</v>
      </c>
      <c r="Y88" s="640">
        <v>0</v>
      </c>
      <c r="Z88" s="641">
        <v>0</v>
      </c>
      <c r="AA88" s="641">
        <v>0</v>
      </c>
      <c r="AB88" s="641">
        <v>0</v>
      </c>
      <c r="AC88" s="641">
        <v>0</v>
      </c>
      <c r="AD88" s="641">
        <v>-26.575233608452013</v>
      </c>
      <c r="AE88" s="641">
        <v>0</v>
      </c>
      <c r="AF88" s="641">
        <v>0</v>
      </c>
      <c r="AG88" s="641">
        <v>0</v>
      </c>
      <c r="AH88" s="642">
        <v>0</v>
      </c>
      <c r="AI88" s="641">
        <v>0</v>
      </c>
      <c r="AJ88" s="641">
        <v>0</v>
      </c>
      <c r="AK88" s="643">
        <v>-82.062122324741537</v>
      </c>
    </row>
    <row r="89" spans="3:37" x14ac:dyDescent="0.2">
      <c r="C89" s="639" t="s">
        <v>64</v>
      </c>
      <c r="D89" s="640">
        <v>0</v>
      </c>
      <c r="E89" s="641">
        <v>0</v>
      </c>
      <c r="F89" s="641">
        <v>0</v>
      </c>
      <c r="G89" s="640">
        <v>0</v>
      </c>
      <c r="H89" s="641">
        <v>0</v>
      </c>
      <c r="I89" s="641">
        <v>0</v>
      </c>
      <c r="J89" s="641">
        <v>0</v>
      </c>
      <c r="K89" s="641">
        <v>0</v>
      </c>
      <c r="L89" s="641">
        <v>0</v>
      </c>
      <c r="M89" s="641">
        <v>0</v>
      </c>
      <c r="N89" s="641">
        <v>0</v>
      </c>
      <c r="O89" s="641">
        <v>0</v>
      </c>
      <c r="P89" s="642">
        <v>0</v>
      </c>
      <c r="Q89" s="641">
        <v>0</v>
      </c>
      <c r="R89" s="641">
        <v>0</v>
      </c>
      <c r="S89" s="643">
        <v>0</v>
      </c>
      <c r="U89" s="639" t="s">
        <v>64</v>
      </c>
      <c r="V89" s="640">
        <v>0</v>
      </c>
      <c r="W89" s="641">
        <v>0</v>
      </c>
      <c r="X89" s="641">
        <v>0</v>
      </c>
      <c r="Y89" s="640">
        <v>0</v>
      </c>
      <c r="Z89" s="641">
        <v>0</v>
      </c>
      <c r="AA89" s="641">
        <v>0</v>
      </c>
      <c r="AB89" s="641">
        <v>0</v>
      </c>
      <c r="AC89" s="641">
        <v>0</v>
      </c>
      <c r="AD89" s="641">
        <v>0</v>
      </c>
      <c r="AE89" s="641">
        <v>0</v>
      </c>
      <c r="AF89" s="641">
        <v>0</v>
      </c>
      <c r="AG89" s="641">
        <v>0</v>
      </c>
      <c r="AH89" s="642">
        <v>0</v>
      </c>
      <c r="AI89" s="641">
        <v>0</v>
      </c>
      <c r="AJ89" s="641">
        <v>0</v>
      </c>
      <c r="AK89" s="643">
        <v>0</v>
      </c>
    </row>
    <row r="90" spans="3:37" x14ac:dyDescent="0.2">
      <c r="C90" s="644" t="s">
        <v>65</v>
      </c>
      <c r="D90" s="645">
        <v>47.523331421865407</v>
      </c>
      <c r="E90" s="645">
        <v>492.37419513671523</v>
      </c>
      <c r="F90" s="645">
        <v>-47.570976452143519</v>
      </c>
      <c r="G90" s="645">
        <v>328.8885225556333</v>
      </c>
      <c r="H90" s="645">
        <v>889.54545454545473</v>
      </c>
      <c r="I90" s="645">
        <v>290.38619522472999</v>
      </c>
      <c r="J90" s="645">
        <v>193.07216990727574</v>
      </c>
      <c r="K90" s="645">
        <v>20.519346122490408</v>
      </c>
      <c r="L90" s="645">
        <v>2.247505888118404</v>
      </c>
      <c r="M90" s="645">
        <v>0.15914693380563083</v>
      </c>
      <c r="N90" s="645">
        <v>65.898689554178929</v>
      </c>
      <c r="O90" s="645">
        <v>11.930124482632028</v>
      </c>
      <c r="P90" s="645">
        <v>-22.391147784534837</v>
      </c>
      <c r="Q90" s="645">
        <v>0</v>
      </c>
      <c r="R90" s="645">
        <v>0</v>
      </c>
      <c r="S90" s="645">
        <v>2272.5825575362214</v>
      </c>
      <c r="U90" s="644" t="s">
        <v>65</v>
      </c>
      <c r="V90" s="645">
        <v>6.5260336126681251</v>
      </c>
      <c r="W90" s="645">
        <v>220.47790015098695</v>
      </c>
      <c r="X90" s="645">
        <v>-69.203009096012792</v>
      </c>
      <c r="Y90" s="645">
        <v>99.907420185209077</v>
      </c>
      <c r="Z90" s="645">
        <v>873.030303030303</v>
      </c>
      <c r="AA90" s="645">
        <v>337.06619522473</v>
      </c>
      <c r="AB90" s="645">
        <v>210.96242530283007</v>
      </c>
      <c r="AC90" s="645">
        <v>37.137182251794961</v>
      </c>
      <c r="AD90" s="645">
        <v>-23.405825736378059</v>
      </c>
      <c r="AE90" s="645">
        <v>-1.5445742631535424</v>
      </c>
      <c r="AF90" s="645">
        <v>103.02458403584798</v>
      </c>
      <c r="AG90" s="645">
        <v>25.833176078824131</v>
      </c>
      <c r="AH90" s="645">
        <v>-17.389600315785174</v>
      </c>
      <c r="AI90" s="645">
        <v>0</v>
      </c>
      <c r="AJ90" s="645">
        <v>0</v>
      </c>
      <c r="AK90" s="645">
        <v>1802.4222104618648</v>
      </c>
    </row>
    <row r="91" spans="3:37" x14ac:dyDescent="0.2">
      <c r="C91" s="634"/>
      <c r="D91" s="634">
        <v>0</v>
      </c>
      <c r="E91" s="634">
        <v>0</v>
      </c>
      <c r="F91" s="634">
        <v>0</v>
      </c>
      <c r="G91" s="634">
        <v>0</v>
      </c>
      <c r="H91" s="634">
        <v>0</v>
      </c>
      <c r="I91" s="634">
        <v>0</v>
      </c>
      <c r="J91" s="634">
        <v>0</v>
      </c>
      <c r="K91" s="634">
        <v>0</v>
      </c>
      <c r="L91" s="634">
        <v>0</v>
      </c>
      <c r="M91" s="634">
        <v>0</v>
      </c>
      <c r="N91" s="634">
        <v>0</v>
      </c>
      <c r="O91" s="634">
        <v>0</v>
      </c>
      <c r="P91" s="634">
        <v>0</v>
      </c>
      <c r="Q91" s="634">
        <v>0</v>
      </c>
      <c r="R91" s="634">
        <v>0</v>
      </c>
      <c r="S91" s="634">
        <v>0</v>
      </c>
      <c r="U91" s="634"/>
      <c r="V91" s="634">
        <v>0</v>
      </c>
      <c r="W91" s="634">
        <v>0</v>
      </c>
      <c r="X91" s="634">
        <v>0</v>
      </c>
      <c r="Y91" s="634">
        <v>0</v>
      </c>
      <c r="Z91" s="634">
        <v>0</v>
      </c>
      <c r="AA91" s="634">
        <v>0</v>
      </c>
      <c r="AB91" s="634">
        <v>0</v>
      </c>
      <c r="AC91" s="634">
        <v>0</v>
      </c>
      <c r="AD91" s="634">
        <v>0</v>
      </c>
      <c r="AE91" s="634">
        <v>0</v>
      </c>
      <c r="AF91" s="634">
        <v>0</v>
      </c>
      <c r="AG91" s="634">
        <v>0</v>
      </c>
      <c r="AH91" s="634">
        <v>0</v>
      </c>
      <c r="AI91" s="634">
        <v>0</v>
      </c>
      <c r="AJ91" s="634">
        <v>0</v>
      </c>
      <c r="AK91" s="634">
        <v>0</v>
      </c>
    </row>
    <row r="92" spans="3:37" x14ac:dyDescent="0.2">
      <c r="C92" s="646" t="s">
        <v>67</v>
      </c>
      <c r="D92" s="640">
        <v>0</v>
      </c>
      <c r="E92" s="647">
        <v>0</v>
      </c>
      <c r="F92" s="647">
        <v>0</v>
      </c>
      <c r="G92" s="640">
        <v>0</v>
      </c>
      <c r="H92" s="640">
        <v>0</v>
      </c>
      <c r="I92" s="640">
        <v>0</v>
      </c>
      <c r="J92" s="640">
        <v>0</v>
      </c>
      <c r="K92" s="640">
        <v>0</v>
      </c>
      <c r="L92" s="640">
        <v>0</v>
      </c>
      <c r="M92" s="640">
        <v>0</v>
      </c>
      <c r="N92" s="640">
        <v>0</v>
      </c>
      <c r="O92" s="640">
        <v>0</v>
      </c>
      <c r="P92" s="640">
        <v>0</v>
      </c>
      <c r="Q92" s="640">
        <v>0</v>
      </c>
      <c r="R92" s="640">
        <v>0</v>
      </c>
      <c r="S92" s="648">
        <v>0</v>
      </c>
      <c r="U92" s="646" t="s">
        <v>67</v>
      </c>
      <c r="V92" s="640">
        <v>0</v>
      </c>
      <c r="W92" s="647">
        <v>0</v>
      </c>
      <c r="X92" s="647">
        <v>0</v>
      </c>
      <c r="Y92" s="640">
        <v>0</v>
      </c>
      <c r="Z92" s="640">
        <v>0</v>
      </c>
      <c r="AA92" s="640">
        <v>0</v>
      </c>
      <c r="AB92" s="640">
        <v>0</v>
      </c>
      <c r="AC92" s="640">
        <v>0</v>
      </c>
      <c r="AD92" s="640">
        <v>0</v>
      </c>
      <c r="AE92" s="640">
        <v>0</v>
      </c>
      <c r="AF92" s="640">
        <v>0</v>
      </c>
      <c r="AG92" s="640">
        <v>0</v>
      </c>
      <c r="AH92" s="640">
        <v>0</v>
      </c>
      <c r="AI92" s="640">
        <v>0</v>
      </c>
      <c r="AJ92" s="640">
        <v>0</v>
      </c>
      <c r="AK92" s="648">
        <v>0</v>
      </c>
    </row>
    <row r="93" spans="3:37" x14ac:dyDescent="0.2">
      <c r="C93" s="646" t="s">
        <v>347</v>
      </c>
      <c r="D93" s="640">
        <v>2.8267856410252494</v>
      </c>
      <c r="E93" s="640">
        <v>0</v>
      </c>
      <c r="F93" s="640">
        <v>7.7625293209280457</v>
      </c>
      <c r="G93" s="640">
        <v>16.824034334763951</v>
      </c>
      <c r="H93" s="640">
        <v>889.54545454545473</v>
      </c>
      <c r="I93" s="640">
        <v>290.38619522472999</v>
      </c>
      <c r="J93" s="649">
        <v>29.234857813431841</v>
      </c>
      <c r="K93" s="649">
        <v>6.7467623730381456</v>
      </c>
      <c r="L93" s="649">
        <v>3.1694078720739522</v>
      </c>
      <c r="M93" s="649">
        <v>0.46915285357606595</v>
      </c>
      <c r="N93" s="649">
        <v>0</v>
      </c>
      <c r="O93" s="649">
        <v>6.9727309871777221</v>
      </c>
      <c r="P93" s="640">
        <v>-615.41357369902562</v>
      </c>
      <c r="Q93" s="640">
        <v>0</v>
      </c>
      <c r="R93" s="640">
        <v>0</v>
      </c>
      <c r="S93" s="648">
        <v>638.52433726717402</v>
      </c>
      <c r="U93" s="646" t="s">
        <v>347</v>
      </c>
      <c r="V93" s="640">
        <v>0.62631490545869017</v>
      </c>
      <c r="W93" s="640">
        <v>0</v>
      </c>
      <c r="X93" s="640">
        <v>3.8988929572916824</v>
      </c>
      <c r="Y93" s="640">
        <v>3.6741630901287547</v>
      </c>
      <c r="Z93" s="640">
        <v>873.030303030303</v>
      </c>
      <c r="AA93" s="640">
        <v>337.06619522473</v>
      </c>
      <c r="AB93" s="649">
        <v>23.429523439383615</v>
      </c>
      <c r="AC93" s="649">
        <v>5.4991881500691626</v>
      </c>
      <c r="AD93" s="649">
        <v>3.1694078720739522</v>
      </c>
      <c r="AE93" s="649">
        <v>2.7864060724601858</v>
      </c>
      <c r="AF93" s="649">
        <v>0</v>
      </c>
      <c r="AG93" s="649">
        <v>6.9727309871777221</v>
      </c>
      <c r="AH93" s="640">
        <v>-649.11357369902544</v>
      </c>
      <c r="AI93" s="640">
        <v>0</v>
      </c>
      <c r="AJ93" s="640">
        <v>4.45</v>
      </c>
      <c r="AK93" s="648">
        <v>615.48955203005141</v>
      </c>
    </row>
    <row r="94" spans="3:37" x14ac:dyDescent="0.2">
      <c r="C94" s="646" t="s">
        <v>348</v>
      </c>
      <c r="D94" s="640">
        <v>0</v>
      </c>
      <c r="E94" s="640">
        <v>0</v>
      </c>
      <c r="F94" s="640">
        <v>0</v>
      </c>
      <c r="G94" s="640">
        <v>14.896462034387394</v>
      </c>
      <c r="H94" s="640">
        <v>0</v>
      </c>
      <c r="I94" s="640">
        <v>0</v>
      </c>
      <c r="J94" s="649">
        <v>12.461036592610267</v>
      </c>
      <c r="K94" s="649">
        <v>11.927183871567582</v>
      </c>
      <c r="L94" s="649">
        <v>0</v>
      </c>
      <c r="M94" s="649">
        <v>0.3188738120209938</v>
      </c>
      <c r="N94" s="649">
        <v>0</v>
      </c>
      <c r="O94" s="649">
        <v>2.1085025260592274</v>
      </c>
      <c r="P94" s="640">
        <v>0</v>
      </c>
      <c r="Q94" s="640">
        <v>-37.934258390495422</v>
      </c>
      <c r="R94" s="640">
        <v>0</v>
      </c>
      <c r="S94" s="648">
        <v>3.7778004461500441</v>
      </c>
      <c r="U94" s="646" t="s">
        <v>348</v>
      </c>
      <c r="V94" s="640">
        <v>0</v>
      </c>
      <c r="W94" s="640">
        <v>0</v>
      </c>
      <c r="X94" s="640">
        <v>0</v>
      </c>
      <c r="Y94" s="640">
        <v>8.218662070491261</v>
      </c>
      <c r="Z94" s="640">
        <v>0</v>
      </c>
      <c r="AA94" s="640">
        <v>0</v>
      </c>
      <c r="AB94" s="649">
        <v>28.560818034272483</v>
      </c>
      <c r="AC94" s="649">
        <v>26.163217208510932</v>
      </c>
      <c r="AD94" s="649">
        <v>0</v>
      </c>
      <c r="AE94" s="649">
        <v>5.9663093303449024</v>
      </c>
      <c r="AF94" s="649">
        <v>0</v>
      </c>
      <c r="AG94" s="649">
        <v>11.832895483778962</v>
      </c>
      <c r="AH94" s="640">
        <v>0</v>
      </c>
      <c r="AI94" s="640">
        <v>-74.578675527513624</v>
      </c>
      <c r="AJ94" s="640">
        <v>0</v>
      </c>
      <c r="AK94" s="648">
        <v>6.1632265998849274</v>
      </c>
    </row>
    <row r="95" spans="3:37" x14ac:dyDescent="0.2">
      <c r="C95" s="646" t="s">
        <v>349</v>
      </c>
      <c r="D95" s="640">
        <v>0</v>
      </c>
      <c r="E95" s="640">
        <v>0</v>
      </c>
      <c r="F95" s="640">
        <v>0</v>
      </c>
      <c r="G95" s="640">
        <v>0</v>
      </c>
      <c r="H95" s="640">
        <v>0</v>
      </c>
      <c r="I95" s="640">
        <v>0</v>
      </c>
      <c r="J95" s="650">
        <v>6.9979956174374891</v>
      </c>
      <c r="K95" s="650">
        <v>0</v>
      </c>
      <c r="L95" s="650">
        <v>0</v>
      </c>
      <c r="M95" s="650">
        <v>-6.4748954450340372</v>
      </c>
      <c r="N95" s="650">
        <v>0</v>
      </c>
      <c r="O95" s="650">
        <v>0</v>
      </c>
      <c r="P95" s="640">
        <v>0</v>
      </c>
      <c r="Q95" s="640">
        <v>0</v>
      </c>
      <c r="R95" s="640">
        <v>0</v>
      </c>
      <c r="S95" s="648">
        <v>0.52310017240345186</v>
      </c>
      <c r="U95" s="646" t="s">
        <v>349</v>
      </c>
      <c r="V95" s="640">
        <v>0</v>
      </c>
      <c r="W95" s="640">
        <v>0</v>
      </c>
      <c r="X95" s="640">
        <v>0</v>
      </c>
      <c r="Y95" s="640">
        <v>0</v>
      </c>
      <c r="Z95" s="640">
        <v>0</v>
      </c>
      <c r="AA95" s="640">
        <v>0</v>
      </c>
      <c r="AB95" s="650">
        <v>79.198989478899776</v>
      </c>
      <c r="AC95" s="650">
        <v>0</v>
      </c>
      <c r="AD95" s="650">
        <v>0</v>
      </c>
      <c r="AE95" s="650">
        <v>-73.278865015352025</v>
      </c>
      <c r="AF95" s="650">
        <v>0</v>
      </c>
      <c r="AG95" s="650">
        <v>0</v>
      </c>
      <c r="AH95" s="640">
        <v>0</v>
      </c>
      <c r="AI95" s="640">
        <v>0</v>
      </c>
      <c r="AJ95" s="640">
        <v>0</v>
      </c>
      <c r="AK95" s="648">
        <v>5.9201244635477508</v>
      </c>
    </row>
    <row r="96" spans="3:37" x14ac:dyDescent="0.2">
      <c r="C96" s="646" t="s">
        <v>350</v>
      </c>
      <c r="D96" s="640">
        <v>0</v>
      </c>
      <c r="E96" s="640">
        <v>0</v>
      </c>
      <c r="F96" s="640">
        <v>0</v>
      </c>
      <c r="G96" s="640">
        <v>0</v>
      </c>
      <c r="H96" s="640">
        <v>0</v>
      </c>
      <c r="I96" s="640">
        <v>0</v>
      </c>
      <c r="J96" s="640">
        <v>0</v>
      </c>
      <c r="K96" s="640">
        <v>0</v>
      </c>
      <c r="L96" s="640">
        <v>0</v>
      </c>
      <c r="M96" s="640">
        <v>0</v>
      </c>
      <c r="N96" s="640">
        <v>0</v>
      </c>
      <c r="O96" s="640">
        <v>0</v>
      </c>
      <c r="P96" s="640">
        <v>0</v>
      </c>
      <c r="Q96" s="640">
        <v>0</v>
      </c>
      <c r="R96" s="640">
        <v>0</v>
      </c>
      <c r="S96" s="648">
        <v>0</v>
      </c>
      <c r="U96" s="646" t="s">
        <v>350</v>
      </c>
      <c r="V96" s="640">
        <v>0</v>
      </c>
      <c r="W96" s="640">
        <v>0</v>
      </c>
      <c r="X96" s="640">
        <v>0</v>
      </c>
      <c r="Y96" s="640">
        <v>0</v>
      </c>
      <c r="Z96" s="640">
        <v>0</v>
      </c>
      <c r="AA96" s="640">
        <v>0</v>
      </c>
      <c r="AB96" s="640">
        <v>0</v>
      </c>
      <c r="AC96" s="640">
        <v>0</v>
      </c>
      <c r="AD96" s="640">
        <v>0</v>
      </c>
      <c r="AE96" s="640">
        <v>0</v>
      </c>
      <c r="AF96" s="640">
        <v>0</v>
      </c>
      <c r="AG96" s="640">
        <v>0</v>
      </c>
      <c r="AH96" s="640">
        <v>0</v>
      </c>
      <c r="AI96" s="640">
        <v>0</v>
      </c>
      <c r="AJ96" s="640">
        <v>0</v>
      </c>
      <c r="AK96" s="648">
        <v>0</v>
      </c>
    </row>
    <row r="97" spans="3:37" x14ac:dyDescent="0.2">
      <c r="C97" s="646" t="s">
        <v>72</v>
      </c>
      <c r="D97" s="640">
        <v>0</v>
      </c>
      <c r="E97" s="640">
        <v>510.04733530503466</v>
      </c>
      <c r="F97" s="640">
        <v>-504.94686195198432</v>
      </c>
      <c r="G97" s="640">
        <v>0</v>
      </c>
      <c r="H97" s="640">
        <v>0</v>
      </c>
      <c r="I97" s="640">
        <v>0</v>
      </c>
      <c r="J97" s="640">
        <v>0</v>
      </c>
      <c r="K97" s="640">
        <v>0</v>
      </c>
      <c r="L97" s="640">
        <v>0</v>
      </c>
      <c r="M97" s="640">
        <v>0</v>
      </c>
      <c r="N97" s="640">
        <v>0</v>
      </c>
      <c r="O97" s="640">
        <v>0</v>
      </c>
      <c r="P97" s="640">
        <v>0</v>
      </c>
      <c r="Q97" s="640">
        <v>0</v>
      </c>
      <c r="R97" s="640">
        <v>0</v>
      </c>
      <c r="S97" s="648">
        <v>5.1004733530503472</v>
      </c>
      <c r="U97" s="646" t="s">
        <v>72</v>
      </c>
      <c r="V97" s="640">
        <v>0</v>
      </c>
      <c r="W97" s="640">
        <v>228.3916715709193</v>
      </c>
      <c r="X97" s="640">
        <v>-226.10775485521012</v>
      </c>
      <c r="Y97" s="640">
        <v>0</v>
      </c>
      <c r="Z97" s="640">
        <v>0</v>
      </c>
      <c r="AA97" s="640">
        <v>0</v>
      </c>
      <c r="AB97" s="640">
        <v>0</v>
      </c>
      <c r="AC97" s="640">
        <v>0</v>
      </c>
      <c r="AD97" s="640">
        <v>0</v>
      </c>
      <c r="AE97" s="640">
        <v>0</v>
      </c>
      <c r="AF97" s="640">
        <v>0</v>
      </c>
      <c r="AG97" s="640">
        <v>0</v>
      </c>
      <c r="AH97" s="640">
        <v>0</v>
      </c>
      <c r="AI97" s="640">
        <v>0</v>
      </c>
      <c r="AJ97" s="640">
        <v>0</v>
      </c>
      <c r="AK97" s="648">
        <v>2.2839167157091822</v>
      </c>
    </row>
    <row r="98" spans="3:37" x14ac:dyDescent="0.2">
      <c r="C98" s="646" t="s">
        <v>351</v>
      </c>
      <c r="D98" s="640">
        <v>0</v>
      </c>
      <c r="E98" s="640">
        <v>0</v>
      </c>
      <c r="F98" s="640">
        <v>0</v>
      </c>
      <c r="G98" s="640">
        <v>0</v>
      </c>
      <c r="H98" s="640">
        <v>0</v>
      </c>
      <c r="I98" s="640">
        <v>0</v>
      </c>
      <c r="J98" s="640">
        <v>27.710201800923624</v>
      </c>
      <c r="K98" s="640">
        <v>0</v>
      </c>
      <c r="L98" s="640">
        <v>-27.710201800923624</v>
      </c>
      <c r="M98" s="640">
        <v>0</v>
      </c>
      <c r="N98" s="640">
        <v>0</v>
      </c>
      <c r="O98" s="640">
        <v>0</v>
      </c>
      <c r="P98" s="640">
        <v>0</v>
      </c>
      <c r="Q98" s="640">
        <v>0</v>
      </c>
      <c r="R98" s="640">
        <v>0</v>
      </c>
      <c r="S98" s="648">
        <v>0</v>
      </c>
      <c r="U98" s="646" t="s">
        <v>351</v>
      </c>
      <c r="V98" s="640">
        <v>0</v>
      </c>
      <c r="W98" s="640">
        <v>0</v>
      </c>
      <c r="X98" s="640">
        <v>0</v>
      </c>
      <c r="Y98" s="640">
        <v>0</v>
      </c>
      <c r="Z98" s="640">
        <v>0</v>
      </c>
      <c r="AA98" s="640">
        <v>0</v>
      </c>
      <c r="AB98" s="640" t="e">
        <v>#VALUE!</v>
      </c>
      <c r="AC98" s="640">
        <v>0</v>
      </c>
      <c r="AD98" s="640">
        <v>-101.17003146857277</v>
      </c>
      <c r="AE98" s="640">
        <v>0</v>
      </c>
      <c r="AF98" s="640">
        <v>0</v>
      </c>
      <c r="AG98" s="640">
        <v>0</v>
      </c>
      <c r="AH98" s="640">
        <v>0</v>
      </c>
      <c r="AI98" s="640">
        <v>0</v>
      </c>
      <c r="AJ98" s="640">
        <v>0</v>
      </c>
      <c r="AK98" s="648">
        <v>-101.17003146857277</v>
      </c>
    </row>
    <row r="99" spans="3:37" x14ac:dyDescent="0.2">
      <c r="C99" s="646" t="s">
        <v>352</v>
      </c>
      <c r="D99" s="640">
        <v>0</v>
      </c>
      <c r="E99" s="640">
        <v>0</v>
      </c>
      <c r="F99" s="640">
        <v>0</v>
      </c>
      <c r="G99" s="640">
        <v>0</v>
      </c>
      <c r="H99" s="640">
        <v>0</v>
      </c>
      <c r="I99" s="640">
        <v>0</v>
      </c>
      <c r="J99" s="640">
        <v>0</v>
      </c>
      <c r="K99" s="640">
        <v>0</v>
      </c>
      <c r="L99" s="640">
        <v>0</v>
      </c>
      <c r="M99" s="640">
        <v>0</v>
      </c>
      <c r="N99" s="640">
        <v>0</v>
      </c>
      <c r="O99" s="640">
        <v>0</v>
      </c>
      <c r="P99" s="640">
        <v>0</v>
      </c>
      <c r="Q99" s="640">
        <v>0</v>
      </c>
      <c r="R99" s="640">
        <v>0</v>
      </c>
      <c r="S99" s="648">
        <v>0</v>
      </c>
      <c r="U99" s="646" t="s">
        <v>352</v>
      </c>
      <c r="V99" s="640">
        <v>0</v>
      </c>
      <c r="W99" s="640">
        <v>0</v>
      </c>
      <c r="X99" s="640">
        <v>0</v>
      </c>
      <c r="Y99" s="640">
        <v>0</v>
      </c>
      <c r="Z99" s="640">
        <v>0</v>
      </c>
      <c r="AA99" s="640">
        <v>0</v>
      </c>
      <c r="AB99" s="640">
        <v>0</v>
      </c>
      <c r="AC99" s="640">
        <v>0</v>
      </c>
      <c r="AD99" s="640">
        <v>-18.691082885283098</v>
      </c>
      <c r="AE99" s="640">
        <v>0</v>
      </c>
      <c r="AF99" s="640">
        <v>0</v>
      </c>
      <c r="AG99" s="640">
        <v>0</v>
      </c>
      <c r="AH99" s="640">
        <v>0</v>
      </c>
      <c r="AI99" s="640">
        <v>0</v>
      </c>
      <c r="AJ99" s="640">
        <v>0</v>
      </c>
      <c r="AK99" s="648">
        <v>-18.691082885283098</v>
      </c>
    </row>
    <row r="100" spans="3:37" x14ac:dyDescent="0.2">
      <c r="C100" s="646" t="s">
        <v>73</v>
      </c>
      <c r="D100" s="640">
        <v>0</v>
      </c>
      <c r="E100" s="640">
        <v>0</v>
      </c>
      <c r="F100" s="640">
        <v>0</v>
      </c>
      <c r="G100" s="640">
        <v>6.2864428714474423</v>
      </c>
      <c r="H100" s="640">
        <v>0</v>
      </c>
      <c r="I100" s="640">
        <v>0</v>
      </c>
      <c r="J100" s="640">
        <v>0</v>
      </c>
      <c r="K100" s="640">
        <v>7.2564905248031233E-2</v>
      </c>
      <c r="L100" s="640">
        <v>0</v>
      </c>
      <c r="M100" s="640">
        <v>0.12829475247851924</v>
      </c>
      <c r="N100" s="640">
        <v>0</v>
      </c>
      <c r="O100" s="640">
        <v>0</v>
      </c>
      <c r="P100" s="640">
        <v>0.77416476914506349</v>
      </c>
      <c r="Q100" s="640">
        <v>0</v>
      </c>
      <c r="R100" s="640">
        <v>-5.0795433673621861</v>
      </c>
      <c r="S100" s="648">
        <v>2.1819239309568701</v>
      </c>
      <c r="U100" s="646" t="s">
        <v>73</v>
      </c>
      <c r="V100" s="640">
        <v>0</v>
      </c>
      <c r="W100" s="640">
        <v>0</v>
      </c>
      <c r="X100" s="640">
        <v>0</v>
      </c>
      <c r="Y100" s="640">
        <v>3.7837340239051791</v>
      </c>
      <c r="Z100" s="640">
        <v>0</v>
      </c>
      <c r="AA100" s="640">
        <v>0</v>
      </c>
      <c r="AB100" s="640">
        <v>0</v>
      </c>
      <c r="AC100" s="640">
        <v>0.46597709654004676</v>
      </c>
      <c r="AD100" s="640">
        <v>0</v>
      </c>
      <c r="AE100" s="640">
        <v>2.7399453276554748</v>
      </c>
      <c r="AF100" s="640">
        <v>0</v>
      </c>
      <c r="AG100" s="640">
        <v>0</v>
      </c>
      <c r="AH100" s="640">
        <v>39.864323859285086</v>
      </c>
      <c r="AI100" s="640">
        <v>0</v>
      </c>
      <c r="AJ100" s="640">
        <v>-32.618396757803268</v>
      </c>
      <c r="AK100" s="648">
        <v>14.235583549582522</v>
      </c>
    </row>
    <row r="101" spans="3:37" x14ac:dyDescent="0.2">
      <c r="C101" s="646" t="s">
        <v>353</v>
      </c>
      <c r="D101" s="640">
        <v>28.588592812499996</v>
      </c>
      <c r="E101" s="640">
        <v>-17.673140168319453</v>
      </c>
      <c r="F101" s="640">
        <v>23.11542347254851</v>
      </c>
      <c r="G101" s="640">
        <v>0</v>
      </c>
      <c r="H101" s="640">
        <v>0</v>
      </c>
      <c r="I101" s="640">
        <v>0</v>
      </c>
      <c r="J101" s="640">
        <v>0</v>
      </c>
      <c r="K101" s="640">
        <v>0</v>
      </c>
      <c r="L101" s="640">
        <v>0</v>
      </c>
      <c r="M101" s="640">
        <v>0</v>
      </c>
      <c r="N101" s="640">
        <v>0</v>
      </c>
      <c r="O101" s="640">
        <v>0</v>
      </c>
      <c r="P101" s="640">
        <v>0</v>
      </c>
      <c r="Q101" s="640">
        <v>0</v>
      </c>
      <c r="R101" s="640">
        <v>0</v>
      </c>
      <c r="S101" s="648">
        <v>34.030876116729054</v>
      </c>
      <c r="U101" s="646" t="s">
        <v>353</v>
      </c>
      <c r="V101" s="640">
        <v>1.7459712219238281</v>
      </c>
      <c r="W101" s="640">
        <v>-7.9137714199323552</v>
      </c>
      <c r="X101" s="640">
        <v>10.35074558875537</v>
      </c>
      <c r="Y101" s="640">
        <v>0</v>
      </c>
      <c r="Z101" s="640">
        <v>0</v>
      </c>
      <c r="AA101" s="640">
        <v>0</v>
      </c>
      <c r="AB101" s="640">
        <v>0</v>
      </c>
      <c r="AC101" s="640">
        <v>0</v>
      </c>
      <c r="AD101" s="640">
        <v>0</v>
      </c>
      <c r="AE101" s="640">
        <v>0</v>
      </c>
      <c r="AF101" s="640">
        <v>0</v>
      </c>
      <c r="AG101" s="640">
        <v>0</v>
      </c>
      <c r="AH101" s="640">
        <v>0</v>
      </c>
      <c r="AI101" s="640">
        <v>0</v>
      </c>
      <c r="AJ101" s="640">
        <v>0</v>
      </c>
      <c r="AK101" s="648">
        <v>4.182945390746843</v>
      </c>
    </row>
    <row r="102" spans="3:37" x14ac:dyDescent="0.2">
      <c r="C102" s="646" t="s">
        <v>75</v>
      </c>
      <c r="D102" s="640">
        <v>11.11778609375</v>
      </c>
      <c r="E102" s="640">
        <v>0</v>
      </c>
      <c r="F102" s="640">
        <v>17.34160940037118</v>
      </c>
      <c r="G102" s="640">
        <v>4.9484792471294465</v>
      </c>
      <c r="H102" s="640">
        <v>0</v>
      </c>
      <c r="I102" s="640">
        <v>0</v>
      </c>
      <c r="J102" s="640">
        <v>0</v>
      </c>
      <c r="K102" s="640">
        <v>0</v>
      </c>
      <c r="L102" s="640">
        <v>0</v>
      </c>
      <c r="M102" s="640">
        <v>0.10098937239039688</v>
      </c>
      <c r="N102" s="640">
        <v>0</v>
      </c>
      <c r="O102" s="640">
        <v>0</v>
      </c>
      <c r="P102" s="640">
        <v>29.08691491128284</v>
      </c>
      <c r="Q102" s="640">
        <v>0</v>
      </c>
      <c r="R102" s="640">
        <v>0</v>
      </c>
      <c r="S102" s="648">
        <v>62.595779024923864</v>
      </c>
      <c r="U102" s="646" t="s">
        <v>75</v>
      </c>
      <c r="V102" s="640">
        <v>2.938742431640625</v>
      </c>
      <c r="W102" s="640">
        <v>0</v>
      </c>
      <c r="X102" s="640">
        <v>17.34160940037118</v>
      </c>
      <c r="Y102" s="640">
        <v>2.9286917993215091</v>
      </c>
      <c r="Z102" s="640">
        <v>0</v>
      </c>
      <c r="AA102" s="640">
        <v>0</v>
      </c>
      <c r="AB102" s="640">
        <v>0</v>
      </c>
      <c r="AC102" s="640">
        <v>0</v>
      </c>
      <c r="AD102" s="640">
        <v>0</v>
      </c>
      <c r="AE102" s="640">
        <v>2.1207768201983344</v>
      </c>
      <c r="AF102" s="640">
        <v>0</v>
      </c>
      <c r="AG102" s="640">
        <v>0</v>
      </c>
      <c r="AH102" s="640">
        <v>36.505051274919204</v>
      </c>
      <c r="AI102" s="640">
        <v>0</v>
      </c>
      <c r="AJ102" s="640">
        <v>0</v>
      </c>
      <c r="AK102" s="648">
        <v>61.834871726450849</v>
      </c>
    </row>
    <row r="103" spans="3:37" x14ac:dyDescent="0.2">
      <c r="C103" s="646" t="s">
        <v>76</v>
      </c>
      <c r="D103" s="640">
        <v>0</v>
      </c>
      <c r="E103" s="640">
        <v>0</v>
      </c>
      <c r="F103" s="640">
        <v>0</v>
      </c>
      <c r="G103" s="640">
        <v>3.7620934008695794</v>
      </c>
      <c r="H103" s="640">
        <v>0</v>
      </c>
      <c r="I103" s="640">
        <v>0</v>
      </c>
      <c r="J103" s="640">
        <v>0</v>
      </c>
      <c r="K103" s="640">
        <v>0</v>
      </c>
      <c r="L103" s="640">
        <v>0</v>
      </c>
      <c r="M103" s="640">
        <v>7.6777416344277136E-2</v>
      </c>
      <c r="N103" s="640">
        <v>0</v>
      </c>
      <c r="O103" s="640">
        <v>0</v>
      </c>
      <c r="P103" s="640">
        <v>45.374638558517056</v>
      </c>
      <c r="Q103" s="640">
        <v>2.9442994019327013</v>
      </c>
      <c r="R103" s="640">
        <v>0</v>
      </c>
      <c r="S103" s="648">
        <v>52.157808777663611</v>
      </c>
      <c r="U103" s="646" t="s">
        <v>76</v>
      </c>
      <c r="V103" s="640">
        <v>0</v>
      </c>
      <c r="W103" s="640">
        <v>0</v>
      </c>
      <c r="X103" s="640">
        <v>0</v>
      </c>
      <c r="Y103" s="640">
        <v>1.1999362424874132</v>
      </c>
      <c r="Z103" s="640">
        <v>0</v>
      </c>
      <c r="AA103" s="640">
        <v>0</v>
      </c>
      <c r="AB103" s="640">
        <v>0</v>
      </c>
      <c r="AC103" s="640">
        <v>0</v>
      </c>
      <c r="AD103" s="640">
        <v>0</v>
      </c>
      <c r="AE103" s="640">
        <v>0.86891934800812698</v>
      </c>
      <c r="AF103" s="640">
        <v>0</v>
      </c>
      <c r="AG103" s="640">
        <v>0</v>
      </c>
      <c r="AH103" s="640">
        <v>48.340685132761017</v>
      </c>
      <c r="AI103" s="640">
        <v>5.7839036819230412</v>
      </c>
      <c r="AJ103" s="640">
        <v>0</v>
      </c>
      <c r="AK103" s="648">
        <v>56.193444405179591</v>
      </c>
    </row>
    <row r="104" spans="3:37" x14ac:dyDescent="0.2">
      <c r="C104" s="644" t="s">
        <v>77</v>
      </c>
      <c r="D104" s="645">
        <v>42.533164547275248</v>
      </c>
      <c r="E104" s="645">
        <v>492.37419513671523</v>
      </c>
      <c r="F104" s="645">
        <v>-456.72729975813655</v>
      </c>
      <c r="G104" s="645">
        <v>46.717511888597819</v>
      </c>
      <c r="H104" s="645">
        <v>889.54545454545473</v>
      </c>
      <c r="I104" s="645">
        <v>290.38619522472999</v>
      </c>
      <c r="J104" s="645">
        <v>76.404091824403224</v>
      </c>
      <c r="K104" s="645">
        <v>18.74651114985376</v>
      </c>
      <c r="L104" s="645">
        <v>-24.540793928849673</v>
      </c>
      <c r="M104" s="645">
        <v>-5.3808072382237846</v>
      </c>
      <c r="N104" s="645">
        <v>0</v>
      </c>
      <c r="O104" s="645">
        <v>9.0812335132369491</v>
      </c>
      <c r="P104" s="645">
        <v>-540.17785546008065</v>
      </c>
      <c r="Q104" s="645">
        <v>-34.989958988562719</v>
      </c>
      <c r="R104" s="645">
        <v>-5.0795433673621861</v>
      </c>
      <c r="S104" s="645">
        <v>798.89209908905127</v>
      </c>
      <c r="U104" s="644" t="s">
        <v>77</v>
      </c>
      <c r="V104" s="645">
        <v>5.3110285590231427</v>
      </c>
      <c r="W104" s="645">
        <v>220.47790015098695</v>
      </c>
      <c r="X104" s="645">
        <v>-194.51650690879191</v>
      </c>
      <c r="Y104" s="645">
        <v>19.805187226334116</v>
      </c>
      <c r="Z104" s="645">
        <v>873.030303030303</v>
      </c>
      <c r="AA104" s="645">
        <v>337.06619522473</v>
      </c>
      <c r="AB104" s="645">
        <v>131.18933095255588</v>
      </c>
      <c r="AC104" s="645">
        <v>32.128382455120146</v>
      </c>
      <c r="AD104" s="645">
        <v>-116.69170648178192</v>
      </c>
      <c r="AE104" s="645">
        <v>-58.796508116684997</v>
      </c>
      <c r="AF104" s="645">
        <v>0</v>
      </c>
      <c r="AG104" s="645">
        <v>18.805626470956682</v>
      </c>
      <c r="AH104" s="645">
        <v>-524.40351343206009</v>
      </c>
      <c r="AI104" s="645">
        <v>-68.794771845590574</v>
      </c>
      <c r="AJ104" s="645">
        <v>-28.168396757803269</v>
      </c>
      <c r="AK104" s="645">
        <v>646.44255052729716</v>
      </c>
    </row>
    <row r="105" spans="3:37" x14ac:dyDescent="0.2">
      <c r="C105" s="634"/>
      <c r="D105" s="634">
        <v>0</v>
      </c>
      <c r="E105" s="634">
        <v>0</v>
      </c>
      <c r="F105" s="634">
        <v>0</v>
      </c>
      <c r="G105" s="634">
        <v>0</v>
      </c>
      <c r="H105" s="634">
        <v>0</v>
      </c>
      <c r="I105" s="634">
        <v>0</v>
      </c>
      <c r="J105" s="634">
        <v>0</v>
      </c>
      <c r="K105" s="634">
        <v>0</v>
      </c>
      <c r="L105" s="634">
        <v>0</v>
      </c>
      <c r="M105" s="634">
        <v>0</v>
      </c>
      <c r="N105" s="634">
        <v>0</v>
      </c>
      <c r="O105" s="634">
        <v>0</v>
      </c>
      <c r="P105" s="634">
        <v>0</v>
      </c>
      <c r="Q105" s="634">
        <v>0</v>
      </c>
      <c r="R105" s="634">
        <v>0</v>
      </c>
      <c r="S105" s="634">
        <v>0</v>
      </c>
      <c r="U105" s="634"/>
      <c r="V105" s="634">
        <v>0</v>
      </c>
      <c r="W105" s="634">
        <v>0</v>
      </c>
      <c r="X105" s="634">
        <v>0</v>
      </c>
      <c r="Y105" s="634">
        <v>0</v>
      </c>
      <c r="Z105" s="634">
        <v>0</v>
      </c>
      <c r="AA105" s="634">
        <v>0</v>
      </c>
      <c r="AB105" s="634">
        <v>0</v>
      </c>
      <c r="AC105" s="634">
        <v>0</v>
      </c>
      <c r="AD105" s="634">
        <v>0</v>
      </c>
      <c r="AE105" s="634">
        <v>0</v>
      </c>
      <c r="AF105" s="634">
        <v>0</v>
      </c>
      <c r="AG105" s="634">
        <v>0</v>
      </c>
      <c r="AH105" s="634">
        <v>0</v>
      </c>
      <c r="AI105" s="634">
        <v>0</v>
      </c>
      <c r="AJ105" s="634">
        <v>0</v>
      </c>
      <c r="AK105" s="634">
        <v>0</v>
      </c>
    </row>
    <row r="106" spans="3:37" x14ac:dyDescent="0.2">
      <c r="C106" s="646" t="s">
        <v>78</v>
      </c>
      <c r="D106" s="640">
        <v>4.9901668745901624</v>
      </c>
      <c r="E106" s="640">
        <v>0</v>
      </c>
      <c r="F106" s="640">
        <v>21.091530324656198</v>
      </c>
      <c r="G106" s="640">
        <v>96.151700548391091</v>
      </c>
      <c r="H106" s="640">
        <v>0</v>
      </c>
      <c r="I106" s="640">
        <v>0</v>
      </c>
      <c r="J106" s="640">
        <v>21.387862541024852</v>
      </c>
      <c r="K106" s="640">
        <v>1.7476152779545906</v>
      </c>
      <c r="L106" s="640">
        <v>0.94211085156249985</v>
      </c>
      <c r="M106" s="640">
        <v>1.9807569399951515</v>
      </c>
      <c r="N106" s="640">
        <v>0</v>
      </c>
      <c r="O106" s="640">
        <v>3.7669078281368638E-4</v>
      </c>
      <c r="P106" s="640">
        <v>112.73505933145552</v>
      </c>
      <c r="Q106" s="640">
        <v>16.12568637832603</v>
      </c>
      <c r="R106" s="640">
        <v>0.27920700073242188</v>
      </c>
      <c r="S106" s="648">
        <v>277.43207275947128</v>
      </c>
      <c r="U106" s="646" t="s">
        <v>78</v>
      </c>
      <c r="V106" s="640">
        <v>1.2150050536449819</v>
      </c>
      <c r="W106" s="640">
        <v>0</v>
      </c>
      <c r="X106" s="640">
        <v>6.016341039248414</v>
      </c>
      <c r="Y106" s="640">
        <v>39.709503776891196</v>
      </c>
      <c r="Z106" s="640">
        <v>0</v>
      </c>
      <c r="AA106" s="640">
        <v>0</v>
      </c>
      <c r="AB106" s="640">
        <v>15.202189846170386</v>
      </c>
      <c r="AC106" s="640">
        <v>4.9835801019927617</v>
      </c>
      <c r="AD106" s="640">
        <v>5.6103854980468748</v>
      </c>
      <c r="AE106" s="640">
        <v>28.773635244370734</v>
      </c>
      <c r="AF106" s="640">
        <v>0</v>
      </c>
      <c r="AG106" s="640">
        <v>3.7669078281368638E-4</v>
      </c>
      <c r="AH106" s="640">
        <v>146.07653830614987</v>
      </c>
      <c r="AI106" s="640">
        <v>23.647869298816833</v>
      </c>
      <c r="AJ106" s="640">
        <v>7.4826708984375001</v>
      </c>
      <c r="AK106" s="648">
        <v>278.71809575455239</v>
      </c>
    </row>
    <row r="107" spans="3:37" x14ac:dyDescent="0.2">
      <c r="C107" s="646" t="s">
        <v>79</v>
      </c>
      <c r="D107" s="640">
        <v>0</v>
      </c>
      <c r="E107" s="640">
        <v>0</v>
      </c>
      <c r="F107" s="640">
        <v>235.12748928743429</v>
      </c>
      <c r="G107" s="640">
        <v>31.099379517950805</v>
      </c>
      <c r="H107" s="640">
        <v>0</v>
      </c>
      <c r="I107" s="640">
        <v>0</v>
      </c>
      <c r="J107" s="640">
        <v>0</v>
      </c>
      <c r="K107" s="640">
        <v>0</v>
      </c>
      <c r="L107" s="640">
        <v>22.716725008445675</v>
      </c>
      <c r="M107" s="640">
        <v>0.63468121465205729</v>
      </c>
      <c r="N107" s="640">
        <v>0</v>
      </c>
      <c r="O107" s="640">
        <v>0</v>
      </c>
      <c r="P107" s="640">
        <v>68.565930798083699</v>
      </c>
      <c r="Q107" s="640">
        <v>0</v>
      </c>
      <c r="R107" s="640">
        <v>2.3844112104980786</v>
      </c>
      <c r="S107" s="648">
        <v>360.52861703706463</v>
      </c>
      <c r="U107" s="646" t="s">
        <v>79</v>
      </c>
      <c r="V107" s="640">
        <v>0</v>
      </c>
      <c r="W107" s="640">
        <v>0</v>
      </c>
      <c r="X107" s="640">
        <v>35.128929389637456</v>
      </c>
      <c r="Y107" s="640">
        <v>15.137064293513523</v>
      </c>
      <c r="Z107" s="640">
        <v>0</v>
      </c>
      <c r="AA107" s="640">
        <v>0</v>
      </c>
      <c r="AB107" s="640">
        <v>0</v>
      </c>
      <c r="AC107" s="640">
        <v>0</v>
      </c>
      <c r="AD107" s="640">
        <v>37.187580566982817</v>
      </c>
      <c r="AE107" s="640">
        <v>11.036020535724948</v>
      </c>
      <c r="AF107" s="640">
        <v>0</v>
      </c>
      <c r="AG107" s="640">
        <v>0</v>
      </c>
      <c r="AH107" s="640">
        <v>89.614524523742418</v>
      </c>
      <c r="AI107" s="640">
        <v>0</v>
      </c>
      <c r="AJ107" s="640">
        <v>5.6351763144479268</v>
      </c>
      <c r="AK107" s="648">
        <v>193.73929562404911</v>
      </c>
    </row>
    <row r="108" spans="3:37" x14ac:dyDescent="0.2">
      <c r="C108" s="646" t="s">
        <v>80</v>
      </c>
      <c r="D108" s="640">
        <v>0</v>
      </c>
      <c r="E108" s="640">
        <v>0</v>
      </c>
      <c r="F108" s="640">
        <v>13.724834206032371</v>
      </c>
      <c r="G108" s="640">
        <v>79.131512261322683</v>
      </c>
      <c r="H108" s="640">
        <v>0</v>
      </c>
      <c r="I108" s="640">
        <v>0</v>
      </c>
      <c r="J108" s="640">
        <v>87.797108848078949</v>
      </c>
      <c r="K108" s="640">
        <v>0</v>
      </c>
      <c r="L108" s="640">
        <v>0</v>
      </c>
      <c r="M108" s="640">
        <v>1.6149288216596467</v>
      </c>
      <c r="N108" s="640">
        <v>57.41835645436403</v>
      </c>
      <c r="O108" s="640">
        <v>2.0533643919476137</v>
      </c>
      <c r="P108" s="640">
        <v>189.45880926265392</v>
      </c>
      <c r="Q108" s="640">
        <v>15.417775800116472</v>
      </c>
      <c r="R108" s="640">
        <v>0</v>
      </c>
      <c r="S108" s="648">
        <v>446.61669004617568</v>
      </c>
      <c r="U108" s="646" t="s">
        <v>80</v>
      </c>
      <c r="V108" s="640">
        <v>0</v>
      </c>
      <c r="W108" s="640">
        <v>0</v>
      </c>
      <c r="X108" s="640">
        <v>1.0209129157283405</v>
      </c>
      <c r="Y108" s="640">
        <v>12.832027751754538</v>
      </c>
      <c r="Z108" s="640">
        <v>0</v>
      </c>
      <c r="AA108" s="640">
        <v>0</v>
      </c>
      <c r="AB108" s="640">
        <v>53.270322236782164</v>
      </c>
      <c r="AC108" s="640">
        <v>0</v>
      </c>
      <c r="AD108" s="640">
        <v>0</v>
      </c>
      <c r="AE108" s="640">
        <v>9.2921580271325972</v>
      </c>
      <c r="AF108" s="640">
        <v>88.292344554902868</v>
      </c>
      <c r="AG108" s="640">
        <v>3.9079432862869607</v>
      </c>
      <c r="AH108" s="640">
        <v>146.88666477766319</v>
      </c>
      <c r="AI108" s="640">
        <v>32.427264426374379</v>
      </c>
      <c r="AJ108" s="640">
        <v>0</v>
      </c>
      <c r="AK108" s="648">
        <v>347.92963797662509</v>
      </c>
    </row>
    <row r="109" spans="3:37" x14ac:dyDescent="0.2">
      <c r="C109" s="646" t="s">
        <v>81</v>
      </c>
      <c r="D109" s="640">
        <v>0</v>
      </c>
      <c r="E109" s="640">
        <v>0</v>
      </c>
      <c r="F109" s="640">
        <v>3.9083972405176572</v>
      </c>
      <c r="G109" s="640">
        <v>63.089348266301698</v>
      </c>
      <c r="H109" s="640">
        <v>0</v>
      </c>
      <c r="I109" s="640">
        <v>0</v>
      </c>
      <c r="J109" s="640">
        <v>3.1804221278939271</v>
      </c>
      <c r="K109" s="640">
        <v>2.5219694682056978E-2</v>
      </c>
      <c r="L109" s="640">
        <v>0</v>
      </c>
      <c r="M109" s="640">
        <v>1.287537719720443</v>
      </c>
      <c r="N109" s="640">
        <v>8.4803330998149011</v>
      </c>
      <c r="O109" s="640">
        <v>0.72631919579288284</v>
      </c>
      <c r="P109" s="640">
        <v>140.69299872549993</v>
      </c>
      <c r="Q109" s="640">
        <v>3.4464968101202174</v>
      </c>
      <c r="R109" s="640">
        <v>0</v>
      </c>
      <c r="S109" s="648">
        <v>224.8370728803437</v>
      </c>
      <c r="U109" s="646" t="s">
        <v>81</v>
      </c>
      <c r="V109" s="640">
        <v>0</v>
      </c>
      <c r="W109" s="640">
        <v>0</v>
      </c>
      <c r="X109" s="640">
        <v>1.4952361732398858</v>
      </c>
      <c r="Y109" s="640">
        <v>10.610341518374359</v>
      </c>
      <c r="Z109" s="640">
        <v>0</v>
      </c>
      <c r="AA109" s="640">
        <v>0</v>
      </c>
      <c r="AB109" s="640">
        <v>6.9978977014468793</v>
      </c>
      <c r="AC109" s="640">
        <v>2.5219694682056978E-2</v>
      </c>
      <c r="AD109" s="640">
        <v>0</v>
      </c>
      <c r="AE109" s="640">
        <v>7.6833507546848816</v>
      </c>
      <c r="AF109" s="640">
        <v>14.732239480945108</v>
      </c>
      <c r="AG109" s="640">
        <v>1.5525732622869153</v>
      </c>
      <c r="AH109" s="640">
        <v>115.23036268987886</v>
      </c>
      <c r="AI109" s="640">
        <v>12.719638120399363</v>
      </c>
      <c r="AJ109" s="640">
        <v>0</v>
      </c>
      <c r="AK109" s="648">
        <v>171.04685939593833</v>
      </c>
    </row>
    <row r="110" spans="3:37" x14ac:dyDescent="0.2">
      <c r="C110" s="646" t="s">
        <v>82</v>
      </c>
      <c r="D110" s="640">
        <v>0</v>
      </c>
      <c r="E110" s="640">
        <v>0</v>
      </c>
      <c r="F110" s="640">
        <v>28.471648080197657</v>
      </c>
      <c r="G110" s="640">
        <v>1.0804243241036344</v>
      </c>
      <c r="H110" s="640">
        <v>0</v>
      </c>
      <c r="I110" s="640">
        <v>0</v>
      </c>
      <c r="J110" s="640">
        <v>4.3026845658747828</v>
      </c>
      <c r="K110" s="640">
        <v>0</v>
      </c>
      <c r="L110" s="640">
        <v>3.1299020072385213</v>
      </c>
      <c r="M110" s="640">
        <v>2.2049476002114991E-2</v>
      </c>
      <c r="N110" s="640">
        <v>0</v>
      </c>
      <c r="O110" s="640">
        <v>6.8830690871769351E-2</v>
      </c>
      <c r="P110" s="640">
        <v>5.9739095578527968</v>
      </c>
      <c r="Q110" s="640">
        <v>0</v>
      </c>
      <c r="R110" s="640">
        <v>0</v>
      </c>
      <c r="S110" s="648">
        <v>43.049448702141277</v>
      </c>
      <c r="U110" s="646" t="s">
        <v>82</v>
      </c>
      <c r="V110" s="640">
        <v>0</v>
      </c>
      <c r="W110" s="640">
        <v>0</v>
      </c>
      <c r="X110" s="640">
        <v>5.8604701162543282</v>
      </c>
      <c r="Y110" s="640">
        <v>0.77721189491485598</v>
      </c>
      <c r="Z110" s="640">
        <v>0</v>
      </c>
      <c r="AA110" s="640">
        <v>0</v>
      </c>
      <c r="AB110" s="640">
        <v>4.3026845658747828</v>
      </c>
      <c r="AC110" s="640">
        <v>0</v>
      </c>
      <c r="AD110" s="640">
        <v>30.776202948565647</v>
      </c>
      <c r="AE110" s="640">
        <v>0.56280861355903367</v>
      </c>
      <c r="AF110" s="640">
        <v>0</v>
      </c>
      <c r="AG110" s="640">
        <v>1.5666563685107562</v>
      </c>
      <c r="AH110" s="640">
        <v>6.0858228188406986</v>
      </c>
      <c r="AI110" s="640">
        <v>0</v>
      </c>
      <c r="AJ110" s="640">
        <v>0.36062656029870238</v>
      </c>
      <c r="AK110" s="648">
        <v>50.292483886818808</v>
      </c>
    </row>
    <row r="111" spans="3:37" x14ac:dyDescent="0.2">
      <c r="C111" s="646" t="s">
        <v>354</v>
      </c>
      <c r="D111" s="640">
        <v>0</v>
      </c>
      <c r="E111" s="640">
        <v>0</v>
      </c>
      <c r="F111" s="640">
        <v>0</v>
      </c>
      <c r="G111" s="640">
        <v>0</v>
      </c>
      <c r="H111" s="640">
        <v>0</v>
      </c>
      <c r="I111" s="640">
        <v>0</v>
      </c>
      <c r="J111" s="640">
        <v>0</v>
      </c>
      <c r="K111" s="640">
        <v>0</v>
      </c>
      <c r="L111" s="640">
        <v>0</v>
      </c>
      <c r="M111" s="640">
        <v>0</v>
      </c>
      <c r="N111" s="640">
        <v>0</v>
      </c>
      <c r="O111" s="640">
        <v>0</v>
      </c>
      <c r="P111" s="640">
        <v>0.36</v>
      </c>
      <c r="Q111" s="640">
        <v>0</v>
      </c>
      <c r="R111" s="640">
        <v>0</v>
      </c>
      <c r="S111" s="648">
        <v>0.36</v>
      </c>
      <c r="U111" s="646" t="s">
        <v>354</v>
      </c>
      <c r="V111" s="640">
        <v>0</v>
      </c>
      <c r="W111" s="640">
        <v>0</v>
      </c>
      <c r="X111" s="640">
        <v>0</v>
      </c>
      <c r="Y111" s="640">
        <v>0</v>
      </c>
      <c r="Z111" s="640">
        <v>0</v>
      </c>
      <c r="AA111" s="640">
        <v>0</v>
      </c>
      <c r="AB111" s="640">
        <v>0</v>
      </c>
      <c r="AC111" s="640">
        <v>0</v>
      </c>
      <c r="AD111" s="640">
        <v>0</v>
      </c>
      <c r="AE111" s="640">
        <v>0</v>
      </c>
      <c r="AF111" s="640">
        <v>0</v>
      </c>
      <c r="AG111" s="640">
        <v>0</v>
      </c>
      <c r="AH111" s="640">
        <v>3.12</v>
      </c>
      <c r="AI111" s="640">
        <v>0</v>
      </c>
      <c r="AJ111" s="640">
        <v>0</v>
      </c>
      <c r="AK111" s="648">
        <v>3.12</v>
      </c>
    </row>
    <row r="112" spans="3:37" x14ac:dyDescent="0.2">
      <c r="C112" s="644" t="s">
        <v>83</v>
      </c>
      <c r="D112" s="645">
        <v>4.9901668745901624</v>
      </c>
      <c r="E112" s="645">
        <v>0</v>
      </c>
      <c r="F112" s="645">
        <v>302.32389913883821</v>
      </c>
      <c r="G112" s="645">
        <v>270.55236491806994</v>
      </c>
      <c r="H112" s="645">
        <v>0</v>
      </c>
      <c r="I112" s="645">
        <v>0</v>
      </c>
      <c r="J112" s="645">
        <v>116.66807808287251</v>
      </c>
      <c r="K112" s="645">
        <v>1.7728349726366477</v>
      </c>
      <c r="L112" s="645">
        <v>26.788737867246695</v>
      </c>
      <c r="M112" s="645">
        <v>5.5399541720294136</v>
      </c>
      <c r="N112" s="645">
        <v>65.898689554178929</v>
      </c>
      <c r="O112" s="645">
        <v>2.8488909693950797</v>
      </c>
      <c r="P112" s="645">
        <v>517.78670767554593</v>
      </c>
      <c r="Q112" s="645">
        <v>34.989958988562719</v>
      </c>
      <c r="R112" s="645">
        <v>2.6636182112305002</v>
      </c>
      <c r="S112" s="645">
        <v>1352.8239014251965</v>
      </c>
      <c r="U112" s="644" t="s">
        <v>83</v>
      </c>
      <c r="V112" s="645">
        <v>1.2150050536449819</v>
      </c>
      <c r="W112" s="645">
        <v>0</v>
      </c>
      <c r="X112" s="645">
        <v>49.521889634108419</v>
      </c>
      <c r="Y112" s="645">
        <v>79.066149235448464</v>
      </c>
      <c r="Z112" s="645">
        <v>0</v>
      </c>
      <c r="AA112" s="645">
        <v>0</v>
      </c>
      <c r="AB112" s="645">
        <v>79.773094350274206</v>
      </c>
      <c r="AC112" s="645">
        <v>5.0087997966748192</v>
      </c>
      <c r="AD112" s="645">
        <v>73.574169013595338</v>
      </c>
      <c r="AE112" s="645">
        <v>57.347973175472191</v>
      </c>
      <c r="AF112" s="645">
        <v>103.02458403584798</v>
      </c>
      <c r="AG112" s="645">
        <v>7.0275496078674458</v>
      </c>
      <c r="AH112" s="645">
        <v>507.01391311627498</v>
      </c>
      <c r="AI112" s="645">
        <v>68.794771845590574</v>
      </c>
      <c r="AJ112" s="645">
        <v>13.478473773184128</v>
      </c>
      <c r="AK112" s="645">
        <v>1044.8463726379837</v>
      </c>
    </row>
    <row r="113" spans="3:37" x14ac:dyDescent="0.2">
      <c r="C113" s="639" t="s">
        <v>84</v>
      </c>
      <c r="D113" s="640">
        <v>0</v>
      </c>
      <c r="E113" s="640">
        <v>0</v>
      </c>
      <c r="F113" s="640">
        <v>106.83242416715484</v>
      </c>
      <c r="G113" s="640">
        <v>11.6186457489655</v>
      </c>
      <c r="H113" s="640">
        <v>0</v>
      </c>
      <c r="I113" s="640">
        <v>0</v>
      </c>
      <c r="J113" s="640">
        <v>0</v>
      </c>
      <c r="K113" s="640">
        <v>0</v>
      </c>
      <c r="L113" s="640">
        <v>0</v>
      </c>
      <c r="M113" s="640">
        <v>0</v>
      </c>
      <c r="N113" s="640">
        <v>0</v>
      </c>
      <c r="O113" s="640">
        <v>0</v>
      </c>
      <c r="P113" s="640">
        <v>0</v>
      </c>
      <c r="Q113" s="640">
        <v>0</v>
      </c>
      <c r="R113" s="640">
        <v>2.4159251561316859</v>
      </c>
      <c r="S113" s="648">
        <v>120.86699507225204</v>
      </c>
      <c r="U113" s="639" t="s">
        <v>84</v>
      </c>
      <c r="V113" s="640">
        <v>0</v>
      </c>
      <c r="W113" s="640">
        <v>0</v>
      </c>
      <c r="X113" s="640">
        <v>75.791608178670685</v>
      </c>
      <c r="Y113" s="640">
        <v>0.94004440148578539</v>
      </c>
      <c r="Z113" s="640">
        <v>0</v>
      </c>
      <c r="AA113" s="640">
        <v>0</v>
      </c>
      <c r="AB113" s="640">
        <v>0</v>
      </c>
      <c r="AC113" s="640">
        <v>0</v>
      </c>
      <c r="AD113" s="640">
        <v>21.99170920776367</v>
      </c>
      <c r="AE113" s="640">
        <v>0</v>
      </c>
      <c r="AF113" s="640">
        <v>0</v>
      </c>
      <c r="AG113" s="640">
        <v>0</v>
      </c>
      <c r="AH113" s="640">
        <v>0</v>
      </c>
      <c r="AI113" s="640">
        <v>0</v>
      </c>
      <c r="AJ113" s="640">
        <v>14.689922984619141</v>
      </c>
      <c r="AK113" s="648">
        <v>113.41328477253928</v>
      </c>
    </row>
    <row r="114" spans="3:37" x14ac:dyDescent="0.2">
      <c r="C114" s="644" t="s">
        <v>85</v>
      </c>
      <c r="D114" s="645">
        <v>4.9901668745901624</v>
      </c>
      <c r="E114" s="645">
        <v>0</v>
      </c>
      <c r="F114" s="645">
        <v>409.15632330599311</v>
      </c>
      <c r="G114" s="645">
        <v>282.17101066703543</v>
      </c>
      <c r="H114" s="645">
        <v>0</v>
      </c>
      <c r="I114" s="645">
        <v>0</v>
      </c>
      <c r="J114" s="645">
        <v>116.66807808287251</v>
      </c>
      <c r="K114" s="645">
        <v>1.7728349726366477</v>
      </c>
      <c r="L114" s="645">
        <v>26.788737867246695</v>
      </c>
      <c r="M114" s="645">
        <v>5.5399541720294136</v>
      </c>
      <c r="N114" s="645">
        <v>65.898689554178929</v>
      </c>
      <c r="O114" s="645">
        <v>2.8488909693950797</v>
      </c>
      <c r="P114" s="645">
        <v>517.78670767554593</v>
      </c>
      <c r="Q114" s="645">
        <v>34.989958988562719</v>
      </c>
      <c r="R114" s="645">
        <v>5.0795433673621861</v>
      </c>
      <c r="S114" s="645">
        <v>1473.6908964974484</v>
      </c>
      <c r="U114" s="644" t="s">
        <v>85</v>
      </c>
      <c r="V114" s="645">
        <v>1.2150050536449819</v>
      </c>
      <c r="W114" s="645">
        <v>0</v>
      </c>
      <c r="X114" s="645">
        <v>125.31349781277912</v>
      </c>
      <c r="Y114" s="645">
        <v>80.006193636934256</v>
      </c>
      <c r="Z114" s="645">
        <v>0</v>
      </c>
      <c r="AA114" s="645">
        <v>0</v>
      </c>
      <c r="AB114" s="645">
        <v>79.773094350274206</v>
      </c>
      <c r="AC114" s="645">
        <v>5.0087997966748192</v>
      </c>
      <c r="AD114" s="645">
        <v>95.565878221359014</v>
      </c>
      <c r="AE114" s="645">
        <v>57.347973175472191</v>
      </c>
      <c r="AF114" s="645">
        <v>103.02458403584798</v>
      </c>
      <c r="AG114" s="645">
        <v>7.0275496078674458</v>
      </c>
      <c r="AH114" s="645">
        <v>507.01391311627498</v>
      </c>
      <c r="AI114" s="645">
        <v>68.794771845590574</v>
      </c>
      <c r="AJ114" s="645">
        <v>28.168396757803269</v>
      </c>
      <c r="AK114" s="645">
        <v>1158.2596574105228</v>
      </c>
    </row>
    <row r="115" spans="3:37" x14ac:dyDescent="0.2">
      <c r="C115" s="634"/>
      <c r="D115" s="634"/>
      <c r="E115" s="634"/>
      <c r="F115" s="634"/>
      <c r="G115" s="634"/>
      <c r="H115" s="634"/>
      <c r="I115" s="634"/>
      <c r="J115" s="634"/>
      <c r="K115" s="634"/>
      <c r="L115" s="634"/>
      <c r="M115" s="634"/>
      <c r="N115" s="634"/>
      <c r="O115" s="634"/>
      <c r="P115" s="634"/>
      <c r="Q115" s="634"/>
      <c r="R115" s="634"/>
      <c r="S115" s="634"/>
      <c r="U115" s="634"/>
      <c r="V115" s="634"/>
      <c r="W115" s="634"/>
      <c r="X115" s="634"/>
      <c r="Y115" s="634"/>
      <c r="Z115" s="634"/>
      <c r="AA115" s="634"/>
      <c r="AB115" s="634"/>
      <c r="AC115" s="634"/>
      <c r="AD115" s="634"/>
      <c r="AE115" s="634"/>
      <c r="AF115" s="634"/>
      <c r="AG115" s="634"/>
      <c r="AH115" s="634"/>
      <c r="AI115" s="634"/>
      <c r="AJ115" s="634"/>
      <c r="AK115" s="634"/>
    </row>
    <row r="116" spans="3:37" ht="22.5" x14ac:dyDescent="0.3">
      <c r="C116" s="759" t="s">
        <v>361</v>
      </c>
      <c r="D116" s="759"/>
      <c r="E116" s="759"/>
      <c r="F116" s="759"/>
      <c r="G116" s="759"/>
      <c r="H116" s="759"/>
      <c r="I116" s="759"/>
      <c r="J116" s="759"/>
      <c r="K116" s="759"/>
      <c r="L116" s="759"/>
      <c r="M116" s="759"/>
      <c r="N116" s="759"/>
      <c r="O116" s="759"/>
      <c r="P116" s="759"/>
      <c r="Q116" s="759"/>
      <c r="R116" s="759"/>
      <c r="S116" s="759"/>
      <c r="U116" s="759" t="s">
        <v>361</v>
      </c>
      <c r="V116" s="759"/>
      <c r="W116" s="759"/>
      <c r="X116" s="759"/>
      <c r="Y116" s="759"/>
      <c r="Z116" s="759"/>
      <c r="AA116" s="759"/>
      <c r="AB116" s="759"/>
      <c r="AC116" s="759"/>
      <c r="AD116" s="759"/>
      <c r="AE116" s="759"/>
      <c r="AF116" s="759"/>
      <c r="AG116" s="759"/>
      <c r="AH116" s="759"/>
      <c r="AI116" s="759"/>
      <c r="AJ116" s="759"/>
      <c r="AK116" s="759"/>
    </row>
    <row r="117" spans="3:37" x14ac:dyDescent="0.2">
      <c r="C117" s="634"/>
      <c r="D117" s="634"/>
      <c r="E117" s="634"/>
      <c r="F117" s="634"/>
      <c r="G117" s="634"/>
      <c r="H117" s="634"/>
      <c r="I117" s="634"/>
      <c r="J117" s="634"/>
      <c r="K117" s="634"/>
      <c r="L117" s="634"/>
      <c r="M117" s="634"/>
      <c r="N117" s="634"/>
      <c r="O117" s="634"/>
      <c r="P117" s="634"/>
      <c r="Q117" s="634"/>
      <c r="R117" s="634"/>
      <c r="S117" s="634"/>
      <c r="U117" s="634"/>
      <c r="V117" s="634"/>
      <c r="W117" s="634"/>
      <c r="X117" s="634"/>
      <c r="Y117" s="634"/>
      <c r="Z117" s="634"/>
      <c r="AA117" s="634"/>
      <c r="AB117" s="634"/>
      <c r="AC117" s="634"/>
      <c r="AD117" s="634"/>
      <c r="AE117" s="634"/>
      <c r="AF117" s="634"/>
      <c r="AG117" s="634"/>
      <c r="AH117" s="634"/>
      <c r="AI117" s="634"/>
      <c r="AJ117" s="634"/>
      <c r="AK117" s="634"/>
    </row>
    <row r="118" spans="3:37" ht="12.95" customHeight="1" x14ac:dyDescent="0.2">
      <c r="C118" s="758" t="s">
        <v>128</v>
      </c>
      <c r="D118" s="757" t="s">
        <v>42</v>
      </c>
      <c r="E118" s="757" t="s">
        <v>52</v>
      </c>
      <c r="F118" s="757" t="s">
        <v>53</v>
      </c>
      <c r="G118" s="757" t="s">
        <v>32</v>
      </c>
      <c r="H118" s="757" t="s">
        <v>20</v>
      </c>
      <c r="I118" s="757" t="s">
        <v>55</v>
      </c>
      <c r="J118" s="757" t="s">
        <v>56</v>
      </c>
      <c r="K118" s="757"/>
      <c r="L118" s="757"/>
      <c r="M118" s="757"/>
      <c r="N118" s="757"/>
      <c r="O118" s="757"/>
      <c r="P118" s="757" t="s">
        <v>57</v>
      </c>
      <c r="Q118" s="757" t="s">
        <v>58</v>
      </c>
      <c r="R118" s="757" t="s">
        <v>31</v>
      </c>
      <c r="S118" s="757" t="s">
        <v>10</v>
      </c>
      <c r="U118" s="758" t="s">
        <v>128</v>
      </c>
      <c r="V118" s="757" t="s">
        <v>42</v>
      </c>
      <c r="W118" s="757" t="s">
        <v>52</v>
      </c>
      <c r="X118" s="757" t="s">
        <v>53</v>
      </c>
      <c r="Y118" s="757" t="s">
        <v>32</v>
      </c>
      <c r="Z118" s="757" t="s">
        <v>20</v>
      </c>
      <c r="AA118" s="757" t="s">
        <v>55</v>
      </c>
      <c r="AB118" s="757" t="s">
        <v>56</v>
      </c>
      <c r="AC118" s="757"/>
      <c r="AD118" s="757"/>
      <c r="AE118" s="757"/>
      <c r="AF118" s="757"/>
      <c r="AG118" s="757"/>
      <c r="AH118" s="757" t="s">
        <v>57</v>
      </c>
      <c r="AI118" s="757" t="s">
        <v>58</v>
      </c>
      <c r="AJ118" s="757" t="s">
        <v>31</v>
      </c>
      <c r="AK118" s="757" t="s">
        <v>10</v>
      </c>
    </row>
    <row r="119" spans="3:37" ht="56.25" x14ac:dyDescent="0.2">
      <c r="C119" s="758"/>
      <c r="D119" s="757"/>
      <c r="E119" s="757"/>
      <c r="F119" s="757"/>
      <c r="G119" s="757"/>
      <c r="H119" s="757"/>
      <c r="I119" s="757"/>
      <c r="J119" s="638" t="s">
        <v>335</v>
      </c>
      <c r="K119" s="638" t="s">
        <v>40</v>
      </c>
      <c r="L119" s="638" t="s">
        <v>343</v>
      </c>
      <c r="M119" s="638" t="s">
        <v>344</v>
      </c>
      <c r="N119" s="638" t="s">
        <v>345</v>
      </c>
      <c r="O119" s="638" t="s">
        <v>346</v>
      </c>
      <c r="P119" s="757"/>
      <c r="Q119" s="757"/>
      <c r="R119" s="757"/>
      <c r="S119" s="757"/>
      <c r="U119" s="758"/>
      <c r="V119" s="757"/>
      <c r="W119" s="757"/>
      <c r="X119" s="757"/>
      <c r="Y119" s="757"/>
      <c r="Z119" s="757"/>
      <c r="AA119" s="757"/>
      <c r="AB119" s="638" t="s">
        <v>335</v>
      </c>
      <c r="AC119" s="638" t="s">
        <v>40</v>
      </c>
      <c r="AD119" s="638" t="s">
        <v>343</v>
      </c>
      <c r="AE119" s="638" t="s">
        <v>344</v>
      </c>
      <c r="AF119" s="638" t="s">
        <v>345</v>
      </c>
      <c r="AG119" s="638" t="s">
        <v>346</v>
      </c>
      <c r="AH119" s="757"/>
      <c r="AI119" s="757"/>
      <c r="AJ119" s="757"/>
      <c r="AK119" s="757"/>
    </row>
    <row r="120" spans="3:37" x14ac:dyDescent="0.2">
      <c r="C120" s="639" t="s">
        <v>59</v>
      </c>
      <c r="D120" s="640">
        <v>0</v>
      </c>
      <c r="E120" s="641">
        <v>0</v>
      </c>
      <c r="F120" s="641">
        <v>0</v>
      </c>
      <c r="G120" s="640">
        <v>0</v>
      </c>
      <c r="H120" s="641">
        <v>843.18181818181824</v>
      </c>
      <c r="I120" s="641">
        <v>306.94588327561422</v>
      </c>
      <c r="J120" s="641">
        <v>187.92158364867245</v>
      </c>
      <c r="K120" s="641">
        <v>20.316638839186872</v>
      </c>
      <c r="L120" s="641">
        <v>0.58650482505924006</v>
      </c>
      <c r="M120" s="641">
        <v>0.15964026893196048</v>
      </c>
      <c r="N120" s="641">
        <v>67.964408038916218</v>
      </c>
      <c r="O120" s="641">
        <v>11.973026235836867</v>
      </c>
      <c r="P120" s="642">
        <v>0</v>
      </c>
      <c r="Q120" s="641">
        <v>0</v>
      </c>
      <c r="R120" s="641">
        <v>0</v>
      </c>
      <c r="S120" s="643">
        <v>1439.0495033140362</v>
      </c>
      <c r="U120" s="639" t="s">
        <v>59</v>
      </c>
      <c r="V120" s="640">
        <v>0</v>
      </c>
      <c r="W120" s="641">
        <v>0</v>
      </c>
      <c r="X120" s="641">
        <v>0</v>
      </c>
      <c r="Y120" s="640">
        <v>0</v>
      </c>
      <c r="Z120" s="641">
        <v>842.12121212121212</v>
      </c>
      <c r="AA120" s="641">
        <v>361.66588327561419</v>
      </c>
      <c r="AB120" s="641">
        <v>209.7499476733077</v>
      </c>
      <c r="AC120" s="641">
        <v>36.742499370225779</v>
      </c>
      <c r="AD120" s="641">
        <v>0.58650482505924006</v>
      </c>
      <c r="AE120" s="641">
        <v>0.15964026893196048</v>
      </c>
      <c r="AF120" s="641">
        <v>109.8518848230913</v>
      </c>
      <c r="AG120" s="641">
        <v>27.041217028647232</v>
      </c>
      <c r="AH120" s="642">
        <v>0</v>
      </c>
      <c r="AI120" s="641">
        <v>0</v>
      </c>
      <c r="AJ120" s="641">
        <v>0</v>
      </c>
      <c r="AK120" s="643">
        <v>1587.9187893860897</v>
      </c>
    </row>
    <row r="121" spans="3:37" x14ac:dyDescent="0.2">
      <c r="C121" s="639" t="s">
        <v>60</v>
      </c>
      <c r="D121" s="640">
        <v>47.14481987923083</v>
      </c>
      <c r="E121" s="641">
        <v>484.495467583368</v>
      </c>
      <c r="F121" s="641">
        <v>50.019697053221719</v>
      </c>
      <c r="G121" s="640">
        <v>326.09010493911637</v>
      </c>
      <c r="H121" s="641">
        <v>0</v>
      </c>
      <c r="I121" s="641">
        <v>0</v>
      </c>
      <c r="J121" s="641">
        <v>5.0764589906360387</v>
      </c>
      <c r="K121" s="641">
        <v>0</v>
      </c>
      <c r="L121" s="641">
        <v>2.7571319279134792</v>
      </c>
      <c r="M121" s="641">
        <v>0</v>
      </c>
      <c r="N121" s="641">
        <v>0</v>
      </c>
      <c r="O121" s="641">
        <v>0</v>
      </c>
      <c r="P121" s="642">
        <v>0</v>
      </c>
      <c r="Q121" s="641">
        <v>0</v>
      </c>
      <c r="R121" s="641">
        <v>0</v>
      </c>
      <c r="S121" s="643">
        <v>915.58368037348657</v>
      </c>
      <c r="U121" s="639" t="s">
        <v>60</v>
      </c>
      <c r="V121" s="640">
        <v>5.8768320762591904</v>
      </c>
      <c r="W121" s="641">
        <v>189.94114801549574</v>
      </c>
      <c r="X121" s="641">
        <v>14.41607041492888</v>
      </c>
      <c r="Y121" s="640">
        <v>81.728531694283333</v>
      </c>
      <c r="Z121" s="641">
        <v>0</v>
      </c>
      <c r="AA121" s="641">
        <v>0</v>
      </c>
      <c r="AB121" s="641">
        <v>5.0764589906360387</v>
      </c>
      <c r="AC121" s="641">
        <v>0</v>
      </c>
      <c r="AD121" s="641">
        <v>2.7571319279134792</v>
      </c>
      <c r="AE121" s="641">
        <v>0</v>
      </c>
      <c r="AF121" s="641">
        <v>0</v>
      </c>
      <c r="AG121" s="641">
        <v>0</v>
      </c>
      <c r="AH121" s="642">
        <v>0</v>
      </c>
      <c r="AI121" s="641">
        <v>0</v>
      </c>
      <c r="AJ121" s="641">
        <v>0</v>
      </c>
      <c r="AK121" s="643">
        <v>299.79617311951665</v>
      </c>
    </row>
    <row r="122" spans="3:37" x14ac:dyDescent="0.2">
      <c r="C122" s="639" t="s">
        <v>61</v>
      </c>
      <c r="D122" s="640">
        <v>0</v>
      </c>
      <c r="E122" s="641">
        <v>0</v>
      </c>
      <c r="F122" s="641">
        <v>0</v>
      </c>
      <c r="G122" s="640">
        <v>0</v>
      </c>
      <c r="H122" s="641">
        <v>0</v>
      </c>
      <c r="I122" s="641">
        <v>0</v>
      </c>
      <c r="J122" s="641">
        <v>0</v>
      </c>
      <c r="K122" s="641">
        <v>0</v>
      </c>
      <c r="L122" s="641">
        <v>0</v>
      </c>
      <c r="M122" s="641">
        <v>0</v>
      </c>
      <c r="N122" s="641">
        <v>0</v>
      </c>
      <c r="O122" s="641">
        <v>0</v>
      </c>
      <c r="P122" s="642">
        <v>-16.706363002811486</v>
      </c>
      <c r="Q122" s="641">
        <v>0</v>
      </c>
      <c r="R122" s="641">
        <v>0</v>
      </c>
      <c r="S122" s="643">
        <v>-16.706363002811486</v>
      </c>
      <c r="U122" s="639" t="s">
        <v>61</v>
      </c>
      <c r="V122" s="640">
        <v>0</v>
      </c>
      <c r="W122" s="641">
        <v>0</v>
      </c>
      <c r="X122" s="641">
        <v>-18.378136852904419</v>
      </c>
      <c r="Y122" s="640">
        <v>0</v>
      </c>
      <c r="Z122" s="641">
        <v>0</v>
      </c>
      <c r="AA122" s="641">
        <v>0</v>
      </c>
      <c r="AB122" s="641">
        <v>0</v>
      </c>
      <c r="AC122" s="641">
        <v>0</v>
      </c>
      <c r="AD122" s="641">
        <v>0</v>
      </c>
      <c r="AE122" s="641">
        <v>0</v>
      </c>
      <c r="AF122" s="641">
        <v>0</v>
      </c>
      <c r="AG122" s="641">
        <v>0</v>
      </c>
      <c r="AH122" s="642">
        <v>-20.522831714543145</v>
      </c>
      <c r="AI122" s="641">
        <v>0</v>
      </c>
      <c r="AJ122" s="641">
        <v>0</v>
      </c>
      <c r="AK122" s="643">
        <v>-38.900968567447563</v>
      </c>
    </row>
    <row r="123" spans="3:37" x14ac:dyDescent="0.2">
      <c r="C123" s="639" t="s">
        <v>62</v>
      </c>
      <c r="D123" s="640">
        <v>0</v>
      </c>
      <c r="E123" s="641">
        <v>0</v>
      </c>
      <c r="F123" s="641">
        <v>-15.257294848391862</v>
      </c>
      <c r="G123" s="640">
        <v>0</v>
      </c>
      <c r="H123" s="641">
        <v>0</v>
      </c>
      <c r="I123" s="641">
        <v>0</v>
      </c>
      <c r="J123" s="641">
        <v>0</v>
      </c>
      <c r="K123" s="641">
        <v>0</v>
      </c>
      <c r="L123" s="641">
        <v>0</v>
      </c>
      <c r="M123" s="641">
        <v>0</v>
      </c>
      <c r="N123" s="641">
        <v>0</v>
      </c>
      <c r="O123" s="641">
        <v>0</v>
      </c>
      <c r="P123" s="642">
        <v>0</v>
      </c>
      <c r="Q123" s="641">
        <v>0</v>
      </c>
      <c r="R123" s="641">
        <v>0</v>
      </c>
      <c r="S123" s="643">
        <v>-15.257294848391862</v>
      </c>
      <c r="U123" s="639" t="s">
        <v>62</v>
      </c>
      <c r="V123" s="640">
        <v>0</v>
      </c>
      <c r="W123" s="641">
        <v>0</v>
      </c>
      <c r="X123" s="641">
        <v>-7.5188933675233587</v>
      </c>
      <c r="Y123" s="640">
        <v>-2.1851276585702322</v>
      </c>
      <c r="Z123" s="641">
        <v>0</v>
      </c>
      <c r="AA123" s="641">
        <v>0</v>
      </c>
      <c r="AB123" s="641">
        <v>0</v>
      </c>
      <c r="AC123" s="641">
        <v>0</v>
      </c>
      <c r="AD123" s="641">
        <v>0</v>
      </c>
      <c r="AE123" s="641">
        <v>-2.1851276585702322</v>
      </c>
      <c r="AF123" s="641">
        <v>0</v>
      </c>
      <c r="AG123" s="641">
        <v>0</v>
      </c>
      <c r="AH123" s="642">
        <v>0</v>
      </c>
      <c r="AI123" s="641">
        <v>0</v>
      </c>
      <c r="AJ123" s="641">
        <v>0</v>
      </c>
      <c r="AK123" s="643">
        <v>-11.889148684663823</v>
      </c>
    </row>
    <row r="124" spans="3:37" x14ac:dyDescent="0.2">
      <c r="C124" s="639" t="s">
        <v>63</v>
      </c>
      <c r="D124" s="640">
        <v>0</v>
      </c>
      <c r="E124" s="641">
        <v>0</v>
      </c>
      <c r="F124" s="641">
        <v>-90.982589622358091</v>
      </c>
      <c r="G124" s="640">
        <v>0</v>
      </c>
      <c r="H124" s="641">
        <v>0</v>
      </c>
      <c r="I124" s="641">
        <v>0</v>
      </c>
      <c r="J124" s="641">
        <v>0</v>
      </c>
      <c r="K124" s="641">
        <v>0</v>
      </c>
      <c r="L124" s="641">
        <v>-0.93561585486744514</v>
      </c>
      <c r="M124" s="641">
        <v>0</v>
      </c>
      <c r="N124" s="641">
        <v>0</v>
      </c>
      <c r="O124" s="641">
        <v>0</v>
      </c>
      <c r="P124" s="642">
        <v>0</v>
      </c>
      <c r="Q124" s="641">
        <v>0</v>
      </c>
      <c r="R124" s="641">
        <v>0</v>
      </c>
      <c r="S124" s="643">
        <v>-91.918205477225541</v>
      </c>
      <c r="U124" s="639" t="s">
        <v>63</v>
      </c>
      <c r="V124" s="640">
        <v>0</v>
      </c>
      <c r="W124" s="641">
        <v>0</v>
      </c>
      <c r="X124" s="641">
        <v>-53.656928796434556</v>
      </c>
      <c r="Y124" s="640">
        <v>0</v>
      </c>
      <c r="Z124" s="641">
        <v>0</v>
      </c>
      <c r="AA124" s="641">
        <v>0</v>
      </c>
      <c r="AB124" s="641">
        <v>0</v>
      </c>
      <c r="AC124" s="641">
        <v>0</v>
      </c>
      <c r="AD124" s="641">
        <v>-28.297456853591466</v>
      </c>
      <c r="AE124" s="641">
        <v>0</v>
      </c>
      <c r="AF124" s="641">
        <v>0</v>
      </c>
      <c r="AG124" s="641">
        <v>0</v>
      </c>
      <c r="AH124" s="642">
        <v>0</v>
      </c>
      <c r="AI124" s="641">
        <v>0</v>
      </c>
      <c r="AJ124" s="641">
        <v>0</v>
      </c>
      <c r="AK124" s="643">
        <v>-81.954385650026026</v>
      </c>
    </row>
    <row r="125" spans="3:37" x14ac:dyDescent="0.2">
      <c r="C125" s="639" t="s">
        <v>64</v>
      </c>
      <c r="D125" s="640">
        <v>0</v>
      </c>
      <c r="E125" s="641">
        <v>0</v>
      </c>
      <c r="F125" s="641">
        <v>0</v>
      </c>
      <c r="G125" s="640">
        <v>0</v>
      </c>
      <c r="H125" s="641">
        <v>0</v>
      </c>
      <c r="I125" s="641">
        <v>0</v>
      </c>
      <c r="J125" s="641">
        <v>0</v>
      </c>
      <c r="K125" s="641">
        <v>0</v>
      </c>
      <c r="L125" s="641">
        <v>0</v>
      </c>
      <c r="M125" s="641">
        <v>0</v>
      </c>
      <c r="N125" s="641">
        <v>0</v>
      </c>
      <c r="O125" s="641">
        <v>0</v>
      </c>
      <c r="P125" s="642">
        <v>0</v>
      </c>
      <c r="Q125" s="641">
        <v>0</v>
      </c>
      <c r="R125" s="641">
        <v>0</v>
      </c>
      <c r="S125" s="643">
        <v>0</v>
      </c>
      <c r="U125" s="639" t="s">
        <v>64</v>
      </c>
      <c r="V125" s="640">
        <v>0</v>
      </c>
      <c r="W125" s="641">
        <v>0</v>
      </c>
      <c r="X125" s="641">
        <v>0</v>
      </c>
      <c r="Y125" s="640">
        <v>0</v>
      </c>
      <c r="Z125" s="641">
        <v>0</v>
      </c>
      <c r="AA125" s="641">
        <v>0</v>
      </c>
      <c r="AB125" s="641">
        <v>0</v>
      </c>
      <c r="AC125" s="641">
        <v>0</v>
      </c>
      <c r="AD125" s="641">
        <v>0</v>
      </c>
      <c r="AE125" s="641">
        <v>0</v>
      </c>
      <c r="AF125" s="641">
        <v>0</v>
      </c>
      <c r="AG125" s="641">
        <v>0</v>
      </c>
      <c r="AH125" s="642">
        <v>0</v>
      </c>
      <c r="AI125" s="641">
        <v>0</v>
      </c>
      <c r="AJ125" s="641">
        <v>0</v>
      </c>
      <c r="AK125" s="643">
        <v>0</v>
      </c>
    </row>
    <row r="126" spans="3:37" x14ac:dyDescent="0.2">
      <c r="C126" s="644" t="s">
        <v>65</v>
      </c>
      <c r="D126" s="645">
        <v>47.14481987923083</v>
      </c>
      <c r="E126" s="645">
        <v>484.495467583368</v>
      </c>
      <c r="F126" s="645">
        <v>-56.220187417528237</v>
      </c>
      <c r="G126" s="645">
        <v>326.09010493911637</v>
      </c>
      <c r="H126" s="645">
        <v>843.18181818181824</v>
      </c>
      <c r="I126" s="645">
        <v>306.94588327561422</v>
      </c>
      <c r="J126" s="645">
        <v>192.99804263930849</v>
      </c>
      <c r="K126" s="645">
        <v>20.316638839186872</v>
      </c>
      <c r="L126" s="645">
        <v>2.4080208981052738</v>
      </c>
      <c r="M126" s="645">
        <v>0.15964026893196048</v>
      </c>
      <c r="N126" s="645">
        <v>67.964408038916218</v>
      </c>
      <c r="O126" s="645">
        <v>11.973026235836867</v>
      </c>
      <c r="P126" s="645">
        <v>-16.706363002811486</v>
      </c>
      <c r="Q126" s="645">
        <v>0</v>
      </c>
      <c r="R126" s="645">
        <v>0</v>
      </c>
      <c r="S126" s="645">
        <v>2230.7513203590943</v>
      </c>
      <c r="U126" s="644" t="s">
        <v>65</v>
      </c>
      <c r="V126" s="645">
        <v>5.8768320762591904</v>
      </c>
      <c r="W126" s="645">
        <v>189.94114801549574</v>
      </c>
      <c r="X126" s="645">
        <v>-65.137888601933454</v>
      </c>
      <c r="Y126" s="645">
        <v>79.543404035713095</v>
      </c>
      <c r="Z126" s="645">
        <v>842.12121212121212</v>
      </c>
      <c r="AA126" s="645">
        <v>361.66588327561419</v>
      </c>
      <c r="AB126" s="645">
        <v>214.82640666394374</v>
      </c>
      <c r="AC126" s="645">
        <v>36.742499370225779</v>
      </c>
      <c r="AD126" s="645">
        <v>-24.953820100618749</v>
      </c>
      <c r="AE126" s="645">
        <v>-2.0254873896382719</v>
      </c>
      <c r="AF126" s="645">
        <v>109.8518848230913</v>
      </c>
      <c r="AG126" s="645">
        <v>27.041217028647232</v>
      </c>
      <c r="AH126" s="645">
        <v>-20.522831714543145</v>
      </c>
      <c r="AI126" s="645">
        <v>0</v>
      </c>
      <c r="AJ126" s="645">
        <v>0</v>
      </c>
      <c r="AK126" s="645">
        <v>1754.970459603469</v>
      </c>
    </row>
    <row r="127" spans="3:37" x14ac:dyDescent="0.2">
      <c r="C127" s="634"/>
      <c r="D127" s="634">
        <v>0</v>
      </c>
      <c r="E127" s="634">
        <v>0</v>
      </c>
      <c r="F127" s="634">
        <v>0</v>
      </c>
      <c r="G127" s="634">
        <v>0</v>
      </c>
      <c r="H127" s="634">
        <v>0</v>
      </c>
      <c r="I127" s="634">
        <v>0</v>
      </c>
      <c r="J127" s="634">
        <v>0</v>
      </c>
      <c r="K127" s="634">
        <v>0</v>
      </c>
      <c r="L127" s="634">
        <v>0</v>
      </c>
      <c r="M127" s="634">
        <v>0</v>
      </c>
      <c r="N127" s="634">
        <v>0</v>
      </c>
      <c r="O127" s="634">
        <v>0</v>
      </c>
      <c r="P127" s="634">
        <v>0</v>
      </c>
      <c r="Q127" s="634">
        <v>0</v>
      </c>
      <c r="R127" s="634">
        <v>0</v>
      </c>
      <c r="S127" s="634">
        <v>0</v>
      </c>
      <c r="U127" s="634"/>
      <c r="V127" s="634">
        <v>0</v>
      </c>
      <c r="W127" s="634">
        <v>0</v>
      </c>
      <c r="X127" s="634">
        <v>0</v>
      </c>
      <c r="Y127" s="634">
        <v>0</v>
      </c>
      <c r="Z127" s="634">
        <v>0</v>
      </c>
      <c r="AA127" s="634">
        <v>0</v>
      </c>
      <c r="AB127" s="634">
        <v>0</v>
      </c>
      <c r="AC127" s="634">
        <v>0</v>
      </c>
      <c r="AD127" s="634">
        <v>0</v>
      </c>
      <c r="AE127" s="634">
        <v>0</v>
      </c>
      <c r="AF127" s="634">
        <v>0</v>
      </c>
      <c r="AG127" s="634">
        <v>0</v>
      </c>
      <c r="AH127" s="634">
        <v>0</v>
      </c>
      <c r="AI127" s="634">
        <v>0</v>
      </c>
      <c r="AJ127" s="634">
        <v>0</v>
      </c>
      <c r="AK127" s="634">
        <v>0</v>
      </c>
    </row>
    <row r="128" spans="3:37" x14ac:dyDescent="0.2">
      <c r="C128" s="646" t="s">
        <v>67</v>
      </c>
      <c r="D128" s="640">
        <v>0</v>
      </c>
      <c r="E128" s="647">
        <v>0</v>
      </c>
      <c r="F128" s="647">
        <v>0</v>
      </c>
      <c r="G128" s="640">
        <v>0</v>
      </c>
      <c r="H128" s="640">
        <v>0</v>
      </c>
      <c r="I128" s="640">
        <v>0</v>
      </c>
      <c r="J128" s="640">
        <v>0</v>
      </c>
      <c r="K128" s="640">
        <v>0</v>
      </c>
      <c r="L128" s="640">
        <v>0</v>
      </c>
      <c r="M128" s="640">
        <v>0</v>
      </c>
      <c r="N128" s="640">
        <v>0</v>
      </c>
      <c r="O128" s="640">
        <v>0</v>
      </c>
      <c r="P128" s="640">
        <v>0</v>
      </c>
      <c r="Q128" s="640">
        <v>0</v>
      </c>
      <c r="R128" s="640">
        <v>0</v>
      </c>
      <c r="S128" s="648">
        <v>0</v>
      </c>
      <c r="U128" s="646" t="s">
        <v>67</v>
      </c>
      <c r="V128" s="640">
        <v>0</v>
      </c>
      <c r="W128" s="647">
        <v>0</v>
      </c>
      <c r="X128" s="647">
        <v>0</v>
      </c>
      <c r="Y128" s="640">
        <v>0</v>
      </c>
      <c r="Z128" s="640">
        <v>0</v>
      </c>
      <c r="AA128" s="640">
        <v>0</v>
      </c>
      <c r="AB128" s="640">
        <v>0</v>
      </c>
      <c r="AC128" s="640">
        <v>0</v>
      </c>
      <c r="AD128" s="640">
        <v>0</v>
      </c>
      <c r="AE128" s="640">
        <v>0</v>
      </c>
      <c r="AF128" s="640">
        <v>0</v>
      </c>
      <c r="AG128" s="640">
        <v>0</v>
      </c>
      <c r="AH128" s="640">
        <v>0</v>
      </c>
      <c r="AI128" s="640">
        <v>0</v>
      </c>
      <c r="AJ128" s="640">
        <v>0</v>
      </c>
      <c r="AK128" s="648">
        <v>0</v>
      </c>
    </row>
    <row r="129" spans="3:37" x14ac:dyDescent="0.2">
      <c r="C129" s="646" t="s">
        <v>347</v>
      </c>
      <c r="D129" s="640">
        <v>2.8267856410252494</v>
      </c>
      <c r="E129" s="640">
        <v>0</v>
      </c>
      <c r="F129" s="640">
        <v>7.9230776783294274</v>
      </c>
      <c r="G129" s="640">
        <v>16.680851063829788</v>
      </c>
      <c r="H129" s="640">
        <v>843.18181818181824</v>
      </c>
      <c r="I129" s="640">
        <v>306.94588327561422</v>
      </c>
      <c r="J129" s="649">
        <v>28.98717588629853</v>
      </c>
      <c r="K129" s="649">
        <v>6.5903281241207718</v>
      </c>
      <c r="L129" s="649">
        <v>3.3436367529727189</v>
      </c>
      <c r="M129" s="649">
        <v>0.46654149749263618</v>
      </c>
      <c r="N129" s="649">
        <v>0</v>
      </c>
      <c r="O129" s="649">
        <v>7.0184114557160298</v>
      </c>
      <c r="P129" s="640">
        <v>-616.92993037811448</v>
      </c>
      <c r="Q129" s="640">
        <v>0</v>
      </c>
      <c r="R129" s="640">
        <v>0</v>
      </c>
      <c r="S129" s="648">
        <v>607.03457917910316</v>
      </c>
      <c r="U129" s="646" t="s">
        <v>347</v>
      </c>
      <c r="V129" s="640">
        <v>0.62631490545869017</v>
      </c>
      <c r="W129" s="640">
        <v>0</v>
      </c>
      <c r="X129" s="640">
        <v>4.0594413146930641</v>
      </c>
      <c r="Y129" s="640">
        <v>2.3404255319148937</v>
      </c>
      <c r="Z129" s="640">
        <v>842.12121212121212</v>
      </c>
      <c r="AA129" s="640">
        <v>361.66588327561419</v>
      </c>
      <c r="AB129" s="649">
        <v>23.182357378111952</v>
      </c>
      <c r="AC129" s="649">
        <v>5.3775678130216455</v>
      </c>
      <c r="AD129" s="649">
        <v>3.3436367529727189</v>
      </c>
      <c r="AE129" s="649">
        <v>2.4665414974926363</v>
      </c>
      <c r="AF129" s="649">
        <v>0</v>
      </c>
      <c r="AG129" s="649">
        <v>7.0184114557160298</v>
      </c>
      <c r="AH129" s="640">
        <v>-662.7499303781143</v>
      </c>
      <c r="AI129" s="640">
        <v>0</v>
      </c>
      <c r="AJ129" s="640">
        <v>4.25</v>
      </c>
      <c r="AK129" s="648">
        <v>593.70186166809344</v>
      </c>
    </row>
    <row r="130" spans="3:37" x14ac:dyDescent="0.2">
      <c r="C130" s="646" t="s">
        <v>348</v>
      </c>
      <c r="D130" s="640">
        <v>0</v>
      </c>
      <c r="E130" s="640">
        <v>0</v>
      </c>
      <c r="F130" s="640">
        <v>0</v>
      </c>
      <c r="G130" s="640">
        <v>14.843815057329421</v>
      </c>
      <c r="H130" s="640">
        <v>0</v>
      </c>
      <c r="I130" s="640">
        <v>0</v>
      </c>
      <c r="J130" s="649">
        <v>12.357161229114668</v>
      </c>
      <c r="K130" s="649">
        <v>11.882304060636951</v>
      </c>
      <c r="L130" s="649">
        <v>0</v>
      </c>
      <c r="M130" s="649">
        <v>0.31804644322561132</v>
      </c>
      <c r="N130" s="649">
        <v>0</v>
      </c>
      <c r="O130" s="649">
        <v>2.0992086164963606</v>
      </c>
      <c r="P130" s="640">
        <v>0</v>
      </c>
      <c r="Q130" s="640">
        <v>-37.805081951347923</v>
      </c>
      <c r="R130" s="640">
        <v>0</v>
      </c>
      <c r="S130" s="648">
        <v>3.6954534554550835</v>
      </c>
      <c r="U130" s="646" t="s">
        <v>348</v>
      </c>
      <c r="V130" s="640">
        <v>0</v>
      </c>
      <c r="W130" s="640">
        <v>0</v>
      </c>
      <c r="X130" s="640">
        <v>0</v>
      </c>
      <c r="Y130" s="640">
        <v>6.4668066457611202</v>
      </c>
      <c r="Z130" s="640">
        <v>0</v>
      </c>
      <c r="AA130" s="640">
        <v>0</v>
      </c>
      <c r="AB130" s="649">
        <v>28.361573193229066</v>
      </c>
      <c r="AC130" s="649">
        <v>26.076316433417247</v>
      </c>
      <c r="AD130" s="649">
        <v>0</v>
      </c>
      <c r="AE130" s="649">
        <v>6.4819180878167435</v>
      </c>
      <c r="AF130" s="649">
        <v>0</v>
      </c>
      <c r="AG130" s="649">
        <v>12.550380584079129</v>
      </c>
      <c r="AH130" s="640">
        <v>0</v>
      </c>
      <c r="AI130" s="640">
        <v>-74.043519390541746</v>
      </c>
      <c r="AJ130" s="640">
        <v>0</v>
      </c>
      <c r="AK130" s="648">
        <v>5.8934755537615651</v>
      </c>
    </row>
    <row r="131" spans="3:37" x14ac:dyDescent="0.2">
      <c r="C131" s="646" t="s">
        <v>349</v>
      </c>
      <c r="D131" s="640">
        <v>0</v>
      </c>
      <c r="E131" s="640">
        <v>0</v>
      </c>
      <c r="F131" s="640">
        <v>0</v>
      </c>
      <c r="G131" s="640">
        <v>0</v>
      </c>
      <c r="H131" s="640">
        <v>0</v>
      </c>
      <c r="I131" s="640">
        <v>0</v>
      </c>
      <c r="J131" s="650">
        <v>6.8755991242523775</v>
      </c>
      <c r="K131" s="650">
        <v>0</v>
      </c>
      <c r="L131" s="650">
        <v>0</v>
      </c>
      <c r="M131" s="650">
        <v>-6.4200906822706569</v>
      </c>
      <c r="N131" s="650">
        <v>0</v>
      </c>
      <c r="O131" s="650">
        <v>0</v>
      </c>
      <c r="P131" s="640">
        <v>0</v>
      </c>
      <c r="Q131" s="640">
        <v>0</v>
      </c>
      <c r="R131" s="640">
        <v>0</v>
      </c>
      <c r="S131" s="648">
        <v>0.45550844198172058</v>
      </c>
      <c r="U131" s="646" t="s">
        <v>349</v>
      </c>
      <c r="V131" s="640">
        <v>0</v>
      </c>
      <c r="W131" s="640">
        <v>0</v>
      </c>
      <c r="X131" s="640">
        <v>0</v>
      </c>
      <c r="Y131" s="640">
        <v>0</v>
      </c>
      <c r="Z131" s="640">
        <v>0</v>
      </c>
      <c r="AA131" s="640">
        <v>0</v>
      </c>
      <c r="AB131" s="650">
        <v>86.654179241552072</v>
      </c>
      <c r="AC131" s="650">
        <v>0</v>
      </c>
      <c r="AD131" s="650">
        <v>0</v>
      </c>
      <c r="AE131" s="650">
        <v>-80.913339866799248</v>
      </c>
      <c r="AF131" s="650">
        <v>0</v>
      </c>
      <c r="AG131" s="650">
        <v>0</v>
      </c>
      <c r="AH131" s="640">
        <v>0</v>
      </c>
      <c r="AI131" s="640">
        <v>0</v>
      </c>
      <c r="AJ131" s="640">
        <v>0</v>
      </c>
      <c r="AK131" s="648">
        <v>5.7408393747528237</v>
      </c>
    </row>
    <row r="132" spans="3:37" x14ac:dyDescent="0.2">
      <c r="C132" s="646" t="s">
        <v>350</v>
      </c>
      <c r="D132" s="640">
        <v>0</v>
      </c>
      <c r="E132" s="640">
        <v>0</v>
      </c>
      <c r="F132" s="640">
        <v>0</v>
      </c>
      <c r="G132" s="640">
        <v>0</v>
      </c>
      <c r="H132" s="640">
        <v>0</v>
      </c>
      <c r="I132" s="640">
        <v>0</v>
      </c>
      <c r="J132" s="640">
        <v>0</v>
      </c>
      <c r="K132" s="640">
        <v>0</v>
      </c>
      <c r="L132" s="640">
        <v>0</v>
      </c>
      <c r="M132" s="640">
        <v>0</v>
      </c>
      <c r="N132" s="640">
        <v>0</v>
      </c>
      <c r="O132" s="640">
        <v>0</v>
      </c>
      <c r="P132" s="640">
        <v>0</v>
      </c>
      <c r="Q132" s="640">
        <v>0</v>
      </c>
      <c r="R132" s="640">
        <v>0</v>
      </c>
      <c r="S132" s="648">
        <v>0</v>
      </c>
      <c r="U132" s="646" t="s">
        <v>350</v>
      </c>
      <c r="V132" s="640">
        <v>0</v>
      </c>
      <c r="W132" s="640">
        <v>0</v>
      </c>
      <c r="X132" s="640">
        <v>0</v>
      </c>
      <c r="Y132" s="640">
        <v>0</v>
      </c>
      <c r="Z132" s="640">
        <v>0</v>
      </c>
      <c r="AA132" s="640">
        <v>0</v>
      </c>
      <c r="AB132" s="640">
        <v>0</v>
      </c>
      <c r="AC132" s="640">
        <v>0</v>
      </c>
      <c r="AD132" s="640">
        <v>0</v>
      </c>
      <c r="AE132" s="640">
        <v>0</v>
      </c>
      <c r="AF132" s="640">
        <v>0</v>
      </c>
      <c r="AG132" s="640">
        <v>0</v>
      </c>
      <c r="AH132" s="640">
        <v>0</v>
      </c>
      <c r="AI132" s="640">
        <v>0</v>
      </c>
      <c r="AJ132" s="640">
        <v>0</v>
      </c>
      <c r="AK132" s="648">
        <v>0</v>
      </c>
    </row>
    <row r="133" spans="3:37" x14ac:dyDescent="0.2">
      <c r="C133" s="646" t="s">
        <v>72</v>
      </c>
      <c r="D133" s="640">
        <v>0</v>
      </c>
      <c r="E133" s="640">
        <v>501.8858109321676</v>
      </c>
      <c r="F133" s="640">
        <v>-496.86695282284592</v>
      </c>
      <c r="G133" s="640">
        <v>0</v>
      </c>
      <c r="H133" s="640">
        <v>0</v>
      </c>
      <c r="I133" s="640">
        <v>0</v>
      </c>
      <c r="J133" s="640">
        <v>0</v>
      </c>
      <c r="K133" s="640">
        <v>0</v>
      </c>
      <c r="L133" s="640">
        <v>0</v>
      </c>
      <c r="M133" s="640">
        <v>0</v>
      </c>
      <c r="N133" s="640">
        <v>0</v>
      </c>
      <c r="O133" s="640">
        <v>0</v>
      </c>
      <c r="P133" s="640">
        <v>0</v>
      </c>
      <c r="Q133" s="640">
        <v>0</v>
      </c>
      <c r="R133" s="640">
        <v>0</v>
      </c>
      <c r="S133" s="648">
        <v>5.018858109321684</v>
      </c>
      <c r="U133" s="646" t="s">
        <v>72</v>
      </c>
      <c r="V133" s="640">
        <v>0</v>
      </c>
      <c r="W133" s="640">
        <v>196.75884188687598</v>
      </c>
      <c r="X133" s="640">
        <v>-194.79125346800723</v>
      </c>
      <c r="Y133" s="640">
        <v>0</v>
      </c>
      <c r="Z133" s="640">
        <v>0</v>
      </c>
      <c r="AA133" s="640">
        <v>0</v>
      </c>
      <c r="AB133" s="640">
        <v>0</v>
      </c>
      <c r="AC133" s="640">
        <v>0</v>
      </c>
      <c r="AD133" s="640">
        <v>0</v>
      </c>
      <c r="AE133" s="640">
        <v>0</v>
      </c>
      <c r="AF133" s="640">
        <v>0</v>
      </c>
      <c r="AG133" s="640">
        <v>0</v>
      </c>
      <c r="AH133" s="640">
        <v>0</v>
      </c>
      <c r="AI133" s="640">
        <v>0</v>
      </c>
      <c r="AJ133" s="640">
        <v>0</v>
      </c>
      <c r="AK133" s="648">
        <v>1.9675884188687576</v>
      </c>
    </row>
    <row r="134" spans="3:37" x14ac:dyDescent="0.2">
      <c r="C134" s="646" t="s">
        <v>351</v>
      </c>
      <c r="D134" s="640">
        <v>0</v>
      </c>
      <c r="E134" s="640">
        <v>0</v>
      </c>
      <c r="F134" s="640">
        <v>0</v>
      </c>
      <c r="G134" s="640">
        <v>0</v>
      </c>
      <c r="H134" s="640">
        <v>0</v>
      </c>
      <c r="I134" s="640">
        <v>0</v>
      </c>
      <c r="J134" s="640">
        <v>26.867608526350821</v>
      </c>
      <c r="K134" s="640">
        <v>0</v>
      </c>
      <c r="L134" s="640">
        <v>-26.867608526350821</v>
      </c>
      <c r="M134" s="640">
        <v>0</v>
      </c>
      <c r="N134" s="640">
        <v>0</v>
      </c>
      <c r="O134" s="640">
        <v>0</v>
      </c>
      <c r="P134" s="640">
        <v>0</v>
      </c>
      <c r="Q134" s="640">
        <v>0</v>
      </c>
      <c r="R134" s="640">
        <v>0</v>
      </c>
      <c r="S134" s="648">
        <v>0</v>
      </c>
      <c r="U134" s="646" t="s">
        <v>351</v>
      </c>
      <c r="V134" s="640">
        <v>0</v>
      </c>
      <c r="W134" s="640">
        <v>0</v>
      </c>
      <c r="X134" s="640">
        <v>0</v>
      </c>
      <c r="Y134" s="640">
        <v>0</v>
      </c>
      <c r="Z134" s="640">
        <v>0</v>
      </c>
      <c r="AA134" s="640">
        <v>0</v>
      </c>
      <c r="AB134" s="640" t="e">
        <v>#VALUE!</v>
      </c>
      <c r="AC134" s="640">
        <v>0</v>
      </c>
      <c r="AD134" s="640">
        <v>-99.513749603669936</v>
      </c>
      <c r="AE134" s="640">
        <v>0</v>
      </c>
      <c r="AF134" s="640">
        <v>0</v>
      </c>
      <c r="AG134" s="640">
        <v>0</v>
      </c>
      <c r="AH134" s="640">
        <v>0</v>
      </c>
      <c r="AI134" s="640">
        <v>0</v>
      </c>
      <c r="AJ134" s="640">
        <v>0</v>
      </c>
      <c r="AK134" s="648">
        <v>-99.513749603669936</v>
      </c>
    </row>
    <row r="135" spans="3:37" x14ac:dyDescent="0.2">
      <c r="C135" s="646" t="s">
        <v>352</v>
      </c>
      <c r="D135" s="640">
        <v>0</v>
      </c>
      <c r="E135" s="640">
        <v>0</v>
      </c>
      <c r="F135" s="640">
        <v>0</v>
      </c>
      <c r="G135" s="640">
        <v>0</v>
      </c>
      <c r="H135" s="640">
        <v>0</v>
      </c>
      <c r="I135" s="640">
        <v>0</v>
      </c>
      <c r="J135" s="640">
        <v>0</v>
      </c>
      <c r="K135" s="640">
        <v>0</v>
      </c>
      <c r="L135" s="640">
        <v>0</v>
      </c>
      <c r="M135" s="640">
        <v>0</v>
      </c>
      <c r="N135" s="640">
        <v>0</v>
      </c>
      <c r="O135" s="640">
        <v>0</v>
      </c>
      <c r="P135" s="640">
        <v>0</v>
      </c>
      <c r="Q135" s="640">
        <v>0</v>
      </c>
      <c r="R135" s="640">
        <v>0</v>
      </c>
      <c r="S135" s="648">
        <v>0</v>
      </c>
      <c r="U135" s="646" t="s">
        <v>352</v>
      </c>
      <c r="V135" s="640">
        <v>0</v>
      </c>
      <c r="W135" s="640">
        <v>0</v>
      </c>
      <c r="X135" s="640">
        <v>0</v>
      </c>
      <c r="Y135" s="640">
        <v>0</v>
      </c>
      <c r="Z135" s="640">
        <v>0</v>
      </c>
      <c r="AA135" s="640">
        <v>0</v>
      </c>
      <c r="AB135" s="640">
        <v>0</v>
      </c>
      <c r="AC135" s="640">
        <v>0</v>
      </c>
      <c r="AD135" s="640">
        <v>-17.985934640167208</v>
      </c>
      <c r="AE135" s="640">
        <v>0</v>
      </c>
      <c r="AF135" s="640">
        <v>0</v>
      </c>
      <c r="AG135" s="640">
        <v>0</v>
      </c>
      <c r="AH135" s="640">
        <v>0</v>
      </c>
      <c r="AI135" s="640">
        <v>0</v>
      </c>
      <c r="AJ135" s="640">
        <v>0</v>
      </c>
      <c r="AK135" s="648">
        <v>-17.985934640167208</v>
      </c>
    </row>
    <row r="136" spans="3:37" x14ac:dyDescent="0.2">
      <c r="C136" s="646" t="s">
        <v>73</v>
      </c>
      <c r="D136" s="640">
        <v>0</v>
      </c>
      <c r="E136" s="640">
        <v>0</v>
      </c>
      <c r="F136" s="640">
        <v>0</v>
      </c>
      <c r="G136" s="640">
        <v>7.0830222331165276</v>
      </c>
      <c r="H136" s="640">
        <v>0</v>
      </c>
      <c r="I136" s="640">
        <v>0</v>
      </c>
      <c r="J136" s="640">
        <v>0</v>
      </c>
      <c r="K136" s="640">
        <v>8.2131519400701847E-2</v>
      </c>
      <c r="L136" s="640">
        <v>0</v>
      </c>
      <c r="M136" s="640">
        <v>0.14455147414523528</v>
      </c>
      <c r="N136" s="640">
        <v>0</v>
      </c>
      <c r="O136" s="640">
        <v>0</v>
      </c>
      <c r="P136" s="640">
        <v>0.90023160054861806</v>
      </c>
      <c r="Q136" s="640">
        <v>0</v>
      </c>
      <c r="R136" s="640">
        <v>-5.7492063580491291</v>
      </c>
      <c r="S136" s="648">
        <v>2.4607304691619536</v>
      </c>
      <c r="U136" s="646" t="s">
        <v>73</v>
      </c>
      <c r="V136" s="640">
        <v>0</v>
      </c>
      <c r="W136" s="640">
        <v>0</v>
      </c>
      <c r="X136" s="640">
        <v>0</v>
      </c>
      <c r="Y136" s="640">
        <v>2.5209228009552263</v>
      </c>
      <c r="Z136" s="640">
        <v>0</v>
      </c>
      <c r="AA136" s="640">
        <v>0</v>
      </c>
      <c r="AB136" s="640">
        <v>0</v>
      </c>
      <c r="AC136" s="640">
        <v>0.50418456019104518</v>
      </c>
      <c r="AD136" s="640">
        <v>0</v>
      </c>
      <c r="AE136" s="640">
        <v>2.5209228009552263</v>
      </c>
      <c r="AF136" s="640">
        <v>0</v>
      </c>
      <c r="AG136" s="640">
        <v>0</v>
      </c>
      <c r="AH136" s="640">
        <v>44.712737508757456</v>
      </c>
      <c r="AI136" s="640">
        <v>0</v>
      </c>
      <c r="AJ136" s="640">
        <v>-35.29291921337316</v>
      </c>
      <c r="AK136" s="648">
        <v>14.965848457485791</v>
      </c>
    </row>
    <row r="137" spans="3:37" x14ac:dyDescent="0.2">
      <c r="C137" s="646" t="s">
        <v>353</v>
      </c>
      <c r="D137" s="640">
        <v>28.568314687499999</v>
      </c>
      <c r="E137" s="640">
        <v>-17.390343348799608</v>
      </c>
      <c r="F137" s="640">
        <v>22.745541936068136</v>
      </c>
      <c r="G137" s="640">
        <v>0</v>
      </c>
      <c r="H137" s="640">
        <v>0</v>
      </c>
      <c r="I137" s="640">
        <v>0</v>
      </c>
      <c r="J137" s="640">
        <v>0</v>
      </c>
      <c r="K137" s="640">
        <v>0</v>
      </c>
      <c r="L137" s="640">
        <v>0</v>
      </c>
      <c r="M137" s="640">
        <v>0</v>
      </c>
      <c r="N137" s="640">
        <v>0</v>
      </c>
      <c r="O137" s="640">
        <v>0</v>
      </c>
      <c r="P137" s="640">
        <v>0</v>
      </c>
      <c r="Q137" s="640">
        <v>0</v>
      </c>
      <c r="R137" s="640">
        <v>0</v>
      </c>
      <c r="S137" s="648">
        <v>33.923513274768524</v>
      </c>
      <c r="U137" s="646" t="s">
        <v>353</v>
      </c>
      <c r="V137" s="640">
        <v>1.4001075134277343</v>
      </c>
      <c r="W137" s="640">
        <v>-6.8176938713802535</v>
      </c>
      <c r="X137" s="640">
        <v>8.9171408952922331</v>
      </c>
      <c r="Y137" s="640">
        <v>0</v>
      </c>
      <c r="Z137" s="640">
        <v>0</v>
      </c>
      <c r="AA137" s="640">
        <v>0</v>
      </c>
      <c r="AB137" s="640">
        <v>0</v>
      </c>
      <c r="AC137" s="640">
        <v>0</v>
      </c>
      <c r="AD137" s="640">
        <v>0</v>
      </c>
      <c r="AE137" s="640">
        <v>0</v>
      </c>
      <c r="AF137" s="640">
        <v>0</v>
      </c>
      <c r="AG137" s="640">
        <v>0</v>
      </c>
      <c r="AH137" s="640">
        <v>0</v>
      </c>
      <c r="AI137" s="640">
        <v>0</v>
      </c>
      <c r="AJ137" s="640">
        <v>0</v>
      </c>
      <c r="AK137" s="648">
        <v>3.4995545373397139</v>
      </c>
    </row>
    <row r="138" spans="3:37" x14ac:dyDescent="0.2">
      <c r="C138" s="646" t="s">
        <v>75</v>
      </c>
      <c r="D138" s="640">
        <v>11.109900156250001</v>
      </c>
      <c r="E138" s="640">
        <v>0</v>
      </c>
      <c r="F138" s="640">
        <v>17.0641175716937</v>
      </c>
      <c r="G138" s="640">
        <v>4.8692961376638904</v>
      </c>
      <c r="H138" s="640">
        <v>0</v>
      </c>
      <c r="I138" s="640">
        <v>0</v>
      </c>
      <c r="J138" s="640">
        <v>0</v>
      </c>
      <c r="K138" s="640">
        <v>0</v>
      </c>
      <c r="L138" s="640">
        <v>0</v>
      </c>
      <c r="M138" s="640">
        <v>9.9373390564569189E-2</v>
      </c>
      <c r="N138" s="640">
        <v>0</v>
      </c>
      <c r="O138" s="640">
        <v>0</v>
      </c>
      <c r="P138" s="640">
        <v>27.977940148174714</v>
      </c>
      <c r="Q138" s="640">
        <v>0</v>
      </c>
      <c r="R138" s="640">
        <v>0</v>
      </c>
      <c r="S138" s="648">
        <v>61.12062740434687</v>
      </c>
      <c r="U138" s="646" t="s">
        <v>75</v>
      </c>
      <c r="V138" s="640">
        <v>2.585423095703125</v>
      </c>
      <c r="W138" s="640">
        <v>0</v>
      </c>
      <c r="X138" s="640">
        <v>17.0641175716937</v>
      </c>
      <c r="Y138" s="640">
        <v>2.4843347641142297</v>
      </c>
      <c r="Z138" s="640">
        <v>0</v>
      </c>
      <c r="AA138" s="640">
        <v>0</v>
      </c>
      <c r="AB138" s="640">
        <v>0</v>
      </c>
      <c r="AC138" s="640">
        <v>0</v>
      </c>
      <c r="AD138" s="640">
        <v>0</v>
      </c>
      <c r="AE138" s="640">
        <v>2.4843347641142297</v>
      </c>
      <c r="AF138" s="640">
        <v>0</v>
      </c>
      <c r="AG138" s="640">
        <v>0</v>
      </c>
      <c r="AH138" s="640">
        <v>36.559985602720168</v>
      </c>
      <c r="AI138" s="640">
        <v>0</v>
      </c>
      <c r="AJ138" s="640">
        <v>0</v>
      </c>
      <c r="AK138" s="648">
        <v>61.178195798345449</v>
      </c>
    </row>
    <row r="139" spans="3:37" x14ac:dyDescent="0.2">
      <c r="C139" s="646" t="s">
        <v>76</v>
      </c>
      <c r="D139" s="640">
        <v>0</v>
      </c>
      <c r="E139" s="640">
        <v>0</v>
      </c>
      <c r="F139" s="640">
        <v>0</v>
      </c>
      <c r="G139" s="640">
        <v>3.7302503173667452</v>
      </c>
      <c r="H139" s="640">
        <v>0</v>
      </c>
      <c r="I139" s="640">
        <v>0</v>
      </c>
      <c r="J139" s="640">
        <v>0</v>
      </c>
      <c r="K139" s="640">
        <v>0</v>
      </c>
      <c r="L139" s="640">
        <v>0</v>
      </c>
      <c r="M139" s="640">
        <v>7.6127557497280507E-2</v>
      </c>
      <c r="N139" s="640">
        <v>0</v>
      </c>
      <c r="O139" s="640">
        <v>0</v>
      </c>
      <c r="P139" s="640">
        <v>45.919010237367587</v>
      </c>
      <c r="Q139" s="640">
        <v>2.9343505562312622</v>
      </c>
      <c r="R139" s="640">
        <v>0</v>
      </c>
      <c r="S139" s="648">
        <v>52.659738668462872</v>
      </c>
      <c r="U139" s="646" t="s">
        <v>76</v>
      </c>
      <c r="V139" s="640">
        <v>0</v>
      </c>
      <c r="W139" s="640">
        <v>0</v>
      </c>
      <c r="X139" s="640">
        <v>0</v>
      </c>
      <c r="Y139" s="640">
        <v>0.95944671778813329</v>
      </c>
      <c r="Z139" s="640">
        <v>0</v>
      </c>
      <c r="AA139" s="640">
        <v>0</v>
      </c>
      <c r="AB139" s="640">
        <v>0</v>
      </c>
      <c r="AC139" s="640">
        <v>0</v>
      </c>
      <c r="AD139" s="640">
        <v>0</v>
      </c>
      <c r="AE139" s="640">
        <v>0.95944671778813329</v>
      </c>
      <c r="AF139" s="640">
        <v>0</v>
      </c>
      <c r="AG139" s="640">
        <v>0</v>
      </c>
      <c r="AH139" s="640">
        <v>49.138117436745475</v>
      </c>
      <c r="AI139" s="640">
        <v>5.7424951548403769</v>
      </c>
      <c r="AJ139" s="640">
        <v>0</v>
      </c>
      <c r="AK139" s="648">
        <v>56.799506027162117</v>
      </c>
    </row>
    <row r="140" spans="3:37" x14ac:dyDescent="0.2">
      <c r="C140" s="644" t="s">
        <v>77</v>
      </c>
      <c r="D140" s="645">
        <v>42.505000484775252</v>
      </c>
      <c r="E140" s="645">
        <v>484.495467583368</v>
      </c>
      <c r="F140" s="645">
        <v>-449.13421563675462</v>
      </c>
      <c r="G140" s="645">
        <v>47.207234809306371</v>
      </c>
      <c r="H140" s="645">
        <v>843.18181818181824</v>
      </c>
      <c r="I140" s="645">
        <v>306.94588327561422</v>
      </c>
      <c r="J140" s="645">
        <v>75.087544766016393</v>
      </c>
      <c r="K140" s="645">
        <v>18.554763704158422</v>
      </c>
      <c r="L140" s="645">
        <v>-23.523971773378101</v>
      </c>
      <c r="M140" s="645">
        <v>-5.3154503193453246</v>
      </c>
      <c r="N140" s="645">
        <v>0</v>
      </c>
      <c r="O140" s="645">
        <v>9.1176200722123912</v>
      </c>
      <c r="P140" s="645">
        <v>-542.13274839202359</v>
      </c>
      <c r="Q140" s="645">
        <v>-34.870731395116664</v>
      </c>
      <c r="R140" s="645">
        <v>-5.7492063580491291</v>
      </c>
      <c r="S140" s="645">
        <v>766.36900900260184</v>
      </c>
      <c r="U140" s="644" t="s">
        <v>77</v>
      </c>
      <c r="V140" s="645">
        <v>4.6118455145895494</v>
      </c>
      <c r="W140" s="645">
        <v>189.94114801549574</v>
      </c>
      <c r="X140" s="645">
        <v>-164.75055368632826</v>
      </c>
      <c r="Y140" s="645">
        <v>14.771936460533603</v>
      </c>
      <c r="Z140" s="645">
        <v>842.12121212121212</v>
      </c>
      <c r="AA140" s="645">
        <v>361.66588327561419</v>
      </c>
      <c r="AB140" s="645">
        <v>138.19810981289308</v>
      </c>
      <c r="AC140" s="645">
        <v>31.958068806629939</v>
      </c>
      <c r="AD140" s="645">
        <v>-114.15604749086444</v>
      </c>
      <c r="AE140" s="645">
        <v>-66.000175998632287</v>
      </c>
      <c r="AF140" s="645">
        <v>0</v>
      </c>
      <c r="AG140" s="645">
        <v>19.568792039795159</v>
      </c>
      <c r="AH140" s="645">
        <v>-532.33908982989124</v>
      </c>
      <c r="AI140" s="645">
        <v>-68.301024235701377</v>
      </c>
      <c r="AJ140" s="645">
        <v>-31.04291921337316</v>
      </c>
      <c r="AK140" s="645">
        <v>626.24718559197242</v>
      </c>
    </row>
    <row r="141" spans="3:37" x14ac:dyDescent="0.2">
      <c r="C141" s="634"/>
      <c r="D141" s="634">
        <v>0</v>
      </c>
      <c r="E141" s="634">
        <v>0</v>
      </c>
      <c r="F141" s="634">
        <v>0</v>
      </c>
      <c r="G141" s="634">
        <v>0</v>
      </c>
      <c r="H141" s="634">
        <v>0</v>
      </c>
      <c r="I141" s="634">
        <v>0</v>
      </c>
      <c r="J141" s="634">
        <v>0</v>
      </c>
      <c r="K141" s="634">
        <v>0</v>
      </c>
      <c r="L141" s="634">
        <v>0</v>
      </c>
      <c r="M141" s="634">
        <v>0</v>
      </c>
      <c r="N141" s="634">
        <v>0</v>
      </c>
      <c r="O141" s="634">
        <v>0</v>
      </c>
      <c r="P141" s="634">
        <v>0</v>
      </c>
      <c r="Q141" s="634">
        <v>0</v>
      </c>
      <c r="R141" s="634">
        <v>0</v>
      </c>
      <c r="S141" s="634">
        <v>0</v>
      </c>
      <c r="U141" s="634"/>
      <c r="V141" s="634">
        <v>0</v>
      </c>
      <c r="W141" s="634">
        <v>0</v>
      </c>
      <c r="X141" s="634">
        <v>0</v>
      </c>
      <c r="Y141" s="634">
        <v>0</v>
      </c>
      <c r="Z141" s="634">
        <v>0</v>
      </c>
      <c r="AA141" s="634">
        <v>0</v>
      </c>
      <c r="AB141" s="634">
        <v>0</v>
      </c>
      <c r="AC141" s="634">
        <v>0</v>
      </c>
      <c r="AD141" s="634">
        <v>0</v>
      </c>
      <c r="AE141" s="634">
        <v>0</v>
      </c>
      <c r="AF141" s="634">
        <v>0</v>
      </c>
      <c r="AG141" s="634">
        <v>0</v>
      </c>
      <c r="AH141" s="634">
        <v>0</v>
      </c>
      <c r="AI141" s="634">
        <v>0</v>
      </c>
      <c r="AJ141" s="634">
        <v>0</v>
      </c>
      <c r="AK141" s="634">
        <v>0</v>
      </c>
    </row>
    <row r="142" spans="3:37" x14ac:dyDescent="0.2">
      <c r="C142" s="646" t="s">
        <v>78</v>
      </c>
      <c r="D142" s="640">
        <v>4.6398193944555786</v>
      </c>
      <c r="E142" s="640">
        <v>0</v>
      </c>
      <c r="F142" s="640">
        <v>20.598782441852151</v>
      </c>
      <c r="G142" s="640">
        <v>94.839699954986926</v>
      </c>
      <c r="H142" s="640">
        <v>0</v>
      </c>
      <c r="I142" s="640">
        <v>0</v>
      </c>
      <c r="J142" s="640">
        <v>21.821162214793436</v>
      </c>
      <c r="K142" s="640">
        <v>1.7366010173968038</v>
      </c>
      <c r="L142" s="640">
        <v>0.96096945898437491</v>
      </c>
      <c r="M142" s="640">
        <v>1.9539169420126139</v>
      </c>
      <c r="N142" s="640">
        <v>0</v>
      </c>
      <c r="O142" s="640">
        <v>3.7537634069694789E-4</v>
      </c>
      <c r="P142" s="640">
        <v>113.419965125608</v>
      </c>
      <c r="Q142" s="640">
        <v>16.150451210263412</v>
      </c>
      <c r="R142" s="640">
        <v>0.26695886230468752</v>
      </c>
      <c r="S142" s="648">
        <v>276.38870199899873</v>
      </c>
      <c r="U142" s="646" t="s">
        <v>78</v>
      </c>
      <c r="V142" s="640">
        <v>1.264986561669641</v>
      </c>
      <c r="W142" s="640">
        <v>0</v>
      </c>
      <c r="X142" s="640">
        <v>4.4259635061357878</v>
      </c>
      <c r="Y142" s="640">
        <v>33.008089674756327</v>
      </c>
      <c r="Z142" s="640">
        <v>0</v>
      </c>
      <c r="AA142" s="640">
        <v>0</v>
      </c>
      <c r="AB142" s="640">
        <v>14.926911405045434</v>
      </c>
      <c r="AC142" s="640">
        <v>4.7591564459641997</v>
      </c>
      <c r="AD142" s="640">
        <v>6.4130046386718744</v>
      </c>
      <c r="AE142" s="640">
        <v>33.02650253605492</v>
      </c>
      <c r="AF142" s="640">
        <v>0</v>
      </c>
      <c r="AG142" s="640">
        <v>3.7537634069694789E-4</v>
      </c>
      <c r="AH142" s="640">
        <v>148.98135712801343</v>
      </c>
      <c r="AI142" s="640">
        <v>24.187634778338289</v>
      </c>
      <c r="AJ142" s="640">
        <v>7.9027373046875002</v>
      </c>
      <c r="AK142" s="648">
        <v>278.8967193556781</v>
      </c>
    </row>
    <row r="143" spans="3:37" x14ac:dyDescent="0.2">
      <c r="C143" s="646" t="s">
        <v>79</v>
      </c>
      <c r="D143" s="640">
        <v>0</v>
      </c>
      <c r="E143" s="640">
        <v>0</v>
      </c>
      <c r="F143" s="640">
        <v>225.72324837131151</v>
      </c>
      <c r="G143" s="640">
        <v>31.930807664827714</v>
      </c>
      <c r="H143" s="640">
        <v>0</v>
      </c>
      <c r="I143" s="640">
        <v>0</v>
      </c>
      <c r="J143" s="640">
        <v>0</v>
      </c>
      <c r="K143" s="640">
        <v>0</v>
      </c>
      <c r="L143" s="640">
        <v>21.777356740546686</v>
      </c>
      <c r="M143" s="640">
        <v>0.65164913601689212</v>
      </c>
      <c r="N143" s="640">
        <v>0</v>
      </c>
      <c r="O143" s="640">
        <v>0</v>
      </c>
      <c r="P143" s="640">
        <v>72.885841088882287</v>
      </c>
      <c r="Q143" s="640">
        <v>0</v>
      </c>
      <c r="R143" s="640">
        <v>2.6521266956987635</v>
      </c>
      <c r="S143" s="648">
        <v>355.62102969728386</v>
      </c>
      <c r="U143" s="646" t="s">
        <v>79</v>
      </c>
      <c r="V143" s="640">
        <v>0</v>
      </c>
      <c r="W143" s="640">
        <v>0</v>
      </c>
      <c r="X143" s="640">
        <v>19.003305935487372</v>
      </c>
      <c r="Y143" s="640">
        <v>13.267062862305856</v>
      </c>
      <c r="Z143" s="640">
        <v>0</v>
      </c>
      <c r="AA143" s="640">
        <v>0</v>
      </c>
      <c r="AB143" s="640">
        <v>0</v>
      </c>
      <c r="AC143" s="640">
        <v>0</v>
      </c>
      <c r="AD143" s="640">
        <v>27.757428454399612</v>
      </c>
      <c r="AE143" s="640">
        <v>13.267062862305856</v>
      </c>
      <c r="AF143" s="640">
        <v>0</v>
      </c>
      <c r="AG143" s="640">
        <v>0</v>
      </c>
      <c r="AH143" s="640">
        <v>94.556676700547257</v>
      </c>
      <c r="AI143" s="640">
        <v>0</v>
      </c>
      <c r="AJ143" s="640">
        <v>6.3130917169295051</v>
      </c>
      <c r="AK143" s="648">
        <v>174.16462853197544</v>
      </c>
    </row>
    <row r="144" spans="3:37" x14ac:dyDescent="0.2">
      <c r="C144" s="646" t="s">
        <v>80</v>
      </c>
      <c r="D144" s="640">
        <v>0</v>
      </c>
      <c r="E144" s="640">
        <v>0</v>
      </c>
      <c r="F144" s="640">
        <v>11.075929176351762</v>
      </c>
      <c r="G144" s="640">
        <v>76.664751333295058</v>
      </c>
      <c r="H144" s="640">
        <v>0</v>
      </c>
      <c r="I144" s="640">
        <v>0</v>
      </c>
      <c r="J144" s="640">
        <v>88.320247059496523</v>
      </c>
      <c r="K144" s="640">
        <v>0</v>
      </c>
      <c r="L144" s="640">
        <v>0</v>
      </c>
      <c r="M144" s="640">
        <v>1.5645867619039808</v>
      </c>
      <c r="N144" s="640">
        <v>59.616390446150973</v>
      </c>
      <c r="O144" s="640">
        <v>2.0734984243972754</v>
      </c>
      <c r="P144" s="640">
        <v>190.93239321884863</v>
      </c>
      <c r="Q144" s="640">
        <v>15.360003531773184</v>
      </c>
      <c r="R144" s="640">
        <v>0</v>
      </c>
      <c r="S144" s="648">
        <v>445.60779995221742</v>
      </c>
      <c r="U144" s="646" t="s">
        <v>80</v>
      </c>
      <c r="V144" s="640">
        <v>0</v>
      </c>
      <c r="W144" s="640">
        <v>0</v>
      </c>
      <c r="X144" s="640">
        <v>0.97925934500211753</v>
      </c>
      <c r="Y144" s="640">
        <v>9.8253088649292142</v>
      </c>
      <c r="Z144" s="640">
        <v>0</v>
      </c>
      <c r="AA144" s="640">
        <v>0</v>
      </c>
      <c r="AB144" s="640">
        <v>50.204880630535357</v>
      </c>
      <c r="AC144" s="640">
        <v>0</v>
      </c>
      <c r="AD144" s="640">
        <v>0</v>
      </c>
      <c r="AE144" s="640">
        <v>9.8253088649292142</v>
      </c>
      <c r="AF144" s="640">
        <v>95.02342184325245</v>
      </c>
      <c r="AG144" s="640">
        <v>4.208312775429496</v>
      </c>
      <c r="AH144" s="640">
        <v>144.38732956018927</v>
      </c>
      <c r="AI144" s="640">
        <v>30.75075127630511</v>
      </c>
      <c r="AJ144" s="640">
        <v>0</v>
      </c>
      <c r="AK144" s="648">
        <v>345.20457316057224</v>
      </c>
    </row>
    <row r="145" spans="3:37" x14ac:dyDescent="0.2">
      <c r="C145" s="646" t="s">
        <v>81</v>
      </c>
      <c r="D145" s="640">
        <v>0</v>
      </c>
      <c r="E145" s="640">
        <v>0</v>
      </c>
      <c r="F145" s="640">
        <v>2.6743117433405894</v>
      </c>
      <c r="G145" s="640">
        <v>62.987223173923248</v>
      </c>
      <c r="H145" s="640">
        <v>0</v>
      </c>
      <c r="I145" s="640">
        <v>0</v>
      </c>
      <c r="J145" s="640">
        <v>3.1384766478070549</v>
      </c>
      <c r="K145" s="640">
        <v>2.5274117631643136E-2</v>
      </c>
      <c r="L145" s="640">
        <v>0</v>
      </c>
      <c r="M145" s="640">
        <v>1.2854535341616988</v>
      </c>
      <c r="N145" s="640">
        <v>8.34801759276524</v>
      </c>
      <c r="O145" s="640">
        <v>0.71507622546549865</v>
      </c>
      <c r="P145" s="640">
        <v>142.0321146826426</v>
      </c>
      <c r="Q145" s="640">
        <v>3.3602766530800707</v>
      </c>
      <c r="R145" s="640">
        <v>0</v>
      </c>
      <c r="S145" s="648">
        <v>224.56622437081765</v>
      </c>
      <c r="U145" s="646" t="s">
        <v>81</v>
      </c>
      <c r="V145" s="640">
        <v>0</v>
      </c>
      <c r="W145" s="640">
        <v>0</v>
      </c>
      <c r="X145" s="640">
        <v>1.2256055704751125</v>
      </c>
      <c r="Y145" s="640">
        <v>7.2918833253665882</v>
      </c>
      <c r="Z145" s="640">
        <v>0</v>
      </c>
      <c r="AA145" s="640">
        <v>0</v>
      </c>
      <c r="AB145" s="640">
        <v>6.8658928642747856</v>
      </c>
      <c r="AC145" s="640">
        <v>2.5274117631643136E-2</v>
      </c>
      <c r="AD145" s="640">
        <v>0</v>
      </c>
      <c r="AE145" s="640">
        <v>7.2918833253665882</v>
      </c>
      <c r="AF145" s="640">
        <v>14.828462979838848</v>
      </c>
      <c r="AG145" s="640">
        <v>1.5197231438340593</v>
      </c>
      <c r="AH145" s="640">
        <v>114.40426288608282</v>
      </c>
      <c r="AI145" s="640">
        <v>13.362638181057982</v>
      </c>
      <c r="AJ145" s="640">
        <v>0</v>
      </c>
      <c r="AK145" s="648">
        <v>166.8156263939284</v>
      </c>
    </row>
    <row r="146" spans="3:37" x14ac:dyDescent="0.2">
      <c r="C146" s="646" t="s">
        <v>82</v>
      </c>
      <c r="D146" s="640">
        <v>0</v>
      </c>
      <c r="E146" s="640">
        <v>0</v>
      </c>
      <c r="F146" s="640">
        <v>27.931723909553636</v>
      </c>
      <c r="G146" s="640">
        <v>0.95472649492283324</v>
      </c>
      <c r="H146" s="640">
        <v>0</v>
      </c>
      <c r="I146" s="640">
        <v>0</v>
      </c>
      <c r="J146" s="640">
        <v>4.6306119511950978</v>
      </c>
      <c r="K146" s="640">
        <v>0</v>
      </c>
      <c r="L146" s="640">
        <v>3.1934862443619529</v>
      </c>
      <c r="M146" s="640">
        <v>1.9484214182098638E-2</v>
      </c>
      <c r="N146" s="640">
        <v>0</v>
      </c>
      <c r="O146" s="640">
        <v>6.6456137421005312E-2</v>
      </c>
      <c r="P146" s="640">
        <v>5.7660712732306445</v>
      </c>
      <c r="Q146" s="640">
        <v>0</v>
      </c>
      <c r="R146" s="640">
        <v>0</v>
      </c>
      <c r="S146" s="648">
        <v>42.562560224867276</v>
      </c>
      <c r="U146" s="646" t="s">
        <v>82</v>
      </c>
      <c r="V146" s="640">
        <v>0</v>
      </c>
      <c r="W146" s="640">
        <v>0</v>
      </c>
      <c r="X146" s="640">
        <v>3.5775053425595864</v>
      </c>
      <c r="Y146" s="640">
        <v>0.56393102033742082</v>
      </c>
      <c r="Z146" s="640">
        <v>0</v>
      </c>
      <c r="AA146" s="640">
        <v>0</v>
      </c>
      <c r="AB146" s="640">
        <v>4.6306119511950978</v>
      </c>
      <c r="AC146" s="640">
        <v>0</v>
      </c>
      <c r="AD146" s="640">
        <v>32.861113305842508</v>
      </c>
      <c r="AE146" s="640">
        <v>0.56393102033742082</v>
      </c>
      <c r="AF146" s="640">
        <v>0</v>
      </c>
      <c r="AG146" s="640">
        <v>1.7440136932478227</v>
      </c>
      <c r="AH146" s="640">
        <v>5.8866318405152116</v>
      </c>
      <c r="AI146" s="640">
        <v>0</v>
      </c>
      <c r="AJ146" s="640">
        <v>0.38427420359697795</v>
      </c>
      <c r="AK146" s="648">
        <v>50.21201237763205</v>
      </c>
    </row>
    <row r="147" spans="3:37" x14ac:dyDescent="0.2">
      <c r="C147" s="646" t="s">
        <v>354</v>
      </c>
      <c r="D147" s="640">
        <v>0</v>
      </c>
      <c r="E147" s="640">
        <v>0</v>
      </c>
      <c r="F147" s="640">
        <v>0</v>
      </c>
      <c r="G147" s="640">
        <v>0</v>
      </c>
      <c r="H147" s="640">
        <v>0</v>
      </c>
      <c r="I147" s="640">
        <v>0</v>
      </c>
      <c r="J147" s="640">
        <v>0</v>
      </c>
      <c r="K147" s="640">
        <v>0</v>
      </c>
      <c r="L147" s="640">
        <v>0</v>
      </c>
      <c r="M147" s="640">
        <v>0</v>
      </c>
      <c r="N147" s="640">
        <v>0</v>
      </c>
      <c r="O147" s="640">
        <v>0</v>
      </c>
      <c r="P147" s="640">
        <v>0.39</v>
      </c>
      <c r="Q147" s="640">
        <v>0</v>
      </c>
      <c r="R147" s="640">
        <v>0</v>
      </c>
      <c r="S147" s="648">
        <v>0.39</v>
      </c>
      <c r="U147" s="646" t="s">
        <v>354</v>
      </c>
      <c r="V147" s="640">
        <v>0</v>
      </c>
      <c r="W147" s="640">
        <v>0</v>
      </c>
      <c r="X147" s="640">
        <v>0</v>
      </c>
      <c r="Y147" s="640">
        <v>0</v>
      </c>
      <c r="Z147" s="640">
        <v>0</v>
      </c>
      <c r="AA147" s="640">
        <v>0</v>
      </c>
      <c r="AB147" s="640">
        <v>0</v>
      </c>
      <c r="AC147" s="640">
        <v>0</v>
      </c>
      <c r="AD147" s="640">
        <v>0</v>
      </c>
      <c r="AE147" s="640">
        <v>0</v>
      </c>
      <c r="AF147" s="640">
        <v>0</v>
      </c>
      <c r="AG147" s="640">
        <v>0</v>
      </c>
      <c r="AH147" s="640">
        <v>3.5999999999999996</v>
      </c>
      <c r="AI147" s="640">
        <v>0</v>
      </c>
      <c r="AJ147" s="640">
        <v>0</v>
      </c>
      <c r="AK147" s="648">
        <v>3.5999999999999996</v>
      </c>
    </row>
    <row r="148" spans="3:37" x14ac:dyDescent="0.2">
      <c r="C148" s="644" t="s">
        <v>83</v>
      </c>
      <c r="D148" s="645">
        <v>4.6398193944555786</v>
      </c>
      <c r="E148" s="645">
        <v>0</v>
      </c>
      <c r="F148" s="645">
        <v>288.00399564240968</v>
      </c>
      <c r="G148" s="645">
        <v>267.37720862195579</v>
      </c>
      <c r="H148" s="645">
        <v>0</v>
      </c>
      <c r="I148" s="645">
        <v>0</v>
      </c>
      <c r="J148" s="645">
        <v>117.91049787329212</v>
      </c>
      <c r="K148" s="645">
        <v>1.7618751350284469</v>
      </c>
      <c r="L148" s="645">
        <v>25.931812443893016</v>
      </c>
      <c r="M148" s="645">
        <v>5.4750905882772853</v>
      </c>
      <c r="N148" s="645">
        <v>67.964408038916218</v>
      </c>
      <c r="O148" s="645">
        <v>2.8554061636244761</v>
      </c>
      <c r="P148" s="645">
        <v>525.4263853892121</v>
      </c>
      <c r="Q148" s="645">
        <v>34.870731395116664</v>
      </c>
      <c r="R148" s="645">
        <v>2.9190855580034509</v>
      </c>
      <c r="S148" s="645">
        <v>1345.1363162441851</v>
      </c>
      <c r="U148" s="644" t="s">
        <v>83</v>
      </c>
      <c r="V148" s="645">
        <v>1.264986561669641</v>
      </c>
      <c r="W148" s="645">
        <v>0</v>
      </c>
      <c r="X148" s="645">
        <v>29.211639699659976</v>
      </c>
      <c r="Y148" s="645">
        <v>63.956275747695408</v>
      </c>
      <c r="Z148" s="645">
        <v>0</v>
      </c>
      <c r="AA148" s="645">
        <v>0</v>
      </c>
      <c r="AB148" s="645">
        <v>76.628296851050663</v>
      </c>
      <c r="AC148" s="645">
        <v>4.7844305635958433</v>
      </c>
      <c r="AD148" s="645">
        <v>67.031546398914003</v>
      </c>
      <c r="AE148" s="645">
        <v>63.974688608994001</v>
      </c>
      <c r="AF148" s="645">
        <v>109.8518848230913</v>
      </c>
      <c r="AG148" s="645">
        <v>7.4724249888520751</v>
      </c>
      <c r="AH148" s="645">
        <v>511.81625811534803</v>
      </c>
      <c r="AI148" s="645">
        <v>68.301024235701377</v>
      </c>
      <c r="AJ148" s="645">
        <v>14.600103225213982</v>
      </c>
      <c r="AK148" s="645">
        <v>1018.8935598197862</v>
      </c>
    </row>
    <row r="149" spans="3:37" x14ac:dyDescent="0.2">
      <c r="C149" s="639" t="s">
        <v>84</v>
      </c>
      <c r="D149" s="640">
        <v>0</v>
      </c>
      <c r="E149" s="640">
        <v>0</v>
      </c>
      <c r="F149" s="640">
        <v>104.91003257681685</v>
      </c>
      <c r="G149" s="640">
        <v>11.505661507854215</v>
      </c>
      <c r="H149" s="640">
        <v>0</v>
      </c>
      <c r="I149" s="640">
        <v>0</v>
      </c>
      <c r="J149" s="640">
        <v>0</v>
      </c>
      <c r="K149" s="640">
        <v>0</v>
      </c>
      <c r="L149" s="640">
        <v>0</v>
      </c>
      <c r="M149" s="640">
        <v>0</v>
      </c>
      <c r="N149" s="640">
        <v>0</v>
      </c>
      <c r="O149" s="640">
        <v>0</v>
      </c>
      <c r="P149" s="640">
        <v>0</v>
      </c>
      <c r="Q149" s="640">
        <v>0</v>
      </c>
      <c r="R149" s="640">
        <v>2.8301208000456781</v>
      </c>
      <c r="S149" s="648">
        <v>119.24581488471674</v>
      </c>
      <c r="U149" s="639" t="s">
        <v>84</v>
      </c>
      <c r="V149" s="640">
        <v>0</v>
      </c>
      <c r="W149" s="640">
        <v>0</v>
      </c>
      <c r="X149" s="640">
        <v>70.401025384734808</v>
      </c>
      <c r="Y149" s="640">
        <v>0.81519182748409058</v>
      </c>
      <c r="Z149" s="640">
        <v>0</v>
      </c>
      <c r="AA149" s="640">
        <v>0</v>
      </c>
      <c r="AB149" s="640">
        <v>0</v>
      </c>
      <c r="AC149" s="640">
        <v>0</v>
      </c>
      <c r="AD149" s="640">
        <v>24.563190847778323</v>
      </c>
      <c r="AE149" s="640">
        <v>0</v>
      </c>
      <c r="AF149" s="640">
        <v>0</v>
      </c>
      <c r="AG149" s="640">
        <v>0</v>
      </c>
      <c r="AH149" s="640">
        <v>0</v>
      </c>
      <c r="AI149" s="640">
        <v>0</v>
      </c>
      <c r="AJ149" s="640">
        <v>16.442815988159179</v>
      </c>
      <c r="AK149" s="648">
        <v>112.22222404815641</v>
      </c>
    </row>
    <row r="150" spans="3:37" x14ac:dyDescent="0.2">
      <c r="C150" s="644" t="s">
        <v>85</v>
      </c>
      <c r="D150" s="645">
        <v>4.6398193944555786</v>
      </c>
      <c r="E150" s="645">
        <v>0</v>
      </c>
      <c r="F150" s="645">
        <v>392.91402821922651</v>
      </c>
      <c r="G150" s="645">
        <v>278.88287012980999</v>
      </c>
      <c r="H150" s="645">
        <v>0</v>
      </c>
      <c r="I150" s="645">
        <v>0</v>
      </c>
      <c r="J150" s="645">
        <v>117.91049787329212</v>
      </c>
      <c r="K150" s="645">
        <v>1.7618751350284469</v>
      </c>
      <c r="L150" s="645">
        <v>25.931812443893016</v>
      </c>
      <c r="M150" s="645">
        <v>5.4750905882772853</v>
      </c>
      <c r="N150" s="645">
        <v>67.964408038916218</v>
      </c>
      <c r="O150" s="645">
        <v>2.8554061636244761</v>
      </c>
      <c r="P150" s="645">
        <v>525.4263853892121</v>
      </c>
      <c r="Q150" s="645">
        <v>34.870731395116664</v>
      </c>
      <c r="R150" s="645">
        <v>5.7492063580491291</v>
      </c>
      <c r="S150" s="645">
        <v>1464.3821311289018</v>
      </c>
      <c r="U150" s="644" t="s">
        <v>85</v>
      </c>
      <c r="V150" s="645">
        <v>1.264986561669641</v>
      </c>
      <c r="W150" s="645">
        <v>0</v>
      </c>
      <c r="X150" s="645">
        <v>99.612665084394791</v>
      </c>
      <c r="Y150" s="645">
        <v>64.7714675751795</v>
      </c>
      <c r="Z150" s="645">
        <v>0</v>
      </c>
      <c r="AA150" s="645">
        <v>0</v>
      </c>
      <c r="AB150" s="645">
        <v>76.628296851050663</v>
      </c>
      <c r="AC150" s="645">
        <v>4.7844305635958433</v>
      </c>
      <c r="AD150" s="645">
        <v>91.594737246692318</v>
      </c>
      <c r="AE150" s="645">
        <v>63.974688608994001</v>
      </c>
      <c r="AF150" s="645">
        <v>109.8518848230913</v>
      </c>
      <c r="AG150" s="645">
        <v>7.4724249888520751</v>
      </c>
      <c r="AH150" s="645">
        <v>511.81625811534803</v>
      </c>
      <c r="AI150" s="645">
        <v>68.301024235701377</v>
      </c>
      <c r="AJ150" s="645">
        <v>31.04291921337316</v>
      </c>
      <c r="AK150" s="645">
        <v>1131.1157838679426</v>
      </c>
    </row>
    <row r="151" spans="3:37" x14ac:dyDescent="0.2">
      <c r="C151" s="634"/>
      <c r="D151" s="634"/>
      <c r="E151" s="634"/>
      <c r="F151" s="634"/>
      <c r="G151" s="634"/>
      <c r="H151" s="634"/>
      <c r="I151" s="634"/>
      <c r="J151" s="634"/>
      <c r="K151" s="634"/>
      <c r="L151" s="634"/>
      <c r="M151" s="634"/>
      <c r="N151" s="634"/>
      <c r="O151" s="634"/>
      <c r="P151" s="634"/>
      <c r="Q151" s="634"/>
      <c r="R151" s="634"/>
      <c r="S151" s="634"/>
      <c r="U151" s="634"/>
      <c r="V151" s="634"/>
      <c r="W151" s="634"/>
      <c r="X151" s="634"/>
      <c r="Y151" s="634"/>
      <c r="Z151" s="634"/>
      <c r="AA151" s="634"/>
      <c r="AB151" s="634"/>
      <c r="AC151" s="634"/>
      <c r="AD151" s="634"/>
      <c r="AE151" s="634"/>
      <c r="AF151" s="634"/>
      <c r="AG151" s="634"/>
      <c r="AH151" s="634"/>
      <c r="AI151" s="634"/>
      <c r="AJ151" s="634"/>
      <c r="AK151" s="634"/>
    </row>
    <row r="152" spans="3:37" ht="22.5" x14ac:dyDescent="0.3">
      <c r="C152" s="759" t="s">
        <v>89</v>
      </c>
      <c r="D152" s="759"/>
      <c r="E152" s="759"/>
      <c r="F152" s="759"/>
      <c r="G152" s="759"/>
      <c r="H152" s="759"/>
      <c r="I152" s="759"/>
      <c r="J152" s="759"/>
      <c r="K152" s="759"/>
      <c r="L152" s="759"/>
      <c r="M152" s="759"/>
      <c r="N152" s="759"/>
      <c r="O152" s="759"/>
      <c r="P152" s="759"/>
      <c r="Q152" s="759"/>
      <c r="R152" s="759"/>
      <c r="S152" s="759"/>
      <c r="U152" s="759" t="s">
        <v>89</v>
      </c>
      <c r="V152" s="759"/>
      <c r="W152" s="759"/>
      <c r="X152" s="759"/>
      <c r="Y152" s="759"/>
      <c r="Z152" s="759"/>
      <c r="AA152" s="759"/>
      <c r="AB152" s="759"/>
      <c r="AC152" s="759"/>
      <c r="AD152" s="759"/>
      <c r="AE152" s="759"/>
      <c r="AF152" s="759"/>
      <c r="AG152" s="759"/>
      <c r="AH152" s="759"/>
      <c r="AI152" s="759"/>
      <c r="AJ152" s="759"/>
      <c r="AK152" s="759"/>
    </row>
    <row r="153" spans="3:37" x14ac:dyDescent="0.2">
      <c r="C153" s="634"/>
      <c r="D153" s="634"/>
      <c r="E153" s="634"/>
      <c r="F153" s="634"/>
      <c r="G153" s="634"/>
      <c r="H153" s="634"/>
      <c r="I153" s="634"/>
      <c r="J153" s="634"/>
      <c r="K153" s="634"/>
      <c r="L153" s="634"/>
      <c r="M153" s="634"/>
      <c r="N153" s="634"/>
      <c r="O153" s="634"/>
      <c r="P153" s="634"/>
      <c r="Q153" s="634"/>
      <c r="R153" s="634"/>
      <c r="S153" s="634"/>
      <c r="U153" s="634"/>
      <c r="V153" s="634"/>
      <c r="W153" s="634"/>
      <c r="X153" s="634"/>
      <c r="Y153" s="634"/>
      <c r="Z153" s="634"/>
      <c r="AA153" s="634"/>
      <c r="AB153" s="634"/>
      <c r="AC153" s="634"/>
      <c r="AD153" s="634"/>
      <c r="AE153" s="634"/>
      <c r="AF153" s="634"/>
      <c r="AG153" s="634"/>
      <c r="AH153" s="634"/>
      <c r="AI153" s="634"/>
      <c r="AJ153" s="634"/>
      <c r="AK153" s="634"/>
    </row>
    <row r="154" spans="3:37" ht="12.95" customHeight="1" x14ac:dyDescent="0.2">
      <c r="C154" s="758" t="s">
        <v>128</v>
      </c>
      <c r="D154" s="757" t="s">
        <v>42</v>
      </c>
      <c r="E154" s="757" t="s">
        <v>52</v>
      </c>
      <c r="F154" s="757" t="s">
        <v>53</v>
      </c>
      <c r="G154" s="757" t="s">
        <v>32</v>
      </c>
      <c r="H154" s="757" t="s">
        <v>20</v>
      </c>
      <c r="I154" s="757" t="s">
        <v>55</v>
      </c>
      <c r="J154" s="757" t="s">
        <v>56</v>
      </c>
      <c r="K154" s="757"/>
      <c r="L154" s="757"/>
      <c r="M154" s="757"/>
      <c r="N154" s="757"/>
      <c r="O154" s="757"/>
      <c r="P154" s="757" t="s">
        <v>57</v>
      </c>
      <c r="Q154" s="757" t="s">
        <v>58</v>
      </c>
      <c r="R154" s="757" t="s">
        <v>31</v>
      </c>
      <c r="S154" s="757" t="s">
        <v>10</v>
      </c>
      <c r="U154" s="758" t="s">
        <v>128</v>
      </c>
      <c r="V154" s="757" t="s">
        <v>42</v>
      </c>
      <c r="W154" s="757" t="s">
        <v>52</v>
      </c>
      <c r="X154" s="757" t="s">
        <v>53</v>
      </c>
      <c r="Y154" s="757" t="s">
        <v>32</v>
      </c>
      <c r="Z154" s="757" t="s">
        <v>20</v>
      </c>
      <c r="AA154" s="757" t="s">
        <v>55</v>
      </c>
      <c r="AB154" s="757" t="s">
        <v>56</v>
      </c>
      <c r="AC154" s="757"/>
      <c r="AD154" s="757"/>
      <c r="AE154" s="757"/>
      <c r="AF154" s="757"/>
      <c r="AG154" s="757"/>
      <c r="AH154" s="757" t="s">
        <v>57</v>
      </c>
      <c r="AI154" s="757" t="s">
        <v>58</v>
      </c>
      <c r="AJ154" s="757" t="s">
        <v>31</v>
      </c>
      <c r="AK154" s="757" t="s">
        <v>10</v>
      </c>
    </row>
    <row r="155" spans="3:37" ht="56.25" x14ac:dyDescent="0.2">
      <c r="C155" s="758"/>
      <c r="D155" s="757"/>
      <c r="E155" s="757"/>
      <c r="F155" s="757"/>
      <c r="G155" s="757"/>
      <c r="H155" s="757"/>
      <c r="I155" s="757"/>
      <c r="J155" s="638" t="s">
        <v>335</v>
      </c>
      <c r="K155" s="638" t="s">
        <v>40</v>
      </c>
      <c r="L155" s="638" t="s">
        <v>343</v>
      </c>
      <c r="M155" s="638" t="s">
        <v>344</v>
      </c>
      <c r="N155" s="638" t="s">
        <v>345</v>
      </c>
      <c r="O155" s="638" t="s">
        <v>346</v>
      </c>
      <c r="P155" s="757"/>
      <c r="Q155" s="757"/>
      <c r="R155" s="757"/>
      <c r="S155" s="757"/>
      <c r="U155" s="758"/>
      <c r="V155" s="757"/>
      <c r="W155" s="757"/>
      <c r="X155" s="757"/>
      <c r="Y155" s="757"/>
      <c r="Z155" s="757"/>
      <c r="AA155" s="757"/>
      <c r="AB155" s="638" t="s">
        <v>335</v>
      </c>
      <c r="AC155" s="638" t="s">
        <v>40</v>
      </c>
      <c r="AD155" s="638" t="s">
        <v>343</v>
      </c>
      <c r="AE155" s="638" t="s">
        <v>344</v>
      </c>
      <c r="AF155" s="638" t="s">
        <v>345</v>
      </c>
      <c r="AG155" s="638" t="s">
        <v>346</v>
      </c>
      <c r="AH155" s="757"/>
      <c r="AI155" s="757"/>
      <c r="AJ155" s="757"/>
      <c r="AK155" s="757"/>
    </row>
    <row r="156" spans="3:37" x14ac:dyDescent="0.2">
      <c r="C156" s="639" t="s">
        <v>59</v>
      </c>
      <c r="D156" s="640">
        <v>0</v>
      </c>
      <c r="E156" s="641">
        <v>0</v>
      </c>
      <c r="F156" s="641">
        <v>0</v>
      </c>
      <c r="G156" s="640">
        <v>0</v>
      </c>
      <c r="H156" s="641">
        <v>727.27272727272737</v>
      </c>
      <c r="I156" s="641">
        <v>338.37995078139568</v>
      </c>
      <c r="J156" s="641">
        <v>185.12606679296266</v>
      </c>
      <c r="K156" s="641">
        <v>19.887492227897642</v>
      </c>
      <c r="L156" s="641">
        <v>0.67629573379861951</v>
      </c>
      <c r="M156" s="641">
        <v>0.16041590589481752</v>
      </c>
      <c r="N156" s="641">
        <v>75.083762899489528</v>
      </c>
      <c r="O156" s="641">
        <v>12.515766779598991</v>
      </c>
      <c r="P156" s="642">
        <v>0</v>
      </c>
      <c r="Q156" s="641">
        <v>0</v>
      </c>
      <c r="R156" s="641">
        <v>0</v>
      </c>
      <c r="S156" s="643">
        <v>1359.1024783937653</v>
      </c>
      <c r="U156" s="639" t="s">
        <v>59</v>
      </c>
      <c r="V156" s="640">
        <v>0</v>
      </c>
      <c r="W156" s="641">
        <v>0</v>
      </c>
      <c r="X156" s="641">
        <v>0</v>
      </c>
      <c r="Y156" s="640">
        <v>0</v>
      </c>
      <c r="Z156" s="641">
        <v>764.84848484848499</v>
      </c>
      <c r="AA156" s="641">
        <v>423.19995078139567</v>
      </c>
      <c r="AB156" s="641">
        <v>256.09062969225096</v>
      </c>
      <c r="AC156" s="641">
        <v>36.108430969743218</v>
      </c>
      <c r="AD156" s="641">
        <v>0.67629573379861951</v>
      </c>
      <c r="AE156" s="641">
        <v>0.16041590589481752</v>
      </c>
      <c r="AF156" s="641">
        <v>123.16818516374138</v>
      </c>
      <c r="AG156" s="641">
        <v>30.250193334526926</v>
      </c>
      <c r="AH156" s="642">
        <v>0</v>
      </c>
      <c r="AI156" s="641">
        <v>0</v>
      </c>
      <c r="AJ156" s="641">
        <v>0</v>
      </c>
      <c r="AK156" s="643">
        <v>1634.5025864298366</v>
      </c>
    </row>
    <row r="157" spans="3:37" x14ac:dyDescent="0.2">
      <c r="C157" s="639" t="s">
        <v>60</v>
      </c>
      <c r="D157" s="640">
        <v>46.099891323621534</v>
      </c>
      <c r="E157" s="641">
        <v>464.7986487</v>
      </c>
      <c r="F157" s="641">
        <v>48.534128715927544</v>
      </c>
      <c r="G157" s="640">
        <v>345.55093723566335</v>
      </c>
      <c r="H157" s="641">
        <v>0</v>
      </c>
      <c r="I157" s="641">
        <v>0</v>
      </c>
      <c r="J157" s="641">
        <v>5.7213435879484642</v>
      </c>
      <c r="K157" s="641">
        <v>0</v>
      </c>
      <c r="L157" s="641">
        <v>3.0565993326094723</v>
      </c>
      <c r="M157" s="641">
        <v>0</v>
      </c>
      <c r="N157" s="641">
        <v>0</v>
      </c>
      <c r="O157" s="641">
        <v>0</v>
      </c>
      <c r="P157" s="642">
        <v>0</v>
      </c>
      <c r="Q157" s="641">
        <v>0</v>
      </c>
      <c r="R157" s="641">
        <v>0</v>
      </c>
      <c r="S157" s="643">
        <v>913.76154889577037</v>
      </c>
      <c r="U157" s="639" t="s">
        <v>60</v>
      </c>
      <c r="V157" s="640">
        <v>4.5871215860372576</v>
      </c>
      <c r="W157" s="641">
        <v>113.59926767676768</v>
      </c>
      <c r="X157" s="641">
        <v>20.138935454909394</v>
      </c>
      <c r="Y157" s="640">
        <v>0.51452681198611927</v>
      </c>
      <c r="Z157" s="641">
        <v>0</v>
      </c>
      <c r="AA157" s="641">
        <v>0</v>
      </c>
      <c r="AB157" s="641">
        <v>5.7213435879484642</v>
      </c>
      <c r="AC157" s="641">
        <v>0</v>
      </c>
      <c r="AD157" s="641">
        <v>3.0565993326094723</v>
      </c>
      <c r="AE157" s="641">
        <v>0</v>
      </c>
      <c r="AF157" s="641">
        <v>0</v>
      </c>
      <c r="AG157" s="641">
        <v>0</v>
      </c>
      <c r="AH157" s="642">
        <v>0</v>
      </c>
      <c r="AI157" s="641">
        <v>0</v>
      </c>
      <c r="AJ157" s="641">
        <v>0</v>
      </c>
      <c r="AK157" s="643">
        <v>147.6177944502584</v>
      </c>
    </row>
    <row r="158" spans="3:37" x14ac:dyDescent="0.2">
      <c r="C158" s="639" t="s">
        <v>61</v>
      </c>
      <c r="D158" s="640">
        <v>0</v>
      </c>
      <c r="E158" s="641">
        <v>0</v>
      </c>
      <c r="F158" s="641">
        <v>0</v>
      </c>
      <c r="G158" s="640">
        <v>0</v>
      </c>
      <c r="H158" s="641">
        <v>0</v>
      </c>
      <c r="I158" s="641">
        <v>0</v>
      </c>
      <c r="J158" s="641">
        <v>0</v>
      </c>
      <c r="K158" s="641">
        <v>0</v>
      </c>
      <c r="L158" s="641">
        <v>0</v>
      </c>
      <c r="M158" s="641">
        <v>0</v>
      </c>
      <c r="N158" s="641">
        <v>0</v>
      </c>
      <c r="O158" s="641">
        <v>0</v>
      </c>
      <c r="P158" s="642">
        <v>-12.7985093299136</v>
      </c>
      <c r="Q158" s="641">
        <v>0</v>
      </c>
      <c r="R158" s="641">
        <v>0</v>
      </c>
      <c r="S158" s="643">
        <v>-12.7985093299136</v>
      </c>
      <c r="U158" s="639" t="s">
        <v>61</v>
      </c>
      <c r="V158" s="640">
        <v>0</v>
      </c>
      <c r="W158" s="641">
        <v>0</v>
      </c>
      <c r="X158" s="641">
        <v>0</v>
      </c>
      <c r="Y158" s="640">
        <v>0</v>
      </c>
      <c r="Z158" s="641">
        <v>0</v>
      </c>
      <c r="AA158" s="641">
        <v>0</v>
      </c>
      <c r="AB158" s="641">
        <v>0</v>
      </c>
      <c r="AC158" s="641">
        <v>0</v>
      </c>
      <c r="AD158" s="641">
        <v>0</v>
      </c>
      <c r="AE158" s="641">
        <v>0</v>
      </c>
      <c r="AF158" s="641">
        <v>0</v>
      </c>
      <c r="AG158" s="641">
        <v>0</v>
      </c>
      <c r="AH158" s="642">
        <v>-41.639986107117011</v>
      </c>
      <c r="AI158" s="641">
        <v>0</v>
      </c>
      <c r="AJ158" s="641">
        <v>0</v>
      </c>
      <c r="AK158" s="643">
        <v>-41.639986107117011</v>
      </c>
    </row>
    <row r="159" spans="3:37" x14ac:dyDescent="0.2">
      <c r="C159" s="639" t="s">
        <v>62</v>
      </c>
      <c r="D159" s="640">
        <v>0</v>
      </c>
      <c r="E159" s="641">
        <v>0</v>
      </c>
      <c r="F159" s="641">
        <v>-14.431507774067331</v>
      </c>
      <c r="G159" s="640">
        <v>0</v>
      </c>
      <c r="H159" s="641">
        <v>0</v>
      </c>
      <c r="I159" s="641">
        <v>0</v>
      </c>
      <c r="J159" s="641">
        <v>0</v>
      </c>
      <c r="K159" s="641">
        <v>0</v>
      </c>
      <c r="L159" s="641">
        <v>0</v>
      </c>
      <c r="M159" s="641">
        <v>0</v>
      </c>
      <c r="N159" s="641">
        <v>0</v>
      </c>
      <c r="O159" s="641">
        <v>0</v>
      </c>
      <c r="P159" s="642">
        <v>0</v>
      </c>
      <c r="Q159" s="641">
        <v>0</v>
      </c>
      <c r="R159" s="641">
        <v>0</v>
      </c>
      <c r="S159" s="643">
        <v>-14.431507774067331</v>
      </c>
      <c r="U159" s="639" t="s">
        <v>62</v>
      </c>
      <c r="V159" s="640">
        <v>0</v>
      </c>
      <c r="W159" s="641">
        <v>0</v>
      </c>
      <c r="X159" s="641">
        <v>-5.3013702027186111</v>
      </c>
      <c r="Y159" s="640">
        <v>0</v>
      </c>
      <c r="Z159" s="641">
        <v>0</v>
      </c>
      <c r="AA159" s="641">
        <v>0</v>
      </c>
      <c r="AB159" s="641">
        <v>0</v>
      </c>
      <c r="AC159" s="641">
        <v>0</v>
      </c>
      <c r="AD159" s="641">
        <v>0</v>
      </c>
      <c r="AE159" s="641">
        <v>-5.1137296191648005</v>
      </c>
      <c r="AF159" s="641">
        <v>0</v>
      </c>
      <c r="AG159" s="641">
        <v>0</v>
      </c>
      <c r="AH159" s="642">
        <v>0</v>
      </c>
      <c r="AI159" s="641">
        <v>0</v>
      </c>
      <c r="AJ159" s="641">
        <v>0</v>
      </c>
      <c r="AK159" s="643">
        <v>-10.415099821883413</v>
      </c>
    </row>
    <row r="160" spans="3:37" x14ac:dyDescent="0.2">
      <c r="C160" s="639" t="s">
        <v>63</v>
      </c>
      <c r="D160" s="640">
        <v>0</v>
      </c>
      <c r="E160" s="641">
        <v>0</v>
      </c>
      <c r="F160" s="641">
        <v>-93.443844381495637</v>
      </c>
      <c r="G160" s="640">
        <v>0</v>
      </c>
      <c r="H160" s="641">
        <v>0</v>
      </c>
      <c r="I160" s="641">
        <v>0</v>
      </c>
      <c r="J160" s="641">
        <v>0</v>
      </c>
      <c r="K160" s="641">
        <v>0</v>
      </c>
      <c r="L160" s="641">
        <v>-0.96889726774865159</v>
      </c>
      <c r="M160" s="641">
        <v>0</v>
      </c>
      <c r="N160" s="641">
        <v>0</v>
      </c>
      <c r="O160" s="641">
        <v>0</v>
      </c>
      <c r="P160" s="642">
        <v>0</v>
      </c>
      <c r="Q160" s="641">
        <v>0</v>
      </c>
      <c r="R160" s="641">
        <v>0</v>
      </c>
      <c r="S160" s="643">
        <v>-94.412741649244282</v>
      </c>
      <c r="U160" s="639" t="s">
        <v>63</v>
      </c>
      <c r="V160" s="640">
        <v>0</v>
      </c>
      <c r="W160" s="641">
        <v>0</v>
      </c>
      <c r="X160" s="641">
        <v>-35.841594545498886</v>
      </c>
      <c r="Y160" s="640">
        <v>0</v>
      </c>
      <c r="Z160" s="641">
        <v>0</v>
      </c>
      <c r="AA160" s="641">
        <v>0</v>
      </c>
      <c r="AB160" s="641">
        <v>0</v>
      </c>
      <c r="AC160" s="641">
        <v>0</v>
      </c>
      <c r="AD160" s="641">
        <v>-46.567340427053182</v>
      </c>
      <c r="AE160" s="641">
        <v>0</v>
      </c>
      <c r="AF160" s="641">
        <v>0</v>
      </c>
      <c r="AG160" s="641">
        <v>0</v>
      </c>
      <c r="AH160" s="642">
        <v>0</v>
      </c>
      <c r="AI160" s="641">
        <v>0</v>
      </c>
      <c r="AJ160" s="641">
        <v>0</v>
      </c>
      <c r="AK160" s="643">
        <v>-82.408934972552061</v>
      </c>
    </row>
    <row r="161" spans="3:37" x14ac:dyDescent="0.2">
      <c r="C161" s="639" t="s">
        <v>64</v>
      </c>
      <c r="D161" s="640">
        <v>0</v>
      </c>
      <c r="E161" s="641">
        <v>0</v>
      </c>
      <c r="F161" s="641">
        <v>0</v>
      </c>
      <c r="G161" s="640">
        <v>0</v>
      </c>
      <c r="H161" s="641">
        <v>0</v>
      </c>
      <c r="I161" s="641">
        <v>0</v>
      </c>
      <c r="J161" s="641">
        <v>0</v>
      </c>
      <c r="K161" s="641">
        <v>0</v>
      </c>
      <c r="L161" s="641">
        <v>0</v>
      </c>
      <c r="M161" s="641">
        <v>0</v>
      </c>
      <c r="N161" s="641">
        <v>0</v>
      </c>
      <c r="O161" s="641">
        <v>0</v>
      </c>
      <c r="P161" s="642">
        <v>0</v>
      </c>
      <c r="Q161" s="641">
        <v>0</v>
      </c>
      <c r="R161" s="641">
        <v>0</v>
      </c>
      <c r="S161" s="643">
        <v>0</v>
      </c>
      <c r="U161" s="639" t="s">
        <v>64</v>
      </c>
      <c r="V161" s="640">
        <v>0</v>
      </c>
      <c r="W161" s="641">
        <v>0</v>
      </c>
      <c r="X161" s="641">
        <v>0</v>
      </c>
      <c r="Y161" s="640">
        <v>0</v>
      </c>
      <c r="Z161" s="641">
        <v>0</v>
      </c>
      <c r="AA161" s="641">
        <v>0</v>
      </c>
      <c r="AB161" s="641">
        <v>0</v>
      </c>
      <c r="AC161" s="641">
        <v>0</v>
      </c>
      <c r="AD161" s="641">
        <v>0</v>
      </c>
      <c r="AE161" s="641">
        <v>0</v>
      </c>
      <c r="AF161" s="641">
        <v>0</v>
      </c>
      <c r="AG161" s="641">
        <v>0</v>
      </c>
      <c r="AH161" s="642">
        <v>0</v>
      </c>
      <c r="AI161" s="641">
        <v>0</v>
      </c>
      <c r="AJ161" s="641">
        <v>0</v>
      </c>
      <c r="AK161" s="643">
        <v>0</v>
      </c>
    </row>
    <row r="162" spans="3:37" x14ac:dyDescent="0.2">
      <c r="C162" s="644" t="s">
        <v>65</v>
      </c>
      <c r="D162" s="645">
        <v>46.099891323621534</v>
      </c>
      <c r="E162" s="645">
        <v>464.7986487</v>
      </c>
      <c r="F162" s="645">
        <v>-59.341223439635421</v>
      </c>
      <c r="G162" s="645">
        <v>345.55093723566335</v>
      </c>
      <c r="H162" s="645">
        <v>727.27272727272737</v>
      </c>
      <c r="I162" s="645">
        <v>338.37995078139568</v>
      </c>
      <c r="J162" s="645">
        <v>190.84741038091113</v>
      </c>
      <c r="K162" s="645">
        <v>19.887492227897642</v>
      </c>
      <c r="L162" s="645">
        <v>2.7639977986594397</v>
      </c>
      <c r="M162" s="645">
        <v>0.16041590589481752</v>
      </c>
      <c r="N162" s="645">
        <v>75.083762899489528</v>
      </c>
      <c r="O162" s="645">
        <v>12.515766779598991</v>
      </c>
      <c r="P162" s="645">
        <v>-12.7985093299136</v>
      </c>
      <c r="Q162" s="645">
        <v>0</v>
      </c>
      <c r="R162" s="645">
        <v>0</v>
      </c>
      <c r="S162" s="645">
        <v>2151.2212685363102</v>
      </c>
      <c r="U162" s="644" t="s">
        <v>65</v>
      </c>
      <c r="V162" s="645">
        <v>4.5871215860372576</v>
      </c>
      <c r="W162" s="645">
        <v>113.59926767676768</v>
      </c>
      <c r="X162" s="645">
        <v>-21.004029293308101</v>
      </c>
      <c r="Y162" s="645">
        <v>0.51452681198611927</v>
      </c>
      <c r="Z162" s="645">
        <v>764.84848484848499</v>
      </c>
      <c r="AA162" s="645">
        <v>423.19995078139567</v>
      </c>
      <c r="AB162" s="645">
        <v>261.81197328019942</v>
      </c>
      <c r="AC162" s="645">
        <v>36.108430969743218</v>
      </c>
      <c r="AD162" s="645">
        <v>-42.834445360645091</v>
      </c>
      <c r="AE162" s="645">
        <v>-4.9533137132699832</v>
      </c>
      <c r="AF162" s="645">
        <v>123.16818516374138</v>
      </c>
      <c r="AG162" s="645">
        <v>30.250193334526926</v>
      </c>
      <c r="AH162" s="645">
        <v>-41.639986107117011</v>
      </c>
      <c r="AI162" s="645">
        <v>0</v>
      </c>
      <c r="AJ162" s="645">
        <v>0</v>
      </c>
      <c r="AK162" s="645">
        <v>1647.6563599785427</v>
      </c>
    </row>
    <row r="163" spans="3:37" x14ac:dyDescent="0.2">
      <c r="C163" s="634"/>
      <c r="D163" s="634">
        <v>0</v>
      </c>
      <c r="E163" s="634">
        <v>0</v>
      </c>
      <c r="F163" s="634">
        <v>0</v>
      </c>
      <c r="G163" s="634">
        <v>0</v>
      </c>
      <c r="H163" s="634">
        <v>0</v>
      </c>
      <c r="I163" s="634">
        <v>0</v>
      </c>
      <c r="J163" s="634">
        <v>0</v>
      </c>
      <c r="K163" s="634">
        <v>0</v>
      </c>
      <c r="L163" s="634">
        <v>0</v>
      </c>
      <c r="M163" s="634">
        <v>0</v>
      </c>
      <c r="N163" s="634">
        <v>0</v>
      </c>
      <c r="O163" s="634">
        <v>0</v>
      </c>
      <c r="P163" s="634">
        <v>0</v>
      </c>
      <c r="Q163" s="634">
        <v>0</v>
      </c>
      <c r="R163" s="634">
        <v>0</v>
      </c>
      <c r="S163" s="634">
        <v>0</v>
      </c>
      <c r="U163" s="634"/>
      <c r="V163" s="634">
        <v>0</v>
      </c>
      <c r="W163" s="634">
        <v>0</v>
      </c>
      <c r="X163" s="634">
        <v>0</v>
      </c>
      <c r="Y163" s="634">
        <v>0</v>
      </c>
      <c r="Z163" s="634">
        <v>0</v>
      </c>
      <c r="AA163" s="634">
        <v>0</v>
      </c>
      <c r="AB163" s="634">
        <v>0</v>
      </c>
      <c r="AC163" s="634">
        <v>0</v>
      </c>
      <c r="AD163" s="634">
        <v>0</v>
      </c>
      <c r="AE163" s="634">
        <v>0</v>
      </c>
      <c r="AF163" s="634">
        <v>0</v>
      </c>
      <c r="AG163" s="634">
        <v>0</v>
      </c>
      <c r="AH163" s="634">
        <v>0</v>
      </c>
      <c r="AI163" s="634">
        <v>0</v>
      </c>
      <c r="AJ163" s="634">
        <v>0</v>
      </c>
      <c r="AK163" s="634">
        <v>0</v>
      </c>
    </row>
    <row r="164" spans="3:37" x14ac:dyDescent="0.2">
      <c r="C164" s="646" t="s">
        <v>67</v>
      </c>
      <c r="D164" s="640">
        <v>0</v>
      </c>
      <c r="E164" s="647">
        <v>0</v>
      </c>
      <c r="F164" s="647">
        <v>0</v>
      </c>
      <c r="G164" s="640">
        <v>0</v>
      </c>
      <c r="H164" s="640">
        <v>0</v>
      </c>
      <c r="I164" s="640">
        <v>0</v>
      </c>
      <c r="J164" s="640">
        <v>0</v>
      </c>
      <c r="K164" s="640">
        <v>0</v>
      </c>
      <c r="L164" s="640">
        <v>0</v>
      </c>
      <c r="M164" s="640">
        <v>0</v>
      </c>
      <c r="N164" s="640">
        <v>0</v>
      </c>
      <c r="O164" s="640">
        <v>0</v>
      </c>
      <c r="P164" s="640">
        <v>0</v>
      </c>
      <c r="Q164" s="640">
        <v>0</v>
      </c>
      <c r="R164" s="640">
        <v>0</v>
      </c>
      <c r="S164" s="648">
        <v>0</v>
      </c>
      <c r="U164" s="646" t="s">
        <v>67</v>
      </c>
      <c r="V164" s="640">
        <v>0</v>
      </c>
      <c r="W164" s="647">
        <v>0</v>
      </c>
      <c r="X164" s="647">
        <v>0</v>
      </c>
      <c r="Y164" s="640">
        <v>0</v>
      </c>
      <c r="Z164" s="640">
        <v>0</v>
      </c>
      <c r="AA164" s="640">
        <v>0</v>
      </c>
      <c r="AB164" s="640">
        <v>0</v>
      </c>
      <c r="AC164" s="640">
        <v>0</v>
      </c>
      <c r="AD164" s="640">
        <v>0</v>
      </c>
      <c r="AE164" s="640">
        <v>0</v>
      </c>
      <c r="AF164" s="640">
        <v>0</v>
      </c>
      <c r="AG164" s="640">
        <v>0</v>
      </c>
      <c r="AH164" s="640">
        <v>0</v>
      </c>
      <c r="AI164" s="640">
        <v>0</v>
      </c>
      <c r="AJ164" s="640">
        <v>0</v>
      </c>
      <c r="AK164" s="648">
        <v>0</v>
      </c>
    </row>
    <row r="165" spans="3:37" x14ac:dyDescent="0.2">
      <c r="C165" s="646" t="s">
        <v>347</v>
      </c>
      <c r="D165" s="640">
        <v>2.8267856410252494</v>
      </c>
      <c r="E165" s="640">
        <v>0</v>
      </c>
      <c r="F165" s="640">
        <v>8.0599105831015567</v>
      </c>
      <c r="G165" s="640">
        <v>46.530346198952707</v>
      </c>
      <c r="H165" s="640">
        <v>727.27272727272737</v>
      </c>
      <c r="I165" s="640">
        <v>338.37995078139568</v>
      </c>
      <c r="J165" s="649">
        <v>28.452469116356035</v>
      </c>
      <c r="K165" s="649">
        <v>6.2305848357200952</v>
      </c>
      <c r="L165" s="649">
        <v>3.7328950664080915</v>
      </c>
      <c r="M165" s="649">
        <v>1.0761160081227215</v>
      </c>
      <c r="N165" s="649">
        <v>0</v>
      </c>
      <c r="O165" s="649">
        <v>7.5664382136221358</v>
      </c>
      <c r="P165" s="640">
        <v>-629.14515201417555</v>
      </c>
      <c r="Q165" s="640">
        <v>0</v>
      </c>
      <c r="R165" s="640">
        <v>0</v>
      </c>
      <c r="S165" s="648">
        <v>540.98307170325586</v>
      </c>
      <c r="U165" s="646" t="s">
        <v>347</v>
      </c>
      <c r="V165" s="640">
        <v>0.62631490545869017</v>
      </c>
      <c r="W165" s="640">
        <v>0</v>
      </c>
      <c r="X165" s="640">
        <v>4.1962742194651934</v>
      </c>
      <c r="Y165" s="640">
        <v>0</v>
      </c>
      <c r="Z165" s="640">
        <v>764.84848484848499</v>
      </c>
      <c r="AA165" s="640">
        <v>423.19995078139567</v>
      </c>
      <c r="AB165" s="649">
        <v>22.478183728982629</v>
      </c>
      <c r="AC165" s="649">
        <v>5.0926371917675839</v>
      </c>
      <c r="AD165" s="649">
        <v>3.7328950664080915</v>
      </c>
      <c r="AE165" s="649">
        <v>0.79318377276994545</v>
      </c>
      <c r="AF165" s="649">
        <v>0</v>
      </c>
      <c r="AG165" s="649">
        <v>7.5664382136221358</v>
      </c>
      <c r="AH165" s="640">
        <v>-696.77718495359215</v>
      </c>
      <c r="AI165" s="640">
        <v>0</v>
      </c>
      <c r="AJ165" s="640">
        <v>3.75</v>
      </c>
      <c r="AK165" s="648">
        <v>539.50717777476291</v>
      </c>
    </row>
    <row r="166" spans="3:37" x14ac:dyDescent="0.2">
      <c r="C166" s="646" t="s">
        <v>348</v>
      </c>
      <c r="D166" s="640">
        <v>0</v>
      </c>
      <c r="E166" s="640">
        <v>0</v>
      </c>
      <c r="F166" s="640">
        <v>0</v>
      </c>
      <c r="G166" s="640">
        <v>14.783508517784153</v>
      </c>
      <c r="H166" s="640">
        <v>0</v>
      </c>
      <c r="I166" s="640">
        <v>0</v>
      </c>
      <c r="J166" s="649">
        <v>12.163067049530284</v>
      </c>
      <c r="K166" s="649">
        <v>11.829214997579474</v>
      </c>
      <c r="L166" s="649">
        <v>0</v>
      </c>
      <c r="M166" s="649">
        <v>0.31740804730172578</v>
      </c>
      <c r="N166" s="649">
        <v>0</v>
      </c>
      <c r="O166" s="649">
        <v>2.086875550337155</v>
      </c>
      <c r="P166" s="640">
        <v>0</v>
      </c>
      <c r="Q166" s="640">
        <v>-37.667878685561853</v>
      </c>
      <c r="R166" s="640">
        <v>0</v>
      </c>
      <c r="S166" s="648">
        <v>3.5121954769709394</v>
      </c>
      <c r="U166" s="646" t="s">
        <v>348</v>
      </c>
      <c r="V166" s="640">
        <v>0</v>
      </c>
      <c r="W166" s="640">
        <v>0</v>
      </c>
      <c r="X166" s="640">
        <v>0</v>
      </c>
      <c r="Y166" s="640">
        <v>0</v>
      </c>
      <c r="Z166" s="640">
        <v>0</v>
      </c>
      <c r="AA166" s="640">
        <v>0</v>
      </c>
      <c r="AB166" s="649">
        <v>28.523630086620891</v>
      </c>
      <c r="AC166" s="649">
        <v>26.288013396118924</v>
      </c>
      <c r="AD166" s="649">
        <v>0</v>
      </c>
      <c r="AE166" s="649">
        <v>10.611192177482708</v>
      </c>
      <c r="AF166" s="649">
        <v>0</v>
      </c>
      <c r="AG166" s="649">
        <v>14.121402979798832</v>
      </c>
      <c r="AH166" s="640">
        <v>0</v>
      </c>
      <c r="AI166" s="640">
        <v>-74.176724382187018</v>
      </c>
      <c r="AJ166" s="640">
        <v>0</v>
      </c>
      <c r="AK166" s="648">
        <v>5.3675142578343316</v>
      </c>
    </row>
    <row r="167" spans="3:37" x14ac:dyDescent="0.2">
      <c r="C167" s="646" t="s">
        <v>349</v>
      </c>
      <c r="D167" s="640">
        <v>0</v>
      </c>
      <c r="E167" s="640">
        <v>0</v>
      </c>
      <c r="F167" s="640">
        <v>0</v>
      </c>
      <c r="G167" s="640">
        <v>0</v>
      </c>
      <c r="H167" s="640">
        <v>0</v>
      </c>
      <c r="I167" s="640">
        <v>0</v>
      </c>
      <c r="J167" s="650">
        <v>7.1450792385721682</v>
      </c>
      <c r="K167" s="650">
        <v>0</v>
      </c>
      <c r="L167" s="650">
        <v>0</v>
      </c>
      <c r="M167" s="650">
        <v>-6.8235506728364204</v>
      </c>
      <c r="N167" s="650">
        <v>0</v>
      </c>
      <c r="O167" s="650">
        <v>0</v>
      </c>
      <c r="P167" s="640">
        <v>0</v>
      </c>
      <c r="Q167" s="640">
        <v>0</v>
      </c>
      <c r="R167" s="640">
        <v>0</v>
      </c>
      <c r="S167" s="648">
        <v>0.32152856573574784</v>
      </c>
      <c r="U167" s="646" t="s">
        <v>349</v>
      </c>
      <c r="V167" s="640">
        <v>0</v>
      </c>
      <c r="W167" s="640">
        <v>0</v>
      </c>
      <c r="X167" s="640">
        <v>0</v>
      </c>
      <c r="Y167" s="640">
        <v>0</v>
      </c>
      <c r="Z167" s="640">
        <v>0</v>
      </c>
      <c r="AA167" s="640">
        <v>0</v>
      </c>
      <c r="AB167" s="650">
        <v>137.81211213320262</v>
      </c>
      <c r="AC167" s="650">
        <v>0</v>
      </c>
      <c r="AD167" s="650">
        <v>0</v>
      </c>
      <c r="AE167" s="650">
        <v>-131.61056708720849</v>
      </c>
      <c r="AF167" s="650">
        <v>0</v>
      </c>
      <c r="AG167" s="650">
        <v>0</v>
      </c>
      <c r="AH167" s="640">
        <v>0</v>
      </c>
      <c r="AI167" s="640">
        <v>0</v>
      </c>
      <c r="AJ167" s="640">
        <v>0</v>
      </c>
      <c r="AK167" s="648">
        <v>6.2015450459941235</v>
      </c>
    </row>
    <row r="168" spans="3:37" x14ac:dyDescent="0.2">
      <c r="C168" s="646" t="s">
        <v>350</v>
      </c>
      <c r="D168" s="640">
        <v>0</v>
      </c>
      <c r="E168" s="640">
        <v>0</v>
      </c>
      <c r="F168" s="640">
        <v>0</v>
      </c>
      <c r="G168" s="640">
        <v>0</v>
      </c>
      <c r="H168" s="640">
        <v>0</v>
      </c>
      <c r="I168" s="640">
        <v>0</v>
      </c>
      <c r="J168" s="640">
        <v>0</v>
      </c>
      <c r="K168" s="640">
        <v>0</v>
      </c>
      <c r="L168" s="640">
        <v>0</v>
      </c>
      <c r="M168" s="640">
        <v>0</v>
      </c>
      <c r="N168" s="640">
        <v>0</v>
      </c>
      <c r="O168" s="640">
        <v>0</v>
      </c>
      <c r="P168" s="640">
        <v>0</v>
      </c>
      <c r="Q168" s="640">
        <v>0</v>
      </c>
      <c r="R168" s="640">
        <v>0</v>
      </c>
      <c r="S168" s="648">
        <v>0</v>
      </c>
      <c r="U168" s="646" t="s">
        <v>350</v>
      </c>
      <c r="V168" s="640">
        <v>0</v>
      </c>
      <c r="W168" s="640">
        <v>0</v>
      </c>
      <c r="X168" s="640">
        <v>0</v>
      </c>
      <c r="Y168" s="640">
        <v>0</v>
      </c>
      <c r="Z168" s="640">
        <v>0</v>
      </c>
      <c r="AA168" s="640">
        <v>0</v>
      </c>
      <c r="AB168" s="640">
        <v>0</v>
      </c>
      <c r="AC168" s="640">
        <v>0</v>
      </c>
      <c r="AD168" s="640">
        <v>0</v>
      </c>
      <c r="AE168" s="640">
        <v>0</v>
      </c>
      <c r="AF168" s="640">
        <v>0</v>
      </c>
      <c r="AG168" s="640">
        <v>0</v>
      </c>
      <c r="AH168" s="640">
        <v>0</v>
      </c>
      <c r="AI168" s="640">
        <v>0</v>
      </c>
      <c r="AJ168" s="640">
        <v>0</v>
      </c>
      <c r="AK168" s="648">
        <v>0</v>
      </c>
    </row>
    <row r="169" spans="3:37" x14ac:dyDescent="0.2">
      <c r="C169" s="646" t="s">
        <v>72</v>
      </c>
      <c r="D169" s="640">
        <v>0</v>
      </c>
      <c r="E169" s="640">
        <v>481.48200000000003</v>
      </c>
      <c r="F169" s="640">
        <v>-476.66718000000003</v>
      </c>
      <c r="G169" s="640">
        <v>0</v>
      </c>
      <c r="H169" s="640">
        <v>0</v>
      </c>
      <c r="I169" s="640">
        <v>0</v>
      </c>
      <c r="J169" s="640">
        <v>0</v>
      </c>
      <c r="K169" s="640">
        <v>0</v>
      </c>
      <c r="L169" s="640">
        <v>0</v>
      </c>
      <c r="M169" s="640">
        <v>0</v>
      </c>
      <c r="N169" s="640">
        <v>0</v>
      </c>
      <c r="O169" s="640">
        <v>0</v>
      </c>
      <c r="P169" s="640">
        <v>0</v>
      </c>
      <c r="Q169" s="640">
        <v>0</v>
      </c>
      <c r="R169" s="640">
        <v>0</v>
      </c>
      <c r="S169" s="648">
        <v>4.8148199999999974</v>
      </c>
      <c r="U169" s="646" t="s">
        <v>72</v>
      </c>
      <c r="V169" s="640">
        <v>0</v>
      </c>
      <c r="W169" s="640">
        <v>117.67676767676768</v>
      </c>
      <c r="X169" s="640">
        <v>-116.5</v>
      </c>
      <c r="Y169" s="640">
        <v>0</v>
      </c>
      <c r="Z169" s="640">
        <v>0</v>
      </c>
      <c r="AA169" s="640">
        <v>0</v>
      </c>
      <c r="AB169" s="640">
        <v>0</v>
      </c>
      <c r="AC169" s="640">
        <v>0</v>
      </c>
      <c r="AD169" s="640">
        <v>0</v>
      </c>
      <c r="AE169" s="640">
        <v>0</v>
      </c>
      <c r="AF169" s="640">
        <v>0</v>
      </c>
      <c r="AG169" s="640">
        <v>0</v>
      </c>
      <c r="AH169" s="640">
        <v>0</v>
      </c>
      <c r="AI169" s="640">
        <v>0</v>
      </c>
      <c r="AJ169" s="640">
        <v>0</v>
      </c>
      <c r="AK169" s="648">
        <v>1.1767676767676818</v>
      </c>
    </row>
    <row r="170" spans="3:37" x14ac:dyDescent="0.2">
      <c r="C170" s="646" t="s">
        <v>351</v>
      </c>
      <c r="D170" s="640">
        <v>0</v>
      </c>
      <c r="E170" s="640">
        <v>0</v>
      </c>
      <c r="F170" s="640">
        <v>0</v>
      </c>
      <c r="G170" s="640">
        <v>0</v>
      </c>
      <c r="H170" s="640">
        <v>0</v>
      </c>
      <c r="I170" s="640">
        <v>0</v>
      </c>
      <c r="J170" s="640">
        <v>26.125483595276659</v>
      </c>
      <c r="K170" s="640">
        <v>0</v>
      </c>
      <c r="L170" s="640">
        <v>-26.125483595276659</v>
      </c>
      <c r="M170" s="640">
        <v>0</v>
      </c>
      <c r="N170" s="640">
        <v>0</v>
      </c>
      <c r="O170" s="640">
        <v>0</v>
      </c>
      <c r="P170" s="640">
        <v>0</v>
      </c>
      <c r="Q170" s="640">
        <v>0</v>
      </c>
      <c r="R170" s="640">
        <v>0</v>
      </c>
      <c r="S170" s="648">
        <v>0</v>
      </c>
      <c r="U170" s="646" t="s">
        <v>351</v>
      </c>
      <c r="V170" s="640">
        <v>0</v>
      </c>
      <c r="W170" s="640">
        <v>0</v>
      </c>
      <c r="X170" s="640">
        <v>0</v>
      </c>
      <c r="Y170" s="640">
        <v>0</v>
      </c>
      <c r="Z170" s="640">
        <v>0</v>
      </c>
      <c r="AA170" s="640">
        <v>0</v>
      </c>
      <c r="AB170" s="640" t="e">
        <v>#VALUE!</v>
      </c>
      <c r="AC170" s="640">
        <v>0</v>
      </c>
      <c r="AD170" s="640">
        <v>-100.69655001825291</v>
      </c>
      <c r="AE170" s="640">
        <v>0</v>
      </c>
      <c r="AF170" s="640">
        <v>0</v>
      </c>
      <c r="AG170" s="640">
        <v>0</v>
      </c>
      <c r="AH170" s="640">
        <v>0</v>
      </c>
      <c r="AI170" s="640">
        <v>0</v>
      </c>
      <c r="AJ170" s="640">
        <v>0</v>
      </c>
      <c r="AK170" s="648">
        <v>-100.69655001825291</v>
      </c>
    </row>
    <row r="171" spans="3:37" x14ac:dyDescent="0.2">
      <c r="C171" s="646" t="s">
        <v>352</v>
      </c>
      <c r="D171" s="640">
        <v>0</v>
      </c>
      <c r="E171" s="640">
        <v>0</v>
      </c>
      <c r="F171" s="640">
        <v>0</v>
      </c>
      <c r="G171" s="640">
        <v>0</v>
      </c>
      <c r="H171" s="640">
        <v>0</v>
      </c>
      <c r="I171" s="640">
        <v>0</v>
      </c>
      <c r="J171" s="640">
        <v>0</v>
      </c>
      <c r="K171" s="640">
        <v>0</v>
      </c>
      <c r="L171" s="640">
        <v>0</v>
      </c>
      <c r="M171" s="640">
        <v>0</v>
      </c>
      <c r="N171" s="640">
        <v>0</v>
      </c>
      <c r="O171" s="640">
        <v>0</v>
      </c>
      <c r="P171" s="640">
        <v>0</v>
      </c>
      <c r="Q171" s="640">
        <v>0</v>
      </c>
      <c r="R171" s="640">
        <v>0</v>
      </c>
      <c r="S171" s="648">
        <v>0</v>
      </c>
      <c r="U171" s="646" t="s">
        <v>352</v>
      </c>
      <c r="V171" s="640">
        <v>0</v>
      </c>
      <c r="W171" s="640">
        <v>0</v>
      </c>
      <c r="X171" s="640">
        <v>0</v>
      </c>
      <c r="Y171" s="640">
        <v>0</v>
      </c>
      <c r="Z171" s="640">
        <v>0</v>
      </c>
      <c r="AA171" s="640">
        <v>0</v>
      </c>
      <c r="AB171" s="640">
        <v>0</v>
      </c>
      <c r="AC171" s="640">
        <v>0</v>
      </c>
      <c r="AD171" s="640">
        <v>-28.460377640694865</v>
      </c>
      <c r="AE171" s="640">
        <v>0</v>
      </c>
      <c r="AF171" s="640">
        <v>0</v>
      </c>
      <c r="AG171" s="640">
        <v>0</v>
      </c>
      <c r="AH171" s="640">
        <v>0</v>
      </c>
      <c r="AI171" s="640">
        <v>0</v>
      </c>
      <c r="AJ171" s="640">
        <v>0</v>
      </c>
      <c r="AK171" s="648">
        <v>-28.460377640694865</v>
      </c>
    </row>
    <row r="172" spans="3:37" x14ac:dyDescent="0.2">
      <c r="C172" s="646" t="s">
        <v>73</v>
      </c>
      <c r="D172" s="640">
        <v>0</v>
      </c>
      <c r="E172" s="640">
        <v>0</v>
      </c>
      <c r="F172" s="640">
        <v>0</v>
      </c>
      <c r="G172" s="640">
        <v>8.6128889644156494</v>
      </c>
      <c r="H172" s="640">
        <v>0</v>
      </c>
      <c r="I172" s="640">
        <v>0</v>
      </c>
      <c r="J172" s="640">
        <v>0</v>
      </c>
      <c r="K172" s="640">
        <v>0.10101910584583218</v>
      </c>
      <c r="L172" s="640">
        <v>0</v>
      </c>
      <c r="M172" s="640">
        <v>0.17577324417174797</v>
      </c>
      <c r="N172" s="640">
        <v>0</v>
      </c>
      <c r="O172" s="640">
        <v>0</v>
      </c>
      <c r="P172" s="640">
        <v>1.1785562348680418</v>
      </c>
      <c r="Q172" s="640">
        <v>0</v>
      </c>
      <c r="R172" s="640">
        <v>-7.071337409208251</v>
      </c>
      <c r="S172" s="648">
        <v>2.99690014009302</v>
      </c>
      <c r="U172" s="646" t="s">
        <v>73</v>
      </c>
      <c r="V172" s="640">
        <v>0</v>
      </c>
      <c r="W172" s="640">
        <v>0</v>
      </c>
      <c r="X172" s="640">
        <v>0</v>
      </c>
      <c r="Y172" s="640">
        <v>0</v>
      </c>
      <c r="Z172" s="640">
        <v>0</v>
      </c>
      <c r="AA172" s="640">
        <v>0</v>
      </c>
      <c r="AB172" s="640">
        <v>0</v>
      </c>
      <c r="AC172" s="640">
        <v>0.58294529496624936</v>
      </c>
      <c r="AD172" s="640">
        <v>0</v>
      </c>
      <c r="AE172" s="640">
        <v>0</v>
      </c>
      <c r="AF172" s="640">
        <v>0</v>
      </c>
      <c r="AG172" s="640">
        <v>0</v>
      </c>
      <c r="AH172" s="640">
        <v>56.108484640501494</v>
      </c>
      <c r="AI172" s="640">
        <v>0</v>
      </c>
      <c r="AJ172" s="640">
        <v>-40.806170647637451</v>
      </c>
      <c r="AK172" s="648">
        <v>15.885259287830294</v>
      </c>
    </row>
    <row r="173" spans="3:37" x14ac:dyDescent="0.2">
      <c r="C173" s="646" t="s">
        <v>353</v>
      </c>
      <c r="D173" s="640">
        <v>28.51179328125</v>
      </c>
      <c r="E173" s="640">
        <v>-16.683351300000002</v>
      </c>
      <c r="F173" s="640">
        <v>21.820838094867195</v>
      </c>
      <c r="G173" s="640">
        <v>0</v>
      </c>
      <c r="H173" s="640">
        <v>0</v>
      </c>
      <c r="I173" s="640">
        <v>0</v>
      </c>
      <c r="J173" s="640">
        <v>0</v>
      </c>
      <c r="K173" s="640">
        <v>0</v>
      </c>
      <c r="L173" s="640">
        <v>0</v>
      </c>
      <c r="M173" s="640">
        <v>0</v>
      </c>
      <c r="N173" s="640">
        <v>0</v>
      </c>
      <c r="O173" s="640">
        <v>0</v>
      </c>
      <c r="P173" s="640">
        <v>0</v>
      </c>
      <c r="Q173" s="640">
        <v>0</v>
      </c>
      <c r="R173" s="640">
        <v>0</v>
      </c>
      <c r="S173" s="648">
        <v>33.649280076117194</v>
      </c>
      <c r="U173" s="646" t="s">
        <v>353</v>
      </c>
      <c r="V173" s="640">
        <v>0.72303211975097659</v>
      </c>
      <c r="W173" s="640">
        <v>-4.0775000000000006</v>
      </c>
      <c r="X173" s="640">
        <v>5.333129161634389</v>
      </c>
      <c r="Y173" s="640">
        <v>0</v>
      </c>
      <c r="Z173" s="640">
        <v>0</v>
      </c>
      <c r="AA173" s="640">
        <v>0</v>
      </c>
      <c r="AB173" s="640">
        <v>0</v>
      </c>
      <c r="AC173" s="640">
        <v>0</v>
      </c>
      <c r="AD173" s="640">
        <v>0</v>
      </c>
      <c r="AE173" s="640">
        <v>0</v>
      </c>
      <c r="AF173" s="640">
        <v>0</v>
      </c>
      <c r="AG173" s="640">
        <v>0</v>
      </c>
      <c r="AH173" s="640">
        <v>0</v>
      </c>
      <c r="AI173" s="640">
        <v>0</v>
      </c>
      <c r="AJ173" s="640">
        <v>0</v>
      </c>
      <c r="AK173" s="648">
        <v>1.978661281385365</v>
      </c>
    </row>
    <row r="174" spans="3:37" x14ac:dyDescent="0.2">
      <c r="C174" s="646" t="s">
        <v>75</v>
      </c>
      <c r="D174" s="640">
        <v>11.087919609375001</v>
      </c>
      <c r="E174" s="640">
        <v>0</v>
      </c>
      <c r="F174" s="640">
        <v>16.370388000000002</v>
      </c>
      <c r="G174" s="640">
        <v>4.6713383640000004</v>
      </c>
      <c r="H174" s="640">
        <v>0</v>
      </c>
      <c r="I174" s="640">
        <v>0</v>
      </c>
      <c r="J174" s="640">
        <v>0</v>
      </c>
      <c r="K174" s="640">
        <v>0</v>
      </c>
      <c r="L174" s="640">
        <v>0</v>
      </c>
      <c r="M174" s="640">
        <v>9.5333436000000008E-2</v>
      </c>
      <c r="N174" s="640">
        <v>0</v>
      </c>
      <c r="O174" s="640">
        <v>0</v>
      </c>
      <c r="P174" s="640">
        <v>26.129145836866744</v>
      </c>
      <c r="Q174" s="640">
        <v>0</v>
      </c>
      <c r="R174" s="640">
        <v>0</v>
      </c>
      <c r="S174" s="648">
        <v>58.35412524624175</v>
      </c>
      <c r="U174" s="646" t="s">
        <v>75</v>
      </c>
      <c r="V174" s="640">
        <v>1.73775830078125</v>
      </c>
      <c r="W174" s="640">
        <v>0</v>
      </c>
      <c r="X174" s="640">
        <v>16.370388000000002</v>
      </c>
      <c r="Y174" s="640">
        <v>0</v>
      </c>
      <c r="Z174" s="640">
        <v>0</v>
      </c>
      <c r="AA174" s="640">
        <v>0</v>
      </c>
      <c r="AB174" s="640">
        <v>0</v>
      </c>
      <c r="AC174" s="640">
        <v>0</v>
      </c>
      <c r="AD174" s="640">
        <v>0</v>
      </c>
      <c r="AE174" s="640">
        <v>4.7666718000000001</v>
      </c>
      <c r="AF174" s="640">
        <v>0</v>
      </c>
      <c r="AG174" s="640">
        <v>0</v>
      </c>
      <c r="AH174" s="640">
        <v>36.696565665655768</v>
      </c>
      <c r="AI174" s="640">
        <v>0</v>
      </c>
      <c r="AJ174" s="640">
        <v>0</v>
      </c>
      <c r="AK174" s="648">
        <v>59.571383766437016</v>
      </c>
    </row>
    <row r="175" spans="3:37" x14ac:dyDescent="0.2">
      <c r="C175" s="646" t="s">
        <v>76</v>
      </c>
      <c r="D175" s="640">
        <v>0</v>
      </c>
      <c r="E175" s="640">
        <v>0</v>
      </c>
      <c r="F175" s="640">
        <v>0</v>
      </c>
      <c r="G175" s="640">
        <v>3.9646717348100942</v>
      </c>
      <c r="H175" s="640">
        <v>0</v>
      </c>
      <c r="I175" s="640">
        <v>0</v>
      </c>
      <c r="J175" s="640">
        <v>0</v>
      </c>
      <c r="K175" s="640">
        <v>0</v>
      </c>
      <c r="L175" s="640">
        <v>0</v>
      </c>
      <c r="M175" s="640">
        <v>8.0911668057348868E-2</v>
      </c>
      <c r="N175" s="640">
        <v>0</v>
      </c>
      <c r="O175" s="640">
        <v>0</v>
      </c>
      <c r="P175" s="640">
        <v>47.131742012269626</v>
      </c>
      <c r="Q175" s="640">
        <v>2.9238621334994321</v>
      </c>
      <c r="R175" s="640">
        <v>0</v>
      </c>
      <c r="S175" s="648">
        <v>54.101187548636503</v>
      </c>
      <c r="U175" s="646" t="s">
        <v>76</v>
      </c>
      <c r="V175" s="640">
        <v>0</v>
      </c>
      <c r="W175" s="640">
        <v>0</v>
      </c>
      <c r="X175" s="640">
        <v>0</v>
      </c>
      <c r="Y175" s="640">
        <v>0</v>
      </c>
      <c r="Z175" s="640">
        <v>0</v>
      </c>
      <c r="AA175" s="640">
        <v>0</v>
      </c>
      <c r="AB175" s="640">
        <v>0</v>
      </c>
      <c r="AC175" s="640">
        <v>0</v>
      </c>
      <c r="AD175" s="640">
        <v>0</v>
      </c>
      <c r="AE175" s="640">
        <v>1.5605996097297452</v>
      </c>
      <c r="AF175" s="640">
        <v>0</v>
      </c>
      <c r="AG175" s="640">
        <v>0</v>
      </c>
      <c r="AH175" s="640">
        <v>50.104610120731024</v>
      </c>
      <c r="AI175" s="640">
        <v>5.7529608775183565</v>
      </c>
      <c r="AJ175" s="640">
        <v>0</v>
      </c>
      <c r="AK175" s="648">
        <v>57.418170607979121</v>
      </c>
    </row>
    <row r="176" spans="3:37" x14ac:dyDescent="0.2">
      <c r="C176" s="644" t="s">
        <v>77</v>
      </c>
      <c r="D176" s="645">
        <v>42.426498531650253</v>
      </c>
      <c r="E176" s="645">
        <v>464.7986487</v>
      </c>
      <c r="F176" s="645">
        <v>-430.41604332203127</v>
      </c>
      <c r="G176" s="645">
        <v>78.562753779962591</v>
      </c>
      <c r="H176" s="645">
        <v>727.27272727272737</v>
      </c>
      <c r="I176" s="645">
        <v>338.37995078139568</v>
      </c>
      <c r="J176" s="645">
        <v>73.88609899973514</v>
      </c>
      <c r="K176" s="645">
        <v>18.1608189391454</v>
      </c>
      <c r="L176" s="645">
        <v>-22.392588528868568</v>
      </c>
      <c r="M176" s="645">
        <v>-5.0780082691828765</v>
      </c>
      <c r="N176" s="645">
        <v>0</v>
      </c>
      <c r="O176" s="645">
        <v>9.6533137639592894</v>
      </c>
      <c r="P176" s="645">
        <v>-554.70570793017112</v>
      </c>
      <c r="Q176" s="645">
        <v>-34.744016552062419</v>
      </c>
      <c r="R176" s="645">
        <v>-7.071337409208251</v>
      </c>
      <c r="S176" s="645">
        <v>698.73310875705101</v>
      </c>
      <c r="U176" s="644" t="s">
        <v>77</v>
      </c>
      <c r="V176" s="645">
        <v>3.0871053259909167</v>
      </c>
      <c r="W176" s="645">
        <v>113.59926767676768</v>
      </c>
      <c r="X176" s="645">
        <v>-90.60020861890041</v>
      </c>
      <c r="Y176" s="645">
        <v>0</v>
      </c>
      <c r="Z176" s="645">
        <v>764.84848484848499</v>
      </c>
      <c r="AA176" s="645">
        <v>423.19995078139567</v>
      </c>
      <c r="AB176" s="645">
        <v>188.81392594880614</v>
      </c>
      <c r="AC176" s="645">
        <v>31.963595882852758</v>
      </c>
      <c r="AD176" s="645">
        <v>-125.42403259253969</v>
      </c>
      <c r="AE176" s="645">
        <v>-113.87891972722609</v>
      </c>
      <c r="AF176" s="645">
        <v>0</v>
      </c>
      <c r="AG176" s="645">
        <v>21.687841193420969</v>
      </c>
      <c r="AH176" s="645">
        <v>-553.86752452670385</v>
      </c>
      <c r="AI176" s="645">
        <v>-68.423763504668656</v>
      </c>
      <c r="AJ176" s="645">
        <v>-37.056170647637451</v>
      </c>
      <c r="AK176" s="645">
        <v>557.94955204004305</v>
      </c>
    </row>
    <row r="177" spans="3:37" x14ac:dyDescent="0.2">
      <c r="C177" s="634"/>
      <c r="D177" s="634">
        <v>0</v>
      </c>
      <c r="E177" s="634">
        <v>0</v>
      </c>
      <c r="F177" s="634">
        <v>0</v>
      </c>
      <c r="G177" s="634">
        <v>0</v>
      </c>
      <c r="H177" s="634">
        <v>0</v>
      </c>
      <c r="I177" s="634">
        <v>0</v>
      </c>
      <c r="J177" s="634">
        <v>0</v>
      </c>
      <c r="K177" s="634">
        <v>0</v>
      </c>
      <c r="L177" s="634">
        <v>0</v>
      </c>
      <c r="M177" s="634">
        <v>0</v>
      </c>
      <c r="N177" s="634">
        <v>0</v>
      </c>
      <c r="O177" s="634">
        <v>0</v>
      </c>
      <c r="P177" s="634">
        <v>0</v>
      </c>
      <c r="Q177" s="634">
        <v>0</v>
      </c>
      <c r="R177" s="634">
        <v>0</v>
      </c>
      <c r="S177" s="634">
        <v>0</v>
      </c>
      <c r="U177" s="634"/>
      <c r="V177" s="634">
        <v>0</v>
      </c>
      <c r="W177" s="634">
        <v>0</v>
      </c>
      <c r="X177" s="634">
        <v>0</v>
      </c>
      <c r="Y177" s="634">
        <v>0</v>
      </c>
      <c r="Z177" s="634">
        <v>0</v>
      </c>
      <c r="AA177" s="634">
        <v>0</v>
      </c>
      <c r="AB177" s="634">
        <v>0</v>
      </c>
      <c r="AC177" s="634">
        <v>0</v>
      </c>
      <c r="AD177" s="634">
        <v>0</v>
      </c>
      <c r="AE177" s="634">
        <v>0</v>
      </c>
      <c r="AF177" s="634">
        <v>0</v>
      </c>
      <c r="AG177" s="634">
        <v>0</v>
      </c>
      <c r="AH177" s="634">
        <v>0</v>
      </c>
      <c r="AI177" s="634">
        <v>0</v>
      </c>
      <c r="AJ177" s="634">
        <v>0</v>
      </c>
      <c r="AK177" s="634">
        <v>0</v>
      </c>
    </row>
    <row r="178" spans="3:37" x14ac:dyDescent="0.2">
      <c r="C178" s="646" t="s">
        <v>78</v>
      </c>
      <c r="D178" s="640">
        <v>3.6733927919712848</v>
      </c>
      <c r="E178" s="640">
        <v>0</v>
      </c>
      <c r="F178" s="640">
        <v>19.397200033553816</v>
      </c>
      <c r="G178" s="640">
        <v>91.130108310207916</v>
      </c>
      <c r="H178" s="640">
        <v>0</v>
      </c>
      <c r="I178" s="640">
        <v>0</v>
      </c>
      <c r="J178" s="640">
        <v>22.791437377983073</v>
      </c>
      <c r="K178" s="640">
        <v>1.7013098714668424</v>
      </c>
      <c r="L178" s="640">
        <v>1.007010953125</v>
      </c>
      <c r="M178" s="640">
        <v>1.8779931367345493</v>
      </c>
      <c r="N178" s="640">
        <v>0</v>
      </c>
      <c r="O178" s="640">
        <v>3.7093504340600874E-4</v>
      </c>
      <c r="P178" s="640">
        <v>114.54790196708234</v>
      </c>
      <c r="Q178" s="640">
        <v>16.21056036467343</v>
      </c>
      <c r="R178" s="640">
        <v>0.23655174255371095</v>
      </c>
      <c r="S178" s="648">
        <v>272.57383748439537</v>
      </c>
      <c r="U178" s="646" t="s">
        <v>78</v>
      </c>
      <c r="V178" s="640">
        <v>1.5000162600463405</v>
      </c>
      <c r="W178" s="640">
        <v>0</v>
      </c>
      <c r="X178" s="640">
        <v>0.65820239923796242</v>
      </c>
      <c r="Y178" s="640">
        <v>0</v>
      </c>
      <c r="Z178" s="640">
        <v>0</v>
      </c>
      <c r="AA178" s="640">
        <v>0</v>
      </c>
      <c r="AB178" s="640">
        <v>14.22856522114639</v>
      </c>
      <c r="AC178" s="640">
        <v>4.1194716696050602</v>
      </c>
      <c r="AD178" s="640">
        <v>8.3494072265624997</v>
      </c>
      <c r="AE178" s="640">
        <v>60.539358802903692</v>
      </c>
      <c r="AF178" s="640">
        <v>0</v>
      </c>
      <c r="AG178" s="640">
        <v>3.7093504340600874E-4</v>
      </c>
      <c r="AH178" s="640">
        <v>157.01971492382648</v>
      </c>
      <c r="AI178" s="640">
        <v>25.540840498351418</v>
      </c>
      <c r="AJ178" s="640">
        <v>8.9542294921874994</v>
      </c>
      <c r="AK178" s="648">
        <v>280.91017742891074</v>
      </c>
    </row>
    <row r="179" spans="3:37" x14ac:dyDescent="0.2">
      <c r="C179" s="646" t="s">
        <v>79</v>
      </c>
      <c r="D179" s="640">
        <v>0</v>
      </c>
      <c r="E179" s="640">
        <v>0</v>
      </c>
      <c r="F179" s="640">
        <v>216.8751541495462</v>
      </c>
      <c r="G179" s="640">
        <v>32.745585882615877</v>
      </c>
      <c r="H179" s="640">
        <v>0</v>
      </c>
      <c r="I179" s="640">
        <v>0</v>
      </c>
      <c r="J179" s="640">
        <v>0</v>
      </c>
      <c r="K179" s="640">
        <v>0</v>
      </c>
      <c r="L179" s="640">
        <v>20.896591906701669</v>
      </c>
      <c r="M179" s="640">
        <v>0.66827726291052814</v>
      </c>
      <c r="N179" s="640">
        <v>0</v>
      </c>
      <c r="O179" s="640">
        <v>0</v>
      </c>
      <c r="P179" s="640">
        <v>80.819270278256823</v>
      </c>
      <c r="Q179" s="640">
        <v>0</v>
      </c>
      <c r="R179" s="640">
        <v>2.9193508940431485</v>
      </c>
      <c r="S179" s="648">
        <v>354.92423037407423</v>
      </c>
      <c r="U179" s="646" t="s">
        <v>79</v>
      </c>
      <c r="V179" s="640">
        <v>0</v>
      </c>
      <c r="W179" s="640">
        <v>0</v>
      </c>
      <c r="X179" s="640">
        <v>8.8339079607242379</v>
      </c>
      <c r="Y179" s="640">
        <v>0</v>
      </c>
      <c r="Z179" s="640">
        <v>0</v>
      </c>
      <c r="AA179" s="640">
        <v>0</v>
      </c>
      <c r="AB179" s="640">
        <v>0</v>
      </c>
      <c r="AC179" s="640">
        <v>0</v>
      </c>
      <c r="AD179" s="640">
        <v>12.788272739607951</v>
      </c>
      <c r="AE179" s="640">
        <v>24.887279738493259</v>
      </c>
      <c r="AF179" s="640">
        <v>0</v>
      </c>
      <c r="AG179" s="640">
        <v>0</v>
      </c>
      <c r="AH179" s="640">
        <v>93.844452584108197</v>
      </c>
      <c r="AI179" s="640">
        <v>0</v>
      </c>
      <c r="AJ179" s="640">
        <v>7.1149935986121697</v>
      </c>
      <c r="AK179" s="648">
        <v>147.46890662154581</v>
      </c>
    </row>
    <row r="180" spans="3:37" x14ac:dyDescent="0.2">
      <c r="C180" s="646" t="s">
        <v>80</v>
      </c>
      <c r="D180" s="640">
        <v>0</v>
      </c>
      <c r="E180" s="640">
        <v>0</v>
      </c>
      <c r="F180" s="640">
        <v>5.2094674308398901</v>
      </c>
      <c r="G180" s="640">
        <v>68.551385920257417</v>
      </c>
      <c r="H180" s="640">
        <v>0</v>
      </c>
      <c r="I180" s="640">
        <v>0</v>
      </c>
      <c r="J180" s="640">
        <v>86.155325304334795</v>
      </c>
      <c r="K180" s="640">
        <v>0</v>
      </c>
      <c r="L180" s="640">
        <v>0</v>
      </c>
      <c r="M180" s="640">
        <v>1.3990078759236206</v>
      </c>
      <c r="N180" s="640">
        <v>66.478227859390046</v>
      </c>
      <c r="O180" s="640">
        <v>2.1206229173139883</v>
      </c>
      <c r="P180" s="640">
        <v>194.47767196350526</v>
      </c>
      <c r="Q180" s="640">
        <v>15.182773802844931</v>
      </c>
      <c r="R180" s="640">
        <v>0</v>
      </c>
      <c r="S180" s="648">
        <v>439.5744830744099</v>
      </c>
      <c r="U180" s="646" t="s">
        <v>80</v>
      </c>
      <c r="V180" s="640">
        <v>0</v>
      </c>
      <c r="W180" s="640">
        <v>0</v>
      </c>
      <c r="X180" s="640">
        <v>0.92826525658471626</v>
      </c>
      <c r="Y180" s="640">
        <v>0</v>
      </c>
      <c r="Z180" s="640">
        <v>0</v>
      </c>
      <c r="AA180" s="640">
        <v>0</v>
      </c>
      <c r="AB180" s="640">
        <v>47.227858114444189</v>
      </c>
      <c r="AC180" s="640">
        <v>0</v>
      </c>
      <c r="AD180" s="640">
        <v>0</v>
      </c>
      <c r="AE180" s="640">
        <v>17.293312779197663</v>
      </c>
      <c r="AF180" s="640">
        <v>108.09916343666818</v>
      </c>
      <c r="AG180" s="640">
        <v>4.9369795689122755</v>
      </c>
      <c r="AH180" s="640">
        <v>137.38519988829395</v>
      </c>
      <c r="AI180" s="640">
        <v>27.91071693101145</v>
      </c>
      <c r="AJ180" s="640">
        <v>0</v>
      </c>
      <c r="AK180" s="648">
        <v>343.78149597511242</v>
      </c>
    </row>
    <row r="181" spans="3:37" x14ac:dyDescent="0.2">
      <c r="C181" s="646" t="s">
        <v>81</v>
      </c>
      <c r="D181" s="640">
        <v>0</v>
      </c>
      <c r="E181" s="640">
        <v>0</v>
      </c>
      <c r="F181" s="640">
        <v>2.3181271880740835</v>
      </c>
      <c r="G181" s="640">
        <v>62.553452404821357</v>
      </c>
      <c r="H181" s="640">
        <v>0</v>
      </c>
      <c r="I181" s="640">
        <v>0</v>
      </c>
      <c r="J181" s="640">
        <v>3.0090868580403627</v>
      </c>
      <c r="K181" s="640">
        <v>2.5363417285398034E-2</v>
      </c>
      <c r="L181" s="640">
        <v>0</v>
      </c>
      <c r="M181" s="640">
        <v>1.27660106948615</v>
      </c>
      <c r="N181" s="640">
        <v>8.6055350400994808</v>
      </c>
      <c r="O181" s="640">
        <v>0.68093940948821108</v>
      </c>
      <c r="P181" s="640">
        <v>146.08879967332064</v>
      </c>
      <c r="Q181" s="640">
        <v>3.3506823845440552</v>
      </c>
      <c r="R181" s="640">
        <v>0</v>
      </c>
      <c r="S181" s="648">
        <v>227.90858744515972</v>
      </c>
      <c r="U181" s="646" t="s">
        <v>81</v>
      </c>
      <c r="V181" s="640">
        <v>0</v>
      </c>
      <c r="W181" s="640">
        <v>0</v>
      </c>
      <c r="X181" s="640">
        <v>0.55102356567889155</v>
      </c>
      <c r="Y181" s="640">
        <v>0</v>
      </c>
      <c r="Z181" s="640">
        <v>0</v>
      </c>
      <c r="AA181" s="640">
        <v>0</v>
      </c>
      <c r="AB181" s="640">
        <v>6.5361621549849476</v>
      </c>
      <c r="AC181" s="640">
        <v>2.5363417285398034E-2</v>
      </c>
      <c r="AD181" s="640">
        <v>0</v>
      </c>
      <c r="AE181" s="640">
        <v>5.3379988256415478</v>
      </c>
      <c r="AF181" s="640">
        <v>15.069021727073199</v>
      </c>
      <c r="AG181" s="640">
        <v>1.4375946320597892</v>
      </c>
      <c r="AH181" s="640">
        <v>112.31243747223964</v>
      </c>
      <c r="AI181" s="640">
        <v>14.972206075305797</v>
      </c>
      <c r="AJ181" s="640">
        <v>0</v>
      </c>
      <c r="AK181" s="648">
        <v>156.24180787026921</v>
      </c>
    </row>
    <row r="182" spans="3:37" x14ac:dyDescent="0.2">
      <c r="C182" s="646" t="s">
        <v>82</v>
      </c>
      <c r="D182" s="640">
        <v>0</v>
      </c>
      <c r="E182" s="640">
        <v>0</v>
      </c>
      <c r="F182" s="640">
        <v>27.219719362233906</v>
      </c>
      <c r="G182" s="640">
        <v>0.81069667111944488</v>
      </c>
      <c r="H182" s="640">
        <v>0</v>
      </c>
      <c r="I182" s="640">
        <v>0</v>
      </c>
      <c r="J182" s="640">
        <v>5.0054618408177598</v>
      </c>
      <c r="K182" s="640">
        <v>0</v>
      </c>
      <c r="L182" s="640">
        <v>3.2629555410385191</v>
      </c>
      <c r="M182" s="640">
        <v>1.6544830022845812E-2</v>
      </c>
      <c r="N182" s="640">
        <v>0</v>
      </c>
      <c r="O182" s="640">
        <v>6.051975379409523E-2</v>
      </c>
      <c r="P182" s="640">
        <v>5.5235547180923223</v>
      </c>
      <c r="Q182" s="640">
        <v>0</v>
      </c>
      <c r="R182" s="640">
        <v>0</v>
      </c>
      <c r="S182" s="648">
        <v>41.899452717118898</v>
      </c>
      <c r="U182" s="646" t="s">
        <v>82</v>
      </c>
      <c r="V182" s="640">
        <v>0</v>
      </c>
      <c r="W182" s="640">
        <v>0</v>
      </c>
      <c r="X182" s="640">
        <v>0.67158967449506357</v>
      </c>
      <c r="Y182" s="640">
        <v>0</v>
      </c>
      <c r="Z182" s="640">
        <v>0</v>
      </c>
      <c r="AA182" s="640">
        <v>0</v>
      </c>
      <c r="AB182" s="640">
        <v>5.0054618408177598</v>
      </c>
      <c r="AC182" s="640">
        <v>0</v>
      </c>
      <c r="AD182" s="640">
        <v>35.167200828266267</v>
      </c>
      <c r="AE182" s="640">
        <v>0.86765586771995196</v>
      </c>
      <c r="AF182" s="640">
        <v>0</v>
      </c>
      <c r="AG182" s="640">
        <v>2.1874070050904897</v>
      </c>
      <c r="AH182" s="640">
        <v>5.6657335511185538</v>
      </c>
      <c r="AI182" s="640">
        <v>0</v>
      </c>
      <c r="AJ182" s="640">
        <v>0.44339331184266689</v>
      </c>
      <c r="AK182" s="648">
        <v>50.008442079350758</v>
      </c>
    </row>
    <row r="183" spans="3:37" x14ac:dyDescent="0.2">
      <c r="C183" s="646" t="s">
        <v>354</v>
      </c>
      <c r="D183" s="640">
        <v>0</v>
      </c>
      <c r="E183" s="640">
        <v>0</v>
      </c>
      <c r="F183" s="640">
        <v>0</v>
      </c>
      <c r="G183" s="640">
        <v>0</v>
      </c>
      <c r="H183" s="640">
        <v>0</v>
      </c>
      <c r="I183" s="640">
        <v>0</v>
      </c>
      <c r="J183" s="640">
        <v>0</v>
      </c>
      <c r="K183" s="640">
        <v>0</v>
      </c>
      <c r="L183" s="640">
        <v>0</v>
      </c>
      <c r="M183" s="640">
        <v>0</v>
      </c>
      <c r="N183" s="640">
        <v>0</v>
      </c>
      <c r="O183" s="640">
        <v>0</v>
      </c>
      <c r="P183" s="640">
        <v>0.44999999999999996</v>
      </c>
      <c r="Q183" s="640">
        <v>0</v>
      </c>
      <c r="R183" s="640">
        <v>0</v>
      </c>
      <c r="S183" s="648">
        <v>0.44999999999999996</v>
      </c>
      <c r="U183" s="646" t="s">
        <v>354</v>
      </c>
      <c r="V183" s="640">
        <v>0</v>
      </c>
      <c r="W183" s="640">
        <v>0</v>
      </c>
      <c r="X183" s="640">
        <v>0</v>
      </c>
      <c r="Y183" s="640">
        <v>0</v>
      </c>
      <c r="Z183" s="640">
        <v>0</v>
      </c>
      <c r="AA183" s="640">
        <v>0</v>
      </c>
      <c r="AB183" s="640">
        <v>0</v>
      </c>
      <c r="AC183" s="640">
        <v>0</v>
      </c>
      <c r="AD183" s="640">
        <v>0</v>
      </c>
      <c r="AE183" s="640">
        <v>0</v>
      </c>
      <c r="AF183" s="640">
        <v>0</v>
      </c>
      <c r="AG183" s="640">
        <v>0</v>
      </c>
      <c r="AH183" s="640">
        <v>6</v>
      </c>
      <c r="AI183" s="640">
        <v>0</v>
      </c>
      <c r="AJ183" s="640">
        <v>0</v>
      </c>
      <c r="AK183" s="648">
        <v>6</v>
      </c>
    </row>
    <row r="184" spans="3:37" x14ac:dyDescent="0.2">
      <c r="C184" s="644" t="s">
        <v>83</v>
      </c>
      <c r="D184" s="645">
        <v>3.6733927919712848</v>
      </c>
      <c r="E184" s="645">
        <v>0</v>
      </c>
      <c r="F184" s="645">
        <v>271.01966816424783</v>
      </c>
      <c r="G184" s="645">
        <v>255.79122918902203</v>
      </c>
      <c r="H184" s="645">
        <v>0</v>
      </c>
      <c r="I184" s="645">
        <v>0</v>
      </c>
      <c r="J184" s="645">
        <v>116.96131138117599</v>
      </c>
      <c r="K184" s="645">
        <v>1.7266732887522405</v>
      </c>
      <c r="L184" s="645">
        <v>25.166558400865188</v>
      </c>
      <c r="M184" s="645">
        <v>5.238424175077693</v>
      </c>
      <c r="N184" s="645">
        <v>75.083762899489528</v>
      </c>
      <c r="O184" s="645">
        <v>2.8624530156397006</v>
      </c>
      <c r="P184" s="645">
        <v>541.90719860025752</v>
      </c>
      <c r="Q184" s="645">
        <v>34.744016552062419</v>
      </c>
      <c r="R184" s="645">
        <v>3.1559026365968594</v>
      </c>
      <c r="S184" s="645">
        <v>1337.3305910951583</v>
      </c>
      <c r="U184" s="644" t="s">
        <v>83</v>
      </c>
      <c r="V184" s="645">
        <v>1.5000162600463405</v>
      </c>
      <c r="W184" s="645">
        <v>0</v>
      </c>
      <c r="X184" s="645">
        <v>11.642988856720871</v>
      </c>
      <c r="Y184" s="645">
        <v>0</v>
      </c>
      <c r="Z184" s="645">
        <v>0</v>
      </c>
      <c r="AA184" s="645">
        <v>0</v>
      </c>
      <c r="AB184" s="645">
        <v>72.998047331393281</v>
      </c>
      <c r="AC184" s="645">
        <v>4.1448350868904589</v>
      </c>
      <c r="AD184" s="645">
        <v>56.30488079443672</v>
      </c>
      <c r="AE184" s="645">
        <v>108.92560601395611</v>
      </c>
      <c r="AF184" s="645">
        <v>123.16818516374138</v>
      </c>
      <c r="AG184" s="645">
        <v>8.5623521411059595</v>
      </c>
      <c r="AH184" s="645">
        <v>512.22753841958684</v>
      </c>
      <c r="AI184" s="645">
        <v>68.423763504668656</v>
      </c>
      <c r="AJ184" s="645">
        <v>16.512616402642333</v>
      </c>
      <c r="AK184" s="645">
        <v>984.4108299751889</v>
      </c>
    </row>
    <row r="185" spans="3:37" x14ac:dyDescent="0.2">
      <c r="C185" s="639" t="s">
        <v>84</v>
      </c>
      <c r="D185" s="640">
        <v>0</v>
      </c>
      <c r="E185" s="640">
        <v>0</v>
      </c>
      <c r="F185" s="640">
        <v>100.05515171814793</v>
      </c>
      <c r="G185" s="640">
        <v>11.196954266678716</v>
      </c>
      <c r="H185" s="640">
        <v>0</v>
      </c>
      <c r="I185" s="640">
        <v>0</v>
      </c>
      <c r="J185" s="640">
        <v>0</v>
      </c>
      <c r="K185" s="640">
        <v>0</v>
      </c>
      <c r="L185" s="640">
        <v>0</v>
      </c>
      <c r="M185" s="640">
        <v>0</v>
      </c>
      <c r="N185" s="640">
        <v>0</v>
      </c>
      <c r="O185" s="640">
        <v>0</v>
      </c>
      <c r="P185" s="640">
        <v>0</v>
      </c>
      <c r="Q185" s="640">
        <v>0</v>
      </c>
      <c r="R185" s="640">
        <v>3.9154347726113912</v>
      </c>
      <c r="S185" s="648">
        <v>115.16754075743803</v>
      </c>
      <c r="U185" s="639" t="s">
        <v>84</v>
      </c>
      <c r="V185" s="640">
        <v>0</v>
      </c>
      <c r="W185" s="640">
        <v>0</v>
      </c>
      <c r="X185" s="640">
        <v>57.953190468871433</v>
      </c>
      <c r="Y185" s="640">
        <v>0.51452681198611927</v>
      </c>
      <c r="Z185" s="640">
        <v>0</v>
      </c>
      <c r="AA185" s="640">
        <v>0</v>
      </c>
      <c r="AB185" s="640">
        <v>0</v>
      </c>
      <c r="AC185" s="640">
        <v>0</v>
      </c>
      <c r="AD185" s="640">
        <v>30.108432000732424</v>
      </c>
      <c r="AE185" s="640">
        <v>0</v>
      </c>
      <c r="AF185" s="640">
        <v>0</v>
      </c>
      <c r="AG185" s="640">
        <v>0</v>
      </c>
      <c r="AH185" s="640">
        <v>0</v>
      </c>
      <c r="AI185" s="640">
        <v>0</v>
      </c>
      <c r="AJ185" s="640">
        <v>20.543554244995118</v>
      </c>
      <c r="AK185" s="648">
        <v>109.1197035265851</v>
      </c>
    </row>
    <row r="186" spans="3:37" x14ac:dyDescent="0.2">
      <c r="C186" s="644" t="s">
        <v>85</v>
      </c>
      <c r="D186" s="645">
        <v>3.6733927919712848</v>
      </c>
      <c r="E186" s="645">
        <v>0</v>
      </c>
      <c r="F186" s="645">
        <v>371.07481988239573</v>
      </c>
      <c r="G186" s="645">
        <v>266.98818345570078</v>
      </c>
      <c r="H186" s="645">
        <v>0</v>
      </c>
      <c r="I186" s="645">
        <v>0</v>
      </c>
      <c r="J186" s="645">
        <v>116.96131138117599</v>
      </c>
      <c r="K186" s="645">
        <v>1.7266732887522405</v>
      </c>
      <c r="L186" s="645">
        <v>25.166558400865188</v>
      </c>
      <c r="M186" s="645">
        <v>5.238424175077693</v>
      </c>
      <c r="N186" s="645">
        <v>75.083762899489528</v>
      </c>
      <c r="O186" s="645">
        <v>2.8624530156397006</v>
      </c>
      <c r="P186" s="645">
        <v>541.90719860025752</v>
      </c>
      <c r="Q186" s="645">
        <v>34.744016552062419</v>
      </c>
      <c r="R186" s="645">
        <v>7.071337409208251</v>
      </c>
      <c r="S186" s="645">
        <v>1452.4981318525963</v>
      </c>
      <c r="U186" s="644" t="s">
        <v>85</v>
      </c>
      <c r="V186" s="645">
        <v>1.5000162600463405</v>
      </c>
      <c r="W186" s="645">
        <v>0</v>
      </c>
      <c r="X186" s="645">
        <v>69.596179325592303</v>
      </c>
      <c r="Y186" s="645">
        <v>0.51452681198611927</v>
      </c>
      <c r="Z186" s="645">
        <v>0</v>
      </c>
      <c r="AA186" s="645">
        <v>0</v>
      </c>
      <c r="AB186" s="645">
        <v>72.998047331393281</v>
      </c>
      <c r="AC186" s="645">
        <v>4.1448350868904589</v>
      </c>
      <c r="AD186" s="645">
        <v>86.413312795169148</v>
      </c>
      <c r="AE186" s="645">
        <v>108.92560601395611</v>
      </c>
      <c r="AF186" s="645">
        <v>123.16818516374138</v>
      </c>
      <c r="AG186" s="645">
        <v>8.5623521411059595</v>
      </c>
      <c r="AH186" s="645">
        <v>512.22753841958684</v>
      </c>
      <c r="AI186" s="645">
        <v>68.423763504668656</v>
      </c>
      <c r="AJ186" s="645">
        <v>37.056170647637451</v>
      </c>
      <c r="AK186" s="645">
        <v>1093.530533501774</v>
      </c>
    </row>
    <row r="187" spans="3:37" x14ac:dyDescent="0.2">
      <c r="C187" s="634"/>
      <c r="D187" s="634"/>
      <c r="E187" s="634"/>
      <c r="F187" s="634"/>
      <c r="G187" s="634"/>
      <c r="H187" s="634"/>
      <c r="I187" s="634"/>
      <c r="J187" s="634"/>
      <c r="K187" s="634"/>
      <c r="L187" s="634"/>
      <c r="M187" s="634"/>
      <c r="N187" s="634"/>
      <c r="O187" s="634"/>
      <c r="P187" s="634"/>
      <c r="Q187" s="634"/>
      <c r="R187" s="634"/>
      <c r="S187" s="634"/>
      <c r="U187" s="634"/>
      <c r="V187" s="634"/>
      <c r="W187" s="634"/>
      <c r="X187" s="634"/>
      <c r="Y187" s="634"/>
      <c r="Z187" s="634"/>
      <c r="AA187" s="634"/>
      <c r="AB187" s="634"/>
      <c r="AC187" s="634"/>
      <c r="AD187" s="634"/>
      <c r="AE187" s="634"/>
      <c r="AF187" s="634"/>
      <c r="AG187" s="634"/>
      <c r="AH187" s="634"/>
      <c r="AI187" s="634"/>
      <c r="AJ187" s="634"/>
      <c r="AK187" s="634"/>
    </row>
    <row r="188" spans="3:37" x14ac:dyDescent="0.2">
      <c r="C188" s="634"/>
      <c r="D188" s="634"/>
      <c r="E188" s="634"/>
      <c r="F188" s="634"/>
      <c r="G188" s="634"/>
      <c r="H188" s="634"/>
      <c r="I188" s="634"/>
      <c r="J188" s="634"/>
      <c r="K188" s="634"/>
      <c r="L188" s="634"/>
      <c r="M188" s="634"/>
      <c r="N188" s="634"/>
      <c r="O188" s="634"/>
      <c r="P188" s="634"/>
      <c r="Q188" s="634"/>
      <c r="R188" s="634"/>
      <c r="S188" s="634"/>
      <c r="U188" s="634"/>
      <c r="V188" s="634"/>
      <c r="W188" s="634"/>
      <c r="X188" s="634"/>
      <c r="Y188" s="634"/>
      <c r="Z188" s="634"/>
      <c r="AA188" s="634"/>
      <c r="AB188" s="634"/>
      <c r="AC188" s="634"/>
      <c r="AD188" s="634"/>
      <c r="AE188" s="634"/>
      <c r="AF188" s="634"/>
      <c r="AG188" s="634"/>
      <c r="AH188" s="634"/>
      <c r="AI188" s="634"/>
      <c r="AJ188" s="634"/>
      <c r="AK188" s="634"/>
    </row>
  </sheetData>
  <mergeCells count="132">
    <mergeCell ref="C2:S2"/>
    <mergeCell ref="U2:AK2"/>
    <mergeCell ref="C8:S8"/>
    <mergeCell ref="U8:AK8"/>
    <mergeCell ref="C10:C11"/>
    <mergeCell ref="D10:D11"/>
    <mergeCell ref="E10:E11"/>
    <mergeCell ref="F10:F11"/>
    <mergeCell ref="G10:G11"/>
    <mergeCell ref="H10:H11"/>
    <mergeCell ref="I10:I11"/>
    <mergeCell ref="J10:O10"/>
    <mergeCell ref="AH10:AH11"/>
    <mergeCell ref="AI10:AI11"/>
    <mergeCell ref="AJ10:AJ11"/>
    <mergeCell ref="AK10:AK11"/>
    <mergeCell ref="C44:S44"/>
    <mergeCell ref="U44:AK44"/>
    <mergeCell ref="W10:W11"/>
    <mergeCell ref="X10:X11"/>
    <mergeCell ref="Y10:Y11"/>
    <mergeCell ref="Z10:Z11"/>
    <mergeCell ref="AA10:AA11"/>
    <mergeCell ref="AB10:AG10"/>
    <mergeCell ref="P10:P11"/>
    <mergeCell ref="Q10:Q11"/>
    <mergeCell ref="R10:R11"/>
    <mergeCell ref="S10:S11"/>
    <mergeCell ref="U10:U11"/>
    <mergeCell ref="V10:V11"/>
    <mergeCell ref="I46:I47"/>
    <mergeCell ref="J46:O46"/>
    <mergeCell ref="P46:P47"/>
    <mergeCell ref="Q46:Q47"/>
    <mergeCell ref="R46:R47"/>
    <mergeCell ref="S46:S47"/>
    <mergeCell ref="C46:C47"/>
    <mergeCell ref="D46:D47"/>
    <mergeCell ref="E46:E47"/>
    <mergeCell ref="F46:F47"/>
    <mergeCell ref="G46:G47"/>
    <mergeCell ref="H46:H47"/>
    <mergeCell ref="AA46:AA47"/>
    <mergeCell ref="AB46:AG46"/>
    <mergeCell ref="AH46:AH47"/>
    <mergeCell ref="AI46:AI47"/>
    <mergeCell ref="AJ46:AJ47"/>
    <mergeCell ref="AK46:AK47"/>
    <mergeCell ref="U46:U47"/>
    <mergeCell ref="V46:V47"/>
    <mergeCell ref="W46:W47"/>
    <mergeCell ref="X46:X47"/>
    <mergeCell ref="Y46:Y47"/>
    <mergeCell ref="Z46:Z47"/>
    <mergeCell ref="C80:S80"/>
    <mergeCell ref="U80:AK80"/>
    <mergeCell ref="C82:C83"/>
    <mergeCell ref="D82:D83"/>
    <mergeCell ref="E82:E83"/>
    <mergeCell ref="F82:F83"/>
    <mergeCell ref="G82:G83"/>
    <mergeCell ref="H82:H83"/>
    <mergeCell ref="I82:I83"/>
    <mergeCell ref="J82:O82"/>
    <mergeCell ref="AH82:AH83"/>
    <mergeCell ref="AI82:AI83"/>
    <mergeCell ref="AJ82:AJ83"/>
    <mergeCell ref="AK82:AK83"/>
    <mergeCell ref="C152:S152"/>
    <mergeCell ref="U152:AK152"/>
    <mergeCell ref="C116:S116"/>
    <mergeCell ref="U116:AK116"/>
    <mergeCell ref="W82:W83"/>
    <mergeCell ref="X82:X83"/>
    <mergeCell ref="Y82:Y83"/>
    <mergeCell ref="Z82:Z83"/>
    <mergeCell ref="AA82:AA83"/>
    <mergeCell ref="AB82:AG82"/>
    <mergeCell ref="P82:P83"/>
    <mergeCell ref="Q82:Q83"/>
    <mergeCell ref="R82:R83"/>
    <mergeCell ref="S82:S83"/>
    <mergeCell ref="U82:U83"/>
    <mergeCell ref="V82:V83"/>
    <mergeCell ref="I118:I119"/>
    <mergeCell ref="J118:O118"/>
    <mergeCell ref="P118:P119"/>
    <mergeCell ref="Q118:Q119"/>
    <mergeCell ref="R118:R119"/>
    <mergeCell ref="S118:S119"/>
    <mergeCell ref="C118:C119"/>
    <mergeCell ref="D118:D119"/>
    <mergeCell ref="E118:E119"/>
    <mergeCell ref="F118:F119"/>
    <mergeCell ref="G118:G119"/>
    <mergeCell ref="H118:H119"/>
    <mergeCell ref="AH118:AH119"/>
    <mergeCell ref="AI118:AI119"/>
    <mergeCell ref="AJ118:AJ119"/>
    <mergeCell ref="AK118:AK119"/>
    <mergeCell ref="U118:U119"/>
    <mergeCell ref="V118:V119"/>
    <mergeCell ref="W118:W119"/>
    <mergeCell ref="X118:X119"/>
    <mergeCell ref="Y118:Y119"/>
    <mergeCell ref="Z118:Z119"/>
    <mergeCell ref="AA118:AA119"/>
    <mergeCell ref="AB118:AG118"/>
    <mergeCell ref="AI154:AI155"/>
    <mergeCell ref="AJ154:AJ155"/>
    <mergeCell ref="AK154:AK155"/>
    <mergeCell ref="W154:W155"/>
    <mergeCell ref="X154:X155"/>
    <mergeCell ref="Y154:Y155"/>
    <mergeCell ref="Z154:Z155"/>
    <mergeCell ref="C154:C155"/>
    <mergeCell ref="D154:D155"/>
    <mergeCell ref="E154:E155"/>
    <mergeCell ref="F154:F155"/>
    <mergeCell ref="G154:G155"/>
    <mergeCell ref="H154:H155"/>
    <mergeCell ref="I154:I155"/>
    <mergeCell ref="J154:O154"/>
    <mergeCell ref="AH154:AH155"/>
    <mergeCell ref="AA154:AA155"/>
    <mergeCell ref="AB154:AG154"/>
    <mergeCell ref="P154:P155"/>
    <mergeCell ref="Q154:Q155"/>
    <mergeCell ref="R154:R155"/>
    <mergeCell ref="S154:S155"/>
    <mergeCell ref="U154:U155"/>
    <mergeCell ref="V154:V155"/>
  </mergeCells>
  <conditionalFormatting sqref="D12:S18">
    <cfRule type="expression" dxfId="1793" priority="519">
      <formula>LEN(TRIM(D12))=0</formula>
    </cfRule>
  </conditionalFormatting>
  <conditionalFormatting sqref="D20:S32">
    <cfRule type="cellIs" dxfId="1792" priority="495" operator="equal">
      <formula>0</formula>
    </cfRule>
    <cfRule type="expression" dxfId="1791" priority="496">
      <formula>LEN(TRIM(D20))=0</formula>
    </cfRule>
  </conditionalFormatting>
  <conditionalFormatting sqref="D34:S42">
    <cfRule type="cellIs" dxfId="1790" priority="483" operator="equal">
      <formula>0</formula>
    </cfRule>
    <cfRule type="expression" dxfId="1789" priority="484">
      <formula>LEN(TRIM(D34))=0</formula>
    </cfRule>
  </conditionalFormatting>
  <conditionalFormatting sqref="D48:S54">
    <cfRule type="expression" dxfId="1788" priority="478">
      <formula>LEN(TRIM(D48))=0</formula>
    </cfRule>
  </conditionalFormatting>
  <conditionalFormatting sqref="D56:S68">
    <cfRule type="expression" dxfId="1787" priority="455">
      <formula>LEN(TRIM(D56))=0</formula>
    </cfRule>
    <cfRule type="cellIs" dxfId="1786" priority="454" operator="equal">
      <formula>0</formula>
    </cfRule>
  </conditionalFormatting>
  <conditionalFormatting sqref="D70:S78">
    <cfRule type="expression" dxfId="1785" priority="443">
      <formula>LEN(TRIM(D70))=0</formula>
    </cfRule>
    <cfRule type="cellIs" dxfId="1784" priority="442" operator="equal">
      <formula>0</formula>
    </cfRule>
  </conditionalFormatting>
  <conditionalFormatting sqref="D84:S90">
    <cfRule type="expression" dxfId="1783" priority="437">
      <formula>LEN(TRIM(D84))=0</formula>
    </cfRule>
  </conditionalFormatting>
  <conditionalFormatting sqref="D92:S104">
    <cfRule type="expression" dxfId="1782" priority="414">
      <formula>LEN(TRIM(D92))=0</formula>
    </cfRule>
    <cfRule type="cellIs" dxfId="1781" priority="413" operator="equal">
      <formula>0</formula>
    </cfRule>
  </conditionalFormatting>
  <conditionalFormatting sqref="D106:S114">
    <cfRule type="expression" dxfId="1780" priority="402">
      <formula>LEN(TRIM(D106))=0</formula>
    </cfRule>
    <cfRule type="cellIs" dxfId="1779" priority="401" operator="equal">
      <formula>0</formula>
    </cfRule>
  </conditionalFormatting>
  <conditionalFormatting sqref="D120:S126">
    <cfRule type="expression" dxfId="1778" priority="396">
      <formula>LEN(TRIM(D120))=0</formula>
    </cfRule>
  </conditionalFormatting>
  <conditionalFormatting sqref="D128:S140">
    <cfRule type="expression" dxfId="1777" priority="373">
      <formula>LEN(TRIM(D128))=0</formula>
    </cfRule>
    <cfRule type="cellIs" dxfId="1776" priority="372" operator="equal">
      <formula>0</formula>
    </cfRule>
  </conditionalFormatting>
  <conditionalFormatting sqref="D142:S150">
    <cfRule type="expression" dxfId="1775" priority="361">
      <formula>LEN(TRIM(D142))=0</formula>
    </cfRule>
    <cfRule type="cellIs" dxfId="1774" priority="360" operator="equal">
      <formula>0</formula>
    </cfRule>
  </conditionalFormatting>
  <conditionalFormatting sqref="D156:S162">
    <cfRule type="expression" dxfId="1773" priority="355">
      <formula>LEN(TRIM(D156))=0</formula>
    </cfRule>
  </conditionalFormatting>
  <conditionalFormatting sqref="D164:S176">
    <cfRule type="expression" dxfId="1772" priority="332">
      <formula>LEN(TRIM(D164))=0</formula>
    </cfRule>
    <cfRule type="cellIs" dxfId="1771" priority="331" operator="equal">
      <formula>0</formula>
    </cfRule>
  </conditionalFormatting>
  <conditionalFormatting sqref="D178:S186">
    <cfRule type="expression" dxfId="1770" priority="320">
      <formula>LEN(TRIM(D178))=0</formula>
    </cfRule>
    <cfRule type="cellIs" dxfId="1769" priority="319" operator="equal">
      <formula>0</formula>
    </cfRule>
  </conditionalFormatting>
  <conditionalFormatting sqref="G12:G14 Q12:S14 D12:F17 E15:I17 P15:S17 D18:S18">
    <cfRule type="cellIs" dxfId="1768" priority="503" operator="equal">
      <formula>0</formula>
    </cfRule>
  </conditionalFormatting>
  <conditionalFormatting sqref="G48:G50 Q48:S50 D48:F53 E51:I53 P51:S53 D54:S54">
    <cfRule type="cellIs" dxfId="1767" priority="462" operator="equal">
      <formula>0</formula>
    </cfRule>
  </conditionalFormatting>
  <conditionalFormatting sqref="G84:G86 Q84:S86 D84:F89 E87:I89 P87:S89 D90:S90">
    <cfRule type="cellIs" dxfId="1766" priority="421" operator="equal">
      <formula>0</formula>
    </cfRule>
  </conditionalFormatting>
  <conditionalFormatting sqref="G120:G122 Q120:S122 D120:F125 E123:I125 P123:S125 D126:S126">
    <cfRule type="cellIs" dxfId="1765" priority="380" operator="equal">
      <formula>0</formula>
    </cfRule>
  </conditionalFormatting>
  <conditionalFormatting sqref="G156:G158 Q156:S158 D156:F161 E159:I161 P159:S161 D162:S162">
    <cfRule type="cellIs" dxfId="1764" priority="339" operator="equal">
      <formula>0</formula>
    </cfRule>
  </conditionalFormatting>
  <conditionalFormatting sqref="H12:I17">
    <cfRule type="cellIs" dxfId="1763" priority="505" operator="equal">
      <formula>0</formula>
    </cfRule>
  </conditionalFormatting>
  <conditionalFormatting sqref="H48:I53">
    <cfRule type="cellIs" dxfId="1762" priority="464" operator="equal">
      <formula>0</formula>
    </cfRule>
  </conditionalFormatting>
  <conditionalFormatting sqref="H84:I89">
    <cfRule type="cellIs" dxfId="1761" priority="423" operator="equal">
      <formula>0</formula>
    </cfRule>
  </conditionalFormatting>
  <conditionalFormatting sqref="H120:I125">
    <cfRule type="cellIs" dxfId="1760" priority="382" operator="equal">
      <formula>0</formula>
    </cfRule>
  </conditionalFormatting>
  <conditionalFormatting sqref="H156:I161">
    <cfRule type="cellIs" dxfId="1759" priority="341" operator="equal">
      <formula>0</formula>
    </cfRule>
  </conditionalFormatting>
  <conditionalFormatting sqref="J11:O17">
    <cfRule type="cellIs" dxfId="1758" priority="55" operator="equal">
      <formula>0</formula>
    </cfRule>
  </conditionalFormatting>
  <conditionalFormatting sqref="J47:O53">
    <cfRule type="cellIs" dxfId="1757" priority="43" operator="equal">
      <formula>0</formula>
    </cfRule>
  </conditionalFormatting>
  <conditionalFormatting sqref="J83:O89">
    <cfRule type="cellIs" dxfId="1756" priority="31" operator="equal">
      <formula>0</formula>
    </cfRule>
  </conditionalFormatting>
  <conditionalFormatting sqref="J119:O125">
    <cfRule type="cellIs" dxfId="1755" priority="19" operator="equal">
      <formula>0</formula>
    </cfRule>
  </conditionalFormatting>
  <conditionalFormatting sqref="J155:O161">
    <cfRule type="cellIs" dxfId="1754" priority="7" operator="equal">
      <formula>0</formula>
    </cfRule>
  </conditionalFormatting>
  <conditionalFormatting sqref="K12:O12">
    <cfRule type="cellIs" dxfId="1753" priority="508" operator="equal">
      <formula>0</formula>
    </cfRule>
  </conditionalFormatting>
  <conditionalFormatting sqref="K48:O48">
    <cfRule type="cellIs" dxfId="1752" priority="467" operator="equal">
      <formula>0</formula>
    </cfRule>
  </conditionalFormatting>
  <conditionalFormatting sqref="K84:O84">
    <cfRule type="cellIs" dxfId="1751" priority="426" operator="equal">
      <formula>0</formula>
    </cfRule>
  </conditionalFormatting>
  <conditionalFormatting sqref="K120:O120">
    <cfRule type="cellIs" dxfId="1750" priority="385" operator="equal">
      <formula>0</formula>
    </cfRule>
  </conditionalFormatting>
  <conditionalFormatting sqref="K156:O156">
    <cfRule type="cellIs" dxfId="1749" priority="344" operator="equal">
      <formula>0</formula>
    </cfRule>
  </conditionalFormatting>
  <conditionalFormatting sqref="P12:P17">
    <cfRule type="cellIs" dxfId="1748" priority="504" operator="equal">
      <formula>0</formula>
    </cfRule>
  </conditionalFormatting>
  <conditionalFormatting sqref="P48:P53">
    <cfRule type="cellIs" dxfId="1747" priority="463" operator="equal">
      <formula>0</formula>
    </cfRule>
  </conditionalFormatting>
  <conditionalFormatting sqref="P84:P89">
    <cfRule type="cellIs" dxfId="1746" priority="422" operator="equal">
      <formula>0</formula>
    </cfRule>
  </conditionalFormatting>
  <conditionalFormatting sqref="P120:P125">
    <cfRule type="cellIs" dxfId="1745" priority="381" operator="equal">
      <formula>0</formula>
    </cfRule>
  </conditionalFormatting>
  <conditionalFormatting sqref="P156:P161">
    <cfRule type="cellIs" dxfId="1744" priority="340" operator="equal">
      <formula>0</formula>
    </cfRule>
  </conditionalFormatting>
  <conditionalFormatting sqref="V12:AK18">
    <cfRule type="expression" dxfId="1743" priority="273">
      <formula>LEN(TRIM(V12))=0</formula>
    </cfRule>
  </conditionalFormatting>
  <conditionalFormatting sqref="V20:AK32">
    <cfRule type="cellIs" dxfId="1742" priority="249" operator="equal">
      <formula>0</formula>
    </cfRule>
    <cfRule type="expression" dxfId="1741" priority="250">
      <formula>LEN(TRIM(V20))=0</formula>
    </cfRule>
  </conditionalFormatting>
  <conditionalFormatting sqref="V34:AK42">
    <cfRule type="cellIs" dxfId="1740" priority="237" operator="equal">
      <formula>0</formula>
    </cfRule>
    <cfRule type="expression" dxfId="1739" priority="238">
      <formula>LEN(TRIM(V34))=0</formula>
    </cfRule>
  </conditionalFormatting>
  <conditionalFormatting sqref="V48:AK54">
    <cfRule type="expression" dxfId="1738" priority="232">
      <formula>LEN(TRIM(V48))=0</formula>
    </cfRule>
  </conditionalFormatting>
  <conditionalFormatting sqref="V56:AK68">
    <cfRule type="cellIs" dxfId="1737" priority="208" operator="equal">
      <formula>0</formula>
    </cfRule>
    <cfRule type="expression" dxfId="1736" priority="209">
      <formula>LEN(TRIM(V56))=0</formula>
    </cfRule>
  </conditionalFormatting>
  <conditionalFormatting sqref="V70:AK78">
    <cfRule type="expression" dxfId="1735" priority="197">
      <formula>LEN(TRIM(V70))=0</formula>
    </cfRule>
    <cfRule type="cellIs" dxfId="1734" priority="196" operator="equal">
      <formula>0</formula>
    </cfRule>
  </conditionalFormatting>
  <conditionalFormatting sqref="V84:AK90">
    <cfRule type="expression" dxfId="1733" priority="191">
      <formula>LEN(TRIM(V84))=0</formula>
    </cfRule>
  </conditionalFormatting>
  <conditionalFormatting sqref="V92:AK104">
    <cfRule type="expression" dxfId="1732" priority="168">
      <formula>LEN(TRIM(V92))=0</formula>
    </cfRule>
    <cfRule type="cellIs" dxfId="1731" priority="167" operator="equal">
      <formula>0</formula>
    </cfRule>
  </conditionalFormatting>
  <conditionalFormatting sqref="V106:AK114">
    <cfRule type="expression" dxfId="1730" priority="156">
      <formula>LEN(TRIM(V106))=0</formula>
    </cfRule>
    <cfRule type="cellIs" dxfId="1729" priority="155" operator="equal">
      <formula>0</formula>
    </cfRule>
  </conditionalFormatting>
  <conditionalFormatting sqref="V120:AK126">
    <cfRule type="expression" dxfId="1728" priority="150">
      <formula>LEN(TRIM(V120))=0</formula>
    </cfRule>
  </conditionalFormatting>
  <conditionalFormatting sqref="V128:AK140">
    <cfRule type="expression" dxfId="1727" priority="127">
      <formula>LEN(TRIM(V128))=0</formula>
    </cfRule>
    <cfRule type="cellIs" dxfId="1726" priority="126" operator="equal">
      <formula>0</formula>
    </cfRule>
  </conditionalFormatting>
  <conditionalFormatting sqref="V142:AK150">
    <cfRule type="expression" dxfId="1725" priority="115">
      <formula>LEN(TRIM(V142))=0</formula>
    </cfRule>
    <cfRule type="cellIs" dxfId="1724" priority="114" operator="equal">
      <formula>0</formula>
    </cfRule>
  </conditionalFormatting>
  <conditionalFormatting sqref="V156:AK162">
    <cfRule type="expression" dxfId="1723" priority="109">
      <formula>LEN(TRIM(V156))=0</formula>
    </cfRule>
  </conditionalFormatting>
  <conditionalFormatting sqref="V164:AK176">
    <cfRule type="expression" dxfId="1722" priority="86">
      <formula>LEN(TRIM(V164))=0</formula>
    </cfRule>
    <cfRule type="cellIs" dxfId="1721" priority="85" operator="equal">
      <formula>0</formula>
    </cfRule>
  </conditionalFormatting>
  <conditionalFormatting sqref="V178:AK186">
    <cfRule type="cellIs" dxfId="1720" priority="73" operator="equal">
      <formula>0</formula>
    </cfRule>
    <cfRule type="expression" dxfId="1719" priority="74">
      <formula>LEN(TRIM(V178))=0</formula>
    </cfRule>
  </conditionalFormatting>
  <conditionalFormatting sqref="Y12:Y14 AI12:AK14 V12:X17 W15:AA17 AH15:AK17 V18:AK18">
    <cfRule type="cellIs" dxfId="1718" priority="257" operator="equal">
      <formula>0</formula>
    </cfRule>
  </conditionalFormatting>
  <conditionalFormatting sqref="Y48:Y50 AI48:AK50 V48:X53 W51:AA53 AH51:AK53 V54:AK54">
    <cfRule type="cellIs" dxfId="1717" priority="216" operator="equal">
      <formula>0</formula>
    </cfRule>
  </conditionalFormatting>
  <conditionalFormatting sqref="Y84:Y86 AI84:AK86 V84:X89 W87:AA89 AH87:AK89 V90:AK90">
    <cfRule type="cellIs" dxfId="1716" priority="175" operator="equal">
      <formula>0</formula>
    </cfRule>
  </conditionalFormatting>
  <conditionalFormatting sqref="Y120:Y122 AI120:AK122 V120:X125 W123:AA125 AH123:AK125 V126:AK126">
    <cfRule type="cellIs" dxfId="1715" priority="134" operator="equal">
      <formula>0</formula>
    </cfRule>
  </conditionalFormatting>
  <conditionalFormatting sqref="Y156:Y158 AI156:AK158 V156:X161 W159:AA161 AH159:AK161 V162:AK162">
    <cfRule type="cellIs" dxfId="1714" priority="93" operator="equal">
      <formula>0</formula>
    </cfRule>
  </conditionalFormatting>
  <conditionalFormatting sqref="Z12:AA17">
    <cfRule type="cellIs" dxfId="1713" priority="259" operator="equal">
      <formula>0</formula>
    </cfRule>
  </conditionalFormatting>
  <conditionalFormatting sqref="Z48:AA53">
    <cfRule type="cellIs" dxfId="1712" priority="218" operator="equal">
      <formula>0</formula>
    </cfRule>
  </conditionalFormatting>
  <conditionalFormatting sqref="Z84:AA89">
    <cfRule type="cellIs" dxfId="1711" priority="177" operator="equal">
      <formula>0</formula>
    </cfRule>
  </conditionalFormatting>
  <conditionalFormatting sqref="Z120:AA125">
    <cfRule type="cellIs" dxfId="1710" priority="136" operator="equal">
      <formula>0</formula>
    </cfRule>
  </conditionalFormatting>
  <conditionalFormatting sqref="Z156:AA161">
    <cfRule type="cellIs" dxfId="1709" priority="95" operator="equal">
      <formula>0</formula>
    </cfRule>
  </conditionalFormatting>
  <conditionalFormatting sqref="AB11:AG17">
    <cfRule type="cellIs" dxfId="1708" priority="49" operator="equal">
      <formula>0</formula>
    </cfRule>
  </conditionalFormatting>
  <conditionalFormatting sqref="AB47:AG53">
    <cfRule type="cellIs" dxfId="1707" priority="37" operator="equal">
      <formula>0</formula>
    </cfRule>
  </conditionalFormatting>
  <conditionalFormatting sqref="AB83:AG89">
    <cfRule type="cellIs" dxfId="1706" priority="25" operator="equal">
      <formula>0</formula>
    </cfRule>
  </conditionalFormatting>
  <conditionalFormatting sqref="AB119:AG125">
    <cfRule type="cellIs" dxfId="1705" priority="13" operator="equal">
      <formula>0</formula>
    </cfRule>
  </conditionalFormatting>
  <conditionalFormatting sqref="AB155:AG161">
    <cfRule type="cellIs" dxfId="1704" priority="1" operator="equal">
      <formula>0</formula>
    </cfRule>
  </conditionalFormatting>
  <conditionalFormatting sqref="AC12:AG12">
    <cfRule type="cellIs" dxfId="1703" priority="262" operator="equal">
      <formula>0</formula>
    </cfRule>
  </conditionalFormatting>
  <conditionalFormatting sqref="AC48:AG48">
    <cfRule type="cellIs" dxfId="1702" priority="221" operator="equal">
      <formula>0</formula>
    </cfRule>
  </conditionalFormatting>
  <conditionalFormatting sqref="AC84:AG84">
    <cfRule type="cellIs" dxfId="1701" priority="180" operator="equal">
      <formula>0</formula>
    </cfRule>
  </conditionalFormatting>
  <conditionalFormatting sqref="AC120:AG120">
    <cfRule type="cellIs" dxfId="1700" priority="139" operator="equal">
      <formula>0</formula>
    </cfRule>
  </conditionalFormatting>
  <conditionalFormatting sqref="AC156:AG156">
    <cfRule type="cellIs" dxfId="1699" priority="98" operator="equal">
      <formula>0</formula>
    </cfRule>
  </conditionalFormatting>
  <conditionalFormatting sqref="AH12:AH17">
    <cfRule type="cellIs" dxfId="1698" priority="258" operator="equal">
      <formula>0</formula>
    </cfRule>
  </conditionalFormatting>
  <conditionalFormatting sqref="AH48:AH53">
    <cfRule type="cellIs" dxfId="1697" priority="217" operator="equal">
      <formula>0</formula>
    </cfRule>
  </conditionalFormatting>
  <conditionalFormatting sqref="AH84:AH89">
    <cfRule type="cellIs" dxfId="1696" priority="176" operator="equal">
      <formula>0</formula>
    </cfRule>
  </conditionalFormatting>
  <conditionalFormatting sqref="AH120:AH125">
    <cfRule type="cellIs" dxfId="1695" priority="135" operator="equal">
      <formula>0</formula>
    </cfRule>
  </conditionalFormatting>
  <conditionalFormatting sqref="AH156:AH161">
    <cfRule type="cellIs" dxfId="1694" priority="94"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47086-1C4E-4C6B-B6DF-7902BB43FA8F}">
  <dimension ref="C2:AK152"/>
  <sheetViews>
    <sheetView workbookViewId="0"/>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60" t="s">
        <v>522</v>
      </c>
      <c r="D2" s="760"/>
      <c r="E2" s="760"/>
      <c r="F2" s="760"/>
      <c r="G2" s="760"/>
      <c r="H2" s="760"/>
      <c r="I2" s="760"/>
      <c r="J2" s="760"/>
      <c r="K2" s="760"/>
      <c r="L2" s="760"/>
      <c r="M2" s="760"/>
      <c r="N2" s="760"/>
      <c r="O2" s="760"/>
      <c r="P2" s="760"/>
      <c r="Q2" s="760"/>
      <c r="R2" s="760"/>
      <c r="S2" s="760"/>
      <c r="U2" s="760" t="s">
        <v>523</v>
      </c>
      <c r="V2" s="760"/>
      <c r="W2" s="760"/>
      <c r="X2" s="760"/>
      <c r="Y2" s="760"/>
      <c r="Z2" s="760"/>
      <c r="AA2" s="760"/>
      <c r="AB2" s="760"/>
      <c r="AC2" s="760"/>
      <c r="AD2" s="760"/>
      <c r="AE2" s="760"/>
      <c r="AF2" s="760"/>
      <c r="AG2" s="760"/>
      <c r="AH2" s="760"/>
      <c r="AI2" s="760"/>
      <c r="AJ2" s="760"/>
      <c r="AK2" s="760"/>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338</v>
      </c>
      <c r="D4" s="635" t="s">
        <v>524</v>
      </c>
      <c r="E4" s="634"/>
      <c r="F4" s="634"/>
      <c r="G4" s="634"/>
      <c r="H4" s="636"/>
      <c r="I4" s="634"/>
      <c r="J4" s="634"/>
      <c r="K4" s="634"/>
      <c r="L4" s="634"/>
      <c r="M4" s="634"/>
      <c r="N4" s="634"/>
      <c r="O4" s="634"/>
      <c r="P4" s="634"/>
      <c r="Q4" s="634"/>
      <c r="R4" s="634"/>
      <c r="S4" s="634"/>
      <c r="U4" s="635" t="s">
        <v>338</v>
      </c>
      <c r="V4" s="635" t="s">
        <v>524</v>
      </c>
      <c r="W4" s="634"/>
      <c r="X4" s="634"/>
      <c r="Y4" s="634"/>
      <c r="Z4" s="636"/>
      <c r="AA4" s="634"/>
      <c r="AB4" s="634"/>
      <c r="AC4" s="634"/>
      <c r="AD4" s="634"/>
      <c r="AE4" s="634"/>
      <c r="AF4" s="634"/>
      <c r="AG4" s="634"/>
      <c r="AH4" s="634"/>
      <c r="AI4" s="634"/>
      <c r="AJ4" s="634"/>
      <c r="AK4" s="634"/>
    </row>
    <row r="5" spans="3:37" ht="37.5" x14ac:dyDescent="0.3">
      <c r="C5" s="635" t="s">
        <v>341</v>
      </c>
      <c r="D5" s="635" t="s">
        <v>342</v>
      </c>
      <c r="E5" s="634"/>
      <c r="F5" s="634"/>
      <c r="G5" s="634"/>
      <c r="H5" s="634"/>
      <c r="I5" s="634"/>
      <c r="J5" s="634"/>
      <c r="K5" s="634"/>
      <c r="L5" s="634"/>
      <c r="M5" s="634"/>
      <c r="N5" s="634"/>
      <c r="O5" s="634"/>
      <c r="P5" s="634"/>
      <c r="Q5" s="634"/>
      <c r="R5" s="634"/>
      <c r="S5" s="634"/>
      <c r="U5" s="635" t="s">
        <v>341</v>
      </c>
      <c r="V5" s="635" t="s">
        <v>342</v>
      </c>
      <c r="W5" s="634"/>
      <c r="X5" s="634"/>
      <c r="Y5" s="634"/>
      <c r="Z5" s="634"/>
      <c r="AA5" s="634"/>
      <c r="AB5" s="634"/>
      <c r="AC5" s="634"/>
      <c r="AD5" s="634"/>
      <c r="AE5" s="634"/>
      <c r="AF5" s="634"/>
      <c r="AG5" s="634"/>
      <c r="AH5" s="634"/>
      <c r="AI5" s="634"/>
      <c r="AJ5" s="634"/>
      <c r="AK5" s="634"/>
    </row>
    <row r="6" spans="3:37" ht="18.75" x14ac:dyDescent="0.3">
      <c r="C6" s="635" t="s">
        <v>525</v>
      </c>
      <c r="D6" s="637">
        <v>44909</v>
      </c>
      <c r="E6" s="634"/>
      <c r="F6" s="634"/>
      <c r="G6" s="634"/>
      <c r="H6" s="634"/>
      <c r="I6" s="634"/>
      <c r="J6" s="634"/>
      <c r="K6" s="634"/>
      <c r="L6" s="634"/>
      <c r="M6" s="634"/>
      <c r="N6" s="634"/>
      <c r="O6" s="634"/>
      <c r="P6" s="634"/>
      <c r="Q6" s="634"/>
      <c r="R6" s="634"/>
      <c r="S6" s="634"/>
      <c r="U6" s="635" t="s">
        <v>525</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59" t="s">
        <v>360</v>
      </c>
      <c r="D8" s="759"/>
      <c r="E8" s="759"/>
      <c r="F8" s="759"/>
      <c r="G8" s="759"/>
      <c r="H8" s="759"/>
      <c r="I8" s="759"/>
      <c r="J8" s="759"/>
      <c r="K8" s="759"/>
      <c r="L8" s="759"/>
      <c r="M8" s="759"/>
      <c r="N8" s="759"/>
      <c r="O8" s="759"/>
      <c r="P8" s="759"/>
      <c r="Q8" s="759"/>
      <c r="R8" s="759"/>
      <c r="S8" s="759"/>
      <c r="U8" s="759" t="s">
        <v>360</v>
      </c>
      <c r="V8" s="759"/>
      <c r="W8" s="759"/>
      <c r="X8" s="759"/>
      <c r="Y8" s="759"/>
      <c r="Z8" s="759"/>
      <c r="AA8" s="759"/>
      <c r="AB8" s="759"/>
      <c r="AC8" s="759"/>
      <c r="AD8" s="759"/>
      <c r="AE8" s="759"/>
      <c r="AF8" s="759"/>
      <c r="AG8" s="759"/>
      <c r="AH8" s="759"/>
      <c r="AI8" s="759"/>
      <c r="AJ8" s="759"/>
      <c r="AK8" s="75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58" t="s">
        <v>128</v>
      </c>
      <c r="D10" s="757" t="s">
        <v>42</v>
      </c>
      <c r="E10" s="757" t="s">
        <v>52</v>
      </c>
      <c r="F10" s="757" t="s">
        <v>53</v>
      </c>
      <c r="G10" s="757" t="s">
        <v>32</v>
      </c>
      <c r="H10" s="757" t="s">
        <v>20</v>
      </c>
      <c r="I10" s="757" t="s">
        <v>55</v>
      </c>
      <c r="J10" s="757" t="s">
        <v>56</v>
      </c>
      <c r="K10" s="757"/>
      <c r="L10" s="757"/>
      <c r="M10" s="757"/>
      <c r="N10" s="757"/>
      <c r="O10" s="757"/>
      <c r="P10" s="757" t="s">
        <v>57</v>
      </c>
      <c r="Q10" s="757" t="s">
        <v>58</v>
      </c>
      <c r="R10" s="757" t="s">
        <v>31</v>
      </c>
      <c r="S10" s="757" t="s">
        <v>10</v>
      </c>
      <c r="U10" s="758" t="s">
        <v>128</v>
      </c>
      <c r="V10" s="757" t="s">
        <v>42</v>
      </c>
      <c r="W10" s="757" t="s">
        <v>52</v>
      </c>
      <c r="X10" s="757" t="s">
        <v>53</v>
      </c>
      <c r="Y10" s="757" t="s">
        <v>32</v>
      </c>
      <c r="Z10" s="757" t="s">
        <v>20</v>
      </c>
      <c r="AA10" s="757" t="s">
        <v>55</v>
      </c>
      <c r="AB10" s="757" t="s">
        <v>56</v>
      </c>
      <c r="AC10" s="757"/>
      <c r="AD10" s="757"/>
      <c r="AE10" s="757"/>
      <c r="AF10" s="757"/>
      <c r="AG10" s="757"/>
      <c r="AH10" s="757" t="s">
        <v>57</v>
      </c>
      <c r="AI10" s="757" t="s">
        <v>58</v>
      </c>
      <c r="AJ10" s="757" t="s">
        <v>31</v>
      </c>
      <c r="AK10" s="757" t="s">
        <v>10</v>
      </c>
    </row>
    <row r="11" spans="3:37" ht="56.25" x14ac:dyDescent="0.2">
      <c r="C11" s="758"/>
      <c r="D11" s="757"/>
      <c r="E11" s="757"/>
      <c r="F11" s="757"/>
      <c r="G11" s="757"/>
      <c r="H11" s="757"/>
      <c r="I11" s="757"/>
      <c r="J11" s="638" t="s">
        <v>335</v>
      </c>
      <c r="K11" s="638" t="s">
        <v>40</v>
      </c>
      <c r="L11" s="638" t="s">
        <v>343</v>
      </c>
      <c r="M11" s="638" t="s">
        <v>344</v>
      </c>
      <c r="N11" s="638" t="s">
        <v>345</v>
      </c>
      <c r="O11" s="638" t="s">
        <v>346</v>
      </c>
      <c r="P11" s="757"/>
      <c r="Q11" s="757"/>
      <c r="R11" s="757"/>
      <c r="S11" s="757"/>
      <c r="U11" s="758"/>
      <c r="V11" s="757"/>
      <c r="W11" s="757"/>
      <c r="X11" s="757"/>
      <c r="Y11" s="757"/>
      <c r="Z11" s="757"/>
      <c r="AA11" s="757"/>
      <c r="AB11" s="638" t="s">
        <v>335</v>
      </c>
      <c r="AC11" s="638" t="s">
        <v>40</v>
      </c>
      <c r="AD11" s="638" t="s">
        <v>343</v>
      </c>
      <c r="AE11" s="638" t="s">
        <v>344</v>
      </c>
      <c r="AF11" s="638" t="s">
        <v>345</v>
      </c>
      <c r="AG11" s="638" t="s">
        <v>346</v>
      </c>
      <c r="AH11" s="757"/>
      <c r="AI11" s="757"/>
      <c r="AJ11" s="757"/>
      <c r="AK11" s="757"/>
    </row>
    <row r="12" spans="3:37" x14ac:dyDescent="0.2">
      <c r="C12" s="639" t="s">
        <v>59</v>
      </c>
      <c r="D12" s="640">
        <v>0</v>
      </c>
      <c r="E12" s="641">
        <v>0</v>
      </c>
      <c r="F12" s="641">
        <v>0</v>
      </c>
      <c r="G12" s="640">
        <v>0</v>
      </c>
      <c r="H12" s="641">
        <v>959.09090909090924</v>
      </c>
      <c r="I12" s="641">
        <v>265.54666314840352</v>
      </c>
      <c r="J12" s="641">
        <v>188.6372712469306</v>
      </c>
      <c r="K12" s="641">
        <v>20.835963621356942</v>
      </c>
      <c r="L12" s="641">
        <v>0.48646764865129044</v>
      </c>
      <c r="M12" s="641">
        <v>0.15840693111613638</v>
      </c>
      <c r="N12" s="641">
        <v>62.897832024028709</v>
      </c>
      <c r="O12" s="641">
        <v>11.865462020109925</v>
      </c>
      <c r="P12" s="642">
        <v>0</v>
      </c>
      <c r="Q12" s="641">
        <v>0</v>
      </c>
      <c r="R12" s="641">
        <v>0</v>
      </c>
      <c r="S12" s="643">
        <v>1509.5189757315065</v>
      </c>
      <c r="U12" s="639" t="s">
        <v>59</v>
      </c>
      <c r="V12" s="640">
        <v>0</v>
      </c>
      <c r="W12" s="641">
        <v>0</v>
      </c>
      <c r="X12" s="641">
        <v>0</v>
      </c>
      <c r="Y12" s="640">
        <v>0</v>
      </c>
      <c r="Z12" s="641">
        <v>919.39393939393949</v>
      </c>
      <c r="AA12" s="641">
        <v>300.16666314840353</v>
      </c>
      <c r="AB12" s="641">
        <v>196.07210414009427</v>
      </c>
      <c r="AC12" s="641">
        <v>37.690284018354092</v>
      </c>
      <c r="AD12" s="641">
        <v>0.48646764865129044</v>
      </c>
      <c r="AE12" s="641">
        <v>0.15840693111613638</v>
      </c>
      <c r="AF12" s="641">
        <v>92.901000398225491</v>
      </c>
      <c r="AG12" s="641">
        <v>23.979405132943342</v>
      </c>
      <c r="AH12" s="642">
        <v>0</v>
      </c>
      <c r="AI12" s="641">
        <v>0</v>
      </c>
      <c r="AJ12" s="641">
        <v>0</v>
      </c>
      <c r="AK12" s="643">
        <v>1570.8482708117278</v>
      </c>
    </row>
    <row r="13" spans="3:37" x14ac:dyDescent="0.2">
      <c r="C13" s="639" t="s">
        <v>60</v>
      </c>
      <c r="D13" s="640">
        <v>48.037640466799544</v>
      </c>
      <c r="E13" s="641">
        <v>504.19228646673599</v>
      </c>
      <c r="F13" s="641">
        <v>68.527294255032075</v>
      </c>
      <c r="G13" s="640">
        <v>332.96357284387591</v>
      </c>
      <c r="H13" s="641">
        <v>0</v>
      </c>
      <c r="I13" s="641">
        <v>0</v>
      </c>
      <c r="J13" s="641">
        <v>4.4041420336435353</v>
      </c>
      <c r="K13" s="641">
        <v>0</v>
      </c>
      <c r="L13" s="641">
        <v>2.4215969020745125</v>
      </c>
      <c r="M13" s="641">
        <v>0</v>
      </c>
      <c r="N13" s="641">
        <v>0</v>
      </c>
      <c r="O13" s="641">
        <v>0</v>
      </c>
      <c r="P13" s="642">
        <v>0</v>
      </c>
      <c r="Q13" s="641">
        <v>0</v>
      </c>
      <c r="R13" s="641">
        <v>0</v>
      </c>
      <c r="S13" s="643">
        <v>960.54653296816161</v>
      </c>
      <c r="U13" s="639" t="s">
        <v>60</v>
      </c>
      <c r="V13" s="640">
        <v>7.5315222042138927</v>
      </c>
      <c r="W13" s="641">
        <v>266.28302835422375</v>
      </c>
      <c r="X13" s="641">
        <v>14.660534841020075</v>
      </c>
      <c r="Y13" s="640">
        <v>136.19700966140181</v>
      </c>
      <c r="Z13" s="641">
        <v>0</v>
      </c>
      <c r="AA13" s="641">
        <v>0</v>
      </c>
      <c r="AB13" s="641">
        <v>4.4041420336435353</v>
      </c>
      <c r="AC13" s="641">
        <v>0</v>
      </c>
      <c r="AD13" s="641">
        <v>2.4215969020745125</v>
      </c>
      <c r="AE13" s="641">
        <v>0</v>
      </c>
      <c r="AF13" s="641">
        <v>0</v>
      </c>
      <c r="AG13" s="641">
        <v>0</v>
      </c>
      <c r="AH13" s="642">
        <v>0</v>
      </c>
      <c r="AI13" s="641">
        <v>0</v>
      </c>
      <c r="AJ13" s="641">
        <v>0</v>
      </c>
      <c r="AK13" s="643">
        <v>431.49783399657758</v>
      </c>
    </row>
    <row r="14" spans="3:37" x14ac:dyDescent="0.2">
      <c r="C14" s="639" t="s">
        <v>61</v>
      </c>
      <c r="D14" s="640">
        <v>0</v>
      </c>
      <c r="E14" s="641">
        <v>0</v>
      </c>
      <c r="F14" s="641">
        <v>0</v>
      </c>
      <c r="G14" s="640">
        <v>0</v>
      </c>
      <c r="H14" s="641">
        <v>0</v>
      </c>
      <c r="I14" s="641">
        <v>0</v>
      </c>
      <c r="J14" s="641">
        <v>0</v>
      </c>
      <c r="K14" s="641">
        <v>0</v>
      </c>
      <c r="L14" s="641">
        <v>0</v>
      </c>
      <c r="M14" s="641">
        <v>0</v>
      </c>
      <c r="N14" s="641">
        <v>0</v>
      </c>
      <c r="O14" s="641">
        <v>0</v>
      </c>
      <c r="P14" s="642">
        <v>-31.055970799843635</v>
      </c>
      <c r="Q14" s="641">
        <v>0</v>
      </c>
      <c r="R14" s="641">
        <v>0</v>
      </c>
      <c r="S14" s="643">
        <v>-31.055970799843635</v>
      </c>
      <c r="U14" s="639" t="s">
        <v>61</v>
      </c>
      <c r="V14" s="640">
        <v>0</v>
      </c>
      <c r="W14" s="641">
        <v>0</v>
      </c>
      <c r="X14" s="641">
        <v>-20.238165107819981</v>
      </c>
      <c r="Y14" s="640">
        <v>0</v>
      </c>
      <c r="Z14" s="641">
        <v>0</v>
      </c>
      <c r="AA14" s="641">
        <v>0</v>
      </c>
      <c r="AB14" s="641">
        <v>0</v>
      </c>
      <c r="AC14" s="641">
        <v>0</v>
      </c>
      <c r="AD14" s="641">
        <v>0</v>
      </c>
      <c r="AE14" s="641">
        <v>0</v>
      </c>
      <c r="AF14" s="641">
        <v>0</v>
      </c>
      <c r="AG14" s="641">
        <v>0</v>
      </c>
      <c r="AH14" s="642">
        <v>-12.632253344037395</v>
      </c>
      <c r="AI14" s="641">
        <v>0</v>
      </c>
      <c r="AJ14" s="641">
        <v>0</v>
      </c>
      <c r="AK14" s="643">
        <v>-32.870418451857375</v>
      </c>
    </row>
    <row r="15" spans="3:37" x14ac:dyDescent="0.2">
      <c r="C15" s="639" t="s">
        <v>62</v>
      </c>
      <c r="D15" s="640">
        <v>0</v>
      </c>
      <c r="E15" s="641">
        <v>0</v>
      </c>
      <c r="F15" s="641">
        <v>-15.855905256620872</v>
      </c>
      <c r="G15" s="640">
        <v>0</v>
      </c>
      <c r="H15" s="641">
        <v>0</v>
      </c>
      <c r="I15" s="641">
        <v>0</v>
      </c>
      <c r="J15" s="641">
        <v>0</v>
      </c>
      <c r="K15" s="641">
        <v>0</v>
      </c>
      <c r="L15" s="641">
        <v>0</v>
      </c>
      <c r="M15" s="641">
        <v>0</v>
      </c>
      <c r="N15" s="641">
        <v>0</v>
      </c>
      <c r="O15" s="641">
        <v>0</v>
      </c>
      <c r="P15" s="642">
        <v>0</v>
      </c>
      <c r="Q15" s="641">
        <v>0</v>
      </c>
      <c r="R15" s="641">
        <v>0</v>
      </c>
      <c r="S15" s="643">
        <v>-15.855905256620872</v>
      </c>
      <c r="U15" s="639" t="s">
        <v>62</v>
      </c>
      <c r="V15" s="640">
        <v>0</v>
      </c>
      <c r="W15" s="641">
        <v>0</v>
      </c>
      <c r="X15" s="641">
        <v>-10.068616817390659</v>
      </c>
      <c r="Y15" s="640">
        <v>-2.2904268439326967</v>
      </c>
      <c r="Z15" s="641">
        <v>0</v>
      </c>
      <c r="AA15" s="641">
        <v>0</v>
      </c>
      <c r="AB15" s="641">
        <v>0</v>
      </c>
      <c r="AC15" s="641">
        <v>0</v>
      </c>
      <c r="AD15" s="641">
        <v>0</v>
      </c>
      <c r="AE15" s="641">
        <v>-0.98161150454258428</v>
      </c>
      <c r="AF15" s="641">
        <v>0</v>
      </c>
      <c r="AG15" s="641">
        <v>0</v>
      </c>
      <c r="AH15" s="642">
        <v>0</v>
      </c>
      <c r="AI15" s="641">
        <v>0</v>
      </c>
      <c r="AJ15" s="641">
        <v>0</v>
      </c>
      <c r="AK15" s="643">
        <v>-13.34065516586594</v>
      </c>
    </row>
    <row r="16" spans="3:37" x14ac:dyDescent="0.2">
      <c r="C16" s="639" t="s">
        <v>63</v>
      </c>
      <c r="D16" s="640">
        <v>0</v>
      </c>
      <c r="E16" s="641">
        <v>0</v>
      </c>
      <c r="F16" s="641">
        <v>-87.092524368241456</v>
      </c>
      <c r="G16" s="640">
        <v>0</v>
      </c>
      <c r="H16" s="641">
        <v>0</v>
      </c>
      <c r="I16" s="641">
        <v>0</v>
      </c>
      <c r="J16" s="641">
        <v>0</v>
      </c>
      <c r="K16" s="641">
        <v>0</v>
      </c>
      <c r="L16" s="641">
        <v>-0.90133117758770376</v>
      </c>
      <c r="M16" s="641">
        <v>0</v>
      </c>
      <c r="N16" s="641">
        <v>0</v>
      </c>
      <c r="O16" s="641">
        <v>0</v>
      </c>
      <c r="P16" s="642">
        <v>0</v>
      </c>
      <c r="Q16" s="641">
        <v>0</v>
      </c>
      <c r="R16" s="641">
        <v>0</v>
      </c>
      <c r="S16" s="643">
        <v>-87.993855545829163</v>
      </c>
      <c r="U16" s="639" t="s">
        <v>63</v>
      </c>
      <c r="V16" s="640">
        <v>0</v>
      </c>
      <c r="W16" s="641">
        <v>0</v>
      </c>
      <c r="X16" s="641">
        <v>-58.231828596071985</v>
      </c>
      <c r="Y16" s="640">
        <v>0</v>
      </c>
      <c r="Z16" s="641">
        <v>0</v>
      </c>
      <c r="AA16" s="641">
        <v>0</v>
      </c>
      <c r="AB16" s="641">
        <v>0</v>
      </c>
      <c r="AC16" s="641">
        <v>0</v>
      </c>
      <c r="AD16" s="641">
        <v>-23.991898740742837</v>
      </c>
      <c r="AE16" s="641">
        <v>0</v>
      </c>
      <c r="AF16" s="641">
        <v>0</v>
      </c>
      <c r="AG16" s="641">
        <v>0</v>
      </c>
      <c r="AH16" s="642">
        <v>0</v>
      </c>
      <c r="AI16" s="641">
        <v>0</v>
      </c>
      <c r="AJ16" s="641">
        <v>0</v>
      </c>
      <c r="AK16" s="643">
        <v>-82.223727336814818</v>
      </c>
    </row>
    <row r="17" spans="3:37" x14ac:dyDescent="0.2">
      <c r="C17" s="639" t="s">
        <v>64</v>
      </c>
      <c r="D17" s="640">
        <v>0</v>
      </c>
      <c r="E17" s="641">
        <v>0</v>
      </c>
      <c r="F17" s="641">
        <v>0</v>
      </c>
      <c r="G17" s="640">
        <v>0</v>
      </c>
      <c r="H17" s="641">
        <v>0</v>
      </c>
      <c r="I17" s="641">
        <v>0</v>
      </c>
      <c r="J17" s="641">
        <v>0</v>
      </c>
      <c r="K17" s="641">
        <v>0</v>
      </c>
      <c r="L17" s="641">
        <v>0</v>
      </c>
      <c r="M17" s="641">
        <v>0</v>
      </c>
      <c r="N17" s="641">
        <v>0</v>
      </c>
      <c r="O17" s="641">
        <v>0</v>
      </c>
      <c r="P17" s="642">
        <v>0</v>
      </c>
      <c r="Q17" s="641">
        <v>0</v>
      </c>
      <c r="R17" s="641">
        <v>0</v>
      </c>
      <c r="S17" s="643">
        <v>0</v>
      </c>
      <c r="U17" s="639" t="s">
        <v>64</v>
      </c>
      <c r="V17" s="640">
        <v>0</v>
      </c>
      <c r="W17" s="641">
        <v>0</v>
      </c>
      <c r="X17" s="641">
        <v>0</v>
      </c>
      <c r="Y17" s="640">
        <v>0</v>
      </c>
      <c r="Z17" s="641">
        <v>0</v>
      </c>
      <c r="AA17" s="641">
        <v>0</v>
      </c>
      <c r="AB17" s="641">
        <v>0</v>
      </c>
      <c r="AC17" s="641">
        <v>0</v>
      </c>
      <c r="AD17" s="641">
        <v>0</v>
      </c>
      <c r="AE17" s="641">
        <v>0</v>
      </c>
      <c r="AF17" s="641">
        <v>0</v>
      </c>
      <c r="AG17" s="641">
        <v>0</v>
      </c>
      <c r="AH17" s="642">
        <v>0</v>
      </c>
      <c r="AI17" s="641">
        <v>0</v>
      </c>
      <c r="AJ17" s="641">
        <v>0</v>
      </c>
      <c r="AK17" s="643">
        <v>0</v>
      </c>
    </row>
    <row r="18" spans="3:37" x14ac:dyDescent="0.2">
      <c r="C18" s="644" t="s">
        <v>65</v>
      </c>
      <c r="D18" s="645">
        <v>48.037640466799544</v>
      </c>
      <c r="E18" s="645">
        <v>504.19228646673599</v>
      </c>
      <c r="F18" s="645">
        <v>-34.42113536983026</v>
      </c>
      <c r="G18" s="645">
        <v>332.96357284387591</v>
      </c>
      <c r="H18" s="645">
        <v>959.09090909090924</v>
      </c>
      <c r="I18" s="645">
        <v>265.54666314840352</v>
      </c>
      <c r="J18" s="645">
        <v>193.04141328057412</v>
      </c>
      <c r="K18" s="645">
        <v>20.835963621356942</v>
      </c>
      <c r="L18" s="645">
        <v>2.0067333731380987</v>
      </c>
      <c r="M18" s="645">
        <v>0.15840693111613638</v>
      </c>
      <c r="N18" s="645">
        <v>62.897832024028709</v>
      </c>
      <c r="O18" s="645">
        <v>11.865462020109925</v>
      </c>
      <c r="P18" s="645">
        <v>-31.055970799843635</v>
      </c>
      <c r="Q18" s="645">
        <v>0</v>
      </c>
      <c r="R18" s="645">
        <v>0</v>
      </c>
      <c r="S18" s="645">
        <v>2335.159777097374</v>
      </c>
      <c r="U18" s="644" t="s">
        <v>65</v>
      </c>
      <c r="V18" s="645">
        <v>7.5315222042138927</v>
      </c>
      <c r="W18" s="645">
        <v>266.28302835422375</v>
      </c>
      <c r="X18" s="645">
        <v>-73.87807568026254</v>
      </c>
      <c r="Y18" s="645">
        <v>133.90658281746911</v>
      </c>
      <c r="Z18" s="645">
        <v>919.39393939393949</v>
      </c>
      <c r="AA18" s="645">
        <v>300.16666314840353</v>
      </c>
      <c r="AB18" s="645">
        <v>200.47624617373779</v>
      </c>
      <c r="AC18" s="645">
        <v>37.690284018354092</v>
      </c>
      <c r="AD18" s="645">
        <v>-21.083834190017033</v>
      </c>
      <c r="AE18" s="645">
        <v>-0.82320457342644793</v>
      </c>
      <c r="AF18" s="645">
        <v>92.901000398225491</v>
      </c>
      <c r="AG18" s="645">
        <v>23.979405132943342</v>
      </c>
      <c r="AH18" s="645">
        <v>-12.632253344037395</v>
      </c>
      <c r="AI18" s="645">
        <v>0</v>
      </c>
      <c r="AJ18" s="645">
        <v>0</v>
      </c>
      <c r="AK18" s="645">
        <v>1873.9113038537675</v>
      </c>
    </row>
    <row r="19" spans="3:37" x14ac:dyDescent="0.2">
      <c r="C19" s="634"/>
      <c r="D19" s="634">
        <v>0</v>
      </c>
      <c r="E19" s="634">
        <v>0</v>
      </c>
      <c r="F19" s="634">
        <v>0</v>
      </c>
      <c r="G19" s="634">
        <v>0</v>
      </c>
      <c r="H19" s="634">
        <v>0</v>
      </c>
      <c r="I19" s="634">
        <v>0</v>
      </c>
      <c r="J19" s="634">
        <v>0</v>
      </c>
      <c r="K19" s="634">
        <v>0</v>
      </c>
      <c r="L19" s="634">
        <v>0</v>
      </c>
      <c r="M19" s="634">
        <v>0</v>
      </c>
      <c r="N19" s="634">
        <v>0</v>
      </c>
      <c r="O19" s="634">
        <v>0</v>
      </c>
      <c r="P19" s="634">
        <v>0</v>
      </c>
      <c r="Q19" s="634">
        <v>0</v>
      </c>
      <c r="R19" s="634">
        <v>0</v>
      </c>
      <c r="S19" s="634">
        <v>0</v>
      </c>
      <c r="U19" s="634"/>
      <c r="V19" s="634">
        <v>0</v>
      </c>
      <c r="W19" s="634">
        <v>0</v>
      </c>
      <c r="X19" s="634">
        <v>0</v>
      </c>
      <c r="Y19" s="634">
        <v>0</v>
      </c>
      <c r="Z19" s="634">
        <v>0</v>
      </c>
      <c r="AA19" s="634">
        <v>0</v>
      </c>
      <c r="AB19" s="634">
        <v>0</v>
      </c>
      <c r="AC19" s="634">
        <v>0</v>
      </c>
      <c r="AD19" s="634">
        <v>0</v>
      </c>
      <c r="AE19" s="634">
        <v>0</v>
      </c>
      <c r="AF19" s="634">
        <v>0</v>
      </c>
      <c r="AG19" s="634">
        <v>0</v>
      </c>
      <c r="AH19" s="634">
        <v>0</v>
      </c>
      <c r="AI19" s="634">
        <v>0</v>
      </c>
      <c r="AJ19" s="634">
        <v>0</v>
      </c>
      <c r="AK19" s="634">
        <v>0</v>
      </c>
    </row>
    <row r="20" spans="3:37" x14ac:dyDescent="0.2">
      <c r="C20" s="646" t="s">
        <v>67</v>
      </c>
      <c r="D20" s="640">
        <v>0</v>
      </c>
      <c r="E20" s="647">
        <v>0</v>
      </c>
      <c r="F20" s="647">
        <v>0</v>
      </c>
      <c r="G20" s="640">
        <v>0</v>
      </c>
      <c r="H20" s="640">
        <v>0</v>
      </c>
      <c r="I20" s="640">
        <v>0</v>
      </c>
      <c r="J20" s="640">
        <v>0</v>
      </c>
      <c r="K20" s="640">
        <v>0</v>
      </c>
      <c r="L20" s="640">
        <v>0</v>
      </c>
      <c r="M20" s="640">
        <v>0</v>
      </c>
      <c r="N20" s="640">
        <v>0</v>
      </c>
      <c r="O20" s="640">
        <v>0</v>
      </c>
      <c r="P20" s="640">
        <v>0</v>
      </c>
      <c r="Q20" s="640">
        <v>0</v>
      </c>
      <c r="R20" s="640">
        <v>0</v>
      </c>
      <c r="S20" s="648">
        <v>0</v>
      </c>
      <c r="U20" s="646" t="s">
        <v>67</v>
      </c>
      <c r="V20" s="640">
        <v>0</v>
      </c>
      <c r="W20" s="647">
        <v>0</v>
      </c>
      <c r="X20" s="647">
        <v>0</v>
      </c>
      <c r="Y20" s="640">
        <v>0</v>
      </c>
      <c r="Z20" s="640">
        <v>0</v>
      </c>
      <c r="AA20" s="640">
        <v>0</v>
      </c>
      <c r="AB20" s="640">
        <v>0</v>
      </c>
      <c r="AC20" s="640">
        <v>0</v>
      </c>
      <c r="AD20" s="640">
        <v>0</v>
      </c>
      <c r="AE20" s="640">
        <v>0</v>
      </c>
      <c r="AF20" s="640">
        <v>0</v>
      </c>
      <c r="AG20" s="640">
        <v>0</v>
      </c>
      <c r="AH20" s="640">
        <v>0</v>
      </c>
      <c r="AI20" s="640">
        <v>0</v>
      </c>
      <c r="AJ20" s="640">
        <v>0</v>
      </c>
      <c r="AK20" s="648">
        <v>0</v>
      </c>
    </row>
    <row r="21" spans="3:37" x14ac:dyDescent="0.2">
      <c r="C21" s="646" t="s">
        <v>347</v>
      </c>
      <c r="D21" s="640">
        <v>2.8267856410252494</v>
      </c>
      <c r="E21" s="640">
        <v>0</v>
      </c>
      <c r="F21" s="640">
        <v>7.5217067848259731</v>
      </c>
      <c r="G21" s="640">
        <v>17.043478260869566</v>
      </c>
      <c r="H21" s="640">
        <v>959.09090909090924</v>
      </c>
      <c r="I21" s="640">
        <v>265.54666314840352</v>
      </c>
      <c r="J21" s="649">
        <v>29.657322749860491</v>
      </c>
      <c r="K21" s="649">
        <v>6.9984717304001904</v>
      </c>
      <c r="L21" s="649">
        <v>2.9080645507258027</v>
      </c>
      <c r="M21" s="649">
        <v>0.47316517381762646</v>
      </c>
      <c r="N21" s="649">
        <v>0</v>
      </c>
      <c r="O21" s="649">
        <v>6.9042102843702597</v>
      </c>
      <c r="P21" s="640">
        <v>-613.13903868039233</v>
      </c>
      <c r="Q21" s="640">
        <v>0</v>
      </c>
      <c r="R21" s="640">
        <v>0</v>
      </c>
      <c r="S21" s="648">
        <v>685.83173873481564</v>
      </c>
      <c r="U21" s="646" t="s">
        <v>347</v>
      </c>
      <c r="V21" s="640">
        <v>0.62631490545869017</v>
      </c>
      <c r="W21" s="640">
        <v>0</v>
      </c>
      <c r="X21" s="640">
        <v>3.6580704211896093</v>
      </c>
      <c r="Y21" s="640">
        <v>6.2086956521739127</v>
      </c>
      <c r="Z21" s="640">
        <v>919.39393939393949</v>
      </c>
      <c r="AA21" s="640">
        <v>300.16666314840353</v>
      </c>
      <c r="AB21" s="649">
        <v>23.86094386593884</v>
      </c>
      <c r="AC21" s="649">
        <v>5.6952120200596408</v>
      </c>
      <c r="AD21" s="649">
        <v>2.9080645507258027</v>
      </c>
      <c r="AE21" s="649">
        <v>2.7862086520784959</v>
      </c>
      <c r="AF21" s="649">
        <v>0</v>
      </c>
      <c r="AG21" s="649">
        <v>6.9042102843702597</v>
      </c>
      <c r="AH21" s="640">
        <v>-628.6590386803922</v>
      </c>
      <c r="AI21" s="640">
        <v>0</v>
      </c>
      <c r="AJ21" s="640">
        <v>4.7499999999999991</v>
      </c>
      <c r="AK21" s="648">
        <v>648.29928421394618</v>
      </c>
    </row>
    <row r="22" spans="3:37" x14ac:dyDescent="0.2">
      <c r="C22" s="646" t="s">
        <v>348</v>
      </c>
      <c r="D22" s="640">
        <v>0</v>
      </c>
      <c r="E22" s="640">
        <v>0</v>
      </c>
      <c r="F22" s="640">
        <v>0</v>
      </c>
      <c r="G22" s="640">
        <v>14.973464488470796</v>
      </c>
      <c r="H22" s="640">
        <v>0</v>
      </c>
      <c r="I22" s="640">
        <v>0</v>
      </c>
      <c r="J22" s="649">
        <v>12.61885930635281</v>
      </c>
      <c r="K22" s="649">
        <v>11.992989190910333</v>
      </c>
      <c r="L22" s="649">
        <v>0</v>
      </c>
      <c r="M22" s="649">
        <v>0.32007470171399477</v>
      </c>
      <c r="N22" s="649">
        <v>0</v>
      </c>
      <c r="O22" s="649">
        <v>2.1221335576886813</v>
      </c>
      <c r="P22" s="640">
        <v>0</v>
      </c>
      <c r="Q22" s="640">
        <v>-38.122859170635891</v>
      </c>
      <c r="R22" s="640">
        <v>0</v>
      </c>
      <c r="S22" s="648">
        <v>3.9046620745007217</v>
      </c>
      <c r="U22" s="646" t="s">
        <v>348</v>
      </c>
      <c r="V22" s="640">
        <v>0</v>
      </c>
      <c r="W22" s="640">
        <v>0</v>
      </c>
      <c r="X22" s="640">
        <v>0</v>
      </c>
      <c r="Y22" s="640">
        <v>11.236128743190402</v>
      </c>
      <c r="Z22" s="640">
        <v>0</v>
      </c>
      <c r="AA22" s="640">
        <v>0</v>
      </c>
      <c r="AB22" s="649">
        <v>28.835017835425074</v>
      </c>
      <c r="AC22" s="649">
        <v>26.276566272731909</v>
      </c>
      <c r="AD22" s="649">
        <v>0</v>
      </c>
      <c r="AE22" s="649">
        <v>4.8299775408676195</v>
      </c>
      <c r="AF22" s="649">
        <v>0</v>
      </c>
      <c r="AG22" s="649">
        <v>10.71495831218258</v>
      </c>
      <c r="AH22" s="640">
        <v>0</v>
      </c>
      <c r="AI22" s="640">
        <v>-75.331063655699538</v>
      </c>
      <c r="AJ22" s="640">
        <v>0</v>
      </c>
      <c r="AK22" s="648">
        <v>6.561585048698058</v>
      </c>
    </row>
    <row r="23" spans="3:37" x14ac:dyDescent="0.2">
      <c r="C23" s="646" t="s">
        <v>349</v>
      </c>
      <c r="D23" s="640">
        <v>0</v>
      </c>
      <c r="E23" s="640">
        <v>0</v>
      </c>
      <c r="F23" s="640">
        <v>0</v>
      </c>
      <c r="G23" s="640">
        <v>0</v>
      </c>
      <c r="H23" s="640">
        <v>0</v>
      </c>
      <c r="I23" s="640">
        <v>0</v>
      </c>
      <c r="J23" s="650">
        <v>7.1836152532588793</v>
      </c>
      <c r="K23" s="650">
        <v>0</v>
      </c>
      <c r="L23" s="650">
        <v>0</v>
      </c>
      <c r="M23" s="650">
        <v>-6.5550489185987271</v>
      </c>
      <c r="N23" s="650">
        <v>0</v>
      </c>
      <c r="O23" s="650">
        <v>0</v>
      </c>
      <c r="P23" s="640">
        <v>0</v>
      </c>
      <c r="Q23" s="640">
        <v>0</v>
      </c>
      <c r="R23" s="640">
        <v>0</v>
      </c>
      <c r="S23" s="648">
        <v>0.62856633466015222</v>
      </c>
      <c r="U23" s="646" t="s">
        <v>349</v>
      </c>
      <c r="V23" s="640">
        <v>0</v>
      </c>
      <c r="W23" s="640">
        <v>0</v>
      </c>
      <c r="X23" s="640">
        <v>0</v>
      </c>
      <c r="Y23" s="640">
        <v>0</v>
      </c>
      <c r="Z23" s="640">
        <v>0</v>
      </c>
      <c r="AA23" s="640">
        <v>0</v>
      </c>
      <c r="AB23" s="650">
        <v>63.436450079223192</v>
      </c>
      <c r="AC23" s="650">
        <v>0</v>
      </c>
      <c r="AD23" s="650">
        <v>0</v>
      </c>
      <c r="AE23" s="650">
        <v>-57.885760697291161</v>
      </c>
      <c r="AF23" s="650">
        <v>0</v>
      </c>
      <c r="AG23" s="650">
        <v>0</v>
      </c>
      <c r="AH23" s="640">
        <v>0</v>
      </c>
      <c r="AI23" s="640">
        <v>0</v>
      </c>
      <c r="AJ23" s="640">
        <v>0</v>
      </c>
      <c r="AK23" s="648">
        <v>5.5506893819320311</v>
      </c>
    </row>
    <row r="24" spans="3:37" x14ac:dyDescent="0.2">
      <c r="C24" s="646" t="s">
        <v>350</v>
      </c>
      <c r="D24" s="640">
        <v>0</v>
      </c>
      <c r="E24" s="640">
        <v>0</v>
      </c>
      <c r="F24" s="640">
        <v>0</v>
      </c>
      <c r="G24" s="640">
        <v>0</v>
      </c>
      <c r="H24" s="640">
        <v>0</v>
      </c>
      <c r="I24" s="640">
        <v>0</v>
      </c>
      <c r="J24" s="640">
        <v>0</v>
      </c>
      <c r="K24" s="640">
        <v>0</v>
      </c>
      <c r="L24" s="640">
        <v>0</v>
      </c>
      <c r="M24" s="640">
        <v>0</v>
      </c>
      <c r="N24" s="640">
        <v>0</v>
      </c>
      <c r="O24" s="640">
        <v>0</v>
      </c>
      <c r="P24" s="640">
        <v>0</v>
      </c>
      <c r="Q24" s="640">
        <v>0</v>
      </c>
      <c r="R24" s="640">
        <v>0</v>
      </c>
      <c r="S24" s="648">
        <v>0</v>
      </c>
      <c r="U24" s="646" t="s">
        <v>350</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646" t="s">
        <v>72</v>
      </c>
      <c r="D25" s="640">
        <v>0</v>
      </c>
      <c r="E25" s="640">
        <v>522.28962186433523</v>
      </c>
      <c r="F25" s="640">
        <v>-517.06672564569192</v>
      </c>
      <c r="G25" s="640">
        <v>0</v>
      </c>
      <c r="H25" s="640">
        <v>0</v>
      </c>
      <c r="I25" s="640">
        <v>0</v>
      </c>
      <c r="J25" s="640">
        <v>0</v>
      </c>
      <c r="K25" s="640">
        <v>0</v>
      </c>
      <c r="L25" s="640">
        <v>0</v>
      </c>
      <c r="M25" s="640">
        <v>0</v>
      </c>
      <c r="N25" s="640">
        <v>0</v>
      </c>
      <c r="O25" s="640">
        <v>0</v>
      </c>
      <c r="P25" s="640">
        <v>0</v>
      </c>
      <c r="Q25" s="640">
        <v>0</v>
      </c>
      <c r="R25" s="640">
        <v>0</v>
      </c>
      <c r="S25" s="648">
        <v>5.2228962186433137</v>
      </c>
      <c r="U25" s="646" t="s">
        <v>72</v>
      </c>
      <c r="V25" s="640">
        <v>0</v>
      </c>
      <c r="W25" s="640">
        <v>275.84091609698424</v>
      </c>
      <c r="X25" s="640">
        <v>-273.0825069360144</v>
      </c>
      <c r="Y25" s="640">
        <v>0</v>
      </c>
      <c r="Z25" s="640">
        <v>0</v>
      </c>
      <c r="AA25" s="640">
        <v>0</v>
      </c>
      <c r="AB25" s="640">
        <v>0</v>
      </c>
      <c r="AC25" s="640">
        <v>0</v>
      </c>
      <c r="AD25" s="640">
        <v>0</v>
      </c>
      <c r="AE25" s="640">
        <v>0</v>
      </c>
      <c r="AF25" s="640">
        <v>0</v>
      </c>
      <c r="AG25" s="640">
        <v>0</v>
      </c>
      <c r="AH25" s="640">
        <v>0</v>
      </c>
      <c r="AI25" s="640">
        <v>0</v>
      </c>
      <c r="AJ25" s="640">
        <v>0</v>
      </c>
      <c r="AK25" s="648">
        <v>2.7584091609698476</v>
      </c>
    </row>
    <row r="26" spans="3:37" x14ac:dyDescent="0.2">
      <c r="C26" s="646" t="s">
        <v>351</v>
      </c>
      <c r="D26" s="640">
        <v>0</v>
      </c>
      <c r="E26" s="640">
        <v>0</v>
      </c>
      <c r="F26" s="640">
        <v>0</v>
      </c>
      <c r="G26" s="640">
        <v>0</v>
      </c>
      <c r="H26" s="640">
        <v>0</v>
      </c>
      <c r="I26" s="640">
        <v>0</v>
      </c>
      <c r="J26" s="640">
        <v>28.942309114060045</v>
      </c>
      <c r="K26" s="640">
        <v>0</v>
      </c>
      <c r="L26" s="640">
        <v>-28.942309114060045</v>
      </c>
      <c r="M26" s="640">
        <v>0</v>
      </c>
      <c r="N26" s="640">
        <v>0</v>
      </c>
      <c r="O26" s="640">
        <v>0</v>
      </c>
      <c r="P26" s="640">
        <v>0</v>
      </c>
      <c r="Q26" s="640">
        <v>0</v>
      </c>
      <c r="R26" s="640">
        <v>0</v>
      </c>
      <c r="S26" s="648">
        <v>0</v>
      </c>
      <c r="U26" s="646" t="s">
        <v>351</v>
      </c>
      <c r="V26" s="640">
        <v>0</v>
      </c>
      <c r="W26" s="640">
        <v>0</v>
      </c>
      <c r="X26" s="640">
        <v>0</v>
      </c>
      <c r="Y26" s="640">
        <v>0</v>
      </c>
      <c r="Z26" s="640">
        <v>0</v>
      </c>
      <c r="AA26" s="640">
        <v>0</v>
      </c>
      <c r="AB26" s="640" t="e">
        <v>#VALUE!</v>
      </c>
      <c r="AC26" s="640">
        <v>0</v>
      </c>
      <c r="AD26" s="640">
        <v>-101.68735143023177</v>
      </c>
      <c r="AE26" s="640">
        <v>0</v>
      </c>
      <c r="AF26" s="640">
        <v>0</v>
      </c>
      <c r="AG26" s="640">
        <v>0</v>
      </c>
      <c r="AH26" s="640">
        <v>0</v>
      </c>
      <c r="AI26" s="640">
        <v>0</v>
      </c>
      <c r="AJ26" s="640">
        <v>0</v>
      </c>
      <c r="AK26" s="648">
        <v>-101.68735143023177</v>
      </c>
    </row>
    <row r="27" spans="3:37" x14ac:dyDescent="0.2">
      <c r="C27" s="646" t="s">
        <v>352</v>
      </c>
      <c r="D27" s="640">
        <v>0</v>
      </c>
      <c r="E27" s="640">
        <v>0</v>
      </c>
      <c r="F27" s="640">
        <v>0</v>
      </c>
      <c r="G27" s="640">
        <v>0</v>
      </c>
      <c r="H27" s="640">
        <v>0</v>
      </c>
      <c r="I27" s="640">
        <v>0</v>
      </c>
      <c r="J27" s="640">
        <v>0</v>
      </c>
      <c r="K27" s="640">
        <v>0</v>
      </c>
      <c r="L27" s="640">
        <v>0</v>
      </c>
      <c r="M27" s="640">
        <v>0</v>
      </c>
      <c r="N27" s="640">
        <v>0</v>
      </c>
      <c r="O27" s="640">
        <v>0</v>
      </c>
      <c r="P27" s="640">
        <v>0</v>
      </c>
      <c r="Q27" s="640">
        <v>0</v>
      </c>
      <c r="R27" s="640">
        <v>0</v>
      </c>
      <c r="S27" s="648">
        <v>0</v>
      </c>
      <c r="U27" s="646" t="s">
        <v>352</v>
      </c>
      <c r="V27" s="640">
        <v>0</v>
      </c>
      <c r="W27" s="640">
        <v>0</v>
      </c>
      <c r="X27" s="640">
        <v>0</v>
      </c>
      <c r="Y27" s="640">
        <v>0</v>
      </c>
      <c r="Z27" s="640">
        <v>0</v>
      </c>
      <c r="AA27" s="640">
        <v>0</v>
      </c>
      <c r="AB27" s="640">
        <v>0</v>
      </c>
      <c r="AC27" s="640">
        <v>0</v>
      </c>
      <c r="AD27" s="640">
        <v>-20.330518764117095</v>
      </c>
      <c r="AE27" s="640">
        <v>0</v>
      </c>
      <c r="AF27" s="640">
        <v>0</v>
      </c>
      <c r="AG27" s="640">
        <v>0</v>
      </c>
      <c r="AH27" s="640">
        <v>0</v>
      </c>
      <c r="AI27" s="640">
        <v>0</v>
      </c>
      <c r="AJ27" s="640">
        <v>0</v>
      </c>
      <c r="AK27" s="648">
        <v>-20.330518764117095</v>
      </c>
    </row>
    <row r="28" spans="3:37" x14ac:dyDescent="0.2">
      <c r="C28" s="646" t="s">
        <v>73</v>
      </c>
      <c r="D28" s="640">
        <v>0</v>
      </c>
      <c r="E28" s="640">
        <v>0</v>
      </c>
      <c r="F28" s="640">
        <v>0</v>
      </c>
      <c r="G28" s="640">
        <v>5.1012543356530031</v>
      </c>
      <c r="H28" s="640">
        <v>0</v>
      </c>
      <c r="I28" s="640">
        <v>0</v>
      </c>
      <c r="J28" s="640">
        <v>0</v>
      </c>
      <c r="K28" s="640">
        <v>5.8487208617897309E-2</v>
      </c>
      <c r="L28" s="640">
        <v>0</v>
      </c>
      <c r="M28" s="640">
        <v>0.10410723133985722</v>
      </c>
      <c r="N28" s="640">
        <v>0</v>
      </c>
      <c r="O28" s="640">
        <v>0</v>
      </c>
      <c r="P28" s="640">
        <v>0.59767950412449788</v>
      </c>
      <c r="Q28" s="640">
        <v>0</v>
      </c>
      <c r="R28" s="640">
        <v>-4.094104603252811</v>
      </c>
      <c r="S28" s="648">
        <v>1.7674236764824451</v>
      </c>
      <c r="U28" s="646" t="s">
        <v>73</v>
      </c>
      <c r="V28" s="640">
        <v>0</v>
      </c>
      <c r="W28" s="640">
        <v>0</v>
      </c>
      <c r="X28" s="640">
        <v>0</v>
      </c>
      <c r="Y28" s="640">
        <v>5.6948243223481816</v>
      </c>
      <c r="Z28" s="640">
        <v>0</v>
      </c>
      <c r="AA28" s="640">
        <v>0</v>
      </c>
      <c r="AB28" s="640">
        <v>0</v>
      </c>
      <c r="AC28" s="640">
        <v>0.40677316588201312</v>
      </c>
      <c r="AD28" s="640">
        <v>0</v>
      </c>
      <c r="AE28" s="640">
        <v>2.440638995292078</v>
      </c>
      <c r="AF28" s="640">
        <v>0</v>
      </c>
      <c r="AG28" s="640">
        <v>0</v>
      </c>
      <c r="AH28" s="640">
        <v>32.838767990182951</v>
      </c>
      <c r="AI28" s="640">
        <v>0</v>
      </c>
      <c r="AJ28" s="640">
        <v>-28.474121611740912</v>
      </c>
      <c r="AK28" s="648">
        <v>12.906882861964313</v>
      </c>
    </row>
    <row r="29" spans="3:37" x14ac:dyDescent="0.2">
      <c r="C29" s="646" t="s">
        <v>353</v>
      </c>
      <c r="D29" s="640">
        <v>28.616489999999999</v>
      </c>
      <c r="E29" s="640">
        <v>-18.09733539759922</v>
      </c>
      <c r="F29" s="640">
        <v>23.670245777269074</v>
      </c>
      <c r="G29" s="640">
        <v>0</v>
      </c>
      <c r="H29" s="640">
        <v>0</v>
      </c>
      <c r="I29" s="640">
        <v>0</v>
      </c>
      <c r="J29" s="640">
        <v>0</v>
      </c>
      <c r="K29" s="640">
        <v>0</v>
      </c>
      <c r="L29" s="640">
        <v>0</v>
      </c>
      <c r="M29" s="640">
        <v>0</v>
      </c>
      <c r="N29" s="640">
        <v>0</v>
      </c>
      <c r="O29" s="640">
        <v>0</v>
      </c>
      <c r="P29" s="640">
        <v>0</v>
      </c>
      <c r="Q29" s="640">
        <v>0</v>
      </c>
      <c r="R29" s="640">
        <v>0</v>
      </c>
      <c r="S29" s="648">
        <v>34.189400379669848</v>
      </c>
      <c r="U29" s="646" t="s">
        <v>353</v>
      </c>
      <c r="V29" s="640">
        <v>2.3505202026367185</v>
      </c>
      <c r="W29" s="640">
        <v>-9.5578877427605047</v>
      </c>
      <c r="X29" s="640">
        <v>12.501152628950074</v>
      </c>
      <c r="Y29" s="640">
        <v>0</v>
      </c>
      <c r="Z29" s="640">
        <v>0</v>
      </c>
      <c r="AA29" s="640">
        <v>0</v>
      </c>
      <c r="AB29" s="640">
        <v>0</v>
      </c>
      <c r="AC29" s="640">
        <v>0</v>
      </c>
      <c r="AD29" s="640">
        <v>0</v>
      </c>
      <c r="AE29" s="640">
        <v>0</v>
      </c>
      <c r="AF29" s="640">
        <v>0</v>
      </c>
      <c r="AG29" s="640">
        <v>0</v>
      </c>
      <c r="AH29" s="640">
        <v>0</v>
      </c>
      <c r="AI29" s="640">
        <v>0</v>
      </c>
      <c r="AJ29" s="640">
        <v>0</v>
      </c>
      <c r="AK29" s="648">
        <v>5.2937850888262874</v>
      </c>
    </row>
    <row r="30" spans="3:37" x14ac:dyDescent="0.2">
      <c r="C30" s="646" t="s">
        <v>75</v>
      </c>
      <c r="D30" s="640">
        <v>11.128635000000001</v>
      </c>
      <c r="E30" s="640">
        <v>0</v>
      </c>
      <c r="F30" s="640">
        <v>17.757847143387398</v>
      </c>
      <c r="G30" s="640">
        <v>5.0672539113277812</v>
      </c>
      <c r="H30" s="640">
        <v>0</v>
      </c>
      <c r="I30" s="640">
        <v>0</v>
      </c>
      <c r="J30" s="640">
        <v>0</v>
      </c>
      <c r="K30" s="640">
        <v>0</v>
      </c>
      <c r="L30" s="640">
        <v>0</v>
      </c>
      <c r="M30" s="640">
        <v>0.1034133451291384</v>
      </c>
      <c r="N30" s="640">
        <v>0</v>
      </c>
      <c r="O30" s="640">
        <v>0</v>
      </c>
      <c r="P30" s="640">
        <v>30.750377055945027</v>
      </c>
      <c r="Q30" s="640">
        <v>0</v>
      </c>
      <c r="R30" s="640">
        <v>0</v>
      </c>
      <c r="S30" s="648">
        <v>64.807526455789343</v>
      </c>
      <c r="U30" s="646" t="s">
        <v>75</v>
      </c>
      <c r="V30" s="640">
        <v>3.4784289550781251</v>
      </c>
      <c r="W30" s="640">
        <v>0</v>
      </c>
      <c r="X30" s="640">
        <v>17.757847143387398</v>
      </c>
      <c r="Y30" s="640">
        <v>3.6194670795198434</v>
      </c>
      <c r="Z30" s="640">
        <v>0</v>
      </c>
      <c r="AA30" s="640">
        <v>0</v>
      </c>
      <c r="AB30" s="640">
        <v>0</v>
      </c>
      <c r="AC30" s="640">
        <v>0</v>
      </c>
      <c r="AD30" s="640">
        <v>0</v>
      </c>
      <c r="AE30" s="640">
        <v>1.5512001769370758</v>
      </c>
      <c r="AF30" s="640">
        <v>0</v>
      </c>
      <c r="AG30" s="640">
        <v>0</v>
      </c>
      <c r="AH30" s="640">
        <v>36.42264978321775</v>
      </c>
      <c r="AI30" s="640">
        <v>0</v>
      </c>
      <c r="AJ30" s="640">
        <v>0</v>
      </c>
      <c r="AK30" s="648">
        <v>62.829593138140197</v>
      </c>
    </row>
    <row r="31" spans="3:37" x14ac:dyDescent="0.2">
      <c r="C31" s="646" t="s">
        <v>76</v>
      </c>
      <c r="D31" s="640">
        <v>0</v>
      </c>
      <c r="E31" s="640">
        <v>0</v>
      </c>
      <c r="F31" s="640">
        <v>0</v>
      </c>
      <c r="G31" s="640">
        <v>3.8086647866957031</v>
      </c>
      <c r="H31" s="640">
        <v>0</v>
      </c>
      <c r="I31" s="640">
        <v>0</v>
      </c>
      <c r="J31" s="640">
        <v>0</v>
      </c>
      <c r="K31" s="640">
        <v>0</v>
      </c>
      <c r="L31" s="640">
        <v>0</v>
      </c>
      <c r="M31" s="640">
        <v>7.7727852789708229E-2</v>
      </c>
      <c r="N31" s="640">
        <v>0</v>
      </c>
      <c r="O31" s="640">
        <v>0</v>
      </c>
      <c r="P31" s="640">
        <v>44.547532005203358</v>
      </c>
      <c r="Q31" s="640">
        <v>2.958822517532107</v>
      </c>
      <c r="R31" s="640">
        <v>0</v>
      </c>
      <c r="S31" s="648">
        <v>51.392747162220878</v>
      </c>
      <c r="U31" s="646" t="s">
        <v>76</v>
      </c>
      <c r="V31" s="640">
        <v>0</v>
      </c>
      <c r="W31" s="640">
        <v>0</v>
      </c>
      <c r="X31" s="640">
        <v>0</v>
      </c>
      <c r="Y31" s="640">
        <v>1.6015823117827594</v>
      </c>
      <c r="Z31" s="640">
        <v>0</v>
      </c>
      <c r="AA31" s="640">
        <v>0</v>
      </c>
      <c r="AB31" s="640">
        <v>0</v>
      </c>
      <c r="AC31" s="640">
        <v>0</v>
      </c>
      <c r="AD31" s="640">
        <v>0</v>
      </c>
      <c r="AE31" s="640">
        <v>0.68639241933546835</v>
      </c>
      <c r="AF31" s="640">
        <v>0</v>
      </c>
      <c r="AG31" s="640">
        <v>0</v>
      </c>
      <c r="AH31" s="640">
        <v>47.148943407633553</v>
      </c>
      <c r="AI31" s="640">
        <v>5.8421151160056723</v>
      </c>
      <c r="AJ31" s="640">
        <v>0</v>
      </c>
      <c r="AK31" s="648">
        <v>55.279033254757444</v>
      </c>
    </row>
    <row r="32" spans="3:37" x14ac:dyDescent="0.2">
      <c r="C32" s="644" t="s">
        <v>77</v>
      </c>
      <c r="D32" s="645">
        <v>42.571910641025248</v>
      </c>
      <c r="E32" s="645">
        <v>504.19228646673599</v>
      </c>
      <c r="F32" s="645">
        <v>-468.11692594020946</v>
      </c>
      <c r="G32" s="645">
        <v>45.994115783016845</v>
      </c>
      <c r="H32" s="645">
        <v>959.09090909090924</v>
      </c>
      <c r="I32" s="645">
        <v>265.54666314840352</v>
      </c>
      <c r="J32" s="645">
        <v>78.402106423532217</v>
      </c>
      <c r="K32" s="645">
        <v>19.049948129928421</v>
      </c>
      <c r="L32" s="645">
        <v>-26.034244563334241</v>
      </c>
      <c r="M32" s="645">
        <v>-5.4765606138084015</v>
      </c>
      <c r="N32" s="645">
        <v>0</v>
      </c>
      <c r="O32" s="645">
        <v>9.0263438420589424</v>
      </c>
      <c r="P32" s="645">
        <v>-537.24345011511946</v>
      </c>
      <c r="Q32" s="645">
        <v>-35.164036653103786</v>
      </c>
      <c r="R32" s="645">
        <v>-4.094104603252811</v>
      </c>
      <c r="S32" s="645">
        <v>847.74496103678234</v>
      </c>
      <c r="U32" s="644" t="s">
        <v>77</v>
      </c>
      <c r="V32" s="645">
        <v>6.4552640631735336</v>
      </c>
      <c r="W32" s="645">
        <v>266.28302835422375</v>
      </c>
      <c r="X32" s="645">
        <v>-239.16543674248729</v>
      </c>
      <c r="Y32" s="645">
        <v>28.3606981090151</v>
      </c>
      <c r="Z32" s="645">
        <v>919.39393939393949</v>
      </c>
      <c r="AA32" s="645">
        <v>300.16666314840353</v>
      </c>
      <c r="AB32" s="645">
        <v>116.13241178058709</v>
      </c>
      <c r="AC32" s="645">
        <v>32.378551458673563</v>
      </c>
      <c r="AD32" s="645">
        <v>-119.10980564362306</v>
      </c>
      <c r="AE32" s="645">
        <v>-45.591342912780426</v>
      </c>
      <c r="AF32" s="645">
        <v>0</v>
      </c>
      <c r="AG32" s="645">
        <v>17.619168596552839</v>
      </c>
      <c r="AH32" s="645">
        <v>-512.24867749935788</v>
      </c>
      <c r="AI32" s="645">
        <v>-69.488948539693865</v>
      </c>
      <c r="AJ32" s="645">
        <v>-23.724121611740912</v>
      </c>
      <c r="AK32" s="645">
        <v>677.46139195488558</v>
      </c>
    </row>
    <row r="33" spans="3:37" x14ac:dyDescent="0.2">
      <c r="C33" s="634"/>
      <c r="D33" s="634">
        <v>0</v>
      </c>
      <c r="E33" s="634">
        <v>0</v>
      </c>
      <c r="F33" s="634">
        <v>0</v>
      </c>
      <c r="G33" s="634">
        <v>0</v>
      </c>
      <c r="H33" s="634">
        <v>0</v>
      </c>
      <c r="I33" s="634">
        <v>0</v>
      </c>
      <c r="J33" s="634">
        <v>0</v>
      </c>
      <c r="K33" s="634">
        <v>0</v>
      </c>
      <c r="L33" s="634">
        <v>0</v>
      </c>
      <c r="M33" s="634">
        <v>0</v>
      </c>
      <c r="N33" s="634">
        <v>0</v>
      </c>
      <c r="O33" s="634">
        <v>0</v>
      </c>
      <c r="P33" s="634">
        <v>0</v>
      </c>
      <c r="Q33" s="634">
        <v>0</v>
      </c>
      <c r="R33" s="634">
        <v>0</v>
      </c>
      <c r="S33" s="634">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646" t="s">
        <v>78</v>
      </c>
      <c r="D34" s="640">
        <v>5.4657298257742912</v>
      </c>
      <c r="E34" s="640">
        <v>0</v>
      </c>
      <c r="F34" s="640">
        <v>21.83935294215906</v>
      </c>
      <c r="G34" s="640">
        <v>97.960240418883188</v>
      </c>
      <c r="H34" s="640">
        <v>0</v>
      </c>
      <c r="I34" s="640">
        <v>0</v>
      </c>
      <c r="J34" s="640">
        <v>20.699069714826329</v>
      </c>
      <c r="K34" s="640">
        <v>1.7608774311708451</v>
      </c>
      <c r="L34" s="640">
        <v>0.9136629082031249</v>
      </c>
      <c r="M34" s="640">
        <v>2.0177626304462204</v>
      </c>
      <c r="N34" s="640">
        <v>0</v>
      </c>
      <c r="O34" s="640">
        <v>3.7866244598879411E-4</v>
      </c>
      <c r="P34" s="640">
        <v>111.48933548215857</v>
      </c>
      <c r="Q34" s="640">
        <v>16.083775404791947</v>
      </c>
      <c r="R34" s="640">
        <v>0.29766925048828125</v>
      </c>
      <c r="S34" s="648">
        <v>278.52785467134788</v>
      </c>
      <c r="U34" s="646" t="s">
        <v>78</v>
      </c>
      <c r="V34" s="640">
        <v>1.0762581410403587</v>
      </c>
      <c r="W34" s="640">
        <v>0</v>
      </c>
      <c r="X34" s="640">
        <v>8.4892491154216376</v>
      </c>
      <c r="Y34" s="640">
        <v>50.497915430959594</v>
      </c>
      <c r="Z34" s="640">
        <v>0</v>
      </c>
      <c r="AA34" s="640">
        <v>0</v>
      </c>
      <c r="AB34" s="640">
        <v>15.594949526554588</v>
      </c>
      <c r="AC34" s="640">
        <v>5.2865944994228578</v>
      </c>
      <c r="AD34" s="640">
        <v>4.3757583007812499</v>
      </c>
      <c r="AE34" s="640">
        <v>21.660537806594554</v>
      </c>
      <c r="AF34" s="640">
        <v>0</v>
      </c>
      <c r="AG34" s="640">
        <v>3.7866244598879411E-4</v>
      </c>
      <c r="AH34" s="640">
        <v>141.44668524271188</v>
      </c>
      <c r="AI34" s="640">
        <v>22.79177635880415</v>
      </c>
      <c r="AJ34" s="640">
        <v>6.850041015625</v>
      </c>
      <c r="AK34" s="648">
        <v>278.07014410036186</v>
      </c>
    </row>
    <row r="35" spans="3:37" x14ac:dyDescent="0.2">
      <c r="C35" s="646" t="s">
        <v>79</v>
      </c>
      <c r="D35" s="640">
        <v>0</v>
      </c>
      <c r="E35" s="640">
        <v>0</v>
      </c>
      <c r="F35" s="640">
        <v>249.23385066161848</v>
      </c>
      <c r="G35" s="640">
        <v>29.852237297635437</v>
      </c>
      <c r="H35" s="640">
        <v>0</v>
      </c>
      <c r="I35" s="640">
        <v>0</v>
      </c>
      <c r="J35" s="640">
        <v>0</v>
      </c>
      <c r="K35" s="640">
        <v>0</v>
      </c>
      <c r="L35" s="640">
        <v>24.125777410294155</v>
      </c>
      <c r="M35" s="640">
        <v>0.60922933260480494</v>
      </c>
      <c r="N35" s="640">
        <v>0</v>
      </c>
      <c r="O35" s="640">
        <v>0</v>
      </c>
      <c r="P35" s="640">
        <v>62.086065361885787</v>
      </c>
      <c r="Q35" s="640">
        <v>0</v>
      </c>
      <c r="R35" s="640">
        <v>1.9828379826970517</v>
      </c>
      <c r="S35" s="648">
        <v>367.88999804673568</v>
      </c>
      <c r="U35" s="646" t="s">
        <v>79</v>
      </c>
      <c r="V35" s="640">
        <v>0</v>
      </c>
      <c r="W35" s="640">
        <v>0</v>
      </c>
      <c r="X35" s="640">
        <v>59.317364570862594</v>
      </c>
      <c r="Y35" s="640">
        <v>17.942066440325025</v>
      </c>
      <c r="Z35" s="640">
        <v>0</v>
      </c>
      <c r="AA35" s="640">
        <v>0</v>
      </c>
      <c r="AB35" s="640">
        <v>0</v>
      </c>
      <c r="AC35" s="640">
        <v>0</v>
      </c>
      <c r="AD35" s="640">
        <v>51.332808735857633</v>
      </c>
      <c r="AE35" s="640">
        <v>7.6894570458535831</v>
      </c>
      <c r="AF35" s="640">
        <v>0</v>
      </c>
      <c r="AG35" s="640">
        <v>0</v>
      </c>
      <c r="AH35" s="640">
        <v>82.201296258535137</v>
      </c>
      <c r="AI35" s="640">
        <v>0</v>
      </c>
      <c r="AJ35" s="640">
        <v>4.6183032107255606</v>
      </c>
      <c r="AK35" s="648">
        <v>223.10129626215951</v>
      </c>
    </row>
    <row r="36" spans="3:37" x14ac:dyDescent="0.2">
      <c r="C36" s="646" t="s">
        <v>80</v>
      </c>
      <c r="D36" s="640">
        <v>0</v>
      </c>
      <c r="E36" s="640">
        <v>0</v>
      </c>
      <c r="F36" s="640">
        <v>17.698191750553285</v>
      </c>
      <c r="G36" s="640">
        <v>82.8316536533641</v>
      </c>
      <c r="H36" s="640">
        <v>0</v>
      </c>
      <c r="I36" s="640">
        <v>0</v>
      </c>
      <c r="J36" s="640">
        <v>87.012401530952616</v>
      </c>
      <c r="K36" s="640">
        <v>0</v>
      </c>
      <c r="L36" s="640">
        <v>0</v>
      </c>
      <c r="M36" s="640">
        <v>1.690441911293145</v>
      </c>
      <c r="N36" s="640">
        <v>54.219025663639314</v>
      </c>
      <c r="O36" s="640">
        <v>2.0231633432731213</v>
      </c>
      <c r="P36" s="640">
        <v>187.24843332836184</v>
      </c>
      <c r="Q36" s="640">
        <v>15.504434202631401</v>
      </c>
      <c r="R36" s="640">
        <v>0</v>
      </c>
      <c r="S36" s="648">
        <v>448.22774538406884</v>
      </c>
      <c r="U36" s="646" t="s">
        <v>80</v>
      </c>
      <c r="V36" s="640">
        <v>0</v>
      </c>
      <c r="W36" s="640">
        <v>0</v>
      </c>
      <c r="X36" s="640">
        <v>1.0833932718176746</v>
      </c>
      <c r="Y36" s="640">
        <v>18.084176496701136</v>
      </c>
      <c r="Z36" s="640">
        <v>0</v>
      </c>
      <c r="AA36" s="640">
        <v>0</v>
      </c>
      <c r="AB36" s="640">
        <v>57.868484646152382</v>
      </c>
      <c r="AC36" s="640">
        <v>0</v>
      </c>
      <c r="AD36" s="640">
        <v>0</v>
      </c>
      <c r="AE36" s="640">
        <v>7.7503613557290594</v>
      </c>
      <c r="AF36" s="640">
        <v>78.313096165620991</v>
      </c>
      <c r="AG36" s="640">
        <v>3.4573890525731583</v>
      </c>
      <c r="AH36" s="640">
        <v>150.63566760387405</v>
      </c>
      <c r="AI36" s="640">
        <v>34.942034151478268</v>
      </c>
      <c r="AJ36" s="640">
        <v>0</v>
      </c>
      <c r="AK36" s="648">
        <v>352.13460274394669</v>
      </c>
    </row>
    <row r="37" spans="3:37" x14ac:dyDescent="0.2">
      <c r="C37" s="646" t="s">
        <v>81</v>
      </c>
      <c r="D37" s="640">
        <v>0</v>
      </c>
      <c r="E37" s="640">
        <v>0</v>
      </c>
      <c r="F37" s="640">
        <v>5.759525486283259</v>
      </c>
      <c r="G37" s="640">
        <v>63.242535904869413</v>
      </c>
      <c r="H37" s="640">
        <v>0</v>
      </c>
      <c r="I37" s="640">
        <v>0</v>
      </c>
      <c r="J37" s="640">
        <v>3.243340348024236</v>
      </c>
      <c r="K37" s="640">
        <v>2.5138060257677737E-2</v>
      </c>
      <c r="L37" s="640">
        <v>0</v>
      </c>
      <c r="M37" s="640">
        <v>1.2906639980585595</v>
      </c>
      <c r="N37" s="640">
        <v>8.6788063603893928</v>
      </c>
      <c r="O37" s="640">
        <v>0.74318365128395913</v>
      </c>
      <c r="P37" s="640">
        <v>138.68432478978596</v>
      </c>
      <c r="Q37" s="640">
        <v>3.5758270456804375</v>
      </c>
      <c r="R37" s="640">
        <v>0</v>
      </c>
      <c r="S37" s="648">
        <v>225.24334564463288</v>
      </c>
      <c r="U37" s="646" t="s">
        <v>81</v>
      </c>
      <c r="V37" s="640">
        <v>0</v>
      </c>
      <c r="W37" s="640">
        <v>0</v>
      </c>
      <c r="X37" s="640">
        <v>1.8996820773870462</v>
      </c>
      <c r="Y37" s="640">
        <v>16.701006494583829</v>
      </c>
      <c r="Z37" s="640">
        <v>0</v>
      </c>
      <c r="AA37" s="640">
        <v>0</v>
      </c>
      <c r="AB37" s="640">
        <v>7.1959049572050198</v>
      </c>
      <c r="AC37" s="640">
        <v>2.5138060257677737E-2</v>
      </c>
      <c r="AD37" s="640">
        <v>0</v>
      </c>
      <c r="AE37" s="640">
        <v>7.1575742119644987</v>
      </c>
      <c r="AF37" s="640">
        <v>14.587904232604497</v>
      </c>
      <c r="AG37" s="640">
        <v>1.6018484399661996</v>
      </c>
      <c r="AH37" s="640">
        <v>116.46951239557291</v>
      </c>
      <c r="AI37" s="640">
        <v>11.755138029411436</v>
      </c>
      <c r="AJ37" s="640">
        <v>0</v>
      </c>
      <c r="AK37" s="648">
        <v>177.39370889895312</v>
      </c>
    </row>
    <row r="38" spans="3:37" x14ac:dyDescent="0.2">
      <c r="C38" s="646" t="s">
        <v>82</v>
      </c>
      <c r="D38" s="640">
        <v>0</v>
      </c>
      <c r="E38" s="640">
        <v>0</v>
      </c>
      <c r="F38" s="640">
        <v>29.471786733039881</v>
      </c>
      <c r="G38" s="640">
        <v>1.3166139535686423</v>
      </c>
      <c r="H38" s="640">
        <v>0</v>
      </c>
      <c r="I38" s="640">
        <v>0</v>
      </c>
      <c r="J38" s="640">
        <v>3.6844952632387193</v>
      </c>
      <c r="K38" s="640">
        <v>0</v>
      </c>
      <c r="L38" s="640">
        <v>3.0029030850571363</v>
      </c>
      <c r="M38" s="640">
        <v>2.6869672521809031E-2</v>
      </c>
      <c r="N38" s="640">
        <v>0</v>
      </c>
      <c r="O38" s="640">
        <v>7.2392521047915395E-2</v>
      </c>
      <c r="P38" s="640">
        <v>6.3643203530837074</v>
      </c>
      <c r="Q38" s="640">
        <v>0</v>
      </c>
      <c r="R38" s="640">
        <v>0</v>
      </c>
      <c r="S38" s="648">
        <v>43.939381581557811</v>
      </c>
      <c r="U38" s="646" t="s">
        <v>82</v>
      </c>
      <c r="V38" s="640">
        <v>0</v>
      </c>
      <c r="W38" s="640">
        <v>0</v>
      </c>
      <c r="X38" s="640">
        <v>10.199143313422546</v>
      </c>
      <c r="Y38" s="640">
        <v>1.1904851448286324</v>
      </c>
      <c r="Z38" s="640">
        <v>0</v>
      </c>
      <c r="AA38" s="640">
        <v>0</v>
      </c>
      <c r="AB38" s="640">
        <v>3.6844952632387193</v>
      </c>
      <c r="AC38" s="640">
        <v>0</v>
      </c>
      <c r="AD38" s="640">
        <v>26.674568203776872</v>
      </c>
      <c r="AE38" s="640">
        <v>0.51020791921227104</v>
      </c>
      <c r="AF38" s="640">
        <v>0</v>
      </c>
      <c r="AG38" s="640">
        <v>1.300620381405156</v>
      </c>
      <c r="AH38" s="640">
        <v>6.4632626546266092</v>
      </c>
      <c r="AI38" s="640">
        <v>0</v>
      </c>
      <c r="AJ38" s="640">
        <v>0.325155095351289</v>
      </c>
      <c r="AK38" s="648">
        <v>50.347937975862088</v>
      </c>
    </row>
    <row r="39" spans="3:37" x14ac:dyDescent="0.2">
      <c r="C39" s="646" t="s">
        <v>354</v>
      </c>
      <c r="D39" s="640">
        <v>0</v>
      </c>
      <c r="E39" s="640">
        <v>0</v>
      </c>
      <c r="F39" s="640">
        <v>0</v>
      </c>
      <c r="G39" s="640">
        <v>0</v>
      </c>
      <c r="H39" s="640">
        <v>0</v>
      </c>
      <c r="I39" s="640">
        <v>0</v>
      </c>
      <c r="J39" s="640">
        <v>0</v>
      </c>
      <c r="K39" s="640">
        <v>0</v>
      </c>
      <c r="L39" s="640">
        <v>0</v>
      </c>
      <c r="M39" s="640">
        <v>0</v>
      </c>
      <c r="N39" s="640">
        <v>0</v>
      </c>
      <c r="O39" s="640">
        <v>0</v>
      </c>
      <c r="P39" s="640">
        <v>0.31499999999999995</v>
      </c>
      <c r="Q39" s="640">
        <v>0</v>
      </c>
      <c r="R39" s="640">
        <v>0</v>
      </c>
      <c r="S39" s="648">
        <v>0.31499999999999995</v>
      </c>
      <c r="U39" s="646" t="s">
        <v>354</v>
      </c>
      <c r="V39" s="640">
        <v>0</v>
      </c>
      <c r="W39" s="640">
        <v>0</v>
      </c>
      <c r="X39" s="640">
        <v>0</v>
      </c>
      <c r="Y39" s="640">
        <v>0</v>
      </c>
      <c r="Z39" s="640">
        <v>0</v>
      </c>
      <c r="AA39" s="640">
        <v>0</v>
      </c>
      <c r="AB39" s="640">
        <v>0</v>
      </c>
      <c r="AC39" s="640">
        <v>0</v>
      </c>
      <c r="AD39" s="640">
        <v>0</v>
      </c>
      <c r="AE39" s="640">
        <v>0</v>
      </c>
      <c r="AF39" s="640">
        <v>0</v>
      </c>
      <c r="AG39" s="640">
        <v>0</v>
      </c>
      <c r="AH39" s="640">
        <v>2.4</v>
      </c>
      <c r="AI39" s="640">
        <v>0</v>
      </c>
      <c r="AJ39" s="640">
        <v>0</v>
      </c>
      <c r="AK39" s="648">
        <v>2.4</v>
      </c>
    </row>
    <row r="40" spans="3:37" x14ac:dyDescent="0.2">
      <c r="C40" s="644" t="s">
        <v>83</v>
      </c>
      <c r="D40" s="645">
        <v>5.4657298257742912</v>
      </c>
      <c r="E40" s="645">
        <v>0</v>
      </c>
      <c r="F40" s="645">
        <v>324.00270757365394</v>
      </c>
      <c r="G40" s="645">
        <v>275.2032812283208</v>
      </c>
      <c r="H40" s="645">
        <v>0</v>
      </c>
      <c r="I40" s="645">
        <v>0</v>
      </c>
      <c r="J40" s="645">
        <v>114.6393068570419</v>
      </c>
      <c r="K40" s="645">
        <v>1.7860154914285227</v>
      </c>
      <c r="L40" s="645">
        <v>28.042343403554419</v>
      </c>
      <c r="M40" s="645">
        <v>5.6349675449245389</v>
      </c>
      <c r="N40" s="645">
        <v>62.897832024028709</v>
      </c>
      <c r="O40" s="645">
        <v>2.8391181780509842</v>
      </c>
      <c r="P40" s="645">
        <v>506.18747931527582</v>
      </c>
      <c r="Q40" s="645">
        <v>35.164036653103793</v>
      </c>
      <c r="R40" s="645">
        <v>2.2805072331853329</v>
      </c>
      <c r="S40" s="645">
        <v>1364.1433253283431</v>
      </c>
      <c r="U40" s="644" t="s">
        <v>83</v>
      </c>
      <c r="V40" s="645">
        <v>1.0762581410403587</v>
      </c>
      <c r="W40" s="645">
        <v>0</v>
      </c>
      <c r="X40" s="645">
        <v>80.988832348911515</v>
      </c>
      <c r="Y40" s="645">
        <v>104.41565000739821</v>
      </c>
      <c r="Z40" s="645">
        <v>0</v>
      </c>
      <c r="AA40" s="645">
        <v>0</v>
      </c>
      <c r="AB40" s="645">
        <v>84.343834393150701</v>
      </c>
      <c r="AC40" s="645">
        <v>5.3117325596805349</v>
      </c>
      <c r="AD40" s="645">
        <v>82.383135240415754</v>
      </c>
      <c r="AE40" s="645">
        <v>44.768138339353968</v>
      </c>
      <c r="AF40" s="645">
        <v>92.901000398225491</v>
      </c>
      <c r="AG40" s="645">
        <v>6.3602365363905022</v>
      </c>
      <c r="AH40" s="645">
        <v>499.61642415532054</v>
      </c>
      <c r="AI40" s="645">
        <v>69.488948539693865</v>
      </c>
      <c r="AJ40" s="645">
        <v>11.793499321701848</v>
      </c>
      <c r="AK40" s="645">
        <v>1083.4476899812832</v>
      </c>
    </row>
    <row r="41" spans="3:37" x14ac:dyDescent="0.2">
      <c r="C41" s="639" t="s">
        <v>84</v>
      </c>
      <c r="D41" s="640">
        <v>0</v>
      </c>
      <c r="E41" s="640">
        <v>0</v>
      </c>
      <c r="F41" s="640">
        <v>109.69308299672531</v>
      </c>
      <c r="G41" s="640">
        <v>11.766175832538266</v>
      </c>
      <c r="H41" s="640">
        <v>0</v>
      </c>
      <c r="I41" s="640">
        <v>0</v>
      </c>
      <c r="J41" s="640">
        <v>0</v>
      </c>
      <c r="K41" s="640">
        <v>0</v>
      </c>
      <c r="L41" s="640">
        <v>0</v>
      </c>
      <c r="M41" s="640">
        <v>0</v>
      </c>
      <c r="N41" s="640">
        <v>0</v>
      </c>
      <c r="O41" s="640">
        <v>0</v>
      </c>
      <c r="P41" s="640">
        <v>0</v>
      </c>
      <c r="Q41" s="640">
        <v>0</v>
      </c>
      <c r="R41" s="640">
        <v>1.8135973700674786</v>
      </c>
      <c r="S41" s="648">
        <v>123.27285619933106</v>
      </c>
      <c r="U41" s="639" t="s">
        <v>84</v>
      </c>
      <c r="V41" s="640">
        <v>0</v>
      </c>
      <c r="W41" s="640">
        <v>0</v>
      </c>
      <c r="X41" s="640">
        <v>84.298528713313246</v>
      </c>
      <c r="Y41" s="640">
        <v>1.1302347010557652</v>
      </c>
      <c r="Z41" s="640">
        <v>0</v>
      </c>
      <c r="AA41" s="640">
        <v>0</v>
      </c>
      <c r="AB41" s="640">
        <v>0</v>
      </c>
      <c r="AC41" s="640">
        <v>0</v>
      </c>
      <c r="AD41" s="640">
        <v>17.754065118408207</v>
      </c>
      <c r="AE41" s="640">
        <v>0</v>
      </c>
      <c r="AF41" s="640">
        <v>0</v>
      </c>
      <c r="AG41" s="640">
        <v>0</v>
      </c>
      <c r="AH41" s="640">
        <v>0</v>
      </c>
      <c r="AI41" s="640">
        <v>0</v>
      </c>
      <c r="AJ41" s="640">
        <v>11.930622290039064</v>
      </c>
      <c r="AK41" s="648">
        <v>115.11345082281629</v>
      </c>
    </row>
    <row r="42" spans="3:37" x14ac:dyDescent="0.2">
      <c r="C42" s="644" t="s">
        <v>85</v>
      </c>
      <c r="D42" s="645">
        <v>5.4657298257742912</v>
      </c>
      <c r="E42" s="645">
        <v>0</v>
      </c>
      <c r="F42" s="645">
        <v>433.69579057037924</v>
      </c>
      <c r="G42" s="645">
        <v>286.9694570608591</v>
      </c>
      <c r="H42" s="645">
        <v>0</v>
      </c>
      <c r="I42" s="645">
        <v>0</v>
      </c>
      <c r="J42" s="645">
        <v>114.6393068570419</v>
      </c>
      <c r="K42" s="645">
        <v>1.7860154914285227</v>
      </c>
      <c r="L42" s="645">
        <v>28.042343403554419</v>
      </c>
      <c r="M42" s="645">
        <v>5.6349675449245389</v>
      </c>
      <c r="N42" s="645">
        <v>62.897832024028709</v>
      </c>
      <c r="O42" s="645">
        <v>2.8391181780509842</v>
      </c>
      <c r="P42" s="645">
        <v>506.18747931527582</v>
      </c>
      <c r="Q42" s="645">
        <v>35.164036653103793</v>
      </c>
      <c r="R42" s="645">
        <v>4.094104603252811</v>
      </c>
      <c r="S42" s="645">
        <v>1487.4161815276743</v>
      </c>
      <c r="U42" s="644" t="s">
        <v>85</v>
      </c>
      <c r="V42" s="645">
        <v>1.0762581410403587</v>
      </c>
      <c r="W42" s="645">
        <v>0</v>
      </c>
      <c r="X42" s="645">
        <v>165.28736106222476</v>
      </c>
      <c r="Y42" s="645">
        <v>105.54588470845398</v>
      </c>
      <c r="Z42" s="645">
        <v>0</v>
      </c>
      <c r="AA42" s="645">
        <v>0</v>
      </c>
      <c r="AB42" s="645">
        <v>84.343834393150701</v>
      </c>
      <c r="AC42" s="645">
        <v>5.3117325596805349</v>
      </c>
      <c r="AD42" s="645">
        <v>100.13720035882396</v>
      </c>
      <c r="AE42" s="645">
        <v>44.768138339353968</v>
      </c>
      <c r="AF42" s="645">
        <v>92.901000398225491</v>
      </c>
      <c r="AG42" s="645">
        <v>6.3602365363905022</v>
      </c>
      <c r="AH42" s="645">
        <v>499.61642415532054</v>
      </c>
      <c r="AI42" s="645">
        <v>69.488948539693865</v>
      </c>
      <c r="AJ42" s="645">
        <v>23.724121611740912</v>
      </c>
      <c r="AK42" s="645">
        <v>1198.5611408040995</v>
      </c>
    </row>
    <row r="43" spans="3:37" x14ac:dyDescent="0.2">
      <c r="C43" s="634"/>
      <c r="D43" s="634"/>
      <c r="E43" s="634"/>
      <c r="F43" s="634"/>
      <c r="G43" s="634"/>
      <c r="H43" s="634"/>
      <c r="I43" s="634"/>
      <c r="J43" s="634"/>
      <c r="K43" s="634"/>
      <c r="L43" s="634"/>
      <c r="M43" s="634"/>
      <c r="N43" s="634"/>
      <c r="O43" s="634"/>
      <c r="P43" s="634"/>
      <c r="Q43" s="634"/>
      <c r="R43" s="634"/>
      <c r="S43" s="634"/>
      <c r="U43" s="634"/>
      <c r="V43" s="634"/>
      <c r="W43" s="634"/>
      <c r="X43" s="634"/>
      <c r="Y43" s="634"/>
      <c r="Z43" s="634"/>
      <c r="AA43" s="634"/>
      <c r="AB43" s="634"/>
      <c r="AC43" s="634"/>
      <c r="AD43" s="634"/>
      <c r="AE43" s="634"/>
      <c r="AF43" s="634"/>
      <c r="AG43" s="634"/>
      <c r="AH43" s="634"/>
      <c r="AI43" s="634"/>
      <c r="AJ43" s="634"/>
      <c r="AK43" s="634"/>
    </row>
    <row r="44" spans="3:37" ht="22.5" x14ac:dyDescent="0.3">
      <c r="C44" s="759" t="s">
        <v>518</v>
      </c>
      <c r="D44" s="759"/>
      <c r="E44" s="759"/>
      <c r="F44" s="759"/>
      <c r="G44" s="759"/>
      <c r="H44" s="759"/>
      <c r="I44" s="759"/>
      <c r="J44" s="759"/>
      <c r="K44" s="759"/>
      <c r="L44" s="759"/>
      <c r="M44" s="759"/>
      <c r="N44" s="759"/>
      <c r="O44" s="759"/>
      <c r="P44" s="759"/>
      <c r="Q44" s="759"/>
      <c r="R44" s="759"/>
      <c r="S44" s="759"/>
      <c r="U44" s="759" t="s">
        <v>518</v>
      </c>
      <c r="V44" s="759"/>
      <c r="W44" s="759"/>
      <c r="X44" s="759"/>
      <c r="Y44" s="759"/>
      <c r="Z44" s="759"/>
      <c r="AA44" s="759"/>
      <c r="AB44" s="759"/>
      <c r="AC44" s="759"/>
      <c r="AD44" s="759"/>
      <c r="AE44" s="759"/>
      <c r="AF44" s="759"/>
      <c r="AG44" s="759"/>
      <c r="AH44" s="759"/>
      <c r="AI44" s="759"/>
      <c r="AJ44" s="759"/>
      <c r="AK44" s="759"/>
    </row>
    <row r="45" spans="3:37" x14ac:dyDescent="0.2">
      <c r="C45" s="634"/>
      <c r="D45" s="634"/>
      <c r="E45" s="634"/>
      <c r="F45" s="634"/>
      <c r="G45" s="634"/>
      <c r="H45" s="634"/>
      <c r="I45" s="634"/>
      <c r="J45" s="634"/>
      <c r="K45" s="634"/>
      <c r="L45" s="634"/>
      <c r="M45" s="634"/>
      <c r="N45" s="634"/>
      <c r="O45" s="634"/>
      <c r="P45" s="634"/>
      <c r="Q45" s="634"/>
      <c r="R45" s="634"/>
      <c r="S45" s="634"/>
      <c r="U45" s="634"/>
      <c r="V45" s="634"/>
      <c r="W45" s="634"/>
      <c r="X45" s="634"/>
      <c r="Y45" s="634"/>
      <c r="Z45" s="634"/>
      <c r="AA45" s="634"/>
      <c r="AB45" s="634"/>
      <c r="AC45" s="634"/>
      <c r="AD45" s="634"/>
      <c r="AE45" s="634"/>
      <c r="AF45" s="634"/>
      <c r="AG45" s="634"/>
      <c r="AH45" s="634"/>
      <c r="AI45" s="634"/>
      <c r="AJ45" s="634"/>
      <c r="AK45" s="634"/>
    </row>
    <row r="46" spans="3:37" ht="12.95" customHeight="1" x14ac:dyDescent="0.2">
      <c r="C46" s="758" t="s">
        <v>128</v>
      </c>
      <c r="D46" s="757" t="s">
        <v>42</v>
      </c>
      <c r="E46" s="757" t="s">
        <v>52</v>
      </c>
      <c r="F46" s="757" t="s">
        <v>53</v>
      </c>
      <c r="G46" s="757" t="s">
        <v>32</v>
      </c>
      <c r="H46" s="757" t="s">
        <v>20</v>
      </c>
      <c r="I46" s="757" t="s">
        <v>55</v>
      </c>
      <c r="J46" s="757" t="s">
        <v>56</v>
      </c>
      <c r="K46" s="757"/>
      <c r="L46" s="757"/>
      <c r="M46" s="757"/>
      <c r="N46" s="757"/>
      <c r="O46" s="757"/>
      <c r="P46" s="757" t="s">
        <v>57</v>
      </c>
      <c r="Q46" s="757" t="s">
        <v>58</v>
      </c>
      <c r="R46" s="757" t="s">
        <v>31</v>
      </c>
      <c r="S46" s="757" t="s">
        <v>10</v>
      </c>
      <c r="U46" s="758" t="s">
        <v>128</v>
      </c>
      <c r="V46" s="757" t="s">
        <v>42</v>
      </c>
      <c r="W46" s="757" t="s">
        <v>52</v>
      </c>
      <c r="X46" s="757" t="s">
        <v>53</v>
      </c>
      <c r="Y46" s="757" t="s">
        <v>32</v>
      </c>
      <c r="Z46" s="757" t="s">
        <v>20</v>
      </c>
      <c r="AA46" s="757" t="s">
        <v>55</v>
      </c>
      <c r="AB46" s="757" t="s">
        <v>56</v>
      </c>
      <c r="AC46" s="757"/>
      <c r="AD46" s="757"/>
      <c r="AE46" s="757"/>
      <c r="AF46" s="757"/>
      <c r="AG46" s="757"/>
      <c r="AH46" s="757" t="s">
        <v>57</v>
      </c>
      <c r="AI46" s="757" t="s">
        <v>58</v>
      </c>
      <c r="AJ46" s="757" t="s">
        <v>31</v>
      </c>
      <c r="AK46" s="757" t="s">
        <v>10</v>
      </c>
    </row>
    <row r="47" spans="3:37" ht="56.25" x14ac:dyDescent="0.2">
      <c r="C47" s="758"/>
      <c r="D47" s="757"/>
      <c r="E47" s="757"/>
      <c r="F47" s="757"/>
      <c r="G47" s="757"/>
      <c r="H47" s="757"/>
      <c r="I47" s="757"/>
      <c r="J47" s="638" t="s">
        <v>335</v>
      </c>
      <c r="K47" s="638" t="s">
        <v>40</v>
      </c>
      <c r="L47" s="638" t="s">
        <v>343</v>
      </c>
      <c r="M47" s="638" t="s">
        <v>344</v>
      </c>
      <c r="N47" s="638" t="s">
        <v>345</v>
      </c>
      <c r="O47" s="638" t="s">
        <v>346</v>
      </c>
      <c r="P47" s="757"/>
      <c r="Q47" s="757"/>
      <c r="R47" s="757"/>
      <c r="S47" s="757"/>
      <c r="U47" s="758"/>
      <c r="V47" s="757"/>
      <c r="W47" s="757"/>
      <c r="X47" s="757"/>
      <c r="Y47" s="757"/>
      <c r="Z47" s="757"/>
      <c r="AA47" s="757"/>
      <c r="AB47" s="638" t="s">
        <v>335</v>
      </c>
      <c r="AC47" s="638" t="s">
        <v>40</v>
      </c>
      <c r="AD47" s="638" t="s">
        <v>343</v>
      </c>
      <c r="AE47" s="638" t="s">
        <v>344</v>
      </c>
      <c r="AF47" s="638" t="s">
        <v>345</v>
      </c>
      <c r="AG47" s="638" t="s">
        <v>346</v>
      </c>
      <c r="AH47" s="757"/>
      <c r="AI47" s="757"/>
      <c r="AJ47" s="757"/>
      <c r="AK47" s="757"/>
    </row>
    <row r="48" spans="3:37" x14ac:dyDescent="0.2">
      <c r="C48" s="639" t="s">
        <v>59</v>
      </c>
      <c r="D48" s="640">
        <v>0</v>
      </c>
      <c r="E48" s="641">
        <v>0</v>
      </c>
      <c r="F48" s="641">
        <v>0</v>
      </c>
      <c r="G48" s="640">
        <v>0</v>
      </c>
      <c r="H48" s="641">
        <v>889.54545454545473</v>
      </c>
      <c r="I48" s="641">
        <v>290.38619522472999</v>
      </c>
      <c r="J48" s="641">
        <v>188.26463769943669</v>
      </c>
      <c r="K48" s="641">
        <v>20.519346122490408</v>
      </c>
      <c r="L48" s="641">
        <v>0.54648995449606019</v>
      </c>
      <c r="M48" s="641">
        <v>0.15914693380563083</v>
      </c>
      <c r="N48" s="641">
        <v>65.898689554178929</v>
      </c>
      <c r="O48" s="641">
        <v>11.930124482632028</v>
      </c>
      <c r="P48" s="642">
        <v>0</v>
      </c>
      <c r="Q48" s="641">
        <v>0</v>
      </c>
      <c r="R48" s="641">
        <v>0</v>
      </c>
      <c r="S48" s="643">
        <v>1467.2500845172242</v>
      </c>
      <c r="U48" s="639" t="s">
        <v>59</v>
      </c>
      <c r="V48" s="640">
        <v>0</v>
      </c>
      <c r="W48" s="641">
        <v>0</v>
      </c>
      <c r="X48" s="641">
        <v>0</v>
      </c>
      <c r="Y48" s="640">
        <v>0</v>
      </c>
      <c r="Z48" s="641">
        <v>873.030303030303</v>
      </c>
      <c r="AA48" s="641">
        <v>337.06619522473</v>
      </c>
      <c r="AB48" s="641">
        <v>206.15489309499102</v>
      </c>
      <c r="AC48" s="641">
        <v>37.137182251794961</v>
      </c>
      <c r="AD48" s="641">
        <v>0.54648995449606019</v>
      </c>
      <c r="AE48" s="641">
        <v>0.15914693380563083</v>
      </c>
      <c r="AF48" s="641">
        <v>103.02458403584798</v>
      </c>
      <c r="AG48" s="641">
        <v>25.833176078824131</v>
      </c>
      <c r="AH48" s="642">
        <v>0</v>
      </c>
      <c r="AI48" s="641">
        <v>0</v>
      </c>
      <c r="AJ48" s="641">
        <v>0</v>
      </c>
      <c r="AK48" s="643">
        <v>1582.9519706047927</v>
      </c>
    </row>
    <row r="49" spans="3:37" x14ac:dyDescent="0.2">
      <c r="C49" s="639" t="s">
        <v>60</v>
      </c>
      <c r="D49" s="640">
        <v>47.523331421865407</v>
      </c>
      <c r="E49" s="641">
        <v>492.37419513671523</v>
      </c>
      <c r="F49" s="641">
        <v>57.352326080251387</v>
      </c>
      <c r="G49" s="640">
        <v>328.8885225556333</v>
      </c>
      <c r="H49" s="641">
        <v>0</v>
      </c>
      <c r="I49" s="641">
        <v>0</v>
      </c>
      <c r="J49" s="641">
        <v>4.8075322078390377</v>
      </c>
      <c r="K49" s="641">
        <v>0</v>
      </c>
      <c r="L49" s="641">
        <v>2.6229179175778925</v>
      </c>
      <c r="M49" s="641">
        <v>0</v>
      </c>
      <c r="N49" s="641">
        <v>0</v>
      </c>
      <c r="O49" s="641">
        <v>0</v>
      </c>
      <c r="P49" s="642">
        <v>0</v>
      </c>
      <c r="Q49" s="641">
        <v>0</v>
      </c>
      <c r="R49" s="641">
        <v>0</v>
      </c>
      <c r="S49" s="643">
        <v>933.56882531988219</v>
      </c>
      <c r="U49" s="639" t="s">
        <v>60</v>
      </c>
      <c r="V49" s="640">
        <v>6.5260336126681251</v>
      </c>
      <c r="W49" s="641">
        <v>220.47790015098695</v>
      </c>
      <c r="X49" s="641">
        <v>14.513856185365357</v>
      </c>
      <c r="Y49" s="640">
        <v>102.1346675179243</v>
      </c>
      <c r="Z49" s="641">
        <v>0</v>
      </c>
      <c r="AA49" s="641">
        <v>0</v>
      </c>
      <c r="AB49" s="641">
        <v>4.8075322078390377</v>
      </c>
      <c r="AC49" s="641">
        <v>0</v>
      </c>
      <c r="AD49" s="641">
        <v>2.6229179175778925</v>
      </c>
      <c r="AE49" s="641">
        <v>0</v>
      </c>
      <c r="AF49" s="641">
        <v>0</v>
      </c>
      <c r="AG49" s="641">
        <v>0</v>
      </c>
      <c r="AH49" s="642">
        <v>0</v>
      </c>
      <c r="AI49" s="641">
        <v>0</v>
      </c>
      <c r="AJ49" s="641">
        <v>0</v>
      </c>
      <c r="AK49" s="643">
        <v>351.08290759236166</v>
      </c>
    </row>
    <row r="50" spans="3:37" x14ac:dyDescent="0.2">
      <c r="C50" s="639" t="s">
        <v>61</v>
      </c>
      <c r="D50" s="640">
        <v>0</v>
      </c>
      <c r="E50" s="641">
        <v>0</v>
      </c>
      <c r="F50" s="641">
        <v>0</v>
      </c>
      <c r="G50" s="640">
        <v>0</v>
      </c>
      <c r="H50" s="641">
        <v>0</v>
      </c>
      <c r="I50" s="641">
        <v>0</v>
      </c>
      <c r="J50" s="641">
        <v>0</v>
      </c>
      <c r="K50" s="641">
        <v>0</v>
      </c>
      <c r="L50" s="641">
        <v>0</v>
      </c>
      <c r="M50" s="641">
        <v>0</v>
      </c>
      <c r="N50" s="641">
        <v>0</v>
      </c>
      <c r="O50" s="641">
        <v>0</v>
      </c>
      <c r="P50" s="642">
        <v>-22.391147784534837</v>
      </c>
      <c r="Q50" s="641">
        <v>0</v>
      </c>
      <c r="R50" s="641">
        <v>0</v>
      </c>
      <c r="S50" s="643">
        <v>-22.391147784534837</v>
      </c>
      <c r="U50" s="639" t="s">
        <v>61</v>
      </c>
      <c r="V50" s="640">
        <v>0</v>
      </c>
      <c r="W50" s="641">
        <v>0</v>
      </c>
      <c r="X50" s="641">
        <v>-19.691193817618341</v>
      </c>
      <c r="Y50" s="640">
        <v>0</v>
      </c>
      <c r="Z50" s="641">
        <v>0</v>
      </c>
      <c r="AA50" s="641">
        <v>0</v>
      </c>
      <c r="AB50" s="641">
        <v>0</v>
      </c>
      <c r="AC50" s="641">
        <v>0</v>
      </c>
      <c r="AD50" s="641">
        <v>0</v>
      </c>
      <c r="AE50" s="641">
        <v>0</v>
      </c>
      <c r="AF50" s="641">
        <v>0</v>
      </c>
      <c r="AG50" s="641">
        <v>0</v>
      </c>
      <c r="AH50" s="642">
        <v>-17.389600315785174</v>
      </c>
      <c r="AI50" s="641">
        <v>0</v>
      </c>
      <c r="AJ50" s="641">
        <v>0</v>
      </c>
      <c r="AK50" s="643">
        <v>-37.080794133403515</v>
      </c>
    </row>
    <row r="51" spans="3:37" x14ac:dyDescent="0.2">
      <c r="C51" s="639" t="s">
        <v>62</v>
      </c>
      <c r="D51" s="640">
        <v>0</v>
      </c>
      <c r="E51" s="641">
        <v>0</v>
      </c>
      <c r="F51" s="641">
        <v>-15.496739011683466</v>
      </c>
      <c r="G51" s="640">
        <v>0</v>
      </c>
      <c r="H51" s="641">
        <v>0</v>
      </c>
      <c r="I51" s="641">
        <v>0</v>
      </c>
      <c r="J51" s="641">
        <v>0</v>
      </c>
      <c r="K51" s="641">
        <v>0</v>
      </c>
      <c r="L51" s="641">
        <v>0</v>
      </c>
      <c r="M51" s="641">
        <v>0</v>
      </c>
      <c r="N51" s="641">
        <v>0</v>
      </c>
      <c r="O51" s="641">
        <v>0</v>
      </c>
      <c r="P51" s="642">
        <v>0</v>
      </c>
      <c r="Q51" s="641">
        <v>0</v>
      </c>
      <c r="R51" s="641">
        <v>0</v>
      </c>
      <c r="S51" s="643">
        <v>-15.496739011683466</v>
      </c>
      <c r="U51" s="639" t="s">
        <v>62</v>
      </c>
      <c r="V51" s="640">
        <v>0</v>
      </c>
      <c r="W51" s="641">
        <v>0</v>
      </c>
      <c r="X51" s="641">
        <v>-8.5387827474702789</v>
      </c>
      <c r="Y51" s="640">
        <v>-2.2272473327152178</v>
      </c>
      <c r="Z51" s="641">
        <v>0</v>
      </c>
      <c r="AA51" s="641">
        <v>0</v>
      </c>
      <c r="AB51" s="641">
        <v>0</v>
      </c>
      <c r="AC51" s="641">
        <v>0</v>
      </c>
      <c r="AD51" s="641">
        <v>0</v>
      </c>
      <c r="AE51" s="641">
        <v>-1.7037211969591732</v>
      </c>
      <c r="AF51" s="641">
        <v>0</v>
      </c>
      <c r="AG51" s="641">
        <v>0</v>
      </c>
      <c r="AH51" s="642">
        <v>0</v>
      </c>
      <c r="AI51" s="641">
        <v>0</v>
      </c>
      <c r="AJ51" s="641">
        <v>0</v>
      </c>
      <c r="AK51" s="643">
        <v>-12.46975127714467</v>
      </c>
    </row>
    <row r="52" spans="3:37" x14ac:dyDescent="0.2">
      <c r="C52" s="639" t="s">
        <v>63</v>
      </c>
      <c r="D52" s="640">
        <v>0</v>
      </c>
      <c r="E52" s="641">
        <v>0</v>
      </c>
      <c r="F52" s="641">
        <v>-89.42656352071144</v>
      </c>
      <c r="G52" s="640">
        <v>0</v>
      </c>
      <c r="H52" s="641">
        <v>0</v>
      </c>
      <c r="I52" s="641">
        <v>0</v>
      </c>
      <c r="J52" s="641">
        <v>0</v>
      </c>
      <c r="K52" s="641">
        <v>0</v>
      </c>
      <c r="L52" s="641">
        <v>-0.92190198395554845</v>
      </c>
      <c r="M52" s="641">
        <v>0</v>
      </c>
      <c r="N52" s="641">
        <v>0</v>
      </c>
      <c r="O52" s="641">
        <v>0</v>
      </c>
      <c r="P52" s="642">
        <v>0</v>
      </c>
      <c r="Q52" s="641">
        <v>0</v>
      </c>
      <c r="R52" s="641">
        <v>0</v>
      </c>
      <c r="S52" s="643">
        <v>-90.34846550466699</v>
      </c>
      <c r="U52" s="639" t="s">
        <v>63</v>
      </c>
      <c r="V52" s="640">
        <v>0</v>
      </c>
      <c r="W52" s="641">
        <v>0</v>
      </c>
      <c r="X52" s="641">
        <v>-55.486888716289528</v>
      </c>
      <c r="Y52" s="640">
        <v>0</v>
      </c>
      <c r="Z52" s="641">
        <v>0</v>
      </c>
      <c r="AA52" s="641">
        <v>0</v>
      </c>
      <c r="AB52" s="641">
        <v>0</v>
      </c>
      <c r="AC52" s="641">
        <v>0</v>
      </c>
      <c r="AD52" s="641">
        <v>-26.575233608452013</v>
      </c>
      <c r="AE52" s="641">
        <v>0</v>
      </c>
      <c r="AF52" s="641">
        <v>0</v>
      </c>
      <c r="AG52" s="641">
        <v>0</v>
      </c>
      <c r="AH52" s="642">
        <v>0</v>
      </c>
      <c r="AI52" s="641">
        <v>0</v>
      </c>
      <c r="AJ52" s="641">
        <v>0</v>
      </c>
      <c r="AK52" s="643">
        <v>-82.062122324741537</v>
      </c>
    </row>
    <row r="53" spans="3:37" x14ac:dyDescent="0.2">
      <c r="C53" s="639" t="s">
        <v>64</v>
      </c>
      <c r="D53" s="640">
        <v>0</v>
      </c>
      <c r="E53" s="641">
        <v>0</v>
      </c>
      <c r="F53" s="641">
        <v>0</v>
      </c>
      <c r="G53" s="640">
        <v>0</v>
      </c>
      <c r="H53" s="641">
        <v>0</v>
      </c>
      <c r="I53" s="641">
        <v>0</v>
      </c>
      <c r="J53" s="641">
        <v>0</v>
      </c>
      <c r="K53" s="641">
        <v>0</v>
      </c>
      <c r="L53" s="641">
        <v>0</v>
      </c>
      <c r="M53" s="641">
        <v>0</v>
      </c>
      <c r="N53" s="641">
        <v>0</v>
      </c>
      <c r="O53" s="641">
        <v>0</v>
      </c>
      <c r="P53" s="642">
        <v>0</v>
      </c>
      <c r="Q53" s="641">
        <v>0</v>
      </c>
      <c r="R53" s="641">
        <v>0</v>
      </c>
      <c r="S53" s="643">
        <v>0</v>
      </c>
      <c r="U53" s="639" t="s">
        <v>64</v>
      </c>
      <c r="V53" s="640">
        <v>0</v>
      </c>
      <c r="W53" s="641">
        <v>0</v>
      </c>
      <c r="X53" s="641">
        <v>0</v>
      </c>
      <c r="Y53" s="640">
        <v>0</v>
      </c>
      <c r="Z53" s="641">
        <v>0</v>
      </c>
      <c r="AA53" s="641">
        <v>0</v>
      </c>
      <c r="AB53" s="641">
        <v>0</v>
      </c>
      <c r="AC53" s="641">
        <v>0</v>
      </c>
      <c r="AD53" s="641">
        <v>0</v>
      </c>
      <c r="AE53" s="641">
        <v>0</v>
      </c>
      <c r="AF53" s="641">
        <v>0</v>
      </c>
      <c r="AG53" s="641">
        <v>0</v>
      </c>
      <c r="AH53" s="642">
        <v>0</v>
      </c>
      <c r="AI53" s="641">
        <v>0</v>
      </c>
      <c r="AJ53" s="641">
        <v>0</v>
      </c>
      <c r="AK53" s="643">
        <v>0</v>
      </c>
    </row>
    <row r="54" spans="3:37" x14ac:dyDescent="0.2">
      <c r="C54" s="644" t="s">
        <v>65</v>
      </c>
      <c r="D54" s="645">
        <v>47.523331421865407</v>
      </c>
      <c r="E54" s="645">
        <v>492.37419513671523</v>
      </c>
      <c r="F54" s="645">
        <v>-47.570976452143519</v>
      </c>
      <c r="G54" s="645">
        <v>328.8885225556333</v>
      </c>
      <c r="H54" s="645">
        <v>889.54545454545473</v>
      </c>
      <c r="I54" s="645">
        <v>290.38619522472999</v>
      </c>
      <c r="J54" s="645">
        <v>193.07216990727574</v>
      </c>
      <c r="K54" s="645">
        <v>20.519346122490408</v>
      </c>
      <c r="L54" s="645">
        <v>2.247505888118404</v>
      </c>
      <c r="M54" s="645">
        <v>0.15914693380563083</v>
      </c>
      <c r="N54" s="645">
        <v>65.898689554178929</v>
      </c>
      <c r="O54" s="645">
        <v>11.930124482632028</v>
      </c>
      <c r="P54" s="645">
        <v>-22.391147784534837</v>
      </c>
      <c r="Q54" s="645">
        <v>0</v>
      </c>
      <c r="R54" s="645">
        <v>0</v>
      </c>
      <c r="S54" s="645">
        <v>2272.5825575362214</v>
      </c>
      <c r="U54" s="644" t="s">
        <v>65</v>
      </c>
      <c r="V54" s="645">
        <v>6.5260336126681251</v>
      </c>
      <c r="W54" s="645">
        <v>220.47790015098695</v>
      </c>
      <c r="X54" s="645">
        <v>-69.203009096012792</v>
      </c>
      <c r="Y54" s="645">
        <v>99.907420185209077</v>
      </c>
      <c r="Z54" s="645">
        <v>873.030303030303</v>
      </c>
      <c r="AA54" s="645">
        <v>337.06619522473</v>
      </c>
      <c r="AB54" s="645">
        <v>210.96242530283007</v>
      </c>
      <c r="AC54" s="645">
        <v>37.137182251794961</v>
      </c>
      <c r="AD54" s="645">
        <v>-23.405825736378059</v>
      </c>
      <c r="AE54" s="645">
        <v>-1.5445742631535424</v>
      </c>
      <c r="AF54" s="645">
        <v>103.02458403584798</v>
      </c>
      <c r="AG54" s="645">
        <v>25.833176078824131</v>
      </c>
      <c r="AH54" s="645">
        <v>-17.389600315785174</v>
      </c>
      <c r="AI54" s="645">
        <v>0</v>
      </c>
      <c r="AJ54" s="645">
        <v>0</v>
      </c>
      <c r="AK54" s="645">
        <v>1802.4222104618648</v>
      </c>
    </row>
    <row r="55" spans="3:37" x14ac:dyDescent="0.2">
      <c r="C55" s="634"/>
      <c r="D55" s="634">
        <v>0</v>
      </c>
      <c r="E55" s="634">
        <v>0</v>
      </c>
      <c r="F55" s="634">
        <v>0</v>
      </c>
      <c r="G55" s="634">
        <v>0</v>
      </c>
      <c r="H55" s="634">
        <v>0</v>
      </c>
      <c r="I55" s="634">
        <v>0</v>
      </c>
      <c r="J55" s="634">
        <v>0</v>
      </c>
      <c r="K55" s="634">
        <v>0</v>
      </c>
      <c r="L55" s="634">
        <v>0</v>
      </c>
      <c r="M55" s="634">
        <v>0</v>
      </c>
      <c r="N55" s="634">
        <v>0</v>
      </c>
      <c r="O55" s="634">
        <v>0</v>
      </c>
      <c r="P55" s="634">
        <v>0</v>
      </c>
      <c r="Q55" s="634">
        <v>0</v>
      </c>
      <c r="R55" s="634">
        <v>0</v>
      </c>
      <c r="S55" s="634">
        <v>0</v>
      </c>
      <c r="U55" s="634"/>
      <c r="V55" s="634">
        <v>0</v>
      </c>
      <c r="W55" s="634">
        <v>0</v>
      </c>
      <c r="X55" s="634">
        <v>0</v>
      </c>
      <c r="Y55" s="634">
        <v>0</v>
      </c>
      <c r="Z55" s="634">
        <v>0</v>
      </c>
      <c r="AA55" s="634">
        <v>0</v>
      </c>
      <c r="AB55" s="634">
        <v>0</v>
      </c>
      <c r="AC55" s="634">
        <v>0</v>
      </c>
      <c r="AD55" s="634">
        <v>0</v>
      </c>
      <c r="AE55" s="634">
        <v>0</v>
      </c>
      <c r="AF55" s="634">
        <v>0</v>
      </c>
      <c r="AG55" s="634">
        <v>0</v>
      </c>
      <c r="AH55" s="634">
        <v>0</v>
      </c>
      <c r="AI55" s="634">
        <v>0</v>
      </c>
      <c r="AJ55" s="634">
        <v>0</v>
      </c>
      <c r="AK55" s="634">
        <v>0</v>
      </c>
    </row>
    <row r="56" spans="3:37" x14ac:dyDescent="0.2">
      <c r="C56" s="646" t="s">
        <v>67</v>
      </c>
      <c r="D56" s="640">
        <v>0</v>
      </c>
      <c r="E56" s="647">
        <v>0</v>
      </c>
      <c r="F56" s="647">
        <v>0</v>
      </c>
      <c r="G56" s="640">
        <v>0</v>
      </c>
      <c r="H56" s="640">
        <v>0</v>
      </c>
      <c r="I56" s="640">
        <v>0</v>
      </c>
      <c r="J56" s="640">
        <v>0</v>
      </c>
      <c r="K56" s="640">
        <v>0</v>
      </c>
      <c r="L56" s="640">
        <v>0</v>
      </c>
      <c r="M56" s="640">
        <v>0</v>
      </c>
      <c r="N56" s="640">
        <v>0</v>
      </c>
      <c r="O56" s="640">
        <v>0</v>
      </c>
      <c r="P56" s="640">
        <v>0</v>
      </c>
      <c r="Q56" s="640">
        <v>0</v>
      </c>
      <c r="R56" s="640">
        <v>0</v>
      </c>
      <c r="S56" s="648">
        <v>0</v>
      </c>
      <c r="U56" s="646" t="s">
        <v>67</v>
      </c>
      <c r="V56" s="640">
        <v>0</v>
      </c>
      <c r="W56" s="647">
        <v>0</v>
      </c>
      <c r="X56" s="647">
        <v>0</v>
      </c>
      <c r="Y56" s="640">
        <v>0</v>
      </c>
      <c r="Z56" s="640">
        <v>0</v>
      </c>
      <c r="AA56" s="640">
        <v>0</v>
      </c>
      <c r="AB56" s="640">
        <v>0</v>
      </c>
      <c r="AC56" s="640">
        <v>0</v>
      </c>
      <c r="AD56" s="640">
        <v>0</v>
      </c>
      <c r="AE56" s="640">
        <v>0</v>
      </c>
      <c r="AF56" s="640">
        <v>0</v>
      </c>
      <c r="AG56" s="640">
        <v>0</v>
      </c>
      <c r="AH56" s="640">
        <v>0</v>
      </c>
      <c r="AI56" s="640">
        <v>0</v>
      </c>
      <c r="AJ56" s="640">
        <v>0</v>
      </c>
      <c r="AK56" s="648">
        <v>0</v>
      </c>
    </row>
    <row r="57" spans="3:37" x14ac:dyDescent="0.2">
      <c r="C57" s="646" t="s">
        <v>347</v>
      </c>
      <c r="D57" s="640">
        <v>2.8267856410252494</v>
      </c>
      <c r="E57" s="640">
        <v>0</v>
      </c>
      <c r="F57" s="640">
        <v>7.7625293209280457</v>
      </c>
      <c r="G57" s="640">
        <v>16.824034334763951</v>
      </c>
      <c r="H57" s="640">
        <v>889.54545454545473</v>
      </c>
      <c r="I57" s="640">
        <v>290.38619522472999</v>
      </c>
      <c r="J57" s="649">
        <v>29.234857813431841</v>
      </c>
      <c r="K57" s="649">
        <v>6.7467623730381456</v>
      </c>
      <c r="L57" s="649">
        <v>3.1694078720739522</v>
      </c>
      <c r="M57" s="649">
        <v>0.46915285357606595</v>
      </c>
      <c r="N57" s="649">
        <v>0</v>
      </c>
      <c r="O57" s="649">
        <v>6.9727309871777221</v>
      </c>
      <c r="P57" s="640">
        <v>-615.41357369902562</v>
      </c>
      <c r="Q57" s="640">
        <v>0</v>
      </c>
      <c r="R57" s="640">
        <v>0</v>
      </c>
      <c r="S57" s="648">
        <v>638.52433726717402</v>
      </c>
      <c r="U57" s="646" t="s">
        <v>347</v>
      </c>
      <c r="V57" s="640">
        <v>0.62631490545869017</v>
      </c>
      <c r="W57" s="640">
        <v>0</v>
      </c>
      <c r="X57" s="640">
        <v>3.8988929572916824</v>
      </c>
      <c r="Y57" s="640">
        <v>3.6741630901287547</v>
      </c>
      <c r="Z57" s="640">
        <v>873.030303030303</v>
      </c>
      <c r="AA57" s="640">
        <v>337.06619522473</v>
      </c>
      <c r="AB57" s="649">
        <v>23.429523439383615</v>
      </c>
      <c r="AC57" s="649">
        <v>5.4991881500691626</v>
      </c>
      <c r="AD57" s="649">
        <v>3.1694078720739522</v>
      </c>
      <c r="AE57" s="649">
        <v>2.7864060724601858</v>
      </c>
      <c r="AF57" s="649">
        <v>0</v>
      </c>
      <c r="AG57" s="649">
        <v>6.9727309871777221</v>
      </c>
      <c r="AH57" s="640">
        <v>-649.11357369902544</v>
      </c>
      <c r="AI57" s="640">
        <v>0</v>
      </c>
      <c r="AJ57" s="640">
        <v>4.45</v>
      </c>
      <c r="AK57" s="648">
        <v>615.48955203005141</v>
      </c>
    </row>
    <row r="58" spans="3:37" x14ac:dyDescent="0.2">
      <c r="C58" s="646" t="s">
        <v>348</v>
      </c>
      <c r="D58" s="640">
        <v>0</v>
      </c>
      <c r="E58" s="640">
        <v>0</v>
      </c>
      <c r="F58" s="640">
        <v>0</v>
      </c>
      <c r="G58" s="640">
        <v>14.896462034387394</v>
      </c>
      <c r="H58" s="640">
        <v>0</v>
      </c>
      <c r="I58" s="640">
        <v>0</v>
      </c>
      <c r="J58" s="649">
        <v>12.461036592610267</v>
      </c>
      <c r="K58" s="649">
        <v>11.927183871567582</v>
      </c>
      <c r="L58" s="649">
        <v>0</v>
      </c>
      <c r="M58" s="649">
        <v>0.3188738120209938</v>
      </c>
      <c r="N58" s="649">
        <v>0</v>
      </c>
      <c r="O58" s="649">
        <v>2.1085025260592274</v>
      </c>
      <c r="P58" s="640">
        <v>0</v>
      </c>
      <c r="Q58" s="640">
        <v>-37.934258390495422</v>
      </c>
      <c r="R58" s="640">
        <v>0</v>
      </c>
      <c r="S58" s="648">
        <v>3.7778004461500441</v>
      </c>
      <c r="U58" s="646" t="s">
        <v>348</v>
      </c>
      <c r="V58" s="640">
        <v>0</v>
      </c>
      <c r="W58" s="640">
        <v>0</v>
      </c>
      <c r="X58" s="640">
        <v>0</v>
      </c>
      <c r="Y58" s="640">
        <v>8.218662070491261</v>
      </c>
      <c r="Z58" s="640">
        <v>0</v>
      </c>
      <c r="AA58" s="640">
        <v>0</v>
      </c>
      <c r="AB58" s="649">
        <v>28.560818034272483</v>
      </c>
      <c r="AC58" s="649">
        <v>26.163217208510932</v>
      </c>
      <c r="AD58" s="649">
        <v>0</v>
      </c>
      <c r="AE58" s="649">
        <v>5.9663093303449024</v>
      </c>
      <c r="AF58" s="649">
        <v>0</v>
      </c>
      <c r="AG58" s="649">
        <v>11.832895483778962</v>
      </c>
      <c r="AH58" s="640">
        <v>0</v>
      </c>
      <c r="AI58" s="640">
        <v>-74.578675527513624</v>
      </c>
      <c r="AJ58" s="640">
        <v>0</v>
      </c>
      <c r="AK58" s="648">
        <v>6.1632265998849274</v>
      </c>
    </row>
    <row r="59" spans="3:37" x14ac:dyDescent="0.2">
      <c r="C59" s="646" t="s">
        <v>349</v>
      </c>
      <c r="D59" s="640">
        <v>0</v>
      </c>
      <c r="E59" s="640">
        <v>0</v>
      </c>
      <c r="F59" s="640">
        <v>0</v>
      </c>
      <c r="G59" s="640">
        <v>0</v>
      </c>
      <c r="H59" s="640">
        <v>0</v>
      </c>
      <c r="I59" s="640">
        <v>0</v>
      </c>
      <c r="J59" s="650">
        <v>6.9979956174374891</v>
      </c>
      <c r="K59" s="650">
        <v>0</v>
      </c>
      <c r="L59" s="650">
        <v>0</v>
      </c>
      <c r="M59" s="650">
        <v>-6.4748954450340372</v>
      </c>
      <c r="N59" s="650">
        <v>0</v>
      </c>
      <c r="O59" s="650">
        <v>0</v>
      </c>
      <c r="P59" s="640">
        <v>0</v>
      </c>
      <c r="Q59" s="640">
        <v>0</v>
      </c>
      <c r="R59" s="640">
        <v>0</v>
      </c>
      <c r="S59" s="648">
        <v>0.52310017240345186</v>
      </c>
      <c r="U59" s="646" t="s">
        <v>349</v>
      </c>
      <c r="V59" s="640">
        <v>0</v>
      </c>
      <c r="W59" s="640">
        <v>0</v>
      </c>
      <c r="X59" s="640">
        <v>0</v>
      </c>
      <c r="Y59" s="640">
        <v>0</v>
      </c>
      <c r="Z59" s="640">
        <v>0</v>
      </c>
      <c r="AA59" s="640">
        <v>0</v>
      </c>
      <c r="AB59" s="650">
        <v>79.198989478899776</v>
      </c>
      <c r="AC59" s="650">
        <v>0</v>
      </c>
      <c r="AD59" s="650">
        <v>0</v>
      </c>
      <c r="AE59" s="650">
        <v>-73.278865015352025</v>
      </c>
      <c r="AF59" s="650">
        <v>0</v>
      </c>
      <c r="AG59" s="650">
        <v>0</v>
      </c>
      <c r="AH59" s="640">
        <v>0</v>
      </c>
      <c r="AI59" s="640">
        <v>0</v>
      </c>
      <c r="AJ59" s="640">
        <v>0</v>
      </c>
      <c r="AK59" s="648">
        <v>5.9201244635477508</v>
      </c>
    </row>
    <row r="60" spans="3:37" x14ac:dyDescent="0.2">
      <c r="C60" s="646" t="s">
        <v>350</v>
      </c>
      <c r="D60" s="640">
        <v>0</v>
      </c>
      <c r="E60" s="640">
        <v>0</v>
      </c>
      <c r="F60" s="640">
        <v>0</v>
      </c>
      <c r="G60" s="640">
        <v>0</v>
      </c>
      <c r="H60" s="640">
        <v>0</v>
      </c>
      <c r="I60" s="640">
        <v>0</v>
      </c>
      <c r="J60" s="640">
        <v>0</v>
      </c>
      <c r="K60" s="640">
        <v>0</v>
      </c>
      <c r="L60" s="640">
        <v>0</v>
      </c>
      <c r="M60" s="640">
        <v>0</v>
      </c>
      <c r="N60" s="640">
        <v>0</v>
      </c>
      <c r="O60" s="640">
        <v>0</v>
      </c>
      <c r="P60" s="640">
        <v>0</v>
      </c>
      <c r="Q60" s="640">
        <v>0</v>
      </c>
      <c r="R60" s="640">
        <v>0</v>
      </c>
      <c r="S60" s="648">
        <v>0</v>
      </c>
      <c r="U60" s="646" t="s">
        <v>350</v>
      </c>
      <c r="V60" s="640">
        <v>0</v>
      </c>
      <c r="W60" s="640">
        <v>0</v>
      </c>
      <c r="X60" s="640">
        <v>0</v>
      </c>
      <c r="Y60" s="640">
        <v>0</v>
      </c>
      <c r="Z60" s="640">
        <v>0</v>
      </c>
      <c r="AA60" s="640">
        <v>0</v>
      </c>
      <c r="AB60" s="640">
        <v>0</v>
      </c>
      <c r="AC60" s="640">
        <v>0</v>
      </c>
      <c r="AD60" s="640">
        <v>0</v>
      </c>
      <c r="AE60" s="640">
        <v>0</v>
      </c>
      <c r="AF60" s="640">
        <v>0</v>
      </c>
      <c r="AG60" s="640">
        <v>0</v>
      </c>
      <c r="AH60" s="640">
        <v>0</v>
      </c>
      <c r="AI60" s="640">
        <v>0</v>
      </c>
      <c r="AJ60" s="640">
        <v>0</v>
      </c>
      <c r="AK60" s="648">
        <v>0</v>
      </c>
    </row>
    <row r="61" spans="3:37" x14ac:dyDescent="0.2">
      <c r="C61" s="646" t="s">
        <v>72</v>
      </c>
      <c r="D61" s="640">
        <v>0</v>
      </c>
      <c r="E61" s="640">
        <v>510.04733530503466</v>
      </c>
      <c r="F61" s="640">
        <v>-504.94686195198432</v>
      </c>
      <c r="G61" s="640">
        <v>0</v>
      </c>
      <c r="H61" s="640">
        <v>0</v>
      </c>
      <c r="I61" s="640">
        <v>0</v>
      </c>
      <c r="J61" s="640">
        <v>0</v>
      </c>
      <c r="K61" s="640">
        <v>0</v>
      </c>
      <c r="L61" s="640">
        <v>0</v>
      </c>
      <c r="M61" s="640">
        <v>0</v>
      </c>
      <c r="N61" s="640">
        <v>0</v>
      </c>
      <c r="O61" s="640">
        <v>0</v>
      </c>
      <c r="P61" s="640">
        <v>0</v>
      </c>
      <c r="Q61" s="640">
        <v>0</v>
      </c>
      <c r="R61" s="640">
        <v>0</v>
      </c>
      <c r="S61" s="648">
        <v>5.1004733530503472</v>
      </c>
      <c r="U61" s="646" t="s">
        <v>72</v>
      </c>
      <c r="V61" s="640">
        <v>0</v>
      </c>
      <c r="W61" s="640">
        <v>228.3916715709193</v>
      </c>
      <c r="X61" s="640">
        <v>-226.10775485521012</v>
      </c>
      <c r="Y61" s="640">
        <v>0</v>
      </c>
      <c r="Z61" s="640">
        <v>0</v>
      </c>
      <c r="AA61" s="640">
        <v>0</v>
      </c>
      <c r="AB61" s="640">
        <v>0</v>
      </c>
      <c r="AC61" s="640">
        <v>0</v>
      </c>
      <c r="AD61" s="640">
        <v>0</v>
      </c>
      <c r="AE61" s="640">
        <v>0</v>
      </c>
      <c r="AF61" s="640">
        <v>0</v>
      </c>
      <c r="AG61" s="640">
        <v>0</v>
      </c>
      <c r="AH61" s="640">
        <v>0</v>
      </c>
      <c r="AI61" s="640">
        <v>0</v>
      </c>
      <c r="AJ61" s="640">
        <v>0</v>
      </c>
      <c r="AK61" s="648">
        <v>2.2839167157091822</v>
      </c>
    </row>
    <row r="62" spans="3:37" x14ac:dyDescent="0.2">
      <c r="C62" s="646" t="s">
        <v>351</v>
      </c>
      <c r="D62" s="640">
        <v>0</v>
      </c>
      <c r="E62" s="640">
        <v>0</v>
      </c>
      <c r="F62" s="640">
        <v>0</v>
      </c>
      <c r="G62" s="640">
        <v>0</v>
      </c>
      <c r="H62" s="640">
        <v>0</v>
      </c>
      <c r="I62" s="640">
        <v>0</v>
      </c>
      <c r="J62" s="640">
        <v>27.710201800923624</v>
      </c>
      <c r="K62" s="640">
        <v>0</v>
      </c>
      <c r="L62" s="640">
        <v>-27.710201800923624</v>
      </c>
      <c r="M62" s="640">
        <v>0</v>
      </c>
      <c r="N62" s="640">
        <v>0</v>
      </c>
      <c r="O62" s="640">
        <v>0</v>
      </c>
      <c r="P62" s="640">
        <v>0</v>
      </c>
      <c r="Q62" s="640">
        <v>0</v>
      </c>
      <c r="R62" s="640">
        <v>0</v>
      </c>
      <c r="S62" s="648">
        <v>0</v>
      </c>
      <c r="U62" s="646" t="s">
        <v>351</v>
      </c>
      <c r="V62" s="640">
        <v>0</v>
      </c>
      <c r="W62" s="640">
        <v>0</v>
      </c>
      <c r="X62" s="640">
        <v>0</v>
      </c>
      <c r="Y62" s="640">
        <v>0</v>
      </c>
      <c r="Z62" s="640">
        <v>0</v>
      </c>
      <c r="AA62" s="640">
        <v>0</v>
      </c>
      <c r="AB62" s="640" t="e">
        <v>#VALUE!</v>
      </c>
      <c r="AC62" s="640">
        <v>0</v>
      </c>
      <c r="AD62" s="640">
        <v>-101.17003146857277</v>
      </c>
      <c r="AE62" s="640">
        <v>0</v>
      </c>
      <c r="AF62" s="640">
        <v>0</v>
      </c>
      <c r="AG62" s="640">
        <v>0</v>
      </c>
      <c r="AH62" s="640">
        <v>0</v>
      </c>
      <c r="AI62" s="640">
        <v>0</v>
      </c>
      <c r="AJ62" s="640">
        <v>0</v>
      </c>
      <c r="AK62" s="648">
        <v>-101.17003146857277</v>
      </c>
    </row>
    <row r="63" spans="3:37" x14ac:dyDescent="0.2">
      <c r="C63" s="646" t="s">
        <v>352</v>
      </c>
      <c r="D63" s="640">
        <v>0</v>
      </c>
      <c r="E63" s="640">
        <v>0</v>
      </c>
      <c r="F63" s="640">
        <v>0</v>
      </c>
      <c r="G63" s="640">
        <v>0</v>
      </c>
      <c r="H63" s="640">
        <v>0</v>
      </c>
      <c r="I63" s="640">
        <v>0</v>
      </c>
      <c r="J63" s="640">
        <v>0</v>
      </c>
      <c r="K63" s="640">
        <v>0</v>
      </c>
      <c r="L63" s="640">
        <v>0</v>
      </c>
      <c r="M63" s="640">
        <v>0</v>
      </c>
      <c r="N63" s="640">
        <v>0</v>
      </c>
      <c r="O63" s="640">
        <v>0</v>
      </c>
      <c r="P63" s="640">
        <v>0</v>
      </c>
      <c r="Q63" s="640">
        <v>0</v>
      </c>
      <c r="R63" s="640">
        <v>0</v>
      </c>
      <c r="S63" s="648">
        <v>0</v>
      </c>
      <c r="U63" s="646" t="s">
        <v>352</v>
      </c>
      <c r="V63" s="640">
        <v>0</v>
      </c>
      <c r="W63" s="640">
        <v>0</v>
      </c>
      <c r="X63" s="640">
        <v>0</v>
      </c>
      <c r="Y63" s="640">
        <v>0</v>
      </c>
      <c r="Z63" s="640">
        <v>0</v>
      </c>
      <c r="AA63" s="640">
        <v>0</v>
      </c>
      <c r="AB63" s="640">
        <v>0</v>
      </c>
      <c r="AC63" s="640">
        <v>0</v>
      </c>
      <c r="AD63" s="640">
        <v>-18.691082885283098</v>
      </c>
      <c r="AE63" s="640">
        <v>0</v>
      </c>
      <c r="AF63" s="640">
        <v>0</v>
      </c>
      <c r="AG63" s="640">
        <v>0</v>
      </c>
      <c r="AH63" s="640">
        <v>0</v>
      </c>
      <c r="AI63" s="640">
        <v>0</v>
      </c>
      <c r="AJ63" s="640">
        <v>0</v>
      </c>
      <c r="AK63" s="648">
        <v>-18.691082885283098</v>
      </c>
    </row>
    <row r="64" spans="3:37" x14ac:dyDescent="0.2">
      <c r="C64" s="646" t="s">
        <v>73</v>
      </c>
      <c r="D64" s="640">
        <v>0</v>
      </c>
      <c r="E64" s="640">
        <v>0</v>
      </c>
      <c r="F64" s="640">
        <v>0</v>
      </c>
      <c r="G64" s="640">
        <v>6.2864428714474423</v>
      </c>
      <c r="H64" s="640">
        <v>0</v>
      </c>
      <c r="I64" s="640">
        <v>0</v>
      </c>
      <c r="J64" s="640">
        <v>0</v>
      </c>
      <c r="K64" s="640">
        <v>7.2564905248031233E-2</v>
      </c>
      <c r="L64" s="640">
        <v>0</v>
      </c>
      <c r="M64" s="640">
        <v>0.12829475247851924</v>
      </c>
      <c r="N64" s="640">
        <v>0</v>
      </c>
      <c r="O64" s="640">
        <v>0</v>
      </c>
      <c r="P64" s="640">
        <v>0.77416476914506349</v>
      </c>
      <c r="Q64" s="640">
        <v>0</v>
      </c>
      <c r="R64" s="640">
        <v>-5.0795433673621861</v>
      </c>
      <c r="S64" s="648">
        <v>2.1819239309568701</v>
      </c>
      <c r="U64" s="646" t="s">
        <v>73</v>
      </c>
      <c r="V64" s="640">
        <v>0</v>
      </c>
      <c r="W64" s="640">
        <v>0</v>
      </c>
      <c r="X64" s="640">
        <v>0</v>
      </c>
      <c r="Y64" s="640">
        <v>3.7837340239051791</v>
      </c>
      <c r="Z64" s="640">
        <v>0</v>
      </c>
      <c r="AA64" s="640">
        <v>0</v>
      </c>
      <c r="AB64" s="640">
        <v>0</v>
      </c>
      <c r="AC64" s="640">
        <v>0.46597709654004676</v>
      </c>
      <c r="AD64" s="640">
        <v>0</v>
      </c>
      <c r="AE64" s="640">
        <v>2.7399453276554748</v>
      </c>
      <c r="AF64" s="640">
        <v>0</v>
      </c>
      <c r="AG64" s="640">
        <v>0</v>
      </c>
      <c r="AH64" s="640">
        <v>39.864323859285086</v>
      </c>
      <c r="AI64" s="640">
        <v>0</v>
      </c>
      <c r="AJ64" s="640">
        <v>-32.618396757803268</v>
      </c>
      <c r="AK64" s="648">
        <v>14.235583549582522</v>
      </c>
    </row>
    <row r="65" spans="3:37" x14ac:dyDescent="0.2">
      <c r="C65" s="646" t="s">
        <v>353</v>
      </c>
      <c r="D65" s="640">
        <v>28.588592812499996</v>
      </c>
      <c r="E65" s="640">
        <v>-17.673140168319453</v>
      </c>
      <c r="F65" s="640">
        <v>23.11542347254851</v>
      </c>
      <c r="G65" s="640">
        <v>0</v>
      </c>
      <c r="H65" s="640">
        <v>0</v>
      </c>
      <c r="I65" s="640">
        <v>0</v>
      </c>
      <c r="J65" s="640">
        <v>0</v>
      </c>
      <c r="K65" s="640">
        <v>0</v>
      </c>
      <c r="L65" s="640">
        <v>0</v>
      </c>
      <c r="M65" s="640">
        <v>0</v>
      </c>
      <c r="N65" s="640">
        <v>0</v>
      </c>
      <c r="O65" s="640">
        <v>0</v>
      </c>
      <c r="P65" s="640">
        <v>0</v>
      </c>
      <c r="Q65" s="640">
        <v>0</v>
      </c>
      <c r="R65" s="640">
        <v>0</v>
      </c>
      <c r="S65" s="648">
        <v>34.030876116729054</v>
      </c>
      <c r="U65" s="646" t="s">
        <v>353</v>
      </c>
      <c r="V65" s="640">
        <v>1.7459712219238281</v>
      </c>
      <c r="W65" s="640">
        <v>-7.9137714199323552</v>
      </c>
      <c r="X65" s="640">
        <v>10.35074558875537</v>
      </c>
      <c r="Y65" s="640">
        <v>0</v>
      </c>
      <c r="Z65" s="640">
        <v>0</v>
      </c>
      <c r="AA65" s="640">
        <v>0</v>
      </c>
      <c r="AB65" s="640">
        <v>0</v>
      </c>
      <c r="AC65" s="640">
        <v>0</v>
      </c>
      <c r="AD65" s="640">
        <v>0</v>
      </c>
      <c r="AE65" s="640">
        <v>0</v>
      </c>
      <c r="AF65" s="640">
        <v>0</v>
      </c>
      <c r="AG65" s="640">
        <v>0</v>
      </c>
      <c r="AH65" s="640">
        <v>0</v>
      </c>
      <c r="AI65" s="640">
        <v>0</v>
      </c>
      <c r="AJ65" s="640">
        <v>0</v>
      </c>
      <c r="AK65" s="648">
        <v>4.182945390746843</v>
      </c>
    </row>
    <row r="66" spans="3:37" x14ac:dyDescent="0.2">
      <c r="C66" s="646" t="s">
        <v>75</v>
      </c>
      <c r="D66" s="640">
        <v>11.11778609375</v>
      </c>
      <c r="E66" s="640">
        <v>0</v>
      </c>
      <c r="F66" s="640">
        <v>17.34160940037118</v>
      </c>
      <c r="G66" s="640">
        <v>4.9484792471294465</v>
      </c>
      <c r="H66" s="640">
        <v>0</v>
      </c>
      <c r="I66" s="640">
        <v>0</v>
      </c>
      <c r="J66" s="640">
        <v>0</v>
      </c>
      <c r="K66" s="640">
        <v>0</v>
      </c>
      <c r="L66" s="640">
        <v>0</v>
      </c>
      <c r="M66" s="640">
        <v>0.10098937239039688</v>
      </c>
      <c r="N66" s="640">
        <v>0</v>
      </c>
      <c r="O66" s="640">
        <v>0</v>
      </c>
      <c r="P66" s="640">
        <v>29.08691491128284</v>
      </c>
      <c r="Q66" s="640">
        <v>0</v>
      </c>
      <c r="R66" s="640">
        <v>0</v>
      </c>
      <c r="S66" s="648">
        <v>62.595779024923864</v>
      </c>
      <c r="U66" s="646" t="s">
        <v>75</v>
      </c>
      <c r="V66" s="640">
        <v>2.938742431640625</v>
      </c>
      <c r="W66" s="640">
        <v>0</v>
      </c>
      <c r="X66" s="640">
        <v>17.34160940037118</v>
      </c>
      <c r="Y66" s="640">
        <v>2.9286917993215091</v>
      </c>
      <c r="Z66" s="640">
        <v>0</v>
      </c>
      <c r="AA66" s="640">
        <v>0</v>
      </c>
      <c r="AB66" s="640">
        <v>0</v>
      </c>
      <c r="AC66" s="640">
        <v>0</v>
      </c>
      <c r="AD66" s="640">
        <v>0</v>
      </c>
      <c r="AE66" s="640">
        <v>2.1207768201983344</v>
      </c>
      <c r="AF66" s="640">
        <v>0</v>
      </c>
      <c r="AG66" s="640">
        <v>0</v>
      </c>
      <c r="AH66" s="640">
        <v>36.505051274919204</v>
      </c>
      <c r="AI66" s="640">
        <v>0</v>
      </c>
      <c r="AJ66" s="640">
        <v>0</v>
      </c>
      <c r="AK66" s="648">
        <v>61.834871726450849</v>
      </c>
    </row>
    <row r="67" spans="3:37" x14ac:dyDescent="0.2">
      <c r="C67" s="646" t="s">
        <v>76</v>
      </c>
      <c r="D67" s="640">
        <v>0</v>
      </c>
      <c r="E67" s="640">
        <v>0</v>
      </c>
      <c r="F67" s="640">
        <v>0</v>
      </c>
      <c r="G67" s="640">
        <v>3.7620934008695794</v>
      </c>
      <c r="H67" s="640">
        <v>0</v>
      </c>
      <c r="I67" s="640">
        <v>0</v>
      </c>
      <c r="J67" s="640">
        <v>0</v>
      </c>
      <c r="K67" s="640">
        <v>0</v>
      </c>
      <c r="L67" s="640">
        <v>0</v>
      </c>
      <c r="M67" s="640">
        <v>7.6777416344277136E-2</v>
      </c>
      <c r="N67" s="640">
        <v>0</v>
      </c>
      <c r="O67" s="640">
        <v>0</v>
      </c>
      <c r="P67" s="640">
        <v>45.374638558517056</v>
      </c>
      <c r="Q67" s="640">
        <v>2.9442994019327013</v>
      </c>
      <c r="R67" s="640">
        <v>0</v>
      </c>
      <c r="S67" s="648">
        <v>52.157808777663611</v>
      </c>
      <c r="U67" s="646" t="s">
        <v>76</v>
      </c>
      <c r="V67" s="640">
        <v>0</v>
      </c>
      <c r="W67" s="640">
        <v>0</v>
      </c>
      <c r="X67" s="640">
        <v>0</v>
      </c>
      <c r="Y67" s="640">
        <v>1.1999362424874132</v>
      </c>
      <c r="Z67" s="640">
        <v>0</v>
      </c>
      <c r="AA67" s="640">
        <v>0</v>
      </c>
      <c r="AB67" s="640">
        <v>0</v>
      </c>
      <c r="AC67" s="640">
        <v>0</v>
      </c>
      <c r="AD67" s="640">
        <v>0</v>
      </c>
      <c r="AE67" s="640">
        <v>0.86891934800812698</v>
      </c>
      <c r="AF67" s="640">
        <v>0</v>
      </c>
      <c r="AG67" s="640">
        <v>0</v>
      </c>
      <c r="AH67" s="640">
        <v>48.340685132761017</v>
      </c>
      <c r="AI67" s="640">
        <v>5.7839036819230412</v>
      </c>
      <c r="AJ67" s="640">
        <v>0</v>
      </c>
      <c r="AK67" s="648">
        <v>56.193444405179591</v>
      </c>
    </row>
    <row r="68" spans="3:37" x14ac:dyDescent="0.2">
      <c r="C68" s="644" t="s">
        <v>77</v>
      </c>
      <c r="D68" s="645">
        <v>42.533164547275248</v>
      </c>
      <c r="E68" s="645">
        <v>492.37419513671523</v>
      </c>
      <c r="F68" s="645">
        <v>-456.72729975813655</v>
      </c>
      <c r="G68" s="645">
        <v>46.717511888597819</v>
      </c>
      <c r="H68" s="645">
        <v>889.54545454545473</v>
      </c>
      <c r="I68" s="645">
        <v>290.38619522472999</v>
      </c>
      <c r="J68" s="645">
        <v>76.404091824403224</v>
      </c>
      <c r="K68" s="645">
        <v>18.74651114985376</v>
      </c>
      <c r="L68" s="645">
        <v>-24.540793928849673</v>
      </c>
      <c r="M68" s="645">
        <v>-5.3808072382237846</v>
      </c>
      <c r="N68" s="645">
        <v>0</v>
      </c>
      <c r="O68" s="645">
        <v>9.0812335132369491</v>
      </c>
      <c r="P68" s="645">
        <v>-540.17785546008065</v>
      </c>
      <c r="Q68" s="645">
        <v>-34.989958988562719</v>
      </c>
      <c r="R68" s="645">
        <v>-5.0795433673621861</v>
      </c>
      <c r="S68" s="645">
        <v>798.89209908905127</v>
      </c>
      <c r="U68" s="644" t="s">
        <v>77</v>
      </c>
      <c r="V68" s="645">
        <v>5.3110285590231427</v>
      </c>
      <c r="W68" s="645">
        <v>220.47790015098695</v>
      </c>
      <c r="X68" s="645">
        <v>-194.51650690879191</v>
      </c>
      <c r="Y68" s="645">
        <v>19.805187226334116</v>
      </c>
      <c r="Z68" s="645">
        <v>873.030303030303</v>
      </c>
      <c r="AA68" s="645">
        <v>337.06619522473</v>
      </c>
      <c r="AB68" s="645">
        <v>131.18933095255588</v>
      </c>
      <c r="AC68" s="645">
        <v>32.128382455120146</v>
      </c>
      <c r="AD68" s="645">
        <v>-116.69170648178192</v>
      </c>
      <c r="AE68" s="645">
        <v>-58.796508116684997</v>
      </c>
      <c r="AF68" s="645">
        <v>0</v>
      </c>
      <c r="AG68" s="645">
        <v>18.805626470956682</v>
      </c>
      <c r="AH68" s="645">
        <v>-524.40351343206009</v>
      </c>
      <c r="AI68" s="645">
        <v>-68.794771845590574</v>
      </c>
      <c r="AJ68" s="645">
        <v>-28.168396757803269</v>
      </c>
      <c r="AK68" s="645">
        <v>646.44255052729716</v>
      </c>
    </row>
    <row r="69" spans="3:37" x14ac:dyDescent="0.2">
      <c r="C69" s="634"/>
      <c r="D69" s="634">
        <v>0</v>
      </c>
      <c r="E69" s="634">
        <v>0</v>
      </c>
      <c r="F69" s="634">
        <v>0</v>
      </c>
      <c r="G69" s="634">
        <v>0</v>
      </c>
      <c r="H69" s="634">
        <v>0</v>
      </c>
      <c r="I69" s="634">
        <v>0</v>
      </c>
      <c r="J69" s="634">
        <v>0</v>
      </c>
      <c r="K69" s="634">
        <v>0</v>
      </c>
      <c r="L69" s="634">
        <v>0</v>
      </c>
      <c r="M69" s="634">
        <v>0</v>
      </c>
      <c r="N69" s="634">
        <v>0</v>
      </c>
      <c r="O69" s="634">
        <v>0</v>
      </c>
      <c r="P69" s="634">
        <v>0</v>
      </c>
      <c r="Q69" s="634">
        <v>0</v>
      </c>
      <c r="R69" s="634">
        <v>0</v>
      </c>
      <c r="S69" s="634">
        <v>0</v>
      </c>
      <c r="U69" s="634"/>
      <c r="V69" s="634">
        <v>0</v>
      </c>
      <c r="W69" s="634">
        <v>0</v>
      </c>
      <c r="X69" s="634">
        <v>0</v>
      </c>
      <c r="Y69" s="634">
        <v>0</v>
      </c>
      <c r="Z69" s="634">
        <v>0</v>
      </c>
      <c r="AA69" s="634">
        <v>0</v>
      </c>
      <c r="AB69" s="634">
        <v>0</v>
      </c>
      <c r="AC69" s="634">
        <v>0</v>
      </c>
      <c r="AD69" s="634">
        <v>0</v>
      </c>
      <c r="AE69" s="634">
        <v>0</v>
      </c>
      <c r="AF69" s="634">
        <v>0</v>
      </c>
      <c r="AG69" s="634">
        <v>0</v>
      </c>
      <c r="AH69" s="634">
        <v>0</v>
      </c>
      <c r="AI69" s="634">
        <v>0</v>
      </c>
      <c r="AJ69" s="634">
        <v>0</v>
      </c>
      <c r="AK69" s="634">
        <v>0</v>
      </c>
    </row>
    <row r="70" spans="3:37" x14ac:dyDescent="0.2">
      <c r="C70" s="646" t="s">
        <v>78</v>
      </c>
      <c r="D70" s="640">
        <v>4.9901668745901624</v>
      </c>
      <c r="E70" s="640">
        <v>0</v>
      </c>
      <c r="F70" s="640">
        <v>21.091530324656198</v>
      </c>
      <c r="G70" s="640">
        <v>96.151700548391091</v>
      </c>
      <c r="H70" s="640">
        <v>0</v>
      </c>
      <c r="I70" s="640">
        <v>0</v>
      </c>
      <c r="J70" s="640">
        <v>21.387862541024852</v>
      </c>
      <c r="K70" s="640">
        <v>1.7476152779545906</v>
      </c>
      <c r="L70" s="640">
        <v>0.94211085156249985</v>
      </c>
      <c r="M70" s="640">
        <v>1.9807569399951515</v>
      </c>
      <c r="N70" s="640">
        <v>0</v>
      </c>
      <c r="O70" s="640">
        <v>3.7669078281368638E-4</v>
      </c>
      <c r="P70" s="640">
        <v>112.73505933145552</v>
      </c>
      <c r="Q70" s="640">
        <v>16.12568637832603</v>
      </c>
      <c r="R70" s="640">
        <v>0.27920700073242188</v>
      </c>
      <c r="S70" s="648">
        <v>277.43207275947128</v>
      </c>
      <c r="U70" s="646" t="s">
        <v>78</v>
      </c>
      <c r="V70" s="640">
        <v>1.2150050536449819</v>
      </c>
      <c r="W70" s="640">
        <v>0</v>
      </c>
      <c r="X70" s="640">
        <v>6.016341039248414</v>
      </c>
      <c r="Y70" s="640">
        <v>39.709503776891196</v>
      </c>
      <c r="Z70" s="640">
        <v>0</v>
      </c>
      <c r="AA70" s="640">
        <v>0</v>
      </c>
      <c r="AB70" s="640">
        <v>15.202189846170386</v>
      </c>
      <c r="AC70" s="640">
        <v>4.9835801019927617</v>
      </c>
      <c r="AD70" s="640">
        <v>5.6103854980468748</v>
      </c>
      <c r="AE70" s="640">
        <v>28.773635244370734</v>
      </c>
      <c r="AF70" s="640">
        <v>0</v>
      </c>
      <c r="AG70" s="640">
        <v>3.7669078281368638E-4</v>
      </c>
      <c r="AH70" s="640">
        <v>146.07653830614987</v>
      </c>
      <c r="AI70" s="640">
        <v>23.647869298816833</v>
      </c>
      <c r="AJ70" s="640">
        <v>7.4826708984375001</v>
      </c>
      <c r="AK70" s="648">
        <v>278.71809575455239</v>
      </c>
    </row>
    <row r="71" spans="3:37" x14ac:dyDescent="0.2">
      <c r="C71" s="646" t="s">
        <v>79</v>
      </c>
      <c r="D71" s="640">
        <v>0</v>
      </c>
      <c r="E71" s="640">
        <v>0</v>
      </c>
      <c r="F71" s="640">
        <v>235.12748928743429</v>
      </c>
      <c r="G71" s="640">
        <v>31.099379517950805</v>
      </c>
      <c r="H71" s="640">
        <v>0</v>
      </c>
      <c r="I71" s="640">
        <v>0</v>
      </c>
      <c r="J71" s="640">
        <v>0</v>
      </c>
      <c r="K71" s="640">
        <v>0</v>
      </c>
      <c r="L71" s="640">
        <v>22.716725008445675</v>
      </c>
      <c r="M71" s="640">
        <v>0.63468121465205729</v>
      </c>
      <c r="N71" s="640">
        <v>0</v>
      </c>
      <c r="O71" s="640">
        <v>0</v>
      </c>
      <c r="P71" s="640">
        <v>68.565930798083699</v>
      </c>
      <c r="Q71" s="640">
        <v>0</v>
      </c>
      <c r="R71" s="640">
        <v>2.3844112104980786</v>
      </c>
      <c r="S71" s="648">
        <v>360.52861703706463</v>
      </c>
      <c r="U71" s="646" t="s">
        <v>79</v>
      </c>
      <c r="V71" s="640">
        <v>0</v>
      </c>
      <c r="W71" s="640">
        <v>0</v>
      </c>
      <c r="X71" s="640">
        <v>35.128929389637456</v>
      </c>
      <c r="Y71" s="640">
        <v>15.137064293513523</v>
      </c>
      <c r="Z71" s="640">
        <v>0</v>
      </c>
      <c r="AA71" s="640">
        <v>0</v>
      </c>
      <c r="AB71" s="640">
        <v>0</v>
      </c>
      <c r="AC71" s="640">
        <v>0</v>
      </c>
      <c r="AD71" s="640">
        <v>37.187580566982817</v>
      </c>
      <c r="AE71" s="640">
        <v>11.036020535724948</v>
      </c>
      <c r="AF71" s="640">
        <v>0</v>
      </c>
      <c r="AG71" s="640">
        <v>0</v>
      </c>
      <c r="AH71" s="640">
        <v>89.614524523742418</v>
      </c>
      <c r="AI71" s="640">
        <v>0</v>
      </c>
      <c r="AJ71" s="640">
        <v>5.6351763144479268</v>
      </c>
      <c r="AK71" s="648">
        <v>193.73929562404911</v>
      </c>
    </row>
    <row r="72" spans="3:37" x14ac:dyDescent="0.2">
      <c r="C72" s="646" t="s">
        <v>80</v>
      </c>
      <c r="D72" s="640">
        <v>0</v>
      </c>
      <c r="E72" s="640">
        <v>0</v>
      </c>
      <c r="F72" s="640">
        <v>13.724834206032371</v>
      </c>
      <c r="G72" s="640">
        <v>79.131512261322683</v>
      </c>
      <c r="H72" s="640">
        <v>0</v>
      </c>
      <c r="I72" s="640">
        <v>0</v>
      </c>
      <c r="J72" s="640">
        <v>87.797108848078949</v>
      </c>
      <c r="K72" s="640">
        <v>0</v>
      </c>
      <c r="L72" s="640">
        <v>0</v>
      </c>
      <c r="M72" s="640">
        <v>1.6149288216596467</v>
      </c>
      <c r="N72" s="640">
        <v>57.41835645436403</v>
      </c>
      <c r="O72" s="640">
        <v>2.0533643919476137</v>
      </c>
      <c r="P72" s="640">
        <v>189.45880926265392</v>
      </c>
      <c r="Q72" s="640">
        <v>15.417775800116472</v>
      </c>
      <c r="R72" s="640">
        <v>0</v>
      </c>
      <c r="S72" s="648">
        <v>446.61669004617568</v>
      </c>
      <c r="U72" s="646" t="s">
        <v>80</v>
      </c>
      <c r="V72" s="640">
        <v>0</v>
      </c>
      <c r="W72" s="640">
        <v>0</v>
      </c>
      <c r="X72" s="640">
        <v>1.0209129157283405</v>
      </c>
      <c r="Y72" s="640">
        <v>12.832027751754538</v>
      </c>
      <c r="Z72" s="640">
        <v>0</v>
      </c>
      <c r="AA72" s="640">
        <v>0</v>
      </c>
      <c r="AB72" s="640">
        <v>53.270322236782164</v>
      </c>
      <c r="AC72" s="640">
        <v>0</v>
      </c>
      <c r="AD72" s="640">
        <v>0</v>
      </c>
      <c r="AE72" s="640">
        <v>9.2921580271325972</v>
      </c>
      <c r="AF72" s="640">
        <v>88.292344554902868</v>
      </c>
      <c r="AG72" s="640">
        <v>3.9079432862869607</v>
      </c>
      <c r="AH72" s="640">
        <v>146.88666477766319</v>
      </c>
      <c r="AI72" s="640">
        <v>32.427264426374379</v>
      </c>
      <c r="AJ72" s="640">
        <v>0</v>
      </c>
      <c r="AK72" s="648">
        <v>347.92963797662509</v>
      </c>
    </row>
    <row r="73" spans="3:37" x14ac:dyDescent="0.2">
      <c r="C73" s="646" t="s">
        <v>81</v>
      </c>
      <c r="D73" s="640">
        <v>0</v>
      </c>
      <c r="E73" s="640">
        <v>0</v>
      </c>
      <c r="F73" s="640">
        <v>3.9083972405176572</v>
      </c>
      <c r="G73" s="640">
        <v>63.089348266301698</v>
      </c>
      <c r="H73" s="640">
        <v>0</v>
      </c>
      <c r="I73" s="640">
        <v>0</v>
      </c>
      <c r="J73" s="640">
        <v>3.1804221278939271</v>
      </c>
      <c r="K73" s="640">
        <v>2.5219694682056978E-2</v>
      </c>
      <c r="L73" s="640">
        <v>0</v>
      </c>
      <c r="M73" s="640">
        <v>1.287537719720443</v>
      </c>
      <c r="N73" s="640">
        <v>8.4803330998149011</v>
      </c>
      <c r="O73" s="640">
        <v>0.72631919579288284</v>
      </c>
      <c r="P73" s="640">
        <v>140.69299872549993</v>
      </c>
      <c r="Q73" s="640">
        <v>3.4464968101202174</v>
      </c>
      <c r="R73" s="640">
        <v>0</v>
      </c>
      <c r="S73" s="648">
        <v>224.8370728803437</v>
      </c>
      <c r="U73" s="646" t="s">
        <v>81</v>
      </c>
      <c r="V73" s="640">
        <v>0</v>
      </c>
      <c r="W73" s="640">
        <v>0</v>
      </c>
      <c r="X73" s="640">
        <v>1.4952361732398858</v>
      </c>
      <c r="Y73" s="640">
        <v>10.610341518374359</v>
      </c>
      <c r="Z73" s="640">
        <v>0</v>
      </c>
      <c r="AA73" s="640">
        <v>0</v>
      </c>
      <c r="AB73" s="640">
        <v>6.9978977014468793</v>
      </c>
      <c r="AC73" s="640">
        <v>2.5219694682056978E-2</v>
      </c>
      <c r="AD73" s="640">
        <v>0</v>
      </c>
      <c r="AE73" s="640">
        <v>7.6833507546848816</v>
      </c>
      <c r="AF73" s="640">
        <v>14.732239480945108</v>
      </c>
      <c r="AG73" s="640">
        <v>1.5525732622869153</v>
      </c>
      <c r="AH73" s="640">
        <v>115.23036268987886</v>
      </c>
      <c r="AI73" s="640">
        <v>12.719638120399363</v>
      </c>
      <c r="AJ73" s="640">
        <v>0</v>
      </c>
      <c r="AK73" s="648">
        <v>171.04685939593833</v>
      </c>
    </row>
    <row r="74" spans="3:37" x14ac:dyDescent="0.2">
      <c r="C74" s="646" t="s">
        <v>82</v>
      </c>
      <c r="D74" s="640">
        <v>0</v>
      </c>
      <c r="E74" s="640">
        <v>0</v>
      </c>
      <c r="F74" s="640">
        <v>28.471648080197657</v>
      </c>
      <c r="G74" s="640">
        <v>1.0804243241036344</v>
      </c>
      <c r="H74" s="640">
        <v>0</v>
      </c>
      <c r="I74" s="640">
        <v>0</v>
      </c>
      <c r="J74" s="640">
        <v>4.3026845658747828</v>
      </c>
      <c r="K74" s="640">
        <v>0</v>
      </c>
      <c r="L74" s="640">
        <v>3.1299020072385213</v>
      </c>
      <c r="M74" s="640">
        <v>2.2049476002114991E-2</v>
      </c>
      <c r="N74" s="640">
        <v>0</v>
      </c>
      <c r="O74" s="640">
        <v>6.8830690871769351E-2</v>
      </c>
      <c r="P74" s="640">
        <v>5.9739095578527968</v>
      </c>
      <c r="Q74" s="640">
        <v>0</v>
      </c>
      <c r="R74" s="640">
        <v>0</v>
      </c>
      <c r="S74" s="648">
        <v>43.049448702141277</v>
      </c>
      <c r="U74" s="646" t="s">
        <v>82</v>
      </c>
      <c r="V74" s="640">
        <v>0</v>
      </c>
      <c r="W74" s="640">
        <v>0</v>
      </c>
      <c r="X74" s="640">
        <v>5.8604701162543282</v>
      </c>
      <c r="Y74" s="640">
        <v>0.77721189491485598</v>
      </c>
      <c r="Z74" s="640">
        <v>0</v>
      </c>
      <c r="AA74" s="640">
        <v>0</v>
      </c>
      <c r="AB74" s="640">
        <v>4.3026845658747828</v>
      </c>
      <c r="AC74" s="640">
        <v>0</v>
      </c>
      <c r="AD74" s="640">
        <v>30.776202948565647</v>
      </c>
      <c r="AE74" s="640">
        <v>0.56280861355903367</v>
      </c>
      <c r="AF74" s="640">
        <v>0</v>
      </c>
      <c r="AG74" s="640">
        <v>1.5666563685107562</v>
      </c>
      <c r="AH74" s="640">
        <v>6.0858228188406986</v>
      </c>
      <c r="AI74" s="640">
        <v>0</v>
      </c>
      <c r="AJ74" s="640">
        <v>0.36062656029870238</v>
      </c>
      <c r="AK74" s="648">
        <v>50.292483886818808</v>
      </c>
    </row>
    <row r="75" spans="3:37" x14ac:dyDescent="0.2">
      <c r="C75" s="646" t="s">
        <v>354</v>
      </c>
      <c r="D75" s="640">
        <v>0</v>
      </c>
      <c r="E75" s="640">
        <v>0</v>
      </c>
      <c r="F75" s="640">
        <v>0</v>
      </c>
      <c r="G75" s="640">
        <v>0</v>
      </c>
      <c r="H75" s="640">
        <v>0</v>
      </c>
      <c r="I75" s="640">
        <v>0</v>
      </c>
      <c r="J75" s="640">
        <v>0</v>
      </c>
      <c r="K75" s="640">
        <v>0</v>
      </c>
      <c r="L75" s="640">
        <v>0</v>
      </c>
      <c r="M75" s="640">
        <v>0</v>
      </c>
      <c r="N75" s="640">
        <v>0</v>
      </c>
      <c r="O75" s="640">
        <v>0</v>
      </c>
      <c r="P75" s="640">
        <v>0.36</v>
      </c>
      <c r="Q75" s="640">
        <v>0</v>
      </c>
      <c r="R75" s="640">
        <v>0</v>
      </c>
      <c r="S75" s="648">
        <v>0.36</v>
      </c>
      <c r="U75" s="646" t="s">
        <v>354</v>
      </c>
      <c r="V75" s="640">
        <v>0</v>
      </c>
      <c r="W75" s="640">
        <v>0</v>
      </c>
      <c r="X75" s="640">
        <v>0</v>
      </c>
      <c r="Y75" s="640">
        <v>0</v>
      </c>
      <c r="Z75" s="640">
        <v>0</v>
      </c>
      <c r="AA75" s="640">
        <v>0</v>
      </c>
      <c r="AB75" s="640">
        <v>0</v>
      </c>
      <c r="AC75" s="640">
        <v>0</v>
      </c>
      <c r="AD75" s="640">
        <v>0</v>
      </c>
      <c r="AE75" s="640">
        <v>0</v>
      </c>
      <c r="AF75" s="640">
        <v>0</v>
      </c>
      <c r="AG75" s="640">
        <v>0</v>
      </c>
      <c r="AH75" s="640">
        <v>3.12</v>
      </c>
      <c r="AI75" s="640">
        <v>0</v>
      </c>
      <c r="AJ75" s="640">
        <v>0</v>
      </c>
      <c r="AK75" s="648">
        <v>3.12</v>
      </c>
    </row>
    <row r="76" spans="3:37" x14ac:dyDescent="0.2">
      <c r="C76" s="644" t="s">
        <v>83</v>
      </c>
      <c r="D76" s="645">
        <v>4.9901668745901624</v>
      </c>
      <c r="E76" s="645">
        <v>0</v>
      </c>
      <c r="F76" s="645">
        <v>302.32389913883821</v>
      </c>
      <c r="G76" s="645">
        <v>270.55236491806994</v>
      </c>
      <c r="H76" s="645">
        <v>0</v>
      </c>
      <c r="I76" s="645">
        <v>0</v>
      </c>
      <c r="J76" s="645">
        <v>116.66807808287251</v>
      </c>
      <c r="K76" s="645">
        <v>1.7728349726366477</v>
      </c>
      <c r="L76" s="645">
        <v>26.788737867246695</v>
      </c>
      <c r="M76" s="645">
        <v>5.5399541720294136</v>
      </c>
      <c r="N76" s="645">
        <v>65.898689554178929</v>
      </c>
      <c r="O76" s="645">
        <v>2.8488909693950797</v>
      </c>
      <c r="P76" s="645">
        <v>517.78670767554593</v>
      </c>
      <c r="Q76" s="645">
        <v>34.989958988562719</v>
      </c>
      <c r="R76" s="645">
        <v>2.6636182112305002</v>
      </c>
      <c r="S76" s="645">
        <v>1352.8239014251965</v>
      </c>
      <c r="U76" s="644" t="s">
        <v>83</v>
      </c>
      <c r="V76" s="645">
        <v>1.2150050536449819</v>
      </c>
      <c r="W76" s="645">
        <v>0</v>
      </c>
      <c r="X76" s="645">
        <v>49.521889634108419</v>
      </c>
      <c r="Y76" s="645">
        <v>79.066149235448464</v>
      </c>
      <c r="Z76" s="645">
        <v>0</v>
      </c>
      <c r="AA76" s="645">
        <v>0</v>
      </c>
      <c r="AB76" s="645">
        <v>79.773094350274206</v>
      </c>
      <c r="AC76" s="645">
        <v>5.0087997966748192</v>
      </c>
      <c r="AD76" s="645">
        <v>73.574169013595338</v>
      </c>
      <c r="AE76" s="645">
        <v>57.347973175472191</v>
      </c>
      <c r="AF76" s="645">
        <v>103.02458403584798</v>
      </c>
      <c r="AG76" s="645">
        <v>7.0275496078674458</v>
      </c>
      <c r="AH76" s="645">
        <v>507.01391311627498</v>
      </c>
      <c r="AI76" s="645">
        <v>68.794771845590574</v>
      </c>
      <c r="AJ76" s="645">
        <v>13.478473773184128</v>
      </c>
      <c r="AK76" s="645">
        <v>1044.8463726379837</v>
      </c>
    </row>
    <row r="77" spans="3:37" x14ac:dyDescent="0.2">
      <c r="C77" s="639" t="s">
        <v>84</v>
      </c>
      <c r="D77" s="640">
        <v>0</v>
      </c>
      <c r="E77" s="640">
        <v>0</v>
      </c>
      <c r="F77" s="640">
        <v>106.83242416715484</v>
      </c>
      <c r="G77" s="640">
        <v>11.6186457489655</v>
      </c>
      <c r="H77" s="640">
        <v>0</v>
      </c>
      <c r="I77" s="640">
        <v>0</v>
      </c>
      <c r="J77" s="640">
        <v>0</v>
      </c>
      <c r="K77" s="640">
        <v>0</v>
      </c>
      <c r="L77" s="640">
        <v>0</v>
      </c>
      <c r="M77" s="640">
        <v>0</v>
      </c>
      <c r="N77" s="640">
        <v>0</v>
      </c>
      <c r="O77" s="640">
        <v>0</v>
      </c>
      <c r="P77" s="640">
        <v>0</v>
      </c>
      <c r="Q77" s="640">
        <v>0</v>
      </c>
      <c r="R77" s="640">
        <v>2.4159251561316859</v>
      </c>
      <c r="S77" s="648">
        <v>120.86699507225204</v>
      </c>
      <c r="U77" s="639" t="s">
        <v>84</v>
      </c>
      <c r="V77" s="640">
        <v>0</v>
      </c>
      <c r="W77" s="640">
        <v>0</v>
      </c>
      <c r="X77" s="640">
        <v>75.791608178670685</v>
      </c>
      <c r="Y77" s="640">
        <v>0.94004440148578539</v>
      </c>
      <c r="Z77" s="640">
        <v>0</v>
      </c>
      <c r="AA77" s="640">
        <v>0</v>
      </c>
      <c r="AB77" s="640">
        <v>0</v>
      </c>
      <c r="AC77" s="640">
        <v>0</v>
      </c>
      <c r="AD77" s="640">
        <v>21.99170920776367</v>
      </c>
      <c r="AE77" s="640">
        <v>0</v>
      </c>
      <c r="AF77" s="640">
        <v>0</v>
      </c>
      <c r="AG77" s="640">
        <v>0</v>
      </c>
      <c r="AH77" s="640">
        <v>0</v>
      </c>
      <c r="AI77" s="640">
        <v>0</v>
      </c>
      <c r="AJ77" s="640">
        <v>14.689922984619141</v>
      </c>
      <c r="AK77" s="648">
        <v>113.41328477253928</v>
      </c>
    </row>
    <row r="78" spans="3:37" x14ac:dyDescent="0.2">
      <c r="C78" s="644" t="s">
        <v>85</v>
      </c>
      <c r="D78" s="645">
        <v>4.9901668745901624</v>
      </c>
      <c r="E78" s="645">
        <v>0</v>
      </c>
      <c r="F78" s="645">
        <v>409.15632330599311</v>
      </c>
      <c r="G78" s="645">
        <v>282.17101066703543</v>
      </c>
      <c r="H78" s="645">
        <v>0</v>
      </c>
      <c r="I78" s="645">
        <v>0</v>
      </c>
      <c r="J78" s="645">
        <v>116.66807808287251</v>
      </c>
      <c r="K78" s="645">
        <v>1.7728349726366477</v>
      </c>
      <c r="L78" s="645">
        <v>26.788737867246695</v>
      </c>
      <c r="M78" s="645">
        <v>5.5399541720294136</v>
      </c>
      <c r="N78" s="645">
        <v>65.898689554178929</v>
      </c>
      <c r="O78" s="645">
        <v>2.8488909693950797</v>
      </c>
      <c r="P78" s="645">
        <v>517.78670767554593</v>
      </c>
      <c r="Q78" s="645">
        <v>34.989958988562719</v>
      </c>
      <c r="R78" s="645">
        <v>5.0795433673621861</v>
      </c>
      <c r="S78" s="645">
        <v>1473.6908964974484</v>
      </c>
      <c r="U78" s="644" t="s">
        <v>85</v>
      </c>
      <c r="V78" s="645">
        <v>1.2150050536449819</v>
      </c>
      <c r="W78" s="645">
        <v>0</v>
      </c>
      <c r="X78" s="645">
        <v>125.31349781277912</v>
      </c>
      <c r="Y78" s="645">
        <v>80.006193636934256</v>
      </c>
      <c r="Z78" s="645">
        <v>0</v>
      </c>
      <c r="AA78" s="645">
        <v>0</v>
      </c>
      <c r="AB78" s="645">
        <v>79.773094350274206</v>
      </c>
      <c r="AC78" s="645">
        <v>5.0087997966748192</v>
      </c>
      <c r="AD78" s="645">
        <v>95.565878221359014</v>
      </c>
      <c r="AE78" s="645">
        <v>57.347973175472191</v>
      </c>
      <c r="AF78" s="645">
        <v>103.02458403584798</v>
      </c>
      <c r="AG78" s="645">
        <v>7.0275496078674458</v>
      </c>
      <c r="AH78" s="645">
        <v>507.01391311627498</v>
      </c>
      <c r="AI78" s="645">
        <v>68.794771845590574</v>
      </c>
      <c r="AJ78" s="645">
        <v>28.168396757803269</v>
      </c>
      <c r="AK78" s="645">
        <v>1158.2596574105228</v>
      </c>
    </row>
    <row r="79" spans="3:37" x14ac:dyDescent="0.2">
      <c r="C79" s="634"/>
      <c r="D79" s="634"/>
      <c r="E79" s="634"/>
      <c r="F79" s="634"/>
      <c r="G79" s="634"/>
      <c r="H79" s="634"/>
      <c r="I79" s="634"/>
      <c r="J79" s="634"/>
      <c r="K79" s="634"/>
      <c r="L79" s="634"/>
      <c r="M79" s="634"/>
      <c r="N79" s="634"/>
      <c r="O79" s="634"/>
      <c r="P79" s="634"/>
      <c r="Q79" s="634"/>
      <c r="R79" s="634"/>
      <c r="S79" s="634"/>
      <c r="U79" s="634"/>
      <c r="V79" s="634"/>
      <c r="W79" s="634"/>
      <c r="X79" s="634"/>
      <c r="Y79" s="634"/>
      <c r="Z79" s="634"/>
      <c r="AA79" s="634"/>
      <c r="AB79" s="634"/>
      <c r="AC79" s="634"/>
      <c r="AD79" s="634"/>
      <c r="AE79" s="634"/>
      <c r="AF79" s="634"/>
      <c r="AG79" s="634"/>
      <c r="AH79" s="634"/>
      <c r="AI79" s="634"/>
      <c r="AJ79" s="634"/>
      <c r="AK79" s="634"/>
    </row>
    <row r="80" spans="3:37" ht="22.5" x14ac:dyDescent="0.3">
      <c r="C80" s="759" t="s">
        <v>361</v>
      </c>
      <c r="D80" s="759"/>
      <c r="E80" s="759"/>
      <c r="F80" s="759"/>
      <c r="G80" s="759"/>
      <c r="H80" s="759"/>
      <c r="I80" s="759"/>
      <c r="J80" s="759"/>
      <c r="K80" s="759"/>
      <c r="L80" s="759"/>
      <c r="M80" s="759"/>
      <c r="N80" s="759"/>
      <c r="O80" s="759"/>
      <c r="P80" s="759"/>
      <c r="Q80" s="759"/>
      <c r="R80" s="759"/>
      <c r="S80" s="759"/>
      <c r="U80" s="759" t="s">
        <v>361</v>
      </c>
      <c r="V80" s="759"/>
      <c r="W80" s="759"/>
      <c r="X80" s="759"/>
      <c r="Y80" s="759"/>
      <c r="Z80" s="759"/>
      <c r="AA80" s="759"/>
      <c r="AB80" s="759"/>
      <c r="AC80" s="759"/>
      <c r="AD80" s="759"/>
      <c r="AE80" s="759"/>
      <c r="AF80" s="759"/>
      <c r="AG80" s="759"/>
      <c r="AH80" s="759"/>
      <c r="AI80" s="759"/>
      <c r="AJ80" s="759"/>
      <c r="AK80" s="759"/>
    </row>
    <row r="81" spans="3:37" x14ac:dyDescent="0.2">
      <c r="C81" s="634"/>
      <c r="D81" s="634"/>
      <c r="E81" s="634"/>
      <c r="F81" s="634"/>
      <c r="G81" s="634"/>
      <c r="H81" s="634"/>
      <c r="I81" s="634"/>
      <c r="J81" s="634"/>
      <c r="K81" s="634"/>
      <c r="L81" s="634"/>
      <c r="M81" s="634"/>
      <c r="N81" s="634"/>
      <c r="O81" s="634"/>
      <c r="P81" s="634"/>
      <c r="Q81" s="634"/>
      <c r="R81" s="634"/>
      <c r="S81" s="634"/>
      <c r="U81" s="634"/>
      <c r="V81" s="634"/>
      <c r="W81" s="634"/>
      <c r="X81" s="634"/>
      <c r="Y81" s="634"/>
      <c r="Z81" s="634"/>
      <c r="AA81" s="634"/>
      <c r="AB81" s="634"/>
      <c r="AC81" s="634"/>
      <c r="AD81" s="634"/>
      <c r="AE81" s="634"/>
      <c r="AF81" s="634"/>
      <c r="AG81" s="634"/>
      <c r="AH81" s="634"/>
      <c r="AI81" s="634"/>
      <c r="AJ81" s="634"/>
      <c r="AK81" s="634"/>
    </row>
    <row r="82" spans="3:37" ht="12.95" customHeight="1" x14ac:dyDescent="0.2">
      <c r="C82" s="758" t="s">
        <v>128</v>
      </c>
      <c r="D82" s="757" t="s">
        <v>42</v>
      </c>
      <c r="E82" s="757" t="s">
        <v>52</v>
      </c>
      <c r="F82" s="757" t="s">
        <v>53</v>
      </c>
      <c r="G82" s="757" t="s">
        <v>32</v>
      </c>
      <c r="H82" s="757" t="s">
        <v>20</v>
      </c>
      <c r="I82" s="757" t="s">
        <v>55</v>
      </c>
      <c r="J82" s="757" t="s">
        <v>56</v>
      </c>
      <c r="K82" s="757"/>
      <c r="L82" s="757"/>
      <c r="M82" s="757"/>
      <c r="N82" s="757"/>
      <c r="O82" s="757"/>
      <c r="P82" s="757" t="s">
        <v>57</v>
      </c>
      <c r="Q82" s="757" t="s">
        <v>58</v>
      </c>
      <c r="R82" s="757" t="s">
        <v>31</v>
      </c>
      <c r="S82" s="757" t="s">
        <v>10</v>
      </c>
      <c r="U82" s="758" t="s">
        <v>128</v>
      </c>
      <c r="V82" s="757" t="s">
        <v>42</v>
      </c>
      <c r="W82" s="757" t="s">
        <v>52</v>
      </c>
      <c r="X82" s="757" t="s">
        <v>53</v>
      </c>
      <c r="Y82" s="757" t="s">
        <v>32</v>
      </c>
      <c r="Z82" s="757" t="s">
        <v>20</v>
      </c>
      <c r="AA82" s="757" t="s">
        <v>55</v>
      </c>
      <c r="AB82" s="757" t="s">
        <v>56</v>
      </c>
      <c r="AC82" s="757"/>
      <c r="AD82" s="757"/>
      <c r="AE82" s="757"/>
      <c r="AF82" s="757"/>
      <c r="AG82" s="757"/>
      <c r="AH82" s="757" t="s">
        <v>57</v>
      </c>
      <c r="AI82" s="757" t="s">
        <v>58</v>
      </c>
      <c r="AJ82" s="757" t="s">
        <v>31</v>
      </c>
      <c r="AK82" s="757" t="s">
        <v>10</v>
      </c>
    </row>
    <row r="83" spans="3:37" ht="56.25" x14ac:dyDescent="0.2">
      <c r="C83" s="758"/>
      <c r="D83" s="757"/>
      <c r="E83" s="757"/>
      <c r="F83" s="757"/>
      <c r="G83" s="757"/>
      <c r="H83" s="757"/>
      <c r="I83" s="757"/>
      <c r="J83" s="638" t="s">
        <v>335</v>
      </c>
      <c r="K83" s="638" t="s">
        <v>40</v>
      </c>
      <c r="L83" s="638" t="s">
        <v>343</v>
      </c>
      <c r="M83" s="638" t="s">
        <v>344</v>
      </c>
      <c r="N83" s="638" t="s">
        <v>345</v>
      </c>
      <c r="O83" s="638" t="s">
        <v>346</v>
      </c>
      <c r="P83" s="757"/>
      <c r="Q83" s="757"/>
      <c r="R83" s="757"/>
      <c r="S83" s="757"/>
      <c r="U83" s="758"/>
      <c r="V83" s="757"/>
      <c r="W83" s="757"/>
      <c r="X83" s="757"/>
      <c r="Y83" s="757"/>
      <c r="Z83" s="757"/>
      <c r="AA83" s="757"/>
      <c r="AB83" s="638" t="s">
        <v>335</v>
      </c>
      <c r="AC83" s="638" t="s">
        <v>40</v>
      </c>
      <c r="AD83" s="638" t="s">
        <v>343</v>
      </c>
      <c r="AE83" s="638" t="s">
        <v>344</v>
      </c>
      <c r="AF83" s="638" t="s">
        <v>345</v>
      </c>
      <c r="AG83" s="638" t="s">
        <v>346</v>
      </c>
      <c r="AH83" s="757"/>
      <c r="AI83" s="757"/>
      <c r="AJ83" s="757"/>
      <c r="AK83" s="757"/>
    </row>
    <row r="84" spans="3:37" x14ac:dyDescent="0.2">
      <c r="C84" s="639" t="s">
        <v>59</v>
      </c>
      <c r="D84" s="640">
        <v>0</v>
      </c>
      <c r="E84" s="641">
        <v>0</v>
      </c>
      <c r="F84" s="641">
        <v>0</v>
      </c>
      <c r="G84" s="640">
        <v>0</v>
      </c>
      <c r="H84" s="641">
        <v>843.18181818181824</v>
      </c>
      <c r="I84" s="641">
        <v>306.94588327561422</v>
      </c>
      <c r="J84" s="641">
        <v>187.92158364867245</v>
      </c>
      <c r="K84" s="641">
        <v>20.316638839186872</v>
      </c>
      <c r="L84" s="641">
        <v>0.58650482505924006</v>
      </c>
      <c r="M84" s="641">
        <v>0.15964026893196048</v>
      </c>
      <c r="N84" s="641">
        <v>67.964408038916218</v>
      </c>
      <c r="O84" s="641">
        <v>11.973026235836867</v>
      </c>
      <c r="P84" s="642">
        <v>0</v>
      </c>
      <c r="Q84" s="641">
        <v>0</v>
      </c>
      <c r="R84" s="641">
        <v>0</v>
      </c>
      <c r="S84" s="643">
        <v>1439.0495033140362</v>
      </c>
      <c r="U84" s="639" t="s">
        <v>59</v>
      </c>
      <c r="V84" s="640">
        <v>0</v>
      </c>
      <c r="W84" s="641">
        <v>0</v>
      </c>
      <c r="X84" s="641">
        <v>0</v>
      </c>
      <c r="Y84" s="640">
        <v>0</v>
      </c>
      <c r="Z84" s="641">
        <v>842.12121212121212</v>
      </c>
      <c r="AA84" s="641">
        <v>361.66588327561419</v>
      </c>
      <c r="AB84" s="641">
        <v>209.7499476733077</v>
      </c>
      <c r="AC84" s="641">
        <v>36.742499370225779</v>
      </c>
      <c r="AD84" s="641">
        <v>0.58650482505924006</v>
      </c>
      <c r="AE84" s="641">
        <v>0.15964026893196048</v>
      </c>
      <c r="AF84" s="641">
        <v>109.8518848230913</v>
      </c>
      <c r="AG84" s="641">
        <v>27.041217028647232</v>
      </c>
      <c r="AH84" s="642">
        <v>0</v>
      </c>
      <c r="AI84" s="641">
        <v>0</v>
      </c>
      <c r="AJ84" s="641">
        <v>0</v>
      </c>
      <c r="AK84" s="643">
        <v>1587.9187893860897</v>
      </c>
    </row>
    <row r="85" spans="3:37" x14ac:dyDescent="0.2">
      <c r="C85" s="639" t="s">
        <v>60</v>
      </c>
      <c r="D85" s="640">
        <v>47.14481987923083</v>
      </c>
      <c r="E85" s="641">
        <v>484.495467583368</v>
      </c>
      <c r="F85" s="641">
        <v>50.019697053221719</v>
      </c>
      <c r="G85" s="640">
        <v>326.09010493911637</v>
      </c>
      <c r="H85" s="641">
        <v>0</v>
      </c>
      <c r="I85" s="641">
        <v>0</v>
      </c>
      <c r="J85" s="641">
        <v>5.0764589906360387</v>
      </c>
      <c r="K85" s="641">
        <v>0</v>
      </c>
      <c r="L85" s="641">
        <v>2.7571319279134792</v>
      </c>
      <c r="M85" s="641">
        <v>0</v>
      </c>
      <c r="N85" s="641">
        <v>0</v>
      </c>
      <c r="O85" s="641">
        <v>0</v>
      </c>
      <c r="P85" s="642">
        <v>0</v>
      </c>
      <c r="Q85" s="641">
        <v>0</v>
      </c>
      <c r="R85" s="641">
        <v>0</v>
      </c>
      <c r="S85" s="643">
        <v>915.58368037348657</v>
      </c>
      <c r="U85" s="639" t="s">
        <v>60</v>
      </c>
      <c r="V85" s="640">
        <v>5.8768320762591904</v>
      </c>
      <c r="W85" s="641">
        <v>189.94114801549574</v>
      </c>
      <c r="X85" s="641">
        <v>14.41607041492888</v>
      </c>
      <c r="Y85" s="640">
        <v>81.728531694283333</v>
      </c>
      <c r="Z85" s="641">
        <v>0</v>
      </c>
      <c r="AA85" s="641">
        <v>0</v>
      </c>
      <c r="AB85" s="641">
        <v>5.0764589906360387</v>
      </c>
      <c r="AC85" s="641">
        <v>0</v>
      </c>
      <c r="AD85" s="641">
        <v>2.7571319279134792</v>
      </c>
      <c r="AE85" s="641">
        <v>0</v>
      </c>
      <c r="AF85" s="641">
        <v>0</v>
      </c>
      <c r="AG85" s="641">
        <v>0</v>
      </c>
      <c r="AH85" s="642">
        <v>0</v>
      </c>
      <c r="AI85" s="641">
        <v>0</v>
      </c>
      <c r="AJ85" s="641">
        <v>0</v>
      </c>
      <c r="AK85" s="643">
        <v>299.79617311951665</v>
      </c>
    </row>
    <row r="86" spans="3:37" x14ac:dyDescent="0.2">
      <c r="C86" s="639" t="s">
        <v>61</v>
      </c>
      <c r="D86" s="640">
        <v>0</v>
      </c>
      <c r="E86" s="641">
        <v>0</v>
      </c>
      <c r="F86" s="641">
        <v>0</v>
      </c>
      <c r="G86" s="640">
        <v>0</v>
      </c>
      <c r="H86" s="641">
        <v>0</v>
      </c>
      <c r="I86" s="641">
        <v>0</v>
      </c>
      <c r="J86" s="641">
        <v>0</v>
      </c>
      <c r="K86" s="641">
        <v>0</v>
      </c>
      <c r="L86" s="641">
        <v>0</v>
      </c>
      <c r="M86" s="641">
        <v>0</v>
      </c>
      <c r="N86" s="641">
        <v>0</v>
      </c>
      <c r="O86" s="641">
        <v>0</v>
      </c>
      <c r="P86" s="642">
        <v>-16.706363002811486</v>
      </c>
      <c r="Q86" s="641">
        <v>0</v>
      </c>
      <c r="R86" s="641">
        <v>0</v>
      </c>
      <c r="S86" s="643">
        <v>-16.706363002811486</v>
      </c>
      <c r="U86" s="639" t="s">
        <v>61</v>
      </c>
      <c r="V86" s="640">
        <v>0</v>
      </c>
      <c r="W86" s="641">
        <v>0</v>
      </c>
      <c r="X86" s="641">
        <v>-18.378136852904419</v>
      </c>
      <c r="Y86" s="640">
        <v>0</v>
      </c>
      <c r="Z86" s="641">
        <v>0</v>
      </c>
      <c r="AA86" s="641">
        <v>0</v>
      </c>
      <c r="AB86" s="641">
        <v>0</v>
      </c>
      <c r="AC86" s="641">
        <v>0</v>
      </c>
      <c r="AD86" s="641">
        <v>0</v>
      </c>
      <c r="AE86" s="641">
        <v>0</v>
      </c>
      <c r="AF86" s="641">
        <v>0</v>
      </c>
      <c r="AG86" s="641">
        <v>0</v>
      </c>
      <c r="AH86" s="642">
        <v>-20.522831714543145</v>
      </c>
      <c r="AI86" s="641">
        <v>0</v>
      </c>
      <c r="AJ86" s="641">
        <v>0</v>
      </c>
      <c r="AK86" s="643">
        <v>-38.900968567447563</v>
      </c>
    </row>
    <row r="87" spans="3:37" x14ac:dyDescent="0.2">
      <c r="C87" s="639" t="s">
        <v>62</v>
      </c>
      <c r="D87" s="640">
        <v>0</v>
      </c>
      <c r="E87" s="641">
        <v>0</v>
      </c>
      <c r="F87" s="641">
        <v>-15.257294848391862</v>
      </c>
      <c r="G87" s="640">
        <v>0</v>
      </c>
      <c r="H87" s="641">
        <v>0</v>
      </c>
      <c r="I87" s="641">
        <v>0</v>
      </c>
      <c r="J87" s="641">
        <v>0</v>
      </c>
      <c r="K87" s="641">
        <v>0</v>
      </c>
      <c r="L87" s="641">
        <v>0</v>
      </c>
      <c r="M87" s="641">
        <v>0</v>
      </c>
      <c r="N87" s="641">
        <v>0</v>
      </c>
      <c r="O87" s="641">
        <v>0</v>
      </c>
      <c r="P87" s="642">
        <v>0</v>
      </c>
      <c r="Q87" s="641">
        <v>0</v>
      </c>
      <c r="R87" s="641">
        <v>0</v>
      </c>
      <c r="S87" s="643">
        <v>-15.257294848391862</v>
      </c>
      <c r="U87" s="639" t="s">
        <v>62</v>
      </c>
      <c r="V87" s="640">
        <v>0</v>
      </c>
      <c r="W87" s="641">
        <v>0</v>
      </c>
      <c r="X87" s="641">
        <v>-7.5188933675233587</v>
      </c>
      <c r="Y87" s="640">
        <v>-2.1851276585702322</v>
      </c>
      <c r="Z87" s="641">
        <v>0</v>
      </c>
      <c r="AA87" s="641">
        <v>0</v>
      </c>
      <c r="AB87" s="641">
        <v>0</v>
      </c>
      <c r="AC87" s="641">
        <v>0</v>
      </c>
      <c r="AD87" s="641">
        <v>0</v>
      </c>
      <c r="AE87" s="641">
        <v>-2.1851276585702322</v>
      </c>
      <c r="AF87" s="641">
        <v>0</v>
      </c>
      <c r="AG87" s="641">
        <v>0</v>
      </c>
      <c r="AH87" s="642">
        <v>0</v>
      </c>
      <c r="AI87" s="641">
        <v>0</v>
      </c>
      <c r="AJ87" s="641">
        <v>0</v>
      </c>
      <c r="AK87" s="643">
        <v>-11.889148684663823</v>
      </c>
    </row>
    <row r="88" spans="3:37" x14ac:dyDescent="0.2">
      <c r="C88" s="639" t="s">
        <v>63</v>
      </c>
      <c r="D88" s="640">
        <v>0</v>
      </c>
      <c r="E88" s="641">
        <v>0</v>
      </c>
      <c r="F88" s="641">
        <v>-90.982589622358091</v>
      </c>
      <c r="G88" s="640">
        <v>0</v>
      </c>
      <c r="H88" s="641">
        <v>0</v>
      </c>
      <c r="I88" s="641">
        <v>0</v>
      </c>
      <c r="J88" s="641">
        <v>0</v>
      </c>
      <c r="K88" s="641">
        <v>0</v>
      </c>
      <c r="L88" s="641">
        <v>-0.93561585486744514</v>
      </c>
      <c r="M88" s="641">
        <v>0</v>
      </c>
      <c r="N88" s="641">
        <v>0</v>
      </c>
      <c r="O88" s="641">
        <v>0</v>
      </c>
      <c r="P88" s="642">
        <v>0</v>
      </c>
      <c r="Q88" s="641">
        <v>0</v>
      </c>
      <c r="R88" s="641">
        <v>0</v>
      </c>
      <c r="S88" s="643">
        <v>-91.918205477225541</v>
      </c>
      <c r="U88" s="639" t="s">
        <v>63</v>
      </c>
      <c r="V88" s="640">
        <v>0</v>
      </c>
      <c r="W88" s="641">
        <v>0</v>
      </c>
      <c r="X88" s="641">
        <v>-53.656928796434556</v>
      </c>
      <c r="Y88" s="640">
        <v>0</v>
      </c>
      <c r="Z88" s="641">
        <v>0</v>
      </c>
      <c r="AA88" s="641">
        <v>0</v>
      </c>
      <c r="AB88" s="641">
        <v>0</v>
      </c>
      <c r="AC88" s="641">
        <v>0</v>
      </c>
      <c r="AD88" s="641">
        <v>-28.297456853591466</v>
      </c>
      <c r="AE88" s="641">
        <v>0</v>
      </c>
      <c r="AF88" s="641">
        <v>0</v>
      </c>
      <c r="AG88" s="641">
        <v>0</v>
      </c>
      <c r="AH88" s="642">
        <v>0</v>
      </c>
      <c r="AI88" s="641">
        <v>0</v>
      </c>
      <c r="AJ88" s="641">
        <v>0</v>
      </c>
      <c r="AK88" s="643">
        <v>-81.954385650026026</v>
      </c>
    </row>
    <row r="89" spans="3:37" x14ac:dyDescent="0.2">
      <c r="C89" s="639" t="s">
        <v>64</v>
      </c>
      <c r="D89" s="640">
        <v>0</v>
      </c>
      <c r="E89" s="641">
        <v>0</v>
      </c>
      <c r="F89" s="641">
        <v>0</v>
      </c>
      <c r="G89" s="640">
        <v>0</v>
      </c>
      <c r="H89" s="641">
        <v>0</v>
      </c>
      <c r="I89" s="641">
        <v>0</v>
      </c>
      <c r="J89" s="641">
        <v>0</v>
      </c>
      <c r="K89" s="641">
        <v>0</v>
      </c>
      <c r="L89" s="641">
        <v>0</v>
      </c>
      <c r="M89" s="641">
        <v>0</v>
      </c>
      <c r="N89" s="641">
        <v>0</v>
      </c>
      <c r="O89" s="641">
        <v>0</v>
      </c>
      <c r="P89" s="642">
        <v>0</v>
      </c>
      <c r="Q89" s="641">
        <v>0</v>
      </c>
      <c r="R89" s="641">
        <v>0</v>
      </c>
      <c r="S89" s="643">
        <v>0</v>
      </c>
      <c r="U89" s="639" t="s">
        <v>64</v>
      </c>
      <c r="V89" s="640">
        <v>0</v>
      </c>
      <c r="W89" s="641">
        <v>0</v>
      </c>
      <c r="X89" s="641">
        <v>0</v>
      </c>
      <c r="Y89" s="640">
        <v>0</v>
      </c>
      <c r="Z89" s="641">
        <v>0</v>
      </c>
      <c r="AA89" s="641">
        <v>0</v>
      </c>
      <c r="AB89" s="641">
        <v>0</v>
      </c>
      <c r="AC89" s="641">
        <v>0</v>
      </c>
      <c r="AD89" s="641">
        <v>0</v>
      </c>
      <c r="AE89" s="641">
        <v>0</v>
      </c>
      <c r="AF89" s="641">
        <v>0</v>
      </c>
      <c r="AG89" s="641">
        <v>0</v>
      </c>
      <c r="AH89" s="642">
        <v>0</v>
      </c>
      <c r="AI89" s="641">
        <v>0</v>
      </c>
      <c r="AJ89" s="641">
        <v>0</v>
      </c>
      <c r="AK89" s="643">
        <v>0</v>
      </c>
    </row>
    <row r="90" spans="3:37" x14ac:dyDescent="0.2">
      <c r="C90" s="644" t="s">
        <v>65</v>
      </c>
      <c r="D90" s="645">
        <v>47.14481987923083</v>
      </c>
      <c r="E90" s="645">
        <v>484.495467583368</v>
      </c>
      <c r="F90" s="645">
        <v>-56.220187417528237</v>
      </c>
      <c r="G90" s="645">
        <v>326.09010493911637</v>
      </c>
      <c r="H90" s="645">
        <v>843.18181818181824</v>
      </c>
      <c r="I90" s="645">
        <v>306.94588327561422</v>
      </c>
      <c r="J90" s="645">
        <v>192.99804263930849</v>
      </c>
      <c r="K90" s="645">
        <v>20.316638839186872</v>
      </c>
      <c r="L90" s="645">
        <v>2.4080208981052738</v>
      </c>
      <c r="M90" s="645">
        <v>0.15964026893196048</v>
      </c>
      <c r="N90" s="645">
        <v>67.964408038916218</v>
      </c>
      <c r="O90" s="645">
        <v>11.973026235836867</v>
      </c>
      <c r="P90" s="645">
        <v>-16.706363002811486</v>
      </c>
      <c r="Q90" s="645">
        <v>0</v>
      </c>
      <c r="R90" s="645">
        <v>0</v>
      </c>
      <c r="S90" s="645">
        <v>2230.7513203590943</v>
      </c>
      <c r="U90" s="644" t="s">
        <v>65</v>
      </c>
      <c r="V90" s="645">
        <v>5.8768320762591904</v>
      </c>
      <c r="W90" s="645">
        <v>189.94114801549574</v>
      </c>
      <c r="X90" s="645">
        <v>-65.137888601933454</v>
      </c>
      <c r="Y90" s="645">
        <v>79.543404035713095</v>
      </c>
      <c r="Z90" s="645">
        <v>842.12121212121212</v>
      </c>
      <c r="AA90" s="645">
        <v>361.66588327561419</v>
      </c>
      <c r="AB90" s="645">
        <v>214.82640666394374</v>
      </c>
      <c r="AC90" s="645">
        <v>36.742499370225779</v>
      </c>
      <c r="AD90" s="645">
        <v>-24.953820100618749</v>
      </c>
      <c r="AE90" s="645">
        <v>-2.0254873896382719</v>
      </c>
      <c r="AF90" s="645">
        <v>109.8518848230913</v>
      </c>
      <c r="AG90" s="645">
        <v>27.041217028647232</v>
      </c>
      <c r="AH90" s="645">
        <v>-20.522831714543145</v>
      </c>
      <c r="AI90" s="645">
        <v>0</v>
      </c>
      <c r="AJ90" s="645">
        <v>0</v>
      </c>
      <c r="AK90" s="645">
        <v>1754.970459603469</v>
      </c>
    </row>
    <row r="91" spans="3:37" x14ac:dyDescent="0.2">
      <c r="C91" s="634"/>
      <c r="D91" s="634">
        <v>0</v>
      </c>
      <c r="E91" s="634">
        <v>0</v>
      </c>
      <c r="F91" s="634">
        <v>0</v>
      </c>
      <c r="G91" s="634">
        <v>0</v>
      </c>
      <c r="H91" s="634">
        <v>0</v>
      </c>
      <c r="I91" s="634">
        <v>0</v>
      </c>
      <c r="J91" s="634">
        <v>0</v>
      </c>
      <c r="K91" s="634">
        <v>0</v>
      </c>
      <c r="L91" s="634">
        <v>0</v>
      </c>
      <c r="M91" s="634">
        <v>0</v>
      </c>
      <c r="N91" s="634">
        <v>0</v>
      </c>
      <c r="O91" s="634">
        <v>0</v>
      </c>
      <c r="P91" s="634">
        <v>0</v>
      </c>
      <c r="Q91" s="634">
        <v>0</v>
      </c>
      <c r="R91" s="634">
        <v>0</v>
      </c>
      <c r="S91" s="634">
        <v>0</v>
      </c>
      <c r="U91" s="634"/>
      <c r="V91" s="634">
        <v>0</v>
      </c>
      <c r="W91" s="634">
        <v>0</v>
      </c>
      <c r="X91" s="634">
        <v>0</v>
      </c>
      <c r="Y91" s="634">
        <v>0</v>
      </c>
      <c r="Z91" s="634">
        <v>0</v>
      </c>
      <c r="AA91" s="634">
        <v>0</v>
      </c>
      <c r="AB91" s="634">
        <v>0</v>
      </c>
      <c r="AC91" s="634">
        <v>0</v>
      </c>
      <c r="AD91" s="634">
        <v>0</v>
      </c>
      <c r="AE91" s="634">
        <v>0</v>
      </c>
      <c r="AF91" s="634">
        <v>0</v>
      </c>
      <c r="AG91" s="634">
        <v>0</v>
      </c>
      <c r="AH91" s="634">
        <v>0</v>
      </c>
      <c r="AI91" s="634">
        <v>0</v>
      </c>
      <c r="AJ91" s="634">
        <v>0</v>
      </c>
      <c r="AK91" s="634">
        <v>0</v>
      </c>
    </row>
    <row r="92" spans="3:37" x14ac:dyDescent="0.2">
      <c r="C92" s="646" t="s">
        <v>67</v>
      </c>
      <c r="D92" s="640">
        <v>0</v>
      </c>
      <c r="E92" s="647">
        <v>0</v>
      </c>
      <c r="F92" s="647">
        <v>0</v>
      </c>
      <c r="G92" s="640">
        <v>0</v>
      </c>
      <c r="H92" s="640">
        <v>0</v>
      </c>
      <c r="I92" s="640">
        <v>0</v>
      </c>
      <c r="J92" s="640">
        <v>0</v>
      </c>
      <c r="K92" s="640">
        <v>0</v>
      </c>
      <c r="L92" s="640">
        <v>0</v>
      </c>
      <c r="M92" s="640">
        <v>0</v>
      </c>
      <c r="N92" s="640">
        <v>0</v>
      </c>
      <c r="O92" s="640">
        <v>0</v>
      </c>
      <c r="P92" s="640">
        <v>0</v>
      </c>
      <c r="Q92" s="640">
        <v>0</v>
      </c>
      <c r="R92" s="640">
        <v>0</v>
      </c>
      <c r="S92" s="648">
        <v>0</v>
      </c>
      <c r="U92" s="646" t="s">
        <v>67</v>
      </c>
      <c r="V92" s="640">
        <v>0</v>
      </c>
      <c r="W92" s="647">
        <v>0</v>
      </c>
      <c r="X92" s="647">
        <v>0</v>
      </c>
      <c r="Y92" s="640">
        <v>0</v>
      </c>
      <c r="Z92" s="640">
        <v>0</v>
      </c>
      <c r="AA92" s="640">
        <v>0</v>
      </c>
      <c r="AB92" s="640">
        <v>0</v>
      </c>
      <c r="AC92" s="640">
        <v>0</v>
      </c>
      <c r="AD92" s="640">
        <v>0</v>
      </c>
      <c r="AE92" s="640">
        <v>0</v>
      </c>
      <c r="AF92" s="640">
        <v>0</v>
      </c>
      <c r="AG92" s="640">
        <v>0</v>
      </c>
      <c r="AH92" s="640">
        <v>0</v>
      </c>
      <c r="AI92" s="640">
        <v>0</v>
      </c>
      <c r="AJ92" s="640">
        <v>0</v>
      </c>
      <c r="AK92" s="648">
        <v>0</v>
      </c>
    </row>
    <row r="93" spans="3:37" x14ac:dyDescent="0.2">
      <c r="C93" s="646" t="s">
        <v>347</v>
      </c>
      <c r="D93" s="640">
        <v>2.8267856410252494</v>
      </c>
      <c r="E93" s="640">
        <v>0</v>
      </c>
      <c r="F93" s="640">
        <v>7.9230776783294274</v>
      </c>
      <c r="G93" s="640">
        <v>16.680851063829788</v>
      </c>
      <c r="H93" s="640">
        <v>843.18181818181824</v>
      </c>
      <c r="I93" s="640">
        <v>306.94588327561422</v>
      </c>
      <c r="J93" s="649">
        <v>28.98717588629853</v>
      </c>
      <c r="K93" s="649">
        <v>6.5903281241207718</v>
      </c>
      <c r="L93" s="649">
        <v>3.3436367529727189</v>
      </c>
      <c r="M93" s="649">
        <v>0.46654149749263618</v>
      </c>
      <c r="N93" s="649">
        <v>0</v>
      </c>
      <c r="O93" s="649">
        <v>7.0184114557160298</v>
      </c>
      <c r="P93" s="640">
        <v>-616.92993037811448</v>
      </c>
      <c r="Q93" s="640">
        <v>0</v>
      </c>
      <c r="R93" s="640">
        <v>0</v>
      </c>
      <c r="S93" s="648">
        <v>607.03457917910316</v>
      </c>
      <c r="U93" s="646" t="s">
        <v>347</v>
      </c>
      <c r="V93" s="640">
        <v>0.62631490545869017</v>
      </c>
      <c r="W93" s="640">
        <v>0</v>
      </c>
      <c r="X93" s="640">
        <v>4.0594413146930641</v>
      </c>
      <c r="Y93" s="640">
        <v>2.3404255319148937</v>
      </c>
      <c r="Z93" s="640">
        <v>842.12121212121212</v>
      </c>
      <c r="AA93" s="640">
        <v>361.66588327561419</v>
      </c>
      <c r="AB93" s="649">
        <v>23.182357378111952</v>
      </c>
      <c r="AC93" s="649">
        <v>5.3775678130216455</v>
      </c>
      <c r="AD93" s="649">
        <v>3.3436367529727189</v>
      </c>
      <c r="AE93" s="649">
        <v>2.4665414974926363</v>
      </c>
      <c r="AF93" s="649">
        <v>0</v>
      </c>
      <c r="AG93" s="649">
        <v>7.0184114557160298</v>
      </c>
      <c r="AH93" s="640">
        <v>-662.7499303781143</v>
      </c>
      <c r="AI93" s="640">
        <v>0</v>
      </c>
      <c r="AJ93" s="640">
        <v>4.25</v>
      </c>
      <c r="AK93" s="648">
        <v>593.70186166809344</v>
      </c>
    </row>
    <row r="94" spans="3:37" x14ac:dyDescent="0.2">
      <c r="C94" s="646" t="s">
        <v>348</v>
      </c>
      <c r="D94" s="640">
        <v>0</v>
      </c>
      <c r="E94" s="640">
        <v>0</v>
      </c>
      <c r="F94" s="640">
        <v>0</v>
      </c>
      <c r="G94" s="640">
        <v>14.843815057329421</v>
      </c>
      <c r="H94" s="640">
        <v>0</v>
      </c>
      <c r="I94" s="640">
        <v>0</v>
      </c>
      <c r="J94" s="649">
        <v>12.357161229114668</v>
      </c>
      <c r="K94" s="649">
        <v>11.882304060636951</v>
      </c>
      <c r="L94" s="649">
        <v>0</v>
      </c>
      <c r="M94" s="649">
        <v>0.31804644322561132</v>
      </c>
      <c r="N94" s="649">
        <v>0</v>
      </c>
      <c r="O94" s="649">
        <v>2.0992086164963606</v>
      </c>
      <c r="P94" s="640">
        <v>0</v>
      </c>
      <c r="Q94" s="640">
        <v>-37.805081951347923</v>
      </c>
      <c r="R94" s="640">
        <v>0</v>
      </c>
      <c r="S94" s="648">
        <v>3.6954534554550835</v>
      </c>
      <c r="U94" s="646" t="s">
        <v>348</v>
      </c>
      <c r="V94" s="640">
        <v>0</v>
      </c>
      <c r="W94" s="640">
        <v>0</v>
      </c>
      <c r="X94" s="640">
        <v>0</v>
      </c>
      <c r="Y94" s="640">
        <v>6.4668066457611202</v>
      </c>
      <c r="Z94" s="640">
        <v>0</v>
      </c>
      <c r="AA94" s="640">
        <v>0</v>
      </c>
      <c r="AB94" s="649">
        <v>28.361573193229066</v>
      </c>
      <c r="AC94" s="649">
        <v>26.076316433417247</v>
      </c>
      <c r="AD94" s="649">
        <v>0</v>
      </c>
      <c r="AE94" s="649">
        <v>6.4819180878167435</v>
      </c>
      <c r="AF94" s="649">
        <v>0</v>
      </c>
      <c r="AG94" s="649">
        <v>12.550380584079129</v>
      </c>
      <c r="AH94" s="640">
        <v>0</v>
      </c>
      <c r="AI94" s="640">
        <v>-74.043519390541746</v>
      </c>
      <c r="AJ94" s="640">
        <v>0</v>
      </c>
      <c r="AK94" s="648">
        <v>5.8934755537615651</v>
      </c>
    </row>
    <row r="95" spans="3:37" x14ac:dyDescent="0.2">
      <c r="C95" s="646" t="s">
        <v>349</v>
      </c>
      <c r="D95" s="640">
        <v>0</v>
      </c>
      <c r="E95" s="640">
        <v>0</v>
      </c>
      <c r="F95" s="640">
        <v>0</v>
      </c>
      <c r="G95" s="640">
        <v>0</v>
      </c>
      <c r="H95" s="640">
        <v>0</v>
      </c>
      <c r="I95" s="640">
        <v>0</v>
      </c>
      <c r="J95" s="650">
        <v>6.8755991242523775</v>
      </c>
      <c r="K95" s="650">
        <v>0</v>
      </c>
      <c r="L95" s="650">
        <v>0</v>
      </c>
      <c r="M95" s="650">
        <v>-6.4200906822706569</v>
      </c>
      <c r="N95" s="650">
        <v>0</v>
      </c>
      <c r="O95" s="650">
        <v>0</v>
      </c>
      <c r="P95" s="640">
        <v>0</v>
      </c>
      <c r="Q95" s="640">
        <v>0</v>
      </c>
      <c r="R95" s="640">
        <v>0</v>
      </c>
      <c r="S95" s="648">
        <v>0.45550844198172058</v>
      </c>
      <c r="U95" s="646" t="s">
        <v>349</v>
      </c>
      <c r="V95" s="640">
        <v>0</v>
      </c>
      <c r="W95" s="640">
        <v>0</v>
      </c>
      <c r="X95" s="640">
        <v>0</v>
      </c>
      <c r="Y95" s="640">
        <v>0</v>
      </c>
      <c r="Z95" s="640">
        <v>0</v>
      </c>
      <c r="AA95" s="640">
        <v>0</v>
      </c>
      <c r="AB95" s="650">
        <v>86.654179241552072</v>
      </c>
      <c r="AC95" s="650">
        <v>0</v>
      </c>
      <c r="AD95" s="650">
        <v>0</v>
      </c>
      <c r="AE95" s="650">
        <v>-80.913339866799248</v>
      </c>
      <c r="AF95" s="650">
        <v>0</v>
      </c>
      <c r="AG95" s="650">
        <v>0</v>
      </c>
      <c r="AH95" s="640">
        <v>0</v>
      </c>
      <c r="AI95" s="640">
        <v>0</v>
      </c>
      <c r="AJ95" s="640">
        <v>0</v>
      </c>
      <c r="AK95" s="648">
        <v>5.7408393747528237</v>
      </c>
    </row>
    <row r="96" spans="3:37" x14ac:dyDescent="0.2">
      <c r="C96" s="646" t="s">
        <v>350</v>
      </c>
      <c r="D96" s="640">
        <v>0</v>
      </c>
      <c r="E96" s="640">
        <v>0</v>
      </c>
      <c r="F96" s="640">
        <v>0</v>
      </c>
      <c r="G96" s="640">
        <v>0</v>
      </c>
      <c r="H96" s="640">
        <v>0</v>
      </c>
      <c r="I96" s="640">
        <v>0</v>
      </c>
      <c r="J96" s="640">
        <v>0</v>
      </c>
      <c r="K96" s="640">
        <v>0</v>
      </c>
      <c r="L96" s="640">
        <v>0</v>
      </c>
      <c r="M96" s="640">
        <v>0</v>
      </c>
      <c r="N96" s="640">
        <v>0</v>
      </c>
      <c r="O96" s="640">
        <v>0</v>
      </c>
      <c r="P96" s="640">
        <v>0</v>
      </c>
      <c r="Q96" s="640">
        <v>0</v>
      </c>
      <c r="R96" s="640">
        <v>0</v>
      </c>
      <c r="S96" s="648">
        <v>0</v>
      </c>
      <c r="U96" s="646" t="s">
        <v>350</v>
      </c>
      <c r="V96" s="640">
        <v>0</v>
      </c>
      <c r="W96" s="640">
        <v>0</v>
      </c>
      <c r="X96" s="640">
        <v>0</v>
      </c>
      <c r="Y96" s="640">
        <v>0</v>
      </c>
      <c r="Z96" s="640">
        <v>0</v>
      </c>
      <c r="AA96" s="640">
        <v>0</v>
      </c>
      <c r="AB96" s="640">
        <v>0</v>
      </c>
      <c r="AC96" s="640">
        <v>0</v>
      </c>
      <c r="AD96" s="640">
        <v>0</v>
      </c>
      <c r="AE96" s="640">
        <v>0</v>
      </c>
      <c r="AF96" s="640">
        <v>0</v>
      </c>
      <c r="AG96" s="640">
        <v>0</v>
      </c>
      <c r="AH96" s="640">
        <v>0</v>
      </c>
      <c r="AI96" s="640">
        <v>0</v>
      </c>
      <c r="AJ96" s="640">
        <v>0</v>
      </c>
      <c r="AK96" s="648">
        <v>0</v>
      </c>
    </row>
    <row r="97" spans="3:37" x14ac:dyDescent="0.2">
      <c r="C97" s="646" t="s">
        <v>72</v>
      </c>
      <c r="D97" s="640">
        <v>0</v>
      </c>
      <c r="E97" s="640">
        <v>501.8858109321676</v>
      </c>
      <c r="F97" s="640">
        <v>-496.86695282284592</v>
      </c>
      <c r="G97" s="640">
        <v>0</v>
      </c>
      <c r="H97" s="640">
        <v>0</v>
      </c>
      <c r="I97" s="640">
        <v>0</v>
      </c>
      <c r="J97" s="640">
        <v>0</v>
      </c>
      <c r="K97" s="640">
        <v>0</v>
      </c>
      <c r="L97" s="640">
        <v>0</v>
      </c>
      <c r="M97" s="640">
        <v>0</v>
      </c>
      <c r="N97" s="640">
        <v>0</v>
      </c>
      <c r="O97" s="640">
        <v>0</v>
      </c>
      <c r="P97" s="640">
        <v>0</v>
      </c>
      <c r="Q97" s="640">
        <v>0</v>
      </c>
      <c r="R97" s="640">
        <v>0</v>
      </c>
      <c r="S97" s="648">
        <v>5.018858109321684</v>
      </c>
      <c r="U97" s="646" t="s">
        <v>72</v>
      </c>
      <c r="V97" s="640">
        <v>0</v>
      </c>
      <c r="W97" s="640">
        <v>196.75884188687598</v>
      </c>
      <c r="X97" s="640">
        <v>-194.79125346800723</v>
      </c>
      <c r="Y97" s="640">
        <v>0</v>
      </c>
      <c r="Z97" s="640">
        <v>0</v>
      </c>
      <c r="AA97" s="640">
        <v>0</v>
      </c>
      <c r="AB97" s="640">
        <v>0</v>
      </c>
      <c r="AC97" s="640">
        <v>0</v>
      </c>
      <c r="AD97" s="640">
        <v>0</v>
      </c>
      <c r="AE97" s="640">
        <v>0</v>
      </c>
      <c r="AF97" s="640">
        <v>0</v>
      </c>
      <c r="AG97" s="640">
        <v>0</v>
      </c>
      <c r="AH97" s="640">
        <v>0</v>
      </c>
      <c r="AI97" s="640">
        <v>0</v>
      </c>
      <c r="AJ97" s="640">
        <v>0</v>
      </c>
      <c r="AK97" s="648">
        <v>1.9675884188687576</v>
      </c>
    </row>
    <row r="98" spans="3:37" x14ac:dyDescent="0.2">
      <c r="C98" s="646" t="s">
        <v>351</v>
      </c>
      <c r="D98" s="640">
        <v>0</v>
      </c>
      <c r="E98" s="640">
        <v>0</v>
      </c>
      <c r="F98" s="640">
        <v>0</v>
      </c>
      <c r="G98" s="640">
        <v>0</v>
      </c>
      <c r="H98" s="640">
        <v>0</v>
      </c>
      <c r="I98" s="640">
        <v>0</v>
      </c>
      <c r="J98" s="640">
        <v>26.867608526350821</v>
      </c>
      <c r="K98" s="640">
        <v>0</v>
      </c>
      <c r="L98" s="640">
        <v>-26.867608526350821</v>
      </c>
      <c r="M98" s="640">
        <v>0</v>
      </c>
      <c r="N98" s="640">
        <v>0</v>
      </c>
      <c r="O98" s="640">
        <v>0</v>
      </c>
      <c r="P98" s="640">
        <v>0</v>
      </c>
      <c r="Q98" s="640">
        <v>0</v>
      </c>
      <c r="R98" s="640">
        <v>0</v>
      </c>
      <c r="S98" s="648">
        <v>0</v>
      </c>
      <c r="U98" s="646" t="s">
        <v>351</v>
      </c>
      <c r="V98" s="640">
        <v>0</v>
      </c>
      <c r="W98" s="640">
        <v>0</v>
      </c>
      <c r="X98" s="640">
        <v>0</v>
      </c>
      <c r="Y98" s="640">
        <v>0</v>
      </c>
      <c r="Z98" s="640">
        <v>0</v>
      </c>
      <c r="AA98" s="640">
        <v>0</v>
      </c>
      <c r="AB98" s="640" t="e">
        <v>#VALUE!</v>
      </c>
      <c r="AC98" s="640">
        <v>0</v>
      </c>
      <c r="AD98" s="640">
        <v>-99.513749603669936</v>
      </c>
      <c r="AE98" s="640">
        <v>0</v>
      </c>
      <c r="AF98" s="640">
        <v>0</v>
      </c>
      <c r="AG98" s="640">
        <v>0</v>
      </c>
      <c r="AH98" s="640">
        <v>0</v>
      </c>
      <c r="AI98" s="640">
        <v>0</v>
      </c>
      <c r="AJ98" s="640">
        <v>0</v>
      </c>
      <c r="AK98" s="648">
        <v>-99.513749603669936</v>
      </c>
    </row>
    <row r="99" spans="3:37" x14ac:dyDescent="0.2">
      <c r="C99" s="646" t="s">
        <v>352</v>
      </c>
      <c r="D99" s="640">
        <v>0</v>
      </c>
      <c r="E99" s="640">
        <v>0</v>
      </c>
      <c r="F99" s="640">
        <v>0</v>
      </c>
      <c r="G99" s="640">
        <v>0</v>
      </c>
      <c r="H99" s="640">
        <v>0</v>
      </c>
      <c r="I99" s="640">
        <v>0</v>
      </c>
      <c r="J99" s="640">
        <v>0</v>
      </c>
      <c r="K99" s="640">
        <v>0</v>
      </c>
      <c r="L99" s="640">
        <v>0</v>
      </c>
      <c r="M99" s="640">
        <v>0</v>
      </c>
      <c r="N99" s="640">
        <v>0</v>
      </c>
      <c r="O99" s="640">
        <v>0</v>
      </c>
      <c r="P99" s="640">
        <v>0</v>
      </c>
      <c r="Q99" s="640">
        <v>0</v>
      </c>
      <c r="R99" s="640">
        <v>0</v>
      </c>
      <c r="S99" s="648">
        <v>0</v>
      </c>
      <c r="U99" s="646" t="s">
        <v>352</v>
      </c>
      <c r="V99" s="640">
        <v>0</v>
      </c>
      <c r="W99" s="640">
        <v>0</v>
      </c>
      <c r="X99" s="640">
        <v>0</v>
      </c>
      <c r="Y99" s="640">
        <v>0</v>
      </c>
      <c r="Z99" s="640">
        <v>0</v>
      </c>
      <c r="AA99" s="640">
        <v>0</v>
      </c>
      <c r="AB99" s="640">
        <v>0</v>
      </c>
      <c r="AC99" s="640">
        <v>0</v>
      </c>
      <c r="AD99" s="640">
        <v>-17.985934640167208</v>
      </c>
      <c r="AE99" s="640">
        <v>0</v>
      </c>
      <c r="AF99" s="640">
        <v>0</v>
      </c>
      <c r="AG99" s="640">
        <v>0</v>
      </c>
      <c r="AH99" s="640">
        <v>0</v>
      </c>
      <c r="AI99" s="640">
        <v>0</v>
      </c>
      <c r="AJ99" s="640">
        <v>0</v>
      </c>
      <c r="AK99" s="648">
        <v>-17.985934640167208</v>
      </c>
    </row>
    <row r="100" spans="3:37" x14ac:dyDescent="0.2">
      <c r="C100" s="646" t="s">
        <v>73</v>
      </c>
      <c r="D100" s="640">
        <v>0</v>
      </c>
      <c r="E100" s="640">
        <v>0</v>
      </c>
      <c r="F100" s="640">
        <v>0</v>
      </c>
      <c r="G100" s="640">
        <v>7.0830222331165276</v>
      </c>
      <c r="H100" s="640">
        <v>0</v>
      </c>
      <c r="I100" s="640">
        <v>0</v>
      </c>
      <c r="J100" s="640">
        <v>0</v>
      </c>
      <c r="K100" s="640">
        <v>8.2131519400701847E-2</v>
      </c>
      <c r="L100" s="640">
        <v>0</v>
      </c>
      <c r="M100" s="640">
        <v>0.14455147414523528</v>
      </c>
      <c r="N100" s="640">
        <v>0</v>
      </c>
      <c r="O100" s="640">
        <v>0</v>
      </c>
      <c r="P100" s="640">
        <v>0.90023160054861806</v>
      </c>
      <c r="Q100" s="640">
        <v>0</v>
      </c>
      <c r="R100" s="640">
        <v>-5.7492063580491291</v>
      </c>
      <c r="S100" s="648">
        <v>2.4607304691619536</v>
      </c>
      <c r="U100" s="646" t="s">
        <v>73</v>
      </c>
      <c r="V100" s="640">
        <v>0</v>
      </c>
      <c r="W100" s="640">
        <v>0</v>
      </c>
      <c r="X100" s="640">
        <v>0</v>
      </c>
      <c r="Y100" s="640">
        <v>2.5209228009552263</v>
      </c>
      <c r="Z100" s="640">
        <v>0</v>
      </c>
      <c r="AA100" s="640">
        <v>0</v>
      </c>
      <c r="AB100" s="640">
        <v>0</v>
      </c>
      <c r="AC100" s="640">
        <v>0.50418456019104518</v>
      </c>
      <c r="AD100" s="640">
        <v>0</v>
      </c>
      <c r="AE100" s="640">
        <v>2.5209228009552263</v>
      </c>
      <c r="AF100" s="640">
        <v>0</v>
      </c>
      <c r="AG100" s="640">
        <v>0</v>
      </c>
      <c r="AH100" s="640">
        <v>44.712737508757456</v>
      </c>
      <c r="AI100" s="640">
        <v>0</v>
      </c>
      <c r="AJ100" s="640">
        <v>-35.29291921337316</v>
      </c>
      <c r="AK100" s="648">
        <v>14.965848457485791</v>
      </c>
    </row>
    <row r="101" spans="3:37" x14ac:dyDescent="0.2">
      <c r="C101" s="646" t="s">
        <v>353</v>
      </c>
      <c r="D101" s="640">
        <v>28.568314687499999</v>
      </c>
      <c r="E101" s="640">
        <v>-17.390343348799608</v>
      </c>
      <c r="F101" s="640">
        <v>22.745541936068136</v>
      </c>
      <c r="G101" s="640">
        <v>0</v>
      </c>
      <c r="H101" s="640">
        <v>0</v>
      </c>
      <c r="I101" s="640">
        <v>0</v>
      </c>
      <c r="J101" s="640">
        <v>0</v>
      </c>
      <c r="K101" s="640">
        <v>0</v>
      </c>
      <c r="L101" s="640">
        <v>0</v>
      </c>
      <c r="M101" s="640">
        <v>0</v>
      </c>
      <c r="N101" s="640">
        <v>0</v>
      </c>
      <c r="O101" s="640">
        <v>0</v>
      </c>
      <c r="P101" s="640">
        <v>0</v>
      </c>
      <c r="Q101" s="640">
        <v>0</v>
      </c>
      <c r="R101" s="640">
        <v>0</v>
      </c>
      <c r="S101" s="648">
        <v>33.923513274768524</v>
      </c>
      <c r="U101" s="646" t="s">
        <v>353</v>
      </c>
      <c r="V101" s="640">
        <v>1.4001075134277343</v>
      </c>
      <c r="W101" s="640">
        <v>-6.8176938713802535</v>
      </c>
      <c r="X101" s="640">
        <v>8.9171408952922331</v>
      </c>
      <c r="Y101" s="640">
        <v>0</v>
      </c>
      <c r="Z101" s="640">
        <v>0</v>
      </c>
      <c r="AA101" s="640">
        <v>0</v>
      </c>
      <c r="AB101" s="640">
        <v>0</v>
      </c>
      <c r="AC101" s="640">
        <v>0</v>
      </c>
      <c r="AD101" s="640">
        <v>0</v>
      </c>
      <c r="AE101" s="640">
        <v>0</v>
      </c>
      <c r="AF101" s="640">
        <v>0</v>
      </c>
      <c r="AG101" s="640">
        <v>0</v>
      </c>
      <c r="AH101" s="640">
        <v>0</v>
      </c>
      <c r="AI101" s="640">
        <v>0</v>
      </c>
      <c r="AJ101" s="640">
        <v>0</v>
      </c>
      <c r="AK101" s="648">
        <v>3.4995545373397139</v>
      </c>
    </row>
    <row r="102" spans="3:37" x14ac:dyDescent="0.2">
      <c r="C102" s="646" t="s">
        <v>75</v>
      </c>
      <c r="D102" s="640">
        <v>11.109900156250001</v>
      </c>
      <c r="E102" s="640">
        <v>0</v>
      </c>
      <c r="F102" s="640">
        <v>17.0641175716937</v>
      </c>
      <c r="G102" s="640">
        <v>4.8692961376638904</v>
      </c>
      <c r="H102" s="640">
        <v>0</v>
      </c>
      <c r="I102" s="640">
        <v>0</v>
      </c>
      <c r="J102" s="640">
        <v>0</v>
      </c>
      <c r="K102" s="640">
        <v>0</v>
      </c>
      <c r="L102" s="640">
        <v>0</v>
      </c>
      <c r="M102" s="640">
        <v>9.9373390564569189E-2</v>
      </c>
      <c r="N102" s="640">
        <v>0</v>
      </c>
      <c r="O102" s="640">
        <v>0</v>
      </c>
      <c r="P102" s="640">
        <v>27.977940148174714</v>
      </c>
      <c r="Q102" s="640">
        <v>0</v>
      </c>
      <c r="R102" s="640">
        <v>0</v>
      </c>
      <c r="S102" s="648">
        <v>61.12062740434687</v>
      </c>
      <c r="U102" s="646" t="s">
        <v>75</v>
      </c>
      <c r="V102" s="640">
        <v>2.585423095703125</v>
      </c>
      <c r="W102" s="640">
        <v>0</v>
      </c>
      <c r="X102" s="640">
        <v>17.0641175716937</v>
      </c>
      <c r="Y102" s="640">
        <v>2.4843347641142297</v>
      </c>
      <c r="Z102" s="640">
        <v>0</v>
      </c>
      <c r="AA102" s="640">
        <v>0</v>
      </c>
      <c r="AB102" s="640">
        <v>0</v>
      </c>
      <c r="AC102" s="640">
        <v>0</v>
      </c>
      <c r="AD102" s="640">
        <v>0</v>
      </c>
      <c r="AE102" s="640">
        <v>2.4843347641142297</v>
      </c>
      <c r="AF102" s="640">
        <v>0</v>
      </c>
      <c r="AG102" s="640">
        <v>0</v>
      </c>
      <c r="AH102" s="640">
        <v>36.559985602720168</v>
      </c>
      <c r="AI102" s="640">
        <v>0</v>
      </c>
      <c r="AJ102" s="640">
        <v>0</v>
      </c>
      <c r="AK102" s="648">
        <v>61.178195798345449</v>
      </c>
    </row>
    <row r="103" spans="3:37" x14ac:dyDescent="0.2">
      <c r="C103" s="646" t="s">
        <v>76</v>
      </c>
      <c r="D103" s="640">
        <v>0</v>
      </c>
      <c r="E103" s="640">
        <v>0</v>
      </c>
      <c r="F103" s="640">
        <v>0</v>
      </c>
      <c r="G103" s="640">
        <v>3.7302503173667452</v>
      </c>
      <c r="H103" s="640">
        <v>0</v>
      </c>
      <c r="I103" s="640">
        <v>0</v>
      </c>
      <c r="J103" s="640">
        <v>0</v>
      </c>
      <c r="K103" s="640">
        <v>0</v>
      </c>
      <c r="L103" s="640">
        <v>0</v>
      </c>
      <c r="M103" s="640">
        <v>7.6127557497280507E-2</v>
      </c>
      <c r="N103" s="640">
        <v>0</v>
      </c>
      <c r="O103" s="640">
        <v>0</v>
      </c>
      <c r="P103" s="640">
        <v>45.919010237367587</v>
      </c>
      <c r="Q103" s="640">
        <v>2.9343505562312622</v>
      </c>
      <c r="R103" s="640">
        <v>0</v>
      </c>
      <c r="S103" s="648">
        <v>52.659738668462872</v>
      </c>
      <c r="U103" s="646" t="s">
        <v>76</v>
      </c>
      <c r="V103" s="640">
        <v>0</v>
      </c>
      <c r="W103" s="640">
        <v>0</v>
      </c>
      <c r="X103" s="640">
        <v>0</v>
      </c>
      <c r="Y103" s="640">
        <v>0.95944671778813329</v>
      </c>
      <c r="Z103" s="640">
        <v>0</v>
      </c>
      <c r="AA103" s="640">
        <v>0</v>
      </c>
      <c r="AB103" s="640">
        <v>0</v>
      </c>
      <c r="AC103" s="640">
        <v>0</v>
      </c>
      <c r="AD103" s="640">
        <v>0</v>
      </c>
      <c r="AE103" s="640">
        <v>0.95944671778813329</v>
      </c>
      <c r="AF103" s="640">
        <v>0</v>
      </c>
      <c r="AG103" s="640">
        <v>0</v>
      </c>
      <c r="AH103" s="640">
        <v>49.138117436745475</v>
      </c>
      <c r="AI103" s="640">
        <v>5.7424951548403769</v>
      </c>
      <c r="AJ103" s="640">
        <v>0</v>
      </c>
      <c r="AK103" s="648">
        <v>56.799506027162117</v>
      </c>
    </row>
    <row r="104" spans="3:37" x14ac:dyDescent="0.2">
      <c r="C104" s="644" t="s">
        <v>77</v>
      </c>
      <c r="D104" s="645">
        <v>42.505000484775252</v>
      </c>
      <c r="E104" s="645">
        <v>484.495467583368</v>
      </c>
      <c r="F104" s="645">
        <v>-449.13421563675462</v>
      </c>
      <c r="G104" s="645">
        <v>47.207234809306371</v>
      </c>
      <c r="H104" s="645">
        <v>843.18181818181824</v>
      </c>
      <c r="I104" s="645">
        <v>306.94588327561422</v>
      </c>
      <c r="J104" s="645">
        <v>75.087544766016393</v>
      </c>
      <c r="K104" s="645">
        <v>18.554763704158422</v>
      </c>
      <c r="L104" s="645">
        <v>-23.523971773378101</v>
      </c>
      <c r="M104" s="645">
        <v>-5.3154503193453246</v>
      </c>
      <c r="N104" s="645">
        <v>0</v>
      </c>
      <c r="O104" s="645">
        <v>9.1176200722123912</v>
      </c>
      <c r="P104" s="645">
        <v>-542.13274839202359</v>
      </c>
      <c r="Q104" s="645">
        <v>-34.870731395116664</v>
      </c>
      <c r="R104" s="645">
        <v>-5.7492063580491291</v>
      </c>
      <c r="S104" s="645">
        <v>766.36900900260184</v>
      </c>
      <c r="U104" s="644" t="s">
        <v>77</v>
      </c>
      <c r="V104" s="645">
        <v>4.6118455145895494</v>
      </c>
      <c r="W104" s="645">
        <v>189.94114801549574</v>
      </c>
      <c r="X104" s="645">
        <v>-164.75055368632826</v>
      </c>
      <c r="Y104" s="645">
        <v>14.771936460533603</v>
      </c>
      <c r="Z104" s="645">
        <v>842.12121212121212</v>
      </c>
      <c r="AA104" s="645">
        <v>361.66588327561419</v>
      </c>
      <c r="AB104" s="645">
        <v>138.19810981289308</v>
      </c>
      <c r="AC104" s="645">
        <v>31.958068806629939</v>
      </c>
      <c r="AD104" s="645">
        <v>-114.15604749086444</v>
      </c>
      <c r="AE104" s="645">
        <v>-66.000175998632287</v>
      </c>
      <c r="AF104" s="645">
        <v>0</v>
      </c>
      <c r="AG104" s="645">
        <v>19.568792039795159</v>
      </c>
      <c r="AH104" s="645">
        <v>-532.33908982989124</v>
      </c>
      <c r="AI104" s="645">
        <v>-68.301024235701377</v>
      </c>
      <c r="AJ104" s="645">
        <v>-31.04291921337316</v>
      </c>
      <c r="AK104" s="645">
        <v>626.24718559197242</v>
      </c>
    </row>
    <row r="105" spans="3:37" x14ac:dyDescent="0.2">
      <c r="C105" s="634"/>
      <c r="D105" s="634">
        <v>0</v>
      </c>
      <c r="E105" s="634">
        <v>0</v>
      </c>
      <c r="F105" s="634">
        <v>0</v>
      </c>
      <c r="G105" s="634">
        <v>0</v>
      </c>
      <c r="H105" s="634">
        <v>0</v>
      </c>
      <c r="I105" s="634">
        <v>0</v>
      </c>
      <c r="J105" s="634">
        <v>0</v>
      </c>
      <c r="K105" s="634">
        <v>0</v>
      </c>
      <c r="L105" s="634">
        <v>0</v>
      </c>
      <c r="M105" s="634">
        <v>0</v>
      </c>
      <c r="N105" s="634">
        <v>0</v>
      </c>
      <c r="O105" s="634">
        <v>0</v>
      </c>
      <c r="P105" s="634">
        <v>0</v>
      </c>
      <c r="Q105" s="634">
        <v>0</v>
      </c>
      <c r="R105" s="634">
        <v>0</v>
      </c>
      <c r="S105" s="634">
        <v>0</v>
      </c>
      <c r="U105" s="634"/>
      <c r="V105" s="634">
        <v>0</v>
      </c>
      <c r="W105" s="634">
        <v>0</v>
      </c>
      <c r="X105" s="634">
        <v>0</v>
      </c>
      <c r="Y105" s="634">
        <v>0</v>
      </c>
      <c r="Z105" s="634">
        <v>0</v>
      </c>
      <c r="AA105" s="634">
        <v>0</v>
      </c>
      <c r="AB105" s="634">
        <v>0</v>
      </c>
      <c r="AC105" s="634">
        <v>0</v>
      </c>
      <c r="AD105" s="634">
        <v>0</v>
      </c>
      <c r="AE105" s="634">
        <v>0</v>
      </c>
      <c r="AF105" s="634">
        <v>0</v>
      </c>
      <c r="AG105" s="634">
        <v>0</v>
      </c>
      <c r="AH105" s="634">
        <v>0</v>
      </c>
      <c r="AI105" s="634">
        <v>0</v>
      </c>
      <c r="AJ105" s="634">
        <v>0</v>
      </c>
      <c r="AK105" s="634">
        <v>0</v>
      </c>
    </row>
    <row r="106" spans="3:37" x14ac:dyDescent="0.2">
      <c r="C106" s="646" t="s">
        <v>78</v>
      </c>
      <c r="D106" s="640">
        <v>4.6398193944555786</v>
      </c>
      <c r="E106" s="640">
        <v>0</v>
      </c>
      <c r="F106" s="640">
        <v>20.598782441852151</v>
      </c>
      <c r="G106" s="640">
        <v>94.839699954986926</v>
      </c>
      <c r="H106" s="640">
        <v>0</v>
      </c>
      <c r="I106" s="640">
        <v>0</v>
      </c>
      <c r="J106" s="640">
        <v>21.821162214793436</v>
      </c>
      <c r="K106" s="640">
        <v>1.7366010173968038</v>
      </c>
      <c r="L106" s="640">
        <v>0.96096945898437491</v>
      </c>
      <c r="M106" s="640">
        <v>1.9539169420126139</v>
      </c>
      <c r="N106" s="640">
        <v>0</v>
      </c>
      <c r="O106" s="640">
        <v>3.7537634069694789E-4</v>
      </c>
      <c r="P106" s="640">
        <v>113.419965125608</v>
      </c>
      <c r="Q106" s="640">
        <v>16.150451210263412</v>
      </c>
      <c r="R106" s="640">
        <v>0.26695886230468752</v>
      </c>
      <c r="S106" s="648">
        <v>276.38870199899873</v>
      </c>
      <c r="U106" s="646" t="s">
        <v>78</v>
      </c>
      <c r="V106" s="640">
        <v>1.264986561669641</v>
      </c>
      <c r="W106" s="640">
        <v>0</v>
      </c>
      <c r="X106" s="640">
        <v>4.4259635061357878</v>
      </c>
      <c r="Y106" s="640">
        <v>33.008089674756327</v>
      </c>
      <c r="Z106" s="640">
        <v>0</v>
      </c>
      <c r="AA106" s="640">
        <v>0</v>
      </c>
      <c r="AB106" s="640">
        <v>14.926911405045434</v>
      </c>
      <c r="AC106" s="640">
        <v>4.7591564459641997</v>
      </c>
      <c r="AD106" s="640">
        <v>6.4130046386718744</v>
      </c>
      <c r="AE106" s="640">
        <v>33.02650253605492</v>
      </c>
      <c r="AF106" s="640">
        <v>0</v>
      </c>
      <c r="AG106" s="640">
        <v>3.7537634069694789E-4</v>
      </c>
      <c r="AH106" s="640">
        <v>148.98135712801343</v>
      </c>
      <c r="AI106" s="640">
        <v>24.187634778338289</v>
      </c>
      <c r="AJ106" s="640">
        <v>7.9027373046875002</v>
      </c>
      <c r="AK106" s="648">
        <v>278.8967193556781</v>
      </c>
    </row>
    <row r="107" spans="3:37" x14ac:dyDescent="0.2">
      <c r="C107" s="646" t="s">
        <v>79</v>
      </c>
      <c r="D107" s="640">
        <v>0</v>
      </c>
      <c r="E107" s="640">
        <v>0</v>
      </c>
      <c r="F107" s="640">
        <v>225.72324837131151</v>
      </c>
      <c r="G107" s="640">
        <v>31.930807664827714</v>
      </c>
      <c r="H107" s="640">
        <v>0</v>
      </c>
      <c r="I107" s="640">
        <v>0</v>
      </c>
      <c r="J107" s="640">
        <v>0</v>
      </c>
      <c r="K107" s="640">
        <v>0</v>
      </c>
      <c r="L107" s="640">
        <v>21.777356740546686</v>
      </c>
      <c r="M107" s="640">
        <v>0.65164913601689212</v>
      </c>
      <c r="N107" s="640">
        <v>0</v>
      </c>
      <c r="O107" s="640">
        <v>0</v>
      </c>
      <c r="P107" s="640">
        <v>72.885841088882287</v>
      </c>
      <c r="Q107" s="640">
        <v>0</v>
      </c>
      <c r="R107" s="640">
        <v>2.6521266956987635</v>
      </c>
      <c r="S107" s="648">
        <v>355.62102969728386</v>
      </c>
      <c r="U107" s="646" t="s">
        <v>79</v>
      </c>
      <c r="V107" s="640">
        <v>0</v>
      </c>
      <c r="W107" s="640">
        <v>0</v>
      </c>
      <c r="X107" s="640">
        <v>19.003305935487372</v>
      </c>
      <c r="Y107" s="640">
        <v>13.267062862305856</v>
      </c>
      <c r="Z107" s="640">
        <v>0</v>
      </c>
      <c r="AA107" s="640">
        <v>0</v>
      </c>
      <c r="AB107" s="640">
        <v>0</v>
      </c>
      <c r="AC107" s="640">
        <v>0</v>
      </c>
      <c r="AD107" s="640">
        <v>27.757428454399612</v>
      </c>
      <c r="AE107" s="640">
        <v>13.267062862305856</v>
      </c>
      <c r="AF107" s="640">
        <v>0</v>
      </c>
      <c r="AG107" s="640">
        <v>0</v>
      </c>
      <c r="AH107" s="640">
        <v>94.556676700547257</v>
      </c>
      <c r="AI107" s="640">
        <v>0</v>
      </c>
      <c r="AJ107" s="640">
        <v>6.3130917169295051</v>
      </c>
      <c r="AK107" s="648">
        <v>174.16462853197544</v>
      </c>
    </row>
    <row r="108" spans="3:37" x14ac:dyDescent="0.2">
      <c r="C108" s="646" t="s">
        <v>80</v>
      </c>
      <c r="D108" s="640">
        <v>0</v>
      </c>
      <c r="E108" s="640">
        <v>0</v>
      </c>
      <c r="F108" s="640">
        <v>11.075929176351762</v>
      </c>
      <c r="G108" s="640">
        <v>76.664751333295058</v>
      </c>
      <c r="H108" s="640">
        <v>0</v>
      </c>
      <c r="I108" s="640">
        <v>0</v>
      </c>
      <c r="J108" s="640">
        <v>88.320247059496523</v>
      </c>
      <c r="K108" s="640">
        <v>0</v>
      </c>
      <c r="L108" s="640">
        <v>0</v>
      </c>
      <c r="M108" s="640">
        <v>1.5645867619039808</v>
      </c>
      <c r="N108" s="640">
        <v>59.616390446150973</v>
      </c>
      <c r="O108" s="640">
        <v>2.0734984243972754</v>
      </c>
      <c r="P108" s="640">
        <v>190.93239321884863</v>
      </c>
      <c r="Q108" s="640">
        <v>15.360003531773184</v>
      </c>
      <c r="R108" s="640">
        <v>0</v>
      </c>
      <c r="S108" s="648">
        <v>445.60779995221742</v>
      </c>
      <c r="U108" s="646" t="s">
        <v>80</v>
      </c>
      <c r="V108" s="640">
        <v>0</v>
      </c>
      <c r="W108" s="640">
        <v>0</v>
      </c>
      <c r="X108" s="640">
        <v>0.97925934500211753</v>
      </c>
      <c r="Y108" s="640">
        <v>9.8253088649292142</v>
      </c>
      <c r="Z108" s="640">
        <v>0</v>
      </c>
      <c r="AA108" s="640">
        <v>0</v>
      </c>
      <c r="AB108" s="640">
        <v>50.204880630535357</v>
      </c>
      <c r="AC108" s="640">
        <v>0</v>
      </c>
      <c r="AD108" s="640">
        <v>0</v>
      </c>
      <c r="AE108" s="640">
        <v>9.8253088649292142</v>
      </c>
      <c r="AF108" s="640">
        <v>95.02342184325245</v>
      </c>
      <c r="AG108" s="640">
        <v>4.208312775429496</v>
      </c>
      <c r="AH108" s="640">
        <v>144.38732956018927</v>
      </c>
      <c r="AI108" s="640">
        <v>30.75075127630511</v>
      </c>
      <c r="AJ108" s="640">
        <v>0</v>
      </c>
      <c r="AK108" s="648">
        <v>345.20457316057224</v>
      </c>
    </row>
    <row r="109" spans="3:37" x14ac:dyDescent="0.2">
      <c r="C109" s="646" t="s">
        <v>81</v>
      </c>
      <c r="D109" s="640">
        <v>0</v>
      </c>
      <c r="E109" s="640">
        <v>0</v>
      </c>
      <c r="F109" s="640">
        <v>2.6743117433405894</v>
      </c>
      <c r="G109" s="640">
        <v>62.987223173923248</v>
      </c>
      <c r="H109" s="640">
        <v>0</v>
      </c>
      <c r="I109" s="640">
        <v>0</v>
      </c>
      <c r="J109" s="640">
        <v>3.1384766478070549</v>
      </c>
      <c r="K109" s="640">
        <v>2.5274117631643136E-2</v>
      </c>
      <c r="L109" s="640">
        <v>0</v>
      </c>
      <c r="M109" s="640">
        <v>1.2854535341616988</v>
      </c>
      <c r="N109" s="640">
        <v>8.34801759276524</v>
      </c>
      <c r="O109" s="640">
        <v>0.71507622546549865</v>
      </c>
      <c r="P109" s="640">
        <v>142.0321146826426</v>
      </c>
      <c r="Q109" s="640">
        <v>3.3602766530800707</v>
      </c>
      <c r="R109" s="640">
        <v>0</v>
      </c>
      <c r="S109" s="648">
        <v>224.56622437081765</v>
      </c>
      <c r="U109" s="646" t="s">
        <v>81</v>
      </c>
      <c r="V109" s="640">
        <v>0</v>
      </c>
      <c r="W109" s="640">
        <v>0</v>
      </c>
      <c r="X109" s="640">
        <v>1.2256055704751125</v>
      </c>
      <c r="Y109" s="640">
        <v>7.2918833253665882</v>
      </c>
      <c r="Z109" s="640">
        <v>0</v>
      </c>
      <c r="AA109" s="640">
        <v>0</v>
      </c>
      <c r="AB109" s="640">
        <v>6.8658928642747856</v>
      </c>
      <c r="AC109" s="640">
        <v>2.5274117631643136E-2</v>
      </c>
      <c r="AD109" s="640">
        <v>0</v>
      </c>
      <c r="AE109" s="640">
        <v>7.2918833253665882</v>
      </c>
      <c r="AF109" s="640">
        <v>14.828462979838848</v>
      </c>
      <c r="AG109" s="640">
        <v>1.5197231438340593</v>
      </c>
      <c r="AH109" s="640">
        <v>114.40426288608282</v>
      </c>
      <c r="AI109" s="640">
        <v>13.362638181057982</v>
      </c>
      <c r="AJ109" s="640">
        <v>0</v>
      </c>
      <c r="AK109" s="648">
        <v>166.8156263939284</v>
      </c>
    </row>
    <row r="110" spans="3:37" x14ac:dyDescent="0.2">
      <c r="C110" s="646" t="s">
        <v>82</v>
      </c>
      <c r="D110" s="640">
        <v>0</v>
      </c>
      <c r="E110" s="640">
        <v>0</v>
      </c>
      <c r="F110" s="640">
        <v>27.931723909553636</v>
      </c>
      <c r="G110" s="640">
        <v>0.95472649492283324</v>
      </c>
      <c r="H110" s="640">
        <v>0</v>
      </c>
      <c r="I110" s="640">
        <v>0</v>
      </c>
      <c r="J110" s="640">
        <v>4.6306119511950978</v>
      </c>
      <c r="K110" s="640">
        <v>0</v>
      </c>
      <c r="L110" s="640">
        <v>3.1934862443619529</v>
      </c>
      <c r="M110" s="640">
        <v>1.9484214182098638E-2</v>
      </c>
      <c r="N110" s="640">
        <v>0</v>
      </c>
      <c r="O110" s="640">
        <v>6.6456137421005312E-2</v>
      </c>
      <c r="P110" s="640">
        <v>5.7660712732306445</v>
      </c>
      <c r="Q110" s="640">
        <v>0</v>
      </c>
      <c r="R110" s="640">
        <v>0</v>
      </c>
      <c r="S110" s="648">
        <v>42.562560224867276</v>
      </c>
      <c r="U110" s="646" t="s">
        <v>82</v>
      </c>
      <c r="V110" s="640">
        <v>0</v>
      </c>
      <c r="W110" s="640">
        <v>0</v>
      </c>
      <c r="X110" s="640">
        <v>3.5775053425595864</v>
      </c>
      <c r="Y110" s="640">
        <v>0.56393102033742082</v>
      </c>
      <c r="Z110" s="640">
        <v>0</v>
      </c>
      <c r="AA110" s="640">
        <v>0</v>
      </c>
      <c r="AB110" s="640">
        <v>4.6306119511950978</v>
      </c>
      <c r="AC110" s="640">
        <v>0</v>
      </c>
      <c r="AD110" s="640">
        <v>32.861113305842508</v>
      </c>
      <c r="AE110" s="640">
        <v>0.56393102033742082</v>
      </c>
      <c r="AF110" s="640">
        <v>0</v>
      </c>
      <c r="AG110" s="640">
        <v>1.7440136932478227</v>
      </c>
      <c r="AH110" s="640">
        <v>5.8866318405152116</v>
      </c>
      <c r="AI110" s="640">
        <v>0</v>
      </c>
      <c r="AJ110" s="640">
        <v>0.38427420359697795</v>
      </c>
      <c r="AK110" s="648">
        <v>50.21201237763205</v>
      </c>
    </row>
    <row r="111" spans="3:37" x14ac:dyDescent="0.2">
      <c r="C111" s="646" t="s">
        <v>354</v>
      </c>
      <c r="D111" s="640">
        <v>0</v>
      </c>
      <c r="E111" s="640">
        <v>0</v>
      </c>
      <c r="F111" s="640">
        <v>0</v>
      </c>
      <c r="G111" s="640">
        <v>0</v>
      </c>
      <c r="H111" s="640">
        <v>0</v>
      </c>
      <c r="I111" s="640">
        <v>0</v>
      </c>
      <c r="J111" s="640">
        <v>0</v>
      </c>
      <c r="K111" s="640">
        <v>0</v>
      </c>
      <c r="L111" s="640">
        <v>0</v>
      </c>
      <c r="M111" s="640">
        <v>0</v>
      </c>
      <c r="N111" s="640">
        <v>0</v>
      </c>
      <c r="O111" s="640">
        <v>0</v>
      </c>
      <c r="P111" s="640">
        <v>0.39</v>
      </c>
      <c r="Q111" s="640">
        <v>0</v>
      </c>
      <c r="R111" s="640">
        <v>0</v>
      </c>
      <c r="S111" s="648">
        <v>0.39</v>
      </c>
      <c r="U111" s="646" t="s">
        <v>354</v>
      </c>
      <c r="V111" s="640">
        <v>0</v>
      </c>
      <c r="W111" s="640">
        <v>0</v>
      </c>
      <c r="X111" s="640">
        <v>0</v>
      </c>
      <c r="Y111" s="640">
        <v>0</v>
      </c>
      <c r="Z111" s="640">
        <v>0</v>
      </c>
      <c r="AA111" s="640">
        <v>0</v>
      </c>
      <c r="AB111" s="640">
        <v>0</v>
      </c>
      <c r="AC111" s="640">
        <v>0</v>
      </c>
      <c r="AD111" s="640">
        <v>0</v>
      </c>
      <c r="AE111" s="640">
        <v>0</v>
      </c>
      <c r="AF111" s="640">
        <v>0</v>
      </c>
      <c r="AG111" s="640">
        <v>0</v>
      </c>
      <c r="AH111" s="640">
        <v>3.5999999999999996</v>
      </c>
      <c r="AI111" s="640">
        <v>0</v>
      </c>
      <c r="AJ111" s="640">
        <v>0</v>
      </c>
      <c r="AK111" s="648">
        <v>3.5999999999999996</v>
      </c>
    </row>
    <row r="112" spans="3:37" x14ac:dyDescent="0.2">
      <c r="C112" s="644" t="s">
        <v>83</v>
      </c>
      <c r="D112" s="645">
        <v>4.6398193944555786</v>
      </c>
      <c r="E112" s="645">
        <v>0</v>
      </c>
      <c r="F112" s="645">
        <v>288.00399564240968</v>
      </c>
      <c r="G112" s="645">
        <v>267.37720862195579</v>
      </c>
      <c r="H112" s="645">
        <v>0</v>
      </c>
      <c r="I112" s="645">
        <v>0</v>
      </c>
      <c r="J112" s="645">
        <v>117.91049787329212</v>
      </c>
      <c r="K112" s="645">
        <v>1.7618751350284469</v>
      </c>
      <c r="L112" s="645">
        <v>25.931812443893016</v>
      </c>
      <c r="M112" s="645">
        <v>5.4750905882772853</v>
      </c>
      <c r="N112" s="645">
        <v>67.964408038916218</v>
      </c>
      <c r="O112" s="645">
        <v>2.8554061636244761</v>
      </c>
      <c r="P112" s="645">
        <v>525.4263853892121</v>
      </c>
      <c r="Q112" s="645">
        <v>34.870731395116664</v>
      </c>
      <c r="R112" s="645">
        <v>2.9190855580034509</v>
      </c>
      <c r="S112" s="645">
        <v>1345.1363162441851</v>
      </c>
      <c r="U112" s="644" t="s">
        <v>83</v>
      </c>
      <c r="V112" s="645">
        <v>1.264986561669641</v>
      </c>
      <c r="W112" s="645">
        <v>0</v>
      </c>
      <c r="X112" s="645">
        <v>29.211639699659976</v>
      </c>
      <c r="Y112" s="645">
        <v>63.956275747695408</v>
      </c>
      <c r="Z112" s="645">
        <v>0</v>
      </c>
      <c r="AA112" s="645">
        <v>0</v>
      </c>
      <c r="AB112" s="645">
        <v>76.628296851050663</v>
      </c>
      <c r="AC112" s="645">
        <v>4.7844305635958433</v>
      </c>
      <c r="AD112" s="645">
        <v>67.031546398914003</v>
      </c>
      <c r="AE112" s="645">
        <v>63.974688608994001</v>
      </c>
      <c r="AF112" s="645">
        <v>109.8518848230913</v>
      </c>
      <c r="AG112" s="645">
        <v>7.4724249888520751</v>
      </c>
      <c r="AH112" s="645">
        <v>511.81625811534803</v>
      </c>
      <c r="AI112" s="645">
        <v>68.301024235701377</v>
      </c>
      <c r="AJ112" s="645">
        <v>14.600103225213982</v>
      </c>
      <c r="AK112" s="645">
        <v>1018.8935598197862</v>
      </c>
    </row>
    <row r="113" spans="3:37" x14ac:dyDescent="0.2">
      <c r="C113" s="639" t="s">
        <v>84</v>
      </c>
      <c r="D113" s="640">
        <v>0</v>
      </c>
      <c r="E113" s="640">
        <v>0</v>
      </c>
      <c r="F113" s="640">
        <v>104.91003257681685</v>
      </c>
      <c r="G113" s="640">
        <v>11.505661507854215</v>
      </c>
      <c r="H113" s="640">
        <v>0</v>
      </c>
      <c r="I113" s="640">
        <v>0</v>
      </c>
      <c r="J113" s="640">
        <v>0</v>
      </c>
      <c r="K113" s="640">
        <v>0</v>
      </c>
      <c r="L113" s="640">
        <v>0</v>
      </c>
      <c r="M113" s="640">
        <v>0</v>
      </c>
      <c r="N113" s="640">
        <v>0</v>
      </c>
      <c r="O113" s="640">
        <v>0</v>
      </c>
      <c r="P113" s="640">
        <v>0</v>
      </c>
      <c r="Q113" s="640">
        <v>0</v>
      </c>
      <c r="R113" s="640">
        <v>2.8301208000456781</v>
      </c>
      <c r="S113" s="648">
        <v>119.24581488471674</v>
      </c>
      <c r="U113" s="639" t="s">
        <v>84</v>
      </c>
      <c r="V113" s="640">
        <v>0</v>
      </c>
      <c r="W113" s="640">
        <v>0</v>
      </c>
      <c r="X113" s="640">
        <v>70.401025384734808</v>
      </c>
      <c r="Y113" s="640">
        <v>0.81519182748409058</v>
      </c>
      <c r="Z113" s="640">
        <v>0</v>
      </c>
      <c r="AA113" s="640">
        <v>0</v>
      </c>
      <c r="AB113" s="640">
        <v>0</v>
      </c>
      <c r="AC113" s="640">
        <v>0</v>
      </c>
      <c r="AD113" s="640">
        <v>24.563190847778323</v>
      </c>
      <c r="AE113" s="640">
        <v>0</v>
      </c>
      <c r="AF113" s="640">
        <v>0</v>
      </c>
      <c r="AG113" s="640">
        <v>0</v>
      </c>
      <c r="AH113" s="640">
        <v>0</v>
      </c>
      <c r="AI113" s="640">
        <v>0</v>
      </c>
      <c r="AJ113" s="640">
        <v>16.442815988159179</v>
      </c>
      <c r="AK113" s="648">
        <v>112.22222404815641</v>
      </c>
    </row>
    <row r="114" spans="3:37" x14ac:dyDescent="0.2">
      <c r="C114" s="644" t="s">
        <v>85</v>
      </c>
      <c r="D114" s="645">
        <v>4.6398193944555786</v>
      </c>
      <c r="E114" s="645">
        <v>0</v>
      </c>
      <c r="F114" s="645">
        <v>392.91402821922651</v>
      </c>
      <c r="G114" s="645">
        <v>278.88287012980999</v>
      </c>
      <c r="H114" s="645">
        <v>0</v>
      </c>
      <c r="I114" s="645">
        <v>0</v>
      </c>
      <c r="J114" s="645">
        <v>117.91049787329212</v>
      </c>
      <c r="K114" s="645">
        <v>1.7618751350284469</v>
      </c>
      <c r="L114" s="645">
        <v>25.931812443893016</v>
      </c>
      <c r="M114" s="645">
        <v>5.4750905882772853</v>
      </c>
      <c r="N114" s="645">
        <v>67.964408038916218</v>
      </c>
      <c r="O114" s="645">
        <v>2.8554061636244761</v>
      </c>
      <c r="P114" s="645">
        <v>525.4263853892121</v>
      </c>
      <c r="Q114" s="645">
        <v>34.870731395116664</v>
      </c>
      <c r="R114" s="645">
        <v>5.7492063580491291</v>
      </c>
      <c r="S114" s="645">
        <v>1464.3821311289018</v>
      </c>
      <c r="U114" s="644" t="s">
        <v>85</v>
      </c>
      <c r="V114" s="645">
        <v>1.264986561669641</v>
      </c>
      <c r="W114" s="645">
        <v>0</v>
      </c>
      <c r="X114" s="645">
        <v>99.612665084394791</v>
      </c>
      <c r="Y114" s="645">
        <v>64.7714675751795</v>
      </c>
      <c r="Z114" s="645">
        <v>0</v>
      </c>
      <c r="AA114" s="645">
        <v>0</v>
      </c>
      <c r="AB114" s="645">
        <v>76.628296851050663</v>
      </c>
      <c r="AC114" s="645">
        <v>4.7844305635958433</v>
      </c>
      <c r="AD114" s="645">
        <v>91.594737246692318</v>
      </c>
      <c r="AE114" s="645">
        <v>63.974688608994001</v>
      </c>
      <c r="AF114" s="645">
        <v>109.8518848230913</v>
      </c>
      <c r="AG114" s="645">
        <v>7.4724249888520751</v>
      </c>
      <c r="AH114" s="645">
        <v>511.81625811534803</v>
      </c>
      <c r="AI114" s="645">
        <v>68.301024235701377</v>
      </c>
      <c r="AJ114" s="645">
        <v>31.04291921337316</v>
      </c>
      <c r="AK114" s="645">
        <v>1131.1157838679426</v>
      </c>
    </row>
    <row r="115" spans="3:37" x14ac:dyDescent="0.2">
      <c r="C115" s="634"/>
      <c r="D115" s="634"/>
      <c r="E115" s="634"/>
      <c r="F115" s="634"/>
      <c r="G115" s="634"/>
      <c r="H115" s="634"/>
      <c r="I115" s="634"/>
      <c r="J115" s="634"/>
      <c r="K115" s="634"/>
      <c r="L115" s="634"/>
      <c r="M115" s="634"/>
      <c r="N115" s="634"/>
      <c r="O115" s="634"/>
      <c r="P115" s="634"/>
      <c r="Q115" s="634"/>
      <c r="R115" s="634"/>
      <c r="S115" s="634"/>
      <c r="U115" s="634"/>
      <c r="V115" s="634"/>
      <c r="W115" s="634"/>
      <c r="X115" s="634"/>
      <c r="Y115" s="634"/>
      <c r="Z115" s="634"/>
      <c r="AA115" s="634"/>
      <c r="AB115" s="634"/>
      <c r="AC115" s="634"/>
      <c r="AD115" s="634"/>
      <c r="AE115" s="634"/>
      <c r="AF115" s="634"/>
      <c r="AG115" s="634"/>
      <c r="AH115" s="634"/>
      <c r="AI115" s="634"/>
      <c r="AJ115" s="634"/>
      <c r="AK115" s="634"/>
    </row>
    <row r="116" spans="3:37" ht="22.5" x14ac:dyDescent="0.3">
      <c r="C116" s="759" t="s">
        <v>89</v>
      </c>
      <c r="D116" s="759"/>
      <c r="E116" s="759"/>
      <c r="F116" s="759"/>
      <c r="G116" s="759"/>
      <c r="H116" s="759"/>
      <c r="I116" s="759"/>
      <c r="J116" s="759"/>
      <c r="K116" s="759"/>
      <c r="L116" s="759"/>
      <c r="M116" s="759"/>
      <c r="N116" s="759"/>
      <c r="O116" s="759"/>
      <c r="P116" s="759"/>
      <c r="Q116" s="759"/>
      <c r="R116" s="759"/>
      <c r="S116" s="759"/>
      <c r="U116" s="759" t="s">
        <v>89</v>
      </c>
      <c r="V116" s="759"/>
      <c r="W116" s="759"/>
      <c r="X116" s="759"/>
      <c r="Y116" s="759"/>
      <c r="Z116" s="759"/>
      <c r="AA116" s="759"/>
      <c r="AB116" s="759"/>
      <c r="AC116" s="759"/>
      <c r="AD116" s="759"/>
      <c r="AE116" s="759"/>
      <c r="AF116" s="759"/>
      <c r="AG116" s="759"/>
      <c r="AH116" s="759"/>
      <c r="AI116" s="759"/>
      <c r="AJ116" s="759"/>
      <c r="AK116" s="759"/>
    </row>
    <row r="117" spans="3:37" x14ac:dyDescent="0.2">
      <c r="C117" s="634"/>
      <c r="D117" s="634"/>
      <c r="E117" s="634"/>
      <c r="F117" s="634"/>
      <c r="G117" s="634"/>
      <c r="H117" s="634"/>
      <c r="I117" s="634"/>
      <c r="J117" s="634"/>
      <c r="K117" s="634"/>
      <c r="L117" s="634"/>
      <c r="M117" s="634"/>
      <c r="N117" s="634"/>
      <c r="O117" s="634"/>
      <c r="P117" s="634"/>
      <c r="Q117" s="634"/>
      <c r="R117" s="634"/>
      <c r="S117" s="634"/>
      <c r="U117" s="634"/>
      <c r="V117" s="634"/>
      <c r="W117" s="634"/>
      <c r="X117" s="634"/>
      <c r="Y117" s="634"/>
      <c r="Z117" s="634"/>
      <c r="AA117" s="634"/>
      <c r="AB117" s="634"/>
      <c r="AC117" s="634"/>
      <c r="AD117" s="634"/>
      <c r="AE117" s="634"/>
      <c r="AF117" s="634"/>
      <c r="AG117" s="634"/>
      <c r="AH117" s="634"/>
      <c r="AI117" s="634"/>
      <c r="AJ117" s="634"/>
      <c r="AK117" s="634"/>
    </row>
    <row r="118" spans="3:37" ht="12.95" customHeight="1" x14ac:dyDescent="0.2">
      <c r="C118" s="758" t="s">
        <v>128</v>
      </c>
      <c r="D118" s="757" t="s">
        <v>42</v>
      </c>
      <c r="E118" s="757" t="s">
        <v>52</v>
      </c>
      <c r="F118" s="757" t="s">
        <v>53</v>
      </c>
      <c r="G118" s="757" t="s">
        <v>32</v>
      </c>
      <c r="H118" s="757" t="s">
        <v>20</v>
      </c>
      <c r="I118" s="757" t="s">
        <v>55</v>
      </c>
      <c r="J118" s="757" t="s">
        <v>56</v>
      </c>
      <c r="K118" s="757"/>
      <c r="L118" s="757"/>
      <c r="M118" s="757"/>
      <c r="N118" s="757"/>
      <c r="O118" s="757"/>
      <c r="P118" s="757" t="s">
        <v>57</v>
      </c>
      <c r="Q118" s="757" t="s">
        <v>58</v>
      </c>
      <c r="R118" s="757" t="s">
        <v>31</v>
      </c>
      <c r="S118" s="757" t="s">
        <v>10</v>
      </c>
      <c r="U118" s="758" t="s">
        <v>128</v>
      </c>
      <c r="V118" s="757" t="s">
        <v>42</v>
      </c>
      <c r="W118" s="757" t="s">
        <v>52</v>
      </c>
      <c r="X118" s="757" t="s">
        <v>53</v>
      </c>
      <c r="Y118" s="757" t="s">
        <v>32</v>
      </c>
      <c r="Z118" s="757" t="s">
        <v>20</v>
      </c>
      <c r="AA118" s="757" t="s">
        <v>55</v>
      </c>
      <c r="AB118" s="757" t="s">
        <v>56</v>
      </c>
      <c r="AC118" s="757"/>
      <c r="AD118" s="757"/>
      <c r="AE118" s="757"/>
      <c r="AF118" s="757"/>
      <c r="AG118" s="757"/>
      <c r="AH118" s="757" t="s">
        <v>57</v>
      </c>
      <c r="AI118" s="757" t="s">
        <v>58</v>
      </c>
      <c r="AJ118" s="757" t="s">
        <v>31</v>
      </c>
      <c r="AK118" s="757" t="s">
        <v>10</v>
      </c>
    </row>
    <row r="119" spans="3:37" ht="56.25" x14ac:dyDescent="0.2">
      <c r="C119" s="758"/>
      <c r="D119" s="757"/>
      <c r="E119" s="757"/>
      <c r="F119" s="757"/>
      <c r="G119" s="757"/>
      <c r="H119" s="757"/>
      <c r="I119" s="757"/>
      <c r="J119" s="638" t="s">
        <v>335</v>
      </c>
      <c r="K119" s="638" t="s">
        <v>40</v>
      </c>
      <c r="L119" s="638" t="s">
        <v>343</v>
      </c>
      <c r="M119" s="638" t="s">
        <v>344</v>
      </c>
      <c r="N119" s="638" t="s">
        <v>345</v>
      </c>
      <c r="O119" s="638" t="s">
        <v>346</v>
      </c>
      <c r="P119" s="757"/>
      <c r="Q119" s="757"/>
      <c r="R119" s="757"/>
      <c r="S119" s="757"/>
      <c r="U119" s="758"/>
      <c r="V119" s="757"/>
      <c r="W119" s="757"/>
      <c r="X119" s="757"/>
      <c r="Y119" s="757"/>
      <c r="Z119" s="757"/>
      <c r="AA119" s="757"/>
      <c r="AB119" s="638" t="s">
        <v>335</v>
      </c>
      <c r="AC119" s="638" t="s">
        <v>40</v>
      </c>
      <c r="AD119" s="638" t="s">
        <v>343</v>
      </c>
      <c r="AE119" s="638" t="s">
        <v>344</v>
      </c>
      <c r="AF119" s="638" t="s">
        <v>345</v>
      </c>
      <c r="AG119" s="638" t="s">
        <v>346</v>
      </c>
      <c r="AH119" s="757"/>
      <c r="AI119" s="757"/>
      <c r="AJ119" s="757"/>
      <c r="AK119" s="757"/>
    </row>
    <row r="120" spans="3:37" x14ac:dyDescent="0.2">
      <c r="C120" s="639" t="s">
        <v>59</v>
      </c>
      <c r="D120" s="640">
        <v>0</v>
      </c>
      <c r="E120" s="641">
        <v>0</v>
      </c>
      <c r="F120" s="641">
        <v>0</v>
      </c>
      <c r="G120" s="640">
        <v>0</v>
      </c>
      <c r="H120" s="641">
        <v>727.27272727272737</v>
      </c>
      <c r="I120" s="641">
        <v>338.37995078139568</v>
      </c>
      <c r="J120" s="641">
        <v>185.12606679296266</v>
      </c>
      <c r="K120" s="641">
        <v>19.887492227897642</v>
      </c>
      <c r="L120" s="641">
        <v>0.67629573379861951</v>
      </c>
      <c r="M120" s="641">
        <v>0.16041590589481752</v>
      </c>
      <c r="N120" s="641">
        <v>75.083762899489528</v>
      </c>
      <c r="O120" s="641">
        <v>12.515766779598991</v>
      </c>
      <c r="P120" s="642">
        <v>0</v>
      </c>
      <c r="Q120" s="641">
        <v>0</v>
      </c>
      <c r="R120" s="641">
        <v>0</v>
      </c>
      <c r="S120" s="643">
        <v>1359.1024783937653</v>
      </c>
      <c r="U120" s="639" t="s">
        <v>59</v>
      </c>
      <c r="V120" s="640">
        <v>0</v>
      </c>
      <c r="W120" s="641">
        <v>0</v>
      </c>
      <c r="X120" s="641">
        <v>0</v>
      </c>
      <c r="Y120" s="640">
        <v>0</v>
      </c>
      <c r="Z120" s="641">
        <v>764.84848484848499</v>
      </c>
      <c r="AA120" s="641">
        <v>423.19995078139567</v>
      </c>
      <c r="AB120" s="641">
        <v>256.09062969225096</v>
      </c>
      <c r="AC120" s="641">
        <v>36.108430969743218</v>
      </c>
      <c r="AD120" s="641">
        <v>0.67629573379861951</v>
      </c>
      <c r="AE120" s="641">
        <v>0.16041590589481752</v>
      </c>
      <c r="AF120" s="641">
        <v>123.16818516374138</v>
      </c>
      <c r="AG120" s="641">
        <v>30.250193334526926</v>
      </c>
      <c r="AH120" s="642">
        <v>0</v>
      </c>
      <c r="AI120" s="641">
        <v>0</v>
      </c>
      <c r="AJ120" s="641">
        <v>0</v>
      </c>
      <c r="AK120" s="643">
        <v>1634.5025864298366</v>
      </c>
    </row>
    <row r="121" spans="3:37" x14ac:dyDescent="0.2">
      <c r="C121" s="639" t="s">
        <v>60</v>
      </c>
      <c r="D121" s="640">
        <v>46.099891323621534</v>
      </c>
      <c r="E121" s="641">
        <v>464.7986487</v>
      </c>
      <c r="F121" s="641">
        <v>48.534128715927544</v>
      </c>
      <c r="G121" s="640">
        <v>345.55093723566335</v>
      </c>
      <c r="H121" s="641">
        <v>0</v>
      </c>
      <c r="I121" s="641">
        <v>0</v>
      </c>
      <c r="J121" s="641">
        <v>5.7213435879484642</v>
      </c>
      <c r="K121" s="641">
        <v>0</v>
      </c>
      <c r="L121" s="641">
        <v>3.0565993326094723</v>
      </c>
      <c r="M121" s="641">
        <v>0</v>
      </c>
      <c r="N121" s="641">
        <v>0</v>
      </c>
      <c r="O121" s="641">
        <v>0</v>
      </c>
      <c r="P121" s="642">
        <v>0</v>
      </c>
      <c r="Q121" s="641">
        <v>0</v>
      </c>
      <c r="R121" s="641">
        <v>0</v>
      </c>
      <c r="S121" s="643">
        <v>913.76154889577037</v>
      </c>
      <c r="U121" s="639" t="s">
        <v>60</v>
      </c>
      <c r="V121" s="640">
        <v>4.5871215860372576</v>
      </c>
      <c r="W121" s="641">
        <v>113.59926767676768</v>
      </c>
      <c r="X121" s="641">
        <v>20.138935454909394</v>
      </c>
      <c r="Y121" s="640">
        <v>0.51452681198611927</v>
      </c>
      <c r="Z121" s="641">
        <v>0</v>
      </c>
      <c r="AA121" s="641">
        <v>0</v>
      </c>
      <c r="AB121" s="641">
        <v>5.7213435879484642</v>
      </c>
      <c r="AC121" s="641">
        <v>0</v>
      </c>
      <c r="AD121" s="641">
        <v>3.0565993326094723</v>
      </c>
      <c r="AE121" s="641">
        <v>0</v>
      </c>
      <c r="AF121" s="641">
        <v>0</v>
      </c>
      <c r="AG121" s="641">
        <v>0</v>
      </c>
      <c r="AH121" s="642">
        <v>0</v>
      </c>
      <c r="AI121" s="641">
        <v>0</v>
      </c>
      <c r="AJ121" s="641">
        <v>0</v>
      </c>
      <c r="AK121" s="643">
        <v>147.6177944502584</v>
      </c>
    </row>
    <row r="122" spans="3:37" x14ac:dyDescent="0.2">
      <c r="C122" s="639" t="s">
        <v>61</v>
      </c>
      <c r="D122" s="640">
        <v>0</v>
      </c>
      <c r="E122" s="641">
        <v>0</v>
      </c>
      <c r="F122" s="641">
        <v>0</v>
      </c>
      <c r="G122" s="640">
        <v>0</v>
      </c>
      <c r="H122" s="641">
        <v>0</v>
      </c>
      <c r="I122" s="641">
        <v>0</v>
      </c>
      <c r="J122" s="641">
        <v>0</v>
      </c>
      <c r="K122" s="641">
        <v>0</v>
      </c>
      <c r="L122" s="641">
        <v>0</v>
      </c>
      <c r="M122" s="641">
        <v>0</v>
      </c>
      <c r="N122" s="641">
        <v>0</v>
      </c>
      <c r="O122" s="641">
        <v>0</v>
      </c>
      <c r="P122" s="642">
        <v>-12.7985093299136</v>
      </c>
      <c r="Q122" s="641">
        <v>0</v>
      </c>
      <c r="R122" s="641">
        <v>0</v>
      </c>
      <c r="S122" s="643">
        <v>-12.7985093299136</v>
      </c>
      <c r="U122" s="639" t="s">
        <v>61</v>
      </c>
      <c r="V122" s="640">
        <v>0</v>
      </c>
      <c r="W122" s="641">
        <v>0</v>
      </c>
      <c r="X122" s="641">
        <v>0</v>
      </c>
      <c r="Y122" s="640">
        <v>0</v>
      </c>
      <c r="Z122" s="641">
        <v>0</v>
      </c>
      <c r="AA122" s="641">
        <v>0</v>
      </c>
      <c r="AB122" s="641">
        <v>0</v>
      </c>
      <c r="AC122" s="641">
        <v>0</v>
      </c>
      <c r="AD122" s="641">
        <v>0</v>
      </c>
      <c r="AE122" s="641">
        <v>0</v>
      </c>
      <c r="AF122" s="641">
        <v>0</v>
      </c>
      <c r="AG122" s="641">
        <v>0</v>
      </c>
      <c r="AH122" s="642">
        <v>-41.639986107117011</v>
      </c>
      <c r="AI122" s="641">
        <v>0</v>
      </c>
      <c r="AJ122" s="641">
        <v>0</v>
      </c>
      <c r="AK122" s="643">
        <v>-41.639986107117011</v>
      </c>
    </row>
    <row r="123" spans="3:37" x14ac:dyDescent="0.2">
      <c r="C123" s="639" t="s">
        <v>62</v>
      </c>
      <c r="D123" s="640">
        <v>0</v>
      </c>
      <c r="E123" s="641">
        <v>0</v>
      </c>
      <c r="F123" s="641">
        <v>-14.431507774067331</v>
      </c>
      <c r="G123" s="640">
        <v>0</v>
      </c>
      <c r="H123" s="641">
        <v>0</v>
      </c>
      <c r="I123" s="641">
        <v>0</v>
      </c>
      <c r="J123" s="641">
        <v>0</v>
      </c>
      <c r="K123" s="641">
        <v>0</v>
      </c>
      <c r="L123" s="641">
        <v>0</v>
      </c>
      <c r="M123" s="641">
        <v>0</v>
      </c>
      <c r="N123" s="641">
        <v>0</v>
      </c>
      <c r="O123" s="641">
        <v>0</v>
      </c>
      <c r="P123" s="642">
        <v>0</v>
      </c>
      <c r="Q123" s="641">
        <v>0</v>
      </c>
      <c r="R123" s="641">
        <v>0</v>
      </c>
      <c r="S123" s="643">
        <v>-14.431507774067331</v>
      </c>
      <c r="U123" s="639" t="s">
        <v>62</v>
      </c>
      <c r="V123" s="640">
        <v>0</v>
      </c>
      <c r="W123" s="641">
        <v>0</v>
      </c>
      <c r="X123" s="641">
        <v>-5.3013702027186111</v>
      </c>
      <c r="Y123" s="640">
        <v>0</v>
      </c>
      <c r="Z123" s="641">
        <v>0</v>
      </c>
      <c r="AA123" s="641">
        <v>0</v>
      </c>
      <c r="AB123" s="641">
        <v>0</v>
      </c>
      <c r="AC123" s="641">
        <v>0</v>
      </c>
      <c r="AD123" s="641">
        <v>0</v>
      </c>
      <c r="AE123" s="641">
        <v>-5.1137296191648005</v>
      </c>
      <c r="AF123" s="641">
        <v>0</v>
      </c>
      <c r="AG123" s="641">
        <v>0</v>
      </c>
      <c r="AH123" s="642">
        <v>0</v>
      </c>
      <c r="AI123" s="641">
        <v>0</v>
      </c>
      <c r="AJ123" s="641">
        <v>0</v>
      </c>
      <c r="AK123" s="643">
        <v>-10.415099821883413</v>
      </c>
    </row>
    <row r="124" spans="3:37" x14ac:dyDescent="0.2">
      <c r="C124" s="639" t="s">
        <v>63</v>
      </c>
      <c r="D124" s="640">
        <v>0</v>
      </c>
      <c r="E124" s="641">
        <v>0</v>
      </c>
      <c r="F124" s="641">
        <v>-93.443844381495637</v>
      </c>
      <c r="G124" s="640">
        <v>0</v>
      </c>
      <c r="H124" s="641">
        <v>0</v>
      </c>
      <c r="I124" s="641">
        <v>0</v>
      </c>
      <c r="J124" s="641">
        <v>0</v>
      </c>
      <c r="K124" s="641">
        <v>0</v>
      </c>
      <c r="L124" s="641">
        <v>-0.96889726774865159</v>
      </c>
      <c r="M124" s="641">
        <v>0</v>
      </c>
      <c r="N124" s="641">
        <v>0</v>
      </c>
      <c r="O124" s="641">
        <v>0</v>
      </c>
      <c r="P124" s="642">
        <v>0</v>
      </c>
      <c r="Q124" s="641">
        <v>0</v>
      </c>
      <c r="R124" s="641">
        <v>0</v>
      </c>
      <c r="S124" s="643">
        <v>-94.412741649244282</v>
      </c>
      <c r="U124" s="639" t="s">
        <v>63</v>
      </c>
      <c r="V124" s="640">
        <v>0</v>
      </c>
      <c r="W124" s="641">
        <v>0</v>
      </c>
      <c r="X124" s="641">
        <v>-35.841594545498886</v>
      </c>
      <c r="Y124" s="640">
        <v>0</v>
      </c>
      <c r="Z124" s="641">
        <v>0</v>
      </c>
      <c r="AA124" s="641">
        <v>0</v>
      </c>
      <c r="AB124" s="641">
        <v>0</v>
      </c>
      <c r="AC124" s="641">
        <v>0</v>
      </c>
      <c r="AD124" s="641">
        <v>-46.567340427053182</v>
      </c>
      <c r="AE124" s="641">
        <v>0</v>
      </c>
      <c r="AF124" s="641">
        <v>0</v>
      </c>
      <c r="AG124" s="641">
        <v>0</v>
      </c>
      <c r="AH124" s="642">
        <v>0</v>
      </c>
      <c r="AI124" s="641">
        <v>0</v>
      </c>
      <c r="AJ124" s="641">
        <v>0</v>
      </c>
      <c r="AK124" s="643">
        <v>-82.408934972552061</v>
      </c>
    </row>
    <row r="125" spans="3:37" x14ac:dyDescent="0.2">
      <c r="C125" s="639" t="s">
        <v>64</v>
      </c>
      <c r="D125" s="640">
        <v>0</v>
      </c>
      <c r="E125" s="641">
        <v>0</v>
      </c>
      <c r="F125" s="641">
        <v>0</v>
      </c>
      <c r="G125" s="640">
        <v>0</v>
      </c>
      <c r="H125" s="641">
        <v>0</v>
      </c>
      <c r="I125" s="641">
        <v>0</v>
      </c>
      <c r="J125" s="641">
        <v>0</v>
      </c>
      <c r="K125" s="641">
        <v>0</v>
      </c>
      <c r="L125" s="641">
        <v>0</v>
      </c>
      <c r="M125" s="641">
        <v>0</v>
      </c>
      <c r="N125" s="641">
        <v>0</v>
      </c>
      <c r="O125" s="641">
        <v>0</v>
      </c>
      <c r="P125" s="642">
        <v>0</v>
      </c>
      <c r="Q125" s="641">
        <v>0</v>
      </c>
      <c r="R125" s="641">
        <v>0</v>
      </c>
      <c r="S125" s="643">
        <v>0</v>
      </c>
      <c r="U125" s="639" t="s">
        <v>64</v>
      </c>
      <c r="V125" s="640">
        <v>0</v>
      </c>
      <c r="W125" s="641">
        <v>0</v>
      </c>
      <c r="X125" s="641">
        <v>0</v>
      </c>
      <c r="Y125" s="640">
        <v>0</v>
      </c>
      <c r="Z125" s="641">
        <v>0</v>
      </c>
      <c r="AA125" s="641">
        <v>0</v>
      </c>
      <c r="AB125" s="641">
        <v>0</v>
      </c>
      <c r="AC125" s="641">
        <v>0</v>
      </c>
      <c r="AD125" s="641">
        <v>0</v>
      </c>
      <c r="AE125" s="641">
        <v>0</v>
      </c>
      <c r="AF125" s="641">
        <v>0</v>
      </c>
      <c r="AG125" s="641">
        <v>0</v>
      </c>
      <c r="AH125" s="642">
        <v>0</v>
      </c>
      <c r="AI125" s="641">
        <v>0</v>
      </c>
      <c r="AJ125" s="641">
        <v>0</v>
      </c>
      <c r="AK125" s="643">
        <v>0</v>
      </c>
    </row>
    <row r="126" spans="3:37" x14ac:dyDescent="0.2">
      <c r="C126" s="644" t="s">
        <v>65</v>
      </c>
      <c r="D126" s="645">
        <v>46.099891323621534</v>
      </c>
      <c r="E126" s="645">
        <v>464.7986487</v>
      </c>
      <c r="F126" s="645">
        <v>-59.341223439635421</v>
      </c>
      <c r="G126" s="645">
        <v>345.55093723566335</v>
      </c>
      <c r="H126" s="645">
        <v>727.27272727272737</v>
      </c>
      <c r="I126" s="645">
        <v>338.37995078139568</v>
      </c>
      <c r="J126" s="645">
        <v>190.84741038091113</v>
      </c>
      <c r="K126" s="645">
        <v>19.887492227897642</v>
      </c>
      <c r="L126" s="645">
        <v>2.7639977986594397</v>
      </c>
      <c r="M126" s="645">
        <v>0.16041590589481752</v>
      </c>
      <c r="N126" s="645">
        <v>75.083762899489528</v>
      </c>
      <c r="O126" s="645">
        <v>12.515766779598991</v>
      </c>
      <c r="P126" s="645">
        <v>-12.7985093299136</v>
      </c>
      <c r="Q126" s="645">
        <v>0</v>
      </c>
      <c r="R126" s="645">
        <v>0</v>
      </c>
      <c r="S126" s="645">
        <v>2151.2212685363102</v>
      </c>
      <c r="U126" s="644" t="s">
        <v>65</v>
      </c>
      <c r="V126" s="645">
        <v>4.5871215860372576</v>
      </c>
      <c r="W126" s="645">
        <v>113.59926767676768</v>
      </c>
      <c r="X126" s="645">
        <v>-21.004029293308101</v>
      </c>
      <c r="Y126" s="645">
        <v>0.51452681198611927</v>
      </c>
      <c r="Z126" s="645">
        <v>764.84848484848499</v>
      </c>
      <c r="AA126" s="645">
        <v>423.19995078139567</v>
      </c>
      <c r="AB126" s="645">
        <v>261.81197328019942</v>
      </c>
      <c r="AC126" s="645">
        <v>36.108430969743218</v>
      </c>
      <c r="AD126" s="645">
        <v>-42.834445360645091</v>
      </c>
      <c r="AE126" s="645">
        <v>-4.9533137132699832</v>
      </c>
      <c r="AF126" s="645">
        <v>123.16818516374138</v>
      </c>
      <c r="AG126" s="645">
        <v>30.250193334526926</v>
      </c>
      <c r="AH126" s="645">
        <v>-41.639986107117011</v>
      </c>
      <c r="AI126" s="645">
        <v>0</v>
      </c>
      <c r="AJ126" s="645">
        <v>0</v>
      </c>
      <c r="AK126" s="645">
        <v>1647.6563599785427</v>
      </c>
    </row>
    <row r="127" spans="3:37" x14ac:dyDescent="0.2">
      <c r="C127" s="634"/>
      <c r="D127" s="634">
        <v>0</v>
      </c>
      <c r="E127" s="634">
        <v>0</v>
      </c>
      <c r="F127" s="634">
        <v>0</v>
      </c>
      <c r="G127" s="634">
        <v>0</v>
      </c>
      <c r="H127" s="634">
        <v>0</v>
      </c>
      <c r="I127" s="634">
        <v>0</v>
      </c>
      <c r="J127" s="634">
        <v>0</v>
      </c>
      <c r="K127" s="634">
        <v>0</v>
      </c>
      <c r="L127" s="634">
        <v>0</v>
      </c>
      <c r="M127" s="634">
        <v>0</v>
      </c>
      <c r="N127" s="634">
        <v>0</v>
      </c>
      <c r="O127" s="634">
        <v>0</v>
      </c>
      <c r="P127" s="634">
        <v>0</v>
      </c>
      <c r="Q127" s="634">
        <v>0</v>
      </c>
      <c r="R127" s="634">
        <v>0</v>
      </c>
      <c r="S127" s="634">
        <v>0</v>
      </c>
      <c r="U127" s="634"/>
      <c r="V127" s="634">
        <v>0</v>
      </c>
      <c r="W127" s="634">
        <v>0</v>
      </c>
      <c r="X127" s="634">
        <v>0</v>
      </c>
      <c r="Y127" s="634">
        <v>0</v>
      </c>
      <c r="Z127" s="634">
        <v>0</v>
      </c>
      <c r="AA127" s="634">
        <v>0</v>
      </c>
      <c r="AB127" s="634">
        <v>0</v>
      </c>
      <c r="AC127" s="634">
        <v>0</v>
      </c>
      <c r="AD127" s="634">
        <v>0</v>
      </c>
      <c r="AE127" s="634">
        <v>0</v>
      </c>
      <c r="AF127" s="634">
        <v>0</v>
      </c>
      <c r="AG127" s="634">
        <v>0</v>
      </c>
      <c r="AH127" s="634">
        <v>0</v>
      </c>
      <c r="AI127" s="634">
        <v>0</v>
      </c>
      <c r="AJ127" s="634">
        <v>0</v>
      </c>
      <c r="AK127" s="634">
        <v>0</v>
      </c>
    </row>
    <row r="128" spans="3:37" x14ac:dyDescent="0.2">
      <c r="C128" s="646" t="s">
        <v>67</v>
      </c>
      <c r="D128" s="640">
        <v>0</v>
      </c>
      <c r="E128" s="647">
        <v>0</v>
      </c>
      <c r="F128" s="647">
        <v>0</v>
      </c>
      <c r="G128" s="640">
        <v>0</v>
      </c>
      <c r="H128" s="640">
        <v>0</v>
      </c>
      <c r="I128" s="640">
        <v>0</v>
      </c>
      <c r="J128" s="640">
        <v>0</v>
      </c>
      <c r="K128" s="640">
        <v>0</v>
      </c>
      <c r="L128" s="640">
        <v>0</v>
      </c>
      <c r="M128" s="640">
        <v>0</v>
      </c>
      <c r="N128" s="640">
        <v>0</v>
      </c>
      <c r="O128" s="640">
        <v>0</v>
      </c>
      <c r="P128" s="640">
        <v>0</v>
      </c>
      <c r="Q128" s="640">
        <v>0</v>
      </c>
      <c r="R128" s="640">
        <v>0</v>
      </c>
      <c r="S128" s="648">
        <v>0</v>
      </c>
      <c r="U128" s="646" t="s">
        <v>67</v>
      </c>
      <c r="V128" s="640">
        <v>0</v>
      </c>
      <c r="W128" s="647">
        <v>0</v>
      </c>
      <c r="X128" s="647">
        <v>0</v>
      </c>
      <c r="Y128" s="640">
        <v>0</v>
      </c>
      <c r="Z128" s="640">
        <v>0</v>
      </c>
      <c r="AA128" s="640">
        <v>0</v>
      </c>
      <c r="AB128" s="640">
        <v>0</v>
      </c>
      <c r="AC128" s="640">
        <v>0</v>
      </c>
      <c r="AD128" s="640">
        <v>0</v>
      </c>
      <c r="AE128" s="640">
        <v>0</v>
      </c>
      <c r="AF128" s="640">
        <v>0</v>
      </c>
      <c r="AG128" s="640">
        <v>0</v>
      </c>
      <c r="AH128" s="640">
        <v>0</v>
      </c>
      <c r="AI128" s="640">
        <v>0</v>
      </c>
      <c r="AJ128" s="640">
        <v>0</v>
      </c>
      <c r="AK128" s="648">
        <v>0</v>
      </c>
    </row>
    <row r="129" spans="3:37" x14ac:dyDescent="0.2">
      <c r="C129" s="646" t="s">
        <v>347</v>
      </c>
      <c r="D129" s="640">
        <v>2.8267856410252494</v>
      </c>
      <c r="E129" s="640">
        <v>0</v>
      </c>
      <c r="F129" s="640">
        <v>8.0599105831015567</v>
      </c>
      <c r="G129" s="640">
        <v>46.530346198952707</v>
      </c>
      <c r="H129" s="640">
        <v>727.27272727272737</v>
      </c>
      <c r="I129" s="640">
        <v>338.37995078139568</v>
      </c>
      <c r="J129" s="649">
        <v>28.452469116356035</v>
      </c>
      <c r="K129" s="649">
        <v>6.2305848357200952</v>
      </c>
      <c r="L129" s="649">
        <v>3.7328950664080915</v>
      </c>
      <c r="M129" s="649">
        <v>1.0761160081227215</v>
      </c>
      <c r="N129" s="649">
        <v>0</v>
      </c>
      <c r="O129" s="649">
        <v>7.5664382136221358</v>
      </c>
      <c r="P129" s="640">
        <v>-629.14515201417555</v>
      </c>
      <c r="Q129" s="640">
        <v>0</v>
      </c>
      <c r="R129" s="640">
        <v>0</v>
      </c>
      <c r="S129" s="648">
        <v>540.98307170325586</v>
      </c>
      <c r="U129" s="646" t="s">
        <v>347</v>
      </c>
      <c r="V129" s="640">
        <v>0.62631490545869017</v>
      </c>
      <c r="W129" s="640">
        <v>0</v>
      </c>
      <c r="X129" s="640">
        <v>4.1962742194651934</v>
      </c>
      <c r="Y129" s="640">
        <v>0</v>
      </c>
      <c r="Z129" s="640">
        <v>764.84848484848499</v>
      </c>
      <c r="AA129" s="640">
        <v>423.19995078139567</v>
      </c>
      <c r="AB129" s="649">
        <v>22.478183728982629</v>
      </c>
      <c r="AC129" s="649">
        <v>5.0926371917675839</v>
      </c>
      <c r="AD129" s="649">
        <v>3.7328950664080915</v>
      </c>
      <c r="AE129" s="649">
        <v>0.79318377276994545</v>
      </c>
      <c r="AF129" s="649">
        <v>0</v>
      </c>
      <c r="AG129" s="649">
        <v>7.5664382136221358</v>
      </c>
      <c r="AH129" s="640">
        <v>-696.77718495359215</v>
      </c>
      <c r="AI129" s="640">
        <v>0</v>
      </c>
      <c r="AJ129" s="640">
        <v>3.75</v>
      </c>
      <c r="AK129" s="648">
        <v>539.50717777476291</v>
      </c>
    </row>
    <row r="130" spans="3:37" x14ac:dyDescent="0.2">
      <c r="C130" s="646" t="s">
        <v>348</v>
      </c>
      <c r="D130" s="640">
        <v>0</v>
      </c>
      <c r="E130" s="640">
        <v>0</v>
      </c>
      <c r="F130" s="640">
        <v>0</v>
      </c>
      <c r="G130" s="640">
        <v>14.783508517784153</v>
      </c>
      <c r="H130" s="640">
        <v>0</v>
      </c>
      <c r="I130" s="640">
        <v>0</v>
      </c>
      <c r="J130" s="649">
        <v>12.163067049530284</v>
      </c>
      <c r="K130" s="649">
        <v>11.829214997579474</v>
      </c>
      <c r="L130" s="649">
        <v>0</v>
      </c>
      <c r="M130" s="649">
        <v>0.31740804730172578</v>
      </c>
      <c r="N130" s="649">
        <v>0</v>
      </c>
      <c r="O130" s="649">
        <v>2.086875550337155</v>
      </c>
      <c r="P130" s="640">
        <v>0</v>
      </c>
      <c r="Q130" s="640">
        <v>-37.667878685561853</v>
      </c>
      <c r="R130" s="640">
        <v>0</v>
      </c>
      <c r="S130" s="648">
        <v>3.5121954769709394</v>
      </c>
      <c r="U130" s="646" t="s">
        <v>348</v>
      </c>
      <c r="V130" s="640">
        <v>0</v>
      </c>
      <c r="W130" s="640">
        <v>0</v>
      </c>
      <c r="X130" s="640">
        <v>0</v>
      </c>
      <c r="Y130" s="640">
        <v>0</v>
      </c>
      <c r="Z130" s="640">
        <v>0</v>
      </c>
      <c r="AA130" s="640">
        <v>0</v>
      </c>
      <c r="AB130" s="649">
        <v>28.523630086620891</v>
      </c>
      <c r="AC130" s="649">
        <v>26.288013396118924</v>
      </c>
      <c r="AD130" s="649">
        <v>0</v>
      </c>
      <c r="AE130" s="649">
        <v>10.611192177482708</v>
      </c>
      <c r="AF130" s="649">
        <v>0</v>
      </c>
      <c r="AG130" s="649">
        <v>14.121402979798832</v>
      </c>
      <c r="AH130" s="640">
        <v>0</v>
      </c>
      <c r="AI130" s="640">
        <v>-74.176724382187018</v>
      </c>
      <c r="AJ130" s="640">
        <v>0</v>
      </c>
      <c r="AK130" s="648">
        <v>5.3675142578343316</v>
      </c>
    </row>
    <row r="131" spans="3:37" x14ac:dyDescent="0.2">
      <c r="C131" s="646" t="s">
        <v>349</v>
      </c>
      <c r="D131" s="640">
        <v>0</v>
      </c>
      <c r="E131" s="640">
        <v>0</v>
      </c>
      <c r="F131" s="640">
        <v>0</v>
      </c>
      <c r="G131" s="640">
        <v>0</v>
      </c>
      <c r="H131" s="640">
        <v>0</v>
      </c>
      <c r="I131" s="640">
        <v>0</v>
      </c>
      <c r="J131" s="650">
        <v>7.1450792385721682</v>
      </c>
      <c r="K131" s="650">
        <v>0</v>
      </c>
      <c r="L131" s="650">
        <v>0</v>
      </c>
      <c r="M131" s="650">
        <v>-6.8235506728364204</v>
      </c>
      <c r="N131" s="650">
        <v>0</v>
      </c>
      <c r="O131" s="650">
        <v>0</v>
      </c>
      <c r="P131" s="640">
        <v>0</v>
      </c>
      <c r="Q131" s="640">
        <v>0</v>
      </c>
      <c r="R131" s="640">
        <v>0</v>
      </c>
      <c r="S131" s="648">
        <v>0.32152856573574784</v>
      </c>
      <c r="U131" s="646" t="s">
        <v>349</v>
      </c>
      <c r="V131" s="640">
        <v>0</v>
      </c>
      <c r="W131" s="640">
        <v>0</v>
      </c>
      <c r="X131" s="640">
        <v>0</v>
      </c>
      <c r="Y131" s="640">
        <v>0</v>
      </c>
      <c r="Z131" s="640">
        <v>0</v>
      </c>
      <c r="AA131" s="640">
        <v>0</v>
      </c>
      <c r="AB131" s="650">
        <v>137.81211213320262</v>
      </c>
      <c r="AC131" s="650">
        <v>0</v>
      </c>
      <c r="AD131" s="650">
        <v>0</v>
      </c>
      <c r="AE131" s="650">
        <v>-131.61056708720849</v>
      </c>
      <c r="AF131" s="650">
        <v>0</v>
      </c>
      <c r="AG131" s="650">
        <v>0</v>
      </c>
      <c r="AH131" s="640">
        <v>0</v>
      </c>
      <c r="AI131" s="640">
        <v>0</v>
      </c>
      <c r="AJ131" s="640">
        <v>0</v>
      </c>
      <c r="AK131" s="648">
        <v>6.2015450459941235</v>
      </c>
    </row>
    <row r="132" spans="3:37" x14ac:dyDescent="0.2">
      <c r="C132" s="646" t="s">
        <v>350</v>
      </c>
      <c r="D132" s="640">
        <v>0</v>
      </c>
      <c r="E132" s="640">
        <v>0</v>
      </c>
      <c r="F132" s="640">
        <v>0</v>
      </c>
      <c r="G132" s="640">
        <v>0</v>
      </c>
      <c r="H132" s="640">
        <v>0</v>
      </c>
      <c r="I132" s="640">
        <v>0</v>
      </c>
      <c r="J132" s="640">
        <v>0</v>
      </c>
      <c r="K132" s="640">
        <v>0</v>
      </c>
      <c r="L132" s="640">
        <v>0</v>
      </c>
      <c r="M132" s="640">
        <v>0</v>
      </c>
      <c r="N132" s="640">
        <v>0</v>
      </c>
      <c r="O132" s="640">
        <v>0</v>
      </c>
      <c r="P132" s="640">
        <v>0</v>
      </c>
      <c r="Q132" s="640">
        <v>0</v>
      </c>
      <c r="R132" s="640">
        <v>0</v>
      </c>
      <c r="S132" s="648">
        <v>0</v>
      </c>
      <c r="U132" s="646" t="s">
        <v>350</v>
      </c>
      <c r="V132" s="640">
        <v>0</v>
      </c>
      <c r="W132" s="640">
        <v>0</v>
      </c>
      <c r="X132" s="640">
        <v>0</v>
      </c>
      <c r="Y132" s="640">
        <v>0</v>
      </c>
      <c r="Z132" s="640">
        <v>0</v>
      </c>
      <c r="AA132" s="640">
        <v>0</v>
      </c>
      <c r="AB132" s="640">
        <v>0</v>
      </c>
      <c r="AC132" s="640">
        <v>0</v>
      </c>
      <c r="AD132" s="640">
        <v>0</v>
      </c>
      <c r="AE132" s="640">
        <v>0</v>
      </c>
      <c r="AF132" s="640">
        <v>0</v>
      </c>
      <c r="AG132" s="640">
        <v>0</v>
      </c>
      <c r="AH132" s="640">
        <v>0</v>
      </c>
      <c r="AI132" s="640">
        <v>0</v>
      </c>
      <c r="AJ132" s="640">
        <v>0</v>
      </c>
      <c r="AK132" s="648">
        <v>0</v>
      </c>
    </row>
    <row r="133" spans="3:37" x14ac:dyDescent="0.2">
      <c r="C133" s="646" t="s">
        <v>72</v>
      </c>
      <c r="D133" s="640">
        <v>0</v>
      </c>
      <c r="E133" s="640">
        <v>481.48200000000003</v>
      </c>
      <c r="F133" s="640">
        <v>-476.66718000000003</v>
      </c>
      <c r="G133" s="640">
        <v>0</v>
      </c>
      <c r="H133" s="640">
        <v>0</v>
      </c>
      <c r="I133" s="640">
        <v>0</v>
      </c>
      <c r="J133" s="640">
        <v>0</v>
      </c>
      <c r="K133" s="640">
        <v>0</v>
      </c>
      <c r="L133" s="640">
        <v>0</v>
      </c>
      <c r="M133" s="640">
        <v>0</v>
      </c>
      <c r="N133" s="640">
        <v>0</v>
      </c>
      <c r="O133" s="640">
        <v>0</v>
      </c>
      <c r="P133" s="640">
        <v>0</v>
      </c>
      <c r="Q133" s="640">
        <v>0</v>
      </c>
      <c r="R133" s="640">
        <v>0</v>
      </c>
      <c r="S133" s="648">
        <v>4.8148199999999974</v>
      </c>
      <c r="U133" s="646" t="s">
        <v>72</v>
      </c>
      <c r="V133" s="640">
        <v>0</v>
      </c>
      <c r="W133" s="640">
        <v>117.67676767676768</v>
      </c>
      <c r="X133" s="640">
        <v>-116.5</v>
      </c>
      <c r="Y133" s="640">
        <v>0</v>
      </c>
      <c r="Z133" s="640">
        <v>0</v>
      </c>
      <c r="AA133" s="640">
        <v>0</v>
      </c>
      <c r="AB133" s="640">
        <v>0</v>
      </c>
      <c r="AC133" s="640">
        <v>0</v>
      </c>
      <c r="AD133" s="640">
        <v>0</v>
      </c>
      <c r="AE133" s="640">
        <v>0</v>
      </c>
      <c r="AF133" s="640">
        <v>0</v>
      </c>
      <c r="AG133" s="640">
        <v>0</v>
      </c>
      <c r="AH133" s="640">
        <v>0</v>
      </c>
      <c r="AI133" s="640">
        <v>0</v>
      </c>
      <c r="AJ133" s="640">
        <v>0</v>
      </c>
      <c r="AK133" s="648">
        <v>1.1767676767676818</v>
      </c>
    </row>
    <row r="134" spans="3:37" x14ac:dyDescent="0.2">
      <c r="C134" s="646" t="s">
        <v>351</v>
      </c>
      <c r="D134" s="640">
        <v>0</v>
      </c>
      <c r="E134" s="640">
        <v>0</v>
      </c>
      <c r="F134" s="640">
        <v>0</v>
      </c>
      <c r="G134" s="640">
        <v>0</v>
      </c>
      <c r="H134" s="640">
        <v>0</v>
      </c>
      <c r="I134" s="640">
        <v>0</v>
      </c>
      <c r="J134" s="640">
        <v>26.125483595276659</v>
      </c>
      <c r="K134" s="640">
        <v>0</v>
      </c>
      <c r="L134" s="640">
        <v>-26.125483595276659</v>
      </c>
      <c r="M134" s="640">
        <v>0</v>
      </c>
      <c r="N134" s="640">
        <v>0</v>
      </c>
      <c r="O134" s="640">
        <v>0</v>
      </c>
      <c r="P134" s="640">
        <v>0</v>
      </c>
      <c r="Q134" s="640">
        <v>0</v>
      </c>
      <c r="R134" s="640">
        <v>0</v>
      </c>
      <c r="S134" s="648">
        <v>0</v>
      </c>
      <c r="U134" s="646" t="s">
        <v>351</v>
      </c>
      <c r="V134" s="640">
        <v>0</v>
      </c>
      <c r="W134" s="640">
        <v>0</v>
      </c>
      <c r="X134" s="640">
        <v>0</v>
      </c>
      <c r="Y134" s="640">
        <v>0</v>
      </c>
      <c r="Z134" s="640">
        <v>0</v>
      </c>
      <c r="AA134" s="640">
        <v>0</v>
      </c>
      <c r="AB134" s="640" t="e">
        <v>#VALUE!</v>
      </c>
      <c r="AC134" s="640">
        <v>0</v>
      </c>
      <c r="AD134" s="640">
        <v>-100.69655001825291</v>
      </c>
      <c r="AE134" s="640">
        <v>0</v>
      </c>
      <c r="AF134" s="640">
        <v>0</v>
      </c>
      <c r="AG134" s="640">
        <v>0</v>
      </c>
      <c r="AH134" s="640">
        <v>0</v>
      </c>
      <c r="AI134" s="640">
        <v>0</v>
      </c>
      <c r="AJ134" s="640">
        <v>0</v>
      </c>
      <c r="AK134" s="648">
        <v>-100.69655001825291</v>
      </c>
    </row>
    <row r="135" spans="3:37" x14ac:dyDescent="0.2">
      <c r="C135" s="646" t="s">
        <v>352</v>
      </c>
      <c r="D135" s="640">
        <v>0</v>
      </c>
      <c r="E135" s="640">
        <v>0</v>
      </c>
      <c r="F135" s="640">
        <v>0</v>
      </c>
      <c r="G135" s="640">
        <v>0</v>
      </c>
      <c r="H135" s="640">
        <v>0</v>
      </c>
      <c r="I135" s="640">
        <v>0</v>
      </c>
      <c r="J135" s="640">
        <v>0</v>
      </c>
      <c r="K135" s="640">
        <v>0</v>
      </c>
      <c r="L135" s="640">
        <v>0</v>
      </c>
      <c r="M135" s="640">
        <v>0</v>
      </c>
      <c r="N135" s="640">
        <v>0</v>
      </c>
      <c r="O135" s="640">
        <v>0</v>
      </c>
      <c r="P135" s="640">
        <v>0</v>
      </c>
      <c r="Q135" s="640">
        <v>0</v>
      </c>
      <c r="R135" s="640">
        <v>0</v>
      </c>
      <c r="S135" s="648">
        <v>0</v>
      </c>
      <c r="U135" s="646" t="s">
        <v>352</v>
      </c>
      <c r="V135" s="640">
        <v>0</v>
      </c>
      <c r="W135" s="640">
        <v>0</v>
      </c>
      <c r="X135" s="640">
        <v>0</v>
      </c>
      <c r="Y135" s="640">
        <v>0</v>
      </c>
      <c r="Z135" s="640">
        <v>0</v>
      </c>
      <c r="AA135" s="640">
        <v>0</v>
      </c>
      <c r="AB135" s="640">
        <v>0</v>
      </c>
      <c r="AC135" s="640">
        <v>0</v>
      </c>
      <c r="AD135" s="640">
        <v>-28.460377640694865</v>
      </c>
      <c r="AE135" s="640">
        <v>0</v>
      </c>
      <c r="AF135" s="640">
        <v>0</v>
      </c>
      <c r="AG135" s="640">
        <v>0</v>
      </c>
      <c r="AH135" s="640">
        <v>0</v>
      </c>
      <c r="AI135" s="640">
        <v>0</v>
      </c>
      <c r="AJ135" s="640">
        <v>0</v>
      </c>
      <c r="AK135" s="648">
        <v>-28.460377640694865</v>
      </c>
    </row>
    <row r="136" spans="3:37" x14ac:dyDescent="0.2">
      <c r="C136" s="646" t="s">
        <v>73</v>
      </c>
      <c r="D136" s="640">
        <v>0</v>
      </c>
      <c r="E136" s="640">
        <v>0</v>
      </c>
      <c r="F136" s="640">
        <v>0</v>
      </c>
      <c r="G136" s="640">
        <v>8.6128889644156494</v>
      </c>
      <c r="H136" s="640">
        <v>0</v>
      </c>
      <c r="I136" s="640">
        <v>0</v>
      </c>
      <c r="J136" s="640">
        <v>0</v>
      </c>
      <c r="K136" s="640">
        <v>0.10101910584583218</v>
      </c>
      <c r="L136" s="640">
        <v>0</v>
      </c>
      <c r="M136" s="640">
        <v>0.17577324417174797</v>
      </c>
      <c r="N136" s="640">
        <v>0</v>
      </c>
      <c r="O136" s="640">
        <v>0</v>
      </c>
      <c r="P136" s="640">
        <v>1.1785562348680418</v>
      </c>
      <c r="Q136" s="640">
        <v>0</v>
      </c>
      <c r="R136" s="640">
        <v>-7.071337409208251</v>
      </c>
      <c r="S136" s="648">
        <v>2.99690014009302</v>
      </c>
      <c r="U136" s="646" t="s">
        <v>73</v>
      </c>
      <c r="V136" s="640">
        <v>0</v>
      </c>
      <c r="W136" s="640">
        <v>0</v>
      </c>
      <c r="X136" s="640">
        <v>0</v>
      </c>
      <c r="Y136" s="640">
        <v>0</v>
      </c>
      <c r="Z136" s="640">
        <v>0</v>
      </c>
      <c r="AA136" s="640">
        <v>0</v>
      </c>
      <c r="AB136" s="640">
        <v>0</v>
      </c>
      <c r="AC136" s="640">
        <v>0.58294529496624936</v>
      </c>
      <c r="AD136" s="640">
        <v>0</v>
      </c>
      <c r="AE136" s="640">
        <v>0</v>
      </c>
      <c r="AF136" s="640">
        <v>0</v>
      </c>
      <c r="AG136" s="640">
        <v>0</v>
      </c>
      <c r="AH136" s="640">
        <v>56.108484640501494</v>
      </c>
      <c r="AI136" s="640">
        <v>0</v>
      </c>
      <c r="AJ136" s="640">
        <v>-40.806170647637451</v>
      </c>
      <c r="AK136" s="648">
        <v>15.885259287830294</v>
      </c>
    </row>
    <row r="137" spans="3:37" x14ac:dyDescent="0.2">
      <c r="C137" s="646" t="s">
        <v>353</v>
      </c>
      <c r="D137" s="640">
        <v>28.51179328125</v>
      </c>
      <c r="E137" s="640">
        <v>-16.683351300000002</v>
      </c>
      <c r="F137" s="640">
        <v>21.820838094867195</v>
      </c>
      <c r="G137" s="640">
        <v>0</v>
      </c>
      <c r="H137" s="640">
        <v>0</v>
      </c>
      <c r="I137" s="640">
        <v>0</v>
      </c>
      <c r="J137" s="640">
        <v>0</v>
      </c>
      <c r="K137" s="640">
        <v>0</v>
      </c>
      <c r="L137" s="640">
        <v>0</v>
      </c>
      <c r="M137" s="640">
        <v>0</v>
      </c>
      <c r="N137" s="640">
        <v>0</v>
      </c>
      <c r="O137" s="640">
        <v>0</v>
      </c>
      <c r="P137" s="640">
        <v>0</v>
      </c>
      <c r="Q137" s="640">
        <v>0</v>
      </c>
      <c r="R137" s="640">
        <v>0</v>
      </c>
      <c r="S137" s="648">
        <v>33.649280076117194</v>
      </c>
      <c r="U137" s="646" t="s">
        <v>353</v>
      </c>
      <c r="V137" s="640">
        <v>0.72303211975097659</v>
      </c>
      <c r="W137" s="640">
        <v>-4.0775000000000006</v>
      </c>
      <c r="X137" s="640">
        <v>5.333129161634389</v>
      </c>
      <c r="Y137" s="640">
        <v>0</v>
      </c>
      <c r="Z137" s="640">
        <v>0</v>
      </c>
      <c r="AA137" s="640">
        <v>0</v>
      </c>
      <c r="AB137" s="640">
        <v>0</v>
      </c>
      <c r="AC137" s="640">
        <v>0</v>
      </c>
      <c r="AD137" s="640">
        <v>0</v>
      </c>
      <c r="AE137" s="640">
        <v>0</v>
      </c>
      <c r="AF137" s="640">
        <v>0</v>
      </c>
      <c r="AG137" s="640">
        <v>0</v>
      </c>
      <c r="AH137" s="640">
        <v>0</v>
      </c>
      <c r="AI137" s="640">
        <v>0</v>
      </c>
      <c r="AJ137" s="640">
        <v>0</v>
      </c>
      <c r="AK137" s="648">
        <v>1.978661281385365</v>
      </c>
    </row>
    <row r="138" spans="3:37" x14ac:dyDescent="0.2">
      <c r="C138" s="646" t="s">
        <v>75</v>
      </c>
      <c r="D138" s="640">
        <v>11.087919609375001</v>
      </c>
      <c r="E138" s="640">
        <v>0</v>
      </c>
      <c r="F138" s="640">
        <v>16.370388000000002</v>
      </c>
      <c r="G138" s="640">
        <v>4.6713383640000004</v>
      </c>
      <c r="H138" s="640">
        <v>0</v>
      </c>
      <c r="I138" s="640">
        <v>0</v>
      </c>
      <c r="J138" s="640">
        <v>0</v>
      </c>
      <c r="K138" s="640">
        <v>0</v>
      </c>
      <c r="L138" s="640">
        <v>0</v>
      </c>
      <c r="M138" s="640">
        <v>9.5333436000000008E-2</v>
      </c>
      <c r="N138" s="640">
        <v>0</v>
      </c>
      <c r="O138" s="640">
        <v>0</v>
      </c>
      <c r="P138" s="640">
        <v>26.129145836866744</v>
      </c>
      <c r="Q138" s="640">
        <v>0</v>
      </c>
      <c r="R138" s="640">
        <v>0</v>
      </c>
      <c r="S138" s="648">
        <v>58.35412524624175</v>
      </c>
      <c r="U138" s="646" t="s">
        <v>75</v>
      </c>
      <c r="V138" s="640">
        <v>1.73775830078125</v>
      </c>
      <c r="W138" s="640">
        <v>0</v>
      </c>
      <c r="X138" s="640">
        <v>16.370388000000002</v>
      </c>
      <c r="Y138" s="640">
        <v>0</v>
      </c>
      <c r="Z138" s="640">
        <v>0</v>
      </c>
      <c r="AA138" s="640">
        <v>0</v>
      </c>
      <c r="AB138" s="640">
        <v>0</v>
      </c>
      <c r="AC138" s="640">
        <v>0</v>
      </c>
      <c r="AD138" s="640">
        <v>0</v>
      </c>
      <c r="AE138" s="640">
        <v>4.7666718000000001</v>
      </c>
      <c r="AF138" s="640">
        <v>0</v>
      </c>
      <c r="AG138" s="640">
        <v>0</v>
      </c>
      <c r="AH138" s="640">
        <v>36.696565665655768</v>
      </c>
      <c r="AI138" s="640">
        <v>0</v>
      </c>
      <c r="AJ138" s="640">
        <v>0</v>
      </c>
      <c r="AK138" s="648">
        <v>59.571383766437016</v>
      </c>
    </row>
    <row r="139" spans="3:37" x14ac:dyDescent="0.2">
      <c r="C139" s="646" t="s">
        <v>76</v>
      </c>
      <c r="D139" s="640">
        <v>0</v>
      </c>
      <c r="E139" s="640">
        <v>0</v>
      </c>
      <c r="F139" s="640">
        <v>0</v>
      </c>
      <c r="G139" s="640">
        <v>3.9646717348100942</v>
      </c>
      <c r="H139" s="640">
        <v>0</v>
      </c>
      <c r="I139" s="640">
        <v>0</v>
      </c>
      <c r="J139" s="640">
        <v>0</v>
      </c>
      <c r="K139" s="640">
        <v>0</v>
      </c>
      <c r="L139" s="640">
        <v>0</v>
      </c>
      <c r="M139" s="640">
        <v>8.0911668057348868E-2</v>
      </c>
      <c r="N139" s="640">
        <v>0</v>
      </c>
      <c r="O139" s="640">
        <v>0</v>
      </c>
      <c r="P139" s="640">
        <v>47.131742012269626</v>
      </c>
      <c r="Q139" s="640">
        <v>2.9238621334994321</v>
      </c>
      <c r="R139" s="640">
        <v>0</v>
      </c>
      <c r="S139" s="648">
        <v>54.101187548636503</v>
      </c>
      <c r="U139" s="646" t="s">
        <v>76</v>
      </c>
      <c r="V139" s="640">
        <v>0</v>
      </c>
      <c r="W139" s="640">
        <v>0</v>
      </c>
      <c r="X139" s="640">
        <v>0</v>
      </c>
      <c r="Y139" s="640">
        <v>0</v>
      </c>
      <c r="Z139" s="640">
        <v>0</v>
      </c>
      <c r="AA139" s="640">
        <v>0</v>
      </c>
      <c r="AB139" s="640">
        <v>0</v>
      </c>
      <c r="AC139" s="640">
        <v>0</v>
      </c>
      <c r="AD139" s="640">
        <v>0</v>
      </c>
      <c r="AE139" s="640">
        <v>1.5605996097297452</v>
      </c>
      <c r="AF139" s="640">
        <v>0</v>
      </c>
      <c r="AG139" s="640">
        <v>0</v>
      </c>
      <c r="AH139" s="640">
        <v>50.104610120731024</v>
      </c>
      <c r="AI139" s="640">
        <v>5.7529608775183565</v>
      </c>
      <c r="AJ139" s="640">
        <v>0</v>
      </c>
      <c r="AK139" s="648">
        <v>57.418170607979121</v>
      </c>
    </row>
    <row r="140" spans="3:37" x14ac:dyDescent="0.2">
      <c r="C140" s="644" t="s">
        <v>77</v>
      </c>
      <c r="D140" s="645">
        <v>42.426498531650253</v>
      </c>
      <c r="E140" s="645">
        <v>464.7986487</v>
      </c>
      <c r="F140" s="645">
        <v>-430.41604332203127</v>
      </c>
      <c r="G140" s="645">
        <v>78.562753779962591</v>
      </c>
      <c r="H140" s="645">
        <v>727.27272727272737</v>
      </c>
      <c r="I140" s="645">
        <v>338.37995078139568</v>
      </c>
      <c r="J140" s="645">
        <v>73.88609899973514</v>
      </c>
      <c r="K140" s="645">
        <v>18.1608189391454</v>
      </c>
      <c r="L140" s="645">
        <v>-22.392588528868568</v>
      </c>
      <c r="M140" s="645">
        <v>-5.0780082691828765</v>
      </c>
      <c r="N140" s="645">
        <v>0</v>
      </c>
      <c r="O140" s="645">
        <v>9.6533137639592894</v>
      </c>
      <c r="P140" s="645">
        <v>-554.70570793017112</v>
      </c>
      <c r="Q140" s="645">
        <v>-34.744016552062419</v>
      </c>
      <c r="R140" s="645">
        <v>-7.071337409208251</v>
      </c>
      <c r="S140" s="645">
        <v>698.73310875705101</v>
      </c>
      <c r="U140" s="644" t="s">
        <v>77</v>
      </c>
      <c r="V140" s="645">
        <v>3.0871053259909167</v>
      </c>
      <c r="W140" s="645">
        <v>113.59926767676768</v>
      </c>
      <c r="X140" s="645">
        <v>-90.60020861890041</v>
      </c>
      <c r="Y140" s="645">
        <v>0</v>
      </c>
      <c r="Z140" s="645">
        <v>764.84848484848499</v>
      </c>
      <c r="AA140" s="645">
        <v>423.19995078139567</v>
      </c>
      <c r="AB140" s="645">
        <v>188.81392594880614</v>
      </c>
      <c r="AC140" s="645">
        <v>31.963595882852758</v>
      </c>
      <c r="AD140" s="645">
        <v>-125.42403259253969</v>
      </c>
      <c r="AE140" s="645">
        <v>-113.87891972722609</v>
      </c>
      <c r="AF140" s="645">
        <v>0</v>
      </c>
      <c r="AG140" s="645">
        <v>21.687841193420969</v>
      </c>
      <c r="AH140" s="645">
        <v>-553.86752452670385</v>
      </c>
      <c r="AI140" s="645">
        <v>-68.423763504668656</v>
      </c>
      <c r="AJ140" s="645">
        <v>-37.056170647637451</v>
      </c>
      <c r="AK140" s="645">
        <v>557.94955204004305</v>
      </c>
    </row>
    <row r="141" spans="3:37" x14ac:dyDescent="0.2">
      <c r="C141" s="634"/>
      <c r="D141" s="634">
        <v>0</v>
      </c>
      <c r="E141" s="634">
        <v>0</v>
      </c>
      <c r="F141" s="634">
        <v>0</v>
      </c>
      <c r="G141" s="634">
        <v>0</v>
      </c>
      <c r="H141" s="634">
        <v>0</v>
      </c>
      <c r="I141" s="634">
        <v>0</v>
      </c>
      <c r="J141" s="634">
        <v>0</v>
      </c>
      <c r="K141" s="634">
        <v>0</v>
      </c>
      <c r="L141" s="634">
        <v>0</v>
      </c>
      <c r="M141" s="634">
        <v>0</v>
      </c>
      <c r="N141" s="634">
        <v>0</v>
      </c>
      <c r="O141" s="634">
        <v>0</v>
      </c>
      <c r="P141" s="634">
        <v>0</v>
      </c>
      <c r="Q141" s="634">
        <v>0</v>
      </c>
      <c r="R141" s="634">
        <v>0</v>
      </c>
      <c r="S141" s="634">
        <v>0</v>
      </c>
      <c r="U141" s="634"/>
      <c r="V141" s="634">
        <v>0</v>
      </c>
      <c r="W141" s="634">
        <v>0</v>
      </c>
      <c r="X141" s="634">
        <v>0</v>
      </c>
      <c r="Y141" s="634">
        <v>0</v>
      </c>
      <c r="Z141" s="634">
        <v>0</v>
      </c>
      <c r="AA141" s="634">
        <v>0</v>
      </c>
      <c r="AB141" s="634">
        <v>0</v>
      </c>
      <c r="AC141" s="634">
        <v>0</v>
      </c>
      <c r="AD141" s="634">
        <v>0</v>
      </c>
      <c r="AE141" s="634">
        <v>0</v>
      </c>
      <c r="AF141" s="634">
        <v>0</v>
      </c>
      <c r="AG141" s="634">
        <v>0</v>
      </c>
      <c r="AH141" s="634">
        <v>0</v>
      </c>
      <c r="AI141" s="634">
        <v>0</v>
      </c>
      <c r="AJ141" s="634">
        <v>0</v>
      </c>
      <c r="AK141" s="634">
        <v>0</v>
      </c>
    </row>
    <row r="142" spans="3:37" x14ac:dyDescent="0.2">
      <c r="C142" s="646" t="s">
        <v>78</v>
      </c>
      <c r="D142" s="640">
        <v>3.6733927919712848</v>
      </c>
      <c r="E142" s="640">
        <v>0</v>
      </c>
      <c r="F142" s="640">
        <v>19.397200033553816</v>
      </c>
      <c r="G142" s="640">
        <v>91.130108310207916</v>
      </c>
      <c r="H142" s="640">
        <v>0</v>
      </c>
      <c r="I142" s="640">
        <v>0</v>
      </c>
      <c r="J142" s="640">
        <v>22.791437377983073</v>
      </c>
      <c r="K142" s="640">
        <v>1.7013098714668424</v>
      </c>
      <c r="L142" s="640">
        <v>1.007010953125</v>
      </c>
      <c r="M142" s="640">
        <v>1.8779931367345493</v>
      </c>
      <c r="N142" s="640">
        <v>0</v>
      </c>
      <c r="O142" s="640">
        <v>3.7093504340600874E-4</v>
      </c>
      <c r="P142" s="640">
        <v>114.54790196708234</v>
      </c>
      <c r="Q142" s="640">
        <v>16.21056036467343</v>
      </c>
      <c r="R142" s="640">
        <v>0.23655174255371095</v>
      </c>
      <c r="S142" s="648">
        <v>272.57383748439537</v>
      </c>
      <c r="U142" s="646" t="s">
        <v>78</v>
      </c>
      <c r="V142" s="640">
        <v>1.5000162600463405</v>
      </c>
      <c r="W142" s="640">
        <v>0</v>
      </c>
      <c r="X142" s="640">
        <v>0.65820239923796242</v>
      </c>
      <c r="Y142" s="640">
        <v>0</v>
      </c>
      <c r="Z142" s="640">
        <v>0</v>
      </c>
      <c r="AA142" s="640">
        <v>0</v>
      </c>
      <c r="AB142" s="640">
        <v>14.22856522114639</v>
      </c>
      <c r="AC142" s="640">
        <v>4.1194716696050602</v>
      </c>
      <c r="AD142" s="640">
        <v>8.3494072265624997</v>
      </c>
      <c r="AE142" s="640">
        <v>60.539358802903692</v>
      </c>
      <c r="AF142" s="640">
        <v>0</v>
      </c>
      <c r="AG142" s="640">
        <v>3.7093504340600874E-4</v>
      </c>
      <c r="AH142" s="640">
        <v>157.01971492382648</v>
      </c>
      <c r="AI142" s="640">
        <v>25.540840498351418</v>
      </c>
      <c r="AJ142" s="640">
        <v>8.9542294921874994</v>
      </c>
      <c r="AK142" s="648">
        <v>280.91017742891074</v>
      </c>
    </row>
    <row r="143" spans="3:37" x14ac:dyDescent="0.2">
      <c r="C143" s="646" t="s">
        <v>79</v>
      </c>
      <c r="D143" s="640">
        <v>0</v>
      </c>
      <c r="E143" s="640">
        <v>0</v>
      </c>
      <c r="F143" s="640">
        <v>216.8751541495462</v>
      </c>
      <c r="G143" s="640">
        <v>32.745585882615877</v>
      </c>
      <c r="H143" s="640">
        <v>0</v>
      </c>
      <c r="I143" s="640">
        <v>0</v>
      </c>
      <c r="J143" s="640">
        <v>0</v>
      </c>
      <c r="K143" s="640">
        <v>0</v>
      </c>
      <c r="L143" s="640">
        <v>20.896591906701669</v>
      </c>
      <c r="M143" s="640">
        <v>0.66827726291052814</v>
      </c>
      <c r="N143" s="640">
        <v>0</v>
      </c>
      <c r="O143" s="640">
        <v>0</v>
      </c>
      <c r="P143" s="640">
        <v>80.819270278256823</v>
      </c>
      <c r="Q143" s="640">
        <v>0</v>
      </c>
      <c r="R143" s="640">
        <v>2.9193508940431485</v>
      </c>
      <c r="S143" s="648">
        <v>354.92423037407423</v>
      </c>
      <c r="U143" s="646" t="s">
        <v>79</v>
      </c>
      <c r="V143" s="640">
        <v>0</v>
      </c>
      <c r="W143" s="640">
        <v>0</v>
      </c>
      <c r="X143" s="640">
        <v>8.8339079607242379</v>
      </c>
      <c r="Y143" s="640">
        <v>0</v>
      </c>
      <c r="Z143" s="640">
        <v>0</v>
      </c>
      <c r="AA143" s="640">
        <v>0</v>
      </c>
      <c r="AB143" s="640">
        <v>0</v>
      </c>
      <c r="AC143" s="640">
        <v>0</v>
      </c>
      <c r="AD143" s="640">
        <v>12.788272739607951</v>
      </c>
      <c r="AE143" s="640">
        <v>24.887279738493259</v>
      </c>
      <c r="AF143" s="640">
        <v>0</v>
      </c>
      <c r="AG143" s="640">
        <v>0</v>
      </c>
      <c r="AH143" s="640">
        <v>93.844452584108197</v>
      </c>
      <c r="AI143" s="640">
        <v>0</v>
      </c>
      <c r="AJ143" s="640">
        <v>7.1149935986121697</v>
      </c>
      <c r="AK143" s="648">
        <v>147.46890662154581</v>
      </c>
    </row>
    <row r="144" spans="3:37" x14ac:dyDescent="0.2">
      <c r="C144" s="646" t="s">
        <v>80</v>
      </c>
      <c r="D144" s="640">
        <v>0</v>
      </c>
      <c r="E144" s="640">
        <v>0</v>
      </c>
      <c r="F144" s="640">
        <v>5.2094674308398901</v>
      </c>
      <c r="G144" s="640">
        <v>68.551385920257417</v>
      </c>
      <c r="H144" s="640">
        <v>0</v>
      </c>
      <c r="I144" s="640">
        <v>0</v>
      </c>
      <c r="J144" s="640">
        <v>86.155325304334795</v>
      </c>
      <c r="K144" s="640">
        <v>0</v>
      </c>
      <c r="L144" s="640">
        <v>0</v>
      </c>
      <c r="M144" s="640">
        <v>1.3990078759236206</v>
      </c>
      <c r="N144" s="640">
        <v>66.478227859390046</v>
      </c>
      <c r="O144" s="640">
        <v>2.1206229173139883</v>
      </c>
      <c r="P144" s="640">
        <v>194.47767196350526</v>
      </c>
      <c r="Q144" s="640">
        <v>15.182773802844931</v>
      </c>
      <c r="R144" s="640">
        <v>0</v>
      </c>
      <c r="S144" s="648">
        <v>439.5744830744099</v>
      </c>
      <c r="U144" s="646" t="s">
        <v>80</v>
      </c>
      <c r="V144" s="640">
        <v>0</v>
      </c>
      <c r="W144" s="640">
        <v>0</v>
      </c>
      <c r="X144" s="640">
        <v>0.92826525658471626</v>
      </c>
      <c r="Y144" s="640">
        <v>0</v>
      </c>
      <c r="Z144" s="640">
        <v>0</v>
      </c>
      <c r="AA144" s="640">
        <v>0</v>
      </c>
      <c r="AB144" s="640">
        <v>47.227858114444189</v>
      </c>
      <c r="AC144" s="640">
        <v>0</v>
      </c>
      <c r="AD144" s="640">
        <v>0</v>
      </c>
      <c r="AE144" s="640">
        <v>17.293312779197663</v>
      </c>
      <c r="AF144" s="640">
        <v>108.09916343666818</v>
      </c>
      <c r="AG144" s="640">
        <v>4.9369795689122755</v>
      </c>
      <c r="AH144" s="640">
        <v>137.38519988829395</v>
      </c>
      <c r="AI144" s="640">
        <v>27.91071693101145</v>
      </c>
      <c r="AJ144" s="640">
        <v>0</v>
      </c>
      <c r="AK144" s="648">
        <v>343.78149597511242</v>
      </c>
    </row>
    <row r="145" spans="3:37" x14ac:dyDescent="0.2">
      <c r="C145" s="646" t="s">
        <v>81</v>
      </c>
      <c r="D145" s="640">
        <v>0</v>
      </c>
      <c r="E145" s="640">
        <v>0</v>
      </c>
      <c r="F145" s="640">
        <v>2.3181271880740835</v>
      </c>
      <c r="G145" s="640">
        <v>62.553452404821357</v>
      </c>
      <c r="H145" s="640">
        <v>0</v>
      </c>
      <c r="I145" s="640">
        <v>0</v>
      </c>
      <c r="J145" s="640">
        <v>3.0090868580403627</v>
      </c>
      <c r="K145" s="640">
        <v>2.5363417285398034E-2</v>
      </c>
      <c r="L145" s="640">
        <v>0</v>
      </c>
      <c r="M145" s="640">
        <v>1.27660106948615</v>
      </c>
      <c r="N145" s="640">
        <v>8.6055350400994808</v>
      </c>
      <c r="O145" s="640">
        <v>0.68093940948821108</v>
      </c>
      <c r="P145" s="640">
        <v>146.08879967332064</v>
      </c>
      <c r="Q145" s="640">
        <v>3.3506823845440552</v>
      </c>
      <c r="R145" s="640">
        <v>0</v>
      </c>
      <c r="S145" s="648">
        <v>227.90858744515972</v>
      </c>
      <c r="U145" s="646" t="s">
        <v>81</v>
      </c>
      <c r="V145" s="640">
        <v>0</v>
      </c>
      <c r="W145" s="640">
        <v>0</v>
      </c>
      <c r="X145" s="640">
        <v>0.55102356567889155</v>
      </c>
      <c r="Y145" s="640">
        <v>0</v>
      </c>
      <c r="Z145" s="640">
        <v>0</v>
      </c>
      <c r="AA145" s="640">
        <v>0</v>
      </c>
      <c r="AB145" s="640">
        <v>6.5361621549849476</v>
      </c>
      <c r="AC145" s="640">
        <v>2.5363417285398034E-2</v>
      </c>
      <c r="AD145" s="640">
        <v>0</v>
      </c>
      <c r="AE145" s="640">
        <v>5.3379988256415478</v>
      </c>
      <c r="AF145" s="640">
        <v>15.069021727073199</v>
      </c>
      <c r="AG145" s="640">
        <v>1.4375946320597892</v>
      </c>
      <c r="AH145" s="640">
        <v>112.31243747223964</v>
      </c>
      <c r="AI145" s="640">
        <v>14.972206075305797</v>
      </c>
      <c r="AJ145" s="640">
        <v>0</v>
      </c>
      <c r="AK145" s="648">
        <v>156.24180787026921</v>
      </c>
    </row>
    <row r="146" spans="3:37" x14ac:dyDescent="0.2">
      <c r="C146" s="646" t="s">
        <v>82</v>
      </c>
      <c r="D146" s="640">
        <v>0</v>
      </c>
      <c r="E146" s="640">
        <v>0</v>
      </c>
      <c r="F146" s="640">
        <v>27.219719362233906</v>
      </c>
      <c r="G146" s="640">
        <v>0.81069667111944488</v>
      </c>
      <c r="H146" s="640">
        <v>0</v>
      </c>
      <c r="I146" s="640">
        <v>0</v>
      </c>
      <c r="J146" s="640">
        <v>5.0054618408177598</v>
      </c>
      <c r="K146" s="640">
        <v>0</v>
      </c>
      <c r="L146" s="640">
        <v>3.2629555410385191</v>
      </c>
      <c r="M146" s="640">
        <v>1.6544830022845812E-2</v>
      </c>
      <c r="N146" s="640">
        <v>0</v>
      </c>
      <c r="O146" s="640">
        <v>6.051975379409523E-2</v>
      </c>
      <c r="P146" s="640">
        <v>5.5235547180923223</v>
      </c>
      <c r="Q146" s="640">
        <v>0</v>
      </c>
      <c r="R146" s="640">
        <v>0</v>
      </c>
      <c r="S146" s="648">
        <v>41.899452717118898</v>
      </c>
      <c r="U146" s="646" t="s">
        <v>82</v>
      </c>
      <c r="V146" s="640">
        <v>0</v>
      </c>
      <c r="W146" s="640">
        <v>0</v>
      </c>
      <c r="X146" s="640">
        <v>0.67158967449506357</v>
      </c>
      <c r="Y146" s="640">
        <v>0</v>
      </c>
      <c r="Z146" s="640">
        <v>0</v>
      </c>
      <c r="AA146" s="640">
        <v>0</v>
      </c>
      <c r="AB146" s="640">
        <v>5.0054618408177598</v>
      </c>
      <c r="AC146" s="640">
        <v>0</v>
      </c>
      <c r="AD146" s="640">
        <v>35.167200828266267</v>
      </c>
      <c r="AE146" s="640">
        <v>0.86765586771995196</v>
      </c>
      <c r="AF146" s="640">
        <v>0</v>
      </c>
      <c r="AG146" s="640">
        <v>2.1874070050904897</v>
      </c>
      <c r="AH146" s="640">
        <v>5.6657335511185538</v>
      </c>
      <c r="AI146" s="640">
        <v>0</v>
      </c>
      <c r="AJ146" s="640">
        <v>0.44339331184266689</v>
      </c>
      <c r="AK146" s="648">
        <v>50.008442079350758</v>
      </c>
    </row>
    <row r="147" spans="3:37" x14ac:dyDescent="0.2">
      <c r="C147" s="646" t="s">
        <v>354</v>
      </c>
      <c r="D147" s="640">
        <v>0</v>
      </c>
      <c r="E147" s="640">
        <v>0</v>
      </c>
      <c r="F147" s="640">
        <v>0</v>
      </c>
      <c r="G147" s="640">
        <v>0</v>
      </c>
      <c r="H147" s="640">
        <v>0</v>
      </c>
      <c r="I147" s="640">
        <v>0</v>
      </c>
      <c r="J147" s="640">
        <v>0</v>
      </c>
      <c r="K147" s="640">
        <v>0</v>
      </c>
      <c r="L147" s="640">
        <v>0</v>
      </c>
      <c r="M147" s="640">
        <v>0</v>
      </c>
      <c r="N147" s="640">
        <v>0</v>
      </c>
      <c r="O147" s="640">
        <v>0</v>
      </c>
      <c r="P147" s="640">
        <v>0.44999999999999996</v>
      </c>
      <c r="Q147" s="640">
        <v>0</v>
      </c>
      <c r="R147" s="640">
        <v>0</v>
      </c>
      <c r="S147" s="648">
        <v>0.44999999999999996</v>
      </c>
      <c r="U147" s="646" t="s">
        <v>354</v>
      </c>
      <c r="V147" s="640">
        <v>0</v>
      </c>
      <c r="W147" s="640">
        <v>0</v>
      </c>
      <c r="X147" s="640">
        <v>0</v>
      </c>
      <c r="Y147" s="640">
        <v>0</v>
      </c>
      <c r="Z147" s="640">
        <v>0</v>
      </c>
      <c r="AA147" s="640">
        <v>0</v>
      </c>
      <c r="AB147" s="640">
        <v>0</v>
      </c>
      <c r="AC147" s="640">
        <v>0</v>
      </c>
      <c r="AD147" s="640">
        <v>0</v>
      </c>
      <c r="AE147" s="640">
        <v>0</v>
      </c>
      <c r="AF147" s="640">
        <v>0</v>
      </c>
      <c r="AG147" s="640">
        <v>0</v>
      </c>
      <c r="AH147" s="640">
        <v>6</v>
      </c>
      <c r="AI147" s="640">
        <v>0</v>
      </c>
      <c r="AJ147" s="640">
        <v>0</v>
      </c>
      <c r="AK147" s="648">
        <v>6</v>
      </c>
    </row>
    <row r="148" spans="3:37" x14ac:dyDescent="0.2">
      <c r="C148" s="644" t="s">
        <v>83</v>
      </c>
      <c r="D148" s="645">
        <v>3.6733927919712848</v>
      </c>
      <c r="E148" s="645">
        <v>0</v>
      </c>
      <c r="F148" s="645">
        <v>271.01966816424783</v>
      </c>
      <c r="G148" s="645">
        <v>255.79122918902203</v>
      </c>
      <c r="H148" s="645">
        <v>0</v>
      </c>
      <c r="I148" s="645">
        <v>0</v>
      </c>
      <c r="J148" s="645">
        <v>116.96131138117599</v>
      </c>
      <c r="K148" s="645">
        <v>1.7266732887522405</v>
      </c>
      <c r="L148" s="645">
        <v>25.166558400865188</v>
      </c>
      <c r="M148" s="645">
        <v>5.238424175077693</v>
      </c>
      <c r="N148" s="645">
        <v>75.083762899489528</v>
      </c>
      <c r="O148" s="645">
        <v>2.8624530156397006</v>
      </c>
      <c r="P148" s="645">
        <v>541.90719860025752</v>
      </c>
      <c r="Q148" s="645">
        <v>34.744016552062419</v>
      </c>
      <c r="R148" s="645">
        <v>3.1559026365968594</v>
      </c>
      <c r="S148" s="645">
        <v>1337.3305910951583</v>
      </c>
      <c r="U148" s="644" t="s">
        <v>83</v>
      </c>
      <c r="V148" s="645">
        <v>1.5000162600463405</v>
      </c>
      <c r="W148" s="645">
        <v>0</v>
      </c>
      <c r="X148" s="645">
        <v>11.642988856720871</v>
      </c>
      <c r="Y148" s="645">
        <v>0</v>
      </c>
      <c r="Z148" s="645">
        <v>0</v>
      </c>
      <c r="AA148" s="645">
        <v>0</v>
      </c>
      <c r="AB148" s="645">
        <v>72.998047331393281</v>
      </c>
      <c r="AC148" s="645">
        <v>4.1448350868904589</v>
      </c>
      <c r="AD148" s="645">
        <v>56.30488079443672</v>
      </c>
      <c r="AE148" s="645">
        <v>108.92560601395611</v>
      </c>
      <c r="AF148" s="645">
        <v>123.16818516374138</v>
      </c>
      <c r="AG148" s="645">
        <v>8.5623521411059595</v>
      </c>
      <c r="AH148" s="645">
        <v>512.22753841958684</v>
      </c>
      <c r="AI148" s="645">
        <v>68.423763504668656</v>
      </c>
      <c r="AJ148" s="645">
        <v>16.512616402642333</v>
      </c>
      <c r="AK148" s="645">
        <v>984.4108299751889</v>
      </c>
    </row>
    <row r="149" spans="3:37" x14ac:dyDescent="0.2">
      <c r="C149" s="639" t="s">
        <v>84</v>
      </c>
      <c r="D149" s="640">
        <v>0</v>
      </c>
      <c r="E149" s="640">
        <v>0</v>
      </c>
      <c r="F149" s="640">
        <v>100.05515171814793</v>
      </c>
      <c r="G149" s="640">
        <v>11.196954266678716</v>
      </c>
      <c r="H149" s="640">
        <v>0</v>
      </c>
      <c r="I149" s="640">
        <v>0</v>
      </c>
      <c r="J149" s="640">
        <v>0</v>
      </c>
      <c r="K149" s="640">
        <v>0</v>
      </c>
      <c r="L149" s="640">
        <v>0</v>
      </c>
      <c r="M149" s="640">
        <v>0</v>
      </c>
      <c r="N149" s="640">
        <v>0</v>
      </c>
      <c r="O149" s="640">
        <v>0</v>
      </c>
      <c r="P149" s="640">
        <v>0</v>
      </c>
      <c r="Q149" s="640">
        <v>0</v>
      </c>
      <c r="R149" s="640">
        <v>3.9154347726113912</v>
      </c>
      <c r="S149" s="648">
        <v>115.16754075743803</v>
      </c>
      <c r="U149" s="639" t="s">
        <v>84</v>
      </c>
      <c r="V149" s="640">
        <v>0</v>
      </c>
      <c r="W149" s="640">
        <v>0</v>
      </c>
      <c r="X149" s="640">
        <v>57.953190468871433</v>
      </c>
      <c r="Y149" s="640">
        <v>0.51452681198611927</v>
      </c>
      <c r="Z149" s="640">
        <v>0</v>
      </c>
      <c r="AA149" s="640">
        <v>0</v>
      </c>
      <c r="AB149" s="640">
        <v>0</v>
      </c>
      <c r="AC149" s="640">
        <v>0</v>
      </c>
      <c r="AD149" s="640">
        <v>30.108432000732424</v>
      </c>
      <c r="AE149" s="640">
        <v>0</v>
      </c>
      <c r="AF149" s="640">
        <v>0</v>
      </c>
      <c r="AG149" s="640">
        <v>0</v>
      </c>
      <c r="AH149" s="640">
        <v>0</v>
      </c>
      <c r="AI149" s="640">
        <v>0</v>
      </c>
      <c r="AJ149" s="640">
        <v>20.543554244995118</v>
      </c>
      <c r="AK149" s="648">
        <v>109.1197035265851</v>
      </c>
    </row>
    <row r="150" spans="3:37" x14ac:dyDescent="0.2">
      <c r="C150" s="644" t="s">
        <v>85</v>
      </c>
      <c r="D150" s="645">
        <v>3.6733927919712848</v>
      </c>
      <c r="E150" s="645">
        <v>0</v>
      </c>
      <c r="F150" s="645">
        <v>371.07481988239573</v>
      </c>
      <c r="G150" s="645">
        <v>266.98818345570078</v>
      </c>
      <c r="H150" s="645">
        <v>0</v>
      </c>
      <c r="I150" s="645">
        <v>0</v>
      </c>
      <c r="J150" s="645">
        <v>116.96131138117599</v>
      </c>
      <c r="K150" s="645">
        <v>1.7266732887522405</v>
      </c>
      <c r="L150" s="645">
        <v>25.166558400865188</v>
      </c>
      <c r="M150" s="645">
        <v>5.238424175077693</v>
      </c>
      <c r="N150" s="645">
        <v>75.083762899489528</v>
      </c>
      <c r="O150" s="645">
        <v>2.8624530156397006</v>
      </c>
      <c r="P150" s="645">
        <v>541.90719860025752</v>
      </c>
      <c r="Q150" s="645">
        <v>34.744016552062419</v>
      </c>
      <c r="R150" s="645">
        <v>7.071337409208251</v>
      </c>
      <c r="S150" s="645">
        <v>1452.4981318525963</v>
      </c>
      <c r="U150" s="644" t="s">
        <v>85</v>
      </c>
      <c r="V150" s="645">
        <v>1.5000162600463405</v>
      </c>
      <c r="W150" s="645">
        <v>0</v>
      </c>
      <c r="X150" s="645">
        <v>69.596179325592303</v>
      </c>
      <c r="Y150" s="645">
        <v>0.51452681198611927</v>
      </c>
      <c r="Z150" s="645">
        <v>0</v>
      </c>
      <c r="AA150" s="645">
        <v>0</v>
      </c>
      <c r="AB150" s="645">
        <v>72.998047331393281</v>
      </c>
      <c r="AC150" s="645">
        <v>4.1448350868904589</v>
      </c>
      <c r="AD150" s="645">
        <v>86.413312795169148</v>
      </c>
      <c r="AE150" s="645">
        <v>108.92560601395611</v>
      </c>
      <c r="AF150" s="645">
        <v>123.16818516374138</v>
      </c>
      <c r="AG150" s="645">
        <v>8.5623521411059595</v>
      </c>
      <c r="AH150" s="645">
        <v>512.22753841958684</v>
      </c>
      <c r="AI150" s="645">
        <v>68.423763504668656</v>
      </c>
      <c r="AJ150" s="645">
        <v>37.056170647637451</v>
      </c>
      <c r="AK150" s="645">
        <v>1093.530533501774</v>
      </c>
    </row>
    <row r="151" spans="3:37" x14ac:dyDescent="0.2">
      <c r="C151" s="634"/>
      <c r="D151" s="634"/>
      <c r="E151" s="634"/>
      <c r="F151" s="634"/>
      <c r="G151" s="634"/>
      <c r="H151" s="634"/>
      <c r="I151" s="634"/>
      <c r="J151" s="634"/>
      <c r="K151" s="634"/>
      <c r="L151" s="634"/>
      <c r="M151" s="634"/>
      <c r="N151" s="634"/>
      <c r="O151" s="634"/>
      <c r="P151" s="634"/>
      <c r="Q151" s="634"/>
      <c r="R151" s="634"/>
      <c r="S151" s="634"/>
      <c r="U151" s="634"/>
      <c r="V151" s="634"/>
      <c r="W151" s="634"/>
      <c r="X151" s="634"/>
      <c r="Y151" s="634"/>
      <c r="Z151" s="634"/>
      <c r="AA151" s="634"/>
      <c r="AB151" s="634"/>
      <c r="AC151" s="634"/>
      <c r="AD151" s="634"/>
      <c r="AE151" s="634"/>
      <c r="AF151" s="634"/>
      <c r="AG151" s="634"/>
      <c r="AH151" s="634"/>
      <c r="AI151" s="634"/>
      <c r="AJ151" s="634"/>
      <c r="AK151" s="634"/>
    </row>
    <row r="152" spans="3:37" x14ac:dyDescent="0.2">
      <c r="C152" s="634"/>
      <c r="D152" s="634"/>
      <c r="E152" s="634"/>
      <c r="F152" s="634"/>
      <c r="G152" s="634"/>
      <c r="H152" s="634"/>
      <c r="I152" s="634"/>
      <c r="J152" s="634"/>
      <c r="K152" s="634"/>
      <c r="L152" s="634"/>
      <c r="M152" s="634"/>
      <c r="N152" s="634"/>
      <c r="O152" s="634"/>
      <c r="P152" s="634"/>
      <c r="Q152" s="634"/>
      <c r="R152" s="634"/>
      <c r="S152" s="634"/>
      <c r="U152" s="634"/>
      <c r="V152" s="634"/>
      <c r="W152" s="634"/>
      <c r="X152" s="634"/>
      <c r="Y152" s="634"/>
      <c r="Z152" s="634"/>
      <c r="AA152" s="634"/>
      <c r="AB152" s="634"/>
      <c r="AC152" s="634"/>
      <c r="AD152" s="634"/>
      <c r="AE152" s="634"/>
      <c r="AF152" s="634"/>
      <c r="AG152" s="634"/>
      <c r="AH152" s="634"/>
      <c r="AI152" s="634"/>
      <c r="AJ152" s="634"/>
      <c r="AK152" s="634"/>
    </row>
  </sheetData>
  <mergeCells count="106">
    <mergeCell ref="C2:S2"/>
    <mergeCell ref="U2:AK2"/>
    <mergeCell ref="C8:S8"/>
    <mergeCell ref="U8:AK8"/>
    <mergeCell ref="C10:C11"/>
    <mergeCell ref="D10:D11"/>
    <mergeCell ref="E10:E11"/>
    <mergeCell ref="F10:F11"/>
    <mergeCell ref="G10:G11"/>
    <mergeCell ref="H10:H11"/>
    <mergeCell ref="I10:I11"/>
    <mergeCell ref="J10:O10"/>
    <mergeCell ref="AH10:AH11"/>
    <mergeCell ref="AI10:AI11"/>
    <mergeCell ref="AJ10:AJ11"/>
    <mergeCell ref="AK10:AK11"/>
    <mergeCell ref="C44:S44"/>
    <mergeCell ref="U44:AK44"/>
    <mergeCell ref="W10:W11"/>
    <mergeCell ref="X10:X11"/>
    <mergeCell ref="Y10:Y11"/>
    <mergeCell ref="Z10:Z11"/>
    <mergeCell ref="AA10:AA11"/>
    <mergeCell ref="AB10:AG10"/>
    <mergeCell ref="P10:P11"/>
    <mergeCell ref="Q10:Q11"/>
    <mergeCell ref="R10:R11"/>
    <mergeCell ref="S10:S11"/>
    <mergeCell ref="U10:U11"/>
    <mergeCell ref="V10:V11"/>
    <mergeCell ref="I46:I47"/>
    <mergeCell ref="J46:O46"/>
    <mergeCell ref="P46:P47"/>
    <mergeCell ref="Q46:Q47"/>
    <mergeCell ref="R46:R47"/>
    <mergeCell ref="S46:S47"/>
    <mergeCell ref="C46:C47"/>
    <mergeCell ref="D46:D47"/>
    <mergeCell ref="E46:E47"/>
    <mergeCell ref="F46:F47"/>
    <mergeCell ref="G46:G47"/>
    <mergeCell ref="H46:H47"/>
    <mergeCell ref="AA46:AA47"/>
    <mergeCell ref="AB46:AG46"/>
    <mergeCell ref="AH46:AH47"/>
    <mergeCell ref="AI46:AI47"/>
    <mergeCell ref="AJ46:AJ47"/>
    <mergeCell ref="AK46:AK47"/>
    <mergeCell ref="U46:U47"/>
    <mergeCell ref="V46:V47"/>
    <mergeCell ref="W46:W47"/>
    <mergeCell ref="X46:X47"/>
    <mergeCell ref="Y46:Y47"/>
    <mergeCell ref="Z46:Z47"/>
    <mergeCell ref="C80:S80"/>
    <mergeCell ref="U80:AK80"/>
    <mergeCell ref="C82:C83"/>
    <mergeCell ref="D82:D83"/>
    <mergeCell ref="E82:E83"/>
    <mergeCell ref="F82:F83"/>
    <mergeCell ref="G82:G83"/>
    <mergeCell ref="H82:H83"/>
    <mergeCell ref="I82:I83"/>
    <mergeCell ref="J82:O82"/>
    <mergeCell ref="AH82:AH83"/>
    <mergeCell ref="AI82:AI83"/>
    <mergeCell ref="AJ82:AJ83"/>
    <mergeCell ref="AK82:AK83"/>
    <mergeCell ref="C116:S116"/>
    <mergeCell ref="U116:AK116"/>
    <mergeCell ref="W82:W83"/>
    <mergeCell ref="X82:X83"/>
    <mergeCell ref="Y82:Y83"/>
    <mergeCell ref="Z82:Z83"/>
    <mergeCell ref="AA82:AA83"/>
    <mergeCell ref="AB82:AG82"/>
    <mergeCell ref="P82:P83"/>
    <mergeCell ref="Q82:Q83"/>
    <mergeCell ref="R82:R83"/>
    <mergeCell ref="S82:S83"/>
    <mergeCell ref="U82:U83"/>
    <mergeCell ref="V82:V83"/>
    <mergeCell ref="I118:I119"/>
    <mergeCell ref="J118:O118"/>
    <mergeCell ref="P118:P119"/>
    <mergeCell ref="Q118:Q119"/>
    <mergeCell ref="R118:R119"/>
    <mergeCell ref="S118:S119"/>
    <mergeCell ref="C118:C119"/>
    <mergeCell ref="D118:D119"/>
    <mergeCell ref="E118:E119"/>
    <mergeCell ref="F118:F119"/>
    <mergeCell ref="G118:G119"/>
    <mergeCell ref="H118:H119"/>
    <mergeCell ref="AA118:AA119"/>
    <mergeCell ref="AB118:AG118"/>
    <mergeCell ref="AH118:AH119"/>
    <mergeCell ref="AI118:AI119"/>
    <mergeCell ref="AJ118:AJ119"/>
    <mergeCell ref="AK118:AK119"/>
    <mergeCell ref="U118:U119"/>
    <mergeCell ref="V118:V119"/>
    <mergeCell ref="W118:W119"/>
    <mergeCell ref="X118:X119"/>
    <mergeCell ref="Y118:Y119"/>
    <mergeCell ref="Z118:Z119"/>
  </mergeCells>
  <conditionalFormatting sqref="D12:S18">
    <cfRule type="expression" dxfId="1693" priority="425">
      <formula>LEN(TRIM(D12))=0</formula>
    </cfRule>
  </conditionalFormatting>
  <conditionalFormatting sqref="D20:S32">
    <cfRule type="expression" dxfId="1692" priority="402">
      <formula>LEN(TRIM(D20))=0</formula>
    </cfRule>
    <cfRule type="cellIs" dxfId="1691" priority="401" operator="equal">
      <formula>0</formula>
    </cfRule>
  </conditionalFormatting>
  <conditionalFormatting sqref="D34:S42">
    <cfRule type="cellIs" dxfId="1690" priority="389" operator="equal">
      <formula>0</formula>
    </cfRule>
    <cfRule type="expression" dxfId="1689" priority="390">
      <formula>LEN(TRIM(D34))=0</formula>
    </cfRule>
  </conditionalFormatting>
  <conditionalFormatting sqref="D48:S54">
    <cfRule type="expression" dxfId="1688" priority="384">
      <formula>LEN(TRIM(D48))=0</formula>
    </cfRule>
  </conditionalFormatting>
  <conditionalFormatting sqref="D56:S68">
    <cfRule type="cellIs" dxfId="1687" priority="360" operator="equal">
      <formula>0</formula>
    </cfRule>
    <cfRule type="expression" dxfId="1686" priority="361">
      <formula>LEN(TRIM(D56))=0</formula>
    </cfRule>
  </conditionalFormatting>
  <conditionalFormatting sqref="D70:S78">
    <cfRule type="expression" dxfId="1685" priority="349">
      <formula>LEN(TRIM(D70))=0</formula>
    </cfRule>
    <cfRule type="cellIs" dxfId="1684" priority="348" operator="equal">
      <formula>0</formula>
    </cfRule>
  </conditionalFormatting>
  <conditionalFormatting sqref="D84:S90">
    <cfRule type="expression" dxfId="1683" priority="343">
      <formula>LEN(TRIM(D84))=0</formula>
    </cfRule>
  </conditionalFormatting>
  <conditionalFormatting sqref="D92:S104">
    <cfRule type="expression" dxfId="1682" priority="320">
      <formula>LEN(TRIM(D92))=0</formula>
    </cfRule>
    <cfRule type="cellIs" dxfId="1681" priority="319" operator="equal">
      <formula>0</formula>
    </cfRule>
  </conditionalFormatting>
  <conditionalFormatting sqref="D106:S114">
    <cfRule type="expression" dxfId="1680" priority="308">
      <formula>LEN(TRIM(D106))=0</formula>
    </cfRule>
    <cfRule type="cellIs" dxfId="1679" priority="307" operator="equal">
      <formula>0</formula>
    </cfRule>
  </conditionalFormatting>
  <conditionalFormatting sqref="D120:S126">
    <cfRule type="expression" dxfId="1678" priority="302">
      <formula>LEN(TRIM(D120))=0</formula>
    </cfRule>
  </conditionalFormatting>
  <conditionalFormatting sqref="D128:S140">
    <cfRule type="expression" dxfId="1677" priority="279">
      <formula>LEN(TRIM(D128))=0</formula>
    </cfRule>
    <cfRule type="cellIs" dxfId="1676" priority="278" operator="equal">
      <formula>0</formula>
    </cfRule>
  </conditionalFormatting>
  <conditionalFormatting sqref="D142:S150">
    <cfRule type="cellIs" dxfId="1675" priority="266" operator="equal">
      <formula>0</formula>
    </cfRule>
    <cfRule type="expression" dxfId="1674" priority="267">
      <formula>LEN(TRIM(D142))=0</formula>
    </cfRule>
  </conditionalFormatting>
  <conditionalFormatting sqref="G12:G14 Q12:S14 D12:F17 E15:I17 P15:S17 D18:S18">
    <cfRule type="cellIs" dxfId="1673" priority="409" operator="equal">
      <formula>0</formula>
    </cfRule>
  </conditionalFormatting>
  <conditionalFormatting sqref="G48:G50 Q48:S50 D48:F53 E51:I53 P51:S53 D54:S54">
    <cfRule type="cellIs" dxfId="1672" priority="368" operator="equal">
      <formula>0</formula>
    </cfRule>
  </conditionalFormatting>
  <conditionalFormatting sqref="G84:G86 Q84:S86 D84:F89 E87:I89 P87:S89 D90:S90">
    <cfRule type="cellIs" dxfId="1671" priority="327" operator="equal">
      <formula>0</formula>
    </cfRule>
  </conditionalFormatting>
  <conditionalFormatting sqref="G120:G122 Q120:S122 D120:F125 E123:I125 P123:S125 D126:S126">
    <cfRule type="cellIs" dxfId="1670" priority="286" operator="equal">
      <formula>0</formula>
    </cfRule>
  </conditionalFormatting>
  <conditionalFormatting sqref="H12:I17">
    <cfRule type="cellIs" dxfId="1669" priority="411" operator="equal">
      <formula>0</formula>
    </cfRule>
  </conditionalFormatting>
  <conditionalFormatting sqref="H48:I53">
    <cfRule type="cellIs" dxfId="1668" priority="370" operator="equal">
      <formula>0</formula>
    </cfRule>
  </conditionalFormatting>
  <conditionalFormatting sqref="H84:I89">
    <cfRule type="cellIs" dxfId="1667" priority="329" operator="equal">
      <formula>0</formula>
    </cfRule>
  </conditionalFormatting>
  <conditionalFormatting sqref="H120:I125">
    <cfRule type="cellIs" dxfId="1666" priority="288" operator="equal">
      <formula>0</formula>
    </cfRule>
  </conditionalFormatting>
  <conditionalFormatting sqref="J11:O17">
    <cfRule type="cellIs" dxfId="1665" priority="43" operator="equal">
      <formula>0</formula>
    </cfRule>
  </conditionalFormatting>
  <conditionalFormatting sqref="J47:O53">
    <cfRule type="cellIs" dxfId="1664" priority="31" operator="equal">
      <formula>0</formula>
    </cfRule>
  </conditionalFormatting>
  <conditionalFormatting sqref="J83:O89">
    <cfRule type="cellIs" dxfId="1663" priority="19" operator="equal">
      <formula>0</formula>
    </cfRule>
  </conditionalFormatting>
  <conditionalFormatting sqref="J119:O125">
    <cfRule type="cellIs" dxfId="1662" priority="7" operator="equal">
      <formula>0</formula>
    </cfRule>
  </conditionalFormatting>
  <conditionalFormatting sqref="K12:O12">
    <cfRule type="cellIs" dxfId="1661" priority="414" operator="equal">
      <formula>0</formula>
    </cfRule>
  </conditionalFormatting>
  <conditionalFormatting sqref="K48:O48">
    <cfRule type="cellIs" dxfId="1660" priority="373" operator="equal">
      <formula>0</formula>
    </cfRule>
  </conditionalFormatting>
  <conditionalFormatting sqref="K84:O84">
    <cfRule type="cellIs" dxfId="1659" priority="332" operator="equal">
      <formula>0</formula>
    </cfRule>
  </conditionalFormatting>
  <conditionalFormatting sqref="K120:O120">
    <cfRule type="cellIs" dxfId="1658" priority="291" operator="equal">
      <formula>0</formula>
    </cfRule>
  </conditionalFormatting>
  <conditionalFormatting sqref="P12:P17">
    <cfRule type="cellIs" dxfId="1657" priority="410" operator="equal">
      <formula>0</formula>
    </cfRule>
  </conditionalFormatting>
  <conditionalFormatting sqref="P48:P53">
    <cfRule type="cellIs" dxfId="1656" priority="369" operator="equal">
      <formula>0</formula>
    </cfRule>
  </conditionalFormatting>
  <conditionalFormatting sqref="P84:P89">
    <cfRule type="cellIs" dxfId="1655" priority="328" operator="equal">
      <formula>0</formula>
    </cfRule>
  </conditionalFormatting>
  <conditionalFormatting sqref="P120:P125">
    <cfRule type="cellIs" dxfId="1654" priority="287" operator="equal">
      <formula>0</formula>
    </cfRule>
  </conditionalFormatting>
  <conditionalFormatting sqref="V12:AK18">
    <cfRule type="expression" dxfId="1653" priority="220">
      <formula>LEN(TRIM(V12))=0</formula>
    </cfRule>
  </conditionalFormatting>
  <conditionalFormatting sqref="V20:AK32">
    <cfRule type="cellIs" dxfId="1652" priority="196" operator="equal">
      <formula>0</formula>
    </cfRule>
    <cfRule type="expression" dxfId="1651" priority="197">
      <formula>LEN(TRIM(V20))=0</formula>
    </cfRule>
  </conditionalFormatting>
  <conditionalFormatting sqref="V34:AK42">
    <cfRule type="expression" dxfId="1650" priority="185">
      <formula>LEN(TRIM(V34))=0</formula>
    </cfRule>
    <cfRule type="cellIs" dxfId="1649" priority="184" operator="equal">
      <formula>0</formula>
    </cfRule>
  </conditionalFormatting>
  <conditionalFormatting sqref="V48:AK54">
    <cfRule type="expression" dxfId="1648" priority="179">
      <formula>LEN(TRIM(V48))=0</formula>
    </cfRule>
  </conditionalFormatting>
  <conditionalFormatting sqref="V56:AK68">
    <cfRule type="expression" dxfId="1647" priority="156">
      <formula>LEN(TRIM(V56))=0</formula>
    </cfRule>
    <cfRule type="cellIs" dxfId="1646" priority="155" operator="equal">
      <formula>0</formula>
    </cfRule>
  </conditionalFormatting>
  <conditionalFormatting sqref="V70:AK78">
    <cfRule type="expression" dxfId="1645" priority="144">
      <formula>LEN(TRIM(V70))=0</formula>
    </cfRule>
    <cfRule type="cellIs" dxfId="1644" priority="143" operator="equal">
      <formula>0</formula>
    </cfRule>
  </conditionalFormatting>
  <conditionalFormatting sqref="V84:AK90">
    <cfRule type="expression" dxfId="1643" priority="138">
      <formula>LEN(TRIM(V84))=0</formula>
    </cfRule>
  </conditionalFormatting>
  <conditionalFormatting sqref="V92:AK104">
    <cfRule type="cellIs" dxfId="1642" priority="114" operator="equal">
      <formula>0</formula>
    </cfRule>
    <cfRule type="expression" dxfId="1641" priority="115">
      <formula>LEN(TRIM(V92))=0</formula>
    </cfRule>
  </conditionalFormatting>
  <conditionalFormatting sqref="V106:AK114">
    <cfRule type="expression" dxfId="1640" priority="103">
      <formula>LEN(TRIM(V106))=0</formula>
    </cfRule>
    <cfRule type="cellIs" dxfId="1639" priority="102" operator="equal">
      <formula>0</formula>
    </cfRule>
  </conditionalFormatting>
  <conditionalFormatting sqref="V120:AK126">
    <cfRule type="expression" dxfId="1638" priority="97">
      <formula>LEN(TRIM(V120))=0</formula>
    </cfRule>
  </conditionalFormatting>
  <conditionalFormatting sqref="V128:AK140">
    <cfRule type="cellIs" dxfId="1637" priority="73" operator="equal">
      <formula>0</formula>
    </cfRule>
    <cfRule type="expression" dxfId="1636" priority="74">
      <formula>LEN(TRIM(V128))=0</formula>
    </cfRule>
  </conditionalFormatting>
  <conditionalFormatting sqref="V142:AK150">
    <cfRule type="cellIs" dxfId="1635" priority="61" operator="equal">
      <formula>0</formula>
    </cfRule>
    <cfRule type="expression" dxfId="1634" priority="62">
      <formula>LEN(TRIM(V142))=0</formula>
    </cfRule>
  </conditionalFormatting>
  <conditionalFormatting sqref="Y12:Y14 AI12:AK14 V12:X17 W15:AA17 AH15:AK17 V18:AK18">
    <cfRule type="cellIs" dxfId="1633" priority="204" operator="equal">
      <formula>0</formula>
    </cfRule>
  </conditionalFormatting>
  <conditionalFormatting sqref="Y48:Y50 AI48:AK50 V48:X53 W51:AA53 AH51:AK53 V54:AK54">
    <cfRule type="cellIs" dxfId="1632" priority="163" operator="equal">
      <formula>0</formula>
    </cfRule>
  </conditionalFormatting>
  <conditionalFormatting sqref="Y84:Y86 AI84:AK86 V84:X89 W87:AA89 AH87:AK89 V90:AK90">
    <cfRule type="cellIs" dxfId="1631" priority="122" operator="equal">
      <formula>0</formula>
    </cfRule>
  </conditionalFormatting>
  <conditionalFormatting sqref="Y120:Y122 AI120:AK122 V120:X125 W123:AA125 AH123:AK125 V126:AK126">
    <cfRule type="cellIs" dxfId="1630" priority="81" operator="equal">
      <formula>0</formula>
    </cfRule>
  </conditionalFormatting>
  <conditionalFormatting sqref="Z12:AA17">
    <cfRule type="cellIs" dxfId="1629" priority="206" operator="equal">
      <formula>0</formula>
    </cfRule>
  </conditionalFormatting>
  <conditionalFormatting sqref="Z48:AA53">
    <cfRule type="cellIs" dxfId="1628" priority="165" operator="equal">
      <formula>0</formula>
    </cfRule>
  </conditionalFormatting>
  <conditionalFormatting sqref="Z84:AA89">
    <cfRule type="cellIs" dxfId="1627" priority="124" operator="equal">
      <formula>0</formula>
    </cfRule>
  </conditionalFormatting>
  <conditionalFormatting sqref="Z120:AA125">
    <cfRule type="cellIs" dxfId="1626" priority="83" operator="equal">
      <formula>0</formula>
    </cfRule>
  </conditionalFormatting>
  <conditionalFormatting sqref="AB11:AG17">
    <cfRule type="cellIs" dxfId="1625" priority="37" operator="equal">
      <formula>0</formula>
    </cfRule>
  </conditionalFormatting>
  <conditionalFormatting sqref="AB47:AG53">
    <cfRule type="cellIs" dxfId="1624" priority="25" operator="equal">
      <formula>0</formula>
    </cfRule>
  </conditionalFormatting>
  <conditionalFormatting sqref="AB83:AG89">
    <cfRule type="cellIs" dxfId="1623" priority="13" operator="equal">
      <formula>0</formula>
    </cfRule>
  </conditionalFormatting>
  <conditionalFormatting sqref="AB119:AG125">
    <cfRule type="cellIs" dxfId="1622" priority="1" operator="equal">
      <formula>0</formula>
    </cfRule>
  </conditionalFormatting>
  <conditionalFormatting sqref="AC12:AG12">
    <cfRule type="cellIs" dxfId="1621" priority="209" operator="equal">
      <formula>0</formula>
    </cfRule>
  </conditionalFormatting>
  <conditionalFormatting sqref="AC48:AG48">
    <cfRule type="cellIs" dxfId="1620" priority="168" operator="equal">
      <formula>0</formula>
    </cfRule>
  </conditionalFormatting>
  <conditionalFormatting sqref="AC84:AG84">
    <cfRule type="cellIs" dxfId="1619" priority="127" operator="equal">
      <formula>0</formula>
    </cfRule>
  </conditionalFormatting>
  <conditionalFormatting sqref="AC120:AG120">
    <cfRule type="cellIs" dxfId="1618" priority="86" operator="equal">
      <formula>0</formula>
    </cfRule>
  </conditionalFormatting>
  <conditionalFormatting sqref="AH12:AH17">
    <cfRule type="cellIs" dxfId="1617" priority="205" operator="equal">
      <formula>0</formula>
    </cfRule>
  </conditionalFormatting>
  <conditionalFormatting sqref="AH48:AH53">
    <cfRule type="cellIs" dxfId="1616" priority="164" operator="equal">
      <formula>0</formula>
    </cfRule>
  </conditionalFormatting>
  <conditionalFormatting sqref="AH84:AH89">
    <cfRule type="cellIs" dxfId="1615" priority="123" operator="equal">
      <formula>0</formula>
    </cfRule>
  </conditionalFormatting>
  <conditionalFormatting sqref="AH120:AH125">
    <cfRule type="cellIs" dxfId="1614" priority="82"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31A7A-883D-4F9E-BCDA-EEFA649A8E86}">
  <dimension ref="C2:AK116"/>
  <sheetViews>
    <sheetView workbookViewId="0"/>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60" t="s">
        <v>522</v>
      </c>
      <c r="D2" s="760"/>
      <c r="E2" s="760"/>
      <c r="F2" s="760"/>
      <c r="G2" s="760"/>
      <c r="H2" s="760"/>
      <c r="I2" s="760"/>
      <c r="J2" s="760"/>
      <c r="K2" s="760"/>
      <c r="L2" s="760"/>
      <c r="M2" s="760"/>
      <c r="N2" s="760"/>
      <c r="O2" s="760"/>
      <c r="P2" s="760"/>
      <c r="Q2" s="760"/>
      <c r="R2" s="760"/>
      <c r="S2" s="760"/>
      <c r="U2" s="760" t="s">
        <v>523</v>
      </c>
      <c r="V2" s="760"/>
      <c r="W2" s="760"/>
      <c r="X2" s="760"/>
      <c r="Y2" s="760"/>
      <c r="Z2" s="760"/>
      <c r="AA2" s="760"/>
      <c r="AB2" s="760"/>
      <c r="AC2" s="760"/>
      <c r="AD2" s="760"/>
      <c r="AE2" s="760"/>
      <c r="AF2" s="760"/>
      <c r="AG2" s="760"/>
      <c r="AH2" s="760"/>
      <c r="AI2" s="760"/>
      <c r="AJ2" s="760"/>
      <c r="AK2" s="760"/>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338</v>
      </c>
      <c r="D4" s="635" t="s">
        <v>524</v>
      </c>
      <c r="E4" s="634"/>
      <c r="F4" s="634"/>
      <c r="G4" s="634"/>
      <c r="H4" s="636"/>
      <c r="I4" s="634"/>
      <c r="J4" s="634"/>
      <c r="K4" s="634"/>
      <c r="L4" s="634"/>
      <c r="M4" s="634"/>
      <c r="N4" s="634"/>
      <c r="O4" s="634"/>
      <c r="P4" s="634"/>
      <c r="Q4" s="634"/>
      <c r="R4" s="634"/>
      <c r="S4" s="634"/>
      <c r="U4" s="635" t="s">
        <v>338</v>
      </c>
      <c r="V4" s="635" t="s">
        <v>524</v>
      </c>
      <c r="W4" s="634"/>
      <c r="X4" s="634"/>
      <c r="Y4" s="634"/>
      <c r="Z4" s="636"/>
      <c r="AA4" s="634"/>
      <c r="AB4" s="634"/>
      <c r="AC4" s="634"/>
      <c r="AD4" s="634"/>
      <c r="AE4" s="634"/>
      <c r="AF4" s="634"/>
      <c r="AG4" s="634"/>
      <c r="AH4" s="634"/>
      <c r="AI4" s="634"/>
      <c r="AJ4" s="634"/>
      <c r="AK4" s="634"/>
    </row>
    <row r="5" spans="3:37" ht="37.5" x14ac:dyDescent="0.3">
      <c r="C5" s="635" t="s">
        <v>341</v>
      </c>
      <c r="D5" s="635" t="s">
        <v>342</v>
      </c>
      <c r="E5" s="634"/>
      <c r="F5" s="634"/>
      <c r="G5" s="634"/>
      <c r="H5" s="634"/>
      <c r="I5" s="634"/>
      <c r="J5" s="634"/>
      <c r="K5" s="634"/>
      <c r="L5" s="634"/>
      <c r="M5" s="634"/>
      <c r="N5" s="634"/>
      <c r="O5" s="634"/>
      <c r="P5" s="634"/>
      <c r="Q5" s="634"/>
      <c r="R5" s="634"/>
      <c r="S5" s="634"/>
      <c r="U5" s="635" t="s">
        <v>341</v>
      </c>
      <c r="V5" s="635" t="s">
        <v>342</v>
      </c>
      <c r="W5" s="634"/>
      <c r="X5" s="634"/>
      <c r="Y5" s="634"/>
      <c r="Z5" s="634"/>
      <c r="AA5" s="634"/>
      <c r="AB5" s="634"/>
      <c r="AC5" s="634"/>
      <c r="AD5" s="634"/>
      <c r="AE5" s="634"/>
      <c r="AF5" s="634"/>
      <c r="AG5" s="634"/>
      <c r="AH5" s="634"/>
      <c r="AI5" s="634"/>
      <c r="AJ5" s="634"/>
      <c r="AK5" s="634"/>
    </row>
    <row r="6" spans="3:37" ht="18.75" x14ac:dyDescent="0.3">
      <c r="C6" s="635" t="s">
        <v>525</v>
      </c>
      <c r="D6" s="637">
        <v>44909</v>
      </c>
      <c r="E6" s="634"/>
      <c r="F6" s="634"/>
      <c r="G6" s="634"/>
      <c r="H6" s="634"/>
      <c r="I6" s="634"/>
      <c r="J6" s="634"/>
      <c r="K6" s="634"/>
      <c r="L6" s="634"/>
      <c r="M6" s="634"/>
      <c r="N6" s="634"/>
      <c r="O6" s="634"/>
      <c r="P6" s="634"/>
      <c r="Q6" s="634"/>
      <c r="R6" s="634"/>
      <c r="S6" s="634"/>
      <c r="U6" s="635" t="s">
        <v>525</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59" t="s">
        <v>518</v>
      </c>
      <c r="D8" s="759"/>
      <c r="E8" s="759"/>
      <c r="F8" s="759"/>
      <c r="G8" s="759"/>
      <c r="H8" s="759"/>
      <c r="I8" s="759"/>
      <c r="J8" s="759"/>
      <c r="K8" s="759"/>
      <c r="L8" s="759"/>
      <c r="M8" s="759"/>
      <c r="N8" s="759"/>
      <c r="O8" s="759"/>
      <c r="P8" s="759"/>
      <c r="Q8" s="759"/>
      <c r="R8" s="759"/>
      <c r="S8" s="759"/>
      <c r="U8" s="759" t="s">
        <v>518</v>
      </c>
      <c r="V8" s="759"/>
      <c r="W8" s="759"/>
      <c r="X8" s="759"/>
      <c r="Y8" s="759"/>
      <c r="Z8" s="759"/>
      <c r="AA8" s="759"/>
      <c r="AB8" s="759"/>
      <c r="AC8" s="759"/>
      <c r="AD8" s="759"/>
      <c r="AE8" s="759"/>
      <c r="AF8" s="759"/>
      <c r="AG8" s="759"/>
      <c r="AH8" s="759"/>
      <c r="AI8" s="759"/>
      <c r="AJ8" s="759"/>
      <c r="AK8" s="75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58" t="s">
        <v>128</v>
      </c>
      <c r="D10" s="757" t="s">
        <v>42</v>
      </c>
      <c r="E10" s="757" t="s">
        <v>52</v>
      </c>
      <c r="F10" s="757" t="s">
        <v>53</v>
      </c>
      <c r="G10" s="757" t="s">
        <v>32</v>
      </c>
      <c r="H10" s="757" t="s">
        <v>20</v>
      </c>
      <c r="I10" s="757" t="s">
        <v>55</v>
      </c>
      <c r="J10" s="757" t="s">
        <v>56</v>
      </c>
      <c r="K10" s="757"/>
      <c r="L10" s="757"/>
      <c r="M10" s="757"/>
      <c r="N10" s="757"/>
      <c r="O10" s="757"/>
      <c r="P10" s="757" t="s">
        <v>57</v>
      </c>
      <c r="Q10" s="757" t="s">
        <v>58</v>
      </c>
      <c r="R10" s="757" t="s">
        <v>31</v>
      </c>
      <c r="S10" s="757" t="s">
        <v>10</v>
      </c>
      <c r="U10" s="758" t="s">
        <v>128</v>
      </c>
      <c r="V10" s="757" t="s">
        <v>42</v>
      </c>
      <c r="W10" s="757" t="s">
        <v>52</v>
      </c>
      <c r="X10" s="757" t="s">
        <v>53</v>
      </c>
      <c r="Y10" s="757" t="s">
        <v>32</v>
      </c>
      <c r="Z10" s="757" t="s">
        <v>20</v>
      </c>
      <c r="AA10" s="757" t="s">
        <v>55</v>
      </c>
      <c r="AB10" s="757" t="s">
        <v>56</v>
      </c>
      <c r="AC10" s="757"/>
      <c r="AD10" s="757"/>
      <c r="AE10" s="757"/>
      <c r="AF10" s="757"/>
      <c r="AG10" s="757"/>
      <c r="AH10" s="757" t="s">
        <v>57</v>
      </c>
      <c r="AI10" s="757" t="s">
        <v>58</v>
      </c>
      <c r="AJ10" s="757" t="s">
        <v>31</v>
      </c>
      <c r="AK10" s="757" t="s">
        <v>10</v>
      </c>
    </row>
    <row r="11" spans="3:37" ht="56.25" x14ac:dyDescent="0.2">
      <c r="C11" s="758"/>
      <c r="D11" s="757"/>
      <c r="E11" s="757"/>
      <c r="F11" s="757"/>
      <c r="G11" s="757"/>
      <c r="H11" s="757"/>
      <c r="I11" s="757"/>
      <c r="J11" s="638" t="s">
        <v>335</v>
      </c>
      <c r="K11" s="638" t="s">
        <v>40</v>
      </c>
      <c r="L11" s="638" t="s">
        <v>343</v>
      </c>
      <c r="M11" s="638" t="s">
        <v>344</v>
      </c>
      <c r="N11" s="638" t="s">
        <v>345</v>
      </c>
      <c r="O11" s="638" t="s">
        <v>346</v>
      </c>
      <c r="P11" s="757"/>
      <c r="Q11" s="757"/>
      <c r="R11" s="757"/>
      <c r="S11" s="757"/>
      <c r="U11" s="758"/>
      <c r="V11" s="757"/>
      <c r="W11" s="757"/>
      <c r="X11" s="757"/>
      <c r="Y11" s="757"/>
      <c r="Z11" s="757"/>
      <c r="AA11" s="757"/>
      <c r="AB11" s="638" t="s">
        <v>335</v>
      </c>
      <c r="AC11" s="638" t="s">
        <v>40</v>
      </c>
      <c r="AD11" s="638" t="s">
        <v>343</v>
      </c>
      <c r="AE11" s="638" t="s">
        <v>344</v>
      </c>
      <c r="AF11" s="638" t="s">
        <v>345</v>
      </c>
      <c r="AG11" s="638" t="s">
        <v>346</v>
      </c>
      <c r="AH11" s="757"/>
      <c r="AI11" s="757"/>
      <c r="AJ11" s="757"/>
      <c r="AK11" s="757"/>
    </row>
    <row r="12" spans="3:37" x14ac:dyDescent="0.2">
      <c r="C12" s="639" t="s">
        <v>59</v>
      </c>
      <c r="D12" s="640">
        <v>0</v>
      </c>
      <c r="E12" s="641">
        <v>0</v>
      </c>
      <c r="F12" s="641">
        <v>0</v>
      </c>
      <c r="G12" s="640">
        <v>0</v>
      </c>
      <c r="H12" s="641">
        <v>889.54545454545473</v>
      </c>
      <c r="I12" s="641">
        <v>290.38619522472999</v>
      </c>
      <c r="J12" s="641">
        <v>188.26463769943669</v>
      </c>
      <c r="K12" s="641">
        <v>20.519346122490408</v>
      </c>
      <c r="L12" s="641">
        <v>0.54648995449606019</v>
      </c>
      <c r="M12" s="641">
        <v>0.15914693380563083</v>
      </c>
      <c r="N12" s="641">
        <v>65.898689554178929</v>
      </c>
      <c r="O12" s="641">
        <v>11.930124482632028</v>
      </c>
      <c r="P12" s="642">
        <v>0</v>
      </c>
      <c r="Q12" s="641">
        <v>0</v>
      </c>
      <c r="R12" s="641">
        <v>0</v>
      </c>
      <c r="S12" s="643">
        <v>1467.2500845172242</v>
      </c>
      <c r="U12" s="639" t="s">
        <v>59</v>
      </c>
      <c r="V12" s="640">
        <v>0</v>
      </c>
      <c r="W12" s="641">
        <v>0</v>
      </c>
      <c r="X12" s="641">
        <v>0</v>
      </c>
      <c r="Y12" s="640">
        <v>0</v>
      </c>
      <c r="Z12" s="641">
        <v>873.030303030303</v>
      </c>
      <c r="AA12" s="641">
        <v>337.06619522473</v>
      </c>
      <c r="AB12" s="641">
        <v>206.15489309499102</v>
      </c>
      <c r="AC12" s="641">
        <v>37.137182251794961</v>
      </c>
      <c r="AD12" s="641">
        <v>0.54648995449606019</v>
      </c>
      <c r="AE12" s="641">
        <v>0.15914693380563083</v>
      </c>
      <c r="AF12" s="641">
        <v>103.02458403584798</v>
      </c>
      <c r="AG12" s="641">
        <v>25.833176078824131</v>
      </c>
      <c r="AH12" s="642">
        <v>0</v>
      </c>
      <c r="AI12" s="641">
        <v>0</v>
      </c>
      <c r="AJ12" s="641">
        <v>0</v>
      </c>
      <c r="AK12" s="643">
        <v>1582.9519706047927</v>
      </c>
    </row>
    <row r="13" spans="3:37" x14ac:dyDescent="0.2">
      <c r="C13" s="639" t="s">
        <v>60</v>
      </c>
      <c r="D13" s="640">
        <v>47.523331421865407</v>
      </c>
      <c r="E13" s="641">
        <v>492.37419513671523</v>
      </c>
      <c r="F13" s="641">
        <v>57.352326080251387</v>
      </c>
      <c r="G13" s="640">
        <v>328.8885225556333</v>
      </c>
      <c r="H13" s="641">
        <v>0</v>
      </c>
      <c r="I13" s="641">
        <v>0</v>
      </c>
      <c r="J13" s="641">
        <v>4.8075322078390377</v>
      </c>
      <c r="K13" s="641">
        <v>0</v>
      </c>
      <c r="L13" s="641">
        <v>2.6229179175778925</v>
      </c>
      <c r="M13" s="641">
        <v>0</v>
      </c>
      <c r="N13" s="641">
        <v>0</v>
      </c>
      <c r="O13" s="641">
        <v>0</v>
      </c>
      <c r="P13" s="642">
        <v>0</v>
      </c>
      <c r="Q13" s="641">
        <v>0</v>
      </c>
      <c r="R13" s="641">
        <v>0</v>
      </c>
      <c r="S13" s="643">
        <v>933.56882531988219</v>
      </c>
      <c r="U13" s="639" t="s">
        <v>60</v>
      </c>
      <c r="V13" s="640">
        <v>6.5260336126681251</v>
      </c>
      <c r="W13" s="641">
        <v>220.47790015098695</v>
      </c>
      <c r="X13" s="641">
        <v>14.513856185365357</v>
      </c>
      <c r="Y13" s="640">
        <v>102.1346675179243</v>
      </c>
      <c r="Z13" s="641">
        <v>0</v>
      </c>
      <c r="AA13" s="641">
        <v>0</v>
      </c>
      <c r="AB13" s="641">
        <v>4.8075322078390377</v>
      </c>
      <c r="AC13" s="641">
        <v>0</v>
      </c>
      <c r="AD13" s="641">
        <v>2.6229179175778925</v>
      </c>
      <c r="AE13" s="641">
        <v>0</v>
      </c>
      <c r="AF13" s="641">
        <v>0</v>
      </c>
      <c r="AG13" s="641">
        <v>0</v>
      </c>
      <c r="AH13" s="642">
        <v>0</v>
      </c>
      <c r="AI13" s="641">
        <v>0</v>
      </c>
      <c r="AJ13" s="641">
        <v>0</v>
      </c>
      <c r="AK13" s="643">
        <v>351.08290759236166</v>
      </c>
    </row>
    <row r="14" spans="3:37" x14ac:dyDescent="0.2">
      <c r="C14" s="639" t="s">
        <v>61</v>
      </c>
      <c r="D14" s="640">
        <v>0</v>
      </c>
      <c r="E14" s="641">
        <v>0</v>
      </c>
      <c r="F14" s="641">
        <v>0</v>
      </c>
      <c r="G14" s="640">
        <v>0</v>
      </c>
      <c r="H14" s="641">
        <v>0</v>
      </c>
      <c r="I14" s="641">
        <v>0</v>
      </c>
      <c r="J14" s="641">
        <v>0</v>
      </c>
      <c r="K14" s="641">
        <v>0</v>
      </c>
      <c r="L14" s="641">
        <v>0</v>
      </c>
      <c r="M14" s="641">
        <v>0</v>
      </c>
      <c r="N14" s="641">
        <v>0</v>
      </c>
      <c r="O14" s="641">
        <v>0</v>
      </c>
      <c r="P14" s="642">
        <v>-22.391147784534837</v>
      </c>
      <c r="Q14" s="641">
        <v>0</v>
      </c>
      <c r="R14" s="641">
        <v>0</v>
      </c>
      <c r="S14" s="643">
        <v>-22.391147784534837</v>
      </c>
      <c r="U14" s="639" t="s">
        <v>61</v>
      </c>
      <c r="V14" s="640">
        <v>0</v>
      </c>
      <c r="W14" s="641">
        <v>0</v>
      </c>
      <c r="X14" s="641">
        <v>-19.691193817618341</v>
      </c>
      <c r="Y14" s="640">
        <v>0</v>
      </c>
      <c r="Z14" s="641">
        <v>0</v>
      </c>
      <c r="AA14" s="641">
        <v>0</v>
      </c>
      <c r="AB14" s="641">
        <v>0</v>
      </c>
      <c r="AC14" s="641">
        <v>0</v>
      </c>
      <c r="AD14" s="641">
        <v>0</v>
      </c>
      <c r="AE14" s="641">
        <v>0</v>
      </c>
      <c r="AF14" s="641">
        <v>0</v>
      </c>
      <c r="AG14" s="641">
        <v>0</v>
      </c>
      <c r="AH14" s="642">
        <v>-17.389600315785174</v>
      </c>
      <c r="AI14" s="641">
        <v>0</v>
      </c>
      <c r="AJ14" s="641">
        <v>0</v>
      </c>
      <c r="AK14" s="643">
        <v>-37.080794133403515</v>
      </c>
    </row>
    <row r="15" spans="3:37" x14ac:dyDescent="0.2">
      <c r="C15" s="639" t="s">
        <v>62</v>
      </c>
      <c r="D15" s="640">
        <v>0</v>
      </c>
      <c r="E15" s="641">
        <v>0</v>
      </c>
      <c r="F15" s="641">
        <v>-15.496739011683466</v>
      </c>
      <c r="G15" s="640">
        <v>0</v>
      </c>
      <c r="H15" s="641">
        <v>0</v>
      </c>
      <c r="I15" s="641">
        <v>0</v>
      </c>
      <c r="J15" s="641">
        <v>0</v>
      </c>
      <c r="K15" s="641">
        <v>0</v>
      </c>
      <c r="L15" s="641">
        <v>0</v>
      </c>
      <c r="M15" s="641">
        <v>0</v>
      </c>
      <c r="N15" s="641">
        <v>0</v>
      </c>
      <c r="O15" s="641">
        <v>0</v>
      </c>
      <c r="P15" s="642">
        <v>0</v>
      </c>
      <c r="Q15" s="641">
        <v>0</v>
      </c>
      <c r="R15" s="641">
        <v>0</v>
      </c>
      <c r="S15" s="643">
        <v>-15.496739011683466</v>
      </c>
      <c r="U15" s="639" t="s">
        <v>62</v>
      </c>
      <c r="V15" s="640">
        <v>0</v>
      </c>
      <c r="W15" s="641">
        <v>0</v>
      </c>
      <c r="X15" s="641">
        <v>-8.5387827474702789</v>
      </c>
      <c r="Y15" s="640">
        <v>-2.2272473327152178</v>
      </c>
      <c r="Z15" s="641">
        <v>0</v>
      </c>
      <c r="AA15" s="641">
        <v>0</v>
      </c>
      <c r="AB15" s="641">
        <v>0</v>
      </c>
      <c r="AC15" s="641">
        <v>0</v>
      </c>
      <c r="AD15" s="641">
        <v>0</v>
      </c>
      <c r="AE15" s="641">
        <v>-1.7037211969591732</v>
      </c>
      <c r="AF15" s="641">
        <v>0</v>
      </c>
      <c r="AG15" s="641">
        <v>0</v>
      </c>
      <c r="AH15" s="642">
        <v>0</v>
      </c>
      <c r="AI15" s="641">
        <v>0</v>
      </c>
      <c r="AJ15" s="641">
        <v>0</v>
      </c>
      <c r="AK15" s="643">
        <v>-12.46975127714467</v>
      </c>
    </row>
    <row r="16" spans="3:37" x14ac:dyDescent="0.2">
      <c r="C16" s="639" t="s">
        <v>63</v>
      </c>
      <c r="D16" s="640">
        <v>0</v>
      </c>
      <c r="E16" s="641">
        <v>0</v>
      </c>
      <c r="F16" s="641">
        <v>-89.42656352071144</v>
      </c>
      <c r="G16" s="640">
        <v>0</v>
      </c>
      <c r="H16" s="641">
        <v>0</v>
      </c>
      <c r="I16" s="641">
        <v>0</v>
      </c>
      <c r="J16" s="641">
        <v>0</v>
      </c>
      <c r="K16" s="641">
        <v>0</v>
      </c>
      <c r="L16" s="641">
        <v>-0.92190198395554845</v>
      </c>
      <c r="M16" s="641">
        <v>0</v>
      </c>
      <c r="N16" s="641">
        <v>0</v>
      </c>
      <c r="O16" s="641">
        <v>0</v>
      </c>
      <c r="P16" s="642">
        <v>0</v>
      </c>
      <c r="Q16" s="641">
        <v>0</v>
      </c>
      <c r="R16" s="641">
        <v>0</v>
      </c>
      <c r="S16" s="643">
        <v>-90.34846550466699</v>
      </c>
      <c r="U16" s="639" t="s">
        <v>63</v>
      </c>
      <c r="V16" s="640">
        <v>0</v>
      </c>
      <c r="W16" s="641">
        <v>0</v>
      </c>
      <c r="X16" s="641">
        <v>-55.486888716289528</v>
      </c>
      <c r="Y16" s="640">
        <v>0</v>
      </c>
      <c r="Z16" s="641">
        <v>0</v>
      </c>
      <c r="AA16" s="641">
        <v>0</v>
      </c>
      <c r="AB16" s="641">
        <v>0</v>
      </c>
      <c r="AC16" s="641">
        <v>0</v>
      </c>
      <c r="AD16" s="641">
        <v>-26.575233608452013</v>
      </c>
      <c r="AE16" s="641">
        <v>0</v>
      </c>
      <c r="AF16" s="641">
        <v>0</v>
      </c>
      <c r="AG16" s="641">
        <v>0</v>
      </c>
      <c r="AH16" s="642">
        <v>0</v>
      </c>
      <c r="AI16" s="641">
        <v>0</v>
      </c>
      <c r="AJ16" s="641">
        <v>0</v>
      </c>
      <c r="AK16" s="643">
        <v>-82.062122324741537</v>
      </c>
    </row>
    <row r="17" spans="3:37" x14ac:dyDescent="0.2">
      <c r="C17" s="639" t="s">
        <v>64</v>
      </c>
      <c r="D17" s="640">
        <v>0</v>
      </c>
      <c r="E17" s="641">
        <v>0</v>
      </c>
      <c r="F17" s="641">
        <v>0</v>
      </c>
      <c r="G17" s="640">
        <v>0</v>
      </c>
      <c r="H17" s="641">
        <v>0</v>
      </c>
      <c r="I17" s="641">
        <v>0</v>
      </c>
      <c r="J17" s="641">
        <v>0</v>
      </c>
      <c r="K17" s="641">
        <v>0</v>
      </c>
      <c r="L17" s="641">
        <v>0</v>
      </c>
      <c r="M17" s="641">
        <v>0</v>
      </c>
      <c r="N17" s="641">
        <v>0</v>
      </c>
      <c r="O17" s="641">
        <v>0</v>
      </c>
      <c r="P17" s="642">
        <v>0</v>
      </c>
      <c r="Q17" s="641">
        <v>0</v>
      </c>
      <c r="R17" s="641">
        <v>0</v>
      </c>
      <c r="S17" s="643">
        <v>0</v>
      </c>
      <c r="U17" s="639" t="s">
        <v>64</v>
      </c>
      <c r="V17" s="640">
        <v>0</v>
      </c>
      <c r="W17" s="641">
        <v>0</v>
      </c>
      <c r="X17" s="641">
        <v>0</v>
      </c>
      <c r="Y17" s="640">
        <v>0</v>
      </c>
      <c r="Z17" s="641">
        <v>0</v>
      </c>
      <c r="AA17" s="641">
        <v>0</v>
      </c>
      <c r="AB17" s="641">
        <v>0</v>
      </c>
      <c r="AC17" s="641">
        <v>0</v>
      </c>
      <c r="AD17" s="641">
        <v>0</v>
      </c>
      <c r="AE17" s="641">
        <v>0</v>
      </c>
      <c r="AF17" s="641">
        <v>0</v>
      </c>
      <c r="AG17" s="641">
        <v>0</v>
      </c>
      <c r="AH17" s="642">
        <v>0</v>
      </c>
      <c r="AI17" s="641">
        <v>0</v>
      </c>
      <c r="AJ17" s="641">
        <v>0</v>
      </c>
      <c r="AK17" s="643">
        <v>0</v>
      </c>
    </row>
    <row r="18" spans="3:37" x14ac:dyDescent="0.2">
      <c r="C18" s="644" t="s">
        <v>65</v>
      </c>
      <c r="D18" s="645">
        <v>47.523331421865407</v>
      </c>
      <c r="E18" s="645">
        <v>492.37419513671523</v>
      </c>
      <c r="F18" s="645">
        <v>-47.570976452143519</v>
      </c>
      <c r="G18" s="645">
        <v>328.8885225556333</v>
      </c>
      <c r="H18" s="645">
        <v>889.54545454545473</v>
      </c>
      <c r="I18" s="645">
        <v>290.38619522472999</v>
      </c>
      <c r="J18" s="645">
        <v>193.07216990727574</v>
      </c>
      <c r="K18" s="645">
        <v>20.519346122490408</v>
      </c>
      <c r="L18" s="645">
        <v>2.247505888118404</v>
      </c>
      <c r="M18" s="645">
        <v>0.15914693380563083</v>
      </c>
      <c r="N18" s="645">
        <v>65.898689554178929</v>
      </c>
      <c r="O18" s="645">
        <v>11.930124482632028</v>
      </c>
      <c r="P18" s="645">
        <v>-22.391147784534837</v>
      </c>
      <c r="Q18" s="645">
        <v>0</v>
      </c>
      <c r="R18" s="645">
        <v>0</v>
      </c>
      <c r="S18" s="645">
        <v>2272.5825575362214</v>
      </c>
      <c r="U18" s="644" t="s">
        <v>65</v>
      </c>
      <c r="V18" s="645">
        <v>6.5260336126681251</v>
      </c>
      <c r="W18" s="645">
        <v>220.47790015098695</v>
      </c>
      <c r="X18" s="645">
        <v>-69.203009096012792</v>
      </c>
      <c r="Y18" s="645">
        <v>99.907420185209077</v>
      </c>
      <c r="Z18" s="645">
        <v>873.030303030303</v>
      </c>
      <c r="AA18" s="645">
        <v>337.06619522473</v>
      </c>
      <c r="AB18" s="645">
        <v>210.96242530283007</v>
      </c>
      <c r="AC18" s="645">
        <v>37.137182251794961</v>
      </c>
      <c r="AD18" s="645">
        <v>-23.405825736378059</v>
      </c>
      <c r="AE18" s="645">
        <v>-1.5445742631535424</v>
      </c>
      <c r="AF18" s="645">
        <v>103.02458403584798</v>
      </c>
      <c r="AG18" s="645">
        <v>25.833176078824131</v>
      </c>
      <c r="AH18" s="645">
        <v>-17.389600315785174</v>
      </c>
      <c r="AI18" s="645">
        <v>0</v>
      </c>
      <c r="AJ18" s="645">
        <v>0</v>
      </c>
      <c r="AK18" s="645">
        <v>1802.4222104618648</v>
      </c>
    </row>
    <row r="19" spans="3:37" x14ac:dyDescent="0.2">
      <c r="C19" s="634"/>
      <c r="D19" s="634">
        <v>0</v>
      </c>
      <c r="E19" s="634">
        <v>0</v>
      </c>
      <c r="F19" s="634">
        <v>0</v>
      </c>
      <c r="G19" s="634">
        <v>0</v>
      </c>
      <c r="H19" s="634">
        <v>0</v>
      </c>
      <c r="I19" s="634">
        <v>0</v>
      </c>
      <c r="J19" s="634">
        <v>0</v>
      </c>
      <c r="K19" s="634">
        <v>0</v>
      </c>
      <c r="L19" s="634">
        <v>0</v>
      </c>
      <c r="M19" s="634">
        <v>0</v>
      </c>
      <c r="N19" s="634">
        <v>0</v>
      </c>
      <c r="O19" s="634">
        <v>0</v>
      </c>
      <c r="P19" s="634">
        <v>0</v>
      </c>
      <c r="Q19" s="634">
        <v>0</v>
      </c>
      <c r="R19" s="634">
        <v>0</v>
      </c>
      <c r="S19" s="634">
        <v>0</v>
      </c>
      <c r="U19" s="634"/>
      <c r="V19" s="634">
        <v>0</v>
      </c>
      <c r="W19" s="634">
        <v>0</v>
      </c>
      <c r="X19" s="634">
        <v>0</v>
      </c>
      <c r="Y19" s="634">
        <v>0</v>
      </c>
      <c r="Z19" s="634">
        <v>0</v>
      </c>
      <c r="AA19" s="634">
        <v>0</v>
      </c>
      <c r="AB19" s="634">
        <v>0</v>
      </c>
      <c r="AC19" s="634">
        <v>0</v>
      </c>
      <c r="AD19" s="634">
        <v>0</v>
      </c>
      <c r="AE19" s="634">
        <v>0</v>
      </c>
      <c r="AF19" s="634">
        <v>0</v>
      </c>
      <c r="AG19" s="634">
        <v>0</v>
      </c>
      <c r="AH19" s="634">
        <v>0</v>
      </c>
      <c r="AI19" s="634">
        <v>0</v>
      </c>
      <c r="AJ19" s="634">
        <v>0</v>
      </c>
      <c r="AK19" s="634">
        <v>0</v>
      </c>
    </row>
    <row r="20" spans="3:37" x14ac:dyDescent="0.2">
      <c r="C20" s="646" t="s">
        <v>67</v>
      </c>
      <c r="D20" s="640">
        <v>0</v>
      </c>
      <c r="E20" s="647">
        <v>0</v>
      </c>
      <c r="F20" s="647">
        <v>0</v>
      </c>
      <c r="G20" s="640">
        <v>0</v>
      </c>
      <c r="H20" s="640">
        <v>0</v>
      </c>
      <c r="I20" s="640">
        <v>0</v>
      </c>
      <c r="J20" s="640">
        <v>0</v>
      </c>
      <c r="K20" s="640">
        <v>0</v>
      </c>
      <c r="L20" s="640">
        <v>0</v>
      </c>
      <c r="M20" s="640">
        <v>0</v>
      </c>
      <c r="N20" s="640">
        <v>0</v>
      </c>
      <c r="O20" s="640">
        <v>0</v>
      </c>
      <c r="P20" s="640">
        <v>0</v>
      </c>
      <c r="Q20" s="640">
        <v>0</v>
      </c>
      <c r="R20" s="640">
        <v>0</v>
      </c>
      <c r="S20" s="648">
        <v>0</v>
      </c>
      <c r="U20" s="646" t="s">
        <v>67</v>
      </c>
      <c r="V20" s="640">
        <v>0</v>
      </c>
      <c r="W20" s="647">
        <v>0</v>
      </c>
      <c r="X20" s="647">
        <v>0</v>
      </c>
      <c r="Y20" s="640">
        <v>0</v>
      </c>
      <c r="Z20" s="640">
        <v>0</v>
      </c>
      <c r="AA20" s="640">
        <v>0</v>
      </c>
      <c r="AB20" s="640">
        <v>0</v>
      </c>
      <c r="AC20" s="640">
        <v>0</v>
      </c>
      <c r="AD20" s="640">
        <v>0</v>
      </c>
      <c r="AE20" s="640">
        <v>0</v>
      </c>
      <c r="AF20" s="640">
        <v>0</v>
      </c>
      <c r="AG20" s="640">
        <v>0</v>
      </c>
      <c r="AH20" s="640">
        <v>0</v>
      </c>
      <c r="AI20" s="640">
        <v>0</v>
      </c>
      <c r="AJ20" s="640">
        <v>0</v>
      </c>
      <c r="AK20" s="648">
        <v>0</v>
      </c>
    </row>
    <row r="21" spans="3:37" x14ac:dyDescent="0.2">
      <c r="C21" s="646" t="s">
        <v>347</v>
      </c>
      <c r="D21" s="640">
        <v>2.8267856410252494</v>
      </c>
      <c r="E21" s="640">
        <v>0</v>
      </c>
      <c r="F21" s="640">
        <v>7.7625293209280457</v>
      </c>
      <c r="G21" s="640">
        <v>16.824034334763951</v>
      </c>
      <c r="H21" s="640">
        <v>889.54545454545473</v>
      </c>
      <c r="I21" s="640">
        <v>290.38619522472999</v>
      </c>
      <c r="J21" s="649">
        <v>29.234857813431841</v>
      </c>
      <c r="K21" s="649">
        <v>6.7467623730381456</v>
      </c>
      <c r="L21" s="649">
        <v>3.1694078720739522</v>
      </c>
      <c r="M21" s="649">
        <v>0.46915285357606595</v>
      </c>
      <c r="N21" s="649">
        <v>0</v>
      </c>
      <c r="O21" s="649">
        <v>6.9727309871777221</v>
      </c>
      <c r="P21" s="640">
        <v>-615.41357369902562</v>
      </c>
      <c r="Q21" s="640">
        <v>0</v>
      </c>
      <c r="R21" s="640">
        <v>0</v>
      </c>
      <c r="S21" s="648">
        <v>638.52433726717402</v>
      </c>
      <c r="U21" s="646" t="s">
        <v>347</v>
      </c>
      <c r="V21" s="640">
        <v>0.62631490545869017</v>
      </c>
      <c r="W21" s="640">
        <v>0</v>
      </c>
      <c r="X21" s="640">
        <v>3.8988929572916824</v>
      </c>
      <c r="Y21" s="640">
        <v>3.6741630901287547</v>
      </c>
      <c r="Z21" s="640">
        <v>873.030303030303</v>
      </c>
      <c r="AA21" s="640">
        <v>337.06619522473</v>
      </c>
      <c r="AB21" s="649">
        <v>23.429523439383615</v>
      </c>
      <c r="AC21" s="649">
        <v>5.4991881500691626</v>
      </c>
      <c r="AD21" s="649">
        <v>3.1694078720739522</v>
      </c>
      <c r="AE21" s="649">
        <v>2.7864060724601858</v>
      </c>
      <c r="AF21" s="649">
        <v>0</v>
      </c>
      <c r="AG21" s="649">
        <v>6.9727309871777221</v>
      </c>
      <c r="AH21" s="640">
        <v>-649.11357369902544</v>
      </c>
      <c r="AI21" s="640">
        <v>0</v>
      </c>
      <c r="AJ21" s="640">
        <v>4.45</v>
      </c>
      <c r="AK21" s="648">
        <v>615.48955203005141</v>
      </c>
    </row>
    <row r="22" spans="3:37" x14ac:dyDescent="0.2">
      <c r="C22" s="646" t="s">
        <v>348</v>
      </c>
      <c r="D22" s="640">
        <v>0</v>
      </c>
      <c r="E22" s="640">
        <v>0</v>
      </c>
      <c r="F22" s="640">
        <v>0</v>
      </c>
      <c r="G22" s="640">
        <v>14.896462034387394</v>
      </c>
      <c r="H22" s="640">
        <v>0</v>
      </c>
      <c r="I22" s="640">
        <v>0</v>
      </c>
      <c r="J22" s="649">
        <v>12.461036592610267</v>
      </c>
      <c r="K22" s="649">
        <v>11.927183871567582</v>
      </c>
      <c r="L22" s="649">
        <v>0</v>
      </c>
      <c r="M22" s="649">
        <v>0.3188738120209938</v>
      </c>
      <c r="N22" s="649">
        <v>0</v>
      </c>
      <c r="O22" s="649">
        <v>2.1085025260592274</v>
      </c>
      <c r="P22" s="640">
        <v>0</v>
      </c>
      <c r="Q22" s="640">
        <v>-37.934258390495422</v>
      </c>
      <c r="R22" s="640">
        <v>0</v>
      </c>
      <c r="S22" s="648">
        <v>3.7778004461500441</v>
      </c>
      <c r="U22" s="646" t="s">
        <v>348</v>
      </c>
      <c r="V22" s="640">
        <v>0</v>
      </c>
      <c r="W22" s="640">
        <v>0</v>
      </c>
      <c r="X22" s="640">
        <v>0</v>
      </c>
      <c r="Y22" s="640">
        <v>8.218662070491261</v>
      </c>
      <c r="Z22" s="640">
        <v>0</v>
      </c>
      <c r="AA22" s="640">
        <v>0</v>
      </c>
      <c r="AB22" s="649">
        <v>28.560818034272483</v>
      </c>
      <c r="AC22" s="649">
        <v>26.163217208510932</v>
      </c>
      <c r="AD22" s="649">
        <v>0</v>
      </c>
      <c r="AE22" s="649">
        <v>5.9663093303449024</v>
      </c>
      <c r="AF22" s="649">
        <v>0</v>
      </c>
      <c r="AG22" s="649">
        <v>11.832895483778962</v>
      </c>
      <c r="AH22" s="640">
        <v>0</v>
      </c>
      <c r="AI22" s="640">
        <v>-74.578675527513624</v>
      </c>
      <c r="AJ22" s="640">
        <v>0</v>
      </c>
      <c r="AK22" s="648">
        <v>6.1632265998849274</v>
      </c>
    </row>
    <row r="23" spans="3:37" x14ac:dyDescent="0.2">
      <c r="C23" s="646" t="s">
        <v>349</v>
      </c>
      <c r="D23" s="640">
        <v>0</v>
      </c>
      <c r="E23" s="640">
        <v>0</v>
      </c>
      <c r="F23" s="640">
        <v>0</v>
      </c>
      <c r="G23" s="640">
        <v>0</v>
      </c>
      <c r="H23" s="640">
        <v>0</v>
      </c>
      <c r="I23" s="640">
        <v>0</v>
      </c>
      <c r="J23" s="650">
        <v>6.9979956174374891</v>
      </c>
      <c r="K23" s="650">
        <v>0</v>
      </c>
      <c r="L23" s="650">
        <v>0</v>
      </c>
      <c r="M23" s="650">
        <v>-6.4748954450340372</v>
      </c>
      <c r="N23" s="650">
        <v>0</v>
      </c>
      <c r="O23" s="650">
        <v>0</v>
      </c>
      <c r="P23" s="640">
        <v>0</v>
      </c>
      <c r="Q23" s="640">
        <v>0</v>
      </c>
      <c r="R23" s="640">
        <v>0</v>
      </c>
      <c r="S23" s="648">
        <v>0.52310017240345186</v>
      </c>
      <c r="U23" s="646" t="s">
        <v>349</v>
      </c>
      <c r="V23" s="640">
        <v>0</v>
      </c>
      <c r="W23" s="640">
        <v>0</v>
      </c>
      <c r="X23" s="640">
        <v>0</v>
      </c>
      <c r="Y23" s="640">
        <v>0</v>
      </c>
      <c r="Z23" s="640">
        <v>0</v>
      </c>
      <c r="AA23" s="640">
        <v>0</v>
      </c>
      <c r="AB23" s="650">
        <v>79.198989478899776</v>
      </c>
      <c r="AC23" s="650">
        <v>0</v>
      </c>
      <c r="AD23" s="650">
        <v>0</v>
      </c>
      <c r="AE23" s="650">
        <v>-73.278865015352025</v>
      </c>
      <c r="AF23" s="650">
        <v>0</v>
      </c>
      <c r="AG23" s="650">
        <v>0</v>
      </c>
      <c r="AH23" s="640">
        <v>0</v>
      </c>
      <c r="AI23" s="640">
        <v>0</v>
      </c>
      <c r="AJ23" s="640">
        <v>0</v>
      </c>
      <c r="AK23" s="648">
        <v>5.9201244635477508</v>
      </c>
    </row>
    <row r="24" spans="3:37" x14ac:dyDescent="0.2">
      <c r="C24" s="646" t="s">
        <v>350</v>
      </c>
      <c r="D24" s="640">
        <v>0</v>
      </c>
      <c r="E24" s="640">
        <v>0</v>
      </c>
      <c r="F24" s="640">
        <v>0</v>
      </c>
      <c r="G24" s="640">
        <v>0</v>
      </c>
      <c r="H24" s="640">
        <v>0</v>
      </c>
      <c r="I24" s="640">
        <v>0</v>
      </c>
      <c r="J24" s="640">
        <v>0</v>
      </c>
      <c r="K24" s="640">
        <v>0</v>
      </c>
      <c r="L24" s="640">
        <v>0</v>
      </c>
      <c r="M24" s="640">
        <v>0</v>
      </c>
      <c r="N24" s="640">
        <v>0</v>
      </c>
      <c r="O24" s="640">
        <v>0</v>
      </c>
      <c r="P24" s="640">
        <v>0</v>
      </c>
      <c r="Q24" s="640">
        <v>0</v>
      </c>
      <c r="R24" s="640">
        <v>0</v>
      </c>
      <c r="S24" s="648">
        <v>0</v>
      </c>
      <c r="U24" s="646" t="s">
        <v>350</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646" t="s">
        <v>72</v>
      </c>
      <c r="D25" s="640">
        <v>0</v>
      </c>
      <c r="E25" s="640">
        <v>510.04733530503466</v>
      </c>
      <c r="F25" s="640">
        <v>-504.94686195198432</v>
      </c>
      <c r="G25" s="640">
        <v>0</v>
      </c>
      <c r="H25" s="640">
        <v>0</v>
      </c>
      <c r="I25" s="640">
        <v>0</v>
      </c>
      <c r="J25" s="640">
        <v>0</v>
      </c>
      <c r="K25" s="640">
        <v>0</v>
      </c>
      <c r="L25" s="640">
        <v>0</v>
      </c>
      <c r="M25" s="640">
        <v>0</v>
      </c>
      <c r="N25" s="640">
        <v>0</v>
      </c>
      <c r="O25" s="640">
        <v>0</v>
      </c>
      <c r="P25" s="640">
        <v>0</v>
      </c>
      <c r="Q25" s="640">
        <v>0</v>
      </c>
      <c r="R25" s="640">
        <v>0</v>
      </c>
      <c r="S25" s="648">
        <v>5.1004733530503472</v>
      </c>
      <c r="U25" s="646" t="s">
        <v>72</v>
      </c>
      <c r="V25" s="640">
        <v>0</v>
      </c>
      <c r="W25" s="640">
        <v>228.3916715709193</v>
      </c>
      <c r="X25" s="640">
        <v>-226.10775485521012</v>
      </c>
      <c r="Y25" s="640">
        <v>0</v>
      </c>
      <c r="Z25" s="640">
        <v>0</v>
      </c>
      <c r="AA25" s="640">
        <v>0</v>
      </c>
      <c r="AB25" s="640">
        <v>0</v>
      </c>
      <c r="AC25" s="640">
        <v>0</v>
      </c>
      <c r="AD25" s="640">
        <v>0</v>
      </c>
      <c r="AE25" s="640">
        <v>0</v>
      </c>
      <c r="AF25" s="640">
        <v>0</v>
      </c>
      <c r="AG25" s="640">
        <v>0</v>
      </c>
      <c r="AH25" s="640">
        <v>0</v>
      </c>
      <c r="AI25" s="640">
        <v>0</v>
      </c>
      <c r="AJ25" s="640">
        <v>0</v>
      </c>
      <c r="AK25" s="648">
        <v>2.2839167157091822</v>
      </c>
    </row>
    <row r="26" spans="3:37" x14ac:dyDescent="0.2">
      <c r="C26" s="646" t="s">
        <v>351</v>
      </c>
      <c r="D26" s="640">
        <v>0</v>
      </c>
      <c r="E26" s="640">
        <v>0</v>
      </c>
      <c r="F26" s="640">
        <v>0</v>
      </c>
      <c r="G26" s="640">
        <v>0</v>
      </c>
      <c r="H26" s="640">
        <v>0</v>
      </c>
      <c r="I26" s="640">
        <v>0</v>
      </c>
      <c r="J26" s="640">
        <v>27.710201800923624</v>
      </c>
      <c r="K26" s="640">
        <v>0</v>
      </c>
      <c r="L26" s="640">
        <v>-27.710201800923624</v>
      </c>
      <c r="M26" s="640">
        <v>0</v>
      </c>
      <c r="N26" s="640">
        <v>0</v>
      </c>
      <c r="O26" s="640">
        <v>0</v>
      </c>
      <c r="P26" s="640">
        <v>0</v>
      </c>
      <c r="Q26" s="640">
        <v>0</v>
      </c>
      <c r="R26" s="640">
        <v>0</v>
      </c>
      <c r="S26" s="648">
        <v>0</v>
      </c>
      <c r="U26" s="646" t="s">
        <v>351</v>
      </c>
      <c r="V26" s="640">
        <v>0</v>
      </c>
      <c r="W26" s="640">
        <v>0</v>
      </c>
      <c r="X26" s="640">
        <v>0</v>
      </c>
      <c r="Y26" s="640">
        <v>0</v>
      </c>
      <c r="Z26" s="640">
        <v>0</v>
      </c>
      <c r="AA26" s="640">
        <v>0</v>
      </c>
      <c r="AB26" s="640" t="e">
        <v>#VALUE!</v>
      </c>
      <c r="AC26" s="640">
        <v>0</v>
      </c>
      <c r="AD26" s="640">
        <v>-101.17003146857277</v>
      </c>
      <c r="AE26" s="640">
        <v>0</v>
      </c>
      <c r="AF26" s="640">
        <v>0</v>
      </c>
      <c r="AG26" s="640">
        <v>0</v>
      </c>
      <c r="AH26" s="640">
        <v>0</v>
      </c>
      <c r="AI26" s="640">
        <v>0</v>
      </c>
      <c r="AJ26" s="640">
        <v>0</v>
      </c>
      <c r="AK26" s="648">
        <v>-101.17003146857277</v>
      </c>
    </row>
    <row r="27" spans="3:37" x14ac:dyDescent="0.2">
      <c r="C27" s="646" t="s">
        <v>352</v>
      </c>
      <c r="D27" s="640">
        <v>0</v>
      </c>
      <c r="E27" s="640">
        <v>0</v>
      </c>
      <c r="F27" s="640">
        <v>0</v>
      </c>
      <c r="G27" s="640">
        <v>0</v>
      </c>
      <c r="H27" s="640">
        <v>0</v>
      </c>
      <c r="I27" s="640">
        <v>0</v>
      </c>
      <c r="J27" s="640">
        <v>0</v>
      </c>
      <c r="K27" s="640">
        <v>0</v>
      </c>
      <c r="L27" s="640">
        <v>0</v>
      </c>
      <c r="M27" s="640">
        <v>0</v>
      </c>
      <c r="N27" s="640">
        <v>0</v>
      </c>
      <c r="O27" s="640">
        <v>0</v>
      </c>
      <c r="P27" s="640">
        <v>0</v>
      </c>
      <c r="Q27" s="640">
        <v>0</v>
      </c>
      <c r="R27" s="640">
        <v>0</v>
      </c>
      <c r="S27" s="648">
        <v>0</v>
      </c>
      <c r="U27" s="646" t="s">
        <v>352</v>
      </c>
      <c r="V27" s="640">
        <v>0</v>
      </c>
      <c r="W27" s="640">
        <v>0</v>
      </c>
      <c r="X27" s="640">
        <v>0</v>
      </c>
      <c r="Y27" s="640">
        <v>0</v>
      </c>
      <c r="Z27" s="640">
        <v>0</v>
      </c>
      <c r="AA27" s="640">
        <v>0</v>
      </c>
      <c r="AB27" s="640">
        <v>0</v>
      </c>
      <c r="AC27" s="640">
        <v>0</v>
      </c>
      <c r="AD27" s="640">
        <v>-18.691082885283098</v>
      </c>
      <c r="AE27" s="640">
        <v>0</v>
      </c>
      <c r="AF27" s="640">
        <v>0</v>
      </c>
      <c r="AG27" s="640">
        <v>0</v>
      </c>
      <c r="AH27" s="640">
        <v>0</v>
      </c>
      <c r="AI27" s="640">
        <v>0</v>
      </c>
      <c r="AJ27" s="640">
        <v>0</v>
      </c>
      <c r="AK27" s="648">
        <v>-18.691082885283098</v>
      </c>
    </row>
    <row r="28" spans="3:37" x14ac:dyDescent="0.2">
      <c r="C28" s="646" t="s">
        <v>73</v>
      </c>
      <c r="D28" s="640">
        <v>0</v>
      </c>
      <c r="E28" s="640">
        <v>0</v>
      </c>
      <c r="F28" s="640">
        <v>0</v>
      </c>
      <c r="G28" s="640">
        <v>6.2864428714474423</v>
      </c>
      <c r="H28" s="640">
        <v>0</v>
      </c>
      <c r="I28" s="640">
        <v>0</v>
      </c>
      <c r="J28" s="640">
        <v>0</v>
      </c>
      <c r="K28" s="640">
        <v>7.2564905248031233E-2</v>
      </c>
      <c r="L28" s="640">
        <v>0</v>
      </c>
      <c r="M28" s="640">
        <v>0.12829475247851924</v>
      </c>
      <c r="N28" s="640">
        <v>0</v>
      </c>
      <c r="O28" s="640">
        <v>0</v>
      </c>
      <c r="P28" s="640">
        <v>0.77416476914506349</v>
      </c>
      <c r="Q28" s="640">
        <v>0</v>
      </c>
      <c r="R28" s="640">
        <v>-5.0795433673621861</v>
      </c>
      <c r="S28" s="648">
        <v>2.1819239309568701</v>
      </c>
      <c r="U28" s="646" t="s">
        <v>73</v>
      </c>
      <c r="V28" s="640">
        <v>0</v>
      </c>
      <c r="W28" s="640">
        <v>0</v>
      </c>
      <c r="X28" s="640">
        <v>0</v>
      </c>
      <c r="Y28" s="640">
        <v>3.7837340239051791</v>
      </c>
      <c r="Z28" s="640">
        <v>0</v>
      </c>
      <c r="AA28" s="640">
        <v>0</v>
      </c>
      <c r="AB28" s="640">
        <v>0</v>
      </c>
      <c r="AC28" s="640">
        <v>0.46597709654004676</v>
      </c>
      <c r="AD28" s="640">
        <v>0</v>
      </c>
      <c r="AE28" s="640">
        <v>2.7399453276554748</v>
      </c>
      <c r="AF28" s="640">
        <v>0</v>
      </c>
      <c r="AG28" s="640">
        <v>0</v>
      </c>
      <c r="AH28" s="640">
        <v>39.864323859285086</v>
      </c>
      <c r="AI28" s="640">
        <v>0</v>
      </c>
      <c r="AJ28" s="640">
        <v>-32.618396757803268</v>
      </c>
      <c r="AK28" s="648">
        <v>14.235583549582522</v>
      </c>
    </row>
    <row r="29" spans="3:37" x14ac:dyDescent="0.2">
      <c r="C29" s="646" t="s">
        <v>353</v>
      </c>
      <c r="D29" s="640">
        <v>28.588592812499996</v>
      </c>
      <c r="E29" s="640">
        <v>-17.673140168319453</v>
      </c>
      <c r="F29" s="640">
        <v>23.11542347254851</v>
      </c>
      <c r="G29" s="640">
        <v>0</v>
      </c>
      <c r="H29" s="640">
        <v>0</v>
      </c>
      <c r="I29" s="640">
        <v>0</v>
      </c>
      <c r="J29" s="640">
        <v>0</v>
      </c>
      <c r="K29" s="640">
        <v>0</v>
      </c>
      <c r="L29" s="640">
        <v>0</v>
      </c>
      <c r="M29" s="640">
        <v>0</v>
      </c>
      <c r="N29" s="640">
        <v>0</v>
      </c>
      <c r="O29" s="640">
        <v>0</v>
      </c>
      <c r="P29" s="640">
        <v>0</v>
      </c>
      <c r="Q29" s="640">
        <v>0</v>
      </c>
      <c r="R29" s="640">
        <v>0</v>
      </c>
      <c r="S29" s="648">
        <v>34.030876116729054</v>
      </c>
      <c r="U29" s="646" t="s">
        <v>353</v>
      </c>
      <c r="V29" s="640">
        <v>1.7459712219238281</v>
      </c>
      <c r="W29" s="640">
        <v>-7.9137714199323552</v>
      </c>
      <c r="X29" s="640">
        <v>10.35074558875537</v>
      </c>
      <c r="Y29" s="640">
        <v>0</v>
      </c>
      <c r="Z29" s="640">
        <v>0</v>
      </c>
      <c r="AA29" s="640">
        <v>0</v>
      </c>
      <c r="AB29" s="640">
        <v>0</v>
      </c>
      <c r="AC29" s="640">
        <v>0</v>
      </c>
      <c r="AD29" s="640">
        <v>0</v>
      </c>
      <c r="AE29" s="640">
        <v>0</v>
      </c>
      <c r="AF29" s="640">
        <v>0</v>
      </c>
      <c r="AG29" s="640">
        <v>0</v>
      </c>
      <c r="AH29" s="640">
        <v>0</v>
      </c>
      <c r="AI29" s="640">
        <v>0</v>
      </c>
      <c r="AJ29" s="640">
        <v>0</v>
      </c>
      <c r="AK29" s="648">
        <v>4.182945390746843</v>
      </c>
    </row>
    <row r="30" spans="3:37" x14ac:dyDescent="0.2">
      <c r="C30" s="646" t="s">
        <v>75</v>
      </c>
      <c r="D30" s="640">
        <v>11.11778609375</v>
      </c>
      <c r="E30" s="640">
        <v>0</v>
      </c>
      <c r="F30" s="640">
        <v>17.34160940037118</v>
      </c>
      <c r="G30" s="640">
        <v>4.9484792471294465</v>
      </c>
      <c r="H30" s="640">
        <v>0</v>
      </c>
      <c r="I30" s="640">
        <v>0</v>
      </c>
      <c r="J30" s="640">
        <v>0</v>
      </c>
      <c r="K30" s="640">
        <v>0</v>
      </c>
      <c r="L30" s="640">
        <v>0</v>
      </c>
      <c r="M30" s="640">
        <v>0.10098937239039688</v>
      </c>
      <c r="N30" s="640">
        <v>0</v>
      </c>
      <c r="O30" s="640">
        <v>0</v>
      </c>
      <c r="P30" s="640">
        <v>29.08691491128284</v>
      </c>
      <c r="Q30" s="640">
        <v>0</v>
      </c>
      <c r="R30" s="640">
        <v>0</v>
      </c>
      <c r="S30" s="648">
        <v>62.595779024923864</v>
      </c>
      <c r="U30" s="646" t="s">
        <v>75</v>
      </c>
      <c r="V30" s="640">
        <v>2.938742431640625</v>
      </c>
      <c r="W30" s="640">
        <v>0</v>
      </c>
      <c r="X30" s="640">
        <v>17.34160940037118</v>
      </c>
      <c r="Y30" s="640">
        <v>2.9286917993215091</v>
      </c>
      <c r="Z30" s="640">
        <v>0</v>
      </c>
      <c r="AA30" s="640">
        <v>0</v>
      </c>
      <c r="AB30" s="640">
        <v>0</v>
      </c>
      <c r="AC30" s="640">
        <v>0</v>
      </c>
      <c r="AD30" s="640">
        <v>0</v>
      </c>
      <c r="AE30" s="640">
        <v>2.1207768201983344</v>
      </c>
      <c r="AF30" s="640">
        <v>0</v>
      </c>
      <c r="AG30" s="640">
        <v>0</v>
      </c>
      <c r="AH30" s="640">
        <v>36.505051274919204</v>
      </c>
      <c r="AI30" s="640">
        <v>0</v>
      </c>
      <c r="AJ30" s="640">
        <v>0</v>
      </c>
      <c r="AK30" s="648">
        <v>61.834871726450849</v>
      </c>
    </row>
    <row r="31" spans="3:37" x14ac:dyDescent="0.2">
      <c r="C31" s="646" t="s">
        <v>76</v>
      </c>
      <c r="D31" s="640">
        <v>0</v>
      </c>
      <c r="E31" s="640">
        <v>0</v>
      </c>
      <c r="F31" s="640">
        <v>0</v>
      </c>
      <c r="G31" s="640">
        <v>3.7620934008695794</v>
      </c>
      <c r="H31" s="640">
        <v>0</v>
      </c>
      <c r="I31" s="640">
        <v>0</v>
      </c>
      <c r="J31" s="640">
        <v>0</v>
      </c>
      <c r="K31" s="640">
        <v>0</v>
      </c>
      <c r="L31" s="640">
        <v>0</v>
      </c>
      <c r="M31" s="640">
        <v>7.6777416344277136E-2</v>
      </c>
      <c r="N31" s="640">
        <v>0</v>
      </c>
      <c r="O31" s="640">
        <v>0</v>
      </c>
      <c r="P31" s="640">
        <v>45.374638558517056</v>
      </c>
      <c r="Q31" s="640">
        <v>2.9442994019327013</v>
      </c>
      <c r="R31" s="640">
        <v>0</v>
      </c>
      <c r="S31" s="648">
        <v>52.157808777663611</v>
      </c>
      <c r="U31" s="646" t="s">
        <v>76</v>
      </c>
      <c r="V31" s="640">
        <v>0</v>
      </c>
      <c r="W31" s="640">
        <v>0</v>
      </c>
      <c r="X31" s="640">
        <v>0</v>
      </c>
      <c r="Y31" s="640">
        <v>1.1999362424874132</v>
      </c>
      <c r="Z31" s="640">
        <v>0</v>
      </c>
      <c r="AA31" s="640">
        <v>0</v>
      </c>
      <c r="AB31" s="640">
        <v>0</v>
      </c>
      <c r="AC31" s="640">
        <v>0</v>
      </c>
      <c r="AD31" s="640">
        <v>0</v>
      </c>
      <c r="AE31" s="640">
        <v>0.86891934800812698</v>
      </c>
      <c r="AF31" s="640">
        <v>0</v>
      </c>
      <c r="AG31" s="640">
        <v>0</v>
      </c>
      <c r="AH31" s="640">
        <v>48.340685132761017</v>
      </c>
      <c r="AI31" s="640">
        <v>5.7839036819230412</v>
      </c>
      <c r="AJ31" s="640">
        <v>0</v>
      </c>
      <c r="AK31" s="648">
        <v>56.193444405179591</v>
      </c>
    </row>
    <row r="32" spans="3:37" x14ac:dyDescent="0.2">
      <c r="C32" s="644" t="s">
        <v>77</v>
      </c>
      <c r="D32" s="645">
        <v>42.533164547275248</v>
      </c>
      <c r="E32" s="645">
        <v>492.37419513671523</v>
      </c>
      <c r="F32" s="645">
        <v>-456.72729975813655</v>
      </c>
      <c r="G32" s="645">
        <v>46.717511888597819</v>
      </c>
      <c r="H32" s="645">
        <v>889.54545454545473</v>
      </c>
      <c r="I32" s="645">
        <v>290.38619522472999</v>
      </c>
      <c r="J32" s="645">
        <v>76.404091824403224</v>
      </c>
      <c r="K32" s="645">
        <v>18.74651114985376</v>
      </c>
      <c r="L32" s="645">
        <v>-24.540793928849673</v>
      </c>
      <c r="M32" s="645">
        <v>-5.3808072382237846</v>
      </c>
      <c r="N32" s="645">
        <v>0</v>
      </c>
      <c r="O32" s="645">
        <v>9.0812335132369491</v>
      </c>
      <c r="P32" s="645">
        <v>-540.17785546008065</v>
      </c>
      <c r="Q32" s="645">
        <v>-34.989958988562719</v>
      </c>
      <c r="R32" s="645">
        <v>-5.0795433673621861</v>
      </c>
      <c r="S32" s="645">
        <v>798.89209908905127</v>
      </c>
      <c r="U32" s="644" t="s">
        <v>77</v>
      </c>
      <c r="V32" s="645">
        <v>5.3110285590231427</v>
      </c>
      <c r="W32" s="645">
        <v>220.47790015098695</v>
      </c>
      <c r="X32" s="645">
        <v>-194.51650690879191</v>
      </c>
      <c r="Y32" s="645">
        <v>19.805187226334116</v>
      </c>
      <c r="Z32" s="645">
        <v>873.030303030303</v>
      </c>
      <c r="AA32" s="645">
        <v>337.06619522473</v>
      </c>
      <c r="AB32" s="645">
        <v>131.18933095255588</v>
      </c>
      <c r="AC32" s="645">
        <v>32.128382455120146</v>
      </c>
      <c r="AD32" s="645">
        <v>-116.69170648178192</v>
      </c>
      <c r="AE32" s="645">
        <v>-58.796508116684997</v>
      </c>
      <c r="AF32" s="645">
        <v>0</v>
      </c>
      <c r="AG32" s="645">
        <v>18.805626470956682</v>
      </c>
      <c r="AH32" s="645">
        <v>-524.40351343206009</v>
      </c>
      <c r="AI32" s="645">
        <v>-68.794771845590574</v>
      </c>
      <c r="AJ32" s="645">
        <v>-28.168396757803269</v>
      </c>
      <c r="AK32" s="645">
        <v>646.44255052729716</v>
      </c>
    </row>
    <row r="33" spans="3:37" x14ac:dyDescent="0.2">
      <c r="C33" s="634"/>
      <c r="D33" s="634">
        <v>0</v>
      </c>
      <c r="E33" s="634">
        <v>0</v>
      </c>
      <c r="F33" s="634">
        <v>0</v>
      </c>
      <c r="G33" s="634">
        <v>0</v>
      </c>
      <c r="H33" s="634">
        <v>0</v>
      </c>
      <c r="I33" s="634">
        <v>0</v>
      </c>
      <c r="J33" s="634">
        <v>0</v>
      </c>
      <c r="K33" s="634">
        <v>0</v>
      </c>
      <c r="L33" s="634">
        <v>0</v>
      </c>
      <c r="M33" s="634">
        <v>0</v>
      </c>
      <c r="N33" s="634">
        <v>0</v>
      </c>
      <c r="O33" s="634">
        <v>0</v>
      </c>
      <c r="P33" s="634">
        <v>0</v>
      </c>
      <c r="Q33" s="634">
        <v>0</v>
      </c>
      <c r="R33" s="634">
        <v>0</v>
      </c>
      <c r="S33" s="634">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646" t="s">
        <v>78</v>
      </c>
      <c r="D34" s="640">
        <v>4.9901668745901624</v>
      </c>
      <c r="E34" s="640">
        <v>0</v>
      </c>
      <c r="F34" s="640">
        <v>21.091530324656198</v>
      </c>
      <c r="G34" s="640">
        <v>96.151700548391091</v>
      </c>
      <c r="H34" s="640">
        <v>0</v>
      </c>
      <c r="I34" s="640">
        <v>0</v>
      </c>
      <c r="J34" s="640">
        <v>21.387862541024852</v>
      </c>
      <c r="K34" s="640">
        <v>1.7476152779545906</v>
      </c>
      <c r="L34" s="640">
        <v>0.94211085156249985</v>
      </c>
      <c r="M34" s="640">
        <v>1.9807569399951515</v>
      </c>
      <c r="N34" s="640">
        <v>0</v>
      </c>
      <c r="O34" s="640">
        <v>3.7669078281368638E-4</v>
      </c>
      <c r="P34" s="640">
        <v>112.73505933145552</v>
      </c>
      <c r="Q34" s="640">
        <v>16.12568637832603</v>
      </c>
      <c r="R34" s="640">
        <v>0.27920700073242188</v>
      </c>
      <c r="S34" s="648">
        <v>277.43207275947128</v>
      </c>
      <c r="U34" s="646" t="s">
        <v>78</v>
      </c>
      <c r="V34" s="640">
        <v>1.2150050536449819</v>
      </c>
      <c r="W34" s="640">
        <v>0</v>
      </c>
      <c r="X34" s="640">
        <v>6.016341039248414</v>
      </c>
      <c r="Y34" s="640">
        <v>39.709503776891196</v>
      </c>
      <c r="Z34" s="640">
        <v>0</v>
      </c>
      <c r="AA34" s="640">
        <v>0</v>
      </c>
      <c r="AB34" s="640">
        <v>15.202189846170386</v>
      </c>
      <c r="AC34" s="640">
        <v>4.9835801019927617</v>
      </c>
      <c r="AD34" s="640">
        <v>5.6103854980468748</v>
      </c>
      <c r="AE34" s="640">
        <v>28.773635244370734</v>
      </c>
      <c r="AF34" s="640">
        <v>0</v>
      </c>
      <c r="AG34" s="640">
        <v>3.7669078281368638E-4</v>
      </c>
      <c r="AH34" s="640">
        <v>146.07653830614987</v>
      </c>
      <c r="AI34" s="640">
        <v>23.647869298816833</v>
      </c>
      <c r="AJ34" s="640">
        <v>7.4826708984375001</v>
      </c>
      <c r="AK34" s="648">
        <v>278.71809575455239</v>
      </c>
    </row>
    <row r="35" spans="3:37" x14ac:dyDescent="0.2">
      <c r="C35" s="646" t="s">
        <v>79</v>
      </c>
      <c r="D35" s="640">
        <v>0</v>
      </c>
      <c r="E35" s="640">
        <v>0</v>
      </c>
      <c r="F35" s="640">
        <v>235.12748928743429</v>
      </c>
      <c r="G35" s="640">
        <v>31.099379517950805</v>
      </c>
      <c r="H35" s="640">
        <v>0</v>
      </c>
      <c r="I35" s="640">
        <v>0</v>
      </c>
      <c r="J35" s="640">
        <v>0</v>
      </c>
      <c r="K35" s="640">
        <v>0</v>
      </c>
      <c r="L35" s="640">
        <v>22.716725008445675</v>
      </c>
      <c r="M35" s="640">
        <v>0.63468121465205729</v>
      </c>
      <c r="N35" s="640">
        <v>0</v>
      </c>
      <c r="O35" s="640">
        <v>0</v>
      </c>
      <c r="P35" s="640">
        <v>68.565930798083699</v>
      </c>
      <c r="Q35" s="640">
        <v>0</v>
      </c>
      <c r="R35" s="640">
        <v>2.3844112104980786</v>
      </c>
      <c r="S35" s="648">
        <v>360.52861703706463</v>
      </c>
      <c r="U35" s="646" t="s">
        <v>79</v>
      </c>
      <c r="V35" s="640">
        <v>0</v>
      </c>
      <c r="W35" s="640">
        <v>0</v>
      </c>
      <c r="X35" s="640">
        <v>35.128929389637456</v>
      </c>
      <c r="Y35" s="640">
        <v>15.137064293513523</v>
      </c>
      <c r="Z35" s="640">
        <v>0</v>
      </c>
      <c r="AA35" s="640">
        <v>0</v>
      </c>
      <c r="AB35" s="640">
        <v>0</v>
      </c>
      <c r="AC35" s="640">
        <v>0</v>
      </c>
      <c r="AD35" s="640">
        <v>37.187580566982817</v>
      </c>
      <c r="AE35" s="640">
        <v>11.036020535724948</v>
      </c>
      <c r="AF35" s="640">
        <v>0</v>
      </c>
      <c r="AG35" s="640">
        <v>0</v>
      </c>
      <c r="AH35" s="640">
        <v>89.614524523742418</v>
      </c>
      <c r="AI35" s="640">
        <v>0</v>
      </c>
      <c r="AJ35" s="640">
        <v>5.6351763144479268</v>
      </c>
      <c r="AK35" s="648">
        <v>193.73929562404911</v>
      </c>
    </row>
    <row r="36" spans="3:37" x14ac:dyDescent="0.2">
      <c r="C36" s="646" t="s">
        <v>80</v>
      </c>
      <c r="D36" s="640">
        <v>0</v>
      </c>
      <c r="E36" s="640">
        <v>0</v>
      </c>
      <c r="F36" s="640">
        <v>13.724834206032371</v>
      </c>
      <c r="G36" s="640">
        <v>79.131512261322683</v>
      </c>
      <c r="H36" s="640">
        <v>0</v>
      </c>
      <c r="I36" s="640">
        <v>0</v>
      </c>
      <c r="J36" s="640">
        <v>87.797108848078949</v>
      </c>
      <c r="K36" s="640">
        <v>0</v>
      </c>
      <c r="L36" s="640">
        <v>0</v>
      </c>
      <c r="M36" s="640">
        <v>1.6149288216596467</v>
      </c>
      <c r="N36" s="640">
        <v>57.41835645436403</v>
      </c>
      <c r="O36" s="640">
        <v>2.0533643919476137</v>
      </c>
      <c r="P36" s="640">
        <v>189.45880926265392</v>
      </c>
      <c r="Q36" s="640">
        <v>15.417775800116472</v>
      </c>
      <c r="R36" s="640">
        <v>0</v>
      </c>
      <c r="S36" s="648">
        <v>446.61669004617568</v>
      </c>
      <c r="U36" s="646" t="s">
        <v>80</v>
      </c>
      <c r="V36" s="640">
        <v>0</v>
      </c>
      <c r="W36" s="640">
        <v>0</v>
      </c>
      <c r="X36" s="640">
        <v>1.0209129157283405</v>
      </c>
      <c r="Y36" s="640">
        <v>12.832027751754538</v>
      </c>
      <c r="Z36" s="640">
        <v>0</v>
      </c>
      <c r="AA36" s="640">
        <v>0</v>
      </c>
      <c r="AB36" s="640">
        <v>53.270322236782164</v>
      </c>
      <c r="AC36" s="640">
        <v>0</v>
      </c>
      <c r="AD36" s="640">
        <v>0</v>
      </c>
      <c r="AE36" s="640">
        <v>9.2921580271325972</v>
      </c>
      <c r="AF36" s="640">
        <v>88.292344554902868</v>
      </c>
      <c r="AG36" s="640">
        <v>3.9079432862869607</v>
      </c>
      <c r="AH36" s="640">
        <v>146.88666477766319</v>
      </c>
      <c r="AI36" s="640">
        <v>32.427264426374379</v>
      </c>
      <c r="AJ36" s="640">
        <v>0</v>
      </c>
      <c r="AK36" s="648">
        <v>347.92963797662509</v>
      </c>
    </row>
    <row r="37" spans="3:37" x14ac:dyDescent="0.2">
      <c r="C37" s="646" t="s">
        <v>81</v>
      </c>
      <c r="D37" s="640">
        <v>0</v>
      </c>
      <c r="E37" s="640">
        <v>0</v>
      </c>
      <c r="F37" s="640">
        <v>3.9083972405176572</v>
      </c>
      <c r="G37" s="640">
        <v>63.089348266301698</v>
      </c>
      <c r="H37" s="640">
        <v>0</v>
      </c>
      <c r="I37" s="640">
        <v>0</v>
      </c>
      <c r="J37" s="640">
        <v>3.1804221278939271</v>
      </c>
      <c r="K37" s="640">
        <v>2.5219694682056978E-2</v>
      </c>
      <c r="L37" s="640">
        <v>0</v>
      </c>
      <c r="M37" s="640">
        <v>1.287537719720443</v>
      </c>
      <c r="N37" s="640">
        <v>8.4803330998149011</v>
      </c>
      <c r="O37" s="640">
        <v>0.72631919579288284</v>
      </c>
      <c r="P37" s="640">
        <v>140.69299872549993</v>
      </c>
      <c r="Q37" s="640">
        <v>3.4464968101202174</v>
      </c>
      <c r="R37" s="640">
        <v>0</v>
      </c>
      <c r="S37" s="648">
        <v>224.8370728803437</v>
      </c>
      <c r="U37" s="646" t="s">
        <v>81</v>
      </c>
      <c r="V37" s="640">
        <v>0</v>
      </c>
      <c r="W37" s="640">
        <v>0</v>
      </c>
      <c r="X37" s="640">
        <v>1.4952361732398858</v>
      </c>
      <c r="Y37" s="640">
        <v>10.610341518374359</v>
      </c>
      <c r="Z37" s="640">
        <v>0</v>
      </c>
      <c r="AA37" s="640">
        <v>0</v>
      </c>
      <c r="AB37" s="640">
        <v>6.9978977014468793</v>
      </c>
      <c r="AC37" s="640">
        <v>2.5219694682056978E-2</v>
      </c>
      <c r="AD37" s="640">
        <v>0</v>
      </c>
      <c r="AE37" s="640">
        <v>7.6833507546848816</v>
      </c>
      <c r="AF37" s="640">
        <v>14.732239480945108</v>
      </c>
      <c r="AG37" s="640">
        <v>1.5525732622869153</v>
      </c>
      <c r="AH37" s="640">
        <v>115.23036268987886</v>
      </c>
      <c r="AI37" s="640">
        <v>12.719638120399363</v>
      </c>
      <c r="AJ37" s="640">
        <v>0</v>
      </c>
      <c r="AK37" s="648">
        <v>171.04685939593833</v>
      </c>
    </row>
    <row r="38" spans="3:37" x14ac:dyDescent="0.2">
      <c r="C38" s="646" t="s">
        <v>82</v>
      </c>
      <c r="D38" s="640">
        <v>0</v>
      </c>
      <c r="E38" s="640">
        <v>0</v>
      </c>
      <c r="F38" s="640">
        <v>28.471648080197657</v>
      </c>
      <c r="G38" s="640">
        <v>1.0804243241036344</v>
      </c>
      <c r="H38" s="640">
        <v>0</v>
      </c>
      <c r="I38" s="640">
        <v>0</v>
      </c>
      <c r="J38" s="640">
        <v>4.3026845658747828</v>
      </c>
      <c r="K38" s="640">
        <v>0</v>
      </c>
      <c r="L38" s="640">
        <v>3.1299020072385213</v>
      </c>
      <c r="M38" s="640">
        <v>2.2049476002114991E-2</v>
      </c>
      <c r="N38" s="640">
        <v>0</v>
      </c>
      <c r="O38" s="640">
        <v>6.8830690871769351E-2</v>
      </c>
      <c r="P38" s="640">
        <v>5.9739095578527968</v>
      </c>
      <c r="Q38" s="640">
        <v>0</v>
      </c>
      <c r="R38" s="640">
        <v>0</v>
      </c>
      <c r="S38" s="648">
        <v>43.049448702141277</v>
      </c>
      <c r="U38" s="646" t="s">
        <v>82</v>
      </c>
      <c r="V38" s="640">
        <v>0</v>
      </c>
      <c r="W38" s="640">
        <v>0</v>
      </c>
      <c r="X38" s="640">
        <v>5.8604701162543282</v>
      </c>
      <c r="Y38" s="640">
        <v>0.77721189491485598</v>
      </c>
      <c r="Z38" s="640">
        <v>0</v>
      </c>
      <c r="AA38" s="640">
        <v>0</v>
      </c>
      <c r="AB38" s="640">
        <v>4.3026845658747828</v>
      </c>
      <c r="AC38" s="640">
        <v>0</v>
      </c>
      <c r="AD38" s="640">
        <v>30.776202948565647</v>
      </c>
      <c r="AE38" s="640">
        <v>0.56280861355903367</v>
      </c>
      <c r="AF38" s="640">
        <v>0</v>
      </c>
      <c r="AG38" s="640">
        <v>1.5666563685107562</v>
      </c>
      <c r="AH38" s="640">
        <v>6.0858228188406986</v>
      </c>
      <c r="AI38" s="640">
        <v>0</v>
      </c>
      <c r="AJ38" s="640">
        <v>0.36062656029870238</v>
      </c>
      <c r="AK38" s="648">
        <v>50.292483886818808</v>
      </c>
    </row>
    <row r="39" spans="3:37" x14ac:dyDescent="0.2">
      <c r="C39" s="646" t="s">
        <v>354</v>
      </c>
      <c r="D39" s="640">
        <v>0</v>
      </c>
      <c r="E39" s="640">
        <v>0</v>
      </c>
      <c r="F39" s="640">
        <v>0</v>
      </c>
      <c r="G39" s="640">
        <v>0</v>
      </c>
      <c r="H39" s="640">
        <v>0</v>
      </c>
      <c r="I39" s="640">
        <v>0</v>
      </c>
      <c r="J39" s="640">
        <v>0</v>
      </c>
      <c r="K39" s="640">
        <v>0</v>
      </c>
      <c r="L39" s="640">
        <v>0</v>
      </c>
      <c r="M39" s="640">
        <v>0</v>
      </c>
      <c r="N39" s="640">
        <v>0</v>
      </c>
      <c r="O39" s="640">
        <v>0</v>
      </c>
      <c r="P39" s="640">
        <v>0.36</v>
      </c>
      <c r="Q39" s="640">
        <v>0</v>
      </c>
      <c r="R39" s="640">
        <v>0</v>
      </c>
      <c r="S39" s="648">
        <v>0.36</v>
      </c>
      <c r="U39" s="646" t="s">
        <v>354</v>
      </c>
      <c r="V39" s="640">
        <v>0</v>
      </c>
      <c r="W39" s="640">
        <v>0</v>
      </c>
      <c r="X39" s="640">
        <v>0</v>
      </c>
      <c r="Y39" s="640">
        <v>0</v>
      </c>
      <c r="Z39" s="640">
        <v>0</v>
      </c>
      <c r="AA39" s="640">
        <v>0</v>
      </c>
      <c r="AB39" s="640">
        <v>0</v>
      </c>
      <c r="AC39" s="640">
        <v>0</v>
      </c>
      <c r="AD39" s="640">
        <v>0</v>
      </c>
      <c r="AE39" s="640">
        <v>0</v>
      </c>
      <c r="AF39" s="640">
        <v>0</v>
      </c>
      <c r="AG39" s="640">
        <v>0</v>
      </c>
      <c r="AH39" s="640">
        <v>3.12</v>
      </c>
      <c r="AI39" s="640">
        <v>0</v>
      </c>
      <c r="AJ39" s="640">
        <v>0</v>
      </c>
      <c r="AK39" s="648">
        <v>3.12</v>
      </c>
    </row>
    <row r="40" spans="3:37" x14ac:dyDescent="0.2">
      <c r="C40" s="644" t="s">
        <v>83</v>
      </c>
      <c r="D40" s="645">
        <v>4.9901668745901624</v>
      </c>
      <c r="E40" s="645">
        <v>0</v>
      </c>
      <c r="F40" s="645">
        <v>302.32389913883821</v>
      </c>
      <c r="G40" s="645">
        <v>270.55236491806994</v>
      </c>
      <c r="H40" s="645">
        <v>0</v>
      </c>
      <c r="I40" s="645">
        <v>0</v>
      </c>
      <c r="J40" s="645">
        <v>116.66807808287251</v>
      </c>
      <c r="K40" s="645">
        <v>1.7728349726366477</v>
      </c>
      <c r="L40" s="645">
        <v>26.788737867246695</v>
      </c>
      <c r="M40" s="645">
        <v>5.5399541720294136</v>
      </c>
      <c r="N40" s="645">
        <v>65.898689554178929</v>
      </c>
      <c r="O40" s="645">
        <v>2.8488909693950797</v>
      </c>
      <c r="P40" s="645">
        <v>517.78670767554593</v>
      </c>
      <c r="Q40" s="645">
        <v>34.989958988562719</v>
      </c>
      <c r="R40" s="645">
        <v>2.6636182112305002</v>
      </c>
      <c r="S40" s="645">
        <v>1352.8239014251965</v>
      </c>
      <c r="U40" s="644" t="s">
        <v>83</v>
      </c>
      <c r="V40" s="645">
        <v>1.2150050536449819</v>
      </c>
      <c r="W40" s="645">
        <v>0</v>
      </c>
      <c r="X40" s="645">
        <v>49.521889634108419</v>
      </c>
      <c r="Y40" s="645">
        <v>79.066149235448464</v>
      </c>
      <c r="Z40" s="645">
        <v>0</v>
      </c>
      <c r="AA40" s="645">
        <v>0</v>
      </c>
      <c r="AB40" s="645">
        <v>79.773094350274206</v>
      </c>
      <c r="AC40" s="645">
        <v>5.0087997966748192</v>
      </c>
      <c r="AD40" s="645">
        <v>73.574169013595338</v>
      </c>
      <c r="AE40" s="645">
        <v>57.347973175472191</v>
      </c>
      <c r="AF40" s="645">
        <v>103.02458403584798</v>
      </c>
      <c r="AG40" s="645">
        <v>7.0275496078674458</v>
      </c>
      <c r="AH40" s="645">
        <v>507.01391311627498</v>
      </c>
      <c r="AI40" s="645">
        <v>68.794771845590574</v>
      </c>
      <c r="AJ40" s="645">
        <v>13.478473773184128</v>
      </c>
      <c r="AK40" s="645">
        <v>1044.8463726379837</v>
      </c>
    </row>
    <row r="41" spans="3:37" x14ac:dyDescent="0.2">
      <c r="C41" s="639" t="s">
        <v>84</v>
      </c>
      <c r="D41" s="640">
        <v>0</v>
      </c>
      <c r="E41" s="640">
        <v>0</v>
      </c>
      <c r="F41" s="640">
        <v>106.83242416715484</v>
      </c>
      <c r="G41" s="640">
        <v>11.6186457489655</v>
      </c>
      <c r="H41" s="640">
        <v>0</v>
      </c>
      <c r="I41" s="640">
        <v>0</v>
      </c>
      <c r="J41" s="640">
        <v>0</v>
      </c>
      <c r="K41" s="640">
        <v>0</v>
      </c>
      <c r="L41" s="640">
        <v>0</v>
      </c>
      <c r="M41" s="640">
        <v>0</v>
      </c>
      <c r="N41" s="640">
        <v>0</v>
      </c>
      <c r="O41" s="640">
        <v>0</v>
      </c>
      <c r="P41" s="640">
        <v>0</v>
      </c>
      <c r="Q41" s="640">
        <v>0</v>
      </c>
      <c r="R41" s="640">
        <v>2.4159251561316859</v>
      </c>
      <c r="S41" s="648">
        <v>120.86699507225204</v>
      </c>
      <c r="U41" s="639" t="s">
        <v>84</v>
      </c>
      <c r="V41" s="640">
        <v>0</v>
      </c>
      <c r="W41" s="640">
        <v>0</v>
      </c>
      <c r="X41" s="640">
        <v>75.791608178670685</v>
      </c>
      <c r="Y41" s="640">
        <v>0.94004440148578539</v>
      </c>
      <c r="Z41" s="640">
        <v>0</v>
      </c>
      <c r="AA41" s="640">
        <v>0</v>
      </c>
      <c r="AB41" s="640">
        <v>0</v>
      </c>
      <c r="AC41" s="640">
        <v>0</v>
      </c>
      <c r="AD41" s="640">
        <v>21.99170920776367</v>
      </c>
      <c r="AE41" s="640">
        <v>0</v>
      </c>
      <c r="AF41" s="640">
        <v>0</v>
      </c>
      <c r="AG41" s="640">
        <v>0</v>
      </c>
      <c r="AH41" s="640">
        <v>0</v>
      </c>
      <c r="AI41" s="640">
        <v>0</v>
      </c>
      <c r="AJ41" s="640">
        <v>14.689922984619141</v>
      </c>
      <c r="AK41" s="648">
        <v>113.41328477253928</v>
      </c>
    </row>
    <row r="42" spans="3:37" x14ac:dyDescent="0.2">
      <c r="C42" s="644" t="s">
        <v>85</v>
      </c>
      <c r="D42" s="645">
        <v>4.9901668745901624</v>
      </c>
      <c r="E42" s="645">
        <v>0</v>
      </c>
      <c r="F42" s="645">
        <v>409.15632330599311</v>
      </c>
      <c r="G42" s="645">
        <v>282.17101066703543</v>
      </c>
      <c r="H42" s="645">
        <v>0</v>
      </c>
      <c r="I42" s="645">
        <v>0</v>
      </c>
      <c r="J42" s="645">
        <v>116.66807808287251</v>
      </c>
      <c r="K42" s="645">
        <v>1.7728349726366477</v>
      </c>
      <c r="L42" s="645">
        <v>26.788737867246695</v>
      </c>
      <c r="M42" s="645">
        <v>5.5399541720294136</v>
      </c>
      <c r="N42" s="645">
        <v>65.898689554178929</v>
      </c>
      <c r="O42" s="645">
        <v>2.8488909693950797</v>
      </c>
      <c r="P42" s="645">
        <v>517.78670767554593</v>
      </c>
      <c r="Q42" s="645">
        <v>34.989958988562719</v>
      </c>
      <c r="R42" s="645">
        <v>5.0795433673621861</v>
      </c>
      <c r="S42" s="645">
        <v>1473.6908964974484</v>
      </c>
      <c r="U42" s="644" t="s">
        <v>85</v>
      </c>
      <c r="V42" s="645">
        <v>1.2150050536449819</v>
      </c>
      <c r="W42" s="645">
        <v>0</v>
      </c>
      <c r="X42" s="645">
        <v>125.31349781277912</v>
      </c>
      <c r="Y42" s="645">
        <v>80.006193636934256</v>
      </c>
      <c r="Z42" s="645">
        <v>0</v>
      </c>
      <c r="AA42" s="645">
        <v>0</v>
      </c>
      <c r="AB42" s="645">
        <v>79.773094350274206</v>
      </c>
      <c r="AC42" s="645">
        <v>5.0087997966748192</v>
      </c>
      <c r="AD42" s="645">
        <v>95.565878221359014</v>
      </c>
      <c r="AE42" s="645">
        <v>57.347973175472191</v>
      </c>
      <c r="AF42" s="645">
        <v>103.02458403584798</v>
      </c>
      <c r="AG42" s="645">
        <v>7.0275496078674458</v>
      </c>
      <c r="AH42" s="645">
        <v>507.01391311627498</v>
      </c>
      <c r="AI42" s="645">
        <v>68.794771845590574</v>
      </c>
      <c r="AJ42" s="645">
        <v>28.168396757803269</v>
      </c>
      <c r="AK42" s="645">
        <v>1158.2596574105228</v>
      </c>
    </row>
    <row r="43" spans="3:37" x14ac:dyDescent="0.2">
      <c r="C43" s="634"/>
      <c r="D43" s="634"/>
      <c r="E43" s="634"/>
      <c r="F43" s="634"/>
      <c r="G43" s="634"/>
      <c r="H43" s="634"/>
      <c r="I43" s="634"/>
      <c r="J43" s="634"/>
      <c r="K43" s="634"/>
      <c r="L43" s="634"/>
      <c r="M43" s="634"/>
      <c r="N43" s="634"/>
      <c r="O43" s="634"/>
      <c r="P43" s="634"/>
      <c r="Q43" s="634"/>
      <c r="R43" s="634"/>
      <c r="S43" s="634"/>
      <c r="U43" s="634"/>
      <c r="V43" s="634"/>
      <c r="W43" s="634"/>
      <c r="X43" s="634"/>
      <c r="Y43" s="634"/>
      <c r="Z43" s="634"/>
      <c r="AA43" s="634"/>
      <c r="AB43" s="634"/>
      <c r="AC43" s="634"/>
      <c r="AD43" s="634"/>
      <c r="AE43" s="634"/>
      <c r="AF43" s="634"/>
      <c r="AG43" s="634"/>
      <c r="AH43" s="634"/>
      <c r="AI43" s="634"/>
      <c r="AJ43" s="634"/>
      <c r="AK43" s="634"/>
    </row>
    <row r="44" spans="3:37" ht="22.5" x14ac:dyDescent="0.3">
      <c r="C44" s="759" t="s">
        <v>361</v>
      </c>
      <c r="D44" s="759"/>
      <c r="E44" s="759"/>
      <c r="F44" s="759"/>
      <c r="G44" s="759"/>
      <c r="H44" s="759"/>
      <c r="I44" s="759"/>
      <c r="J44" s="759"/>
      <c r="K44" s="759"/>
      <c r="L44" s="759"/>
      <c r="M44" s="759"/>
      <c r="N44" s="759"/>
      <c r="O44" s="759"/>
      <c r="P44" s="759"/>
      <c r="Q44" s="759"/>
      <c r="R44" s="759"/>
      <c r="S44" s="759"/>
      <c r="U44" s="759" t="s">
        <v>361</v>
      </c>
      <c r="V44" s="759"/>
      <c r="W44" s="759"/>
      <c r="X44" s="759"/>
      <c r="Y44" s="759"/>
      <c r="Z44" s="759"/>
      <c r="AA44" s="759"/>
      <c r="AB44" s="759"/>
      <c r="AC44" s="759"/>
      <c r="AD44" s="759"/>
      <c r="AE44" s="759"/>
      <c r="AF44" s="759"/>
      <c r="AG44" s="759"/>
      <c r="AH44" s="759"/>
      <c r="AI44" s="759"/>
      <c r="AJ44" s="759"/>
      <c r="AK44" s="759"/>
    </row>
    <row r="45" spans="3:37" x14ac:dyDescent="0.2">
      <c r="C45" s="634"/>
      <c r="D45" s="634"/>
      <c r="E45" s="634"/>
      <c r="F45" s="634"/>
      <c r="G45" s="634"/>
      <c r="H45" s="634"/>
      <c r="I45" s="634"/>
      <c r="J45" s="634"/>
      <c r="K45" s="634"/>
      <c r="L45" s="634"/>
      <c r="M45" s="634"/>
      <c r="N45" s="634"/>
      <c r="O45" s="634"/>
      <c r="P45" s="634"/>
      <c r="Q45" s="634"/>
      <c r="R45" s="634"/>
      <c r="S45" s="634"/>
      <c r="U45" s="634"/>
      <c r="V45" s="634"/>
      <c r="W45" s="634"/>
      <c r="X45" s="634"/>
      <c r="Y45" s="634"/>
      <c r="Z45" s="634"/>
      <c r="AA45" s="634"/>
      <c r="AB45" s="634"/>
      <c r="AC45" s="634"/>
      <c r="AD45" s="634"/>
      <c r="AE45" s="634"/>
      <c r="AF45" s="634"/>
      <c r="AG45" s="634"/>
      <c r="AH45" s="634"/>
      <c r="AI45" s="634"/>
      <c r="AJ45" s="634"/>
      <c r="AK45" s="634"/>
    </row>
    <row r="46" spans="3:37" ht="12.95" customHeight="1" x14ac:dyDescent="0.2">
      <c r="C46" s="758" t="s">
        <v>128</v>
      </c>
      <c r="D46" s="757" t="s">
        <v>42</v>
      </c>
      <c r="E46" s="757" t="s">
        <v>52</v>
      </c>
      <c r="F46" s="757" t="s">
        <v>53</v>
      </c>
      <c r="G46" s="757" t="s">
        <v>32</v>
      </c>
      <c r="H46" s="757" t="s">
        <v>20</v>
      </c>
      <c r="I46" s="757" t="s">
        <v>55</v>
      </c>
      <c r="J46" s="757" t="s">
        <v>56</v>
      </c>
      <c r="K46" s="757"/>
      <c r="L46" s="757"/>
      <c r="M46" s="757"/>
      <c r="N46" s="757"/>
      <c r="O46" s="757"/>
      <c r="P46" s="757" t="s">
        <v>57</v>
      </c>
      <c r="Q46" s="757" t="s">
        <v>58</v>
      </c>
      <c r="R46" s="757" t="s">
        <v>31</v>
      </c>
      <c r="S46" s="757" t="s">
        <v>10</v>
      </c>
      <c r="U46" s="758" t="s">
        <v>128</v>
      </c>
      <c r="V46" s="757" t="s">
        <v>42</v>
      </c>
      <c r="W46" s="757" t="s">
        <v>52</v>
      </c>
      <c r="X46" s="757" t="s">
        <v>53</v>
      </c>
      <c r="Y46" s="757" t="s">
        <v>32</v>
      </c>
      <c r="Z46" s="757" t="s">
        <v>20</v>
      </c>
      <c r="AA46" s="757" t="s">
        <v>55</v>
      </c>
      <c r="AB46" s="757" t="s">
        <v>56</v>
      </c>
      <c r="AC46" s="757"/>
      <c r="AD46" s="757"/>
      <c r="AE46" s="757"/>
      <c r="AF46" s="757"/>
      <c r="AG46" s="757"/>
      <c r="AH46" s="757" t="s">
        <v>57</v>
      </c>
      <c r="AI46" s="757" t="s">
        <v>58</v>
      </c>
      <c r="AJ46" s="757" t="s">
        <v>31</v>
      </c>
      <c r="AK46" s="757" t="s">
        <v>10</v>
      </c>
    </row>
    <row r="47" spans="3:37" ht="56.25" x14ac:dyDescent="0.2">
      <c r="C47" s="758"/>
      <c r="D47" s="757"/>
      <c r="E47" s="757"/>
      <c r="F47" s="757"/>
      <c r="G47" s="757"/>
      <c r="H47" s="757"/>
      <c r="I47" s="757"/>
      <c r="J47" s="638" t="s">
        <v>335</v>
      </c>
      <c r="K47" s="638" t="s">
        <v>40</v>
      </c>
      <c r="L47" s="638" t="s">
        <v>343</v>
      </c>
      <c r="M47" s="638" t="s">
        <v>344</v>
      </c>
      <c r="N47" s="638" t="s">
        <v>345</v>
      </c>
      <c r="O47" s="638" t="s">
        <v>346</v>
      </c>
      <c r="P47" s="757"/>
      <c r="Q47" s="757"/>
      <c r="R47" s="757"/>
      <c r="S47" s="757"/>
      <c r="U47" s="758"/>
      <c r="V47" s="757"/>
      <c r="W47" s="757"/>
      <c r="X47" s="757"/>
      <c r="Y47" s="757"/>
      <c r="Z47" s="757"/>
      <c r="AA47" s="757"/>
      <c r="AB47" s="638" t="s">
        <v>335</v>
      </c>
      <c r="AC47" s="638" t="s">
        <v>40</v>
      </c>
      <c r="AD47" s="638" t="s">
        <v>343</v>
      </c>
      <c r="AE47" s="638" t="s">
        <v>344</v>
      </c>
      <c r="AF47" s="638" t="s">
        <v>345</v>
      </c>
      <c r="AG47" s="638" t="s">
        <v>346</v>
      </c>
      <c r="AH47" s="757"/>
      <c r="AI47" s="757"/>
      <c r="AJ47" s="757"/>
      <c r="AK47" s="757"/>
    </row>
    <row r="48" spans="3:37" x14ac:dyDescent="0.2">
      <c r="C48" s="639" t="s">
        <v>59</v>
      </c>
      <c r="D48" s="640">
        <v>0</v>
      </c>
      <c r="E48" s="641">
        <v>0</v>
      </c>
      <c r="F48" s="641">
        <v>0</v>
      </c>
      <c r="G48" s="640">
        <v>0</v>
      </c>
      <c r="H48" s="641">
        <v>843.18181818181824</v>
      </c>
      <c r="I48" s="641">
        <v>306.94588327561422</v>
      </c>
      <c r="J48" s="641">
        <v>187.92158364867245</v>
      </c>
      <c r="K48" s="641">
        <v>20.316638839186872</v>
      </c>
      <c r="L48" s="641">
        <v>0.58650482505924006</v>
      </c>
      <c r="M48" s="641">
        <v>0.15964026893196048</v>
      </c>
      <c r="N48" s="641">
        <v>67.964408038916218</v>
      </c>
      <c r="O48" s="641">
        <v>11.973026235836867</v>
      </c>
      <c r="P48" s="642">
        <v>0</v>
      </c>
      <c r="Q48" s="641">
        <v>0</v>
      </c>
      <c r="R48" s="641">
        <v>0</v>
      </c>
      <c r="S48" s="643">
        <v>1439.0495033140362</v>
      </c>
      <c r="U48" s="639" t="s">
        <v>59</v>
      </c>
      <c r="V48" s="640">
        <v>0</v>
      </c>
      <c r="W48" s="641">
        <v>0</v>
      </c>
      <c r="X48" s="641">
        <v>0</v>
      </c>
      <c r="Y48" s="640">
        <v>0</v>
      </c>
      <c r="Z48" s="641">
        <v>842.12121212121212</v>
      </c>
      <c r="AA48" s="641">
        <v>361.66588327561419</v>
      </c>
      <c r="AB48" s="641">
        <v>209.7499476733077</v>
      </c>
      <c r="AC48" s="641">
        <v>36.742499370225779</v>
      </c>
      <c r="AD48" s="641">
        <v>0.58650482505924006</v>
      </c>
      <c r="AE48" s="641">
        <v>0.15964026893196048</v>
      </c>
      <c r="AF48" s="641">
        <v>109.8518848230913</v>
      </c>
      <c r="AG48" s="641">
        <v>27.041217028647232</v>
      </c>
      <c r="AH48" s="642">
        <v>0</v>
      </c>
      <c r="AI48" s="641">
        <v>0</v>
      </c>
      <c r="AJ48" s="641">
        <v>0</v>
      </c>
      <c r="AK48" s="643">
        <v>1587.9187893860897</v>
      </c>
    </row>
    <row r="49" spans="3:37" x14ac:dyDescent="0.2">
      <c r="C49" s="639" t="s">
        <v>60</v>
      </c>
      <c r="D49" s="640">
        <v>47.14481987923083</v>
      </c>
      <c r="E49" s="641">
        <v>484.495467583368</v>
      </c>
      <c r="F49" s="641">
        <v>50.019697053221719</v>
      </c>
      <c r="G49" s="640">
        <v>326.09010493911637</v>
      </c>
      <c r="H49" s="641">
        <v>0</v>
      </c>
      <c r="I49" s="641">
        <v>0</v>
      </c>
      <c r="J49" s="641">
        <v>5.0764589906360387</v>
      </c>
      <c r="K49" s="641">
        <v>0</v>
      </c>
      <c r="L49" s="641">
        <v>2.7571319279134792</v>
      </c>
      <c r="M49" s="641">
        <v>0</v>
      </c>
      <c r="N49" s="641">
        <v>0</v>
      </c>
      <c r="O49" s="641">
        <v>0</v>
      </c>
      <c r="P49" s="642">
        <v>0</v>
      </c>
      <c r="Q49" s="641">
        <v>0</v>
      </c>
      <c r="R49" s="641">
        <v>0</v>
      </c>
      <c r="S49" s="643">
        <v>915.58368037348657</v>
      </c>
      <c r="U49" s="639" t="s">
        <v>60</v>
      </c>
      <c r="V49" s="640">
        <v>5.8768320762591904</v>
      </c>
      <c r="W49" s="641">
        <v>189.94114801549574</v>
      </c>
      <c r="X49" s="641">
        <v>14.41607041492888</v>
      </c>
      <c r="Y49" s="640">
        <v>81.728531694283333</v>
      </c>
      <c r="Z49" s="641">
        <v>0</v>
      </c>
      <c r="AA49" s="641">
        <v>0</v>
      </c>
      <c r="AB49" s="641">
        <v>5.0764589906360387</v>
      </c>
      <c r="AC49" s="641">
        <v>0</v>
      </c>
      <c r="AD49" s="641">
        <v>2.7571319279134792</v>
      </c>
      <c r="AE49" s="641">
        <v>0</v>
      </c>
      <c r="AF49" s="641">
        <v>0</v>
      </c>
      <c r="AG49" s="641">
        <v>0</v>
      </c>
      <c r="AH49" s="642">
        <v>0</v>
      </c>
      <c r="AI49" s="641">
        <v>0</v>
      </c>
      <c r="AJ49" s="641">
        <v>0</v>
      </c>
      <c r="AK49" s="643">
        <v>299.79617311951665</v>
      </c>
    </row>
    <row r="50" spans="3:37" x14ac:dyDescent="0.2">
      <c r="C50" s="639" t="s">
        <v>61</v>
      </c>
      <c r="D50" s="640">
        <v>0</v>
      </c>
      <c r="E50" s="641">
        <v>0</v>
      </c>
      <c r="F50" s="641">
        <v>0</v>
      </c>
      <c r="G50" s="640">
        <v>0</v>
      </c>
      <c r="H50" s="641">
        <v>0</v>
      </c>
      <c r="I50" s="641">
        <v>0</v>
      </c>
      <c r="J50" s="641">
        <v>0</v>
      </c>
      <c r="K50" s="641">
        <v>0</v>
      </c>
      <c r="L50" s="641">
        <v>0</v>
      </c>
      <c r="M50" s="641">
        <v>0</v>
      </c>
      <c r="N50" s="641">
        <v>0</v>
      </c>
      <c r="O50" s="641">
        <v>0</v>
      </c>
      <c r="P50" s="642">
        <v>-16.706363002811486</v>
      </c>
      <c r="Q50" s="641">
        <v>0</v>
      </c>
      <c r="R50" s="641">
        <v>0</v>
      </c>
      <c r="S50" s="643">
        <v>-16.706363002811486</v>
      </c>
      <c r="U50" s="639" t="s">
        <v>61</v>
      </c>
      <c r="V50" s="640">
        <v>0</v>
      </c>
      <c r="W50" s="641">
        <v>0</v>
      </c>
      <c r="X50" s="641">
        <v>-18.378136852904419</v>
      </c>
      <c r="Y50" s="640">
        <v>0</v>
      </c>
      <c r="Z50" s="641">
        <v>0</v>
      </c>
      <c r="AA50" s="641">
        <v>0</v>
      </c>
      <c r="AB50" s="641">
        <v>0</v>
      </c>
      <c r="AC50" s="641">
        <v>0</v>
      </c>
      <c r="AD50" s="641">
        <v>0</v>
      </c>
      <c r="AE50" s="641">
        <v>0</v>
      </c>
      <c r="AF50" s="641">
        <v>0</v>
      </c>
      <c r="AG50" s="641">
        <v>0</v>
      </c>
      <c r="AH50" s="642">
        <v>-20.522831714543145</v>
      </c>
      <c r="AI50" s="641">
        <v>0</v>
      </c>
      <c r="AJ50" s="641">
        <v>0</v>
      </c>
      <c r="AK50" s="643">
        <v>-38.900968567447563</v>
      </c>
    </row>
    <row r="51" spans="3:37" x14ac:dyDescent="0.2">
      <c r="C51" s="639" t="s">
        <v>62</v>
      </c>
      <c r="D51" s="640">
        <v>0</v>
      </c>
      <c r="E51" s="641">
        <v>0</v>
      </c>
      <c r="F51" s="641">
        <v>-15.257294848391862</v>
      </c>
      <c r="G51" s="640">
        <v>0</v>
      </c>
      <c r="H51" s="641">
        <v>0</v>
      </c>
      <c r="I51" s="641">
        <v>0</v>
      </c>
      <c r="J51" s="641">
        <v>0</v>
      </c>
      <c r="K51" s="641">
        <v>0</v>
      </c>
      <c r="L51" s="641">
        <v>0</v>
      </c>
      <c r="M51" s="641">
        <v>0</v>
      </c>
      <c r="N51" s="641">
        <v>0</v>
      </c>
      <c r="O51" s="641">
        <v>0</v>
      </c>
      <c r="P51" s="642">
        <v>0</v>
      </c>
      <c r="Q51" s="641">
        <v>0</v>
      </c>
      <c r="R51" s="641">
        <v>0</v>
      </c>
      <c r="S51" s="643">
        <v>-15.257294848391862</v>
      </c>
      <c r="U51" s="639" t="s">
        <v>62</v>
      </c>
      <c r="V51" s="640">
        <v>0</v>
      </c>
      <c r="W51" s="641">
        <v>0</v>
      </c>
      <c r="X51" s="641">
        <v>-7.5188933675233587</v>
      </c>
      <c r="Y51" s="640">
        <v>-2.1851276585702322</v>
      </c>
      <c r="Z51" s="641">
        <v>0</v>
      </c>
      <c r="AA51" s="641">
        <v>0</v>
      </c>
      <c r="AB51" s="641">
        <v>0</v>
      </c>
      <c r="AC51" s="641">
        <v>0</v>
      </c>
      <c r="AD51" s="641">
        <v>0</v>
      </c>
      <c r="AE51" s="641">
        <v>-2.1851276585702322</v>
      </c>
      <c r="AF51" s="641">
        <v>0</v>
      </c>
      <c r="AG51" s="641">
        <v>0</v>
      </c>
      <c r="AH51" s="642">
        <v>0</v>
      </c>
      <c r="AI51" s="641">
        <v>0</v>
      </c>
      <c r="AJ51" s="641">
        <v>0</v>
      </c>
      <c r="AK51" s="643">
        <v>-11.889148684663823</v>
      </c>
    </row>
    <row r="52" spans="3:37" x14ac:dyDescent="0.2">
      <c r="C52" s="639" t="s">
        <v>63</v>
      </c>
      <c r="D52" s="640">
        <v>0</v>
      </c>
      <c r="E52" s="641">
        <v>0</v>
      </c>
      <c r="F52" s="641">
        <v>-90.982589622358091</v>
      </c>
      <c r="G52" s="640">
        <v>0</v>
      </c>
      <c r="H52" s="641">
        <v>0</v>
      </c>
      <c r="I52" s="641">
        <v>0</v>
      </c>
      <c r="J52" s="641">
        <v>0</v>
      </c>
      <c r="K52" s="641">
        <v>0</v>
      </c>
      <c r="L52" s="641">
        <v>-0.93561585486744514</v>
      </c>
      <c r="M52" s="641">
        <v>0</v>
      </c>
      <c r="N52" s="641">
        <v>0</v>
      </c>
      <c r="O52" s="641">
        <v>0</v>
      </c>
      <c r="P52" s="642">
        <v>0</v>
      </c>
      <c r="Q52" s="641">
        <v>0</v>
      </c>
      <c r="R52" s="641">
        <v>0</v>
      </c>
      <c r="S52" s="643">
        <v>-91.918205477225541</v>
      </c>
      <c r="U52" s="639" t="s">
        <v>63</v>
      </c>
      <c r="V52" s="640">
        <v>0</v>
      </c>
      <c r="W52" s="641">
        <v>0</v>
      </c>
      <c r="X52" s="641">
        <v>-53.656928796434556</v>
      </c>
      <c r="Y52" s="640">
        <v>0</v>
      </c>
      <c r="Z52" s="641">
        <v>0</v>
      </c>
      <c r="AA52" s="641">
        <v>0</v>
      </c>
      <c r="AB52" s="641">
        <v>0</v>
      </c>
      <c r="AC52" s="641">
        <v>0</v>
      </c>
      <c r="AD52" s="641">
        <v>-28.297456853591466</v>
      </c>
      <c r="AE52" s="641">
        <v>0</v>
      </c>
      <c r="AF52" s="641">
        <v>0</v>
      </c>
      <c r="AG52" s="641">
        <v>0</v>
      </c>
      <c r="AH52" s="642">
        <v>0</v>
      </c>
      <c r="AI52" s="641">
        <v>0</v>
      </c>
      <c r="AJ52" s="641">
        <v>0</v>
      </c>
      <c r="AK52" s="643">
        <v>-81.954385650026026</v>
      </c>
    </row>
    <row r="53" spans="3:37" x14ac:dyDescent="0.2">
      <c r="C53" s="639" t="s">
        <v>64</v>
      </c>
      <c r="D53" s="640">
        <v>0</v>
      </c>
      <c r="E53" s="641">
        <v>0</v>
      </c>
      <c r="F53" s="641">
        <v>0</v>
      </c>
      <c r="G53" s="640">
        <v>0</v>
      </c>
      <c r="H53" s="641">
        <v>0</v>
      </c>
      <c r="I53" s="641">
        <v>0</v>
      </c>
      <c r="J53" s="641">
        <v>0</v>
      </c>
      <c r="K53" s="641">
        <v>0</v>
      </c>
      <c r="L53" s="641">
        <v>0</v>
      </c>
      <c r="M53" s="641">
        <v>0</v>
      </c>
      <c r="N53" s="641">
        <v>0</v>
      </c>
      <c r="O53" s="641">
        <v>0</v>
      </c>
      <c r="P53" s="642">
        <v>0</v>
      </c>
      <c r="Q53" s="641">
        <v>0</v>
      </c>
      <c r="R53" s="641">
        <v>0</v>
      </c>
      <c r="S53" s="643">
        <v>0</v>
      </c>
      <c r="U53" s="639" t="s">
        <v>64</v>
      </c>
      <c r="V53" s="640">
        <v>0</v>
      </c>
      <c r="W53" s="641">
        <v>0</v>
      </c>
      <c r="X53" s="641">
        <v>0</v>
      </c>
      <c r="Y53" s="640">
        <v>0</v>
      </c>
      <c r="Z53" s="641">
        <v>0</v>
      </c>
      <c r="AA53" s="641">
        <v>0</v>
      </c>
      <c r="AB53" s="641">
        <v>0</v>
      </c>
      <c r="AC53" s="641">
        <v>0</v>
      </c>
      <c r="AD53" s="641">
        <v>0</v>
      </c>
      <c r="AE53" s="641">
        <v>0</v>
      </c>
      <c r="AF53" s="641">
        <v>0</v>
      </c>
      <c r="AG53" s="641">
        <v>0</v>
      </c>
      <c r="AH53" s="642">
        <v>0</v>
      </c>
      <c r="AI53" s="641">
        <v>0</v>
      </c>
      <c r="AJ53" s="641">
        <v>0</v>
      </c>
      <c r="AK53" s="643">
        <v>0</v>
      </c>
    </row>
    <row r="54" spans="3:37" x14ac:dyDescent="0.2">
      <c r="C54" s="644" t="s">
        <v>65</v>
      </c>
      <c r="D54" s="645">
        <v>47.14481987923083</v>
      </c>
      <c r="E54" s="645">
        <v>484.495467583368</v>
      </c>
      <c r="F54" s="645">
        <v>-56.220187417528237</v>
      </c>
      <c r="G54" s="645">
        <v>326.09010493911637</v>
      </c>
      <c r="H54" s="645">
        <v>843.18181818181824</v>
      </c>
      <c r="I54" s="645">
        <v>306.94588327561422</v>
      </c>
      <c r="J54" s="645">
        <v>192.99804263930849</v>
      </c>
      <c r="K54" s="645">
        <v>20.316638839186872</v>
      </c>
      <c r="L54" s="645">
        <v>2.4080208981052738</v>
      </c>
      <c r="M54" s="645">
        <v>0.15964026893196048</v>
      </c>
      <c r="N54" s="645">
        <v>67.964408038916218</v>
      </c>
      <c r="O54" s="645">
        <v>11.973026235836867</v>
      </c>
      <c r="P54" s="645">
        <v>-16.706363002811486</v>
      </c>
      <c r="Q54" s="645">
        <v>0</v>
      </c>
      <c r="R54" s="645">
        <v>0</v>
      </c>
      <c r="S54" s="645">
        <v>2230.7513203590943</v>
      </c>
      <c r="U54" s="644" t="s">
        <v>65</v>
      </c>
      <c r="V54" s="645">
        <v>5.8768320762591904</v>
      </c>
      <c r="W54" s="645">
        <v>189.94114801549574</v>
      </c>
      <c r="X54" s="645">
        <v>-65.137888601933454</v>
      </c>
      <c r="Y54" s="645">
        <v>79.543404035713095</v>
      </c>
      <c r="Z54" s="645">
        <v>842.12121212121212</v>
      </c>
      <c r="AA54" s="645">
        <v>361.66588327561419</v>
      </c>
      <c r="AB54" s="645">
        <v>214.82640666394374</v>
      </c>
      <c r="AC54" s="645">
        <v>36.742499370225779</v>
      </c>
      <c r="AD54" s="645">
        <v>-24.953820100618749</v>
      </c>
      <c r="AE54" s="645">
        <v>-2.0254873896382719</v>
      </c>
      <c r="AF54" s="645">
        <v>109.8518848230913</v>
      </c>
      <c r="AG54" s="645">
        <v>27.041217028647232</v>
      </c>
      <c r="AH54" s="645">
        <v>-20.522831714543145</v>
      </c>
      <c r="AI54" s="645">
        <v>0</v>
      </c>
      <c r="AJ54" s="645">
        <v>0</v>
      </c>
      <c r="AK54" s="645">
        <v>1754.970459603469</v>
      </c>
    </row>
    <row r="55" spans="3:37" x14ac:dyDescent="0.2">
      <c r="C55" s="634"/>
      <c r="D55" s="634">
        <v>0</v>
      </c>
      <c r="E55" s="634">
        <v>0</v>
      </c>
      <c r="F55" s="634">
        <v>0</v>
      </c>
      <c r="G55" s="634">
        <v>0</v>
      </c>
      <c r="H55" s="634">
        <v>0</v>
      </c>
      <c r="I55" s="634">
        <v>0</v>
      </c>
      <c r="J55" s="634">
        <v>0</v>
      </c>
      <c r="K55" s="634">
        <v>0</v>
      </c>
      <c r="L55" s="634">
        <v>0</v>
      </c>
      <c r="M55" s="634">
        <v>0</v>
      </c>
      <c r="N55" s="634">
        <v>0</v>
      </c>
      <c r="O55" s="634">
        <v>0</v>
      </c>
      <c r="P55" s="634">
        <v>0</v>
      </c>
      <c r="Q55" s="634">
        <v>0</v>
      </c>
      <c r="R55" s="634">
        <v>0</v>
      </c>
      <c r="S55" s="634">
        <v>0</v>
      </c>
      <c r="U55" s="634"/>
      <c r="V55" s="634">
        <v>0</v>
      </c>
      <c r="W55" s="634">
        <v>0</v>
      </c>
      <c r="X55" s="634">
        <v>0</v>
      </c>
      <c r="Y55" s="634">
        <v>0</v>
      </c>
      <c r="Z55" s="634">
        <v>0</v>
      </c>
      <c r="AA55" s="634">
        <v>0</v>
      </c>
      <c r="AB55" s="634">
        <v>0</v>
      </c>
      <c r="AC55" s="634">
        <v>0</v>
      </c>
      <c r="AD55" s="634">
        <v>0</v>
      </c>
      <c r="AE55" s="634">
        <v>0</v>
      </c>
      <c r="AF55" s="634">
        <v>0</v>
      </c>
      <c r="AG55" s="634">
        <v>0</v>
      </c>
      <c r="AH55" s="634">
        <v>0</v>
      </c>
      <c r="AI55" s="634">
        <v>0</v>
      </c>
      <c r="AJ55" s="634">
        <v>0</v>
      </c>
      <c r="AK55" s="634">
        <v>0</v>
      </c>
    </row>
    <row r="56" spans="3:37" x14ac:dyDescent="0.2">
      <c r="C56" s="646" t="s">
        <v>67</v>
      </c>
      <c r="D56" s="640">
        <v>0</v>
      </c>
      <c r="E56" s="647">
        <v>0</v>
      </c>
      <c r="F56" s="647">
        <v>0</v>
      </c>
      <c r="G56" s="640">
        <v>0</v>
      </c>
      <c r="H56" s="640">
        <v>0</v>
      </c>
      <c r="I56" s="640">
        <v>0</v>
      </c>
      <c r="J56" s="640">
        <v>0</v>
      </c>
      <c r="K56" s="640">
        <v>0</v>
      </c>
      <c r="L56" s="640">
        <v>0</v>
      </c>
      <c r="M56" s="640">
        <v>0</v>
      </c>
      <c r="N56" s="640">
        <v>0</v>
      </c>
      <c r="O56" s="640">
        <v>0</v>
      </c>
      <c r="P56" s="640">
        <v>0</v>
      </c>
      <c r="Q56" s="640">
        <v>0</v>
      </c>
      <c r="R56" s="640">
        <v>0</v>
      </c>
      <c r="S56" s="648">
        <v>0</v>
      </c>
      <c r="U56" s="646" t="s">
        <v>67</v>
      </c>
      <c r="V56" s="640">
        <v>0</v>
      </c>
      <c r="W56" s="647">
        <v>0</v>
      </c>
      <c r="X56" s="647">
        <v>0</v>
      </c>
      <c r="Y56" s="640">
        <v>0</v>
      </c>
      <c r="Z56" s="640">
        <v>0</v>
      </c>
      <c r="AA56" s="640">
        <v>0</v>
      </c>
      <c r="AB56" s="640">
        <v>0</v>
      </c>
      <c r="AC56" s="640">
        <v>0</v>
      </c>
      <c r="AD56" s="640">
        <v>0</v>
      </c>
      <c r="AE56" s="640">
        <v>0</v>
      </c>
      <c r="AF56" s="640">
        <v>0</v>
      </c>
      <c r="AG56" s="640">
        <v>0</v>
      </c>
      <c r="AH56" s="640">
        <v>0</v>
      </c>
      <c r="AI56" s="640">
        <v>0</v>
      </c>
      <c r="AJ56" s="640">
        <v>0</v>
      </c>
      <c r="AK56" s="648">
        <v>0</v>
      </c>
    </row>
    <row r="57" spans="3:37" x14ac:dyDescent="0.2">
      <c r="C57" s="646" t="s">
        <v>347</v>
      </c>
      <c r="D57" s="640">
        <v>2.8267856410252494</v>
      </c>
      <c r="E57" s="640">
        <v>0</v>
      </c>
      <c r="F57" s="640">
        <v>7.9230776783294274</v>
      </c>
      <c r="G57" s="640">
        <v>16.680851063829788</v>
      </c>
      <c r="H57" s="640">
        <v>843.18181818181824</v>
      </c>
      <c r="I57" s="640">
        <v>306.94588327561422</v>
      </c>
      <c r="J57" s="649">
        <v>28.98717588629853</v>
      </c>
      <c r="K57" s="649">
        <v>6.5903281241207718</v>
      </c>
      <c r="L57" s="649">
        <v>3.3436367529727189</v>
      </c>
      <c r="M57" s="649">
        <v>0.46654149749263618</v>
      </c>
      <c r="N57" s="649">
        <v>0</v>
      </c>
      <c r="O57" s="649">
        <v>7.0184114557160298</v>
      </c>
      <c r="P57" s="640">
        <v>-616.92993037811448</v>
      </c>
      <c r="Q57" s="640">
        <v>0</v>
      </c>
      <c r="R57" s="640">
        <v>0</v>
      </c>
      <c r="S57" s="648">
        <v>607.03457917910316</v>
      </c>
      <c r="U57" s="646" t="s">
        <v>347</v>
      </c>
      <c r="V57" s="640">
        <v>0.62631490545869017</v>
      </c>
      <c r="W57" s="640">
        <v>0</v>
      </c>
      <c r="X57" s="640">
        <v>4.0594413146930641</v>
      </c>
      <c r="Y57" s="640">
        <v>2.3404255319148937</v>
      </c>
      <c r="Z57" s="640">
        <v>842.12121212121212</v>
      </c>
      <c r="AA57" s="640">
        <v>361.66588327561419</v>
      </c>
      <c r="AB57" s="649">
        <v>23.182357378111952</v>
      </c>
      <c r="AC57" s="649">
        <v>5.3775678130216455</v>
      </c>
      <c r="AD57" s="649">
        <v>3.3436367529727189</v>
      </c>
      <c r="AE57" s="649">
        <v>2.4665414974926363</v>
      </c>
      <c r="AF57" s="649">
        <v>0</v>
      </c>
      <c r="AG57" s="649">
        <v>7.0184114557160298</v>
      </c>
      <c r="AH57" s="640">
        <v>-662.7499303781143</v>
      </c>
      <c r="AI57" s="640">
        <v>0</v>
      </c>
      <c r="AJ57" s="640">
        <v>4.25</v>
      </c>
      <c r="AK57" s="648">
        <v>593.70186166809344</v>
      </c>
    </row>
    <row r="58" spans="3:37" x14ac:dyDescent="0.2">
      <c r="C58" s="646" t="s">
        <v>348</v>
      </c>
      <c r="D58" s="640">
        <v>0</v>
      </c>
      <c r="E58" s="640">
        <v>0</v>
      </c>
      <c r="F58" s="640">
        <v>0</v>
      </c>
      <c r="G58" s="640">
        <v>14.843815057329421</v>
      </c>
      <c r="H58" s="640">
        <v>0</v>
      </c>
      <c r="I58" s="640">
        <v>0</v>
      </c>
      <c r="J58" s="649">
        <v>12.357161229114668</v>
      </c>
      <c r="K58" s="649">
        <v>11.882304060636951</v>
      </c>
      <c r="L58" s="649">
        <v>0</v>
      </c>
      <c r="M58" s="649">
        <v>0.31804644322561132</v>
      </c>
      <c r="N58" s="649">
        <v>0</v>
      </c>
      <c r="O58" s="649">
        <v>2.0992086164963606</v>
      </c>
      <c r="P58" s="640">
        <v>0</v>
      </c>
      <c r="Q58" s="640">
        <v>-37.805081951347923</v>
      </c>
      <c r="R58" s="640">
        <v>0</v>
      </c>
      <c r="S58" s="648">
        <v>3.6954534554550835</v>
      </c>
      <c r="U58" s="646" t="s">
        <v>348</v>
      </c>
      <c r="V58" s="640">
        <v>0</v>
      </c>
      <c r="W58" s="640">
        <v>0</v>
      </c>
      <c r="X58" s="640">
        <v>0</v>
      </c>
      <c r="Y58" s="640">
        <v>6.4668066457611202</v>
      </c>
      <c r="Z58" s="640">
        <v>0</v>
      </c>
      <c r="AA58" s="640">
        <v>0</v>
      </c>
      <c r="AB58" s="649">
        <v>28.361573193229066</v>
      </c>
      <c r="AC58" s="649">
        <v>26.076316433417247</v>
      </c>
      <c r="AD58" s="649">
        <v>0</v>
      </c>
      <c r="AE58" s="649">
        <v>6.4819180878167435</v>
      </c>
      <c r="AF58" s="649">
        <v>0</v>
      </c>
      <c r="AG58" s="649">
        <v>12.550380584079129</v>
      </c>
      <c r="AH58" s="640">
        <v>0</v>
      </c>
      <c r="AI58" s="640">
        <v>-74.043519390541746</v>
      </c>
      <c r="AJ58" s="640">
        <v>0</v>
      </c>
      <c r="AK58" s="648">
        <v>5.8934755537615651</v>
      </c>
    </row>
    <row r="59" spans="3:37" x14ac:dyDescent="0.2">
      <c r="C59" s="646" t="s">
        <v>349</v>
      </c>
      <c r="D59" s="640">
        <v>0</v>
      </c>
      <c r="E59" s="640">
        <v>0</v>
      </c>
      <c r="F59" s="640">
        <v>0</v>
      </c>
      <c r="G59" s="640">
        <v>0</v>
      </c>
      <c r="H59" s="640">
        <v>0</v>
      </c>
      <c r="I59" s="640">
        <v>0</v>
      </c>
      <c r="J59" s="650">
        <v>6.8755991242523775</v>
      </c>
      <c r="K59" s="650">
        <v>0</v>
      </c>
      <c r="L59" s="650">
        <v>0</v>
      </c>
      <c r="M59" s="650">
        <v>-6.4200906822706569</v>
      </c>
      <c r="N59" s="650">
        <v>0</v>
      </c>
      <c r="O59" s="650">
        <v>0</v>
      </c>
      <c r="P59" s="640">
        <v>0</v>
      </c>
      <c r="Q59" s="640">
        <v>0</v>
      </c>
      <c r="R59" s="640">
        <v>0</v>
      </c>
      <c r="S59" s="648">
        <v>0.45550844198172058</v>
      </c>
      <c r="U59" s="646" t="s">
        <v>349</v>
      </c>
      <c r="V59" s="640">
        <v>0</v>
      </c>
      <c r="W59" s="640">
        <v>0</v>
      </c>
      <c r="X59" s="640">
        <v>0</v>
      </c>
      <c r="Y59" s="640">
        <v>0</v>
      </c>
      <c r="Z59" s="640">
        <v>0</v>
      </c>
      <c r="AA59" s="640">
        <v>0</v>
      </c>
      <c r="AB59" s="650">
        <v>86.654179241552072</v>
      </c>
      <c r="AC59" s="650">
        <v>0</v>
      </c>
      <c r="AD59" s="650">
        <v>0</v>
      </c>
      <c r="AE59" s="650">
        <v>-80.913339866799248</v>
      </c>
      <c r="AF59" s="650">
        <v>0</v>
      </c>
      <c r="AG59" s="650">
        <v>0</v>
      </c>
      <c r="AH59" s="640">
        <v>0</v>
      </c>
      <c r="AI59" s="640">
        <v>0</v>
      </c>
      <c r="AJ59" s="640">
        <v>0</v>
      </c>
      <c r="AK59" s="648">
        <v>5.7408393747528237</v>
      </c>
    </row>
    <row r="60" spans="3:37" x14ac:dyDescent="0.2">
      <c r="C60" s="646" t="s">
        <v>350</v>
      </c>
      <c r="D60" s="640">
        <v>0</v>
      </c>
      <c r="E60" s="640">
        <v>0</v>
      </c>
      <c r="F60" s="640">
        <v>0</v>
      </c>
      <c r="G60" s="640">
        <v>0</v>
      </c>
      <c r="H60" s="640">
        <v>0</v>
      </c>
      <c r="I60" s="640">
        <v>0</v>
      </c>
      <c r="J60" s="640">
        <v>0</v>
      </c>
      <c r="K60" s="640">
        <v>0</v>
      </c>
      <c r="L60" s="640">
        <v>0</v>
      </c>
      <c r="M60" s="640">
        <v>0</v>
      </c>
      <c r="N60" s="640">
        <v>0</v>
      </c>
      <c r="O60" s="640">
        <v>0</v>
      </c>
      <c r="P60" s="640">
        <v>0</v>
      </c>
      <c r="Q60" s="640">
        <v>0</v>
      </c>
      <c r="R60" s="640">
        <v>0</v>
      </c>
      <c r="S60" s="648">
        <v>0</v>
      </c>
      <c r="U60" s="646" t="s">
        <v>350</v>
      </c>
      <c r="V60" s="640">
        <v>0</v>
      </c>
      <c r="W60" s="640">
        <v>0</v>
      </c>
      <c r="X60" s="640">
        <v>0</v>
      </c>
      <c r="Y60" s="640">
        <v>0</v>
      </c>
      <c r="Z60" s="640">
        <v>0</v>
      </c>
      <c r="AA60" s="640">
        <v>0</v>
      </c>
      <c r="AB60" s="640">
        <v>0</v>
      </c>
      <c r="AC60" s="640">
        <v>0</v>
      </c>
      <c r="AD60" s="640">
        <v>0</v>
      </c>
      <c r="AE60" s="640">
        <v>0</v>
      </c>
      <c r="AF60" s="640">
        <v>0</v>
      </c>
      <c r="AG60" s="640">
        <v>0</v>
      </c>
      <c r="AH60" s="640">
        <v>0</v>
      </c>
      <c r="AI60" s="640">
        <v>0</v>
      </c>
      <c r="AJ60" s="640">
        <v>0</v>
      </c>
      <c r="AK60" s="648">
        <v>0</v>
      </c>
    </row>
    <row r="61" spans="3:37" x14ac:dyDescent="0.2">
      <c r="C61" s="646" t="s">
        <v>72</v>
      </c>
      <c r="D61" s="640">
        <v>0</v>
      </c>
      <c r="E61" s="640">
        <v>501.8858109321676</v>
      </c>
      <c r="F61" s="640">
        <v>-496.86695282284592</v>
      </c>
      <c r="G61" s="640">
        <v>0</v>
      </c>
      <c r="H61" s="640">
        <v>0</v>
      </c>
      <c r="I61" s="640">
        <v>0</v>
      </c>
      <c r="J61" s="640">
        <v>0</v>
      </c>
      <c r="K61" s="640">
        <v>0</v>
      </c>
      <c r="L61" s="640">
        <v>0</v>
      </c>
      <c r="M61" s="640">
        <v>0</v>
      </c>
      <c r="N61" s="640">
        <v>0</v>
      </c>
      <c r="O61" s="640">
        <v>0</v>
      </c>
      <c r="P61" s="640">
        <v>0</v>
      </c>
      <c r="Q61" s="640">
        <v>0</v>
      </c>
      <c r="R61" s="640">
        <v>0</v>
      </c>
      <c r="S61" s="648">
        <v>5.018858109321684</v>
      </c>
      <c r="U61" s="646" t="s">
        <v>72</v>
      </c>
      <c r="V61" s="640">
        <v>0</v>
      </c>
      <c r="W61" s="640">
        <v>196.75884188687598</v>
      </c>
      <c r="X61" s="640">
        <v>-194.79125346800723</v>
      </c>
      <c r="Y61" s="640">
        <v>0</v>
      </c>
      <c r="Z61" s="640">
        <v>0</v>
      </c>
      <c r="AA61" s="640">
        <v>0</v>
      </c>
      <c r="AB61" s="640">
        <v>0</v>
      </c>
      <c r="AC61" s="640">
        <v>0</v>
      </c>
      <c r="AD61" s="640">
        <v>0</v>
      </c>
      <c r="AE61" s="640">
        <v>0</v>
      </c>
      <c r="AF61" s="640">
        <v>0</v>
      </c>
      <c r="AG61" s="640">
        <v>0</v>
      </c>
      <c r="AH61" s="640">
        <v>0</v>
      </c>
      <c r="AI61" s="640">
        <v>0</v>
      </c>
      <c r="AJ61" s="640">
        <v>0</v>
      </c>
      <c r="AK61" s="648">
        <v>1.9675884188687576</v>
      </c>
    </row>
    <row r="62" spans="3:37" x14ac:dyDescent="0.2">
      <c r="C62" s="646" t="s">
        <v>351</v>
      </c>
      <c r="D62" s="640">
        <v>0</v>
      </c>
      <c r="E62" s="640">
        <v>0</v>
      </c>
      <c r="F62" s="640">
        <v>0</v>
      </c>
      <c r="G62" s="640">
        <v>0</v>
      </c>
      <c r="H62" s="640">
        <v>0</v>
      </c>
      <c r="I62" s="640">
        <v>0</v>
      </c>
      <c r="J62" s="640">
        <v>26.867608526350821</v>
      </c>
      <c r="K62" s="640">
        <v>0</v>
      </c>
      <c r="L62" s="640">
        <v>-26.867608526350821</v>
      </c>
      <c r="M62" s="640">
        <v>0</v>
      </c>
      <c r="N62" s="640">
        <v>0</v>
      </c>
      <c r="O62" s="640">
        <v>0</v>
      </c>
      <c r="P62" s="640">
        <v>0</v>
      </c>
      <c r="Q62" s="640">
        <v>0</v>
      </c>
      <c r="R62" s="640">
        <v>0</v>
      </c>
      <c r="S62" s="648">
        <v>0</v>
      </c>
      <c r="U62" s="646" t="s">
        <v>351</v>
      </c>
      <c r="V62" s="640">
        <v>0</v>
      </c>
      <c r="W62" s="640">
        <v>0</v>
      </c>
      <c r="X62" s="640">
        <v>0</v>
      </c>
      <c r="Y62" s="640">
        <v>0</v>
      </c>
      <c r="Z62" s="640">
        <v>0</v>
      </c>
      <c r="AA62" s="640">
        <v>0</v>
      </c>
      <c r="AB62" s="640" t="e">
        <v>#VALUE!</v>
      </c>
      <c r="AC62" s="640">
        <v>0</v>
      </c>
      <c r="AD62" s="640">
        <v>-99.513749603669936</v>
      </c>
      <c r="AE62" s="640">
        <v>0</v>
      </c>
      <c r="AF62" s="640">
        <v>0</v>
      </c>
      <c r="AG62" s="640">
        <v>0</v>
      </c>
      <c r="AH62" s="640">
        <v>0</v>
      </c>
      <c r="AI62" s="640">
        <v>0</v>
      </c>
      <c r="AJ62" s="640">
        <v>0</v>
      </c>
      <c r="AK62" s="648">
        <v>-99.513749603669936</v>
      </c>
    </row>
    <row r="63" spans="3:37" x14ac:dyDescent="0.2">
      <c r="C63" s="646" t="s">
        <v>352</v>
      </c>
      <c r="D63" s="640">
        <v>0</v>
      </c>
      <c r="E63" s="640">
        <v>0</v>
      </c>
      <c r="F63" s="640">
        <v>0</v>
      </c>
      <c r="G63" s="640">
        <v>0</v>
      </c>
      <c r="H63" s="640">
        <v>0</v>
      </c>
      <c r="I63" s="640">
        <v>0</v>
      </c>
      <c r="J63" s="640">
        <v>0</v>
      </c>
      <c r="K63" s="640">
        <v>0</v>
      </c>
      <c r="L63" s="640">
        <v>0</v>
      </c>
      <c r="M63" s="640">
        <v>0</v>
      </c>
      <c r="N63" s="640">
        <v>0</v>
      </c>
      <c r="O63" s="640">
        <v>0</v>
      </c>
      <c r="P63" s="640">
        <v>0</v>
      </c>
      <c r="Q63" s="640">
        <v>0</v>
      </c>
      <c r="R63" s="640">
        <v>0</v>
      </c>
      <c r="S63" s="648">
        <v>0</v>
      </c>
      <c r="U63" s="646" t="s">
        <v>352</v>
      </c>
      <c r="V63" s="640">
        <v>0</v>
      </c>
      <c r="W63" s="640">
        <v>0</v>
      </c>
      <c r="X63" s="640">
        <v>0</v>
      </c>
      <c r="Y63" s="640">
        <v>0</v>
      </c>
      <c r="Z63" s="640">
        <v>0</v>
      </c>
      <c r="AA63" s="640">
        <v>0</v>
      </c>
      <c r="AB63" s="640">
        <v>0</v>
      </c>
      <c r="AC63" s="640">
        <v>0</v>
      </c>
      <c r="AD63" s="640">
        <v>-17.985934640167208</v>
      </c>
      <c r="AE63" s="640">
        <v>0</v>
      </c>
      <c r="AF63" s="640">
        <v>0</v>
      </c>
      <c r="AG63" s="640">
        <v>0</v>
      </c>
      <c r="AH63" s="640">
        <v>0</v>
      </c>
      <c r="AI63" s="640">
        <v>0</v>
      </c>
      <c r="AJ63" s="640">
        <v>0</v>
      </c>
      <c r="AK63" s="648">
        <v>-17.985934640167208</v>
      </c>
    </row>
    <row r="64" spans="3:37" x14ac:dyDescent="0.2">
      <c r="C64" s="646" t="s">
        <v>73</v>
      </c>
      <c r="D64" s="640">
        <v>0</v>
      </c>
      <c r="E64" s="640">
        <v>0</v>
      </c>
      <c r="F64" s="640">
        <v>0</v>
      </c>
      <c r="G64" s="640">
        <v>7.0830222331165276</v>
      </c>
      <c r="H64" s="640">
        <v>0</v>
      </c>
      <c r="I64" s="640">
        <v>0</v>
      </c>
      <c r="J64" s="640">
        <v>0</v>
      </c>
      <c r="K64" s="640">
        <v>8.2131519400701847E-2</v>
      </c>
      <c r="L64" s="640">
        <v>0</v>
      </c>
      <c r="M64" s="640">
        <v>0.14455147414523528</v>
      </c>
      <c r="N64" s="640">
        <v>0</v>
      </c>
      <c r="O64" s="640">
        <v>0</v>
      </c>
      <c r="P64" s="640">
        <v>0.90023160054861806</v>
      </c>
      <c r="Q64" s="640">
        <v>0</v>
      </c>
      <c r="R64" s="640">
        <v>-5.7492063580491291</v>
      </c>
      <c r="S64" s="648">
        <v>2.4607304691619536</v>
      </c>
      <c r="U64" s="646" t="s">
        <v>73</v>
      </c>
      <c r="V64" s="640">
        <v>0</v>
      </c>
      <c r="W64" s="640">
        <v>0</v>
      </c>
      <c r="X64" s="640">
        <v>0</v>
      </c>
      <c r="Y64" s="640">
        <v>2.5209228009552263</v>
      </c>
      <c r="Z64" s="640">
        <v>0</v>
      </c>
      <c r="AA64" s="640">
        <v>0</v>
      </c>
      <c r="AB64" s="640">
        <v>0</v>
      </c>
      <c r="AC64" s="640">
        <v>0.50418456019104518</v>
      </c>
      <c r="AD64" s="640">
        <v>0</v>
      </c>
      <c r="AE64" s="640">
        <v>2.5209228009552263</v>
      </c>
      <c r="AF64" s="640">
        <v>0</v>
      </c>
      <c r="AG64" s="640">
        <v>0</v>
      </c>
      <c r="AH64" s="640">
        <v>44.712737508757456</v>
      </c>
      <c r="AI64" s="640">
        <v>0</v>
      </c>
      <c r="AJ64" s="640">
        <v>-35.29291921337316</v>
      </c>
      <c r="AK64" s="648">
        <v>14.965848457485791</v>
      </c>
    </row>
    <row r="65" spans="3:37" x14ac:dyDescent="0.2">
      <c r="C65" s="646" t="s">
        <v>353</v>
      </c>
      <c r="D65" s="640">
        <v>28.568314687499999</v>
      </c>
      <c r="E65" s="640">
        <v>-17.390343348799608</v>
      </c>
      <c r="F65" s="640">
        <v>22.745541936068136</v>
      </c>
      <c r="G65" s="640">
        <v>0</v>
      </c>
      <c r="H65" s="640">
        <v>0</v>
      </c>
      <c r="I65" s="640">
        <v>0</v>
      </c>
      <c r="J65" s="640">
        <v>0</v>
      </c>
      <c r="K65" s="640">
        <v>0</v>
      </c>
      <c r="L65" s="640">
        <v>0</v>
      </c>
      <c r="M65" s="640">
        <v>0</v>
      </c>
      <c r="N65" s="640">
        <v>0</v>
      </c>
      <c r="O65" s="640">
        <v>0</v>
      </c>
      <c r="P65" s="640">
        <v>0</v>
      </c>
      <c r="Q65" s="640">
        <v>0</v>
      </c>
      <c r="R65" s="640">
        <v>0</v>
      </c>
      <c r="S65" s="648">
        <v>33.923513274768524</v>
      </c>
      <c r="U65" s="646" t="s">
        <v>353</v>
      </c>
      <c r="V65" s="640">
        <v>1.4001075134277343</v>
      </c>
      <c r="W65" s="640">
        <v>-6.8176938713802535</v>
      </c>
      <c r="X65" s="640">
        <v>8.9171408952922331</v>
      </c>
      <c r="Y65" s="640">
        <v>0</v>
      </c>
      <c r="Z65" s="640">
        <v>0</v>
      </c>
      <c r="AA65" s="640">
        <v>0</v>
      </c>
      <c r="AB65" s="640">
        <v>0</v>
      </c>
      <c r="AC65" s="640">
        <v>0</v>
      </c>
      <c r="AD65" s="640">
        <v>0</v>
      </c>
      <c r="AE65" s="640">
        <v>0</v>
      </c>
      <c r="AF65" s="640">
        <v>0</v>
      </c>
      <c r="AG65" s="640">
        <v>0</v>
      </c>
      <c r="AH65" s="640">
        <v>0</v>
      </c>
      <c r="AI65" s="640">
        <v>0</v>
      </c>
      <c r="AJ65" s="640">
        <v>0</v>
      </c>
      <c r="AK65" s="648">
        <v>3.4995545373397139</v>
      </c>
    </row>
    <row r="66" spans="3:37" x14ac:dyDescent="0.2">
      <c r="C66" s="646" t="s">
        <v>75</v>
      </c>
      <c r="D66" s="640">
        <v>11.109900156250001</v>
      </c>
      <c r="E66" s="640">
        <v>0</v>
      </c>
      <c r="F66" s="640">
        <v>17.0641175716937</v>
      </c>
      <c r="G66" s="640">
        <v>4.8692961376638904</v>
      </c>
      <c r="H66" s="640">
        <v>0</v>
      </c>
      <c r="I66" s="640">
        <v>0</v>
      </c>
      <c r="J66" s="640">
        <v>0</v>
      </c>
      <c r="K66" s="640">
        <v>0</v>
      </c>
      <c r="L66" s="640">
        <v>0</v>
      </c>
      <c r="M66" s="640">
        <v>9.9373390564569189E-2</v>
      </c>
      <c r="N66" s="640">
        <v>0</v>
      </c>
      <c r="O66" s="640">
        <v>0</v>
      </c>
      <c r="P66" s="640">
        <v>27.977940148174714</v>
      </c>
      <c r="Q66" s="640">
        <v>0</v>
      </c>
      <c r="R66" s="640">
        <v>0</v>
      </c>
      <c r="S66" s="648">
        <v>61.12062740434687</v>
      </c>
      <c r="U66" s="646" t="s">
        <v>75</v>
      </c>
      <c r="V66" s="640">
        <v>2.585423095703125</v>
      </c>
      <c r="W66" s="640">
        <v>0</v>
      </c>
      <c r="X66" s="640">
        <v>17.0641175716937</v>
      </c>
      <c r="Y66" s="640">
        <v>2.4843347641142297</v>
      </c>
      <c r="Z66" s="640">
        <v>0</v>
      </c>
      <c r="AA66" s="640">
        <v>0</v>
      </c>
      <c r="AB66" s="640">
        <v>0</v>
      </c>
      <c r="AC66" s="640">
        <v>0</v>
      </c>
      <c r="AD66" s="640">
        <v>0</v>
      </c>
      <c r="AE66" s="640">
        <v>2.4843347641142297</v>
      </c>
      <c r="AF66" s="640">
        <v>0</v>
      </c>
      <c r="AG66" s="640">
        <v>0</v>
      </c>
      <c r="AH66" s="640">
        <v>36.559985602720168</v>
      </c>
      <c r="AI66" s="640">
        <v>0</v>
      </c>
      <c r="AJ66" s="640">
        <v>0</v>
      </c>
      <c r="AK66" s="648">
        <v>61.178195798345449</v>
      </c>
    </row>
    <row r="67" spans="3:37" x14ac:dyDescent="0.2">
      <c r="C67" s="646" t="s">
        <v>76</v>
      </c>
      <c r="D67" s="640">
        <v>0</v>
      </c>
      <c r="E67" s="640">
        <v>0</v>
      </c>
      <c r="F67" s="640">
        <v>0</v>
      </c>
      <c r="G67" s="640">
        <v>3.7302503173667452</v>
      </c>
      <c r="H67" s="640">
        <v>0</v>
      </c>
      <c r="I67" s="640">
        <v>0</v>
      </c>
      <c r="J67" s="640">
        <v>0</v>
      </c>
      <c r="K67" s="640">
        <v>0</v>
      </c>
      <c r="L67" s="640">
        <v>0</v>
      </c>
      <c r="M67" s="640">
        <v>7.6127557497280507E-2</v>
      </c>
      <c r="N67" s="640">
        <v>0</v>
      </c>
      <c r="O67" s="640">
        <v>0</v>
      </c>
      <c r="P67" s="640">
        <v>45.919010237367587</v>
      </c>
      <c r="Q67" s="640">
        <v>2.9343505562312622</v>
      </c>
      <c r="R67" s="640">
        <v>0</v>
      </c>
      <c r="S67" s="648">
        <v>52.659738668462872</v>
      </c>
      <c r="U67" s="646" t="s">
        <v>76</v>
      </c>
      <c r="V67" s="640">
        <v>0</v>
      </c>
      <c r="W67" s="640">
        <v>0</v>
      </c>
      <c r="X67" s="640">
        <v>0</v>
      </c>
      <c r="Y67" s="640">
        <v>0.95944671778813329</v>
      </c>
      <c r="Z67" s="640">
        <v>0</v>
      </c>
      <c r="AA67" s="640">
        <v>0</v>
      </c>
      <c r="AB67" s="640">
        <v>0</v>
      </c>
      <c r="AC67" s="640">
        <v>0</v>
      </c>
      <c r="AD67" s="640">
        <v>0</v>
      </c>
      <c r="AE67" s="640">
        <v>0.95944671778813329</v>
      </c>
      <c r="AF67" s="640">
        <v>0</v>
      </c>
      <c r="AG67" s="640">
        <v>0</v>
      </c>
      <c r="AH67" s="640">
        <v>49.138117436745475</v>
      </c>
      <c r="AI67" s="640">
        <v>5.7424951548403769</v>
      </c>
      <c r="AJ67" s="640">
        <v>0</v>
      </c>
      <c r="AK67" s="648">
        <v>56.799506027162117</v>
      </c>
    </row>
    <row r="68" spans="3:37" x14ac:dyDescent="0.2">
      <c r="C68" s="644" t="s">
        <v>77</v>
      </c>
      <c r="D68" s="645">
        <v>42.505000484775252</v>
      </c>
      <c r="E68" s="645">
        <v>484.495467583368</v>
      </c>
      <c r="F68" s="645">
        <v>-449.13421563675462</v>
      </c>
      <c r="G68" s="645">
        <v>47.207234809306371</v>
      </c>
      <c r="H68" s="645">
        <v>843.18181818181824</v>
      </c>
      <c r="I68" s="645">
        <v>306.94588327561422</v>
      </c>
      <c r="J68" s="645">
        <v>75.087544766016393</v>
      </c>
      <c r="K68" s="645">
        <v>18.554763704158422</v>
      </c>
      <c r="L68" s="645">
        <v>-23.523971773378101</v>
      </c>
      <c r="M68" s="645">
        <v>-5.3154503193453246</v>
      </c>
      <c r="N68" s="645">
        <v>0</v>
      </c>
      <c r="O68" s="645">
        <v>9.1176200722123912</v>
      </c>
      <c r="P68" s="645">
        <v>-542.13274839202359</v>
      </c>
      <c r="Q68" s="645">
        <v>-34.870731395116664</v>
      </c>
      <c r="R68" s="645">
        <v>-5.7492063580491291</v>
      </c>
      <c r="S68" s="645">
        <v>766.36900900260184</v>
      </c>
      <c r="U68" s="644" t="s">
        <v>77</v>
      </c>
      <c r="V68" s="645">
        <v>4.6118455145895494</v>
      </c>
      <c r="W68" s="645">
        <v>189.94114801549574</v>
      </c>
      <c r="X68" s="645">
        <v>-164.75055368632826</v>
      </c>
      <c r="Y68" s="645">
        <v>14.771936460533603</v>
      </c>
      <c r="Z68" s="645">
        <v>842.12121212121212</v>
      </c>
      <c r="AA68" s="645">
        <v>361.66588327561419</v>
      </c>
      <c r="AB68" s="645">
        <v>138.19810981289308</v>
      </c>
      <c r="AC68" s="645">
        <v>31.958068806629939</v>
      </c>
      <c r="AD68" s="645">
        <v>-114.15604749086444</v>
      </c>
      <c r="AE68" s="645">
        <v>-66.000175998632287</v>
      </c>
      <c r="AF68" s="645">
        <v>0</v>
      </c>
      <c r="AG68" s="645">
        <v>19.568792039795159</v>
      </c>
      <c r="AH68" s="645">
        <v>-532.33908982989124</v>
      </c>
      <c r="AI68" s="645">
        <v>-68.301024235701377</v>
      </c>
      <c r="AJ68" s="645">
        <v>-31.04291921337316</v>
      </c>
      <c r="AK68" s="645">
        <v>626.24718559197242</v>
      </c>
    </row>
    <row r="69" spans="3:37" x14ac:dyDescent="0.2">
      <c r="C69" s="634"/>
      <c r="D69" s="634">
        <v>0</v>
      </c>
      <c r="E69" s="634">
        <v>0</v>
      </c>
      <c r="F69" s="634">
        <v>0</v>
      </c>
      <c r="G69" s="634">
        <v>0</v>
      </c>
      <c r="H69" s="634">
        <v>0</v>
      </c>
      <c r="I69" s="634">
        <v>0</v>
      </c>
      <c r="J69" s="634">
        <v>0</v>
      </c>
      <c r="K69" s="634">
        <v>0</v>
      </c>
      <c r="L69" s="634">
        <v>0</v>
      </c>
      <c r="M69" s="634">
        <v>0</v>
      </c>
      <c r="N69" s="634">
        <v>0</v>
      </c>
      <c r="O69" s="634">
        <v>0</v>
      </c>
      <c r="P69" s="634">
        <v>0</v>
      </c>
      <c r="Q69" s="634">
        <v>0</v>
      </c>
      <c r="R69" s="634">
        <v>0</v>
      </c>
      <c r="S69" s="634">
        <v>0</v>
      </c>
      <c r="U69" s="634"/>
      <c r="V69" s="634">
        <v>0</v>
      </c>
      <c r="W69" s="634">
        <v>0</v>
      </c>
      <c r="X69" s="634">
        <v>0</v>
      </c>
      <c r="Y69" s="634">
        <v>0</v>
      </c>
      <c r="Z69" s="634">
        <v>0</v>
      </c>
      <c r="AA69" s="634">
        <v>0</v>
      </c>
      <c r="AB69" s="634">
        <v>0</v>
      </c>
      <c r="AC69" s="634">
        <v>0</v>
      </c>
      <c r="AD69" s="634">
        <v>0</v>
      </c>
      <c r="AE69" s="634">
        <v>0</v>
      </c>
      <c r="AF69" s="634">
        <v>0</v>
      </c>
      <c r="AG69" s="634">
        <v>0</v>
      </c>
      <c r="AH69" s="634">
        <v>0</v>
      </c>
      <c r="AI69" s="634">
        <v>0</v>
      </c>
      <c r="AJ69" s="634">
        <v>0</v>
      </c>
      <c r="AK69" s="634">
        <v>0</v>
      </c>
    </row>
    <row r="70" spans="3:37" x14ac:dyDescent="0.2">
      <c r="C70" s="646" t="s">
        <v>78</v>
      </c>
      <c r="D70" s="640">
        <v>4.6398193944555786</v>
      </c>
      <c r="E70" s="640">
        <v>0</v>
      </c>
      <c r="F70" s="640">
        <v>20.598782441852151</v>
      </c>
      <c r="G70" s="640">
        <v>94.839699954986926</v>
      </c>
      <c r="H70" s="640">
        <v>0</v>
      </c>
      <c r="I70" s="640">
        <v>0</v>
      </c>
      <c r="J70" s="640">
        <v>21.821162214793436</v>
      </c>
      <c r="K70" s="640">
        <v>1.7366010173968038</v>
      </c>
      <c r="L70" s="640">
        <v>0.96096945898437491</v>
      </c>
      <c r="M70" s="640">
        <v>1.9539169420126139</v>
      </c>
      <c r="N70" s="640">
        <v>0</v>
      </c>
      <c r="O70" s="640">
        <v>3.7537634069694789E-4</v>
      </c>
      <c r="P70" s="640">
        <v>113.419965125608</v>
      </c>
      <c r="Q70" s="640">
        <v>16.150451210263412</v>
      </c>
      <c r="R70" s="640">
        <v>0.26695886230468752</v>
      </c>
      <c r="S70" s="648">
        <v>276.38870199899873</v>
      </c>
      <c r="U70" s="646" t="s">
        <v>78</v>
      </c>
      <c r="V70" s="640">
        <v>1.264986561669641</v>
      </c>
      <c r="W70" s="640">
        <v>0</v>
      </c>
      <c r="X70" s="640">
        <v>4.4259635061357878</v>
      </c>
      <c r="Y70" s="640">
        <v>33.008089674756327</v>
      </c>
      <c r="Z70" s="640">
        <v>0</v>
      </c>
      <c r="AA70" s="640">
        <v>0</v>
      </c>
      <c r="AB70" s="640">
        <v>14.926911405045434</v>
      </c>
      <c r="AC70" s="640">
        <v>4.7591564459641997</v>
      </c>
      <c r="AD70" s="640">
        <v>6.4130046386718744</v>
      </c>
      <c r="AE70" s="640">
        <v>33.02650253605492</v>
      </c>
      <c r="AF70" s="640">
        <v>0</v>
      </c>
      <c r="AG70" s="640">
        <v>3.7537634069694789E-4</v>
      </c>
      <c r="AH70" s="640">
        <v>148.98135712801343</v>
      </c>
      <c r="AI70" s="640">
        <v>24.187634778338289</v>
      </c>
      <c r="AJ70" s="640">
        <v>7.9027373046875002</v>
      </c>
      <c r="AK70" s="648">
        <v>278.8967193556781</v>
      </c>
    </row>
    <row r="71" spans="3:37" x14ac:dyDescent="0.2">
      <c r="C71" s="646" t="s">
        <v>79</v>
      </c>
      <c r="D71" s="640">
        <v>0</v>
      </c>
      <c r="E71" s="640">
        <v>0</v>
      </c>
      <c r="F71" s="640">
        <v>225.72324837131151</v>
      </c>
      <c r="G71" s="640">
        <v>31.930807664827714</v>
      </c>
      <c r="H71" s="640">
        <v>0</v>
      </c>
      <c r="I71" s="640">
        <v>0</v>
      </c>
      <c r="J71" s="640">
        <v>0</v>
      </c>
      <c r="K71" s="640">
        <v>0</v>
      </c>
      <c r="L71" s="640">
        <v>21.777356740546686</v>
      </c>
      <c r="M71" s="640">
        <v>0.65164913601689212</v>
      </c>
      <c r="N71" s="640">
        <v>0</v>
      </c>
      <c r="O71" s="640">
        <v>0</v>
      </c>
      <c r="P71" s="640">
        <v>72.885841088882287</v>
      </c>
      <c r="Q71" s="640">
        <v>0</v>
      </c>
      <c r="R71" s="640">
        <v>2.6521266956987635</v>
      </c>
      <c r="S71" s="648">
        <v>355.62102969728386</v>
      </c>
      <c r="U71" s="646" t="s">
        <v>79</v>
      </c>
      <c r="V71" s="640">
        <v>0</v>
      </c>
      <c r="W71" s="640">
        <v>0</v>
      </c>
      <c r="X71" s="640">
        <v>19.003305935487372</v>
      </c>
      <c r="Y71" s="640">
        <v>13.267062862305856</v>
      </c>
      <c r="Z71" s="640">
        <v>0</v>
      </c>
      <c r="AA71" s="640">
        <v>0</v>
      </c>
      <c r="AB71" s="640">
        <v>0</v>
      </c>
      <c r="AC71" s="640">
        <v>0</v>
      </c>
      <c r="AD71" s="640">
        <v>27.757428454399612</v>
      </c>
      <c r="AE71" s="640">
        <v>13.267062862305856</v>
      </c>
      <c r="AF71" s="640">
        <v>0</v>
      </c>
      <c r="AG71" s="640">
        <v>0</v>
      </c>
      <c r="AH71" s="640">
        <v>94.556676700547257</v>
      </c>
      <c r="AI71" s="640">
        <v>0</v>
      </c>
      <c r="AJ71" s="640">
        <v>6.3130917169295051</v>
      </c>
      <c r="AK71" s="648">
        <v>174.16462853197544</v>
      </c>
    </row>
    <row r="72" spans="3:37" x14ac:dyDescent="0.2">
      <c r="C72" s="646" t="s">
        <v>80</v>
      </c>
      <c r="D72" s="640">
        <v>0</v>
      </c>
      <c r="E72" s="640">
        <v>0</v>
      </c>
      <c r="F72" s="640">
        <v>11.075929176351762</v>
      </c>
      <c r="G72" s="640">
        <v>76.664751333295058</v>
      </c>
      <c r="H72" s="640">
        <v>0</v>
      </c>
      <c r="I72" s="640">
        <v>0</v>
      </c>
      <c r="J72" s="640">
        <v>88.320247059496523</v>
      </c>
      <c r="K72" s="640">
        <v>0</v>
      </c>
      <c r="L72" s="640">
        <v>0</v>
      </c>
      <c r="M72" s="640">
        <v>1.5645867619039808</v>
      </c>
      <c r="N72" s="640">
        <v>59.616390446150973</v>
      </c>
      <c r="O72" s="640">
        <v>2.0734984243972754</v>
      </c>
      <c r="P72" s="640">
        <v>190.93239321884863</v>
      </c>
      <c r="Q72" s="640">
        <v>15.360003531773184</v>
      </c>
      <c r="R72" s="640">
        <v>0</v>
      </c>
      <c r="S72" s="648">
        <v>445.60779995221742</v>
      </c>
      <c r="U72" s="646" t="s">
        <v>80</v>
      </c>
      <c r="V72" s="640">
        <v>0</v>
      </c>
      <c r="W72" s="640">
        <v>0</v>
      </c>
      <c r="X72" s="640">
        <v>0.97925934500211753</v>
      </c>
      <c r="Y72" s="640">
        <v>9.8253088649292142</v>
      </c>
      <c r="Z72" s="640">
        <v>0</v>
      </c>
      <c r="AA72" s="640">
        <v>0</v>
      </c>
      <c r="AB72" s="640">
        <v>50.204880630535357</v>
      </c>
      <c r="AC72" s="640">
        <v>0</v>
      </c>
      <c r="AD72" s="640">
        <v>0</v>
      </c>
      <c r="AE72" s="640">
        <v>9.8253088649292142</v>
      </c>
      <c r="AF72" s="640">
        <v>95.02342184325245</v>
      </c>
      <c r="AG72" s="640">
        <v>4.208312775429496</v>
      </c>
      <c r="AH72" s="640">
        <v>144.38732956018927</v>
      </c>
      <c r="AI72" s="640">
        <v>30.75075127630511</v>
      </c>
      <c r="AJ72" s="640">
        <v>0</v>
      </c>
      <c r="AK72" s="648">
        <v>345.20457316057224</v>
      </c>
    </row>
    <row r="73" spans="3:37" x14ac:dyDescent="0.2">
      <c r="C73" s="646" t="s">
        <v>81</v>
      </c>
      <c r="D73" s="640">
        <v>0</v>
      </c>
      <c r="E73" s="640">
        <v>0</v>
      </c>
      <c r="F73" s="640">
        <v>2.6743117433405894</v>
      </c>
      <c r="G73" s="640">
        <v>62.987223173923248</v>
      </c>
      <c r="H73" s="640">
        <v>0</v>
      </c>
      <c r="I73" s="640">
        <v>0</v>
      </c>
      <c r="J73" s="640">
        <v>3.1384766478070549</v>
      </c>
      <c r="K73" s="640">
        <v>2.5274117631643136E-2</v>
      </c>
      <c r="L73" s="640">
        <v>0</v>
      </c>
      <c r="M73" s="640">
        <v>1.2854535341616988</v>
      </c>
      <c r="N73" s="640">
        <v>8.34801759276524</v>
      </c>
      <c r="O73" s="640">
        <v>0.71507622546549865</v>
      </c>
      <c r="P73" s="640">
        <v>142.0321146826426</v>
      </c>
      <c r="Q73" s="640">
        <v>3.3602766530800707</v>
      </c>
      <c r="R73" s="640">
        <v>0</v>
      </c>
      <c r="S73" s="648">
        <v>224.56622437081765</v>
      </c>
      <c r="U73" s="646" t="s">
        <v>81</v>
      </c>
      <c r="V73" s="640">
        <v>0</v>
      </c>
      <c r="W73" s="640">
        <v>0</v>
      </c>
      <c r="X73" s="640">
        <v>1.2256055704751125</v>
      </c>
      <c r="Y73" s="640">
        <v>7.2918833253665882</v>
      </c>
      <c r="Z73" s="640">
        <v>0</v>
      </c>
      <c r="AA73" s="640">
        <v>0</v>
      </c>
      <c r="AB73" s="640">
        <v>6.8658928642747856</v>
      </c>
      <c r="AC73" s="640">
        <v>2.5274117631643136E-2</v>
      </c>
      <c r="AD73" s="640">
        <v>0</v>
      </c>
      <c r="AE73" s="640">
        <v>7.2918833253665882</v>
      </c>
      <c r="AF73" s="640">
        <v>14.828462979838848</v>
      </c>
      <c r="AG73" s="640">
        <v>1.5197231438340593</v>
      </c>
      <c r="AH73" s="640">
        <v>114.40426288608282</v>
      </c>
      <c r="AI73" s="640">
        <v>13.362638181057982</v>
      </c>
      <c r="AJ73" s="640">
        <v>0</v>
      </c>
      <c r="AK73" s="648">
        <v>166.8156263939284</v>
      </c>
    </row>
    <row r="74" spans="3:37" x14ac:dyDescent="0.2">
      <c r="C74" s="646" t="s">
        <v>82</v>
      </c>
      <c r="D74" s="640">
        <v>0</v>
      </c>
      <c r="E74" s="640">
        <v>0</v>
      </c>
      <c r="F74" s="640">
        <v>27.931723909553636</v>
      </c>
      <c r="G74" s="640">
        <v>0.95472649492283324</v>
      </c>
      <c r="H74" s="640">
        <v>0</v>
      </c>
      <c r="I74" s="640">
        <v>0</v>
      </c>
      <c r="J74" s="640">
        <v>4.6306119511950978</v>
      </c>
      <c r="K74" s="640">
        <v>0</v>
      </c>
      <c r="L74" s="640">
        <v>3.1934862443619529</v>
      </c>
      <c r="M74" s="640">
        <v>1.9484214182098638E-2</v>
      </c>
      <c r="N74" s="640">
        <v>0</v>
      </c>
      <c r="O74" s="640">
        <v>6.6456137421005312E-2</v>
      </c>
      <c r="P74" s="640">
        <v>5.7660712732306445</v>
      </c>
      <c r="Q74" s="640">
        <v>0</v>
      </c>
      <c r="R74" s="640">
        <v>0</v>
      </c>
      <c r="S74" s="648">
        <v>42.562560224867276</v>
      </c>
      <c r="U74" s="646" t="s">
        <v>82</v>
      </c>
      <c r="V74" s="640">
        <v>0</v>
      </c>
      <c r="W74" s="640">
        <v>0</v>
      </c>
      <c r="X74" s="640">
        <v>3.5775053425595864</v>
      </c>
      <c r="Y74" s="640">
        <v>0.56393102033742082</v>
      </c>
      <c r="Z74" s="640">
        <v>0</v>
      </c>
      <c r="AA74" s="640">
        <v>0</v>
      </c>
      <c r="AB74" s="640">
        <v>4.6306119511950978</v>
      </c>
      <c r="AC74" s="640">
        <v>0</v>
      </c>
      <c r="AD74" s="640">
        <v>32.861113305842508</v>
      </c>
      <c r="AE74" s="640">
        <v>0.56393102033742082</v>
      </c>
      <c r="AF74" s="640">
        <v>0</v>
      </c>
      <c r="AG74" s="640">
        <v>1.7440136932478227</v>
      </c>
      <c r="AH74" s="640">
        <v>5.8866318405152116</v>
      </c>
      <c r="AI74" s="640">
        <v>0</v>
      </c>
      <c r="AJ74" s="640">
        <v>0.38427420359697795</v>
      </c>
      <c r="AK74" s="648">
        <v>50.21201237763205</v>
      </c>
    </row>
    <row r="75" spans="3:37" x14ac:dyDescent="0.2">
      <c r="C75" s="646" t="s">
        <v>354</v>
      </c>
      <c r="D75" s="640">
        <v>0</v>
      </c>
      <c r="E75" s="640">
        <v>0</v>
      </c>
      <c r="F75" s="640">
        <v>0</v>
      </c>
      <c r="G75" s="640">
        <v>0</v>
      </c>
      <c r="H75" s="640">
        <v>0</v>
      </c>
      <c r="I75" s="640">
        <v>0</v>
      </c>
      <c r="J75" s="640">
        <v>0</v>
      </c>
      <c r="K75" s="640">
        <v>0</v>
      </c>
      <c r="L75" s="640">
        <v>0</v>
      </c>
      <c r="M75" s="640">
        <v>0</v>
      </c>
      <c r="N75" s="640">
        <v>0</v>
      </c>
      <c r="O75" s="640">
        <v>0</v>
      </c>
      <c r="P75" s="640">
        <v>0.39</v>
      </c>
      <c r="Q75" s="640">
        <v>0</v>
      </c>
      <c r="R75" s="640">
        <v>0</v>
      </c>
      <c r="S75" s="648">
        <v>0.39</v>
      </c>
      <c r="U75" s="646" t="s">
        <v>354</v>
      </c>
      <c r="V75" s="640">
        <v>0</v>
      </c>
      <c r="W75" s="640">
        <v>0</v>
      </c>
      <c r="X75" s="640">
        <v>0</v>
      </c>
      <c r="Y75" s="640">
        <v>0</v>
      </c>
      <c r="Z75" s="640">
        <v>0</v>
      </c>
      <c r="AA75" s="640">
        <v>0</v>
      </c>
      <c r="AB75" s="640">
        <v>0</v>
      </c>
      <c r="AC75" s="640">
        <v>0</v>
      </c>
      <c r="AD75" s="640">
        <v>0</v>
      </c>
      <c r="AE75" s="640">
        <v>0</v>
      </c>
      <c r="AF75" s="640">
        <v>0</v>
      </c>
      <c r="AG75" s="640">
        <v>0</v>
      </c>
      <c r="AH75" s="640">
        <v>3.5999999999999996</v>
      </c>
      <c r="AI75" s="640">
        <v>0</v>
      </c>
      <c r="AJ75" s="640">
        <v>0</v>
      </c>
      <c r="AK75" s="648">
        <v>3.5999999999999996</v>
      </c>
    </row>
    <row r="76" spans="3:37" x14ac:dyDescent="0.2">
      <c r="C76" s="644" t="s">
        <v>83</v>
      </c>
      <c r="D76" s="645">
        <v>4.6398193944555786</v>
      </c>
      <c r="E76" s="645">
        <v>0</v>
      </c>
      <c r="F76" s="645">
        <v>288.00399564240968</v>
      </c>
      <c r="G76" s="645">
        <v>267.37720862195579</v>
      </c>
      <c r="H76" s="645">
        <v>0</v>
      </c>
      <c r="I76" s="645">
        <v>0</v>
      </c>
      <c r="J76" s="645">
        <v>117.91049787329212</v>
      </c>
      <c r="K76" s="645">
        <v>1.7618751350284469</v>
      </c>
      <c r="L76" s="645">
        <v>25.931812443893016</v>
      </c>
      <c r="M76" s="645">
        <v>5.4750905882772853</v>
      </c>
      <c r="N76" s="645">
        <v>67.964408038916218</v>
      </c>
      <c r="O76" s="645">
        <v>2.8554061636244761</v>
      </c>
      <c r="P76" s="645">
        <v>525.4263853892121</v>
      </c>
      <c r="Q76" s="645">
        <v>34.870731395116664</v>
      </c>
      <c r="R76" s="645">
        <v>2.9190855580034509</v>
      </c>
      <c r="S76" s="645">
        <v>1345.1363162441851</v>
      </c>
      <c r="U76" s="644" t="s">
        <v>83</v>
      </c>
      <c r="V76" s="645">
        <v>1.264986561669641</v>
      </c>
      <c r="W76" s="645">
        <v>0</v>
      </c>
      <c r="X76" s="645">
        <v>29.211639699659976</v>
      </c>
      <c r="Y76" s="645">
        <v>63.956275747695408</v>
      </c>
      <c r="Z76" s="645">
        <v>0</v>
      </c>
      <c r="AA76" s="645">
        <v>0</v>
      </c>
      <c r="AB76" s="645">
        <v>76.628296851050663</v>
      </c>
      <c r="AC76" s="645">
        <v>4.7844305635958433</v>
      </c>
      <c r="AD76" s="645">
        <v>67.031546398914003</v>
      </c>
      <c r="AE76" s="645">
        <v>63.974688608994001</v>
      </c>
      <c r="AF76" s="645">
        <v>109.8518848230913</v>
      </c>
      <c r="AG76" s="645">
        <v>7.4724249888520751</v>
      </c>
      <c r="AH76" s="645">
        <v>511.81625811534803</v>
      </c>
      <c r="AI76" s="645">
        <v>68.301024235701377</v>
      </c>
      <c r="AJ76" s="645">
        <v>14.600103225213982</v>
      </c>
      <c r="AK76" s="645">
        <v>1018.8935598197862</v>
      </c>
    </row>
    <row r="77" spans="3:37" x14ac:dyDescent="0.2">
      <c r="C77" s="639" t="s">
        <v>84</v>
      </c>
      <c r="D77" s="640">
        <v>0</v>
      </c>
      <c r="E77" s="640">
        <v>0</v>
      </c>
      <c r="F77" s="640">
        <v>104.91003257681685</v>
      </c>
      <c r="G77" s="640">
        <v>11.505661507854215</v>
      </c>
      <c r="H77" s="640">
        <v>0</v>
      </c>
      <c r="I77" s="640">
        <v>0</v>
      </c>
      <c r="J77" s="640">
        <v>0</v>
      </c>
      <c r="K77" s="640">
        <v>0</v>
      </c>
      <c r="L77" s="640">
        <v>0</v>
      </c>
      <c r="M77" s="640">
        <v>0</v>
      </c>
      <c r="N77" s="640">
        <v>0</v>
      </c>
      <c r="O77" s="640">
        <v>0</v>
      </c>
      <c r="P77" s="640">
        <v>0</v>
      </c>
      <c r="Q77" s="640">
        <v>0</v>
      </c>
      <c r="R77" s="640">
        <v>2.8301208000456781</v>
      </c>
      <c r="S77" s="648">
        <v>119.24581488471674</v>
      </c>
      <c r="U77" s="639" t="s">
        <v>84</v>
      </c>
      <c r="V77" s="640">
        <v>0</v>
      </c>
      <c r="W77" s="640">
        <v>0</v>
      </c>
      <c r="X77" s="640">
        <v>70.401025384734808</v>
      </c>
      <c r="Y77" s="640">
        <v>0.81519182748409058</v>
      </c>
      <c r="Z77" s="640">
        <v>0</v>
      </c>
      <c r="AA77" s="640">
        <v>0</v>
      </c>
      <c r="AB77" s="640">
        <v>0</v>
      </c>
      <c r="AC77" s="640">
        <v>0</v>
      </c>
      <c r="AD77" s="640">
        <v>24.563190847778323</v>
      </c>
      <c r="AE77" s="640">
        <v>0</v>
      </c>
      <c r="AF77" s="640">
        <v>0</v>
      </c>
      <c r="AG77" s="640">
        <v>0</v>
      </c>
      <c r="AH77" s="640">
        <v>0</v>
      </c>
      <c r="AI77" s="640">
        <v>0</v>
      </c>
      <c r="AJ77" s="640">
        <v>16.442815988159179</v>
      </c>
      <c r="AK77" s="648">
        <v>112.22222404815641</v>
      </c>
    </row>
    <row r="78" spans="3:37" x14ac:dyDescent="0.2">
      <c r="C78" s="644" t="s">
        <v>85</v>
      </c>
      <c r="D78" s="645">
        <v>4.6398193944555786</v>
      </c>
      <c r="E78" s="645">
        <v>0</v>
      </c>
      <c r="F78" s="645">
        <v>392.91402821922651</v>
      </c>
      <c r="G78" s="645">
        <v>278.88287012980999</v>
      </c>
      <c r="H78" s="645">
        <v>0</v>
      </c>
      <c r="I78" s="645">
        <v>0</v>
      </c>
      <c r="J78" s="645">
        <v>117.91049787329212</v>
      </c>
      <c r="K78" s="645">
        <v>1.7618751350284469</v>
      </c>
      <c r="L78" s="645">
        <v>25.931812443893016</v>
      </c>
      <c r="M78" s="645">
        <v>5.4750905882772853</v>
      </c>
      <c r="N78" s="645">
        <v>67.964408038916218</v>
      </c>
      <c r="O78" s="645">
        <v>2.8554061636244761</v>
      </c>
      <c r="P78" s="645">
        <v>525.4263853892121</v>
      </c>
      <c r="Q78" s="645">
        <v>34.870731395116664</v>
      </c>
      <c r="R78" s="645">
        <v>5.7492063580491291</v>
      </c>
      <c r="S78" s="645">
        <v>1464.3821311289018</v>
      </c>
      <c r="U78" s="644" t="s">
        <v>85</v>
      </c>
      <c r="V78" s="645">
        <v>1.264986561669641</v>
      </c>
      <c r="W78" s="645">
        <v>0</v>
      </c>
      <c r="X78" s="645">
        <v>99.612665084394791</v>
      </c>
      <c r="Y78" s="645">
        <v>64.7714675751795</v>
      </c>
      <c r="Z78" s="645">
        <v>0</v>
      </c>
      <c r="AA78" s="645">
        <v>0</v>
      </c>
      <c r="AB78" s="645">
        <v>76.628296851050663</v>
      </c>
      <c r="AC78" s="645">
        <v>4.7844305635958433</v>
      </c>
      <c r="AD78" s="645">
        <v>91.594737246692318</v>
      </c>
      <c r="AE78" s="645">
        <v>63.974688608994001</v>
      </c>
      <c r="AF78" s="645">
        <v>109.8518848230913</v>
      </c>
      <c r="AG78" s="645">
        <v>7.4724249888520751</v>
      </c>
      <c r="AH78" s="645">
        <v>511.81625811534803</v>
      </c>
      <c r="AI78" s="645">
        <v>68.301024235701377</v>
      </c>
      <c r="AJ78" s="645">
        <v>31.04291921337316</v>
      </c>
      <c r="AK78" s="645">
        <v>1131.1157838679426</v>
      </c>
    </row>
    <row r="79" spans="3:37" x14ac:dyDescent="0.2">
      <c r="C79" s="634"/>
      <c r="D79" s="634"/>
      <c r="E79" s="634"/>
      <c r="F79" s="634"/>
      <c r="G79" s="634"/>
      <c r="H79" s="634"/>
      <c r="I79" s="634"/>
      <c r="J79" s="634"/>
      <c r="K79" s="634"/>
      <c r="L79" s="634"/>
      <c r="M79" s="634"/>
      <c r="N79" s="634"/>
      <c r="O79" s="634"/>
      <c r="P79" s="634"/>
      <c r="Q79" s="634"/>
      <c r="R79" s="634"/>
      <c r="S79" s="634"/>
      <c r="U79" s="634"/>
      <c r="V79" s="634"/>
      <c r="W79" s="634"/>
      <c r="X79" s="634"/>
      <c r="Y79" s="634"/>
      <c r="Z79" s="634"/>
      <c r="AA79" s="634"/>
      <c r="AB79" s="634"/>
      <c r="AC79" s="634"/>
      <c r="AD79" s="634"/>
      <c r="AE79" s="634"/>
      <c r="AF79" s="634"/>
      <c r="AG79" s="634"/>
      <c r="AH79" s="634"/>
      <c r="AI79" s="634"/>
      <c r="AJ79" s="634"/>
      <c r="AK79" s="634"/>
    </row>
    <row r="80" spans="3:37" ht="22.5" x14ac:dyDescent="0.3">
      <c r="C80" s="759" t="s">
        <v>89</v>
      </c>
      <c r="D80" s="759"/>
      <c r="E80" s="759"/>
      <c r="F80" s="759"/>
      <c r="G80" s="759"/>
      <c r="H80" s="759"/>
      <c r="I80" s="759"/>
      <c r="J80" s="759"/>
      <c r="K80" s="759"/>
      <c r="L80" s="759"/>
      <c r="M80" s="759"/>
      <c r="N80" s="759"/>
      <c r="O80" s="759"/>
      <c r="P80" s="759"/>
      <c r="Q80" s="759"/>
      <c r="R80" s="759"/>
      <c r="S80" s="759"/>
      <c r="U80" s="759" t="s">
        <v>89</v>
      </c>
      <c r="V80" s="759"/>
      <c r="W80" s="759"/>
      <c r="X80" s="759"/>
      <c r="Y80" s="759"/>
      <c r="Z80" s="759"/>
      <c r="AA80" s="759"/>
      <c r="AB80" s="759"/>
      <c r="AC80" s="759"/>
      <c r="AD80" s="759"/>
      <c r="AE80" s="759"/>
      <c r="AF80" s="759"/>
      <c r="AG80" s="759"/>
      <c r="AH80" s="759"/>
      <c r="AI80" s="759"/>
      <c r="AJ80" s="759"/>
      <c r="AK80" s="759"/>
    </row>
    <row r="81" spans="3:37" x14ac:dyDescent="0.2">
      <c r="C81" s="634"/>
      <c r="D81" s="634"/>
      <c r="E81" s="634"/>
      <c r="F81" s="634"/>
      <c r="G81" s="634"/>
      <c r="H81" s="634"/>
      <c r="I81" s="634"/>
      <c r="J81" s="634"/>
      <c r="K81" s="634"/>
      <c r="L81" s="634"/>
      <c r="M81" s="634"/>
      <c r="N81" s="634"/>
      <c r="O81" s="634"/>
      <c r="P81" s="634"/>
      <c r="Q81" s="634"/>
      <c r="R81" s="634"/>
      <c r="S81" s="634"/>
      <c r="U81" s="634"/>
      <c r="V81" s="634"/>
      <c r="W81" s="634"/>
      <c r="X81" s="634"/>
      <c r="Y81" s="634"/>
      <c r="Z81" s="634"/>
      <c r="AA81" s="634"/>
      <c r="AB81" s="634"/>
      <c r="AC81" s="634"/>
      <c r="AD81" s="634"/>
      <c r="AE81" s="634"/>
      <c r="AF81" s="634"/>
      <c r="AG81" s="634"/>
      <c r="AH81" s="634"/>
      <c r="AI81" s="634"/>
      <c r="AJ81" s="634"/>
      <c r="AK81" s="634"/>
    </row>
    <row r="82" spans="3:37" ht="12.95" customHeight="1" x14ac:dyDescent="0.2">
      <c r="C82" s="758" t="s">
        <v>128</v>
      </c>
      <c r="D82" s="757" t="s">
        <v>42</v>
      </c>
      <c r="E82" s="757" t="s">
        <v>52</v>
      </c>
      <c r="F82" s="757" t="s">
        <v>53</v>
      </c>
      <c r="G82" s="757" t="s">
        <v>32</v>
      </c>
      <c r="H82" s="757" t="s">
        <v>20</v>
      </c>
      <c r="I82" s="757" t="s">
        <v>55</v>
      </c>
      <c r="J82" s="757" t="s">
        <v>56</v>
      </c>
      <c r="K82" s="757"/>
      <c r="L82" s="757"/>
      <c r="M82" s="757"/>
      <c r="N82" s="757"/>
      <c r="O82" s="757"/>
      <c r="P82" s="757" t="s">
        <v>57</v>
      </c>
      <c r="Q82" s="757" t="s">
        <v>58</v>
      </c>
      <c r="R82" s="757" t="s">
        <v>31</v>
      </c>
      <c r="S82" s="757" t="s">
        <v>10</v>
      </c>
      <c r="U82" s="758" t="s">
        <v>128</v>
      </c>
      <c r="V82" s="757" t="s">
        <v>42</v>
      </c>
      <c r="W82" s="757" t="s">
        <v>52</v>
      </c>
      <c r="X82" s="757" t="s">
        <v>53</v>
      </c>
      <c r="Y82" s="757" t="s">
        <v>32</v>
      </c>
      <c r="Z82" s="757" t="s">
        <v>20</v>
      </c>
      <c r="AA82" s="757" t="s">
        <v>55</v>
      </c>
      <c r="AB82" s="757" t="s">
        <v>56</v>
      </c>
      <c r="AC82" s="757"/>
      <c r="AD82" s="757"/>
      <c r="AE82" s="757"/>
      <c r="AF82" s="757"/>
      <c r="AG82" s="757"/>
      <c r="AH82" s="757" t="s">
        <v>57</v>
      </c>
      <c r="AI82" s="757" t="s">
        <v>58</v>
      </c>
      <c r="AJ82" s="757" t="s">
        <v>31</v>
      </c>
      <c r="AK82" s="757" t="s">
        <v>10</v>
      </c>
    </row>
    <row r="83" spans="3:37" ht="56.25" x14ac:dyDescent="0.2">
      <c r="C83" s="758"/>
      <c r="D83" s="757"/>
      <c r="E83" s="757"/>
      <c r="F83" s="757"/>
      <c r="G83" s="757"/>
      <c r="H83" s="757"/>
      <c r="I83" s="757"/>
      <c r="J83" s="638" t="s">
        <v>335</v>
      </c>
      <c r="K83" s="638" t="s">
        <v>40</v>
      </c>
      <c r="L83" s="638" t="s">
        <v>343</v>
      </c>
      <c r="M83" s="638" t="s">
        <v>344</v>
      </c>
      <c r="N83" s="638" t="s">
        <v>345</v>
      </c>
      <c r="O83" s="638" t="s">
        <v>346</v>
      </c>
      <c r="P83" s="757"/>
      <c r="Q83" s="757"/>
      <c r="R83" s="757"/>
      <c r="S83" s="757"/>
      <c r="U83" s="758"/>
      <c r="V83" s="757"/>
      <c r="W83" s="757"/>
      <c r="X83" s="757"/>
      <c r="Y83" s="757"/>
      <c r="Z83" s="757"/>
      <c r="AA83" s="757"/>
      <c r="AB83" s="638" t="s">
        <v>335</v>
      </c>
      <c r="AC83" s="638" t="s">
        <v>40</v>
      </c>
      <c r="AD83" s="638" t="s">
        <v>343</v>
      </c>
      <c r="AE83" s="638" t="s">
        <v>344</v>
      </c>
      <c r="AF83" s="638" t="s">
        <v>345</v>
      </c>
      <c r="AG83" s="638" t="s">
        <v>346</v>
      </c>
      <c r="AH83" s="757"/>
      <c r="AI83" s="757"/>
      <c r="AJ83" s="757"/>
      <c r="AK83" s="757"/>
    </row>
    <row r="84" spans="3:37" x14ac:dyDescent="0.2">
      <c r="C84" s="639" t="s">
        <v>59</v>
      </c>
      <c r="D84" s="640">
        <v>0</v>
      </c>
      <c r="E84" s="641">
        <v>0</v>
      </c>
      <c r="F84" s="641">
        <v>0</v>
      </c>
      <c r="G84" s="640">
        <v>0</v>
      </c>
      <c r="H84" s="641">
        <v>727.27272727272737</v>
      </c>
      <c r="I84" s="641">
        <v>338.37995078139568</v>
      </c>
      <c r="J84" s="641">
        <v>185.12606679296266</v>
      </c>
      <c r="K84" s="641">
        <v>19.887492227897642</v>
      </c>
      <c r="L84" s="641">
        <v>0.67629573379861951</v>
      </c>
      <c r="M84" s="641">
        <v>0.16041590589481752</v>
      </c>
      <c r="N84" s="641">
        <v>75.083762899489528</v>
      </c>
      <c r="O84" s="641">
        <v>12.515766779598991</v>
      </c>
      <c r="P84" s="642">
        <v>0</v>
      </c>
      <c r="Q84" s="641">
        <v>0</v>
      </c>
      <c r="R84" s="641">
        <v>0</v>
      </c>
      <c r="S84" s="643">
        <v>1359.1024783937653</v>
      </c>
      <c r="U84" s="639" t="s">
        <v>59</v>
      </c>
      <c r="V84" s="640">
        <v>0</v>
      </c>
      <c r="W84" s="641">
        <v>0</v>
      </c>
      <c r="X84" s="641">
        <v>0</v>
      </c>
      <c r="Y84" s="640">
        <v>0</v>
      </c>
      <c r="Z84" s="641">
        <v>764.84848484848499</v>
      </c>
      <c r="AA84" s="641">
        <v>423.19995078139567</v>
      </c>
      <c r="AB84" s="641">
        <v>256.09062969225096</v>
      </c>
      <c r="AC84" s="641">
        <v>36.108430969743218</v>
      </c>
      <c r="AD84" s="641">
        <v>0.67629573379861951</v>
      </c>
      <c r="AE84" s="641">
        <v>0.16041590589481752</v>
      </c>
      <c r="AF84" s="641">
        <v>123.16818516374138</v>
      </c>
      <c r="AG84" s="641">
        <v>30.250193334526926</v>
      </c>
      <c r="AH84" s="642">
        <v>0</v>
      </c>
      <c r="AI84" s="641">
        <v>0</v>
      </c>
      <c r="AJ84" s="641">
        <v>0</v>
      </c>
      <c r="AK84" s="643">
        <v>1634.5025864298366</v>
      </c>
    </row>
    <row r="85" spans="3:37" x14ac:dyDescent="0.2">
      <c r="C85" s="639" t="s">
        <v>60</v>
      </c>
      <c r="D85" s="640">
        <v>46.099891323621534</v>
      </c>
      <c r="E85" s="641">
        <v>464.7986487</v>
      </c>
      <c r="F85" s="641">
        <v>48.534128715927544</v>
      </c>
      <c r="G85" s="640">
        <v>345.55093723566335</v>
      </c>
      <c r="H85" s="641">
        <v>0</v>
      </c>
      <c r="I85" s="641">
        <v>0</v>
      </c>
      <c r="J85" s="641">
        <v>5.7213435879484642</v>
      </c>
      <c r="K85" s="641">
        <v>0</v>
      </c>
      <c r="L85" s="641">
        <v>3.0565993326094723</v>
      </c>
      <c r="M85" s="641">
        <v>0</v>
      </c>
      <c r="N85" s="641">
        <v>0</v>
      </c>
      <c r="O85" s="641">
        <v>0</v>
      </c>
      <c r="P85" s="642">
        <v>0</v>
      </c>
      <c r="Q85" s="641">
        <v>0</v>
      </c>
      <c r="R85" s="641">
        <v>0</v>
      </c>
      <c r="S85" s="643">
        <v>913.76154889577037</v>
      </c>
      <c r="U85" s="639" t="s">
        <v>60</v>
      </c>
      <c r="V85" s="640">
        <v>4.5871215860372576</v>
      </c>
      <c r="W85" s="641">
        <v>113.59926767676768</v>
      </c>
      <c r="X85" s="641">
        <v>20.138935454909394</v>
      </c>
      <c r="Y85" s="640">
        <v>0.51452681198611927</v>
      </c>
      <c r="Z85" s="641">
        <v>0</v>
      </c>
      <c r="AA85" s="641">
        <v>0</v>
      </c>
      <c r="AB85" s="641">
        <v>5.7213435879484642</v>
      </c>
      <c r="AC85" s="641">
        <v>0</v>
      </c>
      <c r="AD85" s="641">
        <v>3.0565993326094723</v>
      </c>
      <c r="AE85" s="641">
        <v>0</v>
      </c>
      <c r="AF85" s="641">
        <v>0</v>
      </c>
      <c r="AG85" s="641">
        <v>0</v>
      </c>
      <c r="AH85" s="642">
        <v>0</v>
      </c>
      <c r="AI85" s="641">
        <v>0</v>
      </c>
      <c r="AJ85" s="641">
        <v>0</v>
      </c>
      <c r="AK85" s="643">
        <v>147.6177944502584</v>
      </c>
    </row>
    <row r="86" spans="3:37" x14ac:dyDescent="0.2">
      <c r="C86" s="639" t="s">
        <v>61</v>
      </c>
      <c r="D86" s="640">
        <v>0</v>
      </c>
      <c r="E86" s="641">
        <v>0</v>
      </c>
      <c r="F86" s="641">
        <v>0</v>
      </c>
      <c r="G86" s="640">
        <v>0</v>
      </c>
      <c r="H86" s="641">
        <v>0</v>
      </c>
      <c r="I86" s="641">
        <v>0</v>
      </c>
      <c r="J86" s="641">
        <v>0</v>
      </c>
      <c r="K86" s="641">
        <v>0</v>
      </c>
      <c r="L86" s="641">
        <v>0</v>
      </c>
      <c r="M86" s="641">
        <v>0</v>
      </c>
      <c r="N86" s="641">
        <v>0</v>
      </c>
      <c r="O86" s="641">
        <v>0</v>
      </c>
      <c r="P86" s="642">
        <v>-12.7985093299136</v>
      </c>
      <c r="Q86" s="641">
        <v>0</v>
      </c>
      <c r="R86" s="641">
        <v>0</v>
      </c>
      <c r="S86" s="643">
        <v>-12.7985093299136</v>
      </c>
      <c r="U86" s="639" t="s">
        <v>61</v>
      </c>
      <c r="V86" s="640">
        <v>0</v>
      </c>
      <c r="W86" s="641">
        <v>0</v>
      </c>
      <c r="X86" s="641">
        <v>0</v>
      </c>
      <c r="Y86" s="640">
        <v>0</v>
      </c>
      <c r="Z86" s="641">
        <v>0</v>
      </c>
      <c r="AA86" s="641">
        <v>0</v>
      </c>
      <c r="AB86" s="641">
        <v>0</v>
      </c>
      <c r="AC86" s="641">
        <v>0</v>
      </c>
      <c r="AD86" s="641">
        <v>0</v>
      </c>
      <c r="AE86" s="641">
        <v>0</v>
      </c>
      <c r="AF86" s="641">
        <v>0</v>
      </c>
      <c r="AG86" s="641">
        <v>0</v>
      </c>
      <c r="AH86" s="642">
        <v>-41.639986107117011</v>
      </c>
      <c r="AI86" s="641">
        <v>0</v>
      </c>
      <c r="AJ86" s="641">
        <v>0</v>
      </c>
      <c r="AK86" s="643">
        <v>-41.639986107117011</v>
      </c>
    </row>
    <row r="87" spans="3:37" x14ac:dyDescent="0.2">
      <c r="C87" s="639" t="s">
        <v>62</v>
      </c>
      <c r="D87" s="640">
        <v>0</v>
      </c>
      <c r="E87" s="641">
        <v>0</v>
      </c>
      <c r="F87" s="641">
        <v>-14.431507774067331</v>
      </c>
      <c r="G87" s="640">
        <v>0</v>
      </c>
      <c r="H87" s="641">
        <v>0</v>
      </c>
      <c r="I87" s="641">
        <v>0</v>
      </c>
      <c r="J87" s="641">
        <v>0</v>
      </c>
      <c r="K87" s="641">
        <v>0</v>
      </c>
      <c r="L87" s="641">
        <v>0</v>
      </c>
      <c r="M87" s="641">
        <v>0</v>
      </c>
      <c r="N87" s="641">
        <v>0</v>
      </c>
      <c r="O87" s="641">
        <v>0</v>
      </c>
      <c r="P87" s="642">
        <v>0</v>
      </c>
      <c r="Q87" s="641">
        <v>0</v>
      </c>
      <c r="R87" s="641">
        <v>0</v>
      </c>
      <c r="S87" s="643">
        <v>-14.431507774067331</v>
      </c>
      <c r="U87" s="639" t="s">
        <v>62</v>
      </c>
      <c r="V87" s="640">
        <v>0</v>
      </c>
      <c r="W87" s="641">
        <v>0</v>
      </c>
      <c r="X87" s="641">
        <v>-5.3013702027186111</v>
      </c>
      <c r="Y87" s="640">
        <v>0</v>
      </c>
      <c r="Z87" s="641">
        <v>0</v>
      </c>
      <c r="AA87" s="641">
        <v>0</v>
      </c>
      <c r="AB87" s="641">
        <v>0</v>
      </c>
      <c r="AC87" s="641">
        <v>0</v>
      </c>
      <c r="AD87" s="641">
        <v>0</v>
      </c>
      <c r="AE87" s="641">
        <v>-5.1137296191648005</v>
      </c>
      <c r="AF87" s="641">
        <v>0</v>
      </c>
      <c r="AG87" s="641">
        <v>0</v>
      </c>
      <c r="AH87" s="642">
        <v>0</v>
      </c>
      <c r="AI87" s="641">
        <v>0</v>
      </c>
      <c r="AJ87" s="641">
        <v>0</v>
      </c>
      <c r="AK87" s="643">
        <v>-10.415099821883413</v>
      </c>
    </row>
    <row r="88" spans="3:37" x14ac:dyDescent="0.2">
      <c r="C88" s="639" t="s">
        <v>63</v>
      </c>
      <c r="D88" s="640">
        <v>0</v>
      </c>
      <c r="E88" s="641">
        <v>0</v>
      </c>
      <c r="F88" s="641">
        <v>-93.443844381495637</v>
      </c>
      <c r="G88" s="640">
        <v>0</v>
      </c>
      <c r="H88" s="641">
        <v>0</v>
      </c>
      <c r="I88" s="641">
        <v>0</v>
      </c>
      <c r="J88" s="641">
        <v>0</v>
      </c>
      <c r="K88" s="641">
        <v>0</v>
      </c>
      <c r="L88" s="641">
        <v>-0.96889726774865159</v>
      </c>
      <c r="M88" s="641">
        <v>0</v>
      </c>
      <c r="N88" s="641">
        <v>0</v>
      </c>
      <c r="O88" s="641">
        <v>0</v>
      </c>
      <c r="P88" s="642">
        <v>0</v>
      </c>
      <c r="Q88" s="641">
        <v>0</v>
      </c>
      <c r="R88" s="641">
        <v>0</v>
      </c>
      <c r="S88" s="643">
        <v>-94.412741649244282</v>
      </c>
      <c r="U88" s="639" t="s">
        <v>63</v>
      </c>
      <c r="V88" s="640">
        <v>0</v>
      </c>
      <c r="W88" s="641">
        <v>0</v>
      </c>
      <c r="X88" s="641">
        <v>-35.841594545498886</v>
      </c>
      <c r="Y88" s="640">
        <v>0</v>
      </c>
      <c r="Z88" s="641">
        <v>0</v>
      </c>
      <c r="AA88" s="641">
        <v>0</v>
      </c>
      <c r="AB88" s="641">
        <v>0</v>
      </c>
      <c r="AC88" s="641">
        <v>0</v>
      </c>
      <c r="AD88" s="641">
        <v>-46.567340427053182</v>
      </c>
      <c r="AE88" s="641">
        <v>0</v>
      </c>
      <c r="AF88" s="641">
        <v>0</v>
      </c>
      <c r="AG88" s="641">
        <v>0</v>
      </c>
      <c r="AH88" s="642">
        <v>0</v>
      </c>
      <c r="AI88" s="641">
        <v>0</v>
      </c>
      <c r="AJ88" s="641">
        <v>0</v>
      </c>
      <c r="AK88" s="643">
        <v>-82.408934972552061</v>
      </c>
    </row>
    <row r="89" spans="3:37" x14ac:dyDescent="0.2">
      <c r="C89" s="639" t="s">
        <v>64</v>
      </c>
      <c r="D89" s="640">
        <v>0</v>
      </c>
      <c r="E89" s="641">
        <v>0</v>
      </c>
      <c r="F89" s="641">
        <v>0</v>
      </c>
      <c r="G89" s="640">
        <v>0</v>
      </c>
      <c r="H89" s="641">
        <v>0</v>
      </c>
      <c r="I89" s="641">
        <v>0</v>
      </c>
      <c r="J89" s="641">
        <v>0</v>
      </c>
      <c r="K89" s="641">
        <v>0</v>
      </c>
      <c r="L89" s="641">
        <v>0</v>
      </c>
      <c r="M89" s="641">
        <v>0</v>
      </c>
      <c r="N89" s="641">
        <v>0</v>
      </c>
      <c r="O89" s="641">
        <v>0</v>
      </c>
      <c r="P89" s="642">
        <v>0</v>
      </c>
      <c r="Q89" s="641">
        <v>0</v>
      </c>
      <c r="R89" s="641">
        <v>0</v>
      </c>
      <c r="S89" s="643">
        <v>0</v>
      </c>
      <c r="U89" s="639" t="s">
        <v>64</v>
      </c>
      <c r="V89" s="640">
        <v>0</v>
      </c>
      <c r="W89" s="641">
        <v>0</v>
      </c>
      <c r="X89" s="641">
        <v>0</v>
      </c>
      <c r="Y89" s="640">
        <v>0</v>
      </c>
      <c r="Z89" s="641">
        <v>0</v>
      </c>
      <c r="AA89" s="641">
        <v>0</v>
      </c>
      <c r="AB89" s="641">
        <v>0</v>
      </c>
      <c r="AC89" s="641">
        <v>0</v>
      </c>
      <c r="AD89" s="641">
        <v>0</v>
      </c>
      <c r="AE89" s="641">
        <v>0</v>
      </c>
      <c r="AF89" s="641">
        <v>0</v>
      </c>
      <c r="AG89" s="641">
        <v>0</v>
      </c>
      <c r="AH89" s="642">
        <v>0</v>
      </c>
      <c r="AI89" s="641">
        <v>0</v>
      </c>
      <c r="AJ89" s="641">
        <v>0</v>
      </c>
      <c r="AK89" s="643">
        <v>0</v>
      </c>
    </row>
    <row r="90" spans="3:37" x14ac:dyDescent="0.2">
      <c r="C90" s="644" t="s">
        <v>65</v>
      </c>
      <c r="D90" s="645">
        <v>46.099891323621534</v>
      </c>
      <c r="E90" s="645">
        <v>464.7986487</v>
      </c>
      <c r="F90" s="645">
        <v>-59.341223439635421</v>
      </c>
      <c r="G90" s="645">
        <v>345.55093723566335</v>
      </c>
      <c r="H90" s="645">
        <v>727.27272727272737</v>
      </c>
      <c r="I90" s="645">
        <v>338.37995078139568</v>
      </c>
      <c r="J90" s="645">
        <v>190.84741038091113</v>
      </c>
      <c r="K90" s="645">
        <v>19.887492227897642</v>
      </c>
      <c r="L90" s="645">
        <v>2.7639977986594397</v>
      </c>
      <c r="M90" s="645">
        <v>0.16041590589481752</v>
      </c>
      <c r="N90" s="645">
        <v>75.083762899489528</v>
      </c>
      <c r="O90" s="645">
        <v>12.515766779598991</v>
      </c>
      <c r="P90" s="645">
        <v>-12.7985093299136</v>
      </c>
      <c r="Q90" s="645">
        <v>0</v>
      </c>
      <c r="R90" s="645">
        <v>0</v>
      </c>
      <c r="S90" s="645">
        <v>2151.2212685363102</v>
      </c>
      <c r="U90" s="644" t="s">
        <v>65</v>
      </c>
      <c r="V90" s="645">
        <v>4.5871215860372576</v>
      </c>
      <c r="W90" s="645">
        <v>113.59926767676768</v>
      </c>
      <c r="X90" s="645">
        <v>-21.004029293308101</v>
      </c>
      <c r="Y90" s="645">
        <v>0.51452681198611927</v>
      </c>
      <c r="Z90" s="645">
        <v>764.84848484848499</v>
      </c>
      <c r="AA90" s="645">
        <v>423.19995078139567</v>
      </c>
      <c r="AB90" s="645">
        <v>261.81197328019942</v>
      </c>
      <c r="AC90" s="645">
        <v>36.108430969743218</v>
      </c>
      <c r="AD90" s="645">
        <v>-42.834445360645091</v>
      </c>
      <c r="AE90" s="645">
        <v>-4.9533137132699832</v>
      </c>
      <c r="AF90" s="645">
        <v>123.16818516374138</v>
      </c>
      <c r="AG90" s="645">
        <v>30.250193334526926</v>
      </c>
      <c r="AH90" s="645">
        <v>-41.639986107117011</v>
      </c>
      <c r="AI90" s="645">
        <v>0</v>
      </c>
      <c r="AJ90" s="645">
        <v>0</v>
      </c>
      <c r="AK90" s="645">
        <v>1647.6563599785427</v>
      </c>
    </row>
    <row r="91" spans="3:37" x14ac:dyDescent="0.2">
      <c r="C91" s="634"/>
      <c r="D91" s="634">
        <v>0</v>
      </c>
      <c r="E91" s="634">
        <v>0</v>
      </c>
      <c r="F91" s="634">
        <v>0</v>
      </c>
      <c r="G91" s="634">
        <v>0</v>
      </c>
      <c r="H91" s="634">
        <v>0</v>
      </c>
      <c r="I91" s="634">
        <v>0</v>
      </c>
      <c r="J91" s="634">
        <v>0</v>
      </c>
      <c r="K91" s="634">
        <v>0</v>
      </c>
      <c r="L91" s="634">
        <v>0</v>
      </c>
      <c r="M91" s="634">
        <v>0</v>
      </c>
      <c r="N91" s="634">
        <v>0</v>
      </c>
      <c r="O91" s="634">
        <v>0</v>
      </c>
      <c r="P91" s="634">
        <v>0</v>
      </c>
      <c r="Q91" s="634">
        <v>0</v>
      </c>
      <c r="R91" s="634">
        <v>0</v>
      </c>
      <c r="S91" s="634">
        <v>0</v>
      </c>
      <c r="U91" s="634"/>
      <c r="V91" s="634">
        <v>0</v>
      </c>
      <c r="W91" s="634">
        <v>0</v>
      </c>
      <c r="X91" s="634">
        <v>0</v>
      </c>
      <c r="Y91" s="634">
        <v>0</v>
      </c>
      <c r="Z91" s="634">
        <v>0</v>
      </c>
      <c r="AA91" s="634">
        <v>0</v>
      </c>
      <c r="AB91" s="634">
        <v>0</v>
      </c>
      <c r="AC91" s="634">
        <v>0</v>
      </c>
      <c r="AD91" s="634">
        <v>0</v>
      </c>
      <c r="AE91" s="634">
        <v>0</v>
      </c>
      <c r="AF91" s="634">
        <v>0</v>
      </c>
      <c r="AG91" s="634">
        <v>0</v>
      </c>
      <c r="AH91" s="634">
        <v>0</v>
      </c>
      <c r="AI91" s="634">
        <v>0</v>
      </c>
      <c r="AJ91" s="634">
        <v>0</v>
      </c>
      <c r="AK91" s="634">
        <v>0</v>
      </c>
    </row>
    <row r="92" spans="3:37" x14ac:dyDescent="0.2">
      <c r="C92" s="646" t="s">
        <v>67</v>
      </c>
      <c r="D92" s="640">
        <v>0</v>
      </c>
      <c r="E92" s="647">
        <v>0</v>
      </c>
      <c r="F92" s="647">
        <v>0</v>
      </c>
      <c r="G92" s="640">
        <v>0</v>
      </c>
      <c r="H92" s="640">
        <v>0</v>
      </c>
      <c r="I92" s="640">
        <v>0</v>
      </c>
      <c r="J92" s="640">
        <v>0</v>
      </c>
      <c r="K92" s="640">
        <v>0</v>
      </c>
      <c r="L92" s="640">
        <v>0</v>
      </c>
      <c r="M92" s="640">
        <v>0</v>
      </c>
      <c r="N92" s="640">
        <v>0</v>
      </c>
      <c r="O92" s="640">
        <v>0</v>
      </c>
      <c r="P92" s="640">
        <v>0</v>
      </c>
      <c r="Q92" s="640">
        <v>0</v>
      </c>
      <c r="R92" s="640">
        <v>0</v>
      </c>
      <c r="S92" s="648">
        <v>0</v>
      </c>
      <c r="U92" s="646" t="s">
        <v>67</v>
      </c>
      <c r="V92" s="640">
        <v>0</v>
      </c>
      <c r="W92" s="647">
        <v>0</v>
      </c>
      <c r="X92" s="647">
        <v>0</v>
      </c>
      <c r="Y92" s="640">
        <v>0</v>
      </c>
      <c r="Z92" s="640">
        <v>0</v>
      </c>
      <c r="AA92" s="640">
        <v>0</v>
      </c>
      <c r="AB92" s="640">
        <v>0</v>
      </c>
      <c r="AC92" s="640">
        <v>0</v>
      </c>
      <c r="AD92" s="640">
        <v>0</v>
      </c>
      <c r="AE92" s="640">
        <v>0</v>
      </c>
      <c r="AF92" s="640">
        <v>0</v>
      </c>
      <c r="AG92" s="640">
        <v>0</v>
      </c>
      <c r="AH92" s="640">
        <v>0</v>
      </c>
      <c r="AI92" s="640">
        <v>0</v>
      </c>
      <c r="AJ92" s="640">
        <v>0</v>
      </c>
      <c r="AK92" s="648">
        <v>0</v>
      </c>
    </row>
    <row r="93" spans="3:37" x14ac:dyDescent="0.2">
      <c r="C93" s="646" t="s">
        <v>347</v>
      </c>
      <c r="D93" s="640">
        <v>2.8267856410252494</v>
      </c>
      <c r="E93" s="640">
        <v>0</v>
      </c>
      <c r="F93" s="640">
        <v>8.0599105831015567</v>
      </c>
      <c r="G93" s="640">
        <v>46.530346198952707</v>
      </c>
      <c r="H93" s="640">
        <v>727.27272727272737</v>
      </c>
      <c r="I93" s="640">
        <v>338.37995078139568</v>
      </c>
      <c r="J93" s="649">
        <v>28.452469116356035</v>
      </c>
      <c r="K93" s="649">
        <v>6.2305848357200952</v>
      </c>
      <c r="L93" s="649">
        <v>3.7328950664080915</v>
      </c>
      <c r="M93" s="649">
        <v>1.0761160081227215</v>
      </c>
      <c r="N93" s="649">
        <v>0</v>
      </c>
      <c r="O93" s="649">
        <v>7.5664382136221358</v>
      </c>
      <c r="P93" s="640">
        <v>-629.14515201417555</v>
      </c>
      <c r="Q93" s="640">
        <v>0</v>
      </c>
      <c r="R93" s="640">
        <v>0</v>
      </c>
      <c r="S93" s="648">
        <v>540.98307170325586</v>
      </c>
      <c r="U93" s="646" t="s">
        <v>347</v>
      </c>
      <c r="V93" s="640">
        <v>0.62631490545869017</v>
      </c>
      <c r="W93" s="640">
        <v>0</v>
      </c>
      <c r="X93" s="640">
        <v>4.1962742194651934</v>
      </c>
      <c r="Y93" s="640">
        <v>0</v>
      </c>
      <c r="Z93" s="640">
        <v>764.84848484848499</v>
      </c>
      <c r="AA93" s="640">
        <v>423.19995078139567</v>
      </c>
      <c r="AB93" s="649">
        <v>22.478183728982629</v>
      </c>
      <c r="AC93" s="649">
        <v>5.0926371917675839</v>
      </c>
      <c r="AD93" s="649">
        <v>3.7328950664080915</v>
      </c>
      <c r="AE93" s="649">
        <v>0.79318377276994545</v>
      </c>
      <c r="AF93" s="649">
        <v>0</v>
      </c>
      <c r="AG93" s="649">
        <v>7.5664382136221358</v>
      </c>
      <c r="AH93" s="640">
        <v>-696.77718495359215</v>
      </c>
      <c r="AI93" s="640">
        <v>0</v>
      </c>
      <c r="AJ93" s="640">
        <v>3.75</v>
      </c>
      <c r="AK93" s="648">
        <v>539.50717777476291</v>
      </c>
    </row>
    <row r="94" spans="3:37" x14ac:dyDescent="0.2">
      <c r="C94" s="646" t="s">
        <v>348</v>
      </c>
      <c r="D94" s="640">
        <v>0</v>
      </c>
      <c r="E94" s="640">
        <v>0</v>
      </c>
      <c r="F94" s="640">
        <v>0</v>
      </c>
      <c r="G94" s="640">
        <v>14.783508517784153</v>
      </c>
      <c r="H94" s="640">
        <v>0</v>
      </c>
      <c r="I94" s="640">
        <v>0</v>
      </c>
      <c r="J94" s="649">
        <v>12.163067049530284</v>
      </c>
      <c r="K94" s="649">
        <v>11.829214997579474</v>
      </c>
      <c r="L94" s="649">
        <v>0</v>
      </c>
      <c r="M94" s="649">
        <v>0.31740804730172578</v>
      </c>
      <c r="N94" s="649">
        <v>0</v>
      </c>
      <c r="O94" s="649">
        <v>2.086875550337155</v>
      </c>
      <c r="P94" s="640">
        <v>0</v>
      </c>
      <c r="Q94" s="640">
        <v>-37.667878685561853</v>
      </c>
      <c r="R94" s="640">
        <v>0</v>
      </c>
      <c r="S94" s="648">
        <v>3.5121954769709394</v>
      </c>
      <c r="U94" s="646" t="s">
        <v>348</v>
      </c>
      <c r="V94" s="640">
        <v>0</v>
      </c>
      <c r="W94" s="640">
        <v>0</v>
      </c>
      <c r="X94" s="640">
        <v>0</v>
      </c>
      <c r="Y94" s="640">
        <v>0</v>
      </c>
      <c r="Z94" s="640">
        <v>0</v>
      </c>
      <c r="AA94" s="640">
        <v>0</v>
      </c>
      <c r="AB94" s="649">
        <v>28.523630086620891</v>
      </c>
      <c r="AC94" s="649">
        <v>26.288013396118924</v>
      </c>
      <c r="AD94" s="649">
        <v>0</v>
      </c>
      <c r="AE94" s="649">
        <v>10.611192177482708</v>
      </c>
      <c r="AF94" s="649">
        <v>0</v>
      </c>
      <c r="AG94" s="649">
        <v>14.121402979798832</v>
      </c>
      <c r="AH94" s="640">
        <v>0</v>
      </c>
      <c r="AI94" s="640">
        <v>-74.176724382187018</v>
      </c>
      <c r="AJ94" s="640">
        <v>0</v>
      </c>
      <c r="AK94" s="648">
        <v>5.3675142578343316</v>
      </c>
    </row>
    <row r="95" spans="3:37" x14ac:dyDescent="0.2">
      <c r="C95" s="646" t="s">
        <v>349</v>
      </c>
      <c r="D95" s="640">
        <v>0</v>
      </c>
      <c r="E95" s="640">
        <v>0</v>
      </c>
      <c r="F95" s="640">
        <v>0</v>
      </c>
      <c r="G95" s="640">
        <v>0</v>
      </c>
      <c r="H95" s="640">
        <v>0</v>
      </c>
      <c r="I95" s="640">
        <v>0</v>
      </c>
      <c r="J95" s="650">
        <v>7.1450792385721682</v>
      </c>
      <c r="K95" s="650">
        <v>0</v>
      </c>
      <c r="L95" s="650">
        <v>0</v>
      </c>
      <c r="M95" s="650">
        <v>-6.8235506728364204</v>
      </c>
      <c r="N95" s="650">
        <v>0</v>
      </c>
      <c r="O95" s="650">
        <v>0</v>
      </c>
      <c r="P95" s="640">
        <v>0</v>
      </c>
      <c r="Q95" s="640">
        <v>0</v>
      </c>
      <c r="R95" s="640">
        <v>0</v>
      </c>
      <c r="S95" s="648">
        <v>0.32152856573574784</v>
      </c>
      <c r="U95" s="646" t="s">
        <v>349</v>
      </c>
      <c r="V95" s="640">
        <v>0</v>
      </c>
      <c r="W95" s="640">
        <v>0</v>
      </c>
      <c r="X95" s="640">
        <v>0</v>
      </c>
      <c r="Y95" s="640">
        <v>0</v>
      </c>
      <c r="Z95" s="640">
        <v>0</v>
      </c>
      <c r="AA95" s="640">
        <v>0</v>
      </c>
      <c r="AB95" s="650">
        <v>137.81211213320262</v>
      </c>
      <c r="AC95" s="650">
        <v>0</v>
      </c>
      <c r="AD95" s="650">
        <v>0</v>
      </c>
      <c r="AE95" s="650">
        <v>-131.61056708720849</v>
      </c>
      <c r="AF95" s="650">
        <v>0</v>
      </c>
      <c r="AG95" s="650">
        <v>0</v>
      </c>
      <c r="AH95" s="640">
        <v>0</v>
      </c>
      <c r="AI95" s="640">
        <v>0</v>
      </c>
      <c r="AJ95" s="640">
        <v>0</v>
      </c>
      <c r="AK95" s="648">
        <v>6.2015450459941235</v>
      </c>
    </row>
    <row r="96" spans="3:37" x14ac:dyDescent="0.2">
      <c r="C96" s="646" t="s">
        <v>350</v>
      </c>
      <c r="D96" s="640">
        <v>0</v>
      </c>
      <c r="E96" s="640">
        <v>0</v>
      </c>
      <c r="F96" s="640">
        <v>0</v>
      </c>
      <c r="G96" s="640">
        <v>0</v>
      </c>
      <c r="H96" s="640">
        <v>0</v>
      </c>
      <c r="I96" s="640">
        <v>0</v>
      </c>
      <c r="J96" s="640">
        <v>0</v>
      </c>
      <c r="K96" s="640">
        <v>0</v>
      </c>
      <c r="L96" s="640">
        <v>0</v>
      </c>
      <c r="M96" s="640">
        <v>0</v>
      </c>
      <c r="N96" s="640">
        <v>0</v>
      </c>
      <c r="O96" s="640">
        <v>0</v>
      </c>
      <c r="P96" s="640">
        <v>0</v>
      </c>
      <c r="Q96" s="640">
        <v>0</v>
      </c>
      <c r="R96" s="640">
        <v>0</v>
      </c>
      <c r="S96" s="648">
        <v>0</v>
      </c>
      <c r="U96" s="646" t="s">
        <v>350</v>
      </c>
      <c r="V96" s="640">
        <v>0</v>
      </c>
      <c r="W96" s="640">
        <v>0</v>
      </c>
      <c r="X96" s="640">
        <v>0</v>
      </c>
      <c r="Y96" s="640">
        <v>0</v>
      </c>
      <c r="Z96" s="640">
        <v>0</v>
      </c>
      <c r="AA96" s="640">
        <v>0</v>
      </c>
      <c r="AB96" s="640">
        <v>0</v>
      </c>
      <c r="AC96" s="640">
        <v>0</v>
      </c>
      <c r="AD96" s="640">
        <v>0</v>
      </c>
      <c r="AE96" s="640">
        <v>0</v>
      </c>
      <c r="AF96" s="640">
        <v>0</v>
      </c>
      <c r="AG96" s="640">
        <v>0</v>
      </c>
      <c r="AH96" s="640">
        <v>0</v>
      </c>
      <c r="AI96" s="640">
        <v>0</v>
      </c>
      <c r="AJ96" s="640">
        <v>0</v>
      </c>
      <c r="AK96" s="648">
        <v>0</v>
      </c>
    </row>
    <row r="97" spans="3:37" x14ac:dyDescent="0.2">
      <c r="C97" s="646" t="s">
        <v>72</v>
      </c>
      <c r="D97" s="640">
        <v>0</v>
      </c>
      <c r="E97" s="640">
        <v>481.48200000000003</v>
      </c>
      <c r="F97" s="640">
        <v>-476.66718000000003</v>
      </c>
      <c r="G97" s="640">
        <v>0</v>
      </c>
      <c r="H97" s="640">
        <v>0</v>
      </c>
      <c r="I97" s="640">
        <v>0</v>
      </c>
      <c r="J97" s="640">
        <v>0</v>
      </c>
      <c r="K97" s="640">
        <v>0</v>
      </c>
      <c r="L97" s="640">
        <v>0</v>
      </c>
      <c r="M97" s="640">
        <v>0</v>
      </c>
      <c r="N97" s="640">
        <v>0</v>
      </c>
      <c r="O97" s="640">
        <v>0</v>
      </c>
      <c r="P97" s="640">
        <v>0</v>
      </c>
      <c r="Q97" s="640">
        <v>0</v>
      </c>
      <c r="R97" s="640">
        <v>0</v>
      </c>
      <c r="S97" s="648">
        <v>4.8148199999999974</v>
      </c>
      <c r="U97" s="646" t="s">
        <v>72</v>
      </c>
      <c r="V97" s="640">
        <v>0</v>
      </c>
      <c r="W97" s="640">
        <v>117.67676767676768</v>
      </c>
      <c r="X97" s="640">
        <v>-116.5</v>
      </c>
      <c r="Y97" s="640">
        <v>0</v>
      </c>
      <c r="Z97" s="640">
        <v>0</v>
      </c>
      <c r="AA97" s="640">
        <v>0</v>
      </c>
      <c r="AB97" s="640">
        <v>0</v>
      </c>
      <c r="AC97" s="640">
        <v>0</v>
      </c>
      <c r="AD97" s="640">
        <v>0</v>
      </c>
      <c r="AE97" s="640">
        <v>0</v>
      </c>
      <c r="AF97" s="640">
        <v>0</v>
      </c>
      <c r="AG97" s="640">
        <v>0</v>
      </c>
      <c r="AH97" s="640">
        <v>0</v>
      </c>
      <c r="AI97" s="640">
        <v>0</v>
      </c>
      <c r="AJ97" s="640">
        <v>0</v>
      </c>
      <c r="AK97" s="648">
        <v>1.1767676767676818</v>
      </c>
    </row>
    <row r="98" spans="3:37" x14ac:dyDescent="0.2">
      <c r="C98" s="646" t="s">
        <v>351</v>
      </c>
      <c r="D98" s="640">
        <v>0</v>
      </c>
      <c r="E98" s="640">
        <v>0</v>
      </c>
      <c r="F98" s="640">
        <v>0</v>
      </c>
      <c r="G98" s="640">
        <v>0</v>
      </c>
      <c r="H98" s="640">
        <v>0</v>
      </c>
      <c r="I98" s="640">
        <v>0</v>
      </c>
      <c r="J98" s="640">
        <v>26.125483595276659</v>
      </c>
      <c r="K98" s="640">
        <v>0</v>
      </c>
      <c r="L98" s="640">
        <v>-26.125483595276659</v>
      </c>
      <c r="M98" s="640">
        <v>0</v>
      </c>
      <c r="N98" s="640">
        <v>0</v>
      </c>
      <c r="O98" s="640">
        <v>0</v>
      </c>
      <c r="P98" s="640">
        <v>0</v>
      </c>
      <c r="Q98" s="640">
        <v>0</v>
      </c>
      <c r="R98" s="640">
        <v>0</v>
      </c>
      <c r="S98" s="648">
        <v>0</v>
      </c>
      <c r="U98" s="646" t="s">
        <v>351</v>
      </c>
      <c r="V98" s="640">
        <v>0</v>
      </c>
      <c r="W98" s="640">
        <v>0</v>
      </c>
      <c r="X98" s="640">
        <v>0</v>
      </c>
      <c r="Y98" s="640">
        <v>0</v>
      </c>
      <c r="Z98" s="640">
        <v>0</v>
      </c>
      <c r="AA98" s="640">
        <v>0</v>
      </c>
      <c r="AB98" s="640" t="e">
        <v>#VALUE!</v>
      </c>
      <c r="AC98" s="640">
        <v>0</v>
      </c>
      <c r="AD98" s="640">
        <v>-100.69655001825291</v>
      </c>
      <c r="AE98" s="640">
        <v>0</v>
      </c>
      <c r="AF98" s="640">
        <v>0</v>
      </c>
      <c r="AG98" s="640">
        <v>0</v>
      </c>
      <c r="AH98" s="640">
        <v>0</v>
      </c>
      <c r="AI98" s="640">
        <v>0</v>
      </c>
      <c r="AJ98" s="640">
        <v>0</v>
      </c>
      <c r="AK98" s="648">
        <v>-100.69655001825291</v>
      </c>
    </row>
    <row r="99" spans="3:37" x14ac:dyDescent="0.2">
      <c r="C99" s="646" t="s">
        <v>352</v>
      </c>
      <c r="D99" s="640">
        <v>0</v>
      </c>
      <c r="E99" s="640">
        <v>0</v>
      </c>
      <c r="F99" s="640">
        <v>0</v>
      </c>
      <c r="G99" s="640">
        <v>0</v>
      </c>
      <c r="H99" s="640">
        <v>0</v>
      </c>
      <c r="I99" s="640">
        <v>0</v>
      </c>
      <c r="J99" s="640">
        <v>0</v>
      </c>
      <c r="K99" s="640">
        <v>0</v>
      </c>
      <c r="L99" s="640">
        <v>0</v>
      </c>
      <c r="M99" s="640">
        <v>0</v>
      </c>
      <c r="N99" s="640">
        <v>0</v>
      </c>
      <c r="O99" s="640">
        <v>0</v>
      </c>
      <c r="P99" s="640">
        <v>0</v>
      </c>
      <c r="Q99" s="640">
        <v>0</v>
      </c>
      <c r="R99" s="640">
        <v>0</v>
      </c>
      <c r="S99" s="648">
        <v>0</v>
      </c>
      <c r="U99" s="646" t="s">
        <v>352</v>
      </c>
      <c r="V99" s="640">
        <v>0</v>
      </c>
      <c r="W99" s="640">
        <v>0</v>
      </c>
      <c r="X99" s="640">
        <v>0</v>
      </c>
      <c r="Y99" s="640">
        <v>0</v>
      </c>
      <c r="Z99" s="640">
        <v>0</v>
      </c>
      <c r="AA99" s="640">
        <v>0</v>
      </c>
      <c r="AB99" s="640">
        <v>0</v>
      </c>
      <c r="AC99" s="640">
        <v>0</v>
      </c>
      <c r="AD99" s="640">
        <v>-28.460377640694865</v>
      </c>
      <c r="AE99" s="640">
        <v>0</v>
      </c>
      <c r="AF99" s="640">
        <v>0</v>
      </c>
      <c r="AG99" s="640">
        <v>0</v>
      </c>
      <c r="AH99" s="640">
        <v>0</v>
      </c>
      <c r="AI99" s="640">
        <v>0</v>
      </c>
      <c r="AJ99" s="640">
        <v>0</v>
      </c>
      <c r="AK99" s="648">
        <v>-28.460377640694865</v>
      </c>
    </row>
    <row r="100" spans="3:37" x14ac:dyDescent="0.2">
      <c r="C100" s="646" t="s">
        <v>73</v>
      </c>
      <c r="D100" s="640">
        <v>0</v>
      </c>
      <c r="E100" s="640">
        <v>0</v>
      </c>
      <c r="F100" s="640">
        <v>0</v>
      </c>
      <c r="G100" s="640">
        <v>8.6128889644156494</v>
      </c>
      <c r="H100" s="640">
        <v>0</v>
      </c>
      <c r="I100" s="640">
        <v>0</v>
      </c>
      <c r="J100" s="640">
        <v>0</v>
      </c>
      <c r="K100" s="640">
        <v>0.10101910584583218</v>
      </c>
      <c r="L100" s="640">
        <v>0</v>
      </c>
      <c r="M100" s="640">
        <v>0.17577324417174797</v>
      </c>
      <c r="N100" s="640">
        <v>0</v>
      </c>
      <c r="O100" s="640">
        <v>0</v>
      </c>
      <c r="P100" s="640">
        <v>1.1785562348680418</v>
      </c>
      <c r="Q100" s="640">
        <v>0</v>
      </c>
      <c r="R100" s="640">
        <v>-7.071337409208251</v>
      </c>
      <c r="S100" s="648">
        <v>2.99690014009302</v>
      </c>
      <c r="U100" s="646" t="s">
        <v>73</v>
      </c>
      <c r="V100" s="640">
        <v>0</v>
      </c>
      <c r="W100" s="640">
        <v>0</v>
      </c>
      <c r="X100" s="640">
        <v>0</v>
      </c>
      <c r="Y100" s="640">
        <v>0</v>
      </c>
      <c r="Z100" s="640">
        <v>0</v>
      </c>
      <c r="AA100" s="640">
        <v>0</v>
      </c>
      <c r="AB100" s="640">
        <v>0</v>
      </c>
      <c r="AC100" s="640">
        <v>0.58294529496624936</v>
      </c>
      <c r="AD100" s="640">
        <v>0</v>
      </c>
      <c r="AE100" s="640">
        <v>0</v>
      </c>
      <c r="AF100" s="640">
        <v>0</v>
      </c>
      <c r="AG100" s="640">
        <v>0</v>
      </c>
      <c r="AH100" s="640">
        <v>56.108484640501494</v>
      </c>
      <c r="AI100" s="640">
        <v>0</v>
      </c>
      <c r="AJ100" s="640">
        <v>-40.806170647637451</v>
      </c>
      <c r="AK100" s="648">
        <v>15.885259287830294</v>
      </c>
    </row>
    <row r="101" spans="3:37" x14ac:dyDescent="0.2">
      <c r="C101" s="646" t="s">
        <v>353</v>
      </c>
      <c r="D101" s="640">
        <v>28.51179328125</v>
      </c>
      <c r="E101" s="640">
        <v>-16.683351300000002</v>
      </c>
      <c r="F101" s="640">
        <v>21.820838094867195</v>
      </c>
      <c r="G101" s="640">
        <v>0</v>
      </c>
      <c r="H101" s="640">
        <v>0</v>
      </c>
      <c r="I101" s="640">
        <v>0</v>
      </c>
      <c r="J101" s="640">
        <v>0</v>
      </c>
      <c r="K101" s="640">
        <v>0</v>
      </c>
      <c r="L101" s="640">
        <v>0</v>
      </c>
      <c r="M101" s="640">
        <v>0</v>
      </c>
      <c r="N101" s="640">
        <v>0</v>
      </c>
      <c r="O101" s="640">
        <v>0</v>
      </c>
      <c r="P101" s="640">
        <v>0</v>
      </c>
      <c r="Q101" s="640">
        <v>0</v>
      </c>
      <c r="R101" s="640">
        <v>0</v>
      </c>
      <c r="S101" s="648">
        <v>33.649280076117194</v>
      </c>
      <c r="U101" s="646" t="s">
        <v>353</v>
      </c>
      <c r="V101" s="640">
        <v>0.72303211975097659</v>
      </c>
      <c r="W101" s="640">
        <v>-4.0775000000000006</v>
      </c>
      <c r="X101" s="640">
        <v>5.333129161634389</v>
      </c>
      <c r="Y101" s="640">
        <v>0</v>
      </c>
      <c r="Z101" s="640">
        <v>0</v>
      </c>
      <c r="AA101" s="640">
        <v>0</v>
      </c>
      <c r="AB101" s="640">
        <v>0</v>
      </c>
      <c r="AC101" s="640">
        <v>0</v>
      </c>
      <c r="AD101" s="640">
        <v>0</v>
      </c>
      <c r="AE101" s="640">
        <v>0</v>
      </c>
      <c r="AF101" s="640">
        <v>0</v>
      </c>
      <c r="AG101" s="640">
        <v>0</v>
      </c>
      <c r="AH101" s="640">
        <v>0</v>
      </c>
      <c r="AI101" s="640">
        <v>0</v>
      </c>
      <c r="AJ101" s="640">
        <v>0</v>
      </c>
      <c r="AK101" s="648">
        <v>1.978661281385365</v>
      </c>
    </row>
    <row r="102" spans="3:37" x14ac:dyDescent="0.2">
      <c r="C102" s="646" t="s">
        <v>75</v>
      </c>
      <c r="D102" s="640">
        <v>11.087919609375001</v>
      </c>
      <c r="E102" s="640">
        <v>0</v>
      </c>
      <c r="F102" s="640">
        <v>16.370388000000002</v>
      </c>
      <c r="G102" s="640">
        <v>4.6713383640000004</v>
      </c>
      <c r="H102" s="640">
        <v>0</v>
      </c>
      <c r="I102" s="640">
        <v>0</v>
      </c>
      <c r="J102" s="640">
        <v>0</v>
      </c>
      <c r="K102" s="640">
        <v>0</v>
      </c>
      <c r="L102" s="640">
        <v>0</v>
      </c>
      <c r="M102" s="640">
        <v>9.5333436000000008E-2</v>
      </c>
      <c r="N102" s="640">
        <v>0</v>
      </c>
      <c r="O102" s="640">
        <v>0</v>
      </c>
      <c r="P102" s="640">
        <v>26.129145836866744</v>
      </c>
      <c r="Q102" s="640">
        <v>0</v>
      </c>
      <c r="R102" s="640">
        <v>0</v>
      </c>
      <c r="S102" s="648">
        <v>58.35412524624175</v>
      </c>
      <c r="U102" s="646" t="s">
        <v>75</v>
      </c>
      <c r="V102" s="640">
        <v>1.73775830078125</v>
      </c>
      <c r="W102" s="640">
        <v>0</v>
      </c>
      <c r="X102" s="640">
        <v>16.370388000000002</v>
      </c>
      <c r="Y102" s="640">
        <v>0</v>
      </c>
      <c r="Z102" s="640">
        <v>0</v>
      </c>
      <c r="AA102" s="640">
        <v>0</v>
      </c>
      <c r="AB102" s="640">
        <v>0</v>
      </c>
      <c r="AC102" s="640">
        <v>0</v>
      </c>
      <c r="AD102" s="640">
        <v>0</v>
      </c>
      <c r="AE102" s="640">
        <v>4.7666718000000001</v>
      </c>
      <c r="AF102" s="640">
        <v>0</v>
      </c>
      <c r="AG102" s="640">
        <v>0</v>
      </c>
      <c r="AH102" s="640">
        <v>36.696565665655768</v>
      </c>
      <c r="AI102" s="640">
        <v>0</v>
      </c>
      <c r="AJ102" s="640">
        <v>0</v>
      </c>
      <c r="AK102" s="648">
        <v>59.571383766437016</v>
      </c>
    </row>
    <row r="103" spans="3:37" x14ac:dyDescent="0.2">
      <c r="C103" s="646" t="s">
        <v>76</v>
      </c>
      <c r="D103" s="640">
        <v>0</v>
      </c>
      <c r="E103" s="640">
        <v>0</v>
      </c>
      <c r="F103" s="640">
        <v>0</v>
      </c>
      <c r="G103" s="640">
        <v>3.9646717348100942</v>
      </c>
      <c r="H103" s="640">
        <v>0</v>
      </c>
      <c r="I103" s="640">
        <v>0</v>
      </c>
      <c r="J103" s="640">
        <v>0</v>
      </c>
      <c r="K103" s="640">
        <v>0</v>
      </c>
      <c r="L103" s="640">
        <v>0</v>
      </c>
      <c r="M103" s="640">
        <v>8.0911668057348868E-2</v>
      </c>
      <c r="N103" s="640">
        <v>0</v>
      </c>
      <c r="O103" s="640">
        <v>0</v>
      </c>
      <c r="P103" s="640">
        <v>47.131742012269626</v>
      </c>
      <c r="Q103" s="640">
        <v>2.9238621334994321</v>
      </c>
      <c r="R103" s="640">
        <v>0</v>
      </c>
      <c r="S103" s="648">
        <v>54.101187548636503</v>
      </c>
      <c r="U103" s="646" t="s">
        <v>76</v>
      </c>
      <c r="V103" s="640">
        <v>0</v>
      </c>
      <c r="W103" s="640">
        <v>0</v>
      </c>
      <c r="X103" s="640">
        <v>0</v>
      </c>
      <c r="Y103" s="640">
        <v>0</v>
      </c>
      <c r="Z103" s="640">
        <v>0</v>
      </c>
      <c r="AA103" s="640">
        <v>0</v>
      </c>
      <c r="AB103" s="640">
        <v>0</v>
      </c>
      <c r="AC103" s="640">
        <v>0</v>
      </c>
      <c r="AD103" s="640">
        <v>0</v>
      </c>
      <c r="AE103" s="640">
        <v>1.5605996097297452</v>
      </c>
      <c r="AF103" s="640">
        <v>0</v>
      </c>
      <c r="AG103" s="640">
        <v>0</v>
      </c>
      <c r="AH103" s="640">
        <v>50.104610120731024</v>
      </c>
      <c r="AI103" s="640">
        <v>5.7529608775183565</v>
      </c>
      <c r="AJ103" s="640">
        <v>0</v>
      </c>
      <c r="AK103" s="648">
        <v>57.418170607979121</v>
      </c>
    </row>
    <row r="104" spans="3:37" x14ac:dyDescent="0.2">
      <c r="C104" s="644" t="s">
        <v>77</v>
      </c>
      <c r="D104" s="645">
        <v>42.426498531650253</v>
      </c>
      <c r="E104" s="645">
        <v>464.7986487</v>
      </c>
      <c r="F104" s="645">
        <v>-430.41604332203127</v>
      </c>
      <c r="G104" s="645">
        <v>78.562753779962591</v>
      </c>
      <c r="H104" s="645">
        <v>727.27272727272737</v>
      </c>
      <c r="I104" s="645">
        <v>338.37995078139568</v>
      </c>
      <c r="J104" s="645">
        <v>73.88609899973514</v>
      </c>
      <c r="K104" s="645">
        <v>18.1608189391454</v>
      </c>
      <c r="L104" s="645">
        <v>-22.392588528868568</v>
      </c>
      <c r="M104" s="645">
        <v>-5.0780082691828765</v>
      </c>
      <c r="N104" s="645">
        <v>0</v>
      </c>
      <c r="O104" s="645">
        <v>9.6533137639592894</v>
      </c>
      <c r="P104" s="645">
        <v>-554.70570793017112</v>
      </c>
      <c r="Q104" s="645">
        <v>-34.744016552062419</v>
      </c>
      <c r="R104" s="645">
        <v>-7.071337409208251</v>
      </c>
      <c r="S104" s="645">
        <v>698.73310875705101</v>
      </c>
      <c r="U104" s="644" t="s">
        <v>77</v>
      </c>
      <c r="V104" s="645">
        <v>3.0871053259909167</v>
      </c>
      <c r="W104" s="645">
        <v>113.59926767676768</v>
      </c>
      <c r="X104" s="645">
        <v>-90.60020861890041</v>
      </c>
      <c r="Y104" s="645">
        <v>0</v>
      </c>
      <c r="Z104" s="645">
        <v>764.84848484848499</v>
      </c>
      <c r="AA104" s="645">
        <v>423.19995078139567</v>
      </c>
      <c r="AB104" s="645">
        <v>188.81392594880614</v>
      </c>
      <c r="AC104" s="645">
        <v>31.963595882852758</v>
      </c>
      <c r="AD104" s="645">
        <v>-125.42403259253969</v>
      </c>
      <c r="AE104" s="645">
        <v>-113.87891972722609</v>
      </c>
      <c r="AF104" s="645">
        <v>0</v>
      </c>
      <c r="AG104" s="645">
        <v>21.687841193420969</v>
      </c>
      <c r="AH104" s="645">
        <v>-553.86752452670385</v>
      </c>
      <c r="AI104" s="645">
        <v>-68.423763504668656</v>
      </c>
      <c r="AJ104" s="645">
        <v>-37.056170647637451</v>
      </c>
      <c r="AK104" s="645">
        <v>557.94955204004305</v>
      </c>
    </row>
    <row r="105" spans="3:37" x14ac:dyDescent="0.2">
      <c r="C105" s="634"/>
      <c r="D105" s="634">
        <v>0</v>
      </c>
      <c r="E105" s="634">
        <v>0</v>
      </c>
      <c r="F105" s="634">
        <v>0</v>
      </c>
      <c r="G105" s="634">
        <v>0</v>
      </c>
      <c r="H105" s="634">
        <v>0</v>
      </c>
      <c r="I105" s="634">
        <v>0</v>
      </c>
      <c r="J105" s="634">
        <v>0</v>
      </c>
      <c r="K105" s="634">
        <v>0</v>
      </c>
      <c r="L105" s="634">
        <v>0</v>
      </c>
      <c r="M105" s="634">
        <v>0</v>
      </c>
      <c r="N105" s="634">
        <v>0</v>
      </c>
      <c r="O105" s="634">
        <v>0</v>
      </c>
      <c r="P105" s="634">
        <v>0</v>
      </c>
      <c r="Q105" s="634">
        <v>0</v>
      </c>
      <c r="R105" s="634">
        <v>0</v>
      </c>
      <c r="S105" s="634">
        <v>0</v>
      </c>
      <c r="U105" s="634"/>
      <c r="V105" s="634">
        <v>0</v>
      </c>
      <c r="W105" s="634">
        <v>0</v>
      </c>
      <c r="X105" s="634">
        <v>0</v>
      </c>
      <c r="Y105" s="634">
        <v>0</v>
      </c>
      <c r="Z105" s="634">
        <v>0</v>
      </c>
      <c r="AA105" s="634">
        <v>0</v>
      </c>
      <c r="AB105" s="634">
        <v>0</v>
      </c>
      <c r="AC105" s="634">
        <v>0</v>
      </c>
      <c r="AD105" s="634">
        <v>0</v>
      </c>
      <c r="AE105" s="634">
        <v>0</v>
      </c>
      <c r="AF105" s="634">
        <v>0</v>
      </c>
      <c r="AG105" s="634">
        <v>0</v>
      </c>
      <c r="AH105" s="634">
        <v>0</v>
      </c>
      <c r="AI105" s="634">
        <v>0</v>
      </c>
      <c r="AJ105" s="634">
        <v>0</v>
      </c>
      <c r="AK105" s="634">
        <v>0</v>
      </c>
    </row>
    <row r="106" spans="3:37" x14ac:dyDescent="0.2">
      <c r="C106" s="646" t="s">
        <v>78</v>
      </c>
      <c r="D106" s="640">
        <v>3.6733927919712848</v>
      </c>
      <c r="E106" s="640">
        <v>0</v>
      </c>
      <c r="F106" s="640">
        <v>19.397200033553816</v>
      </c>
      <c r="G106" s="640">
        <v>91.130108310207916</v>
      </c>
      <c r="H106" s="640">
        <v>0</v>
      </c>
      <c r="I106" s="640">
        <v>0</v>
      </c>
      <c r="J106" s="640">
        <v>22.791437377983073</v>
      </c>
      <c r="K106" s="640">
        <v>1.7013098714668424</v>
      </c>
      <c r="L106" s="640">
        <v>1.007010953125</v>
      </c>
      <c r="M106" s="640">
        <v>1.8779931367345493</v>
      </c>
      <c r="N106" s="640">
        <v>0</v>
      </c>
      <c r="O106" s="640">
        <v>3.7093504340600874E-4</v>
      </c>
      <c r="P106" s="640">
        <v>114.54790196708234</v>
      </c>
      <c r="Q106" s="640">
        <v>16.21056036467343</v>
      </c>
      <c r="R106" s="640">
        <v>0.23655174255371095</v>
      </c>
      <c r="S106" s="648">
        <v>272.57383748439537</v>
      </c>
      <c r="U106" s="646" t="s">
        <v>78</v>
      </c>
      <c r="V106" s="640">
        <v>1.5000162600463405</v>
      </c>
      <c r="W106" s="640">
        <v>0</v>
      </c>
      <c r="X106" s="640">
        <v>0.65820239923796242</v>
      </c>
      <c r="Y106" s="640">
        <v>0</v>
      </c>
      <c r="Z106" s="640">
        <v>0</v>
      </c>
      <c r="AA106" s="640">
        <v>0</v>
      </c>
      <c r="AB106" s="640">
        <v>14.22856522114639</v>
      </c>
      <c r="AC106" s="640">
        <v>4.1194716696050602</v>
      </c>
      <c r="AD106" s="640">
        <v>8.3494072265624997</v>
      </c>
      <c r="AE106" s="640">
        <v>60.539358802903692</v>
      </c>
      <c r="AF106" s="640">
        <v>0</v>
      </c>
      <c r="AG106" s="640">
        <v>3.7093504340600874E-4</v>
      </c>
      <c r="AH106" s="640">
        <v>157.01971492382648</v>
      </c>
      <c r="AI106" s="640">
        <v>25.540840498351418</v>
      </c>
      <c r="AJ106" s="640">
        <v>8.9542294921874994</v>
      </c>
      <c r="AK106" s="648">
        <v>280.91017742891074</v>
      </c>
    </row>
    <row r="107" spans="3:37" x14ac:dyDescent="0.2">
      <c r="C107" s="646" t="s">
        <v>79</v>
      </c>
      <c r="D107" s="640">
        <v>0</v>
      </c>
      <c r="E107" s="640">
        <v>0</v>
      </c>
      <c r="F107" s="640">
        <v>216.8751541495462</v>
      </c>
      <c r="G107" s="640">
        <v>32.745585882615877</v>
      </c>
      <c r="H107" s="640">
        <v>0</v>
      </c>
      <c r="I107" s="640">
        <v>0</v>
      </c>
      <c r="J107" s="640">
        <v>0</v>
      </c>
      <c r="K107" s="640">
        <v>0</v>
      </c>
      <c r="L107" s="640">
        <v>20.896591906701669</v>
      </c>
      <c r="M107" s="640">
        <v>0.66827726291052814</v>
      </c>
      <c r="N107" s="640">
        <v>0</v>
      </c>
      <c r="O107" s="640">
        <v>0</v>
      </c>
      <c r="P107" s="640">
        <v>80.819270278256823</v>
      </c>
      <c r="Q107" s="640">
        <v>0</v>
      </c>
      <c r="R107" s="640">
        <v>2.9193508940431485</v>
      </c>
      <c r="S107" s="648">
        <v>354.92423037407423</v>
      </c>
      <c r="U107" s="646" t="s">
        <v>79</v>
      </c>
      <c r="V107" s="640">
        <v>0</v>
      </c>
      <c r="W107" s="640">
        <v>0</v>
      </c>
      <c r="X107" s="640">
        <v>8.8339079607242379</v>
      </c>
      <c r="Y107" s="640">
        <v>0</v>
      </c>
      <c r="Z107" s="640">
        <v>0</v>
      </c>
      <c r="AA107" s="640">
        <v>0</v>
      </c>
      <c r="AB107" s="640">
        <v>0</v>
      </c>
      <c r="AC107" s="640">
        <v>0</v>
      </c>
      <c r="AD107" s="640">
        <v>12.788272739607951</v>
      </c>
      <c r="AE107" s="640">
        <v>24.887279738493259</v>
      </c>
      <c r="AF107" s="640">
        <v>0</v>
      </c>
      <c r="AG107" s="640">
        <v>0</v>
      </c>
      <c r="AH107" s="640">
        <v>93.844452584108197</v>
      </c>
      <c r="AI107" s="640">
        <v>0</v>
      </c>
      <c r="AJ107" s="640">
        <v>7.1149935986121697</v>
      </c>
      <c r="AK107" s="648">
        <v>147.46890662154581</v>
      </c>
    </row>
    <row r="108" spans="3:37" x14ac:dyDescent="0.2">
      <c r="C108" s="646" t="s">
        <v>80</v>
      </c>
      <c r="D108" s="640">
        <v>0</v>
      </c>
      <c r="E108" s="640">
        <v>0</v>
      </c>
      <c r="F108" s="640">
        <v>5.2094674308398901</v>
      </c>
      <c r="G108" s="640">
        <v>68.551385920257417</v>
      </c>
      <c r="H108" s="640">
        <v>0</v>
      </c>
      <c r="I108" s="640">
        <v>0</v>
      </c>
      <c r="J108" s="640">
        <v>86.155325304334795</v>
      </c>
      <c r="K108" s="640">
        <v>0</v>
      </c>
      <c r="L108" s="640">
        <v>0</v>
      </c>
      <c r="M108" s="640">
        <v>1.3990078759236206</v>
      </c>
      <c r="N108" s="640">
        <v>66.478227859390046</v>
      </c>
      <c r="O108" s="640">
        <v>2.1206229173139883</v>
      </c>
      <c r="P108" s="640">
        <v>194.47767196350526</v>
      </c>
      <c r="Q108" s="640">
        <v>15.182773802844931</v>
      </c>
      <c r="R108" s="640">
        <v>0</v>
      </c>
      <c r="S108" s="648">
        <v>439.5744830744099</v>
      </c>
      <c r="U108" s="646" t="s">
        <v>80</v>
      </c>
      <c r="V108" s="640">
        <v>0</v>
      </c>
      <c r="W108" s="640">
        <v>0</v>
      </c>
      <c r="X108" s="640">
        <v>0.92826525658471626</v>
      </c>
      <c r="Y108" s="640">
        <v>0</v>
      </c>
      <c r="Z108" s="640">
        <v>0</v>
      </c>
      <c r="AA108" s="640">
        <v>0</v>
      </c>
      <c r="AB108" s="640">
        <v>47.227858114444189</v>
      </c>
      <c r="AC108" s="640">
        <v>0</v>
      </c>
      <c r="AD108" s="640">
        <v>0</v>
      </c>
      <c r="AE108" s="640">
        <v>17.293312779197663</v>
      </c>
      <c r="AF108" s="640">
        <v>108.09916343666818</v>
      </c>
      <c r="AG108" s="640">
        <v>4.9369795689122755</v>
      </c>
      <c r="AH108" s="640">
        <v>137.38519988829395</v>
      </c>
      <c r="AI108" s="640">
        <v>27.91071693101145</v>
      </c>
      <c r="AJ108" s="640">
        <v>0</v>
      </c>
      <c r="AK108" s="648">
        <v>343.78149597511242</v>
      </c>
    </row>
    <row r="109" spans="3:37" x14ac:dyDescent="0.2">
      <c r="C109" s="646" t="s">
        <v>81</v>
      </c>
      <c r="D109" s="640">
        <v>0</v>
      </c>
      <c r="E109" s="640">
        <v>0</v>
      </c>
      <c r="F109" s="640">
        <v>2.3181271880740835</v>
      </c>
      <c r="G109" s="640">
        <v>62.553452404821357</v>
      </c>
      <c r="H109" s="640">
        <v>0</v>
      </c>
      <c r="I109" s="640">
        <v>0</v>
      </c>
      <c r="J109" s="640">
        <v>3.0090868580403627</v>
      </c>
      <c r="K109" s="640">
        <v>2.5363417285398034E-2</v>
      </c>
      <c r="L109" s="640">
        <v>0</v>
      </c>
      <c r="M109" s="640">
        <v>1.27660106948615</v>
      </c>
      <c r="N109" s="640">
        <v>8.6055350400994808</v>
      </c>
      <c r="O109" s="640">
        <v>0.68093940948821108</v>
      </c>
      <c r="P109" s="640">
        <v>146.08879967332064</v>
      </c>
      <c r="Q109" s="640">
        <v>3.3506823845440552</v>
      </c>
      <c r="R109" s="640">
        <v>0</v>
      </c>
      <c r="S109" s="648">
        <v>227.90858744515972</v>
      </c>
      <c r="U109" s="646" t="s">
        <v>81</v>
      </c>
      <c r="V109" s="640">
        <v>0</v>
      </c>
      <c r="W109" s="640">
        <v>0</v>
      </c>
      <c r="X109" s="640">
        <v>0.55102356567889155</v>
      </c>
      <c r="Y109" s="640">
        <v>0</v>
      </c>
      <c r="Z109" s="640">
        <v>0</v>
      </c>
      <c r="AA109" s="640">
        <v>0</v>
      </c>
      <c r="AB109" s="640">
        <v>6.5361621549849476</v>
      </c>
      <c r="AC109" s="640">
        <v>2.5363417285398034E-2</v>
      </c>
      <c r="AD109" s="640">
        <v>0</v>
      </c>
      <c r="AE109" s="640">
        <v>5.3379988256415478</v>
      </c>
      <c r="AF109" s="640">
        <v>15.069021727073199</v>
      </c>
      <c r="AG109" s="640">
        <v>1.4375946320597892</v>
      </c>
      <c r="AH109" s="640">
        <v>112.31243747223964</v>
      </c>
      <c r="AI109" s="640">
        <v>14.972206075305797</v>
      </c>
      <c r="AJ109" s="640">
        <v>0</v>
      </c>
      <c r="AK109" s="648">
        <v>156.24180787026921</v>
      </c>
    </row>
    <row r="110" spans="3:37" x14ac:dyDescent="0.2">
      <c r="C110" s="646" t="s">
        <v>82</v>
      </c>
      <c r="D110" s="640">
        <v>0</v>
      </c>
      <c r="E110" s="640">
        <v>0</v>
      </c>
      <c r="F110" s="640">
        <v>27.219719362233906</v>
      </c>
      <c r="G110" s="640">
        <v>0.81069667111944488</v>
      </c>
      <c r="H110" s="640">
        <v>0</v>
      </c>
      <c r="I110" s="640">
        <v>0</v>
      </c>
      <c r="J110" s="640">
        <v>5.0054618408177598</v>
      </c>
      <c r="K110" s="640">
        <v>0</v>
      </c>
      <c r="L110" s="640">
        <v>3.2629555410385191</v>
      </c>
      <c r="M110" s="640">
        <v>1.6544830022845812E-2</v>
      </c>
      <c r="N110" s="640">
        <v>0</v>
      </c>
      <c r="O110" s="640">
        <v>6.051975379409523E-2</v>
      </c>
      <c r="P110" s="640">
        <v>5.5235547180923223</v>
      </c>
      <c r="Q110" s="640">
        <v>0</v>
      </c>
      <c r="R110" s="640">
        <v>0</v>
      </c>
      <c r="S110" s="648">
        <v>41.899452717118898</v>
      </c>
      <c r="U110" s="646" t="s">
        <v>82</v>
      </c>
      <c r="V110" s="640">
        <v>0</v>
      </c>
      <c r="W110" s="640">
        <v>0</v>
      </c>
      <c r="X110" s="640">
        <v>0.67158967449506357</v>
      </c>
      <c r="Y110" s="640">
        <v>0</v>
      </c>
      <c r="Z110" s="640">
        <v>0</v>
      </c>
      <c r="AA110" s="640">
        <v>0</v>
      </c>
      <c r="AB110" s="640">
        <v>5.0054618408177598</v>
      </c>
      <c r="AC110" s="640">
        <v>0</v>
      </c>
      <c r="AD110" s="640">
        <v>35.167200828266267</v>
      </c>
      <c r="AE110" s="640">
        <v>0.86765586771995196</v>
      </c>
      <c r="AF110" s="640">
        <v>0</v>
      </c>
      <c r="AG110" s="640">
        <v>2.1874070050904897</v>
      </c>
      <c r="AH110" s="640">
        <v>5.6657335511185538</v>
      </c>
      <c r="AI110" s="640">
        <v>0</v>
      </c>
      <c r="AJ110" s="640">
        <v>0.44339331184266689</v>
      </c>
      <c r="AK110" s="648">
        <v>50.008442079350758</v>
      </c>
    </row>
    <row r="111" spans="3:37" x14ac:dyDescent="0.2">
      <c r="C111" s="646" t="s">
        <v>354</v>
      </c>
      <c r="D111" s="640">
        <v>0</v>
      </c>
      <c r="E111" s="640">
        <v>0</v>
      </c>
      <c r="F111" s="640">
        <v>0</v>
      </c>
      <c r="G111" s="640">
        <v>0</v>
      </c>
      <c r="H111" s="640">
        <v>0</v>
      </c>
      <c r="I111" s="640">
        <v>0</v>
      </c>
      <c r="J111" s="640">
        <v>0</v>
      </c>
      <c r="K111" s="640">
        <v>0</v>
      </c>
      <c r="L111" s="640">
        <v>0</v>
      </c>
      <c r="M111" s="640">
        <v>0</v>
      </c>
      <c r="N111" s="640">
        <v>0</v>
      </c>
      <c r="O111" s="640">
        <v>0</v>
      </c>
      <c r="P111" s="640">
        <v>0.44999999999999996</v>
      </c>
      <c r="Q111" s="640">
        <v>0</v>
      </c>
      <c r="R111" s="640">
        <v>0</v>
      </c>
      <c r="S111" s="648">
        <v>0.44999999999999996</v>
      </c>
      <c r="U111" s="646" t="s">
        <v>354</v>
      </c>
      <c r="V111" s="640">
        <v>0</v>
      </c>
      <c r="W111" s="640">
        <v>0</v>
      </c>
      <c r="X111" s="640">
        <v>0</v>
      </c>
      <c r="Y111" s="640">
        <v>0</v>
      </c>
      <c r="Z111" s="640">
        <v>0</v>
      </c>
      <c r="AA111" s="640">
        <v>0</v>
      </c>
      <c r="AB111" s="640">
        <v>0</v>
      </c>
      <c r="AC111" s="640">
        <v>0</v>
      </c>
      <c r="AD111" s="640">
        <v>0</v>
      </c>
      <c r="AE111" s="640">
        <v>0</v>
      </c>
      <c r="AF111" s="640">
        <v>0</v>
      </c>
      <c r="AG111" s="640">
        <v>0</v>
      </c>
      <c r="AH111" s="640">
        <v>6</v>
      </c>
      <c r="AI111" s="640">
        <v>0</v>
      </c>
      <c r="AJ111" s="640">
        <v>0</v>
      </c>
      <c r="AK111" s="648">
        <v>6</v>
      </c>
    </row>
    <row r="112" spans="3:37" x14ac:dyDescent="0.2">
      <c r="C112" s="644" t="s">
        <v>83</v>
      </c>
      <c r="D112" s="645">
        <v>3.6733927919712848</v>
      </c>
      <c r="E112" s="645">
        <v>0</v>
      </c>
      <c r="F112" s="645">
        <v>271.01966816424783</v>
      </c>
      <c r="G112" s="645">
        <v>255.79122918902203</v>
      </c>
      <c r="H112" s="645">
        <v>0</v>
      </c>
      <c r="I112" s="645">
        <v>0</v>
      </c>
      <c r="J112" s="645">
        <v>116.96131138117599</v>
      </c>
      <c r="K112" s="645">
        <v>1.7266732887522405</v>
      </c>
      <c r="L112" s="645">
        <v>25.166558400865188</v>
      </c>
      <c r="M112" s="645">
        <v>5.238424175077693</v>
      </c>
      <c r="N112" s="645">
        <v>75.083762899489528</v>
      </c>
      <c r="O112" s="645">
        <v>2.8624530156397006</v>
      </c>
      <c r="P112" s="645">
        <v>541.90719860025752</v>
      </c>
      <c r="Q112" s="645">
        <v>34.744016552062419</v>
      </c>
      <c r="R112" s="645">
        <v>3.1559026365968594</v>
      </c>
      <c r="S112" s="645">
        <v>1337.3305910951583</v>
      </c>
      <c r="U112" s="644" t="s">
        <v>83</v>
      </c>
      <c r="V112" s="645">
        <v>1.5000162600463405</v>
      </c>
      <c r="W112" s="645">
        <v>0</v>
      </c>
      <c r="X112" s="645">
        <v>11.642988856720871</v>
      </c>
      <c r="Y112" s="645">
        <v>0</v>
      </c>
      <c r="Z112" s="645">
        <v>0</v>
      </c>
      <c r="AA112" s="645">
        <v>0</v>
      </c>
      <c r="AB112" s="645">
        <v>72.998047331393281</v>
      </c>
      <c r="AC112" s="645">
        <v>4.1448350868904589</v>
      </c>
      <c r="AD112" s="645">
        <v>56.30488079443672</v>
      </c>
      <c r="AE112" s="645">
        <v>108.92560601395611</v>
      </c>
      <c r="AF112" s="645">
        <v>123.16818516374138</v>
      </c>
      <c r="AG112" s="645">
        <v>8.5623521411059595</v>
      </c>
      <c r="AH112" s="645">
        <v>512.22753841958684</v>
      </c>
      <c r="AI112" s="645">
        <v>68.423763504668656</v>
      </c>
      <c r="AJ112" s="645">
        <v>16.512616402642333</v>
      </c>
      <c r="AK112" s="645">
        <v>984.4108299751889</v>
      </c>
    </row>
    <row r="113" spans="3:37" x14ac:dyDescent="0.2">
      <c r="C113" s="639" t="s">
        <v>84</v>
      </c>
      <c r="D113" s="640">
        <v>0</v>
      </c>
      <c r="E113" s="640">
        <v>0</v>
      </c>
      <c r="F113" s="640">
        <v>100.05515171814793</v>
      </c>
      <c r="G113" s="640">
        <v>11.196954266678716</v>
      </c>
      <c r="H113" s="640">
        <v>0</v>
      </c>
      <c r="I113" s="640">
        <v>0</v>
      </c>
      <c r="J113" s="640">
        <v>0</v>
      </c>
      <c r="K113" s="640">
        <v>0</v>
      </c>
      <c r="L113" s="640">
        <v>0</v>
      </c>
      <c r="M113" s="640">
        <v>0</v>
      </c>
      <c r="N113" s="640">
        <v>0</v>
      </c>
      <c r="O113" s="640">
        <v>0</v>
      </c>
      <c r="P113" s="640">
        <v>0</v>
      </c>
      <c r="Q113" s="640">
        <v>0</v>
      </c>
      <c r="R113" s="640">
        <v>3.9154347726113912</v>
      </c>
      <c r="S113" s="648">
        <v>115.16754075743803</v>
      </c>
      <c r="U113" s="639" t="s">
        <v>84</v>
      </c>
      <c r="V113" s="640">
        <v>0</v>
      </c>
      <c r="W113" s="640">
        <v>0</v>
      </c>
      <c r="X113" s="640">
        <v>57.953190468871433</v>
      </c>
      <c r="Y113" s="640">
        <v>0.51452681198611927</v>
      </c>
      <c r="Z113" s="640">
        <v>0</v>
      </c>
      <c r="AA113" s="640">
        <v>0</v>
      </c>
      <c r="AB113" s="640">
        <v>0</v>
      </c>
      <c r="AC113" s="640">
        <v>0</v>
      </c>
      <c r="AD113" s="640">
        <v>30.108432000732424</v>
      </c>
      <c r="AE113" s="640">
        <v>0</v>
      </c>
      <c r="AF113" s="640">
        <v>0</v>
      </c>
      <c r="AG113" s="640">
        <v>0</v>
      </c>
      <c r="AH113" s="640">
        <v>0</v>
      </c>
      <c r="AI113" s="640">
        <v>0</v>
      </c>
      <c r="AJ113" s="640">
        <v>20.543554244995118</v>
      </c>
      <c r="AK113" s="648">
        <v>109.1197035265851</v>
      </c>
    </row>
    <row r="114" spans="3:37" x14ac:dyDescent="0.2">
      <c r="C114" s="644" t="s">
        <v>85</v>
      </c>
      <c r="D114" s="645">
        <v>3.6733927919712848</v>
      </c>
      <c r="E114" s="645">
        <v>0</v>
      </c>
      <c r="F114" s="645">
        <v>371.07481988239573</v>
      </c>
      <c r="G114" s="645">
        <v>266.98818345570078</v>
      </c>
      <c r="H114" s="645">
        <v>0</v>
      </c>
      <c r="I114" s="645">
        <v>0</v>
      </c>
      <c r="J114" s="645">
        <v>116.96131138117599</v>
      </c>
      <c r="K114" s="645">
        <v>1.7266732887522405</v>
      </c>
      <c r="L114" s="645">
        <v>25.166558400865188</v>
      </c>
      <c r="M114" s="645">
        <v>5.238424175077693</v>
      </c>
      <c r="N114" s="645">
        <v>75.083762899489528</v>
      </c>
      <c r="O114" s="645">
        <v>2.8624530156397006</v>
      </c>
      <c r="P114" s="645">
        <v>541.90719860025752</v>
      </c>
      <c r="Q114" s="645">
        <v>34.744016552062419</v>
      </c>
      <c r="R114" s="645">
        <v>7.071337409208251</v>
      </c>
      <c r="S114" s="645">
        <v>1452.4981318525963</v>
      </c>
      <c r="U114" s="644" t="s">
        <v>85</v>
      </c>
      <c r="V114" s="645">
        <v>1.5000162600463405</v>
      </c>
      <c r="W114" s="645">
        <v>0</v>
      </c>
      <c r="X114" s="645">
        <v>69.596179325592303</v>
      </c>
      <c r="Y114" s="645">
        <v>0.51452681198611927</v>
      </c>
      <c r="Z114" s="645">
        <v>0</v>
      </c>
      <c r="AA114" s="645">
        <v>0</v>
      </c>
      <c r="AB114" s="645">
        <v>72.998047331393281</v>
      </c>
      <c r="AC114" s="645">
        <v>4.1448350868904589</v>
      </c>
      <c r="AD114" s="645">
        <v>86.413312795169148</v>
      </c>
      <c r="AE114" s="645">
        <v>108.92560601395611</v>
      </c>
      <c r="AF114" s="645">
        <v>123.16818516374138</v>
      </c>
      <c r="AG114" s="645">
        <v>8.5623521411059595</v>
      </c>
      <c r="AH114" s="645">
        <v>512.22753841958684</v>
      </c>
      <c r="AI114" s="645">
        <v>68.423763504668656</v>
      </c>
      <c r="AJ114" s="645">
        <v>37.056170647637451</v>
      </c>
      <c r="AK114" s="645">
        <v>1093.530533501774</v>
      </c>
    </row>
    <row r="115" spans="3:37" x14ac:dyDescent="0.2">
      <c r="C115" s="634"/>
      <c r="D115" s="634"/>
      <c r="E115" s="634"/>
      <c r="F115" s="634"/>
      <c r="G115" s="634"/>
      <c r="H115" s="634"/>
      <c r="I115" s="634"/>
      <c r="J115" s="634"/>
      <c r="K115" s="634"/>
      <c r="L115" s="634"/>
      <c r="M115" s="634"/>
      <c r="N115" s="634"/>
      <c r="O115" s="634"/>
      <c r="P115" s="634"/>
      <c r="Q115" s="634"/>
      <c r="R115" s="634"/>
      <c r="S115" s="634"/>
      <c r="U115" s="634"/>
      <c r="V115" s="634"/>
      <c r="W115" s="634"/>
      <c r="X115" s="634"/>
      <c r="Y115" s="634"/>
      <c r="Z115" s="634"/>
      <c r="AA115" s="634"/>
      <c r="AB115" s="634"/>
      <c r="AC115" s="634"/>
      <c r="AD115" s="634"/>
      <c r="AE115" s="634"/>
      <c r="AF115" s="634"/>
      <c r="AG115" s="634"/>
      <c r="AH115" s="634"/>
      <c r="AI115" s="634"/>
      <c r="AJ115" s="634"/>
      <c r="AK115" s="634"/>
    </row>
    <row r="116" spans="3:37" x14ac:dyDescent="0.2">
      <c r="C116" s="634"/>
      <c r="D116" s="634"/>
      <c r="E116" s="634"/>
      <c r="F116" s="634"/>
      <c r="G116" s="634"/>
      <c r="H116" s="634"/>
      <c r="I116" s="634"/>
      <c r="J116" s="634"/>
      <c r="K116" s="634"/>
      <c r="L116" s="634"/>
      <c r="M116" s="634"/>
      <c r="N116" s="634"/>
      <c r="O116" s="634"/>
      <c r="P116" s="634"/>
      <c r="Q116" s="634"/>
      <c r="R116" s="634"/>
      <c r="S116" s="634"/>
      <c r="U116" s="634"/>
      <c r="V116" s="634"/>
      <c r="W116" s="634"/>
      <c r="X116" s="634"/>
      <c r="Y116" s="634"/>
      <c r="Z116" s="634"/>
      <c r="AA116" s="634"/>
      <c r="AB116" s="634"/>
      <c r="AC116" s="634"/>
      <c r="AD116" s="634"/>
      <c r="AE116" s="634"/>
      <c r="AF116" s="634"/>
      <c r="AG116" s="634"/>
      <c r="AH116" s="634"/>
      <c r="AI116" s="634"/>
      <c r="AJ116" s="634"/>
      <c r="AK116" s="634"/>
    </row>
  </sheetData>
  <mergeCells count="80">
    <mergeCell ref="C2:S2"/>
    <mergeCell ref="U2:AK2"/>
    <mergeCell ref="U10:U11"/>
    <mergeCell ref="V10:V11"/>
    <mergeCell ref="C8:S8"/>
    <mergeCell ref="U8:AK8"/>
    <mergeCell ref="C10:C11"/>
    <mergeCell ref="D10:D11"/>
    <mergeCell ref="E10:E11"/>
    <mergeCell ref="F10:F11"/>
    <mergeCell ref="G10:G11"/>
    <mergeCell ref="H10:H11"/>
    <mergeCell ref="I10:I11"/>
    <mergeCell ref="J10:O10"/>
    <mergeCell ref="AH10:AH11"/>
    <mergeCell ref="AI10:AI11"/>
    <mergeCell ref="AJ10:AJ11"/>
    <mergeCell ref="AK10:AK11"/>
    <mergeCell ref="C44:S44"/>
    <mergeCell ref="U44:AK44"/>
    <mergeCell ref="W10:W11"/>
    <mergeCell ref="X10:X11"/>
    <mergeCell ref="Y10:Y11"/>
    <mergeCell ref="Z10:Z11"/>
    <mergeCell ref="AA10:AA11"/>
    <mergeCell ref="AB10:AG10"/>
    <mergeCell ref="P10:P11"/>
    <mergeCell ref="Q10:Q11"/>
    <mergeCell ref="R10:R11"/>
    <mergeCell ref="S10:S11"/>
    <mergeCell ref="S46:S47"/>
    <mergeCell ref="C46:C47"/>
    <mergeCell ref="D46:D47"/>
    <mergeCell ref="E46:E47"/>
    <mergeCell ref="F46:F47"/>
    <mergeCell ref="G46:G47"/>
    <mergeCell ref="H46:H47"/>
    <mergeCell ref="I46:I47"/>
    <mergeCell ref="J46:O46"/>
    <mergeCell ref="P46:P47"/>
    <mergeCell ref="Q46:Q47"/>
    <mergeCell ref="R46:R47"/>
    <mergeCell ref="AK46:AK47"/>
    <mergeCell ref="U46:U47"/>
    <mergeCell ref="V46:V47"/>
    <mergeCell ref="W46:W47"/>
    <mergeCell ref="X46:X47"/>
    <mergeCell ref="Y46:Y47"/>
    <mergeCell ref="Z46:Z47"/>
    <mergeCell ref="AA46:AA47"/>
    <mergeCell ref="AB46:AG46"/>
    <mergeCell ref="AH46:AH47"/>
    <mergeCell ref="AI46:AI47"/>
    <mergeCell ref="AJ46:AJ47"/>
    <mergeCell ref="V82:V83"/>
    <mergeCell ref="C80:S80"/>
    <mergeCell ref="U80:AK80"/>
    <mergeCell ref="C82:C83"/>
    <mergeCell ref="D82:D83"/>
    <mergeCell ref="E82:E83"/>
    <mergeCell ref="F82:F83"/>
    <mergeCell ref="G82:G83"/>
    <mergeCell ref="H82:H83"/>
    <mergeCell ref="I82:I83"/>
    <mergeCell ref="J82:O82"/>
    <mergeCell ref="P82:P83"/>
    <mergeCell ref="Q82:Q83"/>
    <mergeCell ref="R82:R83"/>
    <mergeCell ref="S82:S83"/>
    <mergeCell ref="U82:U83"/>
    <mergeCell ref="AH82:AH83"/>
    <mergeCell ref="AI82:AI83"/>
    <mergeCell ref="AJ82:AJ83"/>
    <mergeCell ref="AK82:AK83"/>
    <mergeCell ref="W82:W83"/>
    <mergeCell ref="X82:X83"/>
    <mergeCell ref="Y82:Y83"/>
    <mergeCell ref="Z82:Z83"/>
    <mergeCell ref="AA82:AA83"/>
    <mergeCell ref="AB82:AG82"/>
  </mergeCells>
  <conditionalFormatting sqref="D12:S18">
    <cfRule type="expression" dxfId="1613" priority="331">
      <formula>LEN(TRIM(D12))=0</formula>
    </cfRule>
  </conditionalFormatting>
  <conditionalFormatting sqref="D20:S32">
    <cfRule type="expression" dxfId="1612" priority="308">
      <formula>LEN(TRIM(D20))=0</formula>
    </cfRule>
    <cfRule type="cellIs" dxfId="1611" priority="307" operator="equal">
      <formula>0</formula>
    </cfRule>
  </conditionalFormatting>
  <conditionalFormatting sqref="D34:S42">
    <cfRule type="expression" dxfId="1610" priority="296">
      <formula>LEN(TRIM(D34))=0</formula>
    </cfRule>
    <cfRule type="cellIs" dxfId="1609" priority="295" operator="equal">
      <formula>0</formula>
    </cfRule>
  </conditionalFormatting>
  <conditionalFormatting sqref="D48:S54">
    <cfRule type="expression" dxfId="1608" priority="290">
      <formula>LEN(TRIM(D48))=0</formula>
    </cfRule>
  </conditionalFormatting>
  <conditionalFormatting sqref="D56:S68">
    <cfRule type="expression" dxfId="1607" priority="267">
      <formula>LEN(TRIM(D56))=0</formula>
    </cfRule>
    <cfRule type="cellIs" dxfId="1606" priority="266" operator="equal">
      <formula>0</formula>
    </cfRule>
  </conditionalFormatting>
  <conditionalFormatting sqref="D70:S78">
    <cfRule type="expression" dxfId="1605" priority="255">
      <formula>LEN(TRIM(D70))=0</formula>
    </cfRule>
    <cfRule type="cellIs" dxfId="1604" priority="254" operator="equal">
      <formula>0</formula>
    </cfRule>
  </conditionalFormatting>
  <conditionalFormatting sqref="D84:S90">
    <cfRule type="expression" dxfId="1603" priority="249">
      <formula>LEN(TRIM(D84))=0</formula>
    </cfRule>
  </conditionalFormatting>
  <conditionalFormatting sqref="D92:S104">
    <cfRule type="expression" dxfId="1602" priority="226">
      <formula>LEN(TRIM(D92))=0</formula>
    </cfRule>
    <cfRule type="cellIs" dxfId="1601" priority="225" operator="equal">
      <formula>0</formula>
    </cfRule>
  </conditionalFormatting>
  <conditionalFormatting sqref="D106:S114">
    <cfRule type="expression" dxfId="1600" priority="214">
      <formula>LEN(TRIM(D106))=0</formula>
    </cfRule>
    <cfRule type="cellIs" dxfId="1599" priority="213" operator="equal">
      <formula>0</formula>
    </cfRule>
  </conditionalFormatting>
  <conditionalFormatting sqref="G12:G14 Q12:S14 D12:F17 E15:I17 P15:S17 D18:S18">
    <cfRule type="cellIs" dxfId="1598" priority="315" operator="equal">
      <formula>0</formula>
    </cfRule>
  </conditionalFormatting>
  <conditionalFormatting sqref="G48:G50 Q48:S50 D48:F53 E51:I53 P51:S53 D54:S54">
    <cfRule type="cellIs" dxfId="1597" priority="274" operator="equal">
      <formula>0</formula>
    </cfRule>
  </conditionalFormatting>
  <conditionalFormatting sqref="G84:G86 Q84:S86 D84:F89 E87:I89 P87:S89 D90:S90">
    <cfRule type="cellIs" dxfId="1596" priority="233" operator="equal">
      <formula>0</formula>
    </cfRule>
  </conditionalFormatting>
  <conditionalFormatting sqref="H12:I17">
    <cfRule type="cellIs" dxfId="1595" priority="317" operator="equal">
      <formula>0</formula>
    </cfRule>
  </conditionalFormatting>
  <conditionalFormatting sqref="H48:I53">
    <cfRule type="cellIs" dxfId="1594" priority="276" operator="equal">
      <formula>0</formula>
    </cfRule>
  </conditionalFormatting>
  <conditionalFormatting sqref="H84:I89">
    <cfRule type="cellIs" dxfId="1593" priority="235" operator="equal">
      <formula>0</formula>
    </cfRule>
  </conditionalFormatting>
  <conditionalFormatting sqref="J11:O17">
    <cfRule type="cellIs" dxfId="1592" priority="31" operator="equal">
      <formula>0</formula>
    </cfRule>
  </conditionalFormatting>
  <conditionalFormatting sqref="J47:O53">
    <cfRule type="cellIs" dxfId="1591" priority="19" operator="equal">
      <formula>0</formula>
    </cfRule>
  </conditionalFormatting>
  <conditionalFormatting sqref="J83:O89">
    <cfRule type="cellIs" dxfId="1590" priority="7" operator="equal">
      <formula>0</formula>
    </cfRule>
  </conditionalFormatting>
  <conditionalFormatting sqref="K12:O12">
    <cfRule type="cellIs" dxfId="1589" priority="320" operator="equal">
      <formula>0</formula>
    </cfRule>
  </conditionalFormatting>
  <conditionalFormatting sqref="K48:O48">
    <cfRule type="cellIs" dxfId="1588" priority="279" operator="equal">
      <formula>0</formula>
    </cfRule>
  </conditionalFormatting>
  <conditionalFormatting sqref="K84:O84">
    <cfRule type="cellIs" dxfId="1587" priority="238" operator="equal">
      <formula>0</formula>
    </cfRule>
  </conditionalFormatting>
  <conditionalFormatting sqref="P12:P17">
    <cfRule type="cellIs" dxfId="1586" priority="316" operator="equal">
      <formula>0</formula>
    </cfRule>
  </conditionalFormatting>
  <conditionalFormatting sqref="P48:P53">
    <cfRule type="cellIs" dxfId="1585" priority="275" operator="equal">
      <formula>0</formula>
    </cfRule>
  </conditionalFormatting>
  <conditionalFormatting sqref="P84:P89">
    <cfRule type="cellIs" dxfId="1584" priority="234" operator="equal">
      <formula>0</formula>
    </cfRule>
  </conditionalFormatting>
  <conditionalFormatting sqref="V12:AK18">
    <cfRule type="expression" dxfId="1583" priority="167">
      <formula>LEN(TRIM(V12))=0</formula>
    </cfRule>
  </conditionalFormatting>
  <conditionalFormatting sqref="V20:AK32">
    <cfRule type="cellIs" dxfId="1582" priority="143" operator="equal">
      <formula>0</formula>
    </cfRule>
    <cfRule type="expression" dxfId="1581" priority="144">
      <formula>LEN(TRIM(V20))=0</formula>
    </cfRule>
  </conditionalFormatting>
  <conditionalFormatting sqref="V34:AK42">
    <cfRule type="cellIs" dxfId="1580" priority="131" operator="equal">
      <formula>0</formula>
    </cfRule>
    <cfRule type="expression" dxfId="1579" priority="132">
      <formula>LEN(TRIM(V34))=0</formula>
    </cfRule>
  </conditionalFormatting>
  <conditionalFormatting sqref="V48:AK54">
    <cfRule type="expression" dxfId="1578" priority="126">
      <formula>LEN(TRIM(V48))=0</formula>
    </cfRule>
  </conditionalFormatting>
  <conditionalFormatting sqref="V56:AK68">
    <cfRule type="expression" dxfId="1577" priority="103">
      <formula>LEN(TRIM(V56))=0</formula>
    </cfRule>
    <cfRule type="cellIs" dxfId="1576" priority="102" operator="equal">
      <formula>0</formula>
    </cfRule>
  </conditionalFormatting>
  <conditionalFormatting sqref="V70:AK78">
    <cfRule type="expression" dxfId="1575" priority="91">
      <formula>LEN(TRIM(V70))=0</formula>
    </cfRule>
    <cfRule type="cellIs" dxfId="1574" priority="90" operator="equal">
      <formula>0</formula>
    </cfRule>
  </conditionalFormatting>
  <conditionalFormatting sqref="V84:AK90">
    <cfRule type="expression" dxfId="1573" priority="85">
      <formula>LEN(TRIM(V84))=0</formula>
    </cfRule>
  </conditionalFormatting>
  <conditionalFormatting sqref="V92:AK104">
    <cfRule type="expression" dxfId="1572" priority="62">
      <formula>LEN(TRIM(V92))=0</formula>
    </cfRule>
    <cfRule type="cellIs" dxfId="1571" priority="61" operator="equal">
      <formula>0</formula>
    </cfRule>
  </conditionalFormatting>
  <conditionalFormatting sqref="V106:AK114">
    <cfRule type="cellIs" dxfId="1570" priority="49" operator="equal">
      <formula>0</formula>
    </cfRule>
    <cfRule type="expression" dxfId="1569" priority="50">
      <formula>LEN(TRIM(V106))=0</formula>
    </cfRule>
  </conditionalFormatting>
  <conditionalFormatting sqref="Y12:Y14 AI12:AK14 V12:X17 W15:AA17 AH15:AK17 V18:AK18">
    <cfRule type="cellIs" dxfId="1568" priority="151" operator="equal">
      <formula>0</formula>
    </cfRule>
  </conditionalFormatting>
  <conditionalFormatting sqref="Y48:Y50 AI48:AK50 V48:X53 W51:AA53 AH51:AK53 V54:AK54">
    <cfRule type="cellIs" dxfId="1567" priority="110" operator="equal">
      <formula>0</formula>
    </cfRule>
  </conditionalFormatting>
  <conditionalFormatting sqref="Y84:Y86 AI84:AK86 V84:X89 W87:AA89 AH87:AK89 V90:AK90">
    <cfRule type="cellIs" dxfId="1566" priority="69" operator="equal">
      <formula>0</formula>
    </cfRule>
  </conditionalFormatting>
  <conditionalFormatting sqref="Z12:AA17">
    <cfRule type="cellIs" dxfId="1565" priority="153" operator="equal">
      <formula>0</formula>
    </cfRule>
  </conditionalFormatting>
  <conditionalFormatting sqref="Z48:AA53">
    <cfRule type="cellIs" dxfId="1564" priority="112" operator="equal">
      <formula>0</formula>
    </cfRule>
  </conditionalFormatting>
  <conditionalFormatting sqref="Z84:AA89">
    <cfRule type="cellIs" dxfId="1563" priority="71" operator="equal">
      <formula>0</formula>
    </cfRule>
  </conditionalFormatting>
  <conditionalFormatting sqref="AB11:AG17">
    <cfRule type="cellIs" dxfId="1562" priority="25" operator="equal">
      <formula>0</formula>
    </cfRule>
  </conditionalFormatting>
  <conditionalFormatting sqref="AB47:AG53">
    <cfRule type="cellIs" dxfId="1561" priority="13" operator="equal">
      <formula>0</formula>
    </cfRule>
  </conditionalFormatting>
  <conditionalFormatting sqref="AB83:AG89">
    <cfRule type="cellIs" dxfId="1560" priority="1" operator="equal">
      <formula>0</formula>
    </cfRule>
  </conditionalFormatting>
  <conditionalFormatting sqref="AC12:AG12">
    <cfRule type="cellIs" dxfId="1559" priority="156" operator="equal">
      <formula>0</formula>
    </cfRule>
  </conditionalFormatting>
  <conditionalFormatting sqref="AC48:AG48">
    <cfRule type="cellIs" dxfId="1558" priority="115" operator="equal">
      <formula>0</formula>
    </cfRule>
  </conditionalFormatting>
  <conditionalFormatting sqref="AC84:AG84">
    <cfRule type="cellIs" dxfId="1557" priority="74" operator="equal">
      <formula>0</formula>
    </cfRule>
  </conditionalFormatting>
  <conditionalFormatting sqref="AH12:AH17">
    <cfRule type="cellIs" dxfId="1556" priority="152" operator="equal">
      <formula>0</formula>
    </cfRule>
  </conditionalFormatting>
  <conditionalFormatting sqref="AH48:AH53">
    <cfRule type="cellIs" dxfId="1555" priority="111" operator="equal">
      <formula>0</formula>
    </cfRule>
  </conditionalFormatting>
  <conditionalFormatting sqref="AH84:AH89">
    <cfRule type="cellIs" dxfId="1554" priority="70"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8495B-4964-48F3-A1A4-D05CD53FB828}">
  <dimension ref="C2:AK80"/>
  <sheetViews>
    <sheetView workbookViewId="0"/>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60" t="s">
        <v>522</v>
      </c>
      <c r="D2" s="760"/>
      <c r="E2" s="760"/>
      <c r="F2" s="760"/>
      <c r="G2" s="760"/>
      <c r="H2" s="760"/>
      <c r="I2" s="760"/>
      <c r="J2" s="760"/>
      <c r="K2" s="760"/>
      <c r="L2" s="760"/>
      <c r="M2" s="760"/>
      <c r="N2" s="760"/>
      <c r="O2" s="760"/>
      <c r="P2" s="760"/>
      <c r="Q2" s="760"/>
      <c r="R2" s="760"/>
      <c r="S2" s="760"/>
      <c r="U2" s="760" t="s">
        <v>523</v>
      </c>
      <c r="V2" s="760"/>
      <c r="W2" s="760"/>
      <c r="X2" s="760"/>
      <c r="Y2" s="760"/>
      <c r="Z2" s="760"/>
      <c r="AA2" s="760"/>
      <c r="AB2" s="760"/>
      <c r="AC2" s="760"/>
      <c r="AD2" s="760"/>
      <c r="AE2" s="760"/>
      <c r="AF2" s="760"/>
      <c r="AG2" s="760"/>
      <c r="AH2" s="760"/>
      <c r="AI2" s="760"/>
      <c r="AJ2" s="760"/>
      <c r="AK2" s="760"/>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338</v>
      </c>
      <c r="D4" s="635" t="s">
        <v>524</v>
      </c>
      <c r="E4" s="634"/>
      <c r="F4" s="634"/>
      <c r="G4" s="634"/>
      <c r="H4" s="636"/>
      <c r="I4" s="634"/>
      <c r="J4" s="634"/>
      <c r="K4" s="634"/>
      <c r="L4" s="634"/>
      <c r="M4" s="634"/>
      <c r="N4" s="634"/>
      <c r="O4" s="634"/>
      <c r="P4" s="634"/>
      <c r="Q4" s="634"/>
      <c r="R4" s="634"/>
      <c r="S4" s="634"/>
      <c r="U4" s="635" t="s">
        <v>338</v>
      </c>
      <c r="V4" s="635" t="s">
        <v>524</v>
      </c>
      <c r="W4" s="634"/>
      <c r="X4" s="634"/>
      <c r="Y4" s="634"/>
      <c r="Z4" s="636"/>
      <c r="AA4" s="634"/>
      <c r="AB4" s="634"/>
      <c r="AC4" s="634"/>
      <c r="AD4" s="634"/>
      <c r="AE4" s="634"/>
      <c r="AF4" s="634"/>
      <c r="AG4" s="634"/>
      <c r="AH4" s="634"/>
      <c r="AI4" s="634"/>
      <c r="AJ4" s="634"/>
      <c r="AK4" s="634"/>
    </row>
    <row r="5" spans="3:37" ht="37.5" x14ac:dyDescent="0.3">
      <c r="C5" s="635" t="s">
        <v>341</v>
      </c>
      <c r="D5" s="635" t="s">
        <v>342</v>
      </c>
      <c r="E5" s="634"/>
      <c r="F5" s="634"/>
      <c r="G5" s="634"/>
      <c r="H5" s="634"/>
      <c r="I5" s="634"/>
      <c r="J5" s="634"/>
      <c r="K5" s="634"/>
      <c r="L5" s="634"/>
      <c r="M5" s="634"/>
      <c r="N5" s="634"/>
      <c r="O5" s="634"/>
      <c r="P5" s="634"/>
      <c r="Q5" s="634"/>
      <c r="R5" s="634"/>
      <c r="S5" s="634"/>
      <c r="U5" s="635" t="s">
        <v>341</v>
      </c>
      <c r="V5" s="635" t="s">
        <v>342</v>
      </c>
      <c r="W5" s="634"/>
      <c r="X5" s="634"/>
      <c r="Y5" s="634"/>
      <c r="Z5" s="634"/>
      <c r="AA5" s="634"/>
      <c r="AB5" s="634"/>
      <c r="AC5" s="634"/>
      <c r="AD5" s="634"/>
      <c r="AE5" s="634"/>
      <c r="AF5" s="634"/>
      <c r="AG5" s="634"/>
      <c r="AH5" s="634"/>
      <c r="AI5" s="634"/>
      <c r="AJ5" s="634"/>
      <c r="AK5" s="634"/>
    </row>
    <row r="6" spans="3:37" ht="18.75" x14ac:dyDescent="0.3">
      <c r="C6" s="635" t="s">
        <v>525</v>
      </c>
      <c r="D6" s="637">
        <v>44909</v>
      </c>
      <c r="E6" s="634"/>
      <c r="F6" s="634"/>
      <c r="G6" s="634"/>
      <c r="H6" s="634"/>
      <c r="I6" s="634"/>
      <c r="J6" s="634"/>
      <c r="K6" s="634"/>
      <c r="L6" s="634"/>
      <c r="M6" s="634"/>
      <c r="N6" s="634"/>
      <c r="O6" s="634"/>
      <c r="P6" s="634"/>
      <c r="Q6" s="634"/>
      <c r="R6" s="634"/>
      <c r="S6" s="634"/>
      <c r="U6" s="635" t="s">
        <v>525</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59" t="s">
        <v>361</v>
      </c>
      <c r="D8" s="759"/>
      <c r="E8" s="759"/>
      <c r="F8" s="759"/>
      <c r="G8" s="759"/>
      <c r="H8" s="759"/>
      <c r="I8" s="759"/>
      <c r="J8" s="759"/>
      <c r="K8" s="759"/>
      <c r="L8" s="759"/>
      <c r="M8" s="759"/>
      <c r="N8" s="759"/>
      <c r="O8" s="759"/>
      <c r="P8" s="759"/>
      <c r="Q8" s="759"/>
      <c r="R8" s="759"/>
      <c r="S8" s="759"/>
      <c r="U8" s="759" t="s">
        <v>361</v>
      </c>
      <c r="V8" s="759"/>
      <c r="W8" s="759"/>
      <c r="X8" s="759"/>
      <c r="Y8" s="759"/>
      <c r="Z8" s="759"/>
      <c r="AA8" s="759"/>
      <c r="AB8" s="759"/>
      <c r="AC8" s="759"/>
      <c r="AD8" s="759"/>
      <c r="AE8" s="759"/>
      <c r="AF8" s="759"/>
      <c r="AG8" s="759"/>
      <c r="AH8" s="759"/>
      <c r="AI8" s="759"/>
      <c r="AJ8" s="759"/>
      <c r="AK8" s="75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58" t="s">
        <v>128</v>
      </c>
      <c r="D10" s="757" t="s">
        <v>42</v>
      </c>
      <c r="E10" s="757" t="s">
        <v>52</v>
      </c>
      <c r="F10" s="757" t="s">
        <v>53</v>
      </c>
      <c r="G10" s="757" t="s">
        <v>32</v>
      </c>
      <c r="H10" s="757" t="s">
        <v>20</v>
      </c>
      <c r="I10" s="757" t="s">
        <v>55</v>
      </c>
      <c r="J10" s="757" t="s">
        <v>56</v>
      </c>
      <c r="K10" s="757"/>
      <c r="L10" s="757"/>
      <c r="M10" s="757"/>
      <c r="N10" s="757"/>
      <c r="O10" s="757"/>
      <c r="P10" s="757" t="s">
        <v>57</v>
      </c>
      <c r="Q10" s="757" t="s">
        <v>58</v>
      </c>
      <c r="R10" s="757" t="s">
        <v>31</v>
      </c>
      <c r="S10" s="757" t="s">
        <v>10</v>
      </c>
      <c r="U10" s="758" t="s">
        <v>128</v>
      </c>
      <c r="V10" s="757" t="s">
        <v>42</v>
      </c>
      <c r="W10" s="757" t="s">
        <v>52</v>
      </c>
      <c r="X10" s="757" t="s">
        <v>53</v>
      </c>
      <c r="Y10" s="757" t="s">
        <v>32</v>
      </c>
      <c r="Z10" s="757" t="s">
        <v>20</v>
      </c>
      <c r="AA10" s="757" t="s">
        <v>55</v>
      </c>
      <c r="AB10" s="757" t="s">
        <v>56</v>
      </c>
      <c r="AC10" s="757"/>
      <c r="AD10" s="757"/>
      <c r="AE10" s="757"/>
      <c r="AF10" s="757"/>
      <c r="AG10" s="757"/>
      <c r="AH10" s="757" t="s">
        <v>57</v>
      </c>
      <c r="AI10" s="757" t="s">
        <v>58</v>
      </c>
      <c r="AJ10" s="757" t="s">
        <v>31</v>
      </c>
      <c r="AK10" s="757" t="s">
        <v>10</v>
      </c>
    </row>
    <row r="11" spans="3:37" ht="56.25" x14ac:dyDescent="0.2">
      <c r="C11" s="758"/>
      <c r="D11" s="757"/>
      <c r="E11" s="757"/>
      <c r="F11" s="757"/>
      <c r="G11" s="757"/>
      <c r="H11" s="757"/>
      <c r="I11" s="757"/>
      <c r="J11" s="638" t="s">
        <v>335</v>
      </c>
      <c r="K11" s="638" t="s">
        <v>40</v>
      </c>
      <c r="L11" s="638" t="s">
        <v>343</v>
      </c>
      <c r="M11" s="638" t="s">
        <v>344</v>
      </c>
      <c r="N11" s="638" t="s">
        <v>345</v>
      </c>
      <c r="O11" s="638" t="s">
        <v>346</v>
      </c>
      <c r="P11" s="757"/>
      <c r="Q11" s="757"/>
      <c r="R11" s="757"/>
      <c r="S11" s="757"/>
      <c r="U11" s="758"/>
      <c r="V11" s="757"/>
      <c r="W11" s="757"/>
      <c r="X11" s="757"/>
      <c r="Y11" s="757"/>
      <c r="Z11" s="757"/>
      <c r="AA11" s="757"/>
      <c r="AB11" s="638" t="s">
        <v>335</v>
      </c>
      <c r="AC11" s="638" t="s">
        <v>40</v>
      </c>
      <c r="AD11" s="638" t="s">
        <v>343</v>
      </c>
      <c r="AE11" s="638" t="s">
        <v>344</v>
      </c>
      <c r="AF11" s="638" t="s">
        <v>345</v>
      </c>
      <c r="AG11" s="638" t="s">
        <v>346</v>
      </c>
      <c r="AH11" s="757"/>
      <c r="AI11" s="757"/>
      <c r="AJ11" s="757"/>
      <c r="AK11" s="757"/>
    </row>
    <row r="12" spans="3:37" x14ac:dyDescent="0.2">
      <c r="C12" s="639" t="s">
        <v>59</v>
      </c>
      <c r="D12" s="640">
        <v>0</v>
      </c>
      <c r="E12" s="641">
        <v>0</v>
      </c>
      <c r="F12" s="641">
        <v>0</v>
      </c>
      <c r="G12" s="640">
        <v>0</v>
      </c>
      <c r="H12" s="641">
        <v>843.18181818181824</v>
      </c>
      <c r="I12" s="641">
        <v>306.94588327561422</v>
      </c>
      <c r="J12" s="641">
        <v>187.92158364867245</v>
      </c>
      <c r="K12" s="641">
        <v>20.316638839186872</v>
      </c>
      <c r="L12" s="641">
        <v>0.58650482505924006</v>
      </c>
      <c r="M12" s="641">
        <v>0.15964026893196048</v>
      </c>
      <c r="N12" s="641">
        <v>67.964408038916218</v>
      </c>
      <c r="O12" s="641">
        <v>11.973026235836867</v>
      </c>
      <c r="P12" s="642">
        <v>0</v>
      </c>
      <c r="Q12" s="641">
        <v>0</v>
      </c>
      <c r="R12" s="641">
        <v>0</v>
      </c>
      <c r="S12" s="643">
        <v>1439.0495033140362</v>
      </c>
      <c r="U12" s="639" t="s">
        <v>59</v>
      </c>
      <c r="V12" s="640">
        <v>0</v>
      </c>
      <c r="W12" s="641">
        <v>0</v>
      </c>
      <c r="X12" s="641">
        <v>0</v>
      </c>
      <c r="Y12" s="640">
        <v>0</v>
      </c>
      <c r="Z12" s="641">
        <v>842.12121212121212</v>
      </c>
      <c r="AA12" s="641">
        <v>361.66588327561419</v>
      </c>
      <c r="AB12" s="641">
        <v>209.7499476733077</v>
      </c>
      <c r="AC12" s="641">
        <v>36.742499370225779</v>
      </c>
      <c r="AD12" s="641">
        <v>0.58650482505924006</v>
      </c>
      <c r="AE12" s="641">
        <v>0.15964026893196048</v>
      </c>
      <c r="AF12" s="641">
        <v>109.8518848230913</v>
      </c>
      <c r="AG12" s="641">
        <v>27.041217028647232</v>
      </c>
      <c r="AH12" s="642">
        <v>0</v>
      </c>
      <c r="AI12" s="641">
        <v>0</v>
      </c>
      <c r="AJ12" s="641">
        <v>0</v>
      </c>
      <c r="AK12" s="643">
        <v>1587.9187893860897</v>
      </c>
    </row>
    <row r="13" spans="3:37" x14ac:dyDescent="0.2">
      <c r="C13" s="639" t="s">
        <v>60</v>
      </c>
      <c r="D13" s="640">
        <v>47.14481987923083</v>
      </c>
      <c r="E13" s="641">
        <v>484.495467583368</v>
      </c>
      <c r="F13" s="641">
        <v>50.019697053221719</v>
      </c>
      <c r="G13" s="640">
        <v>326.09010493911637</v>
      </c>
      <c r="H13" s="641">
        <v>0</v>
      </c>
      <c r="I13" s="641">
        <v>0</v>
      </c>
      <c r="J13" s="641">
        <v>5.0764589906360387</v>
      </c>
      <c r="K13" s="641">
        <v>0</v>
      </c>
      <c r="L13" s="641">
        <v>2.7571319279134792</v>
      </c>
      <c r="M13" s="641">
        <v>0</v>
      </c>
      <c r="N13" s="641">
        <v>0</v>
      </c>
      <c r="O13" s="641">
        <v>0</v>
      </c>
      <c r="P13" s="642">
        <v>0</v>
      </c>
      <c r="Q13" s="641">
        <v>0</v>
      </c>
      <c r="R13" s="641">
        <v>0</v>
      </c>
      <c r="S13" s="643">
        <v>915.58368037348657</v>
      </c>
      <c r="U13" s="639" t="s">
        <v>60</v>
      </c>
      <c r="V13" s="640">
        <v>5.8768320762591904</v>
      </c>
      <c r="W13" s="641">
        <v>189.94114801549574</v>
      </c>
      <c r="X13" s="641">
        <v>14.41607041492888</v>
      </c>
      <c r="Y13" s="640">
        <v>81.728531694283333</v>
      </c>
      <c r="Z13" s="641">
        <v>0</v>
      </c>
      <c r="AA13" s="641">
        <v>0</v>
      </c>
      <c r="AB13" s="641">
        <v>5.0764589906360387</v>
      </c>
      <c r="AC13" s="641">
        <v>0</v>
      </c>
      <c r="AD13" s="641">
        <v>2.7571319279134792</v>
      </c>
      <c r="AE13" s="641">
        <v>0</v>
      </c>
      <c r="AF13" s="641">
        <v>0</v>
      </c>
      <c r="AG13" s="641">
        <v>0</v>
      </c>
      <c r="AH13" s="642">
        <v>0</v>
      </c>
      <c r="AI13" s="641">
        <v>0</v>
      </c>
      <c r="AJ13" s="641">
        <v>0</v>
      </c>
      <c r="AK13" s="643">
        <v>299.79617311951665</v>
      </c>
    </row>
    <row r="14" spans="3:37" x14ac:dyDescent="0.2">
      <c r="C14" s="639" t="s">
        <v>61</v>
      </c>
      <c r="D14" s="640">
        <v>0</v>
      </c>
      <c r="E14" s="641">
        <v>0</v>
      </c>
      <c r="F14" s="641">
        <v>0</v>
      </c>
      <c r="G14" s="640">
        <v>0</v>
      </c>
      <c r="H14" s="641">
        <v>0</v>
      </c>
      <c r="I14" s="641">
        <v>0</v>
      </c>
      <c r="J14" s="641">
        <v>0</v>
      </c>
      <c r="K14" s="641">
        <v>0</v>
      </c>
      <c r="L14" s="641">
        <v>0</v>
      </c>
      <c r="M14" s="641">
        <v>0</v>
      </c>
      <c r="N14" s="641">
        <v>0</v>
      </c>
      <c r="O14" s="641">
        <v>0</v>
      </c>
      <c r="P14" s="642">
        <v>-16.706363002811486</v>
      </c>
      <c r="Q14" s="641">
        <v>0</v>
      </c>
      <c r="R14" s="641">
        <v>0</v>
      </c>
      <c r="S14" s="643">
        <v>-16.706363002811486</v>
      </c>
      <c r="U14" s="639" t="s">
        <v>61</v>
      </c>
      <c r="V14" s="640">
        <v>0</v>
      </c>
      <c r="W14" s="641">
        <v>0</v>
      </c>
      <c r="X14" s="641">
        <v>-18.378136852904419</v>
      </c>
      <c r="Y14" s="640">
        <v>0</v>
      </c>
      <c r="Z14" s="641">
        <v>0</v>
      </c>
      <c r="AA14" s="641">
        <v>0</v>
      </c>
      <c r="AB14" s="641">
        <v>0</v>
      </c>
      <c r="AC14" s="641">
        <v>0</v>
      </c>
      <c r="AD14" s="641">
        <v>0</v>
      </c>
      <c r="AE14" s="641">
        <v>0</v>
      </c>
      <c r="AF14" s="641">
        <v>0</v>
      </c>
      <c r="AG14" s="641">
        <v>0</v>
      </c>
      <c r="AH14" s="642">
        <v>-20.522831714543145</v>
      </c>
      <c r="AI14" s="641">
        <v>0</v>
      </c>
      <c r="AJ14" s="641">
        <v>0</v>
      </c>
      <c r="AK14" s="643">
        <v>-38.900968567447563</v>
      </c>
    </row>
    <row r="15" spans="3:37" x14ac:dyDescent="0.2">
      <c r="C15" s="639" t="s">
        <v>62</v>
      </c>
      <c r="D15" s="640">
        <v>0</v>
      </c>
      <c r="E15" s="641">
        <v>0</v>
      </c>
      <c r="F15" s="641">
        <v>-15.257294848391862</v>
      </c>
      <c r="G15" s="640">
        <v>0</v>
      </c>
      <c r="H15" s="641">
        <v>0</v>
      </c>
      <c r="I15" s="641">
        <v>0</v>
      </c>
      <c r="J15" s="641">
        <v>0</v>
      </c>
      <c r="K15" s="641">
        <v>0</v>
      </c>
      <c r="L15" s="641">
        <v>0</v>
      </c>
      <c r="M15" s="641">
        <v>0</v>
      </c>
      <c r="N15" s="641">
        <v>0</v>
      </c>
      <c r="O15" s="641">
        <v>0</v>
      </c>
      <c r="P15" s="642">
        <v>0</v>
      </c>
      <c r="Q15" s="641">
        <v>0</v>
      </c>
      <c r="R15" s="641">
        <v>0</v>
      </c>
      <c r="S15" s="643">
        <v>-15.257294848391862</v>
      </c>
      <c r="U15" s="639" t="s">
        <v>62</v>
      </c>
      <c r="V15" s="640">
        <v>0</v>
      </c>
      <c r="W15" s="641">
        <v>0</v>
      </c>
      <c r="X15" s="641">
        <v>-7.5188933675233587</v>
      </c>
      <c r="Y15" s="640">
        <v>-2.1851276585702322</v>
      </c>
      <c r="Z15" s="641">
        <v>0</v>
      </c>
      <c r="AA15" s="641">
        <v>0</v>
      </c>
      <c r="AB15" s="641">
        <v>0</v>
      </c>
      <c r="AC15" s="641">
        <v>0</v>
      </c>
      <c r="AD15" s="641">
        <v>0</v>
      </c>
      <c r="AE15" s="641">
        <v>-2.1851276585702322</v>
      </c>
      <c r="AF15" s="641">
        <v>0</v>
      </c>
      <c r="AG15" s="641">
        <v>0</v>
      </c>
      <c r="AH15" s="642">
        <v>0</v>
      </c>
      <c r="AI15" s="641">
        <v>0</v>
      </c>
      <c r="AJ15" s="641">
        <v>0</v>
      </c>
      <c r="AK15" s="643">
        <v>-11.889148684663823</v>
      </c>
    </row>
    <row r="16" spans="3:37" x14ac:dyDescent="0.2">
      <c r="C16" s="639" t="s">
        <v>63</v>
      </c>
      <c r="D16" s="640">
        <v>0</v>
      </c>
      <c r="E16" s="641">
        <v>0</v>
      </c>
      <c r="F16" s="641">
        <v>-90.982589622358091</v>
      </c>
      <c r="G16" s="640">
        <v>0</v>
      </c>
      <c r="H16" s="641">
        <v>0</v>
      </c>
      <c r="I16" s="641">
        <v>0</v>
      </c>
      <c r="J16" s="641">
        <v>0</v>
      </c>
      <c r="K16" s="641">
        <v>0</v>
      </c>
      <c r="L16" s="641">
        <v>-0.93561585486744514</v>
      </c>
      <c r="M16" s="641">
        <v>0</v>
      </c>
      <c r="N16" s="641">
        <v>0</v>
      </c>
      <c r="O16" s="641">
        <v>0</v>
      </c>
      <c r="P16" s="642">
        <v>0</v>
      </c>
      <c r="Q16" s="641">
        <v>0</v>
      </c>
      <c r="R16" s="641">
        <v>0</v>
      </c>
      <c r="S16" s="643">
        <v>-91.918205477225541</v>
      </c>
      <c r="U16" s="639" t="s">
        <v>63</v>
      </c>
      <c r="V16" s="640">
        <v>0</v>
      </c>
      <c r="W16" s="641">
        <v>0</v>
      </c>
      <c r="X16" s="641">
        <v>-53.656928796434556</v>
      </c>
      <c r="Y16" s="640">
        <v>0</v>
      </c>
      <c r="Z16" s="641">
        <v>0</v>
      </c>
      <c r="AA16" s="641">
        <v>0</v>
      </c>
      <c r="AB16" s="641">
        <v>0</v>
      </c>
      <c r="AC16" s="641">
        <v>0</v>
      </c>
      <c r="AD16" s="641">
        <v>-28.297456853591466</v>
      </c>
      <c r="AE16" s="641">
        <v>0</v>
      </c>
      <c r="AF16" s="641">
        <v>0</v>
      </c>
      <c r="AG16" s="641">
        <v>0</v>
      </c>
      <c r="AH16" s="642">
        <v>0</v>
      </c>
      <c r="AI16" s="641">
        <v>0</v>
      </c>
      <c r="AJ16" s="641">
        <v>0</v>
      </c>
      <c r="AK16" s="643">
        <v>-81.954385650026026</v>
      </c>
    </row>
    <row r="17" spans="3:37" x14ac:dyDescent="0.2">
      <c r="C17" s="639" t="s">
        <v>64</v>
      </c>
      <c r="D17" s="640">
        <v>0</v>
      </c>
      <c r="E17" s="641">
        <v>0</v>
      </c>
      <c r="F17" s="641">
        <v>0</v>
      </c>
      <c r="G17" s="640">
        <v>0</v>
      </c>
      <c r="H17" s="641">
        <v>0</v>
      </c>
      <c r="I17" s="641">
        <v>0</v>
      </c>
      <c r="J17" s="641">
        <v>0</v>
      </c>
      <c r="K17" s="641">
        <v>0</v>
      </c>
      <c r="L17" s="641">
        <v>0</v>
      </c>
      <c r="M17" s="641">
        <v>0</v>
      </c>
      <c r="N17" s="641">
        <v>0</v>
      </c>
      <c r="O17" s="641">
        <v>0</v>
      </c>
      <c r="P17" s="642">
        <v>0</v>
      </c>
      <c r="Q17" s="641">
        <v>0</v>
      </c>
      <c r="R17" s="641">
        <v>0</v>
      </c>
      <c r="S17" s="643">
        <v>0</v>
      </c>
      <c r="U17" s="639" t="s">
        <v>64</v>
      </c>
      <c r="V17" s="640">
        <v>0</v>
      </c>
      <c r="W17" s="641">
        <v>0</v>
      </c>
      <c r="X17" s="641">
        <v>0</v>
      </c>
      <c r="Y17" s="640">
        <v>0</v>
      </c>
      <c r="Z17" s="641">
        <v>0</v>
      </c>
      <c r="AA17" s="641">
        <v>0</v>
      </c>
      <c r="AB17" s="641">
        <v>0</v>
      </c>
      <c r="AC17" s="641">
        <v>0</v>
      </c>
      <c r="AD17" s="641">
        <v>0</v>
      </c>
      <c r="AE17" s="641">
        <v>0</v>
      </c>
      <c r="AF17" s="641">
        <v>0</v>
      </c>
      <c r="AG17" s="641">
        <v>0</v>
      </c>
      <c r="AH17" s="642">
        <v>0</v>
      </c>
      <c r="AI17" s="641">
        <v>0</v>
      </c>
      <c r="AJ17" s="641">
        <v>0</v>
      </c>
      <c r="AK17" s="643">
        <v>0</v>
      </c>
    </row>
    <row r="18" spans="3:37" x14ac:dyDescent="0.2">
      <c r="C18" s="644" t="s">
        <v>65</v>
      </c>
      <c r="D18" s="645">
        <v>47.14481987923083</v>
      </c>
      <c r="E18" s="645">
        <v>484.495467583368</v>
      </c>
      <c r="F18" s="645">
        <v>-56.220187417528237</v>
      </c>
      <c r="G18" s="645">
        <v>326.09010493911637</v>
      </c>
      <c r="H18" s="645">
        <v>843.18181818181824</v>
      </c>
      <c r="I18" s="645">
        <v>306.94588327561422</v>
      </c>
      <c r="J18" s="645">
        <v>192.99804263930849</v>
      </c>
      <c r="K18" s="645">
        <v>20.316638839186872</v>
      </c>
      <c r="L18" s="645">
        <v>2.4080208981052738</v>
      </c>
      <c r="M18" s="645">
        <v>0.15964026893196048</v>
      </c>
      <c r="N18" s="645">
        <v>67.964408038916218</v>
      </c>
      <c r="O18" s="645">
        <v>11.973026235836867</v>
      </c>
      <c r="P18" s="645">
        <v>-16.706363002811486</v>
      </c>
      <c r="Q18" s="645">
        <v>0</v>
      </c>
      <c r="R18" s="645">
        <v>0</v>
      </c>
      <c r="S18" s="645">
        <v>2230.7513203590943</v>
      </c>
      <c r="U18" s="644" t="s">
        <v>65</v>
      </c>
      <c r="V18" s="645">
        <v>5.8768320762591904</v>
      </c>
      <c r="W18" s="645">
        <v>189.94114801549574</v>
      </c>
      <c r="X18" s="645">
        <v>-65.137888601933454</v>
      </c>
      <c r="Y18" s="645">
        <v>79.543404035713095</v>
      </c>
      <c r="Z18" s="645">
        <v>842.12121212121212</v>
      </c>
      <c r="AA18" s="645">
        <v>361.66588327561419</v>
      </c>
      <c r="AB18" s="645">
        <v>214.82640666394374</v>
      </c>
      <c r="AC18" s="645">
        <v>36.742499370225779</v>
      </c>
      <c r="AD18" s="645">
        <v>-24.953820100618749</v>
      </c>
      <c r="AE18" s="645">
        <v>-2.0254873896382719</v>
      </c>
      <c r="AF18" s="645">
        <v>109.8518848230913</v>
      </c>
      <c r="AG18" s="645">
        <v>27.041217028647232</v>
      </c>
      <c r="AH18" s="645">
        <v>-20.522831714543145</v>
      </c>
      <c r="AI18" s="645">
        <v>0</v>
      </c>
      <c r="AJ18" s="645">
        <v>0</v>
      </c>
      <c r="AK18" s="645">
        <v>1754.970459603469</v>
      </c>
    </row>
    <row r="19" spans="3:37" x14ac:dyDescent="0.2">
      <c r="C19" s="634"/>
      <c r="D19" s="634">
        <v>0</v>
      </c>
      <c r="E19" s="634">
        <v>0</v>
      </c>
      <c r="F19" s="634">
        <v>0</v>
      </c>
      <c r="G19" s="634">
        <v>0</v>
      </c>
      <c r="H19" s="634">
        <v>0</v>
      </c>
      <c r="I19" s="634">
        <v>0</v>
      </c>
      <c r="J19" s="634">
        <v>0</v>
      </c>
      <c r="K19" s="634">
        <v>0</v>
      </c>
      <c r="L19" s="634">
        <v>0</v>
      </c>
      <c r="M19" s="634">
        <v>0</v>
      </c>
      <c r="N19" s="634">
        <v>0</v>
      </c>
      <c r="O19" s="634">
        <v>0</v>
      </c>
      <c r="P19" s="634">
        <v>0</v>
      </c>
      <c r="Q19" s="634">
        <v>0</v>
      </c>
      <c r="R19" s="634">
        <v>0</v>
      </c>
      <c r="S19" s="634">
        <v>0</v>
      </c>
      <c r="U19" s="634"/>
      <c r="V19" s="634">
        <v>0</v>
      </c>
      <c r="W19" s="634">
        <v>0</v>
      </c>
      <c r="X19" s="634">
        <v>0</v>
      </c>
      <c r="Y19" s="634">
        <v>0</v>
      </c>
      <c r="Z19" s="634">
        <v>0</v>
      </c>
      <c r="AA19" s="634">
        <v>0</v>
      </c>
      <c r="AB19" s="634">
        <v>0</v>
      </c>
      <c r="AC19" s="634">
        <v>0</v>
      </c>
      <c r="AD19" s="634">
        <v>0</v>
      </c>
      <c r="AE19" s="634">
        <v>0</v>
      </c>
      <c r="AF19" s="634">
        <v>0</v>
      </c>
      <c r="AG19" s="634">
        <v>0</v>
      </c>
      <c r="AH19" s="634">
        <v>0</v>
      </c>
      <c r="AI19" s="634">
        <v>0</v>
      </c>
      <c r="AJ19" s="634">
        <v>0</v>
      </c>
      <c r="AK19" s="634">
        <v>0</v>
      </c>
    </row>
    <row r="20" spans="3:37" x14ac:dyDescent="0.2">
      <c r="C20" s="646" t="s">
        <v>67</v>
      </c>
      <c r="D20" s="640">
        <v>0</v>
      </c>
      <c r="E20" s="647">
        <v>0</v>
      </c>
      <c r="F20" s="647">
        <v>0</v>
      </c>
      <c r="G20" s="640">
        <v>0</v>
      </c>
      <c r="H20" s="640">
        <v>0</v>
      </c>
      <c r="I20" s="640">
        <v>0</v>
      </c>
      <c r="J20" s="640">
        <v>0</v>
      </c>
      <c r="K20" s="640">
        <v>0</v>
      </c>
      <c r="L20" s="640">
        <v>0</v>
      </c>
      <c r="M20" s="640">
        <v>0</v>
      </c>
      <c r="N20" s="640">
        <v>0</v>
      </c>
      <c r="O20" s="640">
        <v>0</v>
      </c>
      <c r="P20" s="640">
        <v>0</v>
      </c>
      <c r="Q20" s="640">
        <v>0</v>
      </c>
      <c r="R20" s="640">
        <v>0</v>
      </c>
      <c r="S20" s="648">
        <v>0</v>
      </c>
      <c r="U20" s="646" t="s">
        <v>67</v>
      </c>
      <c r="V20" s="640">
        <v>0</v>
      </c>
      <c r="W20" s="647">
        <v>0</v>
      </c>
      <c r="X20" s="647">
        <v>0</v>
      </c>
      <c r="Y20" s="640">
        <v>0</v>
      </c>
      <c r="Z20" s="640">
        <v>0</v>
      </c>
      <c r="AA20" s="640">
        <v>0</v>
      </c>
      <c r="AB20" s="640">
        <v>0</v>
      </c>
      <c r="AC20" s="640">
        <v>0</v>
      </c>
      <c r="AD20" s="640">
        <v>0</v>
      </c>
      <c r="AE20" s="640">
        <v>0</v>
      </c>
      <c r="AF20" s="640">
        <v>0</v>
      </c>
      <c r="AG20" s="640">
        <v>0</v>
      </c>
      <c r="AH20" s="640">
        <v>0</v>
      </c>
      <c r="AI20" s="640">
        <v>0</v>
      </c>
      <c r="AJ20" s="640">
        <v>0</v>
      </c>
      <c r="AK20" s="648">
        <v>0</v>
      </c>
    </row>
    <row r="21" spans="3:37" x14ac:dyDescent="0.2">
      <c r="C21" s="646" t="s">
        <v>347</v>
      </c>
      <c r="D21" s="640">
        <v>2.8267856410252494</v>
      </c>
      <c r="E21" s="640">
        <v>0</v>
      </c>
      <c r="F21" s="640">
        <v>7.9230776783294274</v>
      </c>
      <c r="G21" s="640">
        <v>16.680851063829788</v>
      </c>
      <c r="H21" s="640">
        <v>843.18181818181824</v>
      </c>
      <c r="I21" s="640">
        <v>306.94588327561422</v>
      </c>
      <c r="J21" s="649">
        <v>28.98717588629853</v>
      </c>
      <c r="K21" s="649">
        <v>6.5903281241207718</v>
      </c>
      <c r="L21" s="649">
        <v>3.3436367529727189</v>
      </c>
      <c r="M21" s="649">
        <v>0.46654149749263618</v>
      </c>
      <c r="N21" s="649">
        <v>0</v>
      </c>
      <c r="O21" s="649">
        <v>7.0184114557160298</v>
      </c>
      <c r="P21" s="640">
        <v>-616.92993037811448</v>
      </c>
      <c r="Q21" s="640">
        <v>0</v>
      </c>
      <c r="R21" s="640">
        <v>0</v>
      </c>
      <c r="S21" s="648">
        <v>607.03457917910316</v>
      </c>
      <c r="U21" s="646" t="s">
        <v>347</v>
      </c>
      <c r="V21" s="640">
        <v>0.62631490545869017</v>
      </c>
      <c r="W21" s="640">
        <v>0</v>
      </c>
      <c r="X21" s="640">
        <v>4.0594413146930641</v>
      </c>
      <c r="Y21" s="640">
        <v>2.3404255319148937</v>
      </c>
      <c r="Z21" s="640">
        <v>842.12121212121212</v>
      </c>
      <c r="AA21" s="640">
        <v>361.66588327561419</v>
      </c>
      <c r="AB21" s="649">
        <v>23.182357378111952</v>
      </c>
      <c r="AC21" s="649">
        <v>5.3775678130216455</v>
      </c>
      <c r="AD21" s="649">
        <v>3.3436367529727189</v>
      </c>
      <c r="AE21" s="649">
        <v>2.4665414974926363</v>
      </c>
      <c r="AF21" s="649">
        <v>0</v>
      </c>
      <c r="AG21" s="649">
        <v>7.0184114557160298</v>
      </c>
      <c r="AH21" s="640">
        <v>-662.7499303781143</v>
      </c>
      <c r="AI21" s="640">
        <v>0</v>
      </c>
      <c r="AJ21" s="640">
        <v>4.25</v>
      </c>
      <c r="AK21" s="648">
        <v>593.70186166809344</v>
      </c>
    </row>
    <row r="22" spans="3:37" x14ac:dyDescent="0.2">
      <c r="C22" s="646" t="s">
        <v>348</v>
      </c>
      <c r="D22" s="640">
        <v>0</v>
      </c>
      <c r="E22" s="640">
        <v>0</v>
      </c>
      <c r="F22" s="640">
        <v>0</v>
      </c>
      <c r="G22" s="640">
        <v>14.843815057329421</v>
      </c>
      <c r="H22" s="640">
        <v>0</v>
      </c>
      <c r="I22" s="640">
        <v>0</v>
      </c>
      <c r="J22" s="649">
        <v>12.357161229114668</v>
      </c>
      <c r="K22" s="649">
        <v>11.882304060636951</v>
      </c>
      <c r="L22" s="649">
        <v>0</v>
      </c>
      <c r="M22" s="649">
        <v>0.31804644322561132</v>
      </c>
      <c r="N22" s="649">
        <v>0</v>
      </c>
      <c r="O22" s="649">
        <v>2.0992086164963606</v>
      </c>
      <c r="P22" s="640">
        <v>0</v>
      </c>
      <c r="Q22" s="640">
        <v>-37.805081951347923</v>
      </c>
      <c r="R22" s="640">
        <v>0</v>
      </c>
      <c r="S22" s="648">
        <v>3.6954534554550835</v>
      </c>
      <c r="U22" s="646" t="s">
        <v>348</v>
      </c>
      <c r="V22" s="640">
        <v>0</v>
      </c>
      <c r="W22" s="640">
        <v>0</v>
      </c>
      <c r="X22" s="640">
        <v>0</v>
      </c>
      <c r="Y22" s="640">
        <v>6.4668066457611202</v>
      </c>
      <c r="Z22" s="640">
        <v>0</v>
      </c>
      <c r="AA22" s="640">
        <v>0</v>
      </c>
      <c r="AB22" s="649">
        <v>28.361573193229066</v>
      </c>
      <c r="AC22" s="649">
        <v>26.076316433417247</v>
      </c>
      <c r="AD22" s="649">
        <v>0</v>
      </c>
      <c r="AE22" s="649">
        <v>6.4819180878167435</v>
      </c>
      <c r="AF22" s="649">
        <v>0</v>
      </c>
      <c r="AG22" s="649">
        <v>12.550380584079129</v>
      </c>
      <c r="AH22" s="640">
        <v>0</v>
      </c>
      <c r="AI22" s="640">
        <v>-74.043519390541746</v>
      </c>
      <c r="AJ22" s="640">
        <v>0</v>
      </c>
      <c r="AK22" s="648">
        <v>5.8934755537615651</v>
      </c>
    </row>
    <row r="23" spans="3:37" x14ac:dyDescent="0.2">
      <c r="C23" s="646" t="s">
        <v>349</v>
      </c>
      <c r="D23" s="640">
        <v>0</v>
      </c>
      <c r="E23" s="640">
        <v>0</v>
      </c>
      <c r="F23" s="640">
        <v>0</v>
      </c>
      <c r="G23" s="640">
        <v>0</v>
      </c>
      <c r="H23" s="640">
        <v>0</v>
      </c>
      <c r="I23" s="640">
        <v>0</v>
      </c>
      <c r="J23" s="650">
        <v>6.8755991242523775</v>
      </c>
      <c r="K23" s="650">
        <v>0</v>
      </c>
      <c r="L23" s="650">
        <v>0</v>
      </c>
      <c r="M23" s="650">
        <v>-6.4200906822706569</v>
      </c>
      <c r="N23" s="650">
        <v>0</v>
      </c>
      <c r="O23" s="650">
        <v>0</v>
      </c>
      <c r="P23" s="640">
        <v>0</v>
      </c>
      <c r="Q23" s="640">
        <v>0</v>
      </c>
      <c r="R23" s="640">
        <v>0</v>
      </c>
      <c r="S23" s="648">
        <v>0.45550844198172058</v>
      </c>
      <c r="U23" s="646" t="s">
        <v>349</v>
      </c>
      <c r="V23" s="640">
        <v>0</v>
      </c>
      <c r="W23" s="640">
        <v>0</v>
      </c>
      <c r="X23" s="640">
        <v>0</v>
      </c>
      <c r="Y23" s="640">
        <v>0</v>
      </c>
      <c r="Z23" s="640">
        <v>0</v>
      </c>
      <c r="AA23" s="640">
        <v>0</v>
      </c>
      <c r="AB23" s="650">
        <v>86.654179241552072</v>
      </c>
      <c r="AC23" s="650">
        <v>0</v>
      </c>
      <c r="AD23" s="650">
        <v>0</v>
      </c>
      <c r="AE23" s="650">
        <v>-80.913339866799248</v>
      </c>
      <c r="AF23" s="650">
        <v>0</v>
      </c>
      <c r="AG23" s="650">
        <v>0</v>
      </c>
      <c r="AH23" s="640">
        <v>0</v>
      </c>
      <c r="AI23" s="640">
        <v>0</v>
      </c>
      <c r="AJ23" s="640">
        <v>0</v>
      </c>
      <c r="AK23" s="648">
        <v>5.7408393747528237</v>
      </c>
    </row>
    <row r="24" spans="3:37" x14ac:dyDescent="0.2">
      <c r="C24" s="646" t="s">
        <v>350</v>
      </c>
      <c r="D24" s="640">
        <v>0</v>
      </c>
      <c r="E24" s="640">
        <v>0</v>
      </c>
      <c r="F24" s="640">
        <v>0</v>
      </c>
      <c r="G24" s="640">
        <v>0</v>
      </c>
      <c r="H24" s="640">
        <v>0</v>
      </c>
      <c r="I24" s="640">
        <v>0</v>
      </c>
      <c r="J24" s="640">
        <v>0</v>
      </c>
      <c r="K24" s="640">
        <v>0</v>
      </c>
      <c r="L24" s="640">
        <v>0</v>
      </c>
      <c r="M24" s="640">
        <v>0</v>
      </c>
      <c r="N24" s="640">
        <v>0</v>
      </c>
      <c r="O24" s="640">
        <v>0</v>
      </c>
      <c r="P24" s="640">
        <v>0</v>
      </c>
      <c r="Q24" s="640">
        <v>0</v>
      </c>
      <c r="R24" s="640">
        <v>0</v>
      </c>
      <c r="S24" s="648">
        <v>0</v>
      </c>
      <c r="U24" s="646" t="s">
        <v>350</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646" t="s">
        <v>72</v>
      </c>
      <c r="D25" s="640">
        <v>0</v>
      </c>
      <c r="E25" s="640">
        <v>501.8858109321676</v>
      </c>
      <c r="F25" s="640">
        <v>-496.86695282284592</v>
      </c>
      <c r="G25" s="640">
        <v>0</v>
      </c>
      <c r="H25" s="640">
        <v>0</v>
      </c>
      <c r="I25" s="640">
        <v>0</v>
      </c>
      <c r="J25" s="640">
        <v>0</v>
      </c>
      <c r="K25" s="640">
        <v>0</v>
      </c>
      <c r="L25" s="640">
        <v>0</v>
      </c>
      <c r="M25" s="640">
        <v>0</v>
      </c>
      <c r="N25" s="640">
        <v>0</v>
      </c>
      <c r="O25" s="640">
        <v>0</v>
      </c>
      <c r="P25" s="640">
        <v>0</v>
      </c>
      <c r="Q25" s="640">
        <v>0</v>
      </c>
      <c r="R25" s="640">
        <v>0</v>
      </c>
      <c r="S25" s="648">
        <v>5.018858109321684</v>
      </c>
      <c r="U25" s="646" t="s">
        <v>72</v>
      </c>
      <c r="V25" s="640">
        <v>0</v>
      </c>
      <c r="W25" s="640">
        <v>196.75884188687598</v>
      </c>
      <c r="X25" s="640">
        <v>-194.79125346800723</v>
      </c>
      <c r="Y25" s="640">
        <v>0</v>
      </c>
      <c r="Z25" s="640">
        <v>0</v>
      </c>
      <c r="AA25" s="640">
        <v>0</v>
      </c>
      <c r="AB25" s="640">
        <v>0</v>
      </c>
      <c r="AC25" s="640">
        <v>0</v>
      </c>
      <c r="AD25" s="640">
        <v>0</v>
      </c>
      <c r="AE25" s="640">
        <v>0</v>
      </c>
      <c r="AF25" s="640">
        <v>0</v>
      </c>
      <c r="AG25" s="640">
        <v>0</v>
      </c>
      <c r="AH25" s="640">
        <v>0</v>
      </c>
      <c r="AI25" s="640">
        <v>0</v>
      </c>
      <c r="AJ25" s="640">
        <v>0</v>
      </c>
      <c r="AK25" s="648">
        <v>1.9675884188687576</v>
      </c>
    </row>
    <row r="26" spans="3:37" x14ac:dyDescent="0.2">
      <c r="C26" s="646" t="s">
        <v>351</v>
      </c>
      <c r="D26" s="640">
        <v>0</v>
      </c>
      <c r="E26" s="640">
        <v>0</v>
      </c>
      <c r="F26" s="640">
        <v>0</v>
      </c>
      <c r="G26" s="640">
        <v>0</v>
      </c>
      <c r="H26" s="640">
        <v>0</v>
      </c>
      <c r="I26" s="640">
        <v>0</v>
      </c>
      <c r="J26" s="640">
        <v>26.867608526350821</v>
      </c>
      <c r="K26" s="640">
        <v>0</v>
      </c>
      <c r="L26" s="640">
        <v>-26.867608526350821</v>
      </c>
      <c r="M26" s="640">
        <v>0</v>
      </c>
      <c r="N26" s="640">
        <v>0</v>
      </c>
      <c r="O26" s="640">
        <v>0</v>
      </c>
      <c r="P26" s="640">
        <v>0</v>
      </c>
      <c r="Q26" s="640">
        <v>0</v>
      </c>
      <c r="R26" s="640">
        <v>0</v>
      </c>
      <c r="S26" s="648">
        <v>0</v>
      </c>
      <c r="U26" s="646" t="s">
        <v>351</v>
      </c>
      <c r="V26" s="640">
        <v>0</v>
      </c>
      <c r="W26" s="640">
        <v>0</v>
      </c>
      <c r="X26" s="640">
        <v>0</v>
      </c>
      <c r="Y26" s="640">
        <v>0</v>
      </c>
      <c r="Z26" s="640">
        <v>0</v>
      </c>
      <c r="AA26" s="640">
        <v>0</v>
      </c>
      <c r="AB26" s="640" t="e">
        <v>#VALUE!</v>
      </c>
      <c r="AC26" s="640">
        <v>0</v>
      </c>
      <c r="AD26" s="640">
        <v>-99.513749603669936</v>
      </c>
      <c r="AE26" s="640">
        <v>0</v>
      </c>
      <c r="AF26" s="640">
        <v>0</v>
      </c>
      <c r="AG26" s="640">
        <v>0</v>
      </c>
      <c r="AH26" s="640">
        <v>0</v>
      </c>
      <c r="AI26" s="640">
        <v>0</v>
      </c>
      <c r="AJ26" s="640">
        <v>0</v>
      </c>
      <c r="AK26" s="648">
        <v>-99.513749603669936</v>
      </c>
    </row>
    <row r="27" spans="3:37" x14ac:dyDescent="0.2">
      <c r="C27" s="646" t="s">
        <v>352</v>
      </c>
      <c r="D27" s="640">
        <v>0</v>
      </c>
      <c r="E27" s="640">
        <v>0</v>
      </c>
      <c r="F27" s="640">
        <v>0</v>
      </c>
      <c r="G27" s="640">
        <v>0</v>
      </c>
      <c r="H27" s="640">
        <v>0</v>
      </c>
      <c r="I27" s="640">
        <v>0</v>
      </c>
      <c r="J27" s="640">
        <v>0</v>
      </c>
      <c r="K27" s="640">
        <v>0</v>
      </c>
      <c r="L27" s="640">
        <v>0</v>
      </c>
      <c r="M27" s="640">
        <v>0</v>
      </c>
      <c r="N27" s="640">
        <v>0</v>
      </c>
      <c r="O27" s="640">
        <v>0</v>
      </c>
      <c r="P27" s="640">
        <v>0</v>
      </c>
      <c r="Q27" s="640">
        <v>0</v>
      </c>
      <c r="R27" s="640">
        <v>0</v>
      </c>
      <c r="S27" s="648">
        <v>0</v>
      </c>
      <c r="U27" s="646" t="s">
        <v>352</v>
      </c>
      <c r="V27" s="640">
        <v>0</v>
      </c>
      <c r="W27" s="640">
        <v>0</v>
      </c>
      <c r="X27" s="640">
        <v>0</v>
      </c>
      <c r="Y27" s="640">
        <v>0</v>
      </c>
      <c r="Z27" s="640">
        <v>0</v>
      </c>
      <c r="AA27" s="640">
        <v>0</v>
      </c>
      <c r="AB27" s="640">
        <v>0</v>
      </c>
      <c r="AC27" s="640">
        <v>0</v>
      </c>
      <c r="AD27" s="640">
        <v>-17.985934640167208</v>
      </c>
      <c r="AE27" s="640">
        <v>0</v>
      </c>
      <c r="AF27" s="640">
        <v>0</v>
      </c>
      <c r="AG27" s="640">
        <v>0</v>
      </c>
      <c r="AH27" s="640">
        <v>0</v>
      </c>
      <c r="AI27" s="640">
        <v>0</v>
      </c>
      <c r="AJ27" s="640">
        <v>0</v>
      </c>
      <c r="AK27" s="648">
        <v>-17.985934640167208</v>
      </c>
    </row>
    <row r="28" spans="3:37" x14ac:dyDescent="0.2">
      <c r="C28" s="646" t="s">
        <v>73</v>
      </c>
      <c r="D28" s="640">
        <v>0</v>
      </c>
      <c r="E28" s="640">
        <v>0</v>
      </c>
      <c r="F28" s="640">
        <v>0</v>
      </c>
      <c r="G28" s="640">
        <v>7.0830222331165276</v>
      </c>
      <c r="H28" s="640">
        <v>0</v>
      </c>
      <c r="I28" s="640">
        <v>0</v>
      </c>
      <c r="J28" s="640">
        <v>0</v>
      </c>
      <c r="K28" s="640">
        <v>8.2131519400701847E-2</v>
      </c>
      <c r="L28" s="640">
        <v>0</v>
      </c>
      <c r="M28" s="640">
        <v>0.14455147414523528</v>
      </c>
      <c r="N28" s="640">
        <v>0</v>
      </c>
      <c r="O28" s="640">
        <v>0</v>
      </c>
      <c r="P28" s="640">
        <v>0.90023160054861806</v>
      </c>
      <c r="Q28" s="640">
        <v>0</v>
      </c>
      <c r="R28" s="640">
        <v>-5.7492063580491291</v>
      </c>
      <c r="S28" s="648">
        <v>2.4607304691619536</v>
      </c>
      <c r="U28" s="646" t="s">
        <v>73</v>
      </c>
      <c r="V28" s="640">
        <v>0</v>
      </c>
      <c r="W28" s="640">
        <v>0</v>
      </c>
      <c r="X28" s="640">
        <v>0</v>
      </c>
      <c r="Y28" s="640">
        <v>2.5209228009552263</v>
      </c>
      <c r="Z28" s="640">
        <v>0</v>
      </c>
      <c r="AA28" s="640">
        <v>0</v>
      </c>
      <c r="AB28" s="640">
        <v>0</v>
      </c>
      <c r="AC28" s="640">
        <v>0.50418456019104518</v>
      </c>
      <c r="AD28" s="640">
        <v>0</v>
      </c>
      <c r="AE28" s="640">
        <v>2.5209228009552263</v>
      </c>
      <c r="AF28" s="640">
        <v>0</v>
      </c>
      <c r="AG28" s="640">
        <v>0</v>
      </c>
      <c r="AH28" s="640">
        <v>44.712737508757456</v>
      </c>
      <c r="AI28" s="640">
        <v>0</v>
      </c>
      <c r="AJ28" s="640">
        <v>-35.29291921337316</v>
      </c>
      <c r="AK28" s="648">
        <v>14.965848457485791</v>
      </c>
    </row>
    <row r="29" spans="3:37" x14ac:dyDescent="0.2">
      <c r="C29" s="646" t="s">
        <v>353</v>
      </c>
      <c r="D29" s="640">
        <v>28.568314687499999</v>
      </c>
      <c r="E29" s="640">
        <v>-17.390343348799608</v>
      </c>
      <c r="F29" s="640">
        <v>22.745541936068136</v>
      </c>
      <c r="G29" s="640">
        <v>0</v>
      </c>
      <c r="H29" s="640">
        <v>0</v>
      </c>
      <c r="I29" s="640">
        <v>0</v>
      </c>
      <c r="J29" s="640">
        <v>0</v>
      </c>
      <c r="K29" s="640">
        <v>0</v>
      </c>
      <c r="L29" s="640">
        <v>0</v>
      </c>
      <c r="M29" s="640">
        <v>0</v>
      </c>
      <c r="N29" s="640">
        <v>0</v>
      </c>
      <c r="O29" s="640">
        <v>0</v>
      </c>
      <c r="P29" s="640">
        <v>0</v>
      </c>
      <c r="Q29" s="640">
        <v>0</v>
      </c>
      <c r="R29" s="640">
        <v>0</v>
      </c>
      <c r="S29" s="648">
        <v>33.923513274768524</v>
      </c>
      <c r="U29" s="646" t="s">
        <v>353</v>
      </c>
      <c r="V29" s="640">
        <v>1.4001075134277343</v>
      </c>
      <c r="W29" s="640">
        <v>-6.8176938713802535</v>
      </c>
      <c r="X29" s="640">
        <v>8.9171408952922331</v>
      </c>
      <c r="Y29" s="640">
        <v>0</v>
      </c>
      <c r="Z29" s="640">
        <v>0</v>
      </c>
      <c r="AA29" s="640">
        <v>0</v>
      </c>
      <c r="AB29" s="640">
        <v>0</v>
      </c>
      <c r="AC29" s="640">
        <v>0</v>
      </c>
      <c r="AD29" s="640">
        <v>0</v>
      </c>
      <c r="AE29" s="640">
        <v>0</v>
      </c>
      <c r="AF29" s="640">
        <v>0</v>
      </c>
      <c r="AG29" s="640">
        <v>0</v>
      </c>
      <c r="AH29" s="640">
        <v>0</v>
      </c>
      <c r="AI29" s="640">
        <v>0</v>
      </c>
      <c r="AJ29" s="640">
        <v>0</v>
      </c>
      <c r="AK29" s="648">
        <v>3.4995545373397139</v>
      </c>
    </row>
    <row r="30" spans="3:37" x14ac:dyDescent="0.2">
      <c r="C30" s="646" t="s">
        <v>75</v>
      </c>
      <c r="D30" s="640">
        <v>11.109900156250001</v>
      </c>
      <c r="E30" s="640">
        <v>0</v>
      </c>
      <c r="F30" s="640">
        <v>17.0641175716937</v>
      </c>
      <c r="G30" s="640">
        <v>4.8692961376638904</v>
      </c>
      <c r="H30" s="640">
        <v>0</v>
      </c>
      <c r="I30" s="640">
        <v>0</v>
      </c>
      <c r="J30" s="640">
        <v>0</v>
      </c>
      <c r="K30" s="640">
        <v>0</v>
      </c>
      <c r="L30" s="640">
        <v>0</v>
      </c>
      <c r="M30" s="640">
        <v>9.9373390564569189E-2</v>
      </c>
      <c r="N30" s="640">
        <v>0</v>
      </c>
      <c r="O30" s="640">
        <v>0</v>
      </c>
      <c r="P30" s="640">
        <v>27.977940148174714</v>
      </c>
      <c r="Q30" s="640">
        <v>0</v>
      </c>
      <c r="R30" s="640">
        <v>0</v>
      </c>
      <c r="S30" s="648">
        <v>61.12062740434687</v>
      </c>
      <c r="U30" s="646" t="s">
        <v>75</v>
      </c>
      <c r="V30" s="640">
        <v>2.585423095703125</v>
      </c>
      <c r="W30" s="640">
        <v>0</v>
      </c>
      <c r="X30" s="640">
        <v>17.0641175716937</v>
      </c>
      <c r="Y30" s="640">
        <v>2.4843347641142297</v>
      </c>
      <c r="Z30" s="640">
        <v>0</v>
      </c>
      <c r="AA30" s="640">
        <v>0</v>
      </c>
      <c r="AB30" s="640">
        <v>0</v>
      </c>
      <c r="AC30" s="640">
        <v>0</v>
      </c>
      <c r="AD30" s="640">
        <v>0</v>
      </c>
      <c r="AE30" s="640">
        <v>2.4843347641142297</v>
      </c>
      <c r="AF30" s="640">
        <v>0</v>
      </c>
      <c r="AG30" s="640">
        <v>0</v>
      </c>
      <c r="AH30" s="640">
        <v>36.559985602720168</v>
      </c>
      <c r="AI30" s="640">
        <v>0</v>
      </c>
      <c r="AJ30" s="640">
        <v>0</v>
      </c>
      <c r="AK30" s="648">
        <v>61.178195798345449</v>
      </c>
    </row>
    <row r="31" spans="3:37" x14ac:dyDescent="0.2">
      <c r="C31" s="646" t="s">
        <v>76</v>
      </c>
      <c r="D31" s="640">
        <v>0</v>
      </c>
      <c r="E31" s="640">
        <v>0</v>
      </c>
      <c r="F31" s="640">
        <v>0</v>
      </c>
      <c r="G31" s="640">
        <v>3.7302503173667452</v>
      </c>
      <c r="H31" s="640">
        <v>0</v>
      </c>
      <c r="I31" s="640">
        <v>0</v>
      </c>
      <c r="J31" s="640">
        <v>0</v>
      </c>
      <c r="K31" s="640">
        <v>0</v>
      </c>
      <c r="L31" s="640">
        <v>0</v>
      </c>
      <c r="M31" s="640">
        <v>7.6127557497280507E-2</v>
      </c>
      <c r="N31" s="640">
        <v>0</v>
      </c>
      <c r="O31" s="640">
        <v>0</v>
      </c>
      <c r="P31" s="640">
        <v>45.919010237367587</v>
      </c>
      <c r="Q31" s="640">
        <v>2.9343505562312622</v>
      </c>
      <c r="R31" s="640">
        <v>0</v>
      </c>
      <c r="S31" s="648">
        <v>52.659738668462872</v>
      </c>
      <c r="U31" s="646" t="s">
        <v>76</v>
      </c>
      <c r="V31" s="640">
        <v>0</v>
      </c>
      <c r="W31" s="640">
        <v>0</v>
      </c>
      <c r="X31" s="640">
        <v>0</v>
      </c>
      <c r="Y31" s="640">
        <v>0.95944671778813329</v>
      </c>
      <c r="Z31" s="640">
        <v>0</v>
      </c>
      <c r="AA31" s="640">
        <v>0</v>
      </c>
      <c r="AB31" s="640">
        <v>0</v>
      </c>
      <c r="AC31" s="640">
        <v>0</v>
      </c>
      <c r="AD31" s="640">
        <v>0</v>
      </c>
      <c r="AE31" s="640">
        <v>0.95944671778813329</v>
      </c>
      <c r="AF31" s="640">
        <v>0</v>
      </c>
      <c r="AG31" s="640">
        <v>0</v>
      </c>
      <c r="AH31" s="640">
        <v>49.138117436745475</v>
      </c>
      <c r="AI31" s="640">
        <v>5.7424951548403769</v>
      </c>
      <c r="AJ31" s="640">
        <v>0</v>
      </c>
      <c r="AK31" s="648">
        <v>56.799506027162117</v>
      </c>
    </row>
    <row r="32" spans="3:37" x14ac:dyDescent="0.2">
      <c r="C32" s="644" t="s">
        <v>77</v>
      </c>
      <c r="D32" s="645">
        <v>42.505000484775252</v>
      </c>
      <c r="E32" s="645">
        <v>484.495467583368</v>
      </c>
      <c r="F32" s="645">
        <v>-449.13421563675462</v>
      </c>
      <c r="G32" s="645">
        <v>47.207234809306371</v>
      </c>
      <c r="H32" s="645">
        <v>843.18181818181824</v>
      </c>
      <c r="I32" s="645">
        <v>306.94588327561422</v>
      </c>
      <c r="J32" s="645">
        <v>75.087544766016393</v>
      </c>
      <c r="K32" s="645">
        <v>18.554763704158422</v>
      </c>
      <c r="L32" s="645">
        <v>-23.523971773378101</v>
      </c>
      <c r="M32" s="645">
        <v>-5.3154503193453246</v>
      </c>
      <c r="N32" s="645">
        <v>0</v>
      </c>
      <c r="O32" s="645">
        <v>9.1176200722123912</v>
      </c>
      <c r="P32" s="645">
        <v>-542.13274839202359</v>
      </c>
      <c r="Q32" s="645">
        <v>-34.870731395116664</v>
      </c>
      <c r="R32" s="645">
        <v>-5.7492063580491291</v>
      </c>
      <c r="S32" s="645">
        <v>766.36900900260184</v>
      </c>
      <c r="U32" s="644" t="s">
        <v>77</v>
      </c>
      <c r="V32" s="645">
        <v>4.6118455145895494</v>
      </c>
      <c r="W32" s="645">
        <v>189.94114801549574</v>
      </c>
      <c r="X32" s="645">
        <v>-164.75055368632826</v>
      </c>
      <c r="Y32" s="645">
        <v>14.771936460533603</v>
      </c>
      <c r="Z32" s="645">
        <v>842.12121212121212</v>
      </c>
      <c r="AA32" s="645">
        <v>361.66588327561419</v>
      </c>
      <c r="AB32" s="645">
        <v>138.19810981289308</v>
      </c>
      <c r="AC32" s="645">
        <v>31.958068806629939</v>
      </c>
      <c r="AD32" s="645">
        <v>-114.15604749086444</v>
      </c>
      <c r="AE32" s="645">
        <v>-66.000175998632287</v>
      </c>
      <c r="AF32" s="645">
        <v>0</v>
      </c>
      <c r="AG32" s="645">
        <v>19.568792039795159</v>
      </c>
      <c r="AH32" s="645">
        <v>-532.33908982989124</v>
      </c>
      <c r="AI32" s="645">
        <v>-68.301024235701377</v>
      </c>
      <c r="AJ32" s="645">
        <v>-31.04291921337316</v>
      </c>
      <c r="AK32" s="645">
        <v>626.24718559197242</v>
      </c>
    </row>
    <row r="33" spans="3:37" x14ac:dyDescent="0.2">
      <c r="C33" s="634"/>
      <c r="D33" s="634">
        <v>0</v>
      </c>
      <c r="E33" s="634">
        <v>0</v>
      </c>
      <c r="F33" s="634">
        <v>0</v>
      </c>
      <c r="G33" s="634">
        <v>0</v>
      </c>
      <c r="H33" s="634">
        <v>0</v>
      </c>
      <c r="I33" s="634">
        <v>0</v>
      </c>
      <c r="J33" s="634">
        <v>0</v>
      </c>
      <c r="K33" s="634">
        <v>0</v>
      </c>
      <c r="L33" s="634">
        <v>0</v>
      </c>
      <c r="M33" s="634">
        <v>0</v>
      </c>
      <c r="N33" s="634">
        <v>0</v>
      </c>
      <c r="O33" s="634">
        <v>0</v>
      </c>
      <c r="P33" s="634">
        <v>0</v>
      </c>
      <c r="Q33" s="634">
        <v>0</v>
      </c>
      <c r="R33" s="634">
        <v>0</v>
      </c>
      <c r="S33" s="634">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646" t="s">
        <v>78</v>
      </c>
      <c r="D34" s="640">
        <v>4.6398193944555786</v>
      </c>
      <c r="E34" s="640">
        <v>0</v>
      </c>
      <c r="F34" s="640">
        <v>20.598782441852151</v>
      </c>
      <c r="G34" s="640">
        <v>94.839699954986926</v>
      </c>
      <c r="H34" s="640">
        <v>0</v>
      </c>
      <c r="I34" s="640">
        <v>0</v>
      </c>
      <c r="J34" s="640">
        <v>21.821162214793436</v>
      </c>
      <c r="K34" s="640">
        <v>1.7366010173968038</v>
      </c>
      <c r="L34" s="640">
        <v>0.96096945898437491</v>
      </c>
      <c r="M34" s="640">
        <v>1.9539169420126139</v>
      </c>
      <c r="N34" s="640">
        <v>0</v>
      </c>
      <c r="O34" s="640">
        <v>3.7537634069694789E-4</v>
      </c>
      <c r="P34" s="640">
        <v>113.419965125608</v>
      </c>
      <c r="Q34" s="640">
        <v>16.150451210263412</v>
      </c>
      <c r="R34" s="640">
        <v>0.26695886230468752</v>
      </c>
      <c r="S34" s="648">
        <v>276.38870199899873</v>
      </c>
      <c r="U34" s="646" t="s">
        <v>78</v>
      </c>
      <c r="V34" s="640">
        <v>1.264986561669641</v>
      </c>
      <c r="W34" s="640">
        <v>0</v>
      </c>
      <c r="X34" s="640">
        <v>4.4259635061357878</v>
      </c>
      <c r="Y34" s="640">
        <v>33.008089674756327</v>
      </c>
      <c r="Z34" s="640">
        <v>0</v>
      </c>
      <c r="AA34" s="640">
        <v>0</v>
      </c>
      <c r="AB34" s="640">
        <v>14.926911405045434</v>
      </c>
      <c r="AC34" s="640">
        <v>4.7591564459641997</v>
      </c>
      <c r="AD34" s="640">
        <v>6.4130046386718744</v>
      </c>
      <c r="AE34" s="640">
        <v>33.02650253605492</v>
      </c>
      <c r="AF34" s="640">
        <v>0</v>
      </c>
      <c r="AG34" s="640">
        <v>3.7537634069694789E-4</v>
      </c>
      <c r="AH34" s="640">
        <v>148.98135712801343</v>
      </c>
      <c r="AI34" s="640">
        <v>24.187634778338289</v>
      </c>
      <c r="AJ34" s="640">
        <v>7.9027373046875002</v>
      </c>
      <c r="AK34" s="648">
        <v>278.8967193556781</v>
      </c>
    </row>
    <row r="35" spans="3:37" x14ac:dyDescent="0.2">
      <c r="C35" s="646" t="s">
        <v>79</v>
      </c>
      <c r="D35" s="640">
        <v>0</v>
      </c>
      <c r="E35" s="640">
        <v>0</v>
      </c>
      <c r="F35" s="640">
        <v>225.72324837131151</v>
      </c>
      <c r="G35" s="640">
        <v>31.930807664827714</v>
      </c>
      <c r="H35" s="640">
        <v>0</v>
      </c>
      <c r="I35" s="640">
        <v>0</v>
      </c>
      <c r="J35" s="640">
        <v>0</v>
      </c>
      <c r="K35" s="640">
        <v>0</v>
      </c>
      <c r="L35" s="640">
        <v>21.777356740546686</v>
      </c>
      <c r="M35" s="640">
        <v>0.65164913601689212</v>
      </c>
      <c r="N35" s="640">
        <v>0</v>
      </c>
      <c r="O35" s="640">
        <v>0</v>
      </c>
      <c r="P35" s="640">
        <v>72.885841088882287</v>
      </c>
      <c r="Q35" s="640">
        <v>0</v>
      </c>
      <c r="R35" s="640">
        <v>2.6521266956987635</v>
      </c>
      <c r="S35" s="648">
        <v>355.62102969728386</v>
      </c>
      <c r="U35" s="646" t="s">
        <v>79</v>
      </c>
      <c r="V35" s="640">
        <v>0</v>
      </c>
      <c r="W35" s="640">
        <v>0</v>
      </c>
      <c r="X35" s="640">
        <v>19.003305935487372</v>
      </c>
      <c r="Y35" s="640">
        <v>13.267062862305856</v>
      </c>
      <c r="Z35" s="640">
        <v>0</v>
      </c>
      <c r="AA35" s="640">
        <v>0</v>
      </c>
      <c r="AB35" s="640">
        <v>0</v>
      </c>
      <c r="AC35" s="640">
        <v>0</v>
      </c>
      <c r="AD35" s="640">
        <v>27.757428454399612</v>
      </c>
      <c r="AE35" s="640">
        <v>13.267062862305856</v>
      </c>
      <c r="AF35" s="640">
        <v>0</v>
      </c>
      <c r="AG35" s="640">
        <v>0</v>
      </c>
      <c r="AH35" s="640">
        <v>94.556676700547257</v>
      </c>
      <c r="AI35" s="640">
        <v>0</v>
      </c>
      <c r="AJ35" s="640">
        <v>6.3130917169295051</v>
      </c>
      <c r="AK35" s="648">
        <v>174.16462853197544</v>
      </c>
    </row>
    <row r="36" spans="3:37" x14ac:dyDescent="0.2">
      <c r="C36" s="646" t="s">
        <v>80</v>
      </c>
      <c r="D36" s="640">
        <v>0</v>
      </c>
      <c r="E36" s="640">
        <v>0</v>
      </c>
      <c r="F36" s="640">
        <v>11.075929176351762</v>
      </c>
      <c r="G36" s="640">
        <v>76.664751333295058</v>
      </c>
      <c r="H36" s="640">
        <v>0</v>
      </c>
      <c r="I36" s="640">
        <v>0</v>
      </c>
      <c r="J36" s="640">
        <v>88.320247059496523</v>
      </c>
      <c r="K36" s="640">
        <v>0</v>
      </c>
      <c r="L36" s="640">
        <v>0</v>
      </c>
      <c r="M36" s="640">
        <v>1.5645867619039808</v>
      </c>
      <c r="N36" s="640">
        <v>59.616390446150973</v>
      </c>
      <c r="O36" s="640">
        <v>2.0734984243972754</v>
      </c>
      <c r="P36" s="640">
        <v>190.93239321884863</v>
      </c>
      <c r="Q36" s="640">
        <v>15.360003531773184</v>
      </c>
      <c r="R36" s="640">
        <v>0</v>
      </c>
      <c r="S36" s="648">
        <v>445.60779995221742</v>
      </c>
      <c r="U36" s="646" t="s">
        <v>80</v>
      </c>
      <c r="V36" s="640">
        <v>0</v>
      </c>
      <c r="W36" s="640">
        <v>0</v>
      </c>
      <c r="X36" s="640">
        <v>0.97925934500211753</v>
      </c>
      <c r="Y36" s="640">
        <v>9.8253088649292142</v>
      </c>
      <c r="Z36" s="640">
        <v>0</v>
      </c>
      <c r="AA36" s="640">
        <v>0</v>
      </c>
      <c r="AB36" s="640">
        <v>50.204880630535357</v>
      </c>
      <c r="AC36" s="640">
        <v>0</v>
      </c>
      <c r="AD36" s="640">
        <v>0</v>
      </c>
      <c r="AE36" s="640">
        <v>9.8253088649292142</v>
      </c>
      <c r="AF36" s="640">
        <v>95.02342184325245</v>
      </c>
      <c r="AG36" s="640">
        <v>4.208312775429496</v>
      </c>
      <c r="AH36" s="640">
        <v>144.38732956018927</v>
      </c>
      <c r="AI36" s="640">
        <v>30.75075127630511</v>
      </c>
      <c r="AJ36" s="640">
        <v>0</v>
      </c>
      <c r="AK36" s="648">
        <v>345.20457316057224</v>
      </c>
    </row>
    <row r="37" spans="3:37" x14ac:dyDescent="0.2">
      <c r="C37" s="646" t="s">
        <v>81</v>
      </c>
      <c r="D37" s="640">
        <v>0</v>
      </c>
      <c r="E37" s="640">
        <v>0</v>
      </c>
      <c r="F37" s="640">
        <v>2.6743117433405894</v>
      </c>
      <c r="G37" s="640">
        <v>62.987223173923248</v>
      </c>
      <c r="H37" s="640">
        <v>0</v>
      </c>
      <c r="I37" s="640">
        <v>0</v>
      </c>
      <c r="J37" s="640">
        <v>3.1384766478070549</v>
      </c>
      <c r="K37" s="640">
        <v>2.5274117631643136E-2</v>
      </c>
      <c r="L37" s="640">
        <v>0</v>
      </c>
      <c r="M37" s="640">
        <v>1.2854535341616988</v>
      </c>
      <c r="N37" s="640">
        <v>8.34801759276524</v>
      </c>
      <c r="O37" s="640">
        <v>0.71507622546549865</v>
      </c>
      <c r="P37" s="640">
        <v>142.0321146826426</v>
      </c>
      <c r="Q37" s="640">
        <v>3.3602766530800707</v>
      </c>
      <c r="R37" s="640">
        <v>0</v>
      </c>
      <c r="S37" s="648">
        <v>224.56622437081765</v>
      </c>
      <c r="U37" s="646" t="s">
        <v>81</v>
      </c>
      <c r="V37" s="640">
        <v>0</v>
      </c>
      <c r="W37" s="640">
        <v>0</v>
      </c>
      <c r="X37" s="640">
        <v>1.2256055704751125</v>
      </c>
      <c r="Y37" s="640">
        <v>7.2918833253665882</v>
      </c>
      <c r="Z37" s="640">
        <v>0</v>
      </c>
      <c r="AA37" s="640">
        <v>0</v>
      </c>
      <c r="AB37" s="640">
        <v>6.8658928642747856</v>
      </c>
      <c r="AC37" s="640">
        <v>2.5274117631643136E-2</v>
      </c>
      <c r="AD37" s="640">
        <v>0</v>
      </c>
      <c r="AE37" s="640">
        <v>7.2918833253665882</v>
      </c>
      <c r="AF37" s="640">
        <v>14.828462979838848</v>
      </c>
      <c r="AG37" s="640">
        <v>1.5197231438340593</v>
      </c>
      <c r="AH37" s="640">
        <v>114.40426288608282</v>
      </c>
      <c r="AI37" s="640">
        <v>13.362638181057982</v>
      </c>
      <c r="AJ37" s="640">
        <v>0</v>
      </c>
      <c r="AK37" s="648">
        <v>166.8156263939284</v>
      </c>
    </row>
    <row r="38" spans="3:37" x14ac:dyDescent="0.2">
      <c r="C38" s="646" t="s">
        <v>82</v>
      </c>
      <c r="D38" s="640">
        <v>0</v>
      </c>
      <c r="E38" s="640">
        <v>0</v>
      </c>
      <c r="F38" s="640">
        <v>27.931723909553636</v>
      </c>
      <c r="G38" s="640">
        <v>0.95472649492283324</v>
      </c>
      <c r="H38" s="640">
        <v>0</v>
      </c>
      <c r="I38" s="640">
        <v>0</v>
      </c>
      <c r="J38" s="640">
        <v>4.6306119511950978</v>
      </c>
      <c r="K38" s="640">
        <v>0</v>
      </c>
      <c r="L38" s="640">
        <v>3.1934862443619529</v>
      </c>
      <c r="M38" s="640">
        <v>1.9484214182098638E-2</v>
      </c>
      <c r="N38" s="640">
        <v>0</v>
      </c>
      <c r="O38" s="640">
        <v>6.6456137421005312E-2</v>
      </c>
      <c r="P38" s="640">
        <v>5.7660712732306445</v>
      </c>
      <c r="Q38" s="640">
        <v>0</v>
      </c>
      <c r="R38" s="640">
        <v>0</v>
      </c>
      <c r="S38" s="648">
        <v>42.562560224867276</v>
      </c>
      <c r="U38" s="646" t="s">
        <v>82</v>
      </c>
      <c r="V38" s="640">
        <v>0</v>
      </c>
      <c r="W38" s="640">
        <v>0</v>
      </c>
      <c r="X38" s="640">
        <v>3.5775053425595864</v>
      </c>
      <c r="Y38" s="640">
        <v>0.56393102033742082</v>
      </c>
      <c r="Z38" s="640">
        <v>0</v>
      </c>
      <c r="AA38" s="640">
        <v>0</v>
      </c>
      <c r="AB38" s="640">
        <v>4.6306119511950978</v>
      </c>
      <c r="AC38" s="640">
        <v>0</v>
      </c>
      <c r="AD38" s="640">
        <v>32.861113305842508</v>
      </c>
      <c r="AE38" s="640">
        <v>0.56393102033742082</v>
      </c>
      <c r="AF38" s="640">
        <v>0</v>
      </c>
      <c r="AG38" s="640">
        <v>1.7440136932478227</v>
      </c>
      <c r="AH38" s="640">
        <v>5.8866318405152116</v>
      </c>
      <c r="AI38" s="640">
        <v>0</v>
      </c>
      <c r="AJ38" s="640">
        <v>0.38427420359697795</v>
      </c>
      <c r="AK38" s="648">
        <v>50.21201237763205</v>
      </c>
    </row>
    <row r="39" spans="3:37" x14ac:dyDescent="0.2">
      <c r="C39" s="646" t="s">
        <v>354</v>
      </c>
      <c r="D39" s="640">
        <v>0</v>
      </c>
      <c r="E39" s="640">
        <v>0</v>
      </c>
      <c r="F39" s="640">
        <v>0</v>
      </c>
      <c r="G39" s="640">
        <v>0</v>
      </c>
      <c r="H39" s="640">
        <v>0</v>
      </c>
      <c r="I39" s="640">
        <v>0</v>
      </c>
      <c r="J39" s="640">
        <v>0</v>
      </c>
      <c r="K39" s="640">
        <v>0</v>
      </c>
      <c r="L39" s="640">
        <v>0</v>
      </c>
      <c r="M39" s="640">
        <v>0</v>
      </c>
      <c r="N39" s="640">
        <v>0</v>
      </c>
      <c r="O39" s="640">
        <v>0</v>
      </c>
      <c r="P39" s="640">
        <v>0.39</v>
      </c>
      <c r="Q39" s="640">
        <v>0</v>
      </c>
      <c r="R39" s="640">
        <v>0</v>
      </c>
      <c r="S39" s="648">
        <v>0.39</v>
      </c>
      <c r="U39" s="646" t="s">
        <v>354</v>
      </c>
      <c r="V39" s="640">
        <v>0</v>
      </c>
      <c r="W39" s="640">
        <v>0</v>
      </c>
      <c r="X39" s="640">
        <v>0</v>
      </c>
      <c r="Y39" s="640">
        <v>0</v>
      </c>
      <c r="Z39" s="640">
        <v>0</v>
      </c>
      <c r="AA39" s="640">
        <v>0</v>
      </c>
      <c r="AB39" s="640">
        <v>0</v>
      </c>
      <c r="AC39" s="640">
        <v>0</v>
      </c>
      <c r="AD39" s="640">
        <v>0</v>
      </c>
      <c r="AE39" s="640">
        <v>0</v>
      </c>
      <c r="AF39" s="640">
        <v>0</v>
      </c>
      <c r="AG39" s="640">
        <v>0</v>
      </c>
      <c r="AH39" s="640">
        <v>3.5999999999999996</v>
      </c>
      <c r="AI39" s="640">
        <v>0</v>
      </c>
      <c r="AJ39" s="640">
        <v>0</v>
      </c>
      <c r="AK39" s="648">
        <v>3.5999999999999996</v>
      </c>
    </row>
    <row r="40" spans="3:37" x14ac:dyDescent="0.2">
      <c r="C40" s="644" t="s">
        <v>83</v>
      </c>
      <c r="D40" s="645">
        <v>4.6398193944555786</v>
      </c>
      <c r="E40" s="645">
        <v>0</v>
      </c>
      <c r="F40" s="645">
        <v>288.00399564240968</v>
      </c>
      <c r="G40" s="645">
        <v>267.37720862195579</v>
      </c>
      <c r="H40" s="645">
        <v>0</v>
      </c>
      <c r="I40" s="645">
        <v>0</v>
      </c>
      <c r="J40" s="645">
        <v>117.91049787329212</v>
      </c>
      <c r="K40" s="645">
        <v>1.7618751350284469</v>
      </c>
      <c r="L40" s="645">
        <v>25.931812443893016</v>
      </c>
      <c r="M40" s="645">
        <v>5.4750905882772853</v>
      </c>
      <c r="N40" s="645">
        <v>67.964408038916218</v>
      </c>
      <c r="O40" s="645">
        <v>2.8554061636244761</v>
      </c>
      <c r="P40" s="645">
        <v>525.4263853892121</v>
      </c>
      <c r="Q40" s="645">
        <v>34.870731395116664</v>
      </c>
      <c r="R40" s="645">
        <v>2.9190855580034509</v>
      </c>
      <c r="S40" s="645">
        <v>1345.1363162441851</v>
      </c>
      <c r="U40" s="644" t="s">
        <v>83</v>
      </c>
      <c r="V40" s="645">
        <v>1.264986561669641</v>
      </c>
      <c r="W40" s="645">
        <v>0</v>
      </c>
      <c r="X40" s="645">
        <v>29.211639699659976</v>
      </c>
      <c r="Y40" s="645">
        <v>63.956275747695408</v>
      </c>
      <c r="Z40" s="645">
        <v>0</v>
      </c>
      <c r="AA40" s="645">
        <v>0</v>
      </c>
      <c r="AB40" s="645">
        <v>76.628296851050663</v>
      </c>
      <c r="AC40" s="645">
        <v>4.7844305635958433</v>
      </c>
      <c r="AD40" s="645">
        <v>67.031546398914003</v>
      </c>
      <c r="AE40" s="645">
        <v>63.974688608994001</v>
      </c>
      <c r="AF40" s="645">
        <v>109.8518848230913</v>
      </c>
      <c r="AG40" s="645">
        <v>7.4724249888520751</v>
      </c>
      <c r="AH40" s="645">
        <v>511.81625811534803</v>
      </c>
      <c r="AI40" s="645">
        <v>68.301024235701377</v>
      </c>
      <c r="AJ40" s="645">
        <v>14.600103225213982</v>
      </c>
      <c r="AK40" s="645">
        <v>1018.8935598197862</v>
      </c>
    </row>
    <row r="41" spans="3:37" x14ac:dyDescent="0.2">
      <c r="C41" s="639" t="s">
        <v>84</v>
      </c>
      <c r="D41" s="640">
        <v>0</v>
      </c>
      <c r="E41" s="640">
        <v>0</v>
      </c>
      <c r="F41" s="640">
        <v>104.91003257681685</v>
      </c>
      <c r="G41" s="640">
        <v>11.505661507854215</v>
      </c>
      <c r="H41" s="640">
        <v>0</v>
      </c>
      <c r="I41" s="640">
        <v>0</v>
      </c>
      <c r="J41" s="640">
        <v>0</v>
      </c>
      <c r="K41" s="640">
        <v>0</v>
      </c>
      <c r="L41" s="640">
        <v>0</v>
      </c>
      <c r="M41" s="640">
        <v>0</v>
      </c>
      <c r="N41" s="640">
        <v>0</v>
      </c>
      <c r="O41" s="640">
        <v>0</v>
      </c>
      <c r="P41" s="640">
        <v>0</v>
      </c>
      <c r="Q41" s="640">
        <v>0</v>
      </c>
      <c r="R41" s="640">
        <v>2.8301208000456781</v>
      </c>
      <c r="S41" s="648">
        <v>119.24581488471674</v>
      </c>
      <c r="U41" s="639" t="s">
        <v>84</v>
      </c>
      <c r="V41" s="640">
        <v>0</v>
      </c>
      <c r="W41" s="640">
        <v>0</v>
      </c>
      <c r="X41" s="640">
        <v>70.401025384734808</v>
      </c>
      <c r="Y41" s="640">
        <v>0.81519182748409058</v>
      </c>
      <c r="Z41" s="640">
        <v>0</v>
      </c>
      <c r="AA41" s="640">
        <v>0</v>
      </c>
      <c r="AB41" s="640">
        <v>0</v>
      </c>
      <c r="AC41" s="640">
        <v>0</v>
      </c>
      <c r="AD41" s="640">
        <v>24.563190847778323</v>
      </c>
      <c r="AE41" s="640">
        <v>0</v>
      </c>
      <c r="AF41" s="640">
        <v>0</v>
      </c>
      <c r="AG41" s="640">
        <v>0</v>
      </c>
      <c r="AH41" s="640">
        <v>0</v>
      </c>
      <c r="AI41" s="640">
        <v>0</v>
      </c>
      <c r="AJ41" s="640">
        <v>16.442815988159179</v>
      </c>
      <c r="AK41" s="648">
        <v>112.22222404815641</v>
      </c>
    </row>
    <row r="42" spans="3:37" x14ac:dyDescent="0.2">
      <c r="C42" s="644" t="s">
        <v>85</v>
      </c>
      <c r="D42" s="645">
        <v>4.6398193944555786</v>
      </c>
      <c r="E42" s="645">
        <v>0</v>
      </c>
      <c r="F42" s="645">
        <v>392.91402821922651</v>
      </c>
      <c r="G42" s="645">
        <v>278.88287012980999</v>
      </c>
      <c r="H42" s="645">
        <v>0</v>
      </c>
      <c r="I42" s="645">
        <v>0</v>
      </c>
      <c r="J42" s="645">
        <v>117.91049787329212</v>
      </c>
      <c r="K42" s="645">
        <v>1.7618751350284469</v>
      </c>
      <c r="L42" s="645">
        <v>25.931812443893016</v>
      </c>
      <c r="M42" s="645">
        <v>5.4750905882772853</v>
      </c>
      <c r="N42" s="645">
        <v>67.964408038916218</v>
      </c>
      <c r="O42" s="645">
        <v>2.8554061636244761</v>
      </c>
      <c r="P42" s="645">
        <v>525.4263853892121</v>
      </c>
      <c r="Q42" s="645">
        <v>34.870731395116664</v>
      </c>
      <c r="R42" s="645">
        <v>5.7492063580491291</v>
      </c>
      <c r="S42" s="645">
        <v>1464.3821311289018</v>
      </c>
      <c r="U42" s="644" t="s">
        <v>85</v>
      </c>
      <c r="V42" s="645">
        <v>1.264986561669641</v>
      </c>
      <c r="W42" s="645">
        <v>0</v>
      </c>
      <c r="X42" s="645">
        <v>99.612665084394791</v>
      </c>
      <c r="Y42" s="645">
        <v>64.7714675751795</v>
      </c>
      <c r="Z42" s="645">
        <v>0</v>
      </c>
      <c r="AA42" s="645">
        <v>0</v>
      </c>
      <c r="AB42" s="645">
        <v>76.628296851050663</v>
      </c>
      <c r="AC42" s="645">
        <v>4.7844305635958433</v>
      </c>
      <c r="AD42" s="645">
        <v>91.594737246692318</v>
      </c>
      <c r="AE42" s="645">
        <v>63.974688608994001</v>
      </c>
      <c r="AF42" s="645">
        <v>109.8518848230913</v>
      </c>
      <c r="AG42" s="645">
        <v>7.4724249888520751</v>
      </c>
      <c r="AH42" s="645">
        <v>511.81625811534803</v>
      </c>
      <c r="AI42" s="645">
        <v>68.301024235701377</v>
      </c>
      <c r="AJ42" s="645">
        <v>31.04291921337316</v>
      </c>
      <c r="AK42" s="645">
        <v>1131.1157838679426</v>
      </c>
    </row>
    <row r="43" spans="3:37" x14ac:dyDescent="0.2">
      <c r="C43" s="634"/>
      <c r="D43" s="634"/>
      <c r="E43" s="634"/>
      <c r="F43" s="634"/>
      <c r="G43" s="634"/>
      <c r="H43" s="634"/>
      <c r="I43" s="634"/>
      <c r="J43" s="634"/>
      <c r="K43" s="634"/>
      <c r="L43" s="634"/>
      <c r="M43" s="634"/>
      <c r="N43" s="634"/>
      <c r="O43" s="634"/>
      <c r="P43" s="634"/>
      <c r="Q43" s="634"/>
      <c r="R43" s="634"/>
      <c r="S43" s="634"/>
      <c r="U43" s="634"/>
      <c r="V43" s="634"/>
      <c r="W43" s="634"/>
      <c r="X43" s="634"/>
      <c r="Y43" s="634"/>
      <c r="Z43" s="634"/>
      <c r="AA43" s="634"/>
      <c r="AB43" s="634"/>
      <c r="AC43" s="634"/>
      <c r="AD43" s="634"/>
      <c r="AE43" s="634"/>
      <c r="AF43" s="634"/>
      <c r="AG43" s="634"/>
      <c r="AH43" s="634"/>
      <c r="AI43" s="634"/>
      <c r="AJ43" s="634"/>
      <c r="AK43" s="634"/>
    </row>
    <row r="44" spans="3:37" ht="22.5" x14ac:dyDescent="0.3">
      <c r="C44" s="759" t="s">
        <v>89</v>
      </c>
      <c r="D44" s="759"/>
      <c r="E44" s="759"/>
      <c r="F44" s="759"/>
      <c r="G44" s="759"/>
      <c r="H44" s="759"/>
      <c r="I44" s="759"/>
      <c r="J44" s="759"/>
      <c r="K44" s="759"/>
      <c r="L44" s="759"/>
      <c r="M44" s="759"/>
      <c r="N44" s="759"/>
      <c r="O44" s="759"/>
      <c r="P44" s="759"/>
      <c r="Q44" s="759"/>
      <c r="R44" s="759"/>
      <c r="S44" s="759"/>
      <c r="U44" s="759" t="s">
        <v>89</v>
      </c>
      <c r="V44" s="759"/>
      <c r="W44" s="759"/>
      <c r="X44" s="759"/>
      <c r="Y44" s="759"/>
      <c r="Z44" s="759"/>
      <c r="AA44" s="759"/>
      <c r="AB44" s="759"/>
      <c r="AC44" s="759"/>
      <c r="AD44" s="759"/>
      <c r="AE44" s="759"/>
      <c r="AF44" s="759"/>
      <c r="AG44" s="759"/>
      <c r="AH44" s="759"/>
      <c r="AI44" s="759"/>
      <c r="AJ44" s="759"/>
      <c r="AK44" s="759"/>
    </row>
    <row r="45" spans="3:37" x14ac:dyDescent="0.2">
      <c r="C45" s="634"/>
      <c r="D45" s="634"/>
      <c r="E45" s="634"/>
      <c r="F45" s="634"/>
      <c r="G45" s="634"/>
      <c r="H45" s="634"/>
      <c r="I45" s="634"/>
      <c r="J45" s="634"/>
      <c r="K45" s="634"/>
      <c r="L45" s="634"/>
      <c r="M45" s="634"/>
      <c r="N45" s="634"/>
      <c r="O45" s="634"/>
      <c r="P45" s="634"/>
      <c r="Q45" s="634"/>
      <c r="R45" s="634"/>
      <c r="S45" s="634"/>
      <c r="U45" s="634"/>
      <c r="V45" s="634"/>
      <c r="W45" s="634"/>
      <c r="X45" s="634"/>
      <c r="Y45" s="634"/>
      <c r="Z45" s="634"/>
      <c r="AA45" s="634"/>
      <c r="AB45" s="634"/>
      <c r="AC45" s="634"/>
      <c r="AD45" s="634"/>
      <c r="AE45" s="634"/>
      <c r="AF45" s="634"/>
      <c r="AG45" s="634"/>
      <c r="AH45" s="634"/>
      <c r="AI45" s="634"/>
      <c r="AJ45" s="634"/>
      <c r="AK45" s="634"/>
    </row>
    <row r="46" spans="3:37" ht="12.95" customHeight="1" x14ac:dyDescent="0.2">
      <c r="C46" s="758" t="s">
        <v>128</v>
      </c>
      <c r="D46" s="757" t="s">
        <v>42</v>
      </c>
      <c r="E46" s="757" t="s">
        <v>52</v>
      </c>
      <c r="F46" s="757" t="s">
        <v>53</v>
      </c>
      <c r="G46" s="757" t="s">
        <v>32</v>
      </c>
      <c r="H46" s="757" t="s">
        <v>20</v>
      </c>
      <c r="I46" s="757" t="s">
        <v>55</v>
      </c>
      <c r="J46" s="757" t="s">
        <v>56</v>
      </c>
      <c r="K46" s="757"/>
      <c r="L46" s="757"/>
      <c r="M46" s="757"/>
      <c r="N46" s="757"/>
      <c r="O46" s="757"/>
      <c r="P46" s="757" t="s">
        <v>57</v>
      </c>
      <c r="Q46" s="757" t="s">
        <v>58</v>
      </c>
      <c r="R46" s="757" t="s">
        <v>31</v>
      </c>
      <c r="S46" s="757" t="s">
        <v>10</v>
      </c>
      <c r="U46" s="758" t="s">
        <v>128</v>
      </c>
      <c r="V46" s="757" t="s">
        <v>42</v>
      </c>
      <c r="W46" s="757" t="s">
        <v>52</v>
      </c>
      <c r="X46" s="757" t="s">
        <v>53</v>
      </c>
      <c r="Y46" s="757" t="s">
        <v>32</v>
      </c>
      <c r="Z46" s="757" t="s">
        <v>20</v>
      </c>
      <c r="AA46" s="757" t="s">
        <v>55</v>
      </c>
      <c r="AB46" s="757" t="s">
        <v>56</v>
      </c>
      <c r="AC46" s="757"/>
      <c r="AD46" s="757"/>
      <c r="AE46" s="757"/>
      <c r="AF46" s="757"/>
      <c r="AG46" s="757"/>
      <c r="AH46" s="757" t="s">
        <v>57</v>
      </c>
      <c r="AI46" s="757" t="s">
        <v>58</v>
      </c>
      <c r="AJ46" s="757" t="s">
        <v>31</v>
      </c>
      <c r="AK46" s="757" t="s">
        <v>10</v>
      </c>
    </row>
    <row r="47" spans="3:37" ht="56.25" x14ac:dyDescent="0.2">
      <c r="C47" s="758"/>
      <c r="D47" s="757"/>
      <c r="E47" s="757"/>
      <c r="F47" s="757"/>
      <c r="G47" s="757"/>
      <c r="H47" s="757"/>
      <c r="I47" s="757"/>
      <c r="J47" s="638" t="s">
        <v>335</v>
      </c>
      <c r="K47" s="638" t="s">
        <v>40</v>
      </c>
      <c r="L47" s="638" t="s">
        <v>343</v>
      </c>
      <c r="M47" s="638" t="s">
        <v>344</v>
      </c>
      <c r="N47" s="638" t="s">
        <v>345</v>
      </c>
      <c r="O47" s="638" t="s">
        <v>346</v>
      </c>
      <c r="P47" s="757"/>
      <c r="Q47" s="757"/>
      <c r="R47" s="757"/>
      <c r="S47" s="757"/>
      <c r="U47" s="758"/>
      <c r="V47" s="757"/>
      <c r="W47" s="757"/>
      <c r="X47" s="757"/>
      <c r="Y47" s="757"/>
      <c r="Z47" s="757"/>
      <c r="AA47" s="757"/>
      <c r="AB47" s="638" t="s">
        <v>335</v>
      </c>
      <c r="AC47" s="638" t="s">
        <v>40</v>
      </c>
      <c r="AD47" s="638" t="s">
        <v>343</v>
      </c>
      <c r="AE47" s="638" t="s">
        <v>344</v>
      </c>
      <c r="AF47" s="638" t="s">
        <v>345</v>
      </c>
      <c r="AG47" s="638" t="s">
        <v>346</v>
      </c>
      <c r="AH47" s="757"/>
      <c r="AI47" s="757"/>
      <c r="AJ47" s="757"/>
      <c r="AK47" s="757"/>
    </row>
    <row r="48" spans="3:37" x14ac:dyDescent="0.2">
      <c r="C48" s="639" t="s">
        <v>59</v>
      </c>
      <c r="D48" s="640">
        <v>0</v>
      </c>
      <c r="E48" s="641">
        <v>0</v>
      </c>
      <c r="F48" s="641">
        <v>0</v>
      </c>
      <c r="G48" s="640">
        <v>0</v>
      </c>
      <c r="H48" s="641">
        <v>727.27272727272737</v>
      </c>
      <c r="I48" s="641">
        <v>338.37995078139568</v>
      </c>
      <c r="J48" s="641">
        <v>185.12606679296266</v>
      </c>
      <c r="K48" s="641">
        <v>19.887492227897642</v>
      </c>
      <c r="L48" s="641">
        <v>0.67629573379861951</v>
      </c>
      <c r="M48" s="641">
        <v>0.16041590589481752</v>
      </c>
      <c r="N48" s="641">
        <v>75.083762899489528</v>
      </c>
      <c r="O48" s="641">
        <v>12.515766779598991</v>
      </c>
      <c r="P48" s="642">
        <v>0</v>
      </c>
      <c r="Q48" s="641">
        <v>0</v>
      </c>
      <c r="R48" s="641">
        <v>0</v>
      </c>
      <c r="S48" s="643">
        <v>1359.1024783937653</v>
      </c>
      <c r="U48" s="639" t="s">
        <v>59</v>
      </c>
      <c r="V48" s="640">
        <v>0</v>
      </c>
      <c r="W48" s="641">
        <v>0</v>
      </c>
      <c r="X48" s="641">
        <v>0</v>
      </c>
      <c r="Y48" s="640">
        <v>0</v>
      </c>
      <c r="Z48" s="641">
        <v>764.84848484848499</v>
      </c>
      <c r="AA48" s="641">
        <v>423.19995078139567</v>
      </c>
      <c r="AB48" s="641">
        <v>256.09062969225096</v>
      </c>
      <c r="AC48" s="641">
        <v>36.108430969743218</v>
      </c>
      <c r="AD48" s="641">
        <v>0.67629573379861951</v>
      </c>
      <c r="AE48" s="641">
        <v>0.16041590589481752</v>
      </c>
      <c r="AF48" s="641">
        <v>123.16818516374138</v>
      </c>
      <c r="AG48" s="641">
        <v>30.250193334526926</v>
      </c>
      <c r="AH48" s="642">
        <v>0</v>
      </c>
      <c r="AI48" s="641">
        <v>0</v>
      </c>
      <c r="AJ48" s="641">
        <v>0</v>
      </c>
      <c r="AK48" s="643">
        <v>1634.5025864298366</v>
      </c>
    </row>
    <row r="49" spans="3:37" x14ac:dyDescent="0.2">
      <c r="C49" s="639" t="s">
        <v>60</v>
      </c>
      <c r="D49" s="640">
        <v>46.099891323621534</v>
      </c>
      <c r="E49" s="641">
        <v>464.7986487</v>
      </c>
      <c r="F49" s="641">
        <v>48.534128715927544</v>
      </c>
      <c r="G49" s="640">
        <v>345.55093723566335</v>
      </c>
      <c r="H49" s="641">
        <v>0</v>
      </c>
      <c r="I49" s="641">
        <v>0</v>
      </c>
      <c r="J49" s="641">
        <v>5.7213435879484642</v>
      </c>
      <c r="K49" s="641">
        <v>0</v>
      </c>
      <c r="L49" s="641">
        <v>3.0565993326094723</v>
      </c>
      <c r="M49" s="641">
        <v>0</v>
      </c>
      <c r="N49" s="641">
        <v>0</v>
      </c>
      <c r="O49" s="641">
        <v>0</v>
      </c>
      <c r="P49" s="642">
        <v>0</v>
      </c>
      <c r="Q49" s="641">
        <v>0</v>
      </c>
      <c r="R49" s="641">
        <v>0</v>
      </c>
      <c r="S49" s="643">
        <v>913.76154889577037</v>
      </c>
      <c r="U49" s="639" t="s">
        <v>60</v>
      </c>
      <c r="V49" s="640">
        <v>4.5871215860372576</v>
      </c>
      <c r="W49" s="641">
        <v>113.59926767676768</v>
      </c>
      <c r="X49" s="641">
        <v>20.138935454909394</v>
      </c>
      <c r="Y49" s="640">
        <v>0.51452681198611927</v>
      </c>
      <c r="Z49" s="641">
        <v>0</v>
      </c>
      <c r="AA49" s="641">
        <v>0</v>
      </c>
      <c r="AB49" s="641">
        <v>5.7213435879484642</v>
      </c>
      <c r="AC49" s="641">
        <v>0</v>
      </c>
      <c r="AD49" s="641">
        <v>3.0565993326094723</v>
      </c>
      <c r="AE49" s="641">
        <v>0</v>
      </c>
      <c r="AF49" s="641">
        <v>0</v>
      </c>
      <c r="AG49" s="641">
        <v>0</v>
      </c>
      <c r="AH49" s="642">
        <v>0</v>
      </c>
      <c r="AI49" s="641">
        <v>0</v>
      </c>
      <c r="AJ49" s="641">
        <v>0</v>
      </c>
      <c r="AK49" s="643">
        <v>147.6177944502584</v>
      </c>
    </row>
    <row r="50" spans="3:37" x14ac:dyDescent="0.2">
      <c r="C50" s="639" t="s">
        <v>61</v>
      </c>
      <c r="D50" s="640">
        <v>0</v>
      </c>
      <c r="E50" s="641">
        <v>0</v>
      </c>
      <c r="F50" s="641">
        <v>0</v>
      </c>
      <c r="G50" s="640">
        <v>0</v>
      </c>
      <c r="H50" s="641">
        <v>0</v>
      </c>
      <c r="I50" s="641">
        <v>0</v>
      </c>
      <c r="J50" s="641">
        <v>0</v>
      </c>
      <c r="K50" s="641">
        <v>0</v>
      </c>
      <c r="L50" s="641">
        <v>0</v>
      </c>
      <c r="M50" s="641">
        <v>0</v>
      </c>
      <c r="N50" s="641">
        <v>0</v>
      </c>
      <c r="O50" s="641">
        <v>0</v>
      </c>
      <c r="P50" s="642">
        <v>-12.7985093299136</v>
      </c>
      <c r="Q50" s="641">
        <v>0</v>
      </c>
      <c r="R50" s="641">
        <v>0</v>
      </c>
      <c r="S50" s="643">
        <v>-12.7985093299136</v>
      </c>
      <c r="U50" s="639" t="s">
        <v>61</v>
      </c>
      <c r="V50" s="640">
        <v>0</v>
      </c>
      <c r="W50" s="641">
        <v>0</v>
      </c>
      <c r="X50" s="641">
        <v>0</v>
      </c>
      <c r="Y50" s="640">
        <v>0</v>
      </c>
      <c r="Z50" s="641">
        <v>0</v>
      </c>
      <c r="AA50" s="641">
        <v>0</v>
      </c>
      <c r="AB50" s="641">
        <v>0</v>
      </c>
      <c r="AC50" s="641">
        <v>0</v>
      </c>
      <c r="AD50" s="641">
        <v>0</v>
      </c>
      <c r="AE50" s="641">
        <v>0</v>
      </c>
      <c r="AF50" s="641">
        <v>0</v>
      </c>
      <c r="AG50" s="641">
        <v>0</v>
      </c>
      <c r="AH50" s="642">
        <v>-41.639986107117011</v>
      </c>
      <c r="AI50" s="641">
        <v>0</v>
      </c>
      <c r="AJ50" s="641">
        <v>0</v>
      </c>
      <c r="AK50" s="643">
        <v>-41.639986107117011</v>
      </c>
    </row>
    <row r="51" spans="3:37" x14ac:dyDescent="0.2">
      <c r="C51" s="639" t="s">
        <v>62</v>
      </c>
      <c r="D51" s="640">
        <v>0</v>
      </c>
      <c r="E51" s="641">
        <v>0</v>
      </c>
      <c r="F51" s="641">
        <v>-14.431507774067331</v>
      </c>
      <c r="G51" s="640">
        <v>0</v>
      </c>
      <c r="H51" s="641">
        <v>0</v>
      </c>
      <c r="I51" s="641">
        <v>0</v>
      </c>
      <c r="J51" s="641">
        <v>0</v>
      </c>
      <c r="K51" s="641">
        <v>0</v>
      </c>
      <c r="L51" s="641">
        <v>0</v>
      </c>
      <c r="M51" s="641">
        <v>0</v>
      </c>
      <c r="N51" s="641">
        <v>0</v>
      </c>
      <c r="O51" s="641">
        <v>0</v>
      </c>
      <c r="P51" s="642">
        <v>0</v>
      </c>
      <c r="Q51" s="641">
        <v>0</v>
      </c>
      <c r="R51" s="641">
        <v>0</v>
      </c>
      <c r="S51" s="643">
        <v>-14.431507774067331</v>
      </c>
      <c r="U51" s="639" t="s">
        <v>62</v>
      </c>
      <c r="V51" s="640">
        <v>0</v>
      </c>
      <c r="W51" s="641">
        <v>0</v>
      </c>
      <c r="X51" s="641">
        <v>-5.3013702027186111</v>
      </c>
      <c r="Y51" s="640">
        <v>0</v>
      </c>
      <c r="Z51" s="641">
        <v>0</v>
      </c>
      <c r="AA51" s="641">
        <v>0</v>
      </c>
      <c r="AB51" s="641">
        <v>0</v>
      </c>
      <c r="AC51" s="641">
        <v>0</v>
      </c>
      <c r="AD51" s="641">
        <v>0</v>
      </c>
      <c r="AE51" s="641">
        <v>-5.1137296191648005</v>
      </c>
      <c r="AF51" s="641">
        <v>0</v>
      </c>
      <c r="AG51" s="641">
        <v>0</v>
      </c>
      <c r="AH51" s="642">
        <v>0</v>
      </c>
      <c r="AI51" s="641">
        <v>0</v>
      </c>
      <c r="AJ51" s="641">
        <v>0</v>
      </c>
      <c r="AK51" s="643">
        <v>-10.415099821883413</v>
      </c>
    </row>
    <row r="52" spans="3:37" x14ac:dyDescent="0.2">
      <c r="C52" s="639" t="s">
        <v>63</v>
      </c>
      <c r="D52" s="640">
        <v>0</v>
      </c>
      <c r="E52" s="641">
        <v>0</v>
      </c>
      <c r="F52" s="641">
        <v>-93.443844381495637</v>
      </c>
      <c r="G52" s="640">
        <v>0</v>
      </c>
      <c r="H52" s="641">
        <v>0</v>
      </c>
      <c r="I52" s="641">
        <v>0</v>
      </c>
      <c r="J52" s="641">
        <v>0</v>
      </c>
      <c r="K52" s="641">
        <v>0</v>
      </c>
      <c r="L52" s="641">
        <v>-0.96889726774865159</v>
      </c>
      <c r="M52" s="641">
        <v>0</v>
      </c>
      <c r="N52" s="641">
        <v>0</v>
      </c>
      <c r="O52" s="641">
        <v>0</v>
      </c>
      <c r="P52" s="642">
        <v>0</v>
      </c>
      <c r="Q52" s="641">
        <v>0</v>
      </c>
      <c r="R52" s="641">
        <v>0</v>
      </c>
      <c r="S52" s="643">
        <v>-94.412741649244282</v>
      </c>
      <c r="U52" s="639" t="s">
        <v>63</v>
      </c>
      <c r="V52" s="640">
        <v>0</v>
      </c>
      <c r="W52" s="641">
        <v>0</v>
      </c>
      <c r="X52" s="641">
        <v>-35.841594545498886</v>
      </c>
      <c r="Y52" s="640">
        <v>0</v>
      </c>
      <c r="Z52" s="641">
        <v>0</v>
      </c>
      <c r="AA52" s="641">
        <v>0</v>
      </c>
      <c r="AB52" s="641">
        <v>0</v>
      </c>
      <c r="AC52" s="641">
        <v>0</v>
      </c>
      <c r="AD52" s="641">
        <v>-46.567340427053182</v>
      </c>
      <c r="AE52" s="641">
        <v>0</v>
      </c>
      <c r="AF52" s="641">
        <v>0</v>
      </c>
      <c r="AG52" s="641">
        <v>0</v>
      </c>
      <c r="AH52" s="642">
        <v>0</v>
      </c>
      <c r="AI52" s="641">
        <v>0</v>
      </c>
      <c r="AJ52" s="641">
        <v>0</v>
      </c>
      <c r="AK52" s="643">
        <v>-82.408934972552061</v>
      </c>
    </row>
    <row r="53" spans="3:37" x14ac:dyDescent="0.2">
      <c r="C53" s="639" t="s">
        <v>64</v>
      </c>
      <c r="D53" s="640">
        <v>0</v>
      </c>
      <c r="E53" s="641">
        <v>0</v>
      </c>
      <c r="F53" s="641">
        <v>0</v>
      </c>
      <c r="G53" s="640">
        <v>0</v>
      </c>
      <c r="H53" s="641">
        <v>0</v>
      </c>
      <c r="I53" s="641">
        <v>0</v>
      </c>
      <c r="J53" s="641">
        <v>0</v>
      </c>
      <c r="K53" s="641">
        <v>0</v>
      </c>
      <c r="L53" s="641">
        <v>0</v>
      </c>
      <c r="M53" s="641">
        <v>0</v>
      </c>
      <c r="N53" s="641">
        <v>0</v>
      </c>
      <c r="O53" s="641">
        <v>0</v>
      </c>
      <c r="P53" s="642">
        <v>0</v>
      </c>
      <c r="Q53" s="641">
        <v>0</v>
      </c>
      <c r="R53" s="641">
        <v>0</v>
      </c>
      <c r="S53" s="643">
        <v>0</v>
      </c>
      <c r="U53" s="639" t="s">
        <v>64</v>
      </c>
      <c r="V53" s="640">
        <v>0</v>
      </c>
      <c r="W53" s="641">
        <v>0</v>
      </c>
      <c r="X53" s="641">
        <v>0</v>
      </c>
      <c r="Y53" s="640">
        <v>0</v>
      </c>
      <c r="Z53" s="641">
        <v>0</v>
      </c>
      <c r="AA53" s="641">
        <v>0</v>
      </c>
      <c r="AB53" s="641">
        <v>0</v>
      </c>
      <c r="AC53" s="641">
        <v>0</v>
      </c>
      <c r="AD53" s="641">
        <v>0</v>
      </c>
      <c r="AE53" s="641">
        <v>0</v>
      </c>
      <c r="AF53" s="641">
        <v>0</v>
      </c>
      <c r="AG53" s="641">
        <v>0</v>
      </c>
      <c r="AH53" s="642">
        <v>0</v>
      </c>
      <c r="AI53" s="641">
        <v>0</v>
      </c>
      <c r="AJ53" s="641">
        <v>0</v>
      </c>
      <c r="AK53" s="643">
        <v>0</v>
      </c>
    </row>
    <row r="54" spans="3:37" x14ac:dyDescent="0.2">
      <c r="C54" s="644" t="s">
        <v>65</v>
      </c>
      <c r="D54" s="645">
        <v>46.099891323621534</v>
      </c>
      <c r="E54" s="645">
        <v>464.7986487</v>
      </c>
      <c r="F54" s="645">
        <v>-59.341223439635421</v>
      </c>
      <c r="G54" s="645">
        <v>345.55093723566335</v>
      </c>
      <c r="H54" s="645">
        <v>727.27272727272737</v>
      </c>
      <c r="I54" s="645">
        <v>338.37995078139568</v>
      </c>
      <c r="J54" s="645">
        <v>190.84741038091113</v>
      </c>
      <c r="K54" s="645">
        <v>19.887492227897642</v>
      </c>
      <c r="L54" s="645">
        <v>2.7639977986594397</v>
      </c>
      <c r="M54" s="645">
        <v>0.16041590589481752</v>
      </c>
      <c r="N54" s="645">
        <v>75.083762899489528</v>
      </c>
      <c r="O54" s="645">
        <v>12.515766779598991</v>
      </c>
      <c r="P54" s="645">
        <v>-12.7985093299136</v>
      </c>
      <c r="Q54" s="645">
        <v>0</v>
      </c>
      <c r="R54" s="645">
        <v>0</v>
      </c>
      <c r="S54" s="645">
        <v>2151.2212685363102</v>
      </c>
      <c r="U54" s="644" t="s">
        <v>65</v>
      </c>
      <c r="V54" s="645">
        <v>4.5871215860372576</v>
      </c>
      <c r="W54" s="645">
        <v>113.59926767676768</v>
      </c>
      <c r="X54" s="645">
        <v>-21.004029293308101</v>
      </c>
      <c r="Y54" s="645">
        <v>0.51452681198611927</v>
      </c>
      <c r="Z54" s="645">
        <v>764.84848484848499</v>
      </c>
      <c r="AA54" s="645">
        <v>423.19995078139567</v>
      </c>
      <c r="AB54" s="645">
        <v>261.81197328019942</v>
      </c>
      <c r="AC54" s="645">
        <v>36.108430969743218</v>
      </c>
      <c r="AD54" s="645">
        <v>-42.834445360645091</v>
      </c>
      <c r="AE54" s="645">
        <v>-4.9533137132699832</v>
      </c>
      <c r="AF54" s="645">
        <v>123.16818516374138</v>
      </c>
      <c r="AG54" s="645">
        <v>30.250193334526926</v>
      </c>
      <c r="AH54" s="645">
        <v>-41.639986107117011</v>
      </c>
      <c r="AI54" s="645">
        <v>0</v>
      </c>
      <c r="AJ54" s="645">
        <v>0</v>
      </c>
      <c r="AK54" s="645">
        <v>1647.6563599785427</v>
      </c>
    </row>
    <row r="55" spans="3:37" x14ac:dyDescent="0.2">
      <c r="C55" s="634"/>
      <c r="D55" s="634">
        <v>0</v>
      </c>
      <c r="E55" s="634">
        <v>0</v>
      </c>
      <c r="F55" s="634">
        <v>0</v>
      </c>
      <c r="G55" s="634">
        <v>0</v>
      </c>
      <c r="H55" s="634">
        <v>0</v>
      </c>
      <c r="I55" s="634">
        <v>0</v>
      </c>
      <c r="J55" s="634">
        <v>0</v>
      </c>
      <c r="K55" s="634">
        <v>0</v>
      </c>
      <c r="L55" s="634">
        <v>0</v>
      </c>
      <c r="M55" s="634">
        <v>0</v>
      </c>
      <c r="N55" s="634">
        <v>0</v>
      </c>
      <c r="O55" s="634">
        <v>0</v>
      </c>
      <c r="P55" s="634">
        <v>0</v>
      </c>
      <c r="Q55" s="634">
        <v>0</v>
      </c>
      <c r="R55" s="634">
        <v>0</v>
      </c>
      <c r="S55" s="634">
        <v>0</v>
      </c>
      <c r="U55" s="634"/>
      <c r="V55" s="634">
        <v>0</v>
      </c>
      <c r="W55" s="634">
        <v>0</v>
      </c>
      <c r="X55" s="634">
        <v>0</v>
      </c>
      <c r="Y55" s="634">
        <v>0</v>
      </c>
      <c r="Z55" s="634">
        <v>0</v>
      </c>
      <c r="AA55" s="634">
        <v>0</v>
      </c>
      <c r="AB55" s="634">
        <v>0</v>
      </c>
      <c r="AC55" s="634">
        <v>0</v>
      </c>
      <c r="AD55" s="634">
        <v>0</v>
      </c>
      <c r="AE55" s="634">
        <v>0</v>
      </c>
      <c r="AF55" s="634">
        <v>0</v>
      </c>
      <c r="AG55" s="634">
        <v>0</v>
      </c>
      <c r="AH55" s="634">
        <v>0</v>
      </c>
      <c r="AI55" s="634">
        <v>0</v>
      </c>
      <c r="AJ55" s="634">
        <v>0</v>
      </c>
      <c r="AK55" s="634">
        <v>0</v>
      </c>
    </row>
    <row r="56" spans="3:37" x14ac:dyDescent="0.2">
      <c r="C56" s="646" t="s">
        <v>67</v>
      </c>
      <c r="D56" s="640">
        <v>0</v>
      </c>
      <c r="E56" s="647">
        <v>0</v>
      </c>
      <c r="F56" s="647">
        <v>0</v>
      </c>
      <c r="G56" s="640">
        <v>0</v>
      </c>
      <c r="H56" s="640">
        <v>0</v>
      </c>
      <c r="I56" s="640">
        <v>0</v>
      </c>
      <c r="J56" s="640">
        <v>0</v>
      </c>
      <c r="K56" s="640">
        <v>0</v>
      </c>
      <c r="L56" s="640">
        <v>0</v>
      </c>
      <c r="M56" s="640">
        <v>0</v>
      </c>
      <c r="N56" s="640">
        <v>0</v>
      </c>
      <c r="O56" s="640">
        <v>0</v>
      </c>
      <c r="P56" s="640">
        <v>0</v>
      </c>
      <c r="Q56" s="640">
        <v>0</v>
      </c>
      <c r="R56" s="640">
        <v>0</v>
      </c>
      <c r="S56" s="648">
        <v>0</v>
      </c>
      <c r="U56" s="646" t="s">
        <v>67</v>
      </c>
      <c r="V56" s="640">
        <v>0</v>
      </c>
      <c r="W56" s="647">
        <v>0</v>
      </c>
      <c r="X56" s="647">
        <v>0</v>
      </c>
      <c r="Y56" s="640">
        <v>0</v>
      </c>
      <c r="Z56" s="640">
        <v>0</v>
      </c>
      <c r="AA56" s="640">
        <v>0</v>
      </c>
      <c r="AB56" s="640">
        <v>0</v>
      </c>
      <c r="AC56" s="640">
        <v>0</v>
      </c>
      <c r="AD56" s="640">
        <v>0</v>
      </c>
      <c r="AE56" s="640">
        <v>0</v>
      </c>
      <c r="AF56" s="640">
        <v>0</v>
      </c>
      <c r="AG56" s="640">
        <v>0</v>
      </c>
      <c r="AH56" s="640">
        <v>0</v>
      </c>
      <c r="AI56" s="640">
        <v>0</v>
      </c>
      <c r="AJ56" s="640">
        <v>0</v>
      </c>
      <c r="AK56" s="648">
        <v>0</v>
      </c>
    </row>
    <row r="57" spans="3:37" x14ac:dyDescent="0.2">
      <c r="C57" s="646" t="s">
        <v>347</v>
      </c>
      <c r="D57" s="640">
        <v>2.8267856410252494</v>
      </c>
      <c r="E57" s="640">
        <v>0</v>
      </c>
      <c r="F57" s="640">
        <v>8.0599105831015567</v>
      </c>
      <c r="G57" s="640">
        <v>46.530346198952707</v>
      </c>
      <c r="H57" s="640">
        <v>727.27272727272737</v>
      </c>
      <c r="I57" s="640">
        <v>338.37995078139568</v>
      </c>
      <c r="J57" s="649">
        <v>28.452469116356035</v>
      </c>
      <c r="K57" s="649">
        <v>6.2305848357200952</v>
      </c>
      <c r="L57" s="649">
        <v>3.7328950664080915</v>
      </c>
      <c r="M57" s="649">
        <v>1.0761160081227215</v>
      </c>
      <c r="N57" s="649">
        <v>0</v>
      </c>
      <c r="O57" s="649">
        <v>7.5664382136221358</v>
      </c>
      <c r="P57" s="640">
        <v>-629.14515201417555</v>
      </c>
      <c r="Q57" s="640">
        <v>0</v>
      </c>
      <c r="R57" s="640">
        <v>0</v>
      </c>
      <c r="S57" s="648">
        <v>540.98307170325586</v>
      </c>
      <c r="U57" s="646" t="s">
        <v>347</v>
      </c>
      <c r="V57" s="640">
        <v>0.62631490545869017</v>
      </c>
      <c r="W57" s="640">
        <v>0</v>
      </c>
      <c r="X57" s="640">
        <v>4.1962742194651934</v>
      </c>
      <c r="Y57" s="640">
        <v>0</v>
      </c>
      <c r="Z57" s="640">
        <v>764.84848484848499</v>
      </c>
      <c r="AA57" s="640">
        <v>423.19995078139567</v>
      </c>
      <c r="AB57" s="649">
        <v>22.478183728982629</v>
      </c>
      <c r="AC57" s="649">
        <v>5.0926371917675839</v>
      </c>
      <c r="AD57" s="649">
        <v>3.7328950664080915</v>
      </c>
      <c r="AE57" s="649">
        <v>0.79318377276994545</v>
      </c>
      <c r="AF57" s="649">
        <v>0</v>
      </c>
      <c r="AG57" s="649">
        <v>7.5664382136221358</v>
      </c>
      <c r="AH57" s="640">
        <v>-696.77718495359215</v>
      </c>
      <c r="AI57" s="640">
        <v>0</v>
      </c>
      <c r="AJ57" s="640">
        <v>3.75</v>
      </c>
      <c r="AK57" s="648">
        <v>539.50717777476291</v>
      </c>
    </row>
    <row r="58" spans="3:37" x14ac:dyDescent="0.2">
      <c r="C58" s="646" t="s">
        <v>348</v>
      </c>
      <c r="D58" s="640">
        <v>0</v>
      </c>
      <c r="E58" s="640">
        <v>0</v>
      </c>
      <c r="F58" s="640">
        <v>0</v>
      </c>
      <c r="G58" s="640">
        <v>14.783508517784153</v>
      </c>
      <c r="H58" s="640">
        <v>0</v>
      </c>
      <c r="I58" s="640">
        <v>0</v>
      </c>
      <c r="J58" s="649">
        <v>12.163067049530284</v>
      </c>
      <c r="K58" s="649">
        <v>11.829214997579474</v>
      </c>
      <c r="L58" s="649">
        <v>0</v>
      </c>
      <c r="M58" s="649">
        <v>0.31740804730172578</v>
      </c>
      <c r="N58" s="649">
        <v>0</v>
      </c>
      <c r="O58" s="649">
        <v>2.086875550337155</v>
      </c>
      <c r="P58" s="640">
        <v>0</v>
      </c>
      <c r="Q58" s="640">
        <v>-37.667878685561853</v>
      </c>
      <c r="R58" s="640">
        <v>0</v>
      </c>
      <c r="S58" s="648">
        <v>3.5121954769709394</v>
      </c>
      <c r="U58" s="646" t="s">
        <v>348</v>
      </c>
      <c r="V58" s="640">
        <v>0</v>
      </c>
      <c r="W58" s="640">
        <v>0</v>
      </c>
      <c r="X58" s="640">
        <v>0</v>
      </c>
      <c r="Y58" s="640">
        <v>0</v>
      </c>
      <c r="Z58" s="640">
        <v>0</v>
      </c>
      <c r="AA58" s="640">
        <v>0</v>
      </c>
      <c r="AB58" s="649">
        <v>28.523630086620891</v>
      </c>
      <c r="AC58" s="649">
        <v>26.288013396118924</v>
      </c>
      <c r="AD58" s="649">
        <v>0</v>
      </c>
      <c r="AE58" s="649">
        <v>10.611192177482708</v>
      </c>
      <c r="AF58" s="649">
        <v>0</v>
      </c>
      <c r="AG58" s="649">
        <v>14.121402979798832</v>
      </c>
      <c r="AH58" s="640">
        <v>0</v>
      </c>
      <c r="AI58" s="640">
        <v>-74.176724382187018</v>
      </c>
      <c r="AJ58" s="640">
        <v>0</v>
      </c>
      <c r="AK58" s="648">
        <v>5.3675142578343316</v>
      </c>
    </row>
    <row r="59" spans="3:37" x14ac:dyDescent="0.2">
      <c r="C59" s="646" t="s">
        <v>349</v>
      </c>
      <c r="D59" s="640">
        <v>0</v>
      </c>
      <c r="E59" s="640">
        <v>0</v>
      </c>
      <c r="F59" s="640">
        <v>0</v>
      </c>
      <c r="G59" s="640">
        <v>0</v>
      </c>
      <c r="H59" s="640">
        <v>0</v>
      </c>
      <c r="I59" s="640">
        <v>0</v>
      </c>
      <c r="J59" s="650">
        <v>7.1450792385721682</v>
      </c>
      <c r="K59" s="650">
        <v>0</v>
      </c>
      <c r="L59" s="650">
        <v>0</v>
      </c>
      <c r="M59" s="650">
        <v>-6.8235506728364204</v>
      </c>
      <c r="N59" s="650">
        <v>0</v>
      </c>
      <c r="O59" s="650">
        <v>0</v>
      </c>
      <c r="P59" s="640">
        <v>0</v>
      </c>
      <c r="Q59" s="640">
        <v>0</v>
      </c>
      <c r="R59" s="640">
        <v>0</v>
      </c>
      <c r="S59" s="648">
        <v>0.32152856573574784</v>
      </c>
      <c r="U59" s="646" t="s">
        <v>349</v>
      </c>
      <c r="V59" s="640">
        <v>0</v>
      </c>
      <c r="W59" s="640">
        <v>0</v>
      </c>
      <c r="X59" s="640">
        <v>0</v>
      </c>
      <c r="Y59" s="640">
        <v>0</v>
      </c>
      <c r="Z59" s="640">
        <v>0</v>
      </c>
      <c r="AA59" s="640">
        <v>0</v>
      </c>
      <c r="AB59" s="650">
        <v>137.81211213320262</v>
      </c>
      <c r="AC59" s="650">
        <v>0</v>
      </c>
      <c r="AD59" s="650">
        <v>0</v>
      </c>
      <c r="AE59" s="650">
        <v>-131.61056708720849</v>
      </c>
      <c r="AF59" s="650">
        <v>0</v>
      </c>
      <c r="AG59" s="650">
        <v>0</v>
      </c>
      <c r="AH59" s="640">
        <v>0</v>
      </c>
      <c r="AI59" s="640">
        <v>0</v>
      </c>
      <c r="AJ59" s="640">
        <v>0</v>
      </c>
      <c r="AK59" s="648">
        <v>6.2015450459941235</v>
      </c>
    </row>
    <row r="60" spans="3:37" x14ac:dyDescent="0.2">
      <c r="C60" s="646" t="s">
        <v>350</v>
      </c>
      <c r="D60" s="640">
        <v>0</v>
      </c>
      <c r="E60" s="640">
        <v>0</v>
      </c>
      <c r="F60" s="640">
        <v>0</v>
      </c>
      <c r="G60" s="640">
        <v>0</v>
      </c>
      <c r="H60" s="640">
        <v>0</v>
      </c>
      <c r="I60" s="640">
        <v>0</v>
      </c>
      <c r="J60" s="640">
        <v>0</v>
      </c>
      <c r="K60" s="640">
        <v>0</v>
      </c>
      <c r="L60" s="640">
        <v>0</v>
      </c>
      <c r="M60" s="640">
        <v>0</v>
      </c>
      <c r="N60" s="640">
        <v>0</v>
      </c>
      <c r="O60" s="640">
        <v>0</v>
      </c>
      <c r="P60" s="640">
        <v>0</v>
      </c>
      <c r="Q60" s="640">
        <v>0</v>
      </c>
      <c r="R60" s="640">
        <v>0</v>
      </c>
      <c r="S60" s="648">
        <v>0</v>
      </c>
      <c r="U60" s="646" t="s">
        <v>350</v>
      </c>
      <c r="V60" s="640">
        <v>0</v>
      </c>
      <c r="W60" s="640">
        <v>0</v>
      </c>
      <c r="X60" s="640">
        <v>0</v>
      </c>
      <c r="Y60" s="640">
        <v>0</v>
      </c>
      <c r="Z60" s="640">
        <v>0</v>
      </c>
      <c r="AA60" s="640">
        <v>0</v>
      </c>
      <c r="AB60" s="640">
        <v>0</v>
      </c>
      <c r="AC60" s="640">
        <v>0</v>
      </c>
      <c r="AD60" s="640">
        <v>0</v>
      </c>
      <c r="AE60" s="640">
        <v>0</v>
      </c>
      <c r="AF60" s="640">
        <v>0</v>
      </c>
      <c r="AG60" s="640">
        <v>0</v>
      </c>
      <c r="AH60" s="640">
        <v>0</v>
      </c>
      <c r="AI60" s="640">
        <v>0</v>
      </c>
      <c r="AJ60" s="640">
        <v>0</v>
      </c>
      <c r="AK60" s="648">
        <v>0</v>
      </c>
    </row>
    <row r="61" spans="3:37" x14ac:dyDescent="0.2">
      <c r="C61" s="646" t="s">
        <v>72</v>
      </c>
      <c r="D61" s="640">
        <v>0</v>
      </c>
      <c r="E61" s="640">
        <v>481.48200000000003</v>
      </c>
      <c r="F61" s="640">
        <v>-476.66718000000003</v>
      </c>
      <c r="G61" s="640">
        <v>0</v>
      </c>
      <c r="H61" s="640">
        <v>0</v>
      </c>
      <c r="I61" s="640">
        <v>0</v>
      </c>
      <c r="J61" s="640">
        <v>0</v>
      </c>
      <c r="K61" s="640">
        <v>0</v>
      </c>
      <c r="L61" s="640">
        <v>0</v>
      </c>
      <c r="M61" s="640">
        <v>0</v>
      </c>
      <c r="N61" s="640">
        <v>0</v>
      </c>
      <c r="O61" s="640">
        <v>0</v>
      </c>
      <c r="P61" s="640">
        <v>0</v>
      </c>
      <c r="Q61" s="640">
        <v>0</v>
      </c>
      <c r="R61" s="640">
        <v>0</v>
      </c>
      <c r="S61" s="648">
        <v>4.8148199999999974</v>
      </c>
      <c r="U61" s="646" t="s">
        <v>72</v>
      </c>
      <c r="V61" s="640">
        <v>0</v>
      </c>
      <c r="W61" s="640">
        <v>117.67676767676768</v>
      </c>
      <c r="X61" s="640">
        <v>-116.5</v>
      </c>
      <c r="Y61" s="640">
        <v>0</v>
      </c>
      <c r="Z61" s="640">
        <v>0</v>
      </c>
      <c r="AA61" s="640">
        <v>0</v>
      </c>
      <c r="AB61" s="640">
        <v>0</v>
      </c>
      <c r="AC61" s="640">
        <v>0</v>
      </c>
      <c r="AD61" s="640">
        <v>0</v>
      </c>
      <c r="AE61" s="640">
        <v>0</v>
      </c>
      <c r="AF61" s="640">
        <v>0</v>
      </c>
      <c r="AG61" s="640">
        <v>0</v>
      </c>
      <c r="AH61" s="640">
        <v>0</v>
      </c>
      <c r="AI61" s="640">
        <v>0</v>
      </c>
      <c r="AJ61" s="640">
        <v>0</v>
      </c>
      <c r="AK61" s="648">
        <v>1.1767676767676818</v>
      </c>
    </row>
    <row r="62" spans="3:37" x14ac:dyDescent="0.2">
      <c r="C62" s="646" t="s">
        <v>351</v>
      </c>
      <c r="D62" s="640">
        <v>0</v>
      </c>
      <c r="E62" s="640">
        <v>0</v>
      </c>
      <c r="F62" s="640">
        <v>0</v>
      </c>
      <c r="G62" s="640">
        <v>0</v>
      </c>
      <c r="H62" s="640">
        <v>0</v>
      </c>
      <c r="I62" s="640">
        <v>0</v>
      </c>
      <c r="J62" s="640">
        <v>26.125483595276659</v>
      </c>
      <c r="K62" s="640">
        <v>0</v>
      </c>
      <c r="L62" s="640">
        <v>-26.125483595276659</v>
      </c>
      <c r="M62" s="640">
        <v>0</v>
      </c>
      <c r="N62" s="640">
        <v>0</v>
      </c>
      <c r="O62" s="640">
        <v>0</v>
      </c>
      <c r="P62" s="640">
        <v>0</v>
      </c>
      <c r="Q62" s="640">
        <v>0</v>
      </c>
      <c r="R62" s="640">
        <v>0</v>
      </c>
      <c r="S62" s="648">
        <v>0</v>
      </c>
      <c r="U62" s="646" t="s">
        <v>351</v>
      </c>
      <c r="V62" s="640">
        <v>0</v>
      </c>
      <c r="W62" s="640">
        <v>0</v>
      </c>
      <c r="X62" s="640">
        <v>0</v>
      </c>
      <c r="Y62" s="640">
        <v>0</v>
      </c>
      <c r="Z62" s="640">
        <v>0</v>
      </c>
      <c r="AA62" s="640">
        <v>0</v>
      </c>
      <c r="AB62" s="640" t="e">
        <v>#VALUE!</v>
      </c>
      <c r="AC62" s="640">
        <v>0</v>
      </c>
      <c r="AD62" s="640">
        <v>-100.69655001825291</v>
      </c>
      <c r="AE62" s="640">
        <v>0</v>
      </c>
      <c r="AF62" s="640">
        <v>0</v>
      </c>
      <c r="AG62" s="640">
        <v>0</v>
      </c>
      <c r="AH62" s="640">
        <v>0</v>
      </c>
      <c r="AI62" s="640">
        <v>0</v>
      </c>
      <c r="AJ62" s="640">
        <v>0</v>
      </c>
      <c r="AK62" s="648">
        <v>-100.69655001825291</v>
      </c>
    </row>
    <row r="63" spans="3:37" x14ac:dyDescent="0.2">
      <c r="C63" s="646" t="s">
        <v>352</v>
      </c>
      <c r="D63" s="640">
        <v>0</v>
      </c>
      <c r="E63" s="640">
        <v>0</v>
      </c>
      <c r="F63" s="640">
        <v>0</v>
      </c>
      <c r="G63" s="640">
        <v>0</v>
      </c>
      <c r="H63" s="640">
        <v>0</v>
      </c>
      <c r="I63" s="640">
        <v>0</v>
      </c>
      <c r="J63" s="640">
        <v>0</v>
      </c>
      <c r="K63" s="640">
        <v>0</v>
      </c>
      <c r="L63" s="640">
        <v>0</v>
      </c>
      <c r="M63" s="640">
        <v>0</v>
      </c>
      <c r="N63" s="640">
        <v>0</v>
      </c>
      <c r="O63" s="640">
        <v>0</v>
      </c>
      <c r="P63" s="640">
        <v>0</v>
      </c>
      <c r="Q63" s="640">
        <v>0</v>
      </c>
      <c r="R63" s="640">
        <v>0</v>
      </c>
      <c r="S63" s="648">
        <v>0</v>
      </c>
      <c r="U63" s="646" t="s">
        <v>352</v>
      </c>
      <c r="V63" s="640">
        <v>0</v>
      </c>
      <c r="W63" s="640">
        <v>0</v>
      </c>
      <c r="X63" s="640">
        <v>0</v>
      </c>
      <c r="Y63" s="640">
        <v>0</v>
      </c>
      <c r="Z63" s="640">
        <v>0</v>
      </c>
      <c r="AA63" s="640">
        <v>0</v>
      </c>
      <c r="AB63" s="640">
        <v>0</v>
      </c>
      <c r="AC63" s="640">
        <v>0</v>
      </c>
      <c r="AD63" s="640">
        <v>-28.460377640694865</v>
      </c>
      <c r="AE63" s="640">
        <v>0</v>
      </c>
      <c r="AF63" s="640">
        <v>0</v>
      </c>
      <c r="AG63" s="640">
        <v>0</v>
      </c>
      <c r="AH63" s="640">
        <v>0</v>
      </c>
      <c r="AI63" s="640">
        <v>0</v>
      </c>
      <c r="AJ63" s="640">
        <v>0</v>
      </c>
      <c r="AK63" s="648">
        <v>-28.460377640694865</v>
      </c>
    </row>
    <row r="64" spans="3:37" x14ac:dyDescent="0.2">
      <c r="C64" s="646" t="s">
        <v>73</v>
      </c>
      <c r="D64" s="640">
        <v>0</v>
      </c>
      <c r="E64" s="640">
        <v>0</v>
      </c>
      <c r="F64" s="640">
        <v>0</v>
      </c>
      <c r="G64" s="640">
        <v>8.6128889644156494</v>
      </c>
      <c r="H64" s="640">
        <v>0</v>
      </c>
      <c r="I64" s="640">
        <v>0</v>
      </c>
      <c r="J64" s="640">
        <v>0</v>
      </c>
      <c r="K64" s="640">
        <v>0.10101910584583218</v>
      </c>
      <c r="L64" s="640">
        <v>0</v>
      </c>
      <c r="M64" s="640">
        <v>0.17577324417174797</v>
      </c>
      <c r="N64" s="640">
        <v>0</v>
      </c>
      <c r="O64" s="640">
        <v>0</v>
      </c>
      <c r="P64" s="640">
        <v>1.1785562348680418</v>
      </c>
      <c r="Q64" s="640">
        <v>0</v>
      </c>
      <c r="R64" s="640">
        <v>-7.071337409208251</v>
      </c>
      <c r="S64" s="648">
        <v>2.99690014009302</v>
      </c>
      <c r="U64" s="646" t="s">
        <v>73</v>
      </c>
      <c r="V64" s="640">
        <v>0</v>
      </c>
      <c r="W64" s="640">
        <v>0</v>
      </c>
      <c r="X64" s="640">
        <v>0</v>
      </c>
      <c r="Y64" s="640">
        <v>0</v>
      </c>
      <c r="Z64" s="640">
        <v>0</v>
      </c>
      <c r="AA64" s="640">
        <v>0</v>
      </c>
      <c r="AB64" s="640">
        <v>0</v>
      </c>
      <c r="AC64" s="640">
        <v>0.58294529496624936</v>
      </c>
      <c r="AD64" s="640">
        <v>0</v>
      </c>
      <c r="AE64" s="640">
        <v>0</v>
      </c>
      <c r="AF64" s="640">
        <v>0</v>
      </c>
      <c r="AG64" s="640">
        <v>0</v>
      </c>
      <c r="AH64" s="640">
        <v>56.108484640501494</v>
      </c>
      <c r="AI64" s="640">
        <v>0</v>
      </c>
      <c r="AJ64" s="640">
        <v>-40.806170647637451</v>
      </c>
      <c r="AK64" s="648">
        <v>15.885259287830294</v>
      </c>
    </row>
    <row r="65" spans="3:37" x14ac:dyDescent="0.2">
      <c r="C65" s="646" t="s">
        <v>353</v>
      </c>
      <c r="D65" s="640">
        <v>28.51179328125</v>
      </c>
      <c r="E65" s="640">
        <v>-16.683351300000002</v>
      </c>
      <c r="F65" s="640">
        <v>21.820838094867195</v>
      </c>
      <c r="G65" s="640">
        <v>0</v>
      </c>
      <c r="H65" s="640">
        <v>0</v>
      </c>
      <c r="I65" s="640">
        <v>0</v>
      </c>
      <c r="J65" s="640">
        <v>0</v>
      </c>
      <c r="K65" s="640">
        <v>0</v>
      </c>
      <c r="L65" s="640">
        <v>0</v>
      </c>
      <c r="M65" s="640">
        <v>0</v>
      </c>
      <c r="N65" s="640">
        <v>0</v>
      </c>
      <c r="O65" s="640">
        <v>0</v>
      </c>
      <c r="P65" s="640">
        <v>0</v>
      </c>
      <c r="Q65" s="640">
        <v>0</v>
      </c>
      <c r="R65" s="640">
        <v>0</v>
      </c>
      <c r="S65" s="648">
        <v>33.649280076117194</v>
      </c>
      <c r="U65" s="646" t="s">
        <v>353</v>
      </c>
      <c r="V65" s="640">
        <v>0.72303211975097659</v>
      </c>
      <c r="W65" s="640">
        <v>-4.0775000000000006</v>
      </c>
      <c r="X65" s="640">
        <v>5.333129161634389</v>
      </c>
      <c r="Y65" s="640">
        <v>0</v>
      </c>
      <c r="Z65" s="640">
        <v>0</v>
      </c>
      <c r="AA65" s="640">
        <v>0</v>
      </c>
      <c r="AB65" s="640">
        <v>0</v>
      </c>
      <c r="AC65" s="640">
        <v>0</v>
      </c>
      <c r="AD65" s="640">
        <v>0</v>
      </c>
      <c r="AE65" s="640">
        <v>0</v>
      </c>
      <c r="AF65" s="640">
        <v>0</v>
      </c>
      <c r="AG65" s="640">
        <v>0</v>
      </c>
      <c r="AH65" s="640">
        <v>0</v>
      </c>
      <c r="AI65" s="640">
        <v>0</v>
      </c>
      <c r="AJ65" s="640">
        <v>0</v>
      </c>
      <c r="AK65" s="648">
        <v>1.978661281385365</v>
      </c>
    </row>
    <row r="66" spans="3:37" x14ac:dyDescent="0.2">
      <c r="C66" s="646" t="s">
        <v>75</v>
      </c>
      <c r="D66" s="640">
        <v>11.087919609375001</v>
      </c>
      <c r="E66" s="640">
        <v>0</v>
      </c>
      <c r="F66" s="640">
        <v>16.370388000000002</v>
      </c>
      <c r="G66" s="640">
        <v>4.6713383640000004</v>
      </c>
      <c r="H66" s="640">
        <v>0</v>
      </c>
      <c r="I66" s="640">
        <v>0</v>
      </c>
      <c r="J66" s="640">
        <v>0</v>
      </c>
      <c r="K66" s="640">
        <v>0</v>
      </c>
      <c r="L66" s="640">
        <v>0</v>
      </c>
      <c r="M66" s="640">
        <v>9.5333436000000008E-2</v>
      </c>
      <c r="N66" s="640">
        <v>0</v>
      </c>
      <c r="O66" s="640">
        <v>0</v>
      </c>
      <c r="P66" s="640">
        <v>26.129145836866744</v>
      </c>
      <c r="Q66" s="640">
        <v>0</v>
      </c>
      <c r="R66" s="640">
        <v>0</v>
      </c>
      <c r="S66" s="648">
        <v>58.35412524624175</v>
      </c>
      <c r="U66" s="646" t="s">
        <v>75</v>
      </c>
      <c r="V66" s="640">
        <v>1.73775830078125</v>
      </c>
      <c r="W66" s="640">
        <v>0</v>
      </c>
      <c r="X66" s="640">
        <v>16.370388000000002</v>
      </c>
      <c r="Y66" s="640">
        <v>0</v>
      </c>
      <c r="Z66" s="640">
        <v>0</v>
      </c>
      <c r="AA66" s="640">
        <v>0</v>
      </c>
      <c r="AB66" s="640">
        <v>0</v>
      </c>
      <c r="AC66" s="640">
        <v>0</v>
      </c>
      <c r="AD66" s="640">
        <v>0</v>
      </c>
      <c r="AE66" s="640">
        <v>4.7666718000000001</v>
      </c>
      <c r="AF66" s="640">
        <v>0</v>
      </c>
      <c r="AG66" s="640">
        <v>0</v>
      </c>
      <c r="AH66" s="640">
        <v>36.696565665655768</v>
      </c>
      <c r="AI66" s="640">
        <v>0</v>
      </c>
      <c r="AJ66" s="640">
        <v>0</v>
      </c>
      <c r="AK66" s="648">
        <v>59.571383766437016</v>
      </c>
    </row>
    <row r="67" spans="3:37" x14ac:dyDescent="0.2">
      <c r="C67" s="646" t="s">
        <v>76</v>
      </c>
      <c r="D67" s="640">
        <v>0</v>
      </c>
      <c r="E67" s="640">
        <v>0</v>
      </c>
      <c r="F67" s="640">
        <v>0</v>
      </c>
      <c r="G67" s="640">
        <v>3.9646717348100942</v>
      </c>
      <c r="H67" s="640">
        <v>0</v>
      </c>
      <c r="I67" s="640">
        <v>0</v>
      </c>
      <c r="J67" s="640">
        <v>0</v>
      </c>
      <c r="K67" s="640">
        <v>0</v>
      </c>
      <c r="L67" s="640">
        <v>0</v>
      </c>
      <c r="M67" s="640">
        <v>8.0911668057348868E-2</v>
      </c>
      <c r="N67" s="640">
        <v>0</v>
      </c>
      <c r="O67" s="640">
        <v>0</v>
      </c>
      <c r="P67" s="640">
        <v>47.131742012269626</v>
      </c>
      <c r="Q67" s="640">
        <v>2.9238621334994321</v>
      </c>
      <c r="R67" s="640">
        <v>0</v>
      </c>
      <c r="S67" s="648">
        <v>54.101187548636503</v>
      </c>
      <c r="U67" s="646" t="s">
        <v>76</v>
      </c>
      <c r="V67" s="640">
        <v>0</v>
      </c>
      <c r="W67" s="640">
        <v>0</v>
      </c>
      <c r="X67" s="640">
        <v>0</v>
      </c>
      <c r="Y67" s="640">
        <v>0</v>
      </c>
      <c r="Z67" s="640">
        <v>0</v>
      </c>
      <c r="AA67" s="640">
        <v>0</v>
      </c>
      <c r="AB67" s="640">
        <v>0</v>
      </c>
      <c r="AC67" s="640">
        <v>0</v>
      </c>
      <c r="AD67" s="640">
        <v>0</v>
      </c>
      <c r="AE67" s="640">
        <v>1.5605996097297452</v>
      </c>
      <c r="AF67" s="640">
        <v>0</v>
      </c>
      <c r="AG67" s="640">
        <v>0</v>
      </c>
      <c r="AH67" s="640">
        <v>50.104610120731024</v>
      </c>
      <c r="AI67" s="640">
        <v>5.7529608775183565</v>
      </c>
      <c r="AJ67" s="640">
        <v>0</v>
      </c>
      <c r="AK67" s="648">
        <v>57.418170607979121</v>
      </c>
    </row>
    <row r="68" spans="3:37" x14ac:dyDescent="0.2">
      <c r="C68" s="644" t="s">
        <v>77</v>
      </c>
      <c r="D68" s="645">
        <v>42.426498531650253</v>
      </c>
      <c r="E68" s="645">
        <v>464.7986487</v>
      </c>
      <c r="F68" s="645">
        <v>-430.41604332203127</v>
      </c>
      <c r="G68" s="645">
        <v>78.562753779962591</v>
      </c>
      <c r="H68" s="645">
        <v>727.27272727272737</v>
      </c>
      <c r="I68" s="645">
        <v>338.37995078139568</v>
      </c>
      <c r="J68" s="645">
        <v>73.88609899973514</v>
      </c>
      <c r="K68" s="645">
        <v>18.1608189391454</v>
      </c>
      <c r="L68" s="645">
        <v>-22.392588528868568</v>
      </c>
      <c r="M68" s="645">
        <v>-5.0780082691828765</v>
      </c>
      <c r="N68" s="645">
        <v>0</v>
      </c>
      <c r="O68" s="645">
        <v>9.6533137639592894</v>
      </c>
      <c r="P68" s="645">
        <v>-554.70570793017112</v>
      </c>
      <c r="Q68" s="645">
        <v>-34.744016552062419</v>
      </c>
      <c r="R68" s="645">
        <v>-7.071337409208251</v>
      </c>
      <c r="S68" s="645">
        <v>698.73310875705101</v>
      </c>
      <c r="U68" s="644" t="s">
        <v>77</v>
      </c>
      <c r="V68" s="645">
        <v>3.0871053259909167</v>
      </c>
      <c r="W68" s="645">
        <v>113.59926767676768</v>
      </c>
      <c r="X68" s="645">
        <v>-90.60020861890041</v>
      </c>
      <c r="Y68" s="645">
        <v>0</v>
      </c>
      <c r="Z68" s="645">
        <v>764.84848484848499</v>
      </c>
      <c r="AA68" s="645">
        <v>423.19995078139567</v>
      </c>
      <c r="AB68" s="645">
        <v>188.81392594880614</v>
      </c>
      <c r="AC68" s="645">
        <v>31.963595882852758</v>
      </c>
      <c r="AD68" s="645">
        <v>-125.42403259253969</v>
      </c>
      <c r="AE68" s="645">
        <v>-113.87891972722609</v>
      </c>
      <c r="AF68" s="645">
        <v>0</v>
      </c>
      <c r="AG68" s="645">
        <v>21.687841193420969</v>
      </c>
      <c r="AH68" s="645">
        <v>-553.86752452670385</v>
      </c>
      <c r="AI68" s="645">
        <v>-68.423763504668656</v>
      </c>
      <c r="AJ68" s="645">
        <v>-37.056170647637451</v>
      </c>
      <c r="AK68" s="645">
        <v>557.94955204004305</v>
      </c>
    </row>
    <row r="69" spans="3:37" x14ac:dyDescent="0.2">
      <c r="C69" s="634"/>
      <c r="D69" s="634">
        <v>0</v>
      </c>
      <c r="E69" s="634">
        <v>0</v>
      </c>
      <c r="F69" s="634">
        <v>0</v>
      </c>
      <c r="G69" s="634">
        <v>0</v>
      </c>
      <c r="H69" s="634">
        <v>0</v>
      </c>
      <c r="I69" s="634">
        <v>0</v>
      </c>
      <c r="J69" s="634">
        <v>0</v>
      </c>
      <c r="K69" s="634">
        <v>0</v>
      </c>
      <c r="L69" s="634">
        <v>0</v>
      </c>
      <c r="M69" s="634">
        <v>0</v>
      </c>
      <c r="N69" s="634">
        <v>0</v>
      </c>
      <c r="O69" s="634">
        <v>0</v>
      </c>
      <c r="P69" s="634">
        <v>0</v>
      </c>
      <c r="Q69" s="634">
        <v>0</v>
      </c>
      <c r="R69" s="634">
        <v>0</v>
      </c>
      <c r="S69" s="634">
        <v>0</v>
      </c>
      <c r="U69" s="634"/>
      <c r="V69" s="634">
        <v>0</v>
      </c>
      <c r="W69" s="634">
        <v>0</v>
      </c>
      <c r="X69" s="634">
        <v>0</v>
      </c>
      <c r="Y69" s="634">
        <v>0</v>
      </c>
      <c r="Z69" s="634">
        <v>0</v>
      </c>
      <c r="AA69" s="634">
        <v>0</v>
      </c>
      <c r="AB69" s="634">
        <v>0</v>
      </c>
      <c r="AC69" s="634">
        <v>0</v>
      </c>
      <c r="AD69" s="634">
        <v>0</v>
      </c>
      <c r="AE69" s="634">
        <v>0</v>
      </c>
      <c r="AF69" s="634">
        <v>0</v>
      </c>
      <c r="AG69" s="634">
        <v>0</v>
      </c>
      <c r="AH69" s="634">
        <v>0</v>
      </c>
      <c r="AI69" s="634">
        <v>0</v>
      </c>
      <c r="AJ69" s="634">
        <v>0</v>
      </c>
      <c r="AK69" s="634">
        <v>0</v>
      </c>
    </row>
    <row r="70" spans="3:37" x14ac:dyDescent="0.2">
      <c r="C70" s="646" t="s">
        <v>78</v>
      </c>
      <c r="D70" s="640">
        <v>3.6733927919712848</v>
      </c>
      <c r="E70" s="640">
        <v>0</v>
      </c>
      <c r="F70" s="640">
        <v>19.397200033553816</v>
      </c>
      <c r="G70" s="640">
        <v>91.130108310207916</v>
      </c>
      <c r="H70" s="640">
        <v>0</v>
      </c>
      <c r="I70" s="640">
        <v>0</v>
      </c>
      <c r="J70" s="640">
        <v>22.791437377983073</v>
      </c>
      <c r="K70" s="640">
        <v>1.7013098714668424</v>
      </c>
      <c r="L70" s="640">
        <v>1.007010953125</v>
      </c>
      <c r="M70" s="640">
        <v>1.8779931367345493</v>
      </c>
      <c r="N70" s="640">
        <v>0</v>
      </c>
      <c r="O70" s="640">
        <v>3.7093504340600874E-4</v>
      </c>
      <c r="P70" s="640">
        <v>114.54790196708234</v>
      </c>
      <c r="Q70" s="640">
        <v>16.21056036467343</v>
      </c>
      <c r="R70" s="640">
        <v>0.23655174255371095</v>
      </c>
      <c r="S70" s="648">
        <v>272.57383748439537</v>
      </c>
      <c r="U70" s="646" t="s">
        <v>78</v>
      </c>
      <c r="V70" s="640">
        <v>1.5000162600463405</v>
      </c>
      <c r="W70" s="640">
        <v>0</v>
      </c>
      <c r="X70" s="640">
        <v>0.65820239923796242</v>
      </c>
      <c r="Y70" s="640">
        <v>0</v>
      </c>
      <c r="Z70" s="640">
        <v>0</v>
      </c>
      <c r="AA70" s="640">
        <v>0</v>
      </c>
      <c r="AB70" s="640">
        <v>14.22856522114639</v>
      </c>
      <c r="AC70" s="640">
        <v>4.1194716696050602</v>
      </c>
      <c r="AD70" s="640">
        <v>8.3494072265624997</v>
      </c>
      <c r="AE70" s="640">
        <v>60.539358802903692</v>
      </c>
      <c r="AF70" s="640">
        <v>0</v>
      </c>
      <c r="AG70" s="640">
        <v>3.7093504340600874E-4</v>
      </c>
      <c r="AH70" s="640">
        <v>157.01971492382648</v>
      </c>
      <c r="AI70" s="640">
        <v>25.540840498351418</v>
      </c>
      <c r="AJ70" s="640">
        <v>8.9542294921874994</v>
      </c>
      <c r="AK70" s="648">
        <v>280.91017742891074</v>
      </c>
    </row>
    <row r="71" spans="3:37" x14ac:dyDescent="0.2">
      <c r="C71" s="646" t="s">
        <v>79</v>
      </c>
      <c r="D71" s="640">
        <v>0</v>
      </c>
      <c r="E71" s="640">
        <v>0</v>
      </c>
      <c r="F71" s="640">
        <v>216.8751541495462</v>
      </c>
      <c r="G71" s="640">
        <v>32.745585882615877</v>
      </c>
      <c r="H71" s="640">
        <v>0</v>
      </c>
      <c r="I71" s="640">
        <v>0</v>
      </c>
      <c r="J71" s="640">
        <v>0</v>
      </c>
      <c r="K71" s="640">
        <v>0</v>
      </c>
      <c r="L71" s="640">
        <v>20.896591906701669</v>
      </c>
      <c r="M71" s="640">
        <v>0.66827726291052814</v>
      </c>
      <c r="N71" s="640">
        <v>0</v>
      </c>
      <c r="O71" s="640">
        <v>0</v>
      </c>
      <c r="P71" s="640">
        <v>80.819270278256823</v>
      </c>
      <c r="Q71" s="640">
        <v>0</v>
      </c>
      <c r="R71" s="640">
        <v>2.9193508940431485</v>
      </c>
      <c r="S71" s="648">
        <v>354.92423037407423</v>
      </c>
      <c r="U71" s="646" t="s">
        <v>79</v>
      </c>
      <c r="V71" s="640">
        <v>0</v>
      </c>
      <c r="W71" s="640">
        <v>0</v>
      </c>
      <c r="X71" s="640">
        <v>8.8339079607242379</v>
      </c>
      <c r="Y71" s="640">
        <v>0</v>
      </c>
      <c r="Z71" s="640">
        <v>0</v>
      </c>
      <c r="AA71" s="640">
        <v>0</v>
      </c>
      <c r="AB71" s="640">
        <v>0</v>
      </c>
      <c r="AC71" s="640">
        <v>0</v>
      </c>
      <c r="AD71" s="640">
        <v>12.788272739607951</v>
      </c>
      <c r="AE71" s="640">
        <v>24.887279738493259</v>
      </c>
      <c r="AF71" s="640">
        <v>0</v>
      </c>
      <c r="AG71" s="640">
        <v>0</v>
      </c>
      <c r="AH71" s="640">
        <v>93.844452584108197</v>
      </c>
      <c r="AI71" s="640">
        <v>0</v>
      </c>
      <c r="AJ71" s="640">
        <v>7.1149935986121697</v>
      </c>
      <c r="AK71" s="648">
        <v>147.46890662154581</v>
      </c>
    </row>
    <row r="72" spans="3:37" x14ac:dyDescent="0.2">
      <c r="C72" s="646" t="s">
        <v>80</v>
      </c>
      <c r="D72" s="640">
        <v>0</v>
      </c>
      <c r="E72" s="640">
        <v>0</v>
      </c>
      <c r="F72" s="640">
        <v>5.2094674308398901</v>
      </c>
      <c r="G72" s="640">
        <v>68.551385920257417</v>
      </c>
      <c r="H72" s="640">
        <v>0</v>
      </c>
      <c r="I72" s="640">
        <v>0</v>
      </c>
      <c r="J72" s="640">
        <v>86.155325304334795</v>
      </c>
      <c r="K72" s="640">
        <v>0</v>
      </c>
      <c r="L72" s="640">
        <v>0</v>
      </c>
      <c r="M72" s="640">
        <v>1.3990078759236206</v>
      </c>
      <c r="N72" s="640">
        <v>66.478227859390046</v>
      </c>
      <c r="O72" s="640">
        <v>2.1206229173139883</v>
      </c>
      <c r="P72" s="640">
        <v>194.47767196350526</v>
      </c>
      <c r="Q72" s="640">
        <v>15.182773802844931</v>
      </c>
      <c r="R72" s="640">
        <v>0</v>
      </c>
      <c r="S72" s="648">
        <v>439.5744830744099</v>
      </c>
      <c r="U72" s="646" t="s">
        <v>80</v>
      </c>
      <c r="V72" s="640">
        <v>0</v>
      </c>
      <c r="W72" s="640">
        <v>0</v>
      </c>
      <c r="X72" s="640">
        <v>0.92826525658471626</v>
      </c>
      <c r="Y72" s="640">
        <v>0</v>
      </c>
      <c r="Z72" s="640">
        <v>0</v>
      </c>
      <c r="AA72" s="640">
        <v>0</v>
      </c>
      <c r="AB72" s="640">
        <v>47.227858114444189</v>
      </c>
      <c r="AC72" s="640">
        <v>0</v>
      </c>
      <c r="AD72" s="640">
        <v>0</v>
      </c>
      <c r="AE72" s="640">
        <v>17.293312779197663</v>
      </c>
      <c r="AF72" s="640">
        <v>108.09916343666818</v>
      </c>
      <c r="AG72" s="640">
        <v>4.9369795689122755</v>
      </c>
      <c r="AH72" s="640">
        <v>137.38519988829395</v>
      </c>
      <c r="AI72" s="640">
        <v>27.91071693101145</v>
      </c>
      <c r="AJ72" s="640">
        <v>0</v>
      </c>
      <c r="AK72" s="648">
        <v>343.78149597511242</v>
      </c>
    </row>
    <row r="73" spans="3:37" x14ac:dyDescent="0.2">
      <c r="C73" s="646" t="s">
        <v>81</v>
      </c>
      <c r="D73" s="640">
        <v>0</v>
      </c>
      <c r="E73" s="640">
        <v>0</v>
      </c>
      <c r="F73" s="640">
        <v>2.3181271880740835</v>
      </c>
      <c r="G73" s="640">
        <v>62.553452404821357</v>
      </c>
      <c r="H73" s="640">
        <v>0</v>
      </c>
      <c r="I73" s="640">
        <v>0</v>
      </c>
      <c r="J73" s="640">
        <v>3.0090868580403627</v>
      </c>
      <c r="K73" s="640">
        <v>2.5363417285398034E-2</v>
      </c>
      <c r="L73" s="640">
        <v>0</v>
      </c>
      <c r="M73" s="640">
        <v>1.27660106948615</v>
      </c>
      <c r="N73" s="640">
        <v>8.6055350400994808</v>
      </c>
      <c r="O73" s="640">
        <v>0.68093940948821108</v>
      </c>
      <c r="P73" s="640">
        <v>146.08879967332064</v>
      </c>
      <c r="Q73" s="640">
        <v>3.3506823845440552</v>
      </c>
      <c r="R73" s="640">
        <v>0</v>
      </c>
      <c r="S73" s="648">
        <v>227.90858744515972</v>
      </c>
      <c r="U73" s="646" t="s">
        <v>81</v>
      </c>
      <c r="V73" s="640">
        <v>0</v>
      </c>
      <c r="W73" s="640">
        <v>0</v>
      </c>
      <c r="X73" s="640">
        <v>0.55102356567889155</v>
      </c>
      <c r="Y73" s="640">
        <v>0</v>
      </c>
      <c r="Z73" s="640">
        <v>0</v>
      </c>
      <c r="AA73" s="640">
        <v>0</v>
      </c>
      <c r="AB73" s="640">
        <v>6.5361621549849476</v>
      </c>
      <c r="AC73" s="640">
        <v>2.5363417285398034E-2</v>
      </c>
      <c r="AD73" s="640">
        <v>0</v>
      </c>
      <c r="AE73" s="640">
        <v>5.3379988256415478</v>
      </c>
      <c r="AF73" s="640">
        <v>15.069021727073199</v>
      </c>
      <c r="AG73" s="640">
        <v>1.4375946320597892</v>
      </c>
      <c r="AH73" s="640">
        <v>112.31243747223964</v>
      </c>
      <c r="AI73" s="640">
        <v>14.972206075305797</v>
      </c>
      <c r="AJ73" s="640">
        <v>0</v>
      </c>
      <c r="AK73" s="648">
        <v>156.24180787026921</v>
      </c>
    </row>
    <row r="74" spans="3:37" x14ac:dyDescent="0.2">
      <c r="C74" s="646" t="s">
        <v>82</v>
      </c>
      <c r="D74" s="640">
        <v>0</v>
      </c>
      <c r="E74" s="640">
        <v>0</v>
      </c>
      <c r="F74" s="640">
        <v>27.219719362233906</v>
      </c>
      <c r="G74" s="640">
        <v>0.81069667111944488</v>
      </c>
      <c r="H74" s="640">
        <v>0</v>
      </c>
      <c r="I74" s="640">
        <v>0</v>
      </c>
      <c r="J74" s="640">
        <v>5.0054618408177598</v>
      </c>
      <c r="K74" s="640">
        <v>0</v>
      </c>
      <c r="L74" s="640">
        <v>3.2629555410385191</v>
      </c>
      <c r="M74" s="640">
        <v>1.6544830022845812E-2</v>
      </c>
      <c r="N74" s="640">
        <v>0</v>
      </c>
      <c r="O74" s="640">
        <v>6.051975379409523E-2</v>
      </c>
      <c r="P74" s="640">
        <v>5.5235547180923223</v>
      </c>
      <c r="Q74" s="640">
        <v>0</v>
      </c>
      <c r="R74" s="640">
        <v>0</v>
      </c>
      <c r="S74" s="648">
        <v>41.899452717118898</v>
      </c>
      <c r="U74" s="646" t="s">
        <v>82</v>
      </c>
      <c r="V74" s="640">
        <v>0</v>
      </c>
      <c r="W74" s="640">
        <v>0</v>
      </c>
      <c r="X74" s="640">
        <v>0.67158967449506357</v>
      </c>
      <c r="Y74" s="640">
        <v>0</v>
      </c>
      <c r="Z74" s="640">
        <v>0</v>
      </c>
      <c r="AA74" s="640">
        <v>0</v>
      </c>
      <c r="AB74" s="640">
        <v>5.0054618408177598</v>
      </c>
      <c r="AC74" s="640">
        <v>0</v>
      </c>
      <c r="AD74" s="640">
        <v>35.167200828266267</v>
      </c>
      <c r="AE74" s="640">
        <v>0.86765586771995196</v>
      </c>
      <c r="AF74" s="640">
        <v>0</v>
      </c>
      <c r="AG74" s="640">
        <v>2.1874070050904897</v>
      </c>
      <c r="AH74" s="640">
        <v>5.6657335511185538</v>
      </c>
      <c r="AI74" s="640">
        <v>0</v>
      </c>
      <c r="AJ74" s="640">
        <v>0.44339331184266689</v>
      </c>
      <c r="AK74" s="648">
        <v>50.008442079350758</v>
      </c>
    </row>
    <row r="75" spans="3:37" x14ac:dyDescent="0.2">
      <c r="C75" s="646" t="s">
        <v>354</v>
      </c>
      <c r="D75" s="640">
        <v>0</v>
      </c>
      <c r="E75" s="640">
        <v>0</v>
      </c>
      <c r="F75" s="640">
        <v>0</v>
      </c>
      <c r="G75" s="640">
        <v>0</v>
      </c>
      <c r="H75" s="640">
        <v>0</v>
      </c>
      <c r="I75" s="640">
        <v>0</v>
      </c>
      <c r="J75" s="640">
        <v>0</v>
      </c>
      <c r="K75" s="640">
        <v>0</v>
      </c>
      <c r="L75" s="640">
        <v>0</v>
      </c>
      <c r="M75" s="640">
        <v>0</v>
      </c>
      <c r="N75" s="640">
        <v>0</v>
      </c>
      <c r="O75" s="640">
        <v>0</v>
      </c>
      <c r="P75" s="640">
        <v>0.44999999999999996</v>
      </c>
      <c r="Q75" s="640">
        <v>0</v>
      </c>
      <c r="R75" s="640">
        <v>0</v>
      </c>
      <c r="S75" s="648">
        <v>0.44999999999999996</v>
      </c>
      <c r="U75" s="646" t="s">
        <v>354</v>
      </c>
      <c r="V75" s="640">
        <v>0</v>
      </c>
      <c r="W75" s="640">
        <v>0</v>
      </c>
      <c r="X75" s="640">
        <v>0</v>
      </c>
      <c r="Y75" s="640">
        <v>0</v>
      </c>
      <c r="Z75" s="640">
        <v>0</v>
      </c>
      <c r="AA75" s="640">
        <v>0</v>
      </c>
      <c r="AB75" s="640">
        <v>0</v>
      </c>
      <c r="AC75" s="640">
        <v>0</v>
      </c>
      <c r="AD75" s="640">
        <v>0</v>
      </c>
      <c r="AE75" s="640">
        <v>0</v>
      </c>
      <c r="AF75" s="640">
        <v>0</v>
      </c>
      <c r="AG75" s="640">
        <v>0</v>
      </c>
      <c r="AH75" s="640">
        <v>6</v>
      </c>
      <c r="AI75" s="640">
        <v>0</v>
      </c>
      <c r="AJ75" s="640">
        <v>0</v>
      </c>
      <c r="AK75" s="648">
        <v>6</v>
      </c>
    </row>
    <row r="76" spans="3:37" x14ac:dyDescent="0.2">
      <c r="C76" s="644" t="s">
        <v>83</v>
      </c>
      <c r="D76" s="645">
        <v>3.6733927919712848</v>
      </c>
      <c r="E76" s="645">
        <v>0</v>
      </c>
      <c r="F76" s="645">
        <v>271.01966816424783</v>
      </c>
      <c r="G76" s="645">
        <v>255.79122918902203</v>
      </c>
      <c r="H76" s="645">
        <v>0</v>
      </c>
      <c r="I76" s="645">
        <v>0</v>
      </c>
      <c r="J76" s="645">
        <v>116.96131138117599</v>
      </c>
      <c r="K76" s="645">
        <v>1.7266732887522405</v>
      </c>
      <c r="L76" s="645">
        <v>25.166558400865188</v>
      </c>
      <c r="M76" s="645">
        <v>5.238424175077693</v>
      </c>
      <c r="N76" s="645">
        <v>75.083762899489528</v>
      </c>
      <c r="O76" s="645">
        <v>2.8624530156397006</v>
      </c>
      <c r="P76" s="645">
        <v>541.90719860025752</v>
      </c>
      <c r="Q76" s="645">
        <v>34.744016552062419</v>
      </c>
      <c r="R76" s="645">
        <v>3.1559026365968594</v>
      </c>
      <c r="S76" s="645">
        <v>1337.3305910951583</v>
      </c>
      <c r="U76" s="644" t="s">
        <v>83</v>
      </c>
      <c r="V76" s="645">
        <v>1.5000162600463405</v>
      </c>
      <c r="W76" s="645">
        <v>0</v>
      </c>
      <c r="X76" s="645">
        <v>11.642988856720871</v>
      </c>
      <c r="Y76" s="645">
        <v>0</v>
      </c>
      <c r="Z76" s="645">
        <v>0</v>
      </c>
      <c r="AA76" s="645">
        <v>0</v>
      </c>
      <c r="AB76" s="645">
        <v>72.998047331393281</v>
      </c>
      <c r="AC76" s="645">
        <v>4.1448350868904589</v>
      </c>
      <c r="AD76" s="645">
        <v>56.30488079443672</v>
      </c>
      <c r="AE76" s="645">
        <v>108.92560601395611</v>
      </c>
      <c r="AF76" s="645">
        <v>123.16818516374138</v>
      </c>
      <c r="AG76" s="645">
        <v>8.5623521411059595</v>
      </c>
      <c r="AH76" s="645">
        <v>512.22753841958684</v>
      </c>
      <c r="AI76" s="645">
        <v>68.423763504668656</v>
      </c>
      <c r="AJ76" s="645">
        <v>16.512616402642333</v>
      </c>
      <c r="AK76" s="645">
        <v>984.4108299751889</v>
      </c>
    </row>
    <row r="77" spans="3:37" x14ac:dyDescent="0.2">
      <c r="C77" s="639" t="s">
        <v>84</v>
      </c>
      <c r="D77" s="640">
        <v>0</v>
      </c>
      <c r="E77" s="640">
        <v>0</v>
      </c>
      <c r="F77" s="640">
        <v>100.05515171814793</v>
      </c>
      <c r="G77" s="640">
        <v>11.196954266678716</v>
      </c>
      <c r="H77" s="640">
        <v>0</v>
      </c>
      <c r="I77" s="640">
        <v>0</v>
      </c>
      <c r="J77" s="640">
        <v>0</v>
      </c>
      <c r="K77" s="640">
        <v>0</v>
      </c>
      <c r="L77" s="640">
        <v>0</v>
      </c>
      <c r="M77" s="640">
        <v>0</v>
      </c>
      <c r="N77" s="640">
        <v>0</v>
      </c>
      <c r="O77" s="640">
        <v>0</v>
      </c>
      <c r="P77" s="640">
        <v>0</v>
      </c>
      <c r="Q77" s="640">
        <v>0</v>
      </c>
      <c r="R77" s="640">
        <v>3.9154347726113912</v>
      </c>
      <c r="S77" s="648">
        <v>115.16754075743803</v>
      </c>
      <c r="U77" s="639" t="s">
        <v>84</v>
      </c>
      <c r="V77" s="640">
        <v>0</v>
      </c>
      <c r="W77" s="640">
        <v>0</v>
      </c>
      <c r="X77" s="640">
        <v>57.953190468871433</v>
      </c>
      <c r="Y77" s="640">
        <v>0.51452681198611927</v>
      </c>
      <c r="Z77" s="640">
        <v>0</v>
      </c>
      <c r="AA77" s="640">
        <v>0</v>
      </c>
      <c r="AB77" s="640">
        <v>0</v>
      </c>
      <c r="AC77" s="640">
        <v>0</v>
      </c>
      <c r="AD77" s="640">
        <v>30.108432000732424</v>
      </c>
      <c r="AE77" s="640">
        <v>0</v>
      </c>
      <c r="AF77" s="640">
        <v>0</v>
      </c>
      <c r="AG77" s="640">
        <v>0</v>
      </c>
      <c r="AH77" s="640">
        <v>0</v>
      </c>
      <c r="AI77" s="640">
        <v>0</v>
      </c>
      <c r="AJ77" s="640">
        <v>20.543554244995118</v>
      </c>
      <c r="AK77" s="648">
        <v>109.1197035265851</v>
      </c>
    </row>
    <row r="78" spans="3:37" x14ac:dyDescent="0.2">
      <c r="C78" s="644" t="s">
        <v>85</v>
      </c>
      <c r="D78" s="645">
        <v>3.6733927919712848</v>
      </c>
      <c r="E78" s="645">
        <v>0</v>
      </c>
      <c r="F78" s="645">
        <v>371.07481988239573</v>
      </c>
      <c r="G78" s="645">
        <v>266.98818345570078</v>
      </c>
      <c r="H78" s="645">
        <v>0</v>
      </c>
      <c r="I78" s="645">
        <v>0</v>
      </c>
      <c r="J78" s="645">
        <v>116.96131138117599</v>
      </c>
      <c r="K78" s="645">
        <v>1.7266732887522405</v>
      </c>
      <c r="L78" s="645">
        <v>25.166558400865188</v>
      </c>
      <c r="M78" s="645">
        <v>5.238424175077693</v>
      </c>
      <c r="N78" s="645">
        <v>75.083762899489528</v>
      </c>
      <c r="O78" s="645">
        <v>2.8624530156397006</v>
      </c>
      <c r="P78" s="645">
        <v>541.90719860025752</v>
      </c>
      <c r="Q78" s="645">
        <v>34.744016552062419</v>
      </c>
      <c r="R78" s="645">
        <v>7.071337409208251</v>
      </c>
      <c r="S78" s="645">
        <v>1452.4981318525963</v>
      </c>
      <c r="U78" s="644" t="s">
        <v>85</v>
      </c>
      <c r="V78" s="645">
        <v>1.5000162600463405</v>
      </c>
      <c r="W78" s="645">
        <v>0</v>
      </c>
      <c r="X78" s="645">
        <v>69.596179325592303</v>
      </c>
      <c r="Y78" s="645">
        <v>0.51452681198611927</v>
      </c>
      <c r="Z78" s="645">
        <v>0</v>
      </c>
      <c r="AA78" s="645">
        <v>0</v>
      </c>
      <c r="AB78" s="645">
        <v>72.998047331393281</v>
      </c>
      <c r="AC78" s="645">
        <v>4.1448350868904589</v>
      </c>
      <c r="AD78" s="645">
        <v>86.413312795169148</v>
      </c>
      <c r="AE78" s="645">
        <v>108.92560601395611</v>
      </c>
      <c r="AF78" s="645">
        <v>123.16818516374138</v>
      </c>
      <c r="AG78" s="645">
        <v>8.5623521411059595</v>
      </c>
      <c r="AH78" s="645">
        <v>512.22753841958684</v>
      </c>
      <c r="AI78" s="645">
        <v>68.423763504668656</v>
      </c>
      <c r="AJ78" s="645">
        <v>37.056170647637451</v>
      </c>
      <c r="AK78" s="645">
        <v>1093.530533501774</v>
      </c>
    </row>
    <row r="79" spans="3:37" x14ac:dyDescent="0.2">
      <c r="C79" s="634"/>
      <c r="D79" s="634"/>
      <c r="E79" s="634"/>
      <c r="F79" s="634"/>
      <c r="G79" s="634"/>
      <c r="H79" s="634"/>
      <c r="I79" s="634"/>
      <c r="J79" s="634"/>
      <c r="K79" s="634"/>
      <c r="L79" s="634"/>
      <c r="M79" s="634"/>
      <c r="N79" s="634"/>
      <c r="O79" s="634"/>
      <c r="P79" s="634"/>
      <c r="Q79" s="634"/>
      <c r="R79" s="634"/>
      <c r="S79" s="634"/>
      <c r="U79" s="634"/>
      <c r="V79" s="634"/>
      <c r="W79" s="634"/>
      <c r="X79" s="634"/>
      <c r="Y79" s="634"/>
      <c r="Z79" s="634"/>
      <c r="AA79" s="634"/>
      <c r="AB79" s="634"/>
      <c r="AC79" s="634"/>
      <c r="AD79" s="634"/>
      <c r="AE79" s="634"/>
      <c r="AF79" s="634"/>
      <c r="AG79" s="634"/>
      <c r="AH79" s="634"/>
      <c r="AI79" s="634"/>
      <c r="AJ79" s="634"/>
      <c r="AK79" s="634"/>
    </row>
    <row r="80" spans="3:37" x14ac:dyDescent="0.2">
      <c r="C80" s="634"/>
      <c r="D80" s="634"/>
      <c r="E80" s="634"/>
      <c r="F80" s="634"/>
      <c r="G80" s="634"/>
      <c r="H80" s="634"/>
      <c r="I80" s="634"/>
      <c r="J80" s="634"/>
      <c r="K80" s="634"/>
      <c r="L80" s="634"/>
      <c r="M80" s="634"/>
      <c r="N80" s="634"/>
      <c r="O80" s="634"/>
      <c r="P80" s="634"/>
      <c r="Q80" s="634"/>
      <c r="R80" s="634"/>
      <c r="S80" s="634"/>
      <c r="U80" s="634"/>
      <c r="V80" s="634"/>
      <c r="W80" s="634"/>
      <c r="X80" s="634"/>
      <c r="Y80" s="634"/>
      <c r="Z80" s="634"/>
      <c r="AA80" s="634"/>
      <c r="AB80" s="634"/>
      <c r="AC80" s="634"/>
      <c r="AD80" s="634"/>
      <c r="AE80" s="634"/>
      <c r="AF80" s="634"/>
      <c r="AG80" s="634"/>
      <c r="AH80" s="634"/>
      <c r="AI80" s="634"/>
      <c r="AJ80" s="634"/>
      <c r="AK80" s="634"/>
    </row>
  </sheetData>
  <mergeCells count="54">
    <mergeCell ref="C2:S2"/>
    <mergeCell ref="U2:AK2"/>
    <mergeCell ref="U10:U11"/>
    <mergeCell ref="V10:V11"/>
    <mergeCell ref="C8:S8"/>
    <mergeCell ref="U8:AK8"/>
    <mergeCell ref="C10:C11"/>
    <mergeCell ref="D10:D11"/>
    <mergeCell ref="E10:E11"/>
    <mergeCell ref="F10:F11"/>
    <mergeCell ref="G10:G11"/>
    <mergeCell ref="H10:H11"/>
    <mergeCell ref="I10:I11"/>
    <mergeCell ref="J10:O10"/>
    <mergeCell ref="AH10:AH11"/>
    <mergeCell ref="AI10:AI11"/>
    <mergeCell ref="AJ10:AJ11"/>
    <mergeCell ref="AK10:AK11"/>
    <mergeCell ref="C44:S44"/>
    <mergeCell ref="U44:AK44"/>
    <mergeCell ref="W10:W11"/>
    <mergeCell ref="X10:X11"/>
    <mergeCell ref="Y10:Y11"/>
    <mergeCell ref="Z10:Z11"/>
    <mergeCell ref="AA10:AA11"/>
    <mergeCell ref="AB10:AG10"/>
    <mergeCell ref="P10:P11"/>
    <mergeCell ref="Q10:Q11"/>
    <mergeCell ref="R10:R11"/>
    <mergeCell ref="S10:S11"/>
    <mergeCell ref="S46:S47"/>
    <mergeCell ref="C46:C47"/>
    <mergeCell ref="D46:D47"/>
    <mergeCell ref="E46:E47"/>
    <mergeCell ref="F46:F47"/>
    <mergeCell ref="G46:G47"/>
    <mergeCell ref="H46:H47"/>
    <mergeCell ref="I46:I47"/>
    <mergeCell ref="J46:O46"/>
    <mergeCell ref="P46:P47"/>
    <mergeCell ref="Q46:Q47"/>
    <mergeCell ref="R46:R47"/>
    <mergeCell ref="AK46:AK47"/>
    <mergeCell ref="U46:U47"/>
    <mergeCell ref="V46:V47"/>
    <mergeCell ref="W46:W47"/>
    <mergeCell ref="X46:X47"/>
    <mergeCell ref="Y46:Y47"/>
    <mergeCell ref="Z46:Z47"/>
    <mergeCell ref="AA46:AA47"/>
    <mergeCell ref="AB46:AG46"/>
    <mergeCell ref="AH46:AH47"/>
    <mergeCell ref="AI46:AI47"/>
    <mergeCell ref="AJ46:AJ47"/>
  </mergeCells>
  <conditionalFormatting sqref="D12:S18">
    <cfRule type="expression" dxfId="1553" priority="237">
      <formula>LEN(TRIM(D12))=0</formula>
    </cfRule>
  </conditionalFormatting>
  <conditionalFormatting sqref="D20:S32">
    <cfRule type="expression" dxfId="1552" priority="214">
      <formula>LEN(TRIM(D20))=0</formula>
    </cfRule>
    <cfRule type="cellIs" dxfId="1551" priority="213" operator="equal">
      <formula>0</formula>
    </cfRule>
  </conditionalFormatting>
  <conditionalFormatting sqref="D34:S42">
    <cfRule type="expression" dxfId="1550" priority="202">
      <formula>LEN(TRIM(D34))=0</formula>
    </cfRule>
    <cfRule type="cellIs" dxfId="1549" priority="201" operator="equal">
      <formula>0</formula>
    </cfRule>
  </conditionalFormatting>
  <conditionalFormatting sqref="D48:S54">
    <cfRule type="expression" dxfId="1548" priority="196">
      <formula>LEN(TRIM(D48))=0</formula>
    </cfRule>
  </conditionalFormatting>
  <conditionalFormatting sqref="D56:S68">
    <cfRule type="cellIs" dxfId="1547" priority="172" operator="equal">
      <formula>0</formula>
    </cfRule>
    <cfRule type="expression" dxfId="1546" priority="173">
      <formula>LEN(TRIM(D56))=0</formula>
    </cfRule>
  </conditionalFormatting>
  <conditionalFormatting sqref="D70:S78">
    <cfRule type="expression" dxfId="1545" priority="161">
      <formula>LEN(TRIM(D70))=0</formula>
    </cfRule>
    <cfRule type="cellIs" dxfId="1544" priority="160" operator="equal">
      <formula>0</formula>
    </cfRule>
  </conditionalFormatting>
  <conditionalFormatting sqref="G12:G14 Q12:S14 D12:F17 E15:I17 P15:S17 D18:S18">
    <cfRule type="cellIs" dxfId="1543" priority="221" operator="equal">
      <formula>0</formula>
    </cfRule>
  </conditionalFormatting>
  <conditionalFormatting sqref="G48:G50 Q48:S50 D48:F53 E51:I53 P51:S53 D54:S54">
    <cfRule type="cellIs" dxfId="1542" priority="180" operator="equal">
      <formula>0</formula>
    </cfRule>
  </conditionalFormatting>
  <conditionalFormatting sqref="H12:I17">
    <cfRule type="cellIs" dxfId="1541" priority="223" operator="equal">
      <formula>0</formula>
    </cfRule>
  </conditionalFormatting>
  <conditionalFormatting sqref="H48:I53">
    <cfRule type="cellIs" dxfId="1540" priority="182" operator="equal">
      <formula>0</formula>
    </cfRule>
  </conditionalFormatting>
  <conditionalFormatting sqref="J11:O17">
    <cfRule type="cellIs" dxfId="1539" priority="19" operator="equal">
      <formula>0</formula>
    </cfRule>
  </conditionalFormatting>
  <conditionalFormatting sqref="J47:O53">
    <cfRule type="cellIs" dxfId="1538" priority="7" operator="equal">
      <formula>0</formula>
    </cfRule>
  </conditionalFormatting>
  <conditionalFormatting sqref="K12:O12">
    <cfRule type="cellIs" dxfId="1537" priority="226" operator="equal">
      <formula>0</formula>
    </cfRule>
  </conditionalFormatting>
  <conditionalFormatting sqref="K48:O48">
    <cfRule type="cellIs" dxfId="1536" priority="185" operator="equal">
      <formula>0</formula>
    </cfRule>
  </conditionalFormatting>
  <conditionalFormatting sqref="P12:P17">
    <cfRule type="cellIs" dxfId="1535" priority="222" operator="equal">
      <formula>0</formula>
    </cfRule>
  </conditionalFormatting>
  <conditionalFormatting sqref="P48:P53">
    <cfRule type="cellIs" dxfId="1534" priority="181" operator="equal">
      <formula>0</formula>
    </cfRule>
  </conditionalFormatting>
  <conditionalFormatting sqref="V12:AK18">
    <cfRule type="expression" dxfId="1533" priority="114">
      <formula>LEN(TRIM(V12))=0</formula>
    </cfRule>
  </conditionalFormatting>
  <conditionalFormatting sqref="V20:AK32">
    <cfRule type="expression" dxfId="1532" priority="91">
      <formula>LEN(TRIM(V20))=0</formula>
    </cfRule>
    <cfRule type="cellIs" dxfId="1531" priority="90" operator="equal">
      <formula>0</formula>
    </cfRule>
  </conditionalFormatting>
  <conditionalFormatting sqref="V34:AK42">
    <cfRule type="expression" dxfId="1530" priority="79">
      <formula>LEN(TRIM(V34))=0</formula>
    </cfRule>
    <cfRule type="cellIs" dxfId="1529" priority="78" operator="equal">
      <formula>0</formula>
    </cfRule>
  </conditionalFormatting>
  <conditionalFormatting sqref="V48:AK54">
    <cfRule type="expression" dxfId="1528" priority="73">
      <formula>LEN(TRIM(V48))=0</formula>
    </cfRule>
  </conditionalFormatting>
  <conditionalFormatting sqref="V56:AK68">
    <cfRule type="expression" dxfId="1527" priority="50">
      <formula>LEN(TRIM(V56))=0</formula>
    </cfRule>
    <cfRule type="cellIs" dxfId="1526" priority="49" operator="equal">
      <formula>0</formula>
    </cfRule>
  </conditionalFormatting>
  <conditionalFormatting sqref="V70:AK78">
    <cfRule type="expression" dxfId="1525" priority="38">
      <formula>LEN(TRIM(V70))=0</formula>
    </cfRule>
    <cfRule type="cellIs" dxfId="1524" priority="37" operator="equal">
      <formula>0</formula>
    </cfRule>
  </conditionalFormatting>
  <conditionalFormatting sqref="Y12:Y14 AI12:AK14 V12:X17 W15:AA17 AH15:AK17 V18:AK18">
    <cfRule type="cellIs" dxfId="1523" priority="98" operator="equal">
      <formula>0</formula>
    </cfRule>
  </conditionalFormatting>
  <conditionalFormatting sqref="Y48:Y50 AI48:AK50 V48:X53 W51:AA53 AH51:AK53 V54:AK54">
    <cfRule type="cellIs" dxfId="1522" priority="57" operator="equal">
      <formula>0</formula>
    </cfRule>
  </conditionalFormatting>
  <conditionalFormatting sqref="Z12:AA17">
    <cfRule type="cellIs" dxfId="1521" priority="100" operator="equal">
      <formula>0</formula>
    </cfRule>
  </conditionalFormatting>
  <conditionalFormatting sqref="Z48:AA53">
    <cfRule type="cellIs" dxfId="1520" priority="59" operator="equal">
      <formula>0</formula>
    </cfRule>
  </conditionalFormatting>
  <conditionalFormatting sqref="AB11:AG17">
    <cfRule type="cellIs" dxfId="1519" priority="13" operator="equal">
      <formula>0</formula>
    </cfRule>
  </conditionalFormatting>
  <conditionalFormatting sqref="AB47:AG53">
    <cfRule type="cellIs" dxfId="1518" priority="1" operator="equal">
      <formula>0</formula>
    </cfRule>
  </conditionalFormatting>
  <conditionalFormatting sqref="AC12:AG12">
    <cfRule type="cellIs" dxfId="1517" priority="103" operator="equal">
      <formula>0</formula>
    </cfRule>
  </conditionalFormatting>
  <conditionalFormatting sqref="AC48:AG48">
    <cfRule type="cellIs" dxfId="1516" priority="62" operator="equal">
      <formula>0</formula>
    </cfRule>
  </conditionalFormatting>
  <conditionalFormatting sqref="AH12:AH17">
    <cfRule type="cellIs" dxfId="1515" priority="99" operator="equal">
      <formula>0</formula>
    </cfRule>
  </conditionalFormatting>
  <conditionalFormatting sqref="AH48:AH53">
    <cfRule type="cellIs" dxfId="1514" priority="58"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77525-7C9B-4FB3-920B-747851262E62}">
  <dimension ref="C2:AK44"/>
  <sheetViews>
    <sheetView topLeftCell="A11" workbookViewId="0"/>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60" t="s">
        <v>522</v>
      </c>
      <c r="D2" s="760"/>
      <c r="E2" s="760"/>
      <c r="F2" s="760"/>
      <c r="G2" s="760"/>
      <c r="H2" s="760"/>
      <c r="I2" s="760"/>
      <c r="J2" s="760"/>
      <c r="K2" s="760"/>
      <c r="L2" s="760"/>
      <c r="M2" s="760"/>
      <c r="N2" s="760"/>
      <c r="O2" s="760"/>
      <c r="P2" s="760"/>
      <c r="Q2" s="760"/>
      <c r="R2" s="760"/>
      <c r="S2" s="760"/>
      <c r="U2" s="760" t="s">
        <v>523</v>
      </c>
      <c r="V2" s="760"/>
      <c r="W2" s="760"/>
      <c r="X2" s="760"/>
      <c r="Y2" s="760"/>
      <c r="Z2" s="760"/>
      <c r="AA2" s="760"/>
      <c r="AB2" s="760"/>
      <c r="AC2" s="760"/>
      <c r="AD2" s="760"/>
      <c r="AE2" s="760"/>
      <c r="AF2" s="760"/>
      <c r="AG2" s="760"/>
      <c r="AH2" s="760"/>
      <c r="AI2" s="760"/>
      <c r="AJ2" s="760"/>
      <c r="AK2" s="760"/>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338</v>
      </c>
      <c r="D4" s="635" t="s">
        <v>524</v>
      </c>
      <c r="E4" s="634"/>
      <c r="F4" s="634"/>
      <c r="G4" s="634"/>
      <c r="H4" s="636"/>
      <c r="I4" s="634"/>
      <c r="J4" s="634"/>
      <c r="K4" s="634"/>
      <c r="L4" s="634"/>
      <c r="M4" s="634"/>
      <c r="N4" s="634"/>
      <c r="O4" s="634"/>
      <c r="P4" s="634"/>
      <c r="Q4" s="634"/>
      <c r="R4" s="634"/>
      <c r="S4" s="634"/>
      <c r="U4" s="635" t="s">
        <v>338</v>
      </c>
      <c r="V4" s="635" t="s">
        <v>524</v>
      </c>
      <c r="W4" s="634"/>
      <c r="X4" s="634"/>
      <c r="Y4" s="634"/>
      <c r="Z4" s="636"/>
      <c r="AA4" s="634"/>
      <c r="AB4" s="634"/>
      <c r="AC4" s="634"/>
      <c r="AD4" s="634"/>
      <c r="AE4" s="634"/>
      <c r="AF4" s="634"/>
      <c r="AG4" s="634"/>
      <c r="AH4" s="634"/>
      <c r="AI4" s="634"/>
      <c r="AJ4" s="634"/>
      <c r="AK4" s="634"/>
    </row>
    <row r="5" spans="3:37" ht="37.5" x14ac:dyDescent="0.3">
      <c r="C5" s="635" t="s">
        <v>341</v>
      </c>
      <c r="D5" s="635" t="s">
        <v>342</v>
      </c>
      <c r="E5" s="634"/>
      <c r="F5" s="634"/>
      <c r="G5" s="634"/>
      <c r="H5" s="634"/>
      <c r="I5" s="634"/>
      <c r="J5" s="634"/>
      <c r="K5" s="634"/>
      <c r="L5" s="634"/>
      <c r="M5" s="634"/>
      <c r="N5" s="634"/>
      <c r="O5" s="634"/>
      <c r="P5" s="634"/>
      <c r="Q5" s="634"/>
      <c r="R5" s="634"/>
      <c r="S5" s="634"/>
      <c r="U5" s="635" t="s">
        <v>341</v>
      </c>
      <c r="V5" s="635" t="s">
        <v>342</v>
      </c>
      <c r="W5" s="634"/>
      <c r="X5" s="634"/>
      <c r="Y5" s="634"/>
      <c r="Z5" s="634"/>
      <c r="AA5" s="634"/>
      <c r="AB5" s="634"/>
      <c r="AC5" s="634"/>
      <c r="AD5" s="634"/>
      <c r="AE5" s="634"/>
      <c r="AF5" s="634"/>
      <c r="AG5" s="634"/>
      <c r="AH5" s="634"/>
      <c r="AI5" s="634"/>
      <c r="AJ5" s="634"/>
      <c r="AK5" s="634"/>
    </row>
    <row r="6" spans="3:37" ht="18.75" x14ac:dyDescent="0.3">
      <c r="C6" s="635" t="s">
        <v>525</v>
      </c>
      <c r="D6" s="637">
        <v>44909</v>
      </c>
      <c r="E6" s="634"/>
      <c r="F6" s="634"/>
      <c r="G6" s="634"/>
      <c r="H6" s="634"/>
      <c r="I6" s="634"/>
      <c r="J6" s="634"/>
      <c r="K6" s="634"/>
      <c r="L6" s="634"/>
      <c r="M6" s="634"/>
      <c r="N6" s="634"/>
      <c r="O6" s="634"/>
      <c r="P6" s="634"/>
      <c r="Q6" s="634"/>
      <c r="R6" s="634"/>
      <c r="S6" s="634"/>
      <c r="U6" s="635" t="s">
        <v>525</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59" t="s">
        <v>89</v>
      </c>
      <c r="D8" s="759"/>
      <c r="E8" s="759"/>
      <c r="F8" s="759"/>
      <c r="G8" s="759"/>
      <c r="H8" s="759"/>
      <c r="I8" s="759"/>
      <c r="J8" s="759"/>
      <c r="K8" s="759"/>
      <c r="L8" s="759"/>
      <c r="M8" s="759"/>
      <c r="N8" s="759"/>
      <c r="O8" s="759"/>
      <c r="P8" s="759"/>
      <c r="Q8" s="759"/>
      <c r="R8" s="759"/>
      <c r="S8" s="759"/>
      <c r="U8" s="759" t="s">
        <v>89</v>
      </c>
      <c r="V8" s="759"/>
      <c r="W8" s="759"/>
      <c r="X8" s="759"/>
      <c r="Y8" s="759"/>
      <c r="Z8" s="759"/>
      <c r="AA8" s="759"/>
      <c r="AB8" s="759"/>
      <c r="AC8" s="759"/>
      <c r="AD8" s="759"/>
      <c r="AE8" s="759"/>
      <c r="AF8" s="759"/>
      <c r="AG8" s="759"/>
      <c r="AH8" s="759"/>
      <c r="AI8" s="759"/>
      <c r="AJ8" s="759"/>
      <c r="AK8" s="75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56" t="s">
        <v>128</v>
      </c>
      <c r="D10" s="755" t="s">
        <v>42</v>
      </c>
      <c r="E10" s="755" t="s">
        <v>52</v>
      </c>
      <c r="F10" s="755" t="s">
        <v>53</v>
      </c>
      <c r="G10" s="755" t="s">
        <v>32</v>
      </c>
      <c r="H10" s="755" t="s">
        <v>20</v>
      </c>
      <c r="I10" s="755" t="s">
        <v>55</v>
      </c>
      <c r="J10" s="755" t="s">
        <v>56</v>
      </c>
      <c r="K10" s="755"/>
      <c r="L10" s="755"/>
      <c r="M10" s="755"/>
      <c r="N10" s="755"/>
      <c r="O10" s="755"/>
      <c r="P10" s="755" t="s">
        <v>57</v>
      </c>
      <c r="Q10" s="755" t="s">
        <v>58</v>
      </c>
      <c r="R10" s="755" t="s">
        <v>31</v>
      </c>
      <c r="S10" s="755" t="s">
        <v>10</v>
      </c>
      <c r="U10" s="758" t="s">
        <v>128</v>
      </c>
      <c r="V10" s="757" t="s">
        <v>42</v>
      </c>
      <c r="W10" s="757" t="s">
        <v>52</v>
      </c>
      <c r="X10" s="757" t="s">
        <v>53</v>
      </c>
      <c r="Y10" s="757" t="s">
        <v>32</v>
      </c>
      <c r="Z10" s="757" t="s">
        <v>20</v>
      </c>
      <c r="AA10" s="757" t="s">
        <v>55</v>
      </c>
      <c r="AB10" s="757" t="s">
        <v>56</v>
      </c>
      <c r="AC10" s="757"/>
      <c r="AD10" s="757"/>
      <c r="AE10" s="757"/>
      <c r="AF10" s="757"/>
      <c r="AG10" s="757"/>
      <c r="AH10" s="757" t="s">
        <v>57</v>
      </c>
      <c r="AI10" s="757" t="s">
        <v>58</v>
      </c>
      <c r="AJ10" s="757" t="s">
        <v>31</v>
      </c>
      <c r="AK10" s="757" t="s">
        <v>10</v>
      </c>
    </row>
    <row r="11" spans="3:37" ht="45.95" customHeight="1" x14ac:dyDescent="0.2">
      <c r="C11" s="756"/>
      <c r="D11" s="755"/>
      <c r="E11" s="755"/>
      <c r="F11" s="755"/>
      <c r="G11" s="755"/>
      <c r="H11" s="755"/>
      <c r="I11" s="755"/>
      <c r="J11" s="418" t="s">
        <v>335</v>
      </c>
      <c r="K11" s="418" t="s">
        <v>40</v>
      </c>
      <c r="L11" s="418" t="s">
        <v>343</v>
      </c>
      <c r="M11" s="418" t="s">
        <v>344</v>
      </c>
      <c r="N11" s="419" t="s">
        <v>345</v>
      </c>
      <c r="O11" s="418" t="s">
        <v>346</v>
      </c>
      <c r="P11" s="755"/>
      <c r="Q11" s="755"/>
      <c r="R11" s="755"/>
      <c r="S11" s="755"/>
      <c r="U11" s="758"/>
      <c r="V11" s="757"/>
      <c r="W11" s="757"/>
      <c r="X11" s="757"/>
      <c r="Y11" s="757"/>
      <c r="Z11" s="757"/>
      <c r="AA11" s="757"/>
      <c r="AB11" s="638" t="s">
        <v>335</v>
      </c>
      <c r="AC11" s="638" t="s">
        <v>40</v>
      </c>
      <c r="AD11" s="638" t="s">
        <v>343</v>
      </c>
      <c r="AE11" s="638" t="s">
        <v>344</v>
      </c>
      <c r="AF11" s="638" t="s">
        <v>345</v>
      </c>
      <c r="AG11" s="638" t="s">
        <v>346</v>
      </c>
      <c r="AH11" s="757"/>
      <c r="AI11" s="757"/>
      <c r="AJ11" s="757"/>
      <c r="AK11" s="757"/>
    </row>
    <row r="12" spans="3:37" x14ac:dyDescent="0.2">
      <c r="C12" s="420" t="s">
        <v>59</v>
      </c>
      <c r="D12" s="421">
        <v>0</v>
      </c>
      <c r="E12" s="421">
        <v>0</v>
      </c>
      <c r="F12" s="422">
        <v>0</v>
      </c>
      <c r="G12" s="421">
        <v>0</v>
      </c>
      <c r="H12" s="422">
        <v>727.27272727272737</v>
      </c>
      <c r="I12" s="422">
        <v>338.37995078139568</v>
      </c>
      <c r="J12" s="422">
        <v>185.12606679296266</v>
      </c>
      <c r="K12" s="422">
        <v>19.887492227897642</v>
      </c>
      <c r="L12" s="628">
        <v>0.67629573379861951</v>
      </c>
      <c r="M12" s="628">
        <v>0.16041590589481752</v>
      </c>
      <c r="N12" s="432">
        <v>75.083762899489528</v>
      </c>
      <c r="O12" s="509">
        <v>12.515766779598991</v>
      </c>
      <c r="P12" s="422">
        <v>0</v>
      </c>
      <c r="Q12" s="422">
        <v>0</v>
      </c>
      <c r="R12" s="422">
        <v>0</v>
      </c>
      <c r="S12" s="423">
        <v>1359.1024783937653</v>
      </c>
      <c r="U12" s="639" t="s">
        <v>59</v>
      </c>
      <c r="V12" s="640">
        <v>0</v>
      </c>
      <c r="W12" s="641">
        <v>0</v>
      </c>
      <c r="X12" s="641">
        <v>0</v>
      </c>
      <c r="Y12" s="640">
        <v>0</v>
      </c>
      <c r="Z12" s="641">
        <v>764.84848484848499</v>
      </c>
      <c r="AA12" s="641">
        <v>423.19995078139567</v>
      </c>
      <c r="AB12" s="641">
        <v>256.09062969225096</v>
      </c>
      <c r="AC12" s="641">
        <v>36.108430969743218</v>
      </c>
      <c r="AD12" s="641">
        <v>0.67629573379861951</v>
      </c>
      <c r="AE12" s="641">
        <v>0.16041590589481752</v>
      </c>
      <c r="AF12" s="641">
        <v>123.16818516374138</v>
      </c>
      <c r="AG12" s="641">
        <v>30.250193334526926</v>
      </c>
      <c r="AH12" s="642">
        <v>0</v>
      </c>
      <c r="AI12" s="641">
        <v>0</v>
      </c>
      <c r="AJ12" s="641">
        <v>0</v>
      </c>
      <c r="AK12" s="643">
        <v>1634.5025864298366</v>
      </c>
    </row>
    <row r="13" spans="3:37" x14ac:dyDescent="0.2">
      <c r="C13" s="420" t="s">
        <v>60</v>
      </c>
      <c r="D13" s="422">
        <v>46.099891323621534</v>
      </c>
      <c r="E13" s="422">
        <v>464.7986487</v>
      </c>
      <c r="F13" s="422">
        <v>48.534128715927544</v>
      </c>
      <c r="G13" s="422">
        <v>345.55093723566335</v>
      </c>
      <c r="H13" s="422">
        <v>0</v>
      </c>
      <c r="I13" s="422">
        <v>0</v>
      </c>
      <c r="J13" s="422">
        <v>5.7213435879484642</v>
      </c>
      <c r="K13" s="422">
        <v>0</v>
      </c>
      <c r="L13" s="628">
        <v>3.0565993326094723</v>
      </c>
      <c r="M13" s="432">
        <v>0</v>
      </c>
      <c r="N13" s="422">
        <v>0</v>
      </c>
      <c r="O13" s="422">
        <v>0</v>
      </c>
      <c r="P13" s="432">
        <v>0</v>
      </c>
      <c r="Q13" s="422">
        <v>0</v>
      </c>
      <c r="R13" s="432">
        <v>0</v>
      </c>
      <c r="S13" s="423">
        <v>913.76154889577037</v>
      </c>
      <c r="U13" s="639" t="s">
        <v>60</v>
      </c>
      <c r="V13" s="640">
        <v>4.5871215860372576</v>
      </c>
      <c r="W13" s="641">
        <v>113.59926767676768</v>
      </c>
      <c r="X13" s="641">
        <v>20.138935454909394</v>
      </c>
      <c r="Y13" s="640">
        <v>0.51452681198611927</v>
      </c>
      <c r="Z13" s="641">
        <v>0</v>
      </c>
      <c r="AA13" s="641">
        <v>0</v>
      </c>
      <c r="AB13" s="641">
        <v>5.7213435879484642</v>
      </c>
      <c r="AC13" s="641">
        <v>0</v>
      </c>
      <c r="AD13" s="641">
        <v>3.0565993326094723</v>
      </c>
      <c r="AE13" s="641">
        <v>0</v>
      </c>
      <c r="AF13" s="641">
        <v>0</v>
      </c>
      <c r="AG13" s="641">
        <v>0</v>
      </c>
      <c r="AH13" s="642">
        <v>0</v>
      </c>
      <c r="AI13" s="641">
        <v>0</v>
      </c>
      <c r="AJ13" s="641">
        <v>0</v>
      </c>
      <c r="AK13" s="643">
        <v>147.6177944502584</v>
      </c>
    </row>
    <row r="14" spans="3:37" x14ac:dyDescent="0.2">
      <c r="C14" s="420" t="s">
        <v>61</v>
      </c>
      <c r="D14" s="422">
        <v>0</v>
      </c>
      <c r="E14" s="422">
        <v>0</v>
      </c>
      <c r="F14" s="422">
        <v>0</v>
      </c>
      <c r="G14" s="422">
        <v>0</v>
      </c>
      <c r="H14" s="422">
        <v>0</v>
      </c>
      <c r="I14" s="422">
        <v>0</v>
      </c>
      <c r="J14" s="422">
        <v>0</v>
      </c>
      <c r="K14" s="422">
        <v>0</v>
      </c>
      <c r="L14" s="628">
        <v>0</v>
      </c>
      <c r="M14" s="432">
        <v>0</v>
      </c>
      <c r="N14" s="422">
        <v>0</v>
      </c>
      <c r="O14" s="422">
        <v>0</v>
      </c>
      <c r="P14" s="432">
        <v>-12.7985093299136</v>
      </c>
      <c r="Q14" s="422">
        <v>0</v>
      </c>
      <c r="R14" s="432">
        <v>0</v>
      </c>
      <c r="S14" s="423">
        <v>-12.7985093299136</v>
      </c>
      <c r="U14" s="639" t="s">
        <v>61</v>
      </c>
      <c r="V14" s="640">
        <v>0</v>
      </c>
      <c r="W14" s="641">
        <v>0</v>
      </c>
      <c r="X14" s="641">
        <v>0</v>
      </c>
      <c r="Y14" s="640">
        <v>0</v>
      </c>
      <c r="Z14" s="641">
        <v>0</v>
      </c>
      <c r="AA14" s="641">
        <v>0</v>
      </c>
      <c r="AB14" s="641">
        <v>0</v>
      </c>
      <c r="AC14" s="641">
        <v>0</v>
      </c>
      <c r="AD14" s="641">
        <v>0</v>
      </c>
      <c r="AE14" s="641">
        <v>0</v>
      </c>
      <c r="AF14" s="641">
        <v>0</v>
      </c>
      <c r="AG14" s="641">
        <v>0</v>
      </c>
      <c r="AH14" s="642">
        <v>-41.639986107117011</v>
      </c>
      <c r="AI14" s="641">
        <v>0</v>
      </c>
      <c r="AJ14" s="641">
        <v>0</v>
      </c>
      <c r="AK14" s="643">
        <v>-41.639986107117011</v>
      </c>
    </row>
    <row r="15" spans="3:37" x14ac:dyDescent="0.2">
      <c r="C15" s="420" t="s">
        <v>62</v>
      </c>
      <c r="D15" s="421">
        <v>0</v>
      </c>
      <c r="E15" s="421">
        <v>0</v>
      </c>
      <c r="F15" s="421">
        <v>-14.431507774067331</v>
      </c>
      <c r="G15" s="421">
        <v>0</v>
      </c>
      <c r="H15" s="421">
        <v>0</v>
      </c>
      <c r="I15" s="421">
        <v>0</v>
      </c>
      <c r="J15" s="421">
        <v>0</v>
      </c>
      <c r="K15" s="421">
        <v>0</v>
      </c>
      <c r="L15" s="431">
        <v>0</v>
      </c>
      <c r="M15" s="431">
        <v>0</v>
      </c>
      <c r="N15" s="421">
        <v>0</v>
      </c>
      <c r="O15" s="421">
        <v>0</v>
      </c>
      <c r="P15" s="422">
        <v>0</v>
      </c>
      <c r="Q15" s="422">
        <v>0</v>
      </c>
      <c r="R15" s="431">
        <v>0</v>
      </c>
      <c r="S15" s="423">
        <v>-14.431507774067331</v>
      </c>
      <c r="U15" s="639" t="s">
        <v>62</v>
      </c>
      <c r="V15" s="640">
        <v>0</v>
      </c>
      <c r="W15" s="641">
        <v>0</v>
      </c>
      <c r="X15" s="641">
        <v>-5.3013702027186111</v>
      </c>
      <c r="Y15" s="640">
        <v>0</v>
      </c>
      <c r="Z15" s="641">
        <v>0</v>
      </c>
      <c r="AA15" s="641">
        <v>0</v>
      </c>
      <c r="AB15" s="641">
        <v>0</v>
      </c>
      <c r="AC15" s="641">
        <v>0</v>
      </c>
      <c r="AD15" s="641">
        <v>0</v>
      </c>
      <c r="AE15" s="641">
        <v>-5.1137296191648005</v>
      </c>
      <c r="AF15" s="641">
        <v>0</v>
      </c>
      <c r="AG15" s="641">
        <v>0</v>
      </c>
      <c r="AH15" s="642">
        <v>0</v>
      </c>
      <c r="AI15" s="641">
        <v>0</v>
      </c>
      <c r="AJ15" s="641">
        <v>0</v>
      </c>
      <c r="AK15" s="643">
        <v>-10.415099821883413</v>
      </c>
    </row>
    <row r="16" spans="3:37" x14ac:dyDescent="0.2">
      <c r="C16" s="420" t="s">
        <v>63</v>
      </c>
      <c r="D16" s="421">
        <v>0</v>
      </c>
      <c r="E16" s="421">
        <v>0</v>
      </c>
      <c r="F16" s="421">
        <v>-93.443844381495637</v>
      </c>
      <c r="G16" s="421">
        <v>0</v>
      </c>
      <c r="H16" s="421">
        <v>0</v>
      </c>
      <c r="I16" s="421">
        <v>0</v>
      </c>
      <c r="J16" s="421">
        <v>0</v>
      </c>
      <c r="K16" s="421">
        <v>0</v>
      </c>
      <c r="L16" s="431">
        <v>-0.96889726774865159</v>
      </c>
      <c r="M16" s="431">
        <v>0</v>
      </c>
      <c r="N16" s="421">
        <v>0</v>
      </c>
      <c r="O16" s="421">
        <v>0</v>
      </c>
      <c r="P16" s="422">
        <v>0</v>
      </c>
      <c r="Q16" s="422">
        <v>0</v>
      </c>
      <c r="R16" s="431">
        <v>0</v>
      </c>
      <c r="S16" s="423">
        <v>-94.412741649244282</v>
      </c>
      <c r="U16" s="639" t="s">
        <v>63</v>
      </c>
      <c r="V16" s="640">
        <v>0</v>
      </c>
      <c r="W16" s="641">
        <v>0</v>
      </c>
      <c r="X16" s="641">
        <v>-35.841594545498886</v>
      </c>
      <c r="Y16" s="640">
        <v>0</v>
      </c>
      <c r="Z16" s="641">
        <v>0</v>
      </c>
      <c r="AA16" s="641">
        <v>0</v>
      </c>
      <c r="AB16" s="641">
        <v>0</v>
      </c>
      <c r="AC16" s="641">
        <v>0</v>
      </c>
      <c r="AD16" s="641">
        <v>-46.567340427053182</v>
      </c>
      <c r="AE16" s="641">
        <v>0</v>
      </c>
      <c r="AF16" s="641">
        <v>0</v>
      </c>
      <c r="AG16" s="641">
        <v>0</v>
      </c>
      <c r="AH16" s="642">
        <v>0</v>
      </c>
      <c r="AI16" s="641">
        <v>0</v>
      </c>
      <c r="AJ16" s="641">
        <v>0</v>
      </c>
      <c r="AK16" s="643">
        <v>-82.408934972552061</v>
      </c>
    </row>
    <row r="17" spans="3:37" x14ac:dyDescent="0.2">
      <c r="C17" s="420" t="s">
        <v>64</v>
      </c>
      <c r="D17" s="422">
        <v>0</v>
      </c>
      <c r="E17" s="422">
        <v>0</v>
      </c>
      <c r="F17" s="422">
        <v>0</v>
      </c>
      <c r="G17" s="422">
        <v>0</v>
      </c>
      <c r="H17" s="422">
        <v>0</v>
      </c>
      <c r="I17" s="422">
        <v>0</v>
      </c>
      <c r="J17" s="422">
        <v>0</v>
      </c>
      <c r="K17" s="422">
        <v>0</v>
      </c>
      <c r="L17" s="422">
        <v>0</v>
      </c>
      <c r="M17" s="422">
        <v>0</v>
      </c>
      <c r="N17" s="422">
        <v>0</v>
      </c>
      <c r="O17" s="422">
        <v>0</v>
      </c>
      <c r="P17" s="422">
        <v>0</v>
      </c>
      <c r="Q17" s="422">
        <v>0</v>
      </c>
      <c r="R17" s="422">
        <v>0</v>
      </c>
      <c r="S17" s="423">
        <v>0</v>
      </c>
      <c r="U17" s="639" t="s">
        <v>64</v>
      </c>
      <c r="V17" s="640">
        <v>0</v>
      </c>
      <c r="W17" s="641">
        <v>0</v>
      </c>
      <c r="X17" s="641">
        <v>0</v>
      </c>
      <c r="Y17" s="640">
        <v>0</v>
      </c>
      <c r="Z17" s="641">
        <v>0</v>
      </c>
      <c r="AA17" s="641">
        <v>0</v>
      </c>
      <c r="AB17" s="641">
        <v>0</v>
      </c>
      <c r="AC17" s="641">
        <v>0</v>
      </c>
      <c r="AD17" s="641">
        <v>0</v>
      </c>
      <c r="AE17" s="641">
        <v>0</v>
      </c>
      <c r="AF17" s="641">
        <v>0</v>
      </c>
      <c r="AG17" s="641">
        <v>0</v>
      </c>
      <c r="AH17" s="642">
        <v>0</v>
      </c>
      <c r="AI17" s="641">
        <v>0</v>
      </c>
      <c r="AJ17" s="641">
        <v>0</v>
      </c>
      <c r="AK17" s="643">
        <v>0</v>
      </c>
    </row>
    <row r="18" spans="3:37" x14ac:dyDescent="0.2">
      <c r="C18" s="424" t="s">
        <v>65</v>
      </c>
      <c r="D18" s="510">
        <v>46.099891323621534</v>
      </c>
      <c r="E18" s="510">
        <v>464.7986487</v>
      </c>
      <c r="F18" s="510">
        <v>-59.341223439635421</v>
      </c>
      <c r="G18" s="510">
        <v>345.55093723566335</v>
      </c>
      <c r="H18" s="425">
        <v>727.27272727272737</v>
      </c>
      <c r="I18" s="425">
        <v>338.37995078139568</v>
      </c>
      <c r="J18" s="425">
        <v>190.84741038091113</v>
      </c>
      <c r="K18" s="510">
        <v>19.887492227897642</v>
      </c>
      <c r="L18" s="425">
        <v>2.7639977986594397</v>
      </c>
      <c r="M18" s="425">
        <v>0.16041590589481752</v>
      </c>
      <c r="N18" s="425">
        <v>75.083762899489528</v>
      </c>
      <c r="O18" s="425">
        <v>12.515766779598991</v>
      </c>
      <c r="P18" s="425">
        <v>-12.7985093299136</v>
      </c>
      <c r="Q18" s="425">
        <v>0</v>
      </c>
      <c r="R18" s="425">
        <v>0</v>
      </c>
      <c r="S18" s="425">
        <v>2151.2212685363102</v>
      </c>
      <c r="U18" s="644" t="s">
        <v>65</v>
      </c>
      <c r="V18" s="645">
        <v>4.5871215860372576</v>
      </c>
      <c r="W18" s="645">
        <v>113.59926767676768</v>
      </c>
      <c r="X18" s="645">
        <v>-21.004029293308101</v>
      </c>
      <c r="Y18" s="645">
        <v>0.51452681198611927</v>
      </c>
      <c r="Z18" s="645">
        <v>764.84848484848499</v>
      </c>
      <c r="AA18" s="645">
        <v>423.19995078139567</v>
      </c>
      <c r="AB18" s="645">
        <v>261.81197328019942</v>
      </c>
      <c r="AC18" s="645">
        <v>36.108430969743218</v>
      </c>
      <c r="AD18" s="645">
        <v>-42.834445360645091</v>
      </c>
      <c r="AE18" s="645">
        <v>-4.9533137132699832</v>
      </c>
      <c r="AF18" s="645">
        <v>123.16818516374138</v>
      </c>
      <c r="AG18" s="645">
        <v>30.250193334526926</v>
      </c>
      <c r="AH18" s="645">
        <v>-41.639986107117011</v>
      </c>
      <c r="AI18" s="645">
        <v>0</v>
      </c>
      <c r="AJ18" s="645">
        <v>0</v>
      </c>
      <c r="AK18" s="645">
        <v>1647.6563599785427</v>
      </c>
    </row>
    <row r="19" spans="3:37" x14ac:dyDescent="0.2">
      <c r="C19" s="426"/>
      <c r="D19" s="427">
        <v>0</v>
      </c>
      <c r="E19" s="492">
        <v>0</v>
      </c>
      <c r="F19" s="492">
        <v>0</v>
      </c>
      <c r="G19" s="492">
        <v>0</v>
      </c>
      <c r="H19" s="427">
        <v>0</v>
      </c>
      <c r="I19" s="427">
        <v>0</v>
      </c>
      <c r="J19" s="427">
        <v>0</v>
      </c>
      <c r="K19" s="492">
        <v>0</v>
      </c>
      <c r="L19" s="427">
        <v>0</v>
      </c>
      <c r="M19" s="427">
        <v>0</v>
      </c>
      <c r="N19" s="427">
        <v>0</v>
      </c>
      <c r="O19" s="427">
        <v>0</v>
      </c>
      <c r="P19" s="492">
        <v>0</v>
      </c>
      <c r="Q19" s="492">
        <v>0</v>
      </c>
      <c r="R19" s="427">
        <v>0</v>
      </c>
      <c r="S19" s="427">
        <v>0</v>
      </c>
      <c r="U19" s="634"/>
      <c r="V19" s="634">
        <v>0</v>
      </c>
      <c r="W19" s="634">
        <v>0</v>
      </c>
      <c r="X19" s="634">
        <v>0</v>
      </c>
      <c r="Y19" s="634">
        <v>0</v>
      </c>
      <c r="Z19" s="634">
        <v>0</v>
      </c>
      <c r="AA19" s="634">
        <v>0</v>
      </c>
      <c r="AB19" s="634">
        <v>0</v>
      </c>
      <c r="AC19" s="634">
        <v>0</v>
      </c>
      <c r="AD19" s="634">
        <v>0</v>
      </c>
      <c r="AE19" s="634">
        <v>0</v>
      </c>
      <c r="AF19" s="634">
        <v>0</v>
      </c>
      <c r="AG19" s="634">
        <v>0</v>
      </c>
      <c r="AH19" s="634">
        <v>0</v>
      </c>
      <c r="AI19" s="634">
        <v>0</v>
      </c>
      <c r="AJ19" s="634">
        <v>0</v>
      </c>
      <c r="AK19" s="634">
        <v>0</v>
      </c>
    </row>
    <row r="20" spans="3:37" x14ac:dyDescent="0.2">
      <c r="C20" s="428" t="s">
        <v>67</v>
      </c>
      <c r="D20" s="421">
        <v>0</v>
      </c>
      <c r="E20" s="431">
        <v>0</v>
      </c>
      <c r="F20" s="431">
        <v>0</v>
      </c>
      <c r="G20" s="431">
        <v>0</v>
      </c>
      <c r="H20" s="421">
        <v>0</v>
      </c>
      <c r="I20" s="421">
        <v>0</v>
      </c>
      <c r="J20" s="421">
        <v>0</v>
      </c>
      <c r="K20" s="431">
        <v>0</v>
      </c>
      <c r="L20" s="421">
        <v>0</v>
      </c>
      <c r="M20" s="421">
        <v>0</v>
      </c>
      <c r="N20" s="421">
        <v>0</v>
      </c>
      <c r="O20" s="421">
        <v>0</v>
      </c>
      <c r="P20" s="431">
        <v>0</v>
      </c>
      <c r="Q20" s="431">
        <v>0</v>
      </c>
      <c r="R20" s="422">
        <v>0</v>
      </c>
      <c r="S20" s="423">
        <v>0</v>
      </c>
      <c r="U20" s="646" t="s">
        <v>67</v>
      </c>
      <c r="V20" s="640">
        <v>0</v>
      </c>
      <c r="W20" s="647">
        <v>0</v>
      </c>
      <c r="X20" s="647">
        <v>0</v>
      </c>
      <c r="Y20" s="640">
        <v>0</v>
      </c>
      <c r="Z20" s="640">
        <v>0</v>
      </c>
      <c r="AA20" s="640">
        <v>0</v>
      </c>
      <c r="AB20" s="640">
        <v>0</v>
      </c>
      <c r="AC20" s="640">
        <v>0</v>
      </c>
      <c r="AD20" s="640">
        <v>0</v>
      </c>
      <c r="AE20" s="640">
        <v>0</v>
      </c>
      <c r="AF20" s="640">
        <v>0</v>
      </c>
      <c r="AG20" s="640">
        <v>0</v>
      </c>
      <c r="AH20" s="640">
        <v>0</v>
      </c>
      <c r="AI20" s="640">
        <v>0</v>
      </c>
      <c r="AJ20" s="640">
        <v>0</v>
      </c>
      <c r="AK20" s="648">
        <v>0</v>
      </c>
    </row>
    <row r="21" spans="3:37" x14ac:dyDescent="0.2">
      <c r="C21" s="428" t="s">
        <v>347</v>
      </c>
      <c r="D21" s="431">
        <v>2.8267856410252494</v>
      </c>
      <c r="E21" s="421">
        <v>0</v>
      </c>
      <c r="F21" s="431">
        <v>8.0599105831015567</v>
      </c>
      <c r="G21" s="431">
        <v>46.530346198952707</v>
      </c>
      <c r="H21" s="431">
        <v>727.27272727272737</v>
      </c>
      <c r="I21" s="431">
        <v>338.37995078139568</v>
      </c>
      <c r="J21" s="431">
        <v>28.452469116356035</v>
      </c>
      <c r="K21" s="431">
        <v>6.2305848357200952</v>
      </c>
      <c r="L21" s="625">
        <v>3.7328950664080915</v>
      </c>
      <c r="M21" s="431">
        <v>1.0761160081227215</v>
      </c>
      <c r="N21" s="421">
        <v>0</v>
      </c>
      <c r="O21" s="625">
        <v>7.5664382136221358</v>
      </c>
      <c r="P21" s="421">
        <v>-629.14515201417555</v>
      </c>
      <c r="Q21" s="421">
        <v>0</v>
      </c>
      <c r="R21" s="432">
        <v>0</v>
      </c>
      <c r="S21" s="491">
        <v>540.98307170325586</v>
      </c>
      <c r="U21" s="646" t="s">
        <v>347</v>
      </c>
      <c r="V21" s="640">
        <v>0.62631490545869017</v>
      </c>
      <c r="W21" s="640">
        <v>0</v>
      </c>
      <c r="X21" s="640">
        <v>4.1962742194651934</v>
      </c>
      <c r="Y21" s="640">
        <v>0</v>
      </c>
      <c r="Z21" s="640">
        <v>764.84848484848499</v>
      </c>
      <c r="AA21" s="640">
        <v>423.19995078139567</v>
      </c>
      <c r="AB21" s="649">
        <v>22.478183728982629</v>
      </c>
      <c r="AC21" s="649">
        <v>5.0926371917675839</v>
      </c>
      <c r="AD21" s="649">
        <v>3.7328950664080915</v>
      </c>
      <c r="AE21" s="649">
        <v>0.79318377276994545</v>
      </c>
      <c r="AF21" s="649">
        <v>0</v>
      </c>
      <c r="AG21" s="649">
        <v>7.5664382136221358</v>
      </c>
      <c r="AH21" s="640">
        <v>-696.77718495359215</v>
      </c>
      <c r="AI21" s="640">
        <v>0</v>
      </c>
      <c r="AJ21" s="640">
        <v>3.75</v>
      </c>
      <c r="AK21" s="648">
        <v>539.50717777476291</v>
      </c>
    </row>
    <row r="22" spans="3:37" x14ac:dyDescent="0.2">
      <c r="C22" s="428" t="s">
        <v>348</v>
      </c>
      <c r="D22" s="431">
        <v>0</v>
      </c>
      <c r="E22" s="421">
        <v>0</v>
      </c>
      <c r="F22" s="431">
        <v>0</v>
      </c>
      <c r="G22" s="431">
        <v>14.783508517784153</v>
      </c>
      <c r="H22" s="421">
        <v>0</v>
      </c>
      <c r="I22" s="421">
        <v>0</v>
      </c>
      <c r="J22" s="431">
        <v>12.163067049530284</v>
      </c>
      <c r="K22" s="431">
        <v>11.829214997579474</v>
      </c>
      <c r="L22" s="421">
        <v>0</v>
      </c>
      <c r="M22" s="431">
        <v>0.31740804730172578</v>
      </c>
      <c r="N22" s="421">
        <v>0</v>
      </c>
      <c r="O22" s="431">
        <v>2.086875550337155</v>
      </c>
      <c r="P22" s="421">
        <v>0</v>
      </c>
      <c r="Q22" s="421">
        <v>-37.667878685561853</v>
      </c>
      <c r="R22" s="432">
        <v>0</v>
      </c>
      <c r="S22" s="491">
        <v>3.5121954769709394</v>
      </c>
      <c r="U22" s="646" t="s">
        <v>348</v>
      </c>
      <c r="V22" s="640">
        <v>0</v>
      </c>
      <c r="W22" s="640">
        <v>0</v>
      </c>
      <c r="X22" s="640">
        <v>0</v>
      </c>
      <c r="Y22" s="640">
        <v>0</v>
      </c>
      <c r="Z22" s="640">
        <v>0</v>
      </c>
      <c r="AA22" s="640">
        <v>0</v>
      </c>
      <c r="AB22" s="649">
        <v>28.523630086620891</v>
      </c>
      <c r="AC22" s="649">
        <v>26.288013396118924</v>
      </c>
      <c r="AD22" s="649">
        <v>0</v>
      </c>
      <c r="AE22" s="649">
        <v>10.611192177482708</v>
      </c>
      <c r="AF22" s="649">
        <v>0</v>
      </c>
      <c r="AG22" s="649">
        <v>14.121402979798832</v>
      </c>
      <c r="AH22" s="640">
        <v>0</v>
      </c>
      <c r="AI22" s="640">
        <v>-74.176724382187018</v>
      </c>
      <c r="AJ22" s="640">
        <v>0</v>
      </c>
      <c r="AK22" s="648">
        <v>5.3675142578343316</v>
      </c>
    </row>
    <row r="23" spans="3:37" x14ac:dyDescent="0.2">
      <c r="C23" s="428" t="s">
        <v>349</v>
      </c>
      <c r="D23" s="421">
        <v>0</v>
      </c>
      <c r="E23" s="421">
        <v>0</v>
      </c>
      <c r="F23" s="421">
        <v>0</v>
      </c>
      <c r="G23" s="421">
        <v>0</v>
      </c>
      <c r="H23" s="421">
        <v>0</v>
      </c>
      <c r="I23" s="421">
        <v>0</v>
      </c>
      <c r="J23" s="431">
        <v>7.1450792385721682</v>
      </c>
      <c r="K23" s="421">
        <v>0</v>
      </c>
      <c r="L23" s="421">
        <v>0</v>
      </c>
      <c r="M23" s="421">
        <v>-6.8235506728364204</v>
      </c>
      <c r="N23" s="421">
        <v>0</v>
      </c>
      <c r="O23" s="421">
        <v>0</v>
      </c>
      <c r="P23" s="421">
        <v>0</v>
      </c>
      <c r="Q23" s="421">
        <v>0</v>
      </c>
      <c r="R23" s="422">
        <v>0</v>
      </c>
      <c r="S23" s="491">
        <v>0.32152856573574784</v>
      </c>
      <c r="U23" s="646" t="s">
        <v>349</v>
      </c>
      <c r="V23" s="640">
        <v>0</v>
      </c>
      <c r="W23" s="640">
        <v>0</v>
      </c>
      <c r="X23" s="640">
        <v>0</v>
      </c>
      <c r="Y23" s="640">
        <v>0</v>
      </c>
      <c r="Z23" s="640">
        <v>0</v>
      </c>
      <c r="AA23" s="640">
        <v>0</v>
      </c>
      <c r="AB23" s="650">
        <v>137.81211213320262</v>
      </c>
      <c r="AC23" s="650">
        <v>0</v>
      </c>
      <c r="AD23" s="650">
        <v>0</v>
      </c>
      <c r="AE23" s="650">
        <v>-131.61056708720849</v>
      </c>
      <c r="AF23" s="650">
        <v>0</v>
      </c>
      <c r="AG23" s="650">
        <v>0</v>
      </c>
      <c r="AH23" s="640">
        <v>0</v>
      </c>
      <c r="AI23" s="640">
        <v>0</v>
      </c>
      <c r="AJ23" s="640">
        <v>0</v>
      </c>
      <c r="AK23" s="648">
        <v>6.2015450459941235</v>
      </c>
    </row>
    <row r="24" spans="3:37" x14ac:dyDescent="0.2">
      <c r="C24" s="428" t="s">
        <v>350</v>
      </c>
      <c r="D24" s="421">
        <v>0</v>
      </c>
      <c r="E24" s="421">
        <v>0</v>
      </c>
      <c r="F24" s="421">
        <v>0</v>
      </c>
      <c r="G24" s="421">
        <v>0</v>
      </c>
      <c r="H24" s="421">
        <v>0</v>
      </c>
      <c r="I24" s="421">
        <v>0</v>
      </c>
      <c r="J24" s="421">
        <v>0</v>
      </c>
      <c r="K24" s="421">
        <v>0</v>
      </c>
      <c r="L24" s="421">
        <v>0</v>
      </c>
      <c r="M24" s="421">
        <v>0</v>
      </c>
      <c r="N24" s="421">
        <v>0</v>
      </c>
      <c r="O24" s="421">
        <v>0</v>
      </c>
      <c r="P24" s="421">
        <v>0</v>
      </c>
      <c r="Q24" s="421">
        <v>0</v>
      </c>
      <c r="R24" s="422">
        <v>0</v>
      </c>
      <c r="S24" s="423">
        <v>0</v>
      </c>
      <c r="U24" s="646" t="s">
        <v>350</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428" t="s">
        <v>72</v>
      </c>
      <c r="D25" s="421">
        <v>0</v>
      </c>
      <c r="E25" s="431">
        <v>481.48200000000003</v>
      </c>
      <c r="F25" s="421">
        <v>-476.66718000000003</v>
      </c>
      <c r="G25" s="431">
        <v>0</v>
      </c>
      <c r="H25" s="421">
        <v>0</v>
      </c>
      <c r="I25" s="421">
        <v>0</v>
      </c>
      <c r="J25" s="421">
        <v>0</v>
      </c>
      <c r="K25" s="421">
        <v>0</v>
      </c>
      <c r="L25" s="421">
        <v>0</v>
      </c>
      <c r="M25" s="421">
        <v>0</v>
      </c>
      <c r="N25" s="421">
        <v>0</v>
      </c>
      <c r="O25" s="421">
        <v>0</v>
      </c>
      <c r="P25" s="421">
        <v>0</v>
      </c>
      <c r="Q25" s="421">
        <v>0</v>
      </c>
      <c r="R25" s="422">
        <v>0</v>
      </c>
      <c r="S25" s="491">
        <v>4.8148199999999974</v>
      </c>
      <c r="U25" s="646" t="s">
        <v>72</v>
      </c>
      <c r="V25" s="640">
        <v>0</v>
      </c>
      <c r="W25" s="640">
        <v>117.67676767676768</v>
      </c>
      <c r="X25" s="640">
        <v>-116.5</v>
      </c>
      <c r="Y25" s="640">
        <v>0</v>
      </c>
      <c r="Z25" s="640">
        <v>0</v>
      </c>
      <c r="AA25" s="640">
        <v>0</v>
      </c>
      <c r="AB25" s="640">
        <v>0</v>
      </c>
      <c r="AC25" s="640">
        <v>0</v>
      </c>
      <c r="AD25" s="640">
        <v>0</v>
      </c>
      <c r="AE25" s="640">
        <v>0</v>
      </c>
      <c r="AF25" s="640">
        <v>0</v>
      </c>
      <c r="AG25" s="640">
        <v>0</v>
      </c>
      <c r="AH25" s="640">
        <v>0</v>
      </c>
      <c r="AI25" s="640">
        <v>0</v>
      </c>
      <c r="AJ25" s="640">
        <v>0</v>
      </c>
      <c r="AK25" s="648">
        <v>1.1767676767676818</v>
      </c>
    </row>
    <row r="26" spans="3:37" x14ac:dyDescent="0.2">
      <c r="C26" s="428" t="s">
        <v>351</v>
      </c>
      <c r="D26" s="421">
        <v>0</v>
      </c>
      <c r="E26" s="421">
        <v>0</v>
      </c>
      <c r="F26" s="421">
        <v>0</v>
      </c>
      <c r="G26" s="421">
        <v>0</v>
      </c>
      <c r="H26" s="421">
        <v>0</v>
      </c>
      <c r="I26" s="421">
        <v>0</v>
      </c>
      <c r="J26" s="625">
        <v>26.125483595276659</v>
      </c>
      <c r="K26" s="421">
        <v>0</v>
      </c>
      <c r="L26" s="421">
        <v>-26.125483595276659</v>
      </c>
      <c r="M26" s="421">
        <v>0</v>
      </c>
      <c r="N26" s="421">
        <v>0</v>
      </c>
      <c r="O26" s="421">
        <v>0</v>
      </c>
      <c r="P26" s="421">
        <v>0</v>
      </c>
      <c r="Q26" s="421">
        <v>0</v>
      </c>
      <c r="R26" s="422">
        <v>0</v>
      </c>
      <c r="S26" s="423">
        <v>0</v>
      </c>
      <c r="U26" s="646" t="s">
        <v>351</v>
      </c>
      <c r="V26" s="640">
        <v>0</v>
      </c>
      <c r="W26" s="640">
        <v>0</v>
      </c>
      <c r="X26" s="640">
        <v>0</v>
      </c>
      <c r="Y26" s="640">
        <v>0</v>
      </c>
      <c r="Z26" s="640">
        <v>0</v>
      </c>
      <c r="AA26" s="640">
        <v>0</v>
      </c>
      <c r="AB26" s="640" t="e">
        <v>#VALUE!</v>
      </c>
      <c r="AC26" s="640">
        <v>0</v>
      </c>
      <c r="AD26" s="640">
        <v>-100.69655001825291</v>
      </c>
      <c r="AE26" s="640">
        <v>0</v>
      </c>
      <c r="AF26" s="640">
        <v>0</v>
      </c>
      <c r="AG26" s="640">
        <v>0</v>
      </c>
      <c r="AH26" s="640">
        <v>0</v>
      </c>
      <c r="AI26" s="640">
        <v>0</v>
      </c>
      <c r="AJ26" s="640">
        <v>0</v>
      </c>
      <c r="AK26" s="648">
        <v>-100.69655001825291</v>
      </c>
    </row>
    <row r="27" spans="3:37" x14ac:dyDescent="0.2">
      <c r="C27" s="428" t="s">
        <v>352</v>
      </c>
      <c r="D27" s="421">
        <v>0</v>
      </c>
      <c r="E27" s="421">
        <v>0</v>
      </c>
      <c r="F27" s="421">
        <v>0</v>
      </c>
      <c r="G27" s="421">
        <v>0</v>
      </c>
      <c r="H27" s="421">
        <v>0</v>
      </c>
      <c r="I27" s="421">
        <v>0</v>
      </c>
      <c r="J27" s="625">
        <v>0</v>
      </c>
      <c r="K27" s="421">
        <v>0</v>
      </c>
      <c r="L27" s="421">
        <v>0</v>
      </c>
      <c r="M27" s="421">
        <v>0</v>
      </c>
      <c r="N27" s="421">
        <v>0</v>
      </c>
      <c r="O27" s="421">
        <v>0</v>
      </c>
      <c r="P27" s="421">
        <v>0</v>
      </c>
      <c r="Q27" s="421">
        <v>0</v>
      </c>
      <c r="R27" s="432">
        <v>0</v>
      </c>
      <c r="S27" s="491">
        <v>0</v>
      </c>
      <c r="U27" s="646" t="s">
        <v>352</v>
      </c>
      <c r="V27" s="640">
        <v>0</v>
      </c>
      <c r="W27" s="640">
        <v>0</v>
      </c>
      <c r="X27" s="640">
        <v>0</v>
      </c>
      <c r="Y27" s="640">
        <v>0</v>
      </c>
      <c r="Z27" s="640">
        <v>0</v>
      </c>
      <c r="AA27" s="640">
        <v>0</v>
      </c>
      <c r="AB27" s="640">
        <v>0</v>
      </c>
      <c r="AC27" s="640">
        <v>0</v>
      </c>
      <c r="AD27" s="640">
        <v>-28.460377640694865</v>
      </c>
      <c r="AE27" s="640">
        <v>0</v>
      </c>
      <c r="AF27" s="640">
        <v>0</v>
      </c>
      <c r="AG27" s="640">
        <v>0</v>
      </c>
      <c r="AH27" s="640">
        <v>0</v>
      </c>
      <c r="AI27" s="640">
        <v>0</v>
      </c>
      <c r="AJ27" s="640">
        <v>0</v>
      </c>
      <c r="AK27" s="648">
        <v>-28.460377640694865</v>
      </c>
    </row>
    <row r="28" spans="3:37" x14ac:dyDescent="0.2">
      <c r="C28" s="428" t="s">
        <v>73</v>
      </c>
      <c r="D28" s="421">
        <v>0</v>
      </c>
      <c r="E28" s="421">
        <v>0</v>
      </c>
      <c r="F28" s="421">
        <v>0</v>
      </c>
      <c r="G28" s="431">
        <v>8.6128889644156494</v>
      </c>
      <c r="H28" s="421">
        <v>0</v>
      </c>
      <c r="I28" s="421">
        <v>0</v>
      </c>
      <c r="J28" s="421">
        <v>0</v>
      </c>
      <c r="K28" s="431">
        <v>0.10101910584583218</v>
      </c>
      <c r="L28" s="421">
        <v>0</v>
      </c>
      <c r="M28" s="431">
        <v>0.17577324417174797</v>
      </c>
      <c r="N28" s="421">
        <v>0</v>
      </c>
      <c r="O28" s="421">
        <v>0</v>
      </c>
      <c r="P28" s="431">
        <v>1.1785562348680418</v>
      </c>
      <c r="Q28" s="421">
        <v>0</v>
      </c>
      <c r="R28" s="509">
        <v>-7.071337409208251</v>
      </c>
      <c r="S28" s="491">
        <v>2.99690014009302</v>
      </c>
      <c r="U28" s="646" t="s">
        <v>73</v>
      </c>
      <c r="V28" s="640">
        <v>0</v>
      </c>
      <c r="W28" s="640">
        <v>0</v>
      </c>
      <c r="X28" s="640">
        <v>0</v>
      </c>
      <c r="Y28" s="640">
        <v>0</v>
      </c>
      <c r="Z28" s="640">
        <v>0</v>
      </c>
      <c r="AA28" s="640">
        <v>0</v>
      </c>
      <c r="AB28" s="640">
        <v>0</v>
      </c>
      <c r="AC28" s="640">
        <v>0.58294529496624936</v>
      </c>
      <c r="AD28" s="640">
        <v>0</v>
      </c>
      <c r="AE28" s="640">
        <v>0</v>
      </c>
      <c r="AF28" s="640">
        <v>0</v>
      </c>
      <c r="AG28" s="640">
        <v>0</v>
      </c>
      <c r="AH28" s="640">
        <v>56.108484640501494</v>
      </c>
      <c r="AI28" s="640">
        <v>0</v>
      </c>
      <c r="AJ28" s="640">
        <v>-40.806170647637451</v>
      </c>
      <c r="AK28" s="648">
        <v>15.885259287830294</v>
      </c>
    </row>
    <row r="29" spans="3:37" x14ac:dyDescent="0.2">
      <c r="C29" s="428" t="s">
        <v>353</v>
      </c>
      <c r="D29" s="431">
        <v>28.51179328125</v>
      </c>
      <c r="E29" s="431">
        <v>-16.683351300000002</v>
      </c>
      <c r="F29" s="431">
        <v>21.820838094867195</v>
      </c>
      <c r="G29" s="431">
        <v>0</v>
      </c>
      <c r="H29" s="421">
        <v>0</v>
      </c>
      <c r="I29" s="421">
        <v>0</v>
      </c>
      <c r="J29" s="421">
        <v>0</v>
      </c>
      <c r="K29" s="421">
        <v>0</v>
      </c>
      <c r="L29" s="431">
        <v>0</v>
      </c>
      <c r="M29" s="431">
        <v>0</v>
      </c>
      <c r="N29" s="421">
        <v>0</v>
      </c>
      <c r="O29" s="421">
        <v>0</v>
      </c>
      <c r="P29" s="421">
        <v>0</v>
      </c>
      <c r="Q29" s="421">
        <v>0</v>
      </c>
      <c r="R29" s="422">
        <v>0</v>
      </c>
      <c r="S29" s="423">
        <v>33.649280076117194</v>
      </c>
      <c r="U29" s="646" t="s">
        <v>353</v>
      </c>
      <c r="V29" s="640">
        <v>0.72303211975097659</v>
      </c>
      <c r="W29" s="640">
        <v>-4.0775000000000006</v>
      </c>
      <c r="X29" s="640">
        <v>5.333129161634389</v>
      </c>
      <c r="Y29" s="640">
        <v>0</v>
      </c>
      <c r="Z29" s="640">
        <v>0</v>
      </c>
      <c r="AA29" s="640">
        <v>0</v>
      </c>
      <c r="AB29" s="640">
        <v>0</v>
      </c>
      <c r="AC29" s="640">
        <v>0</v>
      </c>
      <c r="AD29" s="640">
        <v>0</v>
      </c>
      <c r="AE29" s="640">
        <v>0</v>
      </c>
      <c r="AF29" s="640">
        <v>0</v>
      </c>
      <c r="AG29" s="640">
        <v>0</v>
      </c>
      <c r="AH29" s="640">
        <v>0</v>
      </c>
      <c r="AI29" s="640">
        <v>0</v>
      </c>
      <c r="AJ29" s="640">
        <v>0</v>
      </c>
      <c r="AK29" s="648">
        <v>1.978661281385365</v>
      </c>
    </row>
    <row r="30" spans="3:37" x14ac:dyDescent="0.2">
      <c r="C30" s="428" t="s">
        <v>75</v>
      </c>
      <c r="D30" s="431">
        <v>11.087919609375001</v>
      </c>
      <c r="E30" s="421">
        <v>0</v>
      </c>
      <c r="F30" s="431">
        <v>16.370388000000002</v>
      </c>
      <c r="G30" s="431">
        <v>4.6713383640000004</v>
      </c>
      <c r="H30" s="421">
        <v>0</v>
      </c>
      <c r="I30" s="421">
        <v>0</v>
      </c>
      <c r="J30" s="421">
        <v>0</v>
      </c>
      <c r="K30" s="421">
        <v>0</v>
      </c>
      <c r="L30" s="421">
        <v>0</v>
      </c>
      <c r="M30" s="431">
        <v>9.5333436000000008E-2</v>
      </c>
      <c r="N30" s="421">
        <v>0</v>
      </c>
      <c r="O30" s="421">
        <v>0</v>
      </c>
      <c r="P30" s="431">
        <v>26.129145836866744</v>
      </c>
      <c r="Q30" s="421">
        <v>0</v>
      </c>
      <c r="R30" s="422">
        <v>0</v>
      </c>
      <c r="S30" s="423">
        <v>58.35412524624175</v>
      </c>
      <c r="U30" s="646" t="s">
        <v>75</v>
      </c>
      <c r="V30" s="640">
        <v>1.73775830078125</v>
      </c>
      <c r="W30" s="640">
        <v>0</v>
      </c>
      <c r="X30" s="640">
        <v>16.370388000000002</v>
      </c>
      <c r="Y30" s="640">
        <v>0</v>
      </c>
      <c r="Z30" s="640">
        <v>0</v>
      </c>
      <c r="AA30" s="640">
        <v>0</v>
      </c>
      <c r="AB30" s="640">
        <v>0</v>
      </c>
      <c r="AC30" s="640">
        <v>0</v>
      </c>
      <c r="AD30" s="640">
        <v>0</v>
      </c>
      <c r="AE30" s="640">
        <v>4.7666718000000001</v>
      </c>
      <c r="AF30" s="640">
        <v>0</v>
      </c>
      <c r="AG30" s="640">
        <v>0</v>
      </c>
      <c r="AH30" s="640">
        <v>36.696565665655768</v>
      </c>
      <c r="AI30" s="640">
        <v>0</v>
      </c>
      <c r="AJ30" s="640">
        <v>0</v>
      </c>
      <c r="AK30" s="648">
        <v>59.571383766437016</v>
      </c>
    </row>
    <row r="31" spans="3:37" x14ac:dyDescent="0.2">
      <c r="C31" s="428" t="s">
        <v>76</v>
      </c>
      <c r="D31" s="421">
        <v>0</v>
      </c>
      <c r="E31" s="421">
        <v>0</v>
      </c>
      <c r="F31" s="421">
        <v>0</v>
      </c>
      <c r="G31" s="431">
        <v>3.9646717348100942</v>
      </c>
      <c r="H31" s="421">
        <v>0</v>
      </c>
      <c r="I31" s="421">
        <v>0</v>
      </c>
      <c r="J31" s="421">
        <v>0</v>
      </c>
      <c r="K31" s="421">
        <v>0</v>
      </c>
      <c r="L31" s="421">
        <v>0</v>
      </c>
      <c r="M31" s="431">
        <v>8.0911668057348868E-2</v>
      </c>
      <c r="N31" s="421">
        <v>0</v>
      </c>
      <c r="O31" s="421">
        <v>0</v>
      </c>
      <c r="P31" s="431">
        <v>47.131742012269626</v>
      </c>
      <c r="Q31" s="431">
        <v>2.9238621334994321</v>
      </c>
      <c r="R31" s="432">
        <v>0</v>
      </c>
      <c r="S31" s="423">
        <v>54.101187548636503</v>
      </c>
      <c r="U31" s="646" t="s">
        <v>76</v>
      </c>
      <c r="V31" s="640">
        <v>0</v>
      </c>
      <c r="W31" s="640">
        <v>0</v>
      </c>
      <c r="X31" s="640">
        <v>0</v>
      </c>
      <c r="Y31" s="640">
        <v>0</v>
      </c>
      <c r="Z31" s="640">
        <v>0</v>
      </c>
      <c r="AA31" s="640">
        <v>0</v>
      </c>
      <c r="AB31" s="640">
        <v>0</v>
      </c>
      <c r="AC31" s="640">
        <v>0</v>
      </c>
      <c r="AD31" s="640">
        <v>0</v>
      </c>
      <c r="AE31" s="640">
        <v>1.5605996097297452</v>
      </c>
      <c r="AF31" s="640">
        <v>0</v>
      </c>
      <c r="AG31" s="640">
        <v>0</v>
      </c>
      <c r="AH31" s="640">
        <v>50.104610120731024</v>
      </c>
      <c r="AI31" s="640">
        <v>5.7529608775183565</v>
      </c>
      <c r="AJ31" s="640">
        <v>0</v>
      </c>
      <c r="AK31" s="648">
        <v>57.418170607979121</v>
      </c>
    </row>
    <row r="32" spans="3:37" x14ac:dyDescent="0.2">
      <c r="C32" s="424" t="s">
        <v>77</v>
      </c>
      <c r="D32" s="425">
        <v>42.426498531650253</v>
      </c>
      <c r="E32" s="425">
        <v>464.7986487</v>
      </c>
      <c r="F32" s="425">
        <v>-430.41604332203127</v>
      </c>
      <c r="G32" s="425">
        <v>78.562753779962591</v>
      </c>
      <c r="H32" s="425">
        <v>727.27272727272737</v>
      </c>
      <c r="I32" s="425">
        <v>338.37995078139568</v>
      </c>
      <c r="J32" s="425">
        <v>73.88609899973514</v>
      </c>
      <c r="K32" s="425">
        <v>18.1608189391454</v>
      </c>
      <c r="L32" s="425">
        <v>-22.392588528868568</v>
      </c>
      <c r="M32" s="425">
        <v>-5.0780082691828765</v>
      </c>
      <c r="N32" s="425">
        <v>0</v>
      </c>
      <c r="O32" s="425">
        <v>9.6533137639592894</v>
      </c>
      <c r="P32" s="425">
        <v>-554.70570793017112</v>
      </c>
      <c r="Q32" s="425">
        <v>-34.744016552062419</v>
      </c>
      <c r="R32" s="425">
        <v>-7.071337409208251</v>
      </c>
      <c r="S32" s="425">
        <v>698.73310875705101</v>
      </c>
      <c r="U32" s="644" t="s">
        <v>77</v>
      </c>
      <c r="V32" s="645">
        <v>3.0871053259909167</v>
      </c>
      <c r="W32" s="645">
        <v>113.59926767676768</v>
      </c>
      <c r="X32" s="645">
        <v>-90.60020861890041</v>
      </c>
      <c r="Y32" s="645">
        <v>0</v>
      </c>
      <c r="Z32" s="645">
        <v>764.84848484848499</v>
      </c>
      <c r="AA32" s="645">
        <v>423.19995078139567</v>
      </c>
      <c r="AB32" s="645">
        <v>188.81392594880614</v>
      </c>
      <c r="AC32" s="645">
        <v>31.963595882852758</v>
      </c>
      <c r="AD32" s="645">
        <v>-125.42403259253969</v>
      </c>
      <c r="AE32" s="645">
        <v>-113.87891972722609</v>
      </c>
      <c r="AF32" s="645">
        <v>0</v>
      </c>
      <c r="AG32" s="645">
        <v>21.687841193420969</v>
      </c>
      <c r="AH32" s="645">
        <v>-553.86752452670385</v>
      </c>
      <c r="AI32" s="645">
        <v>-68.423763504668656</v>
      </c>
      <c r="AJ32" s="645">
        <v>-37.056170647637451</v>
      </c>
      <c r="AK32" s="645">
        <v>557.94955204004305</v>
      </c>
    </row>
    <row r="33" spans="3:37" x14ac:dyDescent="0.2">
      <c r="C33" s="426"/>
      <c r="D33" s="427">
        <v>0</v>
      </c>
      <c r="E33" s="427">
        <v>0</v>
      </c>
      <c r="F33" s="427">
        <v>0</v>
      </c>
      <c r="G33" s="427">
        <v>0</v>
      </c>
      <c r="H33" s="427">
        <v>0</v>
      </c>
      <c r="I33" s="427">
        <v>0</v>
      </c>
      <c r="J33" s="427">
        <v>0</v>
      </c>
      <c r="K33" s="427">
        <v>0</v>
      </c>
      <c r="L33" s="427">
        <v>0</v>
      </c>
      <c r="M33" s="427">
        <v>0</v>
      </c>
      <c r="N33" s="427">
        <v>0</v>
      </c>
      <c r="O33" s="427">
        <v>0</v>
      </c>
      <c r="P33" s="427">
        <v>0</v>
      </c>
      <c r="Q33" s="427">
        <v>0</v>
      </c>
      <c r="R33" s="427">
        <v>0</v>
      </c>
      <c r="S33" s="427">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428" t="s">
        <v>78</v>
      </c>
      <c r="D34" s="431">
        <v>3.6733927919712848</v>
      </c>
      <c r="E34" s="421">
        <v>0</v>
      </c>
      <c r="F34" s="431">
        <v>19.397200033553816</v>
      </c>
      <c r="G34" s="431">
        <v>91.130108310207916</v>
      </c>
      <c r="H34" s="421">
        <v>0</v>
      </c>
      <c r="I34" s="421">
        <v>0</v>
      </c>
      <c r="J34" s="431">
        <v>22.791437377983073</v>
      </c>
      <c r="K34" s="431">
        <v>1.7013098714668424</v>
      </c>
      <c r="L34" s="431">
        <v>1.007010953125</v>
      </c>
      <c r="M34" s="431">
        <v>1.8779931367345493</v>
      </c>
      <c r="N34" s="431">
        <v>0</v>
      </c>
      <c r="O34" s="431">
        <v>3.7093504340600874E-4</v>
      </c>
      <c r="P34" s="431">
        <v>114.54790196708234</v>
      </c>
      <c r="Q34" s="431">
        <v>16.21056036467343</v>
      </c>
      <c r="R34" s="431">
        <v>0.23655174255371095</v>
      </c>
      <c r="S34" s="429">
        <v>272.57383748439537</v>
      </c>
      <c r="U34" s="646" t="s">
        <v>78</v>
      </c>
      <c r="V34" s="640">
        <v>1.5000162600463405</v>
      </c>
      <c r="W34" s="640">
        <v>0</v>
      </c>
      <c r="X34" s="640">
        <v>0.65820239923796242</v>
      </c>
      <c r="Y34" s="640">
        <v>0</v>
      </c>
      <c r="Z34" s="640">
        <v>0</v>
      </c>
      <c r="AA34" s="640">
        <v>0</v>
      </c>
      <c r="AB34" s="640">
        <v>14.22856522114639</v>
      </c>
      <c r="AC34" s="640">
        <v>4.1194716696050602</v>
      </c>
      <c r="AD34" s="640">
        <v>8.3494072265624997</v>
      </c>
      <c r="AE34" s="640">
        <v>60.539358802903692</v>
      </c>
      <c r="AF34" s="640">
        <v>0</v>
      </c>
      <c r="AG34" s="640">
        <v>3.7093504340600874E-4</v>
      </c>
      <c r="AH34" s="640">
        <v>157.01971492382648</v>
      </c>
      <c r="AI34" s="640">
        <v>25.540840498351418</v>
      </c>
      <c r="AJ34" s="640">
        <v>8.9542294921874994</v>
      </c>
      <c r="AK34" s="648">
        <v>280.91017742891074</v>
      </c>
    </row>
    <row r="35" spans="3:37" x14ac:dyDescent="0.2">
      <c r="C35" s="428" t="s">
        <v>79</v>
      </c>
      <c r="D35" s="431">
        <v>0</v>
      </c>
      <c r="E35" s="421">
        <v>0</v>
      </c>
      <c r="F35" s="431">
        <v>216.8751541495462</v>
      </c>
      <c r="G35" s="431">
        <v>32.745585882615877</v>
      </c>
      <c r="H35" s="421">
        <v>0</v>
      </c>
      <c r="I35" s="421">
        <v>0</v>
      </c>
      <c r="J35" s="431">
        <v>0</v>
      </c>
      <c r="K35" s="431">
        <v>0</v>
      </c>
      <c r="L35" s="431">
        <v>20.896591906701669</v>
      </c>
      <c r="M35" s="431">
        <v>0.66827726291052814</v>
      </c>
      <c r="N35" s="431">
        <v>0</v>
      </c>
      <c r="O35" s="431">
        <v>0</v>
      </c>
      <c r="P35" s="431">
        <v>80.819270278256823</v>
      </c>
      <c r="Q35" s="431">
        <v>0</v>
      </c>
      <c r="R35" s="431">
        <v>2.9193508940431485</v>
      </c>
      <c r="S35" s="429">
        <v>354.92423037407423</v>
      </c>
      <c r="U35" s="646" t="s">
        <v>79</v>
      </c>
      <c r="V35" s="640">
        <v>0</v>
      </c>
      <c r="W35" s="640">
        <v>0</v>
      </c>
      <c r="X35" s="640">
        <v>8.8339079607242379</v>
      </c>
      <c r="Y35" s="640">
        <v>0</v>
      </c>
      <c r="Z35" s="640">
        <v>0</v>
      </c>
      <c r="AA35" s="640">
        <v>0</v>
      </c>
      <c r="AB35" s="640">
        <v>0</v>
      </c>
      <c r="AC35" s="640">
        <v>0</v>
      </c>
      <c r="AD35" s="640">
        <v>12.788272739607951</v>
      </c>
      <c r="AE35" s="640">
        <v>24.887279738493259</v>
      </c>
      <c r="AF35" s="640">
        <v>0</v>
      </c>
      <c r="AG35" s="640">
        <v>0</v>
      </c>
      <c r="AH35" s="640">
        <v>93.844452584108197</v>
      </c>
      <c r="AI35" s="640">
        <v>0</v>
      </c>
      <c r="AJ35" s="640">
        <v>7.1149935986121697</v>
      </c>
      <c r="AK35" s="648">
        <v>147.46890662154581</v>
      </c>
    </row>
    <row r="36" spans="3:37" x14ac:dyDescent="0.2">
      <c r="C36" s="428" t="s">
        <v>80</v>
      </c>
      <c r="D36" s="431">
        <v>0</v>
      </c>
      <c r="E36" s="421">
        <v>0</v>
      </c>
      <c r="F36" s="431">
        <v>5.2094674308398901</v>
      </c>
      <c r="G36" s="431">
        <v>68.551385920257417</v>
      </c>
      <c r="H36" s="421">
        <v>0</v>
      </c>
      <c r="I36" s="421">
        <v>0</v>
      </c>
      <c r="J36" s="431">
        <v>86.155325304334795</v>
      </c>
      <c r="K36" s="431">
        <v>0</v>
      </c>
      <c r="L36" s="431">
        <v>0</v>
      </c>
      <c r="M36" s="431">
        <v>1.3990078759236206</v>
      </c>
      <c r="N36" s="431">
        <v>66.478227859390046</v>
      </c>
      <c r="O36" s="431">
        <v>2.1206229173139883</v>
      </c>
      <c r="P36" s="431">
        <v>194.47767196350526</v>
      </c>
      <c r="Q36" s="431">
        <v>15.182773802844931</v>
      </c>
      <c r="R36" s="431">
        <v>0</v>
      </c>
      <c r="S36" s="429">
        <v>439.5744830744099</v>
      </c>
      <c r="U36" s="646" t="s">
        <v>80</v>
      </c>
      <c r="V36" s="640">
        <v>0</v>
      </c>
      <c r="W36" s="640">
        <v>0</v>
      </c>
      <c r="X36" s="640">
        <v>0.92826525658471626</v>
      </c>
      <c r="Y36" s="640">
        <v>0</v>
      </c>
      <c r="Z36" s="640">
        <v>0</v>
      </c>
      <c r="AA36" s="640">
        <v>0</v>
      </c>
      <c r="AB36" s="640">
        <v>47.227858114444189</v>
      </c>
      <c r="AC36" s="640">
        <v>0</v>
      </c>
      <c r="AD36" s="640">
        <v>0</v>
      </c>
      <c r="AE36" s="640">
        <v>17.293312779197663</v>
      </c>
      <c r="AF36" s="640">
        <v>108.09916343666818</v>
      </c>
      <c r="AG36" s="640">
        <v>4.9369795689122755</v>
      </c>
      <c r="AH36" s="640">
        <v>137.38519988829395</v>
      </c>
      <c r="AI36" s="640">
        <v>27.91071693101145</v>
      </c>
      <c r="AJ36" s="640">
        <v>0</v>
      </c>
      <c r="AK36" s="648">
        <v>343.78149597511242</v>
      </c>
    </row>
    <row r="37" spans="3:37" x14ac:dyDescent="0.2">
      <c r="C37" s="428" t="s">
        <v>81</v>
      </c>
      <c r="D37" s="431">
        <v>0</v>
      </c>
      <c r="E37" s="421">
        <v>0</v>
      </c>
      <c r="F37" s="431">
        <v>2.3181271880740835</v>
      </c>
      <c r="G37" s="431">
        <v>62.553452404821357</v>
      </c>
      <c r="H37" s="421">
        <v>0</v>
      </c>
      <c r="I37" s="421">
        <v>0</v>
      </c>
      <c r="J37" s="431">
        <v>3.0090868580403627</v>
      </c>
      <c r="K37" s="431">
        <v>2.5363417285398034E-2</v>
      </c>
      <c r="L37" s="431">
        <v>0</v>
      </c>
      <c r="M37" s="431">
        <v>1.27660106948615</v>
      </c>
      <c r="N37" s="431">
        <v>8.6055350400994808</v>
      </c>
      <c r="O37" s="431">
        <v>0.68093940948821108</v>
      </c>
      <c r="P37" s="431">
        <v>146.08879967332064</v>
      </c>
      <c r="Q37" s="431">
        <v>3.3506823845440552</v>
      </c>
      <c r="R37" s="431">
        <v>0</v>
      </c>
      <c r="S37" s="429">
        <v>227.90858744515972</v>
      </c>
      <c r="U37" s="646" t="s">
        <v>81</v>
      </c>
      <c r="V37" s="640">
        <v>0</v>
      </c>
      <c r="W37" s="640">
        <v>0</v>
      </c>
      <c r="X37" s="640">
        <v>0.55102356567889155</v>
      </c>
      <c r="Y37" s="640">
        <v>0</v>
      </c>
      <c r="Z37" s="640">
        <v>0</v>
      </c>
      <c r="AA37" s="640">
        <v>0</v>
      </c>
      <c r="AB37" s="640">
        <v>6.5361621549849476</v>
      </c>
      <c r="AC37" s="640">
        <v>2.5363417285398034E-2</v>
      </c>
      <c r="AD37" s="640">
        <v>0</v>
      </c>
      <c r="AE37" s="640">
        <v>5.3379988256415478</v>
      </c>
      <c r="AF37" s="640">
        <v>15.069021727073199</v>
      </c>
      <c r="AG37" s="640">
        <v>1.4375946320597892</v>
      </c>
      <c r="AH37" s="640">
        <v>112.31243747223964</v>
      </c>
      <c r="AI37" s="640">
        <v>14.972206075305797</v>
      </c>
      <c r="AJ37" s="640">
        <v>0</v>
      </c>
      <c r="AK37" s="648">
        <v>156.24180787026921</v>
      </c>
    </row>
    <row r="38" spans="3:37" x14ac:dyDescent="0.2">
      <c r="C38" s="428" t="s">
        <v>82</v>
      </c>
      <c r="D38" s="431">
        <v>0</v>
      </c>
      <c r="E38" s="421">
        <v>0</v>
      </c>
      <c r="F38" s="431">
        <v>27.219719362233906</v>
      </c>
      <c r="G38" s="431">
        <v>0.81069667111944488</v>
      </c>
      <c r="H38" s="421">
        <v>0</v>
      </c>
      <c r="I38" s="421">
        <v>0</v>
      </c>
      <c r="J38" s="431">
        <v>5.0054618408177598</v>
      </c>
      <c r="K38" s="431">
        <v>0</v>
      </c>
      <c r="L38" s="431">
        <v>3.2629555410385191</v>
      </c>
      <c r="M38" s="431">
        <v>1.6544830022845812E-2</v>
      </c>
      <c r="N38" s="431">
        <v>0</v>
      </c>
      <c r="O38" s="431">
        <v>6.051975379409523E-2</v>
      </c>
      <c r="P38" s="431">
        <v>5.5235547180923223</v>
      </c>
      <c r="Q38" s="431">
        <v>0</v>
      </c>
      <c r="R38" s="431">
        <v>0</v>
      </c>
      <c r="S38" s="429">
        <v>41.899452717118898</v>
      </c>
      <c r="U38" s="646" t="s">
        <v>82</v>
      </c>
      <c r="V38" s="640">
        <v>0</v>
      </c>
      <c r="W38" s="640">
        <v>0</v>
      </c>
      <c r="X38" s="640">
        <v>0.67158967449506357</v>
      </c>
      <c r="Y38" s="640">
        <v>0</v>
      </c>
      <c r="Z38" s="640">
        <v>0</v>
      </c>
      <c r="AA38" s="640">
        <v>0</v>
      </c>
      <c r="AB38" s="640">
        <v>5.0054618408177598</v>
      </c>
      <c r="AC38" s="640">
        <v>0</v>
      </c>
      <c r="AD38" s="640">
        <v>35.167200828266267</v>
      </c>
      <c r="AE38" s="640">
        <v>0.86765586771995196</v>
      </c>
      <c r="AF38" s="640">
        <v>0</v>
      </c>
      <c r="AG38" s="640">
        <v>2.1874070050904897</v>
      </c>
      <c r="AH38" s="640">
        <v>5.6657335511185538</v>
      </c>
      <c r="AI38" s="640">
        <v>0</v>
      </c>
      <c r="AJ38" s="640">
        <v>0.44339331184266689</v>
      </c>
      <c r="AK38" s="648">
        <v>50.008442079350758</v>
      </c>
    </row>
    <row r="39" spans="3:37" x14ac:dyDescent="0.2">
      <c r="C39" s="428" t="s">
        <v>354</v>
      </c>
      <c r="D39" s="421">
        <v>0</v>
      </c>
      <c r="E39" s="421">
        <v>0</v>
      </c>
      <c r="F39" s="421">
        <v>0</v>
      </c>
      <c r="G39" s="421">
        <v>0</v>
      </c>
      <c r="H39" s="421">
        <v>0</v>
      </c>
      <c r="I39" s="421">
        <v>0</v>
      </c>
      <c r="J39" s="421">
        <v>0</v>
      </c>
      <c r="K39" s="421">
        <v>0</v>
      </c>
      <c r="L39" s="421">
        <v>0</v>
      </c>
      <c r="M39" s="421">
        <v>0</v>
      </c>
      <c r="N39" s="421">
        <v>0</v>
      </c>
      <c r="O39" s="421">
        <v>0</v>
      </c>
      <c r="P39" s="431">
        <v>0.44999999999999996</v>
      </c>
      <c r="Q39" s="421">
        <v>0</v>
      </c>
      <c r="R39" s="421">
        <v>0</v>
      </c>
      <c r="S39" s="429">
        <v>0.44999999999999996</v>
      </c>
      <c r="U39" s="646" t="s">
        <v>354</v>
      </c>
      <c r="V39" s="640">
        <v>0</v>
      </c>
      <c r="W39" s="640">
        <v>0</v>
      </c>
      <c r="X39" s="640">
        <v>0</v>
      </c>
      <c r="Y39" s="640">
        <v>0</v>
      </c>
      <c r="Z39" s="640">
        <v>0</v>
      </c>
      <c r="AA39" s="640">
        <v>0</v>
      </c>
      <c r="AB39" s="640">
        <v>0</v>
      </c>
      <c r="AC39" s="640">
        <v>0</v>
      </c>
      <c r="AD39" s="640">
        <v>0</v>
      </c>
      <c r="AE39" s="640">
        <v>0</v>
      </c>
      <c r="AF39" s="640">
        <v>0</v>
      </c>
      <c r="AG39" s="640">
        <v>0</v>
      </c>
      <c r="AH39" s="640">
        <v>6</v>
      </c>
      <c r="AI39" s="640">
        <v>0</v>
      </c>
      <c r="AJ39" s="640">
        <v>0</v>
      </c>
      <c r="AK39" s="648">
        <v>6</v>
      </c>
    </row>
    <row r="40" spans="3:37" x14ac:dyDescent="0.2">
      <c r="C40" s="424" t="s">
        <v>83</v>
      </c>
      <c r="D40" s="425">
        <v>3.6733927919712848</v>
      </c>
      <c r="E40" s="425">
        <v>0</v>
      </c>
      <c r="F40" s="425">
        <v>271.01966816424783</v>
      </c>
      <c r="G40" s="425">
        <v>255.79122918902203</v>
      </c>
      <c r="H40" s="425">
        <v>0</v>
      </c>
      <c r="I40" s="425">
        <v>0</v>
      </c>
      <c r="J40" s="425">
        <v>116.96131138117599</v>
      </c>
      <c r="K40" s="425">
        <v>1.7266732887522405</v>
      </c>
      <c r="L40" s="425">
        <v>25.166558400865188</v>
      </c>
      <c r="M40" s="425">
        <v>5.238424175077693</v>
      </c>
      <c r="N40" s="425">
        <v>75.083762899489528</v>
      </c>
      <c r="O40" s="425">
        <v>2.8624530156397006</v>
      </c>
      <c r="P40" s="425">
        <v>541.90719860025752</v>
      </c>
      <c r="Q40" s="425">
        <v>34.744016552062419</v>
      </c>
      <c r="R40" s="425">
        <v>3.1559026365968594</v>
      </c>
      <c r="S40" s="425">
        <v>1337.3305910951583</v>
      </c>
      <c r="U40" s="644" t="s">
        <v>83</v>
      </c>
      <c r="V40" s="645">
        <v>1.5000162600463405</v>
      </c>
      <c r="W40" s="645">
        <v>0</v>
      </c>
      <c r="X40" s="645">
        <v>11.642988856720871</v>
      </c>
      <c r="Y40" s="645">
        <v>0</v>
      </c>
      <c r="Z40" s="645">
        <v>0</v>
      </c>
      <c r="AA40" s="645">
        <v>0</v>
      </c>
      <c r="AB40" s="645">
        <v>72.998047331393281</v>
      </c>
      <c r="AC40" s="645">
        <v>4.1448350868904589</v>
      </c>
      <c r="AD40" s="645">
        <v>56.30488079443672</v>
      </c>
      <c r="AE40" s="645">
        <v>108.92560601395611</v>
      </c>
      <c r="AF40" s="645">
        <v>123.16818516374138</v>
      </c>
      <c r="AG40" s="645">
        <v>8.5623521411059595</v>
      </c>
      <c r="AH40" s="645">
        <v>512.22753841958684</v>
      </c>
      <c r="AI40" s="645">
        <v>68.423763504668656</v>
      </c>
      <c r="AJ40" s="645">
        <v>16.512616402642333</v>
      </c>
      <c r="AK40" s="645">
        <v>984.4108299751889</v>
      </c>
    </row>
    <row r="41" spans="3:37" x14ac:dyDescent="0.2">
      <c r="C41" s="420" t="s">
        <v>84</v>
      </c>
      <c r="D41" s="431">
        <v>0</v>
      </c>
      <c r="E41" s="421">
        <v>0</v>
      </c>
      <c r="F41" s="431">
        <v>100.05515171814793</v>
      </c>
      <c r="G41" s="431">
        <v>11.196954266678716</v>
      </c>
      <c r="H41" s="421">
        <v>0</v>
      </c>
      <c r="I41" s="421">
        <v>0</v>
      </c>
      <c r="J41" s="421">
        <v>0</v>
      </c>
      <c r="K41" s="421">
        <v>0</v>
      </c>
      <c r="L41" s="431">
        <v>0</v>
      </c>
      <c r="M41" s="431">
        <v>0</v>
      </c>
      <c r="N41" s="421">
        <v>0</v>
      </c>
      <c r="O41" s="421">
        <v>0</v>
      </c>
      <c r="P41" s="421">
        <v>0</v>
      </c>
      <c r="Q41" s="421">
        <v>0</v>
      </c>
      <c r="R41" s="431">
        <v>3.9154347726113912</v>
      </c>
      <c r="S41" s="429">
        <v>115.16754075743803</v>
      </c>
      <c r="U41" s="639" t="s">
        <v>84</v>
      </c>
      <c r="V41" s="640">
        <v>0</v>
      </c>
      <c r="W41" s="640">
        <v>0</v>
      </c>
      <c r="X41" s="640">
        <v>57.953190468871433</v>
      </c>
      <c r="Y41" s="640">
        <v>0.51452681198611927</v>
      </c>
      <c r="Z41" s="640">
        <v>0</v>
      </c>
      <c r="AA41" s="640">
        <v>0</v>
      </c>
      <c r="AB41" s="640">
        <v>0</v>
      </c>
      <c r="AC41" s="640">
        <v>0</v>
      </c>
      <c r="AD41" s="640">
        <v>30.108432000732424</v>
      </c>
      <c r="AE41" s="640">
        <v>0</v>
      </c>
      <c r="AF41" s="640">
        <v>0</v>
      </c>
      <c r="AG41" s="640">
        <v>0</v>
      </c>
      <c r="AH41" s="640">
        <v>0</v>
      </c>
      <c r="AI41" s="640">
        <v>0</v>
      </c>
      <c r="AJ41" s="640">
        <v>20.543554244995118</v>
      </c>
      <c r="AK41" s="648">
        <v>109.1197035265851</v>
      </c>
    </row>
    <row r="42" spans="3:37" x14ac:dyDescent="0.2">
      <c r="C42" s="424" t="s">
        <v>85</v>
      </c>
      <c r="D42" s="425">
        <v>3.6733927919712848</v>
      </c>
      <c r="E42" s="425">
        <v>0</v>
      </c>
      <c r="F42" s="425">
        <v>371.07481988239573</v>
      </c>
      <c r="G42" s="425">
        <v>266.98818345570078</v>
      </c>
      <c r="H42" s="425">
        <v>0</v>
      </c>
      <c r="I42" s="425">
        <v>0</v>
      </c>
      <c r="J42" s="425">
        <v>116.96131138117599</v>
      </c>
      <c r="K42" s="425">
        <v>1.7266732887522405</v>
      </c>
      <c r="L42" s="425">
        <v>25.166558400865188</v>
      </c>
      <c r="M42" s="425">
        <v>5.238424175077693</v>
      </c>
      <c r="N42" s="425">
        <v>75.083762899489528</v>
      </c>
      <c r="O42" s="425">
        <v>2.8624530156397006</v>
      </c>
      <c r="P42" s="425">
        <v>541.90719860025752</v>
      </c>
      <c r="Q42" s="425">
        <v>34.744016552062419</v>
      </c>
      <c r="R42" s="425">
        <v>7.071337409208251</v>
      </c>
      <c r="S42" s="425">
        <v>1452.4981318525963</v>
      </c>
      <c r="U42" s="644" t="s">
        <v>85</v>
      </c>
      <c r="V42" s="645">
        <v>1.5000162600463405</v>
      </c>
      <c r="W42" s="645">
        <v>0</v>
      </c>
      <c r="X42" s="645">
        <v>69.596179325592303</v>
      </c>
      <c r="Y42" s="645">
        <v>0.51452681198611927</v>
      </c>
      <c r="Z42" s="645">
        <v>0</v>
      </c>
      <c r="AA42" s="645">
        <v>0</v>
      </c>
      <c r="AB42" s="645">
        <v>72.998047331393281</v>
      </c>
      <c r="AC42" s="645">
        <v>4.1448350868904589</v>
      </c>
      <c r="AD42" s="645">
        <v>86.413312795169148</v>
      </c>
      <c r="AE42" s="645">
        <v>108.92560601395611</v>
      </c>
      <c r="AF42" s="645">
        <v>123.16818516374138</v>
      </c>
      <c r="AG42" s="645">
        <v>8.5623521411059595</v>
      </c>
      <c r="AH42" s="645">
        <v>512.22753841958684</v>
      </c>
      <c r="AI42" s="645">
        <v>68.423763504668656</v>
      </c>
      <c r="AJ42" s="645">
        <v>37.056170647637451</v>
      </c>
      <c r="AK42" s="645">
        <v>1093.530533501774</v>
      </c>
    </row>
    <row r="43" spans="3:37" x14ac:dyDescent="0.2">
      <c r="C43" s="412"/>
      <c r="D43" s="430"/>
      <c r="E43" s="430"/>
      <c r="F43" s="430"/>
      <c r="G43" s="430"/>
      <c r="H43" s="430"/>
      <c r="I43" s="430"/>
      <c r="J43" s="430"/>
      <c r="K43" s="430"/>
      <c r="L43" s="430"/>
      <c r="M43" s="430"/>
      <c r="N43" s="430"/>
      <c r="O43" s="430"/>
      <c r="P43" s="430"/>
      <c r="Q43" s="430"/>
      <c r="R43" s="430"/>
      <c r="S43" s="430"/>
      <c r="U43" s="634"/>
      <c r="V43" s="634"/>
      <c r="W43" s="634"/>
      <c r="X43" s="634"/>
      <c r="Y43" s="634"/>
      <c r="Z43" s="634"/>
      <c r="AA43" s="634"/>
      <c r="AB43" s="634"/>
      <c r="AC43" s="634"/>
      <c r="AD43" s="634"/>
      <c r="AE43" s="634"/>
      <c r="AF43" s="634"/>
      <c r="AG43" s="634"/>
      <c r="AH43" s="634"/>
      <c r="AI43" s="634"/>
      <c r="AJ43" s="634"/>
      <c r="AK43" s="634"/>
    </row>
    <row r="44" spans="3:37" x14ac:dyDescent="0.2">
      <c r="C44" s="634"/>
      <c r="D44" s="634"/>
      <c r="E44" s="634"/>
      <c r="F44" s="634"/>
      <c r="G44" s="634"/>
      <c r="H44" s="634"/>
      <c r="I44" s="634"/>
      <c r="J44" s="634"/>
      <c r="K44" s="634"/>
      <c r="L44" s="634"/>
      <c r="M44" s="634"/>
      <c r="N44" s="634"/>
      <c r="O44" s="634"/>
      <c r="P44" s="634"/>
      <c r="Q44" s="634"/>
      <c r="R44" s="634"/>
      <c r="S44" s="634"/>
      <c r="U44" s="634"/>
      <c r="V44" s="634"/>
      <c r="W44" s="634"/>
      <c r="X44" s="634"/>
      <c r="Y44" s="634"/>
      <c r="Z44" s="634"/>
      <c r="AA44" s="634"/>
      <c r="AB44" s="634"/>
      <c r="AC44" s="634"/>
      <c r="AD44" s="634"/>
      <c r="AE44" s="634"/>
      <c r="AF44" s="634"/>
      <c r="AG44" s="634"/>
      <c r="AH44" s="634"/>
      <c r="AI44" s="634"/>
      <c r="AJ44" s="634"/>
      <c r="AK44" s="634"/>
    </row>
  </sheetData>
  <mergeCells count="28">
    <mergeCell ref="C2:S2"/>
    <mergeCell ref="U2:AK2"/>
    <mergeCell ref="V10:V11"/>
    <mergeCell ref="C8:S8"/>
    <mergeCell ref="U8:AK8"/>
    <mergeCell ref="C10:C11"/>
    <mergeCell ref="D10:D11"/>
    <mergeCell ref="E10:E11"/>
    <mergeCell ref="F10:F11"/>
    <mergeCell ref="G10:G11"/>
    <mergeCell ref="H10:H11"/>
    <mergeCell ref="I10:I11"/>
    <mergeCell ref="J10:O10"/>
    <mergeCell ref="P10:P11"/>
    <mergeCell ref="Q10:Q11"/>
    <mergeCell ref="R10:R11"/>
    <mergeCell ref="S10:S11"/>
    <mergeCell ref="U10:U11"/>
    <mergeCell ref="AH10:AH11"/>
    <mergeCell ref="AI10:AI11"/>
    <mergeCell ref="AJ10:AJ11"/>
    <mergeCell ref="AK10:AK11"/>
    <mergeCell ref="W10:W11"/>
    <mergeCell ref="X10:X11"/>
    <mergeCell ref="Y10:Y11"/>
    <mergeCell ref="Z10:Z11"/>
    <mergeCell ref="AA10:AA11"/>
    <mergeCell ref="AB10:AG10"/>
  </mergeCells>
  <conditionalFormatting sqref="D15:O16">
    <cfRule type="cellIs" dxfId="1513" priority="32" operator="equal">
      <formula>0</formula>
    </cfRule>
  </conditionalFormatting>
  <conditionalFormatting sqref="D12:S18">
    <cfRule type="expression" dxfId="1512" priority="20">
      <formula>LEN(TRIM(D12))=0</formula>
    </cfRule>
  </conditionalFormatting>
  <conditionalFormatting sqref="D18:S42">
    <cfRule type="cellIs" dxfId="1511" priority="1" operator="equal">
      <formula>0</formula>
    </cfRule>
  </conditionalFormatting>
  <conditionalFormatting sqref="D20:S32">
    <cfRule type="expression" dxfId="1510" priority="2">
      <formula>LEN(TRIM(D20))=0</formula>
    </cfRule>
  </conditionalFormatting>
  <conditionalFormatting sqref="D34:S42">
    <cfRule type="expression" dxfId="1509" priority="50">
      <formula>LEN(TRIM(D34))=0</formula>
    </cfRule>
  </conditionalFormatting>
  <conditionalFormatting sqref="J11:O11 D12:I14 J12:S17 D17:I17">
    <cfRule type="cellIs" dxfId="1508" priority="3" operator="equal">
      <formula>0</formula>
    </cfRule>
  </conditionalFormatting>
  <conditionalFormatting sqref="V12:AK18">
    <cfRule type="expression" dxfId="1507" priority="124">
      <formula>LEN(TRIM(V12))=0</formula>
    </cfRule>
  </conditionalFormatting>
  <conditionalFormatting sqref="V20:AK32">
    <cfRule type="cellIs" dxfId="1506" priority="100" operator="equal">
      <formula>0</formula>
    </cfRule>
    <cfRule type="expression" dxfId="1505" priority="101">
      <formula>LEN(TRIM(V20))=0</formula>
    </cfRule>
  </conditionalFormatting>
  <conditionalFormatting sqref="V34:AK42">
    <cfRule type="cellIs" dxfId="1504" priority="88" operator="equal">
      <formula>0</formula>
    </cfRule>
    <cfRule type="expression" dxfId="1503" priority="89">
      <formula>LEN(TRIM(V34))=0</formula>
    </cfRule>
  </conditionalFormatting>
  <conditionalFormatting sqref="Y12:Y14 AI12:AK14 V12:X17 W15:AA17 AH15:AK17 V18:AK18">
    <cfRule type="cellIs" dxfId="1502" priority="108" operator="equal">
      <formula>0</formula>
    </cfRule>
  </conditionalFormatting>
  <conditionalFormatting sqref="Z12:AA17">
    <cfRule type="cellIs" dxfId="1501" priority="110" operator="equal">
      <formula>0</formula>
    </cfRule>
  </conditionalFormatting>
  <conditionalFormatting sqref="AB11:AG17">
    <cfRule type="cellIs" dxfId="1500" priority="64" operator="equal">
      <formula>0</formula>
    </cfRule>
  </conditionalFormatting>
  <conditionalFormatting sqref="AC12:AG12">
    <cfRule type="cellIs" dxfId="1499" priority="113" operator="equal">
      <formula>0</formula>
    </cfRule>
  </conditionalFormatting>
  <conditionalFormatting sqref="AH12:AH17">
    <cfRule type="cellIs" dxfId="1498" priority="109"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C0677-68F3-4018-BF10-9C3F84E85909}">
  <dimension ref="C2:AK478"/>
  <sheetViews>
    <sheetView workbookViewId="0"/>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60" t="s">
        <v>522</v>
      </c>
      <c r="D2" s="760"/>
      <c r="E2" s="760"/>
      <c r="F2" s="760"/>
      <c r="G2" s="760"/>
      <c r="H2" s="760"/>
      <c r="I2" s="760"/>
      <c r="J2" s="760"/>
      <c r="K2" s="760"/>
      <c r="L2" s="760"/>
      <c r="M2" s="760"/>
      <c r="N2" s="760"/>
      <c r="O2" s="760"/>
      <c r="P2" s="760"/>
      <c r="Q2" s="760"/>
      <c r="R2" s="760"/>
      <c r="S2" s="760"/>
      <c r="U2" s="760" t="s">
        <v>523</v>
      </c>
      <c r="V2" s="760"/>
      <c r="W2" s="760"/>
      <c r="X2" s="760"/>
      <c r="Y2" s="760"/>
      <c r="Z2" s="760"/>
      <c r="AA2" s="760"/>
      <c r="AB2" s="760"/>
      <c r="AC2" s="760"/>
      <c r="AD2" s="760"/>
      <c r="AE2" s="760"/>
      <c r="AF2" s="760"/>
      <c r="AG2" s="760"/>
      <c r="AH2" s="760"/>
      <c r="AI2" s="760"/>
      <c r="AJ2" s="760"/>
      <c r="AK2" s="760"/>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338</v>
      </c>
      <c r="D4" s="635" t="s">
        <v>524</v>
      </c>
      <c r="E4" s="634"/>
      <c r="F4" s="634"/>
      <c r="G4" s="634"/>
      <c r="H4" s="636"/>
      <c r="I4" s="634"/>
      <c r="J4" s="634"/>
      <c r="K4" s="634"/>
      <c r="L4" s="634"/>
      <c r="M4" s="634"/>
      <c r="N4" s="634"/>
      <c r="O4" s="634"/>
      <c r="P4" s="634"/>
      <c r="Q4" s="634"/>
      <c r="R4" s="634"/>
      <c r="S4" s="634"/>
      <c r="U4" s="635" t="s">
        <v>338</v>
      </c>
      <c r="V4" s="635" t="s">
        <v>524</v>
      </c>
      <c r="W4" s="634"/>
      <c r="X4" s="634"/>
      <c r="Y4" s="634"/>
      <c r="Z4" s="636"/>
      <c r="AA4" s="634"/>
      <c r="AB4" s="634"/>
      <c r="AC4" s="634"/>
      <c r="AD4" s="634"/>
      <c r="AE4" s="634"/>
      <c r="AF4" s="634"/>
      <c r="AG4" s="634"/>
      <c r="AH4" s="634"/>
      <c r="AI4" s="634"/>
      <c r="AJ4" s="634"/>
      <c r="AK4" s="634"/>
    </row>
    <row r="5" spans="3:37" ht="37.5" x14ac:dyDescent="0.3">
      <c r="C5" s="635" t="s">
        <v>341</v>
      </c>
      <c r="D5" s="635" t="s">
        <v>342</v>
      </c>
      <c r="E5" s="634"/>
      <c r="F5" s="634"/>
      <c r="G5" s="634"/>
      <c r="H5" s="634"/>
      <c r="I5" s="634"/>
      <c r="J5" s="634"/>
      <c r="K5" s="634"/>
      <c r="L5" s="634"/>
      <c r="M5" s="634"/>
      <c r="N5" s="634"/>
      <c r="O5" s="634"/>
      <c r="P5" s="634"/>
      <c r="Q5" s="634"/>
      <c r="R5" s="634"/>
      <c r="S5" s="634"/>
      <c r="U5" s="635" t="s">
        <v>341</v>
      </c>
      <c r="V5" s="635" t="s">
        <v>342</v>
      </c>
      <c r="W5" s="634"/>
      <c r="X5" s="634"/>
      <c r="Y5" s="634"/>
      <c r="Z5" s="634"/>
      <c r="AA5" s="634"/>
      <c r="AB5" s="634"/>
      <c r="AC5" s="634"/>
      <c r="AD5" s="634"/>
      <c r="AE5" s="634"/>
      <c r="AF5" s="634"/>
      <c r="AG5" s="634"/>
      <c r="AH5" s="634"/>
      <c r="AI5" s="634"/>
      <c r="AJ5" s="634"/>
      <c r="AK5" s="634"/>
    </row>
    <row r="6" spans="3:37" ht="18.75" x14ac:dyDescent="0.3">
      <c r="C6" s="635" t="s">
        <v>525</v>
      </c>
      <c r="D6" s="637">
        <v>44909</v>
      </c>
      <c r="E6" s="634"/>
      <c r="F6" s="634"/>
      <c r="G6" s="634"/>
      <c r="H6" s="634"/>
      <c r="I6" s="634"/>
      <c r="J6" s="634"/>
      <c r="K6" s="634"/>
      <c r="L6" s="634"/>
      <c r="M6" s="634"/>
      <c r="N6" s="634"/>
      <c r="O6" s="634"/>
      <c r="P6" s="634"/>
      <c r="Q6" s="634"/>
      <c r="R6" s="634"/>
      <c r="S6" s="634"/>
      <c r="U6" s="635" t="s">
        <v>525</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59" t="s">
        <v>407</v>
      </c>
      <c r="D8" s="759"/>
      <c r="E8" s="759"/>
      <c r="F8" s="759"/>
      <c r="G8" s="759"/>
      <c r="H8" s="759"/>
      <c r="I8" s="759"/>
      <c r="J8" s="759"/>
      <c r="K8" s="759"/>
      <c r="L8" s="759"/>
      <c r="M8" s="759"/>
      <c r="N8" s="759"/>
      <c r="O8" s="759"/>
      <c r="P8" s="759"/>
      <c r="Q8" s="759"/>
      <c r="R8" s="759"/>
      <c r="S8" s="759"/>
      <c r="U8" s="759" t="s">
        <v>407</v>
      </c>
      <c r="V8" s="759"/>
      <c r="W8" s="759"/>
      <c r="X8" s="759"/>
      <c r="Y8" s="759"/>
      <c r="Z8" s="759"/>
      <c r="AA8" s="759"/>
      <c r="AB8" s="759"/>
      <c r="AC8" s="759"/>
      <c r="AD8" s="759"/>
      <c r="AE8" s="759"/>
      <c r="AF8" s="759"/>
      <c r="AG8" s="759"/>
      <c r="AH8" s="759"/>
      <c r="AI8" s="759"/>
      <c r="AJ8" s="759"/>
      <c r="AK8" s="75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58" t="s">
        <v>128</v>
      </c>
      <c r="D10" s="757" t="s">
        <v>42</v>
      </c>
      <c r="E10" s="757" t="s">
        <v>52</v>
      </c>
      <c r="F10" s="757" t="s">
        <v>53</v>
      </c>
      <c r="G10" s="757" t="s">
        <v>32</v>
      </c>
      <c r="H10" s="757" t="s">
        <v>20</v>
      </c>
      <c r="I10" s="757" t="s">
        <v>55</v>
      </c>
      <c r="J10" s="757" t="s">
        <v>56</v>
      </c>
      <c r="K10" s="757"/>
      <c r="L10" s="757"/>
      <c r="M10" s="757"/>
      <c r="N10" s="757"/>
      <c r="O10" s="757"/>
      <c r="P10" s="757" t="s">
        <v>57</v>
      </c>
      <c r="Q10" s="757" t="s">
        <v>58</v>
      </c>
      <c r="R10" s="757" t="s">
        <v>31</v>
      </c>
      <c r="S10" s="757" t="s">
        <v>10</v>
      </c>
      <c r="U10" s="758" t="s">
        <v>128</v>
      </c>
      <c r="V10" s="757" t="s">
        <v>42</v>
      </c>
      <c r="W10" s="757" t="s">
        <v>52</v>
      </c>
      <c r="X10" s="757" t="s">
        <v>53</v>
      </c>
      <c r="Y10" s="757" t="s">
        <v>32</v>
      </c>
      <c r="Z10" s="757" t="s">
        <v>20</v>
      </c>
      <c r="AA10" s="757" t="s">
        <v>55</v>
      </c>
      <c r="AB10" s="757" t="s">
        <v>56</v>
      </c>
      <c r="AC10" s="757"/>
      <c r="AD10" s="757"/>
      <c r="AE10" s="757"/>
      <c r="AF10" s="757"/>
      <c r="AG10" s="757"/>
      <c r="AH10" s="757" t="s">
        <v>57</v>
      </c>
      <c r="AI10" s="757" t="s">
        <v>58</v>
      </c>
      <c r="AJ10" s="757" t="s">
        <v>31</v>
      </c>
      <c r="AK10" s="757" t="s">
        <v>10</v>
      </c>
    </row>
    <row r="11" spans="3:37" ht="56.25" x14ac:dyDescent="0.2">
      <c r="C11" s="758"/>
      <c r="D11" s="757"/>
      <c r="E11" s="757"/>
      <c r="F11" s="757"/>
      <c r="G11" s="757"/>
      <c r="H11" s="757"/>
      <c r="I11" s="757"/>
      <c r="J11" s="638" t="s">
        <v>335</v>
      </c>
      <c r="K11" s="638" t="s">
        <v>40</v>
      </c>
      <c r="L11" s="638" t="s">
        <v>343</v>
      </c>
      <c r="M11" s="638" t="s">
        <v>344</v>
      </c>
      <c r="N11" s="638" t="s">
        <v>345</v>
      </c>
      <c r="O11" s="638" t="s">
        <v>346</v>
      </c>
      <c r="P11" s="757"/>
      <c r="Q11" s="757"/>
      <c r="R11" s="757"/>
      <c r="S11" s="757"/>
      <c r="U11" s="758"/>
      <c r="V11" s="757"/>
      <c r="W11" s="757"/>
      <c r="X11" s="757"/>
      <c r="Y11" s="757"/>
      <c r="Z11" s="757"/>
      <c r="AA11" s="757"/>
      <c r="AB11" s="638" t="s">
        <v>335</v>
      </c>
      <c r="AC11" s="638" t="s">
        <v>40</v>
      </c>
      <c r="AD11" s="638" t="s">
        <v>343</v>
      </c>
      <c r="AE11" s="638" t="s">
        <v>344</v>
      </c>
      <c r="AF11" s="638" t="s">
        <v>345</v>
      </c>
      <c r="AG11" s="638" t="s">
        <v>346</v>
      </c>
      <c r="AH11" s="757"/>
      <c r="AI11" s="757"/>
      <c r="AJ11" s="757"/>
      <c r="AK11" s="757"/>
    </row>
    <row r="12" spans="3:37" x14ac:dyDescent="0.2">
      <c r="C12" s="639" t="s">
        <v>59</v>
      </c>
      <c r="D12" s="640">
        <v>0</v>
      </c>
      <c r="E12" s="641">
        <v>11.595553697293001</v>
      </c>
      <c r="F12" s="641">
        <v>0</v>
      </c>
      <c r="G12" s="640">
        <v>0.16688824999999999</v>
      </c>
      <c r="H12" s="641">
        <v>1209.1260212121213</v>
      </c>
      <c r="I12" s="641">
        <v>104.3311966741735</v>
      </c>
      <c r="J12" s="641">
        <v>120.67293388888889</v>
      </c>
      <c r="K12" s="641">
        <v>34.900820833333334</v>
      </c>
      <c r="L12" s="641">
        <v>0</v>
      </c>
      <c r="M12" s="641">
        <v>9.0983058888888646</v>
      </c>
      <c r="N12" s="641">
        <v>31.698274999999999</v>
      </c>
      <c r="O12" s="641">
        <v>7.5310224999999988</v>
      </c>
      <c r="P12" s="642">
        <v>0</v>
      </c>
      <c r="Q12" s="641">
        <v>0</v>
      </c>
      <c r="R12" s="641">
        <v>0</v>
      </c>
      <c r="S12" s="643">
        <v>1529.1210179446989</v>
      </c>
      <c r="U12" s="639" t="s">
        <v>59</v>
      </c>
      <c r="V12" s="640">
        <v>0</v>
      </c>
      <c r="W12" s="641">
        <v>11.595553697293001</v>
      </c>
      <c r="X12" s="641">
        <v>0</v>
      </c>
      <c r="Y12" s="640">
        <v>0.16688824999999999</v>
      </c>
      <c r="Z12" s="641">
        <v>1209.1260212121213</v>
      </c>
      <c r="AA12" s="641">
        <v>104.3311966741735</v>
      </c>
      <c r="AB12" s="641">
        <v>120.67293388888889</v>
      </c>
      <c r="AC12" s="641">
        <v>34.900820833333334</v>
      </c>
      <c r="AD12" s="641">
        <v>0</v>
      </c>
      <c r="AE12" s="641">
        <v>9.0983058888888646</v>
      </c>
      <c r="AF12" s="641">
        <v>31.698274999999999</v>
      </c>
      <c r="AG12" s="641">
        <v>7.5310224999999988</v>
      </c>
      <c r="AH12" s="642">
        <v>0</v>
      </c>
      <c r="AI12" s="641">
        <v>0</v>
      </c>
      <c r="AJ12" s="641">
        <v>0</v>
      </c>
      <c r="AK12" s="643">
        <v>1529.1210179446989</v>
      </c>
    </row>
    <row r="13" spans="3:37" x14ac:dyDescent="0.2">
      <c r="C13" s="639" t="s">
        <v>60</v>
      </c>
      <c r="D13" s="640">
        <v>84.727843146635564</v>
      </c>
      <c r="E13" s="641">
        <v>578.28949050727442</v>
      </c>
      <c r="F13" s="641">
        <v>535.06419481988212</v>
      </c>
      <c r="G13" s="640">
        <v>568.75187100000016</v>
      </c>
      <c r="H13" s="641">
        <v>0</v>
      </c>
      <c r="I13" s="641">
        <v>0</v>
      </c>
      <c r="J13" s="641">
        <v>2.7591261111111107</v>
      </c>
      <c r="K13" s="641">
        <v>0</v>
      </c>
      <c r="L13" s="641">
        <v>19.183841687689483</v>
      </c>
      <c r="M13" s="641">
        <v>0</v>
      </c>
      <c r="N13" s="641">
        <v>0</v>
      </c>
      <c r="O13" s="641">
        <v>0</v>
      </c>
      <c r="P13" s="642">
        <v>15.63175</v>
      </c>
      <c r="Q13" s="641">
        <v>0</v>
      </c>
      <c r="R13" s="641">
        <v>0</v>
      </c>
      <c r="S13" s="643">
        <v>1804.4081172725928</v>
      </c>
      <c r="U13" s="639" t="s">
        <v>60</v>
      </c>
      <c r="V13" s="640">
        <v>84.727843146635564</v>
      </c>
      <c r="W13" s="641">
        <v>578.28949050727442</v>
      </c>
      <c r="X13" s="641">
        <v>535.06419481988212</v>
      </c>
      <c r="Y13" s="640">
        <v>568.75187100000016</v>
      </c>
      <c r="Z13" s="641">
        <v>0</v>
      </c>
      <c r="AA13" s="641">
        <v>0</v>
      </c>
      <c r="AB13" s="641">
        <v>2.7591261111111107</v>
      </c>
      <c r="AC13" s="641">
        <v>0</v>
      </c>
      <c r="AD13" s="641">
        <v>19.183841687689483</v>
      </c>
      <c r="AE13" s="641">
        <v>0</v>
      </c>
      <c r="AF13" s="641">
        <v>0</v>
      </c>
      <c r="AG13" s="641">
        <v>0</v>
      </c>
      <c r="AH13" s="642">
        <v>15.63175</v>
      </c>
      <c r="AI13" s="641">
        <v>0</v>
      </c>
      <c r="AJ13" s="641">
        <v>0</v>
      </c>
      <c r="AK13" s="643">
        <v>1804.4081172725928</v>
      </c>
    </row>
    <row r="14" spans="3:37" x14ac:dyDescent="0.2">
      <c r="C14" s="639" t="s">
        <v>61</v>
      </c>
      <c r="D14" s="640">
        <v>-4.7877500119999999E-2</v>
      </c>
      <c r="E14" s="641">
        <v>-1.599063909936</v>
      </c>
      <c r="F14" s="641">
        <v>-205.43265045753787</v>
      </c>
      <c r="G14" s="640">
        <v>-112.63352224999998</v>
      </c>
      <c r="H14" s="641">
        <v>0</v>
      </c>
      <c r="I14" s="641">
        <v>0</v>
      </c>
      <c r="J14" s="641">
        <v>-2.3667455555555552</v>
      </c>
      <c r="K14" s="641">
        <v>0</v>
      </c>
      <c r="L14" s="641">
        <v>-8.0445142984108866</v>
      </c>
      <c r="M14" s="641">
        <v>0</v>
      </c>
      <c r="N14" s="641">
        <v>0</v>
      </c>
      <c r="O14" s="641">
        <v>0</v>
      </c>
      <c r="P14" s="642">
        <v>-73.298799000000002</v>
      </c>
      <c r="Q14" s="641">
        <v>0</v>
      </c>
      <c r="R14" s="641">
        <v>0</v>
      </c>
      <c r="S14" s="643">
        <v>-403.42317297156029</v>
      </c>
      <c r="U14" s="639" t="s">
        <v>61</v>
      </c>
      <c r="V14" s="640">
        <v>-4.7877500119999999E-2</v>
      </c>
      <c r="W14" s="641">
        <v>-1.599063909936</v>
      </c>
      <c r="X14" s="641">
        <v>-205.43265045753787</v>
      </c>
      <c r="Y14" s="640">
        <v>-112.63352224999998</v>
      </c>
      <c r="Z14" s="641">
        <v>0</v>
      </c>
      <c r="AA14" s="641">
        <v>0</v>
      </c>
      <c r="AB14" s="641">
        <v>-2.3667455555555552</v>
      </c>
      <c r="AC14" s="641">
        <v>0</v>
      </c>
      <c r="AD14" s="641">
        <v>-8.0445142984108866</v>
      </c>
      <c r="AE14" s="641">
        <v>0</v>
      </c>
      <c r="AF14" s="641">
        <v>0</v>
      </c>
      <c r="AG14" s="641">
        <v>0</v>
      </c>
      <c r="AH14" s="642">
        <v>-73.298799000000002</v>
      </c>
      <c r="AI14" s="641">
        <v>0</v>
      </c>
      <c r="AJ14" s="641">
        <v>0</v>
      </c>
      <c r="AK14" s="643">
        <v>-403.42317297156029</v>
      </c>
    </row>
    <row r="15" spans="3:37" x14ac:dyDescent="0.2">
      <c r="C15" s="639" t="s">
        <v>62</v>
      </c>
      <c r="D15" s="640">
        <v>0</v>
      </c>
      <c r="E15" s="641">
        <v>0</v>
      </c>
      <c r="F15" s="641">
        <v>-19.747038815182684</v>
      </c>
      <c r="G15" s="640">
        <v>0</v>
      </c>
      <c r="H15" s="641">
        <v>0</v>
      </c>
      <c r="I15" s="641">
        <v>0</v>
      </c>
      <c r="J15" s="641">
        <v>0</v>
      </c>
      <c r="K15" s="641">
        <v>0</v>
      </c>
      <c r="L15" s="641">
        <v>0</v>
      </c>
      <c r="M15" s="641">
        <v>0</v>
      </c>
      <c r="N15" s="641">
        <v>0</v>
      </c>
      <c r="O15" s="641">
        <v>0</v>
      </c>
      <c r="P15" s="642">
        <v>0</v>
      </c>
      <c r="Q15" s="641">
        <v>0</v>
      </c>
      <c r="R15" s="641">
        <v>0</v>
      </c>
      <c r="S15" s="643">
        <v>-19.747038815182684</v>
      </c>
      <c r="U15" s="639" t="s">
        <v>62</v>
      </c>
      <c r="V15" s="640">
        <v>0</v>
      </c>
      <c r="W15" s="641">
        <v>0</v>
      </c>
      <c r="X15" s="641">
        <v>-19.747038815182684</v>
      </c>
      <c r="Y15" s="640">
        <v>0</v>
      </c>
      <c r="Z15" s="641">
        <v>0</v>
      </c>
      <c r="AA15" s="641">
        <v>0</v>
      </c>
      <c r="AB15" s="641">
        <v>0</v>
      </c>
      <c r="AC15" s="641">
        <v>0</v>
      </c>
      <c r="AD15" s="641">
        <v>0</v>
      </c>
      <c r="AE15" s="641">
        <v>0</v>
      </c>
      <c r="AF15" s="641">
        <v>0</v>
      </c>
      <c r="AG15" s="641">
        <v>0</v>
      </c>
      <c r="AH15" s="642">
        <v>0</v>
      </c>
      <c r="AI15" s="641">
        <v>0</v>
      </c>
      <c r="AJ15" s="641">
        <v>0</v>
      </c>
      <c r="AK15" s="643">
        <v>-19.747038815182684</v>
      </c>
    </row>
    <row r="16" spans="3:37" x14ac:dyDescent="0.2">
      <c r="C16" s="639" t="s">
        <v>63</v>
      </c>
      <c r="D16" s="640">
        <v>0</v>
      </c>
      <c r="E16" s="641">
        <v>0</v>
      </c>
      <c r="F16" s="641">
        <v>-82.452981163797972</v>
      </c>
      <c r="G16" s="640">
        <v>0</v>
      </c>
      <c r="H16" s="641">
        <v>0</v>
      </c>
      <c r="I16" s="641">
        <v>0</v>
      </c>
      <c r="J16" s="641">
        <v>0</v>
      </c>
      <c r="K16" s="641">
        <v>0</v>
      </c>
      <c r="L16" s="641">
        <v>0</v>
      </c>
      <c r="M16" s="641">
        <v>0</v>
      </c>
      <c r="N16" s="641">
        <v>0</v>
      </c>
      <c r="O16" s="641">
        <v>0</v>
      </c>
      <c r="P16" s="642">
        <v>0</v>
      </c>
      <c r="Q16" s="641">
        <v>0</v>
      </c>
      <c r="R16" s="641">
        <v>0</v>
      </c>
      <c r="S16" s="643">
        <v>-82.452981163797972</v>
      </c>
      <c r="U16" s="639" t="s">
        <v>63</v>
      </c>
      <c r="V16" s="640">
        <v>0</v>
      </c>
      <c r="W16" s="641">
        <v>0</v>
      </c>
      <c r="X16" s="641">
        <v>-82.452981163797972</v>
      </c>
      <c r="Y16" s="640">
        <v>0</v>
      </c>
      <c r="Z16" s="641">
        <v>0</v>
      </c>
      <c r="AA16" s="641">
        <v>0</v>
      </c>
      <c r="AB16" s="641">
        <v>0</v>
      </c>
      <c r="AC16" s="641">
        <v>0</v>
      </c>
      <c r="AD16" s="641">
        <v>0</v>
      </c>
      <c r="AE16" s="641">
        <v>0</v>
      </c>
      <c r="AF16" s="641">
        <v>0</v>
      </c>
      <c r="AG16" s="641">
        <v>0</v>
      </c>
      <c r="AH16" s="642">
        <v>0</v>
      </c>
      <c r="AI16" s="641">
        <v>0</v>
      </c>
      <c r="AJ16" s="641">
        <v>0</v>
      </c>
      <c r="AK16" s="643">
        <v>-82.452981163797972</v>
      </c>
    </row>
    <row r="17" spans="3:37" x14ac:dyDescent="0.2">
      <c r="C17" s="639" t="s">
        <v>64</v>
      </c>
      <c r="D17" s="640">
        <v>0.41223964042222283</v>
      </c>
      <c r="E17" s="641">
        <v>1.3710702337312513</v>
      </c>
      <c r="F17" s="641">
        <v>1.3272538188370329</v>
      </c>
      <c r="G17" s="640">
        <v>-19.664768250000005</v>
      </c>
      <c r="H17" s="641">
        <v>0</v>
      </c>
      <c r="I17" s="641">
        <v>0</v>
      </c>
      <c r="J17" s="641">
        <v>0</v>
      </c>
      <c r="K17" s="641">
        <v>0</v>
      </c>
      <c r="L17" s="641">
        <v>0</v>
      </c>
      <c r="M17" s="641">
        <v>0</v>
      </c>
      <c r="N17" s="641">
        <v>0</v>
      </c>
      <c r="O17" s="641">
        <v>0</v>
      </c>
      <c r="P17" s="642">
        <v>0</v>
      </c>
      <c r="Q17" s="641">
        <v>0</v>
      </c>
      <c r="R17" s="641">
        <v>0</v>
      </c>
      <c r="S17" s="643">
        <v>-16.554204557009498</v>
      </c>
      <c r="U17" s="639" t="s">
        <v>64</v>
      </c>
      <c r="V17" s="640">
        <v>0.41223964042222283</v>
      </c>
      <c r="W17" s="641">
        <v>1.3710702337312513</v>
      </c>
      <c r="X17" s="641">
        <v>1.3272538188370329</v>
      </c>
      <c r="Y17" s="640">
        <v>-19.664768250000005</v>
      </c>
      <c r="Z17" s="641">
        <v>0</v>
      </c>
      <c r="AA17" s="641">
        <v>0</v>
      </c>
      <c r="AB17" s="641">
        <v>0</v>
      </c>
      <c r="AC17" s="641">
        <v>0</v>
      </c>
      <c r="AD17" s="641">
        <v>0</v>
      </c>
      <c r="AE17" s="641">
        <v>0</v>
      </c>
      <c r="AF17" s="641">
        <v>0</v>
      </c>
      <c r="AG17" s="641">
        <v>0</v>
      </c>
      <c r="AH17" s="642">
        <v>0</v>
      </c>
      <c r="AI17" s="641">
        <v>0</v>
      </c>
      <c r="AJ17" s="641">
        <v>0</v>
      </c>
      <c r="AK17" s="643">
        <v>-16.554204557009498</v>
      </c>
    </row>
    <row r="18" spans="3:37" x14ac:dyDescent="0.2">
      <c r="C18" s="644" t="s">
        <v>65</v>
      </c>
      <c r="D18" s="645">
        <v>85.092205286937784</v>
      </c>
      <c r="E18" s="645">
        <v>589.65705052836267</v>
      </c>
      <c r="F18" s="645">
        <v>228.75877820220057</v>
      </c>
      <c r="G18" s="645">
        <v>436.62046875000021</v>
      </c>
      <c r="H18" s="645">
        <v>1209.1260212121213</v>
      </c>
      <c r="I18" s="645">
        <v>104.3311966741735</v>
      </c>
      <c r="J18" s="645">
        <v>121.06531444444445</v>
      </c>
      <c r="K18" s="645">
        <v>34.900820833333334</v>
      </c>
      <c r="L18" s="645">
        <v>11.139327389278597</v>
      </c>
      <c r="M18" s="645">
        <v>9.0983058888888646</v>
      </c>
      <c r="N18" s="645">
        <v>31.698274999999999</v>
      </c>
      <c r="O18" s="645">
        <v>7.5310224999999988</v>
      </c>
      <c r="P18" s="645">
        <v>-57.667049000000006</v>
      </c>
      <c r="Q18" s="645">
        <v>0</v>
      </c>
      <c r="R18" s="645">
        <v>0</v>
      </c>
      <c r="S18" s="645">
        <v>2811.351737709741</v>
      </c>
      <c r="U18" s="644" t="s">
        <v>65</v>
      </c>
      <c r="V18" s="645">
        <v>85.092205286937784</v>
      </c>
      <c r="W18" s="645">
        <v>589.65705052836267</v>
      </c>
      <c r="X18" s="645">
        <v>228.75877820220057</v>
      </c>
      <c r="Y18" s="645">
        <v>436.62046875000021</v>
      </c>
      <c r="Z18" s="645">
        <v>1209.1260212121213</v>
      </c>
      <c r="AA18" s="645">
        <v>104.3311966741735</v>
      </c>
      <c r="AB18" s="645">
        <v>121.06531444444445</v>
      </c>
      <c r="AC18" s="645">
        <v>34.900820833333334</v>
      </c>
      <c r="AD18" s="645">
        <v>11.139327389278597</v>
      </c>
      <c r="AE18" s="645">
        <v>9.0983058888888646</v>
      </c>
      <c r="AF18" s="645">
        <v>31.698274999999999</v>
      </c>
      <c r="AG18" s="645">
        <v>7.5310224999999988</v>
      </c>
      <c r="AH18" s="645">
        <v>-57.667049000000006</v>
      </c>
      <c r="AI18" s="645">
        <v>0</v>
      </c>
      <c r="AJ18" s="645">
        <v>0</v>
      </c>
      <c r="AK18" s="645">
        <v>2811.351737709741</v>
      </c>
    </row>
    <row r="19" spans="3:37" x14ac:dyDescent="0.2">
      <c r="C19" s="634"/>
      <c r="D19" s="634"/>
      <c r="E19" s="634"/>
      <c r="F19" s="634"/>
      <c r="G19" s="634"/>
      <c r="H19" s="634"/>
      <c r="I19" s="634"/>
      <c r="J19" s="634"/>
      <c r="K19" s="634"/>
      <c r="L19" s="634"/>
      <c r="M19" s="634"/>
      <c r="N19" s="634"/>
      <c r="O19" s="634"/>
      <c r="P19" s="634"/>
      <c r="Q19" s="634"/>
      <c r="R19" s="634"/>
      <c r="S19" s="634"/>
      <c r="U19" s="634"/>
      <c r="V19" s="634"/>
      <c r="W19" s="634"/>
      <c r="X19" s="634"/>
      <c r="Y19" s="634"/>
      <c r="Z19" s="634"/>
      <c r="AA19" s="634"/>
      <c r="AB19" s="634"/>
      <c r="AC19" s="634"/>
      <c r="AD19" s="634"/>
      <c r="AE19" s="634"/>
      <c r="AF19" s="634"/>
      <c r="AG19" s="634"/>
      <c r="AH19" s="634"/>
      <c r="AI19" s="634"/>
      <c r="AJ19" s="634"/>
      <c r="AK19" s="634"/>
    </row>
    <row r="20" spans="3:37" x14ac:dyDescent="0.2">
      <c r="C20" s="646" t="s">
        <v>67</v>
      </c>
      <c r="D20" s="640">
        <v>3.6318872869800032</v>
      </c>
      <c r="E20" s="647">
        <v>10.787016352492323</v>
      </c>
      <c r="F20" s="647">
        <v>16.441628886851458</v>
      </c>
      <c r="G20" s="640">
        <v>-1.2134132500000001</v>
      </c>
      <c r="H20" s="640">
        <v>0</v>
      </c>
      <c r="I20" s="640">
        <v>0</v>
      </c>
      <c r="J20" s="640">
        <v>0</v>
      </c>
      <c r="K20" s="640">
        <v>-0.39035819434438856</v>
      </c>
      <c r="L20" s="640">
        <v>0.39056626803326822</v>
      </c>
      <c r="M20" s="640">
        <v>0</v>
      </c>
      <c r="N20" s="640">
        <v>0</v>
      </c>
      <c r="O20" s="640">
        <v>0</v>
      </c>
      <c r="P20" s="640">
        <v>4.6315588193812136</v>
      </c>
      <c r="Q20" s="640">
        <v>0</v>
      </c>
      <c r="R20" s="640">
        <v>0</v>
      </c>
      <c r="S20" s="648">
        <v>34.278886169393878</v>
      </c>
      <c r="U20" s="646" t="s">
        <v>67</v>
      </c>
      <c r="V20" s="640">
        <v>3.6318872869800032</v>
      </c>
      <c r="W20" s="647">
        <v>10.787016352492323</v>
      </c>
      <c r="X20" s="647">
        <v>16.441628886851458</v>
      </c>
      <c r="Y20" s="640">
        <v>-1.2134132500000001</v>
      </c>
      <c r="Z20" s="640">
        <v>0</v>
      </c>
      <c r="AA20" s="640">
        <v>0</v>
      </c>
      <c r="AB20" s="640">
        <v>0</v>
      </c>
      <c r="AC20" s="640">
        <v>-0.39035819434438856</v>
      </c>
      <c r="AD20" s="640">
        <v>0.39056626803326822</v>
      </c>
      <c r="AE20" s="640">
        <v>0</v>
      </c>
      <c r="AF20" s="640">
        <v>0</v>
      </c>
      <c r="AG20" s="640">
        <v>0</v>
      </c>
      <c r="AH20" s="640">
        <v>4.6315588193812136</v>
      </c>
      <c r="AI20" s="640">
        <v>0</v>
      </c>
      <c r="AJ20" s="640">
        <v>0</v>
      </c>
      <c r="AK20" s="648">
        <v>34.278886169393878</v>
      </c>
    </row>
    <row r="21" spans="3:37" x14ac:dyDescent="0.2">
      <c r="C21" s="646" t="s">
        <v>347</v>
      </c>
      <c r="D21" s="640">
        <v>17.443753714840586</v>
      </c>
      <c r="E21" s="640">
        <v>0</v>
      </c>
      <c r="F21" s="640">
        <v>13.62708829242459</v>
      </c>
      <c r="G21" s="640">
        <v>62.931904980327779</v>
      </c>
      <c r="H21" s="640">
        <v>1209.1260212121213</v>
      </c>
      <c r="I21" s="640">
        <v>104.3311966741735</v>
      </c>
      <c r="J21" s="649">
        <v>17.794147670554988</v>
      </c>
      <c r="K21" s="649">
        <v>12.388866225144911</v>
      </c>
      <c r="L21" s="649">
        <v>0</v>
      </c>
      <c r="M21" s="649">
        <v>4.8474406033333333</v>
      </c>
      <c r="N21" s="649">
        <v>0</v>
      </c>
      <c r="O21" s="649">
        <v>1.1825205542668356</v>
      </c>
      <c r="P21" s="640">
        <v>-566.17178776794128</v>
      </c>
      <c r="Q21" s="640">
        <v>0</v>
      </c>
      <c r="R21" s="640">
        <v>0</v>
      </c>
      <c r="S21" s="648">
        <v>877.50115215924666</v>
      </c>
      <c r="U21" s="646" t="s">
        <v>347</v>
      </c>
      <c r="V21" s="640">
        <v>17.443753714840586</v>
      </c>
      <c r="W21" s="640">
        <v>0</v>
      </c>
      <c r="X21" s="640">
        <v>13.62708829242459</v>
      </c>
      <c r="Y21" s="640">
        <v>62.931904980327779</v>
      </c>
      <c r="Z21" s="640">
        <v>1209.1260212121213</v>
      </c>
      <c r="AA21" s="640">
        <v>104.3311966741735</v>
      </c>
      <c r="AB21" s="649">
        <v>17.794147670554988</v>
      </c>
      <c r="AC21" s="649">
        <v>12.388866225144911</v>
      </c>
      <c r="AD21" s="649">
        <v>0</v>
      </c>
      <c r="AE21" s="649">
        <v>4.8474406033333333</v>
      </c>
      <c r="AF21" s="649">
        <v>0</v>
      </c>
      <c r="AG21" s="649">
        <v>1.1825205542668356</v>
      </c>
      <c r="AH21" s="640">
        <v>-566.17178776794128</v>
      </c>
      <c r="AI21" s="640">
        <v>0</v>
      </c>
      <c r="AJ21" s="640">
        <v>0</v>
      </c>
      <c r="AK21" s="648">
        <v>877.50115215924666</v>
      </c>
    </row>
    <row r="22" spans="3:37" x14ac:dyDescent="0.2">
      <c r="C22" s="646" t="s">
        <v>348</v>
      </c>
      <c r="D22" s="640">
        <v>1.9109444951460814</v>
      </c>
      <c r="E22" s="640">
        <v>0</v>
      </c>
      <c r="F22" s="640">
        <v>0.26671791988070115</v>
      </c>
      <c r="G22" s="640">
        <v>20.764778769672215</v>
      </c>
      <c r="H22" s="640">
        <v>0</v>
      </c>
      <c r="I22" s="640">
        <v>0</v>
      </c>
      <c r="J22" s="649">
        <v>8.5293872999380707</v>
      </c>
      <c r="K22" s="649">
        <v>16.588146755013483</v>
      </c>
      <c r="L22" s="649">
        <v>0</v>
      </c>
      <c r="M22" s="649">
        <v>2.852532452222222</v>
      </c>
      <c r="N22" s="649">
        <v>0.25919055555555554</v>
      </c>
      <c r="O22" s="649">
        <v>3.5768259901376065</v>
      </c>
      <c r="P22" s="640">
        <v>0</v>
      </c>
      <c r="Q22" s="640">
        <v>-46.772072780777776</v>
      </c>
      <c r="R22" s="640">
        <v>0</v>
      </c>
      <c r="S22" s="648">
        <v>7.9764514567881601</v>
      </c>
      <c r="U22" s="646" t="s">
        <v>348</v>
      </c>
      <c r="V22" s="640">
        <v>1.9109444951460814</v>
      </c>
      <c r="W22" s="640">
        <v>0</v>
      </c>
      <c r="X22" s="640">
        <v>0.26671791988070115</v>
      </c>
      <c r="Y22" s="640">
        <v>20.764778769672215</v>
      </c>
      <c r="Z22" s="640">
        <v>0</v>
      </c>
      <c r="AA22" s="640">
        <v>0</v>
      </c>
      <c r="AB22" s="649">
        <v>8.5293872999380707</v>
      </c>
      <c r="AC22" s="649">
        <v>16.588146755013483</v>
      </c>
      <c r="AD22" s="649">
        <v>0</v>
      </c>
      <c r="AE22" s="649">
        <v>2.852532452222222</v>
      </c>
      <c r="AF22" s="649">
        <v>0.25919055555555554</v>
      </c>
      <c r="AG22" s="649">
        <v>3.5768259901376065</v>
      </c>
      <c r="AH22" s="640">
        <v>0</v>
      </c>
      <c r="AI22" s="640">
        <v>-46.772072780777776</v>
      </c>
      <c r="AJ22" s="640">
        <v>0</v>
      </c>
      <c r="AK22" s="648">
        <v>7.9764514567881601</v>
      </c>
    </row>
    <row r="23" spans="3:37" x14ac:dyDescent="0.2">
      <c r="C23" s="646" t="s">
        <v>349</v>
      </c>
      <c r="D23" s="640">
        <v>0</v>
      </c>
      <c r="E23" s="640">
        <v>0</v>
      </c>
      <c r="F23" s="640">
        <v>0</v>
      </c>
      <c r="G23" s="640">
        <v>0</v>
      </c>
      <c r="H23" s="640">
        <v>0</v>
      </c>
      <c r="I23" s="640">
        <v>0</v>
      </c>
      <c r="J23" s="650">
        <v>0</v>
      </c>
      <c r="K23" s="650">
        <v>0</v>
      </c>
      <c r="L23" s="650">
        <v>0</v>
      </c>
      <c r="M23" s="650">
        <v>-1.1106240000000001</v>
      </c>
      <c r="N23" s="650">
        <v>0</v>
      </c>
      <c r="O23" s="650">
        <v>0</v>
      </c>
      <c r="P23" s="640">
        <v>0</v>
      </c>
      <c r="Q23" s="640">
        <v>0</v>
      </c>
      <c r="R23" s="640">
        <v>0</v>
      </c>
      <c r="S23" s="648">
        <v>-1.1106240000000001</v>
      </c>
      <c r="U23" s="646" t="s">
        <v>349</v>
      </c>
      <c r="V23" s="640">
        <v>0</v>
      </c>
      <c r="W23" s="640">
        <v>0</v>
      </c>
      <c r="X23" s="640">
        <v>0</v>
      </c>
      <c r="Y23" s="640">
        <v>0</v>
      </c>
      <c r="Z23" s="640">
        <v>0</v>
      </c>
      <c r="AA23" s="640">
        <v>0</v>
      </c>
      <c r="AB23" s="650">
        <v>0</v>
      </c>
      <c r="AC23" s="650">
        <v>0</v>
      </c>
      <c r="AD23" s="650">
        <v>0</v>
      </c>
      <c r="AE23" s="650">
        <v>-1.1106240000000001</v>
      </c>
      <c r="AF23" s="650">
        <v>0</v>
      </c>
      <c r="AG23" s="650">
        <v>0</v>
      </c>
      <c r="AH23" s="640">
        <v>0</v>
      </c>
      <c r="AI23" s="640">
        <v>0</v>
      </c>
      <c r="AJ23" s="640">
        <v>0</v>
      </c>
      <c r="AK23" s="648">
        <v>-1.1106240000000001</v>
      </c>
    </row>
    <row r="24" spans="3:37" x14ac:dyDescent="0.2">
      <c r="C24" s="646" t="s">
        <v>350</v>
      </c>
      <c r="D24" s="640">
        <v>0</v>
      </c>
      <c r="E24" s="640">
        <v>0</v>
      </c>
      <c r="F24" s="640">
        <v>0</v>
      </c>
      <c r="G24" s="640">
        <v>0</v>
      </c>
      <c r="H24" s="640">
        <v>0</v>
      </c>
      <c r="I24" s="640">
        <v>0</v>
      </c>
      <c r="J24" s="640">
        <v>0</v>
      </c>
      <c r="K24" s="640">
        <v>0</v>
      </c>
      <c r="L24" s="640">
        <v>0</v>
      </c>
      <c r="M24" s="640">
        <v>0</v>
      </c>
      <c r="N24" s="640">
        <v>0</v>
      </c>
      <c r="O24" s="640">
        <v>0</v>
      </c>
      <c r="P24" s="640">
        <v>0</v>
      </c>
      <c r="Q24" s="640">
        <v>0</v>
      </c>
      <c r="R24" s="640">
        <v>0</v>
      </c>
      <c r="S24" s="648">
        <v>0</v>
      </c>
      <c r="U24" s="646" t="s">
        <v>350</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646" t="s">
        <v>72</v>
      </c>
      <c r="D25" s="640">
        <v>0</v>
      </c>
      <c r="E25" s="640">
        <v>607.94319903666315</v>
      </c>
      <c r="F25" s="640">
        <v>-602.93238189654937</v>
      </c>
      <c r="G25" s="640">
        <v>0</v>
      </c>
      <c r="H25" s="640">
        <v>0</v>
      </c>
      <c r="I25" s="640">
        <v>0</v>
      </c>
      <c r="J25" s="640">
        <v>0</v>
      </c>
      <c r="K25" s="640">
        <v>0</v>
      </c>
      <c r="L25" s="640">
        <v>0</v>
      </c>
      <c r="M25" s="640">
        <v>0</v>
      </c>
      <c r="N25" s="640">
        <v>0</v>
      </c>
      <c r="O25" s="640">
        <v>0</v>
      </c>
      <c r="P25" s="640">
        <v>0</v>
      </c>
      <c r="Q25" s="640">
        <v>0</v>
      </c>
      <c r="R25" s="640">
        <v>0</v>
      </c>
      <c r="S25" s="648">
        <v>5.0108171401137289</v>
      </c>
      <c r="U25" s="646" t="s">
        <v>72</v>
      </c>
      <c r="V25" s="640">
        <v>0</v>
      </c>
      <c r="W25" s="640">
        <v>607.94319903666315</v>
      </c>
      <c r="X25" s="640">
        <v>-602.93238189654937</v>
      </c>
      <c r="Y25" s="640">
        <v>0</v>
      </c>
      <c r="Z25" s="640">
        <v>0</v>
      </c>
      <c r="AA25" s="640">
        <v>0</v>
      </c>
      <c r="AB25" s="640">
        <v>0</v>
      </c>
      <c r="AC25" s="640">
        <v>0</v>
      </c>
      <c r="AD25" s="640">
        <v>0</v>
      </c>
      <c r="AE25" s="640">
        <v>0</v>
      </c>
      <c r="AF25" s="640">
        <v>0</v>
      </c>
      <c r="AG25" s="640">
        <v>0</v>
      </c>
      <c r="AH25" s="640">
        <v>0</v>
      </c>
      <c r="AI25" s="640">
        <v>0</v>
      </c>
      <c r="AJ25" s="640">
        <v>0</v>
      </c>
      <c r="AK25" s="648">
        <v>5.0108171401137289</v>
      </c>
    </row>
    <row r="26" spans="3:37" x14ac:dyDescent="0.2">
      <c r="C26" s="646" t="s">
        <v>351</v>
      </c>
      <c r="D26" s="640">
        <v>0</v>
      </c>
      <c r="E26" s="640">
        <v>0</v>
      </c>
      <c r="F26" s="640">
        <v>0</v>
      </c>
      <c r="G26" s="640">
        <v>0</v>
      </c>
      <c r="H26" s="640">
        <v>0</v>
      </c>
      <c r="I26" s="640">
        <v>0</v>
      </c>
      <c r="J26" s="640">
        <v>0</v>
      </c>
      <c r="K26" s="640">
        <v>0</v>
      </c>
      <c r="L26" s="640">
        <v>-29.34529096854553</v>
      </c>
      <c r="M26" s="640">
        <v>0</v>
      </c>
      <c r="N26" s="640">
        <v>0</v>
      </c>
      <c r="O26" s="640">
        <v>0</v>
      </c>
      <c r="P26" s="640">
        <v>0</v>
      </c>
      <c r="Q26" s="640">
        <v>0</v>
      </c>
      <c r="R26" s="640">
        <v>0</v>
      </c>
      <c r="S26" s="648">
        <v>-29.34529096854553</v>
      </c>
      <c r="U26" s="646" t="s">
        <v>351</v>
      </c>
      <c r="V26" s="640">
        <v>0</v>
      </c>
      <c r="W26" s="640">
        <v>0</v>
      </c>
      <c r="X26" s="640">
        <v>0</v>
      </c>
      <c r="Y26" s="640">
        <v>0</v>
      </c>
      <c r="Z26" s="640">
        <v>0</v>
      </c>
      <c r="AA26" s="640">
        <v>0</v>
      </c>
      <c r="AB26" s="640">
        <v>0</v>
      </c>
      <c r="AC26" s="640">
        <v>0</v>
      </c>
      <c r="AD26" s="640">
        <v>-29.34529096854553</v>
      </c>
      <c r="AE26" s="640">
        <v>0</v>
      </c>
      <c r="AF26" s="640">
        <v>0</v>
      </c>
      <c r="AG26" s="640">
        <v>0</v>
      </c>
      <c r="AH26" s="640">
        <v>0</v>
      </c>
      <c r="AI26" s="640">
        <v>0</v>
      </c>
      <c r="AJ26" s="640">
        <v>0</v>
      </c>
      <c r="AK26" s="648">
        <v>-29.34529096854553</v>
      </c>
    </row>
    <row r="27" spans="3:37" x14ac:dyDescent="0.2">
      <c r="C27" s="646" t="s">
        <v>352</v>
      </c>
      <c r="D27" s="640">
        <v>0</v>
      </c>
      <c r="E27" s="640">
        <v>0</v>
      </c>
      <c r="F27" s="640">
        <v>0</v>
      </c>
      <c r="G27" s="640">
        <v>0</v>
      </c>
      <c r="H27" s="640">
        <v>0</v>
      </c>
      <c r="I27" s="640">
        <v>0</v>
      </c>
      <c r="J27" s="640">
        <v>0</v>
      </c>
      <c r="K27" s="640">
        <v>0</v>
      </c>
      <c r="L27" s="640">
        <v>0</v>
      </c>
      <c r="M27" s="640">
        <v>0</v>
      </c>
      <c r="N27" s="640">
        <v>0</v>
      </c>
      <c r="O27" s="640">
        <v>0</v>
      </c>
      <c r="P27" s="640">
        <v>0</v>
      </c>
      <c r="Q27" s="640">
        <v>0</v>
      </c>
      <c r="R27" s="640">
        <v>0</v>
      </c>
      <c r="S27" s="648">
        <v>0</v>
      </c>
      <c r="U27" s="646" t="s">
        <v>352</v>
      </c>
      <c r="V27" s="640">
        <v>0</v>
      </c>
      <c r="W27" s="640">
        <v>0</v>
      </c>
      <c r="X27" s="640">
        <v>0</v>
      </c>
      <c r="Y27" s="640">
        <v>0</v>
      </c>
      <c r="Z27" s="640">
        <v>0</v>
      </c>
      <c r="AA27" s="640">
        <v>0</v>
      </c>
      <c r="AB27" s="640">
        <v>0</v>
      </c>
      <c r="AC27" s="640">
        <v>0</v>
      </c>
      <c r="AD27" s="640">
        <v>0</v>
      </c>
      <c r="AE27" s="640">
        <v>0</v>
      </c>
      <c r="AF27" s="640">
        <v>0</v>
      </c>
      <c r="AG27" s="640">
        <v>0</v>
      </c>
      <c r="AH27" s="640">
        <v>0</v>
      </c>
      <c r="AI27" s="640">
        <v>0</v>
      </c>
      <c r="AJ27" s="640">
        <v>0</v>
      </c>
      <c r="AK27" s="648">
        <v>0</v>
      </c>
    </row>
    <row r="28" spans="3:37" x14ac:dyDescent="0.2">
      <c r="C28" s="646" t="s">
        <v>73</v>
      </c>
      <c r="D28" s="640">
        <v>0</v>
      </c>
      <c r="E28" s="640">
        <v>0</v>
      </c>
      <c r="F28" s="640">
        <v>0</v>
      </c>
      <c r="G28" s="640">
        <v>0</v>
      </c>
      <c r="H28" s="640">
        <v>0</v>
      </c>
      <c r="I28" s="640">
        <v>0</v>
      </c>
      <c r="J28" s="640">
        <v>0</v>
      </c>
      <c r="K28" s="640">
        <v>0</v>
      </c>
      <c r="L28" s="640">
        <v>0</v>
      </c>
      <c r="M28" s="640">
        <v>0</v>
      </c>
      <c r="N28" s="640">
        <v>0</v>
      </c>
      <c r="O28" s="640">
        <v>0</v>
      </c>
      <c r="P28" s="640">
        <v>0</v>
      </c>
      <c r="Q28" s="640">
        <v>0</v>
      </c>
      <c r="R28" s="640">
        <v>0</v>
      </c>
      <c r="S28" s="648">
        <v>0</v>
      </c>
      <c r="U28" s="646" t="s">
        <v>73</v>
      </c>
      <c r="V28" s="640">
        <v>0</v>
      </c>
      <c r="W28" s="640">
        <v>0</v>
      </c>
      <c r="X28" s="640">
        <v>0</v>
      </c>
      <c r="Y28" s="640">
        <v>0</v>
      </c>
      <c r="Z28" s="640">
        <v>0</v>
      </c>
      <c r="AA28" s="640">
        <v>0</v>
      </c>
      <c r="AB28" s="640">
        <v>0</v>
      </c>
      <c r="AC28" s="640">
        <v>0</v>
      </c>
      <c r="AD28" s="640">
        <v>0</v>
      </c>
      <c r="AE28" s="640">
        <v>0</v>
      </c>
      <c r="AF28" s="640">
        <v>0</v>
      </c>
      <c r="AG28" s="640">
        <v>0</v>
      </c>
      <c r="AH28" s="640">
        <v>0</v>
      </c>
      <c r="AI28" s="640">
        <v>0</v>
      </c>
      <c r="AJ28" s="640">
        <v>0</v>
      </c>
      <c r="AK28" s="648">
        <v>0</v>
      </c>
    </row>
    <row r="29" spans="3:37" x14ac:dyDescent="0.2">
      <c r="C29" s="646" t="s">
        <v>353</v>
      </c>
      <c r="D29" s="640">
        <v>32.750811529533344</v>
      </c>
      <c r="E29" s="640">
        <v>-29.152970396099011</v>
      </c>
      <c r="F29" s="640">
        <v>28.064488458099014</v>
      </c>
      <c r="G29" s="640">
        <v>0</v>
      </c>
      <c r="H29" s="640">
        <v>0</v>
      </c>
      <c r="I29" s="640">
        <v>0</v>
      </c>
      <c r="J29" s="640">
        <v>0</v>
      </c>
      <c r="K29" s="640">
        <v>0</v>
      </c>
      <c r="L29" s="640">
        <v>0</v>
      </c>
      <c r="M29" s="640">
        <v>0</v>
      </c>
      <c r="N29" s="640">
        <v>0</v>
      </c>
      <c r="O29" s="640">
        <v>0</v>
      </c>
      <c r="P29" s="640">
        <v>0</v>
      </c>
      <c r="Q29" s="640">
        <v>0</v>
      </c>
      <c r="R29" s="640">
        <v>0</v>
      </c>
      <c r="S29" s="648">
        <v>31.662329591533346</v>
      </c>
      <c r="U29" s="646" t="s">
        <v>353</v>
      </c>
      <c r="V29" s="640">
        <v>32.750811529533344</v>
      </c>
      <c r="W29" s="640">
        <v>-29.152970396099011</v>
      </c>
      <c r="X29" s="640">
        <v>28.064488458099014</v>
      </c>
      <c r="Y29" s="640">
        <v>0</v>
      </c>
      <c r="Z29" s="640">
        <v>0</v>
      </c>
      <c r="AA29" s="640">
        <v>0</v>
      </c>
      <c r="AB29" s="640">
        <v>0</v>
      </c>
      <c r="AC29" s="640">
        <v>0</v>
      </c>
      <c r="AD29" s="640">
        <v>0</v>
      </c>
      <c r="AE29" s="640">
        <v>0</v>
      </c>
      <c r="AF29" s="640">
        <v>0</v>
      </c>
      <c r="AG29" s="640">
        <v>0</v>
      </c>
      <c r="AH29" s="640">
        <v>0</v>
      </c>
      <c r="AI29" s="640">
        <v>0</v>
      </c>
      <c r="AJ29" s="640">
        <v>0</v>
      </c>
      <c r="AK29" s="648">
        <v>31.662329591533346</v>
      </c>
    </row>
    <row r="30" spans="3:37" x14ac:dyDescent="0.2">
      <c r="C30" s="646" t="s">
        <v>75</v>
      </c>
      <c r="D30" s="640">
        <v>15.211467777777777</v>
      </c>
      <c r="E30" s="640">
        <v>0</v>
      </c>
      <c r="F30" s="640">
        <v>17.163531653267256</v>
      </c>
      <c r="G30" s="640">
        <v>6.4721602499999999</v>
      </c>
      <c r="H30" s="640">
        <v>0</v>
      </c>
      <c r="I30" s="640">
        <v>0</v>
      </c>
      <c r="J30" s="640">
        <v>0</v>
      </c>
      <c r="K30" s="640">
        <v>0</v>
      </c>
      <c r="L30" s="640">
        <v>0</v>
      </c>
      <c r="M30" s="640">
        <v>0</v>
      </c>
      <c r="N30" s="640">
        <v>0</v>
      </c>
      <c r="O30" s="640">
        <v>0</v>
      </c>
      <c r="P30" s="640">
        <v>34.075655948560012</v>
      </c>
      <c r="Q30" s="640">
        <v>0</v>
      </c>
      <c r="R30" s="640">
        <v>0</v>
      </c>
      <c r="S30" s="648">
        <v>72.922815629605054</v>
      </c>
      <c r="U30" s="646" t="s">
        <v>75</v>
      </c>
      <c r="V30" s="640">
        <v>15.211467777777777</v>
      </c>
      <c r="W30" s="640">
        <v>0</v>
      </c>
      <c r="X30" s="640">
        <v>17.163531653267256</v>
      </c>
      <c r="Y30" s="640">
        <v>6.4721602499999999</v>
      </c>
      <c r="Z30" s="640">
        <v>0</v>
      </c>
      <c r="AA30" s="640">
        <v>0</v>
      </c>
      <c r="AB30" s="640">
        <v>0</v>
      </c>
      <c r="AC30" s="640">
        <v>0</v>
      </c>
      <c r="AD30" s="640">
        <v>0</v>
      </c>
      <c r="AE30" s="640">
        <v>0</v>
      </c>
      <c r="AF30" s="640">
        <v>0</v>
      </c>
      <c r="AG30" s="640">
        <v>0</v>
      </c>
      <c r="AH30" s="640">
        <v>34.075655948560012</v>
      </c>
      <c r="AI30" s="640">
        <v>0</v>
      </c>
      <c r="AJ30" s="640">
        <v>0</v>
      </c>
      <c r="AK30" s="648">
        <v>72.922815629605054</v>
      </c>
    </row>
    <row r="31" spans="3:37" x14ac:dyDescent="0.2">
      <c r="C31" s="646" t="s">
        <v>76</v>
      </c>
      <c r="D31" s="640">
        <v>0</v>
      </c>
      <c r="E31" s="640">
        <v>0</v>
      </c>
      <c r="F31" s="640">
        <v>0</v>
      </c>
      <c r="G31" s="640">
        <v>4.9770604999999994</v>
      </c>
      <c r="H31" s="640">
        <v>0</v>
      </c>
      <c r="I31" s="640">
        <v>0</v>
      </c>
      <c r="J31" s="640">
        <v>0</v>
      </c>
      <c r="K31" s="640">
        <v>0</v>
      </c>
      <c r="L31" s="640">
        <v>0</v>
      </c>
      <c r="M31" s="640">
        <v>0</v>
      </c>
      <c r="N31" s="640">
        <v>0</v>
      </c>
      <c r="O31" s="640">
        <v>0</v>
      </c>
      <c r="P31" s="640">
        <v>38.092724000000004</v>
      </c>
      <c r="Q31" s="640">
        <v>3.667636947251947</v>
      </c>
      <c r="R31" s="640">
        <v>0</v>
      </c>
      <c r="S31" s="648">
        <v>46.737421447251954</v>
      </c>
      <c r="U31" s="646" t="s">
        <v>76</v>
      </c>
      <c r="V31" s="640">
        <v>0</v>
      </c>
      <c r="W31" s="640">
        <v>0</v>
      </c>
      <c r="X31" s="640">
        <v>0</v>
      </c>
      <c r="Y31" s="640">
        <v>4.9770604999999994</v>
      </c>
      <c r="Z31" s="640">
        <v>0</v>
      </c>
      <c r="AA31" s="640">
        <v>0</v>
      </c>
      <c r="AB31" s="640">
        <v>0</v>
      </c>
      <c r="AC31" s="640">
        <v>0</v>
      </c>
      <c r="AD31" s="640">
        <v>0</v>
      </c>
      <c r="AE31" s="640">
        <v>0</v>
      </c>
      <c r="AF31" s="640">
        <v>0</v>
      </c>
      <c r="AG31" s="640">
        <v>0</v>
      </c>
      <c r="AH31" s="640">
        <v>38.092724000000004</v>
      </c>
      <c r="AI31" s="640">
        <v>3.667636947251947</v>
      </c>
      <c r="AJ31" s="640">
        <v>0</v>
      </c>
      <c r="AK31" s="648">
        <v>46.737421447251954</v>
      </c>
    </row>
    <row r="32" spans="3:37" x14ac:dyDescent="0.2">
      <c r="C32" s="644" t="s">
        <v>77</v>
      </c>
      <c r="D32" s="645">
        <v>70.94886480427779</v>
      </c>
      <c r="E32" s="645">
        <v>589.57724499305652</v>
      </c>
      <c r="F32" s="645">
        <v>-527.3689266860265</v>
      </c>
      <c r="G32" s="645">
        <v>93.932491249999984</v>
      </c>
      <c r="H32" s="645">
        <v>1209.1260212121213</v>
      </c>
      <c r="I32" s="645">
        <v>104.3311966741735</v>
      </c>
      <c r="J32" s="645">
        <v>26.323534970493061</v>
      </c>
      <c r="K32" s="645">
        <v>28.586654785814009</v>
      </c>
      <c r="L32" s="645">
        <v>-28.954724700512262</v>
      </c>
      <c r="M32" s="645">
        <v>6.5893490555555561</v>
      </c>
      <c r="N32" s="645">
        <v>0.25919055555555554</v>
      </c>
      <c r="O32" s="645">
        <v>4.7593465444044423</v>
      </c>
      <c r="P32" s="645">
        <v>-489.37184900000005</v>
      </c>
      <c r="Q32" s="645">
        <v>-43.104435833525834</v>
      </c>
      <c r="R32" s="645">
        <v>0</v>
      </c>
      <c r="S32" s="645">
        <v>1045.6339586253871</v>
      </c>
      <c r="U32" s="644" t="s">
        <v>77</v>
      </c>
      <c r="V32" s="645">
        <v>70.94886480427779</v>
      </c>
      <c r="W32" s="645">
        <v>589.57724499305652</v>
      </c>
      <c r="X32" s="645">
        <v>-527.3689266860265</v>
      </c>
      <c r="Y32" s="645">
        <v>93.932491249999984</v>
      </c>
      <c r="Z32" s="645">
        <v>1209.1260212121213</v>
      </c>
      <c r="AA32" s="645">
        <v>104.3311966741735</v>
      </c>
      <c r="AB32" s="645">
        <v>26.323534970493061</v>
      </c>
      <c r="AC32" s="645">
        <v>28.586654785814009</v>
      </c>
      <c r="AD32" s="645">
        <v>-28.954724700512262</v>
      </c>
      <c r="AE32" s="645">
        <v>6.5893490555555561</v>
      </c>
      <c r="AF32" s="645">
        <v>0.25919055555555554</v>
      </c>
      <c r="AG32" s="645">
        <v>4.7593465444044423</v>
      </c>
      <c r="AH32" s="645">
        <v>-489.37184900000005</v>
      </c>
      <c r="AI32" s="645">
        <v>-43.104435833525834</v>
      </c>
      <c r="AJ32" s="645">
        <v>0</v>
      </c>
      <c r="AK32" s="645">
        <v>1045.6339586253871</v>
      </c>
    </row>
    <row r="33" spans="3:37" x14ac:dyDescent="0.2">
      <c r="C33" s="634"/>
      <c r="D33" s="634">
        <v>0</v>
      </c>
      <c r="E33" s="634">
        <v>0</v>
      </c>
      <c r="F33" s="634">
        <v>0</v>
      </c>
      <c r="G33" s="634">
        <v>0</v>
      </c>
      <c r="H33" s="634">
        <v>0</v>
      </c>
      <c r="I33" s="634">
        <v>0</v>
      </c>
      <c r="J33" s="634">
        <v>0</v>
      </c>
      <c r="K33" s="634">
        <v>0</v>
      </c>
      <c r="L33" s="634">
        <v>0</v>
      </c>
      <c r="M33" s="634">
        <v>0</v>
      </c>
      <c r="N33" s="634">
        <v>0</v>
      </c>
      <c r="O33" s="634">
        <v>0</v>
      </c>
      <c r="P33" s="634">
        <v>0</v>
      </c>
      <c r="Q33" s="634">
        <v>0</v>
      </c>
      <c r="R33" s="634">
        <v>0</v>
      </c>
      <c r="S33" s="634">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646" t="s">
        <v>78</v>
      </c>
      <c r="D34" s="640">
        <v>10.318644626420003</v>
      </c>
      <c r="E34" s="640">
        <v>0</v>
      </c>
      <c r="F34" s="640">
        <v>31.798889573736361</v>
      </c>
      <c r="G34" s="640">
        <v>122.13725650000002</v>
      </c>
      <c r="H34" s="640">
        <v>0</v>
      </c>
      <c r="I34" s="640">
        <v>0</v>
      </c>
      <c r="J34" s="640">
        <v>15.07633527777778</v>
      </c>
      <c r="K34" s="640">
        <v>4.5361330555555552</v>
      </c>
      <c r="L34" s="640">
        <v>1.0714586421915442</v>
      </c>
      <c r="M34" s="640">
        <v>0.59537055555555551</v>
      </c>
      <c r="N34" s="640">
        <v>0</v>
      </c>
      <c r="O34" s="640">
        <v>1.4743611111111112E-2</v>
      </c>
      <c r="P34" s="640">
        <v>115.65608999999999</v>
      </c>
      <c r="Q34" s="640">
        <v>18.599047500192498</v>
      </c>
      <c r="R34" s="640">
        <v>0</v>
      </c>
      <c r="S34" s="648">
        <v>319.80396934254043</v>
      </c>
      <c r="U34" s="646" t="s">
        <v>78</v>
      </c>
      <c r="V34" s="640">
        <v>10.318644626420003</v>
      </c>
      <c r="W34" s="640">
        <v>0</v>
      </c>
      <c r="X34" s="640">
        <v>31.798889573736361</v>
      </c>
      <c r="Y34" s="640">
        <v>122.13725650000002</v>
      </c>
      <c r="Z34" s="640">
        <v>0</v>
      </c>
      <c r="AA34" s="640">
        <v>0</v>
      </c>
      <c r="AB34" s="640">
        <v>15.07633527777778</v>
      </c>
      <c r="AC34" s="640">
        <v>4.5361330555555552</v>
      </c>
      <c r="AD34" s="640">
        <v>1.0714586421915442</v>
      </c>
      <c r="AE34" s="640">
        <v>0.59537055555555551</v>
      </c>
      <c r="AF34" s="640">
        <v>0</v>
      </c>
      <c r="AG34" s="640">
        <v>1.4743611111111112E-2</v>
      </c>
      <c r="AH34" s="640">
        <v>115.65608999999999</v>
      </c>
      <c r="AI34" s="640">
        <v>18.599047500192498</v>
      </c>
      <c r="AJ34" s="640">
        <v>0</v>
      </c>
      <c r="AK34" s="648">
        <v>319.80396934254043</v>
      </c>
    </row>
    <row r="35" spans="3:37" x14ac:dyDescent="0.2">
      <c r="C35" s="646" t="s">
        <v>79</v>
      </c>
      <c r="D35" s="640">
        <v>0</v>
      </c>
      <c r="E35" s="640">
        <v>0</v>
      </c>
      <c r="F35" s="640">
        <v>465.47698922226442</v>
      </c>
      <c r="G35" s="640">
        <v>1.8942870000000003</v>
      </c>
      <c r="H35" s="640">
        <v>0</v>
      </c>
      <c r="I35" s="640">
        <v>0</v>
      </c>
      <c r="J35" s="640">
        <v>0</v>
      </c>
      <c r="K35" s="640">
        <v>0</v>
      </c>
      <c r="L35" s="640">
        <v>37.188256545358975</v>
      </c>
      <c r="M35" s="640">
        <v>0</v>
      </c>
      <c r="N35" s="640">
        <v>0</v>
      </c>
      <c r="O35" s="640">
        <v>0</v>
      </c>
      <c r="P35" s="640">
        <v>10.07993007</v>
      </c>
      <c r="Q35" s="640">
        <v>0</v>
      </c>
      <c r="R35" s="640">
        <v>0</v>
      </c>
      <c r="S35" s="648">
        <v>514.63946283762346</v>
      </c>
      <c r="U35" s="646" t="s">
        <v>79</v>
      </c>
      <c r="V35" s="640">
        <v>0</v>
      </c>
      <c r="W35" s="640">
        <v>0</v>
      </c>
      <c r="X35" s="640">
        <v>465.47698922226442</v>
      </c>
      <c r="Y35" s="640">
        <v>1.8942870000000003</v>
      </c>
      <c r="Z35" s="640">
        <v>0</v>
      </c>
      <c r="AA35" s="640">
        <v>0</v>
      </c>
      <c r="AB35" s="640">
        <v>0</v>
      </c>
      <c r="AC35" s="640">
        <v>0</v>
      </c>
      <c r="AD35" s="640">
        <v>37.188256545358975</v>
      </c>
      <c r="AE35" s="640">
        <v>0</v>
      </c>
      <c r="AF35" s="640">
        <v>0</v>
      </c>
      <c r="AG35" s="640">
        <v>0</v>
      </c>
      <c r="AH35" s="640">
        <v>10.07993007</v>
      </c>
      <c r="AI35" s="640">
        <v>0</v>
      </c>
      <c r="AJ35" s="640">
        <v>0</v>
      </c>
      <c r="AK35" s="648">
        <v>514.63946283762346</v>
      </c>
    </row>
    <row r="36" spans="3:37" x14ac:dyDescent="0.2">
      <c r="C36" s="646" t="s">
        <v>80</v>
      </c>
      <c r="D36" s="640">
        <v>0.28361423905000005</v>
      </c>
      <c r="E36" s="640">
        <v>0</v>
      </c>
      <c r="F36" s="640">
        <v>50.740146891881786</v>
      </c>
      <c r="G36" s="640">
        <v>132.15121725</v>
      </c>
      <c r="H36" s="640">
        <v>0</v>
      </c>
      <c r="I36" s="640">
        <v>0</v>
      </c>
      <c r="J36" s="640">
        <v>74.953719722222218</v>
      </c>
      <c r="K36" s="640">
        <v>0</v>
      </c>
      <c r="L36" s="640">
        <v>0</v>
      </c>
      <c r="M36" s="640">
        <v>0</v>
      </c>
      <c r="N36" s="640">
        <v>26.665051666666663</v>
      </c>
      <c r="O36" s="640">
        <v>1.98639250004</v>
      </c>
      <c r="P36" s="640">
        <v>159.72207699999998</v>
      </c>
      <c r="Q36" s="640">
        <v>14.980747222222222</v>
      </c>
      <c r="R36" s="640">
        <v>0</v>
      </c>
      <c r="S36" s="648">
        <v>461.48296649208288</v>
      </c>
      <c r="U36" s="646" t="s">
        <v>80</v>
      </c>
      <c r="V36" s="640">
        <v>0.28361423905000005</v>
      </c>
      <c r="W36" s="640">
        <v>0</v>
      </c>
      <c r="X36" s="640">
        <v>50.740146891881786</v>
      </c>
      <c r="Y36" s="640">
        <v>132.15121725</v>
      </c>
      <c r="Z36" s="640">
        <v>0</v>
      </c>
      <c r="AA36" s="640">
        <v>0</v>
      </c>
      <c r="AB36" s="640">
        <v>74.953719722222218</v>
      </c>
      <c r="AC36" s="640">
        <v>0</v>
      </c>
      <c r="AD36" s="640">
        <v>0</v>
      </c>
      <c r="AE36" s="640">
        <v>0</v>
      </c>
      <c r="AF36" s="640">
        <v>26.665051666666663</v>
      </c>
      <c r="AG36" s="640">
        <v>1.98639250004</v>
      </c>
      <c r="AH36" s="640">
        <v>159.72207699999998</v>
      </c>
      <c r="AI36" s="640">
        <v>14.980747222222222</v>
      </c>
      <c r="AJ36" s="640">
        <v>0</v>
      </c>
      <c r="AK36" s="648">
        <v>461.48296649208288</v>
      </c>
    </row>
    <row r="37" spans="3:37" x14ac:dyDescent="0.2">
      <c r="C37" s="646" t="s">
        <v>81</v>
      </c>
      <c r="D37" s="640">
        <v>0.40432760307999993</v>
      </c>
      <c r="E37" s="640">
        <v>0</v>
      </c>
      <c r="F37" s="640">
        <v>33.030604242320379</v>
      </c>
      <c r="G37" s="640">
        <v>70.504948999999996</v>
      </c>
      <c r="H37" s="640">
        <v>0</v>
      </c>
      <c r="I37" s="640">
        <v>0</v>
      </c>
      <c r="J37" s="640">
        <v>3.0152302777777784</v>
      </c>
      <c r="K37" s="640">
        <v>1.7780329919637734</v>
      </c>
      <c r="L37" s="640">
        <v>0</v>
      </c>
      <c r="M37" s="640">
        <v>1.4820169444444444</v>
      </c>
      <c r="N37" s="640">
        <v>4.7740327777777782</v>
      </c>
      <c r="O37" s="640">
        <v>0.35231138888888891</v>
      </c>
      <c r="P37" s="640">
        <v>137.76728493000002</v>
      </c>
      <c r="Q37" s="640">
        <v>9.3080608333333341</v>
      </c>
      <c r="R37" s="640">
        <v>0</v>
      </c>
      <c r="S37" s="648">
        <v>262.41685098958635</v>
      </c>
      <c r="U37" s="646" t="s">
        <v>81</v>
      </c>
      <c r="V37" s="640">
        <v>0.40432760307999993</v>
      </c>
      <c r="W37" s="640">
        <v>0</v>
      </c>
      <c r="X37" s="640">
        <v>33.030604242320379</v>
      </c>
      <c r="Y37" s="640">
        <v>70.504948999999996</v>
      </c>
      <c r="Z37" s="640">
        <v>0</v>
      </c>
      <c r="AA37" s="640">
        <v>0</v>
      </c>
      <c r="AB37" s="640">
        <v>3.0152302777777784</v>
      </c>
      <c r="AC37" s="640">
        <v>1.7780329919637734</v>
      </c>
      <c r="AD37" s="640">
        <v>0</v>
      </c>
      <c r="AE37" s="640">
        <v>1.4820169444444444</v>
      </c>
      <c r="AF37" s="640">
        <v>4.7740327777777782</v>
      </c>
      <c r="AG37" s="640">
        <v>0.35231138888888891</v>
      </c>
      <c r="AH37" s="640">
        <v>137.76728493000002</v>
      </c>
      <c r="AI37" s="640">
        <v>9.3080608333333341</v>
      </c>
      <c r="AJ37" s="640">
        <v>0</v>
      </c>
      <c r="AK37" s="648">
        <v>262.41685098958635</v>
      </c>
    </row>
    <row r="38" spans="3:37" x14ac:dyDescent="0.2">
      <c r="C38" s="646" t="s">
        <v>82</v>
      </c>
      <c r="D38" s="640">
        <v>1.6738093710000002E-2</v>
      </c>
      <c r="E38" s="640">
        <v>0</v>
      </c>
      <c r="F38" s="640">
        <v>35.508479849329859</v>
      </c>
      <c r="G38" s="640">
        <v>2.1960534999999997</v>
      </c>
      <c r="H38" s="640">
        <v>0</v>
      </c>
      <c r="I38" s="640">
        <v>0</v>
      </c>
      <c r="J38" s="640">
        <v>1.6964935406677779</v>
      </c>
      <c r="K38" s="640">
        <v>0</v>
      </c>
      <c r="L38" s="640">
        <v>1.834336902240338</v>
      </c>
      <c r="M38" s="640">
        <v>0.43157000000000006</v>
      </c>
      <c r="N38" s="640">
        <v>0</v>
      </c>
      <c r="O38" s="640">
        <v>0.29222750000000003</v>
      </c>
      <c r="P38" s="640">
        <v>8.4794180000000026</v>
      </c>
      <c r="Q38" s="640">
        <v>0.21658055555555558</v>
      </c>
      <c r="R38" s="640">
        <v>0</v>
      </c>
      <c r="S38" s="648">
        <v>50.671897941503538</v>
      </c>
      <c r="U38" s="646" t="s">
        <v>82</v>
      </c>
      <c r="V38" s="640">
        <v>1.6738093710000002E-2</v>
      </c>
      <c r="W38" s="640">
        <v>0</v>
      </c>
      <c r="X38" s="640">
        <v>35.508479849329859</v>
      </c>
      <c r="Y38" s="640">
        <v>2.1960534999999997</v>
      </c>
      <c r="Z38" s="640">
        <v>0</v>
      </c>
      <c r="AA38" s="640">
        <v>0</v>
      </c>
      <c r="AB38" s="640">
        <v>1.6964935406677779</v>
      </c>
      <c r="AC38" s="640">
        <v>0</v>
      </c>
      <c r="AD38" s="640">
        <v>1.834336902240338</v>
      </c>
      <c r="AE38" s="640">
        <v>0.43157000000000006</v>
      </c>
      <c r="AF38" s="640">
        <v>0</v>
      </c>
      <c r="AG38" s="640">
        <v>0.29222750000000003</v>
      </c>
      <c r="AH38" s="640">
        <v>8.4794180000000026</v>
      </c>
      <c r="AI38" s="640">
        <v>0.21658055555555558</v>
      </c>
      <c r="AJ38" s="640">
        <v>0</v>
      </c>
      <c r="AK38" s="648">
        <v>50.671897941503538</v>
      </c>
    </row>
    <row r="39" spans="3:37" x14ac:dyDescent="0.2">
      <c r="C39" s="646" t="s">
        <v>354</v>
      </c>
      <c r="D39" s="640">
        <v>0</v>
      </c>
      <c r="E39" s="640">
        <v>0</v>
      </c>
      <c r="F39" s="640">
        <v>0</v>
      </c>
      <c r="G39" s="640">
        <v>0</v>
      </c>
      <c r="H39" s="640">
        <v>0</v>
      </c>
      <c r="I39" s="640">
        <v>0</v>
      </c>
      <c r="J39" s="640">
        <v>0</v>
      </c>
      <c r="K39" s="640">
        <v>0</v>
      </c>
      <c r="L39" s="640">
        <v>0</v>
      </c>
      <c r="M39" s="640">
        <v>0</v>
      </c>
      <c r="N39" s="640">
        <v>0</v>
      </c>
      <c r="O39" s="640">
        <v>0</v>
      </c>
      <c r="P39" s="640">
        <v>0</v>
      </c>
      <c r="Q39" s="640">
        <v>0</v>
      </c>
      <c r="R39" s="640">
        <v>0</v>
      </c>
      <c r="S39" s="648">
        <v>0</v>
      </c>
      <c r="U39" s="646" t="s">
        <v>354</v>
      </c>
      <c r="V39" s="640">
        <v>0</v>
      </c>
      <c r="W39" s="640">
        <v>0</v>
      </c>
      <c r="X39" s="640">
        <v>0</v>
      </c>
      <c r="Y39" s="640">
        <v>0</v>
      </c>
      <c r="Z39" s="640">
        <v>0</v>
      </c>
      <c r="AA39" s="640">
        <v>0</v>
      </c>
      <c r="AB39" s="640">
        <v>0</v>
      </c>
      <c r="AC39" s="640">
        <v>0</v>
      </c>
      <c r="AD39" s="640">
        <v>0</v>
      </c>
      <c r="AE39" s="640">
        <v>0</v>
      </c>
      <c r="AF39" s="640">
        <v>0</v>
      </c>
      <c r="AG39" s="640">
        <v>0</v>
      </c>
      <c r="AH39" s="640">
        <v>0</v>
      </c>
      <c r="AI39" s="640">
        <v>0</v>
      </c>
      <c r="AJ39" s="640">
        <v>0</v>
      </c>
      <c r="AK39" s="648">
        <v>0</v>
      </c>
    </row>
    <row r="40" spans="3:37" x14ac:dyDescent="0.2">
      <c r="C40" s="644" t="s">
        <v>83</v>
      </c>
      <c r="D40" s="645">
        <v>11.023324562260003</v>
      </c>
      <c r="E40" s="645">
        <v>0</v>
      </c>
      <c r="F40" s="645">
        <v>616.5551097795327</v>
      </c>
      <c r="G40" s="645">
        <v>328.88376325000007</v>
      </c>
      <c r="H40" s="645">
        <v>0</v>
      </c>
      <c r="I40" s="645">
        <v>0</v>
      </c>
      <c r="J40" s="645">
        <v>94.741778818445539</v>
      </c>
      <c r="K40" s="645">
        <v>6.3141660475193291</v>
      </c>
      <c r="L40" s="645">
        <v>40.094052089790857</v>
      </c>
      <c r="M40" s="645">
        <v>2.5089575000000002</v>
      </c>
      <c r="N40" s="645">
        <v>31.43908444444444</v>
      </c>
      <c r="O40" s="645">
        <v>2.6456750000400002</v>
      </c>
      <c r="P40" s="645">
        <v>431.70479999999998</v>
      </c>
      <c r="Q40" s="645">
        <v>43.104436111303606</v>
      </c>
      <c r="R40" s="645">
        <v>0</v>
      </c>
      <c r="S40" s="645">
        <v>1609.0151476033366</v>
      </c>
      <c r="U40" s="644" t="s">
        <v>83</v>
      </c>
      <c r="V40" s="645">
        <v>11.023324562260003</v>
      </c>
      <c r="W40" s="645">
        <v>0</v>
      </c>
      <c r="X40" s="645">
        <v>616.5551097795327</v>
      </c>
      <c r="Y40" s="645">
        <v>328.88376325000007</v>
      </c>
      <c r="Z40" s="645">
        <v>0</v>
      </c>
      <c r="AA40" s="645">
        <v>0</v>
      </c>
      <c r="AB40" s="645">
        <v>94.741778818445539</v>
      </c>
      <c r="AC40" s="645">
        <v>6.3141660475193291</v>
      </c>
      <c r="AD40" s="645">
        <v>40.094052089790857</v>
      </c>
      <c r="AE40" s="645">
        <v>2.5089575000000002</v>
      </c>
      <c r="AF40" s="645">
        <v>31.43908444444444</v>
      </c>
      <c r="AG40" s="645">
        <v>2.6456750000400002</v>
      </c>
      <c r="AH40" s="645">
        <v>431.70479999999998</v>
      </c>
      <c r="AI40" s="645">
        <v>43.104436111303606</v>
      </c>
      <c r="AJ40" s="645">
        <v>0</v>
      </c>
      <c r="AK40" s="645">
        <v>1609.0151476033366</v>
      </c>
    </row>
    <row r="41" spans="3:37" x14ac:dyDescent="0.2">
      <c r="C41" s="639" t="s">
        <v>84</v>
      </c>
      <c r="D41" s="640">
        <v>3.1200159203999993</v>
      </c>
      <c r="E41" s="640">
        <v>0</v>
      </c>
      <c r="F41" s="640">
        <v>139.5725242203051</v>
      </c>
      <c r="G41" s="640">
        <v>13.804214250000001</v>
      </c>
      <c r="H41" s="640">
        <v>0</v>
      </c>
      <c r="I41" s="640">
        <v>0</v>
      </c>
      <c r="J41" s="640">
        <v>0</v>
      </c>
      <c r="K41" s="640">
        <v>0</v>
      </c>
      <c r="L41" s="640">
        <v>0</v>
      </c>
      <c r="M41" s="640">
        <v>0</v>
      </c>
      <c r="N41" s="640">
        <v>0</v>
      </c>
      <c r="O41" s="640">
        <v>0</v>
      </c>
      <c r="P41" s="640">
        <v>0</v>
      </c>
      <c r="Q41" s="640">
        <v>0</v>
      </c>
      <c r="R41" s="640">
        <v>0</v>
      </c>
      <c r="S41" s="648">
        <v>156.49675439070509</v>
      </c>
      <c r="U41" s="639" t="s">
        <v>84</v>
      </c>
      <c r="V41" s="640">
        <v>3.1200159203999993</v>
      </c>
      <c r="W41" s="640">
        <v>0</v>
      </c>
      <c r="X41" s="640">
        <v>139.5725242203051</v>
      </c>
      <c r="Y41" s="640">
        <v>13.804214250000001</v>
      </c>
      <c r="Z41" s="640">
        <v>0</v>
      </c>
      <c r="AA41" s="640">
        <v>0</v>
      </c>
      <c r="AB41" s="640">
        <v>0</v>
      </c>
      <c r="AC41" s="640">
        <v>0</v>
      </c>
      <c r="AD41" s="640">
        <v>0</v>
      </c>
      <c r="AE41" s="640">
        <v>0</v>
      </c>
      <c r="AF41" s="640">
        <v>0</v>
      </c>
      <c r="AG41" s="640">
        <v>0</v>
      </c>
      <c r="AH41" s="640">
        <v>0</v>
      </c>
      <c r="AI41" s="640">
        <v>0</v>
      </c>
      <c r="AJ41" s="640">
        <v>0</v>
      </c>
      <c r="AK41" s="648">
        <v>156.49675439070509</v>
      </c>
    </row>
    <row r="42" spans="3:37" x14ac:dyDescent="0.2">
      <c r="C42" s="644" t="s">
        <v>85</v>
      </c>
      <c r="D42" s="645">
        <v>14.143340482660001</v>
      </c>
      <c r="E42" s="645">
        <v>0</v>
      </c>
      <c r="F42" s="645">
        <v>756.12763399983783</v>
      </c>
      <c r="G42" s="645">
        <v>342.6879775000001</v>
      </c>
      <c r="H42" s="645">
        <v>0</v>
      </c>
      <c r="I42" s="645">
        <v>0</v>
      </c>
      <c r="J42" s="645">
        <v>94.741778818445539</v>
      </c>
      <c r="K42" s="645">
        <v>6.3141660475193291</v>
      </c>
      <c r="L42" s="645">
        <v>40.094052089790857</v>
      </c>
      <c r="M42" s="645">
        <v>2.5089575000000002</v>
      </c>
      <c r="N42" s="645">
        <v>31.43908444444444</v>
      </c>
      <c r="O42" s="645">
        <v>2.6456750000400002</v>
      </c>
      <c r="P42" s="645">
        <v>431.70479999999998</v>
      </c>
      <c r="Q42" s="645">
        <v>43.104436111303606</v>
      </c>
      <c r="R42" s="645">
        <v>0</v>
      </c>
      <c r="S42" s="645">
        <v>1765.5119019940419</v>
      </c>
      <c r="U42" s="644" t="s">
        <v>85</v>
      </c>
      <c r="V42" s="645">
        <v>14.143340482660001</v>
      </c>
      <c r="W42" s="645">
        <v>0</v>
      </c>
      <c r="X42" s="645">
        <v>756.12763399983783</v>
      </c>
      <c r="Y42" s="645">
        <v>342.6879775000001</v>
      </c>
      <c r="Z42" s="645">
        <v>0</v>
      </c>
      <c r="AA42" s="645">
        <v>0</v>
      </c>
      <c r="AB42" s="645">
        <v>94.741778818445539</v>
      </c>
      <c r="AC42" s="645">
        <v>6.3141660475193291</v>
      </c>
      <c r="AD42" s="645">
        <v>40.094052089790857</v>
      </c>
      <c r="AE42" s="645">
        <v>2.5089575000000002</v>
      </c>
      <c r="AF42" s="645">
        <v>31.43908444444444</v>
      </c>
      <c r="AG42" s="645">
        <v>2.6456750000400002</v>
      </c>
      <c r="AH42" s="645">
        <v>431.70479999999998</v>
      </c>
      <c r="AI42" s="645">
        <v>43.104436111303606</v>
      </c>
      <c r="AJ42" s="645">
        <v>0</v>
      </c>
      <c r="AK42" s="645">
        <v>1765.5119019940419</v>
      </c>
    </row>
    <row r="43" spans="3:37" x14ac:dyDescent="0.2">
      <c r="C43" s="634"/>
      <c r="D43" s="651"/>
      <c r="E43" s="651"/>
      <c r="F43" s="651"/>
      <c r="G43" s="651"/>
      <c r="H43" s="651"/>
      <c r="I43" s="651"/>
      <c r="J43" s="651"/>
      <c r="K43" s="651"/>
      <c r="L43" s="651"/>
      <c r="M43" s="651"/>
      <c r="N43" s="651"/>
      <c r="O43" s="651"/>
      <c r="P43" s="651"/>
      <c r="Q43" s="651"/>
      <c r="R43" s="651"/>
      <c r="S43" s="651"/>
      <c r="U43" s="634"/>
      <c r="V43" s="651"/>
      <c r="W43" s="651"/>
      <c r="X43" s="651"/>
      <c r="Y43" s="651"/>
      <c r="Z43" s="651"/>
      <c r="AA43" s="651"/>
      <c r="AB43" s="651"/>
      <c r="AC43" s="651"/>
      <c r="AD43" s="651"/>
      <c r="AE43" s="651"/>
      <c r="AF43" s="651"/>
      <c r="AG43" s="651"/>
      <c r="AH43" s="651"/>
      <c r="AI43" s="651"/>
      <c r="AJ43" s="651"/>
      <c r="AK43" s="651"/>
    </row>
    <row r="44" spans="3:37" x14ac:dyDescent="0.2">
      <c r="C44" s="634"/>
      <c r="D44" s="634"/>
      <c r="E44" s="634"/>
      <c r="F44" s="634"/>
      <c r="G44" s="634"/>
      <c r="H44" s="634"/>
      <c r="I44" s="634"/>
      <c r="J44" s="634"/>
      <c r="K44" s="634"/>
      <c r="L44" s="634"/>
      <c r="M44" s="634"/>
      <c r="N44" s="634"/>
      <c r="O44" s="634"/>
      <c r="P44" s="634"/>
      <c r="Q44" s="634"/>
      <c r="R44" s="634"/>
      <c r="S44" s="634"/>
      <c r="U44" s="634"/>
      <c r="V44" s="634"/>
      <c r="W44" s="634"/>
      <c r="X44" s="634"/>
      <c r="Y44" s="634"/>
      <c r="Z44" s="634"/>
      <c r="AA44" s="634"/>
      <c r="AB44" s="634"/>
      <c r="AC44" s="634"/>
      <c r="AD44" s="634"/>
      <c r="AE44" s="634"/>
      <c r="AF44" s="634"/>
      <c r="AG44" s="634"/>
      <c r="AH44" s="634"/>
      <c r="AI44" s="634"/>
      <c r="AJ44" s="634"/>
      <c r="AK44" s="634"/>
    </row>
    <row r="45" spans="3:37" ht="22.5" x14ac:dyDescent="0.3">
      <c r="C45" s="759" t="s">
        <v>86</v>
      </c>
      <c r="D45" s="759"/>
      <c r="E45" s="759"/>
      <c r="F45" s="759"/>
      <c r="G45" s="759"/>
      <c r="H45" s="759"/>
      <c r="I45" s="759"/>
      <c r="J45" s="759"/>
      <c r="K45" s="759"/>
      <c r="L45" s="759"/>
      <c r="M45" s="759"/>
      <c r="N45" s="759"/>
      <c r="O45" s="759"/>
      <c r="P45" s="759"/>
      <c r="Q45" s="759"/>
      <c r="R45" s="759"/>
      <c r="S45" s="759"/>
      <c r="U45" s="759" t="s">
        <v>86</v>
      </c>
      <c r="V45" s="759"/>
      <c r="W45" s="759"/>
      <c r="X45" s="759"/>
      <c r="Y45" s="759"/>
      <c r="Z45" s="759"/>
      <c r="AA45" s="759"/>
      <c r="AB45" s="759"/>
      <c r="AC45" s="759"/>
      <c r="AD45" s="759"/>
      <c r="AE45" s="759"/>
      <c r="AF45" s="759"/>
      <c r="AG45" s="759"/>
      <c r="AH45" s="759"/>
      <c r="AI45" s="759"/>
      <c r="AJ45" s="759"/>
      <c r="AK45" s="759"/>
    </row>
    <row r="46" spans="3:37" x14ac:dyDescent="0.2">
      <c r="C46" s="634"/>
      <c r="D46" s="634"/>
      <c r="E46" s="634"/>
      <c r="F46" s="634"/>
      <c r="G46" s="634"/>
      <c r="H46" s="634"/>
      <c r="I46" s="634"/>
      <c r="J46" s="634"/>
      <c r="K46" s="634"/>
      <c r="L46" s="634"/>
      <c r="M46" s="634"/>
      <c r="N46" s="634"/>
      <c r="O46" s="634"/>
      <c r="P46" s="634"/>
      <c r="Q46" s="634"/>
      <c r="R46" s="634"/>
      <c r="S46" s="634"/>
      <c r="U46" s="634"/>
      <c r="V46" s="634"/>
      <c r="W46" s="634"/>
      <c r="X46" s="634"/>
      <c r="Y46" s="634"/>
      <c r="Z46" s="634"/>
      <c r="AA46" s="634"/>
      <c r="AB46" s="634"/>
      <c r="AC46" s="634"/>
      <c r="AD46" s="634"/>
      <c r="AE46" s="634"/>
      <c r="AF46" s="634"/>
      <c r="AG46" s="634"/>
      <c r="AH46" s="634"/>
      <c r="AI46" s="634"/>
      <c r="AJ46" s="634"/>
      <c r="AK46" s="634"/>
    </row>
    <row r="47" spans="3:37" ht="12.95" customHeight="1" x14ac:dyDescent="0.2">
      <c r="C47" s="758" t="s">
        <v>128</v>
      </c>
      <c r="D47" s="757" t="s">
        <v>42</v>
      </c>
      <c r="E47" s="757" t="s">
        <v>52</v>
      </c>
      <c r="F47" s="757" t="s">
        <v>53</v>
      </c>
      <c r="G47" s="757" t="s">
        <v>32</v>
      </c>
      <c r="H47" s="757" t="s">
        <v>20</v>
      </c>
      <c r="I47" s="757" t="s">
        <v>55</v>
      </c>
      <c r="J47" s="757" t="s">
        <v>56</v>
      </c>
      <c r="K47" s="757"/>
      <c r="L47" s="757"/>
      <c r="M47" s="757"/>
      <c r="N47" s="757"/>
      <c r="O47" s="757"/>
      <c r="P47" s="757" t="s">
        <v>57</v>
      </c>
      <c r="Q47" s="757" t="s">
        <v>58</v>
      </c>
      <c r="R47" s="757" t="s">
        <v>31</v>
      </c>
      <c r="S47" s="757" t="s">
        <v>10</v>
      </c>
      <c r="U47" s="758" t="s">
        <v>128</v>
      </c>
      <c r="V47" s="757" t="s">
        <v>42</v>
      </c>
      <c r="W47" s="757" t="s">
        <v>52</v>
      </c>
      <c r="X47" s="757" t="s">
        <v>53</v>
      </c>
      <c r="Y47" s="757" t="s">
        <v>32</v>
      </c>
      <c r="Z47" s="757" t="s">
        <v>20</v>
      </c>
      <c r="AA47" s="757" t="s">
        <v>55</v>
      </c>
      <c r="AB47" s="757" t="s">
        <v>56</v>
      </c>
      <c r="AC47" s="757"/>
      <c r="AD47" s="757"/>
      <c r="AE47" s="757"/>
      <c r="AF47" s="757"/>
      <c r="AG47" s="757"/>
      <c r="AH47" s="757" t="s">
        <v>57</v>
      </c>
      <c r="AI47" s="757" t="s">
        <v>58</v>
      </c>
      <c r="AJ47" s="757" t="s">
        <v>31</v>
      </c>
      <c r="AK47" s="757" t="s">
        <v>10</v>
      </c>
    </row>
    <row r="48" spans="3:37" ht="56.25" x14ac:dyDescent="0.2">
      <c r="C48" s="758"/>
      <c r="D48" s="757"/>
      <c r="E48" s="757"/>
      <c r="F48" s="757"/>
      <c r="G48" s="757"/>
      <c r="H48" s="757"/>
      <c r="I48" s="757"/>
      <c r="J48" s="638" t="s">
        <v>335</v>
      </c>
      <c r="K48" s="638" t="s">
        <v>40</v>
      </c>
      <c r="L48" s="638" t="s">
        <v>343</v>
      </c>
      <c r="M48" s="638" t="s">
        <v>344</v>
      </c>
      <c r="N48" s="638" t="s">
        <v>345</v>
      </c>
      <c r="O48" s="638" t="s">
        <v>346</v>
      </c>
      <c r="P48" s="757"/>
      <c r="Q48" s="757"/>
      <c r="R48" s="757"/>
      <c r="S48" s="757"/>
      <c r="U48" s="758"/>
      <c r="V48" s="757"/>
      <c r="W48" s="757"/>
      <c r="X48" s="757"/>
      <c r="Y48" s="757"/>
      <c r="Z48" s="757"/>
      <c r="AA48" s="757"/>
      <c r="AB48" s="638" t="s">
        <v>335</v>
      </c>
      <c r="AC48" s="638" t="s">
        <v>40</v>
      </c>
      <c r="AD48" s="638" t="s">
        <v>343</v>
      </c>
      <c r="AE48" s="638" t="s">
        <v>344</v>
      </c>
      <c r="AF48" s="638" t="s">
        <v>345</v>
      </c>
      <c r="AG48" s="638" t="s">
        <v>346</v>
      </c>
      <c r="AH48" s="757"/>
      <c r="AI48" s="757"/>
      <c r="AJ48" s="757"/>
      <c r="AK48" s="757"/>
    </row>
    <row r="49" spans="3:37" x14ac:dyDescent="0.2">
      <c r="C49" s="639" t="s">
        <v>59</v>
      </c>
      <c r="D49" s="640">
        <v>0</v>
      </c>
      <c r="E49" s="641">
        <v>9.7977867342210008</v>
      </c>
      <c r="F49" s="641">
        <v>0</v>
      </c>
      <c r="G49" s="640">
        <v>0.18111850000000002</v>
      </c>
      <c r="H49" s="641">
        <v>1072.2208090909091</v>
      </c>
      <c r="I49" s="641">
        <v>115.72304451809002</v>
      </c>
      <c r="J49" s="641">
        <v>114.24305924309452</v>
      </c>
      <c r="K49" s="641">
        <v>33.631608055405756</v>
      </c>
      <c r="L49" s="641">
        <v>0</v>
      </c>
      <c r="M49" s="641">
        <v>9.2815441223735728</v>
      </c>
      <c r="N49" s="641">
        <v>32.908596666666668</v>
      </c>
      <c r="O49" s="641">
        <v>8.1133079726239394</v>
      </c>
      <c r="P49" s="642">
        <v>0</v>
      </c>
      <c r="Q49" s="641">
        <v>0</v>
      </c>
      <c r="R49" s="641">
        <v>0</v>
      </c>
      <c r="S49" s="643">
        <v>1396.1008749033845</v>
      </c>
      <c r="U49" s="639" t="s">
        <v>59</v>
      </c>
      <c r="V49" s="640">
        <v>0</v>
      </c>
      <c r="W49" s="641">
        <v>9.7977867342210008</v>
      </c>
      <c r="X49" s="641">
        <v>0</v>
      </c>
      <c r="Y49" s="640">
        <v>0.18111850000000002</v>
      </c>
      <c r="Z49" s="641">
        <v>1072.2208090909091</v>
      </c>
      <c r="AA49" s="641">
        <v>115.72304451809002</v>
      </c>
      <c r="AB49" s="641">
        <v>114.24305924309452</v>
      </c>
      <c r="AC49" s="641">
        <v>33.631608055405756</v>
      </c>
      <c r="AD49" s="641">
        <v>0</v>
      </c>
      <c r="AE49" s="641">
        <v>9.2815441223735728</v>
      </c>
      <c r="AF49" s="641">
        <v>32.908596666666668</v>
      </c>
      <c r="AG49" s="641">
        <v>8.1133079726239394</v>
      </c>
      <c r="AH49" s="642">
        <v>0</v>
      </c>
      <c r="AI49" s="641">
        <v>0</v>
      </c>
      <c r="AJ49" s="641">
        <v>0</v>
      </c>
      <c r="AK49" s="643">
        <v>1396.1008749033845</v>
      </c>
    </row>
    <row r="50" spans="3:37" x14ac:dyDescent="0.2">
      <c r="C50" s="639" t="s">
        <v>60</v>
      </c>
      <c r="D50" s="640">
        <v>59.346560356893349</v>
      </c>
      <c r="E50" s="641">
        <v>394.73997109464659</v>
      </c>
      <c r="F50" s="641">
        <v>515.26337584814883</v>
      </c>
      <c r="G50" s="640">
        <v>479.42224425000006</v>
      </c>
      <c r="H50" s="641">
        <v>0</v>
      </c>
      <c r="I50" s="641">
        <v>0</v>
      </c>
      <c r="J50" s="641">
        <v>2.6631252777777781</v>
      </c>
      <c r="K50" s="641">
        <v>0</v>
      </c>
      <c r="L50" s="641">
        <v>13.962014778928699</v>
      </c>
      <c r="M50" s="641">
        <v>0</v>
      </c>
      <c r="N50" s="641">
        <v>0</v>
      </c>
      <c r="O50" s="641">
        <v>0</v>
      </c>
      <c r="P50" s="642">
        <v>19.536102</v>
      </c>
      <c r="Q50" s="641">
        <v>0</v>
      </c>
      <c r="R50" s="641">
        <v>0</v>
      </c>
      <c r="S50" s="643">
        <v>1484.9333936063952</v>
      </c>
      <c r="U50" s="639" t="s">
        <v>60</v>
      </c>
      <c r="V50" s="640">
        <v>59.346560356893349</v>
      </c>
      <c r="W50" s="641">
        <v>394.73997109464659</v>
      </c>
      <c r="X50" s="641">
        <v>515.26337584814883</v>
      </c>
      <c r="Y50" s="640">
        <v>479.42224425000006</v>
      </c>
      <c r="Z50" s="641">
        <v>0</v>
      </c>
      <c r="AA50" s="641">
        <v>0</v>
      </c>
      <c r="AB50" s="641">
        <v>2.6631252777777781</v>
      </c>
      <c r="AC50" s="641">
        <v>0</v>
      </c>
      <c r="AD50" s="641">
        <v>13.962014778928699</v>
      </c>
      <c r="AE50" s="641">
        <v>0</v>
      </c>
      <c r="AF50" s="641">
        <v>0</v>
      </c>
      <c r="AG50" s="641">
        <v>0</v>
      </c>
      <c r="AH50" s="642">
        <v>19.536102</v>
      </c>
      <c r="AI50" s="641">
        <v>0</v>
      </c>
      <c r="AJ50" s="641">
        <v>0</v>
      </c>
      <c r="AK50" s="643">
        <v>1484.9333936063952</v>
      </c>
    </row>
    <row r="51" spans="3:37" x14ac:dyDescent="0.2">
      <c r="C51" s="639" t="s">
        <v>61</v>
      </c>
      <c r="D51" s="640">
        <v>-9.6972882210000014E-2</v>
      </c>
      <c r="E51" s="641">
        <v>-1.4488664385590002</v>
      </c>
      <c r="F51" s="641">
        <v>-154.00833143808623</v>
      </c>
      <c r="G51" s="640">
        <v>-95.022441999999998</v>
      </c>
      <c r="H51" s="641">
        <v>0</v>
      </c>
      <c r="I51" s="641">
        <v>0</v>
      </c>
      <c r="J51" s="641">
        <v>-2.0287163888888888</v>
      </c>
      <c r="K51" s="641">
        <v>0</v>
      </c>
      <c r="L51" s="641">
        <v>-7.1333416709442901</v>
      </c>
      <c r="M51" s="641">
        <v>0</v>
      </c>
      <c r="N51" s="641">
        <v>0</v>
      </c>
      <c r="O51" s="641">
        <v>0</v>
      </c>
      <c r="P51" s="642">
        <v>-64.575296000000009</v>
      </c>
      <c r="Q51" s="641">
        <v>0</v>
      </c>
      <c r="R51" s="641">
        <v>0</v>
      </c>
      <c r="S51" s="643">
        <v>-324.31396681868836</v>
      </c>
      <c r="U51" s="639" t="s">
        <v>61</v>
      </c>
      <c r="V51" s="640">
        <v>-9.6972882210000014E-2</v>
      </c>
      <c r="W51" s="641">
        <v>-1.4488664385590002</v>
      </c>
      <c r="X51" s="641">
        <v>-154.00833143808623</v>
      </c>
      <c r="Y51" s="640">
        <v>-95.022441999999998</v>
      </c>
      <c r="Z51" s="641">
        <v>0</v>
      </c>
      <c r="AA51" s="641">
        <v>0</v>
      </c>
      <c r="AB51" s="641">
        <v>-2.0287163888888888</v>
      </c>
      <c r="AC51" s="641">
        <v>0</v>
      </c>
      <c r="AD51" s="641">
        <v>-7.1333416709442901</v>
      </c>
      <c r="AE51" s="641">
        <v>0</v>
      </c>
      <c r="AF51" s="641">
        <v>0</v>
      </c>
      <c r="AG51" s="641">
        <v>0</v>
      </c>
      <c r="AH51" s="642">
        <v>-64.575296000000009</v>
      </c>
      <c r="AI51" s="641">
        <v>0</v>
      </c>
      <c r="AJ51" s="641">
        <v>0</v>
      </c>
      <c r="AK51" s="643">
        <v>-324.31396681868836</v>
      </c>
    </row>
    <row r="52" spans="3:37" x14ac:dyDescent="0.2">
      <c r="C52" s="639" t="s">
        <v>62</v>
      </c>
      <c r="D52" s="640">
        <v>0</v>
      </c>
      <c r="E52" s="641">
        <v>0</v>
      </c>
      <c r="F52" s="641">
        <v>-11.254966292131096</v>
      </c>
      <c r="G52" s="640">
        <v>0</v>
      </c>
      <c r="H52" s="641">
        <v>0</v>
      </c>
      <c r="I52" s="641">
        <v>0</v>
      </c>
      <c r="J52" s="641">
        <v>0</v>
      </c>
      <c r="K52" s="641">
        <v>0</v>
      </c>
      <c r="L52" s="641">
        <v>0</v>
      </c>
      <c r="M52" s="641">
        <v>0</v>
      </c>
      <c r="N52" s="641">
        <v>0</v>
      </c>
      <c r="O52" s="641">
        <v>0</v>
      </c>
      <c r="P52" s="642">
        <v>0</v>
      </c>
      <c r="Q52" s="641">
        <v>0</v>
      </c>
      <c r="R52" s="641">
        <v>0</v>
      </c>
      <c r="S52" s="643">
        <v>-11.254966292131096</v>
      </c>
      <c r="U52" s="639" t="s">
        <v>62</v>
      </c>
      <c r="V52" s="640">
        <v>0</v>
      </c>
      <c r="W52" s="641">
        <v>0</v>
      </c>
      <c r="X52" s="641">
        <v>-11.254966292131096</v>
      </c>
      <c r="Y52" s="640">
        <v>0</v>
      </c>
      <c r="Z52" s="641">
        <v>0</v>
      </c>
      <c r="AA52" s="641">
        <v>0</v>
      </c>
      <c r="AB52" s="641">
        <v>0</v>
      </c>
      <c r="AC52" s="641">
        <v>0</v>
      </c>
      <c r="AD52" s="641">
        <v>0</v>
      </c>
      <c r="AE52" s="641">
        <v>0</v>
      </c>
      <c r="AF52" s="641">
        <v>0</v>
      </c>
      <c r="AG52" s="641">
        <v>0</v>
      </c>
      <c r="AH52" s="642">
        <v>0</v>
      </c>
      <c r="AI52" s="641">
        <v>0</v>
      </c>
      <c r="AJ52" s="641">
        <v>0</v>
      </c>
      <c r="AK52" s="643">
        <v>-11.254966292131096</v>
      </c>
    </row>
    <row r="53" spans="3:37" x14ac:dyDescent="0.2">
      <c r="C53" s="639" t="s">
        <v>63</v>
      </c>
      <c r="D53" s="640">
        <v>0</v>
      </c>
      <c r="E53" s="641">
        <v>0</v>
      </c>
      <c r="F53" s="641">
        <v>-37.45524104092592</v>
      </c>
      <c r="G53" s="640">
        <v>0</v>
      </c>
      <c r="H53" s="641">
        <v>0</v>
      </c>
      <c r="I53" s="641">
        <v>0</v>
      </c>
      <c r="J53" s="641">
        <v>0</v>
      </c>
      <c r="K53" s="641">
        <v>0</v>
      </c>
      <c r="L53" s="641">
        <v>0</v>
      </c>
      <c r="M53" s="641">
        <v>0</v>
      </c>
      <c r="N53" s="641">
        <v>0</v>
      </c>
      <c r="O53" s="641">
        <v>0</v>
      </c>
      <c r="P53" s="642">
        <v>0</v>
      </c>
      <c r="Q53" s="641">
        <v>0</v>
      </c>
      <c r="R53" s="641">
        <v>0</v>
      </c>
      <c r="S53" s="643">
        <v>-37.45524104092592</v>
      </c>
      <c r="U53" s="639" t="s">
        <v>63</v>
      </c>
      <c r="V53" s="640">
        <v>0</v>
      </c>
      <c r="W53" s="641">
        <v>0</v>
      </c>
      <c r="X53" s="641">
        <v>-37.45524104092592</v>
      </c>
      <c r="Y53" s="640">
        <v>0</v>
      </c>
      <c r="Z53" s="641">
        <v>0</v>
      </c>
      <c r="AA53" s="641">
        <v>0</v>
      </c>
      <c r="AB53" s="641">
        <v>0</v>
      </c>
      <c r="AC53" s="641">
        <v>0</v>
      </c>
      <c r="AD53" s="641">
        <v>0</v>
      </c>
      <c r="AE53" s="641">
        <v>0</v>
      </c>
      <c r="AF53" s="641">
        <v>0</v>
      </c>
      <c r="AG53" s="641">
        <v>0</v>
      </c>
      <c r="AH53" s="642">
        <v>0</v>
      </c>
      <c r="AI53" s="641">
        <v>0</v>
      </c>
      <c r="AJ53" s="641">
        <v>0</v>
      </c>
      <c r="AK53" s="643">
        <v>-37.45524104092592</v>
      </c>
    </row>
    <row r="54" spans="3:37" x14ac:dyDescent="0.2">
      <c r="C54" s="639" t="s">
        <v>64</v>
      </c>
      <c r="D54" s="640">
        <v>2.2754338241033341</v>
      </c>
      <c r="E54" s="641">
        <v>1.7895047303380001</v>
      </c>
      <c r="F54" s="641">
        <v>-1.4741451662241043</v>
      </c>
      <c r="G54" s="640">
        <v>21.247482000000002</v>
      </c>
      <c r="H54" s="641">
        <v>0</v>
      </c>
      <c r="I54" s="641">
        <v>0</v>
      </c>
      <c r="J54" s="641">
        <v>0</v>
      </c>
      <c r="K54" s="641">
        <v>0</v>
      </c>
      <c r="L54" s="641">
        <v>0</v>
      </c>
      <c r="M54" s="641">
        <v>0</v>
      </c>
      <c r="N54" s="641">
        <v>0</v>
      </c>
      <c r="O54" s="641">
        <v>0</v>
      </c>
      <c r="P54" s="642">
        <v>0</v>
      </c>
      <c r="Q54" s="641">
        <v>0</v>
      </c>
      <c r="R54" s="641">
        <v>0</v>
      </c>
      <c r="S54" s="643">
        <v>23.838275388217234</v>
      </c>
      <c r="U54" s="639" t="s">
        <v>64</v>
      </c>
      <c r="V54" s="640">
        <v>2.2754338241033341</v>
      </c>
      <c r="W54" s="641">
        <v>1.7895047303380001</v>
      </c>
      <c r="X54" s="641">
        <v>-1.4741451662241043</v>
      </c>
      <c r="Y54" s="640">
        <v>21.247482000000002</v>
      </c>
      <c r="Z54" s="641">
        <v>0</v>
      </c>
      <c r="AA54" s="641">
        <v>0</v>
      </c>
      <c r="AB54" s="641">
        <v>0</v>
      </c>
      <c r="AC54" s="641">
        <v>0</v>
      </c>
      <c r="AD54" s="641">
        <v>0</v>
      </c>
      <c r="AE54" s="641">
        <v>0</v>
      </c>
      <c r="AF54" s="641">
        <v>0</v>
      </c>
      <c r="AG54" s="641">
        <v>0</v>
      </c>
      <c r="AH54" s="642">
        <v>0</v>
      </c>
      <c r="AI54" s="641">
        <v>0</v>
      </c>
      <c r="AJ54" s="641">
        <v>0</v>
      </c>
      <c r="AK54" s="643">
        <v>23.838275388217234</v>
      </c>
    </row>
    <row r="55" spans="3:37" x14ac:dyDescent="0.2">
      <c r="C55" s="644" t="s">
        <v>65</v>
      </c>
      <c r="D55" s="645">
        <v>61.52502129878669</v>
      </c>
      <c r="E55" s="645">
        <v>404.87839612064664</v>
      </c>
      <c r="F55" s="645">
        <v>311.07069191078136</v>
      </c>
      <c r="G55" s="645">
        <v>405.82840275000007</v>
      </c>
      <c r="H55" s="645">
        <v>1072.2208090909091</v>
      </c>
      <c r="I55" s="645">
        <v>115.72304451809002</v>
      </c>
      <c r="J55" s="645">
        <v>114.87746813198341</v>
      </c>
      <c r="K55" s="645">
        <v>33.631608055405756</v>
      </c>
      <c r="L55" s="645">
        <v>6.8286731079844092</v>
      </c>
      <c r="M55" s="645">
        <v>9.2815441223735728</v>
      </c>
      <c r="N55" s="645">
        <v>32.908596666666668</v>
      </c>
      <c r="O55" s="645">
        <v>8.1133079726239394</v>
      </c>
      <c r="P55" s="645">
        <v>-45.039194000000009</v>
      </c>
      <c r="Q55" s="645">
        <v>0</v>
      </c>
      <c r="R55" s="645">
        <v>0</v>
      </c>
      <c r="S55" s="645">
        <v>2531.8483697462511</v>
      </c>
      <c r="U55" s="644" t="s">
        <v>65</v>
      </c>
      <c r="V55" s="645">
        <v>61.52502129878669</v>
      </c>
      <c r="W55" s="645">
        <v>404.87839612064664</v>
      </c>
      <c r="X55" s="645">
        <v>311.07069191078136</v>
      </c>
      <c r="Y55" s="645">
        <v>405.82840275000007</v>
      </c>
      <c r="Z55" s="645">
        <v>1072.2208090909091</v>
      </c>
      <c r="AA55" s="645">
        <v>115.72304451809002</v>
      </c>
      <c r="AB55" s="645">
        <v>114.87746813198341</v>
      </c>
      <c r="AC55" s="645">
        <v>33.631608055405756</v>
      </c>
      <c r="AD55" s="645">
        <v>6.8286731079844092</v>
      </c>
      <c r="AE55" s="645">
        <v>9.2815441223735728</v>
      </c>
      <c r="AF55" s="645">
        <v>32.908596666666668</v>
      </c>
      <c r="AG55" s="645">
        <v>8.1133079726239394</v>
      </c>
      <c r="AH55" s="645">
        <v>-45.039194000000009</v>
      </c>
      <c r="AI55" s="645">
        <v>0</v>
      </c>
      <c r="AJ55" s="645">
        <v>0</v>
      </c>
      <c r="AK55" s="645">
        <v>2531.8483697462511</v>
      </c>
    </row>
    <row r="56" spans="3:37" x14ac:dyDescent="0.2">
      <c r="C56" s="634"/>
      <c r="D56" s="634"/>
      <c r="E56" s="634"/>
      <c r="F56" s="634"/>
      <c r="G56" s="634"/>
      <c r="H56" s="634"/>
      <c r="I56" s="634"/>
      <c r="J56" s="634"/>
      <c r="K56" s="634"/>
      <c r="L56" s="634"/>
      <c r="M56" s="634"/>
      <c r="N56" s="634"/>
      <c r="O56" s="634"/>
      <c r="P56" s="634"/>
      <c r="Q56" s="634"/>
      <c r="R56" s="634"/>
      <c r="S56" s="634"/>
      <c r="U56" s="634"/>
      <c r="V56" s="634"/>
      <c r="W56" s="634"/>
      <c r="X56" s="634"/>
      <c r="Y56" s="634"/>
      <c r="Z56" s="634"/>
      <c r="AA56" s="634"/>
      <c r="AB56" s="634"/>
      <c r="AC56" s="634"/>
      <c r="AD56" s="634"/>
      <c r="AE56" s="634"/>
      <c r="AF56" s="634"/>
      <c r="AG56" s="634"/>
      <c r="AH56" s="634"/>
      <c r="AI56" s="634"/>
      <c r="AJ56" s="634"/>
      <c r="AK56" s="634"/>
    </row>
    <row r="57" spans="3:37" x14ac:dyDescent="0.2">
      <c r="C57" s="646" t="s">
        <v>67</v>
      </c>
      <c r="D57" s="640">
        <v>-3.1696853392377875</v>
      </c>
      <c r="E57" s="647">
        <v>7.594656734105321</v>
      </c>
      <c r="F57" s="647">
        <v>3.8234994290490683</v>
      </c>
      <c r="G57" s="640">
        <v>-0.68950250000000013</v>
      </c>
      <c r="H57" s="640">
        <v>0</v>
      </c>
      <c r="I57" s="640">
        <v>0</v>
      </c>
      <c r="J57" s="640">
        <v>0</v>
      </c>
      <c r="K57" s="640">
        <v>0</v>
      </c>
      <c r="L57" s="640">
        <v>0</v>
      </c>
      <c r="M57" s="640">
        <v>0</v>
      </c>
      <c r="N57" s="640">
        <v>0</v>
      </c>
      <c r="O57" s="640">
        <v>0</v>
      </c>
      <c r="P57" s="640">
        <v>2.0843062301020092</v>
      </c>
      <c r="Q57" s="640">
        <v>0</v>
      </c>
      <c r="R57" s="640">
        <v>0</v>
      </c>
      <c r="S57" s="648">
        <v>9.6432745540186122</v>
      </c>
      <c r="U57" s="646" t="s">
        <v>67</v>
      </c>
      <c r="V57" s="640">
        <v>-3.1696853392377875</v>
      </c>
      <c r="W57" s="647">
        <v>7.594656734105321</v>
      </c>
      <c r="X57" s="647">
        <v>3.8234994290490683</v>
      </c>
      <c r="Y57" s="640">
        <v>-0.68950250000000013</v>
      </c>
      <c r="Z57" s="640">
        <v>0</v>
      </c>
      <c r="AA57" s="640">
        <v>0</v>
      </c>
      <c r="AB57" s="640">
        <v>0</v>
      </c>
      <c r="AC57" s="640">
        <v>0</v>
      </c>
      <c r="AD57" s="640">
        <v>0</v>
      </c>
      <c r="AE57" s="640">
        <v>0</v>
      </c>
      <c r="AF57" s="640">
        <v>0</v>
      </c>
      <c r="AG57" s="640">
        <v>0</v>
      </c>
      <c r="AH57" s="640">
        <v>2.0843062301020092</v>
      </c>
      <c r="AI57" s="640">
        <v>0</v>
      </c>
      <c r="AJ57" s="640">
        <v>0</v>
      </c>
      <c r="AK57" s="648">
        <v>9.6432745540186122</v>
      </c>
    </row>
    <row r="58" spans="3:37" x14ac:dyDescent="0.2">
      <c r="C58" s="646" t="s">
        <v>347</v>
      </c>
      <c r="D58" s="640">
        <v>14.864431241687887</v>
      </c>
      <c r="E58" s="640">
        <v>0</v>
      </c>
      <c r="F58" s="640">
        <v>13.418152502737103</v>
      </c>
      <c r="G58" s="640">
        <v>55.436136268601025</v>
      </c>
      <c r="H58" s="640">
        <v>1072.2208090909091</v>
      </c>
      <c r="I58" s="640">
        <v>115.67142051809002</v>
      </c>
      <c r="J58" s="649">
        <v>17.347825951117827</v>
      </c>
      <c r="K58" s="649">
        <v>11.678824122543197</v>
      </c>
      <c r="L58" s="649">
        <v>0</v>
      </c>
      <c r="M58" s="649">
        <v>5.2886919634287652</v>
      </c>
      <c r="N58" s="649">
        <v>0</v>
      </c>
      <c r="O58" s="649">
        <v>1.3922112325408571</v>
      </c>
      <c r="P58" s="640">
        <v>-527.28039181222232</v>
      </c>
      <c r="Q58" s="640">
        <v>0</v>
      </c>
      <c r="R58" s="640">
        <v>0</v>
      </c>
      <c r="S58" s="648">
        <v>780.03811107943307</v>
      </c>
      <c r="U58" s="646" t="s">
        <v>347</v>
      </c>
      <c r="V58" s="640">
        <v>14.864431241687887</v>
      </c>
      <c r="W58" s="640">
        <v>0</v>
      </c>
      <c r="X58" s="640">
        <v>13.418152502737103</v>
      </c>
      <c r="Y58" s="640">
        <v>55.436136268601025</v>
      </c>
      <c r="Z58" s="640">
        <v>1072.2208090909091</v>
      </c>
      <c r="AA58" s="640">
        <v>115.67142051809002</v>
      </c>
      <c r="AB58" s="649">
        <v>17.347825951117827</v>
      </c>
      <c r="AC58" s="649">
        <v>11.678824122543197</v>
      </c>
      <c r="AD58" s="649">
        <v>0</v>
      </c>
      <c r="AE58" s="649">
        <v>5.2886919634287652</v>
      </c>
      <c r="AF58" s="649">
        <v>0</v>
      </c>
      <c r="AG58" s="649">
        <v>1.3922112325408571</v>
      </c>
      <c r="AH58" s="640">
        <v>-527.28039181222232</v>
      </c>
      <c r="AI58" s="640">
        <v>0</v>
      </c>
      <c r="AJ58" s="640">
        <v>0</v>
      </c>
      <c r="AK58" s="648">
        <v>780.03811107943307</v>
      </c>
    </row>
    <row r="59" spans="3:37" x14ac:dyDescent="0.2">
      <c r="C59" s="646" t="s">
        <v>348</v>
      </c>
      <c r="D59" s="640">
        <v>1.5729367626898902</v>
      </c>
      <c r="E59" s="640">
        <v>0</v>
      </c>
      <c r="F59" s="640">
        <v>0.20358189452574635</v>
      </c>
      <c r="G59" s="640">
        <v>21.08911448139898</v>
      </c>
      <c r="H59" s="640">
        <v>0</v>
      </c>
      <c r="I59" s="640">
        <v>0</v>
      </c>
      <c r="J59" s="649">
        <v>7.8982729217883261</v>
      </c>
      <c r="K59" s="649">
        <v>16.49482411485047</v>
      </c>
      <c r="L59" s="649">
        <v>0</v>
      </c>
      <c r="M59" s="649">
        <v>3.0673174902469076</v>
      </c>
      <c r="N59" s="649">
        <v>0.25705111111111106</v>
      </c>
      <c r="O59" s="649">
        <v>3.9939867016268904</v>
      </c>
      <c r="P59" s="640">
        <v>0</v>
      </c>
      <c r="Q59" s="640">
        <v>-45.831488617908406</v>
      </c>
      <c r="R59" s="640">
        <v>0</v>
      </c>
      <c r="S59" s="648">
        <v>8.7455968603299254</v>
      </c>
      <c r="U59" s="646" t="s">
        <v>348</v>
      </c>
      <c r="V59" s="640">
        <v>1.5729367626898902</v>
      </c>
      <c r="W59" s="640">
        <v>0</v>
      </c>
      <c r="X59" s="640">
        <v>0.20358189452574635</v>
      </c>
      <c r="Y59" s="640">
        <v>21.08911448139898</v>
      </c>
      <c r="Z59" s="640">
        <v>0</v>
      </c>
      <c r="AA59" s="640">
        <v>0</v>
      </c>
      <c r="AB59" s="649">
        <v>7.8982729217883261</v>
      </c>
      <c r="AC59" s="649">
        <v>16.49482411485047</v>
      </c>
      <c r="AD59" s="649">
        <v>0</v>
      </c>
      <c r="AE59" s="649">
        <v>3.0673174902469076</v>
      </c>
      <c r="AF59" s="649">
        <v>0.25705111111111106</v>
      </c>
      <c r="AG59" s="649">
        <v>3.9939867016268904</v>
      </c>
      <c r="AH59" s="640">
        <v>0</v>
      </c>
      <c r="AI59" s="640">
        <v>-45.831488617908406</v>
      </c>
      <c r="AJ59" s="640">
        <v>0</v>
      </c>
      <c r="AK59" s="648">
        <v>8.7455968603299254</v>
      </c>
    </row>
    <row r="60" spans="3:37" x14ac:dyDescent="0.2">
      <c r="C60" s="646" t="s">
        <v>349</v>
      </c>
      <c r="D60" s="640">
        <v>0</v>
      </c>
      <c r="E60" s="640">
        <v>0</v>
      </c>
      <c r="F60" s="640">
        <v>0</v>
      </c>
      <c r="G60" s="640">
        <v>0</v>
      </c>
      <c r="H60" s="640">
        <v>0</v>
      </c>
      <c r="I60" s="640">
        <v>0</v>
      </c>
      <c r="J60" s="650">
        <v>0</v>
      </c>
      <c r="K60" s="650">
        <v>0</v>
      </c>
      <c r="L60" s="650">
        <v>0</v>
      </c>
      <c r="M60" s="650">
        <v>-1.9873640000000001</v>
      </c>
      <c r="N60" s="650">
        <v>0</v>
      </c>
      <c r="O60" s="650">
        <v>0</v>
      </c>
      <c r="P60" s="640">
        <v>0</v>
      </c>
      <c r="Q60" s="640">
        <v>0</v>
      </c>
      <c r="R60" s="640">
        <v>0</v>
      </c>
      <c r="S60" s="648">
        <v>-1.9873640000000001</v>
      </c>
      <c r="U60" s="646" t="s">
        <v>349</v>
      </c>
      <c r="V60" s="640">
        <v>0</v>
      </c>
      <c r="W60" s="640">
        <v>0</v>
      </c>
      <c r="X60" s="640">
        <v>0</v>
      </c>
      <c r="Y60" s="640">
        <v>0</v>
      </c>
      <c r="Z60" s="640">
        <v>0</v>
      </c>
      <c r="AA60" s="640">
        <v>0</v>
      </c>
      <c r="AB60" s="650">
        <v>0</v>
      </c>
      <c r="AC60" s="650">
        <v>0</v>
      </c>
      <c r="AD60" s="650">
        <v>0</v>
      </c>
      <c r="AE60" s="650">
        <v>-1.9873640000000001</v>
      </c>
      <c r="AF60" s="650">
        <v>0</v>
      </c>
      <c r="AG60" s="650">
        <v>0</v>
      </c>
      <c r="AH60" s="640">
        <v>0</v>
      </c>
      <c r="AI60" s="640">
        <v>0</v>
      </c>
      <c r="AJ60" s="640">
        <v>0</v>
      </c>
      <c r="AK60" s="648">
        <v>-1.9873640000000001</v>
      </c>
    </row>
    <row r="61" spans="3:37" x14ac:dyDescent="0.2">
      <c r="C61" s="646" t="s">
        <v>350</v>
      </c>
      <c r="D61" s="640">
        <v>0</v>
      </c>
      <c r="E61" s="640">
        <v>0</v>
      </c>
      <c r="F61" s="640">
        <v>0</v>
      </c>
      <c r="G61" s="640">
        <v>0</v>
      </c>
      <c r="H61" s="640">
        <v>0</v>
      </c>
      <c r="I61" s="640">
        <v>0</v>
      </c>
      <c r="J61" s="640">
        <v>0</v>
      </c>
      <c r="K61" s="640">
        <v>0</v>
      </c>
      <c r="L61" s="640">
        <v>0</v>
      </c>
      <c r="M61" s="640">
        <v>0</v>
      </c>
      <c r="N61" s="640">
        <v>0</v>
      </c>
      <c r="O61" s="640">
        <v>0</v>
      </c>
      <c r="P61" s="640">
        <v>0</v>
      </c>
      <c r="Q61" s="640">
        <v>0</v>
      </c>
      <c r="R61" s="640">
        <v>0</v>
      </c>
      <c r="S61" s="648">
        <v>0</v>
      </c>
      <c r="U61" s="646" t="s">
        <v>350</v>
      </c>
      <c r="V61" s="640">
        <v>0</v>
      </c>
      <c r="W61" s="640">
        <v>0</v>
      </c>
      <c r="X61" s="640">
        <v>0</v>
      </c>
      <c r="Y61" s="640">
        <v>0</v>
      </c>
      <c r="Z61" s="640">
        <v>0</v>
      </c>
      <c r="AA61" s="640">
        <v>0</v>
      </c>
      <c r="AB61" s="640">
        <v>0</v>
      </c>
      <c r="AC61" s="640">
        <v>0</v>
      </c>
      <c r="AD61" s="640">
        <v>0</v>
      </c>
      <c r="AE61" s="640">
        <v>0</v>
      </c>
      <c r="AF61" s="640">
        <v>0</v>
      </c>
      <c r="AG61" s="640">
        <v>0</v>
      </c>
      <c r="AH61" s="640">
        <v>0</v>
      </c>
      <c r="AI61" s="640">
        <v>0</v>
      </c>
      <c r="AJ61" s="640">
        <v>0</v>
      </c>
      <c r="AK61" s="648">
        <v>0</v>
      </c>
    </row>
    <row r="62" spans="3:37" x14ac:dyDescent="0.2">
      <c r="C62" s="646" t="s">
        <v>72</v>
      </c>
      <c r="D62" s="640">
        <v>0</v>
      </c>
      <c r="E62" s="640">
        <v>440.59076600316865</v>
      </c>
      <c r="F62" s="640">
        <v>-437.66600779015403</v>
      </c>
      <c r="G62" s="640">
        <v>0</v>
      </c>
      <c r="H62" s="640">
        <v>0</v>
      </c>
      <c r="I62" s="640">
        <v>0</v>
      </c>
      <c r="J62" s="640">
        <v>0</v>
      </c>
      <c r="K62" s="640">
        <v>0</v>
      </c>
      <c r="L62" s="640">
        <v>0</v>
      </c>
      <c r="M62" s="640">
        <v>0</v>
      </c>
      <c r="N62" s="640">
        <v>0</v>
      </c>
      <c r="O62" s="640">
        <v>0</v>
      </c>
      <c r="P62" s="640">
        <v>0</v>
      </c>
      <c r="Q62" s="640">
        <v>0</v>
      </c>
      <c r="R62" s="640">
        <v>0</v>
      </c>
      <c r="S62" s="648">
        <v>2.9247582130146133</v>
      </c>
      <c r="U62" s="646" t="s">
        <v>72</v>
      </c>
      <c r="V62" s="640">
        <v>0</v>
      </c>
      <c r="W62" s="640">
        <v>440.59076600316865</v>
      </c>
      <c r="X62" s="640">
        <v>-437.66600779015403</v>
      </c>
      <c r="Y62" s="640">
        <v>0</v>
      </c>
      <c r="Z62" s="640">
        <v>0</v>
      </c>
      <c r="AA62" s="640">
        <v>0</v>
      </c>
      <c r="AB62" s="640">
        <v>0</v>
      </c>
      <c r="AC62" s="640">
        <v>0</v>
      </c>
      <c r="AD62" s="640">
        <v>0</v>
      </c>
      <c r="AE62" s="640">
        <v>0</v>
      </c>
      <c r="AF62" s="640">
        <v>0</v>
      </c>
      <c r="AG62" s="640">
        <v>0</v>
      </c>
      <c r="AH62" s="640">
        <v>0</v>
      </c>
      <c r="AI62" s="640">
        <v>0</v>
      </c>
      <c r="AJ62" s="640">
        <v>0</v>
      </c>
      <c r="AK62" s="648">
        <v>2.9247582130146133</v>
      </c>
    </row>
    <row r="63" spans="3:37" x14ac:dyDescent="0.2">
      <c r="C63" s="646" t="s">
        <v>351</v>
      </c>
      <c r="D63" s="640">
        <v>0</v>
      </c>
      <c r="E63" s="640">
        <v>0</v>
      </c>
      <c r="F63" s="640">
        <v>0</v>
      </c>
      <c r="G63" s="640">
        <v>0</v>
      </c>
      <c r="H63" s="640">
        <v>0</v>
      </c>
      <c r="I63" s="640">
        <v>0</v>
      </c>
      <c r="J63" s="640">
        <v>0</v>
      </c>
      <c r="K63" s="640">
        <v>0</v>
      </c>
      <c r="L63" s="640">
        <v>-27.31624937979873</v>
      </c>
      <c r="M63" s="640">
        <v>0</v>
      </c>
      <c r="N63" s="640">
        <v>0</v>
      </c>
      <c r="O63" s="640">
        <v>0</v>
      </c>
      <c r="P63" s="640">
        <v>0</v>
      </c>
      <c r="Q63" s="640">
        <v>0</v>
      </c>
      <c r="R63" s="640">
        <v>0</v>
      </c>
      <c r="S63" s="648">
        <v>-27.31624937979873</v>
      </c>
      <c r="U63" s="646" t="s">
        <v>351</v>
      </c>
      <c r="V63" s="640">
        <v>0</v>
      </c>
      <c r="W63" s="640">
        <v>0</v>
      </c>
      <c r="X63" s="640">
        <v>0</v>
      </c>
      <c r="Y63" s="640">
        <v>0</v>
      </c>
      <c r="Z63" s="640">
        <v>0</v>
      </c>
      <c r="AA63" s="640">
        <v>0</v>
      </c>
      <c r="AB63" s="640">
        <v>0</v>
      </c>
      <c r="AC63" s="640">
        <v>0</v>
      </c>
      <c r="AD63" s="640">
        <v>-27.31624937979873</v>
      </c>
      <c r="AE63" s="640">
        <v>0</v>
      </c>
      <c r="AF63" s="640">
        <v>0</v>
      </c>
      <c r="AG63" s="640">
        <v>0</v>
      </c>
      <c r="AH63" s="640">
        <v>0</v>
      </c>
      <c r="AI63" s="640">
        <v>0</v>
      </c>
      <c r="AJ63" s="640">
        <v>0</v>
      </c>
      <c r="AK63" s="648">
        <v>-27.31624937979873</v>
      </c>
    </row>
    <row r="64" spans="3:37" x14ac:dyDescent="0.2">
      <c r="C64" s="646" t="s">
        <v>352</v>
      </c>
      <c r="D64" s="640">
        <v>0</v>
      </c>
      <c r="E64" s="640">
        <v>0</v>
      </c>
      <c r="F64" s="640">
        <v>0</v>
      </c>
      <c r="G64" s="640">
        <v>0</v>
      </c>
      <c r="H64" s="640">
        <v>0</v>
      </c>
      <c r="I64" s="640">
        <v>0</v>
      </c>
      <c r="J64" s="640">
        <v>0</v>
      </c>
      <c r="K64" s="640">
        <v>0</v>
      </c>
      <c r="L64" s="640">
        <v>0</v>
      </c>
      <c r="M64" s="640">
        <v>0</v>
      </c>
      <c r="N64" s="640">
        <v>0</v>
      </c>
      <c r="O64" s="640">
        <v>0</v>
      </c>
      <c r="P64" s="640">
        <v>0</v>
      </c>
      <c r="Q64" s="640">
        <v>0</v>
      </c>
      <c r="R64" s="640">
        <v>0</v>
      </c>
      <c r="S64" s="648">
        <v>0</v>
      </c>
      <c r="U64" s="646" t="s">
        <v>352</v>
      </c>
      <c r="V64" s="640">
        <v>0</v>
      </c>
      <c r="W64" s="640">
        <v>0</v>
      </c>
      <c r="X64" s="640">
        <v>0</v>
      </c>
      <c r="Y64" s="640">
        <v>0</v>
      </c>
      <c r="Z64" s="640">
        <v>0</v>
      </c>
      <c r="AA64" s="640">
        <v>0</v>
      </c>
      <c r="AB64" s="640">
        <v>0</v>
      </c>
      <c r="AC64" s="640">
        <v>0</v>
      </c>
      <c r="AD64" s="640">
        <v>0</v>
      </c>
      <c r="AE64" s="640">
        <v>0</v>
      </c>
      <c r="AF64" s="640">
        <v>0</v>
      </c>
      <c r="AG64" s="640">
        <v>0</v>
      </c>
      <c r="AH64" s="640">
        <v>0</v>
      </c>
      <c r="AI64" s="640">
        <v>0</v>
      </c>
      <c r="AJ64" s="640">
        <v>0</v>
      </c>
      <c r="AK64" s="648">
        <v>0</v>
      </c>
    </row>
    <row r="65" spans="3:37" x14ac:dyDescent="0.2">
      <c r="C65" s="646" t="s">
        <v>73</v>
      </c>
      <c r="D65" s="640">
        <v>0</v>
      </c>
      <c r="E65" s="640">
        <v>0</v>
      </c>
      <c r="F65" s="640">
        <v>0</v>
      </c>
      <c r="G65" s="640">
        <v>0</v>
      </c>
      <c r="H65" s="640">
        <v>0</v>
      </c>
      <c r="I65" s="640">
        <v>0</v>
      </c>
      <c r="J65" s="640">
        <v>0</v>
      </c>
      <c r="K65" s="640">
        <v>0</v>
      </c>
      <c r="L65" s="640">
        <v>0</v>
      </c>
      <c r="M65" s="640">
        <v>0</v>
      </c>
      <c r="N65" s="640">
        <v>0</v>
      </c>
      <c r="O65" s="640">
        <v>0</v>
      </c>
      <c r="P65" s="640">
        <v>0</v>
      </c>
      <c r="Q65" s="640">
        <v>0</v>
      </c>
      <c r="R65" s="640">
        <v>0</v>
      </c>
      <c r="S65" s="648">
        <v>0</v>
      </c>
      <c r="U65" s="646" t="s">
        <v>73</v>
      </c>
      <c r="V65" s="640">
        <v>0</v>
      </c>
      <c r="W65" s="640">
        <v>0</v>
      </c>
      <c r="X65" s="640">
        <v>0</v>
      </c>
      <c r="Y65" s="640">
        <v>0</v>
      </c>
      <c r="Z65" s="640">
        <v>0</v>
      </c>
      <c r="AA65" s="640">
        <v>0</v>
      </c>
      <c r="AB65" s="640">
        <v>0</v>
      </c>
      <c r="AC65" s="640">
        <v>0</v>
      </c>
      <c r="AD65" s="640">
        <v>0</v>
      </c>
      <c r="AE65" s="640">
        <v>0</v>
      </c>
      <c r="AF65" s="640">
        <v>0</v>
      </c>
      <c r="AG65" s="640">
        <v>0</v>
      </c>
      <c r="AH65" s="640">
        <v>0</v>
      </c>
      <c r="AI65" s="640">
        <v>0</v>
      </c>
      <c r="AJ65" s="640">
        <v>0</v>
      </c>
      <c r="AK65" s="648">
        <v>0</v>
      </c>
    </row>
    <row r="66" spans="3:37" x14ac:dyDescent="0.2">
      <c r="C66" s="646" t="s">
        <v>353</v>
      </c>
      <c r="D66" s="640">
        <v>24.856875540426671</v>
      </c>
      <c r="E66" s="640">
        <v>-42.586921310488997</v>
      </c>
      <c r="F66" s="640">
        <v>41.670112128488995</v>
      </c>
      <c r="G66" s="640">
        <v>0</v>
      </c>
      <c r="H66" s="640">
        <v>0</v>
      </c>
      <c r="I66" s="640">
        <v>0</v>
      </c>
      <c r="J66" s="640">
        <v>0</v>
      </c>
      <c r="K66" s="640">
        <v>0</v>
      </c>
      <c r="L66" s="640">
        <v>0</v>
      </c>
      <c r="M66" s="640">
        <v>0</v>
      </c>
      <c r="N66" s="640">
        <v>0</v>
      </c>
      <c r="O66" s="640">
        <v>0</v>
      </c>
      <c r="P66" s="640">
        <v>0</v>
      </c>
      <c r="Q66" s="640">
        <v>0</v>
      </c>
      <c r="R66" s="640">
        <v>0</v>
      </c>
      <c r="S66" s="648">
        <v>23.94006635842667</v>
      </c>
      <c r="U66" s="646" t="s">
        <v>353</v>
      </c>
      <c r="V66" s="640">
        <v>24.856875540426671</v>
      </c>
      <c r="W66" s="640">
        <v>-42.586921310488997</v>
      </c>
      <c r="X66" s="640">
        <v>41.670112128488995</v>
      </c>
      <c r="Y66" s="640">
        <v>0</v>
      </c>
      <c r="Z66" s="640">
        <v>0</v>
      </c>
      <c r="AA66" s="640">
        <v>0</v>
      </c>
      <c r="AB66" s="640">
        <v>0</v>
      </c>
      <c r="AC66" s="640">
        <v>0</v>
      </c>
      <c r="AD66" s="640">
        <v>0</v>
      </c>
      <c r="AE66" s="640">
        <v>0</v>
      </c>
      <c r="AF66" s="640">
        <v>0</v>
      </c>
      <c r="AG66" s="640">
        <v>0</v>
      </c>
      <c r="AH66" s="640">
        <v>0</v>
      </c>
      <c r="AI66" s="640">
        <v>0</v>
      </c>
      <c r="AJ66" s="640">
        <v>0</v>
      </c>
      <c r="AK66" s="648">
        <v>23.94006635842667</v>
      </c>
    </row>
    <row r="67" spans="3:37" x14ac:dyDescent="0.2">
      <c r="C67" s="646" t="s">
        <v>75</v>
      </c>
      <c r="D67" s="640">
        <v>10.864485000000002</v>
      </c>
      <c r="E67" s="640">
        <v>0</v>
      </c>
      <c r="F67" s="640">
        <v>12.156002809978</v>
      </c>
      <c r="G67" s="640">
        <v>6.2612449999999988</v>
      </c>
      <c r="H67" s="640">
        <v>0</v>
      </c>
      <c r="I67" s="640">
        <v>0</v>
      </c>
      <c r="J67" s="640">
        <v>0</v>
      </c>
      <c r="K67" s="640">
        <v>0</v>
      </c>
      <c r="L67" s="640">
        <v>0</v>
      </c>
      <c r="M67" s="640">
        <v>0</v>
      </c>
      <c r="N67" s="640">
        <v>0</v>
      </c>
      <c r="O67" s="640">
        <v>0</v>
      </c>
      <c r="P67" s="640">
        <v>32.903944582120353</v>
      </c>
      <c r="Q67" s="640">
        <v>0</v>
      </c>
      <c r="R67" s="640">
        <v>0</v>
      </c>
      <c r="S67" s="648">
        <v>62.185677392098349</v>
      </c>
      <c r="U67" s="646" t="s">
        <v>75</v>
      </c>
      <c r="V67" s="640">
        <v>10.864485000000002</v>
      </c>
      <c r="W67" s="640">
        <v>0</v>
      </c>
      <c r="X67" s="640">
        <v>12.156002809978</v>
      </c>
      <c r="Y67" s="640">
        <v>6.2612449999999988</v>
      </c>
      <c r="Z67" s="640">
        <v>0</v>
      </c>
      <c r="AA67" s="640">
        <v>0</v>
      </c>
      <c r="AB67" s="640">
        <v>0</v>
      </c>
      <c r="AC67" s="640">
        <v>0</v>
      </c>
      <c r="AD67" s="640">
        <v>0</v>
      </c>
      <c r="AE67" s="640">
        <v>0</v>
      </c>
      <c r="AF67" s="640">
        <v>0</v>
      </c>
      <c r="AG67" s="640">
        <v>0</v>
      </c>
      <c r="AH67" s="640">
        <v>32.903944582120353</v>
      </c>
      <c r="AI67" s="640">
        <v>0</v>
      </c>
      <c r="AJ67" s="640">
        <v>0</v>
      </c>
      <c r="AK67" s="648">
        <v>62.185677392098349</v>
      </c>
    </row>
    <row r="68" spans="3:37" x14ac:dyDescent="0.2">
      <c r="C68" s="646" t="s">
        <v>76</v>
      </c>
      <c r="D68" s="640">
        <v>0</v>
      </c>
      <c r="E68" s="640">
        <v>0</v>
      </c>
      <c r="F68" s="640">
        <v>0</v>
      </c>
      <c r="G68" s="640">
        <v>3.9080132499999998</v>
      </c>
      <c r="H68" s="640">
        <v>0</v>
      </c>
      <c r="I68" s="640">
        <v>0</v>
      </c>
      <c r="J68" s="640">
        <v>0</v>
      </c>
      <c r="K68" s="640">
        <v>0</v>
      </c>
      <c r="L68" s="640">
        <v>0</v>
      </c>
      <c r="M68" s="640">
        <v>0</v>
      </c>
      <c r="N68" s="640">
        <v>0</v>
      </c>
      <c r="O68" s="640">
        <v>0</v>
      </c>
      <c r="P68" s="640">
        <v>35.893531999999993</v>
      </c>
      <c r="Q68" s="640">
        <v>4.1669160064579911</v>
      </c>
      <c r="R68" s="640">
        <v>0</v>
      </c>
      <c r="S68" s="648">
        <v>43.968461256457985</v>
      </c>
      <c r="U68" s="646" t="s">
        <v>76</v>
      </c>
      <c r="V68" s="640">
        <v>0</v>
      </c>
      <c r="W68" s="640">
        <v>0</v>
      </c>
      <c r="X68" s="640">
        <v>0</v>
      </c>
      <c r="Y68" s="640">
        <v>3.9080132499999998</v>
      </c>
      <c r="Z68" s="640">
        <v>0</v>
      </c>
      <c r="AA68" s="640">
        <v>0</v>
      </c>
      <c r="AB68" s="640">
        <v>0</v>
      </c>
      <c r="AC68" s="640">
        <v>0</v>
      </c>
      <c r="AD68" s="640">
        <v>0</v>
      </c>
      <c r="AE68" s="640">
        <v>0</v>
      </c>
      <c r="AF68" s="640">
        <v>0</v>
      </c>
      <c r="AG68" s="640">
        <v>0</v>
      </c>
      <c r="AH68" s="640">
        <v>35.893531999999993</v>
      </c>
      <c r="AI68" s="640">
        <v>4.1669160064579911</v>
      </c>
      <c r="AJ68" s="640">
        <v>0</v>
      </c>
      <c r="AK68" s="648">
        <v>43.968461256457985</v>
      </c>
    </row>
    <row r="69" spans="3:37" x14ac:dyDescent="0.2">
      <c r="C69" s="644" t="s">
        <v>77</v>
      </c>
      <c r="D69" s="645">
        <v>48.989043205566666</v>
      </c>
      <c r="E69" s="645">
        <v>405.59850142678499</v>
      </c>
      <c r="F69" s="645">
        <v>-366.39465902537506</v>
      </c>
      <c r="G69" s="645">
        <v>86.005006499999993</v>
      </c>
      <c r="H69" s="645">
        <v>1072.2208090909091</v>
      </c>
      <c r="I69" s="645">
        <v>115.67142051809002</v>
      </c>
      <c r="J69" s="645">
        <v>25.246098872906153</v>
      </c>
      <c r="K69" s="645">
        <v>28.173648237393667</v>
      </c>
      <c r="L69" s="645">
        <v>-27.31624937979873</v>
      </c>
      <c r="M69" s="645">
        <v>6.3686454536756729</v>
      </c>
      <c r="N69" s="645">
        <v>0.25705111111111106</v>
      </c>
      <c r="O69" s="645">
        <v>5.3861979341677468</v>
      </c>
      <c r="P69" s="645">
        <v>-456.39860899999991</v>
      </c>
      <c r="Q69" s="645">
        <v>-41.66457261145041</v>
      </c>
      <c r="R69" s="645">
        <v>0</v>
      </c>
      <c r="S69" s="645">
        <v>902.14233233398068</v>
      </c>
      <c r="U69" s="644" t="s">
        <v>77</v>
      </c>
      <c r="V69" s="645">
        <v>48.989043205566666</v>
      </c>
      <c r="W69" s="645">
        <v>405.59850142678499</v>
      </c>
      <c r="X69" s="645">
        <v>-366.39465902537506</v>
      </c>
      <c r="Y69" s="645">
        <v>86.005006499999993</v>
      </c>
      <c r="Z69" s="645">
        <v>1072.2208090909091</v>
      </c>
      <c r="AA69" s="645">
        <v>115.67142051809002</v>
      </c>
      <c r="AB69" s="645">
        <v>25.246098872906153</v>
      </c>
      <c r="AC69" s="645">
        <v>28.173648237393667</v>
      </c>
      <c r="AD69" s="645">
        <v>-27.31624937979873</v>
      </c>
      <c r="AE69" s="645">
        <v>6.3686454536756729</v>
      </c>
      <c r="AF69" s="645">
        <v>0.25705111111111106</v>
      </c>
      <c r="AG69" s="645">
        <v>5.3861979341677468</v>
      </c>
      <c r="AH69" s="645">
        <v>-456.39860899999991</v>
      </c>
      <c r="AI69" s="645">
        <v>-41.66457261145041</v>
      </c>
      <c r="AJ69" s="645">
        <v>0</v>
      </c>
      <c r="AK69" s="645">
        <v>902.14233233398068</v>
      </c>
    </row>
    <row r="70" spans="3:37" x14ac:dyDescent="0.2">
      <c r="C70" s="634"/>
      <c r="D70" s="634">
        <v>0</v>
      </c>
      <c r="E70" s="634">
        <v>0</v>
      </c>
      <c r="F70" s="634">
        <v>0</v>
      </c>
      <c r="G70" s="634">
        <v>0</v>
      </c>
      <c r="H70" s="634">
        <v>0</v>
      </c>
      <c r="I70" s="634">
        <v>0</v>
      </c>
      <c r="J70" s="634">
        <v>0</v>
      </c>
      <c r="K70" s="634">
        <v>0</v>
      </c>
      <c r="L70" s="634">
        <v>0</v>
      </c>
      <c r="M70" s="634">
        <v>0</v>
      </c>
      <c r="N70" s="634">
        <v>0</v>
      </c>
      <c r="O70" s="634">
        <v>0</v>
      </c>
      <c r="P70" s="634">
        <v>0</v>
      </c>
      <c r="Q70" s="634">
        <v>0</v>
      </c>
      <c r="R70" s="634">
        <v>0</v>
      </c>
      <c r="S70" s="634">
        <v>0</v>
      </c>
      <c r="U70" s="634"/>
      <c r="V70" s="634">
        <v>0</v>
      </c>
      <c r="W70" s="634">
        <v>0</v>
      </c>
      <c r="X70" s="634">
        <v>0</v>
      </c>
      <c r="Y70" s="634">
        <v>0</v>
      </c>
      <c r="Z70" s="634">
        <v>0</v>
      </c>
      <c r="AA70" s="634">
        <v>0</v>
      </c>
      <c r="AB70" s="634">
        <v>0</v>
      </c>
      <c r="AC70" s="634">
        <v>0</v>
      </c>
      <c r="AD70" s="634">
        <v>0</v>
      </c>
      <c r="AE70" s="634">
        <v>0</v>
      </c>
      <c r="AF70" s="634">
        <v>0</v>
      </c>
      <c r="AG70" s="634">
        <v>0</v>
      </c>
      <c r="AH70" s="634">
        <v>0</v>
      </c>
      <c r="AI70" s="634">
        <v>0</v>
      </c>
      <c r="AJ70" s="634">
        <v>0</v>
      </c>
      <c r="AK70" s="634">
        <v>0</v>
      </c>
    </row>
    <row r="71" spans="3:37" x14ac:dyDescent="0.2">
      <c r="C71" s="646" t="s">
        <v>78</v>
      </c>
      <c r="D71" s="640">
        <v>9.103168484740003</v>
      </c>
      <c r="E71" s="640">
        <v>0</v>
      </c>
      <c r="F71" s="640">
        <v>30.742620872292591</v>
      </c>
      <c r="G71" s="640">
        <v>115.67477925</v>
      </c>
      <c r="H71" s="640">
        <v>0</v>
      </c>
      <c r="I71" s="640">
        <v>0</v>
      </c>
      <c r="J71" s="640">
        <v>15.652087601653344</v>
      </c>
      <c r="K71" s="640">
        <v>3.5686448746488644</v>
      </c>
      <c r="L71" s="640">
        <v>1.0751813257923004</v>
      </c>
      <c r="M71" s="640">
        <v>0.92719655758676645</v>
      </c>
      <c r="N71" s="640">
        <v>0</v>
      </c>
      <c r="O71" s="640">
        <v>1.540935583552362E-2</v>
      </c>
      <c r="P71" s="640">
        <v>105.80333299999998</v>
      </c>
      <c r="Q71" s="640">
        <v>17.474535389228187</v>
      </c>
      <c r="R71" s="640">
        <v>0</v>
      </c>
      <c r="S71" s="648">
        <v>300.03695671177758</v>
      </c>
      <c r="U71" s="646" t="s">
        <v>78</v>
      </c>
      <c r="V71" s="640">
        <v>9.103168484740003</v>
      </c>
      <c r="W71" s="640">
        <v>0</v>
      </c>
      <c r="X71" s="640">
        <v>30.742620872292591</v>
      </c>
      <c r="Y71" s="640">
        <v>115.67477925</v>
      </c>
      <c r="Z71" s="640">
        <v>0</v>
      </c>
      <c r="AA71" s="640">
        <v>0</v>
      </c>
      <c r="AB71" s="640">
        <v>15.652087601653344</v>
      </c>
      <c r="AC71" s="640">
        <v>3.5686448746488644</v>
      </c>
      <c r="AD71" s="640">
        <v>1.0751813257923004</v>
      </c>
      <c r="AE71" s="640">
        <v>0.92719655758676645</v>
      </c>
      <c r="AF71" s="640">
        <v>0</v>
      </c>
      <c r="AG71" s="640">
        <v>1.540935583552362E-2</v>
      </c>
      <c r="AH71" s="640">
        <v>105.80333299999998</v>
      </c>
      <c r="AI71" s="640">
        <v>17.474535389228187</v>
      </c>
      <c r="AJ71" s="640">
        <v>0</v>
      </c>
      <c r="AK71" s="648">
        <v>300.03695671177758</v>
      </c>
    </row>
    <row r="72" spans="3:37" x14ac:dyDescent="0.2">
      <c r="C72" s="646" t="s">
        <v>79</v>
      </c>
      <c r="D72" s="640">
        <v>0</v>
      </c>
      <c r="E72" s="640">
        <v>0</v>
      </c>
      <c r="F72" s="640">
        <v>396.20072754031048</v>
      </c>
      <c r="G72" s="640">
        <v>2.2477145000000003</v>
      </c>
      <c r="H72" s="640">
        <v>0</v>
      </c>
      <c r="I72" s="640">
        <v>0</v>
      </c>
      <c r="J72" s="640">
        <v>0</v>
      </c>
      <c r="K72" s="640">
        <v>0</v>
      </c>
      <c r="L72" s="640">
        <v>30.751352031352695</v>
      </c>
      <c r="M72" s="640">
        <v>0</v>
      </c>
      <c r="N72" s="640">
        <v>0</v>
      </c>
      <c r="O72" s="640">
        <v>0</v>
      </c>
      <c r="P72" s="640">
        <v>8.3371990700000005</v>
      </c>
      <c r="Q72" s="640">
        <v>0</v>
      </c>
      <c r="R72" s="640">
        <v>0</v>
      </c>
      <c r="S72" s="648">
        <v>437.53699314166312</v>
      </c>
      <c r="U72" s="646" t="s">
        <v>79</v>
      </c>
      <c r="V72" s="640">
        <v>0</v>
      </c>
      <c r="W72" s="640">
        <v>0</v>
      </c>
      <c r="X72" s="640">
        <v>396.20072754031048</v>
      </c>
      <c r="Y72" s="640">
        <v>2.2477145000000003</v>
      </c>
      <c r="Z72" s="640">
        <v>0</v>
      </c>
      <c r="AA72" s="640">
        <v>0</v>
      </c>
      <c r="AB72" s="640">
        <v>0</v>
      </c>
      <c r="AC72" s="640">
        <v>0</v>
      </c>
      <c r="AD72" s="640">
        <v>30.751352031352695</v>
      </c>
      <c r="AE72" s="640">
        <v>0</v>
      </c>
      <c r="AF72" s="640">
        <v>0</v>
      </c>
      <c r="AG72" s="640">
        <v>0</v>
      </c>
      <c r="AH72" s="640">
        <v>8.3371990700000005</v>
      </c>
      <c r="AI72" s="640">
        <v>0</v>
      </c>
      <c r="AJ72" s="640">
        <v>0</v>
      </c>
      <c r="AK72" s="648">
        <v>437.53699314166312</v>
      </c>
    </row>
    <row r="73" spans="3:37" x14ac:dyDescent="0.2">
      <c r="C73" s="646" t="s">
        <v>80</v>
      </c>
      <c r="D73" s="640">
        <v>0.24074954804999998</v>
      </c>
      <c r="E73" s="640">
        <v>0</v>
      </c>
      <c r="F73" s="640">
        <v>50.312051197940285</v>
      </c>
      <c r="G73" s="640">
        <v>125.05981225000002</v>
      </c>
      <c r="H73" s="640">
        <v>0</v>
      </c>
      <c r="I73" s="640">
        <v>0</v>
      </c>
      <c r="J73" s="640">
        <v>69.406708888888886</v>
      </c>
      <c r="K73" s="640">
        <v>0</v>
      </c>
      <c r="L73" s="640">
        <v>0</v>
      </c>
      <c r="M73" s="640">
        <v>0</v>
      </c>
      <c r="N73" s="640">
        <v>28.099863055555552</v>
      </c>
      <c r="O73" s="640">
        <v>2.0645206826866662</v>
      </c>
      <c r="P73" s="640">
        <v>161.49853200000001</v>
      </c>
      <c r="Q73" s="640">
        <v>14.411899999999999</v>
      </c>
      <c r="R73" s="640">
        <v>0</v>
      </c>
      <c r="S73" s="648">
        <v>451.09413762312141</v>
      </c>
      <c r="U73" s="646" t="s">
        <v>80</v>
      </c>
      <c r="V73" s="640">
        <v>0.24074954804999998</v>
      </c>
      <c r="W73" s="640">
        <v>0</v>
      </c>
      <c r="X73" s="640">
        <v>50.312051197940285</v>
      </c>
      <c r="Y73" s="640">
        <v>125.05981225000002</v>
      </c>
      <c r="Z73" s="640">
        <v>0</v>
      </c>
      <c r="AA73" s="640">
        <v>0</v>
      </c>
      <c r="AB73" s="640">
        <v>69.406708888888886</v>
      </c>
      <c r="AC73" s="640">
        <v>0</v>
      </c>
      <c r="AD73" s="640">
        <v>0</v>
      </c>
      <c r="AE73" s="640">
        <v>0</v>
      </c>
      <c r="AF73" s="640">
        <v>28.099863055555552</v>
      </c>
      <c r="AG73" s="640">
        <v>2.0645206826866662</v>
      </c>
      <c r="AH73" s="640">
        <v>161.49853200000001</v>
      </c>
      <c r="AI73" s="640">
        <v>14.411899999999999</v>
      </c>
      <c r="AJ73" s="640">
        <v>0</v>
      </c>
      <c r="AK73" s="648">
        <v>451.09413762312141</v>
      </c>
    </row>
    <row r="74" spans="3:37" x14ac:dyDescent="0.2">
      <c r="C74" s="646" t="s">
        <v>81</v>
      </c>
      <c r="D74" s="640">
        <v>0.35525487623000002</v>
      </c>
      <c r="E74" s="640">
        <v>0</v>
      </c>
      <c r="F74" s="640">
        <v>31.907501208676987</v>
      </c>
      <c r="G74" s="640">
        <v>62.61667825</v>
      </c>
      <c r="H74" s="640">
        <v>0</v>
      </c>
      <c r="I74" s="640">
        <v>0</v>
      </c>
      <c r="J74" s="640">
        <v>2.8232277777777779</v>
      </c>
      <c r="K74" s="640">
        <v>2.2859468815788357</v>
      </c>
      <c r="L74" s="640">
        <v>0</v>
      </c>
      <c r="M74" s="640">
        <v>1.4745088888888889</v>
      </c>
      <c r="N74" s="640">
        <v>4.5516825000000001</v>
      </c>
      <c r="O74" s="640">
        <v>0.35485889253622721</v>
      </c>
      <c r="P74" s="640">
        <v>127.64086592999999</v>
      </c>
      <c r="Q74" s="640">
        <v>9.5887644444444451</v>
      </c>
      <c r="R74" s="640">
        <v>0</v>
      </c>
      <c r="S74" s="648">
        <v>243.59928965013316</v>
      </c>
      <c r="U74" s="646" t="s">
        <v>81</v>
      </c>
      <c r="V74" s="640">
        <v>0.35525487623000002</v>
      </c>
      <c r="W74" s="640">
        <v>0</v>
      </c>
      <c r="X74" s="640">
        <v>31.907501208676987</v>
      </c>
      <c r="Y74" s="640">
        <v>62.61667825</v>
      </c>
      <c r="Z74" s="640">
        <v>0</v>
      </c>
      <c r="AA74" s="640">
        <v>0</v>
      </c>
      <c r="AB74" s="640">
        <v>2.8232277777777779</v>
      </c>
      <c r="AC74" s="640">
        <v>2.2859468815788357</v>
      </c>
      <c r="AD74" s="640">
        <v>0</v>
      </c>
      <c r="AE74" s="640">
        <v>1.4745088888888889</v>
      </c>
      <c r="AF74" s="640">
        <v>4.5516825000000001</v>
      </c>
      <c r="AG74" s="640">
        <v>0.35485889253622721</v>
      </c>
      <c r="AH74" s="640">
        <v>127.64086592999999</v>
      </c>
      <c r="AI74" s="640">
        <v>9.5887644444444451</v>
      </c>
      <c r="AJ74" s="640">
        <v>0</v>
      </c>
      <c r="AK74" s="648">
        <v>243.59928965013316</v>
      </c>
    </row>
    <row r="75" spans="3:37" x14ac:dyDescent="0.2">
      <c r="C75" s="646" t="s">
        <v>82</v>
      </c>
      <c r="D75" s="640">
        <v>1.5371382629999998E-2</v>
      </c>
      <c r="E75" s="640">
        <v>0</v>
      </c>
      <c r="F75" s="640">
        <v>37.352212663167997</v>
      </c>
      <c r="G75" s="640">
        <v>2.1964755</v>
      </c>
      <c r="H75" s="640">
        <v>0</v>
      </c>
      <c r="I75" s="640">
        <v>0</v>
      </c>
      <c r="J75" s="640">
        <v>1.7493453935920653</v>
      </c>
      <c r="K75" s="640">
        <v>0</v>
      </c>
      <c r="L75" s="640">
        <v>1.9048961095281811</v>
      </c>
      <c r="M75" s="640">
        <v>0.51119305555555561</v>
      </c>
      <c r="N75" s="640">
        <v>0</v>
      </c>
      <c r="O75" s="640">
        <v>0.29232166666666665</v>
      </c>
      <c r="P75" s="640">
        <v>8.079485</v>
      </c>
      <c r="Q75" s="640">
        <v>0.18937333333333334</v>
      </c>
      <c r="R75" s="640">
        <v>0</v>
      </c>
      <c r="S75" s="648">
        <v>52.290674104473801</v>
      </c>
      <c r="U75" s="646" t="s">
        <v>82</v>
      </c>
      <c r="V75" s="640">
        <v>1.5371382629999998E-2</v>
      </c>
      <c r="W75" s="640">
        <v>0</v>
      </c>
      <c r="X75" s="640">
        <v>37.352212663167997</v>
      </c>
      <c r="Y75" s="640">
        <v>2.1964755</v>
      </c>
      <c r="Z75" s="640">
        <v>0</v>
      </c>
      <c r="AA75" s="640">
        <v>0</v>
      </c>
      <c r="AB75" s="640">
        <v>1.7493453935920653</v>
      </c>
      <c r="AC75" s="640">
        <v>0</v>
      </c>
      <c r="AD75" s="640">
        <v>1.9048961095281811</v>
      </c>
      <c r="AE75" s="640">
        <v>0.51119305555555561</v>
      </c>
      <c r="AF75" s="640">
        <v>0</v>
      </c>
      <c r="AG75" s="640">
        <v>0.29232166666666665</v>
      </c>
      <c r="AH75" s="640">
        <v>8.079485</v>
      </c>
      <c r="AI75" s="640">
        <v>0.18937333333333334</v>
      </c>
      <c r="AJ75" s="640">
        <v>0</v>
      </c>
      <c r="AK75" s="648">
        <v>52.290674104473801</v>
      </c>
    </row>
    <row r="76" spans="3:37" x14ac:dyDescent="0.2">
      <c r="C76" s="646" t="s">
        <v>354</v>
      </c>
      <c r="D76" s="640">
        <v>0</v>
      </c>
      <c r="E76" s="640">
        <v>0</v>
      </c>
      <c r="F76" s="640">
        <v>0</v>
      </c>
      <c r="G76" s="640">
        <v>0</v>
      </c>
      <c r="H76" s="640">
        <v>0</v>
      </c>
      <c r="I76" s="640">
        <v>0</v>
      </c>
      <c r="J76" s="640">
        <v>0</v>
      </c>
      <c r="K76" s="640">
        <v>0</v>
      </c>
      <c r="L76" s="640">
        <v>0</v>
      </c>
      <c r="M76" s="640">
        <v>0</v>
      </c>
      <c r="N76" s="640">
        <v>0</v>
      </c>
      <c r="O76" s="640">
        <v>0</v>
      </c>
      <c r="P76" s="640">
        <v>0</v>
      </c>
      <c r="Q76" s="640">
        <v>0</v>
      </c>
      <c r="R76" s="640">
        <v>0</v>
      </c>
      <c r="S76" s="648">
        <v>0</v>
      </c>
      <c r="U76" s="646" t="s">
        <v>354</v>
      </c>
      <c r="V76" s="640">
        <v>0</v>
      </c>
      <c r="W76" s="640">
        <v>0</v>
      </c>
      <c r="X76" s="640">
        <v>0</v>
      </c>
      <c r="Y76" s="640">
        <v>0</v>
      </c>
      <c r="Z76" s="640">
        <v>0</v>
      </c>
      <c r="AA76" s="640">
        <v>0</v>
      </c>
      <c r="AB76" s="640">
        <v>0</v>
      </c>
      <c r="AC76" s="640">
        <v>0</v>
      </c>
      <c r="AD76" s="640">
        <v>0</v>
      </c>
      <c r="AE76" s="640">
        <v>0</v>
      </c>
      <c r="AF76" s="640">
        <v>0</v>
      </c>
      <c r="AG76" s="640">
        <v>0</v>
      </c>
      <c r="AH76" s="640">
        <v>0</v>
      </c>
      <c r="AI76" s="640">
        <v>0</v>
      </c>
      <c r="AJ76" s="640">
        <v>0</v>
      </c>
      <c r="AK76" s="648">
        <v>0</v>
      </c>
    </row>
    <row r="77" spans="3:37" x14ac:dyDescent="0.2">
      <c r="C77" s="644" t="s">
        <v>83</v>
      </c>
      <c r="D77" s="645">
        <v>9.714544291650002</v>
      </c>
      <c r="E77" s="645">
        <v>0</v>
      </c>
      <c r="F77" s="645">
        <v>546.5151134823883</v>
      </c>
      <c r="G77" s="645">
        <v>307.79545975000002</v>
      </c>
      <c r="H77" s="645">
        <v>0</v>
      </c>
      <c r="I77" s="645">
        <v>0</v>
      </c>
      <c r="J77" s="645">
        <v>89.631369661912075</v>
      </c>
      <c r="K77" s="645">
        <v>5.8545917562277001</v>
      </c>
      <c r="L77" s="645">
        <v>33.731429466673177</v>
      </c>
      <c r="M77" s="645">
        <v>2.9128985020312106</v>
      </c>
      <c r="N77" s="645">
        <v>32.65154555555555</v>
      </c>
      <c r="O77" s="645">
        <v>2.7271105977250834</v>
      </c>
      <c r="P77" s="645">
        <v>411.35941499999996</v>
      </c>
      <c r="Q77" s="645">
        <v>41.664573167005962</v>
      </c>
      <c r="R77" s="645">
        <v>0</v>
      </c>
      <c r="S77" s="645">
        <v>1484.5580512311692</v>
      </c>
      <c r="U77" s="644" t="s">
        <v>83</v>
      </c>
      <c r="V77" s="645">
        <v>9.714544291650002</v>
      </c>
      <c r="W77" s="645">
        <v>0</v>
      </c>
      <c r="X77" s="645">
        <v>546.5151134823883</v>
      </c>
      <c r="Y77" s="645">
        <v>307.79545975000002</v>
      </c>
      <c r="Z77" s="645">
        <v>0</v>
      </c>
      <c r="AA77" s="645">
        <v>0</v>
      </c>
      <c r="AB77" s="645">
        <v>89.631369661912075</v>
      </c>
      <c r="AC77" s="645">
        <v>5.8545917562277001</v>
      </c>
      <c r="AD77" s="645">
        <v>33.731429466673177</v>
      </c>
      <c r="AE77" s="645">
        <v>2.9128985020312106</v>
      </c>
      <c r="AF77" s="645">
        <v>32.65154555555555</v>
      </c>
      <c r="AG77" s="645">
        <v>2.7271105977250834</v>
      </c>
      <c r="AH77" s="645">
        <v>411.35941499999996</v>
      </c>
      <c r="AI77" s="645">
        <v>41.664573167005962</v>
      </c>
      <c r="AJ77" s="645">
        <v>0</v>
      </c>
      <c r="AK77" s="645">
        <v>1484.5580512311692</v>
      </c>
    </row>
    <row r="78" spans="3:37" x14ac:dyDescent="0.2">
      <c r="C78" s="639" t="s">
        <v>84</v>
      </c>
      <c r="D78" s="640">
        <v>2.8214338015700005</v>
      </c>
      <c r="E78" s="640">
        <v>0</v>
      </c>
      <c r="F78" s="640">
        <v>130.9502374537683</v>
      </c>
      <c r="G78" s="640">
        <v>12.027936500000001</v>
      </c>
      <c r="H78" s="640">
        <v>0</v>
      </c>
      <c r="I78" s="640">
        <v>0</v>
      </c>
      <c r="J78" s="640">
        <v>0</v>
      </c>
      <c r="K78" s="640">
        <v>0</v>
      </c>
      <c r="L78" s="640">
        <v>0</v>
      </c>
      <c r="M78" s="640">
        <v>0</v>
      </c>
      <c r="N78" s="640">
        <v>0</v>
      </c>
      <c r="O78" s="640">
        <v>0</v>
      </c>
      <c r="P78" s="640">
        <v>0</v>
      </c>
      <c r="Q78" s="640">
        <v>0</v>
      </c>
      <c r="R78" s="640">
        <v>0</v>
      </c>
      <c r="S78" s="648">
        <v>145.79960775533831</v>
      </c>
      <c r="U78" s="639" t="s">
        <v>84</v>
      </c>
      <c r="V78" s="640">
        <v>2.8214338015700005</v>
      </c>
      <c r="W78" s="640">
        <v>0</v>
      </c>
      <c r="X78" s="640">
        <v>130.9502374537683</v>
      </c>
      <c r="Y78" s="640">
        <v>12.027936500000001</v>
      </c>
      <c r="Z78" s="640">
        <v>0</v>
      </c>
      <c r="AA78" s="640">
        <v>0</v>
      </c>
      <c r="AB78" s="640">
        <v>0</v>
      </c>
      <c r="AC78" s="640">
        <v>0</v>
      </c>
      <c r="AD78" s="640">
        <v>0</v>
      </c>
      <c r="AE78" s="640">
        <v>0</v>
      </c>
      <c r="AF78" s="640">
        <v>0</v>
      </c>
      <c r="AG78" s="640">
        <v>0</v>
      </c>
      <c r="AH78" s="640">
        <v>0</v>
      </c>
      <c r="AI78" s="640">
        <v>0</v>
      </c>
      <c r="AJ78" s="640">
        <v>0</v>
      </c>
      <c r="AK78" s="648">
        <v>145.79960775533831</v>
      </c>
    </row>
    <row r="79" spans="3:37" x14ac:dyDescent="0.2">
      <c r="C79" s="644" t="s">
        <v>85</v>
      </c>
      <c r="D79" s="645">
        <v>12.535978093220002</v>
      </c>
      <c r="E79" s="645">
        <v>0</v>
      </c>
      <c r="F79" s="645">
        <v>677.4653509361566</v>
      </c>
      <c r="G79" s="645">
        <v>319.82339625000003</v>
      </c>
      <c r="H79" s="645">
        <v>0</v>
      </c>
      <c r="I79" s="645">
        <v>0</v>
      </c>
      <c r="J79" s="645">
        <v>89.631369661912075</v>
      </c>
      <c r="K79" s="645">
        <v>5.8545917562277001</v>
      </c>
      <c r="L79" s="645">
        <v>33.731429466673177</v>
      </c>
      <c r="M79" s="645">
        <v>2.9128985020312106</v>
      </c>
      <c r="N79" s="645">
        <v>32.65154555555555</v>
      </c>
      <c r="O79" s="645">
        <v>2.7271105977250834</v>
      </c>
      <c r="P79" s="645">
        <v>411.35941499999996</v>
      </c>
      <c r="Q79" s="645">
        <v>41.664573167005962</v>
      </c>
      <c r="R79" s="645">
        <v>0</v>
      </c>
      <c r="S79" s="645">
        <v>1630.3576589865074</v>
      </c>
      <c r="U79" s="644" t="s">
        <v>85</v>
      </c>
      <c r="V79" s="645">
        <v>12.535978093220002</v>
      </c>
      <c r="W79" s="645">
        <v>0</v>
      </c>
      <c r="X79" s="645">
        <v>677.4653509361566</v>
      </c>
      <c r="Y79" s="645">
        <v>319.82339625000003</v>
      </c>
      <c r="Z79" s="645">
        <v>0</v>
      </c>
      <c r="AA79" s="645">
        <v>0</v>
      </c>
      <c r="AB79" s="645">
        <v>89.631369661912075</v>
      </c>
      <c r="AC79" s="645">
        <v>5.8545917562277001</v>
      </c>
      <c r="AD79" s="645">
        <v>33.731429466673177</v>
      </c>
      <c r="AE79" s="645">
        <v>2.9128985020312106</v>
      </c>
      <c r="AF79" s="645">
        <v>32.65154555555555</v>
      </c>
      <c r="AG79" s="645">
        <v>2.7271105977250834</v>
      </c>
      <c r="AH79" s="645">
        <v>411.35941499999996</v>
      </c>
      <c r="AI79" s="645">
        <v>41.664573167005962</v>
      </c>
      <c r="AJ79" s="645">
        <v>0</v>
      </c>
      <c r="AK79" s="645">
        <v>1630.3576589865074</v>
      </c>
    </row>
    <row r="80" spans="3:37" x14ac:dyDescent="0.2">
      <c r="C80" s="634"/>
      <c r="D80" s="634"/>
      <c r="E80" s="634"/>
      <c r="F80" s="634"/>
      <c r="G80" s="634"/>
      <c r="H80" s="634"/>
      <c r="I80" s="634"/>
      <c r="J80" s="634"/>
      <c r="K80" s="634"/>
      <c r="L80" s="634"/>
      <c r="M80" s="634"/>
      <c r="N80" s="634"/>
      <c r="O80" s="634"/>
      <c r="P80" s="634"/>
      <c r="Q80" s="634"/>
      <c r="R80" s="634"/>
      <c r="S80" s="634"/>
      <c r="U80" s="634"/>
      <c r="V80" s="634"/>
      <c r="W80" s="634"/>
      <c r="X80" s="634"/>
      <c r="Y80" s="634"/>
      <c r="Z80" s="634"/>
      <c r="AA80" s="634"/>
      <c r="AB80" s="634"/>
      <c r="AC80" s="634"/>
      <c r="AD80" s="634"/>
      <c r="AE80" s="634"/>
      <c r="AF80" s="634"/>
      <c r="AG80" s="634"/>
      <c r="AH80" s="634"/>
      <c r="AI80" s="634"/>
      <c r="AJ80" s="634"/>
      <c r="AK80" s="634"/>
    </row>
    <row r="81" spans="3:37" ht="22.5" x14ac:dyDescent="0.3">
      <c r="C81" s="759" t="s">
        <v>355</v>
      </c>
      <c r="D81" s="759"/>
      <c r="E81" s="759"/>
      <c r="F81" s="759"/>
      <c r="G81" s="759"/>
      <c r="H81" s="759"/>
      <c r="I81" s="759"/>
      <c r="J81" s="759"/>
      <c r="K81" s="759"/>
      <c r="L81" s="759"/>
      <c r="M81" s="759"/>
      <c r="N81" s="759"/>
      <c r="O81" s="759"/>
      <c r="P81" s="759"/>
      <c r="Q81" s="759"/>
      <c r="R81" s="759"/>
      <c r="S81" s="759"/>
      <c r="U81" s="759" t="s">
        <v>355</v>
      </c>
      <c r="V81" s="759"/>
      <c r="W81" s="759"/>
      <c r="X81" s="759"/>
      <c r="Y81" s="759"/>
      <c r="Z81" s="759"/>
      <c r="AA81" s="759"/>
      <c r="AB81" s="759"/>
      <c r="AC81" s="759"/>
      <c r="AD81" s="759"/>
      <c r="AE81" s="759"/>
      <c r="AF81" s="759"/>
      <c r="AG81" s="759"/>
      <c r="AH81" s="759"/>
      <c r="AI81" s="759"/>
      <c r="AJ81" s="759"/>
      <c r="AK81" s="759"/>
    </row>
    <row r="82" spans="3:37" x14ac:dyDescent="0.2">
      <c r="C82" s="634"/>
      <c r="D82" s="634"/>
      <c r="E82" s="634"/>
      <c r="F82" s="634"/>
      <c r="G82" s="634"/>
      <c r="H82" s="634"/>
      <c r="I82" s="634"/>
      <c r="J82" s="634"/>
      <c r="K82" s="634"/>
      <c r="L82" s="634"/>
      <c r="M82" s="634"/>
      <c r="N82" s="634"/>
      <c r="O82" s="634"/>
      <c r="P82" s="634"/>
      <c r="Q82" s="634"/>
      <c r="R82" s="634"/>
      <c r="S82" s="634"/>
      <c r="U82" s="634"/>
      <c r="V82" s="634"/>
      <c r="W82" s="634"/>
      <c r="X82" s="634"/>
      <c r="Y82" s="634"/>
      <c r="Z82" s="634"/>
      <c r="AA82" s="634"/>
      <c r="AB82" s="634"/>
      <c r="AC82" s="634"/>
      <c r="AD82" s="634"/>
      <c r="AE82" s="634"/>
      <c r="AF82" s="634"/>
      <c r="AG82" s="634"/>
      <c r="AH82" s="634"/>
      <c r="AI82" s="634"/>
      <c r="AJ82" s="634"/>
      <c r="AK82" s="634"/>
    </row>
    <row r="83" spans="3:37" ht="12.95" customHeight="1" x14ac:dyDescent="0.2">
      <c r="C83" s="758" t="s">
        <v>128</v>
      </c>
      <c r="D83" s="757" t="s">
        <v>42</v>
      </c>
      <c r="E83" s="757" t="s">
        <v>52</v>
      </c>
      <c r="F83" s="757" t="s">
        <v>53</v>
      </c>
      <c r="G83" s="757" t="s">
        <v>32</v>
      </c>
      <c r="H83" s="757" t="s">
        <v>20</v>
      </c>
      <c r="I83" s="757" t="s">
        <v>55</v>
      </c>
      <c r="J83" s="757" t="s">
        <v>56</v>
      </c>
      <c r="K83" s="757"/>
      <c r="L83" s="757"/>
      <c r="M83" s="757"/>
      <c r="N83" s="757"/>
      <c r="O83" s="757"/>
      <c r="P83" s="757" t="s">
        <v>57</v>
      </c>
      <c r="Q83" s="757" t="s">
        <v>58</v>
      </c>
      <c r="R83" s="757" t="s">
        <v>31</v>
      </c>
      <c r="S83" s="757" t="s">
        <v>10</v>
      </c>
      <c r="U83" s="758" t="s">
        <v>128</v>
      </c>
      <c r="V83" s="757" t="s">
        <v>42</v>
      </c>
      <c r="W83" s="757" t="s">
        <v>52</v>
      </c>
      <c r="X83" s="757" t="s">
        <v>53</v>
      </c>
      <c r="Y83" s="757" t="s">
        <v>32</v>
      </c>
      <c r="Z83" s="757" t="s">
        <v>20</v>
      </c>
      <c r="AA83" s="757" t="s">
        <v>55</v>
      </c>
      <c r="AB83" s="757" t="s">
        <v>56</v>
      </c>
      <c r="AC83" s="757"/>
      <c r="AD83" s="757"/>
      <c r="AE83" s="757"/>
      <c r="AF83" s="757"/>
      <c r="AG83" s="757"/>
      <c r="AH83" s="757" t="s">
        <v>57</v>
      </c>
      <c r="AI83" s="757" t="s">
        <v>58</v>
      </c>
      <c r="AJ83" s="757" t="s">
        <v>31</v>
      </c>
      <c r="AK83" s="757" t="s">
        <v>10</v>
      </c>
    </row>
    <row r="84" spans="3:37" ht="56.25" x14ac:dyDescent="0.2">
      <c r="C84" s="758"/>
      <c r="D84" s="757"/>
      <c r="E84" s="757"/>
      <c r="F84" s="757"/>
      <c r="G84" s="757"/>
      <c r="H84" s="757"/>
      <c r="I84" s="757"/>
      <c r="J84" s="638" t="s">
        <v>335</v>
      </c>
      <c r="K84" s="638" t="s">
        <v>40</v>
      </c>
      <c r="L84" s="638" t="s">
        <v>343</v>
      </c>
      <c r="M84" s="638" t="s">
        <v>344</v>
      </c>
      <c r="N84" s="638" t="s">
        <v>345</v>
      </c>
      <c r="O84" s="638" t="s">
        <v>346</v>
      </c>
      <c r="P84" s="757"/>
      <c r="Q84" s="757"/>
      <c r="R84" s="757"/>
      <c r="S84" s="757"/>
      <c r="U84" s="758"/>
      <c r="V84" s="757"/>
      <c r="W84" s="757"/>
      <c r="X84" s="757"/>
      <c r="Y84" s="757"/>
      <c r="Z84" s="757"/>
      <c r="AA84" s="757"/>
      <c r="AB84" s="638" t="s">
        <v>335</v>
      </c>
      <c r="AC84" s="638" t="s">
        <v>40</v>
      </c>
      <c r="AD84" s="638" t="s">
        <v>343</v>
      </c>
      <c r="AE84" s="638" t="s">
        <v>344</v>
      </c>
      <c r="AF84" s="638" t="s">
        <v>345</v>
      </c>
      <c r="AG84" s="638" t="s">
        <v>346</v>
      </c>
      <c r="AH84" s="757"/>
      <c r="AI84" s="757"/>
      <c r="AJ84" s="757"/>
      <c r="AK84" s="757"/>
    </row>
    <row r="85" spans="3:37" x14ac:dyDescent="0.2">
      <c r="C85" s="639" t="s">
        <v>59</v>
      </c>
      <c r="D85" s="640">
        <v>0</v>
      </c>
      <c r="E85" s="641">
        <v>9.7691999999999997</v>
      </c>
      <c r="F85" s="641">
        <v>0</v>
      </c>
      <c r="G85" s="640">
        <v>0.18608000000000002</v>
      </c>
      <c r="H85" s="641">
        <v>1100.0000000000002</v>
      </c>
      <c r="I85" s="641">
        <v>135.04231425541462</v>
      </c>
      <c r="J85" s="641">
        <v>189.86826025669441</v>
      </c>
      <c r="K85" s="641">
        <v>24.170186950164744</v>
      </c>
      <c r="L85" s="641">
        <v>0.17473616288186822</v>
      </c>
      <c r="M85" s="641">
        <v>0.14724141092299528</v>
      </c>
      <c r="N85" s="641">
        <v>36.514651680131124</v>
      </c>
      <c r="O85" s="641">
        <v>5.8993526953350273</v>
      </c>
      <c r="P85" s="642">
        <v>0</v>
      </c>
      <c r="Q85" s="641">
        <v>0</v>
      </c>
      <c r="R85" s="641">
        <v>0</v>
      </c>
      <c r="S85" s="643">
        <v>1501.7720234115452</v>
      </c>
      <c r="U85" s="639" t="s">
        <v>59</v>
      </c>
      <c r="V85" s="640">
        <v>0</v>
      </c>
      <c r="W85" s="641">
        <v>9.7691999999999997</v>
      </c>
      <c r="X85" s="641">
        <v>0</v>
      </c>
      <c r="Y85" s="640">
        <v>0.18608000000000002</v>
      </c>
      <c r="Z85" s="641">
        <v>1119.7245179063361</v>
      </c>
      <c r="AA85" s="641">
        <v>139.7041324372328</v>
      </c>
      <c r="AB85" s="641">
        <v>163.20539166181254</v>
      </c>
      <c r="AC85" s="641">
        <v>30.468703460147175</v>
      </c>
      <c r="AD85" s="641">
        <v>0.17473616288186822</v>
      </c>
      <c r="AE85" s="641">
        <v>0.14724141092299528</v>
      </c>
      <c r="AF85" s="641">
        <v>40.964336574173757</v>
      </c>
      <c r="AG85" s="641">
        <v>7.1518943001451731</v>
      </c>
      <c r="AH85" s="642">
        <v>0</v>
      </c>
      <c r="AI85" s="641">
        <v>0</v>
      </c>
      <c r="AJ85" s="641">
        <v>0</v>
      </c>
      <c r="AK85" s="643">
        <v>1511.4962339136523</v>
      </c>
    </row>
    <row r="86" spans="3:37" x14ac:dyDescent="0.2">
      <c r="C86" s="639" t="s">
        <v>60</v>
      </c>
      <c r="D86" s="640">
        <v>55.101902053292484</v>
      </c>
      <c r="E86" s="641">
        <v>500.10836609636777</v>
      </c>
      <c r="F86" s="641">
        <v>279.29112148859122</v>
      </c>
      <c r="G86" s="640">
        <v>374.80910242212775</v>
      </c>
      <c r="H86" s="641">
        <v>0</v>
      </c>
      <c r="I86" s="641">
        <v>0</v>
      </c>
      <c r="J86" s="641">
        <v>1.5889557346935721</v>
      </c>
      <c r="K86" s="641">
        <v>0</v>
      </c>
      <c r="L86" s="641">
        <v>1.5000078530419791</v>
      </c>
      <c r="M86" s="641">
        <v>0</v>
      </c>
      <c r="N86" s="641">
        <v>0</v>
      </c>
      <c r="O86" s="641">
        <v>0</v>
      </c>
      <c r="P86" s="642">
        <v>0</v>
      </c>
      <c r="Q86" s="641">
        <v>0</v>
      </c>
      <c r="R86" s="641">
        <v>0</v>
      </c>
      <c r="S86" s="643">
        <v>1212.3994556481148</v>
      </c>
      <c r="U86" s="639" t="s">
        <v>60</v>
      </c>
      <c r="V86" s="640">
        <v>44.533896750987545</v>
      </c>
      <c r="W86" s="641">
        <v>459.32392184850846</v>
      </c>
      <c r="X86" s="641">
        <v>277.24182021025467</v>
      </c>
      <c r="Y86" s="640">
        <v>383.77086405289117</v>
      </c>
      <c r="Z86" s="641">
        <v>0</v>
      </c>
      <c r="AA86" s="641">
        <v>0</v>
      </c>
      <c r="AB86" s="641">
        <v>1.5889557346935721</v>
      </c>
      <c r="AC86" s="641">
        <v>0</v>
      </c>
      <c r="AD86" s="641">
        <v>1.5000078530419791</v>
      </c>
      <c r="AE86" s="641">
        <v>0</v>
      </c>
      <c r="AF86" s="641">
        <v>0</v>
      </c>
      <c r="AG86" s="641">
        <v>0</v>
      </c>
      <c r="AH86" s="642">
        <v>0</v>
      </c>
      <c r="AI86" s="641">
        <v>0</v>
      </c>
      <c r="AJ86" s="641">
        <v>0</v>
      </c>
      <c r="AK86" s="643">
        <v>1167.9594664503775</v>
      </c>
    </row>
    <row r="87" spans="3:37" x14ac:dyDescent="0.2">
      <c r="C87" s="639" t="s">
        <v>61</v>
      </c>
      <c r="D87" s="640">
        <v>0</v>
      </c>
      <c r="E87" s="641">
        <v>0</v>
      </c>
      <c r="F87" s="641">
        <v>-1.2153350000000001</v>
      </c>
      <c r="G87" s="640">
        <v>0</v>
      </c>
      <c r="H87" s="641">
        <v>0</v>
      </c>
      <c r="I87" s="641">
        <v>0</v>
      </c>
      <c r="J87" s="641">
        <v>0</v>
      </c>
      <c r="K87" s="641">
        <v>0</v>
      </c>
      <c r="L87" s="641">
        <v>0</v>
      </c>
      <c r="M87" s="641">
        <v>0</v>
      </c>
      <c r="N87" s="641">
        <v>0</v>
      </c>
      <c r="O87" s="641">
        <v>0</v>
      </c>
      <c r="P87" s="642">
        <v>-24.298097404469559</v>
      </c>
      <c r="Q87" s="641">
        <v>0</v>
      </c>
      <c r="R87" s="641">
        <v>0</v>
      </c>
      <c r="S87" s="643">
        <v>-25.513432404469558</v>
      </c>
      <c r="U87" s="639" t="s">
        <v>61</v>
      </c>
      <c r="V87" s="640">
        <v>0</v>
      </c>
      <c r="W87" s="641">
        <v>0</v>
      </c>
      <c r="X87" s="641">
        <v>-1.2153350000000001</v>
      </c>
      <c r="Y87" s="640">
        <v>0</v>
      </c>
      <c r="Z87" s="641">
        <v>0</v>
      </c>
      <c r="AA87" s="641">
        <v>0</v>
      </c>
      <c r="AB87" s="641">
        <v>0</v>
      </c>
      <c r="AC87" s="641">
        <v>0</v>
      </c>
      <c r="AD87" s="641">
        <v>0</v>
      </c>
      <c r="AE87" s="641">
        <v>0</v>
      </c>
      <c r="AF87" s="641">
        <v>0</v>
      </c>
      <c r="AG87" s="641">
        <v>0</v>
      </c>
      <c r="AH87" s="642">
        <v>-55.679944149892151</v>
      </c>
      <c r="AI87" s="641">
        <v>0</v>
      </c>
      <c r="AJ87" s="641">
        <v>0</v>
      </c>
      <c r="AK87" s="643">
        <v>-56.895279149892154</v>
      </c>
    </row>
    <row r="88" spans="3:37" x14ac:dyDescent="0.2">
      <c r="C88" s="639" t="s">
        <v>62</v>
      </c>
      <c r="D88" s="640">
        <v>0</v>
      </c>
      <c r="E88" s="641">
        <v>0</v>
      </c>
      <c r="F88" s="641">
        <v>-18.810185715850007</v>
      </c>
      <c r="G88" s="640">
        <v>0</v>
      </c>
      <c r="H88" s="641">
        <v>0</v>
      </c>
      <c r="I88" s="641">
        <v>0</v>
      </c>
      <c r="J88" s="641">
        <v>0</v>
      </c>
      <c r="K88" s="641">
        <v>0</v>
      </c>
      <c r="L88" s="641">
        <v>0</v>
      </c>
      <c r="M88" s="641">
        <v>0</v>
      </c>
      <c r="N88" s="641">
        <v>0</v>
      </c>
      <c r="O88" s="641">
        <v>0</v>
      </c>
      <c r="P88" s="642">
        <v>0</v>
      </c>
      <c r="Q88" s="641">
        <v>0</v>
      </c>
      <c r="R88" s="641">
        <v>0</v>
      </c>
      <c r="S88" s="643">
        <v>-18.810185715850007</v>
      </c>
      <c r="U88" s="639" t="s">
        <v>62</v>
      </c>
      <c r="V88" s="640">
        <v>0</v>
      </c>
      <c r="W88" s="641">
        <v>0</v>
      </c>
      <c r="X88" s="641">
        <v>-18.660224222059444</v>
      </c>
      <c r="Y88" s="640">
        <v>0</v>
      </c>
      <c r="Z88" s="641">
        <v>0</v>
      </c>
      <c r="AA88" s="641">
        <v>0</v>
      </c>
      <c r="AB88" s="641">
        <v>0</v>
      </c>
      <c r="AC88" s="641">
        <v>0</v>
      </c>
      <c r="AD88" s="641">
        <v>0</v>
      </c>
      <c r="AE88" s="641">
        <v>0</v>
      </c>
      <c r="AF88" s="641">
        <v>0</v>
      </c>
      <c r="AG88" s="641">
        <v>0</v>
      </c>
      <c r="AH88" s="642">
        <v>0</v>
      </c>
      <c r="AI88" s="641">
        <v>0</v>
      </c>
      <c r="AJ88" s="641">
        <v>0</v>
      </c>
      <c r="AK88" s="643">
        <v>-18.660224222059444</v>
      </c>
    </row>
    <row r="89" spans="3:37" x14ac:dyDescent="0.2">
      <c r="C89" s="639" t="s">
        <v>63</v>
      </c>
      <c r="D89" s="640">
        <v>0</v>
      </c>
      <c r="E89" s="641">
        <v>0</v>
      </c>
      <c r="F89" s="641">
        <v>-62.925116345665856</v>
      </c>
      <c r="G89" s="640">
        <v>0</v>
      </c>
      <c r="H89" s="641">
        <v>0</v>
      </c>
      <c r="I89" s="641">
        <v>0</v>
      </c>
      <c r="J89" s="641">
        <v>0</v>
      </c>
      <c r="K89" s="641">
        <v>0</v>
      </c>
      <c r="L89" s="641">
        <v>-0.48762923007264619</v>
      </c>
      <c r="M89" s="641">
        <v>0</v>
      </c>
      <c r="N89" s="641">
        <v>0</v>
      </c>
      <c r="O89" s="641">
        <v>0</v>
      </c>
      <c r="P89" s="642">
        <v>0</v>
      </c>
      <c r="Q89" s="641">
        <v>0</v>
      </c>
      <c r="R89" s="641">
        <v>0</v>
      </c>
      <c r="S89" s="643">
        <v>-63.412745575738505</v>
      </c>
      <c r="U89" s="639" t="s">
        <v>63</v>
      </c>
      <c r="V89" s="640">
        <v>0</v>
      </c>
      <c r="W89" s="641">
        <v>0</v>
      </c>
      <c r="X89" s="641">
        <v>-57.939384373642596</v>
      </c>
      <c r="Y89" s="640">
        <v>0</v>
      </c>
      <c r="Z89" s="641">
        <v>0</v>
      </c>
      <c r="AA89" s="641">
        <v>0</v>
      </c>
      <c r="AB89" s="641">
        <v>0</v>
      </c>
      <c r="AC89" s="641">
        <v>0</v>
      </c>
      <c r="AD89" s="641">
        <v>-0.93673862712011491</v>
      </c>
      <c r="AE89" s="641">
        <v>0</v>
      </c>
      <c r="AF89" s="641">
        <v>0</v>
      </c>
      <c r="AG89" s="641">
        <v>0</v>
      </c>
      <c r="AH89" s="642">
        <v>0</v>
      </c>
      <c r="AI89" s="641">
        <v>0</v>
      </c>
      <c r="AJ89" s="641">
        <v>0</v>
      </c>
      <c r="AK89" s="643">
        <v>-58.876123000762711</v>
      </c>
    </row>
    <row r="90" spans="3:37" x14ac:dyDescent="0.2">
      <c r="C90" s="639" t="s">
        <v>64</v>
      </c>
      <c r="D90" s="640">
        <v>9.7684723496666986E-2</v>
      </c>
      <c r="E90" s="641">
        <v>-5.9567697000000003E-2</v>
      </c>
      <c r="F90" s="641">
        <v>3.8766666666666671E-2</v>
      </c>
      <c r="G90" s="640">
        <v>0</v>
      </c>
      <c r="H90" s="641">
        <v>0</v>
      </c>
      <c r="I90" s="641">
        <v>0</v>
      </c>
      <c r="J90" s="641">
        <v>0</v>
      </c>
      <c r="K90" s="641">
        <v>0</v>
      </c>
      <c r="L90" s="641">
        <v>0</v>
      </c>
      <c r="M90" s="641">
        <v>0</v>
      </c>
      <c r="N90" s="641">
        <v>0</v>
      </c>
      <c r="O90" s="641">
        <v>0</v>
      </c>
      <c r="P90" s="642">
        <v>0</v>
      </c>
      <c r="Q90" s="641">
        <v>0</v>
      </c>
      <c r="R90" s="641">
        <v>0</v>
      </c>
      <c r="S90" s="643">
        <v>7.6883693163333655E-2</v>
      </c>
      <c r="U90" s="639" t="s">
        <v>64</v>
      </c>
      <c r="V90" s="640">
        <v>9.7684723496666986E-2</v>
      </c>
      <c r="W90" s="641">
        <v>-5.9567697000000003E-2</v>
      </c>
      <c r="X90" s="641">
        <v>3.8766666666666671E-2</v>
      </c>
      <c r="Y90" s="640">
        <v>0</v>
      </c>
      <c r="Z90" s="641">
        <v>0</v>
      </c>
      <c r="AA90" s="641">
        <v>0</v>
      </c>
      <c r="AB90" s="641">
        <v>0</v>
      </c>
      <c r="AC90" s="641">
        <v>0</v>
      </c>
      <c r="AD90" s="641">
        <v>0</v>
      </c>
      <c r="AE90" s="641">
        <v>0</v>
      </c>
      <c r="AF90" s="641">
        <v>0</v>
      </c>
      <c r="AG90" s="641">
        <v>0</v>
      </c>
      <c r="AH90" s="642">
        <v>0</v>
      </c>
      <c r="AI90" s="641">
        <v>0</v>
      </c>
      <c r="AJ90" s="641">
        <v>0</v>
      </c>
      <c r="AK90" s="643">
        <v>7.6883693163333655E-2</v>
      </c>
    </row>
    <row r="91" spans="3:37" x14ac:dyDescent="0.2">
      <c r="C91" s="644" t="s">
        <v>65</v>
      </c>
      <c r="D91" s="645">
        <v>55.199586776789154</v>
      </c>
      <c r="E91" s="645">
        <v>509.81799839936781</v>
      </c>
      <c r="F91" s="645">
        <v>196.37925109374203</v>
      </c>
      <c r="G91" s="645">
        <v>374.99518242212775</v>
      </c>
      <c r="H91" s="645">
        <v>1100.0000000000002</v>
      </c>
      <c r="I91" s="645">
        <v>135.04231425541462</v>
      </c>
      <c r="J91" s="645">
        <v>191.45721599138798</v>
      </c>
      <c r="K91" s="645">
        <v>24.170186950164744</v>
      </c>
      <c r="L91" s="645">
        <v>1.1871147858512012</v>
      </c>
      <c r="M91" s="645">
        <v>0.14724141092299528</v>
      </c>
      <c r="N91" s="645">
        <v>36.514651680131124</v>
      </c>
      <c r="O91" s="645">
        <v>5.8993526953350273</v>
      </c>
      <c r="P91" s="645">
        <v>-24.298097404469559</v>
      </c>
      <c r="Q91" s="645">
        <v>0</v>
      </c>
      <c r="R91" s="645">
        <v>0</v>
      </c>
      <c r="S91" s="645">
        <v>2606.5119990567659</v>
      </c>
      <c r="U91" s="644" t="s">
        <v>65</v>
      </c>
      <c r="V91" s="645">
        <v>44.631581474484214</v>
      </c>
      <c r="W91" s="645">
        <v>469.0335541515085</v>
      </c>
      <c r="X91" s="645">
        <v>199.46564328121934</v>
      </c>
      <c r="Y91" s="645">
        <v>383.95694405289117</v>
      </c>
      <c r="Z91" s="645">
        <v>1119.7245179063361</v>
      </c>
      <c r="AA91" s="645">
        <v>139.7041324372328</v>
      </c>
      <c r="AB91" s="645">
        <v>164.79434739650611</v>
      </c>
      <c r="AC91" s="645">
        <v>30.468703460147175</v>
      </c>
      <c r="AD91" s="645">
        <v>0.73800538880373245</v>
      </c>
      <c r="AE91" s="645">
        <v>0.14724141092299528</v>
      </c>
      <c r="AF91" s="645">
        <v>40.964336574173757</v>
      </c>
      <c r="AG91" s="645">
        <v>7.1518943001451731</v>
      </c>
      <c r="AH91" s="645">
        <v>-55.679944149892151</v>
      </c>
      <c r="AI91" s="645">
        <v>0</v>
      </c>
      <c r="AJ91" s="645">
        <v>0</v>
      </c>
      <c r="AK91" s="645">
        <v>2545.100957684479</v>
      </c>
    </row>
    <row r="92" spans="3:37" x14ac:dyDescent="0.2">
      <c r="C92" s="634"/>
      <c r="D92" s="634">
        <v>0</v>
      </c>
      <c r="E92" s="634">
        <v>0</v>
      </c>
      <c r="F92" s="634">
        <v>0</v>
      </c>
      <c r="G92" s="634">
        <v>0</v>
      </c>
      <c r="H92" s="634">
        <v>0</v>
      </c>
      <c r="I92" s="634">
        <v>0</v>
      </c>
      <c r="J92" s="634">
        <v>0</v>
      </c>
      <c r="K92" s="634">
        <v>0</v>
      </c>
      <c r="L92" s="634">
        <v>0</v>
      </c>
      <c r="M92" s="634">
        <v>0</v>
      </c>
      <c r="N92" s="634">
        <v>0</v>
      </c>
      <c r="O92" s="634">
        <v>0</v>
      </c>
      <c r="P92" s="634">
        <v>0</v>
      </c>
      <c r="Q92" s="634">
        <v>0</v>
      </c>
      <c r="R92" s="634">
        <v>0</v>
      </c>
      <c r="S92" s="634">
        <v>0</v>
      </c>
      <c r="U92" s="634"/>
      <c r="V92" s="634">
        <v>0</v>
      </c>
      <c r="W92" s="634">
        <v>0</v>
      </c>
      <c r="X92" s="634">
        <v>0</v>
      </c>
      <c r="Y92" s="634">
        <v>0</v>
      </c>
      <c r="Z92" s="634">
        <v>0</v>
      </c>
      <c r="AA92" s="634">
        <v>0</v>
      </c>
      <c r="AB92" s="634">
        <v>0</v>
      </c>
      <c r="AC92" s="634">
        <v>0</v>
      </c>
      <c r="AD92" s="634">
        <v>0</v>
      </c>
      <c r="AE92" s="634">
        <v>0</v>
      </c>
      <c r="AF92" s="634">
        <v>0</v>
      </c>
      <c r="AG92" s="634">
        <v>0</v>
      </c>
      <c r="AH92" s="634">
        <v>0</v>
      </c>
      <c r="AI92" s="634">
        <v>0</v>
      </c>
      <c r="AJ92" s="634">
        <v>0</v>
      </c>
      <c r="AK92" s="634">
        <v>0</v>
      </c>
    </row>
    <row r="93" spans="3:37" x14ac:dyDescent="0.2">
      <c r="C93" s="646" t="s">
        <v>67</v>
      </c>
      <c r="D93" s="640">
        <v>0</v>
      </c>
      <c r="E93" s="647">
        <v>4.3623690669338813E-2</v>
      </c>
      <c r="F93" s="647">
        <v>-0.43976848620269193</v>
      </c>
      <c r="G93" s="640">
        <v>0</v>
      </c>
      <c r="H93" s="640">
        <v>0</v>
      </c>
      <c r="I93" s="640">
        <v>0</v>
      </c>
      <c r="J93" s="640">
        <v>0</v>
      </c>
      <c r="K93" s="640">
        <v>0</v>
      </c>
      <c r="L93" s="640">
        <v>0</v>
      </c>
      <c r="M93" s="640">
        <v>0</v>
      </c>
      <c r="N93" s="640">
        <v>0</v>
      </c>
      <c r="O93" s="640">
        <v>0</v>
      </c>
      <c r="P93" s="640">
        <v>0.19176325930063415</v>
      </c>
      <c r="Q93" s="640">
        <v>0</v>
      </c>
      <c r="R93" s="640">
        <v>0</v>
      </c>
      <c r="S93" s="648">
        <v>-0.20438153623271899</v>
      </c>
      <c r="U93" s="646" t="s">
        <v>67</v>
      </c>
      <c r="V93" s="640">
        <v>0</v>
      </c>
      <c r="W93" s="647">
        <v>4.3623690669338813E-2</v>
      </c>
      <c r="X93" s="647">
        <v>-0.43976848620269193</v>
      </c>
      <c r="Y93" s="640">
        <v>0</v>
      </c>
      <c r="Z93" s="640">
        <v>0</v>
      </c>
      <c r="AA93" s="640">
        <v>0</v>
      </c>
      <c r="AB93" s="640">
        <v>0</v>
      </c>
      <c r="AC93" s="640">
        <v>0</v>
      </c>
      <c r="AD93" s="640">
        <v>0</v>
      </c>
      <c r="AE93" s="640">
        <v>0</v>
      </c>
      <c r="AF93" s="640">
        <v>0</v>
      </c>
      <c r="AG93" s="640">
        <v>0</v>
      </c>
      <c r="AH93" s="640">
        <v>0.19176325930063415</v>
      </c>
      <c r="AI93" s="640">
        <v>0</v>
      </c>
      <c r="AJ93" s="640">
        <v>0</v>
      </c>
      <c r="AK93" s="648">
        <v>-0.20438153623271899</v>
      </c>
    </row>
    <row r="94" spans="3:37" x14ac:dyDescent="0.2">
      <c r="C94" s="646" t="s">
        <v>347</v>
      </c>
      <c r="D94" s="640">
        <v>4.5103805765333682</v>
      </c>
      <c r="E94" s="640">
        <v>0</v>
      </c>
      <c r="F94" s="640">
        <v>9.8157441879701768</v>
      </c>
      <c r="G94" s="640">
        <v>18.775665399239546</v>
      </c>
      <c r="H94" s="640">
        <v>1100.0000000000002</v>
      </c>
      <c r="I94" s="640">
        <v>135.04231425541462</v>
      </c>
      <c r="J94" s="649">
        <v>34.496026032636451</v>
      </c>
      <c r="K94" s="649">
        <v>9.8540491520373141</v>
      </c>
      <c r="L94" s="649">
        <v>1.6747440159238469</v>
      </c>
      <c r="M94" s="649">
        <v>0.35186004718702235</v>
      </c>
      <c r="N94" s="649">
        <v>0</v>
      </c>
      <c r="O94" s="649">
        <v>1.0949510903328832</v>
      </c>
      <c r="P94" s="640">
        <v>-528.16324498212941</v>
      </c>
      <c r="Q94" s="640">
        <v>0</v>
      </c>
      <c r="R94" s="640">
        <v>0</v>
      </c>
      <c r="S94" s="648">
        <v>787.45248977514632</v>
      </c>
      <c r="U94" s="646" t="s">
        <v>347</v>
      </c>
      <c r="V94" s="640">
        <v>5.5105945472454412</v>
      </c>
      <c r="W94" s="640">
        <v>0</v>
      </c>
      <c r="X94" s="640">
        <v>9.2785541053255489</v>
      </c>
      <c r="Y94" s="640">
        <v>63.913833390943651</v>
      </c>
      <c r="Z94" s="640">
        <v>1119.7245179063361</v>
      </c>
      <c r="AA94" s="640">
        <v>139.7041324372328</v>
      </c>
      <c r="AB94" s="649">
        <v>30.922255006102869</v>
      </c>
      <c r="AC94" s="649">
        <v>9.8129258074353114</v>
      </c>
      <c r="AD94" s="649">
        <v>1.6747440159238469</v>
      </c>
      <c r="AE94" s="649">
        <v>2.1200176690328574</v>
      </c>
      <c r="AF94" s="649">
        <v>0</v>
      </c>
      <c r="AG94" s="649">
        <v>1.0949510903328832</v>
      </c>
      <c r="AH94" s="640">
        <v>-563.75233589122035</v>
      </c>
      <c r="AI94" s="640">
        <v>0</v>
      </c>
      <c r="AJ94" s="640">
        <v>0</v>
      </c>
      <c r="AK94" s="648">
        <v>820.00419008469089</v>
      </c>
    </row>
    <row r="95" spans="3:37" x14ac:dyDescent="0.2">
      <c r="C95" s="646" t="s">
        <v>348</v>
      </c>
      <c r="D95" s="640">
        <v>0.6999963952131163</v>
      </c>
      <c r="E95" s="640">
        <v>0</v>
      </c>
      <c r="F95" s="640">
        <v>9.7194502166343774E-2</v>
      </c>
      <c r="G95" s="640">
        <v>17.132629973754788</v>
      </c>
      <c r="H95" s="640">
        <v>0</v>
      </c>
      <c r="I95" s="640">
        <v>0</v>
      </c>
      <c r="J95" s="649">
        <v>14.734948238156928</v>
      </c>
      <c r="K95" s="649">
        <v>12.603624013464524</v>
      </c>
      <c r="L95" s="649">
        <v>0</v>
      </c>
      <c r="M95" s="649">
        <v>0.22730502357401322</v>
      </c>
      <c r="N95" s="649">
        <v>0</v>
      </c>
      <c r="O95" s="649">
        <v>2.3801724763059897</v>
      </c>
      <c r="P95" s="640">
        <v>0</v>
      </c>
      <c r="Q95" s="640">
        <v>-42.214668535116644</v>
      </c>
      <c r="R95" s="640">
        <v>0</v>
      </c>
      <c r="S95" s="648">
        <v>5.6612020875190572</v>
      </c>
      <c r="U95" s="646" t="s">
        <v>348</v>
      </c>
      <c r="V95" s="640">
        <v>0.57556847895375396</v>
      </c>
      <c r="W95" s="640">
        <v>0</v>
      </c>
      <c r="X95" s="640">
        <v>9.6807273074047573E-2</v>
      </c>
      <c r="Y95" s="640">
        <v>19.098436526179597</v>
      </c>
      <c r="Z95" s="640">
        <v>0</v>
      </c>
      <c r="AA95" s="640">
        <v>0</v>
      </c>
      <c r="AB95" s="649">
        <v>18.536093620572945</v>
      </c>
      <c r="AC95" s="649">
        <v>15.896426642523334</v>
      </c>
      <c r="AD95" s="649">
        <v>0</v>
      </c>
      <c r="AE95" s="649">
        <v>0.61098888777569416</v>
      </c>
      <c r="AF95" s="649">
        <v>0</v>
      </c>
      <c r="AG95" s="649">
        <v>3.2143759234787459</v>
      </c>
      <c r="AH95" s="640">
        <v>0</v>
      </c>
      <c r="AI95" s="640">
        <v>-51.338123400700034</v>
      </c>
      <c r="AJ95" s="640">
        <v>0</v>
      </c>
      <c r="AK95" s="648">
        <v>6.6905739518580836</v>
      </c>
    </row>
    <row r="96" spans="3:37" x14ac:dyDescent="0.2">
      <c r="C96" s="646" t="s">
        <v>349</v>
      </c>
      <c r="D96" s="640">
        <v>0</v>
      </c>
      <c r="E96" s="640">
        <v>0</v>
      </c>
      <c r="F96" s="640">
        <v>0</v>
      </c>
      <c r="G96" s="640">
        <v>0</v>
      </c>
      <c r="H96" s="640">
        <v>0</v>
      </c>
      <c r="I96" s="640">
        <v>0</v>
      </c>
      <c r="J96" s="650">
        <v>5.238502832319341</v>
      </c>
      <c r="K96" s="650">
        <v>0</v>
      </c>
      <c r="L96" s="650">
        <v>0</v>
      </c>
      <c r="M96" s="650">
        <v>-4.5574974641178265</v>
      </c>
      <c r="N96" s="650">
        <v>0</v>
      </c>
      <c r="O96" s="650">
        <v>0</v>
      </c>
      <c r="P96" s="640">
        <v>0</v>
      </c>
      <c r="Q96" s="640">
        <v>0</v>
      </c>
      <c r="R96" s="640">
        <v>0</v>
      </c>
      <c r="S96" s="648">
        <v>0.68100536820151447</v>
      </c>
      <c r="U96" s="646" t="s">
        <v>349</v>
      </c>
      <c r="V96" s="640">
        <v>0</v>
      </c>
      <c r="W96" s="640">
        <v>0</v>
      </c>
      <c r="X96" s="640">
        <v>0</v>
      </c>
      <c r="Y96" s="640">
        <v>0</v>
      </c>
      <c r="Z96" s="640">
        <v>0</v>
      </c>
      <c r="AA96" s="640">
        <v>0</v>
      </c>
      <c r="AB96" s="650">
        <v>13.772235368900052</v>
      </c>
      <c r="AC96" s="650">
        <v>0</v>
      </c>
      <c r="AD96" s="650">
        <v>0</v>
      </c>
      <c r="AE96" s="650">
        <v>-11.981844770943045</v>
      </c>
      <c r="AF96" s="650">
        <v>0</v>
      </c>
      <c r="AG96" s="650">
        <v>0</v>
      </c>
      <c r="AH96" s="640">
        <v>0</v>
      </c>
      <c r="AI96" s="640">
        <v>0</v>
      </c>
      <c r="AJ96" s="640">
        <v>0</v>
      </c>
      <c r="AK96" s="648">
        <v>1.7903905979570069</v>
      </c>
    </row>
    <row r="97" spans="3:37" x14ac:dyDescent="0.2">
      <c r="C97" s="646" t="s">
        <v>350</v>
      </c>
      <c r="D97" s="640">
        <v>0</v>
      </c>
      <c r="E97" s="640">
        <v>0</v>
      </c>
      <c r="F97" s="640">
        <v>0</v>
      </c>
      <c r="G97" s="640">
        <v>0</v>
      </c>
      <c r="H97" s="640">
        <v>0</v>
      </c>
      <c r="I97" s="640">
        <v>0</v>
      </c>
      <c r="J97" s="640">
        <v>0</v>
      </c>
      <c r="K97" s="640">
        <v>0</v>
      </c>
      <c r="L97" s="640">
        <v>0</v>
      </c>
      <c r="M97" s="640">
        <v>0</v>
      </c>
      <c r="N97" s="640">
        <v>0</v>
      </c>
      <c r="O97" s="640">
        <v>0</v>
      </c>
      <c r="P97" s="640">
        <v>0</v>
      </c>
      <c r="Q97" s="640">
        <v>0</v>
      </c>
      <c r="R97" s="640">
        <v>0</v>
      </c>
      <c r="S97" s="648">
        <v>0</v>
      </c>
      <c r="U97" s="646" t="s">
        <v>350</v>
      </c>
      <c r="V97" s="640">
        <v>0</v>
      </c>
      <c r="W97" s="640">
        <v>0</v>
      </c>
      <c r="X97" s="640">
        <v>0</v>
      </c>
      <c r="Y97" s="640">
        <v>0</v>
      </c>
      <c r="Z97" s="640">
        <v>0</v>
      </c>
      <c r="AA97" s="640">
        <v>0</v>
      </c>
      <c r="AB97" s="640">
        <v>0</v>
      </c>
      <c r="AC97" s="640">
        <v>0</v>
      </c>
      <c r="AD97" s="640">
        <v>0</v>
      </c>
      <c r="AE97" s="640">
        <v>0</v>
      </c>
      <c r="AF97" s="640">
        <v>0</v>
      </c>
      <c r="AG97" s="640">
        <v>0</v>
      </c>
      <c r="AH97" s="640">
        <v>0</v>
      </c>
      <c r="AI97" s="640">
        <v>0</v>
      </c>
      <c r="AJ97" s="640">
        <v>0</v>
      </c>
      <c r="AK97" s="648">
        <v>0</v>
      </c>
    </row>
    <row r="98" spans="3:37" x14ac:dyDescent="0.2">
      <c r="C98" s="646" t="s">
        <v>72</v>
      </c>
      <c r="D98" s="640">
        <v>0</v>
      </c>
      <c r="E98" s="640">
        <v>528.18160482950532</v>
      </c>
      <c r="F98" s="640">
        <v>-522.91035312734175</v>
      </c>
      <c r="G98" s="640">
        <v>0</v>
      </c>
      <c r="H98" s="640">
        <v>0</v>
      </c>
      <c r="I98" s="640">
        <v>0</v>
      </c>
      <c r="J98" s="640">
        <v>0</v>
      </c>
      <c r="K98" s="640">
        <v>0</v>
      </c>
      <c r="L98" s="640">
        <v>0</v>
      </c>
      <c r="M98" s="640">
        <v>0</v>
      </c>
      <c r="N98" s="640">
        <v>0</v>
      </c>
      <c r="O98" s="640">
        <v>0</v>
      </c>
      <c r="P98" s="640">
        <v>0</v>
      </c>
      <c r="Q98" s="640">
        <v>0</v>
      </c>
      <c r="R98" s="640">
        <v>0</v>
      </c>
      <c r="S98" s="648">
        <v>5.2712517021635534</v>
      </c>
      <c r="U98" s="646" t="s">
        <v>72</v>
      </c>
      <c r="V98" s="640">
        <v>0</v>
      </c>
      <c r="W98" s="640">
        <v>485.93325526938804</v>
      </c>
      <c r="X98" s="640">
        <v>-481.0844870628257</v>
      </c>
      <c r="Y98" s="640">
        <v>0</v>
      </c>
      <c r="Z98" s="640">
        <v>0</v>
      </c>
      <c r="AA98" s="640">
        <v>0</v>
      </c>
      <c r="AB98" s="640">
        <v>0</v>
      </c>
      <c r="AC98" s="640">
        <v>0</v>
      </c>
      <c r="AD98" s="640">
        <v>0</v>
      </c>
      <c r="AE98" s="640">
        <v>0</v>
      </c>
      <c r="AF98" s="640">
        <v>0</v>
      </c>
      <c r="AG98" s="640">
        <v>0</v>
      </c>
      <c r="AH98" s="640">
        <v>0</v>
      </c>
      <c r="AI98" s="640">
        <v>0</v>
      </c>
      <c r="AJ98" s="640">
        <v>0</v>
      </c>
      <c r="AK98" s="648">
        <v>4.8487682065623261</v>
      </c>
    </row>
    <row r="99" spans="3:37" x14ac:dyDescent="0.2">
      <c r="C99" s="646" t="s">
        <v>351</v>
      </c>
      <c r="D99" s="640">
        <v>0</v>
      </c>
      <c r="E99" s="640">
        <v>0</v>
      </c>
      <c r="F99" s="640">
        <v>0</v>
      </c>
      <c r="G99" s="640">
        <v>0</v>
      </c>
      <c r="H99" s="640">
        <v>0</v>
      </c>
      <c r="I99" s="640">
        <v>0</v>
      </c>
      <c r="J99" s="640">
        <v>41.023636384681005</v>
      </c>
      <c r="K99" s="640">
        <v>0</v>
      </c>
      <c r="L99" s="640">
        <v>-41.023636384681005</v>
      </c>
      <c r="M99" s="640">
        <v>0</v>
      </c>
      <c r="N99" s="640">
        <v>0</v>
      </c>
      <c r="O99" s="640">
        <v>0</v>
      </c>
      <c r="P99" s="640">
        <v>0</v>
      </c>
      <c r="Q99" s="640">
        <v>0</v>
      </c>
      <c r="R99" s="640">
        <v>0</v>
      </c>
      <c r="S99" s="648">
        <v>0</v>
      </c>
      <c r="U99" s="646" t="s">
        <v>351</v>
      </c>
      <c r="V99" s="640">
        <v>0</v>
      </c>
      <c r="W99" s="640">
        <v>0</v>
      </c>
      <c r="X99" s="640">
        <v>0</v>
      </c>
      <c r="Y99" s="640">
        <v>0</v>
      </c>
      <c r="Z99" s="640">
        <v>0</v>
      </c>
      <c r="AA99" s="640">
        <v>0</v>
      </c>
      <c r="AB99" s="640" t="e">
        <v>#VALUE!</v>
      </c>
      <c r="AC99" s="640">
        <v>0</v>
      </c>
      <c r="AD99" s="640">
        <v>-41.390538118321977</v>
      </c>
      <c r="AE99" s="640">
        <v>0</v>
      </c>
      <c r="AF99" s="640">
        <v>0</v>
      </c>
      <c r="AG99" s="640">
        <v>0</v>
      </c>
      <c r="AH99" s="640">
        <v>0</v>
      </c>
      <c r="AI99" s="640">
        <v>0</v>
      </c>
      <c r="AJ99" s="640">
        <v>0</v>
      </c>
      <c r="AK99" s="648">
        <v>-41.390538118321977</v>
      </c>
    </row>
    <row r="100" spans="3:37" x14ac:dyDescent="0.2">
      <c r="C100" s="646" t="s">
        <v>352</v>
      </c>
      <c r="D100" s="640">
        <v>0</v>
      </c>
      <c r="E100" s="640">
        <v>0</v>
      </c>
      <c r="F100" s="640">
        <v>0</v>
      </c>
      <c r="G100" s="640">
        <v>0</v>
      </c>
      <c r="H100" s="640">
        <v>0</v>
      </c>
      <c r="I100" s="640">
        <v>0</v>
      </c>
      <c r="J100" s="640">
        <v>0</v>
      </c>
      <c r="K100" s="640">
        <v>0</v>
      </c>
      <c r="L100" s="640">
        <v>0</v>
      </c>
      <c r="M100" s="640">
        <v>0</v>
      </c>
      <c r="N100" s="640">
        <v>0</v>
      </c>
      <c r="O100" s="640">
        <v>0</v>
      </c>
      <c r="P100" s="640">
        <v>0</v>
      </c>
      <c r="Q100" s="640">
        <v>0</v>
      </c>
      <c r="R100" s="640">
        <v>0</v>
      </c>
      <c r="S100" s="648">
        <v>0</v>
      </c>
      <c r="U100" s="646" t="s">
        <v>352</v>
      </c>
      <c r="V100" s="640">
        <v>0</v>
      </c>
      <c r="W100" s="640">
        <v>0</v>
      </c>
      <c r="X100" s="640">
        <v>0</v>
      </c>
      <c r="Y100" s="640">
        <v>0</v>
      </c>
      <c r="Z100" s="640">
        <v>0</v>
      </c>
      <c r="AA100" s="640">
        <v>0</v>
      </c>
      <c r="AB100" s="640">
        <v>0</v>
      </c>
      <c r="AC100" s="640">
        <v>0</v>
      </c>
      <c r="AD100" s="640">
        <v>0</v>
      </c>
      <c r="AE100" s="640">
        <v>0</v>
      </c>
      <c r="AF100" s="640">
        <v>0</v>
      </c>
      <c r="AG100" s="640">
        <v>0</v>
      </c>
      <c r="AH100" s="640">
        <v>0</v>
      </c>
      <c r="AI100" s="640">
        <v>0</v>
      </c>
      <c r="AJ100" s="640">
        <v>0</v>
      </c>
      <c r="AK100" s="648">
        <v>0</v>
      </c>
    </row>
    <row r="101" spans="3:37" x14ac:dyDescent="0.2">
      <c r="C101" s="646" t="s">
        <v>73</v>
      </c>
      <c r="D101" s="640">
        <v>0</v>
      </c>
      <c r="E101" s="640">
        <v>0</v>
      </c>
      <c r="F101" s="640">
        <v>0</v>
      </c>
      <c r="G101" s="640">
        <v>0.3688106228045655</v>
      </c>
      <c r="H101" s="640">
        <v>0</v>
      </c>
      <c r="I101" s="640">
        <v>0</v>
      </c>
      <c r="J101" s="640">
        <v>0</v>
      </c>
      <c r="K101" s="640">
        <v>4.0111846923828126E-3</v>
      </c>
      <c r="L101" s="640">
        <v>0</v>
      </c>
      <c r="M101" s="640">
        <v>4.6306720562744137E-3</v>
      </c>
      <c r="N101" s="640">
        <v>0</v>
      </c>
      <c r="O101" s="640">
        <v>0</v>
      </c>
      <c r="P101" s="640">
        <v>2.54864504300631E-2</v>
      </c>
      <c r="Q101" s="640">
        <v>0</v>
      </c>
      <c r="R101" s="640">
        <v>-0.28078292846679692</v>
      </c>
      <c r="S101" s="648">
        <v>0.12215600151648892</v>
      </c>
      <c r="U101" s="646" t="s">
        <v>73</v>
      </c>
      <c r="V101" s="640">
        <v>0</v>
      </c>
      <c r="W101" s="640">
        <v>0</v>
      </c>
      <c r="X101" s="640">
        <v>0</v>
      </c>
      <c r="Y101" s="640">
        <v>1.2251451363860373</v>
      </c>
      <c r="Z101" s="640">
        <v>0</v>
      </c>
      <c r="AA101" s="640">
        <v>0</v>
      </c>
      <c r="AB101" s="640">
        <v>0</v>
      </c>
      <c r="AC101" s="640">
        <v>1.6303964872591784E-2</v>
      </c>
      <c r="AD101" s="640">
        <v>0</v>
      </c>
      <c r="AE101" s="640">
        <v>3.8412141239826253E-2</v>
      </c>
      <c r="AF101" s="640">
        <v>0</v>
      </c>
      <c r="AG101" s="640">
        <v>0</v>
      </c>
      <c r="AH101" s="640">
        <v>0.37749949435770208</v>
      </c>
      <c r="AI101" s="640">
        <v>0</v>
      </c>
      <c r="AJ101" s="640">
        <v>-1.1412775410814249</v>
      </c>
      <c r="AK101" s="648">
        <v>0.51608319577473249</v>
      </c>
    </row>
    <row r="102" spans="3:37" x14ac:dyDescent="0.2">
      <c r="C102" s="646" t="s">
        <v>353</v>
      </c>
      <c r="D102" s="640">
        <v>30.422460937499999</v>
      </c>
      <c r="E102" s="640">
        <v>-18.4071872151276</v>
      </c>
      <c r="F102" s="640">
        <v>24.023113751560182</v>
      </c>
      <c r="G102" s="640">
        <v>0</v>
      </c>
      <c r="H102" s="640">
        <v>0</v>
      </c>
      <c r="I102" s="640">
        <v>0</v>
      </c>
      <c r="J102" s="640">
        <v>0</v>
      </c>
      <c r="K102" s="640">
        <v>0</v>
      </c>
      <c r="L102" s="640">
        <v>0</v>
      </c>
      <c r="M102" s="640">
        <v>0</v>
      </c>
      <c r="N102" s="640">
        <v>0</v>
      </c>
      <c r="O102" s="640">
        <v>0</v>
      </c>
      <c r="P102" s="640">
        <v>0</v>
      </c>
      <c r="Q102" s="640">
        <v>0</v>
      </c>
      <c r="R102" s="640">
        <v>0</v>
      </c>
      <c r="S102" s="648">
        <v>36.03838747393258</v>
      </c>
      <c r="U102" s="646" t="s">
        <v>353</v>
      </c>
      <c r="V102" s="640">
        <v>19.459654296874998</v>
      </c>
      <c r="W102" s="640">
        <v>-16.94328190286954</v>
      </c>
      <c r="X102" s="640">
        <v>22.108412068991214</v>
      </c>
      <c r="Y102" s="640">
        <v>0</v>
      </c>
      <c r="Z102" s="640">
        <v>0</v>
      </c>
      <c r="AA102" s="640">
        <v>0</v>
      </c>
      <c r="AB102" s="640">
        <v>0</v>
      </c>
      <c r="AC102" s="640">
        <v>0</v>
      </c>
      <c r="AD102" s="640">
        <v>0</v>
      </c>
      <c r="AE102" s="640">
        <v>0</v>
      </c>
      <c r="AF102" s="640">
        <v>0</v>
      </c>
      <c r="AG102" s="640">
        <v>0</v>
      </c>
      <c r="AH102" s="640">
        <v>0</v>
      </c>
      <c r="AI102" s="640">
        <v>0</v>
      </c>
      <c r="AJ102" s="640">
        <v>0</v>
      </c>
      <c r="AK102" s="648">
        <v>24.624784462996672</v>
      </c>
    </row>
    <row r="103" spans="3:37" x14ac:dyDescent="0.2">
      <c r="C103" s="646" t="s">
        <v>75</v>
      </c>
      <c r="D103" s="640">
        <v>11.830957031250001</v>
      </c>
      <c r="E103" s="640">
        <v>0</v>
      </c>
      <c r="F103" s="640">
        <v>18.055588008572965</v>
      </c>
      <c r="G103" s="640">
        <v>5.1459674063225336</v>
      </c>
      <c r="H103" s="640">
        <v>0</v>
      </c>
      <c r="I103" s="640">
        <v>0</v>
      </c>
      <c r="J103" s="640">
        <v>0</v>
      </c>
      <c r="K103" s="640">
        <v>0</v>
      </c>
      <c r="L103" s="640">
        <v>0</v>
      </c>
      <c r="M103" s="640">
        <v>6.4611174400971444E-2</v>
      </c>
      <c r="N103" s="640">
        <v>0</v>
      </c>
      <c r="O103" s="640">
        <v>0</v>
      </c>
      <c r="P103" s="640">
        <v>34.108085964069424</v>
      </c>
      <c r="Q103" s="640">
        <v>0</v>
      </c>
      <c r="R103" s="640">
        <v>0</v>
      </c>
      <c r="S103" s="648">
        <v>69.205209584615886</v>
      </c>
      <c r="U103" s="646" t="s">
        <v>75</v>
      </c>
      <c r="V103" s="640">
        <v>13.970490234374999</v>
      </c>
      <c r="W103" s="640">
        <v>0</v>
      </c>
      <c r="X103" s="640">
        <v>18.055588008572965</v>
      </c>
      <c r="Y103" s="640">
        <v>5.0521769918695103</v>
      </c>
      <c r="Z103" s="640">
        <v>0</v>
      </c>
      <c r="AA103" s="640">
        <v>0</v>
      </c>
      <c r="AB103" s="640">
        <v>0</v>
      </c>
      <c r="AC103" s="640">
        <v>0</v>
      </c>
      <c r="AD103" s="640">
        <v>0</v>
      </c>
      <c r="AE103" s="640">
        <v>0.15840158885399455</v>
      </c>
      <c r="AF103" s="640">
        <v>0</v>
      </c>
      <c r="AG103" s="640">
        <v>0</v>
      </c>
      <c r="AH103" s="640">
        <v>34.71147439382149</v>
      </c>
      <c r="AI103" s="640">
        <v>0</v>
      </c>
      <c r="AJ103" s="640">
        <v>0</v>
      </c>
      <c r="AK103" s="648">
        <v>71.948131217492957</v>
      </c>
    </row>
    <row r="104" spans="3:37" x14ac:dyDescent="0.2">
      <c r="C104" s="646" t="s">
        <v>76</v>
      </c>
      <c r="D104" s="640">
        <v>0</v>
      </c>
      <c r="E104" s="640">
        <v>0</v>
      </c>
      <c r="F104" s="640">
        <v>0</v>
      </c>
      <c r="G104" s="640">
        <v>4.3041417463624567</v>
      </c>
      <c r="H104" s="640">
        <v>0</v>
      </c>
      <c r="I104" s="640">
        <v>0</v>
      </c>
      <c r="J104" s="640">
        <v>0</v>
      </c>
      <c r="K104" s="640">
        <v>0</v>
      </c>
      <c r="L104" s="640">
        <v>0</v>
      </c>
      <c r="M104" s="640">
        <v>5.4041471906535486E-2</v>
      </c>
      <c r="N104" s="640">
        <v>0</v>
      </c>
      <c r="O104" s="640">
        <v>0</v>
      </c>
      <c r="P104" s="640">
        <v>38.59518094579407</v>
      </c>
      <c r="Q104" s="640">
        <v>3.2740395369373112</v>
      </c>
      <c r="R104" s="640">
        <v>0</v>
      </c>
      <c r="S104" s="648">
        <v>46.227403701000377</v>
      </c>
      <c r="U104" s="646" t="s">
        <v>76</v>
      </c>
      <c r="V104" s="640">
        <v>0</v>
      </c>
      <c r="W104" s="640">
        <v>0</v>
      </c>
      <c r="X104" s="640">
        <v>0</v>
      </c>
      <c r="Y104" s="640">
        <v>4.5315152472590912</v>
      </c>
      <c r="Z104" s="640">
        <v>0</v>
      </c>
      <c r="AA104" s="640">
        <v>0</v>
      </c>
      <c r="AB104" s="640">
        <v>0</v>
      </c>
      <c r="AC104" s="640">
        <v>0</v>
      </c>
      <c r="AD104" s="640">
        <v>0</v>
      </c>
      <c r="AE104" s="640">
        <v>0.14207721072264479</v>
      </c>
      <c r="AF104" s="640">
        <v>0</v>
      </c>
      <c r="AG104" s="640">
        <v>0</v>
      </c>
      <c r="AH104" s="640">
        <v>38.917619787515648</v>
      </c>
      <c r="AI104" s="640">
        <v>3.9810231243072418</v>
      </c>
      <c r="AJ104" s="640">
        <v>0</v>
      </c>
      <c r="AK104" s="648">
        <v>47.572235369804623</v>
      </c>
    </row>
    <row r="105" spans="3:37" x14ac:dyDescent="0.2">
      <c r="C105" s="644" t="s">
        <v>77</v>
      </c>
      <c r="D105" s="645">
        <v>47.463794940496484</v>
      </c>
      <c r="E105" s="645">
        <v>509.81804130504707</v>
      </c>
      <c r="F105" s="645">
        <v>-471.3584811632748</v>
      </c>
      <c r="G105" s="645">
        <v>45.727215148483886</v>
      </c>
      <c r="H105" s="645">
        <v>1100.0000000000002</v>
      </c>
      <c r="I105" s="645">
        <v>135.04231425541462</v>
      </c>
      <c r="J105" s="645">
        <v>95.493113487793721</v>
      </c>
      <c r="K105" s="645">
        <v>22.461684350194222</v>
      </c>
      <c r="L105" s="645">
        <v>-39.348892368757156</v>
      </c>
      <c r="M105" s="645">
        <v>-3.8550490749930102</v>
      </c>
      <c r="N105" s="645">
        <v>0</v>
      </c>
      <c r="O105" s="645">
        <v>3.4751235666388727</v>
      </c>
      <c r="P105" s="645">
        <v>-455.24272836253516</v>
      </c>
      <c r="Q105" s="645">
        <v>-38.940628998179335</v>
      </c>
      <c r="R105" s="645">
        <v>-0.28078292846679692</v>
      </c>
      <c r="S105" s="645">
        <v>950.45472415786298</v>
      </c>
      <c r="U105" s="644" t="s">
        <v>77</v>
      </c>
      <c r="V105" s="645">
        <v>39.516307557449196</v>
      </c>
      <c r="W105" s="645">
        <v>469.03359705718782</v>
      </c>
      <c r="X105" s="645">
        <v>-431.98489409306461</v>
      </c>
      <c r="Y105" s="645">
        <v>93.82110729263789</v>
      </c>
      <c r="Z105" s="645">
        <v>1119.7245179063361</v>
      </c>
      <c r="AA105" s="645">
        <v>139.7041324372328</v>
      </c>
      <c r="AB105" s="645">
        <v>63.23058399557587</v>
      </c>
      <c r="AC105" s="645">
        <v>25.725656414831235</v>
      </c>
      <c r="AD105" s="645">
        <v>-39.715794102398128</v>
      </c>
      <c r="AE105" s="645">
        <v>-8.9119472733180274</v>
      </c>
      <c r="AF105" s="645">
        <v>0</v>
      </c>
      <c r="AG105" s="645">
        <v>4.3093270138116289</v>
      </c>
      <c r="AH105" s="645">
        <v>-489.55397895622485</v>
      </c>
      <c r="AI105" s="645">
        <v>-47.357100276392799</v>
      </c>
      <c r="AJ105" s="645">
        <v>-1.1412775410814249</v>
      </c>
      <c r="AK105" s="645">
        <v>936.40023743258246</v>
      </c>
    </row>
    <row r="106" spans="3:37" x14ac:dyDescent="0.2">
      <c r="C106" s="634"/>
      <c r="D106" s="634">
        <v>0</v>
      </c>
      <c r="E106" s="634">
        <v>0</v>
      </c>
      <c r="F106" s="634">
        <v>0</v>
      </c>
      <c r="G106" s="634">
        <v>0</v>
      </c>
      <c r="H106" s="634">
        <v>0</v>
      </c>
      <c r="I106" s="634">
        <v>0</v>
      </c>
      <c r="J106" s="634">
        <v>0</v>
      </c>
      <c r="K106" s="634">
        <v>0</v>
      </c>
      <c r="L106" s="634">
        <v>0</v>
      </c>
      <c r="M106" s="634">
        <v>0</v>
      </c>
      <c r="N106" s="634">
        <v>0</v>
      </c>
      <c r="O106" s="634">
        <v>0</v>
      </c>
      <c r="P106" s="634">
        <v>0</v>
      </c>
      <c r="Q106" s="634">
        <v>0</v>
      </c>
      <c r="R106" s="634">
        <v>0</v>
      </c>
      <c r="S106" s="634">
        <v>0</v>
      </c>
      <c r="U106" s="634"/>
      <c r="V106" s="634">
        <v>0</v>
      </c>
      <c r="W106" s="634">
        <v>0</v>
      </c>
      <c r="X106" s="634">
        <v>0</v>
      </c>
      <c r="Y106" s="634">
        <v>0</v>
      </c>
      <c r="Z106" s="634">
        <v>0</v>
      </c>
      <c r="AA106" s="634">
        <v>0</v>
      </c>
      <c r="AB106" s="634">
        <v>0</v>
      </c>
      <c r="AC106" s="634">
        <v>0</v>
      </c>
      <c r="AD106" s="634">
        <v>0</v>
      </c>
      <c r="AE106" s="634">
        <v>0</v>
      </c>
      <c r="AF106" s="634">
        <v>0</v>
      </c>
      <c r="AG106" s="634">
        <v>0</v>
      </c>
      <c r="AH106" s="634">
        <v>0</v>
      </c>
      <c r="AI106" s="634">
        <v>0</v>
      </c>
      <c r="AJ106" s="634">
        <v>0</v>
      </c>
      <c r="AK106" s="634">
        <v>0</v>
      </c>
    </row>
    <row r="107" spans="3:37" x14ac:dyDescent="0.2">
      <c r="C107" s="646" t="s">
        <v>78</v>
      </c>
      <c r="D107" s="640">
        <v>7.7357918362926714</v>
      </c>
      <c r="E107" s="640">
        <v>0</v>
      </c>
      <c r="F107" s="640">
        <v>28.289566768434444</v>
      </c>
      <c r="G107" s="640">
        <v>114.22190114423505</v>
      </c>
      <c r="H107" s="640">
        <v>0</v>
      </c>
      <c r="I107" s="640">
        <v>0</v>
      </c>
      <c r="J107" s="640">
        <v>17.070500200938145</v>
      </c>
      <c r="K107" s="640">
        <v>1.6812193044902295</v>
      </c>
      <c r="L107" s="640">
        <v>0.86581751367187498</v>
      </c>
      <c r="M107" s="640">
        <v>1.4530646317918139</v>
      </c>
      <c r="N107" s="640">
        <v>0</v>
      </c>
      <c r="O107" s="640">
        <v>3.8591468753626534E-4</v>
      </c>
      <c r="P107" s="640">
        <v>111.09265177846828</v>
      </c>
      <c r="Q107" s="640">
        <v>17.201720519477085</v>
      </c>
      <c r="R107" s="640">
        <v>0.28078292846679687</v>
      </c>
      <c r="S107" s="648">
        <v>299.89340254095396</v>
      </c>
      <c r="U107" s="646" t="s">
        <v>78</v>
      </c>
      <c r="V107" s="640">
        <v>5.1152739170350241</v>
      </c>
      <c r="W107" s="640">
        <v>0</v>
      </c>
      <c r="X107" s="640">
        <v>25.534648950011739</v>
      </c>
      <c r="Y107" s="640">
        <v>99.93968438859396</v>
      </c>
      <c r="Z107" s="640">
        <v>0</v>
      </c>
      <c r="AA107" s="640">
        <v>0</v>
      </c>
      <c r="AB107" s="640">
        <v>17.52580931876382</v>
      </c>
      <c r="AC107" s="640">
        <v>4.7157637498356459</v>
      </c>
      <c r="AD107" s="640">
        <v>0.87185221093750009</v>
      </c>
      <c r="AE107" s="640">
        <v>3.1523522333366012</v>
      </c>
      <c r="AF107" s="640">
        <v>0</v>
      </c>
      <c r="AG107" s="640">
        <v>3.8591468753626534E-4</v>
      </c>
      <c r="AH107" s="640">
        <v>120.66054558326853</v>
      </c>
      <c r="AI107" s="640">
        <v>18.606282657435788</v>
      </c>
      <c r="AJ107" s="640">
        <v>0.25516677856445313</v>
      </c>
      <c r="AK107" s="648">
        <v>296.37776570247064</v>
      </c>
    </row>
    <row r="108" spans="3:37" x14ac:dyDescent="0.2">
      <c r="C108" s="646" t="s">
        <v>79</v>
      </c>
      <c r="D108" s="640">
        <v>0</v>
      </c>
      <c r="E108" s="640">
        <v>0</v>
      </c>
      <c r="F108" s="640">
        <v>401.66314273909671</v>
      </c>
      <c r="G108" s="640">
        <v>4.8257671396463779</v>
      </c>
      <c r="H108" s="640">
        <v>0</v>
      </c>
      <c r="I108" s="640">
        <v>0</v>
      </c>
      <c r="J108" s="640">
        <v>0</v>
      </c>
      <c r="K108" s="640">
        <v>0</v>
      </c>
      <c r="L108" s="640">
        <v>37.460895129674924</v>
      </c>
      <c r="M108" s="640">
        <v>8.2247250592570986E-2</v>
      </c>
      <c r="N108" s="640">
        <v>0</v>
      </c>
      <c r="O108" s="640">
        <v>0</v>
      </c>
      <c r="P108" s="640">
        <v>14.197032789637335</v>
      </c>
      <c r="Q108" s="640">
        <v>0</v>
      </c>
      <c r="R108" s="640">
        <v>0</v>
      </c>
      <c r="S108" s="648">
        <v>458.2290850486479</v>
      </c>
      <c r="U108" s="646" t="s">
        <v>79</v>
      </c>
      <c r="V108" s="640">
        <v>0</v>
      </c>
      <c r="W108" s="640">
        <v>0</v>
      </c>
      <c r="X108" s="640">
        <v>381.87925300829363</v>
      </c>
      <c r="Y108" s="640">
        <v>4.8754277636803574</v>
      </c>
      <c r="Z108" s="640">
        <v>0</v>
      </c>
      <c r="AA108" s="640">
        <v>0</v>
      </c>
      <c r="AB108" s="640">
        <v>0</v>
      </c>
      <c r="AC108" s="640">
        <v>0</v>
      </c>
      <c r="AD108" s="640">
        <v>37.352195820661073</v>
      </c>
      <c r="AE108" s="640">
        <v>0.21416436386199153</v>
      </c>
      <c r="AF108" s="640">
        <v>0</v>
      </c>
      <c r="AG108" s="640">
        <v>0</v>
      </c>
      <c r="AH108" s="640">
        <v>13.917722567256266</v>
      </c>
      <c r="AI108" s="640">
        <v>0</v>
      </c>
      <c r="AJ108" s="640">
        <v>1.4045889662865447E-5</v>
      </c>
      <c r="AK108" s="648">
        <v>438.23877756964299</v>
      </c>
    </row>
    <row r="109" spans="3:37" x14ac:dyDescent="0.2">
      <c r="C109" s="646" t="s">
        <v>80</v>
      </c>
      <c r="D109" s="640">
        <v>0</v>
      </c>
      <c r="E109" s="640">
        <v>0</v>
      </c>
      <c r="F109" s="640">
        <v>44.949327937265863</v>
      </c>
      <c r="G109" s="640">
        <v>126.45597876373861</v>
      </c>
      <c r="H109" s="640">
        <v>0</v>
      </c>
      <c r="I109" s="640">
        <v>0</v>
      </c>
      <c r="J109" s="640">
        <v>74.162865758963164</v>
      </c>
      <c r="K109" s="640">
        <v>0</v>
      </c>
      <c r="L109" s="640">
        <v>0</v>
      </c>
      <c r="M109" s="640">
        <v>1.5877421391963937</v>
      </c>
      <c r="N109" s="640">
        <v>30.690291714133512</v>
      </c>
      <c r="O109" s="640">
        <v>1.3360751473174615</v>
      </c>
      <c r="P109" s="640">
        <v>167.04585454887541</v>
      </c>
      <c r="Q109" s="640">
        <v>15.952552032300854</v>
      </c>
      <c r="R109" s="640">
        <v>0</v>
      </c>
      <c r="S109" s="648">
        <v>462.18068804179131</v>
      </c>
      <c r="U109" s="646" t="s">
        <v>80</v>
      </c>
      <c r="V109" s="640">
        <v>0</v>
      </c>
      <c r="W109" s="640">
        <v>0</v>
      </c>
      <c r="X109" s="640">
        <v>41.162395061542448</v>
      </c>
      <c r="Y109" s="640">
        <v>118.23647816170383</v>
      </c>
      <c r="Z109" s="640">
        <v>0</v>
      </c>
      <c r="AA109" s="640">
        <v>0</v>
      </c>
      <c r="AB109" s="640">
        <v>77.948130735821934</v>
      </c>
      <c r="AC109" s="640">
        <v>0</v>
      </c>
      <c r="AD109" s="640">
        <v>0</v>
      </c>
      <c r="AE109" s="640">
        <v>3.7070842987992951</v>
      </c>
      <c r="AF109" s="640">
        <v>32.239034361458778</v>
      </c>
      <c r="AG109" s="640">
        <v>1.2931636502499975</v>
      </c>
      <c r="AH109" s="640">
        <v>162.51262140820876</v>
      </c>
      <c r="AI109" s="640">
        <v>21.915030230615571</v>
      </c>
      <c r="AJ109" s="640">
        <v>0</v>
      </c>
      <c r="AK109" s="648">
        <v>459.01393790840058</v>
      </c>
    </row>
    <row r="110" spans="3:37" x14ac:dyDescent="0.2">
      <c r="C110" s="646" t="s">
        <v>81</v>
      </c>
      <c r="D110" s="640">
        <v>0</v>
      </c>
      <c r="E110" s="640">
        <v>0</v>
      </c>
      <c r="F110" s="640">
        <v>24.870514058003725</v>
      </c>
      <c r="G110" s="640">
        <v>69.200500866366369</v>
      </c>
      <c r="H110" s="640">
        <v>0</v>
      </c>
      <c r="I110" s="640">
        <v>0</v>
      </c>
      <c r="J110" s="640">
        <v>4.1929555904242415</v>
      </c>
      <c r="K110" s="640">
        <v>2.7283295480293974E-2</v>
      </c>
      <c r="L110" s="640">
        <v>0</v>
      </c>
      <c r="M110" s="640">
        <v>0.86886007568139212</v>
      </c>
      <c r="N110" s="640">
        <v>5.8243599659976146</v>
      </c>
      <c r="O110" s="640">
        <v>0.99519184131174698</v>
      </c>
      <c r="P110" s="640">
        <v>130.24280942426404</v>
      </c>
      <c r="Q110" s="640">
        <v>5.7863564464014026</v>
      </c>
      <c r="R110" s="640">
        <v>0</v>
      </c>
      <c r="S110" s="648">
        <v>242.00883156393087</v>
      </c>
      <c r="U110" s="646" t="s">
        <v>81</v>
      </c>
      <c r="V110" s="640">
        <v>0</v>
      </c>
      <c r="W110" s="640">
        <v>0</v>
      </c>
      <c r="X110" s="640">
        <v>21.247497718121448</v>
      </c>
      <c r="Y110" s="640">
        <v>62.565763699850315</v>
      </c>
      <c r="Z110" s="640">
        <v>0</v>
      </c>
      <c r="AA110" s="640">
        <v>0</v>
      </c>
      <c r="AB110" s="640">
        <v>5.5520423930757747</v>
      </c>
      <c r="AC110" s="640">
        <v>2.7283295480293974E-2</v>
      </c>
      <c r="AD110" s="640">
        <v>0</v>
      </c>
      <c r="AE110" s="640">
        <v>1.9616328552758351</v>
      </c>
      <c r="AF110" s="640">
        <v>8.7253022127149791</v>
      </c>
      <c r="AG110" s="640">
        <v>1.2941657115976744</v>
      </c>
      <c r="AH110" s="640">
        <v>128.40391717018849</v>
      </c>
      <c r="AI110" s="640">
        <v>6.8357873883414371</v>
      </c>
      <c r="AJ110" s="640">
        <v>0</v>
      </c>
      <c r="AK110" s="648">
        <v>236.61339244464625</v>
      </c>
    </row>
    <row r="111" spans="3:37" x14ac:dyDescent="0.2">
      <c r="C111" s="646" t="s">
        <v>82</v>
      </c>
      <c r="D111" s="640">
        <v>0</v>
      </c>
      <c r="E111" s="640">
        <v>0</v>
      </c>
      <c r="F111" s="640">
        <v>34.857709492285672</v>
      </c>
      <c r="G111" s="640">
        <v>2.5298696752764673</v>
      </c>
      <c r="H111" s="640">
        <v>0</v>
      </c>
      <c r="I111" s="640">
        <v>0</v>
      </c>
      <c r="J111" s="640">
        <v>0.53778095326873299</v>
      </c>
      <c r="K111" s="640">
        <v>0</v>
      </c>
      <c r="L111" s="640">
        <v>2.2064360979425728</v>
      </c>
      <c r="M111" s="640">
        <v>3.176426080744045E-2</v>
      </c>
      <c r="N111" s="640">
        <v>0</v>
      </c>
      <c r="O111" s="640">
        <v>9.2576225379409571E-2</v>
      </c>
      <c r="P111" s="640">
        <v>8.3662824168205496</v>
      </c>
      <c r="Q111" s="640">
        <v>0</v>
      </c>
      <c r="R111" s="640">
        <v>0</v>
      </c>
      <c r="S111" s="648">
        <v>48.622419121780844</v>
      </c>
      <c r="U111" s="646" t="s">
        <v>82</v>
      </c>
      <c r="V111" s="640">
        <v>0</v>
      </c>
      <c r="W111" s="640">
        <v>0</v>
      </c>
      <c r="X111" s="640">
        <v>34.89814208484043</v>
      </c>
      <c r="Y111" s="640">
        <v>2.6598837825323027</v>
      </c>
      <c r="Z111" s="640">
        <v>0</v>
      </c>
      <c r="AA111" s="640">
        <v>0</v>
      </c>
      <c r="AB111" s="640">
        <v>0.53778095326873299</v>
      </c>
      <c r="AC111" s="640">
        <v>0</v>
      </c>
      <c r="AD111" s="640">
        <v>2.161994219425559</v>
      </c>
      <c r="AE111" s="640">
        <v>8.3395696152002902E-2</v>
      </c>
      <c r="AF111" s="640">
        <v>0</v>
      </c>
      <c r="AG111" s="640">
        <v>0.25485200979833694</v>
      </c>
      <c r="AH111" s="640">
        <v>8.3792280774105983</v>
      </c>
      <c r="AI111" s="640">
        <v>0</v>
      </c>
      <c r="AJ111" s="640">
        <v>5.2098714141513347E-2</v>
      </c>
      <c r="AK111" s="648">
        <v>49.027375537569476</v>
      </c>
    </row>
    <row r="112" spans="3:37" x14ac:dyDescent="0.2">
      <c r="C112" s="646" t="s">
        <v>354</v>
      </c>
      <c r="D112" s="640">
        <v>0</v>
      </c>
      <c r="E112" s="640">
        <v>0</v>
      </c>
      <c r="F112" s="640">
        <v>0</v>
      </c>
      <c r="G112" s="640">
        <v>0</v>
      </c>
      <c r="H112" s="640">
        <v>0</v>
      </c>
      <c r="I112" s="640">
        <v>0</v>
      </c>
      <c r="J112" s="640">
        <v>0</v>
      </c>
      <c r="K112" s="640">
        <v>0</v>
      </c>
      <c r="L112" s="640">
        <v>0</v>
      </c>
      <c r="M112" s="640">
        <v>0</v>
      </c>
      <c r="N112" s="640">
        <v>0</v>
      </c>
      <c r="O112" s="640">
        <v>0</v>
      </c>
      <c r="P112" s="640">
        <v>0</v>
      </c>
      <c r="Q112" s="640">
        <v>0</v>
      </c>
      <c r="R112" s="640">
        <v>0</v>
      </c>
      <c r="S112" s="648">
        <v>0</v>
      </c>
      <c r="U112" s="646" t="s">
        <v>354</v>
      </c>
      <c r="V112" s="640">
        <v>0</v>
      </c>
      <c r="W112" s="640">
        <v>0</v>
      </c>
      <c r="X112" s="640">
        <v>0</v>
      </c>
      <c r="Y112" s="640">
        <v>0</v>
      </c>
      <c r="Z112" s="640">
        <v>0</v>
      </c>
      <c r="AA112" s="640">
        <v>0</v>
      </c>
      <c r="AB112" s="640">
        <v>0</v>
      </c>
      <c r="AC112" s="640">
        <v>0</v>
      </c>
      <c r="AD112" s="640">
        <v>0</v>
      </c>
      <c r="AE112" s="640">
        <v>0</v>
      </c>
      <c r="AF112" s="640">
        <v>0</v>
      </c>
      <c r="AG112" s="640">
        <v>0</v>
      </c>
      <c r="AH112" s="640">
        <v>0</v>
      </c>
      <c r="AI112" s="640">
        <v>0</v>
      </c>
      <c r="AJ112" s="640">
        <v>0</v>
      </c>
      <c r="AK112" s="648">
        <v>0</v>
      </c>
    </row>
    <row r="113" spans="3:37" x14ac:dyDescent="0.2">
      <c r="C113" s="644" t="s">
        <v>83</v>
      </c>
      <c r="D113" s="645">
        <v>7.7357918362926714</v>
      </c>
      <c r="E113" s="645">
        <v>0</v>
      </c>
      <c r="F113" s="645">
        <v>534.63026099508636</v>
      </c>
      <c r="G113" s="645">
        <v>317.23401758926286</v>
      </c>
      <c r="H113" s="645">
        <v>0</v>
      </c>
      <c r="I113" s="645">
        <v>0</v>
      </c>
      <c r="J113" s="645">
        <v>95.96410250359429</v>
      </c>
      <c r="K113" s="645">
        <v>1.7085025999705235</v>
      </c>
      <c r="L113" s="645">
        <v>40.533148741289374</v>
      </c>
      <c r="M113" s="645">
        <v>4.0236783580696116</v>
      </c>
      <c r="N113" s="645">
        <v>36.514651680131124</v>
      </c>
      <c r="O113" s="645">
        <v>2.4242291286961546</v>
      </c>
      <c r="P113" s="645">
        <v>430.9446309580656</v>
      </c>
      <c r="Q113" s="645">
        <v>38.940628998179342</v>
      </c>
      <c r="R113" s="645">
        <v>0.28078292846679687</v>
      </c>
      <c r="S113" s="645">
        <v>1510.9344263171047</v>
      </c>
      <c r="U113" s="644" t="s">
        <v>83</v>
      </c>
      <c r="V113" s="645">
        <v>5.1152739170350241</v>
      </c>
      <c r="W113" s="645">
        <v>0</v>
      </c>
      <c r="X113" s="645">
        <v>504.72193682280971</v>
      </c>
      <c r="Y113" s="645">
        <v>288.27723779636074</v>
      </c>
      <c r="Z113" s="645">
        <v>0</v>
      </c>
      <c r="AA113" s="645">
        <v>0</v>
      </c>
      <c r="AB113" s="645">
        <v>101.56376340093026</v>
      </c>
      <c r="AC113" s="645">
        <v>4.7430470453159401</v>
      </c>
      <c r="AD113" s="645">
        <v>40.386042251024129</v>
      </c>
      <c r="AE113" s="645">
        <v>9.118629447425727</v>
      </c>
      <c r="AF113" s="645">
        <v>40.964336574173757</v>
      </c>
      <c r="AG113" s="645">
        <v>2.8425672863335452</v>
      </c>
      <c r="AH113" s="645">
        <v>433.87403480633265</v>
      </c>
      <c r="AI113" s="645">
        <v>47.357100276392799</v>
      </c>
      <c r="AJ113" s="645">
        <v>0.30727953859562934</v>
      </c>
      <c r="AK113" s="645">
        <v>1479.2712491627301</v>
      </c>
    </row>
    <row r="114" spans="3:37" x14ac:dyDescent="0.2">
      <c r="C114" s="639" t="s">
        <v>84</v>
      </c>
      <c r="D114" s="640">
        <v>0</v>
      </c>
      <c r="E114" s="640">
        <v>0</v>
      </c>
      <c r="F114" s="640">
        <v>133.10744763246728</v>
      </c>
      <c r="G114" s="640">
        <v>12.012561812227283</v>
      </c>
      <c r="H114" s="640">
        <v>0</v>
      </c>
      <c r="I114" s="640">
        <v>0</v>
      </c>
      <c r="J114" s="640">
        <v>0</v>
      </c>
      <c r="K114" s="640">
        <v>0</v>
      </c>
      <c r="L114" s="640">
        <v>0</v>
      </c>
      <c r="M114" s="640">
        <v>0</v>
      </c>
      <c r="N114" s="640">
        <v>0</v>
      </c>
      <c r="O114" s="640">
        <v>0</v>
      </c>
      <c r="P114" s="640">
        <v>0</v>
      </c>
      <c r="Q114" s="640">
        <v>0</v>
      </c>
      <c r="R114" s="640">
        <v>0</v>
      </c>
      <c r="S114" s="648">
        <v>145.12000944469457</v>
      </c>
      <c r="U114" s="639" t="s">
        <v>84</v>
      </c>
      <c r="V114" s="640">
        <v>0</v>
      </c>
      <c r="W114" s="640">
        <v>0</v>
      </c>
      <c r="X114" s="640">
        <v>126.72857692201117</v>
      </c>
      <c r="Y114" s="640">
        <v>1.7991582007077653</v>
      </c>
      <c r="Z114" s="640">
        <v>0</v>
      </c>
      <c r="AA114" s="640">
        <v>0</v>
      </c>
      <c r="AB114" s="640">
        <v>0</v>
      </c>
      <c r="AC114" s="640">
        <v>0</v>
      </c>
      <c r="AD114" s="640">
        <v>0.12920617897727274</v>
      </c>
      <c r="AE114" s="640">
        <v>0</v>
      </c>
      <c r="AF114" s="640">
        <v>0</v>
      </c>
      <c r="AG114" s="640">
        <v>0</v>
      </c>
      <c r="AH114" s="640">
        <v>0</v>
      </c>
      <c r="AI114" s="640">
        <v>0</v>
      </c>
      <c r="AJ114" s="640">
        <v>0.83399800248579548</v>
      </c>
      <c r="AK114" s="648">
        <v>129.49093930418201</v>
      </c>
    </row>
    <row r="115" spans="3:37" x14ac:dyDescent="0.2">
      <c r="C115" s="644" t="s">
        <v>85</v>
      </c>
      <c r="D115" s="645">
        <v>7.7357918362926714</v>
      </c>
      <c r="E115" s="645">
        <v>0</v>
      </c>
      <c r="F115" s="645">
        <v>667.73770862755362</v>
      </c>
      <c r="G115" s="645">
        <v>329.24657940149012</v>
      </c>
      <c r="H115" s="645">
        <v>0</v>
      </c>
      <c r="I115" s="645">
        <v>0</v>
      </c>
      <c r="J115" s="645">
        <v>95.96410250359429</v>
      </c>
      <c r="K115" s="645">
        <v>1.7085025999705235</v>
      </c>
      <c r="L115" s="645">
        <v>40.533148741289374</v>
      </c>
      <c r="M115" s="645">
        <v>4.0236783580696116</v>
      </c>
      <c r="N115" s="645">
        <v>36.514651680131124</v>
      </c>
      <c r="O115" s="645">
        <v>2.4242291286961546</v>
      </c>
      <c r="P115" s="645">
        <v>430.9446309580656</v>
      </c>
      <c r="Q115" s="645">
        <v>38.940628998179342</v>
      </c>
      <c r="R115" s="645">
        <v>0.28078292846679687</v>
      </c>
      <c r="S115" s="645">
        <v>1656.0544357617991</v>
      </c>
      <c r="U115" s="644" t="s">
        <v>85</v>
      </c>
      <c r="V115" s="645">
        <v>5.1152739170350241</v>
      </c>
      <c r="W115" s="645">
        <v>0</v>
      </c>
      <c r="X115" s="645">
        <v>631.45051374482091</v>
      </c>
      <c r="Y115" s="645">
        <v>290.07639599706852</v>
      </c>
      <c r="Z115" s="645">
        <v>0</v>
      </c>
      <c r="AA115" s="645">
        <v>0</v>
      </c>
      <c r="AB115" s="645">
        <v>101.56376340093026</v>
      </c>
      <c r="AC115" s="645">
        <v>4.7430470453159401</v>
      </c>
      <c r="AD115" s="645">
        <v>40.5152484300014</v>
      </c>
      <c r="AE115" s="645">
        <v>9.118629447425727</v>
      </c>
      <c r="AF115" s="645">
        <v>40.964336574173757</v>
      </c>
      <c r="AG115" s="645">
        <v>2.8425672863335452</v>
      </c>
      <c r="AH115" s="645">
        <v>433.87403480633265</v>
      </c>
      <c r="AI115" s="645">
        <v>47.357100276392799</v>
      </c>
      <c r="AJ115" s="645">
        <v>1.1412775410814249</v>
      </c>
      <c r="AK115" s="645">
        <v>1608.762188466912</v>
      </c>
    </row>
    <row r="116" spans="3:37" x14ac:dyDescent="0.2">
      <c r="C116" s="634"/>
      <c r="D116" s="634"/>
      <c r="E116" s="634"/>
      <c r="F116" s="634"/>
      <c r="G116" s="634"/>
      <c r="H116" s="634"/>
      <c r="I116" s="634"/>
      <c r="J116" s="634"/>
      <c r="K116" s="634"/>
      <c r="L116" s="634"/>
      <c r="M116" s="634"/>
      <c r="N116" s="634"/>
      <c r="O116" s="634"/>
      <c r="P116" s="634"/>
      <c r="Q116" s="634"/>
      <c r="R116" s="634"/>
      <c r="S116" s="634"/>
      <c r="U116" s="634"/>
      <c r="V116" s="634"/>
      <c r="W116" s="634"/>
      <c r="X116" s="634"/>
      <c r="Y116" s="634"/>
      <c r="Z116" s="634"/>
      <c r="AA116" s="634"/>
      <c r="AB116" s="634"/>
      <c r="AC116" s="634"/>
      <c r="AD116" s="634"/>
      <c r="AE116" s="634"/>
      <c r="AF116" s="634"/>
      <c r="AG116" s="634"/>
      <c r="AH116" s="634"/>
      <c r="AI116" s="634"/>
      <c r="AJ116" s="634"/>
      <c r="AK116" s="634"/>
    </row>
    <row r="117" spans="3:37" x14ac:dyDescent="0.2">
      <c r="C117" s="634"/>
      <c r="D117" s="634"/>
      <c r="E117" s="634"/>
      <c r="F117" s="634"/>
      <c r="G117" s="634"/>
      <c r="H117" s="634"/>
      <c r="I117" s="634"/>
      <c r="J117" s="634"/>
      <c r="K117" s="634"/>
      <c r="L117" s="634"/>
      <c r="M117" s="634"/>
      <c r="N117" s="634"/>
      <c r="O117" s="634"/>
      <c r="P117" s="634"/>
      <c r="Q117" s="634"/>
      <c r="R117" s="634"/>
      <c r="S117" s="634"/>
      <c r="U117" s="634"/>
      <c r="V117" s="634"/>
      <c r="W117" s="634"/>
      <c r="X117" s="634"/>
      <c r="Y117" s="634"/>
      <c r="Z117" s="634"/>
      <c r="AA117" s="634"/>
      <c r="AB117" s="634"/>
      <c r="AC117" s="634"/>
      <c r="AD117" s="634"/>
      <c r="AE117" s="634"/>
      <c r="AF117" s="634"/>
      <c r="AG117" s="634"/>
      <c r="AH117" s="634"/>
      <c r="AI117" s="634"/>
      <c r="AJ117" s="634"/>
      <c r="AK117" s="634"/>
    </row>
    <row r="118" spans="3:37" ht="22.5" x14ac:dyDescent="0.3">
      <c r="C118" s="759" t="s">
        <v>87</v>
      </c>
      <c r="D118" s="759"/>
      <c r="E118" s="759"/>
      <c r="F118" s="759"/>
      <c r="G118" s="759"/>
      <c r="H118" s="759"/>
      <c r="I118" s="759"/>
      <c r="J118" s="759"/>
      <c r="K118" s="759"/>
      <c r="L118" s="759"/>
      <c r="M118" s="759"/>
      <c r="N118" s="759"/>
      <c r="O118" s="759"/>
      <c r="P118" s="759"/>
      <c r="Q118" s="759"/>
      <c r="R118" s="759"/>
      <c r="S118" s="759"/>
      <c r="U118" s="759" t="s">
        <v>87</v>
      </c>
      <c r="V118" s="759"/>
      <c r="W118" s="759"/>
      <c r="X118" s="759"/>
      <c r="Y118" s="759"/>
      <c r="Z118" s="759"/>
      <c r="AA118" s="759"/>
      <c r="AB118" s="759"/>
      <c r="AC118" s="759"/>
      <c r="AD118" s="759"/>
      <c r="AE118" s="759"/>
      <c r="AF118" s="759"/>
      <c r="AG118" s="759"/>
      <c r="AH118" s="759"/>
      <c r="AI118" s="759"/>
      <c r="AJ118" s="759"/>
      <c r="AK118" s="759"/>
    </row>
    <row r="119" spans="3:37" x14ac:dyDescent="0.2">
      <c r="C119" s="634"/>
      <c r="D119" s="634"/>
      <c r="E119" s="634"/>
      <c r="F119" s="634"/>
      <c r="G119" s="634"/>
      <c r="H119" s="634"/>
      <c r="I119" s="634"/>
      <c r="J119" s="634"/>
      <c r="K119" s="634"/>
      <c r="L119" s="634"/>
      <c r="M119" s="634"/>
      <c r="N119" s="634"/>
      <c r="O119" s="634"/>
      <c r="P119" s="634"/>
      <c r="Q119" s="634"/>
      <c r="R119" s="634"/>
      <c r="S119" s="634"/>
      <c r="U119" s="634"/>
      <c r="V119" s="634"/>
      <c r="W119" s="634"/>
      <c r="X119" s="634"/>
      <c r="Y119" s="634"/>
      <c r="Z119" s="634"/>
      <c r="AA119" s="634"/>
      <c r="AB119" s="634"/>
      <c r="AC119" s="634"/>
      <c r="AD119" s="634"/>
      <c r="AE119" s="634"/>
      <c r="AF119" s="634"/>
      <c r="AG119" s="634"/>
      <c r="AH119" s="634"/>
      <c r="AI119" s="634"/>
      <c r="AJ119" s="634"/>
      <c r="AK119" s="634"/>
    </row>
    <row r="120" spans="3:37" ht="12.95" customHeight="1" x14ac:dyDescent="0.2">
      <c r="C120" s="758" t="s">
        <v>128</v>
      </c>
      <c r="D120" s="757" t="s">
        <v>42</v>
      </c>
      <c r="E120" s="757" t="s">
        <v>52</v>
      </c>
      <c r="F120" s="757" t="s">
        <v>53</v>
      </c>
      <c r="G120" s="757" t="s">
        <v>32</v>
      </c>
      <c r="H120" s="757" t="s">
        <v>20</v>
      </c>
      <c r="I120" s="757" t="s">
        <v>55</v>
      </c>
      <c r="J120" s="757" t="s">
        <v>56</v>
      </c>
      <c r="K120" s="757"/>
      <c r="L120" s="757"/>
      <c r="M120" s="757"/>
      <c r="N120" s="757"/>
      <c r="O120" s="757"/>
      <c r="P120" s="757" t="s">
        <v>57</v>
      </c>
      <c r="Q120" s="757" t="s">
        <v>58</v>
      </c>
      <c r="R120" s="757" t="s">
        <v>31</v>
      </c>
      <c r="S120" s="757" t="s">
        <v>10</v>
      </c>
      <c r="U120" s="758" t="s">
        <v>128</v>
      </c>
      <c r="V120" s="757" t="s">
        <v>42</v>
      </c>
      <c r="W120" s="757" t="s">
        <v>52</v>
      </c>
      <c r="X120" s="757" t="s">
        <v>53</v>
      </c>
      <c r="Y120" s="757" t="s">
        <v>32</v>
      </c>
      <c r="Z120" s="757" t="s">
        <v>20</v>
      </c>
      <c r="AA120" s="757" t="s">
        <v>55</v>
      </c>
      <c r="AB120" s="757" t="s">
        <v>56</v>
      </c>
      <c r="AC120" s="757"/>
      <c r="AD120" s="757"/>
      <c r="AE120" s="757"/>
      <c r="AF120" s="757"/>
      <c r="AG120" s="757"/>
      <c r="AH120" s="757" t="s">
        <v>57</v>
      </c>
      <c r="AI120" s="757" t="s">
        <v>58</v>
      </c>
      <c r="AJ120" s="757" t="s">
        <v>31</v>
      </c>
      <c r="AK120" s="757" t="s">
        <v>10</v>
      </c>
    </row>
    <row r="121" spans="3:37" ht="56.25" x14ac:dyDescent="0.2">
      <c r="C121" s="758"/>
      <c r="D121" s="757"/>
      <c r="E121" s="757"/>
      <c r="F121" s="757"/>
      <c r="G121" s="757"/>
      <c r="H121" s="757"/>
      <c r="I121" s="757"/>
      <c r="J121" s="638" t="s">
        <v>335</v>
      </c>
      <c r="K121" s="638" t="s">
        <v>40</v>
      </c>
      <c r="L121" s="638" t="s">
        <v>343</v>
      </c>
      <c r="M121" s="638" t="s">
        <v>344</v>
      </c>
      <c r="N121" s="638" t="s">
        <v>345</v>
      </c>
      <c r="O121" s="638" t="s">
        <v>346</v>
      </c>
      <c r="P121" s="757"/>
      <c r="Q121" s="757"/>
      <c r="R121" s="757"/>
      <c r="S121" s="757"/>
      <c r="U121" s="758"/>
      <c r="V121" s="757"/>
      <c r="W121" s="757"/>
      <c r="X121" s="757"/>
      <c r="Y121" s="757"/>
      <c r="Z121" s="757"/>
      <c r="AA121" s="757"/>
      <c r="AB121" s="638" t="s">
        <v>335</v>
      </c>
      <c r="AC121" s="638" t="s">
        <v>40</v>
      </c>
      <c r="AD121" s="638" t="s">
        <v>343</v>
      </c>
      <c r="AE121" s="638" t="s">
        <v>344</v>
      </c>
      <c r="AF121" s="638" t="s">
        <v>345</v>
      </c>
      <c r="AG121" s="638" t="s">
        <v>346</v>
      </c>
      <c r="AH121" s="757"/>
      <c r="AI121" s="757"/>
      <c r="AJ121" s="757"/>
      <c r="AK121" s="757"/>
    </row>
    <row r="122" spans="3:37" x14ac:dyDescent="0.2">
      <c r="C122" s="639" t="s">
        <v>59</v>
      </c>
      <c r="D122" s="640">
        <v>0</v>
      </c>
      <c r="E122" s="641">
        <v>9.7691999999999997</v>
      </c>
      <c r="F122" s="641">
        <v>0</v>
      </c>
      <c r="G122" s="640">
        <v>0.18608000000000002</v>
      </c>
      <c r="H122" s="641">
        <v>1190.909090909091</v>
      </c>
      <c r="I122" s="641">
        <v>153.14171554603519</v>
      </c>
      <c r="J122" s="641">
        <v>193.32113368570609</v>
      </c>
      <c r="K122" s="641">
        <v>23.895443221314743</v>
      </c>
      <c r="L122" s="641">
        <v>0.26210424432280233</v>
      </c>
      <c r="M122" s="641">
        <v>0.1322850330511596</v>
      </c>
      <c r="N122" s="641">
        <v>39.319241851069634</v>
      </c>
      <c r="O122" s="641">
        <v>5.962830498028703</v>
      </c>
      <c r="P122" s="642">
        <v>0</v>
      </c>
      <c r="Q122" s="641">
        <v>0</v>
      </c>
      <c r="R122" s="641">
        <v>0</v>
      </c>
      <c r="S122" s="643">
        <v>1616.8991249886192</v>
      </c>
      <c r="U122" s="639" t="s">
        <v>59</v>
      </c>
      <c r="V122" s="640">
        <v>0</v>
      </c>
      <c r="W122" s="641">
        <v>9.7691999999999997</v>
      </c>
      <c r="X122" s="641">
        <v>0</v>
      </c>
      <c r="Y122" s="640">
        <v>0.18608000000000002</v>
      </c>
      <c r="Z122" s="641">
        <v>1105.3443526170799</v>
      </c>
      <c r="AA122" s="641">
        <v>156.32644281876244</v>
      </c>
      <c r="AB122" s="641">
        <v>174.95767859419479</v>
      </c>
      <c r="AC122" s="641">
        <v>32.977912048889756</v>
      </c>
      <c r="AD122" s="641">
        <v>0.26210424432280233</v>
      </c>
      <c r="AE122" s="641">
        <v>0.1322850330511596</v>
      </c>
      <c r="AF122" s="641">
        <v>46.941675984424649</v>
      </c>
      <c r="AG122" s="641">
        <v>8.3026764246808291</v>
      </c>
      <c r="AH122" s="642">
        <v>0</v>
      </c>
      <c r="AI122" s="641">
        <v>0</v>
      </c>
      <c r="AJ122" s="641">
        <v>0</v>
      </c>
      <c r="AK122" s="643">
        <v>1535.200407765406</v>
      </c>
    </row>
    <row r="123" spans="3:37" x14ac:dyDescent="0.2">
      <c r="C123" s="639" t="s">
        <v>60</v>
      </c>
      <c r="D123" s="640">
        <v>51.93943876444407</v>
      </c>
      <c r="E123" s="641">
        <v>553.51354311683986</v>
      </c>
      <c r="F123" s="641">
        <v>233.05215902128853</v>
      </c>
      <c r="G123" s="640">
        <v>363.27460186951828</v>
      </c>
      <c r="H123" s="641">
        <v>0</v>
      </c>
      <c r="I123" s="641">
        <v>0</v>
      </c>
      <c r="J123" s="641">
        <v>2.3834336020403581</v>
      </c>
      <c r="K123" s="641">
        <v>0</v>
      </c>
      <c r="L123" s="641">
        <v>2.2500117795629686</v>
      </c>
      <c r="M123" s="641">
        <v>0</v>
      </c>
      <c r="N123" s="641">
        <v>0</v>
      </c>
      <c r="O123" s="641">
        <v>0</v>
      </c>
      <c r="P123" s="642">
        <v>0</v>
      </c>
      <c r="Q123" s="641">
        <v>0</v>
      </c>
      <c r="R123" s="641">
        <v>0</v>
      </c>
      <c r="S123" s="643">
        <v>1206.4131881536939</v>
      </c>
      <c r="U123" s="639" t="s">
        <v>60</v>
      </c>
      <c r="V123" s="640">
        <v>30.366070381082046</v>
      </c>
      <c r="W123" s="641">
        <v>485.53946937040786</v>
      </c>
      <c r="X123" s="641">
        <v>248.69079495957973</v>
      </c>
      <c r="Y123" s="640">
        <v>359.41495054347945</v>
      </c>
      <c r="Z123" s="641">
        <v>0</v>
      </c>
      <c r="AA123" s="641">
        <v>0</v>
      </c>
      <c r="AB123" s="641">
        <v>2.3834336020403581</v>
      </c>
      <c r="AC123" s="641">
        <v>0</v>
      </c>
      <c r="AD123" s="641">
        <v>2.2500117795629686</v>
      </c>
      <c r="AE123" s="641">
        <v>0</v>
      </c>
      <c r="AF123" s="641">
        <v>0</v>
      </c>
      <c r="AG123" s="641">
        <v>0</v>
      </c>
      <c r="AH123" s="642">
        <v>0</v>
      </c>
      <c r="AI123" s="641">
        <v>0</v>
      </c>
      <c r="AJ123" s="641">
        <v>0</v>
      </c>
      <c r="AK123" s="643">
        <v>1128.6447306361524</v>
      </c>
    </row>
    <row r="124" spans="3:37" x14ac:dyDescent="0.2">
      <c r="C124" s="639" t="s">
        <v>61</v>
      </c>
      <c r="D124" s="640">
        <v>0</v>
      </c>
      <c r="E124" s="641">
        <v>0</v>
      </c>
      <c r="F124" s="641">
        <v>0</v>
      </c>
      <c r="G124" s="640">
        <v>0</v>
      </c>
      <c r="H124" s="641">
        <v>0</v>
      </c>
      <c r="I124" s="641">
        <v>0</v>
      </c>
      <c r="J124" s="641">
        <v>0</v>
      </c>
      <c r="K124" s="641">
        <v>0</v>
      </c>
      <c r="L124" s="641">
        <v>0</v>
      </c>
      <c r="M124" s="641">
        <v>0</v>
      </c>
      <c r="N124" s="641">
        <v>0</v>
      </c>
      <c r="O124" s="641">
        <v>0</v>
      </c>
      <c r="P124" s="642">
        <v>-64.055272794649682</v>
      </c>
      <c r="Q124" s="641">
        <v>0</v>
      </c>
      <c r="R124" s="641">
        <v>0</v>
      </c>
      <c r="S124" s="643">
        <v>-64.055272794649682</v>
      </c>
      <c r="U124" s="639" t="s">
        <v>61</v>
      </c>
      <c r="V124" s="640">
        <v>0</v>
      </c>
      <c r="W124" s="641">
        <v>0</v>
      </c>
      <c r="X124" s="641">
        <v>0</v>
      </c>
      <c r="Y124" s="640">
        <v>0</v>
      </c>
      <c r="Z124" s="641">
        <v>0</v>
      </c>
      <c r="AA124" s="641">
        <v>0</v>
      </c>
      <c r="AB124" s="641">
        <v>0</v>
      </c>
      <c r="AC124" s="641">
        <v>0</v>
      </c>
      <c r="AD124" s="641">
        <v>0</v>
      </c>
      <c r="AE124" s="641">
        <v>0</v>
      </c>
      <c r="AF124" s="641">
        <v>0</v>
      </c>
      <c r="AG124" s="641">
        <v>0</v>
      </c>
      <c r="AH124" s="642">
        <v>-60.354291441125554</v>
      </c>
      <c r="AI124" s="641">
        <v>0</v>
      </c>
      <c r="AJ124" s="641">
        <v>0</v>
      </c>
      <c r="AK124" s="643">
        <v>-60.354291441125554</v>
      </c>
    </row>
    <row r="125" spans="3:37" x14ac:dyDescent="0.2">
      <c r="C125" s="639" t="s">
        <v>62</v>
      </c>
      <c r="D125" s="640">
        <v>0</v>
      </c>
      <c r="E125" s="641">
        <v>0</v>
      </c>
      <c r="F125" s="641">
        <v>-17.936302519197969</v>
      </c>
      <c r="G125" s="640">
        <v>0</v>
      </c>
      <c r="H125" s="641">
        <v>0</v>
      </c>
      <c r="I125" s="641">
        <v>0</v>
      </c>
      <c r="J125" s="641">
        <v>0</v>
      </c>
      <c r="K125" s="641">
        <v>0</v>
      </c>
      <c r="L125" s="641">
        <v>0</v>
      </c>
      <c r="M125" s="641">
        <v>0</v>
      </c>
      <c r="N125" s="641">
        <v>0</v>
      </c>
      <c r="O125" s="641">
        <v>0</v>
      </c>
      <c r="P125" s="642">
        <v>0</v>
      </c>
      <c r="Q125" s="641">
        <v>0</v>
      </c>
      <c r="R125" s="641">
        <v>0</v>
      </c>
      <c r="S125" s="643">
        <v>-17.936302519197969</v>
      </c>
      <c r="U125" s="639" t="s">
        <v>62</v>
      </c>
      <c r="V125" s="640">
        <v>0</v>
      </c>
      <c r="W125" s="641">
        <v>0</v>
      </c>
      <c r="X125" s="641">
        <v>-17.936302519197969</v>
      </c>
      <c r="Y125" s="640">
        <v>0</v>
      </c>
      <c r="Z125" s="641">
        <v>0</v>
      </c>
      <c r="AA125" s="641">
        <v>0</v>
      </c>
      <c r="AB125" s="641">
        <v>0</v>
      </c>
      <c r="AC125" s="641">
        <v>0</v>
      </c>
      <c r="AD125" s="641">
        <v>0</v>
      </c>
      <c r="AE125" s="641">
        <v>0</v>
      </c>
      <c r="AF125" s="641">
        <v>0</v>
      </c>
      <c r="AG125" s="641">
        <v>0</v>
      </c>
      <c r="AH125" s="642">
        <v>0</v>
      </c>
      <c r="AI125" s="641">
        <v>0</v>
      </c>
      <c r="AJ125" s="641">
        <v>0</v>
      </c>
      <c r="AK125" s="643">
        <v>-17.936302519197969</v>
      </c>
    </row>
    <row r="126" spans="3:37" x14ac:dyDescent="0.2">
      <c r="C126" s="639" t="s">
        <v>63</v>
      </c>
      <c r="D126" s="640">
        <v>0</v>
      </c>
      <c r="E126" s="641">
        <v>0</v>
      </c>
      <c r="F126" s="641">
        <v>-78.830324971165851</v>
      </c>
      <c r="G126" s="640">
        <v>0</v>
      </c>
      <c r="H126" s="641">
        <v>0</v>
      </c>
      <c r="I126" s="641">
        <v>0</v>
      </c>
      <c r="J126" s="641">
        <v>0</v>
      </c>
      <c r="K126" s="641">
        <v>0</v>
      </c>
      <c r="L126" s="641">
        <v>-0.81271538345441041</v>
      </c>
      <c r="M126" s="641">
        <v>0</v>
      </c>
      <c r="N126" s="641">
        <v>0</v>
      </c>
      <c r="O126" s="641">
        <v>0</v>
      </c>
      <c r="P126" s="642">
        <v>0</v>
      </c>
      <c r="Q126" s="641">
        <v>0</v>
      </c>
      <c r="R126" s="641">
        <v>0</v>
      </c>
      <c r="S126" s="643">
        <v>-79.643040354620268</v>
      </c>
      <c r="U126" s="639" t="s">
        <v>63</v>
      </c>
      <c r="V126" s="640">
        <v>0</v>
      </c>
      <c r="W126" s="641">
        <v>0</v>
      </c>
      <c r="X126" s="641">
        <v>-78.197230139294632</v>
      </c>
      <c r="Y126" s="640">
        <v>0</v>
      </c>
      <c r="Z126" s="641">
        <v>0</v>
      </c>
      <c r="AA126" s="641">
        <v>0</v>
      </c>
      <c r="AB126" s="641">
        <v>0</v>
      </c>
      <c r="AC126" s="641">
        <v>0</v>
      </c>
      <c r="AD126" s="641">
        <v>-1.5612310452001914</v>
      </c>
      <c r="AE126" s="641">
        <v>0</v>
      </c>
      <c r="AF126" s="641">
        <v>0</v>
      </c>
      <c r="AG126" s="641">
        <v>0</v>
      </c>
      <c r="AH126" s="642">
        <v>0</v>
      </c>
      <c r="AI126" s="641">
        <v>0</v>
      </c>
      <c r="AJ126" s="641">
        <v>0</v>
      </c>
      <c r="AK126" s="643">
        <v>-79.75846118449482</v>
      </c>
    </row>
    <row r="127" spans="3:37" x14ac:dyDescent="0.2">
      <c r="C127" s="639" t="s">
        <v>64</v>
      </c>
      <c r="D127" s="640">
        <v>0</v>
      </c>
      <c r="E127" s="641">
        <v>0</v>
      </c>
      <c r="F127" s="641">
        <v>0</v>
      </c>
      <c r="G127" s="640">
        <v>0</v>
      </c>
      <c r="H127" s="641">
        <v>0</v>
      </c>
      <c r="I127" s="641">
        <v>0</v>
      </c>
      <c r="J127" s="641">
        <v>0</v>
      </c>
      <c r="K127" s="641">
        <v>0</v>
      </c>
      <c r="L127" s="641">
        <v>0</v>
      </c>
      <c r="M127" s="641">
        <v>0</v>
      </c>
      <c r="N127" s="641">
        <v>0</v>
      </c>
      <c r="O127" s="641">
        <v>0</v>
      </c>
      <c r="P127" s="642">
        <v>0</v>
      </c>
      <c r="Q127" s="641">
        <v>0</v>
      </c>
      <c r="R127" s="641">
        <v>0</v>
      </c>
      <c r="S127" s="643">
        <v>0</v>
      </c>
      <c r="U127" s="639" t="s">
        <v>64</v>
      </c>
      <c r="V127" s="640">
        <v>0</v>
      </c>
      <c r="W127" s="641">
        <v>0</v>
      </c>
      <c r="X127" s="641">
        <v>0</v>
      </c>
      <c r="Y127" s="640">
        <v>0</v>
      </c>
      <c r="Z127" s="641">
        <v>0</v>
      </c>
      <c r="AA127" s="641">
        <v>0</v>
      </c>
      <c r="AB127" s="641">
        <v>0</v>
      </c>
      <c r="AC127" s="641">
        <v>0</v>
      </c>
      <c r="AD127" s="641">
        <v>0</v>
      </c>
      <c r="AE127" s="641">
        <v>0</v>
      </c>
      <c r="AF127" s="641">
        <v>0</v>
      </c>
      <c r="AG127" s="641">
        <v>0</v>
      </c>
      <c r="AH127" s="642">
        <v>0</v>
      </c>
      <c r="AI127" s="641">
        <v>0</v>
      </c>
      <c r="AJ127" s="641">
        <v>0</v>
      </c>
      <c r="AK127" s="643">
        <v>0</v>
      </c>
    </row>
    <row r="128" spans="3:37" x14ac:dyDescent="0.2">
      <c r="C128" s="644" t="s">
        <v>65</v>
      </c>
      <c r="D128" s="645">
        <v>51.93943876444407</v>
      </c>
      <c r="E128" s="645">
        <v>563.28274311683981</v>
      </c>
      <c r="F128" s="645">
        <v>136.28553153092471</v>
      </c>
      <c r="G128" s="645">
        <v>363.46068186951828</v>
      </c>
      <c r="H128" s="645">
        <v>1190.909090909091</v>
      </c>
      <c r="I128" s="645">
        <v>153.14171554603519</v>
      </c>
      <c r="J128" s="645">
        <v>195.70456728774644</v>
      </c>
      <c r="K128" s="645">
        <v>23.895443221314743</v>
      </c>
      <c r="L128" s="645">
        <v>1.6994006404313602</v>
      </c>
      <c r="M128" s="645">
        <v>0.1322850330511596</v>
      </c>
      <c r="N128" s="645">
        <v>39.319241851069634</v>
      </c>
      <c r="O128" s="645">
        <v>5.962830498028703</v>
      </c>
      <c r="P128" s="645">
        <v>-64.055272794649682</v>
      </c>
      <c r="Q128" s="645">
        <v>0</v>
      </c>
      <c r="R128" s="645">
        <v>0</v>
      </c>
      <c r="S128" s="645">
        <v>2661.6776974738459</v>
      </c>
      <c r="U128" s="644" t="s">
        <v>65</v>
      </c>
      <c r="V128" s="645">
        <v>30.366070381082046</v>
      </c>
      <c r="W128" s="645">
        <v>495.30866937040787</v>
      </c>
      <c r="X128" s="645">
        <v>152.55726230108715</v>
      </c>
      <c r="Y128" s="645">
        <v>359.60103054347945</v>
      </c>
      <c r="Z128" s="645">
        <v>1105.3443526170799</v>
      </c>
      <c r="AA128" s="645">
        <v>156.32644281876244</v>
      </c>
      <c r="AB128" s="645">
        <v>177.34111219623514</v>
      </c>
      <c r="AC128" s="645">
        <v>32.977912048889756</v>
      </c>
      <c r="AD128" s="645">
        <v>0.95088497868557909</v>
      </c>
      <c r="AE128" s="645">
        <v>0.1322850330511596</v>
      </c>
      <c r="AF128" s="645">
        <v>46.941675984424649</v>
      </c>
      <c r="AG128" s="645">
        <v>8.3026764246808291</v>
      </c>
      <c r="AH128" s="645">
        <v>-60.354291441125554</v>
      </c>
      <c r="AI128" s="645">
        <v>0</v>
      </c>
      <c r="AJ128" s="645">
        <v>0</v>
      </c>
      <c r="AK128" s="645">
        <v>2505.7960832567405</v>
      </c>
    </row>
    <row r="129" spans="3:37" x14ac:dyDescent="0.2">
      <c r="C129" s="634"/>
      <c r="D129" s="634">
        <v>0</v>
      </c>
      <c r="E129" s="634">
        <v>0</v>
      </c>
      <c r="F129" s="634">
        <v>0</v>
      </c>
      <c r="G129" s="634">
        <v>0</v>
      </c>
      <c r="H129" s="634">
        <v>0</v>
      </c>
      <c r="I129" s="634">
        <v>0</v>
      </c>
      <c r="J129" s="634">
        <v>0</v>
      </c>
      <c r="K129" s="634">
        <v>0</v>
      </c>
      <c r="L129" s="634">
        <v>0</v>
      </c>
      <c r="M129" s="634">
        <v>0</v>
      </c>
      <c r="N129" s="634">
        <v>0</v>
      </c>
      <c r="O129" s="634">
        <v>0</v>
      </c>
      <c r="P129" s="634">
        <v>0</v>
      </c>
      <c r="Q129" s="634">
        <v>0</v>
      </c>
      <c r="R129" s="634">
        <v>0</v>
      </c>
      <c r="S129" s="634">
        <v>0</v>
      </c>
      <c r="U129" s="634"/>
      <c r="V129" s="634">
        <v>0</v>
      </c>
      <c r="W129" s="634">
        <v>0</v>
      </c>
      <c r="X129" s="634">
        <v>0</v>
      </c>
      <c r="Y129" s="634">
        <v>0</v>
      </c>
      <c r="Z129" s="634">
        <v>0</v>
      </c>
      <c r="AA129" s="634">
        <v>0</v>
      </c>
      <c r="AB129" s="634">
        <v>0</v>
      </c>
      <c r="AC129" s="634">
        <v>0</v>
      </c>
      <c r="AD129" s="634">
        <v>0</v>
      </c>
      <c r="AE129" s="634">
        <v>0</v>
      </c>
      <c r="AF129" s="634">
        <v>0</v>
      </c>
      <c r="AG129" s="634">
        <v>0</v>
      </c>
      <c r="AH129" s="634">
        <v>0</v>
      </c>
      <c r="AI129" s="634">
        <v>0</v>
      </c>
      <c r="AJ129" s="634">
        <v>0</v>
      </c>
      <c r="AK129" s="634">
        <v>0</v>
      </c>
    </row>
    <row r="130" spans="3:37" x14ac:dyDescent="0.2">
      <c r="C130" s="646" t="s">
        <v>67</v>
      </c>
      <c r="D130" s="640">
        <v>0</v>
      </c>
      <c r="E130" s="647">
        <v>0</v>
      </c>
      <c r="F130" s="647">
        <v>0</v>
      </c>
      <c r="G130" s="640">
        <v>0</v>
      </c>
      <c r="H130" s="640">
        <v>0</v>
      </c>
      <c r="I130" s="640">
        <v>0</v>
      </c>
      <c r="J130" s="640">
        <v>0</v>
      </c>
      <c r="K130" s="640">
        <v>0</v>
      </c>
      <c r="L130" s="640">
        <v>0</v>
      </c>
      <c r="M130" s="640">
        <v>0</v>
      </c>
      <c r="N130" s="640">
        <v>0</v>
      </c>
      <c r="O130" s="640">
        <v>0</v>
      </c>
      <c r="P130" s="640">
        <v>0</v>
      </c>
      <c r="Q130" s="640">
        <v>0</v>
      </c>
      <c r="R130" s="640">
        <v>0</v>
      </c>
      <c r="S130" s="648">
        <v>0</v>
      </c>
      <c r="U130" s="646" t="s">
        <v>67</v>
      </c>
      <c r="V130" s="640">
        <v>0</v>
      </c>
      <c r="W130" s="647">
        <v>0</v>
      </c>
      <c r="X130" s="647">
        <v>0</v>
      </c>
      <c r="Y130" s="640">
        <v>0</v>
      </c>
      <c r="Z130" s="640">
        <v>0</v>
      </c>
      <c r="AA130" s="640">
        <v>0</v>
      </c>
      <c r="AB130" s="640">
        <v>0</v>
      </c>
      <c r="AC130" s="640">
        <v>0</v>
      </c>
      <c r="AD130" s="640">
        <v>0</v>
      </c>
      <c r="AE130" s="640">
        <v>0</v>
      </c>
      <c r="AF130" s="640">
        <v>0</v>
      </c>
      <c r="AG130" s="640">
        <v>0</v>
      </c>
      <c r="AH130" s="640">
        <v>0</v>
      </c>
      <c r="AI130" s="640">
        <v>0</v>
      </c>
      <c r="AJ130" s="640">
        <v>0</v>
      </c>
      <c r="AK130" s="648">
        <v>0</v>
      </c>
    </row>
    <row r="131" spans="3:37" x14ac:dyDescent="0.2">
      <c r="C131" s="646" t="s">
        <v>347</v>
      </c>
      <c r="D131" s="640">
        <v>2.8307670060467731</v>
      </c>
      <c r="E131" s="640">
        <v>0</v>
      </c>
      <c r="F131" s="640">
        <v>7.8209554225929372</v>
      </c>
      <c r="G131" s="640">
        <v>18.490566037735849</v>
      </c>
      <c r="H131" s="640">
        <v>1190.909090909091</v>
      </c>
      <c r="I131" s="640">
        <v>153.14171554603519</v>
      </c>
      <c r="J131" s="649">
        <v>34.217577807887082</v>
      </c>
      <c r="K131" s="649">
        <v>9.4182266439786773</v>
      </c>
      <c r="L131" s="649">
        <v>2.5121160238857705</v>
      </c>
      <c r="M131" s="649">
        <v>0.47838708849063555</v>
      </c>
      <c r="N131" s="649">
        <v>0</v>
      </c>
      <c r="O131" s="649">
        <v>1.0860489583659068</v>
      </c>
      <c r="P131" s="640">
        <v>-575.7599665483873</v>
      </c>
      <c r="Q131" s="640">
        <v>0</v>
      </c>
      <c r="R131" s="640">
        <v>0</v>
      </c>
      <c r="S131" s="648">
        <v>845.14548489572212</v>
      </c>
      <c r="U131" s="646" t="s">
        <v>347</v>
      </c>
      <c r="V131" s="640">
        <v>2.9164996321078078</v>
      </c>
      <c r="W131" s="640">
        <v>0</v>
      </c>
      <c r="X131" s="640">
        <v>6.3333521168078128</v>
      </c>
      <c r="Y131" s="640">
        <v>58.629502572898801</v>
      </c>
      <c r="Z131" s="640">
        <v>1105.3443526170799</v>
      </c>
      <c r="AA131" s="640">
        <v>156.32644281876244</v>
      </c>
      <c r="AB131" s="649">
        <v>29.491752812436719</v>
      </c>
      <c r="AC131" s="649">
        <v>9.3450725233746681</v>
      </c>
      <c r="AD131" s="649">
        <v>2.5121160238857705</v>
      </c>
      <c r="AE131" s="649">
        <v>3.1867918912350612</v>
      </c>
      <c r="AF131" s="649">
        <v>0</v>
      </c>
      <c r="AG131" s="649">
        <v>1.0860489583659068</v>
      </c>
      <c r="AH131" s="640">
        <v>-572.43560291202368</v>
      </c>
      <c r="AI131" s="640">
        <v>0</v>
      </c>
      <c r="AJ131" s="640">
        <v>0</v>
      </c>
      <c r="AK131" s="648">
        <v>802.73632905493105</v>
      </c>
    </row>
    <row r="132" spans="3:37" x14ac:dyDescent="0.2">
      <c r="C132" s="646" t="s">
        <v>348</v>
      </c>
      <c r="D132" s="640">
        <v>0.12349118736872708</v>
      </c>
      <c r="E132" s="640">
        <v>0</v>
      </c>
      <c r="F132" s="640">
        <v>0</v>
      </c>
      <c r="G132" s="640">
        <v>16.768067922739682</v>
      </c>
      <c r="H132" s="640">
        <v>0</v>
      </c>
      <c r="I132" s="640">
        <v>0</v>
      </c>
      <c r="J132" s="649">
        <v>14.511462263372906</v>
      </c>
      <c r="K132" s="649">
        <v>12.721360709604678</v>
      </c>
      <c r="L132" s="649">
        <v>0</v>
      </c>
      <c r="M132" s="649">
        <v>0.35468000245125708</v>
      </c>
      <c r="N132" s="649">
        <v>0</v>
      </c>
      <c r="O132" s="649">
        <v>2.3429154336529705</v>
      </c>
      <c r="P132" s="640">
        <v>0</v>
      </c>
      <c r="Q132" s="640">
        <v>-41.535443372761243</v>
      </c>
      <c r="R132" s="640">
        <v>0</v>
      </c>
      <c r="S132" s="648">
        <v>5.2865341464289735</v>
      </c>
      <c r="U132" s="646" t="s">
        <v>348</v>
      </c>
      <c r="V132" s="640">
        <v>0.24574746286376692</v>
      </c>
      <c r="W132" s="640">
        <v>0</v>
      </c>
      <c r="X132" s="640">
        <v>0</v>
      </c>
      <c r="Y132" s="640">
        <v>18.639904753059838</v>
      </c>
      <c r="Z132" s="640">
        <v>0</v>
      </c>
      <c r="AA132" s="640">
        <v>0</v>
      </c>
      <c r="AB132" s="649">
        <v>22.139054647682539</v>
      </c>
      <c r="AC132" s="649">
        <v>18.333827420527065</v>
      </c>
      <c r="AD132" s="649">
        <v>0</v>
      </c>
      <c r="AE132" s="649">
        <v>0.99352215322234005</v>
      </c>
      <c r="AF132" s="649">
        <v>0</v>
      </c>
      <c r="AG132" s="649">
        <v>3.9855789938168567</v>
      </c>
      <c r="AH132" s="640">
        <v>0</v>
      </c>
      <c r="AI132" s="640">
        <v>-57.31222867632534</v>
      </c>
      <c r="AJ132" s="640">
        <v>0</v>
      </c>
      <c r="AK132" s="648">
        <v>7.0254067548470651</v>
      </c>
    </row>
    <row r="133" spans="3:37" x14ac:dyDescent="0.2">
      <c r="C133" s="646" t="s">
        <v>349</v>
      </c>
      <c r="D133" s="640">
        <v>0</v>
      </c>
      <c r="E133" s="640">
        <v>0</v>
      </c>
      <c r="F133" s="640">
        <v>0</v>
      </c>
      <c r="G133" s="640">
        <v>0</v>
      </c>
      <c r="H133" s="640">
        <v>0</v>
      </c>
      <c r="I133" s="640">
        <v>0</v>
      </c>
      <c r="J133" s="650">
        <v>8.112913583549977</v>
      </c>
      <c r="K133" s="650">
        <v>0</v>
      </c>
      <c r="L133" s="650">
        <v>0</v>
      </c>
      <c r="M133" s="650">
        <v>-7.1616744658787432</v>
      </c>
      <c r="N133" s="650">
        <v>0</v>
      </c>
      <c r="O133" s="650">
        <v>0</v>
      </c>
      <c r="P133" s="640">
        <v>0</v>
      </c>
      <c r="Q133" s="640">
        <v>0</v>
      </c>
      <c r="R133" s="640">
        <v>0</v>
      </c>
      <c r="S133" s="648">
        <v>0.95123911767123381</v>
      </c>
      <c r="U133" s="646" t="s">
        <v>349</v>
      </c>
      <c r="V133" s="640">
        <v>0</v>
      </c>
      <c r="W133" s="640">
        <v>0</v>
      </c>
      <c r="X133" s="640">
        <v>0</v>
      </c>
      <c r="Y133" s="640">
        <v>0</v>
      </c>
      <c r="Z133" s="640">
        <v>0</v>
      </c>
      <c r="AA133" s="640">
        <v>0</v>
      </c>
      <c r="AB133" s="650">
        <v>21.330356361778993</v>
      </c>
      <c r="AC133" s="650">
        <v>0</v>
      </c>
      <c r="AD133" s="650">
        <v>0</v>
      </c>
      <c r="AE133" s="650">
        <v>-18.829372078360407</v>
      </c>
      <c r="AF133" s="650">
        <v>0</v>
      </c>
      <c r="AG133" s="650">
        <v>0</v>
      </c>
      <c r="AH133" s="640">
        <v>0</v>
      </c>
      <c r="AI133" s="640">
        <v>0</v>
      </c>
      <c r="AJ133" s="640">
        <v>0</v>
      </c>
      <c r="AK133" s="648">
        <v>2.5009842834185854</v>
      </c>
    </row>
    <row r="134" spans="3:37" x14ac:dyDescent="0.2">
      <c r="C134" s="646" t="s">
        <v>350</v>
      </c>
      <c r="D134" s="640">
        <v>0</v>
      </c>
      <c r="E134" s="640">
        <v>0</v>
      </c>
      <c r="F134" s="640">
        <v>0</v>
      </c>
      <c r="G134" s="640">
        <v>0</v>
      </c>
      <c r="H134" s="640">
        <v>0</v>
      </c>
      <c r="I134" s="640">
        <v>0</v>
      </c>
      <c r="J134" s="640">
        <v>0</v>
      </c>
      <c r="K134" s="640">
        <v>0</v>
      </c>
      <c r="L134" s="640">
        <v>0</v>
      </c>
      <c r="M134" s="640">
        <v>0</v>
      </c>
      <c r="N134" s="640">
        <v>0</v>
      </c>
      <c r="O134" s="640">
        <v>0</v>
      </c>
      <c r="P134" s="640">
        <v>0</v>
      </c>
      <c r="Q134" s="640">
        <v>0</v>
      </c>
      <c r="R134" s="640">
        <v>0</v>
      </c>
      <c r="S134" s="648">
        <v>0</v>
      </c>
      <c r="U134" s="646" t="s">
        <v>350</v>
      </c>
      <c r="V134" s="640">
        <v>0</v>
      </c>
      <c r="W134" s="640">
        <v>0</v>
      </c>
      <c r="X134" s="640">
        <v>0</v>
      </c>
      <c r="Y134" s="640">
        <v>0</v>
      </c>
      <c r="Z134" s="640">
        <v>0</v>
      </c>
      <c r="AA134" s="640">
        <v>0</v>
      </c>
      <c r="AB134" s="640">
        <v>0</v>
      </c>
      <c r="AC134" s="640">
        <v>0</v>
      </c>
      <c r="AD134" s="640">
        <v>0</v>
      </c>
      <c r="AE134" s="640">
        <v>0</v>
      </c>
      <c r="AF134" s="640">
        <v>0</v>
      </c>
      <c r="AG134" s="640">
        <v>0</v>
      </c>
      <c r="AH134" s="640">
        <v>0</v>
      </c>
      <c r="AI134" s="640">
        <v>0</v>
      </c>
      <c r="AJ134" s="640">
        <v>0</v>
      </c>
      <c r="AK134" s="648">
        <v>0</v>
      </c>
    </row>
    <row r="135" spans="3:37" x14ac:dyDescent="0.2">
      <c r="C135" s="646" t="s">
        <v>72</v>
      </c>
      <c r="D135" s="640">
        <v>0</v>
      </c>
      <c r="E135" s="640">
        <v>583.50105466083789</v>
      </c>
      <c r="F135" s="640">
        <v>-577.66604411422952</v>
      </c>
      <c r="G135" s="640">
        <v>0</v>
      </c>
      <c r="H135" s="640">
        <v>0</v>
      </c>
      <c r="I135" s="640">
        <v>0</v>
      </c>
      <c r="J135" s="640">
        <v>0</v>
      </c>
      <c r="K135" s="640">
        <v>0</v>
      </c>
      <c r="L135" s="640">
        <v>0</v>
      </c>
      <c r="M135" s="640">
        <v>0</v>
      </c>
      <c r="N135" s="640">
        <v>0</v>
      </c>
      <c r="O135" s="640">
        <v>0</v>
      </c>
      <c r="P135" s="640">
        <v>0</v>
      </c>
      <c r="Q135" s="640">
        <v>0</v>
      </c>
      <c r="R135" s="640">
        <v>0</v>
      </c>
      <c r="S135" s="648">
        <v>5.8350105466083733</v>
      </c>
      <c r="U135" s="646" t="s">
        <v>72</v>
      </c>
      <c r="V135" s="640">
        <v>0</v>
      </c>
      <c r="W135" s="640">
        <v>513.08713872730914</v>
      </c>
      <c r="X135" s="640">
        <v>-507.95626734003605</v>
      </c>
      <c r="Y135" s="640">
        <v>0</v>
      </c>
      <c r="Z135" s="640">
        <v>0</v>
      </c>
      <c r="AA135" s="640">
        <v>0</v>
      </c>
      <c r="AB135" s="640">
        <v>0</v>
      </c>
      <c r="AC135" s="640">
        <v>0</v>
      </c>
      <c r="AD135" s="640">
        <v>0</v>
      </c>
      <c r="AE135" s="640">
        <v>0</v>
      </c>
      <c r="AF135" s="640">
        <v>0</v>
      </c>
      <c r="AG135" s="640">
        <v>0</v>
      </c>
      <c r="AH135" s="640">
        <v>0</v>
      </c>
      <c r="AI135" s="640">
        <v>0</v>
      </c>
      <c r="AJ135" s="640">
        <v>0</v>
      </c>
      <c r="AK135" s="648">
        <v>5.1308713872730891</v>
      </c>
    </row>
    <row r="136" spans="3:37" x14ac:dyDescent="0.2">
      <c r="C136" s="646" t="s">
        <v>351</v>
      </c>
      <c r="D136" s="640">
        <v>0</v>
      </c>
      <c r="E136" s="640">
        <v>0</v>
      </c>
      <c r="F136" s="640">
        <v>0</v>
      </c>
      <c r="G136" s="640">
        <v>0</v>
      </c>
      <c r="H136" s="640">
        <v>0</v>
      </c>
      <c r="I136" s="640">
        <v>0</v>
      </c>
      <c r="J136" s="640">
        <v>43.567433114887073</v>
      </c>
      <c r="K136" s="640">
        <v>0</v>
      </c>
      <c r="L136" s="640">
        <v>-43.567433114887073</v>
      </c>
      <c r="M136" s="640">
        <v>0</v>
      </c>
      <c r="N136" s="640">
        <v>0</v>
      </c>
      <c r="O136" s="640">
        <v>0</v>
      </c>
      <c r="P136" s="640">
        <v>0</v>
      </c>
      <c r="Q136" s="640">
        <v>0</v>
      </c>
      <c r="R136" s="640">
        <v>0</v>
      </c>
      <c r="S136" s="648">
        <v>0</v>
      </c>
      <c r="U136" s="646" t="s">
        <v>351</v>
      </c>
      <c r="V136" s="640">
        <v>0</v>
      </c>
      <c r="W136" s="640">
        <v>0</v>
      </c>
      <c r="X136" s="640">
        <v>0</v>
      </c>
      <c r="Y136" s="640">
        <v>0</v>
      </c>
      <c r="Z136" s="640">
        <v>0</v>
      </c>
      <c r="AA136" s="640">
        <v>0</v>
      </c>
      <c r="AB136" s="640" t="e">
        <v>#VALUE!</v>
      </c>
      <c r="AC136" s="640">
        <v>0</v>
      </c>
      <c r="AD136" s="640">
        <v>-45.82837485909166</v>
      </c>
      <c r="AE136" s="640">
        <v>0</v>
      </c>
      <c r="AF136" s="640">
        <v>0</v>
      </c>
      <c r="AG136" s="640">
        <v>0</v>
      </c>
      <c r="AH136" s="640">
        <v>0</v>
      </c>
      <c r="AI136" s="640">
        <v>0</v>
      </c>
      <c r="AJ136" s="640">
        <v>0</v>
      </c>
      <c r="AK136" s="648">
        <v>-45.82837485909166</v>
      </c>
    </row>
    <row r="137" spans="3:37" x14ac:dyDescent="0.2">
      <c r="C137" s="646" t="s">
        <v>352</v>
      </c>
      <c r="D137" s="640">
        <v>0</v>
      </c>
      <c r="E137" s="640">
        <v>0</v>
      </c>
      <c r="F137" s="640">
        <v>0</v>
      </c>
      <c r="G137" s="640">
        <v>0</v>
      </c>
      <c r="H137" s="640">
        <v>0</v>
      </c>
      <c r="I137" s="640">
        <v>0</v>
      </c>
      <c r="J137" s="640">
        <v>0</v>
      </c>
      <c r="K137" s="640">
        <v>0</v>
      </c>
      <c r="L137" s="640">
        <v>0</v>
      </c>
      <c r="M137" s="640">
        <v>0</v>
      </c>
      <c r="N137" s="640">
        <v>0</v>
      </c>
      <c r="O137" s="640">
        <v>0</v>
      </c>
      <c r="P137" s="640">
        <v>0</v>
      </c>
      <c r="Q137" s="640">
        <v>0</v>
      </c>
      <c r="R137" s="640">
        <v>0</v>
      </c>
      <c r="S137" s="648">
        <v>0</v>
      </c>
      <c r="U137" s="646" t="s">
        <v>352</v>
      </c>
      <c r="V137" s="640">
        <v>0</v>
      </c>
      <c r="W137" s="640">
        <v>0</v>
      </c>
      <c r="X137" s="640">
        <v>0</v>
      </c>
      <c r="Y137" s="640">
        <v>0</v>
      </c>
      <c r="Z137" s="640">
        <v>0</v>
      </c>
      <c r="AA137" s="640">
        <v>0</v>
      </c>
      <c r="AB137" s="640">
        <v>0</v>
      </c>
      <c r="AC137" s="640">
        <v>0</v>
      </c>
      <c r="AD137" s="640">
        <v>0</v>
      </c>
      <c r="AE137" s="640">
        <v>0</v>
      </c>
      <c r="AF137" s="640">
        <v>0</v>
      </c>
      <c r="AG137" s="640">
        <v>0</v>
      </c>
      <c r="AH137" s="640">
        <v>0</v>
      </c>
      <c r="AI137" s="640">
        <v>0</v>
      </c>
      <c r="AJ137" s="640">
        <v>0</v>
      </c>
      <c r="AK137" s="648">
        <v>0</v>
      </c>
    </row>
    <row r="138" spans="3:37" x14ac:dyDescent="0.2">
      <c r="C138" s="646" t="s">
        <v>73</v>
      </c>
      <c r="D138" s="640">
        <v>0</v>
      </c>
      <c r="E138" s="640">
        <v>0</v>
      </c>
      <c r="F138" s="640">
        <v>0</v>
      </c>
      <c r="G138" s="640">
        <v>0.51300159561157233</v>
      </c>
      <c r="H138" s="640">
        <v>0</v>
      </c>
      <c r="I138" s="640">
        <v>0</v>
      </c>
      <c r="J138" s="640">
        <v>0</v>
      </c>
      <c r="K138" s="640">
        <v>5.6591461181640631E-3</v>
      </c>
      <c r="L138" s="640">
        <v>0</v>
      </c>
      <c r="M138" s="640">
        <v>1.0469420318603517E-2</v>
      </c>
      <c r="N138" s="640">
        <v>0</v>
      </c>
      <c r="O138" s="640">
        <v>0</v>
      </c>
      <c r="P138" s="640">
        <v>3.9614022827148432E-2</v>
      </c>
      <c r="Q138" s="640">
        <v>0</v>
      </c>
      <c r="R138" s="640">
        <v>-0.39614022827148437</v>
      </c>
      <c r="S138" s="648">
        <v>0.17260395660400402</v>
      </c>
      <c r="U138" s="646" t="s">
        <v>73</v>
      </c>
      <c r="V138" s="640">
        <v>0</v>
      </c>
      <c r="W138" s="640">
        <v>0</v>
      </c>
      <c r="X138" s="640">
        <v>0</v>
      </c>
      <c r="Y138" s="640">
        <v>2.0927767434982734</v>
      </c>
      <c r="Z138" s="640">
        <v>0</v>
      </c>
      <c r="AA138" s="640">
        <v>0</v>
      </c>
      <c r="AB138" s="640">
        <v>0</v>
      </c>
      <c r="AC138" s="640">
        <v>3.312665996831457E-2</v>
      </c>
      <c r="AD138" s="640">
        <v>0</v>
      </c>
      <c r="AE138" s="640">
        <v>0.11014614439464597</v>
      </c>
      <c r="AF138" s="640">
        <v>0</v>
      </c>
      <c r="AG138" s="640">
        <v>0</v>
      </c>
      <c r="AH138" s="640">
        <v>1.15943309889101</v>
      </c>
      <c r="AI138" s="640">
        <v>0</v>
      </c>
      <c r="AJ138" s="640">
        <v>-2.31886619778202</v>
      </c>
      <c r="AK138" s="648">
        <v>1.0766164489702237</v>
      </c>
    </row>
    <row r="139" spans="3:37" x14ac:dyDescent="0.2">
      <c r="C139" s="646" t="s">
        <v>353</v>
      </c>
      <c r="D139" s="640">
        <v>30.168562499999993</v>
      </c>
      <c r="E139" s="640">
        <v>-20.218311543998034</v>
      </c>
      <c r="F139" s="640">
        <v>26.444357300871886</v>
      </c>
      <c r="G139" s="640">
        <v>0</v>
      </c>
      <c r="H139" s="640">
        <v>0</v>
      </c>
      <c r="I139" s="640">
        <v>0</v>
      </c>
      <c r="J139" s="640">
        <v>0</v>
      </c>
      <c r="K139" s="640">
        <v>0</v>
      </c>
      <c r="L139" s="640">
        <v>0</v>
      </c>
      <c r="M139" s="640">
        <v>0</v>
      </c>
      <c r="N139" s="640">
        <v>0</v>
      </c>
      <c r="O139" s="640">
        <v>0</v>
      </c>
      <c r="P139" s="640">
        <v>0</v>
      </c>
      <c r="Q139" s="640">
        <v>0</v>
      </c>
      <c r="R139" s="640">
        <v>0</v>
      </c>
      <c r="S139" s="648">
        <v>36.394608256873845</v>
      </c>
      <c r="U139" s="646" t="s">
        <v>353</v>
      </c>
      <c r="V139" s="640">
        <v>13.02096923828125</v>
      </c>
      <c r="W139" s="640">
        <v>-17.778469356901262</v>
      </c>
      <c r="X139" s="640">
        <v>23.253187829923604</v>
      </c>
      <c r="Y139" s="640">
        <v>0</v>
      </c>
      <c r="Z139" s="640">
        <v>0</v>
      </c>
      <c r="AA139" s="640">
        <v>0</v>
      </c>
      <c r="AB139" s="640">
        <v>0</v>
      </c>
      <c r="AC139" s="640">
        <v>0</v>
      </c>
      <c r="AD139" s="640">
        <v>0</v>
      </c>
      <c r="AE139" s="640">
        <v>0</v>
      </c>
      <c r="AF139" s="640">
        <v>0</v>
      </c>
      <c r="AG139" s="640">
        <v>0</v>
      </c>
      <c r="AH139" s="640">
        <v>0</v>
      </c>
      <c r="AI139" s="640">
        <v>0</v>
      </c>
      <c r="AJ139" s="640">
        <v>0</v>
      </c>
      <c r="AK139" s="648">
        <v>18.495687711303592</v>
      </c>
    </row>
    <row r="140" spans="3:37" x14ac:dyDescent="0.2">
      <c r="C140" s="646" t="s">
        <v>75</v>
      </c>
      <c r="D140" s="640">
        <v>11.732218749999999</v>
      </c>
      <c r="E140" s="640">
        <v>0</v>
      </c>
      <c r="F140" s="640">
        <v>19.839035858468488</v>
      </c>
      <c r="G140" s="640">
        <v>5.6611272323194495</v>
      </c>
      <c r="H140" s="640">
        <v>0</v>
      </c>
      <c r="I140" s="640">
        <v>0</v>
      </c>
      <c r="J140" s="640">
        <v>0</v>
      </c>
      <c r="K140" s="640">
        <v>0</v>
      </c>
      <c r="L140" s="640">
        <v>0</v>
      </c>
      <c r="M140" s="640">
        <v>0.11553320882284591</v>
      </c>
      <c r="N140" s="640">
        <v>0</v>
      </c>
      <c r="O140" s="640">
        <v>0</v>
      </c>
      <c r="P140" s="640">
        <v>36.290441897725728</v>
      </c>
      <c r="Q140" s="640">
        <v>0</v>
      </c>
      <c r="R140" s="640">
        <v>0</v>
      </c>
      <c r="S140" s="648">
        <v>73.638356947336518</v>
      </c>
      <c r="U140" s="646" t="s">
        <v>75</v>
      </c>
      <c r="V140" s="640">
        <v>10.2975283203125</v>
      </c>
      <c r="W140" s="640">
        <v>0</v>
      </c>
      <c r="X140" s="640">
        <v>19.839035858468488</v>
      </c>
      <c r="Y140" s="640">
        <v>5.487827419085181</v>
      </c>
      <c r="Z140" s="640">
        <v>0</v>
      </c>
      <c r="AA140" s="640">
        <v>0</v>
      </c>
      <c r="AB140" s="640">
        <v>0</v>
      </c>
      <c r="AC140" s="640">
        <v>0</v>
      </c>
      <c r="AD140" s="640">
        <v>0</v>
      </c>
      <c r="AE140" s="640">
        <v>0.28883302205711481</v>
      </c>
      <c r="AF140" s="640">
        <v>0</v>
      </c>
      <c r="AG140" s="640">
        <v>0</v>
      </c>
      <c r="AH140" s="640">
        <v>33.686888178717467</v>
      </c>
      <c r="AI140" s="640">
        <v>0</v>
      </c>
      <c r="AJ140" s="640">
        <v>0</v>
      </c>
      <c r="AK140" s="648">
        <v>69.600112798640737</v>
      </c>
    </row>
    <row r="141" spans="3:37" x14ac:dyDescent="0.2">
      <c r="C141" s="646" t="s">
        <v>76</v>
      </c>
      <c r="D141" s="640">
        <v>0</v>
      </c>
      <c r="E141" s="640">
        <v>0</v>
      </c>
      <c r="F141" s="640">
        <v>0</v>
      </c>
      <c r="G141" s="640">
        <v>4.1611310137714437</v>
      </c>
      <c r="H141" s="640">
        <v>0</v>
      </c>
      <c r="I141" s="640">
        <v>0</v>
      </c>
      <c r="J141" s="640">
        <v>0</v>
      </c>
      <c r="K141" s="640">
        <v>0</v>
      </c>
      <c r="L141" s="640">
        <v>0</v>
      </c>
      <c r="M141" s="640">
        <v>8.4921041097376401E-2</v>
      </c>
      <c r="N141" s="640">
        <v>0</v>
      </c>
      <c r="O141" s="640">
        <v>0</v>
      </c>
      <c r="P141" s="640">
        <v>39.192716927085932</v>
      </c>
      <c r="Q141" s="640">
        <v>3.2227514144892391</v>
      </c>
      <c r="R141" s="640">
        <v>0</v>
      </c>
      <c r="S141" s="648">
        <v>46.66152039644399</v>
      </c>
      <c r="U141" s="646" t="s">
        <v>76</v>
      </c>
      <c r="V141" s="640">
        <v>0</v>
      </c>
      <c r="W141" s="640">
        <v>0</v>
      </c>
      <c r="X141" s="640">
        <v>0</v>
      </c>
      <c r="Y141" s="640">
        <v>4.2421905472985904</v>
      </c>
      <c r="Z141" s="640">
        <v>0</v>
      </c>
      <c r="AA141" s="640">
        <v>0</v>
      </c>
      <c r="AB141" s="640">
        <v>0</v>
      </c>
      <c r="AC141" s="640">
        <v>0</v>
      </c>
      <c r="AD141" s="640">
        <v>0</v>
      </c>
      <c r="AE141" s="640">
        <v>0.2232731866999258</v>
      </c>
      <c r="AF141" s="640">
        <v>0</v>
      </c>
      <c r="AG141" s="640">
        <v>0</v>
      </c>
      <c r="AH141" s="640">
        <v>39.221580519444494</v>
      </c>
      <c r="AI141" s="640">
        <v>4.4453067332156078</v>
      </c>
      <c r="AJ141" s="640">
        <v>0</v>
      </c>
      <c r="AK141" s="648">
        <v>48.132350986658622</v>
      </c>
    </row>
    <row r="142" spans="3:37" x14ac:dyDescent="0.2">
      <c r="C142" s="644" t="s">
        <v>77</v>
      </c>
      <c r="D142" s="645">
        <v>44.8550394434155</v>
      </c>
      <c r="E142" s="645">
        <v>563.28274311683981</v>
      </c>
      <c r="F142" s="645">
        <v>-523.5616955322962</v>
      </c>
      <c r="G142" s="645">
        <v>45.593893802178002</v>
      </c>
      <c r="H142" s="645">
        <v>1190.909090909091</v>
      </c>
      <c r="I142" s="645">
        <v>153.14171554603519</v>
      </c>
      <c r="J142" s="645">
        <v>100.40938676969702</v>
      </c>
      <c r="K142" s="645">
        <v>22.145246499701521</v>
      </c>
      <c r="L142" s="645">
        <v>-41.055317091001299</v>
      </c>
      <c r="M142" s="645">
        <v>-6.1176837046980248</v>
      </c>
      <c r="N142" s="645">
        <v>0</v>
      </c>
      <c r="O142" s="645">
        <v>3.4289643920188775</v>
      </c>
      <c r="P142" s="645">
        <v>-500.23719370074849</v>
      </c>
      <c r="Q142" s="645">
        <v>-38.312691958272012</v>
      </c>
      <c r="R142" s="645">
        <v>-0.39614022827148437</v>
      </c>
      <c r="S142" s="645">
        <v>1014.085358263689</v>
      </c>
      <c r="U142" s="644" t="s">
        <v>77</v>
      </c>
      <c r="V142" s="645">
        <v>26.480744653565324</v>
      </c>
      <c r="W142" s="645">
        <v>495.30866937040787</v>
      </c>
      <c r="X142" s="645">
        <v>-458.53069153483614</v>
      </c>
      <c r="Y142" s="645">
        <v>89.092202035840685</v>
      </c>
      <c r="Z142" s="645">
        <v>1105.3443526170799</v>
      </c>
      <c r="AA142" s="645">
        <v>156.32644281876244</v>
      </c>
      <c r="AB142" s="645">
        <v>72.961163821898253</v>
      </c>
      <c r="AC142" s="645">
        <v>27.712026603870047</v>
      </c>
      <c r="AD142" s="645">
        <v>-43.316258835205886</v>
      </c>
      <c r="AE142" s="645">
        <v>-14.02680568075132</v>
      </c>
      <c r="AF142" s="645">
        <v>0</v>
      </c>
      <c r="AG142" s="645">
        <v>5.0716279521827641</v>
      </c>
      <c r="AH142" s="645">
        <v>-498.36770111497077</v>
      </c>
      <c r="AI142" s="645">
        <v>-52.866921943109737</v>
      </c>
      <c r="AJ142" s="645">
        <v>-2.31886619778202</v>
      </c>
      <c r="AK142" s="645">
        <v>908.86998456695119</v>
      </c>
    </row>
    <row r="143" spans="3:37" x14ac:dyDescent="0.2">
      <c r="C143" s="634"/>
      <c r="D143" s="634">
        <v>0</v>
      </c>
      <c r="E143" s="634">
        <v>0</v>
      </c>
      <c r="F143" s="634">
        <v>0</v>
      </c>
      <c r="G143" s="634">
        <v>0</v>
      </c>
      <c r="H143" s="634">
        <v>0</v>
      </c>
      <c r="I143" s="634">
        <v>0</v>
      </c>
      <c r="J143" s="634">
        <v>0</v>
      </c>
      <c r="K143" s="634">
        <v>0</v>
      </c>
      <c r="L143" s="634">
        <v>0</v>
      </c>
      <c r="M143" s="634">
        <v>0</v>
      </c>
      <c r="N143" s="634">
        <v>0</v>
      </c>
      <c r="O143" s="634">
        <v>0</v>
      </c>
      <c r="P143" s="634">
        <v>0</v>
      </c>
      <c r="Q143" s="634">
        <v>0</v>
      </c>
      <c r="R143" s="634">
        <v>0</v>
      </c>
      <c r="S143" s="634">
        <v>0</v>
      </c>
      <c r="U143" s="634"/>
      <c r="V143" s="634">
        <v>0</v>
      </c>
      <c r="W143" s="634">
        <v>0</v>
      </c>
      <c r="X143" s="634">
        <v>0</v>
      </c>
      <c r="Y143" s="634">
        <v>0</v>
      </c>
      <c r="Z143" s="634">
        <v>0</v>
      </c>
      <c r="AA143" s="634">
        <v>0</v>
      </c>
      <c r="AB143" s="634">
        <v>0</v>
      </c>
      <c r="AC143" s="634">
        <v>0</v>
      </c>
      <c r="AD143" s="634">
        <v>0</v>
      </c>
      <c r="AE143" s="634">
        <v>0</v>
      </c>
      <c r="AF143" s="634">
        <v>0</v>
      </c>
      <c r="AG143" s="634">
        <v>0</v>
      </c>
      <c r="AH143" s="634">
        <v>0</v>
      </c>
      <c r="AI143" s="634">
        <v>0</v>
      </c>
      <c r="AJ143" s="634">
        <v>0</v>
      </c>
      <c r="AK143" s="634">
        <v>0</v>
      </c>
    </row>
    <row r="144" spans="3:37" x14ac:dyDescent="0.2">
      <c r="C144" s="646" t="s">
        <v>78</v>
      </c>
      <c r="D144" s="640">
        <v>7.0843993210285721</v>
      </c>
      <c r="E144" s="640">
        <v>0</v>
      </c>
      <c r="F144" s="640">
        <v>27.107499244386606</v>
      </c>
      <c r="G144" s="640">
        <v>109.63750187259986</v>
      </c>
      <c r="H144" s="640">
        <v>0</v>
      </c>
      <c r="I144" s="640">
        <v>0</v>
      </c>
      <c r="J144" s="640">
        <v>17.593885172405454</v>
      </c>
      <c r="K144" s="640">
        <v>1.7237647195692531</v>
      </c>
      <c r="L144" s="640">
        <v>0.83302892187499988</v>
      </c>
      <c r="M144" s="640">
        <v>2.2562819387026423</v>
      </c>
      <c r="N144" s="640">
        <v>0</v>
      </c>
      <c r="O144" s="640">
        <v>3.8289980908217579E-4</v>
      </c>
      <c r="P144" s="640">
        <v>110.31623789955354</v>
      </c>
      <c r="Q144" s="640">
        <v>16.994133911313323</v>
      </c>
      <c r="R144" s="640">
        <v>0.39614022827148437</v>
      </c>
      <c r="S144" s="648">
        <v>293.94325612951479</v>
      </c>
      <c r="U144" s="646" t="s">
        <v>78</v>
      </c>
      <c r="V144" s="640">
        <v>3.885325727516717</v>
      </c>
      <c r="W144" s="640">
        <v>0</v>
      </c>
      <c r="X144" s="640">
        <v>23.321309480837726</v>
      </c>
      <c r="Y144" s="640">
        <v>96.699296914521057</v>
      </c>
      <c r="Z144" s="640">
        <v>0</v>
      </c>
      <c r="AA144" s="640">
        <v>0</v>
      </c>
      <c r="AB144" s="640">
        <v>18.074671536539281</v>
      </c>
      <c r="AC144" s="640">
        <v>5.2394534429757353</v>
      </c>
      <c r="AD144" s="640">
        <v>0.94215535644531256</v>
      </c>
      <c r="AE144" s="640">
        <v>5.1082185801979545</v>
      </c>
      <c r="AF144" s="640">
        <v>0</v>
      </c>
      <c r="AG144" s="640">
        <v>3.8289980908217579E-4</v>
      </c>
      <c r="AH144" s="640">
        <v>125.74204552909232</v>
      </c>
      <c r="AI144" s="640">
        <v>19.862626301688149</v>
      </c>
      <c r="AJ144" s="640">
        <v>1.1177628173828125</v>
      </c>
      <c r="AK144" s="648">
        <v>299.99324858700612</v>
      </c>
    </row>
    <row r="145" spans="3:37" x14ac:dyDescent="0.2">
      <c r="C145" s="646" t="s">
        <v>79</v>
      </c>
      <c r="D145" s="640">
        <v>0</v>
      </c>
      <c r="E145" s="640">
        <v>0</v>
      </c>
      <c r="F145" s="640">
        <v>408.63289173322238</v>
      </c>
      <c r="G145" s="640">
        <v>6.6484606559899468</v>
      </c>
      <c r="H145" s="640">
        <v>0</v>
      </c>
      <c r="I145" s="640">
        <v>0</v>
      </c>
      <c r="J145" s="640">
        <v>0</v>
      </c>
      <c r="K145" s="640">
        <v>0</v>
      </c>
      <c r="L145" s="640">
        <v>39.656272012198485</v>
      </c>
      <c r="M145" s="640">
        <v>0.13568287053040709</v>
      </c>
      <c r="N145" s="640">
        <v>0</v>
      </c>
      <c r="O145" s="640">
        <v>0</v>
      </c>
      <c r="P145" s="640">
        <v>17.908429224736064</v>
      </c>
      <c r="Q145" s="640">
        <v>0</v>
      </c>
      <c r="R145" s="640">
        <v>0</v>
      </c>
      <c r="S145" s="648">
        <v>472.98173649667723</v>
      </c>
      <c r="U145" s="646" t="s">
        <v>79</v>
      </c>
      <c r="V145" s="640">
        <v>0</v>
      </c>
      <c r="W145" s="640">
        <v>0</v>
      </c>
      <c r="X145" s="640">
        <v>375.77190763394009</v>
      </c>
      <c r="Y145" s="640">
        <v>6.755817454004311</v>
      </c>
      <c r="Z145" s="640">
        <v>0</v>
      </c>
      <c r="AA145" s="640">
        <v>0</v>
      </c>
      <c r="AB145" s="640">
        <v>0</v>
      </c>
      <c r="AC145" s="640">
        <v>0</v>
      </c>
      <c r="AD145" s="640">
        <v>39.472711320953763</v>
      </c>
      <c r="AE145" s="640">
        <v>0.35556933968443744</v>
      </c>
      <c r="AF145" s="640">
        <v>0</v>
      </c>
      <c r="AG145" s="640">
        <v>0</v>
      </c>
      <c r="AH145" s="640">
        <v>17.446496979828503</v>
      </c>
      <c r="AI145" s="640">
        <v>0</v>
      </c>
      <c r="AJ145" s="640">
        <v>0</v>
      </c>
      <c r="AK145" s="648">
        <v>439.80250272841107</v>
      </c>
    </row>
    <row r="146" spans="3:37" x14ac:dyDescent="0.2">
      <c r="C146" s="646" t="s">
        <v>80</v>
      </c>
      <c r="D146" s="640">
        <v>0</v>
      </c>
      <c r="E146" s="640">
        <v>0</v>
      </c>
      <c r="F146" s="640">
        <v>41.084750674599483</v>
      </c>
      <c r="G146" s="640">
        <v>119.79409980429404</v>
      </c>
      <c r="H146" s="640">
        <v>0</v>
      </c>
      <c r="I146" s="640">
        <v>0</v>
      </c>
      <c r="J146" s="640">
        <v>72.996556103181632</v>
      </c>
      <c r="K146" s="640">
        <v>0</v>
      </c>
      <c r="L146" s="640">
        <v>0</v>
      </c>
      <c r="M146" s="640">
        <v>2.4447775470264088</v>
      </c>
      <c r="N146" s="640">
        <v>32.811205728954405</v>
      </c>
      <c r="O146" s="640">
        <v>1.4994987295121316</v>
      </c>
      <c r="P146" s="640">
        <v>168.17343522041736</v>
      </c>
      <c r="Q146" s="640">
        <v>15.992572069761611</v>
      </c>
      <c r="R146" s="640">
        <v>0</v>
      </c>
      <c r="S146" s="648">
        <v>454.79689587774703</v>
      </c>
      <c r="U146" s="646" t="s">
        <v>80</v>
      </c>
      <c r="V146" s="640">
        <v>0</v>
      </c>
      <c r="W146" s="640">
        <v>0</v>
      </c>
      <c r="X146" s="640">
        <v>34.76631066711105</v>
      </c>
      <c r="Y146" s="640">
        <v>106.63972230210601</v>
      </c>
      <c r="Z146" s="640">
        <v>0</v>
      </c>
      <c r="AA146" s="640">
        <v>0</v>
      </c>
      <c r="AB146" s="640">
        <v>79.335392755141783</v>
      </c>
      <c r="AC146" s="640">
        <v>0</v>
      </c>
      <c r="AD146" s="640">
        <v>0</v>
      </c>
      <c r="AE146" s="640">
        <v>5.6126169632687386</v>
      </c>
      <c r="AF146" s="640">
        <v>35.519956519553347</v>
      </c>
      <c r="AG146" s="640">
        <v>1.427931671492281</v>
      </c>
      <c r="AH146" s="640">
        <v>160.67228544284913</v>
      </c>
      <c r="AI146" s="640">
        <v>25.929258094327544</v>
      </c>
      <c r="AJ146" s="640">
        <v>0</v>
      </c>
      <c r="AK146" s="648">
        <v>449.90347441584998</v>
      </c>
    </row>
    <row r="147" spans="3:37" x14ac:dyDescent="0.2">
      <c r="C147" s="646" t="s">
        <v>81</v>
      </c>
      <c r="D147" s="640">
        <v>0</v>
      </c>
      <c r="E147" s="640">
        <v>0</v>
      </c>
      <c r="F147" s="640">
        <v>21.278250753083572</v>
      </c>
      <c r="G147" s="640">
        <v>66.807967366338673</v>
      </c>
      <c r="H147" s="640">
        <v>0</v>
      </c>
      <c r="I147" s="640">
        <v>0</v>
      </c>
      <c r="J147" s="640">
        <v>3.9976752731894716</v>
      </c>
      <c r="K147" s="640">
        <v>2.6432002043970358E-2</v>
      </c>
      <c r="L147" s="640">
        <v>0</v>
      </c>
      <c r="M147" s="640">
        <v>1.3634279054354832</v>
      </c>
      <c r="N147" s="640">
        <v>6.5080361221152287</v>
      </c>
      <c r="O147" s="640">
        <v>0.94378280475996701</v>
      </c>
      <c r="P147" s="640">
        <v>131.53831129097264</v>
      </c>
      <c r="Q147" s="640">
        <v>5.3259859771970728</v>
      </c>
      <c r="R147" s="640">
        <v>0</v>
      </c>
      <c r="S147" s="648">
        <v>237.78986949513609</v>
      </c>
      <c r="U147" s="646" t="s">
        <v>81</v>
      </c>
      <c r="V147" s="640">
        <v>0</v>
      </c>
      <c r="W147" s="640">
        <v>0</v>
      </c>
      <c r="X147" s="640">
        <v>15.239894940926636</v>
      </c>
      <c r="Y147" s="640">
        <v>55.988063388934151</v>
      </c>
      <c r="Z147" s="640">
        <v>0</v>
      </c>
      <c r="AA147" s="640">
        <v>0</v>
      </c>
      <c r="AB147" s="640">
        <v>6.2628201133829862</v>
      </c>
      <c r="AC147" s="640">
        <v>2.6432002043970358E-2</v>
      </c>
      <c r="AD147" s="640">
        <v>0</v>
      </c>
      <c r="AE147" s="640">
        <v>2.9467401783649554</v>
      </c>
      <c r="AF147" s="640">
        <v>11.4217194648713</v>
      </c>
      <c r="AG147" s="640">
        <v>1.4420725885698453</v>
      </c>
      <c r="AH147" s="640">
        <v>125.88549835067262</v>
      </c>
      <c r="AI147" s="640">
        <v>7.0750375470940394</v>
      </c>
      <c r="AJ147" s="640">
        <v>0</v>
      </c>
      <c r="AK147" s="648">
        <v>226.28827857486053</v>
      </c>
    </row>
    <row r="148" spans="3:37" x14ac:dyDescent="0.2">
      <c r="C148" s="646" t="s">
        <v>82</v>
      </c>
      <c r="D148" s="640">
        <v>0</v>
      </c>
      <c r="E148" s="640">
        <v>0</v>
      </c>
      <c r="F148" s="640">
        <v>34.492480565946664</v>
      </c>
      <c r="G148" s="640">
        <v>2.4401253266579648</v>
      </c>
      <c r="H148" s="640">
        <v>0</v>
      </c>
      <c r="I148" s="640">
        <v>0</v>
      </c>
      <c r="J148" s="640">
        <v>0.70706396927287185</v>
      </c>
      <c r="K148" s="640">
        <v>0</v>
      </c>
      <c r="L148" s="640">
        <v>2.2606527751608563</v>
      </c>
      <c r="M148" s="640">
        <v>4.979847605424418E-2</v>
      </c>
      <c r="N148" s="640">
        <v>0</v>
      </c>
      <c r="O148" s="640">
        <v>9.0201671928645533E-2</v>
      </c>
      <c r="P148" s="640">
        <v>8.2455072704191767</v>
      </c>
      <c r="Q148" s="640">
        <v>0</v>
      </c>
      <c r="R148" s="640">
        <v>0</v>
      </c>
      <c r="S148" s="648">
        <v>48.285830055440421</v>
      </c>
      <c r="U148" s="646" t="s">
        <v>82</v>
      </c>
      <c r="V148" s="640">
        <v>0</v>
      </c>
      <c r="W148" s="640">
        <v>0</v>
      </c>
      <c r="X148" s="640">
        <v>33.216742540132081</v>
      </c>
      <c r="Y148" s="640">
        <v>2.5829673934416131</v>
      </c>
      <c r="Z148" s="640">
        <v>0</v>
      </c>
      <c r="AA148" s="640">
        <v>0</v>
      </c>
      <c r="AB148" s="640">
        <v>0.70706396927287185</v>
      </c>
      <c r="AC148" s="640">
        <v>0</v>
      </c>
      <c r="AD148" s="640">
        <v>3.7843312923041141</v>
      </c>
      <c r="AE148" s="640">
        <v>0.13594565228640071</v>
      </c>
      <c r="AF148" s="640">
        <v>0</v>
      </c>
      <c r="AG148" s="640">
        <v>0.36066131262685786</v>
      </c>
      <c r="AH148" s="640">
        <v>8.2670833714025918</v>
      </c>
      <c r="AI148" s="640">
        <v>0</v>
      </c>
      <c r="AJ148" s="640">
        <v>8.6831190235855574E-2</v>
      </c>
      <c r="AK148" s="648">
        <v>49.141626721702394</v>
      </c>
    </row>
    <row r="149" spans="3:37" x14ac:dyDescent="0.2">
      <c r="C149" s="646" t="s">
        <v>354</v>
      </c>
      <c r="D149" s="640">
        <v>0</v>
      </c>
      <c r="E149" s="640">
        <v>0</v>
      </c>
      <c r="F149" s="640">
        <v>0</v>
      </c>
      <c r="G149" s="640">
        <v>0</v>
      </c>
      <c r="H149" s="640">
        <v>0</v>
      </c>
      <c r="I149" s="640">
        <v>0</v>
      </c>
      <c r="J149" s="640">
        <v>0</v>
      </c>
      <c r="K149" s="640">
        <v>0</v>
      </c>
      <c r="L149" s="640">
        <v>0</v>
      </c>
      <c r="M149" s="640">
        <v>0</v>
      </c>
      <c r="N149" s="640">
        <v>0</v>
      </c>
      <c r="O149" s="640">
        <v>0</v>
      </c>
      <c r="P149" s="640">
        <v>0</v>
      </c>
      <c r="Q149" s="640">
        <v>0</v>
      </c>
      <c r="R149" s="640">
        <v>0</v>
      </c>
      <c r="S149" s="648">
        <v>0</v>
      </c>
      <c r="U149" s="646" t="s">
        <v>354</v>
      </c>
      <c r="V149" s="640">
        <v>0</v>
      </c>
      <c r="W149" s="640">
        <v>0</v>
      </c>
      <c r="X149" s="640">
        <v>0</v>
      </c>
      <c r="Y149" s="640">
        <v>0</v>
      </c>
      <c r="Z149" s="640">
        <v>0</v>
      </c>
      <c r="AA149" s="640">
        <v>0</v>
      </c>
      <c r="AB149" s="640">
        <v>0</v>
      </c>
      <c r="AC149" s="640">
        <v>0</v>
      </c>
      <c r="AD149" s="640">
        <v>0</v>
      </c>
      <c r="AE149" s="640">
        <v>0</v>
      </c>
      <c r="AF149" s="640">
        <v>0</v>
      </c>
      <c r="AG149" s="640">
        <v>0</v>
      </c>
      <c r="AH149" s="640">
        <v>0</v>
      </c>
      <c r="AI149" s="640">
        <v>0</v>
      </c>
      <c r="AJ149" s="640">
        <v>0</v>
      </c>
      <c r="AK149" s="648">
        <v>0</v>
      </c>
    </row>
    <row r="150" spans="3:37" x14ac:dyDescent="0.2">
      <c r="C150" s="644" t="s">
        <v>83</v>
      </c>
      <c r="D150" s="645">
        <v>7.0843993210285721</v>
      </c>
      <c r="E150" s="645">
        <v>0</v>
      </c>
      <c r="F150" s="645">
        <v>532.59587297123869</v>
      </c>
      <c r="G150" s="645">
        <v>305.32815502588045</v>
      </c>
      <c r="H150" s="645">
        <v>0</v>
      </c>
      <c r="I150" s="645">
        <v>0</v>
      </c>
      <c r="J150" s="645">
        <v>95.295180518049435</v>
      </c>
      <c r="K150" s="645">
        <v>1.7501967216132235</v>
      </c>
      <c r="L150" s="645">
        <v>42.74995370923434</v>
      </c>
      <c r="M150" s="645">
        <v>6.2499687377491853</v>
      </c>
      <c r="N150" s="645">
        <v>39.319241851069634</v>
      </c>
      <c r="O150" s="645">
        <v>2.5338661060098264</v>
      </c>
      <c r="P150" s="645">
        <v>436.18192090609881</v>
      </c>
      <c r="Q150" s="645">
        <v>38.312691958272005</v>
      </c>
      <c r="R150" s="645">
        <v>0.39614022827148437</v>
      </c>
      <c r="S150" s="645">
        <v>1507.7975880545155</v>
      </c>
      <c r="U150" s="644" t="s">
        <v>83</v>
      </c>
      <c r="V150" s="645">
        <v>3.885325727516717</v>
      </c>
      <c r="W150" s="645">
        <v>0</v>
      </c>
      <c r="X150" s="645">
        <v>482.31616526294755</v>
      </c>
      <c r="Y150" s="645">
        <v>268.66586745300714</v>
      </c>
      <c r="Z150" s="645">
        <v>0</v>
      </c>
      <c r="AA150" s="645">
        <v>0</v>
      </c>
      <c r="AB150" s="645">
        <v>104.37994837433692</v>
      </c>
      <c r="AC150" s="645">
        <v>5.2658854450197055</v>
      </c>
      <c r="AD150" s="645">
        <v>44.199197969703192</v>
      </c>
      <c r="AE150" s="645">
        <v>14.159090713802485</v>
      </c>
      <c r="AF150" s="645">
        <v>46.941675984424649</v>
      </c>
      <c r="AG150" s="645">
        <v>3.2310484724980664</v>
      </c>
      <c r="AH150" s="645">
        <v>438.0134096738451</v>
      </c>
      <c r="AI150" s="645">
        <v>52.866921943109737</v>
      </c>
      <c r="AJ150" s="645">
        <v>1.2045940076186681</v>
      </c>
      <c r="AK150" s="645">
        <v>1465.1291310278302</v>
      </c>
    </row>
    <row r="151" spans="3:37" x14ac:dyDescent="0.2">
      <c r="C151" s="639" t="s">
        <v>84</v>
      </c>
      <c r="D151" s="640">
        <v>0</v>
      </c>
      <c r="E151" s="640">
        <v>0</v>
      </c>
      <c r="F151" s="640">
        <v>127.25135409198229</v>
      </c>
      <c r="G151" s="640">
        <v>12.538633041459809</v>
      </c>
      <c r="H151" s="640">
        <v>0</v>
      </c>
      <c r="I151" s="640">
        <v>0</v>
      </c>
      <c r="J151" s="640">
        <v>0</v>
      </c>
      <c r="K151" s="640">
        <v>0</v>
      </c>
      <c r="L151" s="640">
        <v>0</v>
      </c>
      <c r="M151" s="640">
        <v>0</v>
      </c>
      <c r="N151" s="640">
        <v>0</v>
      </c>
      <c r="O151" s="640">
        <v>0</v>
      </c>
      <c r="P151" s="640">
        <v>0</v>
      </c>
      <c r="Q151" s="640">
        <v>0</v>
      </c>
      <c r="R151" s="640">
        <v>0</v>
      </c>
      <c r="S151" s="648">
        <v>139.78998713344208</v>
      </c>
      <c r="U151" s="639" t="s">
        <v>84</v>
      </c>
      <c r="V151" s="640">
        <v>0</v>
      </c>
      <c r="W151" s="640">
        <v>0</v>
      </c>
      <c r="X151" s="640">
        <v>128.77178857297574</v>
      </c>
      <c r="Y151" s="640">
        <v>1.8429610546316848</v>
      </c>
      <c r="Z151" s="640">
        <v>0</v>
      </c>
      <c r="AA151" s="640">
        <v>0</v>
      </c>
      <c r="AB151" s="640">
        <v>0</v>
      </c>
      <c r="AC151" s="640">
        <v>0</v>
      </c>
      <c r="AD151" s="640">
        <v>0.17036074218750002</v>
      </c>
      <c r="AE151" s="640">
        <v>0</v>
      </c>
      <c r="AF151" s="640">
        <v>0</v>
      </c>
      <c r="AG151" s="640">
        <v>0</v>
      </c>
      <c r="AH151" s="640">
        <v>0</v>
      </c>
      <c r="AI151" s="640">
        <v>0</v>
      </c>
      <c r="AJ151" s="640">
        <v>1.1142721901633521</v>
      </c>
      <c r="AK151" s="648">
        <v>131.89938255995827</v>
      </c>
    </row>
    <row r="152" spans="3:37" x14ac:dyDescent="0.2">
      <c r="C152" s="644" t="s">
        <v>85</v>
      </c>
      <c r="D152" s="645">
        <v>7.0843993210285721</v>
      </c>
      <c r="E152" s="645">
        <v>0</v>
      </c>
      <c r="F152" s="645">
        <v>659.847227063221</v>
      </c>
      <c r="G152" s="645">
        <v>317.86678806734028</v>
      </c>
      <c r="H152" s="645">
        <v>0</v>
      </c>
      <c r="I152" s="645">
        <v>0</v>
      </c>
      <c r="J152" s="645">
        <v>95.295180518049435</v>
      </c>
      <c r="K152" s="645">
        <v>1.7501967216132235</v>
      </c>
      <c r="L152" s="645">
        <v>42.74995370923434</v>
      </c>
      <c r="M152" s="645">
        <v>6.2499687377491853</v>
      </c>
      <c r="N152" s="645">
        <v>39.319241851069634</v>
      </c>
      <c r="O152" s="645">
        <v>2.5338661060098264</v>
      </c>
      <c r="P152" s="645">
        <v>436.18192090609881</v>
      </c>
      <c r="Q152" s="645">
        <v>38.312691958272005</v>
      </c>
      <c r="R152" s="645">
        <v>0.39614022827148437</v>
      </c>
      <c r="S152" s="645">
        <v>1647.5875751879578</v>
      </c>
      <c r="U152" s="644" t="s">
        <v>85</v>
      </c>
      <c r="V152" s="645">
        <v>3.885325727516717</v>
      </c>
      <c r="W152" s="645">
        <v>0</v>
      </c>
      <c r="X152" s="645">
        <v>611.08795383592337</v>
      </c>
      <c r="Y152" s="645">
        <v>270.50882850763884</v>
      </c>
      <c r="Z152" s="645">
        <v>0</v>
      </c>
      <c r="AA152" s="645">
        <v>0</v>
      </c>
      <c r="AB152" s="645">
        <v>104.37994837433692</v>
      </c>
      <c r="AC152" s="645">
        <v>5.2658854450197055</v>
      </c>
      <c r="AD152" s="645">
        <v>44.36955871189069</v>
      </c>
      <c r="AE152" s="645">
        <v>14.159090713802485</v>
      </c>
      <c r="AF152" s="645">
        <v>46.941675984424649</v>
      </c>
      <c r="AG152" s="645">
        <v>3.2310484724980664</v>
      </c>
      <c r="AH152" s="645">
        <v>438.0134096738451</v>
      </c>
      <c r="AI152" s="645">
        <v>52.866921943109737</v>
      </c>
      <c r="AJ152" s="645">
        <v>2.31886619778202</v>
      </c>
      <c r="AK152" s="645">
        <v>1597.0285135877887</v>
      </c>
    </row>
    <row r="153" spans="3:37" x14ac:dyDescent="0.2">
      <c r="C153" s="634"/>
      <c r="D153" s="634"/>
      <c r="E153" s="634"/>
      <c r="F153" s="634"/>
      <c r="G153" s="634"/>
      <c r="H153" s="634"/>
      <c r="I153" s="634"/>
      <c r="J153" s="634"/>
      <c r="K153" s="634"/>
      <c r="L153" s="634"/>
      <c r="M153" s="634"/>
      <c r="N153" s="634"/>
      <c r="O153" s="634"/>
      <c r="P153" s="634"/>
      <c r="Q153" s="634"/>
      <c r="R153" s="634"/>
      <c r="S153" s="634"/>
      <c r="U153" s="634"/>
      <c r="V153" s="634"/>
      <c r="W153" s="634"/>
      <c r="X153" s="634"/>
      <c r="Y153" s="634"/>
      <c r="Z153" s="634"/>
      <c r="AA153" s="634"/>
      <c r="AB153" s="634"/>
      <c r="AC153" s="634"/>
      <c r="AD153" s="634"/>
      <c r="AE153" s="634"/>
      <c r="AF153" s="634"/>
      <c r="AG153" s="634"/>
      <c r="AH153" s="634"/>
      <c r="AI153" s="634"/>
      <c r="AJ153" s="634"/>
      <c r="AK153" s="634"/>
    </row>
    <row r="154" spans="3:37" ht="22.5" x14ac:dyDescent="0.3">
      <c r="C154" s="759" t="s">
        <v>356</v>
      </c>
      <c r="D154" s="759"/>
      <c r="E154" s="759"/>
      <c r="F154" s="759"/>
      <c r="G154" s="759"/>
      <c r="H154" s="759"/>
      <c r="I154" s="759"/>
      <c r="J154" s="759"/>
      <c r="K154" s="759"/>
      <c r="L154" s="759"/>
      <c r="M154" s="759"/>
      <c r="N154" s="759"/>
      <c r="O154" s="759"/>
      <c r="P154" s="759"/>
      <c r="Q154" s="759"/>
      <c r="R154" s="759"/>
      <c r="S154" s="759"/>
      <c r="U154" s="759" t="s">
        <v>356</v>
      </c>
      <c r="V154" s="759"/>
      <c r="W154" s="759"/>
      <c r="X154" s="759"/>
      <c r="Y154" s="759"/>
      <c r="Z154" s="759"/>
      <c r="AA154" s="759"/>
      <c r="AB154" s="759"/>
      <c r="AC154" s="759"/>
      <c r="AD154" s="759"/>
      <c r="AE154" s="759"/>
      <c r="AF154" s="759"/>
      <c r="AG154" s="759"/>
      <c r="AH154" s="759"/>
      <c r="AI154" s="759"/>
      <c r="AJ154" s="759"/>
      <c r="AK154" s="759"/>
    </row>
    <row r="155" spans="3:37" x14ac:dyDescent="0.2">
      <c r="C155" s="634"/>
      <c r="D155" s="634"/>
      <c r="E155" s="634"/>
      <c r="F155" s="634"/>
      <c r="G155" s="634"/>
      <c r="H155" s="634"/>
      <c r="I155" s="634"/>
      <c r="J155" s="634"/>
      <c r="K155" s="634"/>
      <c r="L155" s="634"/>
      <c r="M155" s="634"/>
      <c r="N155" s="634"/>
      <c r="O155" s="634"/>
      <c r="P155" s="634"/>
      <c r="Q155" s="634"/>
      <c r="R155" s="634"/>
      <c r="S155" s="634"/>
      <c r="U155" s="634"/>
      <c r="V155" s="634"/>
      <c r="W155" s="634"/>
      <c r="X155" s="634"/>
      <c r="Y155" s="634"/>
      <c r="Z155" s="634"/>
      <c r="AA155" s="634"/>
      <c r="AB155" s="634"/>
      <c r="AC155" s="634"/>
      <c r="AD155" s="634"/>
      <c r="AE155" s="634"/>
      <c r="AF155" s="634"/>
      <c r="AG155" s="634"/>
      <c r="AH155" s="634"/>
      <c r="AI155" s="634"/>
      <c r="AJ155" s="634"/>
      <c r="AK155" s="634"/>
    </row>
    <row r="156" spans="3:37" ht="12.95" customHeight="1" x14ac:dyDescent="0.2">
      <c r="C156" s="758" t="s">
        <v>128</v>
      </c>
      <c r="D156" s="757" t="s">
        <v>42</v>
      </c>
      <c r="E156" s="757" t="s">
        <v>52</v>
      </c>
      <c r="F156" s="757" t="s">
        <v>53</v>
      </c>
      <c r="G156" s="757" t="s">
        <v>32</v>
      </c>
      <c r="H156" s="757" t="s">
        <v>20</v>
      </c>
      <c r="I156" s="757" t="s">
        <v>55</v>
      </c>
      <c r="J156" s="757" t="s">
        <v>56</v>
      </c>
      <c r="K156" s="757"/>
      <c r="L156" s="757"/>
      <c r="M156" s="757"/>
      <c r="N156" s="757"/>
      <c r="O156" s="757"/>
      <c r="P156" s="757" t="s">
        <v>57</v>
      </c>
      <c r="Q156" s="757" t="s">
        <v>58</v>
      </c>
      <c r="R156" s="757" t="s">
        <v>31</v>
      </c>
      <c r="S156" s="757" t="s">
        <v>10</v>
      </c>
      <c r="U156" s="758" t="s">
        <v>128</v>
      </c>
      <c r="V156" s="757" t="s">
        <v>42</v>
      </c>
      <c r="W156" s="757" t="s">
        <v>52</v>
      </c>
      <c r="X156" s="757" t="s">
        <v>53</v>
      </c>
      <c r="Y156" s="757" t="s">
        <v>32</v>
      </c>
      <c r="Z156" s="757" t="s">
        <v>20</v>
      </c>
      <c r="AA156" s="757" t="s">
        <v>55</v>
      </c>
      <c r="AB156" s="757" t="s">
        <v>56</v>
      </c>
      <c r="AC156" s="757"/>
      <c r="AD156" s="757"/>
      <c r="AE156" s="757"/>
      <c r="AF156" s="757"/>
      <c r="AG156" s="757"/>
      <c r="AH156" s="757" t="s">
        <v>57</v>
      </c>
      <c r="AI156" s="757" t="s">
        <v>58</v>
      </c>
      <c r="AJ156" s="757" t="s">
        <v>31</v>
      </c>
      <c r="AK156" s="757" t="s">
        <v>10</v>
      </c>
    </row>
    <row r="157" spans="3:37" ht="56.25" x14ac:dyDescent="0.2">
      <c r="C157" s="758"/>
      <c r="D157" s="757"/>
      <c r="E157" s="757"/>
      <c r="F157" s="757"/>
      <c r="G157" s="757"/>
      <c r="H157" s="757"/>
      <c r="I157" s="757"/>
      <c r="J157" s="638" t="s">
        <v>335</v>
      </c>
      <c r="K157" s="638" t="s">
        <v>40</v>
      </c>
      <c r="L157" s="638" t="s">
        <v>343</v>
      </c>
      <c r="M157" s="638" t="s">
        <v>344</v>
      </c>
      <c r="N157" s="638" t="s">
        <v>345</v>
      </c>
      <c r="O157" s="638" t="s">
        <v>346</v>
      </c>
      <c r="P157" s="757"/>
      <c r="Q157" s="757"/>
      <c r="R157" s="757"/>
      <c r="S157" s="757"/>
      <c r="U157" s="758"/>
      <c r="V157" s="757"/>
      <c r="W157" s="757"/>
      <c r="X157" s="757"/>
      <c r="Y157" s="757"/>
      <c r="Z157" s="757"/>
      <c r="AA157" s="757"/>
      <c r="AB157" s="638" t="s">
        <v>335</v>
      </c>
      <c r="AC157" s="638" t="s">
        <v>40</v>
      </c>
      <c r="AD157" s="638" t="s">
        <v>343</v>
      </c>
      <c r="AE157" s="638" t="s">
        <v>344</v>
      </c>
      <c r="AF157" s="638" t="s">
        <v>345</v>
      </c>
      <c r="AG157" s="638" t="s">
        <v>346</v>
      </c>
      <c r="AH157" s="757"/>
      <c r="AI157" s="757"/>
      <c r="AJ157" s="757"/>
      <c r="AK157" s="757"/>
    </row>
    <row r="158" spans="3:37" x14ac:dyDescent="0.2">
      <c r="C158" s="639" t="s">
        <v>59</v>
      </c>
      <c r="D158" s="640">
        <v>0</v>
      </c>
      <c r="E158" s="641">
        <v>9.7691999999999997</v>
      </c>
      <c r="F158" s="641">
        <v>0</v>
      </c>
      <c r="G158" s="640">
        <v>0.18608000000000002</v>
      </c>
      <c r="H158" s="641">
        <v>1190.909090909091</v>
      </c>
      <c r="I158" s="641">
        <v>172.65095069399246</v>
      </c>
      <c r="J158" s="641">
        <v>190.83629555260256</v>
      </c>
      <c r="K158" s="641">
        <v>22.859954043709436</v>
      </c>
      <c r="L158" s="641">
        <v>0.28638238403450345</v>
      </c>
      <c r="M158" s="641">
        <v>0.13461365170799597</v>
      </c>
      <c r="N158" s="641">
        <v>45.31680426782367</v>
      </c>
      <c r="O158" s="641">
        <v>7.2729377495964416</v>
      </c>
      <c r="P158" s="642">
        <v>0</v>
      </c>
      <c r="Q158" s="641">
        <v>0</v>
      </c>
      <c r="R158" s="641">
        <v>0</v>
      </c>
      <c r="S158" s="643">
        <v>1640.222309252558</v>
      </c>
      <c r="U158" s="639" t="s">
        <v>59</v>
      </c>
      <c r="V158" s="640">
        <v>0</v>
      </c>
      <c r="W158" s="641">
        <v>9.7691999999999997</v>
      </c>
      <c r="X158" s="641">
        <v>0</v>
      </c>
      <c r="Y158" s="640">
        <v>0.18608000000000002</v>
      </c>
      <c r="Z158" s="641">
        <v>1083.7741046831957</v>
      </c>
      <c r="AA158" s="641">
        <v>180.88004160308333</v>
      </c>
      <c r="AB158" s="641">
        <v>179.66191601295682</v>
      </c>
      <c r="AC158" s="641">
        <v>35.233025744634077</v>
      </c>
      <c r="AD158" s="641">
        <v>0.28638238403450345</v>
      </c>
      <c r="AE158" s="641">
        <v>0.13461365170799597</v>
      </c>
      <c r="AF158" s="641">
        <v>55.315214066923446</v>
      </c>
      <c r="AG158" s="641">
        <v>11.104217144375802</v>
      </c>
      <c r="AH158" s="642">
        <v>0</v>
      </c>
      <c r="AI158" s="641">
        <v>0</v>
      </c>
      <c r="AJ158" s="641">
        <v>0</v>
      </c>
      <c r="AK158" s="643">
        <v>1556.3447952909116</v>
      </c>
    </row>
    <row r="159" spans="3:37" x14ac:dyDescent="0.2">
      <c r="C159" s="639" t="s">
        <v>60</v>
      </c>
      <c r="D159" s="640">
        <v>50.272309821560647</v>
      </c>
      <c r="E159" s="641">
        <v>541.69545178681915</v>
      </c>
      <c r="F159" s="641">
        <v>188.86081515186203</v>
      </c>
      <c r="G159" s="640">
        <v>351.61513464214681</v>
      </c>
      <c r="H159" s="641">
        <v>0</v>
      </c>
      <c r="I159" s="641">
        <v>0</v>
      </c>
      <c r="J159" s="641">
        <v>2.7986686910966072</v>
      </c>
      <c r="K159" s="641">
        <v>0</v>
      </c>
      <c r="L159" s="641">
        <v>1.9601939880201746</v>
      </c>
      <c r="M159" s="641">
        <v>0</v>
      </c>
      <c r="N159" s="641">
        <v>0</v>
      </c>
      <c r="O159" s="641">
        <v>0</v>
      </c>
      <c r="P159" s="642">
        <v>0</v>
      </c>
      <c r="Q159" s="641">
        <v>0</v>
      </c>
      <c r="R159" s="641">
        <v>0</v>
      </c>
      <c r="S159" s="643">
        <v>1137.2025740815054</v>
      </c>
      <c r="U159" s="639" t="s">
        <v>60</v>
      </c>
      <c r="V159" s="640">
        <v>19.313313128242111</v>
      </c>
      <c r="W159" s="641">
        <v>439.73434116717101</v>
      </c>
      <c r="X159" s="641">
        <v>187.81160121991923</v>
      </c>
      <c r="Y159" s="640">
        <v>309.5644193276562</v>
      </c>
      <c r="Z159" s="641">
        <v>0</v>
      </c>
      <c r="AA159" s="641">
        <v>0</v>
      </c>
      <c r="AB159" s="641">
        <v>2.7986686910966072</v>
      </c>
      <c r="AC159" s="641">
        <v>0</v>
      </c>
      <c r="AD159" s="641">
        <v>1.9601939880201746</v>
      </c>
      <c r="AE159" s="641">
        <v>0</v>
      </c>
      <c r="AF159" s="641">
        <v>0</v>
      </c>
      <c r="AG159" s="641">
        <v>0</v>
      </c>
      <c r="AH159" s="642">
        <v>0</v>
      </c>
      <c r="AI159" s="641">
        <v>0</v>
      </c>
      <c r="AJ159" s="641">
        <v>0</v>
      </c>
      <c r="AK159" s="643">
        <v>961.18253752210535</v>
      </c>
    </row>
    <row r="160" spans="3:37" x14ac:dyDescent="0.2">
      <c r="C160" s="639" t="s">
        <v>61</v>
      </c>
      <c r="D160" s="640">
        <v>0</v>
      </c>
      <c r="E160" s="641">
        <v>0</v>
      </c>
      <c r="F160" s="641">
        <v>0</v>
      </c>
      <c r="G160" s="640">
        <v>0</v>
      </c>
      <c r="H160" s="641">
        <v>0</v>
      </c>
      <c r="I160" s="641">
        <v>0</v>
      </c>
      <c r="J160" s="641">
        <v>0</v>
      </c>
      <c r="K160" s="641">
        <v>0</v>
      </c>
      <c r="L160" s="641">
        <v>0</v>
      </c>
      <c r="M160" s="641">
        <v>0</v>
      </c>
      <c r="N160" s="641">
        <v>0</v>
      </c>
      <c r="O160" s="641">
        <v>0</v>
      </c>
      <c r="P160" s="642">
        <v>-71.534753758802367</v>
      </c>
      <c r="Q160" s="641">
        <v>0</v>
      </c>
      <c r="R160" s="641">
        <v>0</v>
      </c>
      <c r="S160" s="643">
        <v>-71.534753758802367</v>
      </c>
      <c r="U160" s="639" t="s">
        <v>61</v>
      </c>
      <c r="V160" s="640">
        <v>0</v>
      </c>
      <c r="W160" s="641">
        <v>0</v>
      </c>
      <c r="X160" s="641">
        <v>0</v>
      </c>
      <c r="Y160" s="640">
        <v>0</v>
      </c>
      <c r="Z160" s="641">
        <v>0</v>
      </c>
      <c r="AA160" s="641">
        <v>0</v>
      </c>
      <c r="AB160" s="641">
        <v>0</v>
      </c>
      <c r="AC160" s="641">
        <v>0</v>
      </c>
      <c r="AD160" s="641">
        <v>0</v>
      </c>
      <c r="AE160" s="641">
        <v>0</v>
      </c>
      <c r="AF160" s="641">
        <v>0</v>
      </c>
      <c r="AG160" s="641">
        <v>0</v>
      </c>
      <c r="AH160" s="642">
        <v>-59.869044369838548</v>
      </c>
      <c r="AI160" s="641">
        <v>0</v>
      </c>
      <c r="AJ160" s="641">
        <v>0</v>
      </c>
      <c r="AK160" s="643">
        <v>-59.869044369838548</v>
      </c>
    </row>
    <row r="161" spans="3:37" x14ac:dyDescent="0.2">
      <c r="C161" s="639" t="s">
        <v>62</v>
      </c>
      <c r="D161" s="640">
        <v>0</v>
      </c>
      <c r="E161" s="641">
        <v>0</v>
      </c>
      <c r="F161" s="641">
        <v>-17.07041205275393</v>
      </c>
      <c r="G161" s="640">
        <v>0</v>
      </c>
      <c r="H161" s="641">
        <v>0</v>
      </c>
      <c r="I161" s="641">
        <v>0</v>
      </c>
      <c r="J161" s="641">
        <v>0</v>
      </c>
      <c r="K161" s="641">
        <v>0</v>
      </c>
      <c r="L161" s="641">
        <v>0</v>
      </c>
      <c r="M161" s="641">
        <v>0</v>
      </c>
      <c r="N161" s="641">
        <v>0</v>
      </c>
      <c r="O161" s="641">
        <v>0</v>
      </c>
      <c r="P161" s="642">
        <v>0</v>
      </c>
      <c r="Q161" s="641">
        <v>0</v>
      </c>
      <c r="R161" s="641">
        <v>0</v>
      </c>
      <c r="S161" s="643">
        <v>-17.07041205275393</v>
      </c>
      <c r="U161" s="639" t="s">
        <v>62</v>
      </c>
      <c r="V161" s="640">
        <v>0</v>
      </c>
      <c r="W161" s="641">
        <v>0</v>
      </c>
      <c r="X161" s="641">
        <v>-16.843089298461354</v>
      </c>
      <c r="Y161" s="640">
        <v>-3.370970564953437E-2</v>
      </c>
      <c r="Z161" s="641">
        <v>0</v>
      </c>
      <c r="AA161" s="641">
        <v>0</v>
      </c>
      <c r="AB161" s="641">
        <v>0</v>
      </c>
      <c r="AC161" s="641">
        <v>0</v>
      </c>
      <c r="AD161" s="641">
        <v>0</v>
      </c>
      <c r="AE161" s="641">
        <v>-3.7455228499482631E-3</v>
      </c>
      <c r="AF161" s="641">
        <v>0</v>
      </c>
      <c r="AG161" s="641">
        <v>0</v>
      </c>
      <c r="AH161" s="642">
        <v>0</v>
      </c>
      <c r="AI161" s="641">
        <v>0</v>
      </c>
      <c r="AJ161" s="641">
        <v>0</v>
      </c>
      <c r="AK161" s="643">
        <v>-16.880544526960836</v>
      </c>
    </row>
    <row r="162" spans="3:37" x14ac:dyDescent="0.2">
      <c r="C162" s="639" t="s">
        <v>63</v>
      </c>
      <c r="D162" s="640">
        <v>0</v>
      </c>
      <c r="E162" s="641">
        <v>0</v>
      </c>
      <c r="F162" s="641">
        <v>-79.881990921256516</v>
      </c>
      <c r="G162" s="640">
        <v>0</v>
      </c>
      <c r="H162" s="641">
        <v>0</v>
      </c>
      <c r="I162" s="641">
        <v>0</v>
      </c>
      <c r="J162" s="641">
        <v>0</v>
      </c>
      <c r="K162" s="641">
        <v>0</v>
      </c>
      <c r="L162" s="641">
        <v>-0.82615205603276265</v>
      </c>
      <c r="M162" s="641">
        <v>0</v>
      </c>
      <c r="N162" s="641">
        <v>0</v>
      </c>
      <c r="O162" s="641">
        <v>0</v>
      </c>
      <c r="P162" s="642">
        <v>0</v>
      </c>
      <c r="Q162" s="641">
        <v>0</v>
      </c>
      <c r="R162" s="641">
        <v>0</v>
      </c>
      <c r="S162" s="643">
        <v>-80.708142977289285</v>
      </c>
      <c r="U162" s="639" t="s">
        <v>63</v>
      </c>
      <c r="V162" s="640">
        <v>0</v>
      </c>
      <c r="W162" s="641">
        <v>0</v>
      </c>
      <c r="X162" s="641">
        <v>-78.255878538705957</v>
      </c>
      <c r="Y162" s="640">
        <v>0</v>
      </c>
      <c r="Z162" s="641">
        <v>0</v>
      </c>
      <c r="AA162" s="641">
        <v>0</v>
      </c>
      <c r="AB162" s="641">
        <v>0</v>
      </c>
      <c r="AC162" s="641">
        <v>0</v>
      </c>
      <c r="AD162" s="641">
        <v>-2.9528968014026442</v>
      </c>
      <c r="AE162" s="641">
        <v>0</v>
      </c>
      <c r="AF162" s="641">
        <v>0</v>
      </c>
      <c r="AG162" s="641">
        <v>0</v>
      </c>
      <c r="AH162" s="642">
        <v>0</v>
      </c>
      <c r="AI162" s="641">
        <v>0</v>
      </c>
      <c r="AJ162" s="641">
        <v>0</v>
      </c>
      <c r="AK162" s="643">
        <v>-81.208775340108602</v>
      </c>
    </row>
    <row r="163" spans="3:37" x14ac:dyDescent="0.2">
      <c r="C163" s="639" t="s">
        <v>64</v>
      </c>
      <c r="D163" s="640">
        <v>0</v>
      </c>
      <c r="E163" s="641">
        <v>0</v>
      </c>
      <c r="F163" s="641">
        <v>0</v>
      </c>
      <c r="G163" s="640">
        <v>0</v>
      </c>
      <c r="H163" s="641">
        <v>0</v>
      </c>
      <c r="I163" s="641">
        <v>0</v>
      </c>
      <c r="J163" s="641">
        <v>0</v>
      </c>
      <c r="K163" s="641">
        <v>0</v>
      </c>
      <c r="L163" s="641">
        <v>0</v>
      </c>
      <c r="M163" s="641">
        <v>0</v>
      </c>
      <c r="N163" s="641">
        <v>0</v>
      </c>
      <c r="O163" s="641">
        <v>0</v>
      </c>
      <c r="P163" s="642">
        <v>0</v>
      </c>
      <c r="Q163" s="641">
        <v>0</v>
      </c>
      <c r="R163" s="641">
        <v>0</v>
      </c>
      <c r="S163" s="643">
        <v>0</v>
      </c>
      <c r="U163" s="639" t="s">
        <v>64</v>
      </c>
      <c r="V163" s="640">
        <v>0</v>
      </c>
      <c r="W163" s="641">
        <v>0</v>
      </c>
      <c r="X163" s="641">
        <v>0</v>
      </c>
      <c r="Y163" s="640">
        <v>0</v>
      </c>
      <c r="Z163" s="641">
        <v>0</v>
      </c>
      <c r="AA163" s="641">
        <v>0</v>
      </c>
      <c r="AB163" s="641">
        <v>0</v>
      </c>
      <c r="AC163" s="641">
        <v>0</v>
      </c>
      <c r="AD163" s="641">
        <v>0</v>
      </c>
      <c r="AE163" s="641">
        <v>0</v>
      </c>
      <c r="AF163" s="641">
        <v>0</v>
      </c>
      <c r="AG163" s="641">
        <v>0</v>
      </c>
      <c r="AH163" s="642">
        <v>0</v>
      </c>
      <c r="AI163" s="641">
        <v>0</v>
      </c>
      <c r="AJ163" s="641">
        <v>0</v>
      </c>
      <c r="AK163" s="643">
        <v>0</v>
      </c>
    </row>
    <row r="164" spans="3:37" x14ac:dyDescent="0.2">
      <c r="C164" s="644" t="s">
        <v>65</v>
      </c>
      <c r="D164" s="645">
        <v>50.272309821560647</v>
      </c>
      <c r="E164" s="645">
        <v>551.4646517868191</v>
      </c>
      <c r="F164" s="645">
        <v>91.908412177851574</v>
      </c>
      <c r="G164" s="645">
        <v>351.80121464214682</v>
      </c>
      <c r="H164" s="645">
        <v>1190.909090909091</v>
      </c>
      <c r="I164" s="645">
        <v>172.65095069399246</v>
      </c>
      <c r="J164" s="645">
        <v>193.63496424369919</v>
      </c>
      <c r="K164" s="645">
        <v>22.859954043709436</v>
      </c>
      <c r="L164" s="645">
        <v>1.4204243160219152</v>
      </c>
      <c r="M164" s="645">
        <v>0.13461365170799597</v>
      </c>
      <c r="N164" s="645">
        <v>45.31680426782367</v>
      </c>
      <c r="O164" s="645">
        <v>7.2729377495964416</v>
      </c>
      <c r="P164" s="645">
        <v>-71.534753758802367</v>
      </c>
      <c r="Q164" s="645">
        <v>0</v>
      </c>
      <c r="R164" s="645">
        <v>0</v>
      </c>
      <c r="S164" s="645">
        <v>2608.111574545218</v>
      </c>
      <c r="U164" s="644" t="s">
        <v>65</v>
      </c>
      <c r="V164" s="645">
        <v>19.313313128242111</v>
      </c>
      <c r="W164" s="645">
        <v>449.50354116717102</v>
      </c>
      <c r="X164" s="645">
        <v>92.712633382751903</v>
      </c>
      <c r="Y164" s="645">
        <v>309.71678962200667</v>
      </c>
      <c r="Z164" s="645">
        <v>1083.7741046831957</v>
      </c>
      <c r="AA164" s="645">
        <v>180.88004160308333</v>
      </c>
      <c r="AB164" s="645">
        <v>182.46058470405345</v>
      </c>
      <c r="AC164" s="645">
        <v>35.233025744634077</v>
      </c>
      <c r="AD164" s="645">
        <v>-0.70632042934796635</v>
      </c>
      <c r="AE164" s="645">
        <v>0.13086812885804772</v>
      </c>
      <c r="AF164" s="645">
        <v>55.315214066923446</v>
      </c>
      <c r="AG164" s="645">
        <v>11.104217144375802</v>
      </c>
      <c r="AH164" s="645">
        <v>-59.869044369838548</v>
      </c>
      <c r="AI164" s="645">
        <v>0</v>
      </c>
      <c r="AJ164" s="645">
        <v>0</v>
      </c>
      <c r="AK164" s="645">
        <v>2359.5689685761085</v>
      </c>
    </row>
    <row r="165" spans="3:37" x14ac:dyDescent="0.2">
      <c r="C165" s="634"/>
      <c r="D165" s="634">
        <v>0</v>
      </c>
      <c r="E165" s="634">
        <v>0</v>
      </c>
      <c r="F165" s="634">
        <v>0</v>
      </c>
      <c r="G165" s="634">
        <v>0</v>
      </c>
      <c r="H165" s="634">
        <v>0</v>
      </c>
      <c r="I165" s="634">
        <v>0</v>
      </c>
      <c r="J165" s="634">
        <v>0</v>
      </c>
      <c r="K165" s="634">
        <v>0</v>
      </c>
      <c r="L165" s="634">
        <v>0</v>
      </c>
      <c r="M165" s="634">
        <v>0</v>
      </c>
      <c r="N165" s="634">
        <v>0</v>
      </c>
      <c r="O165" s="634">
        <v>0</v>
      </c>
      <c r="P165" s="634">
        <v>0</v>
      </c>
      <c r="Q165" s="634">
        <v>0</v>
      </c>
      <c r="R165" s="634">
        <v>0</v>
      </c>
      <c r="S165" s="634">
        <v>0</v>
      </c>
      <c r="U165" s="634"/>
      <c r="V165" s="634">
        <v>0</v>
      </c>
      <c r="W165" s="634">
        <v>0</v>
      </c>
      <c r="X165" s="634">
        <v>0</v>
      </c>
      <c r="Y165" s="634">
        <v>0</v>
      </c>
      <c r="Z165" s="634">
        <v>0</v>
      </c>
      <c r="AA165" s="634">
        <v>0</v>
      </c>
      <c r="AB165" s="634">
        <v>0</v>
      </c>
      <c r="AC165" s="634">
        <v>0</v>
      </c>
      <c r="AD165" s="634">
        <v>0</v>
      </c>
      <c r="AE165" s="634">
        <v>0</v>
      </c>
      <c r="AF165" s="634">
        <v>0</v>
      </c>
      <c r="AG165" s="634">
        <v>0</v>
      </c>
      <c r="AH165" s="634">
        <v>0</v>
      </c>
      <c r="AI165" s="634">
        <v>0</v>
      </c>
      <c r="AJ165" s="634">
        <v>0</v>
      </c>
      <c r="AK165" s="634">
        <v>0</v>
      </c>
    </row>
    <row r="166" spans="3:37" x14ac:dyDescent="0.2">
      <c r="C166" s="646" t="s">
        <v>67</v>
      </c>
      <c r="D166" s="640">
        <v>0</v>
      </c>
      <c r="E166" s="647">
        <v>0</v>
      </c>
      <c r="F166" s="647">
        <v>0</v>
      </c>
      <c r="G166" s="640">
        <v>0</v>
      </c>
      <c r="H166" s="640">
        <v>0</v>
      </c>
      <c r="I166" s="640">
        <v>0</v>
      </c>
      <c r="J166" s="640">
        <v>0</v>
      </c>
      <c r="K166" s="640">
        <v>0</v>
      </c>
      <c r="L166" s="640">
        <v>0</v>
      </c>
      <c r="M166" s="640">
        <v>0</v>
      </c>
      <c r="N166" s="640">
        <v>0</v>
      </c>
      <c r="O166" s="640">
        <v>0</v>
      </c>
      <c r="P166" s="640">
        <v>0</v>
      </c>
      <c r="Q166" s="640">
        <v>0</v>
      </c>
      <c r="R166" s="640">
        <v>0</v>
      </c>
      <c r="S166" s="648">
        <v>0</v>
      </c>
      <c r="U166" s="646" t="s">
        <v>67</v>
      </c>
      <c r="V166" s="640">
        <v>0</v>
      </c>
      <c r="W166" s="647">
        <v>0</v>
      </c>
      <c r="X166" s="647">
        <v>0</v>
      </c>
      <c r="Y166" s="640">
        <v>0</v>
      </c>
      <c r="Z166" s="640">
        <v>0</v>
      </c>
      <c r="AA166" s="640">
        <v>0</v>
      </c>
      <c r="AB166" s="640">
        <v>0</v>
      </c>
      <c r="AC166" s="640">
        <v>0</v>
      </c>
      <c r="AD166" s="640">
        <v>0</v>
      </c>
      <c r="AE166" s="640">
        <v>0</v>
      </c>
      <c r="AF166" s="640">
        <v>0</v>
      </c>
      <c r="AG166" s="640">
        <v>0</v>
      </c>
      <c r="AH166" s="640">
        <v>0</v>
      </c>
      <c r="AI166" s="640">
        <v>0</v>
      </c>
      <c r="AJ166" s="640">
        <v>0</v>
      </c>
      <c r="AK166" s="648">
        <v>0</v>
      </c>
    </row>
    <row r="167" spans="3:37" x14ac:dyDescent="0.2">
      <c r="C167" s="646" t="s">
        <v>347</v>
      </c>
      <c r="D167" s="640">
        <v>2.8283781870338589</v>
      </c>
      <c r="E167" s="640">
        <v>0</v>
      </c>
      <c r="F167" s="640">
        <v>7.6468438736280877</v>
      </c>
      <c r="G167" s="640">
        <v>18.081180811808117</v>
      </c>
      <c r="H167" s="640">
        <v>1190.909090909091</v>
      </c>
      <c r="I167" s="640">
        <v>172.65095069399246</v>
      </c>
      <c r="J167" s="649">
        <v>32.565743560582284</v>
      </c>
      <c r="K167" s="649">
        <v>8.5008344637363535</v>
      </c>
      <c r="L167" s="649">
        <v>2.2465763720546779</v>
      </c>
      <c r="M167" s="649">
        <v>0.47195886872926307</v>
      </c>
      <c r="N167" s="649">
        <v>0</v>
      </c>
      <c r="O167" s="649">
        <v>2.2844574579320316</v>
      </c>
      <c r="P167" s="640">
        <v>-595.37716565950768</v>
      </c>
      <c r="Q167" s="640">
        <v>0</v>
      </c>
      <c r="R167" s="640">
        <v>0</v>
      </c>
      <c r="S167" s="648">
        <v>842.80884953908037</v>
      </c>
      <c r="U167" s="646" t="s">
        <v>347</v>
      </c>
      <c r="V167" s="640">
        <v>1.5423887961183378</v>
      </c>
      <c r="W167" s="640">
        <v>0</v>
      </c>
      <c r="X167" s="640">
        <v>4.7336207331322191</v>
      </c>
      <c r="Y167" s="640">
        <v>50.521301576652128</v>
      </c>
      <c r="Z167" s="640">
        <v>1083.7741046831957</v>
      </c>
      <c r="AA167" s="640">
        <v>180.88004160308333</v>
      </c>
      <c r="AB167" s="649">
        <v>27.309071851402241</v>
      </c>
      <c r="AC167" s="649">
        <v>8.3886793509275197</v>
      </c>
      <c r="AD167" s="649">
        <v>2.2465763720546779</v>
      </c>
      <c r="AE167" s="649">
        <v>4.4961118375316795</v>
      </c>
      <c r="AF167" s="649">
        <v>0</v>
      </c>
      <c r="AG167" s="649">
        <v>2.2844574579320316</v>
      </c>
      <c r="AH167" s="640">
        <v>-585.94262020496217</v>
      </c>
      <c r="AI167" s="640">
        <v>0</v>
      </c>
      <c r="AJ167" s="640">
        <v>0</v>
      </c>
      <c r="AK167" s="648">
        <v>780.23373405706764</v>
      </c>
    </row>
    <row r="168" spans="3:37" x14ac:dyDescent="0.2">
      <c r="C168" s="646" t="s">
        <v>348</v>
      </c>
      <c r="D168" s="640">
        <v>4.9396474947490832E-2</v>
      </c>
      <c r="E168" s="640">
        <v>0</v>
      </c>
      <c r="F168" s="640">
        <v>0</v>
      </c>
      <c r="G168" s="640">
        <v>16.012530383781044</v>
      </c>
      <c r="H168" s="640">
        <v>0</v>
      </c>
      <c r="I168" s="640">
        <v>0</v>
      </c>
      <c r="J168" s="649">
        <v>13.847709445189022</v>
      </c>
      <c r="K168" s="649">
        <v>12.568399079785937</v>
      </c>
      <c r="L168" s="649">
        <v>0</v>
      </c>
      <c r="M168" s="649">
        <v>0.33966953640978992</v>
      </c>
      <c r="N168" s="649">
        <v>0</v>
      </c>
      <c r="O168" s="649">
        <v>2.2653429264336893</v>
      </c>
      <c r="P168" s="640">
        <v>0</v>
      </c>
      <c r="Q168" s="640">
        <v>-40.328896494092007</v>
      </c>
      <c r="R168" s="640">
        <v>0</v>
      </c>
      <c r="S168" s="648">
        <v>4.7541513524549677</v>
      </c>
      <c r="U168" s="646" t="s">
        <v>348</v>
      </c>
      <c r="V168" s="640">
        <v>9.8298985145506765E-2</v>
      </c>
      <c r="W168" s="640">
        <v>0</v>
      </c>
      <c r="X168" s="640">
        <v>0</v>
      </c>
      <c r="Y168" s="640">
        <v>18.159328264867909</v>
      </c>
      <c r="Z168" s="640">
        <v>0</v>
      </c>
      <c r="AA168" s="640">
        <v>0</v>
      </c>
      <c r="AB168" s="649">
        <v>24.238794590159831</v>
      </c>
      <c r="AC168" s="649">
        <v>21.035165918687227</v>
      </c>
      <c r="AD168" s="649">
        <v>0</v>
      </c>
      <c r="AE168" s="649">
        <v>1.5919552250789037</v>
      </c>
      <c r="AF168" s="649">
        <v>0</v>
      </c>
      <c r="AG168" s="649">
        <v>4.9326813925495161</v>
      </c>
      <c r="AH168" s="640">
        <v>0</v>
      </c>
      <c r="AI168" s="640">
        <v>-63.058158381408973</v>
      </c>
      <c r="AJ168" s="640">
        <v>0</v>
      </c>
      <c r="AK168" s="648">
        <v>6.9980659950799184</v>
      </c>
    </row>
    <row r="169" spans="3:37" x14ac:dyDescent="0.2">
      <c r="C169" s="646" t="s">
        <v>349</v>
      </c>
      <c r="D169" s="640">
        <v>0</v>
      </c>
      <c r="E169" s="640">
        <v>0</v>
      </c>
      <c r="F169" s="640">
        <v>0</v>
      </c>
      <c r="G169" s="640">
        <v>0</v>
      </c>
      <c r="H169" s="640">
        <v>0</v>
      </c>
      <c r="I169" s="640">
        <v>0</v>
      </c>
      <c r="J169" s="650">
        <v>7.7702715936307092</v>
      </c>
      <c r="K169" s="650">
        <v>0</v>
      </c>
      <c r="L169" s="650">
        <v>0</v>
      </c>
      <c r="M169" s="650">
        <v>-6.9252545578233695</v>
      </c>
      <c r="N169" s="650">
        <v>0</v>
      </c>
      <c r="O169" s="650">
        <v>0</v>
      </c>
      <c r="P169" s="640">
        <v>0</v>
      </c>
      <c r="Q169" s="640">
        <v>0</v>
      </c>
      <c r="R169" s="640">
        <v>0</v>
      </c>
      <c r="S169" s="648">
        <v>0.84501703580733967</v>
      </c>
      <c r="U169" s="646" t="s">
        <v>349</v>
      </c>
      <c r="V169" s="640">
        <v>0</v>
      </c>
      <c r="W169" s="640">
        <v>0</v>
      </c>
      <c r="X169" s="640">
        <v>0</v>
      </c>
      <c r="Y169" s="640">
        <v>0</v>
      </c>
      <c r="Z169" s="640">
        <v>0</v>
      </c>
      <c r="AA169" s="640">
        <v>0</v>
      </c>
      <c r="AB169" s="650">
        <v>30.043092797136723</v>
      </c>
      <c r="AC169" s="650">
        <v>0</v>
      </c>
      <c r="AD169" s="650">
        <v>0</v>
      </c>
      <c r="AE169" s="650">
        <v>-26.775906455448105</v>
      </c>
      <c r="AF169" s="650">
        <v>0</v>
      </c>
      <c r="AG169" s="650">
        <v>0</v>
      </c>
      <c r="AH169" s="640">
        <v>0</v>
      </c>
      <c r="AI169" s="640">
        <v>0</v>
      </c>
      <c r="AJ169" s="640">
        <v>0</v>
      </c>
      <c r="AK169" s="648">
        <v>3.2671863416886175</v>
      </c>
    </row>
    <row r="170" spans="3:37" x14ac:dyDescent="0.2">
      <c r="C170" s="646" t="s">
        <v>350</v>
      </c>
      <c r="D170" s="640">
        <v>0</v>
      </c>
      <c r="E170" s="640">
        <v>0</v>
      </c>
      <c r="F170" s="640">
        <v>0</v>
      </c>
      <c r="G170" s="640">
        <v>0</v>
      </c>
      <c r="H170" s="640">
        <v>0</v>
      </c>
      <c r="I170" s="640">
        <v>0</v>
      </c>
      <c r="J170" s="640">
        <v>0</v>
      </c>
      <c r="K170" s="640">
        <v>0</v>
      </c>
      <c r="L170" s="640">
        <v>0</v>
      </c>
      <c r="M170" s="640">
        <v>0</v>
      </c>
      <c r="N170" s="640">
        <v>0</v>
      </c>
      <c r="O170" s="640">
        <v>0</v>
      </c>
      <c r="P170" s="640">
        <v>0</v>
      </c>
      <c r="Q170" s="640">
        <v>0</v>
      </c>
      <c r="R170" s="640">
        <v>0</v>
      </c>
      <c r="S170" s="648">
        <v>0</v>
      </c>
      <c r="U170" s="646" t="s">
        <v>350</v>
      </c>
      <c r="V170" s="640">
        <v>0</v>
      </c>
      <c r="W170" s="640">
        <v>0</v>
      </c>
      <c r="X170" s="640">
        <v>0</v>
      </c>
      <c r="Y170" s="640">
        <v>0</v>
      </c>
      <c r="Z170" s="640">
        <v>0</v>
      </c>
      <c r="AA170" s="640">
        <v>0</v>
      </c>
      <c r="AB170" s="640">
        <v>0</v>
      </c>
      <c r="AC170" s="640">
        <v>0</v>
      </c>
      <c r="AD170" s="640">
        <v>0</v>
      </c>
      <c r="AE170" s="640">
        <v>0</v>
      </c>
      <c r="AF170" s="640">
        <v>0</v>
      </c>
      <c r="AG170" s="640">
        <v>0</v>
      </c>
      <c r="AH170" s="640">
        <v>0</v>
      </c>
      <c r="AI170" s="640">
        <v>0</v>
      </c>
      <c r="AJ170" s="640">
        <v>0</v>
      </c>
      <c r="AK170" s="648">
        <v>0</v>
      </c>
    </row>
    <row r="171" spans="3:37" x14ac:dyDescent="0.2">
      <c r="C171" s="646" t="s">
        <v>72</v>
      </c>
      <c r="D171" s="640">
        <v>0</v>
      </c>
      <c r="E171" s="640">
        <v>571.25876810153738</v>
      </c>
      <c r="F171" s="640">
        <v>-565.54618042052198</v>
      </c>
      <c r="G171" s="640">
        <v>0</v>
      </c>
      <c r="H171" s="640">
        <v>0</v>
      </c>
      <c r="I171" s="640">
        <v>0</v>
      </c>
      <c r="J171" s="640">
        <v>0</v>
      </c>
      <c r="K171" s="640">
        <v>0</v>
      </c>
      <c r="L171" s="640">
        <v>0</v>
      </c>
      <c r="M171" s="640">
        <v>0</v>
      </c>
      <c r="N171" s="640">
        <v>0</v>
      </c>
      <c r="O171" s="640">
        <v>0</v>
      </c>
      <c r="P171" s="640">
        <v>0</v>
      </c>
      <c r="Q171" s="640">
        <v>0</v>
      </c>
      <c r="R171" s="640">
        <v>0</v>
      </c>
      <c r="S171" s="648">
        <v>5.7125876810154068</v>
      </c>
      <c r="U171" s="646" t="s">
        <v>72</v>
      </c>
      <c r="V171" s="640">
        <v>0</v>
      </c>
      <c r="W171" s="640">
        <v>465.63789420124414</v>
      </c>
      <c r="X171" s="640">
        <v>-460.98151525923168</v>
      </c>
      <c r="Y171" s="640">
        <v>0</v>
      </c>
      <c r="Z171" s="640">
        <v>0</v>
      </c>
      <c r="AA171" s="640">
        <v>0</v>
      </c>
      <c r="AB171" s="640">
        <v>0</v>
      </c>
      <c r="AC171" s="640">
        <v>0</v>
      </c>
      <c r="AD171" s="640">
        <v>0</v>
      </c>
      <c r="AE171" s="640">
        <v>0</v>
      </c>
      <c r="AF171" s="640">
        <v>0</v>
      </c>
      <c r="AG171" s="640">
        <v>0</v>
      </c>
      <c r="AH171" s="640">
        <v>0</v>
      </c>
      <c r="AI171" s="640">
        <v>0</v>
      </c>
      <c r="AJ171" s="640">
        <v>0</v>
      </c>
      <c r="AK171" s="648">
        <v>4.6563789420124522</v>
      </c>
    </row>
    <row r="172" spans="3:37" x14ac:dyDescent="0.2">
      <c r="C172" s="646" t="s">
        <v>351</v>
      </c>
      <c r="D172" s="640">
        <v>0</v>
      </c>
      <c r="E172" s="640">
        <v>0</v>
      </c>
      <c r="F172" s="640">
        <v>0</v>
      </c>
      <c r="G172" s="640">
        <v>0</v>
      </c>
      <c r="H172" s="640">
        <v>0</v>
      </c>
      <c r="I172" s="640">
        <v>0</v>
      </c>
      <c r="J172" s="640">
        <v>39.987714904046477</v>
      </c>
      <c r="K172" s="640">
        <v>0</v>
      </c>
      <c r="L172" s="640">
        <v>-39.987714904046477</v>
      </c>
      <c r="M172" s="640">
        <v>0</v>
      </c>
      <c r="N172" s="640">
        <v>0</v>
      </c>
      <c r="O172" s="640">
        <v>0</v>
      </c>
      <c r="P172" s="640">
        <v>0</v>
      </c>
      <c r="Q172" s="640">
        <v>0</v>
      </c>
      <c r="R172" s="640">
        <v>0</v>
      </c>
      <c r="S172" s="648">
        <v>0</v>
      </c>
      <c r="U172" s="646" t="s">
        <v>351</v>
      </c>
      <c r="V172" s="640">
        <v>0</v>
      </c>
      <c r="W172" s="640">
        <v>0</v>
      </c>
      <c r="X172" s="640">
        <v>0</v>
      </c>
      <c r="Y172" s="640">
        <v>0</v>
      </c>
      <c r="Z172" s="640">
        <v>0</v>
      </c>
      <c r="AA172" s="640">
        <v>0</v>
      </c>
      <c r="AB172" s="640" t="e">
        <v>#VALUE!</v>
      </c>
      <c r="AC172" s="640">
        <v>0</v>
      </c>
      <c r="AD172" s="640">
        <v>-45.567606807542596</v>
      </c>
      <c r="AE172" s="640">
        <v>0</v>
      </c>
      <c r="AF172" s="640">
        <v>0</v>
      </c>
      <c r="AG172" s="640">
        <v>0</v>
      </c>
      <c r="AH172" s="640">
        <v>0</v>
      </c>
      <c r="AI172" s="640">
        <v>0</v>
      </c>
      <c r="AJ172" s="640">
        <v>0</v>
      </c>
      <c r="AK172" s="648">
        <v>-45.567606807542596</v>
      </c>
    </row>
    <row r="173" spans="3:37" x14ac:dyDescent="0.2">
      <c r="C173" s="646" t="s">
        <v>352</v>
      </c>
      <c r="D173" s="640">
        <v>0</v>
      </c>
      <c r="E173" s="640">
        <v>0</v>
      </c>
      <c r="F173" s="640">
        <v>0</v>
      </c>
      <c r="G173" s="640">
        <v>0</v>
      </c>
      <c r="H173" s="640">
        <v>0</v>
      </c>
      <c r="I173" s="640">
        <v>0</v>
      </c>
      <c r="J173" s="640">
        <v>0</v>
      </c>
      <c r="K173" s="640">
        <v>0</v>
      </c>
      <c r="L173" s="640">
        <v>0</v>
      </c>
      <c r="M173" s="640">
        <v>0</v>
      </c>
      <c r="N173" s="640">
        <v>0</v>
      </c>
      <c r="O173" s="640">
        <v>0</v>
      </c>
      <c r="P173" s="640">
        <v>0</v>
      </c>
      <c r="Q173" s="640">
        <v>0</v>
      </c>
      <c r="R173" s="640">
        <v>0</v>
      </c>
      <c r="S173" s="648">
        <v>0</v>
      </c>
      <c r="U173" s="646" t="s">
        <v>352</v>
      </c>
      <c r="V173" s="640">
        <v>0</v>
      </c>
      <c r="W173" s="640">
        <v>0</v>
      </c>
      <c r="X173" s="640">
        <v>0</v>
      </c>
      <c r="Y173" s="640">
        <v>0</v>
      </c>
      <c r="Z173" s="640">
        <v>0</v>
      </c>
      <c r="AA173" s="640">
        <v>0</v>
      </c>
      <c r="AB173" s="640">
        <v>0</v>
      </c>
      <c r="AC173" s="640">
        <v>0</v>
      </c>
      <c r="AD173" s="640">
        <v>-3.4570377590144092</v>
      </c>
      <c r="AE173" s="640">
        <v>0</v>
      </c>
      <c r="AF173" s="640">
        <v>0</v>
      </c>
      <c r="AG173" s="640">
        <v>0</v>
      </c>
      <c r="AH173" s="640">
        <v>0</v>
      </c>
      <c r="AI173" s="640">
        <v>0</v>
      </c>
      <c r="AJ173" s="640">
        <v>0</v>
      </c>
      <c r="AK173" s="648">
        <v>-3.4570377590144092</v>
      </c>
    </row>
    <row r="174" spans="3:37" x14ac:dyDescent="0.2">
      <c r="C174" s="646" t="s">
        <v>73</v>
      </c>
      <c r="D174" s="640">
        <v>0</v>
      </c>
      <c r="E174" s="640">
        <v>0</v>
      </c>
      <c r="F174" s="640">
        <v>0</v>
      </c>
      <c r="G174" s="640">
        <v>0.75220280486673308</v>
      </c>
      <c r="H174" s="640">
        <v>0</v>
      </c>
      <c r="I174" s="640">
        <v>0</v>
      </c>
      <c r="J174" s="640">
        <v>0</v>
      </c>
      <c r="K174" s="640">
        <v>8.3794091977846576E-3</v>
      </c>
      <c r="L174" s="640">
        <v>0</v>
      </c>
      <c r="M174" s="640">
        <v>1.5351077650341492E-2</v>
      </c>
      <c r="N174" s="640">
        <v>0</v>
      </c>
      <c r="O174" s="640">
        <v>0</v>
      </c>
      <c r="P174" s="640">
        <v>6.6777445606960792E-2</v>
      </c>
      <c r="Q174" s="640">
        <v>0</v>
      </c>
      <c r="R174" s="640">
        <v>-0.58655864384492595</v>
      </c>
      <c r="S174" s="648">
        <v>0.25615209347689405</v>
      </c>
      <c r="U174" s="646" t="s">
        <v>73</v>
      </c>
      <c r="V174" s="640">
        <v>0</v>
      </c>
      <c r="W174" s="640">
        <v>0</v>
      </c>
      <c r="X174" s="640">
        <v>0</v>
      </c>
      <c r="Y174" s="640">
        <v>3.5795956147675603</v>
      </c>
      <c r="Z174" s="640">
        <v>0</v>
      </c>
      <c r="AA174" s="640">
        <v>0</v>
      </c>
      <c r="AB174" s="640">
        <v>0</v>
      </c>
      <c r="AC174" s="640">
        <v>7.7817295973207842E-2</v>
      </c>
      <c r="AD174" s="640">
        <v>0</v>
      </c>
      <c r="AE174" s="640">
        <v>0.31126918389283142</v>
      </c>
      <c r="AF174" s="640">
        <v>0</v>
      </c>
      <c r="AG174" s="640">
        <v>0</v>
      </c>
      <c r="AH174" s="640">
        <v>4.1063588490477363</v>
      </c>
      <c r="AI174" s="640">
        <v>0</v>
      </c>
      <c r="AJ174" s="640">
        <v>-5.4472107181245484</v>
      </c>
      <c r="AK174" s="648">
        <v>2.6278302255567869</v>
      </c>
    </row>
    <row r="175" spans="3:37" x14ac:dyDescent="0.2">
      <c r="C175" s="646" t="s">
        <v>353</v>
      </c>
      <c r="D175" s="640">
        <v>29.279348437500001</v>
      </c>
      <c r="E175" s="640">
        <v>-19.79411631471827</v>
      </c>
      <c r="F175" s="640">
        <v>25.889534996151326</v>
      </c>
      <c r="G175" s="640">
        <v>0</v>
      </c>
      <c r="H175" s="640">
        <v>0</v>
      </c>
      <c r="I175" s="640">
        <v>0</v>
      </c>
      <c r="J175" s="640">
        <v>0</v>
      </c>
      <c r="K175" s="640">
        <v>0</v>
      </c>
      <c r="L175" s="640">
        <v>0</v>
      </c>
      <c r="M175" s="640">
        <v>0</v>
      </c>
      <c r="N175" s="640">
        <v>0</v>
      </c>
      <c r="O175" s="640">
        <v>0</v>
      </c>
      <c r="P175" s="640">
        <v>0</v>
      </c>
      <c r="Q175" s="640">
        <v>0</v>
      </c>
      <c r="R175" s="640">
        <v>0</v>
      </c>
      <c r="S175" s="648">
        <v>35.374767118933057</v>
      </c>
      <c r="U175" s="646" t="s">
        <v>353</v>
      </c>
      <c r="V175" s="640">
        <v>8.1420534667968738</v>
      </c>
      <c r="W175" s="640">
        <v>-16.134353034073111</v>
      </c>
      <c r="X175" s="640">
        <v>21.102780789728897</v>
      </c>
      <c r="Y175" s="640">
        <v>0</v>
      </c>
      <c r="Z175" s="640">
        <v>0</v>
      </c>
      <c r="AA175" s="640">
        <v>0</v>
      </c>
      <c r="AB175" s="640">
        <v>0</v>
      </c>
      <c r="AC175" s="640">
        <v>0</v>
      </c>
      <c r="AD175" s="640">
        <v>0</v>
      </c>
      <c r="AE175" s="640">
        <v>0</v>
      </c>
      <c r="AF175" s="640">
        <v>0</v>
      </c>
      <c r="AG175" s="640">
        <v>0</v>
      </c>
      <c r="AH175" s="640">
        <v>0</v>
      </c>
      <c r="AI175" s="640">
        <v>0</v>
      </c>
      <c r="AJ175" s="640">
        <v>0</v>
      </c>
      <c r="AK175" s="648">
        <v>13.110481222452659</v>
      </c>
    </row>
    <row r="176" spans="3:37" x14ac:dyDescent="0.2">
      <c r="C176" s="646" t="s">
        <v>75</v>
      </c>
      <c r="D176" s="640">
        <v>11.386413281250002</v>
      </c>
      <c r="E176" s="640">
        <v>0</v>
      </c>
      <c r="F176" s="640">
        <v>19.422798115452274</v>
      </c>
      <c r="G176" s="640">
        <v>5.5423525681211148</v>
      </c>
      <c r="H176" s="640">
        <v>0</v>
      </c>
      <c r="I176" s="640">
        <v>0</v>
      </c>
      <c r="J176" s="640">
        <v>0</v>
      </c>
      <c r="K176" s="640">
        <v>0</v>
      </c>
      <c r="L176" s="640">
        <v>0</v>
      </c>
      <c r="M176" s="640">
        <v>0.11310923608410439</v>
      </c>
      <c r="N176" s="640">
        <v>0</v>
      </c>
      <c r="O176" s="640">
        <v>0</v>
      </c>
      <c r="P176" s="640">
        <v>36.293113930785914</v>
      </c>
      <c r="Q176" s="640">
        <v>0</v>
      </c>
      <c r="R176" s="640">
        <v>0</v>
      </c>
      <c r="S176" s="648">
        <v>72.757787131693405</v>
      </c>
      <c r="U176" s="646" t="s">
        <v>75</v>
      </c>
      <c r="V176" s="640">
        <v>7.5011909179687501</v>
      </c>
      <c r="W176" s="640">
        <v>0</v>
      </c>
      <c r="X176" s="640">
        <v>19.422798115452274</v>
      </c>
      <c r="Y176" s="640">
        <v>5.203024859868802</v>
      </c>
      <c r="Z176" s="640">
        <v>0</v>
      </c>
      <c r="AA176" s="640">
        <v>0</v>
      </c>
      <c r="AB176" s="640">
        <v>0</v>
      </c>
      <c r="AC176" s="640">
        <v>0</v>
      </c>
      <c r="AD176" s="640">
        <v>0</v>
      </c>
      <c r="AE176" s="640">
        <v>0.45243694433641768</v>
      </c>
      <c r="AF176" s="640">
        <v>0</v>
      </c>
      <c r="AG176" s="640">
        <v>0</v>
      </c>
      <c r="AH176" s="640">
        <v>32.151874261364433</v>
      </c>
      <c r="AI176" s="640">
        <v>0</v>
      </c>
      <c r="AJ176" s="640">
        <v>0</v>
      </c>
      <c r="AK176" s="648">
        <v>64.731325098990681</v>
      </c>
    </row>
    <row r="177" spans="3:37" x14ac:dyDescent="0.2">
      <c r="C177" s="646" t="s">
        <v>76</v>
      </c>
      <c r="D177" s="640">
        <v>0</v>
      </c>
      <c r="E177" s="640">
        <v>0</v>
      </c>
      <c r="F177" s="640">
        <v>0</v>
      </c>
      <c r="G177" s="640">
        <v>4.0237645059289928</v>
      </c>
      <c r="H177" s="640">
        <v>0</v>
      </c>
      <c r="I177" s="640">
        <v>0</v>
      </c>
      <c r="J177" s="640">
        <v>0</v>
      </c>
      <c r="K177" s="640">
        <v>0</v>
      </c>
      <c r="L177" s="640">
        <v>0</v>
      </c>
      <c r="M177" s="640">
        <v>8.211764297814271E-2</v>
      </c>
      <c r="N177" s="640">
        <v>0</v>
      </c>
      <c r="O177" s="640">
        <v>0</v>
      </c>
      <c r="P177" s="640">
        <v>40.115929077638647</v>
      </c>
      <c r="Q177" s="640">
        <v>3.1293610589936001</v>
      </c>
      <c r="R177" s="640">
        <v>0</v>
      </c>
      <c r="S177" s="648">
        <v>47.351172285539384</v>
      </c>
      <c r="U177" s="646" t="s">
        <v>76</v>
      </c>
      <c r="V177" s="640">
        <v>0</v>
      </c>
      <c r="W177" s="640">
        <v>0</v>
      </c>
      <c r="X177" s="640">
        <v>0</v>
      </c>
      <c r="Y177" s="640">
        <v>3.6512599711974678</v>
      </c>
      <c r="Z177" s="640">
        <v>0</v>
      </c>
      <c r="AA177" s="640">
        <v>0</v>
      </c>
      <c r="AB177" s="640">
        <v>0</v>
      </c>
      <c r="AC177" s="640">
        <v>0</v>
      </c>
      <c r="AD177" s="640">
        <v>0</v>
      </c>
      <c r="AE177" s="640">
        <v>0.31750086706064945</v>
      </c>
      <c r="AF177" s="640">
        <v>0</v>
      </c>
      <c r="AG177" s="640">
        <v>0</v>
      </c>
      <c r="AH177" s="640">
        <v>40.286923174182249</v>
      </c>
      <c r="AI177" s="640">
        <v>4.8906691757229597</v>
      </c>
      <c r="AJ177" s="640">
        <v>0</v>
      </c>
      <c r="AK177" s="648">
        <v>49.146353188163332</v>
      </c>
    </row>
    <row r="178" spans="3:37" x14ac:dyDescent="0.2">
      <c r="C178" s="644" t="s">
        <v>77</v>
      </c>
      <c r="D178" s="645">
        <v>43.543536380731354</v>
      </c>
      <c r="E178" s="645">
        <v>551.4646517868191</v>
      </c>
      <c r="F178" s="645">
        <v>-512.58700343529028</v>
      </c>
      <c r="G178" s="645">
        <v>44.412031074506011</v>
      </c>
      <c r="H178" s="645">
        <v>1190.909090909091</v>
      </c>
      <c r="I178" s="645">
        <v>172.65095069399246</v>
      </c>
      <c r="J178" s="645">
        <v>94.171439503448497</v>
      </c>
      <c r="K178" s="645">
        <v>21.077612952720074</v>
      </c>
      <c r="L178" s="645">
        <v>-37.741138531991801</v>
      </c>
      <c r="M178" s="645">
        <v>-5.9030481959717278</v>
      </c>
      <c r="N178" s="645">
        <v>0</v>
      </c>
      <c r="O178" s="645">
        <v>4.5498003843657209</v>
      </c>
      <c r="P178" s="645">
        <v>-518.9013452054761</v>
      </c>
      <c r="Q178" s="645">
        <v>-37.199535435098404</v>
      </c>
      <c r="R178" s="645">
        <v>-0.58655864384492595</v>
      </c>
      <c r="S178" s="645">
        <v>1009.8604842380009</v>
      </c>
      <c r="U178" s="644" t="s">
        <v>77</v>
      </c>
      <c r="V178" s="645">
        <v>17.283932166029469</v>
      </c>
      <c r="W178" s="645">
        <v>449.50354116717102</v>
      </c>
      <c r="X178" s="645">
        <v>-415.72231562091827</v>
      </c>
      <c r="Y178" s="645">
        <v>81.114510287353866</v>
      </c>
      <c r="Z178" s="645">
        <v>1083.7741046831957</v>
      </c>
      <c r="AA178" s="645">
        <v>180.88004160308333</v>
      </c>
      <c r="AB178" s="645">
        <v>81.590959238698787</v>
      </c>
      <c r="AC178" s="645">
        <v>29.501662565587953</v>
      </c>
      <c r="AD178" s="645">
        <v>-46.778068194502332</v>
      </c>
      <c r="AE178" s="645">
        <v>-19.606632397547621</v>
      </c>
      <c r="AF178" s="645">
        <v>0</v>
      </c>
      <c r="AG178" s="645">
        <v>7.2171388504815477</v>
      </c>
      <c r="AH178" s="645">
        <v>-509.39746392036778</v>
      </c>
      <c r="AI178" s="645">
        <v>-58.16748920568601</v>
      </c>
      <c r="AJ178" s="645">
        <v>-5.4472107181245484</v>
      </c>
      <c r="AK178" s="645">
        <v>875.74671050445522</v>
      </c>
    </row>
    <row r="179" spans="3:37" x14ac:dyDescent="0.2">
      <c r="C179" s="634"/>
      <c r="D179" s="634">
        <v>0</v>
      </c>
      <c r="E179" s="634">
        <v>0</v>
      </c>
      <c r="F179" s="634">
        <v>0</v>
      </c>
      <c r="G179" s="634">
        <v>0</v>
      </c>
      <c r="H179" s="634">
        <v>0</v>
      </c>
      <c r="I179" s="634">
        <v>0</v>
      </c>
      <c r="J179" s="634">
        <v>0</v>
      </c>
      <c r="K179" s="634">
        <v>0</v>
      </c>
      <c r="L179" s="634">
        <v>0</v>
      </c>
      <c r="M179" s="634">
        <v>0</v>
      </c>
      <c r="N179" s="634">
        <v>0</v>
      </c>
      <c r="O179" s="634">
        <v>0</v>
      </c>
      <c r="P179" s="634">
        <v>0</v>
      </c>
      <c r="Q179" s="634">
        <v>0</v>
      </c>
      <c r="R179" s="634">
        <v>0</v>
      </c>
      <c r="S179" s="634">
        <v>0</v>
      </c>
      <c r="U179" s="634"/>
      <c r="V179" s="634">
        <v>0</v>
      </c>
      <c r="W179" s="634">
        <v>0</v>
      </c>
      <c r="X179" s="634">
        <v>0</v>
      </c>
      <c r="Y179" s="634">
        <v>0</v>
      </c>
      <c r="Z179" s="634">
        <v>0</v>
      </c>
      <c r="AA179" s="634">
        <v>0</v>
      </c>
      <c r="AB179" s="634">
        <v>0</v>
      </c>
      <c r="AC179" s="634">
        <v>0</v>
      </c>
      <c r="AD179" s="634">
        <v>0</v>
      </c>
      <c r="AE179" s="634">
        <v>0</v>
      </c>
      <c r="AF179" s="634">
        <v>0</v>
      </c>
      <c r="AG179" s="634">
        <v>0</v>
      </c>
      <c r="AH179" s="634">
        <v>0</v>
      </c>
      <c r="AI179" s="634">
        <v>0</v>
      </c>
      <c r="AJ179" s="634">
        <v>0</v>
      </c>
      <c r="AK179" s="634">
        <v>0</v>
      </c>
    </row>
    <row r="180" spans="3:37" x14ac:dyDescent="0.2">
      <c r="C180" s="646" t="s">
        <v>78</v>
      </c>
      <c r="D180" s="640">
        <v>6.728773440829297</v>
      </c>
      <c r="E180" s="640">
        <v>0</v>
      </c>
      <c r="F180" s="640">
        <v>25.863549799477383</v>
      </c>
      <c r="G180" s="640">
        <v>106.8903340661312</v>
      </c>
      <c r="H180" s="640">
        <v>0</v>
      </c>
      <c r="I180" s="640">
        <v>0</v>
      </c>
      <c r="J180" s="640">
        <v>18.169859613838756</v>
      </c>
      <c r="K180" s="640">
        <v>1.7567698743130979</v>
      </c>
      <c r="L180" s="640">
        <v>0.84376959960937503</v>
      </c>
      <c r="M180" s="640">
        <v>2.2002106600734406</v>
      </c>
      <c r="N180" s="640">
        <v>0</v>
      </c>
      <c r="O180" s="640">
        <v>3.8276465550578692E-4</v>
      </c>
      <c r="P180" s="640">
        <v>109.87696924977793</v>
      </c>
      <c r="Q180" s="640">
        <v>16.590503969858354</v>
      </c>
      <c r="R180" s="640">
        <v>0.37438674926757814</v>
      </c>
      <c r="S180" s="648">
        <v>289.29550978783192</v>
      </c>
      <c r="U180" s="646" t="s">
        <v>78</v>
      </c>
      <c r="V180" s="640">
        <v>2.0293809622126395</v>
      </c>
      <c r="W180" s="640">
        <v>0</v>
      </c>
      <c r="X180" s="640">
        <v>19.296192618187902</v>
      </c>
      <c r="Y180" s="640">
        <v>85.841195035715842</v>
      </c>
      <c r="Z180" s="640">
        <v>0</v>
      </c>
      <c r="AA180" s="640">
        <v>0</v>
      </c>
      <c r="AB180" s="640">
        <v>17.65205880284368</v>
      </c>
      <c r="AC180" s="640">
        <v>5.7057919623698545</v>
      </c>
      <c r="AD180" s="640">
        <v>1.0576742773437502</v>
      </c>
      <c r="AE180" s="640">
        <v>7.4832270132048837</v>
      </c>
      <c r="AF180" s="640">
        <v>0</v>
      </c>
      <c r="AG180" s="640">
        <v>3.8276465550578692E-4</v>
      </c>
      <c r="AH180" s="640">
        <v>128.8590842242281</v>
      </c>
      <c r="AI180" s="640">
        <v>20.165819518520905</v>
      </c>
      <c r="AJ180" s="640">
        <v>3.3051525878906252</v>
      </c>
      <c r="AK180" s="648">
        <v>291.39595976717368</v>
      </c>
    </row>
    <row r="181" spans="3:37" x14ac:dyDescent="0.2">
      <c r="C181" s="646" t="s">
        <v>79</v>
      </c>
      <c r="D181" s="640">
        <v>0</v>
      </c>
      <c r="E181" s="640">
        <v>0</v>
      </c>
      <c r="F181" s="640">
        <v>369.9552310331793</v>
      </c>
      <c r="G181" s="640">
        <v>11.471553092100274</v>
      </c>
      <c r="H181" s="640">
        <v>0</v>
      </c>
      <c r="I181" s="640">
        <v>0</v>
      </c>
      <c r="J181" s="640">
        <v>0</v>
      </c>
      <c r="K181" s="640">
        <v>0</v>
      </c>
      <c r="L181" s="640">
        <v>35.942658929765898</v>
      </c>
      <c r="M181" s="640">
        <v>0.23411332841020971</v>
      </c>
      <c r="N181" s="640">
        <v>0</v>
      </c>
      <c r="O181" s="640">
        <v>0</v>
      </c>
      <c r="P181" s="640">
        <v>25.304787135555738</v>
      </c>
      <c r="Q181" s="640">
        <v>0</v>
      </c>
      <c r="R181" s="640">
        <v>0.21217189457734786</v>
      </c>
      <c r="S181" s="648">
        <v>443.12051541358881</v>
      </c>
      <c r="U181" s="646" t="s">
        <v>79</v>
      </c>
      <c r="V181" s="640">
        <v>0</v>
      </c>
      <c r="W181" s="640">
        <v>0</v>
      </c>
      <c r="X181" s="640">
        <v>313.43701377185255</v>
      </c>
      <c r="Y181" s="640">
        <v>10.638728179836399</v>
      </c>
      <c r="Z181" s="640">
        <v>0</v>
      </c>
      <c r="AA181" s="640">
        <v>0</v>
      </c>
      <c r="AB181" s="640">
        <v>0</v>
      </c>
      <c r="AC181" s="640">
        <v>0</v>
      </c>
      <c r="AD181" s="640">
        <v>37.80600606344305</v>
      </c>
      <c r="AE181" s="640">
        <v>1.0240500912331831</v>
      </c>
      <c r="AF181" s="640">
        <v>0</v>
      </c>
      <c r="AG181" s="640">
        <v>0</v>
      </c>
      <c r="AH181" s="640">
        <v>27.763643315903455</v>
      </c>
      <c r="AI181" s="640">
        <v>0</v>
      </c>
      <c r="AJ181" s="640">
        <v>0.49126373722019012</v>
      </c>
      <c r="AK181" s="648">
        <v>391.16070515948877</v>
      </c>
    </row>
    <row r="182" spans="3:37" x14ac:dyDescent="0.2">
      <c r="C182" s="646" t="s">
        <v>80</v>
      </c>
      <c r="D182" s="640">
        <v>0</v>
      </c>
      <c r="E182" s="640">
        <v>0</v>
      </c>
      <c r="F182" s="640">
        <v>35.339410591812062</v>
      </c>
      <c r="G182" s="640">
        <v>110.15178599375342</v>
      </c>
      <c r="H182" s="640">
        <v>0</v>
      </c>
      <c r="I182" s="640">
        <v>0</v>
      </c>
      <c r="J182" s="640">
        <v>76.439784825488388</v>
      </c>
      <c r="K182" s="640">
        <v>0</v>
      </c>
      <c r="L182" s="640">
        <v>0</v>
      </c>
      <c r="M182" s="640">
        <v>2.2479956325255803</v>
      </c>
      <c r="N182" s="640">
        <v>37.868836361528707</v>
      </c>
      <c r="O182" s="640">
        <v>1.7588356807089602</v>
      </c>
      <c r="P182" s="640">
        <v>172.83410671700432</v>
      </c>
      <c r="Q182" s="640">
        <v>15.866907360541454</v>
      </c>
      <c r="R182" s="640">
        <v>0</v>
      </c>
      <c r="S182" s="648">
        <v>452.50766316336285</v>
      </c>
      <c r="U182" s="646" t="s">
        <v>80</v>
      </c>
      <c r="V182" s="640">
        <v>0</v>
      </c>
      <c r="W182" s="640">
        <v>0</v>
      </c>
      <c r="X182" s="640">
        <v>15.561012749366258</v>
      </c>
      <c r="Y182" s="640">
        <v>82.553801475145548</v>
      </c>
      <c r="Z182" s="640">
        <v>0</v>
      </c>
      <c r="AA182" s="640">
        <v>0</v>
      </c>
      <c r="AB182" s="640">
        <v>74.889683173020046</v>
      </c>
      <c r="AC182" s="640">
        <v>0</v>
      </c>
      <c r="AD182" s="640">
        <v>0</v>
      </c>
      <c r="AE182" s="640">
        <v>7.1785914326213538</v>
      </c>
      <c r="AF182" s="640">
        <v>42.28245423809345</v>
      </c>
      <c r="AG182" s="640">
        <v>1.7308148603825539</v>
      </c>
      <c r="AH182" s="640">
        <v>160.19147139934566</v>
      </c>
      <c r="AI182" s="640">
        <v>30.044387556600874</v>
      </c>
      <c r="AJ182" s="640">
        <v>0</v>
      </c>
      <c r="AK182" s="648">
        <v>414.43221688457572</v>
      </c>
    </row>
    <row r="183" spans="3:37" x14ac:dyDescent="0.2">
      <c r="C183" s="646" t="s">
        <v>81</v>
      </c>
      <c r="D183" s="640">
        <v>0</v>
      </c>
      <c r="E183" s="640">
        <v>0</v>
      </c>
      <c r="F183" s="640">
        <v>16.364991401651867</v>
      </c>
      <c r="G183" s="640">
        <v>64.121059154218784</v>
      </c>
      <c r="H183" s="640">
        <v>0</v>
      </c>
      <c r="I183" s="640">
        <v>0</v>
      </c>
      <c r="J183" s="640">
        <v>3.7472623320410015</v>
      </c>
      <c r="K183" s="640">
        <v>2.5571216676264549E-2</v>
      </c>
      <c r="L183" s="640">
        <v>0</v>
      </c>
      <c r="M183" s="640">
        <v>1.3085930439636488</v>
      </c>
      <c r="N183" s="640">
        <v>7.447967906294962</v>
      </c>
      <c r="O183" s="640">
        <v>0.8772790781137545</v>
      </c>
      <c r="P183" s="640">
        <v>131.35942241830159</v>
      </c>
      <c r="Q183" s="640">
        <v>4.7421241046985951</v>
      </c>
      <c r="R183" s="640">
        <v>0</v>
      </c>
      <c r="S183" s="648">
        <v>229.99427065596046</v>
      </c>
      <c r="U183" s="646" t="s">
        <v>81</v>
      </c>
      <c r="V183" s="640">
        <v>0</v>
      </c>
      <c r="W183" s="640">
        <v>0</v>
      </c>
      <c r="X183" s="640">
        <v>8.4431338424639417</v>
      </c>
      <c r="Y183" s="640">
        <v>45.209877020113709</v>
      </c>
      <c r="Z183" s="640">
        <v>0</v>
      </c>
      <c r="AA183" s="640">
        <v>0</v>
      </c>
      <c r="AB183" s="640">
        <v>7.2212655206083989</v>
      </c>
      <c r="AC183" s="640">
        <v>2.5571216676264549E-2</v>
      </c>
      <c r="AD183" s="640">
        <v>0</v>
      </c>
      <c r="AE183" s="640">
        <v>3.9312936539229324</v>
      </c>
      <c r="AF183" s="640">
        <v>13.032759828829999</v>
      </c>
      <c r="AG183" s="640">
        <v>1.6365054019865546</v>
      </c>
      <c r="AH183" s="640">
        <v>124.3283929234443</v>
      </c>
      <c r="AI183" s="640">
        <v>7.9572821305642334</v>
      </c>
      <c r="AJ183" s="640">
        <v>0</v>
      </c>
      <c r="AK183" s="648">
        <v>211.78608153861032</v>
      </c>
    </row>
    <row r="184" spans="3:37" x14ac:dyDescent="0.2">
      <c r="C184" s="646" t="s">
        <v>82</v>
      </c>
      <c r="D184" s="640">
        <v>0</v>
      </c>
      <c r="E184" s="640">
        <v>0</v>
      </c>
      <c r="F184" s="640">
        <v>33.765533014074606</v>
      </c>
      <c r="G184" s="640">
        <v>2.2907099526353965</v>
      </c>
      <c r="H184" s="640">
        <v>0</v>
      </c>
      <c r="I184" s="640">
        <v>0</v>
      </c>
      <c r="J184" s="640">
        <v>1.1066179688825246</v>
      </c>
      <c r="K184" s="640">
        <v>0</v>
      </c>
      <c r="L184" s="640">
        <v>2.3728212231152073</v>
      </c>
      <c r="M184" s="640">
        <v>4.6749182706844826E-2</v>
      </c>
      <c r="N184" s="640">
        <v>0</v>
      </c>
      <c r="O184" s="640">
        <v>8.6639841752499475E-2</v>
      </c>
      <c r="P184" s="640">
        <v>7.9913059260342072</v>
      </c>
      <c r="Q184" s="640">
        <v>0</v>
      </c>
      <c r="R184" s="640">
        <v>0</v>
      </c>
      <c r="S184" s="648">
        <v>47.660377109201292</v>
      </c>
      <c r="U184" s="646" t="s">
        <v>82</v>
      </c>
      <c r="V184" s="640">
        <v>0</v>
      </c>
      <c r="W184" s="640">
        <v>0</v>
      </c>
      <c r="X184" s="640">
        <v>29.817412370685851</v>
      </c>
      <c r="Y184" s="640">
        <v>2.4393255997206347</v>
      </c>
      <c r="Z184" s="640">
        <v>0</v>
      </c>
      <c r="AA184" s="640">
        <v>0</v>
      </c>
      <c r="AB184" s="640">
        <v>1.1066179688825246</v>
      </c>
      <c r="AC184" s="640">
        <v>0</v>
      </c>
      <c r="AD184" s="640">
        <v>7.1577097724425283</v>
      </c>
      <c r="AE184" s="640">
        <v>0.2121152695409248</v>
      </c>
      <c r="AF184" s="640">
        <v>0</v>
      </c>
      <c r="AG184" s="640">
        <v>0.5193752668696392</v>
      </c>
      <c r="AH184" s="640">
        <v>8.0258276876076717</v>
      </c>
      <c r="AI184" s="640">
        <v>0</v>
      </c>
      <c r="AJ184" s="640">
        <v>0.13892990437736891</v>
      </c>
      <c r="AK184" s="648">
        <v>49.417313840127143</v>
      </c>
    </row>
    <row r="185" spans="3:37" x14ac:dyDescent="0.2">
      <c r="C185" s="646" t="s">
        <v>354</v>
      </c>
      <c r="D185" s="640">
        <v>0</v>
      </c>
      <c r="E185" s="640">
        <v>0</v>
      </c>
      <c r="F185" s="640">
        <v>0</v>
      </c>
      <c r="G185" s="640">
        <v>0</v>
      </c>
      <c r="H185" s="640">
        <v>0</v>
      </c>
      <c r="I185" s="640">
        <v>0</v>
      </c>
      <c r="J185" s="640">
        <v>0</v>
      </c>
      <c r="K185" s="640">
        <v>0</v>
      </c>
      <c r="L185" s="640">
        <v>0</v>
      </c>
      <c r="M185" s="640">
        <v>0</v>
      </c>
      <c r="N185" s="640">
        <v>0</v>
      </c>
      <c r="O185" s="640">
        <v>0</v>
      </c>
      <c r="P185" s="640">
        <v>0</v>
      </c>
      <c r="Q185" s="640">
        <v>0</v>
      </c>
      <c r="R185" s="640">
        <v>0</v>
      </c>
      <c r="S185" s="648">
        <v>0</v>
      </c>
      <c r="U185" s="646" t="s">
        <v>354</v>
      </c>
      <c r="V185" s="640">
        <v>0</v>
      </c>
      <c r="W185" s="640">
        <v>0</v>
      </c>
      <c r="X185" s="640">
        <v>0</v>
      </c>
      <c r="Y185" s="640">
        <v>0</v>
      </c>
      <c r="Z185" s="640">
        <v>0</v>
      </c>
      <c r="AA185" s="640">
        <v>0</v>
      </c>
      <c r="AB185" s="640">
        <v>0</v>
      </c>
      <c r="AC185" s="640">
        <v>0</v>
      </c>
      <c r="AD185" s="640">
        <v>0</v>
      </c>
      <c r="AE185" s="640">
        <v>0</v>
      </c>
      <c r="AF185" s="640">
        <v>0</v>
      </c>
      <c r="AG185" s="640">
        <v>0</v>
      </c>
      <c r="AH185" s="640">
        <v>0.36</v>
      </c>
      <c r="AI185" s="640">
        <v>0</v>
      </c>
      <c r="AJ185" s="640">
        <v>0</v>
      </c>
      <c r="AK185" s="648">
        <v>0.36</v>
      </c>
    </row>
    <row r="186" spans="3:37" x14ac:dyDescent="0.2">
      <c r="C186" s="644" t="s">
        <v>83</v>
      </c>
      <c r="D186" s="645">
        <v>6.728773440829297</v>
      </c>
      <c r="E186" s="645">
        <v>0</v>
      </c>
      <c r="F186" s="645">
        <v>481.28871584019521</v>
      </c>
      <c r="G186" s="645">
        <v>294.92544225883904</v>
      </c>
      <c r="H186" s="645">
        <v>0</v>
      </c>
      <c r="I186" s="645">
        <v>0</v>
      </c>
      <c r="J186" s="645">
        <v>99.463524740250691</v>
      </c>
      <c r="K186" s="645">
        <v>1.7823410909893624</v>
      </c>
      <c r="L186" s="645">
        <v>39.159249752490481</v>
      </c>
      <c r="M186" s="645">
        <v>6.0376618476797237</v>
      </c>
      <c r="N186" s="645">
        <v>45.31680426782367</v>
      </c>
      <c r="O186" s="645">
        <v>2.7231373652307198</v>
      </c>
      <c r="P186" s="645">
        <v>447.36659144667379</v>
      </c>
      <c r="Q186" s="645">
        <v>37.199535435098404</v>
      </c>
      <c r="R186" s="645">
        <v>0.58655864384492595</v>
      </c>
      <c r="S186" s="645">
        <v>1462.5783361299455</v>
      </c>
      <c r="U186" s="644" t="s">
        <v>83</v>
      </c>
      <c r="V186" s="645">
        <v>2.0293809622126395</v>
      </c>
      <c r="W186" s="645">
        <v>0</v>
      </c>
      <c r="X186" s="645">
        <v>386.5547653525565</v>
      </c>
      <c r="Y186" s="645">
        <v>226.68292731053214</v>
      </c>
      <c r="Z186" s="645">
        <v>0</v>
      </c>
      <c r="AA186" s="645">
        <v>0</v>
      </c>
      <c r="AB186" s="645">
        <v>100.86962546535466</v>
      </c>
      <c r="AC186" s="645">
        <v>5.7313631790461192</v>
      </c>
      <c r="AD186" s="645">
        <v>46.02139011322933</v>
      </c>
      <c r="AE186" s="645">
        <v>19.829277460523276</v>
      </c>
      <c r="AF186" s="645">
        <v>55.315214066923446</v>
      </c>
      <c r="AG186" s="645">
        <v>3.8870782938942541</v>
      </c>
      <c r="AH186" s="645">
        <v>449.52841955052912</v>
      </c>
      <c r="AI186" s="645">
        <v>58.16748920568601</v>
      </c>
      <c r="AJ186" s="645">
        <v>3.9353462294881845</v>
      </c>
      <c r="AK186" s="645">
        <v>1358.5522771899757</v>
      </c>
    </row>
    <row r="187" spans="3:37" x14ac:dyDescent="0.2">
      <c r="C187" s="639" t="s">
        <v>84</v>
      </c>
      <c r="D187" s="640">
        <v>0</v>
      </c>
      <c r="E187" s="640">
        <v>0</v>
      </c>
      <c r="F187" s="640">
        <v>123.20669977294675</v>
      </c>
      <c r="G187" s="640">
        <v>12.463741308801668</v>
      </c>
      <c r="H187" s="640">
        <v>0</v>
      </c>
      <c r="I187" s="640">
        <v>0</v>
      </c>
      <c r="J187" s="640">
        <v>0</v>
      </c>
      <c r="K187" s="640">
        <v>0</v>
      </c>
      <c r="L187" s="640">
        <v>0</v>
      </c>
      <c r="M187" s="640">
        <v>0</v>
      </c>
      <c r="N187" s="640">
        <v>0</v>
      </c>
      <c r="O187" s="640">
        <v>0</v>
      </c>
      <c r="P187" s="640">
        <v>0</v>
      </c>
      <c r="Q187" s="640">
        <v>0</v>
      </c>
      <c r="R187" s="640">
        <v>0</v>
      </c>
      <c r="S187" s="648">
        <v>135.67044108174841</v>
      </c>
      <c r="U187" s="639" t="s">
        <v>84</v>
      </c>
      <c r="V187" s="640">
        <v>0</v>
      </c>
      <c r="W187" s="640">
        <v>0</v>
      </c>
      <c r="X187" s="640">
        <v>121.88018365111382</v>
      </c>
      <c r="Y187" s="640">
        <v>1.8275750900030534</v>
      </c>
      <c r="Z187" s="640">
        <v>0</v>
      </c>
      <c r="AA187" s="640">
        <v>0</v>
      </c>
      <c r="AB187" s="640">
        <v>0</v>
      </c>
      <c r="AC187" s="640">
        <v>0</v>
      </c>
      <c r="AD187" s="640">
        <v>0.27491428444602273</v>
      </c>
      <c r="AE187" s="640">
        <v>0</v>
      </c>
      <c r="AF187" s="640">
        <v>0</v>
      </c>
      <c r="AG187" s="640">
        <v>0</v>
      </c>
      <c r="AH187" s="640">
        <v>0</v>
      </c>
      <c r="AI187" s="640">
        <v>0</v>
      </c>
      <c r="AJ187" s="640">
        <v>1.5118644886363639</v>
      </c>
      <c r="AK187" s="648">
        <v>125.49453751419927</v>
      </c>
    </row>
    <row r="188" spans="3:37" x14ac:dyDescent="0.2">
      <c r="C188" s="644" t="s">
        <v>85</v>
      </c>
      <c r="D188" s="645">
        <v>6.728773440829297</v>
      </c>
      <c r="E188" s="645">
        <v>0</v>
      </c>
      <c r="F188" s="645">
        <v>604.49541561314186</v>
      </c>
      <c r="G188" s="645">
        <v>307.38918356764071</v>
      </c>
      <c r="H188" s="645">
        <v>0</v>
      </c>
      <c r="I188" s="645">
        <v>0</v>
      </c>
      <c r="J188" s="645">
        <v>99.463524740250691</v>
      </c>
      <c r="K188" s="645">
        <v>1.7823410909893624</v>
      </c>
      <c r="L188" s="645">
        <v>39.159249752490481</v>
      </c>
      <c r="M188" s="645">
        <v>6.0376618476797237</v>
      </c>
      <c r="N188" s="645">
        <v>45.31680426782367</v>
      </c>
      <c r="O188" s="645">
        <v>2.7231373652307198</v>
      </c>
      <c r="P188" s="645">
        <v>447.36659144667379</v>
      </c>
      <c r="Q188" s="645">
        <v>37.199535435098404</v>
      </c>
      <c r="R188" s="645">
        <v>0.58655864384492595</v>
      </c>
      <c r="S188" s="645">
        <v>1598.2487772116938</v>
      </c>
      <c r="U188" s="644" t="s">
        <v>85</v>
      </c>
      <c r="V188" s="645">
        <v>2.0293809622126395</v>
      </c>
      <c r="W188" s="645">
        <v>0</v>
      </c>
      <c r="X188" s="645">
        <v>508.43494900367028</v>
      </c>
      <c r="Y188" s="645">
        <v>228.51050240053519</v>
      </c>
      <c r="Z188" s="645">
        <v>0</v>
      </c>
      <c r="AA188" s="645">
        <v>0</v>
      </c>
      <c r="AB188" s="645">
        <v>100.86962546535466</v>
      </c>
      <c r="AC188" s="645">
        <v>5.7313631790461192</v>
      </c>
      <c r="AD188" s="645">
        <v>46.29630439767535</v>
      </c>
      <c r="AE188" s="645">
        <v>19.829277460523276</v>
      </c>
      <c r="AF188" s="645">
        <v>55.315214066923446</v>
      </c>
      <c r="AG188" s="645">
        <v>3.8870782938942541</v>
      </c>
      <c r="AH188" s="645">
        <v>449.52841955052912</v>
      </c>
      <c r="AI188" s="645">
        <v>58.16748920568601</v>
      </c>
      <c r="AJ188" s="645">
        <v>5.4472107181245484</v>
      </c>
      <c r="AK188" s="645">
        <v>1484.0468147041749</v>
      </c>
    </row>
    <row r="189" spans="3:37" x14ac:dyDescent="0.2">
      <c r="C189" s="634"/>
      <c r="D189" s="634"/>
      <c r="E189" s="634"/>
      <c r="F189" s="634"/>
      <c r="G189" s="634"/>
      <c r="H189" s="634"/>
      <c r="I189" s="634"/>
      <c r="J189" s="634"/>
      <c r="K189" s="634"/>
      <c r="L189" s="634"/>
      <c r="M189" s="634"/>
      <c r="N189" s="634"/>
      <c r="O189" s="634"/>
      <c r="P189" s="634"/>
      <c r="Q189" s="634"/>
      <c r="R189" s="634"/>
      <c r="S189" s="634"/>
      <c r="U189" s="634"/>
      <c r="V189" s="634"/>
      <c r="W189" s="634"/>
      <c r="X189" s="634"/>
      <c r="Y189" s="634"/>
      <c r="Z189" s="634"/>
      <c r="AA189" s="634"/>
      <c r="AB189" s="634"/>
      <c r="AC189" s="634"/>
      <c r="AD189" s="634"/>
      <c r="AE189" s="634"/>
      <c r="AF189" s="634"/>
      <c r="AG189" s="634"/>
      <c r="AH189" s="634"/>
      <c r="AI189" s="634"/>
      <c r="AJ189" s="634"/>
      <c r="AK189" s="634"/>
    </row>
    <row r="190" spans="3:37" ht="22.5" x14ac:dyDescent="0.3">
      <c r="C190" s="759" t="s">
        <v>88</v>
      </c>
      <c r="D190" s="759"/>
      <c r="E190" s="759"/>
      <c r="F190" s="759"/>
      <c r="G190" s="759"/>
      <c r="H190" s="759"/>
      <c r="I190" s="759"/>
      <c r="J190" s="759"/>
      <c r="K190" s="759"/>
      <c r="L190" s="759"/>
      <c r="M190" s="759"/>
      <c r="N190" s="759"/>
      <c r="O190" s="759"/>
      <c r="P190" s="759"/>
      <c r="Q190" s="759"/>
      <c r="R190" s="759"/>
      <c r="S190" s="759"/>
      <c r="U190" s="759" t="s">
        <v>88</v>
      </c>
      <c r="V190" s="759"/>
      <c r="W190" s="759"/>
      <c r="X190" s="759"/>
      <c r="Y190" s="759"/>
      <c r="Z190" s="759"/>
      <c r="AA190" s="759"/>
      <c r="AB190" s="759"/>
      <c r="AC190" s="759"/>
      <c r="AD190" s="759"/>
      <c r="AE190" s="759"/>
      <c r="AF190" s="759"/>
      <c r="AG190" s="759"/>
      <c r="AH190" s="759"/>
      <c r="AI190" s="759"/>
      <c r="AJ190" s="759"/>
      <c r="AK190" s="759"/>
    </row>
    <row r="191" spans="3:37" x14ac:dyDescent="0.2">
      <c r="C191" s="634"/>
      <c r="D191" s="634"/>
      <c r="E191" s="634"/>
      <c r="F191" s="634"/>
      <c r="G191" s="634"/>
      <c r="H191" s="634"/>
      <c r="I191" s="634"/>
      <c r="J191" s="634"/>
      <c r="K191" s="634"/>
      <c r="L191" s="634"/>
      <c r="M191" s="634"/>
      <c r="N191" s="634"/>
      <c r="O191" s="634"/>
      <c r="P191" s="634"/>
      <c r="Q191" s="634"/>
      <c r="R191" s="634"/>
      <c r="S191" s="634"/>
      <c r="U191" s="634"/>
      <c r="V191" s="634"/>
      <c r="W191" s="634"/>
      <c r="X191" s="634"/>
      <c r="Y191" s="634"/>
      <c r="Z191" s="634"/>
      <c r="AA191" s="634"/>
      <c r="AB191" s="634"/>
      <c r="AC191" s="634"/>
      <c r="AD191" s="634"/>
      <c r="AE191" s="634"/>
      <c r="AF191" s="634"/>
      <c r="AG191" s="634"/>
      <c r="AH191" s="634"/>
      <c r="AI191" s="634"/>
      <c r="AJ191" s="634"/>
      <c r="AK191" s="634"/>
    </row>
    <row r="192" spans="3:37" ht="12.95" customHeight="1" x14ac:dyDescent="0.2">
      <c r="C192" s="758" t="s">
        <v>128</v>
      </c>
      <c r="D192" s="757" t="s">
        <v>42</v>
      </c>
      <c r="E192" s="757" t="s">
        <v>52</v>
      </c>
      <c r="F192" s="757" t="s">
        <v>53</v>
      </c>
      <c r="G192" s="757" t="s">
        <v>32</v>
      </c>
      <c r="H192" s="757" t="s">
        <v>20</v>
      </c>
      <c r="I192" s="757" t="s">
        <v>55</v>
      </c>
      <c r="J192" s="757" t="s">
        <v>56</v>
      </c>
      <c r="K192" s="757"/>
      <c r="L192" s="757"/>
      <c r="M192" s="757"/>
      <c r="N192" s="757"/>
      <c r="O192" s="757"/>
      <c r="P192" s="757" t="s">
        <v>57</v>
      </c>
      <c r="Q192" s="757" t="s">
        <v>58</v>
      </c>
      <c r="R192" s="757" t="s">
        <v>31</v>
      </c>
      <c r="S192" s="757" t="s">
        <v>10</v>
      </c>
      <c r="U192" s="758" t="s">
        <v>128</v>
      </c>
      <c r="V192" s="757" t="s">
        <v>42</v>
      </c>
      <c r="W192" s="757" t="s">
        <v>52</v>
      </c>
      <c r="X192" s="757" t="s">
        <v>53</v>
      </c>
      <c r="Y192" s="757" t="s">
        <v>32</v>
      </c>
      <c r="Z192" s="757" t="s">
        <v>20</v>
      </c>
      <c r="AA192" s="757" t="s">
        <v>55</v>
      </c>
      <c r="AB192" s="757" t="s">
        <v>56</v>
      </c>
      <c r="AC192" s="757"/>
      <c r="AD192" s="757"/>
      <c r="AE192" s="757"/>
      <c r="AF192" s="757"/>
      <c r="AG192" s="757"/>
      <c r="AH192" s="757" t="s">
        <v>57</v>
      </c>
      <c r="AI192" s="757" t="s">
        <v>58</v>
      </c>
      <c r="AJ192" s="757" t="s">
        <v>31</v>
      </c>
      <c r="AK192" s="757" t="s">
        <v>10</v>
      </c>
    </row>
    <row r="193" spans="3:37" ht="56.25" x14ac:dyDescent="0.2">
      <c r="C193" s="758"/>
      <c r="D193" s="757"/>
      <c r="E193" s="757"/>
      <c r="F193" s="757"/>
      <c r="G193" s="757"/>
      <c r="H193" s="757"/>
      <c r="I193" s="757"/>
      <c r="J193" s="638" t="s">
        <v>335</v>
      </c>
      <c r="K193" s="638" t="s">
        <v>40</v>
      </c>
      <c r="L193" s="638" t="s">
        <v>343</v>
      </c>
      <c r="M193" s="638" t="s">
        <v>344</v>
      </c>
      <c r="N193" s="638" t="s">
        <v>345</v>
      </c>
      <c r="O193" s="638" t="s">
        <v>346</v>
      </c>
      <c r="P193" s="757"/>
      <c r="Q193" s="757"/>
      <c r="R193" s="757"/>
      <c r="S193" s="757"/>
      <c r="U193" s="758"/>
      <c r="V193" s="757"/>
      <c r="W193" s="757"/>
      <c r="X193" s="757"/>
      <c r="Y193" s="757"/>
      <c r="Z193" s="757"/>
      <c r="AA193" s="757"/>
      <c r="AB193" s="638" t="s">
        <v>335</v>
      </c>
      <c r="AC193" s="638" t="s">
        <v>40</v>
      </c>
      <c r="AD193" s="638" t="s">
        <v>343</v>
      </c>
      <c r="AE193" s="638" t="s">
        <v>344</v>
      </c>
      <c r="AF193" s="638" t="s">
        <v>345</v>
      </c>
      <c r="AG193" s="638" t="s">
        <v>346</v>
      </c>
      <c r="AH193" s="757"/>
      <c r="AI193" s="757"/>
      <c r="AJ193" s="757"/>
      <c r="AK193" s="757"/>
    </row>
    <row r="194" spans="3:37" x14ac:dyDescent="0.2">
      <c r="C194" s="639" t="s">
        <v>59</v>
      </c>
      <c r="D194" s="640">
        <v>0</v>
      </c>
      <c r="E194" s="641">
        <v>9.7691999999999997</v>
      </c>
      <c r="F194" s="641">
        <v>0</v>
      </c>
      <c r="G194" s="640">
        <v>0.18608000000000002</v>
      </c>
      <c r="H194" s="641">
        <v>1190.909090909091</v>
      </c>
      <c r="I194" s="641">
        <v>182.7291074592973</v>
      </c>
      <c r="J194" s="641">
        <v>189.61507961766128</v>
      </c>
      <c r="K194" s="641">
        <v>22.268083551618652</v>
      </c>
      <c r="L194" s="641">
        <v>0.30256781050897086</v>
      </c>
      <c r="M194" s="641">
        <v>0.13616606414588689</v>
      </c>
      <c r="N194" s="641">
        <v>49.514351265721807</v>
      </c>
      <c r="O194" s="641">
        <v>8.1467195883110648</v>
      </c>
      <c r="P194" s="642">
        <v>0</v>
      </c>
      <c r="Q194" s="641">
        <v>0</v>
      </c>
      <c r="R194" s="641">
        <v>0</v>
      </c>
      <c r="S194" s="643">
        <v>1653.5764462663558</v>
      </c>
      <c r="U194" s="639" t="s">
        <v>59</v>
      </c>
      <c r="V194" s="640">
        <v>0</v>
      </c>
      <c r="W194" s="641">
        <v>9.7691999999999997</v>
      </c>
      <c r="X194" s="641">
        <v>0</v>
      </c>
      <c r="Y194" s="640">
        <v>0.18608000000000002</v>
      </c>
      <c r="Z194" s="641">
        <v>1069.3939393939395</v>
      </c>
      <c r="AA194" s="641">
        <v>197.24910745929728</v>
      </c>
      <c r="AB194" s="641">
        <v>182.13163745220285</v>
      </c>
      <c r="AC194" s="641">
        <v>36.932838973655407</v>
      </c>
      <c r="AD194" s="641">
        <v>0.30256781050897086</v>
      </c>
      <c r="AE194" s="641">
        <v>0.13616606414588689</v>
      </c>
      <c r="AF194" s="641">
        <v>61.091225724919909</v>
      </c>
      <c r="AG194" s="641">
        <v>13.043980364734779</v>
      </c>
      <c r="AH194" s="642">
        <v>0</v>
      </c>
      <c r="AI194" s="641">
        <v>0</v>
      </c>
      <c r="AJ194" s="641">
        <v>0</v>
      </c>
      <c r="AK194" s="643">
        <v>1570.2367432434044</v>
      </c>
    </row>
    <row r="195" spans="3:37" x14ac:dyDescent="0.2">
      <c r="C195" s="639" t="s">
        <v>60</v>
      </c>
      <c r="D195" s="640">
        <v>49.173561762123036</v>
      </c>
      <c r="E195" s="641">
        <v>533.81672423347197</v>
      </c>
      <c r="F195" s="641">
        <v>159.30055959731865</v>
      </c>
      <c r="G195" s="640">
        <v>343.82692763471942</v>
      </c>
      <c r="H195" s="641">
        <v>0</v>
      </c>
      <c r="I195" s="641">
        <v>0</v>
      </c>
      <c r="J195" s="641">
        <v>3.0754920838007731</v>
      </c>
      <c r="K195" s="641">
        <v>0</v>
      </c>
      <c r="L195" s="641">
        <v>1.7669821269916453</v>
      </c>
      <c r="M195" s="641">
        <v>0</v>
      </c>
      <c r="N195" s="641">
        <v>0</v>
      </c>
      <c r="O195" s="641">
        <v>0</v>
      </c>
      <c r="P195" s="642">
        <v>0</v>
      </c>
      <c r="Q195" s="641">
        <v>0</v>
      </c>
      <c r="R195" s="641">
        <v>0</v>
      </c>
      <c r="S195" s="643">
        <v>1090.9602474384255</v>
      </c>
      <c r="U195" s="639" t="s">
        <v>60</v>
      </c>
      <c r="V195" s="640">
        <v>12.56447967339157</v>
      </c>
      <c r="W195" s="641">
        <v>409.1975890316798</v>
      </c>
      <c r="X195" s="641">
        <v>146.83839951059079</v>
      </c>
      <c r="Y195" s="640">
        <v>277.07529977218445</v>
      </c>
      <c r="Z195" s="641">
        <v>0</v>
      </c>
      <c r="AA195" s="641">
        <v>0</v>
      </c>
      <c r="AB195" s="641">
        <v>3.0754920838007731</v>
      </c>
      <c r="AC195" s="641">
        <v>0</v>
      </c>
      <c r="AD195" s="641">
        <v>1.7669821269916453</v>
      </c>
      <c r="AE195" s="641">
        <v>0</v>
      </c>
      <c r="AF195" s="641">
        <v>0</v>
      </c>
      <c r="AG195" s="641">
        <v>0</v>
      </c>
      <c r="AH195" s="642">
        <v>0</v>
      </c>
      <c r="AI195" s="641">
        <v>0</v>
      </c>
      <c r="AJ195" s="641">
        <v>0</v>
      </c>
      <c r="AK195" s="643">
        <v>850.51824219863909</v>
      </c>
    </row>
    <row r="196" spans="3:37" x14ac:dyDescent="0.2">
      <c r="C196" s="639" t="s">
        <v>61</v>
      </c>
      <c r="D196" s="640">
        <v>0</v>
      </c>
      <c r="E196" s="641">
        <v>0</v>
      </c>
      <c r="F196" s="641">
        <v>0</v>
      </c>
      <c r="G196" s="640">
        <v>0</v>
      </c>
      <c r="H196" s="641">
        <v>0</v>
      </c>
      <c r="I196" s="641">
        <v>0</v>
      </c>
      <c r="J196" s="641">
        <v>0</v>
      </c>
      <c r="K196" s="641">
        <v>0</v>
      </c>
      <c r="L196" s="641">
        <v>0</v>
      </c>
      <c r="M196" s="641">
        <v>0</v>
      </c>
      <c r="N196" s="641">
        <v>0</v>
      </c>
      <c r="O196" s="641">
        <v>0</v>
      </c>
      <c r="P196" s="642">
        <v>-73.711460432822037</v>
      </c>
      <c r="Q196" s="641">
        <v>0</v>
      </c>
      <c r="R196" s="641">
        <v>0</v>
      </c>
      <c r="S196" s="643">
        <v>-73.711460432822037</v>
      </c>
      <c r="U196" s="639" t="s">
        <v>61</v>
      </c>
      <c r="V196" s="640">
        <v>0</v>
      </c>
      <c r="W196" s="641">
        <v>0</v>
      </c>
      <c r="X196" s="641">
        <v>0</v>
      </c>
      <c r="Y196" s="640">
        <v>0</v>
      </c>
      <c r="Z196" s="641">
        <v>0</v>
      </c>
      <c r="AA196" s="641">
        <v>0</v>
      </c>
      <c r="AB196" s="641">
        <v>0</v>
      </c>
      <c r="AC196" s="641">
        <v>0</v>
      </c>
      <c r="AD196" s="641">
        <v>0</v>
      </c>
      <c r="AE196" s="641">
        <v>0</v>
      </c>
      <c r="AF196" s="641">
        <v>0</v>
      </c>
      <c r="AG196" s="641">
        <v>0</v>
      </c>
      <c r="AH196" s="642">
        <v>-59.233927293838519</v>
      </c>
      <c r="AI196" s="641">
        <v>0</v>
      </c>
      <c r="AJ196" s="641">
        <v>0</v>
      </c>
      <c r="AK196" s="643">
        <v>-59.233927293838519</v>
      </c>
    </row>
    <row r="197" spans="3:37" x14ac:dyDescent="0.2">
      <c r="C197" s="639" t="s">
        <v>62</v>
      </c>
      <c r="D197" s="640">
        <v>0</v>
      </c>
      <c r="E197" s="641">
        <v>0</v>
      </c>
      <c r="F197" s="641">
        <v>-16.493151741791234</v>
      </c>
      <c r="G197" s="640">
        <v>0</v>
      </c>
      <c r="H197" s="641">
        <v>0</v>
      </c>
      <c r="I197" s="641">
        <v>0</v>
      </c>
      <c r="J197" s="641">
        <v>0</v>
      </c>
      <c r="K197" s="641">
        <v>0</v>
      </c>
      <c r="L197" s="641">
        <v>0</v>
      </c>
      <c r="M197" s="641">
        <v>0</v>
      </c>
      <c r="N197" s="641">
        <v>0</v>
      </c>
      <c r="O197" s="641">
        <v>0</v>
      </c>
      <c r="P197" s="642">
        <v>0</v>
      </c>
      <c r="Q197" s="641">
        <v>0</v>
      </c>
      <c r="R197" s="641">
        <v>0</v>
      </c>
      <c r="S197" s="643">
        <v>-16.493151741791234</v>
      </c>
      <c r="U197" s="639" t="s">
        <v>62</v>
      </c>
      <c r="V197" s="640">
        <v>0</v>
      </c>
      <c r="W197" s="641">
        <v>0</v>
      </c>
      <c r="X197" s="641">
        <v>-16.114280484636947</v>
      </c>
      <c r="Y197" s="640">
        <v>-5.618284274922395E-2</v>
      </c>
      <c r="Z197" s="641">
        <v>0</v>
      </c>
      <c r="AA197" s="641">
        <v>0</v>
      </c>
      <c r="AB197" s="641">
        <v>0</v>
      </c>
      <c r="AC197" s="641">
        <v>0</v>
      </c>
      <c r="AD197" s="641">
        <v>0</v>
      </c>
      <c r="AE197" s="641">
        <v>-6.2425380832471051E-3</v>
      </c>
      <c r="AF197" s="641">
        <v>0</v>
      </c>
      <c r="AG197" s="641">
        <v>0</v>
      </c>
      <c r="AH197" s="642">
        <v>0</v>
      </c>
      <c r="AI197" s="641">
        <v>0</v>
      </c>
      <c r="AJ197" s="641">
        <v>0</v>
      </c>
      <c r="AK197" s="643">
        <v>-16.176705865469415</v>
      </c>
    </row>
    <row r="198" spans="3:37" x14ac:dyDescent="0.2">
      <c r="C198" s="639" t="s">
        <v>63</v>
      </c>
      <c r="D198" s="640">
        <v>0</v>
      </c>
      <c r="E198" s="641">
        <v>0</v>
      </c>
      <c r="F198" s="641">
        <v>-80.583101554650298</v>
      </c>
      <c r="G198" s="640">
        <v>0</v>
      </c>
      <c r="H198" s="641">
        <v>0</v>
      </c>
      <c r="I198" s="641">
        <v>0</v>
      </c>
      <c r="J198" s="641">
        <v>0</v>
      </c>
      <c r="K198" s="641">
        <v>0</v>
      </c>
      <c r="L198" s="641">
        <v>-0.83510983775166403</v>
      </c>
      <c r="M198" s="641">
        <v>0</v>
      </c>
      <c r="N198" s="641">
        <v>0</v>
      </c>
      <c r="O198" s="641">
        <v>0</v>
      </c>
      <c r="P198" s="642">
        <v>0</v>
      </c>
      <c r="Q198" s="641">
        <v>0</v>
      </c>
      <c r="R198" s="641">
        <v>0</v>
      </c>
      <c r="S198" s="643">
        <v>-81.418211392401957</v>
      </c>
      <c r="U198" s="639" t="s">
        <v>63</v>
      </c>
      <c r="V198" s="640">
        <v>0</v>
      </c>
      <c r="W198" s="641">
        <v>0</v>
      </c>
      <c r="X198" s="641">
        <v>-78.29497747164686</v>
      </c>
      <c r="Y198" s="640">
        <v>0</v>
      </c>
      <c r="Z198" s="641">
        <v>0</v>
      </c>
      <c r="AA198" s="641">
        <v>0</v>
      </c>
      <c r="AB198" s="641">
        <v>0</v>
      </c>
      <c r="AC198" s="641">
        <v>0</v>
      </c>
      <c r="AD198" s="641">
        <v>-3.8806739722042796</v>
      </c>
      <c r="AE198" s="641">
        <v>0</v>
      </c>
      <c r="AF198" s="641">
        <v>0</v>
      </c>
      <c r="AG198" s="641">
        <v>0</v>
      </c>
      <c r="AH198" s="642">
        <v>0</v>
      </c>
      <c r="AI198" s="641">
        <v>0</v>
      </c>
      <c r="AJ198" s="641">
        <v>0</v>
      </c>
      <c r="AK198" s="643">
        <v>-82.175651443851137</v>
      </c>
    </row>
    <row r="199" spans="3:37" x14ac:dyDescent="0.2">
      <c r="C199" s="639" t="s">
        <v>64</v>
      </c>
      <c r="D199" s="640">
        <v>0</v>
      </c>
      <c r="E199" s="641">
        <v>0</v>
      </c>
      <c r="F199" s="641">
        <v>0</v>
      </c>
      <c r="G199" s="640">
        <v>0</v>
      </c>
      <c r="H199" s="641">
        <v>0</v>
      </c>
      <c r="I199" s="641">
        <v>0</v>
      </c>
      <c r="J199" s="641">
        <v>0</v>
      </c>
      <c r="K199" s="641">
        <v>0</v>
      </c>
      <c r="L199" s="641">
        <v>0</v>
      </c>
      <c r="M199" s="641">
        <v>0</v>
      </c>
      <c r="N199" s="641">
        <v>0</v>
      </c>
      <c r="O199" s="641">
        <v>0</v>
      </c>
      <c r="P199" s="642">
        <v>0</v>
      </c>
      <c r="Q199" s="641">
        <v>0</v>
      </c>
      <c r="R199" s="641">
        <v>0</v>
      </c>
      <c r="S199" s="643">
        <v>0</v>
      </c>
      <c r="U199" s="639" t="s">
        <v>64</v>
      </c>
      <c r="V199" s="640">
        <v>0</v>
      </c>
      <c r="W199" s="641">
        <v>0</v>
      </c>
      <c r="X199" s="641">
        <v>0</v>
      </c>
      <c r="Y199" s="640">
        <v>0</v>
      </c>
      <c r="Z199" s="641">
        <v>0</v>
      </c>
      <c r="AA199" s="641">
        <v>0</v>
      </c>
      <c r="AB199" s="641">
        <v>0</v>
      </c>
      <c r="AC199" s="641">
        <v>0</v>
      </c>
      <c r="AD199" s="641">
        <v>0</v>
      </c>
      <c r="AE199" s="641">
        <v>0</v>
      </c>
      <c r="AF199" s="641">
        <v>0</v>
      </c>
      <c r="AG199" s="641">
        <v>0</v>
      </c>
      <c r="AH199" s="642">
        <v>0</v>
      </c>
      <c r="AI199" s="641">
        <v>0</v>
      </c>
      <c r="AJ199" s="641">
        <v>0</v>
      </c>
      <c r="AK199" s="643">
        <v>0</v>
      </c>
    </row>
    <row r="200" spans="3:37" x14ac:dyDescent="0.2">
      <c r="C200" s="644" t="s">
        <v>65</v>
      </c>
      <c r="D200" s="645">
        <v>49.173561762123036</v>
      </c>
      <c r="E200" s="645">
        <v>543.58592423347193</v>
      </c>
      <c r="F200" s="645">
        <v>62.224306300877117</v>
      </c>
      <c r="G200" s="645">
        <v>344.01300763471943</v>
      </c>
      <c r="H200" s="645">
        <v>1190.909090909091</v>
      </c>
      <c r="I200" s="645">
        <v>182.7291074592973</v>
      </c>
      <c r="J200" s="645">
        <v>192.69057170146206</v>
      </c>
      <c r="K200" s="645">
        <v>22.268083551618652</v>
      </c>
      <c r="L200" s="645">
        <v>1.234440099748952</v>
      </c>
      <c r="M200" s="645">
        <v>0.13616606414588689</v>
      </c>
      <c r="N200" s="645">
        <v>49.514351265721807</v>
      </c>
      <c r="O200" s="645">
        <v>8.1467195883110648</v>
      </c>
      <c r="P200" s="645">
        <v>-73.711460432822037</v>
      </c>
      <c r="Q200" s="645">
        <v>0</v>
      </c>
      <c r="R200" s="645">
        <v>0</v>
      </c>
      <c r="S200" s="645">
        <v>2572.9138701377656</v>
      </c>
      <c r="U200" s="644" t="s">
        <v>65</v>
      </c>
      <c r="V200" s="645">
        <v>12.56447967339157</v>
      </c>
      <c r="W200" s="645">
        <v>418.96678903167981</v>
      </c>
      <c r="X200" s="645">
        <v>52.42914155430698</v>
      </c>
      <c r="Y200" s="645">
        <v>277.2051969294352</v>
      </c>
      <c r="Z200" s="645">
        <v>1069.3939393939395</v>
      </c>
      <c r="AA200" s="645">
        <v>197.24910745929728</v>
      </c>
      <c r="AB200" s="645">
        <v>185.20712953600363</v>
      </c>
      <c r="AC200" s="645">
        <v>36.932838973655407</v>
      </c>
      <c r="AD200" s="645">
        <v>-1.8111240347036635</v>
      </c>
      <c r="AE200" s="645">
        <v>0.12992352606263979</v>
      </c>
      <c r="AF200" s="645">
        <v>61.091225724919909</v>
      </c>
      <c r="AG200" s="645">
        <v>13.043980364734779</v>
      </c>
      <c r="AH200" s="645">
        <v>-59.233927293838519</v>
      </c>
      <c r="AI200" s="645">
        <v>0</v>
      </c>
      <c r="AJ200" s="645">
        <v>0</v>
      </c>
      <c r="AK200" s="645">
        <v>2263.168700838884</v>
      </c>
    </row>
    <row r="201" spans="3:37" x14ac:dyDescent="0.2">
      <c r="C201" s="634"/>
      <c r="D201" s="634">
        <v>0</v>
      </c>
      <c r="E201" s="634">
        <v>0</v>
      </c>
      <c r="F201" s="634">
        <v>0</v>
      </c>
      <c r="G201" s="634">
        <v>0</v>
      </c>
      <c r="H201" s="634">
        <v>0</v>
      </c>
      <c r="I201" s="634">
        <v>0</v>
      </c>
      <c r="J201" s="634">
        <v>0</v>
      </c>
      <c r="K201" s="634">
        <v>0</v>
      </c>
      <c r="L201" s="634">
        <v>0</v>
      </c>
      <c r="M201" s="634">
        <v>0</v>
      </c>
      <c r="N201" s="634">
        <v>0</v>
      </c>
      <c r="O201" s="634">
        <v>0</v>
      </c>
      <c r="P201" s="634">
        <v>0</v>
      </c>
      <c r="Q201" s="634">
        <v>0</v>
      </c>
      <c r="R201" s="634">
        <v>0</v>
      </c>
      <c r="S201" s="634">
        <v>0</v>
      </c>
      <c r="U201" s="634"/>
      <c r="V201" s="634">
        <v>0</v>
      </c>
      <c r="W201" s="634">
        <v>0</v>
      </c>
      <c r="X201" s="634">
        <v>0</v>
      </c>
      <c r="Y201" s="634">
        <v>0</v>
      </c>
      <c r="Z201" s="634">
        <v>0</v>
      </c>
      <c r="AA201" s="634">
        <v>0</v>
      </c>
      <c r="AB201" s="634">
        <v>0</v>
      </c>
      <c r="AC201" s="634">
        <v>0</v>
      </c>
      <c r="AD201" s="634">
        <v>0</v>
      </c>
      <c r="AE201" s="634">
        <v>0</v>
      </c>
      <c r="AF201" s="634">
        <v>0</v>
      </c>
      <c r="AG201" s="634">
        <v>0</v>
      </c>
      <c r="AH201" s="634">
        <v>0</v>
      </c>
      <c r="AI201" s="634">
        <v>0</v>
      </c>
      <c r="AJ201" s="634">
        <v>0</v>
      </c>
      <c r="AK201" s="634">
        <v>0</v>
      </c>
    </row>
    <row r="202" spans="3:37" x14ac:dyDescent="0.2">
      <c r="C202" s="646" t="s">
        <v>67</v>
      </c>
      <c r="D202" s="640">
        <v>0</v>
      </c>
      <c r="E202" s="647">
        <v>0</v>
      </c>
      <c r="F202" s="647">
        <v>0</v>
      </c>
      <c r="G202" s="640">
        <v>0</v>
      </c>
      <c r="H202" s="640">
        <v>0</v>
      </c>
      <c r="I202" s="640">
        <v>0</v>
      </c>
      <c r="J202" s="640">
        <v>0</v>
      </c>
      <c r="K202" s="640">
        <v>0</v>
      </c>
      <c r="L202" s="640">
        <v>0</v>
      </c>
      <c r="M202" s="640">
        <v>0</v>
      </c>
      <c r="N202" s="640">
        <v>0</v>
      </c>
      <c r="O202" s="640">
        <v>0</v>
      </c>
      <c r="P202" s="640">
        <v>0</v>
      </c>
      <c r="Q202" s="640">
        <v>0</v>
      </c>
      <c r="R202" s="640">
        <v>0</v>
      </c>
      <c r="S202" s="648">
        <v>0</v>
      </c>
      <c r="U202" s="646" t="s">
        <v>67</v>
      </c>
      <c r="V202" s="640">
        <v>0</v>
      </c>
      <c r="W202" s="647">
        <v>0</v>
      </c>
      <c r="X202" s="647">
        <v>0</v>
      </c>
      <c r="Y202" s="640">
        <v>0</v>
      </c>
      <c r="Z202" s="640">
        <v>0</v>
      </c>
      <c r="AA202" s="640">
        <v>0</v>
      </c>
      <c r="AB202" s="640">
        <v>0</v>
      </c>
      <c r="AC202" s="640">
        <v>0</v>
      </c>
      <c r="AD202" s="640">
        <v>0</v>
      </c>
      <c r="AE202" s="640">
        <v>0</v>
      </c>
      <c r="AF202" s="640">
        <v>0</v>
      </c>
      <c r="AG202" s="640">
        <v>0</v>
      </c>
      <c r="AH202" s="640">
        <v>0</v>
      </c>
      <c r="AI202" s="640">
        <v>0</v>
      </c>
      <c r="AJ202" s="640">
        <v>0</v>
      </c>
      <c r="AK202" s="648">
        <v>0</v>
      </c>
    </row>
    <row r="203" spans="3:37" x14ac:dyDescent="0.2">
      <c r="C203" s="646" t="s">
        <v>347</v>
      </c>
      <c r="D203" s="640">
        <v>2.8267856410252494</v>
      </c>
      <c r="E203" s="640">
        <v>0</v>
      </c>
      <c r="F203" s="640">
        <v>7.5307695076515202</v>
      </c>
      <c r="G203" s="640">
        <v>17.818181818181817</v>
      </c>
      <c r="H203" s="640">
        <v>1190.909090909091</v>
      </c>
      <c r="I203" s="640">
        <v>182.7291074592973</v>
      </c>
      <c r="J203" s="649">
        <v>31.567770517320518</v>
      </c>
      <c r="K203" s="649">
        <v>7.9944017148664477</v>
      </c>
      <c r="L203" s="649">
        <v>2.0695499375006161</v>
      </c>
      <c r="M203" s="649">
        <v>0.46787592950723628</v>
      </c>
      <c r="N203" s="649">
        <v>0</v>
      </c>
      <c r="O203" s="649">
        <v>3.0833964576427819</v>
      </c>
      <c r="P203" s="640">
        <v>-605.52729840025461</v>
      </c>
      <c r="Q203" s="640">
        <v>0</v>
      </c>
      <c r="R203" s="640">
        <v>0</v>
      </c>
      <c r="S203" s="648">
        <v>841.46963149182989</v>
      </c>
      <c r="U203" s="646" t="s">
        <v>347</v>
      </c>
      <c r="V203" s="640">
        <v>0.62631490545869017</v>
      </c>
      <c r="W203" s="640">
        <v>0</v>
      </c>
      <c r="X203" s="640">
        <v>3.6671331440151573</v>
      </c>
      <c r="Y203" s="640">
        <v>45.490909090909085</v>
      </c>
      <c r="Z203" s="640">
        <v>1069.3939393939395</v>
      </c>
      <c r="AA203" s="640">
        <v>197.24910745929728</v>
      </c>
      <c r="AB203" s="649">
        <v>26.112388272824305</v>
      </c>
      <c r="AC203" s="649">
        <v>7.8557568383975527</v>
      </c>
      <c r="AD203" s="649">
        <v>2.0695499375006161</v>
      </c>
      <c r="AE203" s="649">
        <v>5.1587850204163272</v>
      </c>
      <c r="AF203" s="649">
        <v>0</v>
      </c>
      <c r="AG203" s="649">
        <v>3.0833964576427819</v>
      </c>
      <c r="AH203" s="640">
        <v>-594.94729840025457</v>
      </c>
      <c r="AI203" s="640">
        <v>0</v>
      </c>
      <c r="AJ203" s="640">
        <v>0</v>
      </c>
      <c r="AK203" s="648">
        <v>765.75998212014645</v>
      </c>
    </row>
    <row r="204" spans="3:37" x14ac:dyDescent="0.2">
      <c r="C204" s="646" t="s">
        <v>348</v>
      </c>
      <c r="D204" s="640">
        <v>0</v>
      </c>
      <c r="E204" s="640">
        <v>0</v>
      </c>
      <c r="F204" s="640">
        <v>0</v>
      </c>
      <c r="G204" s="640">
        <v>15.528976420917793</v>
      </c>
      <c r="H204" s="640">
        <v>0</v>
      </c>
      <c r="I204" s="640">
        <v>0</v>
      </c>
      <c r="J204" s="649">
        <v>13.425934567091144</v>
      </c>
      <c r="K204" s="649">
        <v>12.460813842705811</v>
      </c>
      <c r="L204" s="649">
        <v>0</v>
      </c>
      <c r="M204" s="649">
        <v>0.33007353312586968</v>
      </c>
      <c r="N204" s="649">
        <v>0</v>
      </c>
      <c r="O204" s="649">
        <v>2.2140049259569654</v>
      </c>
      <c r="P204" s="640">
        <v>0</v>
      </c>
      <c r="Q204" s="640">
        <v>-39.530815313914701</v>
      </c>
      <c r="R204" s="640">
        <v>0</v>
      </c>
      <c r="S204" s="648">
        <v>4.4289879758828699</v>
      </c>
      <c r="U204" s="646" t="s">
        <v>348</v>
      </c>
      <c r="V204" s="640">
        <v>0</v>
      </c>
      <c r="W204" s="640">
        <v>0</v>
      </c>
      <c r="X204" s="640">
        <v>0</v>
      </c>
      <c r="Y204" s="640">
        <v>17.633177295554518</v>
      </c>
      <c r="Z204" s="640">
        <v>0</v>
      </c>
      <c r="AA204" s="640">
        <v>0</v>
      </c>
      <c r="AB204" s="649">
        <v>25.59264276124566</v>
      </c>
      <c r="AC204" s="649">
        <v>22.938494140017696</v>
      </c>
      <c r="AD204" s="649">
        <v>0</v>
      </c>
      <c r="AE204" s="649">
        <v>1.9723975687129698</v>
      </c>
      <c r="AF204" s="649">
        <v>0</v>
      </c>
      <c r="AG204" s="649">
        <v>5.6361523989336151</v>
      </c>
      <c r="AH204" s="640">
        <v>0</v>
      </c>
      <c r="AI204" s="640">
        <v>-66.845421794322675</v>
      </c>
      <c r="AJ204" s="640">
        <v>0</v>
      </c>
      <c r="AK204" s="648">
        <v>6.927442370141784</v>
      </c>
    </row>
    <row r="205" spans="3:37" x14ac:dyDescent="0.2">
      <c r="C205" s="646" t="s">
        <v>349</v>
      </c>
      <c r="D205" s="640">
        <v>0</v>
      </c>
      <c r="E205" s="640">
        <v>0</v>
      </c>
      <c r="F205" s="640">
        <v>0</v>
      </c>
      <c r="G205" s="640">
        <v>0</v>
      </c>
      <c r="H205" s="640">
        <v>0</v>
      </c>
      <c r="I205" s="640">
        <v>0</v>
      </c>
      <c r="J205" s="650">
        <v>7.7785999169814284</v>
      </c>
      <c r="K205" s="650">
        <v>0</v>
      </c>
      <c r="L205" s="650">
        <v>0</v>
      </c>
      <c r="M205" s="650">
        <v>-6.767381927773843</v>
      </c>
      <c r="N205" s="650">
        <v>0</v>
      </c>
      <c r="O205" s="650">
        <v>0</v>
      </c>
      <c r="P205" s="640">
        <v>0</v>
      </c>
      <c r="Q205" s="640">
        <v>0</v>
      </c>
      <c r="R205" s="640">
        <v>0</v>
      </c>
      <c r="S205" s="648">
        <v>1.0112179892075854</v>
      </c>
      <c r="U205" s="646" t="s">
        <v>349</v>
      </c>
      <c r="V205" s="640">
        <v>0</v>
      </c>
      <c r="W205" s="640">
        <v>0</v>
      </c>
      <c r="X205" s="640">
        <v>0</v>
      </c>
      <c r="Y205" s="640">
        <v>0</v>
      </c>
      <c r="Z205" s="640">
        <v>0</v>
      </c>
      <c r="AA205" s="640">
        <v>0</v>
      </c>
      <c r="AB205" s="650">
        <v>35.178099528176176</v>
      </c>
      <c r="AC205" s="650">
        <v>0</v>
      </c>
      <c r="AD205" s="650">
        <v>0</v>
      </c>
      <c r="AE205" s="650">
        <v>-30.604946589513276</v>
      </c>
      <c r="AF205" s="650">
        <v>0</v>
      </c>
      <c r="AG205" s="650">
        <v>0</v>
      </c>
      <c r="AH205" s="640">
        <v>0</v>
      </c>
      <c r="AI205" s="640">
        <v>0</v>
      </c>
      <c r="AJ205" s="640">
        <v>0</v>
      </c>
      <c r="AK205" s="648">
        <v>4.5731529386629006</v>
      </c>
    </row>
    <row r="206" spans="3:37" x14ac:dyDescent="0.2">
      <c r="C206" s="646" t="s">
        <v>350</v>
      </c>
      <c r="D206" s="640">
        <v>0</v>
      </c>
      <c r="E206" s="640">
        <v>0</v>
      </c>
      <c r="F206" s="640">
        <v>0</v>
      </c>
      <c r="G206" s="640">
        <v>0</v>
      </c>
      <c r="H206" s="640">
        <v>0</v>
      </c>
      <c r="I206" s="640">
        <v>0</v>
      </c>
      <c r="J206" s="640">
        <v>0</v>
      </c>
      <c r="K206" s="640">
        <v>0</v>
      </c>
      <c r="L206" s="640">
        <v>0</v>
      </c>
      <c r="M206" s="640">
        <v>0</v>
      </c>
      <c r="N206" s="640">
        <v>0</v>
      </c>
      <c r="O206" s="640">
        <v>0</v>
      </c>
      <c r="P206" s="640">
        <v>0</v>
      </c>
      <c r="Q206" s="640">
        <v>0</v>
      </c>
      <c r="R206" s="640">
        <v>0</v>
      </c>
      <c r="S206" s="648">
        <v>0</v>
      </c>
      <c r="U206" s="646" t="s">
        <v>350</v>
      </c>
      <c r="V206" s="640">
        <v>0</v>
      </c>
      <c r="W206" s="640">
        <v>0</v>
      </c>
      <c r="X206" s="640">
        <v>0</v>
      </c>
      <c r="Y206" s="640">
        <v>0</v>
      </c>
      <c r="Z206" s="640">
        <v>0</v>
      </c>
      <c r="AA206" s="640">
        <v>0</v>
      </c>
      <c r="AB206" s="640">
        <v>0</v>
      </c>
      <c r="AC206" s="640">
        <v>0</v>
      </c>
      <c r="AD206" s="640">
        <v>0</v>
      </c>
      <c r="AE206" s="640">
        <v>0</v>
      </c>
      <c r="AF206" s="640">
        <v>0</v>
      </c>
      <c r="AG206" s="640">
        <v>0</v>
      </c>
      <c r="AH206" s="640">
        <v>0</v>
      </c>
      <c r="AI206" s="640">
        <v>0</v>
      </c>
      <c r="AJ206" s="640">
        <v>0</v>
      </c>
      <c r="AK206" s="648">
        <v>0</v>
      </c>
    </row>
    <row r="207" spans="3:37" x14ac:dyDescent="0.2">
      <c r="C207" s="646" t="s">
        <v>72</v>
      </c>
      <c r="D207" s="640">
        <v>0</v>
      </c>
      <c r="E207" s="640">
        <v>563.09724372867038</v>
      </c>
      <c r="F207" s="640">
        <v>-557.46627129138369</v>
      </c>
      <c r="G207" s="640">
        <v>0</v>
      </c>
      <c r="H207" s="640">
        <v>0</v>
      </c>
      <c r="I207" s="640">
        <v>0</v>
      </c>
      <c r="J207" s="640">
        <v>0</v>
      </c>
      <c r="K207" s="640">
        <v>0</v>
      </c>
      <c r="L207" s="640">
        <v>0</v>
      </c>
      <c r="M207" s="640">
        <v>0</v>
      </c>
      <c r="N207" s="640">
        <v>0</v>
      </c>
      <c r="O207" s="640">
        <v>0</v>
      </c>
      <c r="P207" s="640">
        <v>0</v>
      </c>
      <c r="Q207" s="640">
        <v>0</v>
      </c>
      <c r="R207" s="640">
        <v>0</v>
      </c>
      <c r="S207" s="648">
        <v>5.6309724372866867</v>
      </c>
      <c r="U207" s="646" t="s">
        <v>72</v>
      </c>
      <c r="V207" s="640">
        <v>0</v>
      </c>
      <c r="W207" s="640">
        <v>434.00506451720082</v>
      </c>
      <c r="X207" s="640">
        <v>-429.66501387202879</v>
      </c>
      <c r="Y207" s="640">
        <v>0</v>
      </c>
      <c r="Z207" s="640">
        <v>0</v>
      </c>
      <c r="AA207" s="640">
        <v>0</v>
      </c>
      <c r="AB207" s="640">
        <v>0</v>
      </c>
      <c r="AC207" s="640">
        <v>0</v>
      </c>
      <c r="AD207" s="640">
        <v>0</v>
      </c>
      <c r="AE207" s="640">
        <v>0</v>
      </c>
      <c r="AF207" s="640">
        <v>0</v>
      </c>
      <c r="AG207" s="640">
        <v>0</v>
      </c>
      <c r="AH207" s="640">
        <v>0</v>
      </c>
      <c r="AI207" s="640">
        <v>0</v>
      </c>
      <c r="AJ207" s="640">
        <v>0</v>
      </c>
      <c r="AK207" s="648">
        <v>4.3400506451720275</v>
      </c>
    </row>
    <row r="208" spans="3:37" x14ac:dyDescent="0.2">
      <c r="C208" s="646" t="s">
        <v>351</v>
      </c>
      <c r="D208" s="640">
        <v>0</v>
      </c>
      <c r="E208" s="640">
        <v>0</v>
      </c>
      <c r="F208" s="640">
        <v>0</v>
      </c>
      <c r="G208" s="640">
        <v>0</v>
      </c>
      <c r="H208" s="640">
        <v>0</v>
      </c>
      <c r="I208" s="640">
        <v>0</v>
      </c>
      <c r="J208" s="640">
        <v>37.619415842848596</v>
      </c>
      <c r="K208" s="640">
        <v>0</v>
      </c>
      <c r="L208" s="640">
        <v>-37.619415842848596</v>
      </c>
      <c r="M208" s="640">
        <v>0</v>
      </c>
      <c r="N208" s="640">
        <v>0</v>
      </c>
      <c r="O208" s="640">
        <v>0</v>
      </c>
      <c r="P208" s="640">
        <v>0</v>
      </c>
      <c r="Q208" s="640">
        <v>0</v>
      </c>
      <c r="R208" s="640">
        <v>0</v>
      </c>
      <c r="S208" s="648">
        <v>0</v>
      </c>
      <c r="U208" s="646" t="s">
        <v>351</v>
      </c>
      <c r="V208" s="640">
        <v>0</v>
      </c>
      <c r="W208" s="640">
        <v>0</v>
      </c>
      <c r="X208" s="640">
        <v>0</v>
      </c>
      <c r="Y208" s="640">
        <v>0</v>
      </c>
      <c r="Z208" s="640">
        <v>0</v>
      </c>
      <c r="AA208" s="640">
        <v>0</v>
      </c>
      <c r="AB208" s="640" t="e">
        <v>#VALUE!</v>
      </c>
      <c r="AC208" s="640">
        <v>0</v>
      </c>
      <c r="AD208" s="640">
        <v>-46.213611225378862</v>
      </c>
      <c r="AE208" s="640">
        <v>0</v>
      </c>
      <c r="AF208" s="640">
        <v>0</v>
      </c>
      <c r="AG208" s="640">
        <v>0</v>
      </c>
      <c r="AH208" s="640">
        <v>0</v>
      </c>
      <c r="AI208" s="640">
        <v>0</v>
      </c>
      <c r="AJ208" s="640">
        <v>0</v>
      </c>
      <c r="AK208" s="648">
        <v>-46.213611225378862</v>
      </c>
    </row>
    <row r="209" spans="3:37" x14ac:dyDescent="0.2">
      <c r="C209" s="646" t="s">
        <v>352</v>
      </c>
      <c r="D209" s="640">
        <v>0</v>
      </c>
      <c r="E209" s="640">
        <v>0</v>
      </c>
      <c r="F209" s="640">
        <v>0</v>
      </c>
      <c r="G209" s="640">
        <v>0</v>
      </c>
      <c r="H209" s="640">
        <v>0</v>
      </c>
      <c r="I209" s="640">
        <v>0</v>
      </c>
      <c r="J209" s="640">
        <v>0</v>
      </c>
      <c r="K209" s="640">
        <v>0</v>
      </c>
      <c r="L209" s="640">
        <v>0</v>
      </c>
      <c r="M209" s="640">
        <v>0</v>
      </c>
      <c r="N209" s="640">
        <v>0</v>
      </c>
      <c r="O209" s="640">
        <v>0</v>
      </c>
      <c r="P209" s="640">
        <v>0</v>
      </c>
      <c r="Q209" s="640">
        <v>0</v>
      </c>
      <c r="R209" s="640">
        <v>0</v>
      </c>
      <c r="S209" s="648">
        <v>0</v>
      </c>
      <c r="U209" s="646" t="s">
        <v>352</v>
      </c>
      <c r="V209" s="640">
        <v>0</v>
      </c>
      <c r="W209" s="640">
        <v>0</v>
      </c>
      <c r="X209" s="640">
        <v>0</v>
      </c>
      <c r="Y209" s="640">
        <v>0</v>
      </c>
      <c r="Z209" s="640">
        <v>0</v>
      </c>
      <c r="AA209" s="640">
        <v>0</v>
      </c>
      <c r="AB209" s="640">
        <v>0</v>
      </c>
      <c r="AC209" s="640">
        <v>0</v>
      </c>
      <c r="AD209" s="640">
        <v>-5.5104572320471013</v>
      </c>
      <c r="AE209" s="640">
        <v>0</v>
      </c>
      <c r="AF209" s="640">
        <v>0</v>
      </c>
      <c r="AG209" s="640">
        <v>0</v>
      </c>
      <c r="AH209" s="640">
        <v>0</v>
      </c>
      <c r="AI209" s="640">
        <v>0</v>
      </c>
      <c r="AJ209" s="640">
        <v>0</v>
      </c>
      <c r="AK209" s="648">
        <v>-5.5104572320471013</v>
      </c>
    </row>
    <row r="210" spans="3:37" x14ac:dyDescent="0.2">
      <c r="C210" s="646" t="s">
        <v>73</v>
      </c>
      <c r="D210" s="640">
        <v>0</v>
      </c>
      <c r="E210" s="640">
        <v>0</v>
      </c>
      <c r="F210" s="640">
        <v>0</v>
      </c>
      <c r="G210" s="640">
        <v>0.90917311757834995</v>
      </c>
      <c r="H210" s="640">
        <v>0</v>
      </c>
      <c r="I210" s="640">
        <v>0</v>
      </c>
      <c r="J210" s="640">
        <v>0</v>
      </c>
      <c r="K210" s="640">
        <v>1.0194809571410069E-2</v>
      </c>
      <c r="L210" s="640">
        <v>0</v>
      </c>
      <c r="M210" s="640">
        <v>1.8554553419966327E-2</v>
      </c>
      <c r="N210" s="640">
        <v>0</v>
      </c>
      <c r="O210" s="640">
        <v>0</v>
      </c>
      <c r="P210" s="640">
        <v>8.7832205538302136E-2</v>
      </c>
      <c r="Q210" s="640">
        <v>0</v>
      </c>
      <c r="R210" s="640">
        <v>-0.71363666999870479</v>
      </c>
      <c r="S210" s="648">
        <v>0.31211801610932366</v>
      </c>
      <c r="U210" s="646" t="s">
        <v>73</v>
      </c>
      <c r="V210" s="640">
        <v>0</v>
      </c>
      <c r="W210" s="640">
        <v>0</v>
      </c>
      <c r="X210" s="640">
        <v>0</v>
      </c>
      <c r="Y210" s="640">
        <v>3.7406895887912213</v>
      </c>
      <c r="Z210" s="640">
        <v>0</v>
      </c>
      <c r="AA210" s="640">
        <v>0</v>
      </c>
      <c r="AB210" s="640">
        <v>0</v>
      </c>
      <c r="AC210" s="640">
        <v>0.10657235295701485</v>
      </c>
      <c r="AD210" s="640">
        <v>0</v>
      </c>
      <c r="AE210" s="640">
        <v>0.4156321765323579</v>
      </c>
      <c r="AF210" s="640">
        <v>0</v>
      </c>
      <c r="AG210" s="640">
        <v>0</v>
      </c>
      <c r="AH210" s="640">
        <v>6.8862135756840344</v>
      </c>
      <c r="AI210" s="640">
        <v>0</v>
      </c>
      <c r="AJ210" s="640">
        <v>-7.4600647069910382</v>
      </c>
      <c r="AK210" s="648">
        <v>3.6890429869735906</v>
      </c>
    </row>
    <row r="211" spans="3:37" x14ac:dyDescent="0.2">
      <c r="C211" s="646" t="s">
        <v>353</v>
      </c>
      <c r="D211" s="640">
        <v>28.68732140625</v>
      </c>
      <c r="E211" s="640">
        <v>-19.511319495198432</v>
      </c>
      <c r="F211" s="640">
        <v>25.519653459670948</v>
      </c>
      <c r="G211" s="640">
        <v>0</v>
      </c>
      <c r="H211" s="640">
        <v>0</v>
      </c>
      <c r="I211" s="640">
        <v>0</v>
      </c>
      <c r="J211" s="640">
        <v>0</v>
      </c>
      <c r="K211" s="640">
        <v>0</v>
      </c>
      <c r="L211" s="640">
        <v>0</v>
      </c>
      <c r="M211" s="640">
        <v>0</v>
      </c>
      <c r="N211" s="640">
        <v>0</v>
      </c>
      <c r="O211" s="640">
        <v>0</v>
      </c>
      <c r="P211" s="640">
        <v>0</v>
      </c>
      <c r="Q211" s="640">
        <v>0</v>
      </c>
      <c r="R211" s="640">
        <v>0</v>
      </c>
      <c r="S211" s="648">
        <v>34.69565537072252</v>
      </c>
      <c r="U211" s="646" t="s">
        <v>353</v>
      </c>
      <c r="V211" s="640">
        <v>5.4641713867187498</v>
      </c>
      <c r="W211" s="640">
        <v>-15.038275485521009</v>
      </c>
      <c r="X211" s="640">
        <v>19.669176096265762</v>
      </c>
      <c r="Y211" s="640">
        <v>0</v>
      </c>
      <c r="Z211" s="640">
        <v>0</v>
      </c>
      <c r="AA211" s="640">
        <v>0</v>
      </c>
      <c r="AB211" s="640">
        <v>0</v>
      </c>
      <c r="AC211" s="640">
        <v>0</v>
      </c>
      <c r="AD211" s="640">
        <v>0</v>
      </c>
      <c r="AE211" s="640">
        <v>0</v>
      </c>
      <c r="AF211" s="640">
        <v>0</v>
      </c>
      <c r="AG211" s="640">
        <v>0</v>
      </c>
      <c r="AH211" s="640">
        <v>0</v>
      </c>
      <c r="AI211" s="640">
        <v>0</v>
      </c>
      <c r="AJ211" s="640">
        <v>0</v>
      </c>
      <c r="AK211" s="648">
        <v>10.095071997463503</v>
      </c>
    </row>
    <row r="212" spans="3:37" x14ac:dyDescent="0.2">
      <c r="C212" s="646" t="s">
        <v>75</v>
      </c>
      <c r="D212" s="640">
        <v>11.156180546875001</v>
      </c>
      <c r="E212" s="640">
        <v>0</v>
      </c>
      <c r="F212" s="640">
        <v>19.145306286774794</v>
      </c>
      <c r="G212" s="640">
        <v>5.4631694586555604</v>
      </c>
      <c r="H212" s="640">
        <v>0</v>
      </c>
      <c r="I212" s="640">
        <v>0</v>
      </c>
      <c r="J212" s="640">
        <v>0</v>
      </c>
      <c r="K212" s="640">
        <v>0</v>
      </c>
      <c r="L212" s="640">
        <v>0</v>
      </c>
      <c r="M212" s="640">
        <v>0.11149325425827675</v>
      </c>
      <c r="N212" s="640">
        <v>0</v>
      </c>
      <c r="O212" s="640">
        <v>0</v>
      </c>
      <c r="P212" s="640">
        <v>36.294895286159367</v>
      </c>
      <c r="Q212" s="640">
        <v>0</v>
      </c>
      <c r="R212" s="640">
        <v>0</v>
      </c>
      <c r="S212" s="648">
        <v>72.171044832722998</v>
      </c>
      <c r="U212" s="646" t="s">
        <v>75</v>
      </c>
      <c r="V212" s="640">
        <v>5.6084375</v>
      </c>
      <c r="W212" s="640">
        <v>0</v>
      </c>
      <c r="X212" s="640">
        <v>19.145306286774794</v>
      </c>
      <c r="Y212" s="640">
        <v>5.0171964416224535</v>
      </c>
      <c r="Z212" s="640">
        <v>0</v>
      </c>
      <c r="AA212" s="640">
        <v>0</v>
      </c>
      <c r="AB212" s="640">
        <v>0</v>
      </c>
      <c r="AC212" s="640">
        <v>0</v>
      </c>
      <c r="AD212" s="640">
        <v>0</v>
      </c>
      <c r="AE212" s="640">
        <v>0.55746627129138371</v>
      </c>
      <c r="AF212" s="640">
        <v>0</v>
      </c>
      <c r="AG212" s="640">
        <v>0</v>
      </c>
      <c r="AH212" s="640">
        <v>31.128531649795733</v>
      </c>
      <c r="AI212" s="640">
        <v>0</v>
      </c>
      <c r="AJ212" s="640">
        <v>0</v>
      </c>
      <c r="AK212" s="648">
        <v>61.456938149484365</v>
      </c>
    </row>
    <row r="213" spans="3:37" x14ac:dyDescent="0.2">
      <c r="C213" s="646" t="s">
        <v>76</v>
      </c>
      <c r="D213" s="640">
        <v>0</v>
      </c>
      <c r="E213" s="640">
        <v>0</v>
      </c>
      <c r="F213" s="640">
        <v>0</v>
      </c>
      <c r="G213" s="640">
        <v>3.9320361398527859</v>
      </c>
      <c r="H213" s="640">
        <v>0</v>
      </c>
      <c r="I213" s="640">
        <v>0</v>
      </c>
      <c r="J213" s="640">
        <v>0</v>
      </c>
      <c r="K213" s="640">
        <v>0</v>
      </c>
      <c r="L213" s="640">
        <v>0</v>
      </c>
      <c r="M213" s="640">
        <v>8.0245635507199722E-2</v>
      </c>
      <c r="N213" s="640">
        <v>0</v>
      </c>
      <c r="O213" s="640">
        <v>0</v>
      </c>
      <c r="P213" s="640">
        <v>40.722330861669313</v>
      </c>
      <c r="Q213" s="640">
        <v>3.067587727965682</v>
      </c>
      <c r="R213" s="640">
        <v>0</v>
      </c>
      <c r="S213" s="648">
        <v>47.802200364994981</v>
      </c>
      <c r="U213" s="646" t="s">
        <v>76</v>
      </c>
      <c r="V213" s="640">
        <v>0</v>
      </c>
      <c r="W213" s="640">
        <v>0</v>
      </c>
      <c r="X213" s="640">
        <v>0</v>
      </c>
      <c r="Y213" s="640">
        <v>3.2661405451259231</v>
      </c>
      <c r="Z213" s="640">
        <v>0</v>
      </c>
      <c r="AA213" s="640">
        <v>0</v>
      </c>
      <c r="AB213" s="640">
        <v>0</v>
      </c>
      <c r="AC213" s="640">
        <v>0</v>
      </c>
      <c r="AD213" s="640">
        <v>0</v>
      </c>
      <c r="AE213" s="640">
        <v>0.36290450501399146</v>
      </c>
      <c r="AF213" s="640">
        <v>0</v>
      </c>
      <c r="AG213" s="640">
        <v>0</v>
      </c>
      <c r="AH213" s="640">
        <v>41.021033770751153</v>
      </c>
      <c r="AI213" s="640">
        <v>5.1842177504327198</v>
      </c>
      <c r="AJ213" s="640">
        <v>0</v>
      </c>
      <c r="AK213" s="648">
        <v>49.83429657132379</v>
      </c>
    </row>
    <row r="214" spans="3:37" x14ac:dyDescent="0.2">
      <c r="C214" s="644" t="s">
        <v>77</v>
      </c>
      <c r="D214" s="645">
        <v>42.670287594150253</v>
      </c>
      <c r="E214" s="645">
        <v>543.58592423347193</v>
      </c>
      <c r="F214" s="645">
        <v>-505.27054203728642</v>
      </c>
      <c r="G214" s="645">
        <v>43.651536955186302</v>
      </c>
      <c r="H214" s="645">
        <v>1190.909090909091</v>
      </c>
      <c r="I214" s="645">
        <v>182.7291074592973</v>
      </c>
      <c r="J214" s="645">
        <v>90.391720844241689</v>
      </c>
      <c r="K214" s="645">
        <v>20.465410367143665</v>
      </c>
      <c r="L214" s="645">
        <v>-35.549865905347978</v>
      </c>
      <c r="M214" s="645">
        <v>-5.7591390219552938</v>
      </c>
      <c r="N214" s="645">
        <v>0</v>
      </c>
      <c r="O214" s="645">
        <v>5.2974013835997482</v>
      </c>
      <c r="P214" s="645">
        <v>-528.42224004688751</v>
      </c>
      <c r="Q214" s="645">
        <v>-36.463227585949021</v>
      </c>
      <c r="R214" s="645">
        <v>-0.71363666999870479</v>
      </c>
      <c r="S214" s="645">
        <v>1007.5218284787569</v>
      </c>
      <c r="U214" s="644" t="s">
        <v>77</v>
      </c>
      <c r="V214" s="645">
        <v>11.698923792177441</v>
      </c>
      <c r="W214" s="645">
        <v>418.96678903167981</v>
      </c>
      <c r="X214" s="645">
        <v>-387.18339834497311</v>
      </c>
      <c r="Y214" s="645">
        <v>75.148112962003211</v>
      </c>
      <c r="Z214" s="645">
        <v>1069.3939393939395</v>
      </c>
      <c r="AA214" s="645">
        <v>197.24910745929728</v>
      </c>
      <c r="AB214" s="645">
        <v>86.883130562246151</v>
      </c>
      <c r="AC214" s="645">
        <v>30.900823331372262</v>
      </c>
      <c r="AD214" s="645">
        <v>-49.654518519925347</v>
      </c>
      <c r="AE214" s="645">
        <v>-22.137761047546249</v>
      </c>
      <c r="AF214" s="645">
        <v>0</v>
      </c>
      <c r="AG214" s="645">
        <v>8.719548856576397</v>
      </c>
      <c r="AH214" s="645">
        <v>-515.91151940402369</v>
      </c>
      <c r="AI214" s="645">
        <v>-61.66120404388996</v>
      </c>
      <c r="AJ214" s="645">
        <v>-7.4600647069910382</v>
      </c>
      <c r="AK214" s="645">
        <v>854.95190932194248</v>
      </c>
    </row>
    <row r="215" spans="3:37" x14ac:dyDescent="0.2">
      <c r="C215" s="634"/>
      <c r="D215" s="634">
        <v>0</v>
      </c>
      <c r="E215" s="634">
        <v>0</v>
      </c>
      <c r="F215" s="634">
        <v>0</v>
      </c>
      <c r="G215" s="634">
        <v>0</v>
      </c>
      <c r="H215" s="634">
        <v>0</v>
      </c>
      <c r="I215" s="634">
        <v>0</v>
      </c>
      <c r="J215" s="634">
        <v>0</v>
      </c>
      <c r="K215" s="634">
        <v>0</v>
      </c>
      <c r="L215" s="634">
        <v>0</v>
      </c>
      <c r="M215" s="634">
        <v>0</v>
      </c>
      <c r="N215" s="634">
        <v>0</v>
      </c>
      <c r="O215" s="634">
        <v>0</v>
      </c>
      <c r="P215" s="634">
        <v>0</v>
      </c>
      <c r="Q215" s="634">
        <v>0</v>
      </c>
      <c r="R215" s="634">
        <v>0</v>
      </c>
      <c r="S215" s="634">
        <v>0</v>
      </c>
      <c r="U215" s="634"/>
      <c r="V215" s="634">
        <v>0</v>
      </c>
      <c r="W215" s="634">
        <v>0</v>
      </c>
      <c r="X215" s="634">
        <v>0</v>
      </c>
      <c r="Y215" s="634">
        <v>0</v>
      </c>
      <c r="Z215" s="634">
        <v>0</v>
      </c>
      <c r="AA215" s="634">
        <v>0</v>
      </c>
      <c r="AB215" s="634">
        <v>0</v>
      </c>
      <c r="AC215" s="634">
        <v>0</v>
      </c>
      <c r="AD215" s="634">
        <v>0</v>
      </c>
      <c r="AE215" s="634">
        <v>0</v>
      </c>
      <c r="AF215" s="634">
        <v>0</v>
      </c>
      <c r="AG215" s="634">
        <v>0</v>
      </c>
      <c r="AH215" s="634">
        <v>0</v>
      </c>
      <c r="AI215" s="634">
        <v>0</v>
      </c>
      <c r="AJ215" s="634">
        <v>0</v>
      </c>
      <c r="AK215" s="634">
        <v>0</v>
      </c>
    </row>
    <row r="216" spans="3:37" x14ac:dyDescent="0.2">
      <c r="C216" s="646" t="s">
        <v>78</v>
      </c>
      <c r="D216" s="640">
        <v>6.5032741679727843</v>
      </c>
      <c r="E216" s="640">
        <v>0</v>
      </c>
      <c r="F216" s="640">
        <v>25.052429385041094</v>
      </c>
      <c r="G216" s="640">
        <v>105.0474497029609</v>
      </c>
      <c r="H216" s="640">
        <v>0</v>
      </c>
      <c r="I216" s="640">
        <v>0</v>
      </c>
      <c r="J216" s="640">
        <v>18.534460646102772</v>
      </c>
      <c r="K216" s="640">
        <v>1.777675824710524</v>
      </c>
      <c r="L216" s="640">
        <v>0.85092246484375</v>
      </c>
      <c r="M216" s="640">
        <v>2.1625963554323833</v>
      </c>
      <c r="N216" s="640">
        <v>0</v>
      </c>
      <c r="O216" s="640">
        <v>3.8267455312152764E-4</v>
      </c>
      <c r="P216" s="640">
        <v>109.51907717242362</v>
      </c>
      <c r="Q216" s="640">
        <v>16.327213841854732</v>
      </c>
      <c r="R216" s="640">
        <v>0.36001684570312498</v>
      </c>
      <c r="S216" s="648">
        <v>286.13549908159882</v>
      </c>
      <c r="U216" s="646" t="s">
        <v>78</v>
      </c>
      <c r="V216" s="640">
        <v>0.86555588121413052</v>
      </c>
      <c r="W216" s="640">
        <v>0</v>
      </c>
      <c r="X216" s="640">
        <v>16.762295336222397</v>
      </c>
      <c r="Y216" s="640">
        <v>79.095876477460209</v>
      </c>
      <c r="Z216" s="640">
        <v>0</v>
      </c>
      <c r="AA216" s="640">
        <v>0</v>
      </c>
      <c r="AB216" s="640">
        <v>17.089093863910584</v>
      </c>
      <c r="AC216" s="640">
        <v>6.0070182825186862</v>
      </c>
      <c r="AD216" s="640">
        <v>1.13006109375</v>
      </c>
      <c r="AE216" s="640">
        <v>8.8072015710081235</v>
      </c>
      <c r="AF216" s="640">
        <v>0</v>
      </c>
      <c r="AG216" s="640">
        <v>3.8267455312152764E-4</v>
      </c>
      <c r="AH216" s="640">
        <v>130.4568218783393</v>
      </c>
      <c r="AI216" s="640">
        <v>20.327951659562498</v>
      </c>
      <c r="AJ216" s="640">
        <v>4.7486479492187499</v>
      </c>
      <c r="AK216" s="648">
        <v>285.29090666775784</v>
      </c>
    </row>
    <row r="217" spans="3:37" x14ac:dyDescent="0.2">
      <c r="C217" s="646" t="s">
        <v>79</v>
      </c>
      <c r="D217" s="640">
        <v>0</v>
      </c>
      <c r="E217" s="640">
        <v>0</v>
      </c>
      <c r="F217" s="640">
        <v>344.1701238998171</v>
      </c>
      <c r="G217" s="640">
        <v>14.686948049507158</v>
      </c>
      <c r="H217" s="640">
        <v>0</v>
      </c>
      <c r="I217" s="640">
        <v>0</v>
      </c>
      <c r="J217" s="640">
        <v>0</v>
      </c>
      <c r="K217" s="640">
        <v>0</v>
      </c>
      <c r="L217" s="640">
        <v>33.466916874810835</v>
      </c>
      <c r="M217" s="640">
        <v>0.29973363366341144</v>
      </c>
      <c r="N217" s="640">
        <v>0</v>
      </c>
      <c r="O217" s="640">
        <v>0</v>
      </c>
      <c r="P217" s="640">
        <v>30.235692409435519</v>
      </c>
      <c r="Q217" s="640">
        <v>0</v>
      </c>
      <c r="R217" s="640">
        <v>0.35361982429557981</v>
      </c>
      <c r="S217" s="648">
        <v>423.21303469152963</v>
      </c>
      <c r="U217" s="646" t="s">
        <v>79</v>
      </c>
      <c r="V217" s="640">
        <v>0</v>
      </c>
      <c r="W217" s="640">
        <v>0</v>
      </c>
      <c r="X217" s="640">
        <v>271.88041786379415</v>
      </c>
      <c r="Y217" s="640">
        <v>13.227335330391124</v>
      </c>
      <c r="Z217" s="640">
        <v>0</v>
      </c>
      <c r="AA217" s="640">
        <v>0</v>
      </c>
      <c r="AB217" s="640">
        <v>0</v>
      </c>
      <c r="AC217" s="640">
        <v>0</v>
      </c>
      <c r="AD217" s="640">
        <v>36.694869225102572</v>
      </c>
      <c r="AE217" s="640">
        <v>1.4697039255990136</v>
      </c>
      <c r="AF217" s="640">
        <v>0</v>
      </c>
      <c r="AG217" s="640">
        <v>0</v>
      </c>
      <c r="AH217" s="640">
        <v>34.641740873286757</v>
      </c>
      <c r="AI217" s="640">
        <v>0</v>
      </c>
      <c r="AJ217" s="640">
        <v>0.81877289536698361</v>
      </c>
      <c r="AK217" s="648">
        <v>358.73284011354053</v>
      </c>
    </row>
    <row r="218" spans="3:37" x14ac:dyDescent="0.2">
      <c r="C218" s="646" t="s">
        <v>80</v>
      </c>
      <c r="D218" s="640">
        <v>0</v>
      </c>
      <c r="E218" s="640">
        <v>0</v>
      </c>
      <c r="F218" s="640">
        <v>31.509183869953784</v>
      </c>
      <c r="G218" s="640">
        <v>103.72357678672635</v>
      </c>
      <c r="H218" s="640">
        <v>0</v>
      </c>
      <c r="I218" s="640">
        <v>0</v>
      </c>
      <c r="J218" s="640">
        <v>78.735270640359559</v>
      </c>
      <c r="K218" s="640">
        <v>0</v>
      </c>
      <c r="L218" s="640">
        <v>0</v>
      </c>
      <c r="M218" s="640">
        <v>2.1168076895250278</v>
      </c>
      <c r="N218" s="640">
        <v>41.43976216997369</v>
      </c>
      <c r="O218" s="640">
        <v>1.9317269815068459</v>
      </c>
      <c r="P218" s="640">
        <v>175.94122104806229</v>
      </c>
      <c r="Q218" s="640">
        <v>15.783130887728015</v>
      </c>
      <c r="R218" s="640">
        <v>0</v>
      </c>
      <c r="S218" s="648">
        <v>451.18068007383562</v>
      </c>
      <c r="U218" s="646" t="s">
        <v>80</v>
      </c>
      <c r="V218" s="640">
        <v>0</v>
      </c>
      <c r="W218" s="640">
        <v>0</v>
      </c>
      <c r="X218" s="640">
        <v>2.7574808042030705</v>
      </c>
      <c r="Y218" s="640">
        <v>67.24718580242552</v>
      </c>
      <c r="Z218" s="640">
        <v>0</v>
      </c>
      <c r="AA218" s="640">
        <v>0</v>
      </c>
      <c r="AB218" s="640">
        <v>71.925876784938879</v>
      </c>
      <c r="AC218" s="640">
        <v>0</v>
      </c>
      <c r="AD218" s="640">
        <v>0</v>
      </c>
      <c r="AE218" s="640">
        <v>7.4719095336028349</v>
      </c>
      <c r="AF218" s="640">
        <v>46.984438986784113</v>
      </c>
      <c r="AG218" s="640">
        <v>1.9327369863094026</v>
      </c>
      <c r="AH218" s="640">
        <v>159.87092870367675</v>
      </c>
      <c r="AI218" s="640">
        <v>32.787807198116425</v>
      </c>
      <c r="AJ218" s="640">
        <v>0</v>
      </c>
      <c r="AK218" s="648">
        <v>390.97836480005702</v>
      </c>
    </row>
    <row r="219" spans="3:37" x14ac:dyDescent="0.2">
      <c r="C219" s="646" t="s">
        <v>81</v>
      </c>
      <c r="D219" s="640">
        <v>0</v>
      </c>
      <c r="E219" s="640">
        <v>0</v>
      </c>
      <c r="F219" s="640">
        <v>13.089485167364064</v>
      </c>
      <c r="G219" s="640">
        <v>62.329787012805554</v>
      </c>
      <c r="H219" s="640">
        <v>0</v>
      </c>
      <c r="I219" s="640">
        <v>0</v>
      </c>
      <c r="J219" s="640">
        <v>3.5803203712753549</v>
      </c>
      <c r="K219" s="640">
        <v>2.4997359764460676E-2</v>
      </c>
      <c r="L219" s="640">
        <v>0</v>
      </c>
      <c r="M219" s="640">
        <v>1.2720364696490929</v>
      </c>
      <c r="N219" s="640">
        <v>8.0745890957481183</v>
      </c>
      <c r="O219" s="640">
        <v>0.83294326034961275</v>
      </c>
      <c r="P219" s="640">
        <v>131.24016316985416</v>
      </c>
      <c r="Q219" s="640">
        <v>4.3528828563662758</v>
      </c>
      <c r="R219" s="640">
        <v>0</v>
      </c>
      <c r="S219" s="648">
        <v>224.79720476317669</v>
      </c>
      <c r="U219" s="646" t="s">
        <v>81</v>
      </c>
      <c r="V219" s="640">
        <v>0</v>
      </c>
      <c r="W219" s="640">
        <v>0</v>
      </c>
      <c r="X219" s="640">
        <v>3.9119597768221439</v>
      </c>
      <c r="Y219" s="640">
        <v>38.3508738706755</v>
      </c>
      <c r="Z219" s="640">
        <v>0</v>
      </c>
      <c r="AA219" s="640">
        <v>0</v>
      </c>
      <c r="AB219" s="640">
        <v>7.8602291254253389</v>
      </c>
      <c r="AC219" s="640">
        <v>2.4997359764460676E-2</v>
      </c>
      <c r="AD219" s="640">
        <v>0</v>
      </c>
      <c r="AE219" s="640">
        <v>4.2612082078528335</v>
      </c>
      <c r="AF219" s="640">
        <v>14.106786738135797</v>
      </c>
      <c r="AG219" s="640">
        <v>1.7661272775976942</v>
      </c>
      <c r="AH219" s="640">
        <v>123.29032263862543</v>
      </c>
      <c r="AI219" s="640">
        <v>8.5454451862110297</v>
      </c>
      <c r="AJ219" s="640">
        <v>0</v>
      </c>
      <c r="AK219" s="648">
        <v>202.11795018111022</v>
      </c>
    </row>
    <row r="220" spans="3:37" x14ac:dyDescent="0.2">
      <c r="C220" s="646" t="s">
        <v>82</v>
      </c>
      <c r="D220" s="640">
        <v>0</v>
      </c>
      <c r="E220" s="640">
        <v>0</v>
      </c>
      <c r="F220" s="640">
        <v>33.167847610565538</v>
      </c>
      <c r="G220" s="640">
        <v>2.1624159537319825</v>
      </c>
      <c r="H220" s="640">
        <v>0</v>
      </c>
      <c r="I220" s="640">
        <v>0</v>
      </c>
      <c r="J220" s="640">
        <v>1.4487991994826963</v>
      </c>
      <c r="K220" s="640">
        <v>0</v>
      </c>
      <c r="L220" s="640">
        <v>2.4657875210358444</v>
      </c>
      <c r="M220" s="640">
        <v>4.4130937831264955E-2</v>
      </c>
      <c r="N220" s="640">
        <v>0</v>
      </c>
      <c r="O220" s="640">
        <v>8.4265288301735436E-2</v>
      </c>
      <c r="P220" s="640">
        <v>7.7746258142900144</v>
      </c>
      <c r="Q220" s="640">
        <v>0</v>
      </c>
      <c r="R220" s="640">
        <v>0</v>
      </c>
      <c r="S220" s="648">
        <v>47.147872325239064</v>
      </c>
      <c r="U220" s="646" t="s">
        <v>82</v>
      </c>
      <c r="V220" s="640">
        <v>0</v>
      </c>
      <c r="W220" s="640">
        <v>0</v>
      </c>
      <c r="X220" s="640">
        <v>27.0175910939627</v>
      </c>
      <c r="Y220" s="640">
        <v>2.3189520199147382</v>
      </c>
      <c r="Z220" s="640">
        <v>0</v>
      </c>
      <c r="AA220" s="640">
        <v>0</v>
      </c>
      <c r="AB220" s="640">
        <v>1.4487991994826963</v>
      </c>
      <c r="AC220" s="640">
        <v>0</v>
      </c>
      <c r="AD220" s="640">
        <v>9.9723689588186737</v>
      </c>
      <c r="AE220" s="640">
        <v>0.257661335546082</v>
      </c>
      <c r="AF220" s="640">
        <v>0</v>
      </c>
      <c r="AG220" s="640">
        <v>0.62518456969816016</v>
      </c>
      <c r="AH220" s="640">
        <v>7.8177780162568453</v>
      </c>
      <c r="AI220" s="640">
        <v>0</v>
      </c>
      <c r="AJ220" s="640">
        <v>0.17366238047171115</v>
      </c>
      <c r="AK220" s="648">
        <v>49.631997574151612</v>
      </c>
    </row>
    <row r="221" spans="3:37" x14ac:dyDescent="0.2">
      <c r="C221" s="646" t="s">
        <v>354</v>
      </c>
      <c r="D221" s="640">
        <v>0</v>
      </c>
      <c r="E221" s="640">
        <v>0</v>
      </c>
      <c r="F221" s="640">
        <v>0</v>
      </c>
      <c r="G221" s="640">
        <v>0</v>
      </c>
      <c r="H221" s="640">
        <v>0</v>
      </c>
      <c r="I221" s="640">
        <v>0</v>
      </c>
      <c r="J221" s="640">
        <v>0</v>
      </c>
      <c r="K221" s="640">
        <v>0</v>
      </c>
      <c r="L221" s="640">
        <v>0</v>
      </c>
      <c r="M221" s="640">
        <v>0</v>
      </c>
      <c r="N221" s="640">
        <v>0</v>
      </c>
      <c r="O221" s="640">
        <v>0</v>
      </c>
      <c r="P221" s="640">
        <v>0</v>
      </c>
      <c r="Q221" s="640">
        <v>0</v>
      </c>
      <c r="R221" s="640">
        <v>0</v>
      </c>
      <c r="S221" s="648">
        <v>0</v>
      </c>
      <c r="U221" s="646" t="s">
        <v>354</v>
      </c>
      <c r="V221" s="640">
        <v>0</v>
      </c>
      <c r="W221" s="640">
        <v>0</v>
      </c>
      <c r="X221" s="640">
        <v>0</v>
      </c>
      <c r="Y221" s="640">
        <v>0</v>
      </c>
      <c r="Z221" s="640">
        <v>0</v>
      </c>
      <c r="AA221" s="640">
        <v>0</v>
      </c>
      <c r="AB221" s="640">
        <v>0</v>
      </c>
      <c r="AC221" s="640">
        <v>0</v>
      </c>
      <c r="AD221" s="640">
        <v>0</v>
      </c>
      <c r="AE221" s="640">
        <v>0</v>
      </c>
      <c r="AF221" s="640">
        <v>0</v>
      </c>
      <c r="AG221" s="640">
        <v>0</v>
      </c>
      <c r="AH221" s="640">
        <v>0.6</v>
      </c>
      <c r="AI221" s="640">
        <v>0</v>
      </c>
      <c r="AJ221" s="640">
        <v>0</v>
      </c>
      <c r="AK221" s="648">
        <v>0.6</v>
      </c>
    </row>
    <row r="222" spans="3:37" x14ac:dyDescent="0.2">
      <c r="C222" s="644" t="s">
        <v>83</v>
      </c>
      <c r="D222" s="645">
        <v>6.5032741679727843</v>
      </c>
      <c r="E222" s="645">
        <v>0</v>
      </c>
      <c r="F222" s="645">
        <v>446.98906993274153</v>
      </c>
      <c r="G222" s="645">
        <v>287.95017750573197</v>
      </c>
      <c r="H222" s="645">
        <v>0</v>
      </c>
      <c r="I222" s="645">
        <v>0</v>
      </c>
      <c r="J222" s="645">
        <v>102.29885085722037</v>
      </c>
      <c r="K222" s="645">
        <v>1.8026731844749846</v>
      </c>
      <c r="L222" s="645">
        <v>36.783626860690426</v>
      </c>
      <c r="M222" s="645">
        <v>5.8953050861011809</v>
      </c>
      <c r="N222" s="645">
        <v>49.514351265721807</v>
      </c>
      <c r="O222" s="645">
        <v>2.8493182047113157</v>
      </c>
      <c r="P222" s="645">
        <v>454.71077961406559</v>
      </c>
      <c r="Q222" s="645">
        <v>36.463227585949028</v>
      </c>
      <c r="R222" s="645">
        <v>0.71363666999870479</v>
      </c>
      <c r="S222" s="645">
        <v>1432.4742909353797</v>
      </c>
      <c r="U222" s="644" t="s">
        <v>83</v>
      </c>
      <c r="V222" s="645">
        <v>0.86555588121413052</v>
      </c>
      <c r="W222" s="645">
        <v>0</v>
      </c>
      <c r="X222" s="645">
        <v>322.32974487500439</v>
      </c>
      <c r="Y222" s="645">
        <v>200.24022350086713</v>
      </c>
      <c r="Z222" s="645">
        <v>0</v>
      </c>
      <c r="AA222" s="645">
        <v>0</v>
      </c>
      <c r="AB222" s="645">
        <v>98.323998973757497</v>
      </c>
      <c r="AC222" s="645">
        <v>6.032015642283147</v>
      </c>
      <c r="AD222" s="645">
        <v>47.797299277671243</v>
      </c>
      <c r="AE222" s="645">
        <v>22.267684573608886</v>
      </c>
      <c r="AF222" s="645">
        <v>61.091225724919909</v>
      </c>
      <c r="AG222" s="645">
        <v>4.3244315081583782</v>
      </c>
      <c r="AH222" s="645">
        <v>456.67759211018512</v>
      </c>
      <c r="AI222" s="645">
        <v>61.66120404388996</v>
      </c>
      <c r="AJ222" s="645">
        <v>5.7410832250574444</v>
      </c>
      <c r="AK222" s="645">
        <v>1287.352059336617</v>
      </c>
    </row>
    <row r="223" spans="3:37" x14ac:dyDescent="0.2">
      <c r="C223" s="639" t="s">
        <v>84</v>
      </c>
      <c r="D223" s="640">
        <v>0</v>
      </c>
      <c r="E223" s="640">
        <v>0</v>
      </c>
      <c r="F223" s="640">
        <v>120.50577840542185</v>
      </c>
      <c r="G223" s="640">
        <v>12.411293173801123</v>
      </c>
      <c r="H223" s="640">
        <v>0</v>
      </c>
      <c r="I223" s="640">
        <v>0</v>
      </c>
      <c r="J223" s="640">
        <v>0</v>
      </c>
      <c r="K223" s="640">
        <v>0</v>
      </c>
      <c r="L223" s="640">
        <v>0</v>
      </c>
      <c r="M223" s="640">
        <v>0</v>
      </c>
      <c r="N223" s="640">
        <v>0</v>
      </c>
      <c r="O223" s="640">
        <v>0</v>
      </c>
      <c r="P223" s="640">
        <v>0</v>
      </c>
      <c r="Q223" s="640">
        <v>0</v>
      </c>
      <c r="R223" s="640">
        <v>0</v>
      </c>
      <c r="S223" s="648">
        <v>132.91707157922298</v>
      </c>
      <c r="U223" s="639" t="s">
        <v>84</v>
      </c>
      <c r="V223" s="640">
        <v>0</v>
      </c>
      <c r="W223" s="640">
        <v>0</v>
      </c>
      <c r="X223" s="640">
        <v>117.28279502427566</v>
      </c>
      <c r="Y223" s="640">
        <v>1.8168604665649504</v>
      </c>
      <c r="Z223" s="640">
        <v>0</v>
      </c>
      <c r="AA223" s="640">
        <v>0</v>
      </c>
      <c r="AB223" s="640">
        <v>0</v>
      </c>
      <c r="AC223" s="640">
        <v>0</v>
      </c>
      <c r="AD223" s="640">
        <v>0.35207966308593752</v>
      </c>
      <c r="AE223" s="640">
        <v>0</v>
      </c>
      <c r="AF223" s="640">
        <v>0</v>
      </c>
      <c r="AG223" s="640">
        <v>0</v>
      </c>
      <c r="AH223" s="640">
        <v>0</v>
      </c>
      <c r="AI223" s="640">
        <v>0</v>
      </c>
      <c r="AJ223" s="640">
        <v>1.7189814819335938</v>
      </c>
      <c r="AK223" s="648">
        <v>121.17071663586013</v>
      </c>
    </row>
    <row r="224" spans="3:37" x14ac:dyDescent="0.2">
      <c r="C224" s="644" t="s">
        <v>85</v>
      </c>
      <c r="D224" s="645">
        <v>6.5032741679727843</v>
      </c>
      <c r="E224" s="645">
        <v>0</v>
      </c>
      <c r="F224" s="645">
        <v>567.49484833816337</v>
      </c>
      <c r="G224" s="645">
        <v>300.36147067953311</v>
      </c>
      <c r="H224" s="645">
        <v>0</v>
      </c>
      <c r="I224" s="645">
        <v>0</v>
      </c>
      <c r="J224" s="645">
        <v>102.29885085722037</v>
      </c>
      <c r="K224" s="645">
        <v>1.8026731844749846</v>
      </c>
      <c r="L224" s="645">
        <v>36.783626860690426</v>
      </c>
      <c r="M224" s="645">
        <v>5.8953050861011809</v>
      </c>
      <c r="N224" s="645">
        <v>49.514351265721807</v>
      </c>
      <c r="O224" s="645">
        <v>2.8493182047113157</v>
      </c>
      <c r="P224" s="645">
        <v>454.71077961406559</v>
      </c>
      <c r="Q224" s="645">
        <v>36.463227585949028</v>
      </c>
      <c r="R224" s="645">
        <v>0.71363666999870479</v>
      </c>
      <c r="S224" s="645">
        <v>1565.3913625146026</v>
      </c>
      <c r="U224" s="644" t="s">
        <v>85</v>
      </c>
      <c r="V224" s="645">
        <v>0.86555588121413052</v>
      </c>
      <c r="W224" s="645">
        <v>0</v>
      </c>
      <c r="X224" s="645">
        <v>439.61253989928008</v>
      </c>
      <c r="Y224" s="645">
        <v>202.05708396743208</v>
      </c>
      <c r="Z224" s="645">
        <v>0</v>
      </c>
      <c r="AA224" s="645">
        <v>0</v>
      </c>
      <c r="AB224" s="645">
        <v>98.323998973757497</v>
      </c>
      <c r="AC224" s="645">
        <v>6.032015642283147</v>
      </c>
      <c r="AD224" s="645">
        <v>48.149378940757181</v>
      </c>
      <c r="AE224" s="645">
        <v>22.267684573608886</v>
      </c>
      <c r="AF224" s="645">
        <v>61.091225724919909</v>
      </c>
      <c r="AG224" s="645">
        <v>4.3244315081583782</v>
      </c>
      <c r="AH224" s="645">
        <v>456.67759211018512</v>
      </c>
      <c r="AI224" s="645">
        <v>61.66120404388996</v>
      </c>
      <c r="AJ224" s="645">
        <v>7.4600647069910382</v>
      </c>
      <c r="AK224" s="645">
        <v>1408.5227759724771</v>
      </c>
    </row>
    <row r="225" spans="3:37" x14ac:dyDescent="0.2">
      <c r="C225" s="634"/>
      <c r="D225" s="634"/>
      <c r="E225" s="634"/>
      <c r="F225" s="634"/>
      <c r="G225" s="634"/>
      <c r="H225" s="634"/>
      <c r="I225" s="634"/>
      <c r="J225" s="634"/>
      <c r="K225" s="634"/>
      <c r="L225" s="634"/>
      <c r="M225" s="634"/>
      <c r="N225" s="634"/>
      <c r="O225" s="634"/>
      <c r="P225" s="634"/>
      <c r="Q225" s="634"/>
      <c r="R225" s="634"/>
      <c r="S225" s="634"/>
      <c r="U225" s="634"/>
      <c r="V225" s="634"/>
      <c r="W225" s="634"/>
      <c r="X225" s="634"/>
      <c r="Y225" s="634"/>
      <c r="Z225" s="634"/>
      <c r="AA225" s="634"/>
      <c r="AB225" s="634"/>
      <c r="AC225" s="634"/>
      <c r="AD225" s="634"/>
      <c r="AE225" s="634"/>
      <c r="AF225" s="634"/>
      <c r="AG225" s="634"/>
      <c r="AH225" s="634"/>
      <c r="AI225" s="634"/>
      <c r="AJ225" s="634"/>
      <c r="AK225" s="634"/>
    </row>
    <row r="226" spans="3:37" ht="22.5" x14ac:dyDescent="0.3">
      <c r="C226" s="759" t="s">
        <v>357</v>
      </c>
      <c r="D226" s="759"/>
      <c r="E226" s="759"/>
      <c r="F226" s="759"/>
      <c r="G226" s="759"/>
      <c r="H226" s="759"/>
      <c r="I226" s="759"/>
      <c r="J226" s="759"/>
      <c r="K226" s="759"/>
      <c r="L226" s="759"/>
      <c r="M226" s="759"/>
      <c r="N226" s="759"/>
      <c r="O226" s="759"/>
      <c r="P226" s="759"/>
      <c r="Q226" s="759"/>
      <c r="R226" s="759"/>
      <c r="S226" s="759"/>
      <c r="U226" s="759" t="s">
        <v>357</v>
      </c>
      <c r="V226" s="759"/>
      <c r="W226" s="759"/>
      <c r="X226" s="759"/>
      <c r="Y226" s="759"/>
      <c r="Z226" s="759"/>
      <c r="AA226" s="759"/>
      <c r="AB226" s="759"/>
      <c r="AC226" s="759"/>
      <c r="AD226" s="759"/>
      <c r="AE226" s="759"/>
      <c r="AF226" s="759"/>
      <c r="AG226" s="759"/>
      <c r="AH226" s="759"/>
      <c r="AI226" s="759"/>
      <c r="AJ226" s="759"/>
      <c r="AK226" s="759"/>
    </row>
    <row r="227" spans="3:37" x14ac:dyDescent="0.2">
      <c r="C227" s="634"/>
      <c r="D227" s="634"/>
      <c r="E227" s="634"/>
      <c r="F227" s="634"/>
      <c r="G227" s="634"/>
      <c r="H227" s="634"/>
      <c r="I227" s="634"/>
      <c r="J227" s="634"/>
      <c r="K227" s="634"/>
      <c r="L227" s="634"/>
      <c r="M227" s="634"/>
      <c r="N227" s="634"/>
      <c r="O227" s="634"/>
      <c r="P227" s="634"/>
      <c r="Q227" s="634"/>
      <c r="R227" s="634"/>
      <c r="S227" s="634"/>
      <c r="U227" s="634"/>
      <c r="V227" s="634"/>
      <c r="W227" s="634"/>
      <c r="X227" s="634"/>
      <c r="Y227" s="634"/>
      <c r="Z227" s="634"/>
      <c r="AA227" s="634"/>
      <c r="AB227" s="634"/>
      <c r="AC227" s="634"/>
      <c r="AD227" s="634"/>
      <c r="AE227" s="634"/>
      <c r="AF227" s="634"/>
      <c r="AG227" s="634"/>
      <c r="AH227" s="634"/>
      <c r="AI227" s="634"/>
      <c r="AJ227" s="634"/>
      <c r="AK227" s="634"/>
    </row>
    <row r="228" spans="3:37" ht="12.95" customHeight="1" x14ac:dyDescent="0.2">
      <c r="C228" s="758" t="s">
        <v>128</v>
      </c>
      <c r="D228" s="757" t="s">
        <v>42</v>
      </c>
      <c r="E228" s="757" t="s">
        <v>52</v>
      </c>
      <c r="F228" s="757" t="s">
        <v>53</v>
      </c>
      <c r="G228" s="757" t="s">
        <v>32</v>
      </c>
      <c r="H228" s="757" t="s">
        <v>20</v>
      </c>
      <c r="I228" s="757" t="s">
        <v>55</v>
      </c>
      <c r="J228" s="757" t="s">
        <v>56</v>
      </c>
      <c r="K228" s="757"/>
      <c r="L228" s="757"/>
      <c r="M228" s="757"/>
      <c r="N228" s="757"/>
      <c r="O228" s="757"/>
      <c r="P228" s="757" t="s">
        <v>57</v>
      </c>
      <c r="Q228" s="757" t="s">
        <v>58</v>
      </c>
      <c r="R228" s="757" t="s">
        <v>31</v>
      </c>
      <c r="S228" s="757" t="s">
        <v>10</v>
      </c>
      <c r="U228" s="758" t="s">
        <v>128</v>
      </c>
      <c r="V228" s="757" t="s">
        <v>42</v>
      </c>
      <c r="W228" s="757" t="s">
        <v>52</v>
      </c>
      <c r="X228" s="757" t="s">
        <v>53</v>
      </c>
      <c r="Y228" s="757" t="s">
        <v>32</v>
      </c>
      <c r="Z228" s="757" t="s">
        <v>20</v>
      </c>
      <c r="AA228" s="757" t="s">
        <v>55</v>
      </c>
      <c r="AB228" s="757" t="s">
        <v>56</v>
      </c>
      <c r="AC228" s="757"/>
      <c r="AD228" s="757"/>
      <c r="AE228" s="757"/>
      <c r="AF228" s="757"/>
      <c r="AG228" s="757"/>
      <c r="AH228" s="757" t="s">
        <v>57</v>
      </c>
      <c r="AI228" s="757" t="s">
        <v>58</v>
      </c>
      <c r="AJ228" s="757" t="s">
        <v>31</v>
      </c>
      <c r="AK228" s="757" t="s">
        <v>10</v>
      </c>
    </row>
    <row r="229" spans="3:37" ht="56.25" x14ac:dyDescent="0.2">
      <c r="C229" s="758"/>
      <c r="D229" s="757"/>
      <c r="E229" s="757"/>
      <c r="F229" s="757"/>
      <c r="G229" s="757"/>
      <c r="H229" s="757"/>
      <c r="I229" s="757"/>
      <c r="J229" s="638" t="s">
        <v>335</v>
      </c>
      <c r="K229" s="638" t="s">
        <v>40</v>
      </c>
      <c r="L229" s="638" t="s">
        <v>343</v>
      </c>
      <c r="M229" s="638" t="s">
        <v>344</v>
      </c>
      <c r="N229" s="638" t="s">
        <v>345</v>
      </c>
      <c r="O229" s="638" t="s">
        <v>346</v>
      </c>
      <c r="P229" s="757"/>
      <c r="Q229" s="757"/>
      <c r="R229" s="757"/>
      <c r="S229" s="757"/>
      <c r="U229" s="758"/>
      <c r="V229" s="757"/>
      <c r="W229" s="757"/>
      <c r="X229" s="757"/>
      <c r="Y229" s="757"/>
      <c r="Z229" s="757"/>
      <c r="AA229" s="757"/>
      <c r="AB229" s="638" t="s">
        <v>335</v>
      </c>
      <c r="AC229" s="638" t="s">
        <v>40</v>
      </c>
      <c r="AD229" s="638" t="s">
        <v>343</v>
      </c>
      <c r="AE229" s="638" t="s">
        <v>344</v>
      </c>
      <c r="AF229" s="638" t="s">
        <v>345</v>
      </c>
      <c r="AG229" s="638" t="s">
        <v>346</v>
      </c>
      <c r="AH229" s="757"/>
      <c r="AI229" s="757"/>
      <c r="AJ229" s="757"/>
      <c r="AK229" s="757"/>
    </row>
    <row r="230" spans="3:37" x14ac:dyDescent="0.2">
      <c r="C230" s="639" t="s">
        <v>59</v>
      </c>
      <c r="D230" s="640">
        <v>0</v>
      </c>
      <c r="E230" s="641">
        <v>7.3966799999999999</v>
      </c>
      <c r="F230" s="641">
        <v>0</v>
      </c>
      <c r="G230" s="640">
        <v>0.13025600000000001</v>
      </c>
      <c r="H230" s="641">
        <v>1121.3636363636365</v>
      </c>
      <c r="I230" s="641">
        <v>207.57369132422022</v>
      </c>
      <c r="J230" s="641">
        <v>190.75115787672021</v>
      </c>
      <c r="K230" s="641">
        <v>21.756321957796004</v>
      </c>
      <c r="L230" s="641">
        <v>0.34997737871272444</v>
      </c>
      <c r="M230" s="641">
        <v>0.14846473955328648</v>
      </c>
      <c r="N230" s="641">
        <v>54.409714472774652</v>
      </c>
      <c r="O230" s="641">
        <v>8.1015620286034657</v>
      </c>
      <c r="P230" s="642">
        <v>0</v>
      </c>
      <c r="Q230" s="641">
        <v>0</v>
      </c>
      <c r="R230" s="641">
        <v>0</v>
      </c>
      <c r="S230" s="643">
        <v>1611.9814621420169</v>
      </c>
      <c r="U230" s="639" t="s">
        <v>59</v>
      </c>
      <c r="V230" s="640">
        <v>0</v>
      </c>
      <c r="W230" s="641">
        <v>7.3966799999999999</v>
      </c>
      <c r="X230" s="641">
        <v>0</v>
      </c>
      <c r="Y230" s="640">
        <v>0.13025600000000001</v>
      </c>
      <c r="Z230" s="641">
        <v>1024.3939393939395</v>
      </c>
      <c r="AA230" s="641">
        <v>228.1236913242202</v>
      </c>
      <c r="AB230" s="641">
        <v>188.80425896422437</v>
      </c>
      <c r="AC230" s="641">
        <v>37.588366510920622</v>
      </c>
      <c r="AD230" s="641">
        <v>0.34997737871272444</v>
      </c>
      <c r="AE230" s="641">
        <v>0.14846473955328648</v>
      </c>
      <c r="AF230" s="641">
        <v>70.498567758341522</v>
      </c>
      <c r="AG230" s="641">
        <v>15.201618538088493</v>
      </c>
      <c r="AH230" s="642">
        <v>0</v>
      </c>
      <c r="AI230" s="641">
        <v>0</v>
      </c>
      <c r="AJ230" s="641">
        <v>0</v>
      </c>
      <c r="AK230" s="643">
        <v>1572.6358206080006</v>
      </c>
    </row>
    <row r="231" spans="3:37" x14ac:dyDescent="0.2">
      <c r="C231" s="639" t="s">
        <v>60</v>
      </c>
      <c r="D231" s="640">
        <v>48.993463204278932</v>
      </c>
      <c r="E231" s="641">
        <v>524.37115290345116</v>
      </c>
      <c r="F231" s="641">
        <v>128.47715148642752</v>
      </c>
      <c r="G231" s="640">
        <v>338.60190682175607</v>
      </c>
      <c r="H231" s="641">
        <v>0</v>
      </c>
      <c r="I231" s="641">
        <v>0</v>
      </c>
      <c r="J231" s="641">
        <v>3.4492102766833175</v>
      </c>
      <c r="K231" s="641">
        <v>0</v>
      </c>
      <c r="L231" s="641">
        <v>1.9497058389942057</v>
      </c>
      <c r="M231" s="641">
        <v>0</v>
      </c>
      <c r="N231" s="641">
        <v>0</v>
      </c>
      <c r="O231" s="641">
        <v>0</v>
      </c>
      <c r="P231" s="642">
        <v>0</v>
      </c>
      <c r="Q231" s="641">
        <v>0</v>
      </c>
      <c r="R231" s="641">
        <v>0</v>
      </c>
      <c r="S231" s="643">
        <v>1045.8425905315912</v>
      </c>
      <c r="U231" s="639" t="s">
        <v>60</v>
      </c>
      <c r="V231" s="640">
        <v>10.847134235204434</v>
      </c>
      <c r="W231" s="641">
        <v>365.76498082844296</v>
      </c>
      <c r="X231" s="641">
        <v>91.958139733680838</v>
      </c>
      <c r="Y231" s="640">
        <v>234.76100914366791</v>
      </c>
      <c r="Z231" s="641">
        <v>0</v>
      </c>
      <c r="AA231" s="641">
        <v>0</v>
      </c>
      <c r="AB231" s="641">
        <v>3.4492102766833175</v>
      </c>
      <c r="AC231" s="641">
        <v>0</v>
      </c>
      <c r="AD231" s="641">
        <v>1.9497058389942057</v>
      </c>
      <c r="AE231" s="641">
        <v>0</v>
      </c>
      <c r="AF231" s="641">
        <v>0</v>
      </c>
      <c r="AG231" s="641">
        <v>0</v>
      </c>
      <c r="AH231" s="642">
        <v>0</v>
      </c>
      <c r="AI231" s="641">
        <v>0</v>
      </c>
      <c r="AJ231" s="641">
        <v>0</v>
      </c>
      <c r="AK231" s="643">
        <v>708.7301800566737</v>
      </c>
    </row>
    <row r="232" spans="3:37" x14ac:dyDescent="0.2">
      <c r="C232" s="639" t="s">
        <v>61</v>
      </c>
      <c r="D232" s="640">
        <v>0</v>
      </c>
      <c r="E232" s="641">
        <v>0</v>
      </c>
      <c r="F232" s="641">
        <v>0</v>
      </c>
      <c r="G232" s="640">
        <v>0</v>
      </c>
      <c r="H232" s="641">
        <v>0</v>
      </c>
      <c r="I232" s="641">
        <v>0</v>
      </c>
      <c r="J232" s="641">
        <v>0</v>
      </c>
      <c r="K232" s="641">
        <v>0</v>
      </c>
      <c r="L232" s="641">
        <v>0</v>
      </c>
      <c r="M232" s="641">
        <v>0</v>
      </c>
      <c r="N232" s="641">
        <v>0</v>
      </c>
      <c r="O232" s="641">
        <v>0</v>
      </c>
      <c r="P232" s="642">
        <v>-60.003896317889257</v>
      </c>
      <c r="Q232" s="641">
        <v>0</v>
      </c>
      <c r="R232" s="641">
        <v>0</v>
      </c>
      <c r="S232" s="643">
        <v>-60.003896317889257</v>
      </c>
      <c r="U232" s="639" t="s">
        <v>61</v>
      </c>
      <c r="V232" s="640">
        <v>0</v>
      </c>
      <c r="W232" s="641">
        <v>0</v>
      </c>
      <c r="X232" s="641">
        <v>0</v>
      </c>
      <c r="Y232" s="640">
        <v>0</v>
      </c>
      <c r="Z232" s="641">
        <v>0</v>
      </c>
      <c r="AA232" s="641">
        <v>0</v>
      </c>
      <c r="AB232" s="641">
        <v>0</v>
      </c>
      <c r="AC232" s="641">
        <v>0</v>
      </c>
      <c r="AD232" s="641">
        <v>0</v>
      </c>
      <c r="AE232" s="641">
        <v>0</v>
      </c>
      <c r="AF232" s="641">
        <v>0</v>
      </c>
      <c r="AG232" s="641">
        <v>0</v>
      </c>
      <c r="AH232" s="642">
        <v>-43.289743938015249</v>
      </c>
      <c r="AI232" s="641">
        <v>0</v>
      </c>
      <c r="AJ232" s="641">
        <v>0</v>
      </c>
      <c r="AK232" s="643">
        <v>-43.289743938015249</v>
      </c>
    </row>
    <row r="233" spans="3:37" x14ac:dyDescent="0.2">
      <c r="C233" s="639" t="s">
        <v>62</v>
      </c>
      <c r="D233" s="640">
        <v>0</v>
      </c>
      <c r="E233" s="641">
        <v>0</v>
      </c>
      <c r="F233" s="641">
        <v>-16.352432750095883</v>
      </c>
      <c r="G233" s="640">
        <v>0</v>
      </c>
      <c r="H233" s="641">
        <v>0</v>
      </c>
      <c r="I233" s="641">
        <v>0</v>
      </c>
      <c r="J233" s="641">
        <v>0</v>
      </c>
      <c r="K233" s="641">
        <v>0</v>
      </c>
      <c r="L233" s="641">
        <v>0</v>
      </c>
      <c r="M233" s="641">
        <v>0</v>
      </c>
      <c r="N233" s="641">
        <v>0</v>
      </c>
      <c r="O233" s="641">
        <v>0</v>
      </c>
      <c r="P233" s="642">
        <v>0</v>
      </c>
      <c r="Q233" s="641">
        <v>0</v>
      </c>
      <c r="R233" s="641">
        <v>0</v>
      </c>
      <c r="S233" s="643">
        <v>-16.352432750095883</v>
      </c>
      <c r="U233" s="639" t="s">
        <v>62</v>
      </c>
      <c r="V233" s="640">
        <v>0</v>
      </c>
      <c r="W233" s="641">
        <v>0</v>
      </c>
      <c r="X233" s="641">
        <v>-14.208433022133823</v>
      </c>
      <c r="Y233" s="640">
        <v>-0.95675088928507923</v>
      </c>
      <c r="Z233" s="641">
        <v>0</v>
      </c>
      <c r="AA233" s="641">
        <v>0</v>
      </c>
      <c r="AB233" s="641">
        <v>0</v>
      </c>
      <c r="AC233" s="641">
        <v>0</v>
      </c>
      <c r="AD233" s="641">
        <v>0</v>
      </c>
      <c r="AE233" s="641">
        <v>-0.16736955973660289</v>
      </c>
      <c r="AF233" s="641">
        <v>0</v>
      </c>
      <c r="AG233" s="641">
        <v>0</v>
      </c>
      <c r="AH233" s="642">
        <v>0</v>
      </c>
      <c r="AI233" s="641">
        <v>0</v>
      </c>
      <c r="AJ233" s="641">
        <v>0</v>
      </c>
      <c r="AK233" s="643">
        <v>-15.332553471155505</v>
      </c>
    </row>
    <row r="234" spans="3:37" x14ac:dyDescent="0.2">
      <c r="C234" s="639" t="s">
        <v>63</v>
      </c>
      <c r="D234" s="640">
        <v>0</v>
      </c>
      <c r="E234" s="641">
        <v>0</v>
      </c>
      <c r="F234" s="641">
        <v>-82.364123594751035</v>
      </c>
      <c r="G234" s="640">
        <v>0</v>
      </c>
      <c r="H234" s="641">
        <v>0</v>
      </c>
      <c r="I234" s="641">
        <v>0</v>
      </c>
      <c r="J234" s="641">
        <v>0</v>
      </c>
      <c r="K234" s="641">
        <v>0</v>
      </c>
      <c r="L234" s="641">
        <v>-0.84952974503182688</v>
      </c>
      <c r="M234" s="641">
        <v>0</v>
      </c>
      <c r="N234" s="641">
        <v>0</v>
      </c>
      <c r="O234" s="641">
        <v>0</v>
      </c>
      <c r="P234" s="642">
        <v>0</v>
      </c>
      <c r="Q234" s="641">
        <v>0</v>
      </c>
      <c r="R234" s="641">
        <v>0</v>
      </c>
      <c r="S234" s="643">
        <v>-83.213653339782866</v>
      </c>
      <c r="U234" s="639" t="s">
        <v>63</v>
      </c>
      <c r="V234" s="640">
        <v>0</v>
      </c>
      <c r="W234" s="641">
        <v>0</v>
      </c>
      <c r="X234" s="641">
        <v>-71.599112277853877</v>
      </c>
      <c r="Y234" s="640">
        <v>0</v>
      </c>
      <c r="Z234" s="641">
        <v>0</v>
      </c>
      <c r="AA234" s="641">
        <v>0</v>
      </c>
      <c r="AB234" s="641">
        <v>0</v>
      </c>
      <c r="AC234" s="641">
        <v>0</v>
      </c>
      <c r="AD234" s="641">
        <v>-10.622786066784549</v>
      </c>
      <c r="AE234" s="641">
        <v>0</v>
      </c>
      <c r="AF234" s="641">
        <v>0</v>
      </c>
      <c r="AG234" s="641">
        <v>0</v>
      </c>
      <c r="AH234" s="642">
        <v>0</v>
      </c>
      <c r="AI234" s="641">
        <v>0</v>
      </c>
      <c r="AJ234" s="641">
        <v>0</v>
      </c>
      <c r="AK234" s="643">
        <v>-82.221898344638419</v>
      </c>
    </row>
    <row r="235" spans="3:37" x14ac:dyDescent="0.2">
      <c r="C235" s="639" t="s">
        <v>64</v>
      </c>
      <c r="D235" s="640">
        <v>0</v>
      </c>
      <c r="E235" s="641">
        <v>0</v>
      </c>
      <c r="F235" s="641">
        <v>0</v>
      </c>
      <c r="G235" s="640">
        <v>0</v>
      </c>
      <c r="H235" s="641">
        <v>0</v>
      </c>
      <c r="I235" s="641">
        <v>0</v>
      </c>
      <c r="J235" s="641">
        <v>0</v>
      </c>
      <c r="K235" s="641">
        <v>0</v>
      </c>
      <c r="L235" s="641">
        <v>0</v>
      </c>
      <c r="M235" s="641">
        <v>0</v>
      </c>
      <c r="N235" s="641">
        <v>0</v>
      </c>
      <c r="O235" s="641">
        <v>0</v>
      </c>
      <c r="P235" s="642">
        <v>0</v>
      </c>
      <c r="Q235" s="641">
        <v>0</v>
      </c>
      <c r="R235" s="641">
        <v>0</v>
      </c>
      <c r="S235" s="643">
        <v>0</v>
      </c>
      <c r="U235" s="639" t="s">
        <v>64</v>
      </c>
      <c r="V235" s="640">
        <v>0</v>
      </c>
      <c r="W235" s="641">
        <v>0</v>
      </c>
      <c r="X235" s="641">
        <v>0</v>
      </c>
      <c r="Y235" s="640">
        <v>0</v>
      </c>
      <c r="Z235" s="641">
        <v>0</v>
      </c>
      <c r="AA235" s="641">
        <v>0</v>
      </c>
      <c r="AB235" s="641">
        <v>0</v>
      </c>
      <c r="AC235" s="641">
        <v>0</v>
      </c>
      <c r="AD235" s="641">
        <v>0</v>
      </c>
      <c r="AE235" s="641">
        <v>0</v>
      </c>
      <c r="AF235" s="641">
        <v>0</v>
      </c>
      <c r="AG235" s="641">
        <v>0</v>
      </c>
      <c r="AH235" s="642">
        <v>0</v>
      </c>
      <c r="AI235" s="641">
        <v>0</v>
      </c>
      <c r="AJ235" s="641">
        <v>0</v>
      </c>
      <c r="AK235" s="643">
        <v>0</v>
      </c>
    </row>
    <row r="236" spans="3:37" x14ac:dyDescent="0.2">
      <c r="C236" s="644" t="s">
        <v>65</v>
      </c>
      <c r="D236" s="645">
        <v>48.993463204278932</v>
      </c>
      <c r="E236" s="645">
        <v>531.76783290345111</v>
      </c>
      <c r="F236" s="645">
        <v>29.760595141580591</v>
      </c>
      <c r="G236" s="645">
        <v>338.73216282175605</v>
      </c>
      <c r="H236" s="645">
        <v>1121.3636363636365</v>
      </c>
      <c r="I236" s="645">
        <v>207.57369132422022</v>
      </c>
      <c r="J236" s="645">
        <v>194.20036815340353</v>
      </c>
      <c r="K236" s="645">
        <v>21.756321957796004</v>
      </c>
      <c r="L236" s="645">
        <v>1.4501534726751033</v>
      </c>
      <c r="M236" s="645">
        <v>0.14846473955328648</v>
      </c>
      <c r="N236" s="645">
        <v>54.409714472774652</v>
      </c>
      <c r="O236" s="645">
        <v>8.1015620286034657</v>
      </c>
      <c r="P236" s="645">
        <v>-60.003896317889257</v>
      </c>
      <c r="Q236" s="645">
        <v>0</v>
      </c>
      <c r="R236" s="645">
        <v>0</v>
      </c>
      <c r="S236" s="645">
        <v>2498.2540702658398</v>
      </c>
      <c r="U236" s="644" t="s">
        <v>65</v>
      </c>
      <c r="V236" s="645">
        <v>10.847134235204434</v>
      </c>
      <c r="W236" s="645">
        <v>373.16166082844296</v>
      </c>
      <c r="X236" s="645">
        <v>6.1505944336931329</v>
      </c>
      <c r="Y236" s="645">
        <v>233.93451425438283</v>
      </c>
      <c r="Z236" s="645">
        <v>1024.3939393939395</v>
      </c>
      <c r="AA236" s="645">
        <v>228.1236913242202</v>
      </c>
      <c r="AB236" s="645">
        <v>192.25346924090769</v>
      </c>
      <c r="AC236" s="645">
        <v>37.588366510920622</v>
      </c>
      <c r="AD236" s="645">
        <v>-8.3231028490776193</v>
      </c>
      <c r="AE236" s="645">
        <v>-1.8904820183316406E-2</v>
      </c>
      <c r="AF236" s="645">
        <v>70.498567758341522</v>
      </c>
      <c r="AG236" s="645">
        <v>15.201618538088493</v>
      </c>
      <c r="AH236" s="645">
        <v>-43.289743938015249</v>
      </c>
      <c r="AI236" s="645">
        <v>0</v>
      </c>
      <c r="AJ236" s="645">
        <v>0</v>
      </c>
      <c r="AK236" s="645">
        <v>2140.5218049108653</v>
      </c>
    </row>
    <row r="237" spans="3:37" x14ac:dyDescent="0.2">
      <c r="C237" s="634"/>
      <c r="D237" s="634">
        <v>0</v>
      </c>
      <c r="E237" s="634">
        <v>0</v>
      </c>
      <c r="F237" s="634">
        <v>0</v>
      </c>
      <c r="G237" s="634">
        <v>0</v>
      </c>
      <c r="H237" s="634">
        <v>0</v>
      </c>
      <c r="I237" s="634">
        <v>0</v>
      </c>
      <c r="J237" s="634">
        <v>0</v>
      </c>
      <c r="K237" s="634">
        <v>0</v>
      </c>
      <c r="L237" s="634">
        <v>0</v>
      </c>
      <c r="M237" s="634">
        <v>0</v>
      </c>
      <c r="N237" s="634">
        <v>0</v>
      </c>
      <c r="O237" s="634">
        <v>0</v>
      </c>
      <c r="P237" s="634">
        <v>0</v>
      </c>
      <c r="Q237" s="634">
        <v>0</v>
      </c>
      <c r="R237" s="634">
        <v>0</v>
      </c>
      <c r="S237" s="634">
        <v>0</v>
      </c>
      <c r="U237" s="634"/>
      <c r="V237" s="634">
        <v>0</v>
      </c>
      <c r="W237" s="634">
        <v>0</v>
      </c>
      <c r="X237" s="634">
        <v>0</v>
      </c>
      <c r="Y237" s="634">
        <v>0</v>
      </c>
      <c r="Z237" s="634">
        <v>0</v>
      </c>
      <c r="AA237" s="634">
        <v>0</v>
      </c>
      <c r="AB237" s="634">
        <v>0</v>
      </c>
      <c r="AC237" s="634">
        <v>0</v>
      </c>
      <c r="AD237" s="634">
        <v>0</v>
      </c>
      <c r="AE237" s="634">
        <v>0</v>
      </c>
      <c r="AF237" s="634">
        <v>0</v>
      </c>
      <c r="AG237" s="634">
        <v>0</v>
      </c>
      <c r="AH237" s="634">
        <v>0</v>
      </c>
      <c r="AI237" s="634">
        <v>0</v>
      </c>
      <c r="AJ237" s="634">
        <v>0</v>
      </c>
      <c r="AK237" s="634">
        <v>0</v>
      </c>
    </row>
    <row r="238" spans="3:37" x14ac:dyDescent="0.2">
      <c r="C238" s="646" t="s">
        <v>67</v>
      </c>
      <c r="D238" s="640">
        <v>0</v>
      </c>
      <c r="E238" s="647">
        <v>0</v>
      </c>
      <c r="F238" s="647">
        <v>0</v>
      </c>
      <c r="G238" s="640">
        <v>0</v>
      </c>
      <c r="H238" s="640">
        <v>0</v>
      </c>
      <c r="I238" s="640">
        <v>0</v>
      </c>
      <c r="J238" s="640">
        <v>0</v>
      </c>
      <c r="K238" s="640">
        <v>0</v>
      </c>
      <c r="L238" s="640">
        <v>0</v>
      </c>
      <c r="M238" s="640">
        <v>0</v>
      </c>
      <c r="N238" s="640">
        <v>0</v>
      </c>
      <c r="O238" s="640">
        <v>0</v>
      </c>
      <c r="P238" s="640">
        <v>0</v>
      </c>
      <c r="Q238" s="640">
        <v>0</v>
      </c>
      <c r="R238" s="640">
        <v>0</v>
      </c>
      <c r="S238" s="648">
        <v>0</v>
      </c>
      <c r="U238" s="646" t="s">
        <v>67</v>
      </c>
      <c r="V238" s="640">
        <v>0</v>
      </c>
      <c r="W238" s="647">
        <v>0</v>
      </c>
      <c r="X238" s="647">
        <v>0</v>
      </c>
      <c r="Y238" s="640">
        <v>0</v>
      </c>
      <c r="Z238" s="640">
        <v>0</v>
      </c>
      <c r="AA238" s="640">
        <v>0</v>
      </c>
      <c r="AB238" s="640">
        <v>0</v>
      </c>
      <c r="AC238" s="640">
        <v>0</v>
      </c>
      <c r="AD238" s="640">
        <v>0</v>
      </c>
      <c r="AE238" s="640">
        <v>0</v>
      </c>
      <c r="AF238" s="640">
        <v>0</v>
      </c>
      <c r="AG238" s="640">
        <v>0</v>
      </c>
      <c r="AH238" s="640">
        <v>0</v>
      </c>
      <c r="AI238" s="640">
        <v>0</v>
      </c>
      <c r="AJ238" s="640">
        <v>0</v>
      </c>
      <c r="AK238" s="648">
        <v>0</v>
      </c>
    </row>
    <row r="239" spans="3:37" x14ac:dyDescent="0.2">
      <c r="C239" s="646" t="s">
        <v>347</v>
      </c>
      <c r="D239" s="640">
        <v>2.8267856410252494</v>
      </c>
      <c r="E239" s="640">
        <v>0</v>
      </c>
      <c r="F239" s="640">
        <v>7.7941116668718937</v>
      </c>
      <c r="G239" s="640">
        <v>17.578475336322871</v>
      </c>
      <c r="H239" s="640">
        <v>1121.3636363636365</v>
      </c>
      <c r="I239" s="640">
        <v>207.57369132422022</v>
      </c>
      <c r="J239" s="649">
        <v>30.869450548245954</v>
      </c>
      <c r="K239" s="649">
        <v>7.6561165469613854</v>
      </c>
      <c r="L239" s="649">
        <v>2.2996832177069302</v>
      </c>
      <c r="M239" s="649">
        <v>0.47494016865067573</v>
      </c>
      <c r="N239" s="649">
        <v>0</v>
      </c>
      <c r="O239" s="649">
        <v>3.0833964576427819</v>
      </c>
      <c r="P239" s="640">
        <v>-607.79183020434141</v>
      </c>
      <c r="Q239" s="640">
        <v>0</v>
      </c>
      <c r="R239" s="640">
        <v>0</v>
      </c>
      <c r="S239" s="648">
        <v>793.72845706694284</v>
      </c>
      <c r="U239" s="646" t="s">
        <v>347</v>
      </c>
      <c r="V239" s="640">
        <v>0.62631490545869017</v>
      </c>
      <c r="W239" s="640">
        <v>0</v>
      </c>
      <c r="X239" s="640">
        <v>3.93047530323553</v>
      </c>
      <c r="Y239" s="640">
        <v>32.755695067264575</v>
      </c>
      <c r="Z239" s="640">
        <v>1024.3939393939395</v>
      </c>
      <c r="AA239" s="640">
        <v>228.1236913242202</v>
      </c>
      <c r="AB239" s="649">
        <v>25.192532039575013</v>
      </c>
      <c r="AC239" s="649">
        <v>7.1226809684101786</v>
      </c>
      <c r="AD239" s="649">
        <v>2.2996832177069302</v>
      </c>
      <c r="AE239" s="649">
        <v>5.010724922013905</v>
      </c>
      <c r="AF239" s="649">
        <v>0</v>
      </c>
      <c r="AG239" s="649">
        <v>3.0833964576427819</v>
      </c>
      <c r="AH239" s="640">
        <v>-605.04183020434141</v>
      </c>
      <c r="AI239" s="640">
        <v>0</v>
      </c>
      <c r="AJ239" s="640">
        <v>1.4249999999999998</v>
      </c>
      <c r="AK239" s="648">
        <v>728.92230339512548</v>
      </c>
    </row>
    <row r="240" spans="3:37" x14ac:dyDescent="0.2">
      <c r="C240" s="646" t="s">
        <v>348</v>
      </c>
      <c r="D240" s="640">
        <v>0</v>
      </c>
      <c r="E240" s="640">
        <v>0</v>
      </c>
      <c r="F240" s="640">
        <v>0</v>
      </c>
      <c r="G240" s="640">
        <v>15.306890454029709</v>
      </c>
      <c r="H240" s="640">
        <v>0</v>
      </c>
      <c r="I240" s="640">
        <v>0</v>
      </c>
      <c r="J240" s="649">
        <v>13.130836985616687</v>
      </c>
      <c r="K240" s="649">
        <v>12.274327089138302</v>
      </c>
      <c r="L240" s="649">
        <v>0</v>
      </c>
      <c r="M240" s="649">
        <v>0.32594257421966627</v>
      </c>
      <c r="N240" s="649">
        <v>0</v>
      </c>
      <c r="O240" s="649">
        <v>2.1777173090422202</v>
      </c>
      <c r="P240" s="640">
        <v>0</v>
      </c>
      <c r="Q240" s="640">
        <v>-38.962978394907431</v>
      </c>
      <c r="R240" s="640">
        <v>0</v>
      </c>
      <c r="S240" s="648">
        <v>4.2527360171391511</v>
      </c>
      <c r="U240" s="646" t="s">
        <v>348</v>
      </c>
      <c r="V240" s="640">
        <v>0</v>
      </c>
      <c r="W240" s="640">
        <v>0</v>
      </c>
      <c r="X240" s="640">
        <v>0</v>
      </c>
      <c r="Y240" s="640">
        <v>16.285163933286896</v>
      </c>
      <c r="Z240" s="640">
        <v>0</v>
      </c>
      <c r="AA240" s="640">
        <v>0</v>
      </c>
      <c r="AB240" s="649">
        <v>27.330859307935192</v>
      </c>
      <c r="AC240" s="649">
        <v>24.40929016388429</v>
      </c>
      <c r="AD240" s="649">
        <v>0</v>
      </c>
      <c r="AE240" s="649">
        <v>2.4469723551258755</v>
      </c>
      <c r="AF240" s="649">
        <v>0</v>
      </c>
      <c r="AG240" s="649">
        <v>7.1814032045118834</v>
      </c>
      <c r="AH240" s="640">
        <v>0</v>
      </c>
      <c r="AI240" s="640">
        <v>-70.686462815005612</v>
      </c>
      <c r="AJ240" s="640">
        <v>0</v>
      </c>
      <c r="AK240" s="648">
        <v>6.967226149738531</v>
      </c>
    </row>
    <row r="241" spans="3:37" x14ac:dyDescent="0.2">
      <c r="C241" s="646" t="s">
        <v>349</v>
      </c>
      <c r="D241" s="640">
        <v>0</v>
      </c>
      <c r="E241" s="640">
        <v>0</v>
      </c>
      <c r="F241" s="640">
        <v>0</v>
      </c>
      <c r="G241" s="640">
        <v>0</v>
      </c>
      <c r="H241" s="640">
        <v>0</v>
      </c>
      <c r="I241" s="640">
        <v>0</v>
      </c>
      <c r="J241" s="650">
        <v>7.549386302639002</v>
      </c>
      <c r="K241" s="650">
        <v>0</v>
      </c>
      <c r="L241" s="650">
        <v>0</v>
      </c>
      <c r="M241" s="650">
        <v>-6.6642207586545794</v>
      </c>
      <c r="N241" s="650">
        <v>0</v>
      </c>
      <c r="O241" s="650">
        <v>0</v>
      </c>
      <c r="P241" s="640">
        <v>0</v>
      </c>
      <c r="Q241" s="640">
        <v>0</v>
      </c>
      <c r="R241" s="640">
        <v>0</v>
      </c>
      <c r="S241" s="648">
        <v>0.8851655439844226</v>
      </c>
      <c r="U241" s="646" t="s">
        <v>349</v>
      </c>
      <c r="V241" s="640">
        <v>0</v>
      </c>
      <c r="W241" s="640">
        <v>0</v>
      </c>
      <c r="X241" s="640">
        <v>0</v>
      </c>
      <c r="Y241" s="640">
        <v>0</v>
      </c>
      <c r="Z241" s="640">
        <v>0</v>
      </c>
      <c r="AA241" s="640">
        <v>0</v>
      </c>
      <c r="AB241" s="650">
        <v>39.489443827479029</v>
      </c>
      <c r="AC241" s="650">
        <v>0</v>
      </c>
      <c r="AD241" s="650">
        <v>0</v>
      </c>
      <c r="AE241" s="650">
        <v>-34.859306538707116</v>
      </c>
      <c r="AF241" s="650">
        <v>0</v>
      </c>
      <c r="AG241" s="650">
        <v>0</v>
      </c>
      <c r="AH241" s="640">
        <v>0</v>
      </c>
      <c r="AI241" s="640">
        <v>0</v>
      </c>
      <c r="AJ241" s="640">
        <v>0</v>
      </c>
      <c r="AK241" s="648">
        <v>4.6301372887719126</v>
      </c>
    </row>
    <row r="242" spans="3:37" x14ac:dyDescent="0.2">
      <c r="C242" s="646" t="s">
        <v>350</v>
      </c>
      <c r="D242" s="640">
        <v>0</v>
      </c>
      <c r="E242" s="640">
        <v>0</v>
      </c>
      <c r="F242" s="640">
        <v>0</v>
      </c>
      <c r="G242" s="640">
        <v>0</v>
      </c>
      <c r="H242" s="640">
        <v>0</v>
      </c>
      <c r="I242" s="640">
        <v>0</v>
      </c>
      <c r="J242" s="640">
        <v>0</v>
      </c>
      <c r="K242" s="640">
        <v>0</v>
      </c>
      <c r="L242" s="640">
        <v>0</v>
      </c>
      <c r="M242" s="640">
        <v>0</v>
      </c>
      <c r="N242" s="640">
        <v>0</v>
      </c>
      <c r="O242" s="640">
        <v>0</v>
      </c>
      <c r="P242" s="640">
        <v>0</v>
      </c>
      <c r="Q242" s="640">
        <v>0</v>
      </c>
      <c r="R242" s="640">
        <v>0</v>
      </c>
      <c r="S242" s="648">
        <v>0</v>
      </c>
      <c r="U242" s="646" t="s">
        <v>350</v>
      </c>
      <c r="V242" s="640">
        <v>0</v>
      </c>
      <c r="W242" s="640">
        <v>0</v>
      </c>
      <c r="X242" s="640">
        <v>0</v>
      </c>
      <c r="Y242" s="640">
        <v>0</v>
      </c>
      <c r="Z242" s="640">
        <v>0</v>
      </c>
      <c r="AA242" s="640">
        <v>0</v>
      </c>
      <c r="AB242" s="640">
        <v>0</v>
      </c>
      <c r="AC242" s="640">
        <v>0</v>
      </c>
      <c r="AD242" s="640">
        <v>0</v>
      </c>
      <c r="AE242" s="640">
        <v>0</v>
      </c>
      <c r="AF242" s="640">
        <v>0</v>
      </c>
      <c r="AG242" s="640">
        <v>0</v>
      </c>
      <c r="AH242" s="640">
        <v>0</v>
      </c>
      <c r="AI242" s="640">
        <v>0</v>
      </c>
      <c r="AJ242" s="640">
        <v>0</v>
      </c>
      <c r="AK242" s="648">
        <v>0</v>
      </c>
    </row>
    <row r="243" spans="3:37" x14ac:dyDescent="0.2">
      <c r="C243" s="646" t="s">
        <v>72</v>
      </c>
      <c r="D243" s="640">
        <v>0</v>
      </c>
      <c r="E243" s="640">
        <v>550.85495716936975</v>
      </c>
      <c r="F243" s="640">
        <v>-545.34640759767603</v>
      </c>
      <c r="G243" s="640">
        <v>0</v>
      </c>
      <c r="H243" s="640">
        <v>0</v>
      </c>
      <c r="I243" s="640">
        <v>0</v>
      </c>
      <c r="J243" s="640">
        <v>0</v>
      </c>
      <c r="K243" s="640">
        <v>0</v>
      </c>
      <c r="L243" s="640">
        <v>0</v>
      </c>
      <c r="M243" s="640">
        <v>0</v>
      </c>
      <c r="N243" s="640">
        <v>0</v>
      </c>
      <c r="O243" s="640">
        <v>0</v>
      </c>
      <c r="P243" s="640">
        <v>0</v>
      </c>
      <c r="Q243" s="640">
        <v>0</v>
      </c>
      <c r="R243" s="640">
        <v>0</v>
      </c>
      <c r="S243" s="648">
        <v>5.5085495716937203</v>
      </c>
      <c r="U243" s="646" t="s">
        <v>72</v>
      </c>
      <c r="V243" s="640">
        <v>0</v>
      </c>
      <c r="W243" s="640">
        <v>386.55581999113582</v>
      </c>
      <c r="X243" s="640">
        <v>-382.69026179122449</v>
      </c>
      <c r="Y243" s="640">
        <v>0</v>
      </c>
      <c r="Z243" s="640">
        <v>0</v>
      </c>
      <c r="AA243" s="640">
        <v>0</v>
      </c>
      <c r="AB243" s="640">
        <v>0</v>
      </c>
      <c r="AC243" s="640">
        <v>0</v>
      </c>
      <c r="AD243" s="640">
        <v>0</v>
      </c>
      <c r="AE243" s="640">
        <v>0</v>
      </c>
      <c r="AF243" s="640">
        <v>0</v>
      </c>
      <c r="AG243" s="640">
        <v>0</v>
      </c>
      <c r="AH243" s="640">
        <v>0</v>
      </c>
      <c r="AI243" s="640">
        <v>0</v>
      </c>
      <c r="AJ243" s="640">
        <v>0</v>
      </c>
      <c r="AK243" s="648">
        <v>3.8655581999113338</v>
      </c>
    </row>
    <row r="244" spans="3:37" x14ac:dyDescent="0.2">
      <c r="C244" s="646" t="s">
        <v>351</v>
      </c>
      <c r="D244" s="640">
        <v>0</v>
      </c>
      <c r="E244" s="640">
        <v>0</v>
      </c>
      <c r="F244" s="640">
        <v>0</v>
      </c>
      <c r="G244" s="640">
        <v>0</v>
      </c>
      <c r="H244" s="640">
        <v>0</v>
      </c>
      <c r="I244" s="640">
        <v>0</v>
      </c>
      <c r="J244" s="640">
        <v>34.694031238964726</v>
      </c>
      <c r="K244" s="640">
        <v>0</v>
      </c>
      <c r="L244" s="640">
        <v>-34.694031238964726</v>
      </c>
      <c r="M244" s="640">
        <v>0</v>
      </c>
      <c r="N244" s="640">
        <v>0</v>
      </c>
      <c r="O244" s="640">
        <v>0</v>
      </c>
      <c r="P244" s="640">
        <v>0</v>
      </c>
      <c r="Q244" s="640">
        <v>0</v>
      </c>
      <c r="R244" s="640">
        <v>0</v>
      </c>
      <c r="S244" s="648">
        <v>0</v>
      </c>
      <c r="U244" s="646" t="s">
        <v>351</v>
      </c>
      <c r="V244" s="640">
        <v>0</v>
      </c>
      <c r="W244" s="640">
        <v>0</v>
      </c>
      <c r="X244" s="640">
        <v>0</v>
      </c>
      <c r="Y244" s="640">
        <v>0</v>
      </c>
      <c r="Z244" s="640">
        <v>0</v>
      </c>
      <c r="AA244" s="640">
        <v>0</v>
      </c>
      <c r="AB244" s="640" t="e">
        <v>#VALUE!</v>
      </c>
      <c r="AC244" s="640">
        <v>0</v>
      </c>
      <c r="AD244" s="640">
        <v>-64.13008508665132</v>
      </c>
      <c r="AE244" s="640">
        <v>0</v>
      </c>
      <c r="AF244" s="640">
        <v>0</v>
      </c>
      <c r="AG244" s="640">
        <v>0</v>
      </c>
      <c r="AH244" s="640">
        <v>0</v>
      </c>
      <c r="AI244" s="640">
        <v>0</v>
      </c>
      <c r="AJ244" s="640">
        <v>0</v>
      </c>
      <c r="AK244" s="648">
        <v>-64.13008508665132</v>
      </c>
    </row>
    <row r="245" spans="3:37" x14ac:dyDescent="0.2">
      <c r="C245" s="646" t="s">
        <v>352</v>
      </c>
      <c r="D245" s="640">
        <v>0</v>
      </c>
      <c r="E245" s="640">
        <v>0</v>
      </c>
      <c r="F245" s="640">
        <v>0</v>
      </c>
      <c r="G245" s="640">
        <v>0</v>
      </c>
      <c r="H245" s="640">
        <v>0</v>
      </c>
      <c r="I245" s="640">
        <v>0</v>
      </c>
      <c r="J245" s="640">
        <v>0</v>
      </c>
      <c r="K245" s="640">
        <v>0</v>
      </c>
      <c r="L245" s="640">
        <v>0</v>
      </c>
      <c r="M245" s="640">
        <v>0</v>
      </c>
      <c r="N245" s="640">
        <v>0</v>
      </c>
      <c r="O245" s="640">
        <v>0</v>
      </c>
      <c r="P245" s="640">
        <v>0</v>
      </c>
      <c r="Q245" s="640">
        <v>0</v>
      </c>
      <c r="R245" s="640">
        <v>0</v>
      </c>
      <c r="S245" s="648">
        <v>0</v>
      </c>
      <c r="U245" s="646" t="s">
        <v>352</v>
      </c>
      <c r="V245" s="640">
        <v>0</v>
      </c>
      <c r="W245" s="640">
        <v>0</v>
      </c>
      <c r="X245" s="640">
        <v>0</v>
      </c>
      <c r="Y245" s="640">
        <v>0</v>
      </c>
      <c r="Z245" s="640">
        <v>0</v>
      </c>
      <c r="AA245" s="640">
        <v>0</v>
      </c>
      <c r="AB245" s="640">
        <v>0</v>
      </c>
      <c r="AC245" s="640">
        <v>0</v>
      </c>
      <c r="AD245" s="640">
        <v>-12.704571841330187</v>
      </c>
      <c r="AE245" s="640">
        <v>0</v>
      </c>
      <c r="AF245" s="640">
        <v>0</v>
      </c>
      <c r="AG245" s="640">
        <v>0</v>
      </c>
      <c r="AH245" s="640">
        <v>0</v>
      </c>
      <c r="AI245" s="640">
        <v>0</v>
      </c>
      <c r="AJ245" s="640">
        <v>0</v>
      </c>
      <c r="AK245" s="648">
        <v>-12.704571841330187</v>
      </c>
    </row>
    <row r="246" spans="3:37" x14ac:dyDescent="0.2">
      <c r="C246" s="646" t="s">
        <v>73</v>
      </c>
      <c r="D246" s="640">
        <v>0</v>
      </c>
      <c r="E246" s="640">
        <v>0</v>
      </c>
      <c r="F246" s="640">
        <v>0</v>
      </c>
      <c r="G246" s="640">
        <v>2.1153211001028303</v>
      </c>
      <c r="H246" s="640">
        <v>0</v>
      </c>
      <c r="I246" s="640">
        <v>0</v>
      </c>
      <c r="J246" s="640">
        <v>0</v>
      </c>
      <c r="K246" s="640">
        <v>2.387711193000305E-2</v>
      </c>
      <c r="L246" s="640">
        <v>0</v>
      </c>
      <c r="M246" s="640">
        <v>4.3169818369445515E-2</v>
      </c>
      <c r="N246" s="640">
        <v>0</v>
      </c>
      <c r="O246" s="640">
        <v>0</v>
      </c>
      <c r="P246" s="640">
        <v>0.21762333659139796</v>
      </c>
      <c r="Q246" s="640">
        <v>0</v>
      </c>
      <c r="R246" s="640">
        <v>-1.6713978351002134</v>
      </c>
      <c r="S246" s="648">
        <v>0.72859353189346332</v>
      </c>
      <c r="U246" s="646" t="s">
        <v>73</v>
      </c>
      <c r="V246" s="640">
        <v>0</v>
      </c>
      <c r="W246" s="640">
        <v>0</v>
      </c>
      <c r="X246" s="640">
        <v>0</v>
      </c>
      <c r="Y246" s="640">
        <v>5.6183676161021641</v>
      </c>
      <c r="Z246" s="640">
        <v>0</v>
      </c>
      <c r="AA246" s="640">
        <v>0</v>
      </c>
      <c r="AB246" s="640">
        <v>0</v>
      </c>
      <c r="AC246" s="640">
        <v>0.19393074509344391</v>
      </c>
      <c r="AD246" s="640">
        <v>0</v>
      </c>
      <c r="AE246" s="640">
        <v>0.83952619550951879</v>
      </c>
      <c r="AF246" s="640">
        <v>0</v>
      </c>
      <c r="AG246" s="640">
        <v>0</v>
      </c>
      <c r="AH246" s="640">
        <v>13.50321720945872</v>
      </c>
      <c r="AI246" s="640">
        <v>0</v>
      </c>
      <c r="AJ246" s="640">
        <v>-13.575152156541073</v>
      </c>
      <c r="AK246" s="648">
        <v>6.579889609622775</v>
      </c>
    </row>
    <row r="247" spans="3:37" x14ac:dyDescent="0.2">
      <c r="C247" s="646" t="s">
        <v>353</v>
      </c>
      <c r="D247" s="640">
        <v>28.669681406249996</v>
      </c>
      <c r="E247" s="640">
        <v>-19.087124265918664</v>
      </c>
      <c r="F247" s="640">
        <v>24.964831154950382</v>
      </c>
      <c r="G247" s="640">
        <v>0</v>
      </c>
      <c r="H247" s="640">
        <v>0</v>
      </c>
      <c r="I247" s="640">
        <v>0</v>
      </c>
      <c r="J247" s="640">
        <v>0</v>
      </c>
      <c r="K247" s="640">
        <v>0</v>
      </c>
      <c r="L247" s="640">
        <v>0</v>
      </c>
      <c r="M247" s="640">
        <v>0</v>
      </c>
      <c r="N247" s="640">
        <v>0</v>
      </c>
      <c r="O247" s="640">
        <v>0</v>
      </c>
      <c r="P247" s="640">
        <v>0</v>
      </c>
      <c r="Q247" s="640">
        <v>0</v>
      </c>
      <c r="R247" s="640">
        <v>0</v>
      </c>
      <c r="S247" s="648">
        <v>34.547388295281714</v>
      </c>
      <c r="U247" s="646" t="s">
        <v>353</v>
      </c>
      <c r="V247" s="640">
        <v>4.3307530517578128</v>
      </c>
      <c r="W247" s="640">
        <v>-13.394159162692858</v>
      </c>
      <c r="X247" s="640">
        <v>17.518769056071054</v>
      </c>
      <c r="Y247" s="640">
        <v>0</v>
      </c>
      <c r="Z247" s="640">
        <v>0</v>
      </c>
      <c r="AA247" s="640">
        <v>0</v>
      </c>
      <c r="AB247" s="640">
        <v>0</v>
      </c>
      <c r="AC247" s="640">
        <v>0</v>
      </c>
      <c r="AD247" s="640">
        <v>0</v>
      </c>
      <c r="AE247" s="640">
        <v>0</v>
      </c>
      <c r="AF247" s="640">
        <v>0</v>
      </c>
      <c r="AG247" s="640">
        <v>0</v>
      </c>
      <c r="AH247" s="640">
        <v>0</v>
      </c>
      <c r="AI247" s="640">
        <v>0</v>
      </c>
      <c r="AJ247" s="640">
        <v>0</v>
      </c>
      <c r="AK247" s="648">
        <v>8.4553629451360095</v>
      </c>
    </row>
    <row r="248" spans="3:37" x14ac:dyDescent="0.2">
      <c r="C248" s="646" t="s">
        <v>75</v>
      </c>
      <c r="D248" s="640">
        <v>11.149320546875</v>
      </c>
      <c r="E248" s="640">
        <v>0</v>
      </c>
      <c r="F248" s="640">
        <v>18.729068543758572</v>
      </c>
      <c r="G248" s="640">
        <v>5.3443947944572248</v>
      </c>
      <c r="H248" s="640">
        <v>0</v>
      </c>
      <c r="I248" s="640">
        <v>0</v>
      </c>
      <c r="J248" s="640">
        <v>0</v>
      </c>
      <c r="K248" s="640">
        <v>0</v>
      </c>
      <c r="L248" s="640">
        <v>0</v>
      </c>
      <c r="M248" s="640">
        <v>0.10906928151953521</v>
      </c>
      <c r="N248" s="640">
        <v>0</v>
      </c>
      <c r="O248" s="640">
        <v>0</v>
      </c>
      <c r="P248" s="640">
        <v>34.631314570260251</v>
      </c>
      <c r="Q248" s="640">
        <v>0</v>
      </c>
      <c r="R248" s="640">
        <v>0</v>
      </c>
      <c r="S248" s="648">
        <v>69.963167736870574</v>
      </c>
      <c r="U248" s="646" t="s">
        <v>75</v>
      </c>
      <c r="V248" s="640">
        <v>4.9205957031249996</v>
      </c>
      <c r="W248" s="640">
        <v>0</v>
      </c>
      <c r="X248" s="640">
        <v>18.729068543758572</v>
      </c>
      <c r="Y248" s="640">
        <v>4.7445137460997815</v>
      </c>
      <c r="Z248" s="640">
        <v>0</v>
      </c>
      <c r="AA248" s="640">
        <v>0</v>
      </c>
      <c r="AB248" s="640">
        <v>0</v>
      </c>
      <c r="AC248" s="640">
        <v>0</v>
      </c>
      <c r="AD248" s="640">
        <v>0</v>
      </c>
      <c r="AE248" s="640">
        <v>0.70895032987697881</v>
      </c>
      <c r="AF248" s="640">
        <v>0</v>
      </c>
      <c r="AG248" s="640">
        <v>0</v>
      </c>
      <c r="AH248" s="640">
        <v>32.716541842987525</v>
      </c>
      <c r="AI248" s="640">
        <v>0</v>
      </c>
      <c r="AJ248" s="640">
        <v>0</v>
      </c>
      <c r="AK248" s="648">
        <v>61.819670165847853</v>
      </c>
    </row>
    <row r="249" spans="3:37" x14ac:dyDescent="0.2">
      <c r="C249" s="646" t="s">
        <v>76</v>
      </c>
      <c r="D249" s="640">
        <v>0</v>
      </c>
      <c r="E249" s="640">
        <v>0</v>
      </c>
      <c r="F249" s="640">
        <v>0</v>
      </c>
      <c r="G249" s="640">
        <v>3.8720966463328983</v>
      </c>
      <c r="H249" s="640">
        <v>0</v>
      </c>
      <c r="I249" s="640">
        <v>0</v>
      </c>
      <c r="J249" s="640">
        <v>0</v>
      </c>
      <c r="K249" s="640">
        <v>0</v>
      </c>
      <c r="L249" s="640">
        <v>0</v>
      </c>
      <c r="M249" s="640">
        <v>7.9022380537406095E-2</v>
      </c>
      <c r="N249" s="640">
        <v>0</v>
      </c>
      <c r="O249" s="640">
        <v>0</v>
      </c>
      <c r="P249" s="640">
        <v>41.938968757160723</v>
      </c>
      <c r="Q249" s="640">
        <v>3.0236871210614171</v>
      </c>
      <c r="R249" s="640">
        <v>0</v>
      </c>
      <c r="S249" s="648">
        <v>48.913774905092438</v>
      </c>
      <c r="U249" s="646" t="s">
        <v>76</v>
      </c>
      <c r="V249" s="640">
        <v>0</v>
      </c>
      <c r="W249" s="640">
        <v>0</v>
      </c>
      <c r="X249" s="640">
        <v>0</v>
      </c>
      <c r="Y249" s="640">
        <v>2.7662751616304524</v>
      </c>
      <c r="Z249" s="640">
        <v>0</v>
      </c>
      <c r="AA249" s="640">
        <v>0</v>
      </c>
      <c r="AB249" s="640">
        <v>0</v>
      </c>
      <c r="AC249" s="640">
        <v>0</v>
      </c>
      <c r="AD249" s="640">
        <v>0</v>
      </c>
      <c r="AE249" s="640">
        <v>0.41335146093328595</v>
      </c>
      <c r="AF249" s="640">
        <v>0</v>
      </c>
      <c r="AG249" s="640">
        <v>0</v>
      </c>
      <c r="AH249" s="640">
        <v>43.009166954325586</v>
      </c>
      <c r="AI249" s="640">
        <v>5.481964511548731</v>
      </c>
      <c r="AJ249" s="640">
        <v>0</v>
      </c>
      <c r="AK249" s="648">
        <v>51.670758088438056</v>
      </c>
    </row>
    <row r="250" spans="3:37" x14ac:dyDescent="0.2">
      <c r="C250" s="644" t="s">
        <v>77</v>
      </c>
      <c r="D250" s="645">
        <v>42.645787594150242</v>
      </c>
      <c r="E250" s="645">
        <v>531.76783290345111</v>
      </c>
      <c r="F250" s="645">
        <v>-493.85839623209517</v>
      </c>
      <c r="G250" s="645">
        <v>44.217178331245535</v>
      </c>
      <c r="H250" s="645">
        <v>1121.3636363636365</v>
      </c>
      <c r="I250" s="645">
        <v>207.57369132422022</v>
      </c>
      <c r="J250" s="645">
        <v>86.243705075466366</v>
      </c>
      <c r="K250" s="645">
        <v>19.954320748029687</v>
      </c>
      <c r="L250" s="645">
        <v>-32.394348021257798</v>
      </c>
      <c r="M250" s="645">
        <v>-5.6320765353578501</v>
      </c>
      <c r="N250" s="645">
        <v>0</v>
      </c>
      <c r="O250" s="645">
        <v>5.2611137666850016</v>
      </c>
      <c r="P250" s="645">
        <v>-531.00392354032908</v>
      </c>
      <c r="Q250" s="645">
        <v>-35.939291273846017</v>
      </c>
      <c r="R250" s="645">
        <v>-1.6713978351002134</v>
      </c>
      <c r="S250" s="645">
        <v>958.52783266889833</v>
      </c>
      <c r="U250" s="644" t="s">
        <v>77</v>
      </c>
      <c r="V250" s="645">
        <v>9.8776636603415024</v>
      </c>
      <c r="W250" s="645">
        <v>373.16166082844296</v>
      </c>
      <c r="X250" s="645">
        <v>-342.51194888815934</v>
      </c>
      <c r="Y250" s="645">
        <v>62.170015524383871</v>
      </c>
      <c r="Z250" s="645">
        <v>1024.3939393939395</v>
      </c>
      <c r="AA250" s="645">
        <v>228.1236913242202</v>
      </c>
      <c r="AB250" s="645">
        <v>92.01283517498922</v>
      </c>
      <c r="AC250" s="645">
        <v>31.725901877387908</v>
      </c>
      <c r="AD250" s="645">
        <v>-74.534973710274585</v>
      </c>
      <c r="AE250" s="645">
        <v>-25.439781275247555</v>
      </c>
      <c r="AF250" s="645">
        <v>0</v>
      </c>
      <c r="AG250" s="645">
        <v>10.264799662154665</v>
      </c>
      <c r="AH250" s="645">
        <v>-515.81290419756954</v>
      </c>
      <c r="AI250" s="645">
        <v>-65.204498303456887</v>
      </c>
      <c r="AJ250" s="645">
        <v>-12.150152156541072</v>
      </c>
      <c r="AK250" s="645">
        <v>796.07624891461057</v>
      </c>
    </row>
    <row r="251" spans="3:37" x14ac:dyDescent="0.2">
      <c r="C251" s="634"/>
      <c r="D251" s="634">
        <v>0</v>
      </c>
      <c r="E251" s="634">
        <v>0</v>
      </c>
      <c r="F251" s="634">
        <v>0</v>
      </c>
      <c r="G251" s="634">
        <v>0</v>
      </c>
      <c r="H251" s="634">
        <v>0</v>
      </c>
      <c r="I251" s="634">
        <v>0</v>
      </c>
      <c r="J251" s="634">
        <v>0</v>
      </c>
      <c r="K251" s="634">
        <v>0</v>
      </c>
      <c r="L251" s="634">
        <v>0</v>
      </c>
      <c r="M251" s="634">
        <v>0</v>
      </c>
      <c r="N251" s="634">
        <v>0</v>
      </c>
      <c r="O251" s="634">
        <v>0</v>
      </c>
      <c r="P251" s="634">
        <v>0</v>
      </c>
      <c r="Q251" s="634">
        <v>0</v>
      </c>
      <c r="R251" s="634">
        <v>0</v>
      </c>
      <c r="S251" s="634">
        <v>0</v>
      </c>
      <c r="U251" s="634"/>
      <c r="V251" s="634">
        <v>0</v>
      </c>
      <c r="W251" s="634">
        <v>0</v>
      </c>
      <c r="X251" s="634">
        <v>0</v>
      </c>
      <c r="Y251" s="634">
        <v>0</v>
      </c>
      <c r="Z251" s="634">
        <v>0</v>
      </c>
      <c r="AA251" s="634">
        <v>0</v>
      </c>
      <c r="AB251" s="634">
        <v>0</v>
      </c>
      <c r="AC251" s="634">
        <v>0</v>
      </c>
      <c r="AD251" s="634">
        <v>0</v>
      </c>
      <c r="AE251" s="634">
        <v>0</v>
      </c>
      <c r="AF251" s="634">
        <v>0</v>
      </c>
      <c r="AG251" s="634">
        <v>0</v>
      </c>
      <c r="AH251" s="634">
        <v>0</v>
      </c>
      <c r="AI251" s="634">
        <v>0</v>
      </c>
      <c r="AJ251" s="634">
        <v>0</v>
      </c>
      <c r="AK251" s="634">
        <v>0</v>
      </c>
    </row>
    <row r="252" spans="3:37" x14ac:dyDescent="0.2">
      <c r="C252" s="646" t="s">
        <v>78</v>
      </c>
      <c r="D252" s="640">
        <v>6.3476756101286895</v>
      </c>
      <c r="E252" s="640">
        <v>0</v>
      </c>
      <c r="F252" s="640">
        <v>23.963924152830415</v>
      </c>
      <c r="G252" s="640">
        <v>102.72602750235836</v>
      </c>
      <c r="H252" s="640">
        <v>0</v>
      </c>
      <c r="I252" s="640">
        <v>0</v>
      </c>
      <c r="J252" s="640">
        <v>19.164817057512749</v>
      </c>
      <c r="K252" s="640">
        <v>1.7769703360109936</v>
      </c>
      <c r="L252" s="640">
        <v>0.86552810351562492</v>
      </c>
      <c r="M252" s="640">
        <v>2.1151614516362294</v>
      </c>
      <c r="N252" s="640">
        <v>0</v>
      </c>
      <c r="O252" s="640">
        <v>3.8147295409713907E-4</v>
      </c>
      <c r="P252" s="640">
        <v>109.69856944385172</v>
      </c>
      <c r="Q252" s="640">
        <v>16.190109766233334</v>
      </c>
      <c r="R252" s="640">
        <v>0.34118215942382812</v>
      </c>
      <c r="S252" s="648">
        <v>283.19034705645606</v>
      </c>
      <c r="U252" s="646" t="s">
        <v>78</v>
      </c>
      <c r="V252" s="640">
        <v>0.96947057486293287</v>
      </c>
      <c r="W252" s="640">
        <v>0</v>
      </c>
      <c r="X252" s="640">
        <v>14.423852836289303</v>
      </c>
      <c r="Y252" s="640">
        <v>71.911931163769523</v>
      </c>
      <c r="Z252" s="640">
        <v>0</v>
      </c>
      <c r="AA252" s="640">
        <v>0</v>
      </c>
      <c r="AB252" s="640">
        <v>16.641526349557349</v>
      </c>
      <c r="AC252" s="640">
        <v>5.8374337597773929</v>
      </c>
      <c r="AD252" s="640">
        <v>1.8190377949218752</v>
      </c>
      <c r="AE252" s="640">
        <v>10.764172889266069</v>
      </c>
      <c r="AF252" s="640">
        <v>0</v>
      </c>
      <c r="AG252" s="640">
        <v>3.8147295409713907E-4</v>
      </c>
      <c r="AH252" s="640">
        <v>133.35975359263318</v>
      </c>
      <c r="AI252" s="640">
        <v>21.024156518221293</v>
      </c>
      <c r="AJ252" s="640">
        <v>5.3802006835937499</v>
      </c>
      <c r="AK252" s="648">
        <v>282.13191763584672</v>
      </c>
    </row>
    <row r="253" spans="3:37" x14ac:dyDescent="0.2">
      <c r="C253" s="646" t="s">
        <v>79</v>
      </c>
      <c r="D253" s="640">
        <v>0</v>
      </c>
      <c r="E253" s="640">
        <v>0</v>
      </c>
      <c r="F253" s="640">
        <v>312.50052508879821</v>
      </c>
      <c r="G253" s="640">
        <v>20.28727706696608</v>
      </c>
      <c r="H253" s="640">
        <v>0</v>
      </c>
      <c r="I253" s="640">
        <v>0</v>
      </c>
      <c r="J253" s="640">
        <v>0</v>
      </c>
      <c r="K253" s="640">
        <v>0</v>
      </c>
      <c r="L253" s="640">
        <v>30.35479180755361</v>
      </c>
      <c r="M253" s="640">
        <v>0.41402606259114449</v>
      </c>
      <c r="N253" s="640">
        <v>0</v>
      </c>
      <c r="O253" s="640">
        <v>0</v>
      </c>
      <c r="P253" s="640">
        <v>40.087101502259863</v>
      </c>
      <c r="Q253" s="640">
        <v>0</v>
      </c>
      <c r="R253" s="640">
        <v>0.80956479691939642</v>
      </c>
      <c r="S253" s="648">
        <v>404.45328632508824</v>
      </c>
      <c r="U253" s="646" t="s">
        <v>79</v>
      </c>
      <c r="V253" s="640">
        <v>0</v>
      </c>
      <c r="W253" s="640">
        <v>0</v>
      </c>
      <c r="X253" s="640">
        <v>200.27592241910855</v>
      </c>
      <c r="Y253" s="640">
        <v>16.649550205830046</v>
      </c>
      <c r="Z253" s="640">
        <v>0</v>
      </c>
      <c r="AA253" s="640">
        <v>0</v>
      </c>
      <c r="AB253" s="640">
        <v>0</v>
      </c>
      <c r="AC253" s="640">
        <v>0</v>
      </c>
      <c r="AD253" s="640">
        <v>44.40579181284334</v>
      </c>
      <c r="AE253" s="640">
        <v>2.5923432302996523</v>
      </c>
      <c r="AF253" s="640">
        <v>0</v>
      </c>
      <c r="AG253" s="640">
        <v>0</v>
      </c>
      <c r="AH253" s="640">
        <v>50.411052136241274</v>
      </c>
      <c r="AI253" s="640">
        <v>0</v>
      </c>
      <c r="AJ253" s="640">
        <v>1.5849058336758</v>
      </c>
      <c r="AK253" s="648">
        <v>315.91956563799869</v>
      </c>
    </row>
    <row r="254" spans="3:37" x14ac:dyDescent="0.2">
      <c r="C254" s="646" t="s">
        <v>80</v>
      </c>
      <c r="D254" s="640">
        <v>0</v>
      </c>
      <c r="E254" s="640">
        <v>0</v>
      </c>
      <c r="F254" s="640">
        <v>27.223306395871116</v>
      </c>
      <c r="G254" s="640">
        <v>94.787807272791255</v>
      </c>
      <c r="H254" s="640">
        <v>0</v>
      </c>
      <c r="I254" s="640">
        <v>0</v>
      </c>
      <c r="J254" s="640">
        <v>83.273177408961004</v>
      </c>
      <c r="K254" s="640">
        <v>0</v>
      </c>
      <c r="L254" s="640">
        <v>0</v>
      </c>
      <c r="M254" s="640">
        <v>1.9344450463834952</v>
      </c>
      <c r="N254" s="640">
        <v>46.067590504591024</v>
      </c>
      <c r="O254" s="640">
        <v>1.9582561857397398</v>
      </c>
      <c r="P254" s="640">
        <v>180.22551264292704</v>
      </c>
      <c r="Q254" s="640">
        <v>15.690776641240536</v>
      </c>
      <c r="R254" s="640">
        <v>0</v>
      </c>
      <c r="S254" s="648">
        <v>451.16087209850519</v>
      </c>
      <c r="U254" s="646" t="s">
        <v>80</v>
      </c>
      <c r="V254" s="640">
        <v>0</v>
      </c>
      <c r="W254" s="640">
        <v>0</v>
      </c>
      <c r="X254" s="640">
        <v>2.015713666762446</v>
      </c>
      <c r="Y254" s="640">
        <v>47.341776252628989</v>
      </c>
      <c r="Z254" s="640">
        <v>0</v>
      </c>
      <c r="AA254" s="640">
        <v>0</v>
      </c>
      <c r="AB254" s="640">
        <v>73.879452654225247</v>
      </c>
      <c r="AC254" s="640">
        <v>0</v>
      </c>
      <c r="AD254" s="640">
        <v>0</v>
      </c>
      <c r="AE254" s="640">
        <v>7.0740585205077799</v>
      </c>
      <c r="AF254" s="640">
        <v>56.247445771865117</v>
      </c>
      <c r="AG254" s="640">
        <v>2.3917818193760598</v>
      </c>
      <c r="AH254" s="640">
        <v>158.99417861004727</v>
      </c>
      <c r="AI254" s="640">
        <v>34.672503342788303</v>
      </c>
      <c r="AJ254" s="640">
        <v>0</v>
      </c>
      <c r="AK254" s="648">
        <v>382.61691063820126</v>
      </c>
    </row>
    <row r="255" spans="3:37" x14ac:dyDescent="0.2">
      <c r="C255" s="646" t="s">
        <v>81</v>
      </c>
      <c r="D255" s="640">
        <v>0</v>
      </c>
      <c r="E255" s="640">
        <v>0</v>
      </c>
      <c r="F255" s="640">
        <v>10.721858440723695</v>
      </c>
      <c r="G255" s="640">
        <v>62.595656083836779</v>
      </c>
      <c r="H255" s="640">
        <v>0</v>
      </c>
      <c r="I255" s="640">
        <v>0</v>
      </c>
      <c r="J255" s="640">
        <v>3.4596715414798309</v>
      </c>
      <c r="K255" s="640">
        <v>2.5030873755322387E-2</v>
      </c>
      <c r="L255" s="640">
        <v>0</v>
      </c>
      <c r="M255" s="640">
        <v>1.2774623690578935</v>
      </c>
      <c r="N255" s="640">
        <v>8.3421239681836319</v>
      </c>
      <c r="O255" s="640">
        <v>0.80110714509903691</v>
      </c>
      <c r="P255" s="640">
        <v>133.46461699259584</v>
      </c>
      <c r="Q255" s="640">
        <v>4.0584048663721433</v>
      </c>
      <c r="R255" s="640">
        <v>0</v>
      </c>
      <c r="S255" s="648">
        <v>224.74593228110413</v>
      </c>
      <c r="U255" s="646" t="s">
        <v>81</v>
      </c>
      <c r="V255" s="640">
        <v>0</v>
      </c>
      <c r="W255" s="640">
        <v>0</v>
      </c>
      <c r="X255" s="640">
        <v>3.1096233693990798</v>
      </c>
      <c r="Y255" s="640">
        <v>32.055438404613625</v>
      </c>
      <c r="Z255" s="640">
        <v>0</v>
      </c>
      <c r="AA255" s="640">
        <v>0</v>
      </c>
      <c r="AB255" s="640">
        <v>7.6606579921523004</v>
      </c>
      <c r="AC255" s="640">
        <v>2.5030873755322387E-2</v>
      </c>
      <c r="AD255" s="640">
        <v>0</v>
      </c>
      <c r="AE255" s="640">
        <v>4.7898930949422658</v>
      </c>
      <c r="AF255" s="640">
        <v>14.251121986476408</v>
      </c>
      <c r="AG255" s="640">
        <v>1.7168402703934114</v>
      </c>
      <c r="AH255" s="640">
        <v>121.34906004798763</v>
      </c>
      <c r="AI255" s="640">
        <v>9.5078384424472873</v>
      </c>
      <c r="AJ255" s="640">
        <v>0</v>
      </c>
      <c r="AK255" s="648">
        <v>194.46550448216732</v>
      </c>
    </row>
    <row r="256" spans="3:37" x14ac:dyDescent="0.2">
      <c r="C256" s="646" t="s">
        <v>82</v>
      </c>
      <c r="D256" s="640">
        <v>0</v>
      </c>
      <c r="E256" s="640">
        <v>0</v>
      </c>
      <c r="F256" s="640">
        <v>32.13207144146056</v>
      </c>
      <c r="G256" s="640">
        <v>1.9328709168763656</v>
      </c>
      <c r="H256" s="640">
        <v>0</v>
      </c>
      <c r="I256" s="640">
        <v>0</v>
      </c>
      <c r="J256" s="640">
        <v>2.05899706998358</v>
      </c>
      <c r="K256" s="640">
        <v>0</v>
      </c>
      <c r="L256" s="640">
        <v>2.6244824682898504</v>
      </c>
      <c r="M256" s="640">
        <v>3.9446345242374808E-2</v>
      </c>
      <c r="N256" s="640">
        <v>0</v>
      </c>
      <c r="O256" s="640">
        <v>8.070345812558942E-2</v>
      </c>
      <c r="P256" s="640">
        <v>7.3892266408052469</v>
      </c>
      <c r="Q256" s="640">
        <v>0</v>
      </c>
      <c r="R256" s="640">
        <v>0</v>
      </c>
      <c r="S256" s="648">
        <v>46.257798340783566</v>
      </c>
      <c r="U256" s="646" t="s">
        <v>82</v>
      </c>
      <c r="V256" s="640">
        <v>0</v>
      </c>
      <c r="W256" s="640">
        <v>0</v>
      </c>
      <c r="X256" s="640">
        <v>22.167558461996123</v>
      </c>
      <c r="Y256" s="640">
        <v>2.0916118720237509</v>
      </c>
      <c r="Z256" s="640">
        <v>0</v>
      </c>
      <c r="AA256" s="640">
        <v>0</v>
      </c>
      <c r="AB256" s="640">
        <v>2.05899706998358</v>
      </c>
      <c r="AC256" s="640">
        <v>0</v>
      </c>
      <c r="AD256" s="640">
        <v>14.821446231272425</v>
      </c>
      <c r="AE256" s="640">
        <v>0.31253970501504325</v>
      </c>
      <c r="AF256" s="640">
        <v>0</v>
      </c>
      <c r="AG256" s="640">
        <v>0.82781531321025892</v>
      </c>
      <c r="AH256" s="640">
        <v>7.4491158726448985</v>
      </c>
      <c r="AI256" s="640">
        <v>0</v>
      </c>
      <c r="AJ256" s="640">
        <v>0.21911019493558448</v>
      </c>
      <c r="AK256" s="648">
        <v>49.948194721081656</v>
      </c>
    </row>
    <row r="257" spans="3:37" x14ac:dyDescent="0.2">
      <c r="C257" s="646" t="s">
        <v>354</v>
      </c>
      <c r="D257" s="640">
        <v>0</v>
      </c>
      <c r="E257" s="640">
        <v>0</v>
      </c>
      <c r="F257" s="640">
        <v>0</v>
      </c>
      <c r="G257" s="640">
        <v>0</v>
      </c>
      <c r="H257" s="640">
        <v>0</v>
      </c>
      <c r="I257" s="640">
        <v>0</v>
      </c>
      <c r="J257" s="640">
        <v>0</v>
      </c>
      <c r="K257" s="640">
        <v>0</v>
      </c>
      <c r="L257" s="640">
        <v>0</v>
      </c>
      <c r="M257" s="640">
        <v>0</v>
      </c>
      <c r="N257" s="640">
        <v>0</v>
      </c>
      <c r="O257" s="640">
        <v>0</v>
      </c>
      <c r="P257" s="640">
        <v>0.13500000000000001</v>
      </c>
      <c r="Q257" s="640">
        <v>0</v>
      </c>
      <c r="R257" s="640">
        <v>0</v>
      </c>
      <c r="S257" s="648">
        <v>0.13500000000000001</v>
      </c>
      <c r="U257" s="646" t="s">
        <v>354</v>
      </c>
      <c r="V257" s="640">
        <v>0</v>
      </c>
      <c r="W257" s="640">
        <v>0</v>
      </c>
      <c r="X257" s="640">
        <v>0</v>
      </c>
      <c r="Y257" s="640">
        <v>0</v>
      </c>
      <c r="Z257" s="640">
        <v>0</v>
      </c>
      <c r="AA257" s="640">
        <v>0</v>
      </c>
      <c r="AB257" s="640">
        <v>0</v>
      </c>
      <c r="AC257" s="640">
        <v>0</v>
      </c>
      <c r="AD257" s="640">
        <v>0</v>
      </c>
      <c r="AE257" s="640">
        <v>0</v>
      </c>
      <c r="AF257" s="640">
        <v>0</v>
      </c>
      <c r="AG257" s="640">
        <v>0</v>
      </c>
      <c r="AH257" s="640">
        <v>0.96</v>
      </c>
      <c r="AI257" s="640">
        <v>0</v>
      </c>
      <c r="AJ257" s="640">
        <v>0</v>
      </c>
      <c r="AK257" s="648">
        <v>0.96</v>
      </c>
    </row>
    <row r="258" spans="3:37" x14ac:dyDescent="0.2">
      <c r="C258" s="644" t="s">
        <v>83</v>
      </c>
      <c r="D258" s="645">
        <v>6.3476756101286895</v>
      </c>
      <c r="E258" s="645">
        <v>0</v>
      </c>
      <c r="F258" s="645">
        <v>406.54168551968399</v>
      </c>
      <c r="G258" s="645">
        <v>282.32963884282884</v>
      </c>
      <c r="H258" s="645">
        <v>0</v>
      </c>
      <c r="I258" s="645">
        <v>0</v>
      </c>
      <c r="J258" s="645">
        <v>107.95666307793715</v>
      </c>
      <c r="K258" s="645">
        <v>1.8020012097663161</v>
      </c>
      <c r="L258" s="645">
        <v>33.844802379359088</v>
      </c>
      <c r="M258" s="645">
        <v>5.7805412749111369</v>
      </c>
      <c r="N258" s="645">
        <v>54.409714472774652</v>
      </c>
      <c r="O258" s="645">
        <v>2.8404482619184632</v>
      </c>
      <c r="P258" s="645">
        <v>471.00002722243971</v>
      </c>
      <c r="Q258" s="645">
        <v>35.93929127384601</v>
      </c>
      <c r="R258" s="645">
        <v>1.1507469563432244</v>
      </c>
      <c r="S258" s="645">
        <v>1409.9432361019371</v>
      </c>
      <c r="U258" s="644" t="s">
        <v>83</v>
      </c>
      <c r="V258" s="645">
        <v>0.96947057486293287</v>
      </c>
      <c r="W258" s="645">
        <v>0</v>
      </c>
      <c r="X258" s="645">
        <v>241.9926707535555</v>
      </c>
      <c r="Y258" s="645">
        <v>170.05030789886592</v>
      </c>
      <c r="Z258" s="645">
        <v>0</v>
      </c>
      <c r="AA258" s="645">
        <v>0</v>
      </c>
      <c r="AB258" s="645">
        <v>100.24063406591846</v>
      </c>
      <c r="AC258" s="645">
        <v>5.8624646335327153</v>
      </c>
      <c r="AD258" s="645">
        <v>61.046275839037641</v>
      </c>
      <c r="AE258" s="645">
        <v>25.533007440030815</v>
      </c>
      <c r="AF258" s="645">
        <v>70.498567758341522</v>
      </c>
      <c r="AG258" s="645">
        <v>4.9368188759338274</v>
      </c>
      <c r="AH258" s="645">
        <v>472.52316025955423</v>
      </c>
      <c r="AI258" s="645">
        <v>65.204498303456901</v>
      </c>
      <c r="AJ258" s="645">
        <v>7.184216712205135</v>
      </c>
      <c r="AK258" s="645">
        <v>1226.0420931152958</v>
      </c>
    </row>
    <row r="259" spans="3:37" x14ac:dyDescent="0.2">
      <c r="C259" s="639" t="s">
        <v>84</v>
      </c>
      <c r="D259" s="640">
        <v>0</v>
      </c>
      <c r="E259" s="640">
        <v>0</v>
      </c>
      <c r="F259" s="640">
        <v>117.0773058539918</v>
      </c>
      <c r="G259" s="640">
        <v>12.185345647681713</v>
      </c>
      <c r="H259" s="640">
        <v>0</v>
      </c>
      <c r="I259" s="640">
        <v>0</v>
      </c>
      <c r="J259" s="640">
        <v>0</v>
      </c>
      <c r="K259" s="640">
        <v>0</v>
      </c>
      <c r="L259" s="640">
        <v>0</v>
      </c>
      <c r="M259" s="640">
        <v>0</v>
      </c>
      <c r="N259" s="640">
        <v>0</v>
      </c>
      <c r="O259" s="640">
        <v>0</v>
      </c>
      <c r="P259" s="640">
        <v>0</v>
      </c>
      <c r="Q259" s="640">
        <v>0</v>
      </c>
      <c r="R259" s="640">
        <v>0.52065087875698901</v>
      </c>
      <c r="S259" s="648">
        <v>129.78330238043051</v>
      </c>
      <c r="U259" s="639" t="s">
        <v>84</v>
      </c>
      <c r="V259" s="640">
        <v>0</v>
      </c>
      <c r="W259" s="640">
        <v>0</v>
      </c>
      <c r="X259" s="640">
        <v>106.669872568297</v>
      </c>
      <c r="Y259" s="640">
        <v>1.6020598461664441</v>
      </c>
      <c r="Z259" s="640">
        <v>0</v>
      </c>
      <c r="AA259" s="640">
        <v>0</v>
      </c>
      <c r="AB259" s="640">
        <v>0</v>
      </c>
      <c r="AC259" s="640">
        <v>0</v>
      </c>
      <c r="AD259" s="640">
        <v>6.1061434912109362</v>
      </c>
      <c r="AE259" s="640">
        <v>0</v>
      </c>
      <c r="AF259" s="640">
        <v>0</v>
      </c>
      <c r="AG259" s="640">
        <v>0</v>
      </c>
      <c r="AH259" s="640">
        <v>0</v>
      </c>
      <c r="AI259" s="640">
        <v>0</v>
      </c>
      <c r="AJ259" s="640">
        <v>4.9659354443359369</v>
      </c>
      <c r="AK259" s="648">
        <v>119.34401135001032</v>
      </c>
    </row>
    <row r="260" spans="3:37" x14ac:dyDescent="0.2">
      <c r="C260" s="644" t="s">
        <v>85</v>
      </c>
      <c r="D260" s="645">
        <v>6.3476756101286895</v>
      </c>
      <c r="E260" s="645">
        <v>0</v>
      </c>
      <c r="F260" s="645">
        <v>523.61899137367573</v>
      </c>
      <c r="G260" s="645">
        <v>294.51498449051053</v>
      </c>
      <c r="H260" s="645">
        <v>0</v>
      </c>
      <c r="I260" s="645">
        <v>0</v>
      </c>
      <c r="J260" s="645">
        <v>107.95666307793715</v>
      </c>
      <c r="K260" s="645">
        <v>1.8020012097663161</v>
      </c>
      <c r="L260" s="645">
        <v>33.844802379359088</v>
      </c>
      <c r="M260" s="645">
        <v>5.7805412749111369</v>
      </c>
      <c r="N260" s="645">
        <v>54.409714472774652</v>
      </c>
      <c r="O260" s="645">
        <v>2.8404482619184632</v>
      </c>
      <c r="P260" s="645">
        <v>471.00002722243971</v>
      </c>
      <c r="Q260" s="645">
        <v>35.93929127384601</v>
      </c>
      <c r="R260" s="645">
        <v>1.6713978351002134</v>
      </c>
      <c r="S260" s="645">
        <v>1539.7265384823679</v>
      </c>
      <c r="U260" s="644" t="s">
        <v>85</v>
      </c>
      <c r="V260" s="645">
        <v>0.96947057486293287</v>
      </c>
      <c r="W260" s="645">
        <v>0</v>
      </c>
      <c r="X260" s="645">
        <v>348.66254332185252</v>
      </c>
      <c r="Y260" s="645">
        <v>171.65236774503236</v>
      </c>
      <c r="Z260" s="645">
        <v>0</v>
      </c>
      <c r="AA260" s="645">
        <v>0</v>
      </c>
      <c r="AB260" s="645">
        <v>100.24063406591846</v>
      </c>
      <c r="AC260" s="645">
        <v>5.8624646335327153</v>
      </c>
      <c r="AD260" s="645">
        <v>67.152419330248577</v>
      </c>
      <c r="AE260" s="645">
        <v>25.533007440030815</v>
      </c>
      <c r="AF260" s="645">
        <v>70.498567758341522</v>
      </c>
      <c r="AG260" s="645">
        <v>4.9368188759338274</v>
      </c>
      <c r="AH260" s="645">
        <v>472.52316025955423</v>
      </c>
      <c r="AI260" s="645">
        <v>65.204498303456901</v>
      </c>
      <c r="AJ260" s="645">
        <v>12.150152156541072</v>
      </c>
      <c r="AK260" s="645">
        <v>1345.3861044653063</v>
      </c>
    </row>
    <row r="261" spans="3:37" x14ac:dyDescent="0.2">
      <c r="C261" s="634"/>
      <c r="D261" s="634"/>
      <c r="E261" s="634"/>
      <c r="F261" s="634"/>
      <c r="G261" s="634"/>
      <c r="H261" s="634"/>
      <c r="I261" s="634"/>
      <c r="J261" s="634"/>
      <c r="K261" s="634"/>
      <c r="L261" s="634"/>
      <c r="M261" s="634"/>
      <c r="N261" s="634"/>
      <c r="O261" s="634"/>
      <c r="P261" s="634"/>
      <c r="Q261" s="634"/>
      <c r="R261" s="634"/>
      <c r="S261" s="634"/>
      <c r="U261" s="634"/>
      <c r="V261" s="634"/>
      <c r="W261" s="634"/>
      <c r="X261" s="634"/>
      <c r="Y261" s="634"/>
      <c r="Z261" s="634"/>
      <c r="AA261" s="634"/>
      <c r="AB261" s="634"/>
      <c r="AC261" s="634"/>
      <c r="AD261" s="634"/>
      <c r="AE261" s="634"/>
      <c r="AF261" s="634"/>
      <c r="AG261" s="634"/>
      <c r="AH261" s="634"/>
      <c r="AI261" s="634"/>
      <c r="AJ261" s="634"/>
      <c r="AK261" s="634"/>
    </row>
    <row r="262" spans="3:37" ht="22.5" x14ac:dyDescent="0.3">
      <c r="C262" s="759" t="s">
        <v>358</v>
      </c>
      <c r="D262" s="759"/>
      <c r="E262" s="759"/>
      <c r="F262" s="759"/>
      <c r="G262" s="759"/>
      <c r="H262" s="759"/>
      <c r="I262" s="759"/>
      <c r="J262" s="759"/>
      <c r="K262" s="759"/>
      <c r="L262" s="759"/>
      <c r="M262" s="759"/>
      <c r="N262" s="759"/>
      <c r="O262" s="759"/>
      <c r="P262" s="759"/>
      <c r="Q262" s="759"/>
      <c r="R262" s="759"/>
      <c r="S262" s="759"/>
      <c r="U262" s="759" t="s">
        <v>358</v>
      </c>
      <c r="V262" s="759"/>
      <c r="W262" s="759"/>
      <c r="X262" s="759"/>
      <c r="Y262" s="759"/>
      <c r="Z262" s="759"/>
      <c r="AA262" s="759"/>
      <c r="AB262" s="759"/>
      <c r="AC262" s="759"/>
      <c r="AD262" s="759"/>
      <c r="AE262" s="759"/>
      <c r="AF262" s="759"/>
      <c r="AG262" s="759"/>
      <c r="AH262" s="759"/>
      <c r="AI262" s="759"/>
      <c r="AJ262" s="759"/>
      <c r="AK262" s="759"/>
    </row>
    <row r="263" spans="3:37" x14ac:dyDescent="0.2">
      <c r="C263" s="634"/>
      <c r="D263" s="634"/>
      <c r="E263" s="634"/>
      <c r="F263" s="634"/>
      <c r="G263" s="634"/>
      <c r="H263" s="634"/>
      <c r="I263" s="634"/>
      <c r="J263" s="634"/>
      <c r="K263" s="634"/>
      <c r="L263" s="634"/>
      <c r="M263" s="634"/>
      <c r="N263" s="634"/>
      <c r="O263" s="634"/>
      <c r="P263" s="634"/>
      <c r="Q263" s="634"/>
      <c r="R263" s="634"/>
      <c r="S263" s="634"/>
      <c r="U263" s="634"/>
      <c r="V263" s="634"/>
      <c r="W263" s="634"/>
      <c r="X263" s="634"/>
      <c r="Y263" s="634"/>
      <c r="Z263" s="634"/>
      <c r="AA263" s="634"/>
      <c r="AB263" s="634"/>
      <c r="AC263" s="634"/>
      <c r="AD263" s="634"/>
      <c r="AE263" s="634"/>
      <c r="AF263" s="634"/>
      <c r="AG263" s="634"/>
      <c r="AH263" s="634"/>
      <c r="AI263" s="634"/>
      <c r="AJ263" s="634"/>
      <c r="AK263" s="634"/>
    </row>
    <row r="264" spans="3:37" ht="12.95" customHeight="1" x14ac:dyDescent="0.2">
      <c r="C264" s="758" t="s">
        <v>128</v>
      </c>
      <c r="D264" s="757" t="s">
        <v>42</v>
      </c>
      <c r="E264" s="757" t="s">
        <v>52</v>
      </c>
      <c r="F264" s="757" t="s">
        <v>53</v>
      </c>
      <c r="G264" s="757" t="s">
        <v>32</v>
      </c>
      <c r="H264" s="757" t="s">
        <v>20</v>
      </c>
      <c r="I264" s="757" t="s">
        <v>55</v>
      </c>
      <c r="J264" s="757" t="s">
        <v>56</v>
      </c>
      <c r="K264" s="757"/>
      <c r="L264" s="757"/>
      <c r="M264" s="757"/>
      <c r="N264" s="757"/>
      <c r="O264" s="757"/>
      <c r="P264" s="757" t="s">
        <v>57</v>
      </c>
      <c r="Q264" s="757" t="s">
        <v>58</v>
      </c>
      <c r="R264" s="757" t="s">
        <v>31</v>
      </c>
      <c r="S264" s="757" t="s">
        <v>10</v>
      </c>
      <c r="U264" s="758" t="s">
        <v>128</v>
      </c>
      <c r="V264" s="757" t="s">
        <v>42</v>
      </c>
      <c r="W264" s="757" t="s">
        <v>52</v>
      </c>
      <c r="X264" s="757" t="s">
        <v>53</v>
      </c>
      <c r="Y264" s="757" t="s">
        <v>32</v>
      </c>
      <c r="Z264" s="757" t="s">
        <v>20</v>
      </c>
      <c r="AA264" s="757" t="s">
        <v>55</v>
      </c>
      <c r="AB264" s="757" t="s">
        <v>56</v>
      </c>
      <c r="AC264" s="757"/>
      <c r="AD264" s="757"/>
      <c r="AE264" s="757"/>
      <c r="AF264" s="757"/>
      <c r="AG264" s="757"/>
      <c r="AH264" s="757" t="s">
        <v>57</v>
      </c>
      <c r="AI264" s="757" t="s">
        <v>58</v>
      </c>
      <c r="AJ264" s="757" t="s">
        <v>31</v>
      </c>
      <c r="AK264" s="757" t="s">
        <v>10</v>
      </c>
    </row>
    <row r="265" spans="3:37" ht="56.25" x14ac:dyDescent="0.2">
      <c r="C265" s="758"/>
      <c r="D265" s="757"/>
      <c r="E265" s="757"/>
      <c r="F265" s="757"/>
      <c r="G265" s="757"/>
      <c r="H265" s="757"/>
      <c r="I265" s="757"/>
      <c r="J265" s="638" t="s">
        <v>335</v>
      </c>
      <c r="K265" s="638" t="s">
        <v>40</v>
      </c>
      <c r="L265" s="638" t="s">
        <v>343</v>
      </c>
      <c r="M265" s="638" t="s">
        <v>344</v>
      </c>
      <c r="N265" s="638" t="s">
        <v>345</v>
      </c>
      <c r="O265" s="638" t="s">
        <v>346</v>
      </c>
      <c r="P265" s="757"/>
      <c r="Q265" s="757"/>
      <c r="R265" s="757"/>
      <c r="S265" s="757"/>
      <c r="U265" s="758"/>
      <c r="V265" s="757"/>
      <c r="W265" s="757"/>
      <c r="X265" s="757"/>
      <c r="Y265" s="757"/>
      <c r="Z265" s="757"/>
      <c r="AA265" s="757"/>
      <c r="AB265" s="638" t="s">
        <v>335</v>
      </c>
      <c r="AC265" s="638" t="s">
        <v>40</v>
      </c>
      <c r="AD265" s="638" t="s">
        <v>343</v>
      </c>
      <c r="AE265" s="638" t="s">
        <v>344</v>
      </c>
      <c r="AF265" s="638" t="s">
        <v>345</v>
      </c>
      <c r="AG265" s="638" t="s">
        <v>346</v>
      </c>
      <c r="AH265" s="757"/>
      <c r="AI265" s="757"/>
      <c r="AJ265" s="757"/>
      <c r="AK265" s="757"/>
    </row>
    <row r="266" spans="3:37" x14ac:dyDescent="0.2">
      <c r="C266" s="639" t="s">
        <v>59</v>
      </c>
      <c r="D266" s="640">
        <v>0</v>
      </c>
      <c r="E266" s="641">
        <v>5.8150000000000004</v>
      </c>
      <c r="F266" s="641">
        <v>0</v>
      </c>
      <c r="G266" s="640">
        <v>9.3040000000000012E-2</v>
      </c>
      <c r="H266" s="641">
        <v>1075.0000000000002</v>
      </c>
      <c r="I266" s="641">
        <v>224.13674723416887</v>
      </c>
      <c r="J266" s="641">
        <v>191.59942379122555</v>
      </c>
      <c r="K266" s="641">
        <v>21.432553878964274</v>
      </c>
      <c r="L266" s="641">
        <v>0.38158375751522683</v>
      </c>
      <c r="M266" s="641">
        <v>0.1566638564915529</v>
      </c>
      <c r="N266" s="641">
        <v>57.826394702164251</v>
      </c>
      <c r="O266" s="641">
        <v>8.0717549324466145</v>
      </c>
      <c r="P266" s="642">
        <v>0</v>
      </c>
      <c r="Q266" s="641">
        <v>0</v>
      </c>
      <c r="R266" s="641">
        <v>0</v>
      </c>
      <c r="S266" s="643">
        <v>1584.5131621529763</v>
      </c>
      <c r="U266" s="639" t="s">
        <v>59</v>
      </c>
      <c r="V266" s="640">
        <v>0</v>
      </c>
      <c r="W266" s="641">
        <v>5.8150000000000004</v>
      </c>
      <c r="X266" s="641">
        <v>0</v>
      </c>
      <c r="Y266" s="640">
        <v>9.3040000000000012E-2</v>
      </c>
      <c r="Z266" s="641">
        <v>994.39393939393949</v>
      </c>
      <c r="AA266" s="641">
        <v>248.70674723416883</v>
      </c>
      <c r="AB266" s="641">
        <v>191.76566332259941</v>
      </c>
      <c r="AC266" s="641">
        <v>38.031253697312572</v>
      </c>
      <c r="AD266" s="641">
        <v>0.38158375751522683</v>
      </c>
      <c r="AE266" s="641">
        <v>0.1566638564915529</v>
      </c>
      <c r="AF266" s="641">
        <v>76.992812580470769</v>
      </c>
      <c r="AG266" s="641">
        <v>16.738826185514363</v>
      </c>
      <c r="AH266" s="642">
        <v>0</v>
      </c>
      <c r="AI266" s="641">
        <v>0</v>
      </c>
      <c r="AJ266" s="641">
        <v>0</v>
      </c>
      <c r="AK266" s="643">
        <v>1573.0755300280123</v>
      </c>
    </row>
    <row r="267" spans="3:37" x14ac:dyDescent="0.2">
      <c r="C267" s="639" t="s">
        <v>60</v>
      </c>
      <c r="D267" s="640">
        <v>48.827265231041785</v>
      </c>
      <c r="E267" s="641">
        <v>518.07410535010388</v>
      </c>
      <c r="F267" s="641">
        <v>107.87457071926454</v>
      </c>
      <c r="G267" s="640">
        <v>335.04873882059013</v>
      </c>
      <c r="H267" s="641">
        <v>0</v>
      </c>
      <c r="I267" s="641">
        <v>0</v>
      </c>
      <c r="J267" s="641">
        <v>3.6983557386050134</v>
      </c>
      <c r="K267" s="641">
        <v>0</v>
      </c>
      <c r="L267" s="641">
        <v>2.0715216469959126</v>
      </c>
      <c r="M267" s="641">
        <v>0</v>
      </c>
      <c r="N267" s="641">
        <v>0</v>
      </c>
      <c r="O267" s="641">
        <v>0</v>
      </c>
      <c r="P267" s="642">
        <v>0</v>
      </c>
      <c r="Q267" s="641">
        <v>0</v>
      </c>
      <c r="R267" s="641">
        <v>0</v>
      </c>
      <c r="S267" s="643">
        <v>1015.5945575066012</v>
      </c>
      <c r="U267" s="639" t="s">
        <v>60</v>
      </c>
      <c r="V267" s="640">
        <v>9.7783497021920969</v>
      </c>
      <c r="W267" s="641">
        <v>336.80990869295175</v>
      </c>
      <c r="X267" s="641">
        <v>55.498271181254346</v>
      </c>
      <c r="Y267" s="640">
        <v>207.3573846689826</v>
      </c>
      <c r="Z267" s="641">
        <v>0</v>
      </c>
      <c r="AA267" s="641">
        <v>0</v>
      </c>
      <c r="AB267" s="641">
        <v>3.6983557386050134</v>
      </c>
      <c r="AC267" s="641">
        <v>0</v>
      </c>
      <c r="AD267" s="641">
        <v>2.0715216469959126</v>
      </c>
      <c r="AE267" s="641">
        <v>0</v>
      </c>
      <c r="AF267" s="641">
        <v>0</v>
      </c>
      <c r="AG267" s="641">
        <v>0</v>
      </c>
      <c r="AH267" s="642">
        <v>0</v>
      </c>
      <c r="AI267" s="641">
        <v>0</v>
      </c>
      <c r="AJ267" s="641">
        <v>0</v>
      </c>
      <c r="AK267" s="643">
        <v>615.21379163098163</v>
      </c>
    </row>
    <row r="268" spans="3:37" x14ac:dyDescent="0.2">
      <c r="C268" s="639" t="s">
        <v>61</v>
      </c>
      <c r="D268" s="640">
        <v>0</v>
      </c>
      <c r="E268" s="641">
        <v>0</v>
      </c>
      <c r="F268" s="641">
        <v>0</v>
      </c>
      <c r="G268" s="640">
        <v>0</v>
      </c>
      <c r="H268" s="641">
        <v>0</v>
      </c>
      <c r="I268" s="641">
        <v>0</v>
      </c>
      <c r="J268" s="641">
        <v>0</v>
      </c>
      <c r="K268" s="641">
        <v>0</v>
      </c>
      <c r="L268" s="641">
        <v>0</v>
      </c>
      <c r="M268" s="641">
        <v>0</v>
      </c>
      <c r="N268" s="641">
        <v>0</v>
      </c>
      <c r="O268" s="641">
        <v>0</v>
      </c>
      <c r="P268" s="642">
        <v>-50.941346245748719</v>
      </c>
      <c r="Q268" s="641">
        <v>0</v>
      </c>
      <c r="R268" s="641">
        <v>0</v>
      </c>
      <c r="S268" s="643">
        <v>-50.941346245748719</v>
      </c>
      <c r="U268" s="639" t="s">
        <v>61</v>
      </c>
      <c r="V268" s="640">
        <v>0</v>
      </c>
      <c r="W268" s="641">
        <v>0</v>
      </c>
      <c r="X268" s="641">
        <v>0</v>
      </c>
      <c r="Y268" s="640">
        <v>0</v>
      </c>
      <c r="Z268" s="641">
        <v>0</v>
      </c>
      <c r="AA268" s="641">
        <v>0</v>
      </c>
      <c r="AB268" s="641">
        <v>0</v>
      </c>
      <c r="AC268" s="641">
        <v>0</v>
      </c>
      <c r="AD268" s="641">
        <v>0</v>
      </c>
      <c r="AE268" s="641">
        <v>0</v>
      </c>
      <c r="AF268" s="641">
        <v>0</v>
      </c>
      <c r="AG268" s="641">
        <v>0</v>
      </c>
      <c r="AH268" s="642">
        <v>-32.476172245636349</v>
      </c>
      <c r="AI268" s="641">
        <v>0</v>
      </c>
      <c r="AJ268" s="641">
        <v>0</v>
      </c>
      <c r="AK268" s="643">
        <v>-32.476172245636349</v>
      </c>
    </row>
    <row r="269" spans="3:37" x14ac:dyDescent="0.2">
      <c r="C269" s="639" t="s">
        <v>62</v>
      </c>
      <c r="D269" s="640">
        <v>0</v>
      </c>
      <c r="E269" s="641">
        <v>0</v>
      </c>
      <c r="F269" s="641">
        <v>-16.25862008896565</v>
      </c>
      <c r="G269" s="640">
        <v>0</v>
      </c>
      <c r="H269" s="641">
        <v>0</v>
      </c>
      <c r="I269" s="641">
        <v>0</v>
      </c>
      <c r="J269" s="641">
        <v>0</v>
      </c>
      <c r="K269" s="641">
        <v>0</v>
      </c>
      <c r="L269" s="641">
        <v>0</v>
      </c>
      <c r="M269" s="641">
        <v>0</v>
      </c>
      <c r="N269" s="641">
        <v>0</v>
      </c>
      <c r="O269" s="641">
        <v>0</v>
      </c>
      <c r="P269" s="642">
        <v>0</v>
      </c>
      <c r="Q269" s="641">
        <v>0</v>
      </c>
      <c r="R269" s="641">
        <v>0</v>
      </c>
      <c r="S269" s="643">
        <v>-16.25862008896565</v>
      </c>
      <c r="U269" s="639" t="s">
        <v>62</v>
      </c>
      <c r="V269" s="640">
        <v>0</v>
      </c>
      <c r="W269" s="641">
        <v>0</v>
      </c>
      <c r="X269" s="641">
        <v>-12.937868047131742</v>
      </c>
      <c r="Y269" s="640">
        <v>-1.5571295869756494</v>
      </c>
      <c r="Z269" s="641">
        <v>0</v>
      </c>
      <c r="AA269" s="641">
        <v>0</v>
      </c>
      <c r="AB269" s="641">
        <v>0</v>
      </c>
      <c r="AC269" s="641">
        <v>0</v>
      </c>
      <c r="AD269" s="641">
        <v>0</v>
      </c>
      <c r="AE269" s="641">
        <v>-0.27478757417217342</v>
      </c>
      <c r="AF269" s="641">
        <v>0</v>
      </c>
      <c r="AG269" s="641">
        <v>0</v>
      </c>
      <c r="AH269" s="642">
        <v>0</v>
      </c>
      <c r="AI269" s="641">
        <v>0</v>
      </c>
      <c r="AJ269" s="641">
        <v>0</v>
      </c>
      <c r="AK269" s="643">
        <v>-14.769785208279565</v>
      </c>
    </row>
    <row r="270" spans="3:37" x14ac:dyDescent="0.2">
      <c r="C270" s="639" t="s">
        <v>63</v>
      </c>
      <c r="D270" s="640">
        <v>0</v>
      </c>
      <c r="E270" s="641">
        <v>0</v>
      </c>
      <c r="F270" s="641">
        <v>-83.551471621484865</v>
      </c>
      <c r="G270" s="640">
        <v>0</v>
      </c>
      <c r="H270" s="641">
        <v>0</v>
      </c>
      <c r="I270" s="641">
        <v>0</v>
      </c>
      <c r="J270" s="641">
        <v>0</v>
      </c>
      <c r="K270" s="641">
        <v>0</v>
      </c>
      <c r="L270" s="641">
        <v>-0.85914301655193537</v>
      </c>
      <c r="M270" s="641">
        <v>0</v>
      </c>
      <c r="N270" s="641">
        <v>0</v>
      </c>
      <c r="O270" s="641">
        <v>0</v>
      </c>
      <c r="P270" s="642">
        <v>0</v>
      </c>
      <c r="Q270" s="641">
        <v>0</v>
      </c>
      <c r="R270" s="641">
        <v>0</v>
      </c>
      <c r="S270" s="643">
        <v>-84.410614638036805</v>
      </c>
      <c r="U270" s="639" t="s">
        <v>63</v>
      </c>
      <c r="V270" s="640">
        <v>0</v>
      </c>
      <c r="W270" s="641">
        <v>0</v>
      </c>
      <c r="X270" s="641">
        <v>-67.135202148658564</v>
      </c>
      <c r="Y270" s="640">
        <v>0</v>
      </c>
      <c r="Z270" s="641">
        <v>0</v>
      </c>
      <c r="AA270" s="641">
        <v>0</v>
      </c>
      <c r="AB270" s="641">
        <v>0</v>
      </c>
      <c r="AC270" s="641">
        <v>0</v>
      </c>
      <c r="AD270" s="641">
        <v>-15.117527463171397</v>
      </c>
      <c r="AE270" s="641">
        <v>0</v>
      </c>
      <c r="AF270" s="641">
        <v>0</v>
      </c>
      <c r="AG270" s="641">
        <v>0</v>
      </c>
      <c r="AH270" s="642">
        <v>0</v>
      </c>
      <c r="AI270" s="641">
        <v>0</v>
      </c>
      <c r="AJ270" s="641">
        <v>0</v>
      </c>
      <c r="AK270" s="643">
        <v>-82.252729611829963</v>
      </c>
    </row>
    <row r="271" spans="3:37" x14ac:dyDescent="0.2">
      <c r="C271" s="639" t="s">
        <v>64</v>
      </c>
      <c r="D271" s="640">
        <v>0</v>
      </c>
      <c r="E271" s="641">
        <v>0</v>
      </c>
      <c r="F271" s="641">
        <v>0</v>
      </c>
      <c r="G271" s="640">
        <v>0</v>
      </c>
      <c r="H271" s="641">
        <v>0</v>
      </c>
      <c r="I271" s="641">
        <v>0</v>
      </c>
      <c r="J271" s="641">
        <v>0</v>
      </c>
      <c r="K271" s="641">
        <v>0</v>
      </c>
      <c r="L271" s="641">
        <v>0</v>
      </c>
      <c r="M271" s="641">
        <v>0</v>
      </c>
      <c r="N271" s="641">
        <v>0</v>
      </c>
      <c r="O271" s="641">
        <v>0</v>
      </c>
      <c r="P271" s="642">
        <v>0</v>
      </c>
      <c r="Q271" s="641">
        <v>0</v>
      </c>
      <c r="R271" s="641">
        <v>0</v>
      </c>
      <c r="S271" s="643">
        <v>0</v>
      </c>
      <c r="U271" s="639" t="s">
        <v>64</v>
      </c>
      <c r="V271" s="640">
        <v>0</v>
      </c>
      <c r="W271" s="641">
        <v>0</v>
      </c>
      <c r="X271" s="641">
        <v>0</v>
      </c>
      <c r="Y271" s="640">
        <v>0</v>
      </c>
      <c r="Z271" s="641">
        <v>0</v>
      </c>
      <c r="AA271" s="641">
        <v>0</v>
      </c>
      <c r="AB271" s="641">
        <v>0</v>
      </c>
      <c r="AC271" s="641">
        <v>0</v>
      </c>
      <c r="AD271" s="641">
        <v>0</v>
      </c>
      <c r="AE271" s="641">
        <v>0</v>
      </c>
      <c r="AF271" s="641">
        <v>0</v>
      </c>
      <c r="AG271" s="641">
        <v>0</v>
      </c>
      <c r="AH271" s="642">
        <v>0</v>
      </c>
      <c r="AI271" s="641">
        <v>0</v>
      </c>
      <c r="AJ271" s="641">
        <v>0</v>
      </c>
      <c r="AK271" s="643">
        <v>0</v>
      </c>
    </row>
    <row r="272" spans="3:37" x14ac:dyDescent="0.2">
      <c r="C272" s="644" t="s">
        <v>65</v>
      </c>
      <c r="D272" s="645">
        <v>48.827265231041785</v>
      </c>
      <c r="E272" s="645">
        <v>523.88910535010393</v>
      </c>
      <c r="F272" s="645">
        <v>8.0644790088140255</v>
      </c>
      <c r="G272" s="645">
        <v>335.1417788205901</v>
      </c>
      <c r="H272" s="645">
        <v>1075.0000000000002</v>
      </c>
      <c r="I272" s="645">
        <v>224.13674723416887</v>
      </c>
      <c r="J272" s="645">
        <v>195.29777952983056</v>
      </c>
      <c r="K272" s="645">
        <v>21.432553878964274</v>
      </c>
      <c r="L272" s="645">
        <v>1.5939623879592042</v>
      </c>
      <c r="M272" s="645">
        <v>0.1566638564915529</v>
      </c>
      <c r="N272" s="645">
        <v>57.826394702164251</v>
      </c>
      <c r="O272" s="645">
        <v>8.0717549324466145</v>
      </c>
      <c r="P272" s="645">
        <v>-50.941346245748719</v>
      </c>
      <c r="Q272" s="645">
        <v>0</v>
      </c>
      <c r="R272" s="645">
        <v>0</v>
      </c>
      <c r="S272" s="645">
        <v>2448.4971386868265</v>
      </c>
      <c r="U272" s="644" t="s">
        <v>65</v>
      </c>
      <c r="V272" s="645">
        <v>9.7783497021920969</v>
      </c>
      <c r="W272" s="645">
        <v>342.62490869295175</v>
      </c>
      <c r="X272" s="645">
        <v>-24.574799014535962</v>
      </c>
      <c r="Y272" s="645">
        <v>205.89329508200694</v>
      </c>
      <c r="Z272" s="645">
        <v>994.39393939393949</v>
      </c>
      <c r="AA272" s="645">
        <v>248.70674723416883</v>
      </c>
      <c r="AB272" s="645">
        <v>195.46401906120443</v>
      </c>
      <c r="AC272" s="645">
        <v>38.031253697312572</v>
      </c>
      <c r="AD272" s="645">
        <v>-12.664422058660257</v>
      </c>
      <c r="AE272" s="645">
        <v>-0.11812371768062052</v>
      </c>
      <c r="AF272" s="645">
        <v>76.992812580470769</v>
      </c>
      <c r="AG272" s="645">
        <v>16.738826185514363</v>
      </c>
      <c r="AH272" s="645">
        <v>-32.476172245636349</v>
      </c>
      <c r="AI272" s="645">
        <v>0</v>
      </c>
      <c r="AJ272" s="645">
        <v>0</v>
      </c>
      <c r="AK272" s="645">
        <v>2058.7906345932479</v>
      </c>
    </row>
    <row r="273" spans="3:37" x14ac:dyDescent="0.2">
      <c r="C273" s="634"/>
      <c r="D273" s="634">
        <v>0</v>
      </c>
      <c r="E273" s="634">
        <v>0</v>
      </c>
      <c r="F273" s="634">
        <v>0</v>
      </c>
      <c r="G273" s="634">
        <v>0</v>
      </c>
      <c r="H273" s="634">
        <v>0</v>
      </c>
      <c r="I273" s="634">
        <v>0</v>
      </c>
      <c r="J273" s="634">
        <v>0</v>
      </c>
      <c r="K273" s="634">
        <v>0</v>
      </c>
      <c r="L273" s="634">
        <v>0</v>
      </c>
      <c r="M273" s="634">
        <v>0</v>
      </c>
      <c r="N273" s="634">
        <v>0</v>
      </c>
      <c r="O273" s="634">
        <v>0</v>
      </c>
      <c r="P273" s="634">
        <v>0</v>
      </c>
      <c r="Q273" s="634">
        <v>0</v>
      </c>
      <c r="R273" s="634">
        <v>0</v>
      </c>
      <c r="S273" s="634">
        <v>0</v>
      </c>
      <c r="U273" s="634"/>
      <c r="V273" s="634">
        <v>0</v>
      </c>
      <c r="W273" s="634">
        <v>0</v>
      </c>
      <c r="X273" s="634">
        <v>0</v>
      </c>
      <c r="Y273" s="634">
        <v>0</v>
      </c>
      <c r="Z273" s="634">
        <v>0</v>
      </c>
      <c r="AA273" s="634">
        <v>0</v>
      </c>
      <c r="AB273" s="634">
        <v>0</v>
      </c>
      <c r="AC273" s="634">
        <v>0</v>
      </c>
      <c r="AD273" s="634">
        <v>0</v>
      </c>
      <c r="AE273" s="634">
        <v>0</v>
      </c>
      <c r="AF273" s="634">
        <v>0</v>
      </c>
      <c r="AG273" s="634">
        <v>0</v>
      </c>
      <c r="AH273" s="634">
        <v>0</v>
      </c>
      <c r="AI273" s="634">
        <v>0</v>
      </c>
      <c r="AJ273" s="634">
        <v>0</v>
      </c>
      <c r="AK273" s="634">
        <v>0</v>
      </c>
    </row>
    <row r="274" spans="3:37" x14ac:dyDescent="0.2">
      <c r="C274" s="646" t="s">
        <v>67</v>
      </c>
      <c r="D274" s="640">
        <v>0</v>
      </c>
      <c r="E274" s="647">
        <v>0</v>
      </c>
      <c r="F274" s="647">
        <v>0</v>
      </c>
      <c r="G274" s="640">
        <v>0</v>
      </c>
      <c r="H274" s="640">
        <v>0</v>
      </c>
      <c r="I274" s="640">
        <v>0</v>
      </c>
      <c r="J274" s="640">
        <v>0</v>
      </c>
      <c r="K274" s="640">
        <v>0</v>
      </c>
      <c r="L274" s="640">
        <v>0</v>
      </c>
      <c r="M274" s="640">
        <v>0</v>
      </c>
      <c r="N274" s="640">
        <v>0</v>
      </c>
      <c r="O274" s="640">
        <v>0</v>
      </c>
      <c r="P274" s="640">
        <v>0</v>
      </c>
      <c r="Q274" s="640">
        <v>0</v>
      </c>
      <c r="R274" s="640">
        <v>0</v>
      </c>
      <c r="S274" s="648">
        <v>0</v>
      </c>
      <c r="U274" s="646" t="s">
        <v>67</v>
      </c>
      <c r="V274" s="640">
        <v>0</v>
      </c>
      <c r="W274" s="647">
        <v>0</v>
      </c>
      <c r="X274" s="647">
        <v>0</v>
      </c>
      <c r="Y274" s="640">
        <v>0</v>
      </c>
      <c r="Z274" s="640">
        <v>0</v>
      </c>
      <c r="AA274" s="640">
        <v>0</v>
      </c>
      <c r="AB274" s="640">
        <v>0</v>
      </c>
      <c r="AC274" s="640">
        <v>0</v>
      </c>
      <c r="AD274" s="640">
        <v>0</v>
      </c>
      <c r="AE274" s="640">
        <v>0</v>
      </c>
      <c r="AF274" s="640">
        <v>0</v>
      </c>
      <c r="AG274" s="640">
        <v>0</v>
      </c>
      <c r="AH274" s="640">
        <v>0</v>
      </c>
      <c r="AI274" s="640">
        <v>0</v>
      </c>
      <c r="AJ274" s="640">
        <v>0</v>
      </c>
      <c r="AK274" s="648">
        <v>0</v>
      </c>
    </row>
    <row r="275" spans="3:37" x14ac:dyDescent="0.2">
      <c r="C275" s="646" t="s">
        <v>347</v>
      </c>
      <c r="D275" s="640">
        <v>2.8267856410252494</v>
      </c>
      <c r="E275" s="640">
        <v>0</v>
      </c>
      <c r="F275" s="640">
        <v>7.9696731063521415</v>
      </c>
      <c r="G275" s="640">
        <v>17.422222222222224</v>
      </c>
      <c r="H275" s="640">
        <v>1075.0000000000002</v>
      </c>
      <c r="I275" s="640">
        <v>224.13674723416887</v>
      </c>
      <c r="J275" s="649">
        <v>30.45355250478201</v>
      </c>
      <c r="K275" s="649">
        <v>7.4482212846984126</v>
      </c>
      <c r="L275" s="649">
        <v>2.4531054045111396</v>
      </c>
      <c r="M275" s="649">
        <v>0.47972213502804317</v>
      </c>
      <c r="N275" s="649">
        <v>0</v>
      </c>
      <c r="O275" s="649">
        <v>3.0833964576427819</v>
      </c>
      <c r="P275" s="640">
        <v>-609.30151807373261</v>
      </c>
      <c r="Q275" s="640">
        <v>0</v>
      </c>
      <c r="R275" s="640">
        <v>0</v>
      </c>
      <c r="S275" s="648">
        <v>761.97190791669834</v>
      </c>
      <c r="U275" s="646" t="s">
        <v>347</v>
      </c>
      <c r="V275" s="640">
        <v>0.62631490545869017</v>
      </c>
      <c r="W275" s="640">
        <v>0</v>
      </c>
      <c r="X275" s="640">
        <v>4.1060367427157782</v>
      </c>
      <c r="Y275" s="640">
        <v>24.857777777777773</v>
      </c>
      <c r="Z275" s="640">
        <v>994.39393939393949</v>
      </c>
      <c r="AA275" s="640">
        <v>248.70674723416883</v>
      </c>
      <c r="AB275" s="649">
        <v>24.641197042508384</v>
      </c>
      <c r="AC275" s="649">
        <v>6.6719525843779666</v>
      </c>
      <c r="AD275" s="649">
        <v>2.4531054045111396</v>
      </c>
      <c r="AE275" s="649">
        <v>4.5108332461391543</v>
      </c>
      <c r="AF275" s="649">
        <v>0</v>
      </c>
      <c r="AG275" s="649">
        <v>3.0833964576427819</v>
      </c>
      <c r="AH275" s="640">
        <v>-611.77151807373264</v>
      </c>
      <c r="AI275" s="640">
        <v>0</v>
      </c>
      <c r="AJ275" s="640">
        <v>2.3749999999999996</v>
      </c>
      <c r="AK275" s="648">
        <v>704.65478271550762</v>
      </c>
    </row>
    <row r="276" spans="3:37" x14ac:dyDescent="0.2">
      <c r="C276" s="646" t="s">
        <v>348</v>
      </c>
      <c r="D276" s="640">
        <v>0</v>
      </c>
      <c r="E276" s="640">
        <v>0</v>
      </c>
      <c r="F276" s="640">
        <v>0</v>
      </c>
      <c r="G276" s="640">
        <v>15.160725636684646</v>
      </c>
      <c r="H276" s="640">
        <v>0</v>
      </c>
      <c r="I276" s="640">
        <v>0</v>
      </c>
      <c r="J276" s="649">
        <v>12.939045348987106</v>
      </c>
      <c r="K276" s="649">
        <v>12.151724678588742</v>
      </c>
      <c r="L276" s="649">
        <v>0</v>
      </c>
      <c r="M276" s="649">
        <v>0.32322722394029924</v>
      </c>
      <c r="N276" s="649">
        <v>0</v>
      </c>
      <c r="O276" s="649">
        <v>2.1538235080806043</v>
      </c>
      <c r="P276" s="640">
        <v>0</v>
      </c>
      <c r="Q276" s="640">
        <v>-38.589386176372813</v>
      </c>
      <c r="R276" s="640">
        <v>0</v>
      </c>
      <c r="S276" s="648">
        <v>4.1391602199085806</v>
      </c>
      <c r="U276" s="646" t="s">
        <v>348</v>
      </c>
      <c r="V276" s="640">
        <v>0</v>
      </c>
      <c r="W276" s="640">
        <v>0</v>
      </c>
      <c r="X276" s="640">
        <v>0</v>
      </c>
      <c r="Y276" s="640">
        <v>15.290780965453443</v>
      </c>
      <c r="Z276" s="640">
        <v>0</v>
      </c>
      <c r="AA276" s="640">
        <v>0</v>
      </c>
      <c r="AB276" s="649">
        <v>28.500378674784677</v>
      </c>
      <c r="AC276" s="649">
        <v>25.381229817913329</v>
      </c>
      <c r="AD276" s="649">
        <v>0</v>
      </c>
      <c r="AE276" s="649">
        <v>2.712197771476935</v>
      </c>
      <c r="AF276" s="649">
        <v>0</v>
      </c>
      <c r="AG276" s="649">
        <v>8.3103526067541207</v>
      </c>
      <c r="AH276" s="640">
        <v>0</v>
      </c>
      <c r="AI276" s="640">
        <v>-73.223954421682024</v>
      </c>
      <c r="AJ276" s="640">
        <v>0</v>
      </c>
      <c r="AK276" s="648">
        <v>6.9709854147004844</v>
      </c>
    </row>
    <row r="277" spans="3:37" x14ac:dyDescent="0.2">
      <c r="C277" s="646" t="s">
        <v>349</v>
      </c>
      <c r="D277" s="640">
        <v>0</v>
      </c>
      <c r="E277" s="640">
        <v>0</v>
      </c>
      <c r="F277" s="640">
        <v>0</v>
      </c>
      <c r="G277" s="640">
        <v>0</v>
      </c>
      <c r="H277" s="640">
        <v>0</v>
      </c>
      <c r="I277" s="640">
        <v>0</v>
      </c>
      <c r="J277" s="650">
        <v>7.3987592400222235</v>
      </c>
      <c r="K277" s="650">
        <v>0</v>
      </c>
      <c r="L277" s="650">
        <v>0</v>
      </c>
      <c r="M277" s="650">
        <v>-6.5941441726698065</v>
      </c>
      <c r="N277" s="650">
        <v>0</v>
      </c>
      <c r="O277" s="650">
        <v>0</v>
      </c>
      <c r="P277" s="640">
        <v>0</v>
      </c>
      <c r="Q277" s="640">
        <v>0</v>
      </c>
      <c r="R277" s="640">
        <v>0</v>
      </c>
      <c r="S277" s="648">
        <v>0.80461506735241706</v>
      </c>
      <c r="U277" s="646" t="s">
        <v>349</v>
      </c>
      <c r="V277" s="640">
        <v>0</v>
      </c>
      <c r="W277" s="640">
        <v>0</v>
      </c>
      <c r="X277" s="640">
        <v>0</v>
      </c>
      <c r="Y277" s="640">
        <v>0</v>
      </c>
      <c r="Z277" s="640">
        <v>0</v>
      </c>
      <c r="AA277" s="640">
        <v>0</v>
      </c>
      <c r="AB277" s="650">
        <v>40.786473386605621</v>
      </c>
      <c r="AC277" s="650">
        <v>0</v>
      </c>
      <c r="AD277" s="650">
        <v>0</v>
      </c>
      <c r="AE277" s="650">
        <v>-36.350944405812257</v>
      </c>
      <c r="AF277" s="650">
        <v>0</v>
      </c>
      <c r="AG277" s="650">
        <v>0</v>
      </c>
      <c r="AH277" s="640">
        <v>0</v>
      </c>
      <c r="AI277" s="640">
        <v>0</v>
      </c>
      <c r="AJ277" s="640">
        <v>0</v>
      </c>
      <c r="AK277" s="648">
        <v>4.4355289807933644</v>
      </c>
    </row>
    <row r="278" spans="3:37" x14ac:dyDescent="0.2">
      <c r="C278" s="646" t="s">
        <v>350</v>
      </c>
      <c r="D278" s="640">
        <v>0</v>
      </c>
      <c r="E278" s="640">
        <v>0</v>
      </c>
      <c r="F278" s="640">
        <v>0</v>
      </c>
      <c r="G278" s="640">
        <v>0</v>
      </c>
      <c r="H278" s="640">
        <v>0</v>
      </c>
      <c r="I278" s="640">
        <v>0</v>
      </c>
      <c r="J278" s="640">
        <v>0</v>
      </c>
      <c r="K278" s="640">
        <v>0</v>
      </c>
      <c r="L278" s="640">
        <v>0</v>
      </c>
      <c r="M278" s="640">
        <v>0</v>
      </c>
      <c r="N278" s="640">
        <v>0</v>
      </c>
      <c r="O278" s="640">
        <v>0</v>
      </c>
      <c r="P278" s="640">
        <v>0</v>
      </c>
      <c r="Q278" s="640">
        <v>0</v>
      </c>
      <c r="R278" s="640">
        <v>0</v>
      </c>
      <c r="S278" s="648">
        <v>0</v>
      </c>
      <c r="U278" s="646" t="s">
        <v>350</v>
      </c>
      <c r="V278" s="640">
        <v>0</v>
      </c>
      <c r="W278" s="640">
        <v>0</v>
      </c>
      <c r="X278" s="640">
        <v>0</v>
      </c>
      <c r="Y278" s="640">
        <v>0</v>
      </c>
      <c r="Z278" s="640">
        <v>0</v>
      </c>
      <c r="AA278" s="640">
        <v>0</v>
      </c>
      <c r="AB278" s="640">
        <v>0</v>
      </c>
      <c r="AC278" s="640">
        <v>0</v>
      </c>
      <c r="AD278" s="640">
        <v>0</v>
      </c>
      <c r="AE278" s="640">
        <v>0</v>
      </c>
      <c r="AF278" s="640">
        <v>0</v>
      </c>
      <c r="AG278" s="640">
        <v>0</v>
      </c>
      <c r="AH278" s="640">
        <v>0</v>
      </c>
      <c r="AI278" s="640">
        <v>0</v>
      </c>
      <c r="AJ278" s="640">
        <v>0</v>
      </c>
      <c r="AK278" s="648">
        <v>0</v>
      </c>
    </row>
    <row r="279" spans="3:37" x14ac:dyDescent="0.2">
      <c r="C279" s="646" t="s">
        <v>72</v>
      </c>
      <c r="D279" s="640">
        <v>0</v>
      </c>
      <c r="E279" s="640">
        <v>542.69343279650275</v>
      </c>
      <c r="F279" s="640">
        <v>-537.26649846853775</v>
      </c>
      <c r="G279" s="640">
        <v>0</v>
      </c>
      <c r="H279" s="640">
        <v>0</v>
      </c>
      <c r="I279" s="640">
        <v>0</v>
      </c>
      <c r="J279" s="640">
        <v>0</v>
      </c>
      <c r="K279" s="640">
        <v>0</v>
      </c>
      <c r="L279" s="640">
        <v>0</v>
      </c>
      <c r="M279" s="640">
        <v>0</v>
      </c>
      <c r="N279" s="640">
        <v>0</v>
      </c>
      <c r="O279" s="640">
        <v>0</v>
      </c>
      <c r="P279" s="640">
        <v>0</v>
      </c>
      <c r="Q279" s="640">
        <v>0</v>
      </c>
      <c r="R279" s="640">
        <v>0</v>
      </c>
      <c r="S279" s="648">
        <v>5.4269343279650002</v>
      </c>
      <c r="U279" s="646" t="s">
        <v>72</v>
      </c>
      <c r="V279" s="640">
        <v>0</v>
      </c>
      <c r="W279" s="640">
        <v>354.9229903070925</v>
      </c>
      <c r="X279" s="640">
        <v>-351.3737604040216</v>
      </c>
      <c r="Y279" s="640">
        <v>0</v>
      </c>
      <c r="Z279" s="640">
        <v>0</v>
      </c>
      <c r="AA279" s="640">
        <v>0</v>
      </c>
      <c r="AB279" s="640">
        <v>0</v>
      </c>
      <c r="AC279" s="640">
        <v>0</v>
      </c>
      <c r="AD279" s="640">
        <v>0</v>
      </c>
      <c r="AE279" s="640">
        <v>0</v>
      </c>
      <c r="AF279" s="640">
        <v>0</v>
      </c>
      <c r="AG279" s="640">
        <v>0</v>
      </c>
      <c r="AH279" s="640">
        <v>0</v>
      </c>
      <c r="AI279" s="640">
        <v>0</v>
      </c>
      <c r="AJ279" s="640">
        <v>0</v>
      </c>
      <c r="AK279" s="648">
        <v>3.5492299030709091</v>
      </c>
    </row>
    <row r="280" spans="3:37" x14ac:dyDescent="0.2">
      <c r="C280" s="646" t="s">
        <v>351</v>
      </c>
      <c r="D280" s="640">
        <v>0</v>
      </c>
      <c r="E280" s="640">
        <v>0</v>
      </c>
      <c r="F280" s="640">
        <v>0</v>
      </c>
      <c r="G280" s="640">
        <v>0</v>
      </c>
      <c r="H280" s="640">
        <v>0</v>
      </c>
      <c r="I280" s="640">
        <v>0</v>
      </c>
      <c r="J280" s="640">
        <v>32.75009012852766</v>
      </c>
      <c r="K280" s="640">
        <v>0</v>
      </c>
      <c r="L280" s="640">
        <v>-32.75009012852766</v>
      </c>
      <c r="M280" s="640">
        <v>0</v>
      </c>
      <c r="N280" s="640">
        <v>0</v>
      </c>
      <c r="O280" s="640">
        <v>0</v>
      </c>
      <c r="P280" s="640">
        <v>0</v>
      </c>
      <c r="Q280" s="640">
        <v>0</v>
      </c>
      <c r="R280" s="640">
        <v>0</v>
      </c>
      <c r="S280" s="648">
        <v>0</v>
      </c>
      <c r="U280" s="646" t="s">
        <v>351</v>
      </c>
      <c r="V280" s="640">
        <v>0</v>
      </c>
      <c r="W280" s="640">
        <v>0</v>
      </c>
      <c r="X280" s="640">
        <v>0</v>
      </c>
      <c r="Y280" s="640">
        <v>0</v>
      </c>
      <c r="Z280" s="640">
        <v>0</v>
      </c>
      <c r="AA280" s="640">
        <v>0</v>
      </c>
      <c r="AB280" s="640" t="e">
        <v>#VALUE!</v>
      </c>
      <c r="AC280" s="640">
        <v>0</v>
      </c>
      <c r="AD280" s="640">
        <v>-76.638831624044727</v>
      </c>
      <c r="AE280" s="640">
        <v>0</v>
      </c>
      <c r="AF280" s="640">
        <v>0</v>
      </c>
      <c r="AG280" s="640">
        <v>0</v>
      </c>
      <c r="AH280" s="640">
        <v>0</v>
      </c>
      <c r="AI280" s="640">
        <v>0</v>
      </c>
      <c r="AJ280" s="640">
        <v>0</v>
      </c>
      <c r="AK280" s="648">
        <v>-76.638831624044727</v>
      </c>
    </row>
    <row r="281" spans="3:37" x14ac:dyDescent="0.2">
      <c r="C281" s="646" t="s">
        <v>352</v>
      </c>
      <c r="D281" s="640">
        <v>0</v>
      </c>
      <c r="E281" s="640">
        <v>0</v>
      </c>
      <c r="F281" s="640">
        <v>0</v>
      </c>
      <c r="G281" s="640">
        <v>0</v>
      </c>
      <c r="H281" s="640">
        <v>0</v>
      </c>
      <c r="I281" s="640">
        <v>0</v>
      </c>
      <c r="J281" s="640">
        <v>0</v>
      </c>
      <c r="K281" s="640">
        <v>0</v>
      </c>
      <c r="L281" s="640">
        <v>0</v>
      </c>
      <c r="M281" s="640">
        <v>0</v>
      </c>
      <c r="N281" s="640">
        <v>0</v>
      </c>
      <c r="O281" s="640">
        <v>0</v>
      </c>
      <c r="P281" s="640">
        <v>0</v>
      </c>
      <c r="Q281" s="640">
        <v>0</v>
      </c>
      <c r="R281" s="640">
        <v>0</v>
      </c>
      <c r="S281" s="648">
        <v>0</v>
      </c>
      <c r="U281" s="646" t="s">
        <v>352</v>
      </c>
      <c r="V281" s="640">
        <v>0</v>
      </c>
      <c r="W281" s="640">
        <v>0</v>
      </c>
      <c r="X281" s="640">
        <v>0</v>
      </c>
      <c r="Y281" s="640">
        <v>0</v>
      </c>
      <c r="Z281" s="640">
        <v>0</v>
      </c>
      <c r="AA281" s="640">
        <v>0</v>
      </c>
      <c r="AB281" s="640">
        <v>0</v>
      </c>
      <c r="AC281" s="640">
        <v>0</v>
      </c>
      <c r="AD281" s="640">
        <v>-16.893833779014706</v>
      </c>
      <c r="AE281" s="640">
        <v>0</v>
      </c>
      <c r="AF281" s="640">
        <v>0</v>
      </c>
      <c r="AG281" s="640">
        <v>0</v>
      </c>
      <c r="AH281" s="640">
        <v>0</v>
      </c>
      <c r="AI281" s="640">
        <v>0</v>
      </c>
      <c r="AJ281" s="640">
        <v>0</v>
      </c>
      <c r="AK281" s="648">
        <v>-16.893833779014706</v>
      </c>
    </row>
    <row r="282" spans="3:37" x14ac:dyDescent="0.2">
      <c r="C282" s="646" t="s">
        <v>73</v>
      </c>
      <c r="D282" s="640">
        <v>0</v>
      </c>
      <c r="E282" s="640">
        <v>0</v>
      </c>
      <c r="F282" s="640">
        <v>0</v>
      </c>
      <c r="G282" s="640">
        <v>2.9190475912378031</v>
      </c>
      <c r="H282" s="640">
        <v>0</v>
      </c>
      <c r="I282" s="640">
        <v>0</v>
      </c>
      <c r="J282" s="640">
        <v>0</v>
      </c>
      <c r="K282" s="640">
        <v>3.3095777678433143E-2</v>
      </c>
      <c r="L282" s="640">
        <v>0</v>
      </c>
      <c r="M282" s="640">
        <v>5.9572399821179664E-2</v>
      </c>
      <c r="N282" s="640">
        <v>0</v>
      </c>
      <c r="O282" s="640">
        <v>0</v>
      </c>
      <c r="P282" s="640">
        <v>0.31236464325712177</v>
      </c>
      <c r="Q282" s="640">
        <v>0</v>
      </c>
      <c r="R282" s="640">
        <v>-2.3167044374903201</v>
      </c>
      <c r="S282" s="648">
        <v>1.0073759745042175</v>
      </c>
      <c r="U282" s="646" t="s">
        <v>73</v>
      </c>
      <c r="V282" s="640">
        <v>0</v>
      </c>
      <c r="W282" s="640">
        <v>0</v>
      </c>
      <c r="X282" s="640">
        <v>0</v>
      </c>
      <c r="Y282" s="640">
        <v>6.287229939138852</v>
      </c>
      <c r="Z282" s="640">
        <v>0</v>
      </c>
      <c r="AA282" s="640">
        <v>0</v>
      </c>
      <c r="AB282" s="640">
        <v>0</v>
      </c>
      <c r="AC282" s="640">
        <v>0.25073698660573684</v>
      </c>
      <c r="AD282" s="640">
        <v>0</v>
      </c>
      <c r="AE282" s="640">
        <v>1.1095111657303856</v>
      </c>
      <c r="AF282" s="640">
        <v>0</v>
      </c>
      <c r="AG282" s="640">
        <v>0</v>
      </c>
      <c r="AH282" s="640">
        <v>18.274688237257074</v>
      </c>
      <c r="AI282" s="640">
        <v>0</v>
      </c>
      <c r="AJ282" s="640">
        <v>-17.551589062401579</v>
      </c>
      <c r="AK282" s="648">
        <v>8.3705772663304678</v>
      </c>
    </row>
    <row r="283" spans="3:37" x14ac:dyDescent="0.2">
      <c r="C283" s="646" t="s">
        <v>353</v>
      </c>
      <c r="D283" s="640">
        <v>28.656195468750003</v>
      </c>
      <c r="E283" s="640">
        <v>-18.804327446398823</v>
      </c>
      <c r="F283" s="640">
        <v>24.594949618470011</v>
      </c>
      <c r="G283" s="640">
        <v>0</v>
      </c>
      <c r="H283" s="640">
        <v>0</v>
      </c>
      <c r="I283" s="640">
        <v>0</v>
      </c>
      <c r="J283" s="640">
        <v>0</v>
      </c>
      <c r="K283" s="640">
        <v>0</v>
      </c>
      <c r="L283" s="640">
        <v>0</v>
      </c>
      <c r="M283" s="640">
        <v>0</v>
      </c>
      <c r="N283" s="640">
        <v>0</v>
      </c>
      <c r="O283" s="640">
        <v>0</v>
      </c>
      <c r="P283" s="640">
        <v>0</v>
      </c>
      <c r="Q283" s="640">
        <v>0</v>
      </c>
      <c r="R283" s="640">
        <v>0</v>
      </c>
      <c r="S283" s="648">
        <v>34.446817640821195</v>
      </c>
      <c r="U283" s="646" t="s">
        <v>353</v>
      </c>
      <c r="V283" s="640">
        <v>3.6632235107421875</v>
      </c>
      <c r="W283" s="640">
        <v>-12.298081614140758</v>
      </c>
      <c r="X283" s="640">
        <v>16.085164362607916</v>
      </c>
      <c r="Y283" s="640">
        <v>0</v>
      </c>
      <c r="Z283" s="640">
        <v>0</v>
      </c>
      <c r="AA283" s="640">
        <v>0</v>
      </c>
      <c r="AB283" s="640">
        <v>0</v>
      </c>
      <c r="AC283" s="640">
        <v>0</v>
      </c>
      <c r="AD283" s="640">
        <v>0</v>
      </c>
      <c r="AE283" s="640">
        <v>0</v>
      </c>
      <c r="AF283" s="640">
        <v>0</v>
      </c>
      <c r="AG283" s="640">
        <v>0</v>
      </c>
      <c r="AH283" s="640">
        <v>0</v>
      </c>
      <c r="AI283" s="640">
        <v>0</v>
      </c>
      <c r="AJ283" s="640">
        <v>0</v>
      </c>
      <c r="AK283" s="648">
        <v>7.450306259209345</v>
      </c>
    </row>
    <row r="284" spans="3:37" x14ac:dyDescent="0.2">
      <c r="C284" s="646" t="s">
        <v>75</v>
      </c>
      <c r="D284" s="640">
        <v>11.144076015625002</v>
      </c>
      <c r="E284" s="640">
        <v>0</v>
      </c>
      <c r="F284" s="640">
        <v>18.451576715081096</v>
      </c>
      <c r="G284" s="640">
        <v>5.2652116849916704</v>
      </c>
      <c r="H284" s="640">
        <v>0</v>
      </c>
      <c r="I284" s="640">
        <v>0</v>
      </c>
      <c r="J284" s="640">
        <v>0</v>
      </c>
      <c r="K284" s="640">
        <v>0</v>
      </c>
      <c r="L284" s="640">
        <v>0</v>
      </c>
      <c r="M284" s="640">
        <v>0.10745329969370757</v>
      </c>
      <c r="N284" s="640">
        <v>0</v>
      </c>
      <c r="O284" s="640">
        <v>0</v>
      </c>
      <c r="P284" s="640">
        <v>33.522260759660846</v>
      </c>
      <c r="Q284" s="640">
        <v>0</v>
      </c>
      <c r="R284" s="640">
        <v>0</v>
      </c>
      <c r="S284" s="648">
        <v>68.490578475052317</v>
      </c>
      <c r="U284" s="646" t="s">
        <v>75</v>
      </c>
      <c r="V284" s="640">
        <v>4.4693862304687499</v>
      </c>
      <c r="W284" s="640">
        <v>0</v>
      </c>
      <c r="X284" s="640">
        <v>18.451576715081096</v>
      </c>
      <c r="Y284" s="640">
        <v>4.5667652369825715</v>
      </c>
      <c r="Z284" s="640">
        <v>0</v>
      </c>
      <c r="AA284" s="640">
        <v>0</v>
      </c>
      <c r="AB284" s="640">
        <v>0</v>
      </c>
      <c r="AC284" s="640">
        <v>0</v>
      </c>
      <c r="AD284" s="640">
        <v>0</v>
      </c>
      <c r="AE284" s="640">
        <v>0.8058997477028067</v>
      </c>
      <c r="AF284" s="640">
        <v>0</v>
      </c>
      <c r="AG284" s="640">
        <v>0</v>
      </c>
      <c r="AH284" s="640">
        <v>33.775215305115388</v>
      </c>
      <c r="AI284" s="640">
        <v>0</v>
      </c>
      <c r="AJ284" s="640">
        <v>0</v>
      </c>
      <c r="AK284" s="648">
        <v>62.068843235350613</v>
      </c>
    </row>
    <row r="285" spans="3:37" x14ac:dyDescent="0.2">
      <c r="C285" s="646" t="s">
        <v>76</v>
      </c>
      <c r="D285" s="640">
        <v>0</v>
      </c>
      <c r="E285" s="640">
        <v>0</v>
      </c>
      <c r="F285" s="640">
        <v>0</v>
      </c>
      <c r="G285" s="640">
        <v>3.8313802109978718</v>
      </c>
      <c r="H285" s="640">
        <v>0</v>
      </c>
      <c r="I285" s="640">
        <v>0</v>
      </c>
      <c r="J285" s="640">
        <v>0</v>
      </c>
      <c r="K285" s="640">
        <v>0</v>
      </c>
      <c r="L285" s="640">
        <v>0</v>
      </c>
      <c r="M285" s="640">
        <v>7.8191432877507586E-2</v>
      </c>
      <c r="N285" s="640">
        <v>0</v>
      </c>
      <c r="O285" s="640">
        <v>0</v>
      </c>
      <c r="P285" s="640">
        <v>42.744249460921445</v>
      </c>
      <c r="Q285" s="640">
        <v>2.9948048478615572</v>
      </c>
      <c r="R285" s="640">
        <v>0</v>
      </c>
      <c r="S285" s="648">
        <v>49.648625952658385</v>
      </c>
      <c r="U285" s="646" t="s">
        <v>76</v>
      </c>
      <c r="V285" s="640">
        <v>0</v>
      </c>
      <c r="W285" s="640">
        <v>0</v>
      </c>
      <c r="X285" s="640">
        <v>0</v>
      </c>
      <c r="Y285" s="640">
        <v>2.4425535766751323</v>
      </c>
      <c r="Z285" s="640">
        <v>0</v>
      </c>
      <c r="AA285" s="640">
        <v>0</v>
      </c>
      <c r="AB285" s="640">
        <v>0</v>
      </c>
      <c r="AC285" s="640">
        <v>0</v>
      </c>
      <c r="AD285" s="640">
        <v>0</v>
      </c>
      <c r="AE285" s="640">
        <v>0.43103886647208217</v>
      </c>
      <c r="AF285" s="640">
        <v>0</v>
      </c>
      <c r="AG285" s="640">
        <v>0</v>
      </c>
      <c r="AH285" s="640">
        <v>44.348699545879278</v>
      </c>
      <c r="AI285" s="640">
        <v>5.6786643797858867</v>
      </c>
      <c r="AJ285" s="640">
        <v>0</v>
      </c>
      <c r="AK285" s="648">
        <v>52.900956368812388</v>
      </c>
    </row>
    <row r="286" spans="3:37" x14ac:dyDescent="0.2">
      <c r="C286" s="644" t="s">
        <v>77</v>
      </c>
      <c r="D286" s="645">
        <v>42.627057125400256</v>
      </c>
      <c r="E286" s="645">
        <v>523.88910535010393</v>
      </c>
      <c r="F286" s="645">
        <v>-486.25029902863446</v>
      </c>
      <c r="G286" s="645">
        <v>44.598587346134217</v>
      </c>
      <c r="H286" s="645">
        <v>1075.0000000000002</v>
      </c>
      <c r="I286" s="645">
        <v>224.13674723416887</v>
      </c>
      <c r="J286" s="645">
        <v>83.541447222318993</v>
      </c>
      <c r="K286" s="645">
        <v>19.633041740965588</v>
      </c>
      <c r="L286" s="645">
        <v>-30.296984724016522</v>
      </c>
      <c r="M286" s="645">
        <v>-5.5459776813090693</v>
      </c>
      <c r="N286" s="645">
        <v>0</v>
      </c>
      <c r="O286" s="645">
        <v>5.2372199657233862</v>
      </c>
      <c r="P286" s="645">
        <v>-532.72264320989325</v>
      </c>
      <c r="Q286" s="645">
        <v>-35.594581328511254</v>
      </c>
      <c r="R286" s="645">
        <v>-2.3167044374903201</v>
      </c>
      <c r="S286" s="645">
        <v>925.93601557496061</v>
      </c>
      <c r="U286" s="644" t="s">
        <v>77</v>
      </c>
      <c r="V286" s="645">
        <v>8.7589246466696284</v>
      </c>
      <c r="W286" s="645">
        <v>342.62490869295175</v>
      </c>
      <c r="X286" s="645">
        <v>-312.73098258361676</v>
      </c>
      <c r="Y286" s="645">
        <v>53.445107496027774</v>
      </c>
      <c r="Z286" s="645">
        <v>994.39393939393949</v>
      </c>
      <c r="AA286" s="645">
        <v>248.70674723416883</v>
      </c>
      <c r="AB286" s="645">
        <v>93.928049103898687</v>
      </c>
      <c r="AC286" s="645">
        <v>32.303919388897036</v>
      </c>
      <c r="AD286" s="645">
        <v>-91.079559998548305</v>
      </c>
      <c r="AE286" s="645">
        <v>-26.781463608290892</v>
      </c>
      <c r="AF286" s="645">
        <v>0</v>
      </c>
      <c r="AG286" s="645">
        <v>11.393749064396903</v>
      </c>
      <c r="AH286" s="645">
        <v>-515.37291498548086</v>
      </c>
      <c r="AI286" s="645">
        <v>-67.545290041896138</v>
      </c>
      <c r="AJ286" s="645">
        <v>-15.176589062401579</v>
      </c>
      <c r="AK286" s="645">
        <v>756.86854474071572</v>
      </c>
    </row>
    <row r="287" spans="3:37" x14ac:dyDescent="0.2">
      <c r="C287" s="634"/>
      <c r="D287" s="634">
        <v>0</v>
      </c>
      <c r="E287" s="634">
        <v>0</v>
      </c>
      <c r="F287" s="634">
        <v>0</v>
      </c>
      <c r="G287" s="634">
        <v>0</v>
      </c>
      <c r="H287" s="634">
        <v>0</v>
      </c>
      <c r="I287" s="634">
        <v>0</v>
      </c>
      <c r="J287" s="634">
        <v>0</v>
      </c>
      <c r="K287" s="634">
        <v>0</v>
      </c>
      <c r="L287" s="634">
        <v>0</v>
      </c>
      <c r="M287" s="634">
        <v>0</v>
      </c>
      <c r="N287" s="634">
        <v>0</v>
      </c>
      <c r="O287" s="634">
        <v>0</v>
      </c>
      <c r="P287" s="634">
        <v>0</v>
      </c>
      <c r="Q287" s="634">
        <v>0</v>
      </c>
      <c r="R287" s="634">
        <v>0</v>
      </c>
      <c r="S287" s="634">
        <v>0</v>
      </c>
      <c r="U287" s="634"/>
      <c r="V287" s="634">
        <v>0</v>
      </c>
      <c r="W287" s="634">
        <v>0</v>
      </c>
      <c r="X287" s="634">
        <v>0</v>
      </c>
      <c r="Y287" s="634">
        <v>0</v>
      </c>
      <c r="Z287" s="634">
        <v>0</v>
      </c>
      <c r="AA287" s="634">
        <v>0</v>
      </c>
      <c r="AB287" s="634">
        <v>0</v>
      </c>
      <c r="AC287" s="634">
        <v>0</v>
      </c>
      <c r="AD287" s="634">
        <v>0</v>
      </c>
      <c r="AE287" s="634">
        <v>0</v>
      </c>
      <c r="AF287" s="634">
        <v>0</v>
      </c>
      <c r="AG287" s="634">
        <v>0</v>
      </c>
      <c r="AH287" s="634">
        <v>0</v>
      </c>
      <c r="AI287" s="634">
        <v>0</v>
      </c>
      <c r="AJ287" s="634">
        <v>0</v>
      </c>
      <c r="AK287" s="634">
        <v>0</v>
      </c>
    </row>
    <row r="288" spans="3:37" x14ac:dyDescent="0.2">
      <c r="C288" s="646" t="s">
        <v>78</v>
      </c>
      <c r="D288" s="640">
        <v>6.2002081056415257</v>
      </c>
      <c r="E288" s="640">
        <v>0</v>
      </c>
      <c r="F288" s="640">
        <v>23.255205938178186</v>
      </c>
      <c r="G288" s="640">
        <v>101.12865293850786</v>
      </c>
      <c r="H288" s="640">
        <v>0</v>
      </c>
      <c r="I288" s="640">
        <v>0</v>
      </c>
      <c r="J288" s="640">
        <v>19.565687098295676</v>
      </c>
      <c r="K288" s="640">
        <v>1.7744589215827917</v>
      </c>
      <c r="L288" s="640">
        <v>0.87520713476562495</v>
      </c>
      <c r="M288" s="640">
        <v>2.0825226770622867</v>
      </c>
      <c r="N288" s="640">
        <v>0</v>
      </c>
      <c r="O288" s="640">
        <v>3.8067188808088001E-4</v>
      </c>
      <c r="P288" s="640">
        <v>109.76937284793219</v>
      </c>
      <c r="Q288" s="640">
        <v>16.103287978552984</v>
      </c>
      <c r="R288" s="640">
        <v>0.32868640136718752</v>
      </c>
      <c r="S288" s="648">
        <v>281.08367071377444</v>
      </c>
      <c r="U288" s="646" t="s">
        <v>78</v>
      </c>
      <c r="V288" s="640">
        <v>1.01942505552247</v>
      </c>
      <c r="W288" s="640">
        <v>0</v>
      </c>
      <c r="X288" s="640">
        <v>12.936117077553076</v>
      </c>
      <c r="Y288" s="640">
        <v>67.349539979102474</v>
      </c>
      <c r="Z288" s="640">
        <v>0</v>
      </c>
      <c r="AA288" s="640">
        <v>0</v>
      </c>
      <c r="AB288" s="640">
        <v>16.313565187348217</v>
      </c>
      <c r="AC288" s="640">
        <v>5.7022810919996436</v>
      </c>
      <c r="AD288" s="640">
        <v>2.2588896484375001</v>
      </c>
      <c r="AE288" s="640">
        <v>11.903885554581411</v>
      </c>
      <c r="AF288" s="640">
        <v>0</v>
      </c>
      <c r="AG288" s="640">
        <v>3.8067188808088001E-4</v>
      </c>
      <c r="AH288" s="640">
        <v>135.13428233654639</v>
      </c>
      <c r="AI288" s="640">
        <v>21.466888656055119</v>
      </c>
      <c r="AJ288" s="640">
        <v>5.7972734375000003</v>
      </c>
      <c r="AK288" s="648">
        <v>279.88252869653439</v>
      </c>
    </row>
    <row r="289" spans="3:37" x14ac:dyDescent="0.2">
      <c r="C289" s="646" t="s">
        <v>79</v>
      </c>
      <c r="D289" s="640">
        <v>0</v>
      </c>
      <c r="E289" s="640">
        <v>0</v>
      </c>
      <c r="F289" s="640">
        <v>291.38745921478562</v>
      </c>
      <c r="G289" s="640">
        <v>24.020829745272028</v>
      </c>
      <c r="H289" s="640">
        <v>0</v>
      </c>
      <c r="I289" s="640">
        <v>0</v>
      </c>
      <c r="J289" s="640">
        <v>0</v>
      </c>
      <c r="K289" s="640">
        <v>0</v>
      </c>
      <c r="L289" s="640">
        <v>28.280041762715456</v>
      </c>
      <c r="M289" s="640">
        <v>0.49022101520963324</v>
      </c>
      <c r="N289" s="640">
        <v>0</v>
      </c>
      <c r="O289" s="640">
        <v>0</v>
      </c>
      <c r="P289" s="640">
        <v>46.654707564142761</v>
      </c>
      <c r="Q289" s="640">
        <v>0</v>
      </c>
      <c r="R289" s="640">
        <v>1.1135281120019407</v>
      </c>
      <c r="S289" s="648">
        <v>391.94678741412741</v>
      </c>
      <c r="U289" s="646" t="s">
        <v>79</v>
      </c>
      <c r="V289" s="640">
        <v>0</v>
      </c>
      <c r="W289" s="640">
        <v>0</v>
      </c>
      <c r="X289" s="640">
        <v>152.5395921226515</v>
      </c>
      <c r="Y289" s="640">
        <v>18.931026789455995</v>
      </c>
      <c r="Z289" s="640">
        <v>0</v>
      </c>
      <c r="AA289" s="640">
        <v>0</v>
      </c>
      <c r="AB289" s="640">
        <v>0</v>
      </c>
      <c r="AC289" s="640">
        <v>0</v>
      </c>
      <c r="AD289" s="640">
        <v>49.546406871337183</v>
      </c>
      <c r="AE289" s="640">
        <v>3.3407694334334113</v>
      </c>
      <c r="AF289" s="640">
        <v>0</v>
      </c>
      <c r="AG289" s="640">
        <v>0</v>
      </c>
      <c r="AH289" s="640">
        <v>60.923926311544285</v>
      </c>
      <c r="AI289" s="640">
        <v>0</v>
      </c>
      <c r="AJ289" s="640">
        <v>2.0956611258816777</v>
      </c>
      <c r="AK289" s="648">
        <v>287.37738265430403</v>
      </c>
    </row>
    <row r="290" spans="3:37" x14ac:dyDescent="0.2">
      <c r="C290" s="646" t="s">
        <v>80</v>
      </c>
      <c r="D290" s="640">
        <v>0</v>
      </c>
      <c r="E290" s="640">
        <v>0</v>
      </c>
      <c r="F290" s="640">
        <v>24.366054746482678</v>
      </c>
      <c r="G290" s="640">
        <v>88.830627596834503</v>
      </c>
      <c r="H290" s="640">
        <v>0</v>
      </c>
      <c r="I290" s="640">
        <v>0</v>
      </c>
      <c r="J290" s="640">
        <v>86.298448588028648</v>
      </c>
      <c r="K290" s="640">
        <v>0</v>
      </c>
      <c r="L290" s="640">
        <v>0</v>
      </c>
      <c r="M290" s="640">
        <v>1.8128699509558064</v>
      </c>
      <c r="N290" s="640">
        <v>49.305914152356948</v>
      </c>
      <c r="O290" s="640">
        <v>1.9759423218950023</v>
      </c>
      <c r="P290" s="640">
        <v>183.08170703950353</v>
      </c>
      <c r="Q290" s="640">
        <v>15.629207143582217</v>
      </c>
      <c r="R290" s="640">
        <v>0</v>
      </c>
      <c r="S290" s="648">
        <v>451.3007715396393</v>
      </c>
      <c r="U290" s="646" t="s">
        <v>80</v>
      </c>
      <c r="V290" s="640">
        <v>0</v>
      </c>
      <c r="W290" s="640">
        <v>0</v>
      </c>
      <c r="X290" s="640">
        <v>1.5212022418020299</v>
      </c>
      <c r="Y290" s="640">
        <v>34.748278571527685</v>
      </c>
      <c r="Z290" s="640">
        <v>0</v>
      </c>
      <c r="AA290" s="640">
        <v>0</v>
      </c>
      <c r="AB290" s="640">
        <v>75.181836567082826</v>
      </c>
      <c r="AC290" s="640">
        <v>0</v>
      </c>
      <c r="AD290" s="640">
        <v>0</v>
      </c>
      <c r="AE290" s="640">
        <v>6.1320491596813564</v>
      </c>
      <c r="AF290" s="640">
        <v>62.645467095100628</v>
      </c>
      <c r="AG290" s="640">
        <v>2.6978117080871646</v>
      </c>
      <c r="AH290" s="640">
        <v>158.40967854762758</v>
      </c>
      <c r="AI290" s="640">
        <v>35.928967439236224</v>
      </c>
      <c r="AJ290" s="640">
        <v>0</v>
      </c>
      <c r="AK290" s="648">
        <v>377.26529133014549</v>
      </c>
    </row>
    <row r="291" spans="3:37" x14ac:dyDescent="0.2">
      <c r="C291" s="646" t="s">
        <v>81</v>
      </c>
      <c r="D291" s="640">
        <v>0</v>
      </c>
      <c r="E291" s="640">
        <v>0</v>
      </c>
      <c r="F291" s="640">
        <v>9.1434406229634497</v>
      </c>
      <c r="G291" s="640">
        <v>62.772902131190932</v>
      </c>
      <c r="H291" s="640">
        <v>0</v>
      </c>
      <c r="I291" s="640">
        <v>0</v>
      </c>
      <c r="J291" s="640">
        <v>3.3792389882828151</v>
      </c>
      <c r="K291" s="640">
        <v>2.5053216415896862E-2</v>
      </c>
      <c r="L291" s="640">
        <v>0</v>
      </c>
      <c r="M291" s="640">
        <v>1.2810796353304272</v>
      </c>
      <c r="N291" s="640">
        <v>8.5204805498073064</v>
      </c>
      <c r="O291" s="640">
        <v>0.77988306826531983</v>
      </c>
      <c r="P291" s="640">
        <v>134.9475862077569</v>
      </c>
      <c r="Q291" s="640">
        <v>3.8620862063760555</v>
      </c>
      <c r="R291" s="640">
        <v>0</v>
      </c>
      <c r="S291" s="648">
        <v>224.71175062638912</v>
      </c>
      <c r="U291" s="646" t="s">
        <v>81</v>
      </c>
      <c r="V291" s="640">
        <v>0</v>
      </c>
      <c r="W291" s="640">
        <v>0</v>
      </c>
      <c r="X291" s="640">
        <v>2.5747324311170368</v>
      </c>
      <c r="Y291" s="640">
        <v>28.050706446538126</v>
      </c>
      <c r="Z291" s="640">
        <v>0</v>
      </c>
      <c r="AA291" s="640">
        <v>0</v>
      </c>
      <c r="AB291" s="640">
        <v>7.5276105699702738</v>
      </c>
      <c r="AC291" s="640">
        <v>2.5053216415896862E-2</v>
      </c>
      <c r="AD291" s="640">
        <v>0</v>
      </c>
      <c r="AE291" s="640">
        <v>4.9501246670361398</v>
      </c>
      <c r="AF291" s="640">
        <v>14.347345485370148</v>
      </c>
      <c r="AG291" s="640">
        <v>1.6839822655905561</v>
      </c>
      <c r="AH291" s="640">
        <v>120.05488498756245</v>
      </c>
      <c r="AI291" s="640">
        <v>10.149433946604795</v>
      </c>
      <c r="AJ291" s="640">
        <v>0</v>
      </c>
      <c r="AK291" s="648">
        <v>189.36387401620541</v>
      </c>
    </row>
    <row r="292" spans="3:37" x14ac:dyDescent="0.2">
      <c r="C292" s="646" t="s">
        <v>82</v>
      </c>
      <c r="D292" s="640">
        <v>0</v>
      </c>
      <c r="E292" s="640">
        <v>0</v>
      </c>
      <c r="F292" s="640">
        <v>31.378359933180146</v>
      </c>
      <c r="G292" s="640">
        <v>1.761464702880946</v>
      </c>
      <c r="H292" s="640">
        <v>0</v>
      </c>
      <c r="I292" s="640">
        <v>0</v>
      </c>
      <c r="J292" s="640">
        <v>2.5129576329044134</v>
      </c>
      <c r="K292" s="640">
        <v>0</v>
      </c>
      <c r="L292" s="640">
        <v>2.7366524531426237</v>
      </c>
      <c r="M292" s="640">
        <v>3.5948259242468285E-2</v>
      </c>
      <c r="N292" s="640">
        <v>0</v>
      </c>
      <c r="O292" s="640">
        <v>7.8328904674825409E-2</v>
      </c>
      <c r="P292" s="640">
        <v>7.1029233048090266</v>
      </c>
      <c r="Q292" s="640">
        <v>0</v>
      </c>
      <c r="R292" s="640">
        <v>0</v>
      </c>
      <c r="S292" s="648">
        <v>45.606635190834446</v>
      </c>
      <c r="U292" s="646" t="s">
        <v>82</v>
      </c>
      <c r="V292" s="640">
        <v>0</v>
      </c>
      <c r="W292" s="640">
        <v>0</v>
      </c>
      <c r="X292" s="640">
        <v>18.696617357576709</v>
      </c>
      <c r="Y292" s="640">
        <v>1.906896096641761</v>
      </c>
      <c r="Z292" s="640">
        <v>0</v>
      </c>
      <c r="AA292" s="640">
        <v>0</v>
      </c>
      <c r="AB292" s="640">
        <v>2.5129576329044134</v>
      </c>
      <c r="AC292" s="640">
        <v>0</v>
      </c>
      <c r="AD292" s="640">
        <v>18.28747352858748</v>
      </c>
      <c r="AE292" s="640">
        <v>0.33651107587795781</v>
      </c>
      <c r="AF292" s="640">
        <v>0</v>
      </c>
      <c r="AG292" s="640">
        <v>0.96290247555165809</v>
      </c>
      <c r="AH292" s="640">
        <v>7.1739705565638916</v>
      </c>
      <c r="AI292" s="640">
        <v>0</v>
      </c>
      <c r="AJ292" s="640">
        <v>0.24940873791150003</v>
      </c>
      <c r="AK292" s="648">
        <v>50.12673746161537</v>
      </c>
    </row>
    <row r="293" spans="3:37" x14ac:dyDescent="0.2">
      <c r="C293" s="646" t="s">
        <v>354</v>
      </c>
      <c r="D293" s="640">
        <v>0</v>
      </c>
      <c r="E293" s="640">
        <v>0</v>
      </c>
      <c r="F293" s="640">
        <v>0</v>
      </c>
      <c r="G293" s="640">
        <v>0</v>
      </c>
      <c r="H293" s="640">
        <v>0</v>
      </c>
      <c r="I293" s="640">
        <v>0</v>
      </c>
      <c r="J293" s="640">
        <v>0</v>
      </c>
      <c r="K293" s="640">
        <v>0</v>
      </c>
      <c r="L293" s="640">
        <v>0</v>
      </c>
      <c r="M293" s="640">
        <v>0</v>
      </c>
      <c r="N293" s="640">
        <v>0</v>
      </c>
      <c r="O293" s="640">
        <v>0</v>
      </c>
      <c r="P293" s="640">
        <v>0.22499999999999998</v>
      </c>
      <c r="Q293" s="640">
        <v>0</v>
      </c>
      <c r="R293" s="640">
        <v>0</v>
      </c>
      <c r="S293" s="648">
        <v>0.22499999999999998</v>
      </c>
      <c r="U293" s="646" t="s">
        <v>354</v>
      </c>
      <c r="V293" s="640">
        <v>0</v>
      </c>
      <c r="W293" s="640">
        <v>0</v>
      </c>
      <c r="X293" s="640">
        <v>0</v>
      </c>
      <c r="Y293" s="640">
        <v>0</v>
      </c>
      <c r="Z293" s="640">
        <v>0</v>
      </c>
      <c r="AA293" s="640">
        <v>0</v>
      </c>
      <c r="AB293" s="640">
        <v>0</v>
      </c>
      <c r="AC293" s="640">
        <v>0</v>
      </c>
      <c r="AD293" s="640">
        <v>0</v>
      </c>
      <c r="AE293" s="640">
        <v>0</v>
      </c>
      <c r="AF293" s="640">
        <v>0</v>
      </c>
      <c r="AG293" s="640">
        <v>0</v>
      </c>
      <c r="AH293" s="640">
        <v>1.2</v>
      </c>
      <c r="AI293" s="640">
        <v>0</v>
      </c>
      <c r="AJ293" s="640">
        <v>0</v>
      </c>
      <c r="AK293" s="648">
        <v>1.2</v>
      </c>
    </row>
    <row r="294" spans="3:37" x14ac:dyDescent="0.2">
      <c r="C294" s="644" t="s">
        <v>83</v>
      </c>
      <c r="D294" s="645">
        <v>6.2002081056415257</v>
      </c>
      <c r="E294" s="645">
        <v>0</v>
      </c>
      <c r="F294" s="645">
        <v>379.53052045559002</v>
      </c>
      <c r="G294" s="645">
        <v>278.51447711468631</v>
      </c>
      <c r="H294" s="645">
        <v>0</v>
      </c>
      <c r="I294" s="645">
        <v>0</v>
      </c>
      <c r="J294" s="645">
        <v>111.75633230751156</v>
      </c>
      <c r="K294" s="645">
        <v>1.7995121379986885</v>
      </c>
      <c r="L294" s="645">
        <v>31.891901350623705</v>
      </c>
      <c r="M294" s="645">
        <v>5.7026415378006226</v>
      </c>
      <c r="N294" s="645">
        <v>57.826394702164251</v>
      </c>
      <c r="O294" s="645">
        <v>2.8345349667232282</v>
      </c>
      <c r="P294" s="645">
        <v>481.78129696414442</v>
      </c>
      <c r="Q294" s="645">
        <v>35.594581328511254</v>
      </c>
      <c r="R294" s="645">
        <v>1.4422145133691282</v>
      </c>
      <c r="S294" s="645">
        <v>1394.8746154847647</v>
      </c>
      <c r="U294" s="644" t="s">
        <v>83</v>
      </c>
      <c r="V294" s="645">
        <v>1.01942505552247</v>
      </c>
      <c r="W294" s="645">
        <v>0</v>
      </c>
      <c r="X294" s="645">
        <v>188.26826123070035</v>
      </c>
      <c r="Y294" s="645">
        <v>150.98644788326604</v>
      </c>
      <c r="Z294" s="645">
        <v>0</v>
      </c>
      <c r="AA294" s="645">
        <v>0</v>
      </c>
      <c r="AB294" s="645">
        <v>101.53596995730574</v>
      </c>
      <c r="AC294" s="645">
        <v>5.727334308415541</v>
      </c>
      <c r="AD294" s="645">
        <v>70.092770048362169</v>
      </c>
      <c r="AE294" s="645">
        <v>26.663339890610278</v>
      </c>
      <c r="AF294" s="645">
        <v>76.992812580470769</v>
      </c>
      <c r="AG294" s="645">
        <v>5.3450771211174599</v>
      </c>
      <c r="AH294" s="645">
        <v>482.89674273984457</v>
      </c>
      <c r="AI294" s="645">
        <v>67.545290041896138</v>
      </c>
      <c r="AJ294" s="645">
        <v>8.1423433012931774</v>
      </c>
      <c r="AK294" s="645">
        <v>1185.2158141588047</v>
      </c>
    </row>
    <row r="295" spans="3:37" x14ac:dyDescent="0.2">
      <c r="C295" s="639" t="s">
        <v>84</v>
      </c>
      <c r="D295" s="640">
        <v>0</v>
      </c>
      <c r="E295" s="640">
        <v>0</v>
      </c>
      <c r="F295" s="640">
        <v>114.78425758185857</v>
      </c>
      <c r="G295" s="640">
        <v>12.028714359769619</v>
      </c>
      <c r="H295" s="640">
        <v>0</v>
      </c>
      <c r="I295" s="640">
        <v>0</v>
      </c>
      <c r="J295" s="640">
        <v>0</v>
      </c>
      <c r="K295" s="640">
        <v>0</v>
      </c>
      <c r="L295" s="640">
        <v>0</v>
      </c>
      <c r="M295" s="640">
        <v>0</v>
      </c>
      <c r="N295" s="640">
        <v>0</v>
      </c>
      <c r="O295" s="640">
        <v>0</v>
      </c>
      <c r="P295" s="640">
        <v>0</v>
      </c>
      <c r="Q295" s="640">
        <v>0</v>
      </c>
      <c r="R295" s="640">
        <v>0.87448992412119186</v>
      </c>
      <c r="S295" s="648">
        <v>127.68746186574938</v>
      </c>
      <c r="U295" s="639" t="s">
        <v>84</v>
      </c>
      <c r="V295" s="640">
        <v>0</v>
      </c>
      <c r="W295" s="640">
        <v>0</v>
      </c>
      <c r="X295" s="640">
        <v>99.887922338380434</v>
      </c>
      <c r="Y295" s="640">
        <v>1.4617397027131513</v>
      </c>
      <c r="Z295" s="640">
        <v>0</v>
      </c>
      <c r="AA295" s="640">
        <v>0</v>
      </c>
      <c r="AB295" s="640">
        <v>0</v>
      </c>
      <c r="AC295" s="640">
        <v>0</v>
      </c>
      <c r="AD295" s="640">
        <v>9.6859590362548822</v>
      </c>
      <c r="AE295" s="640">
        <v>0</v>
      </c>
      <c r="AF295" s="640">
        <v>0</v>
      </c>
      <c r="AG295" s="640">
        <v>0</v>
      </c>
      <c r="AH295" s="640">
        <v>0</v>
      </c>
      <c r="AI295" s="640">
        <v>0</v>
      </c>
      <c r="AJ295" s="640">
        <v>7.0342457611083988</v>
      </c>
      <c r="AK295" s="648">
        <v>118.06986683845686</v>
      </c>
    </row>
    <row r="296" spans="3:37" x14ac:dyDescent="0.2">
      <c r="C296" s="644" t="s">
        <v>85</v>
      </c>
      <c r="D296" s="645">
        <v>6.2002081056415257</v>
      </c>
      <c r="E296" s="645">
        <v>0</v>
      </c>
      <c r="F296" s="645">
        <v>494.3147780374486</v>
      </c>
      <c r="G296" s="645">
        <v>290.54319147445591</v>
      </c>
      <c r="H296" s="645">
        <v>0</v>
      </c>
      <c r="I296" s="645">
        <v>0</v>
      </c>
      <c r="J296" s="645">
        <v>111.75633230751156</v>
      </c>
      <c r="K296" s="645">
        <v>1.7995121379986885</v>
      </c>
      <c r="L296" s="645">
        <v>31.891901350623705</v>
      </c>
      <c r="M296" s="645">
        <v>5.7026415378006226</v>
      </c>
      <c r="N296" s="645">
        <v>57.826394702164251</v>
      </c>
      <c r="O296" s="645">
        <v>2.8345349667232282</v>
      </c>
      <c r="P296" s="645">
        <v>481.78129696414442</v>
      </c>
      <c r="Q296" s="645">
        <v>35.594581328511254</v>
      </c>
      <c r="R296" s="645">
        <v>2.3167044374903201</v>
      </c>
      <c r="S296" s="645">
        <v>1522.5620773505141</v>
      </c>
      <c r="U296" s="644" t="s">
        <v>85</v>
      </c>
      <c r="V296" s="645">
        <v>1.01942505552247</v>
      </c>
      <c r="W296" s="645">
        <v>0</v>
      </c>
      <c r="X296" s="645">
        <v>288.15618356908084</v>
      </c>
      <c r="Y296" s="645">
        <v>152.44818758597918</v>
      </c>
      <c r="Z296" s="645">
        <v>0</v>
      </c>
      <c r="AA296" s="645">
        <v>0</v>
      </c>
      <c r="AB296" s="645">
        <v>101.53596995730574</v>
      </c>
      <c r="AC296" s="645">
        <v>5.727334308415541</v>
      </c>
      <c r="AD296" s="645">
        <v>79.778729084617055</v>
      </c>
      <c r="AE296" s="645">
        <v>26.663339890610278</v>
      </c>
      <c r="AF296" s="645">
        <v>76.992812580470769</v>
      </c>
      <c r="AG296" s="645">
        <v>5.3450771211174599</v>
      </c>
      <c r="AH296" s="645">
        <v>482.89674273984457</v>
      </c>
      <c r="AI296" s="645">
        <v>67.545290041896138</v>
      </c>
      <c r="AJ296" s="645">
        <v>15.176589062401575</v>
      </c>
      <c r="AK296" s="645">
        <v>1303.2856809972616</v>
      </c>
    </row>
    <row r="297" spans="3:37" x14ac:dyDescent="0.2">
      <c r="C297" s="634"/>
      <c r="D297" s="634"/>
      <c r="E297" s="634"/>
      <c r="F297" s="634"/>
      <c r="G297" s="634"/>
      <c r="H297" s="634"/>
      <c r="I297" s="634"/>
      <c r="J297" s="634"/>
      <c r="K297" s="634"/>
      <c r="L297" s="634"/>
      <c r="M297" s="634"/>
      <c r="N297" s="634"/>
      <c r="O297" s="634"/>
      <c r="P297" s="634"/>
      <c r="Q297" s="634"/>
      <c r="R297" s="634"/>
      <c r="S297" s="634"/>
      <c r="U297" s="634"/>
      <c r="V297" s="634"/>
      <c r="W297" s="634"/>
      <c r="X297" s="634"/>
      <c r="Y297" s="634"/>
      <c r="Z297" s="634"/>
      <c r="AA297" s="634"/>
      <c r="AB297" s="634"/>
      <c r="AC297" s="634"/>
      <c r="AD297" s="634"/>
      <c r="AE297" s="634"/>
      <c r="AF297" s="634"/>
      <c r="AG297" s="634"/>
      <c r="AH297" s="634"/>
      <c r="AI297" s="634"/>
      <c r="AJ297" s="634"/>
      <c r="AK297" s="634"/>
    </row>
    <row r="298" spans="3:37" ht="22.5" x14ac:dyDescent="0.3">
      <c r="C298" s="759" t="s">
        <v>359</v>
      </c>
      <c r="D298" s="759"/>
      <c r="E298" s="759"/>
      <c r="F298" s="759"/>
      <c r="G298" s="759"/>
      <c r="H298" s="759"/>
      <c r="I298" s="759"/>
      <c r="J298" s="759"/>
      <c r="K298" s="759"/>
      <c r="L298" s="759"/>
      <c r="M298" s="759"/>
      <c r="N298" s="759"/>
      <c r="O298" s="759"/>
      <c r="P298" s="759"/>
      <c r="Q298" s="759"/>
      <c r="R298" s="759"/>
      <c r="S298" s="759"/>
      <c r="U298" s="759" t="s">
        <v>359</v>
      </c>
      <c r="V298" s="759"/>
      <c r="W298" s="759"/>
      <c r="X298" s="759"/>
      <c r="Y298" s="759"/>
      <c r="Z298" s="759"/>
      <c r="AA298" s="759"/>
      <c r="AB298" s="759"/>
      <c r="AC298" s="759"/>
      <c r="AD298" s="759"/>
      <c r="AE298" s="759"/>
      <c r="AF298" s="759"/>
      <c r="AG298" s="759"/>
      <c r="AH298" s="759"/>
      <c r="AI298" s="759"/>
      <c r="AJ298" s="759"/>
      <c r="AK298" s="759"/>
    </row>
    <row r="299" spans="3:37" x14ac:dyDescent="0.2">
      <c r="C299" s="634"/>
      <c r="D299" s="634"/>
      <c r="E299" s="634"/>
      <c r="F299" s="634"/>
      <c r="G299" s="634"/>
      <c r="H299" s="634"/>
      <c r="I299" s="634"/>
      <c r="J299" s="634"/>
      <c r="K299" s="634"/>
      <c r="L299" s="634"/>
      <c r="M299" s="634"/>
      <c r="N299" s="634"/>
      <c r="O299" s="634"/>
      <c r="P299" s="634"/>
      <c r="Q299" s="634"/>
      <c r="R299" s="634"/>
      <c r="S299" s="634"/>
      <c r="U299" s="634"/>
      <c r="V299" s="634"/>
      <c r="W299" s="634"/>
      <c r="X299" s="634"/>
      <c r="Y299" s="634"/>
      <c r="Z299" s="634"/>
      <c r="AA299" s="634"/>
      <c r="AB299" s="634"/>
      <c r="AC299" s="634"/>
      <c r="AD299" s="634"/>
      <c r="AE299" s="634"/>
      <c r="AF299" s="634"/>
      <c r="AG299" s="634"/>
      <c r="AH299" s="634"/>
      <c r="AI299" s="634"/>
      <c r="AJ299" s="634"/>
      <c r="AK299" s="634"/>
    </row>
    <row r="300" spans="3:37" ht="12.95" customHeight="1" x14ac:dyDescent="0.2">
      <c r="C300" s="758" t="s">
        <v>128</v>
      </c>
      <c r="D300" s="757" t="s">
        <v>42</v>
      </c>
      <c r="E300" s="757" t="s">
        <v>52</v>
      </c>
      <c r="F300" s="757" t="s">
        <v>53</v>
      </c>
      <c r="G300" s="757" t="s">
        <v>32</v>
      </c>
      <c r="H300" s="757" t="s">
        <v>20</v>
      </c>
      <c r="I300" s="757" t="s">
        <v>55</v>
      </c>
      <c r="J300" s="757" t="s">
        <v>56</v>
      </c>
      <c r="K300" s="757"/>
      <c r="L300" s="757"/>
      <c r="M300" s="757"/>
      <c r="N300" s="757"/>
      <c r="O300" s="757"/>
      <c r="P300" s="757" t="s">
        <v>57</v>
      </c>
      <c r="Q300" s="757" t="s">
        <v>58</v>
      </c>
      <c r="R300" s="757" t="s">
        <v>31</v>
      </c>
      <c r="S300" s="757" t="s">
        <v>10</v>
      </c>
      <c r="U300" s="758" t="s">
        <v>128</v>
      </c>
      <c r="V300" s="757" t="s">
        <v>42</v>
      </c>
      <c r="W300" s="757" t="s">
        <v>52</v>
      </c>
      <c r="X300" s="757" t="s">
        <v>53</v>
      </c>
      <c r="Y300" s="757" t="s">
        <v>32</v>
      </c>
      <c r="Z300" s="757" t="s">
        <v>20</v>
      </c>
      <c r="AA300" s="757" t="s">
        <v>55</v>
      </c>
      <c r="AB300" s="757" t="s">
        <v>56</v>
      </c>
      <c r="AC300" s="757"/>
      <c r="AD300" s="757"/>
      <c r="AE300" s="757"/>
      <c r="AF300" s="757"/>
      <c r="AG300" s="757"/>
      <c r="AH300" s="757" t="s">
        <v>57</v>
      </c>
      <c r="AI300" s="757" t="s">
        <v>58</v>
      </c>
      <c r="AJ300" s="757" t="s">
        <v>31</v>
      </c>
      <c r="AK300" s="757" t="s">
        <v>10</v>
      </c>
    </row>
    <row r="301" spans="3:37" ht="56.25" x14ac:dyDescent="0.2">
      <c r="C301" s="758"/>
      <c r="D301" s="757"/>
      <c r="E301" s="757"/>
      <c r="F301" s="757"/>
      <c r="G301" s="757"/>
      <c r="H301" s="757"/>
      <c r="I301" s="757"/>
      <c r="J301" s="638" t="s">
        <v>335</v>
      </c>
      <c r="K301" s="638" t="s">
        <v>40</v>
      </c>
      <c r="L301" s="638" t="s">
        <v>343</v>
      </c>
      <c r="M301" s="638" t="s">
        <v>344</v>
      </c>
      <c r="N301" s="638" t="s">
        <v>345</v>
      </c>
      <c r="O301" s="638" t="s">
        <v>346</v>
      </c>
      <c r="P301" s="757"/>
      <c r="Q301" s="757"/>
      <c r="R301" s="757"/>
      <c r="S301" s="757"/>
      <c r="U301" s="758"/>
      <c r="V301" s="757"/>
      <c r="W301" s="757"/>
      <c r="X301" s="757"/>
      <c r="Y301" s="757"/>
      <c r="Z301" s="757"/>
      <c r="AA301" s="757"/>
      <c r="AB301" s="638" t="s">
        <v>335</v>
      </c>
      <c r="AC301" s="638" t="s">
        <v>40</v>
      </c>
      <c r="AD301" s="638" t="s">
        <v>343</v>
      </c>
      <c r="AE301" s="638" t="s">
        <v>344</v>
      </c>
      <c r="AF301" s="638" t="s">
        <v>345</v>
      </c>
      <c r="AG301" s="638" t="s">
        <v>346</v>
      </c>
      <c r="AH301" s="757"/>
      <c r="AI301" s="757"/>
      <c r="AJ301" s="757"/>
      <c r="AK301" s="757"/>
    </row>
    <row r="302" spans="3:37" x14ac:dyDescent="0.2">
      <c r="C302" s="639" t="s">
        <v>59</v>
      </c>
      <c r="D302" s="640">
        <v>0</v>
      </c>
      <c r="E302" s="641">
        <v>2.3260000000000005</v>
      </c>
      <c r="F302" s="641">
        <v>0</v>
      </c>
      <c r="G302" s="640">
        <v>3.7216000000000006E-2</v>
      </c>
      <c r="H302" s="641">
        <v>1005.4545454545456</v>
      </c>
      <c r="I302" s="641">
        <v>248.9826967827097</v>
      </c>
      <c r="J302" s="641">
        <v>189.82090717884753</v>
      </c>
      <c r="K302" s="641">
        <v>21.067323208066789</v>
      </c>
      <c r="L302" s="641">
        <v>0.444514092196865</v>
      </c>
      <c r="M302" s="641">
        <v>0.15770970126630299</v>
      </c>
      <c r="N302" s="641">
        <v>60.832905155553725</v>
      </c>
      <c r="O302" s="641">
        <v>10.347989753579439</v>
      </c>
      <c r="P302" s="642">
        <v>0</v>
      </c>
      <c r="Q302" s="641">
        <v>0</v>
      </c>
      <c r="R302" s="641">
        <v>0</v>
      </c>
      <c r="S302" s="643">
        <v>1539.4718073267661</v>
      </c>
      <c r="U302" s="639" t="s">
        <v>59</v>
      </c>
      <c r="V302" s="640">
        <v>0</v>
      </c>
      <c r="W302" s="641">
        <v>2.3260000000000005</v>
      </c>
      <c r="X302" s="641">
        <v>0</v>
      </c>
      <c r="Y302" s="640">
        <v>3.7216000000000006E-2</v>
      </c>
      <c r="Z302" s="641">
        <v>949.39393939393938</v>
      </c>
      <c r="AA302" s="641">
        <v>279.58269678270966</v>
      </c>
      <c r="AB302" s="641">
        <v>196.53145821434362</v>
      </c>
      <c r="AC302" s="641">
        <v>37.828582612394825</v>
      </c>
      <c r="AD302" s="641">
        <v>0.444514092196865</v>
      </c>
      <c r="AE302" s="641">
        <v>0.15770970126630299</v>
      </c>
      <c r="AF302" s="641">
        <v>86.476611770328219</v>
      </c>
      <c r="AG302" s="641">
        <v>21.065809354780896</v>
      </c>
      <c r="AH302" s="642">
        <v>0</v>
      </c>
      <c r="AI302" s="641">
        <v>0</v>
      </c>
      <c r="AJ302" s="641">
        <v>0</v>
      </c>
      <c r="AK302" s="643">
        <v>1573.8445379219597</v>
      </c>
    </row>
    <row r="303" spans="3:37" x14ac:dyDescent="0.2">
      <c r="C303" s="639" t="s">
        <v>60</v>
      </c>
      <c r="D303" s="640">
        <v>48.372001461449948</v>
      </c>
      <c r="E303" s="641">
        <v>509.74501402008315</v>
      </c>
      <c r="F303" s="641">
        <v>84.255119008679685</v>
      </c>
      <c r="G303" s="640">
        <v>333.85211586331565</v>
      </c>
      <c r="H303" s="641">
        <v>0</v>
      </c>
      <c r="I303" s="641">
        <v>0</v>
      </c>
      <c r="J303" s="641">
        <v>4.1218275156281265</v>
      </c>
      <c r="K303" s="641">
        <v>0</v>
      </c>
      <c r="L303" s="641">
        <v>2.2815668000430724</v>
      </c>
      <c r="M303" s="641">
        <v>0</v>
      </c>
      <c r="N303" s="641">
        <v>0</v>
      </c>
      <c r="O303" s="641">
        <v>0</v>
      </c>
      <c r="P303" s="642">
        <v>0</v>
      </c>
      <c r="Q303" s="641">
        <v>0</v>
      </c>
      <c r="R303" s="641">
        <v>0</v>
      </c>
      <c r="S303" s="643">
        <v>982.62764466919975</v>
      </c>
      <c r="U303" s="639" t="s">
        <v>60</v>
      </c>
      <c r="V303" s="640">
        <v>8.3965846696126416</v>
      </c>
      <c r="W303" s="641">
        <v>294.49378048971494</v>
      </c>
      <c r="X303" s="641">
        <v>18.517216360631103</v>
      </c>
      <c r="Y303" s="640">
        <v>163.11536747865699</v>
      </c>
      <c r="Z303" s="641">
        <v>0</v>
      </c>
      <c r="AA303" s="641">
        <v>0</v>
      </c>
      <c r="AB303" s="641">
        <v>4.1218275156281265</v>
      </c>
      <c r="AC303" s="641">
        <v>0</v>
      </c>
      <c r="AD303" s="641">
        <v>2.2815668000430724</v>
      </c>
      <c r="AE303" s="641">
        <v>0</v>
      </c>
      <c r="AF303" s="641">
        <v>0</v>
      </c>
      <c r="AG303" s="641">
        <v>0</v>
      </c>
      <c r="AH303" s="642">
        <v>0</v>
      </c>
      <c r="AI303" s="641">
        <v>0</v>
      </c>
      <c r="AJ303" s="641">
        <v>0</v>
      </c>
      <c r="AK303" s="643">
        <v>490.9263433142869</v>
      </c>
    </row>
    <row r="304" spans="3:37" x14ac:dyDescent="0.2">
      <c r="C304" s="639" t="s">
        <v>61</v>
      </c>
      <c r="D304" s="640">
        <v>0</v>
      </c>
      <c r="E304" s="641">
        <v>0</v>
      </c>
      <c r="F304" s="641">
        <v>0</v>
      </c>
      <c r="G304" s="640">
        <v>0</v>
      </c>
      <c r="H304" s="641">
        <v>0</v>
      </c>
      <c r="I304" s="641">
        <v>0</v>
      </c>
      <c r="J304" s="641">
        <v>0</v>
      </c>
      <c r="K304" s="641">
        <v>0</v>
      </c>
      <c r="L304" s="641">
        <v>0</v>
      </c>
      <c r="M304" s="641">
        <v>0</v>
      </c>
      <c r="N304" s="641">
        <v>0</v>
      </c>
      <c r="O304" s="641">
        <v>0</v>
      </c>
      <c r="P304" s="642">
        <v>-38.942042128507637</v>
      </c>
      <c r="Q304" s="641">
        <v>0</v>
      </c>
      <c r="R304" s="641">
        <v>0</v>
      </c>
      <c r="S304" s="643">
        <v>-38.942042128507637</v>
      </c>
      <c r="U304" s="639" t="s">
        <v>61</v>
      </c>
      <c r="V304" s="640">
        <v>0</v>
      </c>
      <c r="W304" s="641">
        <v>0</v>
      </c>
      <c r="X304" s="641">
        <v>0</v>
      </c>
      <c r="Y304" s="640">
        <v>0</v>
      </c>
      <c r="Z304" s="641">
        <v>0</v>
      </c>
      <c r="AA304" s="641">
        <v>0</v>
      </c>
      <c r="AB304" s="641">
        <v>0</v>
      </c>
      <c r="AC304" s="641">
        <v>0</v>
      </c>
      <c r="AD304" s="641">
        <v>0</v>
      </c>
      <c r="AE304" s="641">
        <v>0</v>
      </c>
      <c r="AF304" s="641">
        <v>0</v>
      </c>
      <c r="AG304" s="641">
        <v>0</v>
      </c>
      <c r="AH304" s="642">
        <v>-20.693548582118865</v>
      </c>
      <c r="AI304" s="641">
        <v>0</v>
      </c>
      <c r="AJ304" s="641">
        <v>0</v>
      </c>
      <c r="AK304" s="643">
        <v>-20.693548582118865</v>
      </c>
    </row>
    <row r="305" spans="3:37" x14ac:dyDescent="0.2">
      <c r="C305" s="639" t="s">
        <v>62</v>
      </c>
      <c r="D305" s="640">
        <v>0</v>
      </c>
      <c r="E305" s="641">
        <v>0</v>
      </c>
      <c r="F305" s="641">
        <v>-16.016991189558784</v>
      </c>
      <c r="G305" s="640">
        <v>0</v>
      </c>
      <c r="H305" s="641">
        <v>0</v>
      </c>
      <c r="I305" s="641">
        <v>0</v>
      </c>
      <c r="J305" s="641">
        <v>0</v>
      </c>
      <c r="K305" s="641">
        <v>0</v>
      </c>
      <c r="L305" s="641">
        <v>0</v>
      </c>
      <c r="M305" s="641">
        <v>0</v>
      </c>
      <c r="N305" s="641">
        <v>0</v>
      </c>
      <c r="O305" s="641">
        <v>0</v>
      </c>
      <c r="P305" s="642">
        <v>0</v>
      </c>
      <c r="Q305" s="641">
        <v>0</v>
      </c>
      <c r="R305" s="641">
        <v>0</v>
      </c>
      <c r="S305" s="643">
        <v>-16.016991189558784</v>
      </c>
      <c r="U305" s="639" t="s">
        <v>62</v>
      </c>
      <c r="V305" s="640">
        <v>0</v>
      </c>
      <c r="W305" s="641">
        <v>0</v>
      </c>
      <c r="X305" s="641">
        <v>-11.216317309287092</v>
      </c>
      <c r="Y305" s="640">
        <v>-1.9971079411498778</v>
      </c>
      <c r="Z305" s="641">
        <v>0</v>
      </c>
      <c r="AA305" s="641">
        <v>0</v>
      </c>
      <c r="AB305" s="641">
        <v>0</v>
      </c>
      <c r="AC305" s="641">
        <v>0</v>
      </c>
      <c r="AD305" s="641">
        <v>0</v>
      </c>
      <c r="AE305" s="641">
        <v>-0.69888193239441998</v>
      </c>
      <c r="AF305" s="641">
        <v>0</v>
      </c>
      <c r="AG305" s="641">
        <v>0</v>
      </c>
      <c r="AH305" s="642">
        <v>0</v>
      </c>
      <c r="AI305" s="641">
        <v>0</v>
      </c>
      <c r="AJ305" s="641">
        <v>0</v>
      </c>
      <c r="AK305" s="643">
        <v>-13.912307182831389</v>
      </c>
    </row>
    <row r="306" spans="3:37" x14ac:dyDescent="0.2">
      <c r="C306" s="639" t="s">
        <v>63</v>
      </c>
      <c r="D306" s="640">
        <v>0</v>
      </c>
      <c r="E306" s="641">
        <v>0</v>
      </c>
      <c r="F306" s="641">
        <v>-85.676103269538828</v>
      </c>
      <c r="G306" s="640">
        <v>0</v>
      </c>
      <c r="H306" s="641">
        <v>0</v>
      </c>
      <c r="I306" s="641">
        <v>0</v>
      </c>
      <c r="J306" s="641">
        <v>0</v>
      </c>
      <c r="K306" s="641">
        <v>0</v>
      </c>
      <c r="L306" s="641">
        <v>-0.88445591317339634</v>
      </c>
      <c r="M306" s="641">
        <v>0</v>
      </c>
      <c r="N306" s="641">
        <v>0</v>
      </c>
      <c r="O306" s="641">
        <v>0</v>
      </c>
      <c r="P306" s="642">
        <v>0</v>
      </c>
      <c r="Q306" s="641">
        <v>0</v>
      </c>
      <c r="R306" s="641">
        <v>0</v>
      </c>
      <c r="S306" s="643">
        <v>-86.560559182712225</v>
      </c>
      <c r="U306" s="639" t="s">
        <v>63</v>
      </c>
      <c r="V306" s="640">
        <v>0</v>
      </c>
      <c r="W306" s="641">
        <v>0</v>
      </c>
      <c r="X306" s="641">
        <v>-61.793178017106612</v>
      </c>
      <c r="Y306" s="640">
        <v>0</v>
      </c>
      <c r="Z306" s="641">
        <v>0</v>
      </c>
      <c r="AA306" s="641">
        <v>0</v>
      </c>
      <c r="AB306" s="641">
        <v>0</v>
      </c>
      <c r="AC306" s="641">
        <v>0</v>
      </c>
      <c r="AD306" s="641">
        <v>-20.442150229714262</v>
      </c>
      <c r="AE306" s="641">
        <v>0</v>
      </c>
      <c r="AF306" s="641">
        <v>0</v>
      </c>
      <c r="AG306" s="641">
        <v>0</v>
      </c>
      <c r="AH306" s="642">
        <v>0</v>
      </c>
      <c r="AI306" s="641">
        <v>0</v>
      </c>
      <c r="AJ306" s="641">
        <v>0</v>
      </c>
      <c r="AK306" s="643">
        <v>-82.23532824682087</v>
      </c>
    </row>
    <row r="307" spans="3:37" x14ac:dyDescent="0.2">
      <c r="C307" s="639" t="s">
        <v>64</v>
      </c>
      <c r="D307" s="640">
        <v>0</v>
      </c>
      <c r="E307" s="641">
        <v>0</v>
      </c>
      <c r="F307" s="641">
        <v>0</v>
      </c>
      <c r="G307" s="640">
        <v>0</v>
      </c>
      <c r="H307" s="641">
        <v>0</v>
      </c>
      <c r="I307" s="641">
        <v>0</v>
      </c>
      <c r="J307" s="641">
        <v>0</v>
      </c>
      <c r="K307" s="641">
        <v>0</v>
      </c>
      <c r="L307" s="641">
        <v>0</v>
      </c>
      <c r="M307" s="641">
        <v>0</v>
      </c>
      <c r="N307" s="641">
        <v>0</v>
      </c>
      <c r="O307" s="641">
        <v>0</v>
      </c>
      <c r="P307" s="642">
        <v>0</v>
      </c>
      <c r="Q307" s="641">
        <v>0</v>
      </c>
      <c r="R307" s="641">
        <v>0</v>
      </c>
      <c r="S307" s="643">
        <v>0</v>
      </c>
      <c r="U307" s="639" t="s">
        <v>64</v>
      </c>
      <c r="V307" s="640">
        <v>0</v>
      </c>
      <c r="W307" s="641">
        <v>0</v>
      </c>
      <c r="X307" s="641">
        <v>0</v>
      </c>
      <c r="Y307" s="640">
        <v>0</v>
      </c>
      <c r="Z307" s="641">
        <v>0</v>
      </c>
      <c r="AA307" s="641">
        <v>0</v>
      </c>
      <c r="AB307" s="641">
        <v>0</v>
      </c>
      <c r="AC307" s="641">
        <v>0</v>
      </c>
      <c r="AD307" s="641">
        <v>0</v>
      </c>
      <c r="AE307" s="641">
        <v>0</v>
      </c>
      <c r="AF307" s="641">
        <v>0</v>
      </c>
      <c r="AG307" s="641">
        <v>0</v>
      </c>
      <c r="AH307" s="642">
        <v>0</v>
      </c>
      <c r="AI307" s="641">
        <v>0</v>
      </c>
      <c r="AJ307" s="641">
        <v>0</v>
      </c>
      <c r="AK307" s="643">
        <v>0</v>
      </c>
    </row>
    <row r="308" spans="3:37" x14ac:dyDescent="0.2">
      <c r="C308" s="644" t="s">
        <v>65</v>
      </c>
      <c r="D308" s="645">
        <v>48.372001461449948</v>
      </c>
      <c r="E308" s="645">
        <v>512.07101402008311</v>
      </c>
      <c r="F308" s="645">
        <v>-17.437975450417916</v>
      </c>
      <c r="G308" s="645">
        <v>333.88933186331565</v>
      </c>
      <c r="H308" s="645">
        <v>1005.4545454545456</v>
      </c>
      <c r="I308" s="645">
        <v>248.9826967827097</v>
      </c>
      <c r="J308" s="645">
        <v>193.94273469447566</v>
      </c>
      <c r="K308" s="645">
        <v>21.067323208066789</v>
      </c>
      <c r="L308" s="645">
        <v>1.8416249790665411</v>
      </c>
      <c r="M308" s="645">
        <v>0.15770970126630299</v>
      </c>
      <c r="N308" s="645">
        <v>60.832905155553725</v>
      </c>
      <c r="O308" s="645">
        <v>10.347989753579439</v>
      </c>
      <c r="P308" s="645">
        <v>-38.942042128507637</v>
      </c>
      <c r="Q308" s="645">
        <v>0</v>
      </c>
      <c r="R308" s="645">
        <v>0</v>
      </c>
      <c r="S308" s="645">
        <v>2380.5798594951875</v>
      </c>
      <c r="U308" s="644" t="s">
        <v>65</v>
      </c>
      <c r="V308" s="645">
        <v>8.3965846696126416</v>
      </c>
      <c r="W308" s="645">
        <v>296.81978048971496</v>
      </c>
      <c r="X308" s="645">
        <v>-54.492278965762601</v>
      </c>
      <c r="Y308" s="645">
        <v>161.15547553750713</v>
      </c>
      <c r="Z308" s="645">
        <v>949.39393939393938</v>
      </c>
      <c r="AA308" s="645">
        <v>279.58269678270966</v>
      </c>
      <c r="AB308" s="645">
        <v>200.65328572997174</v>
      </c>
      <c r="AC308" s="645">
        <v>37.828582612394825</v>
      </c>
      <c r="AD308" s="645">
        <v>-17.716069337474323</v>
      </c>
      <c r="AE308" s="645">
        <v>-0.54117223112811697</v>
      </c>
      <c r="AF308" s="645">
        <v>86.476611770328219</v>
      </c>
      <c r="AG308" s="645">
        <v>21.065809354780896</v>
      </c>
      <c r="AH308" s="645">
        <v>-20.693548582118865</v>
      </c>
      <c r="AI308" s="645">
        <v>0</v>
      </c>
      <c r="AJ308" s="645">
        <v>0</v>
      </c>
      <c r="AK308" s="645">
        <v>1947.9296972244754</v>
      </c>
    </row>
    <row r="309" spans="3:37" x14ac:dyDescent="0.2">
      <c r="C309" s="634"/>
      <c r="D309" s="634">
        <v>0</v>
      </c>
      <c r="E309" s="634">
        <v>0</v>
      </c>
      <c r="F309" s="634">
        <v>0</v>
      </c>
      <c r="G309" s="634">
        <v>0</v>
      </c>
      <c r="H309" s="634">
        <v>0</v>
      </c>
      <c r="I309" s="634">
        <v>0</v>
      </c>
      <c r="J309" s="634">
        <v>0</v>
      </c>
      <c r="K309" s="634">
        <v>0</v>
      </c>
      <c r="L309" s="634">
        <v>0</v>
      </c>
      <c r="M309" s="634">
        <v>0</v>
      </c>
      <c r="N309" s="634">
        <v>0</v>
      </c>
      <c r="O309" s="634">
        <v>0</v>
      </c>
      <c r="P309" s="634">
        <v>0</v>
      </c>
      <c r="Q309" s="634">
        <v>0</v>
      </c>
      <c r="R309" s="634">
        <v>0</v>
      </c>
      <c r="S309" s="634">
        <v>0</v>
      </c>
      <c r="U309" s="634"/>
      <c r="V309" s="634">
        <v>0</v>
      </c>
      <c r="W309" s="634">
        <v>0</v>
      </c>
      <c r="X309" s="634">
        <v>0</v>
      </c>
      <c r="Y309" s="634">
        <v>0</v>
      </c>
      <c r="Z309" s="634">
        <v>0</v>
      </c>
      <c r="AA309" s="634">
        <v>0</v>
      </c>
      <c r="AB309" s="634">
        <v>0</v>
      </c>
      <c r="AC309" s="634">
        <v>0</v>
      </c>
      <c r="AD309" s="634">
        <v>0</v>
      </c>
      <c r="AE309" s="634">
        <v>0</v>
      </c>
      <c r="AF309" s="634">
        <v>0</v>
      </c>
      <c r="AG309" s="634">
        <v>0</v>
      </c>
      <c r="AH309" s="634">
        <v>0</v>
      </c>
      <c r="AI309" s="634">
        <v>0</v>
      </c>
      <c r="AJ309" s="634">
        <v>0</v>
      </c>
      <c r="AK309" s="634">
        <v>0</v>
      </c>
    </row>
    <row r="310" spans="3:37" x14ac:dyDescent="0.2">
      <c r="C310" s="646" t="s">
        <v>67</v>
      </c>
      <c r="D310" s="640">
        <v>0</v>
      </c>
      <c r="E310" s="647">
        <v>0</v>
      </c>
      <c r="F310" s="647">
        <v>0</v>
      </c>
      <c r="G310" s="640">
        <v>0</v>
      </c>
      <c r="H310" s="640">
        <v>0</v>
      </c>
      <c r="I310" s="640">
        <v>0</v>
      </c>
      <c r="J310" s="640">
        <v>0</v>
      </c>
      <c r="K310" s="640">
        <v>0</v>
      </c>
      <c r="L310" s="640">
        <v>0</v>
      </c>
      <c r="M310" s="640">
        <v>0</v>
      </c>
      <c r="N310" s="640">
        <v>0</v>
      </c>
      <c r="O310" s="640">
        <v>0</v>
      </c>
      <c r="P310" s="640">
        <v>0</v>
      </c>
      <c r="Q310" s="640">
        <v>0</v>
      </c>
      <c r="R310" s="640">
        <v>0</v>
      </c>
      <c r="S310" s="648">
        <v>0</v>
      </c>
      <c r="U310" s="646" t="s">
        <v>67</v>
      </c>
      <c r="V310" s="640">
        <v>0</v>
      </c>
      <c r="W310" s="647">
        <v>0</v>
      </c>
      <c r="X310" s="647">
        <v>0</v>
      </c>
      <c r="Y310" s="640">
        <v>0</v>
      </c>
      <c r="Z310" s="640">
        <v>0</v>
      </c>
      <c r="AA310" s="640">
        <v>0</v>
      </c>
      <c r="AB310" s="640">
        <v>0</v>
      </c>
      <c r="AC310" s="640">
        <v>0</v>
      </c>
      <c r="AD310" s="640">
        <v>0</v>
      </c>
      <c r="AE310" s="640">
        <v>0</v>
      </c>
      <c r="AF310" s="640">
        <v>0</v>
      </c>
      <c r="AG310" s="640">
        <v>0</v>
      </c>
      <c r="AH310" s="640">
        <v>0</v>
      </c>
      <c r="AI310" s="640">
        <v>0</v>
      </c>
      <c r="AJ310" s="640">
        <v>0</v>
      </c>
      <c r="AK310" s="648">
        <v>0</v>
      </c>
    </row>
    <row r="311" spans="3:37" x14ac:dyDescent="0.2">
      <c r="C311" s="646" t="s">
        <v>347</v>
      </c>
      <c r="D311" s="640">
        <v>2.8267856410252494</v>
      </c>
      <c r="E311" s="640">
        <v>0</v>
      </c>
      <c r="F311" s="640">
        <v>7.7008933134364401</v>
      </c>
      <c r="G311" s="640">
        <v>17.192982456140349</v>
      </c>
      <c r="H311" s="640">
        <v>1005.4545454545456</v>
      </c>
      <c r="I311" s="640">
        <v>248.9826967827097</v>
      </c>
      <c r="J311" s="649">
        <v>29.95115714704033</v>
      </c>
      <c r="K311" s="649">
        <v>7.1699357941539494</v>
      </c>
      <c r="L311" s="649">
        <v>2.7260808922399375</v>
      </c>
      <c r="M311" s="649">
        <v>0.47574727688811397</v>
      </c>
      <c r="N311" s="649">
        <v>0</v>
      </c>
      <c r="O311" s="649">
        <v>5.3758847536792693</v>
      </c>
      <c r="P311" s="640">
        <v>-611.6040304377284</v>
      </c>
      <c r="Q311" s="640">
        <v>0</v>
      </c>
      <c r="R311" s="640">
        <v>0</v>
      </c>
      <c r="S311" s="648">
        <v>716.25267907413024</v>
      </c>
      <c r="U311" s="646" t="s">
        <v>347</v>
      </c>
      <c r="V311" s="640">
        <v>0.62631490545869017</v>
      </c>
      <c r="W311" s="640">
        <v>0</v>
      </c>
      <c r="X311" s="640">
        <v>3.8372569498000768</v>
      </c>
      <c r="Y311" s="640">
        <v>12.853333333333333</v>
      </c>
      <c r="Z311" s="640">
        <v>949.39393939393938</v>
      </c>
      <c r="AA311" s="640">
        <v>279.58269678270966</v>
      </c>
      <c r="AB311" s="649">
        <v>24.143657694158538</v>
      </c>
      <c r="AC311" s="649">
        <v>6.0680800758314266</v>
      </c>
      <c r="AD311" s="649">
        <v>2.7260808922399375</v>
      </c>
      <c r="AE311" s="649">
        <v>4.1838174523267107</v>
      </c>
      <c r="AF311" s="649">
        <v>0</v>
      </c>
      <c r="AG311" s="649">
        <v>5.3758847536792693</v>
      </c>
      <c r="AH311" s="640">
        <v>-621.90403043772824</v>
      </c>
      <c r="AI311" s="640">
        <v>0</v>
      </c>
      <c r="AJ311" s="640">
        <v>3.8</v>
      </c>
      <c r="AK311" s="648">
        <v>670.68703179574891</v>
      </c>
    </row>
    <row r="312" spans="3:37" x14ac:dyDescent="0.2">
      <c r="C312" s="646" t="s">
        <v>348</v>
      </c>
      <c r="D312" s="640">
        <v>0</v>
      </c>
      <c r="E312" s="640">
        <v>0</v>
      </c>
      <c r="F312" s="640">
        <v>0</v>
      </c>
      <c r="G312" s="640">
        <v>15.048436077523924</v>
      </c>
      <c r="H312" s="640">
        <v>0</v>
      </c>
      <c r="I312" s="640">
        <v>0</v>
      </c>
      <c r="J312" s="649">
        <v>12.74533322609016</v>
      </c>
      <c r="K312" s="649">
        <v>12.056480951460374</v>
      </c>
      <c r="L312" s="649">
        <v>0</v>
      </c>
      <c r="M312" s="649">
        <v>0.32133708059977345</v>
      </c>
      <c r="N312" s="649">
        <v>0</v>
      </c>
      <c r="O312" s="649">
        <v>2.1348201063802894</v>
      </c>
      <c r="P312" s="640">
        <v>0</v>
      </c>
      <c r="Q312" s="640">
        <v>-38.309646115177976</v>
      </c>
      <c r="R312" s="640">
        <v>0</v>
      </c>
      <c r="S312" s="648">
        <v>3.9967613268765492</v>
      </c>
      <c r="U312" s="646" t="s">
        <v>348</v>
      </c>
      <c r="V312" s="640">
        <v>0</v>
      </c>
      <c r="W312" s="640">
        <v>0</v>
      </c>
      <c r="X312" s="640">
        <v>0</v>
      </c>
      <c r="Y312" s="640">
        <v>12.803359009118745</v>
      </c>
      <c r="Z312" s="640">
        <v>0</v>
      </c>
      <c r="AA312" s="640">
        <v>0</v>
      </c>
      <c r="AB312" s="649">
        <v>28.717481814983032</v>
      </c>
      <c r="AC312" s="649">
        <v>25.924008984647354</v>
      </c>
      <c r="AD312" s="649">
        <v>0</v>
      </c>
      <c r="AE312" s="649">
        <v>4.0573921431217457</v>
      </c>
      <c r="AF312" s="649">
        <v>0</v>
      </c>
      <c r="AG312" s="649">
        <v>9.7357518308203428</v>
      </c>
      <c r="AH312" s="640">
        <v>0</v>
      </c>
      <c r="AI312" s="640">
        <v>-74.504230286476243</v>
      </c>
      <c r="AJ312" s="640">
        <v>0</v>
      </c>
      <c r="AK312" s="648">
        <v>6.7337634962149808</v>
      </c>
    </row>
    <row r="313" spans="3:37" x14ac:dyDescent="0.2">
      <c r="C313" s="646" t="s">
        <v>349</v>
      </c>
      <c r="D313" s="640">
        <v>0</v>
      </c>
      <c r="E313" s="640">
        <v>0</v>
      </c>
      <c r="F313" s="640">
        <v>0</v>
      </c>
      <c r="G313" s="640">
        <v>0</v>
      </c>
      <c r="H313" s="640">
        <v>0</v>
      </c>
      <c r="I313" s="640">
        <v>0</v>
      </c>
      <c r="J313" s="650">
        <v>7.2695194025067336</v>
      </c>
      <c r="K313" s="650">
        <v>0</v>
      </c>
      <c r="L313" s="650">
        <v>0</v>
      </c>
      <c r="M313" s="650">
        <v>-6.5716455398660871</v>
      </c>
      <c r="N313" s="650">
        <v>0</v>
      </c>
      <c r="O313" s="650">
        <v>0</v>
      </c>
      <c r="P313" s="640">
        <v>0</v>
      </c>
      <c r="Q313" s="640">
        <v>0</v>
      </c>
      <c r="R313" s="640">
        <v>0</v>
      </c>
      <c r="S313" s="648">
        <v>0.69787386264064644</v>
      </c>
      <c r="U313" s="646" t="s">
        <v>349</v>
      </c>
      <c r="V313" s="640">
        <v>0</v>
      </c>
      <c r="W313" s="640">
        <v>0</v>
      </c>
      <c r="X313" s="640">
        <v>0</v>
      </c>
      <c r="Y313" s="640">
        <v>0</v>
      </c>
      <c r="Z313" s="640">
        <v>0</v>
      </c>
      <c r="AA313" s="640">
        <v>0</v>
      </c>
      <c r="AB313" s="650">
        <v>56.55251118568826</v>
      </c>
      <c r="AC313" s="650">
        <v>0</v>
      </c>
      <c r="AD313" s="650">
        <v>0</v>
      </c>
      <c r="AE313" s="650">
        <v>-51.12347011186219</v>
      </c>
      <c r="AF313" s="650">
        <v>0</v>
      </c>
      <c r="AG313" s="650">
        <v>0</v>
      </c>
      <c r="AH313" s="640">
        <v>0</v>
      </c>
      <c r="AI313" s="640">
        <v>0</v>
      </c>
      <c r="AJ313" s="640">
        <v>0</v>
      </c>
      <c r="AK313" s="648">
        <v>5.4290410738260704</v>
      </c>
    </row>
    <row r="314" spans="3:37" x14ac:dyDescent="0.2">
      <c r="C314" s="646" t="s">
        <v>350</v>
      </c>
      <c r="D314" s="640">
        <v>0</v>
      </c>
      <c r="E314" s="640">
        <v>0</v>
      </c>
      <c r="F314" s="640">
        <v>0</v>
      </c>
      <c r="G314" s="640">
        <v>0</v>
      </c>
      <c r="H314" s="640">
        <v>0</v>
      </c>
      <c r="I314" s="640">
        <v>0</v>
      </c>
      <c r="J314" s="640">
        <v>0</v>
      </c>
      <c r="K314" s="640">
        <v>0</v>
      </c>
      <c r="L314" s="640">
        <v>0</v>
      </c>
      <c r="M314" s="640">
        <v>0</v>
      </c>
      <c r="N314" s="640">
        <v>0</v>
      </c>
      <c r="O314" s="640">
        <v>0</v>
      </c>
      <c r="P314" s="640">
        <v>0</v>
      </c>
      <c r="Q314" s="640">
        <v>0</v>
      </c>
      <c r="R314" s="640">
        <v>0</v>
      </c>
      <c r="S314" s="648">
        <v>0</v>
      </c>
      <c r="U314" s="646" t="s">
        <v>350</v>
      </c>
      <c r="V314" s="640">
        <v>0</v>
      </c>
      <c r="W314" s="640">
        <v>0</v>
      </c>
      <c r="X314" s="640">
        <v>0</v>
      </c>
      <c r="Y314" s="640">
        <v>0</v>
      </c>
      <c r="Z314" s="640">
        <v>0</v>
      </c>
      <c r="AA314" s="640">
        <v>0</v>
      </c>
      <c r="AB314" s="640">
        <v>0</v>
      </c>
      <c r="AC314" s="640">
        <v>0</v>
      </c>
      <c r="AD314" s="640">
        <v>0</v>
      </c>
      <c r="AE314" s="640">
        <v>0</v>
      </c>
      <c r="AF314" s="640">
        <v>0</v>
      </c>
      <c r="AG314" s="640">
        <v>0</v>
      </c>
      <c r="AH314" s="640">
        <v>0</v>
      </c>
      <c r="AI314" s="640">
        <v>0</v>
      </c>
      <c r="AJ314" s="640">
        <v>0</v>
      </c>
      <c r="AK314" s="648">
        <v>0</v>
      </c>
    </row>
    <row r="315" spans="3:37" x14ac:dyDescent="0.2">
      <c r="C315" s="646" t="s">
        <v>72</v>
      </c>
      <c r="D315" s="640">
        <v>0</v>
      </c>
      <c r="E315" s="640">
        <v>530.45114623720224</v>
      </c>
      <c r="F315" s="640">
        <v>-525.1466347748302</v>
      </c>
      <c r="G315" s="640">
        <v>0</v>
      </c>
      <c r="H315" s="640">
        <v>0</v>
      </c>
      <c r="I315" s="640">
        <v>0</v>
      </c>
      <c r="J315" s="640">
        <v>0</v>
      </c>
      <c r="K315" s="640">
        <v>0</v>
      </c>
      <c r="L315" s="640">
        <v>0</v>
      </c>
      <c r="M315" s="640">
        <v>0</v>
      </c>
      <c r="N315" s="640">
        <v>0</v>
      </c>
      <c r="O315" s="640">
        <v>0</v>
      </c>
      <c r="P315" s="640">
        <v>0</v>
      </c>
      <c r="Q315" s="640">
        <v>0</v>
      </c>
      <c r="R315" s="640">
        <v>0</v>
      </c>
      <c r="S315" s="648">
        <v>5.3045114623720337</v>
      </c>
      <c r="U315" s="646" t="s">
        <v>72</v>
      </c>
      <c r="V315" s="640">
        <v>0</v>
      </c>
      <c r="W315" s="640">
        <v>307.47374578102756</v>
      </c>
      <c r="X315" s="640">
        <v>-304.39900832321729</v>
      </c>
      <c r="Y315" s="640">
        <v>0</v>
      </c>
      <c r="Z315" s="640">
        <v>0</v>
      </c>
      <c r="AA315" s="640">
        <v>0</v>
      </c>
      <c r="AB315" s="640">
        <v>0</v>
      </c>
      <c r="AC315" s="640">
        <v>0</v>
      </c>
      <c r="AD315" s="640">
        <v>0</v>
      </c>
      <c r="AE315" s="640">
        <v>0</v>
      </c>
      <c r="AF315" s="640">
        <v>0</v>
      </c>
      <c r="AG315" s="640">
        <v>0</v>
      </c>
      <c r="AH315" s="640">
        <v>0</v>
      </c>
      <c r="AI315" s="640">
        <v>0</v>
      </c>
      <c r="AJ315" s="640">
        <v>0</v>
      </c>
      <c r="AK315" s="648">
        <v>3.0747374578102722</v>
      </c>
    </row>
    <row r="316" spans="3:37" x14ac:dyDescent="0.2">
      <c r="C316" s="646" t="s">
        <v>351</v>
      </c>
      <c r="D316" s="640">
        <v>0</v>
      </c>
      <c r="E316" s="640">
        <v>0</v>
      </c>
      <c r="F316" s="640">
        <v>0</v>
      </c>
      <c r="G316" s="640">
        <v>0</v>
      </c>
      <c r="H316" s="640">
        <v>0</v>
      </c>
      <c r="I316" s="640">
        <v>0</v>
      </c>
      <c r="J316" s="640">
        <v>30.470996070194996</v>
      </c>
      <c r="K316" s="640">
        <v>0</v>
      </c>
      <c r="L316" s="640">
        <v>-30.470996070194996</v>
      </c>
      <c r="M316" s="640">
        <v>0</v>
      </c>
      <c r="N316" s="640">
        <v>0</v>
      </c>
      <c r="O316" s="640">
        <v>0</v>
      </c>
      <c r="P316" s="640">
        <v>0</v>
      </c>
      <c r="Q316" s="640">
        <v>0</v>
      </c>
      <c r="R316" s="640">
        <v>0</v>
      </c>
      <c r="S316" s="648">
        <v>0</v>
      </c>
      <c r="U316" s="646" t="s">
        <v>351</v>
      </c>
      <c r="V316" s="640">
        <v>0</v>
      </c>
      <c r="W316" s="640">
        <v>0</v>
      </c>
      <c r="X316" s="640">
        <v>0</v>
      </c>
      <c r="Y316" s="640">
        <v>0</v>
      </c>
      <c r="Z316" s="640">
        <v>0</v>
      </c>
      <c r="AA316" s="640">
        <v>0</v>
      </c>
      <c r="AB316" s="640" t="e">
        <v>#VALUE!</v>
      </c>
      <c r="AC316" s="640">
        <v>0</v>
      </c>
      <c r="AD316" s="640">
        <v>-92.079399970639116</v>
      </c>
      <c r="AE316" s="640">
        <v>0</v>
      </c>
      <c r="AF316" s="640">
        <v>0</v>
      </c>
      <c r="AG316" s="640">
        <v>0</v>
      </c>
      <c r="AH316" s="640">
        <v>0</v>
      </c>
      <c r="AI316" s="640">
        <v>0</v>
      </c>
      <c r="AJ316" s="640">
        <v>0</v>
      </c>
      <c r="AK316" s="648">
        <v>-92.079399970639116</v>
      </c>
    </row>
    <row r="317" spans="3:37" x14ac:dyDescent="0.2">
      <c r="C317" s="646" t="s">
        <v>352</v>
      </c>
      <c r="D317" s="640">
        <v>0</v>
      </c>
      <c r="E317" s="640">
        <v>0</v>
      </c>
      <c r="F317" s="640">
        <v>0</v>
      </c>
      <c r="G317" s="640">
        <v>0</v>
      </c>
      <c r="H317" s="640">
        <v>0</v>
      </c>
      <c r="I317" s="640">
        <v>0</v>
      </c>
      <c r="J317" s="640">
        <v>0</v>
      </c>
      <c r="K317" s="640">
        <v>0</v>
      </c>
      <c r="L317" s="640">
        <v>0</v>
      </c>
      <c r="M317" s="640">
        <v>0</v>
      </c>
      <c r="N317" s="640">
        <v>0</v>
      </c>
      <c r="O317" s="640">
        <v>0</v>
      </c>
      <c r="P317" s="640">
        <v>0</v>
      </c>
      <c r="Q317" s="640">
        <v>0</v>
      </c>
      <c r="R317" s="640">
        <v>0</v>
      </c>
      <c r="S317" s="648">
        <v>0</v>
      </c>
      <c r="U317" s="646" t="s">
        <v>352</v>
      </c>
      <c r="V317" s="640">
        <v>0</v>
      </c>
      <c r="W317" s="640">
        <v>0</v>
      </c>
      <c r="X317" s="640">
        <v>0</v>
      </c>
      <c r="Y317" s="640">
        <v>0</v>
      </c>
      <c r="Z317" s="640">
        <v>0</v>
      </c>
      <c r="AA317" s="640">
        <v>0</v>
      </c>
      <c r="AB317" s="640">
        <v>0</v>
      </c>
      <c r="AC317" s="640">
        <v>0</v>
      </c>
      <c r="AD317" s="640">
        <v>-18.857582137623396</v>
      </c>
      <c r="AE317" s="640">
        <v>0</v>
      </c>
      <c r="AF317" s="640">
        <v>0</v>
      </c>
      <c r="AG317" s="640">
        <v>0</v>
      </c>
      <c r="AH317" s="640">
        <v>0</v>
      </c>
      <c r="AI317" s="640">
        <v>0</v>
      </c>
      <c r="AJ317" s="640">
        <v>0</v>
      </c>
      <c r="AK317" s="648">
        <v>-18.857582137623396</v>
      </c>
    </row>
    <row r="318" spans="3:37" x14ac:dyDescent="0.2">
      <c r="C318" s="646" t="s">
        <v>73</v>
      </c>
      <c r="D318" s="640">
        <v>0</v>
      </c>
      <c r="E318" s="640">
        <v>0</v>
      </c>
      <c r="F318" s="640">
        <v>0</v>
      </c>
      <c r="G318" s="640">
        <v>4.2253053989858387</v>
      </c>
      <c r="H318" s="640">
        <v>0</v>
      </c>
      <c r="I318" s="640">
        <v>0</v>
      </c>
      <c r="J318" s="640">
        <v>0</v>
      </c>
      <c r="K318" s="640">
        <v>4.8227473393893973E-2</v>
      </c>
      <c r="L318" s="640">
        <v>0</v>
      </c>
      <c r="M318" s="640">
        <v>8.6230722428282419E-2</v>
      </c>
      <c r="N318" s="640">
        <v>0</v>
      </c>
      <c r="O318" s="640">
        <v>0</v>
      </c>
      <c r="P318" s="640">
        <v>0.47800681593948002</v>
      </c>
      <c r="Q318" s="640">
        <v>0</v>
      </c>
      <c r="R318" s="640">
        <v>-3.3759231375725771</v>
      </c>
      <c r="S318" s="648">
        <v>1.4618472731749175</v>
      </c>
      <c r="U318" s="646" t="s">
        <v>73</v>
      </c>
      <c r="V318" s="640">
        <v>0</v>
      </c>
      <c r="W318" s="640">
        <v>0</v>
      </c>
      <c r="X318" s="640">
        <v>0</v>
      </c>
      <c r="Y318" s="640">
        <v>6.2430459874299995</v>
      </c>
      <c r="Z318" s="640">
        <v>0</v>
      </c>
      <c r="AA318" s="640">
        <v>0</v>
      </c>
      <c r="AB318" s="640">
        <v>0</v>
      </c>
      <c r="AC318" s="640">
        <v>0.34514849554566557</v>
      </c>
      <c r="AD318" s="640">
        <v>0</v>
      </c>
      <c r="AE318" s="640">
        <v>1.9714882065568418</v>
      </c>
      <c r="AF318" s="640">
        <v>0</v>
      </c>
      <c r="AG318" s="640">
        <v>0</v>
      </c>
      <c r="AH318" s="640">
        <v>26.797369919651668</v>
      </c>
      <c r="AI318" s="640">
        <v>0</v>
      </c>
      <c r="AJ318" s="640">
        <v>-24.160394688196586</v>
      </c>
      <c r="AK318" s="648">
        <v>11.196657920987594</v>
      </c>
    </row>
    <row r="319" spans="3:37" x14ac:dyDescent="0.2">
      <c r="C319" s="646" t="s">
        <v>353</v>
      </c>
      <c r="D319" s="640">
        <v>28.633394531250001</v>
      </c>
      <c r="E319" s="640">
        <v>-18.380132217119058</v>
      </c>
      <c r="F319" s="640">
        <v>24.040127313749448</v>
      </c>
      <c r="G319" s="640">
        <v>0</v>
      </c>
      <c r="H319" s="640">
        <v>0</v>
      </c>
      <c r="I319" s="640">
        <v>0</v>
      </c>
      <c r="J319" s="640">
        <v>0</v>
      </c>
      <c r="K319" s="640">
        <v>0</v>
      </c>
      <c r="L319" s="640">
        <v>0</v>
      </c>
      <c r="M319" s="640">
        <v>0</v>
      </c>
      <c r="N319" s="640">
        <v>0</v>
      </c>
      <c r="O319" s="640">
        <v>0</v>
      </c>
      <c r="P319" s="640">
        <v>0</v>
      </c>
      <c r="Q319" s="640">
        <v>0</v>
      </c>
      <c r="R319" s="640">
        <v>0</v>
      </c>
      <c r="S319" s="648">
        <v>34.293389627880387</v>
      </c>
      <c r="U319" s="646" t="s">
        <v>353</v>
      </c>
      <c r="V319" s="640">
        <v>2.8339389038085936</v>
      </c>
      <c r="W319" s="640">
        <v>-10.653965291312606</v>
      </c>
      <c r="X319" s="640">
        <v>13.93475732241321</v>
      </c>
      <c r="Y319" s="640">
        <v>0</v>
      </c>
      <c r="Z319" s="640">
        <v>0</v>
      </c>
      <c r="AA319" s="640">
        <v>0</v>
      </c>
      <c r="AB319" s="640">
        <v>0</v>
      </c>
      <c r="AC319" s="640">
        <v>0</v>
      </c>
      <c r="AD319" s="640">
        <v>0</v>
      </c>
      <c r="AE319" s="640">
        <v>0</v>
      </c>
      <c r="AF319" s="640">
        <v>0</v>
      </c>
      <c r="AG319" s="640">
        <v>0</v>
      </c>
      <c r="AH319" s="640">
        <v>0</v>
      </c>
      <c r="AI319" s="640">
        <v>0</v>
      </c>
      <c r="AJ319" s="640">
        <v>0</v>
      </c>
      <c r="AK319" s="648">
        <v>6.1147309349091987</v>
      </c>
    </row>
    <row r="320" spans="3:37" x14ac:dyDescent="0.2">
      <c r="C320" s="646" t="s">
        <v>75</v>
      </c>
      <c r="D320" s="640">
        <v>11.135208984375002</v>
      </c>
      <c r="E320" s="640">
        <v>0</v>
      </c>
      <c r="F320" s="640">
        <v>18.035338972064878</v>
      </c>
      <c r="G320" s="640">
        <v>5.1464370207933356</v>
      </c>
      <c r="H320" s="640">
        <v>0</v>
      </c>
      <c r="I320" s="640">
        <v>0</v>
      </c>
      <c r="J320" s="640">
        <v>0</v>
      </c>
      <c r="K320" s="640">
        <v>0</v>
      </c>
      <c r="L320" s="640">
        <v>0</v>
      </c>
      <c r="M320" s="640">
        <v>0.10502932695496604</v>
      </c>
      <c r="N320" s="640">
        <v>0</v>
      </c>
      <c r="O320" s="640">
        <v>0</v>
      </c>
      <c r="P320" s="640">
        <v>31.859130537431355</v>
      </c>
      <c r="Q320" s="640">
        <v>0</v>
      </c>
      <c r="R320" s="640">
        <v>0</v>
      </c>
      <c r="S320" s="648">
        <v>66.281144841619536</v>
      </c>
      <c r="U320" s="646" t="s">
        <v>75</v>
      </c>
      <c r="V320" s="640">
        <v>3.871097900390625</v>
      </c>
      <c r="W320" s="640">
        <v>0</v>
      </c>
      <c r="X320" s="640">
        <v>18.035338972064878</v>
      </c>
      <c r="Y320" s="640">
        <v>3.9911144242887096</v>
      </c>
      <c r="Z320" s="640">
        <v>0</v>
      </c>
      <c r="AA320" s="640">
        <v>0</v>
      </c>
      <c r="AB320" s="640">
        <v>0</v>
      </c>
      <c r="AC320" s="640">
        <v>0</v>
      </c>
      <c r="AD320" s="640">
        <v>0</v>
      </c>
      <c r="AE320" s="640">
        <v>1.2603519234595923</v>
      </c>
      <c r="AF320" s="640">
        <v>0</v>
      </c>
      <c r="AG320" s="640">
        <v>0</v>
      </c>
      <c r="AH320" s="640">
        <v>35.363675991976798</v>
      </c>
      <c r="AI320" s="640">
        <v>0</v>
      </c>
      <c r="AJ320" s="640">
        <v>0</v>
      </c>
      <c r="AK320" s="648">
        <v>62.521579212180605</v>
      </c>
    </row>
    <row r="321" spans="3:37" x14ac:dyDescent="0.2">
      <c r="C321" s="646" t="s">
        <v>76</v>
      </c>
      <c r="D321" s="640">
        <v>0</v>
      </c>
      <c r="E321" s="640">
        <v>0</v>
      </c>
      <c r="F321" s="640">
        <v>0</v>
      </c>
      <c r="G321" s="640">
        <v>3.818307882847094</v>
      </c>
      <c r="H321" s="640">
        <v>0</v>
      </c>
      <c r="I321" s="640">
        <v>0</v>
      </c>
      <c r="J321" s="640">
        <v>0</v>
      </c>
      <c r="K321" s="640">
        <v>0</v>
      </c>
      <c r="L321" s="640">
        <v>0</v>
      </c>
      <c r="M321" s="640">
        <v>7.7924650670348858E-2</v>
      </c>
      <c r="N321" s="640">
        <v>0</v>
      </c>
      <c r="O321" s="640">
        <v>0</v>
      </c>
      <c r="P321" s="640">
        <v>43.831436480126726</v>
      </c>
      <c r="Q321" s="640">
        <v>2.9732290990631256</v>
      </c>
      <c r="R321" s="640">
        <v>0</v>
      </c>
      <c r="S321" s="648">
        <v>50.700898112707293</v>
      </c>
      <c r="U321" s="646" t="s">
        <v>76</v>
      </c>
      <c r="V321" s="640">
        <v>0</v>
      </c>
      <c r="W321" s="640">
        <v>0</v>
      </c>
      <c r="X321" s="640">
        <v>0</v>
      </c>
      <c r="Y321" s="640">
        <v>1.9196559923426515</v>
      </c>
      <c r="Z321" s="640">
        <v>0</v>
      </c>
      <c r="AA321" s="640">
        <v>0</v>
      </c>
      <c r="AB321" s="640">
        <v>0</v>
      </c>
      <c r="AC321" s="640">
        <v>0</v>
      </c>
      <c r="AD321" s="640">
        <v>0</v>
      </c>
      <c r="AE321" s="640">
        <v>0.60620715547662674</v>
      </c>
      <c r="AF321" s="640">
        <v>0</v>
      </c>
      <c r="AG321" s="640">
        <v>0</v>
      </c>
      <c r="AH321" s="640">
        <v>46.019363501687437</v>
      </c>
      <c r="AI321" s="640">
        <v>5.777975473960776</v>
      </c>
      <c r="AJ321" s="640">
        <v>0</v>
      </c>
      <c r="AK321" s="648">
        <v>54.323202123467496</v>
      </c>
    </row>
    <row r="322" spans="3:37" x14ac:dyDescent="0.2">
      <c r="C322" s="644" t="s">
        <v>77</v>
      </c>
      <c r="D322" s="645">
        <v>42.595389156650249</v>
      </c>
      <c r="E322" s="645">
        <v>512.07101402008323</v>
      </c>
      <c r="F322" s="645">
        <v>-475.37027517557942</v>
      </c>
      <c r="G322" s="645">
        <v>45.431468836290541</v>
      </c>
      <c r="H322" s="645">
        <v>1005.4545454545456</v>
      </c>
      <c r="I322" s="645">
        <v>248.9826967827097</v>
      </c>
      <c r="J322" s="645">
        <v>80.437005845832218</v>
      </c>
      <c r="K322" s="645">
        <v>19.274644219008216</v>
      </c>
      <c r="L322" s="645">
        <v>-27.744915177955058</v>
      </c>
      <c r="M322" s="645">
        <v>-5.5053764823246025</v>
      </c>
      <c r="N322" s="645">
        <v>0</v>
      </c>
      <c r="O322" s="645">
        <v>7.5107048600595583</v>
      </c>
      <c r="P322" s="645">
        <v>-535.43545660423092</v>
      </c>
      <c r="Q322" s="645">
        <v>-35.336417016114851</v>
      </c>
      <c r="R322" s="645">
        <v>-3.3759231375725771</v>
      </c>
      <c r="S322" s="645">
        <v>878.98910558140176</v>
      </c>
      <c r="U322" s="644" t="s">
        <v>77</v>
      </c>
      <c r="V322" s="645">
        <v>7.3313517096579091</v>
      </c>
      <c r="W322" s="645">
        <v>296.81978048971496</v>
      </c>
      <c r="X322" s="645">
        <v>-268.59165507893914</v>
      </c>
      <c r="Y322" s="645">
        <v>37.810508746513442</v>
      </c>
      <c r="Z322" s="645">
        <v>949.39393939393938</v>
      </c>
      <c r="AA322" s="645">
        <v>279.58269678270966</v>
      </c>
      <c r="AB322" s="645">
        <v>109.41365069482983</v>
      </c>
      <c r="AC322" s="645">
        <v>32.337237556024441</v>
      </c>
      <c r="AD322" s="645">
        <v>-108.21090121602258</v>
      </c>
      <c r="AE322" s="645">
        <v>-39.044213230920668</v>
      </c>
      <c r="AF322" s="645">
        <v>0</v>
      </c>
      <c r="AG322" s="645">
        <v>15.111636584499612</v>
      </c>
      <c r="AH322" s="645">
        <v>-513.7236210244123</v>
      </c>
      <c r="AI322" s="645">
        <v>-68.726254812515464</v>
      </c>
      <c r="AJ322" s="645">
        <v>-20.360394688196585</v>
      </c>
      <c r="AK322" s="645">
        <v>709.14376190688279</v>
      </c>
    </row>
    <row r="323" spans="3:37" x14ac:dyDescent="0.2">
      <c r="C323" s="634"/>
      <c r="D323" s="634">
        <v>0</v>
      </c>
      <c r="E323" s="634">
        <v>0</v>
      </c>
      <c r="F323" s="634">
        <v>0</v>
      </c>
      <c r="G323" s="634">
        <v>0</v>
      </c>
      <c r="H323" s="634">
        <v>0</v>
      </c>
      <c r="I323" s="634">
        <v>0</v>
      </c>
      <c r="J323" s="634">
        <v>0</v>
      </c>
      <c r="K323" s="634">
        <v>0</v>
      </c>
      <c r="L323" s="634">
        <v>0</v>
      </c>
      <c r="M323" s="634">
        <v>0</v>
      </c>
      <c r="N323" s="634">
        <v>0</v>
      </c>
      <c r="O323" s="634">
        <v>0</v>
      </c>
      <c r="P323" s="634">
        <v>0</v>
      </c>
      <c r="Q323" s="634">
        <v>0</v>
      </c>
      <c r="R323" s="634">
        <v>0</v>
      </c>
      <c r="S323" s="634">
        <v>0</v>
      </c>
      <c r="U323" s="634"/>
      <c r="V323" s="634">
        <v>0</v>
      </c>
      <c r="W323" s="634">
        <v>0</v>
      </c>
      <c r="X323" s="634">
        <v>0</v>
      </c>
      <c r="Y323" s="634">
        <v>0</v>
      </c>
      <c r="Z323" s="634">
        <v>0</v>
      </c>
      <c r="AA323" s="634">
        <v>0</v>
      </c>
      <c r="AB323" s="634">
        <v>0</v>
      </c>
      <c r="AC323" s="634">
        <v>0</v>
      </c>
      <c r="AD323" s="634">
        <v>0</v>
      </c>
      <c r="AE323" s="634">
        <v>0</v>
      </c>
      <c r="AF323" s="634">
        <v>0</v>
      </c>
      <c r="AG323" s="634">
        <v>0</v>
      </c>
      <c r="AH323" s="634">
        <v>0</v>
      </c>
      <c r="AI323" s="634">
        <v>0</v>
      </c>
      <c r="AJ323" s="634">
        <v>0</v>
      </c>
      <c r="AK323" s="634">
        <v>0</v>
      </c>
    </row>
    <row r="324" spans="3:37" x14ac:dyDescent="0.2">
      <c r="C324" s="646" t="s">
        <v>78</v>
      </c>
      <c r="D324" s="640">
        <v>5.7766123047996905</v>
      </c>
      <c r="E324" s="640">
        <v>0</v>
      </c>
      <c r="F324" s="640">
        <v>22.402619678599791</v>
      </c>
      <c r="G324" s="640">
        <v>99.281124041468402</v>
      </c>
      <c r="H324" s="640">
        <v>0</v>
      </c>
      <c r="I324" s="640">
        <v>0</v>
      </c>
      <c r="J324" s="640">
        <v>20.258622771310847</v>
      </c>
      <c r="K324" s="640">
        <v>1.7675748663376085</v>
      </c>
      <c r="L324" s="640">
        <v>0.898333240234375</v>
      </c>
      <c r="M324" s="640">
        <v>2.0447588657198987</v>
      </c>
      <c r="N324" s="640">
        <v>0</v>
      </c>
      <c r="O324" s="640">
        <v>3.7946622282562846E-4</v>
      </c>
      <c r="P324" s="640">
        <v>110.87393457022205</v>
      </c>
      <c r="Q324" s="640">
        <v>16.091742927144434</v>
      </c>
      <c r="R324" s="640">
        <v>0.31004003906249999</v>
      </c>
      <c r="S324" s="648">
        <v>279.70574277112252</v>
      </c>
      <c r="U324" s="646" t="s">
        <v>78</v>
      </c>
      <c r="V324" s="640">
        <v>1.065232959954733</v>
      </c>
      <c r="W324" s="640">
        <v>0</v>
      </c>
      <c r="X324" s="640">
        <v>10.225742404389669</v>
      </c>
      <c r="Y324" s="640">
        <v>56.981112862578769</v>
      </c>
      <c r="Z324" s="640">
        <v>0</v>
      </c>
      <c r="AA324" s="640">
        <v>0</v>
      </c>
      <c r="AB324" s="640">
        <v>15.894636498884354</v>
      </c>
      <c r="AC324" s="640">
        <v>5.4662409336494147</v>
      </c>
      <c r="AD324" s="640">
        <v>3.5459101562500011</v>
      </c>
      <c r="AE324" s="640">
        <v>18.012649117932849</v>
      </c>
      <c r="AF324" s="640">
        <v>0</v>
      </c>
      <c r="AG324" s="640">
        <v>3.7946622282562846E-4</v>
      </c>
      <c r="AH324" s="640">
        <v>139.02742097426295</v>
      </c>
      <c r="AI324" s="640">
        <v>22.276590949645215</v>
      </c>
      <c r="AJ324" s="640">
        <v>6.4302626953124999</v>
      </c>
      <c r="AK324" s="648">
        <v>278.92617901908329</v>
      </c>
    </row>
    <row r="325" spans="3:37" x14ac:dyDescent="0.2">
      <c r="C325" s="646" t="s">
        <v>79</v>
      </c>
      <c r="D325" s="640">
        <v>0</v>
      </c>
      <c r="E325" s="640">
        <v>0</v>
      </c>
      <c r="F325" s="640">
        <v>266.09529408288529</v>
      </c>
      <c r="G325" s="640">
        <v>27.519674276690072</v>
      </c>
      <c r="H325" s="640">
        <v>0</v>
      </c>
      <c r="I325" s="640">
        <v>0</v>
      </c>
      <c r="J325" s="640">
        <v>0</v>
      </c>
      <c r="K325" s="640">
        <v>0</v>
      </c>
      <c r="L325" s="640">
        <v>25.787483151262677</v>
      </c>
      <c r="M325" s="640">
        <v>0.56162600564673626</v>
      </c>
      <c r="N325" s="640">
        <v>0</v>
      </c>
      <c r="O325" s="640">
        <v>0</v>
      </c>
      <c r="P325" s="640">
        <v>55.913522242788574</v>
      </c>
      <c r="Q325" s="640">
        <v>0</v>
      </c>
      <c r="R325" s="640">
        <v>1.6351140344190074</v>
      </c>
      <c r="S325" s="648">
        <v>377.5127137936924</v>
      </c>
      <c r="U325" s="646" t="s">
        <v>79</v>
      </c>
      <c r="V325" s="640">
        <v>0</v>
      </c>
      <c r="W325" s="640">
        <v>0</v>
      </c>
      <c r="X325" s="640">
        <v>96.606255591578162</v>
      </c>
      <c r="Y325" s="640">
        <v>18.337650579977414</v>
      </c>
      <c r="Z325" s="640">
        <v>0</v>
      </c>
      <c r="AA325" s="640">
        <v>0</v>
      </c>
      <c r="AB325" s="640">
        <v>0</v>
      </c>
      <c r="AC325" s="640">
        <v>0</v>
      </c>
      <c r="AD325" s="640">
        <v>50.618247990049454</v>
      </c>
      <c r="AE325" s="640">
        <v>5.9499820008855142</v>
      </c>
      <c r="AF325" s="640">
        <v>0</v>
      </c>
      <c r="AG325" s="640">
        <v>0</v>
      </c>
      <c r="AH325" s="640">
        <v>73.690348279738799</v>
      </c>
      <c r="AI325" s="640">
        <v>0</v>
      </c>
      <c r="AJ325" s="640">
        <v>3.6092463767880076</v>
      </c>
      <c r="AK325" s="648">
        <v>248.81173081901736</v>
      </c>
    </row>
    <row r="326" spans="3:37" x14ac:dyDescent="0.2">
      <c r="C326" s="646" t="s">
        <v>80</v>
      </c>
      <c r="D326" s="640">
        <v>0</v>
      </c>
      <c r="E326" s="640">
        <v>0</v>
      </c>
      <c r="F326" s="640">
        <v>20.365336948925044</v>
      </c>
      <c r="G326" s="640">
        <v>85.23124323075227</v>
      </c>
      <c r="H326" s="640">
        <v>0</v>
      </c>
      <c r="I326" s="640">
        <v>0</v>
      </c>
      <c r="J326" s="640">
        <v>86.726820353783026</v>
      </c>
      <c r="K326" s="640">
        <v>0</v>
      </c>
      <c r="L326" s="640">
        <v>0</v>
      </c>
      <c r="M326" s="640">
        <v>1.7394131271582098</v>
      </c>
      <c r="N326" s="640">
        <v>52.217429119397167</v>
      </c>
      <c r="O326" s="640">
        <v>2.0042749347218733</v>
      </c>
      <c r="P326" s="640">
        <v>185.58174281281848</v>
      </c>
      <c r="Q326" s="640">
        <v>15.554343379011728</v>
      </c>
      <c r="R326" s="640">
        <v>0</v>
      </c>
      <c r="S326" s="648">
        <v>449.42060390656781</v>
      </c>
      <c r="U326" s="646" t="s">
        <v>80</v>
      </c>
      <c r="V326" s="640">
        <v>0</v>
      </c>
      <c r="W326" s="640">
        <v>0</v>
      </c>
      <c r="X326" s="640">
        <v>1.2585168598114169</v>
      </c>
      <c r="Y326" s="640">
        <v>24.208168890995722</v>
      </c>
      <c r="Z326" s="640">
        <v>0</v>
      </c>
      <c r="AA326" s="640">
        <v>0</v>
      </c>
      <c r="AB326" s="640">
        <v>64.793825414524548</v>
      </c>
      <c r="AC326" s="640">
        <v>0</v>
      </c>
      <c r="AD326" s="640">
        <v>0</v>
      </c>
      <c r="AE326" s="640">
        <v>7.6446849129460164</v>
      </c>
      <c r="AF326" s="640">
        <v>71.984931036617454</v>
      </c>
      <c r="AG326" s="640">
        <v>3.153558114778761</v>
      </c>
      <c r="AH326" s="640">
        <v>153.74527198137548</v>
      </c>
      <c r="AI326" s="640">
        <v>35.336807466581455</v>
      </c>
      <c r="AJ326" s="640">
        <v>0</v>
      </c>
      <c r="AK326" s="648">
        <v>362.12576467763085</v>
      </c>
    </row>
    <row r="327" spans="3:37" x14ac:dyDescent="0.2">
      <c r="C327" s="646" t="s">
        <v>81</v>
      </c>
      <c r="D327" s="640">
        <v>0</v>
      </c>
      <c r="E327" s="640">
        <v>0</v>
      </c>
      <c r="F327" s="640">
        <v>7.1130915409553364</v>
      </c>
      <c r="G327" s="640">
        <v>63.054682395398032</v>
      </c>
      <c r="H327" s="640">
        <v>0</v>
      </c>
      <c r="I327" s="640">
        <v>0</v>
      </c>
      <c r="J327" s="640">
        <v>3.2976998041276677</v>
      </c>
      <c r="K327" s="640">
        <v>2.5104122720965388E-2</v>
      </c>
      <c r="L327" s="640">
        <v>0</v>
      </c>
      <c r="M327" s="640">
        <v>1.2868302529673068</v>
      </c>
      <c r="N327" s="640">
        <v>8.6154760361565579</v>
      </c>
      <c r="O327" s="640">
        <v>0.75786341807650337</v>
      </c>
      <c r="P327" s="640">
        <v>137.18962935697431</v>
      </c>
      <c r="Q327" s="640">
        <v>3.6903307099586842</v>
      </c>
      <c r="R327" s="640">
        <v>0</v>
      </c>
      <c r="S327" s="648">
        <v>225.03070763733538</v>
      </c>
      <c r="U327" s="646" t="s">
        <v>81</v>
      </c>
      <c r="V327" s="640">
        <v>0</v>
      </c>
      <c r="W327" s="640">
        <v>0</v>
      </c>
      <c r="X327" s="640">
        <v>2.1697022188790429</v>
      </c>
      <c r="Y327" s="640">
        <v>20.911765460712612</v>
      </c>
      <c r="Z327" s="640">
        <v>0</v>
      </c>
      <c r="AA327" s="640">
        <v>0</v>
      </c>
      <c r="AB327" s="640">
        <v>7.3285872023111214</v>
      </c>
      <c r="AC327" s="640">
        <v>2.5104122720965388E-2</v>
      </c>
      <c r="AD327" s="640">
        <v>0</v>
      </c>
      <c r="AE327" s="640">
        <v>6.6037154086460879</v>
      </c>
      <c r="AF327" s="640">
        <v>14.491680733710758</v>
      </c>
      <c r="AG327" s="640">
        <v>1.6347019702159422</v>
      </c>
      <c r="AH327" s="640">
        <v>117.90366143236871</v>
      </c>
      <c r="AI327" s="640">
        <v>11.11285639628878</v>
      </c>
      <c r="AJ327" s="640">
        <v>0</v>
      </c>
      <c r="AK327" s="648">
        <v>182.18177494585402</v>
      </c>
    </row>
    <row r="328" spans="3:37" x14ac:dyDescent="0.2">
      <c r="C328" s="646" t="s">
        <v>82</v>
      </c>
      <c r="D328" s="640">
        <v>0</v>
      </c>
      <c r="E328" s="640">
        <v>0</v>
      </c>
      <c r="F328" s="640">
        <v>30.218764596795413</v>
      </c>
      <c r="G328" s="640">
        <v>1.4924386728389218</v>
      </c>
      <c r="H328" s="640">
        <v>0</v>
      </c>
      <c r="I328" s="640">
        <v>0</v>
      </c>
      <c r="J328" s="640">
        <v>3.2225859194218685</v>
      </c>
      <c r="K328" s="640">
        <v>0</v>
      </c>
      <c r="L328" s="640">
        <v>2.9019247412329854</v>
      </c>
      <c r="M328" s="640">
        <v>3.0457932098753505E-2</v>
      </c>
      <c r="N328" s="640">
        <v>0</v>
      </c>
      <c r="O328" s="640">
        <v>7.4767074498679406E-2</v>
      </c>
      <c r="P328" s="640">
        <v>6.6555854929198803</v>
      </c>
      <c r="Q328" s="640">
        <v>0</v>
      </c>
      <c r="R328" s="640">
        <v>0</v>
      </c>
      <c r="S328" s="648">
        <v>44.596524429806507</v>
      </c>
      <c r="U328" s="646" t="s">
        <v>82</v>
      </c>
      <c r="V328" s="640">
        <v>0</v>
      </c>
      <c r="W328" s="640">
        <v>0</v>
      </c>
      <c r="X328" s="640">
        <v>13.476198254352189</v>
      </c>
      <c r="Y328" s="640">
        <v>1.4718796614135594</v>
      </c>
      <c r="Z328" s="640">
        <v>0</v>
      </c>
      <c r="AA328" s="640">
        <v>0</v>
      </c>
      <c r="AB328" s="640">
        <v>3.2225859194218685</v>
      </c>
      <c r="AC328" s="640">
        <v>0</v>
      </c>
      <c r="AD328" s="640">
        <v>23.463730160224294</v>
      </c>
      <c r="AE328" s="640">
        <v>0.46480410360428193</v>
      </c>
      <c r="AF328" s="640">
        <v>0</v>
      </c>
      <c r="AG328" s="640">
        <v>1.1655332190637568</v>
      </c>
      <c r="AH328" s="640">
        <v>6.7433697745475678</v>
      </c>
      <c r="AI328" s="640">
        <v>0</v>
      </c>
      <c r="AJ328" s="640">
        <v>0.29485655237537339</v>
      </c>
      <c r="AK328" s="648">
        <v>50.302957645002891</v>
      </c>
    </row>
    <row r="329" spans="3:37" x14ac:dyDescent="0.2">
      <c r="C329" s="646" t="s">
        <v>354</v>
      </c>
      <c r="D329" s="640">
        <v>0</v>
      </c>
      <c r="E329" s="640">
        <v>0</v>
      </c>
      <c r="F329" s="640">
        <v>0</v>
      </c>
      <c r="G329" s="640">
        <v>0</v>
      </c>
      <c r="H329" s="640">
        <v>0</v>
      </c>
      <c r="I329" s="640">
        <v>0</v>
      </c>
      <c r="J329" s="640">
        <v>0</v>
      </c>
      <c r="K329" s="640">
        <v>0</v>
      </c>
      <c r="L329" s="640">
        <v>0</v>
      </c>
      <c r="M329" s="640">
        <v>0</v>
      </c>
      <c r="N329" s="640">
        <v>0</v>
      </c>
      <c r="O329" s="640">
        <v>0</v>
      </c>
      <c r="P329" s="640">
        <v>0.27899999999999997</v>
      </c>
      <c r="Q329" s="640">
        <v>0</v>
      </c>
      <c r="R329" s="640">
        <v>0</v>
      </c>
      <c r="S329" s="648">
        <v>0.27899999999999997</v>
      </c>
      <c r="U329" s="646" t="s">
        <v>354</v>
      </c>
      <c r="V329" s="640">
        <v>0</v>
      </c>
      <c r="W329" s="640">
        <v>0</v>
      </c>
      <c r="X329" s="640">
        <v>0</v>
      </c>
      <c r="Y329" s="640">
        <v>0</v>
      </c>
      <c r="Z329" s="640">
        <v>0</v>
      </c>
      <c r="AA329" s="640">
        <v>0</v>
      </c>
      <c r="AB329" s="640">
        <v>0</v>
      </c>
      <c r="AC329" s="640">
        <v>0</v>
      </c>
      <c r="AD329" s="640">
        <v>0</v>
      </c>
      <c r="AE329" s="640">
        <v>0</v>
      </c>
      <c r="AF329" s="640">
        <v>0</v>
      </c>
      <c r="AG329" s="640">
        <v>0</v>
      </c>
      <c r="AH329" s="640">
        <v>1.92</v>
      </c>
      <c r="AI329" s="640">
        <v>0</v>
      </c>
      <c r="AJ329" s="640">
        <v>0</v>
      </c>
      <c r="AK329" s="648">
        <v>1.92</v>
      </c>
    </row>
    <row r="330" spans="3:37" x14ac:dyDescent="0.2">
      <c r="C330" s="644" t="s">
        <v>83</v>
      </c>
      <c r="D330" s="645">
        <v>5.7766123047996905</v>
      </c>
      <c r="E330" s="645">
        <v>0</v>
      </c>
      <c r="F330" s="645">
        <v>346.19510684816078</v>
      </c>
      <c r="G330" s="645">
        <v>276.57916261714774</v>
      </c>
      <c r="H330" s="645">
        <v>0</v>
      </c>
      <c r="I330" s="645">
        <v>0</v>
      </c>
      <c r="J330" s="645">
        <v>113.50572884864343</v>
      </c>
      <c r="K330" s="645">
        <v>1.7926789890585739</v>
      </c>
      <c r="L330" s="645">
        <v>29.587741132730038</v>
      </c>
      <c r="M330" s="645">
        <v>5.6630861835909059</v>
      </c>
      <c r="N330" s="645">
        <v>60.832905155553725</v>
      </c>
      <c r="O330" s="645">
        <v>2.8372848935198816</v>
      </c>
      <c r="P330" s="645">
        <v>496.49341447572323</v>
      </c>
      <c r="Q330" s="645">
        <v>35.336417016114851</v>
      </c>
      <c r="R330" s="645">
        <v>1.9451540734815074</v>
      </c>
      <c r="S330" s="645">
        <v>1376.5452925385248</v>
      </c>
      <c r="U330" s="644" t="s">
        <v>83</v>
      </c>
      <c r="V330" s="645">
        <v>1.065232959954733</v>
      </c>
      <c r="W330" s="645">
        <v>0</v>
      </c>
      <c r="X330" s="645">
        <v>123.73641532901047</v>
      </c>
      <c r="Y330" s="645">
        <v>121.91057745567808</v>
      </c>
      <c r="Z330" s="645">
        <v>0</v>
      </c>
      <c r="AA330" s="645">
        <v>0</v>
      </c>
      <c r="AB330" s="645">
        <v>91.239635035141916</v>
      </c>
      <c r="AC330" s="645">
        <v>5.4913450563703794</v>
      </c>
      <c r="AD330" s="645">
        <v>77.627888306523744</v>
      </c>
      <c r="AE330" s="645">
        <v>38.675835544014738</v>
      </c>
      <c r="AF330" s="645">
        <v>86.476611770328219</v>
      </c>
      <c r="AG330" s="645">
        <v>5.9541727702812857</v>
      </c>
      <c r="AH330" s="645">
        <v>493.03007244229349</v>
      </c>
      <c r="AI330" s="645">
        <v>68.72625481251545</v>
      </c>
      <c r="AJ330" s="645">
        <v>10.334365624475881</v>
      </c>
      <c r="AK330" s="645">
        <v>1124.2684071065887</v>
      </c>
    </row>
    <row r="331" spans="3:37" x14ac:dyDescent="0.2">
      <c r="C331" s="639" t="s">
        <v>84</v>
      </c>
      <c r="D331" s="640">
        <v>0</v>
      </c>
      <c r="E331" s="640">
        <v>0</v>
      </c>
      <c r="F331" s="640">
        <v>111.73719287700069</v>
      </c>
      <c r="G331" s="640">
        <v>11.878700409877391</v>
      </c>
      <c r="H331" s="640">
        <v>0</v>
      </c>
      <c r="I331" s="640">
        <v>0</v>
      </c>
      <c r="J331" s="640">
        <v>0</v>
      </c>
      <c r="K331" s="640">
        <v>0</v>
      </c>
      <c r="L331" s="640">
        <v>0</v>
      </c>
      <c r="M331" s="640">
        <v>0</v>
      </c>
      <c r="N331" s="640">
        <v>0</v>
      </c>
      <c r="O331" s="640">
        <v>0</v>
      </c>
      <c r="P331" s="640">
        <v>0</v>
      </c>
      <c r="Q331" s="640">
        <v>0</v>
      </c>
      <c r="R331" s="640">
        <v>1.43076906409107</v>
      </c>
      <c r="S331" s="648">
        <v>125.04666235096916</v>
      </c>
      <c r="U331" s="639" t="s">
        <v>84</v>
      </c>
      <c r="V331" s="640">
        <v>0</v>
      </c>
      <c r="W331" s="640">
        <v>0</v>
      </c>
      <c r="X331" s="640">
        <v>90.362960784166091</v>
      </c>
      <c r="Y331" s="640">
        <v>1.2615947910933976</v>
      </c>
      <c r="Z331" s="640">
        <v>0</v>
      </c>
      <c r="AA331" s="640">
        <v>0</v>
      </c>
      <c r="AB331" s="640">
        <v>0</v>
      </c>
      <c r="AC331" s="640">
        <v>0</v>
      </c>
      <c r="AD331" s="640">
        <v>14.679117373046875</v>
      </c>
      <c r="AE331" s="640">
        <v>0</v>
      </c>
      <c r="AF331" s="640">
        <v>0</v>
      </c>
      <c r="AG331" s="640">
        <v>0</v>
      </c>
      <c r="AH331" s="640">
        <v>0</v>
      </c>
      <c r="AI331" s="640">
        <v>0</v>
      </c>
      <c r="AJ331" s="640">
        <v>10.026029063720703</v>
      </c>
      <c r="AK331" s="648">
        <v>116.32970201202707</v>
      </c>
    </row>
    <row r="332" spans="3:37" x14ac:dyDescent="0.2">
      <c r="C332" s="644" t="s">
        <v>85</v>
      </c>
      <c r="D332" s="645">
        <v>5.7766123047996905</v>
      </c>
      <c r="E332" s="645">
        <v>0</v>
      </c>
      <c r="F332" s="645">
        <v>457.9322997251615</v>
      </c>
      <c r="G332" s="645">
        <v>288.45786302702516</v>
      </c>
      <c r="H332" s="645">
        <v>0</v>
      </c>
      <c r="I332" s="645">
        <v>0</v>
      </c>
      <c r="J332" s="645">
        <v>113.50572884864343</v>
      </c>
      <c r="K332" s="645">
        <v>1.7926789890585739</v>
      </c>
      <c r="L332" s="645">
        <v>29.587741132730038</v>
      </c>
      <c r="M332" s="645">
        <v>5.6630861835909059</v>
      </c>
      <c r="N332" s="645">
        <v>60.832905155553725</v>
      </c>
      <c r="O332" s="645">
        <v>2.8372848935198816</v>
      </c>
      <c r="P332" s="645">
        <v>496.49341447572323</v>
      </c>
      <c r="Q332" s="645">
        <v>35.336417016114851</v>
      </c>
      <c r="R332" s="645">
        <v>3.3759231375725776</v>
      </c>
      <c r="S332" s="645">
        <v>1501.5919548894938</v>
      </c>
      <c r="U332" s="644" t="s">
        <v>85</v>
      </c>
      <c r="V332" s="645">
        <v>1.065232959954733</v>
      </c>
      <c r="W332" s="645">
        <v>0</v>
      </c>
      <c r="X332" s="645">
        <v>214.09937611317656</v>
      </c>
      <c r="Y332" s="645">
        <v>123.17217224677148</v>
      </c>
      <c r="Z332" s="645">
        <v>0</v>
      </c>
      <c r="AA332" s="645">
        <v>0</v>
      </c>
      <c r="AB332" s="645">
        <v>91.239635035141916</v>
      </c>
      <c r="AC332" s="645">
        <v>5.4913450563703794</v>
      </c>
      <c r="AD332" s="645">
        <v>92.307005679570622</v>
      </c>
      <c r="AE332" s="645">
        <v>38.675835544014738</v>
      </c>
      <c r="AF332" s="645">
        <v>86.476611770328219</v>
      </c>
      <c r="AG332" s="645">
        <v>5.9541727702812857</v>
      </c>
      <c r="AH332" s="645">
        <v>493.03007244229349</v>
      </c>
      <c r="AI332" s="645">
        <v>68.72625481251545</v>
      </c>
      <c r="AJ332" s="645">
        <v>20.360394688196585</v>
      </c>
      <c r="AK332" s="645">
        <v>1240.5981091186156</v>
      </c>
    </row>
    <row r="333" spans="3:37" x14ac:dyDescent="0.2">
      <c r="C333" s="634"/>
      <c r="D333" s="634"/>
      <c r="E333" s="634"/>
      <c r="F333" s="634"/>
      <c r="G333" s="634"/>
      <c r="H333" s="634"/>
      <c r="I333" s="634"/>
      <c r="J333" s="634"/>
      <c r="K333" s="634"/>
      <c r="L333" s="634"/>
      <c r="M333" s="634"/>
      <c r="N333" s="634"/>
      <c r="O333" s="634"/>
      <c r="P333" s="634"/>
      <c r="Q333" s="634"/>
      <c r="R333" s="634"/>
      <c r="S333" s="634"/>
      <c r="U333" s="634"/>
      <c r="V333" s="634"/>
      <c r="W333" s="634"/>
      <c r="X333" s="634"/>
      <c r="Y333" s="634"/>
      <c r="Z333" s="634"/>
      <c r="AA333" s="634"/>
      <c r="AB333" s="634"/>
      <c r="AC333" s="634"/>
      <c r="AD333" s="634"/>
      <c r="AE333" s="634"/>
      <c r="AF333" s="634"/>
      <c r="AG333" s="634"/>
      <c r="AH333" s="634"/>
      <c r="AI333" s="634"/>
      <c r="AJ333" s="634"/>
      <c r="AK333" s="634"/>
    </row>
    <row r="334" spans="3:37" ht="22.5" x14ac:dyDescent="0.3">
      <c r="C334" s="759" t="s">
        <v>360</v>
      </c>
      <c r="D334" s="759"/>
      <c r="E334" s="759"/>
      <c r="F334" s="759"/>
      <c r="G334" s="759"/>
      <c r="H334" s="759"/>
      <c r="I334" s="759"/>
      <c r="J334" s="759"/>
      <c r="K334" s="759"/>
      <c r="L334" s="759"/>
      <c r="M334" s="759"/>
      <c r="N334" s="759"/>
      <c r="O334" s="759"/>
      <c r="P334" s="759"/>
      <c r="Q334" s="759"/>
      <c r="R334" s="759"/>
      <c r="S334" s="759"/>
      <c r="U334" s="759" t="s">
        <v>360</v>
      </c>
      <c r="V334" s="759"/>
      <c r="W334" s="759"/>
      <c r="X334" s="759"/>
      <c r="Y334" s="759"/>
      <c r="Z334" s="759"/>
      <c r="AA334" s="759"/>
      <c r="AB334" s="759"/>
      <c r="AC334" s="759"/>
      <c r="AD334" s="759"/>
      <c r="AE334" s="759"/>
      <c r="AF334" s="759"/>
      <c r="AG334" s="759"/>
      <c r="AH334" s="759"/>
      <c r="AI334" s="759"/>
      <c r="AJ334" s="759"/>
      <c r="AK334" s="759"/>
    </row>
    <row r="335" spans="3:37" x14ac:dyDescent="0.2">
      <c r="C335" s="634"/>
      <c r="D335" s="634"/>
      <c r="E335" s="634"/>
      <c r="F335" s="634"/>
      <c r="G335" s="634"/>
      <c r="H335" s="634"/>
      <c r="I335" s="634"/>
      <c r="J335" s="634"/>
      <c r="K335" s="634"/>
      <c r="L335" s="634"/>
      <c r="M335" s="634"/>
      <c r="N335" s="634"/>
      <c r="O335" s="634"/>
      <c r="P335" s="634"/>
      <c r="Q335" s="634"/>
      <c r="R335" s="634"/>
      <c r="S335" s="634"/>
      <c r="U335" s="634"/>
      <c r="V335" s="634"/>
      <c r="W335" s="634"/>
      <c r="X335" s="634"/>
      <c r="Y335" s="634"/>
      <c r="Z335" s="634"/>
      <c r="AA335" s="634"/>
      <c r="AB335" s="634"/>
      <c r="AC335" s="634"/>
      <c r="AD335" s="634"/>
      <c r="AE335" s="634"/>
      <c r="AF335" s="634"/>
      <c r="AG335" s="634"/>
      <c r="AH335" s="634"/>
      <c r="AI335" s="634"/>
      <c r="AJ335" s="634"/>
      <c r="AK335" s="634"/>
    </row>
    <row r="336" spans="3:37" ht="12.95" customHeight="1" x14ac:dyDescent="0.2">
      <c r="C336" s="758" t="s">
        <v>128</v>
      </c>
      <c r="D336" s="757" t="s">
        <v>42</v>
      </c>
      <c r="E336" s="757" t="s">
        <v>52</v>
      </c>
      <c r="F336" s="757" t="s">
        <v>53</v>
      </c>
      <c r="G336" s="757" t="s">
        <v>32</v>
      </c>
      <c r="H336" s="757" t="s">
        <v>20</v>
      </c>
      <c r="I336" s="757" t="s">
        <v>55</v>
      </c>
      <c r="J336" s="757" t="s">
        <v>56</v>
      </c>
      <c r="K336" s="757"/>
      <c r="L336" s="757"/>
      <c r="M336" s="757"/>
      <c r="N336" s="757"/>
      <c r="O336" s="757"/>
      <c r="P336" s="757" t="s">
        <v>57</v>
      </c>
      <c r="Q336" s="757" t="s">
        <v>58</v>
      </c>
      <c r="R336" s="757" t="s">
        <v>31</v>
      </c>
      <c r="S336" s="757" t="s">
        <v>10</v>
      </c>
      <c r="U336" s="758" t="s">
        <v>128</v>
      </c>
      <c r="V336" s="757" t="s">
        <v>42</v>
      </c>
      <c r="W336" s="757" t="s">
        <v>52</v>
      </c>
      <c r="X336" s="757" t="s">
        <v>53</v>
      </c>
      <c r="Y336" s="757" t="s">
        <v>32</v>
      </c>
      <c r="Z336" s="757" t="s">
        <v>20</v>
      </c>
      <c r="AA336" s="757" t="s">
        <v>55</v>
      </c>
      <c r="AB336" s="757" t="s">
        <v>56</v>
      </c>
      <c r="AC336" s="757"/>
      <c r="AD336" s="757"/>
      <c r="AE336" s="757"/>
      <c r="AF336" s="757"/>
      <c r="AG336" s="757"/>
      <c r="AH336" s="757" t="s">
        <v>57</v>
      </c>
      <c r="AI336" s="757" t="s">
        <v>58</v>
      </c>
      <c r="AJ336" s="757" t="s">
        <v>31</v>
      </c>
      <c r="AK336" s="757" t="s">
        <v>10</v>
      </c>
    </row>
    <row r="337" spans="3:37" ht="56.25" x14ac:dyDescent="0.2">
      <c r="C337" s="758"/>
      <c r="D337" s="757"/>
      <c r="E337" s="757"/>
      <c r="F337" s="757"/>
      <c r="G337" s="757"/>
      <c r="H337" s="757"/>
      <c r="I337" s="757"/>
      <c r="J337" s="638" t="s">
        <v>335</v>
      </c>
      <c r="K337" s="638" t="s">
        <v>40</v>
      </c>
      <c r="L337" s="638" t="s">
        <v>343</v>
      </c>
      <c r="M337" s="638" t="s">
        <v>344</v>
      </c>
      <c r="N337" s="638" t="s">
        <v>345</v>
      </c>
      <c r="O337" s="638" t="s">
        <v>346</v>
      </c>
      <c r="P337" s="757"/>
      <c r="Q337" s="757"/>
      <c r="R337" s="757"/>
      <c r="S337" s="757"/>
      <c r="U337" s="758"/>
      <c r="V337" s="757"/>
      <c r="W337" s="757"/>
      <c r="X337" s="757"/>
      <c r="Y337" s="757"/>
      <c r="Z337" s="757"/>
      <c r="AA337" s="757"/>
      <c r="AB337" s="638" t="s">
        <v>335</v>
      </c>
      <c r="AC337" s="638" t="s">
        <v>40</v>
      </c>
      <c r="AD337" s="638" t="s">
        <v>343</v>
      </c>
      <c r="AE337" s="638" t="s">
        <v>344</v>
      </c>
      <c r="AF337" s="638" t="s">
        <v>345</v>
      </c>
      <c r="AG337" s="638" t="s">
        <v>346</v>
      </c>
      <c r="AH337" s="757"/>
      <c r="AI337" s="757"/>
      <c r="AJ337" s="757"/>
      <c r="AK337" s="757"/>
    </row>
    <row r="338" spans="3:37" x14ac:dyDescent="0.2">
      <c r="C338" s="639" t="s">
        <v>59</v>
      </c>
      <c r="D338" s="640">
        <v>0</v>
      </c>
      <c r="E338" s="641">
        <v>0</v>
      </c>
      <c r="F338" s="641">
        <v>0</v>
      </c>
      <c r="G338" s="640">
        <v>0</v>
      </c>
      <c r="H338" s="641">
        <v>959.09090909090924</v>
      </c>
      <c r="I338" s="641">
        <v>265.54666314840352</v>
      </c>
      <c r="J338" s="641">
        <v>188.6372712469306</v>
      </c>
      <c r="K338" s="641">
        <v>20.835963621356942</v>
      </c>
      <c r="L338" s="641">
        <v>0.48646764865129044</v>
      </c>
      <c r="M338" s="641">
        <v>0.15840693111613638</v>
      </c>
      <c r="N338" s="641">
        <v>62.897832024028709</v>
      </c>
      <c r="O338" s="641">
        <v>11.865462020109925</v>
      </c>
      <c r="P338" s="642">
        <v>0</v>
      </c>
      <c r="Q338" s="641">
        <v>0</v>
      </c>
      <c r="R338" s="641">
        <v>0</v>
      </c>
      <c r="S338" s="643">
        <v>1509.5189757315065</v>
      </c>
      <c r="U338" s="639" t="s">
        <v>59</v>
      </c>
      <c r="V338" s="640">
        <v>0</v>
      </c>
      <c r="W338" s="641">
        <v>0</v>
      </c>
      <c r="X338" s="641">
        <v>0</v>
      </c>
      <c r="Y338" s="640">
        <v>0</v>
      </c>
      <c r="Z338" s="641">
        <v>919.39393939393949</v>
      </c>
      <c r="AA338" s="641">
        <v>300.16666314840353</v>
      </c>
      <c r="AB338" s="641">
        <v>196.07210414009427</v>
      </c>
      <c r="AC338" s="641">
        <v>37.690284018354092</v>
      </c>
      <c r="AD338" s="641">
        <v>0.48646764865129044</v>
      </c>
      <c r="AE338" s="641">
        <v>0.15840693111613638</v>
      </c>
      <c r="AF338" s="641">
        <v>92.901000398225491</v>
      </c>
      <c r="AG338" s="641">
        <v>23.979405132943342</v>
      </c>
      <c r="AH338" s="642">
        <v>0</v>
      </c>
      <c r="AI338" s="641">
        <v>0</v>
      </c>
      <c r="AJ338" s="641">
        <v>0</v>
      </c>
      <c r="AK338" s="643">
        <v>1570.8482708117278</v>
      </c>
    </row>
    <row r="339" spans="3:37" x14ac:dyDescent="0.2">
      <c r="C339" s="639" t="s">
        <v>60</v>
      </c>
      <c r="D339" s="640">
        <v>48.037640466799544</v>
      </c>
      <c r="E339" s="641">
        <v>504.19228646673599</v>
      </c>
      <c r="F339" s="641">
        <v>68.527294255032075</v>
      </c>
      <c r="G339" s="640">
        <v>332.96357284387591</v>
      </c>
      <c r="H339" s="641">
        <v>0</v>
      </c>
      <c r="I339" s="641">
        <v>0</v>
      </c>
      <c r="J339" s="641">
        <v>4.4041420336435353</v>
      </c>
      <c r="K339" s="641">
        <v>0</v>
      </c>
      <c r="L339" s="641">
        <v>2.4215969020745125</v>
      </c>
      <c r="M339" s="641">
        <v>0</v>
      </c>
      <c r="N339" s="641">
        <v>0</v>
      </c>
      <c r="O339" s="641">
        <v>0</v>
      </c>
      <c r="P339" s="642">
        <v>0</v>
      </c>
      <c r="Q339" s="641">
        <v>0</v>
      </c>
      <c r="R339" s="641">
        <v>0</v>
      </c>
      <c r="S339" s="643">
        <v>960.54653296816161</v>
      </c>
      <c r="U339" s="639" t="s">
        <v>60</v>
      </c>
      <c r="V339" s="640">
        <v>7.5315222042138927</v>
      </c>
      <c r="W339" s="641">
        <v>266.28302835422375</v>
      </c>
      <c r="X339" s="641">
        <v>14.660534841020075</v>
      </c>
      <c r="Y339" s="640">
        <v>136.19700966140181</v>
      </c>
      <c r="Z339" s="641">
        <v>0</v>
      </c>
      <c r="AA339" s="641">
        <v>0</v>
      </c>
      <c r="AB339" s="641">
        <v>4.4041420336435353</v>
      </c>
      <c r="AC339" s="641">
        <v>0</v>
      </c>
      <c r="AD339" s="641">
        <v>2.4215969020745125</v>
      </c>
      <c r="AE339" s="641">
        <v>0</v>
      </c>
      <c r="AF339" s="641">
        <v>0</v>
      </c>
      <c r="AG339" s="641">
        <v>0</v>
      </c>
      <c r="AH339" s="642">
        <v>0</v>
      </c>
      <c r="AI339" s="641">
        <v>0</v>
      </c>
      <c r="AJ339" s="641">
        <v>0</v>
      </c>
      <c r="AK339" s="643">
        <v>431.49783399657758</v>
      </c>
    </row>
    <row r="340" spans="3:37" x14ac:dyDescent="0.2">
      <c r="C340" s="639" t="s">
        <v>61</v>
      </c>
      <c r="D340" s="640">
        <v>0</v>
      </c>
      <c r="E340" s="641">
        <v>0</v>
      </c>
      <c r="F340" s="641">
        <v>0</v>
      </c>
      <c r="G340" s="640">
        <v>0</v>
      </c>
      <c r="H340" s="641">
        <v>0</v>
      </c>
      <c r="I340" s="641">
        <v>0</v>
      </c>
      <c r="J340" s="641">
        <v>0</v>
      </c>
      <c r="K340" s="641">
        <v>0</v>
      </c>
      <c r="L340" s="641">
        <v>0</v>
      </c>
      <c r="M340" s="641">
        <v>0</v>
      </c>
      <c r="N340" s="641">
        <v>0</v>
      </c>
      <c r="O340" s="641">
        <v>0</v>
      </c>
      <c r="P340" s="642">
        <v>-31.055970799843635</v>
      </c>
      <c r="Q340" s="641">
        <v>0</v>
      </c>
      <c r="R340" s="641">
        <v>0</v>
      </c>
      <c r="S340" s="643">
        <v>-31.055970799843635</v>
      </c>
      <c r="U340" s="639" t="s">
        <v>61</v>
      </c>
      <c r="V340" s="640">
        <v>0</v>
      </c>
      <c r="W340" s="641">
        <v>0</v>
      </c>
      <c r="X340" s="641">
        <v>-20.238165107819981</v>
      </c>
      <c r="Y340" s="640">
        <v>0</v>
      </c>
      <c r="Z340" s="641">
        <v>0</v>
      </c>
      <c r="AA340" s="641">
        <v>0</v>
      </c>
      <c r="AB340" s="641">
        <v>0</v>
      </c>
      <c r="AC340" s="641">
        <v>0</v>
      </c>
      <c r="AD340" s="641">
        <v>0</v>
      </c>
      <c r="AE340" s="641">
        <v>0</v>
      </c>
      <c r="AF340" s="641">
        <v>0</v>
      </c>
      <c r="AG340" s="641">
        <v>0</v>
      </c>
      <c r="AH340" s="642">
        <v>-12.632253344037395</v>
      </c>
      <c r="AI340" s="641">
        <v>0</v>
      </c>
      <c r="AJ340" s="641">
        <v>0</v>
      </c>
      <c r="AK340" s="643">
        <v>-32.870418451857375</v>
      </c>
    </row>
    <row r="341" spans="3:37" x14ac:dyDescent="0.2">
      <c r="C341" s="639" t="s">
        <v>62</v>
      </c>
      <c r="D341" s="640">
        <v>0</v>
      </c>
      <c r="E341" s="641">
        <v>0</v>
      </c>
      <c r="F341" s="641">
        <v>-15.855905256620872</v>
      </c>
      <c r="G341" s="640">
        <v>0</v>
      </c>
      <c r="H341" s="641">
        <v>0</v>
      </c>
      <c r="I341" s="641">
        <v>0</v>
      </c>
      <c r="J341" s="641">
        <v>0</v>
      </c>
      <c r="K341" s="641">
        <v>0</v>
      </c>
      <c r="L341" s="641">
        <v>0</v>
      </c>
      <c r="M341" s="641">
        <v>0</v>
      </c>
      <c r="N341" s="641">
        <v>0</v>
      </c>
      <c r="O341" s="641">
        <v>0</v>
      </c>
      <c r="P341" s="642">
        <v>0</v>
      </c>
      <c r="Q341" s="641">
        <v>0</v>
      </c>
      <c r="R341" s="641">
        <v>0</v>
      </c>
      <c r="S341" s="643">
        <v>-15.855905256620872</v>
      </c>
      <c r="U341" s="639" t="s">
        <v>62</v>
      </c>
      <c r="V341" s="640">
        <v>0</v>
      </c>
      <c r="W341" s="641">
        <v>0</v>
      </c>
      <c r="X341" s="641">
        <v>-10.068616817390659</v>
      </c>
      <c r="Y341" s="640">
        <v>-2.2904268439326967</v>
      </c>
      <c r="Z341" s="641">
        <v>0</v>
      </c>
      <c r="AA341" s="641">
        <v>0</v>
      </c>
      <c r="AB341" s="641">
        <v>0</v>
      </c>
      <c r="AC341" s="641">
        <v>0</v>
      </c>
      <c r="AD341" s="641">
        <v>0</v>
      </c>
      <c r="AE341" s="641">
        <v>-0.98161150454258428</v>
      </c>
      <c r="AF341" s="641">
        <v>0</v>
      </c>
      <c r="AG341" s="641">
        <v>0</v>
      </c>
      <c r="AH341" s="642">
        <v>0</v>
      </c>
      <c r="AI341" s="641">
        <v>0</v>
      </c>
      <c r="AJ341" s="641">
        <v>0</v>
      </c>
      <c r="AK341" s="643">
        <v>-13.34065516586594</v>
      </c>
    </row>
    <row r="342" spans="3:37" x14ac:dyDescent="0.2">
      <c r="C342" s="639" t="s">
        <v>63</v>
      </c>
      <c r="D342" s="640">
        <v>0</v>
      </c>
      <c r="E342" s="641">
        <v>0</v>
      </c>
      <c r="F342" s="641">
        <v>-87.092524368241456</v>
      </c>
      <c r="G342" s="640">
        <v>0</v>
      </c>
      <c r="H342" s="641">
        <v>0</v>
      </c>
      <c r="I342" s="641">
        <v>0</v>
      </c>
      <c r="J342" s="641">
        <v>0</v>
      </c>
      <c r="K342" s="641">
        <v>0</v>
      </c>
      <c r="L342" s="641">
        <v>-0.90133117758770376</v>
      </c>
      <c r="M342" s="641">
        <v>0</v>
      </c>
      <c r="N342" s="641">
        <v>0</v>
      </c>
      <c r="O342" s="641">
        <v>0</v>
      </c>
      <c r="P342" s="642">
        <v>0</v>
      </c>
      <c r="Q342" s="641">
        <v>0</v>
      </c>
      <c r="R342" s="641">
        <v>0</v>
      </c>
      <c r="S342" s="643">
        <v>-87.993855545829163</v>
      </c>
      <c r="U342" s="639" t="s">
        <v>63</v>
      </c>
      <c r="V342" s="640">
        <v>0</v>
      </c>
      <c r="W342" s="641">
        <v>0</v>
      </c>
      <c r="X342" s="641">
        <v>-58.231828596071985</v>
      </c>
      <c r="Y342" s="640">
        <v>0</v>
      </c>
      <c r="Z342" s="641">
        <v>0</v>
      </c>
      <c r="AA342" s="641">
        <v>0</v>
      </c>
      <c r="AB342" s="641">
        <v>0</v>
      </c>
      <c r="AC342" s="641">
        <v>0</v>
      </c>
      <c r="AD342" s="641">
        <v>-23.991898740742837</v>
      </c>
      <c r="AE342" s="641">
        <v>0</v>
      </c>
      <c r="AF342" s="641">
        <v>0</v>
      </c>
      <c r="AG342" s="641">
        <v>0</v>
      </c>
      <c r="AH342" s="642">
        <v>0</v>
      </c>
      <c r="AI342" s="641">
        <v>0</v>
      </c>
      <c r="AJ342" s="641">
        <v>0</v>
      </c>
      <c r="AK342" s="643">
        <v>-82.223727336814818</v>
      </c>
    </row>
    <row r="343" spans="3:37" x14ac:dyDescent="0.2">
      <c r="C343" s="639" t="s">
        <v>64</v>
      </c>
      <c r="D343" s="640">
        <v>0</v>
      </c>
      <c r="E343" s="641">
        <v>0</v>
      </c>
      <c r="F343" s="641">
        <v>0</v>
      </c>
      <c r="G343" s="640">
        <v>0</v>
      </c>
      <c r="H343" s="641">
        <v>0</v>
      </c>
      <c r="I343" s="641">
        <v>0</v>
      </c>
      <c r="J343" s="641">
        <v>0</v>
      </c>
      <c r="K343" s="641">
        <v>0</v>
      </c>
      <c r="L343" s="641">
        <v>0</v>
      </c>
      <c r="M343" s="641">
        <v>0</v>
      </c>
      <c r="N343" s="641">
        <v>0</v>
      </c>
      <c r="O343" s="641">
        <v>0</v>
      </c>
      <c r="P343" s="642">
        <v>0</v>
      </c>
      <c r="Q343" s="641">
        <v>0</v>
      </c>
      <c r="R343" s="641">
        <v>0</v>
      </c>
      <c r="S343" s="643">
        <v>0</v>
      </c>
      <c r="U343" s="639" t="s">
        <v>64</v>
      </c>
      <c r="V343" s="640">
        <v>0</v>
      </c>
      <c r="W343" s="641">
        <v>0</v>
      </c>
      <c r="X343" s="641">
        <v>0</v>
      </c>
      <c r="Y343" s="640">
        <v>0</v>
      </c>
      <c r="Z343" s="641">
        <v>0</v>
      </c>
      <c r="AA343" s="641">
        <v>0</v>
      </c>
      <c r="AB343" s="641">
        <v>0</v>
      </c>
      <c r="AC343" s="641">
        <v>0</v>
      </c>
      <c r="AD343" s="641">
        <v>0</v>
      </c>
      <c r="AE343" s="641">
        <v>0</v>
      </c>
      <c r="AF343" s="641">
        <v>0</v>
      </c>
      <c r="AG343" s="641">
        <v>0</v>
      </c>
      <c r="AH343" s="642">
        <v>0</v>
      </c>
      <c r="AI343" s="641">
        <v>0</v>
      </c>
      <c r="AJ343" s="641">
        <v>0</v>
      </c>
      <c r="AK343" s="643">
        <v>0</v>
      </c>
    </row>
    <row r="344" spans="3:37" x14ac:dyDescent="0.2">
      <c r="C344" s="644" t="s">
        <v>65</v>
      </c>
      <c r="D344" s="645">
        <v>48.037640466799544</v>
      </c>
      <c r="E344" s="645">
        <v>504.19228646673599</v>
      </c>
      <c r="F344" s="645">
        <v>-34.42113536983026</v>
      </c>
      <c r="G344" s="645">
        <v>332.96357284387591</v>
      </c>
      <c r="H344" s="645">
        <v>959.09090909090924</v>
      </c>
      <c r="I344" s="645">
        <v>265.54666314840352</v>
      </c>
      <c r="J344" s="645">
        <v>193.04141328057412</v>
      </c>
      <c r="K344" s="645">
        <v>20.835963621356942</v>
      </c>
      <c r="L344" s="645">
        <v>2.0067333731380987</v>
      </c>
      <c r="M344" s="645">
        <v>0.15840693111613638</v>
      </c>
      <c r="N344" s="645">
        <v>62.897832024028709</v>
      </c>
      <c r="O344" s="645">
        <v>11.865462020109925</v>
      </c>
      <c r="P344" s="645">
        <v>-31.055970799843635</v>
      </c>
      <c r="Q344" s="645">
        <v>0</v>
      </c>
      <c r="R344" s="645">
        <v>0</v>
      </c>
      <c r="S344" s="645">
        <v>2335.159777097374</v>
      </c>
      <c r="U344" s="644" t="s">
        <v>65</v>
      </c>
      <c r="V344" s="645">
        <v>7.5315222042138927</v>
      </c>
      <c r="W344" s="645">
        <v>266.28302835422375</v>
      </c>
      <c r="X344" s="645">
        <v>-73.87807568026254</v>
      </c>
      <c r="Y344" s="645">
        <v>133.90658281746911</v>
      </c>
      <c r="Z344" s="645">
        <v>919.39393939393949</v>
      </c>
      <c r="AA344" s="645">
        <v>300.16666314840353</v>
      </c>
      <c r="AB344" s="645">
        <v>200.47624617373779</v>
      </c>
      <c r="AC344" s="645">
        <v>37.690284018354092</v>
      </c>
      <c r="AD344" s="645">
        <v>-21.083834190017033</v>
      </c>
      <c r="AE344" s="645">
        <v>-0.82320457342644793</v>
      </c>
      <c r="AF344" s="645">
        <v>92.901000398225491</v>
      </c>
      <c r="AG344" s="645">
        <v>23.979405132943342</v>
      </c>
      <c r="AH344" s="645">
        <v>-12.632253344037395</v>
      </c>
      <c r="AI344" s="645">
        <v>0</v>
      </c>
      <c r="AJ344" s="645">
        <v>0</v>
      </c>
      <c r="AK344" s="645">
        <v>1873.9113038537675</v>
      </c>
    </row>
    <row r="345" spans="3:37" x14ac:dyDescent="0.2">
      <c r="C345" s="634"/>
      <c r="D345" s="634">
        <v>0</v>
      </c>
      <c r="E345" s="634">
        <v>0</v>
      </c>
      <c r="F345" s="634">
        <v>0</v>
      </c>
      <c r="G345" s="634">
        <v>0</v>
      </c>
      <c r="H345" s="634">
        <v>0</v>
      </c>
      <c r="I345" s="634">
        <v>0</v>
      </c>
      <c r="J345" s="634">
        <v>0</v>
      </c>
      <c r="K345" s="634">
        <v>0</v>
      </c>
      <c r="L345" s="634">
        <v>0</v>
      </c>
      <c r="M345" s="634">
        <v>0</v>
      </c>
      <c r="N345" s="634">
        <v>0</v>
      </c>
      <c r="O345" s="634">
        <v>0</v>
      </c>
      <c r="P345" s="634">
        <v>0</v>
      </c>
      <c r="Q345" s="634">
        <v>0</v>
      </c>
      <c r="R345" s="634">
        <v>0</v>
      </c>
      <c r="S345" s="634">
        <v>0</v>
      </c>
      <c r="U345" s="634"/>
      <c r="V345" s="634">
        <v>0</v>
      </c>
      <c r="W345" s="634">
        <v>0</v>
      </c>
      <c r="X345" s="634">
        <v>0</v>
      </c>
      <c r="Y345" s="634">
        <v>0</v>
      </c>
      <c r="Z345" s="634">
        <v>0</v>
      </c>
      <c r="AA345" s="634">
        <v>0</v>
      </c>
      <c r="AB345" s="634">
        <v>0</v>
      </c>
      <c r="AC345" s="634">
        <v>0</v>
      </c>
      <c r="AD345" s="634">
        <v>0</v>
      </c>
      <c r="AE345" s="634">
        <v>0</v>
      </c>
      <c r="AF345" s="634">
        <v>0</v>
      </c>
      <c r="AG345" s="634">
        <v>0</v>
      </c>
      <c r="AH345" s="634">
        <v>0</v>
      </c>
      <c r="AI345" s="634">
        <v>0</v>
      </c>
      <c r="AJ345" s="634">
        <v>0</v>
      </c>
      <c r="AK345" s="634">
        <v>0</v>
      </c>
    </row>
    <row r="346" spans="3:37" x14ac:dyDescent="0.2">
      <c r="C346" s="646" t="s">
        <v>67</v>
      </c>
      <c r="D346" s="640">
        <v>0</v>
      </c>
      <c r="E346" s="647">
        <v>0</v>
      </c>
      <c r="F346" s="647">
        <v>0</v>
      </c>
      <c r="G346" s="640">
        <v>0</v>
      </c>
      <c r="H346" s="640">
        <v>0</v>
      </c>
      <c r="I346" s="640">
        <v>0</v>
      </c>
      <c r="J346" s="640">
        <v>0</v>
      </c>
      <c r="K346" s="640">
        <v>0</v>
      </c>
      <c r="L346" s="640">
        <v>0</v>
      </c>
      <c r="M346" s="640">
        <v>0</v>
      </c>
      <c r="N346" s="640">
        <v>0</v>
      </c>
      <c r="O346" s="640">
        <v>0</v>
      </c>
      <c r="P346" s="640">
        <v>0</v>
      </c>
      <c r="Q346" s="640">
        <v>0</v>
      </c>
      <c r="R346" s="640">
        <v>0</v>
      </c>
      <c r="S346" s="648">
        <v>0</v>
      </c>
      <c r="U346" s="646" t="s">
        <v>67</v>
      </c>
      <c r="V346" s="640">
        <v>0</v>
      </c>
      <c r="W346" s="647">
        <v>0</v>
      </c>
      <c r="X346" s="647">
        <v>0</v>
      </c>
      <c r="Y346" s="640">
        <v>0</v>
      </c>
      <c r="Z346" s="640">
        <v>0</v>
      </c>
      <c r="AA346" s="640">
        <v>0</v>
      </c>
      <c r="AB346" s="640">
        <v>0</v>
      </c>
      <c r="AC346" s="640">
        <v>0</v>
      </c>
      <c r="AD346" s="640">
        <v>0</v>
      </c>
      <c r="AE346" s="640">
        <v>0</v>
      </c>
      <c r="AF346" s="640">
        <v>0</v>
      </c>
      <c r="AG346" s="640">
        <v>0</v>
      </c>
      <c r="AH346" s="640">
        <v>0</v>
      </c>
      <c r="AI346" s="640">
        <v>0</v>
      </c>
      <c r="AJ346" s="640">
        <v>0</v>
      </c>
      <c r="AK346" s="648">
        <v>0</v>
      </c>
    </row>
    <row r="347" spans="3:37" x14ac:dyDescent="0.2">
      <c r="C347" s="646" t="s">
        <v>347</v>
      </c>
      <c r="D347" s="640">
        <v>2.8267856410252494</v>
      </c>
      <c r="E347" s="640">
        <v>0</v>
      </c>
      <c r="F347" s="640">
        <v>7.5217067848259731</v>
      </c>
      <c r="G347" s="640">
        <v>17.043478260869566</v>
      </c>
      <c r="H347" s="640">
        <v>959.09090909090924</v>
      </c>
      <c r="I347" s="640">
        <v>265.54666314840352</v>
      </c>
      <c r="J347" s="649">
        <v>29.657322749860491</v>
      </c>
      <c r="K347" s="649">
        <v>6.9984717304001904</v>
      </c>
      <c r="L347" s="649">
        <v>2.9080645507258027</v>
      </c>
      <c r="M347" s="649">
        <v>0.47316517381762646</v>
      </c>
      <c r="N347" s="649">
        <v>0</v>
      </c>
      <c r="O347" s="649">
        <v>6.9042102843702597</v>
      </c>
      <c r="P347" s="640">
        <v>-613.13903868039233</v>
      </c>
      <c r="Q347" s="640">
        <v>0</v>
      </c>
      <c r="R347" s="640">
        <v>0</v>
      </c>
      <c r="S347" s="648">
        <v>685.83173873481564</v>
      </c>
      <c r="U347" s="646" t="s">
        <v>347</v>
      </c>
      <c r="V347" s="640">
        <v>0.62631490545869017</v>
      </c>
      <c r="W347" s="640">
        <v>0</v>
      </c>
      <c r="X347" s="640">
        <v>3.6580704211896093</v>
      </c>
      <c r="Y347" s="640">
        <v>6.2086956521739127</v>
      </c>
      <c r="Z347" s="640">
        <v>919.39393939393949</v>
      </c>
      <c r="AA347" s="640">
        <v>300.16666314840353</v>
      </c>
      <c r="AB347" s="649">
        <v>23.86094386593884</v>
      </c>
      <c r="AC347" s="649">
        <v>5.6952120200596408</v>
      </c>
      <c r="AD347" s="649">
        <v>2.9080645507258027</v>
      </c>
      <c r="AE347" s="649">
        <v>2.7862086520784959</v>
      </c>
      <c r="AF347" s="649">
        <v>0</v>
      </c>
      <c r="AG347" s="649">
        <v>6.9042102843702597</v>
      </c>
      <c r="AH347" s="640">
        <v>-628.6590386803922</v>
      </c>
      <c r="AI347" s="640">
        <v>0</v>
      </c>
      <c r="AJ347" s="640">
        <v>4.7499999999999991</v>
      </c>
      <c r="AK347" s="648">
        <v>648.29928421394618</v>
      </c>
    </row>
    <row r="348" spans="3:37" x14ac:dyDescent="0.2">
      <c r="C348" s="646" t="s">
        <v>348</v>
      </c>
      <c r="D348" s="640">
        <v>0</v>
      </c>
      <c r="E348" s="640">
        <v>0</v>
      </c>
      <c r="F348" s="640">
        <v>0</v>
      </c>
      <c r="G348" s="640">
        <v>14.973464488470796</v>
      </c>
      <c r="H348" s="640">
        <v>0</v>
      </c>
      <c r="I348" s="640">
        <v>0</v>
      </c>
      <c r="J348" s="649">
        <v>12.61885930635281</v>
      </c>
      <c r="K348" s="649">
        <v>11.992989190910333</v>
      </c>
      <c r="L348" s="649">
        <v>0</v>
      </c>
      <c r="M348" s="649">
        <v>0.32007470171399477</v>
      </c>
      <c r="N348" s="649">
        <v>0</v>
      </c>
      <c r="O348" s="649">
        <v>2.1221335576886813</v>
      </c>
      <c r="P348" s="640">
        <v>0</v>
      </c>
      <c r="Q348" s="640">
        <v>-38.122859170635891</v>
      </c>
      <c r="R348" s="640">
        <v>0</v>
      </c>
      <c r="S348" s="648">
        <v>3.9046620745007217</v>
      </c>
      <c r="U348" s="646" t="s">
        <v>348</v>
      </c>
      <c r="V348" s="640">
        <v>0</v>
      </c>
      <c r="W348" s="640">
        <v>0</v>
      </c>
      <c r="X348" s="640">
        <v>0</v>
      </c>
      <c r="Y348" s="640">
        <v>11.236128743190402</v>
      </c>
      <c r="Z348" s="640">
        <v>0</v>
      </c>
      <c r="AA348" s="640">
        <v>0</v>
      </c>
      <c r="AB348" s="649">
        <v>28.835017835425074</v>
      </c>
      <c r="AC348" s="649">
        <v>26.276566272731909</v>
      </c>
      <c r="AD348" s="649">
        <v>0</v>
      </c>
      <c r="AE348" s="649">
        <v>4.8299775408676195</v>
      </c>
      <c r="AF348" s="649">
        <v>0</v>
      </c>
      <c r="AG348" s="649">
        <v>10.71495831218258</v>
      </c>
      <c r="AH348" s="640">
        <v>0</v>
      </c>
      <c r="AI348" s="640">
        <v>-75.331063655699538</v>
      </c>
      <c r="AJ348" s="640">
        <v>0</v>
      </c>
      <c r="AK348" s="648">
        <v>6.561585048698058</v>
      </c>
    </row>
    <row r="349" spans="3:37" x14ac:dyDescent="0.2">
      <c r="C349" s="646" t="s">
        <v>349</v>
      </c>
      <c r="D349" s="640">
        <v>0</v>
      </c>
      <c r="E349" s="640">
        <v>0</v>
      </c>
      <c r="F349" s="640">
        <v>0</v>
      </c>
      <c r="G349" s="640">
        <v>0</v>
      </c>
      <c r="H349" s="640">
        <v>0</v>
      </c>
      <c r="I349" s="640">
        <v>0</v>
      </c>
      <c r="J349" s="650">
        <v>7.1836152532588793</v>
      </c>
      <c r="K349" s="650">
        <v>0</v>
      </c>
      <c r="L349" s="650">
        <v>0</v>
      </c>
      <c r="M349" s="650">
        <v>-6.5550489185987271</v>
      </c>
      <c r="N349" s="650">
        <v>0</v>
      </c>
      <c r="O349" s="650">
        <v>0</v>
      </c>
      <c r="P349" s="640">
        <v>0</v>
      </c>
      <c r="Q349" s="640">
        <v>0</v>
      </c>
      <c r="R349" s="640">
        <v>0</v>
      </c>
      <c r="S349" s="648">
        <v>0.62856633466015222</v>
      </c>
      <c r="U349" s="646" t="s">
        <v>349</v>
      </c>
      <c r="V349" s="640">
        <v>0</v>
      </c>
      <c r="W349" s="640">
        <v>0</v>
      </c>
      <c r="X349" s="640">
        <v>0</v>
      </c>
      <c r="Y349" s="640">
        <v>0</v>
      </c>
      <c r="Z349" s="640">
        <v>0</v>
      </c>
      <c r="AA349" s="640">
        <v>0</v>
      </c>
      <c r="AB349" s="650">
        <v>63.436450079223192</v>
      </c>
      <c r="AC349" s="650">
        <v>0</v>
      </c>
      <c r="AD349" s="650">
        <v>0</v>
      </c>
      <c r="AE349" s="650">
        <v>-57.885760697291161</v>
      </c>
      <c r="AF349" s="650">
        <v>0</v>
      </c>
      <c r="AG349" s="650">
        <v>0</v>
      </c>
      <c r="AH349" s="640">
        <v>0</v>
      </c>
      <c r="AI349" s="640">
        <v>0</v>
      </c>
      <c r="AJ349" s="640">
        <v>0</v>
      </c>
      <c r="AK349" s="648">
        <v>5.5506893819320311</v>
      </c>
    </row>
    <row r="350" spans="3:37" x14ac:dyDescent="0.2">
      <c r="C350" s="646" t="s">
        <v>350</v>
      </c>
      <c r="D350" s="640">
        <v>0</v>
      </c>
      <c r="E350" s="640">
        <v>0</v>
      </c>
      <c r="F350" s="640">
        <v>0</v>
      </c>
      <c r="G350" s="640">
        <v>0</v>
      </c>
      <c r="H350" s="640">
        <v>0</v>
      </c>
      <c r="I350" s="640">
        <v>0</v>
      </c>
      <c r="J350" s="640">
        <v>0</v>
      </c>
      <c r="K350" s="640">
        <v>0</v>
      </c>
      <c r="L350" s="640">
        <v>0</v>
      </c>
      <c r="M350" s="640">
        <v>0</v>
      </c>
      <c r="N350" s="640">
        <v>0</v>
      </c>
      <c r="O350" s="640">
        <v>0</v>
      </c>
      <c r="P350" s="640">
        <v>0</v>
      </c>
      <c r="Q350" s="640">
        <v>0</v>
      </c>
      <c r="R350" s="640">
        <v>0</v>
      </c>
      <c r="S350" s="648">
        <v>0</v>
      </c>
      <c r="U350" s="646" t="s">
        <v>350</v>
      </c>
      <c r="V350" s="640">
        <v>0</v>
      </c>
      <c r="W350" s="640">
        <v>0</v>
      </c>
      <c r="X350" s="640">
        <v>0</v>
      </c>
      <c r="Y350" s="640">
        <v>0</v>
      </c>
      <c r="Z350" s="640">
        <v>0</v>
      </c>
      <c r="AA350" s="640">
        <v>0</v>
      </c>
      <c r="AB350" s="640">
        <v>0</v>
      </c>
      <c r="AC350" s="640">
        <v>0</v>
      </c>
      <c r="AD350" s="640">
        <v>0</v>
      </c>
      <c r="AE350" s="640">
        <v>0</v>
      </c>
      <c r="AF350" s="640">
        <v>0</v>
      </c>
      <c r="AG350" s="640">
        <v>0</v>
      </c>
      <c r="AH350" s="640">
        <v>0</v>
      </c>
      <c r="AI350" s="640">
        <v>0</v>
      </c>
      <c r="AJ350" s="640">
        <v>0</v>
      </c>
      <c r="AK350" s="648">
        <v>0</v>
      </c>
    </row>
    <row r="351" spans="3:37" x14ac:dyDescent="0.2">
      <c r="C351" s="646" t="s">
        <v>72</v>
      </c>
      <c r="D351" s="640">
        <v>0</v>
      </c>
      <c r="E351" s="640">
        <v>522.28962186433523</v>
      </c>
      <c r="F351" s="640">
        <v>-517.06672564569192</v>
      </c>
      <c r="G351" s="640">
        <v>0</v>
      </c>
      <c r="H351" s="640">
        <v>0</v>
      </c>
      <c r="I351" s="640">
        <v>0</v>
      </c>
      <c r="J351" s="640">
        <v>0</v>
      </c>
      <c r="K351" s="640">
        <v>0</v>
      </c>
      <c r="L351" s="640">
        <v>0</v>
      </c>
      <c r="M351" s="640">
        <v>0</v>
      </c>
      <c r="N351" s="640">
        <v>0</v>
      </c>
      <c r="O351" s="640">
        <v>0</v>
      </c>
      <c r="P351" s="640">
        <v>0</v>
      </c>
      <c r="Q351" s="640">
        <v>0</v>
      </c>
      <c r="R351" s="640">
        <v>0</v>
      </c>
      <c r="S351" s="648">
        <v>5.2228962186433137</v>
      </c>
      <c r="U351" s="646" t="s">
        <v>72</v>
      </c>
      <c r="V351" s="640">
        <v>0</v>
      </c>
      <c r="W351" s="640">
        <v>275.84091609698424</v>
      </c>
      <c r="X351" s="640">
        <v>-273.0825069360144</v>
      </c>
      <c r="Y351" s="640">
        <v>0</v>
      </c>
      <c r="Z351" s="640">
        <v>0</v>
      </c>
      <c r="AA351" s="640">
        <v>0</v>
      </c>
      <c r="AB351" s="640">
        <v>0</v>
      </c>
      <c r="AC351" s="640">
        <v>0</v>
      </c>
      <c r="AD351" s="640">
        <v>0</v>
      </c>
      <c r="AE351" s="640">
        <v>0</v>
      </c>
      <c r="AF351" s="640">
        <v>0</v>
      </c>
      <c r="AG351" s="640">
        <v>0</v>
      </c>
      <c r="AH351" s="640">
        <v>0</v>
      </c>
      <c r="AI351" s="640">
        <v>0</v>
      </c>
      <c r="AJ351" s="640">
        <v>0</v>
      </c>
      <c r="AK351" s="648">
        <v>2.7584091609698476</v>
      </c>
    </row>
    <row r="352" spans="3:37" x14ac:dyDescent="0.2">
      <c r="C352" s="646" t="s">
        <v>351</v>
      </c>
      <c r="D352" s="640">
        <v>0</v>
      </c>
      <c r="E352" s="640">
        <v>0</v>
      </c>
      <c r="F352" s="640">
        <v>0</v>
      </c>
      <c r="G352" s="640">
        <v>0</v>
      </c>
      <c r="H352" s="640">
        <v>0</v>
      </c>
      <c r="I352" s="640">
        <v>0</v>
      </c>
      <c r="J352" s="640">
        <v>28.942309114060045</v>
      </c>
      <c r="K352" s="640">
        <v>0</v>
      </c>
      <c r="L352" s="640">
        <v>-28.942309114060045</v>
      </c>
      <c r="M352" s="640">
        <v>0</v>
      </c>
      <c r="N352" s="640">
        <v>0</v>
      </c>
      <c r="O352" s="640">
        <v>0</v>
      </c>
      <c r="P352" s="640">
        <v>0</v>
      </c>
      <c r="Q352" s="640">
        <v>0</v>
      </c>
      <c r="R352" s="640">
        <v>0</v>
      </c>
      <c r="S352" s="648">
        <v>0</v>
      </c>
      <c r="U352" s="646" t="s">
        <v>351</v>
      </c>
      <c r="V352" s="640">
        <v>0</v>
      </c>
      <c r="W352" s="640">
        <v>0</v>
      </c>
      <c r="X352" s="640">
        <v>0</v>
      </c>
      <c r="Y352" s="640">
        <v>0</v>
      </c>
      <c r="Z352" s="640">
        <v>0</v>
      </c>
      <c r="AA352" s="640">
        <v>0</v>
      </c>
      <c r="AB352" s="640" t="e">
        <v>#VALUE!</v>
      </c>
      <c r="AC352" s="640">
        <v>0</v>
      </c>
      <c r="AD352" s="640">
        <v>-101.68735143023177</v>
      </c>
      <c r="AE352" s="640">
        <v>0</v>
      </c>
      <c r="AF352" s="640">
        <v>0</v>
      </c>
      <c r="AG352" s="640">
        <v>0</v>
      </c>
      <c r="AH352" s="640">
        <v>0</v>
      </c>
      <c r="AI352" s="640">
        <v>0</v>
      </c>
      <c r="AJ352" s="640">
        <v>0</v>
      </c>
      <c r="AK352" s="648">
        <v>-101.68735143023177</v>
      </c>
    </row>
    <row r="353" spans="3:37" x14ac:dyDescent="0.2">
      <c r="C353" s="646" t="s">
        <v>352</v>
      </c>
      <c r="D353" s="640">
        <v>0</v>
      </c>
      <c r="E353" s="640">
        <v>0</v>
      </c>
      <c r="F353" s="640">
        <v>0</v>
      </c>
      <c r="G353" s="640">
        <v>0</v>
      </c>
      <c r="H353" s="640">
        <v>0</v>
      </c>
      <c r="I353" s="640">
        <v>0</v>
      </c>
      <c r="J353" s="640">
        <v>0</v>
      </c>
      <c r="K353" s="640">
        <v>0</v>
      </c>
      <c r="L353" s="640">
        <v>0</v>
      </c>
      <c r="M353" s="640">
        <v>0</v>
      </c>
      <c r="N353" s="640">
        <v>0</v>
      </c>
      <c r="O353" s="640">
        <v>0</v>
      </c>
      <c r="P353" s="640">
        <v>0</v>
      </c>
      <c r="Q353" s="640">
        <v>0</v>
      </c>
      <c r="R353" s="640">
        <v>0</v>
      </c>
      <c r="S353" s="648">
        <v>0</v>
      </c>
      <c r="U353" s="646" t="s">
        <v>352</v>
      </c>
      <c r="V353" s="640">
        <v>0</v>
      </c>
      <c r="W353" s="640">
        <v>0</v>
      </c>
      <c r="X353" s="640">
        <v>0</v>
      </c>
      <c r="Y353" s="640">
        <v>0</v>
      </c>
      <c r="Z353" s="640">
        <v>0</v>
      </c>
      <c r="AA353" s="640">
        <v>0</v>
      </c>
      <c r="AB353" s="640">
        <v>0</v>
      </c>
      <c r="AC353" s="640">
        <v>0</v>
      </c>
      <c r="AD353" s="640">
        <v>-20.330518764117095</v>
      </c>
      <c r="AE353" s="640">
        <v>0</v>
      </c>
      <c r="AF353" s="640">
        <v>0</v>
      </c>
      <c r="AG353" s="640">
        <v>0</v>
      </c>
      <c r="AH353" s="640">
        <v>0</v>
      </c>
      <c r="AI353" s="640">
        <v>0</v>
      </c>
      <c r="AJ353" s="640">
        <v>0</v>
      </c>
      <c r="AK353" s="648">
        <v>-20.330518764117095</v>
      </c>
    </row>
    <row r="354" spans="3:37" x14ac:dyDescent="0.2">
      <c r="C354" s="646" t="s">
        <v>73</v>
      </c>
      <c r="D354" s="640">
        <v>0</v>
      </c>
      <c r="E354" s="640">
        <v>0</v>
      </c>
      <c r="F354" s="640">
        <v>0</v>
      </c>
      <c r="G354" s="640">
        <v>5.1012543356530031</v>
      </c>
      <c r="H354" s="640">
        <v>0</v>
      </c>
      <c r="I354" s="640">
        <v>0</v>
      </c>
      <c r="J354" s="640">
        <v>0</v>
      </c>
      <c r="K354" s="640">
        <v>5.8487208617897309E-2</v>
      </c>
      <c r="L354" s="640">
        <v>0</v>
      </c>
      <c r="M354" s="640">
        <v>0.10410723133985722</v>
      </c>
      <c r="N354" s="640">
        <v>0</v>
      </c>
      <c r="O354" s="640">
        <v>0</v>
      </c>
      <c r="P354" s="640">
        <v>0.59767950412449788</v>
      </c>
      <c r="Q354" s="640">
        <v>0</v>
      </c>
      <c r="R354" s="640">
        <v>-4.094104603252811</v>
      </c>
      <c r="S354" s="648">
        <v>1.7674236764824451</v>
      </c>
      <c r="U354" s="646" t="s">
        <v>73</v>
      </c>
      <c r="V354" s="640">
        <v>0</v>
      </c>
      <c r="W354" s="640">
        <v>0</v>
      </c>
      <c r="X354" s="640">
        <v>0</v>
      </c>
      <c r="Y354" s="640">
        <v>5.6948243223481816</v>
      </c>
      <c r="Z354" s="640">
        <v>0</v>
      </c>
      <c r="AA354" s="640">
        <v>0</v>
      </c>
      <c r="AB354" s="640">
        <v>0</v>
      </c>
      <c r="AC354" s="640">
        <v>0.40677316588201312</v>
      </c>
      <c r="AD354" s="640">
        <v>0</v>
      </c>
      <c r="AE354" s="640">
        <v>2.440638995292078</v>
      </c>
      <c r="AF354" s="640">
        <v>0</v>
      </c>
      <c r="AG354" s="640">
        <v>0</v>
      </c>
      <c r="AH354" s="640">
        <v>32.838767990182951</v>
      </c>
      <c r="AI354" s="640">
        <v>0</v>
      </c>
      <c r="AJ354" s="640">
        <v>-28.474121611740912</v>
      </c>
      <c r="AK354" s="648">
        <v>12.906882861964313</v>
      </c>
    </row>
    <row r="355" spans="3:37" x14ac:dyDescent="0.2">
      <c r="C355" s="646" t="s">
        <v>353</v>
      </c>
      <c r="D355" s="640">
        <v>28.616489999999999</v>
      </c>
      <c r="E355" s="640">
        <v>-18.09733539759922</v>
      </c>
      <c r="F355" s="640">
        <v>23.670245777269074</v>
      </c>
      <c r="G355" s="640">
        <v>0</v>
      </c>
      <c r="H355" s="640">
        <v>0</v>
      </c>
      <c r="I355" s="640">
        <v>0</v>
      </c>
      <c r="J355" s="640">
        <v>0</v>
      </c>
      <c r="K355" s="640">
        <v>0</v>
      </c>
      <c r="L355" s="640">
        <v>0</v>
      </c>
      <c r="M355" s="640">
        <v>0</v>
      </c>
      <c r="N355" s="640">
        <v>0</v>
      </c>
      <c r="O355" s="640">
        <v>0</v>
      </c>
      <c r="P355" s="640">
        <v>0</v>
      </c>
      <c r="Q355" s="640">
        <v>0</v>
      </c>
      <c r="R355" s="640">
        <v>0</v>
      </c>
      <c r="S355" s="648">
        <v>34.189400379669848</v>
      </c>
      <c r="U355" s="646" t="s">
        <v>353</v>
      </c>
      <c r="V355" s="640">
        <v>2.3505202026367185</v>
      </c>
      <c r="W355" s="640">
        <v>-9.5578877427605047</v>
      </c>
      <c r="X355" s="640">
        <v>12.501152628950074</v>
      </c>
      <c r="Y355" s="640">
        <v>0</v>
      </c>
      <c r="Z355" s="640">
        <v>0</v>
      </c>
      <c r="AA355" s="640">
        <v>0</v>
      </c>
      <c r="AB355" s="640">
        <v>0</v>
      </c>
      <c r="AC355" s="640">
        <v>0</v>
      </c>
      <c r="AD355" s="640">
        <v>0</v>
      </c>
      <c r="AE355" s="640">
        <v>0</v>
      </c>
      <c r="AF355" s="640">
        <v>0</v>
      </c>
      <c r="AG355" s="640">
        <v>0</v>
      </c>
      <c r="AH355" s="640">
        <v>0</v>
      </c>
      <c r="AI355" s="640">
        <v>0</v>
      </c>
      <c r="AJ355" s="640">
        <v>0</v>
      </c>
      <c r="AK355" s="648">
        <v>5.2937850888262874</v>
      </c>
    </row>
    <row r="356" spans="3:37" x14ac:dyDescent="0.2">
      <c r="C356" s="646" t="s">
        <v>75</v>
      </c>
      <c r="D356" s="640">
        <v>11.128635000000001</v>
      </c>
      <c r="E356" s="640">
        <v>0</v>
      </c>
      <c r="F356" s="640">
        <v>17.757847143387398</v>
      </c>
      <c r="G356" s="640">
        <v>5.0672539113277812</v>
      </c>
      <c r="H356" s="640">
        <v>0</v>
      </c>
      <c r="I356" s="640">
        <v>0</v>
      </c>
      <c r="J356" s="640">
        <v>0</v>
      </c>
      <c r="K356" s="640">
        <v>0</v>
      </c>
      <c r="L356" s="640">
        <v>0</v>
      </c>
      <c r="M356" s="640">
        <v>0.1034133451291384</v>
      </c>
      <c r="N356" s="640">
        <v>0</v>
      </c>
      <c r="O356" s="640">
        <v>0</v>
      </c>
      <c r="P356" s="640">
        <v>30.750377055945027</v>
      </c>
      <c r="Q356" s="640">
        <v>0</v>
      </c>
      <c r="R356" s="640">
        <v>0</v>
      </c>
      <c r="S356" s="648">
        <v>64.807526455789343</v>
      </c>
      <c r="U356" s="646" t="s">
        <v>75</v>
      </c>
      <c r="V356" s="640">
        <v>3.4784289550781251</v>
      </c>
      <c r="W356" s="640">
        <v>0</v>
      </c>
      <c r="X356" s="640">
        <v>17.757847143387398</v>
      </c>
      <c r="Y356" s="640">
        <v>3.6194670795198434</v>
      </c>
      <c r="Z356" s="640">
        <v>0</v>
      </c>
      <c r="AA356" s="640">
        <v>0</v>
      </c>
      <c r="AB356" s="640">
        <v>0</v>
      </c>
      <c r="AC356" s="640">
        <v>0</v>
      </c>
      <c r="AD356" s="640">
        <v>0</v>
      </c>
      <c r="AE356" s="640">
        <v>1.5512001769370758</v>
      </c>
      <c r="AF356" s="640">
        <v>0</v>
      </c>
      <c r="AG356" s="640">
        <v>0</v>
      </c>
      <c r="AH356" s="640">
        <v>36.42264978321775</v>
      </c>
      <c r="AI356" s="640">
        <v>0</v>
      </c>
      <c r="AJ356" s="640">
        <v>0</v>
      </c>
      <c r="AK356" s="648">
        <v>62.829593138140197</v>
      </c>
    </row>
    <row r="357" spans="3:37" x14ac:dyDescent="0.2">
      <c r="C357" s="646" t="s">
        <v>76</v>
      </c>
      <c r="D357" s="640">
        <v>0</v>
      </c>
      <c r="E357" s="640">
        <v>0</v>
      </c>
      <c r="F357" s="640">
        <v>0</v>
      </c>
      <c r="G357" s="640">
        <v>3.8086647866957031</v>
      </c>
      <c r="H357" s="640">
        <v>0</v>
      </c>
      <c r="I357" s="640">
        <v>0</v>
      </c>
      <c r="J357" s="640">
        <v>0</v>
      </c>
      <c r="K357" s="640">
        <v>0</v>
      </c>
      <c r="L357" s="640">
        <v>0</v>
      </c>
      <c r="M357" s="640">
        <v>7.7727852789708229E-2</v>
      </c>
      <c r="N357" s="640">
        <v>0</v>
      </c>
      <c r="O357" s="640">
        <v>0</v>
      </c>
      <c r="P357" s="640">
        <v>44.547532005203358</v>
      </c>
      <c r="Q357" s="640">
        <v>2.958822517532107</v>
      </c>
      <c r="R357" s="640">
        <v>0</v>
      </c>
      <c r="S357" s="648">
        <v>51.392747162220878</v>
      </c>
      <c r="U357" s="646" t="s">
        <v>76</v>
      </c>
      <c r="V357" s="640">
        <v>0</v>
      </c>
      <c r="W357" s="640">
        <v>0</v>
      </c>
      <c r="X357" s="640">
        <v>0</v>
      </c>
      <c r="Y357" s="640">
        <v>1.6015823117827594</v>
      </c>
      <c r="Z357" s="640">
        <v>0</v>
      </c>
      <c r="AA357" s="640">
        <v>0</v>
      </c>
      <c r="AB357" s="640">
        <v>0</v>
      </c>
      <c r="AC357" s="640">
        <v>0</v>
      </c>
      <c r="AD357" s="640">
        <v>0</v>
      </c>
      <c r="AE357" s="640">
        <v>0.68639241933546835</v>
      </c>
      <c r="AF357" s="640">
        <v>0</v>
      </c>
      <c r="AG357" s="640">
        <v>0</v>
      </c>
      <c r="AH357" s="640">
        <v>47.148943407633553</v>
      </c>
      <c r="AI357" s="640">
        <v>5.8421151160056723</v>
      </c>
      <c r="AJ357" s="640">
        <v>0</v>
      </c>
      <c r="AK357" s="648">
        <v>55.279033254757444</v>
      </c>
    </row>
    <row r="358" spans="3:37" x14ac:dyDescent="0.2">
      <c r="C358" s="644" t="s">
        <v>77</v>
      </c>
      <c r="D358" s="645">
        <v>42.571910641025248</v>
      </c>
      <c r="E358" s="645">
        <v>504.19228646673599</v>
      </c>
      <c r="F358" s="645">
        <v>-468.11692594020946</v>
      </c>
      <c r="G358" s="645">
        <v>45.994115783016845</v>
      </c>
      <c r="H358" s="645">
        <v>959.09090909090924</v>
      </c>
      <c r="I358" s="645">
        <v>265.54666314840352</v>
      </c>
      <c r="J358" s="645">
        <v>78.402106423532217</v>
      </c>
      <c r="K358" s="645">
        <v>19.049948129928421</v>
      </c>
      <c r="L358" s="645">
        <v>-26.034244563334241</v>
      </c>
      <c r="M358" s="645">
        <v>-5.4765606138084015</v>
      </c>
      <c r="N358" s="645">
        <v>0</v>
      </c>
      <c r="O358" s="645">
        <v>9.0263438420589424</v>
      </c>
      <c r="P358" s="645">
        <v>-537.24345011511946</v>
      </c>
      <c r="Q358" s="645">
        <v>-35.164036653103786</v>
      </c>
      <c r="R358" s="645">
        <v>-4.094104603252811</v>
      </c>
      <c r="S358" s="645">
        <v>847.74496103678234</v>
      </c>
      <c r="U358" s="644" t="s">
        <v>77</v>
      </c>
      <c r="V358" s="645">
        <v>6.4552640631735336</v>
      </c>
      <c r="W358" s="645">
        <v>266.28302835422375</v>
      </c>
      <c r="X358" s="645">
        <v>-239.16543674248729</v>
      </c>
      <c r="Y358" s="645">
        <v>28.3606981090151</v>
      </c>
      <c r="Z358" s="645">
        <v>919.39393939393949</v>
      </c>
      <c r="AA358" s="645">
        <v>300.16666314840353</v>
      </c>
      <c r="AB358" s="645">
        <v>116.13241178058709</v>
      </c>
      <c r="AC358" s="645">
        <v>32.378551458673563</v>
      </c>
      <c r="AD358" s="645">
        <v>-119.10980564362306</v>
      </c>
      <c r="AE358" s="645">
        <v>-45.591342912780426</v>
      </c>
      <c r="AF358" s="645">
        <v>0</v>
      </c>
      <c r="AG358" s="645">
        <v>17.619168596552839</v>
      </c>
      <c r="AH358" s="645">
        <v>-512.24867749935788</v>
      </c>
      <c r="AI358" s="645">
        <v>-69.488948539693865</v>
      </c>
      <c r="AJ358" s="645">
        <v>-23.724121611740912</v>
      </c>
      <c r="AK358" s="645">
        <v>677.46139195488558</v>
      </c>
    </row>
    <row r="359" spans="3:37" x14ac:dyDescent="0.2">
      <c r="C359" s="634"/>
      <c r="D359" s="634">
        <v>0</v>
      </c>
      <c r="E359" s="634">
        <v>0</v>
      </c>
      <c r="F359" s="634">
        <v>0</v>
      </c>
      <c r="G359" s="634">
        <v>0</v>
      </c>
      <c r="H359" s="634">
        <v>0</v>
      </c>
      <c r="I359" s="634">
        <v>0</v>
      </c>
      <c r="J359" s="634">
        <v>0</v>
      </c>
      <c r="K359" s="634">
        <v>0</v>
      </c>
      <c r="L359" s="634">
        <v>0</v>
      </c>
      <c r="M359" s="634">
        <v>0</v>
      </c>
      <c r="N359" s="634">
        <v>0</v>
      </c>
      <c r="O359" s="634">
        <v>0</v>
      </c>
      <c r="P359" s="634">
        <v>0</v>
      </c>
      <c r="Q359" s="634">
        <v>0</v>
      </c>
      <c r="R359" s="634">
        <v>0</v>
      </c>
      <c r="S359" s="634">
        <v>0</v>
      </c>
      <c r="U359" s="634"/>
      <c r="V359" s="634">
        <v>0</v>
      </c>
      <c r="W359" s="634">
        <v>0</v>
      </c>
      <c r="X359" s="634">
        <v>0</v>
      </c>
      <c r="Y359" s="634">
        <v>0</v>
      </c>
      <c r="Z359" s="634">
        <v>0</v>
      </c>
      <c r="AA359" s="634">
        <v>0</v>
      </c>
      <c r="AB359" s="634">
        <v>0</v>
      </c>
      <c r="AC359" s="634">
        <v>0</v>
      </c>
      <c r="AD359" s="634">
        <v>0</v>
      </c>
      <c r="AE359" s="634">
        <v>0</v>
      </c>
      <c r="AF359" s="634">
        <v>0</v>
      </c>
      <c r="AG359" s="634">
        <v>0</v>
      </c>
      <c r="AH359" s="634">
        <v>0</v>
      </c>
      <c r="AI359" s="634">
        <v>0</v>
      </c>
      <c r="AJ359" s="634">
        <v>0</v>
      </c>
      <c r="AK359" s="634">
        <v>0</v>
      </c>
    </row>
    <row r="360" spans="3:37" x14ac:dyDescent="0.2">
      <c r="C360" s="646" t="s">
        <v>78</v>
      </c>
      <c r="D360" s="640">
        <v>5.4657298257742912</v>
      </c>
      <c r="E360" s="640">
        <v>0</v>
      </c>
      <c r="F360" s="640">
        <v>21.83935294215906</v>
      </c>
      <c r="G360" s="640">
        <v>97.960240418883188</v>
      </c>
      <c r="H360" s="640">
        <v>0</v>
      </c>
      <c r="I360" s="640">
        <v>0</v>
      </c>
      <c r="J360" s="640">
        <v>20.699069714826329</v>
      </c>
      <c r="K360" s="640">
        <v>1.7608774311708451</v>
      </c>
      <c r="L360" s="640">
        <v>0.9136629082031249</v>
      </c>
      <c r="M360" s="640">
        <v>2.0177626304462204</v>
      </c>
      <c r="N360" s="640">
        <v>0</v>
      </c>
      <c r="O360" s="640">
        <v>3.7866244598879411E-4</v>
      </c>
      <c r="P360" s="640">
        <v>111.48933548215857</v>
      </c>
      <c r="Q360" s="640">
        <v>16.083775404791947</v>
      </c>
      <c r="R360" s="640">
        <v>0.29766925048828125</v>
      </c>
      <c r="S360" s="648">
        <v>278.52785467134788</v>
      </c>
      <c r="U360" s="646" t="s">
        <v>78</v>
      </c>
      <c r="V360" s="640">
        <v>1.0762581410403587</v>
      </c>
      <c r="W360" s="640">
        <v>0</v>
      </c>
      <c r="X360" s="640">
        <v>8.4892491154216376</v>
      </c>
      <c r="Y360" s="640">
        <v>50.497915430959594</v>
      </c>
      <c r="Z360" s="640">
        <v>0</v>
      </c>
      <c r="AA360" s="640">
        <v>0</v>
      </c>
      <c r="AB360" s="640">
        <v>15.594949526554588</v>
      </c>
      <c r="AC360" s="640">
        <v>5.2865944994228578</v>
      </c>
      <c r="AD360" s="640">
        <v>4.3757583007812499</v>
      </c>
      <c r="AE360" s="640">
        <v>21.660537806594554</v>
      </c>
      <c r="AF360" s="640">
        <v>0</v>
      </c>
      <c r="AG360" s="640">
        <v>3.7866244598879411E-4</v>
      </c>
      <c r="AH360" s="640">
        <v>141.44668524271188</v>
      </c>
      <c r="AI360" s="640">
        <v>22.79177635880415</v>
      </c>
      <c r="AJ360" s="640">
        <v>6.850041015625</v>
      </c>
      <c r="AK360" s="648">
        <v>278.07014410036186</v>
      </c>
    </row>
    <row r="361" spans="3:37" x14ac:dyDescent="0.2">
      <c r="C361" s="646" t="s">
        <v>79</v>
      </c>
      <c r="D361" s="640">
        <v>0</v>
      </c>
      <c r="E361" s="640">
        <v>0</v>
      </c>
      <c r="F361" s="640">
        <v>249.23385066161848</v>
      </c>
      <c r="G361" s="640">
        <v>29.852237297635437</v>
      </c>
      <c r="H361" s="640">
        <v>0</v>
      </c>
      <c r="I361" s="640">
        <v>0</v>
      </c>
      <c r="J361" s="640">
        <v>0</v>
      </c>
      <c r="K361" s="640">
        <v>0</v>
      </c>
      <c r="L361" s="640">
        <v>24.125777410294155</v>
      </c>
      <c r="M361" s="640">
        <v>0.60922933260480494</v>
      </c>
      <c r="N361" s="640">
        <v>0</v>
      </c>
      <c r="O361" s="640">
        <v>0</v>
      </c>
      <c r="P361" s="640">
        <v>62.086065361885787</v>
      </c>
      <c r="Q361" s="640">
        <v>0</v>
      </c>
      <c r="R361" s="640">
        <v>1.9828379826970517</v>
      </c>
      <c r="S361" s="648">
        <v>367.88999804673568</v>
      </c>
      <c r="U361" s="646" t="s">
        <v>79</v>
      </c>
      <c r="V361" s="640">
        <v>0</v>
      </c>
      <c r="W361" s="640">
        <v>0</v>
      </c>
      <c r="X361" s="640">
        <v>59.317364570862594</v>
      </c>
      <c r="Y361" s="640">
        <v>17.942066440325025</v>
      </c>
      <c r="Z361" s="640">
        <v>0</v>
      </c>
      <c r="AA361" s="640">
        <v>0</v>
      </c>
      <c r="AB361" s="640">
        <v>0</v>
      </c>
      <c r="AC361" s="640">
        <v>0</v>
      </c>
      <c r="AD361" s="640">
        <v>51.332808735857633</v>
      </c>
      <c r="AE361" s="640">
        <v>7.6894570458535831</v>
      </c>
      <c r="AF361" s="640">
        <v>0</v>
      </c>
      <c r="AG361" s="640">
        <v>0</v>
      </c>
      <c r="AH361" s="640">
        <v>82.201296258535137</v>
      </c>
      <c r="AI361" s="640">
        <v>0</v>
      </c>
      <c r="AJ361" s="640">
        <v>4.6183032107255606</v>
      </c>
      <c r="AK361" s="648">
        <v>223.10129626215951</v>
      </c>
    </row>
    <row r="362" spans="3:37" x14ac:dyDescent="0.2">
      <c r="C362" s="646" t="s">
        <v>80</v>
      </c>
      <c r="D362" s="640">
        <v>0</v>
      </c>
      <c r="E362" s="640">
        <v>0</v>
      </c>
      <c r="F362" s="640">
        <v>17.698191750553285</v>
      </c>
      <c r="G362" s="640">
        <v>82.8316536533641</v>
      </c>
      <c r="H362" s="640">
        <v>0</v>
      </c>
      <c r="I362" s="640">
        <v>0</v>
      </c>
      <c r="J362" s="640">
        <v>87.012401530952616</v>
      </c>
      <c r="K362" s="640">
        <v>0</v>
      </c>
      <c r="L362" s="640">
        <v>0</v>
      </c>
      <c r="M362" s="640">
        <v>1.690441911293145</v>
      </c>
      <c r="N362" s="640">
        <v>54.219025663639314</v>
      </c>
      <c r="O362" s="640">
        <v>2.0231633432731213</v>
      </c>
      <c r="P362" s="640">
        <v>187.24843332836184</v>
      </c>
      <c r="Q362" s="640">
        <v>15.504434202631401</v>
      </c>
      <c r="R362" s="640">
        <v>0</v>
      </c>
      <c r="S362" s="648">
        <v>448.22774538406884</v>
      </c>
      <c r="U362" s="646" t="s">
        <v>80</v>
      </c>
      <c r="V362" s="640">
        <v>0</v>
      </c>
      <c r="W362" s="640">
        <v>0</v>
      </c>
      <c r="X362" s="640">
        <v>1.0833932718176746</v>
      </c>
      <c r="Y362" s="640">
        <v>18.084176496701136</v>
      </c>
      <c r="Z362" s="640">
        <v>0</v>
      </c>
      <c r="AA362" s="640">
        <v>0</v>
      </c>
      <c r="AB362" s="640">
        <v>57.868484646152382</v>
      </c>
      <c r="AC362" s="640">
        <v>0</v>
      </c>
      <c r="AD362" s="640">
        <v>0</v>
      </c>
      <c r="AE362" s="640">
        <v>7.7503613557290594</v>
      </c>
      <c r="AF362" s="640">
        <v>78.313096165620991</v>
      </c>
      <c r="AG362" s="640">
        <v>3.4573890525731583</v>
      </c>
      <c r="AH362" s="640">
        <v>150.63566760387405</v>
      </c>
      <c r="AI362" s="640">
        <v>34.942034151478268</v>
      </c>
      <c r="AJ362" s="640">
        <v>0</v>
      </c>
      <c r="AK362" s="648">
        <v>352.13460274394669</v>
      </c>
    </row>
    <row r="363" spans="3:37" x14ac:dyDescent="0.2">
      <c r="C363" s="646" t="s">
        <v>81</v>
      </c>
      <c r="D363" s="640">
        <v>0</v>
      </c>
      <c r="E363" s="640">
        <v>0</v>
      </c>
      <c r="F363" s="640">
        <v>5.759525486283259</v>
      </c>
      <c r="G363" s="640">
        <v>63.242535904869413</v>
      </c>
      <c r="H363" s="640">
        <v>0</v>
      </c>
      <c r="I363" s="640">
        <v>0</v>
      </c>
      <c r="J363" s="640">
        <v>3.243340348024236</v>
      </c>
      <c r="K363" s="640">
        <v>2.5138060257677737E-2</v>
      </c>
      <c r="L363" s="640">
        <v>0</v>
      </c>
      <c r="M363" s="640">
        <v>1.2906639980585595</v>
      </c>
      <c r="N363" s="640">
        <v>8.6788063603893928</v>
      </c>
      <c r="O363" s="640">
        <v>0.74318365128395913</v>
      </c>
      <c r="P363" s="640">
        <v>138.68432478978596</v>
      </c>
      <c r="Q363" s="640">
        <v>3.5758270456804375</v>
      </c>
      <c r="R363" s="640">
        <v>0</v>
      </c>
      <c r="S363" s="648">
        <v>225.24334564463288</v>
      </c>
      <c r="U363" s="646" t="s">
        <v>81</v>
      </c>
      <c r="V363" s="640">
        <v>0</v>
      </c>
      <c r="W363" s="640">
        <v>0</v>
      </c>
      <c r="X363" s="640">
        <v>1.8996820773870462</v>
      </c>
      <c r="Y363" s="640">
        <v>16.701006494583829</v>
      </c>
      <c r="Z363" s="640">
        <v>0</v>
      </c>
      <c r="AA363" s="640">
        <v>0</v>
      </c>
      <c r="AB363" s="640">
        <v>7.1959049572050198</v>
      </c>
      <c r="AC363" s="640">
        <v>2.5138060257677737E-2</v>
      </c>
      <c r="AD363" s="640">
        <v>0</v>
      </c>
      <c r="AE363" s="640">
        <v>7.1575742119644987</v>
      </c>
      <c r="AF363" s="640">
        <v>14.587904232604497</v>
      </c>
      <c r="AG363" s="640">
        <v>1.6018484399661996</v>
      </c>
      <c r="AH363" s="640">
        <v>116.46951239557291</v>
      </c>
      <c r="AI363" s="640">
        <v>11.755138029411436</v>
      </c>
      <c r="AJ363" s="640">
        <v>0</v>
      </c>
      <c r="AK363" s="648">
        <v>177.39370889895312</v>
      </c>
    </row>
    <row r="364" spans="3:37" x14ac:dyDescent="0.2">
      <c r="C364" s="646" t="s">
        <v>82</v>
      </c>
      <c r="D364" s="640">
        <v>0</v>
      </c>
      <c r="E364" s="640">
        <v>0</v>
      </c>
      <c r="F364" s="640">
        <v>29.471786733039881</v>
      </c>
      <c r="G364" s="640">
        <v>1.3166139535686423</v>
      </c>
      <c r="H364" s="640">
        <v>0</v>
      </c>
      <c r="I364" s="640">
        <v>0</v>
      </c>
      <c r="J364" s="640">
        <v>3.6844952632387193</v>
      </c>
      <c r="K364" s="640">
        <v>0</v>
      </c>
      <c r="L364" s="640">
        <v>3.0029030850571363</v>
      </c>
      <c r="M364" s="640">
        <v>2.6869672521809031E-2</v>
      </c>
      <c r="N364" s="640">
        <v>0</v>
      </c>
      <c r="O364" s="640">
        <v>7.2392521047915395E-2</v>
      </c>
      <c r="P364" s="640">
        <v>6.3643203530837074</v>
      </c>
      <c r="Q364" s="640">
        <v>0</v>
      </c>
      <c r="R364" s="640">
        <v>0</v>
      </c>
      <c r="S364" s="648">
        <v>43.939381581557811</v>
      </c>
      <c r="U364" s="646" t="s">
        <v>82</v>
      </c>
      <c r="V364" s="640">
        <v>0</v>
      </c>
      <c r="W364" s="640">
        <v>0</v>
      </c>
      <c r="X364" s="640">
        <v>10.199143313422546</v>
      </c>
      <c r="Y364" s="640">
        <v>1.1904851448286324</v>
      </c>
      <c r="Z364" s="640">
        <v>0</v>
      </c>
      <c r="AA364" s="640">
        <v>0</v>
      </c>
      <c r="AB364" s="640">
        <v>3.6844952632387193</v>
      </c>
      <c r="AC364" s="640">
        <v>0</v>
      </c>
      <c r="AD364" s="640">
        <v>26.674568203776872</v>
      </c>
      <c r="AE364" s="640">
        <v>0.51020791921227104</v>
      </c>
      <c r="AF364" s="640">
        <v>0</v>
      </c>
      <c r="AG364" s="640">
        <v>1.300620381405156</v>
      </c>
      <c r="AH364" s="640">
        <v>6.4632626546266092</v>
      </c>
      <c r="AI364" s="640">
        <v>0</v>
      </c>
      <c r="AJ364" s="640">
        <v>0.325155095351289</v>
      </c>
      <c r="AK364" s="648">
        <v>50.347937975862088</v>
      </c>
    </row>
    <row r="365" spans="3:37" x14ac:dyDescent="0.2">
      <c r="C365" s="646" t="s">
        <v>354</v>
      </c>
      <c r="D365" s="640">
        <v>0</v>
      </c>
      <c r="E365" s="640">
        <v>0</v>
      </c>
      <c r="F365" s="640">
        <v>0</v>
      </c>
      <c r="G365" s="640">
        <v>0</v>
      </c>
      <c r="H365" s="640">
        <v>0</v>
      </c>
      <c r="I365" s="640">
        <v>0</v>
      </c>
      <c r="J365" s="640">
        <v>0</v>
      </c>
      <c r="K365" s="640">
        <v>0</v>
      </c>
      <c r="L365" s="640">
        <v>0</v>
      </c>
      <c r="M365" s="640">
        <v>0</v>
      </c>
      <c r="N365" s="640">
        <v>0</v>
      </c>
      <c r="O365" s="640">
        <v>0</v>
      </c>
      <c r="P365" s="640">
        <v>0.31499999999999995</v>
      </c>
      <c r="Q365" s="640">
        <v>0</v>
      </c>
      <c r="R365" s="640">
        <v>0</v>
      </c>
      <c r="S365" s="648">
        <v>0.31499999999999995</v>
      </c>
      <c r="U365" s="646" t="s">
        <v>354</v>
      </c>
      <c r="V365" s="640">
        <v>0</v>
      </c>
      <c r="W365" s="640">
        <v>0</v>
      </c>
      <c r="X365" s="640">
        <v>0</v>
      </c>
      <c r="Y365" s="640">
        <v>0</v>
      </c>
      <c r="Z365" s="640">
        <v>0</v>
      </c>
      <c r="AA365" s="640">
        <v>0</v>
      </c>
      <c r="AB365" s="640">
        <v>0</v>
      </c>
      <c r="AC365" s="640">
        <v>0</v>
      </c>
      <c r="AD365" s="640">
        <v>0</v>
      </c>
      <c r="AE365" s="640">
        <v>0</v>
      </c>
      <c r="AF365" s="640">
        <v>0</v>
      </c>
      <c r="AG365" s="640">
        <v>0</v>
      </c>
      <c r="AH365" s="640">
        <v>2.4</v>
      </c>
      <c r="AI365" s="640">
        <v>0</v>
      </c>
      <c r="AJ365" s="640">
        <v>0</v>
      </c>
      <c r="AK365" s="648">
        <v>2.4</v>
      </c>
    </row>
    <row r="366" spans="3:37" x14ac:dyDescent="0.2">
      <c r="C366" s="644" t="s">
        <v>83</v>
      </c>
      <c r="D366" s="645">
        <v>5.4657298257742912</v>
      </c>
      <c r="E366" s="645">
        <v>0</v>
      </c>
      <c r="F366" s="645">
        <v>324.00270757365394</v>
      </c>
      <c r="G366" s="645">
        <v>275.2032812283208</v>
      </c>
      <c r="H366" s="645">
        <v>0</v>
      </c>
      <c r="I366" s="645">
        <v>0</v>
      </c>
      <c r="J366" s="645">
        <v>114.6393068570419</v>
      </c>
      <c r="K366" s="645">
        <v>1.7860154914285227</v>
      </c>
      <c r="L366" s="645">
        <v>28.042343403554419</v>
      </c>
      <c r="M366" s="645">
        <v>5.6349675449245389</v>
      </c>
      <c r="N366" s="645">
        <v>62.897832024028709</v>
      </c>
      <c r="O366" s="645">
        <v>2.8391181780509842</v>
      </c>
      <c r="P366" s="645">
        <v>506.18747931527582</v>
      </c>
      <c r="Q366" s="645">
        <v>35.164036653103793</v>
      </c>
      <c r="R366" s="645">
        <v>2.2805072331853329</v>
      </c>
      <c r="S366" s="645">
        <v>1364.1433253283431</v>
      </c>
      <c r="U366" s="644" t="s">
        <v>83</v>
      </c>
      <c r="V366" s="645">
        <v>1.0762581410403587</v>
      </c>
      <c r="W366" s="645">
        <v>0</v>
      </c>
      <c r="X366" s="645">
        <v>80.988832348911515</v>
      </c>
      <c r="Y366" s="645">
        <v>104.41565000739821</v>
      </c>
      <c r="Z366" s="645">
        <v>0</v>
      </c>
      <c r="AA366" s="645">
        <v>0</v>
      </c>
      <c r="AB366" s="645">
        <v>84.343834393150701</v>
      </c>
      <c r="AC366" s="645">
        <v>5.3117325596805349</v>
      </c>
      <c r="AD366" s="645">
        <v>82.383135240415754</v>
      </c>
      <c r="AE366" s="645">
        <v>44.768138339353968</v>
      </c>
      <c r="AF366" s="645">
        <v>92.901000398225491</v>
      </c>
      <c r="AG366" s="645">
        <v>6.3602365363905022</v>
      </c>
      <c r="AH366" s="645">
        <v>499.61642415532054</v>
      </c>
      <c r="AI366" s="645">
        <v>69.488948539693865</v>
      </c>
      <c r="AJ366" s="645">
        <v>11.793499321701848</v>
      </c>
      <c r="AK366" s="645">
        <v>1083.4476899812832</v>
      </c>
    </row>
    <row r="367" spans="3:37" x14ac:dyDescent="0.2">
      <c r="C367" s="639" t="s">
        <v>84</v>
      </c>
      <c r="D367" s="640">
        <v>0</v>
      </c>
      <c r="E367" s="640">
        <v>0</v>
      </c>
      <c r="F367" s="640">
        <v>109.69308299672531</v>
      </c>
      <c r="G367" s="640">
        <v>11.766175832538266</v>
      </c>
      <c r="H367" s="640">
        <v>0</v>
      </c>
      <c r="I367" s="640">
        <v>0</v>
      </c>
      <c r="J367" s="640">
        <v>0</v>
      </c>
      <c r="K367" s="640">
        <v>0</v>
      </c>
      <c r="L367" s="640">
        <v>0</v>
      </c>
      <c r="M367" s="640">
        <v>0</v>
      </c>
      <c r="N367" s="640">
        <v>0</v>
      </c>
      <c r="O367" s="640">
        <v>0</v>
      </c>
      <c r="P367" s="640">
        <v>0</v>
      </c>
      <c r="Q367" s="640">
        <v>0</v>
      </c>
      <c r="R367" s="640">
        <v>1.8135973700674786</v>
      </c>
      <c r="S367" s="648">
        <v>123.27285619933106</v>
      </c>
      <c r="U367" s="639" t="s">
        <v>84</v>
      </c>
      <c r="V367" s="640">
        <v>0</v>
      </c>
      <c r="W367" s="640">
        <v>0</v>
      </c>
      <c r="X367" s="640">
        <v>84.298528713313246</v>
      </c>
      <c r="Y367" s="640">
        <v>1.1302347010557652</v>
      </c>
      <c r="Z367" s="640">
        <v>0</v>
      </c>
      <c r="AA367" s="640">
        <v>0</v>
      </c>
      <c r="AB367" s="640">
        <v>0</v>
      </c>
      <c r="AC367" s="640">
        <v>0</v>
      </c>
      <c r="AD367" s="640">
        <v>17.754065118408207</v>
      </c>
      <c r="AE367" s="640">
        <v>0</v>
      </c>
      <c r="AF367" s="640">
        <v>0</v>
      </c>
      <c r="AG367" s="640">
        <v>0</v>
      </c>
      <c r="AH367" s="640">
        <v>0</v>
      </c>
      <c r="AI367" s="640">
        <v>0</v>
      </c>
      <c r="AJ367" s="640">
        <v>11.930622290039064</v>
      </c>
      <c r="AK367" s="648">
        <v>115.11345082281629</v>
      </c>
    </row>
    <row r="368" spans="3:37" x14ac:dyDescent="0.2">
      <c r="C368" s="644" t="s">
        <v>85</v>
      </c>
      <c r="D368" s="645">
        <v>5.4657298257742912</v>
      </c>
      <c r="E368" s="645">
        <v>0</v>
      </c>
      <c r="F368" s="645">
        <v>433.69579057037924</v>
      </c>
      <c r="G368" s="645">
        <v>286.9694570608591</v>
      </c>
      <c r="H368" s="645">
        <v>0</v>
      </c>
      <c r="I368" s="645">
        <v>0</v>
      </c>
      <c r="J368" s="645">
        <v>114.6393068570419</v>
      </c>
      <c r="K368" s="645">
        <v>1.7860154914285227</v>
      </c>
      <c r="L368" s="645">
        <v>28.042343403554419</v>
      </c>
      <c r="M368" s="645">
        <v>5.6349675449245389</v>
      </c>
      <c r="N368" s="645">
        <v>62.897832024028709</v>
      </c>
      <c r="O368" s="645">
        <v>2.8391181780509842</v>
      </c>
      <c r="P368" s="645">
        <v>506.18747931527582</v>
      </c>
      <c r="Q368" s="645">
        <v>35.164036653103793</v>
      </c>
      <c r="R368" s="645">
        <v>4.094104603252811</v>
      </c>
      <c r="S368" s="645">
        <v>1487.4161815276743</v>
      </c>
      <c r="U368" s="644" t="s">
        <v>85</v>
      </c>
      <c r="V368" s="645">
        <v>1.0762581410403587</v>
      </c>
      <c r="W368" s="645">
        <v>0</v>
      </c>
      <c r="X368" s="645">
        <v>165.28736106222476</v>
      </c>
      <c r="Y368" s="645">
        <v>105.54588470845398</v>
      </c>
      <c r="Z368" s="645">
        <v>0</v>
      </c>
      <c r="AA368" s="645">
        <v>0</v>
      </c>
      <c r="AB368" s="645">
        <v>84.343834393150701</v>
      </c>
      <c r="AC368" s="645">
        <v>5.3117325596805349</v>
      </c>
      <c r="AD368" s="645">
        <v>100.13720035882396</v>
      </c>
      <c r="AE368" s="645">
        <v>44.768138339353968</v>
      </c>
      <c r="AF368" s="645">
        <v>92.901000398225491</v>
      </c>
      <c r="AG368" s="645">
        <v>6.3602365363905022</v>
      </c>
      <c r="AH368" s="645">
        <v>499.61642415532054</v>
      </c>
      <c r="AI368" s="645">
        <v>69.488948539693865</v>
      </c>
      <c r="AJ368" s="645">
        <v>23.724121611740912</v>
      </c>
      <c r="AK368" s="645">
        <v>1198.5611408040995</v>
      </c>
    </row>
    <row r="369" spans="3:37" x14ac:dyDescent="0.2">
      <c r="C369" s="634"/>
      <c r="D369" s="634"/>
      <c r="E369" s="634"/>
      <c r="F369" s="634"/>
      <c r="G369" s="634"/>
      <c r="H369" s="634"/>
      <c r="I369" s="634"/>
      <c r="J369" s="634"/>
      <c r="K369" s="634"/>
      <c r="L369" s="634"/>
      <c r="M369" s="634"/>
      <c r="N369" s="634"/>
      <c r="O369" s="634"/>
      <c r="P369" s="634"/>
      <c r="Q369" s="634"/>
      <c r="R369" s="634"/>
      <c r="S369" s="634"/>
      <c r="U369" s="634"/>
      <c r="V369" s="634"/>
      <c r="W369" s="634"/>
      <c r="X369" s="634"/>
      <c r="Y369" s="634"/>
      <c r="Z369" s="634"/>
      <c r="AA369" s="634"/>
      <c r="AB369" s="634"/>
      <c r="AC369" s="634"/>
      <c r="AD369" s="634"/>
      <c r="AE369" s="634"/>
      <c r="AF369" s="634"/>
      <c r="AG369" s="634"/>
      <c r="AH369" s="634"/>
      <c r="AI369" s="634"/>
      <c r="AJ369" s="634"/>
      <c r="AK369" s="634"/>
    </row>
    <row r="370" spans="3:37" ht="22.5" x14ac:dyDescent="0.3">
      <c r="C370" s="759" t="s">
        <v>518</v>
      </c>
      <c r="D370" s="759"/>
      <c r="E370" s="759"/>
      <c r="F370" s="759"/>
      <c r="G370" s="759"/>
      <c r="H370" s="759"/>
      <c r="I370" s="759"/>
      <c r="J370" s="759"/>
      <c r="K370" s="759"/>
      <c r="L370" s="759"/>
      <c r="M370" s="759"/>
      <c r="N370" s="759"/>
      <c r="O370" s="759"/>
      <c r="P370" s="759"/>
      <c r="Q370" s="759"/>
      <c r="R370" s="759"/>
      <c r="S370" s="759"/>
      <c r="U370" s="759" t="s">
        <v>518</v>
      </c>
      <c r="V370" s="759"/>
      <c r="W370" s="759"/>
      <c r="X370" s="759"/>
      <c r="Y370" s="759"/>
      <c r="Z370" s="759"/>
      <c r="AA370" s="759"/>
      <c r="AB370" s="759"/>
      <c r="AC370" s="759"/>
      <c r="AD370" s="759"/>
      <c r="AE370" s="759"/>
      <c r="AF370" s="759"/>
      <c r="AG370" s="759"/>
      <c r="AH370" s="759"/>
      <c r="AI370" s="759"/>
      <c r="AJ370" s="759"/>
      <c r="AK370" s="759"/>
    </row>
    <row r="371" spans="3:37" x14ac:dyDescent="0.2">
      <c r="C371" s="634"/>
      <c r="D371" s="634"/>
      <c r="E371" s="634"/>
      <c r="F371" s="634"/>
      <c r="G371" s="634"/>
      <c r="H371" s="634"/>
      <c r="I371" s="634"/>
      <c r="J371" s="634"/>
      <c r="K371" s="634"/>
      <c r="L371" s="634"/>
      <c r="M371" s="634"/>
      <c r="N371" s="634"/>
      <c r="O371" s="634"/>
      <c r="P371" s="634"/>
      <c r="Q371" s="634"/>
      <c r="R371" s="634"/>
      <c r="S371" s="634"/>
      <c r="U371" s="634"/>
      <c r="V371" s="634"/>
      <c r="W371" s="634"/>
      <c r="X371" s="634"/>
      <c r="Y371" s="634"/>
      <c r="Z371" s="634"/>
      <c r="AA371" s="634"/>
      <c r="AB371" s="634"/>
      <c r="AC371" s="634"/>
      <c r="AD371" s="634"/>
      <c r="AE371" s="634"/>
      <c r="AF371" s="634"/>
      <c r="AG371" s="634"/>
      <c r="AH371" s="634"/>
      <c r="AI371" s="634"/>
      <c r="AJ371" s="634"/>
      <c r="AK371" s="634"/>
    </row>
    <row r="372" spans="3:37" ht="12.95" customHeight="1" x14ac:dyDescent="0.2">
      <c r="C372" s="758" t="s">
        <v>128</v>
      </c>
      <c r="D372" s="757" t="s">
        <v>42</v>
      </c>
      <c r="E372" s="757" t="s">
        <v>52</v>
      </c>
      <c r="F372" s="757" t="s">
        <v>53</v>
      </c>
      <c r="G372" s="757" t="s">
        <v>32</v>
      </c>
      <c r="H372" s="757" t="s">
        <v>20</v>
      </c>
      <c r="I372" s="757" t="s">
        <v>55</v>
      </c>
      <c r="J372" s="757" t="s">
        <v>56</v>
      </c>
      <c r="K372" s="757"/>
      <c r="L372" s="757"/>
      <c r="M372" s="757"/>
      <c r="N372" s="757"/>
      <c r="O372" s="757"/>
      <c r="P372" s="757" t="s">
        <v>57</v>
      </c>
      <c r="Q372" s="757" t="s">
        <v>58</v>
      </c>
      <c r="R372" s="757" t="s">
        <v>31</v>
      </c>
      <c r="S372" s="757" t="s">
        <v>10</v>
      </c>
      <c r="U372" s="758" t="s">
        <v>128</v>
      </c>
      <c r="V372" s="757" t="s">
        <v>42</v>
      </c>
      <c r="W372" s="757" t="s">
        <v>52</v>
      </c>
      <c r="X372" s="757" t="s">
        <v>53</v>
      </c>
      <c r="Y372" s="757" t="s">
        <v>32</v>
      </c>
      <c r="Z372" s="757" t="s">
        <v>20</v>
      </c>
      <c r="AA372" s="757" t="s">
        <v>55</v>
      </c>
      <c r="AB372" s="757" t="s">
        <v>56</v>
      </c>
      <c r="AC372" s="757"/>
      <c r="AD372" s="757"/>
      <c r="AE372" s="757"/>
      <c r="AF372" s="757"/>
      <c r="AG372" s="757"/>
      <c r="AH372" s="757" t="s">
        <v>57</v>
      </c>
      <c r="AI372" s="757" t="s">
        <v>58</v>
      </c>
      <c r="AJ372" s="757" t="s">
        <v>31</v>
      </c>
      <c r="AK372" s="757" t="s">
        <v>10</v>
      </c>
    </row>
    <row r="373" spans="3:37" ht="56.25" x14ac:dyDescent="0.2">
      <c r="C373" s="758"/>
      <c r="D373" s="757"/>
      <c r="E373" s="757"/>
      <c r="F373" s="757"/>
      <c r="G373" s="757"/>
      <c r="H373" s="757"/>
      <c r="I373" s="757"/>
      <c r="J373" s="638" t="s">
        <v>335</v>
      </c>
      <c r="K373" s="638" t="s">
        <v>40</v>
      </c>
      <c r="L373" s="638" t="s">
        <v>343</v>
      </c>
      <c r="M373" s="638" t="s">
        <v>344</v>
      </c>
      <c r="N373" s="638" t="s">
        <v>345</v>
      </c>
      <c r="O373" s="638" t="s">
        <v>346</v>
      </c>
      <c r="P373" s="757"/>
      <c r="Q373" s="757"/>
      <c r="R373" s="757"/>
      <c r="S373" s="757"/>
      <c r="U373" s="758"/>
      <c r="V373" s="757"/>
      <c r="W373" s="757"/>
      <c r="X373" s="757"/>
      <c r="Y373" s="757"/>
      <c r="Z373" s="757"/>
      <c r="AA373" s="757"/>
      <c r="AB373" s="638" t="s">
        <v>335</v>
      </c>
      <c r="AC373" s="638" t="s">
        <v>40</v>
      </c>
      <c r="AD373" s="638" t="s">
        <v>343</v>
      </c>
      <c r="AE373" s="638" t="s">
        <v>344</v>
      </c>
      <c r="AF373" s="638" t="s">
        <v>345</v>
      </c>
      <c r="AG373" s="638" t="s">
        <v>346</v>
      </c>
      <c r="AH373" s="757"/>
      <c r="AI373" s="757"/>
      <c r="AJ373" s="757"/>
      <c r="AK373" s="757"/>
    </row>
    <row r="374" spans="3:37" x14ac:dyDescent="0.2">
      <c r="C374" s="639" t="s">
        <v>59</v>
      </c>
      <c r="D374" s="640">
        <v>0</v>
      </c>
      <c r="E374" s="641">
        <v>0</v>
      </c>
      <c r="F374" s="641">
        <v>0</v>
      </c>
      <c r="G374" s="640">
        <v>0</v>
      </c>
      <c r="H374" s="641">
        <v>889.54545454545473</v>
      </c>
      <c r="I374" s="641">
        <v>290.38619522472999</v>
      </c>
      <c r="J374" s="641">
        <v>188.26463769943669</v>
      </c>
      <c r="K374" s="641">
        <v>20.519346122490408</v>
      </c>
      <c r="L374" s="641">
        <v>0.54648995449606019</v>
      </c>
      <c r="M374" s="641">
        <v>0.15914693380563083</v>
      </c>
      <c r="N374" s="641">
        <v>65.898689554178929</v>
      </c>
      <c r="O374" s="641">
        <v>11.930124482632028</v>
      </c>
      <c r="P374" s="642">
        <v>0</v>
      </c>
      <c r="Q374" s="641">
        <v>0</v>
      </c>
      <c r="R374" s="641">
        <v>0</v>
      </c>
      <c r="S374" s="643">
        <v>1467.2500845172242</v>
      </c>
      <c r="U374" s="639" t="s">
        <v>59</v>
      </c>
      <c r="V374" s="640">
        <v>0</v>
      </c>
      <c r="W374" s="641">
        <v>0</v>
      </c>
      <c r="X374" s="641">
        <v>0</v>
      </c>
      <c r="Y374" s="640">
        <v>0</v>
      </c>
      <c r="Z374" s="641">
        <v>873.030303030303</v>
      </c>
      <c r="AA374" s="641">
        <v>337.06619522473</v>
      </c>
      <c r="AB374" s="641">
        <v>206.15489309499102</v>
      </c>
      <c r="AC374" s="641">
        <v>37.137182251794961</v>
      </c>
      <c r="AD374" s="641">
        <v>0.54648995449606019</v>
      </c>
      <c r="AE374" s="641">
        <v>0.15914693380563083</v>
      </c>
      <c r="AF374" s="641">
        <v>103.02458403584798</v>
      </c>
      <c r="AG374" s="641">
        <v>25.833176078824131</v>
      </c>
      <c r="AH374" s="642">
        <v>0</v>
      </c>
      <c r="AI374" s="641">
        <v>0</v>
      </c>
      <c r="AJ374" s="641">
        <v>0</v>
      </c>
      <c r="AK374" s="643">
        <v>1582.9519706047927</v>
      </c>
    </row>
    <row r="375" spans="3:37" x14ac:dyDescent="0.2">
      <c r="C375" s="639" t="s">
        <v>60</v>
      </c>
      <c r="D375" s="640">
        <v>47.523331421865407</v>
      </c>
      <c r="E375" s="641">
        <v>492.37419513671523</v>
      </c>
      <c r="F375" s="641">
        <v>57.352326080251387</v>
      </c>
      <c r="G375" s="640">
        <v>328.8885225556333</v>
      </c>
      <c r="H375" s="641">
        <v>0</v>
      </c>
      <c r="I375" s="641">
        <v>0</v>
      </c>
      <c r="J375" s="641">
        <v>4.8075322078390377</v>
      </c>
      <c r="K375" s="641">
        <v>0</v>
      </c>
      <c r="L375" s="641">
        <v>2.6229179175778925</v>
      </c>
      <c r="M375" s="641">
        <v>0</v>
      </c>
      <c r="N375" s="641">
        <v>0</v>
      </c>
      <c r="O375" s="641">
        <v>0</v>
      </c>
      <c r="P375" s="642">
        <v>0</v>
      </c>
      <c r="Q375" s="641">
        <v>0</v>
      </c>
      <c r="R375" s="641">
        <v>0</v>
      </c>
      <c r="S375" s="643">
        <v>933.56882531988219</v>
      </c>
      <c r="U375" s="639" t="s">
        <v>60</v>
      </c>
      <c r="V375" s="640">
        <v>6.5260336126681251</v>
      </c>
      <c r="W375" s="641">
        <v>220.47790015098695</v>
      </c>
      <c r="X375" s="641">
        <v>14.513856185365357</v>
      </c>
      <c r="Y375" s="640">
        <v>102.1346675179243</v>
      </c>
      <c r="Z375" s="641">
        <v>0</v>
      </c>
      <c r="AA375" s="641">
        <v>0</v>
      </c>
      <c r="AB375" s="641">
        <v>4.8075322078390377</v>
      </c>
      <c r="AC375" s="641">
        <v>0</v>
      </c>
      <c r="AD375" s="641">
        <v>2.6229179175778925</v>
      </c>
      <c r="AE375" s="641">
        <v>0</v>
      </c>
      <c r="AF375" s="641">
        <v>0</v>
      </c>
      <c r="AG375" s="641">
        <v>0</v>
      </c>
      <c r="AH375" s="642">
        <v>0</v>
      </c>
      <c r="AI375" s="641">
        <v>0</v>
      </c>
      <c r="AJ375" s="641">
        <v>0</v>
      </c>
      <c r="AK375" s="643">
        <v>351.08290759236166</v>
      </c>
    </row>
    <row r="376" spans="3:37" x14ac:dyDescent="0.2">
      <c r="C376" s="639" t="s">
        <v>61</v>
      </c>
      <c r="D376" s="640">
        <v>0</v>
      </c>
      <c r="E376" s="641">
        <v>0</v>
      </c>
      <c r="F376" s="641">
        <v>0</v>
      </c>
      <c r="G376" s="640">
        <v>0</v>
      </c>
      <c r="H376" s="641">
        <v>0</v>
      </c>
      <c r="I376" s="641">
        <v>0</v>
      </c>
      <c r="J376" s="641">
        <v>0</v>
      </c>
      <c r="K376" s="641">
        <v>0</v>
      </c>
      <c r="L376" s="641">
        <v>0</v>
      </c>
      <c r="M376" s="641">
        <v>0</v>
      </c>
      <c r="N376" s="641">
        <v>0</v>
      </c>
      <c r="O376" s="641">
        <v>0</v>
      </c>
      <c r="P376" s="642">
        <v>-22.391147784534837</v>
      </c>
      <c r="Q376" s="641">
        <v>0</v>
      </c>
      <c r="R376" s="641">
        <v>0</v>
      </c>
      <c r="S376" s="643">
        <v>-22.391147784534837</v>
      </c>
      <c r="U376" s="639" t="s">
        <v>61</v>
      </c>
      <c r="V376" s="640">
        <v>0</v>
      </c>
      <c r="W376" s="641">
        <v>0</v>
      </c>
      <c r="X376" s="641">
        <v>-19.691193817618341</v>
      </c>
      <c r="Y376" s="640">
        <v>0</v>
      </c>
      <c r="Z376" s="641">
        <v>0</v>
      </c>
      <c r="AA376" s="641">
        <v>0</v>
      </c>
      <c r="AB376" s="641">
        <v>0</v>
      </c>
      <c r="AC376" s="641">
        <v>0</v>
      </c>
      <c r="AD376" s="641">
        <v>0</v>
      </c>
      <c r="AE376" s="641">
        <v>0</v>
      </c>
      <c r="AF376" s="641">
        <v>0</v>
      </c>
      <c r="AG376" s="641">
        <v>0</v>
      </c>
      <c r="AH376" s="642">
        <v>-17.389600315785174</v>
      </c>
      <c r="AI376" s="641">
        <v>0</v>
      </c>
      <c r="AJ376" s="641">
        <v>0</v>
      </c>
      <c r="AK376" s="643">
        <v>-37.080794133403515</v>
      </c>
    </row>
    <row r="377" spans="3:37" x14ac:dyDescent="0.2">
      <c r="C377" s="639" t="s">
        <v>62</v>
      </c>
      <c r="D377" s="640">
        <v>0</v>
      </c>
      <c r="E377" s="641">
        <v>0</v>
      </c>
      <c r="F377" s="641">
        <v>-15.496739011683466</v>
      </c>
      <c r="G377" s="640">
        <v>0</v>
      </c>
      <c r="H377" s="641">
        <v>0</v>
      </c>
      <c r="I377" s="641">
        <v>0</v>
      </c>
      <c r="J377" s="641">
        <v>0</v>
      </c>
      <c r="K377" s="641">
        <v>0</v>
      </c>
      <c r="L377" s="641">
        <v>0</v>
      </c>
      <c r="M377" s="641">
        <v>0</v>
      </c>
      <c r="N377" s="641">
        <v>0</v>
      </c>
      <c r="O377" s="641">
        <v>0</v>
      </c>
      <c r="P377" s="642">
        <v>0</v>
      </c>
      <c r="Q377" s="641">
        <v>0</v>
      </c>
      <c r="R377" s="641">
        <v>0</v>
      </c>
      <c r="S377" s="643">
        <v>-15.496739011683466</v>
      </c>
      <c r="U377" s="639" t="s">
        <v>62</v>
      </c>
      <c r="V377" s="640">
        <v>0</v>
      </c>
      <c r="W377" s="641">
        <v>0</v>
      </c>
      <c r="X377" s="641">
        <v>-8.5387827474702789</v>
      </c>
      <c r="Y377" s="640">
        <v>-2.2272473327152178</v>
      </c>
      <c r="Z377" s="641">
        <v>0</v>
      </c>
      <c r="AA377" s="641">
        <v>0</v>
      </c>
      <c r="AB377" s="641">
        <v>0</v>
      </c>
      <c r="AC377" s="641">
        <v>0</v>
      </c>
      <c r="AD377" s="641">
        <v>0</v>
      </c>
      <c r="AE377" s="641">
        <v>-1.7037211969591732</v>
      </c>
      <c r="AF377" s="641">
        <v>0</v>
      </c>
      <c r="AG377" s="641">
        <v>0</v>
      </c>
      <c r="AH377" s="642">
        <v>0</v>
      </c>
      <c r="AI377" s="641">
        <v>0</v>
      </c>
      <c r="AJ377" s="641">
        <v>0</v>
      </c>
      <c r="AK377" s="643">
        <v>-12.46975127714467</v>
      </c>
    </row>
    <row r="378" spans="3:37" x14ac:dyDescent="0.2">
      <c r="C378" s="639" t="s">
        <v>63</v>
      </c>
      <c r="D378" s="640">
        <v>0</v>
      </c>
      <c r="E378" s="641">
        <v>0</v>
      </c>
      <c r="F378" s="641">
        <v>-89.42656352071144</v>
      </c>
      <c r="G378" s="640">
        <v>0</v>
      </c>
      <c r="H378" s="641">
        <v>0</v>
      </c>
      <c r="I378" s="641">
        <v>0</v>
      </c>
      <c r="J378" s="641">
        <v>0</v>
      </c>
      <c r="K378" s="641">
        <v>0</v>
      </c>
      <c r="L378" s="641">
        <v>-0.92190198395554845</v>
      </c>
      <c r="M378" s="641">
        <v>0</v>
      </c>
      <c r="N378" s="641">
        <v>0</v>
      </c>
      <c r="O378" s="641">
        <v>0</v>
      </c>
      <c r="P378" s="642">
        <v>0</v>
      </c>
      <c r="Q378" s="641">
        <v>0</v>
      </c>
      <c r="R378" s="641">
        <v>0</v>
      </c>
      <c r="S378" s="643">
        <v>-90.34846550466699</v>
      </c>
      <c r="U378" s="639" t="s">
        <v>63</v>
      </c>
      <c r="V378" s="640">
        <v>0</v>
      </c>
      <c r="W378" s="641">
        <v>0</v>
      </c>
      <c r="X378" s="641">
        <v>-55.486888716289528</v>
      </c>
      <c r="Y378" s="640">
        <v>0</v>
      </c>
      <c r="Z378" s="641">
        <v>0</v>
      </c>
      <c r="AA378" s="641">
        <v>0</v>
      </c>
      <c r="AB378" s="641">
        <v>0</v>
      </c>
      <c r="AC378" s="641">
        <v>0</v>
      </c>
      <c r="AD378" s="641">
        <v>-26.575233608452013</v>
      </c>
      <c r="AE378" s="641">
        <v>0</v>
      </c>
      <c r="AF378" s="641">
        <v>0</v>
      </c>
      <c r="AG378" s="641">
        <v>0</v>
      </c>
      <c r="AH378" s="642">
        <v>0</v>
      </c>
      <c r="AI378" s="641">
        <v>0</v>
      </c>
      <c r="AJ378" s="641">
        <v>0</v>
      </c>
      <c r="AK378" s="643">
        <v>-82.062122324741537</v>
      </c>
    </row>
    <row r="379" spans="3:37" x14ac:dyDescent="0.2">
      <c r="C379" s="639" t="s">
        <v>64</v>
      </c>
      <c r="D379" s="640">
        <v>0</v>
      </c>
      <c r="E379" s="641">
        <v>0</v>
      </c>
      <c r="F379" s="641">
        <v>0</v>
      </c>
      <c r="G379" s="640">
        <v>0</v>
      </c>
      <c r="H379" s="641">
        <v>0</v>
      </c>
      <c r="I379" s="641">
        <v>0</v>
      </c>
      <c r="J379" s="641">
        <v>0</v>
      </c>
      <c r="K379" s="641">
        <v>0</v>
      </c>
      <c r="L379" s="641">
        <v>0</v>
      </c>
      <c r="M379" s="641">
        <v>0</v>
      </c>
      <c r="N379" s="641">
        <v>0</v>
      </c>
      <c r="O379" s="641">
        <v>0</v>
      </c>
      <c r="P379" s="642">
        <v>0</v>
      </c>
      <c r="Q379" s="641">
        <v>0</v>
      </c>
      <c r="R379" s="641">
        <v>0</v>
      </c>
      <c r="S379" s="643">
        <v>0</v>
      </c>
      <c r="U379" s="639" t="s">
        <v>64</v>
      </c>
      <c r="V379" s="640">
        <v>0</v>
      </c>
      <c r="W379" s="641">
        <v>0</v>
      </c>
      <c r="X379" s="641">
        <v>0</v>
      </c>
      <c r="Y379" s="640">
        <v>0</v>
      </c>
      <c r="Z379" s="641">
        <v>0</v>
      </c>
      <c r="AA379" s="641">
        <v>0</v>
      </c>
      <c r="AB379" s="641">
        <v>0</v>
      </c>
      <c r="AC379" s="641">
        <v>0</v>
      </c>
      <c r="AD379" s="641">
        <v>0</v>
      </c>
      <c r="AE379" s="641">
        <v>0</v>
      </c>
      <c r="AF379" s="641">
        <v>0</v>
      </c>
      <c r="AG379" s="641">
        <v>0</v>
      </c>
      <c r="AH379" s="642">
        <v>0</v>
      </c>
      <c r="AI379" s="641">
        <v>0</v>
      </c>
      <c r="AJ379" s="641">
        <v>0</v>
      </c>
      <c r="AK379" s="643">
        <v>0</v>
      </c>
    </row>
    <row r="380" spans="3:37" x14ac:dyDescent="0.2">
      <c r="C380" s="644" t="s">
        <v>65</v>
      </c>
      <c r="D380" s="645">
        <v>47.523331421865407</v>
      </c>
      <c r="E380" s="645">
        <v>492.37419513671523</v>
      </c>
      <c r="F380" s="645">
        <v>-47.570976452143519</v>
      </c>
      <c r="G380" s="645">
        <v>328.8885225556333</v>
      </c>
      <c r="H380" s="645">
        <v>889.54545454545473</v>
      </c>
      <c r="I380" s="645">
        <v>290.38619522472999</v>
      </c>
      <c r="J380" s="645">
        <v>193.07216990727574</v>
      </c>
      <c r="K380" s="645">
        <v>20.519346122490408</v>
      </c>
      <c r="L380" s="645">
        <v>2.247505888118404</v>
      </c>
      <c r="M380" s="645">
        <v>0.15914693380563083</v>
      </c>
      <c r="N380" s="645">
        <v>65.898689554178929</v>
      </c>
      <c r="O380" s="645">
        <v>11.930124482632028</v>
      </c>
      <c r="P380" s="645">
        <v>-22.391147784534837</v>
      </c>
      <c r="Q380" s="645">
        <v>0</v>
      </c>
      <c r="R380" s="645">
        <v>0</v>
      </c>
      <c r="S380" s="645">
        <v>2272.5825575362214</v>
      </c>
      <c r="U380" s="644" t="s">
        <v>65</v>
      </c>
      <c r="V380" s="645">
        <v>6.5260336126681251</v>
      </c>
      <c r="W380" s="645">
        <v>220.47790015098695</v>
      </c>
      <c r="X380" s="645">
        <v>-69.203009096012792</v>
      </c>
      <c r="Y380" s="645">
        <v>99.907420185209077</v>
      </c>
      <c r="Z380" s="645">
        <v>873.030303030303</v>
      </c>
      <c r="AA380" s="645">
        <v>337.06619522473</v>
      </c>
      <c r="AB380" s="645">
        <v>210.96242530283007</v>
      </c>
      <c r="AC380" s="645">
        <v>37.137182251794961</v>
      </c>
      <c r="AD380" s="645">
        <v>-23.405825736378059</v>
      </c>
      <c r="AE380" s="645">
        <v>-1.5445742631535424</v>
      </c>
      <c r="AF380" s="645">
        <v>103.02458403584798</v>
      </c>
      <c r="AG380" s="645">
        <v>25.833176078824131</v>
      </c>
      <c r="AH380" s="645">
        <v>-17.389600315785174</v>
      </c>
      <c r="AI380" s="645">
        <v>0</v>
      </c>
      <c r="AJ380" s="645">
        <v>0</v>
      </c>
      <c r="AK380" s="645">
        <v>1802.4222104618648</v>
      </c>
    </row>
    <row r="381" spans="3:37" x14ac:dyDescent="0.2">
      <c r="C381" s="634"/>
      <c r="D381" s="634">
        <v>0</v>
      </c>
      <c r="E381" s="634">
        <v>0</v>
      </c>
      <c r="F381" s="634">
        <v>0</v>
      </c>
      <c r="G381" s="634">
        <v>0</v>
      </c>
      <c r="H381" s="634">
        <v>0</v>
      </c>
      <c r="I381" s="634">
        <v>0</v>
      </c>
      <c r="J381" s="634">
        <v>0</v>
      </c>
      <c r="K381" s="634">
        <v>0</v>
      </c>
      <c r="L381" s="634">
        <v>0</v>
      </c>
      <c r="M381" s="634">
        <v>0</v>
      </c>
      <c r="N381" s="634">
        <v>0</v>
      </c>
      <c r="O381" s="634">
        <v>0</v>
      </c>
      <c r="P381" s="634">
        <v>0</v>
      </c>
      <c r="Q381" s="634">
        <v>0</v>
      </c>
      <c r="R381" s="634">
        <v>0</v>
      </c>
      <c r="S381" s="634">
        <v>0</v>
      </c>
      <c r="U381" s="634"/>
      <c r="V381" s="634">
        <v>0</v>
      </c>
      <c r="W381" s="634">
        <v>0</v>
      </c>
      <c r="X381" s="634">
        <v>0</v>
      </c>
      <c r="Y381" s="634">
        <v>0</v>
      </c>
      <c r="Z381" s="634">
        <v>0</v>
      </c>
      <c r="AA381" s="634">
        <v>0</v>
      </c>
      <c r="AB381" s="634">
        <v>0</v>
      </c>
      <c r="AC381" s="634">
        <v>0</v>
      </c>
      <c r="AD381" s="634">
        <v>0</v>
      </c>
      <c r="AE381" s="634">
        <v>0</v>
      </c>
      <c r="AF381" s="634">
        <v>0</v>
      </c>
      <c r="AG381" s="634">
        <v>0</v>
      </c>
      <c r="AH381" s="634">
        <v>0</v>
      </c>
      <c r="AI381" s="634">
        <v>0</v>
      </c>
      <c r="AJ381" s="634">
        <v>0</v>
      </c>
      <c r="AK381" s="634">
        <v>0</v>
      </c>
    </row>
    <row r="382" spans="3:37" x14ac:dyDescent="0.2">
      <c r="C382" s="646" t="s">
        <v>67</v>
      </c>
      <c r="D382" s="640">
        <v>0</v>
      </c>
      <c r="E382" s="647">
        <v>0</v>
      </c>
      <c r="F382" s="647">
        <v>0</v>
      </c>
      <c r="G382" s="640">
        <v>0</v>
      </c>
      <c r="H382" s="640">
        <v>0</v>
      </c>
      <c r="I382" s="640">
        <v>0</v>
      </c>
      <c r="J382" s="640">
        <v>0</v>
      </c>
      <c r="K382" s="640">
        <v>0</v>
      </c>
      <c r="L382" s="640">
        <v>0</v>
      </c>
      <c r="M382" s="640">
        <v>0</v>
      </c>
      <c r="N382" s="640">
        <v>0</v>
      </c>
      <c r="O382" s="640">
        <v>0</v>
      </c>
      <c r="P382" s="640">
        <v>0</v>
      </c>
      <c r="Q382" s="640">
        <v>0</v>
      </c>
      <c r="R382" s="640">
        <v>0</v>
      </c>
      <c r="S382" s="648">
        <v>0</v>
      </c>
      <c r="U382" s="646" t="s">
        <v>67</v>
      </c>
      <c r="V382" s="640">
        <v>0</v>
      </c>
      <c r="W382" s="647">
        <v>0</v>
      </c>
      <c r="X382" s="647">
        <v>0</v>
      </c>
      <c r="Y382" s="640">
        <v>0</v>
      </c>
      <c r="Z382" s="640">
        <v>0</v>
      </c>
      <c r="AA382" s="640">
        <v>0</v>
      </c>
      <c r="AB382" s="640">
        <v>0</v>
      </c>
      <c r="AC382" s="640">
        <v>0</v>
      </c>
      <c r="AD382" s="640">
        <v>0</v>
      </c>
      <c r="AE382" s="640">
        <v>0</v>
      </c>
      <c r="AF382" s="640">
        <v>0</v>
      </c>
      <c r="AG382" s="640">
        <v>0</v>
      </c>
      <c r="AH382" s="640">
        <v>0</v>
      </c>
      <c r="AI382" s="640">
        <v>0</v>
      </c>
      <c r="AJ382" s="640">
        <v>0</v>
      </c>
      <c r="AK382" s="648">
        <v>0</v>
      </c>
    </row>
    <row r="383" spans="3:37" x14ac:dyDescent="0.2">
      <c r="C383" s="646" t="s">
        <v>347</v>
      </c>
      <c r="D383" s="640">
        <v>2.8267856410252494</v>
      </c>
      <c r="E383" s="640">
        <v>0</v>
      </c>
      <c r="F383" s="640">
        <v>7.7625293209280457</v>
      </c>
      <c r="G383" s="640">
        <v>16.824034334763951</v>
      </c>
      <c r="H383" s="640">
        <v>889.54545454545473</v>
      </c>
      <c r="I383" s="640">
        <v>290.38619522472999</v>
      </c>
      <c r="J383" s="649">
        <v>29.234857813431841</v>
      </c>
      <c r="K383" s="649">
        <v>6.7467623730381456</v>
      </c>
      <c r="L383" s="649">
        <v>3.1694078720739522</v>
      </c>
      <c r="M383" s="649">
        <v>0.46915285357606595</v>
      </c>
      <c r="N383" s="649">
        <v>0</v>
      </c>
      <c r="O383" s="649">
        <v>6.9727309871777221</v>
      </c>
      <c r="P383" s="640">
        <v>-615.41357369902562</v>
      </c>
      <c r="Q383" s="640">
        <v>0</v>
      </c>
      <c r="R383" s="640">
        <v>0</v>
      </c>
      <c r="S383" s="648">
        <v>638.52433726717402</v>
      </c>
      <c r="U383" s="646" t="s">
        <v>347</v>
      </c>
      <c r="V383" s="640">
        <v>0.62631490545869017</v>
      </c>
      <c r="W383" s="640">
        <v>0</v>
      </c>
      <c r="X383" s="640">
        <v>3.8988929572916824</v>
      </c>
      <c r="Y383" s="640">
        <v>3.6741630901287547</v>
      </c>
      <c r="Z383" s="640">
        <v>873.030303030303</v>
      </c>
      <c r="AA383" s="640">
        <v>337.06619522473</v>
      </c>
      <c r="AB383" s="649">
        <v>23.429523439383615</v>
      </c>
      <c r="AC383" s="649">
        <v>5.4991881500691626</v>
      </c>
      <c r="AD383" s="649">
        <v>3.1694078720739522</v>
      </c>
      <c r="AE383" s="649">
        <v>2.7864060724601858</v>
      </c>
      <c r="AF383" s="649">
        <v>0</v>
      </c>
      <c r="AG383" s="649">
        <v>6.9727309871777221</v>
      </c>
      <c r="AH383" s="640">
        <v>-649.11357369902544</v>
      </c>
      <c r="AI383" s="640">
        <v>0</v>
      </c>
      <c r="AJ383" s="640">
        <v>4.45</v>
      </c>
      <c r="AK383" s="648">
        <v>615.48955203005141</v>
      </c>
    </row>
    <row r="384" spans="3:37" x14ac:dyDescent="0.2">
      <c r="C384" s="646" t="s">
        <v>348</v>
      </c>
      <c r="D384" s="640">
        <v>0</v>
      </c>
      <c r="E384" s="640">
        <v>0</v>
      </c>
      <c r="F384" s="640">
        <v>0</v>
      </c>
      <c r="G384" s="640">
        <v>14.896462034387394</v>
      </c>
      <c r="H384" s="640">
        <v>0</v>
      </c>
      <c r="I384" s="640">
        <v>0</v>
      </c>
      <c r="J384" s="649">
        <v>12.461036592610267</v>
      </c>
      <c r="K384" s="649">
        <v>11.927183871567582</v>
      </c>
      <c r="L384" s="649">
        <v>0</v>
      </c>
      <c r="M384" s="649">
        <v>0.3188738120209938</v>
      </c>
      <c r="N384" s="649">
        <v>0</v>
      </c>
      <c r="O384" s="649">
        <v>2.1085025260592274</v>
      </c>
      <c r="P384" s="640">
        <v>0</v>
      </c>
      <c r="Q384" s="640">
        <v>-37.934258390495422</v>
      </c>
      <c r="R384" s="640">
        <v>0</v>
      </c>
      <c r="S384" s="648">
        <v>3.7778004461500441</v>
      </c>
      <c r="U384" s="646" t="s">
        <v>348</v>
      </c>
      <c r="V384" s="640">
        <v>0</v>
      </c>
      <c r="W384" s="640">
        <v>0</v>
      </c>
      <c r="X384" s="640">
        <v>0</v>
      </c>
      <c r="Y384" s="640">
        <v>8.218662070491261</v>
      </c>
      <c r="Z384" s="640">
        <v>0</v>
      </c>
      <c r="AA384" s="640">
        <v>0</v>
      </c>
      <c r="AB384" s="649">
        <v>28.560818034272483</v>
      </c>
      <c r="AC384" s="649">
        <v>26.163217208510932</v>
      </c>
      <c r="AD384" s="649">
        <v>0</v>
      </c>
      <c r="AE384" s="649">
        <v>5.9663093303449024</v>
      </c>
      <c r="AF384" s="649">
        <v>0</v>
      </c>
      <c r="AG384" s="649">
        <v>11.832895483778962</v>
      </c>
      <c r="AH384" s="640">
        <v>0</v>
      </c>
      <c r="AI384" s="640">
        <v>-74.578675527513624</v>
      </c>
      <c r="AJ384" s="640">
        <v>0</v>
      </c>
      <c r="AK384" s="648">
        <v>6.1632265998849274</v>
      </c>
    </row>
    <row r="385" spans="3:37" x14ac:dyDescent="0.2">
      <c r="C385" s="646" t="s">
        <v>349</v>
      </c>
      <c r="D385" s="640">
        <v>0</v>
      </c>
      <c r="E385" s="640">
        <v>0</v>
      </c>
      <c r="F385" s="640">
        <v>0</v>
      </c>
      <c r="G385" s="640">
        <v>0</v>
      </c>
      <c r="H385" s="640">
        <v>0</v>
      </c>
      <c r="I385" s="640">
        <v>0</v>
      </c>
      <c r="J385" s="650">
        <v>6.9979956174374891</v>
      </c>
      <c r="K385" s="650">
        <v>0</v>
      </c>
      <c r="L385" s="650">
        <v>0</v>
      </c>
      <c r="M385" s="650">
        <v>-6.4748954450340372</v>
      </c>
      <c r="N385" s="650">
        <v>0</v>
      </c>
      <c r="O385" s="650">
        <v>0</v>
      </c>
      <c r="P385" s="640">
        <v>0</v>
      </c>
      <c r="Q385" s="640">
        <v>0</v>
      </c>
      <c r="R385" s="640">
        <v>0</v>
      </c>
      <c r="S385" s="648">
        <v>0.52310017240345186</v>
      </c>
      <c r="U385" s="646" t="s">
        <v>349</v>
      </c>
      <c r="V385" s="640">
        <v>0</v>
      </c>
      <c r="W385" s="640">
        <v>0</v>
      </c>
      <c r="X385" s="640">
        <v>0</v>
      </c>
      <c r="Y385" s="640">
        <v>0</v>
      </c>
      <c r="Z385" s="640">
        <v>0</v>
      </c>
      <c r="AA385" s="640">
        <v>0</v>
      </c>
      <c r="AB385" s="650">
        <v>79.198989478899776</v>
      </c>
      <c r="AC385" s="650">
        <v>0</v>
      </c>
      <c r="AD385" s="650">
        <v>0</v>
      </c>
      <c r="AE385" s="650">
        <v>-73.278865015352025</v>
      </c>
      <c r="AF385" s="650">
        <v>0</v>
      </c>
      <c r="AG385" s="650">
        <v>0</v>
      </c>
      <c r="AH385" s="640">
        <v>0</v>
      </c>
      <c r="AI385" s="640">
        <v>0</v>
      </c>
      <c r="AJ385" s="640">
        <v>0</v>
      </c>
      <c r="AK385" s="648">
        <v>5.9201244635477508</v>
      </c>
    </row>
    <row r="386" spans="3:37" x14ac:dyDescent="0.2">
      <c r="C386" s="646" t="s">
        <v>350</v>
      </c>
      <c r="D386" s="640">
        <v>0</v>
      </c>
      <c r="E386" s="640">
        <v>0</v>
      </c>
      <c r="F386" s="640">
        <v>0</v>
      </c>
      <c r="G386" s="640">
        <v>0</v>
      </c>
      <c r="H386" s="640">
        <v>0</v>
      </c>
      <c r="I386" s="640">
        <v>0</v>
      </c>
      <c r="J386" s="640">
        <v>0</v>
      </c>
      <c r="K386" s="640">
        <v>0</v>
      </c>
      <c r="L386" s="640">
        <v>0</v>
      </c>
      <c r="M386" s="640">
        <v>0</v>
      </c>
      <c r="N386" s="640">
        <v>0</v>
      </c>
      <c r="O386" s="640">
        <v>0</v>
      </c>
      <c r="P386" s="640">
        <v>0</v>
      </c>
      <c r="Q386" s="640">
        <v>0</v>
      </c>
      <c r="R386" s="640">
        <v>0</v>
      </c>
      <c r="S386" s="648">
        <v>0</v>
      </c>
      <c r="U386" s="646" t="s">
        <v>350</v>
      </c>
      <c r="V386" s="640">
        <v>0</v>
      </c>
      <c r="W386" s="640">
        <v>0</v>
      </c>
      <c r="X386" s="640">
        <v>0</v>
      </c>
      <c r="Y386" s="640">
        <v>0</v>
      </c>
      <c r="Z386" s="640">
        <v>0</v>
      </c>
      <c r="AA386" s="640">
        <v>0</v>
      </c>
      <c r="AB386" s="640">
        <v>0</v>
      </c>
      <c r="AC386" s="640">
        <v>0</v>
      </c>
      <c r="AD386" s="640">
        <v>0</v>
      </c>
      <c r="AE386" s="640">
        <v>0</v>
      </c>
      <c r="AF386" s="640">
        <v>0</v>
      </c>
      <c r="AG386" s="640">
        <v>0</v>
      </c>
      <c r="AH386" s="640">
        <v>0</v>
      </c>
      <c r="AI386" s="640">
        <v>0</v>
      </c>
      <c r="AJ386" s="640">
        <v>0</v>
      </c>
      <c r="AK386" s="648">
        <v>0</v>
      </c>
    </row>
    <row r="387" spans="3:37" x14ac:dyDescent="0.2">
      <c r="C387" s="646" t="s">
        <v>72</v>
      </c>
      <c r="D387" s="640">
        <v>0</v>
      </c>
      <c r="E387" s="640">
        <v>510.04733530503466</v>
      </c>
      <c r="F387" s="640">
        <v>-504.94686195198432</v>
      </c>
      <c r="G387" s="640">
        <v>0</v>
      </c>
      <c r="H387" s="640">
        <v>0</v>
      </c>
      <c r="I387" s="640">
        <v>0</v>
      </c>
      <c r="J387" s="640">
        <v>0</v>
      </c>
      <c r="K387" s="640">
        <v>0</v>
      </c>
      <c r="L387" s="640">
        <v>0</v>
      </c>
      <c r="M387" s="640">
        <v>0</v>
      </c>
      <c r="N387" s="640">
        <v>0</v>
      </c>
      <c r="O387" s="640">
        <v>0</v>
      </c>
      <c r="P387" s="640">
        <v>0</v>
      </c>
      <c r="Q387" s="640">
        <v>0</v>
      </c>
      <c r="R387" s="640">
        <v>0</v>
      </c>
      <c r="S387" s="648">
        <v>5.1004733530503472</v>
      </c>
      <c r="U387" s="646" t="s">
        <v>72</v>
      </c>
      <c r="V387" s="640">
        <v>0</v>
      </c>
      <c r="W387" s="640">
        <v>228.3916715709193</v>
      </c>
      <c r="X387" s="640">
        <v>-226.10775485521012</v>
      </c>
      <c r="Y387" s="640">
        <v>0</v>
      </c>
      <c r="Z387" s="640">
        <v>0</v>
      </c>
      <c r="AA387" s="640">
        <v>0</v>
      </c>
      <c r="AB387" s="640">
        <v>0</v>
      </c>
      <c r="AC387" s="640">
        <v>0</v>
      </c>
      <c r="AD387" s="640">
        <v>0</v>
      </c>
      <c r="AE387" s="640">
        <v>0</v>
      </c>
      <c r="AF387" s="640">
        <v>0</v>
      </c>
      <c r="AG387" s="640">
        <v>0</v>
      </c>
      <c r="AH387" s="640">
        <v>0</v>
      </c>
      <c r="AI387" s="640">
        <v>0</v>
      </c>
      <c r="AJ387" s="640">
        <v>0</v>
      </c>
      <c r="AK387" s="648">
        <v>2.2839167157091822</v>
      </c>
    </row>
    <row r="388" spans="3:37" x14ac:dyDescent="0.2">
      <c r="C388" s="646" t="s">
        <v>351</v>
      </c>
      <c r="D388" s="640">
        <v>0</v>
      </c>
      <c r="E388" s="640">
        <v>0</v>
      </c>
      <c r="F388" s="640">
        <v>0</v>
      </c>
      <c r="G388" s="640">
        <v>0</v>
      </c>
      <c r="H388" s="640">
        <v>0</v>
      </c>
      <c r="I388" s="640">
        <v>0</v>
      </c>
      <c r="J388" s="640">
        <v>27.710201800923624</v>
      </c>
      <c r="K388" s="640">
        <v>0</v>
      </c>
      <c r="L388" s="640">
        <v>-27.710201800923624</v>
      </c>
      <c r="M388" s="640">
        <v>0</v>
      </c>
      <c r="N388" s="640">
        <v>0</v>
      </c>
      <c r="O388" s="640">
        <v>0</v>
      </c>
      <c r="P388" s="640">
        <v>0</v>
      </c>
      <c r="Q388" s="640">
        <v>0</v>
      </c>
      <c r="R388" s="640">
        <v>0</v>
      </c>
      <c r="S388" s="648">
        <v>0</v>
      </c>
      <c r="U388" s="646" t="s">
        <v>351</v>
      </c>
      <c r="V388" s="640">
        <v>0</v>
      </c>
      <c r="W388" s="640">
        <v>0</v>
      </c>
      <c r="X388" s="640">
        <v>0</v>
      </c>
      <c r="Y388" s="640">
        <v>0</v>
      </c>
      <c r="Z388" s="640">
        <v>0</v>
      </c>
      <c r="AA388" s="640">
        <v>0</v>
      </c>
      <c r="AB388" s="640" t="e">
        <v>#VALUE!</v>
      </c>
      <c r="AC388" s="640">
        <v>0</v>
      </c>
      <c r="AD388" s="640">
        <v>-101.17003146857277</v>
      </c>
      <c r="AE388" s="640">
        <v>0</v>
      </c>
      <c r="AF388" s="640">
        <v>0</v>
      </c>
      <c r="AG388" s="640">
        <v>0</v>
      </c>
      <c r="AH388" s="640">
        <v>0</v>
      </c>
      <c r="AI388" s="640">
        <v>0</v>
      </c>
      <c r="AJ388" s="640">
        <v>0</v>
      </c>
      <c r="AK388" s="648">
        <v>-101.17003146857277</v>
      </c>
    </row>
    <row r="389" spans="3:37" x14ac:dyDescent="0.2">
      <c r="C389" s="646" t="s">
        <v>352</v>
      </c>
      <c r="D389" s="640">
        <v>0</v>
      </c>
      <c r="E389" s="640">
        <v>0</v>
      </c>
      <c r="F389" s="640">
        <v>0</v>
      </c>
      <c r="G389" s="640">
        <v>0</v>
      </c>
      <c r="H389" s="640">
        <v>0</v>
      </c>
      <c r="I389" s="640">
        <v>0</v>
      </c>
      <c r="J389" s="640">
        <v>0</v>
      </c>
      <c r="K389" s="640">
        <v>0</v>
      </c>
      <c r="L389" s="640">
        <v>0</v>
      </c>
      <c r="M389" s="640">
        <v>0</v>
      </c>
      <c r="N389" s="640">
        <v>0</v>
      </c>
      <c r="O389" s="640">
        <v>0</v>
      </c>
      <c r="P389" s="640">
        <v>0</v>
      </c>
      <c r="Q389" s="640">
        <v>0</v>
      </c>
      <c r="R389" s="640">
        <v>0</v>
      </c>
      <c r="S389" s="648">
        <v>0</v>
      </c>
      <c r="U389" s="646" t="s">
        <v>352</v>
      </c>
      <c r="V389" s="640">
        <v>0</v>
      </c>
      <c r="W389" s="640">
        <v>0</v>
      </c>
      <c r="X389" s="640">
        <v>0</v>
      </c>
      <c r="Y389" s="640">
        <v>0</v>
      </c>
      <c r="Z389" s="640">
        <v>0</v>
      </c>
      <c r="AA389" s="640">
        <v>0</v>
      </c>
      <c r="AB389" s="640">
        <v>0</v>
      </c>
      <c r="AC389" s="640">
        <v>0</v>
      </c>
      <c r="AD389" s="640">
        <v>-18.691082885283098</v>
      </c>
      <c r="AE389" s="640">
        <v>0</v>
      </c>
      <c r="AF389" s="640">
        <v>0</v>
      </c>
      <c r="AG389" s="640">
        <v>0</v>
      </c>
      <c r="AH389" s="640">
        <v>0</v>
      </c>
      <c r="AI389" s="640">
        <v>0</v>
      </c>
      <c r="AJ389" s="640">
        <v>0</v>
      </c>
      <c r="AK389" s="648">
        <v>-18.691082885283098</v>
      </c>
    </row>
    <row r="390" spans="3:37" x14ac:dyDescent="0.2">
      <c r="C390" s="646" t="s">
        <v>73</v>
      </c>
      <c r="D390" s="640">
        <v>0</v>
      </c>
      <c r="E390" s="640">
        <v>0</v>
      </c>
      <c r="F390" s="640">
        <v>0</v>
      </c>
      <c r="G390" s="640">
        <v>6.2864428714474423</v>
      </c>
      <c r="H390" s="640">
        <v>0</v>
      </c>
      <c r="I390" s="640">
        <v>0</v>
      </c>
      <c r="J390" s="640">
        <v>0</v>
      </c>
      <c r="K390" s="640">
        <v>7.2564905248031233E-2</v>
      </c>
      <c r="L390" s="640">
        <v>0</v>
      </c>
      <c r="M390" s="640">
        <v>0.12829475247851924</v>
      </c>
      <c r="N390" s="640">
        <v>0</v>
      </c>
      <c r="O390" s="640">
        <v>0</v>
      </c>
      <c r="P390" s="640">
        <v>0.77416476914506349</v>
      </c>
      <c r="Q390" s="640">
        <v>0</v>
      </c>
      <c r="R390" s="640">
        <v>-5.0795433673621861</v>
      </c>
      <c r="S390" s="648">
        <v>2.1819239309568701</v>
      </c>
      <c r="U390" s="646" t="s">
        <v>73</v>
      </c>
      <c r="V390" s="640">
        <v>0</v>
      </c>
      <c r="W390" s="640">
        <v>0</v>
      </c>
      <c r="X390" s="640">
        <v>0</v>
      </c>
      <c r="Y390" s="640">
        <v>3.7837340239051791</v>
      </c>
      <c r="Z390" s="640">
        <v>0</v>
      </c>
      <c r="AA390" s="640">
        <v>0</v>
      </c>
      <c r="AB390" s="640">
        <v>0</v>
      </c>
      <c r="AC390" s="640">
        <v>0.46597709654004676</v>
      </c>
      <c r="AD390" s="640">
        <v>0</v>
      </c>
      <c r="AE390" s="640">
        <v>2.7399453276554748</v>
      </c>
      <c r="AF390" s="640">
        <v>0</v>
      </c>
      <c r="AG390" s="640">
        <v>0</v>
      </c>
      <c r="AH390" s="640">
        <v>39.864323859285086</v>
      </c>
      <c r="AI390" s="640">
        <v>0</v>
      </c>
      <c r="AJ390" s="640">
        <v>-32.618396757803268</v>
      </c>
      <c r="AK390" s="648">
        <v>14.235583549582522</v>
      </c>
    </row>
    <row r="391" spans="3:37" x14ac:dyDescent="0.2">
      <c r="C391" s="646" t="s">
        <v>353</v>
      </c>
      <c r="D391" s="640">
        <v>28.588592812499996</v>
      </c>
      <c r="E391" s="640">
        <v>-17.673140168319453</v>
      </c>
      <c r="F391" s="640">
        <v>23.11542347254851</v>
      </c>
      <c r="G391" s="640">
        <v>0</v>
      </c>
      <c r="H391" s="640">
        <v>0</v>
      </c>
      <c r="I391" s="640">
        <v>0</v>
      </c>
      <c r="J391" s="640">
        <v>0</v>
      </c>
      <c r="K391" s="640">
        <v>0</v>
      </c>
      <c r="L391" s="640">
        <v>0</v>
      </c>
      <c r="M391" s="640">
        <v>0</v>
      </c>
      <c r="N391" s="640">
        <v>0</v>
      </c>
      <c r="O391" s="640">
        <v>0</v>
      </c>
      <c r="P391" s="640">
        <v>0</v>
      </c>
      <c r="Q391" s="640">
        <v>0</v>
      </c>
      <c r="R391" s="640">
        <v>0</v>
      </c>
      <c r="S391" s="648">
        <v>34.030876116729054</v>
      </c>
      <c r="U391" s="646" t="s">
        <v>353</v>
      </c>
      <c r="V391" s="640">
        <v>1.7459712219238281</v>
      </c>
      <c r="W391" s="640">
        <v>-7.9137714199323552</v>
      </c>
      <c r="X391" s="640">
        <v>10.35074558875537</v>
      </c>
      <c r="Y391" s="640">
        <v>0</v>
      </c>
      <c r="Z391" s="640">
        <v>0</v>
      </c>
      <c r="AA391" s="640">
        <v>0</v>
      </c>
      <c r="AB391" s="640">
        <v>0</v>
      </c>
      <c r="AC391" s="640">
        <v>0</v>
      </c>
      <c r="AD391" s="640">
        <v>0</v>
      </c>
      <c r="AE391" s="640">
        <v>0</v>
      </c>
      <c r="AF391" s="640">
        <v>0</v>
      </c>
      <c r="AG391" s="640">
        <v>0</v>
      </c>
      <c r="AH391" s="640">
        <v>0</v>
      </c>
      <c r="AI391" s="640">
        <v>0</v>
      </c>
      <c r="AJ391" s="640">
        <v>0</v>
      </c>
      <c r="AK391" s="648">
        <v>4.182945390746843</v>
      </c>
    </row>
    <row r="392" spans="3:37" x14ac:dyDescent="0.2">
      <c r="C392" s="646" t="s">
        <v>75</v>
      </c>
      <c r="D392" s="640">
        <v>11.11778609375</v>
      </c>
      <c r="E392" s="640">
        <v>0</v>
      </c>
      <c r="F392" s="640">
        <v>17.34160940037118</v>
      </c>
      <c r="G392" s="640">
        <v>4.9484792471294465</v>
      </c>
      <c r="H392" s="640">
        <v>0</v>
      </c>
      <c r="I392" s="640">
        <v>0</v>
      </c>
      <c r="J392" s="640">
        <v>0</v>
      </c>
      <c r="K392" s="640">
        <v>0</v>
      </c>
      <c r="L392" s="640">
        <v>0</v>
      </c>
      <c r="M392" s="640">
        <v>0.10098937239039688</v>
      </c>
      <c r="N392" s="640">
        <v>0</v>
      </c>
      <c r="O392" s="640">
        <v>0</v>
      </c>
      <c r="P392" s="640">
        <v>29.08691491128284</v>
      </c>
      <c r="Q392" s="640">
        <v>0</v>
      </c>
      <c r="R392" s="640">
        <v>0</v>
      </c>
      <c r="S392" s="648">
        <v>62.595779024923864</v>
      </c>
      <c r="U392" s="646" t="s">
        <v>75</v>
      </c>
      <c r="V392" s="640">
        <v>2.938742431640625</v>
      </c>
      <c r="W392" s="640">
        <v>0</v>
      </c>
      <c r="X392" s="640">
        <v>17.34160940037118</v>
      </c>
      <c r="Y392" s="640">
        <v>2.9286917993215091</v>
      </c>
      <c r="Z392" s="640">
        <v>0</v>
      </c>
      <c r="AA392" s="640">
        <v>0</v>
      </c>
      <c r="AB392" s="640">
        <v>0</v>
      </c>
      <c r="AC392" s="640">
        <v>0</v>
      </c>
      <c r="AD392" s="640">
        <v>0</v>
      </c>
      <c r="AE392" s="640">
        <v>2.1207768201983344</v>
      </c>
      <c r="AF392" s="640">
        <v>0</v>
      </c>
      <c r="AG392" s="640">
        <v>0</v>
      </c>
      <c r="AH392" s="640">
        <v>36.505051274919204</v>
      </c>
      <c r="AI392" s="640">
        <v>0</v>
      </c>
      <c r="AJ392" s="640">
        <v>0</v>
      </c>
      <c r="AK392" s="648">
        <v>61.834871726450849</v>
      </c>
    </row>
    <row r="393" spans="3:37" x14ac:dyDescent="0.2">
      <c r="C393" s="646" t="s">
        <v>76</v>
      </c>
      <c r="D393" s="640">
        <v>0</v>
      </c>
      <c r="E393" s="640">
        <v>0</v>
      </c>
      <c r="F393" s="640">
        <v>0</v>
      </c>
      <c r="G393" s="640">
        <v>3.7620934008695794</v>
      </c>
      <c r="H393" s="640">
        <v>0</v>
      </c>
      <c r="I393" s="640">
        <v>0</v>
      </c>
      <c r="J393" s="640">
        <v>0</v>
      </c>
      <c r="K393" s="640">
        <v>0</v>
      </c>
      <c r="L393" s="640">
        <v>0</v>
      </c>
      <c r="M393" s="640">
        <v>7.6777416344277136E-2</v>
      </c>
      <c r="N393" s="640">
        <v>0</v>
      </c>
      <c r="O393" s="640">
        <v>0</v>
      </c>
      <c r="P393" s="640">
        <v>45.374638558517056</v>
      </c>
      <c r="Q393" s="640">
        <v>2.9442994019327013</v>
      </c>
      <c r="R393" s="640">
        <v>0</v>
      </c>
      <c r="S393" s="648">
        <v>52.157808777663611</v>
      </c>
      <c r="U393" s="646" t="s">
        <v>76</v>
      </c>
      <c r="V393" s="640">
        <v>0</v>
      </c>
      <c r="W393" s="640">
        <v>0</v>
      </c>
      <c r="X393" s="640">
        <v>0</v>
      </c>
      <c r="Y393" s="640">
        <v>1.1999362424874132</v>
      </c>
      <c r="Z393" s="640">
        <v>0</v>
      </c>
      <c r="AA393" s="640">
        <v>0</v>
      </c>
      <c r="AB393" s="640">
        <v>0</v>
      </c>
      <c r="AC393" s="640">
        <v>0</v>
      </c>
      <c r="AD393" s="640">
        <v>0</v>
      </c>
      <c r="AE393" s="640">
        <v>0.86891934800812698</v>
      </c>
      <c r="AF393" s="640">
        <v>0</v>
      </c>
      <c r="AG393" s="640">
        <v>0</v>
      </c>
      <c r="AH393" s="640">
        <v>48.340685132761017</v>
      </c>
      <c r="AI393" s="640">
        <v>5.7839036819230412</v>
      </c>
      <c r="AJ393" s="640">
        <v>0</v>
      </c>
      <c r="AK393" s="648">
        <v>56.193444405179591</v>
      </c>
    </row>
    <row r="394" spans="3:37" x14ac:dyDescent="0.2">
      <c r="C394" s="644" t="s">
        <v>77</v>
      </c>
      <c r="D394" s="645">
        <v>42.533164547275248</v>
      </c>
      <c r="E394" s="645">
        <v>492.37419513671523</v>
      </c>
      <c r="F394" s="645">
        <v>-456.72729975813655</v>
      </c>
      <c r="G394" s="645">
        <v>46.717511888597819</v>
      </c>
      <c r="H394" s="645">
        <v>889.54545454545473</v>
      </c>
      <c r="I394" s="645">
        <v>290.38619522472999</v>
      </c>
      <c r="J394" s="645">
        <v>76.404091824403224</v>
      </c>
      <c r="K394" s="645">
        <v>18.74651114985376</v>
      </c>
      <c r="L394" s="645">
        <v>-24.540793928849673</v>
      </c>
      <c r="M394" s="645">
        <v>-5.3808072382237846</v>
      </c>
      <c r="N394" s="645">
        <v>0</v>
      </c>
      <c r="O394" s="645">
        <v>9.0812335132369491</v>
      </c>
      <c r="P394" s="645">
        <v>-540.17785546008065</v>
      </c>
      <c r="Q394" s="645">
        <v>-34.989958988562719</v>
      </c>
      <c r="R394" s="645">
        <v>-5.0795433673621861</v>
      </c>
      <c r="S394" s="645">
        <v>798.89209908905127</v>
      </c>
      <c r="U394" s="644" t="s">
        <v>77</v>
      </c>
      <c r="V394" s="645">
        <v>5.3110285590231427</v>
      </c>
      <c r="W394" s="645">
        <v>220.47790015098695</v>
      </c>
      <c r="X394" s="645">
        <v>-194.51650690879191</v>
      </c>
      <c r="Y394" s="645">
        <v>19.805187226334116</v>
      </c>
      <c r="Z394" s="645">
        <v>873.030303030303</v>
      </c>
      <c r="AA394" s="645">
        <v>337.06619522473</v>
      </c>
      <c r="AB394" s="645">
        <v>131.18933095255588</v>
      </c>
      <c r="AC394" s="645">
        <v>32.128382455120146</v>
      </c>
      <c r="AD394" s="645">
        <v>-116.69170648178192</v>
      </c>
      <c r="AE394" s="645">
        <v>-58.796508116684997</v>
      </c>
      <c r="AF394" s="645">
        <v>0</v>
      </c>
      <c r="AG394" s="645">
        <v>18.805626470956682</v>
      </c>
      <c r="AH394" s="645">
        <v>-524.40351343206009</v>
      </c>
      <c r="AI394" s="645">
        <v>-68.794771845590574</v>
      </c>
      <c r="AJ394" s="645">
        <v>-28.168396757803269</v>
      </c>
      <c r="AK394" s="645">
        <v>646.44255052729716</v>
      </c>
    </row>
    <row r="395" spans="3:37" x14ac:dyDescent="0.2">
      <c r="C395" s="634"/>
      <c r="D395" s="634">
        <v>0</v>
      </c>
      <c r="E395" s="634">
        <v>0</v>
      </c>
      <c r="F395" s="634">
        <v>0</v>
      </c>
      <c r="G395" s="634">
        <v>0</v>
      </c>
      <c r="H395" s="634">
        <v>0</v>
      </c>
      <c r="I395" s="634">
        <v>0</v>
      </c>
      <c r="J395" s="634">
        <v>0</v>
      </c>
      <c r="K395" s="634">
        <v>0</v>
      </c>
      <c r="L395" s="634">
        <v>0</v>
      </c>
      <c r="M395" s="634">
        <v>0</v>
      </c>
      <c r="N395" s="634">
        <v>0</v>
      </c>
      <c r="O395" s="634">
        <v>0</v>
      </c>
      <c r="P395" s="634">
        <v>0</v>
      </c>
      <c r="Q395" s="634">
        <v>0</v>
      </c>
      <c r="R395" s="634">
        <v>0</v>
      </c>
      <c r="S395" s="634">
        <v>0</v>
      </c>
      <c r="U395" s="634"/>
      <c r="V395" s="634">
        <v>0</v>
      </c>
      <c r="W395" s="634">
        <v>0</v>
      </c>
      <c r="X395" s="634">
        <v>0</v>
      </c>
      <c r="Y395" s="634">
        <v>0</v>
      </c>
      <c r="Z395" s="634">
        <v>0</v>
      </c>
      <c r="AA395" s="634">
        <v>0</v>
      </c>
      <c r="AB395" s="634">
        <v>0</v>
      </c>
      <c r="AC395" s="634">
        <v>0</v>
      </c>
      <c r="AD395" s="634">
        <v>0</v>
      </c>
      <c r="AE395" s="634">
        <v>0</v>
      </c>
      <c r="AF395" s="634">
        <v>0</v>
      </c>
      <c r="AG395" s="634">
        <v>0</v>
      </c>
      <c r="AH395" s="634">
        <v>0</v>
      </c>
      <c r="AI395" s="634">
        <v>0</v>
      </c>
      <c r="AJ395" s="634">
        <v>0</v>
      </c>
      <c r="AK395" s="634">
        <v>0</v>
      </c>
    </row>
    <row r="396" spans="3:37" x14ac:dyDescent="0.2">
      <c r="C396" s="646" t="s">
        <v>78</v>
      </c>
      <c r="D396" s="640">
        <v>4.9901668745901624</v>
      </c>
      <c r="E396" s="640">
        <v>0</v>
      </c>
      <c r="F396" s="640">
        <v>21.091530324656198</v>
      </c>
      <c r="G396" s="640">
        <v>96.151700548391091</v>
      </c>
      <c r="H396" s="640">
        <v>0</v>
      </c>
      <c r="I396" s="640">
        <v>0</v>
      </c>
      <c r="J396" s="640">
        <v>21.387862541024852</v>
      </c>
      <c r="K396" s="640">
        <v>1.7476152779545906</v>
      </c>
      <c r="L396" s="640">
        <v>0.94211085156249985</v>
      </c>
      <c r="M396" s="640">
        <v>1.9807569399951515</v>
      </c>
      <c r="N396" s="640">
        <v>0</v>
      </c>
      <c r="O396" s="640">
        <v>3.7669078281368638E-4</v>
      </c>
      <c r="P396" s="640">
        <v>112.73505933145552</v>
      </c>
      <c r="Q396" s="640">
        <v>16.12568637832603</v>
      </c>
      <c r="R396" s="640">
        <v>0.27920700073242188</v>
      </c>
      <c r="S396" s="648">
        <v>277.43207275947128</v>
      </c>
      <c r="U396" s="646" t="s">
        <v>78</v>
      </c>
      <c r="V396" s="640">
        <v>1.2150050536449819</v>
      </c>
      <c r="W396" s="640">
        <v>0</v>
      </c>
      <c r="X396" s="640">
        <v>6.016341039248414</v>
      </c>
      <c r="Y396" s="640">
        <v>39.709503776891196</v>
      </c>
      <c r="Z396" s="640">
        <v>0</v>
      </c>
      <c r="AA396" s="640">
        <v>0</v>
      </c>
      <c r="AB396" s="640">
        <v>15.202189846170386</v>
      </c>
      <c r="AC396" s="640">
        <v>4.9835801019927617</v>
      </c>
      <c r="AD396" s="640">
        <v>5.6103854980468748</v>
      </c>
      <c r="AE396" s="640">
        <v>28.773635244370734</v>
      </c>
      <c r="AF396" s="640">
        <v>0</v>
      </c>
      <c r="AG396" s="640">
        <v>3.7669078281368638E-4</v>
      </c>
      <c r="AH396" s="640">
        <v>146.07653830614987</v>
      </c>
      <c r="AI396" s="640">
        <v>23.647869298816833</v>
      </c>
      <c r="AJ396" s="640">
        <v>7.4826708984375001</v>
      </c>
      <c r="AK396" s="648">
        <v>278.71809575455239</v>
      </c>
    </row>
    <row r="397" spans="3:37" x14ac:dyDescent="0.2">
      <c r="C397" s="646" t="s">
        <v>79</v>
      </c>
      <c r="D397" s="640">
        <v>0</v>
      </c>
      <c r="E397" s="640">
        <v>0</v>
      </c>
      <c r="F397" s="640">
        <v>235.12748928743429</v>
      </c>
      <c r="G397" s="640">
        <v>31.099379517950805</v>
      </c>
      <c r="H397" s="640">
        <v>0</v>
      </c>
      <c r="I397" s="640">
        <v>0</v>
      </c>
      <c r="J397" s="640">
        <v>0</v>
      </c>
      <c r="K397" s="640">
        <v>0</v>
      </c>
      <c r="L397" s="640">
        <v>22.716725008445675</v>
      </c>
      <c r="M397" s="640">
        <v>0.63468121465205729</v>
      </c>
      <c r="N397" s="640">
        <v>0</v>
      </c>
      <c r="O397" s="640">
        <v>0</v>
      </c>
      <c r="P397" s="640">
        <v>68.565930798083699</v>
      </c>
      <c r="Q397" s="640">
        <v>0</v>
      </c>
      <c r="R397" s="640">
        <v>2.3844112104980786</v>
      </c>
      <c r="S397" s="648">
        <v>360.52861703706463</v>
      </c>
      <c r="U397" s="646" t="s">
        <v>79</v>
      </c>
      <c r="V397" s="640">
        <v>0</v>
      </c>
      <c r="W397" s="640">
        <v>0</v>
      </c>
      <c r="X397" s="640">
        <v>35.128929389637456</v>
      </c>
      <c r="Y397" s="640">
        <v>15.137064293513523</v>
      </c>
      <c r="Z397" s="640">
        <v>0</v>
      </c>
      <c r="AA397" s="640">
        <v>0</v>
      </c>
      <c r="AB397" s="640">
        <v>0</v>
      </c>
      <c r="AC397" s="640">
        <v>0</v>
      </c>
      <c r="AD397" s="640">
        <v>37.187580566982817</v>
      </c>
      <c r="AE397" s="640">
        <v>11.036020535724948</v>
      </c>
      <c r="AF397" s="640">
        <v>0</v>
      </c>
      <c r="AG397" s="640">
        <v>0</v>
      </c>
      <c r="AH397" s="640">
        <v>89.614524523742418</v>
      </c>
      <c r="AI397" s="640">
        <v>0</v>
      </c>
      <c r="AJ397" s="640">
        <v>5.6351763144479268</v>
      </c>
      <c r="AK397" s="648">
        <v>193.73929562404911</v>
      </c>
    </row>
    <row r="398" spans="3:37" x14ac:dyDescent="0.2">
      <c r="C398" s="646" t="s">
        <v>80</v>
      </c>
      <c r="D398" s="640">
        <v>0</v>
      </c>
      <c r="E398" s="640">
        <v>0</v>
      </c>
      <c r="F398" s="640">
        <v>13.724834206032371</v>
      </c>
      <c r="G398" s="640">
        <v>79.131512261322683</v>
      </c>
      <c r="H398" s="640">
        <v>0</v>
      </c>
      <c r="I398" s="640">
        <v>0</v>
      </c>
      <c r="J398" s="640">
        <v>87.797108848078949</v>
      </c>
      <c r="K398" s="640">
        <v>0</v>
      </c>
      <c r="L398" s="640">
        <v>0</v>
      </c>
      <c r="M398" s="640">
        <v>1.6149288216596467</v>
      </c>
      <c r="N398" s="640">
        <v>57.41835645436403</v>
      </c>
      <c r="O398" s="640">
        <v>2.0533643919476137</v>
      </c>
      <c r="P398" s="640">
        <v>189.45880926265392</v>
      </c>
      <c r="Q398" s="640">
        <v>15.417775800116472</v>
      </c>
      <c r="R398" s="640">
        <v>0</v>
      </c>
      <c r="S398" s="648">
        <v>446.61669004617568</v>
      </c>
      <c r="U398" s="646" t="s">
        <v>80</v>
      </c>
      <c r="V398" s="640">
        <v>0</v>
      </c>
      <c r="W398" s="640">
        <v>0</v>
      </c>
      <c r="X398" s="640">
        <v>1.0209129157283405</v>
      </c>
      <c r="Y398" s="640">
        <v>12.832027751754538</v>
      </c>
      <c r="Z398" s="640">
        <v>0</v>
      </c>
      <c r="AA398" s="640">
        <v>0</v>
      </c>
      <c r="AB398" s="640">
        <v>53.270322236782164</v>
      </c>
      <c r="AC398" s="640">
        <v>0</v>
      </c>
      <c r="AD398" s="640">
        <v>0</v>
      </c>
      <c r="AE398" s="640">
        <v>9.2921580271325972</v>
      </c>
      <c r="AF398" s="640">
        <v>88.292344554902868</v>
      </c>
      <c r="AG398" s="640">
        <v>3.9079432862869607</v>
      </c>
      <c r="AH398" s="640">
        <v>146.88666477766319</v>
      </c>
      <c r="AI398" s="640">
        <v>32.427264426374379</v>
      </c>
      <c r="AJ398" s="640">
        <v>0</v>
      </c>
      <c r="AK398" s="648">
        <v>347.92963797662509</v>
      </c>
    </row>
    <row r="399" spans="3:37" x14ac:dyDescent="0.2">
      <c r="C399" s="646" t="s">
        <v>81</v>
      </c>
      <c r="D399" s="640">
        <v>0</v>
      </c>
      <c r="E399" s="640">
        <v>0</v>
      </c>
      <c r="F399" s="640">
        <v>3.9083972405176572</v>
      </c>
      <c r="G399" s="640">
        <v>63.089348266301698</v>
      </c>
      <c r="H399" s="640">
        <v>0</v>
      </c>
      <c r="I399" s="640">
        <v>0</v>
      </c>
      <c r="J399" s="640">
        <v>3.1804221278939271</v>
      </c>
      <c r="K399" s="640">
        <v>2.5219694682056978E-2</v>
      </c>
      <c r="L399" s="640">
        <v>0</v>
      </c>
      <c r="M399" s="640">
        <v>1.287537719720443</v>
      </c>
      <c r="N399" s="640">
        <v>8.4803330998149011</v>
      </c>
      <c r="O399" s="640">
        <v>0.72631919579288284</v>
      </c>
      <c r="P399" s="640">
        <v>140.69299872549993</v>
      </c>
      <c r="Q399" s="640">
        <v>3.4464968101202174</v>
      </c>
      <c r="R399" s="640">
        <v>0</v>
      </c>
      <c r="S399" s="648">
        <v>224.8370728803437</v>
      </c>
      <c r="U399" s="646" t="s">
        <v>81</v>
      </c>
      <c r="V399" s="640">
        <v>0</v>
      </c>
      <c r="W399" s="640">
        <v>0</v>
      </c>
      <c r="X399" s="640">
        <v>1.4952361732398858</v>
      </c>
      <c r="Y399" s="640">
        <v>10.610341518374359</v>
      </c>
      <c r="Z399" s="640">
        <v>0</v>
      </c>
      <c r="AA399" s="640">
        <v>0</v>
      </c>
      <c r="AB399" s="640">
        <v>6.9978977014468793</v>
      </c>
      <c r="AC399" s="640">
        <v>2.5219694682056978E-2</v>
      </c>
      <c r="AD399" s="640">
        <v>0</v>
      </c>
      <c r="AE399" s="640">
        <v>7.6833507546848816</v>
      </c>
      <c r="AF399" s="640">
        <v>14.732239480945108</v>
      </c>
      <c r="AG399" s="640">
        <v>1.5525732622869153</v>
      </c>
      <c r="AH399" s="640">
        <v>115.23036268987886</v>
      </c>
      <c r="AI399" s="640">
        <v>12.719638120399363</v>
      </c>
      <c r="AJ399" s="640">
        <v>0</v>
      </c>
      <c r="AK399" s="648">
        <v>171.04685939593833</v>
      </c>
    </row>
    <row r="400" spans="3:37" x14ac:dyDescent="0.2">
      <c r="C400" s="646" t="s">
        <v>82</v>
      </c>
      <c r="D400" s="640">
        <v>0</v>
      </c>
      <c r="E400" s="640">
        <v>0</v>
      </c>
      <c r="F400" s="640">
        <v>28.471648080197657</v>
      </c>
      <c r="G400" s="640">
        <v>1.0804243241036344</v>
      </c>
      <c r="H400" s="640">
        <v>0</v>
      </c>
      <c r="I400" s="640">
        <v>0</v>
      </c>
      <c r="J400" s="640">
        <v>4.3026845658747828</v>
      </c>
      <c r="K400" s="640">
        <v>0</v>
      </c>
      <c r="L400" s="640">
        <v>3.1299020072385213</v>
      </c>
      <c r="M400" s="640">
        <v>2.2049476002114991E-2</v>
      </c>
      <c r="N400" s="640">
        <v>0</v>
      </c>
      <c r="O400" s="640">
        <v>6.8830690871769351E-2</v>
      </c>
      <c r="P400" s="640">
        <v>5.9739095578527968</v>
      </c>
      <c r="Q400" s="640">
        <v>0</v>
      </c>
      <c r="R400" s="640">
        <v>0</v>
      </c>
      <c r="S400" s="648">
        <v>43.049448702141277</v>
      </c>
      <c r="U400" s="646" t="s">
        <v>82</v>
      </c>
      <c r="V400" s="640">
        <v>0</v>
      </c>
      <c r="W400" s="640">
        <v>0</v>
      </c>
      <c r="X400" s="640">
        <v>5.8604701162543282</v>
      </c>
      <c r="Y400" s="640">
        <v>0.77721189491485598</v>
      </c>
      <c r="Z400" s="640">
        <v>0</v>
      </c>
      <c r="AA400" s="640">
        <v>0</v>
      </c>
      <c r="AB400" s="640">
        <v>4.3026845658747828</v>
      </c>
      <c r="AC400" s="640">
        <v>0</v>
      </c>
      <c r="AD400" s="640">
        <v>30.776202948565647</v>
      </c>
      <c r="AE400" s="640">
        <v>0.56280861355903367</v>
      </c>
      <c r="AF400" s="640">
        <v>0</v>
      </c>
      <c r="AG400" s="640">
        <v>1.5666563685107562</v>
      </c>
      <c r="AH400" s="640">
        <v>6.0858228188406986</v>
      </c>
      <c r="AI400" s="640">
        <v>0</v>
      </c>
      <c r="AJ400" s="640">
        <v>0.36062656029870238</v>
      </c>
      <c r="AK400" s="648">
        <v>50.292483886818808</v>
      </c>
    </row>
    <row r="401" spans="3:37" x14ac:dyDescent="0.2">
      <c r="C401" s="646" t="s">
        <v>354</v>
      </c>
      <c r="D401" s="640">
        <v>0</v>
      </c>
      <c r="E401" s="640">
        <v>0</v>
      </c>
      <c r="F401" s="640">
        <v>0</v>
      </c>
      <c r="G401" s="640">
        <v>0</v>
      </c>
      <c r="H401" s="640">
        <v>0</v>
      </c>
      <c r="I401" s="640">
        <v>0</v>
      </c>
      <c r="J401" s="640">
        <v>0</v>
      </c>
      <c r="K401" s="640">
        <v>0</v>
      </c>
      <c r="L401" s="640">
        <v>0</v>
      </c>
      <c r="M401" s="640">
        <v>0</v>
      </c>
      <c r="N401" s="640">
        <v>0</v>
      </c>
      <c r="O401" s="640">
        <v>0</v>
      </c>
      <c r="P401" s="640">
        <v>0.36</v>
      </c>
      <c r="Q401" s="640">
        <v>0</v>
      </c>
      <c r="R401" s="640">
        <v>0</v>
      </c>
      <c r="S401" s="648">
        <v>0.36</v>
      </c>
      <c r="U401" s="646" t="s">
        <v>354</v>
      </c>
      <c r="V401" s="640">
        <v>0</v>
      </c>
      <c r="W401" s="640">
        <v>0</v>
      </c>
      <c r="X401" s="640">
        <v>0</v>
      </c>
      <c r="Y401" s="640">
        <v>0</v>
      </c>
      <c r="Z401" s="640">
        <v>0</v>
      </c>
      <c r="AA401" s="640">
        <v>0</v>
      </c>
      <c r="AB401" s="640">
        <v>0</v>
      </c>
      <c r="AC401" s="640">
        <v>0</v>
      </c>
      <c r="AD401" s="640">
        <v>0</v>
      </c>
      <c r="AE401" s="640">
        <v>0</v>
      </c>
      <c r="AF401" s="640">
        <v>0</v>
      </c>
      <c r="AG401" s="640">
        <v>0</v>
      </c>
      <c r="AH401" s="640">
        <v>3.12</v>
      </c>
      <c r="AI401" s="640">
        <v>0</v>
      </c>
      <c r="AJ401" s="640">
        <v>0</v>
      </c>
      <c r="AK401" s="648">
        <v>3.12</v>
      </c>
    </row>
    <row r="402" spans="3:37" x14ac:dyDescent="0.2">
      <c r="C402" s="644" t="s">
        <v>83</v>
      </c>
      <c r="D402" s="645">
        <v>4.9901668745901624</v>
      </c>
      <c r="E402" s="645">
        <v>0</v>
      </c>
      <c r="F402" s="645">
        <v>302.32389913883821</v>
      </c>
      <c r="G402" s="645">
        <v>270.55236491806994</v>
      </c>
      <c r="H402" s="645">
        <v>0</v>
      </c>
      <c r="I402" s="645">
        <v>0</v>
      </c>
      <c r="J402" s="645">
        <v>116.66807808287251</v>
      </c>
      <c r="K402" s="645">
        <v>1.7728349726366477</v>
      </c>
      <c r="L402" s="645">
        <v>26.788737867246695</v>
      </c>
      <c r="M402" s="645">
        <v>5.5399541720294136</v>
      </c>
      <c r="N402" s="645">
        <v>65.898689554178929</v>
      </c>
      <c r="O402" s="645">
        <v>2.8488909693950797</v>
      </c>
      <c r="P402" s="645">
        <v>517.78670767554593</v>
      </c>
      <c r="Q402" s="645">
        <v>34.989958988562719</v>
      </c>
      <c r="R402" s="645">
        <v>2.6636182112305002</v>
      </c>
      <c r="S402" s="645">
        <v>1352.8239014251965</v>
      </c>
      <c r="U402" s="644" t="s">
        <v>83</v>
      </c>
      <c r="V402" s="645">
        <v>1.2150050536449819</v>
      </c>
      <c r="W402" s="645">
        <v>0</v>
      </c>
      <c r="X402" s="645">
        <v>49.521889634108419</v>
      </c>
      <c r="Y402" s="645">
        <v>79.066149235448464</v>
      </c>
      <c r="Z402" s="645">
        <v>0</v>
      </c>
      <c r="AA402" s="645">
        <v>0</v>
      </c>
      <c r="AB402" s="645">
        <v>79.773094350274206</v>
      </c>
      <c r="AC402" s="645">
        <v>5.0087997966748192</v>
      </c>
      <c r="AD402" s="645">
        <v>73.574169013595338</v>
      </c>
      <c r="AE402" s="645">
        <v>57.347973175472191</v>
      </c>
      <c r="AF402" s="645">
        <v>103.02458403584798</v>
      </c>
      <c r="AG402" s="645">
        <v>7.0275496078674458</v>
      </c>
      <c r="AH402" s="645">
        <v>507.01391311627498</v>
      </c>
      <c r="AI402" s="645">
        <v>68.794771845590574</v>
      </c>
      <c r="AJ402" s="645">
        <v>13.478473773184128</v>
      </c>
      <c r="AK402" s="645">
        <v>1044.8463726379837</v>
      </c>
    </row>
    <row r="403" spans="3:37" x14ac:dyDescent="0.2">
      <c r="C403" s="639" t="s">
        <v>84</v>
      </c>
      <c r="D403" s="640">
        <v>0</v>
      </c>
      <c r="E403" s="640">
        <v>0</v>
      </c>
      <c r="F403" s="640">
        <v>106.83242416715484</v>
      </c>
      <c r="G403" s="640">
        <v>11.6186457489655</v>
      </c>
      <c r="H403" s="640">
        <v>0</v>
      </c>
      <c r="I403" s="640">
        <v>0</v>
      </c>
      <c r="J403" s="640">
        <v>0</v>
      </c>
      <c r="K403" s="640">
        <v>0</v>
      </c>
      <c r="L403" s="640">
        <v>0</v>
      </c>
      <c r="M403" s="640">
        <v>0</v>
      </c>
      <c r="N403" s="640">
        <v>0</v>
      </c>
      <c r="O403" s="640">
        <v>0</v>
      </c>
      <c r="P403" s="640">
        <v>0</v>
      </c>
      <c r="Q403" s="640">
        <v>0</v>
      </c>
      <c r="R403" s="640">
        <v>2.4159251561316859</v>
      </c>
      <c r="S403" s="648">
        <v>120.86699507225204</v>
      </c>
      <c r="U403" s="639" t="s">
        <v>84</v>
      </c>
      <c r="V403" s="640">
        <v>0</v>
      </c>
      <c r="W403" s="640">
        <v>0</v>
      </c>
      <c r="X403" s="640">
        <v>75.791608178670685</v>
      </c>
      <c r="Y403" s="640">
        <v>0.94004440148578539</v>
      </c>
      <c r="Z403" s="640">
        <v>0</v>
      </c>
      <c r="AA403" s="640">
        <v>0</v>
      </c>
      <c r="AB403" s="640">
        <v>0</v>
      </c>
      <c r="AC403" s="640">
        <v>0</v>
      </c>
      <c r="AD403" s="640">
        <v>21.99170920776367</v>
      </c>
      <c r="AE403" s="640">
        <v>0</v>
      </c>
      <c r="AF403" s="640">
        <v>0</v>
      </c>
      <c r="AG403" s="640">
        <v>0</v>
      </c>
      <c r="AH403" s="640">
        <v>0</v>
      </c>
      <c r="AI403" s="640">
        <v>0</v>
      </c>
      <c r="AJ403" s="640">
        <v>14.689922984619141</v>
      </c>
      <c r="AK403" s="648">
        <v>113.41328477253928</v>
      </c>
    </row>
    <row r="404" spans="3:37" x14ac:dyDescent="0.2">
      <c r="C404" s="644" t="s">
        <v>85</v>
      </c>
      <c r="D404" s="645">
        <v>4.9901668745901624</v>
      </c>
      <c r="E404" s="645">
        <v>0</v>
      </c>
      <c r="F404" s="645">
        <v>409.15632330599311</v>
      </c>
      <c r="G404" s="645">
        <v>282.17101066703543</v>
      </c>
      <c r="H404" s="645">
        <v>0</v>
      </c>
      <c r="I404" s="645">
        <v>0</v>
      </c>
      <c r="J404" s="645">
        <v>116.66807808287251</v>
      </c>
      <c r="K404" s="645">
        <v>1.7728349726366477</v>
      </c>
      <c r="L404" s="645">
        <v>26.788737867246695</v>
      </c>
      <c r="M404" s="645">
        <v>5.5399541720294136</v>
      </c>
      <c r="N404" s="645">
        <v>65.898689554178929</v>
      </c>
      <c r="O404" s="645">
        <v>2.8488909693950797</v>
      </c>
      <c r="P404" s="645">
        <v>517.78670767554593</v>
      </c>
      <c r="Q404" s="645">
        <v>34.989958988562719</v>
      </c>
      <c r="R404" s="645">
        <v>5.0795433673621861</v>
      </c>
      <c r="S404" s="645">
        <v>1473.6908964974484</v>
      </c>
      <c r="U404" s="644" t="s">
        <v>85</v>
      </c>
      <c r="V404" s="645">
        <v>1.2150050536449819</v>
      </c>
      <c r="W404" s="645">
        <v>0</v>
      </c>
      <c r="X404" s="645">
        <v>125.31349781277912</v>
      </c>
      <c r="Y404" s="645">
        <v>80.006193636934256</v>
      </c>
      <c r="Z404" s="645">
        <v>0</v>
      </c>
      <c r="AA404" s="645">
        <v>0</v>
      </c>
      <c r="AB404" s="645">
        <v>79.773094350274206</v>
      </c>
      <c r="AC404" s="645">
        <v>5.0087997966748192</v>
      </c>
      <c r="AD404" s="645">
        <v>95.565878221359014</v>
      </c>
      <c r="AE404" s="645">
        <v>57.347973175472191</v>
      </c>
      <c r="AF404" s="645">
        <v>103.02458403584798</v>
      </c>
      <c r="AG404" s="645">
        <v>7.0275496078674458</v>
      </c>
      <c r="AH404" s="645">
        <v>507.01391311627498</v>
      </c>
      <c r="AI404" s="645">
        <v>68.794771845590574</v>
      </c>
      <c r="AJ404" s="645">
        <v>28.168396757803269</v>
      </c>
      <c r="AK404" s="645">
        <v>1158.2596574105228</v>
      </c>
    </row>
    <row r="405" spans="3:37" x14ac:dyDescent="0.2">
      <c r="C405" s="634"/>
      <c r="D405" s="634"/>
      <c r="E405" s="634"/>
      <c r="F405" s="634"/>
      <c r="G405" s="634"/>
      <c r="H405" s="634"/>
      <c r="I405" s="634"/>
      <c r="J405" s="634"/>
      <c r="K405" s="634"/>
      <c r="L405" s="634"/>
      <c r="M405" s="634"/>
      <c r="N405" s="634"/>
      <c r="O405" s="634"/>
      <c r="P405" s="634"/>
      <c r="Q405" s="634"/>
      <c r="R405" s="634"/>
      <c r="S405" s="634"/>
      <c r="U405" s="634"/>
      <c r="V405" s="634"/>
      <c r="W405" s="634"/>
      <c r="X405" s="634"/>
      <c r="Y405" s="634"/>
      <c r="Z405" s="634"/>
      <c r="AA405" s="634"/>
      <c r="AB405" s="634"/>
      <c r="AC405" s="634"/>
      <c r="AD405" s="634"/>
      <c r="AE405" s="634"/>
      <c r="AF405" s="634"/>
      <c r="AG405" s="634"/>
      <c r="AH405" s="634"/>
      <c r="AI405" s="634"/>
      <c r="AJ405" s="634"/>
      <c r="AK405" s="634"/>
    </row>
    <row r="406" spans="3:37" ht="22.5" x14ac:dyDescent="0.3">
      <c r="C406" s="759" t="s">
        <v>361</v>
      </c>
      <c r="D406" s="759"/>
      <c r="E406" s="759"/>
      <c r="F406" s="759"/>
      <c r="G406" s="759"/>
      <c r="H406" s="759"/>
      <c r="I406" s="759"/>
      <c r="J406" s="759"/>
      <c r="K406" s="759"/>
      <c r="L406" s="759"/>
      <c r="M406" s="759"/>
      <c r="N406" s="759"/>
      <c r="O406" s="759"/>
      <c r="P406" s="759"/>
      <c r="Q406" s="759"/>
      <c r="R406" s="759"/>
      <c r="S406" s="759"/>
      <c r="U406" s="759" t="s">
        <v>361</v>
      </c>
      <c r="V406" s="759"/>
      <c r="W406" s="759"/>
      <c r="X406" s="759"/>
      <c r="Y406" s="759"/>
      <c r="Z406" s="759"/>
      <c r="AA406" s="759"/>
      <c r="AB406" s="759"/>
      <c r="AC406" s="759"/>
      <c r="AD406" s="759"/>
      <c r="AE406" s="759"/>
      <c r="AF406" s="759"/>
      <c r="AG406" s="759"/>
      <c r="AH406" s="759"/>
      <c r="AI406" s="759"/>
      <c r="AJ406" s="759"/>
      <c r="AK406" s="759"/>
    </row>
    <row r="407" spans="3:37" x14ac:dyDescent="0.2">
      <c r="C407" s="634"/>
      <c r="D407" s="634"/>
      <c r="E407" s="634"/>
      <c r="F407" s="634"/>
      <c r="G407" s="634"/>
      <c r="H407" s="634"/>
      <c r="I407" s="634"/>
      <c r="J407" s="634"/>
      <c r="K407" s="634"/>
      <c r="L407" s="634"/>
      <c r="M407" s="634"/>
      <c r="N407" s="634"/>
      <c r="O407" s="634"/>
      <c r="P407" s="634"/>
      <c r="Q407" s="634"/>
      <c r="R407" s="634"/>
      <c r="S407" s="634"/>
      <c r="U407" s="634"/>
      <c r="V407" s="634"/>
      <c r="W407" s="634"/>
      <c r="X407" s="634"/>
      <c r="Y407" s="634"/>
      <c r="Z407" s="634"/>
      <c r="AA407" s="634"/>
      <c r="AB407" s="634"/>
      <c r="AC407" s="634"/>
      <c r="AD407" s="634"/>
      <c r="AE407" s="634"/>
      <c r="AF407" s="634"/>
      <c r="AG407" s="634"/>
      <c r="AH407" s="634"/>
      <c r="AI407" s="634"/>
      <c r="AJ407" s="634"/>
      <c r="AK407" s="634"/>
    </row>
    <row r="408" spans="3:37" ht="12.95" customHeight="1" x14ac:dyDescent="0.2">
      <c r="C408" s="758" t="s">
        <v>128</v>
      </c>
      <c r="D408" s="757" t="s">
        <v>42</v>
      </c>
      <c r="E408" s="757" t="s">
        <v>52</v>
      </c>
      <c r="F408" s="757" t="s">
        <v>53</v>
      </c>
      <c r="G408" s="757" t="s">
        <v>32</v>
      </c>
      <c r="H408" s="757" t="s">
        <v>20</v>
      </c>
      <c r="I408" s="757" t="s">
        <v>55</v>
      </c>
      <c r="J408" s="757" t="s">
        <v>56</v>
      </c>
      <c r="K408" s="757"/>
      <c r="L408" s="757"/>
      <c r="M408" s="757"/>
      <c r="N408" s="757"/>
      <c r="O408" s="757"/>
      <c r="P408" s="757" t="s">
        <v>57</v>
      </c>
      <c r="Q408" s="757" t="s">
        <v>58</v>
      </c>
      <c r="R408" s="757" t="s">
        <v>31</v>
      </c>
      <c r="S408" s="757" t="s">
        <v>10</v>
      </c>
      <c r="U408" s="758" t="s">
        <v>128</v>
      </c>
      <c r="V408" s="757" t="s">
        <v>42</v>
      </c>
      <c r="W408" s="757" t="s">
        <v>52</v>
      </c>
      <c r="X408" s="757" t="s">
        <v>53</v>
      </c>
      <c r="Y408" s="757" t="s">
        <v>32</v>
      </c>
      <c r="Z408" s="757" t="s">
        <v>20</v>
      </c>
      <c r="AA408" s="757" t="s">
        <v>55</v>
      </c>
      <c r="AB408" s="757" t="s">
        <v>56</v>
      </c>
      <c r="AC408" s="757"/>
      <c r="AD408" s="757"/>
      <c r="AE408" s="757"/>
      <c r="AF408" s="757"/>
      <c r="AG408" s="757"/>
      <c r="AH408" s="757" t="s">
        <v>57</v>
      </c>
      <c r="AI408" s="757" t="s">
        <v>58</v>
      </c>
      <c r="AJ408" s="757" t="s">
        <v>31</v>
      </c>
      <c r="AK408" s="757" t="s">
        <v>10</v>
      </c>
    </row>
    <row r="409" spans="3:37" ht="56.25" x14ac:dyDescent="0.2">
      <c r="C409" s="758"/>
      <c r="D409" s="757"/>
      <c r="E409" s="757"/>
      <c r="F409" s="757"/>
      <c r="G409" s="757"/>
      <c r="H409" s="757"/>
      <c r="I409" s="757"/>
      <c r="J409" s="638" t="s">
        <v>335</v>
      </c>
      <c r="K409" s="638" t="s">
        <v>40</v>
      </c>
      <c r="L409" s="638" t="s">
        <v>343</v>
      </c>
      <c r="M409" s="638" t="s">
        <v>344</v>
      </c>
      <c r="N409" s="638" t="s">
        <v>345</v>
      </c>
      <c r="O409" s="638" t="s">
        <v>346</v>
      </c>
      <c r="P409" s="757"/>
      <c r="Q409" s="757"/>
      <c r="R409" s="757"/>
      <c r="S409" s="757"/>
      <c r="U409" s="758"/>
      <c r="V409" s="757"/>
      <c r="W409" s="757"/>
      <c r="X409" s="757"/>
      <c r="Y409" s="757"/>
      <c r="Z409" s="757"/>
      <c r="AA409" s="757"/>
      <c r="AB409" s="638" t="s">
        <v>335</v>
      </c>
      <c r="AC409" s="638" t="s">
        <v>40</v>
      </c>
      <c r="AD409" s="638" t="s">
        <v>343</v>
      </c>
      <c r="AE409" s="638" t="s">
        <v>344</v>
      </c>
      <c r="AF409" s="638" t="s">
        <v>345</v>
      </c>
      <c r="AG409" s="638" t="s">
        <v>346</v>
      </c>
      <c r="AH409" s="757"/>
      <c r="AI409" s="757"/>
      <c r="AJ409" s="757"/>
      <c r="AK409" s="757"/>
    </row>
    <row r="410" spans="3:37" x14ac:dyDescent="0.2">
      <c r="C410" s="639" t="s">
        <v>59</v>
      </c>
      <c r="D410" s="640">
        <v>0</v>
      </c>
      <c r="E410" s="641">
        <v>0</v>
      </c>
      <c r="F410" s="641">
        <v>0</v>
      </c>
      <c r="G410" s="640">
        <v>0</v>
      </c>
      <c r="H410" s="641">
        <v>843.18181818181824</v>
      </c>
      <c r="I410" s="641">
        <v>306.94588327561422</v>
      </c>
      <c r="J410" s="641">
        <v>187.92158364867245</v>
      </c>
      <c r="K410" s="641">
        <v>20.316638839186872</v>
      </c>
      <c r="L410" s="641">
        <v>0.58650482505924006</v>
      </c>
      <c r="M410" s="641">
        <v>0.15964026893196048</v>
      </c>
      <c r="N410" s="641">
        <v>67.964408038916218</v>
      </c>
      <c r="O410" s="641">
        <v>11.973026235836867</v>
      </c>
      <c r="P410" s="642">
        <v>0</v>
      </c>
      <c r="Q410" s="641">
        <v>0</v>
      </c>
      <c r="R410" s="641">
        <v>0</v>
      </c>
      <c r="S410" s="643">
        <v>1439.0495033140362</v>
      </c>
      <c r="U410" s="639" t="s">
        <v>59</v>
      </c>
      <c r="V410" s="640">
        <v>0</v>
      </c>
      <c r="W410" s="641">
        <v>0</v>
      </c>
      <c r="X410" s="641">
        <v>0</v>
      </c>
      <c r="Y410" s="640">
        <v>0</v>
      </c>
      <c r="Z410" s="641">
        <v>842.12121212121212</v>
      </c>
      <c r="AA410" s="641">
        <v>361.66588327561419</v>
      </c>
      <c r="AB410" s="641">
        <v>209.7499476733077</v>
      </c>
      <c r="AC410" s="641">
        <v>36.742499370225779</v>
      </c>
      <c r="AD410" s="641">
        <v>0.58650482505924006</v>
      </c>
      <c r="AE410" s="641">
        <v>0.15964026893196048</v>
      </c>
      <c r="AF410" s="641">
        <v>109.8518848230913</v>
      </c>
      <c r="AG410" s="641">
        <v>27.041217028647232</v>
      </c>
      <c r="AH410" s="642">
        <v>0</v>
      </c>
      <c r="AI410" s="641">
        <v>0</v>
      </c>
      <c r="AJ410" s="641">
        <v>0</v>
      </c>
      <c r="AK410" s="643">
        <v>1587.9187893860897</v>
      </c>
    </row>
    <row r="411" spans="3:37" x14ac:dyDescent="0.2">
      <c r="C411" s="639" t="s">
        <v>60</v>
      </c>
      <c r="D411" s="640">
        <v>47.14481987923083</v>
      </c>
      <c r="E411" s="641">
        <v>484.495467583368</v>
      </c>
      <c r="F411" s="641">
        <v>50.019697053221719</v>
      </c>
      <c r="G411" s="640">
        <v>326.09010493911637</v>
      </c>
      <c r="H411" s="641">
        <v>0</v>
      </c>
      <c r="I411" s="641">
        <v>0</v>
      </c>
      <c r="J411" s="641">
        <v>5.0764589906360387</v>
      </c>
      <c r="K411" s="641">
        <v>0</v>
      </c>
      <c r="L411" s="641">
        <v>2.7571319279134792</v>
      </c>
      <c r="M411" s="641">
        <v>0</v>
      </c>
      <c r="N411" s="641">
        <v>0</v>
      </c>
      <c r="O411" s="641">
        <v>0</v>
      </c>
      <c r="P411" s="642">
        <v>0</v>
      </c>
      <c r="Q411" s="641">
        <v>0</v>
      </c>
      <c r="R411" s="641">
        <v>0</v>
      </c>
      <c r="S411" s="643">
        <v>915.58368037348657</v>
      </c>
      <c r="U411" s="639" t="s">
        <v>60</v>
      </c>
      <c r="V411" s="640">
        <v>5.8768320762591904</v>
      </c>
      <c r="W411" s="641">
        <v>189.94114801549574</v>
      </c>
      <c r="X411" s="641">
        <v>14.41607041492888</v>
      </c>
      <c r="Y411" s="640">
        <v>81.728531694283333</v>
      </c>
      <c r="Z411" s="641">
        <v>0</v>
      </c>
      <c r="AA411" s="641">
        <v>0</v>
      </c>
      <c r="AB411" s="641">
        <v>5.0764589906360387</v>
      </c>
      <c r="AC411" s="641">
        <v>0</v>
      </c>
      <c r="AD411" s="641">
        <v>2.7571319279134792</v>
      </c>
      <c r="AE411" s="641">
        <v>0</v>
      </c>
      <c r="AF411" s="641">
        <v>0</v>
      </c>
      <c r="AG411" s="641">
        <v>0</v>
      </c>
      <c r="AH411" s="642">
        <v>0</v>
      </c>
      <c r="AI411" s="641">
        <v>0</v>
      </c>
      <c r="AJ411" s="641">
        <v>0</v>
      </c>
      <c r="AK411" s="643">
        <v>299.79617311951665</v>
      </c>
    </row>
    <row r="412" spans="3:37" x14ac:dyDescent="0.2">
      <c r="C412" s="639" t="s">
        <v>61</v>
      </c>
      <c r="D412" s="640">
        <v>0</v>
      </c>
      <c r="E412" s="641">
        <v>0</v>
      </c>
      <c r="F412" s="641">
        <v>0</v>
      </c>
      <c r="G412" s="640">
        <v>0</v>
      </c>
      <c r="H412" s="641">
        <v>0</v>
      </c>
      <c r="I412" s="641">
        <v>0</v>
      </c>
      <c r="J412" s="641">
        <v>0</v>
      </c>
      <c r="K412" s="641">
        <v>0</v>
      </c>
      <c r="L412" s="641">
        <v>0</v>
      </c>
      <c r="M412" s="641">
        <v>0</v>
      </c>
      <c r="N412" s="641">
        <v>0</v>
      </c>
      <c r="O412" s="641">
        <v>0</v>
      </c>
      <c r="P412" s="642">
        <v>-16.706363002811486</v>
      </c>
      <c r="Q412" s="641">
        <v>0</v>
      </c>
      <c r="R412" s="641">
        <v>0</v>
      </c>
      <c r="S412" s="643">
        <v>-16.706363002811486</v>
      </c>
      <c r="U412" s="639" t="s">
        <v>61</v>
      </c>
      <c r="V412" s="640">
        <v>0</v>
      </c>
      <c r="W412" s="641">
        <v>0</v>
      </c>
      <c r="X412" s="641">
        <v>-18.378136852904419</v>
      </c>
      <c r="Y412" s="640">
        <v>0</v>
      </c>
      <c r="Z412" s="641">
        <v>0</v>
      </c>
      <c r="AA412" s="641">
        <v>0</v>
      </c>
      <c r="AB412" s="641">
        <v>0</v>
      </c>
      <c r="AC412" s="641">
        <v>0</v>
      </c>
      <c r="AD412" s="641">
        <v>0</v>
      </c>
      <c r="AE412" s="641">
        <v>0</v>
      </c>
      <c r="AF412" s="641">
        <v>0</v>
      </c>
      <c r="AG412" s="641">
        <v>0</v>
      </c>
      <c r="AH412" s="642">
        <v>-20.522831714543145</v>
      </c>
      <c r="AI412" s="641">
        <v>0</v>
      </c>
      <c r="AJ412" s="641">
        <v>0</v>
      </c>
      <c r="AK412" s="643">
        <v>-38.900968567447563</v>
      </c>
    </row>
    <row r="413" spans="3:37" x14ac:dyDescent="0.2">
      <c r="C413" s="639" t="s">
        <v>62</v>
      </c>
      <c r="D413" s="640">
        <v>0</v>
      </c>
      <c r="E413" s="641">
        <v>0</v>
      </c>
      <c r="F413" s="641">
        <v>-15.257294848391862</v>
      </c>
      <c r="G413" s="640">
        <v>0</v>
      </c>
      <c r="H413" s="641">
        <v>0</v>
      </c>
      <c r="I413" s="641">
        <v>0</v>
      </c>
      <c r="J413" s="641">
        <v>0</v>
      </c>
      <c r="K413" s="641">
        <v>0</v>
      </c>
      <c r="L413" s="641">
        <v>0</v>
      </c>
      <c r="M413" s="641">
        <v>0</v>
      </c>
      <c r="N413" s="641">
        <v>0</v>
      </c>
      <c r="O413" s="641">
        <v>0</v>
      </c>
      <c r="P413" s="642">
        <v>0</v>
      </c>
      <c r="Q413" s="641">
        <v>0</v>
      </c>
      <c r="R413" s="641">
        <v>0</v>
      </c>
      <c r="S413" s="643">
        <v>-15.257294848391862</v>
      </c>
      <c r="U413" s="639" t="s">
        <v>62</v>
      </c>
      <c r="V413" s="640">
        <v>0</v>
      </c>
      <c r="W413" s="641">
        <v>0</v>
      </c>
      <c r="X413" s="641">
        <v>-7.5188933675233587</v>
      </c>
      <c r="Y413" s="640">
        <v>-2.1851276585702322</v>
      </c>
      <c r="Z413" s="641">
        <v>0</v>
      </c>
      <c r="AA413" s="641">
        <v>0</v>
      </c>
      <c r="AB413" s="641">
        <v>0</v>
      </c>
      <c r="AC413" s="641">
        <v>0</v>
      </c>
      <c r="AD413" s="641">
        <v>0</v>
      </c>
      <c r="AE413" s="641">
        <v>-2.1851276585702322</v>
      </c>
      <c r="AF413" s="641">
        <v>0</v>
      </c>
      <c r="AG413" s="641">
        <v>0</v>
      </c>
      <c r="AH413" s="642">
        <v>0</v>
      </c>
      <c r="AI413" s="641">
        <v>0</v>
      </c>
      <c r="AJ413" s="641">
        <v>0</v>
      </c>
      <c r="AK413" s="643">
        <v>-11.889148684663823</v>
      </c>
    </row>
    <row r="414" spans="3:37" x14ac:dyDescent="0.2">
      <c r="C414" s="639" t="s">
        <v>63</v>
      </c>
      <c r="D414" s="640">
        <v>0</v>
      </c>
      <c r="E414" s="641">
        <v>0</v>
      </c>
      <c r="F414" s="641">
        <v>-90.982589622358091</v>
      </c>
      <c r="G414" s="640">
        <v>0</v>
      </c>
      <c r="H414" s="641">
        <v>0</v>
      </c>
      <c r="I414" s="641">
        <v>0</v>
      </c>
      <c r="J414" s="641">
        <v>0</v>
      </c>
      <c r="K414" s="641">
        <v>0</v>
      </c>
      <c r="L414" s="641">
        <v>-0.93561585486744514</v>
      </c>
      <c r="M414" s="641">
        <v>0</v>
      </c>
      <c r="N414" s="641">
        <v>0</v>
      </c>
      <c r="O414" s="641">
        <v>0</v>
      </c>
      <c r="P414" s="642">
        <v>0</v>
      </c>
      <c r="Q414" s="641">
        <v>0</v>
      </c>
      <c r="R414" s="641">
        <v>0</v>
      </c>
      <c r="S414" s="643">
        <v>-91.918205477225541</v>
      </c>
      <c r="U414" s="639" t="s">
        <v>63</v>
      </c>
      <c r="V414" s="640">
        <v>0</v>
      </c>
      <c r="W414" s="641">
        <v>0</v>
      </c>
      <c r="X414" s="641">
        <v>-53.656928796434556</v>
      </c>
      <c r="Y414" s="640">
        <v>0</v>
      </c>
      <c r="Z414" s="641">
        <v>0</v>
      </c>
      <c r="AA414" s="641">
        <v>0</v>
      </c>
      <c r="AB414" s="641">
        <v>0</v>
      </c>
      <c r="AC414" s="641">
        <v>0</v>
      </c>
      <c r="AD414" s="641">
        <v>-28.297456853591466</v>
      </c>
      <c r="AE414" s="641">
        <v>0</v>
      </c>
      <c r="AF414" s="641">
        <v>0</v>
      </c>
      <c r="AG414" s="641">
        <v>0</v>
      </c>
      <c r="AH414" s="642">
        <v>0</v>
      </c>
      <c r="AI414" s="641">
        <v>0</v>
      </c>
      <c r="AJ414" s="641">
        <v>0</v>
      </c>
      <c r="AK414" s="643">
        <v>-81.954385650026026</v>
      </c>
    </row>
    <row r="415" spans="3:37" x14ac:dyDescent="0.2">
      <c r="C415" s="639" t="s">
        <v>64</v>
      </c>
      <c r="D415" s="640">
        <v>0</v>
      </c>
      <c r="E415" s="641">
        <v>0</v>
      </c>
      <c r="F415" s="641">
        <v>0</v>
      </c>
      <c r="G415" s="640">
        <v>0</v>
      </c>
      <c r="H415" s="641">
        <v>0</v>
      </c>
      <c r="I415" s="641">
        <v>0</v>
      </c>
      <c r="J415" s="641">
        <v>0</v>
      </c>
      <c r="K415" s="641">
        <v>0</v>
      </c>
      <c r="L415" s="641">
        <v>0</v>
      </c>
      <c r="M415" s="641">
        <v>0</v>
      </c>
      <c r="N415" s="641">
        <v>0</v>
      </c>
      <c r="O415" s="641">
        <v>0</v>
      </c>
      <c r="P415" s="642">
        <v>0</v>
      </c>
      <c r="Q415" s="641">
        <v>0</v>
      </c>
      <c r="R415" s="641">
        <v>0</v>
      </c>
      <c r="S415" s="643">
        <v>0</v>
      </c>
      <c r="U415" s="639" t="s">
        <v>64</v>
      </c>
      <c r="V415" s="640">
        <v>0</v>
      </c>
      <c r="W415" s="641">
        <v>0</v>
      </c>
      <c r="X415" s="641">
        <v>0</v>
      </c>
      <c r="Y415" s="640">
        <v>0</v>
      </c>
      <c r="Z415" s="641">
        <v>0</v>
      </c>
      <c r="AA415" s="641">
        <v>0</v>
      </c>
      <c r="AB415" s="641">
        <v>0</v>
      </c>
      <c r="AC415" s="641">
        <v>0</v>
      </c>
      <c r="AD415" s="641">
        <v>0</v>
      </c>
      <c r="AE415" s="641">
        <v>0</v>
      </c>
      <c r="AF415" s="641">
        <v>0</v>
      </c>
      <c r="AG415" s="641">
        <v>0</v>
      </c>
      <c r="AH415" s="642">
        <v>0</v>
      </c>
      <c r="AI415" s="641">
        <v>0</v>
      </c>
      <c r="AJ415" s="641">
        <v>0</v>
      </c>
      <c r="AK415" s="643">
        <v>0</v>
      </c>
    </row>
    <row r="416" spans="3:37" x14ac:dyDescent="0.2">
      <c r="C416" s="644" t="s">
        <v>65</v>
      </c>
      <c r="D416" s="645">
        <v>47.14481987923083</v>
      </c>
      <c r="E416" s="645">
        <v>484.495467583368</v>
      </c>
      <c r="F416" s="645">
        <v>-56.220187417528237</v>
      </c>
      <c r="G416" s="645">
        <v>326.09010493911637</v>
      </c>
      <c r="H416" s="645">
        <v>843.18181818181824</v>
      </c>
      <c r="I416" s="645">
        <v>306.94588327561422</v>
      </c>
      <c r="J416" s="645">
        <v>192.99804263930849</v>
      </c>
      <c r="K416" s="645">
        <v>20.316638839186872</v>
      </c>
      <c r="L416" s="645">
        <v>2.4080208981052738</v>
      </c>
      <c r="M416" s="645">
        <v>0.15964026893196048</v>
      </c>
      <c r="N416" s="645">
        <v>67.964408038916218</v>
      </c>
      <c r="O416" s="645">
        <v>11.973026235836867</v>
      </c>
      <c r="P416" s="645">
        <v>-16.706363002811486</v>
      </c>
      <c r="Q416" s="645">
        <v>0</v>
      </c>
      <c r="R416" s="645">
        <v>0</v>
      </c>
      <c r="S416" s="645">
        <v>2230.7513203590943</v>
      </c>
      <c r="U416" s="644" t="s">
        <v>65</v>
      </c>
      <c r="V416" s="645">
        <v>5.8768320762591904</v>
      </c>
      <c r="W416" s="645">
        <v>189.94114801549574</v>
      </c>
      <c r="X416" s="645">
        <v>-65.137888601933454</v>
      </c>
      <c r="Y416" s="645">
        <v>79.543404035713095</v>
      </c>
      <c r="Z416" s="645">
        <v>842.12121212121212</v>
      </c>
      <c r="AA416" s="645">
        <v>361.66588327561419</v>
      </c>
      <c r="AB416" s="645">
        <v>214.82640666394374</v>
      </c>
      <c r="AC416" s="645">
        <v>36.742499370225779</v>
      </c>
      <c r="AD416" s="645">
        <v>-24.953820100618749</v>
      </c>
      <c r="AE416" s="645">
        <v>-2.0254873896382719</v>
      </c>
      <c r="AF416" s="645">
        <v>109.8518848230913</v>
      </c>
      <c r="AG416" s="645">
        <v>27.041217028647232</v>
      </c>
      <c r="AH416" s="645">
        <v>-20.522831714543145</v>
      </c>
      <c r="AI416" s="645">
        <v>0</v>
      </c>
      <c r="AJ416" s="645">
        <v>0</v>
      </c>
      <c r="AK416" s="645">
        <v>1754.970459603469</v>
      </c>
    </row>
    <row r="417" spans="3:37" x14ac:dyDescent="0.2">
      <c r="C417" s="634"/>
      <c r="D417" s="634">
        <v>0</v>
      </c>
      <c r="E417" s="634">
        <v>0</v>
      </c>
      <c r="F417" s="634">
        <v>0</v>
      </c>
      <c r="G417" s="634">
        <v>0</v>
      </c>
      <c r="H417" s="634">
        <v>0</v>
      </c>
      <c r="I417" s="634">
        <v>0</v>
      </c>
      <c r="J417" s="634">
        <v>0</v>
      </c>
      <c r="K417" s="634">
        <v>0</v>
      </c>
      <c r="L417" s="634">
        <v>0</v>
      </c>
      <c r="M417" s="634">
        <v>0</v>
      </c>
      <c r="N417" s="634">
        <v>0</v>
      </c>
      <c r="O417" s="634">
        <v>0</v>
      </c>
      <c r="P417" s="634">
        <v>0</v>
      </c>
      <c r="Q417" s="634">
        <v>0</v>
      </c>
      <c r="R417" s="634">
        <v>0</v>
      </c>
      <c r="S417" s="634">
        <v>0</v>
      </c>
      <c r="U417" s="634"/>
      <c r="V417" s="634">
        <v>0</v>
      </c>
      <c r="W417" s="634">
        <v>0</v>
      </c>
      <c r="X417" s="634">
        <v>0</v>
      </c>
      <c r="Y417" s="634">
        <v>0</v>
      </c>
      <c r="Z417" s="634">
        <v>0</v>
      </c>
      <c r="AA417" s="634">
        <v>0</v>
      </c>
      <c r="AB417" s="634">
        <v>0</v>
      </c>
      <c r="AC417" s="634">
        <v>0</v>
      </c>
      <c r="AD417" s="634">
        <v>0</v>
      </c>
      <c r="AE417" s="634">
        <v>0</v>
      </c>
      <c r="AF417" s="634">
        <v>0</v>
      </c>
      <c r="AG417" s="634">
        <v>0</v>
      </c>
      <c r="AH417" s="634">
        <v>0</v>
      </c>
      <c r="AI417" s="634">
        <v>0</v>
      </c>
      <c r="AJ417" s="634">
        <v>0</v>
      </c>
      <c r="AK417" s="634">
        <v>0</v>
      </c>
    </row>
    <row r="418" spans="3:37" x14ac:dyDescent="0.2">
      <c r="C418" s="646" t="s">
        <v>67</v>
      </c>
      <c r="D418" s="640">
        <v>0</v>
      </c>
      <c r="E418" s="647">
        <v>0</v>
      </c>
      <c r="F418" s="647">
        <v>0</v>
      </c>
      <c r="G418" s="640">
        <v>0</v>
      </c>
      <c r="H418" s="640">
        <v>0</v>
      </c>
      <c r="I418" s="640">
        <v>0</v>
      </c>
      <c r="J418" s="640">
        <v>0</v>
      </c>
      <c r="K418" s="640">
        <v>0</v>
      </c>
      <c r="L418" s="640">
        <v>0</v>
      </c>
      <c r="M418" s="640">
        <v>0</v>
      </c>
      <c r="N418" s="640">
        <v>0</v>
      </c>
      <c r="O418" s="640">
        <v>0</v>
      </c>
      <c r="P418" s="640">
        <v>0</v>
      </c>
      <c r="Q418" s="640">
        <v>0</v>
      </c>
      <c r="R418" s="640">
        <v>0</v>
      </c>
      <c r="S418" s="648">
        <v>0</v>
      </c>
      <c r="U418" s="646" t="s">
        <v>67</v>
      </c>
      <c r="V418" s="640">
        <v>0</v>
      </c>
      <c r="W418" s="647">
        <v>0</v>
      </c>
      <c r="X418" s="647">
        <v>0</v>
      </c>
      <c r="Y418" s="640">
        <v>0</v>
      </c>
      <c r="Z418" s="640">
        <v>0</v>
      </c>
      <c r="AA418" s="640">
        <v>0</v>
      </c>
      <c r="AB418" s="640">
        <v>0</v>
      </c>
      <c r="AC418" s="640">
        <v>0</v>
      </c>
      <c r="AD418" s="640">
        <v>0</v>
      </c>
      <c r="AE418" s="640">
        <v>0</v>
      </c>
      <c r="AF418" s="640">
        <v>0</v>
      </c>
      <c r="AG418" s="640">
        <v>0</v>
      </c>
      <c r="AH418" s="640">
        <v>0</v>
      </c>
      <c r="AI418" s="640">
        <v>0</v>
      </c>
      <c r="AJ418" s="640">
        <v>0</v>
      </c>
      <c r="AK418" s="648">
        <v>0</v>
      </c>
    </row>
    <row r="419" spans="3:37" x14ac:dyDescent="0.2">
      <c r="C419" s="646" t="s">
        <v>347</v>
      </c>
      <c r="D419" s="640">
        <v>2.8267856410252494</v>
      </c>
      <c r="E419" s="640">
        <v>0</v>
      </c>
      <c r="F419" s="640">
        <v>7.9230776783294274</v>
      </c>
      <c r="G419" s="640">
        <v>16.680851063829788</v>
      </c>
      <c r="H419" s="640">
        <v>843.18181818181824</v>
      </c>
      <c r="I419" s="640">
        <v>306.94588327561422</v>
      </c>
      <c r="J419" s="649">
        <v>28.98717588629853</v>
      </c>
      <c r="K419" s="649">
        <v>6.5903281241207718</v>
      </c>
      <c r="L419" s="649">
        <v>3.3436367529727189</v>
      </c>
      <c r="M419" s="649">
        <v>0.46654149749263618</v>
      </c>
      <c r="N419" s="649">
        <v>0</v>
      </c>
      <c r="O419" s="649">
        <v>7.0184114557160298</v>
      </c>
      <c r="P419" s="640">
        <v>-616.92993037811448</v>
      </c>
      <c r="Q419" s="640">
        <v>0</v>
      </c>
      <c r="R419" s="640">
        <v>0</v>
      </c>
      <c r="S419" s="648">
        <v>607.03457917910316</v>
      </c>
      <c r="U419" s="646" t="s">
        <v>347</v>
      </c>
      <c r="V419" s="640">
        <v>0.62631490545869017</v>
      </c>
      <c r="W419" s="640">
        <v>0</v>
      </c>
      <c r="X419" s="640">
        <v>4.0594413146930641</v>
      </c>
      <c r="Y419" s="640">
        <v>2.3404255319148937</v>
      </c>
      <c r="Z419" s="640">
        <v>842.12121212121212</v>
      </c>
      <c r="AA419" s="640">
        <v>361.66588327561419</v>
      </c>
      <c r="AB419" s="649">
        <v>23.182357378111952</v>
      </c>
      <c r="AC419" s="649">
        <v>5.3775678130216455</v>
      </c>
      <c r="AD419" s="649">
        <v>3.3436367529727189</v>
      </c>
      <c r="AE419" s="649">
        <v>2.4665414974926363</v>
      </c>
      <c r="AF419" s="649">
        <v>0</v>
      </c>
      <c r="AG419" s="649">
        <v>7.0184114557160298</v>
      </c>
      <c r="AH419" s="640">
        <v>-662.7499303781143</v>
      </c>
      <c r="AI419" s="640">
        <v>0</v>
      </c>
      <c r="AJ419" s="640">
        <v>4.25</v>
      </c>
      <c r="AK419" s="648">
        <v>593.70186166809344</v>
      </c>
    </row>
    <row r="420" spans="3:37" x14ac:dyDescent="0.2">
      <c r="C420" s="646" t="s">
        <v>348</v>
      </c>
      <c r="D420" s="640">
        <v>0</v>
      </c>
      <c r="E420" s="640">
        <v>0</v>
      </c>
      <c r="F420" s="640">
        <v>0</v>
      </c>
      <c r="G420" s="640">
        <v>14.843815057329421</v>
      </c>
      <c r="H420" s="640">
        <v>0</v>
      </c>
      <c r="I420" s="640">
        <v>0</v>
      </c>
      <c r="J420" s="649">
        <v>12.357161229114668</v>
      </c>
      <c r="K420" s="649">
        <v>11.882304060636951</v>
      </c>
      <c r="L420" s="649">
        <v>0</v>
      </c>
      <c r="M420" s="649">
        <v>0.31804644322561132</v>
      </c>
      <c r="N420" s="649">
        <v>0</v>
      </c>
      <c r="O420" s="649">
        <v>2.0992086164963606</v>
      </c>
      <c r="P420" s="640">
        <v>0</v>
      </c>
      <c r="Q420" s="640">
        <v>-37.805081951347923</v>
      </c>
      <c r="R420" s="640">
        <v>0</v>
      </c>
      <c r="S420" s="648">
        <v>3.6954534554550835</v>
      </c>
      <c r="U420" s="646" t="s">
        <v>348</v>
      </c>
      <c r="V420" s="640">
        <v>0</v>
      </c>
      <c r="W420" s="640">
        <v>0</v>
      </c>
      <c r="X420" s="640">
        <v>0</v>
      </c>
      <c r="Y420" s="640">
        <v>6.4668066457611202</v>
      </c>
      <c r="Z420" s="640">
        <v>0</v>
      </c>
      <c r="AA420" s="640">
        <v>0</v>
      </c>
      <c r="AB420" s="649">
        <v>28.361573193229066</v>
      </c>
      <c r="AC420" s="649">
        <v>26.076316433417247</v>
      </c>
      <c r="AD420" s="649">
        <v>0</v>
      </c>
      <c r="AE420" s="649">
        <v>6.4819180878167435</v>
      </c>
      <c r="AF420" s="649">
        <v>0</v>
      </c>
      <c r="AG420" s="649">
        <v>12.550380584079129</v>
      </c>
      <c r="AH420" s="640">
        <v>0</v>
      </c>
      <c r="AI420" s="640">
        <v>-74.043519390541746</v>
      </c>
      <c r="AJ420" s="640">
        <v>0</v>
      </c>
      <c r="AK420" s="648">
        <v>5.8934755537615651</v>
      </c>
    </row>
    <row r="421" spans="3:37" x14ac:dyDescent="0.2">
      <c r="C421" s="646" t="s">
        <v>349</v>
      </c>
      <c r="D421" s="640">
        <v>0</v>
      </c>
      <c r="E421" s="640">
        <v>0</v>
      </c>
      <c r="F421" s="640">
        <v>0</v>
      </c>
      <c r="G421" s="640">
        <v>0</v>
      </c>
      <c r="H421" s="640">
        <v>0</v>
      </c>
      <c r="I421" s="640">
        <v>0</v>
      </c>
      <c r="J421" s="650">
        <v>6.8755991242523775</v>
      </c>
      <c r="K421" s="650">
        <v>0</v>
      </c>
      <c r="L421" s="650">
        <v>0</v>
      </c>
      <c r="M421" s="650">
        <v>-6.4200906822706569</v>
      </c>
      <c r="N421" s="650">
        <v>0</v>
      </c>
      <c r="O421" s="650">
        <v>0</v>
      </c>
      <c r="P421" s="640">
        <v>0</v>
      </c>
      <c r="Q421" s="640">
        <v>0</v>
      </c>
      <c r="R421" s="640">
        <v>0</v>
      </c>
      <c r="S421" s="648">
        <v>0.45550844198172058</v>
      </c>
      <c r="U421" s="646" t="s">
        <v>349</v>
      </c>
      <c r="V421" s="640">
        <v>0</v>
      </c>
      <c r="W421" s="640">
        <v>0</v>
      </c>
      <c r="X421" s="640">
        <v>0</v>
      </c>
      <c r="Y421" s="640">
        <v>0</v>
      </c>
      <c r="Z421" s="640">
        <v>0</v>
      </c>
      <c r="AA421" s="640">
        <v>0</v>
      </c>
      <c r="AB421" s="650">
        <v>86.654179241552072</v>
      </c>
      <c r="AC421" s="650">
        <v>0</v>
      </c>
      <c r="AD421" s="650">
        <v>0</v>
      </c>
      <c r="AE421" s="650">
        <v>-80.913339866799248</v>
      </c>
      <c r="AF421" s="650">
        <v>0</v>
      </c>
      <c r="AG421" s="650">
        <v>0</v>
      </c>
      <c r="AH421" s="640">
        <v>0</v>
      </c>
      <c r="AI421" s="640">
        <v>0</v>
      </c>
      <c r="AJ421" s="640">
        <v>0</v>
      </c>
      <c r="AK421" s="648">
        <v>5.7408393747528237</v>
      </c>
    </row>
    <row r="422" spans="3:37" x14ac:dyDescent="0.2">
      <c r="C422" s="646" t="s">
        <v>350</v>
      </c>
      <c r="D422" s="640">
        <v>0</v>
      </c>
      <c r="E422" s="640">
        <v>0</v>
      </c>
      <c r="F422" s="640">
        <v>0</v>
      </c>
      <c r="G422" s="640">
        <v>0</v>
      </c>
      <c r="H422" s="640">
        <v>0</v>
      </c>
      <c r="I422" s="640">
        <v>0</v>
      </c>
      <c r="J422" s="640">
        <v>0</v>
      </c>
      <c r="K422" s="640">
        <v>0</v>
      </c>
      <c r="L422" s="640">
        <v>0</v>
      </c>
      <c r="M422" s="640">
        <v>0</v>
      </c>
      <c r="N422" s="640">
        <v>0</v>
      </c>
      <c r="O422" s="640">
        <v>0</v>
      </c>
      <c r="P422" s="640">
        <v>0</v>
      </c>
      <c r="Q422" s="640">
        <v>0</v>
      </c>
      <c r="R422" s="640">
        <v>0</v>
      </c>
      <c r="S422" s="648">
        <v>0</v>
      </c>
      <c r="U422" s="646" t="s">
        <v>350</v>
      </c>
      <c r="V422" s="640">
        <v>0</v>
      </c>
      <c r="W422" s="640">
        <v>0</v>
      </c>
      <c r="X422" s="640">
        <v>0</v>
      </c>
      <c r="Y422" s="640">
        <v>0</v>
      </c>
      <c r="Z422" s="640">
        <v>0</v>
      </c>
      <c r="AA422" s="640">
        <v>0</v>
      </c>
      <c r="AB422" s="640">
        <v>0</v>
      </c>
      <c r="AC422" s="640">
        <v>0</v>
      </c>
      <c r="AD422" s="640">
        <v>0</v>
      </c>
      <c r="AE422" s="640">
        <v>0</v>
      </c>
      <c r="AF422" s="640">
        <v>0</v>
      </c>
      <c r="AG422" s="640">
        <v>0</v>
      </c>
      <c r="AH422" s="640">
        <v>0</v>
      </c>
      <c r="AI422" s="640">
        <v>0</v>
      </c>
      <c r="AJ422" s="640">
        <v>0</v>
      </c>
      <c r="AK422" s="648">
        <v>0</v>
      </c>
    </row>
    <row r="423" spans="3:37" x14ac:dyDescent="0.2">
      <c r="C423" s="646" t="s">
        <v>72</v>
      </c>
      <c r="D423" s="640">
        <v>0</v>
      </c>
      <c r="E423" s="640">
        <v>501.8858109321676</v>
      </c>
      <c r="F423" s="640">
        <v>-496.86695282284592</v>
      </c>
      <c r="G423" s="640">
        <v>0</v>
      </c>
      <c r="H423" s="640">
        <v>0</v>
      </c>
      <c r="I423" s="640">
        <v>0</v>
      </c>
      <c r="J423" s="640">
        <v>0</v>
      </c>
      <c r="K423" s="640">
        <v>0</v>
      </c>
      <c r="L423" s="640">
        <v>0</v>
      </c>
      <c r="M423" s="640">
        <v>0</v>
      </c>
      <c r="N423" s="640">
        <v>0</v>
      </c>
      <c r="O423" s="640">
        <v>0</v>
      </c>
      <c r="P423" s="640">
        <v>0</v>
      </c>
      <c r="Q423" s="640">
        <v>0</v>
      </c>
      <c r="R423" s="640">
        <v>0</v>
      </c>
      <c r="S423" s="648">
        <v>5.018858109321684</v>
      </c>
      <c r="U423" s="646" t="s">
        <v>72</v>
      </c>
      <c r="V423" s="640">
        <v>0</v>
      </c>
      <c r="W423" s="640">
        <v>196.75884188687598</v>
      </c>
      <c r="X423" s="640">
        <v>-194.79125346800723</v>
      </c>
      <c r="Y423" s="640">
        <v>0</v>
      </c>
      <c r="Z423" s="640">
        <v>0</v>
      </c>
      <c r="AA423" s="640">
        <v>0</v>
      </c>
      <c r="AB423" s="640">
        <v>0</v>
      </c>
      <c r="AC423" s="640">
        <v>0</v>
      </c>
      <c r="AD423" s="640">
        <v>0</v>
      </c>
      <c r="AE423" s="640">
        <v>0</v>
      </c>
      <c r="AF423" s="640">
        <v>0</v>
      </c>
      <c r="AG423" s="640">
        <v>0</v>
      </c>
      <c r="AH423" s="640">
        <v>0</v>
      </c>
      <c r="AI423" s="640">
        <v>0</v>
      </c>
      <c r="AJ423" s="640">
        <v>0</v>
      </c>
      <c r="AK423" s="648">
        <v>1.9675884188687576</v>
      </c>
    </row>
    <row r="424" spans="3:37" x14ac:dyDescent="0.2">
      <c r="C424" s="646" t="s">
        <v>351</v>
      </c>
      <c r="D424" s="640">
        <v>0</v>
      </c>
      <c r="E424" s="640">
        <v>0</v>
      </c>
      <c r="F424" s="640">
        <v>0</v>
      </c>
      <c r="G424" s="640">
        <v>0</v>
      </c>
      <c r="H424" s="640">
        <v>0</v>
      </c>
      <c r="I424" s="640">
        <v>0</v>
      </c>
      <c r="J424" s="640">
        <v>26.867608526350821</v>
      </c>
      <c r="K424" s="640">
        <v>0</v>
      </c>
      <c r="L424" s="640">
        <v>-26.867608526350821</v>
      </c>
      <c r="M424" s="640">
        <v>0</v>
      </c>
      <c r="N424" s="640">
        <v>0</v>
      </c>
      <c r="O424" s="640">
        <v>0</v>
      </c>
      <c r="P424" s="640">
        <v>0</v>
      </c>
      <c r="Q424" s="640">
        <v>0</v>
      </c>
      <c r="R424" s="640">
        <v>0</v>
      </c>
      <c r="S424" s="648">
        <v>0</v>
      </c>
      <c r="U424" s="646" t="s">
        <v>351</v>
      </c>
      <c r="V424" s="640">
        <v>0</v>
      </c>
      <c r="W424" s="640">
        <v>0</v>
      </c>
      <c r="X424" s="640">
        <v>0</v>
      </c>
      <c r="Y424" s="640">
        <v>0</v>
      </c>
      <c r="Z424" s="640">
        <v>0</v>
      </c>
      <c r="AA424" s="640">
        <v>0</v>
      </c>
      <c r="AB424" s="640" t="e">
        <v>#VALUE!</v>
      </c>
      <c r="AC424" s="640">
        <v>0</v>
      </c>
      <c r="AD424" s="640">
        <v>-99.513749603669936</v>
      </c>
      <c r="AE424" s="640">
        <v>0</v>
      </c>
      <c r="AF424" s="640">
        <v>0</v>
      </c>
      <c r="AG424" s="640">
        <v>0</v>
      </c>
      <c r="AH424" s="640">
        <v>0</v>
      </c>
      <c r="AI424" s="640">
        <v>0</v>
      </c>
      <c r="AJ424" s="640">
        <v>0</v>
      </c>
      <c r="AK424" s="648">
        <v>-99.513749603669936</v>
      </c>
    </row>
    <row r="425" spans="3:37" x14ac:dyDescent="0.2">
      <c r="C425" s="646" t="s">
        <v>352</v>
      </c>
      <c r="D425" s="640">
        <v>0</v>
      </c>
      <c r="E425" s="640">
        <v>0</v>
      </c>
      <c r="F425" s="640">
        <v>0</v>
      </c>
      <c r="G425" s="640">
        <v>0</v>
      </c>
      <c r="H425" s="640">
        <v>0</v>
      </c>
      <c r="I425" s="640">
        <v>0</v>
      </c>
      <c r="J425" s="640">
        <v>0</v>
      </c>
      <c r="K425" s="640">
        <v>0</v>
      </c>
      <c r="L425" s="640">
        <v>0</v>
      </c>
      <c r="M425" s="640">
        <v>0</v>
      </c>
      <c r="N425" s="640">
        <v>0</v>
      </c>
      <c r="O425" s="640">
        <v>0</v>
      </c>
      <c r="P425" s="640">
        <v>0</v>
      </c>
      <c r="Q425" s="640">
        <v>0</v>
      </c>
      <c r="R425" s="640">
        <v>0</v>
      </c>
      <c r="S425" s="648">
        <v>0</v>
      </c>
      <c r="U425" s="646" t="s">
        <v>352</v>
      </c>
      <c r="V425" s="640">
        <v>0</v>
      </c>
      <c r="W425" s="640">
        <v>0</v>
      </c>
      <c r="X425" s="640">
        <v>0</v>
      </c>
      <c r="Y425" s="640">
        <v>0</v>
      </c>
      <c r="Z425" s="640">
        <v>0</v>
      </c>
      <c r="AA425" s="640">
        <v>0</v>
      </c>
      <c r="AB425" s="640">
        <v>0</v>
      </c>
      <c r="AC425" s="640">
        <v>0</v>
      </c>
      <c r="AD425" s="640">
        <v>-17.985934640167208</v>
      </c>
      <c r="AE425" s="640">
        <v>0</v>
      </c>
      <c r="AF425" s="640">
        <v>0</v>
      </c>
      <c r="AG425" s="640">
        <v>0</v>
      </c>
      <c r="AH425" s="640">
        <v>0</v>
      </c>
      <c r="AI425" s="640">
        <v>0</v>
      </c>
      <c r="AJ425" s="640">
        <v>0</v>
      </c>
      <c r="AK425" s="648">
        <v>-17.985934640167208</v>
      </c>
    </row>
    <row r="426" spans="3:37" x14ac:dyDescent="0.2">
      <c r="C426" s="646" t="s">
        <v>73</v>
      </c>
      <c r="D426" s="640">
        <v>0</v>
      </c>
      <c r="E426" s="640">
        <v>0</v>
      </c>
      <c r="F426" s="640">
        <v>0</v>
      </c>
      <c r="G426" s="640">
        <v>7.0830222331165276</v>
      </c>
      <c r="H426" s="640">
        <v>0</v>
      </c>
      <c r="I426" s="640">
        <v>0</v>
      </c>
      <c r="J426" s="640">
        <v>0</v>
      </c>
      <c r="K426" s="640">
        <v>8.2131519400701847E-2</v>
      </c>
      <c r="L426" s="640">
        <v>0</v>
      </c>
      <c r="M426" s="640">
        <v>0.14455147414523528</v>
      </c>
      <c r="N426" s="640">
        <v>0</v>
      </c>
      <c r="O426" s="640">
        <v>0</v>
      </c>
      <c r="P426" s="640">
        <v>0.90023160054861806</v>
      </c>
      <c r="Q426" s="640">
        <v>0</v>
      </c>
      <c r="R426" s="640">
        <v>-5.7492063580491291</v>
      </c>
      <c r="S426" s="648">
        <v>2.4607304691619536</v>
      </c>
      <c r="U426" s="646" t="s">
        <v>73</v>
      </c>
      <c r="V426" s="640">
        <v>0</v>
      </c>
      <c r="W426" s="640">
        <v>0</v>
      </c>
      <c r="X426" s="640">
        <v>0</v>
      </c>
      <c r="Y426" s="640">
        <v>2.5209228009552263</v>
      </c>
      <c r="Z426" s="640">
        <v>0</v>
      </c>
      <c r="AA426" s="640">
        <v>0</v>
      </c>
      <c r="AB426" s="640">
        <v>0</v>
      </c>
      <c r="AC426" s="640">
        <v>0.50418456019104518</v>
      </c>
      <c r="AD426" s="640">
        <v>0</v>
      </c>
      <c r="AE426" s="640">
        <v>2.5209228009552263</v>
      </c>
      <c r="AF426" s="640">
        <v>0</v>
      </c>
      <c r="AG426" s="640">
        <v>0</v>
      </c>
      <c r="AH426" s="640">
        <v>44.712737508757456</v>
      </c>
      <c r="AI426" s="640">
        <v>0</v>
      </c>
      <c r="AJ426" s="640">
        <v>-35.29291921337316</v>
      </c>
      <c r="AK426" s="648">
        <v>14.965848457485791</v>
      </c>
    </row>
    <row r="427" spans="3:37" x14ac:dyDescent="0.2">
      <c r="C427" s="646" t="s">
        <v>353</v>
      </c>
      <c r="D427" s="640">
        <v>28.568314687499999</v>
      </c>
      <c r="E427" s="640">
        <v>-17.390343348799608</v>
      </c>
      <c r="F427" s="640">
        <v>22.745541936068136</v>
      </c>
      <c r="G427" s="640">
        <v>0</v>
      </c>
      <c r="H427" s="640">
        <v>0</v>
      </c>
      <c r="I427" s="640">
        <v>0</v>
      </c>
      <c r="J427" s="640">
        <v>0</v>
      </c>
      <c r="K427" s="640">
        <v>0</v>
      </c>
      <c r="L427" s="640">
        <v>0</v>
      </c>
      <c r="M427" s="640">
        <v>0</v>
      </c>
      <c r="N427" s="640">
        <v>0</v>
      </c>
      <c r="O427" s="640">
        <v>0</v>
      </c>
      <c r="P427" s="640">
        <v>0</v>
      </c>
      <c r="Q427" s="640">
        <v>0</v>
      </c>
      <c r="R427" s="640">
        <v>0</v>
      </c>
      <c r="S427" s="648">
        <v>33.923513274768524</v>
      </c>
      <c r="U427" s="646" t="s">
        <v>353</v>
      </c>
      <c r="V427" s="640">
        <v>1.4001075134277343</v>
      </c>
      <c r="W427" s="640">
        <v>-6.8176938713802535</v>
      </c>
      <c r="X427" s="640">
        <v>8.9171408952922331</v>
      </c>
      <c r="Y427" s="640">
        <v>0</v>
      </c>
      <c r="Z427" s="640">
        <v>0</v>
      </c>
      <c r="AA427" s="640">
        <v>0</v>
      </c>
      <c r="AB427" s="640">
        <v>0</v>
      </c>
      <c r="AC427" s="640">
        <v>0</v>
      </c>
      <c r="AD427" s="640">
        <v>0</v>
      </c>
      <c r="AE427" s="640">
        <v>0</v>
      </c>
      <c r="AF427" s="640">
        <v>0</v>
      </c>
      <c r="AG427" s="640">
        <v>0</v>
      </c>
      <c r="AH427" s="640">
        <v>0</v>
      </c>
      <c r="AI427" s="640">
        <v>0</v>
      </c>
      <c r="AJ427" s="640">
        <v>0</v>
      </c>
      <c r="AK427" s="648">
        <v>3.4995545373397139</v>
      </c>
    </row>
    <row r="428" spans="3:37" x14ac:dyDescent="0.2">
      <c r="C428" s="646" t="s">
        <v>75</v>
      </c>
      <c r="D428" s="640">
        <v>11.109900156250001</v>
      </c>
      <c r="E428" s="640">
        <v>0</v>
      </c>
      <c r="F428" s="640">
        <v>17.0641175716937</v>
      </c>
      <c r="G428" s="640">
        <v>4.8692961376638904</v>
      </c>
      <c r="H428" s="640">
        <v>0</v>
      </c>
      <c r="I428" s="640">
        <v>0</v>
      </c>
      <c r="J428" s="640">
        <v>0</v>
      </c>
      <c r="K428" s="640">
        <v>0</v>
      </c>
      <c r="L428" s="640">
        <v>0</v>
      </c>
      <c r="M428" s="640">
        <v>9.9373390564569189E-2</v>
      </c>
      <c r="N428" s="640">
        <v>0</v>
      </c>
      <c r="O428" s="640">
        <v>0</v>
      </c>
      <c r="P428" s="640">
        <v>27.977940148174714</v>
      </c>
      <c r="Q428" s="640">
        <v>0</v>
      </c>
      <c r="R428" s="640">
        <v>0</v>
      </c>
      <c r="S428" s="648">
        <v>61.12062740434687</v>
      </c>
      <c r="U428" s="646" t="s">
        <v>75</v>
      </c>
      <c r="V428" s="640">
        <v>2.585423095703125</v>
      </c>
      <c r="W428" s="640">
        <v>0</v>
      </c>
      <c r="X428" s="640">
        <v>17.0641175716937</v>
      </c>
      <c r="Y428" s="640">
        <v>2.4843347641142297</v>
      </c>
      <c r="Z428" s="640">
        <v>0</v>
      </c>
      <c r="AA428" s="640">
        <v>0</v>
      </c>
      <c r="AB428" s="640">
        <v>0</v>
      </c>
      <c r="AC428" s="640">
        <v>0</v>
      </c>
      <c r="AD428" s="640">
        <v>0</v>
      </c>
      <c r="AE428" s="640">
        <v>2.4843347641142297</v>
      </c>
      <c r="AF428" s="640">
        <v>0</v>
      </c>
      <c r="AG428" s="640">
        <v>0</v>
      </c>
      <c r="AH428" s="640">
        <v>36.559985602720168</v>
      </c>
      <c r="AI428" s="640">
        <v>0</v>
      </c>
      <c r="AJ428" s="640">
        <v>0</v>
      </c>
      <c r="AK428" s="648">
        <v>61.178195798345449</v>
      </c>
    </row>
    <row r="429" spans="3:37" x14ac:dyDescent="0.2">
      <c r="C429" s="646" t="s">
        <v>76</v>
      </c>
      <c r="D429" s="640">
        <v>0</v>
      </c>
      <c r="E429" s="640">
        <v>0</v>
      </c>
      <c r="F429" s="640">
        <v>0</v>
      </c>
      <c r="G429" s="640">
        <v>3.7302503173667452</v>
      </c>
      <c r="H429" s="640">
        <v>0</v>
      </c>
      <c r="I429" s="640">
        <v>0</v>
      </c>
      <c r="J429" s="640">
        <v>0</v>
      </c>
      <c r="K429" s="640">
        <v>0</v>
      </c>
      <c r="L429" s="640">
        <v>0</v>
      </c>
      <c r="M429" s="640">
        <v>7.6127557497280507E-2</v>
      </c>
      <c r="N429" s="640">
        <v>0</v>
      </c>
      <c r="O429" s="640">
        <v>0</v>
      </c>
      <c r="P429" s="640">
        <v>45.919010237367587</v>
      </c>
      <c r="Q429" s="640">
        <v>2.9343505562312622</v>
      </c>
      <c r="R429" s="640">
        <v>0</v>
      </c>
      <c r="S429" s="648">
        <v>52.659738668462872</v>
      </c>
      <c r="U429" s="646" t="s">
        <v>76</v>
      </c>
      <c r="V429" s="640">
        <v>0</v>
      </c>
      <c r="W429" s="640">
        <v>0</v>
      </c>
      <c r="X429" s="640">
        <v>0</v>
      </c>
      <c r="Y429" s="640">
        <v>0.95944671778813329</v>
      </c>
      <c r="Z429" s="640">
        <v>0</v>
      </c>
      <c r="AA429" s="640">
        <v>0</v>
      </c>
      <c r="AB429" s="640">
        <v>0</v>
      </c>
      <c r="AC429" s="640">
        <v>0</v>
      </c>
      <c r="AD429" s="640">
        <v>0</v>
      </c>
      <c r="AE429" s="640">
        <v>0.95944671778813329</v>
      </c>
      <c r="AF429" s="640">
        <v>0</v>
      </c>
      <c r="AG429" s="640">
        <v>0</v>
      </c>
      <c r="AH429" s="640">
        <v>49.138117436745475</v>
      </c>
      <c r="AI429" s="640">
        <v>5.7424951548403769</v>
      </c>
      <c r="AJ429" s="640">
        <v>0</v>
      </c>
      <c r="AK429" s="648">
        <v>56.799506027162117</v>
      </c>
    </row>
    <row r="430" spans="3:37" x14ac:dyDescent="0.2">
      <c r="C430" s="644" t="s">
        <v>77</v>
      </c>
      <c r="D430" s="645">
        <v>42.505000484775252</v>
      </c>
      <c r="E430" s="645">
        <v>484.495467583368</v>
      </c>
      <c r="F430" s="645">
        <v>-449.13421563675462</v>
      </c>
      <c r="G430" s="645">
        <v>47.207234809306371</v>
      </c>
      <c r="H430" s="645">
        <v>843.18181818181824</v>
      </c>
      <c r="I430" s="645">
        <v>306.94588327561422</v>
      </c>
      <c r="J430" s="645">
        <v>75.087544766016393</v>
      </c>
      <c r="K430" s="645">
        <v>18.554763704158422</v>
      </c>
      <c r="L430" s="645">
        <v>-23.523971773378101</v>
      </c>
      <c r="M430" s="645">
        <v>-5.3154503193453246</v>
      </c>
      <c r="N430" s="645">
        <v>0</v>
      </c>
      <c r="O430" s="645">
        <v>9.1176200722123912</v>
      </c>
      <c r="P430" s="645">
        <v>-542.13274839202359</v>
      </c>
      <c r="Q430" s="645">
        <v>-34.870731395116664</v>
      </c>
      <c r="R430" s="645">
        <v>-5.7492063580491291</v>
      </c>
      <c r="S430" s="645">
        <v>766.36900900260184</v>
      </c>
      <c r="U430" s="644" t="s">
        <v>77</v>
      </c>
      <c r="V430" s="645">
        <v>4.6118455145895494</v>
      </c>
      <c r="W430" s="645">
        <v>189.94114801549574</v>
      </c>
      <c r="X430" s="645">
        <v>-164.75055368632826</v>
      </c>
      <c r="Y430" s="645">
        <v>14.771936460533603</v>
      </c>
      <c r="Z430" s="645">
        <v>842.12121212121212</v>
      </c>
      <c r="AA430" s="645">
        <v>361.66588327561419</v>
      </c>
      <c r="AB430" s="645">
        <v>138.19810981289308</v>
      </c>
      <c r="AC430" s="645">
        <v>31.958068806629939</v>
      </c>
      <c r="AD430" s="645">
        <v>-114.15604749086444</v>
      </c>
      <c r="AE430" s="645">
        <v>-66.000175998632287</v>
      </c>
      <c r="AF430" s="645">
        <v>0</v>
      </c>
      <c r="AG430" s="645">
        <v>19.568792039795159</v>
      </c>
      <c r="AH430" s="645">
        <v>-532.33908982989124</v>
      </c>
      <c r="AI430" s="645">
        <v>-68.301024235701377</v>
      </c>
      <c r="AJ430" s="645">
        <v>-31.04291921337316</v>
      </c>
      <c r="AK430" s="645">
        <v>626.24718559197242</v>
      </c>
    </row>
    <row r="431" spans="3:37" x14ac:dyDescent="0.2">
      <c r="C431" s="634"/>
      <c r="D431" s="634">
        <v>0</v>
      </c>
      <c r="E431" s="634">
        <v>0</v>
      </c>
      <c r="F431" s="634">
        <v>0</v>
      </c>
      <c r="G431" s="634">
        <v>0</v>
      </c>
      <c r="H431" s="634">
        <v>0</v>
      </c>
      <c r="I431" s="634">
        <v>0</v>
      </c>
      <c r="J431" s="634">
        <v>0</v>
      </c>
      <c r="K431" s="634">
        <v>0</v>
      </c>
      <c r="L431" s="634">
        <v>0</v>
      </c>
      <c r="M431" s="634">
        <v>0</v>
      </c>
      <c r="N431" s="634">
        <v>0</v>
      </c>
      <c r="O431" s="634">
        <v>0</v>
      </c>
      <c r="P431" s="634">
        <v>0</v>
      </c>
      <c r="Q431" s="634">
        <v>0</v>
      </c>
      <c r="R431" s="634">
        <v>0</v>
      </c>
      <c r="S431" s="634">
        <v>0</v>
      </c>
      <c r="U431" s="634"/>
      <c r="V431" s="634">
        <v>0</v>
      </c>
      <c r="W431" s="634">
        <v>0</v>
      </c>
      <c r="X431" s="634">
        <v>0</v>
      </c>
      <c r="Y431" s="634">
        <v>0</v>
      </c>
      <c r="Z431" s="634">
        <v>0</v>
      </c>
      <c r="AA431" s="634">
        <v>0</v>
      </c>
      <c r="AB431" s="634">
        <v>0</v>
      </c>
      <c r="AC431" s="634">
        <v>0</v>
      </c>
      <c r="AD431" s="634">
        <v>0</v>
      </c>
      <c r="AE431" s="634">
        <v>0</v>
      </c>
      <c r="AF431" s="634">
        <v>0</v>
      </c>
      <c r="AG431" s="634">
        <v>0</v>
      </c>
      <c r="AH431" s="634">
        <v>0</v>
      </c>
      <c r="AI431" s="634">
        <v>0</v>
      </c>
      <c r="AJ431" s="634">
        <v>0</v>
      </c>
      <c r="AK431" s="634">
        <v>0</v>
      </c>
    </row>
    <row r="432" spans="3:37" x14ac:dyDescent="0.2">
      <c r="C432" s="646" t="s">
        <v>78</v>
      </c>
      <c r="D432" s="640">
        <v>4.6398193944555786</v>
      </c>
      <c r="E432" s="640">
        <v>0</v>
      </c>
      <c r="F432" s="640">
        <v>20.598782441852151</v>
      </c>
      <c r="G432" s="640">
        <v>94.839699954986926</v>
      </c>
      <c r="H432" s="640">
        <v>0</v>
      </c>
      <c r="I432" s="640">
        <v>0</v>
      </c>
      <c r="J432" s="640">
        <v>21.821162214793436</v>
      </c>
      <c r="K432" s="640">
        <v>1.7366010173968038</v>
      </c>
      <c r="L432" s="640">
        <v>0.96096945898437491</v>
      </c>
      <c r="M432" s="640">
        <v>1.9539169420126139</v>
      </c>
      <c r="N432" s="640">
        <v>0</v>
      </c>
      <c r="O432" s="640">
        <v>3.7537634069694789E-4</v>
      </c>
      <c r="P432" s="640">
        <v>113.419965125608</v>
      </c>
      <c r="Q432" s="640">
        <v>16.150451210263412</v>
      </c>
      <c r="R432" s="640">
        <v>0.26695886230468752</v>
      </c>
      <c r="S432" s="648">
        <v>276.38870199899873</v>
      </c>
      <c r="U432" s="646" t="s">
        <v>78</v>
      </c>
      <c r="V432" s="640">
        <v>1.264986561669641</v>
      </c>
      <c r="W432" s="640">
        <v>0</v>
      </c>
      <c r="X432" s="640">
        <v>4.4259635061357878</v>
      </c>
      <c r="Y432" s="640">
        <v>33.008089674756327</v>
      </c>
      <c r="Z432" s="640">
        <v>0</v>
      </c>
      <c r="AA432" s="640">
        <v>0</v>
      </c>
      <c r="AB432" s="640">
        <v>14.926911405045434</v>
      </c>
      <c r="AC432" s="640">
        <v>4.7591564459641997</v>
      </c>
      <c r="AD432" s="640">
        <v>6.4130046386718744</v>
      </c>
      <c r="AE432" s="640">
        <v>33.02650253605492</v>
      </c>
      <c r="AF432" s="640">
        <v>0</v>
      </c>
      <c r="AG432" s="640">
        <v>3.7537634069694789E-4</v>
      </c>
      <c r="AH432" s="640">
        <v>148.98135712801343</v>
      </c>
      <c r="AI432" s="640">
        <v>24.187634778338289</v>
      </c>
      <c r="AJ432" s="640">
        <v>7.9027373046875002</v>
      </c>
      <c r="AK432" s="648">
        <v>278.8967193556781</v>
      </c>
    </row>
    <row r="433" spans="3:37" x14ac:dyDescent="0.2">
      <c r="C433" s="646" t="s">
        <v>79</v>
      </c>
      <c r="D433" s="640">
        <v>0</v>
      </c>
      <c r="E433" s="640">
        <v>0</v>
      </c>
      <c r="F433" s="640">
        <v>225.72324837131151</v>
      </c>
      <c r="G433" s="640">
        <v>31.930807664827714</v>
      </c>
      <c r="H433" s="640">
        <v>0</v>
      </c>
      <c r="I433" s="640">
        <v>0</v>
      </c>
      <c r="J433" s="640">
        <v>0</v>
      </c>
      <c r="K433" s="640">
        <v>0</v>
      </c>
      <c r="L433" s="640">
        <v>21.777356740546686</v>
      </c>
      <c r="M433" s="640">
        <v>0.65164913601689212</v>
      </c>
      <c r="N433" s="640">
        <v>0</v>
      </c>
      <c r="O433" s="640">
        <v>0</v>
      </c>
      <c r="P433" s="640">
        <v>72.885841088882287</v>
      </c>
      <c r="Q433" s="640">
        <v>0</v>
      </c>
      <c r="R433" s="640">
        <v>2.6521266956987635</v>
      </c>
      <c r="S433" s="648">
        <v>355.62102969728386</v>
      </c>
      <c r="U433" s="646" t="s">
        <v>79</v>
      </c>
      <c r="V433" s="640">
        <v>0</v>
      </c>
      <c r="W433" s="640">
        <v>0</v>
      </c>
      <c r="X433" s="640">
        <v>19.003305935487372</v>
      </c>
      <c r="Y433" s="640">
        <v>13.267062862305856</v>
      </c>
      <c r="Z433" s="640">
        <v>0</v>
      </c>
      <c r="AA433" s="640">
        <v>0</v>
      </c>
      <c r="AB433" s="640">
        <v>0</v>
      </c>
      <c r="AC433" s="640">
        <v>0</v>
      </c>
      <c r="AD433" s="640">
        <v>27.757428454399612</v>
      </c>
      <c r="AE433" s="640">
        <v>13.267062862305856</v>
      </c>
      <c r="AF433" s="640">
        <v>0</v>
      </c>
      <c r="AG433" s="640">
        <v>0</v>
      </c>
      <c r="AH433" s="640">
        <v>94.556676700547257</v>
      </c>
      <c r="AI433" s="640">
        <v>0</v>
      </c>
      <c r="AJ433" s="640">
        <v>6.3130917169295051</v>
      </c>
      <c r="AK433" s="648">
        <v>174.16462853197544</v>
      </c>
    </row>
    <row r="434" spans="3:37" x14ac:dyDescent="0.2">
      <c r="C434" s="646" t="s">
        <v>80</v>
      </c>
      <c r="D434" s="640">
        <v>0</v>
      </c>
      <c r="E434" s="640">
        <v>0</v>
      </c>
      <c r="F434" s="640">
        <v>11.075929176351762</v>
      </c>
      <c r="G434" s="640">
        <v>76.664751333295058</v>
      </c>
      <c r="H434" s="640">
        <v>0</v>
      </c>
      <c r="I434" s="640">
        <v>0</v>
      </c>
      <c r="J434" s="640">
        <v>88.320247059496523</v>
      </c>
      <c r="K434" s="640">
        <v>0</v>
      </c>
      <c r="L434" s="640">
        <v>0</v>
      </c>
      <c r="M434" s="640">
        <v>1.5645867619039808</v>
      </c>
      <c r="N434" s="640">
        <v>59.616390446150973</v>
      </c>
      <c r="O434" s="640">
        <v>2.0734984243972754</v>
      </c>
      <c r="P434" s="640">
        <v>190.93239321884863</v>
      </c>
      <c r="Q434" s="640">
        <v>15.360003531773184</v>
      </c>
      <c r="R434" s="640">
        <v>0</v>
      </c>
      <c r="S434" s="648">
        <v>445.60779995221742</v>
      </c>
      <c r="U434" s="646" t="s">
        <v>80</v>
      </c>
      <c r="V434" s="640">
        <v>0</v>
      </c>
      <c r="W434" s="640">
        <v>0</v>
      </c>
      <c r="X434" s="640">
        <v>0.97925934500211753</v>
      </c>
      <c r="Y434" s="640">
        <v>9.8253088649292142</v>
      </c>
      <c r="Z434" s="640">
        <v>0</v>
      </c>
      <c r="AA434" s="640">
        <v>0</v>
      </c>
      <c r="AB434" s="640">
        <v>50.204880630535357</v>
      </c>
      <c r="AC434" s="640">
        <v>0</v>
      </c>
      <c r="AD434" s="640">
        <v>0</v>
      </c>
      <c r="AE434" s="640">
        <v>9.8253088649292142</v>
      </c>
      <c r="AF434" s="640">
        <v>95.02342184325245</v>
      </c>
      <c r="AG434" s="640">
        <v>4.208312775429496</v>
      </c>
      <c r="AH434" s="640">
        <v>144.38732956018927</v>
      </c>
      <c r="AI434" s="640">
        <v>30.75075127630511</v>
      </c>
      <c r="AJ434" s="640">
        <v>0</v>
      </c>
      <c r="AK434" s="648">
        <v>345.20457316057224</v>
      </c>
    </row>
    <row r="435" spans="3:37" x14ac:dyDescent="0.2">
      <c r="C435" s="646" t="s">
        <v>81</v>
      </c>
      <c r="D435" s="640">
        <v>0</v>
      </c>
      <c r="E435" s="640">
        <v>0</v>
      </c>
      <c r="F435" s="640">
        <v>2.6743117433405894</v>
      </c>
      <c r="G435" s="640">
        <v>62.987223173923248</v>
      </c>
      <c r="H435" s="640">
        <v>0</v>
      </c>
      <c r="I435" s="640">
        <v>0</v>
      </c>
      <c r="J435" s="640">
        <v>3.1384766478070549</v>
      </c>
      <c r="K435" s="640">
        <v>2.5274117631643136E-2</v>
      </c>
      <c r="L435" s="640">
        <v>0</v>
      </c>
      <c r="M435" s="640">
        <v>1.2854535341616988</v>
      </c>
      <c r="N435" s="640">
        <v>8.34801759276524</v>
      </c>
      <c r="O435" s="640">
        <v>0.71507622546549865</v>
      </c>
      <c r="P435" s="640">
        <v>142.0321146826426</v>
      </c>
      <c r="Q435" s="640">
        <v>3.3602766530800707</v>
      </c>
      <c r="R435" s="640">
        <v>0</v>
      </c>
      <c r="S435" s="648">
        <v>224.56622437081765</v>
      </c>
      <c r="U435" s="646" t="s">
        <v>81</v>
      </c>
      <c r="V435" s="640">
        <v>0</v>
      </c>
      <c r="W435" s="640">
        <v>0</v>
      </c>
      <c r="X435" s="640">
        <v>1.2256055704751125</v>
      </c>
      <c r="Y435" s="640">
        <v>7.2918833253665882</v>
      </c>
      <c r="Z435" s="640">
        <v>0</v>
      </c>
      <c r="AA435" s="640">
        <v>0</v>
      </c>
      <c r="AB435" s="640">
        <v>6.8658928642747856</v>
      </c>
      <c r="AC435" s="640">
        <v>2.5274117631643136E-2</v>
      </c>
      <c r="AD435" s="640">
        <v>0</v>
      </c>
      <c r="AE435" s="640">
        <v>7.2918833253665882</v>
      </c>
      <c r="AF435" s="640">
        <v>14.828462979838848</v>
      </c>
      <c r="AG435" s="640">
        <v>1.5197231438340593</v>
      </c>
      <c r="AH435" s="640">
        <v>114.40426288608282</v>
      </c>
      <c r="AI435" s="640">
        <v>13.362638181057982</v>
      </c>
      <c r="AJ435" s="640">
        <v>0</v>
      </c>
      <c r="AK435" s="648">
        <v>166.8156263939284</v>
      </c>
    </row>
    <row r="436" spans="3:37" x14ac:dyDescent="0.2">
      <c r="C436" s="646" t="s">
        <v>82</v>
      </c>
      <c r="D436" s="640">
        <v>0</v>
      </c>
      <c r="E436" s="640">
        <v>0</v>
      </c>
      <c r="F436" s="640">
        <v>27.931723909553636</v>
      </c>
      <c r="G436" s="640">
        <v>0.95472649492283324</v>
      </c>
      <c r="H436" s="640">
        <v>0</v>
      </c>
      <c r="I436" s="640">
        <v>0</v>
      </c>
      <c r="J436" s="640">
        <v>4.6306119511950978</v>
      </c>
      <c r="K436" s="640">
        <v>0</v>
      </c>
      <c r="L436" s="640">
        <v>3.1934862443619529</v>
      </c>
      <c r="M436" s="640">
        <v>1.9484214182098638E-2</v>
      </c>
      <c r="N436" s="640">
        <v>0</v>
      </c>
      <c r="O436" s="640">
        <v>6.6456137421005312E-2</v>
      </c>
      <c r="P436" s="640">
        <v>5.7660712732306445</v>
      </c>
      <c r="Q436" s="640">
        <v>0</v>
      </c>
      <c r="R436" s="640">
        <v>0</v>
      </c>
      <c r="S436" s="648">
        <v>42.562560224867276</v>
      </c>
      <c r="U436" s="646" t="s">
        <v>82</v>
      </c>
      <c r="V436" s="640">
        <v>0</v>
      </c>
      <c r="W436" s="640">
        <v>0</v>
      </c>
      <c r="X436" s="640">
        <v>3.5775053425595864</v>
      </c>
      <c r="Y436" s="640">
        <v>0.56393102033742082</v>
      </c>
      <c r="Z436" s="640">
        <v>0</v>
      </c>
      <c r="AA436" s="640">
        <v>0</v>
      </c>
      <c r="AB436" s="640">
        <v>4.6306119511950978</v>
      </c>
      <c r="AC436" s="640">
        <v>0</v>
      </c>
      <c r="AD436" s="640">
        <v>32.861113305842508</v>
      </c>
      <c r="AE436" s="640">
        <v>0.56393102033742082</v>
      </c>
      <c r="AF436" s="640">
        <v>0</v>
      </c>
      <c r="AG436" s="640">
        <v>1.7440136932478227</v>
      </c>
      <c r="AH436" s="640">
        <v>5.8866318405152116</v>
      </c>
      <c r="AI436" s="640">
        <v>0</v>
      </c>
      <c r="AJ436" s="640">
        <v>0.38427420359697795</v>
      </c>
      <c r="AK436" s="648">
        <v>50.21201237763205</v>
      </c>
    </row>
    <row r="437" spans="3:37" x14ac:dyDescent="0.2">
      <c r="C437" s="646" t="s">
        <v>354</v>
      </c>
      <c r="D437" s="640">
        <v>0</v>
      </c>
      <c r="E437" s="640">
        <v>0</v>
      </c>
      <c r="F437" s="640">
        <v>0</v>
      </c>
      <c r="G437" s="640">
        <v>0</v>
      </c>
      <c r="H437" s="640">
        <v>0</v>
      </c>
      <c r="I437" s="640">
        <v>0</v>
      </c>
      <c r="J437" s="640">
        <v>0</v>
      </c>
      <c r="K437" s="640">
        <v>0</v>
      </c>
      <c r="L437" s="640">
        <v>0</v>
      </c>
      <c r="M437" s="640">
        <v>0</v>
      </c>
      <c r="N437" s="640">
        <v>0</v>
      </c>
      <c r="O437" s="640">
        <v>0</v>
      </c>
      <c r="P437" s="640">
        <v>0.39</v>
      </c>
      <c r="Q437" s="640">
        <v>0</v>
      </c>
      <c r="R437" s="640">
        <v>0</v>
      </c>
      <c r="S437" s="648">
        <v>0.39</v>
      </c>
      <c r="U437" s="646" t="s">
        <v>354</v>
      </c>
      <c r="V437" s="640">
        <v>0</v>
      </c>
      <c r="W437" s="640">
        <v>0</v>
      </c>
      <c r="X437" s="640">
        <v>0</v>
      </c>
      <c r="Y437" s="640">
        <v>0</v>
      </c>
      <c r="Z437" s="640">
        <v>0</v>
      </c>
      <c r="AA437" s="640">
        <v>0</v>
      </c>
      <c r="AB437" s="640">
        <v>0</v>
      </c>
      <c r="AC437" s="640">
        <v>0</v>
      </c>
      <c r="AD437" s="640">
        <v>0</v>
      </c>
      <c r="AE437" s="640">
        <v>0</v>
      </c>
      <c r="AF437" s="640">
        <v>0</v>
      </c>
      <c r="AG437" s="640">
        <v>0</v>
      </c>
      <c r="AH437" s="640">
        <v>3.5999999999999996</v>
      </c>
      <c r="AI437" s="640">
        <v>0</v>
      </c>
      <c r="AJ437" s="640">
        <v>0</v>
      </c>
      <c r="AK437" s="648">
        <v>3.5999999999999996</v>
      </c>
    </row>
    <row r="438" spans="3:37" x14ac:dyDescent="0.2">
      <c r="C438" s="644" t="s">
        <v>83</v>
      </c>
      <c r="D438" s="645">
        <v>4.6398193944555786</v>
      </c>
      <c r="E438" s="645">
        <v>0</v>
      </c>
      <c r="F438" s="645">
        <v>288.00399564240968</v>
      </c>
      <c r="G438" s="645">
        <v>267.37720862195579</v>
      </c>
      <c r="H438" s="645">
        <v>0</v>
      </c>
      <c r="I438" s="645">
        <v>0</v>
      </c>
      <c r="J438" s="645">
        <v>117.91049787329212</v>
      </c>
      <c r="K438" s="645">
        <v>1.7618751350284469</v>
      </c>
      <c r="L438" s="645">
        <v>25.931812443893016</v>
      </c>
      <c r="M438" s="645">
        <v>5.4750905882772853</v>
      </c>
      <c r="N438" s="645">
        <v>67.964408038916218</v>
      </c>
      <c r="O438" s="645">
        <v>2.8554061636244761</v>
      </c>
      <c r="P438" s="645">
        <v>525.4263853892121</v>
      </c>
      <c r="Q438" s="645">
        <v>34.870731395116664</v>
      </c>
      <c r="R438" s="645">
        <v>2.9190855580034509</v>
      </c>
      <c r="S438" s="645">
        <v>1345.1363162441851</v>
      </c>
      <c r="U438" s="644" t="s">
        <v>83</v>
      </c>
      <c r="V438" s="645">
        <v>1.264986561669641</v>
      </c>
      <c r="W438" s="645">
        <v>0</v>
      </c>
      <c r="X438" s="645">
        <v>29.211639699659976</v>
      </c>
      <c r="Y438" s="645">
        <v>63.956275747695408</v>
      </c>
      <c r="Z438" s="645">
        <v>0</v>
      </c>
      <c r="AA438" s="645">
        <v>0</v>
      </c>
      <c r="AB438" s="645">
        <v>76.628296851050663</v>
      </c>
      <c r="AC438" s="645">
        <v>4.7844305635958433</v>
      </c>
      <c r="AD438" s="645">
        <v>67.031546398914003</v>
      </c>
      <c r="AE438" s="645">
        <v>63.974688608994001</v>
      </c>
      <c r="AF438" s="645">
        <v>109.8518848230913</v>
      </c>
      <c r="AG438" s="645">
        <v>7.4724249888520751</v>
      </c>
      <c r="AH438" s="645">
        <v>511.81625811534803</v>
      </c>
      <c r="AI438" s="645">
        <v>68.301024235701377</v>
      </c>
      <c r="AJ438" s="645">
        <v>14.600103225213982</v>
      </c>
      <c r="AK438" s="645">
        <v>1018.8935598197862</v>
      </c>
    </row>
    <row r="439" spans="3:37" x14ac:dyDescent="0.2">
      <c r="C439" s="639" t="s">
        <v>84</v>
      </c>
      <c r="D439" s="640">
        <v>0</v>
      </c>
      <c r="E439" s="640">
        <v>0</v>
      </c>
      <c r="F439" s="640">
        <v>104.91003257681685</v>
      </c>
      <c r="G439" s="640">
        <v>11.505661507854215</v>
      </c>
      <c r="H439" s="640">
        <v>0</v>
      </c>
      <c r="I439" s="640">
        <v>0</v>
      </c>
      <c r="J439" s="640">
        <v>0</v>
      </c>
      <c r="K439" s="640">
        <v>0</v>
      </c>
      <c r="L439" s="640">
        <v>0</v>
      </c>
      <c r="M439" s="640">
        <v>0</v>
      </c>
      <c r="N439" s="640">
        <v>0</v>
      </c>
      <c r="O439" s="640">
        <v>0</v>
      </c>
      <c r="P439" s="640">
        <v>0</v>
      </c>
      <c r="Q439" s="640">
        <v>0</v>
      </c>
      <c r="R439" s="640">
        <v>2.8301208000456781</v>
      </c>
      <c r="S439" s="648">
        <v>119.24581488471674</v>
      </c>
      <c r="U439" s="639" t="s">
        <v>84</v>
      </c>
      <c r="V439" s="640">
        <v>0</v>
      </c>
      <c r="W439" s="640">
        <v>0</v>
      </c>
      <c r="X439" s="640">
        <v>70.401025384734808</v>
      </c>
      <c r="Y439" s="640">
        <v>0.81519182748409058</v>
      </c>
      <c r="Z439" s="640">
        <v>0</v>
      </c>
      <c r="AA439" s="640">
        <v>0</v>
      </c>
      <c r="AB439" s="640">
        <v>0</v>
      </c>
      <c r="AC439" s="640">
        <v>0</v>
      </c>
      <c r="AD439" s="640">
        <v>24.563190847778323</v>
      </c>
      <c r="AE439" s="640">
        <v>0</v>
      </c>
      <c r="AF439" s="640">
        <v>0</v>
      </c>
      <c r="AG439" s="640">
        <v>0</v>
      </c>
      <c r="AH439" s="640">
        <v>0</v>
      </c>
      <c r="AI439" s="640">
        <v>0</v>
      </c>
      <c r="AJ439" s="640">
        <v>16.442815988159179</v>
      </c>
      <c r="AK439" s="648">
        <v>112.22222404815641</v>
      </c>
    </row>
    <row r="440" spans="3:37" x14ac:dyDescent="0.2">
      <c r="C440" s="644" t="s">
        <v>85</v>
      </c>
      <c r="D440" s="645">
        <v>4.6398193944555786</v>
      </c>
      <c r="E440" s="645">
        <v>0</v>
      </c>
      <c r="F440" s="645">
        <v>392.91402821922651</v>
      </c>
      <c r="G440" s="645">
        <v>278.88287012980999</v>
      </c>
      <c r="H440" s="645">
        <v>0</v>
      </c>
      <c r="I440" s="645">
        <v>0</v>
      </c>
      <c r="J440" s="645">
        <v>117.91049787329212</v>
      </c>
      <c r="K440" s="645">
        <v>1.7618751350284469</v>
      </c>
      <c r="L440" s="645">
        <v>25.931812443893016</v>
      </c>
      <c r="M440" s="645">
        <v>5.4750905882772853</v>
      </c>
      <c r="N440" s="645">
        <v>67.964408038916218</v>
      </c>
      <c r="O440" s="645">
        <v>2.8554061636244761</v>
      </c>
      <c r="P440" s="645">
        <v>525.4263853892121</v>
      </c>
      <c r="Q440" s="645">
        <v>34.870731395116664</v>
      </c>
      <c r="R440" s="645">
        <v>5.7492063580491291</v>
      </c>
      <c r="S440" s="645">
        <v>1464.3821311289018</v>
      </c>
      <c r="U440" s="644" t="s">
        <v>85</v>
      </c>
      <c r="V440" s="645">
        <v>1.264986561669641</v>
      </c>
      <c r="W440" s="645">
        <v>0</v>
      </c>
      <c r="X440" s="645">
        <v>99.612665084394791</v>
      </c>
      <c r="Y440" s="645">
        <v>64.7714675751795</v>
      </c>
      <c r="Z440" s="645">
        <v>0</v>
      </c>
      <c r="AA440" s="645">
        <v>0</v>
      </c>
      <c r="AB440" s="645">
        <v>76.628296851050663</v>
      </c>
      <c r="AC440" s="645">
        <v>4.7844305635958433</v>
      </c>
      <c r="AD440" s="645">
        <v>91.594737246692318</v>
      </c>
      <c r="AE440" s="645">
        <v>63.974688608994001</v>
      </c>
      <c r="AF440" s="645">
        <v>109.8518848230913</v>
      </c>
      <c r="AG440" s="645">
        <v>7.4724249888520751</v>
      </c>
      <c r="AH440" s="645">
        <v>511.81625811534803</v>
      </c>
      <c r="AI440" s="645">
        <v>68.301024235701377</v>
      </c>
      <c r="AJ440" s="645">
        <v>31.04291921337316</v>
      </c>
      <c r="AK440" s="645">
        <v>1131.1157838679426</v>
      </c>
    </row>
    <row r="441" spans="3:37" x14ac:dyDescent="0.2">
      <c r="C441" s="634"/>
      <c r="D441" s="634"/>
      <c r="E441" s="634"/>
      <c r="F441" s="634"/>
      <c r="G441" s="634"/>
      <c r="H441" s="634"/>
      <c r="I441" s="634"/>
      <c r="J441" s="634"/>
      <c r="K441" s="634"/>
      <c r="L441" s="634"/>
      <c r="M441" s="634"/>
      <c r="N441" s="634"/>
      <c r="O441" s="634"/>
      <c r="P441" s="634"/>
      <c r="Q441" s="634"/>
      <c r="R441" s="634"/>
      <c r="S441" s="634"/>
      <c r="U441" s="634"/>
      <c r="V441" s="634"/>
      <c r="W441" s="634"/>
      <c r="X441" s="634"/>
      <c r="Y441" s="634"/>
      <c r="Z441" s="634"/>
      <c r="AA441" s="634"/>
      <c r="AB441" s="634"/>
      <c r="AC441" s="634"/>
      <c r="AD441" s="634"/>
      <c r="AE441" s="634"/>
      <c r="AF441" s="634"/>
      <c r="AG441" s="634"/>
      <c r="AH441" s="634"/>
      <c r="AI441" s="634"/>
      <c r="AJ441" s="634"/>
      <c r="AK441" s="634"/>
    </row>
    <row r="442" spans="3:37" ht="22.5" x14ac:dyDescent="0.3">
      <c r="C442" s="759" t="s">
        <v>89</v>
      </c>
      <c r="D442" s="759"/>
      <c r="E442" s="759"/>
      <c r="F442" s="759"/>
      <c r="G442" s="759"/>
      <c r="H442" s="759"/>
      <c r="I442" s="759"/>
      <c r="J442" s="759"/>
      <c r="K442" s="759"/>
      <c r="L442" s="759"/>
      <c r="M442" s="759"/>
      <c r="N442" s="759"/>
      <c r="O442" s="759"/>
      <c r="P442" s="759"/>
      <c r="Q442" s="759"/>
      <c r="R442" s="759"/>
      <c r="S442" s="759"/>
      <c r="U442" s="759" t="s">
        <v>89</v>
      </c>
      <c r="V442" s="759"/>
      <c r="W442" s="759"/>
      <c r="X442" s="759"/>
      <c r="Y442" s="759"/>
      <c r="Z442" s="759"/>
      <c r="AA442" s="759"/>
      <c r="AB442" s="759"/>
      <c r="AC442" s="759"/>
      <c r="AD442" s="759"/>
      <c r="AE442" s="759"/>
      <c r="AF442" s="759"/>
      <c r="AG442" s="759"/>
      <c r="AH442" s="759"/>
      <c r="AI442" s="759"/>
      <c r="AJ442" s="759"/>
      <c r="AK442" s="759"/>
    </row>
    <row r="443" spans="3:37" x14ac:dyDescent="0.2">
      <c r="C443" s="634"/>
      <c r="D443" s="634"/>
      <c r="E443" s="634"/>
      <c r="F443" s="634"/>
      <c r="G443" s="634"/>
      <c r="H443" s="634"/>
      <c r="I443" s="634"/>
      <c r="J443" s="634"/>
      <c r="K443" s="634"/>
      <c r="L443" s="634"/>
      <c r="M443" s="634"/>
      <c r="N443" s="634"/>
      <c r="O443" s="634"/>
      <c r="P443" s="634"/>
      <c r="Q443" s="634"/>
      <c r="R443" s="634"/>
      <c r="S443" s="634"/>
      <c r="U443" s="634"/>
      <c r="V443" s="634"/>
      <c r="W443" s="634"/>
      <c r="X443" s="634"/>
      <c r="Y443" s="634"/>
      <c r="Z443" s="634"/>
      <c r="AA443" s="634"/>
      <c r="AB443" s="634"/>
      <c r="AC443" s="634"/>
      <c r="AD443" s="634"/>
      <c r="AE443" s="634"/>
      <c r="AF443" s="634"/>
      <c r="AG443" s="634"/>
      <c r="AH443" s="634"/>
      <c r="AI443" s="634"/>
      <c r="AJ443" s="634"/>
      <c r="AK443" s="634"/>
    </row>
    <row r="444" spans="3:37" ht="12.95" customHeight="1" x14ac:dyDescent="0.2">
      <c r="C444" s="758" t="s">
        <v>128</v>
      </c>
      <c r="D444" s="757" t="s">
        <v>42</v>
      </c>
      <c r="E444" s="757" t="s">
        <v>52</v>
      </c>
      <c r="F444" s="757" t="s">
        <v>53</v>
      </c>
      <c r="G444" s="757" t="s">
        <v>32</v>
      </c>
      <c r="H444" s="757" t="s">
        <v>20</v>
      </c>
      <c r="I444" s="757" t="s">
        <v>55</v>
      </c>
      <c r="J444" s="757" t="s">
        <v>56</v>
      </c>
      <c r="K444" s="757"/>
      <c r="L444" s="757"/>
      <c r="M444" s="757"/>
      <c r="N444" s="757"/>
      <c r="O444" s="757"/>
      <c r="P444" s="757" t="s">
        <v>57</v>
      </c>
      <c r="Q444" s="757" t="s">
        <v>58</v>
      </c>
      <c r="R444" s="757" t="s">
        <v>31</v>
      </c>
      <c r="S444" s="757" t="s">
        <v>10</v>
      </c>
      <c r="U444" s="758" t="s">
        <v>128</v>
      </c>
      <c r="V444" s="757" t="s">
        <v>42</v>
      </c>
      <c r="W444" s="757" t="s">
        <v>52</v>
      </c>
      <c r="X444" s="757" t="s">
        <v>53</v>
      </c>
      <c r="Y444" s="757" t="s">
        <v>32</v>
      </c>
      <c r="Z444" s="757" t="s">
        <v>20</v>
      </c>
      <c r="AA444" s="757" t="s">
        <v>55</v>
      </c>
      <c r="AB444" s="757" t="s">
        <v>56</v>
      </c>
      <c r="AC444" s="757"/>
      <c r="AD444" s="757"/>
      <c r="AE444" s="757"/>
      <c r="AF444" s="757"/>
      <c r="AG444" s="757"/>
      <c r="AH444" s="757" t="s">
        <v>57</v>
      </c>
      <c r="AI444" s="757" t="s">
        <v>58</v>
      </c>
      <c r="AJ444" s="757" t="s">
        <v>31</v>
      </c>
      <c r="AK444" s="757" t="s">
        <v>10</v>
      </c>
    </row>
    <row r="445" spans="3:37" ht="56.25" x14ac:dyDescent="0.2">
      <c r="C445" s="758"/>
      <c r="D445" s="757"/>
      <c r="E445" s="757"/>
      <c r="F445" s="757"/>
      <c r="G445" s="757"/>
      <c r="H445" s="757"/>
      <c r="I445" s="757"/>
      <c r="J445" s="638" t="s">
        <v>335</v>
      </c>
      <c r="K445" s="638" t="s">
        <v>40</v>
      </c>
      <c r="L445" s="638" t="s">
        <v>343</v>
      </c>
      <c r="M445" s="638" t="s">
        <v>344</v>
      </c>
      <c r="N445" s="638" t="s">
        <v>345</v>
      </c>
      <c r="O445" s="638" t="s">
        <v>346</v>
      </c>
      <c r="P445" s="757"/>
      <c r="Q445" s="757"/>
      <c r="R445" s="757"/>
      <c r="S445" s="757"/>
      <c r="U445" s="758"/>
      <c r="V445" s="757"/>
      <c r="W445" s="757"/>
      <c r="X445" s="757"/>
      <c r="Y445" s="757"/>
      <c r="Z445" s="757"/>
      <c r="AA445" s="757"/>
      <c r="AB445" s="638" t="s">
        <v>335</v>
      </c>
      <c r="AC445" s="638" t="s">
        <v>40</v>
      </c>
      <c r="AD445" s="638" t="s">
        <v>343</v>
      </c>
      <c r="AE445" s="638" t="s">
        <v>344</v>
      </c>
      <c r="AF445" s="638" t="s">
        <v>345</v>
      </c>
      <c r="AG445" s="638" t="s">
        <v>346</v>
      </c>
      <c r="AH445" s="757"/>
      <c r="AI445" s="757"/>
      <c r="AJ445" s="757"/>
      <c r="AK445" s="757"/>
    </row>
    <row r="446" spans="3:37" x14ac:dyDescent="0.2">
      <c r="C446" s="639" t="s">
        <v>59</v>
      </c>
      <c r="D446" s="640">
        <v>0</v>
      </c>
      <c r="E446" s="641">
        <v>0</v>
      </c>
      <c r="F446" s="641">
        <v>0</v>
      </c>
      <c r="G446" s="640">
        <v>0</v>
      </c>
      <c r="H446" s="641">
        <v>727.27272727272737</v>
      </c>
      <c r="I446" s="641">
        <v>338.37995078139568</v>
      </c>
      <c r="J446" s="641">
        <v>185.12606679296266</v>
      </c>
      <c r="K446" s="641">
        <v>19.887492227897642</v>
      </c>
      <c r="L446" s="641">
        <v>0.67629573379861951</v>
      </c>
      <c r="M446" s="641">
        <v>0.16041590589481752</v>
      </c>
      <c r="N446" s="641">
        <v>75.083762899489528</v>
      </c>
      <c r="O446" s="641">
        <v>12.515766779598991</v>
      </c>
      <c r="P446" s="642">
        <v>0</v>
      </c>
      <c r="Q446" s="641">
        <v>0</v>
      </c>
      <c r="R446" s="641">
        <v>0</v>
      </c>
      <c r="S446" s="643">
        <v>1359.1024783937653</v>
      </c>
      <c r="U446" s="639" t="s">
        <v>59</v>
      </c>
      <c r="V446" s="640">
        <v>0</v>
      </c>
      <c r="W446" s="641">
        <v>0</v>
      </c>
      <c r="X446" s="641">
        <v>0</v>
      </c>
      <c r="Y446" s="640">
        <v>0</v>
      </c>
      <c r="Z446" s="641">
        <v>764.84848484848499</v>
      </c>
      <c r="AA446" s="641">
        <v>423.19995078139567</v>
      </c>
      <c r="AB446" s="641">
        <v>256.09062969225096</v>
      </c>
      <c r="AC446" s="641">
        <v>36.108430969743218</v>
      </c>
      <c r="AD446" s="641">
        <v>0.67629573379861951</v>
      </c>
      <c r="AE446" s="641">
        <v>0.16041590589481752</v>
      </c>
      <c r="AF446" s="641">
        <v>123.16818516374138</v>
      </c>
      <c r="AG446" s="641">
        <v>30.250193334526926</v>
      </c>
      <c r="AH446" s="642">
        <v>0</v>
      </c>
      <c r="AI446" s="641">
        <v>0</v>
      </c>
      <c r="AJ446" s="641">
        <v>0</v>
      </c>
      <c r="AK446" s="643">
        <v>1634.5025864298366</v>
      </c>
    </row>
    <row r="447" spans="3:37" x14ac:dyDescent="0.2">
      <c r="C447" s="639" t="s">
        <v>60</v>
      </c>
      <c r="D447" s="640">
        <v>46.099891323621534</v>
      </c>
      <c r="E447" s="641">
        <v>464.7986487</v>
      </c>
      <c r="F447" s="641">
        <v>48.534128715927544</v>
      </c>
      <c r="G447" s="640">
        <v>345.55093723566335</v>
      </c>
      <c r="H447" s="641">
        <v>0</v>
      </c>
      <c r="I447" s="641">
        <v>0</v>
      </c>
      <c r="J447" s="641">
        <v>5.7213435879484642</v>
      </c>
      <c r="K447" s="641">
        <v>0</v>
      </c>
      <c r="L447" s="641">
        <v>3.0565993326094723</v>
      </c>
      <c r="M447" s="641">
        <v>0</v>
      </c>
      <c r="N447" s="641">
        <v>0</v>
      </c>
      <c r="O447" s="641">
        <v>0</v>
      </c>
      <c r="P447" s="642">
        <v>0</v>
      </c>
      <c r="Q447" s="641">
        <v>0</v>
      </c>
      <c r="R447" s="641">
        <v>0</v>
      </c>
      <c r="S447" s="643">
        <v>913.76154889577037</v>
      </c>
      <c r="U447" s="639" t="s">
        <v>60</v>
      </c>
      <c r="V447" s="640">
        <v>4.5871215860372576</v>
      </c>
      <c r="W447" s="641">
        <v>113.59926767676768</v>
      </c>
      <c r="X447" s="641">
        <v>20.138935454909394</v>
      </c>
      <c r="Y447" s="640">
        <v>0.51452681198611927</v>
      </c>
      <c r="Z447" s="641">
        <v>0</v>
      </c>
      <c r="AA447" s="641">
        <v>0</v>
      </c>
      <c r="AB447" s="641">
        <v>5.7213435879484642</v>
      </c>
      <c r="AC447" s="641">
        <v>0</v>
      </c>
      <c r="AD447" s="641">
        <v>3.0565993326094723</v>
      </c>
      <c r="AE447" s="641">
        <v>0</v>
      </c>
      <c r="AF447" s="641">
        <v>0</v>
      </c>
      <c r="AG447" s="641">
        <v>0</v>
      </c>
      <c r="AH447" s="642">
        <v>0</v>
      </c>
      <c r="AI447" s="641">
        <v>0</v>
      </c>
      <c r="AJ447" s="641">
        <v>0</v>
      </c>
      <c r="AK447" s="643">
        <v>147.6177944502584</v>
      </c>
    </row>
    <row r="448" spans="3:37" x14ac:dyDescent="0.2">
      <c r="C448" s="639" t="s">
        <v>61</v>
      </c>
      <c r="D448" s="640">
        <v>0</v>
      </c>
      <c r="E448" s="641">
        <v>0</v>
      </c>
      <c r="F448" s="641">
        <v>0</v>
      </c>
      <c r="G448" s="640">
        <v>0</v>
      </c>
      <c r="H448" s="641">
        <v>0</v>
      </c>
      <c r="I448" s="641">
        <v>0</v>
      </c>
      <c r="J448" s="641">
        <v>0</v>
      </c>
      <c r="K448" s="641">
        <v>0</v>
      </c>
      <c r="L448" s="641">
        <v>0</v>
      </c>
      <c r="M448" s="641">
        <v>0</v>
      </c>
      <c r="N448" s="641">
        <v>0</v>
      </c>
      <c r="O448" s="641">
        <v>0</v>
      </c>
      <c r="P448" s="642">
        <v>-12.7985093299136</v>
      </c>
      <c r="Q448" s="641">
        <v>0</v>
      </c>
      <c r="R448" s="641">
        <v>0</v>
      </c>
      <c r="S448" s="643">
        <v>-12.7985093299136</v>
      </c>
      <c r="U448" s="639" t="s">
        <v>61</v>
      </c>
      <c r="V448" s="640">
        <v>0</v>
      </c>
      <c r="W448" s="641">
        <v>0</v>
      </c>
      <c r="X448" s="641">
        <v>0</v>
      </c>
      <c r="Y448" s="640">
        <v>0</v>
      </c>
      <c r="Z448" s="641">
        <v>0</v>
      </c>
      <c r="AA448" s="641">
        <v>0</v>
      </c>
      <c r="AB448" s="641">
        <v>0</v>
      </c>
      <c r="AC448" s="641">
        <v>0</v>
      </c>
      <c r="AD448" s="641">
        <v>0</v>
      </c>
      <c r="AE448" s="641">
        <v>0</v>
      </c>
      <c r="AF448" s="641">
        <v>0</v>
      </c>
      <c r="AG448" s="641">
        <v>0</v>
      </c>
      <c r="AH448" s="642">
        <v>-41.639986107117011</v>
      </c>
      <c r="AI448" s="641">
        <v>0</v>
      </c>
      <c r="AJ448" s="641">
        <v>0</v>
      </c>
      <c r="AK448" s="643">
        <v>-41.639986107117011</v>
      </c>
    </row>
    <row r="449" spans="3:37" x14ac:dyDescent="0.2">
      <c r="C449" s="639" t="s">
        <v>62</v>
      </c>
      <c r="D449" s="640">
        <v>0</v>
      </c>
      <c r="E449" s="641">
        <v>0</v>
      </c>
      <c r="F449" s="641">
        <v>-14.431507774067331</v>
      </c>
      <c r="G449" s="640">
        <v>0</v>
      </c>
      <c r="H449" s="641">
        <v>0</v>
      </c>
      <c r="I449" s="641">
        <v>0</v>
      </c>
      <c r="J449" s="641">
        <v>0</v>
      </c>
      <c r="K449" s="641">
        <v>0</v>
      </c>
      <c r="L449" s="641">
        <v>0</v>
      </c>
      <c r="M449" s="641">
        <v>0</v>
      </c>
      <c r="N449" s="641">
        <v>0</v>
      </c>
      <c r="O449" s="641">
        <v>0</v>
      </c>
      <c r="P449" s="642">
        <v>0</v>
      </c>
      <c r="Q449" s="641">
        <v>0</v>
      </c>
      <c r="R449" s="641">
        <v>0</v>
      </c>
      <c r="S449" s="643">
        <v>-14.431507774067331</v>
      </c>
      <c r="U449" s="639" t="s">
        <v>62</v>
      </c>
      <c r="V449" s="640">
        <v>0</v>
      </c>
      <c r="W449" s="641">
        <v>0</v>
      </c>
      <c r="X449" s="641">
        <v>-5.3013702027186111</v>
      </c>
      <c r="Y449" s="640">
        <v>0</v>
      </c>
      <c r="Z449" s="641">
        <v>0</v>
      </c>
      <c r="AA449" s="641">
        <v>0</v>
      </c>
      <c r="AB449" s="641">
        <v>0</v>
      </c>
      <c r="AC449" s="641">
        <v>0</v>
      </c>
      <c r="AD449" s="641">
        <v>0</v>
      </c>
      <c r="AE449" s="641">
        <v>-5.1137296191648005</v>
      </c>
      <c r="AF449" s="641">
        <v>0</v>
      </c>
      <c r="AG449" s="641">
        <v>0</v>
      </c>
      <c r="AH449" s="642">
        <v>0</v>
      </c>
      <c r="AI449" s="641">
        <v>0</v>
      </c>
      <c r="AJ449" s="641">
        <v>0</v>
      </c>
      <c r="AK449" s="643">
        <v>-10.415099821883413</v>
      </c>
    </row>
    <row r="450" spans="3:37" x14ac:dyDescent="0.2">
      <c r="C450" s="639" t="s">
        <v>63</v>
      </c>
      <c r="D450" s="640">
        <v>0</v>
      </c>
      <c r="E450" s="641">
        <v>0</v>
      </c>
      <c r="F450" s="641">
        <v>-93.443844381495637</v>
      </c>
      <c r="G450" s="640">
        <v>0</v>
      </c>
      <c r="H450" s="641">
        <v>0</v>
      </c>
      <c r="I450" s="641">
        <v>0</v>
      </c>
      <c r="J450" s="641">
        <v>0</v>
      </c>
      <c r="K450" s="641">
        <v>0</v>
      </c>
      <c r="L450" s="641">
        <v>-0.96889726774865159</v>
      </c>
      <c r="M450" s="641">
        <v>0</v>
      </c>
      <c r="N450" s="641">
        <v>0</v>
      </c>
      <c r="O450" s="641">
        <v>0</v>
      </c>
      <c r="P450" s="642">
        <v>0</v>
      </c>
      <c r="Q450" s="641">
        <v>0</v>
      </c>
      <c r="R450" s="641">
        <v>0</v>
      </c>
      <c r="S450" s="643">
        <v>-94.412741649244282</v>
      </c>
      <c r="U450" s="639" t="s">
        <v>63</v>
      </c>
      <c r="V450" s="640">
        <v>0</v>
      </c>
      <c r="W450" s="641">
        <v>0</v>
      </c>
      <c r="X450" s="641">
        <v>-35.841594545498886</v>
      </c>
      <c r="Y450" s="640">
        <v>0</v>
      </c>
      <c r="Z450" s="641">
        <v>0</v>
      </c>
      <c r="AA450" s="641">
        <v>0</v>
      </c>
      <c r="AB450" s="641">
        <v>0</v>
      </c>
      <c r="AC450" s="641">
        <v>0</v>
      </c>
      <c r="AD450" s="641">
        <v>-46.567340427053182</v>
      </c>
      <c r="AE450" s="641">
        <v>0</v>
      </c>
      <c r="AF450" s="641">
        <v>0</v>
      </c>
      <c r="AG450" s="641">
        <v>0</v>
      </c>
      <c r="AH450" s="642">
        <v>0</v>
      </c>
      <c r="AI450" s="641">
        <v>0</v>
      </c>
      <c r="AJ450" s="641">
        <v>0</v>
      </c>
      <c r="AK450" s="643">
        <v>-82.408934972552061</v>
      </c>
    </row>
    <row r="451" spans="3:37" x14ac:dyDescent="0.2">
      <c r="C451" s="639" t="s">
        <v>64</v>
      </c>
      <c r="D451" s="640">
        <v>0</v>
      </c>
      <c r="E451" s="641">
        <v>0</v>
      </c>
      <c r="F451" s="641">
        <v>0</v>
      </c>
      <c r="G451" s="640">
        <v>0</v>
      </c>
      <c r="H451" s="641">
        <v>0</v>
      </c>
      <c r="I451" s="641">
        <v>0</v>
      </c>
      <c r="J451" s="641">
        <v>0</v>
      </c>
      <c r="K451" s="641">
        <v>0</v>
      </c>
      <c r="L451" s="641">
        <v>0</v>
      </c>
      <c r="M451" s="641">
        <v>0</v>
      </c>
      <c r="N451" s="641">
        <v>0</v>
      </c>
      <c r="O451" s="641">
        <v>0</v>
      </c>
      <c r="P451" s="642">
        <v>0</v>
      </c>
      <c r="Q451" s="641">
        <v>0</v>
      </c>
      <c r="R451" s="641">
        <v>0</v>
      </c>
      <c r="S451" s="643">
        <v>0</v>
      </c>
      <c r="U451" s="639" t="s">
        <v>64</v>
      </c>
      <c r="V451" s="640">
        <v>0</v>
      </c>
      <c r="W451" s="641">
        <v>0</v>
      </c>
      <c r="X451" s="641">
        <v>0</v>
      </c>
      <c r="Y451" s="640">
        <v>0</v>
      </c>
      <c r="Z451" s="641">
        <v>0</v>
      </c>
      <c r="AA451" s="641">
        <v>0</v>
      </c>
      <c r="AB451" s="641">
        <v>0</v>
      </c>
      <c r="AC451" s="641">
        <v>0</v>
      </c>
      <c r="AD451" s="641">
        <v>0</v>
      </c>
      <c r="AE451" s="641">
        <v>0</v>
      </c>
      <c r="AF451" s="641">
        <v>0</v>
      </c>
      <c r="AG451" s="641">
        <v>0</v>
      </c>
      <c r="AH451" s="642">
        <v>0</v>
      </c>
      <c r="AI451" s="641">
        <v>0</v>
      </c>
      <c r="AJ451" s="641">
        <v>0</v>
      </c>
      <c r="AK451" s="643">
        <v>0</v>
      </c>
    </row>
    <row r="452" spans="3:37" x14ac:dyDescent="0.2">
      <c r="C452" s="644" t="s">
        <v>65</v>
      </c>
      <c r="D452" s="645">
        <v>46.099891323621534</v>
      </c>
      <c r="E452" s="645">
        <v>464.7986487</v>
      </c>
      <c r="F452" s="645">
        <v>-59.341223439635421</v>
      </c>
      <c r="G452" s="645">
        <v>345.55093723566335</v>
      </c>
      <c r="H452" s="645">
        <v>727.27272727272737</v>
      </c>
      <c r="I452" s="645">
        <v>338.37995078139568</v>
      </c>
      <c r="J452" s="645">
        <v>190.84741038091113</v>
      </c>
      <c r="K452" s="645">
        <v>19.887492227897642</v>
      </c>
      <c r="L452" s="645">
        <v>2.7639977986594397</v>
      </c>
      <c r="M452" s="645">
        <v>0.16041590589481752</v>
      </c>
      <c r="N452" s="645">
        <v>75.083762899489528</v>
      </c>
      <c r="O452" s="645">
        <v>12.515766779598991</v>
      </c>
      <c r="P452" s="645">
        <v>-12.7985093299136</v>
      </c>
      <c r="Q452" s="645">
        <v>0</v>
      </c>
      <c r="R452" s="645">
        <v>0</v>
      </c>
      <c r="S452" s="645">
        <v>2151.2212685363102</v>
      </c>
      <c r="U452" s="644" t="s">
        <v>65</v>
      </c>
      <c r="V452" s="645">
        <v>4.5871215860372576</v>
      </c>
      <c r="W452" s="645">
        <v>113.59926767676768</v>
      </c>
      <c r="X452" s="645">
        <v>-21.004029293308101</v>
      </c>
      <c r="Y452" s="645">
        <v>0.51452681198611927</v>
      </c>
      <c r="Z452" s="645">
        <v>764.84848484848499</v>
      </c>
      <c r="AA452" s="645">
        <v>423.19995078139567</v>
      </c>
      <c r="AB452" s="645">
        <v>261.81197328019942</v>
      </c>
      <c r="AC452" s="645">
        <v>36.108430969743218</v>
      </c>
      <c r="AD452" s="645">
        <v>-42.834445360645091</v>
      </c>
      <c r="AE452" s="645">
        <v>-4.9533137132699832</v>
      </c>
      <c r="AF452" s="645">
        <v>123.16818516374138</v>
      </c>
      <c r="AG452" s="645">
        <v>30.250193334526926</v>
      </c>
      <c r="AH452" s="645">
        <v>-41.639986107117011</v>
      </c>
      <c r="AI452" s="645">
        <v>0</v>
      </c>
      <c r="AJ452" s="645">
        <v>0</v>
      </c>
      <c r="AK452" s="645">
        <v>1647.6563599785427</v>
      </c>
    </row>
    <row r="453" spans="3:37" x14ac:dyDescent="0.2">
      <c r="C453" s="634"/>
      <c r="D453" s="634">
        <v>0</v>
      </c>
      <c r="E453" s="634">
        <v>0</v>
      </c>
      <c r="F453" s="634">
        <v>0</v>
      </c>
      <c r="G453" s="634">
        <v>0</v>
      </c>
      <c r="H453" s="634">
        <v>0</v>
      </c>
      <c r="I453" s="634">
        <v>0</v>
      </c>
      <c r="J453" s="634">
        <v>0</v>
      </c>
      <c r="K453" s="634">
        <v>0</v>
      </c>
      <c r="L453" s="634">
        <v>0</v>
      </c>
      <c r="M453" s="634">
        <v>0</v>
      </c>
      <c r="N453" s="634">
        <v>0</v>
      </c>
      <c r="O453" s="634">
        <v>0</v>
      </c>
      <c r="P453" s="634">
        <v>0</v>
      </c>
      <c r="Q453" s="634">
        <v>0</v>
      </c>
      <c r="R453" s="634">
        <v>0</v>
      </c>
      <c r="S453" s="634">
        <v>0</v>
      </c>
      <c r="U453" s="634"/>
      <c r="V453" s="634">
        <v>0</v>
      </c>
      <c r="W453" s="634">
        <v>0</v>
      </c>
      <c r="X453" s="634">
        <v>0</v>
      </c>
      <c r="Y453" s="634">
        <v>0</v>
      </c>
      <c r="Z453" s="634">
        <v>0</v>
      </c>
      <c r="AA453" s="634">
        <v>0</v>
      </c>
      <c r="AB453" s="634">
        <v>0</v>
      </c>
      <c r="AC453" s="634">
        <v>0</v>
      </c>
      <c r="AD453" s="634">
        <v>0</v>
      </c>
      <c r="AE453" s="634">
        <v>0</v>
      </c>
      <c r="AF453" s="634">
        <v>0</v>
      </c>
      <c r="AG453" s="634">
        <v>0</v>
      </c>
      <c r="AH453" s="634">
        <v>0</v>
      </c>
      <c r="AI453" s="634">
        <v>0</v>
      </c>
      <c r="AJ453" s="634">
        <v>0</v>
      </c>
      <c r="AK453" s="634">
        <v>0</v>
      </c>
    </row>
    <row r="454" spans="3:37" x14ac:dyDescent="0.2">
      <c r="C454" s="646" t="s">
        <v>67</v>
      </c>
      <c r="D454" s="640">
        <v>0</v>
      </c>
      <c r="E454" s="647">
        <v>0</v>
      </c>
      <c r="F454" s="647">
        <v>0</v>
      </c>
      <c r="G454" s="640">
        <v>0</v>
      </c>
      <c r="H454" s="640">
        <v>0</v>
      </c>
      <c r="I454" s="640">
        <v>0</v>
      </c>
      <c r="J454" s="640">
        <v>0</v>
      </c>
      <c r="K454" s="640">
        <v>0</v>
      </c>
      <c r="L454" s="640">
        <v>0</v>
      </c>
      <c r="M454" s="640">
        <v>0</v>
      </c>
      <c r="N454" s="640">
        <v>0</v>
      </c>
      <c r="O454" s="640">
        <v>0</v>
      </c>
      <c r="P454" s="640">
        <v>0</v>
      </c>
      <c r="Q454" s="640">
        <v>0</v>
      </c>
      <c r="R454" s="640">
        <v>0</v>
      </c>
      <c r="S454" s="648">
        <v>0</v>
      </c>
      <c r="U454" s="646" t="s">
        <v>67</v>
      </c>
      <c r="V454" s="640">
        <v>0</v>
      </c>
      <c r="W454" s="647">
        <v>0</v>
      </c>
      <c r="X454" s="647">
        <v>0</v>
      </c>
      <c r="Y454" s="640">
        <v>0</v>
      </c>
      <c r="Z454" s="640">
        <v>0</v>
      </c>
      <c r="AA454" s="640">
        <v>0</v>
      </c>
      <c r="AB454" s="640">
        <v>0</v>
      </c>
      <c r="AC454" s="640">
        <v>0</v>
      </c>
      <c r="AD454" s="640">
        <v>0</v>
      </c>
      <c r="AE454" s="640">
        <v>0</v>
      </c>
      <c r="AF454" s="640">
        <v>0</v>
      </c>
      <c r="AG454" s="640">
        <v>0</v>
      </c>
      <c r="AH454" s="640">
        <v>0</v>
      </c>
      <c r="AI454" s="640">
        <v>0</v>
      </c>
      <c r="AJ454" s="640">
        <v>0</v>
      </c>
      <c r="AK454" s="648">
        <v>0</v>
      </c>
    </row>
    <row r="455" spans="3:37" x14ac:dyDescent="0.2">
      <c r="C455" s="646" t="s">
        <v>347</v>
      </c>
      <c r="D455" s="640">
        <v>2.8267856410252494</v>
      </c>
      <c r="E455" s="640">
        <v>0</v>
      </c>
      <c r="F455" s="640">
        <v>8.0599105831015567</v>
      </c>
      <c r="G455" s="640">
        <v>46.530346198952707</v>
      </c>
      <c r="H455" s="640">
        <v>727.27272727272737</v>
      </c>
      <c r="I455" s="640">
        <v>338.37995078139568</v>
      </c>
      <c r="J455" s="649">
        <v>28.452469116356035</v>
      </c>
      <c r="K455" s="649">
        <v>6.2305848357200952</v>
      </c>
      <c r="L455" s="649">
        <v>3.7328950664080915</v>
      </c>
      <c r="M455" s="649">
        <v>1.0761160081227215</v>
      </c>
      <c r="N455" s="649">
        <v>0</v>
      </c>
      <c r="O455" s="649">
        <v>7.5664382136221358</v>
      </c>
      <c r="P455" s="640">
        <v>-629.14515201417555</v>
      </c>
      <c r="Q455" s="640">
        <v>0</v>
      </c>
      <c r="R455" s="640">
        <v>0</v>
      </c>
      <c r="S455" s="648">
        <v>540.98307170325586</v>
      </c>
      <c r="U455" s="646" t="s">
        <v>347</v>
      </c>
      <c r="V455" s="640">
        <v>0.62631490545869017</v>
      </c>
      <c r="W455" s="640">
        <v>0</v>
      </c>
      <c r="X455" s="640">
        <v>4.1962742194651934</v>
      </c>
      <c r="Y455" s="640">
        <v>0</v>
      </c>
      <c r="Z455" s="640">
        <v>764.84848484848499</v>
      </c>
      <c r="AA455" s="640">
        <v>423.19995078139567</v>
      </c>
      <c r="AB455" s="649">
        <v>22.478183728982629</v>
      </c>
      <c r="AC455" s="649">
        <v>5.0926371917675839</v>
      </c>
      <c r="AD455" s="649">
        <v>3.7328950664080915</v>
      </c>
      <c r="AE455" s="649">
        <v>0.79318377276994545</v>
      </c>
      <c r="AF455" s="649">
        <v>0</v>
      </c>
      <c r="AG455" s="649">
        <v>7.5664382136221358</v>
      </c>
      <c r="AH455" s="640">
        <v>-696.77718495359215</v>
      </c>
      <c r="AI455" s="640">
        <v>0</v>
      </c>
      <c r="AJ455" s="640">
        <v>3.75</v>
      </c>
      <c r="AK455" s="648">
        <v>539.50717777476291</v>
      </c>
    </row>
    <row r="456" spans="3:37" x14ac:dyDescent="0.2">
      <c r="C456" s="646" t="s">
        <v>348</v>
      </c>
      <c r="D456" s="640">
        <v>0</v>
      </c>
      <c r="E456" s="640">
        <v>0</v>
      </c>
      <c r="F456" s="640">
        <v>0</v>
      </c>
      <c r="G456" s="640">
        <v>14.783508517784153</v>
      </c>
      <c r="H456" s="640">
        <v>0</v>
      </c>
      <c r="I456" s="640">
        <v>0</v>
      </c>
      <c r="J456" s="649">
        <v>12.163067049530284</v>
      </c>
      <c r="K456" s="649">
        <v>11.829214997579474</v>
      </c>
      <c r="L456" s="649">
        <v>0</v>
      </c>
      <c r="M456" s="649">
        <v>0.31740804730172578</v>
      </c>
      <c r="N456" s="649">
        <v>0</v>
      </c>
      <c r="O456" s="649">
        <v>2.086875550337155</v>
      </c>
      <c r="P456" s="640">
        <v>0</v>
      </c>
      <c r="Q456" s="640">
        <v>-37.667878685561853</v>
      </c>
      <c r="R456" s="640">
        <v>0</v>
      </c>
      <c r="S456" s="648">
        <v>3.5121954769709394</v>
      </c>
      <c r="U456" s="646" t="s">
        <v>348</v>
      </c>
      <c r="V456" s="640">
        <v>0</v>
      </c>
      <c r="W456" s="640">
        <v>0</v>
      </c>
      <c r="X456" s="640">
        <v>0</v>
      </c>
      <c r="Y456" s="640">
        <v>0</v>
      </c>
      <c r="Z456" s="640">
        <v>0</v>
      </c>
      <c r="AA456" s="640">
        <v>0</v>
      </c>
      <c r="AB456" s="649">
        <v>28.523630086620891</v>
      </c>
      <c r="AC456" s="649">
        <v>26.288013396118924</v>
      </c>
      <c r="AD456" s="649">
        <v>0</v>
      </c>
      <c r="AE456" s="649">
        <v>10.611192177482708</v>
      </c>
      <c r="AF456" s="649">
        <v>0</v>
      </c>
      <c r="AG456" s="649">
        <v>14.121402979798832</v>
      </c>
      <c r="AH456" s="640">
        <v>0</v>
      </c>
      <c r="AI456" s="640">
        <v>-74.176724382187018</v>
      </c>
      <c r="AJ456" s="640">
        <v>0</v>
      </c>
      <c r="AK456" s="648">
        <v>5.3675142578343316</v>
      </c>
    </row>
    <row r="457" spans="3:37" x14ac:dyDescent="0.2">
      <c r="C457" s="646" t="s">
        <v>349</v>
      </c>
      <c r="D457" s="640">
        <v>0</v>
      </c>
      <c r="E457" s="640">
        <v>0</v>
      </c>
      <c r="F457" s="640">
        <v>0</v>
      </c>
      <c r="G457" s="640">
        <v>0</v>
      </c>
      <c r="H457" s="640">
        <v>0</v>
      </c>
      <c r="I457" s="640">
        <v>0</v>
      </c>
      <c r="J457" s="650">
        <v>7.1450792385721682</v>
      </c>
      <c r="K457" s="650">
        <v>0</v>
      </c>
      <c r="L457" s="650">
        <v>0</v>
      </c>
      <c r="M457" s="650">
        <v>-6.8235506728364204</v>
      </c>
      <c r="N457" s="650">
        <v>0</v>
      </c>
      <c r="O457" s="650">
        <v>0</v>
      </c>
      <c r="P457" s="640">
        <v>0</v>
      </c>
      <c r="Q457" s="640">
        <v>0</v>
      </c>
      <c r="R457" s="640">
        <v>0</v>
      </c>
      <c r="S457" s="648">
        <v>0.32152856573574784</v>
      </c>
      <c r="U457" s="646" t="s">
        <v>349</v>
      </c>
      <c r="V457" s="640">
        <v>0</v>
      </c>
      <c r="W457" s="640">
        <v>0</v>
      </c>
      <c r="X457" s="640">
        <v>0</v>
      </c>
      <c r="Y457" s="640">
        <v>0</v>
      </c>
      <c r="Z457" s="640">
        <v>0</v>
      </c>
      <c r="AA457" s="640">
        <v>0</v>
      </c>
      <c r="AB457" s="650">
        <v>137.81211213320262</v>
      </c>
      <c r="AC457" s="650">
        <v>0</v>
      </c>
      <c r="AD457" s="650">
        <v>0</v>
      </c>
      <c r="AE457" s="650">
        <v>-131.61056708720849</v>
      </c>
      <c r="AF457" s="650">
        <v>0</v>
      </c>
      <c r="AG457" s="650">
        <v>0</v>
      </c>
      <c r="AH457" s="640">
        <v>0</v>
      </c>
      <c r="AI457" s="640">
        <v>0</v>
      </c>
      <c r="AJ457" s="640">
        <v>0</v>
      </c>
      <c r="AK457" s="648">
        <v>6.2015450459941235</v>
      </c>
    </row>
    <row r="458" spans="3:37" x14ac:dyDescent="0.2">
      <c r="C458" s="646" t="s">
        <v>350</v>
      </c>
      <c r="D458" s="640">
        <v>0</v>
      </c>
      <c r="E458" s="640">
        <v>0</v>
      </c>
      <c r="F458" s="640">
        <v>0</v>
      </c>
      <c r="G458" s="640">
        <v>0</v>
      </c>
      <c r="H458" s="640">
        <v>0</v>
      </c>
      <c r="I458" s="640">
        <v>0</v>
      </c>
      <c r="J458" s="640">
        <v>0</v>
      </c>
      <c r="K458" s="640">
        <v>0</v>
      </c>
      <c r="L458" s="640">
        <v>0</v>
      </c>
      <c r="M458" s="640">
        <v>0</v>
      </c>
      <c r="N458" s="640">
        <v>0</v>
      </c>
      <c r="O458" s="640">
        <v>0</v>
      </c>
      <c r="P458" s="640">
        <v>0</v>
      </c>
      <c r="Q458" s="640">
        <v>0</v>
      </c>
      <c r="R458" s="640">
        <v>0</v>
      </c>
      <c r="S458" s="648">
        <v>0</v>
      </c>
      <c r="U458" s="646" t="s">
        <v>350</v>
      </c>
      <c r="V458" s="640">
        <v>0</v>
      </c>
      <c r="W458" s="640">
        <v>0</v>
      </c>
      <c r="X458" s="640">
        <v>0</v>
      </c>
      <c r="Y458" s="640">
        <v>0</v>
      </c>
      <c r="Z458" s="640">
        <v>0</v>
      </c>
      <c r="AA458" s="640">
        <v>0</v>
      </c>
      <c r="AB458" s="640">
        <v>0</v>
      </c>
      <c r="AC458" s="640">
        <v>0</v>
      </c>
      <c r="AD458" s="640">
        <v>0</v>
      </c>
      <c r="AE458" s="640">
        <v>0</v>
      </c>
      <c r="AF458" s="640">
        <v>0</v>
      </c>
      <c r="AG458" s="640">
        <v>0</v>
      </c>
      <c r="AH458" s="640">
        <v>0</v>
      </c>
      <c r="AI458" s="640">
        <v>0</v>
      </c>
      <c r="AJ458" s="640">
        <v>0</v>
      </c>
      <c r="AK458" s="648">
        <v>0</v>
      </c>
    </row>
    <row r="459" spans="3:37" x14ac:dyDescent="0.2">
      <c r="C459" s="646" t="s">
        <v>72</v>
      </c>
      <c r="D459" s="640">
        <v>0</v>
      </c>
      <c r="E459" s="640">
        <v>481.48200000000003</v>
      </c>
      <c r="F459" s="640">
        <v>-476.66718000000003</v>
      </c>
      <c r="G459" s="640">
        <v>0</v>
      </c>
      <c r="H459" s="640">
        <v>0</v>
      </c>
      <c r="I459" s="640">
        <v>0</v>
      </c>
      <c r="J459" s="640">
        <v>0</v>
      </c>
      <c r="K459" s="640">
        <v>0</v>
      </c>
      <c r="L459" s="640">
        <v>0</v>
      </c>
      <c r="M459" s="640">
        <v>0</v>
      </c>
      <c r="N459" s="640">
        <v>0</v>
      </c>
      <c r="O459" s="640">
        <v>0</v>
      </c>
      <c r="P459" s="640">
        <v>0</v>
      </c>
      <c r="Q459" s="640">
        <v>0</v>
      </c>
      <c r="R459" s="640">
        <v>0</v>
      </c>
      <c r="S459" s="648">
        <v>4.8148199999999974</v>
      </c>
      <c r="U459" s="646" t="s">
        <v>72</v>
      </c>
      <c r="V459" s="640">
        <v>0</v>
      </c>
      <c r="W459" s="640">
        <v>117.67676767676768</v>
      </c>
      <c r="X459" s="640">
        <v>-116.5</v>
      </c>
      <c r="Y459" s="640">
        <v>0</v>
      </c>
      <c r="Z459" s="640">
        <v>0</v>
      </c>
      <c r="AA459" s="640">
        <v>0</v>
      </c>
      <c r="AB459" s="640">
        <v>0</v>
      </c>
      <c r="AC459" s="640">
        <v>0</v>
      </c>
      <c r="AD459" s="640">
        <v>0</v>
      </c>
      <c r="AE459" s="640">
        <v>0</v>
      </c>
      <c r="AF459" s="640">
        <v>0</v>
      </c>
      <c r="AG459" s="640">
        <v>0</v>
      </c>
      <c r="AH459" s="640">
        <v>0</v>
      </c>
      <c r="AI459" s="640">
        <v>0</v>
      </c>
      <c r="AJ459" s="640">
        <v>0</v>
      </c>
      <c r="AK459" s="648">
        <v>1.1767676767676818</v>
      </c>
    </row>
    <row r="460" spans="3:37" x14ac:dyDescent="0.2">
      <c r="C460" s="646" t="s">
        <v>351</v>
      </c>
      <c r="D460" s="640">
        <v>0</v>
      </c>
      <c r="E460" s="640">
        <v>0</v>
      </c>
      <c r="F460" s="640">
        <v>0</v>
      </c>
      <c r="G460" s="640">
        <v>0</v>
      </c>
      <c r="H460" s="640">
        <v>0</v>
      </c>
      <c r="I460" s="640">
        <v>0</v>
      </c>
      <c r="J460" s="640">
        <v>26.125483595276659</v>
      </c>
      <c r="K460" s="640">
        <v>0</v>
      </c>
      <c r="L460" s="640">
        <v>-26.125483595276659</v>
      </c>
      <c r="M460" s="640">
        <v>0</v>
      </c>
      <c r="N460" s="640">
        <v>0</v>
      </c>
      <c r="O460" s="640">
        <v>0</v>
      </c>
      <c r="P460" s="640">
        <v>0</v>
      </c>
      <c r="Q460" s="640">
        <v>0</v>
      </c>
      <c r="R460" s="640">
        <v>0</v>
      </c>
      <c r="S460" s="648">
        <v>0</v>
      </c>
      <c r="U460" s="646" t="s">
        <v>351</v>
      </c>
      <c r="V460" s="640">
        <v>0</v>
      </c>
      <c r="W460" s="640">
        <v>0</v>
      </c>
      <c r="X460" s="640">
        <v>0</v>
      </c>
      <c r="Y460" s="640">
        <v>0</v>
      </c>
      <c r="Z460" s="640">
        <v>0</v>
      </c>
      <c r="AA460" s="640">
        <v>0</v>
      </c>
      <c r="AB460" s="640" t="e">
        <v>#VALUE!</v>
      </c>
      <c r="AC460" s="640">
        <v>0</v>
      </c>
      <c r="AD460" s="640">
        <v>-100.69655001825291</v>
      </c>
      <c r="AE460" s="640">
        <v>0</v>
      </c>
      <c r="AF460" s="640">
        <v>0</v>
      </c>
      <c r="AG460" s="640">
        <v>0</v>
      </c>
      <c r="AH460" s="640">
        <v>0</v>
      </c>
      <c r="AI460" s="640">
        <v>0</v>
      </c>
      <c r="AJ460" s="640">
        <v>0</v>
      </c>
      <c r="AK460" s="648">
        <v>-100.69655001825291</v>
      </c>
    </row>
    <row r="461" spans="3:37" x14ac:dyDescent="0.2">
      <c r="C461" s="646" t="s">
        <v>352</v>
      </c>
      <c r="D461" s="640">
        <v>0</v>
      </c>
      <c r="E461" s="640">
        <v>0</v>
      </c>
      <c r="F461" s="640">
        <v>0</v>
      </c>
      <c r="G461" s="640">
        <v>0</v>
      </c>
      <c r="H461" s="640">
        <v>0</v>
      </c>
      <c r="I461" s="640">
        <v>0</v>
      </c>
      <c r="J461" s="640">
        <v>0</v>
      </c>
      <c r="K461" s="640">
        <v>0</v>
      </c>
      <c r="L461" s="640">
        <v>0</v>
      </c>
      <c r="M461" s="640">
        <v>0</v>
      </c>
      <c r="N461" s="640">
        <v>0</v>
      </c>
      <c r="O461" s="640">
        <v>0</v>
      </c>
      <c r="P461" s="640">
        <v>0</v>
      </c>
      <c r="Q461" s="640">
        <v>0</v>
      </c>
      <c r="R461" s="640">
        <v>0</v>
      </c>
      <c r="S461" s="648">
        <v>0</v>
      </c>
      <c r="U461" s="646" t="s">
        <v>352</v>
      </c>
      <c r="V461" s="640">
        <v>0</v>
      </c>
      <c r="W461" s="640">
        <v>0</v>
      </c>
      <c r="X461" s="640">
        <v>0</v>
      </c>
      <c r="Y461" s="640">
        <v>0</v>
      </c>
      <c r="Z461" s="640">
        <v>0</v>
      </c>
      <c r="AA461" s="640">
        <v>0</v>
      </c>
      <c r="AB461" s="640">
        <v>0</v>
      </c>
      <c r="AC461" s="640">
        <v>0</v>
      </c>
      <c r="AD461" s="640">
        <v>-28.460377640694865</v>
      </c>
      <c r="AE461" s="640">
        <v>0</v>
      </c>
      <c r="AF461" s="640">
        <v>0</v>
      </c>
      <c r="AG461" s="640">
        <v>0</v>
      </c>
      <c r="AH461" s="640">
        <v>0</v>
      </c>
      <c r="AI461" s="640">
        <v>0</v>
      </c>
      <c r="AJ461" s="640">
        <v>0</v>
      </c>
      <c r="AK461" s="648">
        <v>-28.460377640694865</v>
      </c>
    </row>
    <row r="462" spans="3:37" x14ac:dyDescent="0.2">
      <c r="C462" s="646" t="s">
        <v>73</v>
      </c>
      <c r="D462" s="640">
        <v>0</v>
      </c>
      <c r="E462" s="640">
        <v>0</v>
      </c>
      <c r="F462" s="640">
        <v>0</v>
      </c>
      <c r="G462" s="640">
        <v>8.6128889644156494</v>
      </c>
      <c r="H462" s="640">
        <v>0</v>
      </c>
      <c r="I462" s="640">
        <v>0</v>
      </c>
      <c r="J462" s="640">
        <v>0</v>
      </c>
      <c r="K462" s="640">
        <v>0.10101910584583218</v>
      </c>
      <c r="L462" s="640">
        <v>0</v>
      </c>
      <c r="M462" s="640">
        <v>0.17577324417174797</v>
      </c>
      <c r="N462" s="640">
        <v>0</v>
      </c>
      <c r="O462" s="640">
        <v>0</v>
      </c>
      <c r="P462" s="640">
        <v>1.1785562348680418</v>
      </c>
      <c r="Q462" s="640">
        <v>0</v>
      </c>
      <c r="R462" s="640">
        <v>-7.071337409208251</v>
      </c>
      <c r="S462" s="648">
        <v>2.99690014009302</v>
      </c>
      <c r="U462" s="646" t="s">
        <v>73</v>
      </c>
      <c r="V462" s="640">
        <v>0</v>
      </c>
      <c r="W462" s="640">
        <v>0</v>
      </c>
      <c r="X462" s="640">
        <v>0</v>
      </c>
      <c r="Y462" s="640">
        <v>0</v>
      </c>
      <c r="Z462" s="640">
        <v>0</v>
      </c>
      <c r="AA462" s="640">
        <v>0</v>
      </c>
      <c r="AB462" s="640">
        <v>0</v>
      </c>
      <c r="AC462" s="640">
        <v>0.58294529496624936</v>
      </c>
      <c r="AD462" s="640">
        <v>0</v>
      </c>
      <c r="AE462" s="640">
        <v>0</v>
      </c>
      <c r="AF462" s="640">
        <v>0</v>
      </c>
      <c r="AG462" s="640">
        <v>0</v>
      </c>
      <c r="AH462" s="640">
        <v>56.108484640501494</v>
      </c>
      <c r="AI462" s="640">
        <v>0</v>
      </c>
      <c r="AJ462" s="640">
        <v>-40.806170647637451</v>
      </c>
      <c r="AK462" s="648">
        <v>15.885259287830294</v>
      </c>
    </row>
    <row r="463" spans="3:37" x14ac:dyDescent="0.2">
      <c r="C463" s="646" t="s">
        <v>353</v>
      </c>
      <c r="D463" s="640">
        <v>28.51179328125</v>
      </c>
      <c r="E463" s="640">
        <v>-16.683351300000002</v>
      </c>
      <c r="F463" s="640">
        <v>21.820838094867195</v>
      </c>
      <c r="G463" s="640">
        <v>0</v>
      </c>
      <c r="H463" s="640">
        <v>0</v>
      </c>
      <c r="I463" s="640">
        <v>0</v>
      </c>
      <c r="J463" s="640">
        <v>0</v>
      </c>
      <c r="K463" s="640">
        <v>0</v>
      </c>
      <c r="L463" s="640">
        <v>0</v>
      </c>
      <c r="M463" s="640">
        <v>0</v>
      </c>
      <c r="N463" s="640">
        <v>0</v>
      </c>
      <c r="O463" s="640">
        <v>0</v>
      </c>
      <c r="P463" s="640">
        <v>0</v>
      </c>
      <c r="Q463" s="640">
        <v>0</v>
      </c>
      <c r="R463" s="640">
        <v>0</v>
      </c>
      <c r="S463" s="648">
        <v>33.649280076117194</v>
      </c>
      <c r="U463" s="646" t="s">
        <v>353</v>
      </c>
      <c r="V463" s="640">
        <v>0.72303211975097659</v>
      </c>
      <c r="W463" s="640">
        <v>-4.0775000000000006</v>
      </c>
      <c r="X463" s="640">
        <v>5.333129161634389</v>
      </c>
      <c r="Y463" s="640">
        <v>0</v>
      </c>
      <c r="Z463" s="640">
        <v>0</v>
      </c>
      <c r="AA463" s="640">
        <v>0</v>
      </c>
      <c r="AB463" s="640">
        <v>0</v>
      </c>
      <c r="AC463" s="640">
        <v>0</v>
      </c>
      <c r="AD463" s="640">
        <v>0</v>
      </c>
      <c r="AE463" s="640">
        <v>0</v>
      </c>
      <c r="AF463" s="640">
        <v>0</v>
      </c>
      <c r="AG463" s="640">
        <v>0</v>
      </c>
      <c r="AH463" s="640">
        <v>0</v>
      </c>
      <c r="AI463" s="640">
        <v>0</v>
      </c>
      <c r="AJ463" s="640">
        <v>0</v>
      </c>
      <c r="AK463" s="648">
        <v>1.978661281385365</v>
      </c>
    </row>
    <row r="464" spans="3:37" x14ac:dyDescent="0.2">
      <c r="C464" s="646" t="s">
        <v>75</v>
      </c>
      <c r="D464" s="640">
        <v>11.087919609375001</v>
      </c>
      <c r="E464" s="640">
        <v>0</v>
      </c>
      <c r="F464" s="640">
        <v>16.370388000000002</v>
      </c>
      <c r="G464" s="640">
        <v>4.6713383640000004</v>
      </c>
      <c r="H464" s="640">
        <v>0</v>
      </c>
      <c r="I464" s="640">
        <v>0</v>
      </c>
      <c r="J464" s="640">
        <v>0</v>
      </c>
      <c r="K464" s="640">
        <v>0</v>
      </c>
      <c r="L464" s="640">
        <v>0</v>
      </c>
      <c r="M464" s="640">
        <v>9.5333436000000008E-2</v>
      </c>
      <c r="N464" s="640">
        <v>0</v>
      </c>
      <c r="O464" s="640">
        <v>0</v>
      </c>
      <c r="P464" s="640">
        <v>26.129145836866744</v>
      </c>
      <c r="Q464" s="640">
        <v>0</v>
      </c>
      <c r="R464" s="640">
        <v>0</v>
      </c>
      <c r="S464" s="648">
        <v>58.35412524624175</v>
      </c>
      <c r="U464" s="646" t="s">
        <v>75</v>
      </c>
      <c r="V464" s="640">
        <v>1.73775830078125</v>
      </c>
      <c r="W464" s="640">
        <v>0</v>
      </c>
      <c r="X464" s="640">
        <v>16.370388000000002</v>
      </c>
      <c r="Y464" s="640">
        <v>0</v>
      </c>
      <c r="Z464" s="640">
        <v>0</v>
      </c>
      <c r="AA464" s="640">
        <v>0</v>
      </c>
      <c r="AB464" s="640">
        <v>0</v>
      </c>
      <c r="AC464" s="640">
        <v>0</v>
      </c>
      <c r="AD464" s="640">
        <v>0</v>
      </c>
      <c r="AE464" s="640">
        <v>4.7666718000000001</v>
      </c>
      <c r="AF464" s="640">
        <v>0</v>
      </c>
      <c r="AG464" s="640">
        <v>0</v>
      </c>
      <c r="AH464" s="640">
        <v>36.696565665655768</v>
      </c>
      <c r="AI464" s="640">
        <v>0</v>
      </c>
      <c r="AJ464" s="640">
        <v>0</v>
      </c>
      <c r="AK464" s="648">
        <v>59.571383766437016</v>
      </c>
    </row>
    <row r="465" spans="3:37" x14ac:dyDescent="0.2">
      <c r="C465" s="646" t="s">
        <v>76</v>
      </c>
      <c r="D465" s="640">
        <v>0</v>
      </c>
      <c r="E465" s="640">
        <v>0</v>
      </c>
      <c r="F465" s="640">
        <v>0</v>
      </c>
      <c r="G465" s="640">
        <v>3.9646717348100942</v>
      </c>
      <c r="H465" s="640">
        <v>0</v>
      </c>
      <c r="I465" s="640">
        <v>0</v>
      </c>
      <c r="J465" s="640">
        <v>0</v>
      </c>
      <c r="K465" s="640">
        <v>0</v>
      </c>
      <c r="L465" s="640">
        <v>0</v>
      </c>
      <c r="M465" s="640">
        <v>8.0911668057348868E-2</v>
      </c>
      <c r="N465" s="640">
        <v>0</v>
      </c>
      <c r="O465" s="640">
        <v>0</v>
      </c>
      <c r="P465" s="640">
        <v>47.131742012269626</v>
      </c>
      <c r="Q465" s="640">
        <v>2.9238621334994321</v>
      </c>
      <c r="R465" s="640">
        <v>0</v>
      </c>
      <c r="S465" s="648">
        <v>54.101187548636503</v>
      </c>
      <c r="U465" s="646" t="s">
        <v>76</v>
      </c>
      <c r="V465" s="640">
        <v>0</v>
      </c>
      <c r="W465" s="640">
        <v>0</v>
      </c>
      <c r="X465" s="640">
        <v>0</v>
      </c>
      <c r="Y465" s="640">
        <v>0</v>
      </c>
      <c r="Z465" s="640">
        <v>0</v>
      </c>
      <c r="AA465" s="640">
        <v>0</v>
      </c>
      <c r="AB465" s="640">
        <v>0</v>
      </c>
      <c r="AC465" s="640">
        <v>0</v>
      </c>
      <c r="AD465" s="640">
        <v>0</v>
      </c>
      <c r="AE465" s="640">
        <v>1.5605996097297452</v>
      </c>
      <c r="AF465" s="640">
        <v>0</v>
      </c>
      <c r="AG465" s="640">
        <v>0</v>
      </c>
      <c r="AH465" s="640">
        <v>50.104610120731024</v>
      </c>
      <c r="AI465" s="640">
        <v>5.7529608775183565</v>
      </c>
      <c r="AJ465" s="640">
        <v>0</v>
      </c>
      <c r="AK465" s="648">
        <v>57.418170607979121</v>
      </c>
    </row>
    <row r="466" spans="3:37" x14ac:dyDescent="0.2">
      <c r="C466" s="644" t="s">
        <v>77</v>
      </c>
      <c r="D466" s="645">
        <v>42.426498531650253</v>
      </c>
      <c r="E466" s="645">
        <v>464.7986487</v>
      </c>
      <c r="F466" s="645">
        <v>-430.41604332203127</v>
      </c>
      <c r="G466" s="645">
        <v>78.562753779962591</v>
      </c>
      <c r="H466" s="645">
        <v>727.27272727272737</v>
      </c>
      <c r="I466" s="645">
        <v>338.37995078139568</v>
      </c>
      <c r="J466" s="645">
        <v>73.88609899973514</v>
      </c>
      <c r="K466" s="645">
        <v>18.1608189391454</v>
      </c>
      <c r="L466" s="645">
        <v>-22.392588528868568</v>
      </c>
      <c r="M466" s="645">
        <v>-5.0780082691828765</v>
      </c>
      <c r="N466" s="645">
        <v>0</v>
      </c>
      <c r="O466" s="645">
        <v>9.6533137639592894</v>
      </c>
      <c r="P466" s="645">
        <v>-554.70570793017112</v>
      </c>
      <c r="Q466" s="645">
        <v>-34.744016552062419</v>
      </c>
      <c r="R466" s="645">
        <v>-7.071337409208251</v>
      </c>
      <c r="S466" s="645">
        <v>698.73310875705101</v>
      </c>
      <c r="U466" s="644" t="s">
        <v>77</v>
      </c>
      <c r="V466" s="645">
        <v>3.0871053259909167</v>
      </c>
      <c r="W466" s="645">
        <v>113.59926767676768</v>
      </c>
      <c r="X466" s="645">
        <v>-90.60020861890041</v>
      </c>
      <c r="Y466" s="645">
        <v>0</v>
      </c>
      <c r="Z466" s="645">
        <v>764.84848484848499</v>
      </c>
      <c r="AA466" s="645">
        <v>423.19995078139567</v>
      </c>
      <c r="AB466" s="645">
        <v>188.81392594880614</v>
      </c>
      <c r="AC466" s="645">
        <v>31.963595882852758</v>
      </c>
      <c r="AD466" s="645">
        <v>-125.42403259253969</v>
      </c>
      <c r="AE466" s="645">
        <v>-113.87891972722609</v>
      </c>
      <c r="AF466" s="645">
        <v>0</v>
      </c>
      <c r="AG466" s="645">
        <v>21.687841193420969</v>
      </c>
      <c r="AH466" s="645">
        <v>-553.86752452670385</v>
      </c>
      <c r="AI466" s="645">
        <v>-68.423763504668656</v>
      </c>
      <c r="AJ466" s="645">
        <v>-37.056170647637451</v>
      </c>
      <c r="AK466" s="645">
        <v>557.94955204004305</v>
      </c>
    </row>
    <row r="467" spans="3:37" x14ac:dyDescent="0.2">
      <c r="C467" s="634"/>
      <c r="D467" s="634">
        <v>0</v>
      </c>
      <c r="E467" s="634">
        <v>0</v>
      </c>
      <c r="F467" s="634">
        <v>0</v>
      </c>
      <c r="G467" s="634">
        <v>0</v>
      </c>
      <c r="H467" s="634">
        <v>0</v>
      </c>
      <c r="I467" s="634">
        <v>0</v>
      </c>
      <c r="J467" s="634">
        <v>0</v>
      </c>
      <c r="K467" s="634">
        <v>0</v>
      </c>
      <c r="L467" s="634">
        <v>0</v>
      </c>
      <c r="M467" s="634">
        <v>0</v>
      </c>
      <c r="N467" s="634">
        <v>0</v>
      </c>
      <c r="O467" s="634">
        <v>0</v>
      </c>
      <c r="P467" s="634">
        <v>0</v>
      </c>
      <c r="Q467" s="634">
        <v>0</v>
      </c>
      <c r="R467" s="634">
        <v>0</v>
      </c>
      <c r="S467" s="634">
        <v>0</v>
      </c>
      <c r="U467" s="634"/>
      <c r="V467" s="634">
        <v>0</v>
      </c>
      <c r="W467" s="634">
        <v>0</v>
      </c>
      <c r="X467" s="634">
        <v>0</v>
      </c>
      <c r="Y467" s="634">
        <v>0</v>
      </c>
      <c r="Z467" s="634">
        <v>0</v>
      </c>
      <c r="AA467" s="634">
        <v>0</v>
      </c>
      <c r="AB467" s="634">
        <v>0</v>
      </c>
      <c r="AC467" s="634">
        <v>0</v>
      </c>
      <c r="AD467" s="634">
        <v>0</v>
      </c>
      <c r="AE467" s="634">
        <v>0</v>
      </c>
      <c r="AF467" s="634">
        <v>0</v>
      </c>
      <c r="AG467" s="634">
        <v>0</v>
      </c>
      <c r="AH467" s="634">
        <v>0</v>
      </c>
      <c r="AI467" s="634">
        <v>0</v>
      </c>
      <c r="AJ467" s="634">
        <v>0</v>
      </c>
      <c r="AK467" s="634">
        <v>0</v>
      </c>
    </row>
    <row r="468" spans="3:37" x14ac:dyDescent="0.2">
      <c r="C468" s="646" t="s">
        <v>78</v>
      </c>
      <c r="D468" s="640">
        <v>3.6733927919712848</v>
      </c>
      <c r="E468" s="640">
        <v>0</v>
      </c>
      <c r="F468" s="640">
        <v>19.397200033553816</v>
      </c>
      <c r="G468" s="640">
        <v>91.130108310207916</v>
      </c>
      <c r="H468" s="640">
        <v>0</v>
      </c>
      <c r="I468" s="640">
        <v>0</v>
      </c>
      <c r="J468" s="640">
        <v>22.791437377983073</v>
      </c>
      <c r="K468" s="640">
        <v>1.7013098714668424</v>
      </c>
      <c r="L468" s="640">
        <v>1.007010953125</v>
      </c>
      <c r="M468" s="640">
        <v>1.8779931367345493</v>
      </c>
      <c r="N468" s="640">
        <v>0</v>
      </c>
      <c r="O468" s="640">
        <v>3.7093504340600874E-4</v>
      </c>
      <c r="P468" s="640">
        <v>114.54790196708234</v>
      </c>
      <c r="Q468" s="640">
        <v>16.21056036467343</v>
      </c>
      <c r="R468" s="640">
        <v>0.23655174255371095</v>
      </c>
      <c r="S468" s="648">
        <v>272.57383748439537</v>
      </c>
      <c r="U468" s="646" t="s">
        <v>78</v>
      </c>
      <c r="V468" s="640">
        <v>1.5000162600463405</v>
      </c>
      <c r="W468" s="640">
        <v>0</v>
      </c>
      <c r="X468" s="640">
        <v>0.65820239923796242</v>
      </c>
      <c r="Y468" s="640">
        <v>0</v>
      </c>
      <c r="Z468" s="640">
        <v>0</v>
      </c>
      <c r="AA468" s="640">
        <v>0</v>
      </c>
      <c r="AB468" s="640">
        <v>14.22856522114639</v>
      </c>
      <c r="AC468" s="640">
        <v>4.1194716696050602</v>
      </c>
      <c r="AD468" s="640">
        <v>8.3494072265624997</v>
      </c>
      <c r="AE468" s="640">
        <v>60.539358802903692</v>
      </c>
      <c r="AF468" s="640">
        <v>0</v>
      </c>
      <c r="AG468" s="640">
        <v>3.7093504340600874E-4</v>
      </c>
      <c r="AH468" s="640">
        <v>157.01971492382648</v>
      </c>
      <c r="AI468" s="640">
        <v>25.540840498351418</v>
      </c>
      <c r="AJ468" s="640">
        <v>8.9542294921874994</v>
      </c>
      <c r="AK468" s="648">
        <v>280.91017742891074</v>
      </c>
    </row>
    <row r="469" spans="3:37" x14ac:dyDescent="0.2">
      <c r="C469" s="646" t="s">
        <v>79</v>
      </c>
      <c r="D469" s="640">
        <v>0</v>
      </c>
      <c r="E469" s="640">
        <v>0</v>
      </c>
      <c r="F469" s="640">
        <v>216.8751541495462</v>
      </c>
      <c r="G469" s="640">
        <v>32.745585882615877</v>
      </c>
      <c r="H469" s="640">
        <v>0</v>
      </c>
      <c r="I469" s="640">
        <v>0</v>
      </c>
      <c r="J469" s="640">
        <v>0</v>
      </c>
      <c r="K469" s="640">
        <v>0</v>
      </c>
      <c r="L469" s="640">
        <v>20.896591906701669</v>
      </c>
      <c r="M469" s="640">
        <v>0.66827726291052814</v>
      </c>
      <c r="N469" s="640">
        <v>0</v>
      </c>
      <c r="O469" s="640">
        <v>0</v>
      </c>
      <c r="P469" s="640">
        <v>80.819270278256823</v>
      </c>
      <c r="Q469" s="640">
        <v>0</v>
      </c>
      <c r="R469" s="640">
        <v>2.9193508940431485</v>
      </c>
      <c r="S469" s="648">
        <v>354.92423037407423</v>
      </c>
      <c r="U469" s="646" t="s">
        <v>79</v>
      </c>
      <c r="V469" s="640">
        <v>0</v>
      </c>
      <c r="W469" s="640">
        <v>0</v>
      </c>
      <c r="X469" s="640">
        <v>8.8339079607242379</v>
      </c>
      <c r="Y469" s="640">
        <v>0</v>
      </c>
      <c r="Z469" s="640">
        <v>0</v>
      </c>
      <c r="AA469" s="640">
        <v>0</v>
      </c>
      <c r="AB469" s="640">
        <v>0</v>
      </c>
      <c r="AC469" s="640">
        <v>0</v>
      </c>
      <c r="AD469" s="640">
        <v>12.788272739607951</v>
      </c>
      <c r="AE469" s="640">
        <v>24.887279738493259</v>
      </c>
      <c r="AF469" s="640">
        <v>0</v>
      </c>
      <c r="AG469" s="640">
        <v>0</v>
      </c>
      <c r="AH469" s="640">
        <v>93.844452584108197</v>
      </c>
      <c r="AI469" s="640">
        <v>0</v>
      </c>
      <c r="AJ469" s="640">
        <v>7.1149935986121697</v>
      </c>
      <c r="AK469" s="648">
        <v>147.46890662154581</v>
      </c>
    </row>
    <row r="470" spans="3:37" x14ac:dyDescent="0.2">
      <c r="C470" s="646" t="s">
        <v>80</v>
      </c>
      <c r="D470" s="640">
        <v>0</v>
      </c>
      <c r="E470" s="640">
        <v>0</v>
      </c>
      <c r="F470" s="640">
        <v>5.2094674308398901</v>
      </c>
      <c r="G470" s="640">
        <v>68.551385920257417</v>
      </c>
      <c r="H470" s="640">
        <v>0</v>
      </c>
      <c r="I470" s="640">
        <v>0</v>
      </c>
      <c r="J470" s="640">
        <v>86.155325304334795</v>
      </c>
      <c r="K470" s="640">
        <v>0</v>
      </c>
      <c r="L470" s="640">
        <v>0</v>
      </c>
      <c r="M470" s="640">
        <v>1.3990078759236206</v>
      </c>
      <c r="N470" s="640">
        <v>66.478227859390046</v>
      </c>
      <c r="O470" s="640">
        <v>2.1206229173139883</v>
      </c>
      <c r="P470" s="640">
        <v>194.47767196350526</v>
      </c>
      <c r="Q470" s="640">
        <v>15.182773802844931</v>
      </c>
      <c r="R470" s="640">
        <v>0</v>
      </c>
      <c r="S470" s="648">
        <v>439.5744830744099</v>
      </c>
      <c r="U470" s="646" t="s">
        <v>80</v>
      </c>
      <c r="V470" s="640">
        <v>0</v>
      </c>
      <c r="W470" s="640">
        <v>0</v>
      </c>
      <c r="X470" s="640">
        <v>0.92826525658471626</v>
      </c>
      <c r="Y470" s="640">
        <v>0</v>
      </c>
      <c r="Z470" s="640">
        <v>0</v>
      </c>
      <c r="AA470" s="640">
        <v>0</v>
      </c>
      <c r="AB470" s="640">
        <v>47.227858114444189</v>
      </c>
      <c r="AC470" s="640">
        <v>0</v>
      </c>
      <c r="AD470" s="640">
        <v>0</v>
      </c>
      <c r="AE470" s="640">
        <v>17.293312779197663</v>
      </c>
      <c r="AF470" s="640">
        <v>108.09916343666818</v>
      </c>
      <c r="AG470" s="640">
        <v>4.9369795689122755</v>
      </c>
      <c r="AH470" s="640">
        <v>137.38519988829395</v>
      </c>
      <c r="AI470" s="640">
        <v>27.91071693101145</v>
      </c>
      <c r="AJ470" s="640">
        <v>0</v>
      </c>
      <c r="AK470" s="648">
        <v>343.78149597511242</v>
      </c>
    </row>
    <row r="471" spans="3:37" x14ac:dyDescent="0.2">
      <c r="C471" s="646" t="s">
        <v>81</v>
      </c>
      <c r="D471" s="640">
        <v>0</v>
      </c>
      <c r="E471" s="640">
        <v>0</v>
      </c>
      <c r="F471" s="640">
        <v>2.3181271880740835</v>
      </c>
      <c r="G471" s="640">
        <v>62.553452404821357</v>
      </c>
      <c r="H471" s="640">
        <v>0</v>
      </c>
      <c r="I471" s="640">
        <v>0</v>
      </c>
      <c r="J471" s="640">
        <v>3.0090868580403627</v>
      </c>
      <c r="K471" s="640">
        <v>2.5363417285398034E-2</v>
      </c>
      <c r="L471" s="640">
        <v>0</v>
      </c>
      <c r="M471" s="640">
        <v>1.27660106948615</v>
      </c>
      <c r="N471" s="640">
        <v>8.6055350400994808</v>
      </c>
      <c r="O471" s="640">
        <v>0.68093940948821108</v>
      </c>
      <c r="P471" s="640">
        <v>146.08879967332064</v>
      </c>
      <c r="Q471" s="640">
        <v>3.3506823845440552</v>
      </c>
      <c r="R471" s="640">
        <v>0</v>
      </c>
      <c r="S471" s="648">
        <v>227.90858744515972</v>
      </c>
      <c r="U471" s="646" t="s">
        <v>81</v>
      </c>
      <c r="V471" s="640">
        <v>0</v>
      </c>
      <c r="W471" s="640">
        <v>0</v>
      </c>
      <c r="X471" s="640">
        <v>0.55102356567889155</v>
      </c>
      <c r="Y471" s="640">
        <v>0</v>
      </c>
      <c r="Z471" s="640">
        <v>0</v>
      </c>
      <c r="AA471" s="640">
        <v>0</v>
      </c>
      <c r="AB471" s="640">
        <v>6.5361621549849476</v>
      </c>
      <c r="AC471" s="640">
        <v>2.5363417285398034E-2</v>
      </c>
      <c r="AD471" s="640">
        <v>0</v>
      </c>
      <c r="AE471" s="640">
        <v>5.3379988256415478</v>
      </c>
      <c r="AF471" s="640">
        <v>15.069021727073199</v>
      </c>
      <c r="AG471" s="640">
        <v>1.4375946320597892</v>
      </c>
      <c r="AH471" s="640">
        <v>112.31243747223964</v>
      </c>
      <c r="AI471" s="640">
        <v>14.972206075305797</v>
      </c>
      <c r="AJ471" s="640">
        <v>0</v>
      </c>
      <c r="AK471" s="648">
        <v>156.24180787026921</v>
      </c>
    </row>
    <row r="472" spans="3:37" x14ac:dyDescent="0.2">
      <c r="C472" s="646" t="s">
        <v>82</v>
      </c>
      <c r="D472" s="640">
        <v>0</v>
      </c>
      <c r="E472" s="640">
        <v>0</v>
      </c>
      <c r="F472" s="640">
        <v>27.219719362233906</v>
      </c>
      <c r="G472" s="640">
        <v>0.81069667111944488</v>
      </c>
      <c r="H472" s="640">
        <v>0</v>
      </c>
      <c r="I472" s="640">
        <v>0</v>
      </c>
      <c r="J472" s="640">
        <v>5.0054618408177598</v>
      </c>
      <c r="K472" s="640">
        <v>0</v>
      </c>
      <c r="L472" s="640">
        <v>3.2629555410385191</v>
      </c>
      <c r="M472" s="640">
        <v>1.6544830022845812E-2</v>
      </c>
      <c r="N472" s="640">
        <v>0</v>
      </c>
      <c r="O472" s="640">
        <v>6.051975379409523E-2</v>
      </c>
      <c r="P472" s="640">
        <v>5.5235547180923223</v>
      </c>
      <c r="Q472" s="640">
        <v>0</v>
      </c>
      <c r="R472" s="640">
        <v>0</v>
      </c>
      <c r="S472" s="648">
        <v>41.899452717118898</v>
      </c>
      <c r="U472" s="646" t="s">
        <v>82</v>
      </c>
      <c r="V472" s="640">
        <v>0</v>
      </c>
      <c r="W472" s="640">
        <v>0</v>
      </c>
      <c r="X472" s="640">
        <v>0.67158967449506357</v>
      </c>
      <c r="Y472" s="640">
        <v>0</v>
      </c>
      <c r="Z472" s="640">
        <v>0</v>
      </c>
      <c r="AA472" s="640">
        <v>0</v>
      </c>
      <c r="AB472" s="640">
        <v>5.0054618408177598</v>
      </c>
      <c r="AC472" s="640">
        <v>0</v>
      </c>
      <c r="AD472" s="640">
        <v>35.167200828266267</v>
      </c>
      <c r="AE472" s="640">
        <v>0.86765586771995196</v>
      </c>
      <c r="AF472" s="640">
        <v>0</v>
      </c>
      <c r="AG472" s="640">
        <v>2.1874070050904897</v>
      </c>
      <c r="AH472" s="640">
        <v>5.6657335511185538</v>
      </c>
      <c r="AI472" s="640">
        <v>0</v>
      </c>
      <c r="AJ472" s="640">
        <v>0.44339331184266689</v>
      </c>
      <c r="AK472" s="648">
        <v>50.008442079350758</v>
      </c>
    </row>
    <row r="473" spans="3:37" x14ac:dyDescent="0.2">
      <c r="C473" s="646" t="s">
        <v>354</v>
      </c>
      <c r="D473" s="640">
        <v>0</v>
      </c>
      <c r="E473" s="640">
        <v>0</v>
      </c>
      <c r="F473" s="640">
        <v>0</v>
      </c>
      <c r="G473" s="640">
        <v>0</v>
      </c>
      <c r="H473" s="640">
        <v>0</v>
      </c>
      <c r="I473" s="640">
        <v>0</v>
      </c>
      <c r="J473" s="640">
        <v>0</v>
      </c>
      <c r="K473" s="640">
        <v>0</v>
      </c>
      <c r="L473" s="640">
        <v>0</v>
      </c>
      <c r="M473" s="640">
        <v>0</v>
      </c>
      <c r="N473" s="640">
        <v>0</v>
      </c>
      <c r="O473" s="640">
        <v>0</v>
      </c>
      <c r="P473" s="640">
        <v>0.44999999999999996</v>
      </c>
      <c r="Q473" s="640">
        <v>0</v>
      </c>
      <c r="R473" s="640">
        <v>0</v>
      </c>
      <c r="S473" s="648">
        <v>0.44999999999999996</v>
      </c>
      <c r="U473" s="646" t="s">
        <v>354</v>
      </c>
      <c r="V473" s="640">
        <v>0</v>
      </c>
      <c r="W473" s="640">
        <v>0</v>
      </c>
      <c r="X473" s="640">
        <v>0</v>
      </c>
      <c r="Y473" s="640">
        <v>0</v>
      </c>
      <c r="Z473" s="640">
        <v>0</v>
      </c>
      <c r="AA473" s="640">
        <v>0</v>
      </c>
      <c r="AB473" s="640">
        <v>0</v>
      </c>
      <c r="AC473" s="640">
        <v>0</v>
      </c>
      <c r="AD473" s="640">
        <v>0</v>
      </c>
      <c r="AE473" s="640">
        <v>0</v>
      </c>
      <c r="AF473" s="640">
        <v>0</v>
      </c>
      <c r="AG473" s="640">
        <v>0</v>
      </c>
      <c r="AH473" s="640">
        <v>6</v>
      </c>
      <c r="AI473" s="640">
        <v>0</v>
      </c>
      <c r="AJ473" s="640">
        <v>0</v>
      </c>
      <c r="AK473" s="648">
        <v>6</v>
      </c>
    </row>
    <row r="474" spans="3:37" x14ac:dyDescent="0.2">
      <c r="C474" s="644" t="s">
        <v>83</v>
      </c>
      <c r="D474" s="645">
        <v>3.6733927919712848</v>
      </c>
      <c r="E474" s="645">
        <v>0</v>
      </c>
      <c r="F474" s="645">
        <v>271.01966816424783</v>
      </c>
      <c r="G474" s="645">
        <v>255.79122918902203</v>
      </c>
      <c r="H474" s="645">
        <v>0</v>
      </c>
      <c r="I474" s="645">
        <v>0</v>
      </c>
      <c r="J474" s="645">
        <v>116.96131138117599</v>
      </c>
      <c r="K474" s="645">
        <v>1.7266732887522405</v>
      </c>
      <c r="L474" s="645">
        <v>25.166558400865188</v>
      </c>
      <c r="M474" s="645">
        <v>5.238424175077693</v>
      </c>
      <c r="N474" s="645">
        <v>75.083762899489528</v>
      </c>
      <c r="O474" s="645">
        <v>2.8624530156397006</v>
      </c>
      <c r="P474" s="645">
        <v>541.90719860025752</v>
      </c>
      <c r="Q474" s="645">
        <v>34.744016552062419</v>
      </c>
      <c r="R474" s="645">
        <v>3.1559026365968594</v>
      </c>
      <c r="S474" s="645">
        <v>1337.3305910951583</v>
      </c>
      <c r="U474" s="644" t="s">
        <v>83</v>
      </c>
      <c r="V474" s="645">
        <v>1.5000162600463405</v>
      </c>
      <c r="W474" s="645">
        <v>0</v>
      </c>
      <c r="X474" s="645">
        <v>11.642988856720871</v>
      </c>
      <c r="Y474" s="645">
        <v>0</v>
      </c>
      <c r="Z474" s="645">
        <v>0</v>
      </c>
      <c r="AA474" s="645">
        <v>0</v>
      </c>
      <c r="AB474" s="645">
        <v>72.998047331393281</v>
      </c>
      <c r="AC474" s="645">
        <v>4.1448350868904589</v>
      </c>
      <c r="AD474" s="645">
        <v>56.30488079443672</v>
      </c>
      <c r="AE474" s="645">
        <v>108.92560601395611</v>
      </c>
      <c r="AF474" s="645">
        <v>123.16818516374138</v>
      </c>
      <c r="AG474" s="645">
        <v>8.5623521411059595</v>
      </c>
      <c r="AH474" s="645">
        <v>512.22753841958684</v>
      </c>
      <c r="AI474" s="645">
        <v>68.423763504668656</v>
      </c>
      <c r="AJ474" s="645">
        <v>16.512616402642333</v>
      </c>
      <c r="AK474" s="645">
        <v>984.4108299751889</v>
      </c>
    </row>
    <row r="475" spans="3:37" x14ac:dyDescent="0.2">
      <c r="C475" s="639" t="s">
        <v>84</v>
      </c>
      <c r="D475" s="640">
        <v>0</v>
      </c>
      <c r="E475" s="640">
        <v>0</v>
      </c>
      <c r="F475" s="640">
        <v>100.05515171814793</v>
      </c>
      <c r="G475" s="640">
        <v>11.196954266678716</v>
      </c>
      <c r="H475" s="640">
        <v>0</v>
      </c>
      <c r="I475" s="640">
        <v>0</v>
      </c>
      <c r="J475" s="640">
        <v>0</v>
      </c>
      <c r="K475" s="640">
        <v>0</v>
      </c>
      <c r="L475" s="640">
        <v>0</v>
      </c>
      <c r="M475" s="640">
        <v>0</v>
      </c>
      <c r="N475" s="640">
        <v>0</v>
      </c>
      <c r="O475" s="640">
        <v>0</v>
      </c>
      <c r="P475" s="640">
        <v>0</v>
      </c>
      <c r="Q475" s="640">
        <v>0</v>
      </c>
      <c r="R475" s="640">
        <v>3.9154347726113912</v>
      </c>
      <c r="S475" s="648">
        <v>115.16754075743803</v>
      </c>
      <c r="U475" s="639" t="s">
        <v>84</v>
      </c>
      <c r="V475" s="640">
        <v>0</v>
      </c>
      <c r="W475" s="640">
        <v>0</v>
      </c>
      <c r="X475" s="640">
        <v>57.953190468871433</v>
      </c>
      <c r="Y475" s="640">
        <v>0.51452681198611927</v>
      </c>
      <c r="Z475" s="640">
        <v>0</v>
      </c>
      <c r="AA475" s="640">
        <v>0</v>
      </c>
      <c r="AB475" s="640">
        <v>0</v>
      </c>
      <c r="AC475" s="640">
        <v>0</v>
      </c>
      <c r="AD475" s="640">
        <v>30.108432000732424</v>
      </c>
      <c r="AE475" s="640">
        <v>0</v>
      </c>
      <c r="AF475" s="640">
        <v>0</v>
      </c>
      <c r="AG475" s="640">
        <v>0</v>
      </c>
      <c r="AH475" s="640">
        <v>0</v>
      </c>
      <c r="AI475" s="640">
        <v>0</v>
      </c>
      <c r="AJ475" s="640">
        <v>20.543554244995118</v>
      </c>
      <c r="AK475" s="648">
        <v>109.1197035265851</v>
      </c>
    </row>
    <row r="476" spans="3:37" x14ac:dyDescent="0.2">
      <c r="C476" s="644" t="s">
        <v>85</v>
      </c>
      <c r="D476" s="645">
        <v>3.6733927919712848</v>
      </c>
      <c r="E476" s="645">
        <v>0</v>
      </c>
      <c r="F476" s="645">
        <v>371.07481988239573</v>
      </c>
      <c r="G476" s="645">
        <v>266.98818345570078</v>
      </c>
      <c r="H476" s="645">
        <v>0</v>
      </c>
      <c r="I476" s="645">
        <v>0</v>
      </c>
      <c r="J476" s="645">
        <v>116.96131138117599</v>
      </c>
      <c r="K476" s="645">
        <v>1.7266732887522405</v>
      </c>
      <c r="L476" s="645">
        <v>25.166558400865188</v>
      </c>
      <c r="M476" s="645">
        <v>5.238424175077693</v>
      </c>
      <c r="N476" s="645">
        <v>75.083762899489528</v>
      </c>
      <c r="O476" s="645">
        <v>2.8624530156397006</v>
      </c>
      <c r="P476" s="645">
        <v>541.90719860025752</v>
      </c>
      <c r="Q476" s="645">
        <v>34.744016552062419</v>
      </c>
      <c r="R476" s="645">
        <v>7.071337409208251</v>
      </c>
      <c r="S476" s="645">
        <v>1452.4981318525963</v>
      </c>
      <c r="U476" s="644" t="s">
        <v>85</v>
      </c>
      <c r="V476" s="645">
        <v>1.5000162600463405</v>
      </c>
      <c r="W476" s="645">
        <v>0</v>
      </c>
      <c r="X476" s="645">
        <v>69.596179325592303</v>
      </c>
      <c r="Y476" s="645">
        <v>0.51452681198611927</v>
      </c>
      <c r="Z476" s="645">
        <v>0</v>
      </c>
      <c r="AA476" s="645">
        <v>0</v>
      </c>
      <c r="AB476" s="645">
        <v>72.998047331393281</v>
      </c>
      <c r="AC476" s="645">
        <v>4.1448350868904589</v>
      </c>
      <c r="AD476" s="645">
        <v>86.413312795169148</v>
      </c>
      <c r="AE476" s="645">
        <v>108.92560601395611</v>
      </c>
      <c r="AF476" s="645">
        <v>123.16818516374138</v>
      </c>
      <c r="AG476" s="645">
        <v>8.5623521411059595</v>
      </c>
      <c r="AH476" s="645">
        <v>512.22753841958684</v>
      </c>
      <c r="AI476" s="645">
        <v>68.423763504668656</v>
      </c>
      <c r="AJ476" s="645">
        <v>37.056170647637451</v>
      </c>
      <c r="AK476" s="645">
        <v>1093.530533501774</v>
      </c>
    </row>
    <row r="477" spans="3:37" x14ac:dyDescent="0.2">
      <c r="C477" s="634"/>
      <c r="D477" s="634"/>
      <c r="E477" s="634"/>
      <c r="F477" s="634"/>
      <c r="G477" s="634"/>
      <c r="H477" s="634"/>
      <c r="I477" s="634"/>
      <c r="J477" s="634"/>
      <c r="K477" s="634"/>
      <c r="L477" s="634"/>
      <c r="M477" s="634"/>
      <c r="N477" s="634"/>
      <c r="O477" s="634"/>
      <c r="P477" s="634"/>
      <c r="Q477" s="634"/>
      <c r="R477" s="634"/>
      <c r="S477" s="634"/>
      <c r="U477" s="634"/>
      <c r="V477" s="634"/>
      <c r="W477" s="634"/>
      <c r="X477" s="634"/>
      <c r="Y477" s="634"/>
      <c r="Z477" s="634"/>
      <c r="AA477" s="634"/>
      <c r="AB477" s="634"/>
      <c r="AC477" s="634"/>
      <c r="AD477" s="634"/>
      <c r="AE477" s="634"/>
      <c r="AF477" s="634"/>
      <c r="AG477" s="634"/>
      <c r="AH477" s="634"/>
      <c r="AI477" s="634"/>
      <c r="AJ477" s="634"/>
      <c r="AK477" s="634"/>
    </row>
    <row r="478" spans="3:37" x14ac:dyDescent="0.2">
      <c r="C478" s="634"/>
      <c r="D478" s="634"/>
      <c r="E478" s="634"/>
      <c r="F478" s="634"/>
      <c r="G478" s="634"/>
      <c r="H478" s="634"/>
      <c r="I478" s="634"/>
      <c r="J478" s="634"/>
      <c r="K478" s="634"/>
      <c r="L478" s="634"/>
      <c r="M478" s="634"/>
      <c r="N478" s="634"/>
      <c r="O478" s="634"/>
      <c r="P478" s="634"/>
      <c r="Q478" s="634"/>
      <c r="R478" s="634"/>
      <c r="S478" s="634"/>
      <c r="U478" s="634"/>
      <c r="V478" s="634"/>
      <c r="W478" s="634"/>
      <c r="X478" s="634"/>
      <c r="Y478" s="634"/>
      <c r="Z478" s="634"/>
      <c r="AA478" s="634"/>
      <c r="AB478" s="634"/>
      <c r="AC478" s="634"/>
      <c r="AD478" s="634"/>
      <c r="AE478" s="634"/>
      <c r="AF478" s="634"/>
      <c r="AG478" s="634"/>
      <c r="AH478" s="634"/>
      <c r="AI478" s="634"/>
      <c r="AJ478" s="634"/>
      <c r="AK478" s="634"/>
    </row>
  </sheetData>
  <mergeCells count="340">
    <mergeCell ref="Y10:Y11"/>
    <mergeCell ref="Z10:Z11"/>
    <mergeCell ref="I10:I11"/>
    <mergeCell ref="J10:O10"/>
    <mergeCell ref="G47:G48"/>
    <mergeCell ref="H47:H48"/>
    <mergeCell ref="I47:I48"/>
    <mergeCell ref="J47:O47"/>
    <mergeCell ref="C45:S45"/>
    <mergeCell ref="U45:AK45"/>
    <mergeCell ref="C2:S2"/>
    <mergeCell ref="U2:AK2"/>
    <mergeCell ref="C8:S8"/>
    <mergeCell ref="U8:AK8"/>
    <mergeCell ref="C10:C11"/>
    <mergeCell ref="D10:D11"/>
    <mergeCell ref="E10:E11"/>
    <mergeCell ref="F10:F11"/>
    <mergeCell ref="G10:G11"/>
    <mergeCell ref="H10:H11"/>
    <mergeCell ref="AA10:AA11"/>
    <mergeCell ref="AB10:AG10"/>
    <mergeCell ref="AH10:AH11"/>
    <mergeCell ref="AI10:AI11"/>
    <mergeCell ref="AJ10:AJ11"/>
    <mergeCell ref="AK10:AK11"/>
    <mergeCell ref="P10:P11"/>
    <mergeCell ref="Q10:Q11"/>
    <mergeCell ref="R10:R11"/>
    <mergeCell ref="S10:S11"/>
    <mergeCell ref="U10:U11"/>
    <mergeCell ref="V10:V11"/>
    <mergeCell ref="W10:W11"/>
    <mergeCell ref="X10:X11"/>
    <mergeCell ref="C81:S81"/>
    <mergeCell ref="U81:AK81"/>
    <mergeCell ref="W47:W48"/>
    <mergeCell ref="X47:X48"/>
    <mergeCell ref="Y47:Y48"/>
    <mergeCell ref="Z47:Z48"/>
    <mergeCell ref="AA47:AA48"/>
    <mergeCell ref="AB47:AG47"/>
    <mergeCell ref="P47:P48"/>
    <mergeCell ref="Q47:Q48"/>
    <mergeCell ref="R47:R48"/>
    <mergeCell ref="S47:S48"/>
    <mergeCell ref="U47:U48"/>
    <mergeCell ref="V47:V48"/>
    <mergeCell ref="C47:C48"/>
    <mergeCell ref="D47:D48"/>
    <mergeCell ref="E47:E48"/>
    <mergeCell ref="F47:F48"/>
    <mergeCell ref="AH47:AH48"/>
    <mergeCell ref="AI47:AI48"/>
    <mergeCell ref="AJ47:AJ48"/>
    <mergeCell ref="AK47:AK48"/>
    <mergeCell ref="I83:I84"/>
    <mergeCell ref="J83:O83"/>
    <mergeCell ref="P83:P84"/>
    <mergeCell ref="Q83:Q84"/>
    <mergeCell ref="R83:R84"/>
    <mergeCell ref="S83:S84"/>
    <mergeCell ref="C83:C84"/>
    <mergeCell ref="D83:D84"/>
    <mergeCell ref="E83:E84"/>
    <mergeCell ref="F83:F84"/>
    <mergeCell ref="G83:G84"/>
    <mergeCell ref="H83:H84"/>
    <mergeCell ref="AA83:AA84"/>
    <mergeCell ref="AB83:AG83"/>
    <mergeCell ref="AH83:AH84"/>
    <mergeCell ref="AI83:AI84"/>
    <mergeCell ref="AJ83:AJ84"/>
    <mergeCell ref="AK83:AK84"/>
    <mergeCell ref="U83:U84"/>
    <mergeCell ref="V83:V84"/>
    <mergeCell ref="W83:W84"/>
    <mergeCell ref="X83:X84"/>
    <mergeCell ref="Y83:Y84"/>
    <mergeCell ref="Z83:Z84"/>
    <mergeCell ref="C118:S118"/>
    <mergeCell ref="U118:AK118"/>
    <mergeCell ref="C120:C121"/>
    <mergeCell ref="D120:D121"/>
    <mergeCell ref="E120:E121"/>
    <mergeCell ref="F120:F121"/>
    <mergeCell ref="G120:G121"/>
    <mergeCell ref="H120:H121"/>
    <mergeCell ref="I120:I121"/>
    <mergeCell ref="J120:O120"/>
    <mergeCell ref="AH120:AH121"/>
    <mergeCell ref="AI120:AI121"/>
    <mergeCell ref="AJ120:AJ121"/>
    <mergeCell ref="AK120:AK121"/>
    <mergeCell ref="C154:S154"/>
    <mergeCell ref="U154:AK154"/>
    <mergeCell ref="W120:W121"/>
    <mergeCell ref="X120:X121"/>
    <mergeCell ref="Y120:Y121"/>
    <mergeCell ref="Z120:Z121"/>
    <mergeCell ref="AA120:AA121"/>
    <mergeCell ref="AB120:AG120"/>
    <mergeCell ref="P120:P121"/>
    <mergeCell ref="Q120:Q121"/>
    <mergeCell ref="R120:R121"/>
    <mergeCell ref="S120:S121"/>
    <mergeCell ref="U120:U121"/>
    <mergeCell ref="V120:V121"/>
    <mergeCell ref="I156:I157"/>
    <mergeCell ref="J156:O156"/>
    <mergeCell ref="P156:P157"/>
    <mergeCell ref="Q156:Q157"/>
    <mergeCell ref="R156:R157"/>
    <mergeCell ref="S156:S157"/>
    <mergeCell ref="C156:C157"/>
    <mergeCell ref="D156:D157"/>
    <mergeCell ref="E156:E157"/>
    <mergeCell ref="F156:F157"/>
    <mergeCell ref="G156:G157"/>
    <mergeCell ref="H156:H157"/>
    <mergeCell ref="AA156:AA157"/>
    <mergeCell ref="AB156:AG156"/>
    <mergeCell ref="AH156:AH157"/>
    <mergeCell ref="AI156:AI157"/>
    <mergeCell ref="AJ156:AJ157"/>
    <mergeCell ref="AK156:AK157"/>
    <mergeCell ref="U156:U157"/>
    <mergeCell ref="V156:V157"/>
    <mergeCell ref="W156:W157"/>
    <mergeCell ref="X156:X157"/>
    <mergeCell ref="Y156:Y157"/>
    <mergeCell ref="Z156:Z157"/>
    <mergeCell ref="C190:S190"/>
    <mergeCell ref="U190:AK190"/>
    <mergeCell ref="C192:C193"/>
    <mergeCell ref="D192:D193"/>
    <mergeCell ref="E192:E193"/>
    <mergeCell ref="F192:F193"/>
    <mergeCell ref="G192:G193"/>
    <mergeCell ref="H192:H193"/>
    <mergeCell ref="I192:I193"/>
    <mergeCell ref="J192:O192"/>
    <mergeCell ref="AH192:AH193"/>
    <mergeCell ref="AI192:AI193"/>
    <mergeCell ref="AJ192:AJ193"/>
    <mergeCell ref="AK192:AK193"/>
    <mergeCell ref="C226:S226"/>
    <mergeCell ref="U226:AK226"/>
    <mergeCell ref="W192:W193"/>
    <mergeCell ref="X192:X193"/>
    <mergeCell ref="Y192:Y193"/>
    <mergeCell ref="Z192:Z193"/>
    <mergeCell ref="AA192:AA193"/>
    <mergeCell ref="AB192:AG192"/>
    <mergeCell ref="P192:P193"/>
    <mergeCell ref="Q192:Q193"/>
    <mergeCell ref="R192:R193"/>
    <mergeCell ref="S192:S193"/>
    <mergeCell ref="U192:U193"/>
    <mergeCell ref="V192:V193"/>
    <mergeCell ref="I228:I229"/>
    <mergeCell ref="J228:O228"/>
    <mergeCell ref="P228:P229"/>
    <mergeCell ref="Q228:Q229"/>
    <mergeCell ref="R228:R229"/>
    <mergeCell ref="S228:S229"/>
    <mergeCell ref="C228:C229"/>
    <mergeCell ref="D228:D229"/>
    <mergeCell ref="E228:E229"/>
    <mergeCell ref="F228:F229"/>
    <mergeCell ref="G228:G229"/>
    <mergeCell ref="H228:H229"/>
    <mergeCell ref="AA228:AA229"/>
    <mergeCell ref="AB228:AG228"/>
    <mergeCell ref="AH228:AH229"/>
    <mergeCell ref="AI228:AI229"/>
    <mergeCell ref="AJ228:AJ229"/>
    <mergeCell ref="AK228:AK229"/>
    <mergeCell ref="U228:U229"/>
    <mergeCell ref="V228:V229"/>
    <mergeCell ref="W228:W229"/>
    <mergeCell ref="X228:X229"/>
    <mergeCell ref="Y228:Y229"/>
    <mergeCell ref="Z228:Z229"/>
    <mergeCell ref="C262:S262"/>
    <mergeCell ref="U262:AK262"/>
    <mergeCell ref="C264:C265"/>
    <mergeCell ref="D264:D265"/>
    <mergeCell ref="E264:E265"/>
    <mergeCell ref="F264:F265"/>
    <mergeCell ref="G264:G265"/>
    <mergeCell ref="H264:H265"/>
    <mergeCell ref="I264:I265"/>
    <mergeCell ref="J264:O264"/>
    <mergeCell ref="AH264:AH265"/>
    <mergeCell ref="AI264:AI265"/>
    <mergeCell ref="AJ264:AJ265"/>
    <mergeCell ref="AK264:AK265"/>
    <mergeCell ref="C298:S298"/>
    <mergeCell ref="U298:AK298"/>
    <mergeCell ref="W264:W265"/>
    <mergeCell ref="X264:X265"/>
    <mergeCell ref="Y264:Y265"/>
    <mergeCell ref="Z264:Z265"/>
    <mergeCell ref="AA264:AA265"/>
    <mergeCell ref="AB264:AG264"/>
    <mergeCell ref="P264:P265"/>
    <mergeCell ref="Q264:Q265"/>
    <mergeCell ref="R264:R265"/>
    <mergeCell ref="S264:S265"/>
    <mergeCell ref="U264:U265"/>
    <mergeCell ref="V264:V265"/>
    <mergeCell ref="I300:I301"/>
    <mergeCell ref="J300:O300"/>
    <mergeCell ref="P300:P301"/>
    <mergeCell ref="Q300:Q301"/>
    <mergeCell ref="R300:R301"/>
    <mergeCell ref="S300:S301"/>
    <mergeCell ref="C300:C301"/>
    <mergeCell ref="D300:D301"/>
    <mergeCell ref="E300:E301"/>
    <mergeCell ref="F300:F301"/>
    <mergeCell ref="G300:G301"/>
    <mergeCell ref="H300:H301"/>
    <mergeCell ref="AA300:AA301"/>
    <mergeCell ref="AB300:AG300"/>
    <mergeCell ref="AH300:AH301"/>
    <mergeCell ref="AI300:AI301"/>
    <mergeCell ref="AJ300:AJ301"/>
    <mergeCell ref="AK300:AK301"/>
    <mergeCell ref="U300:U301"/>
    <mergeCell ref="V300:V301"/>
    <mergeCell ref="W300:W301"/>
    <mergeCell ref="X300:X301"/>
    <mergeCell ref="Y300:Y301"/>
    <mergeCell ref="Z300:Z301"/>
    <mergeCell ref="C334:S334"/>
    <mergeCell ref="U334:AK334"/>
    <mergeCell ref="C336:C337"/>
    <mergeCell ref="D336:D337"/>
    <mergeCell ref="E336:E337"/>
    <mergeCell ref="F336:F337"/>
    <mergeCell ref="G336:G337"/>
    <mergeCell ref="H336:H337"/>
    <mergeCell ref="I336:I337"/>
    <mergeCell ref="J336:O336"/>
    <mergeCell ref="AH336:AH337"/>
    <mergeCell ref="AI336:AI337"/>
    <mergeCell ref="AJ336:AJ337"/>
    <mergeCell ref="AK336:AK337"/>
    <mergeCell ref="C370:S370"/>
    <mergeCell ref="U370:AK370"/>
    <mergeCell ref="W336:W337"/>
    <mergeCell ref="X336:X337"/>
    <mergeCell ref="Y336:Y337"/>
    <mergeCell ref="Z336:Z337"/>
    <mergeCell ref="AA336:AA337"/>
    <mergeCell ref="AB336:AG336"/>
    <mergeCell ref="P336:P337"/>
    <mergeCell ref="Q336:Q337"/>
    <mergeCell ref="R336:R337"/>
    <mergeCell ref="S336:S337"/>
    <mergeCell ref="U336:U337"/>
    <mergeCell ref="V336:V337"/>
    <mergeCell ref="I372:I373"/>
    <mergeCell ref="J372:O372"/>
    <mergeCell ref="P372:P373"/>
    <mergeCell ref="Q372:Q373"/>
    <mergeCell ref="R372:R373"/>
    <mergeCell ref="S372:S373"/>
    <mergeCell ref="C372:C373"/>
    <mergeCell ref="D372:D373"/>
    <mergeCell ref="E372:E373"/>
    <mergeCell ref="F372:F373"/>
    <mergeCell ref="G372:G373"/>
    <mergeCell ref="H372:H373"/>
    <mergeCell ref="AA372:AA373"/>
    <mergeCell ref="AB372:AG372"/>
    <mergeCell ref="AH372:AH373"/>
    <mergeCell ref="AI372:AI373"/>
    <mergeCell ref="AJ372:AJ373"/>
    <mergeCell ref="AK372:AK373"/>
    <mergeCell ref="U372:U373"/>
    <mergeCell ref="V372:V373"/>
    <mergeCell ref="W372:W373"/>
    <mergeCell ref="X372:X373"/>
    <mergeCell ref="Y372:Y373"/>
    <mergeCell ref="Z372:Z373"/>
    <mergeCell ref="C406:S406"/>
    <mergeCell ref="U406:AK406"/>
    <mergeCell ref="C408:C409"/>
    <mergeCell ref="D408:D409"/>
    <mergeCell ref="E408:E409"/>
    <mergeCell ref="F408:F409"/>
    <mergeCell ref="G408:G409"/>
    <mergeCell ref="H408:H409"/>
    <mergeCell ref="I408:I409"/>
    <mergeCell ref="J408:O408"/>
    <mergeCell ref="AH408:AH409"/>
    <mergeCell ref="AI408:AI409"/>
    <mergeCell ref="AJ408:AJ409"/>
    <mergeCell ref="AK408:AK409"/>
    <mergeCell ref="C442:S442"/>
    <mergeCell ref="U442:AK442"/>
    <mergeCell ref="W408:W409"/>
    <mergeCell ref="X408:X409"/>
    <mergeCell ref="Y408:Y409"/>
    <mergeCell ref="Z408:Z409"/>
    <mergeCell ref="AA408:AA409"/>
    <mergeCell ref="AB408:AG408"/>
    <mergeCell ref="P408:P409"/>
    <mergeCell ref="Q408:Q409"/>
    <mergeCell ref="R408:R409"/>
    <mergeCell ref="S408:S409"/>
    <mergeCell ref="U408:U409"/>
    <mergeCell ref="V408:V409"/>
    <mergeCell ref="I444:I445"/>
    <mergeCell ref="J444:O444"/>
    <mergeCell ref="P444:P445"/>
    <mergeCell ref="Q444:Q445"/>
    <mergeCell ref="R444:R445"/>
    <mergeCell ref="S444:S445"/>
    <mergeCell ref="C444:C445"/>
    <mergeCell ref="D444:D445"/>
    <mergeCell ref="E444:E445"/>
    <mergeCell ref="F444:F445"/>
    <mergeCell ref="G444:G445"/>
    <mergeCell ref="H444:H445"/>
    <mergeCell ref="AA444:AA445"/>
    <mergeCell ref="AB444:AG444"/>
    <mergeCell ref="AH444:AH445"/>
    <mergeCell ref="AI444:AI445"/>
    <mergeCell ref="AJ444:AJ445"/>
    <mergeCell ref="AK444:AK445"/>
    <mergeCell ref="U444:U445"/>
    <mergeCell ref="V444:V445"/>
    <mergeCell ref="W444:W445"/>
    <mergeCell ref="X444:X445"/>
    <mergeCell ref="Y444:Y445"/>
    <mergeCell ref="Z444:Z445"/>
  </mergeCells>
  <conditionalFormatting sqref="D12:S18">
    <cfRule type="expression" dxfId="1497" priority="1218">
      <formula>LEN(TRIM(D12))=0</formula>
    </cfRule>
  </conditionalFormatting>
  <conditionalFormatting sqref="D20:S32">
    <cfRule type="expression" dxfId="1496" priority="1195">
      <formula>LEN(TRIM(D20))=0</formula>
    </cfRule>
    <cfRule type="cellIs" dxfId="1495" priority="1194" operator="equal">
      <formula>0</formula>
    </cfRule>
  </conditionalFormatting>
  <conditionalFormatting sqref="D34:S42">
    <cfRule type="cellIs" dxfId="1494" priority="1182" operator="equal">
      <formula>0</formula>
    </cfRule>
    <cfRule type="expression" dxfId="1493" priority="1183">
      <formula>LEN(TRIM(D34))=0</formula>
    </cfRule>
  </conditionalFormatting>
  <conditionalFormatting sqref="D49:S55">
    <cfRule type="expression" dxfId="1492" priority="1130">
      <formula>LEN(TRIM(D49))=0</formula>
    </cfRule>
  </conditionalFormatting>
  <conditionalFormatting sqref="D57:S69">
    <cfRule type="expression" dxfId="1491" priority="1107">
      <formula>LEN(TRIM(D57))=0</formula>
    </cfRule>
    <cfRule type="cellIs" dxfId="1490" priority="1106" operator="equal">
      <formula>0</formula>
    </cfRule>
  </conditionalFormatting>
  <conditionalFormatting sqref="D71:S79">
    <cfRule type="cellIs" dxfId="1489" priority="1094" operator="equal">
      <formula>0</formula>
    </cfRule>
    <cfRule type="expression" dxfId="1488" priority="1095">
      <formula>LEN(TRIM(D71))=0</formula>
    </cfRule>
  </conditionalFormatting>
  <conditionalFormatting sqref="D85:S91">
    <cfRule type="expression" dxfId="1487" priority="1089">
      <formula>LEN(TRIM(D85))=0</formula>
    </cfRule>
  </conditionalFormatting>
  <conditionalFormatting sqref="D93:S105">
    <cfRule type="expression" dxfId="1486" priority="1066">
      <formula>LEN(TRIM(D93))=0</formula>
    </cfRule>
    <cfRule type="cellIs" dxfId="1485" priority="1065" operator="equal">
      <formula>0</formula>
    </cfRule>
  </conditionalFormatting>
  <conditionalFormatting sqref="D107:S115">
    <cfRule type="expression" dxfId="1484" priority="1054">
      <formula>LEN(TRIM(D107))=0</formula>
    </cfRule>
    <cfRule type="cellIs" dxfId="1483" priority="1053" operator="equal">
      <formula>0</formula>
    </cfRule>
  </conditionalFormatting>
  <conditionalFormatting sqref="D122:S128">
    <cfRule type="expression" dxfId="1482" priority="1048">
      <formula>LEN(TRIM(D122))=0</formula>
    </cfRule>
  </conditionalFormatting>
  <conditionalFormatting sqref="D130:S142">
    <cfRule type="expression" dxfId="1481" priority="1025">
      <formula>LEN(TRIM(D130))=0</formula>
    </cfRule>
    <cfRule type="cellIs" dxfId="1480" priority="1024" operator="equal">
      <formula>0</formula>
    </cfRule>
  </conditionalFormatting>
  <conditionalFormatting sqref="D144:S152">
    <cfRule type="expression" dxfId="1479" priority="1013">
      <formula>LEN(TRIM(D144))=0</formula>
    </cfRule>
    <cfRule type="cellIs" dxfId="1478" priority="1012" operator="equal">
      <formula>0</formula>
    </cfRule>
  </conditionalFormatting>
  <conditionalFormatting sqref="D158:S164">
    <cfRule type="expression" dxfId="1477" priority="1007">
      <formula>LEN(TRIM(D158))=0</formula>
    </cfRule>
  </conditionalFormatting>
  <conditionalFormatting sqref="D166:S178">
    <cfRule type="cellIs" dxfId="1476" priority="983" operator="equal">
      <formula>0</formula>
    </cfRule>
    <cfRule type="expression" dxfId="1475" priority="984">
      <formula>LEN(TRIM(D166))=0</formula>
    </cfRule>
  </conditionalFormatting>
  <conditionalFormatting sqref="D180:S188">
    <cfRule type="cellIs" dxfId="1474" priority="971" operator="equal">
      <formula>0</formula>
    </cfRule>
    <cfRule type="expression" dxfId="1473" priority="972">
      <formula>LEN(TRIM(D180))=0</formula>
    </cfRule>
  </conditionalFormatting>
  <conditionalFormatting sqref="D194:S200">
    <cfRule type="expression" dxfId="1472" priority="966">
      <formula>LEN(TRIM(D194))=0</formula>
    </cfRule>
  </conditionalFormatting>
  <conditionalFormatting sqref="D202:S214">
    <cfRule type="cellIs" dxfId="1471" priority="942" operator="equal">
      <formula>0</formula>
    </cfRule>
    <cfRule type="expression" dxfId="1470" priority="943">
      <formula>LEN(TRIM(D202))=0</formula>
    </cfRule>
  </conditionalFormatting>
  <conditionalFormatting sqref="D216:S224">
    <cfRule type="cellIs" dxfId="1469" priority="930" operator="equal">
      <formula>0</formula>
    </cfRule>
    <cfRule type="expression" dxfId="1468" priority="931">
      <formula>LEN(TRIM(D216))=0</formula>
    </cfRule>
  </conditionalFormatting>
  <conditionalFormatting sqref="D230:S236">
    <cfRule type="expression" dxfId="1467" priority="925">
      <formula>LEN(TRIM(D230))=0</formula>
    </cfRule>
  </conditionalFormatting>
  <conditionalFormatting sqref="D238:S250">
    <cfRule type="cellIs" dxfId="1466" priority="901" operator="equal">
      <formula>0</formula>
    </cfRule>
    <cfRule type="expression" dxfId="1465" priority="902">
      <formula>LEN(TRIM(D238))=0</formula>
    </cfRule>
  </conditionalFormatting>
  <conditionalFormatting sqref="D252:S260">
    <cfRule type="expression" dxfId="1464" priority="890">
      <formula>LEN(TRIM(D252))=0</formula>
    </cfRule>
    <cfRule type="cellIs" dxfId="1463" priority="889" operator="equal">
      <formula>0</formula>
    </cfRule>
  </conditionalFormatting>
  <conditionalFormatting sqref="D266:S272">
    <cfRule type="expression" dxfId="1462" priority="884">
      <formula>LEN(TRIM(D266))=0</formula>
    </cfRule>
  </conditionalFormatting>
  <conditionalFormatting sqref="D274:S286">
    <cfRule type="cellIs" dxfId="1461" priority="860" operator="equal">
      <formula>0</formula>
    </cfRule>
    <cfRule type="expression" dxfId="1460" priority="861">
      <formula>LEN(TRIM(D274))=0</formula>
    </cfRule>
  </conditionalFormatting>
  <conditionalFormatting sqref="D288:S296">
    <cfRule type="expression" dxfId="1459" priority="849">
      <formula>LEN(TRIM(D288))=0</formula>
    </cfRule>
    <cfRule type="cellIs" dxfId="1458" priority="848" operator="equal">
      <formula>0</formula>
    </cfRule>
  </conditionalFormatting>
  <conditionalFormatting sqref="D302:S308">
    <cfRule type="expression" dxfId="1457" priority="843">
      <formula>LEN(TRIM(D302))=0</formula>
    </cfRule>
  </conditionalFormatting>
  <conditionalFormatting sqref="D310:S322">
    <cfRule type="cellIs" dxfId="1456" priority="819" operator="equal">
      <formula>0</formula>
    </cfRule>
    <cfRule type="expression" dxfId="1455" priority="820">
      <formula>LEN(TRIM(D310))=0</formula>
    </cfRule>
  </conditionalFormatting>
  <conditionalFormatting sqref="D324:S332">
    <cfRule type="expression" dxfId="1454" priority="808">
      <formula>LEN(TRIM(D324))=0</formula>
    </cfRule>
    <cfRule type="cellIs" dxfId="1453" priority="807" operator="equal">
      <formula>0</formula>
    </cfRule>
  </conditionalFormatting>
  <conditionalFormatting sqref="D338:S344">
    <cfRule type="expression" dxfId="1452" priority="802">
      <formula>LEN(TRIM(D338))=0</formula>
    </cfRule>
  </conditionalFormatting>
  <conditionalFormatting sqref="D346:S358">
    <cfRule type="cellIs" dxfId="1451" priority="778" operator="equal">
      <formula>0</formula>
    </cfRule>
    <cfRule type="expression" dxfId="1450" priority="779">
      <formula>LEN(TRIM(D346))=0</formula>
    </cfRule>
  </conditionalFormatting>
  <conditionalFormatting sqref="D360:S368">
    <cfRule type="cellIs" dxfId="1449" priority="766" operator="equal">
      <formula>0</formula>
    </cfRule>
    <cfRule type="expression" dxfId="1448" priority="767">
      <formula>LEN(TRIM(D360))=0</formula>
    </cfRule>
  </conditionalFormatting>
  <conditionalFormatting sqref="D374:S380">
    <cfRule type="expression" dxfId="1447" priority="761">
      <formula>LEN(TRIM(D374))=0</formula>
    </cfRule>
  </conditionalFormatting>
  <conditionalFormatting sqref="D382:S394">
    <cfRule type="expression" dxfId="1446" priority="738">
      <formula>LEN(TRIM(D382))=0</formula>
    </cfRule>
    <cfRule type="cellIs" dxfId="1445" priority="737" operator="equal">
      <formula>0</formula>
    </cfRule>
  </conditionalFormatting>
  <conditionalFormatting sqref="D396:S404">
    <cfRule type="expression" dxfId="1444" priority="726">
      <formula>LEN(TRIM(D396))=0</formula>
    </cfRule>
    <cfRule type="cellIs" dxfId="1443" priority="725" operator="equal">
      <formula>0</formula>
    </cfRule>
  </conditionalFormatting>
  <conditionalFormatting sqref="D410:S416">
    <cfRule type="expression" dxfId="1442" priority="720">
      <formula>LEN(TRIM(D410))=0</formula>
    </cfRule>
  </conditionalFormatting>
  <conditionalFormatting sqref="D418:S430">
    <cfRule type="cellIs" dxfId="1441" priority="696" operator="equal">
      <formula>0</formula>
    </cfRule>
    <cfRule type="expression" dxfId="1440" priority="697">
      <formula>LEN(TRIM(D418))=0</formula>
    </cfRule>
  </conditionalFormatting>
  <conditionalFormatting sqref="D432:S440">
    <cfRule type="expression" dxfId="1439" priority="685">
      <formula>LEN(TRIM(D432))=0</formula>
    </cfRule>
    <cfRule type="cellIs" dxfId="1438" priority="684" operator="equal">
      <formula>0</formula>
    </cfRule>
  </conditionalFormatting>
  <conditionalFormatting sqref="D446:S452">
    <cfRule type="expression" dxfId="1437" priority="679">
      <formula>LEN(TRIM(D446))=0</formula>
    </cfRule>
  </conditionalFormatting>
  <conditionalFormatting sqref="D454:S466">
    <cfRule type="expression" dxfId="1436" priority="656">
      <formula>LEN(TRIM(D454))=0</formula>
    </cfRule>
    <cfRule type="cellIs" dxfId="1435" priority="655" operator="equal">
      <formula>0</formula>
    </cfRule>
  </conditionalFormatting>
  <conditionalFormatting sqref="D468:S476">
    <cfRule type="expression" dxfId="1434" priority="644">
      <formula>LEN(TRIM(D468))=0</formula>
    </cfRule>
    <cfRule type="cellIs" dxfId="1433" priority="643" operator="equal">
      <formula>0</formula>
    </cfRule>
  </conditionalFormatting>
  <conditionalFormatting sqref="G12:G14 Q12:S14 D12:F17 E15:I17 P15:S17 D18:S18">
    <cfRule type="cellIs" dxfId="1432" priority="1202" operator="equal">
      <formula>0</formula>
    </cfRule>
  </conditionalFormatting>
  <conditionalFormatting sqref="G49:G51 Q49:S51 D49:F54 E52:I54 P52:S54 D55:S55">
    <cfRule type="cellIs" dxfId="1431" priority="1114" operator="equal">
      <formula>0</formula>
    </cfRule>
  </conditionalFormatting>
  <conditionalFormatting sqref="G85:G87 Q85:S87 D85:F90 E88:I90 P88:S90 D91:S91">
    <cfRule type="cellIs" dxfId="1430" priority="1073" operator="equal">
      <formula>0</formula>
    </cfRule>
  </conditionalFormatting>
  <conditionalFormatting sqref="G122:G124 Q122:S124 D122:F127 E125:I127 P125:S127 D128:S128">
    <cfRule type="cellIs" dxfId="1429" priority="1032" operator="equal">
      <formula>0</formula>
    </cfRule>
  </conditionalFormatting>
  <conditionalFormatting sqref="G158:G160 Q158:S160 D158:F163 E161:I163 P161:S163 D164:S164">
    <cfRule type="cellIs" dxfId="1428" priority="991" operator="equal">
      <formula>0</formula>
    </cfRule>
  </conditionalFormatting>
  <conditionalFormatting sqref="G194:G196 Q194:S196 D194:F199 E197:I199 P197:S199 D200:S200">
    <cfRule type="cellIs" dxfId="1427" priority="950" operator="equal">
      <formula>0</formula>
    </cfRule>
  </conditionalFormatting>
  <conditionalFormatting sqref="G230:G232 Q230:S232 D230:F235 E233:I235 P233:S235 D236:S236">
    <cfRule type="cellIs" dxfId="1426" priority="909" operator="equal">
      <formula>0</formula>
    </cfRule>
  </conditionalFormatting>
  <conditionalFormatting sqref="G266:G268 Q266:S268 D266:F271 E269:I271 P269:S271 D272:S272">
    <cfRule type="cellIs" dxfId="1425" priority="868" operator="equal">
      <formula>0</formula>
    </cfRule>
  </conditionalFormatting>
  <conditionalFormatting sqref="G302:G304 Q302:S304 D302:F307 E305:I307 P305:S307 D308:S308">
    <cfRule type="cellIs" dxfId="1424" priority="827" operator="equal">
      <formula>0</formula>
    </cfRule>
  </conditionalFormatting>
  <conditionalFormatting sqref="G338:G340 Q338:S340 D338:F343 E341:I343 P341:S343 D344:S344">
    <cfRule type="cellIs" dxfId="1423" priority="786" operator="equal">
      <formula>0</formula>
    </cfRule>
  </conditionalFormatting>
  <conditionalFormatting sqref="G374:G376 Q374:S376 D374:F379 E377:I379 P377:S379 D380:S380">
    <cfRule type="cellIs" dxfId="1422" priority="745" operator="equal">
      <formula>0</formula>
    </cfRule>
  </conditionalFormatting>
  <conditionalFormatting sqref="G410:G412 Q410:S412 D410:F415 E413:I415 P413:S415 D416:S416">
    <cfRule type="cellIs" dxfId="1421" priority="704" operator="equal">
      <formula>0</formula>
    </cfRule>
  </conditionalFormatting>
  <conditionalFormatting sqref="G446:G448 Q446:S448 D446:F451 E449:I451 P449:S451 D452:S452">
    <cfRule type="cellIs" dxfId="1420" priority="663" operator="equal">
      <formula>0</formula>
    </cfRule>
  </conditionalFormatting>
  <conditionalFormatting sqref="H12:I17">
    <cfRule type="cellIs" dxfId="1419" priority="1204" operator="equal">
      <formula>0</formula>
    </cfRule>
  </conditionalFormatting>
  <conditionalFormatting sqref="H49:I54">
    <cfRule type="cellIs" dxfId="1418" priority="1116" operator="equal">
      <formula>0</formula>
    </cfRule>
  </conditionalFormatting>
  <conditionalFormatting sqref="H85:I90">
    <cfRule type="cellIs" dxfId="1417" priority="1075" operator="equal">
      <formula>0</formula>
    </cfRule>
  </conditionalFormatting>
  <conditionalFormatting sqref="H122:I127">
    <cfRule type="cellIs" dxfId="1416" priority="1034" operator="equal">
      <formula>0</formula>
    </cfRule>
  </conditionalFormatting>
  <conditionalFormatting sqref="H158:I163">
    <cfRule type="cellIs" dxfId="1415" priority="993" operator="equal">
      <formula>0</formula>
    </cfRule>
  </conditionalFormatting>
  <conditionalFormatting sqref="H194:I199">
    <cfRule type="cellIs" dxfId="1414" priority="952" operator="equal">
      <formula>0</formula>
    </cfRule>
  </conditionalFormatting>
  <conditionalFormatting sqref="H230:I235">
    <cfRule type="cellIs" dxfId="1413" priority="911" operator="equal">
      <formula>0</formula>
    </cfRule>
  </conditionalFormatting>
  <conditionalFormatting sqref="H266:I271">
    <cfRule type="cellIs" dxfId="1412" priority="870" operator="equal">
      <formula>0</formula>
    </cfRule>
  </conditionalFormatting>
  <conditionalFormatting sqref="H302:I307">
    <cfRule type="cellIs" dxfId="1411" priority="829" operator="equal">
      <formula>0</formula>
    </cfRule>
  </conditionalFormatting>
  <conditionalFormatting sqref="H338:I343">
    <cfRule type="cellIs" dxfId="1410" priority="788" operator="equal">
      <formula>0</formula>
    </cfRule>
  </conditionalFormatting>
  <conditionalFormatting sqref="H374:I379">
    <cfRule type="cellIs" dxfId="1409" priority="747" operator="equal">
      <formula>0</formula>
    </cfRule>
  </conditionalFormatting>
  <conditionalFormatting sqref="H410:I415">
    <cfRule type="cellIs" dxfId="1408" priority="706" operator="equal">
      <formula>0</formula>
    </cfRule>
  </conditionalFormatting>
  <conditionalFormatting sqref="H446:I451">
    <cfRule type="cellIs" dxfId="1407" priority="665" operator="equal">
      <formula>0</formula>
    </cfRule>
  </conditionalFormatting>
  <conditionalFormatting sqref="J11:O17">
    <cfRule type="cellIs" dxfId="1406" priority="1" operator="equal">
      <formula>0</formula>
    </cfRule>
  </conditionalFormatting>
  <conditionalFormatting sqref="J48:O54">
    <cfRule type="cellIs" dxfId="1405" priority="145" operator="equal">
      <formula>0</formula>
    </cfRule>
  </conditionalFormatting>
  <conditionalFormatting sqref="J84:O90">
    <cfRule type="cellIs" dxfId="1404" priority="133" operator="equal">
      <formula>0</formula>
    </cfRule>
  </conditionalFormatting>
  <conditionalFormatting sqref="J121:O127">
    <cfRule type="cellIs" dxfId="1403" priority="121" operator="equal">
      <formula>0</formula>
    </cfRule>
  </conditionalFormatting>
  <conditionalFormatting sqref="J157:O163">
    <cfRule type="cellIs" dxfId="1402" priority="109" operator="equal">
      <formula>0</formula>
    </cfRule>
  </conditionalFormatting>
  <conditionalFormatting sqref="J193:O199">
    <cfRule type="cellIs" dxfId="1401" priority="97" operator="equal">
      <formula>0</formula>
    </cfRule>
  </conditionalFormatting>
  <conditionalFormatting sqref="J229:O235">
    <cfRule type="cellIs" dxfId="1400" priority="85" operator="equal">
      <formula>0</formula>
    </cfRule>
  </conditionalFormatting>
  <conditionalFormatting sqref="J265:O271">
    <cfRule type="cellIs" dxfId="1399" priority="73" operator="equal">
      <formula>0</formula>
    </cfRule>
  </conditionalFormatting>
  <conditionalFormatting sqref="J301:O307">
    <cfRule type="cellIs" dxfId="1398" priority="61" operator="equal">
      <formula>0</formula>
    </cfRule>
  </conditionalFormatting>
  <conditionalFormatting sqref="J337:O343">
    <cfRule type="cellIs" dxfId="1397" priority="49" operator="equal">
      <formula>0</formula>
    </cfRule>
  </conditionalFormatting>
  <conditionalFormatting sqref="J373:O379">
    <cfRule type="cellIs" dxfId="1396" priority="37" operator="equal">
      <formula>0</formula>
    </cfRule>
  </conditionalFormatting>
  <conditionalFormatting sqref="J409:O415">
    <cfRule type="cellIs" dxfId="1395" priority="25" operator="equal">
      <formula>0</formula>
    </cfRule>
  </conditionalFormatting>
  <conditionalFormatting sqref="J445:O451">
    <cfRule type="cellIs" dxfId="1394" priority="13" operator="equal">
      <formula>0</formula>
    </cfRule>
  </conditionalFormatting>
  <conditionalFormatting sqref="K12:O12">
    <cfRule type="cellIs" dxfId="1393" priority="1207" operator="equal">
      <formula>0</formula>
    </cfRule>
  </conditionalFormatting>
  <conditionalFormatting sqref="K49:O49">
    <cfRule type="cellIs" dxfId="1392" priority="1119" operator="equal">
      <formula>0</formula>
    </cfRule>
  </conditionalFormatting>
  <conditionalFormatting sqref="K85:O85">
    <cfRule type="cellIs" dxfId="1391" priority="1078" operator="equal">
      <formula>0</formula>
    </cfRule>
  </conditionalFormatting>
  <conditionalFormatting sqref="K122:O122">
    <cfRule type="cellIs" dxfId="1390" priority="1037" operator="equal">
      <formula>0</formula>
    </cfRule>
  </conditionalFormatting>
  <conditionalFormatting sqref="K158:O158">
    <cfRule type="cellIs" dxfId="1389" priority="996" operator="equal">
      <formula>0</formula>
    </cfRule>
  </conditionalFormatting>
  <conditionalFormatting sqref="K194:O194">
    <cfRule type="cellIs" dxfId="1388" priority="955" operator="equal">
      <formula>0</formula>
    </cfRule>
  </conditionalFormatting>
  <conditionalFormatting sqref="K230:O230">
    <cfRule type="cellIs" dxfId="1387" priority="914" operator="equal">
      <formula>0</formula>
    </cfRule>
  </conditionalFormatting>
  <conditionalFormatting sqref="K266:O266">
    <cfRule type="cellIs" dxfId="1386" priority="873" operator="equal">
      <formula>0</formula>
    </cfRule>
  </conditionalFormatting>
  <conditionalFormatting sqref="K302:O302">
    <cfRule type="cellIs" dxfId="1385" priority="832" operator="equal">
      <formula>0</formula>
    </cfRule>
  </conditionalFormatting>
  <conditionalFormatting sqref="K338:O338">
    <cfRule type="cellIs" dxfId="1384" priority="791" operator="equal">
      <formula>0</formula>
    </cfRule>
  </conditionalFormatting>
  <conditionalFormatting sqref="K374:O374">
    <cfRule type="cellIs" dxfId="1383" priority="750" operator="equal">
      <formula>0</formula>
    </cfRule>
  </conditionalFormatting>
  <conditionalFormatting sqref="K410:O410">
    <cfRule type="cellIs" dxfId="1382" priority="709" operator="equal">
      <formula>0</formula>
    </cfRule>
  </conditionalFormatting>
  <conditionalFormatting sqref="K446:O446">
    <cfRule type="cellIs" dxfId="1381" priority="668" operator="equal">
      <formula>0</formula>
    </cfRule>
  </conditionalFormatting>
  <conditionalFormatting sqref="P12:P17">
    <cfRule type="cellIs" dxfId="1380" priority="1203" operator="equal">
      <formula>0</formula>
    </cfRule>
  </conditionalFormatting>
  <conditionalFormatting sqref="P49:P54">
    <cfRule type="cellIs" dxfId="1379" priority="1115" operator="equal">
      <formula>0</formula>
    </cfRule>
  </conditionalFormatting>
  <conditionalFormatting sqref="P85:P90">
    <cfRule type="cellIs" dxfId="1378" priority="1074" operator="equal">
      <formula>0</formula>
    </cfRule>
  </conditionalFormatting>
  <conditionalFormatting sqref="P122:P127">
    <cfRule type="cellIs" dxfId="1377" priority="1033" operator="equal">
      <formula>0</formula>
    </cfRule>
  </conditionalFormatting>
  <conditionalFormatting sqref="P158:P163">
    <cfRule type="cellIs" dxfId="1376" priority="992" operator="equal">
      <formula>0</formula>
    </cfRule>
  </conditionalFormatting>
  <conditionalFormatting sqref="P194:P199">
    <cfRule type="cellIs" dxfId="1375" priority="951" operator="equal">
      <formula>0</formula>
    </cfRule>
  </conditionalFormatting>
  <conditionalFormatting sqref="P230:P235">
    <cfRule type="cellIs" dxfId="1374" priority="910" operator="equal">
      <formula>0</formula>
    </cfRule>
  </conditionalFormatting>
  <conditionalFormatting sqref="P266:P271">
    <cfRule type="cellIs" dxfId="1373" priority="869" operator="equal">
      <formula>0</formula>
    </cfRule>
  </conditionalFormatting>
  <conditionalFormatting sqref="P302:P307">
    <cfRule type="cellIs" dxfId="1372" priority="828" operator="equal">
      <formula>0</formula>
    </cfRule>
  </conditionalFormatting>
  <conditionalFormatting sqref="P338:P343">
    <cfRule type="cellIs" dxfId="1371" priority="787" operator="equal">
      <formula>0</formula>
    </cfRule>
  </conditionalFormatting>
  <conditionalFormatting sqref="P374:P379">
    <cfRule type="cellIs" dxfId="1370" priority="746" operator="equal">
      <formula>0</formula>
    </cfRule>
  </conditionalFormatting>
  <conditionalFormatting sqref="P410:P415">
    <cfRule type="cellIs" dxfId="1369" priority="705" operator="equal">
      <formula>0</formula>
    </cfRule>
  </conditionalFormatting>
  <conditionalFormatting sqref="P446:P451">
    <cfRule type="cellIs" dxfId="1368" priority="664" operator="equal">
      <formula>0</formula>
    </cfRule>
  </conditionalFormatting>
  <conditionalFormatting sqref="V12:AK18">
    <cfRule type="expression" dxfId="1367" priority="1177">
      <formula>LEN(TRIM(V12))=0</formula>
    </cfRule>
  </conditionalFormatting>
  <conditionalFormatting sqref="V20:AK32">
    <cfRule type="cellIs" dxfId="1366" priority="1153" operator="equal">
      <formula>0</formula>
    </cfRule>
    <cfRule type="expression" dxfId="1365" priority="1154">
      <formula>LEN(TRIM(V20))=0</formula>
    </cfRule>
  </conditionalFormatting>
  <conditionalFormatting sqref="V34:AK42">
    <cfRule type="cellIs" dxfId="1364" priority="1141" operator="equal">
      <formula>0</formula>
    </cfRule>
    <cfRule type="expression" dxfId="1363" priority="1142">
      <formula>LEN(TRIM(V34))=0</formula>
    </cfRule>
  </conditionalFormatting>
  <conditionalFormatting sqref="V49:AK55">
    <cfRule type="expression" dxfId="1362" priority="638">
      <formula>LEN(TRIM(V49))=0</formula>
    </cfRule>
  </conditionalFormatting>
  <conditionalFormatting sqref="V57:AK69">
    <cfRule type="cellIs" dxfId="1361" priority="614" operator="equal">
      <formula>0</formula>
    </cfRule>
    <cfRule type="expression" dxfId="1360" priority="615">
      <formula>LEN(TRIM(V57))=0</formula>
    </cfRule>
  </conditionalFormatting>
  <conditionalFormatting sqref="V71:AK79">
    <cfRule type="expression" dxfId="1359" priority="603">
      <formula>LEN(TRIM(V71))=0</formula>
    </cfRule>
    <cfRule type="cellIs" dxfId="1358" priority="602" operator="equal">
      <formula>0</formula>
    </cfRule>
  </conditionalFormatting>
  <conditionalFormatting sqref="V85:AK91">
    <cfRule type="expression" dxfId="1357" priority="597">
      <formula>LEN(TRIM(V85))=0</formula>
    </cfRule>
  </conditionalFormatting>
  <conditionalFormatting sqref="V93:AK105">
    <cfRule type="expression" dxfId="1356" priority="574">
      <formula>LEN(TRIM(V93))=0</formula>
    </cfRule>
    <cfRule type="cellIs" dxfId="1355" priority="573" operator="equal">
      <formula>0</formula>
    </cfRule>
  </conditionalFormatting>
  <conditionalFormatting sqref="V107:AK115">
    <cfRule type="cellIs" dxfId="1354" priority="561" operator="equal">
      <formula>0</formula>
    </cfRule>
    <cfRule type="expression" dxfId="1353" priority="562">
      <formula>LEN(TRIM(V107))=0</formula>
    </cfRule>
  </conditionalFormatting>
  <conditionalFormatting sqref="V122:AK128">
    <cfRule type="expression" dxfId="1352" priority="556">
      <formula>LEN(TRIM(V122))=0</formula>
    </cfRule>
  </conditionalFormatting>
  <conditionalFormatting sqref="V130:AK142">
    <cfRule type="cellIs" dxfId="1351" priority="532" operator="equal">
      <formula>0</formula>
    </cfRule>
    <cfRule type="expression" dxfId="1350" priority="533">
      <formula>LEN(TRIM(V130))=0</formula>
    </cfRule>
  </conditionalFormatting>
  <conditionalFormatting sqref="V144:AK152">
    <cfRule type="cellIs" dxfId="1349" priority="520" operator="equal">
      <formula>0</formula>
    </cfRule>
    <cfRule type="expression" dxfId="1348" priority="521">
      <formula>LEN(TRIM(V144))=0</formula>
    </cfRule>
  </conditionalFormatting>
  <conditionalFormatting sqref="V158:AK164">
    <cfRule type="expression" dxfId="1347" priority="515">
      <formula>LEN(TRIM(V158))=0</formula>
    </cfRule>
  </conditionalFormatting>
  <conditionalFormatting sqref="V166:AK178">
    <cfRule type="expression" dxfId="1346" priority="492">
      <formula>LEN(TRIM(V166))=0</formula>
    </cfRule>
    <cfRule type="cellIs" dxfId="1345" priority="491" operator="equal">
      <formula>0</formula>
    </cfRule>
  </conditionalFormatting>
  <conditionalFormatting sqref="V180:AK188">
    <cfRule type="cellIs" dxfId="1344" priority="479" operator="equal">
      <formula>0</formula>
    </cfRule>
    <cfRule type="expression" dxfId="1343" priority="480">
      <formula>LEN(TRIM(V180))=0</formula>
    </cfRule>
  </conditionalFormatting>
  <conditionalFormatting sqref="V194:AK200">
    <cfRule type="expression" dxfId="1342" priority="474">
      <formula>LEN(TRIM(V194))=0</formula>
    </cfRule>
  </conditionalFormatting>
  <conditionalFormatting sqref="V202:AK214">
    <cfRule type="cellIs" dxfId="1341" priority="450" operator="equal">
      <formula>0</formula>
    </cfRule>
    <cfRule type="expression" dxfId="1340" priority="451">
      <formula>LEN(TRIM(V202))=0</formula>
    </cfRule>
  </conditionalFormatting>
  <conditionalFormatting sqref="V216:AK224">
    <cfRule type="expression" dxfId="1339" priority="439">
      <formula>LEN(TRIM(V216))=0</formula>
    </cfRule>
    <cfRule type="cellIs" dxfId="1338" priority="438" operator="equal">
      <formula>0</formula>
    </cfRule>
  </conditionalFormatting>
  <conditionalFormatting sqref="V230:AK236">
    <cfRule type="expression" dxfId="1337" priority="433">
      <formula>LEN(TRIM(V230))=0</formula>
    </cfRule>
  </conditionalFormatting>
  <conditionalFormatting sqref="V238:AK250">
    <cfRule type="expression" dxfId="1336" priority="410">
      <formula>LEN(TRIM(V238))=0</formula>
    </cfRule>
    <cfRule type="cellIs" dxfId="1335" priority="409" operator="equal">
      <formula>0</formula>
    </cfRule>
  </conditionalFormatting>
  <conditionalFormatting sqref="V252:AK260">
    <cfRule type="expression" dxfId="1334" priority="398">
      <formula>LEN(TRIM(V252))=0</formula>
    </cfRule>
    <cfRule type="cellIs" dxfId="1333" priority="397" operator="equal">
      <formula>0</formula>
    </cfRule>
  </conditionalFormatting>
  <conditionalFormatting sqref="V266:AK272">
    <cfRule type="expression" dxfId="1332" priority="392">
      <formula>LEN(TRIM(V266))=0</formula>
    </cfRule>
  </conditionalFormatting>
  <conditionalFormatting sqref="V274:AK286">
    <cfRule type="expression" dxfId="1331" priority="369">
      <formula>LEN(TRIM(V274))=0</formula>
    </cfRule>
    <cfRule type="cellIs" dxfId="1330" priority="368" operator="equal">
      <formula>0</formula>
    </cfRule>
  </conditionalFormatting>
  <conditionalFormatting sqref="V288:AK296">
    <cfRule type="expression" dxfId="1329" priority="357">
      <formula>LEN(TRIM(V288))=0</formula>
    </cfRule>
    <cfRule type="cellIs" dxfId="1328" priority="356" operator="equal">
      <formula>0</formula>
    </cfRule>
  </conditionalFormatting>
  <conditionalFormatting sqref="V302:AK308">
    <cfRule type="expression" dxfId="1327" priority="351">
      <formula>LEN(TRIM(V302))=0</formula>
    </cfRule>
  </conditionalFormatting>
  <conditionalFormatting sqref="V310:AK322">
    <cfRule type="cellIs" dxfId="1326" priority="327" operator="equal">
      <formula>0</formula>
    </cfRule>
    <cfRule type="expression" dxfId="1325" priority="328">
      <formula>LEN(TRIM(V310))=0</formula>
    </cfRule>
  </conditionalFormatting>
  <conditionalFormatting sqref="V324:AK332">
    <cfRule type="expression" dxfId="1324" priority="316">
      <formula>LEN(TRIM(V324))=0</formula>
    </cfRule>
    <cfRule type="cellIs" dxfId="1323" priority="315" operator="equal">
      <formula>0</formula>
    </cfRule>
  </conditionalFormatting>
  <conditionalFormatting sqref="V338:AK344">
    <cfRule type="expression" dxfId="1322" priority="310">
      <formula>LEN(TRIM(V338))=0</formula>
    </cfRule>
  </conditionalFormatting>
  <conditionalFormatting sqref="V346:AK358">
    <cfRule type="expression" dxfId="1321" priority="287">
      <formula>LEN(TRIM(V346))=0</formula>
    </cfRule>
    <cfRule type="cellIs" dxfId="1320" priority="286" operator="equal">
      <formula>0</formula>
    </cfRule>
  </conditionalFormatting>
  <conditionalFormatting sqref="V360:AK368">
    <cfRule type="expression" dxfId="1319" priority="275">
      <formula>LEN(TRIM(V360))=0</formula>
    </cfRule>
    <cfRule type="cellIs" dxfId="1318" priority="274" operator="equal">
      <formula>0</formula>
    </cfRule>
  </conditionalFormatting>
  <conditionalFormatting sqref="V374:AK380">
    <cfRule type="expression" dxfId="1317" priority="269">
      <formula>LEN(TRIM(V374))=0</formula>
    </cfRule>
  </conditionalFormatting>
  <conditionalFormatting sqref="V382:AK394">
    <cfRule type="expression" dxfId="1316" priority="246">
      <formula>LEN(TRIM(V382))=0</formula>
    </cfRule>
    <cfRule type="cellIs" dxfId="1315" priority="245" operator="equal">
      <formula>0</formula>
    </cfRule>
  </conditionalFormatting>
  <conditionalFormatting sqref="V396:AK404">
    <cfRule type="expression" dxfId="1314" priority="234">
      <formula>LEN(TRIM(V396))=0</formula>
    </cfRule>
    <cfRule type="cellIs" dxfId="1313" priority="233" operator="equal">
      <formula>0</formula>
    </cfRule>
  </conditionalFormatting>
  <conditionalFormatting sqref="V410:AK416">
    <cfRule type="expression" dxfId="1312" priority="228">
      <formula>LEN(TRIM(V410))=0</formula>
    </cfRule>
  </conditionalFormatting>
  <conditionalFormatting sqref="V418:AK430">
    <cfRule type="expression" dxfId="1311" priority="205">
      <formula>LEN(TRIM(V418))=0</formula>
    </cfRule>
    <cfRule type="cellIs" dxfId="1310" priority="204" operator="equal">
      <formula>0</formula>
    </cfRule>
  </conditionalFormatting>
  <conditionalFormatting sqref="V432:AK440">
    <cfRule type="cellIs" dxfId="1309" priority="192" operator="equal">
      <formula>0</formula>
    </cfRule>
    <cfRule type="expression" dxfId="1308" priority="193">
      <formula>LEN(TRIM(V432))=0</formula>
    </cfRule>
  </conditionalFormatting>
  <conditionalFormatting sqref="V446:AK452">
    <cfRule type="expression" dxfId="1307" priority="187">
      <formula>LEN(TRIM(V446))=0</formula>
    </cfRule>
  </conditionalFormatting>
  <conditionalFormatting sqref="V454:AK466">
    <cfRule type="expression" dxfId="1306" priority="164">
      <formula>LEN(TRIM(V454))=0</formula>
    </cfRule>
    <cfRule type="cellIs" dxfId="1305" priority="163" operator="equal">
      <formula>0</formula>
    </cfRule>
  </conditionalFormatting>
  <conditionalFormatting sqref="V468:AK476">
    <cfRule type="expression" dxfId="1304" priority="152">
      <formula>LEN(TRIM(V468))=0</formula>
    </cfRule>
    <cfRule type="cellIs" dxfId="1303" priority="151" operator="equal">
      <formula>0</formula>
    </cfRule>
  </conditionalFormatting>
  <conditionalFormatting sqref="Y12:Y14 AI12:AK14 V12:X17 W15:AA17 AH15:AK17 V18:AK18">
    <cfRule type="cellIs" dxfId="1302" priority="1161" operator="equal">
      <formula>0</formula>
    </cfRule>
  </conditionalFormatting>
  <conditionalFormatting sqref="Y49:Y51 AI49:AK51 V49:X54 W52:AA54 AH52:AK54 V55:AK55">
    <cfRule type="cellIs" dxfId="1301" priority="622" operator="equal">
      <formula>0</formula>
    </cfRule>
  </conditionalFormatting>
  <conditionalFormatting sqref="Y85:Y87 AI85:AK87 V85:X90 W88:AA90 AH88:AK90 V91:AK91">
    <cfRule type="cellIs" dxfId="1300" priority="581" operator="equal">
      <formula>0</formula>
    </cfRule>
  </conditionalFormatting>
  <conditionalFormatting sqref="Y122:Y124 AI122:AK124 V122:X127 W125:AA127 AH125:AK127 V128:AK128">
    <cfRule type="cellIs" dxfId="1299" priority="540" operator="equal">
      <formula>0</formula>
    </cfRule>
  </conditionalFormatting>
  <conditionalFormatting sqref="Y158:Y160 AI158:AK160 V158:X163 W161:AA163 AH161:AK163 V164:AK164">
    <cfRule type="cellIs" dxfId="1298" priority="499" operator="equal">
      <formula>0</formula>
    </cfRule>
  </conditionalFormatting>
  <conditionalFormatting sqref="Y194:Y196 AI194:AK196 V194:X199 W197:AA199 AH197:AK199 V200:AK200">
    <cfRule type="cellIs" dxfId="1297" priority="458" operator="equal">
      <formula>0</formula>
    </cfRule>
  </conditionalFormatting>
  <conditionalFormatting sqref="Y230:Y232 AI230:AK232 V230:X235 W233:AA235 AH233:AK235 V236:AK236">
    <cfRule type="cellIs" dxfId="1296" priority="417" operator="equal">
      <formula>0</formula>
    </cfRule>
  </conditionalFormatting>
  <conditionalFormatting sqref="Y266:Y268 AI266:AK268 V266:X271 W269:AA271 AH269:AK271 V272:AK272">
    <cfRule type="cellIs" dxfId="1295" priority="376" operator="equal">
      <formula>0</formula>
    </cfRule>
  </conditionalFormatting>
  <conditionalFormatting sqref="Y302:Y304 AI302:AK304 V302:X307 W305:AA307 AH305:AK307 V308:AK308">
    <cfRule type="cellIs" dxfId="1294" priority="335" operator="equal">
      <formula>0</formula>
    </cfRule>
  </conditionalFormatting>
  <conditionalFormatting sqref="Y338:Y340 AI338:AK340 V338:X343 W341:AA343 AH341:AK343 V344:AK344">
    <cfRule type="cellIs" dxfId="1293" priority="294" operator="equal">
      <formula>0</formula>
    </cfRule>
  </conditionalFormatting>
  <conditionalFormatting sqref="Y374:Y376 AI374:AK376 V374:X379 W377:AA379 AH377:AK379 V380:AK380">
    <cfRule type="cellIs" dxfId="1292" priority="253" operator="equal">
      <formula>0</formula>
    </cfRule>
  </conditionalFormatting>
  <conditionalFormatting sqref="Y410:Y412 AI410:AK412 V410:X415 W413:AA415 AH413:AK415 V416:AK416">
    <cfRule type="cellIs" dxfId="1291" priority="212" operator="equal">
      <formula>0</formula>
    </cfRule>
  </conditionalFormatting>
  <conditionalFormatting sqref="Y446:Y448 AI446:AK448 V446:X451 W449:AA451 AH449:AK451 V452:AK452">
    <cfRule type="cellIs" dxfId="1290" priority="171" operator="equal">
      <formula>0</formula>
    </cfRule>
  </conditionalFormatting>
  <conditionalFormatting sqref="Z12:AA17">
    <cfRule type="cellIs" dxfId="1289" priority="1163" operator="equal">
      <formula>0</formula>
    </cfRule>
  </conditionalFormatting>
  <conditionalFormatting sqref="Z49:AA54">
    <cfRule type="cellIs" dxfId="1288" priority="624" operator="equal">
      <formula>0</formula>
    </cfRule>
  </conditionalFormatting>
  <conditionalFormatting sqref="Z85:AA90">
    <cfRule type="cellIs" dxfId="1287" priority="583" operator="equal">
      <formula>0</formula>
    </cfRule>
  </conditionalFormatting>
  <conditionalFormatting sqref="Z122:AA127">
    <cfRule type="cellIs" dxfId="1286" priority="542" operator="equal">
      <formula>0</formula>
    </cfRule>
  </conditionalFormatting>
  <conditionalFormatting sqref="Z158:AA163">
    <cfRule type="cellIs" dxfId="1285" priority="501" operator="equal">
      <formula>0</formula>
    </cfRule>
  </conditionalFormatting>
  <conditionalFormatting sqref="Z194:AA199">
    <cfRule type="cellIs" dxfId="1284" priority="460" operator="equal">
      <formula>0</formula>
    </cfRule>
  </conditionalFormatting>
  <conditionalFormatting sqref="Z230:AA235">
    <cfRule type="cellIs" dxfId="1283" priority="419" operator="equal">
      <formula>0</formula>
    </cfRule>
  </conditionalFormatting>
  <conditionalFormatting sqref="Z266:AA271">
    <cfRule type="cellIs" dxfId="1282" priority="378" operator="equal">
      <formula>0</formula>
    </cfRule>
  </conditionalFormatting>
  <conditionalFormatting sqref="Z302:AA307">
    <cfRule type="cellIs" dxfId="1281" priority="337" operator="equal">
      <formula>0</formula>
    </cfRule>
  </conditionalFormatting>
  <conditionalFormatting sqref="Z338:AA343">
    <cfRule type="cellIs" dxfId="1280" priority="296" operator="equal">
      <formula>0</formula>
    </cfRule>
  </conditionalFormatting>
  <conditionalFormatting sqref="Z374:AA379">
    <cfRule type="cellIs" dxfId="1279" priority="255" operator="equal">
      <formula>0</formula>
    </cfRule>
  </conditionalFormatting>
  <conditionalFormatting sqref="Z410:AA415">
    <cfRule type="cellIs" dxfId="1278" priority="214" operator="equal">
      <formula>0</formula>
    </cfRule>
  </conditionalFormatting>
  <conditionalFormatting sqref="Z446:AA451">
    <cfRule type="cellIs" dxfId="1277" priority="173" operator="equal">
      <formula>0</formula>
    </cfRule>
  </conditionalFormatting>
  <conditionalFormatting sqref="AB11:AG17">
    <cfRule type="cellIs" dxfId="1276" priority="1135" operator="equal">
      <formula>0</formula>
    </cfRule>
  </conditionalFormatting>
  <conditionalFormatting sqref="AB48:AG54">
    <cfRule type="cellIs" dxfId="1275" priority="139" operator="equal">
      <formula>0</formula>
    </cfRule>
  </conditionalFormatting>
  <conditionalFormatting sqref="AB84:AG90">
    <cfRule type="cellIs" dxfId="1274" priority="127" operator="equal">
      <formula>0</formula>
    </cfRule>
  </conditionalFormatting>
  <conditionalFormatting sqref="AB121:AG127">
    <cfRule type="cellIs" dxfId="1273" priority="115" operator="equal">
      <formula>0</formula>
    </cfRule>
  </conditionalFormatting>
  <conditionalFormatting sqref="AB157:AG163">
    <cfRule type="cellIs" dxfId="1272" priority="103" operator="equal">
      <formula>0</formula>
    </cfRule>
  </conditionalFormatting>
  <conditionalFormatting sqref="AB193:AG199">
    <cfRule type="cellIs" dxfId="1271" priority="91" operator="equal">
      <formula>0</formula>
    </cfRule>
  </conditionalFormatting>
  <conditionalFormatting sqref="AB229:AG235">
    <cfRule type="cellIs" dxfId="1270" priority="79" operator="equal">
      <formula>0</formula>
    </cfRule>
  </conditionalFormatting>
  <conditionalFormatting sqref="AB265:AG271">
    <cfRule type="cellIs" dxfId="1269" priority="67" operator="equal">
      <formula>0</formula>
    </cfRule>
  </conditionalFormatting>
  <conditionalFormatting sqref="AB301:AG307">
    <cfRule type="cellIs" dxfId="1268" priority="55" operator="equal">
      <formula>0</formula>
    </cfRule>
  </conditionalFormatting>
  <conditionalFormatting sqref="AB337:AG343">
    <cfRule type="cellIs" dxfId="1267" priority="43" operator="equal">
      <formula>0</formula>
    </cfRule>
  </conditionalFormatting>
  <conditionalFormatting sqref="AB373:AG379">
    <cfRule type="cellIs" dxfId="1266" priority="31" operator="equal">
      <formula>0</formula>
    </cfRule>
  </conditionalFormatting>
  <conditionalFormatting sqref="AB409:AG415">
    <cfRule type="cellIs" dxfId="1265" priority="19" operator="equal">
      <formula>0</formula>
    </cfRule>
  </conditionalFormatting>
  <conditionalFormatting sqref="AB445:AG451">
    <cfRule type="cellIs" dxfId="1264" priority="7" operator="equal">
      <formula>0</formula>
    </cfRule>
  </conditionalFormatting>
  <conditionalFormatting sqref="AC12:AG12">
    <cfRule type="cellIs" dxfId="1263" priority="1166" operator="equal">
      <formula>0</formula>
    </cfRule>
  </conditionalFormatting>
  <conditionalFormatting sqref="AC49:AG49">
    <cfRule type="cellIs" dxfId="1262" priority="627" operator="equal">
      <formula>0</formula>
    </cfRule>
  </conditionalFormatting>
  <conditionalFormatting sqref="AC85:AG85">
    <cfRule type="cellIs" dxfId="1261" priority="586" operator="equal">
      <formula>0</formula>
    </cfRule>
  </conditionalFormatting>
  <conditionalFormatting sqref="AC122:AG122">
    <cfRule type="cellIs" dxfId="1260" priority="545" operator="equal">
      <formula>0</formula>
    </cfRule>
  </conditionalFormatting>
  <conditionalFormatting sqref="AC158:AG158">
    <cfRule type="cellIs" dxfId="1259" priority="504" operator="equal">
      <formula>0</formula>
    </cfRule>
  </conditionalFormatting>
  <conditionalFormatting sqref="AC194:AG194">
    <cfRule type="cellIs" dxfId="1258" priority="463" operator="equal">
      <formula>0</formula>
    </cfRule>
  </conditionalFormatting>
  <conditionalFormatting sqref="AC230:AG230">
    <cfRule type="cellIs" dxfId="1257" priority="422" operator="equal">
      <formula>0</formula>
    </cfRule>
  </conditionalFormatting>
  <conditionalFormatting sqref="AC266:AG266">
    <cfRule type="cellIs" dxfId="1256" priority="381" operator="equal">
      <formula>0</formula>
    </cfRule>
  </conditionalFormatting>
  <conditionalFormatting sqref="AC302:AG302">
    <cfRule type="cellIs" dxfId="1255" priority="340" operator="equal">
      <formula>0</formula>
    </cfRule>
  </conditionalFormatting>
  <conditionalFormatting sqref="AC338:AG338">
    <cfRule type="cellIs" dxfId="1254" priority="299" operator="equal">
      <formula>0</formula>
    </cfRule>
  </conditionalFormatting>
  <conditionalFormatting sqref="AC374:AG374">
    <cfRule type="cellIs" dxfId="1253" priority="258" operator="equal">
      <formula>0</formula>
    </cfRule>
  </conditionalFormatting>
  <conditionalFormatting sqref="AC410:AG410">
    <cfRule type="cellIs" dxfId="1252" priority="217" operator="equal">
      <formula>0</formula>
    </cfRule>
  </conditionalFormatting>
  <conditionalFormatting sqref="AC446:AG446">
    <cfRule type="cellIs" dxfId="1251" priority="176" operator="equal">
      <formula>0</formula>
    </cfRule>
  </conditionalFormatting>
  <conditionalFormatting sqref="AH12:AH17">
    <cfRule type="cellIs" dxfId="1250" priority="1162" operator="equal">
      <formula>0</formula>
    </cfRule>
  </conditionalFormatting>
  <conditionalFormatting sqref="AH49:AH54">
    <cfRule type="cellIs" dxfId="1249" priority="623" operator="equal">
      <formula>0</formula>
    </cfRule>
  </conditionalFormatting>
  <conditionalFormatting sqref="AH85:AH90">
    <cfRule type="cellIs" dxfId="1248" priority="582" operator="equal">
      <formula>0</formula>
    </cfRule>
  </conditionalFormatting>
  <conditionalFormatting sqref="AH122:AH127">
    <cfRule type="cellIs" dxfId="1247" priority="541" operator="equal">
      <formula>0</formula>
    </cfRule>
  </conditionalFormatting>
  <conditionalFormatting sqref="AH158:AH163">
    <cfRule type="cellIs" dxfId="1246" priority="500" operator="equal">
      <formula>0</formula>
    </cfRule>
  </conditionalFormatting>
  <conditionalFormatting sqref="AH194:AH199">
    <cfRule type="cellIs" dxfId="1245" priority="459" operator="equal">
      <formula>0</formula>
    </cfRule>
  </conditionalFormatting>
  <conditionalFormatting sqref="AH230:AH235">
    <cfRule type="cellIs" dxfId="1244" priority="418" operator="equal">
      <formula>0</formula>
    </cfRule>
  </conditionalFormatting>
  <conditionalFormatting sqref="AH266:AH271">
    <cfRule type="cellIs" dxfId="1243" priority="377" operator="equal">
      <formula>0</formula>
    </cfRule>
  </conditionalFormatting>
  <conditionalFormatting sqref="AH302:AH307">
    <cfRule type="cellIs" dxfId="1242" priority="336" operator="equal">
      <formula>0</formula>
    </cfRule>
  </conditionalFormatting>
  <conditionalFormatting sqref="AH338:AH343">
    <cfRule type="cellIs" dxfId="1241" priority="295" operator="equal">
      <formula>0</formula>
    </cfRule>
  </conditionalFormatting>
  <conditionalFormatting sqref="AH374:AH379">
    <cfRule type="cellIs" dxfId="1240" priority="254" operator="equal">
      <formula>0</formula>
    </cfRule>
  </conditionalFormatting>
  <conditionalFormatting sqref="AH410:AH415">
    <cfRule type="cellIs" dxfId="1239" priority="213" operator="equal">
      <formula>0</formula>
    </cfRule>
  </conditionalFormatting>
  <conditionalFormatting sqref="AH446:AH451">
    <cfRule type="cellIs" dxfId="1238" priority="172"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538E6-FE32-4D20-85A3-7BAA4BF930AB}">
  <dimension ref="A1:Z527"/>
  <sheetViews>
    <sheetView workbookViewId="0"/>
  </sheetViews>
  <sheetFormatPr baseColWidth="10" defaultRowHeight="15" x14ac:dyDescent="0.25"/>
  <sheetData>
    <row r="1" spans="1:26" ht="15.75" x14ac:dyDescent="0.25">
      <c r="H1" s="598" t="s">
        <v>527</v>
      </c>
      <c r="I1" s="598" t="s">
        <v>528</v>
      </c>
      <c r="J1" s="598" t="s">
        <v>529</v>
      </c>
      <c r="K1" s="598" t="s">
        <v>530</v>
      </c>
      <c r="L1" s="598" t="s">
        <v>531</v>
      </c>
      <c r="M1" s="598" t="s">
        <v>532</v>
      </c>
      <c r="N1" s="598" t="s">
        <v>533</v>
      </c>
      <c r="O1" s="598" t="s">
        <v>534</v>
      </c>
      <c r="P1" s="598" t="s">
        <v>535</v>
      </c>
      <c r="Q1" s="598" t="s">
        <v>536</v>
      </c>
      <c r="R1" s="598" t="s">
        <v>537</v>
      </c>
      <c r="S1" s="598" t="s">
        <v>538</v>
      </c>
      <c r="T1" s="598" t="s">
        <v>539</v>
      </c>
      <c r="U1" s="598" t="s">
        <v>540</v>
      </c>
      <c r="V1" s="598" t="s">
        <v>541</v>
      </c>
      <c r="W1" s="598" t="s">
        <v>542</v>
      </c>
      <c r="X1" s="598" t="s">
        <v>543</v>
      </c>
      <c r="Y1" s="598" t="s">
        <v>544</v>
      </c>
    </row>
    <row r="2" spans="1:26" x14ac:dyDescent="0.25">
      <c r="H2" t="s">
        <v>545</v>
      </c>
      <c r="I2" s="51" t="s">
        <v>546</v>
      </c>
      <c r="J2" s="51" t="s">
        <v>547</v>
      </c>
      <c r="K2" s="51" t="s">
        <v>548</v>
      </c>
      <c r="L2" s="51" t="s">
        <v>549</v>
      </c>
      <c r="M2" s="51" t="s">
        <v>550</v>
      </c>
      <c r="N2" s="51" t="s">
        <v>551</v>
      </c>
      <c r="O2" s="51" t="s">
        <v>552</v>
      </c>
      <c r="P2" s="51" t="s">
        <v>553</v>
      </c>
      <c r="Q2" s="51" t="s">
        <v>554</v>
      </c>
      <c r="R2" s="51" t="s">
        <v>555</v>
      </c>
      <c r="S2" s="51" t="s">
        <v>556</v>
      </c>
      <c r="T2" s="51" t="s">
        <v>557</v>
      </c>
      <c r="U2" s="51" t="s">
        <v>558</v>
      </c>
      <c r="V2" s="51" t="s">
        <v>559</v>
      </c>
      <c r="W2" s="51" t="s">
        <v>560</v>
      </c>
      <c r="X2" s="51" t="s">
        <v>561</v>
      </c>
      <c r="Y2" s="51" t="s">
        <v>562</v>
      </c>
    </row>
    <row r="4" spans="1:26" ht="18.75" x14ac:dyDescent="0.3">
      <c r="A4" s="599"/>
      <c r="B4" s="599"/>
      <c r="C4" s="599"/>
      <c r="D4" s="599"/>
      <c r="E4" s="599"/>
      <c r="F4" s="599"/>
      <c r="G4" s="600" t="s">
        <v>406</v>
      </c>
      <c r="H4" s="599"/>
      <c r="I4" s="599"/>
      <c r="J4" s="599"/>
      <c r="K4" s="599"/>
      <c r="L4" s="599"/>
      <c r="M4" s="599"/>
      <c r="N4" s="599"/>
      <c r="O4" s="599"/>
      <c r="P4" s="599"/>
      <c r="Q4" s="599"/>
      <c r="R4" s="599"/>
      <c r="S4" s="599"/>
      <c r="T4" s="599"/>
      <c r="U4" s="599"/>
      <c r="V4" s="599"/>
      <c r="W4" s="599"/>
      <c r="X4" s="599"/>
      <c r="Y4" s="599"/>
      <c r="Z4" s="599"/>
    </row>
    <row r="5" spans="1:26" x14ac:dyDescent="0.25">
      <c r="A5" s="51"/>
      <c r="B5" s="51"/>
      <c r="C5" s="51"/>
      <c r="D5" s="51"/>
      <c r="E5" s="51"/>
      <c r="F5" s="51"/>
      <c r="G5" s="51"/>
      <c r="H5" s="51"/>
      <c r="I5" s="51"/>
      <c r="J5" s="51"/>
      <c r="K5" s="51"/>
      <c r="L5" s="51"/>
      <c r="M5" s="51"/>
      <c r="N5" s="51"/>
      <c r="O5" s="51"/>
      <c r="P5" s="51"/>
      <c r="Q5" s="51"/>
      <c r="R5" s="51"/>
      <c r="S5" s="51"/>
      <c r="T5" s="51"/>
      <c r="U5" s="51"/>
      <c r="V5" s="51"/>
      <c r="W5" s="51"/>
      <c r="X5" s="51"/>
      <c r="Y5" s="51"/>
      <c r="Z5" s="51"/>
    </row>
    <row r="6" spans="1:26" ht="15.75" x14ac:dyDescent="0.25">
      <c r="A6" s="602"/>
      <c r="B6" s="602"/>
      <c r="C6" s="602"/>
      <c r="D6" s="602"/>
      <c r="E6" s="602"/>
      <c r="F6" s="51"/>
      <c r="G6" s="603" t="s">
        <v>338</v>
      </c>
      <c r="H6" s="602" t="s">
        <v>481</v>
      </c>
      <c r="I6" s="602"/>
      <c r="J6" s="602"/>
      <c r="K6" s="602"/>
      <c r="L6" s="602"/>
      <c r="M6" s="602"/>
      <c r="N6" s="602"/>
      <c r="O6" s="604"/>
      <c r="P6" s="604"/>
      <c r="Q6" s="604"/>
      <c r="R6" s="604"/>
      <c r="S6" s="604"/>
      <c r="T6" s="604"/>
      <c r="U6" s="604"/>
      <c r="V6" s="602"/>
      <c r="W6" s="602"/>
      <c r="X6" s="602"/>
      <c r="Y6" s="602"/>
      <c r="Z6" s="602"/>
    </row>
    <row r="7" spans="1:26" ht="15.75" x14ac:dyDescent="0.25">
      <c r="A7" s="602"/>
      <c r="B7" s="602"/>
      <c r="C7" s="602"/>
      <c r="D7" s="602"/>
      <c r="E7" s="602"/>
      <c r="F7" s="51"/>
      <c r="G7" s="603" t="s">
        <v>341</v>
      </c>
      <c r="H7" s="602" t="s">
        <v>342</v>
      </c>
      <c r="I7" s="602"/>
      <c r="J7" s="602"/>
      <c r="K7" s="602"/>
      <c r="L7" s="602"/>
      <c r="M7" s="602"/>
      <c r="N7" s="602"/>
      <c r="O7" s="602"/>
      <c r="P7" s="602"/>
      <c r="Q7" s="602"/>
      <c r="R7" s="602"/>
      <c r="S7" s="602"/>
      <c r="T7" s="602"/>
      <c r="U7" s="602"/>
      <c r="V7" s="602"/>
      <c r="W7" s="602"/>
      <c r="X7" s="602"/>
      <c r="Y7" s="602"/>
      <c r="Z7" s="602"/>
    </row>
    <row r="8" spans="1:26" x14ac:dyDescent="0.25">
      <c r="A8" s="51"/>
      <c r="B8" s="51"/>
      <c r="C8" s="51"/>
      <c r="D8" s="51"/>
      <c r="E8" s="51"/>
      <c r="F8" s="51"/>
      <c r="G8" s="51"/>
      <c r="H8" s="51"/>
      <c r="I8" s="51"/>
      <c r="J8" s="51"/>
      <c r="K8" s="51"/>
      <c r="L8" s="51"/>
      <c r="M8" s="51"/>
      <c r="N8" s="51"/>
      <c r="O8" s="51"/>
      <c r="P8" s="51"/>
      <c r="Q8" s="51"/>
      <c r="R8" s="51"/>
      <c r="S8" s="51"/>
      <c r="T8" s="51"/>
      <c r="U8" s="51"/>
      <c r="V8" s="51"/>
      <c r="W8" s="51"/>
      <c r="X8" s="51"/>
      <c r="Y8" s="51"/>
      <c r="Z8" s="51"/>
    </row>
    <row r="9" spans="1:26" x14ac:dyDescent="0.25">
      <c r="A9" s="51"/>
      <c r="B9" s="51"/>
      <c r="C9" s="51"/>
      <c r="D9" s="51"/>
      <c r="E9" s="51"/>
      <c r="F9" s="51"/>
      <c r="G9" s="51"/>
      <c r="H9" s="51"/>
      <c r="I9" s="51"/>
      <c r="J9" s="51"/>
      <c r="K9" s="51"/>
      <c r="L9" s="51"/>
      <c r="M9" s="51"/>
      <c r="N9" s="51"/>
      <c r="O9" s="51"/>
      <c r="P9" s="51"/>
      <c r="Q9" s="51"/>
      <c r="R9" s="51"/>
      <c r="S9" s="51"/>
      <c r="T9" s="51"/>
      <c r="U9" s="51"/>
      <c r="V9" s="51"/>
      <c r="W9" s="51"/>
      <c r="X9" s="51"/>
      <c r="Y9" s="51"/>
      <c r="Z9" s="51"/>
    </row>
    <row r="10" spans="1:26" x14ac:dyDescent="0.25">
      <c r="A10" s="606"/>
      <c r="B10" s="606"/>
      <c r="C10" s="606"/>
      <c r="D10" s="606"/>
      <c r="E10" s="606"/>
      <c r="F10" s="606"/>
      <c r="G10" s="607" t="s">
        <v>407</v>
      </c>
      <c r="H10" s="606"/>
      <c r="I10" s="606"/>
      <c r="J10" s="606"/>
      <c r="K10" s="606"/>
      <c r="L10" s="606"/>
      <c r="M10" s="606"/>
      <c r="N10" s="606"/>
      <c r="O10" s="606"/>
      <c r="P10" s="606"/>
      <c r="Q10" s="606"/>
      <c r="R10" s="606"/>
      <c r="S10" s="606"/>
      <c r="T10" s="606"/>
      <c r="U10" s="606"/>
      <c r="V10" s="606"/>
      <c r="W10" s="606"/>
      <c r="X10" s="606"/>
      <c r="Y10" s="606"/>
      <c r="Z10" s="606"/>
    </row>
    <row r="11" spans="1:26" x14ac:dyDescent="0.25">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row>
    <row r="12" spans="1:26" x14ac:dyDescent="0.25">
      <c r="A12" s="51"/>
      <c r="B12" s="51"/>
      <c r="C12" s="51"/>
      <c r="D12" s="51"/>
      <c r="E12" s="51"/>
      <c r="F12" s="51"/>
      <c r="G12" s="764" t="s">
        <v>128</v>
      </c>
      <c r="H12" s="753" t="s">
        <v>42</v>
      </c>
      <c r="I12" s="753" t="s">
        <v>52</v>
      </c>
      <c r="J12" s="753" t="s">
        <v>53</v>
      </c>
      <c r="K12" s="753" t="s">
        <v>482</v>
      </c>
      <c r="L12" s="753" t="s">
        <v>32</v>
      </c>
      <c r="M12" s="753" t="s">
        <v>483</v>
      </c>
      <c r="N12" s="753" t="s">
        <v>20</v>
      </c>
      <c r="O12" s="753" t="s">
        <v>55</v>
      </c>
      <c r="P12" s="761" t="s">
        <v>56</v>
      </c>
      <c r="Q12" s="762"/>
      <c r="R12" s="762"/>
      <c r="S12" s="762"/>
      <c r="T12" s="762"/>
      <c r="U12" s="763"/>
      <c r="V12" s="753" t="s">
        <v>57</v>
      </c>
      <c r="W12" s="753" t="s">
        <v>58</v>
      </c>
      <c r="X12" s="753" t="s">
        <v>31</v>
      </c>
      <c r="Y12" s="753" t="s">
        <v>10</v>
      </c>
      <c r="Z12" s="51"/>
    </row>
    <row r="13" spans="1:26" ht="36" x14ac:dyDescent="0.25">
      <c r="A13" s="51"/>
      <c r="B13" s="51" t="s">
        <v>484</v>
      </c>
      <c r="C13" s="51" t="s">
        <v>485</v>
      </c>
      <c r="D13" s="51" t="s">
        <v>486</v>
      </c>
      <c r="E13" s="51"/>
      <c r="F13" s="51"/>
      <c r="G13" s="765"/>
      <c r="H13" s="754"/>
      <c r="I13" s="754"/>
      <c r="J13" s="754"/>
      <c r="K13" s="754"/>
      <c r="L13" s="754"/>
      <c r="M13" s="754"/>
      <c r="N13" s="754"/>
      <c r="O13" s="754"/>
      <c r="P13" s="608" t="s">
        <v>335</v>
      </c>
      <c r="Q13" s="608" t="s">
        <v>40</v>
      </c>
      <c r="R13" s="608" t="s">
        <v>343</v>
      </c>
      <c r="S13" s="608" t="s">
        <v>344</v>
      </c>
      <c r="T13" s="609" t="s">
        <v>345</v>
      </c>
      <c r="U13" s="608" t="s">
        <v>346</v>
      </c>
      <c r="V13" s="754"/>
      <c r="W13" s="754"/>
      <c r="X13" s="754"/>
      <c r="Y13" s="754"/>
      <c r="Z13" s="51"/>
    </row>
    <row r="14" spans="1:26" x14ac:dyDescent="0.25">
      <c r="A14" s="51"/>
      <c r="B14" s="51">
        <v>2019</v>
      </c>
      <c r="C14" s="51" t="s">
        <v>47</v>
      </c>
      <c r="D14" s="51" t="s">
        <v>487</v>
      </c>
      <c r="E14" s="51"/>
      <c r="F14" s="51"/>
      <c r="G14" s="610" t="s">
        <v>59</v>
      </c>
      <c r="H14" s="611">
        <v>0</v>
      </c>
      <c r="I14" s="611">
        <v>11.595553697293001</v>
      </c>
      <c r="J14" s="612">
        <v>0</v>
      </c>
      <c r="K14" s="611">
        <v>0</v>
      </c>
      <c r="L14" s="611">
        <v>0.16688824999999999</v>
      </c>
      <c r="M14" s="611">
        <v>0</v>
      </c>
      <c r="N14" s="612">
        <v>1209.1260212121213</v>
      </c>
      <c r="O14" s="612">
        <v>104.3311966741735</v>
      </c>
      <c r="P14" s="612">
        <v>120.67293388888929</v>
      </c>
      <c r="Q14" s="612">
        <v>34.900820833333334</v>
      </c>
      <c r="R14" s="612">
        <v>0</v>
      </c>
      <c r="S14" s="612">
        <v>9.0983058888888646</v>
      </c>
      <c r="T14" s="612">
        <v>31.698274999999999</v>
      </c>
      <c r="U14" s="612">
        <v>7.5310224999999988</v>
      </c>
      <c r="V14" s="612">
        <v>0</v>
      </c>
      <c r="W14" s="612">
        <v>0</v>
      </c>
      <c r="X14" s="612">
        <v>0</v>
      </c>
      <c r="Y14" s="613">
        <v>1529.1210179446991</v>
      </c>
      <c r="Z14" s="51"/>
    </row>
    <row r="15" spans="1:26" x14ac:dyDescent="0.25">
      <c r="A15" s="51"/>
      <c r="B15" s="51">
        <v>2019</v>
      </c>
      <c r="C15" s="51" t="s">
        <v>47</v>
      </c>
      <c r="D15" s="51" t="s">
        <v>488</v>
      </c>
      <c r="E15" s="51"/>
      <c r="F15" s="51"/>
      <c r="G15" s="610" t="s">
        <v>60</v>
      </c>
      <c r="H15" s="612">
        <v>84.727843146635564</v>
      </c>
      <c r="I15" s="612">
        <v>578.28949050727442</v>
      </c>
      <c r="J15" s="612">
        <v>535.06419481988212</v>
      </c>
      <c r="K15" s="611">
        <v>0</v>
      </c>
      <c r="L15" s="612">
        <v>568.75187100000016</v>
      </c>
      <c r="M15" s="611">
        <v>0</v>
      </c>
      <c r="N15" s="612">
        <v>0</v>
      </c>
      <c r="O15" s="612">
        <v>0</v>
      </c>
      <c r="P15" s="612">
        <v>2.7591261111111107</v>
      </c>
      <c r="Q15" s="612">
        <v>0</v>
      </c>
      <c r="R15" s="612">
        <v>19.183841687689483</v>
      </c>
      <c r="S15" s="612">
        <v>0</v>
      </c>
      <c r="T15" s="612">
        <v>0</v>
      </c>
      <c r="U15" s="612">
        <v>0</v>
      </c>
      <c r="V15" s="612">
        <v>15.63175</v>
      </c>
      <c r="W15" s="612">
        <v>0</v>
      </c>
      <c r="X15" s="612">
        <v>0</v>
      </c>
      <c r="Y15" s="613">
        <v>1804.4081172725928</v>
      </c>
      <c r="Z15" s="51"/>
    </row>
    <row r="16" spans="1:26" x14ac:dyDescent="0.25">
      <c r="A16" s="51"/>
      <c r="B16" s="51">
        <v>2019</v>
      </c>
      <c r="C16" s="51" t="s">
        <v>47</v>
      </c>
      <c r="D16" s="51" t="s">
        <v>489</v>
      </c>
      <c r="E16" s="51"/>
      <c r="F16" s="51"/>
      <c r="G16" s="610" t="s">
        <v>61</v>
      </c>
      <c r="H16" s="612">
        <v>-4.7877500119999999E-2</v>
      </c>
      <c r="I16" s="612">
        <v>-1.599063909936</v>
      </c>
      <c r="J16" s="612">
        <v>-205.43265045753787</v>
      </c>
      <c r="K16" s="611">
        <v>0</v>
      </c>
      <c r="L16" s="612">
        <v>-112.63352224999998</v>
      </c>
      <c r="M16" s="611">
        <v>0</v>
      </c>
      <c r="N16" s="612">
        <v>0</v>
      </c>
      <c r="O16" s="612">
        <v>0</v>
      </c>
      <c r="P16" s="612">
        <v>-2.3667455555555552</v>
      </c>
      <c r="Q16" s="612">
        <v>0</v>
      </c>
      <c r="R16" s="612">
        <v>-8.0445142984108866</v>
      </c>
      <c r="S16" s="612">
        <v>0</v>
      </c>
      <c r="T16" s="612">
        <v>0</v>
      </c>
      <c r="U16" s="612">
        <v>0</v>
      </c>
      <c r="V16" s="612">
        <v>-73.298799000000002</v>
      </c>
      <c r="W16" s="612">
        <v>0</v>
      </c>
      <c r="X16" s="612">
        <v>0</v>
      </c>
      <c r="Y16" s="613">
        <v>-403.42317297156035</v>
      </c>
      <c r="Z16" s="51"/>
    </row>
    <row r="17" spans="1:26" x14ac:dyDescent="0.25">
      <c r="A17" s="51"/>
      <c r="B17" s="51">
        <v>2019</v>
      </c>
      <c r="C17" s="51" t="s">
        <v>47</v>
      </c>
      <c r="D17" s="51" t="s">
        <v>490</v>
      </c>
      <c r="E17" s="51"/>
      <c r="F17" s="51"/>
      <c r="G17" s="610" t="s">
        <v>62</v>
      </c>
      <c r="H17" s="611">
        <v>0</v>
      </c>
      <c r="I17" s="611">
        <v>0</v>
      </c>
      <c r="J17" s="611">
        <v>-19.747038815182684</v>
      </c>
      <c r="K17" s="611">
        <v>0</v>
      </c>
      <c r="L17" s="611">
        <v>0</v>
      </c>
      <c r="M17" s="611">
        <v>0</v>
      </c>
      <c r="N17" s="611">
        <v>0</v>
      </c>
      <c r="O17" s="611">
        <v>0</v>
      </c>
      <c r="P17" s="611">
        <v>0</v>
      </c>
      <c r="Q17" s="611">
        <v>0</v>
      </c>
      <c r="R17" s="611">
        <v>0</v>
      </c>
      <c r="S17" s="611">
        <v>0</v>
      </c>
      <c r="T17" s="611">
        <v>0</v>
      </c>
      <c r="U17" s="611">
        <v>0</v>
      </c>
      <c r="V17" s="612">
        <v>0</v>
      </c>
      <c r="W17" s="612">
        <v>0</v>
      </c>
      <c r="X17" s="611">
        <v>0</v>
      </c>
      <c r="Y17" s="613">
        <v>-19.747038815182684</v>
      </c>
      <c r="Z17" s="51"/>
    </row>
    <row r="18" spans="1:26" x14ac:dyDescent="0.25">
      <c r="A18" s="51"/>
      <c r="B18" s="51">
        <v>2019</v>
      </c>
      <c r="C18" s="51" t="s">
        <v>47</v>
      </c>
      <c r="D18" s="51" t="s">
        <v>491</v>
      </c>
      <c r="E18" s="51"/>
      <c r="F18" s="51"/>
      <c r="G18" s="610" t="s">
        <v>63</v>
      </c>
      <c r="H18" s="611">
        <v>0</v>
      </c>
      <c r="I18" s="611">
        <v>0</v>
      </c>
      <c r="J18" s="611">
        <v>-72.288361163797973</v>
      </c>
      <c r="K18" s="611">
        <v>0</v>
      </c>
      <c r="L18" s="611">
        <v>0</v>
      </c>
      <c r="M18" s="611">
        <v>0</v>
      </c>
      <c r="N18" s="611">
        <v>0</v>
      </c>
      <c r="O18" s="611">
        <v>0</v>
      </c>
      <c r="P18" s="611">
        <v>0</v>
      </c>
      <c r="Q18" s="611">
        <v>0</v>
      </c>
      <c r="R18" s="611">
        <v>0</v>
      </c>
      <c r="S18" s="611">
        <v>0</v>
      </c>
      <c r="T18" s="611">
        <v>0</v>
      </c>
      <c r="U18" s="611">
        <v>0</v>
      </c>
      <c r="V18" s="612">
        <v>0</v>
      </c>
      <c r="W18" s="612">
        <v>0</v>
      </c>
      <c r="X18" s="611">
        <v>0</v>
      </c>
      <c r="Y18" s="613">
        <v>-72.288361163797973</v>
      </c>
      <c r="Z18" s="51"/>
    </row>
    <row r="19" spans="1:26" x14ac:dyDescent="0.25">
      <c r="A19" s="51"/>
      <c r="B19" s="51">
        <v>2019</v>
      </c>
      <c r="C19" s="51" t="s">
        <v>47</v>
      </c>
      <c r="D19" s="51" t="s">
        <v>492</v>
      </c>
      <c r="E19" s="51"/>
      <c r="F19" s="51"/>
      <c r="G19" s="610" t="s">
        <v>64</v>
      </c>
      <c r="H19" s="612">
        <v>0.41223964042222283</v>
      </c>
      <c r="I19" s="612">
        <v>1.3710702337312513</v>
      </c>
      <c r="J19" s="612">
        <v>1.3272538188370329</v>
      </c>
      <c r="K19" s="611">
        <v>0</v>
      </c>
      <c r="L19" s="612">
        <v>-19.664768250000005</v>
      </c>
      <c r="M19" s="611">
        <v>0</v>
      </c>
      <c r="N19" s="612">
        <v>0</v>
      </c>
      <c r="O19" s="612">
        <v>0</v>
      </c>
      <c r="P19" s="612">
        <v>0</v>
      </c>
      <c r="Q19" s="612">
        <v>0</v>
      </c>
      <c r="R19" s="612">
        <v>0</v>
      </c>
      <c r="S19" s="612">
        <v>0</v>
      </c>
      <c r="T19" s="612">
        <v>0</v>
      </c>
      <c r="U19" s="612">
        <v>0</v>
      </c>
      <c r="V19" s="612">
        <v>0</v>
      </c>
      <c r="W19" s="612">
        <v>0</v>
      </c>
      <c r="X19" s="612">
        <v>0</v>
      </c>
      <c r="Y19" s="613">
        <v>-16.554204557009498</v>
      </c>
      <c r="Z19" s="51"/>
    </row>
    <row r="20" spans="1:26" x14ac:dyDescent="0.25">
      <c r="A20" s="51"/>
      <c r="B20" s="51">
        <v>2019</v>
      </c>
      <c r="C20" s="51" t="s">
        <v>47</v>
      </c>
      <c r="D20" s="51" t="s">
        <v>493</v>
      </c>
      <c r="E20" s="51"/>
      <c r="F20" s="51"/>
      <c r="G20" s="614" t="s">
        <v>65</v>
      </c>
      <c r="H20" s="615">
        <v>85.092205286937798</v>
      </c>
      <c r="I20" s="615">
        <v>589.65705052836267</v>
      </c>
      <c r="J20" s="615">
        <v>238.92339820220062</v>
      </c>
      <c r="K20" s="615">
        <v>0</v>
      </c>
      <c r="L20" s="615">
        <v>436.62046875000021</v>
      </c>
      <c r="M20" s="615">
        <v>0</v>
      </c>
      <c r="N20" s="615">
        <v>1209.1260212121213</v>
      </c>
      <c r="O20" s="615">
        <v>104.3311966741735</v>
      </c>
      <c r="P20" s="615">
        <v>121.06531444444485</v>
      </c>
      <c r="Q20" s="615">
        <v>34.900820833333334</v>
      </c>
      <c r="R20" s="615">
        <v>11.139327389278597</v>
      </c>
      <c r="S20" s="615">
        <v>9.0983058888888646</v>
      </c>
      <c r="T20" s="615">
        <v>31.698274999999999</v>
      </c>
      <c r="U20" s="615">
        <v>7.5310224999999988</v>
      </c>
      <c r="V20" s="615">
        <v>-57.667049000000006</v>
      </c>
      <c r="W20" s="615">
        <v>0</v>
      </c>
      <c r="X20" s="615">
        <v>0</v>
      </c>
      <c r="Y20" s="615">
        <v>2821.516357709741</v>
      </c>
      <c r="Z20" s="51"/>
    </row>
    <row r="21" spans="1:26" x14ac:dyDescent="0.25">
      <c r="A21" s="51"/>
      <c r="B21" s="51"/>
      <c r="C21" s="51"/>
      <c r="D21" s="51"/>
      <c r="E21" s="51"/>
      <c r="F21" s="51"/>
      <c r="G21" s="616"/>
      <c r="H21" s="617"/>
      <c r="I21" s="617"/>
      <c r="J21" s="617"/>
      <c r="K21" s="617"/>
      <c r="L21" s="617"/>
      <c r="M21" s="617"/>
      <c r="N21" s="617"/>
      <c r="O21" s="617"/>
      <c r="P21" s="617"/>
      <c r="Q21" s="617"/>
      <c r="R21" s="617"/>
      <c r="S21" s="617"/>
      <c r="T21" s="617"/>
      <c r="U21" s="617"/>
      <c r="V21" s="617"/>
      <c r="W21" s="617"/>
      <c r="X21" s="617"/>
      <c r="Y21" s="617"/>
      <c r="Z21" s="51"/>
    </row>
    <row r="22" spans="1:26" x14ac:dyDescent="0.25">
      <c r="A22" s="51"/>
      <c r="B22" s="51">
        <v>2019</v>
      </c>
      <c r="C22" s="51" t="s">
        <v>47</v>
      </c>
      <c r="D22" s="51" t="s">
        <v>494</v>
      </c>
      <c r="E22" s="51"/>
      <c r="F22" s="51"/>
      <c r="G22" s="618" t="s">
        <v>67</v>
      </c>
      <c r="H22" s="611">
        <v>3.6318872869800032</v>
      </c>
      <c r="I22" s="611">
        <v>10.787016352492323</v>
      </c>
      <c r="J22" s="611">
        <v>16.441628886851458</v>
      </c>
      <c r="K22" s="611">
        <v>0</v>
      </c>
      <c r="L22" s="611">
        <v>-1.2134132500000001</v>
      </c>
      <c r="M22" s="611">
        <v>0</v>
      </c>
      <c r="N22" s="611">
        <v>0</v>
      </c>
      <c r="O22" s="611">
        <v>0</v>
      </c>
      <c r="P22" s="611">
        <v>0</v>
      </c>
      <c r="Q22" s="611">
        <v>-0.39035819434438856</v>
      </c>
      <c r="R22" s="611">
        <v>0.39056626803326822</v>
      </c>
      <c r="S22" s="611">
        <v>0</v>
      </c>
      <c r="T22" s="611">
        <v>0</v>
      </c>
      <c r="U22" s="611">
        <v>0</v>
      </c>
      <c r="V22" s="611">
        <v>4.6315588193812136</v>
      </c>
      <c r="W22" s="611">
        <v>0</v>
      </c>
      <c r="X22" s="612">
        <v>0</v>
      </c>
      <c r="Y22" s="613">
        <v>34.278886169393878</v>
      </c>
      <c r="Z22" s="51"/>
    </row>
    <row r="23" spans="1:26" x14ac:dyDescent="0.25">
      <c r="A23" s="51"/>
      <c r="B23" s="51">
        <v>2019</v>
      </c>
      <c r="C23" s="51" t="s">
        <v>47</v>
      </c>
      <c r="D23" s="51" t="s">
        <v>495</v>
      </c>
      <c r="E23" s="51"/>
      <c r="F23" s="51"/>
      <c r="G23" s="618" t="s">
        <v>347</v>
      </c>
      <c r="H23" s="611">
        <v>17.443753714840586</v>
      </c>
      <c r="I23" s="611">
        <v>0</v>
      </c>
      <c r="J23" s="611">
        <v>13.62708829242459</v>
      </c>
      <c r="K23" s="611">
        <v>0</v>
      </c>
      <c r="L23" s="611">
        <v>62.931904980327779</v>
      </c>
      <c r="M23" s="611">
        <v>0</v>
      </c>
      <c r="N23" s="611">
        <v>1209.1260212121213</v>
      </c>
      <c r="O23" s="611">
        <v>104.3311966741735</v>
      </c>
      <c r="P23" s="611">
        <v>17.794147670554988</v>
      </c>
      <c r="Q23" s="611">
        <v>12.388866225144911</v>
      </c>
      <c r="R23" s="611">
        <v>0</v>
      </c>
      <c r="S23" s="611">
        <v>4.8474406033333333</v>
      </c>
      <c r="T23" s="611">
        <v>0</v>
      </c>
      <c r="U23" s="611">
        <v>1.1825205542668356</v>
      </c>
      <c r="V23" s="611">
        <v>-566.17178776794128</v>
      </c>
      <c r="W23" s="611">
        <v>0</v>
      </c>
      <c r="X23" s="612">
        <v>0</v>
      </c>
      <c r="Y23" s="613">
        <v>877.50115215924654</v>
      </c>
      <c r="Z23" s="51"/>
    </row>
    <row r="24" spans="1:26" x14ac:dyDescent="0.25">
      <c r="A24" s="51"/>
      <c r="B24" s="51">
        <v>2019</v>
      </c>
      <c r="C24" s="51" t="s">
        <v>47</v>
      </c>
      <c r="D24" s="51" t="s">
        <v>496</v>
      </c>
      <c r="E24" s="51"/>
      <c r="F24" s="51"/>
      <c r="G24" s="618" t="s">
        <v>348</v>
      </c>
      <c r="H24" s="611">
        <v>1.9109444951460814</v>
      </c>
      <c r="I24" s="611">
        <v>0</v>
      </c>
      <c r="J24" s="611">
        <v>0.26671791988070115</v>
      </c>
      <c r="K24" s="611">
        <v>0</v>
      </c>
      <c r="L24" s="611">
        <v>20.764778769672215</v>
      </c>
      <c r="M24" s="611">
        <v>0</v>
      </c>
      <c r="N24" s="611">
        <v>0</v>
      </c>
      <c r="O24" s="611">
        <v>0</v>
      </c>
      <c r="P24" s="611">
        <v>8.5293872999380707</v>
      </c>
      <c r="Q24" s="611">
        <v>16.588146755013483</v>
      </c>
      <c r="R24" s="611">
        <v>0</v>
      </c>
      <c r="S24" s="611">
        <v>2.852532452222222</v>
      </c>
      <c r="T24" s="611">
        <v>0.25919055555555554</v>
      </c>
      <c r="U24" s="611">
        <v>3.5768259901376065</v>
      </c>
      <c r="V24" s="611">
        <v>0</v>
      </c>
      <c r="W24" s="611">
        <v>-46.772072780777776</v>
      </c>
      <c r="X24" s="612">
        <v>0</v>
      </c>
      <c r="Y24" s="613">
        <v>7.9764514567881619</v>
      </c>
      <c r="Z24" s="51"/>
    </row>
    <row r="25" spans="1:26" x14ac:dyDescent="0.25">
      <c r="A25" s="51"/>
      <c r="B25" s="51">
        <v>2019</v>
      </c>
      <c r="C25" s="51" t="s">
        <v>47</v>
      </c>
      <c r="D25" s="51" t="s">
        <v>497</v>
      </c>
      <c r="E25" s="51"/>
      <c r="F25" s="51"/>
      <c r="G25" s="618" t="s">
        <v>349</v>
      </c>
      <c r="H25" s="611">
        <v>0</v>
      </c>
      <c r="I25" s="611">
        <v>0</v>
      </c>
      <c r="J25" s="611">
        <v>0</v>
      </c>
      <c r="K25" s="611">
        <v>0</v>
      </c>
      <c r="L25" s="611">
        <v>0</v>
      </c>
      <c r="M25" s="611">
        <v>0</v>
      </c>
      <c r="N25" s="611">
        <v>0</v>
      </c>
      <c r="O25" s="611">
        <v>0</v>
      </c>
      <c r="P25" s="611">
        <v>0</v>
      </c>
      <c r="Q25" s="611">
        <v>0</v>
      </c>
      <c r="R25" s="611">
        <v>0</v>
      </c>
      <c r="S25" s="611">
        <v>-1.1106240000000001</v>
      </c>
      <c r="T25" s="611">
        <v>0</v>
      </c>
      <c r="U25" s="611">
        <v>0</v>
      </c>
      <c r="V25" s="611">
        <v>0</v>
      </c>
      <c r="W25" s="611">
        <v>0</v>
      </c>
      <c r="X25" s="612">
        <v>0</v>
      </c>
      <c r="Y25" s="613">
        <v>-1.1106240000000001</v>
      </c>
      <c r="Z25" s="51"/>
    </row>
    <row r="26" spans="1:26" x14ac:dyDescent="0.25">
      <c r="A26" s="51"/>
      <c r="B26" s="51">
        <v>2019</v>
      </c>
      <c r="C26" s="51" t="s">
        <v>47</v>
      </c>
      <c r="D26" s="51" t="s">
        <v>498</v>
      </c>
      <c r="E26" s="51"/>
      <c r="F26" s="51"/>
      <c r="G26" s="618" t="s">
        <v>350</v>
      </c>
      <c r="H26" s="611">
        <v>0</v>
      </c>
      <c r="I26" s="611">
        <v>0</v>
      </c>
      <c r="J26" s="611">
        <v>0</v>
      </c>
      <c r="K26" s="611">
        <v>0</v>
      </c>
      <c r="L26" s="611">
        <v>0</v>
      </c>
      <c r="M26" s="611">
        <v>0</v>
      </c>
      <c r="N26" s="611">
        <v>0</v>
      </c>
      <c r="O26" s="611">
        <v>0</v>
      </c>
      <c r="P26" s="611">
        <v>0</v>
      </c>
      <c r="Q26" s="611">
        <v>0</v>
      </c>
      <c r="R26" s="611">
        <v>0</v>
      </c>
      <c r="S26" s="611">
        <v>0</v>
      </c>
      <c r="T26" s="611">
        <v>0</v>
      </c>
      <c r="U26" s="611">
        <v>0</v>
      </c>
      <c r="V26" s="611">
        <v>0</v>
      </c>
      <c r="W26" s="611">
        <v>0</v>
      </c>
      <c r="X26" s="612">
        <v>0</v>
      </c>
      <c r="Y26" s="613">
        <v>0</v>
      </c>
      <c r="Z26" s="51"/>
    </row>
    <row r="27" spans="1:26" x14ac:dyDescent="0.25">
      <c r="A27" s="51"/>
      <c r="B27" s="51">
        <v>2019</v>
      </c>
      <c r="C27" s="51" t="s">
        <v>47</v>
      </c>
      <c r="D27" s="51" t="s">
        <v>499</v>
      </c>
      <c r="E27" s="51"/>
      <c r="F27" s="51"/>
      <c r="G27" s="618" t="s">
        <v>72</v>
      </c>
      <c r="H27" s="611">
        <v>0</v>
      </c>
      <c r="I27" s="611">
        <v>607.94319903666315</v>
      </c>
      <c r="J27" s="611">
        <v>-602.93238189654937</v>
      </c>
      <c r="K27" s="611">
        <v>0</v>
      </c>
      <c r="L27" s="611">
        <v>0</v>
      </c>
      <c r="M27" s="611">
        <v>0</v>
      </c>
      <c r="N27" s="611">
        <v>0</v>
      </c>
      <c r="O27" s="611">
        <v>0</v>
      </c>
      <c r="P27" s="611">
        <v>0</v>
      </c>
      <c r="Q27" s="611">
        <v>0</v>
      </c>
      <c r="R27" s="611">
        <v>0</v>
      </c>
      <c r="S27" s="611">
        <v>0</v>
      </c>
      <c r="T27" s="611">
        <v>0</v>
      </c>
      <c r="U27" s="611">
        <v>0</v>
      </c>
      <c r="V27" s="611">
        <v>0</v>
      </c>
      <c r="W27" s="611">
        <v>0</v>
      </c>
      <c r="X27" s="612">
        <v>0</v>
      </c>
      <c r="Y27" s="613">
        <v>5.0108171401137724</v>
      </c>
      <c r="Z27" s="51"/>
    </row>
    <row r="28" spans="1:26" x14ac:dyDescent="0.25">
      <c r="A28" s="51"/>
      <c r="B28" s="51">
        <v>2019</v>
      </c>
      <c r="C28" s="51" t="s">
        <v>47</v>
      </c>
      <c r="D28" s="51" t="s">
        <v>500</v>
      </c>
      <c r="E28" s="51"/>
      <c r="F28" s="51"/>
      <c r="G28" s="618" t="s">
        <v>351</v>
      </c>
      <c r="H28" s="611">
        <v>0</v>
      </c>
      <c r="I28" s="611">
        <v>0</v>
      </c>
      <c r="J28" s="611">
        <v>0</v>
      </c>
      <c r="K28" s="611">
        <v>0</v>
      </c>
      <c r="L28" s="611">
        <v>0</v>
      </c>
      <c r="M28" s="611">
        <v>0</v>
      </c>
      <c r="N28" s="611">
        <v>0</v>
      </c>
      <c r="O28" s="611">
        <v>0</v>
      </c>
      <c r="P28" s="611">
        <v>0</v>
      </c>
      <c r="Q28" s="611">
        <v>0</v>
      </c>
      <c r="R28" s="611">
        <v>-29.34529096854553</v>
      </c>
      <c r="S28" s="611">
        <v>0</v>
      </c>
      <c r="T28" s="611">
        <v>0</v>
      </c>
      <c r="U28" s="611">
        <v>0</v>
      </c>
      <c r="V28" s="611">
        <v>0</v>
      </c>
      <c r="W28" s="611">
        <v>0</v>
      </c>
      <c r="X28" s="612">
        <v>0</v>
      </c>
      <c r="Y28" s="613">
        <v>-29.34529096854553</v>
      </c>
      <c r="Z28" s="51"/>
    </row>
    <row r="29" spans="1:26" x14ac:dyDescent="0.25">
      <c r="A29" s="51"/>
      <c r="B29" s="51">
        <v>2019</v>
      </c>
      <c r="C29" s="51" t="s">
        <v>47</v>
      </c>
      <c r="D29" s="51" t="s">
        <v>501</v>
      </c>
      <c r="E29" s="51"/>
      <c r="F29" s="51"/>
      <c r="G29" s="618" t="s">
        <v>352</v>
      </c>
      <c r="H29" s="611">
        <v>0</v>
      </c>
      <c r="I29" s="611">
        <v>0</v>
      </c>
      <c r="J29" s="611">
        <v>0</v>
      </c>
      <c r="K29" s="611">
        <v>0</v>
      </c>
      <c r="L29" s="611">
        <v>0</v>
      </c>
      <c r="M29" s="611">
        <v>0</v>
      </c>
      <c r="N29" s="611">
        <v>0</v>
      </c>
      <c r="O29" s="611">
        <v>0</v>
      </c>
      <c r="P29" s="611">
        <v>0</v>
      </c>
      <c r="Q29" s="611">
        <v>0</v>
      </c>
      <c r="R29" s="611">
        <v>0</v>
      </c>
      <c r="S29" s="611">
        <v>0</v>
      </c>
      <c r="T29" s="611">
        <v>0</v>
      </c>
      <c r="U29" s="611">
        <v>0</v>
      </c>
      <c r="V29" s="611">
        <v>0</v>
      </c>
      <c r="W29" s="611">
        <v>0</v>
      </c>
      <c r="X29" s="612">
        <v>0</v>
      </c>
      <c r="Y29" s="613">
        <v>0</v>
      </c>
      <c r="Z29" s="51"/>
    </row>
    <row r="30" spans="1:26" x14ac:dyDescent="0.25">
      <c r="A30" s="51"/>
      <c r="B30" s="51">
        <v>2019</v>
      </c>
      <c r="C30" s="51" t="s">
        <v>47</v>
      </c>
      <c r="D30" s="51" t="s">
        <v>502</v>
      </c>
      <c r="E30" s="51"/>
      <c r="F30" s="51"/>
      <c r="G30" s="618" t="s">
        <v>73</v>
      </c>
      <c r="H30" s="611">
        <v>0</v>
      </c>
      <c r="I30" s="611">
        <v>0</v>
      </c>
      <c r="J30" s="611">
        <v>0</v>
      </c>
      <c r="K30" s="611">
        <v>0</v>
      </c>
      <c r="L30" s="611">
        <v>0</v>
      </c>
      <c r="M30" s="611">
        <v>0</v>
      </c>
      <c r="N30" s="611">
        <v>0</v>
      </c>
      <c r="O30" s="611">
        <v>0</v>
      </c>
      <c r="P30" s="611">
        <v>0</v>
      </c>
      <c r="Q30" s="611">
        <v>0</v>
      </c>
      <c r="R30" s="611">
        <v>0</v>
      </c>
      <c r="S30" s="611">
        <v>0</v>
      </c>
      <c r="T30" s="611">
        <v>0</v>
      </c>
      <c r="U30" s="611">
        <v>0</v>
      </c>
      <c r="V30" s="611">
        <v>0</v>
      </c>
      <c r="W30" s="611">
        <v>0</v>
      </c>
      <c r="X30" s="612">
        <v>0</v>
      </c>
      <c r="Y30" s="613">
        <v>0</v>
      </c>
      <c r="Z30" s="51"/>
    </row>
    <row r="31" spans="1:26" x14ac:dyDescent="0.25">
      <c r="A31" s="51"/>
      <c r="B31" s="51">
        <v>2019</v>
      </c>
      <c r="C31" s="51" t="s">
        <v>47</v>
      </c>
      <c r="D31" s="51" t="s">
        <v>503</v>
      </c>
      <c r="E31" s="51"/>
      <c r="F31" s="51"/>
      <c r="G31" s="618" t="s">
        <v>353</v>
      </c>
      <c r="H31" s="611">
        <v>32.750811529533344</v>
      </c>
      <c r="I31" s="611">
        <v>-29.152970396099011</v>
      </c>
      <c r="J31" s="611">
        <v>28.064488458099014</v>
      </c>
      <c r="K31" s="611">
        <v>0</v>
      </c>
      <c r="L31" s="611">
        <v>0</v>
      </c>
      <c r="M31" s="611">
        <v>0</v>
      </c>
      <c r="N31" s="611">
        <v>0</v>
      </c>
      <c r="O31" s="611">
        <v>0</v>
      </c>
      <c r="P31" s="611">
        <v>0</v>
      </c>
      <c r="Q31" s="611">
        <v>0</v>
      </c>
      <c r="R31" s="611">
        <v>0</v>
      </c>
      <c r="S31" s="611">
        <v>0</v>
      </c>
      <c r="T31" s="611">
        <v>0</v>
      </c>
      <c r="U31" s="611">
        <v>0</v>
      </c>
      <c r="V31" s="611">
        <v>0</v>
      </c>
      <c r="W31" s="611">
        <v>0</v>
      </c>
      <c r="X31" s="612">
        <v>0</v>
      </c>
      <c r="Y31" s="613">
        <v>31.662329591533346</v>
      </c>
      <c r="Z31" s="51"/>
    </row>
    <row r="32" spans="1:26" x14ac:dyDescent="0.25">
      <c r="A32" s="51"/>
      <c r="B32" s="51">
        <v>2019</v>
      </c>
      <c r="C32" s="51" t="s">
        <v>47</v>
      </c>
      <c r="D32" s="51" t="s">
        <v>504</v>
      </c>
      <c r="E32" s="51"/>
      <c r="F32" s="51"/>
      <c r="G32" s="618" t="s">
        <v>75</v>
      </c>
      <c r="H32" s="611">
        <v>15.211467777777777</v>
      </c>
      <c r="I32" s="611">
        <v>0</v>
      </c>
      <c r="J32" s="611">
        <v>17.163531653267256</v>
      </c>
      <c r="K32" s="611">
        <v>0</v>
      </c>
      <c r="L32" s="611">
        <v>6.4721602499999999</v>
      </c>
      <c r="M32" s="611">
        <v>0</v>
      </c>
      <c r="N32" s="611">
        <v>0</v>
      </c>
      <c r="O32" s="611">
        <v>0</v>
      </c>
      <c r="P32" s="611">
        <v>0</v>
      </c>
      <c r="Q32" s="611">
        <v>0</v>
      </c>
      <c r="R32" s="611">
        <v>0</v>
      </c>
      <c r="S32" s="611">
        <v>0</v>
      </c>
      <c r="T32" s="611">
        <v>0</v>
      </c>
      <c r="U32" s="611">
        <v>0</v>
      </c>
      <c r="V32" s="611">
        <v>34.075655948560012</v>
      </c>
      <c r="W32" s="611">
        <v>0</v>
      </c>
      <c r="X32" s="612">
        <v>0</v>
      </c>
      <c r="Y32" s="613">
        <v>72.922815629605054</v>
      </c>
      <c r="Z32" s="51"/>
    </row>
    <row r="33" spans="1:26" x14ac:dyDescent="0.25">
      <c r="A33" s="51"/>
      <c r="B33" s="51">
        <v>2019</v>
      </c>
      <c r="C33" s="51" t="s">
        <v>47</v>
      </c>
      <c r="D33" s="51" t="s">
        <v>505</v>
      </c>
      <c r="E33" s="51"/>
      <c r="F33" s="51"/>
      <c r="G33" s="618" t="s">
        <v>76</v>
      </c>
      <c r="H33" s="611">
        <v>0</v>
      </c>
      <c r="I33" s="611">
        <v>0</v>
      </c>
      <c r="J33" s="611">
        <v>0</v>
      </c>
      <c r="K33" s="611">
        <v>0</v>
      </c>
      <c r="L33" s="611">
        <v>4.9770604999999994</v>
      </c>
      <c r="M33" s="611">
        <v>0</v>
      </c>
      <c r="N33" s="611">
        <v>0</v>
      </c>
      <c r="O33" s="611">
        <v>0</v>
      </c>
      <c r="P33" s="611">
        <v>0</v>
      </c>
      <c r="Q33" s="611">
        <v>0</v>
      </c>
      <c r="R33" s="611">
        <v>0</v>
      </c>
      <c r="S33" s="611">
        <v>0</v>
      </c>
      <c r="T33" s="611">
        <v>0</v>
      </c>
      <c r="U33" s="611">
        <v>0</v>
      </c>
      <c r="V33" s="611">
        <v>38.092724000000004</v>
      </c>
      <c r="W33" s="611">
        <v>3.667636947251947</v>
      </c>
      <c r="X33" s="612">
        <v>0</v>
      </c>
      <c r="Y33" s="613">
        <v>46.737421447251954</v>
      </c>
      <c r="Z33" s="51"/>
    </row>
    <row r="34" spans="1:26" x14ac:dyDescent="0.25">
      <c r="A34" s="51"/>
      <c r="B34" s="51">
        <v>2019</v>
      </c>
      <c r="C34" s="51" t="s">
        <v>47</v>
      </c>
      <c r="D34" s="51" t="s">
        <v>506</v>
      </c>
      <c r="E34" s="51"/>
      <c r="F34" s="51"/>
      <c r="G34" s="614" t="s">
        <v>77</v>
      </c>
      <c r="H34" s="615">
        <v>70.94886480427779</v>
      </c>
      <c r="I34" s="615">
        <v>589.57724499305652</v>
      </c>
      <c r="J34" s="615">
        <v>-527.3689266860265</v>
      </c>
      <c r="K34" s="615">
        <v>0</v>
      </c>
      <c r="L34" s="615">
        <v>93.932491249999984</v>
      </c>
      <c r="M34" s="615">
        <v>0</v>
      </c>
      <c r="N34" s="615">
        <v>1209.1260212121213</v>
      </c>
      <c r="O34" s="615">
        <v>104.3311966741735</v>
      </c>
      <c r="P34" s="615">
        <v>26.323534970493061</v>
      </c>
      <c r="Q34" s="615">
        <v>28.586654785814009</v>
      </c>
      <c r="R34" s="615">
        <v>-28.954724700512262</v>
      </c>
      <c r="S34" s="615">
        <v>6.5893490555555561</v>
      </c>
      <c r="T34" s="615">
        <v>0.25919055555555554</v>
      </c>
      <c r="U34" s="615">
        <v>4.7593465444044423</v>
      </c>
      <c r="V34" s="615">
        <v>-489.37184900000005</v>
      </c>
      <c r="W34" s="615">
        <v>-43.104435833525834</v>
      </c>
      <c r="X34" s="615">
        <v>0</v>
      </c>
      <c r="Y34" s="615">
        <v>1045.6339586253871</v>
      </c>
      <c r="Z34" s="51"/>
    </row>
    <row r="35" spans="1:26" x14ac:dyDescent="0.25">
      <c r="A35" s="51"/>
      <c r="B35" s="51"/>
      <c r="C35" s="51"/>
      <c r="D35" s="51"/>
      <c r="E35" s="51"/>
      <c r="F35" s="51"/>
      <c r="G35" s="616"/>
      <c r="H35" s="617"/>
      <c r="I35" s="617"/>
      <c r="J35" s="617"/>
      <c r="K35" s="617"/>
      <c r="L35" s="617"/>
      <c r="M35" s="617"/>
      <c r="N35" s="617"/>
      <c r="O35" s="617"/>
      <c r="P35" s="617"/>
      <c r="Q35" s="617"/>
      <c r="R35" s="617"/>
      <c r="S35" s="617"/>
      <c r="T35" s="617"/>
      <c r="U35" s="617"/>
      <c r="V35" s="617"/>
      <c r="W35" s="617"/>
      <c r="X35" s="617"/>
      <c r="Y35" s="617"/>
      <c r="Z35" s="51"/>
    </row>
    <row r="36" spans="1:26" x14ac:dyDescent="0.25">
      <c r="A36" s="51"/>
      <c r="B36" s="51">
        <v>2019</v>
      </c>
      <c r="C36" s="51" t="s">
        <v>47</v>
      </c>
      <c r="D36" s="51" t="s">
        <v>507</v>
      </c>
      <c r="E36" s="51"/>
      <c r="F36" s="51"/>
      <c r="G36" s="618" t="s">
        <v>78</v>
      </c>
      <c r="H36" s="611">
        <v>10.318644626420003</v>
      </c>
      <c r="I36" s="611">
        <v>0</v>
      </c>
      <c r="J36" s="611">
        <v>31.798889573736361</v>
      </c>
      <c r="K36" s="611">
        <v>0</v>
      </c>
      <c r="L36" s="611">
        <v>122.13725650000002</v>
      </c>
      <c r="M36" s="611">
        <v>0</v>
      </c>
      <c r="N36" s="611">
        <v>0</v>
      </c>
      <c r="O36" s="611">
        <v>0</v>
      </c>
      <c r="P36" s="611">
        <v>15.07633527777778</v>
      </c>
      <c r="Q36" s="611">
        <v>4.5361330555555552</v>
      </c>
      <c r="R36" s="611">
        <v>1.0714586421915442</v>
      </c>
      <c r="S36" s="611">
        <v>0.59537055555555551</v>
      </c>
      <c r="T36" s="611">
        <v>0</v>
      </c>
      <c r="U36" s="611">
        <v>1.4743611111111112E-2</v>
      </c>
      <c r="V36" s="611">
        <v>115.65608999999999</v>
      </c>
      <c r="W36" s="611">
        <v>18.599047500192498</v>
      </c>
      <c r="X36" s="611">
        <v>0</v>
      </c>
      <c r="Y36" s="619">
        <v>319.80396934254043</v>
      </c>
      <c r="Z36" s="51"/>
    </row>
    <row r="37" spans="1:26" x14ac:dyDescent="0.25">
      <c r="A37" s="51"/>
      <c r="B37" s="51">
        <v>2019</v>
      </c>
      <c r="C37" s="51" t="s">
        <v>47</v>
      </c>
      <c r="D37" s="51" t="s">
        <v>508</v>
      </c>
      <c r="E37" s="51"/>
      <c r="F37" s="51"/>
      <c r="G37" s="618" t="s">
        <v>79</v>
      </c>
      <c r="H37" s="611">
        <v>0</v>
      </c>
      <c r="I37" s="611">
        <v>0</v>
      </c>
      <c r="J37" s="611">
        <v>475.64160922226444</v>
      </c>
      <c r="K37" s="611">
        <v>0</v>
      </c>
      <c r="L37" s="611">
        <v>1.8942870000000003</v>
      </c>
      <c r="M37" s="611">
        <v>0</v>
      </c>
      <c r="N37" s="611">
        <v>0</v>
      </c>
      <c r="O37" s="611">
        <v>0</v>
      </c>
      <c r="P37" s="611">
        <v>0</v>
      </c>
      <c r="Q37" s="611">
        <v>0</v>
      </c>
      <c r="R37" s="611">
        <v>37.188256545358975</v>
      </c>
      <c r="S37" s="611">
        <v>0</v>
      </c>
      <c r="T37" s="611">
        <v>0</v>
      </c>
      <c r="U37" s="611">
        <v>0</v>
      </c>
      <c r="V37" s="611">
        <v>10.07993007</v>
      </c>
      <c r="W37" s="611">
        <v>0</v>
      </c>
      <c r="X37" s="611">
        <v>0</v>
      </c>
      <c r="Y37" s="619">
        <v>524.80408283762347</v>
      </c>
      <c r="Z37" s="51"/>
    </row>
    <row r="38" spans="1:26" x14ac:dyDescent="0.25">
      <c r="A38" s="51"/>
      <c r="B38" s="51">
        <v>2019</v>
      </c>
      <c r="C38" s="51" t="s">
        <v>47</v>
      </c>
      <c r="D38" s="51" t="s">
        <v>509</v>
      </c>
      <c r="E38" s="51"/>
      <c r="F38" s="51"/>
      <c r="G38" s="618" t="s">
        <v>80</v>
      </c>
      <c r="H38" s="611">
        <v>0.28361423905000005</v>
      </c>
      <c r="I38" s="611">
        <v>0</v>
      </c>
      <c r="J38" s="611">
        <v>50.740146891881786</v>
      </c>
      <c r="K38" s="611">
        <v>0</v>
      </c>
      <c r="L38" s="611">
        <v>132.15121725</v>
      </c>
      <c r="M38" s="611">
        <v>0</v>
      </c>
      <c r="N38" s="611">
        <v>0</v>
      </c>
      <c r="O38" s="611">
        <v>0</v>
      </c>
      <c r="P38" s="611">
        <v>74.953719722222218</v>
      </c>
      <c r="Q38" s="611">
        <v>0</v>
      </c>
      <c r="R38" s="611">
        <v>0</v>
      </c>
      <c r="S38" s="611">
        <v>0</v>
      </c>
      <c r="T38" s="611">
        <v>26.665051666666663</v>
      </c>
      <c r="U38" s="611">
        <v>1.98639250004</v>
      </c>
      <c r="V38" s="611">
        <v>159.72207699999998</v>
      </c>
      <c r="W38" s="611">
        <v>14.980747222222222</v>
      </c>
      <c r="X38" s="611">
        <v>0</v>
      </c>
      <c r="Y38" s="619">
        <v>461.48296649208294</v>
      </c>
      <c r="Z38" s="51"/>
    </row>
    <row r="39" spans="1:26" x14ac:dyDescent="0.25">
      <c r="A39" s="51"/>
      <c r="B39" s="51">
        <v>2019</v>
      </c>
      <c r="C39" s="51" t="s">
        <v>47</v>
      </c>
      <c r="D39" s="51" t="s">
        <v>510</v>
      </c>
      <c r="E39" s="51"/>
      <c r="F39" s="51"/>
      <c r="G39" s="618" t="s">
        <v>81</v>
      </c>
      <c r="H39" s="611">
        <v>0.40432760307999993</v>
      </c>
      <c r="I39" s="611">
        <v>0</v>
      </c>
      <c r="J39" s="611">
        <v>33.030604242320379</v>
      </c>
      <c r="K39" s="611">
        <v>0</v>
      </c>
      <c r="L39" s="611">
        <v>70.504948999999996</v>
      </c>
      <c r="M39" s="611">
        <v>0</v>
      </c>
      <c r="N39" s="611">
        <v>0</v>
      </c>
      <c r="O39" s="611">
        <v>0</v>
      </c>
      <c r="P39" s="611">
        <v>3.0152302777777784</v>
      </c>
      <c r="Q39" s="611">
        <v>1.7780329919637734</v>
      </c>
      <c r="R39" s="611">
        <v>0</v>
      </c>
      <c r="S39" s="611">
        <v>1.4820169444444444</v>
      </c>
      <c r="T39" s="611">
        <v>4.7740327777777782</v>
      </c>
      <c r="U39" s="611">
        <v>0.35231138888888891</v>
      </c>
      <c r="V39" s="611">
        <v>137.76728493000002</v>
      </c>
      <c r="W39" s="611">
        <v>9.3080608333333341</v>
      </c>
      <c r="X39" s="611">
        <v>0</v>
      </c>
      <c r="Y39" s="619">
        <v>262.41685098958641</v>
      </c>
      <c r="Z39" s="51"/>
    </row>
    <row r="40" spans="1:26" x14ac:dyDescent="0.25">
      <c r="A40" s="51"/>
      <c r="B40" s="51">
        <v>2019</v>
      </c>
      <c r="C40" s="51" t="s">
        <v>47</v>
      </c>
      <c r="D40" s="51" t="s">
        <v>511</v>
      </c>
      <c r="E40" s="51"/>
      <c r="F40" s="51"/>
      <c r="G40" s="618" t="s">
        <v>82</v>
      </c>
      <c r="H40" s="611">
        <v>1.6738093710000002E-2</v>
      </c>
      <c r="I40" s="611">
        <v>0</v>
      </c>
      <c r="J40" s="611">
        <v>35.508479849329859</v>
      </c>
      <c r="K40" s="611">
        <v>0</v>
      </c>
      <c r="L40" s="611">
        <v>2.1960534999999997</v>
      </c>
      <c r="M40" s="611">
        <v>0</v>
      </c>
      <c r="N40" s="611">
        <v>0</v>
      </c>
      <c r="O40" s="611">
        <v>0</v>
      </c>
      <c r="P40" s="611">
        <v>1.6964935406677779</v>
      </c>
      <c r="Q40" s="611">
        <v>0</v>
      </c>
      <c r="R40" s="611">
        <v>1.834336902240338</v>
      </c>
      <c r="S40" s="611">
        <v>0.43157000000000006</v>
      </c>
      <c r="T40" s="611">
        <v>0</v>
      </c>
      <c r="U40" s="611">
        <v>0.29222750000000003</v>
      </c>
      <c r="V40" s="611">
        <v>8.4794180000000026</v>
      </c>
      <c r="W40" s="611">
        <v>0.21658055555555558</v>
      </c>
      <c r="X40" s="611">
        <v>0</v>
      </c>
      <c r="Y40" s="619">
        <v>50.671897941503538</v>
      </c>
      <c r="Z40" s="51"/>
    </row>
    <row r="41" spans="1:26" x14ac:dyDescent="0.25">
      <c r="A41" s="51"/>
      <c r="B41" s="51">
        <v>2019</v>
      </c>
      <c r="C41" s="51" t="s">
        <v>47</v>
      </c>
      <c r="D41" s="51" t="s">
        <v>512</v>
      </c>
      <c r="E41" s="51"/>
      <c r="F41" s="51"/>
      <c r="G41" s="618" t="s">
        <v>354</v>
      </c>
      <c r="H41" s="611">
        <v>0</v>
      </c>
      <c r="I41" s="611">
        <v>0</v>
      </c>
      <c r="J41" s="611">
        <v>0</v>
      </c>
      <c r="K41" s="611">
        <v>0</v>
      </c>
      <c r="L41" s="611">
        <v>0</v>
      </c>
      <c r="M41" s="611">
        <v>0</v>
      </c>
      <c r="N41" s="611">
        <v>0</v>
      </c>
      <c r="O41" s="611">
        <v>0</v>
      </c>
      <c r="P41" s="611">
        <v>0</v>
      </c>
      <c r="Q41" s="611">
        <v>0</v>
      </c>
      <c r="R41" s="611">
        <v>0</v>
      </c>
      <c r="S41" s="611">
        <v>0</v>
      </c>
      <c r="T41" s="611">
        <v>0</v>
      </c>
      <c r="U41" s="611">
        <v>0</v>
      </c>
      <c r="V41" s="611">
        <v>0</v>
      </c>
      <c r="W41" s="611">
        <v>0</v>
      </c>
      <c r="X41" s="611">
        <v>0</v>
      </c>
      <c r="Y41" s="619">
        <v>0</v>
      </c>
      <c r="Z41" s="51"/>
    </row>
    <row r="42" spans="1:26" x14ac:dyDescent="0.25">
      <c r="A42" s="51"/>
      <c r="B42" s="51">
        <v>2019</v>
      </c>
      <c r="C42" s="51" t="s">
        <v>47</v>
      </c>
      <c r="D42" s="51" t="s">
        <v>513</v>
      </c>
      <c r="E42" s="51"/>
      <c r="F42" s="51"/>
      <c r="G42" s="614" t="s">
        <v>83</v>
      </c>
      <c r="H42" s="615">
        <v>11.023324562260003</v>
      </c>
      <c r="I42" s="615">
        <v>0</v>
      </c>
      <c r="J42" s="615">
        <v>626.71972977953283</v>
      </c>
      <c r="K42" s="615">
        <v>0</v>
      </c>
      <c r="L42" s="615">
        <v>328.88376325000007</v>
      </c>
      <c r="M42" s="615">
        <v>0</v>
      </c>
      <c r="N42" s="615">
        <v>0</v>
      </c>
      <c r="O42" s="615">
        <v>0</v>
      </c>
      <c r="P42" s="615">
        <v>94.741778818445553</v>
      </c>
      <c r="Q42" s="615">
        <v>6.3141660475193291</v>
      </c>
      <c r="R42" s="615">
        <v>40.094052089790857</v>
      </c>
      <c r="S42" s="615">
        <v>2.5089575000000002</v>
      </c>
      <c r="T42" s="615">
        <v>31.43908444444444</v>
      </c>
      <c r="U42" s="615">
        <v>2.6456750000400002</v>
      </c>
      <c r="V42" s="615">
        <v>431.70480000000003</v>
      </c>
      <c r="W42" s="615">
        <v>43.104436111303606</v>
      </c>
      <c r="X42" s="615">
        <v>0</v>
      </c>
      <c r="Y42" s="615">
        <v>1619.1797676033368</v>
      </c>
      <c r="Z42" s="51"/>
    </row>
    <row r="43" spans="1:26" x14ac:dyDescent="0.25">
      <c r="A43" s="51"/>
      <c r="B43" s="51">
        <v>2019</v>
      </c>
      <c r="C43" s="51" t="s">
        <v>47</v>
      </c>
      <c r="D43" s="51" t="s">
        <v>514</v>
      </c>
      <c r="E43" s="51"/>
      <c r="F43" s="51"/>
      <c r="G43" s="610" t="s">
        <v>84</v>
      </c>
      <c r="H43" s="611">
        <v>3.1200159203999993</v>
      </c>
      <c r="I43" s="611">
        <v>0</v>
      </c>
      <c r="J43" s="611">
        <v>139.5725242203051</v>
      </c>
      <c r="K43" s="611">
        <v>0</v>
      </c>
      <c r="L43" s="611">
        <v>13.804214250000001</v>
      </c>
      <c r="M43" s="611">
        <v>0</v>
      </c>
      <c r="N43" s="611">
        <v>0</v>
      </c>
      <c r="O43" s="611">
        <v>0</v>
      </c>
      <c r="P43" s="611">
        <v>0</v>
      </c>
      <c r="Q43" s="611">
        <v>0</v>
      </c>
      <c r="R43" s="611">
        <v>0</v>
      </c>
      <c r="S43" s="611">
        <v>0</v>
      </c>
      <c r="T43" s="611">
        <v>0</v>
      </c>
      <c r="U43" s="611">
        <v>0</v>
      </c>
      <c r="V43" s="611">
        <v>0</v>
      </c>
      <c r="W43" s="611">
        <v>0</v>
      </c>
      <c r="X43" s="611">
        <v>0</v>
      </c>
      <c r="Y43" s="619">
        <v>156.49675439070509</v>
      </c>
      <c r="Z43" s="51"/>
    </row>
    <row r="44" spans="1:26" x14ac:dyDescent="0.25">
      <c r="A44" s="51"/>
      <c r="B44" s="51">
        <v>2019</v>
      </c>
      <c r="C44" s="51" t="s">
        <v>47</v>
      </c>
      <c r="D44" s="51" t="s">
        <v>515</v>
      </c>
      <c r="E44" s="51"/>
      <c r="F44" s="51"/>
      <c r="G44" s="614" t="s">
        <v>85</v>
      </c>
      <c r="H44" s="615">
        <v>14.143340482660001</v>
      </c>
      <c r="I44" s="615">
        <v>0</v>
      </c>
      <c r="J44" s="615">
        <v>766.29225399983795</v>
      </c>
      <c r="K44" s="615">
        <v>0</v>
      </c>
      <c r="L44" s="615">
        <v>342.6879775000001</v>
      </c>
      <c r="M44" s="615">
        <v>0</v>
      </c>
      <c r="N44" s="615">
        <v>0</v>
      </c>
      <c r="O44" s="615">
        <v>0</v>
      </c>
      <c r="P44" s="615">
        <v>94.741778818445553</v>
      </c>
      <c r="Q44" s="615">
        <v>6.3141660475193291</v>
      </c>
      <c r="R44" s="615">
        <v>40.094052089790857</v>
      </c>
      <c r="S44" s="615">
        <v>2.5089575000000002</v>
      </c>
      <c r="T44" s="615">
        <v>31.43908444444444</v>
      </c>
      <c r="U44" s="615">
        <v>2.6456750000400002</v>
      </c>
      <c r="V44" s="615">
        <v>431.70480000000003</v>
      </c>
      <c r="W44" s="615">
        <v>43.104436111303606</v>
      </c>
      <c r="X44" s="615">
        <v>0</v>
      </c>
      <c r="Y44" s="615">
        <v>1775.6765219940419</v>
      </c>
      <c r="Z44" s="51"/>
    </row>
    <row r="45" spans="1:26" x14ac:dyDescent="0.25">
      <c r="A45" s="51"/>
      <c r="B45" s="51"/>
      <c r="C45" s="51"/>
      <c r="D45" s="51"/>
      <c r="E45" s="51"/>
      <c r="F45" s="51"/>
      <c r="G45" s="51"/>
      <c r="H45" s="67"/>
      <c r="I45" s="67"/>
      <c r="J45" s="67"/>
      <c r="K45" s="67"/>
      <c r="L45" s="67"/>
      <c r="M45" s="51"/>
      <c r="N45" s="67"/>
      <c r="O45" s="67"/>
      <c r="P45" s="67"/>
      <c r="Q45" s="67"/>
      <c r="R45" s="67"/>
      <c r="S45" s="67"/>
      <c r="T45" s="67"/>
      <c r="U45" s="67"/>
      <c r="V45" s="67"/>
      <c r="W45" s="67"/>
      <c r="X45" s="67"/>
      <c r="Y45" s="67"/>
      <c r="Z45" s="51"/>
    </row>
    <row r="46" spans="1:26" x14ac:dyDescent="0.25">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spans="1:26" x14ac:dyDescent="0.25">
      <c r="A47" s="606"/>
      <c r="B47" s="606"/>
      <c r="C47" s="606"/>
      <c r="D47" s="606"/>
      <c r="E47" s="606"/>
      <c r="F47" s="606"/>
      <c r="G47" s="607" t="s">
        <v>86</v>
      </c>
      <c r="H47" s="606"/>
      <c r="I47" s="606"/>
      <c r="J47" s="606"/>
      <c r="K47" s="606"/>
      <c r="L47" s="606"/>
      <c r="M47" s="606"/>
      <c r="N47" s="606"/>
      <c r="O47" s="606"/>
      <c r="P47" s="606"/>
      <c r="Q47" s="606"/>
      <c r="R47" s="606"/>
      <c r="S47" s="606"/>
      <c r="T47" s="606"/>
      <c r="U47" s="606"/>
      <c r="V47" s="606"/>
      <c r="W47" s="606"/>
      <c r="X47" s="606"/>
      <c r="Y47" s="606"/>
      <c r="Z47" s="606"/>
    </row>
    <row r="48" spans="1:26" x14ac:dyDescent="0.25">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spans="1:26" x14ac:dyDescent="0.25">
      <c r="A49" s="51"/>
      <c r="B49" s="51"/>
      <c r="C49" s="51"/>
      <c r="D49" s="51"/>
      <c r="E49" s="51"/>
      <c r="F49" s="51"/>
      <c r="G49" s="764" t="s">
        <v>128</v>
      </c>
      <c r="H49" s="753" t="s">
        <v>42</v>
      </c>
      <c r="I49" s="753" t="s">
        <v>52</v>
      </c>
      <c r="J49" s="753" t="s">
        <v>53</v>
      </c>
      <c r="K49" s="753" t="s">
        <v>482</v>
      </c>
      <c r="L49" s="753" t="s">
        <v>32</v>
      </c>
      <c r="M49" s="753" t="s">
        <v>483</v>
      </c>
      <c r="N49" s="753" t="s">
        <v>20</v>
      </c>
      <c r="O49" s="753" t="s">
        <v>55</v>
      </c>
      <c r="P49" s="761" t="s">
        <v>56</v>
      </c>
      <c r="Q49" s="762"/>
      <c r="R49" s="762"/>
      <c r="S49" s="762"/>
      <c r="T49" s="762"/>
      <c r="U49" s="763"/>
      <c r="V49" s="753" t="s">
        <v>57</v>
      </c>
      <c r="W49" s="753" t="s">
        <v>58</v>
      </c>
      <c r="X49" s="753" t="s">
        <v>31</v>
      </c>
      <c r="Y49" s="753" t="s">
        <v>10</v>
      </c>
      <c r="Z49" s="51"/>
    </row>
    <row r="50" spans="1:26" ht="36" x14ac:dyDescent="0.25">
      <c r="A50" s="51"/>
      <c r="B50" s="51" t="s">
        <v>484</v>
      </c>
      <c r="C50" s="51" t="s">
        <v>485</v>
      </c>
      <c r="D50" s="51" t="s">
        <v>486</v>
      </c>
      <c r="E50" s="51"/>
      <c r="F50" s="51"/>
      <c r="G50" s="765"/>
      <c r="H50" s="754"/>
      <c r="I50" s="754"/>
      <c r="J50" s="754"/>
      <c r="K50" s="754"/>
      <c r="L50" s="754"/>
      <c r="M50" s="754"/>
      <c r="N50" s="754"/>
      <c r="O50" s="754"/>
      <c r="P50" s="608" t="s">
        <v>335</v>
      </c>
      <c r="Q50" s="608" t="s">
        <v>40</v>
      </c>
      <c r="R50" s="608" t="s">
        <v>343</v>
      </c>
      <c r="S50" s="608" t="s">
        <v>344</v>
      </c>
      <c r="T50" s="609" t="s">
        <v>345</v>
      </c>
      <c r="U50" s="608" t="s">
        <v>346</v>
      </c>
      <c r="V50" s="754"/>
      <c r="W50" s="754"/>
      <c r="X50" s="754"/>
      <c r="Y50" s="754"/>
      <c r="Z50" s="51"/>
    </row>
    <row r="51" spans="1:26" x14ac:dyDescent="0.25">
      <c r="A51" s="51"/>
      <c r="B51" s="51">
        <v>2020</v>
      </c>
      <c r="C51" s="51" t="s">
        <v>47</v>
      </c>
      <c r="D51" s="51" t="s">
        <v>487</v>
      </c>
      <c r="E51" s="51"/>
      <c r="F51" s="51"/>
      <c r="G51" s="610" t="s">
        <v>59</v>
      </c>
      <c r="H51" s="611">
        <v>0</v>
      </c>
      <c r="I51" s="611">
        <v>9.7977867342210008</v>
      </c>
      <c r="J51" s="620">
        <v>0</v>
      </c>
      <c r="K51" s="611">
        <v>0</v>
      </c>
      <c r="L51" s="611">
        <v>0.18111850000000002</v>
      </c>
      <c r="M51" s="611">
        <v>0</v>
      </c>
      <c r="N51" s="620">
        <v>1072.2208090909091</v>
      </c>
      <c r="O51" s="620">
        <v>115.72304451809002</v>
      </c>
      <c r="P51" s="620">
        <v>114.24305924309468</v>
      </c>
      <c r="Q51" s="620">
        <v>33.631608055405756</v>
      </c>
      <c r="R51" s="620">
        <v>0</v>
      </c>
      <c r="S51" s="620">
        <v>9.2815441223735728</v>
      </c>
      <c r="T51" s="620">
        <v>32.908596666666668</v>
      </c>
      <c r="U51" s="620">
        <v>8.1133079726239394</v>
      </c>
      <c r="V51" s="620">
        <v>0</v>
      </c>
      <c r="W51" s="620">
        <v>0</v>
      </c>
      <c r="X51" s="620">
        <v>0</v>
      </c>
      <c r="Y51" s="621">
        <v>1396.1008749033847</v>
      </c>
      <c r="Z51" s="51"/>
    </row>
    <row r="52" spans="1:26" x14ac:dyDescent="0.25">
      <c r="A52" s="51"/>
      <c r="B52" s="51">
        <v>2020</v>
      </c>
      <c r="C52" s="51" t="s">
        <v>47</v>
      </c>
      <c r="D52" s="51" t="s">
        <v>488</v>
      </c>
      <c r="E52" s="51"/>
      <c r="F52" s="51"/>
      <c r="G52" s="610" t="s">
        <v>60</v>
      </c>
      <c r="H52" s="620">
        <v>59.346560356893349</v>
      </c>
      <c r="I52" s="620">
        <v>394.73997109464659</v>
      </c>
      <c r="J52" s="620">
        <v>515.26337584814883</v>
      </c>
      <c r="K52" s="611">
        <v>0</v>
      </c>
      <c r="L52" s="620">
        <v>479.42224425000006</v>
      </c>
      <c r="M52" s="611">
        <v>0</v>
      </c>
      <c r="N52" s="620">
        <v>0</v>
      </c>
      <c r="O52" s="620">
        <v>0</v>
      </c>
      <c r="P52" s="620">
        <v>2.6631252777777781</v>
      </c>
      <c r="Q52" s="620">
        <v>0</v>
      </c>
      <c r="R52" s="620">
        <v>13.962014778928699</v>
      </c>
      <c r="S52" s="620">
        <v>0</v>
      </c>
      <c r="T52" s="620">
        <v>0</v>
      </c>
      <c r="U52" s="620">
        <v>0</v>
      </c>
      <c r="V52" s="620">
        <v>19.536102</v>
      </c>
      <c r="W52" s="620">
        <v>0</v>
      </c>
      <c r="X52" s="620">
        <v>0</v>
      </c>
      <c r="Y52" s="621">
        <v>1484.9333936063952</v>
      </c>
      <c r="Z52" s="51"/>
    </row>
    <row r="53" spans="1:26" x14ac:dyDescent="0.25">
      <c r="A53" s="51"/>
      <c r="B53" s="51">
        <v>2020</v>
      </c>
      <c r="C53" s="51" t="s">
        <v>47</v>
      </c>
      <c r="D53" s="51" t="s">
        <v>489</v>
      </c>
      <c r="E53" s="51"/>
      <c r="F53" s="51"/>
      <c r="G53" s="610" t="s">
        <v>61</v>
      </c>
      <c r="H53" s="620">
        <v>-9.6972882210000014E-2</v>
      </c>
      <c r="I53" s="620">
        <v>-1.4488664385590002</v>
      </c>
      <c r="J53" s="620">
        <v>-154.00833143808623</v>
      </c>
      <c r="K53" s="611">
        <v>0</v>
      </c>
      <c r="L53" s="620">
        <v>-95.022441999999998</v>
      </c>
      <c r="M53" s="611">
        <v>0</v>
      </c>
      <c r="N53" s="620">
        <v>0</v>
      </c>
      <c r="O53" s="620">
        <v>0</v>
      </c>
      <c r="P53" s="620">
        <v>-2.0287163888888888</v>
      </c>
      <c r="Q53" s="620">
        <v>0</v>
      </c>
      <c r="R53" s="620">
        <v>-7.1333416709442901</v>
      </c>
      <c r="S53" s="620">
        <v>0</v>
      </c>
      <c r="T53" s="620">
        <v>0</v>
      </c>
      <c r="U53" s="620">
        <v>0</v>
      </c>
      <c r="V53" s="620">
        <v>-64.575296000000009</v>
      </c>
      <c r="W53" s="620">
        <v>0</v>
      </c>
      <c r="X53" s="620">
        <v>0</v>
      </c>
      <c r="Y53" s="621">
        <v>-324.31396681868841</v>
      </c>
      <c r="Z53" s="51"/>
    </row>
    <row r="54" spans="1:26" x14ac:dyDescent="0.25">
      <c r="A54" s="51"/>
      <c r="B54" s="51">
        <v>2020</v>
      </c>
      <c r="C54" s="51" t="s">
        <v>47</v>
      </c>
      <c r="D54" s="51" t="s">
        <v>490</v>
      </c>
      <c r="E54" s="51"/>
      <c r="F54" s="51"/>
      <c r="G54" s="610" t="s">
        <v>62</v>
      </c>
      <c r="H54" s="611">
        <v>0</v>
      </c>
      <c r="I54" s="611">
        <v>0</v>
      </c>
      <c r="J54" s="611">
        <v>-11.254966292131096</v>
      </c>
      <c r="K54" s="611">
        <v>0</v>
      </c>
      <c r="L54" s="611">
        <v>0</v>
      </c>
      <c r="M54" s="611">
        <v>0</v>
      </c>
      <c r="N54" s="611">
        <v>0</v>
      </c>
      <c r="O54" s="611">
        <v>0</v>
      </c>
      <c r="P54" s="611">
        <v>0</v>
      </c>
      <c r="Q54" s="611">
        <v>0</v>
      </c>
      <c r="R54" s="611">
        <v>0</v>
      </c>
      <c r="S54" s="611">
        <v>0</v>
      </c>
      <c r="T54" s="611">
        <v>0</v>
      </c>
      <c r="U54" s="611">
        <v>0</v>
      </c>
      <c r="V54" s="620">
        <v>0</v>
      </c>
      <c r="W54" s="620">
        <v>0</v>
      </c>
      <c r="X54" s="611">
        <v>0</v>
      </c>
      <c r="Y54" s="621">
        <v>-11.254966292131096</v>
      </c>
      <c r="Z54" s="51"/>
    </row>
    <row r="55" spans="1:26" x14ac:dyDescent="0.25">
      <c r="A55" s="51"/>
      <c r="B55" s="51">
        <v>2020</v>
      </c>
      <c r="C55" s="51" t="s">
        <v>47</v>
      </c>
      <c r="D55" s="51" t="s">
        <v>491</v>
      </c>
      <c r="E55" s="51"/>
      <c r="F55" s="51"/>
      <c r="G55" s="610" t="s">
        <v>63</v>
      </c>
      <c r="H55" s="611">
        <v>0</v>
      </c>
      <c r="I55" s="611">
        <v>0</v>
      </c>
      <c r="J55" s="611">
        <v>-30.512131040925919</v>
      </c>
      <c r="K55" s="611">
        <v>0</v>
      </c>
      <c r="L55" s="611">
        <v>0</v>
      </c>
      <c r="M55" s="611">
        <v>0</v>
      </c>
      <c r="N55" s="611">
        <v>0</v>
      </c>
      <c r="O55" s="611">
        <v>0</v>
      </c>
      <c r="P55" s="611">
        <v>0</v>
      </c>
      <c r="Q55" s="611">
        <v>0</v>
      </c>
      <c r="R55" s="611">
        <v>0</v>
      </c>
      <c r="S55" s="611">
        <v>0</v>
      </c>
      <c r="T55" s="611">
        <v>0</v>
      </c>
      <c r="U55" s="611">
        <v>0</v>
      </c>
      <c r="V55" s="620">
        <v>0</v>
      </c>
      <c r="W55" s="620">
        <v>0</v>
      </c>
      <c r="X55" s="611">
        <v>0</v>
      </c>
      <c r="Y55" s="621">
        <v>-30.512131040925919</v>
      </c>
      <c r="Z55" s="51"/>
    </row>
    <row r="56" spans="1:26" x14ac:dyDescent="0.25">
      <c r="A56" s="51"/>
      <c r="B56" s="51">
        <v>2020</v>
      </c>
      <c r="C56" s="51" t="s">
        <v>47</v>
      </c>
      <c r="D56" s="51" t="s">
        <v>492</v>
      </c>
      <c r="E56" s="51"/>
      <c r="F56" s="51"/>
      <c r="G56" s="610" t="s">
        <v>64</v>
      </c>
      <c r="H56" s="620">
        <v>2.2754338241033341</v>
      </c>
      <c r="I56" s="620">
        <v>1.7895047303380001</v>
      </c>
      <c r="J56" s="620">
        <v>-1.4741451662241043</v>
      </c>
      <c r="K56" s="611">
        <v>0</v>
      </c>
      <c r="L56" s="620">
        <v>21.247482000000002</v>
      </c>
      <c r="M56" s="611">
        <v>0</v>
      </c>
      <c r="N56" s="620">
        <v>0</v>
      </c>
      <c r="O56" s="620">
        <v>0</v>
      </c>
      <c r="P56" s="620">
        <v>0</v>
      </c>
      <c r="Q56" s="620">
        <v>0</v>
      </c>
      <c r="R56" s="620">
        <v>0</v>
      </c>
      <c r="S56" s="620">
        <v>0</v>
      </c>
      <c r="T56" s="620">
        <v>0</v>
      </c>
      <c r="U56" s="620">
        <v>0</v>
      </c>
      <c r="V56" s="620">
        <v>0</v>
      </c>
      <c r="W56" s="620">
        <v>0</v>
      </c>
      <c r="X56" s="620">
        <v>0</v>
      </c>
      <c r="Y56" s="621">
        <v>23.83827538821723</v>
      </c>
      <c r="Z56" s="51"/>
    </row>
    <row r="57" spans="1:26" x14ac:dyDescent="0.25">
      <c r="A57" s="51"/>
      <c r="B57" s="51">
        <v>2020</v>
      </c>
      <c r="C57" s="51" t="s">
        <v>47</v>
      </c>
      <c r="D57" s="51" t="s">
        <v>493</v>
      </c>
      <c r="E57" s="51"/>
      <c r="F57" s="51"/>
      <c r="G57" s="614" t="s">
        <v>65</v>
      </c>
      <c r="H57" s="622">
        <v>61.525021298786683</v>
      </c>
      <c r="I57" s="622">
        <v>404.87839612064664</v>
      </c>
      <c r="J57" s="622">
        <v>318.01380191078152</v>
      </c>
      <c r="K57" s="615">
        <v>0</v>
      </c>
      <c r="L57" s="622">
        <v>405.82840275000007</v>
      </c>
      <c r="M57" s="615">
        <v>0</v>
      </c>
      <c r="N57" s="622">
        <v>1072.2208090909091</v>
      </c>
      <c r="O57" s="622">
        <v>115.72304451809002</v>
      </c>
      <c r="P57" s="622">
        <v>114.87746813198356</v>
      </c>
      <c r="Q57" s="622">
        <v>33.631608055405756</v>
      </c>
      <c r="R57" s="622">
        <v>6.8286731079844092</v>
      </c>
      <c r="S57" s="622">
        <v>9.2815441223735728</v>
      </c>
      <c r="T57" s="622">
        <v>32.908596666666668</v>
      </c>
      <c r="U57" s="622">
        <v>8.1133079726239394</v>
      </c>
      <c r="V57" s="622">
        <v>-45.039194000000009</v>
      </c>
      <c r="W57" s="622">
        <v>0</v>
      </c>
      <c r="X57" s="622">
        <v>0</v>
      </c>
      <c r="Y57" s="622">
        <v>2538.7914797462522</v>
      </c>
      <c r="Z57" s="51"/>
    </row>
    <row r="58" spans="1:26" x14ac:dyDescent="0.25">
      <c r="A58" s="51"/>
      <c r="B58" s="51"/>
      <c r="C58" s="51"/>
      <c r="D58" s="51"/>
      <c r="E58" s="51"/>
      <c r="F58" s="51"/>
      <c r="G58" s="616"/>
      <c r="H58" s="623"/>
      <c r="I58" s="623"/>
      <c r="J58" s="623"/>
      <c r="K58" s="617"/>
      <c r="L58" s="623"/>
      <c r="M58" s="617"/>
      <c r="N58" s="623"/>
      <c r="O58" s="623"/>
      <c r="P58" s="623"/>
      <c r="Q58" s="623"/>
      <c r="R58" s="623"/>
      <c r="S58" s="623"/>
      <c r="T58" s="623"/>
      <c r="U58" s="623"/>
      <c r="V58" s="623"/>
      <c r="W58" s="623"/>
      <c r="X58" s="623"/>
      <c r="Y58" s="623"/>
      <c r="Z58" s="51"/>
    </row>
    <row r="59" spans="1:26" x14ac:dyDescent="0.25">
      <c r="A59" s="51"/>
      <c r="B59" s="51">
        <v>2020</v>
      </c>
      <c r="C59" s="51" t="s">
        <v>47</v>
      </c>
      <c r="D59" s="51" t="s">
        <v>494</v>
      </c>
      <c r="E59" s="51"/>
      <c r="F59" s="51"/>
      <c r="G59" s="618" t="s">
        <v>67</v>
      </c>
      <c r="H59" s="611">
        <v>-3.1696853392377875</v>
      </c>
      <c r="I59" s="611">
        <v>7.594656734105321</v>
      </c>
      <c r="J59" s="611">
        <v>3.8234994290490683</v>
      </c>
      <c r="K59" s="611">
        <v>0</v>
      </c>
      <c r="L59" s="611">
        <v>-0.68950250000000013</v>
      </c>
      <c r="M59" s="611">
        <v>0</v>
      </c>
      <c r="N59" s="611">
        <v>0</v>
      </c>
      <c r="O59" s="611">
        <v>0</v>
      </c>
      <c r="P59" s="611">
        <v>0</v>
      </c>
      <c r="Q59" s="611">
        <v>0</v>
      </c>
      <c r="R59" s="611">
        <v>0</v>
      </c>
      <c r="S59" s="611">
        <v>0</v>
      </c>
      <c r="T59" s="611">
        <v>0</v>
      </c>
      <c r="U59" s="611">
        <v>0</v>
      </c>
      <c r="V59" s="611">
        <v>2.0843062301020092</v>
      </c>
      <c r="W59" s="611">
        <v>0</v>
      </c>
      <c r="X59" s="620">
        <v>0</v>
      </c>
      <c r="Y59" s="621">
        <v>9.6432745540186104</v>
      </c>
      <c r="Z59" s="51"/>
    </row>
    <row r="60" spans="1:26" x14ac:dyDescent="0.25">
      <c r="A60" s="51"/>
      <c r="B60" s="51">
        <v>2020</v>
      </c>
      <c r="C60" s="51" t="s">
        <v>47</v>
      </c>
      <c r="D60" s="51" t="s">
        <v>495</v>
      </c>
      <c r="E60" s="51"/>
      <c r="F60" s="51"/>
      <c r="G60" s="618" t="s">
        <v>347</v>
      </c>
      <c r="H60" s="611">
        <v>14.864431241687887</v>
      </c>
      <c r="I60" s="611">
        <v>0</v>
      </c>
      <c r="J60" s="611">
        <v>13.418152502737103</v>
      </c>
      <c r="K60" s="611">
        <v>0</v>
      </c>
      <c r="L60" s="611">
        <v>55.436136268601025</v>
      </c>
      <c r="M60" s="611">
        <v>0</v>
      </c>
      <c r="N60" s="611">
        <v>1072.2208090909091</v>
      </c>
      <c r="O60" s="611">
        <v>115.67142051809002</v>
      </c>
      <c r="P60" s="611">
        <v>17.347825951117827</v>
      </c>
      <c r="Q60" s="611">
        <v>11.678824122543197</v>
      </c>
      <c r="R60" s="611">
        <v>0</v>
      </c>
      <c r="S60" s="611">
        <v>5.2886919634287652</v>
      </c>
      <c r="T60" s="611">
        <v>0</v>
      </c>
      <c r="U60" s="611">
        <v>1.3922112325408571</v>
      </c>
      <c r="V60" s="611">
        <v>-527.28039181222232</v>
      </c>
      <c r="W60" s="611">
        <v>0</v>
      </c>
      <c r="X60" s="620">
        <v>0</v>
      </c>
      <c r="Y60" s="621">
        <v>780.03811107943341</v>
      </c>
      <c r="Z60" s="51"/>
    </row>
    <row r="61" spans="1:26" x14ac:dyDescent="0.25">
      <c r="A61" s="51"/>
      <c r="B61" s="51">
        <v>2020</v>
      </c>
      <c r="C61" s="51" t="s">
        <v>47</v>
      </c>
      <c r="D61" s="51" t="s">
        <v>496</v>
      </c>
      <c r="E61" s="51"/>
      <c r="F61" s="51"/>
      <c r="G61" s="618" t="s">
        <v>348</v>
      </c>
      <c r="H61" s="611">
        <v>1.5729367626898902</v>
      </c>
      <c r="I61" s="611">
        <v>0</v>
      </c>
      <c r="J61" s="611">
        <v>0.20358189452574635</v>
      </c>
      <c r="K61" s="611">
        <v>0</v>
      </c>
      <c r="L61" s="611">
        <v>21.08911448139898</v>
      </c>
      <c r="M61" s="611">
        <v>0</v>
      </c>
      <c r="N61" s="611">
        <v>0</v>
      </c>
      <c r="O61" s="611">
        <v>0</v>
      </c>
      <c r="P61" s="611">
        <v>7.8982729217883261</v>
      </c>
      <c r="Q61" s="611">
        <v>16.49482411485047</v>
      </c>
      <c r="R61" s="611">
        <v>0</v>
      </c>
      <c r="S61" s="611">
        <v>3.0673174902469076</v>
      </c>
      <c r="T61" s="611">
        <v>0.25705111111111106</v>
      </c>
      <c r="U61" s="611">
        <v>3.9939867016268904</v>
      </c>
      <c r="V61" s="611">
        <v>0</v>
      </c>
      <c r="W61" s="611">
        <v>-45.831488617908406</v>
      </c>
      <c r="X61" s="620">
        <v>0</v>
      </c>
      <c r="Y61" s="621">
        <v>8.7455968603299112</v>
      </c>
      <c r="Z61" s="51"/>
    </row>
    <row r="62" spans="1:26" x14ac:dyDescent="0.25">
      <c r="A62" s="51"/>
      <c r="B62" s="51">
        <v>2020</v>
      </c>
      <c r="C62" s="51" t="s">
        <v>47</v>
      </c>
      <c r="D62" s="51" t="s">
        <v>497</v>
      </c>
      <c r="E62" s="51"/>
      <c r="F62" s="51"/>
      <c r="G62" s="618" t="s">
        <v>349</v>
      </c>
      <c r="H62" s="611">
        <v>0</v>
      </c>
      <c r="I62" s="611">
        <v>0</v>
      </c>
      <c r="J62" s="611">
        <v>0</v>
      </c>
      <c r="K62" s="611">
        <v>0</v>
      </c>
      <c r="L62" s="611">
        <v>0</v>
      </c>
      <c r="M62" s="611">
        <v>0</v>
      </c>
      <c r="N62" s="611">
        <v>0</v>
      </c>
      <c r="O62" s="611">
        <v>0</v>
      </c>
      <c r="P62" s="611">
        <v>0</v>
      </c>
      <c r="Q62" s="611">
        <v>0</v>
      </c>
      <c r="R62" s="611">
        <v>0</v>
      </c>
      <c r="S62" s="611">
        <v>-1.9873640000000001</v>
      </c>
      <c r="T62" s="611">
        <v>0</v>
      </c>
      <c r="U62" s="611">
        <v>0</v>
      </c>
      <c r="V62" s="611">
        <v>0</v>
      </c>
      <c r="W62" s="611">
        <v>0</v>
      </c>
      <c r="X62" s="620">
        <v>0</v>
      </c>
      <c r="Y62" s="621">
        <v>-1.9873640000000001</v>
      </c>
      <c r="Z62" s="51"/>
    </row>
    <row r="63" spans="1:26" x14ac:dyDescent="0.25">
      <c r="A63" s="51"/>
      <c r="B63" s="51">
        <v>2020</v>
      </c>
      <c r="C63" s="51" t="s">
        <v>47</v>
      </c>
      <c r="D63" s="51" t="s">
        <v>498</v>
      </c>
      <c r="E63" s="51"/>
      <c r="F63" s="51"/>
      <c r="G63" s="618" t="s">
        <v>350</v>
      </c>
      <c r="H63" s="611">
        <v>0</v>
      </c>
      <c r="I63" s="611">
        <v>0</v>
      </c>
      <c r="J63" s="611">
        <v>0</v>
      </c>
      <c r="K63" s="611">
        <v>0</v>
      </c>
      <c r="L63" s="611">
        <v>0</v>
      </c>
      <c r="M63" s="611">
        <v>0</v>
      </c>
      <c r="N63" s="611">
        <v>0</v>
      </c>
      <c r="O63" s="611">
        <v>0</v>
      </c>
      <c r="P63" s="611">
        <v>0</v>
      </c>
      <c r="Q63" s="611">
        <v>0</v>
      </c>
      <c r="R63" s="611">
        <v>0</v>
      </c>
      <c r="S63" s="611">
        <v>0</v>
      </c>
      <c r="T63" s="611">
        <v>0</v>
      </c>
      <c r="U63" s="611">
        <v>0</v>
      </c>
      <c r="V63" s="611">
        <v>0</v>
      </c>
      <c r="W63" s="611">
        <v>0</v>
      </c>
      <c r="X63" s="620">
        <v>0</v>
      </c>
      <c r="Y63" s="621">
        <v>0</v>
      </c>
      <c r="Z63" s="51"/>
    </row>
    <row r="64" spans="1:26" x14ac:dyDescent="0.25">
      <c r="A64" s="51"/>
      <c r="B64" s="51">
        <v>2020</v>
      </c>
      <c r="C64" s="51" t="s">
        <v>47</v>
      </c>
      <c r="D64" s="51" t="s">
        <v>499</v>
      </c>
      <c r="E64" s="51"/>
      <c r="F64" s="51"/>
      <c r="G64" s="618" t="s">
        <v>72</v>
      </c>
      <c r="H64" s="611">
        <v>0</v>
      </c>
      <c r="I64" s="611">
        <v>440.59076600316865</v>
      </c>
      <c r="J64" s="611">
        <v>-437.66600779015403</v>
      </c>
      <c r="K64" s="611">
        <v>0</v>
      </c>
      <c r="L64" s="611">
        <v>0</v>
      </c>
      <c r="M64" s="611">
        <v>0</v>
      </c>
      <c r="N64" s="611">
        <v>0</v>
      </c>
      <c r="O64" s="611">
        <v>0</v>
      </c>
      <c r="P64" s="611">
        <v>0</v>
      </c>
      <c r="Q64" s="611">
        <v>0</v>
      </c>
      <c r="R64" s="611">
        <v>0</v>
      </c>
      <c r="S64" s="611">
        <v>0</v>
      </c>
      <c r="T64" s="611">
        <v>0</v>
      </c>
      <c r="U64" s="611">
        <v>0</v>
      </c>
      <c r="V64" s="611">
        <v>0</v>
      </c>
      <c r="W64" s="611">
        <v>0</v>
      </c>
      <c r="X64" s="620">
        <v>0</v>
      </c>
      <c r="Y64" s="621">
        <v>2.924758213014627</v>
      </c>
      <c r="Z64" s="51"/>
    </row>
    <row r="65" spans="1:26" x14ac:dyDescent="0.25">
      <c r="A65" s="51"/>
      <c r="B65" s="51">
        <v>2020</v>
      </c>
      <c r="C65" s="51" t="s">
        <v>47</v>
      </c>
      <c r="D65" s="51" t="s">
        <v>500</v>
      </c>
      <c r="E65" s="51"/>
      <c r="F65" s="51"/>
      <c r="G65" s="618" t="s">
        <v>351</v>
      </c>
      <c r="H65" s="611">
        <v>0</v>
      </c>
      <c r="I65" s="611">
        <v>0</v>
      </c>
      <c r="J65" s="611">
        <v>0</v>
      </c>
      <c r="K65" s="611">
        <v>0</v>
      </c>
      <c r="L65" s="611">
        <v>0</v>
      </c>
      <c r="M65" s="611">
        <v>0</v>
      </c>
      <c r="N65" s="611">
        <v>0</v>
      </c>
      <c r="O65" s="611">
        <v>0</v>
      </c>
      <c r="P65" s="611">
        <v>0</v>
      </c>
      <c r="Q65" s="611">
        <v>0</v>
      </c>
      <c r="R65" s="611">
        <v>-27.31624937979873</v>
      </c>
      <c r="S65" s="611">
        <v>0</v>
      </c>
      <c r="T65" s="611">
        <v>0</v>
      </c>
      <c r="U65" s="611">
        <v>0</v>
      </c>
      <c r="V65" s="611">
        <v>0</v>
      </c>
      <c r="W65" s="611">
        <v>0</v>
      </c>
      <c r="X65" s="620">
        <v>0</v>
      </c>
      <c r="Y65" s="621">
        <v>-27.31624937979873</v>
      </c>
      <c r="Z65" s="51"/>
    </row>
    <row r="66" spans="1:26" x14ac:dyDescent="0.25">
      <c r="A66" s="51"/>
      <c r="B66" s="51">
        <v>2020</v>
      </c>
      <c r="C66" s="51" t="s">
        <v>47</v>
      </c>
      <c r="D66" s="51" t="s">
        <v>501</v>
      </c>
      <c r="E66" s="51"/>
      <c r="F66" s="51"/>
      <c r="G66" s="618" t="s">
        <v>352</v>
      </c>
      <c r="H66" s="611">
        <v>0</v>
      </c>
      <c r="I66" s="611">
        <v>0</v>
      </c>
      <c r="J66" s="611">
        <v>0</v>
      </c>
      <c r="K66" s="611">
        <v>0</v>
      </c>
      <c r="L66" s="611">
        <v>0</v>
      </c>
      <c r="M66" s="611">
        <v>0</v>
      </c>
      <c r="N66" s="611">
        <v>0</v>
      </c>
      <c r="O66" s="611">
        <v>0</v>
      </c>
      <c r="P66" s="611">
        <v>0</v>
      </c>
      <c r="Q66" s="611">
        <v>0</v>
      </c>
      <c r="R66" s="611">
        <v>0</v>
      </c>
      <c r="S66" s="611">
        <v>0</v>
      </c>
      <c r="T66" s="611">
        <v>0</v>
      </c>
      <c r="U66" s="611">
        <v>0</v>
      </c>
      <c r="V66" s="611">
        <v>0</v>
      </c>
      <c r="W66" s="611">
        <v>0</v>
      </c>
      <c r="X66" s="620">
        <v>0</v>
      </c>
      <c r="Y66" s="621">
        <v>0</v>
      </c>
      <c r="Z66" s="51"/>
    </row>
    <row r="67" spans="1:26" x14ac:dyDescent="0.25">
      <c r="A67" s="51"/>
      <c r="B67" s="51">
        <v>2020</v>
      </c>
      <c r="C67" s="51" t="s">
        <v>47</v>
      </c>
      <c r="D67" s="51" t="s">
        <v>502</v>
      </c>
      <c r="E67" s="51"/>
      <c r="F67" s="51"/>
      <c r="G67" s="618" t="s">
        <v>73</v>
      </c>
      <c r="H67" s="611">
        <v>0</v>
      </c>
      <c r="I67" s="611">
        <v>0</v>
      </c>
      <c r="J67" s="611">
        <v>0</v>
      </c>
      <c r="K67" s="611">
        <v>0</v>
      </c>
      <c r="L67" s="611">
        <v>0</v>
      </c>
      <c r="M67" s="611">
        <v>0</v>
      </c>
      <c r="N67" s="611">
        <v>0</v>
      </c>
      <c r="O67" s="611">
        <v>0</v>
      </c>
      <c r="P67" s="611">
        <v>0</v>
      </c>
      <c r="Q67" s="611">
        <v>0</v>
      </c>
      <c r="R67" s="611">
        <v>0</v>
      </c>
      <c r="S67" s="611">
        <v>0</v>
      </c>
      <c r="T67" s="611">
        <v>0</v>
      </c>
      <c r="U67" s="611">
        <v>0</v>
      </c>
      <c r="V67" s="611">
        <v>0</v>
      </c>
      <c r="W67" s="611">
        <v>0</v>
      </c>
      <c r="X67" s="620">
        <v>0</v>
      </c>
      <c r="Y67" s="621">
        <v>0</v>
      </c>
      <c r="Z67" s="51"/>
    </row>
    <row r="68" spans="1:26" x14ac:dyDescent="0.25">
      <c r="A68" s="51"/>
      <c r="B68" s="51">
        <v>2020</v>
      </c>
      <c r="C68" s="51" t="s">
        <v>47</v>
      </c>
      <c r="D68" s="51" t="s">
        <v>503</v>
      </c>
      <c r="E68" s="51"/>
      <c r="F68" s="51"/>
      <c r="G68" s="618" t="s">
        <v>353</v>
      </c>
      <c r="H68" s="611">
        <v>24.856875540426671</v>
      </c>
      <c r="I68" s="611">
        <v>-42.586921310488997</v>
      </c>
      <c r="J68" s="611">
        <v>41.670112128488995</v>
      </c>
      <c r="K68" s="611">
        <v>0</v>
      </c>
      <c r="L68" s="611">
        <v>0</v>
      </c>
      <c r="M68" s="611">
        <v>0</v>
      </c>
      <c r="N68" s="611">
        <v>0</v>
      </c>
      <c r="O68" s="611">
        <v>0</v>
      </c>
      <c r="P68" s="611">
        <v>0</v>
      </c>
      <c r="Q68" s="611">
        <v>0</v>
      </c>
      <c r="R68" s="611">
        <v>0</v>
      </c>
      <c r="S68" s="611">
        <v>0</v>
      </c>
      <c r="T68" s="611">
        <v>0</v>
      </c>
      <c r="U68" s="611">
        <v>0</v>
      </c>
      <c r="V68" s="611">
        <v>0</v>
      </c>
      <c r="W68" s="611">
        <v>0</v>
      </c>
      <c r="X68" s="620">
        <v>0</v>
      </c>
      <c r="Y68" s="621">
        <v>23.94006635842667</v>
      </c>
      <c r="Z68" s="51"/>
    </row>
    <row r="69" spans="1:26" x14ac:dyDescent="0.25">
      <c r="A69" s="51"/>
      <c r="B69" s="51">
        <v>2020</v>
      </c>
      <c r="C69" s="51" t="s">
        <v>47</v>
      </c>
      <c r="D69" s="51" t="s">
        <v>504</v>
      </c>
      <c r="E69" s="51"/>
      <c r="F69" s="51"/>
      <c r="G69" s="618" t="s">
        <v>75</v>
      </c>
      <c r="H69" s="611">
        <v>10.864485000000002</v>
      </c>
      <c r="I69" s="611">
        <v>0</v>
      </c>
      <c r="J69" s="611">
        <v>12.156002809978</v>
      </c>
      <c r="K69" s="611">
        <v>0</v>
      </c>
      <c r="L69" s="611">
        <v>6.2612449999999988</v>
      </c>
      <c r="M69" s="611">
        <v>0</v>
      </c>
      <c r="N69" s="611">
        <v>0</v>
      </c>
      <c r="O69" s="611">
        <v>0</v>
      </c>
      <c r="P69" s="611">
        <v>0</v>
      </c>
      <c r="Q69" s="611">
        <v>0</v>
      </c>
      <c r="R69" s="611">
        <v>0</v>
      </c>
      <c r="S69" s="611">
        <v>0</v>
      </c>
      <c r="T69" s="611">
        <v>0</v>
      </c>
      <c r="U69" s="611">
        <v>0</v>
      </c>
      <c r="V69" s="611">
        <v>32.903944582120353</v>
      </c>
      <c r="W69" s="611">
        <v>0</v>
      </c>
      <c r="X69" s="620">
        <v>0</v>
      </c>
      <c r="Y69" s="621">
        <v>62.185677392098356</v>
      </c>
      <c r="Z69" s="51"/>
    </row>
    <row r="70" spans="1:26" x14ac:dyDescent="0.25">
      <c r="A70" s="51"/>
      <c r="B70" s="51">
        <v>2020</v>
      </c>
      <c r="C70" s="51" t="s">
        <v>47</v>
      </c>
      <c r="D70" s="51" t="s">
        <v>505</v>
      </c>
      <c r="E70" s="51"/>
      <c r="F70" s="51"/>
      <c r="G70" s="618" t="s">
        <v>76</v>
      </c>
      <c r="H70" s="611">
        <v>0</v>
      </c>
      <c r="I70" s="611">
        <v>0</v>
      </c>
      <c r="J70" s="611">
        <v>0</v>
      </c>
      <c r="K70" s="611">
        <v>0</v>
      </c>
      <c r="L70" s="611">
        <v>3.9080132499999998</v>
      </c>
      <c r="M70" s="611">
        <v>0</v>
      </c>
      <c r="N70" s="611">
        <v>0</v>
      </c>
      <c r="O70" s="611">
        <v>0</v>
      </c>
      <c r="P70" s="611">
        <v>0</v>
      </c>
      <c r="Q70" s="611">
        <v>0</v>
      </c>
      <c r="R70" s="611">
        <v>0</v>
      </c>
      <c r="S70" s="611">
        <v>0</v>
      </c>
      <c r="T70" s="611">
        <v>0</v>
      </c>
      <c r="U70" s="611">
        <v>0</v>
      </c>
      <c r="V70" s="611">
        <v>35.893531999999993</v>
      </c>
      <c r="W70" s="611">
        <v>4.1669160064579911</v>
      </c>
      <c r="X70" s="620">
        <v>0</v>
      </c>
      <c r="Y70" s="621">
        <v>43.968461256457978</v>
      </c>
      <c r="Z70" s="51"/>
    </row>
    <row r="71" spans="1:26" x14ac:dyDescent="0.25">
      <c r="A71" s="51"/>
      <c r="B71" s="51">
        <v>2020</v>
      </c>
      <c r="C71" s="51" t="s">
        <v>47</v>
      </c>
      <c r="D71" s="51" t="s">
        <v>506</v>
      </c>
      <c r="E71" s="51"/>
      <c r="F71" s="51"/>
      <c r="G71" s="614" t="s">
        <v>77</v>
      </c>
      <c r="H71" s="622">
        <v>48.989043205566659</v>
      </c>
      <c r="I71" s="622">
        <v>405.59850142678499</v>
      </c>
      <c r="J71" s="622">
        <v>-366.39465902537512</v>
      </c>
      <c r="K71" s="615">
        <v>0</v>
      </c>
      <c r="L71" s="622">
        <v>86.005006499999993</v>
      </c>
      <c r="M71" s="615">
        <v>0</v>
      </c>
      <c r="N71" s="622">
        <v>1072.2208090909091</v>
      </c>
      <c r="O71" s="622">
        <v>115.67142051809002</v>
      </c>
      <c r="P71" s="622">
        <v>25.246098872906153</v>
      </c>
      <c r="Q71" s="622">
        <v>28.173648237393667</v>
      </c>
      <c r="R71" s="622">
        <v>-27.31624937979873</v>
      </c>
      <c r="S71" s="622">
        <v>6.3686454536756729</v>
      </c>
      <c r="T71" s="622">
        <v>0.25705111111111106</v>
      </c>
      <c r="U71" s="622">
        <v>5.3861979341677477</v>
      </c>
      <c r="V71" s="622">
        <v>-456.39860899999996</v>
      </c>
      <c r="W71" s="622">
        <v>-41.664572611450417</v>
      </c>
      <c r="X71" s="622">
        <v>0</v>
      </c>
      <c r="Y71" s="622">
        <v>902.14233233398079</v>
      </c>
      <c r="Z71" s="51"/>
    </row>
    <row r="72" spans="1:26" x14ac:dyDescent="0.25">
      <c r="A72" s="51"/>
      <c r="B72" s="51"/>
      <c r="C72" s="51"/>
      <c r="D72" s="51"/>
      <c r="E72" s="51"/>
      <c r="F72" s="51"/>
      <c r="G72" s="616"/>
      <c r="H72" s="623">
        <v>0</v>
      </c>
      <c r="I72" s="623">
        <v>0</v>
      </c>
      <c r="J72" s="623">
        <v>0</v>
      </c>
      <c r="K72" s="617"/>
      <c r="L72" s="623">
        <v>0</v>
      </c>
      <c r="M72" s="617"/>
      <c r="N72" s="623">
        <v>0</v>
      </c>
      <c r="O72" s="623">
        <v>0</v>
      </c>
      <c r="P72" s="623">
        <v>0</v>
      </c>
      <c r="Q72" s="623">
        <v>0</v>
      </c>
      <c r="R72" s="623">
        <v>0</v>
      </c>
      <c r="S72" s="623">
        <v>0</v>
      </c>
      <c r="T72" s="623">
        <v>0</v>
      </c>
      <c r="U72" s="623">
        <v>0</v>
      </c>
      <c r="V72" s="623">
        <v>0</v>
      </c>
      <c r="W72" s="623">
        <v>0</v>
      </c>
      <c r="X72" s="623">
        <v>0</v>
      </c>
      <c r="Y72" s="623">
        <v>0</v>
      </c>
      <c r="Z72" s="51"/>
    </row>
    <row r="73" spans="1:26" x14ac:dyDescent="0.25">
      <c r="A73" s="51"/>
      <c r="B73" s="51">
        <v>2020</v>
      </c>
      <c r="C73" s="51" t="s">
        <v>47</v>
      </c>
      <c r="D73" s="51" t="s">
        <v>507</v>
      </c>
      <c r="E73" s="51"/>
      <c r="F73" s="51"/>
      <c r="G73" s="618" t="s">
        <v>78</v>
      </c>
      <c r="H73" s="611">
        <v>9.103168484740003</v>
      </c>
      <c r="I73" s="611">
        <v>0</v>
      </c>
      <c r="J73" s="611">
        <v>30.742620872292591</v>
      </c>
      <c r="K73" s="611">
        <v>0</v>
      </c>
      <c r="L73" s="611">
        <v>115.67477925</v>
      </c>
      <c r="M73" s="611">
        <v>0</v>
      </c>
      <c r="N73" s="611">
        <v>0</v>
      </c>
      <c r="O73" s="611">
        <v>0</v>
      </c>
      <c r="P73" s="611">
        <v>15.652087601653344</v>
      </c>
      <c r="Q73" s="611">
        <v>3.5686448746488644</v>
      </c>
      <c r="R73" s="611">
        <v>1.0751813257923004</v>
      </c>
      <c r="S73" s="611">
        <v>0.92719655758676645</v>
      </c>
      <c r="T73" s="611">
        <v>0</v>
      </c>
      <c r="U73" s="611">
        <v>1.540935583552362E-2</v>
      </c>
      <c r="V73" s="611">
        <v>105.80333299999998</v>
      </c>
      <c r="W73" s="611">
        <v>17.474535389228187</v>
      </c>
      <c r="X73" s="611">
        <v>0</v>
      </c>
      <c r="Y73" s="619">
        <v>300.03695671177758</v>
      </c>
      <c r="Z73" s="51"/>
    </row>
    <row r="74" spans="1:26" x14ac:dyDescent="0.25">
      <c r="A74" s="51"/>
      <c r="B74" s="51">
        <v>2020</v>
      </c>
      <c r="C74" s="51" t="s">
        <v>47</v>
      </c>
      <c r="D74" s="51" t="s">
        <v>508</v>
      </c>
      <c r="E74" s="51"/>
      <c r="F74" s="51"/>
      <c r="G74" s="618" t="s">
        <v>79</v>
      </c>
      <c r="H74" s="611">
        <v>0</v>
      </c>
      <c r="I74" s="611">
        <v>0</v>
      </c>
      <c r="J74" s="611">
        <v>403.14383754031047</v>
      </c>
      <c r="K74" s="611">
        <v>0</v>
      </c>
      <c r="L74" s="611">
        <v>2.2477145000000003</v>
      </c>
      <c r="M74" s="611">
        <v>0</v>
      </c>
      <c r="N74" s="611">
        <v>0</v>
      </c>
      <c r="O74" s="611">
        <v>0</v>
      </c>
      <c r="P74" s="611">
        <v>0</v>
      </c>
      <c r="Q74" s="611">
        <v>0</v>
      </c>
      <c r="R74" s="611">
        <v>30.751352031352695</v>
      </c>
      <c r="S74" s="611">
        <v>0</v>
      </c>
      <c r="T74" s="611">
        <v>0</v>
      </c>
      <c r="U74" s="611">
        <v>0</v>
      </c>
      <c r="V74" s="611">
        <v>8.3371990700000005</v>
      </c>
      <c r="W74" s="611">
        <v>0</v>
      </c>
      <c r="X74" s="611">
        <v>0</v>
      </c>
      <c r="Y74" s="619">
        <v>444.48010314166311</v>
      </c>
      <c r="Z74" s="51"/>
    </row>
    <row r="75" spans="1:26" x14ac:dyDescent="0.25">
      <c r="A75" s="51"/>
      <c r="B75" s="51">
        <v>2020</v>
      </c>
      <c r="C75" s="51" t="s">
        <v>47</v>
      </c>
      <c r="D75" s="51" t="s">
        <v>509</v>
      </c>
      <c r="E75" s="51"/>
      <c r="F75" s="51"/>
      <c r="G75" s="618" t="s">
        <v>80</v>
      </c>
      <c r="H75" s="611">
        <v>0.24074954804999998</v>
      </c>
      <c r="I75" s="611">
        <v>0</v>
      </c>
      <c r="J75" s="611">
        <v>50.312051197940285</v>
      </c>
      <c r="K75" s="611">
        <v>0</v>
      </c>
      <c r="L75" s="611">
        <v>125.05981225000002</v>
      </c>
      <c r="M75" s="611">
        <v>0</v>
      </c>
      <c r="N75" s="611">
        <v>0</v>
      </c>
      <c r="O75" s="611">
        <v>0</v>
      </c>
      <c r="P75" s="611">
        <v>69.406708888888886</v>
      </c>
      <c r="Q75" s="611">
        <v>0</v>
      </c>
      <c r="R75" s="611">
        <v>0</v>
      </c>
      <c r="S75" s="611">
        <v>0</v>
      </c>
      <c r="T75" s="611">
        <v>28.099863055555552</v>
      </c>
      <c r="U75" s="611">
        <v>2.0645206826866662</v>
      </c>
      <c r="V75" s="611">
        <v>161.49853200000001</v>
      </c>
      <c r="W75" s="611">
        <v>14.411899999999999</v>
      </c>
      <c r="X75" s="611">
        <v>0</v>
      </c>
      <c r="Y75" s="619">
        <v>451.09413762312147</v>
      </c>
      <c r="Z75" s="51"/>
    </row>
    <row r="76" spans="1:26" x14ac:dyDescent="0.25">
      <c r="A76" s="51"/>
      <c r="B76" s="51">
        <v>2020</v>
      </c>
      <c r="C76" s="51" t="s">
        <v>47</v>
      </c>
      <c r="D76" s="51" t="s">
        <v>510</v>
      </c>
      <c r="E76" s="51"/>
      <c r="F76" s="51"/>
      <c r="G76" s="618" t="s">
        <v>81</v>
      </c>
      <c r="H76" s="611">
        <v>0.35525487623000002</v>
      </c>
      <c r="I76" s="611">
        <v>0</v>
      </c>
      <c r="J76" s="611">
        <v>31.907501208676987</v>
      </c>
      <c r="K76" s="611">
        <v>0</v>
      </c>
      <c r="L76" s="611">
        <v>62.61667825</v>
      </c>
      <c r="M76" s="611">
        <v>0</v>
      </c>
      <c r="N76" s="611">
        <v>0</v>
      </c>
      <c r="O76" s="611">
        <v>0</v>
      </c>
      <c r="P76" s="611">
        <v>2.8232277777777779</v>
      </c>
      <c r="Q76" s="611">
        <v>2.2859468815788357</v>
      </c>
      <c r="R76" s="611">
        <v>0</v>
      </c>
      <c r="S76" s="611">
        <v>1.4745088888888889</v>
      </c>
      <c r="T76" s="611">
        <v>4.5516825000000001</v>
      </c>
      <c r="U76" s="611">
        <v>0.35485889253622721</v>
      </c>
      <c r="V76" s="611">
        <v>127.64086592999999</v>
      </c>
      <c r="W76" s="611">
        <v>9.5887644444444451</v>
      </c>
      <c r="X76" s="611">
        <v>0</v>
      </c>
      <c r="Y76" s="619">
        <v>243.59928965013316</v>
      </c>
      <c r="Z76" s="51"/>
    </row>
    <row r="77" spans="1:26" x14ac:dyDescent="0.25">
      <c r="A77" s="51"/>
      <c r="B77" s="51">
        <v>2020</v>
      </c>
      <c r="C77" s="51" t="s">
        <v>47</v>
      </c>
      <c r="D77" s="51" t="s">
        <v>511</v>
      </c>
      <c r="E77" s="51"/>
      <c r="F77" s="51"/>
      <c r="G77" s="618" t="s">
        <v>82</v>
      </c>
      <c r="H77" s="611">
        <v>1.5371382629999998E-2</v>
      </c>
      <c r="I77" s="611">
        <v>0</v>
      </c>
      <c r="J77" s="611">
        <v>37.352212663167997</v>
      </c>
      <c r="K77" s="611">
        <v>0</v>
      </c>
      <c r="L77" s="611">
        <v>2.1964755</v>
      </c>
      <c r="M77" s="611">
        <v>0</v>
      </c>
      <c r="N77" s="611">
        <v>0</v>
      </c>
      <c r="O77" s="611">
        <v>0</v>
      </c>
      <c r="P77" s="611">
        <v>1.7493453935920653</v>
      </c>
      <c r="Q77" s="611">
        <v>0</v>
      </c>
      <c r="R77" s="611">
        <v>1.9048961095281811</v>
      </c>
      <c r="S77" s="611">
        <v>0.51119305555555561</v>
      </c>
      <c r="T77" s="611">
        <v>0</v>
      </c>
      <c r="U77" s="611">
        <v>0.29232166666666665</v>
      </c>
      <c r="V77" s="611">
        <v>8.079485</v>
      </c>
      <c r="W77" s="611">
        <v>0.18937333333333334</v>
      </c>
      <c r="X77" s="611">
        <v>0</v>
      </c>
      <c r="Y77" s="619">
        <v>52.290674104473801</v>
      </c>
      <c r="Z77" s="51"/>
    </row>
    <row r="78" spans="1:26" x14ac:dyDescent="0.25">
      <c r="A78" s="51"/>
      <c r="B78" s="51">
        <v>2020</v>
      </c>
      <c r="C78" s="51" t="s">
        <v>47</v>
      </c>
      <c r="D78" s="51" t="s">
        <v>512</v>
      </c>
      <c r="E78" s="51"/>
      <c r="F78" s="51"/>
      <c r="G78" s="618" t="s">
        <v>354</v>
      </c>
      <c r="H78" s="611">
        <v>0</v>
      </c>
      <c r="I78" s="611">
        <v>0</v>
      </c>
      <c r="J78" s="611">
        <v>0</v>
      </c>
      <c r="K78" s="611">
        <v>0</v>
      </c>
      <c r="L78" s="611">
        <v>0</v>
      </c>
      <c r="M78" s="611">
        <v>0</v>
      </c>
      <c r="N78" s="611">
        <v>0</v>
      </c>
      <c r="O78" s="611">
        <v>0</v>
      </c>
      <c r="P78" s="611">
        <v>0</v>
      </c>
      <c r="Q78" s="611">
        <v>0</v>
      </c>
      <c r="R78" s="611">
        <v>0</v>
      </c>
      <c r="S78" s="611">
        <v>0</v>
      </c>
      <c r="T78" s="611">
        <v>0</v>
      </c>
      <c r="U78" s="611">
        <v>0</v>
      </c>
      <c r="V78" s="611">
        <v>0</v>
      </c>
      <c r="W78" s="611">
        <v>0</v>
      </c>
      <c r="X78" s="611">
        <v>0</v>
      </c>
      <c r="Y78" s="619">
        <v>0</v>
      </c>
      <c r="Z78" s="51"/>
    </row>
    <row r="79" spans="1:26" x14ac:dyDescent="0.25">
      <c r="A79" s="51"/>
      <c r="B79" s="51">
        <v>2020</v>
      </c>
      <c r="C79" s="51" t="s">
        <v>47</v>
      </c>
      <c r="D79" s="51" t="s">
        <v>513</v>
      </c>
      <c r="E79" s="51"/>
      <c r="F79" s="51"/>
      <c r="G79" s="614" t="s">
        <v>83</v>
      </c>
      <c r="H79" s="622">
        <v>9.714544291650002</v>
      </c>
      <c r="I79" s="622">
        <v>0</v>
      </c>
      <c r="J79" s="622">
        <v>553.45822348238823</v>
      </c>
      <c r="K79" s="615">
        <v>0</v>
      </c>
      <c r="L79" s="622">
        <v>307.79545975000002</v>
      </c>
      <c r="M79" s="615">
        <v>0</v>
      </c>
      <c r="N79" s="622">
        <v>0</v>
      </c>
      <c r="O79" s="622">
        <v>0</v>
      </c>
      <c r="P79" s="622">
        <v>89.631369661912075</v>
      </c>
      <c r="Q79" s="622">
        <v>5.8545917562277001</v>
      </c>
      <c r="R79" s="622">
        <v>33.731429466673177</v>
      </c>
      <c r="S79" s="622">
        <v>2.912898502031211</v>
      </c>
      <c r="T79" s="622">
        <v>32.65154555555555</v>
      </c>
      <c r="U79" s="622">
        <v>2.7271105977250838</v>
      </c>
      <c r="V79" s="622">
        <v>411.35941500000001</v>
      </c>
      <c r="W79" s="622">
        <v>41.664573167005969</v>
      </c>
      <c r="X79" s="622">
        <v>0</v>
      </c>
      <c r="Y79" s="622">
        <v>1491.5011612311691</v>
      </c>
      <c r="Z79" s="51"/>
    </row>
    <row r="80" spans="1:26" x14ac:dyDescent="0.25">
      <c r="A80" s="51"/>
      <c r="B80" s="51">
        <v>2020</v>
      </c>
      <c r="C80" s="51" t="s">
        <v>47</v>
      </c>
      <c r="D80" s="51" t="s">
        <v>514</v>
      </c>
      <c r="E80" s="51"/>
      <c r="F80" s="51"/>
      <c r="G80" s="610" t="s">
        <v>84</v>
      </c>
      <c r="H80" s="611">
        <v>2.8214338015700005</v>
      </c>
      <c r="I80" s="611">
        <v>0</v>
      </c>
      <c r="J80" s="611">
        <v>130.9502374537683</v>
      </c>
      <c r="K80" s="611">
        <v>0</v>
      </c>
      <c r="L80" s="611">
        <v>12.027936500000001</v>
      </c>
      <c r="M80" s="611">
        <v>0</v>
      </c>
      <c r="N80" s="611">
        <v>0</v>
      </c>
      <c r="O80" s="611">
        <v>0</v>
      </c>
      <c r="P80" s="611">
        <v>0</v>
      </c>
      <c r="Q80" s="611">
        <v>0</v>
      </c>
      <c r="R80" s="611">
        <v>0</v>
      </c>
      <c r="S80" s="611">
        <v>0</v>
      </c>
      <c r="T80" s="611">
        <v>0</v>
      </c>
      <c r="U80" s="611">
        <v>0</v>
      </c>
      <c r="V80" s="611">
        <v>0</v>
      </c>
      <c r="W80" s="611">
        <v>0</v>
      </c>
      <c r="X80" s="611">
        <v>0</v>
      </c>
      <c r="Y80" s="619">
        <v>145.79960775533831</v>
      </c>
      <c r="Z80" s="51"/>
    </row>
    <row r="81" spans="1:26" x14ac:dyDescent="0.25">
      <c r="A81" s="51"/>
      <c r="B81" s="51">
        <v>2020</v>
      </c>
      <c r="C81" s="51" t="s">
        <v>47</v>
      </c>
      <c r="D81" s="51" t="s">
        <v>515</v>
      </c>
      <c r="E81" s="51"/>
      <c r="F81" s="51"/>
      <c r="G81" s="614" t="s">
        <v>85</v>
      </c>
      <c r="H81" s="622">
        <v>12.535978093220002</v>
      </c>
      <c r="I81" s="622">
        <v>0</v>
      </c>
      <c r="J81" s="622">
        <v>684.40846093615653</v>
      </c>
      <c r="K81" s="615">
        <v>0</v>
      </c>
      <c r="L81" s="622">
        <v>319.82339625000003</v>
      </c>
      <c r="M81" s="615">
        <v>0</v>
      </c>
      <c r="N81" s="622">
        <v>0</v>
      </c>
      <c r="O81" s="622">
        <v>0</v>
      </c>
      <c r="P81" s="622">
        <v>89.631369661912075</v>
      </c>
      <c r="Q81" s="622">
        <v>5.8545917562277001</v>
      </c>
      <c r="R81" s="622">
        <v>33.731429466673177</v>
      </c>
      <c r="S81" s="622">
        <v>2.912898502031211</v>
      </c>
      <c r="T81" s="622">
        <v>32.65154555555555</v>
      </c>
      <c r="U81" s="622">
        <v>2.7271105977250838</v>
      </c>
      <c r="V81" s="622">
        <v>411.35941500000001</v>
      </c>
      <c r="W81" s="622">
        <v>41.664573167005969</v>
      </c>
      <c r="X81" s="622">
        <v>0</v>
      </c>
      <c r="Y81" s="622">
        <v>1637.3007689865074</v>
      </c>
      <c r="Z81" s="51"/>
    </row>
    <row r="82" spans="1:26" x14ac:dyDescent="0.25">
      <c r="A82" s="51"/>
      <c r="B82" s="51"/>
      <c r="C82" s="51"/>
      <c r="D82" s="51"/>
      <c r="E82" s="51"/>
      <c r="F82" s="51"/>
      <c r="G82" s="51"/>
      <c r="H82" s="51"/>
      <c r="I82" s="51"/>
      <c r="J82" s="51"/>
      <c r="K82" s="67">
        <v>0</v>
      </c>
      <c r="L82" s="51"/>
      <c r="M82" s="51"/>
      <c r="N82" s="51"/>
      <c r="O82" s="51"/>
      <c r="P82" s="51"/>
      <c r="Q82" s="51"/>
      <c r="R82" s="51"/>
      <c r="S82" s="51"/>
      <c r="T82" s="51"/>
      <c r="U82" s="51"/>
      <c r="V82" s="51"/>
      <c r="W82" s="51"/>
      <c r="X82" s="51"/>
      <c r="Y82" s="51"/>
      <c r="Z82" s="51"/>
    </row>
    <row r="83" spans="1:26" x14ac:dyDescent="0.25">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spans="1:26" x14ac:dyDescent="0.25">
      <c r="A84" s="606"/>
      <c r="B84" s="606"/>
      <c r="C84" s="606"/>
      <c r="D84" s="606"/>
      <c r="E84" s="606"/>
      <c r="F84" s="606"/>
      <c r="G84" s="607" t="s">
        <v>563</v>
      </c>
      <c r="H84" s="606"/>
      <c r="I84" s="606"/>
      <c r="J84" s="606"/>
      <c r="K84" s="606"/>
      <c r="L84" s="606"/>
      <c r="M84" s="606"/>
      <c r="N84" s="606"/>
      <c r="O84" s="606"/>
      <c r="P84" s="606"/>
      <c r="Q84" s="606"/>
      <c r="R84" s="606"/>
      <c r="S84" s="606"/>
      <c r="T84" s="606"/>
      <c r="U84" s="606"/>
      <c r="V84" s="606"/>
      <c r="W84" s="606"/>
      <c r="X84" s="606"/>
      <c r="Y84" s="606"/>
      <c r="Z84" s="606"/>
    </row>
    <row r="85" spans="1:26" x14ac:dyDescent="0.2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spans="1:26" x14ac:dyDescent="0.25">
      <c r="A86" s="51"/>
      <c r="B86" s="51"/>
      <c r="C86" s="51"/>
      <c r="D86" s="51"/>
      <c r="E86" s="51"/>
      <c r="F86" s="51"/>
      <c r="G86" s="764" t="s">
        <v>128</v>
      </c>
      <c r="H86" s="753" t="s">
        <v>42</v>
      </c>
      <c r="I86" s="753" t="s">
        <v>52</v>
      </c>
      <c r="J86" s="753" t="s">
        <v>53</v>
      </c>
      <c r="K86" s="753" t="s">
        <v>482</v>
      </c>
      <c r="L86" s="753" t="s">
        <v>32</v>
      </c>
      <c r="M86" s="753" t="s">
        <v>483</v>
      </c>
      <c r="N86" s="753" t="s">
        <v>20</v>
      </c>
      <c r="O86" s="753" t="s">
        <v>55</v>
      </c>
      <c r="P86" s="761" t="s">
        <v>56</v>
      </c>
      <c r="Q86" s="762"/>
      <c r="R86" s="762"/>
      <c r="S86" s="762"/>
      <c r="T86" s="762"/>
      <c r="U86" s="763"/>
      <c r="V86" s="753" t="s">
        <v>57</v>
      </c>
      <c r="W86" s="753" t="s">
        <v>58</v>
      </c>
      <c r="X86" s="753" t="s">
        <v>31</v>
      </c>
      <c r="Y86" s="753" t="s">
        <v>10</v>
      </c>
      <c r="Z86" s="51"/>
    </row>
    <row r="87" spans="1:26" ht="36" x14ac:dyDescent="0.25">
      <c r="A87" s="51"/>
      <c r="B87" s="51" t="s">
        <v>484</v>
      </c>
      <c r="C87" s="51" t="s">
        <v>485</v>
      </c>
      <c r="D87" s="51" t="s">
        <v>486</v>
      </c>
      <c r="E87" s="51"/>
      <c r="F87" s="51"/>
      <c r="G87" s="765"/>
      <c r="H87" s="754"/>
      <c r="I87" s="754"/>
      <c r="J87" s="754"/>
      <c r="K87" s="754"/>
      <c r="L87" s="754"/>
      <c r="M87" s="754"/>
      <c r="N87" s="754"/>
      <c r="O87" s="754"/>
      <c r="P87" s="608" t="s">
        <v>335</v>
      </c>
      <c r="Q87" s="608" t="s">
        <v>40</v>
      </c>
      <c r="R87" s="608" t="s">
        <v>343</v>
      </c>
      <c r="S87" s="608" t="s">
        <v>344</v>
      </c>
      <c r="T87" s="609" t="s">
        <v>345</v>
      </c>
      <c r="U87" s="608" t="s">
        <v>346</v>
      </c>
      <c r="V87" s="754"/>
      <c r="W87" s="754"/>
      <c r="X87" s="754"/>
      <c r="Y87" s="754"/>
      <c r="Z87" s="51"/>
    </row>
    <row r="88" spans="1:26" x14ac:dyDescent="0.25">
      <c r="A88" s="51"/>
      <c r="B88" s="51">
        <v>2021</v>
      </c>
      <c r="C88" s="51" t="s">
        <v>47</v>
      </c>
      <c r="D88" s="51" t="s">
        <v>487</v>
      </c>
      <c r="E88" s="51"/>
      <c r="F88" s="51"/>
      <c r="G88" s="610" t="s">
        <v>59</v>
      </c>
      <c r="H88" s="611">
        <v>0</v>
      </c>
      <c r="I88" s="611">
        <v>9.7965322724120014</v>
      </c>
      <c r="J88" s="620">
        <v>0</v>
      </c>
      <c r="K88" s="611">
        <v>0</v>
      </c>
      <c r="L88" s="611">
        <v>0.23247874999999998</v>
      </c>
      <c r="M88" s="611">
        <v>0</v>
      </c>
      <c r="N88" s="620">
        <v>1149.579672727273</v>
      </c>
      <c r="O88" s="620">
        <v>112.63656667417351</v>
      </c>
      <c r="P88" s="620">
        <v>125.07469141074417</v>
      </c>
      <c r="Q88" s="620">
        <v>34.670770266955778</v>
      </c>
      <c r="R88" s="620">
        <v>22.748596389721389</v>
      </c>
      <c r="S88" s="620">
        <v>16.361063055555558</v>
      </c>
      <c r="T88" s="620">
        <v>42.979674444444449</v>
      </c>
      <c r="U88" s="620">
        <v>7.8931738712622224</v>
      </c>
      <c r="V88" s="620">
        <v>0</v>
      </c>
      <c r="W88" s="620">
        <v>0</v>
      </c>
      <c r="X88" s="620">
        <v>0</v>
      </c>
      <c r="Y88" s="621">
        <v>1521.9732198625422</v>
      </c>
      <c r="Z88" s="51"/>
    </row>
    <row r="89" spans="1:26" x14ac:dyDescent="0.25">
      <c r="A89" s="51"/>
      <c r="B89" s="51">
        <v>2021</v>
      </c>
      <c r="C89" s="51" t="s">
        <v>47</v>
      </c>
      <c r="D89" s="51" t="s">
        <v>488</v>
      </c>
      <c r="E89" s="51"/>
      <c r="F89" s="51"/>
      <c r="G89" s="610" t="s">
        <v>60</v>
      </c>
      <c r="H89" s="620">
        <v>72.519405469314165</v>
      </c>
      <c r="I89" s="620">
        <v>407.68114321225852</v>
      </c>
      <c r="J89" s="620">
        <v>536.22458524278579</v>
      </c>
      <c r="K89" s="611">
        <v>0</v>
      </c>
      <c r="L89" s="620">
        <v>469.58957974999993</v>
      </c>
      <c r="M89" s="611">
        <v>0</v>
      </c>
      <c r="N89" s="620">
        <v>0</v>
      </c>
      <c r="O89" s="620">
        <v>0</v>
      </c>
      <c r="P89" s="620">
        <v>4.5299051783333333</v>
      </c>
      <c r="Q89" s="620">
        <v>0</v>
      </c>
      <c r="R89" s="620">
        <v>20.776683496186354</v>
      </c>
      <c r="S89" s="620">
        <v>0</v>
      </c>
      <c r="T89" s="620">
        <v>0</v>
      </c>
      <c r="U89" s="620">
        <v>0</v>
      </c>
      <c r="V89" s="620">
        <v>24.334451000000001</v>
      </c>
      <c r="W89" s="620">
        <v>0</v>
      </c>
      <c r="X89" s="620">
        <v>0</v>
      </c>
      <c r="Y89" s="621">
        <v>1535.6557533488781</v>
      </c>
      <c r="Z89" s="51"/>
    </row>
    <row r="90" spans="1:26" x14ac:dyDescent="0.25">
      <c r="A90" s="51"/>
      <c r="B90" s="51">
        <v>2021</v>
      </c>
      <c r="C90" s="51" t="s">
        <v>47</v>
      </c>
      <c r="D90" s="51" t="s">
        <v>489</v>
      </c>
      <c r="E90" s="51"/>
      <c r="F90" s="51"/>
      <c r="G90" s="610" t="s">
        <v>61</v>
      </c>
      <c r="H90" s="620">
        <v>-4.9576329109999998E-2</v>
      </c>
      <c r="I90" s="620">
        <v>-1.2762273540000002</v>
      </c>
      <c r="J90" s="620">
        <v>-150.0690133715936</v>
      </c>
      <c r="K90" s="611">
        <v>0</v>
      </c>
      <c r="L90" s="620">
        <v>-55.833637750000008</v>
      </c>
      <c r="M90" s="611">
        <v>0</v>
      </c>
      <c r="N90" s="620">
        <v>0</v>
      </c>
      <c r="O90" s="620">
        <v>0</v>
      </c>
      <c r="P90" s="620">
        <v>-2.2571888390277781</v>
      </c>
      <c r="Q90" s="620">
        <v>0</v>
      </c>
      <c r="R90" s="620">
        <v>-6.5950323426645481</v>
      </c>
      <c r="S90" s="620">
        <v>0</v>
      </c>
      <c r="T90" s="620">
        <v>0</v>
      </c>
      <c r="U90" s="620">
        <v>0</v>
      </c>
      <c r="V90" s="620">
        <v>-69.226701000000006</v>
      </c>
      <c r="W90" s="620">
        <v>0</v>
      </c>
      <c r="X90" s="620">
        <v>0</v>
      </c>
      <c r="Y90" s="621">
        <v>-285.30737698639592</v>
      </c>
      <c r="Z90" s="51"/>
    </row>
    <row r="91" spans="1:26" x14ac:dyDescent="0.25">
      <c r="A91" s="51"/>
      <c r="B91" s="51">
        <v>2021</v>
      </c>
      <c r="C91" s="51" t="s">
        <v>47</v>
      </c>
      <c r="D91" s="51" t="s">
        <v>490</v>
      </c>
      <c r="E91" s="51"/>
      <c r="F91" s="51"/>
      <c r="G91" s="610" t="s">
        <v>62</v>
      </c>
      <c r="H91" s="611">
        <v>0</v>
      </c>
      <c r="I91" s="611">
        <v>0</v>
      </c>
      <c r="J91" s="611">
        <v>-12.51331824884031</v>
      </c>
      <c r="K91" s="611">
        <v>0</v>
      </c>
      <c r="L91" s="611">
        <v>0</v>
      </c>
      <c r="M91" s="611">
        <v>0</v>
      </c>
      <c r="N91" s="611">
        <v>0</v>
      </c>
      <c r="O91" s="611">
        <v>0</v>
      </c>
      <c r="P91" s="611">
        <v>0</v>
      </c>
      <c r="Q91" s="611">
        <v>0</v>
      </c>
      <c r="R91" s="611">
        <v>0</v>
      </c>
      <c r="S91" s="611">
        <v>0</v>
      </c>
      <c r="T91" s="611">
        <v>0</v>
      </c>
      <c r="U91" s="611">
        <v>0</v>
      </c>
      <c r="V91" s="620">
        <v>0</v>
      </c>
      <c r="W91" s="620">
        <v>0</v>
      </c>
      <c r="X91" s="611">
        <v>0</v>
      </c>
      <c r="Y91" s="621">
        <v>-12.51331824884031</v>
      </c>
      <c r="Z91" s="51"/>
    </row>
    <row r="92" spans="1:26" x14ac:dyDescent="0.25">
      <c r="A92" s="51"/>
      <c r="B92" s="51">
        <v>2021</v>
      </c>
      <c r="C92" s="51" t="s">
        <v>47</v>
      </c>
      <c r="D92" s="51" t="s">
        <v>491</v>
      </c>
      <c r="E92" s="51"/>
      <c r="F92" s="51"/>
      <c r="G92" s="610" t="s">
        <v>63</v>
      </c>
      <c r="H92" s="611">
        <v>0</v>
      </c>
      <c r="I92" s="611">
        <v>0</v>
      </c>
      <c r="J92" s="611">
        <v>-35.133928307071002</v>
      </c>
      <c r="K92" s="611">
        <v>0</v>
      </c>
      <c r="L92" s="611">
        <v>0</v>
      </c>
      <c r="M92" s="611">
        <v>0</v>
      </c>
      <c r="N92" s="611">
        <v>0</v>
      </c>
      <c r="O92" s="611">
        <v>0</v>
      </c>
      <c r="P92" s="611">
        <v>0</v>
      </c>
      <c r="Q92" s="611">
        <v>0</v>
      </c>
      <c r="R92" s="611">
        <v>0</v>
      </c>
      <c r="S92" s="611">
        <v>0</v>
      </c>
      <c r="T92" s="611">
        <v>0</v>
      </c>
      <c r="U92" s="611">
        <v>0</v>
      </c>
      <c r="V92" s="620">
        <v>0</v>
      </c>
      <c r="W92" s="620">
        <v>0</v>
      </c>
      <c r="X92" s="611">
        <v>0</v>
      </c>
      <c r="Y92" s="621">
        <v>-35.133928307071002</v>
      </c>
      <c r="Z92" s="51"/>
    </row>
    <row r="93" spans="1:26" x14ac:dyDescent="0.25">
      <c r="A93" s="51"/>
      <c r="B93" s="51">
        <v>2021</v>
      </c>
      <c r="C93" s="51" t="s">
        <v>47</v>
      </c>
      <c r="D93" s="51" t="s">
        <v>492</v>
      </c>
      <c r="E93" s="51"/>
      <c r="F93" s="51"/>
      <c r="G93" s="610" t="s">
        <v>64</v>
      </c>
      <c r="H93" s="620">
        <v>8.5302373724858267</v>
      </c>
      <c r="I93" s="620">
        <v>2.6944907082510001</v>
      </c>
      <c r="J93" s="620">
        <v>9.1898750321329992</v>
      </c>
      <c r="K93" s="611">
        <v>0</v>
      </c>
      <c r="L93" s="620">
        <v>16.425516000000002</v>
      </c>
      <c r="M93" s="611">
        <v>0</v>
      </c>
      <c r="N93" s="620">
        <v>0</v>
      </c>
      <c r="O93" s="620">
        <v>0</v>
      </c>
      <c r="P93" s="620">
        <v>0</v>
      </c>
      <c r="Q93" s="620">
        <v>0</v>
      </c>
      <c r="R93" s="620">
        <v>0</v>
      </c>
      <c r="S93" s="620">
        <v>0</v>
      </c>
      <c r="T93" s="620">
        <v>0</v>
      </c>
      <c r="U93" s="620">
        <v>0</v>
      </c>
      <c r="V93" s="620">
        <v>0</v>
      </c>
      <c r="W93" s="620">
        <v>0</v>
      </c>
      <c r="X93" s="620">
        <v>0</v>
      </c>
      <c r="Y93" s="621">
        <v>36.840119112869829</v>
      </c>
      <c r="Z93" s="51"/>
    </row>
    <row r="94" spans="1:26" x14ac:dyDescent="0.25">
      <c r="A94" s="51"/>
      <c r="B94" s="51">
        <v>2021</v>
      </c>
      <c r="C94" s="51" t="s">
        <v>47</v>
      </c>
      <c r="D94" s="51" t="s">
        <v>493</v>
      </c>
      <c r="E94" s="51"/>
      <c r="F94" s="51"/>
      <c r="G94" s="614" t="s">
        <v>65</v>
      </c>
      <c r="H94" s="622">
        <v>81.000066512689997</v>
      </c>
      <c r="I94" s="622">
        <v>418.8959388389215</v>
      </c>
      <c r="J94" s="622">
        <v>347.69820034741383</v>
      </c>
      <c r="K94" s="615">
        <v>0</v>
      </c>
      <c r="L94" s="622">
        <v>430.41393674999995</v>
      </c>
      <c r="M94" s="615">
        <v>0</v>
      </c>
      <c r="N94" s="622">
        <v>1149.579672727273</v>
      </c>
      <c r="O94" s="622">
        <v>112.63656667417351</v>
      </c>
      <c r="P94" s="622">
        <v>127.34740775004971</v>
      </c>
      <c r="Q94" s="622">
        <v>34.670770266955778</v>
      </c>
      <c r="R94" s="622">
        <v>36.930247543243198</v>
      </c>
      <c r="S94" s="622">
        <v>16.361063055555558</v>
      </c>
      <c r="T94" s="622">
        <v>42.979674444444449</v>
      </c>
      <c r="U94" s="622">
        <v>7.8931738712622224</v>
      </c>
      <c r="V94" s="622">
        <v>-44.892250000000004</v>
      </c>
      <c r="W94" s="622">
        <v>0</v>
      </c>
      <c r="X94" s="622">
        <v>0</v>
      </c>
      <c r="Y94" s="622">
        <v>2761.5144687819825</v>
      </c>
      <c r="Z94" s="51"/>
    </row>
    <row r="95" spans="1:26" x14ac:dyDescent="0.25">
      <c r="A95" s="51"/>
      <c r="B95" s="51"/>
      <c r="C95" s="51"/>
      <c r="D95" s="51"/>
      <c r="E95" s="51"/>
      <c r="F95" s="51"/>
      <c r="G95" s="616"/>
      <c r="H95" s="623"/>
      <c r="I95" s="623"/>
      <c r="J95" s="623"/>
      <c r="K95" s="617"/>
      <c r="L95" s="623"/>
      <c r="M95" s="617"/>
      <c r="N95" s="623"/>
      <c r="O95" s="623"/>
      <c r="P95" s="623"/>
      <c r="Q95" s="623"/>
      <c r="R95" s="623"/>
      <c r="S95" s="623"/>
      <c r="T95" s="623"/>
      <c r="U95" s="623"/>
      <c r="V95" s="623"/>
      <c r="W95" s="623"/>
      <c r="X95" s="623"/>
      <c r="Y95" s="623"/>
      <c r="Z95" s="51"/>
    </row>
    <row r="96" spans="1:26" x14ac:dyDescent="0.25">
      <c r="A96" s="51"/>
      <c r="B96" s="51">
        <v>2021</v>
      </c>
      <c r="C96" s="51" t="s">
        <v>47</v>
      </c>
      <c r="D96" s="51" t="s">
        <v>494</v>
      </c>
      <c r="E96" s="51"/>
      <c r="F96" s="51"/>
      <c r="G96" s="618" t="s">
        <v>67</v>
      </c>
      <c r="H96" s="611">
        <v>-3.2172036633544465</v>
      </c>
      <c r="I96" s="611">
        <v>8.6918816645701593</v>
      </c>
      <c r="J96" s="611">
        <v>-9.9818947214287643</v>
      </c>
      <c r="K96" s="611">
        <v>0</v>
      </c>
      <c r="L96" s="611">
        <v>-1.9</v>
      </c>
      <c r="M96" s="611">
        <v>0</v>
      </c>
      <c r="N96" s="611">
        <v>0</v>
      </c>
      <c r="O96" s="611">
        <v>0</v>
      </c>
      <c r="P96" s="611">
        <v>0</v>
      </c>
      <c r="Q96" s="611">
        <v>0</v>
      </c>
      <c r="R96" s="611">
        <v>0</v>
      </c>
      <c r="S96" s="611">
        <v>0</v>
      </c>
      <c r="T96" s="611">
        <v>0</v>
      </c>
      <c r="U96" s="611">
        <v>0</v>
      </c>
      <c r="V96" s="611">
        <v>0.88498001334329668</v>
      </c>
      <c r="W96" s="611">
        <v>0</v>
      </c>
      <c r="X96" s="620">
        <v>0</v>
      </c>
      <c r="Y96" s="621">
        <v>-5.5222367068697551</v>
      </c>
      <c r="Z96" s="51"/>
    </row>
    <row r="97" spans="1:26" x14ac:dyDescent="0.25">
      <c r="A97" s="51"/>
      <c r="B97" s="51">
        <v>2021</v>
      </c>
      <c r="C97" s="51" t="s">
        <v>47</v>
      </c>
      <c r="D97" s="51" t="s">
        <v>495</v>
      </c>
      <c r="E97" s="51"/>
      <c r="F97" s="51"/>
      <c r="G97" s="618" t="s">
        <v>347</v>
      </c>
      <c r="H97" s="611">
        <v>22.704674555627779</v>
      </c>
      <c r="I97" s="611">
        <v>0</v>
      </c>
      <c r="J97" s="611">
        <v>14.162400323007727</v>
      </c>
      <c r="K97" s="611">
        <v>0</v>
      </c>
      <c r="L97" s="611">
        <v>50.9</v>
      </c>
      <c r="M97" s="611">
        <v>0</v>
      </c>
      <c r="N97" s="611">
        <v>1149.579672727273</v>
      </c>
      <c r="O97" s="611">
        <v>112.63656667417351</v>
      </c>
      <c r="P97" s="611">
        <v>16.450581812821277</v>
      </c>
      <c r="Q97" s="611">
        <v>11.637452619387753</v>
      </c>
      <c r="R97" s="611">
        <v>0</v>
      </c>
      <c r="S97" s="611">
        <v>6.4652317833333326</v>
      </c>
      <c r="T97" s="611">
        <v>0</v>
      </c>
      <c r="U97" s="611">
        <v>1.1831153542668358</v>
      </c>
      <c r="V97" s="611">
        <v>-551.22381363018587</v>
      </c>
      <c r="W97" s="611">
        <v>0</v>
      </c>
      <c r="X97" s="620">
        <v>0</v>
      </c>
      <c r="Y97" s="621">
        <v>834.49588221970532</v>
      </c>
      <c r="Z97" s="51"/>
    </row>
    <row r="98" spans="1:26" x14ac:dyDescent="0.25">
      <c r="A98" s="51"/>
      <c r="B98" s="51">
        <v>2021</v>
      </c>
      <c r="C98" s="51" t="s">
        <v>47</v>
      </c>
      <c r="D98" s="51" t="s">
        <v>496</v>
      </c>
      <c r="E98" s="51"/>
      <c r="F98" s="51"/>
      <c r="G98" s="618" t="s">
        <v>348</v>
      </c>
      <c r="H98" s="611">
        <v>1.7</v>
      </c>
      <c r="I98" s="611">
        <v>0</v>
      </c>
      <c r="J98" s="611">
        <v>2.8</v>
      </c>
      <c r="K98" s="611">
        <v>0</v>
      </c>
      <c r="L98" s="611">
        <v>22.3</v>
      </c>
      <c r="M98" s="611">
        <v>0</v>
      </c>
      <c r="N98" s="611">
        <v>0</v>
      </c>
      <c r="O98" s="611">
        <v>0</v>
      </c>
      <c r="P98" s="611">
        <v>11.128112602116227</v>
      </c>
      <c r="Q98" s="611">
        <v>16.032427320770637</v>
      </c>
      <c r="R98" s="611">
        <v>0</v>
      </c>
      <c r="S98" s="611">
        <v>3.0469379388888891</v>
      </c>
      <c r="T98" s="611">
        <v>0.33911500000000006</v>
      </c>
      <c r="U98" s="611">
        <v>4.0327325495864983</v>
      </c>
      <c r="V98" s="611">
        <v>0</v>
      </c>
      <c r="W98" s="611">
        <v>-53.146607042756457</v>
      </c>
      <c r="X98" s="620">
        <v>0</v>
      </c>
      <c r="Y98" s="621">
        <v>8.232718368605795</v>
      </c>
      <c r="Z98" s="51"/>
    </row>
    <row r="99" spans="1:26" x14ac:dyDescent="0.25">
      <c r="A99" s="51"/>
      <c r="B99" s="51">
        <v>2021</v>
      </c>
      <c r="C99" s="51" t="s">
        <v>47</v>
      </c>
      <c r="D99" s="51" t="s">
        <v>497</v>
      </c>
      <c r="E99" s="51"/>
      <c r="F99" s="51"/>
      <c r="G99" s="618" t="s">
        <v>349</v>
      </c>
      <c r="H99" s="611">
        <v>0</v>
      </c>
      <c r="I99" s="611">
        <v>0</v>
      </c>
      <c r="J99" s="611">
        <v>0</v>
      </c>
      <c r="K99" s="611">
        <v>0</v>
      </c>
      <c r="L99" s="611">
        <v>0</v>
      </c>
      <c r="M99" s="611">
        <v>0</v>
      </c>
      <c r="N99" s="611">
        <v>0</v>
      </c>
      <c r="O99" s="611">
        <v>0</v>
      </c>
      <c r="P99" s="611">
        <v>3.9044474999999998</v>
      </c>
      <c r="Q99" s="611">
        <v>0</v>
      </c>
      <c r="R99" s="611">
        <v>0</v>
      </c>
      <c r="S99" s="611">
        <v>-3.9044474999999998</v>
      </c>
      <c r="T99" s="611">
        <v>0</v>
      </c>
      <c r="U99" s="611">
        <v>0</v>
      </c>
      <c r="V99" s="611">
        <v>0</v>
      </c>
      <c r="W99" s="611">
        <v>0</v>
      </c>
      <c r="X99" s="620">
        <v>0</v>
      </c>
      <c r="Y99" s="621">
        <v>0</v>
      </c>
      <c r="Z99" s="51"/>
    </row>
    <row r="100" spans="1:26" x14ac:dyDescent="0.25">
      <c r="A100" s="51"/>
      <c r="B100" s="51">
        <v>2021</v>
      </c>
      <c r="C100" s="51" t="s">
        <v>47</v>
      </c>
      <c r="D100" s="51" t="s">
        <v>498</v>
      </c>
      <c r="E100" s="51"/>
      <c r="F100" s="51"/>
      <c r="G100" s="618" t="s">
        <v>350</v>
      </c>
      <c r="H100" s="611">
        <v>0</v>
      </c>
      <c r="I100" s="611">
        <v>0</v>
      </c>
      <c r="J100" s="611">
        <v>0</v>
      </c>
      <c r="K100" s="611">
        <v>0</v>
      </c>
      <c r="L100" s="611">
        <v>0</v>
      </c>
      <c r="M100" s="611">
        <v>0</v>
      </c>
      <c r="N100" s="611">
        <v>0</v>
      </c>
      <c r="O100" s="611">
        <v>0</v>
      </c>
      <c r="P100" s="611">
        <v>0</v>
      </c>
      <c r="Q100" s="611">
        <v>0</v>
      </c>
      <c r="R100" s="611">
        <v>0</v>
      </c>
      <c r="S100" s="611">
        <v>0</v>
      </c>
      <c r="T100" s="611">
        <v>0</v>
      </c>
      <c r="U100" s="611">
        <v>0</v>
      </c>
      <c r="V100" s="611">
        <v>0</v>
      </c>
      <c r="W100" s="611">
        <v>0</v>
      </c>
      <c r="X100" s="620">
        <v>0</v>
      </c>
      <c r="Y100" s="621">
        <v>0</v>
      </c>
      <c r="Z100" s="51"/>
    </row>
    <row r="101" spans="1:26" x14ac:dyDescent="0.25">
      <c r="A101" s="51"/>
      <c r="B101" s="51">
        <v>2021</v>
      </c>
      <c r="C101" s="51" t="s">
        <v>47</v>
      </c>
      <c r="D101" s="51" t="s">
        <v>499</v>
      </c>
      <c r="E101" s="51"/>
      <c r="F101" s="51"/>
      <c r="G101" s="618" t="s">
        <v>72</v>
      </c>
      <c r="H101" s="611">
        <v>0</v>
      </c>
      <c r="I101" s="611">
        <v>437.56801221871012</v>
      </c>
      <c r="J101" s="611">
        <v>-432.65891268749499</v>
      </c>
      <c r="K101" s="611">
        <v>0</v>
      </c>
      <c r="L101" s="611">
        <v>0</v>
      </c>
      <c r="M101" s="611">
        <v>0</v>
      </c>
      <c r="N101" s="611">
        <v>0</v>
      </c>
      <c r="O101" s="611">
        <v>0</v>
      </c>
      <c r="P101" s="611">
        <v>0</v>
      </c>
      <c r="Q101" s="611">
        <v>0</v>
      </c>
      <c r="R101" s="611">
        <v>0</v>
      </c>
      <c r="S101" s="611">
        <v>0</v>
      </c>
      <c r="T101" s="611">
        <v>0</v>
      </c>
      <c r="U101" s="611">
        <v>0</v>
      </c>
      <c r="V101" s="611">
        <v>0</v>
      </c>
      <c r="W101" s="611">
        <v>0</v>
      </c>
      <c r="X101" s="620">
        <v>0</v>
      </c>
      <c r="Y101" s="621">
        <v>4.9090995312151335</v>
      </c>
      <c r="Z101" s="51"/>
    </row>
    <row r="102" spans="1:26" x14ac:dyDescent="0.25">
      <c r="A102" s="51"/>
      <c r="B102" s="51">
        <v>2021</v>
      </c>
      <c r="C102" s="51" t="s">
        <v>47</v>
      </c>
      <c r="D102" s="51" t="s">
        <v>500</v>
      </c>
      <c r="E102" s="51"/>
      <c r="F102" s="51"/>
      <c r="G102" s="618" t="s">
        <v>351</v>
      </c>
      <c r="H102" s="611">
        <v>0</v>
      </c>
      <c r="I102" s="611">
        <v>0</v>
      </c>
      <c r="J102" s="611">
        <v>0</v>
      </c>
      <c r="K102" s="611">
        <v>0</v>
      </c>
      <c r="L102" s="611">
        <v>0</v>
      </c>
      <c r="M102" s="611">
        <v>0</v>
      </c>
      <c r="N102" s="611">
        <v>0</v>
      </c>
      <c r="O102" s="611">
        <v>0</v>
      </c>
      <c r="P102" s="611">
        <v>0</v>
      </c>
      <c r="Q102" s="611">
        <v>0</v>
      </c>
      <c r="R102" s="611">
        <v>0</v>
      </c>
      <c r="S102" s="611">
        <v>0</v>
      </c>
      <c r="T102" s="611">
        <v>0</v>
      </c>
      <c r="U102" s="611">
        <v>0</v>
      </c>
      <c r="V102" s="611">
        <v>0</v>
      </c>
      <c r="W102" s="611">
        <v>0</v>
      </c>
      <c r="X102" s="620">
        <v>0</v>
      </c>
      <c r="Y102" s="621">
        <v>0</v>
      </c>
      <c r="Z102" s="51"/>
    </row>
    <row r="103" spans="1:26" x14ac:dyDescent="0.25">
      <c r="A103" s="51"/>
      <c r="B103" s="51">
        <v>2021</v>
      </c>
      <c r="C103" s="51" t="s">
        <v>47</v>
      </c>
      <c r="D103" s="51" t="s">
        <v>501</v>
      </c>
      <c r="E103" s="51"/>
      <c r="F103" s="51"/>
      <c r="G103" s="618" t="s">
        <v>352</v>
      </c>
      <c r="H103" s="611">
        <v>0</v>
      </c>
      <c r="I103" s="611">
        <v>0</v>
      </c>
      <c r="J103" s="611">
        <v>0</v>
      </c>
      <c r="K103" s="611">
        <v>0</v>
      </c>
      <c r="L103" s="611">
        <v>0</v>
      </c>
      <c r="M103" s="611">
        <v>0</v>
      </c>
      <c r="N103" s="611">
        <v>0</v>
      </c>
      <c r="O103" s="611">
        <v>0</v>
      </c>
      <c r="P103" s="611">
        <v>0</v>
      </c>
      <c r="Q103" s="611">
        <v>0</v>
      </c>
      <c r="R103" s="611">
        <v>0</v>
      </c>
      <c r="S103" s="611">
        <v>0</v>
      </c>
      <c r="T103" s="611">
        <v>0</v>
      </c>
      <c r="U103" s="611">
        <v>0</v>
      </c>
      <c r="V103" s="611">
        <v>0</v>
      </c>
      <c r="W103" s="611">
        <v>0</v>
      </c>
      <c r="X103" s="620">
        <v>0</v>
      </c>
      <c r="Y103" s="621">
        <v>0</v>
      </c>
      <c r="Z103" s="51"/>
    </row>
    <row r="104" spans="1:26" x14ac:dyDescent="0.25">
      <c r="A104" s="51"/>
      <c r="B104" s="51">
        <v>2021</v>
      </c>
      <c r="C104" s="51" t="s">
        <v>47</v>
      </c>
      <c r="D104" s="51" t="s">
        <v>502</v>
      </c>
      <c r="E104" s="51"/>
      <c r="F104" s="51"/>
      <c r="G104" s="618" t="s">
        <v>73</v>
      </c>
      <c r="H104" s="611">
        <v>0</v>
      </c>
      <c r="I104" s="611">
        <v>0</v>
      </c>
      <c r="J104" s="611">
        <v>0</v>
      </c>
      <c r="K104" s="611">
        <v>0</v>
      </c>
      <c r="L104" s="611">
        <v>0</v>
      </c>
      <c r="M104" s="611">
        <v>0</v>
      </c>
      <c r="N104" s="611">
        <v>0</v>
      </c>
      <c r="O104" s="611">
        <v>0</v>
      </c>
      <c r="P104" s="611">
        <v>0</v>
      </c>
      <c r="Q104" s="611">
        <v>0</v>
      </c>
      <c r="R104" s="611">
        <v>0</v>
      </c>
      <c r="S104" s="611">
        <v>0</v>
      </c>
      <c r="T104" s="611">
        <v>0</v>
      </c>
      <c r="U104" s="611">
        <v>0</v>
      </c>
      <c r="V104" s="611">
        <v>0</v>
      </c>
      <c r="W104" s="611">
        <v>0</v>
      </c>
      <c r="X104" s="620">
        <v>0</v>
      </c>
      <c r="Y104" s="621">
        <v>0</v>
      </c>
      <c r="Z104" s="51"/>
    </row>
    <row r="105" spans="1:26" x14ac:dyDescent="0.25">
      <c r="A105" s="51"/>
      <c r="B105" s="51">
        <v>2021</v>
      </c>
      <c r="C105" s="51" t="s">
        <v>47</v>
      </c>
      <c r="D105" s="51" t="s">
        <v>503</v>
      </c>
      <c r="E105" s="51"/>
      <c r="F105" s="51"/>
      <c r="G105" s="618" t="s">
        <v>353</v>
      </c>
      <c r="H105" s="611">
        <v>32.414169646176781</v>
      </c>
      <c r="I105" s="611">
        <v>-27.441633567884001</v>
      </c>
      <c r="J105" s="611">
        <v>26.423718579649009</v>
      </c>
      <c r="K105" s="611">
        <v>0</v>
      </c>
      <c r="L105" s="611">
        <v>0</v>
      </c>
      <c r="M105" s="611">
        <v>0</v>
      </c>
      <c r="N105" s="611">
        <v>0</v>
      </c>
      <c r="O105" s="611">
        <v>0</v>
      </c>
      <c r="P105" s="611">
        <v>0</v>
      </c>
      <c r="Q105" s="611">
        <v>0</v>
      </c>
      <c r="R105" s="611">
        <v>0</v>
      </c>
      <c r="S105" s="611">
        <v>0</v>
      </c>
      <c r="T105" s="611">
        <v>0</v>
      </c>
      <c r="U105" s="611">
        <v>0</v>
      </c>
      <c r="V105" s="611">
        <v>0</v>
      </c>
      <c r="W105" s="611">
        <v>0</v>
      </c>
      <c r="X105" s="620">
        <v>0</v>
      </c>
      <c r="Y105" s="621">
        <v>31.396254657941789</v>
      </c>
      <c r="Z105" s="51"/>
    </row>
    <row r="106" spans="1:26" x14ac:dyDescent="0.25">
      <c r="A106" s="51"/>
      <c r="B106" s="51">
        <v>2021</v>
      </c>
      <c r="C106" s="51" t="s">
        <v>47</v>
      </c>
      <c r="D106" s="51" t="s">
        <v>504</v>
      </c>
      <c r="E106" s="51"/>
      <c r="F106" s="51"/>
      <c r="G106" s="618" t="s">
        <v>75</v>
      </c>
      <c r="H106" s="611">
        <v>12.946757886319885</v>
      </c>
      <c r="I106" s="611">
        <v>0</v>
      </c>
      <c r="J106" s="611">
        <v>10.589802527221</v>
      </c>
      <c r="K106" s="611">
        <v>0</v>
      </c>
      <c r="L106" s="611">
        <v>5.5572169999999996</v>
      </c>
      <c r="M106" s="611">
        <v>0</v>
      </c>
      <c r="N106" s="611">
        <v>0</v>
      </c>
      <c r="O106" s="611">
        <v>0</v>
      </c>
      <c r="P106" s="611">
        <v>0</v>
      </c>
      <c r="Q106" s="611">
        <v>0</v>
      </c>
      <c r="R106" s="611">
        <v>0</v>
      </c>
      <c r="S106" s="611">
        <v>0</v>
      </c>
      <c r="T106" s="611">
        <v>0</v>
      </c>
      <c r="U106" s="611">
        <v>0</v>
      </c>
      <c r="V106" s="611">
        <v>33.303206492431578</v>
      </c>
      <c r="W106" s="611">
        <v>0</v>
      </c>
      <c r="X106" s="620">
        <v>0</v>
      </c>
      <c r="Y106" s="621">
        <v>62.396983905972462</v>
      </c>
      <c r="Z106" s="51"/>
    </row>
    <row r="107" spans="1:26" x14ac:dyDescent="0.25">
      <c r="A107" s="51"/>
      <c r="B107" s="51">
        <v>2021</v>
      </c>
      <c r="C107" s="51" t="s">
        <v>47</v>
      </c>
      <c r="D107" s="51" t="s">
        <v>505</v>
      </c>
      <c r="E107" s="51"/>
      <c r="F107" s="51"/>
      <c r="G107" s="618" t="s">
        <v>76</v>
      </c>
      <c r="H107" s="611">
        <v>0</v>
      </c>
      <c r="I107" s="611">
        <v>0</v>
      </c>
      <c r="J107" s="611">
        <v>0</v>
      </c>
      <c r="K107" s="611">
        <v>0</v>
      </c>
      <c r="L107" s="611">
        <v>3.5778432499999999</v>
      </c>
      <c r="M107" s="611">
        <v>0</v>
      </c>
      <c r="N107" s="611">
        <v>0</v>
      </c>
      <c r="O107" s="611">
        <v>0</v>
      </c>
      <c r="P107" s="611">
        <v>0</v>
      </c>
      <c r="Q107" s="611">
        <v>0</v>
      </c>
      <c r="R107" s="611">
        <v>0</v>
      </c>
      <c r="S107" s="611">
        <v>0</v>
      </c>
      <c r="T107" s="611">
        <v>0</v>
      </c>
      <c r="U107" s="611">
        <v>0</v>
      </c>
      <c r="V107" s="611">
        <v>39.12444228345425</v>
      </c>
      <c r="W107" s="611">
        <v>4.9402489163743386</v>
      </c>
      <c r="X107" s="620">
        <v>0</v>
      </c>
      <c r="Y107" s="621">
        <v>47.642534449828588</v>
      </c>
      <c r="Z107" s="51"/>
    </row>
    <row r="108" spans="1:26" x14ac:dyDescent="0.25">
      <c r="A108" s="51"/>
      <c r="B108" s="51">
        <v>2021</v>
      </c>
      <c r="C108" s="51" t="s">
        <v>47</v>
      </c>
      <c r="D108" s="51" t="s">
        <v>506</v>
      </c>
      <c r="E108" s="51"/>
      <c r="F108" s="51"/>
      <c r="G108" s="614" t="s">
        <v>77</v>
      </c>
      <c r="H108" s="622">
        <v>66.548398424769999</v>
      </c>
      <c r="I108" s="622">
        <v>418.81826031539623</v>
      </c>
      <c r="J108" s="622">
        <v>-388.66488597904601</v>
      </c>
      <c r="K108" s="615">
        <v>0</v>
      </c>
      <c r="L108" s="622">
        <v>80.435060249999992</v>
      </c>
      <c r="M108" s="615">
        <v>0</v>
      </c>
      <c r="N108" s="622">
        <v>1149.579672727273</v>
      </c>
      <c r="O108" s="622">
        <v>112.63656667417351</v>
      </c>
      <c r="P108" s="622">
        <v>31.483141914937502</v>
      </c>
      <c r="Q108" s="622">
        <v>27.669879940158388</v>
      </c>
      <c r="R108" s="622">
        <v>0</v>
      </c>
      <c r="S108" s="622">
        <v>5.6077222222222218</v>
      </c>
      <c r="T108" s="622">
        <v>0.33911500000000006</v>
      </c>
      <c r="U108" s="622">
        <v>5.2158479038533336</v>
      </c>
      <c r="V108" s="622">
        <v>-477.91118484095665</v>
      </c>
      <c r="W108" s="622">
        <v>-48.206358126382121</v>
      </c>
      <c r="X108" s="622">
        <v>0</v>
      </c>
      <c r="Y108" s="622">
        <v>983.55123642639933</v>
      </c>
      <c r="Z108" s="51"/>
    </row>
    <row r="109" spans="1:26" x14ac:dyDescent="0.25">
      <c r="A109" s="51"/>
      <c r="B109" s="51"/>
      <c r="C109" s="51"/>
      <c r="D109" s="51"/>
      <c r="E109" s="51"/>
      <c r="F109" s="51"/>
      <c r="G109" s="616"/>
      <c r="H109" s="623"/>
      <c r="I109" s="623"/>
      <c r="J109" s="623"/>
      <c r="K109" s="617"/>
      <c r="L109" s="623"/>
      <c r="M109" s="617"/>
      <c r="N109" s="623"/>
      <c r="O109" s="623"/>
      <c r="P109" s="623"/>
      <c r="Q109" s="623"/>
      <c r="R109" s="623"/>
      <c r="S109" s="623"/>
      <c r="T109" s="623"/>
      <c r="U109" s="623"/>
      <c r="V109" s="623"/>
      <c r="W109" s="623"/>
      <c r="X109" s="623"/>
      <c r="Y109" s="623"/>
      <c r="Z109" s="51"/>
    </row>
    <row r="110" spans="1:26" x14ac:dyDescent="0.25">
      <c r="A110" s="51"/>
      <c r="B110" s="51">
        <v>2021</v>
      </c>
      <c r="C110" s="51" t="s">
        <v>47</v>
      </c>
      <c r="D110" s="51" t="s">
        <v>507</v>
      </c>
      <c r="E110" s="51"/>
      <c r="F110" s="51"/>
      <c r="G110" s="618" t="s">
        <v>78</v>
      </c>
      <c r="H110" s="611">
        <v>10.499518224319999</v>
      </c>
      <c r="I110" s="611">
        <v>0</v>
      </c>
      <c r="J110" s="611">
        <v>29.416179425607226</v>
      </c>
      <c r="K110" s="611">
        <v>0</v>
      </c>
      <c r="L110" s="611">
        <v>122.68129450000001</v>
      </c>
      <c r="M110" s="611">
        <v>0</v>
      </c>
      <c r="N110" s="611">
        <v>0.11527944444444442</v>
      </c>
      <c r="O110" s="611">
        <v>9.9944444444444451E-4</v>
      </c>
      <c r="P110" s="611">
        <v>14.8919625</v>
      </c>
      <c r="Q110" s="611">
        <v>4.526316111111111</v>
      </c>
      <c r="R110" s="611">
        <v>0.90818192591922298</v>
      </c>
      <c r="S110" s="611">
        <v>0.71005555555555555</v>
      </c>
      <c r="T110" s="611">
        <v>0.6761605043627007</v>
      </c>
      <c r="U110" s="611">
        <v>0.5597977337497303</v>
      </c>
      <c r="V110" s="611">
        <v>112.06458153731487</v>
      </c>
      <c r="W110" s="611">
        <v>21.722816677050599</v>
      </c>
      <c r="X110" s="611">
        <v>0</v>
      </c>
      <c r="Y110" s="619">
        <v>318.77314358387991</v>
      </c>
      <c r="Z110" s="51"/>
    </row>
    <row r="111" spans="1:26" x14ac:dyDescent="0.25">
      <c r="A111" s="51"/>
      <c r="B111" s="51">
        <v>2021</v>
      </c>
      <c r="C111" s="51" t="s">
        <v>47</v>
      </c>
      <c r="D111" s="51" t="s">
        <v>508</v>
      </c>
      <c r="E111" s="51"/>
      <c r="F111" s="51"/>
      <c r="G111" s="618" t="s">
        <v>79</v>
      </c>
      <c r="H111" s="611">
        <v>0</v>
      </c>
      <c r="I111" s="611">
        <v>0</v>
      </c>
      <c r="J111" s="611">
        <v>449.57865069034028</v>
      </c>
      <c r="K111" s="611">
        <v>0</v>
      </c>
      <c r="L111" s="611">
        <v>3.1643742499999998</v>
      </c>
      <c r="M111" s="611">
        <v>0</v>
      </c>
      <c r="N111" s="611">
        <v>0</v>
      </c>
      <c r="O111" s="611">
        <v>0</v>
      </c>
      <c r="P111" s="611">
        <v>0</v>
      </c>
      <c r="Q111" s="611">
        <v>0</v>
      </c>
      <c r="R111" s="611">
        <v>33.682313987219715</v>
      </c>
      <c r="S111" s="611">
        <v>0</v>
      </c>
      <c r="T111" s="611">
        <v>0</v>
      </c>
      <c r="U111" s="611">
        <v>0</v>
      </c>
      <c r="V111" s="611">
        <v>9.5062570700000002</v>
      </c>
      <c r="W111" s="611">
        <v>13.686328432238284</v>
      </c>
      <c r="X111" s="611">
        <v>0</v>
      </c>
      <c r="Y111" s="619">
        <v>509.61792442979828</v>
      </c>
      <c r="Z111" s="51"/>
    </row>
    <row r="112" spans="1:26" x14ac:dyDescent="0.25">
      <c r="A112" s="51"/>
      <c r="B112" s="51">
        <v>2021</v>
      </c>
      <c r="C112" s="51" t="s">
        <v>47</v>
      </c>
      <c r="D112" s="51" t="s">
        <v>509</v>
      </c>
      <c r="E112" s="51"/>
      <c r="F112" s="51"/>
      <c r="G112" s="618" t="s">
        <v>80</v>
      </c>
      <c r="H112" s="611">
        <v>0.30392462681999999</v>
      </c>
      <c r="I112" s="611">
        <v>0</v>
      </c>
      <c r="J112" s="611">
        <v>48.420737334519657</v>
      </c>
      <c r="K112" s="611">
        <v>0</v>
      </c>
      <c r="L112" s="611">
        <v>137.47295825</v>
      </c>
      <c r="M112" s="611">
        <v>0</v>
      </c>
      <c r="N112" s="611">
        <v>0</v>
      </c>
      <c r="O112" s="611">
        <v>0</v>
      </c>
      <c r="P112" s="611">
        <v>79.436266183333316</v>
      </c>
      <c r="Q112" s="611">
        <v>0</v>
      </c>
      <c r="R112" s="611">
        <v>0</v>
      </c>
      <c r="S112" s="611">
        <v>0.94782657812000004</v>
      </c>
      <c r="T112" s="611">
        <v>40.205040374544446</v>
      </c>
      <c r="U112" s="611">
        <v>1.0534058333333334</v>
      </c>
      <c r="V112" s="611">
        <v>166.67193592958401</v>
      </c>
      <c r="W112" s="611">
        <v>21.371493197230087</v>
      </c>
      <c r="X112" s="611">
        <v>0</v>
      </c>
      <c r="Y112" s="619">
        <v>495.8835883074849</v>
      </c>
      <c r="Z112" s="51"/>
    </row>
    <row r="113" spans="1:26" x14ac:dyDescent="0.25">
      <c r="A113" s="51"/>
      <c r="B113" s="51">
        <v>2021</v>
      </c>
      <c r="C113" s="51" t="s">
        <v>47</v>
      </c>
      <c r="D113" s="51" t="s">
        <v>510</v>
      </c>
      <c r="E113" s="51"/>
      <c r="F113" s="51"/>
      <c r="G113" s="618" t="s">
        <v>81</v>
      </c>
      <c r="H113" s="611">
        <v>0.42171975636000003</v>
      </c>
      <c r="I113" s="611">
        <v>0</v>
      </c>
      <c r="J113" s="611">
        <v>31.848490363564004</v>
      </c>
      <c r="K113" s="611">
        <v>0</v>
      </c>
      <c r="L113" s="611">
        <v>75.02500775</v>
      </c>
      <c r="M113" s="611">
        <v>0</v>
      </c>
      <c r="N113" s="611">
        <v>0</v>
      </c>
      <c r="O113" s="611">
        <v>2.8985882352941202E-2</v>
      </c>
      <c r="P113" s="611">
        <v>3.518470555555556</v>
      </c>
      <c r="Q113" s="611">
        <v>2.6665283959814321</v>
      </c>
      <c r="R113" s="611">
        <v>0</v>
      </c>
      <c r="S113" s="611">
        <v>1.5748152226222223</v>
      </c>
      <c r="T113" s="611">
        <v>8.4477118231501116</v>
      </c>
      <c r="U113" s="611">
        <v>0.35760472222222223</v>
      </c>
      <c r="V113" s="611">
        <v>130.40203503548588</v>
      </c>
      <c r="W113" s="611">
        <v>14.149990545458611</v>
      </c>
      <c r="X113" s="611">
        <v>0</v>
      </c>
      <c r="Y113" s="619">
        <v>268.44136005275294</v>
      </c>
      <c r="Z113" s="51"/>
    </row>
    <row r="114" spans="1:26" x14ac:dyDescent="0.25">
      <c r="A114" s="51"/>
      <c r="B114" s="51">
        <v>2021</v>
      </c>
      <c r="C114" s="51" t="s">
        <v>47</v>
      </c>
      <c r="D114" s="51" t="s">
        <v>511</v>
      </c>
      <c r="E114" s="51"/>
      <c r="F114" s="51"/>
      <c r="G114" s="618" t="s">
        <v>82</v>
      </c>
      <c r="H114" s="611">
        <v>1.645683379E-2</v>
      </c>
      <c r="I114" s="611">
        <v>0</v>
      </c>
      <c r="J114" s="611">
        <v>37.64130659695499</v>
      </c>
      <c r="K114" s="611">
        <v>0</v>
      </c>
      <c r="L114" s="611">
        <v>2.6142742499999998</v>
      </c>
      <c r="M114" s="611">
        <v>0</v>
      </c>
      <c r="N114" s="611">
        <v>5.7095762890000006E-2</v>
      </c>
      <c r="O114" s="611">
        <v>0</v>
      </c>
      <c r="P114" s="611">
        <v>1.7496386111111113</v>
      </c>
      <c r="Q114" s="611">
        <v>0</v>
      </c>
      <c r="R114" s="611">
        <v>2.1134212030118888</v>
      </c>
      <c r="S114" s="611">
        <v>0.64352166666666666</v>
      </c>
      <c r="T114" s="611">
        <v>3.7090183236660482E-2</v>
      </c>
      <c r="U114" s="611">
        <v>0.29224250000000002</v>
      </c>
      <c r="V114" s="611">
        <v>7.6486818277225668</v>
      </c>
      <c r="W114" s="611">
        <v>0.7999628529952002</v>
      </c>
      <c r="X114" s="611">
        <v>0</v>
      </c>
      <c r="Y114" s="619">
        <v>53.613692288379085</v>
      </c>
      <c r="Z114" s="51"/>
    </row>
    <row r="115" spans="1:26" x14ac:dyDescent="0.25">
      <c r="A115" s="51"/>
      <c r="B115" s="51">
        <v>2021</v>
      </c>
      <c r="C115" s="51" t="s">
        <v>47</v>
      </c>
      <c r="D115" s="51" t="s">
        <v>512</v>
      </c>
      <c r="E115" s="51"/>
      <c r="F115" s="51"/>
      <c r="G115" s="618" t="s">
        <v>354</v>
      </c>
      <c r="H115" s="611">
        <v>0</v>
      </c>
      <c r="I115" s="611">
        <v>0</v>
      </c>
      <c r="J115" s="611">
        <v>0</v>
      </c>
      <c r="K115" s="611">
        <v>0</v>
      </c>
      <c r="L115" s="611">
        <v>0</v>
      </c>
      <c r="M115" s="611">
        <v>0</v>
      </c>
      <c r="N115" s="611">
        <v>0</v>
      </c>
      <c r="O115" s="611">
        <v>0</v>
      </c>
      <c r="P115" s="611">
        <v>0</v>
      </c>
      <c r="Q115" s="611">
        <v>0</v>
      </c>
      <c r="R115" s="611">
        <v>0</v>
      </c>
      <c r="S115" s="611">
        <v>0</v>
      </c>
      <c r="T115" s="611">
        <v>0</v>
      </c>
      <c r="U115" s="611">
        <v>0</v>
      </c>
      <c r="V115" s="611">
        <v>0</v>
      </c>
      <c r="W115" s="611">
        <v>0</v>
      </c>
      <c r="X115" s="611">
        <v>0</v>
      </c>
      <c r="Y115" s="619">
        <v>0</v>
      </c>
      <c r="Z115" s="51"/>
    </row>
    <row r="116" spans="1:26" x14ac:dyDescent="0.25">
      <c r="A116" s="51"/>
      <c r="B116" s="51">
        <v>2021</v>
      </c>
      <c r="C116" s="51" t="s">
        <v>47</v>
      </c>
      <c r="D116" s="51" t="s">
        <v>513</v>
      </c>
      <c r="E116" s="51"/>
      <c r="F116" s="51"/>
      <c r="G116" s="614" t="s">
        <v>83</v>
      </c>
      <c r="H116" s="622">
        <v>11.24161944129</v>
      </c>
      <c r="I116" s="622">
        <v>0</v>
      </c>
      <c r="J116" s="622">
        <v>596.90536441098618</v>
      </c>
      <c r="K116" s="615">
        <v>0</v>
      </c>
      <c r="L116" s="622">
        <v>340.95790899999997</v>
      </c>
      <c r="M116" s="615">
        <v>0</v>
      </c>
      <c r="N116" s="622">
        <v>0.17237520733444442</v>
      </c>
      <c r="O116" s="622">
        <v>2.9985326797385647E-2</v>
      </c>
      <c r="P116" s="622">
        <v>99.596337849999983</v>
      </c>
      <c r="Q116" s="622">
        <v>7.1928445070925431</v>
      </c>
      <c r="R116" s="622">
        <v>36.703917116150826</v>
      </c>
      <c r="S116" s="622">
        <v>3.8762190229644444</v>
      </c>
      <c r="T116" s="622">
        <v>49.366002885293909</v>
      </c>
      <c r="U116" s="622">
        <v>2.2630507893052858</v>
      </c>
      <c r="V116" s="622">
        <v>426.29349140010731</v>
      </c>
      <c r="W116" s="622">
        <v>71.730591704972781</v>
      </c>
      <c r="X116" s="622">
        <v>0</v>
      </c>
      <c r="Y116" s="622">
        <v>1646.3297086622952</v>
      </c>
      <c r="Z116" s="51"/>
    </row>
    <row r="117" spans="1:26" x14ac:dyDescent="0.25">
      <c r="A117" s="51"/>
      <c r="B117" s="51">
        <v>2021</v>
      </c>
      <c r="C117" s="51" t="s">
        <v>47</v>
      </c>
      <c r="D117" s="51" t="s">
        <v>514</v>
      </c>
      <c r="E117" s="51"/>
      <c r="F117" s="51"/>
      <c r="G117" s="610" t="s">
        <v>84</v>
      </c>
      <c r="H117" s="611">
        <v>3.2100486466300007</v>
      </c>
      <c r="I117" s="611">
        <v>0</v>
      </c>
      <c r="J117" s="611">
        <v>139.4576510270841</v>
      </c>
      <c r="K117" s="611">
        <v>0</v>
      </c>
      <c r="L117" s="611">
        <v>12.877187000000003</v>
      </c>
      <c r="M117" s="611">
        <v>0</v>
      </c>
      <c r="N117" s="611">
        <v>0</v>
      </c>
      <c r="O117" s="611">
        <v>0</v>
      </c>
      <c r="P117" s="611">
        <v>0</v>
      </c>
      <c r="Q117" s="611">
        <v>0</v>
      </c>
      <c r="R117" s="611">
        <v>0</v>
      </c>
      <c r="S117" s="611">
        <v>0</v>
      </c>
      <c r="T117" s="611">
        <v>0</v>
      </c>
      <c r="U117" s="611">
        <v>0</v>
      </c>
      <c r="V117" s="611">
        <v>0</v>
      </c>
      <c r="W117" s="611">
        <v>0.65340598733210598</v>
      </c>
      <c r="X117" s="611">
        <v>0</v>
      </c>
      <c r="Y117" s="619">
        <v>156.1982926610462</v>
      </c>
      <c r="Z117" s="51"/>
    </row>
    <row r="118" spans="1:26" x14ac:dyDescent="0.25">
      <c r="A118" s="51"/>
      <c r="B118" s="51">
        <v>2021</v>
      </c>
      <c r="C118" s="51" t="s">
        <v>47</v>
      </c>
      <c r="D118" s="51" t="s">
        <v>515</v>
      </c>
      <c r="E118" s="51"/>
      <c r="F118" s="51"/>
      <c r="G118" s="614" t="s">
        <v>85</v>
      </c>
      <c r="H118" s="622">
        <v>14.451668087920002</v>
      </c>
      <c r="I118" s="622">
        <v>0</v>
      </c>
      <c r="J118" s="622">
        <v>736.36301543807031</v>
      </c>
      <c r="K118" s="615">
        <v>0</v>
      </c>
      <c r="L118" s="622">
        <v>353.83509599999996</v>
      </c>
      <c r="M118" s="615">
        <v>0</v>
      </c>
      <c r="N118" s="622">
        <v>0.17237520733444442</v>
      </c>
      <c r="O118" s="622">
        <v>2.9985326797385647E-2</v>
      </c>
      <c r="P118" s="622">
        <v>99.596337849999983</v>
      </c>
      <c r="Q118" s="622">
        <v>7.1928445070925431</v>
      </c>
      <c r="R118" s="622">
        <v>36.703917116150826</v>
      </c>
      <c r="S118" s="622">
        <v>3.8762190229644444</v>
      </c>
      <c r="T118" s="622">
        <v>49.366002885293909</v>
      </c>
      <c r="U118" s="622">
        <v>2.2630507893052858</v>
      </c>
      <c r="V118" s="622">
        <v>426.29349140010731</v>
      </c>
      <c r="W118" s="622">
        <v>72.383997692304888</v>
      </c>
      <c r="X118" s="622">
        <v>0</v>
      </c>
      <c r="Y118" s="622">
        <v>1802.5280013233414</v>
      </c>
      <c r="Z118" s="51"/>
    </row>
    <row r="119" spans="1:26" x14ac:dyDescent="0.25">
      <c r="A119" s="51"/>
      <c r="B119" s="51"/>
      <c r="C119" s="51"/>
      <c r="D119" s="51"/>
      <c r="E119" s="51"/>
      <c r="F119" s="51"/>
      <c r="G119" s="51"/>
      <c r="H119" s="51"/>
      <c r="I119" s="51"/>
      <c r="J119" s="51"/>
      <c r="K119" s="67">
        <v>0</v>
      </c>
      <c r="L119" s="51"/>
      <c r="M119" s="51"/>
      <c r="N119" s="51"/>
      <c r="O119" s="51"/>
      <c r="P119" s="51"/>
      <c r="Q119" s="51"/>
      <c r="R119" s="51"/>
      <c r="S119" s="51"/>
      <c r="T119" s="51"/>
      <c r="U119" s="51"/>
      <c r="V119" s="51"/>
      <c r="W119" s="51"/>
      <c r="X119" s="51"/>
      <c r="Y119" s="51"/>
      <c r="Z119" s="51"/>
    </row>
    <row r="120" spans="1:26" x14ac:dyDescent="0.25">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spans="1:26" x14ac:dyDescent="0.25">
      <c r="A121" s="606"/>
      <c r="B121" s="606"/>
      <c r="C121" s="606"/>
      <c r="D121" s="606"/>
      <c r="E121" s="606"/>
      <c r="F121" s="606"/>
      <c r="G121" s="607" t="s">
        <v>355</v>
      </c>
      <c r="H121" s="606"/>
      <c r="I121" s="606"/>
      <c r="J121" s="606"/>
      <c r="K121" s="606"/>
      <c r="L121" s="606"/>
      <c r="M121" s="606"/>
      <c r="N121" s="606"/>
      <c r="O121" s="606"/>
      <c r="P121" s="606"/>
      <c r="Q121" s="606"/>
      <c r="R121" s="606"/>
      <c r="S121" s="606"/>
      <c r="T121" s="606"/>
      <c r="U121" s="606"/>
      <c r="V121" s="606"/>
      <c r="W121" s="606"/>
      <c r="X121" s="606"/>
      <c r="Y121" s="606"/>
      <c r="Z121" s="606"/>
    </row>
    <row r="122" spans="1:26" x14ac:dyDescent="0.25">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spans="1:26" x14ac:dyDescent="0.25">
      <c r="A123" s="51"/>
      <c r="B123" s="51"/>
      <c r="C123" s="51"/>
      <c r="D123" s="51"/>
      <c r="E123" s="51"/>
      <c r="F123" s="51"/>
      <c r="G123" s="764" t="s">
        <v>128</v>
      </c>
      <c r="H123" s="753" t="s">
        <v>42</v>
      </c>
      <c r="I123" s="753" t="s">
        <v>52</v>
      </c>
      <c r="J123" s="753" t="s">
        <v>53</v>
      </c>
      <c r="K123" s="753" t="s">
        <v>482</v>
      </c>
      <c r="L123" s="753" t="s">
        <v>32</v>
      </c>
      <c r="M123" s="753" t="s">
        <v>483</v>
      </c>
      <c r="N123" s="753" t="s">
        <v>20</v>
      </c>
      <c r="O123" s="753" t="s">
        <v>55</v>
      </c>
      <c r="P123" s="761" t="s">
        <v>56</v>
      </c>
      <c r="Q123" s="762"/>
      <c r="R123" s="762"/>
      <c r="S123" s="762"/>
      <c r="T123" s="762"/>
      <c r="U123" s="763"/>
      <c r="V123" s="753" t="s">
        <v>57</v>
      </c>
      <c r="W123" s="753" t="s">
        <v>58</v>
      </c>
      <c r="X123" s="753" t="s">
        <v>31</v>
      </c>
      <c r="Y123" s="753" t="s">
        <v>10</v>
      </c>
      <c r="Z123" s="51"/>
    </row>
    <row r="124" spans="1:26" ht="36" x14ac:dyDescent="0.25">
      <c r="A124" s="51" t="s">
        <v>516</v>
      </c>
      <c r="B124" s="51" t="s">
        <v>484</v>
      </c>
      <c r="C124" s="51" t="s">
        <v>485</v>
      </c>
      <c r="D124" s="51" t="s">
        <v>486</v>
      </c>
      <c r="E124" s="51" t="s">
        <v>517</v>
      </c>
      <c r="F124" s="51"/>
      <c r="G124" s="765"/>
      <c r="H124" s="754"/>
      <c r="I124" s="754"/>
      <c r="J124" s="754"/>
      <c r="K124" s="754"/>
      <c r="L124" s="754"/>
      <c r="M124" s="754"/>
      <c r="N124" s="754"/>
      <c r="O124" s="754"/>
      <c r="P124" s="608" t="s">
        <v>335</v>
      </c>
      <c r="Q124" s="608" t="s">
        <v>40</v>
      </c>
      <c r="R124" s="608" t="s">
        <v>343</v>
      </c>
      <c r="S124" s="608" t="s">
        <v>344</v>
      </c>
      <c r="T124" s="609" t="s">
        <v>345</v>
      </c>
      <c r="U124" s="608" t="s">
        <v>346</v>
      </c>
      <c r="V124" s="754"/>
      <c r="W124" s="754"/>
      <c r="X124" s="754"/>
      <c r="Y124" s="754"/>
      <c r="Z124" s="51"/>
    </row>
    <row r="125" spans="1:26" x14ac:dyDescent="0.25">
      <c r="A125" s="51">
        <v>6</v>
      </c>
      <c r="B125" s="51">
        <v>2023</v>
      </c>
      <c r="C125" s="51" t="s">
        <v>47</v>
      </c>
      <c r="D125" s="51" t="s">
        <v>487</v>
      </c>
      <c r="E125" s="51" t="s">
        <v>564</v>
      </c>
      <c r="F125" s="51"/>
      <c r="G125" s="610" t="s">
        <v>59</v>
      </c>
      <c r="H125" s="611">
        <v>0</v>
      </c>
      <c r="I125" s="611">
        <v>9.7691999999999997</v>
      </c>
      <c r="J125" s="611">
        <v>0</v>
      </c>
      <c r="K125" s="611">
        <v>0</v>
      </c>
      <c r="L125" s="611">
        <v>0.18608000000000002</v>
      </c>
      <c r="M125" s="611">
        <v>0</v>
      </c>
      <c r="N125" s="612">
        <v>1140.366181818182</v>
      </c>
      <c r="O125" s="612">
        <v>129.28342687103313</v>
      </c>
      <c r="P125" s="612">
        <v>258.56548367841259</v>
      </c>
      <c r="Q125" s="612">
        <v>19.091612469301936</v>
      </c>
      <c r="R125" s="611">
        <v>1.2541050018668516</v>
      </c>
      <c r="S125" s="611">
        <v>0.16066538698047411</v>
      </c>
      <c r="T125" s="612">
        <v>60.732327794749558</v>
      </c>
      <c r="U125" s="612">
        <v>7.8989591252631115</v>
      </c>
      <c r="V125" s="611">
        <v>0</v>
      </c>
      <c r="W125" s="611">
        <v>0</v>
      </c>
      <c r="X125" s="611">
        <v>0</v>
      </c>
      <c r="Y125" s="613">
        <v>1612.5896719959137</v>
      </c>
      <c r="Z125" s="51"/>
    </row>
    <row r="126" spans="1:26" x14ac:dyDescent="0.25">
      <c r="A126" s="51">
        <v>7</v>
      </c>
      <c r="B126" s="51">
        <v>2023</v>
      </c>
      <c r="C126" s="51" t="s">
        <v>47</v>
      </c>
      <c r="D126" s="51" t="s">
        <v>488</v>
      </c>
      <c r="E126" s="51" t="s">
        <v>564</v>
      </c>
      <c r="F126" s="51"/>
      <c r="G126" s="610" t="s">
        <v>60</v>
      </c>
      <c r="H126" s="611">
        <v>57.011659454076842</v>
      </c>
      <c r="I126" s="611">
        <v>457.27455847037987</v>
      </c>
      <c r="J126" s="611">
        <v>292.8083159543678</v>
      </c>
      <c r="K126" s="611">
        <v>0.30641446337224754</v>
      </c>
      <c r="L126" s="611">
        <v>400.43359496578728</v>
      </c>
      <c r="M126" s="611">
        <v>0</v>
      </c>
      <c r="N126" s="611">
        <v>0</v>
      </c>
      <c r="O126" s="611">
        <v>0</v>
      </c>
      <c r="P126" s="611">
        <v>1.7064184013992112</v>
      </c>
      <c r="Q126" s="611">
        <v>0</v>
      </c>
      <c r="R126" s="611">
        <v>2.5623160901563855</v>
      </c>
      <c r="S126" s="611">
        <v>0</v>
      </c>
      <c r="T126" s="611">
        <v>0</v>
      </c>
      <c r="U126" s="611">
        <v>0</v>
      </c>
      <c r="V126" s="611">
        <v>0</v>
      </c>
      <c r="W126" s="611">
        <v>0</v>
      </c>
      <c r="X126" s="611">
        <v>0</v>
      </c>
      <c r="Y126" s="613">
        <v>1212.1032777995395</v>
      </c>
      <c r="Z126" s="51"/>
    </row>
    <row r="127" spans="1:26" x14ac:dyDescent="0.25">
      <c r="A127" s="51">
        <v>8</v>
      </c>
      <c r="B127" s="51">
        <v>2023</v>
      </c>
      <c r="C127" s="51" t="s">
        <v>47</v>
      </c>
      <c r="D127" s="51" t="s">
        <v>489</v>
      </c>
      <c r="E127" s="51" t="s">
        <v>564</v>
      </c>
      <c r="F127" s="51"/>
      <c r="G127" s="610" t="s">
        <v>61</v>
      </c>
      <c r="H127" s="611">
        <v>0</v>
      </c>
      <c r="I127" s="611">
        <v>0</v>
      </c>
      <c r="J127" s="611">
        <v>3.3311309848348856</v>
      </c>
      <c r="K127" s="611">
        <v>0</v>
      </c>
      <c r="L127" s="611">
        <v>0</v>
      </c>
      <c r="M127" s="611">
        <v>0</v>
      </c>
      <c r="N127" s="611">
        <v>0</v>
      </c>
      <c r="O127" s="611">
        <v>0</v>
      </c>
      <c r="P127" s="611">
        <v>0</v>
      </c>
      <c r="Q127" s="611">
        <v>0</v>
      </c>
      <c r="R127" s="611">
        <v>0</v>
      </c>
      <c r="S127" s="611">
        <v>0</v>
      </c>
      <c r="T127" s="611">
        <v>0</v>
      </c>
      <c r="U127" s="611">
        <v>0</v>
      </c>
      <c r="V127" s="611">
        <v>-41.277483794572845</v>
      </c>
      <c r="W127" s="611">
        <v>0</v>
      </c>
      <c r="X127" s="611">
        <v>0</v>
      </c>
      <c r="Y127" s="613">
        <v>-37.946352809737959</v>
      </c>
      <c r="Z127" s="51"/>
    </row>
    <row r="128" spans="1:26" x14ac:dyDescent="0.25">
      <c r="A128" s="51">
        <v>9</v>
      </c>
      <c r="B128" s="51">
        <v>2023</v>
      </c>
      <c r="C128" s="51" t="s">
        <v>47</v>
      </c>
      <c r="D128" s="51" t="s">
        <v>490</v>
      </c>
      <c r="E128" s="51" t="s">
        <v>564</v>
      </c>
      <c r="F128" s="51"/>
      <c r="G128" s="610" t="s">
        <v>62</v>
      </c>
      <c r="H128" s="611">
        <v>0</v>
      </c>
      <c r="I128" s="611">
        <v>0</v>
      </c>
      <c r="J128" s="611">
        <v>-14.83283894237581</v>
      </c>
      <c r="K128" s="611">
        <v>0</v>
      </c>
      <c r="L128" s="611">
        <v>-1.6570888869699243</v>
      </c>
      <c r="M128" s="611">
        <v>0</v>
      </c>
      <c r="N128" s="611">
        <v>0</v>
      </c>
      <c r="O128" s="611">
        <v>0</v>
      </c>
      <c r="P128" s="611">
        <v>0</v>
      </c>
      <c r="Q128" s="611">
        <v>0</v>
      </c>
      <c r="R128" s="611">
        <v>-0.27618148116165409</v>
      </c>
      <c r="S128" s="611">
        <v>0</v>
      </c>
      <c r="T128" s="611">
        <v>0</v>
      </c>
      <c r="U128" s="611">
        <v>0</v>
      </c>
      <c r="V128" s="611">
        <v>0</v>
      </c>
      <c r="W128" s="611">
        <v>0</v>
      </c>
      <c r="X128" s="611">
        <v>0</v>
      </c>
      <c r="Y128" s="613">
        <v>-16.766109310507389</v>
      </c>
      <c r="Z128" s="51"/>
    </row>
    <row r="129" spans="1:26" x14ac:dyDescent="0.25">
      <c r="A129" s="51">
        <v>10</v>
      </c>
      <c r="B129" s="51">
        <v>2023</v>
      </c>
      <c r="C129" s="51" t="s">
        <v>47</v>
      </c>
      <c r="D129" s="51" t="s">
        <v>491</v>
      </c>
      <c r="E129" s="51" t="s">
        <v>564</v>
      </c>
      <c r="F129" s="51"/>
      <c r="G129" s="610" t="s">
        <v>63</v>
      </c>
      <c r="H129" s="611">
        <v>0</v>
      </c>
      <c r="I129" s="611">
        <v>0</v>
      </c>
      <c r="J129" s="611">
        <v>-54.994775700251736</v>
      </c>
      <c r="K129" s="611">
        <v>0</v>
      </c>
      <c r="L129" s="611">
        <v>0</v>
      </c>
      <c r="M129" s="611">
        <v>0</v>
      </c>
      <c r="N129" s="611">
        <v>0</v>
      </c>
      <c r="O129" s="611">
        <v>0</v>
      </c>
      <c r="P129" s="611">
        <v>0</v>
      </c>
      <c r="Q129" s="611">
        <v>0</v>
      </c>
      <c r="R129" s="611">
        <v>-0.85966647430597476</v>
      </c>
      <c r="S129" s="611">
        <v>0</v>
      </c>
      <c r="T129" s="611">
        <v>0</v>
      </c>
      <c r="U129" s="611">
        <v>0</v>
      </c>
      <c r="V129" s="611">
        <v>0</v>
      </c>
      <c r="W129" s="611">
        <v>0</v>
      </c>
      <c r="X129" s="611">
        <v>0</v>
      </c>
      <c r="Y129" s="613">
        <v>-55.854442174557711</v>
      </c>
      <c r="Z129" s="51"/>
    </row>
    <row r="130" spans="1:26" x14ac:dyDescent="0.25">
      <c r="A130" s="51">
        <v>11</v>
      </c>
      <c r="B130" s="51">
        <v>2023</v>
      </c>
      <c r="C130" s="51" t="s">
        <v>47</v>
      </c>
      <c r="D130" s="51" t="s">
        <v>492</v>
      </c>
      <c r="E130" s="51" t="s">
        <v>564</v>
      </c>
      <c r="F130" s="51"/>
      <c r="G130" s="610" t="s">
        <v>64</v>
      </c>
      <c r="H130" s="611">
        <v>9.7684723496666986E-2</v>
      </c>
      <c r="I130" s="611">
        <v>-5.9567697000000003E-2</v>
      </c>
      <c r="J130" s="611">
        <v>3.8766666666666671E-2</v>
      </c>
      <c r="K130" s="611">
        <v>0</v>
      </c>
      <c r="L130" s="611">
        <v>0</v>
      </c>
      <c r="M130" s="611">
        <v>0</v>
      </c>
      <c r="N130" s="611">
        <v>0</v>
      </c>
      <c r="O130" s="611">
        <v>0</v>
      </c>
      <c r="P130" s="611">
        <v>0</v>
      </c>
      <c r="Q130" s="611">
        <v>0</v>
      </c>
      <c r="R130" s="611">
        <v>0</v>
      </c>
      <c r="S130" s="611">
        <v>0</v>
      </c>
      <c r="T130" s="611">
        <v>0</v>
      </c>
      <c r="U130" s="611">
        <v>0</v>
      </c>
      <c r="V130" s="611">
        <v>0</v>
      </c>
      <c r="W130" s="611">
        <v>0</v>
      </c>
      <c r="X130" s="611">
        <v>0</v>
      </c>
      <c r="Y130" s="613">
        <v>7.6883693163333655E-2</v>
      </c>
      <c r="Z130" s="51"/>
    </row>
    <row r="131" spans="1:26" x14ac:dyDescent="0.25">
      <c r="A131" s="51">
        <v>12</v>
      </c>
      <c r="B131" s="51">
        <v>2023</v>
      </c>
      <c r="C131" s="51" t="s">
        <v>47</v>
      </c>
      <c r="D131" s="51" t="s">
        <v>493</v>
      </c>
      <c r="E131" s="51" t="s">
        <v>564</v>
      </c>
      <c r="F131" s="51"/>
      <c r="G131" s="614" t="s">
        <v>65</v>
      </c>
      <c r="H131" s="615">
        <v>57.109344177573512</v>
      </c>
      <c r="I131" s="615">
        <v>466.98419077337991</v>
      </c>
      <c r="J131" s="615">
        <v>226.35059896324179</v>
      </c>
      <c r="K131" s="615">
        <v>0.30641446337224754</v>
      </c>
      <c r="L131" s="615">
        <v>398.96258607881737</v>
      </c>
      <c r="M131" s="615">
        <v>0</v>
      </c>
      <c r="N131" s="615">
        <v>1140.366181818182</v>
      </c>
      <c r="O131" s="615">
        <v>129.28342687103313</v>
      </c>
      <c r="P131" s="615">
        <v>260.27190207981181</v>
      </c>
      <c r="Q131" s="615">
        <v>19.091612469301936</v>
      </c>
      <c r="R131" s="615">
        <v>2.6805731365556085</v>
      </c>
      <c r="S131" s="615">
        <v>0.16066538698047411</v>
      </c>
      <c r="T131" s="615">
        <v>60.732327794749558</v>
      </c>
      <c r="U131" s="615">
        <v>7.8989591252631115</v>
      </c>
      <c r="V131" s="615">
        <v>-41.277483794572845</v>
      </c>
      <c r="W131" s="615">
        <v>0</v>
      </c>
      <c r="X131" s="615">
        <v>0</v>
      </c>
      <c r="Y131" s="615">
        <v>2714.2029291938134</v>
      </c>
      <c r="Z131" s="51"/>
    </row>
    <row r="132" spans="1:26" x14ac:dyDescent="0.25">
      <c r="A132" s="51"/>
      <c r="B132" s="51"/>
      <c r="C132" s="51"/>
      <c r="D132" s="51"/>
      <c r="E132" s="51"/>
      <c r="F132" s="51"/>
      <c r="G132" s="616"/>
      <c r="H132" s="617"/>
      <c r="I132" s="617"/>
      <c r="J132" s="617"/>
      <c r="K132" s="617"/>
      <c r="L132" s="623"/>
      <c r="M132" s="617"/>
      <c r="N132" s="617"/>
      <c r="O132" s="617"/>
      <c r="P132" s="617"/>
      <c r="Q132" s="617"/>
      <c r="R132" s="617"/>
      <c r="S132" s="617"/>
      <c r="T132" s="617"/>
      <c r="U132" s="617"/>
      <c r="V132" s="617"/>
      <c r="W132" s="617"/>
      <c r="X132" s="617"/>
      <c r="Y132" s="617"/>
      <c r="Z132" s="51"/>
    </row>
    <row r="133" spans="1:26" x14ac:dyDescent="0.25">
      <c r="A133" s="51">
        <v>14</v>
      </c>
      <c r="B133" s="51">
        <v>2023</v>
      </c>
      <c r="C133" s="51" t="s">
        <v>47</v>
      </c>
      <c r="D133" s="51" t="s">
        <v>494</v>
      </c>
      <c r="E133" s="51" t="s">
        <v>564</v>
      </c>
      <c r="F133" s="51"/>
      <c r="G133" s="618" t="s">
        <v>67</v>
      </c>
      <c r="H133" s="611">
        <v>0</v>
      </c>
      <c r="I133" s="611">
        <v>4.3623690669338813E-2</v>
      </c>
      <c r="J133" s="611">
        <v>-0.43976848620269193</v>
      </c>
      <c r="K133" s="611">
        <v>0</v>
      </c>
      <c r="L133" s="611">
        <v>0</v>
      </c>
      <c r="M133" s="611">
        <v>0</v>
      </c>
      <c r="N133" s="611">
        <v>0</v>
      </c>
      <c r="O133" s="611">
        <v>0</v>
      </c>
      <c r="P133" s="611">
        <v>0</v>
      </c>
      <c r="Q133" s="611">
        <v>0</v>
      </c>
      <c r="R133" s="611">
        <v>0</v>
      </c>
      <c r="S133" s="611">
        <v>0</v>
      </c>
      <c r="T133" s="611">
        <v>0</v>
      </c>
      <c r="U133" s="611">
        <v>0</v>
      </c>
      <c r="V133" s="611">
        <v>0.19176325930063415</v>
      </c>
      <c r="W133" s="611">
        <v>0</v>
      </c>
      <c r="X133" s="611">
        <v>0</v>
      </c>
      <c r="Y133" s="619">
        <v>-0.20438153623271899</v>
      </c>
      <c r="Z133" s="51"/>
    </row>
    <row r="134" spans="1:26" x14ac:dyDescent="0.25">
      <c r="A134" s="51">
        <v>15</v>
      </c>
      <c r="B134" s="51">
        <v>2023</v>
      </c>
      <c r="C134" s="51" t="s">
        <v>47</v>
      </c>
      <c r="D134" s="51" t="s">
        <v>495</v>
      </c>
      <c r="E134" s="51" t="s">
        <v>564</v>
      </c>
      <c r="F134" s="51"/>
      <c r="G134" s="618" t="s">
        <v>347</v>
      </c>
      <c r="H134" s="611">
        <v>9.5875166476283802</v>
      </c>
      <c r="I134" s="611">
        <v>0</v>
      </c>
      <c r="J134" s="611">
        <v>6.5311291161834095</v>
      </c>
      <c r="K134" s="611">
        <v>0</v>
      </c>
      <c r="L134" s="611">
        <v>53.166535589183262</v>
      </c>
      <c r="M134" s="611">
        <v>0</v>
      </c>
      <c r="N134" s="611">
        <v>1140.366181818182</v>
      </c>
      <c r="O134" s="611">
        <v>129.28342687103313</v>
      </c>
      <c r="P134" s="611">
        <v>31.172470957810656</v>
      </c>
      <c r="Q134" s="611">
        <v>0.5818935618548382</v>
      </c>
      <c r="R134" s="611">
        <v>3.7008210788065874</v>
      </c>
      <c r="S134" s="611">
        <v>6.8158820532230786</v>
      </c>
      <c r="T134" s="611">
        <v>0</v>
      </c>
      <c r="U134" s="611">
        <v>0.58332819125492874</v>
      </c>
      <c r="V134" s="611">
        <v>-553.9000796150865</v>
      </c>
      <c r="W134" s="611">
        <v>0</v>
      </c>
      <c r="X134" s="611">
        <v>0</v>
      </c>
      <c r="Y134" s="619">
        <v>827.88910627007363</v>
      </c>
      <c r="Z134" s="51"/>
    </row>
    <row r="135" spans="1:26" x14ac:dyDescent="0.25">
      <c r="A135" s="51">
        <v>16</v>
      </c>
      <c r="B135" s="51">
        <v>2023</v>
      </c>
      <c r="C135" s="51" t="s">
        <v>47</v>
      </c>
      <c r="D135" s="51" t="s">
        <v>496</v>
      </c>
      <c r="E135" s="51" t="s">
        <v>564</v>
      </c>
      <c r="F135" s="51"/>
      <c r="G135" s="618" t="s">
        <v>348</v>
      </c>
      <c r="H135" s="611">
        <v>0.48452936287787096</v>
      </c>
      <c r="I135" s="611">
        <v>0</v>
      </c>
      <c r="J135" s="611">
        <v>7.6404494382022473E-2</v>
      </c>
      <c r="K135" s="611">
        <v>0</v>
      </c>
      <c r="L135" s="611">
        <v>17.271027602742318</v>
      </c>
      <c r="M135" s="611">
        <v>0</v>
      </c>
      <c r="N135" s="611">
        <v>0</v>
      </c>
      <c r="O135" s="611">
        <v>0</v>
      </c>
      <c r="P135" s="611">
        <v>20.468391433401113</v>
      </c>
      <c r="Q135" s="611">
        <v>14.104491027491804</v>
      </c>
      <c r="R135" s="611">
        <v>0</v>
      </c>
      <c r="S135" s="611">
        <v>2.8312310293479181</v>
      </c>
      <c r="T135" s="611">
        <v>0</v>
      </c>
      <c r="U135" s="611">
        <v>4.003423474284328</v>
      </c>
      <c r="V135" s="611">
        <v>0</v>
      </c>
      <c r="W135" s="611">
        <v>-52.941427907923831</v>
      </c>
      <c r="X135" s="611">
        <v>0</v>
      </c>
      <c r="Y135" s="619">
        <v>6.2980705166035449</v>
      </c>
      <c r="Z135" s="51"/>
    </row>
    <row r="136" spans="1:26" x14ac:dyDescent="0.25">
      <c r="A136" s="51">
        <v>17</v>
      </c>
      <c r="B136" s="51">
        <v>2023</v>
      </c>
      <c r="C136" s="51" t="s">
        <v>47</v>
      </c>
      <c r="D136" s="51" t="s">
        <v>497</v>
      </c>
      <c r="E136" s="51" t="s">
        <v>564</v>
      </c>
      <c r="F136" s="51"/>
      <c r="G136" s="618" t="s">
        <v>349</v>
      </c>
      <c r="H136" s="611">
        <v>0</v>
      </c>
      <c r="I136" s="611">
        <v>0</v>
      </c>
      <c r="J136" s="611">
        <v>0</v>
      </c>
      <c r="K136" s="611">
        <v>0</v>
      </c>
      <c r="L136" s="611">
        <v>0</v>
      </c>
      <c r="M136" s="611">
        <v>0</v>
      </c>
      <c r="N136" s="611">
        <v>0</v>
      </c>
      <c r="O136" s="611">
        <v>0</v>
      </c>
      <c r="P136" s="611">
        <v>36.005659728296237</v>
      </c>
      <c r="Q136" s="611">
        <v>0</v>
      </c>
      <c r="R136" s="611">
        <v>0</v>
      </c>
      <c r="S136" s="611">
        <v>-19.803112850562933</v>
      </c>
      <c r="T136" s="611">
        <v>0</v>
      </c>
      <c r="U136" s="611">
        <v>0</v>
      </c>
      <c r="V136" s="611">
        <v>0</v>
      </c>
      <c r="W136" s="611">
        <v>0</v>
      </c>
      <c r="X136" s="611">
        <v>0</v>
      </c>
      <c r="Y136" s="619">
        <v>16.202546877733305</v>
      </c>
      <c r="Z136" s="51"/>
    </row>
    <row r="137" spans="1:26" x14ac:dyDescent="0.25">
      <c r="A137" s="51">
        <v>18</v>
      </c>
      <c r="B137" s="51">
        <v>2023</v>
      </c>
      <c r="C137" s="51" t="s">
        <v>47</v>
      </c>
      <c r="D137" s="51" t="s">
        <v>498</v>
      </c>
      <c r="E137" s="51" t="s">
        <v>564</v>
      </c>
      <c r="F137" s="51"/>
      <c r="G137" s="618" t="s">
        <v>350</v>
      </c>
      <c r="H137" s="611">
        <v>0</v>
      </c>
      <c r="I137" s="611">
        <v>0</v>
      </c>
      <c r="J137" s="611">
        <v>0</v>
      </c>
      <c r="K137" s="611">
        <v>0</v>
      </c>
      <c r="L137" s="611">
        <v>0</v>
      </c>
      <c r="M137" s="611">
        <v>0</v>
      </c>
      <c r="N137" s="611">
        <v>0</v>
      </c>
      <c r="O137" s="611">
        <v>0</v>
      </c>
      <c r="P137" s="611">
        <v>0</v>
      </c>
      <c r="Q137" s="611">
        <v>0</v>
      </c>
      <c r="R137" s="611">
        <v>0</v>
      </c>
      <c r="S137" s="611">
        <v>0</v>
      </c>
      <c r="T137" s="611">
        <v>0</v>
      </c>
      <c r="U137" s="611">
        <v>0</v>
      </c>
      <c r="V137" s="611">
        <v>0</v>
      </c>
      <c r="W137" s="611">
        <v>0</v>
      </c>
      <c r="X137" s="611">
        <v>0</v>
      </c>
      <c r="Y137" s="619">
        <v>0</v>
      </c>
      <c r="Z137" s="51"/>
    </row>
    <row r="138" spans="1:26" x14ac:dyDescent="0.25">
      <c r="A138" s="51">
        <v>19</v>
      </c>
      <c r="B138" s="51">
        <v>2023</v>
      </c>
      <c r="C138" s="51" t="s">
        <v>47</v>
      </c>
      <c r="D138" s="51" t="s">
        <v>499</v>
      </c>
      <c r="E138" s="51" t="s">
        <v>564</v>
      </c>
      <c r="F138" s="51"/>
      <c r="G138" s="618" t="s">
        <v>72</v>
      </c>
      <c r="H138" s="611">
        <v>0</v>
      </c>
      <c r="I138" s="611">
        <v>483.987478187759</v>
      </c>
      <c r="J138" s="611">
        <v>-479.17526022406184</v>
      </c>
      <c r="K138" s="611">
        <v>0</v>
      </c>
      <c r="L138" s="611">
        <v>0</v>
      </c>
      <c r="M138" s="611">
        <v>0</v>
      </c>
      <c r="N138" s="611">
        <v>0</v>
      </c>
      <c r="O138" s="611">
        <v>0</v>
      </c>
      <c r="P138" s="611">
        <v>0</v>
      </c>
      <c r="Q138" s="611">
        <v>0</v>
      </c>
      <c r="R138" s="611">
        <v>0</v>
      </c>
      <c r="S138" s="611">
        <v>0</v>
      </c>
      <c r="T138" s="611">
        <v>0</v>
      </c>
      <c r="U138" s="611">
        <v>0</v>
      </c>
      <c r="V138" s="611">
        <v>0</v>
      </c>
      <c r="W138" s="611">
        <v>0</v>
      </c>
      <c r="X138" s="611">
        <v>0</v>
      </c>
      <c r="Y138" s="619">
        <v>4.8122179636971509</v>
      </c>
      <c r="Z138" s="51"/>
    </row>
    <row r="139" spans="1:26" x14ac:dyDescent="0.25">
      <c r="A139" s="51">
        <v>20</v>
      </c>
      <c r="B139" s="51">
        <v>2023</v>
      </c>
      <c r="C139" s="51" t="s">
        <v>47</v>
      </c>
      <c r="D139" s="51" t="s">
        <v>500</v>
      </c>
      <c r="E139" s="51" t="s">
        <v>564</v>
      </c>
      <c r="F139" s="51"/>
      <c r="G139" s="618" t="s">
        <v>351</v>
      </c>
      <c r="H139" s="611">
        <v>0</v>
      </c>
      <c r="I139" s="611">
        <v>0</v>
      </c>
      <c r="J139" s="611">
        <v>0</v>
      </c>
      <c r="K139" s="611">
        <v>0</v>
      </c>
      <c r="L139" s="611">
        <v>0</v>
      </c>
      <c r="M139" s="611">
        <v>0</v>
      </c>
      <c r="N139" s="611">
        <v>0</v>
      </c>
      <c r="O139" s="611">
        <v>0</v>
      </c>
      <c r="P139" s="611">
        <v>79.006714056873733</v>
      </c>
      <c r="Q139" s="611">
        <v>0</v>
      </c>
      <c r="R139" s="611">
        <v>-43.453692731280555</v>
      </c>
      <c r="S139" s="611">
        <v>0</v>
      </c>
      <c r="T139" s="611">
        <v>0</v>
      </c>
      <c r="U139" s="611">
        <v>0</v>
      </c>
      <c r="V139" s="611">
        <v>0</v>
      </c>
      <c r="W139" s="611">
        <v>0</v>
      </c>
      <c r="X139" s="611">
        <v>0</v>
      </c>
      <c r="Y139" s="619">
        <v>35.553021325593178</v>
      </c>
      <c r="Z139" s="51"/>
    </row>
    <row r="140" spans="1:26" x14ac:dyDescent="0.25">
      <c r="A140" s="51">
        <v>21</v>
      </c>
      <c r="B140" s="51">
        <v>2023</v>
      </c>
      <c r="C140" s="51" t="s">
        <v>47</v>
      </c>
      <c r="D140" s="51" t="s">
        <v>501</v>
      </c>
      <c r="E140" s="51" t="s">
        <v>564</v>
      </c>
      <c r="F140" s="51"/>
      <c r="G140" s="618" t="s">
        <v>352</v>
      </c>
      <c r="H140" s="611">
        <v>0</v>
      </c>
      <c r="I140" s="611">
        <v>0</v>
      </c>
      <c r="J140" s="611">
        <v>0</v>
      </c>
      <c r="K140" s="611">
        <v>0</v>
      </c>
      <c r="L140" s="611">
        <v>0</v>
      </c>
      <c r="M140" s="611">
        <v>0</v>
      </c>
      <c r="N140" s="611">
        <v>0</v>
      </c>
      <c r="O140" s="611">
        <v>0</v>
      </c>
      <c r="P140" s="611">
        <v>0</v>
      </c>
      <c r="Q140" s="611">
        <v>0</v>
      </c>
      <c r="R140" s="611">
        <v>0</v>
      </c>
      <c r="S140" s="611">
        <v>0</v>
      </c>
      <c r="T140" s="611">
        <v>0</v>
      </c>
      <c r="U140" s="611">
        <v>0</v>
      </c>
      <c r="V140" s="611">
        <v>0</v>
      </c>
      <c r="W140" s="611">
        <v>0</v>
      </c>
      <c r="X140" s="611">
        <v>0</v>
      </c>
      <c r="Y140" s="619">
        <v>0</v>
      </c>
      <c r="Z140" s="51"/>
    </row>
    <row r="141" spans="1:26" x14ac:dyDescent="0.25">
      <c r="A141" s="51">
        <v>22</v>
      </c>
      <c r="B141" s="51">
        <v>2023</v>
      </c>
      <c r="C141" s="51" t="s">
        <v>47</v>
      </c>
      <c r="D141" s="51" t="s">
        <v>502</v>
      </c>
      <c r="E141" s="51" t="s">
        <v>564</v>
      </c>
      <c r="F141" s="51"/>
      <c r="G141" s="618" t="s">
        <v>73</v>
      </c>
      <c r="H141" s="611">
        <v>0</v>
      </c>
      <c r="I141" s="611">
        <v>0</v>
      </c>
      <c r="J141" s="611">
        <v>0</v>
      </c>
      <c r="K141" s="611">
        <v>0</v>
      </c>
      <c r="L141" s="611">
        <v>0</v>
      </c>
      <c r="M141" s="611">
        <v>0</v>
      </c>
      <c r="N141" s="611">
        <v>0</v>
      </c>
      <c r="O141" s="611">
        <v>0</v>
      </c>
      <c r="P141" s="611">
        <v>0</v>
      </c>
      <c r="Q141" s="611">
        <v>0</v>
      </c>
      <c r="R141" s="611">
        <v>0</v>
      </c>
      <c r="S141" s="611">
        <v>0</v>
      </c>
      <c r="T141" s="611">
        <v>0</v>
      </c>
      <c r="U141" s="611">
        <v>0</v>
      </c>
      <c r="V141" s="611">
        <v>0.2995076532102024</v>
      </c>
      <c r="W141" s="611">
        <v>0</v>
      </c>
      <c r="X141" s="611">
        <v>-0.19467997458663155</v>
      </c>
      <c r="Y141" s="619">
        <v>0.10482767862357084</v>
      </c>
      <c r="Z141" s="51"/>
    </row>
    <row r="142" spans="1:26" x14ac:dyDescent="0.25">
      <c r="A142" s="51">
        <v>23</v>
      </c>
      <c r="B142" s="51">
        <v>2023</v>
      </c>
      <c r="C142" s="51" t="s">
        <v>47</v>
      </c>
      <c r="D142" s="51" t="s">
        <v>503</v>
      </c>
      <c r="E142" s="51" t="s">
        <v>564</v>
      </c>
      <c r="F142" s="51"/>
      <c r="G142" s="618" t="s">
        <v>353</v>
      </c>
      <c r="H142" s="611">
        <v>28.149105234375</v>
      </c>
      <c r="I142" s="611">
        <v>-17.046868199369122</v>
      </c>
      <c r="J142" s="611">
        <v>22.159116960123335</v>
      </c>
      <c r="K142" s="611">
        <v>0</v>
      </c>
      <c r="L142" s="611">
        <v>0</v>
      </c>
      <c r="M142" s="611">
        <v>0</v>
      </c>
      <c r="N142" s="611">
        <v>0</v>
      </c>
      <c r="O142" s="611">
        <v>0</v>
      </c>
      <c r="P142" s="611">
        <v>0</v>
      </c>
      <c r="Q142" s="611">
        <v>0</v>
      </c>
      <c r="R142" s="611">
        <v>0</v>
      </c>
      <c r="S142" s="611">
        <v>0</v>
      </c>
      <c r="T142" s="611">
        <v>0</v>
      </c>
      <c r="U142" s="611">
        <v>0</v>
      </c>
      <c r="V142" s="611">
        <v>0</v>
      </c>
      <c r="W142" s="611">
        <v>0</v>
      </c>
      <c r="X142" s="611">
        <v>0</v>
      </c>
      <c r="Y142" s="619">
        <v>33.261353995129213</v>
      </c>
      <c r="Z142" s="51"/>
    </row>
    <row r="143" spans="1:26" x14ac:dyDescent="0.25">
      <c r="A143" s="51">
        <v>24</v>
      </c>
      <c r="B143" s="51">
        <v>2023</v>
      </c>
      <c r="C143" s="51" t="s">
        <v>47</v>
      </c>
      <c r="D143" s="51" t="s">
        <v>504</v>
      </c>
      <c r="E143" s="51" t="s">
        <v>564</v>
      </c>
      <c r="F143" s="51"/>
      <c r="G143" s="618" t="s">
        <v>75</v>
      </c>
      <c r="H143" s="611">
        <v>10.946874257812501</v>
      </c>
      <c r="I143" s="611">
        <v>0</v>
      </c>
      <c r="J143" s="611">
        <v>16.710596754401365</v>
      </c>
      <c r="K143" s="611">
        <v>0</v>
      </c>
      <c r="L143" s="611">
        <v>5.0521769918695103</v>
      </c>
      <c r="M143" s="611">
        <v>0</v>
      </c>
      <c r="N143" s="611">
        <v>0</v>
      </c>
      <c r="O143" s="611">
        <v>0</v>
      </c>
      <c r="P143" s="611">
        <v>0</v>
      </c>
      <c r="Q143" s="611">
        <v>0</v>
      </c>
      <c r="R143" s="611">
        <v>0</v>
      </c>
      <c r="S143" s="611">
        <v>0.15840158885399452</v>
      </c>
      <c r="T143" s="611">
        <v>0</v>
      </c>
      <c r="U143" s="611">
        <v>0</v>
      </c>
      <c r="V143" s="611">
        <v>36.167228115189637</v>
      </c>
      <c r="W143" s="611">
        <v>0</v>
      </c>
      <c r="X143" s="611">
        <v>0</v>
      </c>
      <c r="Y143" s="619">
        <v>69.035277708127012</v>
      </c>
      <c r="Z143" s="51"/>
    </row>
    <row r="144" spans="1:26" x14ac:dyDescent="0.25">
      <c r="A144" s="51">
        <v>25</v>
      </c>
      <c r="B144" s="51">
        <v>2023</v>
      </c>
      <c r="C144" s="51" t="s">
        <v>47</v>
      </c>
      <c r="D144" s="51" t="s">
        <v>505</v>
      </c>
      <c r="E144" s="51" t="s">
        <v>564</v>
      </c>
      <c r="F144" s="51"/>
      <c r="G144" s="618" t="s">
        <v>76</v>
      </c>
      <c r="H144" s="611">
        <v>0</v>
      </c>
      <c r="I144" s="611">
        <v>0</v>
      </c>
      <c r="J144" s="611">
        <v>0</v>
      </c>
      <c r="K144" s="611">
        <v>0</v>
      </c>
      <c r="L144" s="611">
        <v>4.6756407802011761</v>
      </c>
      <c r="M144" s="611">
        <v>0</v>
      </c>
      <c r="N144" s="611">
        <v>0</v>
      </c>
      <c r="O144" s="611">
        <v>0</v>
      </c>
      <c r="P144" s="611">
        <v>0</v>
      </c>
      <c r="Q144" s="611">
        <v>0</v>
      </c>
      <c r="R144" s="611">
        <v>0</v>
      </c>
      <c r="S144" s="611">
        <v>0.14659599805911275</v>
      </c>
      <c r="T144" s="611">
        <v>0</v>
      </c>
      <c r="U144" s="611">
        <v>0</v>
      </c>
      <c r="V144" s="611">
        <v>39.269238181283512</v>
      </c>
      <c r="W144" s="611">
        <v>4.1052644329851002</v>
      </c>
      <c r="X144" s="611">
        <v>0</v>
      </c>
      <c r="Y144" s="619">
        <v>48.196739392528904</v>
      </c>
      <c r="Z144" s="51"/>
    </row>
    <row r="145" spans="1:26" x14ac:dyDescent="0.25">
      <c r="A145" s="51">
        <v>26</v>
      </c>
      <c r="B145" s="51">
        <v>2023</v>
      </c>
      <c r="C145" s="51" t="s">
        <v>47</v>
      </c>
      <c r="D145" s="51" t="s">
        <v>506</v>
      </c>
      <c r="E145" s="51" t="s">
        <v>564</v>
      </c>
      <c r="F145" s="51"/>
      <c r="G145" s="614" t="s">
        <v>77</v>
      </c>
      <c r="H145" s="615">
        <v>49.168025502693752</v>
      </c>
      <c r="I145" s="615">
        <v>466.98423367905923</v>
      </c>
      <c r="J145" s="615">
        <v>-434.13778138517438</v>
      </c>
      <c r="K145" s="615">
        <v>0</v>
      </c>
      <c r="L145" s="615">
        <v>80.16538096399627</v>
      </c>
      <c r="M145" s="615">
        <v>0</v>
      </c>
      <c r="N145" s="615">
        <v>1140.366181818182</v>
      </c>
      <c r="O145" s="615">
        <v>129.28342687103313</v>
      </c>
      <c r="P145" s="615">
        <v>166.65323617638174</v>
      </c>
      <c r="Q145" s="615">
        <v>14.686384589346641</v>
      </c>
      <c r="R145" s="615">
        <v>-39.752871652473971</v>
      </c>
      <c r="S145" s="615">
        <v>-9.8510021810788295</v>
      </c>
      <c r="T145" s="615">
        <v>0</v>
      </c>
      <c r="U145" s="615">
        <v>4.5867516655392571</v>
      </c>
      <c r="V145" s="615">
        <v>-477.97234240610248</v>
      </c>
      <c r="W145" s="615">
        <v>-48.836163474938729</v>
      </c>
      <c r="X145" s="615">
        <v>-0.19467997458663155</v>
      </c>
      <c r="Y145" s="615">
        <v>1026.4304100420004</v>
      </c>
      <c r="Z145" s="51"/>
    </row>
    <row r="146" spans="1:26" x14ac:dyDescent="0.25">
      <c r="A146" s="51"/>
      <c r="B146" s="51"/>
      <c r="C146" s="51"/>
      <c r="D146" s="51"/>
      <c r="E146" s="51"/>
      <c r="F146" s="51"/>
      <c r="G146" s="616"/>
      <c r="H146" s="617"/>
      <c r="I146" s="617"/>
      <c r="J146" s="617"/>
      <c r="K146" s="617"/>
      <c r="L146" s="623"/>
      <c r="M146" s="617"/>
      <c r="N146" s="617"/>
      <c r="O146" s="617"/>
      <c r="P146" s="617"/>
      <c r="Q146" s="617">
        <v>51.755568203326483</v>
      </c>
      <c r="R146" s="685"/>
      <c r="S146" s="617"/>
      <c r="T146" s="617"/>
      <c r="U146" s="617"/>
      <c r="V146" s="617"/>
      <c r="W146" s="617"/>
      <c r="X146" s="617"/>
      <c r="Y146" s="617"/>
      <c r="Z146" s="51"/>
    </row>
    <row r="147" spans="1:26" x14ac:dyDescent="0.25">
      <c r="A147" s="51">
        <v>28</v>
      </c>
      <c r="B147" s="51">
        <v>2023</v>
      </c>
      <c r="C147" s="51" t="s">
        <v>47</v>
      </c>
      <c r="D147" s="51" t="s">
        <v>507</v>
      </c>
      <c r="E147" s="51" t="s">
        <v>564</v>
      </c>
      <c r="F147" s="51"/>
      <c r="G147" s="618" t="s">
        <v>78</v>
      </c>
      <c r="H147" s="611">
        <v>7.9413186748797537</v>
      </c>
      <c r="I147" s="611">
        <v>0</v>
      </c>
      <c r="J147" s="611">
        <v>24.58556457827742</v>
      </c>
      <c r="K147" s="681">
        <v>0</v>
      </c>
      <c r="L147" s="611">
        <v>106.46269210482863</v>
      </c>
      <c r="M147" s="611">
        <v>0</v>
      </c>
      <c r="N147" s="611">
        <v>0</v>
      </c>
      <c r="O147" s="611">
        <v>0</v>
      </c>
      <c r="P147" s="611">
        <v>16.189131828618617</v>
      </c>
      <c r="Q147" s="611">
        <v>4.3951557484053358</v>
      </c>
      <c r="R147" s="611">
        <v>0.80765188840322466</v>
      </c>
      <c r="S147" s="611">
        <v>3.3600413653576289</v>
      </c>
      <c r="T147" s="611">
        <v>1.1782285156250001</v>
      </c>
      <c r="U147" s="611">
        <v>4.5058902280570805E-4</v>
      </c>
      <c r="V147" s="611">
        <v>116.9789283234263</v>
      </c>
      <c r="W147" s="611">
        <v>19.371310464274025</v>
      </c>
      <c r="X147" s="611">
        <v>0.14256721496582031</v>
      </c>
      <c r="Y147" s="619">
        <v>301.4130412960846</v>
      </c>
      <c r="Z147" s="51"/>
    </row>
    <row r="148" spans="1:26" x14ac:dyDescent="0.25">
      <c r="A148" s="51">
        <v>29</v>
      </c>
      <c r="B148" s="51">
        <v>2023</v>
      </c>
      <c r="C148" s="51" t="s">
        <v>47</v>
      </c>
      <c r="D148" s="51" t="s">
        <v>508</v>
      </c>
      <c r="E148" s="51" t="s">
        <v>564</v>
      </c>
      <c r="F148" s="51"/>
      <c r="G148" s="618" t="s">
        <v>79</v>
      </c>
      <c r="H148" s="611">
        <v>0</v>
      </c>
      <c r="I148" s="611">
        <v>0</v>
      </c>
      <c r="J148" s="611">
        <v>402.72984056723607</v>
      </c>
      <c r="K148" s="681">
        <v>0</v>
      </c>
      <c r="L148" s="611">
        <v>3.2947327285866459</v>
      </c>
      <c r="M148" s="611">
        <v>0</v>
      </c>
      <c r="N148" s="611">
        <v>0</v>
      </c>
      <c r="O148" s="611">
        <v>0</v>
      </c>
      <c r="P148" s="611">
        <v>0</v>
      </c>
      <c r="Q148" s="611">
        <v>0</v>
      </c>
      <c r="R148" s="611">
        <v>38.928287288880362</v>
      </c>
      <c r="S148" s="611">
        <v>0.10330020106129746</v>
      </c>
      <c r="T148" s="611">
        <v>0</v>
      </c>
      <c r="U148" s="611">
        <v>0</v>
      </c>
      <c r="V148" s="611">
        <v>13.235942007330815</v>
      </c>
      <c r="W148" s="611">
        <v>0</v>
      </c>
      <c r="X148" s="611">
        <v>1.404547929789267E-5</v>
      </c>
      <c r="Y148" s="619">
        <v>458.29211683857454</v>
      </c>
      <c r="Z148" s="51"/>
    </row>
    <row r="149" spans="1:26" x14ac:dyDescent="0.25">
      <c r="A149" s="51">
        <v>30</v>
      </c>
      <c r="B149" s="51">
        <v>2023</v>
      </c>
      <c r="C149" s="51" t="s">
        <v>47</v>
      </c>
      <c r="D149" s="51" t="s">
        <v>509</v>
      </c>
      <c r="E149" s="51" t="s">
        <v>564</v>
      </c>
      <c r="F149" s="51"/>
      <c r="G149" s="618" t="s">
        <v>80</v>
      </c>
      <c r="H149" s="611">
        <v>0</v>
      </c>
      <c r="I149" s="611">
        <v>0</v>
      </c>
      <c r="J149" s="611">
        <v>36.484375278989795</v>
      </c>
      <c r="K149" s="681">
        <v>0</v>
      </c>
      <c r="L149" s="611">
        <v>126.12640192782258</v>
      </c>
      <c r="M149" s="611">
        <v>0</v>
      </c>
      <c r="N149" s="611">
        <v>0</v>
      </c>
      <c r="O149" s="611">
        <v>0</v>
      </c>
      <c r="P149" s="611">
        <v>76.103378653538968</v>
      </c>
      <c r="Q149" s="611">
        <v>0</v>
      </c>
      <c r="R149" s="611">
        <v>0</v>
      </c>
      <c r="S149" s="611">
        <v>3.9544581462518629</v>
      </c>
      <c r="T149" s="611">
        <v>44.37948426229088</v>
      </c>
      <c r="U149" s="611">
        <v>1.3166870284552927</v>
      </c>
      <c r="V149" s="611">
        <v>168.6890294604423</v>
      </c>
      <c r="W149" s="611">
        <v>17.27418079590494</v>
      </c>
      <c r="X149" s="611">
        <v>0</v>
      </c>
      <c r="Y149" s="619">
        <v>474.32799555369661</v>
      </c>
      <c r="Z149" s="51"/>
    </row>
    <row r="150" spans="1:26" x14ac:dyDescent="0.25">
      <c r="A150" s="51">
        <v>31</v>
      </c>
      <c r="B150" s="51">
        <v>2023</v>
      </c>
      <c r="C150" s="51" t="s">
        <v>47</v>
      </c>
      <c r="D150" s="51" t="s">
        <v>510</v>
      </c>
      <c r="E150" s="51" t="s">
        <v>564</v>
      </c>
      <c r="F150" s="51"/>
      <c r="G150" s="618" t="s">
        <v>81</v>
      </c>
      <c r="H150" s="611">
        <v>0</v>
      </c>
      <c r="I150" s="611">
        <v>0</v>
      </c>
      <c r="J150" s="611">
        <v>25.235009092788182</v>
      </c>
      <c r="K150" s="681">
        <v>0</v>
      </c>
      <c r="L150" s="611">
        <v>68.270336816562192</v>
      </c>
      <c r="M150" s="611">
        <v>0</v>
      </c>
      <c r="N150" s="611">
        <v>0</v>
      </c>
      <c r="O150" s="611">
        <v>0</v>
      </c>
      <c r="P150" s="611">
        <v>0.36000000000000004</v>
      </c>
      <c r="Q150" s="611">
        <v>0</v>
      </c>
      <c r="R150" s="611">
        <v>0</v>
      </c>
      <c r="S150" s="611">
        <v>2.1404891081100352</v>
      </c>
      <c r="T150" s="611">
        <v>15.024615016833675</v>
      </c>
      <c r="U150" s="611">
        <v>1.7402178324474189</v>
      </c>
      <c r="V150" s="611">
        <v>130.24373408586075</v>
      </c>
      <c r="W150" s="611">
        <v>12.190672214759767</v>
      </c>
      <c r="X150" s="611">
        <v>0</v>
      </c>
      <c r="Y150" s="619">
        <v>255.20507416736203</v>
      </c>
      <c r="Z150" s="51"/>
    </row>
    <row r="151" spans="1:26" x14ac:dyDescent="0.25">
      <c r="A151" s="51">
        <v>32</v>
      </c>
      <c r="B151" s="51">
        <v>2023</v>
      </c>
      <c r="C151" s="51" t="s">
        <v>47</v>
      </c>
      <c r="D151" s="51" t="s">
        <v>511</v>
      </c>
      <c r="E151" s="51" t="s">
        <v>564</v>
      </c>
      <c r="F151" s="51"/>
      <c r="G151" s="618" t="s">
        <v>82</v>
      </c>
      <c r="H151" s="611">
        <v>0</v>
      </c>
      <c r="I151" s="611">
        <v>0</v>
      </c>
      <c r="J151" s="611">
        <v>36.208653144479428</v>
      </c>
      <c r="K151" s="681">
        <v>0</v>
      </c>
      <c r="L151" s="611">
        <v>2.9146398893621868</v>
      </c>
      <c r="M151" s="611">
        <v>0</v>
      </c>
      <c r="N151" s="611">
        <v>0</v>
      </c>
      <c r="O151" s="611">
        <v>0</v>
      </c>
      <c r="P151" s="611">
        <v>0.94259459385793032</v>
      </c>
      <c r="Q151" s="611">
        <v>0</v>
      </c>
      <c r="R151" s="611">
        <v>2.4260088754181774</v>
      </c>
      <c r="S151" s="611">
        <v>9.1383098841388691E-2</v>
      </c>
      <c r="T151" s="611">
        <v>0.15</v>
      </c>
      <c r="U151" s="611">
        <v>0.25485200979833694</v>
      </c>
      <c r="V151" s="611">
        <v>7.5472247344695615</v>
      </c>
      <c r="W151" s="611">
        <v>0</v>
      </c>
      <c r="X151" s="611">
        <v>5.2098714141513347E-2</v>
      </c>
      <c r="Y151" s="619">
        <v>50.587455060368519</v>
      </c>
      <c r="Z151" s="51"/>
    </row>
    <row r="152" spans="1:26" x14ac:dyDescent="0.25">
      <c r="A152" s="51">
        <v>33</v>
      </c>
      <c r="B152" s="51">
        <v>2023</v>
      </c>
      <c r="C152" s="51" t="s">
        <v>47</v>
      </c>
      <c r="D152" s="51" t="s">
        <v>512</v>
      </c>
      <c r="E152" s="51" t="s">
        <v>564</v>
      </c>
      <c r="F152" s="51"/>
      <c r="G152" s="618" t="s">
        <v>354</v>
      </c>
      <c r="H152" s="611">
        <v>0</v>
      </c>
      <c r="I152" s="611">
        <v>0</v>
      </c>
      <c r="J152" s="611">
        <v>0</v>
      </c>
      <c r="K152" s="611">
        <v>0</v>
      </c>
      <c r="L152" s="611">
        <v>0</v>
      </c>
      <c r="M152" s="611">
        <v>0</v>
      </c>
      <c r="N152" s="611">
        <v>0</v>
      </c>
      <c r="O152" s="611">
        <v>0</v>
      </c>
      <c r="P152" s="611">
        <v>0</v>
      </c>
      <c r="Q152" s="611">
        <v>0</v>
      </c>
      <c r="R152" s="611">
        <v>0</v>
      </c>
      <c r="S152" s="611">
        <v>0</v>
      </c>
      <c r="T152" s="611">
        <v>0</v>
      </c>
      <c r="U152" s="611">
        <v>0</v>
      </c>
      <c r="V152" s="611">
        <v>0</v>
      </c>
      <c r="W152" s="611">
        <v>0</v>
      </c>
      <c r="X152" s="611">
        <v>0</v>
      </c>
      <c r="Y152" s="619">
        <v>0</v>
      </c>
      <c r="Z152" s="51"/>
    </row>
    <row r="153" spans="1:26" x14ac:dyDescent="0.25">
      <c r="A153" s="51">
        <v>34</v>
      </c>
      <c r="B153" s="51">
        <v>2023</v>
      </c>
      <c r="C153" s="51" t="s">
        <v>47</v>
      </c>
      <c r="D153" s="51" t="s">
        <v>513</v>
      </c>
      <c r="E153" s="51" t="s">
        <v>564</v>
      </c>
      <c r="F153" s="51"/>
      <c r="G153" s="614" t="s">
        <v>83</v>
      </c>
      <c r="H153" s="615">
        <v>7.9413186748797537</v>
      </c>
      <c r="I153" s="615">
        <v>0</v>
      </c>
      <c r="J153" s="615">
        <v>525.24344266177081</v>
      </c>
      <c r="K153" s="615">
        <v>0</v>
      </c>
      <c r="L153" s="615">
        <v>307.06880346716224</v>
      </c>
      <c r="M153" s="615">
        <v>0</v>
      </c>
      <c r="N153" s="615">
        <v>0</v>
      </c>
      <c r="O153" s="615">
        <v>0</v>
      </c>
      <c r="P153" s="615">
        <v>93.595105076015514</v>
      </c>
      <c r="Q153" s="615">
        <v>4.3951557484053358</v>
      </c>
      <c r="R153" s="615">
        <v>42.16194805270176</v>
      </c>
      <c r="S153" s="615">
        <v>9.6496719196222127</v>
      </c>
      <c r="T153" s="615">
        <v>60.732327794749558</v>
      </c>
      <c r="U153" s="615">
        <v>3.3122074597238544</v>
      </c>
      <c r="V153" s="615">
        <v>436.69485861152975</v>
      </c>
      <c r="W153" s="615">
        <v>48.836163474938729</v>
      </c>
      <c r="X153" s="615">
        <v>0.19467997458663155</v>
      </c>
      <c r="Y153" s="615">
        <v>1539.8256829160862</v>
      </c>
      <c r="Z153" s="51"/>
    </row>
    <row r="154" spans="1:26" x14ac:dyDescent="0.25">
      <c r="A154" s="51">
        <v>35</v>
      </c>
      <c r="B154" s="51">
        <v>2023</v>
      </c>
      <c r="C154" s="51" t="s">
        <v>47</v>
      </c>
      <c r="D154" s="51" t="s">
        <v>514</v>
      </c>
      <c r="E154" s="51" t="s">
        <v>564</v>
      </c>
      <c r="F154" s="51"/>
      <c r="G154" s="610" t="s">
        <v>84</v>
      </c>
      <c r="H154" s="611">
        <v>0</v>
      </c>
      <c r="I154" s="611">
        <v>0</v>
      </c>
      <c r="J154" s="611">
        <v>135.20617101997868</v>
      </c>
      <c r="K154" s="611">
        <v>0.30641446337224754</v>
      </c>
      <c r="L154" s="611">
        <v>11.728401647658821</v>
      </c>
      <c r="M154" s="611">
        <v>0</v>
      </c>
      <c r="N154" s="611">
        <v>0</v>
      </c>
      <c r="O154" s="611">
        <v>0</v>
      </c>
      <c r="P154" s="611">
        <v>2.3560827414524088E-2</v>
      </c>
      <c r="Q154" s="611">
        <v>0</v>
      </c>
      <c r="R154" s="611">
        <v>0.27149673632781923</v>
      </c>
      <c r="S154" s="611">
        <v>0.36199564843709231</v>
      </c>
      <c r="T154" s="611">
        <v>0</v>
      </c>
      <c r="U154" s="611">
        <v>0</v>
      </c>
      <c r="V154" s="611">
        <v>0</v>
      </c>
      <c r="W154" s="611">
        <v>0</v>
      </c>
      <c r="X154" s="611">
        <v>0</v>
      </c>
      <c r="Y154" s="619">
        <v>147.89804034318919</v>
      </c>
      <c r="Z154" s="51"/>
    </row>
    <row r="155" spans="1:26" x14ac:dyDescent="0.25">
      <c r="A155" s="51">
        <v>36</v>
      </c>
      <c r="B155" s="51">
        <v>2023</v>
      </c>
      <c r="C155" s="51" t="s">
        <v>47</v>
      </c>
      <c r="D155" s="51" t="s">
        <v>515</v>
      </c>
      <c r="E155" s="51" t="s">
        <v>564</v>
      </c>
      <c r="F155" s="51"/>
      <c r="G155" s="614" t="s">
        <v>85</v>
      </c>
      <c r="H155" s="615">
        <v>7.9413186748797537</v>
      </c>
      <c r="I155" s="615">
        <v>0</v>
      </c>
      <c r="J155" s="615">
        <v>660.4496136817495</v>
      </c>
      <c r="K155" s="615">
        <v>0.30641446337224754</v>
      </c>
      <c r="L155" s="615">
        <v>318.79720511482105</v>
      </c>
      <c r="M155" s="615">
        <v>0</v>
      </c>
      <c r="N155" s="615">
        <v>0</v>
      </c>
      <c r="O155" s="615">
        <v>0</v>
      </c>
      <c r="P155" s="615">
        <v>93.618665903430042</v>
      </c>
      <c r="Q155" s="615">
        <v>4.3951557484053358</v>
      </c>
      <c r="R155" s="615">
        <v>42.433444789029579</v>
      </c>
      <c r="S155" s="615">
        <v>10.011667568059305</v>
      </c>
      <c r="T155" s="615">
        <v>60.732327794749558</v>
      </c>
      <c r="U155" s="615">
        <v>3.3122074597238544</v>
      </c>
      <c r="V155" s="615">
        <v>436.69485861152975</v>
      </c>
      <c r="W155" s="615">
        <v>48.836163474938729</v>
      </c>
      <c r="X155" s="615">
        <v>0.19467997458663155</v>
      </c>
      <c r="Y155" s="615">
        <v>1687.7237232592754</v>
      </c>
      <c r="Z155" s="51"/>
    </row>
    <row r="156" spans="1:26" x14ac:dyDescent="0.25">
      <c r="A156" s="51"/>
      <c r="B156" s="51"/>
      <c r="C156" s="51"/>
      <c r="D156" s="51"/>
      <c r="E156" s="51"/>
      <c r="F156" s="51"/>
      <c r="G156" s="51"/>
      <c r="H156" s="67">
        <v>0</v>
      </c>
      <c r="I156" s="67">
        <v>4.2905679322302603E-5</v>
      </c>
      <c r="J156" s="67">
        <v>-3.876666666667461E-2</v>
      </c>
      <c r="K156" s="67">
        <v>0</v>
      </c>
      <c r="L156" s="67">
        <v>0</v>
      </c>
      <c r="M156" s="67">
        <v>0</v>
      </c>
      <c r="N156" s="67">
        <v>0</v>
      </c>
      <c r="O156" s="67">
        <v>0</v>
      </c>
      <c r="P156" s="67">
        <v>0</v>
      </c>
      <c r="Q156" s="67">
        <v>-1.0072131549957675E-2</v>
      </c>
      <c r="R156" s="67">
        <v>0</v>
      </c>
      <c r="S156" s="67">
        <v>1.8318679906315083E-15</v>
      </c>
      <c r="T156" s="67">
        <v>0</v>
      </c>
      <c r="U156" s="67">
        <v>0</v>
      </c>
      <c r="V156" s="67">
        <v>1.1368683772161603E-13</v>
      </c>
      <c r="W156" s="67">
        <v>0</v>
      </c>
      <c r="X156" s="67">
        <v>0</v>
      </c>
      <c r="Y156" s="67">
        <v>-4.8795892537782493E-2</v>
      </c>
      <c r="Z156" s="51"/>
    </row>
    <row r="157" spans="1:26" x14ac:dyDescent="0.25">
      <c r="A157" s="51"/>
      <c r="B157" s="51"/>
      <c r="C157" s="51"/>
      <c r="D157" s="51"/>
      <c r="E157" s="51"/>
      <c r="F157" s="51"/>
      <c r="G157" s="51"/>
      <c r="H157" s="51"/>
      <c r="I157" s="51"/>
      <c r="J157" s="51"/>
      <c r="K157" s="51"/>
      <c r="L157" s="51"/>
      <c r="M157" s="51"/>
      <c r="N157" s="51"/>
      <c r="O157" s="51"/>
      <c r="P157" s="51"/>
      <c r="Q157" s="67">
        <v>51.755568203326483</v>
      </c>
      <c r="R157" s="51"/>
      <c r="S157" s="51"/>
      <c r="T157" s="51"/>
      <c r="U157" s="51"/>
      <c r="V157" s="51"/>
      <c r="W157" s="51"/>
      <c r="X157" s="51"/>
      <c r="Y157" s="51"/>
      <c r="Z157" s="51"/>
    </row>
    <row r="158" spans="1:26" x14ac:dyDescent="0.25">
      <c r="A158" s="606"/>
      <c r="B158" s="606"/>
      <c r="C158" s="606"/>
      <c r="D158" s="606"/>
      <c r="E158" s="606"/>
      <c r="F158" s="606"/>
      <c r="G158" s="607" t="s">
        <v>87</v>
      </c>
      <c r="H158" s="606"/>
      <c r="I158" s="606"/>
      <c r="J158" s="606"/>
      <c r="K158" s="606"/>
      <c r="L158" s="606"/>
      <c r="M158" s="606"/>
      <c r="N158" s="606"/>
      <c r="O158" s="606"/>
      <c r="P158" s="606"/>
      <c r="Q158" s="606"/>
      <c r="R158" s="606"/>
      <c r="S158" s="606"/>
      <c r="T158" s="606"/>
      <c r="U158" s="606"/>
      <c r="V158" s="606"/>
      <c r="W158" s="606"/>
      <c r="X158" s="606"/>
      <c r="Y158" s="606"/>
      <c r="Z158" s="606"/>
    </row>
    <row r="159" spans="1:26" x14ac:dyDescent="0.25">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spans="1:26" x14ac:dyDescent="0.25">
      <c r="A160" s="51"/>
      <c r="B160" s="51"/>
      <c r="C160" s="51"/>
      <c r="D160" s="51"/>
      <c r="E160" s="51"/>
      <c r="F160" s="51"/>
      <c r="G160" s="764" t="s">
        <v>128</v>
      </c>
      <c r="H160" s="753" t="s">
        <v>42</v>
      </c>
      <c r="I160" s="753" t="s">
        <v>52</v>
      </c>
      <c r="J160" s="753" t="s">
        <v>53</v>
      </c>
      <c r="K160" s="753" t="s">
        <v>482</v>
      </c>
      <c r="L160" s="753" t="s">
        <v>32</v>
      </c>
      <c r="M160" s="753" t="s">
        <v>483</v>
      </c>
      <c r="N160" s="753" t="s">
        <v>20</v>
      </c>
      <c r="O160" s="753" t="s">
        <v>55</v>
      </c>
      <c r="P160" s="761" t="s">
        <v>56</v>
      </c>
      <c r="Q160" s="762"/>
      <c r="R160" s="762"/>
      <c r="S160" s="762"/>
      <c r="T160" s="762"/>
      <c r="U160" s="763"/>
      <c r="V160" s="753" t="s">
        <v>57</v>
      </c>
      <c r="W160" s="753" t="s">
        <v>58</v>
      </c>
      <c r="X160" s="753" t="s">
        <v>31</v>
      </c>
      <c r="Y160" s="753" t="s">
        <v>10</v>
      </c>
      <c r="Z160" s="51"/>
    </row>
    <row r="161" spans="1:26" ht="36" x14ac:dyDescent="0.25">
      <c r="A161" s="51"/>
      <c r="B161" s="51"/>
      <c r="C161" s="51"/>
      <c r="D161" s="51" t="s">
        <v>486</v>
      </c>
      <c r="E161" s="51"/>
      <c r="F161" s="51"/>
      <c r="G161" s="765"/>
      <c r="H161" s="754"/>
      <c r="I161" s="754"/>
      <c r="J161" s="754"/>
      <c r="K161" s="754"/>
      <c r="L161" s="754"/>
      <c r="M161" s="754"/>
      <c r="N161" s="754"/>
      <c r="O161" s="754"/>
      <c r="P161" s="608" t="s">
        <v>335</v>
      </c>
      <c r="Q161" s="608" t="s">
        <v>40</v>
      </c>
      <c r="R161" s="608" t="s">
        <v>343</v>
      </c>
      <c r="S161" s="608" t="s">
        <v>344</v>
      </c>
      <c r="T161" s="609" t="s">
        <v>345</v>
      </c>
      <c r="U161" s="608" t="s">
        <v>346</v>
      </c>
      <c r="V161" s="754"/>
      <c r="W161" s="754"/>
      <c r="X161" s="754"/>
      <c r="Y161" s="754"/>
      <c r="Z161" s="51"/>
    </row>
    <row r="162" spans="1:26" x14ac:dyDescent="0.25">
      <c r="A162" s="51">
        <v>6</v>
      </c>
      <c r="B162" s="51">
        <v>2025</v>
      </c>
      <c r="C162" s="51" t="s">
        <v>47</v>
      </c>
      <c r="D162" s="51" t="s">
        <v>487</v>
      </c>
      <c r="E162" s="51" t="s">
        <v>564</v>
      </c>
      <c r="F162" s="51"/>
      <c r="G162" s="610" t="s">
        <v>59</v>
      </c>
      <c r="H162" s="611">
        <v>0</v>
      </c>
      <c r="I162" s="611">
        <v>9.7691999999999997</v>
      </c>
      <c r="J162" s="611">
        <v>0</v>
      </c>
      <c r="K162" s="611">
        <v>0</v>
      </c>
      <c r="L162" s="611">
        <v>0.18608000000000002</v>
      </c>
      <c r="M162" s="611">
        <v>0</v>
      </c>
      <c r="N162" s="612">
        <v>1176.7122181818183</v>
      </c>
      <c r="O162" s="612">
        <v>152.240316784774</v>
      </c>
      <c r="P162" s="612">
        <v>281.6578455843275</v>
      </c>
      <c r="Q162" s="612">
        <v>21.015880490871673</v>
      </c>
      <c r="R162" s="611">
        <v>1.8811575028002774</v>
      </c>
      <c r="S162" s="611">
        <v>0.15242099713737783</v>
      </c>
      <c r="T162" s="612">
        <v>74.315707301277087</v>
      </c>
      <c r="U162" s="612">
        <v>9.3796115551408299</v>
      </c>
      <c r="V162" s="611">
        <v>0</v>
      </c>
      <c r="W162" s="611">
        <v>0</v>
      </c>
      <c r="X162" s="611">
        <v>0</v>
      </c>
      <c r="Y162" s="613">
        <v>1706.3901687012121</v>
      </c>
      <c r="Z162" s="51"/>
    </row>
    <row r="163" spans="1:26" x14ac:dyDescent="0.25">
      <c r="A163" s="51">
        <v>7</v>
      </c>
      <c r="B163" s="51">
        <v>2025</v>
      </c>
      <c r="C163" s="51" t="s">
        <v>47</v>
      </c>
      <c r="D163" s="51" t="s">
        <v>488</v>
      </c>
      <c r="E163" s="51" t="s">
        <v>564</v>
      </c>
      <c r="F163" s="51"/>
      <c r="G163" s="610" t="s">
        <v>60</v>
      </c>
      <c r="H163" s="611">
        <v>44.373058103150619</v>
      </c>
      <c r="I163" s="611">
        <v>481.66804331592272</v>
      </c>
      <c r="J163" s="611">
        <v>257.64969972868801</v>
      </c>
      <c r="K163" s="611">
        <v>0.63498415981931611</v>
      </c>
      <c r="L163" s="611">
        <v>385.36650593088063</v>
      </c>
      <c r="M163" s="611">
        <v>0</v>
      </c>
      <c r="N163" s="611">
        <v>0</v>
      </c>
      <c r="O163" s="611">
        <v>0</v>
      </c>
      <c r="P163" s="611">
        <v>2.5596276020988169</v>
      </c>
      <c r="Q163" s="611">
        <v>0</v>
      </c>
      <c r="R163" s="611">
        <v>3.8539533574131823</v>
      </c>
      <c r="S163" s="611">
        <v>0</v>
      </c>
      <c r="T163" s="611">
        <v>0</v>
      </c>
      <c r="U163" s="611">
        <v>0</v>
      </c>
      <c r="V163" s="611">
        <v>0</v>
      </c>
      <c r="W163" s="611">
        <v>0</v>
      </c>
      <c r="X163" s="611">
        <v>0</v>
      </c>
      <c r="Y163" s="613">
        <v>1176.1058721979732</v>
      </c>
      <c r="Z163" s="51"/>
    </row>
    <row r="164" spans="1:26" x14ac:dyDescent="0.25">
      <c r="A164" s="51">
        <v>8</v>
      </c>
      <c r="B164" s="51">
        <v>2025</v>
      </c>
      <c r="C164" s="51" t="s">
        <v>47</v>
      </c>
      <c r="D164" s="51" t="s">
        <v>489</v>
      </c>
      <c r="E164" s="51" t="s">
        <v>564</v>
      </c>
      <c r="F164" s="51"/>
      <c r="G164" s="610" t="s">
        <v>61</v>
      </c>
      <c r="H164" s="611">
        <v>0</v>
      </c>
      <c r="I164" s="611">
        <v>0</v>
      </c>
      <c r="J164" s="611">
        <v>5.1264434786983486</v>
      </c>
      <c r="K164" s="611">
        <v>0</v>
      </c>
      <c r="L164" s="611">
        <v>0</v>
      </c>
      <c r="M164" s="611">
        <v>0</v>
      </c>
      <c r="N164" s="611">
        <v>0</v>
      </c>
      <c r="O164" s="611">
        <v>0</v>
      </c>
      <c r="P164" s="611">
        <v>0</v>
      </c>
      <c r="Q164" s="611">
        <v>0</v>
      </c>
      <c r="R164" s="611">
        <v>0</v>
      </c>
      <c r="S164" s="611">
        <v>0</v>
      </c>
      <c r="T164" s="611">
        <v>0</v>
      </c>
      <c r="U164" s="611">
        <v>0</v>
      </c>
      <c r="V164" s="611">
        <v>-60.64963620940091</v>
      </c>
      <c r="W164" s="611">
        <v>0</v>
      </c>
      <c r="X164" s="611">
        <v>0</v>
      </c>
      <c r="Y164" s="613">
        <v>-55.523192730702561</v>
      </c>
      <c r="Z164" s="51"/>
    </row>
    <row r="165" spans="1:26" x14ac:dyDescent="0.25">
      <c r="A165" s="51">
        <v>9</v>
      </c>
      <c r="B165" s="51">
        <v>2025</v>
      </c>
      <c r="C165" s="51" t="s">
        <v>47</v>
      </c>
      <c r="D165" s="51" t="s">
        <v>490</v>
      </c>
      <c r="E165" s="51" t="s">
        <v>564</v>
      </c>
      <c r="F165" s="51"/>
      <c r="G165" s="610" t="s">
        <v>62</v>
      </c>
      <c r="H165" s="611">
        <v>0</v>
      </c>
      <c r="I165" s="611">
        <v>0</v>
      </c>
      <c r="J165" s="611">
        <v>-16.009162442195709</v>
      </c>
      <c r="K165" s="611">
        <v>0</v>
      </c>
      <c r="L165" s="611">
        <v>-2.4856333304548865</v>
      </c>
      <c r="M165" s="611">
        <v>0</v>
      </c>
      <c r="N165" s="611">
        <v>0</v>
      </c>
      <c r="O165" s="611">
        <v>0</v>
      </c>
      <c r="P165" s="611">
        <v>0</v>
      </c>
      <c r="Q165" s="611">
        <v>0</v>
      </c>
      <c r="R165" s="611">
        <v>-0.46030246860275681</v>
      </c>
      <c r="S165" s="611">
        <v>-0.27618148116165403</v>
      </c>
      <c r="T165" s="611">
        <v>0</v>
      </c>
      <c r="U165" s="611">
        <v>0</v>
      </c>
      <c r="V165" s="611">
        <v>0</v>
      </c>
      <c r="W165" s="611">
        <v>0</v>
      </c>
      <c r="X165" s="611">
        <v>0</v>
      </c>
      <c r="Y165" s="613">
        <v>-19.231279722415007</v>
      </c>
      <c r="Z165" s="51"/>
    </row>
    <row r="166" spans="1:26" x14ac:dyDescent="0.25">
      <c r="A166" s="51">
        <v>10</v>
      </c>
      <c r="B166" s="51">
        <v>2025</v>
      </c>
      <c r="C166" s="51" t="s">
        <v>47</v>
      </c>
      <c r="D166" s="51" t="s">
        <v>491</v>
      </c>
      <c r="E166" s="51" t="s">
        <v>564</v>
      </c>
      <c r="F166" s="51"/>
      <c r="G166" s="610" t="s">
        <v>63</v>
      </c>
      <c r="H166" s="611">
        <v>0</v>
      </c>
      <c r="I166" s="611">
        <v>0</v>
      </c>
      <c r="J166" s="611">
        <v>-68.811122445116922</v>
      </c>
      <c r="K166" s="611">
        <v>0</v>
      </c>
      <c r="L166" s="611">
        <v>0</v>
      </c>
      <c r="M166" s="611">
        <v>0</v>
      </c>
      <c r="N166" s="611">
        <v>0</v>
      </c>
      <c r="O166" s="611">
        <v>0</v>
      </c>
      <c r="P166" s="611">
        <v>0</v>
      </c>
      <c r="Q166" s="611">
        <v>0</v>
      </c>
      <c r="R166" s="611">
        <v>-1.4327774571766247</v>
      </c>
      <c r="S166" s="611">
        <v>0</v>
      </c>
      <c r="T166" s="611">
        <v>0</v>
      </c>
      <c r="U166" s="611">
        <v>0</v>
      </c>
      <c r="V166" s="611">
        <v>0</v>
      </c>
      <c r="W166" s="611">
        <v>0</v>
      </c>
      <c r="X166" s="611">
        <v>0</v>
      </c>
      <c r="Y166" s="613">
        <v>-70.243899902293549</v>
      </c>
      <c r="Z166" s="51"/>
    </row>
    <row r="167" spans="1:26" x14ac:dyDescent="0.25">
      <c r="A167" s="51">
        <v>11</v>
      </c>
      <c r="B167" s="51">
        <v>2025</v>
      </c>
      <c r="C167" s="51" t="s">
        <v>47</v>
      </c>
      <c r="D167" s="51" t="s">
        <v>492</v>
      </c>
      <c r="E167" s="51" t="s">
        <v>564</v>
      </c>
      <c r="F167" s="51"/>
      <c r="G167" s="610" t="s">
        <v>64</v>
      </c>
      <c r="H167" s="611">
        <v>0</v>
      </c>
      <c r="I167" s="611">
        <v>0</v>
      </c>
      <c r="J167" s="611">
        <v>0</v>
      </c>
      <c r="K167" s="611">
        <v>0</v>
      </c>
      <c r="L167" s="611">
        <v>0</v>
      </c>
      <c r="M167" s="611">
        <v>0</v>
      </c>
      <c r="N167" s="611">
        <v>0</v>
      </c>
      <c r="O167" s="611">
        <v>0</v>
      </c>
      <c r="P167" s="611">
        <v>0</v>
      </c>
      <c r="Q167" s="611">
        <v>0</v>
      </c>
      <c r="R167" s="611">
        <v>0</v>
      </c>
      <c r="S167" s="611">
        <v>0</v>
      </c>
      <c r="T167" s="611">
        <v>0</v>
      </c>
      <c r="U167" s="611">
        <v>0</v>
      </c>
      <c r="V167" s="611">
        <v>0</v>
      </c>
      <c r="W167" s="611">
        <v>0</v>
      </c>
      <c r="X167" s="611">
        <v>0</v>
      </c>
      <c r="Y167" s="613">
        <v>0</v>
      </c>
      <c r="Z167" s="51"/>
    </row>
    <row r="168" spans="1:26" x14ac:dyDescent="0.25">
      <c r="A168" s="51">
        <v>12</v>
      </c>
      <c r="B168" s="51">
        <v>2025</v>
      </c>
      <c r="C168" s="51" t="s">
        <v>47</v>
      </c>
      <c r="D168" s="51" t="s">
        <v>493</v>
      </c>
      <c r="E168" s="51" t="s">
        <v>564</v>
      </c>
      <c r="F168" s="51"/>
      <c r="G168" s="614" t="s">
        <v>65</v>
      </c>
      <c r="H168" s="615">
        <v>44.373058103150619</v>
      </c>
      <c r="I168" s="615">
        <v>491.43724331592273</v>
      </c>
      <c r="J168" s="615">
        <v>177.9558583200737</v>
      </c>
      <c r="K168" s="615">
        <v>0.63498415981931611</v>
      </c>
      <c r="L168" s="615">
        <v>383.06695260042574</v>
      </c>
      <c r="M168" s="615">
        <v>0</v>
      </c>
      <c r="N168" s="615">
        <v>1176.7122181818183</v>
      </c>
      <c r="O168" s="615">
        <v>152.240316784774</v>
      </c>
      <c r="P168" s="615">
        <v>284.21747318642633</v>
      </c>
      <c r="Q168" s="615">
        <v>21.015880490871673</v>
      </c>
      <c r="R168" s="615">
        <v>3.8420309344340784</v>
      </c>
      <c r="S168" s="615">
        <v>-0.1237604840242762</v>
      </c>
      <c r="T168" s="615">
        <v>74.315707301277087</v>
      </c>
      <c r="U168" s="615">
        <v>9.3796115551408299</v>
      </c>
      <c r="V168" s="615">
        <v>-60.64963620940091</v>
      </c>
      <c r="W168" s="615">
        <v>0</v>
      </c>
      <c r="X168" s="615">
        <v>0</v>
      </c>
      <c r="Y168" s="615">
        <v>2737.4976685437746</v>
      </c>
      <c r="Z168" s="51"/>
    </row>
    <row r="169" spans="1:26" x14ac:dyDescent="0.25">
      <c r="A169" s="51"/>
      <c r="B169" s="51"/>
      <c r="C169" s="51"/>
      <c r="D169" s="51"/>
      <c r="E169" s="51"/>
      <c r="F169" s="51"/>
      <c r="G169" s="616"/>
      <c r="H169" s="617"/>
      <c r="I169" s="617"/>
      <c r="J169" s="617"/>
      <c r="K169" s="617"/>
      <c r="L169" s="623"/>
      <c r="M169" s="617"/>
      <c r="N169" s="617"/>
      <c r="O169" s="617"/>
      <c r="P169" s="617"/>
      <c r="Q169" s="617"/>
      <c r="R169" s="617"/>
      <c r="S169" s="617"/>
      <c r="T169" s="617"/>
      <c r="U169" s="617"/>
      <c r="V169" s="617"/>
      <c r="W169" s="617"/>
      <c r="X169" s="617"/>
      <c r="Y169" s="617"/>
      <c r="Z169" s="51"/>
    </row>
    <row r="170" spans="1:26" x14ac:dyDescent="0.25">
      <c r="A170" s="51">
        <v>14</v>
      </c>
      <c r="B170" s="51">
        <v>2025</v>
      </c>
      <c r="C170" s="51" t="s">
        <v>47</v>
      </c>
      <c r="D170" s="51" t="s">
        <v>494</v>
      </c>
      <c r="E170" s="51" t="s">
        <v>564</v>
      </c>
      <c r="F170" s="51"/>
      <c r="G170" s="618" t="s">
        <v>67</v>
      </c>
      <c r="H170" s="611">
        <v>0</v>
      </c>
      <c r="I170" s="611">
        <v>0</v>
      </c>
      <c r="J170" s="611">
        <v>0</v>
      </c>
      <c r="K170" s="611">
        <v>0</v>
      </c>
      <c r="L170" s="611">
        <v>0</v>
      </c>
      <c r="M170" s="611">
        <v>0</v>
      </c>
      <c r="N170" s="611">
        <v>0</v>
      </c>
      <c r="O170" s="611">
        <v>0</v>
      </c>
      <c r="P170" s="611">
        <v>0</v>
      </c>
      <c r="Q170" s="611">
        <v>0</v>
      </c>
      <c r="R170" s="611">
        <v>0</v>
      </c>
      <c r="S170" s="611">
        <v>0</v>
      </c>
      <c r="T170" s="611">
        <v>0</v>
      </c>
      <c r="U170" s="611">
        <v>0</v>
      </c>
      <c r="V170" s="611">
        <v>0</v>
      </c>
      <c r="W170" s="611">
        <v>0</v>
      </c>
      <c r="X170" s="611">
        <v>0</v>
      </c>
      <c r="Y170" s="619">
        <v>0</v>
      </c>
      <c r="Z170" s="51"/>
    </row>
    <row r="171" spans="1:26" x14ac:dyDescent="0.25">
      <c r="A171" s="51">
        <v>15</v>
      </c>
      <c r="B171" s="51">
        <v>2025</v>
      </c>
      <c r="C171" s="51" t="s">
        <v>47</v>
      </c>
      <c r="D171" s="51" t="s">
        <v>495</v>
      </c>
      <c r="E171" s="51" t="s">
        <v>564</v>
      </c>
      <c r="F171" s="51"/>
      <c r="G171" s="618" t="s">
        <v>347</v>
      </c>
      <c r="H171" s="611">
        <v>0</v>
      </c>
      <c r="I171" s="611">
        <v>0</v>
      </c>
      <c r="J171" s="611">
        <v>1.2480917967309697</v>
      </c>
      <c r="K171" s="611">
        <v>0</v>
      </c>
      <c r="L171" s="611">
        <v>57.424160241509412</v>
      </c>
      <c r="M171" s="611">
        <v>0</v>
      </c>
      <c r="N171" s="611">
        <v>1176.7122181818183</v>
      </c>
      <c r="O171" s="611">
        <v>152.240316784774</v>
      </c>
      <c r="P171" s="611">
        <v>29.806224426043897</v>
      </c>
      <c r="Q171" s="611">
        <v>0.75076470734973844</v>
      </c>
      <c r="R171" s="611">
        <v>5.5512316182098811</v>
      </c>
      <c r="S171" s="611">
        <v>8.6970276246297633</v>
      </c>
      <c r="T171" s="611">
        <v>0</v>
      </c>
      <c r="U171" s="611">
        <v>0.31861460974897526</v>
      </c>
      <c r="V171" s="611">
        <v>-593.29410548285898</v>
      </c>
      <c r="W171" s="611">
        <v>0</v>
      </c>
      <c r="X171" s="611">
        <v>0</v>
      </c>
      <c r="Y171" s="619">
        <v>839.45454450795603</v>
      </c>
      <c r="Z171" s="51"/>
    </row>
    <row r="172" spans="1:26" x14ac:dyDescent="0.25">
      <c r="A172" s="51">
        <v>16</v>
      </c>
      <c r="B172" s="51">
        <v>2025</v>
      </c>
      <c r="C172" s="51" t="s">
        <v>47</v>
      </c>
      <c r="D172" s="51" t="s">
        <v>496</v>
      </c>
      <c r="E172" s="51" t="s">
        <v>564</v>
      </c>
      <c r="F172" s="51"/>
      <c r="G172" s="618" t="s">
        <v>348</v>
      </c>
      <c r="H172" s="611">
        <v>0.1931818181818182</v>
      </c>
      <c r="I172" s="611">
        <v>0</v>
      </c>
      <c r="J172" s="611">
        <v>0</v>
      </c>
      <c r="K172" s="611">
        <v>0</v>
      </c>
      <c r="L172" s="611">
        <v>17.330139562351146</v>
      </c>
      <c r="M172" s="611">
        <v>0</v>
      </c>
      <c r="N172" s="611">
        <v>0</v>
      </c>
      <c r="O172" s="611">
        <v>0</v>
      </c>
      <c r="P172" s="611">
        <v>24.453550946035321</v>
      </c>
      <c r="Q172" s="611">
        <v>14.836563069212596</v>
      </c>
      <c r="R172" s="611">
        <v>0</v>
      </c>
      <c r="S172" s="611">
        <v>3.0707344574080926</v>
      </c>
      <c r="T172" s="611">
        <v>0</v>
      </c>
      <c r="U172" s="611">
        <v>5.2038019693589428</v>
      </c>
      <c r="V172" s="611">
        <v>0</v>
      </c>
      <c r="W172" s="611">
        <v>-58.530702869348033</v>
      </c>
      <c r="X172" s="611">
        <v>0</v>
      </c>
      <c r="Y172" s="619">
        <v>6.5572689531998805</v>
      </c>
      <c r="Z172" s="51"/>
    </row>
    <row r="173" spans="1:26" x14ac:dyDescent="0.25">
      <c r="A173" s="51">
        <v>17</v>
      </c>
      <c r="B173" s="51">
        <v>2025</v>
      </c>
      <c r="C173" s="51" t="s">
        <v>47</v>
      </c>
      <c r="D173" s="51" t="s">
        <v>497</v>
      </c>
      <c r="E173" s="51" t="s">
        <v>564</v>
      </c>
      <c r="F173" s="51"/>
      <c r="G173" s="618" t="s">
        <v>349</v>
      </c>
      <c r="H173" s="611">
        <v>0</v>
      </c>
      <c r="I173" s="611">
        <v>0</v>
      </c>
      <c r="J173" s="611">
        <v>0</v>
      </c>
      <c r="K173" s="611">
        <v>0</v>
      </c>
      <c r="L173" s="611">
        <v>0</v>
      </c>
      <c r="M173" s="611">
        <v>0</v>
      </c>
      <c r="N173" s="611">
        <v>0</v>
      </c>
      <c r="O173" s="611">
        <v>0</v>
      </c>
      <c r="P173" s="611">
        <v>51.438196075617952</v>
      </c>
      <c r="Q173" s="611">
        <v>0</v>
      </c>
      <c r="R173" s="611">
        <v>0</v>
      </c>
      <c r="S173" s="611">
        <v>-28.291007841589874</v>
      </c>
      <c r="T173" s="611">
        <v>0</v>
      </c>
      <c r="U173" s="611">
        <v>0</v>
      </c>
      <c r="V173" s="611">
        <v>0</v>
      </c>
      <c r="W173" s="611">
        <v>0</v>
      </c>
      <c r="X173" s="611">
        <v>0</v>
      </c>
      <c r="Y173" s="619">
        <v>23.147188234028079</v>
      </c>
      <c r="Z173" s="51"/>
    </row>
    <row r="174" spans="1:26" x14ac:dyDescent="0.25">
      <c r="A174" s="51">
        <v>18</v>
      </c>
      <c r="B174" s="51">
        <v>2025</v>
      </c>
      <c r="C174" s="51" t="s">
        <v>47</v>
      </c>
      <c r="D174" s="51" t="s">
        <v>498</v>
      </c>
      <c r="E174" s="51" t="s">
        <v>564</v>
      </c>
      <c r="F174" s="51"/>
      <c r="G174" s="618" t="s">
        <v>350</v>
      </c>
      <c r="H174" s="611">
        <v>0</v>
      </c>
      <c r="I174" s="611">
        <v>0</v>
      </c>
      <c r="J174" s="611">
        <v>0</v>
      </c>
      <c r="K174" s="611">
        <v>0</v>
      </c>
      <c r="L174" s="611">
        <v>0</v>
      </c>
      <c r="M174" s="611">
        <v>0</v>
      </c>
      <c r="N174" s="611">
        <v>0</v>
      </c>
      <c r="O174" s="611">
        <v>0</v>
      </c>
      <c r="P174" s="611">
        <v>0</v>
      </c>
      <c r="Q174" s="611">
        <v>0</v>
      </c>
      <c r="R174" s="611">
        <v>0</v>
      </c>
      <c r="S174" s="611">
        <v>0</v>
      </c>
      <c r="T174" s="611">
        <v>0</v>
      </c>
      <c r="U174" s="611">
        <v>0</v>
      </c>
      <c r="V174" s="611">
        <v>0</v>
      </c>
      <c r="W174" s="611">
        <v>0</v>
      </c>
      <c r="X174" s="611">
        <v>0</v>
      </c>
      <c r="Y174" s="619">
        <v>0</v>
      </c>
      <c r="Z174" s="51"/>
    </row>
    <row r="175" spans="1:26" x14ac:dyDescent="0.25">
      <c r="A175" s="51">
        <v>19</v>
      </c>
      <c r="B175" s="51">
        <v>2025</v>
      </c>
      <c r="C175" s="51" t="s">
        <v>47</v>
      </c>
      <c r="D175" s="51" t="s">
        <v>499</v>
      </c>
      <c r="E175" s="51" t="s">
        <v>564</v>
      </c>
      <c r="F175" s="51"/>
      <c r="G175" s="618" t="s">
        <v>72</v>
      </c>
      <c r="H175" s="611">
        <v>0</v>
      </c>
      <c r="I175" s="611">
        <v>509.3424711498314</v>
      </c>
      <c r="J175" s="611">
        <v>-504.27468514640634</v>
      </c>
      <c r="K175" s="611">
        <v>0</v>
      </c>
      <c r="L175" s="611">
        <v>0</v>
      </c>
      <c r="M175" s="611">
        <v>0</v>
      </c>
      <c r="N175" s="611">
        <v>0</v>
      </c>
      <c r="O175" s="611">
        <v>0</v>
      </c>
      <c r="P175" s="611">
        <v>0</v>
      </c>
      <c r="Q175" s="611">
        <v>0</v>
      </c>
      <c r="R175" s="611">
        <v>0</v>
      </c>
      <c r="S175" s="611">
        <v>0</v>
      </c>
      <c r="T175" s="611">
        <v>0</v>
      </c>
      <c r="U175" s="611">
        <v>0</v>
      </c>
      <c r="V175" s="611">
        <v>0</v>
      </c>
      <c r="W175" s="611">
        <v>0</v>
      </c>
      <c r="X175" s="611">
        <v>0</v>
      </c>
      <c r="Y175" s="619">
        <v>5.0677860034250557</v>
      </c>
      <c r="Z175" s="51"/>
    </row>
    <row r="176" spans="1:26" x14ac:dyDescent="0.25">
      <c r="A176" s="51">
        <v>20</v>
      </c>
      <c r="B176" s="51">
        <v>2025</v>
      </c>
      <c r="C176" s="51" t="s">
        <v>47</v>
      </c>
      <c r="D176" s="51" t="s">
        <v>500</v>
      </c>
      <c r="E176" s="51" t="s">
        <v>564</v>
      </c>
      <c r="F176" s="51"/>
      <c r="G176" s="618" t="s">
        <v>351</v>
      </c>
      <c r="H176" s="611">
        <v>0</v>
      </c>
      <c r="I176" s="611">
        <v>0</v>
      </c>
      <c r="J176" s="611">
        <v>0</v>
      </c>
      <c r="K176" s="611">
        <v>0</v>
      </c>
      <c r="L176" s="611">
        <v>0</v>
      </c>
      <c r="M176" s="611">
        <v>0</v>
      </c>
      <c r="N176" s="611">
        <v>0</v>
      </c>
      <c r="O176" s="611">
        <v>0</v>
      </c>
      <c r="P176" s="611">
        <v>87.682497211478818</v>
      </c>
      <c r="Q176" s="611">
        <v>0</v>
      </c>
      <c r="R176" s="611">
        <v>-48.225373466313343</v>
      </c>
      <c r="S176" s="611">
        <v>0</v>
      </c>
      <c r="T176" s="611">
        <v>0</v>
      </c>
      <c r="U176" s="611">
        <v>0</v>
      </c>
      <c r="V176" s="611">
        <v>0</v>
      </c>
      <c r="W176" s="611">
        <v>0</v>
      </c>
      <c r="X176" s="611">
        <v>0</v>
      </c>
      <c r="Y176" s="619">
        <v>39.457123745165475</v>
      </c>
      <c r="Z176" s="51"/>
    </row>
    <row r="177" spans="1:26" x14ac:dyDescent="0.25">
      <c r="A177" s="51">
        <v>21</v>
      </c>
      <c r="B177" s="51">
        <v>2025</v>
      </c>
      <c r="C177" s="51" t="s">
        <v>47</v>
      </c>
      <c r="D177" s="51" t="s">
        <v>501</v>
      </c>
      <c r="E177" s="51" t="s">
        <v>564</v>
      </c>
      <c r="F177" s="51"/>
      <c r="G177" s="618" t="s">
        <v>352</v>
      </c>
      <c r="H177" s="611">
        <v>0</v>
      </c>
      <c r="I177" s="611">
        <v>0</v>
      </c>
      <c r="J177" s="611">
        <v>0</v>
      </c>
      <c r="K177" s="611">
        <v>0</v>
      </c>
      <c r="L177" s="611">
        <v>0</v>
      </c>
      <c r="M177" s="611">
        <v>0</v>
      </c>
      <c r="N177" s="611">
        <v>0</v>
      </c>
      <c r="O177" s="611">
        <v>0</v>
      </c>
      <c r="P177" s="611">
        <v>0</v>
      </c>
      <c r="Q177" s="611">
        <v>0</v>
      </c>
      <c r="R177" s="611">
        <v>0</v>
      </c>
      <c r="S177" s="611">
        <v>0</v>
      </c>
      <c r="T177" s="611">
        <v>0</v>
      </c>
      <c r="U177" s="611">
        <v>0</v>
      </c>
      <c r="V177" s="611">
        <v>0</v>
      </c>
      <c r="W177" s="611">
        <v>0</v>
      </c>
      <c r="X177" s="611">
        <v>0</v>
      </c>
      <c r="Y177" s="619">
        <v>0</v>
      </c>
      <c r="Z177" s="51"/>
    </row>
    <row r="178" spans="1:26" x14ac:dyDescent="0.25">
      <c r="A178" s="51">
        <v>22</v>
      </c>
      <c r="B178" s="51">
        <v>2025</v>
      </c>
      <c r="C178" s="51" t="s">
        <v>47</v>
      </c>
      <c r="D178" s="51" t="s">
        <v>502</v>
      </c>
      <c r="E178" s="51" t="s">
        <v>564</v>
      </c>
      <c r="F178" s="51"/>
      <c r="G178" s="618" t="s">
        <v>73</v>
      </c>
      <c r="H178" s="611">
        <v>0</v>
      </c>
      <c r="I178" s="611">
        <v>0</v>
      </c>
      <c r="J178" s="611">
        <v>0</v>
      </c>
      <c r="K178" s="611">
        <v>0</v>
      </c>
      <c r="L178" s="611">
        <v>0</v>
      </c>
      <c r="M178" s="611">
        <v>0</v>
      </c>
      <c r="N178" s="611">
        <v>0</v>
      </c>
      <c r="O178" s="611">
        <v>0</v>
      </c>
      <c r="P178" s="611">
        <v>0</v>
      </c>
      <c r="Q178" s="611">
        <v>0</v>
      </c>
      <c r="R178" s="611">
        <v>0</v>
      </c>
      <c r="S178" s="611">
        <v>0</v>
      </c>
      <c r="T178" s="611">
        <v>0</v>
      </c>
      <c r="U178" s="611">
        <v>0</v>
      </c>
      <c r="V178" s="611">
        <v>1.5554055303907433</v>
      </c>
      <c r="W178" s="611">
        <v>0</v>
      </c>
      <c r="X178" s="611">
        <v>-1.0110135947539831</v>
      </c>
      <c r="Y178" s="619">
        <v>0.54439193563676014</v>
      </c>
      <c r="Z178" s="51"/>
    </row>
    <row r="179" spans="1:26" x14ac:dyDescent="0.25">
      <c r="A179" s="51">
        <v>23</v>
      </c>
      <c r="B179" s="51">
        <v>2025</v>
      </c>
      <c r="C179" s="51" t="s">
        <v>47</v>
      </c>
      <c r="D179" s="51" t="s">
        <v>503</v>
      </c>
      <c r="E179" s="51" t="s">
        <v>564</v>
      </c>
      <c r="F179" s="51"/>
      <c r="G179" s="618" t="s">
        <v>353</v>
      </c>
      <c r="H179" s="611">
        <v>27.267752812500003</v>
      </c>
      <c r="I179" s="611">
        <v>-17.905227833908707</v>
      </c>
      <c r="J179" s="611">
        <v>23.291810631318608</v>
      </c>
      <c r="K179" s="611">
        <v>0</v>
      </c>
      <c r="L179" s="611">
        <v>0</v>
      </c>
      <c r="M179" s="611">
        <v>0</v>
      </c>
      <c r="N179" s="611">
        <v>0</v>
      </c>
      <c r="O179" s="611">
        <v>0</v>
      </c>
      <c r="P179" s="611">
        <v>0</v>
      </c>
      <c r="Q179" s="611">
        <v>0</v>
      </c>
      <c r="R179" s="611">
        <v>0</v>
      </c>
      <c r="S179" s="611">
        <v>0</v>
      </c>
      <c r="T179" s="611">
        <v>0</v>
      </c>
      <c r="U179" s="611">
        <v>0</v>
      </c>
      <c r="V179" s="611">
        <v>0</v>
      </c>
      <c r="W179" s="611">
        <v>0</v>
      </c>
      <c r="X179" s="611">
        <v>0</v>
      </c>
      <c r="Y179" s="619">
        <v>32.654335609909907</v>
      </c>
      <c r="Z179" s="51"/>
    </row>
    <row r="180" spans="1:26" x14ac:dyDescent="0.25">
      <c r="A180" s="51">
        <v>24</v>
      </c>
      <c r="B180" s="51">
        <v>2025</v>
      </c>
      <c r="C180" s="51" t="s">
        <v>47</v>
      </c>
      <c r="D180" s="51" t="s">
        <v>504</v>
      </c>
      <c r="E180" s="51" t="s">
        <v>564</v>
      </c>
      <c r="F180" s="51"/>
      <c r="G180" s="618" t="s">
        <v>75</v>
      </c>
      <c r="H180" s="611">
        <v>10.604126093750002</v>
      </c>
      <c r="I180" s="611">
        <v>0</v>
      </c>
      <c r="J180" s="611">
        <v>17.554057596565926</v>
      </c>
      <c r="K180" s="611">
        <v>0</v>
      </c>
      <c r="L180" s="611">
        <v>5.487827419085181</v>
      </c>
      <c r="M180" s="611">
        <v>0</v>
      </c>
      <c r="N180" s="611">
        <v>0</v>
      </c>
      <c r="O180" s="611">
        <v>0</v>
      </c>
      <c r="P180" s="611">
        <v>0</v>
      </c>
      <c r="Q180" s="611">
        <v>0</v>
      </c>
      <c r="R180" s="611">
        <v>0</v>
      </c>
      <c r="S180" s="611">
        <v>0.28883302205711481</v>
      </c>
      <c r="T180" s="611">
        <v>0</v>
      </c>
      <c r="U180" s="611">
        <v>0</v>
      </c>
      <c r="V180" s="611">
        <v>42.752398557782683</v>
      </c>
      <c r="W180" s="611">
        <v>0</v>
      </c>
      <c r="X180" s="611">
        <v>0</v>
      </c>
      <c r="Y180" s="619">
        <v>76.687242689240904</v>
      </c>
      <c r="Z180" s="51"/>
    </row>
    <row r="181" spans="1:26" x14ac:dyDescent="0.25">
      <c r="A181" s="51">
        <v>25</v>
      </c>
      <c r="B181" s="51">
        <v>2025</v>
      </c>
      <c r="C181" s="51" t="s">
        <v>47</v>
      </c>
      <c r="D181" s="51" t="s">
        <v>505</v>
      </c>
      <c r="E181" s="51" t="s">
        <v>564</v>
      </c>
      <c r="F181" s="51"/>
      <c r="G181" s="618" t="s">
        <v>76</v>
      </c>
      <c r="H181" s="611">
        <v>0</v>
      </c>
      <c r="I181" s="611">
        <v>0</v>
      </c>
      <c r="J181" s="611">
        <v>0</v>
      </c>
      <c r="K181" s="611">
        <v>0</v>
      </c>
      <c r="L181" s="611">
        <v>4.4692306192277789</v>
      </c>
      <c r="M181" s="611">
        <v>0</v>
      </c>
      <c r="N181" s="611">
        <v>0</v>
      </c>
      <c r="O181" s="611">
        <v>0</v>
      </c>
      <c r="P181" s="611">
        <v>0</v>
      </c>
      <c r="Q181" s="611">
        <v>0</v>
      </c>
      <c r="R181" s="611">
        <v>0</v>
      </c>
      <c r="S181" s="611">
        <v>0.23522266416988311</v>
      </c>
      <c r="T181" s="611">
        <v>0</v>
      </c>
      <c r="U181" s="611">
        <v>0</v>
      </c>
      <c r="V181" s="611">
        <v>40.801862855944734</v>
      </c>
      <c r="W181" s="611">
        <v>4.5397272426380306</v>
      </c>
      <c r="X181" s="611">
        <v>0</v>
      </c>
      <c r="Y181" s="619">
        <v>50.046043381980425</v>
      </c>
      <c r="Z181" s="51"/>
    </row>
    <row r="182" spans="1:26" x14ac:dyDescent="0.25">
      <c r="A182" s="51">
        <v>26</v>
      </c>
      <c r="B182" s="51">
        <v>2025</v>
      </c>
      <c r="C182" s="51" t="s">
        <v>47</v>
      </c>
      <c r="D182" s="51" t="s">
        <v>506</v>
      </c>
      <c r="E182" s="51" t="s">
        <v>564</v>
      </c>
      <c r="F182" s="51"/>
      <c r="G182" s="614" t="s">
        <v>77</v>
      </c>
      <c r="H182" s="615">
        <v>38.065060724431824</v>
      </c>
      <c r="I182" s="615">
        <v>491.43724331592267</v>
      </c>
      <c r="J182" s="615">
        <v>-462.18072512179083</v>
      </c>
      <c r="K182" s="615">
        <v>0</v>
      </c>
      <c r="L182" s="615">
        <v>84.711357842173513</v>
      </c>
      <c r="M182" s="615">
        <v>0</v>
      </c>
      <c r="N182" s="615">
        <v>1176.7122181818183</v>
      </c>
      <c r="O182" s="615">
        <v>152.240316784774</v>
      </c>
      <c r="P182" s="615">
        <v>193.38046865917599</v>
      </c>
      <c r="Q182" s="615">
        <v>15.587327776562335</v>
      </c>
      <c r="R182" s="615">
        <v>-42.67414184810346</v>
      </c>
      <c r="S182" s="615">
        <v>-15.999190073325019</v>
      </c>
      <c r="T182" s="615">
        <v>0</v>
      </c>
      <c r="U182" s="615">
        <v>5.5224165791079178</v>
      </c>
      <c r="V182" s="615">
        <v>-508.18443853874078</v>
      </c>
      <c r="W182" s="615">
        <v>-53.990975626710004</v>
      </c>
      <c r="X182" s="615">
        <v>-1.0110135947539831</v>
      </c>
      <c r="Y182" s="615">
        <v>1052.6956553636076</v>
      </c>
      <c r="Z182" s="51"/>
    </row>
    <row r="183" spans="1:26" x14ac:dyDescent="0.25">
      <c r="A183" s="51"/>
      <c r="B183" s="51"/>
      <c r="C183" s="51"/>
      <c r="D183" s="51"/>
      <c r="E183" s="51"/>
      <c r="F183" s="51"/>
      <c r="G183" s="616"/>
      <c r="H183" s="617"/>
      <c r="I183" s="617"/>
      <c r="J183" s="617"/>
      <c r="K183" s="617"/>
      <c r="L183" s="623"/>
      <c r="M183" s="617"/>
      <c r="N183" s="617"/>
      <c r="O183" s="617"/>
      <c r="P183" s="617"/>
      <c r="Q183" s="617"/>
      <c r="R183" s="617"/>
      <c r="S183" s="617"/>
      <c r="T183" s="617"/>
      <c r="U183" s="617"/>
      <c r="V183" s="617"/>
      <c r="W183" s="617"/>
      <c r="X183" s="617"/>
      <c r="Y183" s="617"/>
      <c r="Z183" s="51"/>
    </row>
    <row r="184" spans="1:26" x14ac:dyDescent="0.25">
      <c r="A184" s="51">
        <v>28</v>
      </c>
      <c r="B184" s="51">
        <v>2025</v>
      </c>
      <c r="C184" s="51" t="s">
        <v>47</v>
      </c>
      <c r="D184" s="51" t="s">
        <v>507</v>
      </c>
      <c r="E184" s="51" t="s">
        <v>564</v>
      </c>
      <c r="F184" s="51"/>
      <c r="G184" s="618" t="s">
        <v>78</v>
      </c>
      <c r="H184" s="611">
        <v>6.3079973787187962</v>
      </c>
      <c r="I184" s="611">
        <v>0</v>
      </c>
      <c r="J184" s="611">
        <v>21.669942218787114</v>
      </c>
      <c r="K184" s="681">
        <v>0</v>
      </c>
      <c r="L184" s="611">
        <v>102.6617635637746</v>
      </c>
      <c r="M184" s="611">
        <v>0</v>
      </c>
      <c r="N184" s="611">
        <v>0</v>
      </c>
      <c r="O184" s="611">
        <v>0</v>
      </c>
      <c r="P184" s="611">
        <v>18.096562918466454</v>
      </c>
      <c r="Q184" s="611">
        <v>5.427937458160871</v>
      </c>
      <c r="R184" s="611">
        <v>0.8476478513209047</v>
      </c>
      <c r="S184" s="611">
        <v>5.4267911970332632</v>
      </c>
      <c r="T184" s="611">
        <v>2.4387543945312502</v>
      </c>
      <c r="U184" s="611">
        <v>4.7991131198633983E-4</v>
      </c>
      <c r="V184" s="611">
        <v>128.0707707310485</v>
      </c>
      <c r="W184" s="611">
        <v>19.852648297903425</v>
      </c>
      <c r="X184" s="611">
        <v>0.5635193481445312</v>
      </c>
      <c r="Y184" s="619">
        <v>311.36481526920176</v>
      </c>
      <c r="Z184" s="51"/>
    </row>
    <row r="185" spans="1:26" x14ac:dyDescent="0.25">
      <c r="A185" s="51">
        <v>29</v>
      </c>
      <c r="B185" s="51">
        <v>2025</v>
      </c>
      <c r="C185" s="51" t="s">
        <v>47</v>
      </c>
      <c r="D185" s="51" t="s">
        <v>508</v>
      </c>
      <c r="E185" s="51" t="s">
        <v>564</v>
      </c>
      <c r="F185" s="51"/>
      <c r="G185" s="618" t="s">
        <v>79</v>
      </c>
      <c r="H185" s="611">
        <v>0</v>
      </c>
      <c r="I185" s="611">
        <v>0</v>
      </c>
      <c r="J185" s="611">
        <v>405.6747609386457</v>
      </c>
      <c r="K185" s="681">
        <v>0</v>
      </c>
      <c r="L185" s="611">
        <v>4.0775382013137236</v>
      </c>
      <c r="M185" s="611">
        <v>0</v>
      </c>
      <c r="N185" s="611">
        <v>0</v>
      </c>
      <c r="O185" s="611">
        <v>0</v>
      </c>
      <c r="P185" s="611">
        <v>0</v>
      </c>
      <c r="Q185" s="611">
        <v>0</v>
      </c>
      <c r="R185" s="611">
        <v>42.098104263639655</v>
      </c>
      <c r="S185" s="611">
        <v>0.21460727375335389</v>
      </c>
      <c r="T185" s="611">
        <v>0</v>
      </c>
      <c r="U185" s="611">
        <v>0</v>
      </c>
      <c r="V185" s="611">
        <v>16.304325769708704</v>
      </c>
      <c r="W185" s="611">
        <v>0</v>
      </c>
      <c r="X185" s="611">
        <v>0</v>
      </c>
      <c r="Y185" s="619">
        <v>468.36933644706113</v>
      </c>
      <c r="Z185" s="51"/>
    </row>
    <row r="186" spans="1:26" x14ac:dyDescent="0.25">
      <c r="A186" s="51">
        <v>30</v>
      </c>
      <c r="B186" s="51">
        <v>2025</v>
      </c>
      <c r="C186" s="51" t="s">
        <v>47</v>
      </c>
      <c r="D186" s="51" t="s">
        <v>509</v>
      </c>
      <c r="E186" s="51" t="s">
        <v>564</v>
      </c>
      <c r="F186" s="51"/>
      <c r="G186" s="618" t="s">
        <v>80</v>
      </c>
      <c r="H186" s="611">
        <v>0</v>
      </c>
      <c r="I186" s="611">
        <v>0</v>
      </c>
      <c r="J186" s="611">
        <v>24.337177976891855</v>
      </c>
      <c r="K186" s="681">
        <v>0</v>
      </c>
      <c r="L186" s="611">
        <v>113.38516289064424</v>
      </c>
      <c r="M186" s="611">
        <v>0</v>
      </c>
      <c r="N186" s="611">
        <v>0</v>
      </c>
      <c r="O186" s="611">
        <v>0</v>
      </c>
      <c r="P186" s="611">
        <v>70.998815146846852</v>
      </c>
      <c r="Q186" s="611">
        <v>0</v>
      </c>
      <c r="R186" s="611">
        <v>0</v>
      </c>
      <c r="S186" s="611">
        <v>5.9676401521391718</v>
      </c>
      <c r="T186" s="611">
        <v>52.187634724927648</v>
      </c>
      <c r="U186" s="611">
        <v>1.4641172536229392</v>
      </c>
      <c r="V186" s="611">
        <v>168.29063884176477</v>
      </c>
      <c r="W186" s="611">
        <v>20.229146255578474</v>
      </c>
      <c r="X186" s="611">
        <v>0</v>
      </c>
      <c r="Y186" s="619">
        <v>456.860333242416</v>
      </c>
      <c r="Z186" s="51"/>
    </row>
    <row r="187" spans="1:26" x14ac:dyDescent="0.25">
      <c r="A187" s="51">
        <v>31</v>
      </c>
      <c r="B187" s="51">
        <v>2025</v>
      </c>
      <c r="C187" s="51" t="s">
        <v>47</v>
      </c>
      <c r="D187" s="51" t="s">
        <v>510</v>
      </c>
      <c r="E187" s="51" t="s">
        <v>564</v>
      </c>
      <c r="F187" s="51"/>
      <c r="G187" s="618" t="s">
        <v>81</v>
      </c>
      <c r="H187" s="611">
        <v>0</v>
      </c>
      <c r="I187" s="611">
        <v>0</v>
      </c>
      <c r="J187" s="611">
        <v>18.909234956146378</v>
      </c>
      <c r="K187" s="681">
        <v>0</v>
      </c>
      <c r="L187" s="611">
        <v>62.121409416066491</v>
      </c>
      <c r="M187" s="611">
        <v>0</v>
      </c>
      <c r="N187" s="611">
        <v>0</v>
      </c>
      <c r="O187" s="611">
        <v>0</v>
      </c>
      <c r="P187" s="611">
        <v>0.46</v>
      </c>
      <c r="Q187" s="611">
        <v>0</v>
      </c>
      <c r="R187" s="611">
        <v>0</v>
      </c>
      <c r="S187" s="611">
        <v>3.2695478640035001</v>
      </c>
      <c r="T187" s="611">
        <v>19.439318181818184</v>
      </c>
      <c r="U187" s="611">
        <v>2.0319364984711283</v>
      </c>
      <c r="V187" s="611">
        <v>127.45830258088461</v>
      </c>
      <c r="W187" s="611">
        <v>13.909181073228105</v>
      </c>
      <c r="X187" s="611">
        <v>0</v>
      </c>
      <c r="Y187" s="619">
        <v>247.59893057061836</v>
      </c>
      <c r="Z187" s="51"/>
    </row>
    <row r="188" spans="1:26" x14ac:dyDescent="0.25">
      <c r="A188" s="51">
        <v>32</v>
      </c>
      <c r="B188" s="51">
        <v>2025</v>
      </c>
      <c r="C188" s="51" t="s">
        <v>47</v>
      </c>
      <c r="D188" s="51" t="s">
        <v>511</v>
      </c>
      <c r="E188" s="51" t="s">
        <v>564</v>
      </c>
      <c r="F188" s="51"/>
      <c r="G188" s="618" t="s">
        <v>82</v>
      </c>
      <c r="H188" s="611">
        <v>0</v>
      </c>
      <c r="I188" s="611">
        <v>0</v>
      </c>
      <c r="J188" s="611">
        <v>34.748276704386512</v>
      </c>
      <c r="K188" s="681">
        <v>0</v>
      </c>
      <c r="L188" s="611">
        <v>2.6286611414480774</v>
      </c>
      <c r="M188" s="611">
        <v>0</v>
      </c>
      <c r="N188" s="611">
        <v>0</v>
      </c>
      <c r="O188" s="611">
        <v>0</v>
      </c>
      <c r="P188" s="611">
        <v>1.231116194924712</v>
      </c>
      <c r="Q188" s="611">
        <v>0</v>
      </c>
      <c r="R188" s="611">
        <v>2.9265512805923848</v>
      </c>
      <c r="S188" s="611">
        <v>0.13835058639200409</v>
      </c>
      <c r="T188" s="611">
        <v>0.25</v>
      </c>
      <c r="U188" s="611">
        <v>0.36066131262685786</v>
      </c>
      <c r="V188" s="611">
        <v>7.4107644059332527</v>
      </c>
      <c r="W188" s="611">
        <v>0</v>
      </c>
      <c r="X188" s="611">
        <v>8.6831190235855574E-2</v>
      </c>
      <c r="Y188" s="619">
        <v>49.78121281653965</v>
      </c>
      <c r="Z188" s="51"/>
    </row>
    <row r="189" spans="1:26" x14ac:dyDescent="0.25">
      <c r="A189" s="51">
        <v>33</v>
      </c>
      <c r="B189" s="51">
        <v>2025</v>
      </c>
      <c r="C189" s="51" t="s">
        <v>47</v>
      </c>
      <c r="D189" s="51" t="s">
        <v>512</v>
      </c>
      <c r="E189" s="51" t="s">
        <v>564</v>
      </c>
      <c r="F189" s="51"/>
      <c r="G189" s="618" t="s">
        <v>354</v>
      </c>
      <c r="H189" s="611">
        <v>0</v>
      </c>
      <c r="I189" s="611">
        <v>0</v>
      </c>
      <c r="J189" s="611">
        <v>0</v>
      </c>
      <c r="K189" s="681">
        <v>0</v>
      </c>
      <c r="L189" s="611">
        <v>0</v>
      </c>
      <c r="M189" s="611">
        <v>0</v>
      </c>
      <c r="N189" s="611">
        <v>0</v>
      </c>
      <c r="O189" s="611">
        <v>0</v>
      </c>
      <c r="P189" s="611">
        <v>0</v>
      </c>
      <c r="Q189" s="611">
        <v>0</v>
      </c>
      <c r="R189" s="611">
        <v>0</v>
      </c>
      <c r="S189" s="611">
        <v>0</v>
      </c>
      <c r="T189" s="611">
        <v>0</v>
      </c>
      <c r="U189" s="611">
        <v>0</v>
      </c>
      <c r="V189" s="611">
        <v>0</v>
      </c>
      <c r="W189" s="611">
        <v>0</v>
      </c>
      <c r="X189" s="611">
        <v>0</v>
      </c>
      <c r="Y189" s="619">
        <v>0</v>
      </c>
      <c r="Z189" s="51"/>
    </row>
    <row r="190" spans="1:26" x14ac:dyDescent="0.25">
      <c r="A190" s="51">
        <v>34</v>
      </c>
      <c r="B190" s="51">
        <v>2025</v>
      </c>
      <c r="C190" s="51" t="s">
        <v>47</v>
      </c>
      <c r="D190" s="51" t="s">
        <v>513</v>
      </c>
      <c r="E190" s="51" t="s">
        <v>564</v>
      </c>
      <c r="F190" s="51"/>
      <c r="G190" s="614" t="s">
        <v>83</v>
      </c>
      <c r="H190" s="615">
        <v>6.3079973787187962</v>
      </c>
      <c r="I190" s="615">
        <v>0</v>
      </c>
      <c r="J190" s="615">
        <v>505.33939279485753</v>
      </c>
      <c r="K190" s="615">
        <v>0</v>
      </c>
      <c r="L190" s="615">
        <v>284.8745352132471</v>
      </c>
      <c r="M190" s="615">
        <v>0</v>
      </c>
      <c r="N190" s="615">
        <v>0</v>
      </c>
      <c r="O190" s="615">
        <v>0</v>
      </c>
      <c r="P190" s="615">
        <v>90.786494260238001</v>
      </c>
      <c r="Q190" s="615">
        <v>5.427937458160871</v>
      </c>
      <c r="R190" s="615">
        <v>45.872303395552947</v>
      </c>
      <c r="S190" s="615">
        <v>15.016937073321294</v>
      </c>
      <c r="T190" s="615">
        <v>74.315707301277087</v>
      </c>
      <c r="U190" s="615">
        <v>3.8571949760329121</v>
      </c>
      <c r="V190" s="615">
        <v>447.53480232933987</v>
      </c>
      <c r="W190" s="615">
        <v>53.990975626710004</v>
      </c>
      <c r="X190" s="615">
        <v>0.65035053838038681</v>
      </c>
      <c r="Y190" s="615">
        <v>1533.9746283458371</v>
      </c>
      <c r="Z190" s="51"/>
    </row>
    <row r="191" spans="1:26" x14ac:dyDescent="0.25">
      <c r="A191" s="51">
        <v>35</v>
      </c>
      <c r="B191" s="51">
        <v>2025</v>
      </c>
      <c r="C191" s="51" t="s">
        <v>47</v>
      </c>
      <c r="D191" s="51" t="s">
        <v>514</v>
      </c>
      <c r="E191" s="51" t="s">
        <v>564</v>
      </c>
      <c r="F191" s="51"/>
      <c r="G191" s="610" t="s">
        <v>84</v>
      </c>
      <c r="H191" s="611">
        <v>0</v>
      </c>
      <c r="I191" s="611">
        <v>0</v>
      </c>
      <c r="J191" s="611">
        <v>134.79719064700697</v>
      </c>
      <c r="K191" s="611">
        <v>0.63498415981931611</v>
      </c>
      <c r="L191" s="611">
        <v>13.481059545005067</v>
      </c>
      <c r="M191" s="611">
        <v>0</v>
      </c>
      <c r="N191" s="611">
        <v>0</v>
      </c>
      <c r="O191" s="611">
        <v>0</v>
      </c>
      <c r="P191" s="611">
        <v>5.0510267012356475E-2</v>
      </c>
      <c r="Q191" s="611">
        <v>0</v>
      </c>
      <c r="R191" s="611">
        <v>0.64386938698459384</v>
      </c>
      <c r="S191" s="611">
        <v>0.85849251597945853</v>
      </c>
      <c r="T191" s="611">
        <v>0</v>
      </c>
      <c r="U191" s="611">
        <v>0</v>
      </c>
      <c r="V191" s="611">
        <v>0</v>
      </c>
      <c r="W191" s="611">
        <v>0</v>
      </c>
      <c r="X191" s="611">
        <v>0.36066305637359619</v>
      </c>
      <c r="Y191" s="619">
        <v>150.82676957818137</v>
      </c>
      <c r="Z191" s="51"/>
    </row>
    <row r="192" spans="1:26" x14ac:dyDescent="0.25">
      <c r="A192" s="51">
        <v>36</v>
      </c>
      <c r="B192" s="51">
        <v>2025</v>
      </c>
      <c r="C192" s="51" t="s">
        <v>47</v>
      </c>
      <c r="D192" s="51" t="s">
        <v>515</v>
      </c>
      <c r="E192" s="51" t="s">
        <v>564</v>
      </c>
      <c r="F192" s="51"/>
      <c r="G192" s="614" t="s">
        <v>85</v>
      </c>
      <c r="H192" s="615">
        <v>6.3079973787187962</v>
      </c>
      <c r="I192" s="615">
        <v>0</v>
      </c>
      <c r="J192" s="615">
        <v>640.13658344186456</v>
      </c>
      <c r="K192" s="615">
        <v>0.63498415981931611</v>
      </c>
      <c r="L192" s="615">
        <v>298.35559475825215</v>
      </c>
      <c r="M192" s="615">
        <v>0</v>
      </c>
      <c r="N192" s="615">
        <v>0</v>
      </c>
      <c r="O192" s="615">
        <v>0</v>
      </c>
      <c r="P192" s="615">
        <v>90.837004527250357</v>
      </c>
      <c r="Q192" s="615">
        <v>5.427937458160871</v>
      </c>
      <c r="R192" s="615">
        <v>46.516172782537538</v>
      </c>
      <c r="S192" s="615">
        <v>15.875429589300753</v>
      </c>
      <c r="T192" s="615">
        <v>74.315707301277087</v>
      </c>
      <c r="U192" s="615">
        <v>3.8571949760329121</v>
      </c>
      <c r="V192" s="615">
        <v>447.53480232933987</v>
      </c>
      <c r="W192" s="615">
        <v>53.990975626710004</v>
      </c>
      <c r="X192" s="615">
        <v>1.0110135947539831</v>
      </c>
      <c r="Y192" s="615">
        <v>1684.8013979240186</v>
      </c>
      <c r="Z192" s="51"/>
    </row>
    <row r="193" spans="1:26" x14ac:dyDescent="0.25">
      <c r="A193" s="51"/>
      <c r="B193" s="51"/>
      <c r="C193" s="51"/>
      <c r="D193" s="51"/>
      <c r="E193" s="51"/>
      <c r="F193" s="51"/>
      <c r="G193" s="51"/>
      <c r="H193" s="67">
        <v>0</v>
      </c>
      <c r="I193" s="67">
        <v>0</v>
      </c>
      <c r="J193" s="67">
        <v>0</v>
      </c>
      <c r="K193" s="67">
        <v>0</v>
      </c>
      <c r="L193" s="67">
        <v>0</v>
      </c>
      <c r="M193" s="67">
        <v>0</v>
      </c>
      <c r="N193" s="67">
        <v>0</v>
      </c>
      <c r="O193" s="67">
        <v>0</v>
      </c>
      <c r="P193" s="67">
        <v>0</v>
      </c>
      <c r="Q193" s="67">
        <v>-6.1525614846758003E-4</v>
      </c>
      <c r="R193" s="67">
        <v>0</v>
      </c>
      <c r="S193" s="67">
        <v>9.4368957093138306E-15</v>
      </c>
      <c r="T193" s="67">
        <v>0</v>
      </c>
      <c r="U193" s="67">
        <v>0</v>
      </c>
      <c r="V193" s="67">
        <v>0</v>
      </c>
      <c r="W193" s="67">
        <v>0</v>
      </c>
      <c r="X193" s="67">
        <v>0</v>
      </c>
      <c r="Y193" s="67">
        <v>-6.1525614864876843E-4</v>
      </c>
      <c r="Z193" s="51"/>
    </row>
    <row r="194" spans="1:26" x14ac:dyDescent="0.25">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spans="1:26" x14ac:dyDescent="0.25">
      <c r="A195" s="606"/>
      <c r="B195" s="606"/>
      <c r="C195" s="606"/>
      <c r="D195" s="606"/>
      <c r="E195" s="606"/>
      <c r="F195" s="606"/>
      <c r="G195" s="607" t="s">
        <v>356</v>
      </c>
      <c r="H195" s="606"/>
      <c r="I195" s="606"/>
      <c r="J195" s="606"/>
      <c r="K195" s="606"/>
      <c r="L195" s="606"/>
      <c r="M195" s="606"/>
      <c r="N195" s="606"/>
      <c r="O195" s="606"/>
      <c r="P195" s="606"/>
      <c r="Q195" s="606"/>
      <c r="R195" s="606"/>
      <c r="S195" s="606"/>
      <c r="T195" s="606"/>
      <c r="U195" s="606"/>
      <c r="V195" s="606"/>
      <c r="W195" s="606"/>
      <c r="X195" s="606"/>
      <c r="Y195" s="606"/>
      <c r="Z195" s="606"/>
    </row>
    <row r="196" spans="1:26" x14ac:dyDescent="0.25">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spans="1:26" x14ac:dyDescent="0.25">
      <c r="A197" s="51"/>
      <c r="B197" s="51"/>
      <c r="C197" s="51"/>
      <c r="D197" s="51"/>
      <c r="E197" s="51"/>
      <c r="F197" s="51"/>
      <c r="G197" s="764" t="s">
        <v>128</v>
      </c>
      <c r="H197" s="753" t="s">
        <v>42</v>
      </c>
      <c r="I197" s="753" t="s">
        <v>52</v>
      </c>
      <c r="J197" s="753" t="s">
        <v>53</v>
      </c>
      <c r="K197" s="753" t="s">
        <v>482</v>
      </c>
      <c r="L197" s="753" t="s">
        <v>32</v>
      </c>
      <c r="M197" s="753" t="s">
        <v>483</v>
      </c>
      <c r="N197" s="753" t="s">
        <v>20</v>
      </c>
      <c r="O197" s="753" t="s">
        <v>55</v>
      </c>
      <c r="P197" s="761" t="s">
        <v>56</v>
      </c>
      <c r="Q197" s="762"/>
      <c r="R197" s="762"/>
      <c r="S197" s="762"/>
      <c r="T197" s="762"/>
      <c r="U197" s="763"/>
      <c r="V197" s="753" t="s">
        <v>57</v>
      </c>
      <c r="W197" s="753" t="s">
        <v>58</v>
      </c>
      <c r="X197" s="753" t="s">
        <v>31</v>
      </c>
      <c r="Y197" s="753" t="s">
        <v>10</v>
      </c>
      <c r="Z197" s="51"/>
    </row>
    <row r="198" spans="1:26" ht="36" x14ac:dyDescent="0.25">
      <c r="A198" s="51"/>
      <c r="B198" s="51"/>
      <c r="C198" s="51"/>
      <c r="D198" s="51" t="s">
        <v>486</v>
      </c>
      <c r="E198" s="51"/>
      <c r="F198" s="51"/>
      <c r="G198" s="765"/>
      <c r="H198" s="754"/>
      <c r="I198" s="754"/>
      <c r="J198" s="754"/>
      <c r="K198" s="754"/>
      <c r="L198" s="754"/>
      <c r="M198" s="754"/>
      <c r="N198" s="754"/>
      <c r="O198" s="754"/>
      <c r="P198" s="608" t="s">
        <v>335</v>
      </c>
      <c r="Q198" s="608" t="s">
        <v>40</v>
      </c>
      <c r="R198" s="608" t="s">
        <v>343</v>
      </c>
      <c r="S198" s="608" t="s">
        <v>344</v>
      </c>
      <c r="T198" s="609" t="s">
        <v>345</v>
      </c>
      <c r="U198" s="608" t="s">
        <v>346</v>
      </c>
      <c r="V198" s="754"/>
      <c r="W198" s="754"/>
      <c r="X198" s="754"/>
      <c r="Y198" s="754"/>
      <c r="Z198" s="51"/>
    </row>
    <row r="199" spans="1:26" x14ac:dyDescent="0.25">
      <c r="A199" s="51">
        <v>6</v>
      </c>
      <c r="B199" s="51">
        <v>2028</v>
      </c>
      <c r="C199" s="51" t="s">
        <v>47</v>
      </c>
      <c r="D199" s="51" t="s">
        <v>487</v>
      </c>
      <c r="E199" s="51" t="s">
        <v>564</v>
      </c>
      <c r="F199" s="51"/>
      <c r="G199" s="610" t="s">
        <v>59</v>
      </c>
      <c r="H199" s="611">
        <v>0</v>
      </c>
      <c r="I199" s="611">
        <v>9.7691999999999997</v>
      </c>
      <c r="J199" s="611">
        <v>0</v>
      </c>
      <c r="K199" s="611">
        <v>0</v>
      </c>
      <c r="L199" s="611">
        <v>0.18608000000000002</v>
      </c>
      <c r="M199" s="611">
        <v>0</v>
      </c>
      <c r="N199" s="612">
        <v>1166.5108</v>
      </c>
      <c r="O199" s="612">
        <v>184.63272900914501</v>
      </c>
      <c r="P199" s="612">
        <v>310.68682613525135</v>
      </c>
      <c r="Q199" s="612">
        <v>22.969494401874655</v>
      </c>
      <c r="R199" s="611">
        <v>1.6018700034195554</v>
      </c>
      <c r="S199" s="611">
        <v>0.1425306035599459</v>
      </c>
      <c r="T199" s="612">
        <v>91.425453399622683</v>
      </c>
      <c r="U199" s="612">
        <v>11.341753913657868</v>
      </c>
      <c r="V199" s="611">
        <v>0</v>
      </c>
      <c r="W199" s="611">
        <v>0</v>
      </c>
      <c r="X199" s="611">
        <v>0</v>
      </c>
      <c r="Y199" s="613">
        <v>1799.2667374665311</v>
      </c>
      <c r="Z199" s="51"/>
    </row>
    <row r="200" spans="1:26" x14ac:dyDescent="0.25">
      <c r="A200" s="51">
        <v>7</v>
      </c>
      <c r="B200" s="51">
        <v>2028</v>
      </c>
      <c r="C200" s="51" t="s">
        <v>47</v>
      </c>
      <c r="D200" s="51" t="s">
        <v>488</v>
      </c>
      <c r="E200" s="51" t="s">
        <v>564</v>
      </c>
      <c r="F200" s="51"/>
      <c r="G200" s="610" t="s">
        <v>60</v>
      </c>
      <c r="H200" s="611">
        <v>31.301876280181485</v>
      </c>
      <c r="I200" s="611">
        <v>431.3069280451549</v>
      </c>
      <c r="J200" s="611">
        <v>217.99654673231831</v>
      </c>
      <c r="K200" s="611">
        <v>0.60008119727305109</v>
      </c>
      <c r="L200" s="611">
        <v>332.73320804873316</v>
      </c>
      <c r="M200" s="611">
        <v>0</v>
      </c>
      <c r="N200" s="611">
        <v>0</v>
      </c>
      <c r="O200" s="611">
        <v>0</v>
      </c>
      <c r="P200" s="611">
        <v>2.543202703318971</v>
      </c>
      <c r="Q200" s="611">
        <v>0</v>
      </c>
      <c r="R200" s="611">
        <v>3.5846628553643418</v>
      </c>
      <c r="S200" s="611">
        <v>0</v>
      </c>
      <c r="T200" s="611">
        <v>0</v>
      </c>
      <c r="U200" s="611">
        <v>0</v>
      </c>
      <c r="V200" s="611">
        <v>0</v>
      </c>
      <c r="W200" s="611">
        <v>0</v>
      </c>
      <c r="X200" s="611">
        <v>0</v>
      </c>
      <c r="Y200" s="613">
        <v>1020.0665058623443</v>
      </c>
      <c r="Z200" s="51"/>
    </row>
    <row r="201" spans="1:26" x14ac:dyDescent="0.25">
      <c r="A201" s="51">
        <v>8</v>
      </c>
      <c r="B201" s="51">
        <v>2028</v>
      </c>
      <c r="C201" s="51" t="s">
        <v>47</v>
      </c>
      <c r="D201" s="51" t="s">
        <v>489</v>
      </c>
      <c r="E201" s="51" t="s">
        <v>564</v>
      </c>
      <c r="F201" s="51"/>
      <c r="G201" s="610" t="s">
        <v>61</v>
      </c>
      <c r="H201" s="611">
        <v>0</v>
      </c>
      <c r="I201" s="611">
        <v>0</v>
      </c>
      <c r="J201" s="611">
        <v>5.080170490032458</v>
      </c>
      <c r="K201" s="611">
        <v>0</v>
      </c>
      <c r="L201" s="611">
        <v>0</v>
      </c>
      <c r="M201" s="611">
        <v>0</v>
      </c>
      <c r="N201" s="611">
        <v>0</v>
      </c>
      <c r="O201" s="611">
        <v>0</v>
      </c>
      <c r="P201" s="611">
        <v>0</v>
      </c>
      <c r="Q201" s="611">
        <v>0</v>
      </c>
      <c r="R201" s="611">
        <v>0</v>
      </c>
      <c r="S201" s="611">
        <v>0</v>
      </c>
      <c r="T201" s="611">
        <v>0</v>
      </c>
      <c r="U201" s="611">
        <v>0</v>
      </c>
      <c r="V201" s="611">
        <v>-60.38684280555492</v>
      </c>
      <c r="W201" s="611">
        <v>0</v>
      </c>
      <c r="X201" s="611">
        <v>0</v>
      </c>
      <c r="Y201" s="613">
        <v>-55.306672315522462</v>
      </c>
      <c r="Z201" s="51"/>
    </row>
    <row r="202" spans="1:26" x14ac:dyDescent="0.25">
      <c r="A202" s="51">
        <v>9</v>
      </c>
      <c r="B202" s="51">
        <v>2028</v>
      </c>
      <c r="C202" s="51" t="s">
        <v>47</v>
      </c>
      <c r="D202" s="51" t="s">
        <v>490</v>
      </c>
      <c r="E202" s="51" t="s">
        <v>564</v>
      </c>
      <c r="F202" s="51"/>
      <c r="G202" s="610" t="s">
        <v>62</v>
      </c>
      <c r="H202" s="611">
        <v>0</v>
      </c>
      <c r="I202" s="611">
        <v>0</v>
      </c>
      <c r="J202" s="611">
        <v>-14.462234437358957</v>
      </c>
      <c r="K202" s="611">
        <v>-3.4845806923438902E-2</v>
      </c>
      <c r="L202" s="611">
        <v>-2.4571855704098158</v>
      </c>
      <c r="M202" s="611">
        <v>-0.38128741609807487</v>
      </c>
      <c r="N202" s="611">
        <v>0</v>
      </c>
      <c r="O202" s="611">
        <v>0</v>
      </c>
      <c r="P202" s="611">
        <v>0</v>
      </c>
      <c r="Q202" s="611">
        <v>0</v>
      </c>
      <c r="R202" s="611">
        <v>-0.67550051473591077</v>
      </c>
      <c r="S202" s="611">
        <v>-0.69196605143724688</v>
      </c>
      <c r="T202" s="611">
        <v>0</v>
      </c>
      <c r="U202" s="611">
        <v>0</v>
      </c>
      <c r="V202" s="611">
        <v>0</v>
      </c>
      <c r="W202" s="611">
        <v>0</v>
      </c>
      <c r="X202" s="611">
        <v>-7.9015435200541731E-2</v>
      </c>
      <c r="Y202" s="613">
        <v>-18.782035232163988</v>
      </c>
      <c r="Z202" s="51"/>
    </row>
    <row r="203" spans="1:26" x14ac:dyDescent="0.25">
      <c r="A203" s="51">
        <v>10</v>
      </c>
      <c r="B203" s="51">
        <v>2028</v>
      </c>
      <c r="C203" s="51" t="s">
        <v>47</v>
      </c>
      <c r="D203" s="51" t="s">
        <v>491</v>
      </c>
      <c r="E203" s="51" t="s">
        <v>564</v>
      </c>
      <c r="F203" s="51"/>
      <c r="G203" s="610" t="s">
        <v>63</v>
      </c>
      <c r="H203" s="611">
        <v>0</v>
      </c>
      <c r="I203" s="611">
        <v>0</v>
      </c>
      <c r="J203" s="611">
        <v>-68.83733538679644</v>
      </c>
      <c r="K203" s="611">
        <v>-0.53809644100531673</v>
      </c>
      <c r="L203" s="611">
        <v>0</v>
      </c>
      <c r="M203" s="611">
        <v>0</v>
      </c>
      <c r="N203" s="611">
        <v>0</v>
      </c>
      <c r="O203" s="611">
        <v>0</v>
      </c>
      <c r="P203" s="611">
        <v>0</v>
      </c>
      <c r="Q203" s="611">
        <v>0</v>
      </c>
      <c r="R203" s="611">
        <v>-2.7254967468919165</v>
      </c>
      <c r="S203" s="611">
        <v>0</v>
      </c>
      <c r="T203" s="611">
        <v>0</v>
      </c>
      <c r="U203" s="611">
        <v>0</v>
      </c>
      <c r="V203" s="611">
        <v>0</v>
      </c>
      <c r="W203" s="611">
        <v>0</v>
      </c>
      <c r="X203" s="611">
        <v>0</v>
      </c>
      <c r="Y203" s="613">
        <v>-72.100928574693683</v>
      </c>
      <c r="Z203" s="51"/>
    </row>
    <row r="204" spans="1:26" x14ac:dyDescent="0.25">
      <c r="A204" s="51">
        <v>11</v>
      </c>
      <c r="B204" s="51">
        <v>2028</v>
      </c>
      <c r="C204" s="51" t="s">
        <v>47</v>
      </c>
      <c r="D204" s="51" t="s">
        <v>492</v>
      </c>
      <c r="E204" s="51" t="s">
        <v>564</v>
      </c>
      <c r="F204" s="51"/>
      <c r="G204" s="610" t="s">
        <v>64</v>
      </c>
      <c r="H204" s="611">
        <v>0</v>
      </c>
      <c r="I204" s="611">
        <v>0</v>
      </c>
      <c r="J204" s="611">
        <v>0</v>
      </c>
      <c r="K204" s="611">
        <v>0</v>
      </c>
      <c r="L204" s="611">
        <v>0</v>
      </c>
      <c r="M204" s="611">
        <v>0</v>
      </c>
      <c r="N204" s="611">
        <v>0</v>
      </c>
      <c r="O204" s="611">
        <v>0</v>
      </c>
      <c r="P204" s="611">
        <v>0</v>
      </c>
      <c r="Q204" s="611">
        <v>0</v>
      </c>
      <c r="R204" s="611">
        <v>0</v>
      </c>
      <c r="S204" s="611">
        <v>0</v>
      </c>
      <c r="T204" s="611">
        <v>0</v>
      </c>
      <c r="U204" s="611">
        <v>0</v>
      </c>
      <c r="V204" s="611">
        <v>0</v>
      </c>
      <c r="W204" s="611">
        <v>0</v>
      </c>
      <c r="X204" s="611">
        <v>0</v>
      </c>
      <c r="Y204" s="613">
        <v>0</v>
      </c>
      <c r="Z204" s="51"/>
    </row>
    <row r="205" spans="1:26" x14ac:dyDescent="0.25">
      <c r="A205" s="51">
        <v>12</v>
      </c>
      <c r="B205" s="51">
        <v>2028</v>
      </c>
      <c r="C205" s="51" t="s">
        <v>47</v>
      </c>
      <c r="D205" s="51" t="s">
        <v>493</v>
      </c>
      <c r="E205" s="51" t="s">
        <v>564</v>
      </c>
      <c r="F205" s="51"/>
      <c r="G205" s="614" t="s">
        <v>65</v>
      </c>
      <c r="H205" s="615">
        <v>31.301876280181485</v>
      </c>
      <c r="I205" s="615">
        <v>441.07612804515492</v>
      </c>
      <c r="J205" s="615">
        <v>139.77714739819538</v>
      </c>
      <c r="K205" s="615">
        <v>2.7138949344295504E-2</v>
      </c>
      <c r="L205" s="615">
        <v>330.46210247832335</v>
      </c>
      <c r="M205" s="615">
        <v>-0.38128741609807487</v>
      </c>
      <c r="N205" s="615">
        <v>1166.5108</v>
      </c>
      <c r="O205" s="615">
        <v>184.63272900914501</v>
      </c>
      <c r="P205" s="615">
        <v>313.23002883857032</v>
      </c>
      <c r="Q205" s="615">
        <v>22.969494401874655</v>
      </c>
      <c r="R205" s="615">
        <v>1.7855355971560702</v>
      </c>
      <c r="S205" s="615">
        <v>-0.54943544787730092</v>
      </c>
      <c r="T205" s="615">
        <v>91.425453399622683</v>
      </c>
      <c r="U205" s="615">
        <v>11.341753913657868</v>
      </c>
      <c r="V205" s="615">
        <v>-60.38684280555492</v>
      </c>
      <c r="W205" s="615">
        <v>0</v>
      </c>
      <c r="X205" s="615">
        <v>-7.9015435200541731E-2</v>
      </c>
      <c r="Y205" s="615">
        <v>2673.1436072064953</v>
      </c>
      <c r="Z205" s="51"/>
    </row>
    <row r="206" spans="1:26" x14ac:dyDescent="0.25">
      <c r="A206" s="51"/>
      <c r="B206" s="51"/>
      <c r="C206" s="51"/>
      <c r="D206" s="51"/>
      <c r="E206" s="51"/>
      <c r="F206" s="51"/>
      <c r="G206" s="616"/>
      <c r="H206" s="617"/>
      <c r="I206" s="617"/>
      <c r="J206" s="617"/>
      <c r="K206" s="617"/>
      <c r="L206" s="623"/>
      <c r="M206" s="617"/>
      <c r="N206" s="617"/>
      <c r="O206" s="617"/>
      <c r="P206" s="617"/>
      <c r="Q206" s="617"/>
      <c r="R206" s="617"/>
      <c r="S206" s="617"/>
      <c r="T206" s="617"/>
      <c r="U206" s="617"/>
      <c r="V206" s="617"/>
      <c r="W206" s="617"/>
      <c r="X206" s="617"/>
      <c r="Y206" s="617"/>
      <c r="Z206" s="51"/>
    </row>
    <row r="207" spans="1:26" x14ac:dyDescent="0.25">
      <c r="A207" s="51">
        <v>14</v>
      </c>
      <c r="B207" s="51">
        <v>2028</v>
      </c>
      <c r="C207" s="51" t="s">
        <v>47</v>
      </c>
      <c r="D207" s="51" t="s">
        <v>494</v>
      </c>
      <c r="E207" s="51" t="s">
        <v>564</v>
      </c>
      <c r="F207" s="51"/>
      <c r="G207" s="618" t="s">
        <v>67</v>
      </c>
      <c r="H207" s="611">
        <v>0</v>
      </c>
      <c r="I207" s="611">
        <v>0</v>
      </c>
      <c r="J207" s="611">
        <v>0</v>
      </c>
      <c r="K207" s="611">
        <v>0</v>
      </c>
      <c r="L207" s="611">
        <v>0</v>
      </c>
      <c r="M207" s="611">
        <v>0</v>
      </c>
      <c r="N207" s="611">
        <v>0</v>
      </c>
      <c r="O207" s="611">
        <v>0</v>
      </c>
      <c r="P207" s="611">
        <v>0</v>
      </c>
      <c r="Q207" s="611">
        <v>0</v>
      </c>
      <c r="R207" s="611">
        <v>0</v>
      </c>
      <c r="S207" s="611">
        <v>0</v>
      </c>
      <c r="T207" s="611">
        <v>0</v>
      </c>
      <c r="U207" s="611">
        <v>0</v>
      </c>
      <c r="V207" s="611">
        <v>0</v>
      </c>
      <c r="W207" s="611">
        <v>0</v>
      </c>
      <c r="X207" s="611">
        <v>0</v>
      </c>
      <c r="Y207" s="619">
        <v>0</v>
      </c>
      <c r="Z207" s="51"/>
    </row>
    <row r="208" spans="1:26" x14ac:dyDescent="0.25">
      <c r="A208" s="51">
        <v>15</v>
      </c>
      <c r="B208" s="51">
        <v>2028</v>
      </c>
      <c r="C208" s="51" t="s">
        <v>47</v>
      </c>
      <c r="D208" s="51" t="s">
        <v>495</v>
      </c>
      <c r="E208" s="51" t="s">
        <v>564</v>
      </c>
      <c r="F208" s="51"/>
      <c r="G208" s="618" t="s">
        <v>347</v>
      </c>
      <c r="H208" s="611">
        <v>0</v>
      </c>
      <c r="I208" s="611">
        <v>0</v>
      </c>
      <c r="J208" s="611">
        <v>0.96641953755106458</v>
      </c>
      <c r="K208" s="611">
        <v>0</v>
      </c>
      <c r="L208" s="611">
        <v>52.050434872915119</v>
      </c>
      <c r="M208" s="611">
        <v>0</v>
      </c>
      <c r="N208" s="611">
        <v>1166.5108</v>
      </c>
      <c r="O208" s="611">
        <v>184.63272900914501</v>
      </c>
      <c r="P208" s="611">
        <v>26.603779504681</v>
      </c>
      <c r="Q208" s="611">
        <v>0.77130233694483996</v>
      </c>
      <c r="R208" s="611">
        <v>4.867247129818443</v>
      </c>
      <c r="S208" s="611">
        <v>8.7182186826352783</v>
      </c>
      <c r="T208" s="611">
        <v>0</v>
      </c>
      <c r="U208" s="611">
        <v>0.1274458438995901</v>
      </c>
      <c r="V208" s="611">
        <v>-629.87010221019352</v>
      </c>
      <c r="W208" s="611">
        <v>0</v>
      </c>
      <c r="X208" s="611">
        <v>0</v>
      </c>
      <c r="Y208" s="619">
        <v>815.37827470739683</v>
      </c>
      <c r="Z208" s="51"/>
    </row>
    <row r="209" spans="1:26" x14ac:dyDescent="0.25">
      <c r="A209" s="51">
        <v>16</v>
      </c>
      <c r="B209" s="51">
        <v>2028</v>
      </c>
      <c r="C209" s="51" t="s">
        <v>47</v>
      </c>
      <c r="D209" s="51" t="s">
        <v>496</v>
      </c>
      <c r="E209" s="51" t="s">
        <v>564</v>
      </c>
      <c r="F209" s="51"/>
      <c r="G209" s="618" t="s">
        <v>348</v>
      </c>
      <c r="H209" s="611">
        <v>7.7272727272727285E-2</v>
      </c>
      <c r="I209" s="611">
        <v>0</v>
      </c>
      <c r="J209" s="611">
        <v>0</v>
      </c>
      <c r="K209" s="611">
        <v>0</v>
      </c>
      <c r="L209" s="611">
        <v>17.579521622433528</v>
      </c>
      <c r="M209" s="611">
        <v>0</v>
      </c>
      <c r="N209" s="611">
        <v>0</v>
      </c>
      <c r="O209" s="611">
        <v>0</v>
      </c>
      <c r="P209" s="611">
        <v>30.274124096125519</v>
      </c>
      <c r="Q209" s="611">
        <v>15.566653549302366</v>
      </c>
      <c r="R209" s="611">
        <v>0</v>
      </c>
      <c r="S209" s="611">
        <v>3.8718025825811</v>
      </c>
      <c r="T209" s="611">
        <v>0</v>
      </c>
      <c r="U209" s="611">
        <v>6.611781637634941</v>
      </c>
      <c r="V209" s="611">
        <v>0</v>
      </c>
      <c r="W209" s="611">
        <v>-67.046804229099578</v>
      </c>
      <c r="X209" s="611">
        <v>0</v>
      </c>
      <c r="Y209" s="619">
        <v>6.9343519862506042</v>
      </c>
      <c r="Z209" s="51"/>
    </row>
    <row r="210" spans="1:26" x14ac:dyDescent="0.25">
      <c r="A210" s="51">
        <v>17</v>
      </c>
      <c r="B210" s="51">
        <v>2028</v>
      </c>
      <c r="C210" s="51" t="s">
        <v>47</v>
      </c>
      <c r="D210" s="51" t="s">
        <v>497</v>
      </c>
      <c r="E210" s="51" t="s">
        <v>564</v>
      </c>
      <c r="F210" s="51"/>
      <c r="G210" s="618" t="s">
        <v>349</v>
      </c>
      <c r="H210" s="611">
        <v>0</v>
      </c>
      <c r="I210" s="611">
        <v>0</v>
      </c>
      <c r="J210" s="611">
        <v>0</v>
      </c>
      <c r="K210" s="611">
        <v>0</v>
      </c>
      <c r="L210" s="611">
        <v>0</v>
      </c>
      <c r="M210" s="611">
        <v>0</v>
      </c>
      <c r="N210" s="611">
        <v>0</v>
      </c>
      <c r="O210" s="611">
        <v>0</v>
      </c>
      <c r="P210" s="611">
        <v>82.331917123774105</v>
      </c>
      <c r="Q210" s="611">
        <v>0</v>
      </c>
      <c r="R210" s="611">
        <v>0</v>
      </c>
      <c r="S210" s="611">
        <v>-45.282554418075762</v>
      </c>
      <c r="T210" s="611">
        <v>0</v>
      </c>
      <c r="U210" s="611">
        <v>0</v>
      </c>
      <c r="V210" s="611">
        <v>0</v>
      </c>
      <c r="W210" s="611">
        <v>0</v>
      </c>
      <c r="X210" s="611">
        <v>0</v>
      </c>
      <c r="Y210" s="619">
        <v>37.049362705698343</v>
      </c>
      <c r="Z210" s="51"/>
    </row>
    <row r="211" spans="1:26" x14ac:dyDescent="0.25">
      <c r="A211" s="51">
        <v>18</v>
      </c>
      <c r="B211" s="51">
        <v>2028</v>
      </c>
      <c r="C211" s="51" t="s">
        <v>47</v>
      </c>
      <c r="D211" s="51" t="s">
        <v>498</v>
      </c>
      <c r="E211" s="51" t="s">
        <v>564</v>
      </c>
      <c r="F211" s="51"/>
      <c r="G211" s="618" t="s">
        <v>350</v>
      </c>
      <c r="H211" s="611">
        <v>0</v>
      </c>
      <c r="I211" s="611">
        <v>0</v>
      </c>
      <c r="J211" s="611">
        <v>0</v>
      </c>
      <c r="K211" s="611">
        <v>0</v>
      </c>
      <c r="L211" s="611">
        <v>0</v>
      </c>
      <c r="M211" s="611">
        <v>-0.38128741609807487</v>
      </c>
      <c r="N211" s="611">
        <v>0</v>
      </c>
      <c r="O211" s="611">
        <v>0</v>
      </c>
      <c r="P211" s="611">
        <v>0</v>
      </c>
      <c r="Q211" s="611">
        <v>0</v>
      </c>
      <c r="R211" s="611">
        <v>0</v>
      </c>
      <c r="S211" s="611">
        <v>0</v>
      </c>
      <c r="T211" s="611">
        <v>0</v>
      </c>
      <c r="U211" s="611">
        <v>0</v>
      </c>
      <c r="V211" s="611">
        <v>0</v>
      </c>
      <c r="W211" s="611">
        <v>0</v>
      </c>
      <c r="X211" s="611">
        <v>0.52956585569177073</v>
      </c>
      <c r="Y211" s="619">
        <v>0.14827843959369585</v>
      </c>
      <c r="Z211" s="51"/>
    </row>
    <row r="212" spans="1:26" x14ac:dyDescent="0.25">
      <c r="A212" s="51">
        <v>19</v>
      </c>
      <c r="B212" s="51">
        <v>2028</v>
      </c>
      <c r="C212" s="51" t="s">
        <v>47</v>
      </c>
      <c r="D212" s="51" t="s">
        <v>499</v>
      </c>
      <c r="E212" s="51" t="s">
        <v>564</v>
      </c>
      <c r="F212" s="51"/>
      <c r="G212" s="618" t="s">
        <v>72</v>
      </c>
      <c r="H212" s="611">
        <v>0</v>
      </c>
      <c r="I212" s="611">
        <v>457.13684783073364</v>
      </c>
      <c r="J212" s="611">
        <v>-452.58756146236686</v>
      </c>
      <c r="K212" s="611">
        <v>0</v>
      </c>
      <c r="L212" s="611">
        <v>0</v>
      </c>
      <c r="M212" s="611">
        <v>0</v>
      </c>
      <c r="N212" s="611">
        <v>0</v>
      </c>
      <c r="O212" s="611">
        <v>0</v>
      </c>
      <c r="P212" s="611">
        <v>0</v>
      </c>
      <c r="Q212" s="611">
        <v>0</v>
      </c>
      <c r="R212" s="611">
        <v>0</v>
      </c>
      <c r="S212" s="611">
        <v>0</v>
      </c>
      <c r="T212" s="611">
        <v>0</v>
      </c>
      <c r="U212" s="611">
        <v>0</v>
      </c>
      <c r="V212" s="611">
        <v>0</v>
      </c>
      <c r="W212" s="611">
        <v>0</v>
      </c>
      <c r="X212" s="611">
        <v>0</v>
      </c>
      <c r="Y212" s="619">
        <v>4.5492863683667792</v>
      </c>
      <c r="Z212" s="51"/>
    </row>
    <row r="213" spans="1:26" x14ac:dyDescent="0.25">
      <c r="A213" s="51">
        <v>20</v>
      </c>
      <c r="B213" s="51">
        <v>2028</v>
      </c>
      <c r="C213" s="51" t="s">
        <v>47</v>
      </c>
      <c r="D213" s="51" t="s">
        <v>500</v>
      </c>
      <c r="E213" s="51" t="s">
        <v>564</v>
      </c>
      <c r="F213" s="51"/>
      <c r="G213" s="618" t="s">
        <v>351</v>
      </c>
      <c r="H213" s="611">
        <v>0</v>
      </c>
      <c r="I213" s="611">
        <v>0</v>
      </c>
      <c r="J213" s="611">
        <v>0</v>
      </c>
      <c r="K213" s="611">
        <v>0</v>
      </c>
      <c r="L213" s="611">
        <v>0</v>
      </c>
      <c r="M213" s="611">
        <v>0</v>
      </c>
      <c r="N213" s="611">
        <v>0</v>
      </c>
      <c r="O213" s="611">
        <v>0</v>
      </c>
      <c r="P213" s="611">
        <v>88.824123018556492</v>
      </c>
      <c r="Q213" s="611">
        <v>0</v>
      </c>
      <c r="R213" s="611">
        <v>-48.853267660206072</v>
      </c>
      <c r="S213" s="611">
        <v>0</v>
      </c>
      <c r="T213" s="611">
        <v>0</v>
      </c>
      <c r="U213" s="611">
        <v>0</v>
      </c>
      <c r="V213" s="611">
        <v>0</v>
      </c>
      <c r="W213" s="611">
        <v>0</v>
      </c>
      <c r="X213" s="611">
        <v>0</v>
      </c>
      <c r="Y213" s="619">
        <v>39.97085535835042</v>
      </c>
      <c r="Z213" s="51"/>
    </row>
    <row r="214" spans="1:26" x14ac:dyDescent="0.25">
      <c r="A214" s="51">
        <v>21</v>
      </c>
      <c r="B214" s="51">
        <v>2028</v>
      </c>
      <c r="C214" s="51" t="s">
        <v>47</v>
      </c>
      <c r="D214" s="51" t="s">
        <v>501</v>
      </c>
      <c r="E214" s="51" t="s">
        <v>564</v>
      </c>
      <c r="F214" s="51"/>
      <c r="G214" s="618" t="s">
        <v>352</v>
      </c>
      <c r="H214" s="611">
        <v>0</v>
      </c>
      <c r="I214" s="611">
        <v>0</v>
      </c>
      <c r="J214" s="611">
        <v>0</v>
      </c>
      <c r="K214" s="611">
        <v>-1.2093925948448314</v>
      </c>
      <c r="L214" s="611">
        <v>0</v>
      </c>
      <c r="M214" s="611">
        <v>0</v>
      </c>
      <c r="N214" s="611">
        <v>0</v>
      </c>
      <c r="O214" s="611">
        <v>0</v>
      </c>
      <c r="P214" s="611">
        <v>0</v>
      </c>
      <c r="Q214" s="611">
        <v>0</v>
      </c>
      <c r="R214" s="611">
        <v>0</v>
      </c>
      <c r="S214" s="611">
        <v>0</v>
      </c>
      <c r="T214" s="611">
        <v>0</v>
      </c>
      <c r="U214" s="611">
        <v>0</v>
      </c>
      <c r="V214" s="611">
        <v>0</v>
      </c>
      <c r="W214" s="611">
        <v>0</v>
      </c>
      <c r="X214" s="611">
        <v>1.5838980746607199</v>
      </c>
      <c r="Y214" s="619">
        <v>0.37450547981588844</v>
      </c>
      <c r="Z214" s="51"/>
    </row>
    <row r="215" spans="1:26" x14ac:dyDescent="0.25">
      <c r="A215" s="51">
        <v>22</v>
      </c>
      <c r="B215" s="51">
        <v>2028</v>
      </c>
      <c r="C215" s="51" t="s">
        <v>47</v>
      </c>
      <c r="D215" s="51" t="s">
        <v>502</v>
      </c>
      <c r="E215" s="51" t="s">
        <v>564</v>
      </c>
      <c r="F215" s="51"/>
      <c r="G215" s="618" t="s">
        <v>73</v>
      </c>
      <c r="H215" s="611">
        <v>0</v>
      </c>
      <c r="I215" s="611">
        <v>0</v>
      </c>
      <c r="J215" s="611">
        <v>0</v>
      </c>
      <c r="K215" s="611">
        <v>0</v>
      </c>
      <c r="L215" s="611">
        <v>0</v>
      </c>
      <c r="M215" s="611">
        <v>0</v>
      </c>
      <c r="N215" s="611">
        <v>0</v>
      </c>
      <c r="O215" s="611">
        <v>0</v>
      </c>
      <c r="P215" s="611">
        <v>0</v>
      </c>
      <c r="Q215" s="611">
        <v>0</v>
      </c>
      <c r="R215" s="611">
        <v>0</v>
      </c>
      <c r="S215" s="611">
        <v>0</v>
      </c>
      <c r="T215" s="611">
        <v>0</v>
      </c>
      <c r="U215" s="611">
        <v>0</v>
      </c>
      <c r="V215" s="611">
        <v>8.9250291014933829</v>
      </c>
      <c r="W215" s="611">
        <v>0</v>
      </c>
      <c r="X215" s="611">
        <v>-5.8012689159706987</v>
      </c>
      <c r="Y215" s="619">
        <v>3.1237601855226842</v>
      </c>
      <c r="Z215" s="51"/>
    </row>
    <row r="216" spans="1:26" x14ac:dyDescent="0.25">
      <c r="A216" s="51">
        <v>23</v>
      </c>
      <c r="B216" s="51">
        <v>2028</v>
      </c>
      <c r="C216" s="51" t="s">
        <v>47</v>
      </c>
      <c r="D216" s="51" t="s">
        <v>503</v>
      </c>
      <c r="E216" s="51" t="s">
        <v>564</v>
      </c>
      <c r="F216" s="51"/>
      <c r="G216" s="618" t="s">
        <v>353</v>
      </c>
      <c r="H216" s="611">
        <v>19.229370468750002</v>
      </c>
      <c r="I216" s="611">
        <v>-16.060719785578666</v>
      </c>
      <c r="J216" s="611">
        <v>20.896944027815795</v>
      </c>
      <c r="K216" s="611">
        <v>0</v>
      </c>
      <c r="L216" s="611">
        <v>0</v>
      </c>
      <c r="M216" s="611">
        <v>0</v>
      </c>
      <c r="N216" s="611">
        <v>0</v>
      </c>
      <c r="O216" s="611">
        <v>0</v>
      </c>
      <c r="P216" s="611">
        <v>0</v>
      </c>
      <c r="Q216" s="611">
        <v>0</v>
      </c>
      <c r="R216" s="611">
        <v>0</v>
      </c>
      <c r="S216" s="611">
        <v>0</v>
      </c>
      <c r="T216" s="611">
        <v>0</v>
      </c>
      <c r="U216" s="611">
        <v>0</v>
      </c>
      <c r="V216" s="611">
        <v>0</v>
      </c>
      <c r="W216" s="611">
        <v>0</v>
      </c>
      <c r="X216" s="611">
        <v>0</v>
      </c>
      <c r="Y216" s="619">
        <v>24.065594710987131</v>
      </c>
      <c r="Z216" s="51"/>
    </row>
    <row r="217" spans="1:26" x14ac:dyDescent="0.25">
      <c r="A217" s="51">
        <v>24</v>
      </c>
      <c r="B217" s="51">
        <v>2028</v>
      </c>
      <c r="C217" s="51" t="s">
        <v>47</v>
      </c>
      <c r="D217" s="51" t="s">
        <v>504</v>
      </c>
      <c r="E217" s="51" t="s">
        <v>564</v>
      </c>
      <c r="F217" s="51"/>
      <c r="G217" s="618" t="s">
        <v>75</v>
      </c>
      <c r="H217" s="611">
        <v>7.478088515625001</v>
      </c>
      <c r="I217" s="611">
        <v>0</v>
      </c>
      <c r="J217" s="611">
        <v>15.746271144073498</v>
      </c>
      <c r="K217" s="611">
        <v>0</v>
      </c>
      <c r="L217" s="611">
        <v>5.0333610057426457</v>
      </c>
      <c r="M217" s="611">
        <v>0</v>
      </c>
      <c r="N217" s="611">
        <v>0</v>
      </c>
      <c r="O217" s="611">
        <v>0</v>
      </c>
      <c r="P217" s="611">
        <v>0</v>
      </c>
      <c r="Q217" s="611">
        <v>0</v>
      </c>
      <c r="R217" s="611">
        <v>0</v>
      </c>
      <c r="S217" s="611">
        <v>0.62210079846257416</v>
      </c>
      <c r="T217" s="611">
        <v>0</v>
      </c>
      <c r="U217" s="611">
        <v>0</v>
      </c>
      <c r="V217" s="611">
        <v>50.974899955786924</v>
      </c>
      <c r="W217" s="611">
        <v>0</v>
      </c>
      <c r="X217" s="611">
        <v>0</v>
      </c>
      <c r="Y217" s="619">
        <v>79.854721419690648</v>
      </c>
      <c r="Z217" s="51"/>
    </row>
    <row r="218" spans="1:26" x14ac:dyDescent="0.25">
      <c r="A218" s="51">
        <v>25</v>
      </c>
      <c r="B218" s="51">
        <v>2028</v>
      </c>
      <c r="C218" s="51" t="s">
        <v>47</v>
      </c>
      <c r="D218" s="51" t="s">
        <v>505</v>
      </c>
      <c r="E218" s="51" t="s">
        <v>564</v>
      </c>
      <c r="F218" s="51"/>
      <c r="G218" s="618" t="s">
        <v>76</v>
      </c>
      <c r="H218" s="611">
        <v>0</v>
      </c>
      <c r="I218" s="611">
        <v>0</v>
      </c>
      <c r="J218" s="611">
        <v>0</v>
      </c>
      <c r="K218" s="611">
        <v>0</v>
      </c>
      <c r="L218" s="611">
        <v>3.79891264985788</v>
      </c>
      <c r="M218" s="611">
        <v>0</v>
      </c>
      <c r="N218" s="611">
        <v>0</v>
      </c>
      <c r="O218" s="611">
        <v>0</v>
      </c>
      <c r="P218" s="611">
        <v>0</v>
      </c>
      <c r="Q218" s="611">
        <v>0</v>
      </c>
      <c r="R218" s="611">
        <v>0</v>
      </c>
      <c r="S218" s="611">
        <v>0.46952852975771547</v>
      </c>
      <c r="T218" s="611">
        <v>0</v>
      </c>
      <c r="U218" s="611">
        <v>0</v>
      </c>
      <c r="V218" s="611">
        <v>43.618221674441394</v>
      </c>
      <c r="W218" s="611">
        <v>5.1997524332930807</v>
      </c>
      <c r="X218" s="611">
        <v>0</v>
      </c>
      <c r="Y218" s="619">
        <v>53.086415287350064</v>
      </c>
      <c r="Z218" s="51"/>
    </row>
    <row r="219" spans="1:26" x14ac:dyDescent="0.25">
      <c r="A219" s="51">
        <v>26</v>
      </c>
      <c r="B219" s="51">
        <v>2028</v>
      </c>
      <c r="C219" s="51" t="s">
        <v>47</v>
      </c>
      <c r="D219" s="51" t="s">
        <v>506</v>
      </c>
      <c r="E219" s="51" t="s">
        <v>564</v>
      </c>
      <c r="F219" s="51"/>
      <c r="G219" s="614" t="s">
        <v>77</v>
      </c>
      <c r="H219" s="615">
        <v>26.78473171164773</v>
      </c>
      <c r="I219" s="615">
        <v>441.07612804515497</v>
      </c>
      <c r="J219" s="615">
        <v>-414.97792675292652</v>
      </c>
      <c r="K219" s="615">
        <v>-1.2093925948448314</v>
      </c>
      <c r="L219" s="615">
        <v>78.462230150949182</v>
      </c>
      <c r="M219" s="615">
        <v>-0.38128741609807487</v>
      </c>
      <c r="N219" s="615">
        <v>1166.5108</v>
      </c>
      <c r="O219" s="615">
        <v>184.63272900914501</v>
      </c>
      <c r="P219" s="615">
        <v>228.03394374313712</v>
      </c>
      <c r="Q219" s="615">
        <v>16.337955886247205</v>
      </c>
      <c r="R219" s="615">
        <v>-43.986020530387627</v>
      </c>
      <c r="S219" s="615">
        <v>-31.60090382463909</v>
      </c>
      <c r="T219" s="615">
        <v>0</v>
      </c>
      <c r="U219" s="615">
        <v>6.739227481534531</v>
      </c>
      <c r="V219" s="615">
        <v>-526.35195147847185</v>
      </c>
      <c r="W219" s="615">
        <v>-61.8470517958065</v>
      </c>
      <c r="X219" s="615">
        <v>-3.6878049856182082</v>
      </c>
      <c r="Y219" s="615">
        <v>1064.5354066490231</v>
      </c>
      <c r="Z219" s="51"/>
    </row>
    <row r="220" spans="1:26" x14ac:dyDescent="0.25">
      <c r="A220" s="51"/>
      <c r="B220" s="51"/>
      <c r="C220" s="51"/>
      <c r="D220" s="51"/>
      <c r="E220" s="51"/>
      <c r="F220" s="51"/>
      <c r="G220" s="616"/>
      <c r="H220" s="617"/>
      <c r="I220" s="617"/>
      <c r="J220" s="617"/>
      <c r="K220" s="617"/>
      <c r="L220" s="623"/>
      <c r="M220" s="617"/>
      <c r="N220" s="617"/>
      <c r="O220" s="617"/>
      <c r="P220" s="617"/>
      <c r="Q220" s="617"/>
      <c r="R220" s="617"/>
      <c r="S220" s="617"/>
      <c r="T220" s="617"/>
      <c r="U220" s="617"/>
      <c r="V220" s="617"/>
      <c r="W220" s="617"/>
      <c r="X220" s="617"/>
      <c r="Y220" s="617"/>
      <c r="Z220" s="51"/>
    </row>
    <row r="221" spans="1:26" x14ac:dyDescent="0.25">
      <c r="A221" s="51">
        <v>28</v>
      </c>
      <c r="B221" s="51">
        <v>2028</v>
      </c>
      <c r="C221" s="51" t="s">
        <v>47</v>
      </c>
      <c r="D221" s="51" t="s">
        <v>507</v>
      </c>
      <c r="E221" s="51" t="s">
        <v>564</v>
      </c>
      <c r="F221" s="51"/>
      <c r="G221" s="618" t="s">
        <v>78</v>
      </c>
      <c r="H221" s="611">
        <v>4.5171445685337561</v>
      </c>
      <c r="I221" s="611">
        <v>0</v>
      </c>
      <c r="J221" s="611">
        <v>16.333805703198944</v>
      </c>
      <c r="K221" s="681">
        <v>0</v>
      </c>
      <c r="L221" s="611">
        <v>89.327815995001359</v>
      </c>
      <c r="M221" s="611">
        <v>0</v>
      </c>
      <c r="N221" s="611">
        <v>0</v>
      </c>
      <c r="O221" s="611">
        <v>0</v>
      </c>
      <c r="P221" s="611">
        <v>20.148246137015189</v>
      </c>
      <c r="Q221" s="611">
        <v>6.6309716857427698</v>
      </c>
      <c r="R221" s="611">
        <v>1.0223662329329699</v>
      </c>
      <c r="S221" s="611">
        <v>11.06635293883957</v>
      </c>
      <c r="T221" s="611">
        <v>4.2486977539062503</v>
      </c>
      <c r="U221" s="611">
        <v>5.2671642446208732E-4</v>
      </c>
      <c r="V221" s="611">
        <v>142.27852677363259</v>
      </c>
      <c r="W221" s="611">
        <v>19.602523281220837</v>
      </c>
      <c r="X221" s="611">
        <v>2.0790988769531249</v>
      </c>
      <c r="Y221" s="619">
        <v>317.25607666340187</v>
      </c>
      <c r="Z221" s="51"/>
    </row>
    <row r="222" spans="1:26" x14ac:dyDescent="0.25">
      <c r="A222" s="51">
        <v>29</v>
      </c>
      <c r="B222" s="51">
        <v>2028</v>
      </c>
      <c r="C222" s="51" t="s">
        <v>47</v>
      </c>
      <c r="D222" s="51" t="s">
        <v>508</v>
      </c>
      <c r="E222" s="51" t="s">
        <v>564</v>
      </c>
      <c r="F222" s="51"/>
      <c r="G222" s="618" t="s">
        <v>79</v>
      </c>
      <c r="H222" s="611">
        <v>0</v>
      </c>
      <c r="I222" s="611">
        <v>0</v>
      </c>
      <c r="J222" s="611">
        <v>352.26145508392204</v>
      </c>
      <c r="K222" s="611">
        <v>0.12706948615934052</v>
      </c>
      <c r="L222" s="611">
        <v>5.065595680375564</v>
      </c>
      <c r="M222" s="611">
        <v>0</v>
      </c>
      <c r="N222" s="611">
        <v>0</v>
      </c>
      <c r="O222" s="611">
        <v>0</v>
      </c>
      <c r="P222" s="611">
        <v>0</v>
      </c>
      <c r="Q222" s="611">
        <v>0</v>
      </c>
      <c r="R222" s="611">
        <v>39.492527994120572</v>
      </c>
      <c r="S222" s="611">
        <v>0.62608485937226077</v>
      </c>
      <c r="T222" s="611">
        <v>0</v>
      </c>
      <c r="U222" s="611">
        <v>0</v>
      </c>
      <c r="V222" s="611">
        <v>26.698210875173668</v>
      </c>
      <c r="W222" s="611">
        <v>0</v>
      </c>
      <c r="X222" s="611">
        <v>0.57963295741686927</v>
      </c>
      <c r="Y222" s="619">
        <v>424.85057693654034</v>
      </c>
      <c r="Z222" s="51"/>
    </row>
    <row r="223" spans="1:26" x14ac:dyDescent="0.25">
      <c r="A223" s="51">
        <v>30</v>
      </c>
      <c r="B223" s="51">
        <v>2028</v>
      </c>
      <c r="C223" s="51" t="s">
        <v>47</v>
      </c>
      <c r="D223" s="51" t="s">
        <v>509</v>
      </c>
      <c r="E223" s="51" t="s">
        <v>564</v>
      </c>
      <c r="F223" s="51"/>
      <c r="G223" s="618" t="s">
        <v>80</v>
      </c>
      <c r="H223" s="611">
        <v>0</v>
      </c>
      <c r="I223" s="611">
        <v>0</v>
      </c>
      <c r="J223" s="611">
        <v>14.106912603893973</v>
      </c>
      <c r="K223" s="611">
        <v>0</v>
      </c>
      <c r="L223" s="611">
        <v>90.134574467923656</v>
      </c>
      <c r="M223" s="611">
        <v>0</v>
      </c>
      <c r="N223" s="611">
        <v>0</v>
      </c>
      <c r="O223" s="611">
        <v>0</v>
      </c>
      <c r="P223" s="611">
        <v>62.690707022191241</v>
      </c>
      <c r="Q223" s="611">
        <v>0</v>
      </c>
      <c r="R223" s="611">
        <v>0</v>
      </c>
      <c r="S223" s="611">
        <v>11.140228305024271</v>
      </c>
      <c r="T223" s="611">
        <v>60.595421943225944</v>
      </c>
      <c r="U223" s="611">
        <v>1.6848031115014832</v>
      </c>
      <c r="V223" s="611">
        <v>167.23652300595705</v>
      </c>
      <c r="W223" s="611">
        <v>25.802695011189844</v>
      </c>
      <c r="X223" s="611">
        <v>0</v>
      </c>
      <c r="Y223" s="619">
        <v>433.39186547090742</v>
      </c>
      <c r="Z223" s="51"/>
    </row>
    <row r="224" spans="1:26" x14ac:dyDescent="0.25">
      <c r="A224" s="51">
        <v>31</v>
      </c>
      <c r="B224" s="51">
        <v>2028</v>
      </c>
      <c r="C224" s="51" t="s">
        <v>47</v>
      </c>
      <c r="D224" s="51" t="s">
        <v>510</v>
      </c>
      <c r="E224" s="51" t="s">
        <v>564</v>
      </c>
      <c r="F224" s="51"/>
      <c r="G224" s="618" t="s">
        <v>81</v>
      </c>
      <c r="H224" s="611">
        <v>0</v>
      </c>
      <c r="I224" s="611">
        <v>0</v>
      </c>
      <c r="J224" s="611">
        <v>9.8711818062624044</v>
      </c>
      <c r="K224" s="611">
        <v>0</v>
      </c>
      <c r="L224" s="611">
        <v>51.799224274736083</v>
      </c>
      <c r="M224" s="611">
        <v>0</v>
      </c>
      <c r="N224" s="611">
        <v>0</v>
      </c>
      <c r="O224" s="611">
        <v>0</v>
      </c>
      <c r="P224" s="611">
        <v>0.57400000000000007</v>
      </c>
      <c r="Q224" s="611">
        <v>0</v>
      </c>
      <c r="R224" s="611">
        <v>0</v>
      </c>
      <c r="S224" s="611">
        <v>6.4021513148550211</v>
      </c>
      <c r="T224" s="611">
        <v>26.181333702490477</v>
      </c>
      <c r="U224" s="611">
        <v>2.3978213373277528</v>
      </c>
      <c r="V224" s="611">
        <v>122.54587991541402</v>
      </c>
      <c r="W224" s="611">
        <v>16.441833503395817</v>
      </c>
      <c r="X224" s="611">
        <v>0</v>
      </c>
      <c r="Y224" s="619">
        <v>236.21342585448159</v>
      </c>
      <c r="Z224" s="51"/>
    </row>
    <row r="225" spans="1:26" x14ac:dyDescent="0.25">
      <c r="A225" s="51">
        <v>32</v>
      </c>
      <c r="B225" s="51">
        <v>2028</v>
      </c>
      <c r="C225" s="51" t="s">
        <v>47</v>
      </c>
      <c r="D225" s="51" t="s">
        <v>511</v>
      </c>
      <c r="E225" s="51" t="s">
        <v>564</v>
      </c>
      <c r="F225" s="51"/>
      <c r="G225" s="618" t="s">
        <v>82</v>
      </c>
      <c r="H225" s="611">
        <v>0</v>
      </c>
      <c r="I225" s="611">
        <v>0</v>
      </c>
      <c r="J225" s="611">
        <v>32.072711770325697</v>
      </c>
      <c r="K225" s="611">
        <v>0</v>
      </c>
      <c r="L225" s="611">
        <v>2.1435604051924075</v>
      </c>
      <c r="M225" s="611">
        <v>0</v>
      </c>
      <c r="N225" s="611">
        <v>0</v>
      </c>
      <c r="O225" s="611">
        <v>0</v>
      </c>
      <c r="P225" s="611">
        <v>1.6924464779698849</v>
      </c>
      <c r="Q225" s="611">
        <v>0</v>
      </c>
      <c r="R225" s="611">
        <v>4.0928745055639855</v>
      </c>
      <c r="S225" s="611">
        <v>0.26493443210243239</v>
      </c>
      <c r="T225" s="611">
        <v>0.4</v>
      </c>
      <c r="U225" s="611">
        <v>0.5193752668696392</v>
      </c>
      <c r="V225" s="611">
        <v>7.2059681027394982</v>
      </c>
      <c r="W225" s="611">
        <v>0</v>
      </c>
      <c r="X225" s="611">
        <v>0.13892990437736891</v>
      </c>
      <c r="Y225" s="619">
        <v>48.530800865140918</v>
      </c>
      <c r="Z225" s="51"/>
    </row>
    <row r="226" spans="1:26" x14ac:dyDescent="0.25">
      <c r="A226" s="51">
        <v>33</v>
      </c>
      <c r="B226" s="51">
        <v>2028</v>
      </c>
      <c r="C226" s="51" t="s">
        <v>47</v>
      </c>
      <c r="D226" s="51" t="s">
        <v>512</v>
      </c>
      <c r="E226" s="51" t="s">
        <v>564</v>
      </c>
      <c r="F226" s="51"/>
      <c r="G226" s="618" t="s">
        <v>354</v>
      </c>
      <c r="H226" s="611">
        <v>0</v>
      </c>
      <c r="I226" s="611">
        <v>0</v>
      </c>
      <c r="J226" s="611">
        <v>0</v>
      </c>
      <c r="K226" s="611">
        <v>0</v>
      </c>
      <c r="L226" s="611">
        <v>0</v>
      </c>
      <c r="M226" s="611">
        <v>0</v>
      </c>
      <c r="N226" s="611">
        <v>0</v>
      </c>
      <c r="O226" s="611">
        <v>0</v>
      </c>
      <c r="P226" s="611">
        <v>0</v>
      </c>
      <c r="Q226" s="611">
        <v>0</v>
      </c>
      <c r="R226" s="611">
        <v>0</v>
      </c>
      <c r="S226" s="611">
        <v>0</v>
      </c>
      <c r="T226" s="611">
        <v>0</v>
      </c>
      <c r="U226" s="611">
        <v>0</v>
      </c>
      <c r="V226" s="611">
        <v>0</v>
      </c>
      <c r="W226" s="611">
        <v>0</v>
      </c>
      <c r="X226" s="611">
        <v>0</v>
      </c>
      <c r="Y226" s="619">
        <v>0</v>
      </c>
      <c r="Z226" s="51"/>
    </row>
    <row r="227" spans="1:26" x14ac:dyDescent="0.25">
      <c r="A227" s="51">
        <v>34</v>
      </c>
      <c r="B227" s="51">
        <v>2028</v>
      </c>
      <c r="C227" s="51" t="s">
        <v>47</v>
      </c>
      <c r="D227" s="51" t="s">
        <v>513</v>
      </c>
      <c r="E227" s="51" t="s">
        <v>564</v>
      </c>
      <c r="F227" s="51"/>
      <c r="G227" s="614" t="s">
        <v>83</v>
      </c>
      <c r="H227" s="615">
        <v>4.5171445685337561</v>
      </c>
      <c r="I227" s="615">
        <v>0</v>
      </c>
      <c r="J227" s="615">
        <v>424.64606696760313</v>
      </c>
      <c r="K227" s="615">
        <v>0.12706948615934052</v>
      </c>
      <c r="L227" s="615">
        <v>238.47077082322906</v>
      </c>
      <c r="M227" s="615">
        <v>0</v>
      </c>
      <c r="N227" s="615">
        <v>0</v>
      </c>
      <c r="O227" s="615">
        <v>0</v>
      </c>
      <c r="P227" s="615">
        <v>85.105399637176305</v>
      </c>
      <c r="Q227" s="615">
        <v>6.6309716857427698</v>
      </c>
      <c r="R227" s="615">
        <v>44.607768732617522</v>
      </c>
      <c r="S227" s="615">
        <v>29.499751850193555</v>
      </c>
      <c r="T227" s="615">
        <v>91.425453399622683</v>
      </c>
      <c r="U227" s="615">
        <v>4.6025264321233372</v>
      </c>
      <c r="V227" s="615">
        <v>465.96510867291687</v>
      </c>
      <c r="W227" s="615">
        <v>61.847051795806493</v>
      </c>
      <c r="X227" s="615">
        <v>2.797661738747363</v>
      </c>
      <c r="Y227" s="615">
        <v>1460.2427457904721</v>
      </c>
      <c r="Z227" s="51"/>
    </row>
    <row r="228" spans="1:26" x14ac:dyDescent="0.25">
      <c r="A228" s="51">
        <v>35</v>
      </c>
      <c r="B228" s="51">
        <v>2028</v>
      </c>
      <c r="C228" s="51" t="s">
        <v>47</v>
      </c>
      <c r="D228" s="51" t="s">
        <v>514</v>
      </c>
      <c r="E228" s="51" t="s">
        <v>564</v>
      </c>
      <c r="F228" s="51"/>
      <c r="G228" s="610" t="s">
        <v>84</v>
      </c>
      <c r="H228" s="611">
        <v>0</v>
      </c>
      <c r="I228" s="611">
        <v>0</v>
      </c>
      <c r="J228" s="611">
        <v>130.10900718351874</v>
      </c>
      <c r="K228" s="611">
        <v>1.1094620580297863</v>
      </c>
      <c r="L228" s="611">
        <v>13.5291015041451</v>
      </c>
      <c r="M228" s="611">
        <v>0</v>
      </c>
      <c r="N228" s="611">
        <v>0</v>
      </c>
      <c r="O228" s="611">
        <v>0</v>
      </c>
      <c r="P228" s="611">
        <v>9.0685458256899165E-2</v>
      </c>
      <c r="Q228" s="611">
        <v>0</v>
      </c>
      <c r="R228" s="611">
        <v>1.1637873949261752</v>
      </c>
      <c r="S228" s="611">
        <v>1.5517165265682336</v>
      </c>
      <c r="T228" s="611">
        <v>0</v>
      </c>
      <c r="U228" s="611">
        <v>0</v>
      </c>
      <c r="V228" s="611">
        <v>0</v>
      </c>
      <c r="W228" s="611">
        <v>0</v>
      </c>
      <c r="X228" s="611">
        <v>0.81112781167030334</v>
      </c>
      <c r="Y228" s="619">
        <v>148.36488793711524</v>
      </c>
      <c r="Z228" s="51"/>
    </row>
    <row r="229" spans="1:26" x14ac:dyDescent="0.25">
      <c r="A229" s="51">
        <v>36</v>
      </c>
      <c r="B229" s="51">
        <v>2028</v>
      </c>
      <c r="C229" s="51" t="s">
        <v>47</v>
      </c>
      <c r="D229" s="51" t="s">
        <v>515</v>
      </c>
      <c r="E229" s="51" t="s">
        <v>564</v>
      </c>
      <c r="F229" s="51"/>
      <c r="G229" s="614" t="s">
        <v>85</v>
      </c>
      <c r="H229" s="615">
        <v>4.5171445685337561</v>
      </c>
      <c r="I229" s="615">
        <v>0</v>
      </c>
      <c r="J229" s="615">
        <v>554.7550741511219</v>
      </c>
      <c r="K229" s="615">
        <v>1.2365315441891267</v>
      </c>
      <c r="L229" s="615">
        <v>251.99987232737416</v>
      </c>
      <c r="M229" s="615">
        <v>0</v>
      </c>
      <c r="N229" s="615">
        <v>0</v>
      </c>
      <c r="O229" s="615">
        <v>0</v>
      </c>
      <c r="P229" s="615">
        <v>85.196085095433205</v>
      </c>
      <c r="Q229" s="615">
        <v>6.6309716857427698</v>
      </c>
      <c r="R229" s="615">
        <v>45.771556127543697</v>
      </c>
      <c r="S229" s="615">
        <v>31.05146837676179</v>
      </c>
      <c r="T229" s="615">
        <v>91.425453399622683</v>
      </c>
      <c r="U229" s="615">
        <v>4.6025264321233372</v>
      </c>
      <c r="V229" s="615">
        <v>465.96510867291687</v>
      </c>
      <c r="W229" s="615">
        <v>61.847051795806493</v>
      </c>
      <c r="X229" s="615">
        <v>3.6087895504176664</v>
      </c>
      <c r="Y229" s="615">
        <v>1608.6076337275874</v>
      </c>
      <c r="Z229" s="51"/>
    </row>
    <row r="230" spans="1:26" x14ac:dyDescent="0.25">
      <c r="A230" s="51"/>
      <c r="B230" s="51"/>
      <c r="C230" s="51"/>
      <c r="D230" s="51"/>
      <c r="E230" s="51"/>
      <c r="F230" s="51"/>
      <c r="G230" s="51"/>
      <c r="H230" s="67">
        <v>0</v>
      </c>
      <c r="I230" s="67">
        <v>0</v>
      </c>
      <c r="J230" s="67">
        <v>0</v>
      </c>
      <c r="K230" s="67">
        <v>-2.2204460492503131E-16</v>
      </c>
      <c r="L230" s="67">
        <v>0</v>
      </c>
      <c r="M230" s="67">
        <v>0</v>
      </c>
      <c r="N230" s="67">
        <v>0</v>
      </c>
      <c r="O230" s="67">
        <v>0</v>
      </c>
      <c r="P230" s="67">
        <v>0</v>
      </c>
      <c r="Q230" s="67">
        <v>-5.6682988468281792E-4</v>
      </c>
      <c r="R230" s="67">
        <v>0</v>
      </c>
      <c r="S230" s="67">
        <v>0</v>
      </c>
      <c r="T230" s="67">
        <v>0</v>
      </c>
      <c r="U230" s="67">
        <v>0</v>
      </c>
      <c r="V230" s="67">
        <v>-5.6843418860808015E-14</v>
      </c>
      <c r="W230" s="67">
        <v>-7.1054273576010019E-15</v>
      </c>
      <c r="X230" s="67">
        <v>-1.5265566588595902E-16</v>
      </c>
      <c r="Y230" s="67">
        <v>-5.6682988451939309E-4</v>
      </c>
      <c r="Z230" s="51"/>
    </row>
    <row r="231" spans="1:26" x14ac:dyDescent="0.25">
      <c r="A231" s="51"/>
      <c r="B231" s="51"/>
      <c r="C231" s="51"/>
      <c r="D231" s="51"/>
      <c r="E231" s="51"/>
      <c r="F231" s="51"/>
      <c r="G231" s="51"/>
      <c r="H231" s="51"/>
      <c r="I231" s="51"/>
      <c r="J231" s="51"/>
      <c r="K231" s="67"/>
      <c r="L231" s="51"/>
      <c r="M231" s="51"/>
      <c r="N231" s="51"/>
      <c r="O231" s="51"/>
      <c r="P231" s="51"/>
      <c r="Q231" s="51"/>
      <c r="R231" s="51"/>
      <c r="S231" s="51"/>
      <c r="T231" s="51"/>
      <c r="U231" s="51"/>
      <c r="V231" s="51"/>
      <c r="W231" s="51"/>
      <c r="X231" s="51"/>
      <c r="Y231" s="51"/>
      <c r="Z231" s="51"/>
    </row>
    <row r="232" spans="1:26" x14ac:dyDescent="0.25">
      <c r="A232" s="606"/>
      <c r="B232" s="606"/>
      <c r="C232" s="606"/>
      <c r="D232" s="606"/>
      <c r="E232" s="606"/>
      <c r="F232" s="606"/>
      <c r="G232" s="607" t="s">
        <v>88</v>
      </c>
      <c r="H232" s="606"/>
      <c r="I232" s="606"/>
      <c r="J232" s="606"/>
      <c r="K232" s="682"/>
      <c r="L232" s="606"/>
      <c r="M232" s="606"/>
      <c r="N232" s="606"/>
      <c r="O232" s="606"/>
      <c r="P232" s="606"/>
      <c r="Q232" s="606"/>
      <c r="R232" s="606"/>
      <c r="S232" s="606"/>
      <c r="T232" s="606"/>
      <c r="U232" s="606"/>
      <c r="V232" s="606"/>
      <c r="W232" s="606"/>
      <c r="X232" s="606"/>
      <c r="Y232" s="606"/>
      <c r="Z232" s="606"/>
    </row>
    <row r="233" spans="1:26" x14ac:dyDescent="0.25">
      <c r="A233" s="51"/>
      <c r="B233" s="51"/>
      <c r="C233" s="51"/>
      <c r="D233" s="51"/>
      <c r="E233" s="51"/>
      <c r="F233" s="51"/>
      <c r="G233" s="51"/>
      <c r="H233" s="51"/>
      <c r="I233" s="51"/>
      <c r="J233" s="51"/>
      <c r="K233" s="67"/>
      <c r="L233" s="51"/>
      <c r="M233" s="51"/>
      <c r="N233" s="51"/>
      <c r="O233" s="51"/>
      <c r="P233" s="51"/>
      <c r="Q233" s="51"/>
      <c r="R233" s="51"/>
      <c r="S233" s="51"/>
      <c r="T233" s="51"/>
      <c r="U233" s="51"/>
      <c r="V233" s="51"/>
      <c r="W233" s="51"/>
      <c r="X233" s="51"/>
      <c r="Y233" s="51"/>
      <c r="Z233" s="51"/>
    </row>
    <row r="234" spans="1:26" x14ac:dyDescent="0.25">
      <c r="A234" s="51"/>
      <c r="B234" s="51"/>
      <c r="C234" s="51"/>
      <c r="D234" s="51"/>
      <c r="E234" s="51"/>
      <c r="F234" s="51"/>
      <c r="G234" s="764" t="s">
        <v>128</v>
      </c>
      <c r="H234" s="753" t="s">
        <v>42</v>
      </c>
      <c r="I234" s="753" t="s">
        <v>52</v>
      </c>
      <c r="J234" s="753" t="s">
        <v>53</v>
      </c>
      <c r="K234" s="766" t="s">
        <v>482</v>
      </c>
      <c r="L234" s="753" t="s">
        <v>32</v>
      </c>
      <c r="M234" s="753" t="s">
        <v>483</v>
      </c>
      <c r="N234" s="753" t="s">
        <v>20</v>
      </c>
      <c r="O234" s="753" t="s">
        <v>55</v>
      </c>
      <c r="P234" s="761" t="s">
        <v>56</v>
      </c>
      <c r="Q234" s="762"/>
      <c r="R234" s="762"/>
      <c r="S234" s="762"/>
      <c r="T234" s="762"/>
      <c r="U234" s="763"/>
      <c r="V234" s="753" t="s">
        <v>57</v>
      </c>
      <c r="W234" s="753" t="s">
        <v>58</v>
      </c>
      <c r="X234" s="753" t="s">
        <v>31</v>
      </c>
      <c r="Y234" s="753" t="s">
        <v>10</v>
      </c>
      <c r="Z234" s="51"/>
    </row>
    <row r="235" spans="1:26" ht="36" x14ac:dyDescent="0.25">
      <c r="A235" s="51"/>
      <c r="B235" s="51"/>
      <c r="C235" s="51"/>
      <c r="D235" s="51" t="s">
        <v>486</v>
      </c>
      <c r="E235" s="51"/>
      <c r="F235" s="51"/>
      <c r="G235" s="765"/>
      <c r="H235" s="754"/>
      <c r="I235" s="754"/>
      <c r="J235" s="754"/>
      <c r="K235" s="767"/>
      <c r="L235" s="754"/>
      <c r="M235" s="754"/>
      <c r="N235" s="754"/>
      <c r="O235" s="754"/>
      <c r="P235" s="608" t="s">
        <v>335</v>
      </c>
      <c r="Q235" s="608" t="s">
        <v>40</v>
      </c>
      <c r="R235" s="608" t="s">
        <v>343</v>
      </c>
      <c r="S235" s="608" t="s">
        <v>344</v>
      </c>
      <c r="T235" s="609" t="s">
        <v>345</v>
      </c>
      <c r="U235" s="608" t="s">
        <v>346</v>
      </c>
      <c r="V235" s="754"/>
      <c r="W235" s="754"/>
      <c r="X235" s="754"/>
      <c r="Y235" s="754"/>
      <c r="Z235" s="51"/>
    </row>
    <row r="236" spans="1:26" x14ac:dyDescent="0.25">
      <c r="A236" s="51">
        <v>6</v>
      </c>
      <c r="B236" s="51">
        <v>2030</v>
      </c>
      <c r="C236" s="51" t="s">
        <v>47</v>
      </c>
      <c r="D236" s="51" t="s">
        <v>487</v>
      </c>
      <c r="E236" s="51" t="s">
        <v>564</v>
      </c>
      <c r="F236" s="51"/>
      <c r="G236" s="610" t="s">
        <v>59</v>
      </c>
      <c r="H236" s="611">
        <v>0</v>
      </c>
      <c r="I236" s="611">
        <v>9.7691999999999997</v>
      </c>
      <c r="J236" s="611">
        <v>0</v>
      </c>
      <c r="K236" s="611">
        <v>0</v>
      </c>
      <c r="L236" s="611">
        <v>0.18608000000000002</v>
      </c>
      <c r="M236" s="611">
        <v>0</v>
      </c>
      <c r="N236" s="612">
        <v>1159.7098545454546</v>
      </c>
      <c r="O236" s="612">
        <v>206.22767049205902</v>
      </c>
      <c r="P236" s="612">
        <v>326.36588655557915</v>
      </c>
      <c r="Q236" s="612">
        <v>23.880954036091094</v>
      </c>
      <c r="R236" s="611">
        <v>1.4156783371657409</v>
      </c>
      <c r="S236" s="611">
        <v>0.13593700784165794</v>
      </c>
      <c r="T236" s="612">
        <v>103.00436671608395</v>
      </c>
      <c r="U236" s="612">
        <v>12.730506155114826</v>
      </c>
      <c r="V236" s="611">
        <v>0</v>
      </c>
      <c r="W236" s="611">
        <v>0</v>
      </c>
      <c r="X236" s="611">
        <v>0</v>
      </c>
      <c r="Y236" s="613">
        <v>1804.6627452595433</v>
      </c>
      <c r="Z236" s="51"/>
    </row>
    <row r="237" spans="1:26" x14ac:dyDescent="0.25">
      <c r="A237" s="51">
        <v>7</v>
      </c>
      <c r="B237" s="51">
        <v>2030</v>
      </c>
      <c r="C237" s="51" t="s">
        <v>47</v>
      </c>
      <c r="D237" s="51" t="s">
        <v>488</v>
      </c>
      <c r="E237" s="51" t="s">
        <v>564</v>
      </c>
      <c r="F237" s="51"/>
      <c r="G237" s="610" t="s">
        <v>60</v>
      </c>
      <c r="H237" s="611">
        <v>23.408391415226877</v>
      </c>
      <c r="I237" s="611">
        <v>397.73285119797646</v>
      </c>
      <c r="J237" s="611">
        <v>191.75100078220197</v>
      </c>
      <c r="K237" s="611">
        <v>0.57597435478791414</v>
      </c>
      <c r="L237" s="611">
        <v>299.01405116645907</v>
      </c>
      <c r="M237" s="611">
        <v>0</v>
      </c>
      <c r="N237" s="611">
        <v>0</v>
      </c>
      <c r="O237" s="611">
        <v>0</v>
      </c>
      <c r="P237" s="611">
        <v>2.5322527707990741</v>
      </c>
      <c r="Q237" s="611">
        <v>0</v>
      </c>
      <c r="R237" s="611">
        <v>3.4051358539984622</v>
      </c>
      <c r="S237" s="611">
        <v>0</v>
      </c>
      <c r="T237" s="611">
        <v>0</v>
      </c>
      <c r="U237" s="611">
        <v>0</v>
      </c>
      <c r="V237" s="611">
        <v>0</v>
      </c>
      <c r="W237" s="611">
        <v>0</v>
      </c>
      <c r="X237" s="611">
        <v>0</v>
      </c>
      <c r="Y237" s="613">
        <v>918.41965754144996</v>
      </c>
      <c r="Z237" s="51"/>
    </row>
    <row r="238" spans="1:26" x14ac:dyDescent="0.25">
      <c r="A238" s="51">
        <v>8</v>
      </c>
      <c r="B238" s="51">
        <v>2030</v>
      </c>
      <c r="C238" s="51" t="s">
        <v>47</v>
      </c>
      <c r="D238" s="51" t="s">
        <v>489</v>
      </c>
      <c r="E238" s="51" t="s">
        <v>564</v>
      </c>
      <c r="F238" s="51"/>
      <c r="G238" s="610" t="s">
        <v>61</v>
      </c>
      <c r="H238" s="611">
        <v>0</v>
      </c>
      <c r="I238" s="611">
        <v>0</v>
      </c>
      <c r="J238" s="611">
        <v>5.0493218309217411</v>
      </c>
      <c r="K238" s="611">
        <v>0</v>
      </c>
      <c r="L238" s="611">
        <v>0</v>
      </c>
      <c r="M238" s="611">
        <v>0</v>
      </c>
      <c r="N238" s="611">
        <v>0</v>
      </c>
      <c r="O238" s="611">
        <v>0</v>
      </c>
      <c r="P238" s="611">
        <v>0</v>
      </c>
      <c r="Q238" s="611">
        <v>0</v>
      </c>
      <c r="R238" s="611">
        <v>0</v>
      </c>
      <c r="S238" s="611">
        <v>0</v>
      </c>
      <c r="T238" s="611">
        <v>0</v>
      </c>
      <c r="U238" s="611">
        <v>0</v>
      </c>
      <c r="V238" s="611">
        <v>-60.040984503318555</v>
      </c>
      <c r="W238" s="611">
        <v>0</v>
      </c>
      <c r="X238" s="611">
        <v>0</v>
      </c>
      <c r="Y238" s="613">
        <v>-54.991662672396814</v>
      </c>
      <c r="Z238" s="51"/>
    </row>
    <row r="239" spans="1:26" x14ac:dyDescent="0.25">
      <c r="A239" s="51">
        <v>9</v>
      </c>
      <c r="B239" s="51">
        <v>2030</v>
      </c>
      <c r="C239" s="51" t="s">
        <v>47</v>
      </c>
      <c r="D239" s="51" t="s">
        <v>490</v>
      </c>
      <c r="E239" s="51" t="s">
        <v>564</v>
      </c>
      <c r="F239" s="51"/>
      <c r="G239" s="610" t="s">
        <v>62</v>
      </c>
      <c r="H239" s="611">
        <v>0</v>
      </c>
      <c r="I239" s="611">
        <v>0</v>
      </c>
      <c r="J239" s="611">
        <v>-13.430949100801122</v>
      </c>
      <c r="K239" s="611">
        <v>-5.8076344872398176E-2</v>
      </c>
      <c r="L239" s="611">
        <v>-2.2639989057452867</v>
      </c>
      <c r="M239" s="611">
        <v>-0.72771393398955631</v>
      </c>
      <c r="N239" s="611">
        <v>0</v>
      </c>
      <c r="O239" s="611">
        <v>0</v>
      </c>
      <c r="P239" s="611">
        <v>0</v>
      </c>
      <c r="Q239" s="611">
        <v>0</v>
      </c>
      <c r="R239" s="611">
        <v>-0.81896587882468008</v>
      </c>
      <c r="S239" s="611">
        <v>-1.0511423490960259</v>
      </c>
      <c r="T239" s="611">
        <v>0</v>
      </c>
      <c r="U239" s="611">
        <v>0</v>
      </c>
      <c r="V239" s="611">
        <v>0</v>
      </c>
      <c r="W239" s="611">
        <v>0</v>
      </c>
      <c r="X239" s="611">
        <v>-0.13169239200090288</v>
      </c>
      <c r="Y239" s="613">
        <v>-18.482538905329974</v>
      </c>
      <c r="Z239" s="51"/>
    </row>
    <row r="240" spans="1:26" x14ac:dyDescent="0.25">
      <c r="A240" s="51">
        <v>10</v>
      </c>
      <c r="B240" s="51">
        <v>2030</v>
      </c>
      <c r="C240" s="51" t="s">
        <v>47</v>
      </c>
      <c r="D240" s="51" t="s">
        <v>491</v>
      </c>
      <c r="E240" s="51" t="s">
        <v>564</v>
      </c>
      <c r="F240" s="51"/>
      <c r="G240" s="610" t="s">
        <v>63</v>
      </c>
      <c r="H240" s="611">
        <v>0</v>
      </c>
      <c r="I240" s="611">
        <v>0</v>
      </c>
      <c r="J240" s="611">
        <v>-68.854810681249447</v>
      </c>
      <c r="K240" s="611">
        <v>-0.89682740167552777</v>
      </c>
      <c r="L240" s="611">
        <v>0</v>
      </c>
      <c r="M240" s="611">
        <v>0</v>
      </c>
      <c r="N240" s="611">
        <v>0</v>
      </c>
      <c r="O240" s="611">
        <v>0</v>
      </c>
      <c r="P240" s="611">
        <v>0</v>
      </c>
      <c r="Q240" s="611">
        <v>0</v>
      </c>
      <c r="R240" s="611">
        <v>-3.5873096067021111</v>
      </c>
      <c r="S240" s="611">
        <v>0</v>
      </c>
      <c r="T240" s="611">
        <v>0</v>
      </c>
      <c r="U240" s="611">
        <v>0</v>
      </c>
      <c r="V240" s="611">
        <v>0</v>
      </c>
      <c r="W240" s="611">
        <v>0</v>
      </c>
      <c r="X240" s="611">
        <v>0</v>
      </c>
      <c r="Y240" s="613">
        <v>-73.338947689627076</v>
      </c>
      <c r="Z240" s="51"/>
    </row>
    <row r="241" spans="1:26" x14ac:dyDescent="0.25">
      <c r="A241" s="51">
        <v>11</v>
      </c>
      <c r="B241" s="51">
        <v>2030</v>
      </c>
      <c r="C241" s="51" t="s">
        <v>47</v>
      </c>
      <c r="D241" s="51" t="s">
        <v>492</v>
      </c>
      <c r="E241" s="51" t="s">
        <v>564</v>
      </c>
      <c r="F241" s="51"/>
      <c r="G241" s="610" t="s">
        <v>64</v>
      </c>
      <c r="H241" s="611">
        <v>0</v>
      </c>
      <c r="I241" s="611">
        <v>0</v>
      </c>
      <c r="J241" s="611">
        <v>0</v>
      </c>
      <c r="K241" s="611">
        <v>0</v>
      </c>
      <c r="L241" s="611">
        <v>0</v>
      </c>
      <c r="M241" s="611">
        <v>0</v>
      </c>
      <c r="N241" s="611">
        <v>0</v>
      </c>
      <c r="O241" s="611">
        <v>0</v>
      </c>
      <c r="P241" s="611">
        <v>0</v>
      </c>
      <c r="Q241" s="611">
        <v>0</v>
      </c>
      <c r="R241" s="611">
        <v>0</v>
      </c>
      <c r="S241" s="611">
        <v>0</v>
      </c>
      <c r="T241" s="611">
        <v>0</v>
      </c>
      <c r="U241" s="611">
        <v>0</v>
      </c>
      <c r="V241" s="611">
        <v>0</v>
      </c>
      <c r="W241" s="611">
        <v>0</v>
      </c>
      <c r="X241" s="611">
        <v>0</v>
      </c>
      <c r="Y241" s="613">
        <v>0</v>
      </c>
      <c r="Z241" s="51"/>
    </row>
    <row r="242" spans="1:26" x14ac:dyDescent="0.25">
      <c r="A242" s="51">
        <v>12</v>
      </c>
      <c r="B242" s="51">
        <v>2030</v>
      </c>
      <c r="C242" s="51" t="s">
        <v>47</v>
      </c>
      <c r="D242" s="51" t="s">
        <v>493</v>
      </c>
      <c r="E242" s="51" t="s">
        <v>564</v>
      </c>
      <c r="F242" s="51"/>
      <c r="G242" s="614" t="s">
        <v>65</v>
      </c>
      <c r="H242" s="615">
        <v>23.408391415226877</v>
      </c>
      <c r="I242" s="615">
        <v>407.50205119797647</v>
      </c>
      <c r="J242" s="615">
        <v>114.51456283107315</v>
      </c>
      <c r="K242" s="615">
        <v>-0.37892939176001184</v>
      </c>
      <c r="L242" s="615">
        <v>296.9361322607138</v>
      </c>
      <c r="M242" s="615">
        <v>-0.72771393398955631</v>
      </c>
      <c r="N242" s="615">
        <v>1159.7098545454546</v>
      </c>
      <c r="O242" s="615">
        <v>206.22767049205902</v>
      </c>
      <c r="P242" s="615">
        <v>328.89813932637821</v>
      </c>
      <c r="Q242" s="615">
        <v>23.880954036091094</v>
      </c>
      <c r="R242" s="615">
        <v>0.41453870563741191</v>
      </c>
      <c r="S242" s="615">
        <v>-0.91520534125436792</v>
      </c>
      <c r="T242" s="615">
        <v>103.00436671608395</v>
      </c>
      <c r="U242" s="615">
        <v>12.730506155114826</v>
      </c>
      <c r="V242" s="615">
        <v>-60.040984503318555</v>
      </c>
      <c r="W242" s="615">
        <v>0</v>
      </c>
      <c r="X242" s="615">
        <v>-0.13169239200090288</v>
      </c>
      <c r="Y242" s="615">
        <v>2576.2692535336396</v>
      </c>
      <c r="Z242" s="51"/>
    </row>
    <row r="243" spans="1:26" x14ac:dyDescent="0.25">
      <c r="A243" s="51"/>
      <c r="B243" s="51"/>
      <c r="C243" s="51"/>
      <c r="D243" s="51"/>
      <c r="E243" s="51"/>
      <c r="F243" s="51"/>
      <c r="G243" s="616"/>
      <c r="H243" s="617"/>
      <c r="I243" s="617"/>
      <c r="J243" s="617"/>
      <c r="K243" s="617"/>
      <c r="L243" s="623"/>
      <c r="M243" s="617"/>
      <c r="N243" s="617"/>
      <c r="O243" s="617"/>
      <c r="P243" s="617"/>
      <c r="Q243" s="617"/>
      <c r="R243" s="617"/>
      <c r="S243" s="617"/>
      <c r="T243" s="617"/>
      <c r="U243" s="617"/>
      <c r="V243" s="617"/>
      <c r="W243" s="617"/>
      <c r="X243" s="617"/>
      <c r="Y243" s="617"/>
      <c r="Z243" s="51"/>
    </row>
    <row r="244" spans="1:26" x14ac:dyDescent="0.25">
      <c r="A244" s="51">
        <v>14</v>
      </c>
      <c r="B244" s="51">
        <v>2030</v>
      </c>
      <c r="C244" s="51" t="s">
        <v>47</v>
      </c>
      <c r="D244" s="51" t="s">
        <v>494</v>
      </c>
      <c r="E244" s="51" t="s">
        <v>564</v>
      </c>
      <c r="F244" s="51"/>
      <c r="G244" s="618" t="s">
        <v>67</v>
      </c>
      <c r="H244" s="611">
        <v>0</v>
      </c>
      <c r="I244" s="611">
        <v>0</v>
      </c>
      <c r="J244" s="611">
        <v>0</v>
      </c>
      <c r="K244" s="611">
        <v>0</v>
      </c>
      <c r="L244" s="611">
        <v>0</v>
      </c>
      <c r="M244" s="611">
        <v>0</v>
      </c>
      <c r="N244" s="611">
        <v>0</v>
      </c>
      <c r="O244" s="611">
        <v>0</v>
      </c>
      <c r="P244" s="611">
        <v>0</v>
      </c>
      <c r="Q244" s="611">
        <v>0</v>
      </c>
      <c r="R244" s="611">
        <v>0</v>
      </c>
      <c r="S244" s="611">
        <v>0</v>
      </c>
      <c r="T244" s="611">
        <v>0</v>
      </c>
      <c r="U244" s="611">
        <v>0</v>
      </c>
      <c r="V244" s="611">
        <v>0</v>
      </c>
      <c r="W244" s="611">
        <v>0</v>
      </c>
      <c r="X244" s="611">
        <v>0</v>
      </c>
      <c r="Y244" s="619">
        <v>0</v>
      </c>
      <c r="Z244" s="51"/>
    </row>
    <row r="245" spans="1:26" x14ac:dyDescent="0.25">
      <c r="A245" s="51">
        <v>15</v>
      </c>
      <c r="B245" s="51">
        <v>2030</v>
      </c>
      <c r="C245" s="51" t="s">
        <v>47</v>
      </c>
      <c r="D245" s="51" t="s">
        <v>495</v>
      </c>
      <c r="E245" s="51" t="s">
        <v>564</v>
      </c>
      <c r="F245" s="51"/>
      <c r="G245" s="618" t="s">
        <v>347</v>
      </c>
      <c r="H245" s="611">
        <v>0</v>
      </c>
      <c r="I245" s="611">
        <v>0</v>
      </c>
      <c r="J245" s="611">
        <v>0.77863803143112786</v>
      </c>
      <c r="K245" s="611">
        <v>0</v>
      </c>
      <c r="L245" s="611">
        <v>48.649185599999988</v>
      </c>
      <c r="M245" s="611">
        <v>0</v>
      </c>
      <c r="N245" s="611">
        <v>1159.7098545454546</v>
      </c>
      <c r="O245" s="611">
        <v>206.22767049205902</v>
      </c>
      <c r="P245" s="611">
        <v>24.739021777792605</v>
      </c>
      <c r="Q245" s="611">
        <v>0.78247284915082171</v>
      </c>
      <c r="R245" s="611">
        <v>4.4112574708908179</v>
      </c>
      <c r="S245" s="611">
        <v>8.6805648243110305</v>
      </c>
      <c r="T245" s="611">
        <v>0</v>
      </c>
      <c r="U245" s="611">
        <v>0</v>
      </c>
      <c r="V245" s="611">
        <v>-654.2527428705597</v>
      </c>
      <c r="W245" s="611">
        <v>0</v>
      </c>
      <c r="X245" s="611">
        <v>0</v>
      </c>
      <c r="Y245" s="619">
        <v>799.72592272053009</v>
      </c>
      <c r="Z245" s="51"/>
    </row>
    <row r="246" spans="1:26" x14ac:dyDescent="0.25">
      <c r="A246" s="51">
        <v>16</v>
      </c>
      <c r="B246" s="51">
        <v>2030</v>
      </c>
      <c r="C246" s="51" t="s">
        <v>47</v>
      </c>
      <c r="D246" s="51" t="s">
        <v>496</v>
      </c>
      <c r="E246" s="51" t="s">
        <v>564</v>
      </c>
      <c r="F246" s="51"/>
      <c r="G246" s="618" t="s">
        <v>348</v>
      </c>
      <c r="H246" s="611">
        <v>0</v>
      </c>
      <c r="I246" s="611">
        <v>0</v>
      </c>
      <c r="J246" s="611">
        <v>0</v>
      </c>
      <c r="K246" s="611">
        <v>0</v>
      </c>
      <c r="L246" s="611">
        <v>17.447614907438101</v>
      </c>
      <c r="M246" s="611">
        <v>0</v>
      </c>
      <c r="N246" s="611">
        <v>0</v>
      </c>
      <c r="O246" s="611">
        <v>0</v>
      </c>
      <c r="P246" s="611">
        <v>34.578262360003102</v>
      </c>
      <c r="Q246" s="611">
        <v>15.806390734005202</v>
      </c>
      <c r="R246" s="611">
        <v>0</v>
      </c>
      <c r="S246" s="611">
        <v>4.3750593738442154</v>
      </c>
      <c r="T246" s="611">
        <v>0</v>
      </c>
      <c r="U246" s="611">
        <v>7.6310920855978708</v>
      </c>
      <c r="V246" s="611">
        <v>0</v>
      </c>
      <c r="W246" s="611">
        <v>-72.688725054726262</v>
      </c>
      <c r="X246" s="611">
        <v>0</v>
      </c>
      <c r="Y246" s="619">
        <v>7.1496944061622258</v>
      </c>
      <c r="Z246" s="51"/>
    </row>
    <row r="247" spans="1:26" x14ac:dyDescent="0.25">
      <c r="A247" s="51">
        <v>17</v>
      </c>
      <c r="B247" s="51">
        <v>2030</v>
      </c>
      <c r="C247" s="51" t="s">
        <v>47</v>
      </c>
      <c r="D247" s="51" t="s">
        <v>497</v>
      </c>
      <c r="E247" s="51" t="s">
        <v>564</v>
      </c>
      <c r="F247" s="51"/>
      <c r="G247" s="618" t="s">
        <v>349</v>
      </c>
      <c r="H247" s="611">
        <v>0</v>
      </c>
      <c r="I247" s="611">
        <v>0</v>
      </c>
      <c r="J247" s="611">
        <v>0</v>
      </c>
      <c r="K247" s="611">
        <v>0</v>
      </c>
      <c r="L247" s="611">
        <v>0</v>
      </c>
      <c r="M247" s="611">
        <v>0</v>
      </c>
      <c r="N247" s="611">
        <v>0</v>
      </c>
      <c r="O247" s="611">
        <v>0</v>
      </c>
      <c r="P247" s="611">
        <v>98.873927014712635</v>
      </c>
      <c r="Q247" s="611">
        <v>0</v>
      </c>
      <c r="R247" s="611">
        <v>0</v>
      </c>
      <c r="S247" s="611">
        <v>-54.380659858091953</v>
      </c>
      <c r="T247" s="611">
        <v>0</v>
      </c>
      <c r="U247" s="611">
        <v>0</v>
      </c>
      <c r="V247" s="611">
        <v>0</v>
      </c>
      <c r="W247" s="611">
        <v>0</v>
      </c>
      <c r="X247" s="611">
        <v>0</v>
      </c>
      <c r="Y247" s="619">
        <v>44.493267156620682</v>
      </c>
      <c r="Z247" s="51"/>
    </row>
    <row r="248" spans="1:26" x14ac:dyDescent="0.25">
      <c r="A248" s="51">
        <v>18</v>
      </c>
      <c r="B248" s="51">
        <v>2030</v>
      </c>
      <c r="C248" s="51" t="s">
        <v>47</v>
      </c>
      <c r="D248" s="51" t="s">
        <v>498</v>
      </c>
      <c r="E248" s="51" t="s">
        <v>564</v>
      </c>
      <c r="F248" s="51"/>
      <c r="G248" s="618" t="s">
        <v>350</v>
      </c>
      <c r="H248" s="611">
        <v>0</v>
      </c>
      <c r="I248" s="611">
        <v>0</v>
      </c>
      <c r="J248" s="611">
        <v>0</v>
      </c>
      <c r="K248" s="611">
        <v>0</v>
      </c>
      <c r="L248" s="611">
        <v>0</v>
      </c>
      <c r="M248" s="611">
        <v>-0.72771393398955631</v>
      </c>
      <c r="N248" s="611">
        <v>0</v>
      </c>
      <c r="O248" s="611">
        <v>0</v>
      </c>
      <c r="P248" s="611">
        <v>0</v>
      </c>
      <c r="Q248" s="611">
        <v>0</v>
      </c>
      <c r="R248" s="611">
        <v>0</v>
      </c>
      <c r="S248" s="611">
        <v>0</v>
      </c>
      <c r="T248" s="611">
        <v>0</v>
      </c>
      <c r="U248" s="611">
        <v>0</v>
      </c>
      <c r="V248" s="611">
        <v>0</v>
      </c>
      <c r="W248" s="611">
        <v>0</v>
      </c>
      <c r="X248" s="611">
        <v>1.0107137972077171</v>
      </c>
      <c r="Y248" s="619">
        <v>0.28299986321816084</v>
      </c>
      <c r="Z248" s="51"/>
    </row>
    <row r="249" spans="1:26" x14ac:dyDescent="0.25">
      <c r="A249" s="51">
        <v>19</v>
      </c>
      <c r="B249" s="51">
        <v>2030</v>
      </c>
      <c r="C249" s="51" t="s">
        <v>47</v>
      </c>
      <c r="D249" s="51" t="s">
        <v>499</v>
      </c>
      <c r="E249" s="51" t="s">
        <v>564</v>
      </c>
      <c r="F249" s="51"/>
      <c r="G249" s="618" t="s">
        <v>72</v>
      </c>
      <c r="H249" s="611">
        <v>0</v>
      </c>
      <c r="I249" s="611">
        <v>422.3330989513351</v>
      </c>
      <c r="J249" s="611">
        <v>-418.12947900634055</v>
      </c>
      <c r="K249" s="611">
        <v>0</v>
      </c>
      <c r="L249" s="611">
        <v>0</v>
      </c>
      <c r="M249" s="611">
        <v>0</v>
      </c>
      <c r="N249" s="611">
        <v>0</v>
      </c>
      <c r="O249" s="611">
        <v>0</v>
      </c>
      <c r="P249" s="611">
        <v>0</v>
      </c>
      <c r="Q249" s="611">
        <v>0</v>
      </c>
      <c r="R249" s="611">
        <v>0</v>
      </c>
      <c r="S249" s="611">
        <v>0</v>
      </c>
      <c r="T249" s="611">
        <v>0</v>
      </c>
      <c r="U249" s="611">
        <v>0</v>
      </c>
      <c r="V249" s="611">
        <v>0</v>
      </c>
      <c r="W249" s="611">
        <v>0</v>
      </c>
      <c r="X249" s="611">
        <v>0</v>
      </c>
      <c r="Y249" s="619">
        <v>4.203619944994557</v>
      </c>
      <c r="Z249" s="51"/>
    </row>
    <row r="250" spans="1:26" x14ac:dyDescent="0.25">
      <c r="A250" s="51">
        <v>20</v>
      </c>
      <c r="B250" s="51">
        <v>2030</v>
      </c>
      <c r="C250" s="51" t="s">
        <v>47</v>
      </c>
      <c r="D250" s="51" t="s">
        <v>500</v>
      </c>
      <c r="E250" s="51" t="s">
        <v>564</v>
      </c>
      <c r="F250" s="51"/>
      <c r="G250" s="618" t="s">
        <v>351</v>
      </c>
      <c r="H250" s="611">
        <v>0</v>
      </c>
      <c r="I250" s="611">
        <v>0</v>
      </c>
      <c r="J250" s="611">
        <v>0</v>
      </c>
      <c r="K250" s="611">
        <v>0</v>
      </c>
      <c r="L250" s="611">
        <v>0</v>
      </c>
      <c r="M250" s="611">
        <v>0</v>
      </c>
      <c r="N250" s="611">
        <v>0</v>
      </c>
      <c r="O250" s="611">
        <v>0</v>
      </c>
      <c r="P250" s="611">
        <v>89.462734791672489</v>
      </c>
      <c r="Q250" s="611">
        <v>0</v>
      </c>
      <c r="R250" s="611">
        <v>-49.204504135419874</v>
      </c>
      <c r="S250" s="611">
        <v>0</v>
      </c>
      <c r="T250" s="611">
        <v>0</v>
      </c>
      <c r="U250" s="611">
        <v>0</v>
      </c>
      <c r="V250" s="611">
        <v>0</v>
      </c>
      <c r="W250" s="611">
        <v>0</v>
      </c>
      <c r="X250" s="611">
        <v>0</v>
      </c>
      <c r="Y250" s="619">
        <v>40.258230656252614</v>
      </c>
      <c r="Z250" s="51"/>
    </row>
    <row r="251" spans="1:26" x14ac:dyDescent="0.25">
      <c r="A251" s="51">
        <v>21</v>
      </c>
      <c r="B251" s="51">
        <v>2030</v>
      </c>
      <c r="C251" s="51" t="s">
        <v>47</v>
      </c>
      <c r="D251" s="51" t="s">
        <v>501</v>
      </c>
      <c r="E251" s="51" t="s">
        <v>564</v>
      </c>
      <c r="F251" s="51"/>
      <c r="G251" s="618" t="s">
        <v>352</v>
      </c>
      <c r="H251" s="611">
        <v>0</v>
      </c>
      <c r="I251" s="611">
        <v>0</v>
      </c>
      <c r="J251" s="611">
        <v>0</v>
      </c>
      <c r="K251" s="611">
        <v>-2.0156543247413854</v>
      </c>
      <c r="L251" s="611">
        <v>0</v>
      </c>
      <c r="M251" s="611">
        <v>0</v>
      </c>
      <c r="N251" s="611">
        <v>0</v>
      </c>
      <c r="O251" s="611">
        <v>0</v>
      </c>
      <c r="P251" s="611">
        <v>0</v>
      </c>
      <c r="Q251" s="611">
        <v>0</v>
      </c>
      <c r="R251" s="611">
        <v>0</v>
      </c>
      <c r="S251" s="611">
        <v>0</v>
      </c>
      <c r="T251" s="611">
        <v>0</v>
      </c>
      <c r="U251" s="611">
        <v>0</v>
      </c>
      <c r="V251" s="611">
        <v>0</v>
      </c>
      <c r="W251" s="611">
        <v>0</v>
      </c>
      <c r="X251" s="611">
        <v>2.6398301244345332</v>
      </c>
      <c r="Y251" s="619">
        <v>0.62417579969314785</v>
      </c>
      <c r="Z251" s="51"/>
    </row>
    <row r="252" spans="1:26" x14ac:dyDescent="0.25">
      <c r="A252" s="51">
        <v>22</v>
      </c>
      <c r="B252" s="51">
        <v>2030</v>
      </c>
      <c r="C252" s="51" t="s">
        <v>47</v>
      </c>
      <c r="D252" s="51" t="s">
        <v>502</v>
      </c>
      <c r="E252" s="51" t="s">
        <v>564</v>
      </c>
      <c r="F252" s="51"/>
      <c r="G252" s="618" t="s">
        <v>73</v>
      </c>
      <c r="H252" s="611">
        <v>0</v>
      </c>
      <c r="I252" s="611">
        <v>0</v>
      </c>
      <c r="J252" s="611">
        <v>0</v>
      </c>
      <c r="K252" s="611">
        <v>0</v>
      </c>
      <c r="L252" s="611">
        <v>0</v>
      </c>
      <c r="M252" s="611">
        <v>0</v>
      </c>
      <c r="N252" s="611">
        <v>0</v>
      </c>
      <c r="O252" s="611">
        <v>0</v>
      </c>
      <c r="P252" s="611">
        <v>0</v>
      </c>
      <c r="Q252" s="611">
        <v>0</v>
      </c>
      <c r="R252" s="611">
        <v>0</v>
      </c>
      <c r="S252" s="611">
        <v>0</v>
      </c>
      <c r="T252" s="611">
        <v>0</v>
      </c>
      <c r="U252" s="611">
        <v>0</v>
      </c>
      <c r="V252" s="611">
        <v>14.763935391852707</v>
      </c>
      <c r="W252" s="611">
        <v>0</v>
      </c>
      <c r="X252" s="611">
        <v>-9.59655800470426</v>
      </c>
      <c r="Y252" s="619">
        <v>5.1673773871484467</v>
      </c>
      <c r="Z252" s="51"/>
    </row>
    <row r="253" spans="1:26" x14ac:dyDescent="0.25">
      <c r="A253" s="51">
        <v>23</v>
      </c>
      <c r="B253" s="51">
        <v>2030</v>
      </c>
      <c r="C253" s="51" t="s">
        <v>47</v>
      </c>
      <c r="D253" s="51" t="s">
        <v>503</v>
      </c>
      <c r="E253" s="51" t="s">
        <v>564</v>
      </c>
      <c r="F253" s="51"/>
      <c r="G253" s="618" t="s">
        <v>353</v>
      </c>
      <c r="H253" s="611">
        <v>14.423464335937501</v>
      </c>
      <c r="I253" s="611">
        <v>-14.831047753358636</v>
      </c>
      <c r="J253" s="611">
        <v>19.300366292147253</v>
      </c>
      <c r="K253" s="611">
        <v>0</v>
      </c>
      <c r="L253" s="611">
        <v>0</v>
      </c>
      <c r="M253" s="611">
        <v>0</v>
      </c>
      <c r="N253" s="611">
        <v>0</v>
      </c>
      <c r="O253" s="611">
        <v>0</v>
      </c>
      <c r="P253" s="611">
        <v>0</v>
      </c>
      <c r="Q253" s="611">
        <v>0</v>
      </c>
      <c r="R253" s="611">
        <v>0</v>
      </c>
      <c r="S253" s="611">
        <v>0</v>
      </c>
      <c r="T253" s="611">
        <v>0</v>
      </c>
      <c r="U253" s="611">
        <v>0</v>
      </c>
      <c r="V253" s="611">
        <v>0</v>
      </c>
      <c r="W253" s="611">
        <v>0</v>
      </c>
      <c r="X253" s="611">
        <v>0</v>
      </c>
      <c r="Y253" s="619">
        <v>18.892782874726116</v>
      </c>
      <c r="Z253" s="51"/>
    </row>
    <row r="254" spans="1:26" x14ac:dyDescent="0.25">
      <c r="A254" s="51">
        <v>24</v>
      </c>
      <c r="B254" s="51">
        <v>2030</v>
      </c>
      <c r="C254" s="51" t="s">
        <v>47</v>
      </c>
      <c r="D254" s="51" t="s">
        <v>504</v>
      </c>
      <c r="E254" s="51" t="s">
        <v>564</v>
      </c>
      <c r="F254" s="51"/>
      <c r="G254" s="618" t="s">
        <v>75</v>
      </c>
      <c r="H254" s="611">
        <v>5.609125019531251</v>
      </c>
      <c r="I254" s="611">
        <v>0</v>
      </c>
      <c r="J254" s="611">
        <v>14.541080175745211</v>
      </c>
      <c r="K254" s="611">
        <v>0</v>
      </c>
      <c r="L254" s="611">
        <v>4.7384633059767616</v>
      </c>
      <c r="M254" s="611">
        <v>0</v>
      </c>
      <c r="N254" s="611">
        <v>0</v>
      </c>
      <c r="O254" s="611">
        <v>0</v>
      </c>
      <c r="P254" s="611">
        <v>0</v>
      </c>
      <c r="Q254" s="611">
        <v>0</v>
      </c>
      <c r="R254" s="611">
        <v>0</v>
      </c>
      <c r="S254" s="611">
        <v>0.83619940693707562</v>
      </c>
      <c r="T254" s="611">
        <v>0</v>
      </c>
      <c r="U254" s="611">
        <v>0</v>
      </c>
      <c r="V254" s="611">
        <v>56.456567554456434</v>
      </c>
      <c r="W254" s="611">
        <v>0</v>
      </c>
      <c r="X254" s="611">
        <v>0</v>
      </c>
      <c r="Y254" s="619">
        <v>82.181435462646732</v>
      </c>
      <c r="Z254" s="51"/>
    </row>
    <row r="255" spans="1:26" x14ac:dyDescent="0.25">
      <c r="A255" s="51">
        <v>25</v>
      </c>
      <c r="B255" s="51">
        <v>2030</v>
      </c>
      <c r="C255" s="51" t="s">
        <v>47</v>
      </c>
      <c r="D255" s="51" t="s">
        <v>505</v>
      </c>
      <c r="E255" s="51" t="s">
        <v>564</v>
      </c>
      <c r="F255" s="51"/>
      <c r="G255" s="618" t="s">
        <v>76</v>
      </c>
      <c r="H255" s="611">
        <v>0</v>
      </c>
      <c r="I255" s="611">
        <v>0</v>
      </c>
      <c r="J255" s="611">
        <v>0</v>
      </c>
      <c r="K255" s="611">
        <v>0</v>
      </c>
      <c r="L255" s="611">
        <v>3.3733031885990123</v>
      </c>
      <c r="M255" s="611">
        <v>0</v>
      </c>
      <c r="N255" s="611">
        <v>0</v>
      </c>
      <c r="O255" s="611">
        <v>0</v>
      </c>
      <c r="P255" s="611">
        <v>0</v>
      </c>
      <c r="Q255" s="611">
        <v>0</v>
      </c>
      <c r="R255" s="611">
        <v>0</v>
      </c>
      <c r="S255" s="611">
        <v>0.595288797988061</v>
      </c>
      <c r="T255" s="611">
        <v>0</v>
      </c>
      <c r="U255" s="611">
        <v>0</v>
      </c>
      <c r="V255" s="611">
        <v>45.508769621740818</v>
      </c>
      <c r="W255" s="611">
        <v>5.637019848102371</v>
      </c>
      <c r="X255" s="611">
        <v>0</v>
      </c>
      <c r="Y255" s="619">
        <v>55.114381456430259</v>
      </c>
      <c r="Z255" s="51"/>
    </row>
    <row r="256" spans="1:26" x14ac:dyDescent="0.25">
      <c r="A256" s="51">
        <v>26</v>
      </c>
      <c r="B256" s="51">
        <v>2030</v>
      </c>
      <c r="C256" s="51" t="s">
        <v>47</v>
      </c>
      <c r="D256" s="51" t="s">
        <v>506</v>
      </c>
      <c r="E256" s="51" t="s">
        <v>564</v>
      </c>
      <c r="F256" s="51"/>
      <c r="G256" s="614" t="s">
        <v>77</v>
      </c>
      <c r="H256" s="615">
        <v>20.032589355468751</v>
      </c>
      <c r="I256" s="615">
        <v>407.50205119797647</v>
      </c>
      <c r="J256" s="615">
        <v>-383.50939450701696</v>
      </c>
      <c r="K256" s="615">
        <v>-2.0156543247413854</v>
      </c>
      <c r="L256" s="615">
        <v>74.208567002013865</v>
      </c>
      <c r="M256" s="615">
        <v>-0.72771393398955631</v>
      </c>
      <c r="N256" s="615">
        <v>1159.7098545454546</v>
      </c>
      <c r="O256" s="615">
        <v>206.22767049205902</v>
      </c>
      <c r="P256" s="615">
        <v>247.65394594418083</v>
      </c>
      <c r="Q256" s="615">
        <v>16.588863583156023</v>
      </c>
      <c r="R256" s="615">
        <v>-44.793246664529057</v>
      </c>
      <c r="S256" s="615">
        <v>-39.893547455011564</v>
      </c>
      <c r="T256" s="615">
        <v>0</v>
      </c>
      <c r="U256" s="615">
        <v>7.6310920855978708</v>
      </c>
      <c r="V256" s="615">
        <v>-537.52347030250974</v>
      </c>
      <c r="W256" s="615">
        <v>-67.051705206623893</v>
      </c>
      <c r="X256" s="615">
        <v>-5.9460140830620096</v>
      </c>
      <c r="Y256" s="615">
        <v>1019.3304991425766</v>
      </c>
      <c r="Z256" s="51"/>
    </row>
    <row r="257" spans="1:26" x14ac:dyDescent="0.25">
      <c r="A257" s="51"/>
      <c r="B257" s="51"/>
      <c r="C257" s="51"/>
      <c r="D257" s="51"/>
      <c r="E257" s="51"/>
      <c r="F257" s="51"/>
      <c r="G257" s="616"/>
      <c r="H257" s="617"/>
      <c r="I257" s="617"/>
      <c r="J257" s="617"/>
      <c r="K257" s="617"/>
      <c r="L257" s="623"/>
      <c r="M257" s="617"/>
      <c r="N257" s="617"/>
      <c r="O257" s="617"/>
      <c r="P257" s="617"/>
      <c r="Q257" s="617"/>
      <c r="R257" s="685"/>
      <c r="S257" s="686">
        <v>84.751497812873296</v>
      </c>
      <c r="T257" s="617"/>
      <c r="U257" s="617"/>
      <c r="V257" s="617"/>
      <c r="W257" s="617"/>
      <c r="X257" s="617"/>
      <c r="Y257" s="617"/>
      <c r="Z257" s="51"/>
    </row>
    <row r="258" spans="1:26" x14ac:dyDescent="0.25">
      <c r="A258" s="51">
        <v>28</v>
      </c>
      <c r="B258" s="51">
        <v>2030</v>
      </c>
      <c r="C258" s="51" t="s">
        <v>47</v>
      </c>
      <c r="D258" s="51" t="s">
        <v>507</v>
      </c>
      <c r="E258" s="51" t="s">
        <v>564</v>
      </c>
      <c r="F258" s="51"/>
      <c r="G258" s="618" t="s">
        <v>78</v>
      </c>
      <c r="H258" s="611">
        <v>3.3758020597581235</v>
      </c>
      <c r="I258" s="611">
        <v>0</v>
      </c>
      <c r="J258" s="611">
        <v>12.950442965803651</v>
      </c>
      <c r="K258" s="611">
        <v>0</v>
      </c>
      <c r="L258" s="611">
        <v>80.47134477164488</v>
      </c>
      <c r="M258" s="611">
        <v>0</v>
      </c>
      <c r="N258" s="611">
        <v>0</v>
      </c>
      <c r="O258" s="611">
        <v>0</v>
      </c>
      <c r="P258" s="611">
        <v>21.324114250752451</v>
      </c>
      <c r="Q258" s="611">
        <v>7.2915559072262504</v>
      </c>
      <c r="R258" s="611">
        <v>1.0929506417768975</v>
      </c>
      <c r="S258" s="611">
        <v>14.228192484483269</v>
      </c>
      <c r="T258" s="611">
        <v>5.4360292968749997</v>
      </c>
      <c r="U258" s="611">
        <v>5.5791983277925228E-4</v>
      </c>
      <c r="V258" s="611">
        <v>150.98087036591164</v>
      </c>
      <c r="W258" s="611">
        <v>19.403042568185512</v>
      </c>
      <c r="X258" s="611">
        <v>3.5524582519531251</v>
      </c>
      <c r="Y258" s="619">
        <v>320.10736148420358</v>
      </c>
      <c r="Z258" s="51"/>
    </row>
    <row r="259" spans="1:26" x14ac:dyDescent="0.25">
      <c r="A259" s="51">
        <v>29</v>
      </c>
      <c r="B259" s="51">
        <v>2030</v>
      </c>
      <c r="C259" s="51" t="s">
        <v>47</v>
      </c>
      <c r="D259" s="51" t="s">
        <v>508</v>
      </c>
      <c r="E259" s="51" t="s">
        <v>564</v>
      </c>
      <c r="F259" s="51"/>
      <c r="G259" s="618" t="s">
        <v>79</v>
      </c>
      <c r="H259" s="611">
        <v>0</v>
      </c>
      <c r="I259" s="611">
        <v>0</v>
      </c>
      <c r="J259" s="611">
        <v>316.65258451410631</v>
      </c>
      <c r="K259" s="611">
        <v>0.21178247693223418</v>
      </c>
      <c r="L259" s="611">
        <v>5.6309983287714074</v>
      </c>
      <c r="M259" s="611">
        <v>0</v>
      </c>
      <c r="N259" s="611">
        <v>0</v>
      </c>
      <c r="O259" s="611">
        <v>0</v>
      </c>
      <c r="P259" s="611">
        <v>0</v>
      </c>
      <c r="Q259" s="611">
        <v>0</v>
      </c>
      <c r="R259" s="611">
        <v>37.755477147774521</v>
      </c>
      <c r="S259" s="611">
        <v>0.99370558743024839</v>
      </c>
      <c r="T259" s="611">
        <v>0</v>
      </c>
      <c r="U259" s="611">
        <v>0</v>
      </c>
      <c r="V259" s="611">
        <v>33.627467612150312</v>
      </c>
      <c r="W259" s="611">
        <v>0</v>
      </c>
      <c r="X259" s="611">
        <v>0.96605492902811552</v>
      </c>
      <c r="Y259" s="619">
        <v>395.83807059619318</v>
      </c>
      <c r="Z259" s="51"/>
    </row>
    <row r="260" spans="1:26" x14ac:dyDescent="0.25">
      <c r="A260" s="51">
        <v>30</v>
      </c>
      <c r="B260" s="51">
        <v>2030</v>
      </c>
      <c r="C260" s="51" t="s">
        <v>47</v>
      </c>
      <c r="D260" s="51" t="s">
        <v>509</v>
      </c>
      <c r="E260" s="51" t="s">
        <v>564</v>
      </c>
      <c r="F260" s="51"/>
      <c r="G260" s="618" t="s">
        <v>80</v>
      </c>
      <c r="H260" s="611">
        <v>0</v>
      </c>
      <c r="I260" s="611">
        <v>0</v>
      </c>
      <c r="J260" s="611">
        <v>7.2867356885620511</v>
      </c>
      <c r="K260" s="611">
        <v>0</v>
      </c>
      <c r="L260" s="611">
        <v>75.839382204098968</v>
      </c>
      <c r="M260" s="611">
        <v>0</v>
      </c>
      <c r="N260" s="611">
        <v>0</v>
      </c>
      <c r="O260" s="611">
        <v>0</v>
      </c>
      <c r="P260" s="611">
        <v>57.151968272420838</v>
      </c>
      <c r="Q260" s="611">
        <v>0</v>
      </c>
      <c r="R260" s="611">
        <v>0</v>
      </c>
      <c r="S260" s="611">
        <v>13.383420388958641</v>
      </c>
      <c r="T260" s="611">
        <v>66.200613422091479</v>
      </c>
      <c r="U260" s="611">
        <v>1.8319270167538462</v>
      </c>
      <c r="V260" s="611">
        <v>166.53377911541864</v>
      </c>
      <c r="W260" s="611">
        <v>29.518394181597426</v>
      </c>
      <c r="X260" s="611">
        <v>0</v>
      </c>
      <c r="Y260" s="619">
        <v>417.74622028990188</v>
      </c>
      <c r="Z260" s="51"/>
    </row>
    <row r="261" spans="1:26" x14ac:dyDescent="0.25">
      <c r="A261" s="51">
        <v>31</v>
      </c>
      <c r="B261" s="51">
        <v>2030</v>
      </c>
      <c r="C261" s="51" t="s">
        <v>47</v>
      </c>
      <c r="D261" s="51" t="s">
        <v>510</v>
      </c>
      <c r="E261" s="51" t="s">
        <v>564</v>
      </c>
      <c r="F261" s="51"/>
      <c r="G261" s="618" t="s">
        <v>81</v>
      </c>
      <c r="H261" s="611">
        <v>0</v>
      </c>
      <c r="I261" s="611">
        <v>0</v>
      </c>
      <c r="J261" s="611">
        <v>3.8458130396730921</v>
      </c>
      <c r="K261" s="611">
        <v>0</v>
      </c>
      <c r="L261" s="611">
        <v>45.397072959881058</v>
      </c>
      <c r="M261" s="611">
        <v>0</v>
      </c>
      <c r="N261" s="611">
        <v>0</v>
      </c>
      <c r="O261" s="611">
        <v>0</v>
      </c>
      <c r="P261" s="611">
        <v>0.65</v>
      </c>
      <c r="Q261" s="611">
        <v>0</v>
      </c>
      <c r="R261" s="611">
        <v>0</v>
      </c>
      <c r="S261" s="611">
        <v>8.0112481693907753</v>
      </c>
      <c r="T261" s="611">
        <v>30.867723997117462</v>
      </c>
      <c r="U261" s="611">
        <v>2.641744563232169</v>
      </c>
      <c r="V261" s="611">
        <v>119.27093147176694</v>
      </c>
      <c r="W261" s="611">
        <v>18.130268456840959</v>
      </c>
      <c r="X261" s="611">
        <v>0</v>
      </c>
      <c r="Y261" s="619">
        <v>228.81480265790245</v>
      </c>
      <c r="Z261" s="51"/>
    </row>
    <row r="262" spans="1:26" x14ac:dyDescent="0.25">
      <c r="A262" s="51">
        <v>32</v>
      </c>
      <c r="B262" s="51">
        <v>2030</v>
      </c>
      <c r="C262" s="51" t="s">
        <v>47</v>
      </c>
      <c r="D262" s="51" t="s">
        <v>511</v>
      </c>
      <c r="E262" s="51" t="s">
        <v>564</v>
      </c>
      <c r="F262" s="51"/>
      <c r="G262" s="618" t="s">
        <v>82</v>
      </c>
      <c r="H262" s="611">
        <v>0</v>
      </c>
      <c r="I262" s="611">
        <v>0</v>
      </c>
      <c r="J262" s="611">
        <v>30.333744297384268</v>
      </c>
      <c r="K262" s="611">
        <v>0</v>
      </c>
      <c r="L262" s="611">
        <v>1.844061040391644</v>
      </c>
      <c r="M262" s="611">
        <v>0</v>
      </c>
      <c r="N262" s="611">
        <v>0</v>
      </c>
      <c r="O262" s="611">
        <v>0</v>
      </c>
      <c r="P262" s="611">
        <v>2</v>
      </c>
      <c r="Q262" s="611">
        <v>0</v>
      </c>
      <c r="R262" s="611">
        <v>4.8320928703991264</v>
      </c>
      <c r="S262" s="611">
        <v>0.32542253653970188</v>
      </c>
      <c r="T262" s="611">
        <v>0.5</v>
      </c>
      <c r="U262" s="611">
        <v>0.62518456969816016</v>
      </c>
      <c r="V262" s="611">
        <v>7.0694372339436615</v>
      </c>
      <c r="W262" s="611">
        <v>0</v>
      </c>
      <c r="X262" s="611">
        <v>0.17366238047171115</v>
      </c>
      <c r="Y262" s="619">
        <v>47.703604928828284</v>
      </c>
      <c r="Z262" s="51"/>
    </row>
    <row r="263" spans="1:26" x14ac:dyDescent="0.25">
      <c r="A263" s="51">
        <v>33</v>
      </c>
      <c r="B263" s="51">
        <v>2030</v>
      </c>
      <c r="C263" s="51" t="s">
        <v>47</v>
      </c>
      <c r="D263" s="51" t="s">
        <v>512</v>
      </c>
      <c r="E263" s="51" t="s">
        <v>564</v>
      </c>
      <c r="F263" s="51"/>
      <c r="G263" s="618" t="s">
        <v>354</v>
      </c>
      <c r="H263" s="611">
        <v>0</v>
      </c>
      <c r="I263" s="611">
        <v>0</v>
      </c>
      <c r="J263" s="611">
        <v>0</v>
      </c>
      <c r="K263" s="611">
        <v>0</v>
      </c>
      <c r="L263" s="611">
        <v>0</v>
      </c>
      <c r="M263" s="611">
        <v>0</v>
      </c>
      <c r="N263" s="611">
        <v>0</v>
      </c>
      <c r="O263" s="611">
        <v>0</v>
      </c>
      <c r="P263" s="611">
        <v>0</v>
      </c>
      <c r="Q263" s="611">
        <v>0</v>
      </c>
      <c r="R263" s="611">
        <v>0</v>
      </c>
      <c r="S263" s="611">
        <v>0</v>
      </c>
      <c r="T263" s="611">
        <v>0</v>
      </c>
      <c r="U263" s="611">
        <v>0</v>
      </c>
      <c r="V263" s="611">
        <v>0</v>
      </c>
      <c r="W263" s="611">
        <v>0</v>
      </c>
      <c r="X263" s="611">
        <v>0</v>
      </c>
      <c r="Y263" s="619">
        <v>0</v>
      </c>
      <c r="Z263" s="51"/>
    </row>
    <row r="264" spans="1:26" x14ac:dyDescent="0.25">
      <c r="A264" s="51">
        <v>34</v>
      </c>
      <c r="B264" s="51">
        <v>2030</v>
      </c>
      <c r="C264" s="51" t="s">
        <v>47</v>
      </c>
      <c r="D264" s="51" t="s">
        <v>513</v>
      </c>
      <c r="E264" s="51" t="s">
        <v>564</v>
      </c>
      <c r="F264" s="51"/>
      <c r="G264" s="614" t="s">
        <v>83</v>
      </c>
      <c r="H264" s="615">
        <v>3.3758020597581235</v>
      </c>
      <c r="I264" s="615">
        <v>0</v>
      </c>
      <c r="J264" s="615">
        <v>371.06932050552933</v>
      </c>
      <c r="K264" s="615">
        <v>0.21178247693223418</v>
      </c>
      <c r="L264" s="615">
        <v>209.18285930478797</v>
      </c>
      <c r="M264" s="615">
        <v>0</v>
      </c>
      <c r="N264" s="615">
        <v>0</v>
      </c>
      <c r="O264" s="615">
        <v>0</v>
      </c>
      <c r="P264" s="615">
        <v>81.126082523173295</v>
      </c>
      <c r="Q264" s="615">
        <v>7.2915559072262504</v>
      </c>
      <c r="R264" s="615">
        <v>43.680520659950545</v>
      </c>
      <c r="S264" s="615">
        <v>36.941989166802642</v>
      </c>
      <c r="T264" s="615">
        <v>103.00436671608395</v>
      </c>
      <c r="U264" s="615">
        <v>5.0994140695169552</v>
      </c>
      <c r="V264" s="615">
        <v>477.48248579919124</v>
      </c>
      <c r="W264" s="615">
        <v>67.051705206623893</v>
      </c>
      <c r="X264" s="615">
        <v>4.6921755614529523</v>
      </c>
      <c r="Y264" s="615">
        <v>1410.2100599570294</v>
      </c>
      <c r="Z264" s="51"/>
    </row>
    <row r="265" spans="1:26" x14ac:dyDescent="0.25">
      <c r="A265" s="51">
        <v>35</v>
      </c>
      <c r="B265" s="51">
        <v>2030</v>
      </c>
      <c r="C265" s="51" t="s">
        <v>47</v>
      </c>
      <c r="D265" s="51" t="s">
        <v>514</v>
      </c>
      <c r="E265" s="51" t="s">
        <v>564</v>
      </c>
      <c r="F265" s="51"/>
      <c r="G265" s="610" t="s">
        <v>84</v>
      </c>
      <c r="H265" s="611">
        <v>0</v>
      </c>
      <c r="I265" s="611">
        <v>0</v>
      </c>
      <c r="J265" s="611">
        <v>126.95463683256074</v>
      </c>
      <c r="K265" s="611">
        <v>1.4249424560491393</v>
      </c>
      <c r="L265" s="611">
        <v>13.544705953911897</v>
      </c>
      <c r="M265" s="611">
        <v>0</v>
      </c>
      <c r="N265" s="611">
        <v>0</v>
      </c>
      <c r="O265" s="611">
        <v>0</v>
      </c>
      <c r="P265" s="611">
        <v>0.11811085902414258</v>
      </c>
      <c r="Q265" s="611">
        <v>0</v>
      </c>
      <c r="R265" s="611">
        <v>1.5272647102159218</v>
      </c>
      <c r="S265" s="611">
        <v>2.0363529469545623</v>
      </c>
      <c r="T265" s="611">
        <v>0</v>
      </c>
      <c r="U265" s="611">
        <v>0</v>
      </c>
      <c r="V265" s="611">
        <v>0</v>
      </c>
      <c r="W265" s="611">
        <v>0</v>
      </c>
      <c r="X265" s="611">
        <v>1.1221461296081543</v>
      </c>
      <c r="Y265" s="619">
        <v>146.72815988832454</v>
      </c>
      <c r="Z265" s="51"/>
    </row>
    <row r="266" spans="1:26" x14ac:dyDescent="0.25">
      <c r="A266" s="51">
        <v>36</v>
      </c>
      <c r="B266" s="51">
        <v>2030</v>
      </c>
      <c r="C266" s="51" t="s">
        <v>47</v>
      </c>
      <c r="D266" s="51" t="s">
        <v>515</v>
      </c>
      <c r="E266" s="51" t="s">
        <v>564</v>
      </c>
      <c r="F266" s="51"/>
      <c r="G266" s="614" t="s">
        <v>85</v>
      </c>
      <c r="H266" s="615">
        <v>3.3758020597581235</v>
      </c>
      <c r="I266" s="615">
        <v>0</v>
      </c>
      <c r="J266" s="615">
        <v>498.0239573380901</v>
      </c>
      <c r="K266" s="615">
        <v>1.6367249329813736</v>
      </c>
      <c r="L266" s="615">
        <v>222.72756525869985</v>
      </c>
      <c r="M266" s="615">
        <v>0</v>
      </c>
      <c r="N266" s="615">
        <v>0</v>
      </c>
      <c r="O266" s="615">
        <v>0</v>
      </c>
      <c r="P266" s="615">
        <v>81.244193382197437</v>
      </c>
      <c r="Q266" s="615">
        <v>7.2915559072262504</v>
      </c>
      <c r="R266" s="615">
        <v>45.207785370166469</v>
      </c>
      <c r="S266" s="615">
        <v>38.978342113757208</v>
      </c>
      <c r="T266" s="615">
        <v>103.00436671608395</v>
      </c>
      <c r="U266" s="615">
        <v>5.0994140695169552</v>
      </c>
      <c r="V266" s="615">
        <v>477.48248579919124</v>
      </c>
      <c r="W266" s="615">
        <v>67.051705206623893</v>
      </c>
      <c r="X266" s="615">
        <v>5.8143216910611066</v>
      </c>
      <c r="Y266" s="615">
        <v>1556.9382198453541</v>
      </c>
      <c r="Z266" s="51"/>
    </row>
    <row r="267" spans="1:26" x14ac:dyDescent="0.25">
      <c r="A267" s="51"/>
      <c r="B267" s="51"/>
      <c r="C267" s="51"/>
      <c r="D267" s="51"/>
      <c r="E267" s="51"/>
      <c r="F267" s="51"/>
      <c r="G267" s="51"/>
      <c r="H267" s="67">
        <v>0</v>
      </c>
      <c r="I267" s="67">
        <v>0</v>
      </c>
      <c r="J267" s="67">
        <v>0</v>
      </c>
      <c r="K267" s="67">
        <v>0</v>
      </c>
      <c r="L267" s="67">
        <v>0</v>
      </c>
      <c r="M267" s="67">
        <v>0</v>
      </c>
      <c r="N267" s="67">
        <v>0</v>
      </c>
      <c r="O267" s="67">
        <v>0</v>
      </c>
      <c r="P267" s="67">
        <v>0</v>
      </c>
      <c r="Q267" s="67">
        <v>-5.3454570882038865E-4</v>
      </c>
      <c r="R267" s="67">
        <v>0</v>
      </c>
      <c r="S267" s="67">
        <v>1.1324274851176597E-14</v>
      </c>
      <c r="T267" s="67">
        <v>0</v>
      </c>
      <c r="U267" s="67">
        <v>0</v>
      </c>
      <c r="V267" s="67">
        <v>5.6843418860808015E-14</v>
      </c>
      <c r="W267" s="67">
        <v>0</v>
      </c>
      <c r="X267" s="67">
        <v>0</v>
      </c>
      <c r="Y267" s="67">
        <v>-5.3454570888789021E-4</v>
      </c>
      <c r="Z267" s="51"/>
    </row>
    <row r="268" spans="1:26" x14ac:dyDescent="0.25">
      <c r="A268" s="51"/>
      <c r="B268" s="51"/>
      <c r="C268" s="51"/>
      <c r="D268" s="51"/>
      <c r="E268" s="51"/>
      <c r="F268" s="51"/>
      <c r="G268" s="51"/>
      <c r="H268" s="51"/>
      <c r="I268" s="51"/>
      <c r="J268" s="51"/>
      <c r="K268" s="67"/>
      <c r="L268" s="51"/>
      <c r="M268" s="51"/>
      <c r="N268" s="51"/>
      <c r="O268" s="51"/>
      <c r="P268" s="51"/>
      <c r="Q268" s="51"/>
      <c r="R268" s="51"/>
      <c r="S268" s="51"/>
      <c r="T268" s="51"/>
      <c r="U268" s="51"/>
      <c r="V268" s="51"/>
      <c r="W268" s="51"/>
      <c r="X268" s="51"/>
      <c r="Y268" s="51"/>
      <c r="Z268" s="51"/>
    </row>
    <row r="269" spans="1:26" x14ac:dyDescent="0.25">
      <c r="A269" s="606"/>
      <c r="B269" s="606"/>
      <c r="C269" s="606"/>
      <c r="D269" s="606"/>
      <c r="E269" s="606"/>
      <c r="F269" s="606"/>
      <c r="G269" s="607" t="s">
        <v>357</v>
      </c>
      <c r="H269" s="606"/>
      <c r="I269" s="606"/>
      <c r="J269" s="606"/>
      <c r="K269" s="682"/>
      <c r="L269" s="606"/>
      <c r="M269" s="606"/>
      <c r="N269" s="606"/>
      <c r="O269" s="606"/>
      <c r="P269" s="606"/>
      <c r="Q269" s="606"/>
      <c r="R269" s="606"/>
      <c r="S269" s="606"/>
      <c r="T269" s="606"/>
      <c r="U269" s="606"/>
      <c r="V269" s="606"/>
      <c r="W269" s="606"/>
      <c r="X269" s="606"/>
      <c r="Y269" s="606"/>
      <c r="Z269" s="606"/>
    </row>
    <row r="270" spans="1:26" x14ac:dyDescent="0.25">
      <c r="A270" s="51"/>
      <c r="B270" s="51"/>
      <c r="C270" s="51"/>
      <c r="D270" s="51"/>
      <c r="E270" s="51"/>
      <c r="F270" s="51"/>
      <c r="G270" s="51"/>
      <c r="H270" s="51"/>
      <c r="I270" s="51"/>
      <c r="J270" s="51"/>
      <c r="K270" s="67"/>
      <c r="L270" s="51"/>
      <c r="M270" s="51"/>
      <c r="N270" s="51"/>
      <c r="O270" s="51"/>
      <c r="P270" s="51"/>
      <c r="Q270" s="51"/>
      <c r="R270" s="51"/>
      <c r="S270" s="51"/>
      <c r="T270" s="51"/>
      <c r="U270" s="51"/>
      <c r="V270" s="51"/>
      <c r="W270" s="51"/>
      <c r="X270" s="51"/>
      <c r="Y270" s="51"/>
      <c r="Z270" s="51"/>
    </row>
    <row r="271" spans="1:26" x14ac:dyDescent="0.25">
      <c r="A271" s="51"/>
      <c r="B271" s="51"/>
      <c r="C271" s="51"/>
      <c r="D271" s="51"/>
      <c r="E271" s="51"/>
      <c r="F271" s="51"/>
      <c r="G271" s="764" t="s">
        <v>128</v>
      </c>
      <c r="H271" s="753" t="s">
        <v>42</v>
      </c>
      <c r="I271" s="753" t="s">
        <v>52</v>
      </c>
      <c r="J271" s="753" t="s">
        <v>53</v>
      </c>
      <c r="K271" s="766" t="s">
        <v>482</v>
      </c>
      <c r="L271" s="753" t="s">
        <v>32</v>
      </c>
      <c r="M271" s="753" t="s">
        <v>483</v>
      </c>
      <c r="N271" s="753" t="s">
        <v>20</v>
      </c>
      <c r="O271" s="753" t="s">
        <v>55</v>
      </c>
      <c r="P271" s="761" t="s">
        <v>56</v>
      </c>
      <c r="Q271" s="762"/>
      <c r="R271" s="762"/>
      <c r="S271" s="762"/>
      <c r="T271" s="762"/>
      <c r="U271" s="763"/>
      <c r="V271" s="753" t="s">
        <v>57</v>
      </c>
      <c r="W271" s="753" t="s">
        <v>58</v>
      </c>
      <c r="X271" s="753" t="s">
        <v>31</v>
      </c>
      <c r="Y271" s="753" t="s">
        <v>10</v>
      </c>
      <c r="Z271" s="51"/>
    </row>
    <row r="272" spans="1:26" ht="36" x14ac:dyDescent="0.25">
      <c r="A272" s="51"/>
      <c r="B272" s="51"/>
      <c r="C272" s="51"/>
      <c r="D272" s="51" t="s">
        <v>486</v>
      </c>
      <c r="E272" s="51"/>
      <c r="F272" s="51"/>
      <c r="G272" s="765"/>
      <c r="H272" s="754"/>
      <c r="I272" s="754"/>
      <c r="J272" s="754"/>
      <c r="K272" s="767"/>
      <c r="L272" s="754"/>
      <c r="M272" s="754"/>
      <c r="N272" s="754"/>
      <c r="O272" s="754"/>
      <c r="P272" s="608" t="s">
        <v>335</v>
      </c>
      <c r="Q272" s="608" t="s">
        <v>40</v>
      </c>
      <c r="R272" s="608" t="s">
        <v>343</v>
      </c>
      <c r="S272" s="608" t="s">
        <v>344</v>
      </c>
      <c r="T272" s="609" t="s">
        <v>345</v>
      </c>
      <c r="U272" s="608" t="s">
        <v>346</v>
      </c>
      <c r="V272" s="754"/>
      <c r="W272" s="754"/>
      <c r="X272" s="754"/>
      <c r="Y272" s="754"/>
      <c r="Z272" s="51"/>
    </row>
    <row r="273" spans="1:26" x14ac:dyDescent="0.25">
      <c r="A273" s="51">
        <v>6</v>
      </c>
      <c r="B273" s="51">
        <v>2033</v>
      </c>
      <c r="C273" s="51" t="s">
        <v>47</v>
      </c>
      <c r="D273" s="51" t="s">
        <v>487</v>
      </c>
      <c r="E273" s="51" t="s">
        <v>564</v>
      </c>
      <c r="F273" s="51"/>
      <c r="G273" s="610" t="s">
        <v>59</v>
      </c>
      <c r="H273" s="611">
        <v>0</v>
      </c>
      <c r="I273" s="611">
        <v>7.3966799999999999</v>
      </c>
      <c r="J273" s="611">
        <v>0</v>
      </c>
      <c r="K273" s="611">
        <v>0</v>
      </c>
      <c r="L273" s="611">
        <v>0.13025600000000001</v>
      </c>
      <c r="M273" s="611">
        <v>0</v>
      </c>
      <c r="N273" s="612">
        <v>1149.5641818181819</v>
      </c>
      <c r="O273" s="612">
        <v>271.86081401905926</v>
      </c>
      <c r="P273" s="612">
        <v>397.0289475788656</v>
      </c>
      <c r="Q273" s="612">
        <v>23.393768013389355</v>
      </c>
      <c r="R273" s="611">
        <v>1.4753548538560814</v>
      </c>
      <c r="S273" s="611">
        <v>0.15089220372740705</v>
      </c>
      <c r="T273" s="612">
        <v>117.62110970536919</v>
      </c>
      <c r="U273" s="612">
        <v>17.46028275944898</v>
      </c>
      <c r="V273" s="611">
        <v>0</v>
      </c>
      <c r="W273" s="611">
        <v>0</v>
      </c>
      <c r="X273" s="611">
        <v>0</v>
      </c>
      <c r="Y273" s="613">
        <v>1935.1769256231291</v>
      </c>
      <c r="Z273" s="51"/>
    </row>
    <row r="274" spans="1:26" x14ac:dyDescent="0.25">
      <c r="A274" s="51">
        <v>7</v>
      </c>
      <c r="B274" s="51">
        <v>2033</v>
      </c>
      <c r="C274" s="51" t="s">
        <v>47</v>
      </c>
      <c r="D274" s="51" t="s">
        <v>488</v>
      </c>
      <c r="E274" s="51" t="s">
        <v>564</v>
      </c>
      <c r="F274" s="51"/>
      <c r="G274" s="610" t="s">
        <v>60</v>
      </c>
      <c r="H274" s="611">
        <v>18.28715345037487</v>
      </c>
      <c r="I274" s="611">
        <v>349.70303524729923</v>
      </c>
      <c r="J274" s="611">
        <v>130.886558117888</v>
      </c>
      <c r="K274" s="611">
        <v>0.50033179368683367</v>
      </c>
      <c r="L274" s="611">
        <v>247.23033513794201</v>
      </c>
      <c r="M274" s="611">
        <v>0</v>
      </c>
      <c r="N274" s="611">
        <v>0</v>
      </c>
      <c r="O274" s="611">
        <v>0</v>
      </c>
      <c r="P274" s="611">
        <v>3.0227324829465219</v>
      </c>
      <c r="Q274" s="611">
        <v>0</v>
      </c>
      <c r="R274" s="611">
        <v>4.0455454459272451</v>
      </c>
      <c r="S274" s="611">
        <v>0</v>
      </c>
      <c r="T274" s="611">
        <v>0</v>
      </c>
      <c r="U274" s="611">
        <v>0</v>
      </c>
      <c r="V274" s="611">
        <v>0</v>
      </c>
      <c r="W274" s="611">
        <v>0</v>
      </c>
      <c r="X274" s="611">
        <v>0</v>
      </c>
      <c r="Y274" s="613">
        <v>753.67569167606473</v>
      </c>
      <c r="Z274" s="51"/>
    </row>
    <row r="275" spans="1:26" x14ac:dyDescent="0.25">
      <c r="A275" s="51">
        <v>8</v>
      </c>
      <c r="B275" s="51">
        <v>2033</v>
      </c>
      <c r="C275" s="51" t="s">
        <v>47</v>
      </c>
      <c r="D275" s="51" t="s">
        <v>489</v>
      </c>
      <c r="E275" s="51" t="s">
        <v>564</v>
      </c>
      <c r="F275" s="51"/>
      <c r="G275" s="610" t="s">
        <v>61</v>
      </c>
      <c r="H275" s="611">
        <v>0</v>
      </c>
      <c r="I275" s="611">
        <v>0</v>
      </c>
      <c r="J275" s="611">
        <v>4.2105906375360576</v>
      </c>
      <c r="K275" s="611">
        <v>0</v>
      </c>
      <c r="L275" s="611">
        <v>0</v>
      </c>
      <c r="M275" s="611">
        <v>0</v>
      </c>
      <c r="N275" s="611">
        <v>0</v>
      </c>
      <c r="O275" s="611">
        <v>0</v>
      </c>
      <c r="P275" s="611">
        <v>0</v>
      </c>
      <c r="Q275" s="611">
        <v>0</v>
      </c>
      <c r="R275" s="611">
        <v>0</v>
      </c>
      <c r="S275" s="611">
        <v>0</v>
      </c>
      <c r="T275" s="611">
        <v>0</v>
      </c>
      <c r="U275" s="611">
        <v>0</v>
      </c>
      <c r="V275" s="611">
        <v>-71.116088326729823</v>
      </c>
      <c r="W275" s="611">
        <v>0</v>
      </c>
      <c r="X275" s="611">
        <v>0</v>
      </c>
      <c r="Y275" s="613">
        <v>-66.905497689193766</v>
      </c>
      <c r="Z275" s="51"/>
    </row>
    <row r="276" spans="1:26" x14ac:dyDescent="0.25">
      <c r="A276" s="51">
        <v>9</v>
      </c>
      <c r="B276" s="51">
        <v>2033</v>
      </c>
      <c r="C276" s="51" t="s">
        <v>47</v>
      </c>
      <c r="D276" s="51" t="s">
        <v>490</v>
      </c>
      <c r="E276" s="51" t="s">
        <v>564</v>
      </c>
      <c r="F276" s="51"/>
      <c r="G276" s="610" t="s">
        <v>62</v>
      </c>
      <c r="H276" s="611">
        <v>0</v>
      </c>
      <c r="I276" s="611">
        <v>0</v>
      </c>
      <c r="J276" s="611">
        <v>-10.861999753071151</v>
      </c>
      <c r="K276" s="611">
        <v>-1.2717233399442811</v>
      </c>
      <c r="L276" s="611">
        <v>-1.650726997595853</v>
      </c>
      <c r="M276" s="611">
        <v>-1.5305667943868051</v>
      </c>
      <c r="N276" s="611">
        <v>0</v>
      </c>
      <c r="O276" s="611">
        <v>0</v>
      </c>
      <c r="P276" s="611">
        <v>0</v>
      </c>
      <c r="Q276" s="611">
        <v>0</v>
      </c>
      <c r="R276" s="611">
        <v>-0.98510206600536243</v>
      </c>
      <c r="S276" s="611">
        <v>-1.4330596123235</v>
      </c>
      <c r="T276" s="611">
        <v>0</v>
      </c>
      <c r="U276" s="611">
        <v>0</v>
      </c>
      <c r="V276" s="611">
        <v>0</v>
      </c>
      <c r="W276" s="611">
        <v>0</v>
      </c>
      <c r="X276" s="611">
        <v>-0.44287904354910901</v>
      </c>
      <c r="Y276" s="613">
        <v>-18.176057606876064</v>
      </c>
      <c r="Z276" s="51"/>
    </row>
    <row r="277" spans="1:26" x14ac:dyDescent="0.25">
      <c r="A277" s="51">
        <v>10</v>
      </c>
      <c r="B277" s="51">
        <v>2033</v>
      </c>
      <c r="C277" s="51" t="s">
        <v>47</v>
      </c>
      <c r="D277" s="51" t="s">
        <v>491</v>
      </c>
      <c r="E277" s="51" t="s">
        <v>564</v>
      </c>
      <c r="F277" s="51"/>
      <c r="G277" s="610" t="s">
        <v>63</v>
      </c>
      <c r="H277" s="611">
        <v>0</v>
      </c>
      <c r="I277" s="611">
        <v>0</v>
      </c>
      <c r="J277" s="611">
        <v>-60.506792439626352</v>
      </c>
      <c r="K277" s="611">
        <v>-2.4607230105111979</v>
      </c>
      <c r="L277" s="611">
        <v>0</v>
      </c>
      <c r="M277" s="611">
        <v>0</v>
      </c>
      <c r="N277" s="611">
        <v>0</v>
      </c>
      <c r="O277" s="611">
        <v>0</v>
      </c>
      <c r="P277" s="611">
        <v>0</v>
      </c>
      <c r="Q277" s="611">
        <v>0</v>
      </c>
      <c r="R277" s="611">
        <v>-7.7408999922038042</v>
      </c>
      <c r="S277" s="611">
        <v>0</v>
      </c>
      <c r="T277" s="611">
        <v>0</v>
      </c>
      <c r="U277" s="611">
        <v>0</v>
      </c>
      <c r="V277" s="611">
        <v>0</v>
      </c>
      <c r="W277" s="611">
        <v>0</v>
      </c>
      <c r="X277" s="611">
        <v>-0.3392769133758014</v>
      </c>
      <c r="Y277" s="613">
        <v>-71.047692355717146</v>
      </c>
      <c r="Z277" s="51"/>
    </row>
    <row r="278" spans="1:26" x14ac:dyDescent="0.25">
      <c r="A278" s="51">
        <v>11</v>
      </c>
      <c r="B278" s="51">
        <v>2033</v>
      </c>
      <c r="C278" s="51" t="s">
        <v>47</v>
      </c>
      <c r="D278" s="51" t="s">
        <v>492</v>
      </c>
      <c r="E278" s="51" t="s">
        <v>564</v>
      </c>
      <c r="F278" s="51"/>
      <c r="G278" s="610" t="s">
        <v>64</v>
      </c>
      <c r="H278" s="611">
        <v>0</v>
      </c>
      <c r="I278" s="611">
        <v>0</v>
      </c>
      <c r="J278" s="611">
        <v>0</v>
      </c>
      <c r="K278" s="611">
        <v>0</v>
      </c>
      <c r="L278" s="611">
        <v>0</v>
      </c>
      <c r="M278" s="611">
        <v>0</v>
      </c>
      <c r="N278" s="611">
        <v>0</v>
      </c>
      <c r="O278" s="611">
        <v>0</v>
      </c>
      <c r="P278" s="611">
        <v>0</v>
      </c>
      <c r="Q278" s="611">
        <v>0</v>
      </c>
      <c r="R278" s="611">
        <v>0</v>
      </c>
      <c r="S278" s="611">
        <v>0</v>
      </c>
      <c r="T278" s="611">
        <v>0</v>
      </c>
      <c r="U278" s="611">
        <v>0</v>
      </c>
      <c r="V278" s="611">
        <v>0</v>
      </c>
      <c r="W278" s="611">
        <v>0</v>
      </c>
      <c r="X278" s="611">
        <v>0</v>
      </c>
      <c r="Y278" s="613">
        <v>0</v>
      </c>
      <c r="Z278" s="51"/>
    </row>
    <row r="279" spans="1:26" x14ac:dyDescent="0.25">
      <c r="A279" s="51">
        <v>12</v>
      </c>
      <c r="B279" s="51">
        <v>2033</v>
      </c>
      <c r="C279" s="51" t="s">
        <v>47</v>
      </c>
      <c r="D279" s="51" t="s">
        <v>493</v>
      </c>
      <c r="E279" s="51" t="s">
        <v>564</v>
      </c>
      <c r="F279" s="51"/>
      <c r="G279" s="614" t="s">
        <v>65</v>
      </c>
      <c r="H279" s="615">
        <v>18.28715345037487</v>
      </c>
      <c r="I279" s="615">
        <v>357.09971524729923</v>
      </c>
      <c r="J279" s="615">
        <v>63.72835656272656</v>
      </c>
      <c r="K279" s="615">
        <v>-3.2321145567686456</v>
      </c>
      <c r="L279" s="615">
        <v>245.70986414034616</v>
      </c>
      <c r="M279" s="615">
        <v>-1.5305667943868051</v>
      </c>
      <c r="N279" s="615">
        <v>1149.5641818181819</v>
      </c>
      <c r="O279" s="615">
        <v>271.86081401905926</v>
      </c>
      <c r="P279" s="615">
        <v>400.05168006181214</v>
      </c>
      <c r="Q279" s="615">
        <v>23.393768013389355</v>
      </c>
      <c r="R279" s="615">
        <v>-3.2051017584258403</v>
      </c>
      <c r="S279" s="615">
        <v>-1.282167408596093</v>
      </c>
      <c r="T279" s="615">
        <v>117.62110970536919</v>
      </c>
      <c r="U279" s="615">
        <v>17.46028275944898</v>
      </c>
      <c r="V279" s="615">
        <v>-71.116088326729823</v>
      </c>
      <c r="W279" s="615">
        <v>0</v>
      </c>
      <c r="X279" s="615">
        <v>-0.78215595692491036</v>
      </c>
      <c r="Y279" s="615">
        <v>2532.7233696474068</v>
      </c>
      <c r="Z279" s="51"/>
    </row>
    <row r="280" spans="1:26" x14ac:dyDescent="0.25">
      <c r="A280" s="51"/>
      <c r="B280" s="51"/>
      <c r="C280" s="51"/>
      <c r="D280" s="51"/>
      <c r="E280" s="51"/>
      <c r="F280" s="51"/>
      <c r="G280" s="616"/>
      <c r="H280" s="617"/>
      <c r="I280" s="617"/>
      <c r="J280" s="617"/>
      <c r="K280" s="617"/>
      <c r="L280" s="623"/>
      <c r="M280" s="617"/>
      <c r="N280" s="617"/>
      <c r="O280" s="617"/>
      <c r="P280" s="617"/>
      <c r="Q280" s="617"/>
      <c r="R280" s="617"/>
      <c r="S280" s="617"/>
      <c r="T280" s="617"/>
      <c r="U280" s="617"/>
      <c r="V280" s="617"/>
      <c r="W280" s="617"/>
      <c r="X280" s="617"/>
      <c r="Y280" s="617"/>
      <c r="Z280" s="51"/>
    </row>
    <row r="281" spans="1:26" x14ac:dyDescent="0.25">
      <c r="A281" s="51">
        <v>14</v>
      </c>
      <c r="B281" s="51">
        <v>2033</v>
      </c>
      <c r="C281" s="51" t="s">
        <v>47</v>
      </c>
      <c r="D281" s="51" t="s">
        <v>494</v>
      </c>
      <c r="E281" s="51" t="s">
        <v>564</v>
      </c>
      <c r="F281" s="51"/>
      <c r="G281" s="618" t="s">
        <v>67</v>
      </c>
      <c r="H281" s="611">
        <v>0</v>
      </c>
      <c r="I281" s="611">
        <v>0</v>
      </c>
      <c r="J281" s="611">
        <v>0</v>
      </c>
      <c r="K281" s="611">
        <v>0</v>
      </c>
      <c r="L281" s="611">
        <v>0</v>
      </c>
      <c r="M281" s="611">
        <v>0</v>
      </c>
      <c r="N281" s="611">
        <v>0</v>
      </c>
      <c r="O281" s="611">
        <v>0</v>
      </c>
      <c r="P281" s="611">
        <v>0</v>
      </c>
      <c r="Q281" s="611">
        <v>0</v>
      </c>
      <c r="R281" s="611">
        <v>0</v>
      </c>
      <c r="S281" s="611">
        <v>0</v>
      </c>
      <c r="T281" s="611">
        <v>0</v>
      </c>
      <c r="U281" s="611">
        <v>0</v>
      </c>
      <c r="V281" s="611">
        <v>0</v>
      </c>
      <c r="W281" s="611">
        <v>0</v>
      </c>
      <c r="X281" s="611">
        <v>0</v>
      </c>
      <c r="Y281" s="619">
        <v>0</v>
      </c>
      <c r="Z281" s="51"/>
    </row>
    <row r="282" spans="1:26" x14ac:dyDescent="0.25">
      <c r="A282" s="51">
        <v>15</v>
      </c>
      <c r="B282" s="51">
        <v>2033</v>
      </c>
      <c r="C282" s="51" t="s">
        <v>47</v>
      </c>
      <c r="D282" s="51" t="s">
        <v>495</v>
      </c>
      <c r="E282" s="51" t="s">
        <v>564</v>
      </c>
      <c r="F282" s="51"/>
      <c r="G282" s="618" t="s">
        <v>347</v>
      </c>
      <c r="H282" s="611">
        <v>0</v>
      </c>
      <c r="I282" s="611">
        <v>0</v>
      </c>
      <c r="J282" s="611">
        <v>0.79278558393774012</v>
      </c>
      <c r="K282" s="611">
        <v>0</v>
      </c>
      <c r="L282" s="611">
        <v>39.527338676233185</v>
      </c>
      <c r="M282" s="611">
        <v>0</v>
      </c>
      <c r="N282" s="611">
        <v>1149.5641818181819</v>
      </c>
      <c r="O282" s="611">
        <v>271.86081401905926</v>
      </c>
      <c r="P282" s="611">
        <v>23.789318392311586</v>
      </c>
      <c r="Q282" s="611">
        <v>0.78288529253283656</v>
      </c>
      <c r="R282" s="611">
        <v>4.7819832265678626</v>
      </c>
      <c r="S282" s="611">
        <v>10.613276143464974</v>
      </c>
      <c r="T282" s="611">
        <v>0</v>
      </c>
      <c r="U282" s="611">
        <v>1.6766395861963883</v>
      </c>
      <c r="V282" s="611">
        <v>-716.32813829992745</v>
      </c>
      <c r="W282" s="611">
        <v>0</v>
      </c>
      <c r="X282" s="611">
        <v>0</v>
      </c>
      <c r="Y282" s="619">
        <v>787.0610844385584</v>
      </c>
      <c r="Z282" s="51"/>
    </row>
    <row r="283" spans="1:26" x14ac:dyDescent="0.25">
      <c r="A283" s="51">
        <v>16</v>
      </c>
      <c r="B283" s="51">
        <v>2033</v>
      </c>
      <c r="C283" s="51" t="s">
        <v>47</v>
      </c>
      <c r="D283" s="51" t="s">
        <v>496</v>
      </c>
      <c r="E283" s="51" t="s">
        <v>564</v>
      </c>
      <c r="F283" s="51"/>
      <c r="G283" s="618" t="s">
        <v>348</v>
      </c>
      <c r="H283" s="611">
        <v>0</v>
      </c>
      <c r="I283" s="611">
        <v>0</v>
      </c>
      <c r="J283" s="611">
        <v>0</v>
      </c>
      <c r="K283" s="611">
        <v>0</v>
      </c>
      <c r="L283" s="611">
        <v>14.863634929352314</v>
      </c>
      <c r="M283" s="611">
        <v>0</v>
      </c>
      <c r="N283" s="611">
        <v>0</v>
      </c>
      <c r="O283" s="611">
        <v>0</v>
      </c>
      <c r="P283" s="611">
        <v>36.951529030708912</v>
      </c>
      <c r="Q283" s="611">
        <v>15.383934898304426</v>
      </c>
      <c r="R283" s="611">
        <v>0</v>
      </c>
      <c r="S283" s="611">
        <v>4.4533441115691943</v>
      </c>
      <c r="T283" s="611">
        <v>0</v>
      </c>
      <c r="U283" s="611">
        <v>9.9766960849791442</v>
      </c>
      <c r="V283" s="611">
        <v>0</v>
      </c>
      <c r="W283" s="611">
        <v>-74.745984582713277</v>
      </c>
      <c r="X283" s="611">
        <v>0</v>
      </c>
      <c r="Y283" s="619">
        <v>6.8831544722007152</v>
      </c>
      <c r="Z283" s="51"/>
    </row>
    <row r="284" spans="1:26" x14ac:dyDescent="0.25">
      <c r="A284" s="51">
        <v>17</v>
      </c>
      <c r="B284" s="51">
        <v>2033</v>
      </c>
      <c r="C284" s="51" t="s">
        <v>47</v>
      </c>
      <c r="D284" s="51" t="s">
        <v>497</v>
      </c>
      <c r="E284" s="51" t="s">
        <v>564</v>
      </c>
      <c r="F284" s="51"/>
      <c r="G284" s="618" t="s">
        <v>349</v>
      </c>
      <c r="H284" s="611">
        <v>0</v>
      </c>
      <c r="I284" s="611">
        <v>0</v>
      </c>
      <c r="J284" s="611">
        <v>0</v>
      </c>
      <c r="K284" s="611">
        <v>0</v>
      </c>
      <c r="L284" s="611">
        <v>0</v>
      </c>
      <c r="M284" s="611">
        <v>0</v>
      </c>
      <c r="N284" s="611">
        <v>0</v>
      </c>
      <c r="O284" s="611">
        <v>0</v>
      </c>
      <c r="P284" s="611">
        <v>129.43275599529042</v>
      </c>
      <c r="Q284" s="611">
        <v>0</v>
      </c>
      <c r="R284" s="611">
        <v>0</v>
      </c>
      <c r="S284" s="611">
        <v>-71.188015797409747</v>
      </c>
      <c r="T284" s="611">
        <v>0</v>
      </c>
      <c r="U284" s="611">
        <v>0</v>
      </c>
      <c r="V284" s="611">
        <v>0</v>
      </c>
      <c r="W284" s="611">
        <v>0</v>
      </c>
      <c r="X284" s="611">
        <v>0</v>
      </c>
      <c r="Y284" s="619">
        <v>58.244740197880674</v>
      </c>
      <c r="Z284" s="51"/>
    </row>
    <row r="285" spans="1:26" x14ac:dyDescent="0.25">
      <c r="A285" s="51">
        <v>18</v>
      </c>
      <c r="B285" s="51">
        <v>2033</v>
      </c>
      <c r="C285" s="51" t="s">
        <v>47</v>
      </c>
      <c r="D285" s="51" t="s">
        <v>498</v>
      </c>
      <c r="E285" s="51" t="s">
        <v>564</v>
      </c>
      <c r="F285" s="51"/>
      <c r="G285" s="618" t="s">
        <v>350</v>
      </c>
      <c r="H285" s="611">
        <v>0</v>
      </c>
      <c r="I285" s="611">
        <v>0</v>
      </c>
      <c r="J285" s="611">
        <v>0</v>
      </c>
      <c r="K285" s="611">
        <v>0</v>
      </c>
      <c r="L285" s="611">
        <v>0</v>
      </c>
      <c r="M285" s="611">
        <v>-1.5305667943868051</v>
      </c>
      <c r="N285" s="611">
        <v>0</v>
      </c>
      <c r="O285" s="611">
        <v>0</v>
      </c>
      <c r="P285" s="611">
        <v>0</v>
      </c>
      <c r="Q285" s="611">
        <v>0</v>
      </c>
      <c r="R285" s="611">
        <v>0</v>
      </c>
      <c r="S285" s="611">
        <v>0</v>
      </c>
      <c r="T285" s="611">
        <v>0</v>
      </c>
      <c r="U285" s="611">
        <v>0</v>
      </c>
      <c r="V285" s="611">
        <v>0</v>
      </c>
      <c r="W285" s="611">
        <v>0</v>
      </c>
      <c r="X285" s="611">
        <v>2.1257872144261181</v>
      </c>
      <c r="Y285" s="619">
        <v>0.59522042003931297</v>
      </c>
      <c r="Z285" s="51"/>
    </row>
    <row r="286" spans="1:26" x14ac:dyDescent="0.25">
      <c r="A286" s="51">
        <v>19</v>
      </c>
      <c r="B286" s="51">
        <v>2033</v>
      </c>
      <c r="C286" s="51" t="s">
        <v>47</v>
      </c>
      <c r="D286" s="51" t="s">
        <v>499</v>
      </c>
      <c r="E286" s="51" t="s">
        <v>564</v>
      </c>
      <c r="F286" s="51"/>
      <c r="G286" s="618" t="s">
        <v>72</v>
      </c>
      <c r="H286" s="611">
        <v>0</v>
      </c>
      <c r="I286" s="611">
        <v>370.08210545563031</v>
      </c>
      <c r="J286" s="611">
        <v>-366.39718123017576</v>
      </c>
      <c r="K286" s="611">
        <v>0</v>
      </c>
      <c r="L286" s="611">
        <v>0</v>
      </c>
      <c r="M286" s="611">
        <v>0</v>
      </c>
      <c r="N286" s="611">
        <v>0</v>
      </c>
      <c r="O286" s="611">
        <v>0</v>
      </c>
      <c r="P286" s="611">
        <v>0</v>
      </c>
      <c r="Q286" s="611">
        <v>0</v>
      </c>
      <c r="R286" s="611">
        <v>0</v>
      </c>
      <c r="S286" s="611">
        <v>0</v>
      </c>
      <c r="T286" s="611">
        <v>0</v>
      </c>
      <c r="U286" s="611">
        <v>0</v>
      </c>
      <c r="V286" s="611">
        <v>0</v>
      </c>
      <c r="W286" s="611">
        <v>0</v>
      </c>
      <c r="X286" s="611">
        <v>0</v>
      </c>
      <c r="Y286" s="619">
        <v>3.6849242254545516</v>
      </c>
      <c r="Z286" s="51"/>
    </row>
    <row r="287" spans="1:26" x14ac:dyDescent="0.25">
      <c r="A287" s="51">
        <v>20</v>
      </c>
      <c r="B287" s="51">
        <v>2033</v>
      </c>
      <c r="C287" s="51" t="s">
        <v>47</v>
      </c>
      <c r="D287" s="51" t="s">
        <v>500</v>
      </c>
      <c r="E287" s="51" t="s">
        <v>564</v>
      </c>
      <c r="F287" s="51"/>
      <c r="G287" s="618" t="s">
        <v>351</v>
      </c>
      <c r="H287" s="611">
        <v>0</v>
      </c>
      <c r="I287" s="611">
        <v>0</v>
      </c>
      <c r="J287" s="611">
        <v>0</v>
      </c>
      <c r="K287" s="611">
        <v>0</v>
      </c>
      <c r="L287" s="611">
        <v>0</v>
      </c>
      <c r="M287" s="611">
        <v>0</v>
      </c>
      <c r="N287" s="611">
        <v>0</v>
      </c>
      <c r="O287" s="611">
        <v>0</v>
      </c>
      <c r="P287" s="611">
        <v>134.75063526164635</v>
      </c>
      <c r="Q287" s="611">
        <v>0</v>
      </c>
      <c r="R287" s="611">
        <v>-74.112849393905506</v>
      </c>
      <c r="S287" s="611">
        <v>0</v>
      </c>
      <c r="T287" s="611">
        <v>0</v>
      </c>
      <c r="U287" s="611">
        <v>0</v>
      </c>
      <c r="V287" s="611">
        <v>0</v>
      </c>
      <c r="W287" s="611">
        <v>0</v>
      </c>
      <c r="X287" s="611">
        <v>0</v>
      </c>
      <c r="Y287" s="619">
        <v>60.637785867740845</v>
      </c>
      <c r="Z287" s="51"/>
    </row>
    <row r="288" spans="1:26" x14ac:dyDescent="0.25">
      <c r="A288" s="51">
        <v>21</v>
      </c>
      <c r="B288" s="51">
        <v>2033</v>
      </c>
      <c r="C288" s="51" t="s">
        <v>47</v>
      </c>
      <c r="D288" s="51" t="s">
        <v>501</v>
      </c>
      <c r="E288" s="51" t="s">
        <v>564</v>
      </c>
      <c r="F288" s="51"/>
      <c r="G288" s="618" t="s">
        <v>352</v>
      </c>
      <c r="H288" s="611">
        <v>0</v>
      </c>
      <c r="I288" s="611">
        <v>0</v>
      </c>
      <c r="J288" s="611">
        <v>0</v>
      </c>
      <c r="K288" s="611">
        <v>-5.329861681315144</v>
      </c>
      <c r="L288" s="611">
        <v>0</v>
      </c>
      <c r="M288" s="611">
        <v>0</v>
      </c>
      <c r="N288" s="611">
        <v>0</v>
      </c>
      <c r="O288" s="611">
        <v>0</v>
      </c>
      <c r="P288" s="611">
        <v>0</v>
      </c>
      <c r="Q288" s="611">
        <v>0</v>
      </c>
      <c r="R288" s="611">
        <v>0</v>
      </c>
      <c r="S288" s="611">
        <v>0</v>
      </c>
      <c r="T288" s="611">
        <v>0</v>
      </c>
      <c r="U288" s="611">
        <v>0</v>
      </c>
      <c r="V288" s="611">
        <v>0</v>
      </c>
      <c r="W288" s="611">
        <v>0</v>
      </c>
      <c r="X288" s="611">
        <v>6.9775871245462397</v>
      </c>
      <c r="Y288" s="619">
        <v>1.6477254432310957</v>
      </c>
      <c r="Z288" s="51"/>
    </row>
    <row r="289" spans="1:26" x14ac:dyDescent="0.25">
      <c r="A289" s="51">
        <v>22</v>
      </c>
      <c r="B289" s="51">
        <v>2033</v>
      </c>
      <c r="C289" s="51" t="s">
        <v>47</v>
      </c>
      <c r="D289" s="51" t="s">
        <v>502</v>
      </c>
      <c r="E289" s="51" t="s">
        <v>564</v>
      </c>
      <c r="F289" s="51"/>
      <c r="G289" s="618" t="s">
        <v>73</v>
      </c>
      <c r="H289" s="611">
        <v>0</v>
      </c>
      <c r="I289" s="611">
        <v>0</v>
      </c>
      <c r="J289" s="611">
        <v>0</v>
      </c>
      <c r="K289" s="611">
        <v>0</v>
      </c>
      <c r="L289" s="611">
        <v>0</v>
      </c>
      <c r="M289" s="611">
        <v>0</v>
      </c>
      <c r="N289" s="611">
        <v>0</v>
      </c>
      <c r="O289" s="611">
        <v>0</v>
      </c>
      <c r="P289" s="611">
        <v>0</v>
      </c>
      <c r="Q289" s="611">
        <v>0</v>
      </c>
      <c r="R289" s="611">
        <v>0</v>
      </c>
      <c r="S289" s="611">
        <v>0</v>
      </c>
      <c r="T289" s="611">
        <v>0</v>
      </c>
      <c r="U289" s="611">
        <v>0</v>
      </c>
      <c r="V289" s="611">
        <v>42.073823238695233</v>
      </c>
      <c r="W289" s="611">
        <v>0</v>
      </c>
      <c r="X289" s="611">
        <v>-27.789760249158199</v>
      </c>
      <c r="Y289" s="619">
        <v>14.284062989537034</v>
      </c>
      <c r="Z289" s="51"/>
    </row>
    <row r="290" spans="1:26" x14ac:dyDescent="0.25">
      <c r="A290" s="51">
        <v>23</v>
      </c>
      <c r="B290" s="51">
        <v>2033</v>
      </c>
      <c r="C290" s="51" t="s">
        <v>47</v>
      </c>
      <c r="D290" s="51" t="s">
        <v>503</v>
      </c>
      <c r="E290" s="51" t="s">
        <v>564</v>
      </c>
      <c r="F290" s="51"/>
      <c r="G290" s="618" t="s">
        <v>353</v>
      </c>
      <c r="H290" s="611">
        <v>10.559522109374999</v>
      </c>
      <c r="I290" s="611">
        <v>-12.982390208331097</v>
      </c>
      <c r="J290" s="611">
        <v>16.901350191946939</v>
      </c>
      <c r="K290" s="611">
        <v>0</v>
      </c>
      <c r="L290" s="611">
        <v>0</v>
      </c>
      <c r="M290" s="611">
        <v>0</v>
      </c>
      <c r="N290" s="611">
        <v>0</v>
      </c>
      <c r="O290" s="611">
        <v>0</v>
      </c>
      <c r="P290" s="611">
        <v>0</v>
      </c>
      <c r="Q290" s="611">
        <v>0</v>
      </c>
      <c r="R290" s="611">
        <v>0</v>
      </c>
      <c r="S290" s="611">
        <v>0</v>
      </c>
      <c r="T290" s="611">
        <v>0</v>
      </c>
      <c r="U290" s="611">
        <v>0</v>
      </c>
      <c r="V290" s="611">
        <v>0</v>
      </c>
      <c r="W290" s="611">
        <v>0</v>
      </c>
      <c r="X290" s="611">
        <v>0</v>
      </c>
      <c r="Y290" s="619">
        <v>14.478482092990841</v>
      </c>
      <c r="Z290" s="51"/>
    </row>
    <row r="291" spans="1:26" x14ac:dyDescent="0.25">
      <c r="A291" s="51">
        <v>24</v>
      </c>
      <c r="B291" s="51">
        <v>2033</v>
      </c>
      <c r="C291" s="51" t="s">
        <v>47</v>
      </c>
      <c r="D291" s="51" t="s">
        <v>504</v>
      </c>
      <c r="E291" s="51" t="s">
        <v>564</v>
      </c>
      <c r="F291" s="51"/>
      <c r="G291" s="618" t="s">
        <v>75</v>
      </c>
      <c r="H291" s="611">
        <v>4.1064808203125001</v>
      </c>
      <c r="I291" s="611">
        <v>0</v>
      </c>
      <c r="J291" s="611">
        <v>12.729375657811177</v>
      </c>
      <c r="K291" s="611">
        <v>0</v>
      </c>
      <c r="L291" s="611">
        <v>4.2427950511099199</v>
      </c>
      <c r="M291" s="611">
        <v>0</v>
      </c>
      <c r="N291" s="611">
        <v>0</v>
      </c>
      <c r="O291" s="611">
        <v>0</v>
      </c>
      <c r="P291" s="611">
        <v>0</v>
      </c>
      <c r="Q291" s="611">
        <v>0</v>
      </c>
      <c r="R291" s="611">
        <v>0</v>
      </c>
      <c r="S291" s="611">
        <v>1.210669024866841</v>
      </c>
      <c r="T291" s="611">
        <v>0</v>
      </c>
      <c r="U291" s="611">
        <v>0</v>
      </c>
      <c r="V291" s="611">
        <v>59.039710702043344</v>
      </c>
      <c r="W291" s="611">
        <v>0</v>
      </c>
      <c r="X291" s="611">
        <v>0</v>
      </c>
      <c r="Y291" s="619">
        <v>81.329031256143779</v>
      </c>
      <c r="Z291" s="51"/>
    </row>
    <row r="292" spans="1:26" x14ac:dyDescent="0.25">
      <c r="A292" s="51">
        <v>25</v>
      </c>
      <c r="B292" s="51">
        <v>2033</v>
      </c>
      <c r="C292" s="51" t="s">
        <v>47</v>
      </c>
      <c r="D292" s="51" t="s">
        <v>505</v>
      </c>
      <c r="E292" s="51" t="s">
        <v>564</v>
      </c>
      <c r="F292" s="51"/>
      <c r="G292" s="618" t="s">
        <v>76</v>
      </c>
      <c r="H292" s="611">
        <v>0</v>
      </c>
      <c r="I292" s="611">
        <v>0</v>
      </c>
      <c r="J292" s="611">
        <v>0</v>
      </c>
      <c r="K292" s="611">
        <v>0</v>
      </c>
      <c r="L292" s="611">
        <v>2.7648782686353877</v>
      </c>
      <c r="M292" s="611">
        <v>0</v>
      </c>
      <c r="N292" s="611">
        <v>0</v>
      </c>
      <c r="O292" s="611">
        <v>0</v>
      </c>
      <c r="P292" s="611">
        <v>0</v>
      </c>
      <c r="Q292" s="611">
        <v>0</v>
      </c>
      <c r="R292" s="611">
        <v>0</v>
      </c>
      <c r="S292" s="611">
        <v>0.78894984015045766</v>
      </c>
      <c r="T292" s="611">
        <v>0</v>
      </c>
      <c r="U292" s="611">
        <v>0</v>
      </c>
      <c r="V292" s="611">
        <v>49.408876482054545</v>
      </c>
      <c r="W292" s="611">
        <v>5.7965399990832731</v>
      </c>
      <c r="X292" s="611">
        <v>0</v>
      </c>
      <c r="Y292" s="619">
        <v>58.759244589923661</v>
      </c>
      <c r="Z292" s="51"/>
    </row>
    <row r="293" spans="1:26" x14ac:dyDescent="0.25">
      <c r="A293" s="51">
        <v>26</v>
      </c>
      <c r="B293" s="51">
        <v>2033</v>
      </c>
      <c r="C293" s="51" t="s">
        <v>47</v>
      </c>
      <c r="D293" s="51" t="s">
        <v>506</v>
      </c>
      <c r="E293" s="51" t="s">
        <v>564</v>
      </c>
      <c r="F293" s="51"/>
      <c r="G293" s="614" t="s">
        <v>77</v>
      </c>
      <c r="H293" s="615">
        <v>14.666002929687499</v>
      </c>
      <c r="I293" s="615">
        <v>357.09971524729923</v>
      </c>
      <c r="J293" s="615">
        <v>-335.97366979647984</v>
      </c>
      <c r="K293" s="615">
        <v>-5.329861681315144</v>
      </c>
      <c r="L293" s="615">
        <v>61.398646925330809</v>
      </c>
      <c r="M293" s="615">
        <v>-1.5305667943868051</v>
      </c>
      <c r="N293" s="615">
        <v>1149.5641818181819</v>
      </c>
      <c r="O293" s="615">
        <v>271.86081401905926</v>
      </c>
      <c r="P293" s="615">
        <v>324.92423867995728</v>
      </c>
      <c r="Q293" s="615">
        <v>16.166820190837264</v>
      </c>
      <c r="R293" s="615">
        <v>-69.330866167337646</v>
      </c>
      <c r="S293" s="615">
        <v>-54.121776677358284</v>
      </c>
      <c r="T293" s="615">
        <v>0</v>
      </c>
      <c r="U293" s="615">
        <v>11.653335671175533</v>
      </c>
      <c r="V293" s="615">
        <v>-565.80572787713436</v>
      </c>
      <c r="W293" s="615">
        <v>-68.949444583629997</v>
      </c>
      <c r="X293" s="615">
        <v>-18.686385910185841</v>
      </c>
      <c r="Y293" s="615">
        <v>1036.7000946649325</v>
      </c>
      <c r="Z293" s="51"/>
    </row>
    <row r="294" spans="1:26" x14ac:dyDescent="0.25">
      <c r="A294" s="51"/>
      <c r="B294" s="51"/>
      <c r="C294" s="51"/>
      <c r="D294" s="51"/>
      <c r="E294" s="51"/>
      <c r="F294" s="51"/>
      <c r="G294" s="616"/>
      <c r="H294" s="617"/>
      <c r="I294" s="617"/>
      <c r="J294" s="617"/>
      <c r="K294" s="617"/>
      <c r="L294" s="623"/>
      <c r="M294" s="617"/>
      <c r="N294" s="617"/>
      <c r="O294" s="617"/>
      <c r="P294" s="617"/>
      <c r="Q294" s="617"/>
      <c r="R294" s="617"/>
      <c r="S294" s="617"/>
      <c r="T294" s="617"/>
      <c r="U294" s="617"/>
      <c r="V294" s="617"/>
      <c r="W294" s="617"/>
      <c r="X294" s="617"/>
      <c r="Y294" s="617"/>
      <c r="Z294" s="51"/>
    </row>
    <row r="295" spans="1:26" x14ac:dyDescent="0.25">
      <c r="A295" s="51">
        <v>28</v>
      </c>
      <c r="B295" s="51">
        <v>2033</v>
      </c>
      <c r="C295" s="51" t="s">
        <v>47</v>
      </c>
      <c r="D295" s="51" t="s">
        <v>507</v>
      </c>
      <c r="E295" s="51" t="s">
        <v>564</v>
      </c>
      <c r="F295" s="51"/>
      <c r="G295" s="618" t="s">
        <v>78</v>
      </c>
      <c r="H295" s="611">
        <v>3.6211505206873706</v>
      </c>
      <c r="I295" s="611">
        <v>0</v>
      </c>
      <c r="J295" s="611">
        <v>10.977786664841062</v>
      </c>
      <c r="K295" s="611">
        <v>0</v>
      </c>
      <c r="L295" s="611">
        <v>68.786287212877468</v>
      </c>
      <c r="M295" s="611">
        <v>0</v>
      </c>
      <c r="N295" s="611">
        <v>0</v>
      </c>
      <c r="O295" s="611">
        <v>0</v>
      </c>
      <c r="P295" s="611">
        <v>21.558703212450474</v>
      </c>
      <c r="Q295" s="611">
        <v>7.2264532765434186</v>
      </c>
      <c r="R295" s="611">
        <v>1.1431902408607149</v>
      </c>
      <c r="S295" s="611">
        <v>19.659289951979574</v>
      </c>
      <c r="T295" s="611">
        <v>7.7275585937500004</v>
      </c>
      <c r="U295" s="611">
        <v>6.3863689419622622E-4</v>
      </c>
      <c r="V295" s="611">
        <v>157.82302310235053</v>
      </c>
      <c r="W295" s="611">
        <v>19.724565273985597</v>
      </c>
      <c r="X295" s="611">
        <v>5.5820537109375001</v>
      </c>
      <c r="Y295" s="619">
        <v>323.83070039815789</v>
      </c>
      <c r="Z295" s="51"/>
    </row>
    <row r="296" spans="1:26" x14ac:dyDescent="0.25">
      <c r="A296" s="51">
        <v>29</v>
      </c>
      <c r="B296" s="51">
        <v>2033</v>
      </c>
      <c r="C296" s="51" t="s">
        <v>47</v>
      </c>
      <c r="D296" s="51" t="s">
        <v>508</v>
      </c>
      <c r="E296" s="51" t="s">
        <v>564</v>
      </c>
      <c r="F296" s="51"/>
      <c r="G296" s="618" t="s">
        <v>79</v>
      </c>
      <c r="H296" s="611">
        <v>0</v>
      </c>
      <c r="I296" s="611">
        <v>0</v>
      </c>
      <c r="J296" s="611">
        <v>242.40875758324066</v>
      </c>
      <c r="K296" s="611">
        <v>0.47070091421213178</v>
      </c>
      <c r="L296" s="611">
        <v>5.6712945537201502</v>
      </c>
      <c r="M296" s="611">
        <v>0</v>
      </c>
      <c r="N296" s="611">
        <v>0</v>
      </c>
      <c r="O296" s="611">
        <v>0</v>
      </c>
      <c r="P296" s="611">
        <v>0</v>
      </c>
      <c r="Q296" s="611">
        <v>0</v>
      </c>
      <c r="R296" s="611">
        <v>48.1771719361642</v>
      </c>
      <c r="S296" s="611">
        <v>1.6182871348661612</v>
      </c>
      <c r="T296" s="611">
        <v>0</v>
      </c>
      <c r="U296" s="611">
        <v>0</v>
      </c>
      <c r="V296" s="611">
        <v>51.204779610530323</v>
      </c>
      <c r="W296" s="611">
        <v>0</v>
      </c>
      <c r="X296" s="611">
        <v>1.9274779617440119</v>
      </c>
      <c r="Y296" s="619">
        <v>351.47846969447755</v>
      </c>
      <c r="Z296" s="51"/>
    </row>
    <row r="297" spans="1:26" x14ac:dyDescent="0.25">
      <c r="A297" s="51">
        <v>30</v>
      </c>
      <c r="B297" s="51">
        <v>2033</v>
      </c>
      <c r="C297" s="51" t="s">
        <v>47</v>
      </c>
      <c r="D297" s="51" t="s">
        <v>509</v>
      </c>
      <c r="E297" s="51" t="s">
        <v>564</v>
      </c>
      <c r="F297" s="51"/>
      <c r="G297" s="618" t="s">
        <v>80</v>
      </c>
      <c r="H297" s="611">
        <v>0</v>
      </c>
      <c r="I297" s="611">
        <v>0</v>
      </c>
      <c r="J297" s="611">
        <v>4.7499833734259962</v>
      </c>
      <c r="K297" s="611">
        <v>0</v>
      </c>
      <c r="L297" s="611">
        <v>59.892644640477613</v>
      </c>
      <c r="M297" s="611">
        <v>0</v>
      </c>
      <c r="N297" s="611">
        <v>0</v>
      </c>
      <c r="O297" s="611">
        <v>0</v>
      </c>
      <c r="P297" s="611">
        <v>50.474011716430226</v>
      </c>
      <c r="Q297" s="611">
        <v>0</v>
      </c>
      <c r="R297" s="611">
        <v>0</v>
      </c>
      <c r="S297" s="611">
        <v>17.090189087642713</v>
      </c>
      <c r="T297" s="611">
        <v>72.896531078688341</v>
      </c>
      <c r="U297" s="611">
        <v>2.1388383201796159</v>
      </c>
      <c r="V297" s="611">
        <v>161.07901165495488</v>
      </c>
      <c r="W297" s="611">
        <v>31.017277954172368</v>
      </c>
      <c r="X297" s="611">
        <v>0</v>
      </c>
      <c r="Y297" s="619">
        <v>399.33848782597175</v>
      </c>
      <c r="Z297" s="51"/>
    </row>
    <row r="298" spans="1:26" x14ac:dyDescent="0.25">
      <c r="A298" s="51">
        <v>31</v>
      </c>
      <c r="B298" s="51">
        <v>2033</v>
      </c>
      <c r="C298" s="51" t="s">
        <v>47</v>
      </c>
      <c r="D298" s="51" t="s">
        <v>510</v>
      </c>
      <c r="E298" s="51" t="s">
        <v>564</v>
      </c>
      <c r="F298" s="51"/>
      <c r="G298" s="618" t="s">
        <v>81</v>
      </c>
      <c r="H298" s="611">
        <v>0</v>
      </c>
      <c r="I298" s="611">
        <v>0</v>
      </c>
      <c r="J298" s="611">
        <v>2.7864297325406127</v>
      </c>
      <c r="K298" s="611">
        <v>0</v>
      </c>
      <c r="L298" s="611">
        <v>36.302778501513302</v>
      </c>
      <c r="M298" s="611">
        <v>0</v>
      </c>
      <c r="N298" s="611">
        <v>0</v>
      </c>
      <c r="O298" s="611">
        <v>0</v>
      </c>
      <c r="P298" s="611">
        <v>0.61399999999999999</v>
      </c>
      <c r="Q298" s="611">
        <v>0</v>
      </c>
      <c r="R298" s="611">
        <v>0</v>
      </c>
      <c r="S298" s="611">
        <v>10.358890523568064</v>
      </c>
      <c r="T298" s="611">
        <v>36.347020032930843</v>
      </c>
      <c r="U298" s="611">
        <v>2.8396548179893775</v>
      </c>
      <c r="V298" s="611">
        <v>117.08039522805777</v>
      </c>
      <c r="W298" s="611">
        <v>18.207601355472033</v>
      </c>
      <c r="X298" s="611">
        <v>0</v>
      </c>
      <c r="Y298" s="619">
        <v>224.536770192072</v>
      </c>
      <c r="Z298" s="51"/>
    </row>
    <row r="299" spans="1:26" x14ac:dyDescent="0.25">
      <c r="A299" s="51">
        <v>32</v>
      </c>
      <c r="B299" s="51">
        <v>2033</v>
      </c>
      <c r="C299" s="51" t="s">
        <v>47</v>
      </c>
      <c r="D299" s="51" t="s">
        <v>511</v>
      </c>
      <c r="E299" s="51" t="s">
        <v>564</v>
      </c>
      <c r="F299" s="51"/>
      <c r="G299" s="618" t="s">
        <v>82</v>
      </c>
      <c r="H299" s="611">
        <v>0</v>
      </c>
      <c r="I299" s="611">
        <v>0</v>
      </c>
      <c r="J299" s="611">
        <v>25.282340189092182</v>
      </c>
      <c r="K299" s="611">
        <v>0</v>
      </c>
      <c r="L299" s="611">
        <v>1.5657367161403111</v>
      </c>
      <c r="M299" s="611">
        <v>0</v>
      </c>
      <c r="N299" s="611">
        <v>0</v>
      </c>
      <c r="O299" s="611">
        <v>0</v>
      </c>
      <c r="P299" s="611">
        <v>2.2999999999999998</v>
      </c>
      <c r="Q299" s="611">
        <v>0</v>
      </c>
      <c r="R299" s="611">
        <v>7.4083163805079773</v>
      </c>
      <c r="S299" s="611">
        <v>0.4467783431660014</v>
      </c>
      <c r="T299" s="611">
        <v>0.65</v>
      </c>
      <c r="U299" s="611">
        <v>0.82781531321025892</v>
      </c>
      <c r="V299" s="611">
        <v>7.0454699545110753</v>
      </c>
      <c r="W299" s="611">
        <v>0</v>
      </c>
      <c r="X299" s="611">
        <v>0.27911019493558448</v>
      </c>
      <c r="Y299" s="619">
        <v>45.80556709156339</v>
      </c>
      <c r="Z299" s="51"/>
    </row>
    <row r="300" spans="1:26" x14ac:dyDescent="0.25">
      <c r="A300" s="51">
        <v>33</v>
      </c>
      <c r="B300" s="51">
        <v>2033</v>
      </c>
      <c r="C300" s="51" t="s">
        <v>47</v>
      </c>
      <c r="D300" s="51" t="s">
        <v>512</v>
      </c>
      <c r="E300" s="51" t="s">
        <v>564</v>
      </c>
      <c r="F300" s="51"/>
      <c r="G300" s="618" t="s">
        <v>354</v>
      </c>
      <c r="H300" s="611">
        <v>0</v>
      </c>
      <c r="I300" s="611">
        <v>0</v>
      </c>
      <c r="J300" s="611">
        <v>0</v>
      </c>
      <c r="K300" s="611">
        <v>0</v>
      </c>
      <c r="L300" s="611">
        <v>0</v>
      </c>
      <c r="M300" s="611">
        <v>0</v>
      </c>
      <c r="N300" s="611">
        <v>0</v>
      </c>
      <c r="O300" s="611">
        <v>0</v>
      </c>
      <c r="P300" s="611">
        <v>0</v>
      </c>
      <c r="Q300" s="611">
        <v>0</v>
      </c>
      <c r="R300" s="611">
        <v>0</v>
      </c>
      <c r="S300" s="611">
        <v>0</v>
      </c>
      <c r="T300" s="611">
        <v>0</v>
      </c>
      <c r="U300" s="611">
        <v>0</v>
      </c>
      <c r="V300" s="611">
        <v>0.45696000000000003</v>
      </c>
      <c r="W300" s="611">
        <v>0</v>
      </c>
      <c r="X300" s="611">
        <v>0</v>
      </c>
      <c r="Y300" s="619">
        <v>0.45696000000000003</v>
      </c>
      <c r="Z300" s="51"/>
    </row>
    <row r="301" spans="1:26" x14ac:dyDescent="0.25">
      <c r="A301" s="51">
        <v>34</v>
      </c>
      <c r="B301" s="51">
        <v>2033</v>
      </c>
      <c r="C301" s="51" t="s">
        <v>47</v>
      </c>
      <c r="D301" s="51" t="s">
        <v>513</v>
      </c>
      <c r="E301" s="51" t="s">
        <v>564</v>
      </c>
      <c r="F301" s="51"/>
      <c r="G301" s="614" t="s">
        <v>83</v>
      </c>
      <c r="H301" s="615">
        <v>3.6211505206873706</v>
      </c>
      <c r="I301" s="615">
        <v>0</v>
      </c>
      <c r="J301" s="615">
        <v>286.20529754314049</v>
      </c>
      <c r="K301" s="615">
        <v>0.47070091421213178</v>
      </c>
      <c r="L301" s="615">
        <v>172.21874162472886</v>
      </c>
      <c r="M301" s="615">
        <v>0</v>
      </c>
      <c r="N301" s="615">
        <v>0</v>
      </c>
      <c r="O301" s="615">
        <v>0</v>
      </c>
      <c r="P301" s="615">
        <v>74.946714928880695</v>
      </c>
      <c r="Q301" s="615">
        <v>7.2264532765434186</v>
      </c>
      <c r="R301" s="615">
        <v>56.728678557532888</v>
      </c>
      <c r="S301" s="615">
        <v>49.173435041222518</v>
      </c>
      <c r="T301" s="615">
        <v>117.62110970536919</v>
      </c>
      <c r="U301" s="615">
        <v>5.8069470882734482</v>
      </c>
      <c r="V301" s="615">
        <v>494.68963955040454</v>
      </c>
      <c r="W301" s="615">
        <v>68.949444583629997</v>
      </c>
      <c r="X301" s="615">
        <v>7.7886418676170965</v>
      </c>
      <c r="Y301" s="615">
        <v>1345.4469552022426</v>
      </c>
      <c r="Z301" s="51"/>
    </row>
    <row r="302" spans="1:26" x14ac:dyDescent="0.25">
      <c r="A302" s="51">
        <v>35</v>
      </c>
      <c r="B302" s="51">
        <v>2033</v>
      </c>
      <c r="C302" s="51" t="s">
        <v>47</v>
      </c>
      <c r="D302" s="51" t="s">
        <v>514</v>
      </c>
      <c r="E302" s="51" t="s">
        <v>564</v>
      </c>
      <c r="F302" s="51"/>
      <c r="G302" s="610" t="s">
        <v>84</v>
      </c>
      <c r="H302" s="611">
        <v>0</v>
      </c>
      <c r="I302" s="611">
        <v>0</v>
      </c>
      <c r="J302" s="611">
        <v>113.49672881606593</v>
      </c>
      <c r="K302" s="611">
        <v>1.6270462103343666</v>
      </c>
      <c r="L302" s="611">
        <v>12.092475590286487</v>
      </c>
      <c r="M302" s="611">
        <v>0</v>
      </c>
      <c r="N302" s="611">
        <v>0</v>
      </c>
      <c r="O302" s="611">
        <v>0</v>
      </c>
      <c r="P302" s="611">
        <v>0.18072645297419759</v>
      </c>
      <c r="Q302" s="611">
        <v>0</v>
      </c>
      <c r="R302" s="611">
        <v>9.3970858513789164</v>
      </c>
      <c r="S302" s="611">
        <v>3.666174227539674</v>
      </c>
      <c r="T302" s="611">
        <v>0</v>
      </c>
      <c r="U302" s="611">
        <v>0</v>
      </c>
      <c r="V302" s="611">
        <v>0</v>
      </c>
      <c r="W302" s="611">
        <v>0</v>
      </c>
      <c r="X302" s="611">
        <v>10.115588085643834</v>
      </c>
      <c r="Y302" s="619">
        <v>150.57582523422337</v>
      </c>
      <c r="Z302" s="51"/>
    </row>
    <row r="303" spans="1:26" x14ac:dyDescent="0.25">
      <c r="A303" s="51">
        <v>36</v>
      </c>
      <c r="B303" s="51">
        <v>2033</v>
      </c>
      <c r="C303" s="51" t="s">
        <v>47</v>
      </c>
      <c r="D303" s="51" t="s">
        <v>515</v>
      </c>
      <c r="E303" s="51" t="s">
        <v>564</v>
      </c>
      <c r="F303" s="51"/>
      <c r="G303" s="614" t="s">
        <v>85</v>
      </c>
      <c r="H303" s="615">
        <v>3.6211505206873706</v>
      </c>
      <c r="I303" s="615">
        <v>0</v>
      </c>
      <c r="J303" s="615">
        <v>399.7020263592064</v>
      </c>
      <c r="K303" s="615">
        <v>2.0977471245464985</v>
      </c>
      <c r="L303" s="615">
        <v>184.31121721501535</v>
      </c>
      <c r="M303" s="615">
        <v>0</v>
      </c>
      <c r="N303" s="615">
        <v>0</v>
      </c>
      <c r="O303" s="615">
        <v>0</v>
      </c>
      <c r="P303" s="615">
        <v>75.127441381854894</v>
      </c>
      <c r="Q303" s="615">
        <v>7.2264532765434186</v>
      </c>
      <c r="R303" s="615">
        <v>66.125764408911806</v>
      </c>
      <c r="S303" s="615">
        <v>52.839609268762189</v>
      </c>
      <c r="T303" s="615">
        <v>117.62110970536919</v>
      </c>
      <c r="U303" s="615">
        <v>5.8069470882734482</v>
      </c>
      <c r="V303" s="615">
        <v>494.68963955040454</v>
      </c>
      <c r="W303" s="615">
        <v>68.949444583629997</v>
      </c>
      <c r="X303" s="615">
        <v>17.904229953260931</v>
      </c>
      <c r="Y303" s="615">
        <v>1496.0227804364661</v>
      </c>
      <c r="Z303" s="51"/>
    </row>
    <row r="304" spans="1:26" x14ac:dyDescent="0.25">
      <c r="A304" s="51"/>
      <c r="B304" s="51"/>
      <c r="C304" s="51"/>
      <c r="D304" s="51"/>
      <c r="E304" s="51"/>
      <c r="F304" s="51"/>
      <c r="G304" s="51"/>
      <c r="H304" s="67">
        <v>0</v>
      </c>
      <c r="I304" s="67">
        <v>0</v>
      </c>
      <c r="J304" s="67">
        <v>0</v>
      </c>
      <c r="K304" s="67">
        <v>0</v>
      </c>
      <c r="L304" s="67">
        <v>0</v>
      </c>
      <c r="M304" s="67">
        <v>0</v>
      </c>
      <c r="N304" s="67">
        <v>0</v>
      </c>
      <c r="O304" s="67">
        <v>0</v>
      </c>
      <c r="P304" s="67">
        <v>0</v>
      </c>
      <c r="Q304" s="67">
        <v>-4.9454600867449017E-4</v>
      </c>
      <c r="R304" s="67">
        <v>0</v>
      </c>
      <c r="S304" s="67">
        <v>-1.9984014443252818E-15</v>
      </c>
      <c r="T304" s="67">
        <v>0</v>
      </c>
      <c r="U304" s="67">
        <v>0</v>
      </c>
      <c r="V304" s="67">
        <v>0</v>
      </c>
      <c r="W304" s="67">
        <v>0</v>
      </c>
      <c r="X304" s="67">
        <v>0</v>
      </c>
      <c r="Y304" s="67">
        <v>-4.9454600821263739E-4</v>
      </c>
      <c r="Z304" s="51"/>
    </row>
    <row r="305" spans="1:26" x14ac:dyDescent="0.25">
      <c r="A305" s="51"/>
      <c r="B305" s="51"/>
      <c r="C305" s="51"/>
      <c r="D305" s="51"/>
      <c r="E305" s="51"/>
      <c r="F305" s="51"/>
      <c r="G305" s="51"/>
      <c r="H305" s="51"/>
      <c r="I305" s="51"/>
      <c r="J305" s="51"/>
      <c r="K305" s="67"/>
      <c r="L305" s="51"/>
      <c r="M305" s="51"/>
      <c r="N305" s="51"/>
      <c r="O305" s="51"/>
      <c r="P305" s="51"/>
      <c r="Q305" s="51"/>
      <c r="R305" s="51"/>
      <c r="S305" s="51"/>
      <c r="T305" s="51"/>
      <c r="U305" s="51"/>
      <c r="V305" s="51"/>
      <c r="W305" s="51"/>
      <c r="X305" s="51"/>
      <c r="Y305" s="51"/>
      <c r="Z305" s="51"/>
    </row>
    <row r="306" spans="1:26" x14ac:dyDescent="0.25">
      <c r="A306" s="606"/>
      <c r="B306" s="606"/>
      <c r="C306" s="606"/>
      <c r="D306" s="606"/>
      <c r="E306" s="606"/>
      <c r="F306" s="606"/>
      <c r="G306" s="607" t="s">
        <v>358</v>
      </c>
      <c r="H306" s="606"/>
      <c r="I306" s="606"/>
      <c r="J306" s="606"/>
      <c r="K306" s="682"/>
      <c r="L306" s="606"/>
      <c r="M306" s="606"/>
      <c r="N306" s="606"/>
      <c r="O306" s="606"/>
      <c r="P306" s="606"/>
      <c r="Q306" s="606"/>
      <c r="R306" s="606"/>
      <c r="S306" s="606"/>
      <c r="T306" s="606"/>
      <c r="U306" s="606"/>
      <c r="V306" s="606"/>
      <c r="W306" s="606"/>
      <c r="X306" s="606"/>
      <c r="Y306" s="606"/>
      <c r="Z306" s="606"/>
    </row>
    <row r="307" spans="1:26" x14ac:dyDescent="0.25">
      <c r="A307" s="51"/>
      <c r="B307" s="51"/>
      <c r="C307" s="51"/>
      <c r="D307" s="51"/>
      <c r="E307" s="51"/>
      <c r="F307" s="51"/>
      <c r="G307" s="51"/>
      <c r="H307" s="51"/>
      <c r="I307" s="51"/>
      <c r="J307" s="51"/>
      <c r="K307" s="67"/>
      <c r="L307" s="51"/>
      <c r="M307" s="51"/>
      <c r="N307" s="51"/>
      <c r="O307" s="51"/>
      <c r="P307" s="51"/>
      <c r="Q307" s="51"/>
      <c r="R307" s="51"/>
      <c r="S307" s="51"/>
      <c r="T307" s="51"/>
      <c r="U307" s="51"/>
      <c r="V307" s="51"/>
      <c r="W307" s="51"/>
      <c r="X307" s="51"/>
      <c r="Y307" s="51"/>
      <c r="Z307" s="51"/>
    </row>
    <row r="308" spans="1:26" x14ac:dyDescent="0.25">
      <c r="A308" s="51"/>
      <c r="B308" s="51"/>
      <c r="C308" s="51"/>
      <c r="D308" s="51"/>
      <c r="E308" s="51"/>
      <c r="F308" s="51"/>
      <c r="G308" s="764" t="s">
        <v>128</v>
      </c>
      <c r="H308" s="753" t="s">
        <v>42</v>
      </c>
      <c r="I308" s="753" t="s">
        <v>52</v>
      </c>
      <c r="J308" s="753" t="s">
        <v>53</v>
      </c>
      <c r="K308" s="766" t="s">
        <v>482</v>
      </c>
      <c r="L308" s="753" t="s">
        <v>32</v>
      </c>
      <c r="M308" s="753" t="s">
        <v>483</v>
      </c>
      <c r="N308" s="753" t="s">
        <v>20</v>
      </c>
      <c r="O308" s="753" t="s">
        <v>55</v>
      </c>
      <c r="P308" s="761" t="s">
        <v>56</v>
      </c>
      <c r="Q308" s="762"/>
      <c r="R308" s="762"/>
      <c r="S308" s="762"/>
      <c r="T308" s="762"/>
      <c r="U308" s="763"/>
      <c r="V308" s="753" t="s">
        <v>57</v>
      </c>
      <c r="W308" s="753" t="s">
        <v>58</v>
      </c>
      <c r="X308" s="753" t="s">
        <v>31</v>
      </c>
      <c r="Y308" s="753" t="s">
        <v>10</v>
      </c>
      <c r="Z308" s="51"/>
    </row>
    <row r="309" spans="1:26" ht="36" x14ac:dyDescent="0.25">
      <c r="A309" s="51"/>
      <c r="B309" s="51"/>
      <c r="C309" s="51"/>
      <c r="D309" s="51" t="s">
        <v>486</v>
      </c>
      <c r="E309" s="51"/>
      <c r="F309" s="51"/>
      <c r="G309" s="765"/>
      <c r="H309" s="754"/>
      <c r="I309" s="754"/>
      <c r="J309" s="754"/>
      <c r="K309" s="767"/>
      <c r="L309" s="754"/>
      <c r="M309" s="754"/>
      <c r="N309" s="754"/>
      <c r="O309" s="754"/>
      <c r="P309" s="608" t="s">
        <v>335</v>
      </c>
      <c r="Q309" s="608" t="s">
        <v>40</v>
      </c>
      <c r="R309" s="608" t="s">
        <v>343</v>
      </c>
      <c r="S309" s="608" t="s">
        <v>344</v>
      </c>
      <c r="T309" s="609" t="s">
        <v>345</v>
      </c>
      <c r="U309" s="608" t="s">
        <v>346</v>
      </c>
      <c r="V309" s="754"/>
      <c r="W309" s="754"/>
      <c r="X309" s="754"/>
      <c r="Y309" s="754"/>
      <c r="Z309" s="51"/>
    </row>
    <row r="310" spans="1:26" x14ac:dyDescent="0.25">
      <c r="A310" s="51">
        <v>6</v>
      </c>
      <c r="B310" s="51">
        <v>2035</v>
      </c>
      <c r="C310" s="51" t="s">
        <v>47</v>
      </c>
      <c r="D310" s="51" t="s">
        <v>487</v>
      </c>
      <c r="E310" s="51" t="s">
        <v>564</v>
      </c>
      <c r="F310" s="51"/>
      <c r="G310" s="610" t="s">
        <v>59</v>
      </c>
      <c r="H310" s="611">
        <v>0</v>
      </c>
      <c r="I310" s="611">
        <v>5.8150000000000004</v>
      </c>
      <c r="J310" s="611">
        <v>0</v>
      </c>
      <c r="K310" s="611">
        <v>0</v>
      </c>
      <c r="L310" s="611">
        <v>9.3040000000000012E-2</v>
      </c>
      <c r="M310" s="611">
        <v>0</v>
      </c>
      <c r="N310" s="612">
        <v>1142.8003999999999</v>
      </c>
      <c r="O310" s="612">
        <v>315.61624303705946</v>
      </c>
      <c r="P310" s="612">
        <v>439.06519694377374</v>
      </c>
      <c r="Q310" s="612">
        <v>22.953434806276242</v>
      </c>
      <c r="R310" s="611">
        <v>1.5151391983163085</v>
      </c>
      <c r="S310" s="611">
        <v>0.16086233431790645</v>
      </c>
      <c r="T310" s="612">
        <v>127.42983196346779</v>
      </c>
      <c r="U310" s="612">
        <v>20.689716003432839</v>
      </c>
      <c r="V310" s="611">
        <v>0</v>
      </c>
      <c r="W310" s="611">
        <v>0</v>
      </c>
      <c r="X310" s="611">
        <v>0</v>
      </c>
      <c r="Y310" s="613">
        <v>2018.8949175454236</v>
      </c>
      <c r="Z310" s="51"/>
    </row>
    <row r="311" spans="1:26" x14ac:dyDescent="0.25">
      <c r="A311" s="51">
        <v>7</v>
      </c>
      <c r="B311" s="51">
        <v>2035</v>
      </c>
      <c r="C311" s="51" t="s">
        <v>47</v>
      </c>
      <c r="D311" s="51" t="s">
        <v>488</v>
      </c>
      <c r="E311" s="51" t="s">
        <v>564</v>
      </c>
      <c r="F311" s="51"/>
      <c r="G311" s="610" t="s">
        <v>60</v>
      </c>
      <c r="H311" s="611">
        <v>14.997589528810048</v>
      </c>
      <c r="I311" s="611">
        <v>317.6831579468477</v>
      </c>
      <c r="J311" s="611">
        <v>90.64640210854148</v>
      </c>
      <c r="K311" s="611">
        <v>0.4482168453037243</v>
      </c>
      <c r="L311" s="611">
        <v>215.03381892924489</v>
      </c>
      <c r="M311" s="611">
        <v>0</v>
      </c>
      <c r="N311" s="611">
        <v>0</v>
      </c>
      <c r="O311" s="611">
        <v>0</v>
      </c>
      <c r="P311" s="611">
        <v>3.3497189577114872</v>
      </c>
      <c r="Q311" s="611">
        <v>0</v>
      </c>
      <c r="R311" s="611">
        <v>4.4724851738797575</v>
      </c>
      <c r="S311" s="611">
        <v>0</v>
      </c>
      <c r="T311" s="611">
        <v>0</v>
      </c>
      <c r="U311" s="611">
        <v>0</v>
      </c>
      <c r="V311" s="611">
        <v>0</v>
      </c>
      <c r="W311" s="611">
        <v>0</v>
      </c>
      <c r="X311" s="611">
        <v>0</v>
      </c>
      <c r="Y311" s="613">
        <v>646.63138949033896</v>
      </c>
      <c r="Z311" s="51"/>
    </row>
    <row r="312" spans="1:26" x14ac:dyDescent="0.25">
      <c r="A312" s="51">
        <v>8</v>
      </c>
      <c r="B312" s="51">
        <v>2035</v>
      </c>
      <c r="C312" s="51" t="s">
        <v>47</v>
      </c>
      <c r="D312" s="51" t="s">
        <v>489</v>
      </c>
      <c r="E312" s="51" t="s">
        <v>564</v>
      </c>
      <c r="F312" s="51"/>
      <c r="G312" s="610" t="s">
        <v>61</v>
      </c>
      <c r="H312" s="611">
        <v>0</v>
      </c>
      <c r="I312" s="611">
        <v>0</v>
      </c>
      <c r="J312" s="611">
        <v>3.6514365086121643</v>
      </c>
      <c r="K312" s="611">
        <v>0</v>
      </c>
      <c r="L312" s="611">
        <v>0</v>
      </c>
      <c r="M312" s="611">
        <v>0</v>
      </c>
      <c r="N312" s="611">
        <v>0</v>
      </c>
      <c r="O312" s="611">
        <v>0</v>
      </c>
      <c r="P312" s="611">
        <v>0</v>
      </c>
      <c r="Q312" s="611">
        <v>0</v>
      </c>
      <c r="R312" s="611">
        <v>0</v>
      </c>
      <c r="S312" s="611">
        <v>0</v>
      </c>
      <c r="T312" s="611">
        <v>0</v>
      </c>
      <c r="U312" s="611">
        <v>0</v>
      </c>
      <c r="V312" s="611">
        <v>-78.775924512815891</v>
      </c>
      <c r="W312" s="611">
        <v>0</v>
      </c>
      <c r="X312" s="611">
        <v>0</v>
      </c>
      <c r="Y312" s="613">
        <v>-75.124488004203727</v>
      </c>
      <c r="Z312" s="51"/>
    </row>
    <row r="313" spans="1:26" x14ac:dyDescent="0.25">
      <c r="A313" s="51">
        <v>9</v>
      </c>
      <c r="B313" s="51">
        <v>2035</v>
      </c>
      <c r="C313" s="51" t="s">
        <v>47</v>
      </c>
      <c r="D313" s="51" t="s">
        <v>490</v>
      </c>
      <c r="E313" s="51" t="s">
        <v>564</v>
      </c>
      <c r="F313" s="51"/>
      <c r="G313" s="610" t="s">
        <v>62</v>
      </c>
      <c r="H313" s="611">
        <v>0</v>
      </c>
      <c r="I313" s="611">
        <v>0</v>
      </c>
      <c r="J313" s="611">
        <v>-9.1493668545845033</v>
      </c>
      <c r="K313" s="611">
        <v>-2.0808213366588695</v>
      </c>
      <c r="L313" s="611">
        <v>-1.1134427375085565</v>
      </c>
      <c r="M313" s="611">
        <v>-2.1621292756423931</v>
      </c>
      <c r="N313" s="611">
        <v>0</v>
      </c>
      <c r="O313" s="611">
        <v>0</v>
      </c>
      <c r="P313" s="611">
        <v>0</v>
      </c>
      <c r="Q313" s="611">
        <v>0</v>
      </c>
      <c r="R313" s="611">
        <v>-1.0958595241258173</v>
      </c>
      <c r="S313" s="611">
        <v>-1.719780201472068</v>
      </c>
      <c r="T313" s="611">
        <v>0</v>
      </c>
      <c r="U313" s="611">
        <v>0</v>
      </c>
      <c r="V313" s="611">
        <v>0</v>
      </c>
      <c r="W313" s="611">
        <v>0</v>
      </c>
      <c r="X313" s="611">
        <v>-0.65033681124791309</v>
      </c>
      <c r="Y313" s="613">
        <v>-17.971736741240122</v>
      </c>
      <c r="Z313" s="51"/>
    </row>
    <row r="314" spans="1:26" x14ac:dyDescent="0.25">
      <c r="A314" s="51">
        <v>10</v>
      </c>
      <c r="B314" s="51">
        <v>2035</v>
      </c>
      <c r="C314" s="51" t="s">
        <v>47</v>
      </c>
      <c r="D314" s="51" t="s">
        <v>491</v>
      </c>
      <c r="E314" s="51" t="s">
        <v>564</v>
      </c>
      <c r="F314" s="51"/>
      <c r="G314" s="610" t="s">
        <v>63</v>
      </c>
      <c r="H314" s="611">
        <v>0</v>
      </c>
      <c r="I314" s="611">
        <v>0</v>
      </c>
      <c r="J314" s="611">
        <v>-54.941446945210977</v>
      </c>
      <c r="K314" s="611">
        <v>-3.5033200830683109</v>
      </c>
      <c r="L314" s="611">
        <v>0</v>
      </c>
      <c r="M314" s="611">
        <v>0</v>
      </c>
      <c r="N314" s="611">
        <v>0</v>
      </c>
      <c r="O314" s="611">
        <v>0</v>
      </c>
      <c r="P314" s="611">
        <v>0</v>
      </c>
      <c r="Q314" s="611">
        <v>0</v>
      </c>
      <c r="R314" s="611">
        <v>-10.509960249204934</v>
      </c>
      <c r="S314" s="611">
        <v>0</v>
      </c>
      <c r="T314" s="611">
        <v>0</v>
      </c>
      <c r="U314" s="611">
        <v>0</v>
      </c>
      <c r="V314" s="611">
        <v>0</v>
      </c>
      <c r="W314" s="611">
        <v>0</v>
      </c>
      <c r="X314" s="611">
        <v>-0.56546152229300228</v>
      </c>
      <c r="Y314" s="613">
        <v>-69.52018879977723</v>
      </c>
      <c r="Z314" s="51"/>
    </row>
    <row r="315" spans="1:26" x14ac:dyDescent="0.25">
      <c r="A315" s="51">
        <v>11</v>
      </c>
      <c r="B315" s="51">
        <v>2035</v>
      </c>
      <c r="C315" s="51" t="s">
        <v>47</v>
      </c>
      <c r="D315" s="51" t="s">
        <v>492</v>
      </c>
      <c r="E315" s="51" t="s">
        <v>564</v>
      </c>
      <c r="F315" s="51"/>
      <c r="G315" s="610" t="s">
        <v>64</v>
      </c>
      <c r="H315" s="611">
        <v>0</v>
      </c>
      <c r="I315" s="611">
        <v>0</v>
      </c>
      <c r="J315" s="611">
        <v>0</v>
      </c>
      <c r="K315" s="611">
        <v>0</v>
      </c>
      <c r="L315" s="611">
        <v>0</v>
      </c>
      <c r="M315" s="611">
        <v>0</v>
      </c>
      <c r="N315" s="611">
        <v>0</v>
      </c>
      <c r="O315" s="611">
        <v>0</v>
      </c>
      <c r="P315" s="611">
        <v>0</v>
      </c>
      <c r="Q315" s="611">
        <v>0</v>
      </c>
      <c r="R315" s="611">
        <v>0</v>
      </c>
      <c r="S315" s="611">
        <v>0</v>
      </c>
      <c r="T315" s="611">
        <v>0</v>
      </c>
      <c r="U315" s="611">
        <v>0</v>
      </c>
      <c r="V315" s="611">
        <v>0</v>
      </c>
      <c r="W315" s="611">
        <v>0</v>
      </c>
      <c r="X315" s="611">
        <v>0</v>
      </c>
      <c r="Y315" s="613">
        <v>0</v>
      </c>
      <c r="Z315" s="51"/>
    </row>
    <row r="316" spans="1:26" x14ac:dyDescent="0.25">
      <c r="A316" s="51">
        <v>12</v>
      </c>
      <c r="B316" s="51">
        <v>2035</v>
      </c>
      <c r="C316" s="51" t="s">
        <v>47</v>
      </c>
      <c r="D316" s="51" t="s">
        <v>493</v>
      </c>
      <c r="E316" s="51" t="s">
        <v>564</v>
      </c>
      <c r="F316" s="51"/>
      <c r="G316" s="614" t="s">
        <v>65</v>
      </c>
      <c r="H316" s="615">
        <v>14.997589528810048</v>
      </c>
      <c r="I316" s="615">
        <v>323.4981579468477</v>
      </c>
      <c r="J316" s="615">
        <v>30.207024817358167</v>
      </c>
      <c r="K316" s="615">
        <v>-5.1359245744234556</v>
      </c>
      <c r="L316" s="615">
        <v>214.01341619173633</v>
      </c>
      <c r="M316" s="615">
        <v>-2.1621292756423931</v>
      </c>
      <c r="N316" s="615">
        <v>1142.8003999999999</v>
      </c>
      <c r="O316" s="615">
        <v>315.61624303705946</v>
      </c>
      <c r="P316" s="615">
        <v>442.41491590148524</v>
      </c>
      <c r="Q316" s="615">
        <v>22.953434806276242</v>
      </c>
      <c r="R316" s="615">
        <v>-5.6181954011346846</v>
      </c>
      <c r="S316" s="615">
        <v>-1.5589178671541615</v>
      </c>
      <c r="T316" s="615">
        <v>127.42983196346779</v>
      </c>
      <c r="U316" s="615">
        <v>20.689716003432839</v>
      </c>
      <c r="V316" s="615">
        <v>-78.775924512815891</v>
      </c>
      <c r="W316" s="615">
        <v>0</v>
      </c>
      <c r="X316" s="615">
        <v>-1.2157983335409153</v>
      </c>
      <c r="Y316" s="615">
        <v>2502.9098934905414</v>
      </c>
      <c r="Z316" s="51"/>
    </row>
    <row r="317" spans="1:26" x14ac:dyDescent="0.25">
      <c r="A317" s="51"/>
      <c r="B317" s="51"/>
      <c r="C317" s="51"/>
      <c r="D317" s="51"/>
      <c r="E317" s="51"/>
      <c r="F317" s="51"/>
      <c r="G317" s="616"/>
      <c r="H317" s="617"/>
      <c r="I317" s="617"/>
      <c r="J317" s="617"/>
      <c r="K317" s="617"/>
      <c r="L317" s="623"/>
      <c r="M317" s="617"/>
      <c r="N317" s="617"/>
      <c r="O317" s="617"/>
      <c r="P317" s="617"/>
      <c r="Q317" s="617"/>
      <c r="R317" s="617"/>
      <c r="S317" s="617"/>
      <c r="T317" s="617"/>
      <c r="U317" s="617"/>
      <c r="V317" s="617"/>
      <c r="W317" s="617"/>
      <c r="X317" s="617"/>
      <c r="Y317" s="617"/>
      <c r="Z317" s="51"/>
    </row>
    <row r="318" spans="1:26" x14ac:dyDescent="0.25">
      <c r="A318" s="51">
        <v>14</v>
      </c>
      <c r="B318" s="51">
        <v>2035</v>
      </c>
      <c r="C318" s="51" t="s">
        <v>47</v>
      </c>
      <c r="D318" s="51" t="s">
        <v>494</v>
      </c>
      <c r="E318" s="51" t="s">
        <v>564</v>
      </c>
      <c r="F318" s="51"/>
      <c r="G318" s="618" t="s">
        <v>67</v>
      </c>
      <c r="H318" s="611">
        <v>0</v>
      </c>
      <c r="I318" s="611">
        <v>0</v>
      </c>
      <c r="J318" s="611">
        <v>0</v>
      </c>
      <c r="K318" s="611">
        <v>0</v>
      </c>
      <c r="L318" s="611">
        <v>0</v>
      </c>
      <c r="M318" s="611">
        <v>0</v>
      </c>
      <c r="N318" s="611">
        <v>0</v>
      </c>
      <c r="O318" s="611">
        <v>0</v>
      </c>
      <c r="P318" s="611">
        <v>0</v>
      </c>
      <c r="Q318" s="611">
        <v>0</v>
      </c>
      <c r="R318" s="611">
        <v>0</v>
      </c>
      <c r="S318" s="611">
        <v>0</v>
      </c>
      <c r="T318" s="611">
        <v>0</v>
      </c>
      <c r="U318" s="611">
        <v>0</v>
      </c>
      <c r="V318" s="611">
        <v>0</v>
      </c>
      <c r="W318" s="611">
        <v>0</v>
      </c>
      <c r="X318" s="611">
        <v>0</v>
      </c>
      <c r="Y318" s="619">
        <v>0</v>
      </c>
      <c r="Z318" s="51"/>
    </row>
    <row r="319" spans="1:26" x14ac:dyDescent="0.25">
      <c r="A319" s="51">
        <v>15</v>
      </c>
      <c r="B319" s="51">
        <v>2035</v>
      </c>
      <c r="C319" s="51" t="s">
        <v>47</v>
      </c>
      <c r="D319" s="51" t="s">
        <v>495</v>
      </c>
      <c r="E319" s="51" t="s">
        <v>564</v>
      </c>
      <c r="F319" s="51"/>
      <c r="G319" s="618" t="s">
        <v>347</v>
      </c>
      <c r="H319" s="611">
        <v>0</v>
      </c>
      <c r="I319" s="611">
        <v>0</v>
      </c>
      <c r="J319" s="611">
        <v>0.802217285608815</v>
      </c>
      <c r="K319" s="611">
        <v>0</v>
      </c>
      <c r="L319" s="611">
        <v>34.006086400000001</v>
      </c>
      <c r="M319" s="611">
        <v>0</v>
      </c>
      <c r="N319" s="611">
        <v>1142.8003999999999</v>
      </c>
      <c r="O319" s="611">
        <v>315.61624303705946</v>
      </c>
      <c r="P319" s="611">
        <v>23.22237797454401</v>
      </c>
      <c r="Q319" s="611">
        <v>0.78398280853048141</v>
      </c>
      <c r="R319" s="611">
        <v>5.0291337303525587</v>
      </c>
      <c r="S319" s="611">
        <v>11.448434017818721</v>
      </c>
      <c r="T319" s="611">
        <v>0</v>
      </c>
      <c r="U319" s="611">
        <v>2.7943993103273139</v>
      </c>
      <c r="V319" s="611">
        <v>-757.71173525283928</v>
      </c>
      <c r="W319" s="611">
        <v>0</v>
      </c>
      <c r="X319" s="611">
        <v>0</v>
      </c>
      <c r="Y319" s="619">
        <v>778.79153931140183</v>
      </c>
      <c r="Z319" s="51"/>
    </row>
    <row r="320" spans="1:26" x14ac:dyDescent="0.25">
      <c r="A320" s="51">
        <v>16</v>
      </c>
      <c r="B320" s="51">
        <v>2035</v>
      </c>
      <c r="C320" s="51" t="s">
        <v>47</v>
      </c>
      <c r="D320" s="51" t="s">
        <v>496</v>
      </c>
      <c r="E320" s="51" t="s">
        <v>564</v>
      </c>
      <c r="F320" s="51"/>
      <c r="G320" s="618" t="s">
        <v>348</v>
      </c>
      <c r="H320" s="611">
        <v>0</v>
      </c>
      <c r="I320" s="611">
        <v>0</v>
      </c>
      <c r="J320" s="611">
        <v>0</v>
      </c>
      <c r="K320" s="611">
        <v>0</v>
      </c>
      <c r="L320" s="611">
        <v>13.139983307328627</v>
      </c>
      <c r="M320" s="611">
        <v>0</v>
      </c>
      <c r="N320" s="611">
        <v>0</v>
      </c>
      <c r="O320" s="611">
        <v>0</v>
      </c>
      <c r="P320" s="611">
        <v>38.572952964760191</v>
      </c>
      <c r="Q320" s="611">
        <v>15.065399481770232</v>
      </c>
      <c r="R320" s="611">
        <v>0</v>
      </c>
      <c r="S320" s="611">
        <v>4.3938190957025354</v>
      </c>
      <c r="T320" s="611">
        <v>0</v>
      </c>
      <c r="U320" s="611">
        <v>11.616680925661079</v>
      </c>
      <c r="V320" s="611">
        <v>0</v>
      </c>
      <c r="W320" s="611">
        <v>-76.1057449740875</v>
      </c>
      <c r="X320" s="611">
        <v>0</v>
      </c>
      <c r="Y320" s="619">
        <v>6.6830908011351795</v>
      </c>
      <c r="Z320" s="51"/>
    </row>
    <row r="321" spans="1:26" x14ac:dyDescent="0.25">
      <c r="A321" s="51">
        <v>17</v>
      </c>
      <c r="B321" s="51">
        <v>2035</v>
      </c>
      <c r="C321" s="51" t="s">
        <v>47</v>
      </c>
      <c r="D321" s="51" t="s">
        <v>497</v>
      </c>
      <c r="E321" s="51" t="s">
        <v>564</v>
      </c>
      <c r="F321" s="51"/>
      <c r="G321" s="618" t="s">
        <v>349</v>
      </c>
      <c r="H321" s="611">
        <v>0</v>
      </c>
      <c r="I321" s="611">
        <v>0</v>
      </c>
      <c r="J321" s="611">
        <v>0</v>
      </c>
      <c r="K321" s="611">
        <v>0</v>
      </c>
      <c r="L321" s="611">
        <v>0</v>
      </c>
      <c r="M321" s="611">
        <v>0</v>
      </c>
      <c r="N321" s="611">
        <v>0</v>
      </c>
      <c r="O321" s="611">
        <v>0</v>
      </c>
      <c r="P321" s="611">
        <v>145.08033558286297</v>
      </c>
      <c r="Q321" s="611">
        <v>0</v>
      </c>
      <c r="R321" s="611">
        <v>0</v>
      </c>
      <c r="S321" s="611">
        <v>-79.794184570574629</v>
      </c>
      <c r="T321" s="611">
        <v>0</v>
      </c>
      <c r="U321" s="611">
        <v>0</v>
      </c>
      <c r="V321" s="611">
        <v>0</v>
      </c>
      <c r="W321" s="611">
        <v>0</v>
      </c>
      <c r="X321" s="611">
        <v>0</v>
      </c>
      <c r="Y321" s="619">
        <v>65.286151012288343</v>
      </c>
      <c r="Z321" s="51"/>
    </row>
    <row r="322" spans="1:26" x14ac:dyDescent="0.25">
      <c r="A322" s="51">
        <v>18</v>
      </c>
      <c r="B322" s="51">
        <v>2035</v>
      </c>
      <c r="C322" s="51" t="s">
        <v>47</v>
      </c>
      <c r="D322" s="51" t="s">
        <v>498</v>
      </c>
      <c r="E322" s="51" t="s">
        <v>564</v>
      </c>
      <c r="F322" s="51"/>
      <c r="G322" s="618" t="s">
        <v>350</v>
      </c>
      <c r="H322" s="611">
        <v>0</v>
      </c>
      <c r="I322" s="611">
        <v>0</v>
      </c>
      <c r="J322" s="611">
        <v>0</v>
      </c>
      <c r="K322" s="611">
        <v>0</v>
      </c>
      <c r="L322" s="611">
        <v>0</v>
      </c>
      <c r="M322" s="611">
        <v>-2.1621292756423931</v>
      </c>
      <c r="N322" s="611">
        <v>0</v>
      </c>
      <c r="O322" s="611">
        <v>0</v>
      </c>
      <c r="P322" s="611">
        <v>0</v>
      </c>
      <c r="Q322" s="611">
        <v>0</v>
      </c>
      <c r="R322" s="611">
        <v>0</v>
      </c>
      <c r="S322" s="611">
        <v>0</v>
      </c>
      <c r="T322" s="611">
        <v>0</v>
      </c>
      <c r="U322" s="611">
        <v>0</v>
      </c>
      <c r="V322" s="611">
        <v>0</v>
      </c>
      <c r="W322" s="611">
        <v>0</v>
      </c>
      <c r="X322" s="611">
        <v>3.0029573272811017</v>
      </c>
      <c r="Y322" s="619">
        <v>0.84082805163870855</v>
      </c>
      <c r="Z322" s="51"/>
    </row>
    <row r="323" spans="1:26" x14ac:dyDescent="0.25">
      <c r="A323" s="51">
        <v>19</v>
      </c>
      <c r="B323" s="51">
        <v>2035</v>
      </c>
      <c r="C323" s="51" t="s">
        <v>47</v>
      </c>
      <c r="D323" s="51" t="s">
        <v>499</v>
      </c>
      <c r="E323" s="51" t="s">
        <v>564</v>
      </c>
      <c r="F323" s="51"/>
      <c r="G323" s="618" t="s">
        <v>72</v>
      </c>
      <c r="H323" s="611">
        <v>0</v>
      </c>
      <c r="I323" s="611">
        <v>335.24810979182712</v>
      </c>
      <c r="J323" s="611">
        <v>-331.90898271273255</v>
      </c>
      <c r="K323" s="611">
        <v>0</v>
      </c>
      <c r="L323" s="611">
        <v>0</v>
      </c>
      <c r="M323" s="611">
        <v>0</v>
      </c>
      <c r="N323" s="611">
        <v>0</v>
      </c>
      <c r="O323" s="611">
        <v>0</v>
      </c>
      <c r="P323" s="611">
        <v>0</v>
      </c>
      <c r="Q323" s="611">
        <v>0</v>
      </c>
      <c r="R323" s="611">
        <v>0</v>
      </c>
      <c r="S323" s="611">
        <v>0</v>
      </c>
      <c r="T323" s="611">
        <v>0</v>
      </c>
      <c r="U323" s="611">
        <v>0</v>
      </c>
      <c r="V323" s="611">
        <v>0</v>
      </c>
      <c r="W323" s="611">
        <v>0</v>
      </c>
      <c r="X323" s="611">
        <v>0</v>
      </c>
      <c r="Y323" s="619">
        <v>3.3391270790945669</v>
      </c>
      <c r="Z323" s="51"/>
    </row>
    <row r="324" spans="1:26" x14ac:dyDescent="0.25">
      <c r="A324" s="51">
        <v>20</v>
      </c>
      <c r="B324" s="51">
        <v>2035</v>
      </c>
      <c r="C324" s="51" t="s">
        <v>47</v>
      </c>
      <c r="D324" s="51" t="s">
        <v>500</v>
      </c>
      <c r="E324" s="51" t="s">
        <v>564</v>
      </c>
      <c r="F324" s="51"/>
      <c r="G324" s="618" t="s">
        <v>351</v>
      </c>
      <c r="H324" s="611">
        <v>0</v>
      </c>
      <c r="I324" s="611">
        <v>0</v>
      </c>
      <c r="J324" s="611">
        <v>0</v>
      </c>
      <c r="K324" s="611">
        <v>0</v>
      </c>
      <c r="L324" s="611">
        <v>0</v>
      </c>
      <c r="M324" s="611">
        <v>0</v>
      </c>
      <c r="N324" s="611">
        <v>0</v>
      </c>
      <c r="O324" s="611">
        <v>0</v>
      </c>
      <c r="P324" s="611">
        <v>164.51618008676445</v>
      </c>
      <c r="Q324" s="611">
        <v>0</v>
      </c>
      <c r="R324" s="611">
        <v>-90.483899047720456</v>
      </c>
      <c r="S324" s="611">
        <v>0</v>
      </c>
      <c r="T324" s="611">
        <v>0</v>
      </c>
      <c r="U324" s="611">
        <v>0</v>
      </c>
      <c r="V324" s="611">
        <v>0</v>
      </c>
      <c r="W324" s="611">
        <v>0</v>
      </c>
      <c r="X324" s="611">
        <v>0</v>
      </c>
      <c r="Y324" s="619">
        <v>74.032281039043994</v>
      </c>
      <c r="Z324" s="51"/>
    </row>
    <row r="325" spans="1:26" x14ac:dyDescent="0.25">
      <c r="A325" s="51">
        <v>21</v>
      </c>
      <c r="B325" s="51">
        <v>2035</v>
      </c>
      <c r="C325" s="51" t="s">
        <v>47</v>
      </c>
      <c r="D325" s="51" t="s">
        <v>501</v>
      </c>
      <c r="E325" s="51" t="s">
        <v>564</v>
      </c>
      <c r="F325" s="51"/>
      <c r="G325" s="618" t="s">
        <v>352</v>
      </c>
      <c r="H325" s="611">
        <v>0</v>
      </c>
      <c r="I325" s="611">
        <v>0</v>
      </c>
      <c r="J325" s="611">
        <v>0</v>
      </c>
      <c r="K325" s="611">
        <v>-7.5393332523643162</v>
      </c>
      <c r="L325" s="611">
        <v>0</v>
      </c>
      <c r="M325" s="611">
        <v>0</v>
      </c>
      <c r="N325" s="611">
        <v>0</v>
      </c>
      <c r="O325" s="611">
        <v>0</v>
      </c>
      <c r="P325" s="611">
        <v>0</v>
      </c>
      <c r="Q325" s="611">
        <v>0</v>
      </c>
      <c r="R325" s="611">
        <v>0</v>
      </c>
      <c r="S325" s="611">
        <v>0</v>
      </c>
      <c r="T325" s="611">
        <v>0</v>
      </c>
      <c r="U325" s="611">
        <v>0</v>
      </c>
      <c r="V325" s="611">
        <v>0</v>
      </c>
      <c r="W325" s="611">
        <v>0</v>
      </c>
      <c r="X325" s="611">
        <v>9.8694251246207116</v>
      </c>
      <c r="Y325" s="619">
        <v>2.3300918722563955</v>
      </c>
      <c r="Z325" s="51"/>
    </row>
    <row r="326" spans="1:26" x14ac:dyDescent="0.25">
      <c r="A326" s="51">
        <v>22</v>
      </c>
      <c r="B326" s="51">
        <v>2035</v>
      </c>
      <c r="C326" s="51" t="s">
        <v>47</v>
      </c>
      <c r="D326" s="51" t="s">
        <v>502</v>
      </c>
      <c r="E326" s="51" t="s">
        <v>564</v>
      </c>
      <c r="F326" s="51"/>
      <c r="G326" s="618" t="s">
        <v>73</v>
      </c>
      <c r="H326" s="611">
        <v>0</v>
      </c>
      <c r="I326" s="611">
        <v>0</v>
      </c>
      <c r="J326" s="611">
        <v>0</v>
      </c>
      <c r="K326" s="611">
        <v>0</v>
      </c>
      <c r="L326" s="611">
        <v>0</v>
      </c>
      <c r="M326" s="611">
        <v>0</v>
      </c>
      <c r="N326" s="611">
        <v>0</v>
      </c>
      <c r="O326" s="611">
        <v>0</v>
      </c>
      <c r="P326" s="611">
        <v>0</v>
      </c>
      <c r="Q326" s="611">
        <v>0</v>
      </c>
      <c r="R326" s="611">
        <v>0</v>
      </c>
      <c r="S326" s="611">
        <v>0</v>
      </c>
      <c r="T326" s="611">
        <v>0</v>
      </c>
      <c r="U326" s="611">
        <v>0</v>
      </c>
      <c r="V326" s="611">
        <v>60.132492632658192</v>
      </c>
      <c r="W326" s="611">
        <v>0</v>
      </c>
      <c r="X326" s="611">
        <v>-40.138438832299343</v>
      </c>
      <c r="Y326" s="619">
        <v>19.994053800358849</v>
      </c>
      <c r="Z326" s="51"/>
    </row>
    <row r="327" spans="1:26" x14ac:dyDescent="0.25">
      <c r="A327" s="51">
        <v>23</v>
      </c>
      <c r="B327" s="51">
        <v>2035</v>
      </c>
      <c r="C327" s="51" t="s">
        <v>47</v>
      </c>
      <c r="D327" s="51" t="s">
        <v>503</v>
      </c>
      <c r="E327" s="51" t="s">
        <v>564</v>
      </c>
      <c r="F327" s="51"/>
      <c r="G327" s="618" t="s">
        <v>353</v>
      </c>
      <c r="H327" s="611">
        <v>8.1657801562499994</v>
      </c>
      <c r="I327" s="611">
        <v>-11.749951844979407</v>
      </c>
      <c r="J327" s="611">
        <v>15.302006125146733</v>
      </c>
      <c r="K327" s="611">
        <v>0</v>
      </c>
      <c r="L327" s="611">
        <v>0</v>
      </c>
      <c r="M327" s="611">
        <v>0</v>
      </c>
      <c r="N327" s="611">
        <v>0</v>
      </c>
      <c r="O327" s="611">
        <v>0</v>
      </c>
      <c r="P327" s="611">
        <v>0</v>
      </c>
      <c r="Q327" s="611">
        <v>0</v>
      </c>
      <c r="R327" s="611">
        <v>0</v>
      </c>
      <c r="S327" s="611">
        <v>0</v>
      </c>
      <c r="T327" s="611">
        <v>0</v>
      </c>
      <c r="U327" s="611">
        <v>0</v>
      </c>
      <c r="V327" s="611">
        <v>0</v>
      </c>
      <c r="W327" s="611">
        <v>0</v>
      </c>
      <c r="X327" s="611">
        <v>0</v>
      </c>
      <c r="Y327" s="619">
        <v>11.717834436417325</v>
      </c>
      <c r="Z327" s="51"/>
    </row>
    <row r="328" spans="1:26" x14ac:dyDescent="0.25">
      <c r="A328" s="51">
        <v>24</v>
      </c>
      <c r="B328" s="51">
        <v>2035</v>
      </c>
      <c r="C328" s="51" t="s">
        <v>47</v>
      </c>
      <c r="D328" s="51" t="s">
        <v>504</v>
      </c>
      <c r="E328" s="51" t="s">
        <v>564</v>
      </c>
      <c r="F328" s="51"/>
      <c r="G328" s="618" t="s">
        <v>75</v>
      </c>
      <c r="H328" s="611">
        <v>3.1755811718750002</v>
      </c>
      <c r="I328" s="611">
        <v>0</v>
      </c>
      <c r="J328" s="611">
        <v>11.521572645855153</v>
      </c>
      <c r="K328" s="611">
        <v>0</v>
      </c>
      <c r="L328" s="611">
        <v>3.9220454388203256</v>
      </c>
      <c r="M328" s="611">
        <v>0</v>
      </c>
      <c r="N328" s="611">
        <v>0</v>
      </c>
      <c r="O328" s="611">
        <v>0</v>
      </c>
      <c r="P328" s="611">
        <v>0</v>
      </c>
      <c r="Q328" s="611">
        <v>0</v>
      </c>
      <c r="R328" s="611">
        <v>0</v>
      </c>
      <c r="S328" s="611">
        <v>1.4506195458650522</v>
      </c>
      <c r="T328" s="611">
        <v>0</v>
      </c>
      <c r="U328" s="611">
        <v>0</v>
      </c>
      <c r="V328" s="611">
        <v>60.761806133767948</v>
      </c>
      <c r="W328" s="611">
        <v>0</v>
      </c>
      <c r="X328" s="611">
        <v>0</v>
      </c>
      <c r="Y328" s="619">
        <v>80.831624936183488</v>
      </c>
      <c r="Z328" s="51"/>
    </row>
    <row r="329" spans="1:26" x14ac:dyDescent="0.25">
      <c r="A329" s="51">
        <v>25</v>
      </c>
      <c r="B329" s="51">
        <v>2035</v>
      </c>
      <c r="C329" s="51" t="s">
        <v>47</v>
      </c>
      <c r="D329" s="51" t="s">
        <v>505</v>
      </c>
      <c r="E329" s="51" t="s">
        <v>564</v>
      </c>
      <c r="F329" s="51"/>
      <c r="G329" s="618" t="s">
        <v>76</v>
      </c>
      <c r="H329" s="611">
        <v>0</v>
      </c>
      <c r="I329" s="611">
        <v>0</v>
      </c>
      <c r="J329" s="611">
        <v>0</v>
      </c>
      <c r="K329" s="611">
        <v>0</v>
      </c>
      <c r="L329" s="611">
        <v>2.391047448048301</v>
      </c>
      <c r="M329" s="611">
        <v>0</v>
      </c>
      <c r="N329" s="611">
        <v>0</v>
      </c>
      <c r="O329" s="611">
        <v>0</v>
      </c>
      <c r="P329" s="611">
        <v>0</v>
      </c>
      <c r="Q329" s="611">
        <v>0</v>
      </c>
      <c r="R329" s="611">
        <v>0</v>
      </c>
      <c r="S329" s="611">
        <v>0.88436001503156347</v>
      </c>
      <c r="T329" s="611">
        <v>0</v>
      </c>
      <c r="U329" s="611">
        <v>0</v>
      </c>
      <c r="V329" s="611">
        <v>51.987762134190696</v>
      </c>
      <c r="W329" s="611">
        <v>5.9019765628136174</v>
      </c>
      <c r="X329" s="611">
        <v>0</v>
      </c>
      <c r="Y329" s="619">
        <v>61.165146160084177</v>
      </c>
      <c r="Z329" s="51"/>
    </row>
    <row r="330" spans="1:26" x14ac:dyDescent="0.25">
      <c r="A330" s="51">
        <v>26</v>
      </c>
      <c r="B330" s="51">
        <v>2035</v>
      </c>
      <c r="C330" s="51" t="s">
        <v>47</v>
      </c>
      <c r="D330" s="51" t="s">
        <v>506</v>
      </c>
      <c r="E330" s="51" t="s">
        <v>564</v>
      </c>
      <c r="F330" s="51"/>
      <c r="G330" s="614" t="s">
        <v>77</v>
      </c>
      <c r="H330" s="615">
        <v>11.341361328125</v>
      </c>
      <c r="I330" s="615">
        <v>323.4981579468477</v>
      </c>
      <c r="J330" s="615">
        <v>-304.28318665612187</v>
      </c>
      <c r="K330" s="615">
        <v>-7.5393332523643162</v>
      </c>
      <c r="L330" s="615">
        <v>53.459162594197252</v>
      </c>
      <c r="M330" s="615">
        <v>-2.1621292756423931</v>
      </c>
      <c r="N330" s="615">
        <v>1142.8003999999999</v>
      </c>
      <c r="O330" s="615">
        <v>315.61624303705946</v>
      </c>
      <c r="P330" s="615">
        <v>371.39184660893159</v>
      </c>
      <c r="Q330" s="615">
        <v>15.849382290300714</v>
      </c>
      <c r="R330" s="615">
        <v>-85.454765317367901</v>
      </c>
      <c r="S330" s="615">
        <v>-61.616951896156763</v>
      </c>
      <c r="T330" s="615">
        <v>0</v>
      </c>
      <c r="U330" s="615">
        <v>14.411080235988393</v>
      </c>
      <c r="V330" s="615">
        <v>-584.82967435222236</v>
      </c>
      <c r="W330" s="615">
        <v>-70.203768411273884</v>
      </c>
      <c r="X330" s="615">
        <v>-27.266056380397529</v>
      </c>
      <c r="Y330" s="615">
        <v>1047.7678217586824</v>
      </c>
      <c r="Z330" s="51"/>
    </row>
    <row r="331" spans="1:26" x14ac:dyDescent="0.25">
      <c r="A331" s="51"/>
      <c r="B331" s="51"/>
      <c r="C331" s="51"/>
      <c r="D331" s="51"/>
      <c r="E331" s="51"/>
      <c r="F331" s="51"/>
      <c r="G331" s="616"/>
      <c r="H331" s="617"/>
      <c r="I331" s="617"/>
      <c r="J331" s="617"/>
      <c r="K331" s="617"/>
      <c r="L331" s="623"/>
      <c r="M331" s="617"/>
      <c r="N331" s="617"/>
      <c r="O331" s="617"/>
      <c r="P331" s="617"/>
      <c r="Q331" s="617"/>
      <c r="R331" s="617"/>
      <c r="S331" s="617"/>
      <c r="T331" s="617"/>
      <c r="U331" s="617"/>
      <c r="V331" s="617"/>
      <c r="W331" s="617"/>
      <c r="X331" s="617"/>
      <c r="Y331" s="617"/>
      <c r="Z331" s="51"/>
    </row>
    <row r="332" spans="1:26" x14ac:dyDescent="0.25">
      <c r="A332" s="51">
        <v>28</v>
      </c>
      <c r="B332" s="51">
        <v>2035</v>
      </c>
      <c r="C332" s="51" t="s">
        <v>47</v>
      </c>
      <c r="D332" s="51" t="s">
        <v>507</v>
      </c>
      <c r="E332" s="51" t="s">
        <v>564</v>
      </c>
      <c r="F332" s="51"/>
      <c r="G332" s="618" t="s">
        <v>78</v>
      </c>
      <c r="H332" s="611">
        <v>3.6562282006850468</v>
      </c>
      <c r="I332" s="611">
        <v>0</v>
      </c>
      <c r="J332" s="611">
        <v>9.7376785306283384</v>
      </c>
      <c r="K332" s="611">
        <v>0</v>
      </c>
      <c r="L332" s="611">
        <v>61.385022781931873</v>
      </c>
      <c r="M332" s="611">
        <v>0</v>
      </c>
      <c r="N332" s="611">
        <v>0</v>
      </c>
      <c r="O332" s="611">
        <v>0</v>
      </c>
      <c r="P332" s="611">
        <v>21.686124483212218</v>
      </c>
      <c r="Q332" s="611">
        <v>7.1035846364336246</v>
      </c>
      <c r="R332" s="611">
        <v>1.1432225445669904</v>
      </c>
      <c r="S332" s="611">
        <v>22.738015311990583</v>
      </c>
      <c r="T332" s="611">
        <v>9.2526142578124997</v>
      </c>
      <c r="U332" s="611">
        <v>6.9244826847420892E-4</v>
      </c>
      <c r="V332" s="611">
        <v>162.27713271483609</v>
      </c>
      <c r="W332" s="611">
        <v>19.928077987492124</v>
      </c>
      <c r="X332" s="611">
        <v>7.1014345703124997</v>
      </c>
      <c r="Y332" s="619">
        <v>326.00982846817038</v>
      </c>
      <c r="Z332" s="51"/>
    </row>
    <row r="333" spans="1:26" x14ac:dyDescent="0.25">
      <c r="A333" s="51">
        <v>29</v>
      </c>
      <c r="B333" s="51">
        <v>2035</v>
      </c>
      <c r="C333" s="51" t="s">
        <v>47</v>
      </c>
      <c r="D333" s="51" t="s">
        <v>508</v>
      </c>
      <c r="E333" s="51" t="s">
        <v>564</v>
      </c>
      <c r="F333" s="51"/>
      <c r="G333" s="618" t="s">
        <v>79</v>
      </c>
      <c r="H333" s="611">
        <v>0</v>
      </c>
      <c r="I333" s="611">
        <v>0</v>
      </c>
      <c r="J333" s="611">
        <v>192.91287296266353</v>
      </c>
      <c r="K333" s="611">
        <v>0.64331320573206352</v>
      </c>
      <c r="L333" s="611">
        <v>5.6449684818952051</v>
      </c>
      <c r="M333" s="611">
        <v>0</v>
      </c>
      <c r="N333" s="611">
        <v>0</v>
      </c>
      <c r="O333" s="611">
        <v>0</v>
      </c>
      <c r="P333" s="611">
        <v>0</v>
      </c>
      <c r="Q333" s="611">
        <v>0</v>
      </c>
      <c r="R333" s="611">
        <v>55.124968461757305</v>
      </c>
      <c r="S333" s="611">
        <v>2.0878650549475419</v>
      </c>
      <c r="T333" s="611">
        <v>0</v>
      </c>
      <c r="U333" s="611">
        <v>0</v>
      </c>
      <c r="V333" s="611">
        <v>62.922987609450331</v>
      </c>
      <c r="W333" s="611">
        <v>0</v>
      </c>
      <c r="X333" s="611">
        <v>2.568426650221276</v>
      </c>
      <c r="Y333" s="619">
        <v>321.90540242666725</v>
      </c>
      <c r="Z333" s="51"/>
    </row>
    <row r="334" spans="1:26" x14ac:dyDescent="0.25">
      <c r="A334" s="51">
        <v>30</v>
      </c>
      <c r="B334" s="51">
        <v>2035</v>
      </c>
      <c r="C334" s="51" t="s">
        <v>47</v>
      </c>
      <c r="D334" s="51" t="s">
        <v>509</v>
      </c>
      <c r="E334" s="51" t="s">
        <v>564</v>
      </c>
      <c r="F334" s="51"/>
      <c r="G334" s="618" t="s">
        <v>80</v>
      </c>
      <c r="H334" s="611">
        <v>0</v>
      </c>
      <c r="I334" s="611">
        <v>0</v>
      </c>
      <c r="J334" s="611">
        <v>3.0588151633352934</v>
      </c>
      <c r="K334" s="611">
        <v>0</v>
      </c>
      <c r="L334" s="611">
        <v>50.240683773925028</v>
      </c>
      <c r="M334" s="611">
        <v>0</v>
      </c>
      <c r="N334" s="611">
        <v>0</v>
      </c>
      <c r="O334" s="611">
        <v>0</v>
      </c>
      <c r="P334" s="611">
        <v>46.022040679103164</v>
      </c>
      <c r="Q334" s="611">
        <v>0</v>
      </c>
      <c r="R334" s="611">
        <v>0</v>
      </c>
      <c r="S334" s="611">
        <v>18.582170710903778</v>
      </c>
      <c r="T334" s="611">
        <v>77.360476183086249</v>
      </c>
      <c r="U334" s="611">
        <v>2.3434458557967961</v>
      </c>
      <c r="V334" s="611">
        <v>157.44250001464576</v>
      </c>
      <c r="W334" s="611">
        <v>32.016533802555671</v>
      </c>
      <c r="X334" s="611">
        <v>0</v>
      </c>
      <c r="Y334" s="619">
        <v>387.06666618335174</v>
      </c>
      <c r="Z334" s="51"/>
    </row>
    <row r="335" spans="1:26" x14ac:dyDescent="0.25">
      <c r="A335" s="51">
        <v>31</v>
      </c>
      <c r="B335" s="51">
        <v>2035</v>
      </c>
      <c r="C335" s="51" t="s">
        <v>47</v>
      </c>
      <c r="D335" s="51" t="s">
        <v>510</v>
      </c>
      <c r="E335" s="51" t="s">
        <v>564</v>
      </c>
      <c r="F335" s="51"/>
      <c r="G335" s="618" t="s">
        <v>81</v>
      </c>
      <c r="H335" s="611">
        <v>0</v>
      </c>
      <c r="I335" s="611">
        <v>0</v>
      </c>
      <c r="J335" s="611">
        <v>2.0801741944522929</v>
      </c>
      <c r="K335" s="611">
        <v>0</v>
      </c>
      <c r="L335" s="611">
        <v>30.779647697603366</v>
      </c>
      <c r="M335" s="611">
        <v>0</v>
      </c>
      <c r="N335" s="611">
        <v>0</v>
      </c>
      <c r="O335" s="611">
        <v>0</v>
      </c>
      <c r="P335" s="611">
        <v>0.59</v>
      </c>
      <c r="Q335" s="611">
        <v>0</v>
      </c>
      <c r="R335" s="611">
        <v>0</v>
      </c>
      <c r="S335" s="611">
        <v>11.384253258017685</v>
      </c>
      <c r="T335" s="611">
        <v>40.066741522569053</v>
      </c>
      <c r="U335" s="611">
        <v>2.9715949878275159</v>
      </c>
      <c r="V335" s="611">
        <v>115.62003773225165</v>
      </c>
      <c r="W335" s="611">
        <v>18.259156621226083</v>
      </c>
      <c r="X335" s="611">
        <v>0</v>
      </c>
      <c r="Y335" s="619">
        <v>221.75160601394765</v>
      </c>
      <c r="Z335" s="51"/>
    </row>
    <row r="336" spans="1:26" x14ac:dyDescent="0.25">
      <c r="A336" s="51">
        <v>32</v>
      </c>
      <c r="B336" s="51">
        <v>2035</v>
      </c>
      <c r="C336" s="51" t="s">
        <v>47</v>
      </c>
      <c r="D336" s="51" t="s">
        <v>511</v>
      </c>
      <c r="E336" s="51" t="s">
        <v>564</v>
      </c>
      <c r="F336" s="51"/>
      <c r="G336" s="618" t="s">
        <v>82</v>
      </c>
      <c r="H336" s="611">
        <v>0</v>
      </c>
      <c r="I336" s="611">
        <v>0</v>
      </c>
      <c r="J336" s="611">
        <v>22.031278980564299</v>
      </c>
      <c r="K336" s="611">
        <v>0</v>
      </c>
      <c r="L336" s="611">
        <v>1.3927446480494259</v>
      </c>
      <c r="M336" s="611">
        <v>0</v>
      </c>
      <c r="N336" s="611">
        <v>0</v>
      </c>
      <c r="O336" s="611">
        <v>0</v>
      </c>
      <c r="P336" s="611">
        <v>2.5</v>
      </c>
      <c r="Q336" s="611">
        <v>0</v>
      </c>
      <c r="R336" s="611">
        <v>9.0259587205805474</v>
      </c>
      <c r="S336" s="611">
        <v>0.51512473284019866</v>
      </c>
      <c r="T336" s="611">
        <v>0.75</v>
      </c>
      <c r="U336" s="611">
        <v>0.96290247555165809</v>
      </c>
      <c r="V336" s="611">
        <v>7.0294917682226847</v>
      </c>
      <c r="W336" s="611">
        <v>0</v>
      </c>
      <c r="X336" s="611">
        <v>0.34940873791150007</v>
      </c>
      <c r="Y336" s="619">
        <v>44.556910063720316</v>
      </c>
      <c r="Z336" s="51"/>
    </row>
    <row r="337" spans="1:26" x14ac:dyDescent="0.25">
      <c r="A337" s="51">
        <v>33</v>
      </c>
      <c r="B337" s="51">
        <v>2035</v>
      </c>
      <c r="C337" s="51" t="s">
        <v>47</v>
      </c>
      <c r="D337" s="51" t="s">
        <v>512</v>
      </c>
      <c r="E337" s="51" t="s">
        <v>564</v>
      </c>
      <c r="F337" s="51"/>
      <c r="G337" s="618" t="s">
        <v>354</v>
      </c>
      <c r="H337" s="611">
        <v>0</v>
      </c>
      <c r="I337" s="611">
        <v>0</v>
      </c>
      <c r="J337" s="611">
        <v>0</v>
      </c>
      <c r="K337" s="611">
        <v>0</v>
      </c>
      <c r="L337" s="611">
        <v>0</v>
      </c>
      <c r="M337" s="611">
        <v>0</v>
      </c>
      <c r="N337" s="611">
        <v>0</v>
      </c>
      <c r="O337" s="611">
        <v>0</v>
      </c>
      <c r="P337" s="611">
        <v>0</v>
      </c>
      <c r="Q337" s="611">
        <v>0</v>
      </c>
      <c r="R337" s="611">
        <v>0</v>
      </c>
      <c r="S337" s="611">
        <v>0</v>
      </c>
      <c r="T337" s="611">
        <v>0</v>
      </c>
      <c r="U337" s="611">
        <v>0</v>
      </c>
      <c r="V337" s="611">
        <v>0.76160000000000005</v>
      </c>
      <c r="W337" s="611">
        <v>0</v>
      </c>
      <c r="X337" s="611">
        <v>0</v>
      </c>
      <c r="Y337" s="619">
        <v>0.76160000000000005</v>
      </c>
      <c r="Z337" s="51"/>
    </row>
    <row r="338" spans="1:26" x14ac:dyDescent="0.25">
      <c r="A338" s="51">
        <v>34</v>
      </c>
      <c r="B338" s="51">
        <v>2035</v>
      </c>
      <c r="C338" s="51" t="s">
        <v>47</v>
      </c>
      <c r="D338" s="51" t="s">
        <v>513</v>
      </c>
      <c r="E338" s="51" t="s">
        <v>564</v>
      </c>
      <c r="F338" s="51"/>
      <c r="G338" s="614" t="s">
        <v>83</v>
      </c>
      <c r="H338" s="615">
        <v>3.6562282006850468</v>
      </c>
      <c r="I338" s="615">
        <v>0</v>
      </c>
      <c r="J338" s="615">
        <v>229.82081983164375</v>
      </c>
      <c r="K338" s="615">
        <v>0.64331320573206352</v>
      </c>
      <c r="L338" s="615">
        <v>149.44306738340487</v>
      </c>
      <c r="M338" s="615">
        <v>0</v>
      </c>
      <c r="N338" s="615">
        <v>0</v>
      </c>
      <c r="O338" s="615">
        <v>0</v>
      </c>
      <c r="P338" s="615">
        <v>70.798165162315385</v>
      </c>
      <c r="Q338" s="615">
        <v>7.1035846364336246</v>
      </c>
      <c r="R338" s="615">
        <v>65.294149726904834</v>
      </c>
      <c r="S338" s="615">
        <v>55.30742906869979</v>
      </c>
      <c r="T338" s="615">
        <v>127.42983196346779</v>
      </c>
      <c r="U338" s="615">
        <v>6.2786357674444444</v>
      </c>
      <c r="V338" s="615">
        <v>506.05374983940646</v>
      </c>
      <c r="W338" s="615">
        <v>70.20376841127387</v>
      </c>
      <c r="X338" s="615">
        <v>10.019269958445275</v>
      </c>
      <c r="Y338" s="615">
        <v>1302.0520131558574</v>
      </c>
      <c r="Z338" s="51"/>
    </row>
    <row r="339" spans="1:26" x14ac:dyDescent="0.25">
      <c r="A339" s="51">
        <v>35</v>
      </c>
      <c r="B339" s="51">
        <v>2035</v>
      </c>
      <c r="C339" s="51" t="s">
        <v>47</v>
      </c>
      <c r="D339" s="51" t="s">
        <v>514</v>
      </c>
      <c r="E339" s="51" t="s">
        <v>564</v>
      </c>
      <c r="F339" s="51"/>
      <c r="G339" s="610" t="s">
        <v>84</v>
      </c>
      <c r="H339" s="611">
        <v>0</v>
      </c>
      <c r="I339" s="611">
        <v>0</v>
      </c>
      <c r="J339" s="611">
        <v>104.6693916418363</v>
      </c>
      <c r="K339" s="611">
        <v>1.7600954722087971</v>
      </c>
      <c r="L339" s="611">
        <v>11.111186214134182</v>
      </c>
      <c r="M339" s="611">
        <v>0</v>
      </c>
      <c r="N339" s="611">
        <v>0</v>
      </c>
      <c r="O339" s="611">
        <v>0</v>
      </c>
      <c r="P339" s="611">
        <v>0.224904130238229</v>
      </c>
      <c r="Q339" s="611">
        <v>0</v>
      </c>
      <c r="R339" s="611">
        <v>14.54242018932838</v>
      </c>
      <c r="S339" s="611">
        <v>4.7506049603028071</v>
      </c>
      <c r="T339" s="611">
        <v>0</v>
      </c>
      <c r="U339" s="611">
        <v>0</v>
      </c>
      <c r="V339" s="611">
        <v>0</v>
      </c>
      <c r="W339" s="611">
        <v>0</v>
      </c>
      <c r="X339" s="611">
        <v>16.030988088411341</v>
      </c>
      <c r="Y339" s="619">
        <v>153.08959069646002</v>
      </c>
      <c r="Z339" s="51"/>
    </row>
    <row r="340" spans="1:26" x14ac:dyDescent="0.25">
      <c r="A340" s="51">
        <v>36</v>
      </c>
      <c r="B340" s="51">
        <v>2035</v>
      </c>
      <c r="C340" s="51" t="s">
        <v>47</v>
      </c>
      <c r="D340" s="51" t="s">
        <v>515</v>
      </c>
      <c r="E340" s="51" t="s">
        <v>564</v>
      </c>
      <c r="F340" s="51"/>
      <c r="G340" s="614" t="s">
        <v>85</v>
      </c>
      <c r="H340" s="615">
        <v>3.6562282006850468</v>
      </c>
      <c r="I340" s="615">
        <v>0</v>
      </c>
      <c r="J340" s="615">
        <v>334.49021147348003</v>
      </c>
      <c r="K340" s="615">
        <v>2.4034086779408605</v>
      </c>
      <c r="L340" s="615">
        <v>160.55425359753906</v>
      </c>
      <c r="M340" s="615">
        <v>0</v>
      </c>
      <c r="N340" s="615">
        <v>0</v>
      </c>
      <c r="O340" s="615">
        <v>0</v>
      </c>
      <c r="P340" s="615">
        <v>71.023069292553615</v>
      </c>
      <c r="Q340" s="615">
        <v>7.1035846364336246</v>
      </c>
      <c r="R340" s="615">
        <v>79.836569916233216</v>
      </c>
      <c r="S340" s="615">
        <v>60.058034029002599</v>
      </c>
      <c r="T340" s="615">
        <v>127.42983196346779</v>
      </c>
      <c r="U340" s="615">
        <v>6.2786357674444444</v>
      </c>
      <c r="V340" s="615">
        <v>506.05374983940646</v>
      </c>
      <c r="W340" s="615">
        <v>70.20376841127387</v>
      </c>
      <c r="X340" s="615">
        <v>26.050258046856616</v>
      </c>
      <c r="Y340" s="615">
        <v>1455.1416038523173</v>
      </c>
      <c r="Z340" s="51"/>
    </row>
    <row r="341" spans="1:26" x14ac:dyDescent="0.25">
      <c r="A341" s="51"/>
      <c r="B341" s="51"/>
      <c r="C341" s="51"/>
      <c r="D341" s="51"/>
      <c r="E341" s="51"/>
      <c r="F341" s="51"/>
      <c r="G341" s="51"/>
      <c r="H341" s="67">
        <v>0</v>
      </c>
      <c r="I341" s="67">
        <v>0</v>
      </c>
      <c r="J341" s="67">
        <v>0</v>
      </c>
      <c r="K341" s="67">
        <v>0</v>
      </c>
      <c r="L341" s="67">
        <v>0</v>
      </c>
      <c r="M341" s="67">
        <v>0</v>
      </c>
      <c r="N341" s="67">
        <v>0</v>
      </c>
      <c r="O341" s="67">
        <v>0</v>
      </c>
      <c r="P341" s="67">
        <v>0</v>
      </c>
      <c r="Q341" s="67">
        <v>-4.6787954190463665E-4</v>
      </c>
      <c r="R341" s="67">
        <v>0</v>
      </c>
      <c r="S341" s="67">
        <v>-3.1086244689504383E-15</v>
      </c>
      <c r="T341" s="67">
        <v>0</v>
      </c>
      <c r="U341" s="67">
        <v>0</v>
      </c>
      <c r="V341" s="67">
        <v>0</v>
      </c>
      <c r="W341" s="67">
        <v>-1.4210854715202004E-14</v>
      </c>
      <c r="X341" s="67">
        <v>1.7763568394002505E-15</v>
      </c>
      <c r="Y341" s="67">
        <v>-4.6787954170213197E-4</v>
      </c>
      <c r="Z341" s="51"/>
    </row>
    <row r="342" spans="1:26" x14ac:dyDescent="0.25">
      <c r="A342" s="51"/>
      <c r="B342" s="51"/>
      <c r="C342" s="51"/>
      <c r="D342" s="51"/>
      <c r="E342" s="51"/>
      <c r="F342" s="51"/>
      <c r="G342" s="51"/>
      <c r="H342" s="51"/>
      <c r="I342" s="51"/>
      <c r="J342" s="51"/>
      <c r="K342" s="67"/>
      <c r="L342" s="51"/>
      <c r="M342" s="51"/>
      <c r="N342" s="51"/>
      <c r="O342" s="51"/>
      <c r="P342" s="51"/>
      <c r="Q342" s="51"/>
      <c r="R342" s="51"/>
      <c r="S342" s="51"/>
      <c r="T342" s="51"/>
      <c r="U342" s="51"/>
      <c r="V342" s="51"/>
      <c r="W342" s="51"/>
      <c r="X342" s="51"/>
      <c r="Y342" s="51"/>
      <c r="Z342" s="51"/>
    </row>
    <row r="343" spans="1:26" x14ac:dyDescent="0.25">
      <c r="A343" s="606"/>
      <c r="B343" s="606"/>
      <c r="C343" s="606"/>
      <c r="D343" s="606"/>
      <c r="E343" s="606"/>
      <c r="F343" s="606"/>
      <c r="G343" s="607" t="s">
        <v>359</v>
      </c>
      <c r="H343" s="606"/>
      <c r="I343" s="606"/>
      <c r="J343" s="606"/>
      <c r="K343" s="682"/>
      <c r="L343" s="606"/>
      <c r="M343" s="606"/>
      <c r="N343" s="606"/>
      <c r="O343" s="606"/>
      <c r="P343" s="606"/>
      <c r="Q343" s="606"/>
      <c r="R343" s="606"/>
      <c r="S343" s="606"/>
      <c r="T343" s="606"/>
      <c r="U343" s="606"/>
      <c r="V343" s="606"/>
      <c r="W343" s="606"/>
      <c r="X343" s="606"/>
      <c r="Y343" s="606"/>
      <c r="Z343" s="606"/>
    </row>
    <row r="344" spans="1:26" x14ac:dyDescent="0.25">
      <c r="A344" s="51"/>
      <c r="B344" s="51"/>
      <c r="C344" s="51"/>
      <c r="D344" s="51"/>
      <c r="E344" s="51"/>
      <c r="F344" s="51"/>
      <c r="G344" s="51"/>
      <c r="H344" s="51"/>
      <c r="I344" s="51"/>
      <c r="J344" s="51"/>
      <c r="K344" s="67"/>
      <c r="L344" s="51"/>
      <c r="M344" s="51"/>
      <c r="N344" s="51"/>
      <c r="O344" s="51"/>
      <c r="P344" s="51"/>
      <c r="Q344" s="51"/>
      <c r="R344" s="51"/>
      <c r="S344" s="51"/>
      <c r="T344" s="51"/>
      <c r="U344" s="51"/>
      <c r="V344" s="51"/>
      <c r="W344" s="51"/>
      <c r="X344" s="51"/>
      <c r="Y344" s="51"/>
      <c r="Z344" s="51"/>
    </row>
    <row r="345" spans="1:26" x14ac:dyDescent="0.25">
      <c r="A345" s="51"/>
      <c r="B345" s="51"/>
      <c r="C345" s="51"/>
      <c r="D345" s="51"/>
      <c r="E345" s="51"/>
      <c r="F345" s="51"/>
      <c r="G345" s="764" t="s">
        <v>128</v>
      </c>
      <c r="H345" s="753" t="s">
        <v>42</v>
      </c>
      <c r="I345" s="753" t="s">
        <v>52</v>
      </c>
      <c r="J345" s="753" t="s">
        <v>53</v>
      </c>
      <c r="K345" s="766" t="s">
        <v>482</v>
      </c>
      <c r="L345" s="753" t="s">
        <v>32</v>
      </c>
      <c r="M345" s="753" t="s">
        <v>483</v>
      </c>
      <c r="N345" s="753" t="s">
        <v>20</v>
      </c>
      <c r="O345" s="753" t="s">
        <v>55</v>
      </c>
      <c r="P345" s="761" t="s">
        <v>56</v>
      </c>
      <c r="Q345" s="762"/>
      <c r="R345" s="762"/>
      <c r="S345" s="762"/>
      <c r="T345" s="762"/>
      <c r="U345" s="763"/>
      <c r="V345" s="753" t="s">
        <v>57</v>
      </c>
      <c r="W345" s="753" t="s">
        <v>58</v>
      </c>
      <c r="X345" s="753" t="s">
        <v>31</v>
      </c>
      <c r="Y345" s="753" t="s">
        <v>10</v>
      </c>
      <c r="Z345" s="51"/>
    </row>
    <row r="346" spans="1:26" ht="36" x14ac:dyDescent="0.25">
      <c r="A346" s="51"/>
      <c r="B346" s="51"/>
      <c r="C346" s="51"/>
      <c r="D346" s="51" t="s">
        <v>486</v>
      </c>
      <c r="E346" s="51"/>
      <c r="F346" s="51"/>
      <c r="G346" s="765"/>
      <c r="H346" s="754"/>
      <c r="I346" s="754"/>
      <c r="J346" s="754"/>
      <c r="K346" s="767"/>
      <c r="L346" s="754"/>
      <c r="M346" s="754"/>
      <c r="N346" s="754"/>
      <c r="O346" s="754"/>
      <c r="P346" s="608" t="s">
        <v>335</v>
      </c>
      <c r="Q346" s="608" t="s">
        <v>40</v>
      </c>
      <c r="R346" s="608" t="s">
        <v>343</v>
      </c>
      <c r="S346" s="608" t="s">
        <v>344</v>
      </c>
      <c r="T346" s="609" t="s">
        <v>345</v>
      </c>
      <c r="U346" s="608" t="s">
        <v>346</v>
      </c>
      <c r="V346" s="754"/>
      <c r="W346" s="754"/>
      <c r="X346" s="754"/>
      <c r="Y346" s="754"/>
      <c r="Z346" s="51"/>
    </row>
    <row r="347" spans="1:26" x14ac:dyDescent="0.25">
      <c r="A347" s="51">
        <v>6</v>
      </c>
      <c r="B347" s="51">
        <v>2038</v>
      </c>
      <c r="C347" s="51" t="s">
        <v>47</v>
      </c>
      <c r="D347" s="51" t="s">
        <v>487</v>
      </c>
      <c r="E347" s="51" t="s">
        <v>564</v>
      </c>
      <c r="F347" s="51"/>
      <c r="G347" s="610" t="s">
        <v>59</v>
      </c>
      <c r="H347" s="611">
        <v>0</v>
      </c>
      <c r="I347" s="611">
        <v>2.3260000000000005</v>
      </c>
      <c r="J347" s="611">
        <v>0</v>
      </c>
      <c r="K347" s="611">
        <v>0</v>
      </c>
      <c r="L347" s="611">
        <v>3.7216000000000006E-2</v>
      </c>
      <c r="M347" s="611">
        <v>0</v>
      </c>
      <c r="N347" s="612">
        <v>1162.199818181818</v>
      </c>
      <c r="O347" s="612">
        <v>371.91258763455278</v>
      </c>
      <c r="P347" s="612">
        <v>507.12326525352324</v>
      </c>
      <c r="Q347" s="612">
        <v>23.204926900148187</v>
      </c>
      <c r="R347" s="611">
        <v>1.5522078310841105</v>
      </c>
      <c r="S347" s="611">
        <v>0.16457898409976487</v>
      </c>
      <c r="T347" s="612">
        <v>139.98706275749188</v>
      </c>
      <c r="U347" s="612">
        <v>23.966420757725231</v>
      </c>
      <c r="V347" s="611">
        <v>0</v>
      </c>
      <c r="W347" s="611">
        <v>0</v>
      </c>
      <c r="X347" s="611">
        <v>0</v>
      </c>
      <c r="Y347" s="613">
        <v>2165.6022501068492</v>
      </c>
      <c r="Z347" s="51"/>
    </row>
    <row r="348" spans="1:26" x14ac:dyDescent="0.25">
      <c r="A348" s="51">
        <v>7</v>
      </c>
      <c r="B348" s="51">
        <v>2038</v>
      </c>
      <c r="C348" s="51" t="s">
        <v>47</v>
      </c>
      <c r="D348" s="51" t="s">
        <v>488</v>
      </c>
      <c r="E348" s="51" t="s">
        <v>564</v>
      </c>
      <c r="F348" s="51"/>
      <c r="G348" s="610" t="s">
        <v>60</v>
      </c>
      <c r="H348" s="611">
        <v>14.018688039101649</v>
      </c>
      <c r="I348" s="611">
        <v>270.8879796629484</v>
      </c>
      <c r="J348" s="611">
        <v>26.133881995731336</v>
      </c>
      <c r="K348" s="611">
        <v>0</v>
      </c>
      <c r="L348" s="611">
        <v>150.67334265438717</v>
      </c>
      <c r="M348" s="611">
        <v>0</v>
      </c>
      <c r="N348" s="611">
        <v>0</v>
      </c>
      <c r="O348" s="611">
        <v>0</v>
      </c>
      <c r="P348" s="611">
        <v>3.8185483520995893</v>
      </c>
      <c r="Q348" s="611">
        <v>0</v>
      </c>
      <c r="R348" s="611">
        <v>5.0715995071493687</v>
      </c>
      <c r="S348" s="611">
        <v>0</v>
      </c>
      <c r="T348" s="611">
        <v>0</v>
      </c>
      <c r="U348" s="611">
        <v>0</v>
      </c>
      <c r="V348" s="611">
        <v>0</v>
      </c>
      <c r="W348" s="611">
        <v>0</v>
      </c>
      <c r="X348" s="611">
        <v>0</v>
      </c>
      <c r="Y348" s="613">
        <v>470.6040402114175</v>
      </c>
      <c r="Z348" s="51"/>
    </row>
    <row r="349" spans="1:26" x14ac:dyDescent="0.25">
      <c r="A349" s="51">
        <v>8</v>
      </c>
      <c r="B349" s="51">
        <v>2038</v>
      </c>
      <c r="C349" s="51" t="s">
        <v>47</v>
      </c>
      <c r="D349" s="51" t="s">
        <v>489</v>
      </c>
      <c r="E349" s="51" t="s">
        <v>564</v>
      </c>
      <c r="F349" s="51"/>
      <c r="G349" s="610" t="s">
        <v>61</v>
      </c>
      <c r="H349" s="611">
        <v>0</v>
      </c>
      <c r="I349" s="611">
        <v>0</v>
      </c>
      <c r="J349" s="611">
        <v>3.1635560327380716</v>
      </c>
      <c r="K349" s="611">
        <v>-0.85627443515198287</v>
      </c>
      <c r="L349" s="611">
        <v>0</v>
      </c>
      <c r="M349" s="611">
        <v>0</v>
      </c>
      <c r="N349" s="611">
        <v>0</v>
      </c>
      <c r="O349" s="611">
        <v>0</v>
      </c>
      <c r="P349" s="611">
        <v>0</v>
      </c>
      <c r="Q349" s="611">
        <v>0</v>
      </c>
      <c r="R349" s="611">
        <v>0</v>
      </c>
      <c r="S349" s="611">
        <v>0</v>
      </c>
      <c r="T349" s="611">
        <v>0</v>
      </c>
      <c r="U349" s="611">
        <v>0</v>
      </c>
      <c r="V349" s="611">
        <v>-69.722313089236536</v>
      </c>
      <c r="W349" s="611">
        <v>0</v>
      </c>
      <c r="X349" s="611">
        <v>0</v>
      </c>
      <c r="Y349" s="613">
        <v>-67.415031491650453</v>
      </c>
      <c r="Z349" s="51"/>
    </row>
    <row r="350" spans="1:26" x14ac:dyDescent="0.25">
      <c r="A350" s="51">
        <v>9</v>
      </c>
      <c r="B350" s="51">
        <v>2038</v>
      </c>
      <c r="C350" s="51" t="s">
        <v>47</v>
      </c>
      <c r="D350" s="51" t="s">
        <v>490</v>
      </c>
      <c r="E350" s="51" t="s">
        <v>564</v>
      </c>
      <c r="F350" s="51"/>
      <c r="G350" s="610" t="s">
        <v>62</v>
      </c>
      <c r="H350" s="611">
        <v>0</v>
      </c>
      <c r="I350" s="611">
        <v>0</v>
      </c>
      <c r="J350" s="611">
        <v>-6.7125205563218922</v>
      </c>
      <c r="K350" s="611">
        <v>-3.2950395543749584</v>
      </c>
      <c r="L350" s="611">
        <v>-0.49987622776591634</v>
      </c>
      <c r="M350" s="611">
        <v>-2.9890617212740871</v>
      </c>
      <c r="N350" s="611">
        <v>0</v>
      </c>
      <c r="O350" s="611">
        <v>0</v>
      </c>
      <c r="P350" s="611">
        <v>0</v>
      </c>
      <c r="Q350" s="611">
        <v>0</v>
      </c>
      <c r="R350" s="611">
        <v>-1.2700508300617339</v>
      </c>
      <c r="S350" s="611">
        <v>-2.1176768711242038</v>
      </c>
      <c r="T350" s="611">
        <v>0</v>
      </c>
      <c r="U350" s="611">
        <v>0</v>
      </c>
      <c r="V350" s="611">
        <v>0</v>
      </c>
      <c r="W350" s="611">
        <v>0</v>
      </c>
      <c r="X350" s="611">
        <v>-0.96281875223876434</v>
      </c>
      <c r="Y350" s="613">
        <v>-17.847044513161556</v>
      </c>
      <c r="Z350" s="51"/>
    </row>
    <row r="351" spans="1:26" x14ac:dyDescent="0.25">
      <c r="A351" s="51">
        <v>10</v>
      </c>
      <c r="B351" s="51">
        <v>2038</v>
      </c>
      <c r="C351" s="51" t="s">
        <v>47</v>
      </c>
      <c r="D351" s="51" t="s">
        <v>491</v>
      </c>
      <c r="E351" s="51" t="s">
        <v>564</v>
      </c>
      <c r="F351" s="51"/>
      <c r="G351" s="610" t="s">
        <v>63</v>
      </c>
      <c r="H351" s="611">
        <v>0</v>
      </c>
      <c r="I351" s="611">
        <v>0</v>
      </c>
      <c r="J351" s="611">
        <v>-45.424019815542103</v>
      </c>
      <c r="K351" s="611">
        <v>-6.3379784988277912</v>
      </c>
      <c r="L351" s="611">
        <v>0</v>
      </c>
      <c r="M351" s="611">
        <v>0</v>
      </c>
      <c r="N351" s="611">
        <v>0</v>
      </c>
      <c r="O351" s="611">
        <v>0</v>
      </c>
      <c r="P351" s="611">
        <v>0</v>
      </c>
      <c r="Q351" s="611">
        <v>0</v>
      </c>
      <c r="R351" s="611">
        <v>-13.31780034386745</v>
      </c>
      <c r="S351" s="611">
        <v>0</v>
      </c>
      <c r="T351" s="611">
        <v>0</v>
      </c>
      <c r="U351" s="611">
        <v>0</v>
      </c>
      <c r="V351" s="611">
        <v>0</v>
      </c>
      <c r="W351" s="611">
        <v>0</v>
      </c>
      <c r="X351" s="611">
        <v>-1.794651350884874</v>
      </c>
      <c r="Y351" s="613">
        <v>-66.874450009122214</v>
      </c>
      <c r="Z351" s="51"/>
    </row>
    <row r="352" spans="1:26" x14ac:dyDescent="0.25">
      <c r="A352" s="51">
        <v>11</v>
      </c>
      <c r="B352" s="51">
        <v>2038</v>
      </c>
      <c r="C352" s="51" t="s">
        <v>47</v>
      </c>
      <c r="D352" s="51" t="s">
        <v>492</v>
      </c>
      <c r="E352" s="51" t="s">
        <v>564</v>
      </c>
      <c r="F352" s="51"/>
      <c r="G352" s="610" t="s">
        <v>64</v>
      </c>
      <c r="H352" s="611">
        <v>0</v>
      </c>
      <c r="I352" s="611">
        <v>0</v>
      </c>
      <c r="J352" s="611">
        <v>0</v>
      </c>
      <c r="K352" s="611">
        <v>0</v>
      </c>
      <c r="L352" s="611">
        <v>0</v>
      </c>
      <c r="M352" s="611">
        <v>0</v>
      </c>
      <c r="N352" s="611">
        <v>0</v>
      </c>
      <c r="O352" s="611">
        <v>0</v>
      </c>
      <c r="P352" s="611">
        <v>0</v>
      </c>
      <c r="Q352" s="611">
        <v>0</v>
      </c>
      <c r="R352" s="611">
        <v>0</v>
      </c>
      <c r="S352" s="611">
        <v>0</v>
      </c>
      <c r="T352" s="611">
        <v>0</v>
      </c>
      <c r="U352" s="611">
        <v>0</v>
      </c>
      <c r="V352" s="611">
        <v>0</v>
      </c>
      <c r="W352" s="611">
        <v>0</v>
      </c>
      <c r="X352" s="611">
        <v>0</v>
      </c>
      <c r="Y352" s="613">
        <v>0</v>
      </c>
      <c r="Z352" s="51"/>
    </row>
    <row r="353" spans="1:26" x14ac:dyDescent="0.25">
      <c r="A353" s="51">
        <v>12</v>
      </c>
      <c r="B353" s="51">
        <v>2038</v>
      </c>
      <c r="C353" s="51" t="s">
        <v>47</v>
      </c>
      <c r="D353" s="51" t="s">
        <v>493</v>
      </c>
      <c r="E353" s="51" t="s">
        <v>564</v>
      </c>
      <c r="F353" s="51"/>
      <c r="G353" s="614" t="s">
        <v>65</v>
      </c>
      <c r="H353" s="615">
        <v>14.018688039101649</v>
      </c>
      <c r="I353" s="615">
        <v>273.21397966294842</v>
      </c>
      <c r="J353" s="615">
        <v>-22.839102343394586</v>
      </c>
      <c r="K353" s="615">
        <v>-10.489292488354732</v>
      </c>
      <c r="L353" s="615">
        <v>150.21068242662125</v>
      </c>
      <c r="M353" s="615">
        <v>-2.9890617212740871</v>
      </c>
      <c r="N353" s="615">
        <v>1162.199818181818</v>
      </c>
      <c r="O353" s="615">
        <v>371.91258763455278</v>
      </c>
      <c r="P353" s="615">
        <v>510.94181360562283</v>
      </c>
      <c r="Q353" s="615">
        <v>23.204926900148187</v>
      </c>
      <c r="R353" s="615">
        <v>-7.9640438356957048</v>
      </c>
      <c r="S353" s="615">
        <v>-1.9530978870244389</v>
      </c>
      <c r="T353" s="615">
        <v>139.98706275749188</v>
      </c>
      <c r="U353" s="615">
        <v>23.966420757725231</v>
      </c>
      <c r="V353" s="615">
        <v>-69.722313089236536</v>
      </c>
      <c r="W353" s="615">
        <v>0</v>
      </c>
      <c r="X353" s="615">
        <v>-2.7574701031236382</v>
      </c>
      <c r="Y353" s="615">
        <v>2484.0697643043327</v>
      </c>
      <c r="Z353" s="51"/>
    </row>
    <row r="354" spans="1:26" x14ac:dyDescent="0.25">
      <c r="A354" s="51"/>
      <c r="B354" s="51"/>
      <c r="C354" s="51"/>
      <c r="D354" s="51"/>
      <c r="E354" s="51"/>
      <c r="F354" s="51"/>
      <c r="G354" s="616"/>
      <c r="H354" s="617"/>
      <c r="I354" s="617"/>
      <c r="J354" s="617"/>
      <c r="K354" s="617"/>
      <c r="L354" s="623"/>
      <c r="M354" s="617"/>
      <c r="N354" s="617"/>
      <c r="O354" s="617"/>
      <c r="P354" s="617"/>
      <c r="Q354" s="617"/>
      <c r="R354" s="617"/>
      <c r="S354" s="617"/>
      <c r="T354" s="617"/>
      <c r="U354" s="617"/>
      <c r="V354" s="617"/>
      <c r="W354" s="617"/>
      <c r="X354" s="617"/>
      <c r="Y354" s="617"/>
      <c r="Z354" s="51"/>
    </row>
    <row r="355" spans="1:26" x14ac:dyDescent="0.25">
      <c r="A355" s="51">
        <v>14</v>
      </c>
      <c r="B355" s="51">
        <v>2038</v>
      </c>
      <c r="C355" s="51" t="s">
        <v>47</v>
      </c>
      <c r="D355" s="51" t="s">
        <v>494</v>
      </c>
      <c r="E355" s="51" t="s">
        <v>564</v>
      </c>
      <c r="F355" s="51"/>
      <c r="G355" s="618" t="s">
        <v>67</v>
      </c>
      <c r="H355" s="611">
        <v>0</v>
      </c>
      <c r="I355" s="611">
        <v>0</v>
      </c>
      <c r="J355" s="611">
        <v>0</v>
      </c>
      <c r="K355" s="611">
        <v>0</v>
      </c>
      <c r="L355" s="611">
        <v>0</v>
      </c>
      <c r="M355" s="611">
        <v>0</v>
      </c>
      <c r="N355" s="611">
        <v>0</v>
      </c>
      <c r="O355" s="611">
        <v>0</v>
      </c>
      <c r="P355" s="611">
        <v>0</v>
      </c>
      <c r="Q355" s="611">
        <v>0</v>
      </c>
      <c r="R355" s="611">
        <v>0</v>
      </c>
      <c r="S355" s="611">
        <v>0</v>
      </c>
      <c r="T355" s="611">
        <v>0</v>
      </c>
      <c r="U355" s="611">
        <v>0</v>
      </c>
      <c r="V355" s="611">
        <v>0</v>
      </c>
      <c r="W355" s="611">
        <v>0</v>
      </c>
      <c r="X355" s="611">
        <v>0</v>
      </c>
      <c r="Y355" s="619">
        <v>0</v>
      </c>
      <c r="Z355" s="51"/>
    </row>
    <row r="356" spans="1:26" x14ac:dyDescent="0.25">
      <c r="A356" s="51">
        <v>15</v>
      </c>
      <c r="B356" s="51">
        <v>2038</v>
      </c>
      <c r="C356" s="51" t="s">
        <v>47</v>
      </c>
      <c r="D356" s="51" t="s">
        <v>495</v>
      </c>
      <c r="E356" s="51" t="s">
        <v>564</v>
      </c>
      <c r="F356" s="51"/>
      <c r="G356" s="618" t="s">
        <v>347</v>
      </c>
      <c r="H356" s="611">
        <v>0</v>
      </c>
      <c r="I356" s="611">
        <v>0</v>
      </c>
      <c r="J356" s="611">
        <v>0.36057808628354604</v>
      </c>
      <c r="K356" s="611">
        <v>0</v>
      </c>
      <c r="L356" s="611">
        <v>11.85720957473684</v>
      </c>
      <c r="M356" s="611">
        <v>0</v>
      </c>
      <c r="N356" s="611">
        <v>1162.199818181818</v>
      </c>
      <c r="O356" s="611">
        <v>371.91258763455278</v>
      </c>
      <c r="P356" s="611">
        <v>22.679502638735677</v>
      </c>
      <c r="Q356" s="611">
        <v>0.78983279474198065</v>
      </c>
      <c r="R356" s="611">
        <v>5.3878161949008447</v>
      </c>
      <c r="S356" s="611">
        <v>7.0773268475558293</v>
      </c>
      <c r="T356" s="611">
        <v>0</v>
      </c>
      <c r="U356" s="611">
        <v>4.9774137725284184</v>
      </c>
      <c r="V356" s="611">
        <v>-809.89392601359134</v>
      </c>
      <c r="W356" s="611">
        <v>0</v>
      </c>
      <c r="X356" s="611">
        <v>2.2153139999999998</v>
      </c>
      <c r="Y356" s="619">
        <v>779.56347371226263</v>
      </c>
      <c r="Z356" s="51"/>
    </row>
    <row r="357" spans="1:26" x14ac:dyDescent="0.25">
      <c r="A357" s="51">
        <v>16</v>
      </c>
      <c r="B357" s="51">
        <v>2038</v>
      </c>
      <c r="C357" s="51" t="s">
        <v>47</v>
      </c>
      <c r="D357" s="51" t="s">
        <v>496</v>
      </c>
      <c r="E357" s="51" t="s">
        <v>564</v>
      </c>
      <c r="F357" s="51"/>
      <c r="G357" s="618" t="s">
        <v>348</v>
      </c>
      <c r="H357" s="611">
        <v>0</v>
      </c>
      <c r="I357" s="611">
        <v>0</v>
      </c>
      <c r="J357" s="611">
        <v>0</v>
      </c>
      <c r="K357" s="611">
        <v>0</v>
      </c>
      <c r="L357" s="611">
        <v>10.065295152531121</v>
      </c>
      <c r="M357" s="611">
        <v>0</v>
      </c>
      <c r="N357" s="611">
        <v>0</v>
      </c>
      <c r="O357" s="611">
        <v>0</v>
      </c>
      <c r="P357" s="611">
        <v>39.245909116714159</v>
      </c>
      <c r="Q357" s="611">
        <v>15.374866043174009</v>
      </c>
      <c r="R357" s="611">
        <v>0</v>
      </c>
      <c r="S357" s="611">
        <v>5.9255899599826414</v>
      </c>
      <c r="T357" s="611">
        <v>0</v>
      </c>
      <c r="U357" s="611">
        <v>12.044861462217421</v>
      </c>
      <c r="V357" s="611">
        <v>0</v>
      </c>
      <c r="W357" s="611">
        <v>-76.558771945494215</v>
      </c>
      <c r="X357" s="611">
        <v>0</v>
      </c>
      <c r="Y357" s="619">
        <v>6.097749789125146</v>
      </c>
      <c r="Z357" s="51"/>
    </row>
    <row r="358" spans="1:26" x14ac:dyDescent="0.25">
      <c r="A358" s="51">
        <v>17</v>
      </c>
      <c r="B358" s="51">
        <v>2038</v>
      </c>
      <c r="C358" s="51" t="s">
        <v>47</v>
      </c>
      <c r="D358" s="51" t="s">
        <v>497</v>
      </c>
      <c r="E358" s="51" t="s">
        <v>564</v>
      </c>
      <c r="F358" s="51"/>
      <c r="G358" s="618" t="s">
        <v>349</v>
      </c>
      <c r="H358" s="611">
        <v>0</v>
      </c>
      <c r="I358" s="611">
        <v>0</v>
      </c>
      <c r="J358" s="611">
        <v>0</v>
      </c>
      <c r="K358" s="611">
        <v>0</v>
      </c>
      <c r="L358" s="611">
        <v>0</v>
      </c>
      <c r="M358" s="611">
        <v>0</v>
      </c>
      <c r="N358" s="611">
        <v>0</v>
      </c>
      <c r="O358" s="611">
        <v>0</v>
      </c>
      <c r="P358" s="611">
        <v>169.99999603753383</v>
      </c>
      <c r="Q358" s="611">
        <v>0</v>
      </c>
      <c r="R358" s="611">
        <v>0</v>
      </c>
      <c r="S358" s="611">
        <v>-93.499997820643614</v>
      </c>
      <c r="T358" s="611">
        <v>0</v>
      </c>
      <c r="U358" s="611">
        <v>0</v>
      </c>
      <c r="V358" s="611">
        <v>0</v>
      </c>
      <c r="W358" s="611">
        <v>0</v>
      </c>
      <c r="X358" s="611">
        <v>0</v>
      </c>
      <c r="Y358" s="619">
        <v>76.499998216890219</v>
      </c>
      <c r="Z358" s="51"/>
    </row>
    <row r="359" spans="1:26" x14ac:dyDescent="0.25">
      <c r="A359" s="51">
        <v>18</v>
      </c>
      <c r="B359" s="51">
        <v>2038</v>
      </c>
      <c r="C359" s="51" t="s">
        <v>47</v>
      </c>
      <c r="D359" s="51" t="s">
        <v>498</v>
      </c>
      <c r="E359" s="51" t="s">
        <v>564</v>
      </c>
      <c r="F359" s="51"/>
      <c r="G359" s="618" t="s">
        <v>350</v>
      </c>
      <c r="H359" s="611">
        <v>0</v>
      </c>
      <c r="I359" s="611">
        <v>0</v>
      </c>
      <c r="J359" s="611">
        <v>0</v>
      </c>
      <c r="K359" s="611">
        <v>0</v>
      </c>
      <c r="L359" s="611">
        <v>0</v>
      </c>
      <c r="M359" s="611">
        <v>-2.9890617212740871</v>
      </c>
      <c r="N359" s="611">
        <v>0</v>
      </c>
      <c r="O359" s="611">
        <v>0</v>
      </c>
      <c r="P359" s="611">
        <v>0</v>
      </c>
      <c r="Q359" s="611">
        <v>0</v>
      </c>
      <c r="R359" s="611">
        <v>0</v>
      </c>
      <c r="S359" s="611">
        <v>0</v>
      </c>
      <c r="T359" s="611">
        <v>0</v>
      </c>
      <c r="U359" s="611">
        <v>0</v>
      </c>
      <c r="V359" s="611">
        <v>0</v>
      </c>
      <c r="W359" s="611">
        <v>0</v>
      </c>
      <c r="X359" s="611">
        <v>4.1514746128806763</v>
      </c>
      <c r="Y359" s="619">
        <v>1.1624128916065892</v>
      </c>
      <c r="Z359" s="51"/>
    </row>
    <row r="360" spans="1:26" x14ac:dyDescent="0.25">
      <c r="A360" s="51">
        <v>19</v>
      </c>
      <c r="B360" s="51">
        <v>2038</v>
      </c>
      <c r="C360" s="51" t="s">
        <v>47</v>
      </c>
      <c r="D360" s="51" t="s">
        <v>499</v>
      </c>
      <c r="E360" s="51" t="s">
        <v>564</v>
      </c>
      <c r="F360" s="51"/>
      <c r="G360" s="618" t="s">
        <v>72</v>
      </c>
      <c r="H360" s="611">
        <v>0</v>
      </c>
      <c r="I360" s="611">
        <v>283.1271683530257</v>
      </c>
      <c r="J360" s="611">
        <v>-280.30617492402195</v>
      </c>
      <c r="K360" s="611">
        <v>0</v>
      </c>
      <c r="L360" s="611">
        <v>0</v>
      </c>
      <c r="M360" s="611">
        <v>0</v>
      </c>
      <c r="N360" s="611">
        <v>0</v>
      </c>
      <c r="O360" s="611">
        <v>0</v>
      </c>
      <c r="P360" s="611">
        <v>0</v>
      </c>
      <c r="Q360" s="611">
        <v>0</v>
      </c>
      <c r="R360" s="611">
        <v>0</v>
      </c>
      <c r="S360" s="611">
        <v>0</v>
      </c>
      <c r="T360" s="611">
        <v>0</v>
      </c>
      <c r="U360" s="611">
        <v>0</v>
      </c>
      <c r="V360" s="611">
        <v>0</v>
      </c>
      <c r="W360" s="611">
        <v>0</v>
      </c>
      <c r="X360" s="611">
        <v>0</v>
      </c>
      <c r="Y360" s="619">
        <v>2.8209934290037495</v>
      </c>
      <c r="Z360" s="51"/>
    </row>
    <row r="361" spans="1:26" x14ac:dyDescent="0.25">
      <c r="A361" s="51">
        <v>20</v>
      </c>
      <c r="B361" s="51">
        <v>2038</v>
      </c>
      <c r="C361" s="51" t="s">
        <v>47</v>
      </c>
      <c r="D361" s="51" t="s">
        <v>500</v>
      </c>
      <c r="E361" s="51" t="s">
        <v>564</v>
      </c>
      <c r="F361" s="51"/>
      <c r="G361" s="618" t="s">
        <v>351</v>
      </c>
      <c r="H361" s="611">
        <v>0</v>
      </c>
      <c r="I361" s="611">
        <v>0</v>
      </c>
      <c r="J361" s="611">
        <v>0</v>
      </c>
      <c r="K361" s="611">
        <v>0</v>
      </c>
      <c r="L361" s="611">
        <v>0</v>
      </c>
      <c r="M361" s="611">
        <v>0</v>
      </c>
      <c r="N361" s="611">
        <v>0</v>
      </c>
      <c r="O361" s="611">
        <v>0</v>
      </c>
      <c r="P361" s="611">
        <v>211.69506074403665</v>
      </c>
      <c r="Q361" s="611">
        <v>0</v>
      </c>
      <c r="R361" s="611">
        <v>-116.43228340922018</v>
      </c>
      <c r="S361" s="611">
        <v>0</v>
      </c>
      <c r="T361" s="611">
        <v>0</v>
      </c>
      <c r="U361" s="611">
        <v>0</v>
      </c>
      <c r="V361" s="611">
        <v>0</v>
      </c>
      <c r="W361" s="611">
        <v>0</v>
      </c>
      <c r="X361" s="611">
        <v>0</v>
      </c>
      <c r="Y361" s="619">
        <v>95.262777334816477</v>
      </c>
      <c r="Z361" s="51"/>
    </row>
    <row r="362" spans="1:26" x14ac:dyDescent="0.25">
      <c r="A362" s="51">
        <v>21</v>
      </c>
      <c r="B362" s="51">
        <v>2038</v>
      </c>
      <c r="C362" s="51" t="s">
        <v>47</v>
      </c>
      <c r="D362" s="51" t="s">
        <v>501</v>
      </c>
      <c r="E362" s="51" t="s">
        <v>564</v>
      </c>
      <c r="F362" s="51"/>
      <c r="G362" s="618" t="s">
        <v>352</v>
      </c>
      <c r="H362" s="611">
        <v>0</v>
      </c>
      <c r="I362" s="611">
        <v>0</v>
      </c>
      <c r="J362" s="611">
        <v>0</v>
      </c>
      <c r="K362" s="611">
        <v>-13.61496514917124</v>
      </c>
      <c r="L362" s="611">
        <v>0</v>
      </c>
      <c r="M362" s="611">
        <v>0</v>
      </c>
      <c r="N362" s="611">
        <v>0</v>
      </c>
      <c r="O362" s="611">
        <v>0</v>
      </c>
      <c r="P362" s="611">
        <v>0</v>
      </c>
      <c r="Q362" s="611">
        <v>0</v>
      </c>
      <c r="R362" s="611">
        <v>0</v>
      </c>
      <c r="S362" s="611">
        <v>0</v>
      </c>
      <c r="T362" s="611">
        <v>0</v>
      </c>
      <c r="U362" s="611">
        <v>0</v>
      </c>
      <c r="V362" s="611">
        <v>0</v>
      </c>
      <c r="W362" s="611">
        <v>0</v>
      </c>
      <c r="X362" s="611">
        <v>17.7682733969807</v>
      </c>
      <c r="Y362" s="619">
        <v>4.1533082478094592</v>
      </c>
      <c r="Z362" s="51"/>
    </row>
    <row r="363" spans="1:26" x14ac:dyDescent="0.25">
      <c r="A363" s="51">
        <v>22</v>
      </c>
      <c r="B363" s="51">
        <v>2038</v>
      </c>
      <c r="C363" s="51" t="s">
        <v>47</v>
      </c>
      <c r="D363" s="51" t="s">
        <v>502</v>
      </c>
      <c r="E363" s="51" t="s">
        <v>564</v>
      </c>
      <c r="F363" s="51"/>
      <c r="G363" s="618" t="s">
        <v>73</v>
      </c>
      <c r="H363" s="611">
        <v>0</v>
      </c>
      <c r="I363" s="611">
        <v>0</v>
      </c>
      <c r="J363" s="611">
        <v>0</v>
      </c>
      <c r="K363" s="611">
        <v>0</v>
      </c>
      <c r="L363" s="611">
        <v>0</v>
      </c>
      <c r="M363" s="611">
        <v>0</v>
      </c>
      <c r="N363" s="611">
        <v>0</v>
      </c>
      <c r="O363" s="611">
        <v>0</v>
      </c>
      <c r="P363" s="611">
        <v>0</v>
      </c>
      <c r="Q363" s="611">
        <v>0</v>
      </c>
      <c r="R363" s="611">
        <v>0</v>
      </c>
      <c r="S363" s="611">
        <v>0</v>
      </c>
      <c r="T363" s="611">
        <v>0</v>
      </c>
      <c r="U363" s="611">
        <v>0</v>
      </c>
      <c r="V363" s="611">
        <v>95.104373602151668</v>
      </c>
      <c r="W363" s="611">
        <v>0</v>
      </c>
      <c r="X363" s="611">
        <v>-64.480765302258831</v>
      </c>
      <c r="Y363" s="619">
        <v>30.623608299892837</v>
      </c>
      <c r="Z363" s="51"/>
    </row>
    <row r="364" spans="1:26" x14ac:dyDescent="0.25">
      <c r="A364" s="51">
        <v>23</v>
      </c>
      <c r="B364" s="51">
        <v>2038</v>
      </c>
      <c r="C364" s="51" t="s">
        <v>47</v>
      </c>
      <c r="D364" s="51" t="s">
        <v>503</v>
      </c>
      <c r="E364" s="51" t="s">
        <v>564</v>
      </c>
      <c r="F364" s="51"/>
      <c r="G364" s="618" t="s">
        <v>353</v>
      </c>
      <c r="H364" s="611">
        <v>7.8269305078124995</v>
      </c>
      <c r="I364" s="611">
        <v>-9.913188690077277</v>
      </c>
      <c r="J364" s="611">
        <v>12.914884415071832</v>
      </c>
      <c r="K364" s="611">
        <v>0</v>
      </c>
      <c r="L364" s="611">
        <v>0</v>
      </c>
      <c r="M364" s="611">
        <v>0</v>
      </c>
      <c r="N364" s="611">
        <v>0</v>
      </c>
      <c r="O364" s="611">
        <v>0</v>
      </c>
      <c r="P364" s="611">
        <v>0</v>
      </c>
      <c r="Q364" s="611">
        <v>0</v>
      </c>
      <c r="R364" s="611">
        <v>0</v>
      </c>
      <c r="S364" s="611">
        <v>0</v>
      </c>
      <c r="T364" s="611">
        <v>0</v>
      </c>
      <c r="U364" s="611">
        <v>0</v>
      </c>
      <c r="V364" s="611">
        <v>0</v>
      </c>
      <c r="W364" s="611">
        <v>0</v>
      </c>
      <c r="X364" s="611">
        <v>0</v>
      </c>
      <c r="Y364" s="619">
        <v>10.828626232807053</v>
      </c>
      <c r="Z364" s="51"/>
    </row>
    <row r="365" spans="1:26" x14ac:dyDescent="0.25">
      <c r="A365" s="51">
        <v>24</v>
      </c>
      <c r="B365" s="51">
        <v>2038</v>
      </c>
      <c r="C365" s="51" t="s">
        <v>47</v>
      </c>
      <c r="D365" s="51" t="s">
        <v>504</v>
      </c>
      <c r="E365" s="51" t="s">
        <v>564</v>
      </c>
      <c r="F365" s="51"/>
      <c r="G365" s="618" t="s">
        <v>75</v>
      </c>
      <c r="H365" s="611">
        <v>3.0438063085937501</v>
      </c>
      <c r="I365" s="611">
        <v>0</v>
      </c>
      <c r="J365" s="611">
        <v>9.7210991282801391</v>
      </c>
      <c r="K365" s="611">
        <v>0</v>
      </c>
      <c r="L365" s="611">
        <v>3.2664120682994437</v>
      </c>
      <c r="M365" s="611">
        <v>0</v>
      </c>
      <c r="N365" s="611">
        <v>0</v>
      </c>
      <c r="O365" s="611">
        <v>0</v>
      </c>
      <c r="P365" s="611">
        <v>0</v>
      </c>
      <c r="Q365" s="611">
        <v>0</v>
      </c>
      <c r="R365" s="611">
        <v>0</v>
      </c>
      <c r="S365" s="611">
        <v>1.9850542794488581</v>
      </c>
      <c r="T365" s="611">
        <v>0</v>
      </c>
      <c r="U365" s="611">
        <v>0</v>
      </c>
      <c r="V365" s="611">
        <v>63.494449496220589</v>
      </c>
      <c r="W365" s="611">
        <v>0</v>
      </c>
      <c r="X365" s="611">
        <v>0</v>
      </c>
      <c r="Y365" s="619">
        <v>81.510821280842777</v>
      </c>
      <c r="Z365" s="51"/>
    </row>
    <row r="366" spans="1:26" x14ac:dyDescent="0.25">
      <c r="A366" s="51">
        <v>25</v>
      </c>
      <c r="B366" s="51">
        <v>2038</v>
      </c>
      <c r="C366" s="51" t="s">
        <v>47</v>
      </c>
      <c r="D366" s="51" t="s">
        <v>505</v>
      </c>
      <c r="E366" s="51" t="s">
        <v>564</v>
      </c>
      <c r="F366" s="51"/>
      <c r="G366" s="618" t="s">
        <v>76</v>
      </c>
      <c r="H366" s="611">
        <v>0</v>
      </c>
      <c r="I366" s="611">
        <v>0</v>
      </c>
      <c r="J366" s="611">
        <v>0</v>
      </c>
      <c r="K366" s="611">
        <v>0</v>
      </c>
      <c r="L366" s="611">
        <v>1.6608510066487696</v>
      </c>
      <c r="M366" s="611">
        <v>0</v>
      </c>
      <c r="N366" s="611">
        <v>0</v>
      </c>
      <c r="O366" s="611">
        <v>0</v>
      </c>
      <c r="P366" s="611">
        <v>0</v>
      </c>
      <c r="Q366" s="611">
        <v>0</v>
      </c>
      <c r="R366" s="611">
        <v>0</v>
      </c>
      <c r="S366" s="611">
        <v>1.0093274606322105</v>
      </c>
      <c r="T366" s="611">
        <v>0</v>
      </c>
      <c r="U366" s="611">
        <v>0</v>
      </c>
      <c r="V366" s="611">
        <v>56.670616828922711</v>
      </c>
      <c r="W366" s="611">
        <v>5.9371834991983317</v>
      </c>
      <c r="X366" s="611">
        <v>0</v>
      </c>
      <c r="Y366" s="619">
        <v>65.277978795402021</v>
      </c>
      <c r="Z366" s="51"/>
    </row>
    <row r="367" spans="1:26" x14ac:dyDescent="0.25">
      <c r="A367" s="51">
        <v>26</v>
      </c>
      <c r="B367" s="51">
        <v>2038</v>
      </c>
      <c r="C367" s="51" t="s">
        <v>47</v>
      </c>
      <c r="D367" s="51" t="s">
        <v>506</v>
      </c>
      <c r="E367" s="51" t="s">
        <v>564</v>
      </c>
      <c r="F367" s="51"/>
      <c r="G367" s="614" t="s">
        <v>77</v>
      </c>
      <c r="H367" s="615">
        <v>10.87073681640625</v>
      </c>
      <c r="I367" s="615">
        <v>273.21397966294842</v>
      </c>
      <c r="J367" s="615">
        <v>-257.30961329438645</v>
      </c>
      <c r="K367" s="615">
        <v>-13.61496514917124</v>
      </c>
      <c r="L367" s="615">
        <v>26.849767802216178</v>
      </c>
      <c r="M367" s="615">
        <v>-2.9890617212740871</v>
      </c>
      <c r="N367" s="615">
        <v>1162.199818181818</v>
      </c>
      <c r="O367" s="615">
        <v>371.91258763455278</v>
      </c>
      <c r="P367" s="615">
        <v>443.62046853702032</v>
      </c>
      <c r="Q367" s="615">
        <v>16.164698837915989</v>
      </c>
      <c r="R367" s="615">
        <v>-111.04446721431933</v>
      </c>
      <c r="S367" s="615">
        <v>-77.502699273024078</v>
      </c>
      <c r="T367" s="615">
        <v>0</v>
      </c>
      <c r="U367" s="615">
        <v>17.022275234745841</v>
      </c>
      <c r="V367" s="615">
        <v>-594.62448608629643</v>
      </c>
      <c r="W367" s="615">
        <v>-70.621588446295888</v>
      </c>
      <c r="X367" s="615">
        <v>-40.345703292397459</v>
      </c>
      <c r="Y367" s="615">
        <v>1086.9299140368653</v>
      </c>
      <c r="Z367" s="51"/>
    </row>
    <row r="368" spans="1:26" x14ac:dyDescent="0.25">
      <c r="A368" s="51"/>
      <c r="B368" s="51"/>
      <c r="C368" s="51"/>
      <c r="D368" s="51"/>
      <c r="E368" s="51"/>
      <c r="F368" s="51"/>
      <c r="G368" s="616"/>
      <c r="H368" s="617"/>
      <c r="I368" s="617"/>
      <c r="J368" s="617"/>
      <c r="K368" s="617"/>
      <c r="L368" s="623"/>
      <c r="M368" s="617"/>
      <c r="N368" s="617"/>
      <c r="O368" s="617"/>
      <c r="P368" s="617"/>
      <c r="Q368" s="617"/>
      <c r="R368" s="617"/>
      <c r="S368" s="617"/>
      <c r="T368" s="617"/>
      <c r="U368" s="617"/>
      <c r="V368" s="617"/>
      <c r="W368" s="617"/>
      <c r="X368" s="617"/>
      <c r="Y368" s="617"/>
      <c r="Z368" s="51"/>
    </row>
    <row r="369" spans="1:26" x14ac:dyDescent="0.25">
      <c r="A369" s="51">
        <v>28</v>
      </c>
      <c r="B369" s="51">
        <v>2038</v>
      </c>
      <c r="C369" s="51" t="s">
        <v>47</v>
      </c>
      <c r="D369" s="51" t="s">
        <v>507</v>
      </c>
      <c r="E369" s="51" t="s">
        <v>564</v>
      </c>
      <c r="F369" s="51"/>
      <c r="G369" s="618" t="s">
        <v>78</v>
      </c>
      <c r="H369" s="611">
        <v>3.1479512226953994</v>
      </c>
      <c r="I369" s="611">
        <v>0</v>
      </c>
      <c r="J369" s="611">
        <v>7.3437351704458669</v>
      </c>
      <c r="K369" s="611">
        <v>0</v>
      </c>
      <c r="L369" s="611">
        <v>47.748408510748327</v>
      </c>
      <c r="M369" s="611">
        <v>0</v>
      </c>
      <c r="N369" s="611">
        <v>0</v>
      </c>
      <c r="O369" s="611">
        <v>0</v>
      </c>
      <c r="P369" s="611">
        <v>22.07297303718682</v>
      </c>
      <c r="Q369" s="611">
        <v>7.0398001823904393</v>
      </c>
      <c r="R369" s="611">
        <v>1.8141076681280928</v>
      </c>
      <c r="S369" s="611">
        <v>29.054305571352941</v>
      </c>
      <c r="T369" s="611">
        <v>11.680015624999999</v>
      </c>
      <c r="U369" s="611">
        <v>7.4990210834655101E-4</v>
      </c>
      <c r="V369" s="611">
        <v>169.36564151206954</v>
      </c>
      <c r="W369" s="611">
        <v>20.361092617344379</v>
      </c>
      <c r="X369" s="611">
        <v>8.2949111328124996</v>
      </c>
      <c r="Y369" s="619">
        <v>327.92369215228263</v>
      </c>
      <c r="Z369" s="51"/>
    </row>
    <row r="370" spans="1:26" x14ac:dyDescent="0.25">
      <c r="A370" s="51">
        <v>29</v>
      </c>
      <c r="B370" s="51">
        <v>2038</v>
      </c>
      <c r="C370" s="51" t="s">
        <v>47</v>
      </c>
      <c r="D370" s="51" t="s">
        <v>508</v>
      </c>
      <c r="E370" s="51" t="s">
        <v>564</v>
      </c>
      <c r="F370" s="51"/>
      <c r="G370" s="618" t="s">
        <v>79</v>
      </c>
      <c r="H370" s="611">
        <v>0</v>
      </c>
      <c r="I370" s="611">
        <v>0</v>
      </c>
      <c r="J370" s="611">
        <v>117.18993365145114</v>
      </c>
      <c r="K370" s="611">
        <v>1.1502523332163914</v>
      </c>
      <c r="L370" s="611">
        <v>4.819889599277416</v>
      </c>
      <c r="M370" s="611">
        <v>0</v>
      </c>
      <c r="N370" s="611">
        <v>0</v>
      </c>
      <c r="O370" s="611">
        <v>0</v>
      </c>
      <c r="P370" s="611">
        <v>0</v>
      </c>
      <c r="Q370" s="611">
        <v>0</v>
      </c>
      <c r="R370" s="611">
        <v>66.206077394178237</v>
      </c>
      <c r="S370" s="611">
        <v>2.9291290490785586</v>
      </c>
      <c r="T370" s="611">
        <v>0</v>
      </c>
      <c r="U370" s="611">
        <v>0</v>
      </c>
      <c r="V370" s="611">
        <v>81.27523543109001</v>
      </c>
      <c r="W370" s="611">
        <v>0</v>
      </c>
      <c r="X370" s="611">
        <v>3.9485258535759078</v>
      </c>
      <c r="Y370" s="619">
        <v>277.51904331186768</v>
      </c>
      <c r="Z370" s="51"/>
    </row>
    <row r="371" spans="1:26" x14ac:dyDescent="0.25">
      <c r="A371" s="51">
        <v>30</v>
      </c>
      <c r="B371" s="51">
        <v>2038</v>
      </c>
      <c r="C371" s="51" t="s">
        <v>47</v>
      </c>
      <c r="D371" s="51" t="s">
        <v>509</v>
      </c>
      <c r="E371" s="51" t="s">
        <v>564</v>
      </c>
      <c r="F371" s="51"/>
      <c r="G371" s="618" t="s">
        <v>80</v>
      </c>
      <c r="H371" s="611">
        <v>0</v>
      </c>
      <c r="I371" s="611">
        <v>0</v>
      </c>
      <c r="J371" s="611">
        <v>1.6438651007794511</v>
      </c>
      <c r="K371" s="611">
        <v>0</v>
      </c>
      <c r="L371" s="611">
        <v>37.762906897334723</v>
      </c>
      <c r="M371" s="611">
        <v>0</v>
      </c>
      <c r="N371" s="611">
        <v>0</v>
      </c>
      <c r="O371" s="611">
        <v>0</v>
      </c>
      <c r="P371" s="611">
        <v>41.59278420325942</v>
      </c>
      <c r="Q371" s="611">
        <v>0</v>
      </c>
      <c r="R371" s="611">
        <v>0</v>
      </c>
      <c r="S371" s="611">
        <v>22.949162069441361</v>
      </c>
      <c r="T371" s="611">
        <v>82.607640149864139</v>
      </c>
      <c r="U371" s="611">
        <v>2.572357159222566</v>
      </c>
      <c r="V371" s="611">
        <v>151.89062993564033</v>
      </c>
      <c r="W371" s="611">
        <v>31.936895125532864</v>
      </c>
      <c r="X371" s="611">
        <v>0</v>
      </c>
      <c r="Y371" s="619">
        <v>372.95624064107488</v>
      </c>
      <c r="Z371" s="51"/>
    </row>
    <row r="372" spans="1:26" x14ac:dyDescent="0.25">
      <c r="A372" s="51">
        <v>31</v>
      </c>
      <c r="B372" s="51">
        <v>2038</v>
      </c>
      <c r="C372" s="51" t="s">
        <v>47</v>
      </c>
      <c r="D372" s="51" t="s">
        <v>510</v>
      </c>
      <c r="E372" s="51" t="s">
        <v>564</v>
      </c>
      <c r="F372" s="51"/>
      <c r="G372" s="618" t="s">
        <v>81</v>
      </c>
      <c r="H372" s="611">
        <v>0</v>
      </c>
      <c r="I372" s="611">
        <v>0</v>
      </c>
      <c r="J372" s="611">
        <v>1.2620465629105715</v>
      </c>
      <c r="K372" s="611">
        <v>0</v>
      </c>
      <c r="L372" s="611">
        <v>22.07344942659541</v>
      </c>
      <c r="M372" s="611">
        <v>0</v>
      </c>
      <c r="N372" s="611">
        <v>0</v>
      </c>
      <c r="O372" s="611">
        <v>0</v>
      </c>
      <c r="P372" s="611">
        <v>0.56000000000000005</v>
      </c>
      <c r="Q372" s="611">
        <v>0</v>
      </c>
      <c r="R372" s="611">
        <v>0</v>
      </c>
      <c r="S372" s="611">
        <v>13.414411387866664</v>
      </c>
      <c r="T372" s="611">
        <v>44.799406982627758</v>
      </c>
      <c r="U372" s="611">
        <v>3.2055052425847239</v>
      </c>
      <c r="V372" s="611">
        <v>113.10534162946976</v>
      </c>
      <c r="W372" s="611">
        <v>18.323600703418645</v>
      </c>
      <c r="X372" s="611">
        <v>0</v>
      </c>
      <c r="Y372" s="619">
        <v>216.74376193547354</v>
      </c>
      <c r="Z372" s="51"/>
    </row>
    <row r="373" spans="1:26" x14ac:dyDescent="0.25">
      <c r="A373" s="51">
        <v>32</v>
      </c>
      <c r="B373" s="51">
        <v>2038</v>
      </c>
      <c r="C373" s="51" t="s">
        <v>47</v>
      </c>
      <c r="D373" s="51" t="s">
        <v>511</v>
      </c>
      <c r="E373" s="51" t="s">
        <v>564</v>
      </c>
      <c r="F373" s="51"/>
      <c r="G373" s="618" t="s">
        <v>82</v>
      </c>
      <c r="H373" s="611">
        <v>0</v>
      </c>
      <c r="I373" s="611">
        <v>0</v>
      </c>
      <c r="J373" s="611">
        <v>15.385186125799255</v>
      </c>
      <c r="K373" s="611">
        <v>0</v>
      </c>
      <c r="L373" s="611">
        <v>1.0890603369505767</v>
      </c>
      <c r="M373" s="611">
        <v>0</v>
      </c>
      <c r="N373" s="611">
        <v>0</v>
      </c>
      <c r="O373" s="611">
        <v>0</v>
      </c>
      <c r="P373" s="611">
        <v>2.8</v>
      </c>
      <c r="Q373" s="611">
        <v>0</v>
      </c>
      <c r="R373" s="611">
        <v>12.9683366306894</v>
      </c>
      <c r="S373" s="611">
        <v>0.66184052631401613</v>
      </c>
      <c r="T373" s="611">
        <v>0.9</v>
      </c>
      <c r="U373" s="611">
        <v>1.1655332190637568</v>
      </c>
      <c r="V373" s="611">
        <v>7.0055244887900985</v>
      </c>
      <c r="W373" s="611">
        <v>0</v>
      </c>
      <c r="X373" s="611">
        <v>0.45485655237537337</v>
      </c>
      <c r="Y373" s="619">
        <v>42.430337879982481</v>
      </c>
      <c r="Z373" s="51"/>
    </row>
    <row r="374" spans="1:26" x14ac:dyDescent="0.25">
      <c r="A374" s="51">
        <v>33</v>
      </c>
      <c r="B374" s="51">
        <v>2038</v>
      </c>
      <c r="C374" s="51" t="s">
        <v>47</v>
      </c>
      <c r="D374" s="51" t="s">
        <v>512</v>
      </c>
      <c r="E374" s="51" t="s">
        <v>564</v>
      </c>
      <c r="F374" s="51"/>
      <c r="G374" s="618" t="s">
        <v>354</v>
      </c>
      <c r="H374" s="611">
        <v>0</v>
      </c>
      <c r="I374" s="611">
        <v>0</v>
      </c>
      <c r="J374" s="611">
        <v>0</v>
      </c>
      <c r="K374" s="611">
        <v>0</v>
      </c>
      <c r="L374" s="611">
        <v>0</v>
      </c>
      <c r="M374" s="611">
        <v>0</v>
      </c>
      <c r="N374" s="611">
        <v>0</v>
      </c>
      <c r="O374" s="611">
        <v>0</v>
      </c>
      <c r="P374" s="611">
        <v>0</v>
      </c>
      <c r="Q374" s="611">
        <v>0</v>
      </c>
      <c r="R374" s="611">
        <v>0</v>
      </c>
      <c r="S374" s="611">
        <v>0</v>
      </c>
      <c r="T374" s="611">
        <v>0</v>
      </c>
      <c r="U374" s="611">
        <v>0</v>
      </c>
      <c r="V374" s="611">
        <v>2.2597999999999998</v>
      </c>
      <c r="W374" s="611">
        <v>0</v>
      </c>
      <c r="X374" s="611">
        <v>0</v>
      </c>
      <c r="Y374" s="619">
        <v>2.2597999999999998</v>
      </c>
      <c r="Z374" s="51"/>
    </row>
    <row r="375" spans="1:26" x14ac:dyDescent="0.25">
      <c r="A375" s="51">
        <v>34</v>
      </c>
      <c r="B375" s="51">
        <v>2038</v>
      </c>
      <c r="C375" s="51" t="s">
        <v>47</v>
      </c>
      <c r="D375" s="51" t="s">
        <v>513</v>
      </c>
      <c r="E375" s="51" t="s">
        <v>564</v>
      </c>
      <c r="F375" s="51"/>
      <c r="G375" s="614" t="s">
        <v>83</v>
      </c>
      <c r="H375" s="615">
        <v>3.1479512226953994</v>
      </c>
      <c r="I375" s="615">
        <v>0</v>
      </c>
      <c r="J375" s="615">
        <v>142.82476661138628</v>
      </c>
      <c r="K375" s="615">
        <v>1.1502523332163914</v>
      </c>
      <c r="L375" s="615">
        <v>113.49371477090645</v>
      </c>
      <c r="M375" s="615">
        <v>0</v>
      </c>
      <c r="N375" s="615">
        <v>0</v>
      </c>
      <c r="O375" s="615">
        <v>0</v>
      </c>
      <c r="P375" s="615">
        <v>67.025757240446239</v>
      </c>
      <c r="Q375" s="615">
        <v>7.0398001823904393</v>
      </c>
      <c r="R375" s="615">
        <v>80.988521692995732</v>
      </c>
      <c r="S375" s="615">
        <v>69.008848604053554</v>
      </c>
      <c r="T375" s="615">
        <v>139.98706275749188</v>
      </c>
      <c r="U375" s="615">
        <v>6.9441455229793938</v>
      </c>
      <c r="V375" s="615">
        <v>524.90217299705978</v>
      </c>
      <c r="W375" s="615">
        <v>70.621588446295888</v>
      </c>
      <c r="X375" s="615">
        <v>12.69829353876378</v>
      </c>
      <c r="Y375" s="615">
        <v>1239.8328759206811</v>
      </c>
      <c r="Z375" s="51"/>
    </row>
    <row r="376" spans="1:26" x14ac:dyDescent="0.25">
      <c r="A376" s="51">
        <v>35</v>
      </c>
      <c r="B376" s="51">
        <v>2038</v>
      </c>
      <c r="C376" s="51" t="s">
        <v>47</v>
      </c>
      <c r="D376" s="51" t="s">
        <v>514</v>
      </c>
      <c r="E376" s="51" t="s">
        <v>564</v>
      </c>
      <c r="F376" s="51"/>
      <c r="G376" s="610" t="s">
        <v>84</v>
      </c>
      <c r="H376" s="611">
        <v>0</v>
      </c>
      <c r="I376" s="611">
        <v>0</v>
      </c>
      <c r="J376" s="611">
        <v>91.645744339605585</v>
      </c>
      <c r="K376" s="611">
        <v>1.9754203276001159</v>
      </c>
      <c r="L376" s="611">
        <v>9.8671998534986294</v>
      </c>
      <c r="M376" s="611">
        <v>0</v>
      </c>
      <c r="N376" s="611">
        <v>0</v>
      </c>
      <c r="O376" s="611">
        <v>0</v>
      </c>
      <c r="P376" s="611">
        <v>0.29558782815630974</v>
      </c>
      <c r="Q376" s="611">
        <v>0</v>
      </c>
      <c r="R376" s="611">
        <v>22.091901685627885</v>
      </c>
      <c r="S376" s="611">
        <v>6.5407527819460896</v>
      </c>
      <c r="T376" s="611">
        <v>0</v>
      </c>
      <c r="U376" s="611">
        <v>0</v>
      </c>
      <c r="V376" s="611">
        <v>0</v>
      </c>
      <c r="W376" s="611">
        <v>0</v>
      </c>
      <c r="X376" s="611">
        <v>24.889939650510044</v>
      </c>
      <c r="Y376" s="619">
        <v>157.30654646694467</v>
      </c>
      <c r="Z376" s="51"/>
    </row>
    <row r="377" spans="1:26" x14ac:dyDescent="0.25">
      <c r="A377" s="51">
        <v>36</v>
      </c>
      <c r="B377" s="51">
        <v>2038</v>
      </c>
      <c r="C377" s="51" t="s">
        <v>47</v>
      </c>
      <c r="D377" s="51" t="s">
        <v>515</v>
      </c>
      <c r="E377" s="51" t="s">
        <v>564</v>
      </c>
      <c r="F377" s="51"/>
      <c r="G377" s="614" t="s">
        <v>85</v>
      </c>
      <c r="H377" s="615">
        <v>3.1479512226953994</v>
      </c>
      <c r="I377" s="615">
        <v>0</v>
      </c>
      <c r="J377" s="615">
        <v>234.47051095099187</v>
      </c>
      <c r="K377" s="615">
        <v>3.1256726608165071</v>
      </c>
      <c r="L377" s="615">
        <v>123.36091462440508</v>
      </c>
      <c r="M377" s="615">
        <v>0</v>
      </c>
      <c r="N377" s="615">
        <v>0</v>
      </c>
      <c r="O377" s="615">
        <v>0</v>
      </c>
      <c r="P377" s="615">
        <v>67.321345068602554</v>
      </c>
      <c r="Q377" s="615">
        <v>7.0398001823904393</v>
      </c>
      <c r="R377" s="615">
        <v>103.08042337862362</v>
      </c>
      <c r="S377" s="615">
        <v>75.549601385999637</v>
      </c>
      <c r="T377" s="615">
        <v>139.98706275749188</v>
      </c>
      <c r="U377" s="615">
        <v>6.9441455229793938</v>
      </c>
      <c r="V377" s="615">
        <v>524.90217299705978</v>
      </c>
      <c r="W377" s="615">
        <v>70.621588446295888</v>
      </c>
      <c r="X377" s="615">
        <v>37.588233189273822</v>
      </c>
      <c r="Y377" s="615">
        <v>1397.1394223876257</v>
      </c>
      <c r="Z377" s="51"/>
    </row>
    <row r="378" spans="1:26" x14ac:dyDescent="0.25">
      <c r="A378" s="51"/>
      <c r="B378" s="51"/>
      <c r="C378" s="51"/>
      <c r="D378" s="51"/>
      <c r="E378" s="51"/>
      <c r="F378" s="51"/>
      <c r="G378" s="51"/>
      <c r="H378" s="67">
        <v>0</v>
      </c>
      <c r="I378" s="67">
        <v>0</v>
      </c>
      <c r="J378" s="67">
        <v>0</v>
      </c>
      <c r="K378" s="67">
        <v>0</v>
      </c>
      <c r="L378" s="67">
        <v>0</v>
      </c>
      <c r="M378" s="67">
        <v>0</v>
      </c>
      <c r="N378" s="67">
        <v>0</v>
      </c>
      <c r="O378" s="67">
        <v>0</v>
      </c>
      <c r="P378" s="67">
        <v>0</v>
      </c>
      <c r="Q378" s="67">
        <v>-4.2787984175873817E-4</v>
      </c>
      <c r="R378" s="67">
        <v>0</v>
      </c>
      <c r="S378" s="67">
        <v>-2.2204460492503131E-15</v>
      </c>
      <c r="T378" s="67">
        <v>0</v>
      </c>
      <c r="U378" s="67">
        <v>0</v>
      </c>
      <c r="V378" s="67">
        <v>-1.1368683772161603E-13</v>
      </c>
      <c r="W378" s="67">
        <v>0</v>
      </c>
      <c r="X378" s="67">
        <v>0</v>
      </c>
      <c r="Y378" s="67">
        <v>-4.2787984193637385E-4</v>
      </c>
      <c r="Z378" s="51"/>
    </row>
    <row r="379" spans="1:26" x14ac:dyDescent="0.25">
      <c r="A379" s="51"/>
      <c r="B379" s="51"/>
      <c r="C379" s="51"/>
      <c r="D379" s="51"/>
      <c r="E379" s="51"/>
      <c r="F379" s="51"/>
      <c r="G379" s="51"/>
      <c r="H379" s="51"/>
      <c r="I379" s="51"/>
      <c r="J379" s="51"/>
      <c r="K379" s="67"/>
      <c r="L379" s="51"/>
      <c r="M379" s="51"/>
      <c r="N379" s="51"/>
      <c r="O379" s="51"/>
      <c r="P379" s="51"/>
      <c r="Q379" s="51"/>
      <c r="R379" s="51"/>
      <c r="S379" s="51"/>
      <c r="T379" s="51"/>
      <c r="U379" s="51"/>
      <c r="V379" s="51"/>
      <c r="W379" s="51"/>
      <c r="X379" s="51"/>
      <c r="Y379" s="51"/>
      <c r="Z379" s="51"/>
    </row>
    <row r="380" spans="1:26" x14ac:dyDescent="0.25">
      <c r="A380" s="606"/>
      <c r="B380" s="606"/>
      <c r="C380" s="606"/>
      <c r="D380" s="606"/>
      <c r="E380" s="606"/>
      <c r="F380" s="606"/>
      <c r="G380" s="607" t="s">
        <v>360</v>
      </c>
      <c r="H380" s="606"/>
      <c r="I380" s="606"/>
      <c r="J380" s="606"/>
      <c r="K380" s="682"/>
      <c r="L380" s="606"/>
      <c r="M380" s="606"/>
      <c r="N380" s="606"/>
      <c r="O380" s="606"/>
      <c r="P380" s="606"/>
      <c r="Q380" s="606"/>
      <c r="R380" s="606"/>
      <c r="S380" s="606"/>
      <c r="T380" s="606"/>
      <c r="U380" s="606"/>
      <c r="V380" s="606"/>
      <c r="W380" s="606"/>
      <c r="X380" s="606"/>
      <c r="Y380" s="606"/>
      <c r="Z380" s="606"/>
    </row>
    <row r="381" spans="1:26" x14ac:dyDescent="0.25">
      <c r="A381" s="51"/>
      <c r="B381" s="51"/>
      <c r="C381" s="51"/>
      <c r="D381" s="51"/>
      <c r="E381" s="51"/>
      <c r="F381" s="51"/>
      <c r="G381" s="51"/>
      <c r="H381" s="51"/>
      <c r="I381" s="51"/>
      <c r="J381" s="51"/>
      <c r="K381" s="67"/>
      <c r="L381" s="51"/>
      <c r="M381" s="51"/>
      <c r="N381" s="51"/>
      <c r="O381" s="51"/>
      <c r="P381" s="51"/>
      <c r="Q381" s="51"/>
      <c r="R381" s="51"/>
      <c r="S381" s="51"/>
      <c r="T381" s="51"/>
      <c r="U381" s="51"/>
      <c r="V381" s="51"/>
      <c r="W381" s="51"/>
      <c r="X381" s="51"/>
      <c r="Y381" s="51"/>
      <c r="Z381" s="51"/>
    </row>
    <row r="382" spans="1:26" x14ac:dyDescent="0.25">
      <c r="A382" s="51"/>
      <c r="B382" s="51"/>
      <c r="C382" s="51"/>
      <c r="D382" s="51"/>
      <c r="E382" s="51"/>
      <c r="F382" s="51"/>
      <c r="G382" s="764" t="s">
        <v>128</v>
      </c>
      <c r="H382" s="753" t="s">
        <v>42</v>
      </c>
      <c r="I382" s="753" t="s">
        <v>52</v>
      </c>
      <c r="J382" s="753" t="s">
        <v>53</v>
      </c>
      <c r="K382" s="766" t="s">
        <v>482</v>
      </c>
      <c r="L382" s="753" t="s">
        <v>32</v>
      </c>
      <c r="M382" s="753" t="s">
        <v>483</v>
      </c>
      <c r="N382" s="753" t="s">
        <v>20</v>
      </c>
      <c r="O382" s="753" t="s">
        <v>55</v>
      </c>
      <c r="P382" s="761" t="s">
        <v>56</v>
      </c>
      <c r="Q382" s="762"/>
      <c r="R382" s="762"/>
      <c r="S382" s="762"/>
      <c r="T382" s="762"/>
      <c r="U382" s="763"/>
      <c r="V382" s="753" t="s">
        <v>57</v>
      </c>
      <c r="W382" s="753" t="s">
        <v>58</v>
      </c>
      <c r="X382" s="753" t="s">
        <v>31</v>
      </c>
      <c r="Y382" s="753" t="s">
        <v>10</v>
      </c>
      <c r="Z382" s="51"/>
    </row>
    <row r="383" spans="1:26" ht="36" x14ac:dyDescent="0.25">
      <c r="A383" s="51"/>
      <c r="B383" s="51"/>
      <c r="C383" s="51"/>
      <c r="D383" s="51" t="s">
        <v>486</v>
      </c>
      <c r="E383" s="51"/>
      <c r="F383" s="51"/>
      <c r="G383" s="765"/>
      <c r="H383" s="754"/>
      <c r="I383" s="754"/>
      <c r="J383" s="754"/>
      <c r="K383" s="767"/>
      <c r="L383" s="754"/>
      <c r="M383" s="754"/>
      <c r="N383" s="754"/>
      <c r="O383" s="754"/>
      <c r="P383" s="608" t="s">
        <v>335</v>
      </c>
      <c r="Q383" s="608" t="s">
        <v>40</v>
      </c>
      <c r="R383" s="608" t="s">
        <v>343</v>
      </c>
      <c r="S383" s="608" t="s">
        <v>344</v>
      </c>
      <c r="T383" s="609" t="s">
        <v>345</v>
      </c>
      <c r="U383" s="608" t="s">
        <v>346</v>
      </c>
      <c r="V383" s="754"/>
      <c r="W383" s="754"/>
      <c r="X383" s="754"/>
      <c r="Y383" s="754"/>
      <c r="Z383" s="51"/>
    </row>
    <row r="384" spans="1:26" x14ac:dyDescent="0.25">
      <c r="A384" s="51">
        <v>6</v>
      </c>
      <c r="B384" s="51">
        <v>2040</v>
      </c>
      <c r="C384" s="51" t="s">
        <v>47</v>
      </c>
      <c r="D384" s="51" t="s">
        <v>487</v>
      </c>
      <c r="E384" s="51" t="s">
        <v>564</v>
      </c>
      <c r="F384" s="51"/>
      <c r="G384" s="610" t="s">
        <v>59</v>
      </c>
      <c r="H384" s="611">
        <v>0</v>
      </c>
      <c r="I384" s="611">
        <v>0</v>
      </c>
      <c r="J384" s="611">
        <v>0</v>
      </c>
      <c r="K384" s="611">
        <v>0</v>
      </c>
      <c r="L384" s="611">
        <v>0</v>
      </c>
      <c r="M384" s="611">
        <v>0</v>
      </c>
      <c r="N384" s="612">
        <v>1175.1327636363635</v>
      </c>
      <c r="O384" s="612">
        <v>409.44348403288171</v>
      </c>
      <c r="P384" s="612">
        <v>539.49846925888278</v>
      </c>
      <c r="Q384" s="612">
        <v>23.361523734790747</v>
      </c>
      <c r="R384" s="611">
        <v>1.5769202529293118</v>
      </c>
      <c r="S384" s="611">
        <v>0.16705675062100381</v>
      </c>
      <c r="T384" s="612">
        <v>148.2996835402468</v>
      </c>
      <c r="U384" s="612">
        <v>26.149340635488667</v>
      </c>
      <c r="V384" s="611">
        <v>0</v>
      </c>
      <c r="W384" s="611">
        <v>0</v>
      </c>
      <c r="X384" s="611">
        <v>0</v>
      </c>
      <c r="Y384" s="613">
        <v>2255.0400500862106</v>
      </c>
      <c r="Z384" s="51"/>
    </row>
    <row r="385" spans="1:26" x14ac:dyDescent="0.25">
      <c r="A385" s="51">
        <v>7</v>
      </c>
      <c r="B385" s="51">
        <v>2040</v>
      </c>
      <c r="C385" s="51" t="s">
        <v>47</v>
      </c>
      <c r="D385" s="51" t="s">
        <v>488</v>
      </c>
      <c r="E385" s="51" t="s">
        <v>564</v>
      </c>
      <c r="F385" s="51"/>
      <c r="G385" s="610" t="s">
        <v>60</v>
      </c>
      <c r="H385" s="611">
        <v>13.340633881136302</v>
      </c>
      <c r="I385" s="611">
        <v>239.69119414034884</v>
      </c>
      <c r="J385" s="611">
        <v>4.6624671135986846</v>
      </c>
      <c r="K385" s="611">
        <v>0</v>
      </c>
      <c r="L385" s="611">
        <v>114.29163652082941</v>
      </c>
      <c r="M385" s="611">
        <v>0</v>
      </c>
      <c r="N385" s="611">
        <v>0</v>
      </c>
      <c r="O385" s="611">
        <v>0</v>
      </c>
      <c r="P385" s="611">
        <v>4.1311012816916577</v>
      </c>
      <c r="Q385" s="611">
        <v>0</v>
      </c>
      <c r="R385" s="611">
        <v>5.4710090626624641</v>
      </c>
      <c r="S385" s="611">
        <v>0</v>
      </c>
      <c r="T385" s="611">
        <v>0</v>
      </c>
      <c r="U385" s="611">
        <v>0</v>
      </c>
      <c r="V385" s="611">
        <v>0</v>
      </c>
      <c r="W385" s="611">
        <v>0</v>
      </c>
      <c r="X385" s="611">
        <v>0</v>
      </c>
      <c r="Y385" s="613">
        <v>381.58804200026736</v>
      </c>
      <c r="Z385" s="51"/>
    </row>
    <row r="386" spans="1:26" x14ac:dyDescent="0.25">
      <c r="A386" s="51">
        <v>8</v>
      </c>
      <c r="B386" s="51">
        <v>2040</v>
      </c>
      <c r="C386" s="51" t="s">
        <v>47</v>
      </c>
      <c r="D386" s="51" t="s">
        <v>489</v>
      </c>
      <c r="E386" s="51" t="s">
        <v>564</v>
      </c>
      <c r="F386" s="51"/>
      <c r="G386" s="610" t="s">
        <v>61</v>
      </c>
      <c r="H386" s="611">
        <v>0</v>
      </c>
      <c r="I386" s="611">
        <v>0</v>
      </c>
      <c r="J386" s="611">
        <v>-17.635841245757831</v>
      </c>
      <c r="K386" s="611">
        <v>-1.7254456421765063</v>
      </c>
      <c r="L386" s="611">
        <v>0</v>
      </c>
      <c r="M386" s="611">
        <v>0</v>
      </c>
      <c r="N386" s="611">
        <v>0</v>
      </c>
      <c r="O386" s="611">
        <v>0</v>
      </c>
      <c r="P386" s="611">
        <v>0</v>
      </c>
      <c r="Q386" s="611">
        <v>0</v>
      </c>
      <c r="R386" s="611">
        <v>0</v>
      </c>
      <c r="S386" s="611">
        <v>0</v>
      </c>
      <c r="T386" s="611">
        <v>0</v>
      </c>
      <c r="U386" s="611">
        <v>0</v>
      </c>
      <c r="V386" s="611">
        <v>-64.4982724362319</v>
      </c>
      <c r="W386" s="611">
        <v>0</v>
      </c>
      <c r="X386" s="611">
        <v>0</v>
      </c>
      <c r="Y386" s="613">
        <v>-83.859559324166241</v>
      </c>
      <c r="Z386" s="51"/>
    </row>
    <row r="387" spans="1:26" x14ac:dyDescent="0.25">
      <c r="A387" s="51">
        <v>9</v>
      </c>
      <c r="B387" s="51">
        <v>2040</v>
      </c>
      <c r="C387" s="51" t="s">
        <v>47</v>
      </c>
      <c r="D387" s="51" t="s">
        <v>490</v>
      </c>
      <c r="E387" s="51" t="s">
        <v>564</v>
      </c>
      <c r="F387" s="51"/>
      <c r="G387" s="610" t="s">
        <v>62</v>
      </c>
      <c r="H387" s="611">
        <v>0</v>
      </c>
      <c r="I387" s="611">
        <v>0</v>
      </c>
      <c r="J387" s="611">
        <v>-5.0879563574801514</v>
      </c>
      <c r="K387" s="611">
        <v>-4.1045183661856841</v>
      </c>
      <c r="L387" s="611">
        <v>0</v>
      </c>
      <c r="M387" s="611">
        <v>-3.6084739343150005</v>
      </c>
      <c r="N387" s="611">
        <v>0</v>
      </c>
      <c r="O387" s="611">
        <v>0</v>
      </c>
      <c r="P387" s="611">
        <v>0</v>
      </c>
      <c r="Q387" s="611">
        <v>0</v>
      </c>
      <c r="R387" s="611">
        <v>-1.3861783673523449</v>
      </c>
      <c r="S387" s="611">
        <v>-2.4056492895433337</v>
      </c>
      <c r="T387" s="611">
        <v>0</v>
      </c>
      <c r="U387" s="611">
        <v>0</v>
      </c>
      <c r="V387" s="611">
        <v>0</v>
      </c>
      <c r="W387" s="611">
        <v>0</v>
      </c>
      <c r="X387" s="611">
        <v>-1.1711400462326651</v>
      </c>
      <c r="Y387" s="613">
        <v>-17.763916361109182</v>
      </c>
      <c r="Z387" s="51"/>
    </row>
    <row r="388" spans="1:26" x14ac:dyDescent="0.25">
      <c r="A388" s="51">
        <v>10</v>
      </c>
      <c r="B388" s="51">
        <v>2040</v>
      </c>
      <c r="C388" s="51" t="s">
        <v>47</v>
      </c>
      <c r="D388" s="51" t="s">
        <v>491</v>
      </c>
      <c r="E388" s="51" t="s">
        <v>564</v>
      </c>
      <c r="F388" s="51"/>
      <c r="G388" s="610" t="s">
        <v>63</v>
      </c>
      <c r="H388" s="611">
        <v>0</v>
      </c>
      <c r="I388" s="611">
        <v>0</v>
      </c>
      <c r="J388" s="611">
        <v>-39.079068395762839</v>
      </c>
      <c r="K388" s="611">
        <v>-8.2277507760007769</v>
      </c>
      <c r="L388" s="611">
        <v>0</v>
      </c>
      <c r="M388" s="611">
        <v>0</v>
      </c>
      <c r="N388" s="611">
        <v>0</v>
      </c>
      <c r="O388" s="611">
        <v>0</v>
      </c>
      <c r="P388" s="611">
        <v>0</v>
      </c>
      <c r="Q388" s="611">
        <v>0</v>
      </c>
      <c r="R388" s="611">
        <v>-15.189693740309128</v>
      </c>
      <c r="S388" s="611">
        <v>0</v>
      </c>
      <c r="T388" s="611">
        <v>0</v>
      </c>
      <c r="U388" s="611">
        <v>0</v>
      </c>
      <c r="V388" s="611">
        <v>0</v>
      </c>
      <c r="W388" s="611">
        <v>0</v>
      </c>
      <c r="X388" s="611">
        <v>-2.6141112366127883</v>
      </c>
      <c r="Y388" s="613">
        <v>-65.110624148685531</v>
      </c>
      <c r="Z388" s="51"/>
    </row>
    <row r="389" spans="1:26" x14ac:dyDescent="0.25">
      <c r="A389" s="51">
        <v>11</v>
      </c>
      <c r="B389" s="51">
        <v>2040</v>
      </c>
      <c r="C389" s="51" t="s">
        <v>47</v>
      </c>
      <c r="D389" s="51" t="s">
        <v>492</v>
      </c>
      <c r="E389" s="51" t="s">
        <v>564</v>
      </c>
      <c r="F389" s="51"/>
      <c r="G389" s="610" t="s">
        <v>64</v>
      </c>
      <c r="H389" s="611">
        <v>0</v>
      </c>
      <c r="I389" s="611">
        <v>0</v>
      </c>
      <c r="J389" s="611">
        <v>0</v>
      </c>
      <c r="K389" s="611">
        <v>0</v>
      </c>
      <c r="L389" s="611">
        <v>0</v>
      </c>
      <c r="M389" s="611">
        <v>0</v>
      </c>
      <c r="N389" s="611">
        <v>0</v>
      </c>
      <c r="O389" s="611">
        <v>0</v>
      </c>
      <c r="P389" s="611">
        <v>0</v>
      </c>
      <c r="Q389" s="611">
        <v>0</v>
      </c>
      <c r="R389" s="611">
        <v>0</v>
      </c>
      <c r="S389" s="611">
        <v>0</v>
      </c>
      <c r="T389" s="611">
        <v>0</v>
      </c>
      <c r="U389" s="611">
        <v>0</v>
      </c>
      <c r="V389" s="611">
        <v>0</v>
      </c>
      <c r="W389" s="611">
        <v>0</v>
      </c>
      <c r="X389" s="611">
        <v>0</v>
      </c>
      <c r="Y389" s="613">
        <v>0</v>
      </c>
      <c r="Z389" s="51"/>
    </row>
    <row r="390" spans="1:26" x14ac:dyDescent="0.25">
      <c r="A390" s="51">
        <v>12</v>
      </c>
      <c r="B390" s="51">
        <v>2040</v>
      </c>
      <c r="C390" s="51" t="s">
        <v>47</v>
      </c>
      <c r="D390" s="51" t="s">
        <v>493</v>
      </c>
      <c r="E390" s="51" t="s">
        <v>564</v>
      </c>
      <c r="F390" s="51"/>
      <c r="G390" s="614" t="s">
        <v>65</v>
      </c>
      <c r="H390" s="615">
        <v>13.340633881136302</v>
      </c>
      <c r="I390" s="615">
        <v>239.69119414034884</v>
      </c>
      <c r="J390" s="615">
        <v>-57.140398885402135</v>
      </c>
      <c r="K390" s="615">
        <v>-14.057714784362968</v>
      </c>
      <c r="L390" s="615">
        <v>114.29163652082941</v>
      </c>
      <c r="M390" s="615">
        <v>-3.6084739343150005</v>
      </c>
      <c r="N390" s="615">
        <v>1175.1327636363635</v>
      </c>
      <c r="O390" s="615">
        <v>409.44348403288171</v>
      </c>
      <c r="P390" s="615">
        <v>543.62957054057449</v>
      </c>
      <c r="Q390" s="615">
        <v>23.361523734790747</v>
      </c>
      <c r="R390" s="615">
        <v>-9.5279427920696982</v>
      </c>
      <c r="S390" s="615">
        <v>-2.23859253892233</v>
      </c>
      <c r="T390" s="615">
        <v>148.2996835402468</v>
      </c>
      <c r="U390" s="615">
        <v>26.149340635488667</v>
      </c>
      <c r="V390" s="615">
        <v>-64.4982724362319</v>
      </c>
      <c r="W390" s="615">
        <v>0</v>
      </c>
      <c r="X390" s="615">
        <v>-3.7852512828454534</v>
      </c>
      <c r="Y390" s="615">
        <v>2469.8939922525169</v>
      </c>
      <c r="Z390" s="51"/>
    </row>
    <row r="391" spans="1:26" x14ac:dyDescent="0.25">
      <c r="A391" s="51"/>
      <c r="B391" s="51"/>
      <c r="C391" s="51"/>
      <c r="D391" s="51"/>
      <c r="E391" s="51"/>
      <c r="F391" s="51"/>
      <c r="G391" s="616"/>
      <c r="H391" s="617"/>
      <c r="I391" s="617"/>
      <c r="J391" s="617"/>
      <c r="K391" s="617"/>
      <c r="L391" s="623"/>
      <c r="M391" s="617"/>
      <c r="N391" s="617"/>
      <c r="O391" s="617"/>
      <c r="P391" s="617"/>
      <c r="Q391" s="617"/>
      <c r="R391" s="617"/>
      <c r="S391" s="617"/>
      <c r="T391" s="617"/>
      <c r="U391" s="617"/>
      <c r="V391" s="617"/>
      <c r="W391" s="617"/>
      <c r="X391" s="617"/>
      <c r="Y391" s="617"/>
      <c r="Z391" s="51"/>
    </row>
    <row r="392" spans="1:26" x14ac:dyDescent="0.25">
      <c r="A392" s="51">
        <v>14</v>
      </c>
      <c r="B392" s="51">
        <v>2040</v>
      </c>
      <c r="C392" s="51" t="s">
        <v>47</v>
      </c>
      <c r="D392" s="51" t="s">
        <v>494</v>
      </c>
      <c r="E392" s="51" t="s">
        <v>564</v>
      </c>
      <c r="F392" s="51"/>
      <c r="G392" s="618" t="s">
        <v>67</v>
      </c>
      <c r="H392" s="611">
        <v>0</v>
      </c>
      <c r="I392" s="611">
        <v>0</v>
      </c>
      <c r="J392" s="611">
        <v>0</v>
      </c>
      <c r="K392" s="611">
        <v>0</v>
      </c>
      <c r="L392" s="611">
        <v>0</v>
      </c>
      <c r="M392" s="611">
        <v>0</v>
      </c>
      <c r="N392" s="611">
        <v>0</v>
      </c>
      <c r="O392" s="611">
        <v>0</v>
      </c>
      <c r="P392" s="611">
        <v>0</v>
      </c>
      <c r="Q392" s="611">
        <v>0</v>
      </c>
      <c r="R392" s="611">
        <v>0</v>
      </c>
      <c r="S392" s="611">
        <v>0</v>
      </c>
      <c r="T392" s="611">
        <v>0</v>
      </c>
      <c r="U392" s="611">
        <v>0</v>
      </c>
      <c r="V392" s="611">
        <v>0</v>
      </c>
      <c r="W392" s="611">
        <v>0</v>
      </c>
      <c r="X392" s="611">
        <v>0</v>
      </c>
      <c r="Y392" s="619">
        <v>0</v>
      </c>
      <c r="Z392" s="51"/>
    </row>
    <row r="393" spans="1:26" x14ac:dyDescent="0.25">
      <c r="A393" s="51">
        <v>15</v>
      </c>
      <c r="B393" s="51">
        <v>2040</v>
      </c>
      <c r="C393" s="51" t="s">
        <v>47</v>
      </c>
      <c r="D393" s="51" t="s">
        <v>495</v>
      </c>
      <c r="E393" s="51" t="s">
        <v>564</v>
      </c>
      <c r="F393" s="51"/>
      <c r="G393" s="618" t="s">
        <v>347</v>
      </c>
      <c r="H393" s="611">
        <v>0</v>
      </c>
      <c r="I393" s="611">
        <v>0</v>
      </c>
      <c r="J393" s="611">
        <v>6.6151953400033478E-2</v>
      </c>
      <c r="K393" s="611">
        <v>0</v>
      </c>
      <c r="L393" s="611">
        <v>0.83875095652173937</v>
      </c>
      <c r="M393" s="611">
        <v>0</v>
      </c>
      <c r="N393" s="611">
        <v>1175.1327636363635</v>
      </c>
      <c r="O393" s="611">
        <v>409.44348403288171</v>
      </c>
      <c r="P393" s="611">
        <v>22.368860929108919</v>
      </c>
      <c r="Q393" s="611">
        <v>0.7936817709981997</v>
      </c>
      <c r="R393" s="611">
        <v>5.6269378379330357</v>
      </c>
      <c r="S393" s="611">
        <v>0.80015093186061059</v>
      </c>
      <c r="T393" s="611">
        <v>0</v>
      </c>
      <c r="U393" s="611">
        <v>6.4327567473291545</v>
      </c>
      <c r="V393" s="611">
        <v>-844.68205318742605</v>
      </c>
      <c r="W393" s="611">
        <v>0</v>
      </c>
      <c r="X393" s="611">
        <v>3.6921899999999996</v>
      </c>
      <c r="Y393" s="619">
        <v>780.51367560897063</v>
      </c>
      <c r="Z393" s="51"/>
    </row>
    <row r="394" spans="1:26" x14ac:dyDescent="0.25">
      <c r="A394" s="51">
        <v>16</v>
      </c>
      <c r="B394" s="51">
        <v>2040</v>
      </c>
      <c r="C394" s="51" t="s">
        <v>47</v>
      </c>
      <c r="D394" s="51" t="s">
        <v>496</v>
      </c>
      <c r="E394" s="51" t="s">
        <v>564</v>
      </c>
      <c r="F394" s="51"/>
      <c r="G394" s="618" t="s">
        <v>348</v>
      </c>
      <c r="H394" s="611">
        <v>0</v>
      </c>
      <c r="I394" s="611">
        <v>0</v>
      </c>
      <c r="J394" s="611">
        <v>0</v>
      </c>
      <c r="K394" s="611">
        <v>0</v>
      </c>
      <c r="L394" s="611">
        <v>8.2142613569509191</v>
      </c>
      <c r="M394" s="611">
        <v>0</v>
      </c>
      <c r="N394" s="611">
        <v>0</v>
      </c>
      <c r="O394" s="611">
        <v>0</v>
      </c>
      <c r="P394" s="611">
        <v>39.682219254582726</v>
      </c>
      <c r="Q394" s="611">
        <v>15.579738586589816</v>
      </c>
      <c r="R394" s="611">
        <v>0</v>
      </c>
      <c r="S394" s="611">
        <v>6.7352530858367707</v>
      </c>
      <c r="T394" s="611">
        <v>0</v>
      </c>
      <c r="U394" s="611">
        <v>12.328765194823482</v>
      </c>
      <c r="V394" s="611">
        <v>0</v>
      </c>
      <c r="W394" s="611">
        <v>-76.844512768093665</v>
      </c>
      <c r="X394" s="611">
        <v>0</v>
      </c>
      <c r="Y394" s="619">
        <v>5.6957247106900581</v>
      </c>
      <c r="Z394" s="51"/>
    </row>
    <row r="395" spans="1:26" x14ac:dyDescent="0.25">
      <c r="A395" s="51">
        <v>17</v>
      </c>
      <c r="B395" s="51">
        <v>2040</v>
      </c>
      <c r="C395" s="51" t="s">
        <v>47</v>
      </c>
      <c r="D395" s="51" t="s">
        <v>497</v>
      </c>
      <c r="E395" s="51" t="s">
        <v>564</v>
      </c>
      <c r="F395" s="51"/>
      <c r="G395" s="618" t="s">
        <v>349</v>
      </c>
      <c r="H395" s="611">
        <v>0</v>
      </c>
      <c r="I395" s="611">
        <v>0</v>
      </c>
      <c r="J395" s="611">
        <v>0</v>
      </c>
      <c r="K395" s="611">
        <v>0</v>
      </c>
      <c r="L395" s="611">
        <v>0</v>
      </c>
      <c r="M395" s="611">
        <v>0</v>
      </c>
      <c r="N395" s="611">
        <v>0</v>
      </c>
      <c r="O395" s="611">
        <v>0</v>
      </c>
      <c r="P395" s="611">
        <v>175.16210140047244</v>
      </c>
      <c r="Q395" s="611">
        <v>0</v>
      </c>
      <c r="R395" s="611">
        <v>0</v>
      </c>
      <c r="S395" s="611">
        <v>-96.33915577025985</v>
      </c>
      <c r="T395" s="611">
        <v>0</v>
      </c>
      <c r="U395" s="611">
        <v>0</v>
      </c>
      <c r="V395" s="611">
        <v>0</v>
      </c>
      <c r="W395" s="611">
        <v>0</v>
      </c>
      <c r="X395" s="611">
        <v>0</v>
      </c>
      <c r="Y395" s="619">
        <v>78.822945630212587</v>
      </c>
      <c r="Z395" s="51"/>
    </row>
    <row r="396" spans="1:26" x14ac:dyDescent="0.25">
      <c r="A396" s="51">
        <v>18</v>
      </c>
      <c r="B396" s="51">
        <v>2040</v>
      </c>
      <c r="C396" s="51" t="s">
        <v>47</v>
      </c>
      <c r="D396" s="51" t="s">
        <v>498</v>
      </c>
      <c r="E396" s="51" t="s">
        <v>564</v>
      </c>
      <c r="F396" s="51"/>
      <c r="G396" s="618" t="s">
        <v>350</v>
      </c>
      <c r="H396" s="611">
        <v>0</v>
      </c>
      <c r="I396" s="611">
        <v>0</v>
      </c>
      <c r="J396" s="611">
        <v>0</v>
      </c>
      <c r="K396" s="611">
        <v>0</v>
      </c>
      <c r="L396" s="611">
        <v>0</v>
      </c>
      <c r="M396" s="611">
        <v>-3.6084739343150005</v>
      </c>
      <c r="N396" s="611">
        <v>0</v>
      </c>
      <c r="O396" s="611">
        <v>0</v>
      </c>
      <c r="P396" s="611">
        <v>0</v>
      </c>
      <c r="Q396" s="611">
        <v>0</v>
      </c>
      <c r="R396" s="611">
        <v>0</v>
      </c>
      <c r="S396" s="611">
        <v>0</v>
      </c>
      <c r="T396" s="611">
        <v>0</v>
      </c>
      <c r="U396" s="611">
        <v>0</v>
      </c>
      <c r="V396" s="611">
        <v>0</v>
      </c>
      <c r="W396" s="611">
        <v>0</v>
      </c>
      <c r="X396" s="611">
        <v>5.0117693532152785</v>
      </c>
      <c r="Y396" s="619">
        <v>1.403295418900278</v>
      </c>
      <c r="Z396" s="51"/>
    </row>
    <row r="397" spans="1:26" x14ac:dyDescent="0.25">
      <c r="A397" s="51">
        <v>19</v>
      </c>
      <c r="B397" s="51">
        <v>2040</v>
      </c>
      <c r="C397" s="51" t="s">
        <v>47</v>
      </c>
      <c r="D397" s="51" t="s">
        <v>499</v>
      </c>
      <c r="E397" s="51" t="s">
        <v>564</v>
      </c>
      <c r="F397" s="51"/>
      <c r="G397" s="618" t="s">
        <v>72</v>
      </c>
      <c r="H397" s="611">
        <v>0</v>
      </c>
      <c r="I397" s="611">
        <v>248.37987406049137</v>
      </c>
      <c r="J397" s="611">
        <v>-245.90430306488159</v>
      </c>
      <c r="K397" s="611">
        <v>0</v>
      </c>
      <c r="L397" s="611">
        <v>0</v>
      </c>
      <c r="M397" s="611">
        <v>0</v>
      </c>
      <c r="N397" s="611">
        <v>0</v>
      </c>
      <c r="O397" s="611">
        <v>0</v>
      </c>
      <c r="P397" s="611">
        <v>0</v>
      </c>
      <c r="Q397" s="611">
        <v>0</v>
      </c>
      <c r="R397" s="611">
        <v>0</v>
      </c>
      <c r="S397" s="611">
        <v>0</v>
      </c>
      <c r="T397" s="611">
        <v>0</v>
      </c>
      <c r="U397" s="611">
        <v>0</v>
      </c>
      <c r="V397" s="611">
        <v>0</v>
      </c>
      <c r="W397" s="611">
        <v>0</v>
      </c>
      <c r="X397" s="611">
        <v>0</v>
      </c>
      <c r="Y397" s="619">
        <v>2.475570995609786</v>
      </c>
      <c r="Z397" s="51"/>
    </row>
    <row r="398" spans="1:26" x14ac:dyDescent="0.25">
      <c r="A398" s="51">
        <v>20</v>
      </c>
      <c r="B398" s="51">
        <v>2040</v>
      </c>
      <c r="C398" s="51" t="s">
        <v>47</v>
      </c>
      <c r="D398" s="51" t="s">
        <v>500</v>
      </c>
      <c r="E398" s="51" t="s">
        <v>564</v>
      </c>
      <c r="F398" s="51"/>
      <c r="G398" s="618" t="s">
        <v>351</v>
      </c>
      <c r="H398" s="611">
        <v>0</v>
      </c>
      <c r="I398" s="611">
        <v>0</v>
      </c>
      <c r="J398" s="611">
        <v>0</v>
      </c>
      <c r="K398" s="611">
        <v>0</v>
      </c>
      <c r="L398" s="611">
        <v>0</v>
      </c>
      <c r="M398" s="611">
        <v>0</v>
      </c>
      <c r="N398" s="611">
        <v>0</v>
      </c>
      <c r="O398" s="611">
        <v>0</v>
      </c>
      <c r="P398" s="611">
        <v>241.57977746902651</v>
      </c>
      <c r="Q398" s="611">
        <v>0</v>
      </c>
      <c r="R398" s="611">
        <v>-132.86887760796458</v>
      </c>
      <c r="S398" s="611">
        <v>0</v>
      </c>
      <c r="T398" s="611">
        <v>0</v>
      </c>
      <c r="U398" s="611">
        <v>0</v>
      </c>
      <c r="V398" s="611">
        <v>0</v>
      </c>
      <c r="W398" s="611">
        <v>0</v>
      </c>
      <c r="X398" s="611">
        <v>0</v>
      </c>
      <c r="Y398" s="619">
        <v>108.71089986106193</v>
      </c>
      <c r="Z398" s="51"/>
    </row>
    <row r="399" spans="1:26" x14ac:dyDescent="0.25">
      <c r="A399" s="51">
        <v>21</v>
      </c>
      <c r="B399" s="51">
        <v>2040</v>
      </c>
      <c r="C399" s="51" t="s">
        <v>47</v>
      </c>
      <c r="D399" s="51" t="s">
        <v>501</v>
      </c>
      <c r="E399" s="51" t="s">
        <v>564</v>
      </c>
      <c r="F399" s="51"/>
      <c r="G399" s="618" t="s">
        <v>352</v>
      </c>
      <c r="H399" s="611">
        <v>0</v>
      </c>
      <c r="I399" s="611">
        <v>0</v>
      </c>
      <c r="J399" s="611">
        <v>0</v>
      </c>
      <c r="K399" s="611">
        <v>-17.665386413709186</v>
      </c>
      <c r="L399" s="611">
        <v>0</v>
      </c>
      <c r="M399" s="611">
        <v>0</v>
      </c>
      <c r="N399" s="611">
        <v>0</v>
      </c>
      <c r="O399" s="611">
        <v>0</v>
      </c>
      <c r="P399" s="611">
        <v>0</v>
      </c>
      <c r="Q399" s="611">
        <v>0</v>
      </c>
      <c r="R399" s="611">
        <v>0</v>
      </c>
      <c r="S399" s="611">
        <v>0</v>
      </c>
      <c r="T399" s="611">
        <v>0</v>
      </c>
      <c r="U399" s="611">
        <v>0</v>
      </c>
      <c r="V399" s="611">
        <v>0</v>
      </c>
      <c r="W399" s="611">
        <v>0</v>
      </c>
      <c r="X399" s="611">
        <v>23.034172245220685</v>
      </c>
      <c r="Y399" s="619">
        <v>5.3687858315114987</v>
      </c>
      <c r="Z399" s="51"/>
    </row>
    <row r="400" spans="1:26" x14ac:dyDescent="0.25">
      <c r="A400" s="51">
        <v>22</v>
      </c>
      <c r="B400" s="51">
        <v>2040</v>
      </c>
      <c r="C400" s="51" t="s">
        <v>47</v>
      </c>
      <c r="D400" s="51" t="s">
        <v>502</v>
      </c>
      <c r="E400" s="51" t="s">
        <v>564</v>
      </c>
      <c r="F400" s="51"/>
      <c r="G400" s="618" t="s">
        <v>73</v>
      </c>
      <c r="H400" s="611">
        <v>0</v>
      </c>
      <c r="I400" s="611">
        <v>0</v>
      </c>
      <c r="J400" s="611">
        <v>0</v>
      </c>
      <c r="K400" s="611">
        <v>0</v>
      </c>
      <c r="L400" s="611">
        <v>0</v>
      </c>
      <c r="M400" s="611">
        <v>0</v>
      </c>
      <c r="N400" s="611">
        <v>0</v>
      </c>
      <c r="O400" s="611">
        <v>0</v>
      </c>
      <c r="P400" s="611">
        <v>0</v>
      </c>
      <c r="Q400" s="611">
        <v>0</v>
      </c>
      <c r="R400" s="611">
        <v>0</v>
      </c>
      <c r="S400" s="611">
        <v>0</v>
      </c>
      <c r="T400" s="611">
        <v>0</v>
      </c>
      <c r="U400" s="611">
        <v>0</v>
      </c>
      <c r="V400" s="611">
        <v>117.86552977975516</v>
      </c>
      <c r="W400" s="611">
        <v>0</v>
      </c>
      <c r="X400" s="611">
        <v>-80.737887899132289</v>
      </c>
      <c r="Y400" s="619">
        <v>37.127641880622875</v>
      </c>
      <c r="Z400" s="51"/>
    </row>
    <row r="401" spans="1:26" x14ac:dyDescent="0.25">
      <c r="A401" s="51">
        <v>23</v>
      </c>
      <c r="B401" s="51">
        <v>2040</v>
      </c>
      <c r="C401" s="51" t="s">
        <v>47</v>
      </c>
      <c r="D401" s="51" t="s">
        <v>503</v>
      </c>
      <c r="E401" s="51" t="s">
        <v>564</v>
      </c>
      <c r="F401" s="51"/>
      <c r="G401" s="618" t="s">
        <v>353</v>
      </c>
      <c r="H401" s="611">
        <v>7.6015399218749993</v>
      </c>
      <c r="I401" s="611">
        <v>-8.6886799201425244</v>
      </c>
      <c r="J401" s="611">
        <v>11.323469941688563</v>
      </c>
      <c r="K401" s="611">
        <v>0</v>
      </c>
      <c r="L401" s="611">
        <v>0</v>
      </c>
      <c r="M401" s="611">
        <v>0</v>
      </c>
      <c r="N401" s="611">
        <v>0</v>
      </c>
      <c r="O401" s="611">
        <v>0</v>
      </c>
      <c r="P401" s="611">
        <v>0</v>
      </c>
      <c r="Q401" s="611">
        <v>0</v>
      </c>
      <c r="R401" s="611">
        <v>0</v>
      </c>
      <c r="S401" s="611">
        <v>0</v>
      </c>
      <c r="T401" s="611">
        <v>0</v>
      </c>
      <c r="U401" s="611">
        <v>0</v>
      </c>
      <c r="V401" s="611">
        <v>0</v>
      </c>
      <c r="W401" s="611">
        <v>0</v>
      </c>
      <c r="X401" s="611">
        <v>0</v>
      </c>
      <c r="Y401" s="619">
        <v>10.236329943421037</v>
      </c>
      <c r="Z401" s="51"/>
    </row>
    <row r="402" spans="1:26" x14ac:dyDescent="0.25">
      <c r="A402" s="51">
        <v>24</v>
      </c>
      <c r="B402" s="51">
        <v>2040</v>
      </c>
      <c r="C402" s="51" t="s">
        <v>47</v>
      </c>
      <c r="D402" s="51" t="s">
        <v>504</v>
      </c>
      <c r="E402" s="51" t="s">
        <v>564</v>
      </c>
      <c r="F402" s="51"/>
      <c r="G402" s="618" t="s">
        <v>75</v>
      </c>
      <c r="H402" s="611">
        <v>2.9561544140625</v>
      </c>
      <c r="I402" s="611">
        <v>0</v>
      </c>
      <c r="J402" s="611">
        <v>8.5207834498967969</v>
      </c>
      <c r="K402" s="611">
        <v>0</v>
      </c>
      <c r="L402" s="611">
        <v>2.8438669910513061</v>
      </c>
      <c r="M402" s="611">
        <v>0</v>
      </c>
      <c r="N402" s="611">
        <v>0</v>
      </c>
      <c r="O402" s="611">
        <v>0</v>
      </c>
      <c r="P402" s="611">
        <v>0</v>
      </c>
      <c r="Q402" s="611">
        <v>0</v>
      </c>
      <c r="R402" s="611">
        <v>0</v>
      </c>
      <c r="S402" s="611">
        <v>2.3268002654056139</v>
      </c>
      <c r="T402" s="611">
        <v>0</v>
      </c>
      <c r="U402" s="611">
        <v>0</v>
      </c>
      <c r="V402" s="611">
        <v>65.316211737855681</v>
      </c>
      <c r="W402" s="611">
        <v>0</v>
      </c>
      <c r="X402" s="611">
        <v>0</v>
      </c>
      <c r="Y402" s="619">
        <v>81.963816858271898</v>
      </c>
      <c r="Z402" s="51"/>
    </row>
    <row r="403" spans="1:26" x14ac:dyDescent="0.25">
      <c r="A403" s="51">
        <v>25</v>
      </c>
      <c r="B403" s="51">
        <v>2040</v>
      </c>
      <c r="C403" s="51" t="s">
        <v>47</v>
      </c>
      <c r="D403" s="51" t="s">
        <v>505</v>
      </c>
      <c r="E403" s="51" t="s">
        <v>564</v>
      </c>
      <c r="F403" s="51"/>
      <c r="G403" s="618" t="s">
        <v>76</v>
      </c>
      <c r="H403" s="611">
        <v>0</v>
      </c>
      <c r="I403" s="611">
        <v>0</v>
      </c>
      <c r="J403" s="611">
        <v>0</v>
      </c>
      <c r="K403" s="611">
        <v>0</v>
      </c>
      <c r="L403" s="611">
        <v>1.2487307293345435</v>
      </c>
      <c r="M403" s="611">
        <v>0</v>
      </c>
      <c r="N403" s="611">
        <v>0</v>
      </c>
      <c r="O403" s="611">
        <v>0</v>
      </c>
      <c r="P403" s="611">
        <v>0</v>
      </c>
      <c r="Q403" s="611">
        <v>0</v>
      </c>
      <c r="R403" s="611">
        <v>0</v>
      </c>
      <c r="S403" s="611">
        <v>1.0216887785464446</v>
      </c>
      <c r="T403" s="611">
        <v>0</v>
      </c>
      <c r="U403" s="611">
        <v>0</v>
      </c>
      <c r="V403" s="611">
        <v>59.730312087486432</v>
      </c>
      <c r="W403" s="611">
        <v>5.9593934605085384</v>
      </c>
      <c r="X403" s="611">
        <v>0</v>
      </c>
      <c r="Y403" s="619">
        <v>67.960125055875963</v>
      </c>
      <c r="Z403" s="51"/>
    </row>
    <row r="404" spans="1:26" x14ac:dyDescent="0.25">
      <c r="A404" s="51">
        <v>26</v>
      </c>
      <c r="B404" s="51">
        <v>2040</v>
      </c>
      <c r="C404" s="51" t="s">
        <v>47</v>
      </c>
      <c r="D404" s="51" t="s">
        <v>506</v>
      </c>
      <c r="E404" s="51" t="s">
        <v>564</v>
      </c>
      <c r="F404" s="51"/>
      <c r="G404" s="614" t="s">
        <v>77</v>
      </c>
      <c r="H404" s="615">
        <v>10.5576943359375</v>
      </c>
      <c r="I404" s="615">
        <v>239.69119414034884</v>
      </c>
      <c r="J404" s="615">
        <v>-225.99389771989621</v>
      </c>
      <c r="K404" s="615">
        <v>-17.665386413709186</v>
      </c>
      <c r="L404" s="615">
        <v>13.145610033858507</v>
      </c>
      <c r="M404" s="615">
        <v>-3.6084739343150005</v>
      </c>
      <c r="N404" s="615">
        <v>1175.1327636363635</v>
      </c>
      <c r="O404" s="615">
        <v>409.44348403288171</v>
      </c>
      <c r="P404" s="615">
        <v>478.7929590531906</v>
      </c>
      <c r="Q404" s="615">
        <v>16.373420357588014</v>
      </c>
      <c r="R404" s="615">
        <v>-127.24193977003154</v>
      </c>
      <c r="S404" s="615">
        <v>-85.45526270861042</v>
      </c>
      <c r="T404" s="615">
        <v>0</v>
      </c>
      <c r="U404" s="615">
        <v>18.761521942152637</v>
      </c>
      <c r="V404" s="615">
        <v>-601.76999958232864</v>
      </c>
      <c r="W404" s="615">
        <v>-70.885119307585128</v>
      </c>
      <c r="X404" s="615">
        <v>-48.999756300696326</v>
      </c>
      <c r="Y404" s="615">
        <v>1111.689620039155</v>
      </c>
      <c r="Z404" s="51"/>
    </row>
    <row r="405" spans="1:26" x14ac:dyDescent="0.25">
      <c r="A405" s="51"/>
      <c r="B405" s="51"/>
      <c r="C405" s="51"/>
      <c r="D405" s="51"/>
      <c r="E405" s="51"/>
      <c r="F405" s="51"/>
      <c r="G405" s="616"/>
      <c r="H405" s="617"/>
      <c r="I405" s="617"/>
      <c r="J405" s="617"/>
      <c r="K405" s="617"/>
      <c r="L405" s="623"/>
      <c r="M405" s="617"/>
      <c r="N405" s="617"/>
      <c r="O405" s="617"/>
      <c r="P405" s="617"/>
      <c r="Q405" s="617"/>
      <c r="R405" s="617"/>
      <c r="S405" s="685"/>
      <c r="T405" s="617"/>
      <c r="U405" s="617"/>
      <c r="V405" s="617"/>
      <c r="W405" s="617"/>
      <c r="X405" s="617"/>
      <c r="Y405" s="617"/>
      <c r="Z405" s="51"/>
    </row>
    <row r="406" spans="1:26" x14ac:dyDescent="0.25">
      <c r="A406" s="51">
        <v>28</v>
      </c>
      <c r="B406" s="51">
        <v>2040</v>
      </c>
      <c r="C406" s="51" t="s">
        <v>47</v>
      </c>
      <c r="D406" s="51" t="s">
        <v>507</v>
      </c>
      <c r="E406" s="51" t="s">
        <v>564</v>
      </c>
      <c r="F406" s="51"/>
      <c r="G406" s="618" t="s">
        <v>78</v>
      </c>
      <c r="H406" s="611">
        <v>2.7829395451988024</v>
      </c>
      <c r="I406" s="611">
        <v>0</v>
      </c>
      <c r="J406" s="611">
        <v>5.9508631597557615</v>
      </c>
      <c r="K406" s="611">
        <v>0</v>
      </c>
      <c r="L406" s="611">
        <v>39.502554352900951</v>
      </c>
      <c r="M406" s="611">
        <v>0</v>
      </c>
      <c r="N406" s="611">
        <v>0</v>
      </c>
      <c r="O406" s="611">
        <v>0</v>
      </c>
      <c r="P406" s="611">
        <v>22.312304964799452</v>
      </c>
      <c r="Q406" s="611">
        <v>6.9877021638277412</v>
      </c>
      <c r="R406" s="611">
        <v>2.0803229791147206</v>
      </c>
      <c r="S406" s="611">
        <v>32.358934550865669</v>
      </c>
      <c r="T406" s="611">
        <v>13.3040771484375</v>
      </c>
      <c r="U406" s="611">
        <v>7.8820466826144567E-4</v>
      </c>
      <c r="V406" s="611">
        <v>173.89525275416003</v>
      </c>
      <c r="W406" s="611">
        <v>20.634753208520429</v>
      </c>
      <c r="X406" s="611">
        <v>9.0650810546875</v>
      </c>
      <c r="Y406" s="619">
        <v>328.87557408693681</v>
      </c>
      <c r="Z406" s="51"/>
    </row>
    <row r="407" spans="1:26" x14ac:dyDescent="0.25">
      <c r="A407" s="51">
        <v>29</v>
      </c>
      <c r="B407" s="51">
        <v>2040</v>
      </c>
      <c r="C407" s="51" t="s">
        <v>47</v>
      </c>
      <c r="D407" s="51" t="s">
        <v>508</v>
      </c>
      <c r="E407" s="51" t="s">
        <v>564</v>
      </c>
      <c r="F407" s="51"/>
      <c r="G407" s="618" t="s">
        <v>79</v>
      </c>
      <c r="H407" s="611">
        <v>0</v>
      </c>
      <c r="I407" s="611">
        <v>0</v>
      </c>
      <c r="J407" s="611">
        <v>66.70797411064288</v>
      </c>
      <c r="K407" s="611">
        <v>1.4882117515392765</v>
      </c>
      <c r="L407" s="611">
        <v>4.2678947974839696</v>
      </c>
      <c r="M407" s="611">
        <v>0</v>
      </c>
      <c r="N407" s="611">
        <v>0</v>
      </c>
      <c r="O407" s="611">
        <v>0</v>
      </c>
      <c r="P407" s="611">
        <v>0</v>
      </c>
      <c r="Q407" s="611">
        <v>0</v>
      </c>
      <c r="R407" s="611">
        <v>73.593483349125535</v>
      </c>
      <c r="S407" s="611">
        <v>3.4919139252141571</v>
      </c>
      <c r="T407" s="611">
        <v>0</v>
      </c>
      <c r="U407" s="611">
        <v>0</v>
      </c>
      <c r="V407" s="611">
        <v>93.510067312183125</v>
      </c>
      <c r="W407" s="611">
        <v>0</v>
      </c>
      <c r="X407" s="611">
        <v>4.8685919891456626</v>
      </c>
      <c r="Y407" s="619">
        <v>247.92813723533465</v>
      </c>
      <c r="Z407" s="51"/>
    </row>
    <row r="408" spans="1:26" x14ac:dyDescent="0.25">
      <c r="A408" s="51">
        <v>30</v>
      </c>
      <c r="B408" s="51">
        <v>2040</v>
      </c>
      <c r="C408" s="51" t="s">
        <v>47</v>
      </c>
      <c r="D408" s="51" t="s">
        <v>509</v>
      </c>
      <c r="E408" s="51" t="s">
        <v>564</v>
      </c>
      <c r="F408" s="51"/>
      <c r="G408" s="618" t="s">
        <v>80</v>
      </c>
      <c r="H408" s="611">
        <v>0</v>
      </c>
      <c r="I408" s="611">
        <v>0</v>
      </c>
      <c r="J408" s="611">
        <v>0.70056505907555588</v>
      </c>
      <c r="K408" s="611">
        <v>0</v>
      </c>
      <c r="L408" s="611">
        <v>30.417683241774196</v>
      </c>
      <c r="M408" s="611">
        <v>0</v>
      </c>
      <c r="N408" s="611">
        <v>0</v>
      </c>
      <c r="O408" s="611">
        <v>0</v>
      </c>
      <c r="P408" s="611">
        <v>38.639946552696927</v>
      </c>
      <c r="Q408" s="611">
        <v>0</v>
      </c>
      <c r="R408" s="611">
        <v>0</v>
      </c>
      <c r="S408" s="611">
        <v>24.887195379633432</v>
      </c>
      <c r="T408" s="611">
        <v>86.105749461049399</v>
      </c>
      <c r="U408" s="611">
        <v>2.7249646948397461</v>
      </c>
      <c r="V408" s="611">
        <v>148.18938321630344</v>
      </c>
      <c r="W408" s="611">
        <v>31.883802674184324</v>
      </c>
      <c r="X408" s="611">
        <v>0</v>
      </c>
      <c r="Y408" s="619">
        <v>363.549290279557</v>
      </c>
      <c r="Z408" s="51"/>
    </row>
    <row r="409" spans="1:26" x14ac:dyDescent="0.25">
      <c r="A409" s="51">
        <v>31</v>
      </c>
      <c r="B409" s="51">
        <v>2040</v>
      </c>
      <c r="C409" s="51" t="s">
        <v>47</v>
      </c>
      <c r="D409" s="51" t="s">
        <v>510</v>
      </c>
      <c r="E409" s="51" t="s">
        <v>564</v>
      </c>
      <c r="F409" s="51"/>
      <c r="G409" s="618" t="s">
        <v>81</v>
      </c>
      <c r="H409" s="611">
        <v>0</v>
      </c>
      <c r="I409" s="611">
        <v>0</v>
      </c>
      <c r="J409" s="611">
        <v>0.71662814188275692</v>
      </c>
      <c r="K409" s="611">
        <v>0</v>
      </c>
      <c r="L409" s="611">
        <v>17.070442062862515</v>
      </c>
      <c r="M409" s="611">
        <v>0</v>
      </c>
      <c r="N409" s="611">
        <v>0</v>
      </c>
      <c r="O409" s="611">
        <v>0</v>
      </c>
      <c r="P409" s="611">
        <v>0.54</v>
      </c>
      <c r="Q409" s="611">
        <v>0</v>
      </c>
      <c r="R409" s="611">
        <v>0</v>
      </c>
      <c r="S409" s="611">
        <v>13.96672532416024</v>
      </c>
      <c r="T409" s="611">
        <v>47.88985693075989</v>
      </c>
      <c r="U409" s="611">
        <v>3.3614454124228632</v>
      </c>
      <c r="V409" s="611">
        <v>111.42887756094851</v>
      </c>
      <c r="W409" s="611">
        <v>18.366563424880354</v>
      </c>
      <c r="X409" s="611">
        <v>0</v>
      </c>
      <c r="Y409" s="619">
        <v>213.34053885791715</v>
      </c>
      <c r="Z409" s="51"/>
    </row>
    <row r="410" spans="1:26" x14ac:dyDescent="0.25">
      <c r="A410" s="51">
        <v>32</v>
      </c>
      <c r="B410" s="51">
        <v>2040</v>
      </c>
      <c r="C410" s="51" t="s">
        <v>47</v>
      </c>
      <c r="D410" s="51" t="s">
        <v>511</v>
      </c>
      <c r="E410" s="51" t="s">
        <v>564</v>
      </c>
      <c r="F410" s="51"/>
      <c r="G410" s="618" t="s">
        <v>82</v>
      </c>
      <c r="H410" s="611">
        <v>0</v>
      </c>
      <c r="I410" s="611">
        <v>0</v>
      </c>
      <c r="J410" s="611">
        <v>11.597378331629093</v>
      </c>
      <c r="K410" s="611">
        <v>0</v>
      </c>
      <c r="L410" s="611">
        <v>0.90544035166634684</v>
      </c>
      <c r="M410" s="611">
        <v>0</v>
      </c>
      <c r="N410" s="611">
        <v>0</v>
      </c>
      <c r="O410" s="611">
        <v>0</v>
      </c>
      <c r="P410" s="611">
        <v>3</v>
      </c>
      <c r="Q410" s="611">
        <v>0</v>
      </c>
      <c r="R410" s="611">
        <v>15.045804570761968</v>
      </c>
      <c r="S410" s="611">
        <v>0.7408148331815565</v>
      </c>
      <c r="T410" s="611">
        <v>1</v>
      </c>
      <c r="U410" s="611">
        <v>1.300620381405156</v>
      </c>
      <c r="V410" s="611">
        <v>6.9895463025017071</v>
      </c>
      <c r="W410" s="611">
        <v>0</v>
      </c>
      <c r="X410" s="611">
        <v>0.52515509535128901</v>
      </c>
      <c r="Y410" s="619">
        <v>41.104759866497112</v>
      </c>
      <c r="Z410" s="51"/>
    </row>
    <row r="411" spans="1:26" x14ac:dyDescent="0.25">
      <c r="A411" s="51">
        <v>33</v>
      </c>
      <c r="B411" s="51">
        <v>2040</v>
      </c>
      <c r="C411" s="51" t="s">
        <v>47</v>
      </c>
      <c r="D411" s="51" t="s">
        <v>512</v>
      </c>
      <c r="E411" s="51" t="s">
        <v>564</v>
      </c>
      <c r="F411" s="51"/>
      <c r="G411" s="618" t="s">
        <v>354</v>
      </c>
      <c r="H411" s="611">
        <v>0</v>
      </c>
      <c r="I411" s="611">
        <v>0</v>
      </c>
      <c r="J411" s="611">
        <v>0</v>
      </c>
      <c r="K411" s="611">
        <v>0</v>
      </c>
      <c r="L411" s="611">
        <v>0</v>
      </c>
      <c r="M411" s="611">
        <v>0</v>
      </c>
      <c r="N411" s="611">
        <v>0</v>
      </c>
      <c r="O411" s="611">
        <v>0</v>
      </c>
      <c r="P411" s="611">
        <v>0</v>
      </c>
      <c r="Q411" s="611">
        <v>0</v>
      </c>
      <c r="R411" s="611">
        <v>0</v>
      </c>
      <c r="S411" s="611">
        <v>0</v>
      </c>
      <c r="T411" s="611">
        <v>0</v>
      </c>
      <c r="U411" s="611">
        <v>0</v>
      </c>
      <c r="V411" s="611">
        <v>3.2585999999999999</v>
      </c>
      <c r="W411" s="611">
        <v>0</v>
      </c>
      <c r="X411" s="611">
        <v>0</v>
      </c>
      <c r="Y411" s="619">
        <v>3.2585999999999999</v>
      </c>
      <c r="Z411" s="51"/>
    </row>
    <row r="412" spans="1:26" x14ac:dyDescent="0.25">
      <c r="A412" s="51">
        <v>34</v>
      </c>
      <c r="B412" s="51">
        <v>2040</v>
      </c>
      <c r="C412" s="51" t="s">
        <v>47</v>
      </c>
      <c r="D412" s="51" t="s">
        <v>513</v>
      </c>
      <c r="E412" s="51" t="s">
        <v>564</v>
      </c>
      <c r="F412" s="51"/>
      <c r="G412" s="614" t="s">
        <v>83</v>
      </c>
      <c r="H412" s="615">
        <v>2.7829395451988024</v>
      </c>
      <c r="I412" s="615">
        <v>0</v>
      </c>
      <c r="J412" s="615">
        <v>85.673408802986032</v>
      </c>
      <c r="K412" s="615">
        <v>1.4882117515392765</v>
      </c>
      <c r="L412" s="615">
        <v>92.164014806687973</v>
      </c>
      <c r="M412" s="615">
        <v>0</v>
      </c>
      <c r="N412" s="615">
        <v>0</v>
      </c>
      <c r="O412" s="615">
        <v>0</v>
      </c>
      <c r="P412" s="615">
        <v>64.492251517496385</v>
      </c>
      <c r="Q412" s="615">
        <v>6.9877021638277412</v>
      </c>
      <c r="R412" s="615">
        <v>90.719610899002234</v>
      </c>
      <c r="S412" s="615">
        <v>75.445584013055054</v>
      </c>
      <c r="T412" s="615">
        <v>148.2996835402468</v>
      </c>
      <c r="U412" s="615">
        <v>7.387818693336027</v>
      </c>
      <c r="V412" s="615">
        <v>537.27172714609685</v>
      </c>
      <c r="W412" s="615">
        <v>70.885119307585114</v>
      </c>
      <c r="X412" s="615">
        <v>14.458828139184453</v>
      </c>
      <c r="Y412" s="615">
        <v>1198.0569003262426</v>
      </c>
      <c r="Z412" s="51"/>
    </row>
    <row r="413" spans="1:26" x14ac:dyDescent="0.25">
      <c r="A413" s="51">
        <v>35</v>
      </c>
      <c r="B413" s="51">
        <v>2040</v>
      </c>
      <c r="C413" s="51" t="s">
        <v>47</v>
      </c>
      <c r="D413" s="51" t="s">
        <v>514</v>
      </c>
      <c r="E413" s="51" t="s">
        <v>564</v>
      </c>
      <c r="F413" s="51"/>
      <c r="G413" s="610" t="s">
        <v>84</v>
      </c>
      <c r="H413" s="611">
        <v>0</v>
      </c>
      <c r="I413" s="611">
        <v>0</v>
      </c>
      <c r="J413" s="611">
        <v>83.18009003150803</v>
      </c>
      <c r="K413" s="611">
        <v>2.1194598778069409</v>
      </c>
      <c r="L413" s="611">
        <v>8.9820116802829233</v>
      </c>
      <c r="M413" s="611">
        <v>0</v>
      </c>
      <c r="N413" s="611">
        <v>0</v>
      </c>
      <c r="O413" s="611">
        <v>0</v>
      </c>
      <c r="P413" s="611">
        <v>0.34435996988737483</v>
      </c>
      <c r="Q413" s="611">
        <v>0</v>
      </c>
      <c r="R413" s="611">
        <v>26.994386078959611</v>
      </c>
      <c r="S413" s="611">
        <v>7.771086156633026</v>
      </c>
      <c r="T413" s="611">
        <v>0</v>
      </c>
      <c r="U413" s="611">
        <v>0</v>
      </c>
      <c r="V413" s="611">
        <v>0</v>
      </c>
      <c r="W413" s="611">
        <v>0</v>
      </c>
      <c r="X413" s="611">
        <v>30.755676878666431</v>
      </c>
      <c r="Y413" s="619">
        <v>160.14707067374434</v>
      </c>
      <c r="Z413" s="51"/>
    </row>
    <row r="414" spans="1:26" x14ac:dyDescent="0.25">
      <c r="A414" s="51">
        <v>36</v>
      </c>
      <c r="B414" s="51">
        <v>2040</v>
      </c>
      <c r="C414" s="51" t="s">
        <v>47</v>
      </c>
      <c r="D414" s="51" t="s">
        <v>515</v>
      </c>
      <c r="E414" s="51" t="s">
        <v>564</v>
      </c>
      <c r="F414" s="51"/>
      <c r="G414" s="614" t="s">
        <v>85</v>
      </c>
      <c r="H414" s="615">
        <v>2.7829395451988024</v>
      </c>
      <c r="I414" s="615">
        <v>0</v>
      </c>
      <c r="J414" s="615">
        <v>168.85349883449408</v>
      </c>
      <c r="K414" s="615">
        <v>3.6076716293462177</v>
      </c>
      <c r="L414" s="615">
        <v>101.1460264869709</v>
      </c>
      <c r="M414" s="615">
        <v>0</v>
      </c>
      <c r="N414" s="615">
        <v>0</v>
      </c>
      <c r="O414" s="615">
        <v>0</v>
      </c>
      <c r="P414" s="615">
        <v>64.836611487383763</v>
      </c>
      <c r="Q414" s="615">
        <v>6.9877021638277412</v>
      </c>
      <c r="R414" s="615">
        <v>117.71399697796184</v>
      </c>
      <c r="S414" s="615">
        <v>83.216670169688086</v>
      </c>
      <c r="T414" s="615">
        <v>148.2996835402468</v>
      </c>
      <c r="U414" s="615">
        <v>7.387818693336027</v>
      </c>
      <c r="V414" s="615">
        <v>537.27172714609685</v>
      </c>
      <c r="W414" s="615">
        <v>70.885119307585114</v>
      </c>
      <c r="X414" s="615">
        <v>45.214505017850882</v>
      </c>
      <c r="Y414" s="615">
        <v>1358.203970999987</v>
      </c>
      <c r="Z414" s="51"/>
    </row>
    <row r="415" spans="1:26" x14ac:dyDescent="0.25">
      <c r="A415" s="51"/>
      <c r="B415" s="51"/>
      <c r="C415" s="51"/>
      <c r="D415" s="51"/>
      <c r="E415" s="51"/>
      <c r="F415" s="51"/>
      <c r="G415" s="51"/>
      <c r="H415" s="67">
        <v>0</v>
      </c>
      <c r="I415" s="67">
        <v>0</v>
      </c>
      <c r="J415" s="67">
        <v>0</v>
      </c>
      <c r="K415" s="67">
        <v>0</v>
      </c>
      <c r="L415" s="67">
        <v>0</v>
      </c>
      <c r="M415" s="67">
        <v>0</v>
      </c>
      <c r="N415" s="67">
        <v>0</v>
      </c>
      <c r="O415" s="67">
        <v>0</v>
      </c>
      <c r="P415" s="67">
        <v>0</v>
      </c>
      <c r="Q415" s="67">
        <v>-4.0121337499243737E-4</v>
      </c>
      <c r="R415" s="67">
        <v>0</v>
      </c>
      <c r="S415" s="67">
        <v>0</v>
      </c>
      <c r="T415" s="67">
        <v>0</v>
      </c>
      <c r="U415" s="67">
        <v>0</v>
      </c>
      <c r="V415" s="67">
        <v>1.1368683772161603E-13</v>
      </c>
      <c r="W415" s="67">
        <v>-1.4210854715202004E-14</v>
      </c>
      <c r="X415" s="67">
        <v>9.7699626167013776E-15</v>
      </c>
      <c r="Y415" s="67">
        <v>-4.0121337497112108E-4</v>
      </c>
      <c r="Z415" s="51"/>
    </row>
    <row r="416" spans="1:26" x14ac:dyDescent="0.25">
      <c r="A416" s="51"/>
      <c r="B416" s="51"/>
      <c r="C416" s="51"/>
      <c r="D416" s="51"/>
      <c r="E416" s="51"/>
      <c r="F416" s="51"/>
      <c r="G416" s="51"/>
      <c r="H416" s="51"/>
      <c r="I416" s="51"/>
      <c r="J416" s="51"/>
      <c r="K416" s="67"/>
      <c r="L416" s="51"/>
      <c r="M416" s="51"/>
      <c r="N416" s="51"/>
      <c r="O416" s="51"/>
      <c r="P416" s="51"/>
      <c r="Q416" s="51"/>
      <c r="R416" s="67">
        <v>187.53384549127452</v>
      </c>
      <c r="S416" s="51"/>
      <c r="T416" s="51"/>
      <c r="U416" s="51"/>
      <c r="V416" s="51"/>
      <c r="W416" s="51"/>
      <c r="X416" s="51"/>
      <c r="Y416" s="51"/>
      <c r="Z416" s="51"/>
    </row>
    <row r="417" spans="1:26" x14ac:dyDescent="0.25">
      <c r="A417" s="606"/>
      <c r="B417" s="606"/>
      <c r="C417" s="606"/>
      <c r="D417" s="606"/>
      <c r="E417" s="606"/>
      <c r="F417" s="606"/>
      <c r="G417" s="607" t="s">
        <v>518</v>
      </c>
      <c r="H417" s="606"/>
      <c r="I417" s="606"/>
      <c r="J417" s="606"/>
      <c r="K417" s="682"/>
      <c r="L417" s="606"/>
      <c r="M417" s="606"/>
      <c r="N417" s="606"/>
      <c r="O417" s="606"/>
      <c r="P417" s="606"/>
      <c r="Q417" s="606"/>
      <c r="R417" s="606"/>
      <c r="S417" s="606"/>
      <c r="T417" s="606"/>
      <c r="U417" s="606"/>
      <c r="V417" s="606"/>
      <c r="W417" s="606"/>
      <c r="X417" s="606"/>
      <c r="Y417" s="606"/>
      <c r="Z417" s="606"/>
    </row>
    <row r="418" spans="1:26" x14ac:dyDescent="0.25">
      <c r="A418" s="51"/>
      <c r="B418" s="51"/>
      <c r="C418" s="51"/>
      <c r="D418" s="51"/>
      <c r="E418" s="51"/>
      <c r="F418" s="51"/>
      <c r="G418" s="51"/>
      <c r="H418" s="51"/>
      <c r="I418" s="51"/>
      <c r="J418" s="51"/>
      <c r="K418" s="67"/>
      <c r="L418" s="51"/>
      <c r="M418" s="51"/>
      <c r="N418" s="51"/>
      <c r="O418" s="51"/>
      <c r="P418" s="51"/>
      <c r="Q418" s="51"/>
      <c r="R418" s="51"/>
      <c r="S418" s="51"/>
      <c r="T418" s="51"/>
      <c r="U418" s="51"/>
      <c r="V418" s="51"/>
      <c r="W418" s="51"/>
      <c r="X418" s="51"/>
      <c r="Y418" s="51"/>
      <c r="Z418" s="51"/>
    </row>
    <row r="419" spans="1:26" x14ac:dyDescent="0.25">
      <c r="A419" s="51"/>
      <c r="B419" s="51"/>
      <c r="C419" s="51"/>
      <c r="D419" s="51"/>
      <c r="E419" s="51"/>
      <c r="F419" s="51"/>
      <c r="G419" s="764" t="s">
        <v>128</v>
      </c>
      <c r="H419" s="753" t="s">
        <v>42</v>
      </c>
      <c r="I419" s="753" t="s">
        <v>52</v>
      </c>
      <c r="J419" s="753" t="s">
        <v>53</v>
      </c>
      <c r="K419" s="766" t="s">
        <v>482</v>
      </c>
      <c r="L419" s="753" t="s">
        <v>32</v>
      </c>
      <c r="M419" s="753" t="s">
        <v>483</v>
      </c>
      <c r="N419" s="753" t="s">
        <v>20</v>
      </c>
      <c r="O419" s="753" t="s">
        <v>55</v>
      </c>
      <c r="P419" s="761" t="s">
        <v>56</v>
      </c>
      <c r="Q419" s="762"/>
      <c r="R419" s="762"/>
      <c r="S419" s="762"/>
      <c r="T419" s="762"/>
      <c r="U419" s="763"/>
      <c r="V419" s="753" t="s">
        <v>57</v>
      </c>
      <c r="W419" s="753" t="s">
        <v>58</v>
      </c>
      <c r="X419" s="753" t="s">
        <v>31</v>
      </c>
      <c r="Y419" s="753" t="s">
        <v>10</v>
      </c>
      <c r="Z419" s="51"/>
    </row>
    <row r="420" spans="1:26" ht="36" x14ac:dyDescent="0.25">
      <c r="A420" s="51"/>
      <c r="B420" s="51"/>
      <c r="C420" s="51"/>
      <c r="D420" s="51" t="s">
        <v>486</v>
      </c>
      <c r="E420" s="51"/>
      <c r="F420" s="51"/>
      <c r="G420" s="765"/>
      <c r="H420" s="754"/>
      <c r="I420" s="754"/>
      <c r="J420" s="754"/>
      <c r="K420" s="767"/>
      <c r="L420" s="754"/>
      <c r="M420" s="754"/>
      <c r="N420" s="754"/>
      <c r="O420" s="754"/>
      <c r="P420" s="608" t="s">
        <v>335</v>
      </c>
      <c r="Q420" s="608" t="s">
        <v>40</v>
      </c>
      <c r="R420" s="608" t="s">
        <v>343</v>
      </c>
      <c r="S420" s="608" t="s">
        <v>344</v>
      </c>
      <c r="T420" s="609" t="s">
        <v>345</v>
      </c>
      <c r="U420" s="608" t="s">
        <v>346</v>
      </c>
      <c r="V420" s="754"/>
      <c r="W420" s="754"/>
      <c r="X420" s="754"/>
      <c r="Y420" s="754"/>
      <c r="Z420" s="51"/>
    </row>
    <row r="421" spans="1:26" x14ac:dyDescent="0.25">
      <c r="A421" s="51">
        <v>6</v>
      </c>
      <c r="B421" s="51">
        <v>2043</v>
      </c>
      <c r="C421" s="51" t="s">
        <v>47</v>
      </c>
      <c r="D421" s="51" t="s">
        <v>487</v>
      </c>
      <c r="E421" s="51" t="s">
        <v>564</v>
      </c>
      <c r="F421" s="51"/>
      <c r="G421" s="610" t="s">
        <v>59</v>
      </c>
      <c r="H421" s="611">
        <v>0</v>
      </c>
      <c r="I421" s="611">
        <v>0</v>
      </c>
      <c r="J421" s="611">
        <v>0</v>
      </c>
      <c r="K421" s="611">
        <v>0</v>
      </c>
      <c r="L421" s="611">
        <v>0</v>
      </c>
      <c r="M421" s="611">
        <v>0</v>
      </c>
      <c r="N421" s="612">
        <v>1052.7157454545454</v>
      </c>
      <c r="O421" s="612">
        <v>465.75813055383361</v>
      </c>
      <c r="P421" s="612">
        <v>552.21249104185301</v>
      </c>
      <c r="Q421" s="612">
        <v>22.906604502368204</v>
      </c>
      <c r="R421" s="611">
        <v>1.638642873490971</v>
      </c>
      <c r="S421" s="611">
        <v>0.1692153726460352</v>
      </c>
      <c r="T421" s="612">
        <v>155.57132536542554</v>
      </c>
      <c r="U421" s="612">
        <v>27.190760719848203</v>
      </c>
      <c r="V421" s="611">
        <v>0</v>
      </c>
      <c r="W421" s="611">
        <v>0</v>
      </c>
      <c r="X421" s="611">
        <v>0</v>
      </c>
      <c r="Y421" s="613">
        <v>2202.4167747530264</v>
      </c>
      <c r="Z421" s="51"/>
    </row>
    <row r="422" spans="1:26" x14ac:dyDescent="0.25">
      <c r="A422" s="51">
        <v>7</v>
      </c>
      <c r="B422" s="51">
        <v>2043</v>
      </c>
      <c r="C422" s="51" t="s">
        <v>47</v>
      </c>
      <c r="D422" s="51" t="s">
        <v>488</v>
      </c>
      <c r="E422" s="51" t="s">
        <v>564</v>
      </c>
      <c r="F422" s="51"/>
      <c r="G422" s="610" t="s">
        <v>60</v>
      </c>
      <c r="H422" s="611">
        <v>6.0767583671953336</v>
      </c>
      <c r="I422" s="611">
        <v>189.53853209341332</v>
      </c>
      <c r="J422" s="611">
        <v>3.6404081450569747</v>
      </c>
      <c r="K422" s="611">
        <v>0</v>
      </c>
      <c r="L422" s="611">
        <v>83.57515838234103</v>
      </c>
      <c r="M422" s="611">
        <v>0</v>
      </c>
      <c r="N422" s="611">
        <v>0</v>
      </c>
      <c r="O422" s="611">
        <v>0</v>
      </c>
      <c r="P422" s="611">
        <v>4.5400000946661896</v>
      </c>
      <c r="Q422" s="611">
        <v>0</v>
      </c>
      <c r="R422" s="611">
        <v>5.9261248972986582</v>
      </c>
      <c r="S422" s="611">
        <v>0</v>
      </c>
      <c r="T422" s="611">
        <v>0</v>
      </c>
      <c r="U422" s="611">
        <v>0</v>
      </c>
      <c r="V422" s="611">
        <v>0</v>
      </c>
      <c r="W422" s="611">
        <v>0</v>
      </c>
      <c r="X422" s="611">
        <v>0</v>
      </c>
      <c r="Y422" s="613">
        <v>293.29698197997152</v>
      </c>
      <c r="Z422" s="51"/>
    </row>
    <row r="423" spans="1:26" x14ac:dyDescent="0.25">
      <c r="A423" s="51">
        <v>8</v>
      </c>
      <c r="B423" s="51">
        <v>2043</v>
      </c>
      <c r="C423" s="51" t="s">
        <v>47</v>
      </c>
      <c r="D423" s="51" t="s">
        <v>489</v>
      </c>
      <c r="E423" s="51" t="s">
        <v>564</v>
      </c>
      <c r="F423" s="51"/>
      <c r="G423" s="610" t="s">
        <v>61</v>
      </c>
      <c r="H423" s="611">
        <v>0</v>
      </c>
      <c r="I423" s="611">
        <v>0</v>
      </c>
      <c r="J423" s="611">
        <v>-34.781622639841267</v>
      </c>
      <c r="K423" s="611">
        <v>-5.1567908130260314</v>
      </c>
      <c r="L423" s="611">
        <v>0</v>
      </c>
      <c r="M423" s="611">
        <v>0</v>
      </c>
      <c r="N423" s="611">
        <v>0</v>
      </c>
      <c r="O423" s="611">
        <v>0</v>
      </c>
      <c r="P423" s="611">
        <v>0</v>
      </c>
      <c r="Q423" s="611">
        <v>0</v>
      </c>
      <c r="R423" s="611">
        <v>0</v>
      </c>
      <c r="S423" s="611">
        <v>0</v>
      </c>
      <c r="T423" s="611">
        <v>0</v>
      </c>
      <c r="U423" s="611">
        <v>0</v>
      </c>
      <c r="V423" s="611">
        <v>-24.094141618363551</v>
      </c>
      <c r="W423" s="611">
        <v>0</v>
      </c>
      <c r="X423" s="611">
        <v>0</v>
      </c>
      <c r="Y423" s="613">
        <v>-64.032555071230846</v>
      </c>
      <c r="Z423" s="51"/>
    </row>
    <row r="424" spans="1:26" x14ac:dyDescent="0.25">
      <c r="A424" s="51">
        <v>9</v>
      </c>
      <c r="B424" s="51">
        <v>2043</v>
      </c>
      <c r="C424" s="51" t="s">
        <v>47</v>
      </c>
      <c r="D424" s="51" t="s">
        <v>490</v>
      </c>
      <c r="E424" s="51" t="s">
        <v>564</v>
      </c>
      <c r="F424" s="51"/>
      <c r="G424" s="610" t="s">
        <v>62</v>
      </c>
      <c r="H424" s="611">
        <v>0</v>
      </c>
      <c r="I424" s="611">
        <v>0</v>
      </c>
      <c r="J424" s="611">
        <v>-3.5615694502361057</v>
      </c>
      <c r="K424" s="611">
        <v>-4.706211381166379</v>
      </c>
      <c r="L424" s="611">
        <v>0</v>
      </c>
      <c r="M424" s="611">
        <v>-3.8584286845410238</v>
      </c>
      <c r="N424" s="611">
        <v>0</v>
      </c>
      <c r="O424" s="611">
        <v>0</v>
      </c>
      <c r="P424" s="611">
        <v>0</v>
      </c>
      <c r="Q424" s="611">
        <v>0</v>
      </c>
      <c r="R424" s="611">
        <v>-1.4330438936791221</v>
      </c>
      <c r="S424" s="611">
        <v>-2.5722857896940159</v>
      </c>
      <c r="T424" s="611">
        <v>0</v>
      </c>
      <c r="U424" s="611">
        <v>0</v>
      </c>
      <c r="V424" s="611">
        <v>0</v>
      </c>
      <c r="W424" s="611">
        <v>0</v>
      </c>
      <c r="X424" s="611">
        <v>-1.5542726935255338</v>
      </c>
      <c r="Y424" s="613">
        <v>-17.685811892842178</v>
      </c>
      <c r="Z424" s="51"/>
    </row>
    <row r="425" spans="1:26" x14ac:dyDescent="0.25">
      <c r="A425" s="51">
        <v>10</v>
      </c>
      <c r="B425" s="51">
        <v>2043</v>
      </c>
      <c r="C425" s="51" t="s">
        <v>47</v>
      </c>
      <c r="D425" s="51" t="s">
        <v>491</v>
      </c>
      <c r="E425" s="51" t="s">
        <v>564</v>
      </c>
      <c r="F425" s="51"/>
      <c r="G425" s="610" t="s">
        <v>63</v>
      </c>
      <c r="H425" s="611">
        <v>0</v>
      </c>
      <c r="I425" s="611">
        <v>0</v>
      </c>
      <c r="J425" s="611">
        <v>-31.271549575274978</v>
      </c>
      <c r="K425" s="611">
        <v>-12.658057837302275</v>
      </c>
      <c r="L425" s="611">
        <v>0</v>
      </c>
      <c r="M425" s="611">
        <v>0</v>
      </c>
      <c r="N425" s="611">
        <v>0</v>
      </c>
      <c r="O425" s="611">
        <v>0</v>
      </c>
      <c r="P425" s="611">
        <v>0</v>
      </c>
      <c r="Q425" s="611">
        <v>0</v>
      </c>
      <c r="R425" s="611">
        <v>-15.442835023025614</v>
      </c>
      <c r="S425" s="611">
        <v>0</v>
      </c>
      <c r="T425" s="611">
        <v>0</v>
      </c>
      <c r="U425" s="611">
        <v>0</v>
      </c>
      <c r="V425" s="611">
        <v>0</v>
      </c>
      <c r="W425" s="611">
        <v>0</v>
      </c>
      <c r="X425" s="611">
        <v>-4.141098204696295</v>
      </c>
      <c r="Y425" s="613">
        <v>-63.513540640299169</v>
      </c>
      <c r="Z425" s="51"/>
    </row>
    <row r="426" spans="1:26" x14ac:dyDescent="0.25">
      <c r="A426" s="51">
        <v>11</v>
      </c>
      <c r="B426" s="51">
        <v>2043</v>
      </c>
      <c r="C426" s="51" t="s">
        <v>47</v>
      </c>
      <c r="D426" s="51" t="s">
        <v>492</v>
      </c>
      <c r="E426" s="51" t="s">
        <v>564</v>
      </c>
      <c r="F426" s="51"/>
      <c r="G426" s="610" t="s">
        <v>64</v>
      </c>
      <c r="H426" s="611">
        <v>0</v>
      </c>
      <c r="I426" s="611">
        <v>0</v>
      </c>
      <c r="J426" s="611">
        <v>0</v>
      </c>
      <c r="K426" s="611">
        <v>0</v>
      </c>
      <c r="L426" s="611">
        <v>0</v>
      </c>
      <c r="M426" s="611">
        <v>0</v>
      </c>
      <c r="N426" s="611">
        <v>0</v>
      </c>
      <c r="O426" s="611">
        <v>0</v>
      </c>
      <c r="P426" s="611">
        <v>0</v>
      </c>
      <c r="Q426" s="611">
        <v>0</v>
      </c>
      <c r="R426" s="611">
        <v>0</v>
      </c>
      <c r="S426" s="611">
        <v>0</v>
      </c>
      <c r="T426" s="611">
        <v>0</v>
      </c>
      <c r="U426" s="611">
        <v>0</v>
      </c>
      <c r="V426" s="611">
        <v>0</v>
      </c>
      <c r="W426" s="611">
        <v>0</v>
      </c>
      <c r="X426" s="611">
        <v>0</v>
      </c>
      <c r="Y426" s="613">
        <v>0</v>
      </c>
      <c r="Z426" s="51"/>
    </row>
    <row r="427" spans="1:26" x14ac:dyDescent="0.25">
      <c r="A427" s="51">
        <v>12</v>
      </c>
      <c r="B427" s="51">
        <v>2043</v>
      </c>
      <c r="C427" s="51" t="s">
        <v>47</v>
      </c>
      <c r="D427" s="51" t="s">
        <v>493</v>
      </c>
      <c r="E427" s="51" t="s">
        <v>564</v>
      </c>
      <c r="F427" s="51"/>
      <c r="G427" s="614" t="s">
        <v>65</v>
      </c>
      <c r="H427" s="615">
        <v>6.0767583671953336</v>
      </c>
      <c r="I427" s="615">
        <v>189.53853209341332</v>
      </c>
      <c r="J427" s="615">
        <v>-65.974333520295374</v>
      </c>
      <c r="K427" s="615">
        <v>-22.521060031494684</v>
      </c>
      <c r="L427" s="615">
        <v>83.57515838234103</v>
      </c>
      <c r="M427" s="615">
        <v>-3.8584286845410238</v>
      </c>
      <c r="N427" s="615">
        <v>1052.7157454545454</v>
      </c>
      <c r="O427" s="615">
        <v>465.75813055383361</v>
      </c>
      <c r="P427" s="615">
        <v>556.75249113651921</v>
      </c>
      <c r="Q427" s="615">
        <v>22.906604502368204</v>
      </c>
      <c r="R427" s="615">
        <v>-9.3111111459151061</v>
      </c>
      <c r="S427" s="615">
        <v>-2.4030704170479806</v>
      </c>
      <c r="T427" s="615">
        <v>155.57132536542554</v>
      </c>
      <c r="U427" s="615">
        <v>27.190760719848203</v>
      </c>
      <c r="V427" s="615">
        <v>-24.094141618363551</v>
      </c>
      <c r="W427" s="615">
        <v>0</v>
      </c>
      <c r="X427" s="615">
        <v>-5.695370898221829</v>
      </c>
      <c r="Y427" s="615">
        <v>2350.4818491286255</v>
      </c>
      <c r="Z427" s="51"/>
    </row>
    <row r="428" spans="1:26" x14ac:dyDescent="0.25">
      <c r="A428" s="51"/>
      <c r="B428" s="51"/>
      <c r="C428" s="51"/>
      <c r="D428" s="51"/>
      <c r="E428" s="51"/>
      <c r="F428" s="51"/>
      <c r="G428" s="616"/>
      <c r="H428" s="617"/>
      <c r="I428" s="617"/>
      <c r="J428" s="617"/>
      <c r="K428" s="617"/>
      <c r="L428" s="623"/>
      <c r="M428" s="617"/>
      <c r="N428" s="617"/>
      <c r="O428" s="617"/>
      <c r="P428" s="617"/>
      <c r="Q428" s="617"/>
      <c r="R428" s="617"/>
      <c r="S428" s="617"/>
      <c r="T428" s="617"/>
      <c r="U428" s="617"/>
      <c r="V428" s="617"/>
      <c r="W428" s="617"/>
      <c r="X428" s="617"/>
      <c r="Y428" s="617"/>
      <c r="Z428" s="51"/>
    </row>
    <row r="429" spans="1:26" x14ac:dyDescent="0.25">
      <c r="A429" s="51">
        <v>14</v>
      </c>
      <c r="B429" s="51">
        <v>2043</v>
      </c>
      <c r="C429" s="51" t="s">
        <v>47</v>
      </c>
      <c r="D429" s="51" t="s">
        <v>494</v>
      </c>
      <c r="E429" s="51" t="s">
        <v>564</v>
      </c>
      <c r="F429" s="51"/>
      <c r="G429" s="618" t="s">
        <v>67</v>
      </c>
      <c r="H429" s="611">
        <v>0</v>
      </c>
      <c r="I429" s="611">
        <v>0</v>
      </c>
      <c r="J429" s="611">
        <v>0</v>
      </c>
      <c r="K429" s="611">
        <v>0</v>
      </c>
      <c r="L429" s="611">
        <v>0</v>
      </c>
      <c r="M429" s="611">
        <v>0</v>
      </c>
      <c r="N429" s="611">
        <v>0</v>
      </c>
      <c r="O429" s="611">
        <v>0</v>
      </c>
      <c r="P429" s="611">
        <v>0</v>
      </c>
      <c r="Q429" s="611">
        <v>0</v>
      </c>
      <c r="R429" s="611">
        <v>0</v>
      </c>
      <c r="S429" s="611">
        <v>0</v>
      </c>
      <c r="T429" s="611">
        <v>0</v>
      </c>
      <c r="U429" s="611">
        <v>0</v>
      </c>
      <c r="V429" s="611">
        <v>0</v>
      </c>
      <c r="W429" s="611">
        <v>0</v>
      </c>
      <c r="X429" s="611">
        <v>0</v>
      </c>
      <c r="Y429" s="619">
        <v>0</v>
      </c>
      <c r="Z429" s="51"/>
    </row>
    <row r="430" spans="1:26" x14ac:dyDescent="0.25">
      <c r="A430" s="51">
        <v>15</v>
      </c>
      <c r="B430" s="51">
        <v>2043</v>
      </c>
      <c r="C430" s="51" t="s">
        <v>47</v>
      </c>
      <c r="D430" s="51" t="s">
        <v>495</v>
      </c>
      <c r="E430" s="51" t="s">
        <v>564</v>
      </c>
      <c r="F430" s="51"/>
      <c r="G430" s="618" t="s">
        <v>347</v>
      </c>
      <c r="H430" s="611">
        <v>0</v>
      </c>
      <c r="I430" s="611">
        <v>0</v>
      </c>
      <c r="J430" s="611">
        <v>2.6460781360013397E-2</v>
      </c>
      <c r="K430" s="611">
        <v>0</v>
      </c>
      <c r="L430" s="611">
        <v>0.60214660944206022</v>
      </c>
      <c r="M430" s="611">
        <v>0</v>
      </c>
      <c r="N430" s="611">
        <v>1052.7157454545454</v>
      </c>
      <c r="O430" s="611">
        <v>465.75813055383361</v>
      </c>
      <c r="P430" s="611">
        <v>22.008134094799175</v>
      </c>
      <c r="Q430" s="611">
        <v>0.79645795310786494</v>
      </c>
      <c r="R430" s="611">
        <v>6.0578717375904887</v>
      </c>
      <c r="S430" s="611">
        <v>1.0172956568090692</v>
      </c>
      <c r="T430" s="611">
        <v>0</v>
      </c>
      <c r="U430" s="611">
        <v>6.4590957564387725</v>
      </c>
      <c r="V430" s="611">
        <v>-864.28749241822948</v>
      </c>
      <c r="W430" s="611">
        <v>0</v>
      </c>
      <c r="X430" s="611">
        <v>4.5921899999999996</v>
      </c>
      <c r="Y430" s="619">
        <v>695.74603617969649</v>
      </c>
      <c r="Z430" s="51"/>
    </row>
    <row r="431" spans="1:26" x14ac:dyDescent="0.25">
      <c r="A431" s="51">
        <v>16</v>
      </c>
      <c r="B431" s="51">
        <v>2043</v>
      </c>
      <c r="C431" s="51" t="s">
        <v>47</v>
      </c>
      <c r="D431" s="51" t="s">
        <v>496</v>
      </c>
      <c r="E431" s="51" t="s">
        <v>564</v>
      </c>
      <c r="F431" s="51"/>
      <c r="G431" s="618" t="s">
        <v>348</v>
      </c>
      <c r="H431" s="611">
        <v>0</v>
      </c>
      <c r="I431" s="611">
        <v>0</v>
      </c>
      <c r="J431" s="611">
        <v>0</v>
      </c>
      <c r="K431" s="611">
        <v>0</v>
      </c>
      <c r="L431" s="611">
        <v>5.3370744167585134</v>
      </c>
      <c r="M431" s="611">
        <v>0</v>
      </c>
      <c r="N431" s="611">
        <v>0</v>
      </c>
      <c r="O431" s="611">
        <v>0</v>
      </c>
      <c r="P431" s="611">
        <v>40.001584612072278</v>
      </c>
      <c r="Q431" s="611">
        <v>15.829824348668678</v>
      </c>
      <c r="R431" s="611">
        <v>0</v>
      </c>
      <c r="S431" s="611">
        <v>8.0204760078855504</v>
      </c>
      <c r="T431" s="611">
        <v>0</v>
      </c>
      <c r="U431" s="611">
        <v>12.692069895401717</v>
      </c>
      <c r="V431" s="611">
        <v>0</v>
      </c>
      <c r="W431" s="611">
        <v>-76.859211816778</v>
      </c>
      <c r="X431" s="611">
        <v>0</v>
      </c>
      <c r="Y431" s="619">
        <v>5.0218174640087341</v>
      </c>
      <c r="Z431" s="51"/>
    </row>
    <row r="432" spans="1:26" x14ac:dyDescent="0.25">
      <c r="A432" s="51">
        <v>17</v>
      </c>
      <c r="B432" s="51">
        <v>2043</v>
      </c>
      <c r="C432" s="51" t="s">
        <v>47</v>
      </c>
      <c r="D432" s="51" t="s">
        <v>497</v>
      </c>
      <c r="E432" s="51" t="s">
        <v>564</v>
      </c>
      <c r="F432" s="51"/>
      <c r="G432" s="618" t="s">
        <v>349</v>
      </c>
      <c r="H432" s="611">
        <v>0</v>
      </c>
      <c r="I432" s="611">
        <v>0</v>
      </c>
      <c r="J432" s="611">
        <v>0</v>
      </c>
      <c r="K432" s="611">
        <v>0</v>
      </c>
      <c r="L432" s="611">
        <v>0</v>
      </c>
      <c r="M432" s="611">
        <v>0</v>
      </c>
      <c r="N432" s="611">
        <v>0</v>
      </c>
      <c r="O432" s="611">
        <v>0</v>
      </c>
      <c r="P432" s="611">
        <v>191.45873819345061</v>
      </c>
      <c r="Q432" s="611">
        <v>0</v>
      </c>
      <c r="R432" s="611">
        <v>0</v>
      </c>
      <c r="S432" s="611">
        <v>-105.30230600639786</v>
      </c>
      <c r="T432" s="611">
        <v>0</v>
      </c>
      <c r="U432" s="611">
        <v>0</v>
      </c>
      <c r="V432" s="611">
        <v>0</v>
      </c>
      <c r="W432" s="611">
        <v>0</v>
      </c>
      <c r="X432" s="611">
        <v>0</v>
      </c>
      <c r="Y432" s="619">
        <v>86.156432187052758</v>
      </c>
      <c r="Z432" s="51"/>
    </row>
    <row r="433" spans="1:26" x14ac:dyDescent="0.25">
      <c r="A433" s="51">
        <v>18</v>
      </c>
      <c r="B433" s="51">
        <v>2043</v>
      </c>
      <c r="C433" s="51" t="s">
        <v>47</v>
      </c>
      <c r="D433" s="51" t="s">
        <v>498</v>
      </c>
      <c r="E433" s="51" t="s">
        <v>564</v>
      </c>
      <c r="F433" s="51"/>
      <c r="G433" s="618" t="s">
        <v>350</v>
      </c>
      <c r="H433" s="611">
        <v>0</v>
      </c>
      <c r="I433" s="611">
        <v>0</v>
      </c>
      <c r="J433" s="611">
        <v>0</v>
      </c>
      <c r="K433" s="611">
        <v>0</v>
      </c>
      <c r="L433" s="611">
        <v>0</v>
      </c>
      <c r="M433" s="611">
        <v>-4.7895452148952451</v>
      </c>
      <c r="N433" s="611">
        <v>0</v>
      </c>
      <c r="O433" s="611">
        <v>0</v>
      </c>
      <c r="P433" s="611">
        <v>0</v>
      </c>
      <c r="Q433" s="611">
        <v>0</v>
      </c>
      <c r="R433" s="611">
        <v>0</v>
      </c>
      <c r="S433" s="611">
        <v>0</v>
      </c>
      <c r="T433" s="611">
        <v>0</v>
      </c>
      <c r="U433" s="611">
        <v>0</v>
      </c>
      <c r="V433" s="611">
        <v>0</v>
      </c>
      <c r="W433" s="611">
        <v>0</v>
      </c>
      <c r="X433" s="611">
        <v>6.4247824825814277</v>
      </c>
      <c r="Y433" s="619">
        <v>1.6352372676861826</v>
      </c>
      <c r="Z433" s="51"/>
    </row>
    <row r="434" spans="1:26" x14ac:dyDescent="0.25">
      <c r="A434" s="51">
        <v>19</v>
      </c>
      <c r="B434" s="51">
        <v>2043</v>
      </c>
      <c r="C434" s="51" t="s">
        <v>47</v>
      </c>
      <c r="D434" s="51" t="s">
        <v>499</v>
      </c>
      <c r="E434" s="51" t="s">
        <v>564</v>
      </c>
      <c r="F434" s="51"/>
      <c r="G434" s="618" t="s">
        <v>72</v>
      </c>
      <c r="H434" s="611">
        <v>0</v>
      </c>
      <c r="I434" s="611">
        <v>196.4036879947414</v>
      </c>
      <c r="J434" s="611">
        <v>-194.44562503379805</v>
      </c>
      <c r="K434" s="611">
        <v>0</v>
      </c>
      <c r="L434" s="611">
        <v>0</v>
      </c>
      <c r="M434" s="611">
        <v>0</v>
      </c>
      <c r="N434" s="611">
        <v>0</v>
      </c>
      <c r="O434" s="611">
        <v>0</v>
      </c>
      <c r="P434" s="611">
        <v>0</v>
      </c>
      <c r="Q434" s="611">
        <v>0</v>
      </c>
      <c r="R434" s="611">
        <v>0</v>
      </c>
      <c r="S434" s="611">
        <v>0</v>
      </c>
      <c r="T434" s="611">
        <v>0</v>
      </c>
      <c r="U434" s="611">
        <v>0</v>
      </c>
      <c r="V434" s="611">
        <v>0</v>
      </c>
      <c r="W434" s="611">
        <v>0</v>
      </c>
      <c r="X434" s="611">
        <v>0</v>
      </c>
      <c r="Y434" s="619">
        <v>1.9580629609433515</v>
      </c>
      <c r="Z434" s="51"/>
    </row>
    <row r="435" spans="1:26" x14ac:dyDescent="0.25">
      <c r="A435" s="51">
        <v>20</v>
      </c>
      <c r="B435" s="51">
        <v>2043</v>
      </c>
      <c r="C435" s="51" t="s">
        <v>47</v>
      </c>
      <c r="D435" s="51" t="s">
        <v>500</v>
      </c>
      <c r="E435" s="51" t="s">
        <v>564</v>
      </c>
      <c r="F435" s="51"/>
      <c r="G435" s="618" t="s">
        <v>351</v>
      </c>
      <c r="H435" s="611">
        <v>0</v>
      </c>
      <c r="I435" s="611">
        <v>0</v>
      </c>
      <c r="J435" s="611">
        <v>0</v>
      </c>
      <c r="K435" s="611">
        <v>0</v>
      </c>
      <c r="L435" s="611">
        <v>0</v>
      </c>
      <c r="M435" s="611">
        <v>0</v>
      </c>
      <c r="N435" s="611">
        <v>0</v>
      </c>
      <c r="O435" s="611">
        <v>0</v>
      </c>
      <c r="P435" s="611">
        <v>241.59832086320486</v>
      </c>
      <c r="Q435" s="611">
        <v>0</v>
      </c>
      <c r="R435" s="611">
        <v>-132.87907647476266</v>
      </c>
      <c r="S435" s="611">
        <v>0</v>
      </c>
      <c r="T435" s="611">
        <v>0</v>
      </c>
      <c r="U435" s="611">
        <v>0</v>
      </c>
      <c r="V435" s="611">
        <v>0</v>
      </c>
      <c r="W435" s="611">
        <v>0</v>
      </c>
      <c r="X435" s="611">
        <v>0</v>
      </c>
      <c r="Y435" s="619">
        <v>108.71924438844221</v>
      </c>
      <c r="Z435" s="51"/>
    </row>
    <row r="436" spans="1:26" x14ac:dyDescent="0.25">
      <c r="A436" s="51">
        <v>21</v>
      </c>
      <c r="B436" s="51">
        <v>2043</v>
      </c>
      <c r="C436" s="51" t="s">
        <v>47</v>
      </c>
      <c r="D436" s="51" t="s">
        <v>501</v>
      </c>
      <c r="E436" s="51" t="s">
        <v>564</v>
      </c>
      <c r="F436" s="51"/>
      <c r="G436" s="618" t="s">
        <v>352</v>
      </c>
      <c r="H436" s="611">
        <v>0</v>
      </c>
      <c r="I436" s="611">
        <v>0</v>
      </c>
      <c r="J436" s="611">
        <v>0</v>
      </c>
      <c r="K436" s="611">
        <v>-27.150443830477386</v>
      </c>
      <c r="L436" s="611">
        <v>0</v>
      </c>
      <c r="M436" s="611">
        <v>0</v>
      </c>
      <c r="N436" s="611">
        <v>0</v>
      </c>
      <c r="O436" s="611">
        <v>0</v>
      </c>
      <c r="P436" s="611">
        <v>0</v>
      </c>
      <c r="Q436" s="611">
        <v>0</v>
      </c>
      <c r="R436" s="611">
        <v>0</v>
      </c>
      <c r="S436" s="611">
        <v>0</v>
      </c>
      <c r="T436" s="611">
        <v>0</v>
      </c>
      <c r="U436" s="611">
        <v>0</v>
      </c>
      <c r="V436" s="611">
        <v>0</v>
      </c>
      <c r="W436" s="611">
        <v>0</v>
      </c>
      <c r="X436" s="611">
        <v>35.330371623276704</v>
      </c>
      <c r="Y436" s="619">
        <v>8.1799277927993188</v>
      </c>
      <c r="Z436" s="51"/>
    </row>
    <row r="437" spans="1:26" x14ac:dyDescent="0.25">
      <c r="A437" s="51">
        <v>22</v>
      </c>
      <c r="B437" s="51">
        <v>2043</v>
      </c>
      <c r="C437" s="51" t="s">
        <v>47</v>
      </c>
      <c r="D437" s="51" t="s">
        <v>502</v>
      </c>
      <c r="E437" s="51" t="s">
        <v>564</v>
      </c>
      <c r="F437" s="51"/>
      <c r="G437" s="618" t="s">
        <v>73</v>
      </c>
      <c r="H437" s="611">
        <v>0</v>
      </c>
      <c r="I437" s="611">
        <v>0</v>
      </c>
      <c r="J437" s="611">
        <v>0</v>
      </c>
      <c r="K437" s="611">
        <v>0</v>
      </c>
      <c r="L437" s="611">
        <v>0</v>
      </c>
      <c r="M437" s="611">
        <v>0</v>
      </c>
      <c r="N437" s="611">
        <v>0</v>
      </c>
      <c r="O437" s="611">
        <v>0</v>
      </c>
      <c r="P437" s="611">
        <v>0</v>
      </c>
      <c r="Q437" s="611">
        <v>0</v>
      </c>
      <c r="R437" s="611">
        <v>0</v>
      </c>
      <c r="S437" s="611">
        <v>0</v>
      </c>
      <c r="T437" s="611">
        <v>0</v>
      </c>
      <c r="U437" s="611">
        <v>0</v>
      </c>
      <c r="V437" s="611">
        <v>159.36955270130963</v>
      </c>
      <c r="W437" s="611">
        <v>0</v>
      </c>
      <c r="X437" s="611">
        <v>-110.84152390376084</v>
      </c>
      <c r="Y437" s="619">
        <v>48.528028797548785</v>
      </c>
      <c r="Z437" s="51"/>
    </row>
    <row r="438" spans="1:26" x14ac:dyDescent="0.25">
      <c r="A438" s="51">
        <v>23</v>
      </c>
      <c r="B438" s="51">
        <v>2043</v>
      </c>
      <c r="C438" s="51" t="s">
        <v>47</v>
      </c>
      <c r="D438" s="51" t="s">
        <v>503</v>
      </c>
      <c r="E438" s="51" t="s">
        <v>564</v>
      </c>
      <c r="F438" s="51"/>
      <c r="G438" s="618" t="s">
        <v>353</v>
      </c>
      <c r="H438" s="611">
        <v>2.8675768359375002</v>
      </c>
      <c r="I438" s="611">
        <v>-6.865155901328059</v>
      </c>
      <c r="J438" s="611">
        <v>8.9495873677013247</v>
      </c>
      <c r="K438" s="611">
        <v>0</v>
      </c>
      <c r="L438" s="611">
        <v>0</v>
      </c>
      <c r="M438" s="611">
        <v>0</v>
      </c>
      <c r="N438" s="611">
        <v>0</v>
      </c>
      <c r="O438" s="611">
        <v>0</v>
      </c>
      <c r="P438" s="611">
        <v>0</v>
      </c>
      <c r="Q438" s="611">
        <v>0</v>
      </c>
      <c r="R438" s="611">
        <v>0</v>
      </c>
      <c r="S438" s="611">
        <v>0</v>
      </c>
      <c r="T438" s="611">
        <v>0</v>
      </c>
      <c r="U438" s="611">
        <v>0</v>
      </c>
      <c r="V438" s="611">
        <v>0</v>
      </c>
      <c r="W438" s="611">
        <v>0</v>
      </c>
      <c r="X438" s="611">
        <v>0</v>
      </c>
      <c r="Y438" s="619">
        <v>4.9520083023107659</v>
      </c>
      <c r="Z438" s="51"/>
    </row>
    <row r="439" spans="1:26" x14ac:dyDescent="0.25">
      <c r="A439" s="51">
        <v>24</v>
      </c>
      <c r="B439" s="51">
        <v>2043</v>
      </c>
      <c r="C439" s="51" t="s">
        <v>47</v>
      </c>
      <c r="D439" s="51" t="s">
        <v>504</v>
      </c>
      <c r="E439" s="51" t="s">
        <v>564</v>
      </c>
      <c r="F439" s="51"/>
      <c r="G439" s="618" t="s">
        <v>75</v>
      </c>
      <c r="H439" s="611">
        <v>1.1151687695312502</v>
      </c>
      <c r="I439" s="611">
        <v>0</v>
      </c>
      <c r="J439" s="611">
        <v>6.7328106776803835</v>
      </c>
      <c r="K439" s="611">
        <v>0</v>
      </c>
      <c r="L439" s="611">
        <v>2.2924587532620087</v>
      </c>
      <c r="M439" s="611">
        <v>3.0296811717119062E-2</v>
      </c>
      <c r="N439" s="611">
        <v>0</v>
      </c>
      <c r="O439" s="611">
        <v>0</v>
      </c>
      <c r="P439" s="611">
        <v>0</v>
      </c>
      <c r="Q439" s="611">
        <v>0</v>
      </c>
      <c r="R439" s="611">
        <v>0</v>
      </c>
      <c r="S439" s="611">
        <v>2.7267130545407157</v>
      </c>
      <c r="T439" s="611">
        <v>0</v>
      </c>
      <c r="U439" s="611">
        <v>0</v>
      </c>
      <c r="V439" s="611">
        <v>65.383687298326777</v>
      </c>
      <c r="W439" s="611">
        <v>0</v>
      </c>
      <c r="X439" s="611">
        <v>0</v>
      </c>
      <c r="Y439" s="619">
        <v>78.281135365058248</v>
      </c>
      <c r="Z439" s="51"/>
    </row>
    <row r="440" spans="1:26" x14ac:dyDescent="0.25">
      <c r="A440" s="51">
        <v>25</v>
      </c>
      <c r="B440" s="51">
        <v>2043</v>
      </c>
      <c r="C440" s="51" t="s">
        <v>47</v>
      </c>
      <c r="D440" s="51" t="s">
        <v>505</v>
      </c>
      <c r="E440" s="51" t="s">
        <v>564</v>
      </c>
      <c r="F440" s="51"/>
      <c r="G440" s="618" t="s">
        <v>76</v>
      </c>
      <c r="H440" s="611">
        <v>0</v>
      </c>
      <c r="I440" s="611">
        <v>0</v>
      </c>
      <c r="J440" s="611">
        <v>0</v>
      </c>
      <c r="K440" s="611">
        <v>0</v>
      </c>
      <c r="L440" s="611">
        <v>0.91536166001826569</v>
      </c>
      <c r="M440" s="611">
        <v>1.2097290661034349E-2</v>
      </c>
      <c r="N440" s="611">
        <v>0</v>
      </c>
      <c r="O440" s="611">
        <v>0</v>
      </c>
      <c r="P440" s="611">
        <v>0</v>
      </c>
      <c r="Q440" s="611">
        <v>0</v>
      </c>
      <c r="R440" s="611">
        <v>0</v>
      </c>
      <c r="S440" s="611">
        <v>1.0887561594930915</v>
      </c>
      <c r="T440" s="611">
        <v>0</v>
      </c>
      <c r="U440" s="611">
        <v>0</v>
      </c>
      <c r="V440" s="611">
        <v>64.317484130562704</v>
      </c>
      <c r="W440" s="611">
        <v>5.9606242061833807</v>
      </c>
      <c r="X440" s="611">
        <v>0</v>
      </c>
      <c r="Y440" s="619">
        <v>72.294323446918483</v>
      </c>
      <c r="Z440" s="51"/>
    </row>
    <row r="441" spans="1:26" x14ac:dyDescent="0.25">
      <c r="A441" s="51">
        <v>26</v>
      </c>
      <c r="B441" s="51">
        <v>2043</v>
      </c>
      <c r="C441" s="51" t="s">
        <v>47</v>
      </c>
      <c r="D441" s="51" t="s">
        <v>506</v>
      </c>
      <c r="E441" s="51" t="s">
        <v>564</v>
      </c>
      <c r="F441" s="51"/>
      <c r="G441" s="614" t="s">
        <v>77</v>
      </c>
      <c r="H441" s="615">
        <v>3.9827456054687502</v>
      </c>
      <c r="I441" s="615">
        <v>189.53853209341335</v>
      </c>
      <c r="J441" s="615">
        <v>-178.73676620705632</v>
      </c>
      <c r="K441" s="615">
        <v>-27.150443830477386</v>
      </c>
      <c r="L441" s="615">
        <v>9.1470414394808479</v>
      </c>
      <c r="M441" s="615">
        <v>-4.7471511125170913</v>
      </c>
      <c r="N441" s="615">
        <v>1052.7157454545454</v>
      </c>
      <c r="O441" s="615">
        <v>465.75813055383361</v>
      </c>
      <c r="P441" s="615">
        <v>495.06677776352694</v>
      </c>
      <c r="Q441" s="615">
        <v>16.626282301776545</v>
      </c>
      <c r="R441" s="615">
        <v>-126.82120473717217</v>
      </c>
      <c r="S441" s="615">
        <v>-92.449065127669442</v>
      </c>
      <c r="T441" s="615">
        <v>0</v>
      </c>
      <c r="U441" s="615">
        <v>19.15116565184049</v>
      </c>
      <c r="V441" s="615">
        <v>-575.21676828803038</v>
      </c>
      <c r="W441" s="615">
        <v>-70.898587610594618</v>
      </c>
      <c r="X441" s="615">
        <v>-64.494179797902717</v>
      </c>
      <c r="Y441" s="615">
        <v>1035.7261130214808</v>
      </c>
      <c r="Z441" s="51"/>
    </row>
    <row r="442" spans="1:26" x14ac:dyDescent="0.25">
      <c r="A442" s="51"/>
      <c r="B442" s="51"/>
      <c r="C442" s="51"/>
      <c r="D442" s="51"/>
      <c r="E442" s="51"/>
      <c r="F442" s="51"/>
      <c r="G442" s="616"/>
      <c r="H442" s="617"/>
      <c r="I442" s="617"/>
      <c r="J442" s="617"/>
      <c r="K442" s="617"/>
      <c r="L442" s="623"/>
      <c r="M442" s="617"/>
      <c r="N442" s="617"/>
      <c r="O442" s="617"/>
      <c r="P442" s="617"/>
      <c r="Q442" s="617"/>
      <c r="R442" s="617"/>
      <c r="S442" s="617"/>
      <c r="T442" s="617"/>
      <c r="U442" s="617"/>
      <c r="V442" s="617"/>
      <c r="W442" s="617"/>
      <c r="X442" s="617"/>
      <c r="Y442" s="617"/>
      <c r="Z442" s="51"/>
    </row>
    <row r="443" spans="1:26" x14ac:dyDescent="0.25">
      <c r="A443" s="51">
        <v>28</v>
      </c>
      <c r="B443" s="51">
        <v>2043</v>
      </c>
      <c r="C443" s="51" t="s">
        <v>47</v>
      </c>
      <c r="D443" s="51" t="s">
        <v>507</v>
      </c>
      <c r="E443" s="51" t="s">
        <v>564</v>
      </c>
      <c r="F443" s="51"/>
      <c r="G443" s="618" t="s">
        <v>78</v>
      </c>
      <c r="H443" s="611">
        <v>2.0940127617265829</v>
      </c>
      <c r="I443" s="611">
        <v>0</v>
      </c>
      <c r="J443" s="611">
        <v>3.9559881090060012</v>
      </c>
      <c r="K443" s="611">
        <v>0</v>
      </c>
      <c r="L443" s="611">
        <v>29.330369351366478</v>
      </c>
      <c r="M443" s="611">
        <v>0.38762602667004159</v>
      </c>
      <c r="N443" s="611">
        <v>0</v>
      </c>
      <c r="O443" s="611">
        <v>0</v>
      </c>
      <c r="P443" s="611">
        <v>22.502553570699096</v>
      </c>
      <c r="Q443" s="611">
        <v>6.2799536188843161</v>
      </c>
      <c r="R443" s="611">
        <v>2.4575263222437633</v>
      </c>
      <c r="S443" s="611">
        <v>34.926617647556021</v>
      </c>
      <c r="T443" s="611">
        <v>15.884769531250001</v>
      </c>
      <c r="U443" s="611">
        <v>8.2107689234467234E-4</v>
      </c>
      <c r="V443" s="611">
        <v>182.47691843600197</v>
      </c>
      <c r="W443" s="611">
        <v>21.072717059029664</v>
      </c>
      <c r="X443" s="611">
        <v>11.809244140624999</v>
      </c>
      <c r="Y443" s="619">
        <v>333.17911765195134</v>
      </c>
      <c r="Z443" s="51"/>
    </row>
    <row r="444" spans="1:26" x14ac:dyDescent="0.25">
      <c r="A444" s="51">
        <v>29</v>
      </c>
      <c r="B444" s="51">
        <v>2043</v>
      </c>
      <c r="C444" s="51" t="s">
        <v>47</v>
      </c>
      <c r="D444" s="51" t="s">
        <v>508</v>
      </c>
      <c r="E444" s="51" t="s">
        <v>564</v>
      </c>
      <c r="F444" s="51"/>
      <c r="G444" s="618" t="s">
        <v>79</v>
      </c>
      <c r="H444" s="611">
        <v>0</v>
      </c>
      <c r="I444" s="611">
        <v>0</v>
      </c>
      <c r="J444" s="611">
        <v>30.895911025222354</v>
      </c>
      <c r="K444" s="611">
        <v>2.274686269460287</v>
      </c>
      <c r="L444" s="611">
        <v>3.5299320203269446</v>
      </c>
      <c r="M444" s="611">
        <v>4.665108396907857E-2</v>
      </c>
      <c r="N444" s="611">
        <v>0</v>
      </c>
      <c r="O444" s="611">
        <v>0</v>
      </c>
      <c r="P444" s="611">
        <v>0</v>
      </c>
      <c r="Q444" s="611">
        <v>0</v>
      </c>
      <c r="R444" s="611">
        <v>63.386114552424544</v>
      </c>
      <c r="S444" s="611">
        <v>4.1985975572170711</v>
      </c>
      <c r="T444" s="611">
        <v>0</v>
      </c>
      <c r="U444" s="611">
        <v>0</v>
      </c>
      <c r="V444" s="611">
        <v>104.74847060439184</v>
      </c>
      <c r="W444" s="611">
        <v>0</v>
      </c>
      <c r="X444" s="611">
        <v>5.8458763044597228</v>
      </c>
      <c r="Y444" s="619">
        <v>214.92623941747186</v>
      </c>
      <c r="Z444" s="51"/>
    </row>
    <row r="445" spans="1:26" x14ac:dyDescent="0.25">
      <c r="A445" s="51">
        <v>30</v>
      </c>
      <c r="B445" s="51">
        <v>2043</v>
      </c>
      <c r="C445" s="51" t="s">
        <v>47</v>
      </c>
      <c r="D445" s="51" t="s">
        <v>509</v>
      </c>
      <c r="E445" s="51" t="s">
        <v>564</v>
      </c>
      <c r="F445" s="51"/>
      <c r="G445" s="618" t="s">
        <v>80</v>
      </c>
      <c r="H445" s="611">
        <v>0</v>
      </c>
      <c r="I445" s="611">
        <v>0</v>
      </c>
      <c r="J445" s="611">
        <v>0.59201883962556068</v>
      </c>
      <c r="K445" s="611">
        <v>0</v>
      </c>
      <c r="L445" s="611">
        <v>22.382154385721119</v>
      </c>
      <c r="M445" s="611">
        <v>0.29579939716812054</v>
      </c>
      <c r="N445" s="611">
        <v>0</v>
      </c>
      <c r="O445" s="611">
        <v>0</v>
      </c>
      <c r="P445" s="611">
        <v>34.946060817665668</v>
      </c>
      <c r="Q445" s="611">
        <v>0</v>
      </c>
      <c r="R445" s="611">
        <v>0</v>
      </c>
      <c r="S445" s="611">
        <v>26.621945745130851</v>
      </c>
      <c r="T445" s="611">
        <v>88.854082911840962</v>
      </c>
      <c r="U445" s="611">
        <v>2.8827394727298632</v>
      </c>
      <c r="V445" s="611">
        <v>141.78538761833326</v>
      </c>
      <c r="W445" s="611">
        <v>31.439973902026821</v>
      </c>
      <c r="X445" s="611">
        <v>0</v>
      </c>
      <c r="Y445" s="619">
        <v>349.80016309024222</v>
      </c>
      <c r="Z445" s="51"/>
    </row>
    <row r="446" spans="1:26" x14ac:dyDescent="0.25">
      <c r="A446" s="51">
        <v>31</v>
      </c>
      <c r="B446" s="51">
        <v>2043</v>
      </c>
      <c r="C446" s="51" t="s">
        <v>47</v>
      </c>
      <c r="D446" s="51" t="s">
        <v>510</v>
      </c>
      <c r="E446" s="51" t="s">
        <v>564</v>
      </c>
      <c r="F446" s="51"/>
      <c r="G446" s="618" t="s">
        <v>81</v>
      </c>
      <c r="H446" s="611">
        <v>0</v>
      </c>
      <c r="I446" s="611">
        <v>0</v>
      </c>
      <c r="J446" s="611">
        <v>0.50163969931792984</v>
      </c>
      <c r="K446" s="611">
        <v>0</v>
      </c>
      <c r="L446" s="611">
        <v>11.328071812522083</v>
      </c>
      <c r="M446" s="611">
        <v>0.14971020016549011</v>
      </c>
      <c r="N446" s="611">
        <v>0</v>
      </c>
      <c r="O446" s="611">
        <v>0</v>
      </c>
      <c r="P446" s="611">
        <v>0.51600000000000001</v>
      </c>
      <c r="Q446" s="611">
        <v>0</v>
      </c>
      <c r="R446" s="611">
        <v>0</v>
      </c>
      <c r="S446" s="611">
        <v>13.47391801489411</v>
      </c>
      <c r="T446" s="611">
        <v>49.682472922334576</v>
      </c>
      <c r="U446" s="611">
        <v>3.5893781498747486</v>
      </c>
      <c r="V446" s="611">
        <v>110.38577748795484</v>
      </c>
      <c r="W446" s="611">
        <v>18.385896649538125</v>
      </c>
      <c r="X446" s="611">
        <v>0</v>
      </c>
      <c r="Y446" s="619">
        <v>208.01286493660191</v>
      </c>
      <c r="Z446" s="51"/>
    </row>
    <row r="447" spans="1:26" x14ac:dyDescent="0.25">
      <c r="A447" s="51">
        <v>32</v>
      </c>
      <c r="B447" s="51">
        <v>2043</v>
      </c>
      <c r="C447" s="51" t="s">
        <v>47</v>
      </c>
      <c r="D447" s="51" t="s">
        <v>511</v>
      </c>
      <c r="E447" s="51" t="s">
        <v>564</v>
      </c>
      <c r="F447" s="51"/>
      <c r="G447" s="618" t="s">
        <v>82</v>
      </c>
      <c r="H447" s="611">
        <v>0</v>
      </c>
      <c r="I447" s="611">
        <v>0</v>
      </c>
      <c r="J447" s="611">
        <v>6.290689981784416</v>
      </c>
      <c r="K447" s="611">
        <v>0</v>
      </c>
      <c r="L447" s="611">
        <v>0.67613614691918322</v>
      </c>
      <c r="M447" s="611">
        <v>8.935720003337224E-3</v>
      </c>
      <c r="N447" s="611">
        <v>0</v>
      </c>
      <c r="O447" s="611">
        <v>0</v>
      </c>
      <c r="P447" s="611">
        <v>3.3</v>
      </c>
      <c r="Q447" s="611">
        <v>0</v>
      </c>
      <c r="R447" s="611">
        <v>17.770228080870815</v>
      </c>
      <c r="S447" s="611">
        <v>0.8042148003003502</v>
      </c>
      <c r="T447" s="611">
        <v>1.1499999999999999</v>
      </c>
      <c r="U447" s="611">
        <v>1.5666563685107562</v>
      </c>
      <c r="V447" s="611">
        <v>6.9620725229849114</v>
      </c>
      <c r="W447" s="611">
        <v>0</v>
      </c>
      <c r="X447" s="611">
        <v>0.62062656029870245</v>
      </c>
      <c r="Y447" s="619">
        <v>39.14956018167247</v>
      </c>
      <c r="Z447" s="51"/>
    </row>
    <row r="448" spans="1:26" x14ac:dyDescent="0.25">
      <c r="A448" s="51">
        <v>33</v>
      </c>
      <c r="B448" s="51">
        <v>2043</v>
      </c>
      <c r="C448" s="51" t="s">
        <v>47</v>
      </c>
      <c r="D448" s="51" t="s">
        <v>512</v>
      </c>
      <c r="E448" s="51" t="s">
        <v>564</v>
      </c>
      <c r="F448" s="51"/>
      <c r="G448" s="618" t="s">
        <v>354</v>
      </c>
      <c r="H448" s="611">
        <v>0</v>
      </c>
      <c r="I448" s="611">
        <v>0</v>
      </c>
      <c r="J448" s="611">
        <v>0</v>
      </c>
      <c r="K448" s="611">
        <v>0</v>
      </c>
      <c r="L448" s="611">
        <v>0</v>
      </c>
      <c r="M448" s="611">
        <v>0</v>
      </c>
      <c r="N448" s="611">
        <v>0</v>
      </c>
      <c r="O448" s="611">
        <v>0</v>
      </c>
      <c r="P448" s="611">
        <v>0</v>
      </c>
      <c r="Q448" s="611">
        <v>0</v>
      </c>
      <c r="R448" s="611">
        <v>0</v>
      </c>
      <c r="S448" s="611">
        <v>0</v>
      </c>
      <c r="T448" s="611">
        <v>0</v>
      </c>
      <c r="U448" s="611">
        <v>0</v>
      </c>
      <c r="V448" s="611">
        <v>4.7640000000000002</v>
      </c>
      <c r="W448" s="611">
        <v>0</v>
      </c>
      <c r="X448" s="611">
        <v>0</v>
      </c>
      <c r="Y448" s="619">
        <v>4.7640000000000002</v>
      </c>
      <c r="Z448" s="51"/>
    </row>
    <row r="449" spans="1:26" x14ac:dyDescent="0.25">
      <c r="A449" s="51">
        <v>34</v>
      </c>
      <c r="B449" s="51">
        <v>2043</v>
      </c>
      <c r="C449" s="51" t="s">
        <v>47</v>
      </c>
      <c r="D449" s="51" t="s">
        <v>513</v>
      </c>
      <c r="E449" s="51" t="s">
        <v>564</v>
      </c>
      <c r="F449" s="51"/>
      <c r="G449" s="614" t="s">
        <v>83</v>
      </c>
      <c r="H449" s="615">
        <v>2.0940127617265829</v>
      </c>
      <c r="I449" s="615">
        <v>0</v>
      </c>
      <c r="J449" s="615">
        <v>42.236247654956259</v>
      </c>
      <c r="K449" s="615">
        <v>2.274686269460287</v>
      </c>
      <c r="L449" s="615">
        <v>67.246663716855807</v>
      </c>
      <c r="M449" s="615">
        <v>0.88872242797606793</v>
      </c>
      <c r="N449" s="615">
        <v>0</v>
      </c>
      <c r="O449" s="615">
        <v>0</v>
      </c>
      <c r="P449" s="615">
        <v>61.264614388364755</v>
      </c>
      <c r="Q449" s="615">
        <v>6.2799536188843161</v>
      </c>
      <c r="R449" s="615">
        <v>83.613868955539118</v>
      </c>
      <c r="S449" s="615">
        <v>80.025293765098397</v>
      </c>
      <c r="T449" s="615">
        <v>155.57132536542554</v>
      </c>
      <c r="U449" s="615">
        <v>8.0395950680077135</v>
      </c>
      <c r="V449" s="615">
        <v>551.12262666966683</v>
      </c>
      <c r="W449" s="615">
        <v>70.898587610594603</v>
      </c>
      <c r="X449" s="615">
        <v>18.275747005383426</v>
      </c>
      <c r="Y449" s="615">
        <v>1149.8319452779399</v>
      </c>
      <c r="Z449" s="51"/>
    </row>
    <row r="450" spans="1:26" x14ac:dyDescent="0.25">
      <c r="A450" s="51">
        <v>35</v>
      </c>
      <c r="B450" s="51">
        <v>2043</v>
      </c>
      <c r="C450" s="51" t="s">
        <v>47</v>
      </c>
      <c r="D450" s="51" t="s">
        <v>514</v>
      </c>
      <c r="E450" s="51" t="s">
        <v>564</v>
      </c>
      <c r="F450" s="51"/>
      <c r="G450" s="610" t="s">
        <v>84</v>
      </c>
      <c r="H450" s="611">
        <v>0</v>
      </c>
      <c r="I450" s="611">
        <v>0</v>
      </c>
      <c r="J450" s="611">
        <v>70.526185031804687</v>
      </c>
      <c r="K450" s="611">
        <v>2.3546975295224146</v>
      </c>
      <c r="L450" s="611">
        <v>7.1814532260043631</v>
      </c>
      <c r="M450" s="611">
        <v>0</v>
      </c>
      <c r="N450" s="611">
        <v>0</v>
      </c>
      <c r="O450" s="611">
        <v>0</v>
      </c>
      <c r="P450" s="611">
        <v>0.42109898462761541</v>
      </c>
      <c r="Q450" s="611">
        <v>0</v>
      </c>
      <c r="R450" s="611">
        <v>33.896224635717942</v>
      </c>
      <c r="S450" s="611">
        <v>10.020700945523032</v>
      </c>
      <c r="T450" s="611">
        <v>0</v>
      </c>
      <c r="U450" s="611">
        <v>0</v>
      </c>
      <c r="V450" s="611">
        <v>0</v>
      </c>
      <c r="W450" s="611">
        <v>0</v>
      </c>
      <c r="X450" s="611">
        <v>40.523061894297456</v>
      </c>
      <c r="Y450" s="619">
        <v>164.92342224749751</v>
      </c>
      <c r="Z450" s="51"/>
    </row>
    <row r="451" spans="1:26" x14ac:dyDescent="0.25">
      <c r="A451" s="51">
        <v>36</v>
      </c>
      <c r="B451" s="51">
        <v>2043</v>
      </c>
      <c r="C451" s="51" t="s">
        <v>47</v>
      </c>
      <c r="D451" s="51" t="s">
        <v>515</v>
      </c>
      <c r="E451" s="51" t="s">
        <v>564</v>
      </c>
      <c r="F451" s="51"/>
      <c r="G451" s="614" t="s">
        <v>85</v>
      </c>
      <c r="H451" s="615">
        <v>2.0940127617265829</v>
      </c>
      <c r="I451" s="615">
        <v>0</v>
      </c>
      <c r="J451" s="615">
        <v>112.76243268676095</v>
      </c>
      <c r="K451" s="615">
        <v>4.6293837989827011</v>
      </c>
      <c r="L451" s="615">
        <v>74.428116942860171</v>
      </c>
      <c r="M451" s="615">
        <v>0.88872242797606793</v>
      </c>
      <c r="N451" s="615">
        <v>0</v>
      </c>
      <c r="O451" s="615">
        <v>0</v>
      </c>
      <c r="P451" s="615">
        <v>61.685713372992367</v>
      </c>
      <c r="Q451" s="615">
        <v>6.2799536188843161</v>
      </c>
      <c r="R451" s="615">
        <v>117.51009359125706</v>
      </c>
      <c r="S451" s="615">
        <v>90.045994710621429</v>
      </c>
      <c r="T451" s="615">
        <v>155.57132536542554</v>
      </c>
      <c r="U451" s="615">
        <v>8.0395950680077135</v>
      </c>
      <c r="V451" s="615">
        <v>551.12262666966683</v>
      </c>
      <c r="W451" s="615">
        <v>70.898587610594603</v>
      </c>
      <c r="X451" s="615">
        <v>58.798808899680878</v>
      </c>
      <c r="Y451" s="615">
        <v>1314.7553675254374</v>
      </c>
      <c r="Z451" s="51"/>
    </row>
    <row r="452" spans="1:26" x14ac:dyDescent="0.25">
      <c r="A452" s="51"/>
      <c r="B452" s="51"/>
      <c r="C452" s="51"/>
      <c r="D452" s="51"/>
      <c r="E452" s="51"/>
      <c r="F452" s="51"/>
      <c r="G452" s="51"/>
      <c r="H452" s="67">
        <v>0</v>
      </c>
      <c r="I452" s="67">
        <v>0</v>
      </c>
      <c r="J452" s="67">
        <v>0</v>
      </c>
      <c r="K452" s="67">
        <v>0</v>
      </c>
      <c r="L452" s="67">
        <v>0</v>
      </c>
      <c r="M452" s="67">
        <v>0</v>
      </c>
      <c r="N452" s="67">
        <v>0</v>
      </c>
      <c r="O452" s="67">
        <v>0</v>
      </c>
      <c r="P452" s="67">
        <v>0</v>
      </c>
      <c r="Q452" s="67">
        <v>-3.685817073417752E-4</v>
      </c>
      <c r="R452" s="67">
        <v>0</v>
      </c>
      <c r="S452" s="67">
        <v>-3.2862601528904634E-14</v>
      </c>
      <c r="T452" s="67">
        <v>0</v>
      </c>
      <c r="U452" s="67">
        <v>0</v>
      </c>
      <c r="V452" s="67">
        <v>0</v>
      </c>
      <c r="W452" s="67">
        <v>-1.4210854715202004E-14</v>
      </c>
      <c r="X452" s="67">
        <v>-9.7699626167013776E-15</v>
      </c>
      <c r="Y452" s="67">
        <v>-3.6858170733466977E-4</v>
      </c>
      <c r="Z452" s="51"/>
    </row>
    <row r="453" spans="1:26" x14ac:dyDescent="0.25">
      <c r="A453" s="51"/>
      <c r="B453" s="51"/>
      <c r="C453" s="51"/>
      <c r="D453" s="51"/>
      <c r="E453" s="51"/>
      <c r="F453" s="51"/>
      <c r="G453" s="51"/>
      <c r="H453" s="51"/>
      <c r="I453" s="51"/>
      <c r="J453" s="51"/>
      <c r="K453" s="67"/>
      <c r="L453" s="51"/>
      <c r="M453" s="51"/>
      <c r="N453" s="51"/>
      <c r="O453" s="51"/>
      <c r="P453" s="51"/>
      <c r="Q453" s="51"/>
      <c r="R453" s="51"/>
      <c r="S453" s="51"/>
      <c r="T453" s="51"/>
      <c r="U453" s="51"/>
      <c r="V453" s="51"/>
      <c r="W453" s="51"/>
      <c r="X453" s="51"/>
      <c r="Y453" s="51"/>
      <c r="Z453" s="51"/>
    </row>
    <row r="454" spans="1:26" x14ac:dyDescent="0.25">
      <c r="A454" s="606"/>
      <c r="B454" s="606"/>
      <c r="C454" s="606"/>
      <c r="D454" s="606"/>
      <c r="E454" s="606"/>
      <c r="F454" s="606"/>
      <c r="G454" s="607" t="s">
        <v>361</v>
      </c>
      <c r="H454" s="606"/>
      <c r="I454" s="606"/>
      <c r="J454" s="606"/>
      <c r="K454" s="682"/>
      <c r="L454" s="606"/>
      <c r="M454" s="606"/>
      <c r="N454" s="606"/>
      <c r="O454" s="606"/>
      <c r="P454" s="606"/>
      <c r="Q454" s="606"/>
      <c r="R454" s="606"/>
      <c r="S454" s="606"/>
      <c r="T454" s="606"/>
      <c r="U454" s="606"/>
      <c r="V454" s="606"/>
      <c r="W454" s="606"/>
      <c r="X454" s="606"/>
      <c r="Y454" s="606"/>
      <c r="Z454" s="606"/>
    </row>
    <row r="455" spans="1:26" x14ac:dyDescent="0.25">
      <c r="A455" s="51"/>
      <c r="B455" s="51"/>
      <c r="C455" s="51"/>
      <c r="D455" s="51"/>
      <c r="E455" s="51"/>
      <c r="F455" s="51"/>
      <c r="G455" s="51"/>
      <c r="H455" s="51"/>
      <c r="I455" s="51"/>
      <c r="J455" s="51"/>
      <c r="K455" s="67"/>
      <c r="L455" s="51"/>
      <c r="M455" s="51"/>
      <c r="N455" s="51"/>
      <c r="O455" s="51"/>
      <c r="P455" s="51"/>
      <c r="Q455" s="51"/>
      <c r="R455" s="51"/>
      <c r="S455" s="51"/>
      <c r="T455" s="51"/>
      <c r="U455" s="51"/>
      <c r="V455" s="51"/>
      <c r="W455" s="51"/>
      <c r="X455" s="51"/>
      <c r="Y455" s="51"/>
      <c r="Z455" s="51"/>
    </row>
    <row r="456" spans="1:26" x14ac:dyDescent="0.25">
      <c r="A456" s="51"/>
      <c r="B456" s="51"/>
      <c r="C456" s="51"/>
      <c r="D456" s="51"/>
      <c r="E456" s="51"/>
      <c r="F456" s="51"/>
      <c r="G456" s="764" t="s">
        <v>128</v>
      </c>
      <c r="H456" s="753" t="s">
        <v>42</v>
      </c>
      <c r="I456" s="753" t="s">
        <v>52</v>
      </c>
      <c r="J456" s="753" t="s">
        <v>53</v>
      </c>
      <c r="K456" s="766" t="s">
        <v>482</v>
      </c>
      <c r="L456" s="753" t="s">
        <v>32</v>
      </c>
      <c r="M456" s="753" t="s">
        <v>483</v>
      </c>
      <c r="N456" s="753" t="s">
        <v>20</v>
      </c>
      <c r="O456" s="753" t="s">
        <v>55</v>
      </c>
      <c r="P456" s="761" t="s">
        <v>56</v>
      </c>
      <c r="Q456" s="762"/>
      <c r="R456" s="762"/>
      <c r="S456" s="762"/>
      <c r="T456" s="762"/>
      <c r="U456" s="763"/>
      <c r="V456" s="753" t="s">
        <v>57</v>
      </c>
      <c r="W456" s="753" t="s">
        <v>58</v>
      </c>
      <c r="X456" s="753" t="s">
        <v>31</v>
      </c>
      <c r="Y456" s="753" t="s">
        <v>10</v>
      </c>
      <c r="Z456" s="51"/>
    </row>
    <row r="457" spans="1:26" ht="36" x14ac:dyDescent="0.25">
      <c r="A457" s="51"/>
      <c r="B457" s="51"/>
      <c r="C457" s="51"/>
      <c r="D457" s="51" t="s">
        <v>486</v>
      </c>
      <c r="E457" s="51"/>
      <c r="F457" s="51"/>
      <c r="G457" s="765"/>
      <c r="H457" s="754"/>
      <c r="I457" s="754"/>
      <c r="J457" s="754"/>
      <c r="K457" s="767"/>
      <c r="L457" s="754"/>
      <c r="M457" s="754"/>
      <c r="N457" s="754"/>
      <c r="O457" s="754"/>
      <c r="P457" s="608" t="s">
        <v>335</v>
      </c>
      <c r="Q457" s="608" t="s">
        <v>40</v>
      </c>
      <c r="R457" s="608" t="s">
        <v>343</v>
      </c>
      <c r="S457" s="608" t="s">
        <v>344</v>
      </c>
      <c r="T457" s="609" t="s">
        <v>345</v>
      </c>
      <c r="U457" s="608" t="s">
        <v>346</v>
      </c>
      <c r="V457" s="754"/>
      <c r="W457" s="754"/>
      <c r="X457" s="754"/>
      <c r="Y457" s="754"/>
      <c r="Z457" s="51"/>
    </row>
    <row r="458" spans="1:26" x14ac:dyDescent="0.25">
      <c r="A458" s="51">
        <v>6</v>
      </c>
      <c r="B458" s="51">
        <v>2045</v>
      </c>
      <c r="C458" s="51" t="s">
        <v>47</v>
      </c>
      <c r="D458" s="51" t="s">
        <v>487</v>
      </c>
      <c r="E458" s="51" t="s">
        <v>564</v>
      </c>
      <c r="F458" s="51"/>
      <c r="G458" s="610" t="s">
        <v>59</v>
      </c>
      <c r="H458" s="611">
        <v>0</v>
      </c>
      <c r="I458" s="611">
        <v>0</v>
      </c>
      <c r="J458" s="611">
        <v>0</v>
      </c>
      <c r="K458" s="611">
        <v>0</v>
      </c>
      <c r="L458" s="611">
        <v>0</v>
      </c>
      <c r="M458" s="611">
        <v>0</v>
      </c>
      <c r="N458" s="612">
        <v>971.10439999999994</v>
      </c>
      <c r="O458" s="612">
        <v>503.30122823446823</v>
      </c>
      <c r="P458" s="612">
        <v>553.7386987974063</v>
      </c>
      <c r="Q458" s="612">
        <v>22.517285388994253</v>
      </c>
      <c r="R458" s="611">
        <v>1.6797912871987437</v>
      </c>
      <c r="S458" s="611">
        <v>0.17065445399605614</v>
      </c>
      <c r="T458" s="612">
        <v>160.35247642536672</v>
      </c>
      <c r="U458" s="612">
        <v>27.882172545404352</v>
      </c>
      <c r="V458" s="611">
        <v>0</v>
      </c>
      <c r="W458" s="611">
        <v>0</v>
      </c>
      <c r="X458" s="611">
        <v>0</v>
      </c>
      <c r="Y458" s="613">
        <v>2162.1116664730239</v>
      </c>
      <c r="Z458" s="51"/>
    </row>
    <row r="459" spans="1:26" x14ac:dyDescent="0.25">
      <c r="A459" s="51">
        <v>7</v>
      </c>
      <c r="B459" s="51">
        <v>2045</v>
      </c>
      <c r="C459" s="51" t="s">
        <v>47</v>
      </c>
      <c r="D459" s="51" t="s">
        <v>488</v>
      </c>
      <c r="E459" s="51" t="s">
        <v>564</v>
      </c>
      <c r="F459" s="51"/>
      <c r="G459" s="610" t="s">
        <v>60</v>
      </c>
      <c r="H459" s="611">
        <v>1.6567330370836562</v>
      </c>
      <c r="I459" s="611">
        <v>156.10342406212303</v>
      </c>
      <c r="J459" s="611">
        <v>2.9590354993625017</v>
      </c>
      <c r="K459" s="611">
        <v>0</v>
      </c>
      <c r="L459" s="611">
        <v>65.398571921383947</v>
      </c>
      <c r="M459" s="611">
        <v>0</v>
      </c>
      <c r="N459" s="611">
        <v>0</v>
      </c>
      <c r="O459" s="611">
        <v>0</v>
      </c>
      <c r="P459" s="611">
        <v>4.8125993033158778</v>
      </c>
      <c r="Q459" s="611">
        <v>0</v>
      </c>
      <c r="R459" s="611">
        <v>6.2295354537228107</v>
      </c>
      <c r="S459" s="611">
        <v>0</v>
      </c>
      <c r="T459" s="611">
        <v>0</v>
      </c>
      <c r="U459" s="611">
        <v>0</v>
      </c>
      <c r="V459" s="611">
        <v>1.5669656114845338</v>
      </c>
      <c r="W459" s="611">
        <v>0</v>
      </c>
      <c r="X459" s="611">
        <v>0</v>
      </c>
      <c r="Y459" s="613">
        <v>238.72686488847637</v>
      </c>
      <c r="Z459" s="51"/>
    </row>
    <row r="460" spans="1:26" x14ac:dyDescent="0.25">
      <c r="A460" s="51">
        <v>8</v>
      </c>
      <c r="B460" s="51">
        <v>2045</v>
      </c>
      <c r="C460" s="51" t="s">
        <v>47</v>
      </c>
      <c r="D460" s="51" t="s">
        <v>489</v>
      </c>
      <c r="E460" s="51" t="s">
        <v>564</v>
      </c>
      <c r="F460" s="51"/>
      <c r="G460" s="610" t="s">
        <v>61</v>
      </c>
      <c r="H460" s="611">
        <v>0</v>
      </c>
      <c r="I460" s="611">
        <v>0</v>
      </c>
      <c r="J460" s="611">
        <v>-44.750319921178004</v>
      </c>
      <c r="K460" s="611">
        <v>-7.4420014649377606</v>
      </c>
      <c r="L460" s="611">
        <v>0</v>
      </c>
      <c r="M460" s="611">
        <v>0</v>
      </c>
      <c r="N460" s="611">
        <v>0</v>
      </c>
      <c r="O460" s="611">
        <v>0</v>
      </c>
      <c r="P460" s="611">
        <v>0</v>
      </c>
      <c r="Q460" s="611">
        <v>0</v>
      </c>
      <c r="R460" s="611">
        <v>0</v>
      </c>
      <c r="S460" s="611">
        <v>0</v>
      </c>
      <c r="T460" s="611">
        <v>0</v>
      </c>
      <c r="U460" s="611">
        <v>0</v>
      </c>
      <c r="V460" s="611">
        <v>0</v>
      </c>
      <c r="W460" s="611">
        <v>0</v>
      </c>
      <c r="X460" s="611">
        <v>0</v>
      </c>
      <c r="Y460" s="613">
        <v>-52.192321386115765</v>
      </c>
      <c r="Z460" s="51"/>
    </row>
    <row r="461" spans="1:26" x14ac:dyDescent="0.25">
      <c r="A461" s="51">
        <v>9</v>
      </c>
      <c r="B461" s="51">
        <v>2045</v>
      </c>
      <c r="C461" s="51" t="s">
        <v>47</v>
      </c>
      <c r="D461" s="51" t="s">
        <v>490</v>
      </c>
      <c r="E461" s="51" t="s">
        <v>564</v>
      </c>
      <c r="F461" s="51"/>
      <c r="G461" s="610" t="s">
        <v>62</v>
      </c>
      <c r="H461" s="611">
        <v>0</v>
      </c>
      <c r="I461" s="611">
        <v>0</v>
      </c>
      <c r="J461" s="611">
        <v>-2.5439781787400757</v>
      </c>
      <c r="K461" s="611">
        <v>-5.1073400578201751</v>
      </c>
      <c r="L461" s="611">
        <v>0</v>
      </c>
      <c r="M461" s="611">
        <v>-4.025065184691706</v>
      </c>
      <c r="N461" s="611">
        <v>0</v>
      </c>
      <c r="O461" s="611">
        <v>0</v>
      </c>
      <c r="P461" s="611">
        <v>0</v>
      </c>
      <c r="Q461" s="611">
        <v>0</v>
      </c>
      <c r="R461" s="611">
        <v>-1.4642875778969737</v>
      </c>
      <c r="S461" s="611">
        <v>-2.6833767897944703</v>
      </c>
      <c r="T461" s="611">
        <v>0</v>
      </c>
      <c r="U461" s="611">
        <v>0</v>
      </c>
      <c r="V461" s="611">
        <v>0</v>
      </c>
      <c r="W461" s="611">
        <v>0</v>
      </c>
      <c r="X461" s="611">
        <v>-1.8096944583874461</v>
      </c>
      <c r="Y461" s="613">
        <v>-17.633742247330847</v>
      </c>
      <c r="Z461" s="51"/>
    </row>
    <row r="462" spans="1:26" x14ac:dyDescent="0.25">
      <c r="A462" s="51">
        <v>10</v>
      </c>
      <c r="B462" s="51">
        <v>2045</v>
      </c>
      <c r="C462" s="51" t="s">
        <v>47</v>
      </c>
      <c r="D462" s="51" t="s">
        <v>491</v>
      </c>
      <c r="E462" s="51" t="s">
        <v>564</v>
      </c>
      <c r="F462" s="51"/>
      <c r="G462" s="610" t="s">
        <v>63</v>
      </c>
      <c r="H462" s="611">
        <v>0</v>
      </c>
      <c r="I462" s="611">
        <v>0</v>
      </c>
      <c r="J462" s="611">
        <v>-26.066537028283065</v>
      </c>
      <c r="K462" s="611">
        <v>-15.61159587816994</v>
      </c>
      <c r="L462" s="611">
        <v>0</v>
      </c>
      <c r="M462" s="611">
        <v>0</v>
      </c>
      <c r="N462" s="611">
        <v>0</v>
      </c>
      <c r="O462" s="611">
        <v>0</v>
      </c>
      <c r="P462" s="611">
        <v>0</v>
      </c>
      <c r="Q462" s="611">
        <v>0</v>
      </c>
      <c r="R462" s="611">
        <v>-15.61159587816994</v>
      </c>
      <c r="S462" s="611">
        <v>0</v>
      </c>
      <c r="T462" s="611">
        <v>0</v>
      </c>
      <c r="U462" s="611">
        <v>0</v>
      </c>
      <c r="V462" s="611">
        <v>0</v>
      </c>
      <c r="W462" s="611">
        <v>0</v>
      </c>
      <c r="X462" s="611">
        <v>-5.1590895167519655</v>
      </c>
      <c r="Y462" s="613">
        <v>-62.448818301374899</v>
      </c>
      <c r="Z462" s="51"/>
    </row>
    <row r="463" spans="1:26" x14ac:dyDescent="0.25">
      <c r="A463" s="51">
        <v>11</v>
      </c>
      <c r="B463" s="51">
        <v>2045</v>
      </c>
      <c r="C463" s="51" t="s">
        <v>47</v>
      </c>
      <c r="D463" s="51" t="s">
        <v>492</v>
      </c>
      <c r="E463" s="51" t="s">
        <v>564</v>
      </c>
      <c r="F463" s="51"/>
      <c r="G463" s="610" t="s">
        <v>64</v>
      </c>
      <c r="H463" s="611">
        <v>0</v>
      </c>
      <c r="I463" s="611">
        <v>0</v>
      </c>
      <c r="J463" s="611">
        <v>0</v>
      </c>
      <c r="K463" s="611">
        <v>0</v>
      </c>
      <c r="L463" s="611">
        <v>0</v>
      </c>
      <c r="M463" s="611">
        <v>0</v>
      </c>
      <c r="N463" s="611">
        <v>0</v>
      </c>
      <c r="O463" s="611">
        <v>0</v>
      </c>
      <c r="P463" s="611">
        <v>0</v>
      </c>
      <c r="Q463" s="611">
        <v>0</v>
      </c>
      <c r="R463" s="611">
        <v>0</v>
      </c>
      <c r="S463" s="611">
        <v>0</v>
      </c>
      <c r="T463" s="611">
        <v>0</v>
      </c>
      <c r="U463" s="611">
        <v>0</v>
      </c>
      <c r="V463" s="611">
        <v>0</v>
      </c>
      <c r="W463" s="611">
        <v>0</v>
      </c>
      <c r="X463" s="611">
        <v>0</v>
      </c>
      <c r="Y463" s="613">
        <v>0</v>
      </c>
      <c r="Z463" s="51"/>
    </row>
    <row r="464" spans="1:26" x14ac:dyDescent="0.25">
      <c r="A464" s="51">
        <v>12</v>
      </c>
      <c r="B464" s="51">
        <v>2045</v>
      </c>
      <c r="C464" s="51" t="s">
        <v>47</v>
      </c>
      <c r="D464" s="51" t="s">
        <v>493</v>
      </c>
      <c r="E464" s="51" t="s">
        <v>564</v>
      </c>
      <c r="F464" s="51"/>
      <c r="G464" s="614" t="s">
        <v>65</v>
      </c>
      <c r="H464" s="615">
        <v>1.6567330370836562</v>
      </c>
      <c r="I464" s="615">
        <v>156.10342406212303</v>
      </c>
      <c r="J464" s="615">
        <v>-70.401799628838646</v>
      </c>
      <c r="K464" s="615">
        <v>-28.160937400927875</v>
      </c>
      <c r="L464" s="615">
        <v>65.398571921383947</v>
      </c>
      <c r="M464" s="615">
        <v>-4.025065184691706</v>
      </c>
      <c r="N464" s="615">
        <v>971.10439999999994</v>
      </c>
      <c r="O464" s="615">
        <v>503.30122823446823</v>
      </c>
      <c r="P464" s="615">
        <v>558.55129810072219</v>
      </c>
      <c r="Q464" s="615">
        <v>22.517285388994253</v>
      </c>
      <c r="R464" s="615">
        <v>-9.166556715145358</v>
      </c>
      <c r="S464" s="615">
        <v>-2.5127223357984141</v>
      </c>
      <c r="T464" s="615">
        <v>160.35247642536672</v>
      </c>
      <c r="U464" s="615">
        <v>27.882172545404352</v>
      </c>
      <c r="V464" s="615">
        <v>1.5669656114845338</v>
      </c>
      <c r="W464" s="615">
        <v>0</v>
      </c>
      <c r="X464" s="615">
        <v>-6.9687839751394112</v>
      </c>
      <c r="Y464" s="615">
        <v>2268.5636494266787</v>
      </c>
      <c r="Z464" s="51"/>
    </row>
    <row r="465" spans="1:26" x14ac:dyDescent="0.25">
      <c r="A465" s="51"/>
      <c r="B465" s="51"/>
      <c r="C465" s="51"/>
      <c r="D465" s="51"/>
      <c r="E465" s="51"/>
      <c r="F465" s="51"/>
      <c r="G465" s="616"/>
      <c r="H465" s="617"/>
      <c r="I465" s="617"/>
      <c r="J465" s="617"/>
      <c r="K465" s="617"/>
      <c r="L465" s="623"/>
      <c r="M465" s="617"/>
      <c r="N465" s="617"/>
      <c r="O465" s="617"/>
      <c r="P465" s="617"/>
      <c r="Q465" s="617"/>
      <c r="R465" s="617"/>
      <c r="S465" s="617"/>
      <c r="T465" s="617"/>
      <c r="U465" s="617"/>
      <c r="V465" s="617"/>
      <c r="W465" s="617"/>
      <c r="X465" s="617"/>
      <c r="Y465" s="617"/>
      <c r="Z465" s="51"/>
    </row>
    <row r="466" spans="1:26" x14ac:dyDescent="0.25">
      <c r="A466" s="51">
        <v>14</v>
      </c>
      <c r="B466" s="51">
        <v>2045</v>
      </c>
      <c r="C466" s="51" t="s">
        <v>47</v>
      </c>
      <c r="D466" s="51" t="s">
        <v>494</v>
      </c>
      <c r="E466" s="51" t="s">
        <v>564</v>
      </c>
      <c r="F466" s="51"/>
      <c r="G466" s="618" t="s">
        <v>67</v>
      </c>
      <c r="H466" s="611">
        <v>0</v>
      </c>
      <c r="I466" s="611">
        <v>0</v>
      </c>
      <c r="J466" s="611">
        <v>0</v>
      </c>
      <c r="K466" s="611">
        <v>0</v>
      </c>
      <c r="L466" s="611">
        <v>0</v>
      </c>
      <c r="M466" s="611">
        <v>0</v>
      </c>
      <c r="N466" s="611">
        <v>0</v>
      </c>
      <c r="O466" s="611">
        <v>0</v>
      </c>
      <c r="P466" s="611">
        <v>0</v>
      </c>
      <c r="Q466" s="611">
        <v>0</v>
      </c>
      <c r="R466" s="611">
        <v>0</v>
      </c>
      <c r="S466" s="611">
        <v>0</v>
      </c>
      <c r="T466" s="611">
        <v>0</v>
      </c>
      <c r="U466" s="611">
        <v>0</v>
      </c>
      <c r="V466" s="611">
        <v>0</v>
      </c>
      <c r="W466" s="611">
        <v>0</v>
      </c>
      <c r="X466" s="611">
        <v>0</v>
      </c>
      <c r="Y466" s="619">
        <v>0</v>
      </c>
      <c r="Z466" s="51"/>
    </row>
    <row r="467" spans="1:26" x14ac:dyDescent="0.25">
      <c r="A467" s="51">
        <v>15</v>
      </c>
      <c r="B467" s="51">
        <v>2045</v>
      </c>
      <c r="C467" s="51" t="s">
        <v>47</v>
      </c>
      <c r="D467" s="51" t="s">
        <v>495</v>
      </c>
      <c r="E467" s="51" t="s">
        <v>564</v>
      </c>
      <c r="F467" s="51"/>
      <c r="G467" s="618" t="s">
        <v>347</v>
      </c>
      <c r="H467" s="611">
        <v>0</v>
      </c>
      <c r="I467" s="611">
        <v>0</v>
      </c>
      <c r="J467" s="611">
        <v>0</v>
      </c>
      <c r="K467" s="611">
        <v>0</v>
      </c>
      <c r="L467" s="611">
        <v>0.44776646808510651</v>
      </c>
      <c r="M467" s="611">
        <v>0</v>
      </c>
      <c r="N467" s="611">
        <v>971.10439999999994</v>
      </c>
      <c r="O467" s="611">
        <v>503.30122823446823</v>
      </c>
      <c r="P467" s="611">
        <v>21.804355968386723</v>
      </c>
      <c r="Q467" s="611">
        <v>0.79830335172961686</v>
      </c>
      <c r="R467" s="611">
        <v>6.3451610040287907</v>
      </c>
      <c r="S467" s="611">
        <v>1.1589812304406033</v>
      </c>
      <c r="T467" s="611">
        <v>0</v>
      </c>
      <c r="U467" s="611">
        <v>6.4766550958451852</v>
      </c>
      <c r="V467" s="611">
        <v>-877.35778523876502</v>
      </c>
      <c r="W467" s="611">
        <v>0</v>
      </c>
      <c r="X467" s="611">
        <v>5.1921899999999992</v>
      </c>
      <c r="Y467" s="619">
        <v>639.27125611421911</v>
      </c>
      <c r="Z467" s="51"/>
    </row>
    <row r="468" spans="1:26" x14ac:dyDescent="0.25">
      <c r="A468" s="51">
        <v>16</v>
      </c>
      <c r="B468" s="51">
        <v>2045</v>
      </c>
      <c r="C468" s="51" t="s">
        <v>47</v>
      </c>
      <c r="D468" s="51" t="s">
        <v>496</v>
      </c>
      <c r="E468" s="51" t="s">
        <v>564</v>
      </c>
      <c r="F468" s="51"/>
      <c r="G468" s="618" t="s">
        <v>348</v>
      </c>
      <c r="H468" s="611">
        <v>0</v>
      </c>
      <c r="I468" s="611">
        <v>0</v>
      </c>
      <c r="J468" s="611">
        <v>0</v>
      </c>
      <c r="K468" s="611">
        <v>0</v>
      </c>
      <c r="L468" s="611">
        <v>3.6836143722811543</v>
      </c>
      <c r="M468" s="611">
        <v>0</v>
      </c>
      <c r="N468" s="611">
        <v>0</v>
      </c>
      <c r="O468" s="611">
        <v>0</v>
      </c>
      <c r="P468" s="611">
        <v>40.200993580916169</v>
      </c>
      <c r="Q468" s="611">
        <v>15.993931464043541</v>
      </c>
      <c r="R468" s="611">
        <v>0</v>
      </c>
      <c r="S468" s="611">
        <v>8.6102116440449823</v>
      </c>
      <c r="T468" s="611">
        <v>0</v>
      </c>
      <c r="U468" s="611">
        <v>12.931404798436995</v>
      </c>
      <c r="V468" s="611">
        <v>0</v>
      </c>
      <c r="W468" s="611">
        <v>-76.852774852064456</v>
      </c>
      <c r="X468" s="611">
        <v>0</v>
      </c>
      <c r="Y468" s="619">
        <v>4.5673810076583976</v>
      </c>
      <c r="Z468" s="51"/>
    </row>
    <row r="469" spans="1:26" x14ac:dyDescent="0.25">
      <c r="A469" s="51">
        <v>17</v>
      </c>
      <c r="B469" s="51">
        <v>2045</v>
      </c>
      <c r="C469" s="51" t="s">
        <v>47</v>
      </c>
      <c r="D469" s="51" t="s">
        <v>497</v>
      </c>
      <c r="E469" s="51" t="s">
        <v>564</v>
      </c>
      <c r="F469" s="51"/>
      <c r="G469" s="618" t="s">
        <v>349</v>
      </c>
      <c r="H469" s="611">
        <v>0</v>
      </c>
      <c r="I469" s="611">
        <v>0</v>
      </c>
      <c r="J469" s="611">
        <v>0</v>
      </c>
      <c r="K469" s="611">
        <v>0</v>
      </c>
      <c r="L469" s="611">
        <v>0</v>
      </c>
      <c r="M469" s="611">
        <v>0</v>
      </c>
      <c r="N469" s="611">
        <v>0</v>
      </c>
      <c r="O469" s="611">
        <v>0</v>
      </c>
      <c r="P469" s="611">
        <v>197.49661512974453</v>
      </c>
      <c r="Q469" s="611">
        <v>0</v>
      </c>
      <c r="R469" s="611">
        <v>0</v>
      </c>
      <c r="S469" s="611">
        <v>-108.62313832135951</v>
      </c>
      <c r="T469" s="611">
        <v>0</v>
      </c>
      <c r="U469" s="611">
        <v>0</v>
      </c>
      <c r="V469" s="611">
        <v>0</v>
      </c>
      <c r="W469" s="611">
        <v>0</v>
      </c>
      <c r="X469" s="611">
        <v>0</v>
      </c>
      <c r="Y469" s="619">
        <v>88.873476808385021</v>
      </c>
      <c r="Z469" s="51"/>
    </row>
    <row r="470" spans="1:26" x14ac:dyDescent="0.25">
      <c r="A470" s="51">
        <v>18</v>
      </c>
      <c r="B470" s="51">
        <v>2045</v>
      </c>
      <c r="C470" s="51" t="s">
        <v>47</v>
      </c>
      <c r="D470" s="51" t="s">
        <v>498</v>
      </c>
      <c r="E470" s="51" t="s">
        <v>564</v>
      </c>
      <c r="F470" s="51"/>
      <c r="G470" s="618" t="s">
        <v>350</v>
      </c>
      <c r="H470" s="611">
        <v>0</v>
      </c>
      <c r="I470" s="611">
        <v>0</v>
      </c>
      <c r="J470" s="611">
        <v>0</v>
      </c>
      <c r="K470" s="611">
        <v>0</v>
      </c>
      <c r="L470" s="611">
        <v>0</v>
      </c>
      <c r="M470" s="611">
        <v>-5.4417790238549113</v>
      </c>
      <c r="N470" s="611">
        <v>0</v>
      </c>
      <c r="O470" s="611">
        <v>0</v>
      </c>
      <c r="P470" s="611">
        <v>0</v>
      </c>
      <c r="Q470" s="611">
        <v>0</v>
      </c>
      <c r="R470" s="611">
        <v>0</v>
      </c>
      <c r="S470" s="611">
        <v>0</v>
      </c>
      <c r="T470" s="611">
        <v>0</v>
      </c>
      <c r="U470" s="611">
        <v>0</v>
      </c>
      <c r="V470" s="611">
        <v>0</v>
      </c>
      <c r="W470" s="611">
        <v>0</v>
      </c>
      <c r="X470" s="611">
        <v>7.1912846116196816</v>
      </c>
      <c r="Y470" s="619">
        <v>1.7495055877647703</v>
      </c>
      <c r="Z470" s="51"/>
    </row>
    <row r="471" spans="1:26" x14ac:dyDescent="0.25">
      <c r="A471" s="51">
        <v>19</v>
      </c>
      <c r="B471" s="51">
        <v>2045</v>
      </c>
      <c r="C471" s="51" t="s">
        <v>47</v>
      </c>
      <c r="D471" s="51" t="s">
        <v>499</v>
      </c>
      <c r="E471" s="51" t="s">
        <v>564</v>
      </c>
      <c r="F471" s="51"/>
      <c r="G471" s="618" t="s">
        <v>72</v>
      </c>
      <c r="H471" s="611">
        <v>0</v>
      </c>
      <c r="I471" s="611">
        <v>161.75289728424144</v>
      </c>
      <c r="J471" s="611">
        <v>-160.13983967974238</v>
      </c>
      <c r="K471" s="611">
        <v>0</v>
      </c>
      <c r="L471" s="611">
        <v>0</v>
      </c>
      <c r="M471" s="611">
        <v>0</v>
      </c>
      <c r="N471" s="611">
        <v>0</v>
      </c>
      <c r="O471" s="611">
        <v>0</v>
      </c>
      <c r="P471" s="611">
        <v>0</v>
      </c>
      <c r="Q471" s="611">
        <v>0</v>
      </c>
      <c r="R471" s="611">
        <v>0</v>
      </c>
      <c r="S471" s="611">
        <v>0</v>
      </c>
      <c r="T471" s="611">
        <v>0</v>
      </c>
      <c r="U471" s="611">
        <v>0</v>
      </c>
      <c r="V471" s="611">
        <v>0</v>
      </c>
      <c r="W471" s="611">
        <v>0</v>
      </c>
      <c r="X471" s="611">
        <v>0</v>
      </c>
      <c r="Y471" s="619">
        <v>1.6130576044990619</v>
      </c>
      <c r="Z471" s="51"/>
    </row>
    <row r="472" spans="1:26" x14ac:dyDescent="0.25">
      <c r="A472" s="51">
        <v>20</v>
      </c>
      <c r="B472" s="51">
        <v>2045</v>
      </c>
      <c r="C472" s="51" t="s">
        <v>47</v>
      </c>
      <c r="D472" s="51" t="s">
        <v>500</v>
      </c>
      <c r="E472" s="51" t="s">
        <v>564</v>
      </c>
      <c r="F472" s="51"/>
      <c r="G472" s="618" t="s">
        <v>351</v>
      </c>
      <c r="H472" s="611">
        <v>0</v>
      </c>
      <c r="I472" s="611">
        <v>0</v>
      </c>
      <c r="J472" s="611">
        <v>0</v>
      </c>
      <c r="K472" s="611">
        <v>0</v>
      </c>
      <c r="L472" s="611">
        <v>0</v>
      </c>
      <c r="M472" s="611">
        <v>0</v>
      </c>
      <c r="N472" s="611">
        <v>0</v>
      </c>
      <c r="O472" s="611">
        <v>0</v>
      </c>
      <c r="P472" s="611">
        <v>239.48141610667173</v>
      </c>
      <c r="Q472" s="611">
        <v>0</v>
      </c>
      <c r="R472" s="611">
        <v>-131.71477885866946</v>
      </c>
      <c r="S472" s="611">
        <v>0</v>
      </c>
      <c r="T472" s="611">
        <v>0</v>
      </c>
      <c r="U472" s="611">
        <v>0</v>
      </c>
      <c r="V472" s="611">
        <v>0</v>
      </c>
      <c r="W472" s="611">
        <v>0</v>
      </c>
      <c r="X472" s="611">
        <v>0</v>
      </c>
      <c r="Y472" s="619">
        <v>107.76663724800227</v>
      </c>
      <c r="Z472" s="51"/>
    </row>
    <row r="473" spans="1:26" x14ac:dyDescent="0.25">
      <c r="A473" s="51">
        <v>21</v>
      </c>
      <c r="B473" s="51">
        <v>2045</v>
      </c>
      <c r="C473" s="51" t="s">
        <v>47</v>
      </c>
      <c r="D473" s="51" t="s">
        <v>501</v>
      </c>
      <c r="E473" s="51" t="s">
        <v>564</v>
      </c>
      <c r="F473" s="51"/>
      <c r="G473" s="618" t="s">
        <v>352</v>
      </c>
      <c r="H473" s="611">
        <v>0</v>
      </c>
      <c r="I473" s="611">
        <v>0</v>
      </c>
      <c r="J473" s="611">
        <v>0</v>
      </c>
      <c r="K473" s="611">
        <v>-33.473815441656178</v>
      </c>
      <c r="L473" s="611">
        <v>0</v>
      </c>
      <c r="M473" s="611">
        <v>0</v>
      </c>
      <c r="N473" s="611">
        <v>0</v>
      </c>
      <c r="O473" s="611">
        <v>0</v>
      </c>
      <c r="P473" s="611">
        <v>0</v>
      </c>
      <c r="Q473" s="611">
        <v>0</v>
      </c>
      <c r="R473" s="611">
        <v>0</v>
      </c>
      <c r="S473" s="611">
        <v>0</v>
      </c>
      <c r="T473" s="611">
        <v>0</v>
      </c>
      <c r="U473" s="611">
        <v>0</v>
      </c>
      <c r="V473" s="611">
        <v>0</v>
      </c>
      <c r="W473" s="611">
        <v>0</v>
      </c>
      <c r="X473" s="611">
        <v>43.527837875314049</v>
      </c>
      <c r="Y473" s="619">
        <v>10.05402243365787</v>
      </c>
      <c r="Z473" s="51"/>
    </row>
    <row r="474" spans="1:26" x14ac:dyDescent="0.25">
      <c r="A474" s="51">
        <v>22</v>
      </c>
      <c r="B474" s="51">
        <v>2045</v>
      </c>
      <c r="C474" s="51" t="s">
        <v>47</v>
      </c>
      <c r="D474" s="51" t="s">
        <v>502</v>
      </c>
      <c r="E474" s="51" t="s">
        <v>564</v>
      </c>
      <c r="F474" s="51"/>
      <c r="G474" s="618" t="s">
        <v>73</v>
      </c>
      <c r="H474" s="611">
        <v>0</v>
      </c>
      <c r="I474" s="611">
        <v>0</v>
      </c>
      <c r="J474" s="611">
        <v>0</v>
      </c>
      <c r="K474" s="611">
        <v>0</v>
      </c>
      <c r="L474" s="611">
        <v>0</v>
      </c>
      <c r="M474" s="611">
        <v>0</v>
      </c>
      <c r="N474" s="611">
        <v>0</v>
      </c>
      <c r="O474" s="611">
        <v>0</v>
      </c>
      <c r="P474" s="611">
        <v>0</v>
      </c>
      <c r="Q474" s="611">
        <v>0</v>
      </c>
      <c r="R474" s="611">
        <v>0</v>
      </c>
      <c r="S474" s="611">
        <v>0</v>
      </c>
      <c r="T474" s="611">
        <v>0</v>
      </c>
      <c r="U474" s="611">
        <v>0</v>
      </c>
      <c r="V474" s="611">
        <v>186.11023230577996</v>
      </c>
      <c r="W474" s="611">
        <v>0</v>
      </c>
      <c r="X474" s="611">
        <v>-130.74243819481043</v>
      </c>
      <c r="Y474" s="619">
        <v>55.367794110969527</v>
      </c>
      <c r="Z474" s="51"/>
    </row>
    <row r="475" spans="1:26" x14ac:dyDescent="0.25">
      <c r="A475" s="51">
        <v>23</v>
      </c>
      <c r="B475" s="51">
        <v>2045</v>
      </c>
      <c r="C475" s="51" t="s">
        <v>47</v>
      </c>
      <c r="D475" s="51" t="s">
        <v>503</v>
      </c>
      <c r="E475" s="51" t="s">
        <v>564</v>
      </c>
      <c r="F475" s="51"/>
      <c r="G475" s="618" t="s">
        <v>353</v>
      </c>
      <c r="H475" s="611">
        <v>0</v>
      </c>
      <c r="I475" s="611">
        <v>-5.6494732221184147</v>
      </c>
      <c r="J475" s="611">
        <v>7.3669989850431641</v>
      </c>
      <c r="K475" s="611">
        <v>0</v>
      </c>
      <c r="L475" s="611">
        <v>0</v>
      </c>
      <c r="M475" s="611">
        <v>0</v>
      </c>
      <c r="N475" s="611">
        <v>0</v>
      </c>
      <c r="O475" s="611">
        <v>0</v>
      </c>
      <c r="P475" s="611">
        <v>0</v>
      </c>
      <c r="Q475" s="611">
        <v>0</v>
      </c>
      <c r="R475" s="611">
        <v>0</v>
      </c>
      <c r="S475" s="611">
        <v>0</v>
      </c>
      <c r="T475" s="611">
        <v>0</v>
      </c>
      <c r="U475" s="611">
        <v>0</v>
      </c>
      <c r="V475" s="611">
        <v>0</v>
      </c>
      <c r="W475" s="611">
        <v>0</v>
      </c>
      <c r="X475" s="611">
        <v>0</v>
      </c>
      <c r="Y475" s="619">
        <v>1.7175257629247493</v>
      </c>
      <c r="Z475" s="51"/>
    </row>
    <row r="476" spans="1:26" x14ac:dyDescent="0.25">
      <c r="A476" s="51">
        <v>24</v>
      </c>
      <c r="B476" s="51">
        <v>2045</v>
      </c>
      <c r="C476" s="51" t="s">
        <v>47</v>
      </c>
      <c r="D476" s="51" t="s">
        <v>504</v>
      </c>
      <c r="E476" s="51" t="s">
        <v>564</v>
      </c>
      <c r="F476" s="51"/>
      <c r="G476" s="618" t="s">
        <v>75</v>
      </c>
      <c r="H476" s="611">
        <v>0</v>
      </c>
      <c r="I476" s="611">
        <v>0</v>
      </c>
      <c r="J476" s="611">
        <v>5.5408288295361077</v>
      </c>
      <c r="K476" s="611">
        <v>0</v>
      </c>
      <c r="L476" s="611">
        <v>1.9377811160090992</v>
      </c>
      <c r="M476" s="611">
        <v>4.9686695282284594E-2</v>
      </c>
      <c r="N476" s="611">
        <v>0</v>
      </c>
      <c r="O476" s="611">
        <v>0</v>
      </c>
      <c r="P476" s="611">
        <v>0</v>
      </c>
      <c r="Q476" s="611">
        <v>0</v>
      </c>
      <c r="R476" s="611">
        <v>0</v>
      </c>
      <c r="S476" s="611">
        <v>2.9812017169370755</v>
      </c>
      <c r="T476" s="611">
        <v>0</v>
      </c>
      <c r="U476" s="611">
        <v>0</v>
      </c>
      <c r="V476" s="611">
        <v>65.428671005307493</v>
      </c>
      <c r="W476" s="611">
        <v>0</v>
      </c>
      <c r="X476" s="611">
        <v>0</v>
      </c>
      <c r="Y476" s="619">
        <v>75.938169363072063</v>
      </c>
      <c r="Z476" s="51"/>
    </row>
    <row r="477" spans="1:26" x14ac:dyDescent="0.25">
      <c r="A477" s="51">
        <v>25</v>
      </c>
      <c r="B477" s="51">
        <v>2045</v>
      </c>
      <c r="C477" s="51" t="s">
        <v>47</v>
      </c>
      <c r="D477" s="51" t="s">
        <v>505</v>
      </c>
      <c r="E477" s="51" t="s">
        <v>564</v>
      </c>
      <c r="F477" s="51"/>
      <c r="G477" s="618" t="s">
        <v>76</v>
      </c>
      <c r="H477" s="611">
        <v>0</v>
      </c>
      <c r="I477" s="611">
        <v>0</v>
      </c>
      <c r="J477" s="611">
        <v>0</v>
      </c>
      <c r="K477" s="611">
        <v>0</v>
      </c>
      <c r="L477" s="611">
        <v>0.7188454721720291</v>
      </c>
      <c r="M477" s="611">
        <v>1.8431935183898181E-2</v>
      </c>
      <c r="N477" s="611">
        <v>0</v>
      </c>
      <c r="O477" s="611">
        <v>0</v>
      </c>
      <c r="P477" s="611">
        <v>0</v>
      </c>
      <c r="Q477" s="611">
        <v>0</v>
      </c>
      <c r="R477" s="611">
        <v>0</v>
      </c>
      <c r="S477" s="611">
        <v>1.1059161110338909</v>
      </c>
      <c r="T477" s="611">
        <v>0</v>
      </c>
      <c r="U477" s="611">
        <v>0</v>
      </c>
      <c r="V477" s="611">
        <v>67.277885678660326</v>
      </c>
      <c r="W477" s="611">
        <v>5.9601865374675969</v>
      </c>
      <c r="X477" s="611">
        <v>0</v>
      </c>
      <c r="Y477" s="619">
        <v>75.081265734517743</v>
      </c>
      <c r="Z477" s="51"/>
    </row>
    <row r="478" spans="1:26" x14ac:dyDescent="0.25">
      <c r="A478" s="51">
        <v>26</v>
      </c>
      <c r="B478" s="51">
        <v>2045</v>
      </c>
      <c r="C478" s="51" t="s">
        <v>47</v>
      </c>
      <c r="D478" s="51" t="s">
        <v>506</v>
      </c>
      <c r="E478" s="51" t="s">
        <v>564</v>
      </c>
      <c r="F478" s="51"/>
      <c r="G478" s="614" t="s">
        <v>77</v>
      </c>
      <c r="H478" s="615">
        <v>0</v>
      </c>
      <c r="I478" s="615">
        <v>156.10342406212303</v>
      </c>
      <c r="J478" s="615">
        <v>-147.23201186516312</v>
      </c>
      <c r="K478" s="615">
        <v>-33.473815441656178</v>
      </c>
      <c r="L478" s="615">
        <v>6.7880074285473899</v>
      </c>
      <c r="M478" s="615">
        <v>-5.3736603933887288</v>
      </c>
      <c r="N478" s="615">
        <v>971.10439999999994</v>
      </c>
      <c r="O478" s="615">
        <v>503.30122823446823</v>
      </c>
      <c r="P478" s="615">
        <v>498.98338078571919</v>
      </c>
      <c r="Q478" s="615">
        <v>16.79223481577316</v>
      </c>
      <c r="R478" s="615">
        <v>-125.36961785464067</v>
      </c>
      <c r="S478" s="615">
        <v>-94.766827618902951</v>
      </c>
      <c r="T478" s="615">
        <v>0</v>
      </c>
      <c r="U478" s="615">
        <v>19.408059894282182</v>
      </c>
      <c r="V478" s="615">
        <v>-558.54099624901721</v>
      </c>
      <c r="W478" s="615">
        <v>-70.892588314596864</v>
      </c>
      <c r="X478" s="615">
        <v>-74.831125707876708</v>
      </c>
      <c r="Y478" s="615">
        <v>983.36505111586007</v>
      </c>
      <c r="Z478" s="51"/>
    </row>
    <row r="479" spans="1:26" x14ac:dyDescent="0.25">
      <c r="A479" s="51"/>
      <c r="B479" s="51"/>
      <c r="C479" s="51"/>
      <c r="D479" s="51"/>
      <c r="E479" s="51"/>
      <c r="F479" s="51"/>
      <c r="G479" s="616"/>
      <c r="H479" s="617"/>
      <c r="I479" s="617"/>
      <c r="J479" s="617"/>
      <c r="K479" s="617"/>
      <c r="L479" s="623"/>
      <c r="M479" s="617"/>
      <c r="N479" s="617"/>
      <c r="O479" s="617"/>
      <c r="P479" s="617"/>
      <c r="Q479" s="617"/>
      <c r="R479" s="617"/>
      <c r="S479" s="617"/>
      <c r="T479" s="617"/>
      <c r="U479" s="617"/>
      <c r="V479" s="617"/>
      <c r="W479" s="617"/>
      <c r="X479" s="617"/>
      <c r="Y479" s="617"/>
      <c r="Z479" s="51"/>
    </row>
    <row r="480" spans="1:26" x14ac:dyDescent="0.25">
      <c r="A480" s="51">
        <v>28</v>
      </c>
      <c r="B480" s="51">
        <v>2045</v>
      </c>
      <c r="C480" s="51" t="s">
        <v>47</v>
      </c>
      <c r="D480" s="51" t="s">
        <v>507</v>
      </c>
      <c r="E480" s="51" t="s">
        <v>564</v>
      </c>
      <c r="F480" s="51"/>
      <c r="G480" s="618" t="s">
        <v>78</v>
      </c>
      <c r="H480" s="611">
        <v>1.6567330370836562</v>
      </c>
      <c r="I480" s="611">
        <v>0</v>
      </c>
      <c r="J480" s="611">
        <v>2.8599897491525303</v>
      </c>
      <c r="K480" s="611">
        <v>0</v>
      </c>
      <c r="L480" s="611">
        <v>23.2042782425182</v>
      </c>
      <c r="M480" s="611">
        <v>0.59498149339790252</v>
      </c>
      <c r="N480" s="611">
        <v>0</v>
      </c>
      <c r="O480" s="611">
        <v>0</v>
      </c>
      <c r="P480" s="611">
        <v>22.611451120736024</v>
      </c>
      <c r="Q480" s="611">
        <v>5.7247037459588501</v>
      </c>
      <c r="R480" s="611">
        <v>2.4891014214733991</v>
      </c>
      <c r="S480" s="611">
        <v>35.740239810905898</v>
      </c>
      <c r="T480" s="611">
        <v>17.613589843749999</v>
      </c>
      <c r="U480" s="611">
        <v>8.4299170840015686E-4</v>
      </c>
      <c r="V480" s="611">
        <v>187.94943106568476</v>
      </c>
      <c r="W480" s="611">
        <v>21.3497147946984</v>
      </c>
      <c r="X480" s="611">
        <v>13.7914765625</v>
      </c>
      <c r="Y480" s="619">
        <v>335.58653387956804</v>
      </c>
      <c r="Z480" s="51"/>
    </row>
    <row r="481" spans="1:26" x14ac:dyDescent="0.25">
      <c r="A481" s="51">
        <v>29</v>
      </c>
      <c r="B481" s="51">
        <v>2045</v>
      </c>
      <c r="C481" s="51" t="s">
        <v>47</v>
      </c>
      <c r="D481" s="51" t="s">
        <v>508</v>
      </c>
      <c r="E481" s="51" t="s">
        <v>564</v>
      </c>
      <c r="F481" s="51"/>
      <c r="G481" s="618" t="s">
        <v>79</v>
      </c>
      <c r="H481" s="611">
        <v>0</v>
      </c>
      <c r="I481" s="611">
        <v>0</v>
      </c>
      <c r="J481" s="611">
        <v>7.0212023016086675</v>
      </c>
      <c r="K481" s="611">
        <v>2.7990026147409606</v>
      </c>
      <c r="L481" s="611">
        <v>3.0363171620819989</v>
      </c>
      <c r="M481" s="611">
        <v>7.7854286207230741E-2</v>
      </c>
      <c r="N481" s="611">
        <v>0</v>
      </c>
      <c r="O481" s="611">
        <v>0</v>
      </c>
      <c r="P481" s="611">
        <v>0</v>
      </c>
      <c r="Q481" s="611">
        <v>0</v>
      </c>
      <c r="R481" s="611">
        <v>56.581202021290558</v>
      </c>
      <c r="S481" s="611">
        <v>4.6712571724338439</v>
      </c>
      <c r="T481" s="611">
        <v>0</v>
      </c>
      <c r="U481" s="611">
        <v>0</v>
      </c>
      <c r="V481" s="611">
        <v>112.24073946586431</v>
      </c>
      <c r="W481" s="611">
        <v>0</v>
      </c>
      <c r="X481" s="611">
        <v>6.497399181335763</v>
      </c>
      <c r="Y481" s="619">
        <v>192.92497420556333</v>
      </c>
      <c r="Z481" s="51"/>
    </row>
    <row r="482" spans="1:26" x14ac:dyDescent="0.25">
      <c r="A482" s="51">
        <v>30</v>
      </c>
      <c r="B482" s="51">
        <v>2045</v>
      </c>
      <c r="C482" s="51" t="s">
        <v>47</v>
      </c>
      <c r="D482" s="51" t="s">
        <v>509</v>
      </c>
      <c r="E482" s="51" t="s">
        <v>564</v>
      </c>
      <c r="F482" s="51"/>
      <c r="G482" s="618" t="s">
        <v>80</v>
      </c>
      <c r="H482" s="611">
        <v>0</v>
      </c>
      <c r="I482" s="611">
        <v>0</v>
      </c>
      <c r="J482" s="611">
        <v>0.5196546933255638</v>
      </c>
      <c r="K482" s="611">
        <v>0</v>
      </c>
      <c r="L482" s="611">
        <v>17.665666251647078</v>
      </c>
      <c r="M482" s="611">
        <v>0.45296580132428405</v>
      </c>
      <c r="N482" s="611">
        <v>0</v>
      </c>
      <c r="O482" s="611">
        <v>0</v>
      </c>
      <c r="P482" s="611">
        <v>32.483470327644831</v>
      </c>
      <c r="Q482" s="611">
        <v>0</v>
      </c>
      <c r="R482" s="611">
        <v>0</v>
      </c>
      <c r="S482" s="611">
        <v>27.177948079457042</v>
      </c>
      <c r="T482" s="611">
        <v>90.68630521236868</v>
      </c>
      <c r="U482" s="611">
        <v>2.9879226579899409</v>
      </c>
      <c r="V482" s="611">
        <v>137.5160572196865</v>
      </c>
      <c r="W482" s="611">
        <v>31.144088053921816</v>
      </c>
      <c r="X482" s="611">
        <v>0</v>
      </c>
      <c r="Y482" s="619">
        <v>340.6340782973657</v>
      </c>
      <c r="Z482" s="51"/>
    </row>
    <row r="483" spans="1:26" x14ac:dyDescent="0.25">
      <c r="A483" s="51">
        <v>31</v>
      </c>
      <c r="B483" s="51">
        <v>2045</v>
      </c>
      <c r="C483" s="51" t="s">
        <v>47</v>
      </c>
      <c r="D483" s="51" t="s">
        <v>510</v>
      </c>
      <c r="E483" s="51" t="s">
        <v>564</v>
      </c>
      <c r="F483" s="51"/>
      <c r="G483" s="618" t="s">
        <v>81</v>
      </c>
      <c r="H483" s="611">
        <v>0</v>
      </c>
      <c r="I483" s="611">
        <v>0</v>
      </c>
      <c r="J483" s="611">
        <v>0.35831407094137846</v>
      </c>
      <c r="K483" s="611">
        <v>0</v>
      </c>
      <c r="L483" s="611">
        <v>8.1489414973021788</v>
      </c>
      <c r="M483" s="611">
        <v>0.20894721787954304</v>
      </c>
      <c r="N483" s="611">
        <v>0</v>
      </c>
      <c r="O483" s="611">
        <v>0</v>
      </c>
      <c r="P483" s="611">
        <v>0.5</v>
      </c>
      <c r="Q483" s="611">
        <v>0</v>
      </c>
      <c r="R483" s="611">
        <v>0</v>
      </c>
      <c r="S483" s="611">
        <v>12.536833072772582</v>
      </c>
      <c r="T483" s="611">
        <v>50.802581369248031</v>
      </c>
      <c r="U483" s="611">
        <v>3.7413333081760056</v>
      </c>
      <c r="V483" s="611">
        <v>109.69037743929238</v>
      </c>
      <c r="W483" s="611">
        <v>18.398785465976633</v>
      </c>
      <c r="X483" s="611">
        <v>0</v>
      </c>
      <c r="Y483" s="619">
        <v>204.38611344158875</v>
      </c>
      <c r="Z483" s="51"/>
    </row>
    <row r="484" spans="1:26" x14ac:dyDescent="0.25">
      <c r="A484" s="51">
        <v>32</v>
      </c>
      <c r="B484" s="51">
        <v>2045</v>
      </c>
      <c r="C484" s="51" t="s">
        <v>47</v>
      </c>
      <c r="D484" s="51" t="s">
        <v>511</v>
      </c>
      <c r="E484" s="51" t="s">
        <v>564</v>
      </c>
      <c r="F484" s="51"/>
      <c r="G484" s="618" t="s">
        <v>82</v>
      </c>
      <c r="H484" s="611">
        <v>0</v>
      </c>
      <c r="I484" s="611">
        <v>0</v>
      </c>
      <c r="J484" s="611">
        <v>3.6269592260559613</v>
      </c>
      <c r="K484" s="611">
        <v>0</v>
      </c>
      <c r="L484" s="611">
        <v>0.54000998563441127</v>
      </c>
      <c r="M484" s="611">
        <v>1.3846409888061828E-2</v>
      </c>
      <c r="N484" s="611">
        <v>0</v>
      </c>
      <c r="O484" s="611">
        <v>0</v>
      </c>
      <c r="P484" s="611">
        <v>3.5</v>
      </c>
      <c r="Q484" s="611">
        <v>0</v>
      </c>
      <c r="R484" s="611">
        <v>18.837710420943388</v>
      </c>
      <c r="S484" s="611">
        <v>0.83078459328370968</v>
      </c>
      <c r="T484" s="611">
        <v>1.25</v>
      </c>
      <c r="U484" s="611">
        <v>1.7440136932478227</v>
      </c>
      <c r="V484" s="611">
        <v>6.9437566699737134</v>
      </c>
      <c r="W484" s="611">
        <v>0</v>
      </c>
      <c r="X484" s="611">
        <v>0.68427420359697799</v>
      </c>
      <c r="Y484" s="619">
        <v>37.971355202624046</v>
      </c>
      <c r="Z484" s="51"/>
    </row>
    <row r="485" spans="1:26" x14ac:dyDescent="0.25">
      <c r="A485" s="51">
        <v>33</v>
      </c>
      <c r="B485" s="51">
        <v>2045</v>
      </c>
      <c r="C485" s="51" t="s">
        <v>47</v>
      </c>
      <c r="D485" s="51" t="s">
        <v>512</v>
      </c>
      <c r="E485" s="51" t="s">
        <v>564</v>
      </c>
      <c r="F485" s="51"/>
      <c r="G485" s="618" t="s">
        <v>354</v>
      </c>
      <c r="H485" s="611">
        <v>0</v>
      </c>
      <c r="I485" s="611">
        <v>0</v>
      </c>
      <c r="J485" s="611">
        <v>0</v>
      </c>
      <c r="K485" s="611">
        <v>0</v>
      </c>
      <c r="L485" s="611">
        <v>0</v>
      </c>
      <c r="M485" s="611">
        <v>0</v>
      </c>
      <c r="N485" s="611">
        <v>0</v>
      </c>
      <c r="O485" s="611">
        <v>0</v>
      </c>
      <c r="P485" s="611">
        <v>0</v>
      </c>
      <c r="Q485" s="611">
        <v>0</v>
      </c>
      <c r="R485" s="611">
        <v>0</v>
      </c>
      <c r="S485" s="611">
        <v>0</v>
      </c>
      <c r="T485" s="611">
        <v>0</v>
      </c>
      <c r="U485" s="611">
        <v>0</v>
      </c>
      <c r="V485" s="611">
        <v>5.7675999999999998</v>
      </c>
      <c r="W485" s="611">
        <v>0</v>
      </c>
      <c r="X485" s="611">
        <v>0</v>
      </c>
      <c r="Y485" s="619">
        <v>5.7675999999999998</v>
      </c>
      <c r="Z485" s="51"/>
    </row>
    <row r="486" spans="1:26" x14ac:dyDescent="0.25">
      <c r="A486" s="51">
        <v>34</v>
      </c>
      <c r="B486" s="51">
        <v>2045</v>
      </c>
      <c r="C486" s="51" t="s">
        <v>47</v>
      </c>
      <c r="D486" s="51" t="s">
        <v>513</v>
      </c>
      <c r="E486" s="51" t="s">
        <v>564</v>
      </c>
      <c r="F486" s="51"/>
      <c r="G486" s="614" t="s">
        <v>83</v>
      </c>
      <c r="H486" s="615">
        <v>1.6567330370836562</v>
      </c>
      <c r="I486" s="615">
        <v>0</v>
      </c>
      <c r="J486" s="615">
        <v>14.386120041084101</v>
      </c>
      <c r="K486" s="615">
        <v>2.7990026147409606</v>
      </c>
      <c r="L486" s="615">
        <v>52.595213139183869</v>
      </c>
      <c r="M486" s="615">
        <v>1.3485952086970221</v>
      </c>
      <c r="N486" s="615">
        <v>0</v>
      </c>
      <c r="O486" s="615">
        <v>0</v>
      </c>
      <c r="P486" s="615">
        <v>59.094921448380859</v>
      </c>
      <c r="Q486" s="615">
        <v>5.7247037459588501</v>
      </c>
      <c r="R486" s="615">
        <v>77.908013863707339</v>
      </c>
      <c r="S486" s="615">
        <v>80.957062728853074</v>
      </c>
      <c r="T486" s="615">
        <v>160.35247642536672</v>
      </c>
      <c r="U486" s="615">
        <v>8.4741126511221694</v>
      </c>
      <c r="V486" s="615">
        <v>560.10796186050163</v>
      </c>
      <c r="W486" s="615">
        <v>70.89258831459685</v>
      </c>
      <c r="X486" s="615">
        <v>20.973149947432741</v>
      </c>
      <c r="Y486" s="615">
        <v>1117.2706550267096</v>
      </c>
      <c r="Z486" s="51"/>
    </row>
    <row r="487" spans="1:26" x14ac:dyDescent="0.25">
      <c r="A487" s="51">
        <v>35</v>
      </c>
      <c r="B487" s="51">
        <v>2045</v>
      </c>
      <c r="C487" s="51" t="s">
        <v>47</v>
      </c>
      <c r="D487" s="51" t="s">
        <v>514</v>
      </c>
      <c r="E487" s="51" t="s">
        <v>564</v>
      </c>
      <c r="F487" s="51"/>
      <c r="G487" s="610" t="s">
        <v>84</v>
      </c>
      <c r="H487" s="611">
        <v>0</v>
      </c>
      <c r="I487" s="611">
        <v>0</v>
      </c>
      <c r="J487" s="611">
        <v>62.444092195240373</v>
      </c>
      <c r="K487" s="611">
        <v>2.5138754259873437</v>
      </c>
      <c r="L487" s="611">
        <v>6.0153513536527026</v>
      </c>
      <c r="M487" s="611">
        <v>0</v>
      </c>
      <c r="N487" s="611">
        <v>0</v>
      </c>
      <c r="O487" s="611">
        <v>0</v>
      </c>
      <c r="P487" s="611">
        <v>0.4729958666220917</v>
      </c>
      <c r="Q487" s="611">
        <v>0</v>
      </c>
      <c r="R487" s="611">
        <v>38.295047275787958</v>
      </c>
      <c r="S487" s="611">
        <v>11.297042554251473</v>
      </c>
      <c r="T487" s="611">
        <v>0</v>
      </c>
      <c r="U487" s="611">
        <v>0</v>
      </c>
      <c r="V487" s="611">
        <v>0</v>
      </c>
      <c r="W487" s="611">
        <v>0</v>
      </c>
      <c r="X487" s="611">
        <v>46.889191785304561</v>
      </c>
      <c r="Y487" s="619">
        <v>167.92759645684652</v>
      </c>
      <c r="Z487" s="51"/>
    </row>
    <row r="488" spans="1:26" x14ac:dyDescent="0.25">
      <c r="A488" s="51">
        <v>36</v>
      </c>
      <c r="B488" s="51">
        <v>2045</v>
      </c>
      <c r="C488" s="51" t="s">
        <v>47</v>
      </c>
      <c r="D488" s="51" t="s">
        <v>515</v>
      </c>
      <c r="E488" s="51" t="s">
        <v>564</v>
      </c>
      <c r="F488" s="51"/>
      <c r="G488" s="614" t="s">
        <v>85</v>
      </c>
      <c r="H488" s="615">
        <v>1.6567330370836562</v>
      </c>
      <c r="I488" s="615">
        <v>0</v>
      </c>
      <c r="J488" s="615">
        <v>76.830212236324471</v>
      </c>
      <c r="K488" s="615">
        <v>5.3128780407283038</v>
      </c>
      <c r="L488" s="615">
        <v>58.610564492836573</v>
      </c>
      <c r="M488" s="615">
        <v>1.3485952086970221</v>
      </c>
      <c r="N488" s="615">
        <v>0</v>
      </c>
      <c r="O488" s="615">
        <v>0</v>
      </c>
      <c r="P488" s="615">
        <v>59.567917315002951</v>
      </c>
      <c r="Q488" s="615">
        <v>5.7247037459588501</v>
      </c>
      <c r="R488" s="615">
        <v>116.2030611394953</v>
      </c>
      <c r="S488" s="615">
        <v>92.25410528310455</v>
      </c>
      <c r="T488" s="615">
        <v>160.35247642536672</v>
      </c>
      <c r="U488" s="615">
        <v>8.4741126511221694</v>
      </c>
      <c r="V488" s="615">
        <v>560.10796186050163</v>
      </c>
      <c r="W488" s="615">
        <v>70.89258831459685</v>
      </c>
      <c r="X488" s="615">
        <v>67.862341732737306</v>
      </c>
      <c r="Y488" s="615">
        <v>1285.1982514835561</v>
      </c>
      <c r="Z488" s="51"/>
    </row>
    <row r="489" spans="1:26" x14ac:dyDescent="0.25">
      <c r="A489" s="51"/>
      <c r="B489" s="51"/>
      <c r="C489" s="51"/>
      <c r="D489" s="51"/>
      <c r="E489" s="51"/>
      <c r="F489" s="51"/>
      <c r="G489" s="51"/>
      <c r="H489" s="67">
        <v>0</v>
      </c>
      <c r="I489" s="67">
        <v>0</v>
      </c>
      <c r="J489" s="67">
        <v>0</v>
      </c>
      <c r="K489" s="67">
        <v>0</v>
      </c>
      <c r="L489" s="67">
        <v>0</v>
      </c>
      <c r="M489" s="67">
        <v>0</v>
      </c>
      <c r="N489" s="67">
        <v>0</v>
      </c>
      <c r="O489" s="67">
        <v>0</v>
      </c>
      <c r="P489" s="67">
        <v>0</v>
      </c>
      <c r="Q489" s="67">
        <v>-3.4682726224133376E-4</v>
      </c>
      <c r="R489" s="67">
        <v>0</v>
      </c>
      <c r="S489" s="67">
        <v>1.3322676295501878E-14</v>
      </c>
      <c r="T489" s="67">
        <v>0</v>
      </c>
      <c r="U489" s="67">
        <v>0</v>
      </c>
      <c r="V489" s="67">
        <v>-1.1368683772161603E-13</v>
      </c>
      <c r="W489" s="67">
        <v>-1.4210854715202004E-14</v>
      </c>
      <c r="X489" s="67">
        <v>8.8817841970012523E-15</v>
      </c>
      <c r="Y489" s="67">
        <v>-3.4682726254686713E-4</v>
      </c>
      <c r="Z489" s="51"/>
    </row>
    <row r="490" spans="1:26" x14ac:dyDescent="0.25">
      <c r="A490" s="51"/>
      <c r="B490" s="51"/>
      <c r="C490" s="51"/>
      <c r="D490" s="51"/>
      <c r="E490" s="51"/>
      <c r="F490" s="51"/>
      <c r="G490" s="51"/>
      <c r="H490" s="51"/>
      <c r="I490" s="51"/>
      <c r="J490" s="51"/>
      <c r="K490" s="67"/>
      <c r="L490" s="51"/>
      <c r="M490" s="51"/>
      <c r="N490" s="51"/>
      <c r="O490" s="51"/>
      <c r="P490" s="51"/>
      <c r="Q490" s="51"/>
      <c r="R490" s="51"/>
      <c r="S490" s="51"/>
      <c r="T490" s="51"/>
      <c r="U490" s="51"/>
      <c r="V490" s="51"/>
      <c r="W490" s="51"/>
      <c r="X490" s="51"/>
      <c r="Y490" s="51"/>
      <c r="Z490" s="51"/>
    </row>
    <row r="491" spans="1:26" x14ac:dyDescent="0.25">
      <c r="A491" s="606"/>
      <c r="B491" s="606"/>
      <c r="C491" s="606"/>
      <c r="D491" s="606"/>
      <c r="E491" s="606"/>
      <c r="F491" s="606"/>
      <c r="G491" s="607" t="s">
        <v>89</v>
      </c>
      <c r="H491" s="606"/>
      <c r="I491" s="606"/>
      <c r="J491" s="606"/>
      <c r="K491" s="682"/>
      <c r="L491" s="606"/>
      <c r="M491" s="606"/>
      <c r="N491" s="606"/>
      <c r="O491" s="606"/>
      <c r="P491" s="606"/>
      <c r="Q491" s="606"/>
      <c r="R491" s="606"/>
      <c r="S491" s="606"/>
      <c r="T491" s="606"/>
      <c r="U491" s="606"/>
      <c r="V491" s="606"/>
      <c r="W491" s="606"/>
      <c r="X491" s="606"/>
      <c r="Y491" s="606"/>
      <c r="Z491" s="606"/>
    </row>
    <row r="492" spans="1:26" x14ac:dyDescent="0.25">
      <c r="A492" s="51"/>
      <c r="B492" s="51"/>
      <c r="C492" s="51"/>
      <c r="D492" s="51"/>
      <c r="E492" s="51"/>
      <c r="F492" s="51"/>
      <c r="G492" s="51"/>
      <c r="H492" s="51"/>
      <c r="I492" s="51"/>
      <c r="J492" s="51"/>
      <c r="K492" s="67"/>
      <c r="L492" s="51"/>
      <c r="M492" s="51"/>
      <c r="N492" s="51"/>
      <c r="O492" s="51"/>
      <c r="P492" s="51"/>
      <c r="Q492" s="51"/>
      <c r="R492" s="51"/>
      <c r="S492" s="51"/>
      <c r="T492" s="51"/>
      <c r="U492" s="51"/>
      <c r="V492" s="51"/>
      <c r="W492" s="51"/>
      <c r="X492" s="51"/>
      <c r="Y492" s="51"/>
      <c r="Z492" s="51"/>
    </row>
    <row r="493" spans="1:26" x14ac:dyDescent="0.25">
      <c r="A493" s="51"/>
      <c r="B493" s="51"/>
      <c r="C493" s="51"/>
      <c r="D493" s="51"/>
      <c r="E493" s="51"/>
      <c r="F493" s="51"/>
      <c r="G493" s="764" t="s">
        <v>128</v>
      </c>
      <c r="H493" s="753" t="s">
        <v>42</v>
      </c>
      <c r="I493" s="753" t="s">
        <v>52</v>
      </c>
      <c r="J493" s="753" t="s">
        <v>53</v>
      </c>
      <c r="K493" s="766" t="s">
        <v>482</v>
      </c>
      <c r="L493" s="753" t="s">
        <v>32</v>
      </c>
      <c r="M493" s="753" t="s">
        <v>483</v>
      </c>
      <c r="N493" s="753" t="s">
        <v>20</v>
      </c>
      <c r="O493" s="753" t="s">
        <v>55</v>
      </c>
      <c r="P493" s="761" t="s">
        <v>56</v>
      </c>
      <c r="Q493" s="762"/>
      <c r="R493" s="762"/>
      <c r="S493" s="762"/>
      <c r="T493" s="762"/>
      <c r="U493" s="763"/>
      <c r="V493" s="753" t="s">
        <v>57</v>
      </c>
      <c r="W493" s="753" t="s">
        <v>58</v>
      </c>
      <c r="X493" s="753" t="s">
        <v>31</v>
      </c>
      <c r="Y493" s="753" t="s">
        <v>10</v>
      </c>
      <c r="Z493" s="51"/>
    </row>
    <row r="494" spans="1:26" ht="36" x14ac:dyDescent="0.25">
      <c r="A494" s="51"/>
      <c r="B494" s="51"/>
      <c r="C494" s="51"/>
      <c r="D494" s="51" t="s">
        <v>486</v>
      </c>
      <c r="E494" s="51"/>
      <c r="F494" s="51"/>
      <c r="G494" s="765"/>
      <c r="H494" s="754"/>
      <c r="I494" s="754"/>
      <c r="J494" s="754"/>
      <c r="K494" s="767"/>
      <c r="L494" s="754"/>
      <c r="M494" s="754"/>
      <c r="N494" s="754"/>
      <c r="O494" s="754"/>
      <c r="P494" s="608" t="s">
        <v>335</v>
      </c>
      <c r="Q494" s="608" t="s">
        <v>40</v>
      </c>
      <c r="R494" s="608" t="s">
        <v>343</v>
      </c>
      <c r="S494" s="608" t="s">
        <v>344</v>
      </c>
      <c r="T494" s="609" t="s">
        <v>345</v>
      </c>
      <c r="U494" s="608" t="s">
        <v>346</v>
      </c>
      <c r="V494" s="754"/>
      <c r="W494" s="754"/>
      <c r="X494" s="754"/>
      <c r="Y494" s="754"/>
      <c r="Z494" s="51"/>
    </row>
    <row r="495" spans="1:26" x14ac:dyDescent="0.25">
      <c r="A495" s="51">
        <v>6</v>
      </c>
      <c r="B495" s="51">
        <v>2050</v>
      </c>
      <c r="C495" s="51" t="s">
        <v>47</v>
      </c>
      <c r="D495" s="51" t="s">
        <v>487</v>
      </c>
      <c r="E495" s="51" t="s">
        <v>564</v>
      </c>
      <c r="F495" s="51"/>
      <c r="G495" s="610" t="s">
        <v>59</v>
      </c>
      <c r="H495" s="611">
        <v>0</v>
      </c>
      <c r="I495" s="611">
        <v>0</v>
      </c>
      <c r="J495" s="611">
        <v>0</v>
      </c>
      <c r="K495" s="611">
        <v>0</v>
      </c>
      <c r="L495" s="611">
        <v>0</v>
      </c>
      <c r="M495" s="611">
        <v>0</v>
      </c>
      <c r="N495" s="612">
        <v>759.92203636363649</v>
      </c>
      <c r="O495" s="612">
        <v>585.27007132862354</v>
      </c>
      <c r="P495" s="612">
        <v>544.2761661086563</v>
      </c>
      <c r="Q495" s="612">
        <v>22.612892504397287</v>
      </c>
      <c r="R495" s="611">
        <v>1.5563580670349855</v>
      </c>
      <c r="S495" s="611">
        <v>0.17110271620039663</v>
      </c>
      <c r="T495" s="612">
        <v>169.61620356283726</v>
      </c>
      <c r="U495" s="612">
        <v>29.84975527712956</v>
      </c>
      <c r="V495" s="611">
        <v>0</v>
      </c>
      <c r="W495" s="611">
        <v>0</v>
      </c>
      <c r="X495" s="611">
        <v>0</v>
      </c>
      <c r="Y495" s="613">
        <v>2017.9461147679463</v>
      </c>
      <c r="Z495" s="51"/>
    </row>
    <row r="496" spans="1:26" x14ac:dyDescent="0.25">
      <c r="A496" s="51">
        <v>7</v>
      </c>
      <c r="B496" s="51">
        <v>2050</v>
      </c>
      <c r="C496" s="51" t="s">
        <v>47</v>
      </c>
      <c r="D496" s="51" t="s">
        <v>488</v>
      </c>
      <c r="E496" s="51" t="s">
        <v>564</v>
      </c>
      <c r="F496" s="51"/>
      <c r="G496" s="610" t="s">
        <v>60</v>
      </c>
      <c r="H496" s="611">
        <v>0.64129319091675452</v>
      </c>
      <c r="I496" s="611">
        <v>72.7588411322387</v>
      </c>
      <c r="J496" s="611">
        <v>1.9517818504706483</v>
      </c>
      <c r="K496" s="611">
        <v>0</v>
      </c>
      <c r="L496" s="611">
        <v>3.2223770587889593</v>
      </c>
      <c r="M496" s="611">
        <v>0</v>
      </c>
      <c r="N496" s="611">
        <v>0</v>
      </c>
      <c r="O496" s="611">
        <v>0</v>
      </c>
      <c r="P496" s="611">
        <v>5.2309321400654634</v>
      </c>
      <c r="Q496" s="611">
        <v>0</v>
      </c>
      <c r="R496" s="611">
        <v>6.8353402019644598</v>
      </c>
      <c r="S496" s="611">
        <v>0</v>
      </c>
      <c r="T496" s="611">
        <v>0</v>
      </c>
      <c r="U496" s="611">
        <v>0</v>
      </c>
      <c r="V496" s="611">
        <v>76.436390058334382</v>
      </c>
      <c r="W496" s="611">
        <v>0</v>
      </c>
      <c r="X496" s="611">
        <v>0</v>
      </c>
      <c r="Y496" s="613">
        <v>167.07695563277937</v>
      </c>
      <c r="Z496" s="51"/>
    </row>
    <row r="497" spans="1:26" x14ac:dyDescent="0.25">
      <c r="A497" s="51">
        <v>8</v>
      </c>
      <c r="B497" s="51">
        <v>2050</v>
      </c>
      <c r="C497" s="51" t="s">
        <v>47</v>
      </c>
      <c r="D497" s="51" t="s">
        <v>489</v>
      </c>
      <c r="E497" s="51" t="s">
        <v>564</v>
      </c>
      <c r="F497" s="51"/>
      <c r="G497" s="610" t="s">
        <v>61</v>
      </c>
      <c r="H497" s="611">
        <v>0</v>
      </c>
      <c r="I497" s="611">
        <v>0</v>
      </c>
      <c r="J497" s="611">
        <v>-14.104943745715939</v>
      </c>
      <c r="K497" s="611">
        <v>-15.061852283906475</v>
      </c>
      <c r="L497" s="611">
        <v>0</v>
      </c>
      <c r="M497" s="611">
        <v>0</v>
      </c>
      <c r="N497" s="611">
        <v>0</v>
      </c>
      <c r="O497" s="611">
        <v>0</v>
      </c>
      <c r="P497" s="611">
        <v>0</v>
      </c>
      <c r="Q497" s="611">
        <v>0</v>
      </c>
      <c r="R497" s="611">
        <v>0</v>
      </c>
      <c r="S497" s="611">
        <v>0</v>
      </c>
      <c r="T497" s="611">
        <v>0</v>
      </c>
      <c r="U497" s="611">
        <v>0</v>
      </c>
      <c r="V497" s="611">
        <v>0</v>
      </c>
      <c r="W497" s="611">
        <v>0</v>
      </c>
      <c r="X497" s="611">
        <v>0</v>
      </c>
      <c r="Y497" s="613">
        <v>-29.166796029622414</v>
      </c>
      <c r="Z497" s="51"/>
    </row>
    <row r="498" spans="1:26" x14ac:dyDescent="0.25">
      <c r="A498" s="51">
        <v>9</v>
      </c>
      <c r="B498" s="51">
        <v>2050</v>
      </c>
      <c r="C498" s="51" t="s">
        <v>47</v>
      </c>
      <c r="D498" s="51" t="s">
        <v>490</v>
      </c>
      <c r="E498" s="51" t="s">
        <v>564</v>
      </c>
      <c r="F498" s="51"/>
      <c r="G498" s="610" t="s">
        <v>62</v>
      </c>
      <c r="H498" s="611">
        <v>0</v>
      </c>
      <c r="I498" s="611">
        <v>0</v>
      </c>
      <c r="J498" s="611">
        <v>0</v>
      </c>
      <c r="K498" s="611">
        <v>-6.1101617494546652</v>
      </c>
      <c r="L498" s="611">
        <v>0</v>
      </c>
      <c r="M498" s="611">
        <v>-4.4416564350684116</v>
      </c>
      <c r="N498" s="611">
        <v>0</v>
      </c>
      <c r="O498" s="611">
        <v>0</v>
      </c>
      <c r="P498" s="611">
        <v>0</v>
      </c>
      <c r="Q498" s="611">
        <v>0</v>
      </c>
      <c r="R498" s="611">
        <v>-1.5423967884416028</v>
      </c>
      <c r="S498" s="611">
        <v>-2.9611042900456073</v>
      </c>
      <c r="T498" s="611">
        <v>0</v>
      </c>
      <c r="U498" s="611">
        <v>0</v>
      </c>
      <c r="V498" s="611">
        <v>0</v>
      </c>
      <c r="W498" s="611">
        <v>0</v>
      </c>
      <c r="X498" s="611">
        <v>-2.4482488705422272</v>
      </c>
      <c r="Y498" s="613">
        <v>-17.503568133552513</v>
      </c>
      <c r="Z498" s="51"/>
    </row>
    <row r="499" spans="1:26" x14ac:dyDescent="0.25">
      <c r="A499" s="51">
        <v>10</v>
      </c>
      <c r="B499" s="51">
        <v>2050</v>
      </c>
      <c r="C499" s="51" t="s">
        <v>47</v>
      </c>
      <c r="D499" s="51" t="s">
        <v>491</v>
      </c>
      <c r="E499" s="51" t="s">
        <v>564</v>
      </c>
      <c r="F499" s="51"/>
      <c r="G499" s="610" t="s">
        <v>63</v>
      </c>
      <c r="H499" s="611">
        <v>0</v>
      </c>
      <c r="I499" s="611">
        <v>0</v>
      </c>
      <c r="J499" s="611">
        <v>-7.3240777097484635</v>
      </c>
      <c r="K499" s="611">
        <v>-24.912603262820603</v>
      </c>
      <c r="L499" s="611">
        <v>0</v>
      </c>
      <c r="M499" s="611">
        <v>0</v>
      </c>
      <c r="N499" s="611">
        <v>0</v>
      </c>
      <c r="O499" s="611">
        <v>0</v>
      </c>
      <c r="P499" s="611">
        <v>0</v>
      </c>
      <c r="Q499" s="611">
        <v>0</v>
      </c>
      <c r="R499" s="611">
        <v>-17.438822283974417</v>
      </c>
      <c r="S499" s="611">
        <v>0</v>
      </c>
      <c r="T499" s="611">
        <v>0</v>
      </c>
      <c r="U499" s="611">
        <v>0</v>
      </c>
      <c r="V499" s="611">
        <v>0</v>
      </c>
      <c r="W499" s="611">
        <v>0</v>
      </c>
      <c r="X499" s="611">
        <v>-7.5807767073973409</v>
      </c>
      <c r="Y499" s="613">
        <v>-57.256279963940827</v>
      </c>
      <c r="Z499" s="51"/>
    </row>
    <row r="500" spans="1:26" x14ac:dyDescent="0.25">
      <c r="A500" s="51">
        <v>11</v>
      </c>
      <c r="B500" s="51">
        <v>2050</v>
      </c>
      <c r="C500" s="51" t="s">
        <v>47</v>
      </c>
      <c r="D500" s="51" t="s">
        <v>492</v>
      </c>
      <c r="E500" s="51" t="s">
        <v>564</v>
      </c>
      <c r="F500" s="51"/>
      <c r="G500" s="610" t="s">
        <v>64</v>
      </c>
      <c r="H500" s="611">
        <v>0</v>
      </c>
      <c r="I500" s="611">
        <v>0</v>
      </c>
      <c r="J500" s="611">
        <v>0</v>
      </c>
      <c r="K500" s="611">
        <v>0</v>
      </c>
      <c r="L500" s="611">
        <v>0</v>
      </c>
      <c r="M500" s="611">
        <v>0</v>
      </c>
      <c r="N500" s="611">
        <v>0</v>
      </c>
      <c r="O500" s="611">
        <v>0</v>
      </c>
      <c r="P500" s="611">
        <v>0</v>
      </c>
      <c r="Q500" s="611">
        <v>0</v>
      </c>
      <c r="R500" s="611">
        <v>0</v>
      </c>
      <c r="S500" s="611">
        <v>0</v>
      </c>
      <c r="T500" s="611">
        <v>0</v>
      </c>
      <c r="U500" s="611">
        <v>0</v>
      </c>
      <c r="V500" s="611">
        <v>0</v>
      </c>
      <c r="W500" s="611">
        <v>0</v>
      </c>
      <c r="X500" s="611">
        <v>0</v>
      </c>
      <c r="Y500" s="613">
        <v>0</v>
      </c>
      <c r="Z500" s="51"/>
    </row>
    <row r="501" spans="1:26" x14ac:dyDescent="0.25">
      <c r="A501" s="51">
        <v>12</v>
      </c>
      <c r="B501" s="51">
        <v>2050</v>
      </c>
      <c r="C501" s="51" t="s">
        <v>47</v>
      </c>
      <c r="D501" s="51" t="s">
        <v>493</v>
      </c>
      <c r="E501" s="51" t="s">
        <v>564</v>
      </c>
      <c r="F501" s="51"/>
      <c r="G501" s="614" t="s">
        <v>65</v>
      </c>
      <c r="H501" s="615">
        <v>0.64129319091675452</v>
      </c>
      <c r="I501" s="615">
        <v>72.7588411322387</v>
      </c>
      <c r="J501" s="615">
        <v>-19.477239604993756</v>
      </c>
      <c r="K501" s="615">
        <v>-46.084617296181747</v>
      </c>
      <c r="L501" s="615">
        <v>3.2223770587889593</v>
      </c>
      <c r="M501" s="615">
        <v>-4.4416564350684116</v>
      </c>
      <c r="N501" s="615">
        <v>759.92203636363649</v>
      </c>
      <c r="O501" s="615">
        <v>585.27007132862354</v>
      </c>
      <c r="P501" s="615">
        <v>549.50709824872172</v>
      </c>
      <c r="Q501" s="615">
        <v>22.612892504397287</v>
      </c>
      <c r="R501" s="615">
        <v>-10.589520803416576</v>
      </c>
      <c r="S501" s="615">
        <v>-2.7900015738452106</v>
      </c>
      <c r="T501" s="615">
        <v>169.61620356283726</v>
      </c>
      <c r="U501" s="615">
        <v>29.84975527712956</v>
      </c>
      <c r="V501" s="615">
        <v>76.436390058334382</v>
      </c>
      <c r="W501" s="615">
        <v>0</v>
      </c>
      <c r="X501" s="615">
        <v>-10.029025577939567</v>
      </c>
      <c r="Y501" s="615">
        <v>2081.0964262736102</v>
      </c>
      <c r="Z501" s="51"/>
    </row>
    <row r="502" spans="1:26" x14ac:dyDescent="0.25">
      <c r="A502" s="51"/>
      <c r="B502" s="51"/>
      <c r="C502" s="51"/>
      <c r="D502" s="51"/>
      <c r="E502" s="51"/>
      <c r="F502" s="51"/>
      <c r="G502" s="616"/>
      <c r="H502" s="617"/>
      <c r="I502" s="617"/>
      <c r="J502" s="617"/>
      <c r="K502" s="617"/>
      <c r="L502" s="623"/>
      <c r="M502" s="617"/>
      <c r="N502" s="617"/>
      <c r="O502" s="617"/>
      <c r="P502" s="617"/>
      <c r="Q502" s="617"/>
      <c r="R502" s="617"/>
      <c r="S502" s="617"/>
      <c r="T502" s="617"/>
      <c r="U502" s="617"/>
      <c r="V502" s="617"/>
      <c r="W502" s="617"/>
      <c r="X502" s="617"/>
      <c r="Y502" s="617"/>
      <c r="Z502" s="51"/>
    </row>
    <row r="503" spans="1:26" x14ac:dyDescent="0.25">
      <c r="A503" s="51">
        <v>14</v>
      </c>
      <c r="B503" s="51">
        <v>2050</v>
      </c>
      <c r="C503" s="51" t="s">
        <v>47</v>
      </c>
      <c r="D503" s="51" t="s">
        <v>494</v>
      </c>
      <c r="E503" s="51" t="s">
        <v>564</v>
      </c>
      <c r="F503" s="51"/>
      <c r="G503" s="618" t="s">
        <v>67</v>
      </c>
      <c r="H503" s="611">
        <v>0</v>
      </c>
      <c r="I503" s="611">
        <v>0</v>
      </c>
      <c r="J503" s="611">
        <v>0</v>
      </c>
      <c r="K503" s="611">
        <v>0</v>
      </c>
      <c r="L503" s="611">
        <v>0</v>
      </c>
      <c r="M503" s="611">
        <v>0</v>
      </c>
      <c r="N503" s="611">
        <v>0</v>
      </c>
      <c r="O503" s="611">
        <v>0</v>
      </c>
      <c r="P503" s="611">
        <v>0</v>
      </c>
      <c r="Q503" s="611">
        <v>0</v>
      </c>
      <c r="R503" s="611">
        <v>0</v>
      </c>
      <c r="S503" s="611">
        <v>0</v>
      </c>
      <c r="T503" s="611">
        <v>0</v>
      </c>
      <c r="U503" s="611">
        <v>0</v>
      </c>
      <c r="V503" s="611">
        <v>0</v>
      </c>
      <c r="W503" s="611">
        <v>0</v>
      </c>
      <c r="X503" s="611">
        <v>0</v>
      </c>
      <c r="Y503" s="619">
        <v>0</v>
      </c>
      <c r="Z503" s="51"/>
    </row>
    <row r="504" spans="1:26" x14ac:dyDescent="0.25">
      <c r="A504" s="51">
        <v>15</v>
      </c>
      <c r="B504" s="51">
        <v>2050</v>
      </c>
      <c r="C504" s="51" t="s">
        <v>47</v>
      </c>
      <c r="D504" s="51" t="s">
        <v>495</v>
      </c>
      <c r="E504" s="51" t="s">
        <v>564</v>
      </c>
      <c r="F504" s="51"/>
      <c r="G504" s="618" t="s">
        <v>347</v>
      </c>
      <c r="H504" s="611">
        <v>0</v>
      </c>
      <c r="I504" s="611">
        <v>0</v>
      </c>
      <c r="J504" s="611">
        <v>0</v>
      </c>
      <c r="K504" s="611">
        <v>0</v>
      </c>
      <c r="L504" s="611">
        <v>0</v>
      </c>
      <c r="M504" s="611">
        <v>0</v>
      </c>
      <c r="N504" s="611">
        <v>759.92203636363649</v>
      </c>
      <c r="O504" s="611">
        <v>585.27007132862354</v>
      </c>
      <c r="P504" s="611">
        <v>21.070476053702411</v>
      </c>
      <c r="Q504" s="611">
        <v>0.79412391002758753</v>
      </c>
      <c r="R504" s="611">
        <v>6.5561937148871507</v>
      </c>
      <c r="S504" s="611">
        <v>1.5747281082088551</v>
      </c>
      <c r="T504" s="611">
        <v>0</v>
      </c>
      <c r="U504" s="611">
        <v>6.7631767445353068</v>
      </c>
      <c r="V504" s="611">
        <v>-895.41481982892913</v>
      </c>
      <c r="W504" s="611">
        <v>0</v>
      </c>
      <c r="X504" s="611">
        <v>6.4421899999999992</v>
      </c>
      <c r="Y504" s="619">
        <v>492.97817639469179</v>
      </c>
      <c r="Z504" s="51"/>
    </row>
    <row r="505" spans="1:26" x14ac:dyDescent="0.25">
      <c r="A505" s="51">
        <v>16</v>
      </c>
      <c r="B505" s="51">
        <v>2050</v>
      </c>
      <c r="C505" s="51" t="s">
        <v>47</v>
      </c>
      <c r="D505" s="51" t="s">
        <v>496</v>
      </c>
      <c r="E505" s="51" t="s">
        <v>564</v>
      </c>
      <c r="F505" s="51"/>
      <c r="G505" s="618" t="s">
        <v>348</v>
      </c>
      <c r="H505" s="611">
        <v>0</v>
      </c>
      <c r="I505" s="611">
        <v>0</v>
      </c>
      <c r="J505" s="611">
        <v>0</v>
      </c>
      <c r="K505" s="611">
        <v>0</v>
      </c>
      <c r="L505" s="611">
        <v>0</v>
      </c>
      <c r="M505" s="611">
        <v>0</v>
      </c>
      <c r="N505" s="611">
        <v>0</v>
      </c>
      <c r="O505" s="611">
        <v>0</v>
      </c>
      <c r="P505" s="611">
        <v>40.861846119730153</v>
      </c>
      <c r="Q505" s="611">
        <v>16.456287751019055</v>
      </c>
      <c r="R505" s="611">
        <v>0</v>
      </c>
      <c r="S505" s="611">
        <v>9.5496881876311956</v>
      </c>
      <c r="T505" s="611">
        <v>0</v>
      </c>
      <c r="U505" s="611">
        <v>13.586210796730345</v>
      </c>
      <c r="V505" s="611">
        <v>0</v>
      </c>
      <c r="W505" s="611">
        <v>-77.069925633230909</v>
      </c>
      <c r="X505" s="611">
        <v>0</v>
      </c>
      <c r="Y505" s="619">
        <v>3.3841072218798303</v>
      </c>
      <c r="Z505" s="51"/>
    </row>
    <row r="506" spans="1:26" x14ac:dyDescent="0.25">
      <c r="A506" s="51">
        <v>17</v>
      </c>
      <c r="B506" s="51">
        <v>2050</v>
      </c>
      <c r="C506" s="51" t="s">
        <v>47</v>
      </c>
      <c r="D506" s="51" t="s">
        <v>497</v>
      </c>
      <c r="E506" s="51" t="s">
        <v>564</v>
      </c>
      <c r="F506" s="51"/>
      <c r="G506" s="618" t="s">
        <v>349</v>
      </c>
      <c r="H506" s="611">
        <v>0</v>
      </c>
      <c r="I506" s="611">
        <v>0</v>
      </c>
      <c r="J506" s="611">
        <v>0</v>
      </c>
      <c r="K506" s="611">
        <v>0</v>
      </c>
      <c r="L506" s="611">
        <v>0</v>
      </c>
      <c r="M506" s="611">
        <v>0</v>
      </c>
      <c r="N506" s="611">
        <v>0</v>
      </c>
      <c r="O506" s="611">
        <v>0</v>
      </c>
      <c r="P506" s="611">
        <v>237.19961676861325</v>
      </c>
      <c r="Q506" s="611">
        <v>0</v>
      </c>
      <c r="R506" s="611">
        <v>0</v>
      </c>
      <c r="S506" s="611">
        <v>-130.4597892227373</v>
      </c>
      <c r="T506" s="611">
        <v>0</v>
      </c>
      <c r="U506" s="611">
        <v>0</v>
      </c>
      <c r="V506" s="611">
        <v>0</v>
      </c>
      <c r="W506" s="611">
        <v>0</v>
      </c>
      <c r="X506" s="611">
        <v>0</v>
      </c>
      <c r="Y506" s="619">
        <v>106.73982754587595</v>
      </c>
      <c r="Z506" s="51"/>
    </row>
    <row r="507" spans="1:26" x14ac:dyDescent="0.25">
      <c r="A507" s="51">
        <v>18</v>
      </c>
      <c r="B507" s="51">
        <v>2050</v>
      </c>
      <c r="C507" s="51" t="s">
        <v>47</v>
      </c>
      <c r="D507" s="51" t="s">
        <v>498</v>
      </c>
      <c r="E507" s="51" t="s">
        <v>564</v>
      </c>
      <c r="F507" s="51"/>
      <c r="G507" s="618" t="s">
        <v>350</v>
      </c>
      <c r="H507" s="611">
        <v>0</v>
      </c>
      <c r="I507" s="611">
        <v>0</v>
      </c>
      <c r="J507" s="611">
        <v>0</v>
      </c>
      <c r="K507" s="611">
        <v>0</v>
      </c>
      <c r="L507" s="611">
        <v>0</v>
      </c>
      <c r="M507" s="611">
        <v>-9.8470357754766624</v>
      </c>
      <c r="N507" s="611">
        <v>0</v>
      </c>
      <c r="O507" s="611">
        <v>0</v>
      </c>
      <c r="P507" s="611">
        <v>0</v>
      </c>
      <c r="Q507" s="611">
        <v>0</v>
      </c>
      <c r="R507" s="611">
        <v>0</v>
      </c>
      <c r="S507" s="611">
        <v>0</v>
      </c>
      <c r="T507" s="611">
        <v>0</v>
      </c>
      <c r="U507" s="611">
        <v>0</v>
      </c>
      <c r="V507" s="611">
        <v>0</v>
      </c>
      <c r="W507" s="611">
        <v>0</v>
      </c>
      <c r="X507" s="611">
        <v>12.086503242074816</v>
      </c>
      <c r="Y507" s="619">
        <v>2.2394674665981533</v>
      </c>
      <c r="Z507" s="51"/>
    </row>
    <row r="508" spans="1:26" x14ac:dyDescent="0.25">
      <c r="A508" s="51">
        <v>19</v>
      </c>
      <c r="B508" s="51">
        <v>2050</v>
      </c>
      <c r="C508" s="51" t="s">
        <v>47</v>
      </c>
      <c r="D508" s="51" t="s">
        <v>499</v>
      </c>
      <c r="E508" s="51" t="s">
        <v>564</v>
      </c>
      <c r="F508" s="51"/>
      <c r="G508" s="618" t="s">
        <v>72</v>
      </c>
      <c r="H508" s="611">
        <v>0</v>
      </c>
      <c r="I508" s="611">
        <v>75.393588190645644</v>
      </c>
      <c r="J508" s="611">
        <v>-74.641887149518311</v>
      </c>
      <c r="K508" s="611">
        <v>0</v>
      </c>
      <c r="L508" s="611">
        <v>0</v>
      </c>
      <c r="M508" s="611">
        <v>0</v>
      </c>
      <c r="N508" s="611">
        <v>0</v>
      </c>
      <c r="O508" s="611">
        <v>0</v>
      </c>
      <c r="P508" s="611">
        <v>0</v>
      </c>
      <c r="Q508" s="611">
        <v>0</v>
      </c>
      <c r="R508" s="611">
        <v>0</v>
      </c>
      <c r="S508" s="611">
        <v>0</v>
      </c>
      <c r="T508" s="611">
        <v>0</v>
      </c>
      <c r="U508" s="611">
        <v>0</v>
      </c>
      <c r="V508" s="611">
        <v>0</v>
      </c>
      <c r="W508" s="611">
        <v>0</v>
      </c>
      <c r="X508" s="611">
        <v>0</v>
      </c>
      <c r="Y508" s="619">
        <v>0.75170104112733327</v>
      </c>
      <c r="Z508" s="51"/>
    </row>
    <row r="509" spans="1:26" x14ac:dyDescent="0.25">
      <c r="A509" s="51">
        <v>20</v>
      </c>
      <c r="B509" s="51">
        <v>2050</v>
      </c>
      <c r="C509" s="51" t="s">
        <v>47</v>
      </c>
      <c r="D509" s="51" t="s">
        <v>500</v>
      </c>
      <c r="E509" s="51" t="s">
        <v>564</v>
      </c>
      <c r="F509" s="51"/>
      <c r="G509" s="618" t="s">
        <v>351</v>
      </c>
      <c r="H509" s="611">
        <v>0</v>
      </c>
      <c r="I509" s="611">
        <v>0</v>
      </c>
      <c r="J509" s="611">
        <v>0</v>
      </c>
      <c r="K509" s="611">
        <v>0</v>
      </c>
      <c r="L509" s="611">
        <v>0</v>
      </c>
      <c r="M509" s="611">
        <v>0</v>
      </c>
      <c r="N509" s="611">
        <v>0</v>
      </c>
      <c r="O509" s="611">
        <v>0</v>
      </c>
      <c r="P509" s="611">
        <v>194.66902536676028</v>
      </c>
      <c r="Q509" s="611">
        <v>0</v>
      </c>
      <c r="R509" s="611">
        <v>-107.06796395171816</v>
      </c>
      <c r="S509" s="611">
        <v>0</v>
      </c>
      <c r="T509" s="611">
        <v>0</v>
      </c>
      <c r="U509" s="611">
        <v>0</v>
      </c>
      <c r="V509" s="611">
        <v>0</v>
      </c>
      <c r="W509" s="611">
        <v>0</v>
      </c>
      <c r="X509" s="611">
        <v>0</v>
      </c>
      <c r="Y509" s="619">
        <v>87.601061415042125</v>
      </c>
      <c r="Z509" s="51"/>
    </row>
    <row r="510" spans="1:26" x14ac:dyDescent="0.25">
      <c r="A510" s="51">
        <v>21</v>
      </c>
      <c r="B510" s="51">
        <v>2050</v>
      </c>
      <c r="C510" s="51" t="s">
        <v>47</v>
      </c>
      <c r="D510" s="51" t="s">
        <v>501</v>
      </c>
      <c r="E510" s="51" t="s">
        <v>564</v>
      </c>
      <c r="F510" s="51"/>
      <c r="G510" s="618" t="s">
        <v>352</v>
      </c>
      <c r="H510" s="611">
        <v>0</v>
      </c>
      <c r="I510" s="611">
        <v>0</v>
      </c>
      <c r="J510" s="611">
        <v>0</v>
      </c>
      <c r="K510" s="611">
        <v>-53.670926604582093</v>
      </c>
      <c r="L510" s="611">
        <v>0</v>
      </c>
      <c r="M510" s="611">
        <v>0</v>
      </c>
      <c r="N510" s="611">
        <v>0</v>
      </c>
      <c r="O510" s="611">
        <v>0</v>
      </c>
      <c r="P510" s="611">
        <v>0</v>
      </c>
      <c r="Q510" s="611">
        <v>0</v>
      </c>
      <c r="R510" s="611">
        <v>0</v>
      </c>
      <c r="S510" s="611">
        <v>0</v>
      </c>
      <c r="T510" s="611">
        <v>0</v>
      </c>
      <c r="U510" s="611">
        <v>0</v>
      </c>
      <c r="V510" s="611">
        <v>0</v>
      </c>
      <c r="W510" s="611">
        <v>0</v>
      </c>
      <c r="X510" s="611">
        <v>69.588751075413697</v>
      </c>
      <c r="Y510" s="619">
        <v>15.917824470831604</v>
      </c>
      <c r="Z510" s="51"/>
    </row>
    <row r="511" spans="1:26" x14ac:dyDescent="0.25">
      <c r="A511" s="51">
        <v>22</v>
      </c>
      <c r="B511" s="51">
        <v>2050</v>
      </c>
      <c r="C511" s="51" t="s">
        <v>47</v>
      </c>
      <c r="D511" s="51" t="s">
        <v>502</v>
      </c>
      <c r="E511" s="51" t="s">
        <v>564</v>
      </c>
      <c r="F511" s="51"/>
      <c r="G511" s="618" t="s">
        <v>73</v>
      </c>
      <c r="H511" s="611">
        <v>0</v>
      </c>
      <c r="I511" s="611">
        <v>0</v>
      </c>
      <c r="J511" s="611">
        <v>0</v>
      </c>
      <c r="K511" s="611">
        <v>0</v>
      </c>
      <c r="L511" s="611">
        <v>0</v>
      </c>
      <c r="M511" s="611">
        <v>0</v>
      </c>
      <c r="N511" s="611">
        <v>0</v>
      </c>
      <c r="O511" s="611">
        <v>0</v>
      </c>
      <c r="P511" s="611">
        <v>0</v>
      </c>
      <c r="Q511" s="611">
        <v>0</v>
      </c>
      <c r="R511" s="611">
        <v>0</v>
      </c>
      <c r="S511" s="611">
        <v>0</v>
      </c>
      <c r="T511" s="611">
        <v>0</v>
      </c>
      <c r="U511" s="611">
        <v>0</v>
      </c>
      <c r="V511" s="611">
        <v>258.05409778494504</v>
      </c>
      <c r="W511" s="611">
        <v>0</v>
      </c>
      <c r="X511" s="611">
        <v>-185.79895040516044</v>
      </c>
      <c r="Y511" s="619">
        <v>72.255147379784603</v>
      </c>
      <c r="Z511" s="51"/>
    </row>
    <row r="512" spans="1:26" x14ac:dyDescent="0.25">
      <c r="A512" s="51">
        <v>23</v>
      </c>
      <c r="B512" s="51">
        <v>2050</v>
      </c>
      <c r="C512" s="51" t="s">
        <v>47</v>
      </c>
      <c r="D512" s="51" t="s">
        <v>503</v>
      </c>
      <c r="E512" s="51" t="s">
        <v>564</v>
      </c>
      <c r="F512" s="51"/>
      <c r="G512" s="618" t="s">
        <v>353</v>
      </c>
      <c r="H512" s="611">
        <v>0</v>
      </c>
      <c r="I512" s="611">
        <v>-2.634747058406945</v>
      </c>
      <c r="J512" s="611">
        <v>3.435008562710407</v>
      </c>
      <c r="K512" s="611">
        <v>0</v>
      </c>
      <c r="L512" s="611">
        <v>0</v>
      </c>
      <c r="M512" s="611">
        <v>0</v>
      </c>
      <c r="N512" s="611">
        <v>0</v>
      </c>
      <c r="O512" s="611">
        <v>0</v>
      </c>
      <c r="P512" s="611">
        <v>0</v>
      </c>
      <c r="Q512" s="611">
        <v>0</v>
      </c>
      <c r="R512" s="611">
        <v>0</v>
      </c>
      <c r="S512" s="611">
        <v>0</v>
      </c>
      <c r="T512" s="611">
        <v>0</v>
      </c>
      <c r="U512" s="611">
        <v>0</v>
      </c>
      <c r="V512" s="611">
        <v>0</v>
      </c>
      <c r="W512" s="611">
        <v>0</v>
      </c>
      <c r="X512" s="611">
        <v>0</v>
      </c>
      <c r="Y512" s="619">
        <v>0.80026150430346199</v>
      </c>
      <c r="Z512" s="51"/>
    </row>
    <row r="513" spans="1:26" x14ac:dyDescent="0.25">
      <c r="A513" s="51">
        <v>24</v>
      </c>
      <c r="B513" s="51">
        <v>2050</v>
      </c>
      <c r="C513" s="51" t="s">
        <v>47</v>
      </c>
      <c r="D513" s="51" t="s">
        <v>504</v>
      </c>
      <c r="E513" s="51" t="s">
        <v>564</v>
      </c>
      <c r="F513" s="51"/>
      <c r="G513" s="618" t="s">
        <v>75</v>
      </c>
      <c r="H513" s="611">
        <v>0</v>
      </c>
      <c r="I513" s="611">
        <v>0</v>
      </c>
      <c r="J513" s="611">
        <v>2.5839893825265019</v>
      </c>
      <c r="K513" s="611">
        <v>0</v>
      </c>
      <c r="L513" s="611">
        <v>0</v>
      </c>
      <c r="M513" s="611">
        <v>0.23833359000000001</v>
      </c>
      <c r="N513" s="611">
        <v>0</v>
      </c>
      <c r="O513" s="611">
        <v>0</v>
      </c>
      <c r="P513" s="611">
        <v>0</v>
      </c>
      <c r="Q513" s="611">
        <v>0</v>
      </c>
      <c r="R513" s="611">
        <v>0</v>
      </c>
      <c r="S513" s="611">
        <v>4.5283382100000003</v>
      </c>
      <c r="T513" s="611">
        <v>0</v>
      </c>
      <c r="U513" s="611">
        <v>0</v>
      </c>
      <c r="V513" s="611">
        <v>65.365492404188032</v>
      </c>
      <c r="W513" s="611">
        <v>0</v>
      </c>
      <c r="X513" s="611">
        <v>0</v>
      </c>
      <c r="Y513" s="619">
        <v>72.71615358671454</v>
      </c>
      <c r="Z513" s="51"/>
    </row>
    <row r="514" spans="1:26" x14ac:dyDescent="0.25">
      <c r="A514" s="51">
        <v>25</v>
      </c>
      <c r="B514" s="51">
        <v>2050</v>
      </c>
      <c r="C514" s="51" t="s">
        <v>47</v>
      </c>
      <c r="D514" s="51" t="s">
        <v>505</v>
      </c>
      <c r="E514" s="51" t="s">
        <v>564</v>
      </c>
      <c r="F514" s="51"/>
      <c r="G514" s="618" t="s">
        <v>76</v>
      </c>
      <c r="H514" s="611">
        <v>0</v>
      </c>
      <c r="I514" s="611">
        <v>0</v>
      </c>
      <c r="J514" s="611">
        <v>0</v>
      </c>
      <c r="K514" s="611">
        <v>0</v>
      </c>
      <c r="L514" s="611">
        <v>0</v>
      </c>
      <c r="M514" s="611">
        <v>7.0614445377841603E-2</v>
      </c>
      <c r="N514" s="611">
        <v>0</v>
      </c>
      <c r="O514" s="611">
        <v>0</v>
      </c>
      <c r="P514" s="611">
        <v>0</v>
      </c>
      <c r="Q514" s="611">
        <v>0</v>
      </c>
      <c r="R514" s="611">
        <v>0</v>
      </c>
      <c r="S514" s="611">
        <v>1.3416744621789902</v>
      </c>
      <c r="T514" s="611">
        <v>0</v>
      </c>
      <c r="U514" s="611">
        <v>0</v>
      </c>
      <c r="V514" s="611">
        <v>74.378100698678537</v>
      </c>
      <c r="W514" s="611">
        <v>5.9771572844258181</v>
      </c>
      <c r="X514" s="611">
        <v>0</v>
      </c>
      <c r="Y514" s="619">
        <v>81.76754689066118</v>
      </c>
      <c r="Z514" s="51"/>
    </row>
    <row r="515" spans="1:26" x14ac:dyDescent="0.25">
      <c r="A515" s="51">
        <v>26</v>
      </c>
      <c r="B515" s="51">
        <v>2050</v>
      </c>
      <c r="C515" s="51" t="s">
        <v>47</v>
      </c>
      <c r="D515" s="51" t="s">
        <v>506</v>
      </c>
      <c r="E515" s="51" t="s">
        <v>564</v>
      </c>
      <c r="F515" s="51"/>
      <c r="G515" s="614" t="s">
        <v>77</v>
      </c>
      <c r="H515" s="615">
        <v>0</v>
      </c>
      <c r="I515" s="615">
        <v>72.7588411322387</v>
      </c>
      <c r="J515" s="615">
        <v>-68.622889204281407</v>
      </c>
      <c r="K515" s="615">
        <v>-53.670926604582093</v>
      </c>
      <c r="L515" s="615">
        <v>0</v>
      </c>
      <c r="M515" s="615">
        <v>-9.5380877400988204</v>
      </c>
      <c r="N515" s="615">
        <v>759.92203636363649</v>
      </c>
      <c r="O515" s="615">
        <v>585.27007132862354</v>
      </c>
      <c r="P515" s="615">
        <v>493.8009643088061</v>
      </c>
      <c r="Q515" s="615">
        <v>17.250411661046641</v>
      </c>
      <c r="R515" s="615">
        <v>-100.51177023683101</v>
      </c>
      <c r="S515" s="615">
        <v>-113.46536025471826</v>
      </c>
      <c r="T515" s="615">
        <v>0</v>
      </c>
      <c r="U515" s="615">
        <v>20.349387541265653</v>
      </c>
      <c r="V515" s="615">
        <v>-497.61712894111758</v>
      </c>
      <c r="W515" s="615">
        <v>-71.092768348805095</v>
      </c>
      <c r="X515" s="615">
        <v>-97.68150608767192</v>
      </c>
      <c r="Y515" s="615">
        <v>841.82280375694086</v>
      </c>
      <c r="Z515" s="51"/>
    </row>
    <row r="516" spans="1:26" x14ac:dyDescent="0.25">
      <c r="A516" s="51"/>
      <c r="B516" s="51"/>
      <c r="C516" s="51"/>
      <c r="D516" s="51"/>
      <c r="E516" s="51"/>
      <c r="F516" s="51"/>
      <c r="G516" s="616"/>
      <c r="H516" s="617"/>
      <c r="I516" s="617"/>
      <c r="J516" s="617"/>
      <c r="K516" s="617"/>
      <c r="L516" s="623"/>
      <c r="M516" s="617"/>
      <c r="N516" s="617"/>
      <c r="O516" s="617"/>
      <c r="P516" s="617"/>
      <c r="Q516" s="617"/>
      <c r="R516" s="617">
        <v>194.34088896091808</v>
      </c>
      <c r="S516" s="617"/>
      <c r="T516" s="617"/>
      <c r="U516" s="617"/>
      <c r="V516" s="617"/>
      <c r="W516" s="617"/>
      <c r="X516" s="617"/>
      <c r="Y516" s="617"/>
      <c r="Z516" s="51"/>
    </row>
    <row r="517" spans="1:26" x14ac:dyDescent="0.25">
      <c r="A517" s="51">
        <v>28</v>
      </c>
      <c r="B517" s="51">
        <v>2050</v>
      </c>
      <c r="C517" s="51" t="s">
        <v>47</v>
      </c>
      <c r="D517" s="51" t="s">
        <v>507</v>
      </c>
      <c r="E517" s="51" t="s">
        <v>564</v>
      </c>
      <c r="F517" s="51"/>
      <c r="G517" s="618" t="s">
        <v>78</v>
      </c>
      <c r="H517" s="611">
        <v>0.64129319091675452</v>
      </c>
      <c r="I517" s="611">
        <v>0</v>
      </c>
      <c r="J517" s="611">
        <v>1.525731430410463</v>
      </c>
      <c r="K517" s="611">
        <v>0</v>
      </c>
      <c r="L517" s="611">
        <v>0</v>
      </c>
      <c r="M517" s="611">
        <v>2.2603973079733568</v>
      </c>
      <c r="N517" s="611">
        <v>0</v>
      </c>
      <c r="O517" s="611">
        <v>0</v>
      </c>
      <c r="P517" s="611">
        <v>23.360019261656848</v>
      </c>
      <c r="Q517" s="611">
        <v>5.362188402201145</v>
      </c>
      <c r="R517" s="611">
        <v>1.3034813300305972</v>
      </c>
      <c r="S517" s="611">
        <v>42.989679667648574</v>
      </c>
      <c r="T517" s="611">
        <v>22.01365625</v>
      </c>
      <c r="U517" s="611">
        <v>8.5890570413253253E-4</v>
      </c>
      <c r="V517" s="611">
        <v>202.024278119439</v>
      </c>
      <c r="W517" s="611">
        <v>22.25756234266839</v>
      </c>
      <c r="X517" s="611">
        <v>16.001347656250001</v>
      </c>
      <c r="Y517" s="619">
        <v>339.74049386489929</v>
      </c>
      <c r="Z517" s="51"/>
    </row>
    <row r="518" spans="1:26" x14ac:dyDescent="0.25">
      <c r="A518" s="51">
        <v>29</v>
      </c>
      <c r="B518" s="51">
        <v>2050</v>
      </c>
      <c r="C518" s="51" t="s">
        <v>47</v>
      </c>
      <c r="D518" s="51" t="s">
        <v>508</v>
      </c>
      <c r="E518" s="51" t="s">
        <v>564</v>
      </c>
      <c r="F518" s="51"/>
      <c r="G518" s="618" t="s">
        <v>79</v>
      </c>
      <c r="H518" s="611">
        <v>0</v>
      </c>
      <c r="I518" s="611">
        <v>0</v>
      </c>
      <c r="J518" s="611">
        <v>2.548518600222561</v>
      </c>
      <c r="K518" s="611">
        <v>4.6064063696995508</v>
      </c>
      <c r="L518" s="611">
        <v>0</v>
      </c>
      <c r="M518" s="611">
        <v>0.39196782379108752</v>
      </c>
      <c r="N518" s="611">
        <v>0</v>
      </c>
      <c r="O518" s="611">
        <v>0</v>
      </c>
      <c r="P518" s="611">
        <v>0</v>
      </c>
      <c r="Q518" s="611">
        <v>0</v>
      </c>
      <c r="R518" s="611">
        <v>19.508637074329002</v>
      </c>
      <c r="S518" s="611">
        <v>7.4473886520306625</v>
      </c>
      <c r="T518" s="611">
        <v>0</v>
      </c>
      <c r="U518" s="611">
        <v>0</v>
      </c>
      <c r="V518" s="611">
        <v>117.90461095014412</v>
      </c>
      <c r="W518" s="611">
        <v>0</v>
      </c>
      <c r="X518" s="611">
        <v>6.9740998058852091</v>
      </c>
      <c r="Y518" s="619">
        <v>159.38162927610219</v>
      </c>
      <c r="Z518" s="51"/>
    </row>
    <row r="519" spans="1:26" x14ac:dyDescent="0.25">
      <c r="A519" s="51">
        <v>30</v>
      </c>
      <c r="B519" s="51">
        <v>2050</v>
      </c>
      <c r="C519" s="51" t="s">
        <v>47</v>
      </c>
      <c r="D519" s="51" t="s">
        <v>509</v>
      </c>
      <c r="E519" s="51" t="s">
        <v>564</v>
      </c>
      <c r="F519" s="51"/>
      <c r="G519" s="618" t="s">
        <v>80</v>
      </c>
      <c r="H519" s="611">
        <v>0</v>
      </c>
      <c r="I519" s="611">
        <v>0</v>
      </c>
      <c r="J519" s="611">
        <v>0.3489055798634359</v>
      </c>
      <c r="K519" s="611">
        <v>0</v>
      </c>
      <c r="L519" s="611">
        <v>0</v>
      </c>
      <c r="M519" s="611">
        <v>1.8738383451939464</v>
      </c>
      <c r="N519" s="611">
        <v>0</v>
      </c>
      <c r="O519" s="611">
        <v>0</v>
      </c>
      <c r="P519" s="611">
        <v>27.289552424613966</v>
      </c>
      <c r="Q519" s="611">
        <v>0</v>
      </c>
      <c r="R519" s="611">
        <v>0</v>
      </c>
      <c r="S519" s="611">
        <v>35.60292855868498</v>
      </c>
      <c r="T519" s="611">
        <v>92.65517251836971</v>
      </c>
      <c r="U519" s="611">
        <v>3.1208806211401363</v>
      </c>
      <c r="V519" s="611">
        <v>127.46850365377921</v>
      </c>
      <c r="W519" s="611">
        <v>30.41493917942924</v>
      </c>
      <c r="X519" s="611">
        <v>0</v>
      </c>
      <c r="Y519" s="619">
        <v>318.77472088107459</v>
      </c>
      <c r="Z519" s="51"/>
    </row>
    <row r="520" spans="1:26" x14ac:dyDescent="0.25">
      <c r="A520" s="51">
        <v>31</v>
      </c>
      <c r="B520" s="51">
        <v>2050</v>
      </c>
      <c r="C520" s="51" t="s">
        <v>47</v>
      </c>
      <c r="D520" s="51" t="s">
        <v>510</v>
      </c>
      <c r="E520" s="51" t="s">
        <v>564</v>
      </c>
      <c r="F520" s="51"/>
      <c r="G520" s="618" t="s">
        <v>81</v>
      </c>
      <c r="H520" s="611">
        <v>0</v>
      </c>
      <c r="I520" s="611">
        <v>0</v>
      </c>
      <c r="J520" s="611">
        <v>0</v>
      </c>
      <c r="K520" s="611">
        <v>0</v>
      </c>
      <c r="L520" s="611">
        <v>0</v>
      </c>
      <c r="M520" s="611">
        <v>0.51407648843379639</v>
      </c>
      <c r="N520" s="611">
        <v>0</v>
      </c>
      <c r="O520" s="611">
        <v>0</v>
      </c>
      <c r="P520" s="611">
        <v>0.45</v>
      </c>
      <c r="Q520" s="611">
        <v>0</v>
      </c>
      <c r="R520" s="611">
        <v>0</v>
      </c>
      <c r="S520" s="611">
        <v>9.7674532802421297</v>
      </c>
      <c r="T520" s="611">
        <v>53.447374794467549</v>
      </c>
      <c r="U520" s="611">
        <v>4.1912212039291479</v>
      </c>
      <c r="V520" s="611">
        <v>108.05815923864374</v>
      </c>
      <c r="W520" s="611">
        <v>18.42026682670749</v>
      </c>
      <c r="X520" s="611">
        <v>0</v>
      </c>
      <c r="Y520" s="619">
        <v>194.84855183242385</v>
      </c>
      <c r="Z520" s="51"/>
    </row>
    <row r="521" spans="1:26" x14ac:dyDescent="0.25">
      <c r="A521" s="51">
        <v>32</v>
      </c>
      <c r="B521" s="51">
        <v>2050</v>
      </c>
      <c r="C521" s="51" t="s">
        <v>47</v>
      </c>
      <c r="D521" s="51" t="s">
        <v>511</v>
      </c>
      <c r="E521" s="51" t="s">
        <v>564</v>
      </c>
      <c r="F521" s="51"/>
      <c r="G521" s="618" t="s">
        <v>82</v>
      </c>
      <c r="H521" s="611">
        <v>0</v>
      </c>
      <c r="I521" s="611">
        <v>0</v>
      </c>
      <c r="J521" s="611">
        <v>0.163419613849074</v>
      </c>
      <c r="K521" s="611">
        <v>0</v>
      </c>
      <c r="L521" s="611">
        <v>0</v>
      </c>
      <c r="M521" s="611">
        <v>5.615133963822308E-2</v>
      </c>
      <c r="N521" s="611">
        <v>0</v>
      </c>
      <c r="O521" s="611">
        <v>0</v>
      </c>
      <c r="P521" s="611">
        <v>4</v>
      </c>
      <c r="Q521" s="611">
        <v>0</v>
      </c>
      <c r="R521" s="611">
        <v>18.768616271124809</v>
      </c>
      <c r="S521" s="611">
        <v>1.0668754531262383</v>
      </c>
      <c r="T521" s="611">
        <v>1.5</v>
      </c>
      <c r="U521" s="611">
        <v>2.1874070050904897</v>
      </c>
      <c r="V521" s="611">
        <v>6.8979670374457172</v>
      </c>
      <c r="W521" s="611">
        <v>0</v>
      </c>
      <c r="X521" s="611">
        <v>0.84339331184266686</v>
      </c>
      <c r="Y521" s="619">
        <v>35.483830032117218</v>
      </c>
      <c r="Z521" s="51"/>
    </row>
    <row r="522" spans="1:26" x14ac:dyDescent="0.25">
      <c r="A522" s="51">
        <v>33</v>
      </c>
      <c r="B522" s="51">
        <v>2050</v>
      </c>
      <c r="C522" s="51" t="s">
        <v>47</v>
      </c>
      <c r="D522" s="51" t="s">
        <v>512</v>
      </c>
      <c r="E522" s="51" t="s">
        <v>564</v>
      </c>
      <c r="F522" s="51"/>
      <c r="G522" s="618" t="s">
        <v>354</v>
      </c>
      <c r="H522" s="611">
        <v>0</v>
      </c>
      <c r="I522" s="611">
        <v>0</v>
      </c>
      <c r="J522" s="611">
        <v>0</v>
      </c>
      <c r="K522" s="611">
        <v>0</v>
      </c>
      <c r="L522" s="611">
        <v>0</v>
      </c>
      <c r="M522" s="611">
        <v>0</v>
      </c>
      <c r="N522" s="611">
        <v>0</v>
      </c>
      <c r="O522" s="611">
        <v>0</v>
      </c>
      <c r="P522" s="611">
        <v>0</v>
      </c>
      <c r="Q522" s="611">
        <v>0</v>
      </c>
      <c r="R522" s="611">
        <v>0</v>
      </c>
      <c r="S522" s="611">
        <v>0</v>
      </c>
      <c r="T522" s="611">
        <v>0</v>
      </c>
      <c r="U522" s="611">
        <v>0</v>
      </c>
      <c r="V522" s="611">
        <v>11.7</v>
      </c>
      <c r="W522" s="611">
        <v>0</v>
      </c>
      <c r="X522" s="611">
        <v>0</v>
      </c>
      <c r="Y522" s="619">
        <v>11.7</v>
      </c>
      <c r="Z522" s="51"/>
    </row>
    <row r="523" spans="1:26" x14ac:dyDescent="0.25">
      <c r="A523" s="51">
        <v>34</v>
      </c>
      <c r="B523" s="51">
        <v>2050</v>
      </c>
      <c r="C523" s="51" t="s">
        <v>47</v>
      </c>
      <c r="D523" s="51" t="s">
        <v>513</v>
      </c>
      <c r="E523" s="51" t="s">
        <v>564</v>
      </c>
      <c r="F523" s="51"/>
      <c r="G523" s="614" t="s">
        <v>83</v>
      </c>
      <c r="H523" s="615">
        <v>0.64129319091675452</v>
      </c>
      <c r="I523" s="615">
        <v>0</v>
      </c>
      <c r="J523" s="615">
        <v>4.586575224345534</v>
      </c>
      <c r="K523" s="615">
        <v>4.6064063696995508</v>
      </c>
      <c r="L523" s="615">
        <v>0</v>
      </c>
      <c r="M523" s="615">
        <v>5.0964313050304106</v>
      </c>
      <c r="N523" s="615">
        <v>0</v>
      </c>
      <c r="O523" s="615">
        <v>0</v>
      </c>
      <c r="P523" s="615">
        <v>55.099571686270821</v>
      </c>
      <c r="Q523" s="615">
        <v>5.362188402201145</v>
      </c>
      <c r="R523" s="615">
        <v>39.580734675484408</v>
      </c>
      <c r="S523" s="615">
        <v>96.874325611732587</v>
      </c>
      <c r="T523" s="615">
        <v>169.61620356283726</v>
      </c>
      <c r="U523" s="615">
        <v>9.5003677358639074</v>
      </c>
      <c r="V523" s="615">
        <v>574.05351899945185</v>
      </c>
      <c r="W523" s="615">
        <v>71.092768348805123</v>
      </c>
      <c r="X523" s="615">
        <v>23.818840773977879</v>
      </c>
      <c r="Y523" s="615">
        <v>1059.9292258866171</v>
      </c>
      <c r="Z523" s="51"/>
    </row>
    <row r="524" spans="1:26" x14ac:dyDescent="0.25">
      <c r="A524" s="51">
        <v>35</v>
      </c>
      <c r="B524" s="51">
        <v>2050</v>
      </c>
      <c r="C524" s="51" t="s">
        <v>47</v>
      </c>
      <c r="D524" s="51" t="s">
        <v>514</v>
      </c>
      <c r="E524" s="51" t="s">
        <v>564</v>
      </c>
      <c r="F524" s="51"/>
      <c r="G524" s="610" t="s">
        <v>84</v>
      </c>
      <c r="H524" s="611">
        <v>0</v>
      </c>
      <c r="I524" s="611">
        <v>0</v>
      </c>
      <c r="J524" s="611">
        <v>44.559074374942114</v>
      </c>
      <c r="K524" s="611">
        <v>2.9799029387007945</v>
      </c>
      <c r="L524" s="611">
        <v>3.2223770587889593</v>
      </c>
      <c r="M524" s="611">
        <v>0</v>
      </c>
      <c r="N524" s="611">
        <v>0</v>
      </c>
      <c r="O524" s="611">
        <v>0</v>
      </c>
      <c r="P524" s="611">
        <v>0.60656225364490568</v>
      </c>
      <c r="Q524" s="611">
        <v>0</v>
      </c>
      <c r="R524" s="611">
        <v>50.341514757930035</v>
      </c>
      <c r="S524" s="611">
        <v>13.801033069140475</v>
      </c>
      <c r="T524" s="611">
        <v>0</v>
      </c>
      <c r="U524" s="611">
        <v>0</v>
      </c>
      <c r="V524" s="611">
        <v>0</v>
      </c>
      <c r="W524" s="611">
        <v>0</v>
      </c>
      <c r="X524" s="611">
        <v>63.833639735754474</v>
      </c>
      <c r="Y524" s="619">
        <v>179.34410418890175</v>
      </c>
      <c r="Z524" s="51"/>
    </row>
    <row r="525" spans="1:26" x14ac:dyDescent="0.25">
      <c r="A525" s="51">
        <v>36</v>
      </c>
      <c r="B525" s="51">
        <v>2050</v>
      </c>
      <c r="C525" s="51" t="s">
        <v>47</v>
      </c>
      <c r="D525" s="51" t="s">
        <v>515</v>
      </c>
      <c r="E525" s="51" t="s">
        <v>564</v>
      </c>
      <c r="F525" s="51"/>
      <c r="G525" s="614" t="s">
        <v>85</v>
      </c>
      <c r="H525" s="615">
        <v>0.64129319091675452</v>
      </c>
      <c r="I525" s="615">
        <v>0</v>
      </c>
      <c r="J525" s="615">
        <v>49.145649599287651</v>
      </c>
      <c r="K525" s="615">
        <v>7.5863093084003452</v>
      </c>
      <c r="L525" s="615">
        <v>3.2223770587889593</v>
      </c>
      <c r="M525" s="615">
        <v>5.0964313050304106</v>
      </c>
      <c r="N525" s="615">
        <v>0</v>
      </c>
      <c r="O525" s="615">
        <v>0</v>
      </c>
      <c r="P525" s="615">
        <v>55.706133939915723</v>
      </c>
      <c r="Q525" s="615">
        <v>5.362188402201145</v>
      </c>
      <c r="R525" s="615">
        <v>89.922249433414436</v>
      </c>
      <c r="S525" s="615">
        <v>110.67535868087306</v>
      </c>
      <c r="T525" s="615">
        <v>169.61620356283726</v>
      </c>
      <c r="U525" s="615">
        <v>9.5003677358639074</v>
      </c>
      <c r="V525" s="615">
        <v>574.05351899945185</v>
      </c>
      <c r="W525" s="615">
        <v>71.092768348805123</v>
      </c>
      <c r="X525" s="615">
        <v>87.652480509732356</v>
      </c>
      <c r="Y525" s="615">
        <v>1239.273330075519</v>
      </c>
      <c r="Z525" s="51"/>
    </row>
    <row r="526" spans="1:26" x14ac:dyDescent="0.25">
      <c r="A526" s="51"/>
      <c r="B526" s="51"/>
      <c r="C526" s="51"/>
      <c r="D526" s="51"/>
      <c r="E526" s="51"/>
      <c r="F526" s="51"/>
      <c r="G526" s="51"/>
      <c r="H526" s="67">
        <v>0</v>
      </c>
      <c r="I526" s="67">
        <v>0</v>
      </c>
      <c r="J526" s="67">
        <v>0</v>
      </c>
      <c r="K526" s="67">
        <v>0</v>
      </c>
      <c r="L526" s="67">
        <v>0</v>
      </c>
      <c r="M526" s="67">
        <v>0</v>
      </c>
      <c r="N526" s="67">
        <v>0</v>
      </c>
      <c r="O526" s="67">
        <v>0</v>
      </c>
      <c r="P526" s="67">
        <v>0</v>
      </c>
      <c r="Q526" s="67">
        <v>-2.9244114950088829E-4</v>
      </c>
      <c r="R526" s="67">
        <v>0</v>
      </c>
      <c r="S526" s="67">
        <v>7.9936057773011271E-15</v>
      </c>
      <c r="T526" s="67">
        <v>0</v>
      </c>
      <c r="U526" s="67">
        <v>0</v>
      </c>
      <c r="V526" s="67">
        <v>-1.1368683772161603E-13</v>
      </c>
      <c r="W526" s="67">
        <v>2.8421709430404007E-14</v>
      </c>
      <c r="X526" s="67">
        <v>0</v>
      </c>
      <c r="Y526" s="67">
        <v>-2.9244115057736053E-4</v>
      </c>
      <c r="Z526" s="51"/>
    </row>
    <row r="527" spans="1:26" x14ac:dyDescent="0.25">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sheetData>
  <mergeCells count="196">
    <mergeCell ref="P49:U49"/>
    <mergeCell ref="V49:V50"/>
    <mergeCell ref="W49:W50"/>
    <mergeCell ref="X49:X50"/>
    <mergeCell ref="Y49:Y50"/>
    <mergeCell ref="X12:X13"/>
    <mergeCell ref="Y12:Y13"/>
    <mergeCell ref="G49:G50"/>
    <mergeCell ref="H49:H50"/>
    <mergeCell ref="I49:I50"/>
    <mergeCell ref="J49:J50"/>
    <mergeCell ref="K49:K50"/>
    <mergeCell ref="L49:L50"/>
    <mergeCell ref="M49:M50"/>
    <mergeCell ref="N49:N50"/>
    <mergeCell ref="M12:M13"/>
    <mergeCell ref="N12:N13"/>
    <mergeCell ref="O12:O13"/>
    <mergeCell ref="P12:U12"/>
    <mergeCell ref="V12:V13"/>
    <mergeCell ref="W12:W13"/>
    <mergeCell ref="G12:G13"/>
    <mergeCell ref="H12:H13"/>
    <mergeCell ref="I12:I13"/>
    <mergeCell ref="J12:J13"/>
    <mergeCell ref="K12:K13"/>
    <mergeCell ref="L12:L13"/>
    <mergeCell ref="O49:O50"/>
    <mergeCell ref="Y123:Y124"/>
    <mergeCell ref="X86:X87"/>
    <mergeCell ref="Y86:Y87"/>
    <mergeCell ref="G123:G124"/>
    <mergeCell ref="H123:H124"/>
    <mergeCell ref="I123:I124"/>
    <mergeCell ref="J123:J124"/>
    <mergeCell ref="K123:K124"/>
    <mergeCell ref="L123:L124"/>
    <mergeCell ref="M123:M124"/>
    <mergeCell ref="N123:N124"/>
    <mergeCell ref="M86:M87"/>
    <mergeCell ref="N86:N87"/>
    <mergeCell ref="O86:O87"/>
    <mergeCell ref="P86:U86"/>
    <mergeCell ref="V86:V87"/>
    <mergeCell ref="W86:W87"/>
    <mergeCell ref="G86:G87"/>
    <mergeCell ref="H86:H87"/>
    <mergeCell ref="I86:I87"/>
    <mergeCell ref="J86:J87"/>
    <mergeCell ref="K86:K87"/>
    <mergeCell ref="L86:L87"/>
    <mergeCell ref="I160:I161"/>
    <mergeCell ref="J160:J161"/>
    <mergeCell ref="K160:K161"/>
    <mergeCell ref="L160:L161"/>
    <mergeCell ref="O123:O124"/>
    <mergeCell ref="P123:U123"/>
    <mergeCell ref="V123:V124"/>
    <mergeCell ref="W123:W124"/>
    <mergeCell ref="X123:X124"/>
    <mergeCell ref="O197:O198"/>
    <mergeCell ref="P197:U197"/>
    <mergeCell ref="V197:V198"/>
    <mergeCell ref="W197:W198"/>
    <mergeCell ref="X197:X198"/>
    <mergeCell ref="Y197:Y198"/>
    <mergeCell ref="X160:X161"/>
    <mergeCell ref="Y160:Y161"/>
    <mergeCell ref="O160:O161"/>
    <mergeCell ref="P160:U160"/>
    <mergeCell ref="V160:V161"/>
    <mergeCell ref="W160:W161"/>
    <mergeCell ref="G197:G198"/>
    <mergeCell ref="H197:H198"/>
    <mergeCell ref="I197:I198"/>
    <mergeCell ref="J197:J198"/>
    <mergeCell ref="K197:K198"/>
    <mergeCell ref="L197:L198"/>
    <mergeCell ref="M197:M198"/>
    <mergeCell ref="N197:N198"/>
    <mergeCell ref="M160:M161"/>
    <mergeCell ref="N160:N161"/>
    <mergeCell ref="G160:G161"/>
    <mergeCell ref="H160:H161"/>
    <mergeCell ref="Y271:Y272"/>
    <mergeCell ref="X234:X235"/>
    <mergeCell ref="Y234:Y235"/>
    <mergeCell ref="G271:G272"/>
    <mergeCell ref="H271:H272"/>
    <mergeCell ref="I271:I272"/>
    <mergeCell ref="J271:J272"/>
    <mergeCell ref="K271:K272"/>
    <mergeCell ref="L271:L272"/>
    <mergeCell ref="M271:M272"/>
    <mergeCell ref="N271:N272"/>
    <mergeCell ref="M234:M235"/>
    <mergeCell ref="N234:N235"/>
    <mergeCell ref="O234:O235"/>
    <mergeCell ref="P234:U234"/>
    <mergeCell ref="V234:V235"/>
    <mergeCell ref="W234:W235"/>
    <mergeCell ref="G234:G235"/>
    <mergeCell ref="H234:H235"/>
    <mergeCell ref="I234:I235"/>
    <mergeCell ref="J234:J235"/>
    <mergeCell ref="K234:K235"/>
    <mergeCell ref="L234:L235"/>
    <mergeCell ref="I308:I309"/>
    <mergeCell ref="J308:J309"/>
    <mergeCell ref="K308:K309"/>
    <mergeCell ref="L308:L309"/>
    <mergeCell ref="O271:O272"/>
    <mergeCell ref="P271:U271"/>
    <mergeCell ref="V271:V272"/>
    <mergeCell ref="W271:W272"/>
    <mergeCell ref="X271:X272"/>
    <mergeCell ref="O345:O346"/>
    <mergeCell ref="P345:U345"/>
    <mergeCell ref="V345:V346"/>
    <mergeCell ref="W345:W346"/>
    <mergeCell ref="X345:X346"/>
    <mergeCell ref="Y345:Y346"/>
    <mergeCell ref="X308:X309"/>
    <mergeCell ref="Y308:Y309"/>
    <mergeCell ref="G345:G346"/>
    <mergeCell ref="H345:H346"/>
    <mergeCell ref="I345:I346"/>
    <mergeCell ref="J345:J346"/>
    <mergeCell ref="K345:K346"/>
    <mergeCell ref="L345:L346"/>
    <mergeCell ref="M345:M346"/>
    <mergeCell ref="N345:N346"/>
    <mergeCell ref="M308:M309"/>
    <mergeCell ref="N308:N309"/>
    <mergeCell ref="O308:O309"/>
    <mergeCell ref="P308:U308"/>
    <mergeCell ref="V308:V309"/>
    <mergeCell ref="W308:W309"/>
    <mergeCell ref="G308:G309"/>
    <mergeCell ref="H308:H309"/>
    <mergeCell ref="Y419:Y420"/>
    <mergeCell ref="X382:X383"/>
    <mergeCell ref="Y382:Y383"/>
    <mergeCell ref="G419:G420"/>
    <mergeCell ref="H419:H420"/>
    <mergeCell ref="I419:I420"/>
    <mergeCell ref="J419:J420"/>
    <mergeCell ref="K419:K420"/>
    <mergeCell ref="L419:L420"/>
    <mergeCell ref="M419:M420"/>
    <mergeCell ref="N419:N420"/>
    <mergeCell ref="M382:M383"/>
    <mergeCell ref="N382:N383"/>
    <mergeCell ref="O382:O383"/>
    <mergeCell ref="P382:U382"/>
    <mergeCell ref="V382:V383"/>
    <mergeCell ref="W382:W383"/>
    <mergeCell ref="G382:G383"/>
    <mergeCell ref="H382:H383"/>
    <mergeCell ref="I382:I383"/>
    <mergeCell ref="J382:J383"/>
    <mergeCell ref="K382:K383"/>
    <mergeCell ref="L382:L383"/>
    <mergeCell ref="I456:I457"/>
    <mergeCell ref="J456:J457"/>
    <mergeCell ref="K456:K457"/>
    <mergeCell ref="L456:L457"/>
    <mergeCell ref="O419:O420"/>
    <mergeCell ref="P419:U419"/>
    <mergeCell ref="V419:V420"/>
    <mergeCell ref="W419:W420"/>
    <mergeCell ref="X419:X420"/>
    <mergeCell ref="O493:O494"/>
    <mergeCell ref="P493:U493"/>
    <mergeCell ref="V493:V494"/>
    <mergeCell ref="W493:W494"/>
    <mergeCell ref="X493:X494"/>
    <mergeCell ref="Y493:Y494"/>
    <mergeCell ref="X456:X457"/>
    <mergeCell ref="Y456:Y457"/>
    <mergeCell ref="G493:G494"/>
    <mergeCell ref="H493:H494"/>
    <mergeCell ref="I493:I494"/>
    <mergeCell ref="J493:J494"/>
    <mergeCell ref="K493:K494"/>
    <mergeCell ref="L493:L494"/>
    <mergeCell ref="M493:M494"/>
    <mergeCell ref="N493:N494"/>
    <mergeCell ref="M456:M457"/>
    <mergeCell ref="N456:N457"/>
    <mergeCell ref="O456:O457"/>
    <mergeCell ref="P456:U456"/>
    <mergeCell ref="V456:V457"/>
    <mergeCell ref="W456:W457"/>
    <mergeCell ref="G456:G457"/>
    <mergeCell ref="H456:H457"/>
  </mergeCells>
  <conditionalFormatting sqref="H14:M44">
    <cfRule type="cellIs" dxfId="1237" priority="97" operator="equal">
      <formula>0</formula>
    </cfRule>
  </conditionalFormatting>
  <conditionalFormatting sqref="H51:M81">
    <cfRule type="cellIs" dxfId="1236" priority="94" operator="equal">
      <formula>0</formula>
    </cfRule>
  </conditionalFormatting>
  <conditionalFormatting sqref="H88:M118">
    <cfRule type="cellIs" dxfId="1235" priority="85" operator="equal">
      <formula>0</formula>
    </cfRule>
  </conditionalFormatting>
  <conditionalFormatting sqref="H14:Y20 H36:Y44">
    <cfRule type="containsBlanks" dxfId="1234" priority="99">
      <formula>LEN(TRIM(H14))=0</formula>
    </cfRule>
  </conditionalFormatting>
  <conditionalFormatting sqref="H22:Y34">
    <cfRule type="containsBlanks" dxfId="1233" priority="98">
      <formula>LEN(TRIM(H22))=0</formula>
    </cfRule>
  </conditionalFormatting>
  <conditionalFormatting sqref="H51:Y57 H73:Y81">
    <cfRule type="containsBlanks" dxfId="1232" priority="96">
      <formula>LEN(TRIM(H51))=0</formula>
    </cfRule>
  </conditionalFormatting>
  <conditionalFormatting sqref="H59:Y71">
    <cfRule type="containsBlanks" dxfId="1231" priority="95">
      <formula>LEN(TRIM(H59))=0</formula>
    </cfRule>
  </conditionalFormatting>
  <conditionalFormatting sqref="H88:Y94 H110:Y118">
    <cfRule type="containsBlanks" dxfId="1230" priority="87">
      <formula>LEN(TRIM(H88))=0</formula>
    </cfRule>
  </conditionalFormatting>
  <conditionalFormatting sqref="H96:Y108">
    <cfRule type="containsBlanks" dxfId="1229" priority="86">
      <formula>LEN(TRIM(H96))=0</formula>
    </cfRule>
  </conditionalFormatting>
  <conditionalFormatting sqref="H125:Y131">
    <cfRule type="containsBlanks" dxfId="1228" priority="1">
      <formula>LEN(TRIM(H125))=0</formula>
    </cfRule>
  </conditionalFormatting>
  <conditionalFormatting sqref="H125:Y155">
    <cfRule type="cellIs" dxfId="1227" priority="2" operator="equal">
      <formula>0</formula>
    </cfRule>
  </conditionalFormatting>
  <conditionalFormatting sqref="H133:Y145">
    <cfRule type="containsBlanks" dxfId="1226" priority="3">
      <formula>LEN(TRIM(H133))=0</formula>
    </cfRule>
  </conditionalFormatting>
  <conditionalFormatting sqref="H147:Y155">
    <cfRule type="containsBlanks" dxfId="1225" priority="4">
      <formula>LEN(TRIM(H147))=0</formula>
    </cfRule>
  </conditionalFormatting>
  <conditionalFormatting sqref="H162:Y168">
    <cfRule type="containsBlanks" dxfId="1224" priority="9">
      <formula>LEN(TRIM(H162))=0</formula>
    </cfRule>
  </conditionalFormatting>
  <conditionalFormatting sqref="H162:Y192">
    <cfRule type="cellIs" dxfId="1223" priority="10" operator="equal">
      <formula>0</formula>
    </cfRule>
  </conditionalFormatting>
  <conditionalFormatting sqref="H170:Y182">
    <cfRule type="containsBlanks" dxfId="1222" priority="11">
      <formula>LEN(TRIM(H170))=0</formula>
    </cfRule>
  </conditionalFormatting>
  <conditionalFormatting sqref="H184:Y192">
    <cfRule type="containsBlanks" dxfId="1221" priority="12">
      <formula>LEN(TRIM(H184))=0</formula>
    </cfRule>
  </conditionalFormatting>
  <conditionalFormatting sqref="H199:Y205">
    <cfRule type="containsBlanks" dxfId="1220" priority="17">
      <formula>LEN(TRIM(H199))=0</formula>
    </cfRule>
  </conditionalFormatting>
  <conditionalFormatting sqref="H199:Y229">
    <cfRule type="cellIs" dxfId="1219" priority="18" operator="equal">
      <formula>0</formula>
    </cfRule>
  </conditionalFormatting>
  <conditionalFormatting sqref="H207:Y219">
    <cfRule type="containsBlanks" dxfId="1218" priority="19">
      <formula>LEN(TRIM(H207))=0</formula>
    </cfRule>
  </conditionalFormatting>
  <conditionalFormatting sqref="H221:Y229">
    <cfRule type="containsBlanks" dxfId="1217" priority="20">
      <formula>LEN(TRIM(H221))=0</formula>
    </cfRule>
  </conditionalFormatting>
  <conditionalFormatting sqref="H236:Y242">
    <cfRule type="containsBlanks" dxfId="1216" priority="25">
      <formula>LEN(TRIM(H236))=0</formula>
    </cfRule>
  </conditionalFormatting>
  <conditionalFormatting sqref="H236:Y266">
    <cfRule type="cellIs" dxfId="1215" priority="26" operator="equal">
      <formula>0</formula>
    </cfRule>
  </conditionalFormatting>
  <conditionalFormatting sqref="H244:Y256">
    <cfRule type="containsBlanks" dxfId="1214" priority="27">
      <formula>LEN(TRIM(H244))=0</formula>
    </cfRule>
  </conditionalFormatting>
  <conditionalFormatting sqref="H258:Y266">
    <cfRule type="containsBlanks" dxfId="1213" priority="28">
      <formula>LEN(TRIM(H258))=0</formula>
    </cfRule>
  </conditionalFormatting>
  <conditionalFormatting sqref="H273:Y279">
    <cfRule type="containsBlanks" dxfId="1212" priority="45">
      <formula>LEN(TRIM(H273))=0</formula>
    </cfRule>
  </conditionalFormatting>
  <conditionalFormatting sqref="H273:Y303">
    <cfRule type="cellIs" dxfId="1211" priority="46" operator="equal">
      <formula>0</formula>
    </cfRule>
  </conditionalFormatting>
  <conditionalFormatting sqref="H281:Y293">
    <cfRule type="containsBlanks" dxfId="1210" priority="47">
      <formula>LEN(TRIM(H281))=0</formula>
    </cfRule>
  </conditionalFormatting>
  <conditionalFormatting sqref="H295:Y303">
    <cfRule type="containsBlanks" dxfId="1209" priority="48">
      <formula>LEN(TRIM(H295))=0</formula>
    </cfRule>
  </conditionalFormatting>
  <conditionalFormatting sqref="H310:Y316">
    <cfRule type="containsBlanks" dxfId="1208" priority="43">
      <formula>LEN(TRIM(H310))=0</formula>
    </cfRule>
  </conditionalFormatting>
  <conditionalFormatting sqref="H310:Y340">
    <cfRule type="cellIs" dxfId="1207" priority="44" operator="equal">
      <formula>0</formula>
    </cfRule>
  </conditionalFormatting>
  <conditionalFormatting sqref="H318:Y330">
    <cfRule type="containsBlanks" dxfId="1206" priority="53">
      <formula>LEN(TRIM(H318))=0</formula>
    </cfRule>
  </conditionalFormatting>
  <conditionalFormatting sqref="H332:Y340">
    <cfRule type="containsBlanks" dxfId="1205" priority="54">
      <formula>LEN(TRIM(H332))=0</formula>
    </cfRule>
  </conditionalFormatting>
  <conditionalFormatting sqref="H347:Y353">
    <cfRule type="containsBlanks" dxfId="1204" priority="41">
      <formula>LEN(TRIM(H347))=0</formula>
    </cfRule>
  </conditionalFormatting>
  <conditionalFormatting sqref="H347:Y377">
    <cfRule type="cellIs" dxfId="1203" priority="42" operator="equal">
      <formula>0</formula>
    </cfRule>
  </conditionalFormatting>
  <conditionalFormatting sqref="H355:Y367">
    <cfRule type="containsBlanks" dxfId="1202" priority="59">
      <formula>LEN(TRIM(H355))=0</formula>
    </cfRule>
  </conditionalFormatting>
  <conditionalFormatting sqref="H369:Y377">
    <cfRule type="containsBlanks" dxfId="1201" priority="60">
      <formula>LEN(TRIM(H369))=0</formula>
    </cfRule>
  </conditionalFormatting>
  <conditionalFormatting sqref="H384:Y390">
    <cfRule type="containsBlanks" dxfId="1200" priority="39">
      <formula>LEN(TRIM(H384))=0</formula>
    </cfRule>
  </conditionalFormatting>
  <conditionalFormatting sqref="H384:Y414">
    <cfRule type="cellIs" dxfId="1199" priority="40" operator="equal">
      <formula>0</formula>
    </cfRule>
  </conditionalFormatting>
  <conditionalFormatting sqref="H392:Y404">
    <cfRule type="containsBlanks" dxfId="1198" priority="65">
      <formula>LEN(TRIM(H392))=0</formula>
    </cfRule>
  </conditionalFormatting>
  <conditionalFormatting sqref="H406:Y414">
    <cfRule type="containsBlanks" dxfId="1197" priority="66">
      <formula>LEN(TRIM(H406))=0</formula>
    </cfRule>
  </conditionalFormatting>
  <conditionalFormatting sqref="H421:Y427">
    <cfRule type="containsBlanks" dxfId="1196" priority="37">
      <formula>LEN(TRIM(H421))=0</formula>
    </cfRule>
  </conditionalFormatting>
  <conditionalFormatting sqref="H421:Y451">
    <cfRule type="cellIs" dxfId="1195" priority="38" operator="equal">
      <formula>0</formula>
    </cfRule>
  </conditionalFormatting>
  <conditionalFormatting sqref="H429:Y441">
    <cfRule type="containsBlanks" dxfId="1194" priority="71">
      <formula>LEN(TRIM(H429))=0</formula>
    </cfRule>
  </conditionalFormatting>
  <conditionalFormatting sqref="H443:Y451">
    <cfRule type="containsBlanks" dxfId="1193" priority="72">
      <formula>LEN(TRIM(H443))=0</formula>
    </cfRule>
  </conditionalFormatting>
  <conditionalFormatting sqref="H458:Y464">
    <cfRule type="containsBlanks" dxfId="1192" priority="35">
      <formula>LEN(TRIM(H458))=0</formula>
    </cfRule>
  </conditionalFormatting>
  <conditionalFormatting sqref="H458:Y488">
    <cfRule type="cellIs" dxfId="1191" priority="36" operator="equal">
      <formula>0</formula>
    </cfRule>
  </conditionalFormatting>
  <conditionalFormatting sqref="H466:Y478">
    <cfRule type="containsBlanks" dxfId="1190" priority="77">
      <formula>LEN(TRIM(H466))=0</formula>
    </cfRule>
  </conditionalFormatting>
  <conditionalFormatting sqref="H480:Y488">
    <cfRule type="containsBlanks" dxfId="1189" priority="78">
      <formula>LEN(TRIM(H480))=0</formula>
    </cfRule>
  </conditionalFormatting>
  <conditionalFormatting sqref="H495:Y501">
    <cfRule type="containsBlanks" dxfId="1188" priority="33">
      <formula>LEN(TRIM(H495))=0</formula>
    </cfRule>
  </conditionalFormatting>
  <conditionalFormatting sqref="H495:Y525">
    <cfRule type="cellIs" dxfId="1187" priority="34" operator="equal">
      <formula>0</formula>
    </cfRule>
  </conditionalFormatting>
  <conditionalFormatting sqref="H503:Y515">
    <cfRule type="containsBlanks" dxfId="1186" priority="83">
      <formula>LEN(TRIM(H503))=0</formula>
    </cfRule>
  </conditionalFormatting>
  <conditionalFormatting sqref="H517:Y525">
    <cfRule type="containsBlanks" dxfId="1185" priority="84">
      <formula>LEN(TRIM(H517))=0</formula>
    </cfRule>
  </conditionalFormatting>
  <conditionalFormatting sqref="J311:J312">
    <cfRule type="cellIs" dxfId="1184" priority="57" operator="equal">
      <formula>0</formula>
    </cfRule>
  </conditionalFormatting>
  <conditionalFormatting sqref="J348:J349">
    <cfRule type="cellIs" dxfId="1183" priority="63" operator="equal">
      <formula>0</formula>
    </cfRule>
  </conditionalFormatting>
  <conditionalFormatting sqref="J385:J386">
    <cfRule type="cellIs" dxfId="1182" priority="69" operator="equal">
      <formula>0</formula>
    </cfRule>
  </conditionalFormatting>
  <conditionalFormatting sqref="J422:J423">
    <cfRule type="cellIs" dxfId="1181" priority="75" operator="equal">
      <formula>0</formula>
    </cfRule>
  </conditionalFormatting>
  <conditionalFormatting sqref="J459:J460">
    <cfRule type="cellIs" dxfId="1180" priority="81" operator="equal">
      <formula>0</formula>
    </cfRule>
  </conditionalFormatting>
  <conditionalFormatting sqref="J496:J497">
    <cfRule type="cellIs" dxfId="1179" priority="108" operator="equal">
      <formula>0</formula>
    </cfRule>
  </conditionalFormatting>
  <conditionalFormatting sqref="N14:O16">
    <cfRule type="cellIs" dxfId="1178" priority="104" operator="equal">
      <formula>0</formula>
    </cfRule>
  </conditionalFormatting>
  <conditionalFormatting sqref="N19:O19">
    <cfRule type="cellIs" dxfId="1177" priority="105" operator="equal">
      <formula>0</formula>
    </cfRule>
  </conditionalFormatting>
  <conditionalFormatting sqref="N51:O53">
    <cfRule type="cellIs" dxfId="1176" priority="112" operator="equal">
      <formula>0</formula>
    </cfRule>
  </conditionalFormatting>
  <conditionalFormatting sqref="N56:O56">
    <cfRule type="cellIs" dxfId="1175" priority="114" operator="equal">
      <formula>0</formula>
    </cfRule>
  </conditionalFormatting>
  <conditionalFormatting sqref="N88:O90">
    <cfRule type="cellIs" dxfId="1174" priority="91" operator="equal">
      <formula>0</formula>
    </cfRule>
  </conditionalFormatting>
  <conditionalFormatting sqref="N93:O93">
    <cfRule type="cellIs" dxfId="1173" priority="93" operator="equal">
      <formula>0</formula>
    </cfRule>
  </conditionalFormatting>
  <conditionalFormatting sqref="N17:U18">
    <cfRule type="cellIs" dxfId="1172" priority="102" operator="equal">
      <formula>0</formula>
    </cfRule>
  </conditionalFormatting>
  <conditionalFormatting sqref="N54:U55">
    <cfRule type="cellIs" dxfId="1171" priority="110" operator="equal">
      <formula>0</formula>
    </cfRule>
  </conditionalFormatting>
  <conditionalFormatting sqref="N91:U92">
    <cfRule type="cellIs" dxfId="1170" priority="89" operator="equal">
      <formula>0</formula>
    </cfRule>
  </conditionalFormatting>
  <conditionalFormatting sqref="N20:Y44">
    <cfRule type="cellIs" dxfId="1169" priority="101" operator="equal">
      <formula>0</formula>
    </cfRule>
  </conditionalFormatting>
  <conditionalFormatting sqref="N57:Y81">
    <cfRule type="cellIs" dxfId="1168" priority="100" operator="equal">
      <formula>0</formula>
    </cfRule>
  </conditionalFormatting>
  <conditionalFormatting sqref="N94:Y118">
    <cfRule type="cellIs" dxfId="1167" priority="88" operator="equal">
      <formula>0</formula>
    </cfRule>
  </conditionalFormatting>
  <conditionalFormatting sqref="P126:P130">
    <cfRule type="cellIs" dxfId="1166" priority="7" operator="equal">
      <formula>0</formula>
    </cfRule>
  </conditionalFormatting>
  <conditionalFormatting sqref="P163:P167">
    <cfRule type="cellIs" dxfId="1165" priority="15" operator="equal">
      <formula>0</formula>
    </cfRule>
  </conditionalFormatting>
  <conditionalFormatting sqref="P200:P204">
    <cfRule type="cellIs" dxfId="1164" priority="23" operator="equal">
      <formula>0</formula>
    </cfRule>
  </conditionalFormatting>
  <conditionalFormatting sqref="P237:P241">
    <cfRule type="cellIs" dxfId="1163" priority="31" operator="equal">
      <formula>0</formula>
    </cfRule>
  </conditionalFormatting>
  <conditionalFormatting sqref="P274:P278">
    <cfRule type="cellIs" dxfId="1162" priority="51" operator="equal">
      <formula>0</formula>
    </cfRule>
  </conditionalFormatting>
  <conditionalFormatting sqref="P311:P315">
    <cfRule type="cellIs" dxfId="1161" priority="56" operator="equal">
      <formula>0</formula>
    </cfRule>
  </conditionalFormatting>
  <conditionalFormatting sqref="P348:P352">
    <cfRule type="cellIs" dxfId="1160" priority="62" operator="equal">
      <formula>0</formula>
    </cfRule>
  </conditionalFormatting>
  <conditionalFormatting sqref="P385:P389">
    <cfRule type="cellIs" dxfId="1159" priority="68" operator="equal">
      <formula>0</formula>
    </cfRule>
  </conditionalFormatting>
  <conditionalFormatting sqref="P422:P426">
    <cfRule type="cellIs" dxfId="1158" priority="74" operator="equal">
      <formula>0</formula>
    </cfRule>
  </conditionalFormatting>
  <conditionalFormatting sqref="P459:P463">
    <cfRule type="cellIs" dxfId="1157" priority="80" operator="equal">
      <formula>0</formula>
    </cfRule>
  </conditionalFormatting>
  <conditionalFormatting sqref="P496:P500">
    <cfRule type="cellIs" dxfId="1156" priority="107" operator="equal">
      <formula>0</formula>
    </cfRule>
  </conditionalFormatting>
  <conditionalFormatting sqref="P13:U13">
    <cfRule type="cellIs" dxfId="1155" priority="115" operator="equal">
      <formula>0</formula>
    </cfRule>
  </conditionalFormatting>
  <conditionalFormatting sqref="P50:U50">
    <cfRule type="cellIs" dxfId="1154" priority="113" operator="equal">
      <formula>0</formula>
    </cfRule>
  </conditionalFormatting>
  <conditionalFormatting sqref="P87:U87">
    <cfRule type="cellIs" dxfId="1153" priority="92" operator="equal">
      <formula>0</formula>
    </cfRule>
  </conditionalFormatting>
  <conditionalFormatting sqref="P124:U124">
    <cfRule type="cellIs" dxfId="1152" priority="126" operator="equal">
      <formula>0</formula>
    </cfRule>
  </conditionalFormatting>
  <conditionalFormatting sqref="P161:U161">
    <cfRule type="cellIs" dxfId="1151" priority="125" operator="equal">
      <formula>0</formula>
    </cfRule>
  </conditionalFormatting>
  <conditionalFormatting sqref="P198:U198">
    <cfRule type="cellIs" dxfId="1150" priority="124" operator="equal">
      <formula>0</formula>
    </cfRule>
  </conditionalFormatting>
  <conditionalFormatting sqref="P235:U235">
    <cfRule type="cellIs" dxfId="1149" priority="123" operator="equal">
      <formula>0</formula>
    </cfRule>
  </conditionalFormatting>
  <conditionalFormatting sqref="P272:U272">
    <cfRule type="cellIs" dxfId="1148" priority="122" operator="equal">
      <formula>0</formula>
    </cfRule>
  </conditionalFormatting>
  <conditionalFormatting sqref="P309:U309">
    <cfRule type="cellIs" dxfId="1147" priority="121" operator="equal">
      <formula>0</formula>
    </cfRule>
  </conditionalFormatting>
  <conditionalFormatting sqref="P346:U346">
    <cfRule type="cellIs" dxfId="1146" priority="120" operator="equal">
      <formula>0</formula>
    </cfRule>
  </conditionalFormatting>
  <conditionalFormatting sqref="P383:U383">
    <cfRule type="cellIs" dxfId="1145" priority="119" operator="equal">
      <formula>0</formula>
    </cfRule>
  </conditionalFormatting>
  <conditionalFormatting sqref="P420:U420">
    <cfRule type="cellIs" dxfId="1144" priority="118" operator="equal">
      <formula>0</formula>
    </cfRule>
  </conditionalFormatting>
  <conditionalFormatting sqref="P457:U457">
    <cfRule type="cellIs" dxfId="1143" priority="117" operator="equal">
      <formula>0</formula>
    </cfRule>
  </conditionalFormatting>
  <conditionalFormatting sqref="P494:U494">
    <cfRule type="cellIs" dxfId="1142" priority="116" operator="equal">
      <formula>0</formula>
    </cfRule>
  </conditionalFormatting>
  <conditionalFormatting sqref="P14:Y19">
    <cfRule type="cellIs" dxfId="1141" priority="103" operator="equal">
      <formula>0</formula>
    </cfRule>
  </conditionalFormatting>
  <conditionalFormatting sqref="P51:Y56">
    <cfRule type="cellIs" dxfId="1140" priority="111" operator="equal">
      <formula>0</formula>
    </cfRule>
  </conditionalFormatting>
  <conditionalFormatting sqref="P88:Y93">
    <cfRule type="cellIs" dxfId="1139" priority="90" operator="equal">
      <formula>0</formula>
    </cfRule>
  </conditionalFormatting>
  <conditionalFormatting sqref="Q125:S130">
    <cfRule type="cellIs" dxfId="1138" priority="5" operator="equal">
      <formula>0</formula>
    </cfRule>
  </conditionalFormatting>
  <conditionalFormatting sqref="Q162:S167">
    <cfRule type="cellIs" dxfId="1137" priority="13" operator="equal">
      <formula>0</formula>
    </cfRule>
  </conditionalFormatting>
  <conditionalFormatting sqref="Q199:S204">
    <cfRule type="cellIs" dxfId="1136" priority="21" operator="equal">
      <formula>0</formula>
    </cfRule>
  </conditionalFormatting>
  <conditionalFormatting sqref="Q236:S241">
    <cfRule type="cellIs" dxfId="1135" priority="29" operator="equal">
      <formula>0</formula>
    </cfRule>
  </conditionalFormatting>
  <conditionalFormatting sqref="Q273:S278">
    <cfRule type="cellIs" dxfId="1134" priority="49" operator="equal">
      <formula>0</formula>
    </cfRule>
  </conditionalFormatting>
  <conditionalFormatting sqref="T126:U130">
    <cfRule type="cellIs" dxfId="1133" priority="6" operator="equal">
      <formula>0</formula>
    </cfRule>
  </conditionalFormatting>
  <conditionalFormatting sqref="T163:U167">
    <cfRule type="cellIs" dxfId="1132" priority="14" operator="equal">
      <formula>0</formula>
    </cfRule>
  </conditionalFormatting>
  <conditionalFormatting sqref="T200:U204">
    <cfRule type="cellIs" dxfId="1131" priority="22" operator="equal">
      <formula>0</formula>
    </cfRule>
  </conditionalFormatting>
  <conditionalFormatting sqref="T237:U241">
    <cfRule type="cellIs" dxfId="1130" priority="30" operator="equal">
      <formula>0</formula>
    </cfRule>
  </conditionalFormatting>
  <conditionalFormatting sqref="T274:U278">
    <cfRule type="cellIs" dxfId="1129" priority="50" operator="equal">
      <formula>0</formula>
    </cfRule>
  </conditionalFormatting>
  <conditionalFormatting sqref="T311:U315">
    <cfRule type="cellIs" dxfId="1128" priority="55" operator="equal">
      <formula>0</formula>
    </cfRule>
  </conditionalFormatting>
  <conditionalFormatting sqref="T348:U352">
    <cfRule type="cellIs" dxfId="1127" priority="61" operator="equal">
      <formula>0</formula>
    </cfRule>
  </conditionalFormatting>
  <conditionalFormatting sqref="T385:U389">
    <cfRule type="cellIs" dxfId="1126" priority="67" operator="equal">
      <formula>0</formula>
    </cfRule>
  </conditionalFormatting>
  <conditionalFormatting sqref="T422:U426">
    <cfRule type="cellIs" dxfId="1125" priority="73" operator="equal">
      <formula>0</formula>
    </cfRule>
  </conditionalFormatting>
  <conditionalFormatting sqref="T459:U463">
    <cfRule type="cellIs" dxfId="1124" priority="79" operator="equal">
      <formula>0</formula>
    </cfRule>
  </conditionalFormatting>
  <conditionalFormatting sqref="T496:U500">
    <cfRule type="cellIs" dxfId="1123" priority="106" operator="equal">
      <formula>0</formula>
    </cfRule>
  </conditionalFormatting>
  <conditionalFormatting sqref="V125:V127">
    <cfRule type="cellIs" dxfId="1122" priority="8" operator="equal">
      <formula>0</formula>
    </cfRule>
  </conditionalFormatting>
  <conditionalFormatting sqref="V162:V164">
    <cfRule type="cellIs" dxfId="1121" priority="16" operator="equal">
      <formula>0</formula>
    </cfRule>
  </conditionalFormatting>
  <conditionalFormatting sqref="V199:V201">
    <cfRule type="cellIs" dxfId="1120" priority="24" operator="equal">
      <formula>0</formula>
    </cfRule>
  </conditionalFormatting>
  <conditionalFormatting sqref="V236:V238">
    <cfRule type="cellIs" dxfId="1119" priority="32" operator="equal">
      <formula>0</formula>
    </cfRule>
  </conditionalFormatting>
  <conditionalFormatting sqref="V273:V275">
    <cfRule type="cellIs" dxfId="1118" priority="52" operator="equal">
      <formula>0</formula>
    </cfRule>
  </conditionalFormatting>
  <conditionalFormatting sqref="V310:V312">
    <cfRule type="cellIs" dxfId="1117" priority="58" operator="equal">
      <formula>0</formula>
    </cfRule>
  </conditionalFormatting>
  <conditionalFormatting sqref="V347:V349">
    <cfRule type="cellIs" dxfId="1116" priority="64" operator="equal">
      <formula>0</formula>
    </cfRule>
  </conditionalFormatting>
  <conditionalFormatting sqref="V384:V386">
    <cfRule type="cellIs" dxfId="1115" priority="70" operator="equal">
      <formula>0</formula>
    </cfRule>
  </conditionalFormatting>
  <conditionalFormatting sqref="V421:V423">
    <cfRule type="cellIs" dxfId="1114" priority="76" operator="equal">
      <formula>0</formula>
    </cfRule>
  </conditionalFormatting>
  <conditionalFormatting sqref="V458:V460">
    <cfRule type="cellIs" dxfId="1113" priority="82" operator="equal">
      <formula>0</formula>
    </cfRule>
  </conditionalFormatting>
  <conditionalFormatting sqref="V495:V497">
    <cfRule type="cellIs" dxfId="1112" priority="109" operator="equal">
      <formula>0</formula>
    </cfRule>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9C22D-41D2-4C5F-B466-0CC2F0C004E9}">
  <dimension ref="C2:V414"/>
  <sheetViews>
    <sheetView workbookViewId="0"/>
  </sheetViews>
  <sheetFormatPr baseColWidth="10" defaultRowHeight="15" x14ac:dyDescent="0.25"/>
  <sheetData>
    <row r="2" spans="3:22" ht="18.75" x14ac:dyDescent="0.3">
      <c r="C2" s="600" t="s">
        <v>406</v>
      </c>
      <c r="D2" s="599"/>
      <c r="E2" s="599"/>
      <c r="F2" s="599"/>
      <c r="G2" s="599"/>
      <c r="H2" s="599"/>
      <c r="I2" s="599"/>
      <c r="J2" s="599"/>
      <c r="K2" s="599"/>
      <c r="L2" s="599"/>
      <c r="M2" s="599"/>
      <c r="N2" s="599"/>
      <c r="O2" s="599"/>
      <c r="P2" s="599"/>
      <c r="Q2" s="599"/>
      <c r="R2" s="599"/>
      <c r="S2" s="599"/>
      <c r="T2" s="599"/>
      <c r="U2" s="599"/>
      <c r="V2" s="599"/>
    </row>
    <row r="3" spans="3:22" x14ac:dyDescent="0.25">
      <c r="C3" s="51"/>
      <c r="D3" s="51"/>
      <c r="E3" s="51"/>
      <c r="F3" s="51"/>
      <c r="G3" s="51"/>
      <c r="H3" s="51"/>
      <c r="I3" s="51"/>
      <c r="J3" s="51"/>
      <c r="K3" s="51"/>
      <c r="L3" s="51"/>
      <c r="M3" s="51"/>
      <c r="N3" s="51"/>
      <c r="O3" s="51"/>
      <c r="P3" s="51"/>
      <c r="Q3" s="51"/>
      <c r="R3" s="51"/>
      <c r="S3" s="51"/>
      <c r="T3" s="51"/>
      <c r="U3" s="51"/>
      <c r="V3" s="51"/>
    </row>
    <row r="4" spans="3:22" ht="15.75" x14ac:dyDescent="0.25">
      <c r="C4" s="603" t="s">
        <v>338</v>
      </c>
      <c r="D4" s="602" t="s">
        <v>481</v>
      </c>
      <c r="E4" s="602"/>
      <c r="F4" s="602"/>
      <c r="G4" s="602"/>
      <c r="H4" s="602"/>
      <c r="I4" s="602"/>
      <c r="J4" s="602"/>
      <c r="K4" s="604"/>
      <c r="L4" s="604"/>
      <c r="M4" s="604"/>
      <c r="N4" s="604"/>
      <c r="O4" s="604"/>
      <c r="P4" s="604"/>
      <c r="Q4" s="604"/>
      <c r="R4" s="602"/>
      <c r="S4" s="602"/>
      <c r="T4" s="602"/>
      <c r="U4" s="602"/>
      <c r="V4" s="602"/>
    </row>
    <row r="5" spans="3:22" ht="15.75" x14ac:dyDescent="0.25">
      <c r="C5" s="603" t="s">
        <v>341</v>
      </c>
      <c r="D5" s="602" t="s">
        <v>342</v>
      </c>
      <c r="E5" s="602"/>
      <c r="F5" s="602"/>
      <c r="G5" s="602"/>
      <c r="H5" s="602"/>
      <c r="I5" s="602"/>
      <c r="J5" s="602"/>
      <c r="K5" s="602"/>
      <c r="L5" s="602"/>
      <c r="M5" s="602"/>
      <c r="N5" s="602"/>
      <c r="O5" s="602"/>
      <c r="P5" s="602"/>
      <c r="Q5" s="602"/>
      <c r="R5" s="602"/>
      <c r="S5" s="602"/>
      <c r="T5" s="602"/>
      <c r="U5" s="602"/>
      <c r="V5" s="602"/>
    </row>
    <row r="6" spans="3:22" x14ac:dyDescent="0.25">
      <c r="C6" s="51"/>
      <c r="D6" s="51"/>
      <c r="E6" s="51"/>
      <c r="F6" s="51"/>
      <c r="G6" s="51"/>
      <c r="H6" s="51"/>
      <c r="I6" s="51"/>
      <c r="J6" s="51"/>
      <c r="K6" s="51"/>
      <c r="L6" s="51"/>
      <c r="M6" s="51"/>
      <c r="N6" s="51"/>
      <c r="O6" s="51"/>
      <c r="P6" s="51"/>
      <c r="Q6" s="51"/>
      <c r="R6" s="51"/>
      <c r="S6" s="51"/>
      <c r="T6" s="51"/>
      <c r="U6" s="51"/>
      <c r="V6" s="51"/>
    </row>
    <row r="7" spans="3:22" x14ac:dyDescent="0.25">
      <c r="C7" s="51"/>
      <c r="D7" s="51"/>
      <c r="E7" s="51"/>
      <c r="F7" s="51"/>
      <c r="G7" s="51"/>
      <c r="H7" s="51"/>
      <c r="I7" s="51"/>
      <c r="J7" s="51"/>
      <c r="K7" s="51"/>
      <c r="L7" s="51"/>
      <c r="M7" s="51"/>
      <c r="N7" s="51"/>
      <c r="O7" s="51"/>
      <c r="P7" s="51"/>
      <c r="Q7" s="51"/>
      <c r="R7" s="51"/>
      <c r="S7" s="51"/>
      <c r="T7" s="51"/>
      <c r="U7" s="51"/>
      <c r="V7" s="51"/>
    </row>
    <row r="8" spans="3:22" x14ac:dyDescent="0.25">
      <c r="C8" s="607" t="s">
        <v>355</v>
      </c>
      <c r="D8" s="606"/>
      <c r="E8" s="606"/>
      <c r="F8" s="606"/>
      <c r="G8" s="606"/>
      <c r="H8" s="606"/>
      <c r="I8" s="606"/>
      <c r="J8" s="606"/>
      <c r="K8" s="606"/>
      <c r="L8" s="606"/>
      <c r="M8" s="606"/>
      <c r="N8" s="606"/>
      <c r="O8" s="606"/>
      <c r="P8" s="606"/>
      <c r="Q8" s="606"/>
      <c r="R8" s="606"/>
      <c r="S8" s="606"/>
      <c r="T8" s="606"/>
      <c r="U8" s="606"/>
      <c r="V8" s="606"/>
    </row>
    <row r="9" spans="3:22" x14ac:dyDescent="0.25">
      <c r="C9" s="51"/>
      <c r="D9" s="51"/>
      <c r="E9" s="51"/>
      <c r="F9" s="51"/>
      <c r="G9" s="51"/>
      <c r="H9" s="51"/>
      <c r="I9" s="51"/>
      <c r="J9" s="51"/>
      <c r="K9" s="51"/>
      <c r="L9" s="51"/>
      <c r="M9" s="51"/>
      <c r="N9" s="51"/>
      <c r="O9" s="51"/>
      <c r="P9" s="51"/>
      <c r="Q9" s="51"/>
      <c r="R9" s="51"/>
      <c r="S9" s="51"/>
      <c r="T9" s="51"/>
      <c r="U9" s="51"/>
      <c r="V9" s="51"/>
    </row>
    <row r="10" spans="3:22" ht="15" customHeight="1" x14ac:dyDescent="0.25">
      <c r="C10" s="764" t="s">
        <v>128</v>
      </c>
      <c r="D10" s="753" t="s">
        <v>42</v>
      </c>
      <c r="E10" s="753" t="s">
        <v>52</v>
      </c>
      <c r="F10" s="753" t="s">
        <v>53</v>
      </c>
      <c r="G10" s="753" t="s">
        <v>482</v>
      </c>
      <c r="H10" s="753" t="s">
        <v>32</v>
      </c>
      <c r="I10" s="753" t="s">
        <v>483</v>
      </c>
      <c r="J10" s="753" t="s">
        <v>20</v>
      </c>
      <c r="K10" s="753" t="s">
        <v>55</v>
      </c>
      <c r="L10" s="761" t="s">
        <v>56</v>
      </c>
      <c r="M10" s="762"/>
      <c r="N10" s="762"/>
      <c r="O10" s="762"/>
      <c r="P10" s="762"/>
      <c r="Q10" s="763"/>
      <c r="R10" s="753" t="s">
        <v>57</v>
      </c>
      <c r="S10" s="753" t="s">
        <v>58</v>
      </c>
      <c r="T10" s="753" t="s">
        <v>31</v>
      </c>
      <c r="U10" s="753" t="s">
        <v>10</v>
      </c>
      <c r="V10" s="51"/>
    </row>
    <row r="11" spans="3:22" ht="36" x14ac:dyDescent="0.25">
      <c r="C11" s="765"/>
      <c r="D11" s="754"/>
      <c r="E11" s="754"/>
      <c r="F11" s="754"/>
      <c r="G11" s="754"/>
      <c r="H11" s="754"/>
      <c r="I11" s="754"/>
      <c r="J11" s="754"/>
      <c r="K11" s="754"/>
      <c r="L11" s="608" t="s">
        <v>335</v>
      </c>
      <c r="M11" s="608" t="s">
        <v>40</v>
      </c>
      <c r="N11" s="608" t="s">
        <v>343</v>
      </c>
      <c r="O11" s="608" t="s">
        <v>344</v>
      </c>
      <c r="P11" s="609" t="s">
        <v>345</v>
      </c>
      <c r="Q11" s="608" t="s">
        <v>346</v>
      </c>
      <c r="R11" s="754"/>
      <c r="S11" s="754"/>
      <c r="T11" s="754"/>
      <c r="U11" s="754"/>
      <c r="V11" s="51"/>
    </row>
    <row r="12" spans="3:22" x14ac:dyDescent="0.25">
      <c r="C12" s="610" t="s">
        <v>59</v>
      </c>
      <c r="D12" s="611">
        <v>0</v>
      </c>
      <c r="E12" s="611">
        <v>9.7691999999999997</v>
      </c>
      <c r="F12" s="611">
        <v>0</v>
      </c>
      <c r="G12" s="611">
        <v>0</v>
      </c>
      <c r="H12" s="611">
        <v>0.18608000000000002</v>
      </c>
      <c r="I12" s="611">
        <v>0</v>
      </c>
      <c r="J12" s="612">
        <v>1140.366181818182</v>
      </c>
      <c r="K12" s="612">
        <v>129.28342687103313</v>
      </c>
      <c r="L12" s="612">
        <v>258.56548367841259</v>
      </c>
      <c r="M12" s="612">
        <v>19.091612469301936</v>
      </c>
      <c r="N12" s="611">
        <v>1.2541050018668516</v>
      </c>
      <c r="O12" s="611">
        <v>0.16066538698047411</v>
      </c>
      <c r="P12" s="612">
        <v>60.732327794749558</v>
      </c>
      <c r="Q12" s="612">
        <v>7.8989591252631115</v>
      </c>
      <c r="R12" s="611">
        <v>0</v>
      </c>
      <c r="S12" s="611">
        <v>0</v>
      </c>
      <c r="T12" s="611">
        <v>0</v>
      </c>
      <c r="U12" s="613">
        <v>1612.5896719959137</v>
      </c>
      <c r="V12" s="51"/>
    </row>
    <row r="13" spans="3:22" x14ac:dyDescent="0.25">
      <c r="C13" s="610" t="s">
        <v>60</v>
      </c>
      <c r="D13" s="611">
        <v>57.011659454076842</v>
      </c>
      <c r="E13" s="611">
        <v>457.27455847037987</v>
      </c>
      <c r="F13" s="611">
        <v>292.8083159543678</v>
      </c>
      <c r="G13" s="611">
        <v>0.30641446337224754</v>
      </c>
      <c r="H13" s="611">
        <v>400.43359496578728</v>
      </c>
      <c r="I13" s="611">
        <v>0</v>
      </c>
      <c r="J13" s="611">
        <v>0</v>
      </c>
      <c r="K13" s="611">
        <v>0</v>
      </c>
      <c r="L13" s="611">
        <v>1.7064184013992112</v>
      </c>
      <c r="M13" s="611">
        <v>0</v>
      </c>
      <c r="N13" s="611">
        <v>2.5623160901563855</v>
      </c>
      <c r="O13" s="611">
        <v>0</v>
      </c>
      <c r="P13" s="611">
        <v>0</v>
      </c>
      <c r="Q13" s="611">
        <v>0</v>
      </c>
      <c r="R13" s="611">
        <v>0</v>
      </c>
      <c r="S13" s="611">
        <v>0</v>
      </c>
      <c r="T13" s="611">
        <v>0</v>
      </c>
      <c r="U13" s="613">
        <v>1212.1032777995395</v>
      </c>
      <c r="V13" s="51"/>
    </row>
    <row r="14" spans="3:22" x14ac:dyDescent="0.25">
      <c r="C14" s="610" t="s">
        <v>61</v>
      </c>
      <c r="D14" s="611">
        <v>0</v>
      </c>
      <c r="E14" s="611">
        <v>0</v>
      </c>
      <c r="F14" s="611">
        <v>3.3311309848348856</v>
      </c>
      <c r="G14" s="611">
        <v>0</v>
      </c>
      <c r="H14" s="611">
        <v>0</v>
      </c>
      <c r="I14" s="611">
        <v>0</v>
      </c>
      <c r="J14" s="611">
        <v>0</v>
      </c>
      <c r="K14" s="611">
        <v>0</v>
      </c>
      <c r="L14" s="611">
        <v>0</v>
      </c>
      <c r="M14" s="611">
        <v>0</v>
      </c>
      <c r="N14" s="611">
        <v>0</v>
      </c>
      <c r="O14" s="611">
        <v>0</v>
      </c>
      <c r="P14" s="611">
        <v>0</v>
      </c>
      <c r="Q14" s="611">
        <v>0</v>
      </c>
      <c r="R14" s="611">
        <v>-41.277483794572845</v>
      </c>
      <c r="S14" s="611">
        <v>0</v>
      </c>
      <c r="T14" s="611">
        <v>0</v>
      </c>
      <c r="U14" s="613">
        <v>-37.946352809737959</v>
      </c>
      <c r="V14" s="51"/>
    </row>
    <row r="15" spans="3:22" x14ac:dyDescent="0.25">
      <c r="C15" s="610" t="s">
        <v>62</v>
      </c>
      <c r="D15" s="611">
        <v>0</v>
      </c>
      <c r="E15" s="611">
        <v>0</v>
      </c>
      <c r="F15" s="611">
        <v>-14.83283894237581</v>
      </c>
      <c r="G15" s="611">
        <v>0</v>
      </c>
      <c r="H15" s="611">
        <v>-1.6570888869699243</v>
      </c>
      <c r="I15" s="611">
        <v>0</v>
      </c>
      <c r="J15" s="611">
        <v>0</v>
      </c>
      <c r="K15" s="611">
        <v>0</v>
      </c>
      <c r="L15" s="611">
        <v>0</v>
      </c>
      <c r="M15" s="611">
        <v>0</v>
      </c>
      <c r="N15" s="611">
        <v>-0.27618148116165409</v>
      </c>
      <c r="O15" s="611">
        <v>0</v>
      </c>
      <c r="P15" s="611">
        <v>0</v>
      </c>
      <c r="Q15" s="611">
        <v>0</v>
      </c>
      <c r="R15" s="611">
        <v>0</v>
      </c>
      <c r="S15" s="611">
        <v>0</v>
      </c>
      <c r="T15" s="611">
        <v>0</v>
      </c>
      <c r="U15" s="613">
        <v>-16.766109310507389</v>
      </c>
      <c r="V15" s="51"/>
    </row>
    <row r="16" spans="3:22" x14ac:dyDescent="0.25">
      <c r="C16" s="610" t="s">
        <v>63</v>
      </c>
      <c r="D16" s="611">
        <v>0</v>
      </c>
      <c r="E16" s="611">
        <v>0</v>
      </c>
      <c r="F16" s="611">
        <v>-54.994775700251736</v>
      </c>
      <c r="G16" s="611">
        <v>0</v>
      </c>
      <c r="H16" s="611">
        <v>0</v>
      </c>
      <c r="I16" s="611">
        <v>0</v>
      </c>
      <c r="J16" s="611">
        <v>0</v>
      </c>
      <c r="K16" s="611">
        <v>0</v>
      </c>
      <c r="L16" s="611">
        <v>0</v>
      </c>
      <c r="M16" s="611">
        <v>0</v>
      </c>
      <c r="N16" s="611">
        <v>-0.85966647430597476</v>
      </c>
      <c r="O16" s="611">
        <v>0</v>
      </c>
      <c r="P16" s="611">
        <v>0</v>
      </c>
      <c r="Q16" s="611">
        <v>0</v>
      </c>
      <c r="R16" s="611">
        <v>0</v>
      </c>
      <c r="S16" s="611">
        <v>0</v>
      </c>
      <c r="T16" s="611">
        <v>0</v>
      </c>
      <c r="U16" s="613">
        <v>-55.854442174557711</v>
      </c>
      <c r="V16" s="51"/>
    </row>
    <row r="17" spans="3:22" x14ac:dyDescent="0.25">
      <c r="C17" s="610" t="s">
        <v>64</v>
      </c>
      <c r="D17" s="611">
        <v>9.7684723496666986E-2</v>
      </c>
      <c r="E17" s="611">
        <v>-5.9567697000000003E-2</v>
      </c>
      <c r="F17" s="611">
        <v>3.8766666666666671E-2</v>
      </c>
      <c r="G17" s="611">
        <v>0</v>
      </c>
      <c r="H17" s="611">
        <v>0</v>
      </c>
      <c r="I17" s="611">
        <v>0</v>
      </c>
      <c r="J17" s="611">
        <v>0</v>
      </c>
      <c r="K17" s="611">
        <v>0</v>
      </c>
      <c r="L17" s="611">
        <v>0</v>
      </c>
      <c r="M17" s="611">
        <v>0</v>
      </c>
      <c r="N17" s="611">
        <v>0</v>
      </c>
      <c r="O17" s="611">
        <v>0</v>
      </c>
      <c r="P17" s="611">
        <v>0</v>
      </c>
      <c r="Q17" s="611">
        <v>0</v>
      </c>
      <c r="R17" s="611">
        <v>0</v>
      </c>
      <c r="S17" s="611">
        <v>0</v>
      </c>
      <c r="T17" s="611">
        <v>0</v>
      </c>
      <c r="U17" s="613">
        <v>7.6883693163333655E-2</v>
      </c>
      <c r="V17" s="51"/>
    </row>
    <row r="18" spans="3:22" x14ac:dyDescent="0.25">
      <c r="C18" s="614" t="s">
        <v>65</v>
      </c>
      <c r="D18" s="615">
        <v>57.109344177573512</v>
      </c>
      <c r="E18" s="615">
        <v>466.98419077337991</v>
      </c>
      <c r="F18" s="615">
        <v>226.35059896324179</v>
      </c>
      <c r="G18" s="615">
        <v>0.30641446337224754</v>
      </c>
      <c r="H18" s="615">
        <v>398.96258607881737</v>
      </c>
      <c r="I18" s="615">
        <v>0</v>
      </c>
      <c r="J18" s="615">
        <v>1140.366181818182</v>
      </c>
      <c r="K18" s="615">
        <v>129.28342687103313</v>
      </c>
      <c r="L18" s="615">
        <v>260.27190207981181</v>
      </c>
      <c r="M18" s="615">
        <v>19.091612469301936</v>
      </c>
      <c r="N18" s="615">
        <v>2.6805731365556085</v>
      </c>
      <c r="O18" s="615">
        <v>0.16066538698047411</v>
      </c>
      <c r="P18" s="615">
        <v>60.732327794749558</v>
      </c>
      <c r="Q18" s="615">
        <v>7.8989591252631115</v>
      </c>
      <c r="R18" s="615">
        <v>-41.277483794572845</v>
      </c>
      <c r="S18" s="615">
        <v>0</v>
      </c>
      <c r="T18" s="615">
        <v>0</v>
      </c>
      <c r="U18" s="615">
        <v>2714.2029291938134</v>
      </c>
      <c r="V18" s="51"/>
    </row>
    <row r="19" spans="3:22" x14ac:dyDescent="0.25">
      <c r="C19" s="616"/>
      <c r="D19" s="617"/>
      <c r="E19" s="617"/>
      <c r="F19" s="617"/>
      <c r="G19" s="617"/>
      <c r="H19" s="623"/>
      <c r="I19" s="617"/>
      <c r="J19" s="617"/>
      <c r="K19" s="617"/>
      <c r="L19" s="617"/>
      <c r="M19" s="617"/>
      <c r="N19" s="617"/>
      <c r="O19" s="617"/>
      <c r="P19" s="617"/>
      <c r="Q19" s="617"/>
      <c r="R19" s="617"/>
      <c r="S19" s="617"/>
      <c r="T19" s="617"/>
      <c r="U19" s="617"/>
      <c r="V19" s="51"/>
    </row>
    <row r="20" spans="3:22" x14ac:dyDescent="0.25">
      <c r="C20" s="618" t="s">
        <v>67</v>
      </c>
      <c r="D20" s="611">
        <v>0</v>
      </c>
      <c r="E20" s="611">
        <v>4.3623690669338813E-2</v>
      </c>
      <c r="F20" s="611">
        <v>-0.43976848620269193</v>
      </c>
      <c r="G20" s="611">
        <v>0</v>
      </c>
      <c r="H20" s="611">
        <v>0</v>
      </c>
      <c r="I20" s="611">
        <v>0</v>
      </c>
      <c r="J20" s="611">
        <v>0</v>
      </c>
      <c r="K20" s="611">
        <v>0</v>
      </c>
      <c r="L20" s="611">
        <v>0</v>
      </c>
      <c r="M20" s="611">
        <v>0</v>
      </c>
      <c r="N20" s="611">
        <v>0</v>
      </c>
      <c r="O20" s="611">
        <v>0</v>
      </c>
      <c r="P20" s="611">
        <v>0</v>
      </c>
      <c r="Q20" s="611">
        <v>0</v>
      </c>
      <c r="R20" s="611">
        <v>0.19176325930063415</v>
      </c>
      <c r="S20" s="611">
        <v>0</v>
      </c>
      <c r="T20" s="611">
        <v>0</v>
      </c>
      <c r="U20" s="619">
        <v>-0.20438153623271899</v>
      </c>
      <c r="V20" s="51"/>
    </row>
    <row r="21" spans="3:22" x14ac:dyDescent="0.25">
      <c r="C21" s="618" t="s">
        <v>347</v>
      </c>
      <c r="D21" s="611">
        <v>9.5875166476283802</v>
      </c>
      <c r="E21" s="611">
        <v>0</v>
      </c>
      <c r="F21" s="611">
        <v>6.5311291161834095</v>
      </c>
      <c r="G21" s="611">
        <v>0</v>
      </c>
      <c r="H21" s="611">
        <v>53.166535589183262</v>
      </c>
      <c r="I21" s="611">
        <v>0</v>
      </c>
      <c r="J21" s="611">
        <v>1140.366181818182</v>
      </c>
      <c r="K21" s="611">
        <v>129.28342687103313</v>
      </c>
      <c r="L21" s="611">
        <v>31.172470957810656</v>
      </c>
      <c r="M21" s="611">
        <v>0.5818935618548382</v>
      </c>
      <c r="N21" s="611">
        <v>3.7008210788065874</v>
      </c>
      <c r="O21" s="611">
        <v>6.8158820532230786</v>
      </c>
      <c r="P21" s="611">
        <v>0</v>
      </c>
      <c r="Q21" s="611">
        <v>0.58332819125492874</v>
      </c>
      <c r="R21" s="611">
        <v>-553.9000796150865</v>
      </c>
      <c r="S21" s="611">
        <v>0</v>
      </c>
      <c r="T21" s="611">
        <v>0</v>
      </c>
      <c r="U21" s="619">
        <v>827.88910627007363</v>
      </c>
      <c r="V21" s="51"/>
    </row>
    <row r="22" spans="3:22" x14ac:dyDescent="0.25">
      <c r="C22" s="618" t="s">
        <v>348</v>
      </c>
      <c r="D22" s="611">
        <v>0.48452936287787096</v>
      </c>
      <c r="E22" s="611">
        <v>0</v>
      </c>
      <c r="F22" s="611">
        <v>7.6404494382022473E-2</v>
      </c>
      <c r="G22" s="611">
        <v>0</v>
      </c>
      <c r="H22" s="611">
        <v>17.271027602742318</v>
      </c>
      <c r="I22" s="611">
        <v>0</v>
      </c>
      <c r="J22" s="611">
        <v>0</v>
      </c>
      <c r="K22" s="611">
        <v>0</v>
      </c>
      <c r="L22" s="611">
        <v>20.468391433401113</v>
      </c>
      <c r="M22" s="611">
        <v>14.104491027491804</v>
      </c>
      <c r="N22" s="611">
        <v>0</v>
      </c>
      <c r="O22" s="611">
        <v>2.8312310293479181</v>
      </c>
      <c r="P22" s="611">
        <v>0</v>
      </c>
      <c r="Q22" s="611">
        <v>4.003423474284328</v>
      </c>
      <c r="R22" s="611">
        <v>0</v>
      </c>
      <c r="S22" s="611">
        <v>-52.941427907923831</v>
      </c>
      <c r="T22" s="611">
        <v>0</v>
      </c>
      <c r="U22" s="619">
        <v>6.2980705166035449</v>
      </c>
      <c r="V22" s="51"/>
    </row>
    <row r="23" spans="3:22" x14ac:dyDescent="0.25">
      <c r="C23" s="618" t="s">
        <v>349</v>
      </c>
      <c r="D23" s="611">
        <v>0</v>
      </c>
      <c r="E23" s="611">
        <v>0</v>
      </c>
      <c r="F23" s="611">
        <v>0</v>
      </c>
      <c r="G23" s="611">
        <v>0</v>
      </c>
      <c r="H23" s="611">
        <v>0</v>
      </c>
      <c r="I23" s="611">
        <v>0</v>
      </c>
      <c r="J23" s="611">
        <v>0</v>
      </c>
      <c r="K23" s="611">
        <v>0</v>
      </c>
      <c r="L23" s="611">
        <v>36.005659728296237</v>
      </c>
      <c r="M23" s="611">
        <v>0</v>
      </c>
      <c r="N23" s="611">
        <v>0</v>
      </c>
      <c r="O23" s="611">
        <v>-19.803112850562933</v>
      </c>
      <c r="P23" s="611">
        <v>0</v>
      </c>
      <c r="Q23" s="611">
        <v>0</v>
      </c>
      <c r="R23" s="611">
        <v>0</v>
      </c>
      <c r="S23" s="611">
        <v>0</v>
      </c>
      <c r="T23" s="611">
        <v>0</v>
      </c>
      <c r="U23" s="619">
        <v>16.202546877733305</v>
      </c>
      <c r="V23" s="51"/>
    </row>
    <row r="24" spans="3:22" x14ac:dyDescent="0.25">
      <c r="C24" s="618" t="s">
        <v>350</v>
      </c>
      <c r="D24" s="611">
        <v>0</v>
      </c>
      <c r="E24" s="611">
        <v>0</v>
      </c>
      <c r="F24" s="611">
        <v>0</v>
      </c>
      <c r="G24" s="611">
        <v>0</v>
      </c>
      <c r="H24" s="611">
        <v>0</v>
      </c>
      <c r="I24" s="611">
        <v>0</v>
      </c>
      <c r="J24" s="611">
        <v>0</v>
      </c>
      <c r="K24" s="611">
        <v>0</v>
      </c>
      <c r="L24" s="611">
        <v>0</v>
      </c>
      <c r="M24" s="611">
        <v>0</v>
      </c>
      <c r="N24" s="611">
        <v>0</v>
      </c>
      <c r="O24" s="611">
        <v>0</v>
      </c>
      <c r="P24" s="611">
        <v>0</v>
      </c>
      <c r="Q24" s="611">
        <v>0</v>
      </c>
      <c r="R24" s="611">
        <v>0</v>
      </c>
      <c r="S24" s="611">
        <v>0</v>
      </c>
      <c r="T24" s="611">
        <v>0</v>
      </c>
      <c r="U24" s="619">
        <v>0</v>
      </c>
      <c r="V24" s="51"/>
    </row>
    <row r="25" spans="3:22" x14ac:dyDescent="0.25">
      <c r="C25" s="618" t="s">
        <v>72</v>
      </c>
      <c r="D25" s="611">
        <v>0</v>
      </c>
      <c r="E25" s="611">
        <v>483.987478187759</v>
      </c>
      <c r="F25" s="611">
        <v>-479.17526022406184</v>
      </c>
      <c r="G25" s="611">
        <v>0</v>
      </c>
      <c r="H25" s="611">
        <v>0</v>
      </c>
      <c r="I25" s="611">
        <v>0</v>
      </c>
      <c r="J25" s="611">
        <v>0</v>
      </c>
      <c r="K25" s="611">
        <v>0</v>
      </c>
      <c r="L25" s="611">
        <v>0</v>
      </c>
      <c r="M25" s="611">
        <v>0</v>
      </c>
      <c r="N25" s="611">
        <v>0</v>
      </c>
      <c r="O25" s="611">
        <v>0</v>
      </c>
      <c r="P25" s="611">
        <v>0</v>
      </c>
      <c r="Q25" s="611">
        <v>0</v>
      </c>
      <c r="R25" s="611">
        <v>0</v>
      </c>
      <c r="S25" s="611">
        <v>0</v>
      </c>
      <c r="T25" s="611">
        <v>0</v>
      </c>
      <c r="U25" s="619">
        <v>4.8122179636971509</v>
      </c>
      <c r="V25" s="51"/>
    </row>
    <row r="26" spans="3:22" x14ac:dyDescent="0.25">
      <c r="C26" s="618" t="s">
        <v>351</v>
      </c>
      <c r="D26" s="611">
        <v>0</v>
      </c>
      <c r="E26" s="611">
        <v>0</v>
      </c>
      <c r="F26" s="611">
        <v>0</v>
      </c>
      <c r="G26" s="611">
        <v>0</v>
      </c>
      <c r="H26" s="611">
        <v>0</v>
      </c>
      <c r="I26" s="611">
        <v>0</v>
      </c>
      <c r="J26" s="611">
        <v>0</v>
      </c>
      <c r="K26" s="611">
        <v>0</v>
      </c>
      <c r="L26" s="611">
        <v>79.006714056873733</v>
      </c>
      <c r="M26" s="611">
        <v>0</v>
      </c>
      <c r="N26" s="611">
        <v>-43.453692731280555</v>
      </c>
      <c r="O26" s="611">
        <v>0</v>
      </c>
      <c r="P26" s="611">
        <v>0</v>
      </c>
      <c r="Q26" s="611">
        <v>0</v>
      </c>
      <c r="R26" s="611">
        <v>0</v>
      </c>
      <c r="S26" s="611">
        <v>0</v>
      </c>
      <c r="T26" s="611">
        <v>0</v>
      </c>
      <c r="U26" s="619">
        <v>35.553021325593178</v>
      </c>
      <c r="V26" s="51"/>
    </row>
    <row r="27" spans="3:22" x14ac:dyDescent="0.25">
      <c r="C27" s="618" t="s">
        <v>352</v>
      </c>
      <c r="D27" s="611">
        <v>0</v>
      </c>
      <c r="E27" s="611">
        <v>0</v>
      </c>
      <c r="F27" s="611">
        <v>0</v>
      </c>
      <c r="G27" s="611">
        <v>0</v>
      </c>
      <c r="H27" s="611">
        <v>0</v>
      </c>
      <c r="I27" s="611">
        <v>0</v>
      </c>
      <c r="J27" s="611">
        <v>0</v>
      </c>
      <c r="K27" s="611">
        <v>0</v>
      </c>
      <c r="L27" s="611">
        <v>0</v>
      </c>
      <c r="M27" s="611">
        <v>0</v>
      </c>
      <c r="N27" s="611">
        <v>0</v>
      </c>
      <c r="O27" s="611">
        <v>0</v>
      </c>
      <c r="P27" s="611">
        <v>0</v>
      </c>
      <c r="Q27" s="611">
        <v>0</v>
      </c>
      <c r="R27" s="611">
        <v>0</v>
      </c>
      <c r="S27" s="611">
        <v>0</v>
      </c>
      <c r="T27" s="611">
        <v>0</v>
      </c>
      <c r="U27" s="619">
        <v>0</v>
      </c>
      <c r="V27" s="51"/>
    </row>
    <row r="28" spans="3:22" x14ac:dyDescent="0.25">
      <c r="C28" s="618" t="s">
        <v>73</v>
      </c>
      <c r="D28" s="611">
        <v>0</v>
      </c>
      <c r="E28" s="611">
        <v>0</v>
      </c>
      <c r="F28" s="611">
        <v>0</v>
      </c>
      <c r="G28" s="611">
        <v>0</v>
      </c>
      <c r="H28" s="611">
        <v>0</v>
      </c>
      <c r="I28" s="611">
        <v>0</v>
      </c>
      <c r="J28" s="611">
        <v>0</v>
      </c>
      <c r="K28" s="611">
        <v>0</v>
      </c>
      <c r="L28" s="611">
        <v>0</v>
      </c>
      <c r="M28" s="611">
        <v>0</v>
      </c>
      <c r="N28" s="611">
        <v>0</v>
      </c>
      <c r="O28" s="611">
        <v>0</v>
      </c>
      <c r="P28" s="611">
        <v>0</v>
      </c>
      <c r="Q28" s="611">
        <v>0</v>
      </c>
      <c r="R28" s="611">
        <v>0.2995076532102024</v>
      </c>
      <c r="S28" s="611">
        <v>0</v>
      </c>
      <c r="T28" s="611">
        <v>-0.19467997458663155</v>
      </c>
      <c r="U28" s="619">
        <v>0.10482767862357084</v>
      </c>
      <c r="V28" s="51"/>
    </row>
    <row r="29" spans="3:22" x14ac:dyDescent="0.25">
      <c r="C29" s="618" t="s">
        <v>353</v>
      </c>
      <c r="D29" s="611">
        <v>28.149105234375</v>
      </c>
      <c r="E29" s="611">
        <v>-17.046868199369122</v>
      </c>
      <c r="F29" s="611">
        <v>22.159116960123335</v>
      </c>
      <c r="G29" s="611">
        <v>0</v>
      </c>
      <c r="H29" s="611">
        <v>0</v>
      </c>
      <c r="I29" s="611">
        <v>0</v>
      </c>
      <c r="J29" s="611">
        <v>0</v>
      </c>
      <c r="K29" s="611">
        <v>0</v>
      </c>
      <c r="L29" s="611">
        <v>0</v>
      </c>
      <c r="M29" s="611">
        <v>0</v>
      </c>
      <c r="N29" s="611">
        <v>0</v>
      </c>
      <c r="O29" s="611">
        <v>0</v>
      </c>
      <c r="P29" s="611">
        <v>0</v>
      </c>
      <c r="Q29" s="611">
        <v>0</v>
      </c>
      <c r="R29" s="611">
        <v>0</v>
      </c>
      <c r="S29" s="611">
        <v>0</v>
      </c>
      <c r="T29" s="611">
        <v>0</v>
      </c>
      <c r="U29" s="619">
        <v>33.261353995129213</v>
      </c>
      <c r="V29" s="51"/>
    </row>
    <row r="30" spans="3:22" x14ac:dyDescent="0.25">
      <c r="C30" s="618" t="s">
        <v>75</v>
      </c>
      <c r="D30" s="611">
        <v>10.946874257812501</v>
      </c>
      <c r="E30" s="611">
        <v>0</v>
      </c>
      <c r="F30" s="611">
        <v>16.710596754401365</v>
      </c>
      <c r="G30" s="611">
        <v>0</v>
      </c>
      <c r="H30" s="611">
        <v>5.0521769918695103</v>
      </c>
      <c r="I30" s="611">
        <v>0</v>
      </c>
      <c r="J30" s="611">
        <v>0</v>
      </c>
      <c r="K30" s="611">
        <v>0</v>
      </c>
      <c r="L30" s="611">
        <v>0</v>
      </c>
      <c r="M30" s="611">
        <v>0</v>
      </c>
      <c r="N30" s="611">
        <v>0</v>
      </c>
      <c r="O30" s="611">
        <v>0.15840158885399452</v>
      </c>
      <c r="P30" s="611">
        <v>0</v>
      </c>
      <c r="Q30" s="611">
        <v>0</v>
      </c>
      <c r="R30" s="611">
        <v>36.167228115189637</v>
      </c>
      <c r="S30" s="611">
        <v>0</v>
      </c>
      <c r="T30" s="611">
        <v>0</v>
      </c>
      <c r="U30" s="619">
        <v>69.035277708127012</v>
      </c>
      <c r="V30" s="51"/>
    </row>
    <row r="31" spans="3:22" x14ac:dyDescent="0.25">
      <c r="C31" s="618" t="s">
        <v>76</v>
      </c>
      <c r="D31" s="611">
        <v>0</v>
      </c>
      <c r="E31" s="611">
        <v>0</v>
      </c>
      <c r="F31" s="611">
        <v>0</v>
      </c>
      <c r="G31" s="611">
        <v>0</v>
      </c>
      <c r="H31" s="611">
        <v>4.6756407802011761</v>
      </c>
      <c r="I31" s="611">
        <v>0</v>
      </c>
      <c r="J31" s="611">
        <v>0</v>
      </c>
      <c r="K31" s="611">
        <v>0</v>
      </c>
      <c r="L31" s="611">
        <v>0</v>
      </c>
      <c r="M31" s="611">
        <v>0</v>
      </c>
      <c r="N31" s="611">
        <v>0</v>
      </c>
      <c r="O31" s="611">
        <v>0.14659599805911275</v>
      </c>
      <c r="P31" s="611">
        <v>0</v>
      </c>
      <c r="Q31" s="611">
        <v>0</v>
      </c>
      <c r="R31" s="611">
        <v>39.269238181283512</v>
      </c>
      <c r="S31" s="611">
        <v>4.1052644329851002</v>
      </c>
      <c r="T31" s="611">
        <v>0</v>
      </c>
      <c r="U31" s="619">
        <v>48.196739392528904</v>
      </c>
      <c r="V31" s="51"/>
    </row>
    <row r="32" spans="3:22" x14ac:dyDescent="0.25">
      <c r="C32" s="614" t="s">
        <v>77</v>
      </c>
      <c r="D32" s="615">
        <v>49.168025502693752</v>
      </c>
      <c r="E32" s="615">
        <v>466.98423367905923</v>
      </c>
      <c r="F32" s="615">
        <v>-434.13778138517438</v>
      </c>
      <c r="G32" s="615">
        <v>0</v>
      </c>
      <c r="H32" s="615">
        <v>80.16538096399627</v>
      </c>
      <c r="I32" s="615">
        <v>0</v>
      </c>
      <c r="J32" s="615">
        <v>1140.366181818182</v>
      </c>
      <c r="K32" s="615">
        <v>129.28342687103313</v>
      </c>
      <c r="L32" s="615">
        <v>166.65323617638174</v>
      </c>
      <c r="M32" s="615">
        <v>14.686384589346641</v>
      </c>
      <c r="N32" s="615">
        <v>-39.752871652473971</v>
      </c>
      <c r="O32" s="615">
        <v>-9.8510021810788295</v>
      </c>
      <c r="P32" s="615">
        <v>0</v>
      </c>
      <c r="Q32" s="615">
        <v>4.5867516655392571</v>
      </c>
      <c r="R32" s="615">
        <v>-477.97234240610248</v>
      </c>
      <c r="S32" s="615">
        <v>-48.836163474938729</v>
      </c>
      <c r="T32" s="615">
        <v>-0.19467997458663155</v>
      </c>
      <c r="U32" s="615">
        <v>1026.4304100420004</v>
      </c>
      <c r="V32" s="51"/>
    </row>
    <row r="33" spans="3:22" x14ac:dyDescent="0.25">
      <c r="C33" s="616"/>
      <c r="D33" s="617"/>
      <c r="E33" s="617"/>
      <c r="F33" s="617"/>
      <c r="G33" s="617"/>
      <c r="H33" s="623"/>
      <c r="I33" s="617"/>
      <c r="J33" s="617"/>
      <c r="K33" s="617"/>
      <c r="L33" s="617"/>
      <c r="M33" s="617">
        <v>51.755568203326483</v>
      </c>
      <c r="N33" s="685"/>
      <c r="O33" s="617"/>
      <c r="P33" s="617"/>
      <c r="Q33" s="617"/>
      <c r="R33" s="617"/>
      <c r="S33" s="617"/>
      <c r="T33" s="617"/>
      <c r="U33" s="617"/>
      <c r="V33" s="51"/>
    </row>
    <row r="34" spans="3:22" x14ac:dyDescent="0.25">
      <c r="C34" s="618" t="s">
        <v>78</v>
      </c>
      <c r="D34" s="611">
        <v>7.9413186748797537</v>
      </c>
      <c r="E34" s="611">
        <v>0</v>
      </c>
      <c r="F34" s="611">
        <v>24.58556457827742</v>
      </c>
      <c r="G34" s="681">
        <v>0</v>
      </c>
      <c r="H34" s="611">
        <v>106.46269210482863</v>
      </c>
      <c r="I34" s="611">
        <v>0</v>
      </c>
      <c r="J34" s="611">
        <v>0</v>
      </c>
      <c r="K34" s="611">
        <v>0</v>
      </c>
      <c r="L34" s="611">
        <v>16.189131828618617</v>
      </c>
      <c r="M34" s="611">
        <v>4.3951557484053358</v>
      </c>
      <c r="N34" s="611">
        <v>0.80765188840322466</v>
      </c>
      <c r="O34" s="611">
        <v>3.3600413653576289</v>
      </c>
      <c r="P34" s="611">
        <v>1.1782285156250001</v>
      </c>
      <c r="Q34" s="611">
        <v>4.5058902280570805E-4</v>
      </c>
      <c r="R34" s="611">
        <v>116.9789283234263</v>
      </c>
      <c r="S34" s="611">
        <v>19.371310464274025</v>
      </c>
      <c r="T34" s="611">
        <v>0.14256721496582031</v>
      </c>
      <c r="U34" s="619">
        <v>301.4130412960846</v>
      </c>
      <c r="V34" s="51"/>
    </row>
    <row r="35" spans="3:22" x14ac:dyDescent="0.25">
      <c r="C35" s="618" t="s">
        <v>79</v>
      </c>
      <c r="D35" s="611">
        <v>0</v>
      </c>
      <c r="E35" s="611">
        <v>0</v>
      </c>
      <c r="F35" s="611">
        <v>402.72984056723607</v>
      </c>
      <c r="G35" s="681">
        <v>0</v>
      </c>
      <c r="H35" s="611">
        <v>3.2947327285866459</v>
      </c>
      <c r="I35" s="611">
        <v>0</v>
      </c>
      <c r="J35" s="611">
        <v>0</v>
      </c>
      <c r="K35" s="611">
        <v>0</v>
      </c>
      <c r="L35" s="611">
        <v>0</v>
      </c>
      <c r="M35" s="611">
        <v>0</v>
      </c>
      <c r="N35" s="611">
        <v>38.928287288880362</v>
      </c>
      <c r="O35" s="611">
        <v>0.10330020106129746</v>
      </c>
      <c r="P35" s="611">
        <v>0</v>
      </c>
      <c r="Q35" s="611">
        <v>0</v>
      </c>
      <c r="R35" s="611">
        <v>13.235942007330815</v>
      </c>
      <c r="S35" s="611">
        <v>0</v>
      </c>
      <c r="T35" s="611">
        <v>1.404547929789267E-5</v>
      </c>
      <c r="U35" s="619">
        <v>458.29211683857454</v>
      </c>
      <c r="V35" s="51"/>
    </row>
    <row r="36" spans="3:22" x14ac:dyDescent="0.25">
      <c r="C36" s="618" t="s">
        <v>80</v>
      </c>
      <c r="D36" s="611">
        <v>0</v>
      </c>
      <c r="E36" s="611">
        <v>0</v>
      </c>
      <c r="F36" s="611">
        <v>36.484375278989795</v>
      </c>
      <c r="G36" s="681">
        <v>0</v>
      </c>
      <c r="H36" s="611">
        <v>126.12640192782258</v>
      </c>
      <c r="I36" s="611">
        <v>0</v>
      </c>
      <c r="J36" s="611">
        <v>0</v>
      </c>
      <c r="K36" s="611">
        <v>0</v>
      </c>
      <c r="L36" s="611">
        <v>76.103378653538968</v>
      </c>
      <c r="M36" s="611">
        <v>0</v>
      </c>
      <c r="N36" s="611">
        <v>0</v>
      </c>
      <c r="O36" s="611">
        <v>3.9544581462518629</v>
      </c>
      <c r="P36" s="611">
        <v>44.37948426229088</v>
      </c>
      <c r="Q36" s="611">
        <v>1.3166870284552927</v>
      </c>
      <c r="R36" s="611">
        <v>168.6890294604423</v>
      </c>
      <c r="S36" s="611">
        <v>17.27418079590494</v>
      </c>
      <c r="T36" s="611">
        <v>0</v>
      </c>
      <c r="U36" s="619">
        <v>474.32799555369661</v>
      </c>
      <c r="V36" s="51"/>
    </row>
    <row r="37" spans="3:22" x14ac:dyDescent="0.25">
      <c r="C37" s="618" t="s">
        <v>81</v>
      </c>
      <c r="D37" s="611">
        <v>0</v>
      </c>
      <c r="E37" s="611">
        <v>0</v>
      </c>
      <c r="F37" s="611">
        <v>25.235009092788182</v>
      </c>
      <c r="G37" s="681">
        <v>0</v>
      </c>
      <c r="H37" s="611">
        <v>68.270336816562192</v>
      </c>
      <c r="I37" s="611">
        <v>0</v>
      </c>
      <c r="J37" s="611">
        <v>0</v>
      </c>
      <c r="K37" s="611">
        <v>0</v>
      </c>
      <c r="L37" s="611">
        <v>0.36000000000000004</v>
      </c>
      <c r="M37" s="611">
        <v>0</v>
      </c>
      <c r="N37" s="611">
        <v>0</v>
      </c>
      <c r="O37" s="611">
        <v>2.1404891081100352</v>
      </c>
      <c r="P37" s="611">
        <v>15.024615016833675</v>
      </c>
      <c r="Q37" s="611">
        <v>1.7402178324474189</v>
      </c>
      <c r="R37" s="611">
        <v>130.24373408586075</v>
      </c>
      <c r="S37" s="611">
        <v>12.190672214759767</v>
      </c>
      <c r="T37" s="611">
        <v>0</v>
      </c>
      <c r="U37" s="619">
        <v>255.20507416736203</v>
      </c>
      <c r="V37" s="51"/>
    </row>
    <row r="38" spans="3:22" x14ac:dyDescent="0.25">
      <c r="C38" s="618" t="s">
        <v>82</v>
      </c>
      <c r="D38" s="611">
        <v>0</v>
      </c>
      <c r="E38" s="611">
        <v>0</v>
      </c>
      <c r="F38" s="611">
        <v>36.208653144479428</v>
      </c>
      <c r="G38" s="681">
        <v>0</v>
      </c>
      <c r="H38" s="611">
        <v>2.9146398893621868</v>
      </c>
      <c r="I38" s="611">
        <v>0</v>
      </c>
      <c r="J38" s="611">
        <v>0</v>
      </c>
      <c r="K38" s="611">
        <v>0</v>
      </c>
      <c r="L38" s="611">
        <v>0.94259459385793032</v>
      </c>
      <c r="M38" s="611">
        <v>0</v>
      </c>
      <c r="N38" s="611">
        <v>2.4260088754181774</v>
      </c>
      <c r="O38" s="611">
        <v>9.1383098841388691E-2</v>
      </c>
      <c r="P38" s="611">
        <v>0.15</v>
      </c>
      <c r="Q38" s="611">
        <v>0.25485200979833694</v>
      </c>
      <c r="R38" s="611">
        <v>7.5472247344695615</v>
      </c>
      <c r="S38" s="611">
        <v>0</v>
      </c>
      <c r="T38" s="611">
        <v>5.2098714141513347E-2</v>
      </c>
      <c r="U38" s="619">
        <v>50.587455060368519</v>
      </c>
      <c r="V38" s="51"/>
    </row>
    <row r="39" spans="3:22" x14ac:dyDescent="0.25">
      <c r="C39" s="618" t="s">
        <v>354</v>
      </c>
      <c r="D39" s="611">
        <v>0</v>
      </c>
      <c r="E39" s="611">
        <v>0</v>
      </c>
      <c r="F39" s="611">
        <v>0</v>
      </c>
      <c r="G39" s="611">
        <v>0</v>
      </c>
      <c r="H39" s="611">
        <v>0</v>
      </c>
      <c r="I39" s="611">
        <v>0</v>
      </c>
      <c r="J39" s="611">
        <v>0</v>
      </c>
      <c r="K39" s="611">
        <v>0</v>
      </c>
      <c r="L39" s="611">
        <v>0</v>
      </c>
      <c r="M39" s="611">
        <v>0</v>
      </c>
      <c r="N39" s="611">
        <v>0</v>
      </c>
      <c r="O39" s="611">
        <v>0</v>
      </c>
      <c r="P39" s="611">
        <v>0</v>
      </c>
      <c r="Q39" s="611">
        <v>0</v>
      </c>
      <c r="R39" s="611">
        <v>0</v>
      </c>
      <c r="S39" s="611">
        <v>0</v>
      </c>
      <c r="T39" s="611">
        <v>0</v>
      </c>
      <c r="U39" s="619">
        <v>0</v>
      </c>
      <c r="V39" s="51"/>
    </row>
    <row r="40" spans="3:22" x14ac:dyDescent="0.25">
      <c r="C40" s="614" t="s">
        <v>83</v>
      </c>
      <c r="D40" s="615">
        <v>7.9413186748797537</v>
      </c>
      <c r="E40" s="615">
        <v>0</v>
      </c>
      <c r="F40" s="615">
        <v>525.24344266177081</v>
      </c>
      <c r="G40" s="615">
        <v>0</v>
      </c>
      <c r="H40" s="615">
        <v>307.06880346716224</v>
      </c>
      <c r="I40" s="615">
        <v>0</v>
      </c>
      <c r="J40" s="615">
        <v>0</v>
      </c>
      <c r="K40" s="615">
        <v>0</v>
      </c>
      <c r="L40" s="615">
        <v>93.595105076015514</v>
      </c>
      <c r="M40" s="615">
        <v>4.3951557484053358</v>
      </c>
      <c r="N40" s="615">
        <v>42.16194805270176</v>
      </c>
      <c r="O40" s="615">
        <v>9.6496719196222127</v>
      </c>
      <c r="P40" s="615">
        <v>60.732327794749558</v>
      </c>
      <c r="Q40" s="615">
        <v>3.3122074597238544</v>
      </c>
      <c r="R40" s="615">
        <v>436.69485861152975</v>
      </c>
      <c r="S40" s="615">
        <v>48.836163474938729</v>
      </c>
      <c r="T40" s="615">
        <v>0.19467997458663155</v>
      </c>
      <c r="U40" s="615">
        <v>1539.8256829160862</v>
      </c>
      <c r="V40" s="51"/>
    </row>
    <row r="41" spans="3:22" x14ac:dyDescent="0.25">
      <c r="C41" s="610" t="s">
        <v>84</v>
      </c>
      <c r="D41" s="611">
        <v>0</v>
      </c>
      <c r="E41" s="611">
        <v>0</v>
      </c>
      <c r="F41" s="611">
        <v>135.20617101997868</v>
      </c>
      <c r="G41" s="611">
        <v>0.30641446337224754</v>
      </c>
      <c r="H41" s="611">
        <v>11.728401647658821</v>
      </c>
      <c r="I41" s="611">
        <v>0</v>
      </c>
      <c r="J41" s="611">
        <v>0</v>
      </c>
      <c r="K41" s="611">
        <v>0</v>
      </c>
      <c r="L41" s="611">
        <v>2.3560827414524088E-2</v>
      </c>
      <c r="M41" s="611">
        <v>0</v>
      </c>
      <c r="N41" s="611">
        <v>0.27149673632781923</v>
      </c>
      <c r="O41" s="611">
        <v>0.36199564843709231</v>
      </c>
      <c r="P41" s="611">
        <v>0</v>
      </c>
      <c r="Q41" s="611">
        <v>0</v>
      </c>
      <c r="R41" s="611">
        <v>0</v>
      </c>
      <c r="S41" s="611">
        <v>0</v>
      </c>
      <c r="T41" s="611">
        <v>0</v>
      </c>
      <c r="U41" s="619">
        <v>147.89804034318919</v>
      </c>
      <c r="V41" s="51"/>
    </row>
    <row r="42" spans="3:22" x14ac:dyDescent="0.25">
      <c r="C42" s="614" t="s">
        <v>85</v>
      </c>
      <c r="D42" s="615">
        <v>7.9413186748797537</v>
      </c>
      <c r="E42" s="615">
        <v>0</v>
      </c>
      <c r="F42" s="615">
        <v>660.4496136817495</v>
      </c>
      <c r="G42" s="615">
        <v>0.30641446337224754</v>
      </c>
      <c r="H42" s="615">
        <v>318.79720511482105</v>
      </c>
      <c r="I42" s="615">
        <v>0</v>
      </c>
      <c r="J42" s="615">
        <v>0</v>
      </c>
      <c r="K42" s="615">
        <v>0</v>
      </c>
      <c r="L42" s="615">
        <v>93.618665903430042</v>
      </c>
      <c r="M42" s="615">
        <v>4.3951557484053358</v>
      </c>
      <c r="N42" s="615">
        <v>42.433444789029579</v>
      </c>
      <c r="O42" s="615">
        <v>10.011667568059305</v>
      </c>
      <c r="P42" s="615">
        <v>60.732327794749558</v>
      </c>
      <c r="Q42" s="615">
        <v>3.3122074597238544</v>
      </c>
      <c r="R42" s="615">
        <v>436.69485861152975</v>
      </c>
      <c r="S42" s="615">
        <v>48.836163474938729</v>
      </c>
      <c r="T42" s="615">
        <v>0.19467997458663155</v>
      </c>
      <c r="U42" s="615">
        <v>1687.7237232592754</v>
      </c>
      <c r="V42" s="51"/>
    </row>
    <row r="43" spans="3:22" x14ac:dyDescent="0.25">
      <c r="C43" s="51"/>
      <c r="D43" s="67">
        <v>0</v>
      </c>
      <c r="E43" s="67">
        <v>4.2905679322302603E-5</v>
      </c>
      <c r="F43" s="67">
        <v>-3.876666666667461E-2</v>
      </c>
      <c r="G43" s="67">
        <v>0</v>
      </c>
      <c r="H43" s="67">
        <v>0</v>
      </c>
      <c r="I43" s="67">
        <v>0</v>
      </c>
      <c r="J43" s="67">
        <v>0</v>
      </c>
      <c r="K43" s="67">
        <v>0</v>
      </c>
      <c r="L43" s="67">
        <v>0</v>
      </c>
      <c r="M43" s="67">
        <v>-1.0072131549957675E-2</v>
      </c>
      <c r="N43" s="67">
        <v>0</v>
      </c>
      <c r="O43" s="67">
        <v>1.8318679906315083E-15</v>
      </c>
      <c r="P43" s="67">
        <v>0</v>
      </c>
      <c r="Q43" s="67">
        <v>0</v>
      </c>
      <c r="R43" s="67">
        <v>1.1368683772161603E-13</v>
      </c>
      <c r="S43" s="67">
        <v>0</v>
      </c>
      <c r="T43" s="67">
        <v>0</v>
      </c>
      <c r="U43" s="67">
        <v>-4.8795892537782493E-2</v>
      </c>
      <c r="V43" s="51"/>
    </row>
    <row r="44" spans="3:22" x14ac:dyDescent="0.25">
      <c r="C44" s="51"/>
      <c r="D44" s="51"/>
      <c r="E44" s="51"/>
      <c r="F44" s="51"/>
      <c r="G44" s="51"/>
      <c r="H44" s="51"/>
      <c r="I44" s="51"/>
      <c r="J44" s="51"/>
      <c r="K44" s="51"/>
      <c r="L44" s="51"/>
      <c r="M44" s="51"/>
      <c r="N44" s="51"/>
      <c r="O44" s="51"/>
      <c r="P44" s="51"/>
      <c r="Q44" s="51"/>
      <c r="R44" s="51"/>
      <c r="S44" s="51"/>
      <c r="T44" s="51"/>
      <c r="U44" s="51"/>
      <c r="V44" s="51"/>
    </row>
    <row r="45" spans="3:22" x14ac:dyDescent="0.25">
      <c r="C45" s="607" t="s">
        <v>87</v>
      </c>
      <c r="D45" s="606"/>
      <c r="E45" s="606"/>
      <c r="F45" s="606"/>
      <c r="G45" s="606"/>
      <c r="H45" s="606"/>
      <c r="I45" s="606"/>
      <c r="J45" s="606"/>
      <c r="K45" s="606"/>
      <c r="L45" s="606"/>
      <c r="M45" s="606"/>
      <c r="N45" s="606"/>
      <c r="O45" s="606"/>
      <c r="P45" s="606"/>
      <c r="Q45" s="606"/>
      <c r="R45" s="606"/>
      <c r="S45" s="606"/>
      <c r="T45" s="606"/>
      <c r="U45" s="606"/>
      <c r="V45" s="606"/>
    </row>
    <row r="46" spans="3:22" x14ac:dyDescent="0.25">
      <c r="C46" s="51"/>
      <c r="D46" s="51"/>
      <c r="E46" s="51"/>
      <c r="F46" s="51"/>
      <c r="G46" s="51"/>
      <c r="H46" s="51"/>
      <c r="I46" s="51"/>
      <c r="J46" s="51"/>
      <c r="K46" s="51"/>
      <c r="L46" s="51"/>
      <c r="M46" s="51"/>
      <c r="N46" s="51"/>
      <c r="O46" s="51"/>
      <c r="P46" s="51"/>
      <c r="Q46" s="51"/>
      <c r="R46" s="51"/>
      <c r="S46" s="51"/>
      <c r="T46" s="51"/>
      <c r="U46" s="51"/>
      <c r="V46" s="51"/>
    </row>
    <row r="47" spans="3:22" x14ac:dyDescent="0.25">
      <c r="C47" s="764" t="s">
        <v>128</v>
      </c>
      <c r="D47" s="753" t="s">
        <v>42</v>
      </c>
      <c r="E47" s="753" t="s">
        <v>52</v>
      </c>
      <c r="F47" s="753" t="s">
        <v>53</v>
      </c>
      <c r="G47" s="753" t="s">
        <v>482</v>
      </c>
      <c r="H47" s="753" t="s">
        <v>32</v>
      </c>
      <c r="I47" s="753" t="s">
        <v>483</v>
      </c>
      <c r="J47" s="753" t="s">
        <v>20</v>
      </c>
      <c r="K47" s="753" t="s">
        <v>55</v>
      </c>
      <c r="L47" s="761" t="s">
        <v>56</v>
      </c>
      <c r="M47" s="762"/>
      <c r="N47" s="762"/>
      <c r="O47" s="762"/>
      <c r="P47" s="762"/>
      <c r="Q47" s="763"/>
      <c r="R47" s="753" t="s">
        <v>57</v>
      </c>
      <c r="S47" s="753" t="s">
        <v>58</v>
      </c>
      <c r="T47" s="753" t="s">
        <v>31</v>
      </c>
      <c r="U47" s="753" t="s">
        <v>10</v>
      </c>
      <c r="V47" s="51"/>
    </row>
    <row r="48" spans="3:22" ht="36" x14ac:dyDescent="0.25">
      <c r="C48" s="765"/>
      <c r="D48" s="754"/>
      <c r="E48" s="754"/>
      <c r="F48" s="754"/>
      <c r="G48" s="754"/>
      <c r="H48" s="754"/>
      <c r="I48" s="754"/>
      <c r="J48" s="754"/>
      <c r="K48" s="754"/>
      <c r="L48" s="608" t="s">
        <v>335</v>
      </c>
      <c r="M48" s="608" t="s">
        <v>40</v>
      </c>
      <c r="N48" s="608" t="s">
        <v>343</v>
      </c>
      <c r="O48" s="608" t="s">
        <v>344</v>
      </c>
      <c r="P48" s="609" t="s">
        <v>345</v>
      </c>
      <c r="Q48" s="608" t="s">
        <v>346</v>
      </c>
      <c r="R48" s="754"/>
      <c r="S48" s="754"/>
      <c r="T48" s="754"/>
      <c r="U48" s="754"/>
      <c r="V48" s="51"/>
    </row>
    <row r="49" spans="3:22" x14ac:dyDescent="0.25">
      <c r="C49" s="610" t="s">
        <v>59</v>
      </c>
      <c r="D49" s="611">
        <v>0</v>
      </c>
      <c r="E49" s="611">
        <v>9.7691999999999997</v>
      </c>
      <c r="F49" s="611">
        <v>0</v>
      </c>
      <c r="G49" s="611">
        <v>0</v>
      </c>
      <c r="H49" s="611">
        <v>0.18608000000000002</v>
      </c>
      <c r="I49" s="611">
        <v>0</v>
      </c>
      <c r="J49" s="612">
        <v>1176.7122181818183</v>
      </c>
      <c r="K49" s="612">
        <v>152.240316784774</v>
      </c>
      <c r="L49" s="612">
        <v>260.60965775781284</v>
      </c>
      <c r="M49" s="612">
        <v>21.536820515952556</v>
      </c>
      <c r="N49" s="611">
        <v>1.8811575028002774</v>
      </c>
      <c r="O49" s="611">
        <v>0.15242099713737783</v>
      </c>
      <c r="P49" s="612">
        <v>73.6535592904129</v>
      </c>
      <c r="Q49" s="612">
        <v>9.6377161793686454</v>
      </c>
      <c r="R49" s="611">
        <v>0</v>
      </c>
      <c r="S49" s="611">
        <v>0</v>
      </c>
      <c r="T49" s="611">
        <v>0</v>
      </c>
      <c r="U49" s="613">
        <v>1706.3791472100768</v>
      </c>
      <c r="V49" s="51"/>
    </row>
    <row r="50" spans="3:22" x14ac:dyDescent="0.25">
      <c r="C50" s="610" t="s">
        <v>60</v>
      </c>
      <c r="D50" s="611">
        <v>44.373058103150619</v>
      </c>
      <c r="E50" s="611">
        <v>481.66804331592272</v>
      </c>
      <c r="F50" s="611">
        <v>257.89183464821372</v>
      </c>
      <c r="G50" s="611">
        <v>0.63498415981931611</v>
      </c>
      <c r="H50" s="611">
        <v>380.1537508983709</v>
      </c>
      <c r="I50" s="611">
        <v>0</v>
      </c>
      <c r="J50" s="611">
        <v>0</v>
      </c>
      <c r="K50" s="611">
        <v>0</v>
      </c>
      <c r="L50" s="611">
        <v>2.5596276020988169</v>
      </c>
      <c r="M50" s="611">
        <v>0</v>
      </c>
      <c r="N50" s="611">
        <v>3.8539533574131752</v>
      </c>
      <c r="O50" s="611">
        <v>0</v>
      </c>
      <c r="P50" s="611">
        <v>0</v>
      </c>
      <c r="Q50" s="611">
        <v>0</v>
      </c>
      <c r="R50" s="611">
        <v>0</v>
      </c>
      <c r="S50" s="611">
        <v>0</v>
      </c>
      <c r="T50" s="611">
        <v>0</v>
      </c>
      <c r="U50" s="613">
        <v>1171.1352520849894</v>
      </c>
      <c r="V50" s="51"/>
    </row>
    <row r="51" spans="3:22" x14ac:dyDescent="0.25">
      <c r="C51" s="610" t="s">
        <v>61</v>
      </c>
      <c r="D51" s="611">
        <v>0</v>
      </c>
      <c r="E51" s="611">
        <v>0</v>
      </c>
      <c r="F51" s="611">
        <v>5.1264434786982349</v>
      </c>
      <c r="G51" s="611">
        <v>0</v>
      </c>
      <c r="H51" s="611">
        <v>0</v>
      </c>
      <c r="I51" s="611">
        <v>0</v>
      </c>
      <c r="J51" s="611">
        <v>0</v>
      </c>
      <c r="K51" s="611">
        <v>0</v>
      </c>
      <c r="L51" s="611">
        <v>0</v>
      </c>
      <c r="M51" s="611">
        <v>0</v>
      </c>
      <c r="N51" s="611">
        <v>0</v>
      </c>
      <c r="O51" s="611">
        <v>0</v>
      </c>
      <c r="P51" s="611">
        <v>0</v>
      </c>
      <c r="Q51" s="611">
        <v>0</v>
      </c>
      <c r="R51" s="611">
        <v>-60.489748956404924</v>
      </c>
      <c r="S51" s="611">
        <v>0</v>
      </c>
      <c r="T51" s="611">
        <v>0</v>
      </c>
      <c r="U51" s="613">
        <v>-55.363305477706689</v>
      </c>
      <c r="V51" s="51"/>
    </row>
    <row r="52" spans="3:22" x14ac:dyDescent="0.25">
      <c r="C52" s="610" t="s">
        <v>62</v>
      </c>
      <c r="D52" s="611">
        <v>0</v>
      </c>
      <c r="E52" s="611">
        <v>0</v>
      </c>
      <c r="F52" s="611">
        <v>-16.009162442195709</v>
      </c>
      <c r="G52" s="611">
        <v>0</v>
      </c>
      <c r="H52" s="611">
        <v>-2.4856333304548865</v>
      </c>
      <c r="I52" s="611">
        <v>0</v>
      </c>
      <c r="J52" s="611">
        <v>0</v>
      </c>
      <c r="K52" s="611">
        <v>0</v>
      </c>
      <c r="L52" s="611">
        <v>0</v>
      </c>
      <c r="M52" s="611">
        <v>0</v>
      </c>
      <c r="N52" s="611">
        <v>-0.46030246860275681</v>
      </c>
      <c r="O52" s="611">
        <v>-0.27618148116165403</v>
      </c>
      <c r="P52" s="611">
        <v>0</v>
      </c>
      <c r="Q52" s="611">
        <v>0</v>
      </c>
      <c r="R52" s="611">
        <v>0</v>
      </c>
      <c r="S52" s="611">
        <v>0</v>
      </c>
      <c r="T52" s="611">
        <v>0</v>
      </c>
      <c r="U52" s="613">
        <v>-19.231279722415007</v>
      </c>
      <c r="V52" s="51"/>
    </row>
    <row r="53" spans="3:22" x14ac:dyDescent="0.25">
      <c r="C53" s="610" t="s">
        <v>63</v>
      </c>
      <c r="D53" s="611">
        <v>0</v>
      </c>
      <c r="E53" s="611">
        <v>0</v>
      </c>
      <c r="F53" s="611">
        <v>-68.811122445116922</v>
      </c>
      <c r="G53" s="611">
        <v>0</v>
      </c>
      <c r="H53" s="611">
        <v>0</v>
      </c>
      <c r="I53" s="611">
        <v>0</v>
      </c>
      <c r="J53" s="611">
        <v>0</v>
      </c>
      <c r="K53" s="611">
        <v>0</v>
      </c>
      <c r="L53" s="611">
        <v>0</v>
      </c>
      <c r="M53" s="611">
        <v>0</v>
      </c>
      <c r="N53" s="611">
        <v>-1.4327774571766247</v>
      </c>
      <c r="O53" s="611">
        <v>0</v>
      </c>
      <c r="P53" s="611">
        <v>0</v>
      </c>
      <c r="Q53" s="611">
        <v>0</v>
      </c>
      <c r="R53" s="611">
        <v>0</v>
      </c>
      <c r="S53" s="611">
        <v>0</v>
      </c>
      <c r="T53" s="611">
        <v>0</v>
      </c>
      <c r="U53" s="613">
        <v>-70.243899902293549</v>
      </c>
      <c r="V53" s="51"/>
    </row>
    <row r="54" spans="3:22" x14ac:dyDescent="0.25">
      <c r="C54" s="610" t="s">
        <v>64</v>
      </c>
      <c r="D54" s="611">
        <v>0</v>
      </c>
      <c r="E54" s="611">
        <v>0</v>
      </c>
      <c r="F54" s="611">
        <v>0</v>
      </c>
      <c r="G54" s="611">
        <v>0</v>
      </c>
      <c r="H54" s="611">
        <v>0</v>
      </c>
      <c r="I54" s="611">
        <v>0</v>
      </c>
      <c r="J54" s="611">
        <v>0</v>
      </c>
      <c r="K54" s="611">
        <v>0</v>
      </c>
      <c r="L54" s="611">
        <v>0</v>
      </c>
      <c r="M54" s="611">
        <v>0</v>
      </c>
      <c r="N54" s="611">
        <v>0</v>
      </c>
      <c r="O54" s="611">
        <v>0</v>
      </c>
      <c r="P54" s="611">
        <v>0</v>
      </c>
      <c r="Q54" s="611">
        <v>0</v>
      </c>
      <c r="R54" s="611">
        <v>0</v>
      </c>
      <c r="S54" s="611">
        <v>0</v>
      </c>
      <c r="T54" s="611">
        <v>0</v>
      </c>
      <c r="U54" s="613">
        <v>0</v>
      </c>
      <c r="V54" s="51"/>
    </row>
    <row r="55" spans="3:22" x14ac:dyDescent="0.25">
      <c r="C55" s="614" t="s">
        <v>65</v>
      </c>
      <c r="D55" s="615">
        <v>44.373058103150619</v>
      </c>
      <c r="E55" s="615">
        <v>491.43724331592273</v>
      </c>
      <c r="F55" s="615">
        <v>178.1979932395993</v>
      </c>
      <c r="G55" s="615">
        <v>0.63498415981931611</v>
      </c>
      <c r="H55" s="615">
        <v>377.854197567916</v>
      </c>
      <c r="I55" s="615">
        <v>0</v>
      </c>
      <c r="J55" s="615">
        <v>1176.7122181818183</v>
      </c>
      <c r="K55" s="615">
        <v>152.240316784774</v>
      </c>
      <c r="L55" s="615">
        <v>263.16928535991167</v>
      </c>
      <c r="M55" s="615">
        <v>21.536820515952556</v>
      </c>
      <c r="N55" s="615">
        <v>3.8420309344340713</v>
      </c>
      <c r="O55" s="615">
        <v>-0.1237604840242762</v>
      </c>
      <c r="P55" s="615">
        <v>73.6535592904129</v>
      </c>
      <c r="Q55" s="615">
        <v>9.6377161793686454</v>
      </c>
      <c r="R55" s="615">
        <v>-60.489748956404924</v>
      </c>
      <c r="S55" s="615">
        <v>0</v>
      </c>
      <c r="T55" s="615">
        <v>0</v>
      </c>
      <c r="U55" s="615">
        <v>2732.6759141926514</v>
      </c>
      <c r="V55" s="51"/>
    </row>
    <row r="56" spans="3:22" x14ac:dyDescent="0.25">
      <c r="C56" s="616"/>
      <c r="D56" s="617"/>
      <c r="E56" s="617"/>
      <c r="F56" s="617"/>
      <c r="G56" s="617"/>
      <c r="H56" s="623"/>
      <c r="I56" s="617"/>
      <c r="J56" s="617"/>
      <c r="K56" s="617"/>
      <c r="L56" s="617"/>
      <c r="M56" s="617"/>
      <c r="N56" s="617"/>
      <c r="O56" s="617"/>
      <c r="P56" s="617"/>
      <c r="Q56" s="617"/>
      <c r="R56" s="617"/>
      <c r="S56" s="617"/>
      <c r="T56" s="617"/>
      <c r="U56" s="617"/>
      <c r="V56" s="51"/>
    </row>
    <row r="57" spans="3:22" x14ac:dyDescent="0.25">
      <c r="C57" s="618" t="s">
        <v>67</v>
      </c>
      <c r="D57" s="611">
        <v>0</v>
      </c>
      <c r="E57" s="611">
        <v>0</v>
      </c>
      <c r="F57" s="611">
        <v>0</v>
      </c>
      <c r="G57" s="611">
        <v>0</v>
      </c>
      <c r="H57" s="611">
        <v>0</v>
      </c>
      <c r="I57" s="611">
        <v>0</v>
      </c>
      <c r="J57" s="611">
        <v>0</v>
      </c>
      <c r="K57" s="611">
        <v>0</v>
      </c>
      <c r="L57" s="611">
        <v>0</v>
      </c>
      <c r="M57" s="611">
        <v>0</v>
      </c>
      <c r="N57" s="611">
        <v>0</v>
      </c>
      <c r="O57" s="611">
        <v>0</v>
      </c>
      <c r="P57" s="611">
        <v>0</v>
      </c>
      <c r="Q57" s="611">
        <v>0</v>
      </c>
      <c r="R57" s="611">
        <v>0</v>
      </c>
      <c r="S57" s="611">
        <v>0</v>
      </c>
      <c r="T57" s="611">
        <v>0</v>
      </c>
      <c r="U57" s="619">
        <v>0</v>
      </c>
      <c r="V57" s="51"/>
    </row>
    <row r="58" spans="3:22" x14ac:dyDescent="0.25">
      <c r="C58" s="618" t="s">
        <v>347</v>
      </c>
      <c r="D58" s="611">
        <v>0</v>
      </c>
      <c r="E58" s="611">
        <v>0</v>
      </c>
      <c r="F58" s="611">
        <v>1.2480917967309697</v>
      </c>
      <c r="G58" s="611">
        <v>0</v>
      </c>
      <c r="H58" s="611">
        <v>57.424160241509412</v>
      </c>
      <c r="I58" s="611">
        <v>0</v>
      </c>
      <c r="J58" s="611">
        <v>1176.7122181818183</v>
      </c>
      <c r="K58" s="611">
        <v>152.240316784774</v>
      </c>
      <c r="L58" s="611">
        <v>29.464539912346233</v>
      </c>
      <c r="M58" s="611">
        <v>0.53702570490588419</v>
      </c>
      <c r="N58" s="611">
        <v>5.5512316182098811</v>
      </c>
      <c r="O58" s="611">
        <v>8.6970276246297633</v>
      </c>
      <c r="P58" s="611">
        <v>0</v>
      </c>
      <c r="Q58" s="611">
        <v>0.31861460974897526</v>
      </c>
      <c r="R58" s="611">
        <v>-593.24325752746222</v>
      </c>
      <c r="S58" s="611">
        <v>0</v>
      </c>
      <c r="T58" s="611">
        <v>0</v>
      </c>
      <c r="U58" s="619">
        <v>838.94996894721112</v>
      </c>
      <c r="V58" s="51"/>
    </row>
    <row r="59" spans="3:22" x14ac:dyDescent="0.25">
      <c r="C59" s="618" t="s">
        <v>348</v>
      </c>
      <c r="D59" s="611">
        <v>0.1931818181818182</v>
      </c>
      <c r="E59" s="611">
        <v>0</v>
      </c>
      <c r="F59" s="611">
        <v>0</v>
      </c>
      <c r="G59" s="611">
        <v>0</v>
      </c>
      <c r="H59" s="611">
        <v>18.315951760127422</v>
      </c>
      <c r="I59" s="611">
        <v>0</v>
      </c>
      <c r="J59" s="611">
        <v>0</v>
      </c>
      <c r="K59" s="611">
        <v>0</v>
      </c>
      <c r="L59" s="611">
        <v>25.822253090798153</v>
      </c>
      <c r="M59" s="611">
        <v>15.571242096737331</v>
      </c>
      <c r="N59" s="611">
        <v>0</v>
      </c>
      <c r="O59" s="611">
        <v>3.2447013158391997</v>
      </c>
      <c r="P59" s="611">
        <v>0</v>
      </c>
      <c r="Q59" s="611">
        <v>5.5183162241409365</v>
      </c>
      <c r="R59" s="611">
        <v>0</v>
      </c>
      <c r="S59" s="611">
        <v>-61.817543181572475</v>
      </c>
      <c r="T59" s="611">
        <v>0</v>
      </c>
      <c r="U59" s="619">
        <v>6.8481031242523756</v>
      </c>
      <c r="V59" s="51"/>
    </row>
    <row r="60" spans="3:22" x14ac:dyDescent="0.25">
      <c r="C60" s="618" t="s">
        <v>349</v>
      </c>
      <c r="D60" s="611">
        <v>0</v>
      </c>
      <c r="E60" s="611">
        <v>0</v>
      </c>
      <c r="F60" s="611">
        <v>0</v>
      </c>
      <c r="G60" s="611">
        <v>0</v>
      </c>
      <c r="H60" s="611">
        <v>0</v>
      </c>
      <c r="I60" s="611">
        <v>0</v>
      </c>
      <c r="J60" s="611">
        <v>0</v>
      </c>
      <c r="K60" s="611">
        <v>0</v>
      </c>
      <c r="L60" s="611">
        <v>30.318833911166291</v>
      </c>
      <c r="M60" s="611">
        <v>0</v>
      </c>
      <c r="N60" s="611">
        <v>0</v>
      </c>
      <c r="O60" s="611">
        <v>-28.138734319479617</v>
      </c>
      <c r="P60" s="611">
        <v>0</v>
      </c>
      <c r="Q60" s="611">
        <v>0</v>
      </c>
      <c r="R60" s="611">
        <v>0</v>
      </c>
      <c r="S60" s="611">
        <v>0</v>
      </c>
      <c r="T60" s="611">
        <v>0</v>
      </c>
      <c r="U60" s="619">
        <v>2.1800995916866732</v>
      </c>
      <c r="V60" s="51"/>
    </row>
    <row r="61" spans="3:22" x14ac:dyDescent="0.25">
      <c r="C61" s="618" t="s">
        <v>350</v>
      </c>
      <c r="D61" s="611">
        <v>0</v>
      </c>
      <c r="E61" s="611">
        <v>0</v>
      </c>
      <c r="F61" s="611">
        <v>0</v>
      </c>
      <c r="G61" s="611">
        <v>0</v>
      </c>
      <c r="H61" s="611">
        <v>0</v>
      </c>
      <c r="I61" s="611">
        <v>0</v>
      </c>
      <c r="J61" s="611">
        <v>0</v>
      </c>
      <c r="K61" s="611">
        <v>0</v>
      </c>
      <c r="L61" s="611">
        <v>0</v>
      </c>
      <c r="M61" s="611">
        <v>0</v>
      </c>
      <c r="N61" s="611">
        <v>0</v>
      </c>
      <c r="O61" s="611">
        <v>0</v>
      </c>
      <c r="P61" s="611">
        <v>0</v>
      </c>
      <c r="Q61" s="611">
        <v>0</v>
      </c>
      <c r="R61" s="611">
        <v>0</v>
      </c>
      <c r="S61" s="611">
        <v>0</v>
      </c>
      <c r="T61" s="611">
        <v>0</v>
      </c>
      <c r="U61" s="619">
        <v>0</v>
      </c>
      <c r="V61" s="51"/>
    </row>
    <row r="62" spans="3:22" x14ac:dyDescent="0.25">
      <c r="C62" s="618" t="s">
        <v>72</v>
      </c>
      <c r="D62" s="611">
        <v>0</v>
      </c>
      <c r="E62" s="611">
        <v>509.3424711498314</v>
      </c>
      <c r="F62" s="611">
        <v>-504.27468514640634</v>
      </c>
      <c r="G62" s="611">
        <v>0</v>
      </c>
      <c r="H62" s="611">
        <v>0</v>
      </c>
      <c r="I62" s="611">
        <v>0</v>
      </c>
      <c r="J62" s="611">
        <v>0</v>
      </c>
      <c r="K62" s="611">
        <v>0</v>
      </c>
      <c r="L62" s="611">
        <v>0</v>
      </c>
      <c r="M62" s="611">
        <v>0</v>
      </c>
      <c r="N62" s="611">
        <v>0</v>
      </c>
      <c r="O62" s="611">
        <v>0</v>
      </c>
      <c r="P62" s="611">
        <v>0</v>
      </c>
      <c r="Q62" s="611">
        <v>0</v>
      </c>
      <c r="R62" s="611">
        <v>0</v>
      </c>
      <c r="S62" s="611">
        <v>0</v>
      </c>
      <c r="T62" s="611">
        <v>0</v>
      </c>
      <c r="U62" s="619">
        <v>5.0677860034250557</v>
      </c>
      <c r="V62" s="51"/>
    </row>
    <row r="63" spans="3:22" x14ac:dyDescent="0.25">
      <c r="C63" s="618" t="s">
        <v>351</v>
      </c>
      <c r="D63" s="611">
        <v>0</v>
      </c>
      <c r="E63" s="611">
        <v>0</v>
      </c>
      <c r="F63" s="611">
        <v>0</v>
      </c>
      <c r="G63" s="611">
        <v>0</v>
      </c>
      <c r="H63" s="611">
        <v>0</v>
      </c>
      <c r="I63" s="611">
        <v>0</v>
      </c>
      <c r="J63" s="611">
        <v>0</v>
      </c>
      <c r="K63" s="611">
        <v>0</v>
      </c>
      <c r="L63" s="611">
        <v>87.247993585945125</v>
      </c>
      <c r="M63" s="611">
        <v>0</v>
      </c>
      <c r="N63" s="611">
        <v>-47.986396472269817</v>
      </c>
      <c r="O63" s="611">
        <v>0</v>
      </c>
      <c r="P63" s="611">
        <v>0</v>
      </c>
      <c r="Q63" s="611">
        <v>0</v>
      </c>
      <c r="R63" s="611">
        <v>0</v>
      </c>
      <c r="S63" s="611">
        <v>0</v>
      </c>
      <c r="T63" s="611">
        <v>0</v>
      </c>
      <c r="U63" s="619">
        <v>39.261597113675307</v>
      </c>
      <c r="V63" s="51"/>
    </row>
    <row r="64" spans="3:22" x14ac:dyDescent="0.25">
      <c r="C64" s="618" t="s">
        <v>352</v>
      </c>
      <c r="D64" s="611">
        <v>0</v>
      </c>
      <c r="E64" s="611">
        <v>0</v>
      </c>
      <c r="F64" s="611">
        <v>0</v>
      </c>
      <c r="G64" s="611">
        <v>0</v>
      </c>
      <c r="H64" s="611">
        <v>0</v>
      </c>
      <c r="I64" s="611">
        <v>0</v>
      </c>
      <c r="J64" s="611">
        <v>0</v>
      </c>
      <c r="K64" s="611">
        <v>0</v>
      </c>
      <c r="L64" s="611">
        <v>0</v>
      </c>
      <c r="M64" s="611">
        <v>0</v>
      </c>
      <c r="N64" s="611">
        <v>0</v>
      </c>
      <c r="O64" s="611">
        <v>0</v>
      </c>
      <c r="P64" s="611">
        <v>0</v>
      </c>
      <c r="Q64" s="611">
        <v>0</v>
      </c>
      <c r="R64" s="611">
        <v>0</v>
      </c>
      <c r="S64" s="611">
        <v>0</v>
      </c>
      <c r="T64" s="611">
        <v>0</v>
      </c>
      <c r="U64" s="619">
        <v>0</v>
      </c>
      <c r="V64" s="51"/>
    </row>
    <row r="65" spans="3:22" x14ac:dyDescent="0.25">
      <c r="C65" s="618" t="s">
        <v>73</v>
      </c>
      <c r="D65" s="611">
        <v>0</v>
      </c>
      <c r="E65" s="611">
        <v>0</v>
      </c>
      <c r="F65" s="611">
        <v>0</v>
      </c>
      <c r="G65" s="611">
        <v>0</v>
      </c>
      <c r="H65" s="611">
        <v>0</v>
      </c>
      <c r="I65" s="611">
        <v>0</v>
      </c>
      <c r="J65" s="611">
        <v>0</v>
      </c>
      <c r="K65" s="611">
        <v>0</v>
      </c>
      <c r="L65" s="611">
        <v>0</v>
      </c>
      <c r="M65" s="611">
        <v>0</v>
      </c>
      <c r="N65" s="611">
        <v>0</v>
      </c>
      <c r="O65" s="611">
        <v>0</v>
      </c>
      <c r="P65" s="611">
        <v>0</v>
      </c>
      <c r="Q65" s="611">
        <v>0</v>
      </c>
      <c r="R65" s="611">
        <v>1.5554055303907433</v>
      </c>
      <c r="S65" s="611">
        <v>0</v>
      </c>
      <c r="T65" s="611">
        <v>-1.0110135947539831</v>
      </c>
      <c r="U65" s="619">
        <v>0.54439193563676014</v>
      </c>
      <c r="V65" s="51"/>
    </row>
    <row r="66" spans="3:22" x14ac:dyDescent="0.25">
      <c r="C66" s="618" t="s">
        <v>353</v>
      </c>
      <c r="D66" s="611">
        <v>27.267752812500003</v>
      </c>
      <c r="E66" s="611">
        <v>-17.905227833908707</v>
      </c>
      <c r="F66" s="611">
        <v>23.291810631318608</v>
      </c>
      <c r="G66" s="611">
        <v>0</v>
      </c>
      <c r="H66" s="611">
        <v>0</v>
      </c>
      <c r="I66" s="611">
        <v>0</v>
      </c>
      <c r="J66" s="611">
        <v>0</v>
      </c>
      <c r="K66" s="611">
        <v>0</v>
      </c>
      <c r="L66" s="611">
        <v>0</v>
      </c>
      <c r="M66" s="611">
        <v>0</v>
      </c>
      <c r="N66" s="611">
        <v>0</v>
      </c>
      <c r="O66" s="611">
        <v>0</v>
      </c>
      <c r="P66" s="611">
        <v>0</v>
      </c>
      <c r="Q66" s="611">
        <v>0</v>
      </c>
      <c r="R66" s="611">
        <v>0</v>
      </c>
      <c r="S66" s="611">
        <v>0</v>
      </c>
      <c r="T66" s="611">
        <v>0</v>
      </c>
      <c r="U66" s="619">
        <v>32.654335609909907</v>
      </c>
      <c r="V66" s="51"/>
    </row>
    <row r="67" spans="3:22" x14ac:dyDescent="0.25">
      <c r="C67" s="618" t="s">
        <v>75</v>
      </c>
      <c r="D67" s="611">
        <v>10.604126093750002</v>
      </c>
      <c r="E67" s="611">
        <v>0</v>
      </c>
      <c r="F67" s="611">
        <v>17.554057596565926</v>
      </c>
      <c r="G67" s="611">
        <v>0</v>
      </c>
      <c r="H67" s="611">
        <v>5.487827419085181</v>
      </c>
      <c r="I67" s="611">
        <v>0</v>
      </c>
      <c r="J67" s="611">
        <v>0</v>
      </c>
      <c r="K67" s="611">
        <v>0</v>
      </c>
      <c r="L67" s="611">
        <v>0</v>
      </c>
      <c r="M67" s="611">
        <v>0</v>
      </c>
      <c r="N67" s="611">
        <v>0</v>
      </c>
      <c r="O67" s="611">
        <v>0.28883302205711481</v>
      </c>
      <c r="P67" s="611">
        <v>0</v>
      </c>
      <c r="Q67" s="611">
        <v>0</v>
      </c>
      <c r="R67" s="611">
        <v>42.752398557782683</v>
      </c>
      <c r="S67" s="611">
        <v>0</v>
      </c>
      <c r="T67" s="611">
        <v>0</v>
      </c>
      <c r="U67" s="619">
        <v>76.687242689240904</v>
      </c>
      <c r="V67" s="51"/>
    </row>
    <row r="68" spans="3:22" x14ac:dyDescent="0.25">
      <c r="C68" s="618" t="s">
        <v>76</v>
      </c>
      <c r="D68" s="611">
        <v>0</v>
      </c>
      <c r="E68" s="611">
        <v>0</v>
      </c>
      <c r="F68" s="611">
        <v>0</v>
      </c>
      <c r="G68" s="611">
        <v>0</v>
      </c>
      <c r="H68" s="611">
        <v>4.4087945268140754</v>
      </c>
      <c r="I68" s="611">
        <v>0</v>
      </c>
      <c r="J68" s="611">
        <v>0</v>
      </c>
      <c r="K68" s="611">
        <v>0</v>
      </c>
      <c r="L68" s="611">
        <v>0</v>
      </c>
      <c r="M68" s="611">
        <v>0</v>
      </c>
      <c r="N68" s="611">
        <v>0</v>
      </c>
      <c r="O68" s="611">
        <v>0.2320418172007408</v>
      </c>
      <c r="P68" s="611">
        <v>0</v>
      </c>
      <c r="Q68" s="611">
        <v>0</v>
      </c>
      <c r="R68" s="611">
        <v>40.810219514948187</v>
      </c>
      <c r="S68" s="611">
        <v>4.7944270454303304</v>
      </c>
      <c r="T68" s="611">
        <v>0</v>
      </c>
      <c r="U68" s="619">
        <v>50.245482904393334</v>
      </c>
      <c r="V68" s="51"/>
    </row>
    <row r="69" spans="3:22" x14ac:dyDescent="0.25">
      <c r="C69" s="614" t="s">
        <v>77</v>
      </c>
      <c r="D69" s="615">
        <v>38.065060724431824</v>
      </c>
      <c r="E69" s="615">
        <v>491.43724331592267</v>
      </c>
      <c r="F69" s="615">
        <v>-462.18072512179083</v>
      </c>
      <c r="G69" s="615">
        <v>0</v>
      </c>
      <c r="H69" s="615">
        <v>85.636733947536086</v>
      </c>
      <c r="I69" s="615">
        <v>0</v>
      </c>
      <c r="J69" s="615">
        <v>1176.7122181818183</v>
      </c>
      <c r="K69" s="615">
        <v>152.240316784774</v>
      </c>
      <c r="L69" s="615">
        <v>172.8536205002558</v>
      </c>
      <c r="M69" s="615">
        <v>16.108267801643215</v>
      </c>
      <c r="N69" s="615">
        <v>-42.435164854059934</v>
      </c>
      <c r="O69" s="615">
        <v>-15.676130539752798</v>
      </c>
      <c r="P69" s="615">
        <v>0</v>
      </c>
      <c r="Q69" s="615">
        <v>5.8369308338899115</v>
      </c>
      <c r="R69" s="615">
        <v>-508.12523392434053</v>
      </c>
      <c r="S69" s="615">
        <v>-57.023116136142143</v>
      </c>
      <c r="T69" s="615">
        <v>-1.0110135947539831</v>
      </c>
      <c r="U69" s="615">
        <v>1052.4390079194316</v>
      </c>
      <c r="V69" s="51"/>
    </row>
    <row r="70" spans="3:22" x14ac:dyDescent="0.25">
      <c r="C70" s="616"/>
      <c r="D70" s="617"/>
      <c r="E70" s="617"/>
      <c r="F70" s="617"/>
      <c r="G70" s="617"/>
      <c r="H70" s="623"/>
      <c r="I70" s="617"/>
      <c r="J70" s="617"/>
      <c r="K70" s="617"/>
      <c r="L70" s="617"/>
      <c r="M70" s="617"/>
      <c r="N70" s="617"/>
      <c r="O70" s="617"/>
      <c r="P70" s="617"/>
      <c r="Q70" s="617"/>
      <c r="R70" s="617"/>
      <c r="S70" s="617"/>
      <c r="T70" s="617"/>
      <c r="U70" s="617"/>
      <c r="V70" s="51"/>
    </row>
    <row r="71" spans="3:22" x14ac:dyDescent="0.25">
      <c r="C71" s="618" t="s">
        <v>78</v>
      </c>
      <c r="D71" s="611">
        <v>6.3079973787187962</v>
      </c>
      <c r="E71" s="611">
        <v>0</v>
      </c>
      <c r="F71" s="611">
        <v>21.669942218787114</v>
      </c>
      <c r="G71" s="681">
        <v>0</v>
      </c>
      <c r="H71" s="611">
        <v>102.6617635637746</v>
      </c>
      <c r="I71" s="611">
        <v>0</v>
      </c>
      <c r="J71" s="611">
        <v>0</v>
      </c>
      <c r="K71" s="611">
        <v>0</v>
      </c>
      <c r="L71" s="611">
        <v>18.096562918466454</v>
      </c>
      <c r="M71" s="611">
        <v>5.427937458160871</v>
      </c>
      <c r="N71" s="611">
        <v>0.8476478513209047</v>
      </c>
      <c r="O71" s="611">
        <v>5.4267911970332632</v>
      </c>
      <c r="P71" s="611">
        <v>2.4387543945312502</v>
      </c>
      <c r="Q71" s="611">
        <v>4.7991131198633983E-4</v>
      </c>
      <c r="R71" s="611">
        <v>128.0707707310485</v>
      </c>
      <c r="S71" s="611">
        <v>19.852648297903425</v>
      </c>
      <c r="T71" s="611">
        <v>0.5635193481445312</v>
      </c>
      <c r="U71" s="619">
        <v>311.36481526920176</v>
      </c>
      <c r="V71" s="51"/>
    </row>
    <row r="72" spans="3:22" x14ac:dyDescent="0.25">
      <c r="C72" s="618" t="s">
        <v>79</v>
      </c>
      <c r="D72" s="611">
        <v>0</v>
      </c>
      <c r="E72" s="611">
        <v>0</v>
      </c>
      <c r="F72" s="611">
        <v>405.6747609386457</v>
      </c>
      <c r="G72" s="681">
        <v>0</v>
      </c>
      <c r="H72" s="611">
        <v>4.0775382013137236</v>
      </c>
      <c r="I72" s="611">
        <v>0</v>
      </c>
      <c r="J72" s="611">
        <v>0</v>
      </c>
      <c r="K72" s="611">
        <v>0</v>
      </c>
      <c r="L72" s="611">
        <v>0</v>
      </c>
      <c r="M72" s="611">
        <v>0</v>
      </c>
      <c r="N72" s="611">
        <v>42.098104263639655</v>
      </c>
      <c r="O72" s="611">
        <v>0.21460727375335389</v>
      </c>
      <c r="P72" s="611">
        <v>0</v>
      </c>
      <c r="Q72" s="611">
        <v>0</v>
      </c>
      <c r="R72" s="611">
        <v>16.304325769708704</v>
      </c>
      <c r="S72" s="611">
        <v>0</v>
      </c>
      <c r="T72" s="611">
        <v>0</v>
      </c>
      <c r="U72" s="619">
        <v>468.36933644706113</v>
      </c>
      <c r="V72" s="51"/>
    </row>
    <row r="73" spans="3:22" x14ac:dyDescent="0.25">
      <c r="C73" s="618" t="s">
        <v>80</v>
      </c>
      <c r="D73" s="611">
        <v>0</v>
      </c>
      <c r="E73" s="611">
        <v>0</v>
      </c>
      <c r="F73" s="611">
        <v>24.373858785220854</v>
      </c>
      <c r="G73" s="681">
        <v>0</v>
      </c>
      <c r="H73" s="611">
        <v>108.46334828028886</v>
      </c>
      <c r="I73" s="611">
        <v>0</v>
      </c>
      <c r="J73" s="611">
        <v>0</v>
      </c>
      <c r="K73" s="611">
        <v>0</v>
      </c>
      <c r="L73" s="611">
        <v>70.323676853398695</v>
      </c>
      <c r="M73" s="611">
        <v>0</v>
      </c>
      <c r="N73" s="611">
        <v>0</v>
      </c>
      <c r="O73" s="611">
        <v>5.7085972779099405</v>
      </c>
      <c r="P73" s="611">
        <v>51.588449054022554</v>
      </c>
      <c r="Q73" s="611">
        <v>1.4653773673998376</v>
      </c>
      <c r="R73" s="611">
        <v>168.01959458902522</v>
      </c>
      <c r="S73" s="611">
        <v>23.209710288069441</v>
      </c>
      <c r="T73" s="611">
        <v>0</v>
      </c>
      <c r="U73" s="619">
        <v>453.15261249533535</v>
      </c>
      <c r="V73" s="51"/>
    </row>
    <row r="74" spans="3:22" x14ac:dyDescent="0.25">
      <c r="C74" s="618" t="s">
        <v>81</v>
      </c>
      <c r="D74" s="611">
        <v>0</v>
      </c>
      <c r="E74" s="611">
        <v>0</v>
      </c>
      <c r="F74" s="611">
        <v>18.955073126944075</v>
      </c>
      <c r="G74" s="681">
        <v>0</v>
      </c>
      <c r="H74" s="611">
        <v>60.867860276109241</v>
      </c>
      <c r="I74" s="611">
        <v>0</v>
      </c>
      <c r="J74" s="611">
        <v>0</v>
      </c>
      <c r="K74" s="611">
        <v>0</v>
      </c>
      <c r="L74" s="611">
        <v>0.46648924043058942</v>
      </c>
      <c r="M74" s="611">
        <v>0</v>
      </c>
      <c r="N74" s="611">
        <v>0</v>
      </c>
      <c r="O74" s="611">
        <v>3.2035715934794342</v>
      </c>
      <c r="P74" s="611">
        <v>19.376355841859095</v>
      </c>
      <c r="Q74" s="611">
        <v>1.9742667541400529</v>
      </c>
      <c r="R74" s="611">
        <v>127.92853513720873</v>
      </c>
      <c r="S74" s="611">
        <v>13.960757550169284</v>
      </c>
      <c r="T74" s="611">
        <v>0</v>
      </c>
      <c r="U74" s="619">
        <v>246.73290952034048</v>
      </c>
      <c r="V74" s="51"/>
    </row>
    <row r="75" spans="3:22" x14ac:dyDescent="0.25">
      <c r="C75" s="618" t="s">
        <v>82</v>
      </c>
      <c r="D75" s="611">
        <v>0</v>
      </c>
      <c r="E75" s="611">
        <v>0</v>
      </c>
      <c r="F75" s="611">
        <v>34.907892644785463</v>
      </c>
      <c r="G75" s="681">
        <v>0</v>
      </c>
      <c r="H75" s="611">
        <v>2.6658937538885108</v>
      </c>
      <c r="I75" s="611">
        <v>0</v>
      </c>
      <c r="J75" s="611">
        <v>0</v>
      </c>
      <c r="K75" s="611">
        <v>0</v>
      </c>
      <c r="L75" s="611">
        <v>1.3784255803477652</v>
      </c>
      <c r="M75" s="611">
        <v>0</v>
      </c>
      <c r="N75" s="611">
        <v>2.687574286548855</v>
      </c>
      <c r="O75" s="611">
        <v>0.14031019757307953</v>
      </c>
      <c r="P75" s="611">
        <v>0.25</v>
      </c>
      <c r="Q75" s="611">
        <v>0.36066131262685786</v>
      </c>
      <c r="R75" s="611">
        <v>7.3122587409445634</v>
      </c>
      <c r="S75" s="611">
        <v>0</v>
      </c>
      <c r="T75" s="611">
        <v>8.6831190235855574E-2</v>
      </c>
      <c r="U75" s="619">
        <v>49.789847706950951</v>
      </c>
      <c r="V75" s="51"/>
    </row>
    <row r="76" spans="3:22" x14ac:dyDescent="0.25">
      <c r="C76" s="618" t="s">
        <v>354</v>
      </c>
      <c r="D76" s="611">
        <v>0</v>
      </c>
      <c r="E76" s="611">
        <v>0</v>
      </c>
      <c r="F76" s="611">
        <v>0</v>
      </c>
      <c r="G76" s="681">
        <v>0</v>
      </c>
      <c r="H76" s="611">
        <v>0</v>
      </c>
      <c r="I76" s="611">
        <v>0</v>
      </c>
      <c r="J76" s="611">
        <v>0</v>
      </c>
      <c r="K76" s="611">
        <v>0</v>
      </c>
      <c r="L76" s="611">
        <v>0</v>
      </c>
      <c r="M76" s="611">
        <v>0</v>
      </c>
      <c r="N76" s="611">
        <v>0</v>
      </c>
      <c r="O76" s="611">
        <v>0</v>
      </c>
      <c r="P76" s="611">
        <v>0</v>
      </c>
      <c r="Q76" s="611">
        <v>0</v>
      </c>
      <c r="R76" s="611">
        <v>0</v>
      </c>
      <c r="S76" s="611">
        <v>0</v>
      </c>
      <c r="T76" s="611">
        <v>0</v>
      </c>
      <c r="U76" s="619">
        <v>0</v>
      </c>
      <c r="V76" s="51"/>
    </row>
    <row r="77" spans="3:22" x14ac:dyDescent="0.25">
      <c r="C77" s="614" t="s">
        <v>83</v>
      </c>
      <c r="D77" s="615">
        <v>6.3079973787187962</v>
      </c>
      <c r="E77" s="615">
        <v>0</v>
      </c>
      <c r="F77" s="615">
        <v>505.58152771438324</v>
      </c>
      <c r="G77" s="615">
        <v>0</v>
      </c>
      <c r="H77" s="615">
        <v>278.73640407537494</v>
      </c>
      <c r="I77" s="615">
        <v>0</v>
      </c>
      <c r="J77" s="615">
        <v>0</v>
      </c>
      <c r="K77" s="615">
        <v>0</v>
      </c>
      <c r="L77" s="615">
        <v>90.265154592643498</v>
      </c>
      <c r="M77" s="615">
        <v>5.427937458160871</v>
      </c>
      <c r="N77" s="615">
        <v>45.633326401509414</v>
      </c>
      <c r="O77" s="615">
        <v>14.693877539749071</v>
      </c>
      <c r="P77" s="615">
        <v>73.6535592904129</v>
      </c>
      <c r="Q77" s="615">
        <v>3.8007853454787348</v>
      </c>
      <c r="R77" s="615">
        <v>447.63548496793572</v>
      </c>
      <c r="S77" s="615">
        <v>57.02311613614215</v>
      </c>
      <c r="T77" s="615">
        <v>0.65035053838038681</v>
      </c>
      <c r="U77" s="615">
        <v>1529.4095214388897</v>
      </c>
      <c r="V77" s="51"/>
    </row>
    <row r="78" spans="3:22" x14ac:dyDescent="0.25">
      <c r="C78" s="610" t="s">
        <v>84</v>
      </c>
      <c r="D78" s="611">
        <v>0</v>
      </c>
      <c r="E78" s="611">
        <v>0</v>
      </c>
      <c r="F78" s="611">
        <v>134.79719064700697</v>
      </c>
      <c r="G78" s="611">
        <v>0.63498415981931611</v>
      </c>
      <c r="H78" s="611">
        <v>13.481059545005067</v>
      </c>
      <c r="I78" s="611">
        <v>0</v>
      </c>
      <c r="J78" s="611">
        <v>0</v>
      </c>
      <c r="K78" s="611">
        <v>0</v>
      </c>
      <c r="L78" s="611">
        <v>5.0510267012356475E-2</v>
      </c>
      <c r="M78" s="611">
        <v>0</v>
      </c>
      <c r="N78" s="611">
        <v>0.64386938698459384</v>
      </c>
      <c r="O78" s="611">
        <v>0.85849251597945853</v>
      </c>
      <c r="P78" s="611">
        <v>0</v>
      </c>
      <c r="Q78" s="611">
        <v>0</v>
      </c>
      <c r="R78" s="611">
        <v>0</v>
      </c>
      <c r="S78" s="611">
        <v>0</v>
      </c>
      <c r="T78" s="611">
        <v>0.36066305637359619</v>
      </c>
      <c r="U78" s="619">
        <v>150.82676957818137</v>
      </c>
      <c r="V78" s="51"/>
    </row>
    <row r="79" spans="3:22" x14ac:dyDescent="0.25">
      <c r="C79" s="614" t="s">
        <v>85</v>
      </c>
      <c r="D79" s="615">
        <v>6.3079973787187962</v>
      </c>
      <c r="E79" s="615">
        <v>0</v>
      </c>
      <c r="F79" s="615">
        <v>640.37871836139016</v>
      </c>
      <c r="G79" s="615">
        <v>0.63498415981931611</v>
      </c>
      <c r="H79" s="615">
        <v>292.21746362037999</v>
      </c>
      <c r="I79" s="615">
        <v>0</v>
      </c>
      <c r="J79" s="615">
        <v>0</v>
      </c>
      <c r="K79" s="615">
        <v>0</v>
      </c>
      <c r="L79" s="615">
        <v>90.315664859655854</v>
      </c>
      <c r="M79" s="615">
        <v>5.427937458160871</v>
      </c>
      <c r="N79" s="615">
        <v>46.277195788494005</v>
      </c>
      <c r="O79" s="615">
        <v>15.552370055728529</v>
      </c>
      <c r="P79" s="615">
        <v>73.6535592904129</v>
      </c>
      <c r="Q79" s="615">
        <v>3.8007853454787348</v>
      </c>
      <c r="R79" s="615">
        <v>447.63548496793572</v>
      </c>
      <c r="S79" s="615">
        <v>57.02311613614215</v>
      </c>
      <c r="T79" s="615">
        <v>1.0110135947539831</v>
      </c>
      <c r="U79" s="615">
        <v>1680.2362910170709</v>
      </c>
      <c r="V79" s="51"/>
    </row>
    <row r="80" spans="3:22" x14ac:dyDescent="0.25">
      <c r="C80" s="51"/>
      <c r="D80" s="67">
        <v>0</v>
      </c>
      <c r="E80" s="67">
        <v>0</v>
      </c>
      <c r="F80" s="67">
        <v>0</v>
      </c>
      <c r="G80" s="67">
        <v>0</v>
      </c>
      <c r="H80" s="67">
        <v>0</v>
      </c>
      <c r="I80" s="67">
        <v>0</v>
      </c>
      <c r="J80" s="67">
        <v>0</v>
      </c>
      <c r="K80" s="67">
        <v>0</v>
      </c>
      <c r="L80" s="67">
        <v>0</v>
      </c>
      <c r="M80" s="67">
        <v>-6.1525614847113275E-4</v>
      </c>
      <c r="N80" s="67">
        <v>0</v>
      </c>
      <c r="O80" s="67">
        <v>7.6605388699135801E-15</v>
      </c>
      <c r="P80" s="67">
        <v>0</v>
      </c>
      <c r="Q80" s="67">
        <v>0</v>
      </c>
      <c r="R80" s="67">
        <v>1.1368683772161603E-13</v>
      </c>
      <c r="S80" s="67">
        <v>7.1054273576010019E-15</v>
      </c>
      <c r="T80" s="67">
        <v>0</v>
      </c>
      <c r="U80" s="67">
        <v>-6.1525614910351578E-4</v>
      </c>
      <c r="V80" s="51"/>
    </row>
    <row r="81" spans="3:22" x14ac:dyDescent="0.25">
      <c r="C81" s="51"/>
      <c r="D81" s="51"/>
      <c r="E81" s="51"/>
      <c r="F81" s="51"/>
      <c r="G81" s="51"/>
      <c r="H81" s="51"/>
      <c r="I81" s="51"/>
      <c r="J81" s="51"/>
      <c r="K81" s="51"/>
      <c r="L81" s="51"/>
      <c r="M81" s="51"/>
      <c r="N81" s="51"/>
      <c r="O81" s="51"/>
      <c r="P81" s="51"/>
      <c r="Q81" s="51"/>
      <c r="R81" s="51"/>
      <c r="S81" s="51"/>
      <c r="T81" s="51"/>
      <c r="U81" s="51"/>
      <c r="V81" s="51"/>
    </row>
    <row r="82" spans="3:22" x14ac:dyDescent="0.25">
      <c r="C82" s="607" t="s">
        <v>356</v>
      </c>
      <c r="D82" s="606"/>
      <c r="E82" s="606"/>
      <c r="F82" s="606"/>
      <c r="G82" s="606"/>
      <c r="H82" s="606"/>
      <c r="I82" s="606"/>
      <c r="J82" s="606"/>
      <c r="K82" s="606"/>
      <c r="L82" s="606"/>
      <c r="M82" s="606"/>
      <c r="N82" s="606"/>
      <c r="O82" s="606"/>
      <c r="P82" s="606"/>
      <c r="Q82" s="606"/>
      <c r="R82" s="606"/>
      <c r="S82" s="606"/>
      <c r="T82" s="606"/>
      <c r="U82" s="606"/>
      <c r="V82" s="606"/>
    </row>
    <row r="83" spans="3:22" x14ac:dyDescent="0.25">
      <c r="C83" s="51"/>
      <c r="D83" s="51"/>
      <c r="E83" s="51"/>
      <c r="F83" s="51"/>
      <c r="G83" s="51"/>
      <c r="H83" s="51"/>
      <c r="I83" s="51"/>
      <c r="J83" s="51"/>
      <c r="K83" s="51"/>
      <c r="L83" s="51"/>
      <c r="M83" s="51"/>
      <c r="N83" s="51"/>
      <c r="O83" s="51"/>
      <c r="P83" s="51"/>
      <c r="Q83" s="51"/>
      <c r="R83" s="51"/>
      <c r="S83" s="51"/>
      <c r="T83" s="51"/>
      <c r="U83" s="51"/>
      <c r="V83" s="51"/>
    </row>
    <row r="84" spans="3:22" x14ac:dyDescent="0.25">
      <c r="C84" s="764" t="s">
        <v>128</v>
      </c>
      <c r="D84" s="753" t="s">
        <v>42</v>
      </c>
      <c r="E84" s="753" t="s">
        <v>52</v>
      </c>
      <c r="F84" s="753" t="s">
        <v>53</v>
      </c>
      <c r="G84" s="753" t="s">
        <v>482</v>
      </c>
      <c r="H84" s="753" t="s">
        <v>32</v>
      </c>
      <c r="I84" s="753" t="s">
        <v>483</v>
      </c>
      <c r="J84" s="753" t="s">
        <v>20</v>
      </c>
      <c r="K84" s="753" t="s">
        <v>55</v>
      </c>
      <c r="L84" s="761" t="s">
        <v>56</v>
      </c>
      <c r="M84" s="762"/>
      <c r="N84" s="762"/>
      <c r="O84" s="762"/>
      <c r="P84" s="762"/>
      <c r="Q84" s="763"/>
      <c r="R84" s="753" t="s">
        <v>57</v>
      </c>
      <c r="S84" s="753" t="s">
        <v>58</v>
      </c>
      <c r="T84" s="753" t="s">
        <v>31</v>
      </c>
      <c r="U84" s="753" t="s">
        <v>10</v>
      </c>
      <c r="V84" s="51"/>
    </row>
    <row r="85" spans="3:22" ht="36" x14ac:dyDescent="0.25">
      <c r="C85" s="765"/>
      <c r="D85" s="754"/>
      <c r="E85" s="754"/>
      <c r="F85" s="754"/>
      <c r="G85" s="754"/>
      <c r="H85" s="754"/>
      <c r="I85" s="754"/>
      <c r="J85" s="754"/>
      <c r="K85" s="754"/>
      <c r="L85" s="608" t="s">
        <v>335</v>
      </c>
      <c r="M85" s="608" t="s">
        <v>40</v>
      </c>
      <c r="N85" s="608" t="s">
        <v>343</v>
      </c>
      <c r="O85" s="608" t="s">
        <v>344</v>
      </c>
      <c r="P85" s="609" t="s">
        <v>345</v>
      </c>
      <c r="Q85" s="608" t="s">
        <v>346</v>
      </c>
      <c r="R85" s="754"/>
      <c r="S85" s="754"/>
      <c r="T85" s="754"/>
      <c r="U85" s="754"/>
      <c r="V85" s="51"/>
    </row>
    <row r="86" spans="3:22" x14ac:dyDescent="0.25">
      <c r="C86" s="610" t="s">
        <v>59</v>
      </c>
      <c r="D86" s="611">
        <v>0</v>
      </c>
      <c r="E86" s="611">
        <v>9.7691999999999997</v>
      </c>
      <c r="F86" s="611">
        <v>0</v>
      </c>
      <c r="G86" s="611">
        <v>0</v>
      </c>
      <c r="H86" s="611">
        <v>0.18608000000000002</v>
      </c>
      <c r="I86" s="611">
        <v>0</v>
      </c>
      <c r="J86" s="612">
        <v>1166.5108</v>
      </c>
      <c r="K86" s="612">
        <v>184.63272900914501</v>
      </c>
      <c r="L86" s="612">
        <v>276.87651998358922</v>
      </c>
      <c r="M86" s="612">
        <v>22.595200708209269</v>
      </c>
      <c r="N86" s="611">
        <v>1.6018700034195554</v>
      </c>
      <c r="O86" s="611">
        <v>0.1425306035599459</v>
      </c>
      <c r="P86" s="612">
        <v>93.999711398496828</v>
      </c>
      <c r="Q86" s="612">
        <v>11.153838680556316</v>
      </c>
      <c r="R86" s="611">
        <v>0</v>
      </c>
      <c r="S86" s="611">
        <v>0</v>
      </c>
      <c r="T86" s="611">
        <v>0</v>
      </c>
      <c r="U86" s="613">
        <v>1767.4684803869764</v>
      </c>
      <c r="V86" s="51"/>
    </row>
    <row r="87" spans="3:22" x14ac:dyDescent="0.25">
      <c r="C87" s="610" t="s">
        <v>60</v>
      </c>
      <c r="D87" s="611">
        <v>31.301876280181485</v>
      </c>
      <c r="E87" s="611">
        <v>431.3069280451549</v>
      </c>
      <c r="F87" s="611">
        <v>218.34853312151634</v>
      </c>
      <c r="G87" s="611">
        <v>0.60008119727305109</v>
      </c>
      <c r="H87" s="611">
        <v>321.22423053040757</v>
      </c>
      <c r="I87" s="611">
        <v>0</v>
      </c>
      <c r="J87" s="611">
        <v>0</v>
      </c>
      <c r="K87" s="611">
        <v>0</v>
      </c>
      <c r="L87" s="611">
        <v>2.543202703318971</v>
      </c>
      <c r="M87" s="611">
        <v>0</v>
      </c>
      <c r="N87" s="611">
        <v>3.5846628553643418</v>
      </c>
      <c r="O87" s="611">
        <v>0</v>
      </c>
      <c r="P87" s="611">
        <v>0</v>
      </c>
      <c r="Q87" s="611">
        <v>0</v>
      </c>
      <c r="R87" s="611">
        <v>0</v>
      </c>
      <c r="S87" s="611">
        <v>0</v>
      </c>
      <c r="T87" s="611">
        <v>0</v>
      </c>
      <c r="U87" s="613">
        <v>1008.9095147332167</v>
      </c>
      <c r="V87" s="51"/>
    </row>
    <row r="88" spans="3:22" x14ac:dyDescent="0.25">
      <c r="C88" s="610" t="s">
        <v>61</v>
      </c>
      <c r="D88" s="611">
        <v>0</v>
      </c>
      <c r="E88" s="611">
        <v>0</v>
      </c>
      <c r="F88" s="611">
        <v>5.0801704900323443</v>
      </c>
      <c r="G88" s="611">
        <v>0</v>
      </c>
      <c r="H88" s="611">
        <v>0</v>
      </c>
      <c r="I88" s="611">
        <v>0</v>
      </c>
      <c r="J88" s="611">
        <v>0</v>
      </c>
      <c r="K88" s="611">
        <v>0</v>
      </c>
      <c r="L88" s="611">
        <v>0</v>
      </c>
      <c r="M88" s="611">
        <v>0</v>
      </c>
      <c r="N88" s="611">
        <v>0</v>
      </c>
      <c r="O88" s="611">
        <v>0</v>
      </c>
      <c r="P88" s="611">
        <v>0</v>
      </c>
      <c r="Q88" s="611">
        <v>0</v>
      </c>
      <c r="R88" s="611">
        <v>-58.079741378677454</v>
      </c>
      <c r="S88" s="611">
        <v>0</v>
      </c>
      <c r="T88" s="611">
        <v>0</v>
      </c>
      <c r="U88" s="613">
        <v>-52.99957088864511</v>
      </c>
      <c r="V88" s="51"/>
    </row>
    <row r="89" spans="3:22" x14ac:dyDescent="0.25">
      <c r="C89" s="610" t="s">
        <v>62</v>
      </c>
      <c r="D89" s="611">
        <v>0</v>
      </c>
      <c r="E89" s="611">
        <v>0</v>
      </c>
      <c r="F89" s="611">
        <v>-14.462234437358957</v>
      </c>
      <c r="G89" s="611">
        <v>-3.4845806923438902E-2</v>
      </c>
      <c r="H89" s="611">
        <v>-2.4571855704098158</v>
      </c>
      <c r="I89" s="611">
        <v>-0.38128741609807487</v>
      </c>
      <c r="J89" s="611">
        <v>0</v>
      </c>
      <c r="K89" s="611">
        <v>0</v>
      </c>
      <c r="L89" s="611">
        <v>0</v>
      </c>
      <c r="M89" s="611">
        <v>0</v>
      </c>
      <c r="N89" s="611">
        <v>-0.67550051473591077</v>
      </c>
      <c r="O89" s="611">
        <v>-0.69196605143724688</v>
      </c>
      <c r="P89" s="611">
        <v>0</v>
      </c>
      <c r="Q89" s="611">
        <v>0</v>
      </c>
      <c r="R89" s="611">
        <v>0</v>
      </c>
      <c r="S89" s="611">
        <v>0</v>
      </c>
      <c r="T89" s="611">
        <v>-7.9015435200541731E-2</v>
      </c>
      <c r="U89" s="613">
        <v>-18.782035232163988</v>
      </c>
      <c r="V89" s="51"/>
    </row>
    <row r="90" spans="3:22" x14ac:dyDescent="0.25">
      <c r="C90" s="610" t="s">
        <v>63</v>
      </c>
      <c r="D90" s="611">
        <v>0</v>
      </c>
      <c r="E90" s="611">
        <v>0</v>
      </c>
      <c r="F90" s="611">
        <v>-68.83733538679644</v>
      </c>
      <c r="G90" s="611">
        <v>-0.53809644100531673</v>
      </c>
      <c r="H90" s="611">
        <v>0</v>
      </c>
      <c r="I90" s="611">
        <v>0</v>
      </c>
      <c r="J90" s="611">
        <v>0</v>
      </c>
      <c r="K90" s="611">
        <v>0</v>
      </c>
      <c r="L90" s="611">
        <v>0</v>
      </c>
      <c r="M90" s="611">
        <v>0</v>
      </c>
      <c r="N90" s="611">
        <v>-2.7254967468919165</v>
      </c>
      <c r="O90" s="611">
        <v>0</v>
      </c>
      <c r="P90" s="611">
        <v>0</v>
      </c>
      <c r="Q90" s="611">
        <v>0</v>
      </c>
      <c r="R90" s="611">
        <v>0</v>
      </c>
      <c r="S90" s="611">
        <v>0</v>
      </c>
      <c r="T90" s="611">
        <v>0</v>
      </c>
      <c r="U90" s="613">
        <v>-72.100928574693683</v>
      </c>
      <c r="V90" s="51"/>
    </row>
    <row r="91" spans="3:22" x14ac:dyDescent="0.25">
      <c r="C91" s="610" t="s">
        <v>64</v>
      </c>
      <c r="D91" s="611">
        <v>0</v>
      </c>
      <c r="E91" s="611">
        <v>0</v>
      </c>
      <c r="F91" s="611">
        <v>0</v>
      </c>
      <c r="G91" s="611">
        <v>0</v>
      </c>
      <c r="H91" s="611">
        <v>0</v>
      </c>
      <c r="I91" s="611">
        <v>0</v>
      </c>
      <c r="J91" s="611">
        <v>0</v>
      </c>
      <c r="K91" s="611">
        <v>0</v>
      </c>
      <c r="L91" s="611">
        <v>0</v>
      </c>
      <c r="M91" s="611">
        <v>0</v>
      </c>
      <c r="N91" s="611">
        <v>0</v>
      </c>
      <c r="O91" s="611">
        <v>0</v>
      </c>
      <c r="P91" s="611">
        <v>0</v>
      </c>
      <c r="Q91" s="611">
        <v>0</v>
      </c>
      <c r="R91" s="611">
        <v>0</v>
      </c>
      <c r="S91" s="611">
        <v>0</v>
      </c>
      <c r="T91" s="611">
        <v>0</v>
      </c>
      <c r="U91" s="613">
        <v>0</v>
      </c>
      <c r="V91" s="51"/>
    </row>
    <row r="92" spans="3:22" x14ac:dyDescent="0.25">
      <c r="C92" s="614" t="s">
        <v>65</v>
      </c>
      <c r="D92" s="615">
        <v>31.301876280181485</v>
      </c>
      <c r="E92" s="615">
        <v>441.07612804515492</v>
      </c>
      <c r="F92" s="615">
        <v>140.1291337873933</v>
      </c>
      <c r="G92" s="615">
        <v>2.7138949344295504E-2</v>
      </c>
      <c r="H92" s="615">
        <v>318.95312495999775</v>
      </c>
      <c r="I92" s="615">
        <v>-0.38128741609807487</v>
      </c>
      <c r="J92" s="615">
        <v>1166.5108</v>
      </c>
      <c r="K92" s="615">
        <v>184.63272900914501</v>
      </c>
      <c r="L92" s="615">
        <v>279.41972268690819</v>
      </c>
      <c r="M92" s="615">
        <v>22.595200708209269</v>
      </c>
      <c r="N92" s="615">
        <v>1.7855355971560702</v>
      </c>
      <c r="O92" s="615">
        <v>-0.54943544787730092</v>
      </c>
      <c r="P92" s="615">
        <v>93.999711398496828</v>
      </c>
      <c r="Q92" s="615">
        <v>11.153838680556316</v>
      </c>
      <c r="R92" s="615">
        <v>-58.079741378677454</v>
      </c>
      <c r="S92" s="615">
        <v>0</v>
      </c>
      <c r="T92" s="615">
        <v>-7.9015435200541731E-2</v>
      </c>
      <c r="U92" s="615">
        <v>2632.4954604246905</v>
      </c>
      <c r="V92" s="51"/>
    </row>
    <row r="93" spans="3:22" x14ac:dyDescent="0.25">
      <c r="C93" s="616"/>
      <c r="D93" s="617"/>
      <c r="E93" s="617"/>
      <c r="F93" s="617"/>
      <c r="G93" s="617"/>
      <c r="H93" s="623"/>
      <c r="I93" s="617"/>
      <c r="J93" s="617"/>
      <c r="K93" s="617"/>
      <c r="L93" s="617"/>
      <c r="M93" s="617"/>
      <c r="N93" s="617"/>
      <c r="O93" s="617"/>
      <c r="P93" s="617"/>
      <c r="Q93" s="617"/>
      <c r="R93" s="617"/>
      <c r="S93" s="617"/>
      <c r="T93" s="617"/>
      <c r="U93" s="617"/>
      <c r="V93" s="51"/>
    </row>
    <row r="94" spans="3:22" x14ac:dyDescent="0.25">
      <c r="C94" s="618" t="s">
        <v>67</v>
      </c>
      <c r="D94" s="611">
        <v>0</v>
      </c>
      <c r="E94" s="611">
        <v>0</v>
      </c>
      <c r="F94" s="611">
        <v>0</v>
      </c>
      <c r="G94" s="611">
        <v>0</v>
      </c>
      <c r="H94" s="611">
        <v>0</v>
      </c>
      <c r="I94" s="611">
        <v>0</v>
      </c>
      <c r="J94" s="611">
        <v>0</v>
      </c>
      <c r="K94" s="611">
        <v>0</v>
      </c>
      <c r="L94" s="611">
        <v>0</v>
      </c>
      <c r="M94" s="611">
        <v>0</v>
      </c>
      <c r="N94" s="611">
        <v>0</v>
      </c>
      <c r="O94" s="611">
        <v>0</v>
      </c>
      <c r="P94" s="611">
        <v>0</v>
      </c>
      <c r="Q94" s="611">
        <v>0</v>
      </c>
      <c r="R94" s="611">
        <v>0</v>
      </c>
      <c r="S94" s="611">
        <v>0</v>
      </c>
      <c r="T94" s="611">
        <v>0</v>
      </c>
      <c r="U94" s="619">
        <v>0</v>
      </c>
      <c r="V94" s="51"/>
    </row>
    <row r="95" spans="3:22" x14ac:dyDescent="0.25">
      <c r="C95" s="618" t="s">
        <v>347</v>
      </c>
      <c r="D95" s="611">
        <v>0</v>
      </c>
      <c r="E95" s="611">
        <v>0</v>
      </c>
      <c r="F95" s="611">
        <v>0.96641953755106458</v>
      </c>
      <c r="G95" s="611">
        <v>0</v>
      </c>
      <c r="H95" s="611">
        <v>52.050434872915119</v>
      </c>
      <c r="I95" s="611">
        <v>0</v>
      </c>
      <c r="J95" s="611">
        <v>1166.5108</v>
      </c>
      <c r="K95" s="611">
        <v>184.63272900914501</v>
      </c>
      <c r="L95" s="611">
        <v>26.677595214964605</v>
      </c>
      <c r="M95" s="611">
        <v>0.55064217621670641</v>
      </c>
      <c r="N95" s="611">
        <v>4.867247129818443</v>
      </c>
      <c r="O95" s="611">
        <v>8.7182186826352783</v>
      </c>
      <c r="P95" s="611">
        <v>0</v>
      </c>
      <c r="Q95" s="611">
        <v>0.1274458438995901</v>
      </c>
      <c r="R95" s="611">
        <v>-629.80771639017132</v>
      </c>
      <c r="S95" s="611">
        <v>0</v>
      </c>
      <c r="T95" s="611">
        <v>0</v>
      </c>
      <c r="U95" s="619">
        <v>815.29381607697462</v>
      </c>
      <c r="V95" s="51"/>
    </row>
    <row r="96" spans="3:22" x14ac:dyDescent="0.25">
      <c r="C96" s="618" t="s">
        <v>348</v>
      </c>
      <c r="D96" s="611">
        <v>7.7272727272727285E-2</v>
      </c>
      <c r="E96" s="611">
        <v>0</v>
      </c>
      <c r="F96" s="611">
        <v>0</v>
      </c>
      <c r="G96" s="611">
        <v>0</v>
      </c>
      <c r="H96" s="611">
        <v>17.37614402819009</v>
      </c>
      <c r="I96" s="611">
        <v>0</v>
      </c>
      <c r="J96" s="611">
        <v>0</v>
      </c>
      <c r="K96" s="611">
        <v>0</v>
      </c>
      <c r="L96" s="611">
        <v>29.912445840454509</v>
      </c>
      <c r="M96" s="611">
        <v>15.413020016365111</v>
      </c>
      <c r="N96" s="611">
        <v>0</v>
      </c>
      <c r="O96" s="611">
        <v>3.8271587204301016</v>
      </c>
      <c r="P96" s="611">
        <v>0</v>
      </c>
      <c r="Q96" s="611">
        <v>6.5304573938093151</v>
      </c>
      <c r="R96" s="611">
        <v>0</v>
      </c>
      <c r="S96" s="611">
        <v>-66.269653387904668</v>
      </c>
      <c r="T96" s="611">
        <v>0</v>
      </c>
      <c r="U96" s="619">
        <v>6.8668453386171819</v>
      </c>
      <c r="V96" s="51"/>
    </row>
    <row r="97" spans="3:22" x14ac:dyDescent="0.25">
      <c r="C97" s="618" t="s">
        <v>349</v>
      </c>
      <c r="D97" s="611">
        <v>0</v>
      </c>
      <c r="E97" s="611">
        <v>0</v>
      </c>
      <c r="F97" s="611">
        <v>0</v>
      </c>
      <c r="G97" s="611">
        <v>0</v>
      </c>
      <c r="H97" s="611">
        <v>0</v>
      </c>
      <c r="I97" s="611">
        <v>0</v>
      </c>
      <c r="J97" s="611">
        <v>0</v>
      </c>
      <c r="K97" s="611">
        <v>0</v>
      </c>
      <c r="L97" s="611">
        <v>47.912506455541511</v>
      </c>
      <c r="M97" s="611">
        <v>0</v>
      </c>
      <c r="N97" s="611">
        <v>0</v>
      </c>
      <c r="O97" s="611">
        <v>-43.840589216993259</v>
      </c>
      <c r="P97" s="611">
        <v>0</v>
      </c>
      <c r="Q97" s="611">
        <v>0</v>
      </c>
      <c r="R97" s="611">
        <v>0</v>
      </c>
      <c r="S97" s="611">
        <v>0</v>
      </c>
      <c r="T97" s="611">
        <v>0</v>
      </c>
      <c r="U97" s="619">
        <v>4.0719172385482523</v>
      </c>
      <c r="V97" s="51"/>
    </row>
    <row r="98" spans="3:22" x14ac:dyDescent="0.25">
      <c r="C98" s="618" t="s">
        <v>350</v>
      </c>
      <c r="D98" s="611">
        <v>0</v>
      </c>
      <c r="E98" s="611">
        <v>0</v>
      </c>
      <c r="F98" s="611">
        <v>0</v>
      </c>
      <c r="G98" s="611">
        <v>0</v>
      </c>
      <c r="H98" s="611">
        <v>0</v>
      </c>
      <c r="I98" s="611">
        <v>-0.38128741609807487</v>
      </c>
      <c r="J98" s="611">
        <v>0</v>
      </c>
      <c r="K98" s="611">
        <v>0</v>
      </c>
      <c r="L98" s="611">
        <v>0</v>
      </c>
      <c r="M98" s="611">
        <v>0</v>
      </c>
      <c r="N98" s="611">
        <v>0</v>
      </c>
      <c r="O98" s="611">
        <v>0</v>
      </c>
      <c r="P98" s="611">
        <v>0</v>
      </c>
      <c r="Q98" s="611">
        <v>0</v>
      </c>
      <c r="R98" s="611">
        <v>0</v>
      </c>
      <c r="S98" s="611">
        <v>0</v>
      </c>
      <c r="T98" s="611">
        <v>0.52956585569177073</v>
      </c>
      <c r="U98" s="619">
        <v>0.14827843959369585</v>
      </c>
      <c r="V98" s="51"/>
    </row>
    <row r="99" spans="3:22" x14ac:dyDescent="0.25">
      <c r="C99" s="618" t="s">
        <v>72</v>
      </c>
      <c r="D99" s="611">
        <v>0</v>
      </c>
      <c r="E99" s="611">
        <v>457.13684783073364</v>
      </c>
      <c r="F99" s="611">
        <v>-452.58756146236686</v>
      </c>
      <c r="G99" s="611">
        <v>0</v>
      </c>
      <c r="H99" s="611">
        <v>0</v>
      </c>
      <c r="I99" s="611">
        <v>0</v>
      </c>
      <c r="J99" s="611">
        <v>0</v>
      </c>
      <c r="K99" s="611">
        <v>0</v>
      </c>
      <c r="L99" s="611">
        <v>0</v>
      </c>
      <c r="M99" s="611">
        <v>0</v>
      </c>
      <c r="N99" s="611">
        <v>0</v>
      </c>
      <c r="O99" s="611">
        <v>0</v>
      </c>
      <c r="P99" s="611">
        <v>0</v>
      </c>
      <c r="Q99" s="611">
        <v>0</v>
      </c>
      <c r="R99" s="611">
        <v>0</v>
      </c>
      <c r="S99" s="611">
        <v>0</v>
      </c>
      <c r="T99" s="611">
        <v>0</v>
      </c>
      <c r="U99" s="619">
        <v>4.5492863683667792</v>
      </c>
      <c r="V99" s="51"/>
    </row>
    <row r="100" spans="3:22" x14ac:dyDescent="0.25">
      <c r="C100" s="618" t="s">
        <v>351</v>
      </c>
      <c r="D100" s="611">
        <v>0</v>
      </c>
      <c r="E100" s="611">
        <v>0</v>
      </c>
      <c r="F100" s="611">
        <v>0</v>
      </c>
      <c r="G100" s="611">
        <v>0</v>
      </c>
      <c r="H100" s="611">
        <v>0</v>
      </c>
      <c r="I100" s="611">
        <v>0</v>
      </c>
      <c r="J100" s="611">
        <v>0</v>
      </c>
      <c r="K100" s="611">
        <v>0</v>
      </c>
      <c r="L100" s="611">
        <v>88.186804829360256</v>
      </c>
      <c r="M100" s="611">
        <v>0</v>
      </c>
      <c r="N100" s="611">
        <v>-48.502742656148136</v>
      </c>
      <c r="O100" s="611">
        <v>0</v>
      </c>
      <c r="P100" s="611">
        <v>0</v>
      </c>
      <c r="Q100" s="611">
        <v>0</v>
      </c>
      <c r="R100" s="611">
        <v>0</v>
      </c>
      <c r="S100" s="611">
        <v>0</v>
      </c>
      <c r="T100" s="611">
        <v>0</v>
      </c>
      <c r="U100" s="619">
        <v>39.684062173212119</v>
      </c>
      <c r="V100" s="51"/>
    </row>
    <row r="101" spans="3:22" x14ac:dyDescent="0.25">
      <c r="C101" s="618" t="s">
        <v>352</v>
      </c>
      <c r="D101" s="611">
        <v>0</v>
      </c>
      <c r="E101" s="611">
        <v>0</v>
      </c>
      <c r="F101" s="611">
        <v>0</v>
      </c>
      <c r="G101" s="611">
        <v>-1.2093925948448314</v>
      </c>
      <c r="H101" s="611">
        <v>0</v>
      </c>
      <c r="I101" s="611">
        <v>0</v>
      </c>
      <c r="J101" s="611">
        <v>0</v>
      </c>
      <c r="K101" s="611">
        <v>0</v>
      </c>
      <c r="L101" s="611">
        <v>0</v>
      </c>
      <c r="M101" s="611">
        <v>0</v>
      </c>
      <c r="N101" s="611">
        <v>0</v>
      </c>
      <c r="O101" s="611">
        <v>0</v>
      </c>
      <c r="P101" s="611">
        <v>0</v>
      </c>
      <c r="Q101" s="611">
        <v>0</v>
      </c>
      <c r="R101" s="611">
        <v>0</v>
      </c>
      <c r="S101" s="611">
        <v>0</v>
      </c>
      <c r="T101" s="611">
        <v>1.5838980746607199</v>
      </c>
      <c r="U101" s="619">
        <v>0.37450547981588844</v>
      </c>
      <c r="V101" s="51"/>
    </row>
    <row r="102" spans="3:22" x14ac:dyDescent="0.25">
      <c r="C102" s="618" t="s">
        <v>73</v>
      </c>
      <c r="D102" s="611">
        <v>0</v>
      </c>
      <c r="E102" s="611">
        <v>0</v>
      </c>
      <c r="F102" s="611">
        <v>0</v>
      </c>
      <c r="G102" s="611">
        <v>0</v>
      </c>
      <c r="H102" s="611">
        <v>0</v>
      </c>
      <c r="I102" s="611">
        <v>0</v>
      </c>
      <c r="J102" s="611">
        <v>0</v>
      </c>
      <c r="K102" s="611">
        <v>0</v>
      </c>
      <c r="L102" s="611">
        <v>0</v>
      </c>
      <c r="M102" s="611">
        <v>0</v>
      </c>
      <c r="N102" s="611">
        <v>0</v>
      </c>
      <c r="O102" s="611">
        <v>0</v>
      </c>
      <c r="P102" s="611">
        <v>0</v>
      </c>
      <c r="Q102" s="611">
        <v>0</v>
      </c>
      <c r="R102" s="611">
        <v>8.9250291014933829</v>
      </c>
      <c r="S102" s="611">
        <v>0</v>
      </c>
      <c r="T102" s="611">
        <v>-5.8012689159706987</v>
      </c>
      <c r="U102" s="619">
        <v>3.1237601855226842</v>
      </c>
      <c r="V102" s="51"/>
    </row>
    <row r="103" spans="3:22" x14ac:dyDescent="0.25">
      <c r="C103" s="618" t="s">
        <v>353</v>
      </c>
      <c r="D103" s="611">
        <v>19.229370468750002</v>
      </c>
      <c r="E103" s="611">
        <v>-16.060719785578666</v>
      </c>
      <c r="F103" s="611">
        <v>20.896944027815795</v>
      </c>
      <c r="G103" s="611">
        <v>0</v>
      </c>
      <c r="H103" s="611">
        <v>0</v>
      </c>
      <c r="I103" s="611">
        <v>0</v>
      </c>
      <c r="J103" s="611">
        <v>0</v>
      </c>
      <c r="K103" s="611">
        <v>0</v>
      </c>
      <c r="L103" s="611">
        <v>0</v>
      </c>
      <c r="M103" s="611">
        <v>0</v>
      </c>
      <c r="N103" s="611">
        <v>0</v>
      </c>
      <c r="O103" s="611">
        <v>0</v>
      </c>
      <c r="P103" s="611">
        <v>0</v>
      </c>
      <c r="Q103" s="611">
        <v>0</v>
      </c>
      <c r="R103" s="611">
        <v>0</v>
      </c>
      <c r="S103" s="611">
        <v>0</v>
      </c>
      <c r="T103" s="611">
        <v>0</v>
      </c>
      <c r="U103" s="619">
        <v>24.065594710987131</v>
      </c>
      <c r="V103" s="51"/>
    </row>
    <row r="104" spans="3:22" x14ac:dyDescent="0.25">
      <c r="C104" s="618" t="s">
        <v>75</v>
      </c>
      <c r="D104" s="611">
        <v>7.478088515625001</v>
      </c>
      <c r="E104" s="611">
        <v>0</v>
      </c>
      <c r="F104" s="611">
        <v>15.746271144073498</v>
      </c>
      <c r="G104" s="611">
        <v>0</v>
      </c>
      <c r="H104" s="611">
        <v>5.0333610057426457</v>
      </c>
      <c r="I104" s="611">
        <v>0</v>
      </c>
      <c r="J104" s="611">
        <v>0</v>
      </c>
      <c r="K104" s="611">
        <v>0</v>
      </c>
      <c r="L104" s="611">
        <v>0</v>
      </c>
      <c r="M104" s="611">
        <v>0</v>
      </c>
      <c r="N104" s="611">
        <v>0</v>
      </c>
      <c r="O104" s="611">
        <v>0.62210079846257416</v>
      </c>
      <c r="P104" s="611">
        <v>0</v>
      </c>
      <c r="Q104" s="611">
        <v>0</v>
      </c>
      <c r="R104" s="611">
        <v>50.974899955786924</v>
      </c>
      <c r="S104" s="611">
        <v>0</v>
      </c>
      <c r="T104" s="611">
        <v>0</v>
      </c>
      <c r="U104" s="619">
        <v>79.854721419690648</v>
      </c>
      <c r="V104" s="51"/>
    </row>
    <row r="105" spans="3:22" x14ac:dyDescent="0.25">
      <c r="C105" s="618" t="s">
        <v>76</v>
      </c>
      <c r="D105" s="611">
        <v>0</v>
      </c>
      <c r="E105" s="611">
        <v>0</v>
      </c>
      <c r="F105" s="611">
        <v>0</v>
      </c>
      <c r="G105" s="611">
        <v>0</v>
      </c>
      <c r="H105" s="611">
        <v>3.6622366930957471</v>
      </c>
      <c r="I105" s="611">
        <v>0</v>
      </c>
      <c r="J105" s="611">
        <v>0</v>
      </c>
      <c r="K105" s="611">
        <v>0</v>
      </c>
      <c r="L105" s="611">
        <v>0</v>
      </c>
      <c r="M105" s="611">
        <v>0</v>
      </c>
      <c r="N105" s="611">
        <v>0</v>
      </c>
      <c r="O105" s="611">
        <v>0.45263599577587882</v>
      </c>
      <c r="P105" s="611">
        <v>0</v>
      </c>
      <c r="Q105" s="611">
        <v>0</v>
      </c>
      <c r="R105" s="611">
        <v>43.790254357145905</v>
      </c>
      <c r="S105" s="611">
        <v>5.1395304123886776</v>
      </c>
      <c r="T105" s="611">
        <v>0</v>
      </c>
      <c r="U105" s="619">
        <v>53.044657458406213</v>
      </c>
      <c r="V105" s="51"/>
    </row>
    <row r="106" spans="3:22" x14ac:dyDescent="0.25">
      <c r="C106" s="614" t="s">
        <v>77</v>
      </c>
      <c r="D106" s="615">
        <v>26.78473171164773</v>
      </c>
      <c r="E106" s="615">
        <v>441.07612804515497</v>
      </c>
      <c r="F106" s="615">
        <v>-414.97792675292652</v>
      </c>
      <c r="G106" s="615">
        <v>-1.2093925948448314</v>
      </c>
      <c r="H106" s="615">
        <v>78.122176599943614</v>
      </c>
      <c r="I106" s="615">
        <v>-0.38128741609807487</v>
      </c>
      <c r="J106" s="615">
        <v>1166.5108</v>
      </c>
      <c r="K106" s="615">
        <v>184.63272900914501</v>
      </c>
      <c r="L106" s="615">
        <v>192.68935234032088</v>
      </c>
      <c r="M106" s="615">
        <v>15.963662192581818</v>
      </c>
      <c r="N106" s="615">
        <v>-43.635495526329692</v>
      </c>
      <c r="O106" s="615">
        <v>-30.220475019689424</v>
      </c>
      <c r="P106" s="615">
        <v>0</v>
      </c>
      <c r="Q106" s="615">
        <v>6.6579032377089051</v>
      </c>
      <c r="R106" s="615">
        <v>-526.11753297574512</v>
      </c>
      <c r="S106" s="615">
        <v>-61.130122975515988</v>
      </c>
      <c r="T106" s="615">
        <v>-3.6878049856182082</v>
      </c>
      <c r="U106" s="615">
        <v>1031.0774448897353</v>
      </c>
      <c r="V106" s="51"/>
    </row>
    <row r="107" spans="3:22" x14ac:dyDescent="0.25">
      <c r="C107" s="616"/>
      <c r="D107" s="617"/>
      <c r="E107" s="617"/>
      <c r="F107" s="617"/>
      <c r="G107" s="617"/>
      <c r="H107" s="623"/>
      <c r="I107" s="617"/>
      <c r="J107" s="617"/>
      <c r="K107" s="617"/>
      <c r="L107" s="617"/>
      <c r="M107" s="617"/>
      <c r="N107" s="617"/>
      <c r="O107" s="617"/>
      <c r="P107" s="617"/>
      <c r="Q107" s="617"/>
      <c r="R107" s="617"/>
      <c r="S107" s="617"/>
      <c r="T107" s="617"/>
      <c r="U107" s="617"/>
      <c r="V107" s="51"/>
    </row>
    <row r="108" spans="3:22" x14ac:dyDescent="0.25">
      <c r="C108" s="618" t="s">
        <v>78</v>
      </c>
      <c r="D108" s="611">
        <v>4.5171445685337561</v>
      </c>
      <c r="E108" s="611">
        <v>0</v>
      </c>
      <c r="F108" s="611">
        <v>16.333805703198944</v>
      </c>
      <c r="G108" s="681">
        <v>0</v>
      </c>
      <c r="H108" s="611">
        <v>89.327815995001359</v>
      </c>
      <c r="I108" s="611">
        <v>0</v>
      </c>
      <c r="J108" s="611">
        <v>0</v>
      </c>
      <c r="K108" s="611">
        <v>0</v>
      </c>
      <c r="L108" s="611">
        <v>20.148246137015189</v>
      </c>
      <c r="M108" s="611">
        <v>6.6309716857427698</v>
      </c>
      <c r="N108" s="611">
        <v>1.0223662329329699</v>
      </c>
      <c r="O108" s="611">
        <v>11.06635293883957</v>
      </c>
      <c r="P108" s="611">
        <v>4.2486977539062503</v>
      </c>
      <c r="Q108" s="611">
        <v>5.2671642446208732E-4</v>
      </c>
      <c r="R108" s="611">
        <v>142.27852677363259</v>
      </c>
      <c r="S108" s="611">
        <v>19.602523281220837</v>
      </c>
      <c r="T108" s="611">
        <v>2.0790988769531249</v>
      </c>
      <c r="U108" s="619">
        <v>317.25607666340187</v>
      </c>
      <c r="V108" s="51"/>
    </row>
    <row r="109" spans="3:22" x14ac:dyDescent="0.25">
      <c r="C109" s="618" t="s">
        <v>79</v>
      </c>
      <c r="D109" s="611">
        <v>0</v>
      </c>
      <c r="E109" s="611">
        <v>0</v>
      </c>
      <c r="F109" s="611">
        <v>352.26145508392204</v>
      </c>
      <c r="G109" s="611">
        <v>0.12706948615934052</v>
      </c>
      <c r="H109" s="611">
        <v>5.065595680375564</v>
      </c>
      <c r="I109" s="611">
        <v>0</v>
      </c>
      <c r="J109" s="611">
        <v>0</v>
      </c>
      <c r="K109" s="611">
        <v>0</v>
      </c>
      <c r="L109" s="611">
        <v>0</v>
      </c>
      <c r="M109" s="611">
        <v>0</v>
      </c>
      <c r="N109" s="611">
        <v>39.492527994120572</v>
      </c>
      <c r="O109" s="611">
        <v>0.62608485937226077</v>
      </c>
      <c r="P109" s="611">
        <v>0</v>
      </c>
      <c r="Q109" s="611">
        <v>0</v>
      </c>
      <c r="R109" s="611">
        <v>26.698210875173668</v>
      </c>
      <c r="S109" s="611">
        <v>0</v>
      </c>
      <c r="T109" s="611">
        <v>0.57963295741686927</v>
      </c>
      <c r="U109" s="619">
        <v>424.85057693654034</v>
      </c>
      <c r="V109" s="51"/>
    </row>
    <row r="110" spans="3:22" x14ac:dyDescent="0.25">
      <c r="C110" s="618" t="s">
        <v>80</v>
      </c>
      <c r="D110" s="611">
        <v>0</v>
      </c>
      <c r="E110" s="611">
        <v>0</v>
      </c>
      <c r="F110" s="611">
        <v>14.121426178939339</v>
      </c>
      <c r="G110" s="611">
        <v>0</v>
      </c>
      <c r="H110" s="611">
        <v>80.862319861919559</v>
      </c>
      <c r="I110" s="611">
        <v>0</v>
      </c>
      <c r="J110" s="611">
        <v>0</v>
      </c>
      <c r="K110" s="611">
        <v>0</v>
      </c>
      <c r="L110" s="611">
        <v>63.998307290904002</v>
      </c>
      <c r="M110" s="611">
        <v>0</v>
      </c>
      <c r="N110" s="611">
        <v>0</v>
      </c>
      <c r="O110" s="611">
        <v>9.9942193087765752</v>
      </c>
      <c r="P110" s="611">
        <v>63.392117505826292</v>
      </c>
      <c r="Q110" s="611">
        <v>1.6849133946274748</v>
      </c>
      <c r="R110" s="611">
        <v>168.60501206037372</v>
      </c>
      <c r="S110" s="611">
        <v>25.00398861448701</v>
      </c>
      <c r="T110" s="611">
        <v>0</v>
      </c>
      <c r="U110" s="619">
        <v>427.66230421585396</v>
      </c>
      <c r="V110" s="51"/>
    </row>
    <row r="111" spans="3:22" x14ac:dyDescent="0.25">
      <c r="C111" s="618" t="s">
        <v>81</v>
      </c>
      <c r="D111" s="611">
        <v>0</v>
      </c>
      <c r="E111" s="611">
        <v>0</v>
      </c>
      <c r="F111" s="611">
        <v>9.9368679491527736</v>
      </c>
      <c r="G111" s="611">
        <v>0</v>
      </c>
      <c r="H111" s="611">
        <v>49.841560675379021</v>
      </c>
      <c r="I111" s="611">
        <v>0</v>
      </c>
      <c r="J111" s="611">
        <v>0</v>
      </c>
      <c r="K111" s="611">
        <v>0</v>
      </c>
      <c r="L111" s="611">
        <v>0.57972090430676659</v>
      </c>
      <c r="M111" s="611">
        <v>0</v>
      </c>
      <c r="N111" s="611">
        <v>0</v>
      </c>
      <c r="O111" s="611">
        <v>6.1601928924625753</v>
      </c>
      <c r="P111" s="611">
        <v>25.958896138764281</v>
      </c>
      <c r="Q111" s="611">
        <v>2.2911200649258339</v>
      </c>
      <c r="R111" s="611">
        <v>123.42245869887834</v>
      </c>
      <c r="S111" s="611">
        <v>16.523611079808134</v>
      </c>
      <c r="T111" s="611">
        <v>0</v>
      </c>
      <c r="U111" s="619">
        <v>234.71442840367774</v>
      </c>
      <c r="V111" s="51"/>
    </row>
    <row r="112" spans="3:22" x14ac:dyDescent="0.25">
      <c r="C112" s="618" t="s">
        <v>82</v>
      </c>
      <c r="D112" s="611">
        <v>0</v>
      </c>
      <c r="E112" s="611">
        <v>0</v>
      </c>
      <c r="F112" s="611">
        <v>32.344498441587994</v>
      </c>
      <c r="G112" s="611">
        <v>0</v>
      </c>
      <c r="H112" s="611">
        <v>2.2045546432334739</v>
      </c>
      <c r="I112" s="611">
        <v>0</v>
      </c>
      <c r="J112" s="611">
        <v>0</v>
      </c>
      <c r="K112" s="611">
        <v>0</v>
      </c>
      <c r="L112" s="611">
        <v>1.9134105561044641</v>
      </c>
      <c r="M112" s="611">
        <v>0</v>
      </c>
      <c r="N112" s="611">
        <v>3.7423495015060504</v>
      </c>
      <c r="O112" s="611">
        <v>0.27247304579290127</v>
      </c>
      <c r="P112" s="611">
        <v>0.4</v>
      </c>
      <c r="Q112" s="611">
        <v>0.5193752668696392</v>
      </c>
      <c r="R112" s="611">
        <v>7.033583189009291</v>
      </c>
      <c r="S112" s="611">
        <v>0</v>
      </c>
      <c r="T112" s="611">
        <v>0.13892990437736891</v>
      </c>
      <c r="U112" s="619">
        <v>48.569174548481179</v>
      </c>
      <c r="V112" s="51"/>
    </row>
    <row r="113" spans="3:22" x14ac:dyDescent="0.25">
      <c r="C113" s="618" t="s">
        <v>354</v>
      </c>
      <c r="D113" s="611">
        <v>0</v>
      </c>
      <c r="E113" s="611">
        <v>0</v>
      </c>
      <c r="F113" s="611">
        <v>0</v>
      </c>
      <c r="G113" s="611">
        <v>0</v>
      </c>
      <c r="H113" s="611">
        <v>0</v>
      </c>
      <c r="I113" s="611">
        <v>0</v>
      </c>
      <c r="J113" s="611">
        <v>0</v>
      </c>
      <c r="K113" s="611">
        <v>0</v>
      </c>
      <c r="L113" s="611">
        <v>0</v>
      </c>
      <c r="M113" s="611">
        <v>0</v>
      </c>
      <c r="N113" s="611">
        <v>0</v>
      </c>
      <c r="O113" s="611">
        <v>0</v>
      </c>
      <c r="P113" s="611">
        <v>0</v>
      </c>
      <c r="Q113" s="611">
        <v>0</v>
      </c>
      <c r="R113" s="611">
        <v>0</v>
      </c>
      <c r="S113" s="611">
        <v>0</v>
      </c>
      <c r="T113" s="611">
        <v>0</v>
      </c>
      <c r="U113" s="619">
        <v>0</v>
      </c>
      <c r="V113" s="51"/>
    </row>
    <row r="114" spans="3:22" x14ac:dyDescent="0.25">
      <c r="C114" s="614" t="s">
        <v>83</v>
      </c>
      <c r="D114" s="615">
        <v>4.5171445685337561</v>
      </c>
      <c r="E114" s="615">
        <v>0</v>
      </c>
      <c r="F114" s="615">
        <v>424.99805335680105</v>
      </c>
      <c r="G114" s="615">
        <v>0.12706948615934052</v>
      </c>
      <c r="H114" s="615">
        <v>227.30184685590896</v>
      </c>
      <c r="I114" s="615">
        <v>0</v>
      </c>
      <c r="J114" s="615">
        <v>0</v>
      </c>
      <c r="K114" s="615">
        <v>0</v>
      </c>
      <c r="L114" s="615">
        <v>86.639684888330422</v>
      </c>
      <c r="M114" s="615">
        <v>6.6309716857427698</v>
      </c>
      <c r="N114" s="615">
        <v>44.257243728559587</v>
      </c>
      <c r="O114" s="615">
        <v>28.119323045243881</v>
      </c>
      <c r="P114" s="615">
        <v>93.999711398496828</v>
      </c>
      <c r="Q114" s="615">
        <v>4.4959354428474096</v>
      </c>
      <c r="R114" s="615">
        <v>468.03779159706761</v>
      </c>
      <c r="S114" s="615">
        <v>61.130122975515981</v>
      </c>
      <c r="T114" s="615">
        <v>2.797661738747363</v>
      </c>
      <c r="U114" s="615">
        <v>1453.0525607679549</v>
      </c>
      <c r="V114" s="51"/>
    </row>
    <row r="115" spans="3:22" x14ac:dyDescent="0.25">
      <c r="C115" s="610" t="s">
        <v>84</v>
      </c>
      <c r="D115" s="611">
        <v>0</v>
      </c>
      <c r="E115" s="611">
        <v>0</v>
      </c>
      <c r="F115" s="611">
        <v>130.10900718351874</v>
      </c>
      <c r="G115" s="611">
        <v>1.1094620580297863</v>
      </c>
      <c r="H115" s="611">
        <v>13.5291015041451</v>
      </c>
      <c r="I115" s="611">
        <v>0</v>
      </c>
      <c r="J115" s="611">
        <v>0</v>
      </c>
      <c r="K115" s="611">
        <v>0</v>
      </c>
      <c r="L115" s="611">
        <v>9.0685458256899165E-2</v>
      </c>
      <c r="M115" s="611">
        <v>0</v>
      </c>
      <c r="N115" s="611">
        <v>1.1637873949261752</v>
      </c>
      <c r="O115" s="611">
        <v>1.5517165265682336</v>
      </c>
      <c r="P115" s="611">
        <v>0</v>
      </c>
      <c r="Q115" s="611">
        <v>0</v>
      </c>
      <c r="R115" s="611">
        <v>0</v>
      </c>
      <c r="S115" s="611">
        <v>0</v>
      </c>
      <c r="T115" s="611">
        <v>0.81112781167030334</v>
      </c>
      <c r="U115" s="619">
        <v>148.36488793711524</v>
      </c>
      <c r="V115" s="51"/>
    </row>
    <row r="116" spans="3:22" x14ac:dyDescent="0.25">
      <c r="C116" s="614" t="s">
        <v>85</v>
      </c>
      <c r="D116" s="615">
        <v>4.5171445685337561</v>
      </c>
      <c r="E116" s="615">
        <v>0</v>
      </c>
      <c r="F116" s="615">
        <v>555.10706054031982</v>
      </c>
      <c r="G116" s="615">
        <v>1.2365315441891267</v>
      </c>
      <c r="H116" s="615">
        <v>240.83094836005407</v>
      </c>
      <c r="I116" s="615">
        <v>0</v>
      </c>
      <c r="J116" s="615">
        <v>0</v>
      </c>
      <c r="K116" s="615">
        <v>0</v>
      </c>
      <c r="L116" s="615">
        <v>86.730370346587321</v>
      </c>
      <c r="M116" s="615">
        <v>6.6309716857427698</v>
      </c>
      <c r="N116" s="615">
        <v>45.421031123485761</v>
      </c>
      <c r="O116" s="615">
        <v>29.671039571812116</v>
      </c>
      <c r="P116" s="615">
        <v>93.999711398496828</v>
      </c>
      <c r="Q116" s="615">
        <v>4.4959354428474096</v>
      </c>
      <c r="R116" s="615">
        <v>468.03779159706761</v>
      </c>
      <c r="S116" s="615">
        <v>61.130122975515981</v>
      </c>
      <c r="T116" s="615">
        <v>3.6087895504176664</v>
      </c>
      <c r="U116" s="615">
        <v>1601.4174487050702</v>
      </c>
      <c r="V116" s="51"/>
    </row>
    <row r="117" spans="3:22" x14ac:dyDescent="0.25">
      <c r="C117" s="51"/>
      <c r="D117" s="67">
        <v>0</v>
      </c>
      <c r="E117" s="67">
        <v>0</v>
      </c>
      <c r="F117" s="67">
        <v>0</v>
      </c>
      <c r="G117" s="67">
        <v>-2.2204460492503131E-16</v>
      </c>
      <c r="H117" s="67">
        <v>0</v>
      </c>
      <c r="I117" s="67">
        <v>0</v>
      </c>
      <c r="J117" s="67">
        <v>0</v>
      </c>
      <c r="K117" s="67">
        <v>0</v>
      </c>
      <c r="L117" s="67">
        <v>0</v>
      </c>
      <c r="M117" s="67">
        <v>-5.6682988468281792E-4</v>
      </c>
      <c r="N117" s="67">
        <v>0</v>
      </c>
      <c r="O117" s="67">
        <v>-6.6613381477509392E-15</v>
      </c>
      <c r="P117" s="67">
        <v>0</v>
      </c>
      <c r="Q117" s="67">
        <v>0</v>
      </c>
      <c r="R117" s="67">
        <v>-5.6843418860808015E-14</v>
      </c>
      <c r="S117" s="67">
        <v>-7.1054273576010019E-15</v>
      </c>
      <c r="T117" s="67">
        <v>-1.5265566588595902E-16</v>
      </c>
      <c r="U117" s="67">
        <v>-5.6682988497414044E-4</v>
      </c>
      <c r="V117" s="51"/>
    </row>
    <row r="118" spans="3:22" x14ac:dyDescent="0.25">
      <c r="C118" s="51"/>
      <c r="D118" s="51"/>
      <c r="E118" s="51"/>
      <c r="F118" s="51"/>
      <c r="G118" s="67"/>
      <c r="H118" s="51"/>
      <c r="I118" s="51"/>
      <c r="J118" s="51"/>
      <c r="K118" s="51"/>
      <c r="L118" s="51"/>
      <c r="M118" s="51"/>
      <c r="N118" s="51"/>
      <c r="O118" s="51"/>
      <c r="P118" s="51"/>
      <c r="Q118" s="51"/>
      <c r="R118" s="51"/>
      <c r="S118" s="51"/>
      <c r="T118" s="51"/>
      <c r="U118" s="51"/>
      <c r="V118" s="51"/>
    </row>
    <row r="119" spans="3:22" x14ac:dyDescent="0.25">
      <c r="C119" s="607" t="s">
        <v>88</v>
      </c>
      <c r="D119" s="606"/>
      <c r="E119" s="606"/>
      <c r="F119" s="606"/>
      <c r="G119" s="682"/>
      <c r="H119" s="606"/>
      <c r="I119" s="606"/>
      <c r="J119" s="606"/>
      <c r="K119" s="606"/>
      <c r="L119" s="606"/>
      <c r="M119" s="606"/>
      <c r="N119" s="606"/>
      <c r="O119" s="606"/>
      <c r="P119" s="606"/>
      <c r="Q119" s="606"/>
      <c r="R119" s="606"/>
      <c r="S119" s="606"/>
      <c r="T119" s="606"/>
      <c r="U119" s="606"/>
      <c r="V119" s="606"/>
    </row>
    <row r="120" spans="3:22" x14ac:dyDescent="0.25">
      <c r="C120" s="51"/>
      <c r="D120" s="51"/>
      <c r="E120" s="51"/>
      <c r="F120" s="51"/>
      <c r="G120" s="67"/>
      <c r="H120" s="51"/>
      <c r="I120" s="51"/>
      <c r="J120" s="51"/>
      <c r="K120" s="51"/>
      <c r="L120" s="51"/>
      <c r="M120" s="51"/>
      <c r="N120" s="51"/>
      <c r="O120" s="51"/>
      <c r="P120" s="51"/>
      <c r="Q120" s="51"/>
      <c r="R120" s="51"/>
      <c r="S120" s="51"/>
      <c r="T120" s="51"/>
      <c r="U120" s="51"/>
      <c r="V120" s="51"/>
    </row>
    <row r="121" spans="3:22" x14ac:dyDescent="0.25">
      <c r="C121" s="764" t="s">
        <v>128</v>
      </c>
      <c r="D121" s="753" t="s">
        <v>42</v>
      </c>
      <c r="E121" s="753" t="s">
        <v>52</v>
      </c>
      <c r="F121" s="753" t="s">
        <v>53</v>
      </c>
      <c r="G121" s="766" t="s">
        <v>482</v>
      </c>
      <c r="H121" s="753" t="s">
        <v>32</v>
      </c>
      <c r="I121" s="753" t="s">
        <v>483</v>
      </c>
      <c r="J121" s="753" t="s">
        <v>20</v>
      </c>
      <c r="K121" s="753" t="s">
        <v>55</v>
      </c>
      <c r="L121" s="761" t="s">
        <v>56</v>
      </c>
      <c r="M121" s="762"/>
      <c r="N121" s="762"/>
      <c r="O121" s="762"/>
      <c r="P121" s="762"/>
      <c r="Q121" s="763"/>
      <c r="R121" s="753" t="s">
        <v>57</v>
      </c>
      <c r="S121" s="753" t="s">
        <v>58</v>
      </c>
      <c r="T121" s="753" t="s">
        <v>31</v>
      </c>
      <c r="U121" s="753" t="s">
        <v>10</v>
      </c>
      <c r="V121" s="51"/>
    </row>
    <row r="122" spans="3:22" ht="36" x14ac:dyDescent="0.25">
      <c r="C122" s="765"/>
      <c r="D122" s="754"/>
      <c r="E122" s="754"/>
      <c r="F122" s="754"/>
      <c r="G122" s="767"/>
      <c r="H122" s="754"/>
      <c r="I122" s="754"/>
      <c r="J122" s="754"/>
      <c r="K122" s="754"/>
      <c r="L122" s="608" t="s">
        <v>335</v>
      </c>
      <c r="M122" s="608" t="s">
        <v>40</v>
      </c>
      <c r="N122" s="608" t="s">
        <v>343</v>
      </c>
      <c r="O122" s="608" t="s">
        <v>344</v>
      </c>
      <c r="P122" s="609" t="s">
        <v>345</v>
      </c>
      <c r="Q122" s="608" t="s">
        <v>346</v>
      </c>
      <c r="R122" s="754"/>
      <c r="S122" s="754"/>
      <c r="T122" s="754"/>
      <c r="U122" s="754"/>
      <c r="V122" s="51"/>
    </row>
    <row r="123" spans="3:22" x14ac:dyDescent="0.25">
      <c r="C123" s="610" t="s">
        <v>59</v>
      </c>
      <c r="D123" s="611">
        <v>0</v>
      </c>
      <c r="E123" s="611">
        <v>9.7691999999999997</v>
      </c>
      <c r="F123" s="611">
        <v>0</v>
      </c>
      <c r="G123" s="611">
        <v>0</v>
      </c>
      <c r="H123" s="611">
        <v>0.18608000000000002</v>
      </c>
      <c r="I123" s="611">
        <v>0</v>
      </c>
      <c r="J123" s="612">
        <v>1159.7098545454546</v>
      </c>
      <c r="K123" s="612">
        <v>206.22767049205902</v>
      </c>
      <c r="L123" s="612">
        <v>285.21175917150833</v>
      </c>
      <c r="M123" s="612">
        <v>23.031183006394908</v>
      </c>
      <c r="N123" s="611">
        <v>1.4156783371657409</v>
      </c>
      <c r="O123" s="611">
        <v>0.13593700784165794</v>
      </c>
      <c r="P123" s="612">
        <v>107.69757122399184</v>
      </c>
      <c r="Q123" s="612">
        <v>12.204806939230798</v>
      </c>
      <c r="R123" s="611">
        <v>0</v>
      </c>
      <c r="S123" s="611">
        <v>0</v>
      </c>
      <c r="T123" s="611">
        <v>0</v>
      </c>
      <c r="U123" s="613">
        <v>1805.5897407236466</v>
      </c>
      <c r="V123" s="51"/>
    </row>
    <row r="124" spans="3:22" x14ac:dyDescent="0.25">
      <c r="C124" s="610" t="s">
        <v>60</v>
      </c>
      <c r="D124" s="611">
        <v>23.408391415226877</v>
      </c>
      <c r="E124" s="611">
        <v>397.73285119797646</v>
      </c>
      <c r="F124" s="611">
        <v>192.17270191325082</v>
      </c>
      <c r="G124" s="611">
        <v>0.57597435478791414</v>
      </c>
      <c r="H124" s="611">
        <v>283.88973297973405</v>
      </c>
      <c r="I124" s="611">
        <v>0</v>
      </c>
      <c r="J124" s="611">
        <v>0</v>
      </c>
      <c r="K124" s="611">
        <v>0</v>
      </c>
      <c r="L124" s="611">
        <v>2.5322527707990741</v>
      </c>
      <c r="M124" s="611">
        <v>0</v>
      </c>
      <c r="N124" s="611">
        <v>3.4051358539984622</v>
      </c>
      <c r="O124" s="611">
        <v>0</v>
      </c>
      <c r="P124" s="611">
        <v>0</v>
      </c>
      <c r="Q124" s="611">
        <v>0</v>
      </c>
      <c r="R124" s="611">
        <v>0</v>
      </c>
      <c r="S124" s="611">
        <v>0</v>
      </c>
      <c r="T124" s="611">
        <v>0</v>
      </c>
      <c r="U124" s="613">
        <v>903.71704048577374</v>
      </c>
      <c r="V124" s="51"/>
    </row>
    <row r="125" spans="3:22" x14ac:dyDescent="0.25">
      <c r="C125" s="610" t="s">
        <v>61</v>
      </c>
      <c r="D125" s="611">
        <v>0</v>
      </c>
      <c r="E125" s="611">
        <v>0</v>
      </c>
      <c r="F125" s="611">
        <v>5.0493218309218548</v>
      </c>
      <c r="G125" s="611">
        <v>0</v>
      </c>
      <c r="H125" s="611">
        <v>0</v>
      </c>
      <c r="I125" s="611">
        <v>0</v>
      </c>
      <c r="J125" s="611">
        <v>0</v>
      </c>
      <c r="K125" s="611">
        <v>0</v>
      </c>
      <c r="L125" s="611">
        <v>0</v>
      </c>
      <c r="M125" s="611">
        <v>0</v>
      </c>
      <c r="N125" s="611">
        <v>0</v>
      </c>
      <c r="O125" s="611">
        <v>0</v>
      </c>
      <c r="P125" s="611">
        <v>0</v>
      </c>
      <c r="Q125" s="611">
        <v>0</v>
      </c>
      <c r="R125" s="611">
        <v>-56.303764118376989</v>
      </c>
      <c r="S125" s="611">
        <v>0</v>
      </c>
      <c r="T125" s="611">
        <v>0</v>
      </c>
      <c r="U125" s="613">
        <v>-51.254442287455134</v>
      </c>
      <c r="V125" s="51"/>
    </row>
    <row r="126" spans="3:22" x14ac:dyDescent="0.25">
      <c r="C126" s="610" t="s">
        <v>62</v>
      </c>
      <c r="D126" s="611">
        <v>0</v>
      </c>
      <c r="E126" s="611">
        <v>0</v>
      </c>
      <c r="F126" s="611">
        <v>-13.430949100801122</v>
      </c>
      <c r="G126" s="611">
        <v>-5.8076344872398176E-2</v>
      </c>
      <c r="H126" s="611">
        <v>-2.2639989057452867</v>
      </c>
      <c r="I126" s="611">
        <v>-0.72771393398955631</v>
      </c>
      <c r="J126" s="611">
        <v>0</v>
      </c>
      <c r="K126" s="611">
        <v>0</v>
      </c>
      <c r="L126" s="611">
        <v>0</v>
      </c>
      <c r="M126" s="611">
        <v>0</v>
      </c>
      <c r="N126" s="611">
        <v>-0.81896587882468008</v>
      </c>
      <c r="O126" s="611">
        <v>-1.0511423490960259</v>
      </c>
      <c r="P126" s="611">
        <v>0</v>
      </c>
      <c r="Q126" s="611">
        <v>0</v>
      </c>
      <c r="R126" s="611">
        <v>0</v>
      </c>
      <c r="S126" s="611">
        <v>0</v>
      </c>
      <c r="T126" s="611">
        <v>-0.13169239200090288</v>
      </c>
      <c r="U126" s="613">
        <v>-18.482538905329974</v>
      </c>
      <c r="V126" s="51"/>
    </row>
    <row r="127" spans="3:22" x14ac:dyDescent="0.25">
      <c r="C127" s="610" t="s">
        <v>63</v>
      </c>
      <c r="D127" s="611">
        <v>0</v>
      </c>
      <c r="E127" s="611">
        <v>0</v>
      </c>
      <c r="F127" s="611">
        <v>-68.854810681249447</v>
      </c>
      <c r="G127" s="611">
        <v>-0.89682740167552777</v>
      </c>
      <c r="H127" s="611">
        <v>0</v>
      </c>
      <c r="I127" s="611">
        <v>0</v>
      </c>
      <c r="J127" s="611">
        <v>0</v>
      </c>
      <c r="K127" s="611">
        <v>0</v>
      </c>
      <c r="L127" s="611">
        <v>0</v>
      </c>
      <c r="M127" s="611">
        <v>0</v>
      </c>
      <c r="N127" s="611">
        <v>-3.5873096067021111</v>
      </c>
      <c r="O127" s="611">
        <v>0</v>
      </c>
      <c r="P127" s="611">
        <v>0</v>
      </c>
      <c r="Q127" s="611">
        <v>0</v>
      </c>
      <c r="R127" s="611">
        <v>0</v>
      </c>
      <c r="S127" s="611">
        <v>0</v>
      </c>
      <c r="T127" s="611">
        <v>0</v>
      </c>
      <c r="U127" s="613">
        <v>-73.338947689627076</v>
      </c>
      <c r="V127" s="51"/>
    </row>
    <row r="128" spans="3:22" x14ac:dyDescent="0.25">
      <c r="C128" s="610" t="s">
        <v>64</v>
      </c>
      <c r="D128" s="611">
        <v>0</v>
      </c>
      <c r="E128" s="611">
        <v>0</v>
      </c>
      <c r="F128" s="611">
        <v>0</v>
      </c>
      <c r="G128" s="611">
        <v>0</v>
      </c>
      <c r="H128" s="611">
        <v>0</v>
      </c>
      <c r="I128" s="611">
        <v>0</v>
      </c>
      <c r="J128" s="611">
        <v>0</v>
      </c>
      <c r="K128" s="611">
        <v>0</v>
      </c>
      <c r="L128" s="611">
        <v>0</v>
      </c>
      <c r="M128" s="611">
        <v>0</v>
      </c>
      <c r="N128" s="611">
        <v>0</v>
      </c>
      <c r="O128" s="611">
        <v>0</v>
      </c>
      <c r="P128" s="611">
        <v>0</v>
      </c>
      <c r="Q128" s="611">
        <v>0</v>
      </c>
      <c r="R128" s="611">
        <v>0</v>
      </c>
      <c r="S128" s="611">
        <v>0</v>
      </c>
      <c r="T128" s="611">
        <v>0</v>
      </c>
      <c r="U128" s="613">
        <v>0</v>
      </c>
      <c r="V128" s="51"/>
    </row>
    <row r="129" spans="3:22" x14ac:dyDescent="0.25">
      <c r="C129" s="614" t="s">
        <v>65</v>
      </c>
      <c r="D129" s="615">
        <v>23.408391415226877</v>
      </c>
      <c r="E129" s="615">
        <v>407.50205119797647</v>
      </c>
      <c r="F129" s="615">
        <v>114.93626396212211</v>
      </c>
      <c r="G129" s="615">
        <v>-0.37892939176001184</v>
      </c>
      <c r="H129" s="615">
        <v>281.81181407398878</v>
      </c>
      <c r="I129" s="615">
        <v>-0.72771393398955631</v>
      </c>
      <c r="J129" s="615">
        <v>1159.7098545454546</v>
      </c>
      <c r="K129" s="615">
        <v>206.22767049205902</v>
      </c>
      <c r="L129" s="615">
        <v>287.7440119423074</v>
      </c>
      <c r="M129" s="615">
        <v>23.031183006394908</v>
      </c>
      <c r="N129" s="615">
        <v>0.41453870563741191</v>
      </c>
      <c r="O129" s="615">
        <v>-0.91520534125436792</v>
      </c>
      <c r="P129" s="615">
        <v>107.69757122399184</v>
      </c>
      <c r="Q129" s="615">
        <v>12.204806939230798</v>
      </c>
      <c r="R129" s="615">
        <v>-56.303764118376989</v>
      </c>
      <c r="S129" s="615">
        <v>0</v>
      </c>
      <c r="T129" s="615">
        <v>-0.13169239200090288</v>
      </c>
      <c r="U129" s="615">
        <v>2566.2308523270081</v>
      </c>
      <c r="V129" s="51"/>
    </row>
    <row r="130" spans="3:22" x14ac:dyDescent="0.25">
      <c r="C130" s="616"/>
      <c r="D130" s="617"/>
      <c r="E130" s="617"/>
      <c r="F130" s="617"/>
      <c r="G130" s="617"/>
      <c r="H130" s="623"/>
      <c r="I130" s="617"/>
      <c r="J130" s="617"/>
      <c r="K130" s="617"/>
      <c r="L130" s="617"/>
      <c r="M130" s="617"/>
      <c r="N130" s="617"/>
      <c r="O130" s="617"/>
      <c r="P130" s="617"/>
      <c r="Q130" s="617"/>
      <c r="R130" s="617"/>
      <c r="S130" s="617"/>
      <c r="T130" s="617"/>
      <c r="U130" s="617"/>
      <c r="V130" s="51"/>
    </row>
    <row r="131" spans="3:22" x14ac:dyDescent="0.25">
      <c r="C131" s="618" t="s">
        <v>67</v>
      </c>
      <c r="D131" s="611">
        <v>0</v>
      </c>
      <c r="E131" s="611">
        <v>0</v>
      </c>
      <c r="F131" s="611">
        <v>0</v>
      </c>
      <c r="G131" s="611">
        <v>0</v>
      </c>
      <c r="H131" s="611">
        <v>0</v>
      </c>
      <c r="I131" s="611">
        <v>0</v>
      </c>
      <c r="J131" s="611">
        <v>0</v>
      </c>
      <c r="K131" s="611">
        <v>0</v>
      </c>
      <c r="L131" s="611">
        <v>0</v>
      </c>
      <c r="M131" s="611">
        <v>0</v>
      </c>
      <c r="N131" s="611">
        <v>0</v>
      </c>
      <c r="O131" s="611">
        <v>0</v>
      </c>
      <c r="P131" s="611">
        <v>0</v>
      </c>
      <c r="Q131" s="611">
        <v>0</v>
      </c>
      <c r="R131" s="611">
        <v>0</v>
      </c>
      <c r="S131" s="611">
        <v>0</v>
      </c>
      <c r="T131" s="611">
        <v>0</v>
      </c>
      <c r="U131" s="619">
        <v>0</v>
      </c>
      <c r="V131" s="51"/>
    </row>
    <row r="132" spans="3:22" x14ac:dyDescent="0.25">
      <c r="C132" s="618" t="s">
        <v>347</v>
      </c>
      <c r="D132" s="611">
        <v>0</v>
      </c>
      <c r="E132" s="611">
        <v>0</v>
      </c>
      <c r="F132" s="611">
        <v>0.77863803143112786</v>
      </c>
      <c r="G132" s="611">
        <v>0</v>
      </c>
      <c r="H132" s="611">
        <v>48.649185599999988</v>
      </c>
      <c r="I132" s="611">
        <v>0</v>
      </c>
      <c r="J132" s="611">
        <v>1159.7098545454546</v>
      </c>
      <c r="K132" s="611">
        <v>206.22767049205902</v>
      </c>
      <c r="L132" s="611">
        <v>25.052463950767358</v>
      </c>
      <c r="M132" s="611">
        <v>0.56210869211624748</v>
      </c>
      <c r="N132" s="611">
        <v>4.4112574708908179</v>
      </c>
      <c r="O132" s="611">
        <v>8.6805648243110305</v>
      </c>
      <c r="P132" s="611">
        <v>0</v>
      </c>
      <c r="Q132" s="611">
        <v>0</v>
      </c>
      <c r="R132" s="611">
        <v>-654.18402229864398</v>
      </c>
      <c r="S132" s="611">
        <v>0</v>
      </c>
      <c r="T132" s="611">
        <v>0</v>
      </c>
      <c r="U132" s="619">
        <v>799.88772130838595</v>
      </c>
      <c r="V132" s="51"/>
    </row>
    <row r="133" spans="3:22" x14ac:dyDescent="0.25">
      <c r="C133" s="618" t="s">
        <v>348</v>
      </c>
      <c r="D133" s="611">
        <v>0</v>
      </c>
      <c r="E133" s="611">
        <v>0</v>
      </c>
      <c r="F133" s="611">
        <v>0</v>
      </c>
      <c r="G133" s="611">
        <v>0</v>
      </c>
      <c r="H133" s="611">
        <v>16.620158076105728</v>
      </c>
      <c r="I133" s="611">
        <v>0</v>
      </c>
      <c r="J133" s="611">
        <v>0</v>
      </c>
      <c r="K133" s="611">
        <v>0</v>
      </c>
      <c r="L133" s="611">
        <v>32.843396379352157</v>
      </c>
      <c r="M133" s="611">
        <v>15.176983861343588</v>
      </c>
      <c r="N133" s="611">
        <v>0</v>
      </c>
      <c r="O133" s="611">
        <v>4.1681951660111221</v>
      </c>
      <c r="P133" s="611">
        <v>0</v>
      </c>
      <c r="Q133" s="611">
        <v>7.245438098137603</v>
      </c>
      <c r="R133" s="611">
        <v>0</v>
      </c>
      <c r="S133" s="611">
        <v>-69.202246777918418</v>
      </c>
      <c r="T133" s="611">
        <v>0</v>
      </c>
      <c r="U133" s="619">
        <v>6.8519248030317641</v>
      </c>
      <c r="V133" s="51"/>
    </row>
    <row r="134" spans="3:22" x14ac:dyDescent="0.25">
      <c r="C134" s="618" t="s">
        <v>349</v>
      </c>
      <c r="D134" s="611">
        <v>0</v>
      </c>
      <c r="E134" s="611">
        <v>0</v>
      </c>
      <c r="F134" s="611">
        <v>0</v>
      </c>
      <c r="G134" s="611">
        <v>0</v>
      </c>
      <c r="H134" s="611">
        <v>0</v>
      </c>
      <c r="I134" s="611">
        <v>0</v>
      </c>
      <c r="J134" s="611">
        <v>0</v>
      </c>
      <c r="K134" s="611">
        <v>0</v>
      </c>
      <c r="L134" s="611">
        <v>57.003702343671577</v>
      </c>
      <c r="M134" s="611">
        <v>0</v>
      </c>
      <c r="N134" s="611">
        <v>0</v>
      </c>
      <c r="O134" s="611">
        <v>-51.650820116954286</v>
      </c>
      <c r="P134" s="611">
        <v>0</v>
      </c>
      <c r="Q134" s="611">
        <v>0</v>
      </c>
      <c r="R134" s="611">
        <v>0</v>
      </c>
      <c r="S134" s="611">
        <v>0</v>
      </c>
      <c r="T134" s="611">
        <v>0</v>
      </c>
      <c r="U134" s="619">
        <v>5.3528822267172913</v>
      </c>
      <c r="V134" s="51"/>
    </row>
    <row r="135" spans="3:22" x14ac:dyDescent="0.25">
      <c r="C135" s="618" t="s">
        <v>350</v>
      </c>
      <c r="D135" s="611">
        <v>0</v>
      </c>
      <c r="E135" s="611">
        <v>0</v>
      </c>
      <c r="F135" s="611">
        <v>0</v>
      </c>
      <c r="G135" s="611">
        <v>0</v>
      </c>
      <c r="H135" s="611">
        <v>0</v>
      </c>
      <c r="I135" s="611">
        <v>-0.72771393398955631</v>
      </c>
      <c r="J135" s="611">
        <v>0</v>
      </c>
      <c r="K135" s="611">
        <v>0</v>
      </c>
      <c r="L135" s="611">
        <v>0</v>
      </c>
      <c r="M135" s="611">
        <v>0</v>
      </c>
      <c r="N135" s="611">
        <v>0</v>
      </c>
      <c r="O135" s="611">
        <v>0</v>
      </c>
      <c r="P135" s="611">
        <v>0</v>
      </c>
      <c r="Q135" s="611">
        <v>0</v>
      </c>
      <c r="R135" s="611">
        <v>0</v>
      </c>
      <c r="S135" s="611">
        <v>0</v>
      </c>
      <c r="T135" s="611">
        <v>1.0107137972077171</v>
      </c>
      <c r="U135" s="619">
        <v>0.28299986321816084</v>
      </c>
      <c r="V135" s="51"/>
    </row>
    <row r="136" spans="3:22" x14ac:dyDescent="0.25">
      <c r="C136" s="618" t="s">
        <v>72</v>
      </c>
      <c r="D136" s="611">
        <v>0</v>
      </c>
      <c r="E136" s="611">
        <v>422.3330989513351</v>
      </c>
      <c r="F136" s="611">
        <v>-418.12947900634055</v>
      </c>
      <c r="G136" s="611">
        <v>0</v>
      </c>
      <c r="H136" s="611">
        <v>0</v>
      </c>
      <c r="I136" s="611">
        <v>0</v>
      </c>
      <c r="J136" s="611">
        <v>0</v>
      </c>
      <c r="K136" s="611">
        <v>0</v>
      </c>
      <c r="L136" s="611">
        <v>0</v>
      </c>
      <c r="M136" s="611">
        <v>0</v>
      </c>
      <c r="N136" s="611">
        <v>0</v>
      </c>
      <c r="O136" s="611">
        <v>0</v>
      </c>
      <c r="P136" s="611">
        <v>0</v>
      </c>
      <c r="Q136" s="611">
        <v>0</v>
      </c>
      <c r="R136" s="611">
        <v>0</v>
      </c>
      <c r="S136" s="611">
        <v>0</v>
      </c>
      <c r="T136" s="611">
        <v>0</v>
      </c>
      <c r="U136" s="619">
        <v>4.203619944994557</v>
      </c>
      <c r="V136" s="51"/>
    </row>
    <row r="137" spans="3:22" x14ac:dyDescent="0.25">
      <c r="C137" s="618" t="s">
        <v>351</v>
      </c>
      <c r="D137" s="611">
        <v>0</v>
      </c>
      <c r="E137" s="611">
        <v>0</v>
      </c>
      <c r="F137" s="611">
        <v>0</v>
      </c>
      <c r="G137" s="611">
        <v>0</v>
      </c>
      <c r="H137" s="611">
        <v>0</v>
      </c>
      <c r="I137" s="611">
        <v>0</v>
      </c>
      <c r="J137" s="611">
        <v>0</v>
      </c>
      <c r="K137" s="611">
        <v>0</v>
      </c>
      <c r="L137" s="611">
        <v>88.69555402266576</v>
      </c>
      <c r="M137" s="611">
        <v>0</v>
      </c>
      <c r="N137" s="611">
        <v>-48.782554712466172</v>
      </c>
      <c r="O137" s="611">
        <v>0</v>
      </c>
      <c r="P137" s="611">
        <v>0</v>
      </c>
      <c r="Q137" s="611">
        <v>0</v>
      </c>
      <c r="R137" s="611">
        <v>0</v>
      </c>
      <c r="S137" s="611">
        <v>0</v>
      </c>
      <c r="T137" s="611">
        <v>0</v>
      </c>
      <c r="U137" s="619">
        <v>39.912999310199588</v>
      </c>
      <c r="V137" s="51"/>
    </row>
    <row r="138" spans="3:22" x14ac:dyDescent="0.25">
      <c r="C138" s="618" t="s">
        <v>352</v>
      </c>
      <c r="D138" s="611">
        <v>0</v>
      </c>
      <c r="E138" s="611">
        <v>0</v>
      </c>
      <c r="F138" s="611">
        <v>0</v>
      </c>
      <c r="G138" s="611">
        <v>-2.0156543247413854</v>
      </c>
      <c r="H138" s="611">
        <v>0</v>
      </c>
      <c r="I138" s="611">
        <v>0</v>
      </c>
      <c r="J138" s="611">
        <v>0</v>
      </c>
      <c r="K138" s="611">
        <v>0</v>
      </c>
      <c r="L138" s="611">
        <v>0</v>
      </c>
      <c r="M138" s="611">
        <v>0</v>
      </c>
      <c r="N138" s="611">
        <v>0</v>
      </c>
      <c r="O138" s="611">
        <v>0</v>
      </c>
      <c r="P138" s="611">
        <v>0</v>
      </c>
      <c r="Q138" s="611">
        <v>0</v>
      </c>
      <c r="R138" s="611">
        <v>0</v>
      </c>
      <c r="S138" s="611">
        <v>0</v>
      </c>
      <c r="T138" s="611">
        <v>2.6398301244345332</v>
      </c>
      <c r="U138" s="619">
        <v>0.62417579969314785</v>
      </c>
      <c r="V138" s="51"/>
    </row>
    <row r="139" spans="3:22" x14ac:dyDescent="0.25">
      <c r="C139" s="618" t="s">
        <v>73</v>
      </c>
      <c r="D139" s="611">
        <v>0</v>
      </c>
      <c r="E139" s="611">
        <v>0</v>
      </c>
      <c r="F139" s="611">
        <v>0</v>
      </c>
      <c r="G139" s="611">
        <v>0</v>
      </c>
      <c r="H139" s="611">
        <v>0</v>
      </c>
      <c r="I139" s="611">
        <v>0</v>
      </c>
      <c r="J139" s="611">
        <v>0</v>
      </c>
      <c r="K139" s="611">
        <v>0</v>
      </c>
      <c r="L139" s="611">
        <v>0</v>
      </c>
      <c r="M139" s="611">
        <v>0</v>
      </c>
      <c r="N139" s="611">
        <v>0</v>
      </c>
      <c r="O139" s="611">
        <v>0</v>
      </c>
      <c r="P139" s="611">
        <v>0</v>
      </c>
      <c r="Q139" s="611">
        <v>0</v>
      </c>
      <c r="R139" s="611">
        <v>14.763935391852707</v>
      </c>
      <c r="S139" s="611">
        <v>0</v>
      </c>
      <c r="T139" s="611">
        <v>-9.59655800470426</v>
      </c>
      <c r="U139" s="619">
        <v>5.1673773871484467</v>
      </c>
      <c r="V139" s="51"/>
    </row>
    <row r="140" spans="3:22" x14ac:dyDescent="0.25">
      <c r="C140" s="618" t="s">
        <v>353</v>
      </c>
      <c r="D140" s="611">
        <v>14.423464335937501</v>
      </c>
      <c r="E140" s="611">
        <v>-14.831047753358636</v>
      </c>
      <c r="F140" s="611">
        <v>19.300366292147253</v>
      </c>
      <c r="G140" s="611">
        <v>0</v>
      </c>
      <c r="H140" s="611">
        <v>0</v>
      </c>
      <c r="I140" s="611">
        <v>0</v>
      </c>
      <c r="J140" s="611">
        <v>0</v>
      </c>
      <c r="K140" s="611">
        <v>0</v>
      </c>
      <c r="L140" s="611">
        <v>0</v>
      </c>
      <c r="M140" s="611">
        <v>0</v>
      </c>
      <c r="N140" s="611">
        <v>0</v>
      </c>
      <c r="O140" s="611">
        <v>0</v>
      </c>
      <c r="P140" s="611">
        <v>0</v>
      </c>
      <c r="Q140" s="611">
        <v>0</v>
      </c>
      <c r="R140" s="611">
        <v>0</v>
      </c>
      <c r="S140" s="611">
        <v>0</v>
      </c>
      <c r="T140" s="611">
        <v>0</v>
      </c>
      <c r="U140" s="619">
        <v>18.892782874726116</v>
      </c>
      <c r="V140" s="51"/>
    </row>
    <row r="141" spans="3:22" x14ac:dyDescent="0.25">
      <c r="C141" s="618" t="s">
        <v>75</v>
      </c>
      <c r="D141" s="611">
        <v>5.609125019531251</v>
      </c>
      <c r="E141" s="611">
        <v>0</v>
      </c>
      <c r="F141" s="611">
        <v>14.541080175745211</v>
      </c>
      <c r="G141" s="611">
        <v>0</v>
      </c>
      <c r="H141" s="611">
        <v>4.7384633059767616</v>
      </c>
      <c r="I141" s="611">
        <v>0</v>
      </c>
      <c r="J141" s="611">
        <v>0</v>
      </c>
      <c r="K141" s="611">
        <v>0</v>
      </c>
      <c r="L141" s="611">
        <v>0</v>
      </c>
      <c r="M141" s="611">
        <v>0</v>
      </c>
      <c r="N141" s="611">
        <v>0</v>
      </c>
      <c r="O141" s="611">
        <v>0.83619940693707562</v>
      </c>
      <c r="P141" s="611">
        <v>0</v>
      </c>
      <c r="Q141" s="611">
        <v>0</v>
      </c>
      <c r="R141" s="611">
        <v>56.456567554456434</v>
      </c>
      <c r="S141" s="611">
        <v>0</v>
      </c>
      <c r="T141" s="611">
        <v>0</v>
      </c>
      <c r="U141" s="619">
        <v>82.181435462646732</v>
      </c>
      <c r="V141" s="51"/>
    </row>
    <row r="142" spans="3:22" x14ac:dyDescent="0.25">
      <c r="C142" s="618" t="s">
        <v>76</v>
      </c>
      <c r="D142" s="611">
        <v>0</v>
      </c>
      <c r="E142" s="611">
        <v>0</v>
      </c>
      <c r="F142" s="611">
        <v>0</v>
      </c>
      <c r="G142" s="611">
        <v>0</v>
      </c>
      <c r="H142" s="611">
        <v>3.1933502134367608</v>
      </c>
      <c r="I142" s="611">
        <v>0</v>
      </c>
      <c r="J142" s="611">
        <v>0</v>
      </c>
      <c r="K142" s="611">
        <v>0</v>
      </c>
      <c r="L142" s="611">
        <v>0</v>
      </c>
      <c r="M142" s="611">
        <v>0</v>
      </c>
      <c r="N142" s="611">
        <v>0</v>
      </c>
      <c r="O142" s="611">
        <v>0.56353239060648719</v>
      </c>
      <c r="P142" s="611">
        <v>0</v>
      </c>
      <c r="Q142" s="611">
        <v>0</v>
      </c>
      <c r="R142" s="611">
        <v>45.789919653579361</v>
      </c>
      <c r="S142" s="611">
        <v>5.3668499447334987</v>
      </c>
      <c r="T142" s="611">
        <v>0</v>
      </c>
      <c r="U142" s="619">
        <v>54.913652202356104</v>
      </c>
      <c r="V142" s="51"/>
    </row>
    <row r="143" spans="3:22" x14ac:dyDescent="0.25">
      <c r="C143" s="614" t="s">
        <v>77</v>
      </c>
      <c r="D143" s="615">
        <v>20.032589355468751</v>
      </c>
      <c r="E143" s="615">
        <v>407.50205119797647</v>
      </c>
      <c r="F143" s="615">
        <v>-383.50939450701696</v>
      </c>
      <c r="G143" s="615">
        <v>-2.0156543247413854</v>
      </c>
      <c r="H143" s="615">
        <v>73.201157195519244</v>
      </c>
      <c r="I143" s="615">
        <v>-0.72771393398955631</v>
      </c>
      <c r="J143" s="615">
        <v>1159.7098545454546</v>
      </c>
      <c r="K143" s="615">
        <v>206.22767049205902</v>
      </c>
      <c r="L143" s="615">
        <v>203.59511669645684</v>
      </c>
      <c r="M143" s="615">
        <v>15.739092553459836</v>
      </c>
      <c r="N143" s="615">
        <v>-44.371297241575355</v>
      </c>
      <c r="O143" s="615">
        <v>-37.402328329088569</v>
      </c>
      <c r="P143" s="615">
        <v>0</v>
      </c>
      <c r="Q143" s="615">
        <v>7.245438098137603</v>
      </c>
      <c r="R143" s="615">
        <v>-537.17359969875554</v>
      </c>
      <c r="S143" s="615">
        <v>-63.835396833184916</v>
      </c>
      <c r="T143" s="615">
        <v>-5.9460140830620096</v>
      </c>
      <c r="U143" s="615">
        <v>1018.2715711831179</v>
      </c>
      <c r="V143" s="51"/>
    </row>
    <row r="144" spans="3:22" x14ac:dyDescent="0.25">
      <c r="C144" s="616"/>
      <c r="D144" s="617"/>
      <c r="E144" s="617"/>
      <c r="F144" s="617"/>
      <c r="G144" s="617"/>
      <c r="H144" s="623"/>
      <c r="I144" s="617"/>
      <c r="J144" s="617"/>
      <c r="K144" s="617"/>
      <c r="L144" s="617"/>
      <c r="M144" s="617"/>
      <c r="N144" s="617"/>
      <c r="O144" s="617"/>
      <c r="P144" s="617"/>
      <c r="Q144" s="617"/>
      <c r="R144" s="617"/>
      <c r="S144" s="617"/>
      <c r="T144" s="617"/>
      <c r="U144" s="617"/>
      <c r="V144" s="51"/>
    </row>
    <row r="145" spans="3:22" x14ac:dyDescent="0.25">
      <c r="C145" s="618" t="s">
        <v>78</v>
      </c>
      <c r="D145" s="611">
        <v>3.3758020597581235</v>
      </c>
      <c r="E145" s="611">
        <v>0</v>
      </c>
      <c r="F145" s="611">
        <v>12.950442965803651</v>
      </c>
      <c r="G145" s="611">
        <v>0</v>
      </c>
      <c r="H145" s="611">
        <v>80.47134477164488</v>
      </c>
      <c r="I145" s="611">
        <v>0</v>
      </c>
      <c r="J145" s="611">
        <v>0</v>
      </c>
      <c r="K145" s="611">
        <v>0</v>
      </c>
      <c r="L145" s="611">
        <v>21.324114250752451</v>
      </c>
      <c r="M145" s="611">
        <v>7.2915559072262504</v>
      </c>
      <c r="N145" s="611">
        <v>1.0929506417768975</v>
      </c>
      <c r="O145" s="611">
        <v>14.228192484483269</v>
      </c>
      <c r="P145" s="611">
        <v>5.4360292968749997</v>
      </c>
      <c r="Q145" s="611">
        <v>5.5791983277925228E-4</v>
      </c>
      <c r="R145" s="611">
        <v>150.98087036591164</v>
      </c>
      <c r="S145" s="611">
        <v>19.403042568185512</v>
      </c>
      <c r="T145" s="611">
        <v>3.5524582519531251</v>
      </c>
      <c r="U145" s="619">
        <v>320.10736148420358</v>
      </c>
      <c r="V145" s="51"/>
    </row>
    <row r="146" spans="3:22" x14ac:dyDescent="0.25">
      <c r="C146" s="618" t="s">
        <v>79</v>
      </c>
      <c r="D146" s="611">
        <v>0</v>
      </c>
      <c r="E146" s="611">
        <v>0</v>
      </c>
      <c r="F146" s="611">
        <v>316.65258451410631</v>
      </c>
      <c r="G146" s="611">
        <v>0.21178247693223418</v>
      </c>
      <c r="H146" s="611">
        <v>5.6309983287714074</v>
      </c>
      <c r="I146" s="611">
        <v>0</v>
      </c>
      <c r="J146" s="611">
        <v>0</v>
      </c>
      <c r="K146" s="611">
        <v>0</v>
      </c>
      <c r="L146" s="611">
        <v>0</v>
      </c>
      <c r="M146" s="611">
        <v>0</v>
      </c>
      <c r="N146" s="611">
        <v>37.755477147774521</v>
      </c>
      <c r="O146" s="611">
        <v>0.99370558743024839</v>
      </c>
      <c r="P146" s="611">
        <v>0</v>
      </c>
      <c r="Q146" s="611">
        <v>0</v>
      </c>
      <c r="R146" s="611">
        <v>33.627467612150312</v>
      </c>
      <c r="S146" s="611">
        <v>0</v>
      </c>
      <c r="T146" s="611">
        <v>0.96605492902811552</v>
      </c>
      <c r="U146" s="619">
        <v>395.83807059619318</v>
      </c>
      <c r="V146" s="51"/>
    </row>
    <row r="147" spans="3:22" x14ac:dyDescent="0.25">
      <c r="C147" s="618" t="s">
        <v>80</v>
      </c>
      <c r="D147" s="611">
        <v>0</v>
      </c>
      <c r="E147" s="611">
        <v>0</v>
      </c>
      <c r="F147" s="611">
        <v>7.2864711080849975</v>
      </c>
      <c r="G147" s="611">
        <v>0</v>
      </c>
      <c r="H147" s="611">
        <v>64.015994675506889</v>
      </c>
      <c r="I147" s="611">
        <v>0</v>
      </c>
      <c r="J147" s="611">
        <v>0</v>
      </c>
      <c r="K147" s="611">
        <v>0</v>
      </c>
      <c r="L147" s="611">
        <v>59.781394249240854</v>
      </c>
      <c r="M147" s="611">
        <v>0</v>
      </c>
      <c r="N147" s="611">
        <v>0</v>
      </c>
      <c r="O147" s="611">
        <v>11.296940236854157</v>
      </c>
      <c r="P147" s="611">
        <v>71.261229807028784</v>
      </c>
      <c r="Q147" s="611">
        <v>1.8312707461125663</v>
      </c>
      <c r="R147" s="611">
        <v>168.99529037460601</v>
      </c>
      <c r="S147" s="611">
        <v>26.200174165432053</v>
      </c>
      <c r="T147" s="611">
        <v>0</v>
      </c>
      <c r="U147" s="619">
        <v>410.66876536286634</v>
      </c>
      <c r="V147" s="51"/>
    </row>
    <row r="148" spans="3:22" x14ac:dyDescent="0.25">
      <c r="C148" s="618" t="s">
        <v>81</v>
      </c>
      <c r="D148" s="611">
        <v>0</v>
      </c>
      <c r="E148" s="611">
        <v>0</v>
      </c>
      <c r="F148" s="611">
        <v>3.924731163958576</v>
      </c>
      <c r="G148" s="611">
        <v>0</v>
      </c>
      <c r="H148" s="611">
        <v>43.02867282834201</v>
      </c>
      <c r="I148" s="611">
        <v>0</v>
      </c>
      <c r="J148" s="611">
        <v>0</v>
      </c>
      <c r="K148" s="611">
        <v>0</v>
      </c>
      <c r="L148" s="611">
        <v>0.65520868022421808</v>
      </c>
      <c r="M148" s="611">
        <v>0</v>
      </c>
      <c r="N148" s="611">
        <v>0</v>
      </c>
      <c r="O148" s="611">
        <v>7.5932952050015308</v>
      </c>
      <c r="P148" s="611">
        <v>30.500312120088047</v>
      </c>
      <c r="Q148" s="611">
        <v>2.5023556054496878</v>
      </c>
      <c r="R148" s="611">
        <v>120.41840773999139</v>
      </c>
      <c r="S148" s="611">
        <v>18.232180099567369</v>
      </c>
      <c r="T148" s="611">
        <v>0</v>
      </c>
      <c r="U148" s="619">
        <v>226.85516344262282</v>
      </c>
      <c r="V148" s="51"/>
    </row>
    <row r="149" spans="3:22" x14ac:dyDescent="0.25">
      <c r="C149" s="618" t="s">
        <v>82</v>
      </c>
      <c r="D149" s="611">
        <v>0</v>
      </c>
      <c r="E149" s="611">
        <v>0</v>
      </c>
      <c r="F149" s="611">
        <v>30.67679188462478</v>
      </c>
      <c r="G149" s="611">
        <v>0</v>
      </c>
      <c r="H149" s="611">
        <v>1.9189403202924635</v>
      </c>
      <c r="I149" s="611">
        <v>0</v>
      </c>
      <c r="J149" s="611">
        <v>0</v>
      </c>
      <c r="K149" s="611">
        <v>0</v>
      </c>
      <c r="L149" s="611">
        <v>2.2700672066089305</v>
      </c>
      <c r="M149" s="611">
        <v>0</v>
      </c>
      <c r="N149" s="611">
        <v>4.4101434474454244</v>
      </c>
      <c r="O149" s="611">
        <v>0.33863652711043474</v>
      </c>
      <c r="P149" s="611">
        <v>0.5</v>
      </c>
      <c r="Q149" s="611">
        <v>0.62518456969816016</v>
      </c>
      <c r="R149" s="611">
        <v>6.8477994877191097</v>
      </c>
      <c r="S149" s="611">
        <v>0</v>
      </c>
      <c r="T149" s="611">
        <v>0.17366238047171115</v>
      </c>
      <c r="U149" s="619">
        <v>47.76122582397101</v>
      </c>
      <c r="V149" s="51"/>
    </row>
    <row r="150" spans="3:22" x14ac:dyDescent="0.25">
      <c r="C150" s="618" t="s">
        <v>354</v>
      </c>
      <c r="D150" s="611">
        <v>0</v>
      </c>
      <c r="E150" s="611">
        <v>0</v>
      </c>
      <c r="F150" s="611">
        <v>0</v>
      </c>
      <c r="G150" s="611">
        <v>0</v>
      </c>
      <c r="H150" s="611">
        <v>0</v>
      </c>
      <c r="I150" s="611">
        <v>0</v>
      </c>
      <c r="J150" s="611">
        <v>0</v>
      </c>
      <c r="K150" s="611">
        <v>0</v>
      </c>
      <c r="L150" s="611">
        <v>0</v>
      </c>
      <c r="M150" s="611">
        <v>0</v>
      </c>
      <c r="N150" s="611">
        <v>0</v>
      </c>
      <c r="O150" s="611">
        <v>0</v>
      </c>
      <c r="P150" s="611">
        <v>0</v>
      </c>
      <c r="Q150" s="611">
        <v>0</v>
      </c>
      <c r="R150" s="611">
        <v>0</v>
      </c>
      <c r="S150" s="611">
        <v>0</v>
      </c>
      <c r="T150" s="611">
        <v>0</v>
      </c>
      <c r="U150" s="619">
        <v>0</v>
      </c>
      <c r="V150" s="51"/>
    </row>
    <row r="151" spans="3:22" x14ac:dyDescent="0.25">
      <c r="C151" s="614" t="s">
        <v>83</v>
      </c>
      <c r="D151" s="615">
        <v>3.3758020597581235</v>
      </c>
      <c r="E151" s="615">
        <v>0</v>
      </c>
      <c r="F151" s="615">
        <v>371.4910216365783</v>
      </c>
      <c r="G151" s="615">
        <v>0.21178247693223418</v>
      </c>
      <c r="H151" s="615">
        <v>195.06595092455763</v>
      </c>
      <c r="I151" s="615">
        <v>0</v>
      </c>
      <c r="J151" s="615">
        <v>0</v>
      </c>
      <c r="K151" s="615">
        <v>0</v>
      </c>
      <c r="L151" s="615">
        <v>84.030784386826454</v>
      </c>
      <c r="M151" s="615">
        <v>7.2915559072262504</v>
      </c>
      <c r="N151" s="615">
        <v>43.258571236996843</v>
      </c>
      <c r="O151" s="615">
        <v>34.450770040879647</v>
      </c>
      <c r="P151" s="615">
        <v>107.69757122399184</v>
      </c>
      <c r="Q151" s="615">
        <v>4.9593688410931929</v>
      </c>
      <c r="R151" s="615">
        <v>480.86983558037849</v>
      </c>
      <c r="S151" s="615">
        <v>63.83539683318493</v>
      </c>
      <c r="T151" s="615">
        <v>4.6921755614529523</v>
      </c>
      <c r="U151" s="615">
        <v>1401.2305867098569</v>
      </c>
      <c r="V151" s="51"/>
    </row>
    <row r="152" spans="3:22" x14ac:dyDescent="0.25">
      <c r="C152" s="610" t="s">
        <v>84</v>
      </c>
      <c r="D152" s="611">
        <v>0</v>
      </c>
      <c r="E152" s="611">
        <v>0</v>
      </c>
      <c r="F152" s="611">
        <v>126.95463683256074</v>
      </c>
      <c r="G152" s="611">
        <v>1.4249424560491393</v>
      </c>
      <c r="H152" s="611">
        <v>13.544705953911897</v>
      </c>
      <c r="I152" s="611">
        <v>0</v>
      </c>
      <c r="J152" s="611">
        <v>0</v>
      </c>
      <c r="K152" s="611">
        <v>0</v>
      </c>
      <c r="L152" s="611">
        <v>0.11811085902414258</v>
      </c>
      <c r="M152" s="611">
        <v>0</v>
      </c>
      <c r="N152" s="611">
        <v>1.5272647102159218</v>
      </c>
      <c r="O152" s="611">
        <v>2.0363529469545623</v>
      </c>
      <c r="P152" s="611">
        <v>0</v>
      </c>
      <c r="Q152" s="611">
        <v>0</v>
      </c>
      <c r="R152" s="611">
        <v>0</v>
      </c>
      <c r="S152" s="611">
        <v>0</v>
      </c>
      <c r="T152" s="611">
        <v>1.1221461296081543</v>
      </c>
      <c r="U152" s="619">
        <v>146.72815988832454</v>
      </c>
      <c r="V152" s="51"/>
    </row>
    <row r="153" spans="3:22" x14ac:dyDescent="0.25">
      <c r="C153" s="614" t="s">
        <v>85</v>
      </c>
      <c r="D153" s="615">
        <v>3.3758020597581235</v>
      </c>
      <c r="E153" s="615">
        <v>0</v>
      </c>
      <c r="F153" s="615">
        <v>498.44565846913906</v>
      </c>
      <c r="G153" s="615">
        <v>1.6367249329813736</v>
      </c>
      <c r="H153" s="615">
        <v>208.61065687846951</v>
      </c>
      <c r="I153" s="615">
        <v>0</v>
      </c>
      <c r="J153" s="615">
        <v>0</v>
      </c>
      <c r="K153" s="615">
        <v>0</v>
      </c>
      <c r="L153" s="615">
        <v>84.148895245850596</v>
      </c>
      <c r="M153" s="615">
        <v>7.2915559072262504</v>
      </c>
      <c r="N153" s="615">
        <v>44.785835947212767</v>
      </c>
      <c r="O153" s="615">
        <v>36.487122987834212</v>
      </c>
      <c r="P153" s="615">
        <v>107.69757122399184</v>
      </c>
      <c r="Q153" s="615">
        <v>4.9593688410931929</v>
      </c>
      <c r="R153" s="615">
        <v>480.86983558037849</v>
      </c>
      <c r="S153" s="615">
        <v>63.83539683318493</v>
      </c>
      <c r="T153" s="615">
        <v>5.8143216910611066</v>
      </c>
      <c r="U153" s="615">
        <v>1547.9587465981815</v>
      </c>
      <c r="V153" s="51"/>
    </row>
    <row r="154" spans="3:22" x14ac:dyDescent="0.25">
      <c r="C154" s="51"/>
      <c r="D154" s="67">
        <v>0</v>
      </c>
      <c r="E154" s="67">
        <v>0</v>
      </c>
      <c r="F154" s="67">
        <v>0</v>
      </c>
      <c r="G154" s="67">
        <v>0</v>
      </c>
      <c r="H154" s="67">
        <v>0</v>
      </c>
      <c r="I154" s="67">
        <v>0</v>
      </c>
      <c r="J154" s="67">
        <v>0</v>
      </c>
      <c r="K154" s="67">
        <v>0</v>
      </c>
      <c r="L154" s="67">
        <v>0</v>
      </c>
      <c r="M154" s="67">
        <v>-5.3454570882038865E-4</v>
      </c>
      <c r="N154" s="67">
        <v>0</v>
      </c>
      <c r="O154" s="67">
        <v>1.1324274851176597E-14</v>
      </c>
      <c r="P154" s="67">
        <v>0</v>
      </c>
      <c r="Q154" s="67">
        <v>0</v>
      </c>
      <c r="R154" s="67">
        <v>-5.6843418860808015E-14</v>
      </c>
      <c r="S154" s="67">
        <v>1.4210854715202004E-14</v>
      </c>
      <c r="T154" s="67">
        <v>0</v>
      </c>
      <c r="U154" s="67">
        <v>-5.3454570888789021E-4</v>
      </c>
      <c r="V154" s="51"/>
    </row>
    <row r="155" spans="3:22" x14ac:dyDescent="0.25">
      <c r="C155" s="51"/>
      <c r="D155" s="51"/>
      <c r="E155" s="51"/>
      <c r="F155" s="51"/>
      <c r="G155" s="67"/>
      <c r="H155" s="51"/>
      <c r="I155" s="51"/>
      <c r="J155" s="51"/>
      <c r="K155" s="51"/>
      <c r="L155" s="51"/>
      <c r="M155" s="51"/>
      <c r="N155" s="51"/>
      <c r="O155" s="51"/>
      <c r="P155" s="51"/>
      <c r="Q155" s="51"/>
      <c r="R155" s="51"/>
      <c r="S155" s="51"/>
      <c r="T155" s="51"/>
      <c r="U155" s="51"/>
      <c r="V155" s="51"/>
    </row>
    <row r="156" spans="3:22" x14ac:dyDescent="0.25">
      <c r="C156" s="607" t="s">
        <v>357</v>
      </c>
      <c r="D156" s="606"/>
      <c r="E156" s="606"/>
      <c r="F156" s="606"/>
      <c r="G156" s="682"/>
      <c r="H156" s="606"/>
      <c r="I156" s="606"/>
      <c r="J156" s="606"/>
      <c r="K156" s="606"/>
      <c r="L156" s="606"/>
      <c r="M156" s="606"/>
      <c r="N156" s="606"/>
      <c r="O156" s="606"/>
      <c r="P156" s="606"/>
      <c r="Q156" s="606"/>
      <c r="R156" s="606"/>
      <c r="S156" s="606"/>
      <c r="T156" s="606"/>
      <c r="U156" s="606"/>
      <c r="V156" s="606"/>
    </row>
    <row r="157" spans="3:22" x14ac:dyDescent="0.25">
      <c r="C157" s="51"/>
      <c r="D157" s="51"/>
      <c r="E157" s="51"/>
      <c r="F157" s="51"/>
      <c r="G157" s="67"/>
      <c r="H157" s="51"/>
      <c r="I157" s="51"/>
      <c r="J157" s="51"/>
      <c r="K157" s="51"/>
      <c r="L157" s="51"/>
      <c r="M157" s="51"/>
      <c r="N157" s="51"/>
      <c r="O157" s="51"/>
      <c r="P157" s="51"/>
      <c r="Q157" s="51"/>
      <c r="R157" s="51"/>
      <c r="S157" s="51"/>
      <c r="T157" s="51"/>
      <c r="U157" s="51"/>
      <c r="V157" s="51"/>
    </row>
    <row r="158" spans="3:22" x14ac:dyDescent="0.25">
      <c r="C158" s="764" t="s">
        <v>128</v>
      </c>
      <c r="D158" s="753" t="s">
        <v>42</v>
      </c>
      <c r="E158" s="753" t="s">
        <v>52</v>
      </c>
      <c r="F158" s="753" t="s">
        <v>53</v>
      </c>
      <c r="G158" s="766" t="s">
        <v>482</v>
      </c>
      <c r="H158" s="753" t="s">
        <v>32</v>
      </c>
      <c r="I158" s="753" t="s">
        <v>483</v>
      </c>
      <c r="J158" s="753" t="s">
        <v>20</v>
      </c>
      <c r="K158" s="753" t="s">
        <v>55</v>
      </c>
      <c r="L158" s="761" t="s">
        <v>56</v>
      </c>
      <c r="M158" s="762"/>
      <c r="N158" s="762"/>
      <c r="O158" s="762"/>
      <c r="P158" s="762"/>
      <c r="Q158" s="763"/>
      <c r="R158" s="753" t="s">
        <v>57</v>
      </c>
      <c r="S158" s="753" t="s">
        <v>58</v>
      </c>
      <c r="T158" s="753" t="s">
        <v>31</v>
      </c>
      <c r="U158" s="753" t="s">
        <v>10</v>
      </c>
      <c r="V158" s="51"/>
    </row>
    <row r="159" spans="3:22" ht="36" x14ac:dyDescent="0.25">
      <c r="C159" s="765"/>
      <c r="D159" s="754"/>
      <c r="E159" s="754"/>
      <c r="F159" s="754"/>
      <c r="G159" s="767"/>
      <c r="H159" s="754"/>
      <c r="I159" s="754"/>
      <c r="J159" s="754"/>
      <c r="K159" s="754"/>
      <c r="L159" s="608" t="s">
        <v>335</v>
      </c>
      <c r="M159" s="608" t="s">
        <v>40</v>
      </c>
      <c r="N159" s="608" t="s">
        <v>343</v>
      </c>
      <c r="O159" s="608" t="s">
        <v>344</v>
      </c>
      <c r="P159" s="609" t="s">
        <v>345</v>
      </c>
      <c r="Q159" s="608" t="s">
        <v>346</v>
      </c>
      <c r="R159" s="754"/>
      <c r="S159" s="754"/>
      <c r="T159" s="754"/>
      <c r="U159" s="754"/>
      <c r="V159" s="51"/>
    </row>
    <row r="160" spans="3:22" x14ac:dyDescent="0.25">
      <c r="C160" s="610" t="s">
        <v>59</v>
      </c>
      <c r="D160" s="611">
        <v>0</v>
      </c>
      <c r="E160" s="611">
        <v>7.3966799999999999</v>
      </c>
      <c r="F160" s="611">
        <v>0</v>
      </c>
      <c r="G160" s="611">
        <v>0</v>
      </c>
      <c r="H160" s="611">
        <v>0.13025600000000001</v>
      </c>
      <c r="I160" s="611">
        <v>0</v>
      </c>
      <c r="J160" s="612">
        <v>1149.5641818181819</v>
      </c>
      <c r="K160" s="612">
        <v>271.86081401905926</v>
      </c>
      <c r="L160" s="612">
        <v>340.9855459340954</v>
      </c>
      <c r="M160" s="612">
        <v>22.299860098650736</v>
      </c>
      <c r="N160" s="611">
        <v>1.4753548538560814</v>
      </c>
      <c r="O160" s="611">
        <v>0.15089220372740705</v>
      </c>
      <c r="P160" s="612">
        <v>124.26113436397709</v>
      </c>
      <c r="Q160" s="612">
        <v>16.54082734098899</v>
      </c>
      <c r="R160" s="611">
        <v>0</v>
      </c>
      <c r="S160" s="611">
        <v>0</v>
      </c>
      <c r="T160" s="611">
        <v>0</v>
      </c>
      <c r="U160" s="613">
        <v>1934.6655466325367</v>
      </c>
      <c r="V160" s="51"/>
    </row>
    <row r="161" spans="3:22" x14ac:dyDescent="0.25">
      <c r="C161" s="610" t="s">
        <v>60</v>
      </c>
      <c r="D161" s="611">
        <v>18.28715345037487</v>
      </c>
      <c r="E161" s="611">
        <v>349.70303524729923</v>
      </c>
      <c r="F161" s="611">
        <v>131.18201763584051</v>
      </c>
      <c r="G161" s="611">
        <v>0.50033179368683367</v>
      </c>
      <c r="H161" s="611">
        <v>229.42495745873748</v>
      </c>
      <c r="I161" s="611">
        <v>0</v>
      </c>
      <c r="J161" s="611">
        <v>0</v>
      </c>
      <c r="K161" s="611">
        <v>0</v>
      </c>
      <c r="L161" s="611">
        <v>3.0227324829465219</v>
      </c>
      <c r="M161" s="611">
        <v>0</v>
      </c>
      <c r="N161" s="611">
        <v>4.0455454459272309</v>
      </c>
      <c r="O161" s="611">
        <v>0</v>
      </c>
      <c r="P161" s="611">
        <v>0</v>
      </c>
      <c r="Q161" s="611">
        <v>0</v>
      </c>
      <c r="R161" s="611">
        <v>0</v>
      </c>
      <c r="S161" s="611">
        <v>0</v>
      </c>
      <c r="T161" s="611">
        <v>0</v>
      </c>
      <c r="U161" s="613">
        <v>736.16577351481271</v>
      </c>
      <c r="V161" s="51"/>
    </row>
    <row r="162" spans="3:22" x14ac:dyDescent="0.25">
      <c r="C162" s="610" t="s">
        <v>61</v>
      </c>
      <c r="D162" s="611">
        <v>0</v>
      </c>
      <c r="E162" s="611">
        <v>0</v>
      </c>
      <c r="F162" s="611">
        <v>4.2105906375360576</v>
      </c>
      <c r="G162" s="611">
        <v>0</v>
      </c>
      <c r="H162" s="611">
        <v>0</v>
      </c>
      <c r="I162" s="611">
        <v>0</v>
      </c>
      <c r="J162" s="611">
        <v>0</v>
      </c>
      <c r="K162" s="611">
        <v>0</v>
      </c>
      <c r="L162" s="611">
        <v>0</v>
      </c>
      <c r="M162" s="611">
        <v>0</v>
      </c>
      <c r="N162" s="611">
        <v>0</v>
      </c>
      <c r="O162" s="611">
        <v>0</v>
      </c>
      <c r="P162" s="611">
        <v>0</v>
      </c>
      <c r="Q162" s="611">
        <v>0</v>
      </c>
      <c r="R162" s="611">
        <v>-64.694612145471979</v>
      </c>
      <c r="S162" s="611">
        <v>0</v>
      </c>
      <c r="T162" s="611">
        <v>0</v>
      </c>
      <c r="U162" s="613">
        <v>-60.484021507935921</v>
      </c>
      <c r="V162" s="51"/>
    </row>
    <row r="163" spans="3:22" x14ac:dyDescent="0.25">
      <c r="C163" s="610" t="s">
        <v>62</v>
      </c>
      <c r="D163" s="611">
        <v>0</v>
      </c>
      <c r="E163" s="611">
        <v>0</v>
      </c>
      <c r="F163" s="611">
        <v>-10.861999753071151</v>
      </c>
      <c r="G163" s="611">
        <v>-1.2717233399442811</v>
      </c>
      <c r="H163" s="611">
        <v>-1.650726997595853</v>
      </c>
      <c r="I163" s="611">
        <v>-1.5305667943868051</v>
      </c>
      <c r="J163" s="611">
        <v>0</v>
      </c>
      <c r="K163" s="611">
        <v>0</v>
      </c>
      <c r="L163" s="611">
        <v>0</v>
      </c>
      <c r="M163" s="611">
        <v>0</v>
      </c>
      <c r="N163" s="611">
        <v>-0.98510206600536243</v>
      </c>
      <c r="O163" s="611">
        <v>-1.4330596123235</v>
      </c>
      <c r="P163" s="611">
        <v>0</v>
      </c>
      <c r="Q163" s="611">
        <v>0</v>
      </c>
      <c r="R163" s="611">
        <v>0</v>
      </c>
      <c r="S163" s="611">
        <v>0</v>
      </c>
      <c r="T163" s="611">
        <v>-0.44287904354910901</v>
      </c>
      <c r="U163" s="613">
        <v>-18.176057606876064</v>
      </c>
      <c r="V163" s="51"/>
    </row>
    <row r="164" spans="3:22" x14ac:dyDescent="0.25">
      <c r="C164" s="610" t="s">
        <v>63</v>
      </c>
      <c r="D164" s="611">
        <v>0</v>
      </c>
      <c r="E164" s="611">
        <v>0</v>
      </c>
      <c r="F164" s="611">
        <v>-60.506792439626352</v>
      </c>
      <c r="G164" s="611">
        <v>-2.4607230105111979</v>
      </c>
      <c r="H164" s="611">
        <v>0</v>
      </c>
      <c r="I164" s="611">
        <v>0</v>
      </c>
      <c r="J164" s="611">
        <v>0</v>
      </c>
      <c r="K164" s="611">
        <v>0</v>
      </c>
      <c r="L164" s="611">
        <v>0</v>
      </c>
      <c r="M164" s="611">
        <v>0</v>
      </c>
      <c r="N164" s="611">
        <v>-7.7408999922038042</v>
      </c>
      <c r="O164" s="611">
        <v>0</v>
      </c>
      <c r="P164" s="611">
        <v>0</v>
      </c>
      <c r="Q164" s="611">
        <v>0</v>
      </c>
      <c r="R164" s="611">
        <v>0</v>
      </c>
      <c r="S164" s="611">
        <v>0</v>
      </c>
      <c r="T164" s="611">
        <v>-0.3392769133758014</v>
      </c>
      <c r="U164" s="613">
        <v>-71.047692355717146</v>
      </c>
      <c r="V164" s="51"/>
    </row>
    <row r="165" spans="3:22" x14ac:dyDescent="0.25">
      <c r="C165" s="610" t="s">
        <v>64</v>
      </c>
      <c r="D165" s="611">
        <v>0</v>
      </c>
      <c r="E165" s="611">
        <v>0</v>
      </c>
      <c r="F165" s="611">
        <v>0</v>
      </c>
      <c r="G165" s="611">
        <v>0</v>
      </c>
      <c r="H165" s="611">
        <v>0</v>
      </c>
      <c r="I165" s="611">
        <v>0</v>
      </c>
      <c r="J165" s="611">
        <v>0</v>
      </c>
      <c r="K165" s="611">
        <v>0</v>
      </c>
      <c r="L165" s="611">
        <v>0</v>
      </c>
      <c r="M165" s="611">
        <v>0</v>
      </c>
      <c r="N165" s="611">
        <v>0</v>
      </c>
      <c r="O165" s="611">
        <v>0</v>
      </c>
      <c r="P165" s="611">
        <v>0</v>
      </c>
      <c r="Q165" s="611">
        <v>0</v>
      </c>
      <c r="R165" s="611">
        <v>0</v>
      </c>
      <c r="S165" s="611">
        <v>0</v>
      </c>
      <c r="T165" s="611">
        <v>0</v>
      </c>
      <c r="U165" s="613">
        <v>0</v>
      </c>
      <c r="V165" s="51"/>
    </row>
    <row r="166" spans="3:22" x14ac:dyDescent="0.25">
      <c r="C166" s="614" t="s">
        <v>65</v>
      </c>
      <c r="D166" s="615">
        <v>18.28715345037487</v>
      </c>
      <c r="E166" s="615">
        <v>357.09971524729923</v>
      </c>
      <c r="F166" s="615">
        <v>64.023816080679069</v>
      </c>
      <c r="G166" s="615">
        <v>-3.2321145567686456</v>
      </c>
      <c r="H166" s="615">
        <v>227.90448646114163</v>
      </c>
      <c r="I166" s="615">
        <v>-1.5305667943868051</v>
      </c>
      <c r="J166" s="615">
        <v>1149.5641818181819</v>
      </c>
      <c r="K166" s="615">
        <v>271.86081401905926</v>
      </c>
      <c r="L166" s="615">
        <v>344.00827841704194</v>
      </c>
      <c r="M166" s="615">
        <v>22.299860098650736</v>
      </c>
      <c r="N166" s="615">
        <v>-3.2051017584258545</v>
      </c>
      <c r="O166" s="615">
        <v>-1.282167408596093</v>
      </c>
      <c r="P166" s="615">
        <v>124.26113436397709</v>
      </c>
      <c r="Q166" s="615">
        <v>16.54082734098899</v>
      </c>
      <c r="R166" s="615">
        <v>-64.694612145471979</v>
      </c>
      <c r="S166" s="615">
        <v>0</v>
      </c>
      <c r="T166" s="615">
        <v>-0.78215595692491036</v>
      </c>
      <c r="U166" s="615">
        <v>2521.1235486768205</v>
      </c>
      <c r="V166" s="51"/>
    </row>
    <row r="167" spans="3:22" x14ac:dyDescent="0.25">
      <c r="C167" s="616"/>
      <c r="D167" s="617"/>
      <c r="E167" s="617"/>
      <c r="F167" s="617"/>
      <c r="G167" s="617"/>
      <c r="H167" s="623"/>
      <c r="I167" s="617"/>
      <c r="J167" s="617"/>
      <c r="K167" s="617"/>
      <c r="L167" s="617"/>
      <c r="M167" s="617"/>
      <c r="N167" s="617"/>
      <c r="O167" s="617"/>
      <c r="P167" s="617"/>
      <c r="Q167" s="617"/>
      <c r="R167" s="617"/>
      <c r="S167" s="617"/>
      <c r="T167" s="617"/>
      <c r="U167" s="617"/>
      <c r="V167" s="51"/>
    </row>
    <row r="168" spans="3:22" x14ac:dyDescent="0.25">
      <c r="C168" s="618" t="s">
        <v>67</v>
      </c>
      <c r="D168" s="611">
        <v>0</v>
      </c>
      <c r="E168" s="611">
        <v>0</v>
      </c>
      <c r="F168" s="611">
        <v>0</v>
      </c>
      <c r="G168" s="611">
        <v>0</v>
      </c>
      <c r="H168" s="611">
        <v>0</v>
      </c>
      <c r="I168" s="611">
        <v>0</v>
      </c>
      <c r="J168" s="611">
        <v>0</v>
      </c>
      <c r="K168" s="611">
        <v>0</v>
      </c>
      <c r="L168" s="611">
        <v>0</v>
      </c>
      <c r="M168" s="611">
        <v>0</v>
      </c>
      <c r="N168" s="611">
        <v>0</v>
      </c>
      <c r="O168" s="611">
        <v>0</v>
      </c>
      <c r="P168" s="611">
        <v>0</v>
      </c>
      <c r="Q168" s="611">
        <v>0</v>
      </c>
      <c r="R168" s="611">
        <v>0</v>
      </c>
      <c r="S168" s="611">
        <v>0</v>
      </c>
      <c r="T168" s="611">
        <v>0</v>
      </c>
      <c r="U168" s="619">
        <v>0</v>
      </c>
      <c r="V168" s="51"/>
    </row>
    <row r="169" spans="3:22" x14ac:dyDescent="0.25">
      <c r="C169" s="618" t="s">
        <v>347</v>
      </c>
      <c r="D169" s="611">
        <v>0</v>
      </c>
      <c r="E169" s="611">
        <v>0</v>
      </c>
      <c r="F169" s="611">
        <v>0.79278558393774012</v>
      </c>
      <c r="G169" s="611">
        <v>0</v>
      </c>
      <c r="H169" s="611">
        <v>39.527338676233185</v>
      </c>
      <c r="I169" s="611">
        <v>0</v>
      </c>
      <c r="J169" s="611">
        <v>1149.5641818181819</v>
      </c>
      <c r="K169" s="611">
        <v>271.86081401905926</v>
      </c>
      <c r="L169" s="611">
        <v>24.281645722742617</v>
      </c>
      <c r="M169" s="611">
        <v>0.5839400251691752</v>
      </c>
      <c r="N169" s="611">
        <v>4.7819832265678626</v>
      </c>
      <c r="O169" s="611">
        <v>10.613276143464974</v>
      </c>
      <c r="P169" s="611">
        <v>0</v>
      </c>
      <c r="Q169" s="611">
        <v>1.6766395861963883</v>
      </c>
      <c r="R169" s="611">
        <v>-716.26174271126808</v>
      </c>
      <c r="S169" s="611">
        <v>0</v>
      </c>
      <c r="T169" s="611">
        <v>0</v>
      </c>
      <c r="U169" s="619">
        <v>787.42086209028514</v>
      </c>
      <c r="V169" s="51"/>
    </row>
    <row r="170" spans="3:22" x14ac:dyDescent="0.25">
      <c r="C170" s="618" t="s">
        <v>348</v>
      </c>
      <c r="D170" s="611">
        <v>0</v>
      </c>
      <c r="E170" s="611">
        <v>0</v>
      </c>
      <c r="F170" s="611">
        <v>0</v>
      </c>
      <c r="G170" s="611">
        <v>0</v>
      </c>
      <c r="H170" s="611">
        <v>13.826141720513146</v>
      </c>
      <c r="I170" s="611">
        <v>0</v>
      </c>
      <c r="J170" s="611">
        <v>0</v>
      </c>
      <c r="K170" s="611">
        <v>0</v>
      </c>
      <c r="L170" s="611">
        <v>34.119427125451772</v>
      </c>
      <c r="M170" s="611">
        <v>14.48897225092947</v>
      </c>
      <c r="N170" s="611">
        <v>0</v>
      </c>
      <c r="O170" s="611">
        <v>4.1434435426951568</v>
      </c>
      <c r="P170" s="611">
        <v>0</v>
      </c>
      <c r="Q170" s="611">
        <v>9.1888101009468421</v>
      </c>
      <c r="R170" s="611">
        <v>0</v>
      </c>
      <c r="S170" s="611">
        <v>-69.315447914592554</v>
      </c>
      <c r="T170" s="611">
        <v>0</v>
      </c>
      <c r="U170" s="619">
        <v>6.4513468259438298</v>
      </c>
      <c r="V170" s="51"/>
    </row>
    <row r="171" spans="3:22" x14ac:dyDescent="0.25">
      <c r="C171" s="618" t="s">
        <v>349</v>
      </c>
      <c r="D171" s="611">
        <v>0</v>
      </c>
      <c r="E171" s="611">
        <v>0</v>
      </c>
      <c r="F171" s="611">
        <v>0</v>
      </c>
      <c r="G171" s="611">
        <v>0</v>
      </c>
      <c r="H171" s="611">
        <v>0</v>
      </c>
      <c r="I171" s="611">
        <v>0</v>
      </c>
      <c r="J171" s="611">
        <v>0</v>
      </c>
      <c r="K171" s="611">
        <v>0</v>
      </c>
      <c r="L171" s="611">
        <v>72.746177616513393</v>
      </c>
      <c r="M171" s="611">
        <v>0</v>
      </c>
      <c r="N171" s="611">
        <v>0</v>
      </c>
      <c r="O171" s="611">
        <v>-66.093448965783651</v>
      </c>
      <c r="P171" s="611">
        <v>0</v>
      </c>
      <c r="Q171" s="611">
        <v>0</v>
      </c>
      <c r="R171" s="611">
        <v>0</v>
      </c>
      <c r="S171" s="611">
        <v>0</v>
      </c>
      <c r="T171" s="611">
        <v>0</v>
      </c>
      <c r="U171" s="619">
        <v>6.6527286507297418</v>
      </c>
      <c r="V171" s="51"/>
    </row>
    <row r="172" spans="3:22" x14ac:dyDescent="0.25">
      <c r="C172" s="618" t="s">
        <v>350</v>
      </c>
      <c r="D172" s="611">
        <v>0</v>
      </c>
      <c r="E172" s="611">
        <v>0</v>
      </c>
      <c r="F172" s="611">
        <v>0</v>
      </c>
      <c r="G172" s="611">
        <v>0</v>
      </c>
      <c r="H172" s="611">
        <v>0</v>
      </c>
      <c r="I172" s="611">
        <v>-1.5305667943868051</v>
      </c>
      <c r="J172" s="611">
        <v>0</v>
      </c>
      <c r="K172" s="611">
        <v>0</v>
      </c>
      <c r="L172" s="611">
        <v>0</v>
      </c>
      <c r="M172" s="611">
        <v>0</v>
      </c>
      <c r="N172" s="611">
        <v>0</v>
      </c>
      <c r="O172" s="611">
        <v>0</v>
      </c>
      <c r="P172" s="611">
        <v>0</v>
      </c>
      <c r="Q172" s="611">
        <v>0</v>
      </c>
      <c r="R172" s="611">
        <v>0</v>
      </c>
      <c r="S172" s="611">
        <v>0</v>
      </c>
      <c r="T172" s="611">
        <v>2.1257872144261181</v>
      </c>
      <c r="U172" s="619">
        <v>0.59522042003931297</v>
      </c>
      <c r="V172" s="51"/>
    </row>
    <row r="173" spans="3:22" x14ac:dyDescent="0.25">
      <c r="C173" s="618" t="s">
        <v>72</v>
      </c>
      <c r="D173" s="611">
        <v>0</v>
      </c>
      <c r="E173" s="611">
        <v>370.08210545563031</v>
      </c>
      <c r="F173" s="611">
        <v>-366.39718123017576</v>
      </c>
      <c r="G173" s="611">
        <v>0</v>
      </c>
      <c r="H173" s="611">
        <v>0</v>
      </c>
      <c r="I173" s="611">
        <v>0</v>
      </c>
      <c r="J173" s="611">
        <v>0</v>
      </c>
      <c r="K173" s="611">
        <v>0</v>
      </c>
      <c r="L173" s="611">
        <v>0</v>
      </c>
      <c r="M173" s="611">
        <v>0</v>
      </c>
      <c r="N173" s="611">
        <v>0</v>
      </c>
      <c r="O173" s="611">
        <v>0</v>
      </c>
      <c r="P173" s="611">
        <v>0</v>
      </c>
      <c r="Q173" s="611">
        <v>0</v>
      </c>
      <c r="R173" s="611">
        <v>0</v>
      </c>
      <c r="S173" s="611">
        <v>0</v>
      </c>
      <c r="T173" s="611">
        <v>0</v>
      </c>
      <c r="U173" s="619">
        <v>3.6849242254545516</v>
      </c>
      <c r="V173" s="51"/>
    </row>
    <row r="174" spans="3:22" x14ac:dyDescent="0.25">
      <c r="C174" s="618" t="s">
        <v>351</v>
      </c>
      <c r="D174" s="611">
        <v>0</v>
      </c>
      <c r="E174" s="611">
        <v>0</v>
      </c>
      <c r="F174" s="611">
        <v>0</v>
      </c>
      <c r="G174" s="611">
        <v>0</v>
      </c>
      <c r="H174" s="611">
        <v>0</v>
      </c>
      <c r="I174" s="611">
        <v>0</v>
      </c>
      <c r="J174" s="611">
        <v>0</v>
      </c>
      <c r="K174" s="611">
        <v>0</v>
      </c>
      <c r="L174" s="611">
        <v>134.10005475855147</v>
      </c>
      <c r="M174" s="611">
        <v>0</v>
      </c>
      <c r="N174" s="611">
        <v>-73.755030117203319</v>
      </c>
      <c r="O174" s="611">
        <v>0</v>
      </c>
      <c r="P174" s="611">
        <v>0</v>
      </c>
      <c r="Q174" s="611">
        <v>0</v>
      </c>
      <c r="R174" s="611">
        <v>0</v>
      </c>
      <c r="S174" s="611">
        <v>0</v>
      </c>
      <c r="T174" s="611">
        <v>0</v>
      </c>
      <c r="U174" s="619">
        <v>60.345024641348147</v>
      </c>
      <c r="V174" s="51"/>
    </row>
    <row r="175" spans="3:22" x14ac:dyDescent="0.25">
      <c r="C175" s="618" t="s">
        <v>352</v>
      </c>
      <c r="D175" s="611">
        <v>0</v>
      </c>
      <c r="E175" s="611">
        <v>0</v>
      </c>
      <c r="F175" s="611">
        <v>0</v>
      </c>
      <c r="G175" s="611">
        <v>-5.329861681315144</v>
      </c>
      <c r="H175" s="611">
        <v>0</v>
      </c>
      <c r="I175" s="611">
        <v>0</v>
      </c>
      <c r="J175" s="611">
        <v>0</v>
      </c>
      <c r="K175" s="611">
        <v>0</v>
      </c>
      <c r="L175" s="611">
        <v>0</v>
      </c>
      <c r="M175" s="611">
        <v>0</v>
      </c>
      <c r="N175" s="611">
        <v>0</v>
      </c>
      <c r="O175" s="611">
        <v>0</v>
      </c>
      <c r="P175" s="611">
        <v>0</v>
      </c>
      <c r="Q175" s="611">
        <v>0</v>
      </c>
      <c r="R175" s="611">
        <v>0</v>
      </c>
      <c r="S175" s="611">
        <v>0</v>
      </c>
      <c r="T175" s="611">
        <v>6.9775871245462397</v>
      </c>
      <c r="U175" s="619">
        <v>1.6477254432310957</v>
      </c>
      <c r="V175" s="51"/>
    </row>
    <row r="176" spans="3:22" x14ac:dyDescent="0.25">
      <c r="C176" s="618" t="s">
        <v>73</v>
      </c>
      <c r="D176" s="611">
        <v>0</v>
      </c>
      <c r="E176" s="611">
        <v>0</v>
      </c>
      <c r="F176" s="611">
        <v>0</v>
      </c>
      <c r="G176" s="611">
        <v>0</v>
      </c>
      <c r="H176" s="611">
        <v>0</v>
      </c>
      <c r="I176" s="611">
        <v>0</v>
      </c>
      <c r="J176" s="611">
        <v>0</v>
      </c>
      <c r="K176" s="611">
        <v>0</v>
      </c>
      <c r="L176" s="611">
        <v>0</v>
      </c>
      <c r="M176" s="611">
        <v>0</v>
      </c>
      <c r="N176" s="611">
        <v>0</v>
      </c>
      <c r="O176" s="611">
        <v>0</v>
      </c>
      <c r="P176" s="611">
        <v>0</v>
      </c>
      <c r="Q176" s="611">
        <v>0</v>
      </c>
      <c r="R176" s="611">
        <v>42.069884379238346</v>
      </c>
      <c r="S176" s="611">
        <v>0</v>
      </c>
      <c r="T176" s="611">
        <v>-27.787158632486928</v>
      </c>
      <c r="U176" s="619">
        <v>14.282725746751417</v>
      </c>
      <c r="V176" s="51"/>
    </row>
    <row r="177" spans="3:22" x14ac:dyDescent="0.25">
      <c r="C177" s="618" t="s">
        <v>353</v>
      </c>
      <c r="D177" s="611">
        <v>10.559522109374999</v>
      </c>
      <c r="E177" s="611">
        <v>-12.982390208331097</v>
      </c>
      <c r="F177" s="611">
        <v>16.901350191946939</v>
      </c>
      <c r="G177" s="611">
        <v>0</v>
      </c>
      <c r="H177" s="611">
        <v>0</v>
      </c>
      <c r="I177" s="611">
        <v>0</v>
      </c>
      <c r="J177" s="611">
        <v>0</v>
      </c>
      <c r="K177" s="611">
        <v>0</v>
      </c>
      <c r="L177" s="611">
        <v>0</v>
      </c>
      <c r="M177" s="611">
        <v>0</v>
      </c>
      <c r="N177" s="611">
        <v>0</v>
      </c>
      <c r="O177" s="611">
        <v>0</v>
      </c>
      <c r="P177" s="611">
        <v>0</v>
      </c>
      <c r="Q177" s="611">
        <v>0</v>
      </c>
      <c r="R177" s="611">
        <v>0</v>
      </c>
      <c r="S177" s="611">
        <v>0</v>
      </c>
      <c r="T177" s="611">
        <v>0</v>
      </c>
      <c r="U177" s="619">
        <v>14.478482092990841</v>
      </c>
      <c r="V177" s="51"/>
    </row>
    <row r="178" spans="3:22" x14ac:dyDescent="0.25">
      <c r="C178" s="618" t="s">
        <v>75</v>
      </c>
      <c r="D178" s="611">
        <v>4.1064808203125001</v>
      </c>
      <c r="E178" s="611">
        <v>0</v>
      </c>
      <c r="F178" s="611">
        <v>12.729375657811177</v>
      </c>
      <c r="G178" s="611">
        <v>0</v>
      </c>
      <c r="H178" s="611">
        <v>4.2427950511099199</v>
      </c>
      <c r="I178" s="611">
        <v>0</v>
      </c>
      <c r="J178" s="611">
        <v>0</v>
      </c>
      <c r="K178" s="611">
        <v>0</v>
      </c>
      <c r="L178" s="611">
        <v>0</v>
      </c>
      <c r="M178" s="611">
        <v>0</v>
      </c>
      <c r="N178" s="611">
        <v>0</v>
      </c>
      <c r="O178" s="611">
        <v>1.210669024866841</v>
      </c>
      <c r="P178" s="611">
        <v>0</v>
      </c>
      <c r="Q178" s="611">
        <v>0</v>
      </c>
      <c r="R178" s="611">
        <v>59.039710702043344</v>
      </c>
      <c r="S178" s="611">
        <v>0</v>
      </c>
      <c r="T178" s="611">
        <v>0</v>
      </c>
      <c r="U178" s="619">
        <v>81.329031256143779</v>
      </c>
      <c r="V178" s="51"/>
    </row>
    <row r="179" spans="3:22" x14ac:dyDescent="0.25">
      <c r="C179" s="618" t="s">
        <v>76</v>
      </c>
      <c r="D179" s="611">
        <v>0</v>
      </c>
      <c r="E179" s="611">
        <v>0</v>
      </c>
      <c r="F179" s="611">
        <v>0</v>
      </c>
      <c r="G179" s="611">
        <v>0</v>
      </c>
      <c r="H179" s="611">
        <v>2.5536194920018747</v>
      </c>
      <c r="I179" s="611">
        <v>0</v>
      </c>
      <c r="J179" s="611">
        <v>0</v>
      </c>
      <c r="K179" s="611">
        <v>0</v>
      </c>
      <c r="L179" s="611">
        <v>0</v>
      </c>
      <c r="M179" s="611">
        <v>0</v>
      </c>
      <c r="N179" s="611">
        <v>0</v>
      </c>
      <c r="O179" s="611">
        <v>0.7286677727820261</v>
      </c>
      <c r="P179" s="611">
        <v>0</v>
      </c>
      <c r="Q179" s="611">
        <v>0</v>
      </c>
      <c r="R179" s="611">
        <v>49.895923286473447</v>
      </c>
      <c r="S179" s="611">
        <v>5.3757235045056531</v>
      </c>
      <c r="T179" s="611">
        <v>0</v>
      </c>
      <c r="U179" s="619">
        <v>58.553934055763001</v>
      </c>
      <c r="V179" s="51"/>
    </row>
    <row r="180" spans="3:22" x14ac:dyDescent="0.25">
      <c r="C180" s="614" t="s">
        <v>77</v>
      </c>
      <c r="D180" s="615">
        <v>14.666002929687499</v>
      </c>
      <c r="E180" s="615">
        <v>357.09971524729923</v>
      </c>
      <c r="F180" s="615">
        <v>-335.97366979647984</v>
      </c>
      <c r="G180" s="615">
        <v>-5.329861681315144</v>
      </c>
      <c r="H180" s="615">
        <v>60.149894939858129</v>
      </c>
      <c r="I180" s="615">
        <v>-1.5305667943868051</v>
      </c>
      <c r="J180" s="615">
        <v>1149.5641818181819</v>
      </c>
      <c r="K180" s="615">
        <v>271.86081401905926</v>
      </c>
      <c r="L180" s="615">
        <v>265.24730522325922</v>
      </c>
      <c r="M180" s="615">
        <v>15.072912276098645</v>
      </c>
      <c r="N180" s="615">
        <v>-68.973046890635459</v>
      </c>
      <c r="O180" s="615">
        <v>-49.397392481974656</v>
      </c>
      <c r="P180" s="615">
        <v>0</v>
      </c>
      <c r="Q180" s="615">
        <v>10.865449687143231</v>
      </c>
      <c r="R180" s="615">
        <v>-565.25622434351294</v>
      </c>
      <c r="S180" s="615">
        <v>-63.939724410086903</v>
      </c>
      <c r="T180" s="615">
        <v>-18.68378429351457</v>
      </c>
      <c r="U180" s="615">
        <v>1035.4420054486809</v>
      </c>
      <c r="V180" s="51"/>
    </row>
    <row r="181" spans="3:22" x14ac:dyDescent="0.25">
      <c r="C181" s="616"/>
      <c r="D181" s="617"/>
      <c r="E181" s="617"/>
      <c r="F181" s="617"/>
      <c r="G181" s="617"/>
      <c r="H181" s="623"/>
      <c r="I181" s="617"/>
      <c r="J181" s="617"/>
      <c r="K181" s="617"/>
      <c r="L181" s="617"/>
      <c r="M181" s="617"/>
      <c r="N181" s="617"/>
      <c r="O181" s="617"/>
      <c r="P181" s="617"/>
      <c r="Q181" s="617"/>
      <c r="R181" s="617"/>
      <c r="S181" s="617"/>
      <c r="T181" s="617"/>
      <c r="U181" s="617"/>
      <c r="V181" s="51"/>
    </row>
    <row r="182" spans="3:22" x14ac:dyDescent="0.25">
      <c r="C182" s="618" t="s">
        <v>78</v>
      </c>
      <c r="D182" s="611">
        <v>3.6211505206873706</v>
      </c>
      <c r="E182" s="611">
        <v>0</v>
      </c>
      <c r="F182" s="611">
        <v>10.977786664841062</v>
      </c>
      <c r="G182" s="611">
        <v>0</v>
      </c>
      <c r="H182" s="611">
        <v>68.786287212877468</v>
      </c>
      <c r="I182" s="611">
        <v>0</v>
      </c>
      <c r="J182" s="611">
        <v>0</v>
      </c>
      <c r="K182" s="611">
        <v>0</v>
      </c>
      <c r="L182" s="611">
        <v>21.558703212450474</v>
      </c>
      <c r="M182" s="611">
        <v>7.2264532765434186</v>
      </c>
      <c r="N182" s="611">
        <v>1.1431902408607149</v>
      </c>
      <c r="O182" s="611">
        <v>19.659289951979574</v>
      </c>
      <c r="P182" s="611">
        <v>7.7275585937500004</v>
      </c>
      <c r="Q182" s="611">
        <v>6.3863689419622622E-4</v>
      </c>
      <c r="R182" s="611">
        <v>157.82302310235053</v>
      </c>
      <c r="S182" s="611">
        <v>19.724565273985597</v>
      </c>
      <c r="T182" s="611">
        <v>5.5820537109375001</v>
      </c>
      <c r="U182" s="619">
        <v>323.83070039815789</v>
      </c>
      <c r="V182" s="51"/>
    </row>
    <row r="183" spans="3:22" x14ac:dyDescent="0.25">
      <c r="C183" s="618" t="s">
        <v>79</v>
      </c>
      <c r="D183" s="611">
        <v>0</v>
      </c>
      <c r="E183" s="611">
        <v>0</v>
      </c>
      <c r="F183" s="611">
        <v>242.40875758324066</v>
      </c>
      <c r="G183" s="611">
        <v>0.47070091421213178</v>
      </c>
      <c r="H183" s="611">
        <v>5.6712945537201502</v>
      </c>
      <c r="I183" s="611">
        <v>0</v>
      </c>
      <c r="J183" s="611">
        <v>0</v>
      </c>
      <c r="K183" s="611">
        <v>0</v>
      </c>
      <c r="L183" s="611">
        <v>0</v>
      </c>
      <c r="M183" s="611">
        <v>0</v>
      </c>
      <c r="N183" s="611">
        <v>48.1771719361642</v>
      </c>
      <c r="O183" s="611">
        <v>1.6182871348661612</v>
      </c>
      <c r="P183" s="611">
        <v>0</v>
      </c>
      <c r="Q183" s="611">
        <v>0</v>
      </c>
      <c r="R183" s="611">
        <v>51.204779610530323</v>
      </c>
      <c r="S183" s="611">
        <v>0</v>
      </c>
      <c r="T183" s="611">
        <v>1.9274779617440119</v>
      </c>
      <c r="U183" s="619">
        <v>351.47846969447755</v>
      </c>
      <c r="V183" s="51"/>
    </row>
    <row r="184" spans="3:22" x14ac:dyDescent="0.25">
      <c r="C184" s="618" t="s">
        <v>80</v>
      </c>
      <c r="D184" s="611">
        <v>0</v>
      </c>
      <c r="E184" s="611">
        <v>0</v>
      </c>
      <c r="F184" s="611">
        <v>4.7459283971856747</v>
      </c>
      <c r="G184" s="611">
        <v>0</v>
      </c>
      <c r="H184" s="611">
        <v>46.893886558316041</v>
      </c>
      <c r="I184" s="611">
        <v>0</v>
      </c>
      <c r="J184" s="611">
        <v>0</v>
      </c>
      <c r="K184" s="611">
        <v>0</v>
      </c>
      <c r="L184" s="611">
        <v>53.872586019631953</v>
      </c>
      <c r="M184" s="611">
        <v>0</v>
      </c>
      <c r="N184" s="611">
        <v>0</v>
      </c>
      <c r="O184" s="611">
        <v>13.381031897103036</v>
      </c>
      <c r="P184" s="611">
        <v>80.312688161253334</v>
      </c>
      <c r="Q184" s="611">
        <v>2.1381357466702497</v>
      </c>
      <c r="R184" s="611">
        <v>164.73755500792967</v>
      </c>
      <c r="S184" s="611">
        <v>25.752701366315002</v>
      </c>
      <c r="T184" s="611">
        <v>0</v>
      </c>
      <c r="U184" s="619">
        <v>391.83451315440499</v>
      </c>
      <c r="V184" s="51"/>
    </row>
    <row r="185" spans="3:22" x14ac:dyDescent="0.25">
      <c r="C185" s="618" t="s">
        <v>81</v>
      </c>
      <c r="D185" s="611">
        <v>0</v>
      </c>
      <c r="E185" s="611">
        <v>0</v>
      </c>
      <c r="F185" s="611">
        <v>2.8086748566203306</v>
      </c>
      <c r="G185" s="611">
        <v>0</v>
      </c>
      <c r="H185" s="611">
        <v>32.689315451169001</v>
      </c>
      <c r="I185" s="611">
        <v>0</v>
      </c>
      <c r="J185" s="611">
        <v>0</v>
      </c>
      <c r="K185" s="611">
        <v>0</v>
      </c>
      <c r="L185" s="611">
        <v>0.62063021721986544</v>
      </c>
      <c r="M185" s="611">
        <v>0</v>
      </c>
      <c r="N185" s="611">
        <v>0</v>
      </c>
      <c r="O185" s="611">
        <v>9.3277995246266308</v>
      </c>
      <c r="P185" s="611">
        <v>35.570887608973749</v>
      </c>
      <c r="Q185" s="611">
        <v>2.708787957071054</v>
      </c>
      <c r="R185" s="611">
        <v>119.47734544980881</v>
      </c>
      <c r="S185" s="611">
        <v>18.462457769786305</v>
      </c>
      <c r="T185" s="611">
        <v>0</v>
      </c>
      <c r="U185" s="619">
        <v>221.66589883527573</v>
      </c>
      <c r="V185" s="51"/>
    </row>
    <row r="186" spans="3:22" x14ac:dyDescent="0.25">
      <c r="C186" s="618" t="s">
        <v>82</v>
      </c>
      <c r="D186" s="611">
        <v>0</v>
      </c>
      <c r="E186" s="611">
        <v>0</v>
      </c>
      <c r="F186" s="611">
        <v>25.559609559205267</v>
      </c>
      <c r="G186" s="611">
        <v>0</v>
      </c>
      <c r="H186" s="611">
        <v>1.621332154914384</v>
      </c>
      <c r="I186" s="611">
        <v>0</v>
      </c>
      <c r="J186" s="611">
        <v>0</v>
      </c>
      <c r="K186" s="611">
        <v>0</v>
      </c>
      <c r="L186" s="611">
        <v>2.5283272915061801</v>
      </c>
      <c r="M186" s="611">
        <v>0</v>
      </c>
      <c r="N186" s="611">
        <v>7.0504971038057827</v>
      </c>
      <c r="O186" s="611">
        <v>0.46264233726348752</v>
      </c>
      <c r="P186" s="611">
        <v>0.65</v>
      </c>
      <c r="Q186" s="611">
        <v>0.82781531321025892</v>
      </c>
      <c r="R186" s="611">
        <v>6.8619490274216233</v>
      </c>
      <c r="S186" s="611">
        <v>0</v>
      </c>
      <c r="T186" s="611">
        <v>0.27650857826431391</v>
      </c>
      <c r="U186" s="619">
        <v>45.838681365591299</v>
      </c>
      <c r="V186" s="51"/>
    </row>
    <row r="187" spans="3:22" x14ac:dyDescent="0.25">
      <c r="C187" s="618" t="s">
        <v>354</v>
      </c>
      <c r="D187" s="611">
        <v>0</v>
      </c>
      <c r="E187" s="611">
        <v>0</v>
      </c>
      <c r="F187" s="611">
        <v>0</v>
      </c>
      <c r="G187" s="611">
        <v>0</v>
      </c>
      <c r="H187" s="611">
        <v>0</v>
      </c>
      <c r="I187" s="611">
        <v>0</v>
      </c>
      <c r="J187" s="611">
        <v>0</v>
      </c>
      <c r="K187" s="611">
        <v>0</v>
      </c>
      <c r="L187" s="611">
        <v>0</v>
      </c>
      <c r="M187" s="611">
        <v>0</v>
      </c>
      <c r="N187" s="611">
        <v>0</v>
      </c>
      <c r="O187" s="611">
        <v>0</v>
      </c>
      <c r="P187" s="611">
        <v>0</v>
      </c>
      <c r="Q187" s="611">
        <v>0</v>
      </c>
      <c r="R187" s="611">
        <v>0.45696000000000003</v>
      </c>
      <c r="S187" s="611">
        <v>0</v>
      </c>
      <c r="T187" s="611">
        <v>0</v>
      </c>
      <c r="U187" s="619">
        <v>0.45696000000000003</v>
      </c>
      <c r="V187" s="51"/>
    </row>
    <row r="188" spans="3:22" x14ac:dyDescent="0.25">
      <c r="C188" s="614" t="s">
        <v>83</v>
      </c>
      <c r="D188" s="615">
        <v>3.6211505206873706</v>
      </c>
      <c r="E188" s="615">
        <v>0</v>
      </c>
      <c r="F188" s="615">
        <v>286.500757061093</v>
      </c>
      <c r="G188" s="615">
        <v>0.47070091421213178</v>
      </c>
      <c r="H188" s="615">
        <v>155.66211593099703</v>
      </c>
      <c r="I188" s="615">
        <v>0</v>
      </c>
      <c r="J188" s="615">
        <v>0</v>
      </c>
      <c r="K188" s="615">
        <v>0</v>
      </c>
      <c r="L188" s="615">
        <v>78.580246740808491</v>
      </c>
      <c r="M188" s="615">
        <v>7.2264532765434186</v>
      </c>
      <c r="N188" s="615">
        <v>56.370859280830693</v>
      </c>
      <c r="O188" s="615">
        <v>44.449050845838883</v>
      </c>
      <c r="P188" s="615">
        <v>124.26113436397709</v>
      </c>
      <c r="Q188" s="615">
        <v>5.675377653845759</v>
      </c>
      <c r="R188" s="615">
        <v>500.56161219804096</v>
      </c>
      <c r="S188" s="615">
        <v>63.939724410086903</v>
      </c>
      <c r="T188" s="615">
        <v>7.7860402509458257</v>
      </c>
      <c r="U188" s="615">
        <v>1335.1052234479075</v>
      </c>
      <c r="V188" s="51"/>
    </row>
    <row r="189" spans="3:22" x14ac:dyDescent="0.25">
      <c r="C189" s="610" t="s">
        <v>84</v>
      </c>
      <c r="D189" s="611">
        <v>0</v>
      </c>
      <c r="E189" s="611">
        <v>0</v>
      </c>
      <c r="F189" s="611">
        <v>113.49672881606593</v>
      </c>
      <c r="G189" s="611">
        <v>1.6270462103343666</v>
      </c>
      <c r="H189" s="611">
        <v>12.092475590286487</v>
      </c>
      <c r="I189" s="611">
        <v>0</v>
      </c>
      <c r="J189" s="611">
        <v>0</v>
      </c>
      <c r="K189" s="611">
        <v>0</v>
      </c>
      <c r="L189" s="611">
        <v>0.18072645297419759</v>
      </c>
      <c r="M189" s="611">
        <v>0</v>
      </c>
      <c r="N189" s="611">
        <v>9.3970858513789164</v>
      </c>
      <c r="O189" s="611">
        <v>3.666174227539674</v>
      </c>
      <c r="P189" s="611">
        <v>0</v>
      </c>
      <c r="Q189" s="611">
        <v>0</v>
      </c>
      <c r="R189" s="611">
        <v>0</v>
      </c>
      <c r="S189" s="611">
        <v>0</v>
      </c>
      <c r="T189" s="611">
        <v>10.115588085643834</v>
      </c>
      <c r="U189" s="619">
        <v>150.57582523422337</v>
      </c>
      <c r="V189" s="51"/>
    </row>
    <row r="190" spans="3:22" x14ac:dyDescent="0.25">
      <c r="C190" s="614" t="s">
        <v>85</v>
      </c>
      <c r="D190" s="615">
        <v>3.6211505206873706</v>
      </c>
      <c r="E190" s="615">
        <v>0</v>
      </c>
      <c r="F190" s="615">
        <v>399.99748587715891</v>
      </c>
      <c r="G190" s="615">
        <v>2.0977471245464985</v>
      </c>
      <c r="H190" s="615">
        <v>167.75459152128352</v>
      </c>
      <c r="I190" s="615">
        <v>0</v>
      </c>
      <c r="J190" s="615">
        <v>0</v>
      </c>
      <c r="K190" s="615">
        <v>0</v>
      </c>
      <c r="L190" s="615">
        <v>78.760973193782689</v>
      </c>
      <c r="M190" s="615">
        <v>7.2264532765434186</v>
      </c>
      <c r="N190" s="615">
        <v>65.767945132209604</v>
      </c>
      <c r="O190" s="615">
        <v>48.115225073378554</v>
      </c>
      <c r="P190" s="615">
        <v>124.26113436397709</v>
      </c>
      <c r="Q190" s="615">
        <v>5.675377653845759</v>
      </c>
      <c r="R190" s="615">
        <v>500.56161219804096</v>
      </c>
      <c r="S190" s="615">
        <v>63.939724410086903</v>
      </c>
      <c r="T190" s="615">
        <v>17.90162833658966</v>
      </c>
      <c r="U190" s="615">
        <v>1485.6810486821309</v>
      </c>
      <c r="V190" s="51"/>
    </row>
    <row r="191" spans="3:22" x14ac:dyDescent="0.25">
      <c r="C191" s="51"/>
      <c r="D191" s="67">
        <v>0</v>
      </c>
      <c r="E191" s="67">
        <v>0</v>
      </c>
      <c r="F191" s="67">
        <v>0</v>
      </c>
      <c r="G191" s="67">
        <v>0</v>
      </c>
      <c r="H191" s="67">
        <v>0</v>
      </c>
      <c r="I191" s="67">
        <v>0</v>
      </c>
      <c r="J191" s="67">
        <v>0</v>
      </c>
      <c r="K191" s="67">
        <v>0</v>
      </c>
      <c r="L191" s="67">
        <v>0</v>
      </c>
      <c r="M191" s="67">
        <v>-4.9454600867093745E-4</v>
      </c>
      <c r="N191" s="67">
        <v>0</v>
      </c>
      <c r="O191" s="67">
        <v>-9.1038288019262836E-15</v>
      </c>
      <c r="P191" s="67">
        <v>0</v>
      </c>
      <c r="Q191" s="67">
        <v>0</v>
      </c>
      <c r="R191" s="67">
        <v>0</v>
      </c>
      <c r="S191" s="67">
        <v>0</v>
      </c>
      <c r="T191" s="67">
        <v>0</v>
      </c>
      <c r="U191" s="67">
        <v>-4.9454600866738474E-4</v>
      </c>
      <c r="V191" s="51"/>
    </row>
    <row r="192" spans="3:22" x14ac:dyDescent="0.25">
      <c r="C192" s="51"/>
      <c r="D192" s="51"/>
      <c r="E192" s="51"/>
      <c r="F192" s="51"/>
      <c r="G192" s="67"/>
      <c r="H192" s="51"/>
      <c r="I192" s="51"/>
      <c r="J192" s="51"/>
      <c r="K192" s="51"/>
      <c r="L192" s="51"/>
      <c r="M192" s="51"/>
      <c r="N192" s="51"/>
      <c r="O192" s="51"/>
      <c r="P192" s="51"/>
      <c r="Q192" s="51"/>
      <c r="R192" s="51"/>
      <c r="S192" s="51"/>
      <c r="T192" s="51"/>
      <c r="U192" s="51"/>
      <c r="V192" s="51"/>
    </row>
    <row r="193" spans="3:22" x14ac:dyDescent="0.25">
      <c r="C193" s="607" t="s">
        <v>358</v>
      </c>
      <c r="D193" s="606"/>
      <c r="E193" s="606"/>
      <c r="F193" s="606"/>
      <c r="G193" s="682"/>
      <c r="H193" s="606"/>
      <c r="I193" s="606"/>
      <c r="J193" s="606"/>
      <c r="K193" s="606"/>
      <c r="L193" s="606"/>
      <c r="M193" s="606"/>
      <c r="N193" s="606"/>
      <c r="O193" s="606"/>
      <c r="P193" s="606"/>
      <c r="Q193" s="606"/>
      <c r="R193" s="606"/>
      <c r="S193" s="606"/>
      <c r="T193" s="606"/>
      <c r="U193" s="606"/>
      <c r="V193" s="606"/>
    </row>
    <row r="194" spans="3:22" x14ac:dyDescent="0.25">
      <c r="C194" s="51"/>
      <c r="D194" s="51"/>
      <c r="E194" s="51"/>
      <c r="F194" s="51"/>
      <c r="G194" s="67"/>
      <c r="H194" s="51"/>
      <c r="I194" s="51"/>
      <c r="J194" s="51"/>
      <c r="K194" s="51"/>
      <c r="L194" s="51"/>
      <c r="M194" s="51"/>
      <c r="N194" s="51"/>
      <c r="O194" s="51"/>
      <c r="P194" s="51"/>
      <c r="Q194" s="51"/>
      <c r="R194" s="51"/>
      <c r="S194" s="51"/>
      <c r="T194" s="51"/>
      <c r="U194" s="51"/>
      <c r="V194" s="51"/>
    </row>
    <row r="195" spans="3:22" x14ac:dyDescent="0.25">
      <c r="C195" s="764" t="s">
        <v>128</v>
      </c>
      <c r="D195" s="753" t="s">
        <v>42</v>
      </c>
      <c r="E195" s="753" t="s">
        <v>52</v>
      </c>
      <c r="F195" s="753" t="s">
        <v>53</v>
      </c>
      <c r="G195" s="766" t="s">
        <v>482</v>
      </c>
      <c r="H195" s="753" t="s">
        <v>32</v>
      </c>
      <c r="I195" s="753" t="s">
        <v>483</v>
      </c>
      <c r="J195" s="753" t="s">
        <v>20</v>
      </c>
      <c r="K195" s="753" t="s">
        <v>55</v>
      </c>
      <c r="L195" s="761" t="s">
        <v>56</v>
      </c>
      <c r="M195" s="762"/>
      <c r="N195" s="762"/>
      <c r="O195" s="762"/>
      <c r="P195" s="762"/>
      <c r="Q195" s="763"/>
      <c r="R195" s="753" t="s">
        <v>57</v>
      </c>
      <c r="S195" s="753" t="s">
        <v>58</v>
      </c>
      <c r="T195" s="753" t="s">
        <v>31</v>
      </c>
      <c r="U195" s="753" t="s">
        <v>10</v>
      </c>
      <c r="V195" s="51"/>
    </row>
    <row r="196" spans="3:22" ht="36" x14ac:dyDescent="0.25">
      <c r="C196" s="765"/>
      <c r="D196" s="754"/>
      <c r="E196" s="754"/>
      <c r="F196" s="754"/>
      <c r="G196" s="767"/>
      <c r="H196" s="754"/>
      <c r="I196" s="754"/>
      <c r="J196" s="754"/>
      <c r="K196" s="754"/>
      <c r="L196" s="608" t="s">
        <v>335</v>
      </c>
      <c r="M196" s="608" t="s">
        <v>40</v>
      </c>
      <c r="N196" s="608" t="s">
        <v>343</v>
      </c>
      <c r="O196" s="608" t="s">
        <v>344</v>
      </c>
      <c r="P196" s="609" t="s">
        <v>345</v>
      </c>
      <c r="Q196" s="608" t="s">
        <v>346</v>
      </c>
      <c r="R196" s="754"/>
      <c r="S196" s="754"/>
      <c r="T196" s="754"/>
      <c r="U196" s="754"/>
      <c r="V196" s="51"/>
    </row>
    <row r="197" spans="3:22" x14ac:dyDescent="0.25">
      <c r="C197" s="610" t="s">
        <v>59</v>
      </c>
      <c r="D197" s="611">
        <v>0</v>
      </c>
      <c r="E197" s="611">
        <v>5.8150000000000004</v>
      </c>
      <c r="F197" s="611">
        <v>0</v>
      </c>
      <c r="G197" s="611">
        <v>0</v>
      </c>
      <c r="H197" s="611">
        <v>9.3040000000000012E-2</v>
      </c>
      <c r="I197" s="611">
        <v>0</v>
      </c>
      <c r="J197" s="612">
        <v>1142.8003999999999</v>
      </c>
      <c r="K197" s="612">
        <v>315.61624303705946</v>
      </c>
      <c r="L197" s="612">
        <v>374.39851983069684</v>
      </c>
      <c r="M197" s="612">
        <v>21.729144477324894</v>
      </c>
      <c r="N197" s="611">
        <v>1.5151391983163085</v>
      </c>
      <c r="O197" s="611">
        <v>0.16086233431790645</v>
      </c>
      <c r="P197" s="612">
        <v>135.24093356373385</v>
      </c>
      <c r="Q197" s="612">
        <v>19.433298638078622</v>
      </c>
      <c r="R197" s="611">
        <v>0</v>
      </c>
      <c r="S197" s="611">
        <v>0</v>
      </c>
      <c r="T197" s="611">
        <v>0</v>
      </c>
      <c r="U197" s="613">
        <v>2016.802581079528</v>
      </c>
      <c r="V197" s="51"/>
    </row>
    <row r="198" spans="3:22" x14ac:dyDescent="0.25">
      <c r="C198" s="610" t="s">
        <v>60</v>
      </c>
      <c r="D198" s="611">
        <v>14.997589528810048</v>
      </c>
      <c r="E198" s="611">
        <v>317.6831579468477</v>
      </c>
      <c r="F198" s="611">
        <v>90.859411867227635</v>
      </c>
      <c r="G198" s="611">
        <v>0.4482168453037243</v>
      </c>
      <c r="H198" s="611">
        <v>195.90969664168796</v>
      </c>
      <c r="I198" s="611">
        <v>0</v>
      </c>
      <c r="J198" s="611">
        <v>0</v>
      </c>
      <c r="K198" s="611">
        <v>0</v>
      </c>
      <c r="L198" s="611">
        <v>3.3497189577114872</v>
      </c>
      <c r="M198" s="611">
        <v>0</v>
      </c>
      <c r="N198" s="611">
        <v>4.4724851738797717</v>
      </c>
      <c r="O198" s="611">
        <v>0</v>
      </c>
      <c r="P198" s="611">
        <v>0</v>
      </c>
      <c r="Q198" s="611">
        <v>0</v>
      </c>
      <c r="R198" s="611">
        <v>0</v>
      </c>
      <c r="S198" s="611">
        <v>0</v>
      </c>
      <c r="T198" s="611">
        <v>0</v>
      </c>
      <c r="U198" s="613">
        <v>627.72027696146836</v>
      </c>
      <c r="V198" s="51"/>
    </row>
    <row r="199" spans="3:22" x14ac:dyDescent="0.25">
      <c r="C199" s="610" t="s">
        <v>61</v>
      </c>
      <c r="D199" s="611">
        <v>0</v>
      </c>
      <c r="E199" s="611">
        <v>0</v>
      </c>
      <c r="F199" s="611">
        <v>3.6514365086121643</v>
      </c>
      <c r="G199" s="611">
        <v>0</v>
      </c>
      <c r="H199" s="611">
        <v>0</v>
      </c>
      <c r="I199" s="611">
        <v>0</v>
      </c>
      <c r="J199" s="611">
        <v>0</v>
      </c>
      <c r="K199" s="611">
        <v>0</v>
      </c>
      <c r="L199" s="611">
        <v>0</v>
      </c>
      <c r="M199" s="611">
        <v>0</v>
      </c>
      <c r="N199" s="611">
        <v>0</v>
      </c>
      <c r="O199" s="611">
        <v>0</v>
      </c>
      <c r="P199" s="611">
        <v>0</v>
      </c>
      <c r="Q199" s="611">
        <v>0</v>
      </c>
      <c r="R199" s="611">
        <v>-70.564869909311255</v>
      </c>
      <c r="S199" s="611">
        <v>0</v>
      </c>
      <c r="T199" s="611">
        <v>0</v>
      </c>
      <c r="U199" s="613">
        <v>-66.913433400699091</v>
      </c>
      <c r="V199" s="51"/>
    </row>
    <row r="200" spans="3:22" x14ac:dyDescent="0.25">
      <c r="C200" s="610" t="s">
        <v>62</v>
      </c>
      <c r="D200" s="611">
        <v>0</v>
      </c>
      <c r="E200" s="611">
        <v>0</v>
      </c>
      <c r="F200" s="611">
        <v>-9.1493668545845033</v>
      </c>
      <c r="G200" s="611">
        <v>-2.0808213366588695</v>
      </c>
      <c r="H200" s="611">
        <v>-1.1134427375085565</v>
      </c>
      <c r="I200" s="611">
        <v>-2.1621292756423931</v>
      </c>
      <c r="J200" s="611">
        <v>0</v>
      </c>
      <c r="K200" s="611">
        <v>0</v>
      </c>
      <c r="L200" s="611">
        <v>0</v>
      </c>
      <c r="M200" s="611">
        <v>0</v>
      </c>
      <c r="N200" s="611">
        <v>-1.0958595241258173</v>
      </c>
      <c r="O200" s="611">
        <v>-1.719780201472068</v>
      </c>
      <c r="P200" s="611">
        <v>0</v>
      </c>
      <c r="Q200" s="611">
        <v>0</v>
      </c>
      <c r="R200" s="611">
        <v>0</v>
      </c>
      <c r="S200" s="611">
        <v>0</v>
      </c>
      <c r="T200" s="611">
        <v>-0.65033681124791309</v>
      </c>
      <c r="U200" s="613">
        <v>-17.971736741240122</v>
      </c>
      <c r="V200" s="51"/>
    </row>
    <row r="201" spans="3:22" x14ac:dyDescent="0.25">
      <c r="C201" s="610" t="s">
        <v>63</v>
      </c>
      <c r="D201" s="611">
        <v>0</v>
      </c>
      <c r="E201" s="611">
        <v>0</v>
      </c>
      <c r="F201" s="611">
        <v>-54.941446945210977</v>
      </c>
      <c r="G201" s="611">
        <v>-3.5033200830683109</v>
      </c>
      <c r="H201" s="611">
        <v>0</v>
      </c>
      <c r="I201" s="611">
        <v>0</v>
      </c>
      <c r="J201" s="611">
        <v>0</v>
      </c>
      <c r="K201" s="611">
        <v>0</v>
      </c>
      <c r="L201" s="611">
        <v>0</v>
      </c>
      <c r="M201" s="611">
        <v>0</v>
      </c>
      <c r="N201" s="611">
        <v>-10.509960249204934</v>
      </c>
      <c r="O201" s="611">
        <v>0</v>
      </c>
      <c r="P201" s="611">
        <v>0</v>
      </c>
      <c r="Q201" s="611">
        <v>0</v>
      </c>
      <c r="R201" s="611">
        <v>0</v>
      </c>
      <c r="S201" s="611">
        <v>0</v>
      </c>
      <c r="T201" s="611">
        <v>-0.56546152229300228</v>
      </c>
      <c r="U201" s="613">
        <v>-69.52018879977723</v>
      </c>
      <c r="V201" s="51"/>
    </row>
    <row r="202" spans="3:22" x14ac:dyDescent="0.25">
      <c r="C202" s="610" t="s">
        <v>64</v>
      </c>
      <c r="D202" s="611">
        <v>0</v>
      </c>
      <c r="E202" s="611">
        <v>0</v>
      </c>
      <c r="F202" s="611">
        <v>0</v>
      </c>
      <c r="G202" s="611">
        <v>0</v>
      </c>
      <c r="H202" s="611">
        <v>0</v>
      </c>
      <c r="I202" s="611">
        <v>0</v>
      </c>
      <c r="J202" s="611">
        <v>0</v>
      </c>
      <c r="K202" s="611">
        <v>0</v>
      </c>
      <c r="L202" s="611">
        <v>0</v>
      </c>
      <c r="M202" s="611">
        <v>0</v>
      </c>
      <c r="N202" s="611">
        <v>0</v>
      </c>
      <c r="O202" s="611">
        <v>0</v>
      </c>
      <c r="P202" s="611">
        <v>0</v>
      </c>
      <c r="Q202" s="611">
        <v>0</v>
      </c>
      <c r="R202" s="611">
        <v>0</v>
      </c>
      <c r="S202" s="611">
        <v>0</v>
      </c>
      <c r="T202" s="611">
        <v>0</v>
      </c>
      <c r="U202" s="613">
        <v>0</v>
      </c>
      <c r="V202" s="51"/>
    </row>
    <row r="203" spans="3:22" x14ac:dyDescent="0.25">
      <c r="C203" s="614" t="s">
        <v>65</v>
      </c>
      <c r="D203" s="615">
        <v>14.997589528810048</v>
      </c>
      <c r="E203" s="615">
        <v>323.4981579468477</v>
      </c>
      <c r="F203" s="615">
        <v>30.420034576044323</v>
      </c>
      <c r="G203" s="615">
        <v>-5.1359245744234556</v>
      </c>
      <c r="H203" s="615">
        <v>194.8892939041794</v>
      </c>
      <c r="I203" s="615">
        <v>-2.1621292756423931</v>
      </c>
      <c r="J203" s="615">
        <v>1142.8003999999999</v>
      </c>
      <c r="K203" s="615">
        <v>315.61624303705946</v>
      </c>
      <c r="L203" s="615">
        <v>377.74823878840834</v>
      </c>
      <c r="M203" s="615">
        <v>21.729144477324894</v>
      </c>
      <c r="N203" s="615">
        <v>-5.6181954011346704</v>
      </c>
      <c r="O203" s="615">
        <v>-1.5589178671541615</v>
      </c>
      <c r="P203" s="615">
        <v>135.24093356373385</v>
      </c>
      <c r="Q203" s="615">
        <v>19.433298638078622</v>
      </c>
      <c r="R203" s="615">
        <v>-70.564869909311255</v>
      </c>
      <c r="S203" s="615">
        <v>0</v>
      </c>
      <c r="T203" s="615">
        <v>-1.2157983335409153</v>
      </c>
      <c r="U203" s="615">
        <v>2490.1174990992799</v>
      </c>
      <c r="V203" s="51"/>
    </row>
    <row r="204" spans="3:22" x14ac:dyDescent="0.25">
      <c r="C204" s="616"/>
      <c r="D204" s="617"/>
      <c r="E204" s="617"/>
      <c r="F204" s="617"/>
      <c r="G204" s="617"/>
      <c r="H204" s="623"/>
      <c r="I204" s="617"/>
      <c r="J204" s="617"/>
      <c r="K204" s="617"/>
      <c r="L204" s="617"/>
      <c r="M204" s="617"/>
      <c r="N204" s="617"/>
      <c r="O204" s="617"/>
      <c r="P204" s="617"/>
      <c r="Q204" s="617"/>
      <c r="R204" s="617"/>
      <c r="S204" s="617"/>
      <c r="T204" s="617"/>
      <c r="U204" s="617"/>
      <c r="V204" s="51"/>
    </row>
    <row r="205" spans="3:22" x14ac:dyDescent="0.25">
      <c r="C205" s="618" t="s">
        <v>67</v>
      </c>
      <c r="D205" s="611">
        <v>0</v>
      </c>
      <c r="E205" s="611">
        <v>0</v>
      </c>
      <c r="F205" s="611">
        <v>0</v>
      </c>
      <c r="G205" s="611">
        <v>0</v>
      </c>
      <c r="H205" s="611">
        <v>0</v>
      </c>
      <c r="I205" s="611">
        <v>0</v>
      </c>
      <c r="J205" s="611">
        <v>0</v>
      </c>
      <c r="K205" s="611">
        <v>0</v>
      </c>
      <c r="L205" s="611">
        <v>0</v>
      </c>
      <c r="M205" s="611">
        <v>0</v>
      </c>
      <c r="N205" s="611">
        <v>0</v>
      </c>
      <c r="O205" s="611">
        <v>0</v>
      </c>
      <c r="P205" s="611">
        <v>0</v>
      </c>
      <c r="Q205" s="611">
        <v>0</v>
      </c>
      <c r="R205" s="611">
        <v>0</v>
      </c>
      <c r="S205" s="611">
        <v>0</v>
      </c>
      <c r="T205" s="611">
        <v>0</v>
      </c>
      <c r="U205" s="619">
        <v>0</v>
      </c>
      <c r="V205" s="51"/>
    </row>
    <row r="206" spans="3:22" x14ac:dyDescent="0.25">
      <c r="C206" s="618" t="s">
        <v>347</v>
      </c>
      <c r="D206" s="611">
        <v>0</v>
      </c>
      <c r="E206" s="611">
        <v>0</v>
      </c>
      <c r="F206" s="611">
        <v>0.802217285608815</v>
      </c>
      <c r="G206" s="611">
        <v>0</v>
      </c>
      <c r="H206" s="611">
        <v>34.006086400000001</v>
      </c>
      <c r="I206" s="611">
        <v>0</v>
      </c>
      <c r="J206" s="611">
        <v>1142.8003999999999</v>
      </c>
      <c r="K206" s="611">
        <v>315.61624303705946</v>
      </c>
      <c r="L206" s="611">
        <v>23.835409314292445</v>
      </c>
      <c r="M206" s="611">
        <v>0.59779215197206559</v>
      </c>
      <c r="N206" s="611">
        <v>5.0291337303525587</v>
      </c>
      <c r="O206" s="611">
        <v>11.448434017818721</v>
      </c>
      <c r="P206" s="611">
        <v>0</v>
      </c>
      <c r="Q206" s="611">
        <v>2.7943993103273139</v>
      </c>
      <c r="R206" s="611">
        <v>-757.64688965301764</v>
      </c>
      <c r="S206" s="611">
        <v>0</v>
      </c>
      <c r="T206" s="611">
        <v>0</v>
      </c>
      <c r="U206" s="619">
        <v>779.28322559441347</v>
      </c>
      <c r="V206" s="51"/>
    </row>
    <row r="207" spans="3:22" x14ac:dyDescent="0.25">
      <c r="C207" s="618" t="s">
        <v>348</v>
      </c>
      <c r="D207" s="611">
        <v>0</v>
      </c>
      <c r="E207" s="611">
        <v>0</v>
      </c>
      <c r="F207" s="611">
        <v>0</v>
      </c>
      <c r="G207" s="611">
        <v>0</v>
      </c>
      <c r="H207" s="611">
        <v>12.051558414362514</v>
      </c>
      <c r="I207" s="611">
        <v>0</v>
      </c>
      <c r="J207" s="611">
        <v>0</v>
      </c>
      <c r="K207" s="611">
        <v>0</v>
      </c>
      <c r="L207" s="611">
        <v>34.958460935332894</v>
      </c>
      <c r="M207" s="611">
        <v>14.0272998093773</v>
      </c>
      <c r="N207" s="611">
        <v>0</v>
      </c>
      <c r="O207" s="611">
        <v>4.0310107980471637</v>
      </c>
      <c r="P207" s="611">
        <v>0</v>
      </c>
      <c r="Q207" s="611">
        <v>10.486182465403838</v>
      </c>
      <c r="R207" s="611">
        <v>0</v>
      </c>
      <c r="S207" s="611">
        <v>-69.379169378424834</v>
      </c>
      <c r="T207" s="611">
        <v>0</v>
      </c>
      <c r="U207" s="619">
        <v>6.1753430440988808</v>
      </c>
      <c r="V207" s="51"/>
    </row>
    <row r="208" spans="3:22" x14ac:dyDescent="0.25">
      <c r="C208" s="618" t="s">
        <v>349</v>
      </c>
      <c r="D208" s="611">
        <v>0</v>
      </c>
      <c r="E208" s="611">
        <v>0</v>
      </c>
      <c r="F208" s="611">
        <v>0</v>
      </c>
      <c r="G208" s="611">
        <v>0</v>
      </c>
      <c r="H208" s="611">
        <v>0</v>
      </c>
      <c r="I208" s="611">
        <v>0</v>
      </c>
      <c r="J208" s="611">
        <v>0</v>
      </c>
      <c r="K208" s="611">
        <v>0</v>
      </c>
      <c r="L208" s="611">
        <v>79.871600609491523</v>
      </c>
      <c r="M208" s="611">
        <v>0</v>
      </c>
      <c r="N208" s="611">
        <v>0</v>
      </c>
      <c r="O208" s="611">
        <v>-72.76063888039937</v>
      </c>
      <c r="P208" s="611">
        <v>0</v>
      </c>
      <c r="Q208" s="611">
        <v>0</v>
      </c>
      <c r="R208" s="611">
        <v>0</v>
      </c>
      <c r="S208" s="611">
        <v>0</v>
      </c>
      <c r="T208" s="611">
        <v>0</v>
      </c>
      <c r="U208" s="619">
        <v>7.1109617290921534</v>
      </c>
      <c r="V208" s="51"/>
    </row>
    <row r="209" spans="3:22" x14ac:dyDescent="0.25">
      <c r="C209" s="618" t="s">
        <v>350</v>
      </c>
      <c r="D209" s="611">
        <v>0</v>
      </c>
      <c r="E209" s="611">
        <v>0</v>
      </c>
      <c r="F209" s="611">
        <v>0</v>
      </c>
      <c r="G209" s="611">
        <v>0</v>
      </c>
      <c r="H209" s="611">
        <v>0</v>
      </c>
      <c r="I209" s="611">
        <v>-2.1621292756423931</v>
      </c>
      <c r="J209" s="611">
        <v>0</v>
      </c>
      <c r="K209" s="611">
        <v>0</v>
      </c>
      <c r="L209" s="611">
        <v>0</v>
      </c>
      <c r="M209" s="611">
        <v>0</v>
      </c>
      <c r="N209" s="611">
        <v>0</v>
      </c>
      <c r="O209" s="611">
        <v>0</v>
      </c>
      <c r="P209" s="611">
        <v>0</v>
      </c>
      <c r="Q209" s="611">
        <v>0</v>
      </c>
      <c r="R209" s="611">
        <v>0</v>
      </c>
      <c r="S209" s="611">
        <v>0</v>
      </c>
      <c r="T209" s="611">
        <v>3.0029573272811017</v>
      </c>
      <c r="U209" s="619">
        <v>0.84082805163870855</v>
      </c>
      <c r="V209" s="51"/>
    </row>
    <row r="210" spans="3:22" x14ac:dyDescent="0.25">
      <c r="C210" s="618" t="s">
        <v>72</v>
      </c>
      <c r="D210" s="611">
        <v>0</v>
      </c>
      <c r="E210" s="611">
        <v>335.24810979182712</v>
      </c>
      <c r="F210" s="611">
        <v>-331.90898271273255</v>
      </c>
      <c r="G210" s="611">
        <v>0</v>
      </c>
      <c r="H210" s="611">
        <v>0</v>
      </c>
      <c r="I210" s="611">
        <v>0</v>
      </c>
      <c r="J210" s="611">
        <v>0</v>
      </c>
      <c r="K210" s="611">
        <v>0</v>
      </c>
      <c r="L210" s="611">
        <v>0</v>
      </c>
      <c r="M210" s="611">
        <v>0</v>
      </c>
      <c r="N210" s="611">
        <v>0</v>
      </c>
      <c r="O210" s="611">
        <v>0</v>
      </c>
      <c r="P210" s="611">
        <v>0</v>
      </c>
      <c r="Q210" s="611">
        <v>0</v>
      </c>
      <c r="R210" s="611">
        <v>0</v>
      </c>
      <c r="S210" s="611">
        <v>0</v>
      </c>
      <c r="T210" s="611">
        <v>0</v>
      </c>
      <c r="U210" s="619">
        <v>3.3391270790945669</v>
      </c>
      <c r="V210" s="51"/>
    </row>
    <row r="211" spans="3:22" x14ac:dyDescent="0.25">
      <c r="C211" s="618" t="s">
        <v>351</v>
      </c>
      <c r="D211" s="611">
        <v>0</v>
      </c>
      <c r="E211" s="611">
        <v>0</v>
      </c>
      <c r="F211" s="611">
        <v>0</v>
      </c>
      <c r="G211" s="611">
        <v>0</v>
      </c>
      <c r="H211" s="611">
        <v>0</v>
      </c>
      <c r="I211" s="611">
        <v>0</v>
      </c>
      <c r="J211" s="611">
        <v>0</v>
      </c>
      <c r="K211" s="611">
        <v>0</v>
      </c>
      <c r="L211" s="611">
        <v>163.94028019262709</v>
      </c>
      <c r="M211" s="611">
        <v>0</v>
      </c>
      <c r="N211" s="611">
        <v>-90.167154105944903</v>
      </c>
      <c r="O211" s="611">
        <v>0</v>
      </c>
      <c r="P211" s="611">
        <v>0</v>
      </c>
      <c r="Q211" s="611">
        <v>0</v>
      </c>
      <c r="R211" s="611">
        <v>0</v>
      </c>
      <c r="S211" s="611">
        <v>0</v>
      </c>
      <c r="T211" s="611">
        <v>0</v>
      </c>
      <c r="U211" s="619">
        <v>73.773126086682183</v>
      </c>
      <c r="V211" s="51"/>
    </row>
    <row r="212" spans="3:22" x14ac:dyDescent="0.25">
      <c r="C212" s="618" t="s">
        <v>352</v>
      </c>
      <c r="D212" s="611">
        <v>0</v>
      </c>
      <c r="E212" s="611">
        <v>0</v>
      </c>
      <c r="F212" s="611">
        <v>0</v>
      </c>
      <c r="G212" s="611">
        <v>-7.5393332523643162</v>
      </c>
      <c r="H212" s="611">
        <v>0</v>
      </c>
      <c r="I212" s="611">
        <v>0</v>
      </c>
      <c r="J212" s="611">
        <v>0</v>
      </c>
      <c r="K212" s="611">
        <v>0</v>
      </c>
      <c r="L212" s="611">
        <v>0</v>
      </c>
      <c r="M212" s="611">
        <v>0</v>
      </c>
      <c r="N212" s="611">
        <v>0</v>
      </c>
      <c r="O212" s="611">
        <v>0</v>
      </c>
      <c r="P212" s="611">
        <v>0</v>
      </c>
      <c r="Q212" s="611">
        <v>0</v>
      </c>
      <c r="R212" s="611">
        <v>0</v>
      </c>
      <c r="S212" s="611">
        <v>0</v>
      </c>
      <c r="T212" s="611">
        <v>9.8694251246207116</v>
      </c>
      <c r="U212" s="619">
        <v>2.3300918722563955</v>
      </c>
      <c r="V212" s="51"/>
    </row>
    <row r="213" spans="3:22" x14ac:dyDescent="0.25">
      <c r="C213" s="618" t="s">
        <v>73</v>
      </c>
      <c r="D213" s="611">
        <v>0</v>
      </c>
      <c r="E213" s="611">
        <v>0</v>
      </c>
      <c r="F213" s="611">
        <v>0</v>
      </c>
      <c r="G213" s="611">
        <v>0</v>
      </c>
      <c r="H213" s="611">
        <v>0</v>
      </c>
      <c r="I213" s="611">
        <v>0</v>
      </c>
      <c r="J213" s="611">
        <v>0</v>
      </c>
      <c r="K213" s="611">
        <v>0</v>
      </c>
      <c r="L213" s="611">
        <v>0</v>
      </c>
      <c r="M213" s="611">
        <v>0</v>
      </c>
      <c r="N213" s="611">
        <v>0</v>
      </c>
      <c r="O213" s="611">
        <v>0</v>
      </c>
      <c r="P213" s="611">
        <v>0</v>
      </c>
      <c r="Q213" s="611">
        <v>0</v>
      </c>
      <c r="R213" s="611">
        <v>60.125996710882241</v>
      </c>
      <c r="S213" s="611">
        <v>0</v>
      </c>
      <c r="T213" s="611">
        <v>-40.134102804513894</v>
      </c>
      <c r="U213" s="619">
        <v>19.991893906368347</v>
      </c>
      <c r="V213" s="51"/>
    </row>
    <row r="214" spans="3:22" x14ac:dyDescent="0.25">
      <c r="C214" s="618" t="s">
        <v>353</v>
      </c>
      <c r="D214" s="611">
        <v>8.1657801562499994</v>
      </c>
      <c r="E214" s="611">
        <v>-11.749951844979407</v>
      </c>
      <c r="F214" s="611">
        <v>15.302006125146733</v>
      </c>
      <c r="G214" s="611">
        <v>0</v>
      </c>
      <c r="H214" s="611">
        <v>0</v>
      </c>
      <c r="I214" s="611">
        <v>0</v>
      </c>
      <c r="J214" s="611">
        <v>0</v>
      </c>
      <c r="K214" s="611">
        <v>0</v>
      </c>
      <c r="L214" s="611">
        <v>0</v>
      </c>
      <c r="M214" s="611">
        <v>0</v>
      </c>
      <c r="N214" s="611">
        <v>0</v>
      </c>
      <c r="O214" s="611">
        <v>0</v>
      </c>
      <c r="P214" s="611">
        <v>0</v>
      </c>
      <c r="Q214" s="611">
        <v>0</v>
      </c>
      <c r="R214" s="611">
        <v>0</v>
      </c>
      <c r="S214" s="611">
        <v>0</v>
      </c>
      <c r="T214" s="611">
        <v>0</v>
      </c>
      <c r="U214" s="619">
        <v>11.717834436417325</v>
      </c>
      <c r="V214" s="51"/>
    </row>
    <row r="215" spans="3:22" x14ac:dyDescent="0.25">
      <c r="C215" s="618" t="s">
        <v>75</v>
      </c>
      <c r="D215" s="611">
        <v>3.1755811718750002</v>
      </c>
      <c r="E215" s="611">
        <v>0</v>
      </c>
      <c r="F215" s="611">
        <v>11.521572645855153</v>
      </c>
      <c r="G215" s="611">
        <v>0</v>
      </c>
      <c r="H215" s="611">
        <v>3.9220454388203256</v>
      </c>
      <c r="I215" s="611">
        <v>0</v>
      </c>
      <c r="J215" s="611">
        <v>0</v>
      </c>
      <c r="K215" s="611">
        <v>0</v>
      </c>
      <c r="L215" s="611">
        <v>0</v>
      </c>
      <c r="M215" s="611">
        <v>0</v>
      </c>
      <c r="N215" s="611">
        <v>0</v>
      </c>
      <c r="O215" s="611">
        <v>1.4506195458650522</v>
      </c>
      <c r="P215" s="611">
        <v>0</v>
      </c>
      <c r="Q215" s="611">
        <v>0</v>
      </c>
      <c r="R215" s="611">
        <v>60.761806133767948</v>
      </c>
      <c r="S215" s="611">
        <v>0</v>
      </c>
      <c r="T215" s="611">
        <v>0</v>
      </c>
      <c r="U215" s="619">
        <v>80.831624936183488</v>
      </c>
      <c r="V215" s="51"/>
    </row>
    <row r="216" spans="3:22" x14ac:dyDescent="0.25">
      <c r="C216" s="618" t="s">
        <v>76</v>
      </c>
      <c r="D216" s="611">
        <v>0</v>
      </c>
      <c r="E216" s="611">
        <v>0</v>
      </c>
      <c r="F216" s="611">
        <v>0</v>
      </c>
      <c r="G216" s="611">
        <v>0</v>
      </c>
      <c r="H216" s="611">
        <v>2.1646233655533069</v>
      </c>
      <c r="I216" s="611">
        <v>0</v>
      </c>
      <c r="J216" s="611">
        <v>0</v>
      </c>
      <c r="K216" s="611">
        <v>0</v>
      </c>
      <c r="L216" s="611">
        <v>0</v>
      </c>
      <c r="M216" s="611">
        <v>0</v>
      </c>
      <c r="N216" s="611">
        <v>0</v>
      </c>
      <c r="O216" s="611">
        <v>0.80061412150601763</v>
      </c>
      <c r="P216" s="611">
        <v>0</v>
      </c>
      <c r="Q216" s="611">
        <v>0</v>
      </c>
      <c r="R216" s="611">
        <v>52.612079167713944</v>
      </c>
      <c r="S216" s="611">
        <v>5.3807290074301646</v>
      </c>
      <c r="T216" s="611">
        <v>0</v>
      </c>
      <c r="U216" s="619">
        <v>60.958045662203432</v>
      </c>
      <c r="V216" s="51"/>
    </row>
    <row r="217" spans="3:22" x14ac:dyDescent="0.25">
      <c r="C217" s="614" t="s">
        <v>77</v>
      </c>
      <c r="D217" s="615">
        <v>11.341361328125</v>
      </c>
      <c r="E217" s="615">
        <v>323.4981579468477</v>
      </c>
      <c r="F217" s="615">
        <v>-304.28318665612187</v>
      </c>
      <c r="G217" s="615">
        <v>-7.5393332523643162</v>
      </c>
      <c r="H217" s="615">
        <v>52.144313618736149</v>
      </c>
      <c r="I217" s="615">
        <v>-2.1621292756423931</v>
      </c>
      <c r="J217" s="615">
        <v>1142.8003999999999</v>
      </c>
      <c r="K217" s="615">
        <v>315.61624303705946</v>
      </c>
      <c r="L217" s="615">
        <v>302.60575105174394</v>
      </c>
      <c r="M217" s="615">
        <v>14.625091961349366</v>
      </c>
      <c r="N217" s="615">
        <v>-85.138020375592347</v>
      </c>
      <c r="O217" s="615">
        <v>-55.029960397162412</v>
      </c>
      <c r="P217" s="615">
        <v>0</v>
      </c>
      <c r="Q217" s="615">
        <v>13.280581775731152</v>
      </c>
      <c r="R217" s="615">
        <v>-584.14700764065356</v>
      </c>
      <c r="S217" s="615">
        <v>-63.998440370994672</v>
      </c>
      <c r="T217" s="615">
        <v>-27.26172035261208</v>
      </c>
      <c r="U217" s="615">
        <v>1046.352102398449</v>
      </c>
      <c r="V217" s="51"/>
    </row>
    <row r="218" spans="3:22" x14ac:dyDescent="0.25">
      <c r="C218" s="616"/>
      <c r="D218" s="617"/>
      <c r="E218" s="617"/>
      <c r="F218" s="617"/>
      <c r="G218" s="617"/>
      <c r="H218" s="623"/>
      <c r="I218" s="617"/>
      <c r="J218" s="617"/>
      <c r="K218" s="617"/>
      <c r="L218" s="617"/>
      <c r="M218" s="617"/>
      <c r="N218" s="617"/>
      <c r="O218" s="617"/>
      <c r="P218" s="617"/>
      <c r="Q218" s="617"/>
      <c r="R218" s="617"/>
      <c r="S218" s="617"/>
      <c r="T218" s="617"/>
      <c r="U218" s="617"/>
      <c r="V218" s="51"/>
    </row>
    <row r="219" spans="3:22" x14ac:dyDescent="0.25">
      <c r="C219" s="618" t="s">
        <v>78</v>
      </c>
      <c r="D219" s="611">
        <v>3.6562282006850468</v>
      </c>
      <c r="E219" s="611">
        <v>0</v>
      </c>
      <c r="F219" s="611">
        <v>9.7376785306283384</v>
      </c>
      <c r="G219" s="611">
        <v>0</v>
      </c>
      <c r="H219" s="611">
        <v>61.385022781931873</v>
      </c>
      <c r="I219" s="611">
        <v>0</v>
      </c>
      <c r="J219" s="611">
        <v>0</v>
      </c>
      <c r="K219" s="611">
        <v>0</v>
      </c>
      <c r="L219" s="611">
        <v>21.686124483212218</v>
      </c>
      <c r="M219" s="611">
        <v>7.1035846364336246</v>
      </c>
      <c r="N219" s="611">
        <v>1.1432225445669904</v>
      </c>
      <c r="O219" s="611">
        <v>22.738015311990583</v>
      </c>
      <c r="P219" s="611">
        <v>9.2526142578124997</v>
      </c>
      <c r="Q219" s="611">
        <v>6.9244826847420892E-4</v>
      </c>
      <c r="R219" s="611">
        <v>162.27713271483609</v>
      </c>
      <c r="S219" s="611">
        <v>19.928077987492124</v>
      </c>
      <c r="T219" s="611">
        <v>7.1014345703124997</v>
      </c>
      <c r="U219" s="619">
        <v>326.00982846817038</v>
      </c>
      <c r="V219" s="51"/>
    </row>
    <row r="220" spans="3:22" x14ac:dyDescent="0.25">
      <c r="C220" s="618" t="s">
        <v>79</v>
      </c>
      <c r="D220" s="611">
        <v>0</v>
      </c>
      <c r="E220" s="611">
        <v>0</v>
      </c>
      <c r="F220" s="611">
        <v>192.91287296266353</v>
      </c>
      <c r="G220" s="611">
        <v>0.64331320573206352</v>
      </c>
      <c r="H220" s="611">
        <v>5.6449684818952051</v>
      </c>
      <c r="I220" s="611">
        <v>0</v>
      </c>
      <c r="J220" s="611">
        <v>0</v>
      </c>
      <c r="K220" s="611">
        <v>0</v>
      </c>
      <c r="L220" s="611">
        <v>0</v>
      </c>
      <c r="M220" s="611">
        <v>0</v>
      </c>
      <c r="N220" s="611">
        <v>55.124968461757305</v>
      </c>
      <c r="O220" s="611">
        <v>2.0878650549475419</v>
      </c>
      <c r="P220" s="611">
        <v>0</v>
      </c>
      <c r="Q220" s="611">
        <v>0</v>
      </c>
      <c r="R220" s="611">
        <v>62.922987609450331</v>
      </c>
      <c r="S220" s="611">
        <v>0</v>
      </c>
      <c r="T220" s="611">
        <v>2.568426650221276</v>
      </c>
      <c r="U220" s="619">
        <v>321.90540242666725</v>
      </c>
      <c r="V220" s="51"/>
    </row>
    <row r="221" spans="3:22" x14ac:dyDescent="0.25">
      <c r="C221" s="618" t="s">
        <v>80</v>
      </c>
      <c r="D221" s="611">
        <v>0</v>
      </c>
      <c r="E221" s="611">
        <v>0</v>
      </c>
      <c r="F221" s="611">
        <v>3.0522332565861259</v>
      </c>
      <c r="G221" s="611">
        <v>0</v>
      </c>
      <c r="H221" s="611">
        <v>36.682189130077496</v>
      </c>
      <c r="I221" s="611">
        <v>0</v>
      </c>
      <c r="J221" s="611">
        <v>0</v>
      </c>
      <c r="K221" s="611">
        <v>0</v>
      </c>
      <c r="L221" s="611">
        <v>49.933380533226007</v>
      </c>
      <c r="M221" s="611">
        <v>0</v>
      </c>
      <c r="N221" s="611">
        <v>0</v>
      </c>
      <c r="O221" s="611">
        <v>13.567385020713596</v>
      </c>
      <c r="P221" s="611">
        <v>86.346993730736358</v>
      </c>
      <c r="Q221" s="611">
        <v>2.3427124137087052</v>
      </c>
      <c r="R221" s="611">
        <v>161.8990647634788</v>
      </c>
      <c r="S221" s="611">
        <v>25.454386166903632</v>
      </c>
      <c r="T221" s="611">
        <v>0</v>
      </c>
      <c r="U221" s="619">
        <v>379.27834501543077</v>
      </c>
      <c r="V221" s="51"/>
    </row>
    <row r="222" spans="3:22" x14ac:dyDescent="0.25">
      <c r="C222" s="618" t="s">
        <v>81</v>
      </c>
      <c r="D222" s="611">
        <v>0</v>
      </c>
      <c r="E222" s="611">
        <v>0</v>
      </c>
      <c r="F222" s="611">
        <v>2.064637318394833</v>
      </c>
      <c r="G222" s="611">
        <v>0</v>
      </c>
      <c r="H222" s="611">
        <v>26.484798777657492</v>
      </c>
      <c r="I222" s="611">
        <v>0</v>
      </c>
      <c r="J222" s="611">
        <v>0</v>
      </c>
      <c r="K222" s="611">
        <v>0</v>
      </c>
      <c r="L222" s="611">
        <v>0.59757790855029691</v>
      </c>
      <c r="M222" s="611">
        <v>0</v>
      </c>
      <c r="N222" s="611">
        <v>0</v>
      </c>
      <c r="O222" s="611">
        <v>9.7957474931061963</v>
      </c>
      <c r="P222" s="611">
        <v>38.891325575185007</v>
      </c>
      <c r="Q222" s="611">
        <v>2.8464095248186312</v>
      </c>
      <c r="R222" s="611">
        <v>118.84997058968706</v>
      </c>
      <c r="S222" s="611">
        <v>18.615976216598927</v>
      </c>
      <c r="T222" s="611">
        <v>0</v>
      </c>
      <c r="U222" s="619">
        <v>218.14644340399843</v>
      </c>
      <c r="V222" s="51"/>
    </row>
    <row r="223" spans="3:22" x14ac:dyDescent="0.25">
      <c r="C223" s="618" t="s">
        <v>82</v>
      </c>
      <c r="D223" s="611">
        <v>0</v>
      </c>
      <c r="E223" s="611">
        <v>0</v>
      </c>
      <c r="F223" s="611">
        <v>22.266407522057087</v>
      </c>
      <c r="G223" s="611">
        <v>0</v>
      </c>
      <c r="H223" s="611">
        <v>1.4368148997469985</v>
      </c>
      <c r="I223" s="611">
        <v>0</v>
      </c>
      <c r="J223" s="611">
        <v>0</v>
      </c>
      <c r="K223" s="611">
        <v>0</v>
      </c>
      <c r="L223" s="611">
        <v>2.70050068143768</v>
      </c>
      <c r="M223" s="611">
        <v>0</v>
      </c>
      <c r="N223" s="611">
        <v>8.7092137788049975</v>
      </c>
      <c r="O223" s="611">
        <v>0.53142468894752004</v>
      </c>
      <c r="P223" s="611">
        <v>0.75</v>
      </c>
      <c r="Q223" s="611">
        <v>0.96290247555165809</v>
      </c>
      <c r="R223" s="611">
        <v>6.8713820538899668</v>
      </c>
      <c r="S223" s="611">
        <v>0</v>
      </c>
      <c r="T223" s="611">
        <v>0.34507271012604906</v>
      </c>
      <c r="U223" s="619">
        <v>44.573718810561957</v>
      </c>
      <c r="V223" s="51"/>
    </row>
    <row r="224" spans="3:22" x14ac:dyDescent="0.25">
      <c r="C224" s="618" t="s">
        <v>354</v>
      </c>
      <c r="D224" s="611">
        <v>0</v>
      </c>
      <c r="E224" s="611">
        <v>0</v>
      </c>
      <c r="F224" s="611">
        <v>0</v>
      </c>
      <c r="G224" s="611">
        <v>0</v>
      </c>
      <c r="H224" s="611">
        <v>0</v>
      </c>
      <c r="I224" s="611">
        <v>0</v>
      </c>
      <c r="J224" s="611">
        <v>0</v>
      </c>
      <c r="K224" s="611">
        <v>0</v>
      </c>
      <c r="L224" s="611">
        <v>0</v>
      </c>
      <c r="M224" s="611">
        <v>0</v>
      </c>
      <c r="N224" s="611">
        <v>0</v>
      </c>
      <c r="O224" s="611">
        <v>0</v>
      </c>
      <c r="P224" s="611">
        <v>0</v>
      </c>
      <c r="Q224" s="611">
        <v>0</v>
      </c>
      <c r="R224" s="611">
        <v>0.76160000000000005</v>
      </c>
      <c r="S224" s="611">
        <v>0</v>
      </c>
      <c r="T224" s="611">
        <v>0</v>
      </c>
      <c r="U224" s="619">
        <v>0.76160000000000005</v>
      </c>
      <c r="V224" s="51"/>
    </row>
    <row r="225" spans="3:22" x14ac:dyDescent="0.25">
      <c r="C225" s="614" t="s">
        <v>83</v>
      </c>
      <c r="D225" s="615">
        <v>3.6562282006850468</v>
      </c>
      <c r="E225" s="615">
        <v>0</v>
      </c>
      <c r="F225" s="615">
        <v>230.0338295903299</v>
      </c>
      <c r="G225" s="615">
        <v>0.64331320573206352</v>
      </c>
      <c r="H225" s="615">
        <v>131.63379407130904</v>
      </c>
      <c r="I225" s="615">
        <v>0</v>
      </c>
      <c r="J225" s="615">
        <v>0</v>
      </c>
      <c r="K225" s="615">
        <v>0</v>
      </c>
      <c r="L225" s="615">
        <v>74.917583606426192</v>
      </c>
      <c r="M225" s="615">
        <v>7.1035846364336246</v>
      </c>
      <c r="N225" s="615">
        <v>64.977404785129295</v>
      </c>
      <c r="O225" s="615">
        <v>48.720437569705439</v>
      </c>
      <c r="P225" s="615">
        <v>135.24093356373385</v>
      </c>
      <c r="Q225" s="615">
        <v>6.1527168623474688</v>
      </c>
      <c r="R225" s="615">
        <v>513.5821377313423</v>
      </c>
      <c r="S225" s="615">
        <v>63.998440370994686</v>
      </c>
      <c r="T225" s="615">
        <v>10.014933930659824</v>
      </c>
      <c r="U225" s="615">
        <v>1290.6753381248291</v>
      </c>
      <c r="V225" s="51"/>
    </row>
    <row r="226" spans="3:22" x14ac:dyDescent="0.25">
      <c r="C226" s="610" t="s">
        <v>84</v>
      </c>
      <c r="D226" s="611">
        <v>0</v>
      </c>
      <c r="E226" s="611">
        <v>0</v>
      </c>
      <c r="F226" s="611">
        <v>104.6693916418363</v>
      </c>
      <c r="G226" s="611">
        <v>1.7600954722087971</v>
      </c>
      <c r="H226" s="611">
        <v>11.111186214134182</v>
      </c>
      <c r="I226" s="611">
        <v>0</v>
      </c>
      <c r="J226" s="611">
        <v>0</v>
      </c>
      <c r="K226" s="611">
        <v>0</v>
      </c>
      <c r="L226" s="611">
        <v>0.224904130238229</v>
      </c>
      <c r="M226" s="611">
        <v>0</v>
      </c>
      <c r="N226" s="611">
        <v>14.54242018932838</v>
      </c>
      <c r="O226" s="611">
        <v>4.7506049603028071</v>
      </c>
      <c r="P226" s="611">
        <v>0</v>
      </c>
      <c r="Q226" s="611">
        <v>0</v>
      </c>
      <c r="R226" s="611">
        <v>0</v>
      </c>
      <c r="S226" s="611">
        <v>0</v>
      </c>
      <c r="T226" s="611">
        <v>16.030988088411341</v>
      </c>
      <c r="U226" s="619">
        <v>153.08959069646002</v>
      </c>
      <c r="V226" s="51"/>
    </row>
    <row r="227" spans="3:22" x14ac:dyDescent="0.25">
      <c r="C227" s="614" t="s">
        <v>85</v>
      </c>
      <c r="D227" s="615">
        <v>3.6562282006850468</v>
      </c>
      <c r="E227" s="615">
        <v>0</v>
      </c>
      <c r="F227" s="615">
        <v>334.70322123216619</v>
      </c>
      <c r="G227" s="615">
        <v>2.4034086779408605</v>
      </c>
      <c r="H227" s="615">
        <v>142.74498028544323</v>
      </c>
      <c r="I227" s="615">
        <v>0</v>
      </c>
      <c r="J227" s="615">
        <v>0</v>
      </c>
      <c r="K227" s="615">
        <v>0</v>
      </c>
      <c r="L227" s="615">
        <v>75.142487736664421</v>
      </c>
      <c r="M227" s="615">
        <v>7.1035846364336246</v>
      </c>
      <c r="N227" s="615">
        <v>79.519824974457677</v>
      </c>
      <c r="O227" s="615">
        <v>53.471042530008248</v>
      </c>
      <c r="P227" s="615">
        <v>135.24093356373385</v>
      </c>
      <c r="Q227" s="615">
        <v>6.1527168623474688</v>
      </c>
      <c r="R227" s="615">
        <v>513.5821377313423</v>
      </c>
      <c r="S227" s="615">
        <v>63.998440370994686</v>
      </c>
      <c r="T227" s="615">
        <v>26.045922019071163</v>
      </c>
      <c r="U227" s="615">
        <v>1443.764928821289</v>
      </c>
      <c r="V227" s="51"/>
    </row>
    <row r="228" spans="3:22" x14ac:dyDescent="0.25">
      <c r="C228" s="51"/>
      <c r="D228" s="67">
        <v>0</v>
      </c>
      <c r="E228" s="67">
        <v>0</v>
      </c>
      <c r="F228" s="67">
        <v>0</v>
      </c>
      <c r="G228" s="67">
        <v>0</v>
      </c>
      <c r="H228" s="67">
        <v>0</v>
      </c>
      <c r="I228" s="67">
        <v>0</v>
      </c>
      <c r="J228" s="67">
        <v>0</v>
      </c>
      <c r="K228" s="67">
        <v>0</v>
      </c>
      <c r="L228" s="67">
        <v>0</v>
      </c>
      <c r="M228" s="67">
        <v>-4.6787954190463665E-4</v>
      </c>
      <c r="N228" s="67">
        <v>0</v>
      </c>
      <c r="O228" s="67">
        <v>-3.1086244689504383E-15</v>
      </c>
      <c r="P228" s="67">
        <v>0</v>
      </c>
      <c r="Q228" s="67">
        <v>0</v>
      </c>
      <c r="R228" s="67">
        <v>0</v>
      </c>
      <c r="S228" s="67">
        <v>1.4210854715202004E-14</v>
      </c>
      <c r="T228" s="67">
        <v>-1.7763568394002505E-15</v>
      </c>
      <c r="U228" s="67">
        <v>-4.6787954170213197E-4</v>
      </c>
      <c r="V228" s="51"/>
    </row>
    <row r="229" spans="3:22" x14ac:dyDescent="0.25">
      <c r="C229" s="51"/>
      <c r="D229" s="51"/>
      <c r="E229" s="51"/>
      <c r="F229" s="51"/>
      <c r="G229" s="67"/>
      <c r="H229" s="51"/>
      <c r="I229" s="51"/>
      <c r="J229" s="51"/>
      <c r="K229" s="51"/>
      <c r="L229" s="51"/>
      <c r="M229" s="51"/>
      <c r="N229" s="51"/>
      <c r="O229" s="51"/>
      <c r="P229" s="51"/>
      <c r="Q229" s="51"/>
      <c r="R229" s="51"/>
      <c r="S229" s="51"/>
      <c r="T229" s="51"/>
      <c r="U229" s="51"/>
      <c r="V229" s="51"/>
    </row>
    <row r="230" spans="3:22" x14ac:dyDescent="0.25">
      <c r="C230" s="607" t="s">
        <v>359</v>
      </c>
      <c r="D230" s="606"/>
      <c r="E230" s="606"/>
      <c r="F230" s="606"/>
      <c r="G230" s="682"/>
      <c r="H230" s="606"/>
      <c r="I230" s="606"/>
      <c r="J230" s="606"/>
      <c r="K230" s="606"/>
      <c r="L230" s="606"/>
      <c r="M230" s="606"/>
      <c r="N230" s="606"/>
      <c r="O230" s="606"/>
      <c r="P230" s="606"/>
      <c r="Q230" s="606"/>
      <c r="R230" s="606"/>
      <c r="S230" s="606"/>
      <c r="T230" s="606"/>
      <c r="U230" s="606"/>
      <c r="V230" s="606"/>
    </row>
    <row r="231" spans="3:22" x14ac:dyDescent="0.25">
      <c r="C231" s="51"/>
      <c r="D231" s="51"/>
      <c r="E231" s="51"/>
      <c r="F231" s="51"/>
      <c r="G231" s="67"/>
      <c r="H231" s="51"/>
      <c r="I231" s="51"/>
      <c r="J231" s="51"/>
      <c r="K231" s="51"/>
      <c r="L231" s="51"/>
      <c r="M231" s="51"/>
      <c r="N231" s="51"/>
      <c r="O231" s="51"/>
      <c r="P231" s="51"/>
      <c r="Q231" s="51"/>
      <c r="R231" s="51"/>
      <c r="S231" s="51"/>
      <c r="T231" s="51"/>
      <c r="U231" s="51"/>
      <c r="V231" s="51"/>
    </row>
    <row r="232" spans="3:22" x14ac:dyDescent="0.25">
      <c r="C232" s="764" t="s">
        <v>128</v>
      </c>
      <c r="D232" s="753" t="s">
        <v>42</v>
      </c>
      <c r="E232" s="753" t="s">
        <v>52</v>
      </c>
      <c r="F232" s="753" t="s">
        <v>53</v>
      </c>
      <c r="G232" s="766" t="s">
        <v>482</v>
      </c>
      <c r="H232" s="753" t="s">
        <v>32</v>
      </c>
      <c r="I232" s="753" t="s">
        <v>483</v>
      </c>
      <c r="J232" s="753" t="s">
        <v>20</v>
      </c>
      <c r="K232" s="753" t="s">
        <v>55</v>
      </c>
      <c r="L232" s="761" t="s">
        <v>56</v>
      </c>
      <c r="M232" s="762"/>
      <c r="N232" s="762"/>
      <c r="O232" s="762"/>
      <c r="P232" s="762"/>
      <c r="Q232" s="763"/>
      <c r="R232" s="753" t="s">
        <v>57</v>
      </c>
      <c r="S232" s="753" t="s">
        <v>58</v>
      </c>
      <c r="T232" s="753" t="s">
        <v>31</v>
      </c>
      <c r="U232" s="753" t="s">
        <v>10</v>
      </c>
      <c r="V232" s="51"/>
    </row>
    <row r="233" spans="3:22" ht="36" x14ac:dyDescent="0.25">
      <c r="C233" s="765"/>
      <c r="D233" s="754"/>
      <c r="E233" s="754"/>
      <c r="F233" s="754"/>
      <c r="G233" s="767"/>
      <c r="H233" s="754"/>
      <c r="I233" s="754"/>
      <c r="J233" s="754"/>
      <c r="K233" s="754"/>
      <c r="L233" s="608" t="s">
        <v>335</v>
      </c>
      <c r="M233" s="608" t="s">
        <v>40</v>
      </c>
      <c r="N233" s="608" t="s">
        <v>343</v>
      </c>
      <c r="O233" s="608" t="s">
        <v>344</v>
      </c>
      <c r="P233" s="609" t="s">
        <v>345</v>
      </c>
      <c r="Q233" s="608" t="s">
        <v>346</v>
      </c>
      <c r="R233" s="754"/>
      <c r="S233" s="754"/>
      <c r="T233" s="754"/>
      <c r="U233" s="754"/>
      <c r="V233" s="51"/>
    </row>
    <row r="234" spans="3:22" x14ac:dyDescent="0.25">
      <c r="C234" s="610" t="s">
        <v>59</v>
      </c>
      <c r="D234" s="611">
        <v>0</v>
      </c>
      <c r="E234" s="611">
        <v>2.3260000000000005</v>
      </c>
      <c r="F234" s="611">
        <v>0</v>
      </c>
      <c r="G234" s="611">
        <v>0</v>
      </c>
      <c r="H234" s="611">
        <v>3.7216000000000006E-2</v>
      </c>
      <c r="I234" s="611">
        <v>0</v>
      </c>
      <c r="J234" s="612">
        <v>1162.199818181818</v>
      </c>
      <c r="K234" s="612">
        <v>371.91258763455278</v>
      </c>
      <c r="L234" s="612">
        <v>428.31581499702253</v>
      </c>
      <c r="M234" s="612">
        <v>21.832470141682652</v>
      </c>
      <c r="N234" s="611">
        <v>1.5522078310841105</v>
      </c>
      <c r="O234" s="611">
        <v>0.16457898409976487</v>
      </c>
      <c r="P234" s="612">
        <v>148.71329626041282</v>
      </c>
      <c r="Q234" s="612">
        <v>22.497992115953615</v>
      </c>
      <c r="R234" s="611">
        <v>0</v>
      </c>
      <c r="S234" s="611">
        <v>0</v>
      </c>
      <c r="T234" s="611">
        <v>0</v>
      </c>
      <c r="U234" s="613">
        <v>2159.5519821466264</v>
      </c>
      <c r="V234" s="51"/>
    </row>
    <row r="235" spans="3:22" x14ac:dyDescent="0.25">
      <c r="C235" s="610" t="s">
        <v>60</v>
      </c>
      <c r="D235" s="611">
        <v>14.018688039101649</v>
      </c>
      <c r="E235" s="611">
        <v>270.8879796629484</v>
      </c>
      <c r="F235" s="611">
        <v>26.29831217515342</v>
      </c>
      <c r="G235" s="611">
        <v>0</v>
      </c>
      <c r="H235" s="611">
        <v>132.82105117150289</v>
      </c>
      <c r="I235" s="611">
        <v>0</v>
      </c>
      <c r="J235" s="611">
        <v>0</v>
      </c>
      <c r="K235" s="611">
        <v>0</v>
      </c>
      <c r="L235" s="611">
        <v>3.8185483520995893</v>
      </c>
      <c r="M235" s="611">
        <v>0</v>
      </c>
      <c r="N235" s="611">
        <v>5.0715995071493687</v>
      </c>
      <c r="O235" s="611">
        <v>0</v>
      </c>
      <c r="P235" s="611">
        <v>0</v>
      </c>
      <c r="Q235" s="611">
        <v>0</v>
      </c>
      <c r="R235" s="611">
        <v>0</v>
      </c>
      <c r="S235" s="611">
        <v>0</v>
      </c>
      <c r="T235" s="611">
        <v>0</v>
      </c>
      <c r="U235" s="613">
        <v>452.91617890795533</v>
      </c>
      <c r="V235" s="51"/>
    </row>
    <row r="236" spans="3:22" x14ac:dyDescent="0.25">
      <c r="C236" s="610" t="s">
        <v>61</v>
      </c>
      <c r="D236" s="611">
        <v>0</v>
      </c>
      <c r="E236" s="611">
        <v>0</v>
      </c>
      <c r="F236" s="611">
        <v>3.1635560327380432</v>
      </c>
      <c r="G236" s="611">
        <v>-0.85627443515198287</v>
      </c>
      <c r="H236" s="611">
        <v>0</v>
      </c>
      <c r="I236" s="611">
        <v>0</v>
      </c>
      <c r="J236" s="611">
        <v>0</v>
      </c>
      <c r="K236" s="611">
        <v>0</v>
      </c>
      <c r="L236" s="611">
        <v>0</v>
      </c>
      <c r="M236" s="611">
        <v>0</v>
      </c>
      <c r="N236" s="611">
        <v>0</v>
      </c>
      <c r="O236" s="611">
        <v>0</v>
      </c>
      <c r="P236" s="611">
        <v>0</v>
      </c>
      <c r="Q236" s="611">
        <v>0</v>
      </c>
      <c r="R236" s="611">
        <v>-59.544479832357297</v>
      </c>
      <c r="S236" s="611">
        <v>0</v>
      </c>
      <c r="T236" s="611">
        <v>0</v>
      </c>
      <c r="U236" s="613">
        <v>-57.237198234771235</v>
      </c>
      <c r="V236" s="51"/>
    </row>
    <row r="237" spans="3:22" x14ac:dyDescent="0.25">
      <c r="C237" s="610" t="s">
        <v>62</v>
      </c>
      <c r="D237" s="611">
        <v>0</v>
      </c>
      <c r="E237" s="611">
        <v>0</v>
      </c>
      <c r="F237" s="611">
        <v>-6.7125205563218922</v>
      </c>
      <c r="G237" s="611">
        <v>-3.2950395543749584</v>
      </c>
      <c r="H237" s="611">
        <v>-0.49987622776591634</v>
      </c>
      <c r="I237" s="611">
        <v>-2.9890617212740871</v>
      </c>
      <c r="J237" s="611">
        <v>0</v>
      </c>
      <c r="K237" s="611">
        <v>0</v>
      </c>
      <c r="L237" s="611">
        <v>0</v>
      </c>
      <c r="M237" s="611">
        <v>0</v>
      </c>
      <c r="N237" s="611">
        <v>-1.2700508300617339</v>
      </c>
      <c r="O237" s="611">
        <v>-2.1176768711242038</v>
      </c>
      <c r="P237" s="611">
        <v>0</v>
      </c>
      <c r="Q237" s="611">
        <v>0</v>
      </c>
      <c r="R237" s="611">
        <v>0</v>
      </c>
      <c r="S237" s="611">
        <v>0</v>
      </c>
      <c r="T237" s="611">
        <v>-0.96281875223876434</v>
      </c>
      <c r="U237" s="613">
        <v>-17.847044513161556</v>
      </c>
      <c r="V237" s="51"/>
    </row>
    <row r="238" spans="3:22" x14ac:dyDescent="0.25">
      <c r="C238" s="610" t="s">
        <v>63</v>
      </c>
      <c r="D238" s="611">
        <v>0</v>
      </c>
      <c r="E238" s="611">
        <v>0</v>
      </c>
      <c r="F238" s="611">
        <v>-45.424019815542103</v>
      </c>
      <c r="G238" s="611">
        <v>-6.3379784988277912</v>
      </c>
      <c r="H238" s="611">
        <v>0</v>
      </c>
      <c r="I238" s="611">
        <v>0</v>
      </c>
      <c r="J238" s="611">
        <v>0</v>
      </c>
      <c r="K238" s="611">
        <v>0</v>
      </c>
      <c r="L238" s="611">
        <v>0</v>
      </c>
      <c r="M238" s="611">
        <v>0</v>
      </c>
      <c r="N238" s="611">
        <v>-13.31780034386745</v>
      </c>
      <c r="O238" s="611">
        <v>0</v>
      </c>
      <c r="P238" s="611">
        <v>0</v>
      </c>
      <c r="Q238" s="611">
        <v>0</v>
      </c>
      <c r="R238" s="611">
        <v>0</v>
      </c>
      <c r="S238" s="611">
        <v>0</v>
      </c>
      <c r="T238" s="611">
        <v>-1.794651350884874</v>
      </c>
      <c r="U238" s="613">
        <v>-66.874450009122214</v>
      </c>
      <c r="V238" s="51"/>
    </row>
    <row r="239" spans="3:22" x14ac:dyDescent="0.25">
      <c r="C239" s="610" t="s">
        <v>64</v>
      </c>
      <c r="D239" s="611">
        <v>0</v>
      </c>
      <c r="E239" s="611">
        <v>0</v>
      </c>
      <c r="F239" s="611">
        <v>0</v>
      </c>
      <c r="G239" s="611">
        <v>0</v>
      </c>
      <c r="H239" s="611">
        <v>0</v>
      </c>
      <c r="I239" s="611">
        <v>0</v>
      </c>
      <c r="J239" s="611">
        <v>0</v>
      </c>
      <c r="K239" s="611">
        <v>0</v>
      </c>
      <c r="L239" s="611">
        <v>0</v>
      </c>
      <c r="M239" s="611">
        <v>0</v>
      </c>
      <c r="N239" s="611">
        <v>0</v>
      </c>
      <c r="O239" s="611">
        <v>0</v>
      </c>
      <c r="P239" s="611">
        <v>0</v>
      </c>
      <c r="Q239" s="611">
        <v>0</v>
      </c>
      <c r="R239" s="611">
        <v>0</v>
      </c>
      <c r="S239" s="611">
        <v>0</v>
      </c>
      <c r="T239" s="611">
        <v>0</v>
      </c>
      <c r="U239" s="613">
        <v>0</v>
      </c>
      <c r="V239" s="51"/>
    </row>
    <row r="240" spans="3:22" x14ac:dyDescent="0.25">
      <c r="C240" s="614" t="s">
        <v>65</v>
      </c>
      <c r="D240" s="615">
        <v>14.018688039101649</v>
      </c>
      <c r="E240" s="615">
        <v>273.21397966294842</v>
      </c>
      <c r="F240" s="615">
        <v>-22.674672163972531</v>
      </c>
      <c r="G240" s="615">
        <v>-10.489292488354732</v>
      </c>
      <c r="H240" s="615">
        <v>132.35839094373696</v>
      </c>
      <c r="I240" s="615">
        <v>-2.9890617212740871</v>
      </c>
      <c r="J240" s="615">
        <v>1162.199818181818</v>
      </c>
      <c r="K240" s="615">
        <v>371.91258763455278</v>
      </c>
      <c r="L240" s="615">
        <v>432.13436334912211</v>
      </c>
      <c r="M240" s="615">
        <v>21.832470141682652</v>
      </c>
      <c r="N240" s="615">
        <v>-7.9640438356957048</v>
      </c>
      <c r="O240" s="615">
        <v>-1.9530978870244389</v>
      </c>
      <c r="P240" s="615">
        <v>148.71329626041282</v>
      </c>
      <c r="Q240" s="615">
        <v>22.497992115953615</v>
      </c>
      <c r="R240" s="615">
        <v>-59.544479832357297</v>
      </c>
      <c r="S240" s="615">
        <v>0</v>
      </c>
      <c r="T240" s="615">
        <v>-2.7574701031236382</v>
      </c>
      <c r="U240" s="615">
        <v>2470.5094682975268</v>
      </c>
      <c r="V240" s="51"/>
    </row>
    <row r="241" spans="3:22" x14ac:dyDescent="0.25">
      <c r="C241" s="616"/>
      <c r="D241" s="617"/>
      <c r="E241" s="617"/>
      <c r="F241" s="617"/>
      <c r="G241" s="617"/>
      <c r="H241" s="623"/>
      <c r="I241" s="617"/>
      <c r="J241" s="617"/>
      <c r="K241" s="617"/>
      <c r="L241" s="617"/>
      <c r="M241" s="617"/>
      <c r="N241" s="617"/>
      <c r="O241" s="617"/>
      <c r="P241" s="617"/>
      <c r="Q241" s="617"/>
      <c r="R241" s="617"/>
      <c r="S241" s="617"/>
      <c r="T241" s="617"/>
      <c r="U241" s="617"/>
      <c r="V241" s="51"/>
    </row>
    <row r="242" spans="3:22" x14ac:dyDescent="0.25">
      <c r="C242" s="618" t="s">
        <v>67</v>
      </c>
      <c r="D242" s="611">
        <v>0</v>
      </c>
      <c r="E242" s="611">
        <v>0</v>
      </c>
      <c r="F242" s="611">
        <v>0</v>
      </c>
      <c r="G242" s="611">
        <v>0</v>
      </c>
      <c r="H242" s="611">
        <v>0</v>
      </c>
      <c r="I242" s="611">
        <v>0</v>
      </c>
      <c r="J242" s="611">
        <v>0</v>
      </c>
      <c r="K242" s="611">
        <v>0</v>
      </c>
      <c r="L242" s="611">
        <v>0</v>
      </c>
      <c r="M242" s="611">
        <v>0</v>
      </c>
      <c r="N242" s="611">
        <v>0</v>
      </c>
      <c r="O242" s="611">
        <v>0</v>
      </c>
      <c r="P242" s="611">
        <v>0</v>
      </c>
      <c r="Q242" s="611">
        <v>0</v>
      </c>
      <c r="R242" s="611">
        <v>0</v>
      </c>
      <c r="S242" s="611">
        <v>0</v>
      </c>
      <c r="T242" s="611">
        <v>0</v>
      </c>
      <c r="U242" s="619">
        <v>0</v>
      </c>
      <c r="V242" s="51"/>
    </row>
    <row r="243" spans="3:22" x14ac:dyDescent="0.25">
      <c r="C243" s="618" t="s">
        <v>347</v>
      </c>
      <c r="D243" s="611">
        <v>0</v>
      </c>
      <c r="E243" s="611">
        <v>0</v>
      </c>
      <c r="F243" s="611">
        <v>0.36057808628354604</v>
      </c>
      <c r="G243" s="611">
        <v>0</v>
      </c>
      <c r="H243" s="611">
        <v>11.85720957473684</v>
      </c>
      <c r="I243" s="611">
        <v>0</v>
      </c>
      <c r="J243" s="611">
        <v>1162.199818181818</v>
      </c>
      <c r="K243" s="611">
        <v>371.91258763455278</v>
      </c>
      <c r="L243" s="611">
        <v>23.35467673808137</v>
      </c>
      <c r="M243" s="611">
        <v>0.6051195632921027</v>
      </c>
      <c r="N243" s="611">
        <v>5.3878161949008447</v>
      </c>
      <c r="O243" s="611">
        <v>7.0773268475558293</v>
      </c>
      <c r="P243" s="611">
        <v>0</v>
      </c>
      <c r="Q243" s="611">
        <v>4.9774137725284184</v>
      </c>
      <c r="R243" s="611">
        <v>-809.82615158881902</v>
      </c>
      <c r="S243" s="611">
        <v>0</v>
      </c>
      <c r="T243" s="611">
        <v>2.2153139999999998</v>
      </c>
      <c r="U243" s="619">
        <v>780.12170900493118</v>
      </c>
      <c r="V243" s="51"/>
    </row>
    <row r="244" spans="3:22" x14ac:dyDescent="0.25">
      <c r="C244" s="618" t="s">
        <v>348</v>
      </c>
      <c r="D244" s="611">
        <v>0</v>
      </c>
      <c r="E244" s="611">
        <v>0</v>
      </c>
      <c r="F244" s="611">
        <v>0</v>
      </c>
      <c r="G244" s="611">
        <v>0</v>
      </c>
      <c r="H244" s="611">
        <v>9.1306644834570143</v>
      </c>
      <c r="I244" s="611">
        <v>0</v>
      </c>
      <c r="J244" s="611">
        <v>0</v>
      </c>
      <c r="K244" s="611">
        <v>0</v>
      </c>
      <c r="L244" s="611">
        <v>35.120993050701685</v>
      </c>
      <c r="M244" s="611">
        <v>14.187122516158354</v>
      </c>
      <c r="N244" s="611">
        <v>0</v>
      </c>
      <c r="O244" s="611">
        <v>5.376679884494675</v>
      </c>
      <c r="P244" s="611">
        <v>0</v>
      </c>
      <c r="Q244" s="611">
        <v>10.750796331510863</v>
      </c>
      <c r="R244" s="611">
        <v>0</v>
      </c>
      <c r="S244" s="611">
        <v>-68.975341890525812</v>
      </c>
      <c r="T244" s="611">
        <v>0</v>
      </c>
      <c r="U244" s="619">
        <v>5.5909143757967854</v>
      </c>
      <c r="V244" s="51"/>
    </row>
    <row r="245" spans="3:22" x14ac:dyDescent="0.25">
      <c r="C245" s="618" t="s">
        <v>349</v>
      </c>
      <c r="D245" s="611">
        <v>0</v>
      </c>
      <c r="E245" s="611">
        <v>0</v>
      </c>
      <c r="F245" s="611">
        <v>0</v>
      </c>
      <c r="G245" s="611">
        <v>0</v>
      </c>
      <c r="H245" s="611">
        <v>0</v>
      </c>
      <c r="I245" s="611">
        <v>0</v>
      </c>
      <c r="J245" s="611">
        <v>0</v>
      </c>
      <c r="K245" s="611">
        <v>0</v>
      </c>
      <c r="L245" s="611">
        <v>90.922618226552515</v>
      </c>
      <c r="M245" s="611">
        <v>0</v>
      </c>
      <c r="N245" s="611">
        <v>0</v>
      </c>
      <c r="O245" s="611">
        <v>-82.66993696120025</v>
      </c>
      <c r="P245" s="611">
        <v>0</v>
      </c>
      <c r="Q245" s="611">
        <v>0</v>
      </c>
      <c r="R245" s="611">
        <v>0</v>
      </c>
      <c r="S245" s="611">
        <v>0</v>
      </c>
      <c r="T245" s="611">
        <v>0</v>
      </c>
      <c r="U245" s="619">
        <v>8.2526812653522654</v>
      </c>
      <c r="V245" s="51"/>
    </row>
    <row r="246" spans="3:22" x14ac:dyDescent="0.25">
      <c r="C246" s="618" t="s">
        <v>350</v>
      </c>
      <c r="D246" s="611">
        <v>0</v>
      </c>
      <c r="E246" s="611">
        <v>0</v>
      </c>
      <c r="F246" s="611">
        <v>0</v>
      </c>
      <c r="G246" s="611">
        <v>0</v>
      </c>
      <c r="H246" s="611">
        <v>0</v>
      </c>
      <c r="I246" s="611">
        <v>-2.9890617212740871</v>
      </c>
      <c r="J246" s="611">
        <v>0</v>
      </c>
      <c r="K246" s="611">
        <v>0</v>
      </c>
      <c r="L246" s="611">
        <v>0</v>
      </c>
      <c r="M246" s="611">
        <v>0</v>
      </c>
      <c r="N246" s="611">
        <v>0</v>
      </c>
      <c r="O246" s="611">
        <v>0</v>
      </c>
      <c r="P246" s="611">
        <v>0</v>
      </c>
      <c r="Q246" s="611">
        <v>0</v>
      </c>
      <c r="R246" s="611">
        <v>0</v>
      </c>
      <c r="S246" s="611">
        <v>0</v>
      </c>
      <c r="T246" s="611">
        <v>4.1514746128806763</v>
      </c>
      <c r="U246" s="619">
        <v>1.1624128916065892</v>
      </c>
      <c r="V246" s="51"/>
    </row>
    <row r="247" spans="3:22" x14ac:dyDescent="0.25">
      <c r="C247" s="618" t="s">
        <v>72</v>
      </c>
      <c r="D247" s="611">
        <v>0</v>
      </c>
      <c r="E247" s="611">
        <v>283.1271683530257</v>
      </c>
      <c r="F247" s="611">
        <v>-280.30617492402195</v>
      </c>
      <c r="G247" s="611">
        <v>0</v>
      </c>
      <c r="H247" s="611">
        <v>0</v>
      </c>
      <c r="I247" s="611">
        <v>0</v>
      </c>
      <c r="J247" s="611">
        <v>0</v>
      </c>
      <c r="K247" s="611">
        <v>0</v>
      </c>
      <c r="L247" s="611">
        <v>0</v>
      </c>
      <c r="M247" s="611">
        <v>0</v>
      </c>
      <c r="N247" s="611">
        <v>0</v>
      </c>
      <c r="O247" s="611">
        <v>0</v>
      </c>
      <c r="P247" s="611">
        <v>0</v>
      </c>
      <c r="Q247" s="611">
        <v>0</v>
      </c>
      <c r="R247" s="611">
        <v>0</v>
      </c>
      <c r="S247" s="611">
        <v>0</v>
      </c>
      <c r="T247" s="611">
        <v>0</v>
      </c>
      <c r="U247" s="619">
        <v>2.8209934290037495</v>
      </c>
      <c r="V247" s="51"/>
    </row>
    <row r="248" spans="3:22" x14ac:dyDescent="0.25">
      <c r="C248" s="618" t="s">
        <v>351</v>
      </c>
      <c r="D248" s="611">
        <v>0</v>
      </c>
      <c r="E248" s="611">
        <v>0</v>
      </c>
      <c r="F248" s="611">
        <v>0</v>
      </c>
      <c r="G248" s="611">
        <v>0</v>
      </c>
      <c r="H248" s="611">
        <v>0</v>
      </c>
      <c r="I248" s="611">
        <v>0</v>
      </c>
      <c r="J248" s="611">
        <v>0</v>
      </c>
      <c r="K248" s="611">
        <v>0</v>
      </c>
      <c r="L248" s="611">
        <v>211.26822673401878</v>
      </c>
      <c r="M248" s="611">
        <v>0</v>
      </c>
      <c r="N248" s="611">
        <v>-116.19752470371033</v>
      </c>
      <c r="O248" s="611">
        <v>0</v>
      </c>
      <c r="P248" s="611">
        <v>0</v>
      </c>
      <c r="Q248" s="611">
        <v>0</v>
      </c>
      <c r="R248" s="611">
        <v>0</v>
      </c>
      <c r="S248" s="611">
        <v>0</v>
      </c>
      <c r="T248" s="611">
        <v>0</v>
      </c>
      <c r="U248" s="619">
        <v>95.070702030308453</v>
      </c>
      <c r="V248" s="51"/>
    </row>
    <row r="249" spans="3:22" x14ac:dyDescent="0.25">
      <c r="C249" s="618" t="s">
        <v>352</v>
      </c>
      <c r="D249" s="611">
        <v>0</v>
      </c>
      <c r="E249" s="611">
        <v>0</v>
      </c>
      <c r="F249" s="611">
        <v>0</v>
      </c>
      <c r="G249" s="611">
        <v>-13.61496514917124</v>
      </c>
      <c r="H249" s="611">
        <v>0</v>
      </c>
      <c r="I249" s="611">
        <v>0</v>
      </c>
      <c r="J249" s="611">
        <v>0</v>
      </c>
      <c r="K249" s="611">
        <v>0</v>
      </c>
      <c r="L249" s="611">
        <v>0</v>
      </c>
      <c r="M249" s="611">
        <v>0</v>
      </c>
      <c r="N249" s="611">
        <v>0</v>
      </c>
      <c r="O249" s="611">
        <v>0</v>
      </c>
      <c r="P249" s="611">
        <v>0</v>
      </c>
      <c r="Q249" s="611">
        <v>0</v>
      </c>
      <c r="R249" s="611">
        <v>0</v>
      </c>
      <c r="S249" s="611">
        <v>0</v>
      </c>
      <c r="T249" s="611">
        <v>17.7682733969807</v>
      </c>
      <c r="U249" s="619">
        <v>4.1533082478094592</v>
      </c>
      <c r="V249" s="51"/>
    </row>
    <row r="250" spans="3:22" x14ac:dyDescent="0.25">
      <c r="C250" s="618" t="s">
        <v>73</v>
      </c>
      <c r="D250" s="611">
        <v>0</v>
      </c>
      <c r="E250" s="611">
        <v>0</v>
      </c>
      <c r="F250" s="611">
        <v>0</v>
      </c>
      <c r="G250" s="611">
        <v>0</v>
      </c>
      <c r="H250" s="611">
        <v>0</v>
      </c>
      <c r="I250" s="611">
        <v>0</v>
      </c>
      <c r="J250" s="611">
        <v>0</v>
      </c>
      <c r="K250" s="611">
        <v>0</v>
      </c>
      <c r="L250" s="611">
        <v>0</v>
      </c>
      <c r="M250" s="611">
        <v>0</v>
      </c>
      <c r="N250" s="611">
        <v>0</v>
      </c>
      <c r="O250" s="611">
        <v>0</v>
      </c>
      <c r="P250" s="611">
        <v>0</v>
      </c>
      <c r="Q250" s="611">
        <v>0</v>
      </c>
      <c r="R250" s="611">
        <v>95.094141088203713</v>
      </c>
      <c r="S250" s="611">
        <v>0</v>
      </c>
      <c r="T250" s="611">
        <v>-64.473827657802119</v>
      </c>
      <c r="U250" s="619">
        <v>30.620313430401595</v>
      </c>
      <c r="V250" s="51"/>
    </row>
    <row r="251" spans="3:22" x14ac:dyDescent="0.25">
      <c r="C251" s="618" t="s">
        <v>353</v>
      </c>
      <c r="D251" s="611">
        <v>7.8269305078124995</v>
      </c>
      <c r="E251" s="611">
        <v>-9.913188690077277</v>
      </c>
      <c r="F251" s="611">
        <v>12.914884415071832</v>
      </c>
      <c r="G251" s="611">
        <v>0</v>
      </c>
      <c r="H251" s="611">
        <v>0</v>
      </c>
      <c r="I251" s="611">
        <v>0</v>
      </c>
      <c r="J251" s="611">
        <v>0</v>
      </c>
      <c r="K251" s="611">
        <v>0</v>
      </c>
      <c r="L251" s="611">
        <v>0</v>
      </c>
      <c r="M251" s="611">
        <v>0</v>
      </c>
      <c r="N251" s="611">
        <v>0</v>
      </c>
      <c r="O251" s="611">
        <v>0</v>
      </c>
      <c r="P251" s="611">
        <v>0</v>
      </c>
      <c r="Q251" s="611">
        <v>0</v>
      </c>
      <c r="R251" s="611">
        <v>0</v>
      </c>
      <c r="S251" s="611">
        <v>0</v>
      </c>
      <c r="T251" s="611">
        <v>0</v>
      </c>
      <c r="U251" s="619">
        <v>10.828626232807053</v>
      </c>
      <c r="V251" s="51"/>
    </row>
    <row r="252" spans="3:22" x14ac:dyDescent="0.25">
      <c r="C252" s="618" t="s">
        <v>75</v>
      </c>
      <c r="D252" s="611">
        <v>3.0438063085937501</v>
      </c>
      <c r="E252" s="611">
        <v>0</v>
      </c>
      <c r="F252" s="611">
        <v>9.7210991282801391</v>
      </c>
      <c r="G252" s="611">
        <v>0</v>
      </c>
      <c r="H252" s="611">
        <v>3.2664120682994437</v>
      </c>
      <c r="I252" s="611">
        <v>0</v>
      </c>
      <c r="J252" s="611">
        <v>0</v>
      </c>
      <c r="K252" s="611">
        <v>0</v>
      </c>
      <c r="L252" s="611">
        <v>0</v>
      </c>
      <c r="M252" s="611">
        <v>0</v>
      </c>
      <c r="N252" s="611">
        <v>0</v>
      </c>
      <c r="O252" s="611">
        <v>1.9850542794488581</v>
      </c>
      <c r="P252" s="611">
        <v>0</v>
      </c>
      <c r="Q252" s="611">
        <v>0</v>
      </c>
      <c r="R252" s="611">
        <v>63.494449496220589</v>
      </c>
      <c r="S252" s="611">
        <v>0</v>
      </c>
      <c r="T252" s="611">
        <v>0</v>
      </c>
      <c r="U252" s="619">
        <v>81.510821280842777</v>
      </c>
      <c r="V252" s="51"/>
    </row>
    <row r="253" spans="3:22" x14ac:dyDescent="0.25">
      <c r="C253" s="618" t="s">
        <v>76</v>
      </c>
      <c r="D253" s="611">
        <v>0</v>
      </c>
      <c r="E253" s="611">
        <v>0</v>
      </c>
      <c r="F253" s="611">
        <v>0</v>
      </c>
      <c r="G253" s="611">
        <v>0</v>
      </c>
      <c r="H253" s="611">
        <v>1.449304487001404</v>
      </c>
      <c r="I253" s="611">
        <v>0</v>
      </c>
      <c r="J253" s="611">
        <v>0</v>
      </c>
      <c r="K253" s="611">
        <v>0</v>
      </c>
      <c r="L253" s="611">
        <v>0</v>
      </c>
      <c r="M253" s="611">
        <v>0</v>
      </c>
      <c r="N253" s="611">
        <v>0</v>
      </c>
      <c r="O253" s="611">
        <v>0.88076703550889179</v>
      </c>
      <c r="P253" s="611">
        <v>0</v>
      </c>
      <c r="Q253" s="611">
        <v>0</v>
      </c>
      <c r="R253" s="611">
        <v>57.445441282352888</v>
      </c>
      <c r="S253" s="611">
        <v>5.3495376277801165</v>
      </c>
      <c r="T253" s="611">
        <v>0</v>
      </c>
      <c r="U253" s="619">
        <v>65.125050432643306</v>
      </c>
      <c r="V253" s="51"/>
    </row>
    <row r="254" spans="3:22" x14ac:dyDescent="0.25">
      <c r="C254" s="614" t="s">
        <v>77</v>
      </c>
      <c r="D254" s="615">
        <v>10.87073681640625</v>
      </c>
      <c r="E254" s="615">
        <v>273.21397966294842</v>
      </c>
      <c r="F254" s="615">
        <v>-257.30961329438645</v>
      </c>
      <c r="G254" s="615">
        <v>-13.61496514917124</v>
      </c>
      <c r="H254" s="615">
        <v>25.703590613494701</v>
      </c>
      <c r="I254" s="615">
        <v>-2.9890617212740871</v>
      </c>
      <c r="J254" s="615">
        <v>1162.199818181818</v>
      </c>
      <c r="K254" s="615">
        <v>371.91258763455278</v>
      </c>
      <c r="L254" s="615">
        <v>360.66651474935435</v>
      </c>
      <c r="M254" s="615">
        <v>14.792242079450457</v>
      </c>
      <c r="N254" s="615">
        <v>-110.80970850880948</v>
      </c>
      <c r="O254" s="615">
        <v>-67.350108914191992</v>
      </c>
      <c r="P254" s="615">
        <v>0</v>
      </c>
      <c r="Q254" s="615">
        <v>15.728210104039281</v>
      </c>
      <c r="R254" s="615">
        <v>-593.79211972204178</v>
      </c>
      <c r="S254" s="615">
        <v>-63.625804262745696</v>
      </c>
      <c r="T254" s="615">
        <v>-40.338765647940747</v>
      </c>
      <c r="U254" s="615">
        <v>1085.2575326215033</v>
      </c>
      <c r="V254" s="51"/>
    </row>
    <row r="255" spans="3:22" x14ac:dyDescent="0.25">
      <c r="C255" s="616"/>
      <c r="D255" s="617"/>
      <c r="E255" s="617"/>
      <c r="F255" s="617"/>
      <c r="G255" s="617"/>
      <c r="H255" s="623"/>
      <c r="I255" s="617"/>
      <c r="J255" s="617"/>
      <c r="K255" s="617"/>
      <c r="L255" s="617"/>
      <c r="M255" s="617"/>
      <c r="N255" s="617"/>
      <c r="O255" s="617"/>
      <c r="P255" s="617"/>
      <c r="Q255" s="617"/>
      <c r="R255" s="617"/>
      <c r="S255" s="617"/>
      <c r="T255" s="617"/>
      <c r="U255" s="617"/>
      <c r="V255" s="51"/>
    </row>
    <row r="256" spans="3:22" x14ac:dyDescent="0.25">
      <c r="C256" s="618" t="s">
        <v>78</v>
      </c>
      <c r="D256" s="611">
        <v>3.1479512226953994</v>
      </c>
      <c r="E256" s="611">
        <v>0</v>
      </c>
      <c r="F256" s="611">
        <v>7.3437351704458669</v>
      </c>
      <c r="G256" s="611">
        <v>0</v>
      </c>
      <c r="H256" s="611">
        <v>47.748408510748327</v>
      </c>
      <c r="I256" s="611">
        <v>0</v>
      </c>
      <c r="J256" s="611">
        <v>0</v>
      </c>
      <c r="K256" s="611">
        <v>0</v>
      </c>
      <c r="L256" s="611">
        <v>22.07297303718682</v>
      </c>
      <c r="M256" s="611">
        <v>7.0398001823904393</v>
      </c>
      <c r="N256" s="611">
        <v>1.8141076681280928</v>
      </c>
      <c r="O256" s="611">
        <v>29.054305571352941</v>
      </c>
      <c r="P256" s="611">
        <v>11.680015624999999</v>
      </c>
      <c r="Q256" s="611">
        <v>7.4990210834655101E-4</v>
      </c>
      <c r="R256" s="611">
        <v>169.36564151206954</v>
      </c>
      <c r="S256" s="611">
        <v>20.361092617344379</v>
      </c>
      <c r="T256" s="611">
        <v>8.2949111328124996</v>
      </c>
      <c r="U256" s="619">
        <v>327.92369215228263</v>
      </c>
      <c r="V256" s="51"/>
    </row>
    <row r="257" spans="3:22" x14ac:dyDescent="0.25">
      <c r="C257" s="618" t="s">
        <v>79</v>
      </c>
      <c r="D257" s="611">
        <v>0</v>
      </c>
      <c r="E257" s="611">
        <v>0</v>
      </c>
      <c r="F257" s="611">
        <v>117.18993365145114</v>
      </c>
      <c r="G257" s="611">
        <v>1.1502523332163914</v>
      </c>
      <c r="H257" s="611">
        <v>4.819889599277416</v>
      </c>
      <c r="I257" s="611">
        <v>0</v>
      </c>
      <c r="J257" s="611">
        <v>0</v>
      </c>
      <c r="K257" s="611">
        <v>0</v>
      </c>
      <c r="L257" s="611">
        <v>0</v>
      </c>
      <c r="M257" s="611">
        <v>0</v>
      </c>
      <c r="N257" s="611">
        <v>66.206077394178237</v>
      </c>
      <c r="O257" s="611">
        <v>2.9291290490785586</v>
      </c>
      <c r="P257" s="611">
        <v>0</v>
      </c>
      <c r="Q257" s="611">
        <v>0</v>
      </c>
      <c r="R257" s="611">
        <v>81.27523543109001</v>
      </c>
      <c r="S257" s="611">
        <v>0</v>
      </c>
      <c r="T257" s="611">
        <v>3.9485258535759078</v>
      </c>
      <c r="U257" s="619">
        <v>277.51904331186768</v>
      </c>
      <c r="V257" s="51"/>
    </row>
    <row r="258" spans="3:22" x14ac:dyDescent="0.25">
      <c r="C258" s="618" t="s">
        <v>80</v>
      </c>
      <c r="D258" s="611">
        <v>0</v>
      </c>
      <c r="E258" s="611">
        <v>0</v>
      </c>
      <c r="F258" s="611">
        <v>1.6468320076287117</v>
      </c>
      <c r="G258" s="611">
        <v>0</v>
      </c>
      <c r="H258" s="611">
        <v>25.682284030722609</v>
      </c>
      <c r="I258" s="611">
        <v>0</v>
      </c>
      <c r="J258" s="611">
        <v>0</v>
      </c>
      <c r="K258" s="611">
        <v>0</v>
      </c>
      <c r="L258" s="611">
        <v>45.576984042024812</v>
      </c>
      <c r="M258" s="611">
        <v>0</v>
      </c>
      <c r="N258" s="611">
        <v>0</v>
      </c>
      <c r="O258" s="611">
        <v>15.60756167783464</v>
      </c>
      <c r="P258" s="611">
        <v>92.9157768842542</v>
      </c>
      <c r="Q258" s="611">
        <v>2.574236293616976</v>
      </c>
      <c r="R258" s="611">
        <v>156.93618693881999</v>
      </c>
      <c r="S258" s="611">
        <v>24.427235185684346</v>
      </c>
      <c r="T258" s="611">
        <v>0</v>
      </c>
      <c r="U258" s="619">
        <v>365.36709706058627</v>
      </c>
      <c r="V258" s="51"/>
    </row>
    <row r="259" spans="3:22" x14ac:dyDescent="0.25">
      <c r="C259" s="618" t="s">
        <v>81</v>
      </c>
      <c r="D259" s="611">
        <v>0</v>
      </c>
      <c r="E259" s="611">
        <v>0</v>
      </c>
      <c r="F259" s="611">
        <v>1.271612584053831</v>
      </c>
      <c r="G259" s="611">
        <v>0</v>
      </c>
      <c r="H259" s="611">
        <v>17.420753976777231</v>
      </c>
      <c r="I259" s="611">
        <v>0</v>
      </c>
      <c r="J259" s="611">
        <v>0</v>
      </c>
      <c r="K259" s="611">
        <v>0</v>
      </c>
      <c r="L259" s="611">
        <v>0.56354292606487522</v>
      </c>
      <c r="M259" s="611">
        <v>0</v>
      </c>
      <c r="N259" s="611">
        <v>0</v>
      </c>
      <c r="O259" s="611">
        <v>10.586889072703848</v>
      </c>
      <c r="P259" s="611">
        <v>43.217503751158631</v>
      </c>
      <c r="Q259" s="611">
        <v>3.0292625971252525</v>
      </c>
      <c r="R259" s="611">
        <v>117.52524441411241</v>
      </c>
      <c r="S259" s="611">
        <v>18.837476459716978</v>
      </c>
      <c r="T259" s="611">
        <v>0</v>
      </c>
      <c r="U259" s="619">
        <v>212.45228578171304</v>
      </c>
      <c r="V259" s="51"/>
    </row>
    <row r="260" spans="3:22" x14ac:dyDescent="0.25">
      <c r="C260" s="618" t="s">
        <v>82</v>
      </c>
      <c r="D260" s="611">
        <v>0</v>
      </c>
      <c r="E260" s="611">
        <v>0</v>
      </c>
      <c r="F260" s="611">
        <v>15.53708337722879</v>
      </c>
      <c r="G260" s="611">
        <v>0</v>
      </c>
      <c r="H260" s="611">
        <v>1.1162643592180237</v>
      </c>
      <c r="I260" s="611">
        <v>0</v>
      </c>
      <c r="J260" s="611">
        <v>0</v>
      </c>
      <c r="K260" s="611">
        <v>0</v>
      </c>
      <c r="L260" s="611">
        <v>2.9587607663349296</v>
      </c>
      <c r="M260" s="611">
        <v>0</v>
      </c>
      <c r="N260" s="611">
        <v>12.733577925179564</v>
      </c>
      <c r="O260" s="611">
        <v>0.67837287425146786</v>
      </c>
      <c r="P260" s="611">
        <v>0.9</v>
      </c>
      <c r="Q260" s="611">
        <v>1.1655332190637568</v>
      </c>
      <c r="R260" s="611">
        <v>6.8855315935924812</v>
      </c>
      <c r="S260" s="611">
        <v>0</v>
      </c>
      <c r="T260" s="611">
        <v>0.44791890791865185</v>
      </c>
      <c r="U260" s="619">
        <v>42.423043022787667</v>
      </c>
      <c r="V260" s="51"/>
    </row>
    <row r="261" spans="3:22" x14ac:dyDescent="0.25">
      <c r="C261" s="618" t="s">
        <v>354</v>
      </c>
      <c r="D261" s="611">
        <v>0</v>
      </c>
      <c r="E261" s="611">
        <v>0</v>
      </c>
      <c r="F261" s="611">
        <v>0</v>
      </c>
      <c r="G261" s="611">
        <v>0</v>
      </c>
      <c r="H261" s="611">
        <v>0</v>
      </c>
      <c r="I261" s="611">
        <v>0</v>
      </c>
      <c r="J261" s="611">
        <v>0</v>
      </c>
      <c r="K261" s="611">
        <v>0</v>
      </c>
      <c r="L261" s="611">
        <v>0</v>
      </c>
      <c r="M261" s="611">
        <v>0</v>
      </c>
      <c r="N261" s="611">
        <v>0</v>
      </c>
      <c r="O261" s="611">
        <v>0</v>
      </c>
      <c r="P261" s="611">
        <v>0</v>
      </c>
      <c r="Q261" s="611">
        <v>0</v>
      </c>
      <c r="R261" s="611">
        <v>2.2597999999999998</v>
      </c>
      <c r="S261" s="611">
        <v>0</v>
      </c>
      <c r="T261" s="611">
        <v>0</v>
      </c>
      <c r="U261" s="619">
        <v>2.2597999999999998</v>
      </c>
      <c r="V261" s="51"/>
    </row>
    <row r="262" spans="3:22" x14ac:dyDescent="0.25">
      <c r="C262" s="614" t="s">
        <v>83</v>
      </c>
      <c r="D262" s="615">
        <v>3.1479512226953994</v>
      </c>
      <c r="E262" s="615">
        <v>0</v>
      </c>
      <c r="F262" s="615">
        <v>142.98919679080834</v>
      </c>
      <c r="G262" s="615">
        <v>1.1502523332163914</v>
      </c>
      <c r="H262" s="615">
        <v>96.787600476743606</v>
      </c>
      <c r="I262" s="615">
        <v>0</v>
      </c>
      <c r="J262" s="615">
        <v>0</v>
      </c>
      <c r="K262" s="615">
        <v>0</v>
      </c>
      <c r="L262" s="615">
        <v>71.172260771611434</v>
      </c>
      <c r="M262" s="615">
        <v>7.0398001823904393</v>
      </c>
      <c r="N262" s="615">
        <v>80.753762987485885</v>
      </c>
      <c r="O262" s="615">
        <v>58.856258245221454</v>
      </c>
      <c r="P262" s="615">
        <v>148.71329626041282</v>
      </c>
      <c r="Q262" s="615">
        <v>6.7697820119143319</v>
      </c>
      <c r="R262" s="615">
        <v>534.24763988968448</v>
      </c>
      <c r="S262" s="615">
        <v>63.625804262745703</v>
      </c>
      <c r="T262" s="615">
        <v>12.691355894307058</v>
      </c>
      <c r="U262" s="615">
        <v>1227.9449613292372</v>
      </c>
      <c r="V262" s="51"/>
    </row>
    <row r="263" spans="3:22" x14ac:dyDescent="0.25">
      <c r="C263" s="610" t="s">
        <v>84</v>
      </c>
      <c r="D263" s="611">
        <v>0</v>
      </c>
      <c r="E263" s="611">
        <v>0</v>
      </c>
      <c r="F263" s="611">
        <v>91.645744339605585</v>
      </c>
      <c r="G263" s="611">
        <v>1.9754203276001159</v>
      </c>
      <c r="H263" s="611">
        <v>9.8671998534986294</v>
      </c>
      <c r="I263" s="611">
        <v>0</v>
      </c>
      <c r="J263" s="611">
        <v>0</v>
      </c>
      <c r="K263" s="611">
        <v>0</v>
      </c>
      <c r="L263" s="611">
        <v>0.29558782815630974</v>
      </c>
      <c r="M263" s="611">
        <v>0</v>
      </c>
      <c r="N263" s="611">
        <v>22.091901685627885</v>
      </c>
      <c r="O263" s="611">
        <v>6.5407527819460896</v>
      </c>
      <c r="P263" s="611">
        <v>0</v>
      </c>
      <c r="Q263" s="611">
        <v>0</v>
      </c>
      <c r="R263" s="611">
        <v>0</v>
      </c>
      <c r="S263" s="611">
        <v>0</v>
      </c>
      <c r="T263" s="611">
        <v>24.889939650510044</v>
      </c>
      <c r="U263" s="619">
        <v>157.30654646694467</v>
      </c>
      <c r="V263" s="51"/>
    </row>
    <row r="264" spans="3:22" x14ac:dyDescent="0.25">
      <c r="C264" s="614" t="s">
        <v>85</v>
      </c>
      <c r="D264" s="615">
        <v>3.1479512226953994</v>
      </c>
      <c r="E264" s="615">
        <v>0</v>
      </c>
      <c r="F264" s="615">
        <v>234.63494113041392</v>
      </c>
      <c r="G264" s="615">
        <v>3.1256726608165071</v>
      </c>
      <c r="H264" s="615">
        <v>106.65480033024224</v>
      </c>
      <c r="I264" s="615">
        <v>0</v>
      </c>
      <c r="J264" s="615">
        <v>0</v>
      </c>
      <c r="K264" s="615">
        <v>0</v>
      </c>
      <c r="L264" s="615">
        <v>71.467848599767748</v>
      </c>
      <c r="M264" s="615">
        <v>7.0398001823904393</v>
      </c>
      <c r="N264" s="615">
        <v>102.84566467311377</v>
      </c>
      <c r="O264" s="615">
        <v>65.397011027167537</v>
      </c>
      <c r="P264" s="615">
        <v>148.71329626041282</v>
      </c>
      <c r="Q264" s="615">
        <v>6.7697820119143319</v>
      </c>
      <c r="R264" s="615">
        <v>534.24763988968448</v>
      </c>
      <c r="S264" s="615">
        <v>63.625804262745703</v>
      </c>
      <c r="T264" s="615">
        <v>37.581295544817102</v>
      </c>
      <c r="U264" s="615">
        <v>1385.2515077961818</v>
      </c>
      <c r="V264" s="51"/>
    </row>
    <row r="265" spans="3:22" x14ac:dyDescent="0.25">
      <c r="C265" s="51"/>
      <c r="D265" s="67">
        <v>0</v>
      </c>
      <c r="E265" s="67">
        <v>0</v>
      </c>
      <c r="F265" s="67">
        <v>0</v>
      </c>
      <c r="G265" s="67">
        <v>0</v>
      </c>
      <c r="H265" s="67">
        <v>0</v>
      </c>
      <c r="I265" s="67">
        <v>0</v>
      </c>
      <c r="J265" s="67">
        <v>0</v>
      </c>
      <c r="K265" s="67">
        <v>0</v>
      </c>
      <c r="L265" s="67">
        <v>0</v>
      </c>
      <c r="M265" s="67">
        <v>-4.2787984175518545E-4</v>
      </c>
      <c r="N265" s="67">
        <v>0</v>
      </c>
      <c r="O265" s="67">
        <v>-1.6431300764452317E-14</v>
      </c>
      <c r="P265" s="67">
        <v>0</v>
      </c>
      <c r="Q265" s="67">
        <v>0</v>
      </c>
      <c r="R265" s="67">
        <v>0</v>
      </c>
      <c r="S265" s="67">
        <v>7.1054273576010019E-15</v>
      </c>
      <c r="T265" s="67">
        <v>-6.2172489379008766E-15</v>
      </c>
      <c r="U265" s="67">
        <v>-4.278798414816265E-4</v>
      </c>
      <c r="V265" s="51"/>
    </row>
    <row r="266" spans="3:22" x14ac:dyDescent="0.25">
      <c r="C266" s="51"/>
      <c r="D266" s="51"/>
      <c r="E266" s="51"/>
      <c r="F266" s="51"/>
      <c r="G266" s="67"/>
      <c r="H266" s="51"/>
      <c r="I266" s="51"/>
      <c r="J266" s="51"/>
      <c r="K266" s="51"/>
      <c r="L266" s="51"/>
      <c r="M266" s="51"/>
      <c r="N266" s="51"/>
      <c r="O266" s="51"/>
      <c r="P266" s="51"/>
      <c r="Q266" s="51"/>
      <c r="R266" s="51"/>
      <c r="S266" s="51"/>
      <c r="T266" s="51"/>
      <c r="U266" s="51"/>
      <c r="V266" s="51"/>
    </row>
    <row r="267" spans="3:22" x14ac:dyDescent="0.25">
      <c r="C267" s="607" t="s">
        <v>360</v>
      </c>
      <c r="D267" s="606"/>
      <c r="E267" s="606"/>
      <c r="F267" s="606"/>
      <c r="G267" s="682"/>
      <c r="H267" s="606"/>
      <c r="I267" s="606"/>
      <c r="J267" s="606"/>
      <c r="K267" s="606"/>
      <c r="L267" s="606"/>
      <c r="M267" s="606"/>
      <c r="N267" s="606"/>
      <c r="O267" s="606"/>
      <c r="P267" s="606"/>
      <c r="Q267" s="606"/>
      <c r="R267" s="606"/>
      <c r="S267" s="606"/>
      <c r="T267" s="606"/>
      <c r="U267" s="606"/>
      <c r="V267" s="606"/>
    </row>
    <row r="268" spans="3:22" x14ac:dyDescent="0.25">
      <c r="C268" s="51"/>
      <c r="D268" s="51"/>
      <c r="E268" s="51"/>
      <c r="F268" s="51"/>
      <c r="G268" s="67"/>
      <c r="H268" s="51"/>
      <c r="I268" s="51"/>
      <c r="J268" s="51"/>
      <c r="K268" s="51"/>
      <c r="L268" s="51"/>
      <c r="M268" s="51"/>
      <c r="N268" s="51"/>
      <c r="O268" s="51"/>
      <c r="P268" s="51"/>
      <c r="Q268" s="51"/>
      <c r="R268" s="51"/>
      <c r="S268" s="51"/>
      <c r="T268" s="51"/>
      <c r="U268" s="51"/>
      <c r="V268" s="51"/>
    </row>
    <row r="269" spans="3:22" x14ac:dyDescent="0.25">
      <c r="C269" s="764" t="s">
        <v>128</v>
      </c>
      <c r="D269" s="753" t="s">
        <v>42</v>
      </c>
      <c r="E269" s="753" t="s">
        <v>52</v>
      </c>
      <c r="F269" s="753" t="s">
        <v>53</v>
      </c>
      <c r="G269" s="766" t="s">
        <v>482</v>
      </c>
      <c r="H269" s="753" t="s">
        <v>32</v>
      </c>
      <c r="I269" s="753" t="s">
        <v>483</v>
      </c>
      <c r="J269" s="753" t="s">
        <v>20</v>
      </c>
      <c r="K269" s="753" t="s">
        <v>55</v>
      </c>
      <c r="L269" s="761" t="s">
        <v>56</v>
      </c>
      <c r="M269" s="762"/>
      <c r="N269" s="762"/>
      <c r="O269" s="762"/>
      <c r="P269" s="762"/>
      <c r="Q269" s="763"/>
      <c r="R269" s="753" t="s">
        <v>57</v>
      </c>
      <c r="S269" s="753" t="s">
        <v>58</v>
      </c>
      <c r="T269" s="753" t="s">
        <v>31</v>
      </c>
      <c r="U269" s="753" t="s">
        <v>10</v>
      </c>
      <c r="V269" s="51"/>
    </row>
    <row r="270" spans="3:22" ht="36" x14ac:dyDescent="0.25">
      <c r="C270" s="765"/>
      <c r="D270" s="754"/>
      <c r="E270" s="754"/>
      <c r="F270" s="754"/>
      <c r="G270" s="767"/>
      <c r="H270" s="754"/>
      <c r="I270" s="754"/>
      <c r="J270" s="754"/>
      <c r="K270" s="754"/>
      <c r="L270" s="608" t="s">
        <v>335</v>
      </c>
      <c r="M270" s="608" t="s">
        <v>40</v>
      </c>
      <c r="N270" s="608" t="s">
        <v>343</v>
      </c>
      <c r="O270" s="608" t="s">
        <v>344</v>
      </c>
      <c r="P270" s="609" t="s">
        <v>345</v>
      </c>
      <c r="Q270" s="608" t="s">
        <v>346</v>
      </c>
      <c r="R270" s="754"/>
      <c r="S270" s="754"/>
      <c r="T270" s="754"/>
      <c r="U270" s="754"/>
      <c r="V270" s="51"/>
    </row>
    <row r="271" spans="3:22" x14ac:dyDescent="0.25">
      <c r="C271" s="610" t="s">
        <v>59</v>
      </c>
      <c r="D271" s="611">
        <v>0</v>
      </c>
      <c r="E271" s="611">
        <v>0</v>
      </c>
      <c r="F271" s="611">
        <v>0</v>
      </c>
      <c r="G271" s="611">
        <v>0</v>
      </c>
      <c r="H271" s="611">
        <v>0</v>
      </c>
      <c r="I271" s="611">
        <v>0</v>
      </c>
      <c r="J271" s="612">
        <v>1175.1327636363635</v>
      </c>
      <c r="K271" s="612">
        <v>409.44348403288171</v>
      </c>
      <c r="L271" s="612">
        <v>455.63054491967773</v>
      </c>
      <c r="M271" s="612">
        <v>21.888057205261063</v>
      </c>
      <c r="N271" s="611">
        <v>1.5769202529293118</v>
      </c>
      <c r="O271" s="611">
        <v>0.16705675062100381</v>
      </c>
      <c r="P271" s="612">
        <v>157.62105211134346</v>
      </c>
      <c r="Q271" s="612">
        <v>24.53711550235386</v>
      </c>
      <c r="R271" s="611">
        <v>0</v>
      </c>
      <c r="S271" s="611">
        <v>0</v>
      </c>
      <c r="T271" s="611">
        <v>0</v>
      </c>
      <c r="U271" s="613">
        <v>2245.9969944114318</v>
      </c>
      <c r="V271" s="51"/>
    </row>
    <row r="272" spans="3:22" x14ac:dyDescent="0.25">
      <c r="C272" s="610" t="s">
        <v>60</v>
      </c>
      <c r="D272" s="611">
        <v>13.340633881136302</v>
      </c>
      <c r="E272" s="611">
        <v>239.69119414034884</v>
      </c>
      <c r="F272" s="611">
        <v>4.6624671135986846</v>
      </c>
      <c r="G272" s="611">
        <v>0</v>
      </c>
      <c r="H272" s="611">
        <v>97.60128544811127</v>
      </c>
      <c r="I272" s="611">
        <v>0</v>
      </c>
      <c r="J272" s="611">
        <v>0</v>
      </c>
      <c r="K272" s="611">
        <v>0</v>
      </c>
      <c r="L272" s="611">
        <v>4.1311012816916577</v>
      </c>
      <c r="M272" s="611">
        <v>0</v>
      </c>
      <c r="N272" s="611">
        <v>5.4710090626624357</v>
      </c>
      <c r="O272" s="611">
        <v>0</v>
      </c>
      <c r="P272" s="611">
        <v>0</v>
      </c>
      <c r="Q272" s="611">
        <v>0</v>
      </c>
      <c r="R272" s="611">
        <v>0</v>
      </c>
      <c r="S272" s="611">
        <v>0</v>
      </c>
      <c r="T272" s="611">
        <v>0</v>
      </c>
      <c r="U272" s="613">
        <v>364.89769092754926</v>
      </c>
      <c r="V272" s="51"/>
    </row>
    <row r="273" spans="3:22" x14ac:dyDescent="0.25">
      <c r="C273" s="610" t="s">
        <v>61</v>
      </c>
      <c r="D273" s="611">
        <v>0</v>
      </c>
      <c r="E273" s="611">
        <v>0</v>
      </c>
      <c r="F273" s="611">
        <v>-17.494356691854108</v>
      </c>
      <c r="G273" s="611">
        <v>-1.7254456421765063</v>
      </c>
      <c r="H273" s="611">
        <v>0</v>
      </c>
      <c r="I273" s="611">
        <v>0</v>
      </c>
      <c r="J273" s="611">
        <v>0</v>
      </c>
      <c r="K273" s="611">
        <v>0</v>
      </c>
      <c r="L273" s="611">
        <v>0</v>
      </c>
      <c r="M273" s="611">
        <v>0</v>
      </c>
      <c r="N273" s="611">
        <v>0</v>
      </c>
      <c r="O273" s="611">
        <v>0</v>
      </c>
      <c r="P273" s="611">
        <v>0</v>
      </c>
      <c r="Q273" s="611">
        <v>0</v>
      </c>
      <c r="R273" s="611">
        <v>-53.009184488039523</v>
      </c>
      <c r="S273" s="611">
        <v>0</v>
      </c>
      <c r="T273" s="611">
        <v>0</v>
      </c>
      <c r="U273" s="613">
        <v>-72.228986822070141</v>
      </c>
      <c r="V273" s="51"/>
    </row>
    <row r="274" spans="3:22" x14ac:dyDescent="0.25">
      <c r="C274" s="610" t="s">
        <v>62</v>
      </c>
      <c r="D274" s="611">
        <v>0</v>
      </c>
      <c r="E274" s="611">
        <v>0</v>
      </c>
      <c r="F274" s="611">
        <v>-5.0879563574801514</v>
      </c>
      <c r="G274" s="611">
        <v>-4.1045183661856841</v>
      </c>
      <c r="H274" s="611">
        <v>0</v>
      </c>
      <c r="I274" s="611">
        <v>-3.6084739343150005</v>
      </c>
      <c r="J274" s="611">
        <v>0</v>
      </c>
      <c r="K274" s="611">
        <v>0</v>
      </c>
      <c r="L274" s="611">
        <v>0</v>
      </c>
      <c r="M274" s="611">
        <v>0</v>
      </c>
      <c r="N274" s="611">
        <v>-1.3861783673523449</v>
      </c>
      <c r="O274" s="611">
        <v>-2.4056492895433337</v>
      </c>
      <c r="P274" s="611">
        <v>0</v>
      </c>
      <c r="Q274" s="611">
        <v>0</v>
      </c>
      <c r="R274" s="611">
        <v>0</v>
      </c>
      <c r="S274" s="611">
        <v>0</v>
      </c>
      <c r="T274" s="611">
        <v>-1.1711400462326651</v>
      </c>
      <c r="U274" s="613">
        <v>-17.763916361109182</v>
      </c>
      <c r="V274" s="51"/>
    </row>
    <row r="275" spans="3:22" x14ac:dyDescent="0.25">
      <c r="C275" s="610" t="s">
        <v>63</v>
      </c>
      <c r="D275" s="611">
        <v>0</v>
      </c>
      <c r="E275" s="611">
        <v>0</v>
      </c>
      <c r="F275" s="611">
        <v>-39.079068395762839</v>
      </c>
      <c r="G275" s="611">
        <v>-8.2277507760007769</v>
      </c>
      <c r="H275" s="611">
        <v>0</v>
      </c>
      <c r="I275" s="611">
        <v>0</v>
      </c>
      <c r="J275" s="611">
        <v>0</v>
      </c>
      <c r="K275" s="611">
        <v>0</v>
      </c>
      <c r="L275" s="611">
        <v>0</v>
      </c>
      <c r="M275" s="611">
        <v>0</v>
      </c>
      <c r="N275" s="611">
        <v>-15.189693740309128</v>
      </c>
      <c r="O275" s="611">
        <v>0</v>
      </c>
      <c r="P275" s="611">
        <v>0</v>
      </c>
      <c r="Q275" s="611">
        <v>0</v>
      </c>
      <c r="R275" s="611">
        <v>0</v>
      </c>
      <c r="S275" s="611">
        <v>0</v>
      </c>
      <c r="T275" s="611">
        <v>-2.6141112366127883</v>
      </c>
      <c r="U275" s="613">
        <v>-65.110624148685531</v>
      </c>
      <c r="V275" s="51"/>
    </row>
    <row r="276" spans="3:22" x14ac:dyDescent="0.25">
      <c r="C276" s="610" t="s">
        <v>64</v>
      </c>
      <c r="D276" s="611">
        <v>0</v>
      </c>
      <c r="E276" s="611">
        <v>0</v>
      </c>
      <c r="F276" s="611">
        <v>0</v>
      </c>
      <c r="G276" s="611">
        <v>0</v>
      </c>
      <c r="H276" s="611">
        <v>0</v>
      </c>
      <c r="I276" s="611">
        <v>0</v>
      </c>
      <c r="J276" s="611">
        <v>0</v>
      </c>
      <c r="K276" s="611">
        <v>0</v>
      </c>
      <c r="L276" s="611">
        <v>0</v>
      </c>
      <c r="M276" s="611">
        <v>0</v>
      </c>
      <c r="N276" s="611">
        <v>0</v>
      </c>
      <c r="O276" s="611">
        <v>0</v>
      </c>
      <c r="P276" s="611">
        <v>0</v>
      </c>
      <c r="Q276" s="611">
        <v>0</v>
      </c>
      <c r="R276" s="611">
        <v>0</v>
      </c>
      <c r="S276" s="611">
        <v>0</v>
      </c>
      <c r="T276" s="611">
        <v>0</v>
      </c>
      <c r="U276" s="613">
        <v>0</v>
      </c>
      <c r="V276" s="51"/>
    </row>
    <row r="277" spans="3:22" x14ac:dyDescent="0.25">
      <c r="C277" s="614" t="s">
        <v>65</v>
      </c>
      <c r="D277" s="615">
        <v>13.340633881136302</v>
      </c>
      <c r="E277" s="615">
        <v>239.69119414034884</v>
      </c>
      <c r="F277" s="615">
        <v>-56.998914331498412</v>
      </c>
      <c r="G277" s="615">
        <v>-14.057714784362968</v>
      </c>
      <c r="H277" s="615">
        <v>97.60128544811127</v>
      </c>
      <c r="I277" s="615">
        <v>-3.6084739343150005</v>
      </c>
      <c r="J277" s="615">
        <v>1175.1327636363635</v>
      </c>
      <c r="K277" s="615">
        <v>409.44348403288171</v>
      </c>
      <c r="L277" s="615">
        <v>459.76164620136939</v>
      </c>
      <c r="M277" s="615">
        <v>21.888057205261063</v>
      </c>
      <c r="N277" s="615">
        <v>-9.5279427920697266</v>
      </c>
      <c r="O277" s="615">
        <v>-2.23859253892233</v>
      </c>
      <c r="P277" s="615">
        <v>157.62105211134346</v>
      </c>
      <c r="Q277" s="615">
        <v>24.53711550235386</v>
      </c>
      <c r="R277" s="615">
        <v>-53.009184488039523</v>
      </c>
      <c r="S277" s="615">
        <v>0</v>
      </c>
      <c r="T277" s="615">
        <v>-3.7852512828454534</v>
      </c>
      <c r="U277" s="615">
        <v>2455.7911580071163</v>
      </c>
      <c r="V277" s="51"/>
    </row>
    <row r="278" spans="3:22" x14ac:dyDescent="0.25">
      <c r="C278" s="616"/>
      <c r="D278" s="617"/>
      <c r="E278" s="617"/>
      <c r="F278" s="617"/>
      <c r="G278" s="617"/>
      <c r="H278" s="623"/>
      <c r="I278" s="617"/>
      <c r="J278" s="617"/>
      <c r="K278" s="617"/>
      <c r="L278" s="617"/>
      <c r="M278" s="617"/>
      <c r="N278" s="617"/>
      <c r="O278" s="617"/>
      <c r="P278" s="617"/>
      <c r="Q278" s="617"/>
      <c r="R278" s="617"/>
      <c r="S278" s="617"/>
      <c r="T278" s="617"/>
      <c r="U278" s="617"/>
      <c r="V278" s="51"/>
    </row>
    <row r="279" spans="3:22" x14ac:dyDescent="0.25">
      <c r="C279" s="618" t="s">
        <v>67</v>
      </c>
      <c r="D279" s="611">
        <v>0</v>
      </c>
      <c r="E279" s="611">
        <v>0</v>
      </c>
      <c r="F279" s="611">
        <v>0</v>
      </c>
      <c r="G279" s="611">
        <v>0</v>
      </c>
      <c r="H279" s="611">
        <v>0</v>
      </c>
      <c r="I279" s="611">
        <v>0</v>
      </c>
      <c r="J279" s="611">
        <v>0</v>
      </c>
      <c r="K279" s="611">
        <v>0</v>
      </c>
      <c r="L279" s="611">
        <v>0</v>
      </c>
      <c r="M279" s="611">
        <v>0</v>
      </c>
      <c r="N279" s="611">
        <v>0</v>
      </c>
      <c r="O279" s="611">
        <v>0</v>
      </c>
      <c r="P279" s="611">
        <v>0</v>
      </c>
      <c r="Q279" s="611">
        <v>0</v>
      </c>
      <c r="R279" s="611">
        <v>0</v>
      </c>
      <c r="S279" s="611">
        <v>0</v>
      </c>
      <c r="T279" s="611">
        <v>0</v>
      </c>
      <c r="U279" s="619">
        <v>0</v>
      </c>
      <c r="V279" s="51"/>
    </row>
    <row r="280" spans="3:22" x14ac:dyDescent="0.25">
      <c r="C280" s="618" t="s">
        <v>347</v>
      </c>
      <c r="D280" s="611">
        <v>0</v>
      </c>
      <c r="E280" s="611">
        <v>0</v>
      </c>
      <c r="F280" s="611">
        <v>6.6151953400033478E-2</v>
      </c>
      <c r="G280" s="611">
        <v>0</v>
      </c>
      <c r="H280" s="611">
        <v>0.83875095652173937</v>
      </c>
      <c r="I280" s="611">
        <v>0</v>
      </c>
      <c r="J280" s="611">
        <v>1175.1327636363635</v>
      </c>
      <c r="K280" s="611">
        <v>409.44348403288171</v>
      </c>
      <c r="L280" s="611">
        <v>23.084193835391716</v>
      </c>
      <c r="M280" s="611">
        <v>0.60990924478748687</v>
      </c>
      <c r="N280" s="611">
        <v>5.6269378379330357</v>
      </c>
      <c r="O280" s="611">
        <v>0.80015093186061059</v>
      </c>
      <c r="P280" s="611">
        <v>0</v>
      </c>
      <c r="Q280" s="611">
        <v>6.4327567473291545</v>
      </c>
      <c r="R280" s="611">
        <v>-844.61232621268675</v>
      </c>
      <c r="S280" s="611">
        <v>0</v>
      </c>
      <c r="T280" s="611">
        <v>3.6921899999999996</v>
      </c>
      <c r="U280" s="619">
        <v>781.1149629637822</v>
      </c>
      <c r="V280" s="51"/>
    </row>
    <row r="281" spans="3:22" x14ac:dyDescent="0.25">
      <c r="C281" s="618" t="s">
        <v>348</v>
      </c>
      <c r="D281" s="611">
        <v>0</v>
      </c>
      <c r="E281" s="611">
        <v>0</v>
      </c>
      <c r="F281" s="611">
        <v>0</v>
      </c>
      <c r="G281" s="611">
        <v>0</v>
      </c>
      <c r="H281" s="611">
        <v>7.3970017533359673</v>
      </c>
      <c r="I281" s="611">
        <v>0</v>
      </c>
      <c r="J281" s="611">
        <v>0</v>
      </c>
      <c r="K281" s="611">
        <v>0</v>
      </c>
      <c r="L281" s="611">
        <v>35.211219886643882</v>
      </c>
      <c r="M281" s="611">
        <v>14.290044583270845</v>
      </c>
      <c r="N281" s="611">
        <v>0</v>
      </c>
      <c r="O281" s="611">
        <v>6.0665861374245376</v>
      </c>
      <c r="P281" s="611">
        <v>0</v>
      </c>
      <c r="Q281" s="611">
        <v>10.923199976732462</v>
      </c>
      <c r="R281" s="611">
        <v>0</v>
      </c>
      <c r="S281" s="611">
        <v>-68.689846406921419</v>
      </c>
      <c r="T281" s="611">
        <v>0</v>
      </c>
      <c r="U281" s="619">
        <v>5.1982059304862673</v>
      </c>
      <c r="V281" s="51"/>
    </row>
    <row r="282" spans="3:22" x14ac:dyDescent="0.25">
      <c r="C282" s="618" t="s">
        <v>349</v>
      </c>
      <c r="D282" s="611">
        <v>0</v>
      </c>
      <c r="E282" s="611">
        <v>0</v>
      </c>
      <c r="F282" s="611">
        <v>0</v>
      </c>
      <c r="G282" s="611">
        <v>0</v>
      </c>
      <c r="H282" s="611">
        <v>0</v>
      </c>
      <c r="I282" s="611">
        <v>0</v>
      </c>
      <c r="J282" s="611">
        <v>0</v>
      </c>
      <c r="K282" s="611">
        <v>0</v>
      </c>
      <c r="L282" s="611">
        <v>91.2295818617647</v>
      </c>
      <c r="M282" s="611">
        <v>0</v>
      </c>
      <c r="N282" s="611">
        <v>0</v>
      </c>
      <c r="O282" s="611">
        <v>-82.683413983490482</v>
      </c>
      <c r="P282" s="611">
        <v>0</v>
      </c>
      <c r="Q282" s="611">
        <v>0</v>
      </c>
      <c r="R282" s="611">
        <v>0</v>
      </c>
      <c r="S282" s="611">
        <v>0</v>
      </c>
      <c r="T282" s="611">
        <v>0</v>
      </c>
      <c r="U282" s="619">
        <v>8.5461678782742183</v>
      </c>
      <c r="V282" s="51"/>
    </row>
    <row r="283" spans="3:22" x14ac:dyDescent="0.25">
      <c r="C283" s="618" t="s">
        <v>350</v>
      </c>
      <c r="D283" s="611">
        <v>0</v>
      </c>
      <c r="E283" s="611">
        <v>0</v>
      </c>
      <c r="F283" s="611">
        <v>0</v>
      </c>
      <c r="G283" s="611">
        <v>0</v>
      </c>
      <c r="H283" s="611">
        <v>0</v>
      </c>
      <c r="I283" s="611">
        <v>-3.6084739343150005</v>
      </c>
      <c r="J283" s="611">
        <v>0</v>
      </c>
      <c r="K283" s="611">
        <v>0</v>
      </c>
      <c r="L283" s="611">
        <v>0</v>
      </c>
      <c r="M283" s="611">
        <v>0</v>
      </c>
      <c r="N283" s="611">
        <v>0</v>
      </c>
      <c r="O283" s="611">
        <v>0</v>
      </c>
      <c r="P283" s="611">
        <v>0</v>
      </c>
      <c r="Q283" s="611">
        <v>0</v>
      </c>
      <c r="R283" s="611">
        <v>0</v>
      </c>
      <c r="S283" s="611">
        <v>0</v>
      </c>
      <c r="T283" s="611">
        <v>5.0117693532152785</v>
      </c>
      <c r="U283" s="619">
        <v>1.403295418900278</v>
      </c>
      <c r="V283" s="51"/>
    </row>
    <row r="284" spans="3:22" x14ac:dyDescent="0.25">
      <c r="C284" s="618" t="s">
        <v>72</v>
      </c>
      <c r="D284" s="611">
        <v>0</v>
      </c>
      <c r="E284" s="611">
        <v>248.37987406049137</v>
      </c>
      <c r="F284" s="611">
        <v>-245.90430306488159</v>
      </c>
      <c r="G284" s="611">
        <v>0</v>
      </c>
      <c r="H284" s="611">
        <v>0</v>
      </c>
      <c r="I284" s="611">
        <v>0</v>
      </c>
      <c r="J284" s="611">
        <v>0</v>
      </c>
      <c r="K284" s="611">
        <v>0</v>
      </c>
      <c r="L284" s="611">
        <v>0</v>
      </c>
      <c r="M284" s="611">
        <v>0</v>
      </c>
      <c r="N284" s="611">
        <v>0</v>
      </c>
      <c r="O284" s="611">
        <v>0</v>
      </c>
      <c r="P284" s="611">
        <v>0</v>
      </c>
      <c r="Q284" s="611">
        <v>0</v>
      </c>
      <c r="R284" s="611">
        <v>0</v>
      </c>
      <c r="S284" s="611">
        <v>0</v>
      </c>
      <c r="T284" s="611">
        <v>0</v>
      </c>
      <c r="U284" s="619">
        <v>2.475570995609786</v>
      </c>
      <c r="V284" s="51"/>
    </row>
    <row r="285" spans="3:22" x14ac:dyDescent="0.25">
      <c r="C285" s="618" t="s">
        <v>351</v>
      </c>
      <c r="D285" s="611">
        <v>0</v>
      </c>
      <c r="E285" s="611">
        <v>0</v>
      </c>
      <c r="F285" s="611">
        <v>0</v>
      </c>
      <c r="G285" s="611">
        <v>0</v>
      </c>
      <c r="H285" s="611">
        <v>0</v>
      </c>
      <c r="I285" s="611">
        <v>0</v>
      </c>
      <c r="J285" s="611">
        <v>0</v>
      </c>
      <c r="K285" s="611">
        <v>0</v>
      </c>
      <c r="L285" s="611">
        <v>241.23547887431721</v>
      </c>
      <c r="M285" s="611">
        <v>0</v>
      </c>
      <c r="N285" s="611">
        <v>-132.67951338087448</v>
      </c>
      <c r="O285" s="611">
        <v>0</v>
      </c>
      <c r="P285" s="611">
        <v>0</v>
      </c>
      <c r="Q285" s="611">
        <v>0</v>
      </c>
      <c r="R285" s="611">
        <v>0</v>
      </c>
      <c r="S285" s="611">
        <v>0</v>
      </c>
      <c r="T285" s="611">
        <v>0</v>
      </c>
      <c r="U285" s="619">
        <v>108.55596549344273</v>
      </c>
      <c r="V285" s="51"/>
    </row>
    <row r="286" spans="3:22" x14ac:dyDescent="0.25">
      <c r="C286" s="618" t="s">
        <v>352</v>
      </c>
      <c r="D286" s="611">
        <v>0</v>
      </c>
      <c r="E286" s="611">
        <v>0</v>
      </c>
      <c r="F286" s="611">
        <v>0</v>
      </c>
      <c r="G286" s="611">
        <v>-17.665386413709186</v>
      </c>
      <c r="H286" s="611">
        <v>0</v>
      </c>
      <c r="I286" s="611">
        <v>0</v>
      </c>
      <c r="J286" s="611">
        <v>0</v>
      </c>
      <c r="K286" s="611">
        <v>0</v>
      </c>
      <c r="L286" s="611">
        <v>0</v>
      </c>
      <c r="M286" s="611">
        <v>0</v>
      </c>
      <c r="N286" s="611">
        <v>0</v>
      </c>
      <c r="O286" s="611">
        <v>0</v>
      </c>
      <c r="P286" s="611">
        <v>0</v>
      </c>
      <c r="Q286" s="611">
        <v>0</v>
      </c>
      <c r="R286" s="611">
        <v>0</v>
      </c>
      <c r="S286" s="611">
        <v>0</v>
      </c>
      <c r="T286" s="611">
        <v>23.034172245220685</v>
      </c>
      <c r="U286" s="619">
        <v>5.3687858315114987</v>
      </c>
      <c r="V286" s="51"/>
    </row>
    <row r="287" spans="3:22" x14ac:dyDescent="0.25">
      <c r="C287" s="618" t="s">
        <v>73</v>
      </c>
      <c r="D287" s="611">
        <v>0</v>
      </c>
      <c r="E287" s="611">
        <v>0</v>
      </c>
      <c r="F287" s="611">
        <v>0</v>
      </c>
      <c r="G287" s="611">
        <v>0</v>
      </c>
      <c r="H287" s="611">
        <v>0</v>
      </c>
      <c r="I287" s="611">
        <v>0</v>
      </c>
      <c r="J287" s="611">
        <v>0</v>
      </c>
      <c r="K287" s="611">
        <v>0</v>
      </c>
      <c r="L287" s="611">
        <v>0</v>
      </c>
      <c r="M287" s="611">
        <v>0</v>
      </c>
      <c r="N287" s="611">
        <v>0</v>
      </c>
      <c r="O287" s="611">
        <v>0</v>
      </c>
      <c r="P287" s="611">
        <v>0</v>
      </c>
      <c r="Q287" s="611">
        <v>0</v>
      </c>
      <c r="R287" s="611">
        <v>117.85286984461516</v>
      </c>
      <c r="S287" s="611">
        <v>0</v>
      </c>
      <c r="T287" s="611">
        <v>-80.729215843561391</v>
      </c>
      <c r="U287" s="619">
        <v>37.123654001053765</v>
      </c>
      <c r="V287" s="51"/>
    </row>
    <row r="288" spans="3:22" x14ac:dyDescent="0.25">
      <c r="C288" s="618" t="s">
        <v>353</v>
      </c>
      <c r="D288" s="611">
        <v>7.6015399218749993</v>
      </c>
      <c r="E288" s="611">
        <v>-8.6886799201425244</v>
      </c>
      <c r="F288" s="611">
        <v>11.323469941688563</v>
      </c>
      <c r="G288" s="611">
        <v>0</v>
      </c>
      <c r="H288" s="611">
        <v>0</v>
      </c>
      <c r="I288" s="611">
        <v>0</v>
      </c>
      <c r="J288" s="611">
        <v>0</v>
      </c>
      <c r="K288" s="611">
        <v>0</v>
      </c>
      <c r="L288" s="611">
        <v>0</v>
      </c>
      <c r="M288" s="611">
        <v>0</v>
      </c>
      <c r="N288" s="611">
        <v>0</v>
      </c>
      <c r="O288" s="611">
        <v>0</v>
      </c>
      <c r="P288" s="611">
        <v>0</v>
      </c>
      <c r="Q288" s="611">
        <v>0</v>
      </c>
      <c r="R288" s="611">
        <v>0</v>
      </c>
      <c r="S288" s="611">
        <v>0</v>
      </c>
      <c r="T288" s="611">
        <v>0</v>
      </c>
      <c r="U288" s="619">
        <v>10.236329943421037</v>
      </c>
      <c r="V288" s="51"/>
    </row>
    <row r="289" spans="3:22" x14ac:dyDescent="0.25">
      <c r="C289" s="618" t="s">
        <v>75</v>
      </c>
      <c r="D289" s="611">
        <v>2.9561544140625</v>
      </c>
      <c r="E289" s="611">
        <v>0</v>
      </c>
      <c r="F289" s="611">
        <v>8.5207834498967969</v>
      </c>
      <c r="G289" s="611">
        <v>0</v>
      </c>
      <c r="H289" s="611">
        <v>2.8438669910513061</v>
      </c>
      <c r="I289" s="611">
        <v>0</v>
      </c>
      <c r="J289" s="611">
        <v>0</v>
      </c>
      <c r="K289" s="611">
        <v>0</v>
      </c>
      <c r="L289" s="611">
        <v>0</v>
      </c>
      <c r="M289" s="611">
        <v>0</v>
      </c>
      <c r="N289" s="611">
        <v>0</v>
      </c>
      <c r="O289" s="611">
        <v>2.3268002654056139</v>
      </c>
      <c r="P289" s="611">
        <v>0</v>
      </c>
      <c r="Q289" s="611">
        <v>0</v>
      </c>
      <c r="R289" s="611">
        <v>65.316211737855681</v>
      </c>
      <c r="S289" s="611">
        <v>0</v>
      </c>
      <c r="T289" s="611">
        <v>0</v>
      </c>
      <c r="U289" s="619">
        <v>81.963816858271898</v>
      </c>
      <c r="V289" s="51"/>
    </row>
    <row r="290" spans="3:22" x14ac:dyDescent="0.25">
      <c r="C290" s="618" t="s">
        <v>76</v>
      </c>
      <c r="D290" s="611">
        <v>0</v>
      </c>
      <c r="E290" s="611">
        <v>0</v>
      </c>
      <c r="F290" s="611">
        <v>0</v>
      </c>
      <c r="G290" s="611">
        <v>0</v>
      </c>
      <c r="H290" s="611">
        <v>1.0508214280770161</v>
      </c>
      <c r="I290" s="611">
        <v>0</v>
      </c>
      <c r="J290" s="611">
        <v>0</v>
      </c>
      <c r="K290" s="611">
        <v>0</v>
      </c>
      <c r="L290" s="611">
        <v>0</v>
      </c>
      <c r="M290" s="611">
        <v>0</v>
      </c>
      <c r="N290" s="611">
        <v>0</v>
      </c>
      <c r="O290" s="611">
        <v>0.85976298660846773</v>
      </c>
      <c r="P290" s="611">
        <v>0</v>
      </c>
      <c r="Q290" s="611">
        <v>0</v>
      </c>
      <c r="R290" s="611">
        <v>60.605480102995763</v>
      </c>
      <c r="S290" s="611">
        <v>5.3274820450671472</v>
      </c>
      <c r="T290" s="611">
        <v>0</v>
      </c>
      <c r="U290" s="619">
        <v>67.843546562748386</v>
      </c>
      <c r="V290" s="51"/>
    </row>
    <row r="291" spans="3:22" x14ac:dyDescent="0.25">
      <c r="C291" s="614" t="s">
        <v>77</v>
      </c>
      <c r="D291" s="615">
        <v>10.5576943359375</v>
      </c>
      <c r="E291" s="615">
        <v>239.69119414034884</v>
      </c>
      <c r="F291" s="615">
        <v>-225.99389771989621</v>
      </c>
      <c r="G291" s="615">
        <v>-17.665386413709186</v>
      </c>
      <c r="H291" s="615">
        <v>12.13044112898603</v>
      </c>
      <c r="I291" s="615">
        <v>-3.6084739343150005</v>
      </c>
      <c r="J291" s="615">
        <v>1175.1327636363635</v>
      </c>
      <c r="K291" s="615">
        <v>409.44348403288171</v>
      </c>
      <c r="L291" s="615">
        <v>390.76047445811753</v>
      </c>
      <c r="M291" s="615">
        <v>14.899953828058331</v>
      </c>
      <c r="N291" s="615">
        <v>-127.05257554294144</v>
      </c>
      <c r="O291" s="615">
        <v>-72.630113662191249</v>
      </c>
      <c r="P291" s="615">
        <v>0</v>
      </c>
      <c r="Q291" s="615">
        <v>17.355956724061617</v>
      </c>
      <c r="R291" s="615">
        <v>-600.83776452722009</v>
      </c>
      <c r="S291" s="615">
        <v>-63.362364361854269</v>
      </c>
      <c r="T291" s="615">
        <v>-48.991084245125428</v>
      </c>
      <c r="U291" s="615">
        <v>1109.8303018775021</v>
      </c>
      <c r="V291" s="51"/>
    </row>
    <row r="292" spans="3:22" x14ac:dyDescent="0.25">
      <c r="C292" s="616"/>
      <c r="D292" s="617"/>
      <c r="E292" s="617"/>
      <c r="F292" s="617"/>
      <c r="G292" s="617"/>
      <c r="H292" s="623"/>
      <c r="I292" s="617"/>
      <c r="J292" s="617"/>
      <c r="K292" s="617"/>
      <c r="L292" s="617"/>
      <c r="M292" s="617"/>
      <c r="N292" s="617"/>
      <c r="O292" s="617"/>
      <c r="P292" s="617"/>
      <c r="Q292" s="617"/>
      <c r="R292" s="617"/>
      <c r="S292" s="617"/>
      <c r="T292" s="617"/>
      <c r="U292" s="617"/>
      <c r="V292" s="51"/>
    </row>
    <row r="293" spans="3:22" x14ac:dyDescent="0.25">
      <c r="C293" s="618" t="s">
        <v>78</v>
      </c>
      <c r="D293" s="611">
        <v>2.7829395451988024</v>
      </c>
      <c r="E293" s="611">
        <v>0</v>
      </c>
      <c r="F293" s="611">
        <v>5.9508631597557615</v>
      </c>
      <c r="G293" s="611">
        <v>0</v>
      </c>
      <c r="H293" s="611">
        <v>39.502554352900951</v>
      </c>
      <c r="I293" s="611">
        <v>0</v>
      </c>
      <c r="J293" s="611">
        <v>0</v>
      </c>
      <c r="K293" s="611">
        <v>0</v>
      </c>
      <c r="L293" s="611">
        <v>22.312304964799452</v>
      </c>
      <c r="M293" s="611">
        <v>6.9877021638277412</v>
      </c>
      <c r="N293" s="611">
        <v>2.0803229791147206</v>
      </c>
      <c r="O293" s="611">
        <v>32.358934550865669</v>
      </c>
      <c r="P293" s="611">
        <v>13.3040771484375</v>
      </c>
      <c r="Q293" s="611">
        <v>7.8820466826144567E-4</v>
      </c>
      <c r="R293" s="611">
        <v>173.89525275416003</v>
      </c>
      <c r="S293" s="611">
        <v>20.634753208520429</v>
      </c>
      <c r="T293" s="611">
        <v>9.0650810546875</v>
      </c>
      <c r="U293" s="619">
        <v>328.87557408693681</v>
      </c>
      <c r="V293" s="51"/>
    </row>
    <row r="294" spans="3:22" x14ac:dyDescent="0.25">
      <c r="C294" s="618" t="s">
        <v>79</v>
      </c>
      <c r="D294" s="611">
        <v>0</v>
      </c>
      <c r="E294" s="611">
        <v>0</v>
      </c>
      <c r="F294" s="611">
        <v>66.70797411064288</v>
      </c>
      <c r="G294" s="611">
        <v>1.4882117515392765</v>
      </c>
      <c r="H294" s="611">
        <v>4.2678947974839696</v>
      </c>
      <c r="I294" s="611">
        <v>0</v>
      </c>
      <c r="J294" s="611">
        <v>0</v>
      </c>
      <c r="K294" s="611">
        <v>0</v>
      </c>
      <c r="L294" s="611">
        <v>0</v>
      </c>
      <c r="M294" s="611">
        <v>0</v>
      </c>
      <c r="N294" s="611">
        <v>73.593483349125535</v>
      </c>
      <c r="O294" s="611">
        <v>3.4919139252141571</v>
      </c>
      <c r="P294" s="611">
        <v>0</v>
      </c>
      <c r="Q294" s="611">
        <v>0</v>
      </c>
      <c r="R294" s="611">
        <v>93.510067312183125</v>
      </c>
      <c r="S294" s="611">
        <v>0</v>
      </c>
      <c r="T294" s="611">
        <v>4.8685919891456626</v>
      </c>
      <c r="U294" s="619">
        <v>247.92813723533465</v>
      </c>
      <c r="V294" s="51"/>
    </row>
    <row r="295" spans="3:22" x14ac:dyDescent="0.25">
      <c r="C295" s="618" t="s">
        <v>80</v>
      </c>
      <c r="D295" s="611">
        <v>0</v>
      </c>
      <c r="E295" s="611">
        <v>0</v>
      </c>
      <c r="F295" s="611">
        <v>0.70989784165710235</v>
      </c>
      <c r="G295" s="611">
        <v>0</v>
      </c>
      <c r="H295" s="611">
        <v>19.424181377554081</v>
      </c>
      <c r="I295" s="611">
        <v>0</v>
      </c>
      <c r="J295" s="611">
        <v>0</v>
      </c>
      <c r="K295" s="611">
        <v>0</v>
      </c>
      <c r="L295" s="611">
        <v>42.672719714557346</v>
      </c>
      <c r="M295" s="611">
        <v>0</v>
      </c>
      <c r="N295" s="611">
        <v>0</v>
      </c>
      <c r="O295" s="611">
        <v>15.89251203618061</v>
      </c>
      <c r="P295" s="611">
        <v>97.294965653266104</v>
      </c>
      <c r="Q295" s="611">
        <v>2.7285855468891569</v>
      </c>
      <c r="R295" s="611">
        <v>153.62760172238077</v>
      </c>
      <c r="S295" s="611">
        <v>23.742467864871486</v>
      </c>
      <c r="T295" s="611">
        <v>0</v>
      </c>
      <c r="U295" s="619">
        <v>356.09293175735661</v>
      </c>
      <c r="V295" s="51"/>
    </row>
    <row r="296" spans="3:22" x14ac:dyDescent="0.25">
      <c r="C296" s="618" t="s">
        <v>81</v>
      </c>
      <c r="D296" s="611">
        <v>0</v>
      </c>
      <c r="E296" s="611">
        <v>0</v>
      </c>
      <c r="F296" s="611">
        <v>0.74292942782649596</v>
      </c>
      <c r="G296" s="611">
        <v>0</v>
      </c>
      <c r="H296" s="611">
        <v>12.370805829410971</v>
      </c>
      <c r="I296" s="611">
        <v>0</v>
      </c>
      <c r="J296" s="611">
        <v>0</v>
      </c>
      <c r="K296" s="611">
        <v>0</v>
      </c>
      <c r="L296" s="611">
        <v>0.54085293774126075</v>
      </c>
      <c r="M296" s="611">
        <v>0</v>
      </c>
      <c r="N296" s="611">
        <v>0</v>
      </c>
      <c r="O296" s="611">
        <v>10.121568405881703</v>
      </c>
      <c r="P296" s="611">
        <v>46.022009309639856</v>
      </c>
      <c r="Q296" s="611">
        <v>3.1511646453296667</v>
      </c>
      <c r="R296" s="611">
        <v>116.64209363039593</v>
      </c>
      <c r="S296" s="611">
        <v>18.985143288462343</v>
      </c>
      <c r="T296" s="611">
        <v>0</v>
      </c>
      <c r="U296" s="619">
        <v>208.57656747468823</v>
      </c>
      <c r="V296" s="51"/>
    </row>
    <row r="297" spans="3:22" x14ac:dyDescent="0.25">
      <c r="C297" s="618" t="s">
        <v>82</v>
      </c>
      <c r="D297" s="611">
        <v>0</v>
      </c>
      <c r="E297" s="611">
        <v>0</v>
      </c>
      <c r="F297" s="611">
        <v>11.703228817007544</v>
      </c>
      <c r="G297" s="611">
        <v>0</v>
      </c>
      <c r="H297" s="611">
        <v>0.92339628149237685</v>
      </c>
      <c r="I297" s="611">
        <v>0</v>
      </c>
      <c r="J297" s="611">
        <v>0</v>
      </c>
      <c r="K297" s="611">
        <v>0</v>
      </c>
      <c r="L297" s="611">
        <v>3.1309341562664299</v>
      </c>
      <c r="M297" s="611">
        <v>0</v>
      </c>
      <c r="N297" s="611">
        <v>14.856440343671846</v>
      </c>
      <c r="O297" s="611">
        <v>0.75550604849376291</v>
      </c>
      <c r="P297" s="611">
        <v>1</v>
      </c>
      <c r="Q297" s="611">
        <v>1.300620381405156</v>
      </c>
      <c r="R297" s="611">
        <v>6.8949646200608239</v>
      </c>
      <c r="S297" s="611">
        <v>0</v>
      </c>
      <c r="T297" s="611">
        <v>0.51648303978038701</v>
      </c>
      <c r="U297" s="619">
        <v>41.081573688178324</v>
      </c>
      <c r="V297" s="51"/>
    </row>
    <row r="298" spans="3:22" x14ac:dyDescent="0.25">
      <c r="C298" s="618" t="s">
        <v>354</v>
      </c>
      <c r="D298" s="611">
        <v>0</v>
      </c>
      <c r="E298" s="611">
        <v>0</v>
      </c>
      <c r="F298" s="611">
        <v>0</v>
      </c>
      <c r="G298" s="611">
        <v>0</v>
      </c>
      <c r="H298" s="611">
        <v>0</v>
      </c>
      <c r="I298" s="611">
        <v>0</v>
      </c>
      <c r="J298" s="611">
        <v>0</v>
      </c>
      <c r="K298" s="611">
        <v>0</v>
      </c>
      <c r="L298" s="611">
        <v>0</v>
      </c>
      <c r="M298" s="611">
        <v>0</v>
      </c>
      <c r="N298" s="611">
        <v>0</v>
      </c>
      <c r="O298" s="611">
        <v>0</v>
      </c>
      <c r="P298" s="611">
        <v>0</v>
      </c>
      <c r="Q298" s="611">
        <v>0</v>
      </c>
      <c r="R298" s="611">
        <v>3.2585999999999999</v>
      </c>
      <c r="S298" s="611">
        <v>0</v>
      </c>
      <c r="T298" s="611">
        <v>0</v>
      </c>
      <c r="U298" s="619">
        <v>3.2585999999999999</v>
      </c>
      <c r="V298" s="51"/>
    </row>
    <row r="299" spans="3:22" x14ac:dyDescent="0.25">
      <c r="C299" s="614" t="s">
        <v>83</v>
      </c>
      <c r="D299" s="615">
        <v>2.7829395451988024</v>
      </c>
      <c r="E299" s="615">
        <v>0</v>
      </c>
      <c r="F299" s="615">
        <v>85.814893356889769</v>
      </c>
      <c r="G299" s="615">
        <v>1.4882117515392765</v>
      </c>
      <c r="H299" s="615">
        <v>76.488832638842339</v>
      </c>
      <c r="I299" s="615">
        <v>0</v>
      </c>
      <c r="J299" s="615">
        <v>0</v>
      </c>
      <c r="K299" s="615">
        <v>0</v>
      </c>
      <c r="L299" s="615">
        <v>68.656811773364495</v>
      </c>
      <c r="M299" s="615">
        <v>6.9877021638277412</v>
      </c>
      <c r="N299" s="615">
        <v>90.53024667191211</v>
      </c>
      <c r="O299" s="615">
        <v>62.620434966635905</v>
      </c>
      <c r="P299" s="615">
        <v>157.62105211134346</v>
      </c>
      <c r="Q299" s="615">
        <v>7.1811587782922404</v>
      </c>
      <c r="R299" s="615">
        <v>547.82858003918068</v>
      </c>
      <c r="S299" s="615">
        <v>63.362364361854262</v>
      </c>
      <c r="T299" s="615">
        <v>14.45015608361355</v>
      </c>
      <c r="U299" s="615">
        <v>1185.8133842424947</v>
      </c>
      <c r="V299" s="51"/>
    </row>
    <row r="300" spans="3:22" x14ac:dyDescent="0.25">
      <c r="C300" s="610" t="s">
        <v>84</v>
      </c>
      <c r="D300" s="611">
        <v>0</v>
      </c>
      <c r="E300" s="611">
        <v>0</v>
      </c>
      <c r="F300" s="611">
        <v>83.18009003150803</v>
      </c>
      <c r="G300" s="611">
        <v>2.1194598778069409</v>
      </c>
      <c r="H300" s="611">
        <v>8.9820116802829233</v>
      </c>
      <c r="I300" s="611">
        <v>0</v>
      </c>
      <c r="J300" s="611">
        <v>0</v>
      </c>
      <c r="K300" s="611">
        <v>0</v>
      </c>
      <c r="L300" s="611">
        <v>0.34435996988737483</v>
      </c>
      <c r="M300" s="611">
        <v>0</v>
      </c>
      <c r="N300" s="611">
        <v>26.994386078959611</v>
      </c>
      <c r="O300" s="611">
        <v>7.771086156633026</v>
      </c>
      <c r="P300" s="611">
        <v>0</v>
      </c>
      <c r="Q300" s="611">
        <v>0</v>
      </c>
      <c r="R300" s="611">
        <v>0</v>
      </c>
      <c r="S300" s="611">
        <v>0</v>
      </c>
      <c r="T300" s="611">
        <v>30.755676878666431</v>
      </c>
      <c r="U300" s="619">
        <v>160.14707067374434</v>
      </c>
      <c r="V300" s="51"/>
    </row>
    <row r="301" spans="3:22" x14ac:dyDescent="0.25">
      <c r="C301" s="614" t="s">
        <v>85</v>
      </c>
      <c r="D301" s="615">
        <v>2.7829395451988024</v>
      </c>
      <c r="E301" s="615">
        <v>0</v>
      </c>
      <c r="F301" s="615">
        <v>168.9949833883978</v>
      </c>
      <c r="G301" s="615">
        <v>3.6076716293462177</v>
      </c>
      <c r="H301" s="615">
        <v>85.470844319125263</v>
      </c>
      <c r="I301" s="615">
        <v>0</v>
      </c>
      <c r="J301" s="615">
        <v>0</v>
      </c>
      <c r="K301" s="615">
        <v>0</v>
      </c>
      <c r="L301" s="615">
        <v>69.001171743251874</v>
      </c>
      <c r="M301" s="615">
        <v>6.9877021638277412</v>
      </c>
      <c r="N301" s="615">
        <v>117.52463275087172</v>
      </c>
      <c r="O301" s="615">
        <v>70.39152112326893</v>
      </c>
      <c r="P301" s="615">
        <v>157.62105211134346</v>
      </c>
      <c r="Q301" s="615">
        <v>7.1811587782922404</v>
      </c>
      <c r="R301" s="615">
        <v>547.82858003918068</v>
      </c>
      <c r="S301" s="615">
        <v>63.362364361854262</v>
      </c>
      <c r="T301" s="615">
        <v>45.205832962279985</v>
      </c>
      <c r="U301" s="615">
        <v>1345.9604549162391</v>
      </c>
      <c r="V301" s="51"/>
    </row>
    <row r="302" spans="3:22" x14ac:dyDescent="0.25">
      <c r="C302" s="51"/>
      <c r="D302" s="67">
        <v>0</v>
      </c>
      <c r="E302" s="67">
        <v>0</v>
      </c>
      <c r="F302" s="67">
        <v>0</v>
      </c>
      <c r="G302" s="67">
        <v>0</v>
      </c>
      <c r="H302" s="67">
        <v>0</v>
      </c>
      <c r="I302" s="67">
        <v>0</v>
      </c>
      <c r="J302" s="67">
        <v>0</v>
      </c>
      <c r="K302" s="67">
        <v>0</v>
      </c>
      <c r="L302" s="67">
        <v>0</v>
      </c>
      <c r="M302" s="67">
        <v>-4.0121337499243737E-4</v>
      </c>
      <c r="N302" s="67">
        <v>0</v>
      </c>
      <c r="O302" s="67">
        <v>1.1102230246251565E-14</v>
      </c>
      <c r="P302" s="67">
        <v>0</v>
      </c>
      <c r="Q302" s="67">
        <v>0</v>
      </c>
      <c r="R302" s="67">
        <v>1.1368683772161603E-13</v>
      </c>
      <c r="S302" s="67">
        <v>-7.1054273576010019E-15</v>
      </c>
      <c r="T302" s="67">
        <v>9.7699626167013776E-15</v>
      </c>
      <c r="U302" s="67">
        <v>-4.0121337542586843E-4</v>
      </c>
      <c r="V302" s="51"/>
    </row>
    <row r="303" spans="3:22" x14ac:dyDescent="0.25">
      <c r="C303" s="51"/>
      <c r="D303" s="51"/>
      <c r="E303" s="51"/>
      <c r="F303" s="51"/>
      <c r="G303" s="67"/>
      <c r="H303" s="51"/>
      <c r="I303" s="51"/>
      <c r="J303" s="51"/>
      <c r="K303" s="51"/>
      <c r="L303" s="51"/>
      <c r="M303" s="51"/>
      <c r="N303" s="51"/>
      <c r="O303" s="51"/>
      <c r="P303" s="51"/>
      <c r="Q303" s="51"/>
      <c r="R303" s="51"/>
      <c r="S303" s="51"/>
      <c r="T303" s="51"/>
      <c r="U303" s="51"/>
      <c r="V303" s="51"/>
    </row>
    <row r="304" spans="3:22" x14ac:dyDescent="0.25">
      <c r="C304" s="607" t="s">
        <v>518</v>
      </c>
      <c r="D304" s="606"/>
      <c r="E304" s="606"/>
      <c r="F304" s="606"/>
      <c r="G304" s="682"/>
      <c r="H304" s="606"/>
      <c r="I304" s="606"/>
      <c r="J304" s="606"/>
      <c r="K304" s="606"/>
      <c r="L304" s="606"/>
      <c r="M304" s="606"/>
      <c r="N304" s="606"/>
      <c r="O304" s="606"/>
      <c r="P304" s="606"/>
      <c r="Q304" s="606"/>
      <c r="R304" s="606"/>
      <c r="S304" s="606"/>
      <c r="T304" s="606"/>
      <c r="U304" s="606"/>
      <c r="V304" s="606"/>
    </row>
    <row r="305" spans="3:22" x14ac:dyDescent="0.25">
      <c r="C305" s="51"/>
      <c r="D305" s="51"/>
      <c r="E305" s="51"/>
      <c r="F305" s="51"/>
      <c r="G305" s="67"/>
      <c r="H305" s="51"/>
      <c r="I305" s="51"/>
      <c r="J305" s="51"/>
      <c r="K305" s="51"/>
      <c r="L305" s="51"/>
      <c r="M305" s="51"/>
      <c r="N305" s="51"/>
      <c r="O305" s="51"/>
      <c r="P305" s="51"/>
      <c r="Q305" s="51"/>
      <c r="R305" s="51"/>
      <c r="S305" s="51"/>
      <c r="T305" s="51"/>
      <c r="U305" s="51"/>
      <c r="V305" s="51"/>
    </row>
    <row r="306" spans="3:22" x14ac:dyDescent="0.25">
      <c r="C306" s="764" t="s">
        <v>128</v>
      </c>
      <c r="D306" s="753" t="s">
        <v>42</v>
      </c>
      <c r="E306" s="753" t="s">
        <v>52</v>
      </c>
      <c r="F306" s="753" t="s">
        <v>53</v>
      </c>
      <c r="G306" s="766" t="s">
        <v>482</v>
      </c>
      <c r="H306" s="753" t="s">
        <v>32</v>
      </c>
      <c r="I306" s="753" t="s">
        <v>483</v>
      </c>
      <c r="J306" s="753" t="s">
        <v>20</v>
      </c>
      <c r="K306" s="753" t="s">
        <v>55</v>
      </c>
      <c r="L306" s="761" t="s">
        <v>56</v>
      </c>
      <c r="M306" s="762"/>
      <c r="N306" s="762"/>
      <c r="O306" s="762"/>
      <c r="P306" s="762"/>
      <c r="Q306" s="763"/>
      <c r="R306" s="753" t="s">
        <v>57</v>
      </c>
      <c r="S306" s="753" t="s">
        <v>58</v>
      </c>
      <c r="T306" s="753" t="s">
        <v>31</v>
      </c>
      <c r="U306" s="753" t="s">
        <v>10</v>
      </c>
      <c r="V306" s="51"/>
    </row>
    <row r="307" spans="3:22" ht="36" x14ac:dyDescent="0.25">
      <c r="C307" s="765"/>
      <c r="D307" s="754"/>
      <c r="E307" s="754"/>
      <c r="F307" s="754"/>
      <c r="G307" s="767"/>
      <c r="H307" s="754"/>
      <c r="I307" s="754"/>
      <c r="J307" s="754"/>
      <c r="K307" s="754"/>
      <c r="L307" s="608" t="s">
        <v>335</v>
      </c>
      <c r="M307" s="608" t="s">
        <v>40</v>
      </c>
      <c r="N307" s="608" t="s">
        <v>343</v>
      </c>
      <c r="O307" s="608" t="s">
        <v>344</v>
      </c>
      <c r="P307" s="609" t="s">
        <v>345</v>
      </c>
      <c r="Q307" s="608" t="s">
        <v>346</v>
      </c>
      <c r="R307" s="754"/>
      <c r="S307" s="754"/>
      <c r="T307" s="754"/>
      <c r="U307" s="754"/>
      <c r="V307" s="51"/>
    </row>
    <row r="308" spans="3:22" x14ac:dyDescent="0.25">
      <c r="C308" s="610" t="s">
        <v>59</v>
      </c>
      <c r="D308" s="611">
        <v>0</v>
      </c>
      <c r="E308" s="611">
        <v>0</v>
      </c>
      <c r="F308" s="611">
        <v>0</v>
      </c>
      <c r="G308" s="611">
        <v>0</v>
      </c>
      <c r="H308" s="611">
        <v>0</v>
      </c>
      <c r="I308" s="611">
        <v>0</v>
      </c>
      <c r="J308" s="612">
        <v>1052.7157454545454</v>
      </c>
      <c r="K308" s="612">
        <v>465.75813055383361</v>
      </c>
      <c r="L308" s="612">
        <v>458.29162667613781</v>
      </c>
      <c r="M308" s="612">
        <v>21.28454284594844</v>
      </c>
      <c r="N308" s="611">
        <v>1.638642873490971</v>
      </c>
      <c r="O308" s="611">
        <v>0.1692153726460352</v>
      </c>
      <c r="P308" s="612">
        <v>165.69992491801096</v>
      </c>
      <c r="Q308" s="612">
        <v>25.254108394560834</v>
      </c>
      <c r="R308" s="611">
        <v>0</v>
      </c>
      <c r="S308" s="611">
        <v>0</v>
      </c>
      <c r="T308" s="611">
        <v>0</v>
      </c>
      <c r="U308" s="613">
        <v>2190.8119370891736</v>
      </c>
      <c r="V308" s="51"/>
    </row>
    <row r="309" spans="3:22" x14ac:dyDescent="0.25">
      <c r="C309" s="610" t="s">
        <v>60</v>
      </c>
      <c r="D309" s="611">
        <v>6.0767583671953336</v>
      </c>
      <c r="E309" s="611">
        <v>189.53853209341332</v>
      </c>
      <c r="F309" s="611">
        <v>3.6404081450569747</v>
      </c>
      <c r="G309" s="611">
        <v>0</v>
      </c>
      <c r="H309" s="611">
        <v>70.464271488338852</v>
      </c>
      <c r="I309" s="611">
        <v>0</v>
      </c>
      <c r="J309" s="611">
        <v>0</v>
      </c>
      <c r="K309" s="611">
        <v>0</v>
      </c>
      <c r="L309" s="611">
        <v>4.5400000946661896</v>
      </c>
      <c r="M309" s="611">
        <v>0</v>
      </c>
      <c r="N309" s="611">
        <v>5.926124897298644</v>
      </c>
      <c r="O309" s="611">
        <v>0</v>
      </c>
      <c r="P309" s="611">
        <v>0</v>
      </c>
      <c r="Q309" s="611">
        <v>0</v>
      </c>
      <c r="R309" s="611">
        <v>0</v>
      </c>
      <c r="S309" s="611">
        <v>0</v>
      </c>
      <c r="T309" s="611">
        <v>0</v>
      </c>
      <c r="U309" s="613">
        <v>280.18609508596927</v>
      </c>
      <c r="V309" s="51"/>
    </row>
    <row r="310" spans="3:22" x14ac:dyDescent="0.25">
      <c r="C310" s="610" t="s">
        <v>61</v>
      </c>
      <c r="D310" s="611">
        <v>0</v>
      </c>
      <c r="E310" s="611">
        <v>0</v>
      </c>
      <c r="F310" s="611">
        <v>-34.688318370921742</v>
      </c>
      <c r="G310" s="611">
        <v>-5.1567908130260314</v>
      </c>
      <c r="H310" s="611">
        <v>0</v>
      </c>
      <c r="I310" s="611">
        <v>0</v>
      </c>
      <c r="J310" s="611">
        <v>0</v>
      </c>
      <c r="K310" s="611">
        <v>0</v>
      </c>
      <c r="L310" s="611">
        <v>0</v>
      </c>
      <c r="M310" s="611">
        <v>0</v>
      </c>
      <c r="N310" s="611">
        <v>0</v>
      </c>
      <c r="O310" s="611">
        <v>0</v>
      </c>
      <c r="P310" s="611">
        <v>0</v>
      </c>
      <c r="Q310" s="611">
        <v>0</v>
      </c>
      <c r="R310" s="611">
        <v>-12.796023203874938</v>
      </c>
      <c r="S310" s="611">
        <v>0</v>
      </c>
      <c r="T310" s="611">
        <v>0</v>
      </c>
      <c r="U310" s="613">
        <v>-52.641132387822708</v>
      </c>
      <c r="V310" s="51"/>
    </row>
    <row r="311" spans="3:22" x14ac:dyDescent="0.25">
      <c r="C311" s="610" t="s">
        <v>62</v>
      </c>
      <c r="D311" s="611">
        <v>0</v>
      </c>
      <c r="E311" s="611">
        <v>0</v>
      </c>
      <c r="F311" s="611">
        <v>-3.5615694502361057</v>
      </c>
      <c r="G311" s="611">
        <v>-4.706211381166379</v>
      </c>
      <c r="H311" s="611">
        <v>0</v>
      </c>
      <c r="I311" s="611">
        <v>-3.8584286845410238</v>
      </c>
      <c r="J311" s="611">
        <v>0</v>
      </c>
      <c r="K311" s="611">
        <v>0</v>
      </c>
      <c r="L311" s="611">
        <v>0</v>
      </c>
      <c r="M311" s="611">
        <v>0</v>
      </c>
      <c r="N311" s="611">
        <v>-1.4330438936791221</v>
      </c>
      <c r="O311" s="611">
        <v>-2.5722857896940159</v>
      </c>
      <c r="P311" s="611">
        <v>0</v>
      </c>
      <c r="Q311" s="611">
        <v>0</v>
      </c>
      <c r="R311" s="611">
        <v>0</v>
      </c>
      <c r="S311" s="611">
        <v>0</v>
      </c>
      <c r="T311" s="611">
        <v>-1.5542726935255338</v>
      </c>
      <c r="U311" s="613">
        <v>-17.685811892842178</v>
      </c>
      <c r="V311" s="51"/>
    </row>
    <row r="312" spans="3:22" x14ac:dyDescent="0.25">
      <c r="C312" s="610" t="s">
        <v>63</v>
      </c>
      <c r="D312" s="611">
        <v>0</v>
      </c>
      <c r="E312" s="611">
        <v>0</v>
      </c>
      <c r="F312" s="611">
        <v>-31.271549575274978</v>
      </c>
      <c r="G312" s="611">
        <v>-12.658057837302275</v>
      </c>
      <c r="H312" s="611">
        <v>0</v>
      </c>
      <c r="I312" s="611">
        <v>0</v>
      </c>
      <c r="J312" s="611">
        <v>0</v>
      </c>
      <c r="K312" s="611">
        <v>0</v>
      </c>
      <c r="L312" s="611">
        <v>0</v>
      </c>
      <c r="M312" s="611">
        <v>0</v>
      </c>
      <c r="N312" s="611">
        <v>-15.442835023025614</v>
      </c>
      <c r="O312" s="611">
        <v>0</v>
      </c>
      <c r="P312" s="611">
        <v>0</v>
      </c>
      <c r="Q312" s="611">
        <v>0</v>
      </c>
      <c r="R312" s="611">
        <v>0</v>
      </c>
      <c r="S312" s="611">
        <v>0</v>
      </c>
      <c r="T312" s="611">
        <v>-4.141098204696295</v>
      </c>
      <c r="U312" s="613">
        <v>-63.513540640299169</v>
      </c>
      <c r="V312" s="51"/>
    </row>
    <row r="313" spans="3:22" x14ac:dyDescent="0.25">
      <c r="C313" s="610" t="s">
        <v>64</v>
      </c>
      <c r="D313" s="611">
        <v>0</v>
      </c>
      <c r="E313" s="611">
        <v>0</v>
      </c>
      <c r="F313" s="611">
        <v>0</v>
      </c>
      <c r="G313" s="611">
        <v>0</v>
      </c>
      <c r="H313" s="611">
        <v>0</v>
      </c>
      <c r="I313" s="611">
        <v>0</v>
      </c>
      <c r="J313" s="611">
        <v>0</v>
      </c>
      <c r="K313" s="611">
        <v>0</v>
      </c>
      <c r="L313" s="611">
        <v>0</v>
      </c>
      <c r="M313" s="611">
        <v>0</v>
      </c>
      <c r="N313" s="611">
        <v>0</v>
      </c>
      <c r="O313" s="611">
        <v>0</v>
      </c>
      <c r="P313" s="611">
        <v>0</v>
      </c>
      <c r="Q313" s="611">
        <v>0</v>
      </c>
      <c r="R313" s="611">
        <v>0</v>
      </c>
      <c r="S313" s="611">
        <v>0</v>
      </c>
      <c r="T313" s="611">
        <v>0</v>
      </c>
      <c r="U313" s="613">
        <v>0</v>
      </c>
      <c r="V313" s="51"/>
    </row>
    <row r="314" spans="3:22" x14ac:dyDescent="0.25">
      <c r="C314" s="614" t="s">
        <v>65</v>
      </c>
      <c r="D314" s="615">
        <v>6.0767583671953336</v>
      </c>
      <c r="E314" s="615">
        <v>189.53853209341332</v>
      </c>
      <c r="F314" s="615">
        <v>-65.88102925137585</v>
      </c>
      <c r="G314" s="615">
        <v>-22.521060031494684</v>
      </c>
      <c r="H314" s="615">
        <v>70.464271488338852</v>
      </c>
      <c r="I314" s="615">
        <v>-3.8584286845410238</v>
      </c>
      <c r="J314" s="615">
        <v>1052.7157454545454</v>
      </c>
      <c r="K314" s="615">
        <v>465.75813055383361</v>
      </c>
      <c r="L314" s="615">
        <v>462.83162677080401</v>
      </c>
      <c r="M314" s="615">
        <v>21.28454284594844</v>
      </c>
      <c r="N314" s="615">
        <v>-9.3111111459151203</v>
      </c>
      <c r="O314" s="615">
        <v>-2.4030704170479806</v>
      </c>
      <c r="P314" s="615">
        <v>165.69992491801096</v>
      </c>
      <c r="Q314" s="615">
        <v>25.254108394560834</v>
      </c>
      <c r="R314" s="615">
        <v>-12.796023203874938</v>
      </c>
      <c r="S314" s="615">
        <v>0</v>
      </c>
      <c r="T314" s="615">
        <v>-5.695370898221829</v>
      </c>
      <c r="U314" s="615">
        <v>2337.1575472541786</v>
      </c>
      <c r="V314" s="51"/>
    </row>
    <row r="315" spans="3:22" x14ac:dyDescent="0.25">
      <c r="C315" s="616"/>
      <c r="D315" s="617"/>
      <c r="E315" s="617"/>
      <c r="F315" s="617"/>
      <c r="G315" s="617"/>
      <c r="H315" s="623"/>
      <c r="I315" s="617"/>
      <c r="J315" s="617"/>
      <c r="K315" s="617"/>
      <c r="L315" s="617"/>
      <c r="M315" s="617"/>
      <c r="N315" s="617"/>
      <c r="O315" s="617"/>
      <c r="P315" s="617"/>
      <c r="Q315" s="617"/>
      <c r="R315" s="617"/>
      <c r="S315" s="617"/>
      <c r="T315" s="617"/>
      <c r="U315" s="617"/>
      <c r="V315" s="51"/>
    </row>
    <row r="316" spans="3:22" x14ac:dyDescent="0.25">
      <c r="C316" s="618" t="s">
        <v>67</v>
      </c>
      <c r="D316" s="611">
        <v>0</v>
      </c>
      <c r="E316" s="611">
        <v>0</v>
      </c>
      <c r="F316" s="611">
        <v>0</v>
      </c>
      <c r="G316" s="611">
        <v>0</v>
      </c>
      <c r="H316" s="611">
        <v>0</v>
      </c>
      <c r="I316" s="611">
        <v>0</v>
      </c>
      <c r="J316" s="611">
        <v>0</v>
      </c>
      <c r="K316" s="611">
        <v>0</v>
      </c>
      <c r="L316" s="611">
        <v>0</v>
      </c>
      <c r="M316" s="611">
        <v>0</v>
      </c>
      <c r="N316" s="611">
        <v>0</v>
      </c>
      <c r="O316" s="611">
        <v>0</v>
      </c>
      <c r="P316" s="611">
        <v>0</v>
      </c>
      <c r="Q316" s="611">
        <v>0</v>
      </c>
      <c r="R316" s="611">
        <v>0</v>
      </c>
      <c r="S316" s="611">
        <v>0</v>
      </c>
      <c r="T316" s="611">
        <v>0</v>
      </c>
      <c r="U316" s="619">
        <v>0</v>
      </c>
      <c r="V316" s="51"/>
    </row>
    <row r="317" spans="3:22" x14ac:dyDescent="0.25">
      <c r="C317" s="618" t="s">
        <v>347</v>
      </c>
      <c r="D317" s="611">
        <v>0</v>
      </c>
      <c r="E317" s="611">
        <v>0</v>
      </c>
      <c r="F317" s="611">
        <v>2.6460781360013397E-2</v>
      </c>
      <c r="G317" s="611">
        <v>0</v>
      </c>
      <c r="H317" s="611">
        <v>0.60214660944206022</v>
      </c>
      <c r="I317" s="611">
        <v>0</v>
      </c>
      <c r="J317" s="611">
        <v>1052.7157454545454</v>
      </c>
      <c r="K317" s="611">
        <v>465.75813055383361</v>
      </c>
      <c r="L317" s="611">
        <v>22.779216201567415</v>
      </c>
      <c r="M317" s="611">
        <v>0.6151276496340945</v>
      </c>
      <c r="N317" s="611">
        <v>6.0578717375904887</v>
      </c>
      <c r="O317" s="611">
        <v>1.0172956568090692</v>
      </c>
      <c r="P317" s="611">
        <v>0</v>
      </c>
      <c r="Q317" s="611">
        <v>6.4590957564387725</v>
      </c>
      <c r="R317" s="611">
        <v>-864.21525686437747</v>
      </c>
      <c r="S317" s="611">
        <v>0</v>
      </c>
      <c r="T317" s="611">
        <v>4.5921899999999996</v>
      </c>
      <c r="U317" s="619">
        <v>696.40802353684307</v>
      </c>
      <c r="V317" s="51"/>
    </row>
    <row r="318" spans="3:22" x14ac:dyDescent="0.25">
      <c r="C318" s="618" t="s">
        <v>348</v>
      </c>
      <c r="D318" s="611">
        <v>0</v>
      </c>
      <c r="E318" s="611">
        <v>0</v>
      </c>
      <c r="F318" s="611">
        <v>0</v>
      </c>
      <c r="G318" s="611">
        <v>0</v>
      </c>
      <c r="H318" s="611">
        <v>4.7590942657711111</v>
      </c>
      <c r="I318" s="611">
        <v>0</v>
      </c>
      <c r="J318" s="611">
        <v>0</v>
      </c>
      <c r="K318" s="611">
        <v>0</v>
      </c>
      <c r="L318" s="611">
        <v>35.020832419252756</v>
      </c>
      <c r="M318" s="611">
        <v>14.389092995722686</v>
      </c>
      <c r="N318" s="611">
        <v>0</v>
      </c>
      <c r="O318" s="611">
        <v>7.1535057814044487</v>
      </c>
      <c r="P318" s="611">
        <v>0</v>
      </c>
      <c r="Q318" s="611">
        <v>11.121209229272322</v>
      </c>
      <c r="R318" s="611">
        <v>0</v>
      </c>
      <c r="S318" s="611">
        <v>-67.886864446200079</v>
      </c>
      <c r="T318" s="611">
        <v>0</v>
      </c>
      <c r="U318" s="619">
        <v>4.5568702452232372</v>
      </c>
      <c r="V318" s="51"/>
    </row>
    <row r="319" spans="3:22" x14ac:dyDescent="0.25">
      <c r="C319" s="618" t="s">
        <v>349</v>
      </c>
      <c r="D319" s="611">
        <v>0</v>
      </c>
      <c r="E319" s="611">
        <v>0</v>
      </c>
      <c r="F319" s="611">
        <v>0</v>
      </c>
      <c r="G319" s="611">
        <v>0</v>
      </c>
      <c r="H319" s="611">
        <v>0</v>
      </c>
      <c r="I319" s="611">
        <v>0</v>
      </c>
      <c r="J319" s="611">
        <v>0</v>
      </c>
      <c r="K319" s="611">
        <v>0</v>
      </c>
      <c r="L319" s="611">
        <v>98.086794246206622</v>
      </c>
      <c r="M319" s="611">
        <v>0</v>
      </c>
      <c r="N319" s="611">
        <v>0</v>
      </c>
      <c r="O319" s="611">
        <v>-89.52835419130885</v>
      </c>
      <c r="P319" s="611">
        <v>0</v>
      </c>
      <c r="Q319" s="611">
        <v>0</v>
      </c>
      <c r="R319" s="611">
        <v>0</v>
      </c>
      <c r="S319" s="611">
        <v>0</v>
      </c>
      <c r="T319" s="611">
        <v>0</v>
      </c>
      <c r="U319" s="619">
        <v>8.5584400548977726</v>
      </c>
      <c r="V319" s="51"/>
    </row>
    <row r="320" spans="3:22" x14ac:dyDescent="0.25">
      <c r="C320" s="618" t="s">
        <v>350</v>
      </c>
      <c r="D320" s="611">
        <v>0</v>
      </c>
      <c r="E320" s="611">
        <v>0</v>
      </c>
      <c r="F320" s="611">
        <v>0</v>
      </c>
      <c r="G320" s="611">
        <v>0</v>
      </c>
      <c r="H320" s="611">
        <v>0</v>
      </c>
      <c r="I320" s="611">
        <v>-4.6239120861329353</v>
      </c>
      <c r="J320" s="611">
        <v>0</v>
      </c>
      <c r="K320" s="611">
        <v>0</v>
      </c>
      <c r="L320" s="611">
        <v>0</v>
      </c>
      <c r="M320" s="611">
        <v>0</v>
      </c>
      <c r="N320" s="611">
        <v>0</v>
      </c>
      <c r="O320" s="611">
        <v>0</v>
      </c>
      <c r="P320" s="611">
        <v>0</v>
      </c>
      <c r="Q320" s="611">
        <v>0</v>
      </c>
      <c r="R320" s="611">
        <v>0</v>
      </c>
      <c r="S320" s="611">
        <v>0</v>
      </c>
      <c r="T320" s="611">
        <v>6.4247824825814277</v>
      </c>
      <c r="U320" s="619">
        <v>1.8008703964484924</v>
      </c>
      <c r="V320" s="51"/>
    </row>
    <row r="321" spans="3:22" x14ac:dyDescent="0.25">
      <c r="C321" s="618" t="s">
        <v>72</v>
      </c>
      <c r="D321" s="611">
        <v>0</v>
      </c>
      <c r="E321" s="611">
        <v>196.4036879947414</v>
      </c>
      <c r="F321" s="611">
        <v>-194.44562503379805</v>
      </c>
      <c r="G321" s="611">
        <v>0</v>
      </c>
      <c r="H321" s="611">
        <v>0</v>
      </c>
      <c r="I321" s="611">
        <v>0</v>
      </c>
      <c r="J321" s="611">
        <v>0</v>
      </c>
      <c r="K321" s="611">
        <v>0</v>
      </c>
      <c r="L321" s="611">
        <v>0</v>
      </c>
      <c r="M321" s="611">
        <v>0</v>
      </c>
      <c r="N321" s="611">
        <v>0</v>
      </c>
      <c r="O321" s="611">
        <v>0</v>
      </c>
      <c r="P321" s="611">
        <v>0</v>
      </c>
      <c r="Q321" s="611">
        <v>0</v>
      </c>
      <c r="R321" s="611">
        <v>0</v>
      </c>
      <c r="S321" s="611">
        <v>0</v>
      </c>
      <c r="T321" s="611">
        <v>0</v>
      </c>
      <c r="U321" s="619">
        <v>1.9580629609433515</v>
      </c>
      <c r="V321" s="51"/>
    </row>
    <row r="322" spans="3:22" x14ac:dyDescent="0.25">
      <c r="C322" s="618" t="s">
        <v>351</v>
      </c>
      <c r="D322" s="611">
        <v>0</v>
      </c>
      <c r="E322" s="611">
        <v>0</v>
      </c>
      <c r="F322" s="611">
        <v>0</v>
      </c>
      <c r="G322" s="611">
        <v>0</v>
      </c>
      <c r="H322" s="611">
        <v>0</v>
      </c>
      <c r="I322" s="611">
        <v>0</v>
      </c>
      <c r="J322" s="611">
        <v>0</v>
      </c>
      <c r="K322" s="611">
        <v>0</v>
      </c>
      <c r="L322" s="611">
        <v>241.36175808721262</v>
      </c>
      <c r="M322" s="611">
        <v>0</v>
      </c>
      <c r="N322" s="611">
        <v>-132.74896694796695</v>
      </c>
      <c r="O322" s="611">
        <v>0</v>
      </c>
      <c r="P322" s="611">
        <v>0</v>
      </c>
      <c r="Q322" s="611">
        <v>0</v>
      </c>
      <c r="R322" s="611">
        <v>0</v>
      </c>
      <c r="S322" s="611">
        <v>0</v>
      </c>
      <c r="T322" s="611">
        <v>0</v>
      </c>
      <c r="U322" s="619">
        <v>108.61279113924567</v>
      </c>
      <c r="V322" s="51"/>
    </row>
    <row r="323" spans="3:22" x14ac:dyDescent="0.25">
      <c r="C323" s="618" t="s">
        <v>352</v>
      </c>
      <c r="D323" s="611">
        <v>0</v>
      </c>
      <c r="E323" s="611">
        <v>0</v>
      </c>
      <c r="F323" s="611">
        <v>0</v>
      </c>
      <c r="G323" s="611">
        <v>-27.150443830477386</v>
      </c>
      <c r="H323" s="611">
        <v>0</v>
      </c>
      <c r="I323" s="611">
        <v>0</v>
      </c>
      <c r="J323" s="611">
        <v>0</v>
      </c>
      <c r="K323" s="611">
        <v>0</v>
      </c>
      <c r="L323" s="611">
        <v>0</v>
      </c>
      <c r="M323" s="611">
        <v>0</v>
      </c>
      <c r="N323" s="611">
        <v>0</v>
      </c>
      <c r="O323" s="611">
        <v>0</v>
      </c>
      <c r="P323" s="611">
        <v>0</v>
      </c>
      <c r="Q323" s="611">
        <v>0</v>
      </c>
      <c r="R323" s="611">
        <v>0</v>
      </c>
      <c r="S323" s="611">
        <v>0</v>
      </c>
      <c r="T323" s="611">
        <v>35.330371623276704</v>
      </c>
      <c r="U323" s="619">
        <v>8.1799277927993188</v>
      </c>
      <c r="V323" s="51"/>
    </row>
    <row r="324" spans="3:22" x14ac:dyDescent="0.25">
      <c r="C324" s="618" t="s">
        <v>73</v>
      </c>
      <c r="D324" s="611">
        <v>0</v>
      </c>
      <c r="E324" s="611">
        <v>0</v>
      </c>
      <c r="F324" s="611">
        <v>0</v>
      </c>
      <c r="G324" s="611">
        <v>0</v>
      </c>
      <c r="H324" s="611">
        <v>0</v>
      </c>
      <c r="I324" s="611">
        <v>0</v>
      </c>
      <c r="J324" s="611">
        <v>0</v>
      </c>
      <c r="K324" s="611">
        <v>0</v>
      </c>
      <c r="L324" s="611">
        <v>0</v>
      </c>
      <c r="M324" s="611">
        <v>0</v>
      </c>
      <c r="N324" s="611">
        <v>0</v>
      </c>
      <c r="O324" s="611">
        <v>0</v>
      </c>
      <c r="P324" s="611">
        <v>0</v>
      </c>
      <c r="Q324" s="611">
        <v>0</v>
      </c>
      <c r="R324" s="611">
        <v>159.35334325164439</v>
      </c>
      <c r="S324" s="611">
        <v>0</v>
      </c>
      <c r="T324" s="611">
        <v>-110.83025023151868</v>
      </c>
      <c r="U324" s="619">
        <v>48.523093020125714</v>
      </c>
      <c r="V324" s="51"/>
    </row>
    <row r="325" spans="3:22" x14ac:dyDescent="0.25">
      <c r="C325" s="618" t="s">
        <v>353</v>
      </c>
      <c r="D325" s="611">
        <v>2.8675768359375002</v>
      </c>
      <c r="E325" s="611">
        <v>-6.865155901328059</v>
      </c>
      <c r="F325" s="611">
        <v>8.9495873677013247</v>
      </c>
      <c r="G325" s="611">
        <v>0</v>
      </c>
      <c r="H325" s="611">
        <v>0</v>
      </c>
      <c r="I325" s="611">
        <v>0</v>
      </c>
      <c r="J325" s="611">
        <v>0</v>
      </c>
      <c r="K325" s="611">
        <v>0</v>
      </c>
      <c r="L325" s="611">
        <v>0</v>
      </c>
      <c r="M325" s="611">
        <v>0</v>
      </c>
      <c r="N325" s="611">
        <v>0</v>
      </c>
      <c r="O325" s="611">
        <v>0</v>
      </c>
      <c r="P325" s="611">
        <v>0</v>
      </c>
      <c r="Q325" s="611">
        <v>0</v>
      </c>
      <c r="R325" s="611">
        <v>0</v>
      </c>
      <c r="S325" s="611">
        <v>0</v>
      </c>
      <c r="T325" s="611">
        <v>0</v>
      </c>
      <c r="U325" s="619">
        <v>4.9520083023107659</v>
      </c>
      <c r="V325" s="51"/>
    </row>
    <row r="326" spans="3:22" x14ac:dyDescent="0.25">
      <c r="C326" s="618" t="s">
        <v>75</v>
      </c>
      <c r="D326" s="611">
        <v>1.1151687695312502</v>
      </c>
      <c r="E326" s="611">
        <v>0</v>
      </c>
      <c r="F326" s="611">
        <v>6.7328106776803835</v>
      </c>
      <c r="G326" s="611">
        <v>0</v>
      </c>
      <c r="H326" s="611">
        <v>2.2924587532620087</v>
      </c>
      <c r="I326" s="611">
        <v>3.0296811717119062E-2</v>
      </c>
      <c r="J326" s="611">
        <v>0</v>
      </c>
      <c r="K326" s="611">
        <v>0</v>
      </c>
      <c r="L326" s="611">
        <v>0</v>
      </c>
      <c r="M326" s="611">
        <v>0</v>
      </c>
      <c r="N326" s="611">
        <v>0</v>
      </c>
      <c r="O326" s="611">
        <v>2.7267130545407157</v>
      </c>
      <c r="P326" s="611">
        <v>0</v>
      </c>
      <c r="Q326" s="611">
        <v>0</v>
      </c>
      <c r="R326" s="611">
        <v>65.383687298326777</v>
      </c>
      <c r="S326" s="611">
        <v>0</v>
      </c>
      <c r="T326" s="611">
        <v>0</v>
      </c>
      <c r="U326" s="619">
        <v>78.281135365058248</v>
      </c>
      <c r="V326" s="51"/>
    </row>
    <row r="327" spans="3:22" x14ac:dyDescent="0.25">
      <c r="C327" s="618" t="s">
        <v>76</v>
      </c>
      <c r="D327" s="611">
        <v>0</v>
      </c>
      <c r="E327" s="611">
        <v>0</v>
      </c>
      <c r="F327" s="611">
        <v>0</v>
      </c>
      <c r="G327" s="611">
        <v>0</v>
      </c>
      <c r="H327" s="611">
        <v>0.75897137289116512</v>
      </c>
      <c r="I327" s="611">
        <v>1.0030458672570465E-2</v>
      </c>
      <c r="J327" s="611">
        <v>0</v>
      </c>
      <c r="K327" s="611">
        <v>0</v>
      </c>
      <c r="L327" s="611">
        <v>0</v>
      </c>
      <c r="M327" s="611">
        <v>0</v>
      </c>
      <c r="N327" s="611">
        <v>0</v>
      </c>
      <c r="O327" s="611">
        <v>0.90274128053134184</v>
      </c>
      <c r="P327" s="611">
        <v>0</v>
      </c>
      <c r="Q327" s="611">
        <v>0</v>
      </c>
      <c r="R327" s="611">
        <v>65.177824183593955</v>
      </c>
      <c r="S327" s="611">
        <v>5.2653500556957935</v>
      </c>
      <c r="T327" s="611">
        <v>0</v>
      </c>
      <c r="U327" s="619">
        <v>72.114917351384818</v>
      </c>
      <c r="V327" s="51"/>
    </row>
    <row r="328" spans="3:22" x14ac:dyDescent="0.25">
      <c r="C328" s="614" t="s">
        <v>77</v>
      </c>
      <c r="D328" s="615">
        <v>3.9827456054687502</v>
      </c>
      <c r="E328" s="615">
        <v>189.53853209341335</v>
      </c>
      <c r="F328" s="615">
        <v>-178.73676620705632</v>
      </c>
      <c r="G328" s="615">
        <v>-27.150443830477386</v>
      </c>
      <c r="H328" s="615">
        <v>8.4126710013663466</v>
      </c>
      <c r="I328" s="615">
        <v>-4.5835848157432455</v>
      </c>
      <c r="J328" s="615">
        <v>1052.7157454545454</v>
      </c>
      <c r="K328" s="615">
        <v>465.75813055383361</v>
      </c>
      <c r="L328" s="615">
        <v>397.24860095423941</v>
      </c>
      <c r="M328" s="615">
        <v>15.004220645356781</v>
      </c>
      <c r="N328" s="615">
        <v>-126.69109521037646</v>
      </c>
      <c r="O328" s="615">
        <v>-77.728098418023279</v>
      </c>
      <c r="P328" s="615">
        <v>0</v>
      </c>
      <c r="Q328" s="615">
        <v>17.580304985711095</v>
      </c>
      <c r="R328" s="615">
        <v>-574.30040213081236</v>
      </c>
      <c r="S328" s="615">
        <v>-62.621514390504288</v>
      </c>
      <c r="T328" s="615">
        <v>-64.482906125660548</v>
      </c>
      <c r="U328" s="615">
        <v>1033.9461401652807</v>
      </c>
      <c r="V328" s="51"/>
    </row>
    <row r="329" spans="3:22" x14ac:dyDescent="0.25">
      <c r="C329" s="616"/>
      <c r="D329" s="617"/>
      <c r="E329" s="617"/>
      <c r="F329" s="617"/>
      <c r="G329" s="617"/>
      <c r="H329" s="623"/>
      <c r="I329" s="617"/>
      <c r="J329" s="617"/>
      <c r="K329" s="617"/>
      <c r="L329" s="617"/>
      <c r="M329" s="617"/>
      <c r="N329" s="617"/>
      <c r="O329" s="617"/>
      <c r="P329" s="617"/>
      <c r="Q329" s="617"/>
      <c r="R329" s="617"/>
      <c r="S329" s="617"/>
      <c r="T329" s="617"/>
      <c r="U329" s="617"/>
      <c r="V329" s="51"/>
    </row>
    <row r="330" spans="3:22" x14ac:dyDescent="0.25">
      <c r="C330" s="618" t="s">
        <v>78</v>
      </c>
      <c r="D330" s="611">
        <v>2.0940127617265829</v>
      </c>
      <c r="E330" s="611">
        <v>0</v>
      </c>
      <c r="F330" s="611">
        <v>3.9559881090060012</v>
      </c>
      <c r="G330" s="611">
        <v>0</v>
      </c>
      <c r="H330" s="611">
        <v>29.330369351366478</v>
      </c>
      <c r="I330" s="611">
        <v>0.38762602667004159</v>
      </c>
      <c r="J330" s="611">
        <v>0</v>
      </c>
      <c r="K330" s="611">
        <v>0</v>
      </c>
      <c r="L330" s="611">
        <v>22.502553570699096</v>
      </c>
      <c r="M330" s="611">
        <v>6.2799536188843161</v>
      </c>
      <c r="N330" s="611">
        <v>2.4575263222437633</v>
      </c>
      <c r="O330" s="611">
        <v>34.926617647556021</v>
      </c>
      <c r="P330" s="611">
        <v>15.884769531250001</v>
      </c>
      <c r="Q330" s="611">
        <v>8.2107689234467234E-4</v>
      </c>
      <c r="R330" s="611">
        <v>182.47691843600197</v>
      </c>
      <c r="S330" s="611">
        <v>21.072717059029664</v>
      </c>
      <c r="T330" s="611">
        <v>11.809244140624999</v>
      </c>
      <c r="U330" s="619">
        <v>333.17911765195134</v>
      </c>
      <c r="V330" s="51"/>
    </row>
    <row r="331" spans="3:22" x14ac:dyDescent="0.25">
      <c r="C331" s="618" t="s">
        <v>79</v>
      </c>
      <c r="D331" s="611">
        <v>0</v>
      </c>
      <c r="E331" s="611">
        <v>0</v>
      </c>
      <c r="F331" s="611">
        <v>30.895911025222354</v>
      </c>
      <c r="G331" s="611">
        <v>2.274686269460287</v>
      </c>
      <c r="H331" s="611">
        <v>3.5299320203269446</v>
      </c>
      <c r="I331" s="611">
        <v>4.665108396907857E-2</v>
      </c>
      <c r="J331" s="611">
        <v>0</v>
      </c>
      <c r="K331" s="611">
        <v>0</v>
      </c>
      <c r="L331" s="611">
        <v>0</v>
      </c>
      <c r="M331" s="611">
        <v>0</v>
      </c>
      <c r="N331" s="611">
        <v>63.386114552424544</v>
      </c>
      <c r="O331" s="611">
        <v>4.1985975572170711</v>
      </c>
      <c r="P331" s="611">
        <v>0</v>
      </c>
      <c r="Q331" s="611">
        <v>0</v>
      </c>
      <c r="R331" s="611">
        <v>104.74847060439184</v>
      </c>
      <c r="S331" s="611">
        <v>0</v>
      </c>
      <c r="T331" s="611">
        <v>5.8458763044597228</v>
      </c>
      <c r="U331" s="619">
        <v>214.92623941747186</v>
      </c>
      <c r="V331" s="51"/>
    </row>
    <row r="332" spans="3:22" x14ac:dyDescent="0.25">
      <c r="C332" s="618" t="s">
        <v>80</v>
      </c>
      <c r="D332" s="611">
        <v>0</v>
      </c>
      <c r="E332" s="611">
        <v>0</v>
      </c>
      <c r="F332" s="611">
        <v>0.60086868241819513</v>
      </c>
      <c r="G332" s="611">
        <v>0</v>
      </c>
      <c r="H332" s="611">
        <v>13.347300372388817</v>
      </c>
      <c r="I332" s="611">
        <v>0.1763960401637289</v>
      </c>
      <c r="J332" s="611">
        <v>0</v>
      </c>
      <c r="K332" s="611">
        <v>0</v>
      </c>
      <c r="L332" s="611">
        <v>38.756256119598135</v>
      </c>
      <c r="M332" s="611">
        <v>0</v>
      </c>
      <c r="N332" s="611">
        <v>0</v>
      </c>
      <c r="O332" s="611">
        <v>15.875643614735601</v>
      </c>
      <c r="P332" s="611">
        <v>100.70688369191794</v>
      </c>
      <c r="Q332" s="611">
        <v>2.8847164087553931</v>
      </c>
      <c r="R332" s="611">
        <v>147.56133606308299</v>
      </c>
      <c r="S332" s="611">
        <v>22.806124338594827</v>
      </c>
      <c r="T332" s="611">
        <v>0</v>
      </c>
      <c r="U332" s="619">
        <v>342.71552533165561</v>
      </c>
      <c r="V332" s="51"/>
    </row>
    <row r="333" spans="3:22" x14ac:dyDescent="0.25">
      <c r="C333" s="618" t="s">
        <v>81</v>
      </c>
      <c r="D333" s="611">
        <v>0</v>
      </c>
      <c r="E333" s="611">
        <v>0</v>
      </c>
      <c r="F333" s="611">
        <v>0.5398070851157275</v>
      </c>
      <c r="G333" s="611">
        <v>0</v>
      </c>
      <c r="H333" s="611">
        <v>7.9791393283443517</v>
      </c>
      <c r="I333" s="611">
        <v>0.10545118055080642</v>
      </c>
      <c r="J333" s="611">
        <v>0</v>
      </c>
      <c r="K333" s="611">
        <v>0</v>
      </c>
      <c r="L333" s="611">
        <v>0.5139229004760727</v>
      </c>
      <c r="M333" s="611">
        <v>0</v>
      </c>
      <c r="N333" s="611">
        <v>0</v>
      </c>
      <c r="O333" s="611">
        <v>9.4906062495725791</v>
      </c>
      <c r="P333" s="611">
        <v>47.95827169484302</v>
      </c>
      <c r="Q333" s="611">
        <v>3.2216095546912449</v>
      </c>
      <c r="R333" s="611">
        <v>115.04806835366153</v>
      </c>
      <c r="S333" s="611">
        <v>18.742672992879797</v>
      </c>
      <c r="T333" s="611">
        <v>0</v>
      </c>
      <c r="U333" s="619">
        <v>203.59954934013513</v>
      </c>
      <c r="V333" s="51"/>
    </row>
    <row r="334" spans="3:22" x14ac:dyDescent="0.25">
      <c r="C334" s="618" t="s">
        <v>82</v>
      </c>
      <c r="D334" s="611">
        <v>0</v>
      </c>
      <c r="E334" s="611">
        <v>0</v>
      </c>
      <c r="F334" s="611">
        <v>6.3369770221135076</v>
      </c>
      <c r="G334" s="611">
        <v>0</v>
      </c>
      <c r="H334" s="611">
        <v>0.68340618854154467</v>
      </c>
      <c r="I334" s="611">
        <v>9.0317998485666701E-3</v>
      </c>
      <c r="J334" s="611">
        <v>0</v>
      </c>
      <c r="K334" s="611">
        <v>0</v>
      </c>
      <c r="L334" s="611">
        <v>3.3891942411636795</v>
      </c>
      <c r="M334" s="611">
        <v>0</v>
      </c>
      <c r="N334" s="611">
        <v>17.640118554075091</v>
      </c>
      <c r="O334" s="611">
        <v>0.81286198637100038</v>
      </c>
      <c r="P334" s="611">
        <v>1.1499999999999999</v>
      </c>
      <c r="Q334" s="611">
        <v>1.5666563685107562</v>
      </c>
      <c r="R334" s="611">
        <v>6.9055854697991039</v>
      </c>
      <c r="S334" s="611">
        <v>0</v>
      </c>
      <c r="T334" s="611">
        <v>0.60935288805652987</v>
      </c>
      <c r="U334" s="619">
        <v>39.103184518479779</v>
      </c>
      <c r="V334" s="51"/>
    </row>
    <row r="335" spans="3:22" x14ac:dyDescent="0.25">
      <c r="C335" s="618" t="s">
        <v>354</v>
      </c>
      <c r="D335" s="611">
        <v>0</v>
      </c>
      <c r="E335" s="611">
        <v>0</v>
      </c>
      <c r="F335" s="611">
        <v>0</v>
      </c>
      <c r="G335" s="611">
        <v>0</v>
      </c>
      <c r="H335" s="611">
        <v>0</v>
      </c>
      <c r="I335" s="611">
        <v>0</v>
      </c>
      <c r="J335" s="611">
        <v>0</v>
      </c>
      <c r="K335" s="611">
        <v>0</v>
      </c>
      <c r="L335" s="611">
        <v>0</v>
      </c>
      <c r="M335" s="611">
        <v>0</v>
      </c>
      <c r="N335" s="611">
        <v>0</v>
      </c>
      <c r="O335" s="611">
        <v>0</v>
      </c>
      <c r="P335" s="611">
        <v>0</v>
      </c>
      <c r="Q335" s="611">
        <v>0</v>
      </c>
      <c r="R335" s="611">
        <v>4.7640000000000002</v>
      </c>
      <c r="S335" s="611">
        <v>0</v>
      </c>
      <c r="T335" s="611">
        <v>0</v>
      </c>
      <c r="U335" s="619">
        <v>4.7640000000000002</v>
      </c>
      <c r="V335" s="51"/>
    </row>
    <row r="336" spans="3:22" x14ac:dyDescent="0.25">
      <c r="C336" s="614" t="s">
        <v>83</v>
      </c>
      <c r="D336" s="615">
        <v>2.0940127617265829</v>
      </c>
      <c r="E336" s="615">
        <v>0</v>
      </c>
      <c r="F336" s="615">
        <v>42.329551923875783</v>
      </c>
      <c r="G336" s="615">
        <v>2.274686269460287</v>
      </c>
      <c r="H336" s="615">
        <v>54.870147260968139</v>
      </c>
      <c r="I336" s="615">
        <v>0.72515613120222222</v>
      </c>
      <c r="J336" s="615">
        <v>0</v>
      </c>
      <c r="K336" s="615">
        <v>0</v>
      </c>
      <c r="L336" s="615">
        <v>65.161926831936981</v>
      </c>
      <c r="M336" s="615">
        <v>6.2799536188843161</v>
      </c>
      <c r="N336" s="615">
        <v>83.483759428743397</v>
      </c>
      <c r="O336" s="615">
        <v>65.304327055452276</v>
      </c>
      <c r="P336" s="615">
        <v>165.69992491801096</v>
      </c>
      <c r="Q336" s="615">
        <v>7.6738034088497393</v>
      </c>
      <c r="R336" s="615">
        <v>561.50437892693742</v>
      </c>
      <c r="S336" s="615">
        <v>62.621514390504288</v>
      </c>
      <c r="T336" s="615">
        <v>18.264473333141254</v>
      </c>
      <c r="U336" s="615">
        <v>1138.2876162596938</v>
      </c>
      <c r="V336" s="51"/>
    </row>
    <row r="337" spans="3:22" x14ac:dyDescent="0.25">
      <c r="C337" s="610" t="s">
        <v>84</v>
      </c>
      <c r="D337" s="611">
        <v>0</v>
      </c>
      <c r="E337" s="611">
        <v>0</v>
      </c>
      <c r="F337" s="611">
        <v>70.526185031804687</v>
      </c>
      <c r="G337" s="611">
        <v>2.3546975295224146</v>
      </c>
      <c r="H337" s="611">
        <v>7.1814532260043631</v>
      </c>
      <c r="I337" s="611">
        <v>0</v>
      </c>
      <c r="J337" s="611">
        <v>0</v>
      </c>
      <c r="K337" s="611">
        <v>0</v>
      </c>
      <c r="L337" s="611">
        <v>0.42109898462761541</v>
      </c>
      <c r="M337" s="611">
        <v>0</v>
      </c>
      <c r="N337" s="611">
        <v>33.896224635717942</v>
      </c>
      <c r="O337" s="611">
        <v>10.020700945523032</v>
      </c>
      <c r="P337" s="611">
        <v>0</v>
      </c>
      <c r="Q337" s="611">
        <v>0</v>
      </c>
      <c r="R337" s="611">
        <v>0</v>
      </c>
      <c r="S337" s="611">
        <v>0</v>
      </c>
      <c r="T337" s="611">
        <v>40.523061894297456</v>
      </c>
      <c r="U337" s="619">
        <v>164.92342224749751</v>
      </c>
      <c r="V337" s="51"/>
    </row>
    <row r="338" spans="3:22" x14ac:dyDescent="0.25">
      <c r="C338" s="614" t="s">
        <v>85</v>
      </c>
      <c r="D338" s="615">
        <v>2.0940127617265829</v>
      </c>
      <c r="E338" s="615">
        <v>0</v>
      </c>
      <c r="F338" s="615">
        <v>112.85573695568047</v>
      </c>
      <c r="G338" s="615">
        <v>4.6293837989827011</v>
      </c>
      <c r="H338" s="615">
        <v>62.051600486972504</v>
      </c>
      <c r="I338" s="615">
        <v>0.72515613120222222</v>
      </c>
      <c r="J338" s="615">
        <v>0</v>
      </c>
      <c r="K338" s="615">
        <v>0</v>
      </c>
      <c r="L338" s="615">
        <v>65.5830258165646</v>
      </c>
      <c r="M338" s="615">
        <v>6.2799536188843161</v>
      </c>
      <c r="N338" s="615">
        <v>117.37998406446134</v>
      </c>
      <c r="O338" s="615">
        <v>75.325028000975308</v>
      </c>
      <c r="P338" s="615">
        <v>165.69992491801096</v>
      </c>
      <c r="Q338" s="615">
        <v>7.6738034088497393</v>
      </c>
      <c r="R338" s="615">
        <v>561.50437892693742</v>
      </c>
      <c r="S338" s="615">
        <v>62.621514390504288</v>
      </c>
      <c r="T338" s="615">
        <v>58.78753522743871</v>
      </c>
      <c r="U338" s="615">
        <v>1303.2110385071912</v>
      </c>
      <c r="V338" s="51"/>
    </row>
    <row r="339" spans="3:22" x14ac:dyDescent="0.25">
      <c r="C339" s="51"/>
      <c r="D339" s="67">
        <v>0</v>
      </c>
      <c r="E339" s="67">
        <v>0</v>
      </c>
      <c r="F339" s="67">
        <v>0</v>
      </c>
      <c r="G339" s="67">
        <v>0</v>
      </c>
      <c r="H339" s="67">
        <v>0</v>
      </c>
      <c r="I339" s="67">
        <v>0</v>
      </c>
      <c r="J339" s="67">
        <v>0</v>
      </c>
      <c r="K339" s="67">
        <v>0</v>
      </c>
      <c r="L339" s="67">
        <v>0</v>
      </c>
      <c r="M339" s="67">
        <v>-3.685817073417752E-4</v>
      </c>
      <c r="N339" s="67">
        <v>0</v>
      </c>
      <c r="O339" s="67">
        <v>9.7699626167013776E-15</v>
      </c>
      <c r="P339" s="67">
        <v>0</v>
      </c>
      <c r="Q339" s="67">
        <v>0</v>
      </c>
      <c r="R339" s="67">
        <v>0</v>
      </c>
      <c r="S339" s="67">
        <v>0</v>
      </c>
      <c r="T339" s="67">
        <v>-9.7699626167013776E-15</v>
      </c>
      <c r="U339" s="67">
        <v>-3.6858170687992242E-4</v>
      </c>
      <c r="V339" s="51"/>
    </row>
    <row r="340" spans="3:22" x14ac:dyDescent="0.25">
      <c r="C340" s="51"/>
      <c r="D340" s="51"/>
      <c r="E340" s="51"/>
      <c r="F340" s="51"/>
      <c r="G340" s="67"/>
      <c r="H340" s="51"/>
      <c r="I340" s="51"/>
      <c r="J340" s="51"/>
      <c r="K340" s="51"/>
      <c r="L340" s="51"/>
      <c r="M340" s="51"/>
      <c r="N340" s="51"/>
      <c r="O340" s="51"/>
      <c r="P340" s="51"/>
      <c r="Q340" s="51"/>
      <c r="R340" s="51"/>
      <c r="S340" s="51"/>
      <c r="T340" s="51"/>
      <c r="U340" s="51"/>
      <c r="V340" s="51"/>
    </row>
    <row r="341" spans="3:22" x14ac:dyDescent="0.25">
      <c r="C341" s="607" t="s">
        <v>361</v>
      </c>
      <c r="D341" s="606"/>
      <c r="E341" s="606"/>
      <c r="F341" s="606"/>
      <c r="G341" s="682"/>
      <c r="H341" s="606"/>
      <c r="I341" s="606"/>
      <c r="J341" s="606"/>
      <c r="K341" s="606"/>
      <c r="L341" s="606"/>
      <c r="M341" s="606"/>
      <c r="N341" s="606"/>
      <c r="O341" s="606"/>
      <c r="P341" s="606"/>
      <c r="Q341" s="606"/>
      <c r="R341" s="606"/>
      <c r="S341" s="606"/>
      <c r="T341" s="606"/>
      <c r="U341" s="606"/>
      <c r="V341" s="606"/>
    </row>
    <row r="342" spans="3:22" x14ac:dyDescent="0.25">
      <c r="C342" s="51"/>
      <c r="D342" s="51"/>
      <c r="E342" s="51"/>
      <c r="F342" s="51"/>
      <c r="G342" s="67"/>
      <c r="H342" s="51"/>
      <c r="I342" s="51"/>
      <c r="J342" s="51"/>
      <c r="K342" s="51"/>
      <c r="L342" s="51"/>
      <c r="M342" s="51"/>
      <c r="N342" s="51"/>
      <c r="O342" s="51"/>
      <c r="P342" s="51"/>
      <c r="Q342" s="51"/>
      <c r="R342" s="51"/>
      <c r="S342" s="51"/>
      <c r="T342" s="51"/>
      <c r="U342" s="51"/>
      <c r="V342" s="51"/>
    </row>
    <row r="343" spans="3:22" x14ac:dyDescent="0.25">
      <c r="C343" s="764" t="s">
        <v>128</v>
      </c>
      <c r="D343" s="753" t="s">
        <v>42</v>
      </c>
      <c r="E343" s="753" t="s">
        <v>52</v>
      </c>
      <c r="F343" s="753" t="s">
        <v>53</v>
      </c>
      <c r="G343" s="766" t="s">
        <v>482</v>
      </c>
      <c r="H343" s="753" t="s">
        <v>32</v>
      </c>
      <c r="I343" s="753" t="s">
        <v>483</v>
      </c>
      <c r="J343" s="753" t="s">
        <v>20</v>
      </c>
      <c r="K343" s="753" t="s">
        <v>55</v>
      </c>
      <c r="L343" s="761" t="s">
        <v>56</v>
      </c>
      <c r="M343" s="762"/>
      <c r="N343" s="762"/>
      <c r="O343" s="762"/>
      <c r="P343" s="762"/>
      <c r="Q343" s="763"/>
      <c r="R343" s="753" t="s">
        <v>57</v>
      </c>
      <c r="S343" s="753" t="s">
        <v>58</v>
      </c>
      <c r="T343" s="753" t="s">
        <v>31</v>
      </c>
      <c r="U343" s="753" t="s">
        <v>10</v>
      </c>
      <c r="V343" s="51"/>
    </row>
    <row r="344" spans="3:22" ht="36" x14ac:dyDescent="0.25">
      <c r="C344" s="765"/>
      <c r="D344" s="754"/>
      <c r="E344" s="754"/>
      <c r="F344" s="754"/>
      <c r="G344" s="767"/>
      <c r="H344" s="754"/>
      <c r="I344" s="754"/>
      <c r="J344" s="754"/>
      <c r="K344" s="754"/>
      <c r="L344" s="608" t="s">
        <v>335</v>
      </c>
      <c r="M344" s="608" t="s">
        <v>40</v>
      </c>
      <c r="N344" s="608" t="s">
        <v>343</v>
      </c>
      <c r="O344" s="608" t="s">
        <v>344</v>
      </c>
      <c r="P344" s="609" t="s">
        <v>345</v>
      </c>
      <c r="Q344" s="608" t="s">
        <v>346</v>
      </c>
      <c r="R344" s="754"/>
      <c r="S344" s="754"/>
      <c r="T344" s="754"/>
      <c r="U344" s="754"/>
      <c r="V344" s="51"/>
    </row>
    <row r="345" spans="3:22" x14ac:dyDescent="0.25">
      <c r="C345" s="610" t="s">
        <v>59</v>
      </c>
      <c r="D345" s="611">
        <v>0</v>
      </c>
      <c r="E345" s="611">
        <v>0</v>
      </c>
      <c r="F345" s="611">
        <v>0</v>
      </c>
      <c r="G345" s="611">
        <v>0</v>
      </c>
      <c r="H345" s="611">
        <v>0</v>
      </c>
      <c r="I345" s="611">
        <v>0</v>
      </c>
      <c r="J345" s="612">
        <v>971.10439999999994</v>
      </c>
      <c r="K345" s="612">
        <v>503.30122823446823</v>
      </c>
      <c r="L345" s="612">
        <v>455.14148237245831</v>
      </c>
      <c r="M345" s="612">
        <v>20.793873035909879</v>
      </c>
      <c r="N345" s="611">
        <v>1.6797912871987437</v>
      </c>
      <c r="O345" s="611">
        <v>0.17065445399605614</v>
      </c>
      <c r="P345" s="612">
        <v>171.08209770143009</v>
      </c>
      <c r="Q345" s="612">
        <v>25.726769025027945</v>
      </c>
      <c r="R345" s="611">
        <v>0</v>
      </c>
      <c r="S345" s="611">
        <v>0</v>
      </c>
      <c r="T345" s="611">
        <v>0</v>
      </c>
      <c r="U345" s="613">
        <v>2149.0002961104892</v>
      </c>
      <c r="V345" s="51"/>
    </row>
    <row r="346" spans="3:22" x14ac:dyDescent="0.25">
      <c r="C346" s="610" t="s">
        <v>60</v>
      </c>
      <c r="D346" s="611">
        <v>1.6567330370836562</v>
      </c>
      <c r="E346" s="611">
        <v>156.10342406212303</v>
      </c>
      <c r="F346" s="611">
        <v>2.9590354993625017</v>
      </c>
      <c r="G346" s="611">
        <v>0</v>
      </c>
      <c r="H346" s="611">
        <v>54.539197305320002</v>
      </c>
      <c r="I346" s="611">
        <v>0</v>
      </c>
      <c r="J346" s="611">
        <v>0</v>
      </c>
      <c r="K346" s="611">
        <v>0</v>
      </c>
      <c r="L346" s="611">
        <v>4.8125993033158778</v>
      </c>
      <c r="M346" s="611">
        <v>0</v>
      </c>
      <c r="N346" s="611">
        <v>6.2295354537228107</v>
      </c>
      <c r="O346" s="611">
        <v>0</v>
      </c>
      <c r="P346" s="611">
        <v>0</v>
      </c>
      <c r="Q346" s="611">
        <v>0</v>
      </c>
      <c r="R346" s="611">
        <v>12.737834844238364</v>
      </c>
      <c r="S346" s="611">
        <v>0</v>
      </c>
      <c r="T346" s="611">
        <v>0</v>
      </c>
      <c r="U346" s="613">
        <v>239.03835950516623</v>
      </c>
      <c r="V346" s="51"/>
    </row>
    <row r="347" spans="3:22" x14ac:dyDescent="0.25">
      <c r="C347" s="610" t="s">
        <v>61</v>
      </c>
      <c r="D347" s="611">
        <v>0</v>
      </c>
      <c r="E347" s="611">
        <v>0</v>
      </c>
      <c r="F347" s="611">
        <v>-44.676300971263089</v>
      </c>
      <c r="G347" s="611">
        <v>-7.4420014649377606</v>
      </c>
      <c r="H347" s="611">
        <v>0</v>
      </c>
      <c r="I347" s="611">
        <v>0</v>
      </c>
      <c r="J347" s="611">
        <v>0</v>
      </c>
      <c r="K347" s="611">
        <v>0</v>
      </c>
      <c r="L347" s="611">
        <v>0</v>
      </c>
      <c r="M347" s="611">
        <v>0</v>
      </c>
      <c r="N347" s="611">
        <v>0</v>
      </c>
      <c r="O347" s="611">
        <v>0</v>
      </c>
      <c r="P347" s="611">
        <v>0</v>
      </c>
      <c r="Q347" s="611">
        <v>0</v>
      </c>
      <c r="R347" s="611">
        <v>0</v>
      </c>
      <c r="S347" s="611">
        <v>0</v>
      </c>
      <c r="T347" s="611">
        <v>0</v>
      </c>
      <c r="U347" s="613">
        <v>-52.11830243620085</v>
      </c>
      <c r="V347" s="51"/>
    </row>
    <row r="348" spans="3:22" x14ac:dyDescent="0.25">
      <c r="C348" s="610" t="s">
        <v>62</v>
      </c>
      <c r="D348" s="611">
        <v>0</v>
      </c>
      <c r="E348" s="611">
        <v>0</v>
      </c>
      <c r="F348" s="611">
        <v>-2.5439781787400757</v>
      </c>
      <c r="G348" s="611">
        <v>-5.1073400578201751</v>
      </c>
      <c r="H348" s="611">
        <v>0</v>
      </c>
      <c r="I348" s="611">
        <v>-4.025065184691706</v>
      </c>
      <c r="J348" s="611">
        <v>0</v>
      </c>
      <c r="K348" s="611">
        <v>0</v>
      </c>
      <c r="L348" s="611">
        <v>0</v>
      </c>
      <c r="M348" s="611">
        <v>0</v>
      </c>
      <c r="N348" s="611">
        <v>-1.4642875778969737</v>
      </c>
      <c r="O348" s="611">
        <v>-2.6833767897944703</v>
      </c>
      <c r="P348" s="611">
        <v>0</v>
      </c>
      <c r="Q348" s="611">
        <v>0</v>
      </c>
      <c r="R348" s="611">
        <v>0</v>
      </c>
      <c r="S348" s="611">
        <v>0</v>
      </c>
      <c r="T348" s="611">
        <v>-1.8096944583874461</v>
      </c>
      <c r="U348" s="613">
        <v>-17.633742247330847</v>
      </c>
      <c r="V348" s="51"/>
    </row>
    <row r="349" spans="3:22" x14ac:dyDescent="0.25">
      <c r="C349" s="610" t="s">
        <v>63</v>
      </c>
      <c r="D349" s="611">
        <v>0</v>
      </c>
      <c r="E349" s="611">
        <v>0</v>
      </c>
      <c r="F349" s="611">
        <v>-26.066537028283065</v>
      </c>
      <c r="G349" s="611">
        <v>-15.61159587816994</v>
      </c>
      <c r="H349" s="611">
        <v>0</v>
      </c>
      <c r="I349" s="611">
        <v>0</v>
      </c>
      <c r="J349" s="611">
        <v>0</v>
      </c>
      <c r="K349" s="611">
        <v>0</v>
      </c>
      <c r="L349" s="611">
        <v>0</v>
      </c>
      <c r="M349" s="611">
        <v>0</v>
      </c>
      <c r="N349" s="611">
        <v>-15.61159587816994</v>
      </c>
      <c r="O349" s="611">
        <v>0</v>
      </c>
      <c r="P349" s="611">
        <v>0</v>
      </c>
      <c r="Q349" s="611">
        <v>0</v>
      </c>
      <c r="R349" s="611">
        <v>0</v>
      </c>
      <c r="S349" s="611">
        <v>0</v>
      </c>
      <c r="T349" s="611">
        <v>-5.1590895167519655</v>
      </c>
      <c r="U349" s="613">
        <v>-62.448818301374899</v>
      </c>
      <c r="V349" s="51"/>
    </row>
    <row r="350" spans="3:22" x14ac:dyDescent="0.25">
      <c r="C350" s="610" t="s">
        <v>64</v>
      </c>
      <c r="D350" s="611">
        <v>0</v>
      </c>
      <c r="E350" s="611">
        <v>0</v>
      </c>
      <c r="F350" s="611">
        <v>0</v>
      </c>
      <c r="G350" s="611">
        <v>0</v>
      </c>
      <c r="H350" s="611">
        <v>0</v>
      </c>
      <c r="I350" s="611">
        <v>0</v>
      </c>
      <c r="J350" s="611">
        <v>0</v>
      </c>
      <c r="K350" s="611">
        <v>0</v>
      </c>
      <c r="L350" s="611">
        <v>0</v>
      </c>
      <c r="M350" s="611">
        <v>0</v>
      </c>
      <c r="N350" s="611">
        <v>0</v>
      </c>
      <c r="O350" s="611">
        <v>0</v>
      </c>
      <c r="P350" s="611">
        <v>0</v>
      </c>
      <c r="Q350" s="611">
        <v>0</v>
      </c>
      <c r="R350" s="611">
        <v>0</v>
      </c>
      <c r="S350" s="611">
        <v>0</v>
      </c>
      <c r="T350" s="611">
        <v>0</v>
      </c>
      <c r="U350" s="613">
        <v>0</v>
      </c>
      <c r="V350" s="51"/>
    </row>
    <row r="351" spans="3:22" x14ac:dyDescent="0.25">
      <c r="C351" s="614" t="s">
        <v>65</v>
      </c>
      <c r="D351" s="615">
        <v>1.6567330370836562</v>
      </c>
      <c r="E351" s="615">
        <v>156.10342406212303</v>
      </c>
      <c r="F351" s="615">
        <v>-70.32778067892373</v>
      </c>
      <c r="G351" s="615">
        <v>-28.160937400927875</v>
      </c>
      <c r="H351" s="615">
        <v>54.539197305320002</v>
      </c>
      <c r="I351" s="615">
        <v>-4.025065184691706</v>
      </c>
      <c r="J351" s="615">
        <v>971.10439999999994</v>
      </c>
      <c r="K351" s="615">
        <v>503.30122823446823</v>
      </c>
      <c r="L351" s="615">
        <v>459.9540816757742</v>
      </c>
      <c r="M351" s="615">
        <v>20.793873035909879</v>
      </c>
      <c r="N351" s="615">
        <v>-9.166556715145358</v>
      </c>
      <c r="O351" s="615">
        <v>-2.5127223357984141</v>
      </c>
      <c r="P351" s="615">
        <v>171.08209770143009</v>
      </c>
      <c r="Q351" s="615">
        <v>25.726769025027945</v>
      </c>
      <c r="R351" s="615">
        <v>12.737834844238364</v>
      </c>
      <c r="S351" s="615">
        <v>0</v>
      </c>
      <c r="T351" s="615">
        <v>-6.9687839751394112</v>
      </c>
      <c r="U351" s="615">
        <v>2255.8377926307489</v>
      </c>
      <c r="V351" s="51"/>
    </row>
    <row r="352" spans="3:22" x14ac:dyDescent="0.25">
      <c r="C352" s="616"/>
      <c r="D352" s="617"/>
      <c r="E352" s="617"/>
      <c r="F352" s="617"/>
      <c r="G352" s="617"/>
      <c r="H352" s="623"/>
      <c r="I352" s="617"/>
      <c r="J352" s="617"/>
      <c r="K352" s="617"/>
      <c r="L352" s="617"/>
      <c r="M352" s="617"/>
      <c r="N352" s="617"/>
      <c r="O352" s="617"/>
      <c r="P352" s="617"/>
      <c r="Q352" s="617"/>
      <c r="R352" s="617"/>
      <c r="S352" s="617"/>
      <c r="T352" s="617"/>
      <c r="U352" s="617"/>
      <c r="V352" s="51"/>
    </row>
    <row r="353" spans="3:22" x14ac:dyDescent="0.25">
      <c r="C353" s="618" t="s">
        <v>67</v>
      </c>
      <c r="D353" s="611">
        <v>0</v>
      </c>
      <c r="E353" s="611">
        <v>0</v>
      </c>
      <c r="F353" s="611">
        <v>0</v>
      </c>
      <c r="G353" s="611">
        <v>0</v>
      </c>
      <c r="H353" s="611">
        <v>0</v>
      </c>
      <c r="I353" s="611">
        <v>0</v>
      </c>
      <c r="J353" s="611">
        <v>0</v>
      </c>
      <c r="K353" s="611">
        <v>0</v>
      </c>
      <c r="L353" s="611">
        <v>0</v>
      </c>
      <c r="M353" s="611">
        <v>0</v>
      </c>
      <c r="N353" s="611">
        <v>0</v>
      </c>
      <c r="O353" s="611">
        <v>0</v>
      </c>
      <c r="P353" s="611">
        <v>0</v>
      </c>
      <c r="Q353" s="611">
        <v>0</v>
      </c>
      <c r="R353" s="611">
        <v>0</v>
      </c>
      <c r="S353" s="611">
        <v>0</v>
      </c>
      <c r="T353" s="611">
        <v>0</v>
      </c>
      <c r="U353" s="619">
        <v>0</v>
      </c>
      <c r="V353" s="51"/>
    </row>
    <row r="354" spans="3:22" x14ac:dyDescent="0.25">
      <c r="C354" s="618" t="s">
        <v>347</v>
      </c>
      <c r="D354" s="611">
        <v>0</v>
      </c>
      <c r="E354" s="611">
        <v>0</v>
      </c>
      <c r="F354" s="611">
        <v>0</v>
      </c>
      <c r="G354" s="611">
        <v>0</v>
      </c>
      <c r="H354" s="611">
        <v>0.44776646808510651</v>
      </c>
      <c r="I354" s="611">
        <v>0</v>
      </c>
      <c r="J354" s="611">
        <v>971.10439999999994</v>
      </c>
      <c r="K354" s="611">
        <v>503.30122823446823</v>
      </c>
      <c r="L354" s="611">
        <v>22.611661930027488</v>
      </c>
      <c r="M354" s="611">
        <v>0.61851517484510588</v>
      </c>
      <c r="N354" s="611">
        <v>6.3451610040287907</v>
      </c>
      <c r="O354" s="611">
        <v>1.1589812304406033</v>
      </c>
      <c r="P354" s="611">
        <v>0</v>
      </c>
      <c r="Q354" s="611">
        <v>6.4766550958451852</v>
      </c>
      <c r="R354" s="611">
        <v>-877.28387729883798</v>
      </c>
      <c r="S354" s="611">
        <v>0</v>
      </c>
      <c r="T354" s="611">
        <v>5.1921899999999992</v>
      </c>
      <c r="U354" s="619">
        <v>639.97268183890242</v>
      </c>
      <c r="V354" s="51"/>
    </row>
    <row r="355" spans="3:22" x14ac:dyDescent="0.25">
      <c r="C355" s="618" t="s">
        <v>348</v>
      </c>
      <c r="D355" s="611">
        <v>0</v>
      </c>
      <c r="E355" s="611">
        <v>0</v>
      </c>
      <c r="F355" s="611">
        <v>0</v>
      </c>
      <c r="G355" s="611">
        <v>0</v>
      </c>
      <c r="H355" s="611">
        <v>3.2640954387883037</v>
      </c>
      <c r="I355" s="611">
        <v>0</v>
      </c>
      <c r="J355" s="611">
        <v>0</v>
      </c>
      <c r="K355" s="611">
        <v>0</v>
      </c>
      <c r="L355" s="611">
        <v>34.874750545465744</v>
      </c>
      <c r="M355" s="611">
        <v>14.450307287843678</v>
      </c>
      <c r="N355" s="611">
        <v>0</v>
      </c>
      <c r="O355" s="611">
        <v>7.6313341325616637</v>
      </c>
      <c r="P355" s="611">
        <v>0</v>
      </c>
      <c r="Q355" s="611">
        <v>11.247880766628024</v>
      </c>
      <c r="R355" s="611">
        <v>0</v>
      </c>
      <c r="S355" s="611">
        <v>-67.335306808549447</v>
      </c>
      <c r="T355" s="611">
        <v>0</v>
      </c>
      <c r="U355" s="619">
        <v>4.133061362737962</v>
      </c>
      <c r="V355" s="51"/>
    </row>
    <row r="356" spans="3:22" x14ac:dyDescent="0.25">
      <c r="C356" s="618" t="s">
        <v>349</v>
      </c>
      <c r="D356" s="611">
        <v>0</v>
      </c>
      <c r="E356" s="611">
        <v>0</v>
      </c>
      <c r="F356" s="611">
        <v>0</v>
      </c>
      <c r="G356" s="611">
        <v>0</v>
      </c>
      <c r="H356" s="611">
        <v>0</v>
      </c>
      <c r="I356" s="611">
        <v>0</v>
      </c>
      <c r="J356" s="611">
        <v>0</v>
      </c>
      <c r="K356" s="611">
        <v>0</v>
      </c>
      <c r="L356" s="611">
        <v>99.886824202456438</v>
      </c>
      <c r="M356" s="611">
        <v>0</v>
      </c>
      <c r="N356" s="611">
        <v>0</v>
      </c>
      <c r="O356" s="611">
        <v>-91.582944375151399</v>
      </c>
      <c r="P356" s="611">
        <v>0</v>
      </c>
      <c r="Q356" s="611">
        <v>0</v>
      </c>
      <c r="R356" s="611">
        <v>0</v>
      </c>
      <c r="S356" s="611">
        <v>0</v>
      </c>
      <c r="T356" s="611">
        <v>0</v>
      </c>
      <c r="U356" s="619">
        <v>8.3038798273050389</v>
      </c>
      <c r="V356" s="51"/>
    </row>
    <row r="357" spans="3:22" x14ac:dyDescent="0.25">
      <c r="C357" s="618" t="s">
        <v>350</v>
      </c>
      <c r="D357" s="611">
        <v>0</v>
      </c>
      <c r="E357" s="611">
        <v>0</v>
      </c>
      <c r="F357" s="611">
        <v>0</v>
      </c>
      <c r="G357" s="611">
        <v>0</v>
      </c>
      <c r="H357" s="611">
        <v>0</v>
      </c>
      <c r="I357" s="611">
        <v>-5.1740904166094976</v>
      </c>
      <c r="J357" s="611">
        <v>0</v>
      </c>
      <c r="K357" s="611">
        <v>0</v>
      </c>
      <c r="L357" s="611">
        <v>0</v>
      </c>
      <c r="M357" s="611">
        <v>0</v>
      </c>
      <c r="N357" s="611">
        <v>0</v>
      </c>
      <c r="O357" s="611">
        <v>0</v>
      </c>
      <c r="P357" s="611">
        <v>0</v>
      </c>
      <c r="Q357" s="611">
        <v>0</v>
      </c>
      <c r="R357" s="611">
        <v>0</v>
      </c>
      <c r="S357" s="611">
        <v>0</v>
      </c>
      <c r="T357" s="611">
        <v>7.1912846116196816</v>
      </c>
      <c r="U357" s="619">
        <v>2.0171941950101839</v>
      </c>
      <c r="V357" s="51"/>
    </row>
    <row r="358" spans="3:22" x14ac:dyDescent="0.25">
      <c r="C358" s="618" t="s">
        <v>72</v>
      </c>
      <c r="D358" s="611">
        <v>0</v>
      </c>
      <c r="E358" s="611">
        <v>161.75289728424144</v>
      </c>
      <c r="F358" s="611">
        <v>-160.13983967974238</v>
      </c>
      <c r="G358" s="611">
        <v>0</v>
      </c>
      <c r="H358" s="611">
        <v>0</v>
      </c>
      <c r="I358" s="611">
        <v>0</v>
      </c>
      <c r="J358" s="611">
        <v>0</v>
      </c>
      <c r="K358" s="611">
        <v>0</v>
      </c>
      <c r="L358" s="611">
        <v>0</v>
      </c>
      <c r="M358" s="611">
        <v>0</v>
      </c>
      <c r="N358" s="611">
        <v>0</v>
      </c>
      <c r="O358" s="611">
        <v>0</v>
      </c>
      <c r="P358" s="611">
        <v>0</v>
      </c>
      <c r="Q358" s="611">
        <v>0</v>
      </c>
      <c r="R358" s="611">
        <v>0</v>
      </c>
      <c r="S358" s="611">
        <v>0</v>
      </c>
      <c r="T358" s="611">
        <v>0</v>
      </c>
      <c r="U358" s="619">
        <v>1.6130576044990619</v>
      </c>
      <c r="V358" s="51"/>
    </row>
    <row r="359" spans="3:22" x14ac:dyDescent="0.25">
      <c r="C359" s="618" t="s">
        <v>351</v>
      </c>
      <c r="D359" s="611">
        <v>0</v>
      </c>
      <c r="E359" s="611">
        <v>0</v>
      </c>
      <c r="F359" s="611">
        <v>0</v>
      </c>
      <c r="G359" s="611">
        <v>0</v>
      </c>
      <c r="H359" s="611">
        <v>0</v>
      </c>
      <c r="I359" s="611">
        <v>0</v>
      </c>
      <c r="J359" s="611">
        <v>0</v>
      </c>
      <c r="K359" s="611">
        <v>0</v>
      </c>
      <c r="L359" s="611">
        <v>239.29378044744664</v>
      </c>
      <c r="M359" s="611">
        <v>0</v>
      </c>
      <c r="N359" s="611">
        <v>-131.61157924609566</v>
      </c>
      <c r="O359" s="611">
        <v>0</v>
      </c>
      <c r="P359" s="611">
        <v>0</v>
      </c>
      <c r="Q359" s="611">
        <v>0</v>
      </c>
      <c r="R359" s="611">
        <v>0</v>
      </c>
      <c r="S359" s="611">
        <v>0</v>
      </c>
      <c r="T359" s="611">
        <v>0</v>
      </c>
      <c r="U359" s="619">
        <v>107.68220120135098</v>
      </c>
      <c r="V359" s="51"/>
    </row>
    <row r="360" spans="3:22" x14ac:dyDescent="0.25">
      <c r="C360" s="618" t="s">
        <v>352</v>
      </c>
      <c r="D360" s="611">
        <v>0</v>
      </c>
      <c r="E360" s="611">
        <v>0</v>
      </c>
      <c r="F360" s="611">
        <v>0</v>
      </c>
      <c r="G360" s="611">
        <v>-33.473815441656178</v>
      </c>
      <c r="H360" s="611">
        <v>0</v>
      </c>
      <c r="I360" s="611">
        <v>0</v>
      </c>
      <c r="J360" s="611">
        <v>0</v>
      </c>
      <c r="K360" s="611">
        <v>0</v>
      </c>
      <c r="L360" s="611">
        <v>0</v>
      </c>
      <c r="M360" s="611">
        <v>0</v>
      </c>
      <c r="N360" s="611">
        <v>0</v>
      </c>
      <c r="O360" s="611">
        <v>0</v>
      </c>
      <c r="P360" s="611">
        <v>0</v>
      </c>
      <c r="Q360" s="611">
        <v>0</v>
      </c>
      <c r="R360" s="611">
        <v>0</v>
      </c>
      <c r="S360" s="611">
        <v>0</v>
      </c>
      <c r="T360" s="611">
        <v>43.527837875314049</v>
      </c>
      <c r="U360" s="619">
        <v>10.05402243365787</v>
      </c>
      <c r="V360" s="51"/>
    </row>
    <row r="361" spans="3:22" x14ac:dyDescent="0.25">
      <c r="C361" s="618" t="s">
        <v>73</v>
      </c>
      <c r="D361" s="611">
        <v>0</v>
      </c>
      <c r="E361" s="611">
        <v>0</v>
      </c>
      <c r="F361" s="611">
        <v>0</v>
      </c>
      <c r="G361" s="611">
        <v>0</v>
      </c>
      <c r="H361" s="611">
        <v>0</v>
      </c>
      <c r="I361" s="611">
        <v>0</v>
      </c>
      <c r="J361" s="611">
        <v>0</v>
      </c>
      <c r="K361" s="611">
        <v>0</v>
      </c>
      <c r="L361" s="611">
        <v>0</v>
      </c>
      <c r="M361" s="611">
        <v>0</v>
      </c>
      <c r="N361" s="611">
        <v>0</v>
      </c>
      <c r="O361" s="611">
        <v>0</v>
      </c>
      <c r="P361" s="611">
        <v>0</v>
      </c>
      <c r="Q361" s="611">
        <v>0</v>
      </c>
      <c r="R361" s="611">
        <v>186.09171546114462</v>
      </c>
      <c r="S361" s="611">
        <v>0</v>
      </c>
      <c r="T361" s="611">
        <v>-130.72943011145409</v>
      </c>
      <c r="U361" s="619">
        <v>55.362285349690524</v>
      </c>
      <c r="V361" s="51"/>
    </row>
    <row r="362" spans="3:22" x14ac:dyDescent="0.25">
      <c r="C362" s="618" t="s">
        <v>353</v>
      </c>
      <c r="D362" s="611">
        <v>0</v>
      </c>
      <c r="E362" s="611">
        <v>-5.6494732221184147</v>
      </c>
      <c r="F362" s="611">
        <v>7.3669989850431641</v>
      </c>
      <c r="G362" s="611">
        <v>0</v>
      </c>
      <c r="H362" s="611">
        <v>0</v>
      </c>
      <c r="I362" s="611">
        <v>0</v>
      </c>
      <c r="J362" s="611">
        <v>0</v>
      </c>
      <c r="K362" s="611">
        <v>0</v>
      </c>
      <c r="L362" s="611">
        <v>0</v>
      </c>
      <c r="M362" s="611">
        <v>0</v>
      </c>
      <c r="N362" s="611">
        <v>0</v>
      </c>
      <c r="O362" s="611">
        <v>0</v>
      </c>
      <c r="P362" s="611">
        <v>0</v>
      </c>
      <c r="Q362" s="611">
        <v>0</v>
      </c>
      <c r="R362" s="611">
        <v>0</v>
      </c>
      <c r="S362" s="611">
        <v>0</v>
      </c>
      <c r="T362" s="611">
        <v>0</v>
      </c>
      <c r="U362" s="619">
        <v>1.7175257629247493</v>
      </c>
      <c r="V362" s="51"/>
    </row>
    <row r="363" spans="3:22" x14ac:dyDescent="0.25">
      <c r="C363" s="618" t="s">
        <v>75</v>
      </c>
      <c r="D363" s="611">
        <v>0</v>
      </c>
      <c r="E363" s="611">
        <v>0</v>
      </c>
      <c r="F363" s="611">
        <v>5.5408288295361077</v>
      </c>
      <c r="G363" s="611">
        <v>0</v>
      </c>
      <c r="H363" s="611">
        <v>1.9377811160090992</v>
      </c>
      <c r="I363" s="611">
        <v>4.9686695282284594E-2</v>
      </c>
      <c r="J363" s="611">
        <v>0</v>
      </c>
      <c r="K363" s="611">
        <v>0</v>
      </c>
      <c r="L363" s="611">
        <v>0</v>
      </c>
      <c r="M363" s="611">
        <v>0</v>
      </c>
      <c r="N363" s="611">
        <v>0</v>
      </c>
      <c r="O363" s="611">
        <v>2.9812017169370755</v>
      </c>
      <c r="P363" s="611">
        <v>0</v>
      </c>
      <c r="Q363" s="611">
        <v>0</v>
      </c>
      <c r="R363" s="611">
        <v>65.428671005307493</v>
      </c>
      <c r="S363" s="611">
        <v>0</v>
      </c>
      <c r="T363" s="611">
        <v>0</v>
      </c>
      <c r="U363" s="619">
        <v>75.938169363072063</v>
      </c>
      <c r="V363" s="51"/>
    </row>
    <row r="364" spans="3:22" x14ac:dyDescent="0.25">
      <c r="C364" s="618" t="s">
        <v>76</v>
      </c>
      <c r="D364" s="611">
        <v>0</v>
      </c>
      <c r="E364" s="611">
        <v>0</v>
      </c>
      <c r="F364" s="611">
        <v>0</v>
      </c>
      <c r="G364" s="611">
        <v>0</v>
      </c>
      <c r="H364" s="611">
        <v>0.58858582439204721</v>
      </c>
      <c r="I364" s="611">
        <v>1.5091944215180697E-2</v>
      </c>
      <c r="J364" s="611">
        <v>0</v>
      </c>
      <c r="K364" s="611">
        <v>0</v>
      </c>
      <c r="L364" s="611">
        <v>0</v>
      </c>
      <c r="M364" s="611">
        <v>0</v>
      </c>
      <c r="N364" s="611">
        <v>0</v>
      </c>
      <c r="O364" s="611">
        <v>0.90551665291084182</v>
      </c>
      <c r="P364" s="611">
        <v>0</v>
      </c>
      <c r="Q364" s="611">
        <v>0</v>
      </c>
      <c r="R364" s="611">
        <v>68.128345316060717</v>
      </c>
      <c r="S364" s="611">
        <v>5.2226705636158801</v>
      </c>
      <c r="T364" s="611">
        <v>0</v>
      </c>
      <c r="U364" s="619">
        <v>74.86021030119467</v>
      </c>
      <c r="V364" s="51"/>
    </row>
    <row r="365" spans="3:22" x14ac:dyDescent="0.25">
      <c r="C365" s="614" t="s">
        <v>77</v>
      </c>
      <c r="D365" s="615">
        <v>0</v>
      </c>
      <c r="E365" s="615">
        <v>156.10342406212303</v>
      </c>
      <c r="F365" s="615">
        <v>-147.23201186516312</v>
      </c>
      <c r="G365" s="615">
        <v>-33.473815441656178</v>
      </c>
      <c r="H365" s="615">
        <v>6.2382288472745566</v>
      </c>
      <c r="I365" s="615">
        <v>-5.1093117771120324</v>
      </c>
      <c r="J365" s="615">
        <v>971.10439999999994</v>
      </c>
      <c r="K365" s="615">
        <v>503.30122823446823</v>
      </c>
      <c r="L365" s="615">
        <v>396.66701712539634</v>
      </c>
      <c r="M365" s="615">
        <v>15.068822462688784</v>
      </c>
      <c r="N365" s="615">
        <v>-125.26641824206686</v>
      </c>
      <c r="O365" s="615">
        <v>-78.905910642301208</v>
      </c>
      <c r="P365" s="615">
        <v>0</v>
      </c>
      <c r="Q365" s="615">
        <v>17.724535862473211</v>
      </c>
      <c r="R365" s="615">
        <v>-557.63514551632511</v>
      </c>
      <c r="S365" s="615">
        <v>-62.112636244933569</v>
      </c>
      <c r="T365" s="615">
        <v>-74.818117624520369</v>
      </c>
      <c r="U365" s="615">
        <v>981.65428924034563</v>
      </c>
      <c r="V365" s="51"/>
    </row>
    <row r="366" spans="3:22" x14ac:dyDescent="0.25">
      <c r="C366" s="616"/>
      <c r="D366" s="617"/>
      <c r="E366" s="617"/>
      <c r="F366" s="617"/>
      <c r="G366" s="617"/>
      <c r="H366" s="623"/>
      <c r="I366" s="617"/>
      <c r="J366" s="617"/>
      <c r="K366" s="617"/>
      <c r="L366" s="617"/>
      <c r="M366" s="617"/>
      <c r="N366" s="617"/>
      <c r="O366" s="617"/>
      <c r="P366" s="617"/>
      <c r="Q366" s="617"/>
      <c r="R366" s="617"/>
      <c r="S366" s="617"/>
      <c r="T366" s="617"/>
      <c r="U366" s="617"/>
      <c r="V366" s="51"/>
    </row>
    <row r="367" spans="3:22" x14ac:dyDescent="0.25">
      <c r="C367" s="618" t="s">
        <v>78</v>
      </c>
      <c r="D367" s="611">
        <v>1.6567330370836562</v>
      </c>
      <c r="E367" s="611">
        <v>0</v>
      </c>
      <c r="F367" s="611">
        <v>2.8599897491525303</v>
      </c>
      <c r="G367" s="611">
        <v>0</v>
      </c>
      <c r="H367" s="611">
        <v>23.2042782425182</v>
      </c>
      <c r="I367" s="611">
        <v>0.59498149339790252</v>
      </c>
      <c r="J367" s="611">
        <v>0</v>
      </c>
      <c r="K367" s="611">
        <v>0</v>
      </c>
      <c r="L367" s="611">
        <v>22.611451120736024</v>
      </c>
      <c r="M367" s="611">
        <v>5.7247037459588501</v>
      </c>
      <c r="N367" s="611">
        <v>2.4891014214733991</v>
      </c>
      <c r="O367" s="611">
        <v>35.740239810905898</v>
      </c>
      <c r="P367" s="611">
        <v>17.613589843749999</v>
      </c>
      <c r="Q367" s="611">
        <v>8.4299170840015686E-4</v>
      </c>
      <c r="R367" s="611">
        <v>187.94943106568476</v>
      </c>
      <c r="S367" s="611">
        <v>21.3497147946984</v>
      </c>
      <c r="T367" s="611">
        <v>13.7914765625</v>
      </c>
      <c r="U367" s="619">
        <v>335.58653387956804</v>
      </c>
      <c r="V367" s="51"/>
    </row>
    <row r="368" spans="3:22" x14ac:dyDescent="0.25">
      <c r="C368" s="618" t="s">
        <v>79</v>
      </c>
      <c r="D368" s="611">
        <v>0</v>
      </c>
      <c r="E368" s="611">
        <v>0</v>
      </c>
      <c r="F368" s="611">
        <v>7.0212023016086675</v>
      </c>
      <c r="G368" s="611">
        <v>2.7990026147409606</v>
      </c>
      <c r="H368" s="611">
        <v>3.0363171620819989</v>
      </c>
      <c r="I368" s="611">
        <v>7.7854286207230741E-2</v>
      </c>
      <c r="J368" s="611">
        <v>0</v>
      </c>
      <c r="K368" s="611">
        <v>0</v>
      </c>
      <c r="L368" s="611">
        <v>0</v>
      </c>
      <c r="M368" s="611">
        <v>0</v>
      </c>
      <c r="N368" s="611">
        <v>56.581202021290558</v>
      </c>
      <c r="O368" s="611">
        <v>4.6712571724338439</v>
      </c>
      <c r="P368" s="611">
        <v>0</v>
      </c>
      <c r="Q368" s="611">
        <v>0</v>
      </c>
      <c r="R368" s="611">
        <v>112.24073946586431</v>
      </c>
      <c r="S368" s="611">
        <v>0</v>
      </c>
      <c r="T368" s="611">
        <v>6.497399181335763</v>
      </c>
      <c r="U368" s="619">
        <v>192.92497420556333</v>
      </c>
      <c r="V368" s="51"/>
    </row>
    <row r="369" spans="3:22" x14ac:dyDescent="0.25">
      <c r="C369" s="618" t="s">
        <v>80</v>
      </c>
      <c r="D369" s="611">
        <v>0</v>
      </c>
      <c r="E369" s="611">
        <v>0</v>
      </c>
      <c r="F369" s="611">
        <v>0.52818257625892373</v>
      </c>
      <c r="G369" s="611">
        <v>0</v>
      </c>
      <c r="H369" s="611">
        <v>9.9272307301662774</v>
      </c>
      <c r="I369" s="611">
        <v>0.25454437769657123</v>
      </c>
      <c r="J369" s="611">
        <v>0</v>
      </c>
      <c r="K369" s="611">
        <v>0</v>
      </c>
      <c r="L369" s="611">
        <v>36.145280389625334</v>
      </c>
      <c r="M369" s="611">
        <v>0</v>
      </c>
      <c r="N369" s="611">
        <v>0</v>
      </c>
      <c r="O369" s="611">
        <v>15.272662661794273</v>
      </c>
      <c r="P369" s="611">
        <v>102.98149571768585</v>
      </c>
      <c r="Q369" s="611">
        <v>2.9888036499995505</v>
      </c>
      <c r="R369" s="611">
        <v>143.51715895688449</v>
      </c>
      <c r="S369" s="611">
        <v>22.181895321077057</v>
      </c>
      <c r="T369" s="611">
        <v>0</v>
      </c>
      <c r="U369" s="619">
        <v>333.79725438118828</v>
      </c>
      <c r="V369" s="51"/>
    </row>
    <row r="370" spans="3:22" x14ac:dyDescent="0.25">
      <c r="C370" s="618" t="s">
        <v>81</v>
      </c>
      <c r="D370" s="611">
        <v>0</v>
      </c>
      <c r="E370" s="611">
        <v>0</v>
      </c>
      <c r="F370" s="611">
        <v>0.4043921899752152</v>
      </c>
      <c r="G370" s="611">
        <v>0</v>
      </c>
      <c r="H370" s="611">
        <v>5.5758605918279338</v>
      </c>
      <c r="I370" s="611">
        <v>0.14297078440584446</v>
      </c>
      <c r="J370" s="611">
        <v>0</v>
      </c>
      <c r="K370" s="611">
        <v>0</v>
      </c>
      <c r="L370" s="611">
        <v>0.49596954229928064</v>
      </c>
      <c r="M370" s="611">
        <v>0</v>
      </c>
      <c r="N370" s="611">
        <v>0</v>
      </c>
      <c r="O370" s="611">
        <v>8.5782470643506681</v>
      </c>
      <c r="P370" s="611">
        <v>49.237012139994242</v>
      </c>
      <c r="Q370" s="611">
        <v>3.2685728275989634</v>
      </c>
      <c r="R370" s="611">
        <v>113.98538483583862</v>
      </c>
      <c r="S370" s="611">
        <v>18.581026129158101</v>
      </c>
      <c r="T370" s="611">
        <v>0</v>
      </c>
      <c r="U370" s="619">
        <v>200.26943610544885</v>
      </c>
      <c r="V370" s="51"/>
    </row>
    <row r="371" spans="3:22" x14ac:dyDescent="0.25">
      <c r="C371" s="618" t="s">
        <v>82</v>
      </c>
      <c r="D371" s="611">
        <v>0</v>
      </c>
      <c r="E371" s="611">
        <v>0</v>
      </c>
      <c r="F371" s="611">
        <v>3.6463721740036745</v>
      </c>
      <c r="G371" s="611">
        <v>0</v>
      </c>
      <c r="H371" s="611">
        <v>0.54193037779832631</v>
      </c>
      <c r="I371" s="611">
        <v>1.3895650712777598E-2</v>
      </c>
      <c r="J371" s="611">
        <v>0</v>
      </c>
      <c r="K371" s="611">
        <v>0</v>
      </c>
      <c r="L371" s="611">
        <v>3.5613676310951794</v>
      </c>
      <c r="M371" s="611">
        <v>0</v>
      </c>
      <c r="N371" s="611">
        <v>18.734510808369581</v>
      </c>
      <c r="O371" s="611">
        <v>0.83373904276665589</v>
      </c>
      <c r="P371" s="611">
        <v>1.25</v>
      </c>
      <c r="Q371" s="611">
        <v>1.7440136932478227</v>
      </c>
      <c r="R371" s="611">
        <v>6.9126660362912906</v>
      </c>
      <c r="S371" s="611">
        <v>0</v>
      </c>
      <c r="T371" s="611">
        <v>0.67126612024062504</v>
      </c>
      <c r="U371" s="619">
        <v>37.909761534525927</v>
      </c>
      <c r="V371" s="51"/>
    </row>
    <row r="372" spans="3:22" x14ac:dyDescent="0.25">
      <c r="C372" s="618" t="s">
        <v>354</v>
      </c>
      <c r="D372" s="611">
        <v>0</v>
      </c>
      <c r="E372" s="611">
        <v>0</v>
      </c>
      <c r="F372" s="611">
        <v>0</v>
      </c>
      <c r="G372" s="611">
        <v>0</v>
      </c>
      <c r="H372" s="611">
        <v>0</v>
      </c>
      <c r="I372" s="611">
        <v>0</v>
      </c>
      <c r="J372" s="611">
        <v>0</v>
      </c>
      <c r="K372" s="611">
        <v>0</v>
      </c>
      <c r="L372" s="611">
        <v>0</v>
      </c>
      <c r="M372" s="611">
        <v>0</v>
      </c>
      <c r="N372" s="611">
        <v>0</v>
      </c>
      <c r="O372" s="611">
        <v>0</v>
      </c>
      <c r="P372" s="611">
        <v>0</v>
      </c>
      <c r="Q372" s="611">
        <v>0</v>
      </c>
      <c r="R372" s="611">
        <v>5.7675999999999998</v>
      </c>
      <c r="S372" s="611">
        <v>0</v>
      </c>
      <c r="T372" s="611">
        <v>0</v>
      </c>
      <c r="U372" s="619">
        <v>5.7675999999999998</v>
      </c>
      <c r="V372" s="51"/>
    </row>
    <row r="373" spans="3:22" x14ac:dyDescent="0.25">
      <c r="C373" s="614" t="s">
        <v>83</v>
      </c>
      <c r="D373" s="615">
        <v>1.6567330370836562</v>
      </c>
      <c r="E373" s="615">
        <v>0</v>
      </c>
      <c r="F373" s="615">
        <v>14.460138990999013</v>
      </c>
      <c r="G373" s="615">
        <v>2.7990026147409606</v>
      </c>
      <c r="H373" s="615">
        <v>42.285617104392735</v>
      </c>
      <c r="I373" s="615">
        <v>1.0842465924203266</v>
      </c>
      <c r="J373" s="615">
        <v>0</v>
      </c>
      <c r="K373" s="615">
        <v>0</v>
      </c>
      <c r="L373" s="615">
        <v>62.814068683755821</v>
      </c>
      <c r="M373" s="615">
        <v>5.7247037459588501</v>
      </c>
      <c r="N373" s="615">
        <v>77.804814251133536</v>
      </c>
      <c r="O373" s="615">
        <v>65.096145752251331</v>
      </c>
      <c r="P373" s="615">
        <v>171.08209770143009</v>
      </c>
      <c r="Q373" s="615">
        <v>8.0022331625547363</v>
      </c>
      <c r="R373" s="615">
        <v>570.37298036056347</v>
      </c>
      <c r="S373" s="615">
        <v>62.112636244933555</v>
      </c>
      <c r="T373" s="615">
        <v>20.960141864076387</v>
      </c>
      <c r="U373" s="615">
        <v>1106.2555601062943</v>
      </c>
      <c r="V373" s="51"/>
    </row>
    <row r="374" spans="3:22" x14ac:dyDescent="0.25">
      <c r="C374" s="610" t="s">
        <v>84</v>
      </c>
      <c r="D374" s="611">
        <v>0</v>
      </c>
      <c r="E374" s="611">
        <v>0</v>
      </c>
      <c r="F374" s="611">
        <v>62.444092195240373</v>
      </c>
      <c r="G374" s="611">
        <v>2.5138754259873437</v>
      </c>
      <c r="H374" s="611">
        <v>6.0153513536527026</v>
      </c>
      <c r="I374" s="611">
        <v>0</v>
      </c>
      <c r="J374" s="611">
        <v>0</v>
      </c>
      <c r="K374" s="611">
        <v>0</v>
      </c>
      <c r="L374" s="611">
        <v>0.4729958666220917</v>
      </c>
      <c r="M374" s="611">
        <v>0</v>
      </c>
      <c r="N374" s="611">
        <v>38.295047275787958</v>
      </c>
      <c r="O374" s="611">
        <v>11.297042554251473</v>
      </c>
      <c r="P374" s="611">
        <v>0</v>
      </c>
      <c r="Q374" s="611">
        <v>0</v>
      </c>
      <c r="R374" s="611">
        <v>0</v>
      </c>
      <c r="S374" s="611">
        <v>0</v>
      </c>
      <c r="T374" s="611">
        <v>46.889191785304561</v>
      </c>
      <c r="U374" s="619">
        <v>167.92759645684652</v>
      </c>
      <c r="V374" s="51"/>
    </row>
    <row r="375" spans="3:22" x14ac:dyDescent="0.25">
      <c r="C375" s="614" t="s">
        <v>85</v>
      </c>
      <c r="D375" s="615">
        <v>1.6567330370836562</v>
      </c>
      <c r="E375" s="615">
        <v>0</v>
      </c>
      <c r="F375" s="615">
        <v>76.904231186239386</v>
      </c>
      <c r="G375" s="615">
        <v>5.3128780407283038</v>
      </c>
      <c r="H375" s="615">
        <v>48.300968458045439</v>
      </c>
      <c r="I375" s="615">
        <v>1.0842465924203266</v>
      </c>
      <c r="J375" s="615">
        <v>0</v>
      </c>
      <c r="K375" s="615">
        <v>0</v>
      </c>
      <c r="L375" s="615">
        <v>63.287064550377913</v>
      </c>
      <c r="M375" s="615">
        <v>5.7247037459588501</v>
      </c>
      <c r="N375" s="615">
        <v>116.0998615269215</v>
      </c>
      <c r="O375" s="615">
        <v>76.393188306502807</v>
      </c>
      <c r="P375" s="615">
        <v>171.08209770143009</v>
      </c>
      <c r="Q375" s="615">
        <v>8.0022331625547363</v>
      </c>
      <c r="R375" s="615">
        <v>570.37298036056347</v>
      </c>
      <c r="S375" s="615">
        <v>62.112636244933555</v>
      </c>
      <c r="T375" s="615">
        <v>67.849333649380952</v>
      </c>
      <c r="U375" s="615">
        <v>1274.1831565631408</v>
      </c>
      <c r="V375" s="51"/>
    </row>
    <row r="376" spans="3:22" x14ac:dyDescent="0.25">
      <c r="C376" s="51"/>
      <c r="D376" s="67">
        <v>0</v>
      </c>
      <c r="E376" s="67">
        <v>0</v>
      </c>
      <c r="F376" s="67">
        <v>0</v>
      </c>
      <c r="G376" s="67">
        <v>0</v>
      </c>
      <c r="H376" s="67">
        <v>0</v>
      </c>
      <c r="I376" s="67">
        <v>0</v>
      </c>
      <c r="J376" s="67">
        <v>0</v>
      </c>
      <c r="K376" s="67">
        <v>0</v>
      </c>
      <c r="L376" s="67">
        <v>0</v>
      </c>
      <c r="M376" s="67">
        <v>-3.4682726224488647E-4</v>
      </c>
      <c r="N376" s="67">
        <v>0</v>
      </c>
      <c r="O376" s="67">
        <v>1.3322676295501878E-14</v>
      </c>
      <c r="P376" s="67">
        <v>0</v>
      </c>
      <c r="Q376" s="67">
        <v>0</v>
      </c>
      <c r="R376" s="67">
        <v>0</v>
      </c>
      <c r="S376" s="67">
        <v>-1.4210854715202004E-14</v>
      </c>
      <c r="T376" s="67">
        <v>0</v>
      </c>
      <c r="U376" s="67">
        <v>-3.4682726254686713E-4</v>
      </c>
      <c r="V376" s="51"/>
    </row>
    <row r="377" spans="3:22" x14ac:dyDescent="0.25">
      <c r="C377" s="51"/>
      <c r="D377" s="51"/>
      <c r="E377" s="51"/>
      <c r="F377" s="51"/>
      <c r="G377" s="67"/>
      <c r="H377" s="51"/>
      <c r="I377" s="51"/>
      <c r="J377" s="51"/>
      <c r="K377" s="51"/>
      <c r="L377" s="51"/>
      <c r="M377" s="51"/>
      <c r="N377" s="51"/>
      <c r="O377" s="51"/>
      <c r="P377" s="51"/>
      <c r="Q377" s="51"/>
      <c r="R377" s="51"/>
      <c r="S377" s="51"/>
      <c r="T377" s="51"/>
      <c r="U377" s="51"/>
      <c r="V377" s="51"/>
    </row>
    <row r="378" spans="3:22" x14ac:dyDescent="0.25">
      <c r="C378" s="607" t="s">
        <v>89</v>
      </c>
      <c r="D378" s="606"/>
      <c r="E378" s="606"/>
      <c r="F378" s="606"/>
      <c r="G378" s="682"/>
      <c r="H378" s="606"/>
      <c r="I378" s="606"/>
      <c r="J378" s="606"/>
      <c r="K378" s="606"/>
      <c r="L378" s="606"/>
      <c r="M378" s="606"/>
      <c r="N378" s="606"/>
      <c r="O378" s="606"/>
      <c r="P378" s="606"/>
      <c r="Q378" s="606"/>
      <c r="R378" s="606"/>
      <c r="S378" s="606"/>
      <c r="T378" s="606"/>
      <c r="U378" s="606"/>
      <c r="V378" s="606"/>
    </row>
    <row r="379" spans="3:22" x14ac:dyDescent="0.25">
      <c r="C379" s="51"/>
      <c r="D379" s="51"/>
      <c r="E379" s="51"/>
      <c r="F379" s="51"/>
      <c r="G379" s="67"/>
      <c r="H379" s="51"/>
      <c r="I379" s="51"/>
      <c r="J379" s="51"/>
      <c r="K379" s="51"/>
      <c r="L379" s="51"/>
      <c r="M379" s="51"/>
      <c r="N379" s="51"/>
      <c r="O379" s="51"/>
      <c r="P379" s="51"/>
      <c r="Q379" s="51"/>
      <c r="R379" s="51"/>
      <c r="S379" s="51"/>
      <c r="T379" s="51"/>
      <c r="U379" s="51"/>
      <c r="V379" s="51"/>
    </row>
    <row r="380" spans="3:22" x14ac:dyDescent="0.25">
      <c r="C380" s="764" t="s">
        <v>128</v>
      </c>
      <c r="D380" s="753" t="s">
        <v>42</v>
      </c>
      <c r="E380" s="753" t="s">
        <v>52</v>
      </c>
      <c r="F380" s="753" t="s">
        <v>53</v>
      </c>
      <c r="G380" s="766" t="s">
        <v>482</v>
      </c>
      <c r="H380" s="753" t="s">
        <v>32</v>
      </c>
      <c r="I380" s="753" t="s">
        <v>483</v>
      </c>
      <c r="J380" s="753" t="s">
        <v>20</v>
      </c>
      <c r="K380" s="753" t="s">
        <v>55</v>
      </c>
      <c r="L380" s="761" t="s">
        <v>56</v>
      </c>
      <c r="M380" s="762"/>
      <c r="N380" s="762"/>
      <c r="O380" s="762"/>
      <c r="P380" s="762"/>
      <c r="Q380" s="763"/>
      <c r="R380" s="753" t="s">
        <v>57</v>
      </c>
      <c r="S380" s="753" t="s">
        <v>58</v>
      </c>
      <c r="T380" s="753" t="s">
        <v>31</v>
      </c>
      <c r="U380" s="753" t="s">
        <v>10</v>
      </c>
      <c r="V380" s="51"/>
    </row>
    <row r="381" spans="3:22" ht="36" x14ac:dyDescent="0.25">
      <c r="C381" s="765"/>
      <c r="D381" s="754"/>
      <c r="E381" s="754"/>
      <c r="F381" s="754"/>
      <c r="G381" s="767"/>
      <c r="H381" s="754"/>
      <c r="I381" s="754"/>
      <c r="J381" s="754"/>
      <c r="K381" s="754"/>
      <c r="L381" s="608" t="s">
        <v>335</v>
      </c>
      <c r="M381" s="608" t="s">
        <v>40</v>
      </c>
      <c r="N381" s="608" t="s">
        <v>343</v>
      </c>
      <c r="O381" s="608" t="s">
        <v>344</v>
      </c>
      <c r="P381" s="609" t="s">
        <v>345</v>
      </c>
      <c r="Q381" s="608" t="s">
        <v>346</v>
      </c>
      <c r="R381" s="754"/>
      <c r="S381" s="754"/>
      <c r="T381" s="754"/>
      <c r="U381" s="754"/>
      <c r="V381" s="51"/>
    </row>
    <row r="382" spans="3:22" x14ac:dyDescent="0.25">
      <c r="C382" s="610" t="s">
        <v>59</v>
      </c>
      <c r="D382" s="611">
        <v>0</v>
      </c>
      <c r="E382" s="611">
        <v>0</v>
      </c>
      <c r="F382" s="611">
        <v>0</v>
      </c>
      <c r="G382" s="611">
        <v>0</v>
      </c>
      <c r="H382" s="611">
        <v>0</v>
      </c>
      <c r="I382" s="611">
        <v>0</v>
      </c>
      <c r="J382" s="612">
        <v>759.92203636363649</v>
      </c>
      <c r="K382" s="612">
        <v>585.27007132862354</v>
      </c>
      <c r="L382" s="612">
        <v>421.01958402132601</v>
      </c>
      <c r="M382" s="612">
        <v>20.686642208021134</v>
      </c>
      <c r="N382" s="611">
        <v>1.5563580670349855</v>
      </c>
      <c r="O382" s="611">
        <v>0.17110271620039663</v>
      </c>
      <c r="P382" s="612">
        <v>181.20215447851419</v>
      </c>
      <c r="Q382" s="612">
        <v>27.103716579638188</v>
      </c>
      <c r="R382" s="611">
        <v>0</v>
      </c>
      <c r="S382" s="611">
        <v>0</v>
      </c>
      <c r="T382" s="611">
        <v>0</v>
      </c>
      <c r="U382" s="613">
        <v>1996.9316657629947</v>
      </c>
      <c r="V382" s="51"/>
    </row>
    <row r="383" spans="3:22" x14ac:dyDescent="0.25">
      <c r="C383" s="610" t="s">
        <v>60</v>
      </c>
      <c r="D383" s="611">
        <v>0.64129319091675452</v>
      </c>
      <c r="E383" s="611">
        <v>72.7588411322387</v>
      </c>
      <c r="F383" s="611">
        <v>1.9517818504706483</v>
      </c>
      <c r="G383" s="611">
        <v>0</v>
      </c>
      <c r="H383" s="611">
        <v>3.2223770587889593</v>
      </c>
      <c r="I383" s="611">
        <v>0</v>
      </c>
      <c r="J383" s="611">
        <v>0</v>
      </c>
      <c r="K383" s="611">
        <v>0</v>
      </c>
      <c r="L383" s="611">
        <v>5.2309321400654634</v>
      </c>
      <c r="M383" s="611">
        <v>0</v>
      </c>
      <c r="N383" s="611">
        <v>6.8353402019644598</v>
      </c>
      <c r="O383" s="611">
        <v>0</v>
      </c>
      <c r="P383" s="611">
        <v>0</v>
      </c>
      <c r="Q383" s="611">
        <v>0</v>
      </c>
      <c r="R383" s="611">
        <v>86.758204068598843</v>
      </c>
      <c r="S383" s="611">
        <v>0</v>
      </c>
      <c r="T383" s="611">
        <v>0</v>
      </c>
      <c r="U383" s="613">
        <v>177.39876964304383</v>
      </c>
      <c r="V383" s="51"/>
    </row>
    <row r="384" spans="3:22" x14ac:dyDescent="0.25">
      <c r="C384" s="610" t="s">
        <v>61</v>
      </c>
      <c r="D384" s="611">
        <v>0</v>
      </c>
      <c r="E384" s="611">
        <v>0</v>
      </c>
      <c r="F384" s="611">
        <v>-14.049213431109226</v>
      </c>
      <c r="G384" s="611">
        <v>-15.061852283906475</v>
      </c>
      <c r="H384" s="611">
        <v>0</v>
      </c>
      <c r="I384" s="611">
        <v>0</v>
      </c>
      <c r="J384" s="611">
        <v>0</v>
      </c>
      <c r="K384" s="611">
        <v>0</v>
      </c>
      <c r="L384" s="611">
        <v>0</v>
      </c>
      <c r="M384" s="611">
        <v>0</v>
      </c>
      <c r="N384" s="611">
        <v>0</v>
      </c>
      <c r="O384" s="611">
        <v>0</v>
      </c>
      <c r="P384" s="611">
        <v>0</v>
      </c>
      <c r="Q384" s="611">
        <v>0</v>
      </c>
      <c r="R384" s="611">
        <v>0</v>
      </c>
      <c r="S384" s="611">
        <v>0</v>
      </c>
      <c r="T384" s="611">
        <v>0</v>
      </c>
      <c r="U384" s="613">
        <v>-29.111065715015702</v>
      </c>
      <c r="V384" s="51"/>
    </row>
    <row r="385" spans="3:22" x14ac:dyDescent="0.25">
      <c r="C385" s="610" t="s">
        <v>62</v>
      </c>
      <c r="D385" s="611">
        <v>0</v>
      </c>
      <c r="E385" s="611">
        <v>0</v>
      </c>
      <c r="F385" s="611">
        <v>0</v>
      </c>
      <c r="G385" s="611">
        <v>-6.1101617494546652</v>
      </c>
      <c r="H385" s="611">
        <v>0</v>
      </c>
      <c r="I385" s="611">
        <v>-4.4416564350684116</v>
      </c>
      <c r="J385" s="611">
        <v>0</v>
      </c>
      <c r="K385" s="611">
        <v>0</v>
      </c>
      <c r="L385" s="611">
        <v>0</v>
      </c>
      <c r="M385" s="611">
        <v>0</v>
      </c>
      <c r="N385" s="611">
        <v>-1.5423967884416028</v>
      </c>
      <c r="O385" s="611">
        <v>-2.9611042900456073</v>
      </c>
      <c r="P385" s="611">
        <v>0</v>
      </c>
      <c r="Q385" s="611">
        <v>0</v>
      </c>
      <c r="R385" s="611">
        <v>0</v>
      </c>
      <c r="S385" s="611">
        <v>0</v>
      </c>
      <c r="T385" s="611">
        <v>-2.4482488705422272</v>
      </c>
      <c r="U385" s="613">
        <v>-17.503568133552513</v>
      </c>
      <c r="V385" s="51"/>
    </row>
    <row r="386" spans="3:22" x14ac:dyDescent="0.25">
      <c r="C386" s="610" t="s">
        <v>63</v>
      </c>
      <c r="D386" s="611">
        <v>0</v>
      </c>
      <c r="E386" s="611">
        <v>0</v>
      </c>
      <c r="F386" s="611">
        <v>-7.3240777097484635</v>
      </c>
      <c r="G386" s="611">
        <v>-24.912603262820603</v>
      </c>
      <c r="H386" s="611">
        <v>0</v>
      </c>
      <c r="I386" s="611">
        <v>0</v>
      </c>
      <c r="J386" s="611">
        <v>0</v>
      </c>
      <c r="K386" s="611">
        <v>0</v>
      </c>
      <c r="L386" s="611">
        <v>0</v>
      </c>
      <c r="M386" s="611">
        <v>0</v>
      </c>
      <c r="N386" s="611">
        <v>-17.438822283974417</v>
      </c>
      <c r="O386" s="611">
        <v>0</v>
      </c>
      <c r="P386" s="611">
        <v>0</v>
      </c>
      <c r="Q386" s="611">
        <v>0</v>
      </c>
      <c r="R386" s="611">
        <v>0</v>
      </c>
      <c r="S386" s="611">
        <v>0</v>
      </c>
      <c r="T386" s="611">
        <v>-7.5807767073973409</v>
      </c>
      <c r="U386" s="613">
        <v>-57.256279963940827</v>
      </c>
      <c r="V386" s="51"/>
    </row>
    <row r="387" spans="3:22" x14ac:dyDescent="0.25">
      <c r="C387" s="610" t="s">
        <v>64</v>
      </c>
      <c r="D387" s="611">
        <v>0</v>
      </c>
      <c r="E387" s="611">
        <v>0</v>
      </c>
      <c r="F387" s="611">
        <v>0</v>
      </c>
      <c r="G387" s="611">
        <v>0</v>
      </c>
      <c r="H387" s="611">
        <v>0</v>
      </c>
      <c r="I387" s="611">
        <v>0</v>
      </c>
      <c r="J387" s="611">
        <v>0</v>
      </c>
      <c r="K387" s="611">
        <v>0</v>
      </c>
      <c r="L387" s="611">
        <v>0</v>
      </c>
      <c r="M387" s="611">
        <v>0</v>
      </c>
      <c r="N387" s="611">
        <v>0</v>
      </c>
      <c r="O387" s="611">
        <v>0</v>
      </c>
      <c r="P387" s="611">
        <v>0</v>
      </c>
      <c r="Q387" s="611">
        <v>0</v>
      </c>
      <c r="R387" s="611">
        <v>0</v>
      </c>
      <c r="S387" s="611">
        <v>0</v>
      </c>
      <c r="T387" s="611">
        <v>0</v>
      </c>
      <c r="U387" s="613">
        <v>0</v>
      </c>
      <c r="V387" s="51"/>
    </row>
    <row r="388" spans="3:22" x14ac:dyDescent="0.25">
      <c r="C388" s="614" t="s">
        <v>65</v>
      </c>
      <c r="D388" s="615">
        <v>0.64129319091675452</v>
      </c>
      <c r="E388" s="615">
        <v>72.7588411322387</v>
      </c>
      <c r="F388" s="615">
        <v>-19.421509290387043</v>
      </c>
      <c r="G388" s="615">
        <v>-46.084617296181747</v>
      </c>
      <c r="H388" s="615">
        <v>3.2223770587889593</v>
      </c>
      <c r="I388" s="615">
        <v>-4.4416564350684116</v>
      </c>
      <c r="J388" s="615">
        <v>759.92203636363649</v>
      </c>
      <c r="K388" s="615">
        <v>585.27007132862354</v>
      </c>
      <c r="L388" s="615">
        <v>426.25051616139149</v>
      </c>
      <c r="M388" s="615">
        <v>20.686642208021134</v>
      </c>
      <c r="N388" s="615">
        <v>-10.589520803416576</v>
      </c>
      <c r="O388" s="615">
        <v>-2.7900015738452106</v>
      </c>
      <c r="P388" s="615">
        <v>181.20215447851419</v>
      </c>
      <c r="Q388" s="615">
        <v>27.103716579638188</v>
      </c>
      <c r="R388" s="615">
        <v>86.758204068598843</v>
      </c>
      <c r="S388" s="615">
        <v>0</v>
      </c>
      <c r="T388" s="615">
        <v>-10.029025577939567</v>
      </c>
      <c r="U388" s="615">
        <v>2070.4595215935296</v>
      </c>
      <c r="V388" s="51"/>
    </row>
    <row r="389" spans="3:22" x14ac:dyDescent="0.25">
      <c r="C389" s="616"/>
      <c r="D389" s="617"/>
      <c r="E389" s="617"/>
      <c r="F389" s="617"/>
      <c r="G389" s="617"/>
      <c r="H389" s="623"/>
      <c r="I389" s="617"/>
      <c r="J389" s="617"/>
      <c r="K389" s="617"/>
      <c r="L389" s="617"/>
      <c r="M389" s="617"/>
      <c r="N389" s="617"/>
      <c r="O389" s="617"/>
      <c r="P389" s="617"/>
      <c r="Q389" s="617"/>
      <c r="R389" s="617"/>
      <c r="S389" s="617"/>
      <c r="T389" s="617"/>
      <c r="U389" s="617"/>
      <c r="V389" s="51"/>
    </row>
    <row r="390" spans="3:22" x14ac:dyDescent="0.25">
      <c r="C390" s="618" t="s">
        <v>67</v>
      </c>
      <c r="D390" s="611">
        <v>0</v>
      </c>
      <c r="E390" s="611">
        <v>0</v>
      </c>
      <c r="F390" s="611">
        <v>0</v>
      </c>
      <c r="G390" s="611">
        <v>0</v>
      </c>
      <c r="H390" s="611">
        <v>0</v>
      </c>
      <c r="I390" s="611">
        <v>0</v>
      </c>
      <c r="J390" s="611">
        <v>0</v>
      </c>
      <c r="K390" s="611">
        <v>0</v>
      </c>
      <c r="L390" s="611">
        <v>0</v>
      </c>
      <c r="M390" s="611">
        <v>0</v>
      </c>
      <c r="N390" s="611">
        <v>0</v>
      </c>
      <c r="O390" s="611">
        <v>0</v>
      </c>
      <c r="P390" s="611">
        <v>0</v>
      </c>
      <c r="Q390" s="611">
        <v>0</v>
      </c>
      <c r="R390" s="611">
        <v>0</v>
      </c>
      <c r="S390" s="611">
        <v>0</v>
      </c>
      <c r="T390" s="611">
        <v>0</v>
      </c>
      <c r="U390" s="619">
        <v>0</v>
      </c>
      <c r="V390" s="51"/>
    </row>
    <row r="391" spans="3:22" x14ac:dyDescent="0.25">
      <c r="C391" s="618" t="s">
        <v>347</v>
      </c>
      <c r="D391" s="611">
        <v>0</v>
      </c>
      <c r="E391" s="611">
        <v>0</v>
      </c>
      <c r="F391" s="611">
        <v>0</v>
      </c>
      <c r="G391" s="611">
        <v>0</v>
      </c>
      <c r="H391" s="611">
        <v>0</v>
      </c>
      <c r="I391" s="611">
        <v>0</v>
      </c>
      <c r="J391" s="611">
        <v>759.92203636363649</v>
      </c>
      <c r="K391" s="611">
        <v>585.27007132862354</v>
      </c>
      <c r="L391" s="611">
        <v>21.935641645543306</v>
      </c>
      <c r="M391" s="611">
        <v>0.61628865372008657</v>
      </c>
      <c r="N391" s="611">
        <v>6.5561937148871507</v>
      </c>
      <c r="O391" s="611">
        <v>1.5747281082088551</v>
      </c>
      <c r="P391" s="611">
        <v>0</v>
      </c>
      <c r="Q391" s="611">
        <v>6.7631767445353068</v>
      </c>
      <c r="R391" s="611">
        <v>-895.33632983844416</v>
      </c>
      <c r="S391" s="611">
        <v>0</v>
      </c>
      <c r="T391" s="611">
        <v>6.4421899999999992</v>
      </c>
      <c r="U391" s="619">
        <v>493.74399672071024</v>
      </c>
      <c r="V391" s="51"/>
    </row>
    <row r="392" spans="3:22" x14ac:dyDescent="0.25">
      <c r="C392" s="618" t="s">
        <v>348</v>
      </c>
      <c r="D392" s="611">
        <v>0</v>
      </c>
      <c r="E392" s="611">
        <v>0</v>
      </c>
      <c r="F392" s="611">
        <v>0</v>
      </c>
      <c r="G392" s="611">
        <v>0</v>
      </c>
      <c r="H392" s="611">
        <v>0</v>
      </c>
      <c r="I392" s="611">
        <v>0</v>
      </c>
      <c r="J392" s="611">
        <v>0</v>
      </c>
      <c r="K392" s="611">
        <v>0</v>
      </c>
      <c r="L392" s="611">
        <v>34.859137423321251</v>
      </c>
      <c r="M392" s="611">
        <v>14.707872710950403</v>
      </c>
      <c r="N392" s="611">
        <v>0</v>
      </c>
      <c r="O392" s="611">
        <v>8.3969630288089814</v>
      </c>
      <c r="P392" s="611">
        <v>0</v>
      </c>
      <c r="Q392" s="611">
        <v>11.678038971322861</v>
      </c>
      <c r="R392" s="611">
        <v>0</v>
      </c>
      <c r="S392" s="611">
        <v>-66.565624993763251</v>
      </c>
      <c r="T392" s="611">
        <v>0</v>
      </c>
      <c r="U392" s="619">
        <v>3.0763871406402501</v>
      </c>
      <c r="V392" s="51"/>
    </row>
    <row r="393" spans="3:22" x14ac:dyDescent="0.25">
      <c r="C393" s="618" t="s">
        <v>349</v>
      </c>
      <c r="D393" s="611">
        <v>0</v>
      </c>
      <c r="E393" s="611">
        <v>0</v>
      </c>
      <c r="F393" s="611">
        <v>0</v>
      </c>
      <c r="G393" s="611">
        <v>0</v>
      </c>
      <c r="H393" s="611">
        <v>0</v>
      </c>
      <c r="I393" s="611">
        <v>0</v>
      </c>
      <c r="J393" s="611">
        <v>0</v>
      </c>
      <c r="K393" s="611">
        <v>0</v>
      </c>
      <c r="L393" s="611">
        <v>116.09247876238595</v>
      </c>
      <c r="M393" s="611">
        <v>0</v>
      </c>
      <c r="N393" s="611">
        <v>0</v>
      </c>
      <c r="O393" s="611">
        <v>-107.1437165457632</v>
      </c>
      <c r="P393" s="611">
        <v>0</v>
      </c>
      <c r="Q393" s="611">
        <v>0</v>
      </c>
      <c r="R393" s="611">
        <v>0</v>
      </c>
      <c r="S393" s="611">
        <v>0</v>
      </c>
      <c r="T393" s="611">
        <v>0</v>
      </c>
      <c r="U393" s="619">
        <v>8.9487622166227538</v>
      </c>
      <c r="V393" s="51"/>
    </row>
    <row r="394" spans="3:22" x14ac:dyDescent="0.25">
      <c r="C394" s="618" t="s">
        <v>350</v>
      </c>
      <c r="D394" s="611">
        <v>0</v>
      </c>
      <c r="E394" s="611">
        <v>0</v>
      </c>
      <c r="F394" s="611">
        <v>0</v>
      </c>
      <c r="G394" s="611">
        <v>0</v>
      </c>
      <c r="H394" s="611">
        <v>0</v>
      </c>
      <c r="I394" s="611">
        <v>-8.6805438008370892</v>
      </c>
      <c r="J394" s="611">
        <v>0</v>
      </c>
      <c r="K394" s="611">
        <v>0</v>
      </c>
      <c r="L394" s="611">
        <v>0</v>
      </c>
      <c r="M394" s="611">
        <v>0</v>
      </c>
      <c r="N394" s="611">
        <v>0</v>
      </c>
      <c r="O394" s="611">
        <v>0</v>
      </c>
      <c r="P394" s="611">
        <v>0</v>
      </c>
      <c r="Q394" s="611">
        <v>0</v>
      </c>
      <c r="R394" s="611">
        <v>0</v>
      </c>
      <c r="S394" s="611">
        <v>0</v>
      </c>
      <c r="T394" s="611">
        <v>12.086503242074816</v>
      </c>
      <c r="U394" s="619">
        <v>3.4059594412377265</v>
      </c>
      <c r="V394" s="51"/>
    </row>
    <row r="395" spans="3:22" x14ac:dyDescent="0.25">
      <c r="C395" s="618" t="s">
        <v>72</v>
      </c>
      <c r="D395" s="611">
        <v>0</v>
      </c>
      <c r="E395" s="611">
        <v>75.393588190645644</v>
      </c>
      <c r="F395" s="611">
        <v>-74.641887149518311</v>
      </c>
      <c r="G395" s="611">
        <v>0</v>
      </c>
      <c r="H395" s="611">
        <v>0</v>
      </c>
      <c r="I395" s="611">
        <v>0</v>
      </c>
      <c r="J395" s="611">
        <v>0</v>
      </c>
      <c r="K395" s="611">
        <v>0</v>
      </c>
      <c r="L395" s="611">
        <v>0</v>
      </c>
      <c r="M395" s="611">
        <v>0</v>
      </c>
      <c r="N395" s="611">
        <v>0</v>
      </c>
      <c r="O395" s="611">
        <v>0</v>
      </c>
      <c r="P395" s="611">
        <v>0</v>
      </c>
      <c r="Q395" s="611">
        <v>0</v>
      </c>
      <c r="R395" s="611">
        <v>0</v>
      </c>
      <c r="S395" s="611">
        <v>0</v>
      </c>
      <c r="T395" s="611">
        <v>0</v>
      </c>
      <c r="U395" s="619">
        <v>0.75170104112733327</v>
      </c>
      <c r="V395" s="51"/>
    </row>
    <row r="396" spans="3:22" x14ac:dyDescent="0.25">
      <c r="C396" s="618" t="s">
        <v>351</v>
      </c>
      <c r="D396" s="611">
        <v>0</v>
      </c>
      <c r="E396" s="611">
        <v>0</v>
      </c>
      <c r="F396" s="611">
        <v>0</v>
      </c>
      <c r="G396" s="611">
        <v>0</v>
      </c>
      <c r="H396" s="611">
        <v>0</v>
      </c>
      <c r="I396" s="611">
        <v>0</v>
      </c>
      <c r="J396" s="611">
        <v>0</v>
      </c>
      <c r="K396" s="611">
        <v>0</v>
      </c>
      <c r="L396" s="611">
        <v>194.54575293909065</v>
      </c>
      <c r="M396" s="611">
        <v>0</v>
      </c>
      <c r="N396" s="611">
        <v>-107.00016411649986</v>
      </c>
      <c r="O396" s="611">
        <v>0</v>
      </c>
      <c r="P396" s="611">
        <v>0</v>
      </c>
      <c r="Q396" s="611">
        <v>0</v>
      </c>
      <c r="R396" s="611">
        <v>0</v>
      </c>
      <c r="S396" s="611">
        <v>0</v>
      </c>
      <c r="T396" s="611">
        <v>0</v>
      </c>
      <c r="U396" s="619">
        <v>87.545588822590787</v>
      </c>
      <c r="V396" s="51"/>
    </row>
    <row r="397" spans="3:22" x14ac:dyDescent="0.25">
      <c r="C397" s="618" t="s">
        <v>352</v>
      </c>
      <c r="D397" s="611">
        <v>0</v>
      </c>
      <c r="E397" s="611">
        <v>0</v>
      </c>
      <c r="F397" s="611">
        <v>0</v>
      </c>
      <c r="G397" s="611">
        <v>-53.670926604582093</v>
      </c>
      <c r="H397" s="611">
        <v>0</v>
      </c>
      <c r="I397" s="611">
        <v>0</v>
      </c>
      <c r="J397" s="611">
        <v>0</v>
      </c>
      <c r="K397" s="611">
        <v>0</v>
      </c>
      <c r="L397" s="611">
        <v>0</v>
      </c>
      <c r="M397" s="611">
        <v>0</v>
      </c>
      <c r="N397" s="611">
        <v>0</v>
      </c>
      <c r="O397" s="611">
        <v>0</v>
      </c>
      <c r="P397" s="611">
        <v>0</v>
      </c>
      <c r="Q397" s="611">
        <v>0</v>
      </c>
      <c r="R397" s="611">
        <v>0</v>
      </c>
      <c r="S397" s="611">
        <v>0</v>
      </c>
      <c r="T397" s="611">
        <v>69.588751075413697</v>
      </c>
      <c r="U397" s="619">
        <v>15.917824470831604</v>
      </c>
      <c r="V397" s="51"/>
    </row>
    <row r="398" spans="3:22" x14ac:dyDescent="0.25">
      <c r="C398" s="618" t="s">
        <v>73</v>
      </c>
      <c r="D398" s="611">
        <v>0</v>
      </c>
      <c r="E398" s="611">
        <v>0</v>
      </c>
      <c r="F398" s="611">
        <v>0</v>
      </c>
      <c r="G398" s="611">
        <v>0</v>
      </c>
      <c r="H398" s="611">
        <v>0</v>
      </c>
      <c r="I398" s="611">
        <v>0</v>
      </c>
      <c r="J398" s="611">
        <v>0</v>
      </c>
      <c r="K398" s="611">
        <v>0</v>
      </c>
      <c r="L398" s="611">
        <v>0</v>
      </c>
      <c r="M398" s="611">
        <v>0</v>
      </c>
      <c r="N398" s="611">
        <v>0</v>
      </c>
      <c r="O398" s="611">
        <v>0</v>
      </c>
      <c r="P398" s="611">
        <v>0</v>
      </c>
      <c r="Q398" s="611">
        <v>0</v>
      </c>
      <c r="R398" s="611">
        <v>258.03000874169254</v>
      </c>
      <c r="S398" s="611">
        <v>0</v>
      </c>
      <c r="T398" s="611">
        <v>-185.78160629401862</v>
      </c>
      <c r="U398" s="619">
        <v>72.248402447673925</v>
      </c>
      <c r="V398" s="51"/>
    </row>
    <row r="399" spans="3:22" x14ac:dyDescent="0.25">
      <c r="C399" s="618" t="s">
        <v>353</v>
      </c>
      <c r="D399" s="611">
        <v>0</v>
      </c>
      <c r="E399" s="611">
        <v>-2.634747058406945</v>
      </c>
      <c r="F399" s="611">
        <v>3.435008562710407</v>
      </c>
      <c r="G399" s="611">
        <v>0</v>
      </c>
      <c r="H399" s="611">
        <v>0</v>
      </c>
      <c r="I399" s="611">
        <v>0</v>
      </c>
      <c r="J399" s="611">
        <v>0</v>
      </c>
      <c r="K399" s="611">
        <v>0</v>
      </c>
      <c r="L399" s="611">
        <v>0</v>
      </c>
      <c r="M399" s="611">
        <v>0</v>
      </c>
      <c r="N399" s="611">
        <v>0</v>
      </c>
      <c r="O399" s="611">
        <v>0</v>
      </c>
      <c r="P399" s="611">
        <v>0</v>
      </c>
      <c r="Q399" s="611">
        <v>0</v>
      </c>
      <c r="R399" s="611">
        <v>0</v>
      </c>
      <c r="S399" s="611">
        <v>0</v>
      </c>
      <c r="T399" s="611">
        <v>0</v>
      </c>
      <c r="U399" s="619">
        <v>0.80026150430346199</v>
      </c>
      <c r="V399" s="51"/>
    </row>
    <row r="400" spans="3:22" x14ac:dyDescent="0.25">
      <c r="C400" s="618" t="s">
        <v>75</v>
      </c>
      <c r="D400" s="611">
        <v>0</v>
      </c>
      <c r="E400" s="611">
        <v>0</v>
      </c>
      <c r="F400" s="611">
        <v>2.5839893825265019</v>
      </c>
      <c r="G400" s="611">
        <v>0</v>
      </c>
      <c r="H400" s="611">
        <v>0</v>
      </c>
      <c r="I400" s="611">
        <v>0.23833359000000001</v>
      </c>
      <c r="J400" s="611">
        <v>0</v>
      </c>
      <c r="K400" s="611">
        <v>0</v>
      </c>
      <c r="L400" s="611">
        <v>0</v>
      </c>
      <c r="M400" s="611">
        <v>0</v>
      </c>
      <c r="N400" s="611">
        <v>0</v>
      </c>
      <c r="O400" s="611">
        <v>4.5283382100000003</v>
      </c>
      <c r="P400" s="611">
        <v>0</v>
      </c>
      <c r="Q400" s="611">
        <v>0</v>
      </c>
      <c r="R400" s="611">
        <v>65.365492404188032</v>
      </c>
      <c r="S400" s="611">
        <v>0</v>
      </c>
      <c r="T400" s="611">
        <v>0</v>
      </c>
      <c r="U400" s="619">
        <v>72.71615358671454</v>
      </c>
      <c r="V400" s="51"/>
    </row>
    <row r="401" spans="3:22" x14ac:dyDescent="0.25">
      <c r="C401" s="618" t="s">
        <v>76</v>
      </c>
      <c r="D401" s="611">
        <v>0</v>
      </c>
      <c r="E401" s="611">
        <v>0</v>
      </c>
      <c r="F401" s="611">
        <v>0</v>
      </c>
      <c r="G401" s="611">
        <v>0</v>
      </c>
      <c r="H401" s="611">
        <v>0</v>
      </c>
      <c r="I401" s="611">
        <v>5.609909084131174E-2</v>
      </c>
      <c r="J401" s="611">
        <v>0</v>
      </c>
      <c r="K401" s="611">
        <v>0</v>
      </c>
      <c r="L401" s="611">
        <v>0</v>
      </c>
      <c r="M401" s="611">
        <v>0</v>
      </c>
      <c r="N401" s="611">
        <v>0</v>
      </c>
      <c r="O401" s="611">
        <v>1.0658827259849231</v>
      </c>
      <c r="P401" s="611">
        <v>0</v>
      </c>
      <c r="Q401" s="611">
        <v>0</v>
      </c>
      <c r="R401" s="611">
        <v>75.163138458273835</v>
      </c>
      <c r="S401" s="611">
        <v>5.1631708880095033</v>
      </c>
      <c r="T401" s="611">
        <v>0</v>
      </c>
      <c r="U401" s="619">
        <v>81.448291163109573</v>
      </c>
      <c r="V401" s="51"/>
    </row>
    <row r="402" spans="3:22" x14ac:dyDescent="0.25">
      <c r="C402" s="614" t="s">
        <v>77</v>
      </c>
      <c r="D402" s="615">
        <v>0</v>
      </c>
      <c r="E402" s="615">
        <v>72.7588411322387</v>
      </c>
      <c r="F402" s="615">
        <v>-68.622889204281407</v>
      </c>
      <c r="G402" s="615">
        <v>-53.670926604582093</v>
      </c>
      <c r="H402" s="615">
        <v>0</v>
      </c>
      <c r="I402" s="615">
        <v>-8.3861111199957783</v>
      </c>
      <c r="J402" s="615">
        <v>759.92203636363649</v>
      </c>
      <c r="K402" s="615">
        <v>585.27007132862354</v>
      </c>
      <c r="L402" s="615">
        <v>367.43301077034118</v>
      </c>
      <c r="M402" s="615">
        <v>15.32416136467049</v>
      </c>
      <c r="N402" s="615">
        <v>-100.44397040161272</v>
      </c>
      <c r="O402" s="615">
        <v>-91.577804472760434</v>
      </c>
      <c r="P402" s="615">
        <v>0</v>
      </c>
      <c r="Q402" s="615">
        <v>18.441215715858167</v>
      </c>
      <c r="R402" s="615">
        <v>-496.77769023428982</v>
      </c>
      <c r="S402" s="615">
        <v>-61.402454105753748</v>
      </c>
      <c r="T402" s="615">
        <v>-97.664161976530096</v>
      </c>
      <c r="U402" s="615">
        <v>840.60332855556226</v>
      </c>
      <c r="V402" s="51"/>
    </row>
    <row r="403" spans="3:22" x14ac:dyDescent="0.25">
      <c r="C403" s="616"/>
      <c r="D403" s="617"/>
      <c r="E403" s="617"/>
      <c r="F403" s="617"/>
      <c r="G403" s="617"/>
      <c r="H403" s="623"/>
      <c r="I403" s="617"/>
      <c r="J403" s="617"/>
      <c r="K403" s="617"/>
      <c r="L403" s="617"/>
      <c r="M403" s="617"/>
      <c r="N403" s="617"/>
      <c r="O403" s="617"/>
      <c r="P403" s="617"/>
      <c r="Q403" s="617"/>
      <c r="R403" s="617"/>
      <c r="S403" s="617"/>
      <c r="T403" s="617"/>
      <c r="U403" s="617"/>
      <c r="V403" s="51"/>
    </row>
    <row r="404" spans="3:22" x14ac:dyDescent="0.25">
      <c r="C404" s="618" t="s">
        <v>78</v>
      </c>
      <c r="D404" s="611">
        <v>0.64129319091675452</v>
      </c>
      <c r="E404" s="611">
        <v>0</v>
      </c>
      <c r="F404" s="611">
        <v>1.525731430410463</v>
      </c>
      <c r="G404" s="611">
        <v>0</v>
      </c>
      <c r="H404" s="611">
        <v>0</v>
      </c>
      <c r="I404" s="611">
        <v>2.2603973079733568</v>
      </c>
      <c r="J404" s="611">
        <v>0</v>
      </c>
      <c r="K404" s="611">
        <v>0</v>
      </c>
      <c r="L404" s="611">
        <v>23.360019261656848</v>
      </c>
      <c r="M404" s="611">
        <v>5.362188402201145</v>
      </c>
      <c r="N404" s="611">
        <v>1.3034813300305972</v>
      </c>
      <c r="O404" s="611">
        <v>42.989679667648574</v>
      </c>
      <c r="P404" s="611">
        <v>22.01365625</v>
      </c>
      <c r="Q404" s="611">
        <v>8.5890570413253253E-4</v>
      </c>
      <c r="R404" s="611">
        <v>202.024278119439</v>
      </c>
      <c r="S404" s="611">
        <v>22.25756234266839</v>
      </c>
      <c r="T404" s="611">
        <v>16.001347656250001</v>
      </c>
      <c r="U404" s="619">
        <v>339.74049386489929</v>
      </c>
      <c r="V404" s="51"/>
    </row>
    <row r="405" spans="3:22" x14ac:dyDescent="0.25">
      <c r="C405" s="618" t="s">
        <v>79</v>
      </c>
      <c r="D405" s="611">
        <v>0</v>
      </c>
      <c r="E405" s="611">
        <v>0</v>
      </c>
      <c r="F405" s="611">
        <v>2.548518600222561</v>
      </c>
      <c r="G405" s="611">
        <v>4.6064063696995508</v>
      </c>
      <c r="H405" s="611">
        <v>0</v>
      </c>
      <c r="I405" s="611">
        <v>0.39196782379108752</v>
      </c>
      <c r="J405" s="611">
        <v>0</v>
      </c>
      <c r="K405" s="611">
        <v>0</v>
      </c>
      <c r="L405" s="611">
        <v>0</v>
      </c>
      <c r="M405" s="611">
        <v>0</v>
      </c>
      <c r="N405" s="611">
        <v>19.508637074329002</v>
      </c>
      <c r="O405" s="611">
        <v>7.4473886520306625</v>
      </c>
      <c r="P405" s="611">
        <v>0</v>
      </c>
      <c r="Q405" s="611">
        <v>0</v>
      </c>
      <c r="R405" s="611">
        <v>117.90461095014412</v>
      </c>
      <c r="S405" s="611">
        <v>0</v>
      </c>
      <c r="T405" s="611">
        <v>6.9740998058852091</v>
      </c>
      <c r="U405" s="619">
        <v>159.38162927610219</v>
      </c>
      <c r="V405" s="51"/>
    </row>
    <row r="406" spans="3:22" x14ac:dyDescent="0.25">
      <c r="C406" s="618" t="s">
        <v>80</v>
      </c>
      <c r="D406" s="611">
        <v>0</v>
      </c>
      <c r="E406" s="611">
        <v>0</v>
      </c>
      <c r="F406" s="611">
        <v>0.35613019618188829</v>
      </c>
      <c r="G406" s="611">
        <v>0</v>
      </c>
      <c r="H406" s="611">
        <v>0</v>
      </c>
      <c r="I406" s="611">
        <v>0.92121942110506694</v>
      </c>
      <c r="J406" s="611">
        <v>0</v>
      </c>
      <c r="K406" s="611">
        <v>0</v>
      </c>
      <c r="L406" s="611">
        <v>30.406752837013876</v>
      </c>
      <c r="M406" s="611">
        <v>0</v>
      </c>
      <c r="N406" s="611">
        <v>0</v>
      </c>
      <c r="O406" s="611">
        <v>17.503169000996269</v>
      </c>
      <c r="P406" s="611">
        <v>105.40020235475453</v>
      </c>
      <c r="Q406" s="611">
        <v>3.1166998128913419</v>
      </c>
      <c r="R406" s="611">
        <v>133.64902180729109</v>
      </c>
      <c r="S406" s="611">
        <v>20.977029614075306</v>
      </c>
      <c r="T406" s="611">
        <v>0</v>
      </c>
      <c r="U406" s="619">
        <v>312.33022504430937</v>
      </c>
      <c r="V406" s="51"/>
    </row>
    <row r="407" spans="3:22" x14ac:dyDescent="0.25">
      <c r="C407" s="618" t="s">
        <v>81</v>
      </c>
      <c r="D407" s="611">
        <v>0</v>
      </c>
      <c r="E407" s="611">
        <v>0</v>
      </c>
      <c r="F407" s="611">
        <v>6.5854952123934399E-2</v>
      </c>
      <c r="G407" s="611">
        <v>0</v>
      </c>
      <c r="H407" s="611">
        <v>0</v>
      </c>
      <c r="I407" s="611">
        <v>0.31585874142938569</v>
      </c>
      <c r="J407" s="611">
        <v>0</v>
      </c>
      <c r="K407" s="611">
        <v>0</v>
      </c>
      <c r="L407" s="611">
        <v>0.45236993281073634</v>
      </c>
      <c r="M407" s="611">
        <v>0</v>
      </c>
      <c r="N407" s="611">
        <v>0</v>
      </c>
      <c r="O407" s="611">
        <v>6.0013160871583278</v>
      </c>
      <c r="P407" s="611">
        <v>52.288295873759658</v>
      </c>
      <c r="Q407" s="611">
        <v>3.3575351400940563</v>
      </c>
      <c r="R407" s="611">
        <v>111.32761597349254</v>
      </c>
      <c r="S407" s="611">
        <v>18.167862149010045</v>
      </c>
      <c r="T407" s="611">
        <v>0</v>
      </c>
      <c r="U407" s="619">
        <v>191.97670884987866</v>
      </c>
      <c r="V407" s="51"/>
    </row>
    <row r="408" spans="3:22" x14ac:dyDescent="0.25">
      <c r="C408" s="618" t="s">
        <v>82</v>
      </c>
      <c r="D408" s="611">
        <v>0</v>
      </c>
      <c r="E408" s="611">
        <v>0</v>
      </c>
      <c r="F408" s="611">
        <v>0.14607036001340537</v>
      </c>
      <c r="G408" s="611">
        <v>0</v>
      </c>
      <c r="H408" s="611">
        <v>0</v>
      </c>
      <c r="I408" s="611">
        <v>5.5011390628469027E-2</v>
      </c>
      <c r="J408" s="611">
        <v>0</v>
      </c>
      <c r="K408" s="611">
        <v>0</v>
      </c>
      <c r="L408" s="611">
        <v>3.9918011059239289</v>
      </c>
      <c r="M408" s="611">
        <v>0</v>
      </c>
      <c r="N408" s="611">
        <v>18.700816435906518</v>
      </c>
      <c r="O408" s="611">
        <v>1.0452164219409115</v>
      </c>
      <c r="P408" s="611">
        <v>1.5</v>
      </c>
      <c r="Q408" s="611">
        <v>2.1874070050904897</v>
      </c>
      <c r="R408" s="611">
        <v>6.9303674525217573</v>
      </c>
      <c r="S408" s="611">
        <v>0</v>
      </c>
      <c r="T408" s="611">
        <v>0.82604920070086296</v>
      </c>
      <c r="U408" s="619">
        <v>35.382739372726341</v>
      </c>
      <c r="V408" s="51"/>
    </row>
    <row r="409" spans="3:22" x14ac:dyDescent="0.25">
      <c r="C409" s="618" t="s">
        <v>354</v>
      </c>
      <c r="D409" s="611">
        <v>0</v>
      </c>
      <c r="E409" s="611">
        <v>0</v>
      </c>
      <c r="F409" s="611">
        <v>0</v>
      </c>
      <c r="G409" s="611">
        <v>0</v>
      </c>
      <c r="H409" s="611">
        <v>0</v>
      </c>
      <c r="I409" s="611">
        <v>0</v>
      </c>
      <c r="J409" s="611">
        <v>0</v>
      </c>
      <c r="K409" s="611">
        <v>0</v>
      </c>
      <c r="L409" s="611">
        <v>0</v>
      </c>
      <c r="M409" s="611">
        <v>0</v>
      </c>
      <c r="N409" s="611">
        <v>0</v>
      </c>
      <c r="O409" s="611">
        <v>0</v>
      </c>
      <c r="P409" s="611">
        <v>0</v>
      </c>
      <c r="Q409" s="611">
        <v>0</v>
      </c>
      <c r="R409" s="611">
        <v>11.7</v>
      </c>
      <c r="S409" s="611">
        <v>0</v>
      </c>
      <c r="T409" s="611">
        <v>0</v>
      </c>
      <c r="U409" s="619">
        <v>11.7</v>
      </c>
      <c r="V409" s="51"/>
    </row>
    <row r="410" spans="3:22" x14ac:dyDescent="0.25">
      <c r="C410" s="614" t="s">
        <v>83</v>
      </c>
      <c r="D410" s="615">
        <v>0.64129319091675452</v>
      </c>
      <c r="E410" s="615">
        <v>0</v>
      </c>
      <c r="F410" s="615">
        <v>4.6423055389522521</v>
      </c>
      <c r="G410" s="615">
        <v>4.6064063696995508</v>
      </c>
      <c r="H410" s="615">
        <v>0</v>
      </c>
      <c r="I410" s="615">
        <v>3.9444546849273663</v>
      </c>
      <c r="J410" s="615">
        <v>0</v>
      </c>
      <c r="K410" s="615">
        <v>0</v>
      </c>
      <c r="L410" s="615">
        <v>58.210943137405394</v>
      </c>
      <c r="M410" s="615">
        <v>5.362188402201145</v>
      </c>
      <c r="N410" s="615">
        <v>39.512934840266112</v>
      </c>
      <c r="O410" s="615">
        <v>74.986769829774744</v>
      </c>
      <c r="P410" s="615">
        <v>181.20215447851419</v>
      </c>
      <c r="Q410" s="615">
        <v>8.6625008637800214</v>
      </c>
      <c r="R410" s="615">
        <v>583.53589430288855</v>
      </c>
      <c r="S410" s="615">
        <v>61.402454105753748</v>
      </c>
      <c r="T410" s="615">
        <v>23.801496662836072</v>
      </c>
      <c r="U410" s="615">
        <v>1050.5117964079159</v>
      </c>
      <c r="V410" s="51"/>
    </row>
    <row r="411" spans="3:22" x14ac:dyDescent="0.25">
      <c r="C411" s="610" t="s">
        <v>84</v>
      </c>
      <c r="D411" s="611">
        <v>0</v>
      </c>
      <c r="E411" s="611">
        <v>0</v>
      </c>
      <c r="F411" s="611">
        <v>44.559074374942114</v>
      </c>
      <c r="G411" s="611">
        <v>2.9799029387007945</v>
      </c>
      <c r="H411" s="611">
        <v>3.2223770587889593</v>
      </c>
      <c r="I411" s="611">
        <v>0</v>
      </c>
      <c r="J411" s="611">
        <v>0</v>
      </c>
      <c r="K411" s="611">
        <v>0</v>
      </c>
      <c r="L411" s="611">
        <v>0.60656225364490568</v>
      </c>
      <c r="M411" s="611">
        <v>0</v>
      </c>
      <c r="N411" s="611">
        <v>50.341514757930035</v>
      </c>
      <c r="O411" s="611">
        <v>13.801033069140475</v>
      </c>
      <c r="P411" s="611">
        <v>0</v>
      </c>
      <c r="Q411" s="611">
        <v>0</v>
      </c>
      <c r="R411" s="611">
        <v>0</v>
      </c>
      <c r="S411" s="611">
        <v>0</v>
      </c>
      <c r="T411" s="611">
        <v>63.833639735754474</v>
      </c>
      <c r="U411" s="619">
        <v>179.34410418890175</v>
      </c>
      <c r="V411" s="51"/>
    </row>
    <row r="412" spans="3:22" x14ac:dyDescent="0.25">
      <c r="C412" s="614" t="s">
        <v>85</v>
      </c>
      <c r="D412" s="615">
        <v>0.64129319091675452</v>
      </c>
      <c r="E412" s="615">
        <v>0</v>
      </c>
      <c r="F412" s="615">
        <v>49.201379913894364</v>
      </c>
      <c r="G412" s="615">
        <v>7.5863093084003452</v>
      </c>
      <c r="H412" s="615">
        <v>3.2223770587889593</v>
      </c>
      <c r="I412" s="615">
        <v>3.9444546849273663</v>
      </c>
      <c r="J412" s="615">
        <v>0</v>
      </c>
      <c r="K412" s="615">
        <v>0</v>
      </c>
      <c r="L412" s="615">
        <v>58.817505391050297</v>
      </c>
      <c r="M412" s="615">
        <v>5.362188402201145</v>
      </c>
      <c r="N412" s="615">
        <v>89.85444959819614</v>
      </c>
      <c r="O412" s="615">
        <v>88.787802898915217</v>
      </c>
      <c r="P412" s="615">
        <v>181.20215447851419</v>
      </c>
      <c r="Q412" s="615">
        <v>8.6625008637800214</v>
      </c>
      <c r="R412" s="615">
        <v>583.53589430288855</v>
      </c>
      <c r="S412" s="615">
        <v>61.402454105753748</v>
      </c>
      <c r="T412" s="615">
        <v>87.635136398590546</v>
      </c>
      <c r="U412" s="615">
        <v>1229.8559005968177</v>
      </c>
      <c r="V412" s="51"/>
    </row>
    <row r="413" spans="3:22" x14ac:dyDescent="0.25">
      <c r="C413" s="51"/>
      <c r="D413" s="67">
        <v>0</v>
      </c>
      <c r="E413" s="67">
        <v>0</v>
      </c>
      <c r="F413" s="67">
        <v>0</v>
      </c>
      <c r="G413" s="67">
        <v>0</v>
      </c>
      <c r="H413" s="67">
        <v>0</v>
      </c>
      <c r="I413" s="67">
        <v>0</v>
      </c>
      <c r="J413" s="67">
        <v>0</v>
      </c>
      <c r="K413" s="67">
        <v>0</v>
      </c>
      <c r="L413" s="67">
        <v>0</v>
      </c>
      <c r="M413" s="67">
        <v>-2.9244114949733557E-4</v>
      </c>
      <c r="N413" s="67">
        <v>0</v>
      </c>
      <c r="O413" s="67">
        <v>-6.2172489379008766E-15</v>
      </c>
      <c r="P413" s="67">
        <v>0</v>
      </c>
      <c r="Q413" s="67">
        <v>0</v>
      </c>
      <c r="R413" s="67">
        <v>-1.1368683772161603E-13</v>
      </c>
      <c r="S413" s="67">
        <v>0</v>
      </c>
      <c r="T413" s="67">
        <v>1.7763568394002505E-14</v>
      </c>
      <c r="U413" s="67">
        <v>-2.9244114966786583E-4</v>
      </c>
      <c r="V413" s="51"/>
    </row>
    <row r="414" spans="3:22" x14ac:dyDescent="0.25">
      <c r="C414" s="51"/>
      <c r="D414" s="51"/>
      <c r="E414" s="51"/>
      <c r="F414" s="51"/>
      <c r="G414" s="51"/>
      <c r="H414" s="51"/>
      <c r="I414" s="51"/>
      <c r="J414" s="51"/>
      <c r="K414" s="51"/>
      <c r="L414" s="51"/>
      <c r="M414" s="51"/>
      <c r="N414" s="51"/>
      <c r="O414" s="51"/>
      <c r="P414" s="51"/>
      <c r="Q414" s="51"/>
      <c r="R414" s="51"/>
      <c r="S414" s="51"/>
      <c r="T414" s="51"/>
      <c r="U414" s="51"/>
      <c r="V414" s="51"/>
    </row>
  </sheetData>
  <mergeCells count="154">
    <mergeCell ref="K380:K381"/>
    <mergeCell ref="L380:Q380"/>
    <mergeCell ref="R380:R381"/>
    <mergeCell ref="S380:S381"/>
    <mergeCell ref="T380:T381"/>
    <mergeCell ref="U380:U381"/>
    <mergeCell ref="T343:T344"/>
    <mergeCell ref="U343:U344"/>
    <mergeCell ref="C380:C381"/>
    <mergeCell ref="D380:D381"/>
    <mergeCell ref="E380:E381"/>
    <mergeCell ref="F380:F381"/>
    <mergeCell ref="G380:G381"/>
    <mergeCell ref="H380:H381"/>
    <mergeCell ref="I380:I381"/>
    <mergeCell ref="J380:J381"/>
    <mergeCell ref="I343:I344"/>
    <mergeCell ref="J343:J344"/>
    <mergeCell ref="K343:K344"/>
    <mergeCell ref="L343:Q343"/>
    <mergeCell ref="R343:R344"/>
    <mergeCell ref="S343:S344"/>
    <mergeCell ref="C343:C344"/>
    <mergeCell ref="D343:D344"/>
    <mergeCell ref="E343:E344"/>
    <mergeCell ref="F343:F344"/>
    <mergeCell ref="G343:G344"/>
    <mergeCell ref="H343:H344"/>
    <mergeCell ref="K306:K307"/>
    <mergeCell ref="L306:Q306"/>
    <mergeCell ref="R306:R307"/>
    <mergeCell ref="S306:S307"/>
    <mergeCell ref="T306:T307"/>
    <mergeCell ref="U306:U307"/>
    <mergeCell ref="T269:T270"/>
    <mergeCell ref="U269:U270"/>
    <mergeCell ref="C306:C307"/>
    <mergeCell ref="D306:D307"/>
    <mergeCell ref="E306:E307"/>
    <mergeCell ref="F306:F307"/>
    <mergeCell ref="G306:G307"/>
    <mergeCell ref="H306:H307"/>
    <mergeCell ref="I306:I307"/>
    <mergeCell ref="J306:J307"/>
    <mergeCell ref="I269:I270"/>
    <mergeCell ref="J269:J270"/>
    <mergeCell ref="K269:K270"/>
    <mergeCell ref="L269:Q269"/>
    <mergeCell ref="R269:R270"/>
    <mergeCell ref="S269:S270"/>
    <mergeCell ref="C269:C270"/>
    <mergeCell ref="D269:D270"/>
    <mergeCell ref="E269:E270"/>
    <mergeCell ref="F269:F270"/>
    <mergeCell ref="G269:G270"/>
    <mergeCell ref="H269:H270"/>
    <mergeCell ref="K232:K233"/>
    <mergeCell ref="L232:Q232"/>
    <mergeCell ref="R232:R233"/>
    <mergeCell ref="S232:S233"/>
    <mergeCell ref="T232:T233"/>
    <mergeCell ref="U232:U233"/>
    <mergeCell ref="T195:T196"/>
    <mergeCell ref="U195:U196"/>
    <mergeCell ref="C232:C233"/>
    <mergeCell ref="D232:D233"/>
    <mergeCell ref="E232:E233"/>
    <mergeCell ref="F232:F233"/>
    <mergeCell ref="G232:G233"/>
    <mergeCell ref="H232:H233"/>
    <mergeCell ref="I232:I233"/>
    <mergeCell ref="J232:J233"/>
    <mergeCell ref="I195:I196"/>
    <mergeCell ref="J195:J196"/>
    <mergeCell ref="K195:K196"/>
    <mergeCell ref="L195:Q195"/>
    <mergeCell ref="R195:R196"/>
    <mergeCell ref="S195:S196"/>
    <mergeCell ref="C195:C196"/>
    <mergeCell ref="D195:D196"/>
    <mergeCell ref="E195:E196"/>
    <mergeCell ref="F195:F196"/>
    <mergeCell ref="G195:G196"/>
    <mergeCell ref="H195:H196"/>
    <mergeCell ref="K158:K159"/>
    <mergeCell ref="L158:Q158"/>
    <mergeCell ref="R158:R159"/>
    <mergeCell ref="S158:S159"/>
    <mergeCell ref="T158:T159"/>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R121:R122"/>
    <mergeCell ref="S121:S122"/>
    <mergeCell ref="C121:C122"/>
    <mergeCell ref="D121:D122"/>
    <mergeCell ref="E121:E122"/>
    <mergeCell ref="F121:F122"/>
    <mergeCell ref="G121:G122"/>
    <mergeCell ref="H121:H122"/>
    <mergeCell ref="K84:K85"/>
    <mergeCell ref="L84:Q84"/>
    <mergeCell ref="R84:R85"/>
    <mergeCell ref="S84:S85"/>
    <mergeCell ref="T84:T85"/>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S47:S48"/>
    <mergeCell ref="C47:C48"/>
    <mergeCell ref="D47:D48"/>
    <mergeCell ref="U10:U11"/>
    <mergeCell ref="E47:E48"/>
    <mergeCell ref="F47:F48"/>
    <mergeCell ref="G47:G48"/>
    <mergeCell ref="H47:H48"/>
    <mergeCell ref="L10:Q10"/>
    <mergeCell ref="R10:R11"/>
    <mergeCell ref="S10:S11"/>
    <mergeCell ref="T10:T11"/>
    <mergeCell ref="C10:C11"/>
    <mergeCell ref="D10:D11"/>
    <mergeCell ref="E10:E11"/>
    <mergeCell ref="F10:F11"/>
    <mergeCell ref="G10:G11"/>
    <mergeCell ref="H10:H11"/>
    <mergeCell ref="I10:I11"/>
    <mergeCell ref="J10:J11"/>
    <mergeCell ref="K10:K11"/>
  </mergeCells>
  <conditionalFormatting sqref="D12:U18">
    <cfRule type="containsBlanks" dxfId="1111" priority="1">
      <formula>LEN(TRIM(D12))=0</formula>
    </cfRule>
  </conditionalFormatting>
  <conditionalFormatting sqref="D12:U42">
    <cfRule type="cellIs" dxfId="1110" priority="2" operator="equal">
      <formula>0</formula>
    </cfRule>
  </conditionalFormatting>
  <conditionalFormatting sqref="D20:U32">
    <cfRule type="containsBlanks" dxfId="1109" priority="3">
      <formula>LEN(TRIM(D20))=0</formula>
    </cfRule>
  </conditionalFormatting>
  <conditionalFormatting sqref="D34:U42">
    <cfRule type="containsBlanks" dxfId="1108" priority="4">
      <formula>LEN(TRIM(D34))=0</formula>
    </cfRule>
  </conditionalFormatting>
  <conditionalFormatting sqref="D49:U55">
    <cfRule type="containsBlanks" dxfId="1107" priority="9">
      <formula>LEN(TRIM(D49))=0</formula>
    </cfRule>
  </conditionalFormatting>
  <conditionalFormatting sqref="D49:U79">
    <cfRule type="cellIs" dxfId="1106" priority="10" operator="equal">
      <formula>0</formula>
    </cfRule>
  </conditionalFormatting>
  <conditionalFormatting sqref="D57:U69">
    <cfRule type="containsBlanks" dxfId="1105" priority="11">
      <formula>LEN(TRIM(D57))=0</formula>
    </cfRule>
  </conditionalFormatting>
  <conditionalFormatting sqref="D71:U79">
    <cfRule type="containsBlanks" dxfId="1104" priority="12">
      <formula>LEN(TRIM(D71))=0</formula>
    </cfRule>
  </conditionalFormatting>
  <conditionalFormatting sqref="D86:U92">
    <cfRule type="containsBlanks" dxfId="1103" priority="17">
      <formula>LEN(TRIM(D86))=0</formula>
    </cfRule>
  </conditionalFormatting>
  <conditionalFormatting sqref="D86:U116">
    <cfRule type="cellIs" dxfId="1102" priority="18" operator="equal">
      <formula>0</formula>
    </cfRule>
  </conditionalFormatting>
  <conditionalFormatting sqref="D94:U106">
    <cfRule type="containsBlanks" dxfId="1101" priority="19">
      <formula>LEN(TRIM(D94))=0</formula>
    </cfRule>
  </conditionalFormatting>
  <conditionalFormatting sqref="D108:U116">
    <cfRule type="containsBlanks" dxfId="1100" priority="20">
      <formula>LEN(TRIM(D108))=0</formula>
    </cfRule>
  </conditionalFormatting>
  <conditionalFormatting sqref="D123:U129">
    <cfRule type="containsBlanks" dxfId="1099" priority="25">
      <formula>LEN(TRIM(D123))=0</formula>
    </cfRule>
  </conditionalFormatting>
  <conditionalFormatting sqref="D123:U153">
    <cfRule type="cellIs" dxfId="1098" priority="26" operator="equal">
      <formula>0</formula>
    </cfRule>
  </conditionalFormatting>
  <conditionalFormatting sqref="D131:U143">
    <cfRule type="containsBlanks" dxfId="1097" priority="27">
      <formula>LEN(TRIM(D131))=0</formula>
    </cfRule>
  </conditionalFormatting>
  <conditionalFormatting sqref="D145:U153">
    <cfRule type="containsBlanks" dxfId="1096" priority="28">
      <formula>LEN(TRIM(D145))=0</formula>
    </cfRule>
  </conditionalFormatting>
  <conditionalFormatting sqref="D160:U166">
    <cfRule type="containsBlanks" dxfId="1095" priority="45">
      <formula>LEN(TRIM(D160))=0</formula>
    </cfRule>
  </conditionalFormatting>
  <conditionalFormatting sqref="D160:U190">
    <cfRule type="cellIs" dxfId="1094" priority="46" operator="equal">
      <formula>0</formula>
    </cfRule>
  </conditionalFormatting>
  <conditionalFormatting sqref="D168:U180">
    <cfRule type="containsBlanks" dxfId="1093" priority="47">
      <formula>LEN(TRIM(D168))=0</formula>
    </cfRule>
  </conditionalFormatting>
  <conditionalFormatting sqref="D182:U190">
    <cfRule type="containsBlanks" dxfId="1092" priority="48">
      <formula>LEN(TRIM(D182))=0</formula>
    </cfRule>
  </conditionalFormatting>
  <conditionalFormatting sqref="D197:U203">
    <cfRule type="containsBlanks" dxfId="1091" priority="43">
      <formula>LEN(TRIM(D197))=0</formula>
    </cfRule>
  </conditionalFormatting>
  <conditionalFormatting sqref="D197:U227">
    <cfRule type="cellIs" dxfId="1090" priority="44" operator="equal">
      <formula>0</formula>
    </cfRule>
  </conditionalFormatting>
  <conditionalFormatting sqref="D205:U217">
    <cfRule type="containsBlanks" dxfId="1089" priority="53">
      <formula>LEN(TRIM(D205))=0</formula>
    </cfRule>
  </conditionalFormatting>
  <conditionalFormatting sqref="D219:U227">
    <cfRule type="containsBlanks" dxfId="1088" priority="54">
      <formula>LEN(TRIM(D219))=0</formula>
    </cfRule>
  </conditionalFormatting>
  <conditionalFormatting sqref="D234:U240">
    <cfRule type="containsBlanks" dxfId="1087" priority="41">
      <formula>LEN(TRIM(D234))=0</formula>
    </cfRule>
  </conditionalFormatting>
  <conditionalFormatting sqref="D234:U264">
    <cfRule type="cellIs" dxfId="1086" priority="42" operator="equal">
      <formula>0</formula>
    </cfRule>
  </conditionalFormatting>
  <conditionalFormatting sqref="D242:U254">
    <cfRule type="containsBlanks" dxfId="1085" priority="59">
      <formula>LEN(TRIM(D242))=0</formula>
    </cfRule>
  </conditionalFormatting>
  <conditionalFormatting sqref="D256:U264">
    <cfRule type="containsBlanks" dxfId="1084" priority="60">
      <formula>LEN(TRIM(D256))=0</formula>
    </cfRule>
  </conditionalFormatting>
  <conditionalFormatting sqref="D271:U277">
    <cfRule type="containsBlanks" dxfId="1083" priority="39">
      <formula>LEN(TRIM(D271))=0</formula>
    </cfRule>
  </conditionalFormatting>
  <conditionalFormatting sqref="D271:U301">
    <cfRule type="cellIs" dxfId="1082" priority="40" operator="equal">
      <formula>0</formula>
    </cfRule>
  </conditionalFormatting>
  <conditionalFormatting sqref="D279:U291">
    <cfRule type="containsBlanks" dxfId="1081" priority="65">
      <formula>LEN(TRIM(D279))=0</formula>
    </cfRule>
  </conditionalFormatting>
  <conditionalFormatting sqref="D293:U301">
    <cfRule type="containsBlanks" dxfId="1080" priority="66">
      <formula>LEN(TRIM(D293))=0</formula>
    </cfRule>
  </conditionalFormatting>
  <conditionalFormatting sqref="D308:U314">
    <cfRule type="containsBlanks" dxfId="1079" priority="37">
      <formula>LEN(TRIM(D308))=0</formula>
    </cfRule>
  </conditionalFormatting>
  <conditionalFormatting sqref="D308:U338">
    <cfRule type="cellIs" dxfId="1078" priority="38" operator="equal">
      <formula>0</formula>
    </cfRule>
  </conditionalFormatting>
  <conditionalFormatting sqref="D316:U328">
    <cfRule type="containsBlanks" dxfId="1077" priority="71">
      <formula>LEN(TRIM(D316))=0</formula>
    </cfRule>
  </conditionalFormatting>
  <conditionalFormatting sqref="D330:U338">
    <cfRule type="containsBlanks" dxfId="1076" priority="72">
      <formula>LEN(TRIM(D330))=0</formula>
    </cfRule>
  </conditionalFormatting>
  <conditionalFormatting sqref="D345:U351">
    <cfRule type="containsBlanks" dxfId="1075" priority="35">
      <formula>LEN(TRIM(D345))=0</formula>
    </cfRule>
  </conditionalFormatting>
  <conditionalFormatting sqref="D345:U375">
    <cfRule type="cellIs" dxfId="1074" priority="36" operator="equal">
      <formula>0</formula>
    </cfRule>
  </conditionalFormatting>
  <conditionalFormatting sqref="D353:U365">
    <cfRule type="containsBlanks" dxfId="1073" priority="77">
      <formula>LEN(TRIM(D353))=0</formula>
    </cfRule>
  </conditionalFormatting>
  <conditionalFormatting sqref="D367:U375">
    <cfRule type="containsBlanks" dxfId="1072" priority="78">
      <formula>LEN(TRIM(D367))=0</formula>
    </cfRule>
  </conditionalFormatting>
  <conditionalFormatting sqref="D382:U388">
    <cfRule type="containsBlanks" dxfId="1071" priority="33">
      <formula>LEN(TRIM(D382))=0</formula>
    </cfRule>
  </conditionalFormatting>
  <conditionalFormatting sqref="D382:U412">
    <cfRule type="cellIs" dxfId="1070" priority="34" operator="equal">
      <formula>0</formula>
    </cfRule>
  </conditionalFormatting>
  <conditionalFormatting sqref="D390:U402">
    <cfRule type="containsBlanks" dxfId="1069" priority="83">
      <formula>LEN(TRIM(D390))=0</formula>
    </cfRule>
  </conditionalFormatting>
  <conditionalFormatting sqref="D404:U412">
    <cfRule type="containsBlanks" dxfId="1068" priority="84">
      <formula>LEN(TRIM(D404))=0</formula>
    </cfRule>
  </conditionalFormatting>
  <conditionalFormatting sqref="F198:F199">
    <cfRule type="cellIs" dxfId="1067" priority="57" operator="equal">
      <formula>0</formula>
    </cfRule>
  </conditionalFormatting>
  <conditionalFormatting sqref="F235:F236">
    <cfRule type="cellIs" dxfId="1066" priority="63" operator="equal">
      <formula>0</formula>
    </cfRule>
  </conditionalFormatting>
  <conditionalFormatting sqref="F272:F273">
    <cfRule type="cellIs" dxfId="1065" priority="69" operator="equal">
      <formula>0</formula>
    </cfRule>
  </conditionalFormatting>
  <conditionalFormatting sqref="F309:F310">
    <cfRule type="cellIs" dxfId="1064" priority="75" operator="equal">
      <formula>0</formula>
    </cfRule>
  </conditionalFormatting>
  <conditionalFormatting sqref="F346:F347">
    <cfRule type="cellIs" dxfId="1063" priority="81" operator="equal">
      <formula>0</formula>
    </cfRule>
  </conditionalFormatting>
  <conditionalFormatting sqref="F383:F384">
    <cfRule type="cellIs" dxfId="1062" priority="108" operator="equal">
      <formula>0</formula>
    </cfRule>
  </conditionalFormatting>
  <conditionalFormatting sqref="L13:L17">
    <cfRule type="cellIs" dxfId="1061" priority="7" operator="equal">
      <formula>0</formula>
    </cfRule>
  </conditionalFormatting>
  <conditionalFormatting sqref="L50:L54">
    <cfRule type="cellIs" dxfId="1060" priority="15" operator="equal">
      <formula>0</formula>
    </cfRule>
  </conditionalFormatting>
  <conditionalFormatting sqref="L87:L91">
    <cfRule type="cellIs" dxfId="1059" priority="23" operator="equal">
      <formula>0</formula>
    </cfRule>
  </conditionalFormatting>
  <conditionalFormatting sqref="L124:L128">
    <cfRule type="cellIs" dxfId="1058" priority="31" operator="equal">
      <formula>0</formula>
    </cfRule>
  </conditionalFormatting>
  <conditionalFormatting sqref="L161:L165">
    <cfRule type="cellIs" dxfId="1057" priority="51" operator="equal">
      <formula>0</formula>
    </cfRule>
  </conditionalFormatting>
  <conditionalFormatting sqref="L198:L202">
    <cfRule type="cellIs" dxfId="1056" priority="56" operator="equal">
      <formula>0</formula>
    </cfRule>
  </conditionalFormatting>
  <conditionalFormatting sqref="L235:L239">
    <cfRule type="cellIs" dxfId="1055" priority="62" operator="equal">
      <formula>0</formula>
    </cfRule>
  </conditionalFormatting>
  <conditionalFormatting sqref="L272:L276">
    <cfRule type="cellIs" dxfId="1054" priority="68" operator="equal">
      <formula>0</formula>
    </cfRule>
  </conditionalFormatting>
  <conditionalFormatting sqref="L309:L313">
    <cfRule type="cellIs" dxfId="1053" priority="74" operator="equal">
      <formula>0</formula>
    </cfRule>
  </conditionalFormatting>
  <conditionalFormatting sqref="L346:L350">
    <cfRule type="cellIs" dxfId="1052" priority="80" operator="equal">
      <formula>0</formula>
    </cfRule>
  </conditionalFormatting>
  <conditionalFormatting sqref="L383:L387">
    <cfRule type="cellIs" dxfId="1051" priority="107" operator="equal">
      <formula>0</formula>
    </cfRule>
  </conditionalFormatting>
  <conditionalFormatting sqref="L11:Q11">
    <cfRule type="cellIs" dxfId="1050" priority="126" operator="equal">
      <formula>0</formula>
    </cfRule>
  </conditionalFormatting>
  <conditionalFormatting sqref="L48:Q48">
    <cfRule type="cellIs" dxfId="1049" priority="125" operator="equal">
      <formula>0</formula>
    </cfRule>
  </conditionalFormatting>
  <conditionalFormatting sqref="L85:Q85">
    <cfRule type="cellIs" dxfId="1048" priority="124" operator="equal">
      <formula>0</formula>
    </cfRule>
  </conditionalFormatting>
  <conditionalFormatting sqref="L122:Q122">
    <cfRule type="cellIs" dxfId="1047" priority="123" operator="equal">
      <formula>0</formula>
    </cfRule>
  </conditionalFormatting>
  <conditionalFormatting sqref="L159:Q159">
    <cfRule type="cellIs" dxfId="1046" priority="122" operator="equal">
      <formula>0</formula>
    </cfRule>
  </conditionalFormatting>
  <conditionalFormatting sqref="L196:Q196">
    <cfRule type="cellIs" dxfId="1045" priority="121" operator="equal">
      <formula>0</formula>
    </cfRule>
  </conditionalFormatting>
  <conditionalFormatting sqref="L233:Q233">
    <cfRule type="cellIs" dxfId="1044" priority="120" operator="equal">
      <formula>0</formula>
    </cfRule>
  </conditionalFormatting>
  <conditionalFormatting sqref="L270:Q270">
    <cfRule type="cellIs" dxfId="1043" priority="119" operator="equal">
      <formula>0</formula>
    </cfRule>
  </conditionalFormatting>
  <conditionalFormatting sqref="L307:Q307">
    <cfRule type="cellIs" dxfId="1042" priority="118" operator="equal">
      <formula>0</formula>
    </cfRule>
  </conditionalFormatting>
  <conditionalFormatting sqref="L344:Q344">
    <cfRule type="cellIs" dxfId="1041" priority="117" operator="equal">
      <formula>0</formula>
    </cfRule>
  </conditionalFormatting>
  <conditionalFormatting sqref="L381:Q381">
    <cfRule type="cellIs" dxfId="1040" priority="116" operator="equal">
      <formula>0</formula>
    </cfRule>
  </conditionalFormatting>
  <conditionalFormatting sqref="M12:O17">
    <cfRule type="cellIs" dxfId="1039" priority="5" operator="equal">
      <formula>0</formula>
    </cfRule>
  </conditionalFormatting>
  <conditionalFormatting sqref="M49:O54">
    <cfRule type="cellIs" dxfId="1038" priority="13" operator="equal">
      <formula>0</formula>
    </cfRule>
  </conditionalFormatting>
  <conditionalFormatting sqref="M86:O91">
    <cfRule type="cellIs" dxfId="1037" priority="21" operator="equal">
      <formula>0</formula>
    </cfRule>
  </conditionalFormatting>
  <conditionalFormatting sqref="M123:O128">
    <cfRule type="cellIs" dxfId="1036" priority="29" operator="equal">
      <formula>0</formula>
    </cfRule>
  </conditionalFormatting>
  <conditionalFormatting sqref="M160:O165">
    <cfRule type="cellIs" dxfId="1035" priority="49" operator="equal">
      <formula>0</formula>
    </cfRule>
  </conditionalFormatting>
  <conditionalFormatting sqref="P13:Q17">
    <cfRule type="cellIs" dxfId="1034" priority="6" operator="equal">
      <formula>0</formula>
    </cfRule>
  </conditionalFormatting>
  <conditionalFormatting sqref="P50:Q54">
    <cfRule type="cellIs" dxfId="1033" priority="14" operator="equal">
      <formula>0</formula>
    </cfRule>
  </conditionalFormatting>
  <conditionalFormatting sqref="P87:Q91">
    <cfRule type="cellIs" dxfId="1032" priority="22" operator="equal">
      <formula>0</formula>
    </cfRule>
  </conditionalFormatting>
  <conditionalFormatting sqref="P124:Q128">
    <cfRule type="cellIs" dxfId="1031" priority="30" operator="equal">
      <formula>0</formula>
    </cfRule>
  </conditionalFormatting>
  <conditionalFormatting sqref="P161:Q165">
    <cfRule type="cellIs" dxfId="1030" priority="50" operator="equal">
      <formula>0</formula>
    </cfRule>
  </conditionalFormatting>
  <conditionalFormatting sqref="P198:Q202">
    <cfRule type="cellIs" dxfId="1029" priority="55" operator="equal">
      <formula>0</formula>
    </cfRule>
  </conditionalFormatting>
  <conditionalFormatting sqref="P235:Q239">
    <cfRule type="cellIs" dxfId="1028" priority="61" operator="equal">
      <formula>0</formula>
    </cfRule>
  </conditionalFormatting>
  <conditionalFormatting sqref="P272:Q276">
    <cfRule type="cellIs" dxfId="1027" priority="67" operator="equal">
      <formula>0</formula>
    </cfRule>
  </conditionalFormatting>
  <conditionalFormatting sqref="P309:Q313">
    <cfRule type="cellIs" dxfId="1026" priority="73" operator="equal">
      <formula>0</formula>
    </cfRule>
  </conditionalFormatting>
  <conditionalFormatting sqref="P346:Q350">
    <cfRule type="cellIs" dxfId="1025" priority="79" operator="equal">
      <formula>0</formula>
    </cfRule>
  </conditionalFormatting>
  <conditionalFormatting sqref="P383:Q387">
    <cfRule type="cellIs" dxfId="1024" priority="106" operator="equal">
      <formula>0</formula>
    </cfRule>
  </conditionalFormatting>
  <conditionalFormatting sqref="R12:R14">
    <cfRule type="cellIs" dxfId="1023" priority="8" operator="equal">
      <formula>0</formula>
    </cfRule>
  </conditionalFormatting>
  <conditionalFormatting sqref="R49:R51">
    <cfRule type="cellIs" dxfId="1022" priority="16" operator="equal">
      <formula>0</formula>
    </cfRule>
  </conditionalFormatting>
  <conditionalFormatting sqref="R86:R88">
    <cfRule type="cellIs" dxfId="1021" priority="24" operator="equal">
      <formula>0</formula>
    </cfRule>
  </conditionalFormatting>
  <conditionalFormatting sqref="R123:R125">
    <cfRule type="cellIs" dxfId="1020" priority="32" operator="equal">
      <formula>0</formula>
    </cfRule>
  </conditionalFormatting>
  <conditionalFormatting sqref="R160:R162">
    <cfRule type="cellIs" dxfId="1019" priority="52" operator="equal">
      <formula>0</formula>
    </cfRule>
  </conditionalFormatting>
  <conditionalFormatting sqref="R197:R199">
    <cfRule type="cellIs" dxfId="1018" priority="58" operator="equal">
      <formula>0</formula>
    </cfRule>
  </conditionalFormatting>
  <conditionalFormatting sqref="R234:R236">
    <cfRule type="cellIs" dxfId="1017" priority="64" operator="equal">
      <formula>0</formula>
    </cfRule>
  </conditionalFormatting>
  <conditionalFormatting sqref="R271:R273">
    <cfRule type="cellIs" dxfId="1016" priority="70" operator="equal">
      <formula>0</formula>
    </cfRule>
  </conditionalFormatting>
  <conditionalFormatting sqref="R308:R310">
    <cfRule type="cellIs" dxfId="1015" priority="76" operator="equal">
      <formula>0</formula>
    </cfRule>
  </conditionalFormatting>
  <conditionalFormatting sqref="R345:R347">
    <cfRule type="cellIs" dxfId="1014" priority="82" operator="equal">
      <formula>0</formula>
    </cfRule>
  </conditionalFormatting>
  <conditionalFormatting sqref="R382:R384">
    <cfRule type="cellIs" dxfId="1013" priority="109" operator="equal">
      <formula>0</formula>
    </cfRule>
  </conditionalFormatting>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D3D00-7B80-477B-A621-9830BA418E3D}">
  <dimension ref="C2:V377"/>
  <sheetViews>
    <sheetView workbookViewId="0"/>
  </sheetViews>
  <sheetFormatPr baseColWidth="10" defaultRowHeight="15" x14ac:dyDescent="0.25"/>
  <sheetData>
    <row r="2" spans="3:22" ht="18.75" x14ac:dyDescent="0.3">
      <c r="C2" s="600" t="s">
        <v>406</v>
      </c>
      <c r="D2" s="599"/>
      <c r="E2" s="599"/>
      <c r="F2" s="599"/>
      <c r="G2" s="599"/>
      <c r="H2" s="599"/>
      <c r="I2" s="599"/>
      <c r="J2" s="599"/>
      <c r="K2" s="599"/>
      <c r="L2" s="599"/>
      <c r="M2" s="599"/>
      <c r="N2" s="599"/>
      <c r="O2" s="599"/>
      <c r="P2" s="599"/>
      <c r="Q2" s="599"/>
      <c r="R2" s="599"/>
      <c r="S2" s="599"/>
      <c r="T2" s="599"/>
      <c r="U2" s="599"/>
      <c r="V2" s="599"/>
    </row>
    <row r="3" spans="3:22" x14ac:dyDescent="0.25">
      <c r="C3" s="51"/>
      <c r="D3" s="51"/>
      <c r="E3" s="51"/>
      <c r="F3" s="51"/>
      <c r="G3" s="51"/>
      <c r="H3" s="51"/>
      <c r="I3" s="51"/>
      <c r="J3" s="51"/>
      <c r="K3" s="51"/>
      <c r="L3" s="51"/>
      <c r="M3" s="51"/>
      <c r="N3" s="51"/>
      <c r="O3" s="51"/>
      <c r="P3" s="51"/>
      <c r="Q3" s="51"/>
      <c r="R3" s="51"/>
      <c r="S3" s="51"/>
      <c r="T3" s="51"/>
      <c r="U3" s="51"/>
      <c r="V3" s="51"/>
    </row>
    <row r="4" spans="3:22" ht="15.75" x14ac:dyDescent="0.25">
      <c r="C4" s="603" t="s">
        <v>338</v>
      </c>
      <c r="D4" s="602" t="s">
        <v>481</v>
      </c>
      <c r="E4" s="602"/>
      <c r="F4" s="602"/>
      <c r="G4" s="602"/>
      <c r="H4" s="602"/>
      <c r="I4" s="602"/>
      <c r="J4" s="602"/>
      <c r="K4" s="604"/>
      <c r="L4" s="604"/>
      <c r="M4" s="604"/>
      <c r="N4" s="604"/>
      <c r="O4" s="604"/>
      <c r="P4" s="604"/>
      <c r="Q4" s="604"/>
      <c r="R4" s="602"/>
      <c r="S4" s="602"/>
      <c r="T4" s="602"/>
      <c r="U4" s="602"/>
      <c r="V4" s="602"/>
    </row>
    <row r="5" spans="3:22" ht="15.75" x14ac:dyDescent="0.25">
      <c r="C5" s="603" t="s">
        <v>341</v>
      </c>
      <c r="D5" s="602" t="s">
        <v>342</v>
      </c>
      <c r="E5" s="602"/>
      <c r="F5" s="602"/>
      <c r="G5" s="602"/>
      <c r="H5" s="602"/>
      <c r="I5" s="602"/>
      <c r="J5" s="602"/>
      <c r="K5" s="602"/>
      <c r="L5" s="602"/>
      <c r="M5" s="602"/>
      <c r="N5" s="602"/>
      <c r="O5" s="602"/>
      <c r="P5" s="602"/>
      <c r="Q5" s="602"/>
      <c r="R5" s="602"/>
      <c r="S5" s="602"/>
      <c r="T5" s="602"/>
      <c r="U5" s="602"/>
      <c r="V5" s="602"/>
    </row>
    <row r="6" spans="3:22" x14ac:dyDescent="0.25">
      <c r="C6" s="51"/>
      <c r="D6" s="51"/>
      <c r="E6" s="51"/>
      <c r="F6" s="51"/>
      <c r="G6" s="51"/>
      <c r="H6" s="51"/>
      <c r="I6" s="51"/>
      <c r="J6" s="51"/>
      <c r="K6" s="51"/>
      <c r="L6" s="51"/>
      <c r="M6" s="51"/>
      <c r="N6" s="51"/>
      <c r="O6" s="51"/>
      <c r="P6" s="51"/>
      <c r="Q6" s="51"/>
      <c r="R6" s="51"/>
      <c r="S6" s="51"/>
      <c r="T6" s="51"/>
      <c r="U6" s="51"/>
      <c r="V6" s="51"/>
    </row>
    <row r="7" spans="3:22" x14ac:dyDescent="0.25">
      <c r="C7" s="51"/>
      <c r="D7" s="51"/>
      <c r="E7" s="51"/>
      <c r="F7" s="51"/>
      <c r="G7" s="51"/>
      <c r="H7" s="51"/>
      <c r="I7" s="51"/>
      <c r="J7" s="51"/>
      <c r="K7" s="51"/>
      <c r="L7" s="51"/>
      <c r="M7" s="51"/>
      <c r="N7" s="51"/>
      <c r="O7" s="51"/>
      <c r="P7" s="51"/>
      <c r="Q7" s="51"/>
      <c r="R7" s="51"/>
      <c r="S7" s="51"/>
      <c r="T7" s="51"/>
      <c r="U7" s="51"/>
      <c r="V7" s="51"/>
    </row>
    <row r="8" spans="3:22" x14ac:dyDescent="0.25">
      <c r="C8" s="607" t="s">
        <v>87</v>
      </c>
      <c r="D8" s="606"/>
      <c r="E8" s="606"/>
      <c r="F8" s="606"/>
      <c r="G8" s="606"/>
      <c r="H8" s="606"/>
      <c r="I8" s="606"/>
      <c r="J8" s="606"/>
      <c r="K8" s="606"/>
      <c r="L8" s="606"/>
      <c r="M8" s="606"/>
      <c r="N8" s="606"/>
      <c r="O8" s="606"/>
      <c r="P8" s="606"/>
      <c r="Q8" s="606"/>
      <c r="R8" s="606"/>
      <c r="S8" s="606"/>
      <c r="T8" s="606"/>
      <c r="U8" s="606"/>
      <c r="V8" s="606"/>
    </row>
    <row r="9" spans="3:22" x14ac:dyDescent="0.25">
      <c r="C9" s="51"/>
      <c r="D9" s="51"/>
      <c r="E9" s="51"/>
      <c r="F9" s="51"/>
      <c r="G9" s="51"/>
      <c r="H9" s="51"/>
      <c r="I9" s="51"/>
      <c r="J9" s="51"/>
      <c r="K9" s="51"/>
      <c r="L9" s="51"/>
      <c r="M9" s="51"/>
      <c r="N9" s="51"/>
      <c r="O9" s="51"/>
      <c r="P9" s="51"/>
      <c r="Q9" s="51"/>
      <c r="R9" s="51"/>
      <c r="S9" s="51"/>
      <c r="T9" s="51"/>
      <c r="U9" s="51"/>
      <c r="V9" s="51"/>
    </row>
    <row r="10" spans="3:22" x14ac:dyDescent="0.25">
      <c r="C10" s="764" t="s">
        <v>128</v>
      </c>
      <c r="D10" s="753" t="s">
        <v>42</v>
      </c>
      <c r="E10" s="753" t="s">
        <v>52</v>
      </c>
      <c r="F10" s="753" t="s">
        <v>53</v>
      </c>
      <c r="G10" s="753" t="s">
        <v>482</v>
      </c>
      <c r="H10" s="753" t="s">
        <v>32</v>
      </c>
      <c r="I10" s="753" t="s">
        <v>483</v>
      </c>
      <c r="J10" s="753" t="s">
        <v>20</v>
      </c>
      <c r="K10" s="753" t="s">
        <v>55</v>
      </c>
      <c r="L10" s="761" t="s">
        <v>56</v>
      </c>
      <c r="M10" s="762"/>
      <c r="N10" s="762"/>
      <c r="O10" s="762"/>
      <c r="P10" s="762"/>
      <c r="Q10" s="763"/>
      <c r="R10" s="753" t="s">
        <v>57</v>
      </c>
      <c r="S10" s="753" t="s">
        <v>58</v>
      </c>
      <c r="T10" s="753" t="s">
        <v>31</v>
      </c>
      <c r="U10" s="753" t="s">
        <v>10</v>
      </c>
      <c r="V10" s="51"/>
    </row>
    <row r="11" spans="3:22" ht="36" x14ac:dyDescent="0.25">
      <c r="C11" s="765"/>
      <c r="D11" s="754"/>
      <c r="E11" s="754"/>
      <c r="F11" s="754"/>
      <c r="G11" s="754"/>
      <c r="H11" s="754"/>
      <c r="I11" s="754"/>
      <c r="J11" s="754"/>
      <c r="K11" s="754"/>
      <c r="L11" s="608" t="s">
        <v>335</v>
      </c>
      <c r="M11" s="608" t="s">
        <v>40</v>
      </c>
      <c r="N11" s="608" t="s">
        <v>343</v>
      </c>
      <c r="O11" s="608" t="s">
        <v>344</v>
      </c>
      <c r="P11" s="609" t="s">
        <v>345</v>
      </c>
      <c r="Q11" s="608" t="s">
        <v>346</v>
      </c>
      <c r="R11" s="754"/>
      <c r="S11" s="754"/>
      <c r="T11" s="754"/>
      <c r="U11" s="754"/>
      <c r="V11" s="51"/>
    </row>
    <row r="12" spans="3:22" x14ac:dyDescent="0.25">
      <c r="C12" s="610" t="s">
        <v>59</v>
      </c>
      <c r="D12" s="611">
        <v>0</v>
      </c>
      <c r="E12" s="611">
        <v>9.7691999999999997</v>
      </c>
      <c r="F12" s="611">
        <v>0</v>
      </c>
      <c r="G12" s="611">
        <v>0</v>
      </c>
      <c r="H12" s="611">
        <v>0.18608000000000002</v>
      </c>
      <c r="I12" s="611">
        <v>0</v>
      </c>
      <c r="J12" s="612">
        <v>1176.7122181818183</v>
      </c>
      <c r="K12" s="612">
        <v>152.240316784774</v>
      </c>
      <c r="L12" s="612">
        <v>281.6578455843275</v>
      </c>
      <c r="M12" s="612">
        <v>21.015880490871673</v>
      </c>
      <c r="N12" s="611">
        <v>1.8811575028002774</v>
      </c>
      <c r="O12" s="611">
        <v>0.15242099713737783</v>
      </c>
      <c r="P12" s="612">
        <v>74.315707301277087</v>
      </c>
      <c r="Q12" s="612">
        <v>9.3796115551408299</v>
      </c>
      <c r="R12" s="611">
        <v>0</v>
      </c>
      <c r="S12" s="611">
        <v>0</v>
      </c>
      <c r="T12" s="611">
        <v>0</v>
      </c>
      <c r="U12" s="613">
        <v>1706.3901687012121</v>
      </c>
      <c r="V12" s="51"/>
    </row>
    <row r="13" spans="3:22" x14ac:dyDescent="0.25">
      <c r="C13" s="610" t="s">
        <v>60</v>
      </c>
      <c r="D13" s="611">
        <v>44.373058103150619</v>
      </c>
      <c r="E13" s="611">
        <v>481.66804331592272</v>
      </c>
      <c r="F13" s="611">
        <v>257.64969972868801</v>
      </c>
      <c r="G13" s="611">
        <v>0.63498415981931611</v>
      </c>
      <c r="H13" s="611">
        <v>385.36650593088063</v>
      </c>
      <c r="I13" s="611">
        <v>0</v>
      </c>
      <c r="J13" s="611">
        <v>0</v>
      </c>
      <c r="K13" s="611">
        <v>0</v>
      </c>
      <c r="L13" s="611">
        <v>2.5596276020988169</v>
      </c>
      <c r="M13" s="611">
        <v>0</v>
      </c>
      <c r="N13" s="611">
        <v>3.8539533574131823</v>
      </c>
      <c r="O13" s="611">
        <v>0</v>
      </c>
      <c r="P13" s="611">
        <v>0</v>
      </c>
      <c r="Q13" s="611">
        <v>0</v>
      </c>
      <c r="R13" s="611">
        <v>0</v>
      </c>
      <c r="S13" s="611">
        <v>0</v>
      </c>
      <c r="T13" s="611">
        <v>0</v>
      </c>
      <c r="U13" s="613">
        <v>1176.1058721979732</v>
      </c>
      <c r="V13" s="51"/>
    </row>
    <row r="14" spans="3:22" x14ac:dyDescent="0.25">
      <c r="C14" s="610" t="s">
        <v>61</v>
      </c>
      <c r="D14" s="611">
        <v>0</v>
      </c>
      <c r="E14" s="611">
        <v>0</v>
      </c>
      <c r="F14" s="611">
        <v>5.1264434786983486</v>
      </c>
      <c r="G14" s="611">
        <v>0</v>
      </c>
      <c r="H14" s="611">
        <v>0</v>
      </c>
      <c r="I14" s="611">
        <v>0</v>
      </c>
      <c r="J14" s="611">
        <v>0</v>
      </c>
      <c r="K14" s="611">
        <v>0</v>
      </c>
      <c r="L14" s="611">
        <v>0</v>
      </c>
      <c r="M14" s="611">
        <v>0</v>
      </c>
      <c r="N14" s="611">
        <v>0</v>
      </c>
      <c r="O14" s="611">
        <v>0</v>
      </c>
      <c r="P14" s="611">
        <v>0</v>
      </c>
      <c r="Q14" s="611">
        <v>0</v>
      </c>
      <c r="R14" s="611">
        <v>-60.64963620940091</v>
      </c>
      <c r="S14" s="611">
        <v>0</v>
      </c>
      <c r="T14" s="611">
        <v>0</v>
      </c>
      <c r="U14" s="613">
        <v>-55.523192730702561</v>
      </c>
      <c r="V14" s="51"/>
    </row>
    <row r="15" spans="3:22" x14ac:dyDescent="0.25">
      <c r="C15" s="610" t="s">
        <v>62</v>
      </c>
      <c r="D15" s="611">
        <v>0</v>
      </c>
      <c r="E15" s="611">
        <v>0</v>
      </c>
      <c r="F15" s="611">
        <v>-16.009162442195709</v>
      </c>
      <c r="G15" s="611">
        <v>0</v>
      </c>
      <c r="H15" s="611">
        <v>-2.4856333304548865</v>
      </c>
      <c r="I15" s="611">
        <v>0</v>
      </c>
      <c r="J15" s="611">
        <v>0</v>
      </c>
      <c r="K15" s="611">
        <v>0</v>
      </c>
      <c r="L15" s="611">
        <v>0</v>
      </c>
      <c r="M15" s="611">
        <v>0</v>
      </c>
      <c r="N15" s="611">
        <v>-0.46030246860275681</v>
      </c>
      <c r="O15" s="611">
        <v>-0.27618148116165403</v>
      </c>
      <c r="P15" s="611">
        <v>0</v>
      </c>
      <c r="Q15" s="611">
        <v>0</v>
      </c>
      <c r="R15" s="611">
        <v>0</v>
      </c>
      <c r="S15" s="611">
        <v>0</v>
      </c>
      <c r="T15" s="611">
        <v>0</v>
      </c>
      <c r="U15" s="613">
        <v>-19.231279722415007</v>
      </c>
      <c r="V15" s="51"/>
    </row>
    <row r="16" spans="3:22" x14ac:dyDescent="0.25">
      <c r="C16" s="610" t="s">
        <v>63</v>
      </c>
      <c r="D16" s="611">
        <v>0</v>
      </c>
      <c r="E16" s="611">
        <v>0</v>
      </c>
      <c r="F16" s="611">
        <v>-68.811122445116922</v>
      </c>
      <c r="G16" s="611">
        <v>0</v>
      </c>
      <c r="H16" s="611">
        <v>0</v>
      </c>
      <c r="I16" s="611">
        <v>0</v>
      </c>
      <c r="J16" s="611">
        <v>0</v>
      </c>
      <c r="K16" s="611">
        <v>0</v>
      </c>
      <c r="L16" s="611">
        <v>0</v>
      </c>
      <c r="M16" s="611">
        <v>0</v>
      </c>
      <c r="N16" s="611">
        <v>-1.4327774571766247</v>
      </c>
      <c r="O16" s="611">
        <v>0</v>
      </c>
      <c r="P16" s="611">
        <v>0</v>
      </c>
      <c r="Q16" s="611">
        <v>0</v>
      </c>
      <c r="R16" s="611">
        <v>0</v>
      </c>
      <c r="S16" s="611">
        <v>0</v>
      </c>
      <c r="T16" s="611">
        <v>0</v>
      </c>
      <c r="U16" s="613">
        <v>-70.243899902293549</v>
      </c>
      <c r="V16" s="51"/>
    </row>
    <row r="17" spans="3:22" x14ac:dyDescent="0.25">
      <c r="C17" s="610" t="s">
        <v>64</v>
      </c>
      <c r="D17" s="611">
        <v>0</v>
      </c>
      <c r="E17" s="611">
        <v>0</v>
      </c>
      <c r="F17" s="611">
        <v>0</v>
      </c>
      <c r="G17" s="611">
        <v>0</v>
      </c>
      <c r="H17" s="611">
        <v>0</v>
      </c>
      <c r="I17" s="611">
        <v>0</v>
      </c>
      <c r="J17" s="611">
        <v>0</v>
      </c>
      <c r="K17" s="611">
        <v>0</v>
      </c>
      <c r="L17" s="611">
        <v>0</v>
      </c>
      <c r="M17" s="611">
        <v>0</v>
      </c>
      <c r="N17" s="611">
        <v>0</v>
      </c>
      <c r="O17" s="611">
        <v>0</v>
      </c>
      <c r="P17" s="611">
        <v>0</v>
      </c>
      <c r="Q17" s="611">
        <v>0</v>
      </c>
      <c r="R17" s="611">
        <v>0</v>
      </c>
      <c r="S17" s="611">
        <v>0</v>
      </c>
      <c r="T17" s="611">
        <v>0</v>
      </c>
      <c r="U17" s="613">
        <v>0</v>
      </c>
      <c r="V17" s="51"/>
    </row>
    <row r="18" spans="3:22" x14ac:dyDescent="0.25">
      <c r="C18" s="614" t="s">
        <v>65</v>
      </c>
      <c r="D18" s="615">
        <v>44.373058103150619</v>
      </c>
      <c r="E18" s="615">
        <v>491.43724331592273</v>
      </c>
      <c r="F18" s="615">
        <v>177.9558583200737</v>
      </c>
      <c r="G18" s="615">
        <v>0.63498415981931611</v>
      </c>
      <c r="H18" s="615">
        <v>383.06695260042574</v>
      </c>
      <c r="I18" s="615">
        <v>0</v>
      </c>
      <c r="J18" s="615">
        <v>1176.7122181818183</v>
      </c>
      <c r="K18" s="615">
        <v>152.240316784774</v>
      </c>
      <c r="L18" s="615">
        <v>284.21747318642633</v>
      </c>
      <c r="M18" s="615">
        <v>21.015880490871673</v>
      </c>
      <c r="N18" s="615">
        <v>3.8420309344340784</v>
      </c>
      <c r="O18" s="615">
        <v>-0.1237604840242762</v>
      </c>
      <c r="P18" s="615">
        <v>74.315707301277087</v>
      </c>
      <c r="Q18" s="615">
        <v>9.3796115551408299</v>
      </c>
      <c r="R18" s="615">
        <v>-60.64963620940091</v>
      </c>
      <c r="S18" s="615">
        <v>0</v>
      </c>
      <c r="T18" s="615">
        <v>0</v>
      </c>
      <c r="U18" s="615">
        <v>2737.4976685437746</v>
      </c>
      <c r="V18" s="51"/>
    </row>
    <row r="19" spans="3:22" x14ac:dyDescent="0.25">
      <c r="C19" s="616"/>
      <c r="D19" s="617"/>
      <c r="E19" s="617"/>
      <c r="F19" s="617"/>
      <c r="G19" s="617"/>
      <c r="H19" s="623"/>
      <c r="I19" s="617"/>
      <c r="J19" s="617"/>
      <c r="K19" s="617"/>
      <c r="L19" s="617"/>
      <c r="M19" s="617"/>
      <c r="N19" s="617"/>
      <c r="O19" s="617"/>
      <c r="P19" s="617"/>
      <c r="Q19" s="617"/>
      <c r="R19" s="617"/>
      <c r="S19" s="617"/>
      <c r="T19" s="617"/>
      <c r="U19" s="617"/>
      <c r="V19" s="51"/>
    </row>
    <row r="20" spans="3:22" x14ac:dyDescent="0.25">
      <c r="C20" s="618" t="s">
        <v>67</v>
      </c>
      <c r="D20" s="611">
        <v>0</v>
      </c>
      <c r="E20" s="611">
        <v>0</v>
      </c>
      <c r="F20" s="611">
        <v>0</v>
      </c>
      <c r="G20" s="611">
        <v>0</v>
      </c>
      <c r="H20" s="611">
        <v>0</v>
      </c>
      <c r="I20" s="611">
        <v>0</v>
      </c>
      <c r="J20" s="611">
        <v>0</v>
      </c>
      <c r="K20" s="611">
        <v>0</v>
      </c>
      <c r="L20" s="611">
        <v>0</v>
      </c>
      <c r="M20" s="611">
        <v>0</v>
      </c>
      <c r="N20" s="611">
        <v>0</v>
      </c>
      <c r="O20" s="611">
        <v>0</v>
      </c>
      <c r="P20" s="611">
        <v>0</v>
      </c>
      <c r="Q20" s="611">
        <v>0</v>
      </c>
      <c r="R20" s="611">
        <v>0</v>
      </c>
      <c r="S20" s="611">
        <v>0</v>
      </c>
      <c r="T20" s="611">
        <v>0</v>
      </c>
      <c r="U20" s="619">
        <v>0</v>
      </c>
      <c r="V20" s="51"/>
    </row>
    <row r="21" spans="3:22" x14ac:dyDescent="0.25">
      <c r="C21" s="618" t="s">
        <v>347</v>
      </c>
      <c r="D21" s="611">
        <v>0</v>
      </c>
      <c r="E21" s="611">
        <v>0</v>
      </c>
      <c r="F21" s="611">
        <v>1.2480917967309697</v>
      </c>
      <c r="G21" s="611">
        <v>0</v>
      </c>
      <c r="H21" s="611">
        <v>57.424160241509412</v>
      </c>
      <c r="I21" s="611">
        <v>0</v>
      </c>
      <c r="J21" s="611">
        <v>1176.7122181818183</v>
      </c>
      <c r="K21" s="611">
        <v>152.240316784774</v>
      </c>
      <c r="L21" s="611">
        <v>29.806224426043897</v>
      </c>
      <c r="M21" s="611">
        <v>0.75076470734973844</v>
      </c>
      <c r="N21" s="611">
        <v>5.5512316182098811</v>
      </c>
      <c r="O21" s="611">
        <v>8.6970276246297633</v>
      </c>
      <c r="P21" s="611">
        <v>0</v>
      </c>
      <c r="Q21" s="611">
        <v>0.31861460974897526</v>
      </c>
      <c r="R21" s="611">
        <v>-593.29410548285898</v>
      </c>
      <c r="S21" s="611">
        <v>0</v>
      </c>
      <c r="T21" s="611">
        <v>0</v>
      </c>
      <c r="U21" s="619">
        <v>839.45454450795603</v>
      </c>
      <c r="V21" s="51"/>
    </row>
    <row r="22" spans="3:22" x14ac:dyDescent="0.25">
      <c r="C22" s="618" t="s">
        <v>348</v>
      </c>
      <c r="D22" s="611">
        <v>0.1931818181818182</v>
      </c>
      <c r="E22" s="611">
        <v>0</v>
      </c>
      <c r="F22" s="611">
        <v>0</v>
      </c>
      <c r="G22" s="611">
        <v>0</v>
      </c>
      <c r="H22" s="611">
        <v>17.330139562351146</v>
      </c>
      <c r="I22" s="611">
        <v>0</v>
      </c>
      <c r="J22" s="611">
        <v>0</v>
      </c>
      <c r="K22" s="611">
        <v>0</v>
      </c>
      <c r="L22" s="611">
        <v>24.453550946035321</v>
      </c>
      <c r="M22" s="611">
        <v>14.836563069212596</v>
      </c>
      <c r="N22" s="611">
        <v>0</v>
      </c>
      <c r="O22" s="611">
        <v>3.0707344574080926</v>
      </c>
      <c r="P22" s="611">
        <v>0</v>
      </c>
      <c r="Q22" s="611">
        <v>5.2038019693589428</v>
      </c>
      <c r="R22" s="611">
        <v>0</v>
      </c>
      <c r="S22" s="611">
        <v>-58.530702869348033</v>
      </c>
      <c r="T22" s="611">
        <v>0</v>
      </c>
      <c r="U22" s="619">
        <v>6.5572689531998805</v>
      </c>
      <c r="V22" s="51"/>
    </row>
    <row r="23" spans="3:22" x14ac:dyDescent="0.25">
      <c r="C23" s="618" t="s">
        <v>349</v>
      </c>
      <c r="D23" s="611">
        <v>0</v>
      </c>
      <c r="E23" s="611">
        <v>0</v>
      </c>
      <c r="F23" s="611">
        <v>0</v>
      </c>
      <c r="G23" s="611">
        <v>0</v>
      </c>
      <c r="H23" s="611">
        <v>0</v>
      </c>
      <c r="I23" s="611">
        <v>0</v>
      </c>
      <c r="J23" s="611">
        <v>0</v>
      </c>
      <c r="K23" s="611">
        <v>0</v>
      </c>
      <c r="L23" s="611">
        <v>51.438196075617952</v>
      </c>
      <c r="M23" s="611">
        <v>0</v>
      </c>
      <c r="N23" s="611">
        <v>0</v>
      </c>
      <c r="O23" s="611">
        <v>-28.291007841589874</v>
      </c>
      <c r="P23" s="611">
        <v>0</v>
      </c>
      <c r="Q23" s="611">
        <v>0</v>
      </c>
      <c r="R23" s="611">
        <v>0</v>
      </c>
      <c r="S23" s="611">
        <v>0</v>
      </c>
      <c r="T23" s="611">
        <v>0</v>
      </c>
      <c r="U23" s="619">
        <v>23.147188234028079</v>
      </c>
      <c r="V23" s="51"/>
    </row>
    <row r="24" spans="3:22" x14ac:dyDescent="0.25">
      <c r="C24" s="618" t="s">
        <v>350</v>
      </c>
      <c r="D24" s="611">
        <v>0</v>
      </c>
      <c r="E24" s="611">
        <v>0</v>
      </c>
      <c r="F24" s="611">
        <v>0</v>
      </c>
      <c r="G24" s="611">
        <v>0</v>
      </c>
      <c r="H24" s="611">
        <v>0</v>
      </c>
      <c r="I24" s="611">
        <v>0</v>
      </c>
      <c r="J24" s="611">
        <v>0</v>
      </c>
      <c r="K24" s="611">
        <v>0</v>
      </c>
      <c r="L24" s="611">
        <v>0</v>
      </c>
      <c r="M24" s="611">
        <v>0</v>
      </c>
      <c r="N24" s="611">
        <v>0</v>
      </c>
      <c r="O24" s="611">
        <v>0</v>
      </c>
      <c r="P24" s="611">
        <v>0</v>
      </c>
      <c r="Q24" s="611">
        <v>0</v>
      </c>
      <c r="R24" s="611">
        <v>0</v>
      </c>
      <c r="S24" s="611">
        <v>0</v>
      </c>
      <c r="T24" s="611">
        <v>0</v>
      </c>
      <c r="U24" s="619">
        <v>0</v>
      </c>
      <c r="V24" s="51"/>
    </row>
    <row r="25" spans="3:22" x14ac:dyDescent="0.25">
      <c r="C25" s="618" t="s">
        <v>72</v>
      </c>
      <c r="D25" s="611">
        <v>0</v>
      </c>
      <c r="E25" s="611">
        <v>509.3424711498314</v>
      </c>
      <c r="F25" s="611">
        <v>-504.27468514640634</v>
      </c>
      <c r="G25" s="611">
        <v>0</v>
      </c>
      <c r="H25" s="611">
        <v>0</v>
      </c>
      <c r="I25" s="611">
        <v>0</v>
      </c>
      <c r="J25" s="611">
        <v>0</v>
      </c>
      <c r="K25" s="611">
        <v>0</v>
      </c>
      <c r="L25" s="611">
        <v>0</v>
      </c>
      <c r="M25" s="611">
        <v>0</v>
      </c>
      <c r="N25" s="611">
        <v>0</v>
      </c>
      <c r="O25" s="611">
        <v>0</v>
      </c>
      <c r="P25" s="611">
        <v>0</v>
      </c>
      <c r="Q25" s="611">
        <v>0</v>
      </c>
      <c r="R25" s="611">
        <v>0</v>
      </c>
      <c r="S25" s="611">
        <v>0</v>
      </c>
      <c r="T25" s="611">
        <v>0</v>
      </c>
      <c r="U25" s="619">
        <v>5.0677860034250557</v>
      </c>
      <c r="V25" s="51"/>
    </row>
    <row r="26" spans="3:22" x14ac:dyDescent="0.25">
      <c r="C26" s="618" t="s">
        <v>351</v>
      </c>
      <c r="D26" s="611">
        <v>0</v>
      </c>
      <c r="E26" s="611">
        <v>0</v>
      </c>
      <c r="F26" s="611">
        <v>0</v>
      </c>
      <c r="G26" s="611">
        <v>0</v>
      </c>
      <c r="H26" s="611">
        <v>0</v>
      </c>
      <c r="I26" s="611">
        <v>0</v>
      </c>
      <c r="J26" s="611">
        <v>0</v>
      </c>
      <c r="K26" s="611">
        <v>0</v>
      </c>
      <c r="L26" s="611">
        <v>87.682497211478818</v>
      </c>
      <c r="M26" s="611">
        <v>0</v>
      </c>
      <c r="N26" s="611">
        <v>-48.225373466313343</v>
      </c>
      <c r="O26" s="611">
        <v>0</v>
      </c>
      <c r="P26" s="611">
        <v>0</v>
      </c>
      <c r="Q26" s="611">
        <v>0</v>
      </c>
      <c r="R26" s="611">
        <v>0</v>
      </c>
      <c r="S26" s="611">
        <v>0</v>
      </c>
      <c r="T26" s="611">
        <v>0</v>
      </c>
      <c r="U26" s="619">
        <v>39.457123745165475</v>
      </c>
      <c r="V26" s="51"/>
    </row>
    <row r="27" spans="3:22" x14ac:dyDescent="0.25">
      <c r="C27" s="618" t="s">
        <v>352</v>
      </c>
      <c r="D27" s="611">
        <v>0</v>
      </c>
      <c r="E27" s="611">
        <v>0</v>
      </c>
      <c r="F27" s="611">
        <v>0</v>
      </c>
      <c r="G27" s="611">
        <v>0</v>
      </c>
      <c r="H27" s="611">
        <v>0</v>
      </c>
      <c r="I27" s="611">
        <v>0</v>
      </c>
      <c r="J27" s="611">
        <v>0</v>
      </c>
      <c r="K27" s="611">
        <v>0</v>
      </c>
      <c r="L27" s="611">
        <v>0</v>
      </c>
      <c r="M27" s="611">
        <v>0</v>
      </c>
      <c r="N27" s="611">
        <v>0</v>
      </c>
      <c r="O27" s="611">
        <v>0</v>
      </c>
      <c r="P27" s="611">
        <v>0</v>
      </c>
      <c r="Q27" s="611">
        <v>0</v>
      </c>
      <c r="R27" s="611">
        <v>0</v>
      </c>
      <c r="S27" s="611">
        <v>0</v>
      </c>
      <c r="T27" s="611">
        <v>0</v>
      </c>
      <c r="U27" s="619">
        <v>0</v>
      </c>
      <c r="V27" s="51"/>
    </row>
    <row r="28" spans="3:22" x14ac:dyDescent="0.25">
      <c r="C28" s="618" t="s">
        <v>73</v>
      </c>
      <c r="D28" s="611">
        <v>0</v>
      </c>
      <c r="E28" s="611">
        <v>0</v>
      </c>
      <c r="F28" s="611">
        <v>0</v>
      </c>
      <c r="G28" s="611">
        <v>0</v>
      </c>
      <c r="H28" s="611">
        <v>0</v>
      </c>
      <c r="I28" s="611">
        <v>0</v>
      </c>
      <c r="J28" s="611">
        <v>0</v>
      </c>
      <c r="K28" s="611">
        <v>0</v>
      </c>
      <c r="L28" s="611">
        <v>0</v>
      </c>
      <c r="M28" s="611">
        <v>0</v>
      </c>
      <c r="N28" s="611">
        <v>0</v>
      </c>
      <c r="O28" s="611">
        <v>0</v>
      </c>
      <c r="P28" s="611">
        <v>0</v>
      </c>
      <c r="Q28" s="611">
        <v>0</v>
      </c>
      <c r="R28" s="611">
        <v>1.5554055303907433</v>
      </c>
      <c r="S28" s="611">
        <v>0</v>
      </c>
      <c r="T28" s="611">
        <v>-1.0110135947539831</v>
      </c>
      <c r="U28" s="619">
        <v>0.54439193563676014</v>
      </c>
      <c r="V28" s="51"/>
    </row>
    <row r="29" spans="3:22" x14ac:dyDescent="0.25">
      <c r="C29" s="618" t="s">
        <v>353</v>
      </c>
      <c r="D29" s="611">
        <v>27.267752812500003</v>
      </c>
      <c r="E29" s="611">
        <v>-17.905227833908707</v>
      </c>
      <c r="F29" s="611">
        <v>23.291810631318608</v>
      </c>
      <c r="G29" s="611">
        <v>0</v>
      </c>
      <c r="H29" s="611">
        <v>0</v>
      </c>
      <c r="I29" s="611">
        <v>0</v>
      </c>
      <c r="J29" s="611">
        <v>0</v>
      </c>
      <c r="K29" s="611">
        <v>0</v>
      </c>
      <c r="L29" s="611">
        <v>0</v>
      </c>
      <c r="M29" s="611">
        <v>0</v>
      </c>
      <c r="N29" s="611">
        <v>0</v>
      </c>
      <c r="O29" s="611">
        <v>0</v>
      </c>
      <c r="P29" s="611">
        <v>0</v>
      </c>
      <c r="Q29" s="611">
        <v>0</v>
      </c>
      <c r="R29" s="611">
        <v>0</v>
      </c>
      <c r="S29" s="611">
        <v>0</v>
      </c>
      <c r="T29" s="611">
        <v>0</v>
      </c>
      <c r="U29" s="619">
        <v>32.654335609909907</v>
      </c>
      <c r="V29" s="51"/>
    </row>
    <row r="30" spans="3:22" x14ac:dyDescent="0.25">
      <c r="C30" s="618" t="s">
        <v>75</v>
      </c>
      <c r="D30" s="611">
        <v>10.604126093750002</v>
      </c>
      <c r="E30" s="611">
        <v>0</v>
      </c>
      <c r="F30" s="611">
        <v>17.554057596565926</v>
      </c>
      <c r="G30" s="611">
        <v>0</v>
      </c>
      <c r="H30" s="611">
        <v>5.487827419085181</v>
      </c>
      <c r="I30" s="611">
        <v>0</v>
      </c>
      <c r="J30" s="611">
        <v>0</v>
      </c>
      <c r="K30" s="611">
        <v>0</v>
      </c>
      <c r="L30" s="611">
        <v>0</v>
      </c>
      <c r="M30" s="611">
        <v>0</v>
      </c>
      <c r="N30" s="611">
        <v>0</v>
      </c>
      <c r="O30" s="611">
        <v>0.28883302205711481</v>
      </c>
      <c r="P30" s="611">
        <v>0</v>
      </c>
      <c r="Q30" s="611">
        <v>0</v>
      </c>
      <c r="R30" s="611">
        <v>42.752398557782683</v>
      </c>
      <c r="S30" s="611">
        <v>0</v>
      </c>
      <c r="T30" s="611">
        <v>0</v>
      </c>
      <c r="U30" s="619">
        <v>76.687242689240904</v>
      </c>
      <c r="V30" s="51"/>
    </row>
    <row r="31" spans="3:22" x14ac:dyDescent="0.25">
      <c r="C31" s="618" t="s">
        <v>76</v>
      </c>
      <c r="D31" s="611">
        <v>0</v>
      </c>
      <c r="E31" s="611">
        <v>0</v>
      </c>
      <c r="F31" s="611">
        <v>0</v>
      </c>
      <c r="G31" s="611">
        <v>0</v>
      </c>
      <c r="H31" s="611">
        <v>4.4692306192277789</v>
      </c>
      <c r="I31" s="611">
        <v>0</v>
      </c>
      <c r="J31" s="611">
        <v>0</v>
      </c>
      <c r="K31" s="611">
        <v>0</v>
      </c>
      <c r="L31" s="611">
        <v>0</v>
      </c>
      <c r="M31" s="611">
        <v>0</v>
      </c>
      <c r="N31" s="611">
        <v>0</v>
      </c>
      <c r="O31" s="611">
        <v>0.23522266416988311</v>
      </c>
      <c r="P31" s="611">
        <v>0</v>
      </c>
      <c r="Q31" s="611">
        <v>0</v>
      </c>
      <c r="R31" s="611">
        <v>40.801862855944734</v>
      </c>
      <c r="S31" s="611">
        <v>4.5397272426380306</v>
      </c>
      <c r="T31" s="611">
        <v>0</v>
      </c>
      <c r="U31" s="619">
        <v>50.046043381980425</v>
      </c>
      <c r="V31" s="51"/>
    </row>
    <row r="32" spans="3:22" x14ac:dyDescent="0.25">
      <c r="C32" s="614" t="s">
        <v>77</v>
      </c>
      <c r="D32" s="615">
        <v>38.065060724431824</v>
      </c>
      <c r="E32" s="615">
        <v>491.43724331592267</v>
      </c>
      <c r="F32" s="615">
        <v>-462.18072512179083</v>
      </c>
      <c r="G32" s="615">
        <v>0</v>
      </c>
      <c r="H32" s="615">
        <v>84.711357842173513</v>
      </c>
      <c r="I32" s="615">
        <v>0</v>
      </c>
      <c r="J32" s="615">
        <v>1176.7122181818183</v>
      </c>
      <c r="K32" s="615">
        <v>152.240316784774</v>
      </c>
      <c r="L32" s="615">
        <v>193.38046865917599</v>
      </c>
      <c r="M32" s="615">
        <v>15.587327776562335</v>
      </c>
      <c r="N32" s="615">
        <v>-42.67414184810346</v>
      </c>
      <c r="O32" s="615">
        <v>-15.999190073325019</v>
      </c>
      <c r="P32" s="615">
        <v>0</v>
      </c>
      <c r="Q32" s="615">
        <v>5.5224165791079178</v>
      </c>
      <c r="R32" s="615">
        <v>-508.18443853874078</v>
      </c>
      <c r="S32" s="615">
        <v>-53.990975626710004</v>
      </c>
      <c r="T32" s="615">
        <v>-1.0110135947539831</v>
      </c>
      <c r="U32" s="615">
        <v>1052.6956553636076</v>
      </c>
      <c r="V32" s="51"/>
    </row>
    <row r="33" spans="3:22" x14ac:dyDescent="0.25">
      <c r="C33" s="616"/>
      <c r="D33" s="617"/>
      <c r="E33" s="617"/>
      <c r="F33" s="617"/>
      <c r="G33" s="617"/>
      <c r="H33" s="623"/>
      <c r="I33" s="617"/>
      <c r="J33" s="617"/>
      <c r="K33" s="617"/>
      <c r="L33" s="617"/>
      <c r="M33" s="617"/>
      <c r="N33" s="617"/>
      <c r="O33" s="617"/>
      <c r="P33" s="617"/>
      <c r="Q33" s="617"/>
      <c r="R33" s="617"/>
      <c r="S33" s="617"/>
      <c r="T33" s="617"/>
      <c r="U33" s="617"/>
      <c r="V33" s="51"/>
    </row>
    <row r="34" spans="3:22" x14ac:dyDescent="0.25">
      <c r="C34" s="618" t="s">
        <v>78</v>
      </c>
      <c r="D34" s="611">
        <v>6.3079973787187962</v>
      </c>
      <c r="E34" s="611">
        <v>0</v>
      </c>
      <c r="F34" s="611">
        <v>21.669942218787114</v>
      </c>
      <c r="G34" s="681">
        <v>0</v>
      </c>
      <c r="H34" s="611">
        <v>102.6617635637746</v>
      </c>
      <c r="I34" s="611">
        <v>0</v>
      </c>
      <c r="J34" s="611">
        <v>0</v>
      </c>
      <c r="K34" s="611">
        <v>0</v>
      </c>
      <c r="L34" s="611">
        <v>18.096562918466454</v>
      </c>
      <c r="M34" s="611">
        <v>5.427937458160871</v>
      </c>
      <c r="N34" s="611">
        <v>0.8476478513209047</v>
      </c>
      <c r="O34" s="611">
        <v>5.4267911970332632</v>
      </c>
      <c r="P34" s="611">
        <v>2.4387543945312502</v>
      </c>
      <c r="Q34" s="611">
        <v>4.7991131198633983E-4</v>
      </c>
      <c r="R34" s="611">
        <v>128.0707707310485</v>
      </c>
      <c r="S34" s="611">
        <v>19.852648297903425</v>
      </c>
      <c r="T34" s="611">
        <v>0.5635193481445312</v>
      </c>
      <c r="U34" s="619">
        <v>311.36481526920176</v>
      </c>
      <c r="V34" s="51"/>
    </row>
    <row r="35" spans="3:22" x14ac:dyDescent="0.25">
      <c r="C35" s="618" t="s">
        <v>79</v>
      </c>
      <c r="D35" s="611">
        <v>0</v>
      </c>
      <c r="E35" s="611">
        <v>0</v>
      </c>
      <c r="F35" s="611">
        <v>405.6747609386457</v>
      </c>
      <c r="G35" s="681">
        <v>0</v>
      </c>
      <c r="H35" s="611">
        <v>4.0775382013137236</v>
      </c>
      <c r="I35" s="611">
        <v>0</v>
      </c>
      <c r="J35" s="611">
        <v>0</v>
      </c>
      <c r="K35" s="611">
        <v>0</v>
      </c>
      <c r="L35" s="611">
        <v>0</v>
      </c>
      <c r="M35" s="611">
        <v>0</v>
      </c>
      <c r="N35" s="611">
        <v>42.098104263639655</v>
      </c>
      <c r="O35" s="611">
        <v>0.21460727375335389</v>
      </c>
      <c r="P35" s="611">
        <v>0</v>
      </c>
      <c r="Q35" s="611">
        <v>0</v>
      </c>
      <c r="R35" s="611">
        <v>16.304325769708704</v>
      </c>
      <c r="S35" s="611">
        <v>0</v>
      </c>
      <c r="T35" s="611">
        <v>0</v>
      </c>
      <c r="U35" s="619">
        <v>468.36933644706113</v>
      </c>
      <c r="V35" s="51"/>
    </row>
    <row r="36" spans="3:22" x14ac:dyDescent="0.25">
      <c r="C36" s="618" t="s">
        <v>80</v>
      </c>
      <c r="D36" s="611">
        <v>0</v>
      </c>
      <c r="E36" s="611">
        <v>0</v>
      </c>
      <c r="F36" s="611">
        <v>24.337177976891855</v>
      </c>
      <c r="G36" s="681">
        <v>0</v>
      </c>
      <c r="H36" s="611">
        <v>113.38516289064424</v>
      </c>
      <c r="I36" s="611">
        <v>0</v>
      </c>
      <c r="J36" s="611">
        <v>0</v>
      </c>
      <c r="K36" s="611">
        <v>0</v>
      </c>
      <c r="L36" s="611">
        <v>70.998815146846852</v>
      </c>
      <c r="M36" s="611">
        <v>0</v>
      </c>
      <c r="N36" s="611">
        <v>0</v>
      </c>
      <c r="O36" s="611">
        <v>5.9676401521391718</v>
      </c>
      <c r="P36" s="611">
        <v>52.187634724927648</v>
      </c>
      <c r="Q36" s="611">
        <v>1.4641172536229392</v>
      </c>
      <c r="R36" s="611">
        <v>168.29063884176477</v>
      </c>
      <c r="S36" s="611">
        <v>20.229146255578474</v>
      </c>
      <c r="T36" s="611">
        <v>0</v>
      </c>
      <c r="U36" s="619">
        <v>456.860333242416</v>
      </c>
      <c r="V36" s="51"/>
    </row>
    <row r="37" spans="3:22" x14ac:dyDescent="0.25">
      <c r="C37" s="618" t="s">
        <v>81</v>
      </c>
      <c r="D37" s="611">
        <v>0</v>
      </c>
      <c r="E37" s="611">
        <v>0</v>
      </c>
      <c r="F37" s="611">
        <v>18.909234956146378</v>
      </c>
      <c r="G37" s="681">
        <v>0</v>
      </c>
      <c r="H37" s="611">
        <v>62.121409416066491</v>
      </c>
      <c r="I37" s="611">
        <v>0</v>
      </c>
      <c r="J37" s="611">
        <v>0</v>
      </c>
      <c r="K37" s="611">
        <v>0</v>
      </c>
      <c r="L37" s="611">
        <v>0.46</v>
      </c>
      <c r="M37" s="611">
        <v>0</v>
      </c>
      <c r="N37" s="611">
        <v>0</v>
      </c>
      <c r="O37" s="611">
        <v>3.2695478640035001</v>
      </c>
      <c r="P37" s="611">
        <v>19.439318181818184</v>
      </c>
      <c r="Q37" s="611">
        <v>2.0319364984711283</v>
      </c>
      <c r="R37" s="611">
        <v>127.45830258088461</v>
      </c>
      <c r="S37" s="611">
        <v>13.909181073228105</v>
      </c>
      <c r="T37" s="611">
        <v>0</v>
      </c>
      <c r="U37" s="619">
        <v>247.59893057061836</v>
      </c>
      <c r="V37" s="51"/>
    </row>
    <row r="38" spans="3:22" x14ac:dyDescent="0.25">
      <c r="C38" s="618" t="s">
        <v>82</v>
      </c>
      <c r="D38" s="611">
        <v>0</v>
      </c>
      <c r="E38" s="611">
        <v>0</v>
      </c>
      <c r="F38" s="611">
        <v>34.748276704386512</v>
      </c>
      <c r="G38" s="681">
        <v>0</v>
      </c>
      <c r="H38" s="611">
        <v>2.6286611414480774</v>
      </c>
      <c r="I38" s="611">
        <v>0</v>
      </c>
      <c r="J38" s="611">
        <v>0</v>
      </c>
      <c r="K38" s="611">
        <v>0</v>
      </c>
      <c r="L38" s="611">
        <v>1.231116194924712</v>
      </c>
      <c r="M38" s="611">
        <v>0</v>
      </c>
      <c r="N38" s="611">
        <v>2.9265512805923848</v>
      </c>
      <c r="O38" s="611">
        <v>0.13835058639200409</v>
      </c>
      <c r="P38" s="611">
        <v>0.25</v>
      </c>
      <c r="Q38" s="611">
        <v>0.36066131262685786</v>
      </c>
      <c r="R38" s="611">
        <v>7.4107644059332527</v>
      </c>
      <c r="S38" s="611">
        <v>0</v>
      </c>
      <c r="T38" s="611">
        <v>8.6831190235855574E-2</v>
      </c>
      <c r="U38" s="619">
        <v>49.78121281653965</v>
      </c>
      <c r="V38" s="51"/>
    </row>
    <row r="39" spans="3:22" x14ac:dyDescent="0.25">
      <c r="C39" s="618" t="s">
        <v>354</v>
      </c>
      <c r="D39" s="611">
        <v>0</v>
      </c>
      <c r="E39" s="611">
        <v>0</v>
      </c>
      <c r="F39" s="611">
        <v>0</v>
      </c>
      <c r="G39" s="681">
        <v>0</v>
      </c>
      <c r="H39" s="611">
        <v>0</v>
      </c>
      <c r="I39" s="611">
        <v>0</v>
      </c>
      <c r="J39" s="611">
        <v>0</v>
      </c>
      <c r="K39" s="611">
        <v>0</v>
      </c>
      <c r="L39" s="611">
        <v>0</v>
      </c>
      <c r="M39" s="611">
        <v>0</v>
      </c>
      <c r="N39" s="611">
        <v>0</v>
      </c>
      <c r="O39" s="611">
        <v>0</v>
      </c>
      <c r="P39" s="611">
        <v>0</v>
      </c>
      <c r="Q39" s="611">
        <v>0</v>
      </c>
      <c r="R39" s="611">
        <v>0</v>
      </c>
      <c r="S39" s="611">
        <v>0</v>
      </c>
      <c r="T39" s="611">
        <v>0</v>
      </c>
      <c r="U39" s="619">
        <v>0</v>
      </c>
      <c r="V39" s="51"/>
    </row>
    <row r="40" spans="3:22" x14ac:dyDescent="0.25">
      <c r="C40" s="614" t="s">
        <v>83</v>
      </c>
      <c r="D40" s="615">
        <v>6.3079973787187962</v>
      </c>
      <c r="E40" s="615">
        <v>0</v>
      </c>
      <c r="F40" s="615">
        <v>505.33939279485753</v>
      </c>
      <c r="G40" s="615">
        <v>0</v>
      </c>
      <c r="H40" s="615">
        <v>284.8745352132471</v>
      </c>
      <c r="I40" s="615">
        <v>0</v>
      </c>
      <c r="J40" s="615">
        <v>0</v>
      </c>
      <c r="K40" s="615">
        <v>0</v>
      </c>
      <c r="L40" s="615">
        <v>90.786494260238001</v>
      </c>
      <c r="M40" s="615">
        <v>5.427937458160871</v>
      </c>
      <c r="N40" s="615">
        <v>45.872303395552947</v>
      </c>
      <c r="O40" s="615">
        <v>15.016937073321294</v>
      </c>
      <c r="P40" s="615">
        <v>74.315707301277087</v>
      </c>
      <c r="Q40" s="615">
        <v>3.8571949760329121</v>
      </c>
      <c r="R40" s="615">
        <v>447.53480232933987</v>
      </c>
      <c r="S40" s="615">
        <v>53.990975626710004</v>
      </c>
      <c r="T40" s="615">
        <v>0.65035053838038681</v>
      </c>
      <c r="U40" s="615">
        <v>1533.9746283458371</v>
      </c>
      <c r="V40" s="51"/>
    </row>
    <row r="41" spans="3:22" x14ac:dyDescent="0.25">
      <c r="C41" s="610" t="s">
        <v>84</v>
      </c>
      <c r="D41" s="611">
        <v>0</v>
      </c>
      <c r="E41" s="611">
        <v>0</v>
      </c>
      <c r="F41" s="611">
        <v>134.79719064700697</v>
      </c>
      <c r="G41" s="611">
        <v>0.63498415981931611</v>
      </c>
      <c r="H41" s="611">
        <v>13.481059545005067</v>
      </c>
      <c r="I41" s="611">
        <v>0</v>
      </c>
      <c r="J41" s="611">
        <v>0</v>
      </c>
      <c r="K41" s="611">
        <v>0</v>
      </c>
      <c r="L41" s="611">
        <v>5.0510267012356475E-2</v>
      </c>
      <c r="M41" s="611">
        <v>0</v>
      </c>
      <c r="N41" s="611">
        <v>0.64386938698459384</v>
      </c>
      <c r="O41" s="611">
        <v>0.85849251597945853</v>
      </c>
      <c r="P41" s="611">
        <v>0</v>
      </c>
      <c r="Q41" s="611">
        <v>0</v>
      </c>
      <c r="R41" s="611">
        <v>0</v>
      </c>
      <c r="S41" s="611">
        <v>0</v>
      </c>
      <c r="T41" s="611">
        <v>0.36066305637359619</v>
      </c>
      <c r="U41" s="619">
        <v>150.82676957818137</v>
      </c>
      <c r="V41" s="51"/>
    </row>
    <row r="42" spans="3:22" x14ac:dyDescent="0.25">
      <c r="C42" s="614" t="s">
        <v>85</v>
      </c>
      <c r="D42" s="615">
        <v>6.3079973787187962</v>
      </c>
      <c r="E42" s="615">
        <v>0</v>
      </c>
      <c r="F42" s="615">
        <v>640.13658344186456</v>
      </c>
      <c r="G42" s="615">
        <v>0.63498415981931611</v>
      </c>
      <c r="H42" s="615">
        <v>298.35559475825215</v>
      </c>
      <c r="I42" s="615">
        <v>0</v>
      </c>
      <c r="J42" s="615">
        <v>0</v>
      </c>
      <c r="K42" s="615">
        <v>0</v>
      </c>
      <c r="L42" s="615">
        <v>90.837004527250357</v>
      </c>
      <c r="M42" s="615">
        <v>5.427937458160871</v>
      </c>
      <c r="N42" s="615">
        <v>46.516172782537538</v>
      </c>
      <c r="O42" s="615">
        <v>15.875429589300753</v>
      </c>
      <c r="P42" s="615">
        <v>74.315707301277087</v>
      </c>
      <c r="Q42" s="615">
        <v>3.8571949760329121</v>
      </c>
      <c r="R42" s="615">
        <v>447.53480232933987</v>
      </c>
      <c r="S42" s="615">
        <v>53.990975626710004</v>
      </c>
      <c r="T42" s="615">
        <v>1.0110135947539831</v>
      </c>
      <c r="U42" s="615">
        <v>1684.8013979240186</v>
      </c>
      <c r="V42" s="51"/>
    </row>
    <row r="43" spans="3:22" x14ac:dyDescent="0.25">
      <c r="C43" s="51"/>
      <c r="D43" s="67">
        <v>0</v>
      </c>
      <c r="E43" s="67">
        <v>0</v>
      </c>
      <c r="F43" s="67">
        <v>0</v>
      </c>
      <c r="G43" s="67">
        <v>0</v>
      </c>
      <c r="H43" s="67">
        <v>0</v>
      </c>
      <c r="I43" s="67">
        <v>0</v>
      </c>
      <c r="J43" s="67">
        <v>0</v>
      </c>
      <c r="K43" s="67">
        <v>0</v>
      </c>
      <c r="L43" s="67">
        <v>0</v>
      </c>
      <c r="M43" s="67">
        <v>-6.1525614846758003E-4</v>
      </c>
      <c r="N43" s="67">
        <v>0</v>
      </c>
      <c r="O43" s="67">
        <v>9.4368957093138306E-15</v>
      </c>
      <c r="P43" s="67">
        <v>0</v>
      </c>
      <c r="Q43" s="67">
        <v>0</v>
      </c>
      <c r="R43" s="67">
        <v>0</v>
      </c>
      <c r="S43" s="67">
        <v>0</v>
      </c>
      <c r="T43" s="67">
        <v>0</v>
      </c>
      <c r="U43" s="67">
        <v>-6.1525614864876843E-4</v>
      </c>
      <c r="V43" s="51"/>
    </row>
    <row r="44" spans="3:22" x14ac:dyDescent="0.25">
      <c r="C44" s="51"/>
      <c r="D44" s="51"/>
      <c r="E44" s="51"/>
      <c r="F44" s="51"/>
      <c r="G44" s="51"/>
      <c r="H44" s="51"/>
      <c r="I44" s="51"/>
      <c r="J44" s="51"/>
      <c r="K44" s="51"/>
      <c r="L44" s="51"/>
      <c r="M44" s="51"/>
      <c r="N44" s="51"/>
      <c r="O44" s="51"/>
      <c r="P44" s="51"/>
      <c r="Q44" s="51"/>
      <c r="R44" s="51"/>
      <c r="S44" s="51"/>
      <c r="T44" s="51"/>
      <c r="U44" s="51"/>
      <c r="V44" s="51"/>
    </row>
    <row r="45" spans="3:22" x14ac:dyDescent="0.25">
      <c r="C45" s="607" t="s">
        <v>356</v>
      </c>
      <c r="D45" s="606"/>
      <c r="E45" s="606"/>
      <c r="F45" s="606"/>
      <c r="G45" s="606"/>
      <c r="H45" s="606"/>
      <c r="I45" s="606"/>
      <c r="J45" s="606"/>
      <c r="K45" s="606"/>
      <c r="L45" s="606"/>
      <c r="M45" s="606"/>
      <c r="N45" s="606"/>
      <c r="O45" s="606"/>
      <c r="P45" s="606"/>
      <c r="Q45" s="606"/>
      <c r="R45" s="606"/>
      <c r="S45" s="606"/>
      <c r="T45" s="606"/>
      <c r="U45" s="606"/>
      <c r="V45" s="606"/>
    </row>
    <row r="46" spans="3:22" x14ac:dyDescent="0.25">
      <c r="C46" s="51"/>
      <c r="D46" s="51"/>
      <c r="E46" s="51"/>
      <c r="F46" s="51"/>
      <c r="G46" s="51"/>
      <c r="H46" s="51"/>
      <c r="I46" s="51"/>
      <c r="J46" s="51"/>
      <c r="K46" s="51"/>
      <c r="L46" s="51"/>
      <c r="M46" s="51"/>
      <c r="N46" s="51"/>
      <c r="O46" s="51"/>
      <c r="P46" s="51"/>
      <c r="Q46" s="51"/>
      <c r="R46" s="51"/>
      <c r="S46" s="51"/>
      <c r="T46" s="51"/>
      <c r="U46" s="51"/>
      <c r="V46" s="51"/>
    </row>
    <row r="47" spans="3:22" x14ac:dyDescent="0.25">
      <c r="C47" s="764" t="s">
        <v>128</v>
      </c>
      <c r="D47" s="753" t="s">
        <v>42</v>
      </c>
      <c r="E47" s="753" t="s">
        <v>52</v>
      </c>
      <c r="F47" s="753" t="s">
        <v>53</v>
      </c>
      <c r="G47" s="753" t="s">
        <v>482</v>
      </c>
      <c r="H47" s="753" t="s">
        <v>32</v>
      </c>
      <c r="I47" s="753" t="s">
        <v>483</v>
      </c>
      <c r="J47" s="753" t="s">
        <v>20</v>
      </c>
      <c r="K47" s="753" t="s">
        <v>55</v>
      </c>
      <c r="L47" s="761" t="s">
        <v>56</v>
      </c>
      <c r="M47" s="762"/>
      <c r="N47" s="762"/>
      <c r="O47" s="762"/>
      <c r="P47" s="762"/>
      <c r="Q47" s="763"/>
      <c r="R47" s="753" t="s">
        <v>57</v>
      </c>
      <c r="S47" s="753" t="s">
        <v>58</v>
      </c>
      <c r="T47" s="753" t="s">
        <v>31</v>
      </c>
      <c r="U47" s="753" t="s">
        <v>10</v>
      </c>
      <c r="V47" s="51"/>
    </row>
    <row r="48" spans="3:22" ht="36" x14ac:dyDescent="0.25">
      <c r="C48" s="765"/>
      <c r="D48" s="754"/>
      <c r="E48" s="754"/>
      <c r="F48" s="754"/>
      <c r="G48" s="754"/>
      <c r="H48" s="754"/>
      <c r="I48" s="754"/>
      <c r="J48" s="754"/>
      <c r="K48" s="754"/>
      <c r="L48" s="608" t="s">
        <v>335</v>
      </c>
      <c r="M48" s="608" t="s">
        <v>40</v>
      </c>
      <c r="N48" s="608" t="s">
        <v>343</v>
      </c>
      <c r="O48" s="608" t="s">
        <v>344</v>
      </c>
      <c r="P48" s="609" t="s">
        <v>345</v>
      </c>
      <c r="Q48" s="608" t="s">
        <v>346</v>
      </c>
      <c r="R48" s="754"/>
      <c r="S48" s="754"/>
      <c r="T48" s="754"/>
      <c r="U48" s="754"/>
      <c r="V48" s="51"/>
    </row>
    <row r="49" spans="3:22" x14ac:dyDescent="0.25">
      <c r="C49" s="610" t="s">
        <v>59</v>
      </c>
      <c r="D49" s="611">
        <v>0</v>
      </c>
      <c r="E49" s="611">
        <v>9.7691999999999997</v>
      </c>
      <c r="F49" s="611">
        <v>0</v>
      </c>
      <c r="G49" s="611">
        <v>0</v>
      </c>
      <c r="H49" s="611">
        <v>0.18608000000000002</v>
      </c>
      <c r="I49" s="611">
        <v>0</v>
      </c>
      <c r="J49" s="612">
        <v>1166.5108</v>
      </c>
      <c r="K49" s="612">
        <v>184.63272900914501</v>
      </c>
      <c r="L49" s="612">
        <v>276.87651998358922</v>
      </c>
      <c r="M49" s="612">
        <v>22.595200708209269</v>
      </c>
      <c r="N49" s="611">
        <v>1.6018700034195554</v>
      </c>
      <c r="O49" s="611">
        <v>0.1425306035599459</v>
      </c>
      <c r="P49" s="612">
        <v>93.999711398496828</v>
      </c>
      <c r="Q49" s="612">
        <v>11.153838680556316</v>
      </c>
      <c r="R49" s="611">
        <v>0</v>
      </c>
      <c r="S49" s="611">
        <v>0</v>
      </c>
      <c r="T49" s="611">
        <v>0</v>
      </c>
      <c r="U49" s="613">
        <v>1767.4684803869764</v>
      </c>
      <c r="V49" s="51"/>
    </row>
    <row r="50" spans="3:22" x14ac:dyDescent="0.25">
      <c r="C50" s="610" t="s">
        <v>60</v>
      </c>
      <c r="D50" s="611">
        <v>31.301876280181485</v>
      </c>
      <c r="E50" s="611">
        <v>431.3069280451549</v>
      </c>
      <c r="F50" s="611">
        <v>218.34853312151634</v>
      </c>
      <c r="G50" s="611">
        <v>0.60008119727305109</v>
      </c>
      <c r="H50" s="611">
        <v>321.22423053040757</v>
      </c>
      <c r="I50" s="611">
        <v>0</v>
      </c>
      <c r="J50" s="611">
        <v>0</v>
      </c>
      <c r="K50" s="611">
        <v>0</v>
      </c>
      <c r="L50" s="611">
        <v>2.543202703318971</v>
      </c>
      <c r="M50" s="611">
        <v>0</v>
      </c>
      <c r="N50" s="611">
        <v>3.5846628553643418</v>
      </c>
      <c r="O50" s="611">
        <v>0</v>
      </c>
      <c r="P50" s="611">
        <v>0</v>
      </c>
      <c r="Q50" s="611">
        <v>0</v>
      </c>
      <c r="R50" s="611">
        <v>0</v>
      </c>
      <c r="S50" s="611">
        <v>0</v>
      </c>
      <c r="T50" s="611">
        <v>0</v>
      </c>
      <c r="U50" s="613">
        <v>1008.9095147332167</v>
      </c>
      <c r="V50" s="51"/>
    </row>
    <row r="51" spans="3:22" x14ac:dyDescent="0.25">
      <c r="C51" s="610" t="s">
        <v>61</v>
      </c>
      <c r="D51" s="611">
        <v>0</v>
      </c>
      <c r="E51" s="611">
        <v>0</v>
      </c>
      <c r="F51" s="611">
        <v>5.0801704900323443</v>
      </c>
      <c r="G51" s="611">
        <v>0</v>
      </c>
      <c r="H51" s="611">
        <v>0</v>
      </c>
      <c r="I51" s="611">
        <v>0</v>
      </c>
      <c r="J51" s="611">
        <v>0</v>
      </c>
      <c r="K51" s="611">
        <v>0</v>
      </c>
      <c r="L51" s="611">
        <v>0</v>
      </c>
      <c r="M51" s="611">
        <v>0</v>
      </c>
      <c r="N51" s="611">
        <v>0</v>
      </c>
      <c r="O51" s="611">
        <v>0</v>
      </c>
      <c r="P51" s="611">
        <v>0</v>
      </c>
      <c r="Q51" s="611">
        <v>0</v>
      </c>
      <c r="R51" s="611">
        <v>-58.079741378677454</v>
      </c>
      <c r="S51" s="611">
        <v>0</v>
      </c>
      <c r="T51" s="611">
        <v>0</v>
      </c>
      <c r="U51" s="613">
        <v>-52.99957088864511</v>
      </c>
      <c r="V51" s="51"/>
    </row>
    <row r="52" spans="3:22" x14ac:dyDescent="0.25">
      <c r="C52" s="610" t="s">
        <v>62</v>
      </c>
      <c r="D52" s="611">
        <v>0</v>
      </c>
      <c r="E52" s="611">
        <v>0</v>
      </c>
      <c r="F52" s="611">
        <v>-14.462234437358957</v>
      </c>
      <c r="G52" s="611">
        <v>-3.4845806923438902E-2</v>
      </c>
      <c r="H52" s="611">
        <v>-2.4571855704098158</v>
      </c>
      <c r="I52" s="611">
        <v>-0.38128741609807487</v>
      </c>
      <c r="J52" s="611">
        <v>0</v>
      </c>
      <c r="K52" s="611">
        <v>0</v>
      </c>
      <c r="L52" s="611">
        <v>0</v>
      </c>
      <c r="M52" s="611">
        <v>0</v>
      </c>
      <c r="N52" s="611">
        <v>-0.67550051473591077</v>
      </c>
      <c r="O52" s="611">
        <v>-0.69196605143724688</v>
      </c>
      <c r="P52" s="611">
        <v>0</v>
      </c>
      <c r="Q52" s="611">
        <v>0</v>
      </c>
      <c r="R52" s="611">
        <v>0</v>
      </c>
      <c r="S52" s="611">
        <v>0</v>
      </c>
      <c r="T52" s="611">
        <v>-7.9015435200541731E-2</v>
      </c>
      <c r="U52" s="613">
        <v>-18.782035232163988</v>
      </c>
      <c r="V52" s="51"/>
    </row>
    <row r="53" spans="3:22" x14ac:dyDescent="0.25">
      <c r="C53" s="610" t="s">
        <v>63</v>
      </c>
      <c r="D53" s="611">
        <v>0</v>
      </c>
      <c r="E53" s="611">
        <v>0</v>
      </c>
      <c r="F53" s="611">
        <v>-68.83733538679644</v>
      </c>
      <c r="G53" s="611">
        <v>-0.53809644100531673</v>
      </c>
      <c r="H53" s="611">
        <v>0</v>
      </c>
      <c r="I53" s="611">
        <v>0</v>
      </c>
      <c r="J53" s="611">
        <v>0</v>
      </c>
      <c r="K53" s="611">
        <v>0</v>
      </c>
      <c r="L53" s="611">
        <v>0</v>
      </c>
      <c r="M53" s="611">
        <v>0</v>
      </c>
      <c r="N53" s="611">
        <v>-2.7254967468919165</v>
      </c>
      <c r="O53" s="611">
        <v>0</v>
      </c>
      <c r="P53" s="611">
        <v>0</v>
      </c>
      <c r="Q53" s="611">
        <v>0</v>
      </c>
      <c r="R53" s="611">
        <v>0</v>
      </c>
      <c r="S53" s="611">
        <v>0</v>
      </c>
      <c r="T53" s="611">
        <v>0</v>
      </c>
      <c r="U53" s="613">
        <v>-72.100928574693683</v>
      </c>
      <c r="V53" s="51"/>
    </row>
    <row r="54" spans="3:22" x14ac:dyDescent="0.25">
      <c r="C54" s="610" t="s">
        <v>64</v>
      </c>
      <c r="D54" s="611">
        <v>0</v>
      </c>
      <c r="E54" s="611">
        <v>0</v>
      </c>
      <c r="F54" s="611">
        <v>0</v>
      </c>
      <c r="G54" s="611">
        <v>0</v>
      </c>
      <c r="H54" s="611">
        <v>0</v>
      </c>
      <c r="I54" s="611">
        <v>0</v>
      </c>
      <c r="J54" s="611">
        <v>0</v>
      </c>
      <c r="K54" s="611">
        <v>0</v>
      </c>
      <c r="L54" s="611">
        <v>0</v>
      </c>
      <c r="M54" s="611">
        <v>0</v>
      </c>
      <c r="N54" s="611">
        <v>0</v>
      </c>
      <c r="O54" s="611">
        <v>0</v>
      </c>
      <c r="P54" s="611">
        <v>0</v>
      </c>
      <c r="Q54" s="611">
        <v>0</v>
      </c>
      <c r="R54" s="611">
        <v>0</v>
      </c>
      <c r="S54" s="611">
        <v>0</v>
      </c>
      <c r="T54" s="611">
        <v>0</v>
      </c>
      <c r="U54" s="613">
        <v>0</v>
      </c>
      <c r="V54" s="51"/>
    </row>
    <row r="55" spans="3:22" x14ac:dyDescent="0.25">
      <c r="C55" s="614" t="s">
        <v>65</v>
      </c>
      <c r="D55" s="615">
        <v>31.301876280181485</v>
      </c>
      <c r="E55" s="615">
        <v>441.07612804515492</v>
      </c>
      <c r="F55" s="615">
        <v>140.1291337873933</v>
      </c>
      <c r="G55" s="615">
        <v>2.7138949344295504E-2</v>
      </c>
      <c r="H55" s="615">
        <v>318.95312495999775</v>
      </c>
      <c r="I55" s="615">
        <v>-0.38128741609807487</v>
      </c>
      <c r="J55" s="615">
        <v>1166.5108</v>
      </c>
      <c r="K55" s="615">
        <v>184.63272900914501</v>
      </c>
      <c r="L55" s="615">
        <v>279.41972268690819</v>
      </c>
      <c r="M55" s="615">
        <v>22.595200708209269</v>
      </c>
      <c r="N55" s="615">
        <v>1.7855355971560702</v>
      </c>
      <c r="O55" s="615">
        <v>-0.54943544787730092</v>
      </c>
      <c r="P55" s="615">
        <v>93.999711398496828</v>
      </c>
      <c r="Q55" s="615">
        <v>11.153838680556316</v>
      </c>
      <c r="R55" s="615">
        <v>-58.079741378677454</v>
      </c>
      <c r="S55" s="615">
        <v>0</v>
      </c>
      <c r="T55" s="615">
        <v>-7.9015435200541731E-2</v>
      </c>
      <c r="U55" s="615">
        <v>2632.4954604246905</v>
      </c>
      <c r="V55" s="51"/>
    </row>
    <row r="56" spans="3:22" x14ac:dyDescent="0.25">
      <c r="C56" s="616"/>
      <c r="D56" s="617"/>
      <c r="E56" s="617"/>
      <c r="F56" s="617"/>
      <c r="G56" s="617"/>
      <c r="H56" s="623"/>
      <c r="I56" s="617"/>
      <c r="J56" s="617"/>
      <c r="K56" s="617"/>
      <c r="L56" s="617"/>
      <c r="M56" s="617"/>
      <c r="N56" s="617"/>
      <c r="O56" s="617"/>
      <c r="P56" s="617"/>
      <c r="Q56" s="617"/>
      <c r="R56" s="617"/>
      <c r="S56" s="617"/>
      <c r="T56" s="617"/>
      <c r="U56" s="617"/>
      <c r="V56" s="51"/>
    </row>
    <row r="57" spans="3:22" x14ac:dyDescent="0.25">
      <c r="C57" s="618" t="s">
        <v>67</v>
      </c>
      <c r="D57" s="611">
        <v>0</v>
      </c>
      <c r="E57" s="611">
        <v>0</v>
      </c>
      <c r="F57" s="611">
        <v>0</v>
      </c>
      <c r="G57" s="611">
        <v>0</v>
      </c>
      <c r="H57" s="611">
        <v>0</v>
      </c>
      <c r="I57" s="611">
        <v>0</v>
      </c>
      <c r="J57" s="611">
        <v>0</v>
      </c>
      <c r="K57" s="611">
        <v>0</v>
      </c>
      <c r="L57" s="611">
        <v>0</v>
      </c>
      <c r="M57" s="611">
        <v>0</v>
      </c>
      <c r="N57" s="611">
        <v>0</v>
      </c>
      <c r="O57" s="611">
        <v>0</v>
      </c>
      <c r="P57" s="611">
        <v>0</v>
      </c>
      <c r="Q57" s="611">
        <v>0</v>
      </c>
      <c r="R57" s="611">
        <v>0</v>
      </c>
      <c r="S57" s="611">
        <v>0</v>
      </c>
      <c r="T57" s="611">
        <v>0</v>
      </c>
      <c r="U57" s="619">
        <v>0</v>
      </c>
      <c r="V57" s="51"/>
    </row>
    <row r="58" spans="3:22" x14ac:dyDescent="0.25">
      <c r="C58" s="618" t="s">
        <v>347</v>
      </c>
      <c r="D58" s="611">
        <v>0</v>
      </c>
      <c r="E58" s="611">
        <v>0</v>
      </c>
      <c r="F58" s="611">
        <v>0.96641953755106458</v>
      </c>
      <c r="G58" s="611">
        <v>0</v>
      </c>
      <c r="H58" s="611">
        <v>52.050434872915119</v>
      </c>
      <c r="I58" s="611">
        <v>0</v>
      </c>
      <c r="J58" s="611">
        <v>1166.5108</v>
      </c>
      <c r="K58" s="611">
        <v>184.63272900914501</v>
      </c>
      <c r="L58" s="611">
        <v>26.677595214964605</v>
      </c>
      <c r="M58" s="611">
        <v>0.55064217621670641</v>
      </c>
      <c r="N58" s="611">
        <v>4.867247129818443</v>
      </c>
      <c r="O58" s="611">
        <v>8.7182186826352783</v>
      </c>
      <c r="P58" s="611">
        <v>0</v>
      </c>
      <c r="Q58" s="611">
        <v>0.1274458438995901</v>
      </c>
      <c r="R58" s="611">
        <v>-629.80771639017132</v>
      </c>
      <c r="S58" s="611">
        <v>0</v>
      </c>
      <c r="T58" s="611">
        <v>0</v>
      </c>
      <c r="U58" s="619">
        <v>815.29381607697462</v>
      </c>
      <c r="V58" s="51"/>
    </row>
    <row r="59" spans="3:22" x14ac:dyDescent="0.25">
      <c r="C59" s="618" t="s">
        <v>348</v>
      </c>
      <c r="D59" s="611">
        <v>7.7272727272727285E-2</v>
      </c>
      <c r="E59" s="611">
        <v>0</v>
      </c>
      <c r="F59" s="611">
        <v>0</v>
      </c>
      <c r="G59" s="611">
        <v>0</v>
      </c>
      <c r="H59" s="611">
        <v>17.37614402819009</v>
      </c>
      <c r="I59" s="611">
        <v>0</v>
      </c>
      <c r="J59" s="611">
        <v>0</v>
      </c>
      <c r="K59" s="611">
        <v>0</v>
      </c>
      <c r="L59" s="611">
        <v>29.912445840454509</v>
      </c>
      <c r="M59" s="611">
        <v>15.413020016365111</v>
      </c>
      <c r="N59" s="611">
        <v>0</v>
      </c>
      <c r="O59" s="611">
        <v>3.8271587204301016</v>
      </c>
      <c r="P59" s="611">
        <v>0</v>
      </c>
      <c r="Q59" s="611">
        <v>6.5304573938093151</v>
      </c>
      <c r="R59" s="611">
        <v>0</v>
      </c>
      <c r="S59" s="611">
        <v>-66.269653387904668</v>
      </c>
      <c r="T59" s="611">
        <v>0</v>
      </c>
      <c r="U59" s="619">
        <v>6.8668453386171819</v>
      </c>
      <c r="V59" s="51"/>
    </row>
    <row r="60" spans="3:22" x14ac:dyDescent="0.25">
      <c r="C60" s="618" t="s">
        <v>349</v>
      </c>
      <c r="D60" s="611">
        <v>0</v>
      </c>
      <c r="E60" s="611">
        <v>0</v>
      </c>
      <c r="F60" s="611">
        <v>0</v>
      </c>
      <c r="G60" s="611">
        <v>0</v>
      </c>
      <c r="H60" s="611">
        <v>0</v>
      </c>
      <c r="I60" s="611">
        <v>0</v>
      </c>
      <c r="J60" s="611">
        <v>0</v>
      </c>
      <c r="K60" s="611">
        <v>0</v>
      </c>
      <c r="L60" s="611">
        <v>47.912506455541511</v>
      </c>
      <c r="M60" s="611">
        <v>0</v>
      </c>
      <c r="N60" s="611">
        <v>0</v>
      </c>
      <c r="O60" s="611">
        <v>-43.840589216993259</v>
      </c>
      <c r="P60" s="611">
        <v>0</v>
      </c>
      <c r="Q60" s="611">
        <v>0</v>
      </c>
      <c r="R60" s="611">
        <v>0</v>
      </c>
      <c r="S60" s="611">
        <v>0</v>
      </c>
      <c r="T60" s="611">
        <v>0</v>
      </c>
      <c r="U60" s="619">
        <v>4.0719172385482523</v>
      </c>
      <c r="V60" s="51"/>
    </row>
    <row r="61" spans="3:22" x14ac:dyDescent="0.25">
      <c r="C61" s="618" t="s">
        <v>350</v>
      </c>
      <c r="D61" s="611">
        <v>0</v>
      </c>
      <c r="E61" s="611">
        <v>0</v>
      </c>
      <c r="F61" s="611">
        <v>0</v>
      </c>
      <c r="G61" s="611">
        <v>0</v>
      </c>
      <c r="H61" s="611">
        <v>0</v>
      </c>
      <c r="I61" s="611">
        <v>-0.38128741609807487</v>
      </c>
      <c r="J61" s="611">
        <v>0</v>
      </c>
      <c r="K61" s="611">
        <v>0</v>
      </c>
      <c r="L61" s="611">
        <v>0</v>
      </c>
      <c r="M61" s="611">
        <v>0</v>
      </c>
      <c r="N61" s="611">
        <v>0</v>
      </c>
      <c r="O61" s="611">
        <v>0</v>
      </c>
      <c r="P61" s="611">
        <v>0</v>
      </c>
      <c r="Q61" s="611">
        <v>0</v>
      </c>
      <c r="R61" s="611">
        <v>0</v>
      </c>
      <c r="S61" s="611">
        <v>0</v>
      </c>
      <c r="T61" s="611">
        <v>0.52956585569177073</v>
      </c>
      <c r="U61" s="619">
        <v>0.14827843959369585</v>
      </c>
      <c r="V61" s="51"/>
    </row>
    <row r="62" spans="3:22" x14ac:dyDescent="0.25">
      <c r="C62" s="618" t="s">
        <v>72</v>
      </c>
      <c r="D62" s="611">
        <v>0</v>
      </c>
      <c r="E62" s="611">
        <v>457.13684783073364</v>
      </c>
      <c r="F62" s="611">
        <v>-452.58756146236686</v>
      </c>
      <c r="G62" s="611">
        <v>0</v>
      </c>
      <c r="H62" s="611">
        <v>0</v>
      </c>
      <c r="I62" s="611">
        <v>0</v>
      </c>
      <c r="J62" s="611">
        <v>0</v>
      </c>
      <c r="K62" s="611">
        <v>0</v>
      </c>
      <c r="L62" s="611">
        <v>0</v>
      </c>
      <c r="M62" s="611">
        <v>0</v>
      </c>
      <c r="N62" s="611">
        <v>0</v>
      </c>
      <c r="O62" s="611">
        <v>0</v>
      </c>
      <c r="P62" s="611">
        <v>0</v>
      </c>
      <c r="Q62" s="611">
        <v>0</v>
      </c>
      <c r="R62" s="611">
        <v>0</v>
      </c>
      <c r="S62" s="611">
        <v>0</v>
      </c>
      <c r="T62" s="611">
        <v>0</v>
      </c>
      <c r="U62" s="619">
        <v>4.5492863683667792</v>
      </c>
      <c r="V62" s="51"/>
    </row>
    <row r="63" spans="3:22" x14ac:dyDescent="0.25">
      <c r="C63" s="618" t="s">
        <v>351</v>
      </c>
      <c r="D63" s="611">
        <v>0</v>
      </c>
      <c r="E63" s="611">
        <v>0</v>
      </c>
      <c r="F63" s="611">
        <v>0</v>
      </c>
      <c r="G63" s="611">
        <v>0</v>
      </c>
      <c r="H63" s="611">
        <v>0</v>
      </c>
      <c r="I63" s="611">
        <v>0</v>
      </c>
      <c r="J63" s="611">
        <v>0</v>
      </c>
      <c r="K63" s="611">
        <v>0</v>
      </c>
      <c r="L63" s="611">
        <v>88.186804829360256</v>
      </c>
      <c r="M63" s="611">
        <v>0</v>
      </c>
      <c r="N63" s="611">
        <v>-48.502742656148136</v>
      </c>
      <c r="O63" s="611">
        <v>0</v>
      </c>
      <c r="P63" s="611">
        <v>0</v>
      </c>
      <c r="Q63" s="611">
        <v>0</v>
      </c>
      <c r="R63" s="611">
        <v>0</v>
      </c>
      <c r="S63" s="611">
        <v>0</v>
      </c>
      <c r="T63" s="611">
        <v>0</v>
      </c>
      <c r="U63" s="619">
        <v>39.684062173212119</v>
      </c>
      <c r="V63" s="51"/>
    </row>
    <row r="64" spans="3:22" x14ac:dyDescent="0.25">
      <c r="C64" s="618" t="s">
        <v>352</v>
      </c>
      <c r="D64" s="611">
        <v>0</v>
      </c>
      <c r="E64" s="611">
        <v>0</v>
      </c>
      <c r="F64" s="611">
        <v>0</v>
      </c>
      <c r="G64" s="611">
        <v>-1.2093925948448314</v>
      </c>
      <c r="H64" s="611">
        <v>0</v>
      </c>
      <c r="I64" s="611">
        <v>0</v>
      </c>
      <c r="J64" s="611">
        <v>0</v>
      </c>
      <c r="K64" s="611">
        <v>0</v>
      </c>
      <c r="L64" s="611">
        <v>0</v>
      </c>
      <c r="M64" s="611">
        <v>0</v>
      </c>
      <c r="N64" s="611">
        <v>0</v>
      </c>
      <c r="O64" s="611">
        <v>0</v>
      </c>
      <c r="P64" s="611">
        <v>0</v>
      </c>
      <c r="Q64" s="611">
        <v>0</v>
      </c>
      <c r="R64" s="611">
        <v>0</v>
      </c>
      <c r="S64" s="611">
        <v>0</v>
      </c>
      <c r="T64" s="611">
        <v>1.5838980746607199</v>
      </c>
      <c r="U64" s="619">
        <v>0.37450547981588844</v>
      </c>
      <c r="V64" s="51"/>
    </row>
    <row r="65" spans="3:22" x14ac:dyDescent="0.25">
      <c r="C65" s="618" t="s">
        <v>73</v>
      </c>
      <c r="D65" s="611">
        <v>0</v>
      </c>
      <c r="E65" s="611">
        <v>0</v>
      </c>
      <c r="F65" s="611">
        <v>0</v>
      </c>
      <c r="G65" s="611">
        <v>0</v>
      </c>
      <c r="H65" s="611">
        <v>0</v>
      </c>
      <c r="I65" s="611">
        <v>0</v>
      </c>
      <c r="J65" s="611">
        <v>0</v>
      </c>
      <c r="K65" s="611">
        <v>0</v>
      </c>
      <c r="L65" s="611">
        <v>0</v>
      </c>
      <c r="M65" s="611">
        <v>0</v>
      </c>
      <c r="N65" s="611">
        <v>0</v>
      </c>
      <c r="O65" s="611">
        <v>0</v>
      </c>
      <c r="P65" s="611">
        <v>0</v>
      </c>
      <c r="Q65" s="611">
        <v>0</v>
      </c>
      <c r="R65" s="611">
        <v>8.9250291014933829</v>
      </c>
      <c r="S65" s="611">
        <v>0</v>
      </c>
      <c r="T65" s="611">
        <v>-5.8012689159706987</v>
      </c>
      <c r="U65" s="619">
        <v>3.1237601855226842</v>
      </c>
      <c r="V65" s="51"/>
    </row>
    <row r="66" spans="3:22" x14ac:dyDescent="0.25">
      <c r="C66" s="618" t="s">
        <v>353</v>
      </c>
      <c r="D66" s="611">
        <v>19.229370468750002</v>
      </c>
      <c r="E66" s="611">
        <v>-16.060719785578666</v>
      </c>
      <c r="F66" s="611">
        <v>20.896944027815795</v>
      </c>
      <c r="G66" s="611">
        <v>0</v>
      </c>
      <c r="H66" s="611">
        <v>0</v>
      </c>
      <c r="I66" s="611">
        <v>0</v>
      </c>
      <c r="J66" s="611">
        <v>0</v>
      </c>
      <c r="K66" s="611">
        <v>0</v>
      </c>
      <c r="L66" s="611">
        <v>0</v>
      </c>
      <c r="M66" s="611">
        <v>0</v>
      </c>
      <c r="N66" s="611">
        <v>0</v>
      </c>
      <c r="O66" s="611">
        <v>0</v>
      </c>
      <c r="P66" s="611">
        <v>0</v>
      </c>
      <c r="Q66" s="611">
        <v>0</v>
      </c>
      <c r="R66" s="611">
        <v>0</v>
      </c>
      <c r="S66" s="611">
        <v>0</v>
      </c>
      <c r="T66" s="611">
        <v>0</v>
      </c>
      <c r="U66" s="619">
        <v>24.065594710987131</v>
      </c>
      <c r="V66" s="51"/>
    </row>
    <row r="67" spans="3:22" x14ac:dyDescent="0.25">
      <c r="C67" s="618" t="s">
        <v>75</v>
      </c>
      <c r="D67" s="611">
        <v>7.478088515625001</v>
      </c>
      <c r="E67" s="611">
        <v>0</v>
      </c>
      <c r="F67" s="611">
        <v>15.746271144073498</v>
      </c>
      <c r="G67" s="611">
        <v>0</v>
      </c>
      <c r="H67" s="611">
        <v>5.0333610057426457</v>
      </c>
      <c r="I67" s="611">
        <v>0</v>
      </c>
      <c r="J67" s="611">
        <v>0</v>
      </c>
      <c r="K67" s="611">
        <v>0</v>
      </c>
      <c r="L67" s="611">
        <v>0</v>
      </c>
      <c r="M67" s="611">
        <v>0</v>
      </c>
      <c r="N67" s="611">
        <v>0</v>
      </c>
      <c r="O67" s="611">
        <v>0.62210079846257416</v>
      </c>
      <c r="P67" s="611">
        <v>0</v>
      </c>
      <c r="Q67" s="611">
        <v>0</v>
      </c>
      <c r="R67" s="611">
        <v>50.974899955786924</v>
      </c>
      <c r="S67" s="611">
        <v>0</v>
      </c>
      <c r="T67" s="611">
        <v>0</v>
      </c>
      <c r="U67" s="619">
        <v>79.854721419690648</v>
      </c>
      <c r="V67" s="51"/>
    </row>
    <row r="68" spans="3:22" x14ac:dyDescent="0.25">
      <c r="C68" s="618" t="s">
        <v>76</v>
      </c>
      <c r="D68" s="611">
        <v>0</v>
      </c>
      <c r="E68" s="611">
        <v>0</v>
      </c>
      <c r="F68" s="611">
        <v>0</v>
      </c>
      <c r="G68" s="611">
        <v>0</v>
      </c>
      <c r="H68" s="611">
        <v>3.6622366930957471</v>
      </c>
      <c r="I68" s="611">
        <v>0</v>
      </c>
      <c r="J68" s="611">
        <v>0</v>
      </c>
      <c r="K68" s="611">
        <v>0</v>
      </c>
      <c r="L68" s="611">
        <v>0</v>
      </c>
      <c r="M68" s="611">
        <v>0</v>
      </c>
      <c r="N68" s="611">
        <v>0</v>
      </c>
      <c r="O68" s="611">
        <v>0.45263599577587882</v>
      </c>
      <c r="P68" s="611">
        <v>0</v>
      </c>
      <c r="Q68" s="611">
        <v>0</v>
      </c>
      <c r="R68" s="611">
        <v>43.790254357145905</v>
      </c>
      <c r="S68" s="611">
        <v>5.1395304123886776</v>
      </c>
      <c r="T68" s="611">
        <v>0</v>
      </c>
      <c r="U68" s="619">
        <v>53.044657458406213</v>
      </c>
      <c r="V68" s="51"/>
    </row>
    <row r="69" spans="3:22" x14ac:dyDescent="0.25">
      <c r="C69" s="614" t="s">
        <v>77</v>
      </c>
      <c r="D69" s="615">
        <v>26.78473171164773</v>
      </c>
      <c r="E69" s="615">
        <v>441.07612804515497</v>
      </c>
      <c r="F69" s="615">
        <v>-414.97792675292652</v>
      </c>
      <c r="G69" s="615">
        <v>-1.2093925948448314</v>
      </c>
      <c r="H69" s="615">
        <v>78.122176599943614</v>
      </c>
      <c r="I69" s="615">
        <v>-0.38128741609807487</v>
      </c>
      <c r="J69" s="615">
        <v>1166.5108</v>
      </c>
      <c r="K69" s="615">
        <v>184.63272900914501</v>
      </c>
      <c r="L69" s="615">
        <v>192.68935234032088</v>
      </c>
      <c r="M69" s="615">
        <v>15.963662192581818</v>
      </c>
      <c r="N69" s="615">
        <v>-43.635495526329692</v>
      </c>
      <c r="O69" s="615">
        <v>-30.220475019689424</v>
      </c>
      <c r="P69" s="615">
        <v>0</v>
      </c>
      <c r="Q69" s="615">
        <v>6.6579032377089051</v>
      </c>
      <c r="R69" s="615">
        <v>-526.11753297574512</v>
      </c>
      <c r="S69" s="615">
        <v>-61.130122975515988</v>
      </c>
      <c r="T69" s="615">
        <v>-3.6878049856182082</v>
      </c>
      <c r="U69" s="615">
        <v>1031.0774448897353</v>
      </c>
      <c r="V69" s="51"/>
    </row>
    <row r="70" spans="3:22" x14ac:dyDescent="0.25">
      <c r="C70" s="616"/>
      <c r="D70" s="617"/>
      <c r="E70" s="617"/>
      <c r="F70" s="617"/>
      <c r="G70" s="617"/>
      <c r="H70" s="623"/>
      <c r="I70" s="617"/>
      <c r="J70" s="617"/>
      <c r="K70" s="617"/>
      <c r="L70" s="617"/>
      <c r="M70" s="617"/>
      <c r="N70" s="617"/>
      <c r="O70" s="617"/>
      <c r="P70" s="617"/>
      <c r="Q70" s="617"/>
      <c r="R70" s="617"/>
      <c r="S70" s="617"/>
      <c r="T70" s="617"/>
      <c r="U70" s="617"/>
      <c r="V70" s="51"/>
    </row>
    <row r="71" spans="3:22" x14ac:dyDescent="0.25">
      <c r="C71" s="618" t="s">
        <v>78</v>
      </c>
      <c r="D71" s="611">
        <v>4.5171445685337561</v>
      </c>
      <c r="E71" s="611">
        <v>0</v>
      </c>
      <c r="F71" s="611">
        <v>16.333805703198944</v>
      </c>
      <c r="G71" s="681">
        <v>0</v>
      </c>
      <c r="H71" s="611">
        <v>89.327815995001359</v>
      </c>
      <c r="I71" s="611">
        <v>0</v>
      </c>
      <c r="J71" s="611">
        <v>0</v>
      </c>
      <c r="K71" s="611">
        <v>0</v>
      </c>
      <c r="L71" s="611">
        <v>20.148246137015189</v>
      </c>
      <c r="M71" s="611">
        <v>6.6309716857427698</v>
      </c>
      <c r="N71" s="611">
        <v>1.0223662329329699</v>
      </c>
      <c r="O71" s="611">
        <v>11.06635293883957</v>
      </c>
      <c r="P71" s="611">
        <v>4.2486977539062503</v>
      </c>
      <c r="Q71" s="611">
        <v>5.2671642446208732E-4</v>
      </c>
      <c r="R71" s="611">
        <v>142.27852677363259</v>
      </c>
      <c r="S71" s="611">
        <v>19.602523281220837</v>
      </c>
      <c r="T71" s="611">
        <v>2.0790988769531249</v>
      </c>
      <c r="U71" s="619">
        <v>317.25607666340187</v>
      </c>
      <c r="V71" s="51"/>
    </row>
    <row r="72" spans="3:22" x14ac:dyDescent="0.25">
      <c r="C72" s="618" t="s">
        <v>79</v>
      </c>
      <c r="D72" s="611">
        <v>0</v>
      </c>
      <c r="E72" s="611">
        <v>0</v>
      </c>
      <c r="F72" s="611">
        <v>352.26145508392204</v>
      </c>
      <c r="G72" s="611">
        <v>0.12706948615934052</v>
      </c>
      <c r="H72" s="611">
        <v>5.065595680375564</v>
      </c>
      <c r="I72" s="611">
        <v>0</v>
      </c>
      <c r="J72" s="611">
        <v>0</v>
      </c>
      <c r="K72" s="611">
        <v>0</v>
      </c>
      <c r="L72" s="611">
        <v>0</v>
      </c>
      <c r="M72" s="611">
        <v>0</v>
      </c>
      <c r="N72" s="611">
        <v>39.492527994120572</v>
      </c>
      <c r="O72" s="611">
        <v>0.62608485937226077</v>
      </c>
      <c r="P72" s="611">
        <v>0</v>
      </c>
      <c r="Q72" s="611">
        <v>0</v>
      </c>
      <c r="R72" s="611">
        <v>26.698210875173668</v>
      </c>
      <c r="S72" s="611">
        <v>0</v>
      </c>
      <c r="T72" s="611">
        <v>0.57963295741686927</v>
      </c>
      <c r="U72" s="619">
        <v>424.85057693654034</v>
      </c>
      <c r="V72" s="51"/>
    </row>
    <row r="73" spans="3:22" x14ac:dyDescent="0.25">
      <c r="C73" s="618" t="s">
        <v>80</v>
      </c>
      <c r="D73" s="611">
        <v>0</v>
      </c>
      <c r="E73" s="611">
        <v>0</v>
      </c>
      <c r="F73" s="611">
        <v>14.121426178939339</v>
      </c>
      <c r="G73" s="611">
        <v>0</v>
      </c>
      <c r="H73" s="611">
        <v>80.862319861919559</v>
      </c>
      <c r="I73" s="611">
        <v>0</v>
      </c>
      <c r="J73" s="611">
        <v>0</v>
      </c>
      <c r="K73" s="611">
        <v>0</v>
      </c>
      <c r="L73" s="611">
        <v>63.998307290904002</v>
      </c>
      <c r="M73" s="611">
        <v>0</v>
      </c>
      <c r="N73" s="611">
        <v>0</v>
      </c>
      <c r="O73" s="611">
        <v>9.9942193087765752</v>
      </c>
      <c r="P73" s="611">
        <v>63.392117505826292</v>
      </c>
      <c r="Q73" s="611">
        <v>1.6849133946274748</v>
      </c>
      <c r="R73" s="611">
        <v>168.60501206037372</v>
      </c>
      <c r="S73" s="611">
        <v>25.00398861448701</v>
      </c>
      <c r="T73" s="611">
        <v>0</v>
      </c>
      <c r="U73" s="619">
        <v>427.66230421585396</v>
      </c>
      <c r="V73" s="51"/>
    </row>
    <row r="74" spans="3:22" x14ac:dyDescent="0.25">
      <c r="C74" s="618" t="s">
        <v>81</v>
      </c>
      <c r="D74" s="611">
        <v>0</v>
      </c>
      <c r="E74" s="611">
        <v>0</v>
      </c>
      <c r="F74" s="611">
        <v>9.9368679491527736</v>
      </c>
      <c r="G74" s="611">
        <v>0</v>
      </c>
      <c r="H74" s="611">
        <v>49.841560675379021</v>
      </c>
      <c r="I74" s="611">
        <v>0</v>
      </c>
      <c r="J74" s="611">
        <v>0</v>
      </c>
      <c r="K74" s="611">
        <v>0</v>
      </c>
      <c r="L74" s="611">
        <v>0.57972090430676659</v>
      </c>
      <c r="M74" s="611">
        <v>0</v>
      </c>
      <c r="N74" s="611">
        <v>0</v>
      </c>
      <c r="O74" s="611">
        <v>6.1601928924625753</v>
      </c>
      <c r="P74" s="611">
        <v>25.958896138764281</v>
      </c>
      <c r="Q74" s="611">
        <v>2.2911200649258339</v>
      </c>
      <c r="R74" s="611">
        <v>123.42245869887834</v>
      </c>
      <c r="S74" s="611">
        <v>16.523611079808134</v>
      </c>
      <c r="T74" s="611">
        <v>0</v>
      </c>
      <c r="U74" s="619">
        <v>234.71442840367774</v>
      </c>
      <c r="V74" s="51"/>
    </row>
    <row r="75" spans="3:22" x14ac:dyDescent="0.25">
      <c r="C75" s="618" t="s">
        <v>82</v>
      </c>
      <c r="D75" s="611">
        <v>0</v>
      </c>
      <c r="E75" s="611">
        <v>0</v>
      </c>
      <c r="F75" s="611">
        <v>32.344498441587994</v>
      </c>
      <c r="G75" s="611">
        <v>0</v>
      </c>
      <c r="H75" s="611">
        <v>2.2045546432334739</v>
      </c>
      <c r="I75" s="611">
        <v>0</v>
      </c>
      <c r="J75" s="611">
        <v>0</v>
      </c>
      <c r="K75" s="611">
        <v>0</v>
      </c>
      <c r="L75" s="611">
        <v>1.9134105561044641</v>
      </c>
      <c r="M75" s="611">
        <v>0</v>
      </c>
      <c r="N75" s="611">
        <v>3.7423495015060504</v>
      </c>
      <c r="O75" s="611">
        <v>0.27247304579290127</v>
      </c>
      <c r="P75" s="611">
        <v>0.4</v>
      </c>
      <c r="Q75" s="611">
        <v>0.5193752668696392</v>
      </c>
      <c r="R75" s="611">
        <v>7.033583189009291</v>
      </c>
      <c r="S75" s="611">
        <v>0</v>
      </c>
      <c r="T75" s="611">
        <v>0.13892990437736891</v>
      </c>
      <c r="U75" s="619">
        <v>48.569174548481179</v>
      </c>
      <c r="V75" s="51"/>
    </row>
    <row r="76" spans="3:22" x14ac:dyDescent="0.25">
      <c r="C76" s="618" t="s">
        <v>354</v>
      </c>
      <c r="D76" s="611">
        <v>0</v>
      </c>
      <c r="E76" s="611">
        <v>0</v>
      </c>
      <c r="F76" s="611">
        <v>0</v>
      </c>
      <c r="G76" s="611">
        <v>0</v>
      </c>
      <c r="H76" s="611">
        <v>0</v>
      </c>
      <c r="I76" s="611">
        <v>0</v>
      </c>
      <c r="J76" s="611">
        <v>0</v>
      </c>
      <c r="K76" s="611">
        <v>0</v>
      </c>
      <c r="L76" s="611">
        <v>0</v>
      </c>
      <c r="M76" s="611">
        <v>0</v>
      </c>
      <c r="N76" s="611">
        <v>0</v>
      </c>
      <c r="O76" s="611">
        <v>0</v>
      </c>
      <c r="P76" s="611">
        <v>0</v>
      </c>
      <c r="Q76" s="611">
        <v>0</v>
      </c>
      <c r="R76" s="611">
        <v>0</v>
      </c>
      <c r="S76" s="611">
        <v>0</v>
      </c>
      <c r="T76" s="611">
        <v>0</v>
      </c>
      <c r="U76" s="619">
        <v>0</v>
      </c>
      <c r="V76" s="51"/>
    </row>
    <row r="77" spans="3:22" x14ac:dyDescent="0.25">
      <c r="C77" s="614" t="s">
        <v>83</v>
      </c>
      <c r="D77" s="615">
        <v>4.5171445685337561</v>
      </c>
      <c r="E77" s="615">
        <v>0</v>
      </c>
      <c r="F77" s="615">
        <v>424.99805335680105</v>
      </c>
      <c r="G77" s="615">
        <v>0.12706948615934052</v>
      </c>
      <c r="H77" s="615">
        <v>227.30184685590896</v>
      </c>
      <c r="I77" s="615">
        <v>0</v>
      </c>
      <c r="J77" s="615">
        <v>0</v>
      </c>
      <c r="K77" s="615">
        <v>0</v>
      </c>
      <c r="L77" s="615">
        <v>86.639684888330422</v>
      </c>
      <c r="M77" s="615">
        <v>6.6309716857427698</v>
      </c>
      <c r="N77" s="615">
        <v>44.257243728559587</v>
      </c>
      <c r="O77" s="615">
        <v>28.119323045243881</v>
      </c>
      <c r="P77" s="615">
        <v>93.999711398496828</v>
      </c>
      <c r="Q77" s="615">
        <v>4.4959354428474096</v>
      </c>
      <c r="R77" s="615">
        <v>468.03779159706761</v>
      </c>
      <c r="S77" s="615">
        <v>61.130122975515981</v>
      </c>
      <c r="T77" s="615">
        <v>2.797661738747363</v>
      </c>
      <c r="U77" s="615">
        <v>1453.0525607679549</v>
      </c>
      <c r="V77" s="51"/>
    </row>
    <row r="78" spans="3:22" x14ac:dyDescent="0.25">
      <c r="C78" s="610" t="s">
        <v>84</v>
      </c>
      <c r="D78" s="611">
        <v>0</v>
      </c>
      <c r="E78" s="611">
        <v>0</v>
      </c>
      <c r="F78" s="611">
        <v>130.10900718351874</v>
      </c>
      <c r="G78" s="611">
        <v>1.1094620580297863</v>
      </c>
      <c r="H78" s="611">
        <v>13.5291015041451</v>
      </c>
      <c r="I78" s="611">
        <v>0</v>
      </c>
      <c r="J78" s="611">
        <v>0</v>
      </c>
      <c r="K78" s="611">
        <v>0</v>
      </c>
      <c r="L78" s="611">
        <v>9.0685458256899165E-2</v>
      </c>
      <c r="M78" s="611">
        <v>0</v>
      </c>
      <c r="N78" s="611">
        <v>1.1637873949261752</v>
      </c>
      <c r="O78" s="611">
        <v>1.5517165265682336</v>
      </c>
      <c r="P78" s="611">
        <v>0</v>
      </c>
      <c r="Q78" s="611">
        <v>0</v>
      </c>
      <c r="R78" s="611">
        <v>0</v>
      </c>
      <c r="S78" s="611">
        <v>0</v>
      </c>
      <c r="T78" s="611">
        <v>0.81112781167030334</v>
      </c>
      <c r="U78" s="619">
        <v>148.36488793711524</v>
      </c>
      <c r="V78" s="51"/>
    </row>
    <row r="79" spans="3:22" x14ac:dyDescent="0.25">
      <c r="C79" s="614" t="s">
        <v>85</v>
      </c>
      <c r="D79" s="615">
        <v>4.5171445685337561</v>
      </c>
      <c r="E79" s="615">
        <v>0</v>
      </c>
      <c r="F79" s="615">
        <v>555.10706054031982</v>
      </c>
      <c r="G79" s="615">
        <v>1.2365315441891267</v>
      </c>
      <c r="H79" s="615">
        <v>240.83094836005407</v>
      </c>
      <c r="I79" s="615">
        <v>0</v>
      </c>
      <c r="J79" s="615">
        <v>0</v>
      </c>
      <c r="K79" s="615">
        <v>0</v>
      </c>
      <c r="L79" s="615">
        <v>86.730370346587321</v>
      </c>
      <c r="M79" s="615">
        <v>6.6309716857427698</v>
      </c>
      <c r="N79" s="615">
        <v>45.421031123485761</v>
      </c>
      <c r="O79" s="615">
        <v>29.671039571812116</v>
      </c>
      <c r="P79" s="615">
        <v>93.999711398496828</v>
      </c>
      <c r="Q79" s="615">
        <v>4.4959354428474096</v>
      </c>
      <c r="R79" s="615">
        <v>468.03779159706761</v>
      </c>
      <c r="S79" s="615">
        <v>61.130122975515981</v>
      </c>
      <c r="T79" s="615">
        <v>3.6087895504176664</v>
      </c>
      <c r="U79" s="615">
        <v>1601.4174487050702</v>
      </c>
      <c r="V79" s="51"/>
    </row>
    <row r="80" spans="3:22" x14ac:dyDescent="0.25">
      <c r="C80" s="51"/>
      <c r="D80" s="67">
        <v>0</v>
      </c>
      <c r="E80" s="67">
        <v>0</v>
      </c>
      <c r="F80" s="67">
        <v>0</v>
      </c>
      <c r="G80" s="67">
        <v>-2.2204460492503131E-16</v>
      </c>
      <c r="H80" s="67">
        <v>0</v>
      </c>
      <c r="I80" s="67">
        <v>0</v>
      </c>
      <c r="J80" s="67">
        <v>0</v>
      </c>
      <c r="K80" s="67">
        <v>0</v>
      </c>
      <c r="L80" s="67">
        <v>0</v>
      </c>
      <c r="M80" s="67">
        <v>-5.6682988468281792E-4</v>
      </c>
      <c r="N80" s="67">
        <v>0</v>
      </c>
      <c r="O80" s="67">
        <v>-6.6613381477509392E-15</v>
      </c>
      <c r="P80" s="67">
        <v>0</v>
      </c>
      <c r="Q80" s="67">
        <v>0</v>
      </c>
      <c r="R80" s="67">
        <v>-5.6843418860808015E-14</v>
      </c>
      <c r="S80" s="67">
        <v>-7.1054273576010019E-15</v>
      </c>
      <c r="T80" s="67">
        <v>-1.5265566588595902E-16</v>
      </c>
      <c r="U80" s="67">
        <v>-5.6682988497414044E-4</v>
      </c>
      <c r="V80" s="51"/>
    </row>
    <row r="81" spans="3:22" x14ac:dyDescent="0.25">
      <c r="C81" s="51"/>
      <c r="D81" s="51"/>
      <c r="E81" s="51"/>
      <c r="F81" s="51"/>
      <c r="G81" s="67"/>
      <c r="H81" s="51"/>
      <c r="I81" s="51"/>
      <c r="J81" s="51"/>
      <c r="K81" s="51"/>
      <c r="L81" s="51"/>
      <c r="M81" s="51"/>
      <c r="N81" s="51"/>
      <c r="O81" s="51"/>
      <c r="P81" s="51"/>
      <c r="Q81" s="51"/>
      <c r="R81" s="51"/>
      <c r="S81" s="51"/>
      <c r="T81" s="51"/>
      <c r="U81" s="51"/>
      <c r="V81" s="51"/>
    </row>
    <row r="82" spans="3:22" x14ac:dyDescent="0.25">
      <c r="C82" s="607" t="s">
        <v>88</v>
      </c>
      <c r="D82" s="606"/>
      <c r="E82" s="606"/>
      <c r="F82" s="606"/>
      <c r="G82" s="682"/>
      <c r="H82" s="606"/>
      <c r="I82" s="606"/>
      <c r="J82" s="606"/>
      <c r="K82" s="606"/>
      <c r="L82" s="606"/>
      <c r="M82" s="606"/>
      <c r="N82" s="606"/>
      <c r="O82" s="606"/>
      <c r="P82" s="606"/>
      <c r="Q82" s="606"/>
      <c r="R82" s="606"/>
      <c r="S82" s="606"/>
      <c r="T82" s="606"/>
      <c r="U82" s="606"/>
      <c r="V82" s="606"/>
    </row>
    <row r="83" spans="3:22" x14ac:dyDescent="0.25">
      <c r="C83" s="51"/>
      <c r="D83" s="51"/>
      <c r="E83" s="51"/>
      <c r="F83" s="51"/>
      <c r="G83" s="67"/>
      <c r="H83" s="51"/>
      <c r="I83" s="51"/>
      <c r="J83" s="51"/>
      <c r="K83" s="51"/>
      <c r="L83" s="51"/>
      <c r="M83" s="51"/>
      <c r="N83" s="51"/>
      <c r="O83" s="51"/>
      <c r="P83" s="51"/>
      <c r="Q83" s="51"/>
      <c r="R83" s="51"/>
      <c r="S83" s="51"/>
      <c r="T83" s="51"/>
      <c r="U83" s="51"/>
      <c r="V83" s="51"/>
    </row>
    <row r="84" spans="3:22" x14ac:dyDescent="0.25">
      <c r="C84" s="764" t="s">
        <v>128</v>
      </c>
      <c r="D84" s="753" t="s">
        <v>42</v>
      </c>
      <c r="E84" s="753" t="s">
        <v>52</v>
      </c>
      <c r="F84" s="753" t="s">
        <v>53</v>
      </c>
      <c r="G84" s="766" t="s">
        <v>482</v>
      </c>
      <c r="H84" s="753" t="s">
        <v>32</v>
      </c>
      <c r="I84" s="753" t="s">
        <v>483</v>
      </c>
      <c r="J84" s="753" t="s">
        <v>20</v>
      </c>
      <c r="K84" s="753" t="s">
        <v>55</v>
      </c>
      <c r="L84" s="761" t="s">
        <v>56</v>
      </c>
      <c r="M84" s="762"/>
      <c r="N84" s="762"/>
      <c r="O84" s="762"/>
      <c r="P84" s="762"/>
      <c r="Q84" s="763"/>
      <c r="R84" s="753" t="s">
        <v>57</v>
      </c>
      <c r="S84" s="753" t="s">
        <v>58</v>
      </c>
      <c r="T84" s="753" t="s">
        <v>31</v>
      </c>
      <c r="U84" s="753" t="s">
        <v>10</v>
      </c>
      <c r="V84" s="51"/>
    </row>
    <row r="85" spans="3:22" ht="36" x14ac:dyDescent="0.25">
      <c r="C85" s="765"/>
      <c r="D85" s="754"/>
      <c r="E85" s="754"/>
      <c r="F85" s="754"/>
      <c r="G85" s="767"/>
      <c r="H85" s="754"/>
      <c r="I85" s="754"/>
      <c r="J85" s="754"/>
      <c r="K85" s="754"/>
      <c r="L85" s="608" t="s">
        <v>335</v>
      </c>
      <c r="M85" s="608" t="s">
        <v>40</v>
      </c>
      <c r="N85" s="608" t="s">
        <v>343</v>
      </c>
      <c r="O85" s="608" t="s">
        <v>344</v>
      </c>
      <c r="P85" s="609" t="s">
        <v>345</v>
      </c>
      <c r="Q85" s="608" t="s">
        <v>346</v>
      </c>
      <c r="R85" s="754"/>
      <c r="S85" s="754"/>
      <c r="T85" s="754"/>
      <c r="U85" s="754"/>
      <c r="V85" s="51"/>
    </row>
    <row r="86" spans="3:22" x14ac:dyDescent="0.25">
      <c r="C86" s="610" t="s">
        <v>59</v>
      </c>
      <c r="D86" s="611">
        <v>0</v>
      </c>
      <c r="E86" s="611">
        <v>9.7691999999999997</v>
      </c>
      <c r="F86" s="611">
        <v>0</v>
      </c>
      <c r="G86" s="611">
        <v>0</v>
      </c>
      <c r="H86" s="611">
        <v>0.18608000000000002</v>
      </c>
      <c r="I86" s="611">
        <v>0</v>
      </c>
      <c r="J86" s="612">
        <v>1159.7098545454546</v>
      </c>
      <c r="K86" s="612">
        <v>206.22767049205902</v>
      </c>
      <c r="L86" s="612">
        <v>285.21175917150833</v>
      </c>
      <c r="M86" s="612">
        <v>23.031183006394908</v>
      </c>
      <c r="N86" s="611">
        <v>1.4156783371657409</v>
      </c>
      <c r="O86" s="611">
        <v>0.13593700784165794</v>
      </c>
      <c r="P86" s="612">
        <v>107.69757122399184</v>
      </c>
      <c r="Q86" s="612">
        <v>12.204806939230798</v>
      </c>
      <c r="R86" s="611">
        <v>0</v>
      </c>
      <c r="S86" s="611">
        <v>0</v>
      </c>
      <c r="T86" s="611">
        <v>0</v>
      </c>
      <c r="U86" s="613">
        <v>1805.5897407236466</v>
      </c>
      <c r="V86" s="51"/>
    </row>
    <row r="87" spans="3:22" x14ac:dyDescent="0.25">
      <c r="C87" s="610" t="s">
        <v>60</v>
      </c>
      <c r="D87" s="611">
        <v>23.408391415226877</v>
      </c>
      <c r="E87" s="611">
        <v>397.73285119797646</v>
      </c>
      <c r="F87" s="611">
        <v>192.17270191325082</v>
      </c>
      <c r="G87" s="611">
        <v>0.57597435478791414</v>
      </c>
      <c r="H87" s="611">
        <v>283.88973297973405</v>
      </c>
      <c r="I87" s="611">
        <v>0</v>
      </c>
      <c r="J87" s="611">
        <v>0</v>
      </c>
      <c r="K87" s="611">
        <v>0</v>
      </c>
      <c r="L87" s="611">
        <v>2.5322527707990741</v>
      </c>
      <c r="M87" s="611">
        <v>0</v>
      </c>
      <c r="N87" s="611">
        <v>3.4051358539984622</v>
      </c>
      <c r="O87" s="611">
        <v>0</v>
      </c>
      <c r="P87" s="611">
        <v>0</v>
      </c>
      <c r="Q87" s="611">
        <v>0</v>
      </c>
      <c r="R87" s="611">
        <v>0</v>
      </c>
      <c r="S87" s="611">
        <v>0</v>
      </c>
      <c r="T87" s="611">
        <v>0</v>
      </c>
      <c r="U87" s="613">
        <v>903.71704048577374</v>
      </c>
      <c r="V87" s="51"/>
    </row>
    <row r="88" spans="3:22" x14ac:dyDescent="0.25">
      <c r="C88" s="610" t="s">
        <v>61</v>
      </c>
      <c r="D88" s="611">
        <v>0</v>
      </c>
      <c r="E88" s="611">
        <v>0</v>
      </c>
      <c r="F88" s="611">
        <v>5.0493218309218548</v>
      </c>
      <c r="G88" s="611">
        <v>0</v>
      </c>
      <c r="H88" s="611">
        <v>0</v>
      </c>
      <c r="I88" s="611">
        <v>0</v>
      </c>
      <c r="J88" s="611">
        <v>0</v>
      </c>
      <c r="K88" s="611">
        <v>0</v>
      </c>
      <c r="L88" s="611">
        <v>0</v>
      </c>
      <c r="M88" s="611">
        <v>0</v>
      </c>
      <c r="N88" s="611">
        <v>0</v>
      </c>
      <c r="O88" s="611">
        <v>0</v>
      </c>
      <c r="P88" s="611">
        <v>0</v>
      </c>
      <c r="Q88" s="611">
        <v>0</v>
      </c>
      <c r="R88" s="611">
        <v>-56.303764118376989</v>
      </c>
      <c r="S88" s="611">
        <v>0</v>
      </c>
      <c r="T88" s="611">
        <v>0</v>
      </c>
      <c r="U88" s="613">
        <v>-51.254442287455134</v>
      </c>
      <c r="V88" s="51"/>
    </row>
    <row r="89" spans="3:22" x14ac:dyDescent="0.25">
      <c r="C89" s="610" t="s">
        <v>62</v>
      </c>
      <c r="D89" s="611">
        <v>0</v>
      </c>
      <c r="E89" s="611">
        <v>0</v>
      </c>
      <c r="F89" s="611">
        <v>-13.430949100801122</v>
      </c>
      <c r="G89" s="611">
        <v>-5.8076344872398176E-2</v>
      </c>
      <c r="H89" s="611">
        <v>-2.2639989057452867</v>
      </c>
      <c r="I89" s="611">
        <v>-0.72771393398955631</v>
      </c>
      <c r="J89" s="611">
        <v>0</v>
      </c>
      <c r="K89" s="611">
        <v>0</v>
      </c>
      <c r="L89" s="611">
        <v>0</v>
      </c>
      <c r="M89" s="611">
        <v>0</v>
      </c>
      <c r="N89" s="611">
        <v>-0.81896587882468008</v>
      </c>
      <c r="O89" s="611">
        <v>-1.0511423490960259</v>
      </c>
      <c r="P89" s="611">
        <v>0</v>
      </c>
      <c r="Q89" s="611">
        <v>0</v>
      </c>
      <c r="R89" s="611">
        <v>0</v>
      </c>
      <c r="S89" s="611">
        <v>0</v>
      </c>
      <c r="T89" s="611">
        <v>-0.13169239200090288</v>
      </c>
      <c r="U89" s="613">
        <v>-18.482538905329974</v>
      </c>
      <c r="V89" s="51"/>
    </row>
    <row r="90" spans="3:22" x14ac:dyDescent="0.25">
      <c r="C90" s="610" t="s">
        <v>63</v>
      </c>
      <c r="D90" s="611">
        <v>0</v>
      </c>
      <c r="E90" s="611">
        <v>0</v>
      </c>
      <c r="F90" s="611">
        <v>-68.854810681249447</v>
      </c>
      <c r="G90" s="611">
        <v>-0.89682740167552777</v>
      </c>
      <c r="H90" s="611">
        <v>0</v>
      </c>
      <c r="I90" s="611">
        <v>0</v>
      </c>
      <c r="J90" s="611">
        <v>0</v>
      </c>
      <c r="K90" s="611">
        <v>0</v>
      </c>
      <c r="L90" s="611">
        <v>0</v>
      </c>
      <c r="M90" s="611">
        <v>0</v>
      </c>
      <c r="N90" s="611">
        <v>-3.5873096067021111</v>
      </c>
      <c r="O90" s="611">
        <v>0</v>
      </c>
      <c r="P90" s="611">
        <v>0</v>
      </c>
      <c r="Q90" s="611">
        <v>0</v>
      </c>
      <c r="R90" s="611">
        <v>0</v>
      </c>
      <c r="S90" s="611">
        <v>0</v>
      </c>
      <c r="T90" s="611">
        <v>0</v>
      </c>
      <c r="U90" s="613">
        <v>-73.338947689627076</v>
      </c>
      <c r="V90" s="51"/>
    </row>
    <row r="91" spans="3:22" x14ac:dyDescent="0.25">
      <c r="C91" s="610" t="s">
        <v>64</v>
      </c>
      <c r="D91" s="611">
        <v>0</v>
      </c>
      <c r="E91" s="611">
        <v>0</v>
      </c>
      <c r="F91" s="611">
        <v>0</v>
      </c>
      <c r="G91" s="611">
        <v>0</v>
      </c>
      <c r="H91" s="611">
        <v>0</v>
      </c>
      <c r="I91" s="611">
        <v>0</v>
      </c>
      <c r="J91" s="611">
        <v>0</v>
      </c>
      <c r="K91" s="611">
        <v>0</v>
      </c>
      <c r="L91" s="611">
        <v>0</v>
      </c>
      <c r="M91" s="611">
        <v>0</v>
      </c>
      <c r="N91" s="611">
        <v>0</v>
      </c>
      <c r="O91" s="611">
        <v>0</v>
      </c>
      <c r="P91" s="611">
        <v>0</v>
      </c>
      <c r="Q91" s="611">
        <v>0</v>
      </c>
      <c r="R91" s="611">
        <v>0</v>
      </c>
      <c r="S91" s="611">
        <v>0</v>
      </c>
      <c r="T91" s="611">
        <v>0</v>
      </c>
      <c r="U91" s="613">
        <v>0</v>
      </c>
      <c r="V91" s="51"/>
    </row>
    <row r="92" spans="3:22" x14ac:dyDescent="0.25">
      <c r="C92" s="614" t="s">
        <v>65</v>
      </c>
      <c r="D92" s="615">
        <v>23.408391415226877</v>
      </c>
      <c r="E92" s="615">
        <v>407.50205119797647</v>
      </c>
      <c r="F92" s="615">
        <v>114.93626396212211</v>
      </c>
      <c r="G92" s="615">
        <v>-0.37892939176001184</v>
      </c>
      <c r="H92" s="615">
        <v>281.81181407398878</v>
      </c>
      <c r="I92" s="615">
        <v>-0.72771393398955631</v>
      </c>
      <c r="J92" s="615">
        <v>1159.7098545454546</v>
      </c>
      <c r="K92" s="615">
        <v>206.22767049205902</v>
      </c>
      <c r="L92" s="615">
        <v>287.7440119423074</v>
      </c>
      <c r="M92" s="615">
        <v>23.031183006394908</v>
      </c>
      <c r="N92" s="615">
        <v>0.41453870563741191</v>
      </c>
      <c r="O92" s="615">
        <v>-0.91520534125436792</v>
      </c>
      <c r="P92" s="615">
        <v>107.69757122399184</v>
      </c>
      <c r="Q92" s="615">
        <v>12.204806939230798</v>
      </c>
      <c r="R92" s="615">
        <v>-56.303764118376989</v>
      </c>
      <c r="S92" s="615">
        <v>0</v>
      </c>
      <c r="T92" s="615">
        <v>-0.13169239200090288</v>
      </c>
      <c r="U92" s="615">
        <v>2566.2308523270081</v>
      </c>
      <c r="V92" s="51"/>
    </row>
    <row r="93" spans="3:22" x14ac:dyDescent="0.25">
      <c r="C93" s="616"/>
      <c r="D93" s="617"/>
      <c r="E93" s="617"/>
      <c r="F93" s="617"/>
      <c r="G93" s="617"/>
      <c r="H93" s="623"/>
      <c r="I93" s="617"/>
      <c r="J93" s="617"/>
      <c r="K93" s="617"/>
      <c r="L93" s="617"/>
      <c r="M93" s="617"/>
      <c r="N93" s="617"/>
      <c r="O93" s="617"/>
      <c r="P93" s="617"/>
      <c r="Q93" s="617"/>
      <c r="R93" s="617"/>
      <c r="S93" s="617"/>
      <c r="T93" s="617"/>
      <c r="U93" s="617"/>
      <c r="V93" s="51"/>
    </row>
    <row r="94" spans="3:22" x14ac:dyDescent="0.25">
      <c r="C94" s="618" t="s">
        <v>67</v>
      </c>
      <c r="D94" s="611">
        <v>0</v>
      </c>
      <c r="E94" s="611">
        <v>0</v>
      </c>
      <c r="F94" s="611">
        <v>0</v>
      </c>
      <c r="G94" s="611">
        <v>0</v>
      </c>
      <c r="H94" s="611">
        <v>0</v>
      </c>
      <c r="I94" s="611">
        <v>0</v>
      </c>
      <c r="J94" s="611">
        <v>0</v>
      </c>
      <c r="K94" s="611">
        <v>0</v>
      </c>
      <c r="L94" s="611">
        <v>0</v>
      </c>
      <c r="M94" s="611">
        <v>0</v>
      </c>
      <c r="N94" s="611">
        <v>0</v>
      </c>
      <c r="O94" s="611">
        <v>0</v>
      </c>
      <c r="P94" s="611">
        <v>0</v>
      </c>
      <c r="Q94" s="611">
        <v>0</v>
      </c>
      <c r="R94" s="611">
        <v>0</v>
      </c>
      <c r="S94" s="611">
        <v>0</v>
      </c>
      <c r="T94" s="611">
        <v>0</v>
      </c>
      <c r="U94" s="619">
        <v>0</v>
      </c>
      <c r="V94" s="51"/>
    </row>
    <row r="95" spans="3:22" x14ac:dyDescent="0.25">
      <c r="C95" s="618" t="s">
        <v>347</v>
      </c>
      <c r="D95" s="611">
        <v>0</v>
      </c>
      <c r="E95" s="611">
        <v>0</v>
      </c>
      <c r="F95" s="611">
        <v>0.77863803143112786</v>
      </c>
      <c r="G95" s="611">
        <v>0</v>
      </c>
      <c r="H95" s="611">
        <v>48.649185599999988</v>
      </c>
      <c r="I95" s="611">
        <v>0</v>
      </c>
      <c r="J95" s="611">
        <v>1159.7098545454546</v>
      </c>
      <c r="K95" s="611">
        <v>206.22767049205902</v>
      </c>
      <c r="L95" s="611">
        <v>25.052463950767358</v>
      </c>
      <c r="M95" s="611">
        <v>0.56210869211624748</v>
      </c>
      <c r="N95" s="611">
        <v>4.4112574708908179</v>
      </c>
      <c r="O95" s="611">
        <v>8.6805648243110305</v>
      </c>
      <c r="P95" s="611">
        <v>0</v>
      </c>
      <c r="Q95" s="611">
        <v>0</v>
      </c>
      <c r="R95" s="611">
        <v>-654.18402229864398</v>
      </c>
      <c r="S95" s="611">
        <v>0</v>
      </c>
      <c r="T95" s="611">
        <v>0</v>
      </c>
      <c r="U95" s="619">
        <v>799.88772130838595</v>
      </c>
      <c r="V95" s="51"/>
    </row>
    <row r="96" spans="3:22" x14ac:dyDescent="0.25">
      <c r="C96" s="618" t="s">
        <v>348</v>
      </c>
      <c r="D96" s="611">
        <v>0</v>
      </c>
      <c r="E96" s="611">
        <v>0</v>
      </c>
      <c r="F96" s="611">
        <v>0</v>
      </c>
      <c r="G96" s="611">
        <v>0</v>
      </c>
      <c r="H96" s="611">
        <v>16.620158076105728</v>
      </c>
      <c r="I96" s="611">
        <v>0</v>
      </c>
      <c r="J96" s="611">
        <v>0</v>
      </c>
      <c r="K96" s="611">
        <v>0</v>
      </c>
      <c r="L96" s="611">
        <v>32.843396379352157</v>
      </c>
      <c r="M96" s="611">
        <v>15.176983861343588</v>
      </c>
      <c r="N96" s="611">
        <v>0</v>
      </c>
      <c r="O96" s="611">
        <v>4.1681951660111221</v>
      </c>
      <c r="P96" s="611">
        <v>0</v>
      </c>
      <c r="Q96" s="611">
        <v>7.245438098137603</v>
      </c>
      <c r="R96" s="611">
        <v>0</v>
      </c>
      <c r="S96" s="611">
        <v>-69.202246777918418</v>
      </c>
      <c r="T96" s="611">
        <v>0</v>
      </c>
      <c r="U96" s="619">
        <v>6.8519248030317641</v>
      </c>
      <c r="V96" s="51"/>
    </row>
    <row r="97" spans="3:22" x14ac:dyDescent="0.25">
      <c r="C97" s="618" t="s">
        <v>349</v>
      </c>
      <c r="D97" s="611">
        <v>0</v>
      </c>
      <c r="E97" s="611">
        <v>0</v>
      </c>
      <c r="F97" s="611">
        <v>0</v>
      </c>
      <c r="G97" s="611">
        <v>0</v>
      </c>
      <c r="H97" s="611">
        <v>0</v>
      </c>
      <c r="I97" s="611">
        <v>0</v>
      </c>
      <c r="J97" s="611">
        <v>0</v>
      </c>
      <c r="K97" s="611">
        <v>0</v>
      </c>
      <c r="L97" s="611">
        <v>57.003702343671577</v>
      </c>
      <c r="M97" s="611">
        <v>0</v>
      </c>
      <c r="N97" s="611">
        <v>0</v>
      </c>
      <c r="O97" s="611">
        <v>-51.650820116954286</v>
      </c>
      <c r="P97" s="611">
        <v>0</v>
      </c>
      <c r="Q97" s="611">
        <v>0</v>
      </c>
      <c r="R97" s="611">
        <v>0</v>
      </c>
      <c r="S97" s="611">
        <v>0</v>
      </c>
      <c r="T97" s="611">
        <v>0</v>
      </c>
      <c r="U97" s="619">
        <v>5.3528822267172913</v>
      </c>
      <c r="V97" s="51"/>
    </row>
    <row r="98" spans="3:22" x14ac:dyDescent="0.25">
      <c r="C98" s="618" t="s">
        <v>350</v>
      </c>
      <c r="D98" s="611">
        <v>0</v>
      </c>
      <c r="E98" s="611">
        <v>0</v>
      </c>
      <c r="F98" s="611">
        <v>0</v>
      </c>
      <c r="G98" s="611">
        <v>0</v>
      </c>
      <c r="H98" s="611">
        <v>0</v>
      </c>
      <c r="I98" s="611">
        <v>-0.72771393398955631</v>
      </c>
      <c r="J98" s="611">
        <v>0</v>
      </c>
      <c r="K98" s="611">
        <v>0</v>
      </c>
      <c r="L98" s="611">
        <v>0</v>
      </c>
      <c r="M98" s="611">
        <v>0</v>
      </c>
      <c r="N98" s="611">
        <v>0</v>
      </c>
      <c r="O98" s="611">
        <v>0</v>
      </c>
      <c r="P98" s="611">
        <v>0</v>
      </c>
      <c r="Q98" s="611">
        <v>0</v>
      </c>
      <c r="R98" s="611">
        <v>0</v>
      </c>
      <c r="S98" s="611">
        <v>0</v>
      </c>
      <c r="T98" s="611">
        <v>1.0107137972077171</v>
      </c>
      <c r="U98" s="619">
        <v>0.28299986321816084</v>
      </c>
      <c r="V98" s="51"/>
    </row>
    <row r="99" spans="3:22" x14ac:dyDescent="0.25">
      <c r="C99" s="618" t="s">
        <v>72</v>
      </c>
      <c r="D99" s="611">
        <v>0</v>
      </c>
      <c r="E99" s="611">
        <v>422.3330989513351</v>
      </c>
      <c r="F99" s="611">
        <v>-418.12947900634055</v>
      </c>
      <c r="G99" s="611">
        <v>0</v>
      </c>
      <c r="H99" s="611">
        <v>0</v>
      </c>
      <c r="I99" s="611">
        <v>0</v>
      </c>
      <c r="J99" s="611">
        <v>0</v>
      </c>
      <c r="K99" s="611">
        <v>0</v>
      </c>
      <c r="L99" s="611">
        <v>0</v>
      </c>
      <c r="M99" s="611">
        <v>0</v>
      </c>
      <c r="N99" s="611">
        <v>0</v>
      </c>
      <c r="O99" s="611">
        <v>0</v>
      </c>
      <c r="P99" s="611">
        <v>0</v>
      </c>
      <c r="Q99" s="611">
        <v>0</v>
      </c>
      <c r="R99" s="611">
        <v>0</v>
      </c>
      <c r="S99" s="611">
        <v>0</v>
      </c>
      <c r="T99" s="611">
        <v>0</v>
      </c>
      <c r="U99" s="619">
        <v>4.203619944994557</v>
      </c>
      <c r="V99" s="51"/>
    </row>
    <row r="100" spans="3:22" x14ac:dyDescent="0.25">
      <c r="C100" s="618" t="s">
        <v>351</v>
      </c>
      <c r="D100" s="611">
        <v>0</v>
      </c>
      <c r="E100" s="611">
        <v>0</v>
      </c>
      <c r="F100" s="611">
        <v>0</v>
      </c>
      <c r="G100" s="611">
        <v>0</v>
      </c>
      <c r="H100" s="611">
        <v>0</v>
      </c>
      <c r="I100" s="611">
        <v>0</v>
      </c>
      <c r="J100" s="611">
        <v>0</v>
      </c>
      <c r="K100" s="611">
        <v>0</v>
      </c>
      <c r="L100" s="611">
        <v>88.69555402266576</v>
      </c>
      <c r="M100" s="611">
        <v>0</v>
      </c>
      <c r="N100" s="611">
        <v>-48.782554712466172</v>
      </c>
      <c r="O100" s="611">
        <v>0</v>
      </c>
      <c r="P100" s="611">
        <v>0</v>
      </c>
      <c r="Q100" s="611">
        <v>0</v>
      </c>
      <c r="R100" s="611">
        <v>0</v>
      </c>
      <c r="S100" s="611">
        <v>0</v>
      </c>
      <c r="T100" s="611">
        <v>0</v>
      </c>
      <c r="U100" s="619">
        <v>39.912999310199588</v>
      </c>
      <c r="V100" s="51"/>
    </row>
    <row r="101" spans="3:22" x14ac:dyDescent="0.25">
      <c r="C101" s="618" t="s">
        <v>352</v>
      </c>
      <c r="D101" s="611">
        <v>0</v>
      </c>
      <c r="E101" s="611">
        <v>0</v>
      </c>
      <c r="F101" s="611">
        <v>0</v>
      </c>
      <c r="G101" s="611">
        <v>-2.0156543247413854</v>
      </c>
      <c r="H101" s="611">
        <v>0</v>
      </c>
      <c r="I101" s="611">
        <v>0</v>
      </c>
      <c r="J101" s="611">
        <v>0</v>
      </c>
      <c r="K101" s="611">
        <v>0</v>
      </c>
      <c r="L101" s="611">
        <v>0</v>
      </c>
      <c r="M101" s="611">
        <v>0</v>
      </c>
      <c r="N101" s="611">
        <v>0</v>
      </c>
      <c r="O101" s="611">
        <v>0</v>
      </c>
      <c r="P101" s="611">
        <v>0</v>
      </c>
      <c r="Q101" s="611">
        <v>0</v>
      </c>
      <c r="R101" s="611">
        <v>0</v>
      </c>
      <c r="S101" s="611">
        <v>0</v>
      </c>
      <c r="T101" s="611">
        <v>2.6398301244345332</v>
      </c>
      <c r="U101" s="619">
        <v>0.62417579969314785</v>
      </c>
      <c r="V101" s="51"/>
    </row>
    <row r="102" spans="3:22" x14ac:dyDescent="0.25">
      <c r="C102" s="618" t="s">
        <v>73</v>
      </c>
      <c r="D102" s="611">
        <v>0</v>
      </c>
      <c r="E102" s="611">
        <v>0</v>
      </c>
      <c r="F102" s="611">
        <v>0</v>
      </c>
      <c r="G102" s="611">
        <v>0</v>
      </c>
      <c r="H102" s="611">
        <v>0</v>
      </c>
      <c r="I102" s="611">
        <v>0</v>
      </c>
      <c r="J102" s="611">
        <v>0</v>
      </c>
      <c r="K102" s="611">
        <v>0</v>
      </c>
      <c r="L102" s="611">
        <v>0</v>
      </c>
      <c r="M102" s="611">
        <v>0</v>
      </c>
      <c r="N102" s="611">
        <v>0</v>
      </c>
      <c r="O102" s="611">
        <v>0</v>
      </c>
      <c r="P102" s="611">
        <v>0</v>
      </c>
      <c r="Q102" s="611">
        <v>0</v>
      </c>
      <c r="R102" s="611">
        <v>14.763935391852707</v>
      </c>
      <c r="S102" s="611">
        <v>0</v>
      </c>
      <c r="T102" s="611">
        <v>-9.59655800470426</v>
      </c>
      <c r="U102" s="619">
        <v>5.1673773871484467</v>
      </c>
      <c r="V102" s="51"/>
    </row>
    <row r="103" spans="3:22" x14ac:dyDescent="0.25">
      <c r="C103" s="618" t="s">
        <v>353</v>
      </c>
      <c r="D103" s="611">
        <v>14.423464335937501</v>
      </c>
      <c r="E103" s="611">
        <v>-14.831047753358636</v>
      </c>
      <c r="F103" s="611">
        <v>19.300366292147253</v>
      </c>
      <c r="G103" s="611">
        <v>0</v>
      </c>
      <c r="H103" s="611">
        <v>0</v>
      </c>
      <c r="I103" s="611">
        <v>0</v>
      </c>
      <c r="J103" s="611">
        <v>0</v>
      </c>
      <c r="K103" s="611">
        <v>0</v>
      </c>
      <c r="L103" s="611">
        <v>0</v>
      </c>
      <c r="M103" s="611">
        <v>0</v>
      </c>
      <c r="N103" s="611">
        <v>0</v>
      </c>
      <c r="O103" s="611">
        <v>0</v>
      </c>
      <c r="P103" s="611">
        <v>0</v>
      </c>
      <c r="Q103" s="611">
        <v>0</v>
      </c>
      <c r="R103" s="611">
        <v>0</v>
      </c>
      <c r="S103" s="611">
        <v>0</v>
      </c>
      <c r="T103" s="611">
        <v>0</v>
      </c>
      <c r="U103" s="619">
        <v>18.892782874726116</v>
      </c>
      <c r="V103" s="51"/>
    </row>
    <row r="104" spans="3:22" x14ac:dyDescent="0.25">
      <c r="C104" s="618" t="s">
        <v>75</v>
      </c>
      <c r="D104" s="611">
        <v>5.609125019531251</v>
      </c>
      <c r="E104" s="611">
        <v>0</v>
      </c>
      <c r="F104" s="611">
        <v>14.541080175745211</v>
      </c>
      <c r="G104" s="611">
        <v>0</v>
      </c>
      <c r="H104" s="611">
        <v>4.7384633059767616</v>
      </c>
      <c r="I104" s="611">
        <v>0</v>
      </c>
      <c r="J104" s="611">
        <v>0</v>
      </c>
      <c r="K104" s="611">
        <v>0</v>
      </c>
      <c r="L104" s="611">
        <v>0</v>
      </c>
      <c r="M104" s="611">
        <v>0</v>
      </c>
      <c r="N104" s="611">
        <v>0</v>
      </c>
      <c r="O104" s="611">
        <v>0.83619940693707562</v>
      </c>
      <c r="P104" s="611">
        <v>0</v>
      </c>
      <c r="Q104" s="611">
        <v>0</v>
      </c>
      <c r="R104" s="611">
        <v>56.456567554456434</v>
      </c>
      <c r="S104" s="611">
        <v>0</v>
      </c>
      <c r="T104" s="611">
        <v>0</v>
      </c>
      <c r="U104" s="619">
        <v>82.181435462646732</v>
      </c>
      <c r="V104" s="51"/>
    </row>
    <row r="105" spans="3:22" x14ac:dyDescent="0.25">
      <c r="C105" s="618" t="s">
        <v>76</v>
      </c>
      <c r="D105" s="611">
        <v>0</v>
      </c>
      <c r="E105" s="611">
        <v>0</v>
      </c>
      <c r="F105" s="611">
        <v>0</v>
      </c>
      <c r="G105" s="611">
        <v>0</v>
      </c>
      <c r="H105" s="611">
        <v>3.1933502134367608</v>
      </c>
      <c r="I105" s="611">
        <v>0</v>
      </c>
      <c r="J105" s="611">
        <v>0</v>
      </c>
      <c r="K105" s="611">
        <v>0</v>
      </c>
      <c r="L105" s="611">
        <v>0</v>
      </c>
      <c r="M105" s="611">
        <v>0</v>
      </c>
      <c r="N105" s="611">
        <v>0</v>
      </c>
      <c r="O105" s="611">
        <v>0.56353239060648719</v>
      </c>
      <c r="P105" s="611">
        <v>0</v>
      </c>
      <c r="Q105" s="611">
        <v>0</v>
      </c>
      <c r="R105" s="611">
        <v>45.789919653579361</v>
      </c>
      <c r="S105" s="611">
        <v>5.3668499447334987</v>
      </c>
      <c r="T105" s="611">
        <v>0</v>
      </c>
      <c r="U105" s="619">
        <v>54.913652202356104</v>
      </c>
      <c r="V105" s="51"/>
    </row>
    <row r="106" spans="3:22" x14ac:dyDescent="0.25">
      <c r="C106" s="614" t="s">
        <v>77</v>
      </c>
      <c r="D106" s="615">
        <v>20.032589355468751</v>
      </c>
      <c r="E106" s="615">
        <v>407.50205119797647</v>
      </c>
      <c r="F106" s="615">
        <v>-383.50939450701696</v>
      </c>
      <c r="G106" s="615">
        <v>-2.0156543247413854</v>
      </c>
      <c r="H106" s="615">
        <v>73.201157195519244</v>
      </c>
      <c r="I106" s="615">
        <v>-0.72771393398955631</v>
      </c>
      <c r="J106" s="615">
        <v>1159.7098545454546</v>
      </c>
      <c r="K106" s="615">
        <v>206.22767049205902</v>
      </c>
      <c r="L106" s="615">
        <v>203.59511669645684</v>
      </c>
      <c r="M106" s="615">
        <v>15.739092553459836</v>
      </c>
      <c r="N106" s="615">
        <v>-44.371297241575355</v>
      </c>
      <c r="O106" s="615">
        <v>-37.402328329088569</v>
      </c>
      <c r="P106" s="615">
        <v>0</v>
      </c>
      <c r="Q106" s="615">
        <v>7.245438098137603</v>
      </c>
      <c r="R106" s="615">
        <v>-537.17359969875554</v>
      </c>
      <c r="S106" s="615">
        <v>-63.835396833184916</v>
      </c>
      <c r="T106" s="615">
        <v>-5.9460140830620096</v>
      </c>
      <c r="U106" s="615">
        <v>1018.2715711831179</v>
      </c>
      <c r="V106" s="51"/>
    </row>
    <row r="107" spans="3:22" x14ac:dyDescent="0.25">
      <c r="C107" s="616"/>
      <c r="D107" s="617"/>
      <c r="E107" s="617"/>
      <c r="F107" s="617"/>
      <c r="G107" s="617"/>
      <c r="H107" s="623"/>
      <c r="I107" s="617"/>
      <c r="J107" s="617"/>
      <c r="K107" s="617"/>
      <c r="L107" s="617"/>
      <c r="M107" s="617"/>
      <c r="N107" s="617"/>
      <c r="O107" s="617"/>
      <c r="P107" s="617"/>
      <c r="Q107" s="617"/>
      <c r="R107" s="617"/>
      <c r="S107" s="617"/>
      <c r="T107" s="617"/>
      <c r="U107" s="617"/>
      <c r="V107" s="51"/>
    </row>
    <row r="108" spans="3:22" x14ac:dyDescent="0.25">
      <c r="C108" s="618" t="s">
        <v>78</v>
      </c>
      <c r="D108" s="611">
        <v>3.3758020597581235</v>
      </c>
      <c r="E108" s="611">
        <v>0</v>
      </c>
      <c r="F108" s="611">
        <v>12.950442965803651</v>
      </c>
      <c r="G108" s="611">
        <v>0</v>
      </c>
      <c r="H108" s="611">
        <v>80.47134477164488</v>
      </c>
      <c r="I108" s="611">
        <v>0</v>
      </c>
      <c r="J108" s="611">
        <v>0</v>
      </c>
      <c r="K108" s="611">
        <v>0</v>
      </c>
      <c r="L108" s="611">
        <v>21.324114250752451</v>
      </c>
      <c r="M108" s="611">
        <v>7.2915559072262504</v>
      </c>
      <c r="N108" s="611">
        <v>1.0929506417768975</v>
      </c>
      <c r="O108" s="611">
        <v>14.228192484483269</v>
      </c>
      <c r="P108" s="611">
        <v>5.4360292968749997</v>
      </c>
      <c r="Q108" s="611">
        <v>5.5791983277925228E-4</v>
      </c>
      <c r="R108" s="611">
        <v>150.98087036591164</v>
      </c>
      <c r="S108" s="611">
        <v>19.403042568185512</v>
      </c>
      <c r="T108" s="611">
        <v>3.5524582519531251</v>
      </c>
      <c r="U108" s="619">
        <v>320.10736148420358</v>
      </c>
      <c r="V108" s="51"/>
    </row>
    <row r="109" spans="3:22" x14ac:dyDescent="0.25">
      <c r="C109" s="618" t="s">
        <v>79</v>
      </c>
      <c r="D109" s="611">
        <v>0</v>
      </c>
      <c r="E109" s="611">
        <v>0</v>
      </c>
      <c r="F109" s="611">
        <v>316.65258451410631</v>
      </c>
      <c r="G109" s="611">
        <v>0.21178247693223418</v>
      </c>
      <c r="H109" s="611">
        <v>5.6309983287714074</v>
      </c>
      <c r="I109" s="611">
        <v>0</v>
      </c>
      <c r="J109" s="611">
        <v>0</v>
      </c>
      <c r="K109" s="611">
        <v>0</v>
      </c>
      <c r="L109" s="611">
        <v>0</v>
      </c>
      <c r="M109" s="611">
        <v>0</v>
      </c>
      <c r="N109" s="611">
        <v>37.755477147774521</v>
      </c>
      <c r="O109" s="611">
        <v>0.99370558743024839</v>
      </c>
      <c r="P109" s="611">
        <v>0</v>
      </c>
      <c r="Q109" s="611">
        <v>0</v>
      </c>
      <c r="R109" s="611">
        <v>33.627467612150312</v>
      </c>
      <c r="S109" s="611">
        <v>0</v>
      </c>
      <c r="T109" s="611">
        <v>0.96605492902811552</v>
      </c>
      <c r="U109" s="619">
        <v>395.83807059619318</v>
      </c>
      <c r="V109" s="51"/>
    </row>
    <row r="110" spans="3:22" x14ac:dyDescent="0.25">
      <c r="C110" s="618" t="s">
        <v>80</v>
      </c>
      <c r="D110" s="611">
        <v>0</v>
      </c>
      <c r="E110" s="611">
        <v>0</v>
      </c>
      <c r="F110" s="611">
        <v>7.2864711080849975</v>
      </c>
      <c r="G110" s="611">
        <v>0</v>
      </c>
      <c r="H110" s="611">
        <v>64.015994675506889</v>
      </c>
      <c r="I110" s="611">
        <v>0</v>
      </c>
      <c r="J110" s="611">
        <v>0</v>
      </c>
      <c r="K110" s="611">
        <v>0</v>
      </c>
      <c r="L110" s="611">
        <v>59.781394249240854</v>
      </c>
      <c r="M110" s="611">
        <v>0</v>
      </c>
      <c r="N110" s="611">
        <v>0</v>
      </c>
      <c r="O110" s="611">
        <v>11.296940236854157</v>
      </c>
      <c r="P110" s="611">
        <v>71.261229807028784</v>
      </c>
      <c r="Q110" s="611">
        <v>1.8312707461125663</v>
      </c>
      <c r="R110" s="611">
        <v>168.99529037460601</v>
      </c>
      <c r="S110" s="611">
        <v>26.200174165432053</v>
      </c>
      <c r="T110" s="611">
        <v>0</v>
      </c>
      <c r="U110" s="619">
        <v>410.66876536286634</v>
      </c>
      <c r="V110" s="51"/>
    </row>
    <row r="111" spans="3:22" x14ac:dyDescent="0.25">
      <c r="C111" s="618" t="s">
        <v>81</v>
      </c>
      <c r="D111" s="611">
        <v>0</v>
      </c>
      <c r="E111" s="611">
        <v>0</v>
      </c>
      <c r="F111" s="611">
        <v>3.924731163958576</v>
      </c>
      <c r="G111" s="611">
        <v>0</v>
      </c>
      <c r="H111" s="611">
        <v>43.02867282834201</v>
      </c>
      <c r="I111" s="611">
        <v>0</v>
      </c>
      <c r="J111" s="611">
        <v>0</v>
      </c>
      <c r="K111" s="611">
        <v>0</v>
      </c>
      <c r="L111" s="611">
        <v>0.65520868022421808</v>
      </c>
      <c r="M111" s="611">
        <v>0</v>
      </c>
      <c r="N111" s="611">
        <v>0</v>
      </c>
      <c r="O111" s="611">
        <v>7.5932952050015308</v>
      </c>
      <c r="P111" s="611">
        <v>30.500312120088047</v>
      </c>
      <c r="Q111" s="611">
        <v>2.5023556054496878</v>
      </c>
      <c r="R111" s="611">
        <v>120.41840773999139</v>
      </c>
      <c r="S111" s="611">
        <v>18.232180099567369</v>
      </c>
      <c r="T111" s="611">
        <v>0</v>
      </c>
      <c r="U111" s="619">
        <v>226.85516344262282</v>
      </c>
      <c r="V111" s="51"/>
    </row>
    <row r="112" spans="3:22" x14ac:dyDescent="0.25">
      <c r="C112" s="618" t="s">
        <v>82</v>
      </c>
      <c r="D112" s="611">
        <v>0</v>
      </c>
      <c r="E112" s="611">
        <v>0</v>
      </c>
      <c r="F112" s="611">
        <v>30.67679188462478</v>
      </c>
      <c r="G112" s="611">
        <v>0</v>
      </c>
      <c r="H112" s="611">
        <v>1.9189403202924635</v>
      </c>
      <c r="I112" s="611">
        <v>0</v>
      </c>
      <c r="J112" s="611">
        <v>0</v>
      </c>
      <c r="K112" s="611">
        <v>0</v>
      </c>
      <c r="L112" s="611">
        <v>2.2700672066089305</v>
      </c>
      <c r="M112" s="611">
        <v>0</v>
      </c>
      <c r="N112" s="611">
        <v>4.4101434474454244</v>
      </c>
      <c r="O112" s="611">
        <v>0.33863652711043474</v>
      </c>
      <c r="P112" s="611">
        <v>0.5</v>
      </c>
      <c r="Q112" s="611">
        <v>0.62518456969816016</v>
      </c>
      <c r="R112" s="611">
        <v>6.8477994877191097</v>
      </c>
      <c r="S112" s="611">
        <v>0</v>
      </c>
      <c r="T112" s="611">
        <v>0.17366238047171115</v>
      </c>
      <c r="U112" s="619">
        <v>47.76122582397101</v>
      </c>
      <c r="V112" s="51"/>
    </row>
    <row r="113" spans="3:22" x14ac:dyDescent="0.25">
      <c r="C113" s="618" t="s">
        <v>354</v>
      </c>
      <c r="D113" s="611">
        <v>0</v>
      </c>
      <c r="E113" s="611">
        <v>0</v>
      </c>
      <c r="F113" s="611">
        <v>0</v>
      </c>
      <c r="G113" s="611">
        <v>0</v>
      </c>
      <c r="H113" s="611">
        <v>0</v>
      </c>
      <c r="I113" s="611">
        <v>0</v>
      </c>
      <c r="J113" s="611">
        <v>0</v>
      </c>
      <c r="K113" s="611">
        <v>0</v>
      </c>
      <c r="L113" s="611">
        <v>0</v>
      </c>
      <c r="M113" s="611">
        <v>0</v>
      </c>
      <c r="N113" s="611">
        <v>0</v>
      </c>
      <c r="O113" s="611">
        <v>0</v>
      </c>
      <c r="P113" s="611">
        <v>0</v>
      </c>
      <c r="Q113" s="611">
        <v>0</v>
      </c>
      <c r="R113" s="611">
        <v>0</v>
      </c>
      <c r="S113" s="611">
        <v>0</v>
      </c>
      <c r="T113" s="611">
        <v>0</v>
      </c>
      <c r="U113" s="619">
        <v>0</v>
      </c>
      <c r="V113" s="51"/>
    </row>
    <row r="114" spans="3:22" x14ac:dyDescent="0.25">
      <c r="C114" s="614" t="s">
        <v>83</v>
      </c>
      <c r="D114" s="615">
        <v>3.3758020597581235</v>
      </c>
      <c r="E114" s="615">
        <v>0</v>
      </c>
      <c r="F114" s="615">
        <v>371.4910216365783</v>
      </c>
      <c r="G114" s="615">
        <v>0.21178247693223418</v>
      </c>
      <c r="H114" s="615">
        <v>195.06595092455763</v>
      </c>
      <c r="I114" s="615">
        <v>0</v>
      </c>
      <c r="J114" s="615">
        <v>0</v>
      </c>
      <c r="K114" s="615">
        <v>0</v>
      </c>
      <c r="L114" s="615">
        <v>84.030784386826454</v>
      </c>
      <c r="M114" s="615">
        <v>7.2915559072262504</v>
      </c>
      <c r="N114" s="615">
        <v>43.258571236996843</v>
      </c>
      <c r="O114" s="615">
        <v>34.450770040879647</v>
      </c>
      <c r="P114" s="615">
        <v>107.69757122399184</v>
      </c>
      <c r="Q114" s="615">
        <v>4.9593688410931929</v>
      </c>
      <c r="R114" s="615">
        <v>480.86983558037849</v>
      </c>
      <c r="S114" s="615">
        <v>63.83539683318493</v>
      </c>
      <c r="T114" s="615">
        <v>4.6921755614529523</v>
      </c>
      <c r="U114" s="615">
        <v>1401.2305867098569</v>
      </c>
      <c r="V114" s="51"/>
    </row>
    <row r="115" spans="3:22" x14ac:dyDescent="0.25">
      <c r="C115" s="610" t="s">
        <v>84</v>
      </c>
      <c r="D115" s="611">
        <v>0</v>
      </c>
      <c r="E115" s="611">
        <v>0</v>
      </c>
      <c r="F115" s="611">
        <v>126.95463683256074</v>
      </c>
      <c r="G115" s="611">
        <v>1.4249424560491393</v>
      </c>
      <c r="H115" s="611">
        <v>13.544705953911897</v>
      </c>
      <c r="I115" s="611">
        <v>0</v>
      </c>
      <c r="J115" s="611">
        <v>0</v>
      </c>
      <c r="K115" s="611">
        <v>0</v>
      </c>
      <c r="L115" s="611">
        <v>0.11811085902414258</v>
      </c>
      <c r="M115" s="611">
        <v>0</v>
      </c>
      <c r="N115" s="611">
        <v>1.5272647102159218</v>
      </c>
      <c r="O115" s="611">
        <v>2.0363529469545623</v>
      </c>
      <c r="P115" s="611">
        <v>0</v>
      </c>
      <c r="Q115" s="611">
        <v>0</v>
      </c>
      <c r="R115" s="611">
        <v>0</v>
      </c>
      <c r="S115" s="611">
        <v>0</v>
      </c>
      <c r="T115" s="611">
        <v>1.1221461296081543</v>
      </c>
      <c r="U115" s="619">
        <v>146.72815988832454</v>
      </c>
      <c r="V115" s="51"/>
    </row>
    <row r="116" spans="3:22" x14ac:dyDescent="0.25">
      <c r="C116" s="614" t="s">
        <v>85</v>
      </c>
      <c r="D116" s="615">
        <v>3.3758020597581235</v>
      </c>
      <c r="E116" s="615">
        <v>0</v>
      </c>
      <c r="F116" s="615">
        <v>498.44565846913906</v>
      </c>
      <c r="G116" s="615">
        <v>1.6367249329813736</v>
      </c>
      <c r="H116" s="615">
        <v>208.61065687846951</v>
      </c>
      <c r="I116" s="615">
        <v>0</v>
      </c>
      <c r="J116" s="615">
        <v>0</v>
      </c>
      <c r="K116" s="615">
        <v>0</v>
      </c>
      <c r="L116" s="615">
        <v>84.148895245850596</v>
      </c>
      <c r="M116" s="615">
        <v>7.2915559072262504</v>
      </c>
      <c r="N116" s="615">
        <v>44.785835947212767</v>
      </c>
      <c r="O116" s="615">
        <v>36.487122987834212</v>
      </c>
      <c r="P116" s="615">
        <v>107.69757122399184</v>
      </c>
      <c r="Q116" s="615">
        <v>4.9593688410931929</v>
      </c>
      <c r="R116" s="615">
        <v>480.86983558037849</v>
      </c>
      <c r="S116" s="615">
        <v>63.83539683318493</v>
      </c>
      <c r="T116" s="615">
        <v>5.8143216910611066</v>
      </c>
      <c r="U116" s="615">
        <v>1547.9587465981815</v>
      </c>
      <c r="V116" s="51"/>
    </row>
    <row r="117" spans="3:22" x14ac:dyDescent="0.25">
      <c r="C117" s="51"/>
      <c r="D117" s="67">
        <v>0</v>
      </c>
      <c r="E117" s="67">
        <v>0</v>
      </c>
      <c r="F117" s="67">
        <v>0</v>
      </c>
      <c r="G117" s="67">
        <v>0</v>
      </c>
      <c r="H117" s="67">
        <v>0</v>
      </c>
      <c r="I117" s="67">
        <v>0</v>
      </c>
      <c r="J117" s="67">
        <v>0</v>
      </c>
      <c r="K117" s="67">
        <v>0</v>
      </c>
      <c r="L117" s="67">
        <v>0</v>
      </c>
      <c r="M117" s="67">
        <v>-5.3454570882038865E-4</v>
      </c>
      <c r="N117" s="67">
        <v>0</v>
      </c>
      <c r="O117" s="67">
        <v>1.1324274851176597E-14</v>
      </c>
      <c r="P117" s="67">
        <v>0</v>
      </c>
      <c r="Q117" s="67">
        <v>0</v>
      </c>
      <c r="R117" s="67">
        <v>-5.6843418860808015E-14</v>
      </c>
      <c r="S117" s="67">
        <v>1.4210854715202004E-14</v>
      </c>
      <c r="T117" s="67">
        <v>0</v>
      </c>
      <c r="U117" s="67">
        <v>-5.3454570888789021E-4</v>
      </c>
      <c r="V117" s="51"/>
    </row>
    <row r="118" spans="3:22" x14ac:dyDescent="0.25">
      <c r="C118" s="51"/>
      <c r="D118" s="51"/>
      <c r="E118" s="51"/>
      <c r="F118" s="51"/>
      <c r="G118" s="67"/>
      <c r="H118" s="51"/>
      <c r="I118" s="51"/>
      <c r="J118" s="51"/>
      <c r="K118" s="51"/>
      <c r="L118" s="51"/>
      <c r="M118" s="51"/>
      <c r="N118" s="51"/>
      <c r="O118" s="51"/>
      <c r="P118" s="51"/>
      <c r="Q118" s="51"/>
      <c r="R118" s="51"/>
      <c r="S118" s="51"/>
      <c r="T118" s="51"/>
      <c r="U118" s="51"/>
      <c r="V118" s="51"/>
    </row>
    <row r="119" spans="3:22" x14ac:dyDescent="0.25">
      <c r="C119" s="607" t="s">
        <v>357</v>
      </c>
      <c r="D119" s="606"/>
      <c r="E119" s="606"/>
      <c r="F119" s="606"/>
      <c r="G119" s="682"/>
      <c r="H119" s="606"/>
      <c r="I119" s="606"/>
      <c r="J119" s="606"/>
      <c r="K119" s="606"/>
      <c r="L119" s="606"/>
      <c r="M119" s="606"/>
      <c r="N119" s="606"/>
      <c r="O119" s="606"/>
      <c r="P119" s="606"/>
      <c r="Q119" s="606"/>
      <c r="R119" s="606"/>
      <c r="S119" s="606"/>
      <c r="T119" s="606"/>
      <c r="U119" s="606"/>
      <c r="V119" s="606"/>
    </row>
    <row r="120" spans="3:22" x14ac:dyDescent="0.25">
      <c r="C120" s="51"/>
      <c r="D120" s="51"/>
      <c r="E120" s="51"/>
      <c r="F120" s="51"/>
      <c r="G120" s="67"/>
      <c r="H120" s="51"/>
      <c r="I120" s="51"/>
      <c r="J120" s="51"/>
      <c r="K120" s="51"/>
      <c r="L120" s="51"/>
      <c r="M120" s="51"/>
      <c r="N120" s="51"/>
      <c r="O120" s="51"/>
      <c r="P120" s="51"/>
      <c r="Q120" s="51"/>
      <c r="R120" s="51"/>
      <c r="S120" s="51"/>
      <c r="T120" s="51"/>
      <c r="U120" s="51"/>
      <c r="V120" s="51"/>
    </row>
    <row r="121" spans="3:22" x14ac:dyDescent="0.25">
      <c r="C121" s="764" t="s">
        <v>128</v>
      </c>
      <c r="D121" s="753" t="s">
        <v>42</v>
      </c>
      <c r="E121" s="753" t="s">
        <v>52</v>
      </c>
      <c r="F121" s="753" t="s">
        <v>53</v>
      </c>
      <c r="G121" s="766" t="s">
        <v>482</v>
      </c>
      <c r="H121" s="753" t="s">
        <v>32</v>
      </c>
      <c r="I121" s="753" t="s">
        <v>483</v>
      </c>
      <c r="J121" s="753" t="s">
        <v>20</v>
      </c>
      <c r="K121" s="753" t="s">
        <v>55</v>
      </c>
      <c r="L121" s="761" t="s">
        <v>56</v>
      </c>
      <c r="M121" s="762"/>
      <c r="N121" s="762"/>
      <c r="O121" s="762"/>
      <c r="P121" s="762"/>
      <c r="Q121" s="763"/>
      <c r="R121" s="753" t="s">
        <v>57</v>
      </c>
      <c r="S121" s="753" t="s">
        <v>58</v>
      </c>
      <c r="T121" s="753" t="s">
        <v>31</v>
      </c>
      <c r="U121" s="753" t="s">
        <v>10</v>
      </c>
      <c r="V121" s="51"/>
    </row>
    <row r="122" spans="3:22" ht="36" x14ac:dyDescent="0.25">
      <c r="C122" s="765"/>
      <c r="D122" s="754"/>
      <c r="E122" s="754"/>
      <c r="F122" s="754"/>
      <c r="G122" s="767"/>
      <c r="H122" s="754"/>
      <c r="I122" s="754"/>
      <c r="J122" s="754"/>
      <c r="K122" s="754"/>
      <c r="L122" s="608" t="s">
        <v>335</v>
      </c>
      <c r="M122" s="608" t="s">
        <v>40</v>
      </c>
      <c r="N122" s="608" t="s">
        <v>343</v>
      </c>
      <c r="O122" s="608" t="s">
        <v>344</v>
      </c>
      <c r="P122" s="609" t="s">
        <v>345</v>
      </c>
      <c r="Q122" s="608" t="s">
        <v>346</v>
      </c>
      <c r="R122" s="754"/>
      <c r="S122" s="754"/>
      <c r="T122" s="754"/>
      <c r="U122" s="754"/>
      <c r="V122" s="51"/>
    </row>
    <row r="123" spans="3:22" x14ac:dyDescent="0.25">
      <c r="C123" s="610" t="s">
        <v>59</v>
      </c>
      <c r="D123" s="611">
        <v>0</v>
      </c>
      <c r="E123" s="611">
        <v>7.3966799999999999</v>
      </c>
      <c r="F123" s="611">
        <v>0</v>
      </c>
      <c r="G123" s="611">
        <v>0</v>
      </c>
      <c r="H123" s="611">
        <v>0.13025600000000001</v>
      </c>
      <c r="I123" s="611">
        <v>0</v>
      </c>
      <c r="J123" s="612">
        <v>1149.5641818181819</v>
      </c>
      <c r="K123" s="612">
        <v>271.86081401905926</v>
      </c>
      <c r="L123" s="612">
        <v>340.9855459340954</v>
      </c>
      <c r="M123" s="612">
        <v>22.299860098650736</v>
      </c>
      <c r="N123" s="611">
        <v>1.4753548538560814</v>
      </c>
      <c r="O123" s="611">
        <v>0.15089220372740705</v>
      </c>
      <c r="P123" s="612">
        <v>124.26113436397709</v>
      </c>
      <c r="Q123" s="612">
        <v>16.54082734098899</v>
      </c>
      <c r="R123" s="611">
        <v>0</v>
      </c>
      <c r="S123" s="611">
        <v>0</v>
      </c>
      <c r="T123" s="611">
        <v>0</v>
      </c>
      <c r="U123" s="613">
        <v>1934.6655466325367</v>
      </c>
      <c r="V123" s="51"/>
    </row>
    <row r="124" spans="3:22" x14ac:dyDescent="0.25">
      <c r="C124" s="610" t="s">
        <v>60</v>
      </c>
      <c r="D124" s="611">
        <v>18.28715345037487</v>
      </c>
      <c r="E124" s="611">
        <v>349.70303524729923</v>
      </c>
      <c r="F124" s="611">
        <v>131.18201763584051</v>
      </c>
      <c r="G124" s="611">
        <v>0.50033179368683367</v>
      </c>
      <c r="H124" s="611">
        <v>229.42495745873748</v>
      </c>
      <c r="I124" s="611">
        <v>0</v>
      </c>
      <c r="J124" s="611">
        <v>0</v>
      </c>
      <c r="K124" s="611">
        <v>0</v>
      </c>
      <c r="L124" s="611">
        <v>3.0227324829465219</v>
      </c>
      <c r="M124" s="611">
        <v>0</v>
      </c>
      <c r="N124" s="611">
        <v>4.0455454459272309</v>
      </c>
      <c r="O124" s="611">
        <v>0</v>
      </c>
      <c r="P124" s="611">
        <v>0</v>
      </c>
      <c r="Q124" s="611">
        <v>0</v>
      </c>
      <c r="R124" s="611">
        <v>0</v>
      </c>
      <c r="S124" s="611">
        <v>0</v>
      </c>
      <c r="T124" s="611">
        <v>0</v>
      </c>
      <c r="U124" s="613">
        <v>736.16577351481271</v>
      </c>
      <c r="V124" s="51"/>
    </row>
    <row r="125" spans="3:22" x14ac:dyDescent="0.25">
      <c r="C125" s="610" t="s">
        <v>61</v>
      </c>
      <c r="D125" s="611">
        <v>0</v>
      </c>
      <c r="E125" s="611">
        <v>0</v>
      </c>
      <c r="F125" s="611">
        <v>4.2105906375360576</v>
      </c>
      <c r="G125" s="611">
        <v>0</v>
      </c>
      <c r="H125" s="611">
        <v>0</v>
      </c>
      <c r="I125" s="611">
        <v>0</v>
      </c>
      <c r="J125" s="611">
        <v>0</v>
      </c>
      <c r="K125" s="611">
        <v>0</v>
      </c>
      <c r="L125" s="611">
        <v>0</v>
      </c>
      <c r="M125" s="611">
        <v>0</v>
      </c>
      <c r="N125" s="611">
        <v>0</v>
      </c>
      <c r="O125" s="611">
        <v>0</v>
      </c>
      <c r="P125" s="611">
        <v>0</v>
      </c>
      <c r="Q125" s="611">
        <v>0</v>
      </c>
      <c r="R125" s="611">
        <v>-64.694612145471979</v>
      </c>
      <c r="S125" s="611">
        <v>0</v>
      </c>
      <c r="T125" s="611">
        <v>0</v>
      </c>
      <c r="U125" s="613">
        <v>-60.484021507935921</v>
      </c>
      <c r="V125" s="51"/>
    </row>
    <row r="126" spans="3:22" x14ac:dyDescent="0.25">
      <c r="C126" s="610" t="s">
        <v>62</v>
      </c>
      <c r="D126" s="611">
        <v>0</v>
      </c>
      <c r="E126" s="611">
        <v>0</v>
      </c>
      <c r="F126" s="611">
        <v>-10.861999753071151</v>
      </c>
      <c r="G126" s="611">
        <v>-1.2717233399442811</v>
      </c>
      <c r="H126" s="611">
        <v>-1.650726997595853</v>
      </c>
      <c r="I126" s="611">
        <v>-1.5305667943868051</v>
      </c>
      <c r="J126" s="611">
        <v>0</v>
      </c>
      <c r="K126" s="611">
        <v>0</v>
      </c>
      <c r="L126" s="611">
        <v>0</v>
      </c>
      <c r="M126" s="611">
        <v>0</v>
      </c>
      <c r="N126" s="611">
        <v>-0.98510206600536243</v>
      </c>
      <c r="O126" s="611">
        <v>-1.4330596123235</v>
      </c>
      <c r="P126" s="611">
        <v>0</v>
      </c>
      <c r="Q126" s="611">
        <v>0</v>
      </c>
      <c r="R126" s="611">
        <v>0</v>
      </c>
      <c r="S126" s="611">
        <v>0</v>
      </c>
      <c r="T126" s="611">
        <v>-0.44287904354910901</v>
      </c>
      <c r="U126" s="613">
        <v>-18.176057606876064</v>
      </c>
      <c r="V126" s="51"/>
    </row>
    <row r="127" spans="3:22" x14ac:dyDescent="0.25">
      <c r="C127" s="610" t="s">
        <v>63</v>
      </c>
      <c r="D127" s="611">
        <v>0</v>
      </c>
      <c r="E127" s="611">
        <v>0</v>
      </c>
      <c r="F127" s="611">
        <v>-60.506792439626352</v>
      </c>
      <c r="G127" s="611">
        <v>-2.4607230105111979</v>
      </c>
      <c r="H127" s="611">
        <v>0</v>
      </c>
      <c r="I127" s="611">
        <v>0</v>
      </c>
      <c r="J127" s="611">
        <v>0</v>
      </c>
      <c r="K127" s="611">
        <v>0</v>
      </c>
      <c r="L127" s="611">
        <v>0</v>
      </c>
      <c r="M127" s="611">
        <v>0</v>
      </c>
      <c r="N127" s="611">
        <v>-7.7408999922038042</v>
      </c>
      <c r="O127" s="611">
        <v>0</v>
      </c>
      <c r="P127" s="611">
        <v>0</v>
      </c>
      <c r="Q127" s="611">
        <v>0</v>
      </c>
      <c r="R127" s="611">
        <v>0</v>
      </c>
      <c r="S127" s="611">
        <v>0</v>
      </c>
      <c r="T127" s="611">
        <v>-0.3392769133758014</v>
      </c>
      <c r="U127" s="613">
        <v>-71.047692355717146</v>
      </c>
      <c r="V127" s="51"/>
    </row>
    <row r="128" spans="3:22" x14ac:dyDescent="0.25">
      <c r="C128" s="610" t="s">
        <v>64</v>
      </c>
      <c r="D128" s="611">
        <v>0</v>
      </c>
      <c r="E128" s="611">
        <v>0</v>
      </c>
      <c r="F128" s="611">
        <v>0</v>
      </c>
      <c r="G128" s="611">
        <v>0</v>
      </c>
      <c r="H128" s="611">
        <v>0</v>
      </c>
      <c r="I128" s="611">
        <v>0</v>
      </c>
      <c r="J128" s="611">
        <v>0</v>
      </c>
      <c r="K128" s="611">
        <v>0</v>
      </c>
      <c r="L128" s="611">
        <v>0</v>
      </c>
      <c r="M128" s="611">
        <v>0</v>
      </c>
      <c r="N128" s="611">
        <v>0</v>
      </c>
      <c r="O128" s="611">
        <v>0</v>
      </c>
      <c r="P128" s="611">
        <v>0</v>
      </c>
      <c r="Q128" s="611">
        <v>0</v>
      </c>
      <c r="R128" s="611">
        <v>0</v>
      </c>
      <c r="S128" s="611">
        <v>0</v>
      </c>
      <c r="T128" s="611">
        <v>0</v>
      </c>
      <c r="U128" s="613">
        <v>0</v>
      </c>
      <c r="V128" s="51"/>
    </row>
    <row r="129" spans="3:22" x14ac:dyDescent="0.25">
      <c r="C129" s="614" t="s">
        <v>65</v>
      </c>
      <c r="D129" s="615">
        <v>18.28715345037487</v>
      </c>
      <c r="E129" s="615">
        <v>357.09971524729923</v>
      </c>
      <c r="F129" s="615">
        <v>64.023816080679069</v>
      </c>
      <c r="G129" s="615">
        <v>-3.2321145567686456</v>
      </c>
      <c r="H129" s="615">
        <v>227.90448646114163</v>
      </c>
      <c r="I129" s="615">
        <v>-1.5305667943868051</v>
      </c>
      <c r="J129" s="615">
        <v>1149.5641818181819</v>
      </c>
      <c r="K129" s="615">
        <v>271.86081401905926</v>
      </c>
      <c r="L129" s="615">
        <v>344.00827841704194</v>
      </c>
      <c r="M129" s="615">
        <v>22.299860098650736</v>
      </c>
      <c r="N129" s="615">
        <v>-3.2051017584258545</v>
      </c>
      <c r="O129" s="615">
        <v>-1.282167408596093</v>
      </c>
      <c r="P129" s="615">
        <v>124.26113436397709</v>
      </c>
      <c r="Q129" s="615">
        <v>16.54082734098899</v>
      </c>
      <c r="R129" s="615">
        <v>-64.694612145471979</v>
      </c>
      <c r="S129" s="615">
        <v>0</v>
      </c>
      <c r="T129" s="615">
        <v>-0.78215595692491036</v>
      </c>
      <c r="U129" s="615">
        <v>2521.1235486768205</v>
      </c>
      <c r="V129" s="51"/>
    </row>
    <row r="130" spans="3:22" x14ac:dyDescent="0.25">
      <c r="C130" s="616"/>
      <c r="D130" s="617"/>
      <c r="E130" s="617"/>
      <c r="F130" s="617"/>
      <c r="G130" s="617"/>
      <c r="H130" s="623"/>
      <c r="I130" s="617"/>
      <c r="J130" s="617"/>
      <c r="K130" s="617"/>
      <c r="L130" s="617"/>
      <c r="M130" s="617"/>
      <c r="N130" s="617"/>
      <c r="O130" s="617"/>
      <c r="P130" s="617"/>
      <c r="Q130" s="617"/>
      <c r="R130" s="617"/>
      <c r="S130" s="617"/>
      <c r="T130" s="617"/>
      <c r="U130" s="617"/>
      <c r="V130" s="51"/>
    </row>
    <row r="131" spans="3:22" x14ac:dyDescent="0.25">
      <c r="C131" s="618" t="s">
        <v>67</v>
      </c>
      <c r="D131" s="611">
        <v>0</v>
      </c>
      <c r="E131" s="611">
        <v>0</v>
      </c>
      <c r="F131" s="611">
        <v>0</v>
      </c>
      <c r="G131" s="611">
        <v>0</v>
      </c>
      <c r="H131" s="611">
        <v>0</v>
      </c>
      <c r="I131" s="611">
        <v>0</v>
      </c>
      <c r="J131" s="611">
        <v>0</v>
      </c>
      <c r="K131" s="611">
        <v>0</v>
      </c>
      <c r="L131" s="611">
        <v>0</v>
      </c>
      <c r="M131" s="611">
        <v>0</v>
      </c>
      <c r="N131" s="611">
        <v>0</v>
      </c>
      <c r="O131" s="611">
        <v>0</v>
      </c>
      <c r="P131" s="611">
        <v>0</v>
      </c>
      <c r="Q131" s="611">
        <v>0</v>
      </c>
      <c r="R131" s="611">
        <v>0</v>
      </c>
      <c r="S131" s="611">
        <v>0</v>
      </c>
      <c r="T131" s="611">
        <v>0</v>
      </c>
      <c r="U131" s="619">
        <v>0</v>
      </c>
      <c r="V131" s="51"/>
    </row>
    <row r="132" spans="3:22" x14ac:dyDescent="0.25">
      <c r="C132" s="618" t="s">
        <v>347</v>
      </c>
      <c r="D132" s="611">
        <v>0</v>
      </c>
      <c r="E132" s="611">
        <v>0</v>
      </c>
      <c r="F132" s="611">
        <v>0.79278558393774012</v>
      </c>
      <c r="G132" s="611">
        <v>0</v>
      </c>
      <c r="H132" s="611">
        <v>39.527338676233185</v>
      </c>
      <c r="I132" s="611">
        <v>0</v>
      </c>
      <c r="J132" s="611">
        <v>1149.5641818181819</v>
      </c>
      <c r="K132" s="611">
        <v>271.86081401905926</v>
      </c>
      <c r="L132" s="611">
        <v>24.281645722742617</v>
      </c>
      <c r="M132" s="611">
        <v>0.5839400251691752</v>
      </c>
      <c r="N132" s="611">
        <v>4.7819832265678626</v>
      </c>
      <c r="O132" s="611">
        <v>10.613276143464974</v>
      </c>
      <c r="P132" s="611">
        <v>0</v>
      </c>
      <c r="Q132" s="611">
        <v>1.6766395861963883</v>
      </c>
      <c r="R132" s="611">
        <v>-716.26174271126808</v>
      </c>
      <c r="S132" s="611">
        <v>0</v>
      </c>
      <c r="T132" s="611">
        <v>0</v>
      </c>
      <c r="U132" s="619">
        <v>787.42086209028514</v>
      </c>
      <c r="V132" s="51"/>
    </row>
    <row r="133" spans="3:22" x14ac:dyDescent="0.25">
      <c r="C133" s="618" t="s">
        <v>348</v>
      </c>
      <c r="D133" s="611">
        <v>0</v>
      </c>
      <c r="E133" s="611">
        <v>0</v>
      </c>
      <c r="F133" s="611">
        <v>0</v>
      </c>
      <c r="G133" s="611">
        <v>0</v>
      </c>
      <c r="H133" s="611">
        <v>13.826141720513146</v>
      </c>
      <c r="I133" s="611">
        <v>0</v>
      </c>
      <c r="J133" s="611">
        <v>0</v>
      </c>
      <c r="K133" s="611">
        <v>0</v>
      </c>
      <c r="L133" s="611">
        <v>34.119427125451772</v>
      </c>
      <c r="M133" s="611">
        <v>14.48897225092947</v>
      </c>
      <c r="N133" s="611">
        <v>0</v>
      </c>
      <c r="O133" s="611">
        <v>4.1434435426951568</v>
      </c>
      <c r="P133" s="611">
        <v>0</v>
      </c>
      <c r="Q133" s="611">
        <v>9.1888101009468421</v>
      </c>
      <c r="R133" s="611">
        <v>0</v>
      </c>
      <c r="S133" s="611">
        <v>-69.315447914592554</v>
      </c>
      <c r="T133" s="611">
        <v>0</v>
      </c>
      <c r="U133" s="619">
        <v>6.4513468259438298</v>
      </c>
      <c r="V133" s="51"/>
    </row>
    <row r="134" spans="3:22" x14ac:dyDescent="0.25">
      <c r="C134" s="618" t="s">
        <v>349</v>
      </c>
      <c r="D134" s="611">
        <v>0</v>
      </c>
      <c r="E134" s="611">
        <v>0</v>
      </c>
      <c r="F134" s="611">
        <v>0</v>
      </c>
      <c r="G134" s="611">
        <v>0</v>
      </c>
      <c r="H134" s="611">
        <v>0</v>
      </c>
      <c r="I134" s="611">
        <v>0</v>
      </c>
      <c r="J134" s="611">
        <v>0</v>
      </c>
      <c r="K134" s="611">
        <v>0</v>
      </c>
      <c r="L134" s="611">
        <v>72.746177616513393</v>
      </c>
      <c r="M134" s="611">
        <v>0</v>
      </c>
      <c r="N134" s="611">
        <v>0</v>
      </c>
      <c r="O134" s="611">
        <v>-66.093448965783651</v>
      </c>
      <c r="P134" s="611">
        <v>0</v>
      </c>
      <c r="Q134" s="611">
        <v>0</v>
      </c>
      <c r="R134" s="611">
        <v>0</v>
      </c>
      <c r="S134" s="611">
        <v>0</v>
      </c>
      <c r="T134" s="611">
        <v>0</v>
      </c>
      <c r="U134" s="619">
        <v>6.6527286507297418</v>
      </c>
      <c r="V134" s="51"/>
    </row>
    <row r="135" spans="3:22" x14ac:dyDescent="0.25">
      <c r="C135" s="618" t="s">
        <v>350</v>
      </c>
      <c r="D135" s="611">
        <v>0</v>
      </c>
      <c r="E135" s="611">
        <v>0</v>
      </c>
      <c r="F135" s="611">
        <v>0</v>
      </c>
      <c r="G135" s="611">
        <v>0</v>
      </c>
      <c r="H135" s="611">
        <v>0</v>
      </c>
      <c r="I135" s="611">
        <v>-1.5305667943868051</v>
      </c>
      <c r="J135" s="611">
        <v>0</v>
      </c>
      <c r="K135" s="611">
        <v>0</v>
      </c>
      <c r="L135" s="611">
        <v>0</v>
      </c>
      <c r="M135" s="611">
        <v>0</v>
      </c>
      <c r="N135" s="611">
        <v>0</v>
      </c>
      <c r="O135" s="611">
        <v>0</v>
      </c>
      <c r="P135" s="611">
        <v>0</v>
      </c>
      <c r="Q135" s="611">
        <v>0</v>
      </c>
      <c r="R135" s="611">
        <v>0</v>
      </c>
      <c r="S135" s="611">
        <v>0</v>
      </c>
      <c r="T135" s="611">
        <v>2.1257872144261181</v>
      </c>
      <c r="U135" s="619">
        <v>0.59522042003931297</v>
      </c>
      <c r="V135" s="51"/>
    </row>
    <row r="136" spans="3:22" x14ac:dyDescent="0.25">
      <c r="C136" s="618" t="s">
        <v>72</v>
      </c>
      <c r="D136" s="611">
        <v>0</v>
      </c>
      <c r="E136" s="611">
        <v>370.08210545563031</v>
      </c>
      <c r="F136" s="611">
        <v>-366.39718123017576</v>
      </c>
      <c r="G136" s="611">
        <v>0</v>
      </c>
      <c r="H136" s="611">
        <v>0</v>
      </c>
      <c r="I136" s="611">
        <v>0</v>
      </c>
      <c r="J136" s="611">
        <v>0</v>
      </c>
      <c r="K136" s="611">
        <v>0</v>
      </c>
      <c r="L136" s="611">
        <v>0</v>
      </c>
      <c r="M136" s="611">
        <v>0</v>
      </c>
      <c r="N136" s="611">
        <v>0</v>
      </c>
      <c r="O136" s="611">
        <v>0</v>
      </c>
      <c r="P136" s="611">
        <v>0</v>
      </c>
      <c r="Q136" s="611">
        <v>0</v>
      </c>
      <c r="R136" s="611">
        <v>0</v>
      </c>
      <c r="S136" s="611">
        <v>0</v>
      </c>
      <c r="T136" s="611">
        <v>0</v>
      </c>
      <c r="U136" s="619">
        <v>3.6849242254545516</v>
      </c>
      <c r="V136" s="51"/>
    </row>
    <row r="137" spans="3:22" x14ac:dyDescent="0.25">
      <c r="C137" s="618" t="s">
        <v>351</v>
      </c>
      <c r="D137" s="611">
        <v>0</v>
      </c>
      <c r="E137" s="611">
        <v>0</v>
      </c>
      <c r="F137" s="611">
        <v>0</v>
      </c>
      <c r="G137" s="611">
        <v>0</v>
      </c>
      <c r="H137" s="611">
        <v>0</v>
      </c>
      <c r="I137" s="611">
        <v>0</v>
      </c>
      <c r="J137" s="611">
        <v>0</v>
      </c>
      <c r="K137" s="611">
        <v>0</v>
      </c>
      <c r="L137" s="611">
        <v>134.10005475855147</v>
      </c>
      <c r="M137" s="611">
        <v>0</v>
      </c>
      <c r="N137" s="611">
        <v>-73.755030117203319</v>
      </c>
      <c r="O137" s="611">
        <v>0</v>
      </c>
      <c r="P137" s="611">
        <v>0</v>
      </c>
      <c r="Q137" s="611">
        <v>0</v>
      </c>
      <c r="R137" s="611">
        <v>0</v>
      </c>
      <c r="S137" s="611">
        <v>0</v>
      </c>
      <c r="T137" s="611">
        <v>0</v>
      </c>
      <c r="U137" s="619">
        <v>60.345024641348147</v>
      </c>
      <c r="V137" s="51"/>
    </row>
    <row r="138" spans="3:22" x14ac:dyDescent="0.25">
      <c r="C138" s="618" t="s">
        <v>352</v>
      </c>
      <c r="D138" s="611">
        <v>0</v>
      </c>
      <c r="E138" s="611">
        <v>0</v>
      </c>
      <c r="F138" s="611">
        <v>0</v>
      </c>
      <c r="G138" s="611">
        <v>-5.329861681315144</v>
      </c>
      <c r="H138" s="611">
        <v>0</v>
      </c>
      <c r="I138" s="611">
        <v>0</v>
      </c>
      <c r="J138" s="611">
        <v>0</v>
      </c>
      <c r="K138" s="611">
        <v>0</v>
      </c>
      <c r="L138" s="611">
        <v>0</v>
      </c>
      <c r="M138" s="611">
        <v>0</v>
      </c>
      <c r="N138" s="611">
        <v>0</v>
      </c>
      <c r="O138" s="611">
        <v>0</v>
      </c>
      <c r="P138" s="611">
        <v>0</v>
      </c>
      <c r="Q138" s="611">
        <v>0</v>
      </c>
      <c r="R138" s="611">
        <v>0</v>
      </c>
      <c r="S138" s="611">
        <v>0</v>
      </c>
      <c r="T138" s="611">
        <v>6.9775871245462397</v>
      </c>
      <c r="U138" s="619">
        <v>1.6477254432310957</v>
      </c>
      <c r="V138" s="51"/>
    </row>
    <row r="139" spans="3:22" x14ac:dyDescent="0.25">
      <c r="C139" s="618" t="s">
        <v>73</v>
      </c>
      <c r="D139" s="611">
        <v>0</v>
      </c>
      <c r="E139" s="611">
        <v>0</v>
      </c>
      <c r="F139" s="611">
        <v>0</v>
      </c>
      <c r="G139" s="611">
        <v>0</v>
      </c>
      <c r="H139" s="611">
        <v>0</v>
      </c>
      <c r="I139" s="611">
        <v>0</v>
      </c>
      <c r="J139" s="611">
        <v>0</v>
      </c>
      <c r="K139" s="611">
        <v>0</v>
      </c>
      <c r="L139" s="611">
        <v>0</v>
      </c>
      <c r="M139" s="611">
        <v>0</v>
      </c>
      <c r="N139" s="611">
        <v>0</v>
      </c>
      <c r="O139" s="611">
        <v>0</v>
      </c>
      <c r="P139" s="611">
        <v>0</v>
      </c>
      <c r="Q139" s="611">
        <v>0</v>
      </c>
      <c r="R139" s="611">
        <v>42.069884379238346</v>
      </c>
      <c r="S139" s="611">
        <v>0</v>
      </c>
      <c r="T139" s="611">
        <v>-27.787158632486928</v>
      </c>
      <c r="U139" s="619">
        <v>14.282725746751417</v>
      </c>
      <c r="V139" s="51"/>
    </row>
    <row r="140" spans="3:22" x14ac:dyDescent="0.25">
      <c r="C140" s="618" t="s">
        <v>353</v>
      </c>
      <c r="D140" s="611">
        <v>10.559522109374999</v>
      </c>
      <c r="E140" s="611">
        <v>-12.982390208331097</v>
      </c>
      <c r="F140" s="611">
        <v>16.901350191946939</v>
      </c>
      <c r="G140" s="611">
        <v>0</v>
      </c>
      <c r="H140" s="611">
        <v>0</v>
      </c>
      <c r="I140" s="611">
        <v>0</v>
      </c>
      <c r="J140" s="611">
        <v>0</v>
      </c>
      <c r="K140" s="611">
        <v>0</v>
      </c>
      <c r="L140" s="611">
        <v>0</v>
      </c>
      <c r="M140" s="611">
        <v>0</v>
      </c>
      <c r="N140" s="611">
        <v>0</v>
      </c>
      <c r="O140" s="611">
        <v>0</v>
      </c>
      <c r="P140" s="611">
        <v>0</v>
      </c>
      <c r="Q140" s="611">
        <v>0</v>
      </c>
      <c r="R140" s="611">
        <v>0</v>
      </c>
      <c r="S140" s="611">
        <v>0</v>
      </c>
      <c r="T140" s="611">
        <v>0</v>
      </c>
      <c r="U140" s="619">
        <v>14.478482092990841</v>
      </c>
      <c r="V140" s="51"/>
    </row>
    <row r="141" spans="3:22" x14ac:dyDescent="0.25">
      <c r="C141" s="618" t="s">
        <v>75</v>
      </c>
      <c r="D141" s="611">
        <v>4.1064808203125001</v>
      </c>
      <c r="E141" s="611">
        <v>0</v>
      </c>
      <c r="F141" s="611">
        <v>12.729375657811177</v>
      </c>
      <c r="G141" s="611">
        <v>0</v>
      </c>
      <c r="H141" s="611">
        <v>4.2427950511099199</v>
      </c>
      <c r="I141" s="611">
        <v>0</v>
      </c>
      <c r="J141" s="611">
        <v>0</v>
      </c>
      <c r="K141" s="611">
        <v>0</v>
      </c>
      <c r="L141" s="611">
        <v>0</v>
      </c>
      <c r="M141" s="611">
        <v>0</v>
      </c>
      <c r="N141" s="611">
        <v>0</v>
      </c>
      <c r="O141" s="611">
        <v>1.210669024866841</v>
      </c>
      <c r="P141" s="611">
        <v>0</v>
      </c>
      <c r="Q141" s="611">
        <v>0</v>
      </c>
      <c r="R141" s="611">
        <v>59.039710702043344</v>
      </c>
      <c r="S141" s="611">
        <v>0</v>
      </c>
      <c r="T141" s="611">
        <v>0</v>
      </c>
      <c r="U141" s="619">
        <v>81.329031256143779</v>
      </c>
      <c r="V141" s="51"/>
    </row>
    <row r="142" spans="3:22" x14ac:dyDescent="0.25">
      <c r="C142" s="618" t="s">
        <v>76</v>
      </c>
      <c r="D142" s="611">
        <v>0</v>
      </c>
      <c r="E142" s="611">
        <v>0</v>
      </c>
      <c r="F142" s="611">
        <v>0</v>
      </c>
      <c r="G142" s="611">
        <v>0</v>
      </c>
      <c r="H142" s="611">
        <v>2.5536194920018747</v>
      </c>
      <c r="I142" s="611">
        <v>0</v>
      </c>
      <c r="J142" s="611">
        <v>0</v>
      </c>
      <c r="K142" s="611">
        <v>0</v>
      </c>
      <c r="L142" s="611">
        <v>0</v>
      </c>
      <c r="M142" s="611">
        <v>0</v>
      </c>
      <c r="N142" s="611">
        <v>0</v>
      </c>
      <c r="O142" s="611">
        <v>0.7286677727820261</v>
      </c>
      <c r="P142" s="611">
        <v>0</v>
      </c>
      <c r="Q142" s="611">
        <v>0</v>
      </c>
      <c r="R142" s="611">
        <v>49.895923286473447</v>
      </c>
      <c r="S142" s="611">
        <v>5.3757235045056531</v>
      </c>
      <c r="T142" s="611">
        <v>0</v>
      </c>
      <c r="U142" s="619">
        <v>58.553934055763001</v>
      </c>
      <c r="V142" s="51"/>
    </row>
    <row r="143" spans="3:22" x14ac:dyDescent="0.25">
      <c r="C143" s="614" t="s">
        <v>77</v>
      </c>
      <c r="D143" s="615">
        <v>14.666002929687499</v>
      </c>
      <c r="E143" s="615">
        <v>357.09971524729923</v>
      </c>
      <c r="F143" s="615">
        <v>-335.97366979647984</v>
      </c>
      <c r="G143" s="615">
        <v>-5.329861681315144</v>
      </c>
      <c r="H143" s="615">
        <v>60.149894939858129</v>
      </c>
      <c r="I143" s="615">
        <v>-1.5305667943868051</v>
      </c>
      <c r="J143" s="615">
        <v>1149.5641818181819</v>
      </c>
      <c r="K143" s="615">
        <v>271.86081401905926</v>
      </c>
      <c r="L143" s="615">
        <v>265.24730522325922</v>
      </c>
      <c r="M143" s="615">
        <v>15.072912276098645</v>
      </c>
      <c r="N143" s="615">
        <v>-68.973046890635459</v>
      </c>
      <c r="O143" s="615">
        <v>-49.397392481974656</v>
      </c>
      <c r="P143" s="615">
        <v>0</v>
      </c>
      <c r="Q143" s="615">
        <v>10.865449687143231</v>
      </c>
      <c r="R143" s="615">
        <v>-565.25622434351294</v>
      </c>
      <c r="S143" s="615">
        <v>-63.939724410086903</v>
      </c>
      <c r="T143" s="615">
        <v>-18.68378429351457</v>
      </c>
      <c r="U143" s="615">
        <v>1035.4420054486809</v>
      </c>
      <c r="V143" s="51"/>
    </row>
    <row r="144" spans="3:22" x14ac:dyDescent="0.25">
      <c r="C144" s="616"/>
      <c r="D144" s="617"/>
      <c r="E144" s="617"/>
      <c r="F144" s="617"/>
      <c r="G144" s="617"/>
      <c r="H144" s="623"/>
      <c r="I144" s="617"/>
      <c r="J144" s="617"/>
      <c r="K144" s="617"/>
      <c r="L144" s="617"/>
      <c r="M144" s="617"/>
      <c r="N144" s="617"/>
      <c r="O144" s="617"/>
      <c r="P144" s="617"/>
      <c r="Q144" s="617"/>
      <c r="R144" s="617"/>
      <c r="S144" s="617"/>
      <c r="T144" s="617"/>
      <c r="U144" s="617"/>
      <c r="V144" s="51"/>
    </row>
    <row r="145" spans="3:22" x14ac:dyDescent="0.25">
      <c r="C145" s="618" t="s">
        <v>78</v>
      </c>
      <c r="D145" s="611">
        <v>3.6211505206873706</v>
      </c>
      <c r="E145" s="611">
        <v>0</v>
      </c>
      <c r="F145" s="611">
        <v>10.977786664841062</v>
      </c>
      <c r="G145" s="611">
        <v>0</v>
      </c>
      <c r="H145" s="611">
        <v>68.786287212877468</v>
      </c>
      <c r="I145" s="611">
        <v>0</v>
      </c>
      <c r="J145" s="611">
        <v>0</v>
      </c>
      <c r="K145" s="611">
        <v>0</v>
      </c>
      <c r="L145" s="611">
        <v>21.558703212450474</v>
      </c>
      <c r="M145" s="611">
        <v>7.2264532765434186</v>
      </c>
      <c r="N145" s="611">
        <v>1.1431902408607149</v>
      </c>
      <c r="O145" s="611">
        <v>19.659289951979574</v>
      </c>
      <c r="P145" s="611">
        <v>7.7275585937500004</v>
      </c>
      <c r="Q145" s="611">
        <v>6.3863689419622622E-4</v>
      </c>
      <c r="R145" s="611">
        <v>157.82302310235053</v>
      </c>
      <c r="S145" s="611">
        <v>19.724565273985597</v>
      </c>
      <c r="T145" s="611">
        <v>5.5820537109375001</v>
      </c>
      <c r="U145" s="619">
        <v>323.83070039815789</v>
      </c>
      <c r="V145" s="51"/>
    </row>
    <row r="146" spans="3:22" x14ac:dyDescent="0.25">
      <c r="C146" s="618" t="s">
        <v>79</v>
      </c>
      <c r="D146" s="611">
        <v>0</v>
      </c>
      <c r="E146" s="611">
        <v>0</v>
      </c>
      <c r="F146" s="611">
        <v>242.40875758324066</v>
      </c>
      <c r="G146" s="611">
        <v>0.47070091421213178</v>
      </c>
      <c r="H146" s="611">
        <v>5.6712945537201502</v>
      </c>
      <c r="I146" s="611">
        <v>0</v>
      </c>
      <c r="J146" s="611">
        <v>0</v>
      </c>
      <c r="K146" s="611">
        <v>0</v>
      </c>
      <c r="L146" s="611">
        <v>0</v>
      </c>
      <c r="M146" s="611">
        <v>0</v>
      </c>
      <c r="N146" s="611">
        <v>48.1771719361642</v>
      </c>
      <c r="O146" s="611">
        <v>1.6182871348661612</v>
      </c>
      <c r="P146" s="611">
        <v>0</v>
      </c>
      <c r="Q146" s="611">
        <v>0</v>
      </c>
      <c r="R146" s="611">
        <v>51.204779610530323</v>
      </c>
      <c r="S146" s="611">
        <v>0</v>
      </c>
      <c r="T146" s="611">
        <v>1.9274779617440119</v>
      </c>
      <c r="U146" s="619">
        <v>351.47846969447755</v>
      </c>
      <c r="V146" s="51"/>
    </row>
    <row r="147" spans="3:22" x14ac:dyDescent="0.25">
      <c r="C147" s="618" t="s">
        <v>80</v>
      </c>
      <c r="D147" s="611">
        <v>0</v>
      </c>
      <c r="E147" s="611">
        <v>0</v>
      </c>
      <c r="F147" s="611">
        <v>4.7459283971856747</v>
      </c>
      <c r="G147" s="611">
        <v>0</v>
      </c>
      <c r="H147" s="611">
        <v>46.893886558316041</v>
      </c>
      <c r="I147" s="611">
        <v>0</v>
      </c>
      <c r="J147" s="611">
        <v>0</v>
      </c>
      <c r="K147" s="611">
        <v>0</v>
      </c>
      <c r="L147" s="611">
        <v>53.872586019631953</v>
      </c>
      <c r="M147" s="611">
        <v>0</v>
      </c>
      <c r="N147" s="611">
        <v>0</v>
      </c>
      <c r="O147" s="611">
        <v>13.381031897103036</v>
      </c>
      <c r="P147" s="611">
        <v>80.312688161253334</v>
      </c>
      <c r="Q147" s="611">
        <v>2.1381357466702497</v>
      </c>
      <c r="R147" s="611">
        <v>164.73755500792967</v>
      </c>
      <c r="S147" s="611">
        <v>25.752701366315002</v>
      </c>
      <c r="T147" s="611">
        <v>0</v>
      </c>
      <c r="U147" s="619">
        <v>391.83451315440499</v>
      </c>
      <c r="V147" s="51"/>
    </row>
    <row r="148" spans="3:22" x14ac:dyDescent="0.25">
      <c r="C148" s="618" t="s">
        <v>81</v>
      </c>
      <c r="D148" s="611">
        <v>0</v>
      </c>
      <c r="E148" s="611">
        <v>0</v>
      </c>
      <c r="F148" s="611">
        <v>2.8086748566203306</v>
      </c>
      <c r="G148" s="611">
        <v>0</v>
      </c>
      <c r="H148" s="611">
        <v>32.689315451169001</v>
      </c>
      <c r="I148" s="611">
        <v>0</v>
      </c>
      <c r="J148" s="611">
        <v>0</v>
      </c>
      <c r="K148" s="611">
        <v>0</v>
      </c>
      <c r="L148" s="611">
        <v>0.62063021721986544</v>
      </c>
      <c r="M148" s="611">
        <v>0</v>
      </c>
      <c r="N148" s="611">
        <v>0</v>
      </c>
      <c r="O148" s="611">
        <v>9.3277995246266308</v>
      </c>
      <c r="P148" s="611">
        <v>35.570887608973749</v>
      </c>
      <c r="Q148" s="611">
        <v>2.708787957071054</v>
      </c>
      <c r="R148" s="611">
        <v>119.47734544980881</v>
      </c>
      <c r="S148" s="611">
        <v>18.462457769786305</v>
      </c>
      <c r="T148" s="611">
        <v>0</v>
      </c>
      <c r="U148" s="619">
        <v>221.66589883527573</v>
      </c>
      <c r="V148" s="51"/>
    </row>
    <row r="149" spans="3:22" x14ac:dyDescent="0.25">
      <c r="C149" s="618" t="s">
        <v>82</v>
      </c>
      <c r="D149" s="611">
        <v>0</v>
      </c>
      <c r="E149" s="611">
        <v>0</v>
      </c>
      <c r="F149" s="611">
        <v>25.559609559205267</v>
      </c>
      <c r="G149" s="611">
        <v>0</v>
      </c>
      <c r="H149" s="611">
        <v>1.621332154914384</v>
      </c>
      <c r="I149" s="611">
        <v>0</v>
      </c>
      <c r="J149" s="611">
        <v>0</v>
      </c>
      <c r="K149" s="611">
        <v>0</v>
      </c>
      <c r="L149" s="611">
        <v>2.5283272915061801</v>
      </c>
      <c r="M149" s="611">
        <v>0</v>
      </c>
      <c r="N149" s="611">
        <v>7.0504971038057827</v>
      </c>
      <c r="O149" s="611">
        <v>0.46264233726348752</v>
      </c>
      <c r="P149" s="611">
        <v>0.65</v>
      </c>
      <c r="Q149" s="611">
        <v>0.82781531321025892</v>
      </c>
      <c r="R149" s="611">
        <v>6.8619490274216233</v>
      </c>
      <c r="S149" s="611">
        <v>0</v>
      </c>
      <c r="T149" s="611">
        <v>0.27650857826431391</v>
      </c>
      <c r="U149" s="619">
        <v>45.838681365591299</v>
      </c>
      <c r="V149" s="51"/>
    </row>
    <row r="150" spans="3:22" x14ac:dyDescent="0.25">
      <c r="C150" s="618" t="s">
        <v>354</v>
      </c>
      <c r="D150" s="611">
        <v>0</v>
      </c>
      <c r="E150" s="611">
        <v>0</v>
      </c>
      <c r="F150" s="611">
        <v>0</v>
      </c>
      <c r="G150" s="611">
        <v>0</v>
      </c>
      <c r="H150" s="611">
        <v>0</v>
      </c>
      <c r="I150" s="611">
        <v>0</v>
      </c>
      <c r="J150" s="611">
        <v>0</v>
      </c>
      <c r="K150" s="611">
        <v>0</v>
      </c>
      <c r="L150" s="611">
        <v>0</v>
      </c>
      <c r="M150" s="611">
        <v>0</v>
      </c>
      <c r="N150" s="611">
        <v>0</v>
      </c>
      <c r="O150" s="611">
        <v>0</v>
      </c>
      <c r="P150" s="611">
        <v>0</v>
      </c>
      <c r="Q150" s="611">
        <v>0</v>
      </c>
      <c r="R150" s="611">
        <v>0.45696000000000003</v>
      </c>
      <c r="S150" s="611">
        <v>0</v>
      </c>
      <c r="T150" s="611">
        <v>0</v>
      </c>
      <c r="U150" s="619">
        <v>0.45696000000000003</v>
      </c>
      <c r="V150" s="51"/>
    </row>
    <row r="151" spans="3:22" x14ac:dyDescent="0.25">
      <c r="C151" s="614" t="s">
        <v>83</v>
      </c>
      <c r="D151" s="615">
        <v>3.6211505206873706</v>
      </c>
      <c r="E151" s="615">
        <v>0</v>
      </c>
      <c r="F151" s="615">
        <v>286.500757061093</v>
      </c>
      <c r="G151" s="615">
        <v>0.47070091421213178</v>
      </c>
      <c r="H151" s="615">
        <v>155.66211593099703</v>
      </c>
      <c r="I151" s="615">
        <v>0</v>
      </c>
      <c r="J151" s="615">
        <v>0</v>
      </c>
      <c r="K151" s="615">
        <v>0</v>
      </c>
      <c r="L151" s="615">
        <v>78.580246740808491</v>
      </c>
      <c r="M151" s="615">
        <v>7.2264532765434186</v>
      </c>
      <c r="N151" s="615">
        <v>56.370859280830693</v>
      </c>
      <c r="O151" s="615">
        <v>44.449050845838883</v>
      </c>
      <c r="P151" s="615">
        <v>124.26113436397709</v>
      </c>
      <c r="Q151" s="615">
        <v>5.675377653845759</v>
      </c>
      <c r="R151" s="615">
        <v>500.56161219804096</v>
      </c>
      <c r="S151" s="615">
        <v>63.939724410086903</v>
      </c>
      <c r="T151" s="615">
        <v>7.7860402509458257</v>
      </c>
      <c r="U151" s="615">
        <v>1335.1052234479075</v>
      </c>
      <c r="V151" s="51"/>
    </row>
    <row r="152" spans="3:22" x14ac:dyDescent="0.25">
      <c r="C152" s="610" t="s">
        <v>84</v>
      </c>
      <c r="D152" s="611">
        <v>0</v>
      </c>
      <c r="E152" s="611">
        <v>0</v>
      </c>
      <c r="F152" s="611">
        <v>113.49672881606593</v>
      </c>
      <c r="G152" s="611">
        <v>1.6270462103343666</v>
      </c>
      <c r="H152" s="611">
        <v>12.092475590286487</v>
      </c>
      <c r="I152" s="611">
        <v>0</v>
      </c>
      <c r="J152" s="611">
        <v>0</v>
      </c>
      <c r="K152" s="611">
        <v>0</v>
      </c>
      <c r="L152" s="611">
        <v>0.18072645297419759</v>
      </c>
      <c r="M152" s="611">
        <v>0</v>
      </c>
      <c r="N152" s="611">
        <v>9.3970858513789164</v>
      </c>
      <c r="O152" s="611">
        <v>3.666174227539674</v>
      </c>
      <c r="P152" s="611">
        <v>0</v>
      </c>
      <c r="Q152" s="611">
        <v>0</v>
      </c>
      <c r="R152" s="611">
        <v>0</v>
      </c>
      <c r="S152" s="611">
        <v>0</v>
      </c>
      <c r="T152" s="611">
        <v>10.115588085643834</v>
      </c>
      <c r="U152" s="619">
        <v>150.57582523422337</v>
      </c>
      <c r="V152" s="51"/>
    </row>
    <row r="153" spans="3:22" x14ac:dyDescent="0.25">
      <c r="C153" s="614" t="s">
        <v>85</v>
      </c>
      <c r="D153" s="615">
        <v>3.6211505206873706</v>
      </c>
      <c r="E153" s="615">
        <v>0</v>
      </c>
      <c r="F153" s="615">
        <v>399.99748587715891</v>
      </c>
      <c r="G153" s="615">
        <v>2.0977471245464985</v>
      </c>
      <c r="H153" s="615">
        <v>167.75459152128352</v>
      </c>
      <c r="I153" s="615">
        <v>0</v>
      </c>
      <c r="J153" s="615">
        <v>0</v>
      </c>
      <c r="K153" s="615">
        <v>0</v>
      </c>
      <c r="L153" s="615">
        <v>78.760973193782689</v>
      </c>
      <c r="M153" s="615">
        <v>7.2264532765434186</v>
      </c>
      <c r="N153" s="615">
        <v>65.767945132209604</v>
      </c>
      <c r="O153" s="615">
        <v>48.115225073378554</v>
      </c>
      <c r="P153" s="615">
        <v>124.26113436397709</v>
      </c>
      <c r="Q153" s="615">
        <v>5.675377653845759</v>
      </c>
      <c r="R153" s="615">
        <v>500.56161219804096</v>
      </c>
      <c r="S153" s="615">
        <v>63.939724410086903</v>
      </c>
      <c r="T153" s="615">
        <v>17.90162833658966</v>
      </c>
      <c r="U153" s="615">
        <v>1485.6810486821309</v>
      </c>
      <c r="V153" s="51"/>
    </row>
    <row r="154" spans="3:22" x14ac:dyDescent="0.25">
      <c r="C154" s="51"/>
      <c r="D154" s="67">
        <v>0</v>
      </c>
      <c r="E154" s="67">
        <v>0</v>
      </c>
      <c r="F154" s="67">
        <v>0</v>
      </c>
      <c r="G154" s="67">
        <v>0</v>
      </c>
      <c r="H154" s="67">
        <v>0</v>
      </c>
      <c r="I154" s="67">
        <v>0</v>
      </c>
      <c r="J154" s="67">
        <v>0</v>
      </c>
      <c r="K154" s="67">
        <v>0</v>
      </c>
      <c r="L154" s="67">
        <v>0</v>
      </c>
      <c r="M154" s="67">
        <v>-4.9454600867093745E-4</v>
      </c>
      <c r="N154" s="67">
        <v>0</v>
      </c>
      <c r="O154" s="67">
        <v>-9.1038288019262836E-15</v>
      </c>
      <c r="P154" s="67">
        <v>0</v>
      </c>
      <c r="Q154" s="67">
        <v>0</v>
      </c>
      <c r="R154" s="67">
        <v>0</v>
      </c>
      <c r="S154" s="67">
        <v>0</v>
      </c>
      <c r="T154" s="67">
        <v>0</v>
      </c>
      <c r="U154" s="67">
        <v>-4.9454600866738474E-4</v>
      </c>
      <c r="V154" s="51"/>
    </row>
    <row r="155" spans="3:22" x14ac:dyDescent="0.25">
      <c r="C155" s="51"/>
      <c r="D155" s="51"/>
      <c r="E155" s="51"/>
      <c r="F155" s="51"/>
      <c r="G155" s="67"/>
      <c r="H155" s="51"/>
      <c r="I155" s="51"/>
      <c r="J155" s="51"/>
      <c r="K155" s="51"/>
      <c r="L155" s="51"/>
      <c r="M155" s="51"/>
      <c r="N155" s="51"/>
      <c r="O155" s="51"/>
      <c r="P155" s="51"/>
      <c r="Q155" s="51"/>
      <c r="R155" s="51"/>
      <c r="S155" s="51"/>
      <c r="T155" s="51"/>
      <c r="U155" s="51"/>
      <c r="V155" s="51"/>
    </row>
    <row r="156" spans="3:22" x14ac:dyDescent="0.25">
      <c r="C156" s="607" t="s">
        <v>358</v>
      </c>
      <c r="D156" s="606"/>
      <c r="E156" s="606"/>
      <c r="F156" s="606"/>
      <c r="G156" s="682"/>
      <c r="H156" s="606"/>
      <c r="I156" s="606"/>
      <c r="J156" s="606"/>
      <c r="K156" s="606"/>
      <c r="L156" s="606"/>
      <c r="M156" s="606"/>
      <c r="N156" s="606"/>
      <c r="O156" s="606"/>
      <c r="P156" s="606"/>
      <c r="Q156" s="606"/>
      <c r="R156" s="606"/>
      <c r="S156" s="606"/>
      <c r="T156" s="606"/>
      <c r="U156" s="606"/>
      <c r="V156" s="606"/>
    </row>
    <row r="157" spans="3:22" x14ac:dyDescent="0.25">
      <c r="C157" s="51"/>
      <c r="D157" s="51"/>
      <c r="E157" s="51"/>
      <c r="F157" s="51"/>
      <c r="G157" s="67"/>
      <c r="H157" s="51"/>
      <c r="I157" s="51"/>
      <c r="J157" s="51"/>
      <c r="K157" s="51"/>
      <c r="L157" s="51"/>
      <c r="M157" s="51"/>
      <c r="N157" s="51"/>
      <c r="O157" s="51"/>
      <c r="P157" s="51"/>
      <c r="Q157" s="51"/>
      <c r="R157" s="51"/>
      <c r="S157" s="51"/>
      <c r="T157" s="51"/>
      <c r="U157" s="51"/>
      <c r="V157" s="51"/>
    </row>
    <row r="158" spans="3:22" x14ac:dyDescent="0.25">
      <c r="C158" s="764" t="s">
        <v>128</v>
      </c>
      <c r="D158" s="753" t="s">
        <v>42</v>
      </c>
      <c r="E158" s="753" t="s">
        <v>52</v>
      </c>
      <c r="F158" s="753" t="s">
        <v>53</v>
      </c>
      <c r="G158" s="766" t="s">
        <v>482</v>
      </c>
      <c r="H158" s="753" t="s">
        <v>32</v>
      </c>
      <c r="I158" s="753" t="s">
        <v>483</v>
      </c>
      <c r="J158" s="753" t="s">
        <v>20</v>
      </c>
      <c r="K158" s="753" t="s">
        <v>55</v>
      </c>
      <c r="L158" s="761" t="s">
        <v>56</v>
      </c>
      <c r="M158" s="762"/>
      <c r="N158" s="762"/>
      <c r="O158" s="762"/>
      <c r="P158" s="762"/>
      <c r="Q158" s="763"/>
      <c r="R158" s="753" t="s">
        <v>57</v>
      </c>
      <c r="S158" s="753" t="s">
        <v>58</v>
      </c>
      <c r="T158" s="753" t="s">
        <v>31</v>
      </c>
      <c r="U158" s="753" t="s">
        <v>10</v>
      </c>
      <c r="V158" s="51"/>
    </row>
    <row r="159" spans="3:22" ht="36" x14ac:dyDescent="0.25">
      <c r="C159" s="765"/>
      <c r="D159" s="754"/>
      <c r="E159" s="754"/>
      <c r="F159" s="754"/>
      <c r="G159" s="767"/>
      <c r="H159" s="754"/>
      <c r="I159" s="754"/>
      <c r="J159" s="754"/>
      <c r="K159" s="754"/>
      <c r="L159" s="608" t="s">
        <v>335</v>
      </c>
      <c r="M159" s="608" t="s">
        <v>40</v>
      </c>
      <c r="N159" s="608" t="s">
        <v>343</v>
      </c>
      <c r="O159" s="608" t="s">
        <v>344</v>
      </c>
      <c r="P159" s="609" t="s">
        <v>345</v>
      </c>
      <c r="Q159" s="608" t="s">
        <v>346</v>
      </c>
      <c r="R159" s="754"/>
      <c r="S159" s="754"/>
      <c r="T159" s="754"/>
      <c r="U159" s="754"/>
      <c r="V159" s="51"/>
    </row>
    <row r="160" spans="3:22" x14ac:dyDescent="0.25">
      <c r="C160" s="610" t="s">
        <v>59</v>
      </c>
      <c r="D160" s="611">
        <v>0</v>
      </c>
      <c r="E160" s="611">
        <v>5.8150000000000004</v>
      </c>
      <c r="F160" s="611">
        <v>0</v>
      </c>
      <c r="G160" s="611">
        <v>0</v>
      </c>
      <c r="H160" s="611">
        <v>9.3040000000000012E-2</v>
      </c>
      <c r="I160" s="611">
        <v>0</v>
      </c>
      <c r="J160" s="612">
        <v>1142.8003999999999</v>
      </c>
      <c r="K160" s="612">
        <v>315.61624303705946</v>
      </c>
      <c r="L160" s="612">
        <v>374.39851983069684</v>
      </c>
      <c r="M160" s="612">
        <v>21.729144477324894</v>
      </c>
      <c r="N160" s="611">
        <v>1.5151391983163085</v>
      </c>
      <c r="O160" s="611">
        <v>0.16086233431790645</v>
      </c>
      <c r="P160" s="612">
        <v>135.24093356373385</v>
      </c>
      <c r="Q160" s="612">
        <v>19.433298638078622</v>
      </c>
      <c r="R160" s="611">
        <v>0</v>
      </c>
      <c r="S160" s="611">
        <v>0</v>
      </c>
      <c r="T160" s="611">
        <v>0</v>
      </c>
      <c r="U160" s="613">
        <v>2016.802581079528</v>
      </c>
      <c r="V160" s="51"/>
    </row>
    <row r="161" spans="3:22" x14ac:dyDescent="0.25">
      <c r="C161" s="610" t="s">
        <v>60</v>
      </c>
      <c r="D161" s="611">
        <v>14.997589528810048</v>
      </c>
      <c r="E161" s="611">
        <v>317.6831579468477</v>
      </c>
      <c r="F161" s="611">
        <v>90.859411867227635</v>
      </c>
      <c r="G161" s="611">
        <v>0.4482168453037243</v>
      </c>
      <c r="H161" s="611">
        <v>195.90969664168796</v>
      </c>
      <c r="I161" s="611">
        <v>0</v>
      </c>
      <c r="J161" s="611">
        <v>0</v>
      </c>
      <c r="K161" s="611">
        <v>0</v>
      </c>
      <c r="L161" s="611">
        <v>3.3497189577114872</v>
      </c>
      <c r="M161" s="611">
        <v>0</v>
      </c>
      <c r="N161" s="611">
        <v>4.4724851738797717</v>
      </c>
      <c r="O161" s="611">
        <v>0</v>
      </c>
      <c r="P161" s="611">
        <v>0</v>
      </c>
      <c r="Q161" s="611">
        <v>0</v>
      </c>
      <c r="R161" s="611">
        <v>0</v>
      </c>
      <c r="S161" s="611">
        <v>0</v>
      </c>
      <c r="T161" s="611">
        <v>0</v>
      </c>
      <c r="U161" s="613">
        <v>627.72027696146836</v>
      </c>
      <c r="V161" s="51"/>
    </row>
    <row r="162" spans="3:22" x14ac:dyDescent="0.25">
      <c r="C162" s="610" t="s">
        <v>61</v>
      </c>
      <c r="D162" s="611">
        <v>0</v>
      </c>
      <c r="E162" s="611">
        <v>0</v>
      </c>
      <c r="F162" s="611">
        <v>3.6514365086121643</v>
      </c>
      <c r="G162" s="611">
        <v>0</v>
      </c>
      <c r="H162" s="611">
        <v>0</v>
      </c>
      <c r="I162" s="611">
        <v>0</v>
      </c>
      <c r="J162" s="611">
        <v>0</v>
      </c>
      <c r="K162" s="611">
        <v>0</v>
      </c>
      <c r="L162" s="611">
        <v>0</v>
      </c>
      <c r="M162" s="611">
        <v>0</v>
      </c>
      <c r="N162" s="611">
        <v>0</v>
      </c>
      <c r="O162" s="611">
        <v>0</v>
      </c>
      <c r="P162" s="611">
        <v>0</v>
      </c>
      <c r="Q162" s="611">
        <v>0</v>
      </c>
      <c r="R162" s="611">
        <v>-70.564869909311255</v>
      </c>
      <c r="S162" s="611">
        <v>0</v>
      </c>
      <c r="T162" s="611">
        <v>0</v>
      </c>
      <c r="U162" s="613">
        <v>-66.913433400699091</v>
      </c>
      <c r="V162" s="51"/>
    </row>
    <row r="163" spans="3:22" x14ac:dyDescent="0.25">
      <c r="C163" s="610" t="s">
        <v>62</v>
      </c>
      <c r="D163" s="611">
        <v>0</v>
      </c>
      <c r="E163" s="611">
        <v>0</v>
      </c>
      <c r="F163" s="611">
        <v>-9.1493668545845033</v>
      </c>
      <c r="G163" s="611">
        <v>-2.0808213366588695</v>
      </c>
      <c r="H163" s="611">
        <v>-1.1134427375085565</v>
      </c>
      <c r="I163" s="611">
        <v>-2.1621292756423931</v>
      </c>
      <c r="J163" s="611">
        <v>0</v>
      </c>
      <c r="K163" s="611">
        <v>0</v>
      </c>
      <c r="L163" s="611">
        <v>0</v>
      </c>
      <c r="M163" s="611">
        <v>0</v>
      </c>
      <c r="N163" s="611">
        <v>-1.0958595241258173</v>
      </c>
      <c r="O163" s="611">
        <v>-1.719780201472068</v>
      </c>
      <c r="P163" s="611">
        <v>0</v>
      </c>
      <c r="Q163" s="611">
        <v>0</v>
      </c>
      <c r="R163" s="611">
        <v>0</v>
      </c>
      <c r="S163" s="611">
        <v>0</v>
      </c>
      <c r="T163" s="611">
        <v>-0.65033681124791309</v>
      </c>
      <c r="U163" s="613">
        <v>-17.971736741240122</v>
      </c>
      <c r="V163" s="51"/>
    </row>
    <row r="164" spans="3:22" x14ac:dyDescent="0.25">
      <c r="C164" s="610" t="s">
        <v>63</v>
      </c>
      <c r="D164" s="611">
        <v>0</v>
      </c>
      <c r="E164" s="611">
        <v>0</v>
      </c>
      <c r="F164" s="611">
        <v>-54.941446945210977</v>
      </c>
      <c r="G164" s="611">
        <v>-3.5033200830683109</v>
      </c>
      <c r="H164" s="611">
        <v>0</v>
      </c>
      <c r="I164" s="611">
        <v>0</v>
      </c>
      <c r="J164" s="611">
        <v>0</v>
      </c>
      <c r="K164" s="611">
        <v>0</v>
      </c>
      <c r="L164" s="611">
        <v>0</v>
      </c>
      <c r="M164" s="611">
        <v>0</v>
      </c>
      <c r="N164" s="611">
        <v>-10.509960249204934</v>
      </c>
      <c r="O164" s="611">
        <v>0</v>
      </c>
      <c r="P164" s="611">
        <v>0</v>
      </c>
      <c r="Q164" s="611">
        <v>0</v>
      </c>
      <c r="R164" s="611">
        <v>0</v>
      </c>
      <c r="S164" s="611">
        <v>0</v>
      </c>
      <c r="T164" s="611">
        <v>-0.56546152229300228</v>
      </c>
      <c r="U164" s="613">
        <v>-69.52018879977723</v>
      </c>
      <c r="V164" s="51"/>
    </row>
    <row r="165" spans="3:22" x14ac:dyDescent="0.25">
      <c r="C165" s="610" t="s">
        <v>64</v>
      </c>
      <c r="D165" s="611">
        <v>0</v>
      </c>
      <c r="E165" s="611">
        <v>0</v>
      </c>
      <c r="F165" s="611">
        <v>0</v>
      </c>
      <c r="G165" s="611">
        <v>0</v>
      </c>
      <c r="H165" s="611">
        <v>0</v>
      </c>
      <c r="I165" s="611">
        <v>0</v>
      </c>
      <c r="J165" s="611">
        <v>0</v>
      </c>
      <c r="K165" s="611">
        <v>0</v>
      </c>
      <c r="L165" s="611">
        <v>0</v>
      </c>
      <c r="M165" s="611">
        <v>0</v>
      </c>
      <c r="N165" s="611">
        <v>0</v>
      </c>
      <c r="O165" s="611">
        <v>0</v>
      </c>
      <c r="P165" s="611">
        <v>0</v>
      </c>
      <c r="Q165" s="611">
        <v>0</v>
      </c>
      <c r="R165" s="611">
        <v>0</v>
      </c>
      <c r="S165" s="611">
        <v>0</v>
      </c>
      <c r="T165" s="611">
        <v>0</v>
      </c>
      <c r="U165" s="613">
        <v>0</v>
      </c>
      <c r="V165" s="51"/>
    </row>
    <row r="166" spans="3:22" x14ac:dyDescent="0.25">
      <c r="C166" s="614" t="s">
        <v>65</v>
      </c>
      <c r="D166" s="615">
        <v>14.997589528810048</v>
      </c>
      <c r="E166" s="615">
        <v>323.4981579468477</v>
      </c>
      <c r="F166" s="615">
        <v>30.420034576044323</v>
      </c>
      <c r="G166" s="615">
        <v>-5.1359245744234556</v>
      </c>
      <c r="H166" s="615">
        <v>194.8892939041794</v>
      </c>
      <c r="I166" s="615">
        <v>-2.1621292756423931</v>
      </c>
      <c r="J166" s="615">
        <v>1142.8003999999999</v>
      </c>
      <c r="K166" s="615">
        <v>315.61624303705946</v>
      </c>
      <c r="L166" s="615">
        <v>377.74823878840834</v>
      </c>
      <c r="M166" s="615">
        <v>21.729144477324894</v>
      </c>
      <c r="N166" s="615">
        <v>-5.6181954011346704</v>
      </c>
      <c r="O166" s="615">
        <v>-1.5589178671541615</v>
      </c>
      <c r="P166" s="615">
        <v>135.24093356373385</v>
      </c>
      <c r="Q166" s="615">
        <v>19.433298638078622</v>
      </c>
      <c r="R166" s="615">
        <v>-70.564869909311255</v>
      </c>
      <c r="S166" s="615">
        <v>0</v>
      </c>
      <c r="T166" s="615">
        <v>-1.2157983335409153</v>
      </c>
      <c r="U166" s="615">
        <v>2490.1174990992799</v>
      </c>
      <c r="V166" s="51"/>
    </row>
    <row r="167" spans="3:22" x14ac:dyDescent="0.25">
      <c r="C167" s="616"/>
      <c r="D167" s="617"/>
      <c r="E167" s="617"/>
      <c r="F167" s="617"/>
      <c r="G167" s="617"/>
      <c r="H167" s="623"/>
      <c r="I167" s="617"/>
      <c r="J167" s="617"/>
      <c r="K167" s="617"/>
      <c r="L167" s="617"/>
      <c r="M167" s="617"/>
      <c r="N167" s="617"/>
      <c r="O167" s="617"/>
      <c r="P167" s="617"/>
      <c r="Q167" s="617"/>
      <c r="R167" s="617"/>
      <c r="S167" s="617"/>
      <c r="T167" s="617"/>
      <c r="U167" s="617"/>
      <c r="V167" s="51"/>
    </row>
    <row r="168" spans="3:22" x14ac:dyDescent="0.25">
      <c r="C168" s="618" t="s">
        <v>67</v>
      </c>
      <c r="D168" s="611">
        <v>0</v>
      </c>
      <c r="E168" s="611">
        <v>0</v>
      </c>
      <c r="F168" s="611">
        <v>0</v>
      </c>
      <c r="G168" s="611">
        <v>0</v>
      </c>
      <c r="H168" s="611">
        <v>0</v>
      </c>
      <c r="I168" s="611">
        <v>0</v>
      </c>
      <c r="J168" s="611">
        <v>0</v>
      </c>
      <c r="K168" s="611">
        <v>0</v>
      </c>
      <c r="L168" s="611">
        <v>0</v>
      </c>
      <c r="M168" s="611">
        <v>0</v>
      </c>
      <c r="N168" s="611">
        <v>0</v>
      </c>
      <c r="O168" s="611">
        <v>0</v>
      </c>
      <c r="P168" s="611">
        <v>0</v>
      </c>
      <c r="Q168" s="611">
        <v>0</v>
      </c>
      <c r="R168" s="611">
        <v>0</v>
      </c>
      <c r="S168" s="611">
        <v>0</v>
      </c>
      <c r="T168" s="611">
        <v>0</v>
      </c>
      <c r="U168" s="619">
        <v>0</v>
      </c>
      <c r="V168" s="51"/>
    </row>
    <row r="169" spans="3:22" x14ac:dyDescent="0.25">
      <c r="C169" s="618" t="s">
        <v>347</v>
      </c>
      <c r="D169" s="611">
        <v>0</v>
      </c>
      <c r="E169" s="611">
        <v>0</v>
      </c>
      <c r="F169" s="611">
        <v>0.802217285608815</v>
      </c>
      <c r="G169" s="611">
        <v>0</v>
      </c>
      <c r="H169" s="611">
        <v>34.006086400000001</v>
      </c>
      <c r="I169" s="611">
        <v>0</v>
      </c>
      <c r="J169" s="611">
        <v>1142.8003999999999</v>
      </c>
      <c r="K169" s="611">
        <v>315.61624303705946</v>
      </c>
      <c r="L169" s="611">
        <v>23.835409314292445</v>
      </c>
      <c r="M169" s="611">
        <v>0.59779215197206559</v>
      </c>
      <c r="N169" s="611">
        <v>5.0291337303525587</v>
      </c>
      <c r="O169" s="611">
        <v>11.448434017818721</v>
      </c>
      <c r="P169" s="611">
        <v>0</v>
      </c>
      <c r="Q169" s="611">
        <v>2.7943993103273139</v>
      </c>
      <c r="R169" s="611">
        <v>-757.64688965301764</v>
      </c>
      <c r="S169" s="611">
        <v>0</v>
      </c>
      <c r="T169" s="611">
        <v>0</v>
      </c>
      <c r="U169" s="619">
        <v>779.28322559441347</v>
      </c>
      <c r="V169" s="51"/>
    </row>
    <row r="170" spans="3:22" x14ac:dyDescent="0.25">
      <c r="C170" s="618" t="s">
        <v>348</v>
      </c>
      <c r="D170" s="611">
        <v>0</v>
      </c>
      <c r="E170" s="611">
        <v>0</v>
      </c>
      <c r="F170" s="611">
        <v>0</v>
      </c>
      <c r="G170" s="611">
        <v>0</v>
      </c>
      <c r="H170" s="611">
        <v>12.051558414362514</v>
      </c>
      <c r="I170" s="611">
        <v>0</v>
      </c>
      <c r="J170" s="611">
        <v>0</v>
      </c>
      <c r="K170" s="611">
        <v>0</v>
      </c>
      <c r="L170" s="611">
        <v>34.958460935332894</v>
      </c>
      <c r="M170" s="611">
        <v>14.0272998093773</v>
      </c>
      <c r="N170" s="611">
        <v>0</v>
      </c>
      <c r="O170" s="611">
        <v>4.0310107980471637</v>
      </c>
      <c r="P170" s="611">
        <v>0</v>
      </c>
      <c r="Q170" s="611">
        <v>10.486182465403838</v>
      </c>
      <c r="R170" s="611">
        <v>0</v>
      </c>
      <c r="S170" s="611">
        <v>-69.379169378424834</v>
      </c>
      <c r="T170" s="611">
        <v>0</v>
      </c>
      <c r="U170" s="619">
        <v>6.1753430440988808</v>
      </c>
      <c r="V170" s="51"/>
    </row>
    <row r="171" spans="3:22" x14ac:dyDescent="0.25">
      <c r="C171" s="618" t="s">
        <v>349</v>
      </c>
      <c r="D171" s="611">
        <v>0</v>
      </c>
      <c r="E171" s="611">
        <v>0</v>
      </c>
      <c r="F171" s="611">
        <v>0</v>
      </c>
      <c r="G171" s="611">
        <v>0</v>
      </c>
      <c r="H171" s="611">
        <v>0</v>
      </c>
      <c r="I171" s="611">
        <v>0</v>
      </c>
      <c r="J171" s="611">
        <v>0</v>
      </c>
      <c r="K171" s="611">
        <v>0</v>
      </c>
      <c r="L171" s="611">
        <v>79.871600609491523</v>
      </c>
      <c r="M171" s="611">
        <v>0</v>
      </c>
      <c r="N171" s="611">
        <v>0</v>
      </c>
      <c r="O171" s="611">
        <v>-72.76063888039937</v>
      </c>
      <c r="P171" s="611">
        <v>0</v>
      </c>
      <c r="Q171" s="611">
        <v>0</v>
      </c>
      <c r="R171" s="611">
        <v>0</v>
      </c>
      <c r="S171" s="611">
        <v>0</v>
      </c>
      <c r="T171" s="611">
        <v>0</v>
      </c>
      <c r="U171" s="619">
        <v>7.1109617290921534</v>
      </c>
      <c r="V171" s="51"/>
    </row>
    <row r="172" spans="3:22" x14ac:dyDescent="0.25">
      <c r="C172" s="618" t="s">
        <v>350</v>
      </c>
      <c r="D172" s="611">
        <v>0</v>
      </c>
      <c r="E172" s="611">
        <v>0</v>
      </c>
      <c r="F172" s="611">
        <v>0</v>
      </c>
      <c r="G172" s="611">
        <v>0</v>
      </c>
      <c r="H172" s="611">
        <v>0</v>
      </c>
      <c r="I172" s="611">
        <v>-2.1621292756423931</v>
      </c>
      <c r="J172" s="611">
        <v>0</v>
      </c>
      <c r="K172" s="611">
        <v>0</v>
      </c>
      <c r="L172" s="611">
        <v>0</v>
      </c>
      <c r="M172" s="611">
        <v>0</v>
      </c>
      <c r="N172" s="611">
        <v>0</v>
      </c>
      <c r="O172" s="611">
        <v>0</v>
      </c>
      <c r="P172" s="611">
        <v>0</v>
      </c>
      <c r="Q172" s="611">
        <v>0</v>
      </c>
      <c r="R172" s="611">
        <v>0</v>
      </c>
      <c r="S172" s="611">
        <v>0</v>
      </c>
      <c r="T172" s="611">
        <v>3.0029573272811017</v>
      </c>
      <c r="U172" s="619">
        <v>0.84082805163870855</v>
      </c>
      <c r="V172" s="51"/>
    </row>
    <row r="173" spans="3:22" x14ac:dyDescent="0.25">
      <c r="C173" s="618" t="s">
        <v>72</v>
      </c>
      <c r="D173" s="611">
        <v>0</v>
      </c>
      <c r="E173" s="611">
        <v>335.24810979182712</v>
      </c>
      <c r="F173" s="611">
        <v>-331.90898271273255</v>
      </c>
      <c r="G173" s="611">
        <v>0</v>
      </c>
      <c r="H173" s="611">
        <v>0</v>
      </c>
      <c r="I173" s="611">
        <v>0</v>
      </c>
      <c r="J173" s="611">
        <v>0</v>
      </c>
      <c r="K173" s="611">
        <v>0</v>
      </c>
      <c r="L173" s="611">
        <v>0</v>
      </c>
      <c r="M173" s="611">
        <v>0</v>
      </c>
      <c r="N173" s="611">
        <v>0</v>
      </c>
      <c r="O173" s="611">
        <v>0</v>
      </c>
      <c r="P173" s="611">
        <v>0</v>
      </c>
      <c r="Q173" s="611">
        <v>0</v>
      </c>
      <c r="R173" s="611">
        <v>0</v>
      </c>
      <c r="S173" s="611">
        <v>0</v>
      </c>
      <c r="T173" s="611">
        <v>0</v>
      </c>
      <c r="U173" s="619">
        <v>3.3391270790945669</v>
      </c>
      <c r="V173" s="51"/>
    </row>
    <row r="174" spans="3:22" x14ac:dyDescent="0.25">
      <c r="C174" s="618" t="s">
        <v>351</v>
      </c>
      <c r="D174" s="611">
        <v>0</v>
      </c>
      <c r="E174" s="611">
        <v>0</v>
      </c>
      <c r="F174" s="611">
        <v>0</v>
      </c>
      <c r="G174" s="611">
        <v>0</v>
      </c>
      <c r="H174" s="611">
        <v>0</v>
      </c>
      <c r="I174" s="611">
        <v>0</v>
      </c>
      <c r="J174" s="611">
        <v>0</v>
      </c>
      <c r="K174" s="611">
        <v>0</v>
      </c>
      <c r="L174" s="611">
        <v>163.94028019262709</v>
      </c>
      <c r="M174" s="611">
        <v>0</v>
      </c>
      <c r="N174" s="611">
        <v>-90.167154105944903</v>
      </c>
      <c r="O174" s="611">
        <v>0</v>
      </c>
      <c r="P174" s="611">
        <v>0</v>
      </c>
      <c r="Q174" s="611">
        <v>0</v>
      </c>
      <c r="R174" s="611">
        <v>0</v>
      </c>
      <c r="S174" s="611">
        <v>0</v>
      </c>
      <c r="T174" s="611">
        <v>0</v>
      </c>
      <c r="U174" s="619">
        <v>73.773126086682183</v>
      </c>
      <c r="V174" s="51"/>
    </row>
    <row r="175" spans="3:22" x14ac:dyDescent="0.25">
      <c r="C175" s="618" t="s">
        <v>352</v>
      </c>
      <c r="D175" s="611">
        <v>0</v>
      </c>
      <c r="E175" s="611">
        <v>0</v>
      </c>
      <c r="F175" s="611">
        <v>0</v>
      </c>
      <c r="G175" s="611">
        <v>-7.5393332523643162</v>
      </c>
      <c r="H175" s="611">
        <v>0</v>
      </c>
      <c r="I175" s="611">
        <v>0</v>
      </c>
      <c r="J175" s="611">
        <v>0</v>
      </c>
      <c r="K175" s="611">
        <v>0</v>
      </c>
      <c r="L175" s="611">
        <v>0</v>
      </c>
      <c r="M175" s="611">
        <v>0</v>
      </c>
      <c r="N175" s="611">
        <v>0</v>
      </c>
      <c r="O175" s="611">
        <v>0</v>
      </c>
      <c r="P175" s="611">
        <v>0</v>
      </c>
      <c r="Q175" s="611">
        <v>0</v>
      </c>
      <c r="R175" s="611">
        <v>0</v>
      </c>
      <c r="S175" s="611">
        <v>0</v>
      </c>
      <c r="T175" s="611">
        <v>9.8694251246207116</v>
      </c>
      <c r="U175" s="619">
        <v>2.3300918722563955</v>
      </c>
      <c r="V175" s="51"/>
    </row>
    <row r="176" spans="3:22" x14ac:dyDescent="0.25">
      <c r="C176" s="618" t="s">
        <v>73</v>
      </c>
      <c r="D176" s="611">
        <v>0</v>
      </c>
      <c r="E176" s="611">
        <v>0</v>
      </c>
      <c r="F176" s="611">
        <v>0</v>
      </c>
      <c r="G176" s="611">
        <v>0</v>
      </c>
      <c r="H176" s="611">
        <v>0</v>
      </c>
      <c r="I176" s="611">
        <v>0</v>
      </c>
      <c r="J176" s="611">
        <v>0</v>
      </c>
      <c r="K176" s="611">
        <v>0</v>
      </c>
      <c r="L176" s="611">
        <v>0</v>
      </c>
      <c r="M176" s="611">
        <v>0</v>
      </c>
      <c r="N176" s="611">
        <v>0</v>
      </c>
      <c r="O176" s="611">
        <v>0</v>
      </c>
      <c r="P176" s="611">
        <v>0</v>
      </c>
      <c r="Q176" s="611">
        <v>0</v>
      </c>
      <c r="R176" s="611">
        <v>60.125996710882241</v>
      </c>
      <c r="S176" s="611">
        <v>0</v>
      </c>
      <c r="T176" s="611">
        <v>-40.134102804513894</v>
      </c>
      <c r="U176" s="619">
        <v>19.991893906368347</v>
      </c>
      <c r="V176" s="51"/>
    </row>
    <row r="177" spans="3:22" x14ac:dyDescent="0.25">
      <c r="C177" s="618" t="s">
        <v>353</v>
      </c>
      <c r="D177" s="611">
        <v>8.1657801562499994</v>
      </c>
      <c r="E177" s="611">
        <v>-11.749951844979407</v>
      </c>
      <c r="F177" s="611">
        <v>15.302006125146733</v>
      </c>
      <c r="G177" s="611">
        <v>0</v>
      </c>
      <c r="H177" s="611">
        <v>0</v>
      </c>
      <c r="I177" s="611">
        <v>0</v>
      </c>
      <c r="J177" s="611">
        <v>0</v>
      </c>
      <c r="K177" s="611">
        <v>0</v>
      </c>
      <c r="L177" s="611">
        <v>0</v>
      </c>
      <c r="M177" s="611">
        <v>0</v>
      </c>
      <c r="N177" s="611">
        <v>0</v>
      </c>
      <c r="O177" s="611">
        <v>0</v>
      </c>
      <c r="P177" s="611">
        <v>0</v>
      </c>
      <c r="Q177" s="611">
        <v>0</v>
      </c>
      <c r="R177" s="611">
        <v>0</v>
      </c>
      <c r="S177" s="611">
        <v>0</v>
      </c>
      <c r="T177" s="611">
        <v>0</v>
      </c>
      <c r="U177" s="619">
        <v>11.717834436417325</v>
      </c>
      <c r="V177" s="51"/>
    </row>
    <row r="178" spans="3:22" x14ac:dyDescent="0.25">
      <c r="C178" s="618" t="s">
        <v>75</v>
      </c>
      <c r="D178" s="611">
        <v>3.1755811718750002</v>
      </c>
      <c r="E178" s="611">
        <v>0</v>
      </c>
      <c r="F178" s="611">
        <v>11.521572645855153</v>
      </c>
      <c r="G178" s="611">
        <v>0</v>
      </c>
      <c r="H178" s="611">
        <v>3.9220454388203256</v>
      </c>
      <c r="I178" s="611">
        <v>0</v>
      </c>
      <c r="J178" s="611">
        <v>0</v>
      </c>
      <c r="K178" s="611">
        <v>0</v>
      </c>
      <c r="L178" s="611">
        <v>0</v>
      </c>
      <c r="M178" s="611">
        <v>0</v>
      </c>
      <c r="N178" s="611">
        <v>0</v>
      </c>
      <c r="O178" s="611">
        <v>1.4506195458650522</v>
      </c>
      <c r="P178" s="611">
        <v>0</v>
      </c>
      <c r="Q178" s="611">
        <v>0</v>
      </c>
      <c r="R178" s="611">
        <v>60.761806133767948</v>
      </c>
      <c r="S178" s="611">
        <v>0</v>
      </c>
      <c r="T178" s="611">
        <v>0</v>
      </c>
      <c r="U178" s="619">
        <v>80.831624936183488</v>
      </c>
      <c r="V178" s="51"/>
    </row>
    <row r="179" spans="3:22" x14ac:dyDescent="0.25">
      <c r="C179" s="618" t="s">
        <v>76</v>
      </c>
      <c r="D179" s="611">
        <v>0</v>
      </c>
      <c r="E179" s="611">
        <v>0</v>
      </c>
      <c r="F179" s="611">
        <v>0</v>
      </c>
      <c r="G179" s="611">
        <v>0</v>
      </c>
      <c r="H179" s="611">
        <v>2.1646233655533069</v>
      </c>
      <c r="I179" s="611">
        <v>0</v>
      </c>
      <c r="J179" s="611">
        <v>0</v>
      </c>
      <c r="K179" s="611">
        <v>0</v>
      </c>
      <c r="L179" s="611">
        <v>0</v>
      </c>
      <c r="M179" s="611">
        <v>0</v>
      </c>
      <c r="N179" s="611">
        <v>0</v>
      </c>
      <c r="O179" s="611">
        <v>0.80061412150601763</v>
      </c>
      <c r="P179" s="611">
        <v>0</v>
      </c>
      <c r="Q179" s="611">
        <v>0</v>
      </c>
      <c r="R179" s="611">
        <v>52.612079167713944</v>
      </c>
      <c r="S179" s="611">
        <v>5.3807290074301646</v>
      </c>
      <c r="T179" s="611">
        <v>0</v>
      </c>
      <c r="U179" s="619">
        <v>60.958045662203432</v>
      </c>
      <c r="V179" s="51"/>
    </row>
    <row r="180" spans="3:22" x14ac:dyDescent="0.25">
      <c r="C180" s="614" t="s">
        <v>77</v>
      </c>
      <c r="D180" s="615">
        <v>11.341361328125</v>
      </c>
      <c r="E180" s="615">
        <v>323.4981579468477</v>
      </c>
      <c r="F180" s="615">
        <v>-304.28318665612187</v>
      </c>
      <c r="G180" s="615">
        <v>-7.5393332523643162</v>
      </c>
      <c r="H180" s="615">
        <v>52.144313618736149</v>
      </c>
      <c r="I180" s="615">
        <v>-2.1621292756423931</v>
      </c>
      <c r="J180" s="615">
        <v>1142.8003999999999</v>
      </c>
      <c r="K180" s="615">
        <v>315.61624303705946</v>
      </c>
      <c r="L180" s="615">
        <v>302.60575105174394</v>
      </c>
      <c r="M180" s="615">
        <v>14.625091961349366</v>
      </c>
      <c r="N180" s="615">
        <v>-85.138020375592347</v>
      </c>
      <c r="O180" s="615">
        <v>-55.029960397162412</v>
      </c>
      <c r="P180" s="615">
        <v>0</v>
      </c>
      <c r="Q180" s="615">
        <v>13.280581775731152</v>
      </c>
      <c r="R180" s="615">
        <v>-584.14700764065356</v>
      </c>
      <c r="S180" s="615">
        <v>-63.998440370994672</v>
      </c>
      <c r="T180" s="615">
        <v>-27.26172035261208</v>
      </c>
      <c r="U180" s="615">
        <v>1046.352102398449</v>
      </c>
      <c r="V180" s="51"/>
    </row>
    <row r="181" spans="3:22" x14ac:dyDescent="0.25">
      <c r="C181" s="616"/>
      <c r="D181" s="617"/>
      <c r="E181" s="617"/>
      <c r="F181" s="617"/>
      <c r="G181" s="617"/>
      <c r="H181" s="623"/>
      <c r="I181" s="617"/>
      <c r="J181" s="617"/>
      <c r="K181" s="617"/>
      <c r="L181" s="617"/>
      <c r="M181" s="617"/>
      <c r="N181" s="617"/>
      <c r="O181" s="617"/>
      <c r="P181" s="617"/>
      <c r="Q181" s="617"/>
      <c r="R181" s="617"/>
      <c r="S181" s="617"/>
      <c r="T181" s="617"/>
      <c r="U181" s="617"/>
      <c r="V181" s="51"/>
    </row>
    <row r="182" spans="3:22" x14ac:dyDescent="0.25">
      <c r="C182" s="618" t="s">
        <v>78</v>
      </c>
      <c r="D182" s="611">
        <v>3.6562282006850468</v>
      </c>
      <c r="E182" s="611">
        <v>0</v>
      </c>
      <c r="F182" s="611">
        <v>9.7376785306283384</v>
      </c>
      <c r="G182" s="611">
        <v>0</v>
      </c>
      <c r="H182" s="611">
        <v>61.385022781931873</v>
      </c>
      <c r="I182" s="611">
        <v>0</v>
      </c>
      <c r="J182" s="611">
        <v>0</v>
      </c>
      <c r="K182" s="611">
        <v>0</v>
      </c>
      <c r="L182" s="611">
        <v>21.686124483212218</v>
      </c>
      <c r="M182" s="611">
        <v>7.1035846364336246</v>
      </c>
      <c r="N182" s="611">
        <v>1.1432225445669904</v>
      </c>
      <c r="O182" s="611">
        <v>22.738015311990583</v>
      </c>
      <c r="P182" s="611">
        <v>9.2526142578124997</v>
      </c>
      <c r="Q182" s="611">
        <v>6.9244826847420892E-4</v>
      </c>
      <c r="R182" s="611">
        <v>162.27713271483609</v>
      </c>
      <c r="S182" s="611">
        <v>19.928077987492124</v>
      </c>
      <c r="T182" s="611">
        <v>7.1014345703124997</v>
      </c>
      <c r="U182" s="619">
        <v>326.00982846817038</v>
      </c>
      <c r="V182" s="51"/>
    </row>
    <row r="183" spans="3:22" x14ac:dyDescent="0.25">
      <c r="C183" s="618" t="s">
        <v>79</v>
      </c>
      <c r="D183" s="611">
        <v>0</v>
      </c>
      <c r="E183" s="611">
        <v>0</v>
      </c>
      <c r="F183" s="611">
        <v>192.91287296266353</v>
      </c>
      <c r="G183" s="611">
        <v>0.64331320573206352</v>
      </c>
      <c r="H183" s="611">
        <v>5.6449684818952051</v>
      </c>
      <c r="I183" s="611">
        <v>0</v>
      </c>
      <c r="J183" s="611">
        <v>0</v>
      </c>
      <c r="K183" s="611">
        <v>0</v>
      </c>
      <c r="L183" s="611">
        <v>0</v>
      </c>
      <c r="M183" s="611">
        <v>0</v>
      </c>
      <c r="N183" s="611">
        <v>55.124968461757305</v>
      </c>
      <c r="O183" s="611">
        <v>2.0878650549475419</v>
      </c>
      <c r="P183" s="611">
        <v>0</v>
      </c>
      <c r="Q183" s="611">
        <v>0</v>
      </c>
      <c r="R183" s="611">
        <v>62.922987609450331</v>
      </c>
      <c r="S183" s="611">
        <v>0</v>
      </c>
      <c r="T183" s="611">
        <v>2.568426650221276</v>
      </c>
      <c r="U183" s="619">
        <v>321.90540242666725</v>
      </c>
      <c r="V183" s="51"/>
    </row>
    <row r="184" spans="3:22" x14ac:dyDescent="0.25">
      <c r="C184" s="618" t="s">
        <v>80</v>
      </c>
      <c r="D184" s="611">
        <v>0</v>
      </c>
      <c r="E184" s="611">
        <v>0</v>
      </c>
      <c r="F184" s="611">
        <v>3.0522332565861259</v>
      </c>
      <c r="G184" s="611">
        <v>0</v>
      </c>
      <c r="H184" s="611">
        <v>36.682189130077496</v>
      </c>
      <c r="I184" s="611">
        <v>0</v>
      </c>
      <c r="J184" s="611">
        <v>0</v>
      </c>
      <c r="K184" s="611">
        <v>0</v>
      </c>
      <c r="L184" s="611">
        <v>49.933380533226007</v>
      </c>
      <c r="M184" s="611">
        <v>0</v>
      </c>
      <c r="N184" s="611">
        <v>0</v>
      </c>
      <c r="O184" s="611">
        <v>13.567385020713596</v>
      </c>
      <c r="P184" s="611">
        <v>86.346993730736358</v>
      </c>
      <c r="Q184" s="611">
        <v>2.3427124137087052</v>
      </c>
      <c r="R184" s="611">
        <v>161.8990647634788</v>
      </c>
      <c r="S184" s="611">
        <v>25.454386166903632</v>
      </c>
      <c r="T184" s="611">
        <v>0</v>
      </c>
      <c r="U184" s="619">
        <v>379.27834501543077</v>
      </c>
      <c r="V184" s="51"/>
    </row>
    <row r="185" spans="3:22" x14ac:dyDescent="0.25">
      <c r="C185" s="618" t="s">
        <v>81</v>
      </c>
      <c r="D185" s="611">
        <v>0</v>
      </c>
      <c r="E185" s="611">
        <v>0</v>
      </c>
      <c r="F185" s="611">
        <v>2.064637318394833</v>
      </c>
      <c r="G185" s="611">
        <v>0</v>
      </c>
      <c r="H185" s="611">
        <v>26.484798777657492</v>
      </c>
      <c r="I185" s="611">
        <v>0</v>
      </c>
      <c r="J185" s="611">
        <v>0</v>
      </c>
      <c r="K185" s="611">
        <v>0</v>
      </c>
      <c r="L185" s="611">
        <v>0.59757790855029691</v>
      </c>
      <c r="M185" s="611">
        <v>0</v>
      </c>
      <c r="N185" s="611">
        <v>0</v>
      </c>
      <c r="O185" s="611">
        <v>9.7957474931061963</v>
      </c>
      <c r="P185" s="611">
        <v>38.891325575185007</v>
      </c>
      <c r="Q185" s="611">
        <v>2.8464095248186312</v>
      </c>
      <c r="R185" s="611">
        <v>118.84997058968706</v>
      </c>
      <c r="S185" s="611">
        <v>18.615976216598927</v>
      </c>
      <c r="T185" s="611">
        <v>0</v>
      </c>
      <c r="U185" s="619">
        <v>218.14644340399843</v>
      </c>
      <c r="V185" s="51"/>
    </row>
    <row r="186" spans="3:22" x14ac:dyDescent="0.25">
      <c r="C186" s="618" t="s">
        <v>82</v>
      </c>
      <c r="D186" s="611">
        <v>0</v>
      </c>
      <c r="E186" s="611">
        <v>0</v>
      </c>
      <c r="F186" s="611">
        <v>22.266407522057087</v>
      </c>
      <c r="G186" s="611">
        <v>0</v>
      </c>
      <c r="H186" s="611">
        <v>1.4368148997469985</v>
      </c>
      <c r="I186" s="611">
        <v>0</v>
      </c>
      <c r="J186" s="611">
        <v>0</v>
      </c>
      <c r="K186" s="611">
        <v>0</v>
      </c>
      <c r="L186" s="611">
        <v>2.70050068143768</v>
      </c>
      <c r="M186" s="611">
        <v>0</v>
      </c>
      <c r="N186" s="611">
        <v>8.7092137788049975</v>
      </c>
      <c r="O186" s="611">
        <v>0.53142468894752004</v>
      </c>
      <c r="P186" s="611">
        <v>0.75</v>
      </c>
      <c r="Q186" s="611">
        <v>0.96290247555165809</v>
      </c>
      <c r="R186" s="611">
        <v>6.8713820538899668</v>
      </c>
      <c r="S186" s="611">
        <v>0</v>
      </c>
      <c r="T186" s="611">
        <v>0.34507271012604906</v>
      </c>
      <c r="U186" s="619">
        <v>44.573718810561957</v>
      </c>
      <c r="V186" s="51"/>
    </row>
    <row r="187" spans="3:22" x14ac:dyDescent="0.25">
      <c r="C187" s="618" t="s">
        <v>354</v>
      </c>
      <c r="D187" s="611">
        <v>0</v>
      </c>
      <c r="E187" s="611">
        <v>0</v>
      </c>
      <c r="F187" s="611">
        <v>0</v>
      </c>
      <c r="G187" s="611">
        <v>0</v>
      </c>
      <c r="H187" s="611">
        <v>0</v>
      </c>
      <c r="I187" s="611">
        <v>0</v>
      </c>
      <c r="J187" s="611">
        <v>0</v>
      </c>
      <c r="K187" s="611">
        <v>0</v>
      </c>
      <c r="L187" s="611">
        <v>0</v>
      </c>
      <c r="M187" s="611">
        <v>0</v>
      </c>
      <c r="N187" s="611">
        <v>0</v>
      </c>
      <c r="O187" s="611">
        <v>0</v>
      </c>
      <c r="P187" s="611">
        <v>0</v>
      </c>
      <c r="Q187" s="611">
        <v>0</v>
      </c>
      <c r="R187" s="611">
        <v>0.76160000000000005</v>
      </c>
      <c r="S187" s="611">
        <v>0</v>
      </c>
      <c r="T187" s="611">
        <v>0</v>
      </c>
      <c r="U187" s="619">
        <v>0.76160000000000005</v>
      </c>
      <c r="V187" s="51"/>
    </row>
    <row r="188" spans="3:22" x14ac:dyDescent="0.25">
      <c r="C188" s="614" t="s">
        <v>83</v>
      </c>
      <c r="D188" s="615">
        <v>3.6562282006850468</v>
      </c>
      <c r="E188" s="615">
        <v>0</v>
      </c>
      <c r="F188" s="615">
        <v>230.0338295903299</v>
      </c>
      <c r="G188" s="615">
        <v>0.64331320573206352</v>
      </c>
      <c r="H188" s="615">
        <v>131.63379407130904</v>
      </c>
      <c r="I188" s="615">
        <v>0</v>
      </c>
      <c r="J188" s="615">
        <v>0</v>
      </c>
      <c r="K188" s="615">
        <v>0</v>
      </c>
      <c r="L188" s="615">
        <v>74.917583606426192</v>
      </c>
      <c r="M188" s="615">
        <v>7.1035846364336246</v>
      </c>
      <c r="N188" s="615">
        <v>64.977404785129295</v>
      </c>
      <c r="O188" s="615">
        <v>48.720437569705439</v>
      </c>
      <c r="P188" s="615">
        <v>135.24093356373385</v>
      </c>
      <c r="Q188" s="615">
        <v>6.1527168623474688</v>
      </c>
      <c r="R188" s="615">
        <v>513.5821377313423</v>
      </c>
      <c r="S188" s="615">
        <v>63.998440370994686</v>
      </c>
      <c r="T188" s="615">
        <v>10.014933930659824</v>
      </c>
      <c r="U188" s="615">
        <v>1290.6753381248291</v>
      </c>
      <c r="V188" s="51"/>
    </row>
    <row r="189" spans="3:22" x14ac:dyDescent="0.25">
      <c r="C189" s="610" t="s">
        <v>84</v>
      </c>
      <c r="D189" s="611">
        <v>0</v>
      </c>
      <c r="E189" s="611">
        <v>0</v>
      </c>
      <c r="F189" s="611">
        <v>104.6693916418363</v>
      </c>
      <c r="G189" s="611">
        <v>1.7600954722087971</v>
      </c>
      <c r="H189" s="611">
        <v>11.111186214134182</v>
      </c>
      <c r="I189" s="611">
        <v>0</v>
      </c>
      <c r="J189" s="611">
        <v>0</v>
      </c>
      <c r="K189" s="611">
        <v>0</v>
      </c>
      <c r="L189" s="611">
        <v>0.224904130238229</v>
      </c>
      <c r="M189" s="611">
        <v>0</v>
      </c>
      <c r="N189" s="611">
        <v>14.54242018932838</v>
      </c>
      <c r="O189" s="611">
        <v>4.7506049603028071</v>
      </c>
      <c r="P189" s="611">
        <v>0</v>
      </c>
      <c r="Q189" s="611">
        <v>0</v>
      </c>
      <c r="R189" s="611">
        <v>0</v>
      </c>
      <c r="S189" s="611">
        <v>0</v>
      </c>
      <c r="T189" s="611">
        <v>16.030988088411341</v>
      </c>
      <c r="U189" s="619">
        <v>153.08959069646002</v>
      </c>
      <c r="V189" s="51"/>
    </row>
    <row r="190" spans="3:22" x14ac:dyDescent="0.25">
      <c r="C190" s="614" t="s">
        <v>85</v>
      </c>
      <c r="D190" s="615">
        <v>3.6562282006850468</v>
      </c>
      <c r="E190" s="615">
        <v>0</v>
      </c>
      <c r="F190" s="615">
        <v>334.70322123216619</v>
      </c>
      <c r="G190" s="615">
        <v>2.4034086779408605</v>
      </c>
      <c r="H190" s="615">
        <v>142.74498028544323</v>
      </c>
      <c r="I190" s="615">
        <v>0</v>
      </c>
      <c r="J190" s="615">
        <v>0</v>
      </c>
      <c r="K190" s="615">
        <v>0</v>
      </c>
      <c r="L190" s="615">
        <v>75.142487736664421</v>
      </c>
      <c r="M190" s="615">
        <v>7.1035846364336246</v>
      </c>
      <c r="N190" s="615">
        <v>79.519824974457677</v>
      </c>
      <c r="O190" s="615">
        <v>53.471042530008248</v>
      </c>
      <c r="P190" s="615">
        <v>135.24093356373385</v>
      </c>
      <c r="Q190" s="615">
        <v>6.1527168623474688</v>
      </c>
      <c r="R190" s="615">
        <v>513.5821377313423</v>
      </c>
      <c r="S190" s="615">
        <v>63.998440370994686</v>
      </c>
      <c r="T190" s="615">
        <v>26.045922019071163</v>
      </c>
      <c r="U190" s="615">
        <v>1443.764928821289</v>
      </c>
      <c r="V190" s="51"/>
    </row>
    <row r="191" spans="3:22" x14ac:dyDescent="0.25">
      <c r="C191" s="51"/>
      <c r="D191" s="67">
        <v>0</v>
      </c>
      <c r="E191" s="67">
        <v>0</v>
      </c>
      <c r="F191" s="67">
        <v>0</v>
      </c>
      <c r="G191" s="67">
        <v>0</v>
      </c>
      <c r="H191" s="67">
        <v>0</v>
      </c>
      <c r="I191" s="67">
        <v>0</v>
      </c>
      <c r="J191" s="67">
        <v>0</v>
      </c>
      <c r="K191" s="67">
        <v>0</v>
      </c>
      <c r="L191" s="67">
        <v>0</v>
      </c>
      <c r="M191" s="67">
        <v>-4.6787954190463665E-4</v>
      </c>
      <c r="N191" s="67">
        <v>0</v>
      </c>
      <c r="O191" s="67">
        <v>-3.1086244689504383E-15</v>
      </c>
      <c r="P191" s="67">
        <v>0</v>
      </c>
      <c r="Q191" s="67">
        <v>0</v>
      </c>
      <c r="R191" s="67">
        <v>0</v>
      </c>
      <c r="S191" s="67">
        <v>1.4210854715202004E-14</v>
      </c>
      <c r="T191" s="67">
        <v>-1.7763568394002505E-15</v>
      </c>
      <c r="U191" s="67">
        <v>-4.6787954170213197E-4</v>
      </c>
      <c r="V191" s="51"/>
    </row>
    <row r="192" spans="3:22" x14ac:dyDescent="0.25">
      <c r="C192" s="51"/>
      <c r="D192" s="51"/>
      <c r="E192" s="51"/>
      <c r="F192" s="51"/>
      <c r="G192" s="67"/>
      <c r="H192" s="51"/>
      <c r="I192" s="51"/>
      <c r="J192" s="51"/>
      <c r="K192" s="51"/>
      <c r="L192" s="51"/>
      <c r="M192" s="51"/>
      <c r="N192" s="51"/>
      <c r="O192" s="51"/>
      <c r="P192" s="51"/>
      <c r="Q192" s="51"/>
      <c r="R192" s="51"/>
      <c r="S192" s="51"/>
      <c r="T192" s="51"/>
      <c r="U192" s="51"/>
      <c r="V192" s="51"/>
    </row>
    <row r="193" spans="3:22" x14ac:dyDescent="0.25">
      <c r="C193" s="607" t="s">
        <v>359</v>
      </c>
      <c r="D193" s="606"/>
      <c r="E193" s="606"/>
      <c r="F193" s="606"/>
      <c r="G193" s="682"/>
      <c r="H193" s="606"/>
      <c r="I193" s="606"/>
      <c r="J193" s="606"/>
      <c r="K193" s="606"/>
      <c r="L193" s="606"/>
      <c r="M193" s="606"/>
      <c r="N193" s="606"/>
      <c r="O193" s="606"/>
      <c r="P193" s="606"/>
      <c r="Q193" s="606"/>
      <c r="R193" s="606"/>
      <c r="S193" s="606"/>
      <c r="T193" s="606"/>
      <c r="U193" s="606"/>
      <c r="V193" s="606"/>
    </row>
    <row r="194" spans="3:22" x14ac:dyDescent="0.25">
      <c r="C194" s="51"/>
      <c r="D194" s="51"/>
      <c r="E194" s="51"/>
      <c r="F194" s="51"/>
      <c r="G194" s="67"/>
      <c r="H194" s="51"/>
      <c r="I194" s="51"/>
      <c r="J194" s="51"/>
      <c r="K194" s="51"/>
      <c r="L194" s="51"/>
      <c r="M194" s="51"/>
      <c r="N194" s="51"/>
      <c r="O194" s="51"/>
      <c r="P194" s="51"/>
      <c r="Q194" s="51"/>
      <c r="R194" s="51"/>
      <c r="S194" s="51"/>
      <c r="T194" s="51"/>
      <c r="U194" s="51"/>
      <c r="V194" s="51"/>
    </row>
    <row r="195" spans="3:22" x14ac:dyDescent="0.25">
      <c r="C195" s="764" t="s">
        <v>128</v>
      </c>
      <c r="D195" s="753" t="s">
        <v>42</v>
      </c>
      <c r="E195" s="753" t="s">
        <v>52</v>
      </c>
      <c r="F195" s="753" t="s">
        <v>53</v>
      </c>
      <c r="G195" s="766" t="s">
        <v>482</v>
      </c>
      <c r="H195" s="753" t="s">
        <v>32</v>
      </c>
      <c r="I195" s="753" t="s">
        <v>483</v>
      </c>
      <c r="J195" s="753" t="s">
        <v>20</v>
      </c>
      <c r="K195" s="753" t="s">
        <v>55</v>
      </c>
      <c r="L195" s="761" t="s">
        <v>56</v>
      </c>
      <c r="M195" s="762"/>
      <c r="N195" s="762"/>
      <c r="O195" s="762"/>
      <c r="P195" s="762"/>
      <c r="Q195" s="763"/>
      <c r="R195" s="753" t="s">
        <v>57</v>
      </c>
      <c r="S195" s="753" t="s">
        <v>58</v>
      </c>
      <c r="T195" s="753" t="s">
        <v>31</v>
      </c>
      <c r="U195" s="753" t="s">
        <v>10</v>
      </c>
      <c r="V195" s="51"/>
    </row>
    <row r="196" spans="3:22" ht="36" x14ac:dyDescent="0.25">
      <c r="C196" s="765"/>
      <c r="D196" s="754"/>
      <c r="E196" s="754"/>
      <c r="F196" s="754"/>
      <c r="G196" s="767"/>
      <c r="H196" s="754"/>
      <c r="I196" s="754"/>
      <c r="J196" s="754"/>
      <c r="K196" s="754"/>
      <c r="L196" s="608" t="s">
        <v>335</v>
      </c>
      <c r="M196" s="608" t="s">
        <v>40</v>
      </c>
      <c r="N196" s="608" t="s">
        <v>343</v>
      </c>
      <c r="O196" s="608" t="s">
        <v>344</v>
      </c>
      <c r="P196" s="609" t="s">
        <v>345</v>
      </c>
      <c r="Q196" s="608" t="s">
        <v>346</v>
      </c>
      <c r="R196" s="754"/>
      <c r="S196" s="754"/>
      <c r="T196" s="754"/>
      <c r="U196" s="754"/>
      <c r="V196" s="51"/>
    </row>
    <row r="197" spans="3:22" x14ac:dyDescent="0.25">
      <c r="C197" s="610" t="s">
        <v>59</v>
      </c>
      <c r="D197" s="611">
        <v>0</v>
      </c>
      <c r="E197" s="611">
        <v>2.3260000000000005</v>
      </c>
      <c r="F197" s="611">
        <v>0</v>
      </c>
      <c r="G197" s="611">
        <v>0</v>
      </c>
      <c r="H197" s="611">
        <v>3.7216000000000006E-2</v>
      </c>
      <c r="I197" s="611">
        <v>0</v>
      </c>
      <c r="J197" s="612">
        <v>1162.199818181818</v>
      </c>
      <c r="K197" s="612">
        <v>371.91258763455278</v>
      </c>
      <c r="L197" s="612">
        <v>428.31581499702253</v>
      </c>
      <c r="M197" s="612">
        <v>21.832470141682652</v>
      </c>
      <c r="N197" s="611">
        <v>1.5522078310841105</v>
      </c>
      <c r="O197" s="611">
        <v>0.16457898409976487</v>
      </c>
      <c r="P197" s="612">
        <v>148.71329626041282</v>
      </c>
      <c r="Q197" s="612">
        <v>22.497992115953615</v>
      </c>
      <c r="R197" s="611">
        <v>0</v>
      </c>
      <c r="S197" s="611">
        <v>0</v>
      </c>
      <c r="T197" s="611">
        <v>0</v>
      </c>
      <c r="U197" s="613">
        <v>2159.5519821466264</v>
      </c>
      <c r="V197" s="51"/>
    </row>
    <row r="198" spans="3:22" x14ac:dyDescent="0.25">
      <c r="C198" s="610" t="s">
        <v>60</v>
      </c>
      <c r="D198" s="611">
        <v>14.018688039101649</v>
      </c>
      <c r="E198" s="611">
        <v>270.8879796629484</v>
      </c>
      <c r="F198" s="611">
        <v>26.29831217515342</v>
      </c>
      <c r="G198" s="611">
        <v>0</v>
      </c>
      <c r="H198" s="611">
        <v>132.82105117150289</v>
      </c>
      <c r="I198" s="611">
        <v>0</v>
      </c>
      <c r="J198" s="611">
        <v>0</v>
      </c>
      <c r="K198" s="611">
        <v>0</v>
      </c>
      <c r="L198" s="611">
        <v>3.8185483520995893</v>
      </c>
      <c r="M198" s="611">
        <v>0</v>
      </c>
      <c r="N198" s="611">
        <v>5.0715995071493687</v>
      </c>
      <c r="O198" s="611">
        <v>0</v>
      </c>
      <c r="P198" s="611">
        <v>0</v>
      </c>
      <c r="Q198" s="611">
        <v>0</v>
      </c>
      <c r="R198" s="611">
        <v>0</v>
      </c>
      <c r="S198" s="611">
        <v>0</v>
      </c>
      <c r="T198" s="611">
        <v>0</v>
      </c>
      <c r="U198" s="613">
        <v>452.91617890795533</v>
      </c>
      <c r="V198" s="51"/>
    </row>
    <row r="199" spans="3:22" x14ac:dyDescent="0.25">
      <c r="C199" s="610" t="s">
        <v>61</v>
      </c>
      <c r="D199" s="611">
        <v>0</v>
      </c>
      <c r="E199" s="611">
        <v>0</v>
      </c>
      <c r="F199" s="611">
        <v>3.1635560327380432</v>
      </c>
      <c r="G199" s="611">
        <v>-0.85627443515198287</v>
      </c>
      <c r="H199" s="611">
        <v>0</v>
      </c>
      <c r="I199" s="611">
        <v>0</v>
      </c>
      <c r="J199" s="611">
        <v>0</v>
      </c>
      <c r="K199" s="611">
        <v>0</v>
      </c>
      <c r="L199" s="611">
        <v>0</v>
      </c>
      <c r="M199" s="611">
        <v>0</v>
      </c>
      <c r="N199" s="611">
        <v>0</v>
      </c>
      <c r="O199" s="611">
        <v>0</v>
      </c>
      <c r="P199" s="611">
        <v>0</v>
      </c>
      <c r="Q199" s="611">
        <v>0</v>
      </c>
      <c r="R199" s="611">
        <v>-59.544479832357297</v>
      </c>
      <c r="S199" s="611">
        <v>0</v>
      </c>
      <c r="T199" s="611">
        <v>0</v>
      </c>
      <c r="U199" s="613">
        <v>-57.237198234771235</v>
      </c>
      <c r="V199" s="51"/>
    </row>
    <row r="200" spans="3:22" x14ac:dyDescent="0.25">
      <c r="C200" s="610" t="s">
        <v>62</v>
      </c>
      <c r="D200" s="611">
        <v>0</v>
      </c>
      <c r="E200" s="611">
        <v>0</v>
      </c>
      <c r="F200" s="611">
        <v>-6.7125205563218922</v>
      </c>
      <c r="G200" s="611">
        <v>-3.2950395543749584</v>
      </c>
      <c r="H200" s="611">
        <v>-0.49987622776591634</v>
      </c>
      <c r="I200" s="611">
        <v>-2.9890617212740871</v>
      </c>
      <c r="J200" s="611">
        <v>0</v>
      </c>
      <c r="K200" s="611">
        <v>0</v>
      </c>
      <c r="L200" s="611">
        <v>0</v>
      </c>
      <c r="M200" s="611">
        <v>0</v>
      </c>
      <c r="N200" s="611">
        <v>-1.2700508300617339</v>
      </c>
      <c r="O200" s="611">
        <v>-2.1176768711242038</v>
      </c>
      <c r="P200" s="611">
        <v>0</v>
      </c>
      <c r="Q200" s="611">
        <v>0</v>
      </c>
      <c r="R200" s="611">
        <v>0</v>
      </c>
      <c r="S200" s="611">
        <v>0</v>
      </c>
      <c r="T200" s="611">
        <v>-0.96281875223876434</v>
      </c>
      <c r="U200" s="613">
        <v>-17.847044513161556</v>
      </c>
      <c r="V200" s="51"/>
    </row>
    <row r="201" spans="3:22" x14ac:dyDescent="0.25">
      <c r="C201" s="610" t="s">
        <v>63</v>
      </c>
      <c r="D201" s="611">
        <v>0</v>
      </c>
      <c r="E201" s="611">
        <v>0</v>
      </c>
      <c r="F201" s="611">
        <v>-45.424019815542103</v>
      </c>
      <c r="G201" s="611">
        <v>-6.3379784988277912</v>
      </c>
      <c r="H201" s="611">
        <v>0</v>
      </c>
      <c r="I201" s="611">
        <v>0</v>
      </c>
      <c r="J201" s="611">
        <v>0</v>
      </c>
      <c r="K201" s="611">
        <v>0</v>
      </c>
      <c r="L201" s="611">
        <v>0</v>
      </c>
      <c r="M201" s="611">
        <v>0</v>
      </c>
      <c r="N201" s="611">
        <v>-13.31780034386745</v>
      </c>
      <c r="O201" s="611">
        <v>0</v>
      </c>
      <c r="P201" s="611">
        <v>0</v>
      </c>
      <c r="Q201" s="611">
        <v>0</v>
      </c>
      <c r="R201" s="611">
        <v>0</v>
      </c>
      <c r="S201" s="611">
        <v>0</v>
      </c>
      <c r="T201" s="611">
        <v>-1.794651350884874</v>
      </c>
      <c r="U201" s="613">
        <v>-66.874450009122214</v>
      </c>
      <c r="V201" s="51"/>
    </row>
    <row r="202" spans="3:22" x14ac:dyDescent="0.25">
      <c r="C202" s="610" t="s">
        <v>64</v>
      </c>
      <c r="D202" s="611">
        <v>0</v>
      </c>
      <c r="E202" s="611">
        <v>0</v>
      </c>
      <c r="F202" s="611">
        <v>0</v>
      </c>
      <c r="G202" s="611">
        <v>0</v>
      </c>
      <c r="H202" s="611">
        <v>0</v>
      </c>
      <c r="I202" s="611">
        <v>0</v>
      </c>
      <c r="J202" s="611">
        <v>0</v>
      </c>
      <c r="K202" s="611">
        <v>0</v>
      </c>
      <c r="L202" s="611">
        <v>0</v>
      </c>
      <c r="M202" s="611">
        <v>0</v>
      </c>
      <c r="N202" s="611">
        <v>0</v>
      </c>
      <c r="O202" s="611">
        <v>0</v>
      </c>
      <c r="P202" s="611">
        <v>0</v>
      </c>
      <c r="Q202" s="611">
        <v>0</v>
      </c>
      <c r="R202" s="611">
        <v>0</v>
      </c>
      <c r="S202" s="611">
        <v>0</v>
      </c>
      <c r="T202" s="611">
        <v>0</v>
      </c>
      <c r="U202" s="613">
        <v>0</v>
      </c>
      <c r="V202" s="51"/>
    </row>
    <row r="203" spans="3:22" x14ac:dyDescent="0.25">
      <c r="C203" s="614" t="s">
        <v>65</v>
      </c>
      <c r="D203" s="615">
        <v>14.018688039101649</v>
      </c>
      <c r="E203" s="615">
        <v>273.21397966294842</v>
      </c>
      <c r="F203" s="615">
        <v>-22.674672163972531</v>
      </c>
      <c r="G203" s="615">
        <v>-10.489292488354732</v>
      </c>
      <c r="H203" s="615">
        <v>132.35839094373696</v>
      </c>
      <c r="I203" s="615">
        <v>-2.9890617212740871</v>
      </c>
      <c r="J203" s="615">
        <v>1162.199818181818</v>
      </c>
      <c r="K203" s="615">
        <v>371.91258763455278</v>
      </c>
      <c r="L203" s="615">
        <v>432.13436334912211</v>
      </c>
      <c r="M203" s="615">
        <v>21.832470141682652</v>
      </c>
      <c r="N203" s="615">
        <v>-7.9640438356957048</v>
      </c>
      <c r="O203" s="615">
        <v>-1.9530978870244389</v>
      </c>
      <c r="P203" s="615">
        <v>148.71329626041282</v>
      </c>
      <c r="Q203" s="615">
        <v>22.497992115953615</v>
      </c>
      <c r="R203" s="615">
        <v>-59.544479832357297</v>
      </c>
      <c r="S203" s="615">
        <v>0</v>
      </c>
      <c r="T203" s="615">
        <v>-2.7574701031236382</v>
      </c>
      <c r="U203" s="615">
        <v>2470.5094682975268</v>
      </c>
      <c r="V203" s="51"/>
    </row>
    <row r="204" spans="3:22" x14ac:dyDescent="0.25">
      <c r="C204" s="616"/>
      <c r="D204" s="617"/>
      <c r="E204" s="617"/>
      <c r="F204" s="617"/>
      <c r="G204" s="617"/>
      <c r="H204" s="623"/>
      <c r="I204" s="617"/>
      <c r="J204" s="617"/>
      <c r="K204" s="617"/>
      <c r="L204" s="617"/>
      <c r="M204" s="617"/>
      <c r="N204" s="617"/>
      <c r="O204" s="617"/>
      <c r="P204" s="617"/>
      <c r="Q204" s="617"/>
      <c r="R204" s="617"/>
      <c r="S204" s="617"/>
      <c r="T204" s="617"/>
      <c r="U204" s="617"/>
      <c r="V204" s="51"/>
    </row>
    <row r="205" spans="3:22" x14ac:dyDescent="0.25">
      <c r="C205" s="618" t="s">
        <v>67</v>
      </c>
      <c r="D205" s="611">
        <v>0</v>
      </c>
      <c r="E205" s="611">
        <v>0</v>
      </c>
      <c r="F205" s="611">
        <v>0</v>
      </c>
      <c r="G205" s="611">
        <v>0</v>
      </c>
      <c r="H205" s="611">
        <v>0</v>
      </c>
      <c r="I205" s="611">
        <v>0</v>
      </c>
      <c r="J205" s="611">
        <v>0</v>
      </c>
      <c r="K205" s="611">
        <v>0</v>
      </c>
      <c r="L205" s="611">
        <v>0</v>
      </c>
      <c r="M205" s="611">
        <v>0</v>
      </c>
      <c r="N205" s="611">
        <v>0</v>
      </c>
      <c r="O205" s="611">
        <v>0</v>
      </c>
      <c r="P205" s="611">
        <v>0</v>
      </c>
      <c r="Q205" s="611">
        <v>0</v>
      </c>
      <c r="R205" s="611">
        <v>0</v>
      </c>
      <c r="S205" s="611">
        <v>0</v>
      </c>
      <c r="T205" s="611">
        <v>0</v>
      </c>
      <c r="U205" s="619">
        <v>0</v>
      </c>
      <c r="V205" s="51"/>
    </row>
    <row r="206" spans="3:22" x14ac:dyDescent="0.25">
      <c r="C206" s="618" t="s">
        <v>347</v>
      </c>
      <c r="D206" s="611">
        <v>0</v>
      </c>
      <c r="E206" s="611">
        <v>0</v>
      </c>
      <c r="F206" s="611">
        <v>0.36057808628354604</v>
      </c>
      <c r="G206" s="611">
        <v>0</v>
      </c>
      <c r="H206" s="611">
        <v>11.85720957473684</v>
      </c>
      <c r="I206" s="611">
        <v>0</v>
      </c>
      <c r="J206" s="611">
        <v>1162.199818181818</v>
      </c>
      <c r="K206" s="611">
        <v>371.91258763455278</v>
      </c>
      <c r="L206" s="611">
        <v>23.35467673808137</v>
      </c>
      <c r="M206" s="611">
        <v>0.6051195632921027</v>
      </c>
      <c r="N206" s="611">
        <v>5.3878161949008447</v>
      </c>
      <c r="O206" s="611">
        <v>7.0773268475558293</v>
      </c>
      <c r="P206" s="611">
        <v>0</v>
      </c>
      <c r="Q206" s="611">
        <v>4.9774137725284184</v>
      </c>
      <c r="R206" s="611">
        <v>-809.82615158881902</v>
      </c>
      <c r="S206" s="611">
        <v>0</v>
      </c>
      <c r="T206" s="611">
        <v>2.2153139999999998</v>
      </c>
      <c r="U206" s="619">
        <v>780.12170900493118</v>
      </c>
      <c r="V206" s="51"/>
    </row>
    <row r="207" spans="3:22" x14ac:dyDescent="0.25">
      <c r="C207" s="618" t="s">
        <v>348</v>
      </c>
      <c r="D207" s="611">
        <v>0</v>
      </c>
      <c r="E207" s="611">
        <v>0</v>
      </c>
      <c r="F207" s="611">
        <v>0</v>
      </c>
      <c r="G207" s="611">
        <v>0</v>
      </c>
      <c r="H207" s="611">
        <v>9.1306644834570143</v>
      </c>
      <c r="I207" s="611">
        <v>0</v>
      </c>
      <c r="J207" s="611">
        <v>0</v>
      </c>
      <c r="K207" s="611">
        <v>0</v>
      </c>
      <c r="L207" s="611">
        <v>35.120993050701685</v>
      </c>
      <c r="M207" s="611">
        <v>14.187122516158354</v>
      </c>
      <c r="N207" s="611">
        <v>0</v>
      </c>
      <c r="O207" s="611">
        <v>5.376679884494675</v>
      </c>
      <c r="P207" s="611">
        <v>0</v>
      </c>
      <c r="Q207" s="611">
        <v>10.750796331510863</v>
      </c>
      <c r="R207" s="611">
        <v>0</v>
      </c>
      <c r="S207" s="611">
        <v>-68.975341890525812</v>
      </c>
      <c r="T207" s="611">
        <v>0</v>
      </c>
      <c r="U207" s="619">
        <v>5.5909143757967854</v>
      </c>
      <c r="V207" s="51"/>
    </row>
    <row r="208" spans="3:22" x14ac:dyDescent="0.25">
      <c r="C208" s="618" t="s">
        <v>349</v>
      </c>
      <c r="D208" s="611">
        <v>0</v>
      </c>
      <c r="E208" s="611">
        <v>0</v>
      </c>
      <c r="F208" s="611">
        <v>0</v>
      </c>
      <c r="G208" s="611">
        <v>0</v>
      </c>
      <c r="H208" s="611">
        <v>0</v>
      </c>
      <c r="I208" s="611">
        <v>0</v>
      </c>
      <c r="J208" s="611">
        <v>0</v>
      </c>
      <c r="K208" s="611">
        <v>0</v>
      </c>
      <c r="L208" s="611">
        <v>90.922618226552515</v>
      </c>
      <c r="M208" s="611">
        <v>0</v>
      </c>
      <c r="N208" s="611">
        <v>0</v>
      </c>
      <c r="O208" s="611">
        <v>-82.66993696120025</v>
      </c>
      <c r="P208" s="611">
        <v>0</v>
      </c>
      <c r="Q208" s="611">
        <v>0</v>
      </c>
      <c r="R208" s="611">
        <v>0</v>
      </c>
      <c r="S208" s="611">
        <v>0</v>
      </c>
      <c r="T208" s="611">
        <v>0</v>
      </c>
      <c r="U208" s="619">
        <v>8.2526812653522654</v>
      </c>
      <c r="V208" s="51"/>
    </row>
    <row r="209" spans="3:22" x14ac:dyDescent="0.25">
      <c r="C209" s="618" t="s">
        <v>350</v>
      </c>
      <c r="D209" s="611">
        <v>0</v>
      </c>
      <c r="E209" s="611">
        <v>0</v>
      </c>
      <c r="F209" s="611">
        <v>0</v>
      </c>
      <c r="G209" s="611">
        <v>0</v>
      </c>
      <c r="H209" s="611">
        <v>0</v>
      </c>
      <c r="I209" s="611">
        <v>-2.9890617212740871</v>
      </c>
      <c r="J209" s="611">
        <v>0</v>
      </c>
      <c r="K209" s="611">
        <v>0</v>
      </c>
      <c r="L209" s="611">
        <v>0</v>
      </c>
      <c r="M209" s="611">
        <v>0</v>
      </c>
      <c r="N209" s="611">
        <v>0</v>
      </c>
      <c r="O209" s="611">
        <v>0</v>
      </c>
      <c r="P209" s="611">
        <v>0</v>
      </c>
      <c r="Q209" s="611">
        <v>0</v>
      </c>
      <c r="R209" s="611">
        <v>0</v>
      </c>
      <c r="S209" s="611">
        <v>0</v>
      </c>
      <c r="T209" s="611">
        <v>4.1514746128806763</v>
      </c>
      <c r="U209" s="619">
        <v>1.1624128916065892</v>
      </c>
      <c r="V209" s="51"/>
    </row>
    <row r="210" spans="3:22" x14ac:dyDescent="0.25">
      <c r="C210" s="618" t="s">
        <v>72</v>
      </c>
      <c r="D210" s="611">
        <v>0</v>
      </c>
      <c r="E210" s="611">
        <v>283.1271683530257</v>
      </c>
      <c r="F210" s="611">
        <v>-280.30617492402195</v>
      </c>
      <c r="G210" s="611">
        <v>0</v>
      </c>
      <c r="H210" s="611">
        <v>0</v>
      </c>
      <c r="I210" s="611">
        <v>0</v>
      </c>
      <c r="J210" s="611">
        <v>0</v>
      </c>
      <c r="K210" s="611">
        <v>0</v>
      </c>
      <c r="L210" s="611">
        <v>0</v>
      </c>
      <c r="M210" s="611">
        <v>0</v>
      </c>
      <c r="N210" s="611">
        <v>0</v>
      </c>
      <c r="O210" s="611">
        <v>0</v>
      </c>
      <c r="P210" s="611">
        <v>0</v>
      </c>
      <c r="Q210" s="611">
        <v>0</v>
      </c>
      <c r="R210" s="611">
        <v>0</v>
      </c>
      <c r="S210" s="611">
        <v>0</v>
      </c>
      <c r="T210" s="611">
        <v>0</v>
      </c>
      <c r="U210" s="619">
        <v>2.8209934290037495</v>
      </c>
      <c r="V210" s="51"/>
    </row>
    <row r="211" spans="3:22" x14ac:dyDescent="0.25">
      <c r="C211" s="618" t="s">
        <v>351</v>
      </c>
      <c r="D211" s="611">
        <v>0</v>
      </c>
      <c r="E211" s="611">
        <v>0</v>
      </c>
      <c r="F211" s="611">
        <v>0</v>
      </c>
      <c r="G211" s="611">
        <v>0</v>
      </c>
      <c r="H211" s="611">
        <v>0</v>
      </c>
      <c r="I211" s="611">
        <v>0</v>
      </c>
      <c r="J211" s="611">
        <v>0</v>
      </c>
      <c r="K211" s="611">
        <v>0</v>
      </c>
      <c r="L211" s="611">
        <v>211.26822673401878</v>
      </c>
      <c r="M211" s="611">
        <v>0</v>
      </c>
      <c r="N211" s="611">
        <v>-116.19752470371033</v>
      </c>
      <c r="O211" s="611">
        <v>0</v>
      </c>
      <c r="P211" s="611">
        <v>0</v>
      </c>
      <c r="Q211" s="611">
        <v>0</v>
      </c>
      <c r="R211" s="611">
        <v>0</v>
      </c>
      <c r="S211" s="611">
        <v>0</v>
      </c>
      <c r="T211" s="611">
        <v>0</v>
      </c>
      <c r="U211" s="619">
        <v>95.070702030308453</v>
      </c>
      <c r="V211" s="51"/>
    </row>
    <row r="212" spans="3:22" x14ac:dyDescent="0.25">
      <c r="C212" s="618" t="s">
        <v>352</v>
      </c>
      <c r="D212" s="611">
        <v>0</v>
      </c>
      <c r="E212" s="611">
        <v>0</v>
      </c>
      <c r="F212" s="611">
        <v>0</v>
      </c>
      <c r="G212" s="611">
        <v>-13.61496514917124</v>
      </c>
      <c r="H212" s="611">
        <v>0</v>
      </c>
      <c r="I212" s="611">
        <v>0</v>
      </c>
      <c r="J212" s="611">
        <v>0</v>
      </c>
      <c r="K212" s="611">
        <v>0</v>
      </c>
      <c r="L212" s="611">
        <v>0</v>
      </c>
      <c r="M212" s="611">
        <v>0</v>
      </c>
      <c r="N212" s="611">
        <v>0</v>
      </c>
      <c r="O212" s="611">
        <v>0</v>
      </c>
      <c r="P212" s="611">
        <v>0</v>
      </c>
      <c r="Q212" s="611">
        <v>0</v>
      </c>
      <c r="R212" s="611">
        <v>0</v>
      </c>
      <c r="S212" s="611">
        <v>0</v>
      </c>
      <c r="T212" s="611">
        <v>17.7682733969807</v>
      </c>
      <c r="U212" s="619">
        <v>4.1533082478094592</v>
      </c>
      <c r="V212" s="51"/>
    </row>
    <row r="213" spans="3:22" x14ac:dyDescent="0.25">
      <c r="C213" s="618" t="s">
        <v>73</v>
      </c>
      <c r="D213" s="611">
        <v>0</v>
      </c>
      <c r="E213" s="611">
        <v>0</v>
      </c>
      <c r="F213" s="611">
        <v>0</v>
      </c>
      <c r="G213" s="611">
        <v>0</v>
      </c>
      <c r="H213" s="611">
        <v>0</v>
      </c>
      <c r="I213" s="611">
        <v>0</v>
      </c>
      <c r="J213" s="611">
        <v>0</v>
      </c>
      <c r="K213" s="611">
        <v>0</v>
      </c>
      <c r="L213" s="611">
        <v>0</v>
      </c>
      <c r="M213" s="611">
        <v>0</v>
      </c>
      <c r="N213" s="611">
        <v>0</v>
      </c>
      <c r="O213" s="611">
        <v>0</v>
      </c>
      <c r="P213" s="611">
        <v>0</v>
      </c>
      <c r="Q213" s="611">
        <v>0</v>
      </c>
      <c r="R213" s="611">
        <v>95.094141088203713</v>
      </c>
      <c r="S213" s="611">
        <v>0</v>
      </c>
      <c r="T213" s="611">
        <v>-64.473827657802119</v>
      </c>
      <c r="U213" s="619">
        <v>30.620313430401595</v>
      </c>
      <c r="V213" s="51"/>
    </row>
    <row r="214" spans="3:22" x14ac:dyDescent="0.25">
      <c r="C214" s="618" t="s">
        <v>353</v>
      </c>
      <c r="D214" s="611">
        <v>7.8269305078124995</v>
      </c>
      <c r="E214" s="611">
        <v>-9.913188690077277</v>
      </c>
      <c r="F214" s="611">
        <v>12.914884415071832</v>
      </c>
      <c r="G214" s="611">
        <v>0</v>
      </c>
      <c r="H214" s="611">
        <v>0</v>
      </c>
      <c r="I214" s="611">
        <v>0</v>
      </c>
      <c r="J214" s="611">
        <v>0</v>
      </c>
      <c r="K214" s="611">
        <v>0</v>
      </c>
      <c r="L214" s="611">
        <v>0</v>
      </c>
      <c r="M214" s="611">
        <v>0</v>
      </c>
      <c r="N214" s="611">
        <v>0</v>
      </c>
      <c r="O214" s="611">
        <v>0</v>
      </c>
      <c r="P214" s="611">
        <v>0</v>
      </c>
      <c r="Q214" s="611">
        <v>0</v>
      </c>
      <c r="R214" s="611">
        <v>0</v>
      </c>
      <c r="S214" s="611">
        <v>0</v>
      </c>
      <c r="T214" s="611">
        <v>0</v>
      </c>
      <c r="U214" s="619">
        <v>10.828626232807053</v>
      </c>
      <c r="V214" s="51"/>
    </row>
    <row r="215" spans="3:22" x14ac:dyDescent="0.25">
      <c r="C215" s="618" t="s">
        <v>75</v>
      </c>
      <c r="D215" s="611">
        <v>3.0438063085937501</v>
      </c>
      <c r="E215" s="611">
        <v>0</v>
      </c>
      <c r="F215" s="611">
        <v>9.7210991282801391</v>
      </c>
      <c r="G215" s="611">
        <v>0</v>
      </c>
      <c r="H215" s="611">
        <v>3.2664120682994437</v>
      </c>
      <c r="I215" s="611">
        <v>0</v>
      </c>
      <c r="J215" s="611">
        <v>0</v>
      </c>
      <c r="K215" s="611">
        <v>0</v>
      </c>
      <c r="L215" s="611">
        <v>0</v>
      </c>
      <c r="M215" s="611">
        <v>0</v>
      </c>
      <c r="N215" s="611">
        <v>0</v>
      </c>
      <c r="O215" s="611">
        <v>1.9850542794488581</v>
      </c>
      <c r="P215" s="611">
        <v>0</v>
      </c>
      <c r="Q215" s="611">
        <v>0</v>
      </c>
      <c r="R215" s="611">
        <v>63.494449496220589</v>
      </c>
      <c r="S215" s="611">
        <v>0</v>
      </c>
      <c r="T215" s="611">
        <v>0</v>
      </c>
      <c r="U215" s="619">
        <v>81.510821280842777</v>
      </c>
      <c r="V215" s="51"/>
    </row>
    <row r="216" spans="3:22" x14ac:dyDescent="0.25">
      <c r="C216" s="618" t="s">
        <v>76</v>
      </c>
      <c r="D216" s="611">
        <v>0</v>
      </c>
      <c r="E216" s="611">
        <v>0</v>
      </c>
      <c r="F216" s="611">
        <v>0</v>
      </c>
      <c r="G216" s="611">
        <v>0</v>
      </c>
      <c r="H216" s="611">
        <v>1.449304487001404</v>
      </c>
      <c r="I216" s="611">
        <v>0</v>
      </c>
      <c r="J216" s="611">
        <v>0</v>
      </c>
      <c r="K216" s="611">
        <v>0</v>
      </c>
      <c r="L216" s="611">
        <v>0</v>
      </c>
      <c r="M216" s="611">
        <v>0</v>
      </c>
      <c r="N216" s="611">
        <v>0</v>
      </c>
      <c r="O216" s="611">
        <v>0.88076703550889179</v>
      </c>
      <c r="P216" s="611">
        <v>0</v>
      </c>
      <c r="Q216" s="611">
        <v>0</v>
      </c>
      <c r="R216" s="611">
        <v>57.445441282352888</v>
      </c>
      <c r="S216" s="611">
        <v>5.3495376277801165</v>
      </c>
      <c r="T216" s="611">
        <v>0</v>
      </c>
      <c r="U216" s="619">
        <v>65.125050432643306</v>
      </c>
      <c r="V216" s="51"/>
    </row>
    <row r="217" spans="3:22" x14ac:dyDescent="0.25">
      <c r="C217" s="614" t="s">
        <v>77</v>
      </c>
      <c r="D217" s="615">
        <v>10.87073681640625</v>
      </c>
      <c r="E217" s="615">
        <v>273.21397966294842</v>
      </c>
      <c r="F217" s="615">
        <v>-257.30961329438645</v>
      </c>
      <c r="G217" s="615">
        <v>-13.61496514917124</v>
      </c>
      <c r="H217" s="615">
        <v>25.703590613494701</v>
      </c>
      <c r="I217" s="615">
        <v>-2.9890617212740871</v>
      </c>
      <c r="J217" s="615">
        <v>1162.199818181818</v>
      </c>
      <c r="K217" s="615">
        <v>371.91258763455278</v>
      </c>
      <c r="L217" s="615">
        <v>360.66651474935435</v>
      </c>
      <c r="M217" s="615">
        <v>14.792242079450457</v>
      </c>
      <c r="N217" s="615">
        <v>-110.80970850880948</v>
      </c>
      <c r="O217" s="615">
        <v>-67.350108914191992</v>
      </c>
      <c r="P217" s="615">
        <v>0</v>
      </c>
      <c r="Q217" s="615">
        <v>15.728210104039281</v>
      </c>
      <c r="R217" s="615">
        <v>-593.79211972204178</v>
      </c>
      <c r="S217" s="615">
        <v>-63.625804262745696</v>
      </c>
      <c r="T217" s="615">
        <v>-40.338765647940747</v>
      </c>
      <c r="U217" s="615">
        <v>1085.2575326215033</v>
      </c>
      <c r="V217" s="51"/>
    </row>
    <row r="218" spans="3:22" x14ac:dyDescent="0.25">
      <c r="C218" s="616"/>
      <c r="D218" s="617"/>
      <c r="E218" s="617"/>
      <c r="F218" s="617"/>
      <c r="G218" s="617"/>
      <c r="H218" s="623"/>
      <c r="I218" s="617"/>
      <c r="J218" s="617"/>
      <c r="K218" s="617"/>
      <c r="L218" s="617"/>
      <c r="M218" s="617"/>
      <c r="N218" s="617"/>
      <c r="O218" s="617"/>
      <c r="P218" s="617"/>
      <c r="Q218" s="617"/>
      <c r="R218" s="617"/>
      <c r="S218" s="617"/>
      <c r="T218" s="617"/>
      <c r="U218" s="617"/>
      <c r="V218" s="51"/>
    </row>
    <row r="219" spans="3:22" x14ac:dyDescent="0.25">
      <c r="C219" s="618" t="s">
        <v>78</v>
      </c>
      <c r="D219" s="611">
        <v>3.1479512226953994</v>
      </c>
      <c r="E219" s="611">
        <v>0</v>
      </c>
      <c r="F219" s="611">
        <v>7.3437351704458669</v>
      </c>
      <c r="G219" s="611">
        <v>0</v>
      </c>
      <c r="H219" s="611">
        <v>47.748408510748327</v>
      </c>
      <c r="I219" s="611">
        <v>0</v>
      </c>
      <c r="J219" s="611">
        <v>0</v>
      </c>
      <c r="K219" s="611">
        <v>0</v>
      </c>
      <c r="L219" s="611">
        <v>22.07297303718682</v>
      </c>
      <c r="M219" s="611">
        <v>7.0398001823904393</v>
      </c>
      <c r="N219" s="611">
        <v>1.8141076681280928</v>
      </c>
      <c r="O219" s="611">
        <v>29.054305571352941</v>
      </c>
      <c r="P219" s="611">
        <v>11.680015624999999</v>
      </c>
      <c r="Q219" s="611">
        <v>7.4990210834655101E-4</v>
      </c>
      <c r="R219" s="611">
        <v>169.36564151206954</v>
      </c>
      <c r="S219" s="611">
        <v>20.361092617344379</v>
      </c>
      <c r="T219" s="611">
        <v>8.2949111328124996</v>
      </c>
      <c r="U219" s="619">
        <v>327.92369215228263</v>
      </c>
      <c r="V219" s="51"/>
    </row>
    <row r="220" spans="3:22" x14ac:dyDescent="0.25">
      <c r="C220" s="618" t="s">
        <v>79</v>
      </c>
      <c r="D220" s="611">
        <v>0</v>
      </c>
      <c r="E220" s="611">
        <v>0</v>
      </c>
      <c r="F220" s="611">
        <v>117.18993365145114</v>
      </c>
      <c r="G220" s="611">
        <v>1.1502523332163914</v>
      </c>
      <c r="H220" s="611">
        <v>4.819889599277416</v>
      </c>
      <c r="I220" s="611">
        <v>0</v>
      </c>
      <c r="J220" s="611">
        <v>0</v>
      </c>
      <c r="K220" s="611">
        <v>0</v>
      </c>
      <c r="L220" s="611">
        <v>0</v>
      </c>
      <c r="M220" s="611">
        <v>0</v>
      </c>
      <c r="N220" s="611">
        <v>66.206077394178237</v>
      </c>
      <c r="O220" s="611">
        <v>2.9291290490785586</v>
      </c>
      <c r="P220" s="611">
        <v>0</v>
      </c>
      <c r="Q220" s="611">
        <v>0</v>
      </c>
      <c r="R220" s="611">
        <v>81.27523543109001</v>
      </c>
      <c r="S220" s="611">
        <v>0</v>
      </c>
      <c r="T220" s="611">
        <v>3.9485258535759078</v>
      </c>
      <c r="U220" s="619">
        <v>277.51904331186768</v>
      </c>
      <c r="V220" s="51"/>
    </row>
    <row r="221" spans="3:22" x14ac:dyDescent="0.25">
      <c r="C221" s="618" t="s">
        <v>80</v>
      </c>
      <c r="D221" s="611">
        <v>0</v>
      </c>
      <c r="E221" s="611">
        <v>0</v>
      </c>
      <c r="F221" s="611">
        <v>1.6468320076287117</v>
      </c>
      <c r="G221" s="611">
        <v>0</v>
      </c>
      <c r="H221" s="611">
        <v>25.682284030722609</v>
      </c>
      <c r="I221" s="611">
        <v>0</v>
      </c>
      <c r="J221" s="611">
        <v>0</v>
      </c>
      <c r="K221" s="611">
        <v>0</v>
      </c>
      <c r="L221" s="611">
        <v>45.576984042024812</v>
      </c>
      <c r="M221" s="611">
        <v>0</v>
      </c>
      <c r="N221" s="611">
        <v>0</v>
      </c>
      <c r="O221" s="611">
        <v>15.60756167783464</v>
      </c>
      <c r="P221" s="611">
        <v>92.9157768842542</v>
      </c>
      <c r="Q221" s="611">
        <v>2.574236293616976</v>
      </c>
      <c r="R221" s="611">
        <v>156.93618693881999</v>
      </c>
      <c r="S221" s="611">
        <v>24.427235185684346</v>
      </c>
      <c r="T221" s="611">
        <v>0</v>
      </c>
      <c r="U221" s="619">
        <v>365.36709706058627</v>
      </c>
      <c r="V221" s="51"/>
    </row>
    <row r="222" spans="3:22" x14ac:dyDescent="0.25">
      <c r="C222" s="618" t="s">
        <v>81</v>
      </c>
      <c r="D222" s="611">
        <v>0</v>
      </c>
      <c r="E222" s="611">
        <v>0</v>
      </c>
      <c r="F222" s="611">
        <v>1.271612584053831</v>
      </c>
      <c r="G222" s="611">
        <v>0</v>
      </c>
      <c r="H222" s="611">
        <v>17.420753976777231</v>
      </c>
      <c r="I222" s="611">
        <v>0</v>
      </c>
      <c r="J222" s="611">
        <v>0</v>
      </c>
      <c r="K222" s="611">
        <v>0</v>
      </c>
      <c r="L222" s="611">
        <v>0.56354292606487522</v>
      </c>
      <c r="M222" s="611">
        <v>0</v>
      </c>
      <c r="N222" s="611">
        <v>0</v>
      </c>
      <c r="O222" s="611">
        <v>10.586889072703848</v>
      </c>
      <c r="P222" s="611">
        <v>43.217503751158631</v>
      </c>
      <c r="Q222" s="611">
        <v>3.0292625971252525</v>
      </c>
      <c r="R222" s="611">
        <v>117.52524441411241</v>
      </c>
      <c r="S222" s="611">
        <v>18.837476459716978</v>
      </c>
      <c r="T222" s="611">
        <v>0</v>
      </c>
      <c r="U222" s="619">
        <v>212.45228578171304</v>
      </c>
      <c r="V222" s="51"/>
    </row>
    <row r="223" spans="3:22" x14ac:dyDescent="0.25">
      <c r="C223" s="618" t="s">
        <v>82</v>
      </c>
      <c r="D223" s="611">
        <v>0</v>
      </c>
      <c r="E223" s="611">
        <v>0</v>
      </c>
      <c r="F223" s="611">
        <v>15.53708337722879</v>
      </c>
      <c r="G223" s="611">
        <v>0</v>
      </c>
      <c r="H223" s="611">
        <v>1.1162643592180237</v>
      </c>
      <c r="I223" s="611">
        <v>0</v>
      </c>
      <c r="J223" s="611">
        <v>0</v>
      </c>
      <c r="K223" s="611">
        <v>0</v>
      </c>
      <c r="L223" s="611">
        <v>2.9587607663349296</v>
      </c>
      <c r="M223" s="611">
        <v>0</v>
      </c>
      <c r="N223" s="611">
        <v>12.733577925179564</v>
      </c>
      <c r="O223" s="611">
        <v>0.67837287425146786</v>
      </c>
      <c r="P223" s="611">
        <v>0.9</v>
      </c>
      <c r="Q223" s="611">
        <v>1.1655332190637568</v>
      </c>
      <c r="R223" s="611">
        <v>6.8855315935924812</v>
      </c>
      <c r="S223" s="611">
        <v>0</v>
      </c>
      <c r="T223" s="611">
        <v>0.44791890791865185</v>
      </c>
      <c r="U223" s="619">
        <v>42.423043022787667</v>
      </c>
      <c r="V223" s="51"/>
    </row>
    <row r="224" spans="3:22" x14ac:dyDescent="0.25">
      <c r="C224" s="618" t="s">
        <v>354</v>
      </c>
      <c r="D224" s="611">
        <v>0</v>
      </c>
      <c r="E224" s="611">
        <v>0</v>
      </c>
      <c r="F224" s="611">
        <v>0</v>
      </c>
      <c r="G224" s="611">
        <v>0</v>
      </c>
      <c r="H224" s="611">
        <v>0</v>
      </c>
      <c r="I224" s="611">
        <v>0</v>
      </c>
      <c r="J224" s="611">
        <v>0</v>
      </c>
      <c r="K224" s="611">
        <v>0</v>
      </c>
      <c r="L224" s="611">
        <v>0</v>
      </c>
      <c r="M224" s="611">
        <v>0</v>
      </c>
      <c r="N224" s="611">
        <v>0</v>
      </c>
      <c r="O224" s="611">
        <v>0</v>
      </c>
      <c r="P224" s="611">
        <v>0</v>
      </c>
      <c r="Q224" s="611">
        <v>0</v>
      </c>
      <c r="R224" s="611">
        <v>2.2597999999999998</v>
      </c>
      <c r="S224" s="611">
        <v>0</v>
      </c>
      <c r="T224" s="611">
        <v>0</v>
      </c>
      <c r="U224" s="619">
        <v>2.2597999999999998</v>
      </c>
      <c r="V224" s="51"/>
    </row>
    <row r="225" spans="3:22" x14ac:dyDescent="0.25">
      <c r="C225" s="614" t="s">
        <v>83</v>
      </c>
      <c r="D225" s="615">
        <v>3.1479512226953994</v>
      </c>
      <c r="E225" s="615">
        <v>0</v>
      </c>
      <c r="F225" s="615">
        <v>142.98919679080834</v>
      </c>
      <c r="G225" s="615">
        <v>1.1502523332163914</v>
      </c>
      <c r="H225" s="615">
        <v>96.787600476743606</v>
      </c>
      <c r="I225" s="615">
        <v>0</v>
      </c>
      <c r="J225" s="615">
        <v>0</v>
      </c>
      <c r="K225" s="615">
        <v>0</v>
      </c>
      <c r="L225" s="615">
        <v>71.172260771611434</v>
      </c>
      <c r="M225" s="615">
        <v>7.0398001823904393</v>
      </c>
      <c r="N225" s="615">
        <v>80.753762987485885</v>
      </c>
      <c r="O225" s="615">
        <v>58.856258245221454</v>
      </c>
      <c r="P225" s="615">
        <v>148.71329626041282</v>
      </c>
      <c r="Q225" s="615">
        <v>6.7697820119143319</v>
      </c>
      <c r="R225" s="615">
        <v>534.24763988968448</v>
      </c>
      <c r="S225" s="615">
        <v>63.625804262745703</v>
      </c>
      <c r="T225" s="615">
        <v>12.691355894307058</v>
      </c>
      <c r="U225" s="615">
        <v>1227.9449613292372</v>
      </c>
      <c r="V225" s="51"/>
    </row>
    <row r="226" spans="3:22" x14ac:dyDescent="0.25">
      <c r="C226" s="610" t="s">
        <v>84</v>
      </c>
      <c r="D226" s="611">
        <v>0</v>
      </c>
      <c r="E226" s="611">
        <v>0</v>
      </c>
      <c r="F226" s="611">
        <v>91.645744339605585</v>
      </c>
      <c r="G226" s="611">
        <v>1.9754203276001159</v>
      </c>
      <c r="H226" s="611">
        <v>9.8671998534986294</v>
      </c>
      <c r="I226" s="611">
        <v>0</v>
      </c>
      <c r="J226" s="611">
        <v>0</v>
      </c>
      <c r="K226" s="611">
        <v>0</v>
      </c>
      <c r="L226" s="611">
        <v>0.29558782815630974</v>
      </c>
      <c r="M226" s="611">
        <v>0</v>
      </c>
      <c r="N226" s="611">
        <v>22.091901685627885</v>
      </c>
      <c r="O226" s="611">
        <v>6.5407527819460896</v>
      </c>
      <c r="P226" s="611">
        <v>0</v>
      </c>
      <c r="Q226" s="611">
        <v>0</v>
      </c>
      <c r="R226" s="611">
        <v>0</v>
      </c>
      <c r="S226" s="611">
        <v>0</v>
      </c>
      <c r="T226" s="611">
        <v>24.889939650510044</v>
      </c>
      <c r="U226" s="619">
        <v>157.30654646694467</v>
      </c>
      <c r="V226" s="51"/>
    </row>
    <row r="227" spans="3:22" x14ac:dyDescent="0.25">
      <c r="C227" s="614" t="s">
        <v>85</v>
      </c>
      <c r="D227" s="615">
        <v>3.1479512226953994</v>
      </c>
      <c r="E227" s="615">
        <v>0</v>
      </c>
      <c r="F227" s="615">
        <v>234.63494113041392</v>
      </c>
      <c r="G227" s="615">
        <v>3.1256726608165071</v>
      </c>
      <c r="H227" s="615">
        <v>106.65480033024224</v>
      </c>
      <c r="I227" s="615">
        <v>0</v>
      </c>
      <c r="J227" s="615">
        <v>0</v>
      </c>
      <c r="K227" s="615">
        <v>0</v>
      </c>
      <c r="L227" s="615">
        <v>71.467848599767748</v>
      </c>
      <c r="M227" s="615">
        <v>7.0398001823904393</v>
      </c>
      <c r="N227" s="615">
        <v>102.84566467311377</v>
      </c>
      <c r="O227" s="615">
        <v>65.397011027167537</v>
      </c>
      <c r="P227" s="615">
        <v>148.71329626041282</v>
      </c>
      <c r="Q227" s="615">
        <v>6.7697820119143319</v>
      </c>
      <c r="R227" s="615">
        <v>534.24763988968448</v>
      </c>
      <c r="S227" s="615">
        <v>63.625804262745703</v>
      </c>
      <c r="T227" s="615">
        <v>37.581295544817102</v>
      </c>
      <c r="U227" s="615">
        <v>1385.2515077961818</v>
      </c>
      <c r="V227" s="51"/>
    </row>
    <row r="228" spans="3:22" x14ac:dyDescent="0.25">
      <c r="C228" s="51"/>
      <c r="D228" s="67">
        <v>0</v>
      </c>
      <c r="E228" s="67">
        <v>0</v>
      </c>
      <c r="F228" s="67">
        <v>0</v>
      </c>
      <c r="G228" s="67">
        <v>0</v>
      </c>
      <c r="H228" s="67">
        <v>0</v>
      </c>
      <c r="I228" s="67">
        <v>0</v>
      </c>
      <c r="J228" s="67">
        <v>0</v>
      </c>
      <c r="K228" s="67">
        <v>0</v>
      </c>
      <c r="L228" s="67">
        <v>0</v>
      </c>
      <c r="M228" s="67">
        <v>-4.2787984175518545E-4</v>
      </c>
      <c r="N228" s="67">
        <v>0</v>
      </c>
      <c r="O228" s="67">
        <v>-1.6431300764452317E-14</v>
      </c>
      <c r="P228" s="67">
        <v>0</v>
      </c>
      <c r="Q228" s="67">
        <v>0</v>
      </c>
      <c r="R228" s="67">
        <v>0</v>
      </c>
      <c r="S228" s="67">
        <v>7.1054273576010019E-15</v>
      </c>
      <c r="T228" s="67">
        <v>-6.2172489379008766E-15</v>
      </c>
      <c r="U228" s="67">
        <v>-4.278798414816265E-4</v>
      </c>
      <c r="V228" s="51"/>
    </row>
    <row r="229" spans="3:22" x14ac:dyDescent="0.25">
      <c r="C229" s="51"/>
      <c r="D229" s="51"/>
      <c r="E229" s="51"/>
      <c r="F229" s="51"/>
      <c r="G229" s="67"/>
      <c r="H229" s="51"/>
      <c r="I229" s="51"/>
      <c r="J229" s="51"/>
      <c r="K229" s="51"/>
      <c r="L229" s="51"/>
      <c r="M229" s="51"/>
      <c r="N229" s="51"/>
      <c r="O229" s="51"/>
      <c r="P229" s="51"/>
      <c r="Q229" s="51"/>
      <c r="R229" s="51"/>
      <c r="S229" s="51"/>
      <c r="T229" s="51"/>
      <c r="U229" s="51"/>
      <c r="V229" s="51"/>
    </row>
    <row r="230" spans="3:22" x14ac:dyDescent="0.25">
      <c r="C230" s="607" t="s">
        <v>360</v>
      </c>
      <c r="D230" s="606"/>
      <c r="E230" s="606"/>
      <c r="F230" s="606"/>
      <c r="G230" s="682"/>
      <c r="H230" s="606"/>
      <c r="I230" s="606"/>
      <c r="J230" s="606"/>
      <c r="K230" s="606"/>
      <c r="L230" s="606"/>
      <c r="M230" s="606"/>
      <c r="N230" s="606"/>
      <c r="O230" s="606"/>
      <c r="P230" s="606"/>
      <c r="Q230" s="606"/>
      <c r="R230" s="606"/>
      <c r="S230" s="606"/>
      <c r="T230" s="606"/>
      <c r="U230" s="606"/>
      <c r="V230" s="606"/>
    </row>
    <row r="231" spans="3:22" x14ac:dyDescent="0.25">
      <c r="C231" s="51"/>
      <c r="D231" s="51"/>
      <c r="E231" s="51"/>
      <c r="F231" s="51"/>
      <c r="G231" s="67"/>
      <c r="H231" s="51"/>
      <c r="I231" s="51"/>
      <c r="J231" s="51"/>
      <c r="K231" s="51"/>
      <c r="L231" s="51"/>
      <c r="M231" s="51"/>
      <c r="N231" s="51"/>
      <c r="O231" s="51"/>
      <c r="P231" s="51"/>
      <c r="Q231" s="51"/>
      <c r="R231" s="51"/>
      <c r="S231" s="51"/>
      <c r="T231" s="51"/>
      <c r="U231" s="51"/>
      <c r="V231" s="51"/>
    </row>
    <row r="232" spans="3:22" x14ac:dyDescent="0.25">
      <c r="C232" s="764" t="s">
        <v>128</v>
      </c>
      <c r="D232" s="753" t="s">
        <v>42</v>
      </c>
      <c r="E232" s="753" t="s">
        <v>52</v>
      </c>
      <c r="F232" s="753" t="s">
        <v>53</v>
      </c>
      <c r="G232" s="766" t="s">
        <v>482</v>
      </c>
      <c r="H232" s="753" t="s">
        <v>32</v>
      </c>
      <c r="I232" s="753" t="s">
        <v>483</v>
      </c>
      <c r="J232" s="753" t="s">
        <v>20</v>
      </c>
      <c r="K232" s="753" t="s">
        <v>55</v>
      </c>
      <c r="L232" s="761" t="s">
        <v>56</v>
      </c>
      <c r="M232" s="762"/>
      <c r="N232" s="762"/>
      <c r="O232" s="762"/>
      <c r="P232" s="762"/>
      <c r="Q232" s="763"/>
      <c r="R232" s="753" t="s">
        <v>57</v>
      </c>
      <c r="S232" s="753" t="s">
        <v>58</v>
      </c>
      <c r="T232" s="753" t="s">
        <v>31</v>
      </c>
      <c r="U232" s="753" t="s">
        <v>10</v>
      </c>
      <c r="V232" s="51"/>
    </row>
    <row r="233" spans="3:22" ht="36" x14ac:dyDescent="0.25">
      <c r="C233" s="765"/>
      <c r="D233" s="754"/>
      <c r="E233" s="754"/>
      <c r="F233" s="754"/>
      <c r="G233" s="767"/>
      <c r="H233" s="754"/>
      <c r="I233" s="754"/>
      <c r="J233" s="754"/>
      <c r="K233" s="754"/>
      <c r="L233" s="608" t="s">
        <v>335</v>
      </c>
      <c r="M233" s="608" t="s">
        <v>40</v>
      </c>
      <c r="N233" s="608" t="s">
        <v>343</v>
      </c>
      <c r="O233" s="608" t="s">
        <v>344</v>
      </c>
      <c r="P233" s="609" t="s">
        <v>345</v>
      </c>
      <c r="Q233" s="608" t="s">
        <v>346</v>
      </c>
      <c r="R233" s="754"/>
      <c r="S233" s="754"/>
      <c r="T233" s="754"/>
      <c r="U233" s="754"/>
      <c r="V233" s="51"/>
    </row>
    <row r="234" spans="3:22" x14ac:dyDescent="0.25">
      <c r="C234" s="610" t="s">
        <v>59</v>
      </c>
      <c r="D234" s="611">
        <v>0</v>
      </c>
      <c r="E234" s="611">
        <v>0</v>
      </c>
      <c r="F234" s="611">
        <v>0</v>
      </c>
      <c r="G234" s="611">
        <v>0</v>
      </c>
      <c r="H234" s="611">
        <v>0</v>
      </c>
      <c r="I234" s="611">
        <v>0</v>
      </c>
      <c r="J234" s="612">
        <v>1175.1327636363635</v>
      </c>
      <c r="K234" s="612">
        <v>409.44348403288171</v>
      </c>
      <c r="L234" s="612">
        <v>455.63054491967773</v>
      </c>
      <c r="M234" s="612">
        <v>21.888057205261063</v>
      </c>
      <c r="N234" s="611">
        <v>1.5769202529293118</v>
      </c>
      <c r="O234" s="611">
        <v>0.16705675062100381</v>
      </c>
      <c r="P234" s="612">
        <v>157.62105211134346</v>
      </c>
      <c r="Q234" s="612">
        <v>24.53711550235386</v>
      </c>
      <c r="R234" s="611">
        <v>0</v>
      </c>
      <c r="S234" s="611">
        <v>0</v>
      </c>
      <c r="T234" s="611">
        <v>0</v>
      </c>
      <c r="U234" s="613">
        <v>2245.9969944114318</v>
      </c>
      <c r="V234" s="51"/>
    </row>
    <row r="235" spans="3:22" x14ac:dyDescent="0.25">
      <c r="C235" s="610" t="s">
        <v>60</v>
      </c>
      <c r="D235" s="611">
        <v>13.340633881136302</v>
      </c>
      <c r="E235" s="611">
        <v>239.69119414034884</v>
      </c>
      <c r="F235" s="611">
        <v>4.6624671135986846</v>
      </c>
      <c r="G235" s="611">
        <v>0</v>
      </c>
      <c r="H235" s="611">
        <v>97.60128544811127</v>
      </c>
      <c r="I235" s="611">
        <v>0</v>
      </c>
      <c r="J235" s="611">
        <v>0</v>
      </c>
      <c r="K235" s="611">
        <v>0</v>
      </c>
      <c r="L235" s="611">
        <v>4.1311012816916577</v>
      </c>
      <c r="M235" s="611">
        <v>0</v>
      </c>
      <c r="N235" s="611">
        <v>5.4710090626624357</v>
      </c>
      <c r="O235" s="611">
        <v>0</v>
      </c>
      <c r="P235" s="611">
        <v>0</v>
      </c>
      <c r="Q235" s="611">
        <v>0</v>
      </c>
      <c r="R235" s="611">
        <v>0</v>
      </c>
      <c r="S235" s="611">
        <v>0</v>
      </c>
      <c r="T235" s="611">
        <v>0</v>
      </c>
      <c r="U235" s="613">
        <v>364.89769092754926</v>
      </c>
      <c r="V235" s="51"/>
    </row>
    <row r="236" spans="3:22" x14ac:dyDescent="0.25">
      <c r="C236" s="610" t="s">
        <v>61</v>
      </c>
      <c r="D236" s="611">
        <v>0</v>
      </c>
      <c r="E236" s="611">
        <v>0</v>
      </c>
      <c r="F236" s="611">
        <v>-17.494356691854108</v>
      </c>
      <c r="G236" s="611">
        <v>-1.7254456421765063</v>
      </c>
      <c r="H236" s="611">
        <v>0</v>
      </c>
      <c r="I236" s="611">
        <v>0</v>
      </c>
      <c r="J236" s="611">
        <v>0</v>
      </c>
      <c r="K236" s="611">
        <v>0</v>
      </c>
      <c r="L236" s="611">
        <v>0</v>
      </c>
      <c r="M236" s="611">
        <v>0</v>
      </c>
      <c r="N236" s="611">
        <v>0</v>
      </c>
      <c r="O236" s="611">
        <v>0</v>
      </c>
      <c r="P236" s="611">
        <v>0</v>
      </c>
      <c r="Q236" s="611">
        <v>0</v>
      </c>
      <c r="R236" s="611">
        <v>-53.009184488039523</v>
      </c>
      <c r="S236" s="611">
        <v>0</v>
      </c>
      <c r="T236" s="611">
        <v>0</v>
      </c>
      <c r="U236" s="613">
        <v>-72.228986822070141</v>
      </c>
      <c r="V236" s="51"/>
    </row>
    <row r="237" spans="3:22" x14ac:dyDescent="0.25">
      <c r="C237" s="610" t="s">
        <v>62</v>
      </c>
      <c r="D237" s="611">
        <v>0</v>
      </c>
      <c r="E237" s="611">
        <v>0</v>
      </c>
      <c r="F237" s="611">
        <v>-5.0879563574801514</v>
      </c>
      <c r="G237" s="611">
        <v>-4.1045183661856841</v>
      </c>
      <c r="H237" s="611">
        <v>0</v>
      </c>
      <c r="I237" s="611">
        <v>-3.6084739343150005</v>
      </c>
      <c r="J237" s="611">
        <v>0</v>
      </c>
      <c r="K237" s="611">
        <v>0</v>
      </c>
      <c r="L237" s="611">
        <v>0</v>
      </c>
      <c r="M237" s="611">
        <v>0</v>
      </c>
      <c r="N237" s="611">
        <v>-1.3861783673523449</v>
      </c>
      <c r="O237" s="611">
        <v>-2.4056492895433337</v>
      </c>
      <c r="P237" s="611">
        <v>0</v>
      </c>
      <c r="Q237" s="611">
        <v>0</v>
      </c>
      <c r="R237" s="611">
        <v>0</v>
      </c>
      <c r="S237" s="611">
        <v>0</v>
      </c>
      <c r="T237" s="611">
        <v>-1.1711400462326651</v>
      </c>
      <c r="U237" s="613">
        <v>-17.763916361109182</v>
      </c>
      <c r="V237" s="51"/>
    </row>
    <row r="238" spans="3:22" x14ac:dyDescent="0.25">
      <c r="C238" s="610" t="s">
        <v>63</v>
      </c>
      <c r="D238" s="611">
        <v>0</v>
      </c>
      <c r="E238" s="611">
        <v>0</v>
      </c>
      <c r="F238" s="611">
        <v>-39.079068395762839</v>
      </c>
      <c r="G238" s="611">
        <v>-8.2277507760007769</v>
      </c>
      <c r="H238" s="611">
        <v>0</v>
      </c>
      <c r="I238" s="611">
        <v>0</v>
      </c>
      <c r="J238" s="611">
        <v>0</v>
      </c>
      <c r="K238" s="611">
        <v>0</v>
      </c>
      <c r="L238" s="611">
        <v>0</v>
      </c>
      <c r="M238" s="611">
        <v>0</v>
      </c>
      <c r="N238" s="611">
        <v>-15.189693740309128</v>
      </c>
      <c r="O238" s="611">
        <v>0</v>
      </c>
      <c r="P238" s="611">
        <v>0</v>
      </c>
      <c r="Q238" s="611">
        <v>0</v>
      </c>
      <c r="R238" s="611">
        <v>0</v>
      </c>
      <c r="S238" s="611">
        <v>0</v>
      </c>
      <c r="T238" s="611">
        <v>-2.6141112366127883</v>
      </c>
      <c r="U238" s="613">
        <v>-65.110624148685531</v>
      </c>
      <c r="V238" s="51"/>
    </row>
    <row r="239" spans="3:22" x14ac:dyDescent="0.25">
      <c r="C239" s="610" t="s">
        <v>64</v>
      </c>
      <c r="D239" s="611">
        <v>0</v>
      </c>
      <c r="E239" s="611">
        <v>0</v>
      </c>
      <c r="F239" s="611">
        <v>0</v>
      </c>
      <c r="G239" s="611">
        <v>0</v>
      </c>
      <c r="H239" s="611">
        <v>0</v>
      </c>
      <c r="I239" s="611">
        <v>0</v>
      </c>
      <c r="J239" s="611">
        <v>0</v>
      </c>
      <c r="K239" s="611">
        <v>0</v>
      </c>
      <c r="L239" s="611">
        <v>0</v>
      </c>
      <c r="M239" s="611">
        <v>0</v>
      </c>
      <c r="N239" s="611">
        <v>0</v>
      </c>
      <c r="O239" s="611">
        <v>0</v>
      </c>
      <c r="P239" s="611">
        <v>0</v>
      </c>
      <c r="Q239" s="611">
        <v>0</v>
      </c>
      <c r="R239" s="611">
        <v>0</v>
      </c>
      <c r="S239" s="611">
        <v>0</v>
      </c>
      <c r="T239" s="611">
        <v>0</v>
      </c>
      <c r="U239" s="613">
        <v>0</v>
      </c>
      <c r="V239" s="51"/>
    </row>
    <row r="240" spans="3:22" x14ac:dyDescent="0.25">
      <c r="C240" s="614" t="s">
        <v>65</v>
      </c>
      <c r="D240" s="615">
        <v>13.340633881136302</v>
      </c>
      <c r="E240" s="615">
        <v>239.69119414034884</v>
      </c>
      <c r="F240" s="615">
        <v>-56.998914331498412</v>
      </c>
      <c r="G240" s="615">
        <v>-14.057714784362968</v>
      </c>
      <c r="H240" s="615">
        <v>97.60128544811127</v>
      </c>
      <c r="I240" s="615">
        <v>-3.6084739343150005</v>
      </c>
      <c r="J240" s="615">
        <v>1175.1327636363635</v>
      </c>
      <c r="K240" s="615">
        <v>409.44348403288171</v>
      </c>
      <c r="L240" s="615">
        <v>459.76164620136939</v>
      </c>
      <c r="M240" s="615">
        <v>21.888057205261063</v>
      </c>
      <c r="N240" s="615">
        <v>-9.5279427920697266</v>
      </c>
      <c r="O240" s="615">
        <v>-2.23859253892233</v>
      </c>
      <c r="P240" s="615">
        <v>157.62105211134346</v>
      </c>
      <c r="Q240" s="615">
        <v>24.53711550235386</v>
      </c>
      <c r="R240" s="615">
        <v>-53.009184488039523</v>
      </c>
      <c r="S240" s="615">
        <v>0</v>
      </c>
      <c r="T240" s="615">
        <v>-3.7852512828454534</v>
      </c>
      <c r="U240" s="615">
        <v>2455.7911580071163</v>
      </c>
      <c r="V240" s="51"/>
    </row>
    <row r="241" spans="3:22" x14ac:dyDescent="0.25">
      <c r="C241" s="616"/>
      <c r="D241" s="617"/>
      <c r="E241" s="617"/>
      <c r="F241" s="617"/>
      <c r="G241" s="617"/>
      <c r="H241" s="623"/>
      <c r="I241" s="617"/>
      <c r="J241" s="617"/>
      <c r="K241" s="617"/>
      <c r="L241" s="617"/>
      <c r="M241" s="617"/>
      <c r="N241" s="617"/>
      <c r="O241" s="617"/>
      <c r="P241" s="617"/>
      <c r="Q241" s="617"/>
      <c r="R241" s="617"/>
      <c r="S241" s="617"/>
      <c r="T241" s="617"/>
      <c r="U241" s="617"/>
      <c r="V241" s="51"/>
    </row>
    <row r="242" spans="3:22" x14ac:dyDescent="0.25">
      <c r="C242" s="618" t="s">
        <v>67</v>
      </c>
      <c r="D242" s="611">
        <v>0</v>
      </c>
      <c r="E242" s="611">
        <v>0</v>
      </c>
      <c r="F242" s="611">
        <v>0</v>
      </c>
      <c r="G242" s="611">
        <v>0</v>
      </c>
      <c r="H242" s="611">
        <v>0</v>
      </c>
      <c r="I242" s="611">
        <v>0</v>
      </c>
      <c r="J242" s="611">
        <v>0</v>
      </c>
      <c r="K242" s="611">
        <v>0</v>
      </c>
      <c r="L242" s="611">
        <v>0</v>
      </c>
      <c r="M242" s="611">
        <v>0</v>
      </c>
      <c r="N242" s="611">
        <v>0</v>
      </c>
      <c r="O242" s="611">
        <v>0</v>
      </c>
      <c r="P242" s="611">
        <v>0</v>
      </c>
      <c r="Q242" s="611">
        <v>0</v>
      </c>
      <c r="R242" s="611">
        <v>0</v>
      </c>
      <c r="S242" s="611">
        <v>0</v>
      </c>
      <c r="T242" s="611">
        <v>0</v>
      </c>
      <c r="U242" s="619">
        <v>0</v>
      </c>
      <c r="V242" s="51"/>
    </row>
    <row r="243" spans="3:22" x14ac:dyDescent="0.25">
      <c r="C243" s="618" t="s">
        <v>347</v>
      </c>
      <c r="D243" s="611">
        <v>0</v>
      </c>
      <c r="E243" s="611">
        <v>0</v>
      </c>
      <c r="F243" s="611">
        <v>6.6151953400033478E-2</v>
      </c>
      <c r="G243" s="611">
        <v>0</v>
      </c>
      <c r="H243" s="611">
        <v>0.83875095652173937</v>
      </c>
      <c r="I243" s="611">
        <v>0</v>
      </c>
      <c r="J243" s="611">
        <v>1175.1327636363635</v>
      </c>
      <c r="K243" s="611">
        <v>409.44348403288171</v>
      </c>
      <c r="L243" s="611">
        <v>23.084193835391716</v>
      </c>
      <c r="M243" s="611">
        <v>0.60990924478748687</v>
      </c>
      <c r="N243" s="611">
        <v>5.6269378379330357</v>
      </c>
      <c r="O243" s="611">
        <v>0.80015093186061059</v>
      </c>
      <c r="P243" s="611">
        <v>0</v>
      </c>
      <c r="Q243" s="611">
        <v>6.4327567473291545</v>
      </c>
      <c r="R243" s="611">
        <v>-844.61232621268675</v>
      </c>
      <c r="S243" s="611">
        <v>0</v>
      </c>
      <c r="T243" s="611">
        <v>3.6921899999999996</v>
      </c>
      <c r="U243" s="619">
        <v>781.1149629637822</v>
      </c>
      <c r="V243" s="51"/>
    </row>
    <row r="244" spans="3:22" x14ac:dyDescent="0.25">
      <c r="C244" s="618" t="s">
        <v>348</v>
      </c>
      <c r="D244" s="611">
        <v>0</v>
      </c>
      <c r="E244" s="611">
        <v>0</v>
      </c>
      <c r="F244" s="611">
        <v>0</v>
      </c>
      <c r="G244" s="611">
        <v>0</v>
      </c>
      <c r="H244" s="611">
        <v>7.3970017533359673</v>
      </c>
      <c r="I244" s="611">
        <v>0</v>
      </c>
      <c r="J244" s="611">
        <v>0</v>
      </c>
      <c r="K244" s="611">
        <v>0</v>
      </c>
      <c r="L244" s="611">
        <v>35.211219886643882</v>
      </c>
      <c r="M244" s="611">
        <v>14.290044583270845</v>
      </c>
      <c r="N244" s="611">
        <v>0</v>
      </c>
      <c r="O244" s="611">
        <v>6.0665861374245376</v>
      </c>
      <c r="P244" s="611">
        <v>0</v>
      </c>
      <c r="Q244" s="611">
        <v>10.923199976732462</v>
      </c>
      <c r="R244" s="611">
        <v>0</v>
      </c>
      <c r="S244" s="611">
        <v>-68.689846406921419</v>
      </c>
      <c r="T244" s="611">
        <v>0</v>
      </c>
      <c r="U244" s="619">
        <v>5.1982059304862673</v>
      </c>
      <c r="V244" s="51"/>
    </row>
    <row r="245" spans="3:22" x14ac:dyDescent="0.25">
      <c r="C245" s="618" t="s">
        <v>349</v>
      </c>
      <c r="D245" s="611">
        <v>0</v>
      </c>
      <c r="E245" s="611">
        <v>0</v>
      </c>
      <c r="F245" s="611">
        <v>0</v>
      </c>
      <c r="G245" s="611">
        <v>0</v>
      </c>
      <c r="H245" s="611">
        <v>0</v>
      </c>
      <c r="I245" s="611">
        <v>0</v>
      </c>
      <c r="J245" s="611">
        <v>0</v>
      </c>
      <c r="K245" s="611">
        <v>0</v>
      </c>
      <c r="L245" s="611">
        <v>91.2295818617647</v>
      </c>
      <c r="M245" s="611">
        <v>0</v>
      </c>
      <c r="N245" s="611">
        <v>0</v>
      </c>
      <c r="O245" s="611">
        <v>-82.683413983490482</v>
      </c>
      <c r="P245" s="611">
        <v>0</v>
      </c>
      <c r="Q245" s="611">
        <v>0</v>
      </c>
      <c r="R245" s="611">
        <v>0</v>
      </c>
      <c r="S245" s="611">
        <v>0</v>
      </c>
      <c r="T245" s="611">
        <v>0</v>
      </c>
      <c r="U245" s="619">
        <v>8.5461678782742183</v>
      </c>
      <c r="V245" s="51"/>
    </row>
    <row r="246" spans="3:22" x14ac:dyDescent="0.25">
      <c r="C246" s="618" t="s">
        <v>350</v>
      </c>
      <c r="D246" s="611">
        <v>0</v>
      </c>
      <c r="E246" s="611">
        <v>0</v>
      </c>
      <c r="F246" s="611">
        <v>0</v>
      </c>
      <c r="G246" s="611">
        <v>0</v>
      </c>
      <c r="H246" s="611">
        <v>0</v>
      </c>
      <c r="I246" s="611">
        <v>-3.6084739343150005</v>
      </c>
      <c r="J246" s="611">
        <v>0</v>
      </c>
      <c r="K246" s="611">
        <v>0</v>
      </c>
      <c r="L246" s="611">
        <v>0</v>
      </c>
      <c r="M246" s="611">
        <v>0</v>
      </c>
      <c r="N246" s="611">
        <v>0</v>
      </c>
      <c r="O246" s="611">
        <v>0</v>
      </c>
      <c r="P246" s="611">
        <v>0</v>
      </c>
      <c r="Q246" s="611">
        <v>0</v>
      </c>
      <c r="R246" s="611">
        <v>0</v>
      </c>
      <c r="S246" s="611">
        <v>0</v>
      </c>
      <c r="T246" s="611">
        <v>5.0117693532152785</v>
      </c>
      <c r="U246" s="619">
        <v>1.403295418900278</v>
      </c>
      <c r="V246" s="51"/>
    </row>
    <row r="247" spans="3:22" x14ac:dyDescent="0.25">
      <c r="C247" s="618" t="s">
        <v>72</v>
      </c>
      <c r="D247" s="611">
        <v>0</v>
      </c>
      <c r="E247" s="611">
        <v>248.37987406049137</v>
      </c>
      <c r="F247" s="611">
        <v>-245.90430306488159</v>
      </c>
      <c r="G247" s="611">
        <v>0</v>
      </c>
      <c r="H247" s="611">
        <v>0</v>
      </c>
      <c r="I247" s="611">
        <v>0</v>
      </c>
      <c r="J247" s="611">
        <v>0</v>
      </c>
      <c r="K247" s="611">
        <v>0</v>
      </c>
      <c r="L247" s="611">
        <v>0</v>
      </c>
      <c r="M247" s="611">
        <v>0</v>
      </c>
      <c r="N247" s="611">
        <v>0</v>
      </c>
      <c r="O247" s="611">
        <v>0</v>
      </c>
      <c r="P247" s="611">
        <v>0</v>
      </c>
      <c r="Q247" s="611">
        <v>0</v>
      </c>
      <c r="R247" s="611">
        <v>0</v>
      </c>
      <c r="S247" s="611">
        <v>0</v>
      </c>
      <c r="T247" s="611">
        <v>0</v>
      </c>
      <c r="U247" s="619">
        <v>2.475570995609786</v>
      </c>
      <c r="V247" s="51"/>
    </row>
    <row r="248" spans="3:22" x14ac:dyDescent="0.25">
      <c r="C248" s="618" t="s">
        <v>351</v>
      </c>
      <c r="D248" s="611">
        <v>0</v>
      </c>
      <c r="E248" s="611">
        <v>0</v>
      </c>
      <c r="F248" s="611">
        <v>0</v>
      </c>
      <c r="G248" s="611">
        <v>0</v>
      </c>
      <c r="H248" s="611">
        <v>0</v>
      </c>
      <c r="I248" s="611">
        <v>0</v>
      </c>
      <c r="J248" s="611">
        <v>0</v>
      </c>
      <c r="K248" s="611">
        <v>0</v>
      </c>
      <c r="L248" s="611">
        <v>241.23547887431721</v>
      </c>
      <c r="M248" s="611">
        <v>0</v>
      </c>
      <c r="N248" s="611">
        <v>-132.67951338087448</v>
      </c>
      <c r="O248" s="611">
        <v>0</v>
      </c>
      <c r="P248" s="611">
        <v>0</v>
      </c>
      <c r="Q248" s="611">
        <v>0</v>
      </c>
      <c r="R248" s="611">
        <v>0</v>
      </c>
      <c r="S248" s="611">
        <v>0</v>
      </c>
      <c r="T248" s="611">
        <v>0</v>
      </c>
      <c r="U248" s="619">
        <v>108.55596549344273</v>
      </c>
      <c r="V248" s="51"/>
    </row>
    <row r="249" spans="3:22" x14ac:dyDescent="0.25">
      <c r="C249" s="618" t="s">
        <v>352</v>
      </c>
      <c r="D249" s="611">
        <v>0</v>
      </c>
      <c r="E249" s="611">
        <v>0</v>
      </c>
      <c r="F249" s="611">
        <v>0</v>
      </c>
      <c r="G249" s="611">
        <v>-17.665386413709186</v>
      </c>
      <c r="H249" s="611">
        <v>0</v>
      </c>
      <c r="I249" s="611">
        <v>0</v>
      </c>
      <c r="J249" s="611">
        <v>0</v>
      </c>
      <c r="K249" s="611">
        <v>0</v>
      </c>
      <c r="L249" s="611">
        <v>0</v>
      </c>
      <c r="M249" s="611">
        <v>0</v>
      </c>
      <c r="N249" s="611">
        <v>0</v>
      </c>
      <c r="O249" s="611">
        <v>0</v>
      </c>
      <c r="P249" s="611">
        <v>0</v>
      </c>
      <c r="Q249" s="611">
        <v>0</v>
      </c>
      <c r="R249" s="611">
        <v>0</v>
      </c>
      <c r="S249" s="611">
        <v>0</v>
      </c>
      <c r="T249" s="611">
        <v>23.034172245220685</v>
      </c>
      <c r="U249" s="619">
        <v>5.3687858315114987</v>
      </c>
      <c r="V249" s="51"/>
    </row>
    <row r="250" spans="3:22" x14ac:dyDescent="0.25">
      <c r="C250" s="618" t="s">
        <v>73</v>
      </c>
      <c r="D250" s="611">
        <v>0</v>
      </c>
      <c r="E250" s="611">
        <v>0</v>
      </c>
      <c r="F250" s="611">
        <v>0</v>
      </c>
      <c r="G250" s="611">
        <v>0</v>
      </c>
      <c r="H250" s="611">
        <v>0</v>
      </c>
      <c r="I250" s="611">
        <v>0</v>
      </c>
      <c r="J250" s="611">
        <v>0</v>
      </c>
      <c r="K250" s="611">
        <v>0</v>
      </c>
      <c r="L250" s="611">
        <v>0</v>
      </c>
      <c r="M250" s="611">
        <v>0</v>
      </c>
      <c r="N250" s="611">
        <v>0</v>
      </c>
      <c r="O250" s="611">
        <v>0</v>
      </c>
      <c r="P250" s="611">
        <v>0</v>
      </c>
      <c r="Q250" s="611">
        <v>0</v>
      </c>
      <c r="R250" s="611">
        <v>117.85286984461516</v>
      </c>
      <c r="S250" s="611">
        <v>0</v>
      </c>
      <c r="T250" s="611">
        <v>-80.729215843561391</v>
      </c>
      <c r="U250" s="619">
        <v>37.123654001053765</v>
      </c>
      <c r="V250" s="51"/>
    </row>
    <row r="251" spans="3:22" x14ac:dyDescent="0.25">
      <c r="C251" s="618" t="s">
        <v>353</v>
      </c>
      <c r="D251" s="611">
        <v>7.6015399218749993</v>
      </c>
      <c r="E251" s="611">
        <v>-8.6886799201425244</v>
      </c>
      <c r="F251" s="611">
        <v>11.323469941688563</v>
      </c>
      <c r="G251" s="611">
        <v>0</v>
      </c>
      <c r="H251" s="611">
        <v>0</v>
      </c>
      <c r="I251" s="611">
        <v>0</v>
      </c>
      <c r="J251" s="611">
        <v>0</v>
      </c>
      <c r="K251" s="611">
        <v>0</v>
      </c>
      <c r="L251" s="611">
        <v>0</v>
      </c>
      <c r="M251" s="611">
        <v>0</v>
      </c>
      <c r="N251" s="611">
        <v>0</v>
      </c>
      <c r="O251" s="611">
        <v>0</v>
      </c>
      <c r="P251" s="611">
        <v>0</v>
      </c>
      <c r="Q251" s="611">
        <v>0</v>
      </c>
      <c r="R251" s="611">
        <v>0</v>
      </c>
      <c r="S251" s="611">
        <v>0</v>
      </c>
      <c r="T251" s="611">
        <v>0</v>
      </c>
      <c r="U251" s="619">
        <v>10.236329943421037</v>
      </c>
      <c r="V251" s="51"/>
    </row>
    <row r="252" spans="3:22" x14ac:dyDescent="0.25">
      <c r="C252" s="618" t="s">
        <v>75</v>
      </c>
      <c r="D252" s="611">
        <v>2.9561544140625</v>
      </c>
      <c r="E252" s="611">
        <v>0</v>
      </c>
      <c r="F252" s="611">
        <v>8.5207834498967969</v>
      </c>
      <c r="G252" s="611">
        <v>0</v>
      </c>
      <c r="H252" s="611">
        <v>2.8438669910513061</v>
      </c>
      <c r="I252" s="611">
        <v>0</v>
      </c>
      <c r="J252" s="611">
        <v>0</v>
      </c>
      <c r="K252" s="611">
        <v>0</v>
      </c>
      <c r="L252" s="611">
        <v>0</v>
      </c>
      <c r="M252" s="611">
        <v>0</v>
      </c>
      <c r="N252" s="611">
        <v>0</v>
      </c>
      <c r="O252" s="611">
        <v>2.3268002654056139</v>
      </c>
      <c r="P252" s="611">
        <v>0</v>
      </c>
      <c r="Q252" s="611">
        <v>0</v>
      </c>
      <c r="R252" s="611">
        <v>65.316211737855681</v>
      </c>
      <c r="S252" s="611">
        <v>0</v>
      </c>
      <c r="T252" s="611">
        <v>0</v>
      </c>
      <c r="U252" s="619">
        <v>81.963816858271898</v>
      </c>
      <c r="V252" s="51"/>
    </row>
    <row r="253" spans="3:22" x14ac:dyDescent="0.25">
      <c r="C253" s="618" t="s">
        <v>76</v>
      </c>
      <c r="D253" s="611">
        <v>0</v>
      </c>
      <c r="E253" s="611">
        <v>0</v>
      </c>
      <c r="F253" s="611">
        <v>0</v>
      </c>
      <c r="G253" s="611">
        <v>0</v>
      </c>
      <c r="H253" s="611">
        <v>1.0508214280770161</v>
      </c>
      <c r="I253" s="611">
        <v>0</v>
      </c>
      <c r="J253" s="611">
        <v>0</v>
      </c>
      <c r="K253" s="611">
        <v>0</v>
      </c>
      <c r="L253" s="611">
        <v>0</v>
      </c>
      <c r="M253" s="611">
        <v>0</v>
      </c>
      <c r="N253" s="611">
        <v>0</v>
      </c>
      <c r="O253" s="611">
        <v>0.85976298660846773</v>
      </c>
      <c r="P253" s="611">
        <v>0</v>
      </c>
      <c r="Q253" s="611">
        <v>0</v>
      </c>
      <c r="R253" s="611">
        <v>60.605480102995763</v>
      </c>
      <c r="S253" s="611">
        <v>5.3274820450671472</v>
      </c>
      <c r="T253" s="611">
        <v>0</v>
      </c>
      <c r="U253" s="619">
        <v>67.843546562748386</v>
      </c>
      <c r="V253" s="51"/>
    </row>
    <row r="254" spans="3:22" x14ac:dyDescent="0.25">
      <c r="C254" s="614" t="s">
        <v>77</v>
      </c>
      <c r="D254" s="615">
        <v>10.5576943359375</v>
      </c>
      <c r="E254" s="615">
        <v>239.69119414034884</v>
      </c>
      <c r="F254" s="615">
        <v>-225.99389771989621</v>
      </c>
      <c r="G254" s="615">
        <v>-17.665386413709186</v>
      </c>
      <c r="H254" s="615">
        <v>12.13044112898603</v>
      </c>
      <c r="I254" s="615">
        <v>-3.6084739343150005</v>
      </c>
      <c r="J254" s="615">
        <v>1175.1327636363635</v>
      </c>
      <c r="K254" s="615">
        <v>409.44348403288171</v>
      </c>
      <c r="L254" s="615">
        <v>390.76047445811753</v>
      </c>
      <c r="M254" s="615">
        <v>14.899953828058331</v>
      </c>
      <c r="N254" s="615">
        <v>-127.05257554294144</v>
      </c>
      <c r="O254" s="615">
        <v>-72.630113662191249</v>
      </c>
      <c r="P254" s="615">
        <v>0</v>
      </c>
      <c r="Q254" s="615">
        <v>17.355956724061617</v>
      </c>
      <c r="R254" s="615">
        <v>-600.83776452722009</v>
      </c>
      <c r="S254" s="615">
        <v>-63.362364361854269</v>
      </c>
      <c r="T254" s="615">
        <v>-48.991084245125428</v>
      </c>
      <c r="U254" s="615">
        <v>1109.8303018775021</v>
      </c>
      <c r="V254" s="51"/>
    </row>
    <row r="255" spans="3:22" x14ac:dyDescent="0.25">
      <c r="C255" s="616"/>
      <c r="D255" s="617"/>
      <c r="E255" s="617"/>
      <c r="F255" s="617"/>
      <c r="G255" s="617"/>
      <c r="H255" s="623"/>
      <c r="I255" s="617"/>
      <c r="J255" s="617"/>
      <c r="K255" s="617"/>
      <c r="L255" s="617"/>
      <c r="M255" s="617"/>
      <c r="N255" s="617"/>
      <c r="O255" s="617"/>
      <c r="P255" s="617"/>
      <c r="Q255" s="617"/>
      <c r="R255" s="617"/>
      <c r="S255" s="617"/>
      <c r="T255" s="617"/>
      <c r="U255" s="617"/>
      <c r="V255" s="51"/>
    </row>
    <row r="256" spans="3:22" x14ac:dyDescent="0.25">
      <c r="C256" s="618" t="s">
        <v>78</v>
      </c>
      <c r="D256" s="611">
        <v>2.7829395451988024</v>
      </c>
      <c r="E256" s="611">
        <v>0</v>
      </c>
      <c r="F256" s="611">
        <v>5.9508631597557615</v>
      </c>
      <c r="G256" s="611">
        <v>0</v>
      </c>
      <c r="H256" s="611">
        <v>39.502554352900951</v>
      </c>
      <c r="I256" s="611">
        <v>0</v>
      </c>
      <c r="J256" s="611">
        <v>0</v>
      </c>
      <c r="K256" s="611">
        <v>0</v>
      </c>
      <c r="L256" s="611">
        <v>22.312304964799452</v>
      </c>
      <c r="M256" s="611">
        <v>6.9877021638277412</v>
      </c>
      <c r="N256" s="611">
        <v>2.0803229791147206</v>
      </c>
      <c r="O256" s="611">
        <v>32.358934550865669</v>
      </c>
      <c r="P256" s="611">
        <v>13.3040771484375</v>
      </c>
      <c r="Q256" s="611">
        <v>7.8820466826144567E-4</v>
      </c>
      <c r="R256" s="611">
        <v>173.89525275416003</v>
      </c>
      <c r="S256" s="611">
        <v>20.634753208520429</v>
      </c>
      <c r="T256" s="611">
        <v>9.0650810546875</v>
      </c>
      <c r="U256" s="619">
        <v>328.87557408693681</v>
      </c>
      <c r="V256" s="51"/>
    </row>
    <row r="257" spans="3:22" x14ac:dyDescent="0.25">
      <c r="C257" s="618" t="s">
        <v>79</v>
      </c>
      <c r="D257" s="611">
        <v>0</v>
      </c>
      <c r="E257" s="611">
        <v>0</v>
      </c>
      <c r="F257" s="611">
        <v>66.70797411064288</v>
      </c>
      <c r="G257" s="611">
        <v>1.4882117515392765</v>
      </c>
      <c r="H257" s="611">
        <v>4.2678947974839696</v>
      </c>
      <c r="I257" s="611">
        <v>0</v>
      </c>
      <c r="J257" s="611">
        <v>0</v>
      </c>
      <c r="K257" s="611">
        <v>0</v>
      </c>
      <c r="L257" s="611">
        <v>0</v>
      </c>
      <c r="M257" s="611">
        <v>0</v>
      </c>
      <c r="N257" s="611">
        <v>73.593483349125535</v>
      </c>
      <c r="O257" s="611">
        <v>3.4919139252141571</v>
      </c>
      <c r="P257" s="611">
        <v>0</v>
      </c>
      <c r="Q257" s="611">
        <v>0</v>
      </c>
      <c r="R257" s="611">
        <v>93.510067312183125</v>
      </c>
      <c r="S257" s="611">
        <v>0</v>
      </c>
      <c r="T257" s="611">
        <v>4.8685919891456626</v>
      </c>
      <c r="U257" s="619">
        <v>247.92813723533465</v>
      </c>
      <c r="V257" s="51"/>
    </row>
    <row r="258" spans="3:22" x14ac:dyDescent="0.25">
      <c r="C258" s="618" t="s">
        <v>80</v>
      </c>
      <c r="D258" s="611">
        <v>0</v>
      </c>
      <c r="E258" s="611">
        <v>0</v>
      </c>
      <c r="F258" s="611">
        <v>0.70989784165710235</v>
      </c>
      <c r="G258" s="611">
        <v>0</v>
      </c>
      <c r="H258" s="611">
        <v>19.424181377554081</v>
      </c>
      <c r="I258" s="611">
        <v>0</v>
      </c>
      <c r="J258" s="611">
        <v>0</v>
      </c>
      <c r="K258" s="611">
        <v>0</v>
      </c>
      <c r="L258" s="611">
        <v>42.672719714557346</v>
      </c>
      <c r="M258" s="611">
        <v>0</v>
      </c>
      <c r="N258" s="611">
        <v>0</v>
      </c>
      <c r="O258" s="611">
        <v>15.89251203618061</v>
      </c>
      <c r="P258" s="611">
        <v>97.294965653266104</v>
      </c>
      <c r="Q258" s="611">
        <v>2.7285855468891569</v>
      </c>
      <c r="R258" s="611">
        <v>153.62760172238077</v>
      </c>
      <c r="S258" s="611">
        <v>23.742467864871486</v>
      </c>
      <c r="T258" s="611">
        <v>0</v>
      </c>
      <c r="U258" s="619">
        <v>356.09293175735661</v>
      </c>
      <c r="V258" s="51"/>
    </row>
    <row r="259" spans="3:22" x14ac:dyDescent="0.25">
      <c r="C259" s="618" t="s">
        <v>81</v>
      </c>
      <c r="D259" s="611">
        <v>0</v>
      </c>
      <c r="E259" s="611">
        <v>0</v>
      </c>
      <c r="F259" s="611">
        <v>0.74292942782649596</v>
      </c>
      <c r="G259" s="611">
        <v>0</v>
      </c>
      <c r="H259" s="611">
        <v>12.370805829410971</v>
      </c>
      <c r="I259" s="611">
        <v>0</v>
      </c>
      <c r="J259" s="611">
        <v>0</v>
      </c>
      <c r="K259" s="611">
        <v>0</v>
      </c>
      <c r="L259" s="611">
        <v>0.54085293774126075</v>
      </c>
      <c r="M259" s="611">
        <v>0</v>
      </c>
      <c r="N259" s="611">
        <v>0</v>
      </c>
      <c r="O259" s="611">
        <v>10.121568405881703</v>
      </c>
      <c r="P259" s="611">
        <v>46.022009309639856</v>
      </c>
      <c r="Q259" s="611">
        <v>3.1511646453296667</v>
      </c>
      <c r="R259" s="611">
        <v>116.64209363039593</v>
      </c>
      <c r="S259" s="611">
        <v>18.985143288462343</v>
      </c>
      <c r="T259" s="611">
        <v>0</v>
      </c>
      <c r="U259" s="619">
        <v>208.57656747468823</v>
      </c>
      <c r="V259" s="51"/>
    </row>
    <row r="260" spans="3:22" x14ac:dyDescent="0.25">
      <c r="C260" s="618" t="s">
        <v>82</v>
      </c>
      <c r="D260" s="611">
        <v>0</v>
      </c>
      <c r="E260" s="611">
        <v>0</v>
      </c>
      <c r="F260" s="611">
        <v>11.703228817007544</v>
      </c>
      <c r="G260" s="611">
        <v>0</v>
      </c>
      <c r="H260" s="611">
        <v>0.92339628149237685</v>
      </c>
      <c r="I260" s="611">
        <v>0</v>
      </c>
      <c r="J260" s="611">
        <v>0</v>
      </c>
      <c r="K260" s="611">
        <v>0</v>
      </c>
      <c r="L260" s="611">
        <v>3.1309341562664299</v>
      </c>
      <c r="M260" s="611">
        <v>0</v>
      </c>
      <c r="N260" s="611">
        <v>14.856440343671846</v>
      </c>
      <c r="O260" s="611">
        <v>0.75550604849376291</v>
      </c>
      <c r="P260" s="611">
        <v>1</v>
      </c>
      <c r="Q260" s="611">
        <v>1.300620381405156</v>
      </c>
      <c r="R260" s="611">
        <v>6.8949646200608239</v>
      </c>
      <c r="S260" s="611">
        <v>0</v>
      </c>
      <c r="T260" s="611">
        <v>0.51648303978038701</v>
      </c>
      <c r="U260" s="619">
        <v>41.081573688178324</v>
      </c>
      <c r="V260" s="51"/>
    </row>
    <row r="261" spans="3:22" x14ac:dyDescent="0.25">
      <c r="C261" s="618" t="s">
        <v>354</v>
      </c>
      <c r="D261" s="611">
        <v>0</v>
      </c>
      <c r="E261" s="611">
        <v>0</v>
      </c>
      <c r="F261" s="611">
        <v>0</v>
      </c>
      <c r="G261" s="611">
        <v>0</v>
      </c>
      <c r="H261" s="611">
        <v>0</v>
      </c>
      <c r="I261" s="611">
        <v>0</v>
      </c>
      <c r="J261" s="611">
        <v>0</v>
      </c>
      <c r="K261" s="611">
        <v>0</v>
      </c>
      <c r="L261" s="611">
        <v>0</v>
      </c>
      <c r="M261" s="611">
        <v>0</v>
      </c>
      <c r="N261" s="611">
        <v>0</v>
      </c>
      <c r="O261" s="611">
        <v>0</v>
      </c>
      <c r="P261" s="611">
        <v>0</v>
      </c>
      <c r="Q261" s="611">
        <v>0</v>
      </c>
      <c r="R261" s="611">
        <v>3.2585999999999999</v>
      </c>
      <c r="S261" s="611">
        <v>0</v>
      </c>
      <c r="T261" s="611">
        <v>0</v>
      </c>
      <c r="U261" s="619">
        <v>3.2585999999999999</v>
      </c>
      <c r="V261" s="51"/>
    </row>
    <row r="262" spans="3:22" x14ac:dyDescent="0.25">
      <c r="C262" s="614" t="s">
        <v>83</v>
      </c>
      <c r="D262" s="615">
        <v>2.7829395451988024</v>
      </c>
      <c r="E262" s="615">
        <v>0</v>
      </c>
      <c r="F262" s="615">
        <v>85.814893356889769</v>
      </c>
      <c r="G262" s="615">
        <v>1.4882117515392765</v>
      </c>
      <c r="H262" s="615">
        <v>76.488832638842339</v>
      </c>
      <c r="I262" s="615">
        <v>0</v>
      </c>
      <c r="J262" s="615">
        <v>0</v>
      </c>
      <c r="K262" s="615">
        <v>0</v>
      </c>
      <c r="L262" s="615">
        <v>68.656811773364495</v>
      </c>
      <c r="M262" s="615">
        <v>6.9877021638277412</v>
      </c>
      <c r="N262" s="615">
        <v>90.53024667191211</v>
      </c>
      <c r="O262" s="615">
        <v>62.620434966635905</v>
      </c>
      <c r="P262" s="615">
        <v>157.62105211134346</v>
      </c>
      <c r="Q262" s="615">
        <v>7.1811587782922404</v>
      </c>
      <c r="R262" s="615">
        <v>547.82858003918068</v>
      </c>
      <c r="S262" s="615">
        <v>63.362364361854262</v>
      </c>
      <c r="T262" s="615">
        <v>14.45015608361355</v>
      </c>
      <c r="U262" s="615">
        <v>1185.8133842424947</v>
      </c>
      <c r="V262" s="51"/>
    </row>
    <row r="263" spans="3:22" x14ac:dyDescent="0.25">
      <c r="C263" s="610" t="s">
        <v>84</v>
      </c>
      <c r="D263" s="611">
        <v>0</v>
      </c>
      <c r="E263" s="611">
        <v>0</v>
      </c>
      <c r="F263" s="611">
        <v>83.18009003150803</v>
      </c>
      <c r="G263" s="611">
        <v>2.1194598778069409</v>
      </c>
      <c r="H263" s="611">
        <v>8.9820116802829233</v>
      </c>
      <c r="I263" s="611">
        <v>0</v>
      </c>
      <c r="J263" s="611">
        <v>0</v>
      </c>
      <c r="K263" s="611">
        <v>0</v>
      </c>
      <c r="L263" s="611">
        <v>0.34435996988737483</v>
      </c>
      <c r="M263" s="611">
        <v>0</v>
      </c>
      <c r="N263" s="611">
        <v>26.994386078959611</v>
      </c>
      <c r="O263" s="611">
        <v>7.771086156633026</v>
      </c>
      <c r="P263" s="611">
        <v>0</v>
      </c>
      <c r="Q263" s="611">
        <v>0</v>
      </c>
      <c r="R263" s="611">
        <v>0</v>
      </c>
      <c r="S263" s="611">
        <v>0</v>
      </c>
      <c r="T263" s="611">
        <v>30.755676878666431</v>
      </c>
      <c r="U263" s="619">
        <v>160.14707067374434</v>
      </c>
      <c r="V263" s="51"/>
    </row>
    <row r="264" spans="3:22" x14ac:dyDescent="0.25">
      <c r="C264" s="614" t="s">
        <v>85</v>
      </c>
      <c r="D264" s="615">
        <v>2.7829395451988024</v>
      </c>
      <c r="E264" s="615">
        <v>0</v>
      </c>
      <c r="F264" s="615">
        <v>168.9949833883978</v>
      </c>
      <c r="G264" s="615">
        <v>3.6076716293462177</v>
      </c>
      <c r="H264" s="615">
        <v>85.470844319125263</v>
      </c>
      <c r="I264" s="615">
        <v>0</v>
      </c>
      <c r="J264" s="615">
        <v>0</v>
      </c>
      <c r="K264" s="615">
        <v>0</v>
      </c>
      <c r="L264" s="615">
        <v>69.001171743251874</v>
      </c>
      <c r="M264" s="615">
        <v>6.9877021638277412</v>
      </c>
      <c r="N264" s="615">
        <v>117.52463275087172</v>
      </c>
      <c r="O264" s="615">
        <v>70.39152112326893</v>
      </c>
      <c r="P264" s="615">
        <v>157.62105211134346</v>
      </c>
      <c r="Q264" s="615">
        <v>7.1811587782922404</v>
      </c>
      <c r="R264" s="615">
        <v>547.82858003918068</v>
      </c>
      <c r="S264" s="615">
        <v>63.362364361854262</v>
      </c>
      <c r="T264" s="615">
        <v>45.205832962279985</v>
      </c>
      <c r="U264" s="615">
        <v>1345.9604549162391</v>
      </c>
      <c r="V264" s="51"/>
    </row>
    <row r="265" spans="3:22" x14ac:dyDescent="0.25">
      <c r="C265" s="51"/>
      <c r="D265" s="67">
        <v>0</v>
      </c>
      <c r="E265" s="67">
        <v>0</v>
      </c>
      <c r="F265" s="67">
        <v>0</v>
      </c>
      <c r="G265" s="67">
        <v>0</v>
      </c>
      <c r="H265" s="67">
        <v>0</v>
      </c>
      <c r="I265" s="67">
        <v>0</v>
      </c>
      <c r="J265" s="67">
        <v>0</v>
      </c>
      <c r="K265" s="67">
        <v>0</v>
      </c>
      <c r="L265" s="67">
        <v>0</v>
      </c>
      <c r="M265" s="67">
        <v>-4.0121337499243737E-4</v>
      </c>
      <c r="N265" s="67">
        <v>0</v>
      </c>
      <c r="O265" s="67">
        <v>1.1102230246251565E-14</v>
      </c>
      <c r="P265" s="67">
        <v>0</v>
      </c>
      <c r="Q265" s="67">
        <v>0</v>
      </c>
      <c r="R265" s="67">
        <v>1.1368683772161603E-13</v>
      </c>
      <c r="S265" s="67">
        <v>-7.1054273576010019E-15</v>
      </c>
      <c r="T265" s="67">
        <v>9.7699626167013776E-15</v>
      </c>
      <c r="U265" s="67">
        <v>-4.0121337542586843E-4</v>
      </c>
      <c r="V265" s="51"/>
    </row>
    <row r="266" spans="3:22" x14ac:dyDescent="0.25">
      <c r="C266" s="51"/>
      <c r="D266" s="51"/>
      <c r="E266" s="51"/>
      <c r="F266" s="51"/>
      <c r="G266" s="67"/>
      <c r="H266" s="51"/>
      <c r="I266" s="51"/>
      <c r="J266" s="51"/>
      <c r="K266" s="51"/>
      <c r="L266" s="51"/>
      <c r="M266" s="51"/>
      <c r="N266" s="51"/>
      <c r="O266" s="51"/>
      <c r="P266" s="51"/>
      <c r="Q266" s="51"/>
      <c r="R266" s="51"/>
      <c r="S266" s="51"/>
      <c r="T266" s="51"/>
      <c r="U266" s="51"/>
      <c r="V266" s="51"/>
    </row>
    <row r="267" spans="3:22" x14ac:dyDescent="0.25">
      <c r="C267" s="607" t="s">
        <v>518</v>
      </c>
      <c r="D267" s="606"/>
      <c r="E267" s="606"/>
      <c r="F267" s="606"/>
      <c r="G267" s="682"/>
      <c r="H267" s="606"/>
      <c r="I267" s="606"/>
      <c r="J267" s="606"/>
      <c r="K267" s="606"/>
      <c r="L267" s="606"/>
      <c r="M267" s="606"/>
      <c r="N267" s="606"/>
      <c r="O267" s="606"/>
      <c r="P267" s="606"/>
      <c r="Q267" s="606"/>
      <c r="R267" s="606"/>
      <c r="S267" s="606"/>
      <c r="T267" s="606"/>
      <c r="U267" s="606"/>
      <c r="V267" s="606"/>
    </row>
    <row r="268" spans="3:22" x14ac:dyDescent="0.25">
      <c r="C268" s="51"/>
      <c r="D268" s="51"/>
      <c r="E268" s="51"/>
      <c r="F268" s="51"/>
      <c r="G268" s="67"/>
      <c r="H268" s="51"/>
      <c r="I268" s="51"/>
      <c r="J268" s="51"/>
      <c r="K268" s="51"/>
      <c r="L268" s="51"/>
      <c r="M268" s="51"/>
      <c r="N268" s="51"/>
      <c r="O268" s="51"/>
      <c r="P268" s="51"/>
      <c r="Q268" s="51"/>
      <c r="R268" s="51"/>
      <c r="S268" s="51"/>
      <c r="T268" s="51"/>
      <c r="U268" s="51"/>
      <c r="V268" s="51"/>
    </row>
    <row r="269" spans="3:22" x14ac:dyDescent="0.25">
      <c r="C269" s="764" t="s">
        <v>128</v>
      </c>
      <c r="D269" s="753" t="s">
        <v>42</v>
      </c>
      <c r="E269" s="753" t="s">
        <v>52</v>
      </c>
      <c r="F269" s="753" t="s">
        <v>53</v>
      </c>
      <c r="G269" s="766" t="s">
        <v>482</v>
      </c>
      <c r="H269" s="753" t="s">
        <v>32</v>
      </c>
      <c r="I269" s="753" t="s">
        <v>483</v>
      </c>
      <c r="J269" s="753" t="s">
        <v>20</v>
      </c>
      <c r="K269" s="753" t="s">
        <v>55</v>
      </c>
      <c r="L269" s="761" t="s">
        <v>56</v>
      </c>
      <c r="M269" s="762"/>
      <c r="N269" s="762"/>
      <c r="O269" s="762"/>
      <c r="P269" s="762"/>
      <c r="Q269" s="763"/>
      <c r="R269" s="753" t="s">
        <v>57</v>
      </c>
      <c r="S269" s="753" t="s">
        <v>58</v>
      </c>
      <c r="T269" s="753" t="s">
        <v>31</v>
      </c>
      <c r="U269" s="753" t="s">
        <v>10</v>
      </c>
      <c r="V269" s="51"/>
    </row>
    <row r="270" spans="3:22" ht="36" x14ac:dyDescent="0.25">
      <c r="C270" s="765"/>
      <c r="D270" s="754"/>
      <c r="E270" s="754"/>
      <c r="F270" s="754"/>
      <c r="G270" s="767"/>
      <c r="H270" s="754"/>
      <c r="I270" s="754"/>
      <c r="J270" s="754"/>
      <c r="K270" s="754"/>
      <c r="L270" s="608" t="s">
        <v>335</v>
      </c>
      <c r="M270" s="608" t="s">
        <v>40</v>
      </c>
      <c r="N270" s="608" t="s">
        <v>343</v>
      </c>
      <c r="O270" s="608" t="s">
        <v>344</v>
      </c>
      <c r="P270" s="609" t="s">
        <v>345</v>
      </c>
      <c r="Q270" s="608" t="s">
        <v>346</v>
      </c>
      <c r="R270" s="754"/>
      <c r="S270" s="754"/>
      <c r="T270" s="754"/>
      <c r="U270" s="754"/>
      <c r="V270" s="51"/>
    </row>
    <row r="271" spans="3:22" x14ac:dyDescent="0.25">
      <c r="C271" s="610" t="s">
        <v>59</v>
      </c>
      <c r="D271" s="611">
        <v>0</v>
      </c>
      <c r="E271" s="611">
        <v>0</v>
      </c>
      <c r="F271" s="611">
        <v>0</v>
      </c>
      <c r="G271" s="611">
        <v>0</v>
      </c>
      <c r="H271" s="611">
        <v>0</v>
      </c>
      <c r="I271" s="611">
        <v>0</v>
      </c>
      <c r="J271" s="612">
        <v>1052.7157454545454</v>
      </c>
      <c r="K271" s="612">
        <v>465.75813055383361</v>
      </c>
      <c r="L271" s="612">
        <v>458.29162667613781</v>
      </c>
      <c r="M271" s="612">
        <v>21.28454284594844</v>
      </c>
      <c r="N271" s="611">
        <v>1.638642873490971</v>
      </c>
      <c r="O271" s="611">
        <v>0.1692153726460352</v>
      </c>
      <c r="P271" s="612">
        <v>165.69992491801096</v>
      </c>
      <c r="Q271" s="612">
        <v>25.254108394560834</v>
      </c>
      <c r="R271" s="611">
        <v>0</v>
      </c>
      <c r="S271" s="611">
        <v>0</v>
      </c>
      <c r="T271" s="611">
        <v>0</v>
      </c>
      <c r="U271" s="613">
        <v>2190.8119370891736</v>
      </c>
      <c r="V271" s="51"/>
    </row>
    <row r="272" spans="3:22" x14ac:dyDescent="0.25">
      <c r="C272" s="610" t="s">
        <v>60</v>
      </c>
      <c r="D272" s="611">
        <v>6.0767583671953336</v>
      </c>
      <c r="E272" s="611">
        <v>189.53853209341332</v>
      </c>
      <c r="F272" s="611">
        <v>3.6404081450569747</v>
      </c>
      <c r="G272" s="611">
        <v>0</v>
      </c>
      <c r="H272" s="611">
        <v>70.464271488338852</v>
      </c>
      <c r="I272" s="611">
        <v>0</v>
      </c>
      <c r="J272" s="611">
        <v>0</v>
      </c>
      <c r="K272" s="611">
        <v>0</v>
      </c>
      <c r="L272" s="611">
        <v>4.5400000946661896</v>
      </c>
      <c r="M272" s="611">
        <v>0</v>
      </c>
      <c r="N272" s="611">
        <v>5.926124897298644</v>
      </c>
      <c r="O272" s="611">
        <v>0</v>
      </c>
      <c r="P272" s="611">
        <v>0</v>
      </c>
      <c r="Q272" s="611">
        <v>0</v>
      </c>
      <c r="R272" s="611">
        <v>0</v>
      </c>
      <c r="S272" s="611">
        <v>0</v>
      </c>
      <c r="T272" s="611">
        <v>0</v>
      </c>
      <c r="U272" s="613">
        <v>280.18609508596927</v>
      </c>
      <c r="V272" s="51"/>
    </row>
    <row r="273" spans="3:22" x14ac:dyDescent="0.25">
      <c r="C273" s="610" t="s">
        <v>61</v>
      </c>
      <c r="D273" s="611">
        <v>0</v>
      </c>
      <c r="E273" s="611">
        <v>0</v>
      </c>
      <c r="F273" s="611">
        <v>-34.688318370921742</v>
      </c>
      <c r="G273" s="611">
        <v>-5.1567908130260314</v>
      </c>
      <c r="H273" s="611">
        <v>0</v>
      </c>
      <c r="I273" s="611">
        <v>0</v>
      </c>
      <c r="J273" s="611">
        <v>0</v>
      </c>
      <c r="K273" s="611">
        <v>0</v>
      </c>
      <c r="L273" s="611">
        <v>0</v>
      </c>
      <c r="M273" s="611">
        <v>0</v>
      </c>
      <c r="N273" s="611">
        <v>0</v>
      </c>
      <c r="O273" s="611">
        <v>0</v>
      </c>
      <c r="P273" s="611">
        <v>0</v>
      </c>
      <c r="Q273" s="611">
        <v>0</v>
      </c>
      <c r="R273" s="611">
        <v>-12.796023203874938</v>
      </c>
      <c r="S273" s="611">
        <v>0</v>
      </c>
      <c r="T273" s="611">
        <v>0</v>
      </c>
      <c r="U273" s="613">
        <v>-52.641132387822708</v>
      </c>
      <c r="V273" s="51"/>
    </row>
    <row r="274" spans="3:22" x14ac:dyDescent="0.25">
      <c r="C274" s="610" t="s">
        <v>62</v>
      </c>
      <c r="D274" s="611">
        <v>0</v>
      </c>
      <c r="E274" s="611">
        <v>0</v>
      </c>
      <c r="F274" s="611">
        <v>-3.5615694502361057</v>
      </c>
      <c r="G274" s="611">
        <v>-4.706211381166379</v>
      </c>
      <c r="H274" s="611">
        <v>0</v>
      </c>
      <c r="I274" s="611">
        <v>-3.8584286845410238</v>
      </c>
      <c r="J274" s="611">
        <v>0</v>
      </c>
      <c r="K274" s="611">
        <v>0</v>
      </c>
      <c r="L274" s="611">
        <v>0</v>
      </c>
      <c r="M274" s="611">
        <v>0</v>
      </c>
      <c r="N274" s="611">
        <v>-1.4330438936791221</v>
      </c>
      <c r="O274" s="611">
        <v>-2.5722857896940159</v>
      </c>
      <c r="P274" s="611">
        <v>0</v>
      </c>
      <c r="Q274" s="611">
        <v>0</v>
      </c>
      <c r="R274" s="611">
        <v>0</v>
      </c>
      <c r="S274" s="611">
        <v>0</v>
      </c>
      <c r="T274" s="611">
        <v>-1.5542726935255338</v>
      </c>
      <c r="U274" s="613">
        <v>-17.685811892842178</v>
      </c>
      <c r="V274" s="51"/>
    </row>
    <row r="275" spans="3:22" x14ac:dyDescent="0.25">
      <c r="C275" s="610" t="s">
        <v>63</v>
      </c>
      <c r="D275" s="611">
        <v>0</v>
      </c>
      <c r="E275" s="611">
        <v>0</v>
      </c>
      <c r="F275" s="611">
        <v>-31.271549575274978</v>
      </c>
      <c r="G275" s="611">
        <v>-12.658057837302275</v>
      </c>
      <c r="H275" s="611">
        <v>0</v>
      </c>
      <c r="I275" s="611">
        <v>0</v>
      </c>
      <c r="J275" s="611">
        <v>0</v>
      </c>
      <c r="K275" s="611">
        <v>0</v>
      </c>
      <c r="L275" s="611">
        <v>0</v>
      </c>
      <c r="M275" s="611">
        <v>0</v>
      </c>
      <c r="N275" s="611">
        <v>-15.442835023025614</v>
      </c>
      <c r="O275" s="611">
        <v>0</v>
      </c>
      <c r="P275" s="611">
        <v>0</v>
      </c>
      <c r="Q275" s="611">
        <v>0</v>
      </c>
      <c r="R275" s="611">
        <v>0</v>
      </c>
      <c r="S275" s="611">
        <v>0</v>
      </c>
      <c r="T275" s="611">
        <v>-4.141098204696295</v>
      </c>
      <c r="U275" s="613">
        <v>-63.513540640299169</v>
      </c>
      <c r="V275" s="51"/>
    </row>
    <row r="276" spans="3:22" x14ac:dyDescent="0.25">
      <c r="C276" s="610" t="s">
        <v>64</v>
      </c>
      <c r="D276" s="611">
        <v>0</v>
      </c>
      <c r="E276" s="611">
        <v>0</v>
      </c>
      <c r="F276" s="611">
        <v>0</v>
      </c>
      <c r="G276" s="611">
        <v>0</v>
      </c>
      <c r="H276" s="611">
        <v>0</v>
      </c>
      <c r="I276" s="611">
        <v>0</v>
      </c>
      <c r="J276" s="611">
        <v>0</v>
      </c>
      <c r="K276" s="611">
        <v>0</v>
      </c>
      <c r="L276" s="611">
        <v>0</v>
      </c>
      <c r="M276" s="611">
        <v>0</v>
      </c>
      <c r="N276" s="611">
        <v>0</v>
      </c>
      <c r="O276" s="611">
        <v>0</v>
      </c>
      <c r="P276" s="611">
        <v>0</v>
      </c>
      <c r="Q276" s="611">
        <v>0</v>
      </c>
      <c r="R276" s="611">
        <v>0</v>
      </c>
      <c r="S276" s="611">
        <v>0</v>
      </c>
      <c r="T276" s="611">
        <v>0</v>
      </c>
      <c r="U276" s="613">
        <v>0</v>
      </c>
      <c r="V276" s="51"/>
    </row>
    <row r="277" spans="3:22" x14ac:dyDescent="0.25">
      <c r="C277" s="614" t="s">
        <v>65</v>
      </c>
      <c r="D277" s="615">
        <v>6.0767583671953336</v>
      </c>
      <c r="E277" s="615">
        <v>189.53853209341332</v>
      </c>
      <c r="F277" s="615">
        <v>-65.88102925137585</v>
      </c>
      <c r="G277" s="615">
        <v>-22.521060031494684</v>
      </c>
      <c r="H277" s="615">
        <v>70.464271488338852</v>
      </c>
      <c r="I277" s="615">
        <v>-3.8584286845410238</v>
      </c>
      <c r="J277" s="615">
        <v>1052.7157454545454</v>
      </c>
      <c r="K277" s="615">
        <v>465.75813055383361</v>
      </c>
      <c r="L277" s="615">
        <v>462.83162677080401</v>
      </c>
      <c r="M277" s="615">
        <v>21.28454284594844</v>
      </c>
      <c r="N277" s="615">
        <v>-9.3111111459151203</v>
      </c>
      <c r="O277" s="615">
        <v>-2.4030704170479806</v>
      </c>
      <c r="P277" s="615">
        <v>165.69992491801096</v>
      </c>
      <c r="Q277" s="615">
        <v>25.254108394560834</v>
      </c>
      <c r="R277" s="615">
        <v>-12.796023203874938</v>
      </c>
      <c r="S277" s="615">
        <v>0</v>
      </c>
      <c r="T277" s="615">
        <v>-5.695370898221829</v>
      </c>
      <c r="U277" s="615">
        <v>2337.1575472541786</v>
      </c>
      <c r="V277" s="51"/>
    </row>
    <row r="278" spans="3:22" x14ac:dyDescent="0.25">
      <c r="C278" s="616"/>
      <c r="D278" s="617"/>
      <c r="E278" s="617"/>
      <c r="F278" s="617"/>
      <c r="G278" s="617"/>
      <c r="H278" s="623"/>
      <c r="I278" s="617"/>
      <c r="J278" s="617"/>
      <c r="K278" s="617"/>
      <c r="L278" s="617"/>
      <c r="M278" s="617"/>
      <c r="N278" s="617"/>
      <c r="O278" s="617"/>
      <c r="P278" s="617"/>
      <c r="Q278" s="617"/>
      <c r="R278" s="617"/>
      <c r="S278" s="617"/>
      <c r="T278" s="617"/>
      <c r="U278" s="617"/>
      <c r="V278" s="51"/>
    </row>
    <row r="279" spans="3:22" x14ac:dyDescent="0.25">
      <c r="C279" s="618" t="s">
        <v>67</v>
      </c>
      <c r="D279" s="611">
        <v>0</v>
      </c>
      <c r="E279" s="611">
        <v>0</v>
      </c>
      <c r="F279" s="611">
        <v>0</v>
      </c>
      <c r="G279" s="611">
        <v>0</v>
      </c>
      <c r="H279" s="611">
        <v>0</v>
      </c>
      <c r="I279" s="611">
        <v>0</v>
      </c>
      <c r="J279" s="611">
        <v>0</v>
      </c>
      <c r="K279" s="611">
        <v>0</v>
      </c>
      <c r="L279" s="611">
        <v>0</v>
      </c>
      <c r="M279" s="611">
        <v>0</v>
      </c>
      <c r="N279" s="611">
        <v>0</v>
      </c>
      <c r="O279" s="611">
        <v>0</v>
      </c>
      <c r="P279" s="611">
        <v>0</v>
      </c>
      <c r="Q279" s="611">
        <v>0</v>
      </c>
      <c r="R279" s="611">
        <v>0</v>
      </c>
      <c r="S279" s="611">
        <v>0</v>
      </c>
      <c r="T279" s="611">
        <v>0</v>
      </c>
      <c r="U279" s="619">
        <v>0</v>
      </c>
      <c r="V279" s="51"/>
    </row>
    <row r="280" spans="3:22" x14ac:dyDescent="0.25">
      <c r="C280" s="618" t="s">
        <v>347</v>
      </c>
      <c r="D280" s="611">
        <v>0</v>
      </c>
      <c r="E280" s="611">
        <v>0</v>
      </c>
      <c r="F280" s="611">
        <v>2.6460781360013397E-2</v>
      </c>
      <c r="G280" s="611">
        <v>0</v>
      </c>
      <c r="H280" s="611">
        <v>0.60214660944206022</v>
      </c>
      <c r="I280" s="611">
        <v>0</v>
      </c>
      <c r="J280" s="611">
        <v>1052.7157454545454</v>
      </c>
      <c r="K280" s="611">
        <v>465.75813055383361</v>
      </c>
      <c r="L280" s="611">
        <v>22.779216201567415</v>
      </c>
      <c r="M280" s="611">
        <v>0.6151276496340945</v>
      </c>
      <c r="N280" s="611">
        <v>6.0578717375904887</v>
      </c>
      <c r="O280" s="611">
        <v>1.0172956568090692</v>
      </c>
      <c r="P280" s="611">
        <v>0</v>
      </c>
      <c r="Q280" s="611">
        <v>6.4590957564387725</v>
      </c>
      <c r="R280" s="611">
        <v>-864.21525686437747</v>
      </c>
      <c r="S280" s="611">
        <v>0</v>
      </c>
      <c r="T280" s="611">
        <v>4.5921899999999996</v>
      </c>
      <c r="U280" s="619">
        <v>696.40802353684307</v>
      </c>
      <c r="V280" s="51"/>
    </row>
    <row r="281" spans="3:22" x14ac:dyDescent="0.25">
      <c r="C281" s="618" t="s">
        <v>348</v>
      </c>
      <c r="D281" s="611">
        <v>0</v>
      </c>
      <c r="E281" s="611">
        <v>0</v>
      </c>
      <c r="F281" s="611">
        <v>0</v>
      </c>
      <c r="G281" s="611">
        <v>0</v>
      </c>
      <c r="H281" s="611">
        <v>4.7590942657711111</v>
      </c>
      <c r="I281" s="611">
        <v>0</v>
      </c>
      <c r="J281" s="611">
        <v>0</v>
      </c>
      <c r="K281" s="611">
        <v>0</v>
      </c>
      <c r="L281" s="611">
        <v>35.020832419252756</v>
      </c>
      <c r="M281" s="611">
        <v>14.389092995722686</v>
      </c>
      <c r="N281" s="611">
        <v>0</v>
      </c>
      <c r="O281" s="611">
        <v>7.1535057814044487</v>
      </c>
      <c r="P281" s="611">
        <v>0</v>
      </c>
      <c r="Q281" s="611">
        <v>11.121209229272322</v>
      </c>
      <c r="R281" s="611">
        <v>0</v>
      </c>
      <c r="S281" s="611">
        <v>-67.886864446200079</v>
      </c>
      <c r="T281" s="611">
        <v>0</v>
      </c>
      <c r="U281" s="619">
        <v>4.5568702452232372</v>
      </c>
      <c r="V281" s="51"/>
    </row>
    <row r="282" spans="3:22" x14ac:dyDescent="0.25">
      <c r="C282" s="618" t="s">
        <v>349</v>
      </c>
      <c r="D282" s="611">
        <v>0</v>
      </c>
      <c r="E282" s="611">
        <v>0</v>
      </c>
      <c r="F282" s="611">
        <v>0</v>
      </c>
      <c r="G282" s="611">
        <v>0</v>
      </c>
      <c r="H282" s="611">
        <v>0</v>
      </c>
      <c r="I282" s="611">
        <v>0</v>
      </c>
      <c r="J282" s="611">
        <v>0</v>
      </c>
      <c r="K282" s="611">
        <v>0</v>
      </c>
      <c r="L282" s="611">
        <v>98.086794246206622</v>
      </c>
      <c r="M282" s="611">
        <v>0</v>
      </c>
      <c r="N282" s="611">
        <v>0</v>
      </c>
      <c r="O282" s="611">
        <v>-89.52835419130885</v>
      </c>
      <c r="P282" s="611">
        <v>0</v>
      </c>
      <c r="Q282" s="611">
        <v>0</v>
      </c>
      <c r="R282" s="611">
        <v>0</v>
      </c>
      <c r="S282" s="611">
        <v>0</v>
      </c>
      <c r="T282" s="611">
        <v>0</v>
      </c>
      <c r="U282" s="619">
        <v>8.5584400548977726</v>
      </c>
      <c r="V282" s="51"/>
    </row>
    <row r="283" spans="3:22" x14ac:dyDescent="0.25">
      <c r="C283" s="618" t="s">
        <v>350</v>
      </c>
      <c r="D283" s="611">
        <v>0</v>
      </c>
      <c r="E283" s="611">
        <v>0</v>
      </c>
      <c r="F283" s="611">
        <v>0</v>
      </c>
      <c r="G283" s="611">
        <v>0</v>
      </c>
      <c r="H283" s="611">
        <v>0</v>
      </c>
      <c r="I283" s="611">
        <v>-4.6239120861329353</v>
      </c>
      <c r="J283" s="611">
        <v>0</v>
      </c>
      <c r="K283" s="611">
        <v>0</v>
      </c>
      <c r="L283" s="611">
        <v>0</v>
      </c>
      <c r="M283" s="611">
        <v>0</v>
      </c>
      <c r="N283" s="611">
        <v>0</v>
      </c>
      <c r="O283" s="611">
        <v>0</v>
      </c>
      <c r="P283" s="611">
        <v>0</v>
      </c>
      <c r="Q283" s="611">
        <v>0</v>
      </c>
      <c r="R283" s="611">
        <v>0</v>
      </c>
      <c r="S283" s="611">
        <v>0</v>
      </c>
      <c r="T283" s="611">
        <v>6.4247824825814277</v>
      </c>
      <c r="U283" s="619">
        <v>1.8008703964484924</v>
      </c>
      <c r="V283" s="51"/>
    </row>
    <row r="284" spans="3:22" x14ac:dyDescent="0.25">
      <c r="C284" s="618" t="s">
        <v>72</v>
      </c>
      <c r="D284" s="611">
        <v>0</v>
      </c>
      <c r="E284" s="611">
        <v>196.4036879947414</v>
      </c>
      <c r="F284" s="611">
        <v>-194.44562503379805</v>
      </c>
      <c r="G284" s="611">
        <v>0</v>
      </c>
      <c r="H284" s="611">
        <v>0</v>
      </c>
      <c r="I284" s="611">
        <v>0</v>
      </c>
      <c r="J284" s="611">
        <v>0</v>
      </c>
      <c r="K284" s="611">
        <v>0</v>
      </c>
      <c r="L284" s="611">
        <v>0</v>
      </c>
      <c r="M284" s="611">
        <v>0</v>
      </c>
      <c r="N284" s="611">
        <v>0</v>
      </c>
      <c r="O284" s="611">
        <v>0</v>
      </c>
      <c r="P284" s="611">
        <v>0</v>
      </c>
      <c r="Q284" s="611">
        <v>0</v>
      </c>
      <c r="R284" s="611">
        <v>0</v>
      </c>
      <c r="S284" s="611">
        <v>0</v>
      </c>
      <c r="T284" s="611">
        <v>0</v>
      </c>
      <c r="U284" s="619">
        <v>1.9580629609433515</v>
      </c>
      <c r="V284" s="51"/>
    </row>
    <row r="285" spans="3:22" x14ac:dyDescent="0.25">
      <c r="C285" s="618" t="s">
        <v>351</v>
      </c>
      <c r="D285" s="611">
        <v>0</v>
      </c>
      <c r="E285" s="611">
        <v>0</v>
      </c>
      <c r="F285" s="611">
        <v>0</v>
      </c>
      <c r="G285" s="611">
        <v>0</v>
      </c>
      <c r="H285" s="611">
        <v>0</v>
      </c>
      <c r="I285" s="611">
        <v>0</v>
      </c>
      <c r="J285" s="611">
        <v>0</v>
      </c>
      <c r="K285" s="611">
        <v>0</v>
      </c>
      <c r="L285" s="611">
        <v>241.36175808721262</v>
      </c>
      <c r="M285" s="611">
        <v>0</v>
      </c>
      <c r="N285" s="611">
        <v>-132.74896694796695</v>
      </c>
      <c r="O285" s="611">
        <v>0</v>
      </c>
      <c r="P285" s="611">
        <v>0</v>
      </c>
      <c r="Q285" s="611">
        <v>0</v>
      </c>
      <c r="R285" s="611">
        <v>0</v>
      </c>
      <c r="S285" s="611">
        <v>0</v>
      </c>
      <c r="T285" s="611">
        <v>0</v>
      </c>
      <c r="U285" s="619">
        <v>108.61279113924567</v>
      </c>
      <c r="V285" s="51"/>
    </row>
    <row r="286" spans="3:22" x14ac:dyDescent="0.25">
      <c r="C286" s="618" t="s">
        <v>352</v>
      </c>
      <c r="D286" s="611">
        <v>0</v>
      </c>
      <c r="E286" s="611">
        <v>0</v>
      </c>
      <c r="F286" s="611">
        <v>0</v>
      </c>
      <c r="G286" s="611">
        <v>-27.150443830477386</v>
      </c>
      <c r="H286" s="611">
        <v>0</v>
      </c>
      <c r="I286" s="611">
        <v>0</v>
      </c>
      <c r="J286" s="611">
        <v>0</v>
      </c>
      <c r="K286" s="611">
        <v>0</v>
      </c>
      <c r="L286" s="611">
        <v>0</v>
      </c>
      <c r="M286" s="611">
        <v>0</v>
      </c>
      <c r="N286" s="611">
        <v>0</v>
      </c>
      <c r="O286" s="611">
        <v>0</v>
      </c>
      <c r="P286" s="611">
        <v>0</v>
      </c>
      <c r="Q286" s="611">
        <v>0</v>
      </c>
      <c r="R286" s="611">
        <v>0</v>
      </c>
      <c r="S286" s="611">
        <v>0</v>
      </c>
      <c r="T286" s="611">
        <v>35.330371623276704</v>
      </c>
      <c r="U286" s="619">
        <v>8.1799277927993188</v>
      </c>
      <c r="V286" s="51"/>
    </row>
    <row r="287" spans="3:22" x14ac:dyDescent="0.25">
      <c r="C287" s="618" t="s">
        <v>73</v>
      </c>
      <c r="D287" s="611">
        <v>0</v>
      </c>
      <c r="E287" s="611">
        <v>0</v>
      </c>
      <c r="F287" s="611">
        <v>0</v>
      </c>
      <c r="G287" s="611">
        <v>0</v>
      </c>
      <c r="H287" s="611">
        <v>0</v>
      </c>
      <c r="I287" s="611">
        <v>0</v>
      </c>
      <c r="J287" s="611">
        <v>0</v>
      </c>
      <c r="K287" s="611">
        <v>0</v>
      </c>
      <c r="L287" s="611">
        <v>0</v>
      </c>
      <c r="M287" s="611">
        <v>0</v>
      </c>
      <c r="N287" s="611">
        <v>0</v>
      </c>
      <c r="O287" s="611">
        <v>0</v>
      </c>
      <c r="P287" s="611">
        <v>0</v>
      </c>
      <c r="Q287" s="611">
        <v>0</v>
      </c>
      <c r="R287" s="611">
        <v>159.35334325164439</v>
      </c>
      <c r="S287" s="611">
        <v>0</v>
      </c>
      <c r="T287" s="611">
        <v>-110.83025023151868</v>
      </c>
      <c r="U287" s="619">
        <v>48.523093020125714</v>
      </c>
      <c r="V287" s="51"/>
    </row>
    <row r="288" spans="3:22" x14ac:dyDescent="0.25">
      <c r="C288" s="618" t="s">
        <v>353</v>
      </c>
      <c r="D288" s="611">
        <v>2.8675768359375002</v>
      </c>
      <c r="E288" s="611">
        <v>-6.865155901328059</v>
      </c>
      <c r="F288" s="611">
        <v>8.9495873677013247</v>
      </c>
      <c r="G288" s="611">
        <v>0</v>
      </c>
      <c r="H288" s="611">
        <v>0</v>
      </c>
      <c r="I288" s="611">
        <v>0</v>
      </c>
      <c r="J288" s="611">
        <v>0</v>
      </c>
      <c r="K288" s="611">
        <v>0</v>
      </c>
      <c r="L288" s="611">
        <v>0</v>
      </c>
      <c r="M288" s="611">
        <v>0</v>
      </c>
      <c r="N288" s="611">
        <v>0</v>
      </c>
      <c r="O288" s="611">
        <v>0</v>
      </c>
      <c r="P288" s="611">
        <v>0</v>
      </c>
      <c r="Q288" s="611">
        <v>0</v>
      </c>
      <c r="R288" s="611">
        <v>0</v>
      </c>
      <c r="S288" s="611">
        <v>0</v>
      </c>
      <c r="T288" s="611">
        <v>0</v>
      </c>
      <c r="U288" s="619">
        <v>4.9520083023107659</v>
      </c>
      <c r="V288" s="51"/>
    </row>
    <row r="289" spans="3:22" x14ac:dyDescent="0.25">
      <c r="C289" s="618" t="s">
        <v>75</v>
      </c>
      <c r="D289" s="611">
        <v>1.1151687695312502</v>
      </c>
      <c r="E289" s="611">
        <v>0</v>
      </c>
      <c r="F289" s="611">
        <v>6.7328106776803835</v>
      </c>
      <c r="G289" s="611">
        <v>0</v>
      </c>
      <c r="H289" s="611">
        <v>2.2924587532620087</v>
      </c>
      <c r="I289" s="611">
        <v>3.0296811717119062E-2</v>
      </c>
      <c r="J289" s="611">
        <v>0</v>
      </c>
      <c r="K289" s="611">
        <v>0</v>
      </c>
      <c r="L289" s="611">
        <v>0</v>
      </c>
      <c r="M289" s="611">
        <v>0</v>
      </c>
      <c r="N289" s="611">
        <v>0</v>
      </c>
      <c r="O289" s="611">
        <v>2.7267130545407157</v>
      </c>
      <c r="P289" s="611">
        <v>0</v>
      </c>
      <c r="Q289" s="611">
        <v>0</v>
      </c>
      <c r="R289" s="611">
        <v>65.383687298326777</v>
      </c>
      <c r="S289" s="611">
        <v>0</v>
      </c>
      <c r="T289" s="611">
        <v>0</v>
      </c>
      <c r="U289" s="619">
        <v>78.281135365058248</v>
      </c>
      <c r="V289" s="51"/>
    </row>
    <row r="290" spans="3:22" x14ac:dyDescent="0.25">
      <c r="C290" s="618" t="s">
        <v>76</v>
      </c>
      <c r="D290" s="611">
        <v>0</v>
      </c>
      <c r="E290" s="611">
        <v>0</v>
      </c>
      <c r="F290" s="611">
        <v>0</v>
      </c>
      <c r="G290" s="611">
        <v>0</v>
      </c>
      <c r="H290" s="611">
        <v>0.75897137289116512</v>
      </c>
      <c r="I290" s="611">
        <v>1.0030458672570465E-2</v>
      </c>
      <c r="J290" s="611">
        <v>0</v>
      </c>
      <c r="K290" s="611">
        <v>0</v>
      </c>
      <c r="L290" s="611">
        <v>0</v>
      </c>
      <c r="M290" s="611">
        <v>0</v>
      </c>
      <c r="N290" s="611">
        <v>0</v>
      </c>
      <c r="O290" s="611">
        <v>0.90274128053134184</v>
      </c>
      <c r="P290" s="611">
        <v>0</v>
      </c>
      <c r="Q290" s="611">
        <v>0</v>
      </c>
      <c r="R290" s="611">
        <v>65.177824183593955</v>
      </c>
      <c r="S290" s="611">
        <v>5.2653500556957935</v>
      </c>
      <c r="T290" s="611">
        <v>0</v>
      </c>
      <c r="U290" s="619">
        <v>72.114917351384818</v>
      </c>
      <c r="V290" s="51"/>
    </row>
    <row r="291" spans="3:22" x14ac:dyDescent="0.25">
      <c r="C291" s="614" t="s">
        <v>77</v>
      </c>
      <c r="D291" s="615">
        <v>3.9827456054687502</v>
      </c>
      <c r="E291" s="615">
        <v>189.53853209341335</v>
      </c>
      <c r="F291" s="615">
        <v>-178.73676620705632</v>
      </c>
      <c r="G291" s="615">
        <v>-27.150443830477386</v>
      </c>
      <c r="H291" s="615">
        <v>8.4126710013663466</v>
      </c>
      <c r="I291" s="615">
        <v>-4.5835848157432455</v>
      </c>
      <c r="J291" s="615">
        <v>1052.7157454545454</v>
      </c>
      <c r="K291" s="615">
        <v>465.75813055383361</v>
      </c>
      <c r="L291" s="615">
        <v>397.24860095423941</v>
      </c>
      <c r="M291" s="615">
        <v>15.004220645356781</v>
      </c>
      <c r="N291" s="615">
        <v>-126.69109521037646</v>
      </c>
      <c r="O291" s="615">
        <v>-77.728098418023279</v>
      </c>
      <c r="P291" s="615">
        <v>0</v>
      </c>
      <c r="Q291" s="615">
        <v>17.580304985711095</v>
      </c>
      <c r="R291" s="615">
        <v>-574.30040213081236</v>
      </c>
      <c r="S291" s="615">
        <v>-62.621514390504288</v>
      </c>
      <c r="T291" s="615">
        <v>-64.482906125660548</v>
      </c>
      <c r="U291" s="615">
        <v>1033.9461401652807</v>
      </c>
      <c r="V291" s="51"/>
    </row>
    <row r="292" spans="3:22" x14ac:dyDescent="0.25">
      <c r="C292" s="616"/>
      <c r="D292" s="617"/>
      <c r="E292" s="617"/>
      <c r="F292" s="617"/>
      <c r="G292" s="617"/>
      <c r="H292" s="623"/>
      <c r="I292" s="617"/>
      <c r="J292" s="617"/>
      <c r="K292" s="617"/>
      <c r="L292" s="617"/>
      <c r="M292" s="617"/>
      <c r="N292" s="617"/>
      <c r="O292" s="617"/>
      <c r="P292" s="617"/>
      <c r="Q292" s="617"/>
      <c r="R292" s="617"/>
      <c r="S292" s="617"/>
      <c r="T292" s="617"/>
      <c r="U292" s="617"/>
      <c r="V292" s="51"/>
    </row>
    <row r="293" spans="3:22" x14ac:dyDescent="0.25">
      <c r="C293" s="618" t="s">
        <v>78</v>
      </c>
      <c r="D293" s="611">
        <v>2.0940127617265829</v>
      </c>
      <c r="E293" s="611">
        <v>0</v>
      </c>
      <c r="F293" s="611">
        <v>3.9559881090060012</v>
      </c>
      <c r="G293" s="611">
        <v>0</v>
      </c>
      <c r="H293" s="611">
        <v>29.330369351366478</v>
      </c>
      <c r="I293" s="611">
        <v>0.38762602667004159</v>
      </c>
      <c r="J293" s="611">
        <v>0</v>
      </c>
      <c r="K293" s="611">
        <v>0</v>
      </c>
      <c r="L293" s="611">
        <v>22.502553570699096</v>
      </c>
      <c r="M293" s="611">
        <v>6.2799536188843161</v>
      </c>
      <c r="N293" s="611">
        <v>2.4575263222437633</v>
      </c>
      <c r="O293" s="611">
        <v>34.926617647556021</v>
      </c>
      <c r="P293" s="611">
        <v>15.884769531250001</v>
      </c>
      <c r="Q293" s="611">
        <v>8.2107689234467234E-4</v>
      </c>
      <c r="R293" s="611">
        <v>182.47691843600197</v>
      </c>
      <c r="S293" s="611">
        <v>21.072717059029664</v>
      </c>
      <c r="T293" s="611">
        <v>11.809244140624999</v>
      </c>
      <c r="U293" s="619">
        <v>333.17911765195134</v>
      </c>
      <c r="V293" s="51"/>
    </row>
    <row r="294" spans="3:22" x14ac:dyDescent="0.25">
      <c r="C294" s="618" t="s">
        <v>79</v>
      </c>
      <c r="D294" s="611">
        <v>0</v>
      </c>
      <c r="E294" s="611">
        <v>0</v>
      </c>
      <c r="F294" s="611">
        <v>30.895911025222354</v>
      </c>
      <c r="G294" s="611">
        <v>2.274686269460287</v>
      </c>
      <c r="H294" s="611">
        <v>3.5299320203269446</v>
      </c>
      <c r="I294" s="611">
        <v>4.665108396907857E-2</v>
      </c>
      <c r="J294" s="611">
        <v>0</v>
      </c>
      <c r="K294" s="611">
        <v>0</v>
      </c>
      <c r="L294" s="611">
        <v>0</v>
      </c>
      <c r="M294" s="611">
        <v>0</v>
      </c>
      <c r="N294" s="611">
        <v>63.386114552424544</v>
      </c>
      <c r="O294" s="611">
        <v>4.1985975572170711</v>
      </c>
      <c r="P294" s="611">
        <v>0</v>
      </c>
      <c r="Q294" s="611">
        <v>0</v>
      </c>
      <c r="R294" s="611">
        <v>104.74847060439184</v>
      </c>
      <c r="S294" s="611">
        <v>0</v>
      </c>
      <c r="T294" s="611">
        <v>5.8458763044597228</v>
      </c>
      <c r="U294" s="619">
        <v>214.92623941747186</v>
      </c>
      <c r="V294" s="51"/>
    </row>
    <row r="295" spans="3:22" x14ac:dyDescent="0.25">
      <c r="C295" s="618" t="s">
        <v>80</v>
      </c>
      <c r="D295" s="611">
        <v>0</v>
      </c>
      <c r="E295" s="611">
        <v>0</v>
      </c>
      <c r="F295" s="611">
        <v>0.60086868241819513</v>
      </c>
      <c r="G295" s="611">
        <v>0</v>
      </c>
      <c r="H295" s="611">
        <v>13.347300372388817</v>
      </c>
      <c r="I295" s="611">
        <v>0.1763960401637289</v>
      </c>
      <c r="J295" s="611">
        <v>0</v>
      </c>
      <c r="K295" s="611">
        <v>0</v>
      </c>
      <c r="L295" s="611">
        <v>38.756256119598135</v>
      </c>
      <c r="M295" s="611">
        <v>0</v>
      </c>
      <c r="N295" s="611">
        <v>0</v>
      </c>
      <c r="O295" s="611">
        <v>15.875643614735601</v>
      </c>
      <c r="P295" s="611">
        <v>100.70688369191794</v>
      </c>
      <c r="Q295" s="611">
        <v>2.8847164087553931</v>
      </c>
      <c r="R295" s="611">
        <v>147.56133606308299</v>
      </c>
      <c r="S295" s="611">
        <v>22.806124338594827</v>
      </c>
      <c r="T295" s="611">
        <v>0</v>
      </c>
      <c r="U295" s="619">
        <v>342.71552533165561</v>
      </c>
      <c r="V295" s="51"/>
    </row>
    <row r="296" spans="3:22" x14ac:dyDescent="0.25">
      <c r="C296" s="618" t="s">
        <v>81</v>
      </c>
      <c r="D296" s="611">
        <v>0</v>
      </c>
      <c r="E296" s="611">
        <v>0</v>
      </c>
      <c r="F296" s="611">
        <v>0.5398070851157275</v>
      </c>
      <c r="G296" s="611">
        <v>0</v>
      </c>
      <c r="H296" s="611">
        <v>7.9791393283443517</v>
      </c>
      <c r="I296" s="611">
        <v>0.10545118055080642</v>
      </c>
      <c r="J296" s="611">
        <v>0</v>
      </c>
      <c r="K296" s="611">
        <v>0</v>
      </c>
      <c r="L296" s="611">
        <v>0.5139229004760727</v>
      </c>
      <c r="M296" s="611">
        <v>0</v>
      </c>
      <c r="N296" s="611">
        <v>0</v>
      </c>
      <c r="O296" s="611">
        <v>9.4906062495725791</v>
      </c>
      <c r="P296" s="611">
        <v>47.95827169484302</v>
      </c>
      <c r="Q296" s="611">
        <v>3.2216095546912449</v>
      </c>
      <c r="R296" s="611">
        <v>115.04806835366153</v>
      </c>
      <c r="S296" s="611">
        <v>18.742672992879797</v>
      </c>
      <c r="T296" s="611">
        <v>0</v>
      </c>
      <c r="U296" s="619">
        <v>203.59954934013513</v>
      </c>
      <c r="V296" s="51"/>
    </row>
    <row r="297" spans="3:22" x14ac:dyDescent="0.25">
      <c r="C297" s="618" t="s">
        <v>82</v>
      </c>
      <c r="D297" s="611">
        <v>0</v>
      </c>
      <c r="E297" s="611">
        <v>0</v>
      </c>
      <c r="F297" s="611">
        <v>6.3369770221135076</v>
      </c>
      <c r="G297" s="611">
        <v>0</v>
      </c>
      <c r="H297" s="611">
        <v>0.68340618854154467</v>
      </c>
      <c r="I297" s="611">
        <v>9.0317998485666701E-3</v>
      </c>
      <c r="J297" s="611">
        <v>0</v>
      </c>
      <c r="K297" s="611">
        <v>0</v>
      </c>
      <c r="L297" s="611">
        <v>3.3891942411636795</v>
      </c>
      <c r="M297" s="611">
        <v>0</v>
      </c>
      <c r="N297" s="611">
        <v>17.640118554075091</v>
      </c>
      <c r="O297" s="611">
        <v>0.81286198637100038</v>
      </c>
      <c r="P297" s="611">
        <v>1.1499999999999999</v>
      </c>
      <c r="Q297" s="611">
        <v>1.5666563685107562</v>
      </c>
      <c r="R297" s="611">
        <v>6.9055854697991039</v>
      </c>
      <c r="S297" s="611">
        <v>0</v>
      </c>
      <c r="T297" s="611">
        <v>0.60935288805652987</v>
      </c>
      <c r="U297" s="619">
        <v>39.103184518479779</v>
      </c>
      <c r="V297" s="51"/>
    </row>
    <row r="298" spans="3:22" x14ac:dyDescent="0.25">
      <c r="C298" s="618" t="s">
        <v>354</v>
      </c>
      <c r="D298" s="611">
        <v>0</v>
      </c>
      <c r="E298" s="611">
        <v>0</v>
      </c>
      <c r="F298" s="611">
        <v>0</v>
      </c>
      <c r="G298" s="611">
        <v>0</v>
      </c>
      <c r="H298" s="611">
        <v>0</v>
      </c>
      <c r="I298" s="611">
        <v>0</v>
      </c>
      <c r="J298" s="611">
        <v>0</v>
      </c>
      <c r="K298" s="611">
        <v>0</v>
      </c>
      <c r="L298" s="611">
        <v>0</v>
      </c>
      <c r="M298" s="611">
        <v>0</v>
      </c>
      <c r="N298" s="611">
        <v>0</v>
      </c>
      <c r="O298" s="611">
        <v>0</v>
      </c>
      <c r="P298" s="611">
        <v>0</v>
      </c>
      <c r="Q298" s="611">
        <v>0</v>
      </c>
      <c r="R298" s="611">
        <v>4.7640000000000002</v>
      </c>
      <c r="S298" s="611">
        <v>0</v>
      </c>
      <c r="T298" s="611">
        <v>0</v>
      </c>
      <c r="U298" s="619">
        <v>4.7640000000000002</v>
      </c>
      <c r="V298" s="51"/>
    </row>
    <row r="299" spans="3:22" x14ac:dyDescent="0.25">
      <c r="C299" s="614" t="s">
        <v>83</v>
      </c>
      <c r="D299" s="615">
        <v>2.0940127617265829</v>
      </c>
      <c r="E299" s="615">
        <v>0</v>
      </c>
      <c r="F299" s="615">
        <v>42.329551923875783</v>
      </c>
      <c r="G299" s="615">
        <v>2.274686269460287</v>
      </c>
      <c r="H299" s="615">
        <v>54.870147260968139</v>
      </c>
      <c r="I299" s="615">
        <v>0.72515613120222222</v>
      </c>
      <c r="J299" s="615">
        <v>0</v>
      </c>
      <c r="K299" s="615">
        <v>0</v>
      </c>
      <c r="L299" s="615">
        <v>65.161926831936981</v>
      </c>
      <c r="M299" s="615">
        <v>6.2799536188843161</v>
      </c>
      <c r="N299" s="615">
        <v>83.483759428743397</v>
      </c>
      <c r="O299" s="615">
        <v>65.304327055452276</v>
      </c>
      <c r="P299" s="615">
        <v>165.69992491801096</v>
      </c>
      <c r="Q299" s="615">
        <v>7.6738034088497393</v>
      </c>
      <c r="R299" s="615">
        <v>561.50437892693742</v>
      </c>
      <c r="S299" s="615">
        <v>62.621514390504288</v>
      </c>
      <c r="T299" s="615">
        <v>18.264473333141254</v>
      </c>
      <c r="U299" s="615">
        <v>1138.2876162596938</v>
      </c>
      <c r="V299" s="51"/>
    </row>
    <row r="300" spans="3:22" x14ac:dyDescent="0.25">
      <c r="C300" s="610" t="s">
        <v>84</v>
      </c>
      <c r="D300" s="611">
        <v>0</v>
      </c>
      <c r="E300" s="611">
        <v>0</v>
      </c>
      <c r="F300" s="611">
        <v>70.526185031804687</v>
      </c>
      <c r="G300" s="611">
        <v>2.3546975295224146</v>
      </c>
      <c r="H300" s="611">
        <v>7.1814532260043631</v>
      </c>
      <c r="I300" s="611">
        <v>0</v>
      </c>
      <c r="J300" s="611">
        <v>0</v>
      </c>
      <c r="K300" s="611">
        <v>0</v>
      </c>
      <c r="L300" s="611">
        <v>0.42109898462761541</v>
      </c>
      <c r="M300" s="611">
        <v>0</v>
      </c>
      <c r="N300" s="611">
        <v>33.896224635717942</v>
      </c>
      <c r="O300" s="611">
        <v>10.020700945523032</v>
      </c>
      <c r="P300" s="611">
        <v>0</v>
      </c>
      <c r="Q300" s="611">
        <v>0</v>
      </c>
      <c r="R300" s="611">
        <v>0</v>
      </c>
      <c r="S300" s="611">
        <v>0</v>
      </c>
      <c r="T300" s="611">
        <v>40.523061894297456</v>
      </c>
      <c r="U300" s="619">
        <v>164.92342224749751</v>
      </c>
      <c r="V300" s="51"/>
    </row>
    <row r="301" spans="3:22" x14ac:dyDescent="0.25">
      <c r="C301" s="614" t="s">
        <v>85</v>
      </c>
      <c r="D301" s="615">
        <v>2.0940127617265829</v>
      </c>
      <c r="E301" s="615">
        <v>0</v>
      </c>
      <c r="F301" s="615">
        <v>112.85573695568047</v>
      </c>
      <c r="G301" s="615">
        <v>4.6293837989827011</v>
      </c>
      <c r="H301" s="615">
        <v>62.051600486972504</v>
      </c>
      <c r="I301" s="615">
        <v>0.72515613120222222</v>
      </c>
      <c r="J301" s="615">
        <v>0</v>
      </c>
      <c r="K301" s="615">
        <v>0</v>
      </c>
      <c r="L301" s="615">
        <v>65.5830258165646</v>
      </c>
      <c r="M301" s="615">
        <v>6.2799536188843161</v>
      </c>
      <c r="N301" s="615">
        <v>117.37998406446134</v>
      </c>
      <c r="O301" s="615">
        <v>75.325028000975308</v>
      </c>
      <c r="P301" s="615">
        <v>165.69992491801096</v>
      </c>
      <c r="Q301" s="615">
        <v>7.6738034088497393</v>
      </c>
      <c r="R301" s="615">
        <v>561.50437892693742</v>
      </c>
      <c r="S301" s="615">
        <v>62.621514390504288</v>
      </c>
      <c r="T301" s="615">
        <v>58.78753522743871</v>
      </c>
      <c r="U301" s="615">
        <v>1303.2110385071912</v>
      </c>
      <c r="V301" s="51"/>
    </row>
    <row r="302" spans="3:22" x14ac:dyDescent="0.25">
      <c r="C302" s="51"/>
      <c r="D302" s="67">
        <v>0</v>
      </c>
      <c r="E302" s="67">
        <v>0</v>
      </c>
      <c r="F302" s="67">
        <v>0</v>
      </c>
      <c r="G302" s="67">
        <v>0</v>
      </c>
      <c r="H302" s="67">
        <v>0</v>
      </c>
      <c r="I302" s="67">
        <v>0</v>
      </c>
      <c r="J302" s="67">
        <v>0</v>
      </c>
      <c r="K302" s="67">
        <v>0</v>
      </c>
      <c r="L302" s="67">
        <v>0</v>
      </c>
      <c r="M302" s="67">
        <v>-3.685817073417752E-4</v>
      </c>
      <c r="N302" s="67">
        <v>0</v>
      </c>
      <c r="O302" s="67">
        <v>9.7699626167013776E-15</v>
      </c>
      <c r="P302" s="67">
        <v>0</v>
      </c>
      <c r="Q302" s="67">
        <v>0</v>
      </c>
      <c r="R302" s="67">
        <v>0</v>
      </c>
      <c r="S302" s="67">
        <v>0</v>
      </c>
      <c r="T302" s="67">
        <v>-9.7699626167013776E-15</v>
      </c>
      <c r="U302" s="67">
        <v>-3.6858170687992242E-4</v>
      </c>
      <c r="V302" s="51"/>
    </row>
    <row r="303" spans="3:22" x14ac:dyDescent="0.25">
      <c r="C303" s="51"/>
      <c r="D303" s="51"/>
      <c r="E303" s="51"/>
      <c r="F303" s="51"/>
      <c r="G303" s="67"/>
      <c r="H303" s="51"/>
      <c r="I303" s="51"/>
      <c r="J303" s="51"/>
      <c r="K303" s="51"/>
      <c r="L303" s="51"/>
      <c r="M303" s="51"/>
      <c r="N303" s="51"/>
      <c r="O303" s="51"/>
      <c r="P303" s="51"/>
      <c r="Q303" s="51"/>
      <c r="R303" s="51"/>
      <c r="S303" s="51"/>
      <c r="T303" s="51"/>
      <c r="U303" s="51"/>
      <c r="V303" s="51"/>
    </row>
    <row r="304" spans="3:22" x14ac:dyDescent="0.25">
      <c r="C304" s="607" t="s">
        <v>361</v>
      </c>
      <c r="D304" s="606"/>
      <c r="E304" s="606"/>
      <c r="F304" s="606"/>
      <c r="G304" s="682"/>
      <c r="H304" s="606"/>
      <c r="I304" s="606"/>
      <c r="J304" s="606"/>
      <c r="K304" s="606"/>
      <c r="L304" s="606"/>
      <c r="M304" s="606"/>
      <c r="N304" s="606"/>
      <c r="O304" s="606"/>
      <c r="P304" s="606"/>
      <c r="Q304" s="606"/>
      <c r="R304" s="606"/>
      <c r="S304" s="606"/>
      <c r="T304" s="606"/>
      <c r="U304" s="606"/>
      <c r="V304" s="606"/>
    </row>
    <row r="305" spans="3:22" x14ac:dyDescent="0.25">
      <c r="C305" s="51"/>
      <c r="D305" s="51"/>
      <c r="E305" s="51"/>
      <c r="F305" s="51"/>
      <c r="G305" s="67"/>
      <c r="H305" s="51"/>
      <c r="I305" s="51"/>
      <c r="J305" s="51"/>
      <c r="K305" s="51"/>
      <c r="L305" s="51"/>
      <c r="M305" s="51"/>
      <c r="N305" s="51"/>
      <c r="O305" s="51"/>
      <c r="P305" s="51"/>
      <c r="Q305" s="51"/>
      <c r="R305" s="51"/>
      <c r="S305" s="51"/>
      <c r="T305" s="51"/>
      <c r="U305" s="51"/>
      <c r="V305" s="51"/>
    </row>
    <row r="306" spans="3:22" x14ac:dyDescent="0.25">
      <c r="C306" s="764" t="s">
        <v>128</v>
      </c>
      <c r="D306" s="753" t="s">
        <v>42</v>
      </c>
      <c r="E306" s="753" t="s">
        <v>52</v>
      </c>
      <c r="F306" s="753" t="s">
        <v>53</v>
      </c>
      <c r="G306" s="766" t="s">
        <v>482</v>
      </c>
      <c r="H306" s="753" t="s">
        <v>32</v>
      </c>
      <c r="I306" s="753" t="s">
        <v>483</v>
      </c>
      <c r="J306" s="753" t="s">
        <v>20</v>
      </c>
      <c r="K306" s="753" t="s">
        <v>55</v>
      </c>
      <c r="L306" s="761" t="s">
        <v>56</v>
      </c>
      <c r="M306" s="762"/>
      <c r="N306" s="762"/>
      <c r="O306" s="762"/>
      <c r="P306" s="762"/>
      <c r="Q306" s="763"/>
      <c r="R306" s="753" t="s">
        <v>57</v>
      </c>
      <c r="S306" s="753" t="s">
        <v>58</v>
      </c>
      <c r="T306" s="753" t="s">
        <v>31</v>
      </c>
      <c r="U306" s="753" t="s">
        <v>10</v>
      </c>
      <c r="V306" s="51"/>
    </row>
    <row r="307" spans="3:22" ht="36" x14ac:dyDescent="0.25">
      <c r="C307" s="765"/>
      <c r="D307" s="754"/>
      <c r="E307" s="754"/>
      <c r="F307" s="754"/>
      <c r="G307" s="767"/>
      <c r="H307" s="754"/>
      <c r="I307" s="754"/>
      <c r="J307" s="754"/>
      <c r="K307" s="754"/>
      <c r="L307" s="608" t="s">
        <v>335</v>
      </c>
      <c r="M307" s="608" t="s">
        <v>40</v>
      </c>
      <c r="N307" s="608" t="s">
        <v>343</v>
      </c>
      <c r="O307" s="608" t="s">
        <v>344</v>
      </c>
      <c r="P307" s="609" t="s">
        <v>345</v>
      </c>
      <c r="Q307" s="608" t="s">
        <v>346</v>
      </c>
      <c r="R307" s="754"/>
      <c r="S307" s="754"/>
      <c r="T307" s="754"/>
      <c r="U307" s="754"/>
      <c r="V307" s="51"/>
    </row>
    <row r="308" spans="3:22" x14ac:dyDescent="0.25">
      <c r="C308" s="610" t="s">
        <v>59</v>
      </c>
      <c r="D308" s="611">
        <v>0</v>
      </c>
      <c r="E308" s="611">
        <v>0</v>
      </c>
      <c r="F308" s="611">
        <v>0</v>
      </c>
      <c r="G308" s="611">
        <v>0</v>
      </c>
      <c r="H308" s="611">
        <v>0</v>
      </c>
      <c r="I308" s="611">
        <v>0</v>
      </c>
      <c r="J308" s="612">
        <v>971.10439999999994</v>
      </c>
      <c r="K308" s="612">
        <v>503.30122823446823</v>
      </c>
      <c r="L308" s="612">
        <v>455.14148237245831</v>
      </c>
      <c r="M308" s="612">
        <v>20.793873035909879</v>
      </c>
      <c r="N308" s="611">
        <v>1.6797912871987437</v>
      </c>
      <c r="O308" s="611">
        <v>0.17065445399605614</v>
      </c>
      <c r="P308" s="612">
        <v>171.08209770143009</v>
      </c>
      <c r="Q308" s="612">
        <v>25.726769025027945</v>
      </c>
      <c r="R308" s="611">
        <v>0</v>
      </c>
      <c r="S308" s="611">
        <v>0</v>
      </c>
      <c r="T308" s="611">
        <v>0</v>
      </c>
      <c r="U308" s="613">
        <v>2149.0002961104892</v>
      </c>
      <c r="V308" s="51"/>
    </row>
    <row r="309" spans="3:22" x14ac:dyDescent="0.25">
      <c r="C309" s="610" t="s">
        <v>60</v>
      </c>
      <c r="D309" s="611">
        <v>1.6567330370836562</v>
      </c>
      <c r="E309" s="611">
        <v>156.10342406212303</v>
      </c>
      <c r="F309" s="611">
        <v>2.9590354993625017</v>
      </c>
      <c r="G309" s="611">
        <v>0</v>
      </c>
      <c r="H309" s="611">
        <v>54.539197305320002</v>
      </c>
      <c r="I309" s="611">
        <v>0</v>
      </c>
      <c r="J309" s="611">
        <v>0</v>
      </c>
      <c r="K309" s="611">
        <v>0</v>
      </c>
      <c r="L309" s="611">
        <v>4.8125993033158778</v>
      </c>
      <c r="M309" s="611">
        <v>0</v>
      </c>
      <c r="N309" s="611">
        <v>6.2295354537228107</v>
      </c>
      <c r="O309" s="611">
        <v>0</v>
      </c>
      <c r="P309" s="611">
        <v>0</v>
      </c>
      <c r="Q309" s="611">
        <v>0</v>
      </c>
      <c r="R309" s="611">
        <v>12.737834844238364</v>
      </c>
      <c r="S309" s="611">
        <v>0</v>
      </c>
      <c r="T309" s="611">
        <v>0</v>
      </c>
      <c r="U309" s="613">
        <v>239.03835950516623</v>
      </c>
      <c r="V309" s="51"/>
    </row>
    <row r="310" spans="3:22" x14ac:dyDescent="0.25">
      <c r="C310" s="610" t="s">
        <v>61</v>
      </c>
      <c r="D310" s="611">
        <v>0</v>
      </c>
      <c r="E310" s="611">
        <v>0</v>
      </c>
      <c r="F310" s="611">
        <v>-44.676300971263089</v>
      </c>
      <c r="G310" s="611">
        <v>-7.4420014649377606</v>
      </c>
      <c r="H310" s="611">
        <v>0</v>
      </c>
      <c r="I310" s="611">
        <v>0</v>
      </c>
      <c r="J310" s="611">
        <v>0</v>
      </c>
      <c r="K310" s="611">
        <v>0</v>
      </c>
      <c r="L310" s="611">
        <v>0</v>
      </c>
      <c r="M310" s="611">
        <v>0</v>
      </c>
      <c r="N310" s="611">
        <v>0</v>
      </c>
      <c r="O310" s="611">
        <v>0</v>
      </c>
      <c r="P310" s="611">
        <v>0</v>
      </c>
      <c r="Q310" s="611">
        <v>0</v>
      </c>
      <c r="R310" s="611">
        <v>0</v>
      </c>
      <c r="S310" s="611">
        <v>0</v>
      </c>
      <c r="T310" s="611">
        <v>0</v>
      </c>
      <c r="U310" s="613">
        <v>-52.11830243620085</v>
      </c>
      <c r="V310" s="51"/>
    </row>
    <row r="311" spans="3:22" x14ac:dyDescent="0.25">
      <c r="C311" s="610" t="s">
        <v>62</v>
      </c>
      <c r="D311" s="611">
        <v>0</v>
      </c>
      <c r="E311" s="611">
        <v>0</v>
      </c>
      <c r="F311" s="611">
        <v>-2.5439781787400757</v>
      </c>
      <c r="G311" s="611">
        <v>-5.1073400578201751</v>
      </c>
      <c r="H311" s="611">
        <v>0</v>
      </c>
      <c r="I311" s="611">
        <v>-4.025065184691706</v>
      </c>
      <c r="J311" s="611">
        <v>0</v>
      </c>
      <c r="K311" s="611">
        <v>0</v>
      </c>
      <c r="L311" s="611">
        <v>0</v>
      </c>
      <c r="M311" s="611">
        <v>0</v>
      </c>
      <c r="N311" s="611">
        <v>-1.4642875778969737</v>
      </c>
      <c r="O311" s="611">
        <v>-2.6833767897944703</v>
      </c>
      <c r="P311" s="611">
        <v>0</v>
      </c>
      <c r="Q311" s="611">
        <v>0</v>
      </c>
      <c r="R311" s="611">
        <v>0</v>
      </c>
      <c r="S311" s="611">
        <v>0</v>
      </c>
      <c r="T311" s="611">
        <v>-1.8096944583874461</v>
      </c>
      <c r="U311" s="613">
        <v>-17.633742247330847</v>
      </c>
      <c r="V311" s="51"/>
    </row>
    <row r="312" spans="3:22" x14ac:dyDescent="0.25">
      <c r="C312" s="610" t="s">
        <v>63</v>
      </c>
      <c r="D312" s="611">
        <v>0</v>
      </c>
      <c r="E312" s="611">
        <v>0</v>
      </c>
      <c r="F312" s="611">
        <v>-26.066537028283065</v>
      </c>
      <c r="G312" s="611">
        <v>-15.61159587816994</v>
      </c>
      <c r="H312" s="611">
        <v>0</v>
      </c>
      <c r="I312" s="611">
        <v>0</v>
      </c>
      <c r="J312" s="611">
        <v>0</v>
      </c>
      <c r="K312" s="611">
        <v>0</v>
      </c>
      <c r="L312" s="611">
        <v>0</v>
      </c>
      <c r="M312" s="611">
        <v>0</v>
      </c>
      <c r="N312" s="611">
        <v>-15.61159587816994</v>
      </c>
      <c r="O312" s="611">
        <v>0</v>
      </c>
      <c r="P312" s="611">
        <v>0</v>
      </c>
      <c r="Q312" s="611">
        <v>0</v>
      </c>
      <c r="R312" s="611">
        <v>0</v>
      </c>
      <c r="S312" s="611">
        <v>0</v>
      </c>
      <c r="T312" s="611">
        <v>-5.1590895167519655</v>
      </c>
      <c r="U312" s="613">
        <v>-62.448818301374899</v>
      </c>
      <c r="V312" s="51"/>
    </row>
    <row r="313" spans="3:22" x14ac:dyDescent="0.25">
      <c r="C313" s="610" t="s">
        <v>64</v>
      </c>
      <c r="D313" s="611">
        <v>0</v>
      </c>
      <c r="E313" s="611">
        <v>0</v>
      </c>
      <c r="F313" s="611">
        <v>0</v>
      </c>
      <c r="G313" s="611">
        <v>0</v>
      </c>
      <c r="H313" s="611">
        <v>0</v>
      </c>
      <c r="I313" s="611">
        <v>0</v>
      </c>
      <c r="J313" s="611">
        <v>0</v>
      </c>
      <c r="K313" s="611">
        <v>0</v>
      </c>
      <c r="L313" s="611">
        <v>0</v>
      </c>
      <c r="M313" s="611">
        <v>0</v>
      </c>
      <c r="N313" s="611">
        <v>0</v>
      </c>
      <c r="O313" s="611">
        <v>0</v>
      </c>
      <c r="P313" s="611">
        <v>0</v>
      </c>
      <c r="Q313" s="611">
        <v>0</v>
      </c>
      <c r="R313" s="611">
        <v>0</v>
      </c>
      <c r="S313" s="611">
        <v>0</v>
      </c>
      <c r="T313" s="611">
        <v>0</v>
      </c>
      <c r="U313" s="613">
        <v>0</v>
      </c>
      <c r="V313" s="51"/>
    </row>
    <row r="314" spans="3:22" x14ac:dyDescent="0.25">
      <c r="C314" s="614" t="s">
        <v>65</v>
      </c>
      <c r="D314" s="615">
        <v>1.6567330370836562</v>
      </c>
      <c r="E314" s="615">
        <v>156.10342406212303</v>
      </c>
      <c r="F314" s="615">
        <v>-70.32778067892373</v>
      </c>
      <c r="G314" s="615">
        <v>-28.160937400927875</v>
      </c>
      <c r="H314" s="615">
        <v>54.539197305320002</v>
      </c>
      <c r="I314" s="615">
        <v>-4.025065184691706</v>
      </c>
      <c r="J314" s="615">
        <v>971.10439999999994</v>
      </c>
      <c r="K314" s="615">
        <v>503.30122823446823</v>
      </c>
      <c r="L314" s="615">
        <v>459.9540816757742</v>
      </c>
      <c r="M314" s="615">
        <v>20.793873035909879</v>
      </c>
      <c r="N314" s="615">
        <v>-9.166556715145358</v>
      </c>
      <c r="O314" s="615">
        <v>-2.5127223357984141</v>
      </c>
      <c r="P314" s="615">
        <v>171.08209770143009</v>
      </c>
      <c r="Q314" s="615">
        <v>25.726769025027945</v>
      </c>
      <c r="R314" s="615">
        <v>12.737834844238364</v>
      </c>
      <c r="S314" s="615">
        <v>0</v>
      </c>
      <c r="T314" s="615">
        <v>-6.9687839751394112</v>
      </c>
      <c r="U314" s="615">
        <v>2255.8377926307489</v>
      </c>
      <c r="V314" s="51"/>
    </row>
    <row r="315" spans="3:22" x14ac:dyDescent="0.25">
      <c r="C315" s="616"/>
      <c r="D315" s="617"/>
      <c r="E315" s="617"/>
      <c r="F315" s="617"/>
      <c r="G315" s="617"/>
      <c r="H315" s="623"/>
      <c r="I315" s="617"/>
      <c r="J315" s="617"/>
      <c r="K315" s="617"/>
      <c r="L315" s="617"/>
      <c r="M315" s="617"/>
      <c r="N315" s="617"/>
      <c r="O315" s="617"/>
      <c r="P315" s="617"/>
      <c r="Q315" s="617"/>
      <c r="R315" s="617"/>
      <c r="S315" s="617"/>
      <c r="T315" s="617"/>
      <c r="U315" s="617"/>
      <c r="V315" s="51"/>
    </row>
    <row r="316" spans="3:22" x14ac:dyDescent="0.25">
      <c r="C316" s="618" t="s">
        <v>67</v>
      </c>
      <c r="D316" s="611">
        <v>0</v>
      </c>
      <c r="E316" s="611">
        <v>0</v>
      </c>
      <c r="F316" s="611">
        <v>0</v>
      </c>
      <c r="G316" s="611">
        <v>0</v>
      </c>
      <c r="H316" s="611">
        <v>0</v>
      </c>
      <c r="I316" s="611">
        <v>0</v>
      </c>
      <c r="J316" s="611">
        <v>0</v>
      </c>
      <c r="K316" s="611">
        <v>0</v>
      </c>
      <c r="L316" s="611">
        <v>0</v>
      </c>
      <c r="M316" s="611">
        <v>0</v>
      </c>
      <c r="N316" s="611">
        <v>0</v>
      </c>
      <c r="O316" s="611">
        <v>0</v>
      </c>
      <c r="P316" s="611">
        <v>0</v>
      </c>
      <c r="Q316" s="611">
        <v>0</v>
      </c>
      <c r="R316" s="611">
        <v>0</v>
      </c>
      <c r="S316" s="611">
        <v>0</v>
      </c>
      <c r="T316" s="611">
        <v>0</v>
      </c>
      <c r="U316" s="619">
        <v>0</v>
      </c>
      <c r="V316" s="51"/>
    </row>
    <row r="317" spans="3:22" x14ac:dyDescent="0.25">
      <c r="C317" s="618" t="s">
        <v>347</v>
      </c>
      <c r="D317" s="611">
        <v>0</v>
      </c>
      <c r="E317" s="611">
        <v>0</v>
      </c>
      <c r="F317" s="611">
        <v>0</v>
      </c>
      <c r="G317" s="611">
        <v>0</v>
      </c>
      <c r="H317" s="611">
        <v>0.44776646808510651</v>
      </c>
      <c r="I317" s="611">
        <v>0</v>
      </c>
      <c r="J317" s="611">
        <v>971.10439999999994</v>
      </c>
      <c r="K317" s="611">
        <v>503.30122823446823</v>
      </c>
      <c r="L317" s="611">
        <v>22.611661930027488</v>
      </c>
      <c r="M317" s="611">
        <v>0.61851517484510588</v>
      </c>
      <c r="N317" s="611">
        <v>6.3451610040287907</v>
      </c>
      <c r="O317" s="611">
        <v>1.1589812304406033</v>
      </c>
      <c r="P317" s="611">
        <v>0</v>
      </c>
      <c r="Q317" s="611">
        <v>6.4766550958451852</v>
      </c>
      <c r="R317" s="611">
        <v>-877.28387729883798</v>
      </c>
      <c r="S317" s="611">
        <v>0</v>
      </c>
      <c r="T317" s="611">
        <v>5.1921899999999992</v>
      </c>
      <c r="U317" s="619">
        <v>639.97268183890242</v>
      </c>
      <c r="V317" s="51"/>
    </row>
    <row r="318" spans="3:22" x14ac:dyDescent="0.25">
      <c r="C318" s="618" t="s">
        <v>348</v>
      </c>
      <c r="D318" s="611">
        <v>0</v>
      </c>
      <c r="E318" s="611">
        <v>0</v>
      </c>
      <c r="F318" s="611">
        <v>0</v>
      </c>
      <c r="G318" s="611">
        <v>0</v>
      </c>
      <c r="H318" s="611">
        <v>3.2640954387883037</v>
      </c>
      <c r="I318" s="611">
        <v>0</v>
      </c>
      <c r="J318" s="611">
        <v>0</v>
      </c>
      <c r="K318" s="611">
        <v>0</v>
      </c>
      <c r="L318" s="611">
        <v>34.874750545465744</v>
      </c>
      <c r="M318" s="611">
        <v>14.450307287843678</v>
      </c>
      <c r="N318" s="611">
        <v>0</v>
      </c>
      <c r="O318" s="611">
        <v>7.6313341325616637</v>
      </c>
      <c r="P318" s="611">
        <v>0</v>
      </c>
      <c r="Q318" s="611">
        <v>11.247880766628024</v>
      </c>
      <c r="R318" s="611">
        <v>0</v>
      </c>
      <c r="S318" s="611">
        <v>-67.335306808549447</v>
      </c>
      <c r="T318" s="611">
        <v>0</v>
      </c>
      <c r="U318" s="619">
        <v>4.133061362737962</v>
      </c>
      <c r="V318" s="51"/>
    </row>
    <row r="319" spans="3:22" x14ac:dyDescent="0.25">
      <c r="C319" s="618" t="s">
        <v>349</v>
      </c>
      <c r="D319" s="611">
        <v>0</v>
      </c>
      <c r="E319" s="611">
        <v>0</v>
      </c>
      <c r="F319" s="611">
        <v>0</v>
      </c>
      <c r="G319" s="611">
        <v>0</v>
      </c>
      <c r="H319" s="611">
        <v>0</v>
      </c>
      <c r="I319" s="611">
        <v>0</v>
      </c>
      <c r="J319" s="611">
        <v>0</v>
      </c>
      <c r="K319" s="611">
        <v>0</v>
      </c>
      <c r="L319" s="611">
        <v>99.886824202456438</v>
      </c>
      <c r="M319" s="611">
        <v>0</v>
      </c>
      <c r="N319" s="611">
        <v>0</v>
      </c>
      <c r="O319" s="611">
        <v>-91.582944375151399</v>
      </c>
      <c r="P319" s="611">
        <v>0</v>
      </c>
      <c r="Q319" s="611">
        <v>0</v>
      </c>
      <c r="R319" s="611">
        <v>0</v>
      </c>
      <c r="S319" s="611">
        <v>0</v>
      </c>
      <c r="T319" s="611">
        <v>0</v>
      </c>
      <c r="U319" s="619">
        <v>8.3038798273050389</v>
      </c>
      <c r="V319" s="51"/>
    </row>
    <row r="320" spans="3:22" x14ac:dyDescent="0.25">
      <c r="C320" s="618" t="s">
        <v>350</v>
      </c>
      <c r="D320" s="611">
        <v>0</v>
      </c>
      <c r="E320" s="611">
        <v>0</v>
      </c>
      <c r="F320" s="611">
        <v>0</v>
      </c>
      <c r="G320" s="611">
        <v>0</v>
      </c>
      <c r="H320" s="611">
        <v>0</v>
      </c>
      <c r="I320" s="611">
        <v>-5.1740904166094976</v>
      </c>
      <c r="J320" s="611">
        <v>0</v>
      </c>
      <c r="K320" s="611">
        <v>0</v>
      </c>
      <c r="L320" s="611">
        <v>0</v>
      </c>
      <c r="M320" s="611">
        <v>0</v>
      </c>
      <c r="N320" s="611">
        <v>0</v>
      </c>
      <c r="O320" s="611">
        <v>0</v>
      </c>
      <c r="P320" s="611">
        <v>0</v>
      </c>
      <c r="Q320" s="611">
        <v>0</v>
      </c>
      <c r="R320" s="611">
        <v>0</v>
      </c>
      <c r="S320" s="611">
        <v>0</v>
      </c>
      <c r="T320" s="611">
        <v>7.1912846116196816</v>
      </c>
      <c r="U320" s="619">
        <v>2.0171941950101839</v>
      </c>
      <c r="V320" s="51"/>
    </row>
    <row r="321" spans="3:22" x14ac:dyDescent="0.25">
      <c r="C321" s="618" t="s">
        <v>72</v>
      </c>
      <c r="D321" s="611">
        <v>0</v>
      </c>
      <c r="E321" s="611">
        <v>161.75289728424144</v>
      </c>
      <c r="F321" s="611">
        <v>-160.13983967974238</v>
      </c>
      <c r="G321" s="611">
        <v>0</v>
      </c>
      <c r="H321" s="611">
        <v>0</v>
      </c>
      <c r="I321" s="611">
        <v>0</v>
      </c>
      <c r="J321" s="611">
        <v>0</v>
      </c>
      <c r="K321" s="611">
        <v>0</v>
      </c>
      <c r="L321" s="611">
        <v>0</v>
      </c>
      <c r="M321" s="611">
        <v>0</v>
      </c>
      <c r="N321" s="611">
        <v>0</v>
      </c>
      <c r="O321" s="611">
        <v>0</v>
      </c>
      <c r="P321" s="611">
        <v>0</v>
      </c>
      <c r="Q321" s="611">
        <v>0</v>
      </c>
      <c r="R321" s="611">
        <v>0</v>
      </c>
      <c r="S321" s="611">
        <v>0</v>
      </c>
      <c r="T321" s="611">
        <v>0</v>
      </c>
      <c r="U321" s="619">
        <v>1.6130576044990619</v>
      </c>
      <c r="V321" s="51"/>
    </row>
    <row r="322" spans="3:22" x14ac:dyDescent="0.25">
      <c r="C322" s="618" t="s">
        <v>351</v>
      </c>
      <c r="D322" s="611">
        <v>0</v>
      </c>
      <c r="E322" s="611">
        <v>0</v>
      </c>
      <c r="F322" s="611">
        <v>0</v>
      </c>
      <c r="G322" s="611">
        <v>0</v>
      </c>
      <c r="H322" s="611">
        <v>0</v>
      </c>
      <c r="I322" s="611">
        <v>0</v>
      </c>
      <c r="J322" s="611">
        <v>0</v>
      </c>
      <c r="K322" s="611">
        <v>0</v>
      </c>
      <c r="L322" s="611">
        <v>239.29378044744664</v>
      </c>
      <c r="M322" s="611">
        <v>0</v>
      </c>
      <c r="N322" s="611">
        <v>-131.61157924609566</v>
      </c>
      <c r="O322" s="611">
        <v>0</v>
      </c>
      <c r="P322" s="611">
        <v>0</v>
      </c>
      <c r="Q322" s="611">
        <v>0</v>
      </c>
      <c r="R322" s="611">
        <v>0</v>
      </c>
      <c r="S322" s="611">
        <v>0</v>
      </c>
      <c r="T322" s="611">
        <v>0</v>
      </c>
      <c r="U322" s="619">
        <v>107.68220120135098</v>
      </c>
      <c r="V322" s="51"/>
    </row>
    <row r="323" spans="3:22" x14ac:dyDescent="0.25">
      <c r="C323" s="618" t="s">
        <v>352</v>
      </c>
      <c r="D323" s="611">
        <v>0</v>
      </c>
      <c r="E323" s="611">
        <v>0</v>
      </c>
      <c r="F323" s="611">
        <v>0</v>
      </c>
      <c r="G323" s="611">
        <v>-33.473815441656178</v>
      </c>
      <c r="H323" s="611">
        <v>0</v>
      </c>
      <c r="I323" s="611">
        <v>0</v>
      </c>
      <c r="J323" s="611">
        <v>0</v>
      </c>
      <c r="K323" s="611">
        <v>0</v>
      </c>
      <c r="L323" s="611">
        <v>0</v>
      </c>
      <c r="M323" s="611">
        <v>0</v>
      </c>
      <c r="N323" s="611">
        <v>0</v>
      </c>
      <c r="O323" s="611">
        <v>0</v>
      </c>
      <c r="P323" s="611">
        <v>0</v>
      </c>
      <c r="Q323" s="611">
        <v>0</v>
      </c>
      <c r="R323" s="611">
        <v>0</v>
      </c>
      <c r="S323" s="611">
        <v>0</v>
      </c>
      <c r="T323" s="611">
        <v>43.527837875314049</v>
      </c>
      <c r="U323" s="619">
        <v>10.05402243365787</v>
      </c>
      <c r="V323" s="51"/>
    </row>
    <row r="324" spans="3:22" x14ac:dyDescent="0.25">
      <c r="C324" s="618" t="s">
        <v>73</v>
      </c>
      <c r="D324" s="611">
        <v>0</v>
      </c>
      <c r="E324" s="611">
        <v>0</v>
      </c>
      <c r="F324" s="611">
        <v>0</v>
      </c>
      <c r="G324" s="611">
        <v>0</v>
      </c>
      <c r="H324" s="611">
        <v>0</v>
      </c>
      <c r="I324" s="611">
        <v>0</v>
      </c>
      <c r="J324" s="611">
        <v>0</v>
      </c>
      <c r="K324" s="611">
        <v>0</v>
      </c>
      <c r="L324" s="611">
        <v>0</v>
      </c>
      <c r="M324" s="611">
        <v>0</v>
      </c>
      <c r="N324" s="611">
        <v>0</v>
      </c>
      <c r="O324" s="611">
        <v>0</v>
      </c>
      <c r="P324" s="611">
        <v>0</v>
      </c>
      <c r="Q324" s="611">
        <v>0</v>
      </c>
      <c r="R324" s="611">
        <v>186.09171546114462</v>
      </c>
      <c r="S324" s="611">
        <v>0</v>
      </c>
      <c r="T324" s="611">
        <v>-130.72943011145409</v>
      </c>
      <c r="U324" s="619">
        <v>55.362285349690524</v>
      </c>
      <c r="V324" s="51"/>
    </row>
    <row r="325" spans="3:22" x14ac:dyDescent="0.25">
      <c r="C325" s="618" t="s">
        <v>353</v>
      </c>
      <c r="D325" s="611">
        <v>0</v>
      </c>
      <c r="E325" s="611">
        <v>-5.6494732221184147</v>
      </c>
      <c r="F325" s="611">
        <v>7.3669989850431641</v>
      </c>
      <c r="G325" s="611">
        <v>0</v>
      </c>
      <c r="H325" s="611">
        <v>0</v>
      </c>
      <c r="I325" s="611">
        <v>0</v>
      </c>
      <c r="J325" s="611">
        <v>0</v>
      </c>
      <c r="K325" s="611">
        <v>0</v>
      </c>
      <c r="L325" s="611">
        <v>0</v>
      </c>
      <c r="M325" s="611">
        <v>0</v>
      </c>
      <c r="N325" s="611">
        <v>0</v>
      </c>
      <c r="O325" s="611">
        <v>0</v>
      </c>
      <c r="P325" s="611">
        <v>0</v>
      </c>
      <c r="Q325" s="611">
        <v>0</v>
      </c>
      <c r="R325" s="611">
        <v>0</v>
      </c>
      <c r="S325" s="611">
        <v>0</v>
      </c>
      <c r="T325" s="611">
        <v>0</v>
      </c>
      <c r="U325" s="619">
        <v>1.7175257629247493</v>
      </c>
      <c r="V325" s="51"/>
    </row>
    <row r="326" spans="3:22" x14ac:dyDescent="0.25">
      <c r="C326" s="618" t="s">
        <v>75</v>
      </c>
      <c r="D326" s="611">
        <v>0</v>
      </c>
      <c r="E326" s="611">
        <v>0</v>
      </c>
      <c r="F326" s="611">
        <v>5.5408288295361077</v>
      </c>
      <c r="G326" s="611">
        <v>0</v>
      </c>
      <c r="H326" s="611">
        <v>1.9377811160090992</v>
      </c>
      <c r="I326" s="611">
        <v>4.9686695282284594E-2</v>
      </c>
      <c r="J326" s="611">
        <v>0</v>
      </c>
      <c r="K326" s="611">
        <v>0</v>
      </c>
      <c r="L326" s="611">
        <v>0</v>
      </c>
      <c r="M326" s="611">
        <v>0</v>
      </c>
      <c r="N326" s="611">
        <v>0</v>
      </c>
      <c r="O326" s="611">
        <v>2.9812017169370755</v>
      </c>
      <c r="P326" s="611">
        <v>0</v>
      </c>
      <c r="Q326" s="611">
        <v>0</v>
      </c>
      <c r="R326" s="611">
        <v>65.428671005307493</v>
      </c>
      <c r="S326" s="611">
        <v>0</v>
      </c>
      <c r="T326" s="611">
        <v>0</v>
      </c>
      <c r="U326" s="619">
        <v>75.938169363072063</v>
      </c>
      <c r="V326" s="51"/>
    </row>
    <row r="327" spans="3:22" x14ac:dyDescent="0.25">
      <c r="C327" s="618" t="s">
        <v>76</v>
      </c>
      <c r="D327" s="611">
        <v>0</v>
      </c>
      <c r="E327" s="611">
        <v>0</v>
      </c>
      <c r="F327" s="611">
        <v>0</v>
      </c>
      <c r="G327" s="611">
        <v>0</v>
      </c>
      <c r="H327" s="611">
        <v>0.58858582439204721</v>
      </c>
      <c r="I327" s="611">
        <v>1.5091944215180697E-2</v>
      </c>
      <c r="J327" s="611">
        <v>0</v>
      </c>
      <c r="K327" s="611">
        <v>0</v>
      </c>
      <c r="L327" s="611">
        <v>0</v>
      </c>
      <c r="M327" s="611">
        <v>0</v>
      </c>
      <c r="N327" s="611">
        <v>0</v>
      </c>
      <c r="O327" s="611">
        <v>0.90551665291084182</v>
      </c>
      <c r="P327" s="611">
        <v>0</v>
      </c>
      <c r="Q327" s="611">
        <v>0</v>
      </c>
      <c r="R327" s="611">
        <v>68.128345316060717</v>
      </c>
      <c r="S327" s="611">
        <v>5.2226705636158801</v>
      </c>
      <c r="T327" s="611">
        <v>0</v>
      </c>
      <c r="U327" s="619">
        <v>74.86021030119467</v>
      </c>
      <c r="V327" s="51"/>
    </row>
    <row r="328" spans="3:22" x14ac:dyDescent="0.25">
      <c r="C328" s="614" t="s">
        <v>77</v>
      </c>
      <c r="D328" s="615">
        <v>0</v>
      </c>
      <c r="E328" s="615">
        <v>156.10342406212303</v>
      </c>
      <c r="F328" s="615">
        <v>-147.23201186516312</v>
      </c>
      <c r="G328" s="615">
        <v>-33.473815441656178</v>
      </c>
      <c r="H328" s="615">
        <v>6.2382288472745566</v>
      </c>
      <c r="I328" s="615">
        <v>-5.1093117771120324</v>
      </c>
      <c r="J328" s="615">
        <v>971.10439999999994</v>
      </c>
      <c r="K328" s="615">
        <v>503.30122823446823</v>
      </c>
      <c r="L328" s="615">
        <v>396.66701712539634</v>
      </c>
      <c r="M328" s="615">
        <v>15.068822462688784</v>
      </c>
      <c r="N328" s="615">
        <v>-125.26641824206686</v>
      </c>
      <c r="O328" s="615">
        <v>-78.905910642301208</v>
      </c>
      <c r="P328" s="615">
        <v>0</v>
      </c>
      <c r="Q328" s="615">
        <v>17.724535862473211</v>
      </c>
      <c r="R328" s="615">
        <v>-557.63514551632511</v>
      </c>
      <c r="S328" s="615">
        <v>-62.112636244933569</v>
      </c>
      <c r="T328" s="615">
        <v>-74.818117624520369</v>
      </c>
      <c r="U328" s="615">
        <v>981.65428924034563</v>
      </c>
      <c r="V328" s="51"/>
    </row>
    <row r="329" spans="3:22" x14ac:dyDescent="0.25">
      <c r="C329" s="616"/>
      <c r="D329" s="617"/>
      <c r="E329" s="617"/>
      <c r="F329" s="617"/>
      <c r="G329" s="617"/>
      <c r="H329" s="623"/>
      <c r="I329" s="617"/>
      <c r="J329" s="617"/>
      <c r="K329" s="617"/>
      <c r="L329" s="617"/>
      <c r="M329" s="617"/>
      <c r="N329" s="617"/>
      <c r="O329" s="617"/>
      <c r="P329" s="617"/>
      <c r="Q329" s="617"/>
      <c r="R329" s="617"/>
      <c r="S329" s="617"/>
      <c r="T329" s="617"/>
      <c r="U329" s="617"/>
      <c r="V329" s="51"/>
    </row>
    <row r="330" spans="3:22" x14ac:dyDescent="0.25">
      <c r="C330" s="618" t="s">
        <v>78</v>
      </c>
      <c r="D330" s="611">
        <v>1.6567330370836562</v>
      </c>
      <c r="E330" s="611">
        <v>0</v>
      </c>
      <c r="F330" s="611">
        <v>2.8599897491525303</v>
      </c>
      <c r="G330" s="611">
        <v>0</v>
      </c>
      <c r="H330" s="611">
        <v>23.2042782425182</v>
      </c>
      <c r="I330" s="611">
        <v>0.59498149339790252</v>
      </c>
      <c r="J330" s="611">
        <v>0</v>
      </c>
      <c r="K330" s="611">
        <v>0</v>
      </c>
      <c r="L330" s="611">
        <v>22.611451120736024</v>
      </c>
      <c r="M330" s="611">
        <v>5.7247037459588501</v>
      </c>
      <c r="N330" s="611">
        <v>2.4891014214733991</v>
      </c>
      <c r="O330" s="611">
        <v>35.740239810905898</v>
      </c>
      <c r="P330" s="611">
        <v>17.613589843749999</v>
      </c>
      <c r="Q330" s="611">
        <v>8.4299170840015686E-4</v>
      </c>
      <c r="R330" s="611">
        <v>187.94943106568476</v>
      </c>
      <c r="S330" s="611">
        <v>21.3497147946984</v>
      </c>
      <c r="T330" s="611">
        <v>13.7914765625</v>
      </c>
      <c r="U330" s="619">
        <v>335.58653387956804</v>
      </c>
      <c r="V330" s="51"/>
    </row>
    <row r="331" spans="3:22" x14ac:dyDescent="0.25">
      <c r="C331" s="618" t="s">
        <v>79</v>
      </c>
      <c r="D331" s="611">
        <v>0</v>
      </c>
      <c r="E331" s="611">
        <v>0</v>
      </c>
      <c r="F331" s="611">
        <v>7.0212023016086675</v>
      </c>
      <c r="G331" s="611">
        <v>2.7990026147409606</v>
      </c>
      <c r="H331" s="611">
        <v>3.0363171620819989</v>
      </c>
      <c r="I331" s="611">
        <v>7.7854286207230741E-2</v>
      </c>
      <c r="J331" s="611">
        <v>0</v>
      </c>
      <c r="K331" s="611">
        <v>0</v>
      </c>
      <c r="L331" s="611">
        <v>0</v>
      </c>
      <c r="M331" s="611">
        <v>0</v>
      </c>
      <c r="N331" s="611">
        <v>56.581202021290558</v>
      </c>
      <c r="O331" s="611">
        <v>4.6712571724338439</v>
      </c>
      <c r="P331" s="611">
        <v>0</v>
      </c>
      <c r="Q331" s="611">
        <v>0</v>
      </c>
      <c r="R331" s="611">
        <v>112.24073946586431</v>
      </c>
      <c r="S331" s="611">
        <v>0</v>
      </c>
      <c r="T331" s="611">
        <v>6.497399181335763</v>
      </c>
      <c r="U331" s="619">
        <v>192.92497420556333</v>
      </c>
      <c r="V331" s="51"/>
    </row>
    <row r="332" spans="3:22" x14ac:dyDescent="0.25">
      <c r="C332" s="618" t="s">
        <v>80</v>
      </c>
      <c r="D332" s="611">
        <v>0</v>
      </c>
      <c r="E332" s="611">
        <v>0</v>
      </c>
      <c r="F332" s="611">
        <v>0.52818257625892373</v>
      </c>
      <c r="G332" s="611">
        <v>0</v>
      </c>
      <c r="H332" s="611">
        <v>9.9272307301662774</v>
      </c>
      <c r="I332" s="611">
        <v>0.25454437769657123</v>
      </c>
      <c r="J332" s="611">
        <v>0</v>
      </c>
      <c r="K332" s="611">
        <v>0</v>
      </c>
      <c r="L332" s="611">
        <v>36.145280389625334</v>
      </c>
      <c r="M332" s="611">
        <v>0</v>
      </c>
      <c r="N332" s="611">
        <v>0</v>
      </c>
      <c r="O332" s="611">
        <v>15.272662661794273</v>
      </c>
      <c r="P332" s="611">
        <v>102.98149571768585</v>
      </c>
      <c r="Q332" s="611">
        <v>2.9888036499995505</v>
      </c>
      <c r="R332" s="611">
        <v>143.51715895688449</v>
      </c>
      <c r="S332" s="611">
        <v>22.181895321077057</v>
      </c>
      <c r="T332" s="611">
        <v>0</v>
      </c>
      <c r="U332" s="619">
        <v>333.79725438118828</v>
      </c>
      <c r="V332" s="51"/>
    </row>
    <row r="333" spans="3:22" x14ac:dyDescent="0.25">
      <c r="C333" s="618" t="s">
        <v>81</v>
      </c>
      <c r="D333" s="611">
        <v>0</v>
      </c>
      <c r="E333" s="611">
        <v>0</v>
      </c>
      <c r="F333" s="611">
        <v>0.4043921899752152</v>
      </c>
      <c r="G333" s="611">
        <v>0</v>
      </c>
      <c r="H333" s="611">
        <v>5.5758605918279338</v>
      </c>
      <c r="I333" s="611">
        <v>0.14297078440584446</v>
      </c>
      <c r="J333" s="611">
        <v>0</v>
      </c>
      <c r="K333" s="611">
        <v>0</v>
      </c>
      <c r="L333" s="611">
        <v>0.49596954229928064</v>
      </c>
      <c r="M333" s="611">
        <v>0</v>
      </c>
      <c r="N333" s="611">
        <v>0</v>
      </c>
      <c r="O333" s="611">
        <v>8.5782470643506681</v>
      </c>
      <c r="P333" s="611">
        <v>49.237012139994242</v>
      </c>
      <c r="Q333" s="611">
        <v>3.2685728275989634</v>
      </c>
      <c r="R333" s="611">
        <v>113.98538483583862</v>
      </c>
      <c r="S333" s="611">
        <v>18.581026129158101</v>
      </c>
      <c r="T333" s="611">
        <v>0</v>
      </c>
      <c r="U333" s="619">
        <v>200.26943610544885</v>
      </c>
      <c r="V333" s="51"/>
    </row>
    <row r="334" spans="3:22" x14ac:dyDescent="0.25">
      <c r="C334" s="618" t="s">
        <v>82</v>
      </c>
      <c r="D334" s="611">
        <v>0</v>
      </c>
      <c r="E334" s="611">
        <v>0</v>
      </c>
      <c r="F334" s="611">
        <v>3.6463721740036745</v>
      </c>
      <c r="G334" s="611">
        <v>0</v>
      </c>
      <c r="H334" s="611">
        <v>0.54193037779832631</v>
      </c>
      <c r="I334" s="611">
        <v>1.3895650712777598E-2</v>
      </c>
      <c r="J334" s="611">
        <v>0</v>
      </c>
      <c r="K334" s="611">
        <v>0</v>
      </c>
      <c r="L334" s="611">
        <v>3.5613676310951794</v>
      </c>
      <c r="M334" s="611">
        <v>0</v>
      </c>
      <c r="N334" s="611">
        <v>18.734510808369581</v>
      </c>
      <c r="O334" s="611">
        <v>0.83373904276665589</v>
      </c>
      <c r="P334" s="611">
        <v>1.25</v>
      </c>
      <c r="Q334" s="611">
        <v>1.7440136932478227</v>
      </c>
      <c r="R334" s="611">
        <v>6.9126660362912906</v>
      </c>
      <c r="S334" s="611">
        <v>0</v>
      </c>
      <c r="T334" s="611">
        <v>0.67126612024062504</v>
      </c>
      <c r="U334" s="619">
        <v>37.909761534525927</v>
      </c>
      <c r="V334" s="51"/>
    </row>
    <row r="335" spans="3:22" x14ac:dyDescent="0.25">
      <c r="C335" s="618" t="s">
        <v>354</v>
      </c>
      <c r="D335" s="611">
        <v>0</v>
      </c>
      <c r="E335" s="611">
        <v>0</v>
      </c>
      <c r="F335" s="611">
        <v>0</v>
      </c>
      <c r="G335" s="611">
        <v>0</v>
      </c>
      <c r="H335" s="611">
        <v>0</v>
      </c>
      <c r="I335" s="611">
        <v>0</v>
      </c>
      <c r="J335" s="611">
        <v>0</v>
      </c>
      <c r="K335" s="611">
        <v>0</v>
      </c>
      <c r="L335" s="611">
        <v>0</v>
      </c>
      <c r="M335" s="611">
        <v>0</v>
      </c>
      <c r="N335" s="611">
        <v>0</v>
      </c>
      <c r="O335" s="611">
        <v>0</v>
      </c>
      <c r="P335" s="611">
        <v>0</v>
      </c>
      <c r="Q335" s="611">
        <v>0</v>
      </c>
      <c r="R335" s="611">
        <v>5.7675999999999998</v>
      </c>
      <c r="S335" s="611">
        <v>0</v>
      </c>
      <c r="T335" s="611">
        <v>0</v>
      </c>
      <c r="U335" s="619">
        <v>5.7675999999999998</v>
      </c>
      <c r="V335" s="51"/>
    </row>
    <row r="336" spans="3:22" x14ac:dyDescent="0.25">
      <c r="C336" s="614" t="s">
        <v>83</v>
      </c>
      <c r="D336" s="615">
        <v>1.6567330370836562</v>
      </c>
      <c r="E336" s="615">
        <v>0</v>
      </c>
      <c r="F336" s="615">
        <v>14.460138990999013</v>
      </c>
      <c r="G336" s="615">
        <v>2.7990026147409606</v>
      </c>
      <c r="H336" s="615">
        <v>42.285617104392735</v>
      </c>
      <c r="I336" s="615">
        <v>1.0842465924203266</v>
      </c>
      <c r="J336" s="615">
        <v>0</v>
      </c>
      <c r="K336" s="615">
        <v>0</v>
      </c>
      <c r="L336" s="615">
        <v>62.814068683755821</v>
      </c>
      <c r="M336" s="615">
        <v>5.7247037459588501</v>
      </c>
      <c r="N336" s="615">
        <v>77.804814251133536</v>
      </c>
      <c r="O336" s="615">
        <v>65.096145752251331</v>
      </c>
      <c r="P336" s="615">
        <v>171.08209770143009</v>
      </c>
      <c r="Q336" s="615">
        <v>8.0022331625547363</v>
      </c>
      <c r="R336" s="615">
        <v>570.37298036056347</v>
      </c>
      <c r="S336" s="615">
        <v>62.112636244933555</v>
      </c>
      <c r="T336" s="615">
        <v>20.960141864076387</v>
      </c>
      <c r="U336" s="615">
        <v>1106.2555601062943</v>
      </c>
      <c r="V336" s="51"/>
    </row>
    <row r="337" spans="3:22" x14ac:dyDescent="0.25">
      <c r="C337" s="610" t="s">
        <v>84</v>
      </c>
      <c r="D337" s="611">
        <v>0</v>
      </c>
      <c r="E337" s="611">
        <v>0</v>
      </c>
      <c r="F337" s="611">
        <v>62.444092195240373</v>
      </c>
      <c r="G337" s="611">
        <v>2.5138754259873437</v>
      </c>
      <c r="H337" s="611">
        <v>6.0153513536527026</v>
      </c>
      <c r="I337" s="611">
        <v>0</v>
      </c>
      <c r="J337" s="611">
        <v>0</v>
      </c>
      <c r="K337" s="611">
        <v>0</v>
      </c>
      <c r="L337" s="611">
        <v>0.4729958666220917</v>
      </c>
      <c r="M337" s="611">
        <v>0</v>
      </c>
      <c r="N337" s="611">
        <v>38.295047275787958</v>
      </c>
      <c r="O337" s="611">
        <v>11.297042554251473</v>
      </c>
      <c r="P337" s="611">
        <v>0</v>
      </c>
      <c r="Q337" s="611">
        <v>0</v>
      </c>
      <c r="R337" s="611">
        <v>0</v>
      </c>
      <c r="S337" s="611">
        <v>0</v>
      </c>
      <c r="T337" s="611">
        <v>46.889191785304561</v>
      </c>
      <c r="U337" s="619">
        <v>167.92759645684652</v>
      </c>
      <c r="V337" s="51"/>
    </row>
    <row r="338" spans="3:22" x14ac:dyDescent="0.25">
      <c r="C338" s="614" t="s">
        <v>85</v>
      </c>
      <c r="D338" s="615">
        <v>1.6567330370836562</v>
      </c>
      <c r="E338" s="615">
        <v>0</v>
      </c>
      <c r="F338" s="615">
        <v>76.904231186239386</v>
      </c>
      <c r="G338" s="615">
        <v>5.3128780407283038</v>
      </c>
      <c r="H338" s="615">
        <v>48.300968458045439</v>
      </c>
      <c r="I338" s="615">
        <v>1.0842465924203266</v>
      </c>
      <c r="J338" s="615">
        <v>0</v>
      </c>
      <c r="K338" s="615">
        <v>0</v>
      </c>
      <c r="L338" s="615">
        <v>63.287064550377913</v>
      </c>
      <c r="M338" s="615">
        <v>5.7247037459588501</v>
      </c>
      <c r="N338" s="615">
        <v>116.0998615269215</v>
      </c>
      <c r="O338" s="615">
        <v>76.393188306502807</v>
      </c>
      <c r="P338" s="615">
        <v>171.08209770143009</v>
      </c>
      <c r="Q338" s="615">
        <v>8.0022331625547363</v>
      </c>
      <c r="R338" s="615">
        <v>570.37298036056347</v>
      </c>
      <c r="S338" s="615">
        <v>62.112636244933555</v>
      </c>
      <c r="T338" s="615">
        <v>67.849333649380952</v>
      </c>
      <c r="U338" s="615">
        <v>1274.1831565631408</v>
      </c>
      <c r="V338" s="51"/>
    </row>
    <row r="339" spans="3:22" x14ac:dyDescent="0.25">
      <c r="C339" s="51"/>
      <c r="D339" s="67">
        <v>0</v>
      </c>
      <c r="E339" s="67">
        <v>0</v>
      </c>
      <c r="F339" s="67">
        <v>0</v>
      </c>
      <c r="G339" s="67">
        <v>0</v>
      </c>
      <c r="H339" s="67">
        <v>0</v>
      </c>
      <c r="I339" s="67">
        <v>0</v>
      </c>
      <c r="J339" s="67">
        <v>0</v>
      </c>
      <c r="K339" s="67">
        <v>0</v>
      </c>
      <c r="L339" s="67">
        <v>0</v>
      </c>
      <c r="M339" s="67">
        <v>-3.4682726224488647E-4</v>
      </c>
      <c r="N339" s="67">
        <v>0</v>
      </c>
      <c r="O339" s="67">
        <v>1.3322676295501878E-14</v>
      </c>
      <c r="P339" s="67">
        <v>0</v>
      </c>
      <c r="Q339" s="67">
        <v>0</v>
      </c>
      <c r="R339" s="67">
        <v>0</v>
      </c>
      <c r="S339" s="67">
        <v>-1.4210854715202004E-14</v>
      </c>
      <c r="T339" s="67">
        <v>0</v>
      </c>
      <c r="U339" s="67">
        <v>-3.4682726254686713E-4</v>
      </c>
      <c r="V339" s="51"/>
    </row>
    <row r="340" spans="3:22" x14ac:dyDescent="0.25">
      <c r="C340" s="51"/>
      <c r="D340" s="51"/>
      <c r="E340" s="51"/>
      <c r="F340" s="51"/>
      <c r="G340" s="67"/>
      <c r="H340" s="51"/>
      <c r="I340" s="51"/>
      <c r="J340" s="51"/>
      <c r="K340" s="51"/>
      <c r="L340" s="51"/>
      <c r="M340" s="51"/>
      <c r="N340" s="51"/>
      <c r="O340" s="51"/>
      <c r="P340" s="51"/>
      <c r="Q340" s="51"/>
      <c r="R340" s="51"/>
      <c r="S340" s="51"/>
      <c r="T340" s="51"/>
      <c r="U340" s="51"/>
      <c r="V340" s="51"/>
    </row>
    <row r="341" spans="3:22" x14ac:dyDescent="0.25">
      <c r="C341" s="607" t="s">
        <v>89</v>
      </c>
      <c r="D341" s="606"/>
      <c r="E341" s="606"/>
      <c r="F341" s="606"/>
      <c r="G341" s="682"/>
      <c r="H341" s="606"/>
      <c r="I341" s="606"/>
      <c r="J341" s="606"/>
      <c r="K341" s="606"/>
      <c r="L341" s="606"/>
      <c r="M341" s="606"/>
      <c r="N341" s="606"/>
      <c r="O341" s="606"/>
      <c r="P341" s="606"/>
      <c r="Q341" s="606"/>
      <c r="R341" s="606"/>
      <c r="S341" s="606"/>
      <c r="T341" s="606"/>
      <c r="U341" s="606"/>
      <c r="V341" s="606"/>
    </row>
    <row r="342" spans="3:22" x14ac:dyDescent="0.25">
      <c r="C342" s="51"/>
      <c r="D342" s="51"/>
      <c r="E342" s="51"/>
      <c r="F342" s="51"/>
      <c r="G342" s="67"/>
      <c r="H342" s="51"/>
      <c r="I342" s="51"/>
      <c r="J342" s="51"/>
      <c r="K342" s="51"/>
      <c r="L342" s="51"/>
      <c r="M342" s="51"/>
      <c r="N342" s="51"/>
      <c r="O342" s="51"/>
      <c r="P342" s="51"/>
      <c r="Q342" s="51"/>
      <c r="R342" s="51"/>
      <c r="S342" s="51"/>
      <c r="T342" s="51"/>
      <c r="U342" s="51"/>
      <c r="V342" s="51"/>
    </row>
    <row r="343" spans="3:22" x14ac:dyDescent="0.25">
      <c r="C343" s="764" t="s">
        <v>128</v>
      </c>
      <c r="D343" s="753" t="s">
        <v>42</v>
      </c>
      <c r="E343" s="753" t="s">
        <v>52</v>
      </c>
      <c r="F343" s="753" t="s">
        <v>53</v>
      </c>
      <c r="G343" s="766" t="s">
        <v>482</v>
      </c>
      <c r="H343" s="753" t="s">
        <v>32</v>
      </c>
      <c r="I343" s="753" t="s">
        <v>483</v>
      </c>
      <c r="J343" s="753" t="s">
        <v>20</v>
      </c>
      <c r="K343" s="753" t="s">
        <v>55</v>
      </c>
      <c r="L343" s="761" t="s">
        <v>56</v>
      </c>
      <c r="M343" s="762"/>
      <c r="N343" s="762"/>
      <c r="O343" s="762"/>
      <c r="P343" s="762"/>
      <c r="Q343" s="763"/>
      <c r="R343" s="753" t="s">
        <v>57</v>
      </c>
      <c r="S343" s="753" t="s">
        <v>58</v>
      </c>
      <c r="T343" s="753" t="s">
        <v>31</v>
      </c>
      <c r="U343" s="753" t="s">
        <v>10</v>
      </c>
      <c r="V343" s="51"/>
    </row>
    <row r="344" spans="3:22" ht="36" x14ac:dyDescent="0.25">
      <c r="C344" s="765"/>
      <c r="D344" s="754"/>
      <c r="E344" s="754"/>
      <c r="F344" s="754"/>
      <c r="G344" s="767"/>
      <c r="H344" s="754"/>
      <c r="I344" s="754"/>
      <c r="J344" s="754"/>
      <c r="K344" s="754"/>
      <c r="L344" s="608" t="s">
        <v>335</v>
      </c>
      <c r="M344" s="608" t="s">
        <v>40</v>
      </c>
      <c r="N344" s="608" t="s">
        <v>343</v>
      </c>
      <c r="O344" s="608" t="s">
        <v>344</v>
      </c>
      <c r="P344" s="609" t="s">
        <v>345</v>
      </c>
      <c r="Q344" s="608" t="s">
        <v>346</v>
      </c>
      <c r="R344" s="754"/>
      <c r="S344" s="754"/>
      <c r="T344" s="754"/>
      <c r="U344" s="754"/>
      <c r="V344" s="51"/>
    </row>
    <row r="345" spans="3:22" x14ac:dyDescent="0.25">
      <c r="C345" s="610" t="s">
        <v>59</v>
      </c>
      <c r="D345" s="611">
        <v>0</v>
      </c>
      <c r="E345" s="611">
        <v>0</v>
      </c>
      <c r="F345" s="611">
        <v>0</v>
      </c>
      <c r="G345" s="611">
        <v>0</v>
      </c>
      <c r="H345" s="611">
        <v>0</v>
      </c>
      <c r="I345" s="611">
        <v>0</v>
      </c>
      <c r="J345" s="612">
        <v>759.92203636363649</v>
      </c>
      <c r="K345" s="612">
        <v>585.27007132862354</v>
      </c>
      <c r="L345" s="612">
        <v>421.01958402132601</v>
      </c>
      <c r="M345" s="612">
        <v>20.686642208021134</v>
      </c>
      <c r="N345" s="611">
        <v>1.5563580670349855</v>
      </c>
      <c r="O345" s="611">
        <v>0.17110271620039663</v>
      </c>
      <c r="P345" s="612">
        <v>181.20215447851419</v>
      </c>
      <c r="Q345" s="612">
        <v>27.103716579638188</v>
      </c>
      <c r="R345" s="611">
        <v>0</v>
      </c>
      <c r="S345" s="611">
        <v>0</v>
      </c>
      <c r="T345" s="611">
        <v>0</v>
      </c>
      <c r="U345" s="613">
        <v>1996.9316657629947</v>
      </c>
      <c r="V345" s="51"/>
    </row>
    <row r="346" spans="3:22" x14ac:dyDescent="0.25">
      <c r="C346" s="610" t="s">
        <v>60</v>
      </c>
      <c r="D346" s="611">
        <v>0.64129319091675452</v>
      </c>
      <c r="E346" s="611">
        <v>72.7588411322387</v>
      </c>
      <c r="F346" s="611">
        <v>1.9517818504706483</v>
      </c>
      <c r="G346" s="611">
        <v>0</v>
      </c>
      <c r="H346" s="611">
        <v>3.2223770587889593</v>
      </c>
      <c r="I346" s="611">
        <v>0</v>
      </c>
      <c r="J346" s="611">
        <v>0</v>
      </c>
      <c r="K346" s="611">
        <v>0</v>
      </c>
      <c r="L346" s="611">
        <v>5.2309321400654634</v>
      </c>
      <c r="M346" s="611">
        <v>0</v>
      </c>
      <c r="N346" s="611">
        <v>6.8353402019644598</v>
      </c>
      <c r="O346" s="611">
        <v>0</v>
      </c>
      <c r="P346" s="611">
        <v>0</v>
      </c>
      <c r="Q346" s="611">
        <v>0</v>
      </c>
      <c r="R346" s="611">
        <v>86.758204068598843</v>
      </c>
      <c r="S346" s="611">
        <v>0</v>
      </c>
      <c r="T346" s="611">
        <v>0</v>
      </c>
      <c r="U346" s="613">
        <v>177.39876964304383</v>
      </c>
      <c r="V346" s="51"/>
    </row>
    <row r="347" spans="3:22" x14ac:dyDescent="0.25">
      <c r="C347" s="610" t="s">
        <v>61</v>
      </c>
      <c r="D347" s="611">
        <v>0</v>
      </c>
      <c r="E347" s="611">
        <v>0</v>
      </c>
      <c r="F347" s="611">
        <v>-14.049213431109226</v>
      </c>
      <c r="G347" s="611">
        <v>-15.061852283906475</v>
      </c>
      <c r="H347" s="611">
        <v>0</v>
      </c>
      <c r="I347" s="611">
        <v>0</v>
      </c>
      <c r="J347" s="611">
        <v>0</v>
      </c>
      <c r="K347" s="611">
        <v>0</v>
      </c>
      <c r="L347" s="611">
        <v>0</v>
      </c>
      <c r="M347" s="611">
        <v>0</v>
      </c>
      <c r="N347" s="611">
        <v>0</v>
      </c>
      <c r="O347" s="611">
        <v>0</v>
      </c>
      <c r="P347" s="611">
        <v>0</v>
      </c>
      <c r="Q347" s="611">
        <v>0</v>
      </c>
      <c r="R347" s="611">
        <v>0</v>
      </c>
      <c r="S347" s="611">
        <v>0</v>
      </c>
      <c r="T347" s="611">
        <v>0</v>
      </c>
      <c r="U347" s="613">
        <v>-29.111065715015702</v>
      </c>
      <c r="V347" s="51"/>
    </row>
    <row r="348" spans="3:22" x14ac:dyDescent="0.25">
      <c r="C348" s="610" t="s">
        <v>62</v>
      </c>
      <c r="D348" s="611">
        <v>0</v>
      </c>
      <c r="E348" s="611">
        <v>0</v>
      </c>
      <c r="F348" s="611">
        <v>0</v>
      </c>
      <c r="G348" s="611">
        <v>-6.1101617494546652</v>
      </c>
      <c r="H348" s="611">
        <v>0</v>
      </c>
      <c r="I348" s="611">
        <v>-4.4416564350684116</v>
      </c>
      <c r="J348" s="611">
        <v>0</v>
      </c>
      <c r="K348" s="611">
        <v>0</v>
      </c>
      <c r="L348" s="611">
        <v>0</v>
      </c>
      <c r="M348" s="611">
        <v>0</v>
      </c>
      <c r="N348" s="611">
        <v>-1.5423967884416028</v>
      </c>
      <c r="O348" s="611">
        <v>-2.9611042900456073</v>
      </c>
      <c r="P348" s="611">
        <v>0</v>
      </c>
      <c r="Q348" s="611">
        <v>0</v>
      </c>
      <c r="R348" s="611">
        <v>0</v>
      </c>
      <c r="S348" s="611">
        <v>0</v>
      </c>
      <c r="T348" s="611">
        <v>-2.4482488705422272</v>
      </c>
      <c r="U348" s="613">
        <v>-17.503568133552513</v>
      </c>
      <c r="V348" s="51"/>
    </row>
    <row r="349" spans="3:22" x14ac:dyDescent="0.25">
      <c r="C349" s="610" t="s">
        <v>63</v>
      </c>
      <c r="D349" s="611">
        <v>0</v>
      </c>
      <c r="E349" s="611">
        <v>0</v>
      </c>
      <c r="F349" s="611">
        <v>-7.3240777097484635</v>
      </c>
      <c r="G349" s="611">
        <v>-24.912603262820603</v>
      </c>
      <c r="H349" s="611">
        <v>0</v>
      </c>
      <c r="I349" s="611">
        <v>0</v>
      </c>
      <c r="J349" s="611">
        <v>0</v>
      </c>
      <c r="K349" s="611">
        <v>0</v>
      </c>
      <c r="L349" s="611">
        <v>0</v>
      </c>
      <c r="M349" s="611">
        <v>0</v>
      </c>
      <c r="N349" s="611">
        <v>-17.438822283974417</v>
      </c>
      <c r="O349" s="611">
        <v>0</v>
      </c>
      <c r="P349" s="611">
        <v>0</v>
      </c>
      <c r="Q349" s="611">
        <v>0</v>
      </c>
      <c r="R349" s="611">
        <v>0</v>
      </c>
      <c r="S349" s="611">
        <v>0</v>
      </c>
      <c r="T349" s="611">
        <v>-7.5807767073973409</v>
      </c>
      <c r="U349" s="613">
        <v>-57.256279963940827</v>
      </c>
      <c r="V349" s="51"/>
    </row>
    <row r="350" spans="3:22" x14ac:dyDescent="0.25">
      <c r="C350" s="610" t="s">
        <v>64</v>
      </c>
      <c r="D350" s="611">
        <v>0</v>
      </c>
      <c r="E350" s="611">
        <v>0</v>
      </c>
      <c r="F350" s="611">
        <v>0</v>
      </c>
      <c r="G350" s="611">
        <v>0</v>
      </c>
      <c r="H350" s="611">
        <v>0</v>
      </c>
      <c r="I350" s="611">
        <v>0</v>
      </c>
      <c r="J350" s="611">
        <v>0</v>
      </c>
      <c r="K350" s="611">
        <v>0</v>
      </c>
      <c r="L350" s="611">
        <v>0</v>
      </c>
      <c r="M350" s="611">
        <v>0</v>
      </c>
      <c r="N350" s="611">
        <v>0</v>
      </c>
      <c r="O350" s="611">
        <v>0</v>
      </c>
      <c r="P350" s="611">
        <v>0</v>
      </c>
      <c r="Q350" s="611">
        <v>0</v>
      </c>
      <c r="R350" s="611">
        <v>0</v>
      </c>
      <c r="S350" s="611">
        <v>0</v>
      </c>
      <c r="T350" s="611">
        <v>0</v>
      </c>
      <c r="U350" s="613">
        <v>0</v>
      </c>
      <c r="V350" s="51"/>
    </row>
    <row r="351" spans="3:22" x14ac:dyDescent="0.25">
      <c r="C351" s="614" t="s">
        <v>65</v>
      </c>
      <c r="D351" s="615">
        <v>0.64129319091675452</v>
      </c>
      <c r="E351" s="615">
        <v>72.7588411322387</v>
      </c>
      <c r="F351" s="615">
        <v>-19.421509290387043</v>
      </c>
      <c r="G351" s="615">
        <v>-46.084617296181747</v>
      </c>
      <c r="H351" s="615">
        <v>3.2223770587889593</v>
      </c>
      <c r="I351" s="615">
        <v>-4.4416564350684116</v>
      </c>
      <c r="J351" s="615">
        <v>759.92203636363649</v>
      </c>
      <c r="K351" s="615">
        <v>585.27007132862354</v>
      </c>
      <c r="L351" s="615">
        <v>426.25051616139149</v>
      </c>
      <c r="M351" s="615">
        <v>20.686642208021134</v>
      </c>
      <c r="N351" s="615">
        <v>-10.589520803416576</v>
      </c>
      <c r="O351" s="615">
        <v>-2.7900015738452106</v>
      </c>
      <c r="P351" s="615">
        <v>181.20215447851419</v>
      </c>
      <c r="Q351" s="615">
        <v>27.103716579638188</v>
      </c>
      <c r="R351" s="615">
        <v>86.758204068598843</v>
      </c>
      <c r="S351" s="615">
        <v>0</v>
      </c>
      <c r="T351" s="615">
        <v>-10.029025577939567</v>
      </c>
      <c r="U351" s="615">
        <v>2070.4595215935296</v>
      </c>
      <c r="V351" s="51"/>
    </row>
    <row r="352" spans="3:22" x14ac:dyDescent="0.25">
      <c r="C352" s="616"/>
      <c r="D352" s="617"/>
      <c r="E352" s="617"/>
      <c r="F352" s="617"/>
      <c r="G352" s="617"/>
      <c r="H352" s="623"/>
      <c r="I352" s="617"/>
      <c r="J352" s="617"/>
      <c r="K352" s="617"/>
      <c r="L352" s="617"/>
      <c r="M352" s="617"/>
      <c r="N352" s="617"/>
      <c r="O352" s="617"/>
      <c r="P352" s="617"/>
      <c r="Q352" s="617"/>
      <c r="R352" s="617"/>
      <c r="S352" s="617"/>
      <c r="T352" s="617"/>
      <c r="U352" s="617"/>
      <c r="V352" s="51"/>
    </row>
    <row r="353" spans="3:22" x14ac:dyDescent="0.25">
      <c r="C353" s="618" t="s">
        <v>67</v>
      </c>
      <c r="D353" s="611">
        <v>0</v>
      </c>
      <c r="E353" s="611">
        <v>0</v>
      </c>
      <c r="F353" s="611">
        <v>0</v>
      </c>
      <c r="G353" s="611">
        <v>0</v>
      </c>
      <c r="H353" s="611">
        <v>0</v>
      </c>
      <c r="I353" s="611">
        <v>0</v>
      </c>
      <c r="J353" s="611">
        <v>0</v>
      </c>
      <c r="K353" s="611">
        <v>0</v>
      </c>
      <c r="L353" s="611">
        <v>0</v>
      </c>
      <c r="M353" s="611">
        <v>0</v>
      </c>
      <c r="N353" s="611">
        <v>0</v>
      </c>
      <c r="O353" s="611">
        <v>0</v>
      </c>
      <c r="P353" s="611">
        <v>0</v>
      </c>
      <c r="Q353" s="611">
        <v>0</v>
      </c>
      <c r="R353" s="611">
        <v>0</v>
      </c>
      <c r="S353" s="611">
        <v>0</v>
      </c>
      <c r="T353" s="611">
        <v>0</v>
      </c>
      <c r="U353" s="619">
        <v>0</v>
      </c>
      <c r="V353" s="51"/>
    </row>
    <row r="354" spans="3:22" x14ac:dyDescent="0.25">
      <c r="C354" s="618" t="s">
        <v>347</v>
      </c>
      <c r="D354" s="611">
        <v>0</v>
      </c>
      <c r="E354" s="611">
        <v>0</v>
      </c>
      <c r="F354" s="611">
        <v>0</v>
      </c>
      <c r="G354" s="611">
        <v>0</v>
      </c>
      <c r="H354" s="611">
        <v>0</v>
      </c>
      <c r="I354" s="611">
        <v>0</v>
      </c>
      <c r="J354" s="611">
        <v>759.92203636363649</v>
      </c>
      <c r="K354" s="611">
        <v>585.27007132862354</v>
      </c>
      <c r="L354" s="611">
        <v>21.935641645543306</v>
      </c>
      <c r="M354" s="611">
        <v>0.61628865372008657</v>
      </c>
      <c r="N354" s="611">
        <v>6.5561937148871507</v>
      </c>
      <c r="O354" s="611">
        <v>1.5747281082088551</v>
      </c>
      <c r="P354" s="611">
        <v>0</v>
      </c>
      <c r="Q354" s="611">
        <v>6.7631767445353068</v>
      </c>
      <c r="R354" s="611">
        <v>-895.33632983844416</v>
      </c>
      <c r="S354" s="611">
        <v>0</v>
      </c>
      <c r="T354" s="611">
        <v>6.4421899999999992</v>
      </c>
      <c r="U354" s="619">
        <v>493.74399672071024</v>
      </c>
      <c r="V354" s="51"/>
    </row>
    <row r="355" spans="3:22" x14ac:dyDescent="0.25">
      <c r="C355" s="618" t="s">
        <v>348</v>
      </c>
      <c r="D355" s="611">
        <v>0</v>
      </c>
      <c r="E355" s="611">
        <v>0</v>
      </c>
      <c r="F355" s="611">
        <v>0</v>
      </c>
      <c r="G355" s="611">
        <v>0</v>
      </c>
      <c r="H355" s="611">
        <v>0</v>
      </c>
      <c r="I355" s="611">
        <v>0</v>
      </c>
      <c r="J355" s="611">
        <v>0</v>
      </c>
      <c r="K355" s="611">
        <v>0</v>
      </c>
      <c r="L355" s="611">
        <v>34.859137423321251</v>
      </c>
      <c r="M355" s="611">
        <v>14.707872710950403</v>
      </c>
      <c r="N355" s="611">
        <v>0</v>
      </c>
      <c r="O355" s="611">
        <v>8.3969630288089814</v>
      </c>
      <c r="P355" s="611">
        <v>0</v>
      </c>
      <c r="Q355" s="611">
        <v>11.678038971322861</v>
      </c>
      <c r="R355" s="611">
        <v>0</v>
      </c>
      <c r="S355" s="611">
        <v>-66.565624993763251</v>
      </c>
      <c r="T355" s="611">
        <v>0</v>
      </c>
      <c r="U355" s="619">
        <v>3.0763871406402501</v>
      </c>
      <c r="V355" s="51"/>
    </row>
    <row r="356" spans="3:22" x14ac:dyDescent="0.25">
      <c r="C356" s="618" t="s">
        <v>349</v>
      </c>
      <c r="D356" s="611">
        <v>0</v>
      </c>
      <c r="E356" s="611">
        <v>0</v>
      </c>
      <c r="F356" s="611">
        <v>0</v>
      </c>
      <c r="G356" s="611">
        <v>0</v>
      </c>
      <c r="H356" s="611">
        <v>0</v>
      </c>
      <c r="I356" s="611">
        <v>0</v>
      </c>
      <c r="J356" s="611">
        <v>0</v>
      </c>
      <c r="K356" s="611">
        <v>0</v>
      </c>
      <c r="L356" s="611">
        <v>116.09247876238595</v>
      </c>
      <c r="M356" s="611">
        <v>0</v>
      </c>
      <c r="N356" s="611">
        <v>0</v>
      </c>
      <c r="O356" s="611">
        <v>-107.1437165457632</v>
      </c>
      <c r="P356" s="611">
        <v>0</v>
      </c>
      <c r="Q356" s="611">
        <v>0</v>
      </c>
      <c r="R356" s="611">
        <v>0</v>
      </c>
      <c r="S356" s="611">
        <v>0</v>
      </c>
      <c r="T356" s="611">
        <v>0</v>
      </c>
      <c r="U356" s="619">
        <v>8.9487622166227538</v>
      </c>
      <c r="V356" s="51"/>
    </row>
    <row r="357" spans="3:22" x14ac:dyDescent="0.25">
      <c r="C357" s="618" t="s">
        <v>350</v>
      </c>
      <c r="D357" s="611">
        <v>0</v>
      </c>
      <c r="E357" s="611">
        <v>0</v>
      </c>
      <c r="F357" s="611">
        <v>0</v>
      </c>
      <c r="G357" s="611">
        <v>0</v>
      </c>
      <c r="H357" s="611">
        <v>0</v>
      </c>
      <c r="I357" s="611">
        <v>-8.6805438008370892</v>
      </c>
      <c r="J357" s="611">
        <v>0</v>
      </c>
      <c r="K357" s="611">
        <v>0</v>
      </c>
      <c r="L357" s="611">
        <v>0</v>
      </c>
      <c r="M357" s="611">
        <v>0</v>
      </c>
      <c r="N357" s="611">
        <v>0</v>
      </c>
      <c r="O357" s="611">
        <v>0</v>
      </c>
      <c r="P357" s="611">
        <v>0</v>
      </c>
      <c r="Q357" s="611">
        <v>0</v>
      </c>
      <c r="R357" s="611">
        <v>0</v>
      </c>
      <c r="S357" s="611">
        <v>0</v>
      </c>
      <c r="T357" s="611">
        <v>12.086503242074816</v>
      </c>
      <c r="U357" s="619">
        <v>3.4059594412377265</v>
      </c>
      <c r="V357" s="51"/>
    </row>
    <row r="358" spans="3:22" x14ac:dyDescent="0.25">
      <c r="C358" s="618" t="s">
        <v>72</v>
      </c>
      <c r="D358" s="611">
        <v>0</v>
      </c>
      <c r="E358" s="611">
        <v>75.393588190645644</v>
      </c>
      <c r="F358" s="611">
        <v>-74.641887149518311</v>
      </c>
      <c r="G358" s="611">
        <v>0</v>
      </c>
      <c r="H358" s="611">
        <v>0</v>
      </c>
      <c r="I358" s="611">
        <v>0</v>
      </c>
      <c r="J358" s="611">
        <v>0</v>
      </c>
      <c r="K358" s="611">
        <v>0</v>
      </c>
      <c r="L358" s="611">
        <v>0</v>
      </c>
      <c r="M358" s="611">
        <v>0</v>
      </c>
      <c r="N358" s="611">
        <v>0</v>
      </c>
      <c r="O358" s="611">
        <v>0</v>
      </c>
      <c r="P358" s="611">
        <v>0</v>
      </c>
      <c r="Q358" s="611">
        <v>0</v>
      </c>
      <c r="R358" s="611">
        <v>0</v>
      </c>
      <c r="S358" s="611">
        <v>0</v>
      </c>
      <c r="T358" s="611">
        <v>0</v>
      </c>
      <c r="U358" s="619">
        <v>0.75170104112733327</v>
      </c>
      <c r="V358" s="51"/>
    </row>
    <row r="359" spans="3:22" x14ac:dyDescent="0.25">
      <c r="C359" s="618" t="s">
        <v>351</v>
      </c>
      <c r="D359" s="611">
        <v>0</v>
      </c>
      <c r="E359" s="611">
        <v>0</v>
      </c>
      <c r="F359" s="611">
        <v>0</v>
      </c>
      <c r="G359" s="611">
        <v>0</v>
      </c>
      <c r="H359" s="611">
        <v>0</v>
      </c>
      <c r="I359" s="611">
        <v>0</v>
      </c>
      <c r="J359" s="611">
        <v>0</v>
      </c>
      <c r="K359" s="611">
        <v>0</v>
      </c>
      <c r="L359" s="611">
        <v>194.54575293909065</v>
      </c>
      <c r="M359" s="611">
        <v>0</v>
      </c>
      <c r="N359" s="611">
        <v>-107.00016411649986</v>
      </c>
      <c r="O359" s="611">
        <v>0</v>
      </c>
      <c r="P359" s="611">
        <v>0</v>
      </c>
      <c r="Q359" s="611">
        <v>0</v>
      </c>
      <c r="R359" s="611">
        <v>0</v>
      </c>
      <c r="S359" s="611">
        <v>0</v>
      </c>
      <c r="T359" s="611">
        <v>0</v>
      </c>
      <c r="U359" s="619">
        <v>87.545588822590787</v>
      </c>
      <c r="V359" s="51"/>
    </row>
    <row r="360" spans="3:22" x14ac:dyDescent="0.25">
      <c r="C360" s="618" t="s">
        <v>352</v>
      </c>
      <c r="D360" s="611">
        <v>0</v>
      </c>
      <c r="E360" s="611">
        <v>0</v>
      </c>
      <c r="F360" s="611">
        <v>0</v>
      </c>
      <c r="G360" s="611">
        <v>-53.670926604582093</v>
      </c>
      <c r="H360" s="611">
        <v>0</v>
      </c>
      <c r="I360" s="611">
        <v>0</v>
      </c>
      <c r="J360" s="611">
        <v>0</v>
      </c>
      <c r="K360" s="611">
        <v>0</v>
      </c>
      <c r="L360" s="611">
        <v>0</v>
      </c>
      <c r="M360" s="611">
        <v>0</v>
      </c>
      <c r="N360" s="611">
        <v>0</v>
      </c>
      <c r="O360" s="611">
        <v>0</v>
      </c>
      <c r="P360" s="611">
        <v>0</v>
      </c>
      <c r="Q360" s="611">
        <v>0</v>
      </c>
      <c r="R360" s="611">
        <v>0</v>
      </c>
      <c r="S360" s="611">
        <v>0</v>
      </c>
      <c r="T360" s="611">
        <v>69.588751075413697</v>
      </c>
      <c r="U360" s="619">
        <v>15.917824470831604</v>
      </c>
      <c r="V360" s="51"/>
    </row>
    <row r="361" spans="3:22" x14ac:dyDescent="0.25">
      <c r="C361" s="618" t="s">
        <v>73</v>
      </c>
      <c r="D361" s="611">
        <v>0</v>
      </c>
      <c r="E361" s="611">
        <v>0</v>
      </c>
      <c r="F361" s="611">
        <v>0</v>
      </c>
      <c r="G361" s="611">
        <v>0</v>
      </c>
      <c r="H361" s="611">
        <v>0</v>
      </c>
      <c r="I361" s="611">
        <v>0</v>
      </c>
      <c r="J361" s="611">
        <v>0</v>
      </c>
      <c r="K361" s="611">
        <v>0</v>
      </c>
      <c r="L361" s="611">
        <v>0</v>
      </c>
      <c r="M361" s="611">
        <v>0</v>
      </c>
      <c r="N361" s="611">
        <v>0</v>
      </c>
      <c r="O361" s="611">
        <v>0</v>
      </c>
      <c r="P361" s="611">
        <v>0</v>
      </c>
      <c r="Q361" s="611">
        <v>0</v>
      </c>
      <c r="R361" s="611">
        <v>258.03000874169254</v>
      </c>
      <c r="S361" s="611">
        <v>0</v>
      </c>
      <c r="T361" s="611">
        <v>-185.78160629401862</v>
      </c>
      <c r="U361" s="619">
        <v>72.248402447673925</v>
      </c>
      <c r="V361" s="51"/>
    </row>
    <row r="362" spans="3:22" x14ac:dyDescent="0.25">
      <c r="C362" s="618" t="s">
        <v>353</v>
      </c>
      <c r="D362" s="611">
        <v>0</v>
      </c>
      <c r="E362" s="611">
        <v>-2.634747058406945</v>
      </c>
      <c r="F362" s="611">
        <v>3.435008562710407</v>
      </c>
      <c r="G362" s="611">
        <v>0</v>
      </c>
      <c r="H362" s="611">
        <v>0</v>
      </c>
      <c r="I362" s="611">
        <v>0</v>
      </c>
      <c r="J362" s="611">
        <v>0</v>
      </c>
      <c r="K362" s="611">
        <v>0</v>
      </c>
      <c r="L362" s="611">
        <v>0</v>
      </c>
      <c r="M362" s="611">
        <v>0</v>
      </c>
      <c r="N362" s="611">
        <v>0</v>
      </c>
      <c r="O362" s="611">
        <v>0</v>
      </c>
      <c r="P362" s="611">
        <v>0</v>
      </c>
      <c r="Q362" s="611">
        <v>0</v>
      </c>
      <c r="R362" s="611">
        <v>0</v>
      </c>
      <c r="S362" s="611">
        <v>0</v>
      </c>
      <c r="T362" s="611">
        <v>0</v>
      </c>
      <c r="U362" s="619">
        <v>0.80026150430346199</v>
      </c>
      <c r="V362" s="51"/>
    </row>
    <row r="363" spans="3:22" x14ac:dyDescent="0.25">
      <c r="C363" s="618" t="s">
        <v>75</v>
      </c>
      <c r="D363" s="611">
        <v>0</v>
      </c>
      <c r="E363" s="611">
        <v>0</v>
      </c>
      <c r="F363" s="611">
        <v>2.5839893825265019</v>
      </c>
      <c r="G363" s="611">
        <v>0</v>
      </c>
      <c r="H363" s="611">
        <v>0</v>
      </c>
      <c r="I363" s="611">
        <v>0.23833359000000001</v>
      </c>
      <c r="J363" s="611">
        <v>0</v>
      </c>
      <c r="K363" s="611">
        <v>0</v>
      </c>
      <c r="L363" s="611">
        <v>0</v>
      </c>
      <c r="M363" s="611">
        <v>0</v>
      </c>
      <c r="N363" s="611">
        <v>0</v>
      </c>
      <c r="O363" s="611">
        <v>4.5283382100000003</v>
      </c>
      <c r="P363" s="611">
        <v>0</v>
      </c>
      <c r="Q363" s="611">
        <v>0</v>
      </c>
      <c r="R363" s="611">
        <v>65.365492404188032</v>
      </c>
      <c r="S363" s="611">
        <v>0</v>
      </c>
      <c r="T363" s="611">
        <v>0</v>
      </c>
      <c r="U363" s="619">
        <v>72.71615358671454</v>
      </c>
      <c r="V363" s="51"/>
    </row>
    <row r="364" spans="3:22" x14ac:dyDescent="0.25">
      <c r="C364" s="618" t="s">
        <v>76</v>
      </c>
      <c r="D364" s="611">
        <v>0</v>
      </c>
      <c r="E364" s="611">
        <v>0</v>
      </c>
      <c r="F364" s="611">
        <v>0</v>
      </c>
      <c r="G364" s="611">
        <v>0</v>
      </c>
      <c r="H364" s="611">
        <v>0</v>
      </c>
      <c r="I364" s="611">
        <v>5.609909084131174E-2</v>
      </c>
      <c r="J364" s="611">
        <v>0</v>
      </c>
      <c r="K364" s="611">
        <v>0</v>
      </c>
      <c r="L364" s="611">
        <v>0</v>
      </c>
      <c r="M364" s="611">
        <v>0</v>
      </c>
      <c r="N364" s="611">
        <v>0</v>
      </c>
      <c r="O364" s="611">
        <v>1.0658827259849231</v>
      </c>
      <c r="P364" s="611">
        <v>0</v>
      </c>
      <c r="Q364" s="611">
        <v>0</v>
      </c>
      <c r="R364" s="611">
        <v>75.163138458273835</v>
      </c>
      <c r="S364" s="611">
        <v>5.1631708880095033</v>
      </c>
      <c r="T364" s="611">
        <v>0</v>
      </c>
      <c r="U364" s="619">
        <v>81.448291163109573</v>
      </c>
      <c r="V364" s="51"/>
    </row>
    <row r="365" spans="3:22" x14ac:dyDescent="0.25">
      <c r="C365" s="614" t="s">
        <v>77</v>
      </c>
      <c r="D365" s="615">
        <v>0</v>
      </c>
      <c r="E365" s="615">
        <v>72.7588411322387</v>
      </c>
      <c r="F365" s="615">
        <v>-68.622889204281407</v>
      </c>
      <c r="G365" s="615">
        <v>-53.670926604582093</v>
      </c>
      <c r="H365" s="615">
        <v>0</v>
      </c>
      <c r="I365" s="615">
        <v>-8.3861111199957783</v>
      </c>
      <c r="J365" s="615">
        <v>759.92203636363649</v>
      </c>
      <c r="K365" s="615">
        <v>585.27007132862354</v>
      </c>
      <c r="L365" s="615">
        <v>367.43301077034118</v>
      </c>
      <c r="M365" s="615">
        <v>15.32416136467049</v>
      </c>
      <c r="N365" s="615">
        <v>-100.44397040161272</v>
      </c>
      <c r="O365" s="615">
        <v>-91.577804472760434</v>
      </c>
      <c r="P365" s="615">
        <v>0</v>
      </c>
      <c r="Q365" s="615">
        <v>18.441215715858167</v>
      </c>
      <c r="R365" s="615">
        <v>-496.77769023428982</v>
      </c>
      <c r="S365" s="615">
        <v>-61.402454105753748</v>
      </c>
      <c r="T365" s="615">
        <v>-97.664161976530096</v>
      </c>
      <c r="U365" s="615">
        <v>840.60332855556226</v>
      </c>
      <c r="V365" s="51"/>
    </row>
    <row r="366" spans="3:22" x14ac:dyDescent="0.25">
      <c r="C366" s="616"/>
      <c r="D366" s="617"/>
      <c r="E366" s="617"/>
      <c r="F366" s="617"/>
      <c r="G366" s="617"/>
      <c r="H366" s="623"/>
      <c r="I366" s="617"/>
      <c r="J366" s="617"/>
      <c r="K366" s="617"/>
      <c r="L366" s="617"/>
      <c r="M366" s="617"/>
      <c r="N366" s="617"/>
      <c r="O366" s="617"/>
      <c r="P366" s="617"/>
      <c r="Q366" s="617"/>
      <c r="R366" s="617"/>
      <c r="S366" s="617"/>
      <c r="T366" s="617"/>
      <c r="U366" s="617"/>
      <c r="V366" s="51"/>
    </row>
    <row r="367" spans="3:22" x14ac:dyDescent="0.25">
      <c r="C367" s="618" t="s">
        <v>78</v>
      </c>
      <c r="D367" s="611">
        <v>0.64129319091675452</v>
      </c>
      <c r="E367" s="611">
        <v>0</v>
      </c>
      <c r="F367" s="611">
        <v>1.525731430410463</v>
      </c>
      <c r="G367" s="611">
        <v>0</v>
      </c>
      <c r="H367" s="611">
        <v>0</v>
      </c>
      <c r="I367" s="611">
        <v>2.2603973079733568</v>
      </c>
      <c r="J367" s="611">
        <v>0</v>
      </c>
      <c r="K367" s="611">
        <v>0</v>
      </c>
      <c r="L367" s="611">
        <v>23.360019261656848</v>
      </c>
      <c r="M367" s="611">
        <v>5.362188402201145</v>
      </c>
      <c r="N367" s="611">
        <v>1.3034813300305972</v>
      </c>
      <c r="O367" s="611">
        <v>42.989679667648574</v>
      </c>
      <c r="P367" s="611">
        <v>22.01365625</v>
      </c>
      <c r="Q367" s="611">
        <v>8.5890570413253253E-4</v>
      </c>
      <c r="R367" s="611">
        <v>202.024278119439</v>
      </c>
      <c r="S367" s="611">
        <v>22.25756234266839</v>
      </c>
      <c r="T367" s="611">
        <v>16.001347656250001</v>
      </c>
      <c r="U367" s="619">
        <v>339.74049386489929</v>
      </c>
      <c r="V367" s="51"/>
    </row>
    <row r="368" spans="3:22" x14ac:dyDescent="0.25">
      <c r="C368" s="618" t="s">
        <v>79</v>
      </c>
      <c r="D368" s="611">
        <v>0</v>
      </c>
      <c r="E368" s="611">
        <v>0</v>
      </c>
      <c r="F368" s="611">
        <v>2.548518600222561</v>
      </c>
      <c r="G368" s="611">
        <v>4.6064063696995508</v>
      </c>
      <c r="H368" s="611">
        <v>0</v>
      </c>
      <c r="I368" s="611">
        <v>0.39196782379108752</v>
      </c>
      <c r="J368" s="611">
        <v>0</v>
      </c>
      <c r="K368" s="611">
        <v>0</v>
      </c>
      <c r="L368" s="611">
        <v>0</v>
      </c>
      <c r="M368" s="611">
        <v>0</v>
      </c>
      <c r="N368" s="611">
        <v>19.508637074329002</v>
      </c>
      <c r="O368" s="611">
        <v>7.4473886520306625</v>
      </c>
      <c r="P368" s="611">
        <v>0</v>
      </c>
      <c r="Q368" s="611">
        <v>0</v>
      </c>
      <c r="R368" s="611">
        <v>117.90461095014412</v>
      </c>
      <c r="S368" s="611">
        <v>0</v>
      </c>
      <c r="T368" s="611">
        <v>6.9740998058852091</v>
      </c>
      <c r="U368" s="619">
        <v>159.38162927610219</v>
      </c>
      <c r="V368" s="51"/>
    </row>
    <row r="369" spans="3:22" x14ac:dyDescent="0.25">
      <c r="C369" s="618" t="s">
        <v>80</v>
      </c>
      <c r="D369" s="611">
        <v>0</v>
      </c>
      <c r="E369" s="611">
        <v>0</v>
      </c>
      <c r="F369" s="611">
        <v>0.35613019618188829</v>
      </c>
      <c r="G369" s="611">
        <v>0</v>
      </c>
      <c r="H369" s="611">
        <v>0</v>
      </c>
      <c r="I369" s="611">
        <v>0.92121942110506694</v>
      </c>
      <c r="J369" s="611">
        <v>0</v>
      </c>
      <c r="K369" s="611">
        <v>0</v>
      </c>
      <c r="L369" s="611">
        <v>30.406752837013876</v>
      </c>
      <c r="M369" s="611">
        <v>0</v>
      </c>
      <c r="N369" s="611">
        <v>0</v>
      </c>
      <c r="O369" s="611">
        <v>17.503169000996269</v>
      </c>
      <c r="P369" s="611">
        <v>105.40020235475453</v>
      </c>
      <c r="Q369" s="611">
        <v>3.1166998128913419</v>
      </c>
      <c r="R369" s="611">
        <v>133.64902180729109</v>
      </c>
      <c r="S369" s="611">
        <v>20.977029614075306</v>
      </c>
      <c r="T369" s="611">
        <v>0</v>
      </c>
      <c r="U369" s="619">
        <v>312.33022504430937</v>
      </c>
      <c r="V369" s="51"/>
    </row>
    <row r="370" spans="3:22" x14ac:dyDescent="0.25">
      <c r="C370" s="618" t="s">
        <v>81</v>
      </c>
      <c r="D370" s="611">
        <v>0</v>
      </c>
      <c r="E370" s="611">
        <v>0</v>
      </c>
      <c r="F370" s="611">
        <v>6.5854952123934399E-2</v>
      </c>
      <c r="G370" s="611">
        <v>0</v>
      </c>
      <c r="H370" s="611">
        <v>0</v>
      </c>
      <c r="I370" s="611">
        <v>0.31585874142938569</v>
      </c>
      <c r="J370" s="611">
        <v>0</v>
      </c>
      <c r="K370" s="611">
        <v>0</v>
      </c>
      <c r="L370" s="611">
        <v>0.45236993281073634</v>
      </c>
      <c r="M370" s="611">
        <v>0</v>
      </c>
      <c r="N370" s="611">
        <v>0</v>
      </c>
      <c r="O370" s="611">
        <v>6.0013160871583278</v>
      </c>
      <c r="P370" s="611">
        <v>52.288295873759658</v>
      </c>
      <c r="Q370" s="611">
        <v>3.3575351400940563</v>
      </c>
      <c r="R370" s="611">
        <v>111.32761597349254</v>
      </c>
      <c r="S370" s="611">
        <v>18.167862149010045</v>
      </c>
      <c r="T370" s="611">
        <v>0</v>
      </c>
      <c r="U370" s="619">
        <v>191.97670884987866</v>
      </c>
      <c r="V370" s="51"/>
    </row>
    <row r="371" spans="3:22" x14ac:dyDescent="0.25">
      <c r="C371" s="618" t="s">
        <v>82</v>
      </c>
      <c r="D371" s="611">
        <v>0</v>
      </c>
      <c r="E371" s="611">
        <v>0</v>
      </c>
      <c r="F371" s="611">
        <v>0.14607036001340537</v>
      </c>
      <c r="G371" s="611">
        <v>0</v>
      </c>
      <c r="H371" s="611">
        <v>0</v>
      </c>
      <c r="I371" s="611">
        <v>5.5011390628469027E-2</v>
      </c>
      <c r="J371" s="611">
        <v>0</v>
      </c>
      <c r="K371" s="611">
        <v>0</v>
      </c>
      <c r="L371" s="611">
        <v>3.9918011059239289</v>
      </c>
      <c r="M371" s="611">
        <v>0</v>
      </c>
      <c r="N371" s="611">
        <v>18.700816435906518</v>
      </c>
      <c r="O371" s="611">
        <v>1.0452164219409115</v>
      </c>
      <c r="P371" s="611">
        <v>1.5</v>
      </c>
      <c r="Q371" s="611">
        <v>2.1874070050904897</v>
      </c>
      <c r="R371" s="611">
        <v>6.9303674525217573</v>
      </c>
      <c r="S371" s="611">
        <v>0</v>
      </c>
      <c r="T371" s="611">
        <v>0.82604920070086296</v>
      </c>
      <c r="U371" s="619">
        <v>35.382739372726341</v>
      </c>
      <c r="V371" s="51"/>
    </row>
    <row r="372" spans="3:22" x14ac:dyDescent="0.25">
      <c r="C372" s="618" t="s">
        <v>354</v>
      </c>
      <c r="D372" s="611">
        <v>0</v>
      </c>
      <c r="E372" s="611">
        <v>0</v>
      </c>
      <c r="F372" s="611">
        <v>0</v>
      </c>
      <c r="G372" s="611">
        <v>0</v>
      </c>
      <c r="H372" s="611">
        <v>0</v>
      </c>
      <c r="I372" s="611">
        <v>0</v>
      </c>
      <c r="J372" s="611">
        <v>0</v>
      </c>
      <c r="K372" s="611">
        <v>0</v>
      </c>
      <c r="L372" s="611">
        <v>0</v>
      </c>
      <c r="M372" s="611">
        <v>0</v>
      </c>
      <c r="N372" s="611">
        <v>0</v>
      </c>
      <c r="O372" s="611">
        <v>0</v>
      </c>
      <c r="P372" s="611">
        <v>0</v>
      </c>
      <c r="Q372" s="611">
        <v>0</v>
      </c>
      <c r="R372" s="611">
        <v>11.7</v>
      </c>
      <c r="S372" s="611">
        <v>0</v>
      </c>
      <c r="T372" s="611">
        <v>0</v>
      </c>
      <c r="U372" s="619">
        <v>11.7</v>
      </c>
      <c r="V372" s="51"/>
    </row>
    <row r="373" spans="3:22" x14ac:dyDescent="0.25">
      <c r="C373" s="614" t="s">
        <v>83</v>
      </c>
      <c r="D373" s="615">
        <v>0.64129319091675452</v>
      </c>
      <c r="E373" s="615">
        <v>0</v>
      </c>
      <c r="F373" s="615">
        <v>4.6423055389522521</v>
      </c>
      <c r="G373" s="615">
        <v>4.6064063696995508</v>
      </c>
      <c r="H373" s="615">
        <v>0</v>
      </c>
      <c r="I373" s="615">
        <v>3.9444546849273663</v>
      </c>
      <c r="J373" s="615">
        <v>0</v>
      </c>
      <c r="K373" s="615">
        <v>0</v>
      </c>
      <c r="L373" s="615">
        <v>58.210943137405394</v>
      </c>
      <c r="M373" s="615">
        <v>5.362188402201145</v>
      </c>
      <c r="N373" s="615">
        <v>39.512934840266112</v>
      </c>
      <c r="O373" s="615">
        <v>74.986769829774744</v>
      </c>
      <c r="P373" s="615">
        <v>181.20215447851419</v>
      </c>
      <c r="Q373" s="615">
        <v>8.6625008637800214</v>
      </c>
      <c r="R373" s="615">
        <v>583.53589430288855</v>
      </c>
      <c r="S373" s="615">
        <v>61.402454105753748</v>
      </c>
      <c r="T373" s="615">
        <v>23.801496662836072</v>
      </c>
      <c r="U373" s="615">
        <v>1050.5117964079159</v>
      </c>
      <c r="V373" s="51"/>
    </row>
    <row r="374" spans="3:22" x14ac:dyDescent="0.25">
      <c r="C374" s="610" t="s">
        <v>84</v>
      </c>
      <c r="D374" s="611">
        <v>0</v>
      </c>
      <c r="E374" s="611">
        <v>0</v>
      </c>
      <c r="F374" s="611">
        <v>44.559074374942114</v>
      </c>
      <c r="G374" s="611">
        <v>2.9799029387007945</v>
      </c>
      <c r="H374" s="611">
        <v>3.2223770587889593</v>
      </c>
      <c r="I374" s="611">
        <v>0</v>
      </c>
      <c r="J374" s="611">
        <v>0</v>
      </c>
      <c r="K374" s="611">
        <v>0</v>
      </c>
      <c r="L374" s="611">
        <v>0.60656225364490568</v>
      </c>
      <c r="M374" s="611">
        <v>0</v>
      </c>
      <c r="N374" s="611">
        <v>50.341514757930035</v>
      </c>
      <c r="O374" s="611">
        <v>13.801033069140475</v>
      </c>
      <c r="P374" s="611">
        <v>0</v>
      </c>
      <c r="Q374" s="611">
        <v>0</v>
      </c>
      <c r="R374" s="611">
        <v>0</v>
      </c>
      <c r="S374" s="611">
        <v>0</v>
      </c>
      <c r="T374" s="611">
        <v>63.833639735754474</v>
      </c>
      <c r="U374" s="619">
        <v>179.34410418890175</v>
      </c>
      <c r="V374" s="51"/>
    </row>
    <row r="375" spans="3:22" x14ac:dyDescent="0.25">
      <c r="C375" s="614" t="s">
        <v>85</v>
      </c>
      <c r="D375" s="615">
        <v>0.64129319091675452</v>
      </c>
      <c r="E375" s="615">
        <v>0</v>
      </c>
      <c r="F375" s="615">
        <v>49.201379913894364</v>
      </c>
      <c r="G375" s="615">
        <v>7.5863093084003452</v>
      </c>
      <c r="H375" s="615">
        <v>3.2223770587889593</v>
      </c>
      <c r="I375" s="615">
        <v>3.9444546849273663</v>
      </c>
      <c r="J375" s="615">
        <v>0</v>
      </c>
      <c r="K375" s="615">
        <v>0</v>
      </c>
      <c r="L375" s="615">
        <v>58.817505391050297</v>
      </c>
      <c r="M375" s="615">
        <v>5.362188402201145</v>
      </c>
      <c r="N375" s="615">
        <v>89.85444959819614</v>
      </c>
      <c r="O375" s="615">
        <v>88.787802898915217</v>
      </c>
      <c r="P375" s="615">
        <v>181.20215447851419</v>
      </c>
      <c r="Q375" s="615">
        <v>8.6625008637800214</v>
      </c>
      <c r="R375" s="615">
        <v>583.53589430288855</v>
      </c>
      <c r="S375" s="615">
        <v>61.402454105753748</v>
      </c>
      <c r="T375" s="615">
        <v>87.635136398590546</v>
      </c>
      <c r="U375" s="615">
        <v>1229.8559005968177</v>
      </c>
      <c r="V375" s="51"/>
    </row>
    <row r="376" spans="3:22" x14ac:dyDescent="0.25">
      <c r="C376" s="51"/>
      <c r="D376" s="67">
        <v>0</v>
      </c>
      <c r="E376" s="67">
        <v>0</v>
      </c>
      <c r="F376" s="67">
        <v>0</v>
      </c>
      <c r="G376" s="67">
        <v>0</v>
      </c>
      <c r="H376" s="67">
        <v>0</v>
      </c>
      <c r="I376" s="67">
        <v>0</v>
      </c>
      <c r="J376" s="67">
        <v>0</v>
      </c>
      <c r="K376" s="67">
        <v>0</v>
      </c>
      <c r="L376" s="67">
        <v>0</v>
      </c>
      <c r="M376" s="67">
        <v>-2.9244114949733557E-4</v>
      </c>
      <c r="N376" s="67">
        <v>0</v>
      </c>
      <c r="O376" s="67">
        <v>-6.2172489379008766E-15</v>
      </c>
      <c r="P376" s="67">
        <v>0</v>
      </c>
      <c r="Q376" s="67">
        <v>0</v>
      </c>
      <c r="R376" s="67">
        <v>-1.1368683772161603E-13</v>
      </c>
      <c r="S376" s="67">
        <v>0</v>
      </c>
      <c r="T376" s="67">
        <v>1.7763568394002505E-14</v>
      </c>
      <c r="U376" s="67">
        <v>-2.9244114966786583E-4</v>
      </c>
      <c r="V376" s="51"/>
    </row>
    <row r="377" spans="3:22" x14ac:dyDescent="0.25">
      <c r="C377" s="51"/>
      <c r="D377" s="51"/>
      <c r="E377" s="51"/>
      <c r="F377" s="51"/>
      <c r="G377" s="51"/>
      <c r="H377" s="51"/>
      <c r="I377" s="51"/>
      <c r="J377" s="51"/>
      <c r="K377" s="51"/>
      <c r="L377" s="51"/>
      <c r="M377" s="51"/>
      <c r="N377" s="51"/>
      <c r="O377" s="51"/>
      <c r="P377" s="51"/>
      <c r="Q377" s="51"/>
      <c r="R377" s="51"/>
      <c r="S377" s="51"/>
      <c r="T377" s="51"/>
      <c r="U377" s="51"/>
      <c r="V377" s="51"/>
    </row>
  </sheetData>
  <mergeCells count="140">
    <mergeCell ref="T343:T344"/>
    <mergeCell ref="U343:U344"/>
    <mergeCell ref="I343:I344"/>
    <mergeCell ref="J343:J344"/>
    <mergeCell ref="K343:K344"/>
    <mergeCell ref="L343:Q343"/>
    <mergeCell ref="R343:R344"/>
    <mergeCell ref="S343:S344"/>
    <mergeCell ref="C343:C344"/>
    <mergeCell ref="D343:D344"/>
    <mergeCell ref="E343:E344"/>
    <mergeCell ref="F343:F344"/>
    <mergeCell ref="G343:G344"/>
    <mergeCell ref="H343:H344"/>
    <mergeCell ref="K306:K307"/>
    <mergeCell ref="L306:Q306"/>
    <mergeCell ref="R306:R307"/>
    <mergeCell ref="S306:S307"/>
    <mergeCell ref="T306:T307"/>
    <mergeCell ref="U306:U307"/>
    <mergeCell ref="T269:T270"/>
    <mergeCell ref="U269:U270"/>
    <mergeCell ref="C306:C307"/>
    <mergeCell ref="D306:D307"/>
    <mergeCell ref="E306:E307"/>
    <mergeCell ref="F306:F307"/>
    <mergeCell ref="G306:G307"/>
    <mergeCell ref="H306:H307"/>
    <mergeCell ref="I306:I307"/>
    <mergeCell ref="J306:J307"/>
    <mergeCell ref="I269:I270"/>
    <mergeCell ref="J269:J270"/>
    <mergeCell ref="K269:K270"/>
    <mergeCell ref="L269:Q269"/>
    <mergeCell ref="R269:R270"/>
    <mergeCell ref="S269:S270"/>
    <mergeCell ref="C269:C270"/>
    <mergeCell ref="D269:D270"/>
    <mergeCell ref="E269:E270"/>
    <mergeCell ref="F269:F270"/>
    <mergeCell ref="G269:G270"/>
    <mergeCell ref="H269:H270"/>
    <mergeCell ref="K232:K233"/>
    <mergeCell ref="L232:Q232"/>
    <mergeCell ref="R232:R233"/>
    <mergeCell ref="S232:S233"/>
    <mergeCell ref="T232:T233"/>
    <mergeCell ref="U232:U233"/>
    <mergeCell ref="T195:T196"/>
    <mergeCell ref="U195:U196"/>
    <mergeCell ref="C232:C233"/>
    <mergeCell ref="D232:D233"/>
    <mergeCell ref="E232:E233"/>
    <mergeCell ref="F232:F233"/>
    <mergeCell ref="G232:G233"/>
    <mergeCell ref="H232:H233"/>
    <mergeCell ref="I232:I233"/>
    <mergeCell ref="J232:J233"/>
    <mergeCell ref="I195:I196"/>
    <mergeCell ref="J195:J196"/>
    <mergeCell ref="K195:K196"/>
    <mergeCell ref="L195:Q195"/>
    <mergeCell ref="R195:R196"/>
    <mergeCell ref="S195:S196"/>
    <mergeCell ref="C195:C196"/>
    <mergeCell ref="D195:D196"/>
    <mergeCell ref="E195:E196"/>
    <mergeCell ref="F195:F196"/>
    <mergeCell ref="G195:G196"/>
    <mergeCell ref="H195:H196"/>
    <mergeCell ref="K158:K159"/>
    <mergeCell ref="L158:Q158"/>
    <mergeCell ref="R158:R159"/>
    <mergeCell ref="S158:S159"/>
    <mergeCell ref="T158:T159"/>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R121:R122"/>
    <mergeCell ref="S121:S122"/>
    <mergeCell ref="C121:C122"/>
    <mergeCell ref="D121:D122"/>
    <mergeCell ref="E121:E122"/>
    <mergeCell ref="F121:F122"/>
    <mergeCell ref="G121:G122"/>
    <mergeCell ref="H121:H122"/>
    <mergeCell ref="K84:K85"/>
    <mergeCell ref="L84:Q84"/>
    <mergeCell ref="R84:R85"/>
    <mergeCell ref="S84:S85"/>
    <mergeCell ref="T84:T85"/>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S47:S48"/>
    <mergeCell ref="C47:C48"/>
    <mergeCell ref="D47:D48"/>
    <mergeCell ref="E47:E48"/>
    <mergeCell ref="F47:F48"/>
    <mergeCell ref="G47:G48"/>
    <mergeCell ref="H47:H48"/>
    <mergeCell ref="K10:K11"/>
    <mergeCell ref="L10:Q10"/>
    <mergeCell ref="R10:R11"/>
    <mergeCell ref="S10:S11"/>
    <mergeCell ref="T10:T11"/>
    <mergeCell ref="U10:U11"/>
    <mergeCell ref="C10:C11"/>
    <mergeCell ref="D10:D11"/>
    <mergeCell ref="E10:E11"/>
    <mergeCell ref="F10:F11"/>
    <mergeCell ref="G10:G11"/>
    <mergeCell ref="H10:H11"/>
    <mergeCell ref="I10:I11"/>
    <mergeCell ref="J10:J11"/>
  </mergeCells>
  <conditionalFormatting sqref="D12:U18">
    <cfRule type="containsBlanks" dxfId="1012" priority="9">
      <formula>LEN(TRIM(D12))=0</formula>
    </cfRule>
  </conditionalFormatting>
  <conditionalFormatting sqref="D12:U42">
    <cfRule type="cellIs" dxfId="1011" priority="10" operator="equal">
      <formula>0</formula>
    </cfRule>
  </conditionalFormatting>
  <conditionalFormatting sqref="D20:U32">
    <cfRule type="containsBlanks" dxfId="1010" priority="11">
      <formula>LEN(TRIM(D20))=0</formula>
    </cfRule>
  </conditionalFormatting>
  <conditionalFormatting sqref="D34:U42">
    <cfRule type="containsBlanks" dxfId="1009" priority="12">
      <formula>LEN(TRIM(D34))=0</formula>
    </cfRule>
  </conditionalFormatting>
  <conditionalFormatting sqref="D49:U55">
    <cfRule type="containsBlanks" dxfId="1008" priority="17">
      <formula>LEN(TRIM(D49))=0</formula>
    </cfRule>
  </conditionalFormatting>
  <conditionalFormatting sqref="D49:U79">
    <cfRule type="cellIs" dxfId="1007" priority="18" operator="equal">
      <formula>0</formula>
    </cfRule>
  </conditionalFormatting>
  <conditionalFormatting sqref="D57:U69">
    <cfRule type="containsBlanks" dxfId="1006" priority="19">
      <formula>LEN(TRIM(D57))=0</formula>
    </cfRule>
  </conditionalFormatting>
  <conditionalFormatting sqref="D71:U79">
    <cfRule type="containsBlanks" dxfId="1005" priority="20">
      <formula>LEN(TRIM(D71))=0</formula>
    </cfRule>
  </conditionalFormatting>
  <conditionalFormatting sqref="D86:U92">
    <cfRule type="containsBlanks" dxfId="1004" priority="25">
      <formula>LEN(TRIM(D86))=0</formula>
    </cfRule>
  </conditionalFormatting>
  <conditionalFormatting sqref="D86:U116">
    <cfRule type="cellIs" dxfId="1003" priority="26" operator="equal">
      <formula>0</formula>
    </cfRule>
  </conditionalFormatting>
  <conditionalFormatting sqref="D94:U106">
    <cfRule type="containsBlanks" dxfId="1002" priority="27">
      <formula>LEN(TRIM(D94))=0</formula>
    </cfRule>
  </conditionalFormatting>
  <conditionalFormatting sqref="D108:U116">
    <cfRule type="containsBlanks" dxfId="1001" priority="28">
      <formula>LEN(TRIM(D108))=0</formula>
    </cfRule>
  </conditionalFormatting>
  <conditionalFormatting sqref="D123:U129">
    <cfRule type="containsBlanks" dxfId="1000" priority="45">
      <formula>LEN(TRIM(D123))=0</formula>
    </cfRule>
  </conditionalFormatting>
  <conditionalFormatting sqref="D123:U153">
    <cfRule type="cellIs" dxfId="999" priority="46" operator="equal">
      <formula>0</formula>
    </cfRule>
  </conditionalFormatting>
  <conditionalFormatting sqref="D131:U143">
    <cfRule type="containsBlanks" dxfId="998" priority="47">
      <formula>LEN(TRIM(D131))=0</formula>
    </cfRule>
  </conditionalFormatting>
  <conditionalFormatting sqref="D145:U153">
    <cfRule type="containsBlanks" dxfId="997" priority="48">
      <formula>LEN(TRIM(D145))=0</formula>
    </cfRule>
  </conditionalFormatting>
  <conditionalFormatting sqref="D160:U166">
    <cfRule type="containsBlanks" dxfId="996" priority="43">
      <formula>LEN(TRIM(D160))=0</formula>
    </cfRule>
  </conditionalFormatting>
  <conditionalFormatting sqref="D160:U190">
    <cfRule type="cellIs" dxfId="995" priority="44" operator="equal">
      <formula>0</formula>
    </cfRule>
  </conditionalFormatting>
  <conditionalFormatting sqref="D168:U180">
    <cfRule type="containsBlanks" dxfId="994" priority="53">
      <formula>LEN(TRIM(D168))=0</formula>
    </cfRule>
  </conditionalFormatting>
  <conditionalFormatting sqref="D182:U190">
    <cfRule type="containsBlanks" dxfId="993" priority="54">
      <formula>LEN(TRIM(D182))=0</formula>
    </cfRule>
  </conditionalFormatting>
  <conditionalFormatting sqref="D197:U203">
    <cfRule type="containsBlanks" dxfId="992" priority="41">
      <formula>LEN(TRIM(D197))=0</formula>
    </cfRule>
  </conditionalFormatting>
  <conditionalFormatting sqref="D197:U227">
    <cfRule type="cellIs" dxfId="991" priority="42" operator="equal">
      <formula>0</formula>
    </cfRule>
  </conditionalFormatting>
  <conditionalFormatting sqref="D205:U217">
    <cfRule type="containsBlanks" dxfId="990" priority="59">
      <formula>LEN(TRIM(D205))=0</formula>
    </cfRule>
  </conditionalFormatting>
  <conditionalFormatting sqref="D219:U227">
    <cfRule type="containsBlanks" dxfId="989" priority="60">
      <formula>LEN(TRIM(D219))=0</formula>
    </cfRule>
  </conditionalFormatting>
  <conditionalFormatting sqref="D234:U240">
    <cfRule type="containsBlanks" dxfId="988" priority="39">
      <formula>LEN(TRIM(D234))=0</formula>
    </cfRule>
  </conditionalFormatting>
  <conditionalFormatting sqref="D234:U264">
    <cfRule type="cellIs" dxfId="987" priority="40" operator="equal">
      <formula>0</formula>
    </cfRule>
  </conditionalFormatting>
  <conditionalFormatting sqref="D242:U254">
    <cfRule type="containsBlanks" dxfId="986" priority="65">
      <formula>LEN(TRIM(D242))=0</formula>
    </cfRule>
  </conditionalFormatting>
  <conditionalFormatting sqref="D256:U264">
    <cfRule type="containsBlanks" dxfId="985" priority="66">
      <formula>LEN(TRIM(D256))=0</formula>
    </cfRule>
  </conditionalFormatting>
  <conditionalFormatting sqref="D271:U277">
    <cfRule type="containsBlanks" dxfId="984" priority="37">
      <formula>LEN(TRIM(D271))=0</formula>
    </cfRule>
  </conditionalFormatting>
  <conditionalFormatting sqref="D271:U301">
    <cfRule type="cellIs" dxfId="983" priority="38" operator="equal">
      <formula>0</formula>
    </cfRule>
  </conditionalFormatting>
  <conditionalFormatting sqref="D279:U291">
    <cfRule type="containsBlanks" dxfId="982" priority="71">
      <formula>LEN(TRIM(D279))=0</formula>
    </cfRule>
  </conditionalFormatting>
  <conditionalFormatting sqref="D293:U301">
    <cfRule type="containsBlanks" dxfId="981" priority="72">
      <formula>LEN(TRIM(D293))=0</formula>
    </cfRule>
  </conditionalFormatting>
  <conditionalFormatting sqref="D308:U314">
    <cfRule type="containsBlanks" dxfId="980" priority="35">
      <formula>LEN(TRIM(D308))=0</formula>
    </cfRule>
  </conditionalFormatting>
  <conditionalFormatting sqref="D308:U338">
    <cfRule type="cellIs" dxfId="979" priority="36" operator="equal">
      <formula>0</formula>
    </cfRule>
  </conditionalFormatting>
  <conditionalFormatting sqref="D316:U328">
    <cfRule type="containsBlanks" dxfId="978" priority="77">
      <formula>LEN(TRIM(D316))=0</formula>
    </cfRule>
  </conditionalFormatting>
  <conditionalFormatting sqref="D330:U338">
    <cfRule type="containsBlanks" dxfId="977" priority="78">
      <formula>LEN(TRIM(D330))=0</formula>
    </cfRule>
  </conditionalFormatting>
  <conditionalFormatting sqref="D345:U351">
    <cfRule type="containsBlanks" dxfId="976" priority="33">
      <formula>LEN(TRIM(D345))=0</formula>
    </cfRule>
  </conditionalFormatting>
  <conditionalFormatting sqref="D345:U375">
    <cfRule type="cellIs" dxfId="975" priority="34" operator="equal">
      <formula>0</formula>
    </cfRule>
  </conditionalFormatting>
  <conditionalFormatting sqref="D353:U365">
    <cfRule type="containsBlanks" dxfId="974" priority="83">
      <formula>LEN(TRIM(D353))=0</formula>
    </cfRule>
  </conditionalFormatting>
  <conditionalFormatting sqref="D367:U375">
    <cfRule type="containsBlanks" dxfId="973" priority="84">
      <formula>LEN(TRIM(D367))=0</formula>
    </cfRule>
  </conditionalFormatting>
  <conditionalFormatting sqref="F161:F162">
    <cfRule type="cellIs" dxfId="972" priority="57" operator="equal">
      <formula>0</formula>
    </cfRule>
  </conditionalFormatting>
  <conditionalFormatting sqref="F198:F199">
    <cfRule type="cellIs" dxfId="971" priority="63" operator="equal">
      <formula>0</formula>
    </cfRule>
  </conditionalFormatting>
  <conditionalFormatting sqref="F235:F236">
    <cfRule type="cellIs" dxfId="970" priority="69" operator="equal">
      <formula>0</formula>
    </cfRule>
  </conditionalFormatting>
  <conditionalFormatting sqref="F272:F273">
    <cfRule type="cellIs" dxfId="969" priority="75" operator="equal">
      <formula>0</formula>
    </cfRule>
  </conditionalFormatting>
  <conditionalFormatting sqref="F309:F310">
    <cfRule type="cellIs" dxfId="968" priority="81" operator="equal">
      <formula>0</formula>
    </cfRule>
  </conditionalFormatting>
  <conditionalFormatting sqref="F346:F347">
    <cfRule type="cellIs" dxfId="967" priority="87" operator="equal">
      <formula>0</formula>
    </cfRule>
  </conditionalFormatting>
  <conditionalFormatting sqref="L13:L17">
    <cfRule type="cellIs" dxfId="966" priority="15" operator="equal">
      <formula>0</formula>
    </cfRule>
  </conditionalFormatting>
  <conditionalFormatting sqref="L50:L54">
    <cfRule type="cellIs" dxfId="965" priority="23" operator="equal">
      <formula>0</formula>
    </cfRule>
  </conditionalFormatting>
  <conditionalFormatting sqref="L87:L91">
    <cfRule type="cellIs" dxfId="964" priority="31" operator="equal">
      <formula>0</formula>
    </cfRule>
  </conditionalFormatting>
  <conditionalFormatting sqref="L124:L128">
    <cfRule type="cellIs" dxfId="963" priority="51" operator="equal">
      <formula>0</formula>
    </cfRule>
  </conditionalFormatting>
  <conditionalFormatting sqref="L161:L165">
    <cfRule type="cellIs" dxfId="962" priority="56" operator="equal">
      <formula>0</formula>
    </cfRule>
  </conditionalFormatting>
  <conditionalFormatting sqref="L198:L202">
    <cfRule type="cellIs" dxfId="961" priority="62" operator="equal">
      <formula>0</formula>
    </cfRule>
  </conditionalFormatting>
  <conditionalFormatting sqref="L235:L239">
    <cfRule type="cellIs" dxfId="960" priority="68" operator="equal">
      <formula>0</formula>
    </cfRule>
  </conditionalFormatting>
  <conditionalFormatting sqref="L272:L276">
    <cfRule type="cellIs" dxfId="959" priority="74" operator="equal">
      <formula>0</formula>
    </cfRule>
  </conditionalFormatting>
  <conditionalFormatting sqref="L309:L313">
    <cfRule type="cellIs" dxfId="958" priority="80" operator="equal">
      <formula>0</formula>
    </cfRule>
  </conditionalFormatting>
  <conditionalFormatting sqref="L346:L350">
    <cfRule type="cellIs" dxfId="957" priority="86" operator="equal">
      <formula>0</formula>
    </cfRule>
  </conditionalFormatting>
  <conditionalFormatting sqref="L11:Q11">
    <cfRule type="cellIs" dxfId="956" priority="98" operator="equal">
      <formula>0</formula>
    </cfRule>
  </conditionalFormatting>
  <conditionalFormatting sqref="L48:Q48">
    <cfRule type="cellIs" dxfId="955" priority="97" operator="equal">
      <formula>0</formula>
    </cfRule>
  </conditionalFormatting>
  <conditionalFormatting sqref="L85:Q85">
    <cfRule type="cellIs" dxfId="954" priority="96" operator="equal">
      <formula>0</formula>
    </cfRule>
  </conditionalFormatting>
  <conditionalFormatting sqref="L122:Q122">
    <cfRule type="cellIs" dxfId="953" priority="95" operator="equal">
      <formula>0</formula>
    </cfRule>
  </conditionalFormatting>
  <conditionalFormatting sqref="L159:Q159">
    <cfRule type="cellIs" dxfId="952" priority="94" operator="equal">
      <formula>0</formula>
    </cfRule>
  </conditionalFormatting>
  <conditionalFormatting sqref="L196:Q196">
    <cfRule type="cellIs" dxfId="951" priority="93" operator="equal">
      <formula>0</formula>
    </cfRule>
  </conditionalFormatting>
  <conditionalFormatting sqref="L233:Q233">
    <cfRule type="cellIs" dxfId="950" priority="92" operator="equal">
      <formula>0</formula>
    </cfRule>
  </conditionalFormatting>
  <conditionalFormatting sqref="L270:Q270">
    <cfRule type="cellIs" dxfId="949" priority="91" operator="equal">
      <formula>0</formula>
    </cfRule>
  </conditionalFormatting>
  <conditionalFormatting sqref="L307:Q307">
    <cfRule type="cellIs" dxfId="948" priority="90" operator="equal">
      <formula>0</formula>
    </cfRule>
  </conditionalFormatting>
  <conditionalFormatting sqref="L344:Q344">
    <cfRule type="cellIs" dxfId="947" priority="89" operator="equal">
      <formula>0</formula>
    </cfRule>
  </conditionalFormatting>
  <conditionalFormatting sqref="M12:O17">
    <cfRule type="cellIs" dxfId="946" priority="13" operator="equal">
      <formula>0</formula>
    </cfRule>
  </conditionalFormatting>
  <conditionalFormatting sqref="M49:O54">
    <cfRule type="cellIs" dxfId="945" priority="21" operator="equal">
      <formula>0</formula>
    </cfRule>
  </conditionalFormatting>
  <conditionalFormatting sqref="M86:O91">
    <cfRule type="cellIs" dxfId="944" priority="29" operator="equal">
      <formula>0</formula>
    </cfRule>
  </conditionalFormatting>
  <conditionalFormatting sqref="M123:O128">
    <cfRule type="cellIs" dxfId="943" priority="49" operator="equal">
      <formula>0</formula>
    </cfRule>
  </conditionalFormatting>
  <conditionalFormatting sqref="P13:Q17">
    <cfRule type="cellIs" dxfId="942" priority="14" operator="equal">
      <formula>0</formula>
    </cfRule>
  </conditionalFormatting>
  <conditionalFormatting sqref="P50:Q54">
    <cfRule type="cellIs" dxfId="941" priority="22" operator="equal">
      <formula>0</formula>
    </cfRule>
  </conditionalFormatting>
  <conditionalFormatting sqref="P87:Q91">
    <cfRule type="cellIs" dxfId="940" priority="30" operator="equal">
      <formula>0</formula>
    </cfRule>
  </conditionalFormatting>
  <conditionalFormatting sqref="P124:Q128">
    <cfRule type="cellIs" dxfId="939" priority="50" operator="equal">
      <formula>0</formula>
    </cfRule>
  </conditionalFormatting>
  <conditionalFormatting sqref="P161:Q165">
    <cfRule type="cellIs" dxfId="938" priority="55" operator="equal">
      <formula>0</formula>
    </cfRule>
  </conditionalFormatting>
  <conditionalFormatting sqref="P198:Q202">
    <cfRule type="cellIs" dxfId="937" priority="61" operator="equal">
      <formula>0</formula>
    </cfRule>
  </conditionalFormatting>
  <conditionalFormatting sqref="P235:Q239">
    <cfRule type="cellIs" dxfId="936" priority="67" operator="equal">
      <formula>0</formula>
    </cfRule>
  </conditionalFormatting>
  <conditionalFormatting sqref="P272:Q276">
    <cfRule type="cellIs" dxfId="935" priority="73" operator="equal">
      <formula>0</formula>
    </cfRule>
  </conditionalFormatting>
  <conditionalFormatting sqref="P309:Q313">
    <cfRule type="cellIs" dxfId="934" priority="79" operator="equal">
      <formula>0</formula>
    </cfRule>
  </conditionalFormatting>
  <conditionalFormatting sqref="P346:Q350">
    <cfRule type="cellIs" dxfId="933" priority="85" operator="equal">
      <formula>0</formula>
    </cfRule>
  </conditionalFormatting>
  <conditionalFormatting sqref="R12:R14">
    <cfRule type="cellIs" dxfId="932" priority="16" operator="equal">
      <formula>0</formula>
    </cfRule>
  </conditionalFormatting>
  <conditionalFormatting sqref="R49:R51">
    <cfRule type="cellIs" dxfId="931" priority="24" operator="equal">
      <formula>0</formula>
    </cfRule>
  </conditionalFormatting>
  <conditionalFormatting sqref="R86:R88">
    <cfRule type="cellIs" dxfId="930" priority="32" operator="equal">
      <formula>0</formula>
    </cfRule>
  </conditionalFormatting>
  <conditionalFormatting sqref="R123:R125">
    <cfRule type="cellIs" dxfId="929" priority="52" operator="equal">
      <formula>0</formula>
    </cfRule>
  </conditionalFormatting>
  <conditionalFormatting sqref="R160:R162">
    <cfRule type="cellIs" dxfId="928" priority="58" operator="equal">
      <formula>0</formula>
    </cfRule>
  </conditionalFormatting>
  <conditionalFormatting sqref="R197:R199">
    <cfRule type="cellIs" dxfId="927" priority="64" operator="equal">
      <formula>0</formula>
    </cfRule>
  </conditionalFormatting>
  <conditionalFormatting sqref="R234:R236">
    <cfRule type="cellIs" dxfId="926" priority="70" operator="equal">
      <formula>0</formula>
    </cfRule>
  </conditionalFormatting>
  <conditionalFormatting sqref="R271:R273">
    <cfRule type="cellIs" dxfId="925" priority="76" operator="equal">
      <formula>0</formula>
    </cfRule>
  </conditionalFormatting>
  <conditionalFormatting sqref="R308:R310">
    <cfRule type="cellIs" dxfId="924" priority="82" operator="equal">
      <formula>0</formula>
    </cfRule>
  </conditionalFormatting>
  <conditionalFormatting sqref="R345:R347">
    <cfRule type="cellIs" dxfId="923" priority="88" operator="equal">
      <formula>0</formula>
    </cfRule>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03DDB-CD58-4246-93E3-E98EC5D02DC1}">
  <dimension ref="C2:V340"/>
  <sheetViews>
    <sheetView workbookViewId="0"/>
  </sheetViews>
  <sheetFormatPr baseColWidth="10" defaultRowHeight="15" x14ac:dyDescent="0.25"/>
  <sheetData>
    <row r="2" spans="3:22" ht="18.75" x14ac:dyDescent="0.3">
      <c r="C2" s="600" t="s">
        <v>406</v>
      </c>
      <c r="D2" s="599"/>
      <c r="E2" s="599"/>
      <c r="F2" s="599"/>
      <c r="G2" s="599"/>
      <c r="H2" s="599"/>
      <c r="I2" s="599"/>
      <c r="J2" s="599"/>
      <c r="K2" s="599"/>
      <c r="L2" s="599"/>
      <c r="M2" s="599"/>
      <c r="N2" s="599"/>
      <c r="O2" s="599"/>
      <c r="P2" s="599"/>
      <c r="Q2" s="599"/>
      <c r="R2" s="599"/>
      <c r="S2" s="599"/>
      <c r="T2" s="599"/>
      <c r="U2" s="599"/>
      <c r="V2" s="599"/>
    </row>
    <row r="3" spans="3:22" x14ac:dyDescent="0.25">
      <c r="C3" s="51"/>
      <c r="D3" s="51"/>
      <c r="E3" s="51"/>
      <c r="F3" s="51"/>
      <c r="G3" s="51"/>
      <c r="H3" s="51"/>
      <c r="I3" s="51"/>
      <c r="J3" s="51"/>
      <c r="K3" s="51"/>
      <c r="L3" s="51"/>
      <c r="M3" s="51"/>
      <c r="N3" s="51"/>
      <c r="O3" s="51"/>
      <c r="P3" s="51"/>
      <c r="Q3" s="51"/>
      <c r="R3" s="51"/>
      <c r="S3" s="51"/>
      <c r="T3" s="51"/>
      <c r="U3" s="51"/>
      <c r="V3" s="51"/>
    </row>
    <row r="4" spans="3:22" ht="15.75" x14ac:dyDescent="0.25">
      <c r="C4" s="603" t="s">
        <v>338</v>
      </c>
      <c r="D4" s="602" t="s">
        <v>481</v>
      </c>
      <c r="E4" s="602"/>
      <c r="F4" s="602"/>
      <c r="G4" s="602"/>
      <c r="H4" s="602"/>
      <c r="I4" s="602"/>
      <c r="J4" s="602"/>
      <c r="K4" s="604"/>
      <c r="L4" s="604"/>
      <c r="M4" s="604"/>
      <c r="N4" s="604"/>
      <c r="O4" s="604"/>
      <c r="P4" s="604"/>
      <c r="Q4" s="604"/>
      <c r="R4" s="602"/>
      <c r="S4" s="602"/>
      <c r="T4" s="602"/>
      <c r="U4" s="602"/>
      <c r="V4" s="602"/>
    </row>
    <row r="5" spans="3:22" ht="15.75" x14ac:dyDescent="0.25">
      <c r="C5" s="603" t="s">
        <v>341</v>
      </c>
      <c r="D5" s="602" t="s">
        <v>342</v>
      </c>
      <c r="E5" s="602"/>
      <c r="F5" s="602"/>
      <c r="G5" s="602"/>
      <c r="H5" s="602"/>
      <c r="I5" s="602"/>
      <c r="J5" s="602"/>
      <c r="K5" s="602"/>
      <c r="L5" s="602"/>
      <c r="M5" s="602"/>
      <c r="N5" s="602"/>
      <c r="O5" s="602"/>
      <c r="P5" s="602"/>
      <c r="Q5" s="602"/>
      <c r="R5" s="602"/>
      <c r="S5" s="602"/>
      <c r="T5" s="602"/>
      <c r="U5" s="602"/>
      <c r="V5" s="602"/>
    </row>
    <row r="6" spans="3:22" x14ac:dyDescent="0.25">
      <c r="C6" s="51"/>
      <c r="D6" s="51"/>
      <c r="E6" s="51"/>
      <c r="F6" s="51"/>
      <c r="G6" s="51"/>
      <c r="H6" s="51"/>
      <c r="I6" s="51"/>
      <c r="J6" s="51"/>
      <c r="K6" s="51"/>
      <c r="L6" s="51"/>
      <c r="M6" s="51"/>
      <c r="N6" s="51"/>
      <c r="O6" s="51"/>
      <c r="P6" s="51"/>
      <c r="Q6" s="51"/>
      <c r="R6" s="51"/>
      <c r="S6" s="51"/>
      <c r="T6" s="51"/>
      <c r="U6" s="51"/>
      <c r="V6" s="51"/>
    </row>
    <row r="7" spans="3:22" x14ac:dyDescent="0.25">
      <c r="C7" s="51"/>
      <c r="D7" s="51"/>
      <c r="E7" s="51"/>
      <c r="F7" s="51"/>
      <c r="G7" s="51"/>
      <c r="H7" s="51"/>
      <c r="I7" s="51"/>
      <c r="J7" s="51"/>
      <c r="K7" s="51"/>
      <c r="L7" s="51"/>
      <c r="M7" s="51"/>
      <c r="N7" s="51"/>
      <c r="O7" s="51"/>
      <c r="P7" s="51"/>
      <c r="Q7" s="51"/>
      <c r="R7" s="51"/>
      <c r="S7" s="51"/>
      <c r="T7" s="51"/>
      <c r="U7" s="51"/>
      <c r="V7" s="51"/>
    </row>
    <row r="8" spans="3:22" x14ac:dyDescent="0.25">
      <c r="C8" s="607" t="s">
        <v>356</v>
      </c>
      <c r="D8" s="606"/>
      <c r="E8" s="606"/>
      <c r="F8" s="606"/>
      <c r="G8" s="606"/>
      <c r="H8" s="606"/>
      <c r="I8" s="606"/>
      <c r="J8" s="606"/>
      <c r="K8" s="606"/>
      <c r="L8" s="606"/>
      <c r="M8" s="606"/>
      <c r="N8" s="606"/>
      <c r="O8" s="606"/>
      <c r="P8" s="606"/>
      <c r="Q8" s="606"/>
      <c r="R8" s="606"/>
      <c r="S8" s="606"/>
      <c r="T8" s="606"/>
      <c r="U8" s="606"/>
      <c r="V8" s="606"/>
    </row>
    <row r="9" spans="3:22" x14ac:dyDescent="0.25">
      <c r="C9" s="51"/>
      <c r="D9" s="51"/>
      <c r="E9" s="51"/>
      <c r="F9" s="51"/>
      <c r="G9" s="51"/>
      <c r="H9" s="51"/>
      <c r="I9" s="51"/>
      <c r="J9" s="51"/>
      <c r="K9" s="51"/>
      <c r="L9" s="51"/>
      <c r="M9" s="51"/>
      <c r="N9" s="51"/>
      <c r="O9" s="51"/>
      <c r="P9" s="51"/>
      <c r="Q9" s="51"/>
      <c r="R9" s="51"/>
      <c r="S9" s="51"/>
      <c r="T9" s="51"/>
      <c r="U9" s="51"/>
      <c r="V9" s="51"/>
    </row>
    <row r="10" spans="3:22" x14ac:dyDescent="0.25">
      <c r="C10" s="764" t="s">
        <v>128</v>
      </c>
      <c r="D10" s="753" t="s">
        <v>42</v>
      </c>
      <c r="E10" s="753" t="s">
        <v>52</v>
      </c>
      <c r="F10" s="753" t="s">
        <v>53</v>
      </c>
      <c r="G10" s="753" t="s">
        <v>482</v>
      </c>
      <c r="H10" s="753" t="s">
        <v>32</v>
      </c>
      <c r="I10" s="753" t="s">
        <v>483</v>
      </c>
      <c r="J10" s="753" t="s">
        <v>20</v>
      </c>
      <c r="K10" s="753" t="s">
        <v>55</v>
      </c>
      <c r="L10" s="761" t="s">
        <v>56</v>
      </c>
      <c r="M10" s="762"/>
      <c r="N10" s="762"/>
      <c r="O10" s="762"/>
      <c r="P10" s="762"/>
      <c r="Q10" s="763"/>
      <c r="R10" s="753" t="s">
        <v>57</v>
      </c>
      <c r="S10" s="753" t="s">
        <v>58</v>
      </c>
      <c r="T10" s="753" t="s">
        <v>31</v>
      </c>
      <c r="U10" s="753" t="s">
        <v>10</v>
      </c>
      <c r="V10" s="51"/>
    </row>
    <row r="11" spans="3:22" ht="36" x14ac:dyDescent="0.25">
      <c r="C11" s="765"/>
      <c r="D11" s="754"/>
      <c r="E11" s="754"/>
      <c r="F11" s="754"/>
      <c r="G11" s="754"/>
      <c r="H11" s="754"/>
      <c r="I11" s="754"/>
      <c r="J11" s="754"/>
      <c r="K11" s="754"/>
      <c r="L11" s="608" t="s">
        <v>335</v>
      </c>
      <c r="M11" s="608" t="s">
        <v>40</v>
      </c>
      <c r="N11" s="608" t="s">
        <v>343</v>
      </c>
      <c r="O11" s="608" t="s">
        <v>344</v>
      </c>
      <c r="P11" s="609" t="s">
        <v>345</v>
      </c>
      <c r="Q11" s="608" t="s">
        <v>346</v>
      </c>
      <c r="R11" s="754"/>
      <c r="S11" s="754"/>
      <c r="T11" s="754"/>
      <c r="U11" s="754"/>
      <c r="V11" s="51"/>
    </row>
    <row r="12" spans="3:22" x14ac:dyDescent="0.25">
      <c r="C12" s="610" t="s">
        <v>59</v>
      </c>
      <c r="D12" s="611">
        <v>0</v>
      </c>
      <c r="E12" s="611">
        <v>9.7691999999999997</v>
      </c>
      <c r="F12" s="611">
        <v>0</v>
      </c>
      <c r="G12" s="611">
        <v>0</v>
      </c>
      <c r="H12" s="611">
        <v>0.18608000000000002</v>
      </c>
      <c r="I12" s="611">
        <v>0</v>
      </c>
      <c r="J12" s="612">
        <v>1166.5108</v>
      </c>
      <c r="K12" s="612">
        <v>184.63272900914501</v>
      </c>
      <c r="L12" s="612">
        <v>310.68682613525135</v>
      </c>
      <c r="M12" s="612">
        <v>22.969494401874655</v>
      </c>
      <c r="N12" s="611">
        <v>1.6018700034195554</v>
      </c>
      <c r="O12" s="611">
        <v>0.1425306035599459</v>
      </c>
      <c r="P12" s="612">
        <v>91.425453399622683</v>
      </c>
      <c r="Q12" s="612">
        <v>11.341753913657868</v>
      </c>
      <c r="R12" s="611">
        <v>0</v>
      </c>
      <c r="S12" s="611">
        <v>0</v>
      </c>
      <c r="T12" s="611">
        <v>0</v>
      </c>
      <c r="U12" s="613">
        <v>1799.2667374665311</v>
      </c>
      <c r="V12" s="51"/>
    </row>
    <row r="13" spans="3:22" x14ac:dyDescent="0.25">
      <c r="C13" s="610" t="s">
        <v>60</v>
      </c>
      <c r="D13" s="611">
        <v>31.301876280181485</v>
      </c>
      <c r="E13" s="611">
        <v>431.3069280451549</v>
      </c>
      <c r="F13" s="611">
        <v>217.99654673231831</v>
      </c>
      <c r="G13" s="611">
        <v>0.60008119727305109</v>
      </c>
      <c r="H13" s="611">
        <v>332.73320804873316</v>
      </c>
      <c r="I13" s="611">
        <v>0</v>
      </c>
      <c r="J13" s="611">
        <v>0</v>
      </c>
      <c r="K13" s="611">
        <v>0</v>
      </c>
      <c r="L13" s="611">
        <v>2.543202703318971</v>
      </c>
      <c r="M13" s="611">
        <v>0</v>
      </c>
      <c r="N13" s="611">
        <v>3.5846628553643418</v>
      </c>
      <c r="O13" s="611">
        <v>0</v>
      </c>
      <c r="P13" s="611">
        <v>0</v>
      </c>
      <c r="Q13" s="611">
        <v>0</v>
      </c>
      <c r="R13" s="611">
        <v>0</v>
      </c>
      <c r="S13" s="611">
        <v>0</v>
      </c>
      <c r="T13" s="611">
        <v>0</v>
      </c>
      <c r="U13" s="613">
        <v>1020.0665058623443</v>
      </c>
      <c r="V13" s="51"/>
    </row>
    <row r="14" spans="3:22" x14ac:dyDescent="0.25">
      <c r="C14" s="610" t="s">
        <v>61</v>
      </c>
      <c r="D14" s="611">
        <v>0</v>
      </c>
      <c r="E14" s="611">
        <v>0</v>
      </c>
      <c r="F14" s="611">
        <v>5.080170490032458</v>
      </c>
      <c r="G14" s="611">
        <v>0</v>
      </c>
      <c r="H14" s="611">
        <v>0</v>
      </c>
      <c r="I14" s="611">
        <v>0</v>
      </c>
      <c r="J14" s="611">
        <v>0</v>
      </c>
      <c r="K14" s="611">
        <v>0</v>
      </c>
      <c r="L14" s="611">
        <v>0</v>
      </c>
      <c r="M14" s="611">
        <v>0</v>
      </c>
      <c r="N14" s="611">
        <v>0</v>
      </c>
      <c r="O14" s="611">
        <v>0</v>
      </c>
      <c r="P14" s="611">
        <v>0</v>
      </c>
      <c r="Q14" s="611">
        <v>0</v>
      </c>
      <c r="R14" s="611">
        <v>-60.38684280555492</v>
      </c>
      <c r="S14" s="611">
        <v>0</v>
      </c>
      <c r="T14" s="611">
        <v>0</v>
      </c>
      <c r="U14" s="613">
        <v>-55.306672315522462</v>
      </c>
      <c r="V14" s="51"/>
    </row>
    <row r="15" spans="3:22" x14ac:dyDescent="0.25">
      <c r="C15" s="610" t="s">
        <v>62</v>
      </c>
      <c r="D15" s="611">
        <v>0</v>
      </c>
      <c r="E15" s="611">
        <v>0</v>
      </c>
      <c r="F15" s="611">
        <v>-14.462234437358957</v>
      </c>
      <c r="G15" s="611">
        <v>-3.4845806923438902E-2</v>
      </c>
      <c r="H15" s="611">
        <v>-2.4571855704098158</v>
      </c>
      <c r="I15" s="611">
        <v>-0.38128741609807487</v>
      </c>
      <c r="J15" s="611">
        <v>0</v>
      </c>
      <c r="K15" s="611">
        <v>0</v>
      </c>
      <c r="L15" s="611">
        <v>0</v>
      </c>
      <c r="M15" s="611">
        <v>0</v>
      </c>
      <c r="N15" s="611">
        <v>-0.67550051473591077</v>
      </c>
      <c r="O15" s="611">
        <v>-0.69196605143724688</v>
      </c>
      <c r="P15" s="611">
        <v>0</v>
      </c>
      <c r="Q15" s="611">
        <v>0</v>
      </c>
      <c r="R15" s="611">
        <v>0</v>
      </c>
      <c r="S15" s="611">
        <v>0</v>
      </c>
      <c r="T15" s="611">
        <v>-7.9015435200541731E-2</v>
      </c>
      <c r="U15" s="613">
        <v>-18.782035232163988</v>
      </c>
      <c r="V15" s="51"/>
    </row>
    <row r="16" spans="3:22" x14ac:dyDescent="0.25">
      <c r="C16" s="610" t="s">
        <v>63</v>
      </c>
      <c r="D16" s="611">
        <v>0</v>
      </c>
      <c r="E16" s="611">
        <v>0</v>
      </c>
      <c r="F16" s="611">
        <v>-68.83733538679644</v>
      </c>
      <c r="G16" s="611">
        <v>-0.53809644100531673</v>
      </c>
      <c r="H16" s="611">
        <v>0</v>
      </c>
      <c r="I16" s="611">
        <v>0</v>
      </c>
      <c r="J16" s="611">
        <v>0</v>
      </c>
      <c r="K16" s="611">
        <v>0</v>
      </c>
      <c r="L16" s="611">
        <v>0</v>
      </c>
      <c r="M16" s="611">
        <v>0</v>
      </c>
      <c r="N16" s="611">
        <v>-2.7254967468919165</v>
      </c>
      <c r="O16" s="611">
        <v>0</v>
      </c>
      <c r="P16" s="611">
        <v>0</v>
      </c>
      <c r="Q16" s="611">
        <v>0</v>
      </c>
      <c r="R16" s="611">
        <v>0</v>
      </c>
      <c r="S16" s="611">
        <v>0</v>
      </c>
      <c r="T16" s="611">
        <v>0</v>
      </c>
      <c r="U16" s="613">
        <v>-72.100928574693683</v>
      </c>
      <c r="V16" s="51"/>
    </row>
    <row r="17" spans="3:22" x14ac:dyDescent="0.25">
      <c r="C17" s="610" t="s">
        <v>64</v>
      </c>
      <c r="D17" s="611">
        <v>0</v>
      </c>
      <c r="E17" s="611">
        <v>0</v>
      </c>
      <c r="F17" s="611">
        <v>0</v>
      </c>
      <c r="G17" s="611">
        <v>0</v>
      </c>
      <c r="H17" s="611">
        <v>0</v>
      </c>
      <c r="I17" s="611">
        <v>0</v>
      </c>
      <c r="J17" s="611">
        <v>0</v>
      </c>
      <c r="K17" s="611">
        <v>0</v>
      </c>
      <c r="L17" s="611">
        <v>0</v>
      </c>
      <c r="M17" s="611">
        <v>0</v>
      </c>
      <c r="N17" s="611">
        <v>0</v>
      </c>
      <c r="O17" s="611">
        <v>0</v>
      </c>
      <c r="P17" s="611">
        <v>0</v>
      </c>
      <c r="Q17" s="611">
        <v>0</v>
      </c>
      <c r="R17" s="611">
        <v>0</v>
      </c>
      <c r="S17" s="611">
        <v>0</v>
      </c>
      <c r="T17" s="611">
        <v>0</v>
      </c>
      <c r="U17" s="613">
        <v>0</v>
      </c>
      <c r="V17" s="51"/>
    </row>
    <row r="18" spans="3:22" x14ac:dyDescent="0.25">
      <c r="C18" s="614" t="s">
        <v>65</v>
      </c>
      <c r="D18" s="615">
        <v>31.301876280181485</v>
      </c>
      <c r="E18" s="615">
        <v>441.07612804515492</v>
      </c>
      <c r="F18" s="615">
        <v>139.77714739819538</v>
      </c>
      <c r="G18" s="615">
        <v>2.7138949344295504E-2</v>
      </c>
      <c r="H18" s="615">
        <v>330.46210247832335</v>
      </c>
      <c r="I18" s="615">
        <v>-0.38128741609807487</v>
      </c>
      <c r="J18" s="615">
        <v>1166.5108</v>
      </c>
      <c r="K18" s="615">
        <v>184.63272900914501</v>
      </c>
      <c r="L18" s="615">
        <v>313.23002883857032</v>
      </c>
      <c r="M18" s="615">
        <v>22.969494401874655</v>
      </c>
      <c r="N18" s="615">
        <v>1.7855355971560702</v>
      </c>
      <c r="O18" s="615">
        <v>-0.54943544787730092</v>
      </c>
      <c r="P18" s="615">
        <v>91.425453399622683</v>
      </c>
      <c r="Q18" s="615">
        <v>11.341753913657868</v>
      </c>
      <c r="R18" s="615">
        <v>-60.38684280555492</v>
      </c>
      <c r="S18" s="615">
        <v>0</v>
      </c>
      <c r="T18" s="615">
        <v>-7.9015435200541731E-2</v>
      </c>
      <c r="U18" s="615">
        <v>2673.1436072064953</v>
      </c>
      <c r="V18" s="51"/>
    </row>
    <row r="19" spans="3:22" x14ac:dyDescent="0.25">
      <c r="C19" s="616"/>
      <c r="D19" s="617"/>
      <c r="E19" s="617"/>
      <c r="F19" s="617"/>
      <c r="G19" s="617"/>
      <c r="H19" s="623"/>
      <c r="I19" s="617"/>
      <c r="J19" s="617"/>
      <c r="K19" s="617"/>
      <c r="L19" s="617"/>
      <c r="M19" s="617"/>
      <c r="N19" s="617"/>
      <c r="O19" s="617"/>
      <c r="P19" s="617"/>
      <c r="Q19" s="617"/>
      <c r="R19" s="617"/>
      <c r="S19" s="617"/>
      <c r="T19" s="617"/>
      <c r="U19" s="617"/>
      <c r="V19" s="51"/>
    </row>
    <row r="20" spans="3:22" x14ac:dyDescent="0.25">
      <c r="C20" s="618" t="s">
        <v>67</v>
      </c>
      <c r="D20" s="611">
        <v>0</v>
      </c>
      <c r="E20" s="611">
        <v>0</v>
      </c>
      <c r="F20" s="611">
        <v>0</v>
      </c>
      <c r="G20" s="611">
        <v>0</v>
      </c>
      <c r="H20" s="611">
        <v>0</v>
      </c>
      <c r="I20" s="611">
        <v>0</v>
      </c>
      <c r="J20" s="611">
        <v>0</v>
      </c>
      <c r="K20" s="611">
        <v>0</v>
      </c>
      <c r="L20" s="611">
        <v>0</v>
      </c>
      <c r="M20" s="611">
        <v>0</v>
      </c>
      <c r="N20" s="611">
        <v>0</v>
      </c>
      <c r="O20" s="611">
        <v>0</v>
      </c>
      <c r="P20" s="611">
        <v>0</v>
      </c>
      <c r="Q20" s="611">
        <v>0</v>
      </c>
      <c r="R20" s="611">
        <v>0</v>
      </c>
      <c r="S20" s="611">
        <v>0</v>
      </c>
      <c r="T20" s="611">
        <v>0</v>
      </c>
      <c r="U20" s="619">
        <v>0</v>
      </c>
      <c r="V20" s="51"/>
    </row>
    <row r="21" spans="3:22" x14ac:dyDescent="0.25">
      <c r="C21" s="618" t="s">
        <v>347</v>
      </c>
      <c r="D21" s="611">
        <v>0</v>
      </c>
      <c r="E21" s="611">
        <v>0</v>
      </c>
      <c r="F21" s="611">
        <v>0.96641953755106458</v>
      </c>
      <c r="G21" s="611">
        <v>0</v>
      </c>
      <c r="H21" s="611">
        <v>52.050434872915119</v>
      </c>
      <c r="I21" s="611">
        <v>0</v>
      </c>
      <c r="J21" s="611">
        <v>1166.5108</v>
      </c>
      <c r="K21" s="611">
        <v>184.63272900914501</v>
      </c>
      <c r="L21" s="611">
        <v>26.603779504681</v>
      </c>
      <c r="M21" s="611">
        <v>0.77130233694483996</v>
      </c>
      <c r="N21" s="611">
        <v>4.867247129818443</v>
      </c>
      <c r="O21" s="611">
        <v>8.7182186826352783</v>
      </c>
      <c r="P21" s="611">
        <v>0</v>
      </c>
      <c r="Q21" s="611">
        <v>0.1274458438995901</v>
      </c>
      <c r="R21" s="611">
        <v>-629.87010221019352</v>
      </c>
      <c r="S21" s="611">
        <v>0</v>
      </c>
      <c r="T21" s="611">
        <v>0</v>
      </c>
      <c r="U21" s="619">
        <v>815.37827470739683</v>
      </c>
      <c r="V21" s="51"/>
    </row>
    <row r="22" spans="3:22" x14ac:dyDescent="0.25">
      <c r="C22" s="618" t="s">
        <v>348</v>
      </c>
      <c r="D22" s="611">
        <v>7.7272727272727285E-2</v>
      </c>
      <c r="E22" s="611">
        <v>0</v>
      </c>
      <c r="F22" s="611">
        <v>0</v>
      </c>
      <c r="G22" s="611">
        <v>0</v>
      </c>
      <c r="H22" s="611">
        <v>17.579521622433528</v>
      </c>
      <c r="I22" s="611">
        <v>0</v>
      </c>
      <c r="J22" s="611">
        <v>0</v>
      </c>
      <c r="K22" s="611">
        <v>0</v>
      </c>
      <c r="L22" s="611">
        <v>30.274124096125519</v>
      </c>
      <c r="M22" s="611">
        <v>15.566653549302366</v>
      </c>
      <c r="N22" s="611">
        <v>0</v>
      </c>
      <c r="O22" s="611">
        <v>3.8718025825811</v>
      </c>
      <c r="P22" s="611">
        <v>0</v>
      </c>
      <c r="Q22" s="611">
        <v>6.611781637634941</v>
      </c>
      <c r="R22" s="611">
        <v>0</v>
      </c>
      <c r="S22" s="611">
        <v>-67.046804229099578</v>
      </c>
      <c r="T22" s="611">
        <v>0</v>
      </c>
      <c r="U22" s="619">
        <v>6.9343519862506042</v>
      </c>
      <c r="V22" s="51"/>
    </row>
    <row r="23" spans="3:22" x14ac:dyDescent="0.25">
      <c r="C23" s="618" t="s">
        <v>349</v>
      </c>
      <c r="D23" s="611">
        <v>0</v>
      </c>
      <c r="E23" s="611">
        <v>0</v>
      </c>
      <c r="F23" s="611">
        <v>0</v>
      </c>
      <c r="G23" s="611">
        <v>0</v>
      </c>
      <c r="H23" s="611">
        <v>0</v>
      </c>
      <c r="I23" s="611">
        <v>0</v>
      </c>
      <c r="J23" s="611">
        <v>0</v>
      </c>
      <c r="K23" s="611">
        <v>0</v>
      </c>
      <c r="L23" s="611">
        <v>82.331917123774105</v>
      </c>
      <c r="M23" s="611">
        <v>0</v>
      </c>
      <c r="N23" s="611">
        <v>0</v>
      </c>
      <c r="O23" s="611">
        <v>-45.282554418075762</v>
      </c>
      <c r="P23" s="611">
        <v>0</v>
      </c>
      <c r="Q23" s="611">
        <v>0</v>
      </c>
      <c r="R23" s="611">
        <v>0</v>
      </c>
      <c r="S23" s="611">
        <v>0</v>
      </c>
      <c r="T23" s="611">
        <v>0</v>
      </c>
      <c r="U23" s="619">
        <v>37.049362705698343</v>
      </c>
      <c r="V23" s="51"/>
    </row>
    <row r="24" spans="3:22" x14ac:dyDescent="0.25">
      <c r="C24" s="618" t="s">
        <v>350</v>
      </c>
      <c r="D24" s="611">
        <v>0</v>
      </c>
      <c r="E24" s="611">
        <v>0</v>
      </c>
      <c r="F24" s="611">
        <v>0</v>
      </c>
      <c r="G24" s="611">
        <v>0</v>
      </c>
      <c r="H24" s="611">
        <v>0</v>
      </c>
      <c r="I24" s="611">
        <v>-0.38128741609807487</v>
      </c>
      <c r="J24" s="611">
        <v>0</v>
      </c>
      <c r="K24" s="611">
        <v>0</v>
      </c>
      <c r="L24" s="611">
        <v>0</v>
      </c>
      <c r="M24" s="611">
        <v>0</v>
      </c>
      <c r="N24" s="611">
        <v>0</v>
      </c>
      <c r="O24" s="611">
        <v>0</v>
      </c>
      <c r="P24" s="611">
        <v>0</v>
      </c>
      <c r="Q24" s="611">
        <v>0</v>
      </c>
      <c r="R24" s="611">
        <v>0</v>
      </c>
      <c r="S24" s="611">
        <v>0</v>
      </c>
      <c r="T24" s="611">
        <v>0.52956585569177073</v>
      </c>
      <c r="U24" s="619">
        <v>0.14827843959369585</v>
      </c>
      <c r="V24" s="51"/>
    </row>
    <row r="25" spans="3:22" x14ac:dyDescent="0.25">
      <c r="C25" s="618" t="s">
        <v>72</v>
      </c>
      <c r="D25" s="611">
        <v>0</v>
      </c>
      <c r="E25" s="611">
        <v>457.13684783073364</v>
      </c>
      <c r="F25" s="611">
        <v>-452.58756146236686</v>
      </c>
      <c r="G25" s="611">
        <v>0</v>
      </c>
      <c r="H25" s="611">
        <v>0</v>
      </c>
      <c r="I25" s="611">
        <v>0</v>
      </c>
      <c r="J25" s="611">
        <v>0</v>
      </c>
      <c r="K25" s="611">
        <v>0</v>
      </c>
      <c r="L25" s="611">
        <v>0</v>
      </c>
      <c r="M25" s="611">
        <v>0</v>
      </c>
      <c r="N25" s="611">
        <v>0</v>
      </c>
      <c r="O25" s="611">
        <v>0</v>
      </c>
      <c r="P25" s="611">
        <v>0</v>
      </c>
      <c r="Q25" s="611">
        <v>0</v>
      </c>
      <c r="R25" s="611">
        <v>0</v>
      </c>
      <c r="S25" s="611">
        <v>0</v>
      </c>
      <c r="T25" s="611">
        <v>0</v>
      </c>
      <c r="U25" s="619">
        <v>4.5492863683667792</v>
      </c>
      <c r="V25" s="51"/>
    </row>
    <row r="26" spans="3:22" x14ac:dyDescent="0.25">
      <c r="C26" s="618" t="s">
        <v>351</v>
      </c>
      <c r="D26" s="611">
        <v>0</v>
      </c>
      <c r="E26" s="611">
        <v>0</v>
      </c>
      <c r="F26" s="611">
        <v>0</v>
      </c>
      <c r="G26" s="611">
        <v>0</v>
      </c>
      <c r="H26" s="611">
        <v>0</v>
      </c>
      <c r="I26" s="611">
        <v>0</v>
      </c>
      <c r="J26" s="611">
        <v>0</v>
      </c>
      <c r="K26" s="611">
        <v>0</v>
      </c>
      <c r="L26" s="611">
        <v>88.824123018556492</v>
      </c>
      <c r="M26" s="611">
        <v>0</v>
      </c>
      <c r="N26" s="611">
        <v>-48.853267660206072</v>
      </c>
      <c r="O26" s="611">
        <v>0</v>
      </c>
      <c r="P26" s="611">
        <v>0</v>
      </c>
      <c r="Q26" s="611">
        <v>0</v>
      </c>
      <c r="R26" s="611">
        <v>0</v>
      </c>
      <c r="S26" s="611">
        <v>0</v>
      </c>
      <c r="T26" s="611">
        <v>0</v>
      </c>
      <c r="U26" s="619">
        <v>39.97085535835042</v>
      </c>
      <c r="V26" s="51"/>
    </row>
    <row r="27" spans="3:22" x14ac:dyDescent="0.25">
      <c r="C27" s="618" t="s">
        <v>352</v>
      </c>
      <c r="D27" s="611">
        <v>0</v>
      </c>
      <c r="E27" s="611">
        <v>0</v>
      </c>
      <c r="F27" s="611">
        <v>0</v>
      </c>
      <c r="G27" s="611">
        <v>-1.2093925948448314</v>
      </c>
      <c r="H27" s="611">
        <v>0</v>
      </c>
      <c r="I27" s="611">
        <v>0</v>
      </c>
      <c r="J27" s="611">
        <v>0</v>
      </c>
      <c r="K27" s="611">
        <v>0</v>
      </c>
      <c r="L27" s="611">
        <v>0</v>
      </c>
      <c r="M27" s="611">
        <v>0</v>
      </c>
      <c r="N27" s="611">
        <v>0</v>
      </c>
      <c r="O27" s="611">
        <v>0</v>
      </c>
      <c r="P27" s="611">
        <v>0</v>
      </c>
      <c r="Q27" s="611">
        <v>0</v>
      </c>
      <c r="R27" s="611">
        <v>0</v>
      </c>
      <c r="S27" s="611">
        <v>0</v>
      </c>
      <c r="T27" s="611">
        <v>1.5838980746607199</v>
      </c>
      <c r="U27" s="619">
        <v>0.37450547981588844</v>
      </c>
      <c r="V27" s="51"/>
    </row>
    <row r="28" spans="3:22" x14ac:dyDescent="0.25">
      <c r="C28" s="618" t="s">
        <v>73</v>
      </c>
      <c r="D28" s="611">
        <v>0</v>
      </c>
      <c r="E28" s="611">
        <v>0</v>
      </c>
      <c r="F28" s="611">
        <v>0</v>
      </c>
      <c r="G28" s="611">
        <v>0</v>
      </c>
      <c r="H28" s="611">
        <v>0</v>
      </c>
      <c r="I28" s="611">
        <v>0</v>
      </c>
      <c r="J28" s="611">
        <v>0</v>
      </c>
      <c r="K28" s="611">
        <v>0</v>
      </c>
      <c r="L28" s="611">
        <v>0</v>
      </c>
      <c r="M28" s="611">
        <v>0</v>
      </c>
      <c r="N28" s="611">
        <v>0</v>
      </c>
      <c r="O28" s="611">
        <v>0</v>
      </c>
      <c r="P28" s="611">
        <v>0</v>
      </c>
      <c r="Q28" s="611">
        <v>0</v>
      </c>
      <c r="R28" s="611">
        <v>8.9250291014933829</v>
      </c>
      <c r="S28" s="611">
        <v>0</v>
      </c>
      <c r="T28" s="611">
        <v>-5.8012689159706987</v>
      </c>
      <c r="U28" s="619">
        <v>3.1237601855226842</v>
      </c>
      <c r="V28" s="51"/>
    </row>
    <row r="29" spans="3:22" x14ac:dyDescent="0.25">
      <c r="C29" s="618" t="s">
        <v>353</v>
      </c>
      <c r="D29" s="611">
        <v>19.229370468750002</v>
      </c>
      <c r="E29" s="611">
        <v>-16.060719785578666</v>
      </c>
      <c r="F29" s="611">
        <v>20.896944027815795</v>
      </c>
      <c r="G29" s="611">
        <v>0</v>
      </c>
      <c r="H29" s="611">
        <v>0</v>
      </c>
      <c r="I29" s="611">
        <v>0</v>
      </c>
      <c r="J29" s="611">
        <v>0</v>
      </c>
      <c r="K29" s="611">
        <v>0</v>
      </c>
      <c r="L29" s="611">
        <v>0</v>
      </c>
      <c r="M29" s="611">
        <v>0</v>
      </c>
      <c r="N29" s="611">
        <v>0</v>
      </c>
      <c r="O29" s="611">
        <v>0</v>
      </c>
      <c r="P29" s="611">
        <v>0</v>
      </c>
      <c r="Q29" s="611">
        <v>0</v>
      </c>
      <c r="R29" s="611">
        <v>0</v>
      </c>
      <c r="S29" s="611">
        <v>0</v>
      </c>
      <c r="T29" s="611">
        <v>0</v>
      </c>
      <c r="U29" s="619">
        <v>24.065594710987131</v>
      </c>
      <c r="V29" s="51"/>
    </row>
    <row r="30" spans="3:22" x14ac:dyDescent="0.25">
      <c r="C30" s="618" t="s">
        <v>75</v>
      </c>
      <c r="D30" s="611">
        <v>7.478088515625001</v>
      </c>
      <c r="E30" s="611">
        <v>0</v>
      </c>
      <c r="F30" s="611">
        <v>15.746271144073498</v>
      </c>
      <c r="G30" s="611">
        <v>0</v>
      </c>
      <c r="H30" s="611">
        <v>5.0333610057426457</v>
      </c>
      <c r="I30" s="611">
        <v>0</v>
      </c>
      <c r="J30" s="611">
        <v>0</v>
      </c>
      <c r="K30" s="611">
        <v>0</v>
      </c>
      <c r="L30" s="611">
        <v>0</v>
      </c>
      <c r="M30" s="611">
        <v>0</v>
      </c>
      <c r="N30" s="611">
        <v>0</v>
      </c>
      <c r="O30" s="611">
        <v>0.62210079846257416</v>
      </c>
      <c r="P30" s="611">
        <v>0</v>
      </c>
      <c r="Q30" s="611">
        <v>0</v>
      </c>
      <c r="R30" s="611">
        <v>50.974899955786924</v>
      </c>
      <c r="S30" s="611">
        <v>0</v>
      </c>
      <c r="T30" s="611">
        <v>0</v>
      </c>
      <c r="U30" s="619">
        <v>79.854721419690648</v>
      </c>
      <c r="V30" s="51"/>
    </row>
    <row r="31" spans="3:22" x14ac:dyDescent="0.25">
      <c r="C31" s="618" t="s">
        <v>76</v>
      </c>
      <c r="D31" s="611">
        <v>0</v>
      </c>
      <c r="E31" s="611">
        <v>0</v>
      </c>
      <c r="F31" s="611">
        <v>0</v>
      </c>
      <c r="G31" s="611">
        <v>0</v>
      </c>
      <c r="H31" s="611">
        <v>3.79891264985788</v>
      </c>
      <c r="I31" s="611">
        <v>0</v>
      </c>
      <c r="J31" s="611">
        <v>0</v>
      </c>
      <c r="K31" s="611">
        <v>0</v>
      </c>
      <c r="L31" s="611">
        <v>0</v>
      </c>
      <c r="M31" s="611">
        <v>0</v>
      </c>
      <c r="N31" s="611">
        <v>0</v>
      </c>
      <c r="O31" s="611">
        <v>0.46952852975771547</v>
      </c>
      <c r="P31" s="611">
        <v>0</v>
      </c>
      <c r="Q31" s="611">
        <v>0</v>
      </c>
      <c r="R31" s="611">
        <v>43.618221674441394</v>
      </c>
      <c r="S31" s="611">
        <v>5.1997524332930807</v>
      </c>
      <c r="T31" s="611">
        <v>0</v>
      </c>
      <c r="U31" s="619">
        <v>53.086415287350064</v>
      </c>
      <c r="V31" s="51"/>
    </row>
    <row r="32" spans="3:22" x14ac:dyDescent="0.25">
      <c r="C32" s="614" t="s">
        <v>77</v>
      </c>
      <c r="D32" s="615">
        <v>26.78473171164773</v>
      </c>
      <c r="E32" s="615">
        <v>441.07612804515497</v>
      </c>
      <c r="F32" s="615">
        <v>-414.97792675292652</v>
      </c>
      <c r="G32" s="615">
        <v>-1.2093925948448314</v>
      </c>
      <c r="H32" s="615">
        <v>78.462230150949182</v>
      </c>
      <c r="I32" s="615">
        <v>-0.38128741609807487</v>
      </c>
      <c r="J32" s="615">
        <v>1166.5108</v>
      </c>
      <c r="K32" s="615">
        <v>184.63272900914501</v>
      </c>
      <c r="L32" s="615">
        <v>228.03394374313712</v>
      </c>
      <c r="M32" s="615">
        <v>16.337955886247205</v>
      </c>
      <c r="N32" s="615">
        <v>-43.986020530387627</v>
      </c>
      <c r="O32" s="615">
        <v>-31.60090382463909</v>
      </c>
      <c r="P32" s="615">
        <v>0</v>
      </c>
      <c r="Q32" s="615">
        <v>6.739227481534531</v>
      </c>
      <c r="R32" s="615">
        <v>-526.35195147847185</v>
      </c>
      <c r="S32" s="615">
        <v>-61.8470517958065</v>
      </c>
      <c r="T32" s="615">
        <v>-3.6878049856182082</v>
      </c>
      <c r="U32" s="615">
        <v>1064.5354066490231</v>
      </c>
      <c r="V32" s="51"/>
    </row>
    <row r="33" spans="3:22" x14ac:dyDescent="0.25">
      <c r="C33" s="616"/>
      <c r="D33" s="617"/>
      <c r="E33" s="617"/>
      <c r="F33" s="617"/>
      <c r="G33" s="617"/>
      <c r="H33" s="623"/>
      <c r="I33" s="617"/>
      <c r="J33" s="617"/>
      <c r="K33" s="617"/>
      <c r="L33" s="617"/>
      <c r="M33" s="617"/>
      <c r="N33" s="617"/>
      <c r="O33" s="617"/>
      <c r="P33" s="617"/>
      <c r="Q33" s="617"/>
      <c r="R33" s="617"/>
      <c r="S33" s="617"/>
      <c r="T33" s="617"/>
      <c r="U33" s="617"/>
      <c r="V33" s="51"/>
    </row>
    <row r="34" spans="3:22" x14ac:dyDescent="0.25">
      <c r="C34" s="618" t="s">
        <v>78</v>
      </c>
      <c r="D34" s="611">
        <v>4.5171445685337561</v>
      </c>
      <c r="E34" s="611">
        <v>0</v>
      </c>
      <c r="F34" s="611">
        <v>16.333805703198944</v>
      </c>
      <c r="G34" s="681">
        <v>0</v>
      </c>
      <c r="H34" s="611">
        <v>89.327815995001359</v>
      </c>
      <c r="I34" s="611">
        <v>0</v>
      </c>
      <c r="J34" s="611">
        <v>0</v>
      </c>
      <c r="K34" s="611">
        <v>0</v>
      </c>
      <c r="L34" s="611">
        <v>20.148246137015189</v>
      </c>
      <c r="M34" s="611">
        <v>6.6309716857427698</v>
      </c>
      <c r="N34" s="611">
        <v>1.0223662329329699</v>
      </c>
      <c r="O34" s="611">
        <v>11.06635293883957</v>
      </c>
      <c r="P34" s="611">
        <v>4.2486977539062503</v>
      </c>
      <c r="Q34" s="611">
        <v>5.2671642446208732E-4</v>
      </c>
      <c r="R34" s="611">
        <v>142.27852677363259</v>
      </c>
      <c r="S34" s="611">
        <v>19.602523281220837</v>
      </c>
      <c r="T34" s="611">
        <v>2.0790988769531249</v>
      </c>
      <c r="U34" s="619">
        <v>317.25607666340187</v>
      </c>
      <c r="V34" s="51"/>
    </row>
    <row r="35" spans="3:22" x14ac:dyDescent="0.25">
      <c r="C35" s="618" t="s">
        <v>79</v>
      </c>
      <c r="D35" s="611">
        <v>0</v>
      </c>
      <c r="E35" s="611">
        <v>0</v>
      </c>
      <c r="F35" s="611">
        <v>352.26145508392204</v>
      </c>
      <c r="G35" s="611">
        <v>0.12706948615934052</v>
      </c>
      <c r="H35" s="611">
        <v>5.065595680375564</v>
      </c>
      <c r="I35" s="611">
        <v>0</v>
      </c>
      <c r="J35" s="611">
        <v>0</v>
      </c>
      <c r="K35" s="611">
        <v>0</v>
      </c>
      <c r="L35" s="611">
        <v>0</v>
      </c>
      <c r="M35" s="611">
        <v>0</v>
      </c>
      <c r="N35" s="611">
        <v>39.492527994120572</v>
      </c>
      <c r="O35" s="611">
        <v>0.62608485937226077</v>
      </c>
      <c r="P35" s="611">
        <v>0</v>
      </c>
      <c r="Q35" s="611">
        <v>0</v>
      </c>
      <c r="R35" s="611">
        <v>26.698210875173668</v>
      </c>
      <c r="S35" s="611">
        <v>0</v>
      </c>
      <c r="T35" s="611">
        <v>0.57963295741686927</v>
      </c>
      <c r="U35" s="619">
        <v>424.85057693654034</v>
      </c>
      <c r="V35" s="51"/>
    </row>
    <row r="36" spans="3:22" x14ac:dyDescent="0.25">
      <c r="C36" s="618" t="s">
        <v>80</v>
      </c>
      <c r="D36" s="611">
        <v>0</v>
      </c>
      <c r="E36" s="611">
        <v>0</v>
      </c>
      <c r="F36" s="611">
        <v>14.106912603893973</v>
      </c>
      <c r="G36" s="611">
        <v>0</v>
      </c>
      <c r="H36" s="611">
        <v>90.134574467923656</v>
      </c>
      <c r="I36" s="611">
        <v>0</v>
      </c>
      <c r="J36" s="611">
        <v>0</v>
      </c>
      <c r="K36" s="611">
        <v>0</v>
      </c>
      <c r="L36" s="611">
        <v>62.690707022191241</v>
      </c>
      <c r="M36" s="611">
        <v>0</v>
      </c>
      <c r="N36" s="611">
        <v>0</v>
      </c>
      <c r="O36" s="611">
        <v>11.140228305024271</v>
      </c>
      <c r="P36" s="611">
        <v>60.595421943225944</v>
      </c>
      <c r="Q36" s="611">
        <v>1.6848031115014832</v>
      </c>
      <c r="R36" s="611">
        <v>167.23652300595705</v>
      </c>
      <c r="S36" s="611">
        <v>25.802695011189844</v>
      </c>
      <c r="T36" s="611">
        <v>0</v>
      </c>
      <c r="U36" s="619">
        <v>433.39186547090742</v>
      </c>
      <c r="V36" s="51"/>
    </row>
    <row r="37" spans="3:22" x14ac:dyDescent="0.25">
      <c r="C37" s="618" t="s">
        <v>81</v>
      </c>
      <c r="D37" s="611">
        <v>0</v>
      </c>
      <c r="E37" s="611">
        <v>0</v>
      </c>
      <c r="F37" s="611">
        <v>9.8711818062624044</v>
      </c>
      <c r="G37" s="611">
        <v>0</v>
      </c>
      <c r="H37" s="611">
        <v>51.799224274736083</v>
      </c>
      <c r="I37" s="611">
        <v>0</v>
      </c>
      <c r="J37" s="611">
        <v>0</v>
      </c>
      <c r="K37" s="611">
        <v>0</v>
      </c>
      <c r="L37" s="611">
        <v>0.57400000000000007</v>
      </c>
      <c r="M37" s="611">
        <v>0</v>
      </c>
      <c r="N37" s="611">
        <v>0</v>
      </c>
      <c r="O37" s="611">
        <v>6.4021513148550211</v>
      </c>
      <c r="P37" s="611">
        <v>26.181333702490477</v>
      </c>
      <c r="Q37" s="611">
        <v>2.3978213373277528</v>
      </c>
      <c r="R37" s="611">
        <v>122.54587991541402</v>
      </c>
      <c r="S37" s="611">
        <v>16.441833503395817</v>
      </c>
      <c r="T37" s="611">
        <v>0</v>
      </c>
      <c r="U37" s="619">
        <v>236.21342585448159</v>
      </c>
      <c r="V37" s="51"/>
    </row>
    <row r="38" spans="3:22" x14ac:dyDescent="0.25">
      <c r="C38" s="618" t="s">
        <v>82</v>
      </c>
      <c r="D38" s="611">
        <v>0</v>
      </c>
      <c r="E38" s="611">
        <v>0</v>
      </c>
      <c r="F38" s="611">
        <v>32.072711770325697</v>
      </c>
      <c r="G38" s="611">
        <v>0</v>
      </c>
      <c r="H38" s="611">
        <v>2.1435604051924075</v>
      </c>
      <c r="I38" s="611">
        <v>0</v>
      </c>
      <c r="J38" s="611">
        <v>0</v>
      </c>
      <c r="K38" s="611">
        <v>0</v>
      </c>
      <c r="L38" s="611">
        <v>1.6924464779698849</v>
      </c>
      <c r="M38" s="611">
        <v>0</v>
      </c>
      <c r="N38" s="611">
        <v>4.0928745055639855</v>
      </c>
      <c r="O38" s="611">
        <v>0.26493443210243239</v>
      </c>
      <c r="P38" s="611">
        <v>0.4</v>
      </c>
      <c r="Q38" s="611">
        <v>0.5193752668696392</v>
      </c>
      <c r="R38" s="611">
        <v>7.2059681027394982</v>
      </c>
      <c r="S38" s="611">
        <v>0</v>
      </c>
      <c r="T38" s="611">
        <v>0.13892990437736891</v>
      </c>
      <c r="U38" s="619">
        <v>48.530800865140918</v>
      </c>
      <c r="V38" s="51"/>
    </row>
    <row r="39" spans="3:22" x14ac:dyDescent="0.25">
      <c r="C39" s="618" t="s">
        <v>354</v>
      </c>
      <c r="D39" s="611">
        <v>0</v>
      </c>
      <c r="E39" s="611">
        <v>0</v>
      </c>
      <c r="F39" s="611">
        <v>0</v>
      </c>
      <c r="G39" s="611">
        <v>0</v>
      </c>
      <c r="H39" s="611">
        <v>0</v>
      </c>
      <c r="I39" s="611">
        <v>0</v>
      </c>
      <c r="J39" s="611">
        <v>0</v>
      </c>
      <c r="K39" s="611">
        <v>0</v>
      </c>
      <c r="L39" s="611">
        <v>0</v>
      </c>
      <c r="M39" s="611">
        <v>0</v>
      </c>
      <c r="N39" s="611">
        <v>0</v>
      </c>
      <c r="O39" s="611">
        <v>0</v>
      </c>
      <c r="P39" s="611">
        <v>0</v>
      </c>
      <c r="Q39" s="611">
        <v>0</v>
      </c>
      <c r="R39" s="611">
        <v>0</v>
      </c>
      <c r="S39" s="611">
        <v>0</v>
      </c>
      <c r="T39" s="611">
        <v>0</v>
      </c>
      <c r="U39" s="619">
        <v>0</v>
      </c>
      <c r="V39" s="51"/>
    </row>
    <row r="40" spans="3:22" x14ac:dyDescent="0.25">
      <c r="C40" s="614" t="s">
        <v>83</v>
      </c>
      <c r="D40" s="615">
        <v>4.5171445685337561</v>
      </c>
      <c r="E40" s="615">
        <v>0</v>
      </c>
      <c r="F40" s="615">
        <v>424.64606696760313</v>
      </c>
      <c r="G40" s="615">
        <v>0.12706948615934052</v>
      </c>
      <c r="H40" s="615">
        <v>238.47077082322906</v>
      </c>
      <c r="I40" s="615">
        <v>0</v>
      </c>
      <c r="J40" s="615">
        <v>0</v>
      </c>
      <c r="K40" s="615">
        <v>0</v>
      </c>
      <c r="L40" s="615">
        <v>85.105399637176305</v>
      </c>
      <c r="M40" s="615">
        <v>6.6309716857427698</v>
      </c>
      <c r="N40" s="615">
        <v>44.607768732617522</v>
      </c>
      <c r="O40" s="615">
        <v>29.499751850193555</v>
      </c>
      <c r="P40" s="615">
        <v>91.425453399622683</v>
      </c>
      <c r="Q40" s="615">
        <v>4.6025264321233372</v>
      </c>
      <c r="R40" s="615">
        <v>465.96510867291687</v>
      </c>
      <c r="S40" s="615">
        <v>61.847051795806493</v>
      </c>
      <c r="T40" s="615">
        <v>2.797661738747363</v>
      </c>
      <c r="U40" s="615">
        <v>1460.2427457904721</v>
      </c>
      <c r="V40" s="51"/>
    </row>
    <row r="41" spans="3:22" x14ac:dyDescent="0.25">
      <c r="C41" s="610" t="s">
        <v>84</v>
      </c>
      <c r="D41" s="611">
        <v>0</v>
      </c>
      <c r="E41" s="611">
        <v>0</v>
      </c>
      <c r="F41" s="611">
        <v>130.10900718351874</v>
      </c>
      <c r="G41" s="611">
        <v>1.1094620580297863</v>
      </c>
      <c r="H41" s="611">
        <v>13.5291015041451</v>
      </c>
      <c r="I41" s="611">
        <v>0</v>
      </c>
      <c r="J41" s="611">
        <v>0</v>
      </c>
      <c r="K41" s="611">
        <v>0</v>
      </c>
      <c r="L41" s="611">
        <v>9.0685458256899165E-2</v>
      </c>
      <c r="M41" s="611">
        <v>0</v>
      </c>
      <c r="N41" s="611">
        <v>1.1637873949261752</v>
      </c>
      <c r="O41" s="611">
        <v>1.5517165265682336</v>
      </c>
      <c r="P41" s="611">
        <v>0</v>
      </c>
      <c r="Q41" s="611">
        <v>0</v>
      </c>
      <c r="R41" s="611">
        <v>0</v>
      </c>
      <c r="S41" s="611">
        <v>0</v>
      </c>
      <c r="T41" s="611">
        <v>0.81112781167030334</v>
      </c>
      <c r="U41" s="619">
        <v>148.36488793711524</v>
      </c>
      <c r="V41" s="51"/>
    </row>
    <row r="42" spans="3:22" x14ac:dyDescent="0.25">
      <c r="C42" s="614" t="s">
        <v>85</v>
      </c>
      <c r="D42" s="615">
        <v>4.5171445685337561</v>
      </c>
      <c r="E42" s="615">
        <v>0</v>
      </c>
      <c r="F42" s="615">
        <v>554.7550741511219</v>
      </c>
      <c r="G42" s="615">
        <v>1.2365315441891267</v>
      </c>
      <c r="H42" s="615">
        <v>251.99987232737416</v>
      </c>
      <c r="I42" s="615">
        <v>0</v>
      </c>
      <c r="J42" s="615">
        <v>0</v>
      </c>
      <c r="K42" s="615">
        <v>0</v>
      </c>
      <c r="L42" s="615">
        <v>85.196085095433205</v>
      </c>
      <c r="M42" s="615">
        <v>6.6309716857427698</v>
      </c>
      <c r="N42" s="615">
        <v>45.771556127543697</v>
      </c>
      <c r="O42" s="615">
        <v>31.05146837676179</v>
      </c>
      <c r="P42" s="615">
        <v>91.425453399622683</v>
      </c>
      <c r="Q42" s="615">
        <v>4.6025264321233372</v>
      </c>
      <c r="R42" s="615">
        <v>465.96510867291687</v>
      </c>
      <c r="S42" s="615">
        <v>61.847051795806493</v>
      </c>
      <c r="T42" s="615">
        <v>3.6087895504176664</v>
      </c>
      <c r="U42" s="615">
        <v>1608.6076337275874</v>
      </c>
      <c r="V42" s="51"/>
    </row>
    <row r="43" spans="3:22" x14ac:dyDescent="0.25">
      <c r="C43" s="51"/>
      <c r="D43" s="67">
        <v>0</v>
      </c>
      <c r="E43" s="67">
        <v>0</v>
      </c>
      <c r="F43" s="67">
        <v>0</v>
      </c>
      <c r="G43" s="67">
        <v>-2.2204460492503131E-16</v>
      </c>
      <c r="H43" s="67">
        <v>0</v>
      </c>
      <c r="I43" s="67">
        <v>0</v>
      </c>
      <c r="J43" s="67">
        <v>0</v>
      </c>
      <c r="K43" s="67">
        <v>0</v>
      </c>
      <c r="L43" s="67">
        <v>0</v>
      </c>
      <c r="M43" s="67">
        <v>-5.6682988468281792E-4</v>
      </c>
      <c r="N43" s="67">
        <v>0</v>
      </c>
      <c r="O43" s="67">
        <v>0</v>
      </c>
      <c r="P43" s="67">
        <v>0</v>
      </c>
      <c r="Q43" s="67">
        <v>0</v>
      </c>
      <c r="R43" s="67">
        <v>-5.6843418860808015E-14</v>
      </c>
      <c r="S43" s="67">
        <v>-7.1054273576010019E-15</v>
      </c>
      <c r="T43" s="67">
        <v>-1.5265566588595902E-16</v>
      </c>
      <c r="U43" s="67">
        <v>-5.6682988451939309E-4</v>
      </c>
      <c r="V43" s="51"/>
    </row>
    <row r="44" spans="3:22" x14ac:dyDescent="0.25">
      <c r="C44" s="51"/>
      <c r="D44" s="51"/>
      <c r="E44" s="51"/>
      <c r="F44" s="51"/>
      <c r="G44" s="67"/>
      <c r="H44" s="51"/>
      <c r="I44" s="51"/>
      <c r="J44" s="51"/>
      <c r="K44" s="51"/>
      <c r="L44" s="51"/>
      <c r="M44" s="51"/>
      <c r="N44" s="51"/>
      <c r="O44" s="51"/>
      <c r="P44" s="51"/>
      <c r="Q44" s="51"/>
      <c r="R44" s="51"/>
      <c r="S44" s="51"/>
      <c r="T44" s="51"/>
      <c r="U44" s="51"/>
      <c r="V44" s="51"/>
    </row>
    <row r="45" spans="3:22" x14ac:dyDescent="0.25">
      <c r="C45" s="607" t="s">
        <v>88</v>
      </c>
      <c r="D45" s="606"/>
      <c r="E45" s="606"/>
      <c r="F45" s="606"/>
      <c r="G45" s="682"/>
      <c r="H45" s="606"/>
      <c r="I45" s="606"/>
      <c r="J45" s="606"/>
      <c r="K45" s="606"/>
      <c r="L45" s="606"/>
      <c r="M45" s="606"/>
      <c r="N45" s="606"/>
      <c r="O45" s="606"/>
      <c r="P45" s="606"/>
      <c r="Q45" s="606"/>
      <c r="R45" s="606"/>
      <c r="S45" s="606"/>
      <c r="T45" s="606"/>
      <c r="U45" s="606"/>
      <c r="V45" s="606"/>
    </row>
    <row r="46" spans="3:22" x14ac:dyDescent="0.25">
      <c r="C46" s="51"/>
      <c r="D46" s="51"/>
      <c r="E46" s="51"/>
      <c r="F46" s="51"/>
      <c r="G46" s="67"/>
      <c r="H46" s="51"/>
      <c r="I46" s="51"/>
      <c r="J46" s="51"/>
      <c r="K46" s="51"/>
      <c r="L46" s="51"/>
      <c r="M46" s="51"/>
      <c r="N46" s="51"/>
      <c r="O46" s="51"/>
      <c r="P46" s="51"/>
      <c r="Q46" s="51"/>
      <c r="R46" s="51"/>
      <c r="S46" s="51"/>
      <c r="T46" s="51"/>
      <c r="U46" s="51"/>
      <c r="V46" s="51"/>
    </row>
    <row r="47" spans="3:22" x14ac:dyDescent="0.25">
      <c r="C47" s="764" t="s">
        <v>128</v>
      </c>
      <c r="D47" s="753" t="s">
        <v>42</v>
      </c>
      <c r="E47" s="753" t="s">
        <v>52</v>
      </c>
      <c r="F47" s="753" t="s">
        <v>53</v>
      </c>
      <c r="G47" s="766" t="s">
        <v>482</v>
      </c>
      <c r="H47" s="753" t="s">
        <v>32</v>
      </c>
      <c r="I47" s="753" t="s">
        <v>483</v>
      </c>
      <c r="J47" s="753" t="s">
        <v>20</v>
      </c>
      <c r="K47" s="753" t="s">
        <v>55</v>
      </c>
      <c r="L47" s="761" t="s">
        <v>56</v>
      </c>
      <c r="M47" s="762"/>
      <c r="N47" s="762"/>
      <c r="O47" s="762"/>
      <c r="P47" s="762"/>
      <c r="Q47" s="763"/>
      <c r="R47" s="753" t="s">
        <v>57</v>
      </c>
      <c r="S47" s="753" t="s">
        <v>58</v>
      </c>
      <c r="T47" s="753" t="s">
        <v>31</v>
      </c>
      <c r="U47" s="753" t="s">
        <v>10</v>
      </c>
      <c r="V47" s="51"/>
    </row>
    <row r="48" spans="3:22" ht="36" x14ac:dyDescent="0.25">
      <c r="C48" s="765"/>
      <c r="D48" s="754"/>
      <c r="E48" s="754"/>
      <c r="F48" s="754"/>
      <c r="G48" s="767"/>
      <c r="H48" s="754"/>
      <c r="I48" s="754"/>
      <c r="J48" s="754"/>
      <c r="K48" s="754"/>
      <c r="L48" s="608" t="s">
        <v>335</v>
      </c>
      <c r="M48" s="608" t="s">
        <v>40</v>
      </c>
      <c r="N48" s="608" t="s">
        <v>343</v>
      </c>
      <c r="O48" s="608" t="s">
        <v>344</v>
      </c>
      <c r="P48" s="609" t="s">
        <v>345</v>
      </c>
      <c r="Q48" s="608" t="s">
        <v>346</v>
      </c>
      <c r="R48" s="754"/>
      <c r="S48" s="754"/>
      <c r="T48" s="754"/>
      <c r="U48" s="754"/>
      <c r="V48" s="51"/>
    </row>
    <row r="49" spans="3:22" x14ac:dyDescent="0.25">
      <c r="C49" s="610" t="s">
        <v>59</v>
      </c>
      <c r="D49" s="611">
        <v>0</v>
      </c>
      <c r="E49" s="611">
        <v>9.7691999999999997</v>
      </c>
      <c r="F49" s="611">
        <v>0</v>
      </c>
      <c r="G49" s="611">
        <v>0</v>
      </c>
      <c r="H49" s="611">
        <v>0.18608000000000002</v>
      </c>
      <c r="I49" s="611">
        <v>0</v>
      </c>
      <c r="J49" s="612">
        <v>1159.7098545454546</v>
      </c>
      <c r="K49" s="612">
        <v>206.22767049205902</v>
      </c>
      <c r="L49" s="612">
        <v>285.21175917150833</v>
      </c>
      <c r="M49" s="612">
        <v>23.031183006394908</v>
      </c>
      <c r="N49" s="611">
        <v>1.4156783371657409</v>
      </c>
      <c r="O49" s="611">
        <v>0.13593700784165794</v>
      </c>
      <c r="P49" s="612">
        <v>107.69757122399184</v>
      </c>
      <c r="Q49" s="612">
        <v>12.204806939230798</v>
      </c>
      <c r="R49" s="611">
        <v>0</v>
      </c>
      <c r="S49" s="611">
        <v>0</v>
      </c>
      <c r="T49" s="611">
        <v>0</v>
      </c>
      <c r="U49" s="613">
        <v>1805.5897407236466</v>
      </c>
      <c r="V49" s="51"/>
    </row>
    <row r="50" spans="3:22" x14ac:dyDescent="0.25">
      <c r="C50" s="610" t="s">
        <v>60</v>
      </c>
      <c r="D50" s="611">
        <v>23.408391415226877</v>
      </c>
      <c r="E50" s="611">
        <v>397.73285119797646</v>
      </c>
      <c r="F50" s="611">
        <v>192.17270191325082</v>
      </c>
      <c r="G50" s="611">
        <v>0.57597435478791414</v>
      </c>
      <c r="H50" s="611">
        <v>283.88973297973405</v>
      </c>
      <c r="I50" s="611">
        <v>0</v>
      </c>
      <c r="J50" s="611">
        <v>0</v>
      </c>
      <c r="K50" s="611">
        <v>0</v>
      </c>
      <c r="L50" s="611">
        <v>2.5322527707990741</v>
      </c>
      <c r="M50" s="611">
        <v>0</v>
      </c>
      <c r="N50" s="611">
        <v>3.4051358539984622</v>
      </c>
      <c r="O50" s="611">
        <v>0</v>
      </c>
      <c r="P50" s="611">
        <v>0</v>
      </c>
      <c r="Q50" s="611">
        <v>0</v>
      </c>
      <c r="R50" s="611">
        <v>0</v>
      </c>
      <c r="S50" s="611">
        <v>0</v>
      </c>
      <c r="T50" s="611">
        <v>0</v>
      </c>
      <c r="U50" s="613">
        <v>903.71704048577374</v>
      </c>
      <c r="V50" s="51"/>
    </row>
    <row r="51" spans="3:22" x14ac:dyDescent="0.25">
      <c r="C51" s="610" t="s">
        <v>61</v>
      </c>
      <c r="D51" s="611">
        <v>0</v>
      </c>
      <c r="E51" s="611">
        <v>0</v>
      </c>
      <c r="F51" s="611">
        <v>5.0493218309218548</v>
      </c>
      <c r="G51" s="611">
        <v>0</v>
      </c>
      <c r="H51" s="611">
        <v>0</v>
      </c>
      <c r="I51" s="611">
        <v>0</v>
      </c>
      <c r="J51" s="611">
        <v>0</v>
      </c>
      <c r="K51" s="611">
        <v>0</v>
      </c>
      <c r="L51" s="611">
        <v>0</v>
      </c>
      <c r="M51" s="611">
        <v>0</v>
      </c>
      <c r="N51" s="611">
        <v>0</v>
      </c>
      <c r="O51" s="611">
        <v>0</v>
      </c>
      <c r="P51" s="611">
        <v>0</v>
      </c>
      <c r="Q51" s="611">
        <v>0</v>
      </c>
      <c r="R51" s="611">
        <v>-56.303764118376989</v>
      </c>
      <c r="S51" s="611">
        <v>0</v>
      </c>
      <c r="T51" s="611">
        <v>0</v>
      </c>
      <c r="U51" s="613">
        <v>-51.254442287455134</v>
      </c>
      <c r="V51" s="51"/>
    </row>
    <row r="52" spans="3:22" x14ac:dyDescent="0.25">
      <c r="C52" s="610" t="s">
        <v>62</v>
      </c>
      <c r="D52" s="611">
        <v>0</v>
      </c>
      <c r="E52" s="611">
        <v>0</v>
      </c>
      <c r="F52" s="611">
        <v>-13.430949100801122</v>
      </c>
      <c r="G52" s="611">
        <v>-5.8076344872398176E-2</v>
      </c>
      <c r="H52" s="611">
        <v>-2.2639989057452867</v>
      </c>
      <c r="I52" s="611">
        <v>-0.72771393398955631</v>
      </c>
      <c r="J52" s="611">
        <v>0</v>
      </c>
      <c r="K52" s="611">
        <v>0</v>
      </c>
      <c r="L52" s="611">
        <v>0</v>
      </c>
      <c r="M52" s="611">
        <v>0</v>
      </c>
      <c r="N52" s="611">
        <v>-0.81896587882468008</v>
      </c>
      <c r="O52" s="611">
        <v>-1.0511423490960259</v>
      </c>
      <c r="P52" s="611">
        <v>0</v>
      </c>
      <c r="Q52" s="611">
        <v>0</v>
      </c>
      <c r="R52" s="611">
        <v>0</v>
      </c>
      <c r="S52" s="611">
        <v>0</v>
      </c>
      <c r="T52" s="611">
        <v>-0.13169239200090288</v>
      </c>
      <c r="U52" s="613">
        <v>-18.482538905329974</v>
      </c>
      <c r="V52" s="51"/>
    </row>
    <row r="53" spans="3:22" x14ac:dyDescent="0.25">
      <c r="C53" s="610" t="s">
        <v>63</v>
      </c>
      <c r="D53" s="611">
        <v>0</v>
      </c>
      <c r="E53" s="611">
        <v>0</v>
      </c>
      <c r="F53" s="611">
        <v>-68.854810681249447</v>
      </c>
      <c r="G53" s="611">
        <v>-0.89682740167552777</v>
      </c>
      <c r="H53" s="611">
        <v>0</v>
      </c>
      <c r="I53" s="611">
        <v>0</v>
      </c>
      <c r="J53" s="611">
        <v>0</v>
      </c>
      <c r="K53" s="611">
        <v>0</v>
      </c>
      <c r="L53" s="611">
        <v>0</v>
      </c>
      <c r="M53" s="611">
        <v>0</v>
      </c>
      <c r="N53" s="611">
        <v>-3.5873096067021111</v>
      </c>
      <c r="O53" s="611">
        <v>0</v>
      </c>
      <c r="P53" s="611">
        <v>0</v>
      </c>
      <c r="Q53" s="611">
        <v>0</v>
      </c>
      <c r="R53" s="611">
        <v>0</v>
      </c>
      <c r="S53" s="611">
        <v>0</v>
      </c>
      <c r="T53" s="611">
        <v>0</v>
      </c>
      <c r="U53" s="613">
        <v>-73.338947689627076</v>
      </c>
      <c r="V53" s="51"/>
    </row>
    <row r="54" spans="3:22" x14ac:dyDescent="0.25">
      <c r="C54" s="610" t="s">
        <v>64</v>
      </c>
      <c r="D54" s="611">
        <v>0</v>
      </c>
      <c r="E54" s="611">
        <v>0</v>
      </c>
      <c r="F54" s="611">
        <v>0</v>
      </c>
      <c r="G54" s="611">
        <v>0</v>
      </c>
      <c r="H54" s="611">
        <v>0</v>
      </c>
      <c r="I54" s="611">
        <v>0</v>
      </c>
      <c r="J54" s="611">
        <v>0</v>
      </c>
      <c r="K54" s="611">
        <v>0</v>
      </c>
      <c r="L54" s="611">
        <v>0</v>
      </c>
      <c r="M54" s="611">
        <v>0</v>
      </c>
      <c r="N54" s="611">
        <v>0</v>
      </c>
      <c r="O54" s="611">
        <v>0</v>
      </c>
      <c r="P54" s="611">
        <v>0</v>
      </c>
      <c r="Q54" s="611">
        <v>0</v>
      </c>
      <c r="R54" s="611">
        <v>0</v>
      </c>
      <c r="S54" s="611">
        <v>0</v>
      </c>
      <c r="T54" s="611">
        <v>0</v>
      </c>
      <c r="U54" s="613">
        <v>0</v>
      </c>
      <c r="V54" s="51"/>
    </row>
    <row r="55" spans="3:22" x14ac:dyDescent="0.25">
      <c r="C55" s="614" t="s">
        <v>65</v>
      </c>
      <c r="D55" s="615">
        <v>23.408391415226877</v>
      </c>
      <c r="E55" s="615">
        <v>407.50205119797647</v>
      </c>
      <c r="F55" s="615">
        <v>114.93626396212211</v>
      </c>
      <c r="G55" s="615">
        <v>-0.37892939176001184</v>
      </c>
      <c r="H55" s="615">
        <v>281.81181407398878</v>
      </c>
      <c r="I55" s="615">
        <v>-0.72771393398955631</v>
      </c>
      <c r="J55" s="615">
        <v>1159.7098545454546</v>
      </c>
      <c r="K55" s="615">
        <v>206.22767049205902</v>
      </c>
      <c r="L55" s="615">
        <v>287.7440119423074</v>
      </c>
      <c r="M55" s="615">
        <v>23.031183006394908</v>
      </c>
      <c r="N55" s="615">
        <v>0.41453870563741191</v>
      </c>
      <c r="O55" s="615">
        <v>-0.91520534125436792</v>
      </c>
      <c r="P55" s="615">
        <v>107.69757122399184</v>
      </c>
      <c r="Q55" s="615">
        <v>12.204806939230798</v>
      </c>
      <c r="R55" s="615">
        <v>-56.303764118376989</v>
      </c>
      <c r="S55" s="615">
        <v>0</v>
      </c>
      <c r="T55" s="615">
        <v>-0.13169239200090288</v>
      </c>
      <c r="U55" s="615">
        <v>2566.2308523270081</v>
      </c>
      <c r="V55" s="51"/>
    </row>
    <row r="56" spans="3:22" x14ac:dyDescent="0.25">
      <c r="C56" s="616"/>
      <c r="D56" s="617"/>
      <c r="E56" s="617"/>
      <c r="F56" s="617"/>
      <c r="G56" s="617"/>
      <c r="H56" s="623"/>
      <c r="I56" s="617"/>
      <c r="J56" s="617"/>
      <c r="K56" s="617"/>
      <c r="L56" s="617"/>
      <c r="M56" s="617"/>
      <c r="N56" s="617"/>
      <c r="O56" s="617"/>
      <c r="P56" s="617"/>
      <c r="Q56" s="617"/>
      <c r="R56" s="617"/>
      <c r="S56" s="617"/>
      <c r="T56" s="617"/>
      <c r="U56" s="617"/>
      <c r="V56" s="51"/>
    </row>
    <row r="57" spans="3:22" x14ac:dyDescent="0.25">
      <c r="C57" s="618" t="s">
        <v>67</v>
      </c>
      <c r="D57" s="611">
        <v>0</v>
      </c>
      <c r="E57" s="611">
        <v>0</v>
      </c>
      <c r="F57" s="611">
        <v>0</v>
      </c>
      <c r="G57" s="611">
        <v>0</v>
      </c>
      <c r="H57" s="611">
        <v>0</v>
      </c>
      <c r="I57" s="611">
        <v>0</v>
      </c>
      <c r="J57" s="611">
        <v>0</v>
      </c>
      <c r="K57" s="611">
        <v>0</v>
      </c>
      <c r="L57" s="611">
        <v>0</v>
      </c>
      <c r="M57" s="611">
        <v>0</v>
      </c>
      <c r="N57" s="611">
        <v>0</v>
      </c>
      <c r="O57" s="611">
        <v>0</v>
      </c>
      <c r="P57" s="611">
        <v>0</v>
      </c>
      <c r="Q57" s="611">
        <v>0</v>
      </c>
      <c r="R57" s="611">
        <v>0</v>
      </c>
      <c r="S57" s="611">
        <v>0</v>
      </c>
      <c r="T57" s="611">
        <v>0</v>
      </c>
      <c r="U57" s="619">
        <v>0</v>
      </c>
      <c r="V57" s="51"/>
    </row>
    <row r="58" spans="3:22" x14ac:dyDescent="0.25">
      <c r="C58" s="618" t="s">
        <v>347</v>
      </c>
      <c r="D58" s="611">
        <v>0</v>
      </c>
      <c r="E58" s="611">
        <v>0</v>
      </c>
      <c r="F58" s="611">
        <v>0.77863803143112786</v>
      </c>
      <c r="G58" s="611">
        <v>0</v>
      </c>
      <c r="H58" s="611">
        <v>48.649185599999988</v>
      </c>
      <c r="I58" s="611">
        <v>0</v>
      </c>
      <c r="J58" s="611">
        <v>1159.7098545454546</v>
      </c>
      <c r="K58" s="611">
        <v>206.22767049205902</v>
      </c>
      <c r="L58" s="611">
        <v>25.052463950767358</v>
      </c>
      <c r="M58" s="611">
        <v>0.56210869211624748</v>
      </c>
      <c r="N58" s="611">
        <v>4.4112574708908179</v>
      </c>
      <c r="O58" s="611">
        <v>8.6805648243110305</v>
      </c>
      <c r="P58" s="611">
        <v>0</v>
      </c>
      <c r="Q58" s="611">
        <v>0</v>
      </c>
      <c r="R58" s="611">
        <v>-654.18402229864398</v>
      </c>
      <c r="S58" s="611">
        <v>0</v>
      </c>
      <c r="T58" s="611">
        <v>0</v>
      </c>
      <c r="U58" s="619">
        <v>799.88772130838595</v>
      </c>
      <c r="V58" s="51"/>
    </row>
    <row r="59" spans="3:22" x14ac:dyDescent="0.25">
      <c r="C59" s="618" t="s">
        <v>348</v>
      </c>
      <c r="D59" s="611">
        <v>0</v>
      </c>
      <c r="E59" s="611">
        <v>0</v>
      </c>
      <c r="F59" s="611">
        <v>0</v>
      </c>
      <c r="G59" s="611">
        <v>0</v>
      </c>
      <c r="H59" s="611">
        <v>16.620158076105728</v>
      </c>
      <c r="I59" s="611">
        <v>0</v>
      </c>
      <c r="J59" s="611">
        <v>0</v>
      </c>
      <c r="K59" s="611">
        <v>0</v>
      </c>
      <c r="L59" s="611">
        <v>32.843396379352157</v>
      </c>
      <c r="M59" s="611">
        <v>15.176983861343588</v>
      </c>
      <c r="N59" s="611">
        <v>0</v>
      </c>
      <c r="O59" s="611">
        <v>4.1681951660111221</v>
      </c>
      <c r="P59" s="611">
        <v>0</v>
      </c>
      <c r="Q59" s="611">
        <v>7.245438098137603</v>
      </c>
      <c r="R59" s="611">
        <v>0</v>
      </c>
      <c r="S59" s="611">
        <v>-69.202246777918418</v>
      </c>
      <c r="T59" s="611">
        <v>0</v>
      </c>
      <c r="U59" s="619">
        <v>6.8519248030317641</v>
      </c>
      <c r="V59" s="51"/>
    </row>
    <row r="60" spans="3:22" x14ac:dyDescent="0.25">
      <c r="C60" s="618" t="s">
        <v>349</v>
      </c>
      <c r="D60" s="611">
        <v>0</v>
      </c>
      <c r="E60" s="611">
        <v>0</v>
      </c>
      <c r="F60" s="611">
        <v>0</v>
      </c>
      <c r="G60" s="611">
        <v>0</v>
      </c>
      <c r="H60" s="611">
        <v>0</v>
      </c>
      <c r="I60" s="611">
        <v>0</v>
      </c>
      <c r="J60" s="611">
        <v>0</v>
      </c>
      <c r="K60" s="611">
        <v>0</v>
      </c>
      <c r="L60" s="611">
        <v>57.003702343671577</v>
      </c>
      <c r="M60" s="611">
        <v>0</v>
      </c>
      <c r="N60" s="611">
        <v>0</v>
      </c>
      <c r="O60" s="611">
        <v>-51.650820116954286</v>
      </c>
      <c r="P60" s="611">
        <v>0</v>
      </c>
      <c r="Q60" s="611">
        <v>0</v>
      </c>
      <c r="R60" s="611">
        <v>0</v>
      </c>
      <c r="S60" s="611">
        <v>0</v>
      </c>
      <c r="T60" s="611">
        <v>0</v>
      </c>
      <c r="U60" s="619">
        <v>5.3528822267172913</v>
      </c>
      <c r="V60" s="51"/>
    </row>
    <row r="61" spans="3:22" x14ac:dyDescent="0.25">
      <c r="C61" s="618" t="s">
        <v>350</v>
      </c>
      <c r="D61" s="611">
        <v>0</v>
      </c>
      <c r="E61" s="611">
        <v>0</v>
      </c>
      <c r="F61" s="611">
        <v>0</v>
      </c>
      <c r="G61" s="611">
        <v>0</v>
      </c>
      <c r="H61" s="611">
        <v>0</v>
      </c>
      <c r="I61" s="611">
        <v>-0.72771393398955631</v>
      </c>
      <c r="J61" s="611">
        <v>0</v>
      </c>
      <c r="K61" s="611">
        <v>0</v>
      </c>
      <c r="L61" s="611">
        <v>0</v>
      </c>
      <c r="M61" s="611">
        <v>0</v>
      </c>
      <c r="N61" s="611">
        <v>0</v>
      </c>
      <c r="O61" s="611">
        <v>0</v>
      </c>
      <c r="P61" s="611">
        <v>0</v>
      </c>
      <c r="Q61" s="611">
        <v>0</v>
      </c>
      <c r="R61" s="611">
        <v>0</v>
      </c>
      <c r="S61" s="611">
        <v>0</v>
      </c>
      <c r="T61" s="611">
        <v>1.0107137972077171</v>
      </c>
      <c r="U61" s="619">
        <v>0.28299986321816084</v>
      </c>
      <c r="V61" s="51"/>
    </row>
    <row r="62" spans="3:22" x14ac:dyDescent="0.25">
      <c r="C62" s="618" t="s">
        <v>72</v>
      </c>
      <c r="D62" s="611">
        <v>0</v>
      </c>
      <c r="E62" s="611">
        <v>422.3330989513351</v>
      </c>
      <c r="F62" s="611">
        <v>-418.12947900634055</v>
      </c>
      <c r="G62" s="611">
        <v>0</v>
      </c>
      <c r="H62" s="611">
        <v>0</v>
      </c>
      <c r="I62" s="611">
        <v>0</v>
      </c>
      <c r="J62" s="611">
        <v>0</v>
      </c>
      <c r="K62" s="611">
        <v>0</v>
      </c>
      <c r="L62" s="611">
        <v>0</v>
      </c>
      <c r="M62" s="611">
        <v>0</v>
      </c>
      <c r="N62" s="611">
        <v>0</v>
      </c>
      <c r="O62" s="611">
        <v>0</v>
      </c>
      <c r="P62" s="611">
        <v>0</v>
      </c>
      <c r="Q62" s="611">
        <v>0</v>
      </c>
      <c r="R62" s="611">
        <v>0</v>
      </c>
      <c r="S62" s="611">
        <v>0</v>
      </c>
      <c r="T62" s="611">
        <v>0</v>
      </c>
      <c r="U62" s="619">
        <v>4.203619944994557</v>
      </c>
      <c r="V62" s="51"/>
    </row>
    <row r="63" spans="3:22" x14ac:dyDescent="0.25">
      <c r="C63" s="618" t="s">
        <v>351</v>
      </c>
      <c r="D63" s="611">
        <v>0</v>
      </c>
      <c r="E63" s="611">
        <v>0</v>
      </c>
      <c r="F63" s="611">
        <v>0</v>
      </c>
      <c r="G63" s="611">
        <v>0</v>
      </c>
      <c r="H63" s="611">
        <v>0</v>
      </c>
      <c r="I63" s="611">
        <v>0</v>
      </c>
      <c r="J63" s="611">
        <v>0</v>
      </c>
      <c r="K63" s="611">
        <v>0</v>
      </c>
      <c r="L63" s="611">
        <v>88.69555402266576</v>
      </c>
      <c r="M63" s="611">
        <v>0</v>
      </c>
      <c r="N63" s="611">
        <v>-48.782554712466172</v>
      </c>
      <c r="O63" s="611">
        <v>0</v>
      </c>
      <c r="P63" s="611">
        <v>0</v>
      </c>
      <c r="Q63" s="611">
        <v>0</v>
      </c>
      <c r="R63" s="611">
        <v>0</v>
      </c>
      <c r="S63" s="611">
        <v>0</v>
      </c>
      <c r="T63" s="611">
        <v>0</v>
      </c>
      <c r="U63" s="619">
        <v>39.912999310199588</v>
      </c>
      <c r="V63" s="51"/>
    </row>
    <row r="64" spans="3:22" x14ac:dyDescent="0.25">
      <c r="C64" s="618" t="s">
        <v>352</v>
      </c>
      <c r="D64" s="611">
        <v>0</v>
      </c>
      <c r="E64" s="611">
        <v>0</v>
      </c>
      <c r="F64" s="611">
        <v>0</v>
      </c>
      <c r="G64" s="611">
        <v>-2.0156543247413854</v>
      </c>
      <c r="H64" s="611">
        <v>0</v>
      </c>
      <c r="I64" s="611">
        <v>0</v>
      </c>
      <c r="J64" s="611">
        <v>0</v>
      </c>
      <c r="K64" s="611">
        <v>0</v>
      </c>
      <c r="L64" s="611">
        <v>0</v>
      </c>
      <c r="M64" s="611">
        <v>0</v>
      </c>
      <c r="N64" s="611">
        <v>0</v>
      </c>
      <c r="O64" s="611">
        <v>0</v>
      </c>
      <c r="P64" s="611">
        <v>0</v>
      </c>
      <c r="Q64" s="611">
        <v>0</v>
      </c>
      <c r="R64" s="611">
        <v>0</v>
      </c>
      <c r="S64" s="611">
        <v>0</v>
      </c>
      <c r="T64" s="611">
        <v>2.6398301244345332</v>
      </c>
      <c r="U64" s="619">
        <v>0.62417579969314785</v>
      </c>
      <c r="V64" s="51"/>
    </row>
    <row r="65" spans="3:22" x14ac:dyDescent="0.25">
      <c r="C65" s="618" t="s">
        <v>73</v>
      </c>
      <c r="D65" s="611">
        <v>0</v>
      </c>
      <c r="E65" s="611">
        <v>0</v>
      </c>
      <c r="F65" s="611">
        <v>0</v>
      </c>
      <c r="G65" s="611">
        <v>0</v>
      </c>
      <c r="H65" s="611">
        <v>0</v>
      </c>
      <c r="I65" s="611">
        <v>0</v>
      </c>
      <c r="J65" s="611">
        <v>0</v>
      </c>
      <c r="K65" s="611">
        <v>0</v>
      </c>
      <c r="L65" s="611">
        <v>0</v>
      </c>
      <c r="M65" s="611">
        <v>0</v>
      </c>
      <c r="N65" s="611">
        <v>0</v>
      </c>
      <c r="O65" s="611">
        <v>0</v>
      </c>
      <c r="P65" s="611">
        <v>0</v>
      </c>
      <c r="Q65" s="611">
        <v>0</v>
      </c>
      <c r="R65" s="611">
        <v>14.763935391852707</v>
      </c>
      <c r="S65" s="611">
        <v>0</v>
      </c>
      <c r="T65" s="611">
        <v>-9.59655800470426</v>
      </c>
      <c r="U65" s="619">
        <v>5.1673773871484467</v>
      </c>
      <c r="V65" s="51"/>
    </row>
    <row r="66" spans="3:22" x14ac:dyDescent="0.25">
      <c r="C66" s="618" t="s">
        <v>353</v>
      </c>
      <c r="D66" s="611">
        <v>14.423464335937501</v>
      </c>
      <c r="E66" s="611">
        <v>-14.831047753358636</v>
      </c>
      <c r="F66" s="611">
        <v>19.300366292147253</v>
      </c>
      <c r="G66" s="611">
        <v>0</v>
      </c>
      <c r="H66" s="611">
        <v>0</v>
      </c>
      <c r="I66" s="611">
        <v>0</v>
      </c>
      <c r="J66" s="611">
        <v>0</v>
      </c>
      <c r="K66" s="611">
        <v>0</v>
      </c>
      <c r="L66" s="611">
        <v>0</v>
      </c>
      <c r="M66" s="611">
        <v>0</v>
      </c>
      <c r="N66" s="611">
        <v>0</v>
      </c>
      <c r="O66" s="611">
        <v>0</v>
      </c>
      <c r="P66" s="611">
        <v>0</v>
      </c>
      <c r="Q66" s="611">
        <v>0</v>
      </c>
      <c r="R66" s="611">
        <v>0</v>
      </c>
      <c r="S66" s="611">
        <v>0</v>
      </c>
      <c r="T66" s="611">
        <v>0</v>
      </c>
      <c r="U66" s="619">
        <v>18.892782874726116</v>
      </c>
      <c r="V66" s="51"/>
    </row>
    <row r="67" spans="3:22" x14ac:dyDescent="0.25">
      <c r="C67" s="618" t="s">
        <v>75</v>
      </c>
      <c r="D67" s="611">
        <v>5.609125019531251</v>
      </c>
      <c r="E67" s="611">
        <v>0</v>
      </c>
      <c r="F67" s="611">
        <v>14.541080175745211</v>
      </c>
      <c r="G67" s="611">
        <v>0</v>
      </c>
      <c r="H67" s="611">
        <v>4.7384633059767616</v>
      </c>
      <c r="I67" s="611">
        <v>0</v>
      </c>
      <c r="J67" s="611">
        <v>0</v>
      </c>
      <c r="K67" s="611">
        <v>0</v>
      </c>
      <c r="L67" s="611">
        <v>0</v>
      </c>
      <c r="M67" s="611">
        <v>0</v>
      </c>
      <c r="N67" s="611">
        <v>0</v>
      </c>
      <c r="O67" s="611">
        <v>0.83619940693707562</v>
      </c>
      <c r="P67" s="611">
        <v>0</v>
      </c>
      <c r="Q67" s="611">
        <v>0</v>
      </c>
      <c r="R67" s="611">
        <v>56.456567554456434</v>
      </c>
      <c r="S67" s="611">
        <v>0</v>
      </c>
      <c r="T67" s="611">
        <v>0</v>
      </c>
      <c r="U67" s="619">
        <v>82.181435462646732</v>
      </c>
      <c r="V67" s="51"/>
    </row>
    <row r="68" spans="3:22" x14ac:dyDescent="0.25">
      <c r="C68" s="618" t="s">
        <v>76</v>
      </c>
      <c r="D68" s="611">
        <v>0</v>
      </c>
      <c r="E68" s="611">
        <v>0</v>
      </c>
      <c r="F68" s="611">
        <v>0</v>
      </c>
      <c r="G68" s="611">
        <v>0</v>
      </c>
      <c r="H68" s="611">
        <v>3.1933502134367608</v>
      </c>
      <c r="I68" s="611">
        <v>0</v>
      </c>
      <c r="J68" s="611">
        <v>0</v>
      </c>
      <c r="K68" s="611">
        <v>0</v>
      </c>
      <c r="L68" s="611">
        <v>0</v>
      </c>
      <c r="M68" s="611">
        <v>0</v>
      </c>
      <c r="N68" s="611">
        <v>0</v>
      </c>
      <c r="O68" s="611">
        <v>0.56353239060648719</v>
      </c>
      <c r="P68" s="611">
        <v>0</v>
      </c>
      <c r="Q68" s="611">
        <v>0</v>
      </c>
      <c r="R68" s="611">
        <v>45.789919653579361</v>
      </c>
      <c r="S68" s="611">
        <v>5.3668499447334987</v>
      </c>
      <c r="T68" s="611">
        <v>0</v>
      </c>
      <c r="U68" s="619">
        <v>54.913652202356104</v>
      </c>
      <c r="V68" s="51"/>
    </row>
    <row r="69" spans="3:22" x14ac:dyDescent="0.25">
      <c r="C69" s="614" t="s">
        <v>77</v>
      </c>
      <c r="D69" s="615">
        <v>20.032589355468751</v>
      </c>
      <c r="E69" s="615">
        <v>407.50205119797647</v>
      </c>
      <c r="F69" s="615">
        <v>-383.50939450701696</v>
      </c>
      <c r="G69" s="615">
        <v>-2.0156543247413854</v>
      </c>
      <c r="H69" s="615">
        <v>73.201157195519244</v>
      </c>
      <c r="I69" s="615">
        <v>-0.72771393398955631</v>
      </c>
      <c r="J69" s="615">
        <v>1159.7098545454546</v>
      </c>
      <c r="K69" s="615">
        <v>206.22767049205902</v>
      </c>
      <c r="L69" s="615">
        <v>203.59511669645684</v>
      </c>
      <c r="M69" s="615">
        <v>15.739092553459836</v>
      </c>
      <c r="N69" s="615">
        <v>-44.371297241575355</v>
      </c>
      <c r="O69" s="615">
        <v>-37.402328329088569</v>
      </c>
      <c r="P69" s="615">
        <v>0</v>
      </c>
      <c r="Q69" s="615">
        <v>7.245438098137603</v>
      </c>
      <c r="R69" s="615">
        <v>-537.17359969875554</v>
      </c>
      <c r="S69" s="615">
        <v>-63.835396833184916</v>
      </c>
      <c r="T69" s="615">
        <v>-5.9460140830620096</v>
      </c>
      <c r="U69" s="615">
        <v>1018.2715711831179</v>
      </c>
      <c r="V69" s="51"/>
    </row>
    <row r="70" spans="3:22" x14ac:dyDescent="0.25">
      <c r="C70" s="616"/>
      <c r="D70" s="617"/>
      <c r="E70" s="617"/>
      <c r="F70" s="617"/>
      <c r="G70" s="617"/>
      <c r="H70" s="623"/>
      <c r="I70" s="617"/>
      <c r="J70" s="617"/>
      <c r="K70" s="617"/>
      <c r="L70" s="617"/>
      <c r="M70" s="617"/>
      <c r="N70" s="617"/>
      <c r="O70" s="617"/>
      <c r="P70" s="617"/>
      <c r="Q70" s="617"/>
      <c r="R70" s="617"/>
      <c r="S70" s="617"/>
      <c r="T70" s="617"/>
      <c r="U70" s="617"/>
      <c r="V70" s="51"/>
    </row>
    <row r="71" spans="3:22" x14ac:dyDescent="0.25">
      <c r="C71" s="618" t="s">
        <v>78</v>
      </c>
      <c r="D71" s="611">
        <v>3.3758020597581235</v>
      </c>
      <c r="E71" s="611">
        <v>0</v>
      </c>
      <c r="F71" s="611">
        <v>12.950442965803651</v>
      </c>
      <c r="G71" s="611">
        <v>0</v>
      </c>
      <c r="H71" s="611">
        <v>80.47134477164488</v>
      </c>
      <c r="I71" s="611">
        <v>0</v>
      </c>
      <c r="J71" s="611">
        <v>0</v>
      </c>
      <c r="K71" s="611">
        <v>0</v>
      </c>
      <c r="L71" s="611">
        <v>21.324114250752451</v>
      </c>
      <c r="M71" s="611">
        <v>7.2915559072262504</v>
      </c>
      <c r="N71" s="611">
        <v>1.0929506417768975</v>
      </c>
      <c r="O71" s="611">
        <v>14.228192484483269</v>
      </c>
      <c r="P71" s="611">
        <v>5.4360292968749997</v>
      </c>
      <c r="Q71" s="611">
        <v>5.5791983277925228E-4</v>
      </c>
      <c r="R71" s="611">
        <v>150.98087036591164</v>
      </c>
      <c r="S71" s="611">
        <v>19.403042568185512</v>
      </c>
      <c r="T71" s="611">
        <v>3.5524582519531251</v>
      </c>
      <c r="U71" s="619">
        <v>320.10736148420358</v>
      </c>
      <c r="V71" s="51"/>
    </row>
    <row r="72" spans="3:22" x14ac:dyDescent="0.25">
      <c r="C72" s="618" t="s">
        <v>79</v>
      </c>
      <c r="D72" s="611">
        <v>0</v>
      </c>
      <c r="E72" s="611">
        <v>0</v>
      </c>
      <c r="F72" s="611">
        <v>316.65258451410631</v>
      </c>
      <c r="G72" s="611">
        <v>0.21178247693223418</v>
      </c>
      <c r="H72" s="611">
        <v>5.6309983287714074</v>
      </c>
      <c r="I72" s="611">
        <v>0</v>
      </c>
      <c r="J72" s="611">
        <v>0</v>
      </c>
      <c r="K72" s="611">
        <v>0</v>
      </c>
      <c r="L72" s="611">
        <v>0</v>
      </c>
      <c r="M72" s="611">
        <v>0</v>
      </c>
      <c r="N72" s="611">
        <v>37.755477147774521</v>
      </c>
      <c r="O72" s="611">
        <v>0.99370558743024839</v>
      </c>
      <c r="P72" s="611">
        <v>0</v>
      </c>
      <c r="Q72" s="611">
        <v>0</v>
      </c>
      <c r="R72" s="611">
        <v>33.627467612150312</v>
      </c>
      <c r="S72" s="611">
        <v>0</v>
      </c>
      <c r="T72" s="611">
        <v>0.96605492902811552</v>
      </c>
      <c r="U72" s="619">
        <v>395.83807059619318</v>
      </c>
      <c r="V72" s="51"/>
    </row>
    <row r="73" spans="3:22" x14ac:dyDescent="0.25">
      <c r="C73" s="618" t="s">
        <v>80</v>
      </c>
      <c r="D73" s="611">
        <v>0</v>
      </c>
      <c r="E73" s="611">
        <v>0</v>
      </c>
      <c r="F73" s="611">
        <v>7.2864711080849975</v>
      </c>
      <c r="G73" s="611">
        <v>0</v>
      </c>
      <c r="H73" s="611">
        <v>64.015994675506889</v>
      </c>
      <c r="I73" s="611">
        <v>0</v>
      </c>
      <c r="J73" s="611">
        <v>0</v>
      </c>
      <c r="K73" s="611">
        <v>0</v>
      </c>
      <c r="L73" s="611">
        <v>59.781394249240854</v>
      </c>
      <c r="M73" s="611">
        <v>0</v>
      </c>
      <c r="N73" s="611">
        <v>0</v>
      </c>
      <c r="O73" s="611">
        <v>11.296940236854157</v>
      </c>
      <c r="P73" s="611">
        <v>71.261229807028784</v>
      </c>
      <c r="Q73" s="611">
        <v>1.8312707461125663</v>
      </c>
      <c r="R73" s="611">
        <v>168.99529037460601</v>
      </c>
      <c r="S73" s="611">
        <v>26.200174165432053</v>
      </c>
      <c r="T73" s="611">
        <v>0</v>
      </c>
      <c r="U73" s="619">
        <v>410.66876536286634</v>
      </c>
      <c r="V73" s="51"/>
    </row>
    <row r="74" spans="3:22" x14ac:dyDescent="0.25">
      <c r="C74" s="618" t="s">
        <v>81</v>
      </c>
      <c r="D74" s="611">
        <v>0</v>
      </c>
      <c r="E74" s="611">
        <v>0</v>
      </c>
      <c r="F74" s="611">
        <v>3.924731163958576</v>
      </c>
      <c r="G74" s="611">
        <v>0</v>
      </c>
      <c r="H74" s="611">
        <v>43.02867282834201</v>
      </c>
      <c r="I74" s="611">
        <v>0</v>
      </c>
      <c r="J74" s="611">
        <v>0</v>
      </c>
      <c r="K74" s="611">
        <v>0</v>
      </c>
      <c r="L74" s="611">
        <v>0.65520868022421808</v>
      </c>
      <c r="M74" s="611">
        <v>0</v>
      </c>
      <c r="N74" s="611">
        <v>0</v>
      </c>
      <c r="O74" s="611">
        <v>7.5932952050015308</v>
      </c>
      <c r="P74" s="611">
        <v>30.500312120088047</v>
      </c>
      <c r="Q74" s="611">
        <v>2.5023556054496878</v>
      </c>
      <c r="R74" s="611">
        <v>120.41840773999139</v>
      </c>
      <c r="S74" s="611">
        <v>18.232180099567369</v>
      </c>
      <c r="T74" s="611">
        <v>0</v>
      </c>
      <c r="U74" s="619">
        <v>226.85516344262282</v>
      </c>
      <c r="V74" s="51"/>
    </row>
    <row r="75" spans="3:22" x14ac:dyDescent="0.25">
      <c r="C75" s="618" t="s">
        <v>82</v>
      </c>
      <c r="D75" s="611">
        <v>0</v>
      </c>
      <c r="E75" s="611">
        <v>0</v>
      </c>
      <c r="F75" s="611">
        <v>30.67679188462478</v>
      </c>
      <c r="G75" s="611">
        <v>0</v>
      </c>
      <c r="H75" s="611">
        <v>1.9189403202924635</v>
      </c>
      <c r="I75" s="611">
        <v>0</v>
      </c>
      <c r="J75" s="611">
        <v>0</v>
      </c>
      <c r="K75" s="611">
        <v>0</v>
      </c>
      <c r="L75" s="611">
        <v>2.2700672066089305</v>
      </c>
      <c r="M75" s="611">
        <v>0</v>
      </c>
      <c r="N75" s="611">
        <v>4.4101434474454244</v>
      </c>
      <c r="O75" s="611">
        <v>0.33863652711043474</v>
      </c>
      <c r="P75" s="611">
        <v>0.5</v>
      </c>
      <c r="Q75" s="611">
        <v>0.62518456969816016</v>
      </c>
      <c r="R75" s="611">
        <v>6.8477994877191097</v>
      </c>
      <c r="S75" s="611">
        <v>0</v>
      </c>
      <c r="T75" s="611">
        <v>0.17366238047171115</v>
      </c>
      <c r="U75" s="619">
        <v>47.76122582397101</v>
      </c>
      <c r="V75" s="51"/>
    </row>
    <row r="76" spans="3:22" x14ac:dyDescent="0.25">
      <c r="C76" s="618" t="s">
        <v>354</v>
      </c>
      <c r="D76" s="611">
        <v>0</v>
      </c>
      <c r="E76" s="611">
        <v>0</v>
      </c>
      <c r="F76" s="611">
        <v>0</v>
      </c>
      <c r="G76" s="611">
        <v>0</v>
      </c>
      <c r="H76" s="611">
        <v>0</v>
      </c>
      <c r="I76" s="611">
        <v>0</v>
      </c>
      <c r="J76" s="611">
        <v>0</v>
      </c>
      <c r="K76" s="611">
        <v>0</v>
      </c>
      <c r="L76" s="611">
        <v>0</v>
      </c>
      <c r="M76" s="611">
        <v>0</v>
      </c>
      <c r="N76" s="611">
        <v>0</v>
      </c>
      <c r="O76" s="611">
        <v>0</v>
      </c>
      <c r="P76" s="611">
        <v>0</v>
      </c>
      <c r="Q76" s="611">
        <v>0</v>
      </c>
      <c r="R76" s="611">
        <v>0</v>
      </c>
      <c r="S76" s="611">
        <v>0</v>
      </c>
      <c r="T76" s="611">
        <v>0</v>
      </c>
      <c r="U76" s="619">
        <v>0</v>
      </c>
      <c r="V76" s="51"/>
    </row>
    <row r="77" spans="3:22" x14ac:dyDescent="0.25">
      <c r="C77" s="614" t="s">
        <v>83</v>
      </c>
      <c r="D77" s="615">
        <v>3.3758020597581235</v>
      </c>
      <c r="E77" s="615">
        <v>0</v>
      </c>
      <c r="F77" s="615">
        <v>371.4910216365783</v>
      </c>
      <c r="G77" s="615">
        <v>0.21178247693223418</v>
      </c>
      <c r="H77" s="615">
        <v>195.06595092455763</v>
      </c>
      <c r="I77" s="615">
        <v>0</v>
      </c>
      <c r="J77" s="615">
        <v>0</v>
      </c>
      <c r="K77" s="615">
        <v>0</v>
      </c>
      <c r="L77" s="615">
        <v>84.030784386826454</v>
      </c>
      <c r="M77" s="615">
        <v>7.2915559072262504</v>
      </c>
      <c r="N77" s="615">
        <v>43.258571236996843</v>
      </c>
      <c r="O77" s="615">
        <v>34.450770040879647</v>
      </c>
      <c r="P77" s="615">
        <v>107.69757122399184</v>
      </c>
      <c r="Q77" s="615">
        <v>4.9593688410931929</v>
      </c>
      <c r="R77" s="615">
        <v>480.86983558037849</v>
      </c>
      <c r="S77" s="615">
        <v>63.83539683318493</v>
      </c>
      <c r="T77" s="615">
        <v>4.6921755614529523</v>
      </c>
      <c r="U77" s="615">
        <v>1401.2305867098569</v>
      </c>
      <c r="V77" s="51"/>
    </row>
    <row r="78" spans="3:22" x14ac:dyDescent="0.25">
      <c r="C78" s="610" t="s">
        <v>84</v>
      </c>
      <c r="D78" s="611">
        <v>0</v>
      </c>
      <c r="E78" s="611">
        <v>0</v>
      </c>
      <c r="F78" s="611">
        <v>126.95463683256074</v>
      </c>
      <c r="G78" s="611">
        <v>1.4249424560491393</v>
      </c>
      <c r="H78" s="611">
        <v>13.544705953911897</v>
      </c>
      <c r="I78" s="611">
        <v>0</v>
      </c>
      <c r="J78" s="611">
        <v>0</v>
      </c>
      <c r="K78" s="611">
        <v>0</v>
      </c>
      <c r="L78" s="611">
        <v>0.11811085902414258</v>
      </c>
      <c r="M78" s="611">
        <v>0</v>
      </c>
      <c r="N78" s="611">
        <v>1.5272647102159218</v>
      </c>
      <c r="O78" s="611">
        <v>2.0363529469545623</v>
      </c>
      <c r="P78" s="611">
        <v>0</v>
      </c>
      <c r="Q78" s="611">
        <v>0</v>
      </c>
      <c r="R78" s="611">
        <v>0</v>
      </c>
      <c r="S78" s="611">
        <v>0</v>
      </c>
      <c r="T78" s="611">
        <v>1.1221461296081543</v>
      </c>
      <c r="U78" s="619">
        <v>146.72815988832454</v>
      </c>
      <c r="V78" s="51"/>
    </row>
    <row r="79" spans="3:22" x14ac:dyDescent="0.25">
      <c r="C79" s="614" t="s">
        <v>85</v>
      </c>
      <c r="D79" s="615">
        <v>3.3758020597581235</v>
      </c>
      <c r="E79" s="615">
        <v>0</v>
      </c>
      <c r="F79" s="615">
        <v>498.44565846913906</v>
      </c>
      <c r="G79" s="615">
        <v>1.6367249329813736</v>
      </c>
      <c r="H79" s="615">
        <v>208.61065687846951</v>
      </c>
      <c r="I79" s="615">
        <v>0</v>
      </c>
      <c r="J79" s="615">
        <v>0</v>
      </c>
      <c r="K79" s="615">
        <v>0</v>
      </c>
      <c r="L79" s="615">
        <v>84.148895245850596</v>
      </c>
      <c r="M79" s="615">
        <v>7.2915559072262504</v>
      </c>
      <c r="N79" s="615">
        <v>44.785835947212767</v>
      </c>
      <c r="O79" s="615">
        <v>36.487122987834212</v>
      </c>
      <c r="P79" s="615">
        <v>107.69757122399184</v>
      </c>
      <c r="Q79" s="615">
        <v>4.9593688410931929</v>
      </c>
      <c r="R79" s="615">
        <v>480.86983558037849</v>
      </c>
      <c r="S79" s="615">
        <v>63.83539683318493</v>
      </c>
      <c r="T79" s="615">
        <v>5.8143216910611066</v>
      </c>
      <c r="U79" s="615">
        <v>1547.9587465981815</v>
      </c>
      <c r="V79" s="51"/>
    </row>
    <row r="80" spans="3:22" x14ac:dyDescent="0.25">
      <c r="C80" s="51"/>
      <c r="D80" s="67">
        <v>0</v>
      </c>
      <c r="E80" s="67">
        <v>0</v>
      </c>
      <c r="F80" s="67">
        <v>0</v>
      </c>
      <c r="G80" s="67">
        <v>0</v>
      </c>
      <c r="H80" s="67">
        <v>0</v>
      </c>
      <c r="I80" s="67">
        <v>0</v>
      </c>
      <c r="J80" s="67">
        <v>0</v>
      </c>
      <c r="K80" s="67">
        <v>0</v>
      </c>
      <c r="L80" s="67">
        <v>0</v>
      </c>
      <c r="M80" s="67">
        <v>-5.3454570882038865E-4</v>
      </c>
      <c r="N80" s="67">
        <v>0</v>
      </c>
      <c r="O80" s="67">
        <v>1.1324274851176597E-14</v>
      </c>
      <c r="P80" s="67">
        <v>0</v>
      </c>
      <c r="Q80" s="67">
        <v>0</v>
      </c>
      <c r="R80" s="67">
        <v>-5.6843418860808015E-14</v>
      </c>
      <c r="S80" s="67">
        <v>1.4210854715202004E-14</v>
      </c>
      <c r="T80" s="67">
        <v>0</v>
      </c>
      <c r="U80" s="67">
        <v>-5.3454570888789021E-4</v>
      </c>
      <c r="V80" s="51"/>
    </row>
    <row r="81" spans="3:22" x14ac:dyDescent="0.25">
      <c r="C81" s="51"/>
      <c r="D81" s="51"/>
      <c r="E81" s="51"/>
      <c r="F81" s="51"/>
      <c r="G81" s="67"/>
      <c r="H81" s="51"/>
      <c r="I81" s="51"/>
      <c r="J81" s="51"/>
      <c r="K81" s="51"/>
      <c r="L81" s="51"/>
      <c r="M81" s="51"/>
      <c r="N81" s="51"/>
      <c r="O81" s="51"/>
      <c r="P81" s="51"/>
      <c r="Q81" s="51"/>
      <c r="R81" s="51"/>
      <c r="S81" s="51"/>
      <c r="T81" s="51"/>
      <c r="U81" s="51"/>
      <c r="V81" s="51"/>
    </row>
    <row r="82" spans="3:22" x14ac:dyDescent="0.25">
      <c r="C82" s="607" t="s">
        <v>357</v>
      </c>
      <c r="D82" s="606"/>
      <c r="E82" s="606"/>
      <c r="F82" s="606"/>
      <c r="G82" s="682"/>
      <c r="H82" s="606"/>
      <c r="I82" s="606"/>
      <c r="J82" s="606"/>
      <c r="K82" s="606"/>
      <c r="L82" s="606"/>
      <c r="M82" s="606"/>
      <c r="N82" s="606"/>
      <c r="O82" s="606"/>
      <c r="P82" s="606"/>
      <c r="Q82" s="606"/>
      <c r="R82" s="606"/>
      <c r="S82" s="606"/>
      <c r="T82" s="606"/>
      <c r="U82" s="606"/>
      <c r="V82" s="606"/>
    </row>
    <row r="83" spans="3:22" x14ac:dyDescent="0.25">
      <c r="C83" s="51"/>
      <c r="D83" s="51"/>
      <c r="E83" s="51"/>
      <c r="F83" s="51"/>
      <c r="G83" s="67"/>
      <c r="H83" s="51"/>
      <c r="I83" s="51"/>
      <c r="J83" s="51"/>
      <c r="K83" s="51"/>
      <c r="L83" s="51"/>
      <c r="M83" s="51"/>
      <c r="N83" s="51"/>
      <c r="O83" s="51"/>
      <c r="P83" s="51"/>
      <c r="Q83" s="51"/>
      <c r="R83" s="51"/>
      <c r="S83" s="51"/>
      <c r="T83" s="51"/>
      <c r="U83" s="51"/>
      <c r="V83" s="51"/>
    </row>
    <row r="84" spans="3:22" x14ac:dyDescent="0.25">
      <c r="C84" s="764" t="s">
        <v>128</v>
      </c>
      <c r="D84" s="753" t="s">
        <v>42</v>
      </c>
      <c r="E84" s="753" t="s">
        <v>52</v>
      </c>
      <c r="F84" s="753" t="s">
        <v>53</v>
      </c>
      <c r="G84" s="766" t="s">
        <v>482</v>
      </c>
      <c r="H84" s="753" t="s">
        <v>32</v>
      </c>
      <c r="I84" s="753" t="s">
        <v>483</v>
      </c>
      <c r="J84" s="753" t="s">
        <v>20</v>
      </c>
      <c r="K84" s="753" t="s">
        <v>55</v>
      </c>
      <c r="L84" s="761" t="s">
        <v>56</v>
      </c>
      <c r="M84" s="762"/>
      <c r="N84" s="762"/>
      <c r="O84" s="762"/>
      <c r="P84" s="762"/>
      <c r="Q84" s="763"/>
      <c r="R84" s="753" t="s">
        <v>57</v>
      </c>
      <c r="S84" s="753" t="s">
        <v>58</v>
      </c>
      <c r="T84" s="753" t="s">
        <v>31</v>
      </c>
      <c r="U84" s="753" t="s">
        <v>10</v>
      </c>
      <c r="V84" s="51"/>
    </row>
    <row r="85" spans="3:22" ht="36" x14ac:dyDescent="0.25">
      <c r="C85" s="765"/>
      <c r="D85" s="754"/>
      <c r="E85" s="754"/>
      <c r="F85" s="754"/>
      <c r="G85" s="767"/>
      <c r="H85" s="754"/>
      <c r="I85" s="754"/>
      <c r="J85" s="754"/>
      <c r="K85" s="754"/>
      <c r="L85" s="608" t="s">
        <v>335</v>
      </c>
      <c r="M85" s="608" t="s">
        <v>40</v>
      </c>
      <c r="N85" s="608" t="s">
        <v>343</v>
      </c>
      <c r="O85" s="608" t="s">
        <v>344</v>
      </c>
      <c r="P85" s="609" t="s">
        <v>345</v>
      </c>
      <c r="Q85" s="608" t="s">
        <v>346</v>
      </c>
      <c r="R85" s="754"/>
      <c r="S85" s="754"/>
      <c r="T85" s="754"/>
      <c r="U85" s="754"/>
      <c r="V85" s="51"/>
    </row>
    <row r="86" spans="3:22" x14ac:dyDescent="0.25">
      <c r="C86" s="610" t="s">
        <v>59</v>
      </c>
      <c r="D86" s="611">
        <v>0</v>
      </c>
      <c r="E86" s="611">
        <v>7.3966799999999999</v>
      </c>
      <c r="F86" s="611">
        <v>0</v>
      </c>
      <c r="G86" s="611">
        <v>0</v>
      </c>
      <c r="H86" s="611">
        <v>0.13025600000000001</v>
      </c>
      <c r="I86" s="611">
        <v>0</v>
      </c>
      <c r="J86" s="612">
        <v>1149.5641818181819</v>
      </c>
      <c r="K86" s="612">
        <v>271.86081401905926</v>
      </c>
      <c r="L86" s="612">
        <v>340.9855459340954</v>
      </c>
      <c r="M86" s="612">
        <v>22.299860098650736</v>
      </c>
      <c r="N86" s="611">
        <v>1.4753548538560814</v>
      </c>
      <c r="O86" s="611">
        <v>0.15089220372740705</v>
      </c>
      <c r="P86" s="612">
        <v>124.26113436397709</v>
      </c>
      <c r="Q86" s="612">
        <v>16.54082734098899</v>
      </c>
      <c r="R86" s="611">
        <v>0</v>
      </c>
      <c r="S86" s="611">
        <v>0</v>
      </c>
      <c r="T86" s="611">
        <v>0</v>
      </c>
      <c r="U86" s="613">
        <v>1934.6655466325367</v>
      </c>
      <c r="V86" s="51"/>
    </row>
    <row r="87" spans="3:22" x14ac:dyDescent="0.25">
      <c r="C87" s="610" t="s">
        <v>60</v>
      </c>
      <c r="D87" s="611">
        <v>18.28715345037487</v>
      </c>
      <c r="E87" s="611">
        <v>349.70303524729923</v>
      </c>
      <c r="F87" s="611">
        <v>131.18201763584051</v>
      </c>
      <c r="G87" s="611">
        <v>0.50033179368683367</v>
      </c>
      <c r="H87" s="611">
        <v>229.42495745873748</v>
      </c>
      <c r="I87" s="611">
        <v>0</v>
      </c>
      <c r="J87" s="611">
        <v>0</v>
      </c>
      <c r="K87" s="611">
        <v>0</v>
      </c>
      <c r="L87" s="611">
        <v>3.0227324829465219</v>
      </c>
      <c r="M87" s="611">
        <v>0</v>
      </c>
      <c r="N87" s="611">
        <v>4.0455454459272309</v>
      </c>
      <c r="O87" s="611">
        <v>0</v>
      </c>
      <c r="P87" s="611">
        <v>0</v>
      </c>
      <c r="Q87" s="611">
        <v>0</v>
      </c>
      <c r="R87" s="611">
        <v>0</v>
      </c>
      <c r="S87" s="611">
        <v>0</v>
      </c>
      <c r="T87" s="611">
        <v>0</v>
      </c>
      <c r="U87" s="613">
        <v>736.16577351481271</v>
      </c>
      <c r="V87" s="51"/>
    </row>
    <row r="88" spans="3:22" x14ac:dyDescent="0.25">
      <c r="C88" s="610" t="s">
        <v>61</v>
      </c>
      <c r="D88" s="611">
        <v>0</v>
      </c>
      <c r="E88" s="611">
        <v>0</v>
      </c>
      <c r="F88" s="611">
        <v>4.2105906375360576</v>
      </c>
      <c r="G88" s="611">
        <v>0</v>
      </c>
      <c r="H88" s="611">
        <v>0</v>
      </c>
      <c r="I88" s="611">
        <v>0</v>
      </c>
      <c r="J88" s="611">
        <v>0</v>
      </c>
      <c r="K88" s="611">
        <v>0</v>
      </c>
      <c r="L88" s="611">
        <v>0</v>
      </c>
      <c r="M88" s="611">
        <v>0</v>
      </c>
      <c r="N88" s="611">
        <v>0</v>
      </c>
      <c r="O88" s="611">
        <v>0</v>
      </c>
      <c r="P88" s="611">
        <v>0</v>
      </c>
      <c r="Q88" s="611">
        <v>0</v>
      </c>
      <c r="R88" s="611">
        <v>-64.694612145471979</v>
      </c>
      <c r="S88" s="611">
        <v>0</v>
      </c>
      <c r="T88" s="611">
        <v>0</v>
      </c>
      <c r="U88" s="613">
        <v>-60.484021507935921</v>
      </c>
      <c r="V88" s="51"/>
    </row>
    <row r="89" spans="3:22" x14ac:dyDescent="0.25">
      <c r="C89" s="610" t="s">
        <v>62</v>
      </c>
      <c r="D89" s="611">
        <v>0</v>
      </c>
      <c r="E89" s="611">
        <v>0</v>
      </c>
      <c r="F89" s="611">
        <v>-10.861999753071151</v>
      </c>
      <c r="G89" s="611">
        <v>-1.2717233399442811</v>
      </c>
      <c r="H89" s="611">
        <v>-1.650726997595853</v>
      </c>
      <c r="I89" s="611">
        <v>-1.5305667943868051</v>
      </c>
      <c r="J89" s="611">
        <v>0</v>
      </c>
      <c r="K89" s="611">
        <v>0</v>
      </c>
      <c r="L89" s="611">
        <v>0</v>
      </c>
      <c r="M89" s="611">
        <v>0</v>
      </c>
      <c r="N89" s="611">
        <v>-0.98510206600536243</v>
      </c>
      <c r="O89" s="611">
        <v>-1.4330596123235</v>
      </c>
      <c r="P89" s="611">
        <v>0</v>
      </c>
      <c r="Q89" s="611">
        <v>0</v>
      </c>
      <c r="R89" s="611">
        <v>0</v>
      </c>
      <c r="S89" s="611">
        <v>0</v>
      </c>
      <c r="T89" s="611">
        <v>-0.44287904354910901</v>
      </c>
      <c r="U89" s="613">
        <v>-18.176057606876064</v>
      </c>
      <c r="V89" s="51"/>
    </row>
    <row r="90" spans="3:22" x14ac:dyDescent="0.25">
      <c r="C90" s="610" t="s">
        <v>63</v>
      </c>
      <c r="D90" s="611">
        <v>0</v>
      </c>
      <c r="E90" s="611">
        <v>0</v>
      </c>
      <c r="F90" s="611">
        <v>-60.506792439626352</v>
      </c>
      <c r="G90" s="611">
        <v>-2.4607230105111979</v>
      </c>
      <c r="H90" s="611">
        <v>0</v>
      </c>
      <c r="I90" s="611">
        <v>0</v>
      </c>
      <c r="J90" s="611">
        <v>0</v>
      </c>
      <c r="K90" s="611">
        <v>0</v>
      </c>
      <c r="L90" s="611">
        <v>0</v>
      </c>
      <c r="M90" s="611">
        <v>0</v>
      </c>
      <c r="N90" s="611">
        <v>-7.7408999922038042</v>
      </c>
      <c r="O90" s="611">
        <v>0</v>
      </c>
      <c r="P90" s="611">
        <v>0</v>
      </c>
      <c r="Q90" s="611">
        <v>0</v>
      </c>
      <c r="R90" s="611">
        <v>0</v>
      </c>
      <c r="S90" s="611">
        <v>0</v>
      </c>
      <c r="T90" s="611">
        <v>-0.3392769133758014</v>
      </c>
      <c r="U90" s="613">
        <v>-71.047692355717146</v>
      </c>
      <c r="V90" s="51"/>
    </row>
    <row r="91" spans="3:22" x14ac:dyDescent="0.25">
      <c r="C91" s="610" t="s">
        <v>64</v>
      </c>
      <c r="D91" s="611">
        <v>0</v>
      </c>
      <c r="E91" s="611">
        <v>0</v>
      </c>
      <c r="F91" s="611">
        <v>0</v>
      </c>
      <c r="G91" s="611">
        <v>0</v>
      </c>
      <c r="H91" s="611">
        <v>0</v>
      </c>
      <c r="I91" s="611">
        <v>0</v>
      </c>
      <c r="J91" s="611">
        <v>0</v>
      </c>
      <c r="K91" s="611">
        <v>0</v>
      </c>
      <c r="L91" s="611">
        <v>0</v>
      </c>
      <c r="M91" s="611">
        <v>0</v>
      </c>
      <c r="N91" s="611">
        <v>0</v>
      </c>
      <c r="O91" s="611">
        <v>0</v>
      </c>
      <c r="P91" s="611">
        <v>0</v>
      </c>
      <c r="Q91" s="611">
        <v>0</v>
      </c>
      <c r="R91" s="611">
        <v>0</v>
      </c>
      <c r="S91" s="611">
        <v>0</v>
      </c>
      <c r="T91" s="611">
        <v>0</v>
      </c>
      <c r="U91" s="613">
        <v>0</v>
      </c>
      <c r="V91" s="51"/>
    </row>
    <row r="92" spans="3:22" x14ac:dyDescent="0.25">
      <c r="C92" s="614" t="s">
        <v>65</v>
      </c>
      <c r="D92" s="615">
        <v>18.28715345037487</v>
      </c>
      <c r="E92" s="615">
        <v>357.09971524729923</v>
      </c>
      <c r="F92" s="615">
        <v>64.023816080679069</v>
      </c>
      <c r="G92" s="615">
        <v>-3.2321145567686456</v>
      </c>
      <c r="H92" s="615">
        <v>227.90448646114163</v>
      </c>
      <c r="I92" s="615">
        <v>-1.5305667943868051</v>
      </c>
      <c r="J92" s="615">
        <v>1149.5641818181819</v>
      </c>
      <c r="K92" s="615">
        <v>271.86081401905926</v>
      </c>
      <c r="L92" s="615">
        <v>344.00827841704194</v>
      </c>
      <c r="M92" s="615">
        <v>22.299860098650736</v>
      </c>
      <c r="N92" s="615">
        <v>-3.2051017584258545</v>
      </c>
      <c r="O92" s="615">
        <v>-1.282167408596093</v>
      </c>
      <c r="P92" s="615">
        <v>124.26113436397709</v>
      </c>
      <c r="Q92" s="615">
        <v>16.54082734098899</v>
      </c>
      <c r="R92" s="615">
        <v>-64.694612145471979</v>
      </c>
      <c r="S92" s="615">
        <v>0</v>
      </c>
      <c r="T92" s="615">
        <v>-0.78215595692491036</v>
      </c>
      <c r="U92" s="615">
        <v>2521.1235486768205</v>
      </c>
      <c r="V92" s="51"/>
    </row>
    <row r="93" spans="3:22" x14ac:dyDescent="0.25">
      <c r="C93" s="616"/>
      <c r="D93" s="617"/>
      <c r="E93" s="617"/>
      <c r="F93" s="617"/>
      <c r="G93" s="617"/>
      <c r="H93" s="623"/>
      <c r="I93" s="617"/>
      <c r="J93" s="617"/>
      <c r="K93" s="617"/>
      <c r="L93" s="617"/>
      <c r="M93" s="617"/>
      <c r="N93" s="617"/>
      <c r="O93" s="617"/>
      <c r="P93" s="617"/>
      <c r="Q93" s="617"/>
      <c r="R93" s="617"/>
      <c r="S93" s="617"/>
      <c r="T93" s="617"/>
      <c r="U93" s="617"/>
      <c r="V93" s="51"/>
    </row>
    <row r="94" spans="3:22" x14ac:dyDescent="0.25">
      <c r="C94" s="618" t="s">
        <v>67</v>
      </c>
      <c r="D94" s="611">
        <v>0</v>
      </c>
      <c r="E94" s="611">
        <v>0</v>
      </c>
      <c r="F94" s="611">
        <v>0</v>
      </c>
      <c r="G94" s="611">
        <v>0</v>
      </c>
      <c r="H94" s="611">
        <v>0</v>
      </c>
      <c r="I94" s="611">
        <v>0</v>
      </c>
      <c r="J94" s="611">
        <v>0</v>
      </c>
      <c r="K94" s="611">
        <v>0</v>
      </c>
      <c r="L94" s="611">
        <v>0</v>
      </c>
      <c r="M94" s="611">
        <v>0</v>
      </c>
      <c r="N94" s="611">
        <v>0</v>
      </c>
      <c r="O94" s="611">
        <v>0</v>
      </c>
      <c r="P94" s="611">
        <v>0</v>
      </c>
      <c r="Q94" s="611">
        <v>0</v>
      </c>
      <c r="R94" s="611">
        <v>0</v>
      </c>
      <c r="S94" s="611">
        <v>0</v>
      </c>
      <c r="T94" s="611">
        <v>0</v>
      </c>
      <c r="U94" s="619">
        <v>0</v>
      </c>
      <c r="V94" s="51"/>
    </row>
    <row r="95" spans="3:22" x14ac:dyDescent="0.25">
      <c r="C95" s="618" t="s">
        <v>347</v>
      </c>
      <c r="D95" s="611">
        <v>0</v>
      </c>
      <c r="E95" s="611">
        <v>0</v>
      </c>
      <c r="F95" s="611">
        <v>0.79278558393774012</v>
      </c>
      <c r="G95" s="611">
        <v>0</v>
      </c>
      <c r="H95" s="611">
        <v>39.527338676233185</v>
      </c>
      <c r="I95" s="611">
        <v>0</v>
      </c>
      <c r="J95" s="611">
        <v>1149.5641818181819</v>
      </c>
      <c r="K95" s="611">
        <v>271.86081401905926</v>
      </c>
      <c r="L95" s="611">
        <v>24.281645722742617</v>
      </c>
      <c r="M95" s="611">
        <v>0.5839400251691752</v>
      </c>
      <c r="N95" s="611">
        <v>4.7819832265678626</v>
      </c>
      <c r="O95" s="611">
        <v>10.613276143464974</v>
      </c>
      <c r="P95" s="611">
        <v>0</v>
      </c>
      <c r="Q95" s="611">
        <v>1.6766395861963883</v>
      </c>
      <c r="R95" s="611">
        <v>-716.26174271126808</v>
      </c>
      <c r="S95" s="611">
        <v>0</v>
      </c>
      <c r="T95" s="611">
        <v>0</v>
      </c>
      <c r="U95" s="619">
        <v>787.42086209028514</v>
      </c>
      <c r="V95" s="51"/>
    </row>
    <row r="96" spans="3:22" x14ac:dyDescent="0.25">
      <c r="C96" s="618" t="s">
        <v>348</v>
      </c>
      <c r="D96" s="611">
        <v>0</v>
      </c>
      <c r="E96" s="611">
        <v>0</v>
      </c>
      <c r="F96" s="611">
        <v>0</v>
      </c>
      <c r="G96" s="611">
        <v>0</v>
      </c>
      <c r="H96" s="611">
        <v>13.826141720513146</v>
      </c>
      <c r="I96" s="611">
        <v>0</v>
      </c>
      <c r="J96" s="611">
        <v>0</v>
      </c>
      <c r="K96" s="611">
        <v>0</v>
      </c>
      <c r="L96" s="611">
        <v>34.119427125451772</v>
      </c>
      <c r="M96" s="611">
        <v>14.48897225092947</v>
      </c>
      <c r="N96" s="611">
        <v>0</v>
      </c>
      <c r="O96" s="611">
        <v>4.1434435426951568</v>
      </c>
      <c r="P96" s="611">
        <v>0</v>
      </c>
      <c r="Q96" s="611">
        <v>9.1888101009468421</v>
      </c>
      <c r="R96" s="611">
        <v>0</v>
      </c>
      <c r="S96" s="611">
        <v>-69.315447914592554</v>
      </c>
      <c r="T96" s="611">
        <v>0</v>
      </c>
      <c r="U96" s="619">
        <v>6.4513468259438298</v>
      </c>
      <c r="V96" s="51"/>
    </row>
    <row r="97" spans="3:22" x14ac:dyDescent="0.25">
      <c r="C97" s="618" t="s">
        <v>349</v>
      </c>
      <c r="D97" s="611">
        <v>0</v>
      </c>
      <c r="E97" s="611">
        <v>0</v>
      </c>
      <c r="F97" s="611">
        <v>0</v>
      </c>
      <c r="G97" s="611">
        <v>0</v>
      </c>
      <c r="H97" s="611">
        <v>0</v>
      </c>
      <c r="I97" s="611">
        <v>0</v>
      </c>
      <c r="J97" s="611">
        <v>0</v>
      </c>
      <c r="K97" s="611">
        <v>0</v>
      </c>
      <c r="L97" s="611">
        <v>72.746177616513393</v>
      </c>
      <c r="M97" s="611">
        <v>0</v>
      </c>
      <c r="N97" s="611">
        <v>0</v>
      </c>
      <c r="O97" s="611">
        <v>-66.093448965783651</v>
      </c>
      <c r="P97" s="611">
        <v>0</v>
      </c>
      <c r="Q97" s="611">
        <v>0</v>
      </c>
      <c r="R97" s="611">
        <v>0</v>
      </c>
      <c r="S97" s="611">
        <v>0</v>
      </c>
      <c r="T97" s="611">
        <v>0</v>
      </c>
      <c r="U97" s="619">
        <v>6.6527286507297418</v>
      </c>
      <c r="V97" s="51"/>
    </row>
    <row r="98" spans="3:22" x14ac:dyDescent="0.25">
      <c r="C98" s="618" t="s">
        <v>350</v>
      </c>
      <c r="D98" s="611">
        <v>0</v>
      </c>
      <c r="E98" s="611">
        <v>0</v>
      </c>
      <c r="F98" s="611">
        <v>0</v>
      </c>
      <c r="G98" s="611">
        <v>0</v>
      </c>
      <c r="H98" s="611">
        <v>0</v>
      </c>
      <c r="I98" s="611">
        <v>-1.5305667943868051</v>
      </c>
      <c r="J98" s="611">
        <v>0</v>
      </c>
      <c r="K98" s="611">
        <v>0</v>
      </c>
      <c r="L98" s="611">
        <v>0</v>
      </c>
      <c r="M98" s="611">
        <v>0</v>
      </c>
      <c r="N98" s="611">
        <v>0</v>
      </c>
      <c r="O98" s="611">
        <v>0</v>
      </c>
      <c r="P98" s="611">
        <v>0</v>
      </c>
      <c r="Q98" s="611">
        <v>0</v>
      </c>
      <c r="R98" s="611">
        <v>0</v>
      </c>
      <c r="S98" s="611">
        <v>0</v>
      </c>
      <c r="T98" s="611">
        <v>2.1257872144261181</v>
      </c>
      <c r="U98" s="619">
        <v>0.59522042003931297</v>
      </c>
      <c r="V98" s="51"/>
    </row>
    <row r="99" spans="3:22" x14ac:dyDescent="0.25">
      <c r="C99" s="618" t="s">
        <v>72</v>
      </c>
      <c r="D99" s="611">
        <v>0</v>
      </c>
      <c r="E99" s="611">
        <v>370.08210545563031</v>
      </c>
      <c r="F99" s="611">
        <v>-366.39718123017576</v>
      </c>
      <c r="G99" s="611">
        <v>0</v>
      </c>
      <c r="H99" s="611">
        <v>0</v>
      </c>
      <c r="I99" s="611">
        <v>0</v>
      </c>
      <c r="J99" s="611">
        <v>0</v>
      </c>
      <c r="K99" s="611">
        <v>0</v>
      </c>
      <c r="L99" s="611">
        <v>0</v>
      </c>
      <c r="M99" s="611">
        <v>0</v>
      </c>
      <c r="N99" s="611">
        <v>0</v>
      </c>
      <c r="O99" s="611">
        <v>0</v>
      </c>
      <c r="P99" s="611">
        <v>0</v>
      </c>
      <c r="Q99" s="611">
        <v>0</v>
      </c>
      <c r="R99" s="611">
        <v>0</v>
      </c>
      <c r="S99" s="611">
        <v>0</v>
      </c>
      <c r="T99" s="611">
        <v>0</v>
      </c>
      <c r="U99" s="619">
        <v>3.6849242254545516</v>
      </c>
      <c r="V99" s="51"/>
    </row>
    <row r="100" spans="3:22" x14ac:dyDescent="0.25">
      <c r="C100" s="618" t="s">
        <v>351</v>
      </c>
      <c r="D100" s="611">
        <v>0</v>
      </c>
      <c r="E100" s="611">
        <v>0</v>
      </c>
      <c r="F100" s="611">
        <v>0</v>
      </c>
      <c r="G100" s="611">
        <v>0</v>
      </c>
      <c r="H100" s="611">
        <v>0</v>
      </c>
      <c r="I100" s="611">
        <v>0</v>
      </c>
      <c r="J100" s="611">
        <v>0</v>
      </c>
      <c r="K100" s="611">
        <v>0</v>
      </c>
      <c r="L100" s="611">
        <v>134.10005475855147</v>
      </c>
      <c r="M100" s="611">
        <v>0</v>
      </c>
      <c r="N100" s="611">
        <v>-73.755030117203319</v>
      </c>
      <c r="O100" s="611">
        <v>0</v>
      </c>
      <c r="P100" s="611">
        <v>0</v>
      </c>
      <c r="Q100" s="611">
        <v>0</v>
      </c>
      <c r="R100" s="611">
        <v>0</v>
      </c>
      <c r="S100" s="611">
        <v>0</v>
      </c>
      <c r="T100" s="611">
        <v>0</v>
      </c>
      <c r="U100" s="619">
        <v>60.345024641348147</v>
      </c>
      <c r="V100" s="51"/>
    </row>
    <row r="101" spans="3:22" x14ac:dyDescent="0.25">
      <c r="C101" s="618" t="s">
        <v>352</v>
      </c>
      <c r="D101" s="611">
        <v>0</v>
      </c>
      <c r="E101" s="611">
        <v>0</v>
      </c>
      <c r="F101" s="611">
        <v>0</v>
      </c>
      <c r="G101" s="611">
        <v>-5.329861681315144</v>
      </c>
      <c r="H101" s="611">
        <v>0</v>
      </c>
      <c r="I101" s="611">
        <v>0</v>
      </c>
      <c r="J101" s="611">
        <v>0</v>
      </c>
      <c r="K101" s="611">
        <v>0</v>
      </c>
      <c r="L101" s="611">
        <v>0</v>
      </c>
      <c r="M101" s="611">
        <v>0</v>
      </c>
      <c r="N101" s="611">
        <v>0</v>
      </c>
      <c r="O101" s="611">
        <v>0</v>
      </c>
      <c r="P101" s="611">
        <v>0</v>
      </c>
      <c r="Q101" s="611">
        <v>0</v>
      </c>
      <c r="R101" s="611">
        <v>0</v>
      </c>
      <c r="S101" s="611">
        <v>0</v>
      </c>
      <c r="T101" s="611">
        <v>6.9775871245462397</v>
      </c>
      <c r="U101" s="619">
        <v>1.6477254432310957</v>
      </c>
      <c r="V101" s="51"/>
    </row>
    <row r="102" spans="3:22" x14ac:dyDescent="0.25">
      <c r="C102" s="618" t="s">
        <v>73</v>
      </c>
      <c r="D102" s="611">
        <v>0</v>
      </c>
      <c r="E102" s="611">
        <v>0</v>
      </c>
      <c r="F102" s="611">
        <v>0</v>
      </c>
      <c r="G102" s="611">
        <v>0</v>
      </c>
      <c r="H102" s="611">
        <v>0</v>
      </c>
      <c r="I102" s="611">
        <v>0</v>
      </c>
      <c r="J102" s="611">
        <v>0</v>
      </c>
      <c r="K102" s="611">
        <v>0</v>
      </c>
      <c r="L102" s="611">
        <v>0</v>
      </c>
      <c r="M102" s="611">
        <v>0</v>
      </c>
      <c r="N102" s="611">
        <v>0</v>
      </c>
      <c r="O102" s="611">
        <v>0</v>
      </c>
      <c r="P102" s="611">
        <v>0</v>
      </c>
      <c r="Q102" s="611">
        <v>0</v>
      </c>
      <c r="R102" s="611">
        <v>42.069884379238346</v>
      </c>
      <c r="S102" s="611">
        <v>0</v>
      </c>
      <c r="T102" s="611">
        <v>-27.787158632486928</v>
      </c>
      <c r="U102" s="619">
        <v>14.282725746751417</v>
      </c>
      <c r="V102" s="51"/>
    </row>
    <row r="103" spans="3:22" x14ac:dyDescent="0.25">
      <c r="C103" s="618" t="s">
        <v>353</v>
      </c>
      <c r="D103" s="611">
        <v>10.559522109374999</v>
      </c>
      <c r="E103" s="611">
        <v>-12.982390208331097</v>
      </c>
      <c r="F103" s="611">
        <v>16.901350191946939</v>
      </c>
      <c r="G103" s="611">
        <v>0</v>
      </c>
      <c r="H103" s="611">
        <v>0</v>
      </c>
      <c r="I103" s="611">
        <v>0</v>
      </c>
      <c r="J103" s="611">
        <v>0</v>
      </c>
      <c r="K103" s="611">
        <v>0</v>
      </c>
      <c r="L103" s="611">
        <v>0</v>
      </c>
      <c r="M103" s="611">
        <v>0</v>
      </c>
      <c r="N103" s="611">
        <v>0</v>
      </c>
      <c r="O103" s="611">
        <v>0</v>
      </c>
      <c r="P103" s="611">
        <v>0</v>
      </c>
      <c r="Q103" s="611">
        <v>0</v>
      </c>
      <c r="R103" s="611">
        <v>0</v>
      </c>
      <c r="S103" s="611">
        <v>0</v>
      </c>
      <c r="T103" s="611">
        <v>0</v>
      </c>
      <c r="U103" s="619">
        <v>14.478482092990841</v>
      </c>
      <c r="V103" s="51"/>
    </row>
    <row r="104" spans="3:22" x14ac:dyDescent="0.25">
      <c r="C104" s="618" t="s">
        <v>75</v>
      </c>
      <c r="D104" s="611">
        <v>4.1064808203125001</v>
      </c>
      <c r="E104" s="611">
        <v>0</v>
      </c>
      <c r="F104" s="611">
        <v>12.729375657811177</v>
      </c>
      <c r="G104" s="611">
        <v>0</v>
      </c>
      <c r="H104" s="611">
        <v>4.2427950511099199</v>
      </c>
      <c r="I104" s="611">
        <v>0</v>
      </c>
      <c r="J104" s="611">
        <v>0</v>
      </c>
      <c r="K104" s="611">
        <v>0</v>
      </c>
      <c r="L104" s="611">
        <v>0</v>
      </c>
      <c r="M104" s="611">
        <v>0</v>
      </c>
      <c r="N104" s="611">
        <v>0</v>
      </c>
      <c r="O104" s="611">
        <v>1.210669024866841</v>
      </c>
      <c r="P104" s="611">
        <v>0</v>
      </c>
      <c r="Q104" s="611">
        <v>0</v>
      </c>
      <c r="R104" s="611">
        <v>59.039710702043344</v>
      </c>
      <c r="S104" s="611">
        <v>0</v>
      </c>
      <c r="T104" s="611">
        <v>0</v>
      </c>
      <c r="U104" s="619">
        <v>81.329031256143779</v>
      </c>
      <c r="V104" s="51"/>
    </row>
    <row r="105" spans="3:22" x14ac:dyDescent="0.25">
      <c r="C105" s="618" t="s">
        <v>76</v>
      </c>
      <c r="D105" s="611">
        <v>0</v>
      </c>
      <c r="E105" s="611">
        <v>0</v>
      </c>
      <c r="F105" s="611">
        <v>0</v>
      </c>
      <c r="G105" s="611">
        <v>0</v>
      </c>
      <c r="H105" s="611">
        <v>2.5536194920018747</v>
      </c>
      <c r="I105" s="611">
        <v>0</v>
      </c>
      <c r="J105" s="611">
        <v>0</v>
      </c>
      <c r="K105" s="611">
        <v>0</v>
      </c>
      <c r="L105" s="611">
        <v>0</v>
      </c>
      <c r="M105" s="611">
        <v>0</v>
      </c>
      <c r="N105" s="611">
        <v>0</v>
      </c>
      <c r="O105" s="611">
        <v>0.7286677727820261</v>
      </c>
      <c r="P105" s="611">
        <v>0</v>
      </c>
      <c r="Q105" s="611">
        <v>0</v>
      </c>
      <c r="R105" s="611">
        <v>49.895923286473447</v>
      </c>
      <c r="S105" s="611">
        <v>5.3757235045056531</v>
      </c>
      <c r="T105" s="611">
        <v>0</v>
      </c>
      <c r="U105" s="619">
        <v>58.553934055763001</v>
      </c>
      <c r="V105" s="51"/>
    </row>
    <row r="106" spans="3:22" x14ac:dyDescent="0.25">
      <c r="C106" s="614" t="s">
        <v>77</v>
      </c>
      <c r="D106" s="615">
        <v>14.666002929687499</v>
      </c>
      <c r="E106" s="615">
        <v>357.09971524729923</v>
      </c>
      <c r="F106" s="615">
        <v>-335.97366979647984</v>
      </c>
      <c r="G106" s="615">
        <v>-5.329861681315144</v>
      </c>
      <c r="H106" s="615">
        <v>60.149894939858129</v>
      </c>
      <c r="I106" s="615">
        <v>-1.5305667943868051</v>
      </c>
      <c r="J106" s="615">
        <v>1149.5641818181819</v>
      </c>
      <c r="K106" s="615">
        <v>271.86081401905926</v>
      </c>
      <c r="L106" s="615">
        <v>265.24730522325922</v>
      </c>
      <c r="M106" s="615">
        <v>15.072912276098645</v>
      </c>
      <c r="N106" s="615">
        <v>-68.973046890635459</v>
      </c>
      <c r="O106" s="615">
        <v>-49.397392481974656</v>
      </c>
      <c r="P106" s="615">
        <v>0</v>
      </c>
      <c r="Q106" s="615">
        <v>10.865449687143231</v>
      </c>
      <c r="R106" s="615">
        <v>-565.25622434351294</v>
      </c>
      <c r="S106" s="615">
        <v>-63.939724410086903</v>
      </c>
      <c r="T106" s="615">
        <v>-18.68378429351457</v>
      </c>
      <c r="U106" s="615">
        <v>1035.4420054486809</v>
      </c>
      <c r="V106" s="51"/>
    </row>
    <row r="107" spans="3:22" x14ac:dyDescent="0.25">
      <c r="C107" s="616"/>
      <c r="D107" s="617"/>
      <c r="E107" s="617"/>
      <c r="F107" s="617"/>
      <c r="G107" s="617"/>
      <c r="H107" s="623"/>
      <c r="I107" s="617"/>
      <c r="J107" s="617"/>
      <c r="K107" s="617"/>
      <c r="L107" s="617"/>
      <c r="M107" s="617"/>
      <c r="N107" s="617"/>
      <c r="O107" s="617"/>
      <c r="P107" s="617"/>
      <c r="Q107" s="617"/>
      <c r="R107" s="617"/>
      <c r="S107" s="617"/>
      <c r="T107" s="617"/>
      <c r="U107" s="617"/>
      <c r="V107" s="51"/>
    </row>
    <row r="108" spans="3:22" x14ac:dyDescent="0.25">
      <c r="C108" s="618" t="s">
        <v>78</v>
      </c>
      <c r="D108" s="611">
        <v>3.6211505206873706</v>
      </c>
      <c r="E108" s="611">
        <v>0</v>
      </c>
      <c r="F108" s="611">
        <v>10.977786664841062</v>
      </c>
      <c r="G108" s="611">
        <v>0</v>
      </c>
      <c r="H108" s="611">
        <v>68.786287212877468</v>
      </c>
      <c r="I108" s="611">
        <v>0</v>
      </c>
      <c r="J108" s="611">
        <v>0</v>
      </c>
      <c r="K108" s="611">
        <v>0</v>
      </c>
      <c r="L108" s="611">
        <v>21.558703212450474</v>
      </c>
      <c r="M108" s="611">
        <v>7.2264532765434186</v>
      </c>
      <c r="N108" s="611">
        <v>1.1431902408607149</v>
      </c>
      <c r="O108" s="611">
        <v>19.659289951979574</v>
      </c>
      <c r="P108" s="611">
        <v>7.7275585937500004</v>
      </c>
      <c r="Q108" s="611">
        <v>6.3863689419622622E-4</v>
      </c>
      <c r="R108" s="611">
        <v>157.82302310235053</v>
      </c>
      <c r="S108" s="611">
        <v>19.724565273985597</v>
      </c>
      <c r="T108" s="611">
        <v>5.5820537109375001</v>
      </c>
      <c r="U108" s="619">
        <v>323.83070039815789</v>
      </c>
      <c r="V108" s="51"/>
    </row>
    <row r="109" spans="3:22" x14ac:dyDescent="0.25">
      <c r="C109" s="618" t="s">
        <v>79</v>
      </c>
      <c r="D109" s="611">
        <v>0</v>
      </c>
      <c r="E109" s="611">
        <v>0</v>
      </c>
      <c r="F109" s="611">
        <v>242.40875758324066</v>
      </c>
      <c r="G109" s="611">
        <v>0.47070091421213178</v>
      </c>
      <c r="H109" s="611">
        <v>5.6712945537201502</v>
      </c>
      <c r="I109" s="611">
        <v>0</v>
      </c>
      <c r="J109" s="611">
        <v>0</v>
      </c>
      <c r="K109" s="611">
        <v>0</v>
      </c>
      <c r="L109" s="611">
        <v>0</v>
      </c>
      <c r="M109" s="611">
        <v>0</v>
      </c>
      <c r="N109" s="611">
        <v>48.1771719361642</v>
      </c>
      <c r="O109" s="611">
        <v>1.6182871348661612</v>
      </c>
      <c r="P109" s="611">
        <v>0</v>
      </c>
      <c r="Q109" s="611">
        <v>0</v>
      </c>
      <c r="R109" s="611">
        <v>51.204779610530323</v>
      </c>
      <c r="S109" s="611">
        <v>0</v>
      </c>
      <c r="T109" s="611">
        <v>1.9274779617440119</v>
      </c>
      <c r="U109" s="619">
        <v>351.47846969447755</v>
      </c>
      <c r="V109" s="51"/>
    </row>
    <row r="110" spans="3:22" x14ac:dyDescent="0.25">
      <c r="C110" s="618" t="s">
        <v>80</v>
      </c>
      <c r="D110" s="611">
        <v>0</v>
      </c>
      <c r="E110" s="611">
        <v>0</v>
      </c>
      <c r="F110" s="611">
        <v>4.7459283971856747</v>
      </c>
      <c r="G110" s="611">
        <v>0</v>
      </c>
      <c r="H110" s="611">
        <v>46.893886558316041</v>
      </c>
      <c r="I110" s="611">
        <v>0</v>
      </c>
      <c r="J110" s="611">
        <v>0</v>
      </c>
      <c r="K110" s="611">
        <v>0</v>
      </c>
      <c r="L110" s="611">
        <v>53.872586019631953</v>
      </c>
      <c r="M110" s="611">
        <v>0</v>
      </c>
      <c r="N110" s="611">
        <v>0</v>
      </c>
      <c r="O110" s="611">
        <v>13.381031897103036</v>
      </c>
      <c r="P110" s="611">
        <v>80.312688161253334</v>
      </c>
      <c r="Q110" s="611">
        <v>2.1381357466702497</v>
      </c>
      <c r="R110" s="611">
        <v>164.73755500792967</v>
      </c>
      <c r="S110" s="611">
        <v>25.752701366315002</v>
      </c>
      <c r="T110" s="611">
        <v>0</v>
      </c>
      <c r="U110" s="619">
        <v>391.83451315440499</v>
      </c>
      <c r="V110" s="51"/>
    </row>
    <row r="111" spans="3:22" x14ac:dyDescent="0.25">
      <c r="C111" s="618" t="s">
        <v>81</v>
      </c>
      <c r="D111" s="611">
        <v>0</v>
      </c>
      <c r="E111" s="611">
        <v>0</v>
      </c>
      <c r="F111" s="611">
        <v>2.8086748566203306</v>
      </c>
      <c r="G111" s="611">
        <v>0</v>
      </c>
      <c r="H111" s="611">
        <v>32.689315451169001</v>
      </c>
      <c r="I111" s="611">
        <v>0</v>
      </c>
      <c r="J111" s="611">
        <v>0</v>
      </c>
      <c r="K111" s="611">
        <v>0</v>
      </c>
      <c r="L111" s="611">
        <v>0.62063021721986544</v>
      </c>
      <c r="M111" s="611">
        <v>0</v>
      </c>
      <c r="N111" s="611">
        <v>0</v>
      </c>
      <c r="O111" s="611">
        <v>9.3277995246266308</v>
      </c>
      <c r="P111" s="611">
        <v>35.570887608973749</v>
      </c>
      <c r="Q111" s="611">
        <v>2.708787957071054</v>
      </c>
      <c r="R111" s="611">
        <v>119.47734544980881</v>
      </c>
      <c r="S111" s="611">
        <v>18.462457769786305</v>
      </c>
      <c r="T111" s="611">
        <v>0</v>
      </c>
      <c r="U111" s="619">
        <v>221.66589883527573</v>
      </c>
      <c r="V111" s="51"/>
    </row>
    <row r="112" spans="3:22" x14ac:dyDescent="0.25">
      <c r="C112" s="618" t="s">
        <v>82</v>
      </c>
      <c r="D112" s="611">
        <v>0</v>
      </c>
      <c r="E112" s="611">
        <v>0</v>
      </c>
      <c r="F112" s="611">
        <v>25.559609559205267</v>
      </c>
      <c r="G112" s="611">
        <v>0</v>
      </c>
      <c r="H112" s="611">
        <v>1.621332154914384</v>
      </c>
      <c r="I112" s="611">
        <v>0</v>
      </c>
      <c r="J112" s="611">
        <v>0</v>
      </c>
      <c r="K112" s="611">
        <v>0</v>
      </c>
      <c r="L112" s="611">
        <v>2.5283272915061801</v>
      </c>
      <c r="M112" s="611">
        <v>0</v>
      </c>
      <c r="N112" s="611">
        <v>7.0504971038057827</v>
      </c>
      <c r="O112" s="611">
        <v>0.46264233726348752</v>
      </c>
      <c r="P112" s="611">
        <v>0.65</v>
      </c>
      <c r="Q112" s="611">
        <v>0.82781531321025892</v>
      </c>
      <c r="R112" s="611">
        <v>6.8619490274216233</v>
      </c>
      <c r="S112" s="611">
        <v>0</v>
      </c>
      <c r="T112" s="611">
        <v>0.27650857826431391</v>
      </c>
      <c r="U112" s="619">
        <v>45.838681365591299</v>
      </c>
      <c r="V112" s="51"/>
    </row>
    <row r="113" spans="3:22" x14ac:dyDescent="0.25">
      <c r="C113" s="618" t="s">
        <v>354</v>
      </c>
      <c r="D113" s="611">
        <v>0</v>
      </c>
      <c r="E113" s="611">
        <v>0</v>
      </c>
      <c r="F113" s="611">
        <v>0</v>
      </c>
      <c r="G113" s="611">
        <v>0</v>
      </c>
      <c r="H113" s="611">
        <v>0</v>
      </c>
      <c r="I113" s="611">
        <v>0</v>
      </c>
      <c r="J113" s="611">
        <v>0</v>
      </c>
      <c r="K113" s="611">
        <v>0</v>
      </c>
      <c r="L113" s="611">
        <v>0</v>
      </c>
      <c r="M113" s="611">
        <v>0</v>
      </c>
      <c r="N113" s="611">
        <v>0</v>
      </c>
      <c r="O113" s="611">
        <v>0</v>
      </c>
      <c r="P113" s="611">
        <v>0</v>
      </c>
      <c r="Q113" s="611">
        <v>0</v>
      </c>
      <c r="R113" s="611">
        <v>0.45696000000000003</v>
      </c>
      <c r="S113" s="611">
        <v>0</v>
      </c>
      <c r="T113" s="611">
        <v>0</v>
      </c>
      <c r="U113" s="619">
        <v>0.45696000000000003</v>
      </c>
      <c r="V113" s="51"/>
    </row>
    <row r="114" spans="3:22" x14ac:dyDescent="0.25">
      <c r="C114" s="614" t="s">
        <v>83</v>
      </c>
      <c r="D114" s="615">
        <v>3.6211505206873706</v>
      </c>
      <c r="E114" s="615">
        <v>0</v>
      </c>
      <c r="F114" s="615">
        <v>286.500757061093</v>
      </c>
      <c r="G114" s="615">
        <v>0.47070091421213178</v>
      </c>
      <c r="H114" s="615">
        <v>155.66211593099703</v>
      </c>
      <c r="I114" s="615">
        <v>0</v>
      </c>
      <c r="J114" s="615">
        <v>0</v>
      </c>
      <c r="K114" s="615">
        <v>0</v>
      </c>
      <c r="L114" s="615">
        <v>78.580246740808491</v>
      </c>
      <c r="M114" s="615">
        <v>7.2264532765434186</v>
      </c>
      <c r="N114" s="615">
        <v>56.370859280830693</v>
      </c>
      <c r="O114" s="615">
        <v>44.449050845838883</v>
      </c>
      <c r="P114" s="615">
        <v>124.26113436397709</v>
      </c>
      <c r="Q114" s="615">
        <v>5.675377653845759</v>
      </c>
      <c r="R114" s="615">
        <v>500.56161219804096</v>
      </c>
      <c r="S114" s="615">
        <v>63.939724410086903</v>
      </c>
      <c r="T114" s="615">
        <v>7.7860402509458257</v>
      </c>
      <c r="U114" s="615">
        <v>1335.1052234479075</v>
      </c>
      <c r="V114" s="51"/>
    </row>
    <row r="115" spans="3:22" x14ac:dyDescent="0.25">
      <c r="C115" s="610" t="s">
        <v>84</v>
      </c>
      <c r="D115" s="611">
        <v>0</v>
      </c>
      <c r="E115" s="611">
        <v>0</v>
      </c>
      <c r="F115" s="611">
        <v>113.49672881606593</v>
      </c>
      <c r="G115" s="611">
        <v>1.6270462103343666</v>
      </c>
      <c r="H115" s="611">
        <v>12.092475590286487</v>
      </c>
      <c r="I115" s="611">
        <v>0</v>
      </c>
      <c r="J115" s="611">
        <v>0</v>
      </c>
      <c r="K115" s="611">
        <v>0</v>
      </c>
      <c r="L115" s="611">
        <v>0.18072645297419759</v>
      </c>
      <c r="M115" s="611">
        <v>0</v>
      </c>
      <c r="N115" s="611">
        <v>9.3970858513789164</v>
      </c>
      <c r="O115" s="611">
        <v>3.666174227539674</v>
      </c>
      <c r="P115" s="611">
        <v>0</v>
      </c>
      <c r="Q115" s="611">
        <v>0</v>
      </c>
      <c r="R115" s="611">
        <v>0</v>
      </c>
      <c r="S115" s="611">
        <v>0</v>
      </c>
      <c r="T115" s="611">
        <v>10.115588085643834</v>
      </c>
      <c r="U115" s="619">
        <v>150.57582523422337</v>
      </c>
      <c r="V115" s="51"/>
    </row>
    <row r="116" spans="3:22" x14ac:dyDescent="0.25">
      <c r="C116" s="614" t="s">
        <v>85</v>
      </c>
      <c r="D116" s="615">
        <v>3.6211505206873706</v>
      </c>
      <c r="E116" s="615">
        <v>0</v>
      </c>
      <c r="F116" s="615">
        <v>399.99748587715891</v>
      </c>
      <c r="G116" s="615">
        <v>2.0977471245464985</v>
      </c>
      <c r="H116" s="615">
        <v>167.75459152128352</v>
      </c>
      <c r="I116" s="615">
        <v>0</v>
      </c>
      <c r="J116" s="615">
        <v>0</v>
      </c>
      <c r="K116" s="615">
        <v>0</v>
      </c>
      <c r="L116" s="615">
        <v>78.760973193782689</v>
      </c>
      <c r="M116" s="615">
        <v>7.2264532765434186</v>
      </c>
      <c r="N116" s="615">
        <v>65.767945132209604</v>
      </c>
      <c r="O116" s="615">
        <v>48.115225073378554</v>
      </c>
      <c r="P116" s="615">
        <v>124.26113436397709</v>
      </c>
      <c r="Q116" s="615">
        <v>5.675377653845759</v>
      </c>
      <c r="R116" s="615">
        <v>500.56161219804096</v>
      </c>
      <c r="S116" s="615">
        <v>63.939724410086903</v>
      </c>
      <c r="T116" s="615">
        <v>17.90162833658966</v>
      </c>
      <c r="U116" s="615">
        <v>1485.6810486821309</v>
      </c>
      <c r="V116" s="51"/>
    </row>
    <row r="117" spans="3:22" x14ac:dyDescent="0.25">
      <c r="C117" s="51"/>
      <c r="D117" s="67">
        <v>0</v>
      </c>
      <c r="E117" s="67">
        <v>0</v>
      </c>
      <c r="F117" s="67">
        <v>0</v>
      </c>
      <c r="G117" s="67">
        <v>0</v>
      </c>
      <c r="H117" s="67">
        <v>0</v>
      </c>
      <c r="I117" s="67">
        <v>0</v>
      </c>
      <c r="J117" s="67">
        <v>0</v>
      </c>
      <c r="K117" s="67">
        <v>0</v>
      </c>
      <c r="L117" s="67">
        <v>0</v>
      </c>
      <c r="M117" s="67">
        <v>-4.9454600867093745E-4</v>
      </c>
      <c r="N117" s="67">
        <v>0</v>
      </c>
      <c r="O117" s="67">
        <v>-9.1038288019262836E-15</v>
      </c>
      <c r="P117" s="67">
        <v>0</v>
      </c>
      <c r="Q117" s="67">
        <v>0</v>
      </c>
      <c r="R117" s="67">
        <v>0</v>
      </c>
      <c r="S117" s="67">
        <v>0</v>
      </c>
      <c r="T117" s="67">
        <v>0</v>
      </c>
      <c r="U117" s="67">
        <v>-4.9454600866738474E-4</v>
      </c>
      <c r="V117" s="51"/>
    </row>
    <row r="118" spans="3:22" x14ac:dyDescent="0.25">
      <c r="C118" s="51"/>
      <c r="D118" s="51"/>
      <c r="E118" s="51"/>
      <c r="F118" s="51"/>
      <c r="G118" s="67"/>
      <c r="H118" s="51"/>
      <c r="I118" s="51"/>
      <c r="J118" s="51"/>
      <c r="K118" s="51"/>
      <c r="L118" s="51"/>
      <c r="M118" s="51"/>
      <c r="N118" s="51"/>
      <c r="O118" s="51"/>
      <c r="P118" s="51"/>
      <c r="Q118" s="51"/>
      <c r="R118" s="51"/>
      <c r="S118" s="51"/>
      <c r="T118" s="51"/>
      <c r="U118" s="51"/>
      <c r="V118" s="51"/>
    </row>
    <row r="119" spans="3:22" x14ac:dyDescent="0.25">
      <c r="C119" s="607" t="s">
        <v>358</v>
      </c>
      <c r="D119" s="606"/>
      <c r="E119" s="606"/>
      <c r="F119" s="606"/>
      <c r="G119" s="682"/>
      <c r="H119" s="606"/>
      <c r="I119" s="606"/>
      <c r="J119" s="606"/>
      <c r="K119" s="606"/>
      <c r="L119" s="606"/>
      <c r="M119" s="606"/>
      <c r="N119" s="606"/>
      <c r="O119" s="606"/>
      <c r="P119" s="606"/>
      <c r="Q119" s="606"/>
      <c r="R119" s="606"/>
      <c r="S119" s="606"/>
      <c r="T119" s="606"/>
      <c r="U119" s="606"/>
      <c r="V119" s="606"/>
    </row>
    <row r="120" spans="3:22" x14ac:dyDescent="0.25">
      <c r="C120" s="51"/>
      <c r="D120" s="51"/>
      <c r="E120" s="51"/>
      <c r="F120" s="51"/>
      <c r="G120" s="67"/>
      <c r="H120" s="51"/>
      <c r="I120" s="51"/>
      <c r="J120" s="51"/>
      <c r="K120" s="51"/>
      <c r="L120" s="51"/>
      <c r="M120" s="51"/>
      <c r="N120" s="51"/>
      <c r="O120" s="51"/>
      <c r="P120" s="51"/>
      <c r="Q120" s="51"/>
      <c r="R120" s="51"/>
      <c r="S120" s="51"/>
      <c r="T120" s="51"/>
      <c r="U120" s="51"/>
      <c r="V120" s="51"/>
    </row>
    <row r="121" spans="3:22" x14ac:dyDescent="0.25">
      <c r="C121" s="764" t="s">
        <v>128</v>
      </c>
      <c r="D121" s="753" t="s">
        <v>42</v>
      </c>
      <c r="E121" s="753" t="s">
        <v>52</v>
      </c>
      <c r="F121" s="753" t="s">
        <v>53</v>
      </c>
      <c r="G121" s="766" t="s">
        <v>482</v>
      </c>
      <c r="H121" s="753" t="s">
        <v>32</v>
      </c>
      <c r="I121" s="753" t="s">
        <v>483</v>
      </c>
      <c r="J121" s="753" t="s">
        <v>20</v>
      </c>
      <c r="K121" s="753" t="s">
        <v>55</v>
      </c>
      <c r="L121" s="761" t="s">
        <v>56</v>
      </c>
      <c r="M121" s="762"/>
      <c r="N121" s="762"/>
      <c r="O121" s="762"/>
      <c r="P121" s="762"/>
      <c r="Q121" s="763"/>
      <c r="R121" s="753" t="s">
        <v>57</v>
      </c>
      <c r="S121" s="753" t="s">
        <v>58</v>
      </c>
      <c r="T121" s="753" t="s">
        <v>31</v>
      </c>
      <c r="U121" s="753" t="s">
        <v>10</v>
      </c>
      <c r="V121" s="51"/>
    </row>
    <row r="122" spans="3:22" ht="36" x14ac:dyDescent="0.25">
      <c r="C122" s="765"/>
      <c r="D122" s="754"/>
      <c r="E122" s="754"/>
      <c r="F122" s="754"/>
      <c r="G122" s="767"/>
      <c r="H122" s="754"/>
      <c r="I122" s="754"/>
      <c r="J122" s="754"/>
      <c r="K122" s="754"/>
      <c r="L122" s="608" t="s">
        <v>335</v>
      </c>
      <c r="M122" s="608" t="s">
        <v>40</v>
      </c>
      <c r="N122" s="608" t="s">
        <v>343</v>
      </c>
      <c r="O122" s="608" t="s">
        <v>344</v>
      </c>
      <c r="P122" s="609" t="s">
        <v>345</v>
      </c>
      <c r="Q122" s="608" t="s">
        <v>346</v>
      </c>
      <c r="R122" s="754"/>
      <c r="S122" s="754"/>
      <c r="T122" s="754"/>
      <c r="U122" s="754"/>
      <c r="V122" s="51"/>
    </row>
    <row r="123" spans="3:22" x14ac:dyDescent="0.25">
      <c r="C123" s="610" t="s">
        <v>59</v>
      </c>
      <c r="D123" s="611">
        <v>0</v>
      </c>
      <c r="E123" s="611">
        <v>5.8150000000000004</v>
      </c>
      <c r="F123" s="611">
        <v>0</v>
      </c>
      <c r="G123" s="611">
        <v>0</v>
      </c>
      <c r="H123" s="611">
        <v>9.3040000000000012E-2</v>
      </c>
      <c r="I123" s="611">
        <v>0</v>
      </c>
      <c r="J123" s="612">
        <v>1142.8003999999999</v>
      </c>
      <c r="K123" s="612">
        <v>315.61624303705946</v>
      </c>
      <c r="L123" s="612">
        <v>374.39851983069684</v>
      </c>
      <c r="M123" s="612">
        <v>21.729144477324894</v>
      </c>
      <c r="N123" s="611">
        <v>1.5151391983163085</v>
      </c>
      <c r="O123" s="611">
        <v>0.16086233431790645</v>
      </c>
      <c r="P123" s="612">
        <v>135.24093356373385</v>
      </c>
      <c r="Q123" s="612">
        <v>19.433298638078622</v>
      </c>
      <c r="R123" s="611">
        <v>0</v>
      </c>
      <c r="S123" s="611">
        <v>0</v>
      </c>
      <c r="T123" s="611">
        <v>0</v>
      </c>
      <c r="U123" s="613">
        <v>2016.802581079528</v>
      </c>
      <c r="V123" s="51"/>
    </row>
    <row r="124" spans="3:22" x14ac:dyDescent="0.25">
      <c r="C124" s="610" t="s">
        <v>60</v>
      </c>
      <c r="D124" s="611">
        <v>14.997589528810048</v>
      </c>
      <c r="E124" s="611">
        <v>317.6831579468477</v>
      </c>
      <c r="F124" s="611">
        <v>90.859411867227635</v>
      </c>
      <c r="G124" s="611">
        <v>0.4482168453037243</v>
      </c>
      <c r="H124" s="611">
        <v>195.90969664168796</v>
      </c>
      <c r="I124" s="611">
        <v>0</v>
      </c>
      <c r="J124" s="611">
        <v>0</v>
      </c>
      <c r="K124" s="611">
        <v>0</v>
      </c>
      <c r="L124" s="611">
        <v>3.3497189577114872</v>
      </c>
      <c r="M124" s="611">
        <v>0</v>
      </c>
      <c r="N124" s="611">
        <v>4.4724851738797717</v>
      </c>
      <c r="O124" s="611">
        <v>0</v>
      </c>
      <c r="P124" s="611">
        <v>0</v>
      </c>
      <c r="Q124" s="611">
        <v>0</v>
      </c>
      <c r="R124" s="611">
        <v>0</v>
      </c>
      <c r="S124" s="611">
        <v>0</v>
      </c>
      <c r="T124" s="611">
        <v>0</v>
      </c>
      <c r="U124" s="613">
        <v>627.72027696146836</v>
      </c>
      <c r="V124" s="51"/>
    </row>
    <row r="125" spans="3:22" x14ac:dyDescent="0.25">
      <c r="C125" s="610" t="s">
        <v>61</v>
      </c>
      <c r="D125" s="611">
        <v>0</v>
      </c>
      <c r="E125" s="611">
        <v>0</v>
      </c>
      <c r="F125" s="611">
        <v>3.6514365086121643</v>
      </c>
      <c r="G125" s="611">
        <v>0</v>
      </c>
      <c r="H125" s="611">
        <v>0</v>
      </c>
      <c r="I125" s="611">
        <v>0</v>
      </c>
      <c r="J125" s="611">
        <v>0</v>
      </c>
      <c r="K125" s="611">
        <v>0</v>
      </c>
      <c r="L125" s="611">
        <v>0</v>
      </c>
      <c r="M125" s="611">
        <v>0</v>
      </c>
      <c r="N125" s="611">
        <v>0</v>
      </c>
      <c r="O125" s="611">
        <v>0</v>
      </c>
      <c r="P125" s="611">
        <v>0</v>
      </c>
      <c r="Q125" s="611">
        <v>0</v>
      </c>
      <c r="R125" s="611">
        <v>-70.564869909311255</v>
      </c>
      <c r="S125" s="611">
        <v>0</v>
      </c>
      <c r="T125" s="611">
        <v>0</v>
      </c>
      <c r="U125" s="613">
        <v>-66.913433400699091</v>
      </c>
      <c r="V125" s="51"/>
    </row>
    <row r="126" spans="3:22" x14ac:dyDescent="0.25">
      <c r="C126" s="610" t="s">
        <v>62</v>
      </c>
      <c r="D126" s="611">
        <v>0</v>
      </c>
      <c r="E126" s="611">
        <v>0</v>
      </c>
      <c r="F126" s="611">
        <v>-9.1493668545845033</v>
      </c>
      <c r="G126" s="611">
        <v>-2.0808213366588695</v>
      </c>
      <c r="H126" s="611">
        <v>-1.1134427375085565</v>
      </c>
      <c r="I126" s="611">
        <v>-2.1621292756423931</v>
      </c>
      <c r="J126" s="611">
        <v>0</v>
      </c>
      <c r="K126" s="611">
        <v>0</v>
      </c>
      <c r="L126" s="611">
        <v>0</v>
      </c>
      <c r="M126" s="611">
        <v>0</v>
      </c>
      <c r="N126" s="611">
        <v>-1.0958595241258173</v>
      </c>
      <c r="O126" s="611">
        <v>-1.719780201472068</v>
      </c>
      <c r="P126" s="611">
        <v>0</v>
      </c>
      <c r="Q126" s="611">
        <v>0</v>
      </c>
      <c r="R126" s="611">
        <v>0</v>
      </c>
      <c r="S126" s="611">
        <v>0</v>
      </c>
      <c r="T126" s="611">
        <v>-0.65033681124791309</v>
      </c>
      <c r="U126" s="613">
        <v>-17.971736741240122</v>
      </c>
      <c r="V126" s="51"/>
    </row>
    <row r="127" spans="3:22" x14ac:dyDescent="0.25">
      <c r="C127" s="610" t="s">
        <v>63</v>
      </c>
      <c r="D127" s="611">
        <v>0</v>
      </c>
      <c r="E127" s="611">
        <v>0</v>
      </c>
      <c r="F127" s="611">
        <v>-54.941446945210977</v>
      </c>
      <c r="G127" s="611">
        <v>-3.5033200830683109</v>
      </c>
      <c r="H127" s="611">
        <v>0</v>
      </c>
      <c r="I127" s="611">
        <v>0</v>
      </c>
      <c r="J127" s="611">
        <v>0</v>
      </c>
      <c r="K127" s="611">
        <v>0</v>
      </c>
      <c r="L127" s="611">
        <v>0</v>
      </c>
      <c r="M127" s="611">
        <v>0</v>
      </c>
      <c r="N127" s="611">
        <v>-10.509960249204934</v>
      </c>
      <c r="O127" s="611">
        <v>0</v>
      </c>
      <c r="P127" s="611">
        <v>0</v>
      </c>
      <c r="Q127" s="611">
        <v>0</v>
      </c>
      <c r="R127" s="611">
        <v>0</v>
      </c>
      <c r="S127" s="611">
        <v>0</v>
      </c>
      <c r="T127" s="611">
        <v>-0.56546152229300228</v>
      </c>
      <c r="U127" s="613">
        <v>-69.52018879977723</v>
      </c>
      <c r="V127" s="51"/>
    </row>
    <row r="128" spans="3:22" x14ac:dyDescent="0.25">
      <c r="C128" s="610" t="s">
        <v>64</v>
      </c>
      <c r="D128" s="611">
        <v>0</v>
      </c>
      <c r="E128" s="611">
        <v>0</v>
      </c>
      <c r="F128" s="611">
        <v>0</v>
      </c>
      <c r="G128" s="611">
        <v>0</v>
      </c>
      <c r="H128" s="611">
        <v>0</v>
      </c>
      <c r="I128" s="611">
        <v>0</v>
      </c>
      <c r="J128" s="611">
        <v>0</v>
      </c>
      <c r="K128" s="611">
        <v>0</v>
      </c>
      <c r="L128" s="611">
        <v>0</v>
      </c>
      <c r="M128" s="611">
        <v>0</v>
      </c>
      <c r="N128" s="611">
        <v>0</v>
      </c>
      <c r="O128" s="611">
        <v>0</v>
      </c>
      <c r="P128" s="611">
        <v>0</v>
      </c>
      <c r="Q128" s="611">
        <v>0</v>
      </c>
      <c r="R128" s="611">
        <v>0</v>
      </c>
      <c r="S128" s="611">
        <v>0</v>
      </c>
      <c r="T128" s="611">
        <v>0</v>
      </c>
      <c r="U128" s="613">
        <v>0</v>
      </c>
      <c r="V128" s="51"/>
    </row>
    <row r="129" spans="3:22" x14ac:dyDescent="0.25">
      <c r="C129" s="614" t="s">
        <v>65</v>
      </c>
      <c r="D129" s="615">
        <v>14.997589528810048</v>
      </c>
      <c r="E129" s="615">
        <v>323.4981579468477</v>
      </c>
      <c r="F129" s="615">
        <v>30.420034576044323</v>
      </c>
      <c r="G129" s="615">
        <v>-5.1359245744234556</v>
      </c>
      <c r="H129" s="615">
        <v>194.8892939041794</v>
      </c>
      <c r="I129" s="615">
        <v>-2.1621292756423931</v>
      </c>
      <c r="J129" s="615">
        <v>1142.8003999999999</v>
      </c>
      <c r="K129" s="615">
        <v>315.61624303705946</v>
      </c>
      <c r="L129" s="615">
        <v>377.74823878840834</v>
      </c>
      <c r="M129" s="615">
        <v>21.729144477324894</v>
      </c>
      <c r="N129" s="615">
        <v>-5.6181954011346704</v>
      </c>
      <c r="O129" s="615">
        <v>-1.5589178671541615</v>
      </c>
      <c r="P129" s="615">
        <v>135.24093356373385</v>
      </c>
      <c r="Q129" s="615">
        <v>19.433298638078622</v>
      </c>
      <c r="R129" s="615">
        <v>-70.564869909311255</v>
      </c>
      <c r="S129" s="615">
        <v>0</v>
      </c>
      <c r="T129" s="615">
        <v>-1.2157983335409153</v>
      </c>
      <c r="U129" s="615">
        <v>2490.1174990992799</v>
      </c>
      <c r="V129" s="51"/>
    </row>
    <row r="130" spans="3:22" x14ac:dyDescent="0.25">
      <c r="C130" s="616"/>
      <c r="D130" s="617"/>
      <c r="E130" s="617"/>
      <c r="F130" s="617"/>
      <c r="G130" s="617"/>
      <c r="H130" s="623"/>
      <c r="I130" s="617"/>
      <c r="J130" s="617"/>
      <c r="K130" s="617"/>
      <c r="L130" s="617"/>
      <c r="M130" s="617"/>
      <c r="N130" s="617"/>
      <c r="O130" s="617"/>
      <c r="P130" s="617"/>
      <c r="Q130" s="617"/>
      <c r="R130" s="617"/>
      <c r="S130" s="617"/>
      <c r="T130" s="617"/>
      <c r="U130" s="617"/>
      <c r="V130" s="51"/>
    </row>
    <row r="131" spans="3:22" x14ac:dyDescent="0.25">
      <c r="C131" s="618" t="s">
        <v>67</v>
      </c>
      <c r="D131" s="611">
        <v>0</v>
      </c>
      <c r="E131" s="611">
        <v>0</v>
      </c>
      <c r="F131" s="611">
        <v>0</v>
      </c>
      <c r="G131" s="611">
        <v>0</v>
      </c>
      <c r="H131" s="611">
        <v>0</v>
      </c>
      <c r="I131" s="611">
        <v>0</v>
      </c>
      <c r="J131" s="611">
        <v>0</v>
      </c>
      <c r="K131" s="611">
        <v>0</v>
      </c>
      <c r="L131" s="611">
        <v>0</v>
      </c>
      <c r="M131" s="611">
        <v>0</v>
      </c>
      <c r="N131" s="611">
        <v>0</v>
      </c>
      <c r="O131" s="611">
        <v>0</v>
      </c>
      <c r="P131" s="611">
        <v>0</v>
      </c>
      <c r="Q131" s="611">
        <v>0</v>
      </c>
      <c r="R131" s="611">
        <v>0</v>
      </c>
      <c r="S131" s="611">
        <v>0</v>
      </c>
      <c r="T131" s="611">
        <v>0</v>
      </c>
      <c r="U131" s="619">
        <v>0</v>
      </c>
      <c r="V131" s="51"/>
    </row>
    <row r="132" spans="3:22" x14ac:dyDescent="0.25">
      <c r="C132" s="618" t="s">
        <v>347</v>
      </c>
      <c r="D132" s="611">
        <v>0</v>
      </c>
      <c r="E132" s="611">
        <v>0</v>
      </c>
      <c r="F132" s="611">
        <v>0.802217285608815</v>
      </c>
      <c r="G132" s="611">
        <v>0</v>
      </c>
      <c r="H132" s="611">
        <v>34.006086400000001</v>
      </c>
      <c r="I132" s="611">
        <v>0</v>
      </c>
      <c r="J132" s="611">
        <v>1142.8003999999999</v>
      </c>
      <c r="K132" s="611">
        <v>315.61624303705946</v>
      </c>
      <c r="L132" s="611">
        <v>23.835409314292445</v>
      </c>
      <c r="M132" s="611">
        <v>0.59779215197206559</v>
      </c>
      <c r="N132" s="611">
        <v>5.0291337303525587</v>
      </c>
      <c r="O132" s="611">
        <v>11.448434017818721</v>
      </c>
      <c r="P132" s="611">
        <v>0</v>
      </c>
      <c r="Q132" s="611">
        <v>2.7943993103273139</v>
      </c>
      <c r="R132" s="611">
        <v>-757.64688965301764</v>
      </c>
      <c r="S132" s="611">
        <v>0</v>
      </c>
      <c r="T132" s="611">
        <v>0</v>
      </c>
      <c r="U132" s="619">
        <v>779.28322559441347</v>
      </c>
      <c r="V132" s="51"/>
    </row>
    <row r="133" spans="3:22" x14ac:dyDescent="0.25">
      <c r="C133" s="618" t="s">
        <v>348</v>
      </c>
      <c r="D133" s="611">
        <v>0</v>
      </c>
      <c r="E133" s="611">
        <v>0</v>
      </c>
      <c r="F133" s="611">
        <v>0</v>
      </c>
      <c r="G133" s="611">
        <v>0</v>
      </c>
      <c r="H133" s="611">
        <v>12.051558414362514</v>
      </c>
      <c r="I133" s="611">
        <v>0</v>
      </c>
      <c r="J133" s="611">
        <v>0</v>
      </c>
      <c r="K133" s="611">
        <v>0</v>
      </c>
      <c r="L133" s="611">
        <v>34.958460935332894</v>
      </c>
      <c r="M133" s="611">
        <v>14.0272998093773</v>
      </c>
      <c r="N133" s="611">
        <v>0</v>
      </c>
      <c r="O133" s="611">
        <v>4.0310107980471637</v>
      </c>
      <c r="P133" s="611">
        <v>0</v>
      </c>
      <c r="Q133" s="611">
        <v>10.486182465403838</v>
      </c>
      <c r="R133" s="611">
        <v>0</v>
      </c>
      <c r="S133" s="611">
        <v>-69.379169378424834</v>
      </c>
      <c r="T133" s="611">
        <v>0</v>
      </c>
      <c r="U133" s="619">
        <v>6.1753430440988808</v>
      </c>
      <c r="V133" s="51"/>
    </row>
    <row r="134" spans="3:22" x14ac:dyDescent="0.25">
      <c r="C134" s="618" t="s">
        <v>349</v>
      </c>
      <c r="D134" s="611">
        <v>0</v>
      </c>
      <c r="E134" s="611">
        <v>0</v>
      </c>
      <c r="F134" s="611">
        <v>0</v>
      </c>
      <c r="G134" s="611">
        <v>0</v>
      </c>
      <c r="H134" s="611">
        <v>0</v>
      </c>
      <c r="I134" s="611">
        <v>0</v>
      </c>
      <c r="J134" s="611">
        <v>0</v>
      </c>
      <c r="K134" s="611">
        <v>0</v>
      </c>
      <c r="L134" s="611">
        <v>79.871600609491523</v>
      </c>
      <c r="M134" s="611">
        <v>0</v>
      </c>
      <c r="N134" s="611">
        <v>0</v>
      </c>
      <c r="O134" s="611">
        <v>-72.76063888039937</v>
      </c>
      <c r="P134" s="611">
        <v>0</v>
      </c>
      <c r="Q134" s="611">
        <v>0</v>
      </c>
      <c r="R134" s="611">
        <v>0</v>
      </c>
      <c r="S134" s="611">
        <v>0</v>
      </c>
      <c r="T134" s="611">
        <v>0</v>
      </c>
      <c r="U134" s="619">
        <v>7.1109617290921534</v>
      </c>
      <c r="V134" s="51"/>
    </row>
    <row r="135" spans="3:22" x14ac:dyDescent="0.25">
      <c r="C135" s="618" t="s">
        <v>350</v>
      </c>
      <c r="D135" s="611">
        <v>0</v>
      </c>
      <c r="E135" s="611">
        <v>0</v>
      </c>
      <c r="F135" s="611">
        <v>0</v>
      </c>
      <c r="G135" s="611">
        <v>0</v>
      </c>
      <c r="H135" s="611">
        <v>0</v>
      </c>
      <c r="I135" s="611">
        <v>-2.1621292756423931</v>
      </c>
      <c r="J135" s="611">
        <v>0</v>
      </c>
      <c r="K135" s="611">
        <v>0</v>
      </c>
      <c r="L135" s="611">
        <v>0</v>
      </c>
      <c r="M135" s="611">
        <v>0</v>
      </c>
      <c r="N135" s="611">
        <v>0</v>
      </c>
      <c r="O135" s="611">
        <v>0</v>
      </c>
      <c r="P135" s="611">
        <v>0</v>
      </c>
      <c r="Q135" s="611">
        <v>0</v>
      </c>
      <c r="R135" s="611">
        <v>0</v>
      </c>
      <c r="S135" s="611">
        <v>0</v>
      </c>
      <c r="T135" s="611">
        <v>3.0029573272811017</v>
      </c>
      <c r="U135" s="619">
        <v>0.84082805163870855</v>
      </c>
      <c r="V135" s="51"/>
    </row>
    <row r="136" spans="3:22" x14ac:dyDescent="0.25">
      <c r="C136" s="618" t="s">
        <v>72</v>
      </c>
      <c r="D136" s="611">
        <v>0</v>
      </c>
      <c r="E136" s="611">
        <v>335.24810979182712</v>
      </c>
      <c r="F136" s="611">
        <v>-331.90898271273255</v>
      </c>
      <c r="G136" s="611">
        <v>0</v>
      </c>
      <c r="H136" s="611">
        <v>0</v>
      </c>
      <c r="I136" s="611">
        <v>0</v>
      </c>
      <c r="J136" s="611">
        <v>0</v>
      </c>
      <c r="K136" s="611">
        <v>0</v>
      </c>
      <c r="L136" s="611">
        <v>0</v>
      </c>
      <c r="M136" s="611">
        <v>0</v>
      </c>
      <c r="N136" s="611">
        <v>0</v>
      </c>
      <c r="O136" s="611">
        <v>0</v>
      </c>
      <c r="P136" s="611">
        <v>0</v>
      </c>
      <c r="Q136" s="611">
        <v>0</v>
      </c>
      <c r="R136" s="611">
        <v>0</v>
      </c>
      <c r="S136" s="611">
        <v>0</v>
      </c>
      <c r="T136" s="611">
        <v>0</v>
      </c>
      <c r="U136" s="619">
        <v>3.3391270790945669</v>
      </c>
      <c r="V136" s="51"/>
    </row>
    <row r="137" spans="3:22" x14ac:dyDescent="0.25">
      <c r="C137" s="618" t="s">
        <v>351</v>
      </c>
      <c r="D137" s="611">
        <v>0</v>
      </c>
      <c r="E137" s="611">
        <v>0</v>
      </c>
      <c r="F137" s="611">
        <v>0</v>
      </c>
      <c r="G137" s="611">
        <v>0</v>
      </c>
      <c r="H137" s="611">
        <v>0</v>
      </c>
      <c r="I137" s="611">
        <v>0</v>
      </c>
      <c r="J137" s="611">
        <v>0</v>
      </c>
      <c r="K137" s="611">
        <v>0</v>
      </c>
      <c r="L137" s="611">
        <v>163.94028019262709</v>
      </c>
      <c r="M137" s="611">
        <v>0</v>
      </c>
      <c r="N137" s="611">
        <v>-90.167154105944903</v>
      </c>
      <c r="O137" s="611">
        <v>0</v>
      </c>
      <c r="P137" s="611">
        <v>0</v>
      </c>
      <c r="Q137" s="611">
        <v>0</v>
      </c>
      <c r="R137" s="611">
        <v>0</v>
      </c>
      <c r="S137" s="611">
        <v>0</v>
      </c>
      <c r="T137" s="611">
        <v>0</v>
      </c>
      <c r="U137" s="619">
        <v>73.773126086682183</v>
      </c>
      <c r="V137" s="51"/>
    </row>
    <row r="138" spans="3:22" x14ac:dyDescent="0.25">
      <c r="C138" s="618" t="s">
        <v>352</v>
      </c>
      <c r="D138" s="611">
        <v>0</v>
      </c>
      <c r="E138" s="611">
        <v>0</v>
      </c>
      <c r="F138" s="611">
        <v>0</v>
      </c>
      <c r="G138" s="611">
        <v>-7.5393332523643162</v>
      </c>
      <c r="H138" s="611">
        <v>0</v>
      </c>
      <c r="I138" s="611">
        <v>0</v>
      </c>
      <c r="J138" s="611">
        <v>0</v>
      </c>
      <c r="K138" s="611">
        <v>0</v>
      </c>
      <c r="L138" s="611">
        <v>0</v>
      </c>
      <c r="M138" s="611">
        <v>0</v>
      </c>
      <c r="N138" s="611">
        <v>0</v>
      </c>
      <c r="O138" s="611">
        <v>0</v>
      </c>
      <c r="P138" s="611">
        <v>0</v>
      </c>
      <c r="Q138" s="611">
        <v>0</v>
      </c>
      <c r="R138" s="611">
        <v>0</v>
      </c>
      <c r="S138" s="611">
        <v>0</v>
      </c>
      <c r="T138" s="611">
        <v>9.8694251246207116</v>
      </c>
      <c r="U138" s="619">
        <v>2.3300918722563955</v>
      </c>
      <c r="V138" s="51"/>
    </row>
    <row r="139" spans="3:22" x14ac:dyDescent="0.25">
      <c r="C139" s="618" t="s">
        <v>73</v>
      </c>
      <c r="D139" s="611">
        <v>0</v>
      </c>
      <c r="E139" s="611">
        <v>0</v>
      </c>
      <c r="F139" s="611">
        <v>0</v>
      </c>
      <c r="G139" s="611">
        <v>0</v>
      </c>
      <c r="H139" s="611">
        <v>0</v>
      </c>
      <c r="I139" s="611">
        <v>0</v>
      </c>
      <c r="J139" s="611">
        <v>0</v>
      </c>
      <c r="K139" s="611">
        <v>0</v>
      </c>
      <c r="L139" s="611">
        <v>0</v>
      </c>
      <c r="M139" s="611">
        <v>0</v>
      </c>
      <c r="N139" s="611">
        <v>0</v>
      </c>
      <c r="O139" s="611">
        <v>0</v>
      </c>
      <c r="P139" s="611">
        <v>0</v>
      </c>
      <c r="Q139" s="611">
        <v>0</v>
      </c>
      <c r="R139" s="611">
        <v>60.125996710882241</v>
      </c>
      <c r="S139" s="611">
        <v>0</v>
      </c>
      <c r="T139" s="611">
        <v>-40.134102804513894</v>
      </c>
      <c r="U139" s="619">
        <v>19.991893906368347</v>
      </c>
      <c r="V139" s="51"/>
    </row>
    <row r="140" spans="3:22" x14ac:dyDescent="0.25">
      <c r="C140" s="618" t="s">
        <v>353</v>
      </c>
      <c r="D140" s="611">
        <v>8.1657801562499994</v>
      </c>
      <c r="E140" s="611">
        <v>-11.749951844979407</v>
      </c>
      <c r="F140" s="611">
        <v>15.302006125146733</v>
      </c>
      <c r="G140" s="611">
        <v>0</v>
      </c>
      <c r="H140" s="611">
        <v>0</v>
      </c>
      <c r="I140" s="611">
        <v>0</v>
      </c>
      <c r="J140" s="611">
        <v>0</v>
      </c>
      <c r="K140" s="611">
        <v>0</v>
      </c>
      <c r="L140" s="611">
        <v>0</v>
      </c>
      <c r="M140" s="611">
        <v>0</v>
      </c>
      <c r="N140" s="611">
        <v>0</v>
      </c>
      <c r="O140" s="611">
        <v>0</v>
      </c>
      <c r="P140" s="611">
        <v>0</v>
      </c>
      <c r="Q140" s="611">
        <v>0</v>
      </c>
      <c r="R140" s="611">
        <v>0</v>
      </c>
      <c r="S140" s="611">
        <v>0</v>
      </c>
      <c r="T140" s="611">
        <v>0</v>
      </c>
      <c r="U140" s="619">
        <v>11.717834436417325</v>
      </c>
      <c r="V140" s="51"/>
    </row>
    <row r="141" spans="3:22" x14ac:dyDescent="0.25">
      <c r="C141" s="618" t="s">
        <v>75</v>
      </c>
      <c r="D141" s="611">
        <v>3.1755811718750002</v>
      </c>
      <c r="E141" s="611">
        <v>0</v>
      </c>
      <c r="F141" s="611">
        <v>11.521572645855153</v>
      </c>
      <c r="G141" s="611">
        <v>0</v>
      </c>
      <c r="H141" s="611">
        <v>3.9220454388203256</v>
      </c>
      <c r="I141" s="611">
        <v>0</v>
      </c>
      <c r="J141" s="611">
        <v>0</v>
      </c>
      <c r="K141" s="611">
        <v>0</v>
      </c>
      <c r="L141" s="611">
        <v>0</v>
      </c>
      <c r="M141" s="611">
        <v>0</v>
      </c>
      <c r="N141" s="611">
        <v>0</v>
      </c>
      <c r="O141" s="611">
        <v>1.4506195458650522</v>
      </c>
      <c r="P141" s="611">
        <v>0</v>
      </c>
      <c r="Q141" s="611">
        <v>0</v>
      </c>
      <c r="R141" s="611">
        <v>60.761806133767948</v>
      </c>
      <c r="S141" s="611">
        <v>0</v>
      </c>
      <c r="T141" s="611">
        <v>0</v>
      </c>
      <c r="U141" s="619">
        <v>80.831624936183488</v>
      </c>
      <c r="V141" s="51"/>
    </row>
    <row r="142" spans="3:22" x14ac:dyDescent="0.25">
      <c r="C142" s="618" t="s">
        <v>76</v>
      </c>
      <c r="D142" s="611">
        <v>0</v>
      </c>
      <c r="E142" s="611">
        <v>0</v>
      </c>
      <c r="F142" s="611">
        <v>0</v>
      </c>
      <c r="G142" s="611">
        <v>0</v>
      </c>
      <c r="H142" s="611">
        <v>2.1646233655533069</v>
      </c>
      <c r="I142" s="611">
        <v>0</v>
      </c>
      <c r="J142" s="611">
        <v>0</v>
      </c>
      <c r="K142" s="611">
        <v>0</v>
      </c>
      <c r="L142" s="611">
        <v>0</v>
      </c>
      <c r="M142" s="611">
        <v>0</v>
      </c>
      <c r="N142" s="611">
        <v>0</v>
      </c>
      <c r="O142" s="611">
        <v>0.80061412150601763</v>
      </c>
      <c r="P142" s="611">
        <v>0</v>
      </c>
      <c r="Q142" s="611">
        <v>0</v>
      </c>
      <c r="R142" s="611">
        <v>52.612079167713944</v>
      </c>
      <c r="S142" s="611">
        <v>5.3807290074301646</v>
      </c>
      <c r="T142" s="611">
        <v>0</v>
      </c>
      <c r="U142" s="619">
        <v>60.958045662203432</v>
      </c>
      <c r="V142" s="51"/>
    </row>
    <row r="143" spans="3:22" x14ac:dyDescent="0.25">
      <c r="C143" s="614" t="s">
        <v>77</v>
      </c>
      <c r="D143" s="615">
        <v>11.341361328125</v>
      </c>
      <c r="E143" s="615">
        <v>323.4981579468477</v>
      </c>
      <c r="F143" s="615">
        <v>-304.28318665612187</v>
      </c>
      <c r="G143" s="615">
        <v>-7.5393332523643162</v>
      </c>
      <c r="H143" s="615">
        <v>52.144313618736149</v>
      </c>
      <c r="I143" s="615">
        <v>-2.1621292756423931</v>
      </c>
      <c r="J143" s="615">
        <v>1142.8003999999999</v>
      </c>
      <c r="K143" s="615">
        <v>315.61624303705946</v>
      </c>
      <c r="L143" s="615">
        <v>302.60575105174394</v>
      </c>
      <c r="M143" s="615">
        <v>14.625091961349366</v>
      </c>
      <c r="N143" s="615">
        <v>-85.138020375592347</v>
      </c>
      <c r="O143" s="615">
        <v>-55.029960397162412</v>
      </c>
      <c r="P143" s="615">
        <v>0</v>
      </c>
      <c r="Q143" s="615">
        <v>13.280581775731152</v>
      </c>
      <c r="R143" s="615">
        <v>-584.14700764065356</v>
      </c>
      <c r="S143" s="615">
        <v>-63.998440370994672</v>
      </c>
      <c r="T143" s="615">
        <v>-27.26172035261208</v>
      </c>
      <c r="U143" s="615">
        <v>1046.352102398449</v>
      </c>
      <c r="V143" s="51"/>
    </row>
    <row r="144" spans="3:22" x14ac:dyDescent="0.25">
      <c r="C144" s="616"/>
      <c r="D144" s="617"/>
      <c r="E144" s="617"/>
      <c r="F144" s="617"/>
      <c r="G144" s="617"/>
      <c r="H144" s="623"/>
      <c r="I144" s="617"/>
      <c r="J144" s="617"/>
      <c r="K144" s="617"/>
      <c r="L144" s="617"/>
      <c r="M144" s="617"/>
      <c r="N144" s="617"/>
      <c r="O144" s="617"/>
      <c r="P144" s="617"/>
      <c r="Q144" s="617"/>
      <c r="R144" s="617"/>
      <c r="S144" s="617"/>
      <c r="T144" s="617"/>
      <c r="U144" s="617"/>
      <c r="V144" s="51"/>
    </row>
    <row r="145" spans="3:22" x14ac:dyDescent="0.25">
      <c r="C145" s="618" t="s">
        <v>78</v>
      </c>
      <c r="D145" s="611">
        <v>3.6562282006850468</v>
      </c>
      <c r="E145" s="611">
        <v>0</v>
      </c>
      <c r="F145" s="611">
        <v>9.7376785306283384</v>
      </c>
      <c r="G145" s="611">
        <v>0</v>
      </c>
      <c r="H145" s="611">
        <v>61.385022781931873</v>
      </c>
      <c r="I145" s="611">
        <v>0</v>
      </c>
      <c r="J145" s="611">
        <v>0</v>
      </c>
      <c r="K145" s="611">
        <v>0</v>
      </c>
      <c r="L145" s="611">
        <v>21.686124483212218</v>
      </c>
      <c r="M145" s="611">
        <v>7.1035846364336246</v>
      </c>
      <c r="N145" s="611">
        <v>1.1432225445669904</v>
      </c>
      <c r="O145" s="611">
        <v>22.738015311990583</v>
      </c>
      <c r="P145" s="611">
        <v>9.2526142578124997</v>
      </c>
      <c r="Q145" s="611">
        <v>6.9244826847420892E-4</v>
      </c>
      <c r="R145" s="611">
        <v>162.27713271483609</v>
      </c>
      <c r="S145" s="611">
        <v>19.928077987492124</v>
      </c>
      <c r="T145" s="611">
        <v>7.1014345703124997</v>
      </c>
      <c r="U145" s="619">
        <v>326.00982846817038</v>
      </c>
      <c r="V145" s="51"/>
    </row>
    <row r="146" spans="3:22" x14ac:dyDescent="0.25">
      <c r="C146" s="618" t="s">
        <v>79</v>
      </c>
      <c r="D146" s="611">
        <v>0</v>
      </c>
      <c r="E146" s="611">
        <v>0</v>
      </c>
      <c r="F146" s="611">
        <v>192.91287296266353</v>
      </c>
      <c r="G146" s="611">
        <v>0.64331320573206352</v>
      </c>
      <c r="H146" s="611">
        <v>5.6449684818952051</v>
      </c>
      <c r="I146" s="611">
        <v>0</v>
      </c>
      <c r="J146" s="611">
        <v>0</v>
      </c>
      <c r="K146" s="611">
        <v>0</v>
      </c>
      <c r="L146" s="611">
        <v>0</v>
      </c>
      <c r="M146" s="611">
        <v>0</v>
      </c>
      <c r="N146" s="611">
        <v>55.124968461757305</v>
      </c>
      <c r="O146" s="611">
        <v>2.0878650549475419</v>
      </c>
      <c r="P146" s="611">
        <v>0</v>
      </c>
      <c r="Q146" s="611">
        <v>0</v>
      </c>
      <c r="R146" s="611">
        <v>62.922987609450331</v>
      </c>
      <c r="S146" s="611">
        <v>0</v>
      </c>
      <c r="T146" s="611">
        <v>2.568426650221276</v>
      </c>
      <c r="U146" s="619">
        <v>321.90540242666725</v>
      </c>
      <c r="V146" s="51"/>
    </row>
    <row r="147" spans="3:22" x14ac:dyDescent="0.25">
      <c r="C147" s="618" t="s">
        <v>80</v>
      </c>
      <c r="D147" s="611">
        <v>0</v>
      </c>
      <c r="E147" s="611">
        <v>0</v>
      </c>
      <c r="F147" s="611">
        <v>3.0522332565861259</v>
      </c>
      <c r="G147" s="611">
        <v>0</v>
      </c>
      <c r="H147" s="611">
        <v>36.682189130077496</v>
      </c>
      <c r="I147" s="611">
        <v>0</v>
      </c>
      <c r="J147" s="611">
        <v>0</v>
      </c>
      <c r="K147" s="611">
        <v>0</v>
      </c>
      <c r="L147" s="611">
        <v>49.933380533226007</v>
      </c>
      <c r="M147" s="611">
        <v>0</v>
      </c>
      <c r="N147" s="611">
        <v>0</v>
      </c>
      <c r="O147" s="611">
        <v>13.567385020713596</v>
      </c>
      <c r="P147" s="611">
        <v>86.346993730736358</v>
      </c>
      <c r="Q147" s="611">
        <v>2.3427124137087052</v>
      </c>
      <c r="R147" s="611">
        <v>161.8990647634788</v>
      </c>
      <c r="S147" s="611">
        <v>25.454386166903632</v>
      </c>
      <c r="T147" s="611">
        <v>0</v>
      </c>
      <c r="U147" s="619">
        <v>379.27834501543077</v>
      </c>
      <c r="V147" s="51"/>
    </row>
    <row r="148" spans="3:22" x14ac:dyDescent="0.25">
      <c r="C148" s="618" t="s">
        <v>81</v>
      </c>
      <c r="D148" s="611">
        <v>0</v>
      </c>
      <c r="E148" s="611">
        <v>0</v>
      </c>
      <c r="F148" s="611">
        <v>2.064637318394833</v>
      </c>
      <c r="G148" s="611">
        <v>0</v>
      </c>
      <c r="H148" s="611">
        <v>26.484798777657492</v>
      </c>
      <c r="I148" s="611">
        <v>0</v>
      </c>
      <c r="J148" s="611">
        <v>0</v>
      </c>
      <c r="K148" s="611">
        <v>0</v>
      </c>
      <c r="L148" s="611">
        <v>0.59757790855029691</v>
      </c>
      <c r="M148" s="611">
        <v>0</v>
      </c>
      <c r="N148" s="611">
        <v>0</v>
      </c>
      <c r="O148" s="611">
        <v>9.7957474931061963</v>
      </c>
      <c r="P148" s="611">
        <v>38.891325575185007</v>
      </c>
      <c r="Q148" s="611">
        <v>2.8464095248186312</v>
      </c>
      <c r="R148" s="611">
        <v>118.84997058968706</v>
      </c>
      <c r="S148" s="611">
        <v>18.615976216598927</v>
      </c>
      <c r="T148" s="611">
        <v>0</v>
      </c>
      <c r="U148" s="619">
        <v>218.14644340399843</v>
      </c>
      <c r="V148" s="51"/>
    </row>
    <row r="149" spans="3:22" x14ac:dyDescent="0.25">
      <c r="C149" s="618" t="s">
        <v>82</v>
      </c>
      <c r="D149" s="611">
        <v>0</v>
      </c>
      <c r="E149" s="611">
        <v>0</v>
      </c>
      <c r="F149" s="611">
        <v>22.266407522057087</v>
      </c>
      <c r="G149" s="611">
        <v>0</v>
      </c>
      <c r="H149" s="611">
        <v>1.4368148997469985</v>
      </c>
      <c r="I149" s="611">
        <v>0</v>
      </c>
      <c r="J149" s="611">
        <v>0</v>
      </c>
      <c r="K149" s="611">
        <v>0</v>
      </c>
      <c r="L149" s="611">
        <v>2.70050068143768</v>
      </c>
      <c r="M149" s="611">
        <v>0</v>
      </c>
      <c r="N149" s="611">
        <v>8.7092137788049975</v>
      </c>
      <c r="O149" s="611">
        <v>0.53142468894752004</v>
      </c>
      <c r="P149" s="611">
        <v>0.75</v>
      </c>
      <c r="Q149" s="611">
        <v>0.96290247555165809</v>
      </c>
      <c r="R149" s="611">
        <v>6.8713820538899668</v>
      </c>
      <c r="S149" s="611">
        <v>0</v>
      </c>
      <c r="T149" s="611">
        <v>0.34507271012604906</v>
      </c>
      <c r="U149" s="619">
        <v>44.573718810561957</v>
      </c>
      <c r="V149" s="51"/>
    </row>
    <row r="150" spans="3:22" x14ac:dyDescent="0.25">
      <c r="C150" s="618" t="s">
        <v>354</v>
      </c>
      <c r="D150" s="611">
        <v>0</v>
      </c>
      <c r="E150" s="611">
        <v>0</v>
      </c>
      <c r="F150" s="611">
        <v>0</v>
      </c>
      <c r="G150" s="611">
        <v>0</v>
      </c>
      <c r="H150" s="611">
        <v>0</v>
      </c>
      <c r="I150" s="611">
        <v>0</v>
      </c>
      <c r="J150" s="611">
        <v>0</v>
      </c>
      <c r="K150" s="611">
        <v>0</v>
      </c>
      <c r="L150" s="611">
        <v>0</v>
      </c>
      <c r="M150" s="611">
        <v>0</v>
      </c>
      <c r="N150" s="611">
        <v>0</v>
      </c>
      <c r="O150" s="611">
        <v>0</v>
      </c>
      <c r="P150" s="611">
        <v>0</v>
      </c>
      <c r="Q150" s="611">
        <v>0</v>
      </c>
      <c r="R150" s="611">
        <v>0.76160000000000005</v>
      </c>
      <c r="S150" s="611">
        <v>0</v>
      </c>
      <c r="T150" s="611">
        <v>0</v>
      </c>
      <c r="U150" s="619">
        <v>0.76160000000000005</v>
      </c>
      <c r="V150" s="51"/>
    </row>
    <row r="151" spans="3:22" x14ac:dyDescent="0.25">
      <c r="C151" s="614" t="s">
        <v>83</v>
      </c>
      <c r="D151" s="615">
        <v>3.6562282006850468</v>
      </c>
      <c r="E151" s="615">
        <v>0</v>
      </c>
      <c r="F151" s="615">
        <v>230.0338295903299</v>
      </c>
      <c r="G151" s="615">
        <v>0.64331320573206352</v>
      </c>
      <c r="H151" s="615">
        <v>131.63379407130904</v>
      </c>
      <c r="I151" s="615">
        <v>0</v>
      </c>
      <c r="J151" s="615">
        <v>0</v>
      </c>
      <c r="K151" s="615">
        <v>0</v>
      </c>
      <c r="L151" s="615">
        <v>74.917583606426192</v>
      </c>
      <c r="M151" s="615">
        <v>7.1035846364336246</v>
      </c>
      <c r="N151" s="615">
        <v>64.977404785129295</v>
      </c>
      <c r="O151" s="615">
        <v>48.720437569705439</v>
      </c>
      <c r="P151" s="615">
        <v>135.24093356373385</v>
      </c>
      <c r="Q151" s="615">
        <v>6.1527168623474688</v>
      </c>
      <c r="R151" s="615">
        <v>513.5821377313423</v>
      </c>
      <c r="S151" s="615">
        <v>63.998440370994686</v>
      </c>
      <c r="T151" s="615">
        <v>10.014933930659824</v>
      </c>
      <c r="U151" s="615">
        <v>1290.6753381248291</v>
      </c>
      <c r="V151" s="51"/>
    </row>
    <row r="152" spans="3:22" x14ac:dyDescent="0.25">
      <c r="C152" s="610" t="s">
        <v>84</v>
      </c>
      <c r="D152" s="611">
        <v>0</v>
      </c>
      <c r="E152" s="611">
        <v>0</v>
      </c>
      <c r="F152" s="611">
        <v>104.6693916418363</v>
      </c>
      <c r="G152" s="611">
        <v>1.7600954722087971</v>
      </c>
      <c r="H152" s="611">
        <v>11.111186214134182</v>
      </c>
      <c r="I152" s="611">
        <v>0</v>
      </c>
      <c r="J152" s="611">
        <v>0</v>
      </c>
      <c r="K152" s="611">
        <v>0</v>
      </c>
      <c r="L152" s="611">
        <v>0.224904130238229</v>
      </c>
      <c r="M152" s="611">
        <v>0</v>
      </c>
      <c r="N152" s="611">
        <v>14.54242018932838</v>
      </c>
      <c r="O152" s="611">
        <v>4.7506049603028071</v>
      </c>
      <c r="P152" s="611">
        <v>0</v>
      </c>
      <c r="Q152" s="611">
        <v>0</v>
      </c>
      <c r="R152" s="611">
        <v>0</v>
      </c>
      <c r="S152" s="611">
        <v>0</v>
      </c>
      <c r="T152" s="611">
        <v>16.030988088411341</v>
      </c>
      <c r="U152" s="619">
        <v>153.08959069646002</v>
      </c>
      <c r="V152" s="51"/>
    </row>
    <row r="153" spans="3:22" x14ac:dyDescent="0.25">
      <c r="C153" s="614" t="s">
        <v>85</v>
      </c>
      <c r="D153" s="615">
        <v>3.6562282006850468</v>
      </c>
      <c r="E153" s="615">
        <v>0</v>
      </c>
      <c r="F153" s="615">
        <v>334.70322123216619</v>
      </c>
      <c r="G153" s="615">
        <v>2.4034086779408605</v>
      </c>
      <c r="H153" s="615">
        <v>142.74498028544323</v>
      </c>
      <c r="I153" s="615">
        <v>0</v>
      </c>
      <c r="J153" s="615">
        <v>0</v>
      </c>
      <c r="K153" s="615">
        <v>0</v>
      </c>
      <c r="L153" s="615">
        <v>75.142487736664421</v>
      </c>
      <c r="M153" s="615">
        <v>7.1035846364336246</v>
      </c>
      <c r="N153" s="615">
        <v>79.519824974457677</v>
      </c>
      <c r="O153" s="615">
        <v>53.471042530008248</v>
      </c>
      <c r="P153" s="615">
        <v>135.24093356373385</v>
      </c>
      <c r="Q153" s="615">
        <v>6.1527168623474688</v>
      </c>
      <c r="R153" s="615">
        <v>513.5821377313423</v>
      </c>
      <c r="S153" s="615">
        <v>63.998440370994686</v>
      </c>
      <c r="T153" s="615">
        <v>26.045922019071163</v>
      </c>
      <c r="U153" s="615">
        <v>1443.764928821289</v>
      </c>
      <c r="V153" s="51"/>
    </row>
    <row r="154" spans="3:22" x14ac:dyDescent="0.25">
      <c r="C154" s="51"/>
      <c r="D154" s="67">
        <v>0</v>
      </c>
      <c r="E154" s="67">
        <v>0</v>
      </c>
      <c r="F154" s="67">
        <v>0</v>
      </c>
      <c r="G154" s="67">
        <v>0</v>
      </c>
      <c r="H154" s="67">
        <v>0</v>
      </c>
      <c r="I154" s="67">
        <v>0</v>
      </c>
      <c r="J154" s="67">
        <v>0</v>
      </c>
      <c r="K154" s="67">
        <v>0</v>
      </c>
      <c r="L154" s="67">
        <v>0</v>
      </c>
      <c r="M154" s="67">
        <v>-4.6787954190463665E-4</v>
      </c>
      <c r="N154" s="67">
        <v>0</v>
      </c>
      <c r="O154" s="67">
        <v>-3.1086244689504383E-15</v>
      </c>
      <c r="P154" s="67">
        <v>0</v>
      </c>
      <c r="Q154" s="67">
        <v>0</v>
      </c>
      <c r="R154" s="67">
        <v>0</v>
      </c>
      <c r="S154" s="67">
        <v>1.4210854715202004E-14</v>
      </c>
      <c r="T154" s="67">
        <v>-1.7763568394002505E-15</v>
      </c>
      <c r="U154" s="67">
        <v>-4.6787954170213197E-4</v>
      </c>
      <c r="V154" s="51"/>
    </row>
    <row r="155" spans="3:22" x14ac:dyDescent="0.25">
      <c r="C155" s="51"/>
      <c r="D155" s="51"/>
      <c r="E155" s="51"/>
      <c r="F155" s="51"/>
      <c r="G155" s="67"/>
      <c r="H155" s="51"/>
      <c r="I155" s="51"/>
      <c r="J155" s="51"/>
      <c r="K155" s="51"/>
      <c r="L155" s="51"/>
      <c r="M155" s="51"/>
      <c r="N155" s="51"/>
      <c r="O155" s="51"/>
      <c r="P155" s="51"/>
      <c r="Q155" s="51"/>
      <c r="R155" s="51"/>
      <c r="S155" s="51"/>
      <c r="T155" s="51"/>
      <c r="U155" s="51"/>
      <c r="V155" s="51"/>
    </row>
    <row r="156" spans="3:22" x14ac:dyDescent="0.25">
      <c r="C156" s="607" t="s">
        <v>359</v>
      </c>
      <c r="D156" s="606"/>
      <c r="E156" s="606"/>
      <c r="F156" s="606"/>
      <c r="G156" s="682"/>
      <c r="H156" s="606"/>
      <c r="I156" s="606"/>
      <c r="J156" s="606"/>
      <c r="K156" s="606"/>
      <c r="L156" s="606"/>
      <c r="M156" s="606"/>
      <c r="N156" s="606"/>
      <c r="O156" s="606"/>
      <c r="P156" s="606"/>
      <c r="Q156" s="606"/>
      <c r="R156" s="606"/>
      <c r="S156" s="606"/>
      <c r="T156" s="606"/>
      <c r="U156" s="606"/>
      <c r="V156" s="606"/>
    </row>
    <row r="157" spans="3:22" x14ac:dyDescent="0.25">
      <c r="C157" s="51"/>
      <c r="D157" s="51"/>
      <c r="E157" s="51"/>
      <c r="F157" s="51"/>
      <c r="G157" s="67"/>
      <c r="H157" s="51"/>
      <c r="I157" s="51"/>
      <c r="J157" s="51"/>
      <c r="K157" s="51"/>
      <c r="L157" s="51"/>
      <c r="M157" s="51"/>
      <c r="N157" s="51"/>
      <c r="O157" s="51"/>
      <c r="P157" s="51"/>
      <c r="Q157" s="51"/>
      <c r="R157" s="51"/>
      <c r="S157" s="51"/>
      <c r="T157" s="51"/>
      <c r="U157" s="51"/>
      <c r="V157" s="51"/>
    </row>
    <row r="158" spans="3:22" x14ac:dyDescent="0.25">
      <c r="C158" s="764" t="s">
        <v>128</v>
      </c>
      <c r="D158" s="753" t="s">
        <v>42</v>
      </c>
      <c r="E158" s="753" t="s">
        <v>52</v>
      </c>
      <c r="F158" s="753" t="s">
        <v>53</v>
      </c>
      <c r="G158" s="766" t="s">
        <v>482</v>
      </c>
      <c r="H158" s="753" t="s">
        <v>32</v>
      </c>
      <c r="I158" s="753" t="s">
        <v>483</v>
      </c>
      <c r="J158" s="753" t="s">
        <v>20</v>
      </c>
      <c r="K158" s="753" t="s">
        <v>55</v>
      </c>
      <c r="L158" s="761" t="s">
        <v>56</v>
      </c>
      <c r="M158" s="762"/>
      <c r="N158" s="762"/>
      <c r="O158" s="762"/>
      <c r="P158" s="762"/>
      <c r="Q158" s="763"/>
      <c r="R158" s="753" t="s">
        <v>57</v>
      </c>
      <c r="S158" s="753" t="s">
        <v>58</v>
      </c>
      <c r="T158" s="753" t="s">
        <v>31</v>
      </c>
      <c r="U158" s="753" t="s">
        <v>10</v>
      </c>
      <c r="V158" s="51"/>
    </row>
    <row r="159" spans="3:22" ht="36" x14ac:dyDescent="0.25">
      <c r="C159" s="765"/>
      <c r="D159" s="754"/>
      <c r="E159" s="754"/>
      <c r="F159" s="754"/>
      <c r="G159" s="767"/>
      <c r="H159" s="754"/>
      <c r="I159" s="754"/>
      <c r="J159" s="754"/>
      <c r="K159" s="754"/>
      <c r="L159" s="608" t="s">
        <v>335</v>
      </c>
      <c r="M159" s="608" t="s">
        <v>40</v>
      </c>
      <c r="N159" s="608" t="s">
        <v>343</v>
      </c>
      <c r="O159" s="608" t="s">
        <v>344</v>
      </c>
      <c r="P159" s="609" t="s">
        <v>345</v>
      </c>
      <c r="Q159" s="608" t="s">
        <v>346</v>
      </c>
      <c r="R159" s="754"/>
      <c r="S159" s="754"/>
      <c r="T159" s="754"/>
      <c r="U159" s="754"/>
      <c r="V159" s="51"/>
    </row>
    <row r="160" spans="3:22" x14ac:dyDescent="0.25">
      <c r="C160" s="610" t="s">
        <v>59</v>
      </c>
      <c r="D160" s="611">
        <v>0</v>
      </c>
      <c r="E160" s="611">
        <v>2.3260000000000005</v>
      </c>
      <c r="F160" s="611">
        <v>0</v>
      </c>
      <c r="G160" s="611">
        <v>0</v>
      </c>
      <c r="H160" s="611">
        <v>3.7216000000000006E-2</v>
      </c>
      <c r="I160" s="611">
        <v>0</v>
      </c>
      <c r="J160" s="612">
        <v>1162.199818181818</v>
      </c>
      <c r="K160" s="612">
        <v>371.91258763455278</v>
      </c>
      <c r="L160" s="612">
        <v>428.31581499702253</v>
      </c>
      <c r="M160" s="612">
        <v>21.832470141682652</v>
      </c>
      <c r="N160" s="611">
        <v>1.5522078310841105</v>
      </c>
      <c r="O160" s="611">
        <v>0.16457898409976487</v>
      </c>
      <c r="P160" s="612">
        <v>148.71329626041282</v>
      </c>
      <c r="Q160" s="612">
        <v>22.497992115953615</v>
      </c>
      <c r="R160" s="611">
        <v>0</v>
      </c>
      <c r="S160" s="611">
        <v>0</v>
      </c>
      <c r="T160" s="611">
        <v>0</v>
      </c>
      <c r="U160" s="613">
        <v>2159.5519821466264</v>
      </c>
      <c r="V160" s="51"/>
    </row>
    <row r="161" spans="3:22" x14ac:dyDescent="0.25">
      <c r="C161" s="610" t="s">
        <v>60</v>
      </c>
      <c r="D161" s="611">
        <v>14.018688039101649</v>
      </c>
      <c r="E161" s="611">
        <v>270.8879796629484</v>
      </c>
      <c r="F161" s="611">
        <v>26.29831217515342</v>
      </c>
      <c r="G161" s="611">
        <v>0</v>
      </c>
      <c r="H161" s="611">
        <v>132.82105117150289</v>
      </c>
      <c r="I161" s="611">
        <v>0</v>
      </c>
      <c r="J161" s="611">
        <v>0</v>
      </c>
      <c r="K161" s="611">
        <v>0</v>
      </c>
      <c r="L161" s="611">
        <v>3.8185483520995893</v>
      </c>
      <c r="M161" s="611">
        <v>0</v>
      </c>
      <c r="N161" s="611">
        <v>5.0715995071493687</v>
      </c>
      <c r="O161" s="611">
        <v>0</v>
      </c>
      <c r="P161" s="611">
        <v>0</v>
      </c>
      <c r="Q161" s="611">
        <v>0</v>
      </c>
      <c r="R161" s="611">
        <v>0</v>
      </c>
      <c r="S161" s="611">
        <v>0</v>
      </c>
      <c r="T161" s="611">
        <v>0</v>
      </c>
      <c r="U161" s="613">
        <v>452.91617890795533</v>
      </c>
      <c r="V161" s="51"/>
    </row>
    <row r="162" spans="3:22" x14ac:dyDescent="0.25">
      <c r="C162" s="610" t="s">
        <v>61</v>
      </c>
      <c r="D162" s="611">
        <v>0</v>
      </c>
      <c r="E162" s="611">
        <v>0</v>
      </c>
      <c r="F162" s="611">
        <v>3.1635560327380432</v>
      </c>
      <c r="G162" s="611">
        <v>-0.85627443515198287</v>
      </c>
      <c r="H162" s="611">
        <v>0</v>
      </c>
      <c r="I162" s="611">
        <v>0</v>
      </c>
      <c r="J162" s="611">
        <v>0</v>
      </c>
      <c r="K162" s="611">
        <v>0</v>
      </c>
      <c r="L162" s="611">
        <v>0</v>
      </c>
      <c r="M162" s="611">
        <v>0</v>
      </c>
      <c r="N162" s="611">
        <v>0</v>
      </c>
      <c r="O162" s="611">
        <v>0</v>
      </c>
      <c r="P162" s="611">
        <v>0</v>
      </c>
      <c r="Q162" s="611">
        <v>0</v>
      </c>
      <c r="R162" s="611">
        <v>-59.544479832357297</v>
      </c>
      <c r="S162" s="611">
        <v>0</v>
      </c>
      <c r="T162" s="611">
        <v>0</v>
      </c>
      <c r="U162" s="613">
        <v>-57.237198234771235</v>
      </c>
      <c r="V162" s="51"/>
    </row>
    <row r="163" spans="3:22" x14ac:dyDescent="0.25">
      <c r="C163" s="610" t="s">
        <v>62</v>
      </c>
      <c r="D163" s="611">
        <v>0</v>
      </c>
      <c r="E163" s="611">
        <v>0</v>
      </c>
      <c r="F163" s="611">
        <v>-6.7125205563218922</v>
      </c>
      <c r="G163" s="611">
        <v>-3.2950395543749584</v>
      </c>
      <c r="H163" s="611">
        <v>-0.49987622776591634</v>
      </c>
      <c r="I163" s="611">
        <v>-2.9890617212740871</v>
      </c>
      <c r="J163" s="611">
        <v>0</v>
      </c>
      <c r="K163" s="611">
        <v>0</v>
      </c>
      <c r="L163" s="611">
        <v>0</v>
      </c>
      <c r="M163" s="611">
        <v>0</v>
      </c>
      <c r="N163" s="611">
        <v>-1.2700508300617339</v>
      </c>
      <c r="O163" s="611">
        <v>-2.1176768711242038</v>
      </c>
      <c r="P163" s="611">
        <v>0</v>
      </c>
      <c r="Q163" s="611">
        <v>0</v>
      </c>
      <c r="R163" s="611">
        <v>0</v>
      </c>
      <c r="S163" s="611">
        <v>0</v>
      </c>
      <c r="T163" s="611">
        <v>-0.96281875223876434</v>
      </c>
      <c r="U163" s="613">
        <v>-17.847044513161556</v>
      </c>
      <c r="V163" s="51"/>
    </row>
    <row r="164" spans="3:22" x14ac:dyDescent="0.25">
      <c r="C164" s="610" t="s">
        <v>63</v>
      </c>
      <c r="D164" s="611">
        <v>0</v>
      </c>
      <c r="E164" s="611">
        <v>0</v>
      </c>
      <c r="F164" s="611">
        <v>-45.424019815542103</v>
      </c>
      <c r="G164" s="611">
        <v>-6.3379784988277912</v>
      </c>
      <c r="H164" s="611">
        <v>0</v>
      </c>
      <c r="I164" s="611">
        <v>0</v>
      </c>
      <c r="J164" s="611">
        <v>0</v>
      </c>
      <c r="K164" s="611">
        <v>0</v>
      </c>
      <c r="L164" s="611">
        <v>0</v>
      </c>
      <c r="M164" s="611">
        <v>0</v>
      </c>
      <c r="N164" s="611">
        <v>-13.31780034386745</v>
      </c>
      <c r="O164" s="611">
        <v>0</v>
      </c>
      <c r="P164" s="611">
        <v>0</v>
      </c>
      <c r="Q164" s="611">
        <v>0</v>
      </c>
      <c r="R164" s="611">
        <v>0</v>
      </c>
      <c r="S164" s="611">
        <v>0</v>
      </c>
      <c r="T164" s="611">
        <v>-1.794651350884874</v>
      </c>
      <c r="U164" s="613">
        <v>-66.874450009122214</v>
      </c>
      <c r="V164" s="51"/>
    </row>
    <row r="165" spans="3:22" x14ac:dyDescent="0.25">
      <c r="C165" s="610" t="s">
        <v>64</v>
      </c>
      <c r="D165" s="611">
        <v>0</v>
      </c>
      <c r="E165" s="611">
        <v>0</v>
      </c>
      <c r="F165" s="611">
        <v>0</v>
      </c>
      <c r="G165" s="611">
        <v>0</v>
      </c>
      <c r="H165" s="611">
        <v>0</v>
      </c>
      <c r="I165" s="611">
        <v>0</v>
      </c>
      <c r="J165" s="611">
        <v>0</v>
      </c>
      <c r="K165" s="611">
        <v>0</v>
      </c>
      <c r="L165" s="611">
        <v>0</v>
      </c>
      <c r="M165" s="611">
        <v>0</v>
      </c>
      <c r="N165" s="611">
        <v>0</v>
      </c>
      <c r="O165" s="611">
        <v>0</v>
      </c>
      <c r="P165" s="611">
        <v>0</v>
      </c>
      <c r="Q165" s="611">
        <v>0</v>
      </c>
      <c r="R165" s="611">
        <v>0</v>
      </c>
      <c r="S165" s="611">
        <v>0</v>
      </c>
      <c r="T165" s="611">
        <v>0</v>
      </c>
      <c r="U165" s="613">
        <v>0</v>
      </c>
      <c r="V165" s="51"/>
    </row>
    <row r="166" spans="3:22" x14ac:dyDescent="0.25">
      <c r="C166" s="614" t="s">
        <v>65</v>
      </c>
      <c r="D166" s="615">
        <v>14.018688039101649</v>
      </c>
      <c r="E166" s="615">
        <v>273.21397966294842</v>
      </c>
      <c r="F166" s="615">
        <v>-22.674672163972531</v>
      </c>
      <c r="G166" s="615">
        <v>-10.489292488354732</v>
      </c>
      <c r="H166" s="615">
        <v>132.35839094373696</v>
      </c>
      <c r="I166" s="615">
        <v>-2.9890617212740871</v>
      </c>
      <c r="J166" s="615">
        <v>1162.199818181818</v>
      </c>
      <c r="K166" s="615">
        <v>371.91258763455278</v>
      </c>
      <c r="L166" s="615">
        <v>432.13436334912211</v>
      </c>
      <c r="M166" s="615">
        <v>21.832470141682652</v>
      </c>
      <c r="N166" s="615">
        <v>-7.9640438356957048</v>
      </c>
      <c r="O166" s="615">
        <v>-1.9530978870244389</v>
      </c>
      <c r="P166" s="615">
        <v>148.71329626041282</v>
      </c>
      <c r="Q166" s="615">
        <v>22.497992115953615</v>
      </c>
      <c r="R166" s="615">
        <v>-59.544479832357297</v>
      </c>
      <c r="S166" s="615">
        <v>0</v>
      </c>
      <c r="T166" s="615">
        <v>-2.7574701031236382</v>
      </c>
      <c r="U166" s="615">
        <v>2470.5094682975268</v>
      </c>
      <c r="V166" s="51"/>
    </row>
    <row r="167" spans="3:22" x14ac:dyDescent="0.25">
      <c r="C167" s="616"/>
      <c r="D167" s="617"/>
      <c r="E167" s="617"/>
      <c r="F167" s="617"/>
      <c r="G167" s="617"/>
      <c r="H167" s="623"/>
      <c r="I167" s="617"/>
      <c r="J167" s="617"/>
      <c r="K167" s="617"/>
      <c r="L167" s="617"/>
      <c r="M167" s="617"/>
      <c r="N167" s="617"/>
      <c r="O167" s="617"/>
      <c r="P167" s="617"/>
      <c r="Q167" s="617"/>
      <c r="R167" s="617"/>
      <c r="S167" s="617"/>
      <c r="T167" s="617"/>
      <c r="U167" s="617"/>
      <c r="V167" s="51"/>
    </row>
    <row r="168" spans="3:22" x14ac:dyDescent="0.25">
      <c r="C168" s="618" t="s">
        <v>67</v>
      </c>
      <c r="D168" s="611">
        <v>0</v>
      </c>
      <c r="E168" s="611">
        <v>0</v>
      </c>
      <c r="F168" s="611">
        <v>0</v>
      </c>
      <c r="G168" s="611">
        <v>0</v>
      </c>
      <c r="H168" s="611">
        <v>0</v>
      </c>
      <c r="I168" s="611">
        <v>0</v>
      </c>
      <c r="J168" s="611">
        <v>0</v>
      </c>
      <c r="K168" s="611">
        <v>0</v>
      </c>
      <c r="L168" s="611">
        <v>0</v>
      </c>
      <c r="M168" s="611">
        <v>0</v>
      </c>
      <c r="N168" s="611">
        <v>0</v>
      </c>
      <c r="O168" s="611">
        <v>0</v>
      </c>
      <c r="P168" s="611">
        <v>0</v>
      </c>
      <c r="Q168" s="611">
        <v>0</v>
      </c>
      <c r="R168" s="611">
        <v>0</v>
      </c>
      <c r="S168" s="611">
        <v>0</v>
      </c>
      <c r="T168" s="611">
        <v>0</v>
      </c>
      <c r="U168" s="619">
        <v>0</v>
      </c>
      <c r="V168" s="51"/>
    </row>
    <row r="169" spans="3:22" x14ac:dyDescent="0.25">
      <c r="C169" s="618" t="s">
        <v>347</v>
      </c>
      <c r="D169" s="611">
        <v>0</v>
      </c>
      <c r="E169" s="611">
        <v>0</v>
      </c>
      <c r="F169" s="611">
        <v>0.36057808628354604</v>
      </c>
      <c r="G169" s="611">
        <v>0</v>
      </c>
      <c r="H169" s="611">
        <v>11.85720957473684</v>
      </c>
      <c r="I169" s="611">
        <v>0</v>
      </c>
      <c r="J169" s="611">
        <v>1162.199818181818</v>
      </c>
      <c r="K169" s="611">
        <v>371.91258763455278</v>
      </c>
      <c r="L169" s="611">
        <v>23.35467673808137</v>
      </c>
      <c r="M169" s="611">
        <v>0.6051195632921027</v>
      </c>
      <c r="N169" s="611">
        <v>5.3878161949008447</v>
      </c>
      <c r="O169" s="611">
        <v>7.0773268475558293</v>
      </c>
      <c r="P169" s="611">
        <v>0</v>
      </c>
      <c r="Q169" s="611">
        <v>4.9774137725284184</v>
      </c>
      <c r="R169" s="611">
        <v>-809.82615158881902</v>
      </c>
      <c r="S169" s="611">
        <v>0</v>
      </c>
      <c r="T169" s="611">
        <v>2.2153139999999998</v>
      </c>
      <c r="U169" s="619">
        <v>780.12170900493118</v>
      </c>
      <c r="V169" s="51"/>
    </row>
    <row r="170" spans="3:22" x14ac:dyDescent="0.25">
      <c r="C170" s="618" t="s">
        <v>348</v>
      </c>
      <c r="D170" s="611">
        <v>0</v>
      </c>
      <c r="E170" s="611">
        <v>0</v>
      </c>
      <c r="F170" s="611">
        <v>0</v>
      </c>
      <c r="G170" s="611">
        <v>0</v>
      </c>
      <c r="H170" s="611">
        <v>9.1306644834570143</v>
      </c>
      <c r="I170" s="611">
        <v>0</v>
      </c>
      <c r="J170" s="611">
        <v>0</v>
      </c>
      <c r="K170" s="611">
        <v>0</v>
      </c>
      <c r="L170" s="611">
        <v>35.120993050701685</v>
      </c>
      <c r="M170" s="611">
        <v>14.187122516158354</v>
      </c>
      <c r="N170" s="611">
        <v>0</v>
      </c>
      <c r="O170" s="611">
        <v>5.376679884494675</v>
      </c>
      <c r="P170" s="611">
        <v>0</v>
      </c>
      <c r="Q170" s="611">
        <v>10.750796331510863</v>
      </c>
      <c r="R170" s="611">
        <v>0</v>
      </c>
      <c r="S170" s="611">
        <v>-68.975341890525812</v>
      </c>
      <c r="T170" s="611">
        <v>0</v>
      </c>
      <c r="U170" s="619">
        <v>5.5909143757967854</v>
      </c>
      <c r="V170" s="51"/>
    </row>
    <row r="171" spans="3:22" x14ac:dyDescent="0.25">
      <c r="C171" s="618" t="s">
        <v>349</v>
      </c>
      <c r="D171" s="611">
        <v>0</v>
      </c>
      <c r="E171" s="611">
        <v>0</v>
      </c>
      <c r="F171" s="611">
        <v>0</v>
      </c>
      <c r="G171" s="611">
        <v>0</v>
      </c>
      <c r="H171" s="611">
        <v>0</v>
      </c>
      <c r="I171" s="611">
        <v>0</v>
      </c>
      <c r="J171" s="611">
        <v>0</v>
      </c>
      <c r="K171" s="611">
        <v>0</v>
      </c>
      <c r="L171" s="611">
        <v>90.922618226552515</v>
      </c>
      <c r="M171" s="611">
        <v>0</v>
      </c>
      <c r="N171" s="611">
        <v>0</v>
      </c>
      <c r="O171" s="611">
        <v>-82.66993696120025</v>
      </c>
      <c r="P171" s="611">
        <v>0</v>
      </c>
      <c r="Q171" s="611">
        <v>0</v>
      </c>
      <c r="R171" s="611">
        <v>0</v>
      </c>
      <c r="S171" s="611">
        <v>0</v>
      </c>
      <c r="T171" s="611">
        <v>0</v>
      </c>
      <c r="U171" s="619">
        <v>8.2526812653522654</v>
      </c>
      <c r="V171" s="51"/>
    </row>
    <row r="172" spans="3:22" x14ac:dyDescent="0.25">
      <c r="C172" s="618" t="s">
        <v>350</v>
      </c>
      <c r="D172" s="611">
        <v>0</v>
      </c>
      <c r="E172" s="611">
        <v>0</v>
      </c>
      <c r="F172" s="611">
        <v>0</v>
      </c>
      <c r="G172" s="611">
        <v>0</v>
      </c>
      <c r="H172" s="611">
        <v>0</v>
      </c>
      <c r="I172" s="611">
        <v>-2.9890617212740871</v>
      </c>
      <c r="J172" s="611">
        <v>0</v>
      </c>
      <c r="K172" s="611">
        <v>0</v>
      </c>
      <c r="L172" s="611">
        <v>0</v>
      </c>
      <c r="M172" s="611">
        <v>0</v>
      </c>
      <c r="N172" s="611">
        <v>0</v>
      </c>
      <c r="O172" s="611">
        <v>0</v>
      </c>
      <c r="P172" s="611">
        <v>0</v>
      </c>
      <c r="Q172" s="611">
        <v>0</v>
      </c>
      <c r="R172" s="611">
        <v>0</v>
      </c>
      <c r="S172" s="611">
        <v>0</v>
      </c>
      <c r="T172" s="611">
        <v>4.1514746128806763</v>
      </c>
      <c r="U172" s="619">
        <v>1.1624128916065892</v>
      </c>
      <c r="V172" s="51"/>
    </row>
    <row r="173" spans="3:22" x14ac:dyDescent="0.25">
      <c r="C173" s="618" t="s">
        <v>72</v>
      </c>
      <c r="D173" s="611">
        <v>0</v>
      </c>
      <c r="E173" s="611">
        <v>283.1271683530257</v>
      </c>
      <c r="F173" s="611">
        <v>-280.30617492402195</v>
      </c>
      <c r="G173" s="611">
        <v>0</v>
      </c>
      <c r="H173" s="611">
        <v>0</v>
      </c>
      <c r="I173" s="611">
        <v>0</v>
      </c>
      <c r="J173" s="611">
        <v>0</v>
      </c>
      <c r="K173" s="611">
        <v>0</v>
      </c>
      <c r="L173" s="611">
        <v>0</v>
      </c>
      <c r="M173" s="611">
        <v>0</v>
      </c>
      <c r="N173" s="611">
        <v>0</v>
      </c>
      <c r="O173" s="611">
        <v>0</v>
      </c>
      <c r="P173" s="611">
        <v>0</v>
      </c>
      <c r="Q173" s="611">
        <v>0</v>
      </c>
      <c r="R173" s="611">
        <v>0</v>
      </c>
      <c r="S173" s="611">
        <v>0</v>
      </c>
      <c r="T173" s="611">
        <v>0</v>
      </c>
      <c r="U173" s="619">
        <v>2.8209934290037495</v>
      </c>
      <c r="V173" s="51"/>
    </row>
    <row r="174" spans="3:22" x14ac:dyDescent="0.25">
      <c r="C174" s="618" t="s">
        <v>351</v>
      </c>
      <c r="D174" s="611">
        <v>0</v>
      </c>
      <c r="E174" s="611">
        <v>0</v>
      </c>
      <c r="F174" s="611">
        <v>0</v>
      </c>
      <c r="G174" s="611">
        <v>0</v>
      </c>
      <c r="H174" s="611">
        <v>0</v>
      </c>
      <c r="I174" s="611">
        <v>0</v>
      </c>
      <c r="J174" s="611">
        <v>0</v>
      </c>
      <c r="K174" s="611">
        <v>0</v>
      </c>
      <c r="L174" s="611">
        <v>211.26822673401878</v>
      </c>
      <c r="M174" s="611">
        <v>0</v>
      </c>
      <c r="N174" s="611">
        <v>-116.19752470371033</v>
      </c>
      <c r="O174" s="611">
        <v>0</v>
      </c>
      <c r="P174" s="611">
        <v>0</v>
      </c>
      <c r="Q174" s="611">
        <v>0</v>
      </c>
      <c r="R174" s="611">
        <v>0</v>
      </c>
      <c r="S174" s="611">
        <v>0</v>
      </c>
      <c r="T174" s="611">
        <v>0</v>
      </c>
      <c r="U174" s="619">
        <v>95.070702030308453</v>
      </c>
      <c r="V174" s="51"/>
    </row>
    <row r="175" spans="3:22" x14ac:dyDescent="0.25">
      <c r="C175" s="618" t="s">
        <v>352</v>
      </c>
      <c r="D175" s="611">
        <v>0</v>
      </c>
      <c r="E175" s="611">
        <v>0</v>
      </c>
      <c r="F175" s="611">
        <v>0</v>
      </c>
      <c r="G175" s="611">
        <v>-13.61496514917124</v>
      </c>
      <c r="H175" s="611">
        <v>0</v>
      </c>
      <c r="I175" s="611">
        <v>0</v>
      </c>
      <c r="J175" s="611">
        <v>0</v>
      </c>
      <c r="K175" s="611">
        <v>0</v>
      </c>
      <c r="L175" s="611">
        <v>0</v>
      </c>
      <c r="M175" s="611">
        <v>0</v>
      </c>
      <c r="N175" s="611">
        <v>0</v>
      </c>
      <c r="O175" s="611">
        <v>0</v>
      </c>
      <c r="P175" s="611">
        <v>0</v>
      </c>
      <c r="Q175" s="611">
        <v>0</v>
      </c>
      <c r="R175" s="611">
        <v>0</v>
      </c>
      <c r="S175" s="611">
        <v>0</v>
      </c>
      <c r="T175" s="611">
        <v>17.7682733969807</v>
      </c>
      <c r="U175" s="619">
        <v>4.1533082478094592</v>
      </c>
      <c r="V175" s="51"/>
    </row>
    <row r="176" spans="3:22" x14ac:dyDescent="0.25">
      <c r="C176" s="618" t="s">
        <v>73</v>
      </c>
      <c r="D176" s="611">
        <v>0</v>
      </c>
      <c r="E176" s="611">
        <v>0</v>
      </c>
      <c r="F176" s="611">
        <v>0</v>
      </c>
      <c r="G176" s="611">
        <v>0</v>
      </c>
      <c r="H176" s="611">
        <v>0</v>
      </c>
      <c r="I176" s="611">
        <v>0</v>
      </c>
      <c r="J176" s="611">
        <v>0</v>
      </c>
      <c r="K176" s="611">
        <v>0</v>
      </c>
      <c r="L176" s="611">
        <v>0</v>
      </c>
      <c r="M176" s="611">
        <v>0</v>
      </c>
      <c r="N176" s="611">
        <v>0</v>
      </c>
      <c r="O176" s="611">
        <v>0</v>
      </c>
      <c r="P176" s="611">
        <v>0</v>
      </c>
      <c r="Q176" s="611">
        <v>0</v>
      </c>
      <c r="R176" s="611">
        <v>95.094141088203713</v>
      </c>
      <c r="S176" s="611">
        <v>0</v>
      </c>
      <c r="T176" s="611">
        <v>-64.473827657802119</v>
      </c>
      <c r="U176" s="619">
        <v>30.620313430401595</v>
      </c>
      <c r="V176" s="51"/>
    </row>
    <row r="177" spans="3:22" x14ac:dyDescent="0.25">
      <c r="C177" s="618" t="s">
        <v>353</v>
      </c>
      <c r="D177" s="611">
        <v>7.8269305078124995</v>
      </c>
      <c r="E177" s="611">
        <v>-9.913188690077277</v>
      </c>
      <c r="F177" s="611">
        <v>12.914884415071832</v>
      </c>
      <c r="G177" s="611">
        <v>0</v>
      </c>
      <c r="H177" s="611">
        <v>0</v>
      </c>
      <c r="I177" s="611">
        <v>0</v>
      </c>
      <c r="J177" s="611">
        <v>0</v>
      </c>
      <c r="K177" s="611">
        <v>0</v>
      </c>
      <c r="L177" s="611">
        <v>0</v>
      </c>
      <c r="M177" s="611">
        <v>0</v>
      </c>
      <c r="N177" s="611">
        <v>0</v>
      </c>
      <c r="O177" s="611">
        <v>0</v>
      </c>
      <c r="P177" s="611">
        <v>0</v>
      </c>
      <c r="Q177" s="611">
        <v>0</v>
      </c>
      <c r="R177" s="611">
        <v>0</v>
      </c>
      <c r="S177" s="611">
        <v>0</v>
      </c>
      <c r="T177" s="611">
        <v>0</v>
      </c>
      <c r="U177" s="619">
        <v>10.828626232807053</v>
      </c>
      <c r="V177" s="51"/>
    </row>
    <row r="178" spans="3:22" x14ac:dyDescent="0.25">
      <c r="C178" s="618" t="s">
        <v>75</v>
      </c>
      <c r="D178" s="611">
        <v>3.0438063085937501</v>
      </c>
      <c r="E178" s="611">
        <v>0</v>
      </c>
      <c r="F178" s="611">
        <v>9.7210991282801391</v>
      </c>
      <c r="G178" s="611">
        <v>0</v>
      </c>
      <c r="H178" s="611">
        <v>3.2664120682994437</v>
      </c>
      <c r="I178" s="611">
        <v>0</v>
      </c>
      <c r="J178" s="611">
        <v>0</v>
      </c>
      <c r="K178" s="611">
        <v>0</v>
      </c>
      <c r="L178" s="611">
        <v>0</v>
      </c>
      <c r="M178" s="611">
        <v>0</v>
      </c>
      <c r="N178" s="611">
        <v>0</v>
      </c>
      <c r="O178" s="611">
        <v>1.9850542794488581</v>
      </c>
      <c r="P178" s="611">
        <v>0</v>
      </c>
      <c r="Q178" s="611">
        <v>0</v>
      </c>
      <c r="R178" s="611">
        <v>63.494449496220589</v>
      </c>
      <c r="S178" s="611">
        <v>0</v>
      </c>
      <c r="T178" s="611">
        <v>0</v>
      </c>
      <c r="U178" s="619">
        <v>81.510821280842777</v>
      </c>
      <c r="V178" s="51"/>
    </row>
    <row r="179" spans="3:22" x14ac:dyDescent="0.25">
      <c r="C179" s="618" t="s">
        <v>76</v>
      </c>
      <c r="D179" s="611">
        <v>0</v>
      </c>
      <c r="E179" s="611">
        <v>0</v>
      </c>
      <c r="F179" s="611">
        <v>0</v>
      </c>
      <c r="G179" s="611">
        <v>0</v>
      </c>
      <c r="H179" s="611">
        <v>1.449304487001404</v>
      </c>
      <c r="I179" s="611">
        <v>0</v>
      </c>
      <c r="J179" s="611">
        <v>0</v>
      </c>
      <c r="K179" s="611">
        <v>0</v>
      </c>
      <c r="L179" s="611">
        <v>0</v>
      </c>
      <c r="M179" s="611">
        <v>0</v>
      </c>
      <c r="N179" s="611">
        <v>0</v>
      </c>
      <c r="O179" s="611">
        <v>0.88076703550889179</v>
      </c>
      <c r="P179" s="611">
        <v>0</v>
      </c>
      <c r="Q179" s="611">
        <v>0</v>
      </c>
      <c r="R179" s="611">
        <v>57.445441282352888</v>
      </c>
      <c r="S179" s="611">
        <v>5.3495376277801165</v>
      </c>
      <c r="T179" s="611">
        <v>0</v>
      </c>
      <c r="U179" s="619">
        <v>65.125050432643306</v>
      </c>
      <c r="V179" s="51"/>
    </row>
    <row r="180" spans="3:22" x14ac:dyDescent="0.25">
      <c r="C180" s="614" t="s">
        <v>77</v>
      </c>
      <c r="D180" s="615">
        <v>10.87073681640625</v>
      </c>
      <c r="E180" s="615">
        <v>273.21397966294842</v>
      </c>
      <c r="F180" s="615">
        <v>-257.30961329438645</v>
      </c>
      <c r="G180" s="615">
        <v>-13.61496514917124</v>
      </c>
      <c r="H180" s="615">
        <v>25.703590613494701</v>
      </c>
      <c r="I180" s="615">
        <v>-2.9890617212740871</v>
      </c>
      <c r="J180" s="615">
        <v>1162.199818181818</v>
      </c>
      <c r="K180" s="615">
        <v>371.91258763455278</v>
      </c>
      <c r="L180" s="615">
        <v>360.66651474935435</v>
      </c>
      <c r="M180" s="615">
        <v>14.792242079450457</v>
      </c>
      <c r="N180" s="615">
        <v>-110.80970850880948</v>
      </c>
      <c r="O180" s="615">
        <v>-67.350108914191992</v>
      </c>
      <c r="P180" s="615">
        <v>0</v>
      </c>
      <c r="Q180" s="615">
        <v>15.728210104039281</v>
      </c>
      <c r="R180" s="615">
        <v>-593.79211972204178</v>
      </c>
      <c r="S180" s="615">
        <v>-63.625804262745696</v>
      </c>
      <c r="T180" s="615">
        <v>-40.338765647940747</v>
      </c>
      <c r="U180" s="615">
        <v>1085.2575326215033</v>
      </c>
      <c r="V180" s="51"/>
    </row>
    <row r="181" spans="3:22" x14ac:dyDescent="0.25">
      <c r="C181" s="616"/>
      <c r="D181" s="617"/>
      <c r="E181" s="617"/>
      <c r="F181" s="617"/>
      <c r="G181" s="617"/>
      <c r="H181" s="623"/>
      <c r="I181" s="617"/>
      <c r="J181" s="617"/>
      <c r="K181" s="617"/>
      <c r="L181" s="617"/>
      <c r="M181" s="617"/>
      <c r="N181" s="617"/>
      <c r="O181" s="617"/>
      <c r="P181" s="617"/>
      <c r="Q181" s="617"/>
      <c r="R181" s="617"/>
      <c r="S181" s="617"/>
      <c r="T181" s="617"/>
      <c r="U181" s="617"/>
      <c r="V181" s="51"/>
    </row>
    <row r="182" spans="3:22" x14ac:dyDescent="0.25">
      <c r="C182" s="618" t="s">
        <v>78</v>
      </c>
      <c r="D182" s="611">
        <v>3.1479512226953994</v>
      </c>
      <c r="E182" s="611">
        <v>0</v>
      </c>
      <c r="F182" s="611">
        <v>7.3437351704458669</v>
      </c>
      <c r="G182" s="611">
        <v>0</v>
      </c>
      <c r="H182" s="611">
        <v>47.748408510748327</v>
      </c>
      <c r="I182" s="611">
        <v>0</v>
      </c>
      <c r="J182" s="611">
        <v>0</v>
      </c>
      <c r="K182" s="611">
        <v>0</v>
      </c>
      <c r="L182" s="611">
        <v>22.07297303718682</v>
      </c>
      <c r="M182" s="611">
        <v>7.0398001823904393</v>
      </c>
      <c r="N182" s="611">
        <v>1.8141076681280928</v>
      </c>
      <c r="O182" s="611">
        <v>29.054305571352941</v>
      </c>
      <c r="P182" s="611">
        <v>11.680015624999999</v>
      </c>
      <c r="Q182" s="611">
        <v>7.4990210834655101E-4</v>
      </c>
      <c r="R182" s="611">
        <v>169.36564151206954</v>
      </c>
      <c r="S182" s="611">
        <v>20.361092617344379</v>
      </c>
      <c r="T182" s="611">
        <v>8.2949111328124996</v>
      </c>
      <c r="U182" s="619">
        <v>327.92369215228263</v>
      </c>
      <c r="V182" s="51"/>
    </row>
    <row r="183" spans="3:22" x14ac:dyDescent="0.25">
      <c r="C183" s="618" t="s">
        <v>79</v>
      </c>
      <c r="D183" s="611">
        <v>0</v>
      </c>
      <c r="E183" s="611">
        <v>0</v>
      </c>
      <c r="F183" s="611">
        <v>117.18993365145114</v>
      </c>
      <c r="G183" s="611">
        <v>1.1502523332163914</v>
      </c>
      <c r="H183" s="611">
        <v>4.819889599277416</v>
      </c>
      <c r="I183" s="611">
        <v>0</v>
      </c>
      <c r="J183" s="611">
        <v>0</v>
      </c>
      <c r="K183" s="611">
        <v>0</v>
      </c>
      <c r="L183" s="611">
        <v>0</v>
      </c>
      <c r="M183" s="611">
        <v>0</v>
      </c>
      <c r="N183" s="611">
        <v>66.206077394178237</v>
      </c>
      <c r="O183" s="611">
        <v>2.9291290490785586</v>
      </c>
      <c r="P183" s="611">
        <v>0</v>
      </c>
      <c r="Q183" s="611">
        <v>0</v>
      </c>
      <c r="R183" s="611">
        <v>81.27523543109001</v>
      </c>
      <c r="S183" s="611">
        <v>0</v>
      </c>
      <c r="T183" s="611">
        <v>3.9485258535759078</v>
      </c>
      <c r="U183" s="619">
        <v>277.51904331186768</v>
      </c>
      <c r="V183" s="51"/>
    </row>
    <row r="184" spans="3:22" x14ac:dyDescent="0.25">
      <c r="C184" s="618" t="s">
        <v>80</v>
      </c>
      <c r="D184" s="611">
        <v>0</v>
      </c>
      <c r="E184" s="611">
        <v>0</v>
      </c>
      <c r="F184" s="611">
        <v>1.6468320076287117</v>
      </c>
      <c r="G184" s="611">
        <v>0</v>
      </c>
      <c r="H184" s="611">
        <v>25.682284030722609</v>
      </c>
      <c r="I184" s="611">
        <v>0</v>
      </c>
      <c r="J184" s="611">
        <v>0</v>
      </c>
      <c r="K184" s="611">
        <v>0</v>
      </c>
      <c r="L184" s="611">
        <v>45.576984042024812</v>
      </c>
      <c r="M184" s="611">
        <v>0</v>
      </c>
      <c r="N184" s="611">
        <v>0</v>
      </c>
      <c r="O184" s="611">
        <v>15.60756167783464</v>
      </c>
      <c r="P184" s="611">
        <v>92.9157768842542</v>
      </c>
      <c r="Q184" s="611">
        <v>2.574236293616976</v>
      </c>
      <c r="R184" s="611">
        <v>156.93618693881999</v>
      </c>
      <c r="S184" s="611">
        <v>24.427235185684346</v>
      </c>
      <c r="T184" s="611">
        <v>0</v>
      </c>
      <c r="U184" s="619">
        <v>365.36709706058627</v>
      </c>
      <c r="V184" s="51"/>
    </row>
    <row r="185" spans="3:22" x14ac:dyDescent="0.25">
      <c r="C185" s="618" t="s">
        <v>81</v>
      </c>
      <c r="D185" s="611">
        <v>0</v>
      </c>
      <c r="E185" s="611">
        <v>0</v>
      </c>
      <c r="F185" s="611">
        <v>1.271612584053831</v>
      </c>
      <c r="G185" s="611">
        <v>0</v>
      </c>
      <c r="H185" s="611">
        <v>17.420753976777231</v>
      </c>
      <c r="I185" s="611">
        <v>0</v>
      </c>
      <c r="J185" s="611">
        <v>0</v>
      </c>
      <c r="K185" s="611">
        <v>0</v>
      </c>
      <c r="L185" s="611">
        <v>0.56354292606487522</v>
      </c>
      <c r="M185" s="611">
        <v>0</v>
      </c>
      <c r="N185" s="611">
        <v>0</v>
      </c>
      <c r="O185" s="611">
        <v>10.586889072703848</v>
      </c>
      <c r="P185" s="611">
        <v>43.217503751158631</v>
      </c>
      <c r="Q185" s="611">
        <v>3.0292625971252525</v>
      </c>
      <c r="R185" s="611">
        <v>117.52524441411241</v>
      </c>
      <c r="S185" s="611">
        <v>18.837476459716978</v>
      </c>
      <c r="T185" s="611">
        <v>0</v>
      </c>
      <c r="U185" s="619">
        <v>212.45228578171304</v>
      </c>
      <c r="V185" s="51"/>
    </row>
    <row r="186" spans="3:22" x14ac:dyDescent="0.25">
      <c r="C186" s="618" t="s">
        <v>82</v>
      </c>
      <c r="D186" s="611">
        <v>0</v>
      </c>
      <c r="E186" s="611">
        <v>0</v>
      </c>
      <c r="F186" s="611">
        <v>15.53708337722879</v>
      </c>
      <c r="G186" s="611">
        <v>0</v>
      </c>
      <c r="H186" s="611">
        <v>1.1162643592180237</v>
      </c>
      <c r="I186" s="611">
        <v>0</v>
      </c>
      <c r="J186" s="611">
        <v>0</v>
      </c>
      <c r="K186" s="611">
        <v>0</v>
      </c>
      <c r="L186" s="611">
        <v>2.9587607663349296</v>
      </c>
      <c r="M186" s="611">
        <v>0</v>
      </c>
      <c r="N186" s="611">
        <v>12.733577925179564</v>
      </c>
      <c r="O186" s="611">
        <v>0.67837287425146786</v>
      </c>
      <c r="P186" s="611">
        <v>0.9</v>
      </c>
      <c r="Q186" s="611">
        <v>1.1655332190637568</v>
      </c>
      <c r="R186" s="611">
        <v>6.8855315935924812</v>
      </c>
      <c r="S186" s="611">
        <v>0</v>
      </c>
      <c r="T186" s="611">
        <v>0.44791890791865185</v>
      </c>
      <c r="U186" s="619">
        <v>42.423043022787667</v>
      </c>
      <c r="V186" s="51"/>
    </row>
    <row r="187" spans="3:22" x14ac:dyDescent="0.25">
      <c r="C187" s="618" t="s">
        <v>354</v>
      </c>
      <c r="D187" s="611">
        <v>0</v>
      </c>
      <c r="E187" s="611">
        <v>0</v>
      </c>
      <c r="F187" s="611">
        <v>0</v>
      </c>
      <c r="G187" s="611">
        <v>0</v>
      </c>
      <c r="H187" s="611">
        <v>0</v>
      </c>
      <c r="I187" s="611">
        <v>0</v>
      </c>
      <c r="J187" s="611">
        <v>0</v>
      </c>
      <c r="K187" s="611">
        <v>0</v>
      </c>
      <c r="L187" s="611">
        <v>0</v>
      </c>
      <c r="M187" s="611">
        <v>0</v>
      </c>
      <c r="N187" s="611">
        <v>0</v>
      </c>
      <c r="O187" s="611">
        <v>0</v>
      </c>
      <c r="P187" s="611">
        <v>0</v>
      </c>
      <c r="Q187" s="611">
        <v>0</v>
      </c>
      <c r="R187" s="611">
        <v>2.2597999999999998</v>
      </c>
      <c r="S187" s="611">
        <v>0</v>
      </c>
      <c r="T187" s="611">
        <v>0</v>
      </c>
      <c r="U187" s="619">
        <v>2.2597999999999998</v>
      </c>
      <c r="V187" s="51"/>
    </row>
    <row r="188" spans="3:22" x14ac:dyDescent="0.25">
      <c r="C188" s="614" t="s">
        <v>83</v>
      </c>
      <c r="D188" s="615">
        <v>3.1479512226953994</v>
      </c>
      <c r="E188" s="615">
        <v>0</v>
      </c>
      <c r="F188" s="615">
        <v>142.98919679080834</v>
      </c>
      <c r="G188" s="615">
        <v>1.1502523332163914</v>
      </c>
      <c r="H188" s="615">
        <v>96.787600476743606</v>
      </c>
      <c r="I188" s="615">
        <v>0</v>
      </c>
      <c r="J188" s="615">
        <v>0</v>
      </c>
      <c r="K188" s="615">
        <v>0</v>
      </c>
      <c r="L188" s="615">
        <v>71.172260771611434</v>
      </c>
      <c r="M188" s="615">
        <v>7.0398001823904393</v>
      </c>
      <c r="N188" s="615">
        <v>80.753762987485885</v>
      </c>
      <c r="O188" s="615">
        <v>58.856258245221454</v>
      </c>
      <c r="P188" s="615">
        <v>148.71329626041282</v>
      </c>
      <c r="Q188" s="615">
        <v>6.7697820119143319</v>
      </c>
      <c r="R188" s="615">
        <v>534.24763988968448</v>
      </c>
      <c r="S188" s="615">
        <v>63.625804262745703</v>
      </c>
      <c r="T188" s="615">
        <v>12.691355894307058</v>
      </c>
      <c r="U188" s="615">
        <v>1227.9449613292372</v>
      </c>
      <c r="V188" s="51"/>
    </row>
    <row r="189" spans="3:22" x14ac:dyDescent="0.25">
      <c r="C189" s="610" t="s">
        <v>84</v>
      </c>
      <c r="D189" s="611">
        <v>0</v>
      </c>
      <c r="E189" s="611">
        <v>0</v>
      </c>
      <c r="F189" s="611">
        <v>91.645744339605585</v>
      </c>
      <c r="G189" s="611">
        <v>1.9754203276001159</v>
      </c>
      <c r="H189" s="611">
        <v>9.8671998534986294</v>
      </c>
      <c r="I189" s="611">
        <v>0</v>
      </c>
      <c r="J189" s="611">
        <v>0</v>
      </c>
      <c r="K189" s="611">
        <v>0</v>
      </c>
      <c r="L189" s="611">
        <v>0.29558782815630974</v>
      </c>
      <c r="M189" s="611">
        <v>0</v>
      </c>
      <c r="N189" s="611">
        <v>22.091901685627885</v>
      </c>
      <c r="O189" s="611">
        <v>6.5407527819460896</v>
      </c>
      <c r="P189" s="611">
        <v>0</v>
      </c>
      <c r="Q189" s="611">
        <v>0</v>
      </c>
      <c r="R189" s="611">
        <v>0</v>
      </c>
      <c r="S189" s="611">
        <v>0</v>
      </c>
      <c r="T189" s="611">
        <v>24.889939650510044</v>
      </c>
      <c r="U189" s="619">
        <v>157.30654646694467</v>
      </c>
      <c r="V189" s="51"/>
    </row>
    <row r="190" spans="3:22" x14ac:dyDescent="0.25">
      <c r="C190" s="614" t="s">
        <v>85</v>
      </c>
      <c r="D190" s="615">
        <v>3.1479512226953994</v>
      </c>
      <c r="E190" s="615">
        <v>0</v>
      </c>
      <c r="F190" s="615">
        <v>234.63494113041392</v>
      </c>
      <c r="G190" s="615">
        <v>3.1256726608165071</v>
      </c>
      <c r="H190" s="615">
        <v>106.65480033024224</v>
      </c>
      <c r="I190" s="615">
        <v>0</v>
      </c>
      <c r="J190" s="615">
        <v>0</v>
      </c>
      <c r="K190" s="615">
        <v>0</v>
      </c>
      <c r="L190" s="615">
        <v>71.467848599767748</v>
      </c>
      <c r="M190" s="615">
        <v>7.0398001823904393</v>
      </c>
      <c r="N190" s="615">
        <v>102.84566467311377</v>
      </c>
      <c r="O190" s="615">
        <v>65.397011027167537</v>
      </c>
      <c r="P190" s="615">
        <v>148.71329626041282</v>
      </c>
      <c r="Q190" s="615">
        <v>6.7697820119143319</v>
      </c>
      <c r="R190" s="615">
        <v>534.24763988968448</v>
      </c>
      <c r="S190" s="615">
        <v>63.625804262745703</v>
      </c>
      <c r="T190" s="615">
        <v>37.581295544817102</v>
      </c>
      <c r="U190" s="615">
        <v>1385.2515077961818</v>
      </c>
      <c r="V190" s="51"/>
    </row>
    <row r="191" spans="3:22" x14ac:dyDescent="0.25">
      <c r="C191" s="51"/>
      <c r="D191" s="67">
        <v>0</v>
      </c>
      <c r="E191" s="67">
        <v>0</v>
      </c>
      <c r="F191" s="67">
        <v>0</v>
      </c>
      <c r="G191" s="67">
        <v>0</v>
      </c>
      <c r="H191" s="67">
        <v>0</v>
      </c>
      <c r="I191" s="67">
        <v>0</v>
      </c>
      <c r="J191" s="67">
        <v>0</v>
      </c>
      <c r="K191" s="67">
        <v>0</v>
      </c>
      <c r="L191" s="67">
        <v>0</v>
      </c>
      <c r="M191" s="67">
        <v>-4.2787984175518545E-4</v>
      </c>
      <c r="N191" s="67">
        <v>0</v>
      </c>
      <c r="O191" s="67">
        <v>-1.6431300764452317E-14</v>
      </c>
      <c r="P191" s="67">
        <v>0</v>
      </c>
      <c r="Q191" s="67">
        <v>0</v>
      </c>
      <c r="R191" s="67">
        <v>0</v>
      </c>
      <c r="S191" s="67">
        <v>7.1054273576010019E-15</v>
      </c>
      <c r="T191" s="67">
        <v>-6.2172489379008766E-15</v>
      </c>
      <c r="U191" s="67">
        <v>-4.278798414816265E-4</v>
      </c>
      <c r="V191" s="51"/>
    </row>
    <row r="192" spans="3:22" x14ac:dyDescent="0.25">
      <c r="C192" s="51"/>
      <c r="D192" s="51"/>
      <c r="E192" s="51"/>
      <c r="F192" s="51"/>
      <c r="G192" s="67"/>
      <c r="H192" s="51"/>
      <c r="I192" s="51"/>
      <c r="J192" s="51"/>
      <c r="K192" s="51"/>
      <c r="L192" s="51"/>
      <c r="M192" s="51"/>
      <c r="N192" s="51"/>
      <c r="O192" s="51"/>
      <c r="P192" s="51"/>
      <c r="Q192" s="51"/>
      <c r="R192" s="51"/>
      <c r="S192" s="51"/>
      <c r="T192" s="51"/>
      <c r="U192" s="51"/>
      <c r="V192" s="51"/>
    </row>
    <row r="193" spans="3:22" x14ac:dyDescent="0.25">
      <c r="C193" s="607" t="s">
        <v>360</v>
      </c>
      <c r="D193" s="606"/>
      <c r="E193" s="606"/>
      <c r="F193" s="606"/>
      <c r="G193" s="682"/>
      <c r="H193" s="606"/>
      <c r="I193" s="606"/>
      <c r="J193" s="606"/>
      <c r="K193" s="606"/>
      <c r="L193" s="606"/>
      <c r="M193" s="606"/>
      <c r="N193" s="606"/>
      <c r="O193" s="606"/>
      <c r="P193" s="606"/>
      <c r="Q193" s="606"/>
      <c r="R193" s="606"/>
      <c r="S193" s="606"/>
      <c r="T193" s="606"/>
      <c r="U193" s="606"/>
      <c r="V193" s="606"/>
    </row>
    <row r="194" spans="3:22" x14ac:dyDescent="0.25">
      <c r="C194" s="51"/>
      <c r="D194" s="51"/>
      <c r="E194" s="51"/>
      <c r="F194" s="51"/>
      <c r="G194" s="67"/>
      <c r="H194" s="51"/>
      <c r="I194" s="51"/>
      <c r="J194" s="51"/>
      <c r="K194" s="51"/>
      <c r="L194" s="51"/>
      <c r="M194" s="51"/>
      <c r="N194" s="51"/>
      <c r="O194" s="51"/>
      <c r="P194" s="51"/>
      <c r="Q194" s="51"/>
      <c r="R194" s="51"/>
      <c r="S194" s="51"/>
      <c r="T194" s="51"/>
      <c r="U194" s="51"/>
      <c r="V194" s="51"/>
    </row>
    <row r="195" spans="3:22" x14ac:dyDescent="0.25">
      <c r="C195" s="764" t="s">
        <v>128</v>
      </c>
      <c r="D195" s="753" t="s">
        <v>42</v>
      </c>
      <c r="E195" s="753" t="s">
        <v>52</v>
      </c>
      <c r="F195" s="753" t="s">
        <v>53</v>
      </c>
      <c r="G195" s="766" t="s">
        <v>482</v>
      </c>
      <c r="H195" s="753" t="s">
        <v>32</v>
      </c>
      <c r="I195" s="753" t="s">
        <v>483</v>
      </c>
      <c r="J195" s="753" t="s">
        <v>20</v>
      </c>
      <c r="K195" s="753" t="s">
        <v>55</v>
      </c>
      <c r="L195" s="761" t="s">
        <v>56</v>
      </c>
      <c r="M195" s="762"/>
      <c r="N195" s="762"/>
      <c r="O195" s="762"/>
      <c r="P195" s="762"/>
      <c r="Q195" s="763"/>
      <c r="R195" s="753" t="s">
        <v>57</v>
      </c>
      <c r="S195" s="753" t="s">
        <v>58</v>
      </c>
      <c r="T195" s="753" t="s">
        <v>31</v>
      </c>
      <c r="U195" s="753" t="s">
        <v>10</v>
      </c>
      <c r="V195" s="51"/>
    </row>
    <row r="196" spans="3:22" ht="36" x14ac:dyDescent="0.25">
      <c r="C196" s="765"/>
      <c r="D196" s="754"/>
      <c r="E196" s="754"/>
      <c r="F196" s="754"/>
      <c r="G196" s="767"/>
      <c r="H196" s="754"/>
      <c r="I196" s="754"/>
      <c r="J196" s="754"/>
      <c r="K196" s="754"/>
      <c r="L196" s="608" t="s">
        <v>335</v>
      </c>
      <c r="M196" s="608" t="s">
        <v>40</v>
      </c>
      <c r="N196" s="608" t="s">
        <v>343</v>
      </c>
      <c r="O196" s="608" t="s">
        <v>344</v>
      </c>
      <c r="P196" s="609" t="s">
        <v>345</v>
      </c>
      <c r="Q196" s="608" t="s">
        <v>346</v>
      </c>
      <c r="R196" s="754"/>
      <c r="S196" s="754"/>
      <c r="T196" s="754"/>
      <c r="U196" s="754"/>
      <c r="V196" s="51"/>
    </row>
    <row r="197" spans="3:22" x14ac:dyDescent="0.25">
      <c r="C197" s="610" t="s">
        <v>59</v>
      </c>
      <c r="D197" s="611">
        <v>0</v>
      </c>
      <c r="E197" s="611">
        <v>0</v>
      </c>
      <c r="F197" s="611">
        <v>0</v>
      </c>
      <c r="G197" s="611">
        <v>0</v>
      </c>
      <c r="H197" s="611">
        <v>0</v>
      </c>
      <c r="I197" s="611">
        <v>0</v>
      </c>
      <c r="J197" s="612">
        <v>1175.1327636363635</v>
      </c>
      <c r="K197" s="612">
        <v>409.44348403288171</v>
      </c>
      <c r="L197" s="612">
        <v>455.63054491967773</v>
      </c>
      <c r="M197" s="612">
        <v>21.888057205261063</v>
      </c>
      <c r="N197" s="611">
        <v>1.5769202529293118</v>
      </c>
      <c r="O197" s="611">
        <v>0.16705675062100381</v>
      </c>
      <c r="P197" s="612">
        <v>157.62105211134346</v>
      </c>
      <c r="Q197" s="612">
        <v>24.53711550235386</v>
      </c>
      <c r="R197" s="611">
        <v>0</v>
      </c>
      <c r="S197" s="611">
        <v>0</v>
      </c>
      <c r="T197" s="611">
        <v>0</v>
      </c>
      <c r="U197" s="613">
        <v>2245.9969944114318</v>
      </c>
      <c r="V197" s="51"/>
    </row>
    <row r="198" spans="3:22" x14ac:dyDescent="0.25">
      <c r="C198" s="610" t="s">
        <v>60</v>
      </c>
      <c r="D198" s="611">
        <v>13.340633881136302</v>
      </c>
      <c r="E198" s="611">
        <v>239.69119414034884</v>
      </c>
      <c r="F198" s="611">
        <v>4.6624671135986846</v>
      </c>
      <c r="G198" s="611">
        <v>0</v>
      </c>
      <c r="H198" s="611">
        <v>97.60128544811127</v>
      </c>
      <c r="I198" s="611">
        <v>0</v>
      </c>
      <c r="J198" s="611">
        <v>0</v>
      </c>
      <c r="K198" s="611">
        <v>0</v>
      </c>
      <c r="L198" s="611">
        <v>4.1311012816916577</v>
      </c>
      <c r="M198" s="611">
        <v>0</v>
      </c>
      <c r="N198" s="611">
        <v>5.4710090626624357</v>
      </c>
      <c r="O198" s="611">
        <v>0</v>
      </c>
      <c r="P198" s="611">
        <v>0</v>
      </c>
      <c r="Q198" s="611">
        <v>0</v>
      </c>
      <c r="R198" s="611">
        <v>0</v>
      </c>
      <c r="S198" s="611">
        <v>0</v>
      </c>
      <c r="T198" s="611">
        <v>0</v>
      </c>
      <c r="U198" s="613">
        <v>364.89769092754926</v>
      </c>
      <c r="V198" s="51"/>
    </row>
    <row r="199" spans="3:22" x14ac:dyDescent="0.25">
      <c r="C199" s="610" t="s">
        <v>61</v>
      </c>
      <c r="D199" s="611">
        <v>0</v>
      </c>
      <c r="E199" s="611">
        <v>0</v>
      </c>
      <c r="F199" s="611">
        <v>-17.494356691854108</v>
      </c>
      <c r="G199" s="611">
        <v>-1.7254456421765063</v>
      </c>
      <c r="H199" s="611">
        <v>0</v>
      </c>
      <c r="I199" s="611">
        <v>0</v>
      </c>
      <c r="J199" s="611">
        <v>0</v>
      </c>
      <c r="K199" s="611">
        <v>0</v>
      </c>
      <c r="L199" s="611">
        <v>0</v>
      </c>
      <c r="M199" s="611">
        <v>0</v>
      </c>
      <c r="N199" s="611">
        <v>0</v>
      </c>
      <c r="O199" s="611">
        <v>0</v>
      </c>
      <c r="P199" s="611">
        <v>0</v>
      </c>
      <c r="Q199" s="611">
        <v>0</v>
      </c>
      <c r="R199" s="611">
        <v>-53.009184488039523</v>
      </c>
      <c r="S199" s="611">
        <v>0</v>
      </c>
      <c r="T199" s="611">
        <v>0</v>
      </c>
      <c r="U199" s="613">
        <v>-72.228986822070141</v>
      </c>
      <c r="V199" s="51"/>
    </row>
    <row r="200" spans="3:22" x14ac:dyDescent="0.25">
      <c r="C200" s="610" t="s">
        <v>62</v>
      </c>
      <c r="D200" s="611">
        <v>0</v>
      </c>
      <c r="E200" s="611">
        <v>0</v>
      </c>
      <c r="F200" s="611">
        <v>-5.0879563574801514</v>
      </c>
      <c r="G200" s="611">
        <v>-4.1045183661856841</v>
      </c>
      <c r="H200" s="611">
        <v>0</v>
      </c>
      <c r="I200" s="611">
        <v>-3.6084739343150005</v>
      </c>
      <c r="J200" s="611">
        <v>0</v>
      </c>
      <c r="K200" s="611">
        <v>0</v>
      </c>
      <c r="L200" s="611">
        <v>0</v>
      </c>
      <c r="M200" s="611">
        <v>0</v>
      </c>
      <c r="N200" s="611">
        <v>-1.3861783673523449</v>
      </c>
      <c r="O200" s="611">
        <v>-2.4056492895433337</v>
      </c>
      <c r="P200" s="611">
        <v>0</v>
      </c>
      <c r="Q200" s="611">
        <v>0</v>
      </c>
      <c r="R200" s="611">
        <v>0</v>
      </c>
      <c r="S200" s="611">
        <v>0</v>
      </c>
      <c r="T200" s="611">
        <v>-1.1711400462326651</v>
      </c>
      <c r="U200" s="613">
        <v>-17.763916361109182</v>
      </c>
      <c r="V200" s="51"/>
    </row>
    <row r="201" spans="3:22" x14ac:dyDescent="0.25">
      <c r="C201" s="610" t="s">
        <v>63</v>
      </c>
      <c r="D201" s="611">
        <v>0</v>
      </c>
      <c r="E201" s="611">
        <v>0</v>
      </c>
      <c r="F201" s="611">
        <v>-39.079068395762839</v>
      </c>
      <c r="G201" s="611">
        <v>-8.2277507760007769</v>
      </c>
      <c r="H201" s="611">
        <v>0</v>
      </c>
      <c r="I201" s="611">
        <v>0</v>
      </c>
      <c r="J201" s="611">
        <v>0</v>
      </c>
      <c r="K201" s="611">
        <v>0</v>
      </c>
      <c r="L201" s="611">
        <v>0</v>
      </c>
      <c r="M201" s="611">
        <v>0</v>
      </c>
      <c r="N201" s="611">
        <v>-15.189693740309128</v>
      </c>
      <c r="O201" s="611">
        <v>0</v>
      </c>
      <c r="P201" s="611">
        <v>0</v>
      </c>
      <c r="Q201" s="611">
        <v>0</v>
      </c>
      <c r="R201" s="611">
        <v>0</v>
      </c>
      <c r="S201" s="611">
        <v>0</v>
      </c>
      <c r="T201" s="611">
        <v>-2.6141112366127883</v>
      </c>
      <c r="U201" s="613">
        <v>-65.110624148685531</v>
      </c>
      <c r="V201" s="51"/>
    </row>
    <row r="202" spans="3:22" x14ac:dyDescent="0.25">
      <c r="C202" s="610" t="s">
        <v>64</v>
      </c>
      <c r="D202" s="611">
        <v>0</v>
      </c>
      <c r="E202" s="611">
        <v>0</v>
      </c>
      <c r="F202" s="611">
        <v>0</v>
      </c>
      <c r="G202" s="611">
        <v>0</v>
      </c>
      <c r="H202" s="611">
        <v>0</v>
      </c>
      <c r="I202" s="611">
        <v>0</v>
      </c>
      <c r="J202" s="611">
        <v>0</v>
      </c>
      <c r="K202" s="611">
        <v>0</v>
      </c>
      <c r="L202" s="611">
        <v>0</v>
      </c>
      <c r="M202" s="611">
        <v>0</v>
      </c>
      <c r="N202" s="611">
        <v>0</v>
      </c>
      <c r="O202" s="611">
        <v>0</v>
      </c>
      <c r="P202" s="611">
        <v>0</v>
      </c>
      <c r="Q202" s="611">
        <v>0</v>
      </c>
      <c r="R202" s="611">
        <v>0</v>
      </c>
      <c r="S202" s="611">
        <v>0</v>
      </c>
      <c r="T202" s="611">
        <v>0</v>
      </c>
      <c r="U202" s="613">
        <v>0</v>
      </c>
      <c r="V202" s="51"/>
    </row>
    <row r="203" spans="3:22" x14ac:dyDescent="0.25">
      <c r="C203" s="614" t="s">
        <v>65</v>
      </c>
      <c r="D203" s="615">
        <v>13.340633881136302</v>
      </c>
      <c r="E203" s="615">
        <v>239.69119414034884</v>
      </c>
      <c r="F203" s="615">
        <v>-56.998914331498412</v>
      </c>
      <c r="G203" s="615">
        <v>-14.057714784362968</v>
      </c>
      <c r="H203" s="615">
        <v>97.60128544811127</v>
      </c>
      <c r="I203" s="615">
        <v>-3.6084739343150005</v>
      </c>
      <c r="J203" s="615">
        <v>1175.1327636363635</v>
      </c>
      <c r="K203" s="615">
        <v>409.44348403288171</v>
      </c>
      <c r="L203" s="615">
        <v>459.76164620136939</v>
      </c>
      <c r="M203" s="615">
        <v>21.888057205261063</v>
      </c>
      <c r="N203" s="615">
        <v>-9.5279427920697266</v>
      </c>
      <c r="O203" s="615">
        <v>-2.23859253892233</v>
      </c>
      <c r="P203" s="615">
        <v>157.62105211134346</v>
      </c>
      <c r="Q203" s="615">
        <v>24.53711550235386</v>
      </c>
      <c r="R203" s="615">
        <v>-53.009184488039523</v>
      </c>
      <c r="S203" s="615">
        <v>0</v>
      </c>
      <c r="T203" s="615">
        <v>-3.7852512828454534</v>
      </c>
      <c r="U203" s="615">
        <v>2455.7911580071163</v>
      </c>
      <c r="V203" s="51"/>
    </row>
    <row r="204" spans="3:22" x14ac:dyDescent="0.25">
      <c r="C204" s="616"/>
      <c r="D204" s="617"/>
      <c r="E204" s="617"/>
      <c r="F204" s="617"/>
      <c r="G204" s="617"/>
      <c r="H204" s="623"/>
      <c r="I204" s="617"/>
      <c r="J204" s="617"/>
      <c r="K204" s="617"/>
      <c r="L204" s="617"/>
      <c r="M204" s="617"/>
      <c r="N204" s="617"/>
      <c r="O204" s="617"/>
      <c r="P204" s="617"/>
      <c r="Q204" s="617"/>
      <c r="R204" s="617"/>
      <c r="S204" s="617"/>
      <c r="T204" s="617"/>
      <c r="U204" s="617"/>
      <c r="V204" s="51"/>
    </row>
    <row r="205" spans="3:22" x14ac:dyDescent="0.25">
      <c r="C205" s="618" t="s">
        <v>67</v>
      </c>
      <c r="D205" s="611">
        <v>0</v>
      </c>
      <c r="E205" s="611">
        <v>0</v>
      </c>
      <c r="F205" s="611">
        <v>0</v>
      </c>
      <c r="G205" s="611">
        <v>0</v>
      </c>
      <c r="H205" s="611">
        <v>0</v>
      </c>
      <c r="I205" s="611">
        <v>0</v>
      </c>
      <c r="J205" s="611">
        <v>0</v>
      </c>
      <c r="K205" s="611">
        <v>0</v>
      </c>
      <c r="L205" s="611">
        <v>0</v>
      </c>
      <c r="M205" s="611">
        <v>0</v>
      </c>
      <c r="N205" s="611">
        <v>0</v>
      </c>
      <c r="O205" s="611">
        <v>0</v>
      </c>
      <c r="P205" s="611">
        <v>0</v>
      </c>
      <c r="Q205" s="611">
        <v>0</v>
      </c>
      <c r="R205" s="611">
        <v>0</v>
      </c>
      <c r="S205" s="611">
        <v>0</v>
      </c>
      <c r="T205" s="611">
        <v>0</v>
      </c>
      <c r="U205" s="619">
        <v>0</v>
      </c>
      <c r="V205" s="51"/>
    </row>
    <row r="206" spans="3:22" x14ac:dyDescent="0.25">
      <c r="C206" s="618" t="s">
        <v>347</v>
      </c>
      <c r="D206" s="611">
        <v>0</v>
      </c>
      <c r="E206" s="611">
        <v>0</v>
      </c>
      <c r="F206" s="611">
        <v>6.6151953400033478E-2</v>
      </c>
      <c r="G206" s="611">
        <v>0</v>
      </c>
      <c r="H206" s="611">
        <v>0.83875095652173937</v>
      </c>
      <c r="I206" s="611">
        <v>0</v>
      </c>
      <c r="J206" s="611">
        <v>1175.1327636363635</v>
      </c>
      <c r="K206" s="611">
        <v>409.44348403288171</v>
      </c>
      <c r="L206" s="611">
        <v>23.084193835391716</v>
      </c>
      <c r="M206" s="611">
        <v>0.60990924478748687</v>
      </c>
      <c r="N206" s="611">
        <v>5.6269378379330357</v>
      </c>
      <c r="O206" s="611">
        <v>0.80015093186061059</v>
      </c>
      <c r="P206" s="611">
        <v>0</v>
      </c>
      <c r="Q206" s="611">
        <v>6.4327567473291545</v>
      </c>
      <c r="R206" s="611">
        <v>-844.61232621268675</v>
      </c>
      <c r="S206" s="611">
        <v>0</v>
      </c>
      <c r="T206" s="611">
        <v>3.6921899999999996</v>
      </c>
      <c r="U206" s="619">
        <v>781.1149629637822</v>
      </c>
      <c r="V206" s="51"/>
    </row>
    <row r="207" spans="3:22" x14ac:dyDescent="0.25">
      <c r="C207" s="618" t="s">
        <v>348</v>
      </c>
      <c r="D207" s="611">
        <v>0</v>
      </c>
      <c r="E207" s="611">
        <v>0</v>
      </c>
      <c r="F207" s="611">
        <v>0</v>
      </c>
      <c r="G207" s="611">
        <v>0</v>
      </c>
      <c r="H207" s="611">
        <v>7.3970017533359673</v>
      </c>
      <c r="I207" s="611">
        <v>0</v>
      </c>
      <c r="J207" s="611">
        <v>0</v>
      </c>
      <c r="K207" s="611">
        <v>0</v>
      </c>
      <c r="L207" s="611">
        <v>35.211219886643882</v>
      </c>
      <c r="M207" s="611">
        <v>14.290044583270845</v>
      </c>
      <c r="N207" s="611">
        <v>0</v>
      </c>
      <c r="O207" s="611">
        <v>6.0665861374245376</v>
      </c>
      <c r="P207" s="611">
        <v>0</v>
      </c>
      <c r="Q207" s="611">
        <v>10.923199976732462</v>
      </c>
      <c r="R207" s="611">
        <v>0</v>
      </c>
      <c r="S207" s="611">
        <v>-68.689846406921419</v>
      </c>
      <c r="T207" s="611">
        <v>0</v>
      </c>
      <c r="U207" s="619">
        <v>5.1982059304862673</v>
      </c>
      <c r="V207" s="51"/>
    </row>
    <row r="208" spans="3:22" x14ac:dyDescent="0.25">
      <c r="C208" s="618" t="s">
        <v>349</v>
      </c>
      <c r="D208" s="611">
        <v>0</v>
      </c>
      <c r="E208" s="611">
        <v>0</v>
      </c>
      <c r="F208" s="611">
        <v>0</v>
      </c>
      <c r="G208" s="611">
        <v>0</v>
      </c>
      <c r="H208" s="611">
        <v>0</v>
      </c>
      <c r="I208" s="611">
        <v>0</v>
      </c>
      <c r="J208" s="611">
        <v>0</v>
      </c>
      <c r="K208" s="611">
        <v>0</v>
      </c>
      <c r="L208" s="611">
        <v>91.2295818617647</v>
      </c>
      <c r="M208" s="611">
        <v>0</v>
      </c>
      <c r="N208" s="611">
        <v>0</v>
      </c>
      <c r="O208" s="611">
        <v>-82.683413983490482</v>
      </c>
      <c r="P208" s="611">
        <v>0</v>
      </c>
      <c r="Q208" s="611">
        <v>0</v>
      </c>
      <c r="R208" s="611">
        <v>0</v>
      </c>
      <c r="S208" s="611">
        <v>0</v>
      </c>
      <c r="T208" s="611">
        <v>0</v>
      </c>
      <c r="U208" s="619">
        <v>8.5461678782742183</v>
      </c>
      <c r="V208" s="51"/>
    </row>
    <row r="209" spans="3:22" x14ac:dyDescent="0.25">
      <c r="C209" s="618" t="s">
        <v>350</v>
      </c>
      <c r="D209" s="611">
        <v>0</v>
      </c>
      <c r="E209" s="611">
        <v>0</v>
      </c>
      <c r="F209" s="611">
        <v>0</v>
      </c>
      <c r="G209" s="611">
        <v>0</v>
      </c>
      <c r="H209" s="611">
        <v>0</v>
      </c>
      <c r="I209" s="611">
        <v>-3.6084739343150005</v>
      </c>
      <c r="J209" s="611">
        <v>0</v>
      </c>
      <c r="K209" s="611">
        <v>0</v>
      </c>
      <c r="L209" s="611">
        <v>0</v>
      </c>
      <c r="M209" s="611">
        <v>0</v>
      </c>
      <c r="N209" s="611">
        <v>0</v>
      </c>
      <c r="O209" s="611">
        <v>0</v>
      </c>
      <c r="P209" s="611">
        <v>0</v>
      </c>
      <c r="Q209" s="611">
        <v>0</v>
      </c>
      <c r="R209" s="611">
        <v>0</v>
      </c>
      <c r="S209" s="611">
        <v>0</v>
      </c>
      <c r="T209" s="611">
        <v>5.0117693532152785</v>
      </c>
      <c r="U209" s="619">
        <v>1.403295418900278</v>
      </c>
      <c r="V209" s="51"/>
    </row>
    <row r="210" spans="3:22" x14ac:dyDescent="0.25">
      <c r="C210" s="618" t="s">
        <v>72</v>
      </c>
      <c r="D210" s="611">
        <v>0</v>
      </c>
      <c r="E210" s="611">
        <v>248.37987406049137</v>
      </c>
      <c r="F210" s="611">
        <v>-245.90430306488159</v>
      </c>
      <c r="G210" s="611">
        <v>0</v>
      </c>
      <c r="H210" s="611">
        <v>0</v>
      </c>
      <c r="I210" s="611">
        <v>0</v>
      </c>
      <c r="J210" s="611">
        <v>0</v>
      </c>
      <c r="K210" s="611">
        <v>0</v>
      </c>
      <c r="L210" s="611">
        <v>0</v>
      </c>
      <c r="M210" s="611">
        <v>0</v>
      </c>
      <c r="N210" s="611">
        <v>0</v>
      </c>
      <c r="O210" s="611">
        <v>0</v>
      </c>
      <c r="P210" s="611">
        <v>0</v>
      </c>
      <c r="Q210" s="611">
        <v>0</v>
      </c>
      <c r="R210" s="611">
        <v>0</v>
      </c>
      <c r="S210" s="611">
        <v>0</v>
      </c>
      <c r="T210" s="611">
        <v>0</v>
      </c>
      <c r="U210" s="619">
        <v>2.475570995609786</v>
      </c>
      <c r="V210" s="51"/>
    </row>
    <row r="211" spans="3:22" x14ac:dyDescent="0.25">
      <c r="C211" s="618" t="s">
        <v>351</v>
      </c>
      <c r="D211" s="611">
        <v>0</v>
      </c>
      <c r="E211" s="611">
        <v>0</v>
      </c>
      <c r="F211" s="611">
        <v>0</v>
      </c>
      <c r="G211" s="611">
        <v>0</v>
      </c>
      <c r="H211" s="611">
        <v>0</v>
      </c>
      <c r="I211" s="611">
        <v>0</v>
      </c>
      <c r="J211" s="611">
        <v>0</v>
      </c>
      <c r="K211" s="611">
        <v>0</v>
      </c>
      <c r="L211" s="611">
        <v>241.23547887431721</v>
      </c>
      <c r="M211" s="611">
        <v>0</v>
      </c>
      <c r="N211" s="611">
        <v>-132.67951338087448</v>
      </c>
      <c r="O211" s="611">
        <v>0</v>
      </c>
      <c r="P211" s="611">
        <v>0</v>
      </c>
      <c r="Q211" s="611">
        <v>0</v>
      </c>
      <c r="R211" s="611">
        <v>0</v>
      </c>
      <c r="S211" s="611">
        <v>0</v>
      </c>
      <c r="T211" s="611">
        <v>0</v>
      </c>
      <c r="U211" s="619">
        <v>108.55596549344273</v>
      </c>
      <c r="V211" s="51"/>
    </row>
    <row r="212" spans="3:22" x14ac:dyDescent="0.25">
      <c r="C212" s="618" t="s">
        <v>352</v>
      </c>
      <c r="D212" s="611">
        <v>0</v>
      </c>
      <c r="E212" s="611">
        <v>0</v>
      </c>
      <c r="F212" s="611">
        <v>0</v>
      </c>
      <c r="G212" s="611">
        <v>-17.665386413709186</v>
      </c>
      <c r="H212" s="611">
        <v>0</v>
      </c>
      <c r="I212" s="611">
        <v>0</v>
      </c>
      <c r="J212" s="611">
        <v>0</v>
      </c>
      <c r="K212" s="611">
        <v>0</v>
      </c>
      <c r="L212" s="611">
        <v>0</v>
      </c>
      <c r="M212" s="611">
        <v>0</v>
      </c>
      <c r="N212" s="611">
        <v>0</v>
      </c>
      <c r="O212" s="611">
        <v>0</v>
      </c>
      <c r="P212" s="611">
        <v>0</v>
      </c>
      <c r="Q212" s="611">
        <v>0</v>
      </c>
      <c r="R212" s="611">
        <v>0</v>
      </c>
      <c r="S212" s="611">
        <v>0</v>
      </c>
      <c r="T212" s="611">
        <v>23.034172245220685</v>
      </c>
      <c r="U212" s="619">
        <v>5.3687858315114987</v>
      </c>
      <c r="V212" s="51"/>
    </row>
    <row r="213" spans="3:22" x14ac:dyDescent="0.25">
      <c r="C213" s="618" t="s">
        <v>73</v>
      </c>
      <c r="D213" s="611">
        <v>0</v>
      </c>
      <c r="E213" s="611">
        <v>0</v>
      </c>
      <c r="F213" s="611">
        <v>0</v>
      </c>
      <c r="G213" s="611">
        <v>0</v>
      </c>
      <c r="H213" s="611">
        <v>0</v>
      </c>
      <c r="I213" s="611">
        <v>0</v>
      </c>
      <c r="J213" s="611">
        <v>0</v>
      </c>
      <c r="K213" s="611">
        <v>0</v>
      </c>
      <c r="L213" s="611">
        <v>0</v>
      </c>
      <c r="M213" s="611">
        <v>0</v>
      </c>
      <c r="N213" s="611">
        <v>0</v>
      </c>
      <c r="O213" s="611">
        <v>0</v>
      </c>
      <c r="P213" s="611">
        <v>0</v>
      </c>
      <c r="Q213" s="611">
        <v>0</v>
      </c>
      <c r="R213" s="611">
        <v>117.85286984461516</v>
      </c>
      <c r="S213" s="611">
        <v>0</v>
      </c>
      <c r="T213" s="611">
        <v>-80.729215843561391</v>
      </c>
      <c r="U213" s="619">
        <v>37.123654001053765</v>
      </c>
      <c r="V213" s="51"/>
    </row>
    <row r="214" spans="3:22" x14ac:dyDescent="0.25">
      <c r="C214" s="618" t="s">
        <v>353</v>
      </c>
      <c r="D214" s="611">
        <v>7.6015399218749993</v>
      </c>
      <c r="E214" s="611">
        <v>-8.6886799201425244</v>
      </c>
      <c r="F214" s="611">
        <v>11.323469941688563</v>
      </c>
      <c r="G214" s="611">
        <v>0</v>
      </c>
      <c r="H214" s="611">
        <v>0</v>
      </c>
      <c r="I214" s="611">
        <v>0</v>
      </c>
      <c r="J214" s="611">
        <v>0</v>
      </c>
      <c r="K214" s="611">
        <v>0</v>
      </c>
      <c r="L214" s="611">
        <v>0</v>
      </c>
      <c r="M214" s="611">
        <v>0</v>
      </c>
      <c r="N214" s="611">
        <v>0</v>
      </c>
      <c r="O214" s="611">
        <v>0</v>
      </c>
      <c r="P214" s="611">
        <v>0</v>
      </c>
      <c r="Q214" s="611">
        <v>0</v>
      </c>
      <c r="R214" s="611">
        <v>0</v>
      </c>
      <c r="S214" s="611">
        <v>0</v>
      </c>
      <c r="T214" s="611">
        <v>0</v>
      </c>
      <c r="U214" s="619">
        <v>10.236329943421037</v>
      </c>
      <c r="V214" s="51"/>
    </row>
    <row r="215" spans="3:22" x14ac:dyDescent="0.25">
      <c r="C215" s="618" t="s">
        <v>75</v>
      </c>
      <c r="D215" s="611">
        <v>2.9561544140625</v>
      </c>
      <c r="E215" s="611">
        <v>0</v>
      </c>
      <c r="F215" s="611">
        <v>8.5207834498967969</v>
      </c>
      <c r="G215" s="611">
        <v>0</v>
      </c>
      <c r="H215" s="611">
        <v>2.8438669910513061</v>
      </c>
      <c r="I215" s="611">
        <v>0</v>
      </c>
      <c r="J215" s="611">
        <v>0</v>
      </c>
      <c r="K215" s="611">
        <v>0</v>
      </c>
      <c r="L215" s="611">
        <v>0</v>
      </c>
      <c r="M215" s="611">
        <v>0</v>
      </c>
      <c r="N215" s="611">
        <v>0</v>
      </c>
      <c r="O215" s="611">
        <v>2.3268002654056139</v>
      </c>
      <c r="P215" s="611">
        <v>0</v>
      </c>
      <c r="Q215" s="611">
        <v>0</v>
      </c>
      <c r="R215" s="611">
        <v>65.316211737855681</v>
      </c>
      <c r="S215" s="611">
        <v>0</v>
      </c>
      <c r="T215" s="611">
        <v>0</v>
      </c>
      <c r="U215" s="619">
        <v>81.963816858271898</v>
      </c>
      <c r="V215" s="51"/>
    </row>
    <row r="216" spans="3:22" x14ac:dyDescent="0.25">
      <c r="C216" s="618" t="s">
        <v>76</v>
      </c>
      <c r="D216" s="611">
        <v>0</v>
      </c>
      <c r="E216" s="611">
        <v>0</v>
      </c>
      <c r="F216" s="611">
        <v>0</v>
      </c>
      <c r="G216" s="611">
        <v>0</v>
      </c>
      <c r="H216" s="611">
        <v>1.0508214280770161</v>
      </c>
      <c r="I216" s="611">
        <v>0</v>
      </c>
      <c r="J216" s="611">
        <v>0</v>
      </c>
      <c r="K216" s="611">
        <v>0</v>
      </c>
      <c r="L216" s="611">
        <v>0</v>
      </c>
      <c r="M216" s="611">
        <v>0</v>
      </c>
      <c r="N216" s="611">
        <v>0</v>
      </c>
      <c r="O216" s="611">
        <v>0.85976298660846773</v>
      </c>
      <c r="P216" s="611">
        <v>0</v>
      </c>
      <c r="Q216" s="611">
        <v>0</v>
      </c>
      <c r="R216" s="611">
        <v>60.605480102995763</v>
      </c>
      <c r="S216" s="611">
        <v>5.3274820450671472</v>
      </c>
      <c r="T216" s="611">
        <v>0</v>
      </c>
      <c r="U216" s="619">
        <v>67.843546562748386</v>
      </c>
      <c r="V216" s="51"/>
    </row>
    <row r="217" spans="3:22" x14ac:dyDescent="0.25">
      <c r="C217" s="614" t="s">
        <v>77</v>
      </c>
      <c r="D217" s="615">
        <v>10.5576943359375</v>
      </c>
      <c r="E217" s="615">
        <v>239.69119414034884</v>
      </c>
      <c r="F217" s="615">
        <v>-225.99389771989621</v>
      </c>
      <c r="G217" s="615">
        <v>-17.665386413709186</v>
      </c>
      <c r="H217" s="615">
        <v>12.13044112898603</v>
      </c>
      <c r="I217" s="615">
        <v>-3.6084739343150005</v>
      </c>
      <c r="J217" s="615">
        <v>1175.1327636363635</v>
      </c>
      <c r="K217" s="615">
        <v>409.44348403288171</v>
      </c>
      <c r="L217" s="615">
        <v>390.76047445811753</v>
      </c>
      <c r="M217" s="615">
        <v>14.899953828058331</v>
      </c>
      <c r="N217" s="615">
        <v>-127.05257554294144</v>
      </c>
      <c r="O217" s="615">
        <v>-72.630113662191249</v>
      </c>
      <c r="P217" s="615">
        <v>0</v>
      </c>
      <c r="Q217" s="615">
        <v>17.355956724061617</v>
      </c>
      <c r="R217" s="615">
        <v>-600.83776452722009</v>
      </c>
      <c r="S217" s="615">
        <v>-63.362364361854269</v>
      </c>
      <c r="T217" s="615">
        <v>-48.991084245125428</v>
      </c>
      <c r="U217" s="615">
        <v>1109.8303018775021</v>
      </c>
      <c r="V217" s="51"/>
    </row>
    <row r="218" spans="3:22" x14ac:dyDescent="0.25">
      <c r="C218" s="616"/>
      <c r="D218" s="617"/>
      <c r="E218" s="617"/>
      <c r="F218" s="617"/>
      <c r="G218" s="617"/>
      <c r="H218" s="623"/>
      <c r="I218" s="617"/>
      <c r="J218" s="617"/>
      <c r="K218" s="617"/>
      <c r="L218" s="617"/>
      <c r="M218" s="617"/>
      <c r="N218" s="617"/>
      <c r="O218" s="617"/>
      <c r="P218" s="617"/>
      <c r="Q218" s="617"/>
      <c r="R218" s="617"/>
      <c r="S218" s="617"/>
      <c r="T218" s="617"/>
      <c r="U218" s="617"/>
      <c r="V218" s="51"/>
    </row>
    <row r="219" spans="3:22" x14ac:dyDescent="0.25">
      <c r="C219" s="618" t="s">
        <v>78</v>
      </c>
      <c r="D219" s="611">
        <v>2.7829395451988024</v>
      </c>
      <c r="E219" s="611">
        <v>0</v>
      </c>
      <c r="F219" s="611">
        <v>5.9508631597557615</v>
      </c>
      <c r="G219" s="611">
        <v>0</v>
      </c>
      <c r="H219" s="611">
        <v>39.502554352900951</v>
      </c>
      <c r="I219" s="611">
        <v>0</v>
      </c>
      <c r="J219" s="611">
        <v>0</v>
      </c>
      <c r="K219" s="611">
        <v>0</v>
      </c>
      <c r="L219" s="611">
        <v>22.312304964799452</v>
      </c>
      <c r="M219" s="611">
        <v>6.9877021638277412</v>
      </c>
      <c r="N219" s="611">
        <v>2.0803229791147206</v>
      </c>
      <c r="O219" s="611">
        <v>32.358934550865669</v>
      </c>
      <c r="P219" s="611">
        <v>13.3040771484375</v>
      </c>
      <c r="Q219" s="611">
        <v>7.8820466826144567E-4</v>
      </c>
      <c r="R219" s="611">
        <v>173.89525275416003</v>
      </c>
      <c r="S219" s="611">
        <v>20.634753208520429</v>
      </c>
      <c r="T219" s="611">
        <v>9.0650810546875</v>
      </c>
      <c r="U219" s="619">
        <v>328.87557408693681</v>
      </c>
      <c r="V219" s="51"/>
    </row>
    <row r="220" spans="3:22" x14ac:dyDescent="0.25">
      <c r="C220" s="618" t="s">
        <v>79</v>
      </c>
      <c r="D220" s="611">
        <v>0</v>
      </c>
      <c r="E220" s="611">
        <v>0</v>
      </c>
      <c r="F220" s="611">
        <v>66.70797411064288</v>
      </c>
      <c r="G220" s="611">
        <v>1.4882117515392765</v>
      </c>
      <c r="H220" s="611">
        <v>4.2678947974839696</v>
      </c>
      <c r="I220" s="611">
        <v>0</v>
      </c>
      <c r="J220" s="611">
        <v>0</v>
      </c>
      <c r="K220" s="611">
        <v>0</v>
      </c>
      <c r="L220" s="611">
        <v>0</v>
      </c>
      <c r="M220" s="611">
        <v>0</v>
      </c>
      <c r="N220" s="611">
        <v>73.593483349125535</v>
      </c>
      <c r="O220" s="611">
        <v>3.4919139252141571</v>
      </c>
      <c r="P220" s="611">
        <v>0</v>
      </c>
      <c r="Q220" s="611">
        <v>0</v>
      </c>
      <c r="R220" s="611">
        <v>93.510067312183125</v>
      </c>
      <c r="S220" s="611">
        <v>0</v>
      </c>
      <c r="T220" s="611">
        <v>4.8685919891456626</v>
      </c>
      <c r="U220" s="619">
        <v>247.92813723533465</v>
      </c>
      <c r="V220" s="51"/>
    </row>
    <row r="221" spans="3:22" x14ac:dyDescent="0.25">
      <c r="C221" s="618" t="s">
        <v>80</v>
      </c>
      <c r="D221" s="611">
        <v>0</v>
      </c>
      <c r="E221" s="611">
        <v>0</v>
      </c>
      <c r="F221" s="611">
        <v>0.70989784165710235</v>
      </c>
      <c r="G221" s="611">
        <v>0</v>
      </c>
      <c r="H221" s="611">
        <v>19.424181377554081</v>
      </c>
      <c r="I221" s="611">
        <v>0</v>
      </c>
      <c r="J221" s="611">
        <v>0</v>
      </c>
      <c r="K221" s="611">
        <v>0</v>
      </c>
      <c r="L221" s="611">
        <v>42.672719714557346</v>
      </c>
      <c r="M221" s="611">
        <v>0</v>
      </c>
      <c r="N221" s="611">
        <v>0</v>
      </c>
      <c r="O221" s="611">
        <v>15.89251203618061</v>
      </c>
      <c r="P221" s="611">
        <v>97.294965653266104</v>
      </c>
      <c r="Q221" s="611">
        <v>2.7285855468891569</v>
      </c>
      <c r="R221" s="611">
        <v>153.62760172238077</v>
      </c>
      <c r="S221" s="611">
        <v>23.742467864871486</v>
      </c>
      <c r="T221" s="611">
        <v>0</v>
      </c>
      <c r="U221" s="619">
        <v>356.09293175735661</v>
      </c>
      <c r="V221" s="51"/>
    </row>
    <row r="222" spans="3:22" x14ac:dyDescent="0.25">
      <c r="C222" s="618" t="s">
        <v>81</v>
      </c>
      <c r="D222" s="611">
        <v>0</v>
      </c>
      <c r="E222" s="611">
        <v>0</v>
      </c>
      <c r="F222" s="611">
        <v>0.74292942782649596</v>
      </c>
      <c r="G222" s="611">
        <v>0</v>
      </c>
      <c r="H222" s="611">
        <v>12.370805829410971</v>
      </c>
      <c r="I222" s="611">
        <v>0</v>
      </c>
      <c r="J222" s="611">
        <v>0</v>
      </c>
      <c r="K222" s="611">
        <v>0</v>
      </c>
      <c r="L222" s="611">
        <v>0.54085293774126075</v>
      </c>
      <c r="M222" s="611">
        <v>0</v>
      </c>
      <c r="N222" s="611">
        <v>0</v>
      </c>
      <c r="O222" s="611">
        <v>10.121568405881703</v>
      </c>
      <c r="P222" s="611">
        <v>46.022009309639856</v>
      </c>
      <c r="Q222" s="611">
        <v>3.1511646453296667</v>
      </c>
      <c r="R222" s="611">
        <v>116.64209363039593</v>
      </c>
      <c r="S222" s="611">
        <v>18.985143288462343</v>
      </c>
      <c r="T222" s="611">
        <v>0</v>
      </c>
      <c r="U222" s="619">
        <v>208.57656747468823</v>
      </c>
      <c r="V222" s="51"/>
    </row>
    <row r="223" spans="3:22" x14ac:dyDescent="0.25">
      <c r="C223" s="618" t="s">
        <v>82</v>
      </c>
      <c r="D223" s="611">
        <v>0</v>
      </c>
      <c r="E223" s="611">
        <v>0</v>
      </c>
      <c r="F223" s="611">
        <v>11.703228817007544</v>
      </c>
      <c r="G223" s="611">
        <v>0</v>
      </c>
      <c r="H223" s="611">
        <v>0.92339628149237685</v>
      </c>
      <c r="I223" s="611">
        <v>0</v>
      </c>
      <c r="J223" s="611">
        <v>0</v>
      </c>
      <c r="K223" s="611">
        <v>0</v>
      </c>
      <c r="L223" s="611">
        <v>3.1309341562664299</v>
      </c>
      <c r="M223" s="611">
        <v>0</v>
      </c>
      <c r="N223" s="611">
        <v>14.856440343671846</v>
      </c>
      <c r="O223" s="611">
        <v>0.75550604849376291</v>
      </c>
      <c r="P223" s="611">
        <v>1</v>
      </c>
      <c r="Q223" s="611">
        <v>1.300620381405156</v>
      </c>
      <c r="R223" s="611">
        <v>6.8949646200608239</v>
      </c>
      <c r="S223" s="611">
        <v>0</v>
      </c>
      <c r="T223" s="611">
        <v>0.51648303978038701</v>
      </c>
      <c r="U223" s="619">
        <v>41.081573688178324</v>
      </c>
      <c r="V223" s="51"/>
    </row>
    <row r="224" spans="3:22" x14ac:dyDescent="0.25">
      <c r="C224" s="618" t="s">
        <v>354</v>
      </c>
      <c r="D224" s="611">
        <v>0</v>
      </c>
      <c r="E224" s="611">
        <v>0</v>
      </c>
      <c r="F224" s="611">
        <v>0</v>
      </c>
      <c r="G224" s="611">
        <v>0</v>
      </c>
      <c r="H224" s="611">
        <v>0</v>
      </c>
      <c r="I224" s="611">
        <v>0</v>
      </c>
      <c r="J224" s="611">
        <v>0</v>
      </c>
      <c r="K224" s="611">
        <v>0</v>
      </c>
      <c r="L224" s="611">
        <v>0</v>
      </c>
      <c r="M224" s="611">
        <v>0</v>
      </c>
      <c r="N224" s="611">
        <v>0</v>
      </c>
      <c r="O224" s="611">
        <v>0</v>
      </c>
      <c r="P224" s="611">
        <v>0</v>
      </c>
      <c r="Q224" s="611">
        <v>0</v>
      </c>
      <c r="R224" s="611">
        <v>3.2585999999999999</v>
      </c>
      <c r="S224" s="611">
        <v>0</v>
      </c>
      <c r="T224" s="611">
        <v>0</v>
      </c>
      <c r="U224" s="619">
        <v>3.2585999999999999</v>
      </c>
      <c r="V224" s="51"/>
    </row>
    <row r="225" spans="3:22" x14ac:dyDescent="0.25">
      <c r="C225" s="614" t="s">
        <v>83</v>
      </c>
      <c r="D225" s="615">
        <v>2.7829395451988024</v>
      </c>
      <c r="E225" s="615">
        <v>0</v>
      </c>
      <c r="F225" s="615">
        <v>85.814893356889769</v>
      </c>
      <c r="G225" s="615">
        <v>1.4882117515392765</v>
      </c>
      <c r="H225" s="615">
        <v>76.488832638842339</v>
      </c>
      <c r="I225" s="615">
        <v>0</v>
      </c>
      <c r="J225" s="615">
        <v>0</v>
      </c>
      <c r="K225" s="615">
        <v>0</v>
      </c>
      <c r="L225" s="615">
        <v>68.656811773364495</v>
      </c>
      <c r="M225" s="615">
        <v>6.9877021638277412</v>
      </c>
      <c r="N225" s="615">
        <v>90.53024667191211</v>
      </c>
      <c r="O225" s="615">
        <v>62.620434966635905</v>
      </c>
      <c r="P225" s="615">
        <v>157.62105211134346</v>
      </c>
      <c r="Q225" s="615">
        <v>7.1811587782922404</v>
      </c>
      <c r="R225" s="615">
        <v>547.82858003918068</v>
      </c>
      <c r="S225" s="615">
        <v>63.362364361854262</v>
      </c>
      <c r="T225" s="615">
        <v>14.45015608361355</v>
      </c>
      <c r="U225" s="615">
        <v>1185.8133842424947</v>
      </c>
      <c r="V225" s="51"/>
    </row>
    <row r="226" spans="3:22" x14ac:dyDescent="0.25">
      <c r="C226" s="610" t="s">
        <v>84</v>
      </c>
      <c r="D226" s="611">
        <v>0</v>
      </c>
      <c r="E226" s="611">
        <v>0</v>
      </c>
      <c r="F226" s="611">
        <v>83.18009003150803</v>
      </c>
      <c r="G226" s="611">
        <v>2.1194598778069409</v>
      </c>
      <c r="H226" s="611">
        <v>8.9820116802829233</v>
      </c>
      <c r="I226" s="611">
        <v>0</v>
      </c>
      <c r="J226" s="611">
        <v>0</v>
      </c>
      <c r="K226" s="611">
        <v>0</v>
      </c>
      <c r="L226" s="611">
        <v>0.34435996988737483</v>
      </c>
      <c r="M226" s="611">
        <v>0</v>
      </c>
      <c r="N226" s="611">
        <v>26.994386078959611</v>
      </c>
      <c r="O226" s="611">
        <v>7.771086156633026</v>
      </c>
      <c r="P226" s="611">
        <v>0</v>
      </c>
      <c r="Q226" s="611">
        <v>0</v>
      </c>
      <c r="R226" s="611">
        <v>0</v>
      </c>
      <c r="S226" s="611">
        <v>0</v>
      </c>
      <c r="T226" s="611">
        <v>30.755676878666431</v>
      </c>
      <c r="U226" s="619">
        <v>160.14707067374434</v>
      </c>
      <c r="V226" s="51"/>
    </row>
    <row r="227" spans="3:22" x14ac:dyDescent="0.25">
      <c r="C227" s="614" t="s">
        <v>85</v>
      </c>
      <c r="D227" s="615">
        <v>2.7829395451988024</v>
      </c>
      <c r="E227" s="615">
        <v>0</v>
      </c>
      <c r="F227" s="615">
        <v>168.9949833883978</v>
      </c>
      <c r="G227" s="615">
        <v>3.6076716293462177</v>
      </c>
      <c r="H227" s="615">
        <v>85.470844319125263</v>
      </c>
      <c r="I227" s="615">
        <v>0</v>
      </c>
      <c r="J227" s="615">
        <v>0</v>
      </c>
      <c r="K227" s="615">
        <v>0</v>
      </c>
      <c r="L227" s="615">
        <v>69.001171743251874</v>
      </c>
      <c r="M227" s="615">
        <v>6.9877021638277412</v>
      </c>
      <c r="N227" s="615">
        <v>117.52463275087172</v>
      </c>
      <c r="O227" s="615">
        <v>70.39152112326893</v>
      </c>
      <c r="P227" s="615">
        <v>157.62105211134346</v>
      </c>
      <c r="Q227" s="615">
        <v>7.1811587782922404</v>
      </c>
      <c r="R227" s="615">
        <v>547.82858003918068</v>
      </c>
      <c r="S227" s="615">
        <v>63.362364361854262</v>
      </c>
      <c r="T227" s="615">
        <v>45.205832962279985</v>
      </c>
      <c r="U227" s="615">
        <v>1345.9604549162391</v>
      </c>
      <c r="V227" s="51"/>
    </row>
    <row r="228" spans="3:22" x14ac:dyDescent="0.25">
      <c r="C228" s="51"/>
      <c r="D228" s="67">
        <v>0</v>
      </c>
      <c r="E228" s="67">
        <v>0</v>
      </c>
      <c r="F228" s="67">
        <v>0</v>
      </c>
      <c r="G228" s="67">
        <v>0</v>
      </c>
      <c r="H228" s="67">
        <v>0</v>
      </c>
      <c r="I228" s="67">
        <v>0</v>
      </c>
      <c r="J228" s="67">
        <v>0</v>
      </c>
      <c r="K228" s="67">
        <v>0</v>
      </c>
      <c r="L228" s="67">
        <v>0</v>
      </c>
      <c r="M228" s="67">
        <v>-4.0121337499243737E-4</v>
      </c>
      <c r="N228" s="67">
        <v>0</v>
      </c>
      <c r="O228" s="67">
        <v>1.1102230246251565E-14</v>
      </c>
      <c r="P228" s="67">
        <v>0</v>
      </c>
      <c r="Q228" s="67">
        <v>0</v>
      </c>
      <c r="R228" s="67">
        <v>1.1368683772161603E-13</v>
      </c>
      <c r="S228" s="67">
        <v>-7.1054273576010019E-15</v>
      </c>
      <c r="T228" s="67">
        <v>9.7699626167013776E-15</v>
      </c>
      <c r="U228" s="67">
        <v>-4.0121337542586843E-4</v>
      </c>
      <c r="V228" s="51"/>
    </row>
    <row r="229" spans="3:22" x14ac:dyDescent="0.25">
      <c r="C229" s="51"/>
      <c r="D229" s="51"/>
      <c r="E229" s="51"/>
      <c r="F229" s="51"/>
      <c r="G229" s="67"/>
      <c r="H229" s="51"/>
      <c r="I229" s="51"/>
      <c r="J229" s="51"/>
      <c r="K229" s="51"/>
      <c r="L229" s="51"/>
      <c r="M229" s="51"/>
      <c r="N229" s="51"/>
      <c r="O229" s="51"/>
      <c r="P229" s="51"/>
      <c r="Q229" s="51"/>
      <c r="R229" s="51"/>
      <c r="S229" s="51"/>
      <c r="T229" s="51"/>
      <c r="U229" s="51"/>
      <c r="V229" s="51"/>
    </row>
    <row r="230" spans="3:22" x14ac:dyDescent="0.25">
      <c r="C230" s="607" t="s">
        <v>518</v>
      </c>
      <c r="D230" s="606"/>
      <c r="E230" s="606"/>
      <c r="F230" s="606"/>
      <c r="G230" s="682"/>
      <c r="H230" s="606"/>
      <c r="I230" s="606"/>
      <c r="J230" s="606"/>
      <c r="K230" s="606"/>
      <c r="L230" s="606"/>
      <c r="M230" s="606"/>
      <c r="N230" s="606"/>
      <c r="O230" s="606"/>
      <c r="P230" s="606"/>
      <c r="Q230" s="606"/>
      <c r="R230" s="606"/>
      <c r="S230" s="606"/>
      <c r="T230" s="606"/>
      <c r="U230" s="606"/>
      <c r="V230" s="606"/>
    </row>
    <row r="231" spans="3:22" x14ac:dyDescent="0.25">
      <c r="C231" s="51"/>
      <c r="D231" s="51"/>
      <c r="E231" s="51"/>
      <c r="F231" s="51"/>
      <c r="G231" s="67"/>
      <c r="H231" s="51"/>
      <c r="I231" s="51"/>
      <c r="J231" s="51"/>
      <c r="K231" s="51"/>
      <c r="L231" s="51"/>
      <c r="M231" s="51"/>
      <c r="N231" s="51"/>
      <c r="O231" s="51"/>
      <c r="P231" s="51"/>
      <c r="Q231" s="51"/>
      <c r="R231" s="51"/>
      <c r="S231" s="51"/>
      <c r="T231" s="51"/>
      <c r="U231" s="51"/>
      <c r="V231" s="51"/>
    </row>
    <row r="232" spans="3:22" x14ac:dyDescent="0.25">
      <c r="C232" s="764" t="s">
        <v>128</v>
      </c>
      <c r="D232" s="753" t="s">
        <v>42</v>
      </c>
      <c r="E232" s="753" t="s">
        <v>52</v>
      </c>
      <c r="F232" s="753" t="s">
        <v>53</v>
      </c>
      <c r="G232" s="766" t="s">
        <v>482</v>
      </c>
      <c r="H232" s="753" t="s">
        <v>32</v>
      </c>
      <c r="I232" s="753" t="s">
        <v>483</v>
      </c>
      <c r="J232" s="753" t="s">
        <v>20</v>
      </c>
      <c r="K232" s="753" t="s">
        <v>55</v>
      </c>
      <c r="L232" s="761" t="s">
        <v>56</v>
      </c>
      <c r="M232" s="762"/>
      <c r="N232" s="762"/>
      <c r="O232" s="762"/>
      <c r="P232" s="762"/>
      <c r="Q232" s="763"/>
      <c r="R232" s="753" t="s">
        <v>57</v>
      </c>
      <c r="S232" s="753" t="s">
        <v>58</v>
      </c>
      <c r="T232" s="753" t="s">
        <v>31</v>
      </c>
      <c r="U232" s="753" t="s">
        <v>10</v>
      </c>
      <c r="V232" s="51"/>
    </row>
    <row r="233" spans="3:22" ht="36" x14ac:dyDescent="0.25">
      <c r="C233" s="765"/>
      <c r="D233" s="754"/>
      <c r="E233" s="754"/>
      <c r="F233" s="754"/>
      <c r="G233" s="767"/>
      <c r="H233" s="754"/>
      <c r="I233" s="754"/>
      <c r="J233" s="754"/>
      <c r="K233" s="754"/>
      <c r="L233" s="608" t="s">
        <v>335</v>
      </c>
      <c r="M233" s="608" t="s">
        <v>40</v>
      </c>
      <c r="N233" s="608" t="s">
        <v>343</v>
      </c>
      <c r="O233" s="608" t="s">
        <v>344</v>
      </c>
      <c r="P233" s="609" t="s">
        <v>345</v>
      </c>
      <c r="Q233" s="608" t="s">
        <v>346</v>
      </c>
      <c r="R233" s="754"/>
      <c r="S233" s="754"/>
      <c r="T233" s="754"/>
      <c r="U233" s="754"/>
      <c r="V233" s="51"/>
    </row>
    <row r="234" spans="3:22" x14ac:dyDescent="0.25">
      <c r="C234" s="610" t="s">
        <v>59</v>
      </c>
      <c r="D234" s="611">
        <v>0</v>
      </c>
      <c r="E234" s="611">
        <v>0</v>
      </c>
      <c r="F234" s="611">
        <v>0</v>
      </c>
      <c r="G234" s="611">
        <v>0</v>
      </c>
      <c r="H234" s="611">
        <v>0</v>
      </c>
      <c r="I234" s="611">
        <v>0</v>
      </c>
      <c r="J234" s="612">
        <v>1052.7157454545454</v>
      </c>
      <c r="K234" s="612">
        <v>465.75813055383361</v>
      </c>
      <c r="L234" s="612">
        <v>458.29162667613781</v>
      </c>
      <c r="M234" s="612">
        <v>21.28454284594844</v>
      </c>
      <c r="N234" s="611">
        <v>1.638642873490971</v>
      </c>
      <c r="O234" s="611">
        <v>0.1692153726460352</v>
      </c>
      <c r="P234" s="612">
        <v>165.69992491801096</v>
      </c>
      <c r="Q234" s="612">
        <v>25.254108394560834</v>
      </c>
      <c r="R234" s="611">
        <v>0</v>
      </c>
      <c r="S234" s="611">
        <v>0</v>
      </c>
      <c r="T234" s="611">
        <v>0</v>
      </c>
      <c r="U234" s="613">
        <v>2190.8119370891736</v>
      </c>
      <c r="V234" s="51"/>
    </row>
    <row r="235" spans="3:22" x14ac:dyDescent="0.25">
      <c r="C235" s="610" t="s">
        <v>60</v>
      </c>
      <c r="D235" s="611">
        <v>6.0767583671953336</v>
      </c>
      <c r="E235" s="611">
        <v>189.53853209341332</v>
      </c>
      <c r="F235" s="611">
        <v>3.6404081450569747</v>
      </c>
      <c r="G235" s="611">
        <v>0</v>
      </c>
      <c r="H235" s="611">
        <v>70.464271488338852</v>
      </c>
      <c r="I235" s="611">
        <v>0</v>
      </c>
      <c r="J235" s="611">
        <v>0</v>
      </c>
      <c r="K235" s="611">
        <v>0</v>
      </c>
      <c r="L235" s="611">
        <v>4.5400000946661896</v>
      </c>
      <c r="M235" s="611">
        <v>0</v>
      </c>
      <c r="N235" s="611">
        <v>5.926124897298644</v>
      </c>
      <c r="O235" s="611">
        <v>0</v>
      </c>
      <c r="P235" s="611">
        <v>0</v>
      </c>
      <c r="Q235" s="611">
        <v>0</v>
      </c>
      <c r="R235" s="611">
        <v>0</v>
      </c>
      <c r="S235" s="611">
        <v>0</v>
      </c>
      <c r="T235" s="611">
        <v>0</v>
      </c>
      <c r="U235" s="613">
        <v>280.18609508596927</v>
      </c>
      <c r="V235" s="51"/>
    </row>
    <row r="236" spans="3:22" x14ac:dyDescent="0.25">
      <c r="C236" s="610" t="s">
        <v>61</v>
      </c>
      <c r="D236" s="611">
        <v>0</v>
      </c>
      <c r="E236" s="611">
        <v>0</v>
      </c>
      <c r="F236" s="611">
        <v>-34.688318370921742</v>
      </c>
      <c r="G236" s="611">
        <v>-5.1567908130260314</v>
      </c>
      <c r="H236" s="611">
        <v>0</v>
      </c>
      <c r="I236" s="611">
        <v>0</v>
      </c>
      <c r="J236" s="611">
        <v>0</v>
      </c>
      <c r="K236" s="611">
        <v>0</v>
      </c>
      <c r="L236" s="611">
        <v>0</v>
      </c>
      <c r="M236" s="611">
        <v>0</v>
      </c>
      <c r="N236" s="611">
        <v>0</v>
      </c>
      <c r="O236" s="611">
        <v>0</v>
      </c>
      <c r="P236" s="611">
        <v>0</v>
      </c>
      <c r="Q236" s="611">
        <v>0</v>
      </c>
      <c r="R236" s="611">
        <v>-12.796023203874938</v>
      </c>
      <c r="S236" s="611">
        <v>0</v>
      </c>
      <c r="T236" s="611">
        <v>0</v>
      </c>
      <c r="U236" s="613">
        <v>-52.641132387822708</v>
      </c>
      <c r="V236" s="51"/>
    </row>
    <row r="237" spans="3:22" x14ac:dyDescent="0.25">
      <c r="C237" s="610" t="s">
        <v>62</v>
      </c>
      <c r="D237" s="611">
        <v>0</v>
      </c>
      <c r="E237" s="611">
        <v>0</v>
      </c>
      <c r="F237" s="611">
        <v>-3.5615694502361057</v>
      </c>
      <c r="G237" s="611">
        <v>-4.706211381166379</v>
      </c>
      <c r="H237" s="611">
        <v>0</v>
      </c>
      <c r="I237" s="611">
        <v>-3.8584286845410238</v>
      </c>
      <c r="J237" s="611">
        <v>0</v>
      </c>
      <c r="K237" s="611">
        <v>0</v>
      </c>
      <c r="L237" s="611">
        <v>0</v>
      </c>
      <c r="M237" s="611">
        <v>0</v>
      </c>
      <c r="N237" s="611">
        <v>-1.4330438936791221</v>
      </c>
      <c r="O237" s="611">
        <v>-2.5722857896940159</v>
      </c>
      <c r="P237" s="611">
        <v>0</v>
      </c>
      <c r="Q237" s="611">
        <v>0</v>
      </c>
      <c r="R237" s="611">
        <v>0</v>
      </c>
      <c r="S237" s="611">
        <v>0</v>
      </c>
      <c r="T237" s="611">
        <v>-1.5542726935255338</v>
      </c>
      <c r="U237" s="613">
        <v>-17.685811892842178</v>
      </c>
      <c r="V237" s="51"/>
    </row>
    <row r="238" spans="3:22" x14ac:dyDescent="0.25">
      <c r="C238" s="610" t="s">
        <v>63</v>
      </c>
      <c r="D238" s="611">
        <v>0</v>
      </c>
      <c r="E238" s="611">
        <v>0</v>
      </c>
      <c r="F238" s="611">
        <v>-31.271549575274978</v>
      </c>
      <c r="G238" s="611">
        <v>-12.658057837302275</v>
      </c>
      <c r="H238" s="611">
        <v>0</v>
      </c>
      <c r="I238" s="611">
        <v>0</v>
      </c>
      <c r="J238" s="611">
        <v>0</v>
      </c>
      <c r="K238" s="611">
        <v>0</v>
      </c>
      <c r="L238" s="611">
        <v>0</v>
      </c>
      <c r="M238" s="611">
        <v>0</v>
      </c>
      <c r="N238" s="611">
        <v>-15.442835023025614</v>
      </c>
      <c r="O238" s="611">
        <v>0</v>
      </c>
      <c r="P238" s="611">
        <v>0</v>
      </c>
      <c r="Q238" s="611">
        <v>0</v>
      </c>
      <c r="R238" s="611">
        <v>0</v>
      </c>
      <c r="S238" s="611">
        <v>0</v>
      </c>
      <c r="T238" s="611">
        <v>-4.141098204696295</v>
      </c>
      <c r="U238" s="613">
        <v>-63.513540640299169</v>
      </c>
      <c r="V238" s="51"/>
    </row>
    <row r="239" spans="3:22" x14ac:dyDescent="0.25">
      <c r="C239" s="610" t="s">
        <v>64</v>
      </c>
      <c r="D239" s="611">
        <v>0</v>
      </c>
      <c r="E239" s="611">
        <v>0</v>
      </c>
      <c r="F239" s="611">
        <v>0</v>
      </c>
      <c r="G239" s="611">
        <v>0</v>
      </c>
      <c r="H239" s="611">
        <v>0</v>
      </c>
      <c r="I239" s="611">
        <v>0</v>
      </c>
      <c r="J239" s="611">
        <v>0</v>
      </c>
      <c r="K239" s="611">
        <v>0</v>
      </c>
      <c r="L239" s="611">
        <v>0</v>
      </c>
      <c r="M239" s="611">
        <v>0</v>
      </c>
      <c r="N239" s="611">
        <v>0</v>
      </c>
      <c r="O239" s="611">
        <v>0</v>
      </c>
      <c r="P239" s="611">
        <v>0</v>
      </c>
      <c r="Q239" s="611">
        <v>0</v>
      </c>
      <c r="R239" s="611">
        <v>0</v>
      </c>
      <c r="S239" s="611">
        <v>0</v>
      </c>
      <c r="T239" s="611">
        <v>0</v>
      </c>
      <c r="U239" s="613">
        <v>0</v>
      </c>
      <c r="V239" s="51"/>
    </row>
    <row r="240" spans="3:22" x14ac:dyDescent="0.25">
      <c r="C240" s="614" t="s">
        <v>65</v>
      </c>
      <c r="D240" s="615">
        <v>6.0767583671953336</v>
      </c>
      <c r="E240" s="615">
        <v>189.53853209341332</v>
      </c>
      <c r="F240" s="615">
        <v>-65.88102925137585</v>
      </c>
      <c r="G240" s="615">
        <v>-22.521060031494684</v>
      </c>
      <c r="H240" s="615">
        <v>70.464271488338852</v>
      </c>
      <c r="I240" s="615">
        <v>-3.8584286845410238</v>
      </c>
      <c r="J240" s="615">
        <v>1052.7157454545454</v>
      </c>
      <c r="K240" s="615">
        <v>465.75813055383361</v>
      </c>
      <c r="L240" s="615">
        <v>462.83162677080401</v>
      </c>
      <c r="M240" s="615">
        <v>21.28454284594844</v>
      </c>
      <c r="N240" s="615">
        <v>-9.3111111459151203</v>
      </c>
      <c r="O240" s="615">
        <v>-2.4030704170479806</v>
      </c>
      <c r="P240" s="615">
        <v>165.69992491801096</v>
      </c>
      <c r="Q240" s="615">
        <v>25.254108394560834</v>
      </c>
      <c r="R240" s="615">
        <v>-12.796023203874938</v>
      </c>
      <c r="S240" s="615">
        <v>0</v>
      </c>
      <c r="T240" s="615">
        <v>-5.695370898221829</v>
      </c>
      <c r="U240" s="615">
        <v>2337.1575472541786</v>
      </c>
      <c r="V240" s="51"/>
    </row>
    <row r="241" spans="3:22" x14ac:dyDescent="0.25">
      <c r="C241" s="616"/>
      <c r="D241" s="617"/>
      <c r="E241" s="617"/>
      <c r="F241" s="617"/>
      <c r="G241" s="617"/>
      <c r="H241" s="623"/>
      <c r="I241" s="617"/>
      <c r="J241" s="617"/>
      <c r="K241" s="617"/>
      <c r="L241" s="617"/>
      <c r="M241" s="617"/>
      <c r="N241" s="617"/>
      <c r="O241" s="617"/>
      <c r="P241" s="617"/>
      <c r="Q241" s="617"/>
      <c r="R241" s="617"/>
      <c r="S241" s="617"/>
      <c r="T241" s="617"/>
      <c r="U241" s="617"/>
      <c r="V241" s="51"/>
    </row>
    <row r="242" spans="3:22" x14ac:dyDescent="0.25">
      <c r="C242" s="618" t="s">
        <v>67</v>
      </c>
      <c r="D242" s="611">
        <v>0</v>
      </c>
      <c r="E242" s="611">
        <v>0</v>
      </c>
      <c r="F242" s="611">
        <v>0</v>
      </c>
      <c r="G242" s="611">
        <v>0</v>
      </c>
      <c r="H242" s="611">
        <v>0</v>
      </c>
      <c r="I242" s="611">
        <v>0</v>
      </c>
      <c r="J242" s="611">
        <v>0</v>
      </c>
      <c r="K242" s="611">
        <v>0</v>
      </c>
      <c r="L242" s="611">
        <v>0</v>
      </c>
      <c r="M242" s="611">
        <v>0</v>
      </c>
      <c r="N242" s="611">
        <v>0</v>
      </c>
      <c r="O242" s="611">
        <v>0</v>
      </c>
      <c r="P242" s="611">
        <v>0</v>
      </c>
      <c r="Q242" s="611">
        <v>0</v>
      </c>
      <c r="R242" s="611">
        <v>0</v>
      </c>
      <c r="S242" s="611">
        <v>0</v>
      </c>
      <c r="T242" s="611">
        <v>0</v>
      </c>
      <c r="U242" s="619">
        <v>0</v>
      </c>
      <c r="V242" s="51"/>
    </row>
    <row r="243" spans="3:22" x14ac:dyDescent="0.25">
      <c r="C243" s="618" t="s">
        <v>347</v>
      </c>
      <c r="D243" s="611">
        <v>0</v>
      </c>
      <c r="E243" s="611">
        <v>0</v>
      </c>
      <c r="F243" s="611">
        <v>2.6460781360013397E-2</v>
      </c>
      <c r="G243" s="611">
        <v>0</v>
      </c>
      <c r="H243" s="611">
        <v>0.60214660944206022</v>
      </c>
      <c r="I243" s="611">
        <v>0</v>
      </c>
      <c r="J243" s="611">
        <v>1052.7157454545454</v>
      </c>
      <c r="K243" s="611">
        <v>465.75813055383361</v>
      </c>
      <c r="L243" s="611">
        <v>22.779216201567415</v>
      </c>
      <c r="M243" s="611">
        <v>0.6151276496340945</v>
      </c>
      <c r="N243" s="611">
        <v>6.0578717375904887</v>
      </c>
      <c r="O243" s="611">
        <v>1.0172956568090692</v>
      </c>
      <c r="P243" s="611">
        <v>0</v>
      </c>
      <c r="Q243" s="611">
        <v>6.4590957564387725</v>
      </c>
      <c r="R243" s="611">
        <v>-864.21525686437747</v>
      </c>
      <c r="S243" s="611">
        <v>0</v>
      </c>
      <c r="T243" s="611">
        <v>4.5921899999999996</v>
      </c>
      <c r="U243" s="619">
        <v>696.40802353684307</v>
      </c>
      <c r="V243" s="51"/>
    </row>
    <row r="244" spans="3:22" x14ac:dyDescent="0.25">
      <c r="C244" s="618" t="s">
        <v>348</v>
      </c>
      <c r="D244" s="611">
        <v>0</v>
      </c>
      <c r="E244" s="611">
        <v>0</v>
      </c>
      <c r="F244" s="611">
        <v>0</v>
      </c>
      <c r="G244" s="611">
        <v>0</v>
      </c>
      <c r="H244" s="611">
        <v>4.7590942657711111</v>
      </c>
      <c r="I244" s="611">
        <v>0</v>
      </c>
      <c r="J244" s="611">
        <v>0</v>
      </c>
      <c r="K244" s="611">
        <v>0</v>
      </c>
      <c r="L244" s="611">
        <v>35.020832419252756</v>
      </c>
      <c r="M244" s="611">
        <v>14.389092995722686</v>
      </c>
      <c r="N244" s="611">
        <v>0</v>
      </c>
      <c r="O244" s="611">
        <v>7.1535057814044487</v>
      </c>
      <c r="P244" s="611">
        <v>0</v>
      </c>
      <c r="Q244" s="611">
        <v>11.121209229272322</v>
      </c>
      <c r="R244" s="611">
        <v>0</v>
      </c>
      <c r="S244" s="611">
        <v>-67.886864446200079</v>
      </c>
      <c r="T244" s="611">
        <v>0</v>
      </c>
      <c r="U244" s="619">
        <v>4.5568702452232372</v>
      </c>
      <c r="V244" s="51"/>
    </row>
    <row r="245" spans="3:22" x14ac:dyDescent="0.25">
      <c r="C245" s="618" t="s">
        <v>349</v>
      </c>
      <c r="D245" s="611">
        <v>0</v>
      </c>
      <c r="E245" s="611">
        <v>0</v>
      </c>
      <c r="F245" s="611">
        <v>0</v>
      </c>
      <c r="G245" s="611">
        <v>0</v>
      </c>
      <c r="H245" s="611">
        <v>0</v>
      </c>
      <c r="I245" s="611">
        <v>0</v>
      </c>
      <c r="J245" s="611">
        <v>0</v>
      </c>
      <c r="K245" s="611">
        <v>0</v>
      </c>
      <c r="L245" s="611">
        <v>98.086794246206622</v>
      </c>
      <c r="M245" s="611">
        <v>0</v>
      </c>
      <c r="N245" s="611">
        <v>0</v>
      </c>
      <c r="O245" s="611">
        <v>-89.52835419130885</v>
      </c>
      <c r="P245" s="611">
        <v>0</v>
      </c>
      <c r="Q245" s="611">
        <v>0</v>
      </c>
      <c r="R245" s="611">
        <v>0</v>
      </c>
      <c r="S245" s="611">
        <v>0</v>
      </c>
      <c r="T245" s="611">
        <v>0</v>
      </c>
      <c r="U245" s="619">
        <v>8.5584400548977726</v>
      </c>
      <c r="V245" s="51"/>
    </row>
    <row r="246" spans="3:22" x14ac:dyDescent="0.25">
      <c r="C246" s="618" t="s">
        <v>350</v>
      </c>
      <c r="D246" s="611">
        <v>0</v>
      </c>
      <c r="E246" s="611">
        <v>0</v>
      </c>
      <c r="F246" s="611">
        <v>0</v>
      </c>
      <c r="G246" s="611">
        <v>0</v>
      </c>
      <c r="H246" s="611">
        <v>0</v>
      </c>
      <c r="I246" s="611">
        <v>-4.6239120861329353</v>
      </c>
      <c r="J246" s="611">
        <v>0</v>
      </c>
      <c r="K246" s="611">
        <v>0</v>
      </c>
      <c r="L246" s="611">
        <v>0</v>
      </c>
      <c r="M246" s="611">
        <v>0</v>
      </c>
      <c r="N246" s="611">
        <v>0</v>
      </c>
      <c r="O246" s="611">
        <v>0</v>
      </c>
      <c r="P246" s="611">
        <v>0</v>
      </c>
      <c r="Q246" s="611">
        <v>0</v>
      </c>
      <c r="R246" s="611">
        <v>0</v>
      </c>
      <c r="S246" s="611">
        <v>0</v>
      </c>
      <c r="T246" s="611">
        <v>6.4247824825814277</v>
      </c>
      <c r="U246" s="619">
        <v>1.8008703964484924</v>
      </c>
      <c r="V246" s="51"/>
    </row>
    <row r="247" spans="3:22" x14ac:dyDescent="0.25">
      <c r="C247" s="618" t="s">
        <v>72</v>
      </c>
      <c r="D247" s="611">
        <v>0</v>
      </c>
      <c r="E247" s="611">
        <v>196.4036879947414</v>
      </c>
      <c r="F247" s="611">
        <v>-194.44562503379805</v>
      </c>
      <c r="G247" s="611">
        <v>0</v>
      </c>
      <c r="H247" s="611">
        <v>0</v>
      </c>
      <c r="I247" s="611">
        <v>0</v>
      </c>
      <c r="J247" s="611">
        <v>0</v>
      </c>
      <c r="K247" s="611">
        <v>0</v>
      </c>
      <c r="L247" s="611">
        <v>0</v>
      </c>
      <c r="M247" s="611">
        <v>0</v>
      </c>
      <c r="N247" s="611">
        <v>0</v>
      </c>
      <c r="O247" s="611">
        <v>0</v>
      </c>
      <c r="P247" s="611">
        <v>0</v>
      </c>
      <c r="Q247" s="611">
        <v>0</v>
      </c>
      <c r="R247" s="611">
        <v>0</v>
      </c>
      <c r="S247" s="611">
        <v>0</v>
      </c>
      <c r="T247" s="611">
        <v>0</v>
      </c>
      <c r="U247" s="619">
        <v>1.9580629609433515</v>
      </c>
      <c r="V247" s="51"/>
    </row>
    <row r="248" spans="3:22" x14ac:dyDescent="0.25">
      <c r="C248" s="618" t="s">
        <v>351</v>
      </c>
      <c r="D248" s="611">
        <v>0</v>
      </c>
      <c r="E248" s="611">
        <v>0</v>
      </c>
      <c r="F248" s="611">
        <v>0</v>
      </c>
      <c r="G248" s="611">
        <v>0</v>
      </c>
      <c r="H248" s="611">
        <v>0</v>
      </c>
      <c r="I248" s="611">
        <v>0</v>
      </c>
      <c r="J248" s="611">
        <v>0</v>
      </c>
      <c r="K248" s="611">
        <v>0</v>
      </c>
      <c r="L248" s="611">
        <v>241.36175808721262</v>
      </c>
      <c r="M248" s="611">
        <v>0</v>
      </c>
      <c r="N248" s="611">
        <v>-132.74896694796695</v>
      </c>
      <c r="O248" s="611">
        <v>0</v>
      </c>
      <c r="P248" s="611">
        <v>0</v>
      </c>
      <c r="Q248" s="611">
        <v>0</v>
      </c>
      <c r="R248" s="611">
        <v>0</v>
      </c>
      <c r="S248" s="611">
        <v>0</v>
      </c>
      <c r="T248" s="611">
        <v>0</v>
      </c>
      <c r="U248" s="619">
        <v>108.61279113924567</v>
      </c>
      <c r="V248" s="51"/>
    </row>
    <row r="249" spans="3:22" x14ac:dyDescent="0.25">
      <c r="C249" s="618" t="s">
        <v>352</v>
      </c>
      <c r="D249" s="611">
        <v>0</v>
      </c>
      <c r="E249" s="611">
        <v>0</v>
      </c>
      <c r="F249" s="611">
        <v>0</v>
      </c>
      <c r="G249" s="611">
        <v>-27.150443830477386</v>
      </c>
      <c r="H249" s="611">
        <v>0</v>
      </c>
      <c r="I249" s="611">
        <v>0</v>
      </c>
      <c r="J249" s="611">
        <v>0</v>
      </c>
      <c r="K249" s="611">
        <v>0</v>
      </c>
      <c r="L249" s="611">
        <v>0</v>
      </c>
      <c r="M249" s="611">
        <v>0</v>
      </c>
      <c r="N249" s="611">
        <v>0</v>
      </c>
      <c r="O249" s="611">
        <v>0</v>
      </c>
      <c r="P249" s="611">
        <v>0</v>
      </c>
      <c r="Q249" s="611">
        <v>0</v>
      </c>
      <c r="R249" s="611">
        <v>0</v>
      </c>
      <c r="S249" s="611">
        <v>0</v>
      </c>
      <c r="T249" s="611">
        <v>35.330371623276704</v>
      </c>
      <c r="U249" s="619">
        <v>8.1799277927993188</v>
      </c>
      <c r="V249" s="51"/>
    </row>
    <row r="250" spans="3:22" x14ac:dyDescent="0.25">
      <c r="C250" s="618" t="s">
        <v>73</v>
      </c>
      <c r="D250" s="611">
        <v>0</v>
      </c>
      <c r="E250" s="611">
        <v>0</v>
      </c>
      <c r="F250" s="611">
        <v>0</v>
      </c>
      <c r="G250" s="611">
        <v>0</v>
      </c>
      <c r="H250" s="611">
        <v>0</v>
      </c>
      <c r="I250" s="611">
        <v>0</v>
      </c>
      <c r="J250" s="611">
        <v>0</v>
      </c>
      <c r="K250" s="611">
        <v>0</v>
      </c>
      <c r="L250" s="611">
        <v>0</v>
      </c>
      <c r="M250" s="611">
        <v>0</v>
      </c>
      <c r="N250" s="611">
        <v>0</v>
      </c>
      <c r="O250" s="611">
        <v>0</v>
      </c>
      <c r="P250" s="611">
        <v>0</v>
      </c>
      <c r="Q250" s="611">
        <v>0</v>
      </c>
      <c r="R250" s="611">
        <v>159.35334325164439</v>
      </c>
      <c r="S250" s="611">
        <v>0</v>
      </c>
      <c r="T250" s="611">
        <v>-110.83025023151868</v>
      </c>
      <c r="U250" s="619">
        <v>48.523093020125714</v>
      </c>
      <c r="V250" s="51"/>
    </row>
    <row r="251" spans="3:22" x14ac:dyDescent="0.25">
      <c r="C251" s="618" t="s">
        <v>353</v>
      </c>
      <c r="D251" s="611">
        <v>2.8675768359375002</v>
      </c>
      <c r="E251" s="611">
        <v>-6.865155901328059</v>
      </c>
      <c r="F251" s="611">
        <v>8.9495873677013247</v>
      </c>
      <c r="G251" s="611">
        <v>0</v>
      </c>
      <c r="H251" s="611">
        <v>0</v>
      </c>
      <c r="I251" s="611">
        <v>0</v>
      </c>
      <c r="J251" s="611">
        <v>0</v>
      </c>
      <c r="K251" s="611">
        <v>0</v>
      </c>
      <c r="L251" s="611">
        <v>0</v>
      </c>
      <c r="M251" s="611">
        <v>0</v>
      </c>
      <c r="N251" s="611">
        <v>0</v>
      </c>
      <c r="O251" s="611">
        <v>0</v>
      </c>
      <c r="P251" s="611">
        <v>0</v>
      </c>
      <c r="Q251" s="611">
        <v>0</v>
      </c>
      <c r="R251" s="611">
        <v>0</v>
      </c>
      <c r="S251" s="611">
        <v>0</v>
      </c>
      <c r="T251" s="611">
        <v>0</v>
      </c>
      <c r="U251" s="619">
        <v>4.9520083023107659</v>
      </c>
      <c r="V251" s="51"/>
    </row>
    <row r="252" spans="3:22" x14ac:dyDescent="0.25">
      <c r="C252" s="618" t="s">
        <v>75</v>
      </c>
      <c r="D252" s="611">
        <v>1.1151687695312502</v>
      </c>
      <c r="E252" s="611">
        <v>0</v>
      </c>
      <c r="F252" s="611">
        <v>6.7328106776803835</v>
      </c>
      <c r="G252" s="611">
        <v>0</v>
      </c>
      <c r="H252" s="611">
        <v>2.2924587532620087</v>
      </c>
      <c r="I252" s="611">
        <v>3.0296811717119062E-2</v>
      </c>
      <c r="J252" s="611">
        <v>0</v>
      </c>
      <c r="K252" s="611">
        <v>0</v>
      </c>
      <c r="L252" s="611">
        <v>0</v>
      </c>
      <c r="M252" s="611">
        <v>0</v>
      </c>
      <c r="N252" s="611">
        <v>0</v>
      </c>
      <c r="O252" s="611">
        <v>2.7267130545407157</v>
      </c>
      <c r="P252" s="611">
        <v>0</v>
      </c>
      <c r="Q252" s="611">
        <v>0</v>
      </c>
      <c r="R252" s="611">
        <v>65.383687298326777</v>
      </c>
      <c r="S252" s="611">
        <v>0</v>
      </c>
      <c r="T252" s="611">
        <v>0</v>
      </c>
      <c r="U252" s="619">
        <v>78.281135365058248</v>
      </c>
      <c r="V252" s="51"/>
    </row>
    <row r="253" spans="3:22" x14ac:dyDescent="0.25">
      <c r="C253" s="618" t="s">
        <v>76</v>
      </c>
      <c r="D253" s="611">
        <v>0</v>
      </c>
      <c r="E253" s="611">
        <v>0</v>
      </c>
      <c r="F253" s="611">
        <v>0</v>
      </c>
      <c r="G253" s="611">
        <v>0</v>
      </c>
      <c r="H253" s="611">
        <v>0.75897137289116512</v>
      </c>
      <c r="I253" s="611">
        <v>1.0030458672570465E-2</v>
      </c>
      <c r="J253" s="611">
        <v>0</v>
      </c>
      <c r="K253" s="611">
        <v>0</v>
      </c>
      <c r="L253" s="611">
        <v>0</v>
      </c>
      <c r="M253" s="611">
        <v>0</v>
      </c>
      <c r="N253" s="611">
        <v>0</v>
      </c>
      <c r="O253" s="611">
        <v>0.90274128053134184</v>
      </c>
      <c r="P253" s="611">
        <v>0</v>
      </c>
      <c r="Q253" s="611">
        <v>0</v>
      </c>
      <c r="R253" s="611">
        <v>65.177824183593955</v>
      </c>
      <c r="S253" s="611">
        <v>5.2653500556957935</v>
      </c>
      <c r="T253" s="611">
        <v>0</v>
      </c>
      <c r="U253" s="619">
        <v>72.114917351384818</v>
      </c>
      <c r="V253" s="51"/>
    </row>
    <row r="254" spans="3:22" x14ac:dyDescent="0.25">
      <c r="C254" s="614" t="s">
        <v>77</v>
      </c>
      <c r="D254" s="615">
        <v>3.9827456054687502</v>
      </c>
      <c r="E254" s="615">
        <v>189.53853209341335</v>
      </c>
      <c r="F254" s="615">
        <v>-178.73676620705632</v>
      </c>
      <c r="G254" s="615">
        <v>-27.150443830477386</v>
      </c>
      <c r="H254" s="615">
        <v>8.4126710013663466</v>
      </c>
      <c r="I254" s="615">
        <v>-4.5835848157432455</v>
      </c>
      <c r="J254" s="615">
        <v>1052.7157454545454</v>
      </c>
      <c r="K254" s="615">
        <v>465.75813055383361</v>
      </c>
      <c r="L254" s="615">
        <v>397.24860095423941</v>
      </c>
      <c r="M254" s="615">
        <v>15.004220645356781</v>
      </c>
      <c r="N254" s="615">
        <v>-126.69109521037646</v>
      </c>
      <c r="O254" s="615">
        <v>-77.728098418023279</v>
      </c>
      <c r="P254" s="615">
        <v>0</v>
      </c>
      <c r="Q254" s="615">
        <v>17.580304985711095</v>
      </c>
      <c r="R254" s="615">
        <v>-574.30040213081236</v>
      </c>
      <c r="S254" s="615">
        <v>-62.621514390504288</v>
      </c>
      <c r="T254" s="615">
        <v>-64.482906125660548</v>
      </c>
      <c r="U254" s="615">
        <v>1033.9461401652807</v>
      </c>
      <c r="V254" s="51"/>
    </row>
    <row r="255" spans="3:22" x14ac:dyDescent="0.25">
      <c r="C255" s="616"/>
      <c r="D255" s="617"/>
      <c r="E255" s="617"/>
      <c r="F255" s="617"/>
      <c r="G255" s="617"/>
      <c r="H255" s="623"/>
      <c r="I255" s="617"/>
      <c r="J255" s="617"/>
      <c r="K255" s="617"/>
      <c r="L255" s="617"/>
      <c r="M255" s="617"/>
      <c r="N255" s="617"/>
      <c r="O255" s="617"/>
      <c r="P255" s="617"/>
      <c r="Q255" s="617"/>
      <c r="R255" s="617"/>
      <c r="S255" s="617"/>
      <c r="T255" s="617"/>
      <c r="U255" s="617"/>
      <c r="V255" s="51"/>
    </row>
    <row r="256" spans="3:22" x14ac:dyDescent="0.25">
      <c r="C256" s="618" t="s">
        <v>78</v>
      </c>
      <c r="D256" s="611">
        <v>2.0940127617265829</v>
      </c>
      <c r="E256" s="611">
        <v>0</v>
      </c>
      <c r="F256" s="611">
        <v>3.9559881090060012</v>
      </c>
      <c r="G256" s="611">
        <v>0</v>
      </c>
      <c r="H256" s="611">
        <v>29.330369351366478</v>
      </c>
      <c r="I256" s="611">
        <v>0.38762602667004159</v>
      </c>
      <c r="J256" s="611">
        <v>0</v>
      </c>
      <c r="K256" s="611">
        <v>0</v>
      </c>
      <c r="L256" s="611">
        <v>22.502553570699096</v>
      </c>
      <c r="M256" s="611">
        <v>6.2799536188843161</v>
      </c>
      <c r="N256" s="611">
        <v>2.4575263222437633</v>
      </c>
      <c r="O256" s="611">
        <v>34.926617647556021</v>
      </c>
      <c r="P256" s="611">
        <v>15.884769531250001</v>
      </c>
      <c r="Q256" s="611">
        <v>8.2107689234467234E-4</v>
      </c>
      <c r="R256" s="611">
        <v>182.47691843600197</v>
      </c>
      <c r="S256" s="611">
        <v>21.072717059029664</v>
      </c>
      <c r="T256" s="611">
        <v>11.809244140624999</v>
      </c>
      <c r="U256" s="619">
        <v>333.17911765195134</v>
      </c>
      <c r="V256" s="51"/>
    </row>
    <row r="257" spans="3:22" x14ac:dyDescent="0.25">
      <c r="C257" s="618" t="s">
        <v>79</v>
      </c>
      <c r="D257" s="611">
        <v>0</v>
      </c>
      <c r="E257" s="611">
        <v>0</v>
      </c>
      <c r="F257" s="611">
        <v>30.895911025222354</v>
      </c>
      <c r="G257" s="611">
        <v>2.274686269460287</v>
      </c>
      <c r="H257" s="611">
        <v>3.5299320203269446</v>
      </c>
      <c r="I257" s="611">
        <v>4.665108396907857E-2</v>
      </c>
      <c r="J257" s="611">
        <v>0</v>
      </c>
      <c r="K257" s="611">
        <v>0</v>
      </c>
      <c r="L257" s="611">
        <v>0</v>
      </c>
      <c r="M257" s="611">
        <v>0</v>
      </c>
      <c r="N257" s="611">
        <v>63.386114552424544</v>
      </c>
      <c r="O257" s="611">
        <v>4.1985975572170711</v>
      </c>
      <c r="P257" s="611">
        <v>0</v>
      </c>
      <c r="Q257" s="611">
        <v>0</v>
      </c>
      <c r="R257" s="611">
        <v>104.74847060439184</v>
      </c>
      <c r="S257" s="611">
        <v>0</v>
      </c>
      <c r="T257" s="611">
        <v>5.8458763044597228</v>
      </c>
      <c r="U257" s="619">
        <v>214.92623941747186</v>
      </c>
      <c r="V257" s="51"/>
    </row>
    <row r="258" spans="3:22" x14ac:dyDescent="0.25">
      <c r="C258" s="618" t="s">
        <v>80</v>
      </c>
      <c r="D258" s="611">
        <v>0</v>
      </c>
      <c r="E258" s="611">
        <v>0</v>
      </c>
      <c r="F258" s="611">
        <v>0.60086868241819513</v>
      </c>
      <c r="G258" s="611">
        <v>0</v>
      </c>
      <c r="H258" s="611">
        <v>13.347300372388817</v>
      </c>
      <c r="I258" s="611">
        <v>0.1763960401637289</v>
      </c>
      <c r="J258" s="611">
        <v>0</v>
      </c>
      <c r="K258" s="611">
        <v>0</v>
      </c>
      <c r="L258" s="611">
        <v>38.756256119598135</v>
      </c>
      <c r="M258" s="611">
        <v>0</v>
      </c>
      <c r="N258" s="611">
        <v>0</v>
      </c>
      <c r="O258" s="611">
        <v>15.875643614735601</v>
      </c>
      <c r="P258" s="611">
        <v>100.70688369191794</v>
      </c>
      <c r="Q258" s="611">
        <v>2.8847164087553931</v>
      </c>
      <c r="R258" s="611">
        <v>147.56133606308299</v>
      </c>
      <c r="S258" s="611">
        <v>22.806124338594827</v>
      </c>
      <c r="T258" s="611">
        <v>0</v>
      </c>
      <c r="U258" s="619">
        <v>342.71552533165561</v>
      </c>
      <c r="V258" s="51"/>
    </row>
    <row r="259" spans="3:22" x14ac:dyDescent="0.25">
      <c r="C259" s="618" t="s">
        <v>81</v>
      </c>
      <c r="D259" s="611">
        <v>0</v>
      </c>
      <c r="E259" s="611">
        <v>0</v>
      </c>
      <c r="F259" s="611">
        <v>0.5398070851157275</v>
      </c>
      <c r="G259" s="611">
        <v>0</v>
      </c>
      <c r="H259" s="611">
        <v>7.9791393283443517</v>
      </c>
      <c r="I259" s="611">
        <v>0.10545118055080642</v>
      </c>
      <c r="J259" s="611">
        <v>0</v>
      </c>
      <c r="K259" s="611">
        <v>0</v>
      </c>
      <c r="L259" s="611">
        <v>0.5139229004760727</v>
      </c>
      <c r="M259" s="611">
        <v>0</v>
      </c>
      <c r="N259" s="611">
        <v>0</v>
      </c>
      <c r="O259" s="611">
        <v>9.4906062495725791</v>
      </c>
      <c r="P259" s="611">
        <v>47.95827169484302</v>
      </c>
      <c r="Q259" s="611">
        <v>3.2216095546912449</v>
      </c>
      <c r="R259" s="611">
        <v>115.04806835366153</v>
      </c>
      <c r="S259" s="611">
        <v>18.742672992879797</v>
      </c>
      <c r="T259" s="611">
        <v>0</v>
      </c>
      <c r="U259" s="619">
        <v>203.59954934013513</v>
      </c>
      <c r="V259" s="51"/>
    </row>
    <row r="260" spans="3:22" x14ac:dyDescent="0.25">
      <c r="C260" s="618" t="s">
        <v>82</v>
      </c>
      <c r="D260" s="611">
        <v>0</v>
      </c>
      <c r="E260" s="611">
        <v>0</v>
      </c>
      <c r="F260" s="611">
        <v>6.3369770221135076</v>
      </c>
      <c r="G260" s="611">
        <v>0</v>
      </c>
      <c r="H260" s="611">
        <v>0.68340618854154467</v>
      </c>
      <c r="I260" s="611">
        <v>9.0317998485666701E-3</v>
      </c>
      <c r="J260" s="611">
        <v>0</v>
      </c>
      <c r="K260" s="611">
        <v>0</v>
      </c>
      <c r="L260" s="611">
        <v>3.3891942411636795</v>
      </c>
      <c r="M260" s="611">
        <v>0</v>
      </c>
      <c r="N260" s="611">
        <v>17.640118554075091</v>
      </c>
      <c r="O260" s="611">
        <v>0.81286198637100038</v>
      </c>
      <c r="P260" s="611">
        <v>1.1499999999999999</v>
      </c>
      <c r="Q260" s="611">
        <v>1.5666563685107562</v>
      </c>
      <c r="R260" s="611">
        <v>6.9055854697991039</v>
      </c>
      <c r="S260" s="611">
        <v>0</v>
      </c>
      <c r="T260" s="611">
        <v>0.60935288805652987</v>
      </c>
      <c r="U260" s="619">
        <v>39.103184518479779</v>
      </c>
      <c r="V260" s="51"/>
    </row>
    <row r="261" spans="3:22" x14ac:dyDescent="0.25">
      <c r="C261" s="618" t="s">
        <v>354</v>
      </c>
      <c r="D261" s="611">
        <v>0</v>
      </c>
      <c r="E261" s="611">
        <v>0</v>
      </c>
      <c r="F261" s="611">
        <v>0</v>
      </c>
      <c r="G261" s="611">
        <v>0</v>
      </c>
      <c r="H261" s="611">
        <v>0</v>
      </c>
      <c r="I261" s="611">
        <v>0</v>
      </c>
      <c r="J261" s="611">
        <v>0</v>
      </c>
      <c r="K261" s="611">
        <v>0</v>
      </c>
      <c r="L261" s="611">
        <v>0</v>
      </c>
      <c r="M261" s="611">
        <v>0</v>
      </c>
      <c r="N261" s="611">
        <v>0</v>
      </c>
      <c r="O261" s="611">
        <v>0</v>
      </c>
      <c r="P261" s="611">
        <v>0</v>
      </c>
      <c r="Q261" s="611">
        <v>0</v>
      </c>
      <c r="R261" s="611">
        <v>4.7640000000000002</v>
      </c>
      <c r="S261" s="611">
        <v>0</v>
      </c>
      <c r="T261" s="611">
        <v>0</v>
      </c>
      <c r="U261" s="619">
        <v>4.7640000000000002</v>
      </c>
      <c r="V261" s="51"/>
    </row>
    <row r="262" spans="3:22" x14ac:dyDescent="0.25">
      <c r="C262" s="614" t="s">
        <v>83</v>
      </c>
      <c r="D262" s="615">
        <v>2.0940127617265829</v>
      </c>
      <c r="E262" s="615">
        <v>0</v>
      </c>
      <c r="F262" s="615">
        <v>42.329551923875783</v>
      </c>
      <c r="G262" s="615">
        <v>2.274686269460287</v>
      </c>
      <c r="H262" s="615">
        <v>54.870147260968139</v>
      </c>
      <c r="I262" s="615">
        <v>0.72515613120222222</v>
      </c>
      <c r="J262" s="615">
        <v>0</v>
      </c>
      <c r="K262" s="615">
        <v>0</v>
      </c>
      <c r="L262" s="615">
        <v>65.161926831936981</v>
      </c>
      <c r="M262" s="615">
        <v>6.2799536188843161</v>
      </c>
      <c r="N262" s="615">
        <v>83.483759428743397</v>
      </c>
      <c r="O262" s="615">
        <v>65.304327055452276</v>
      </c>
      <c r="P262" s="615">
        <v>165.69992491801096</v>
      </c>
      <c r="Q262" s="615">
        <v>7.6738034088497393</v>
      </c>
      <c r="R262" s="615">
        <v>561.50437892693742</v>
      </c>
      <c r="S262" s="615">
        <v>62.621514390504288</v>
      </c>
      <c r="T262" s="615">
        <v>18.264473333141254</v>
      </c>
      <c r="U262" s="615">
        <v>1138.2876162596938</v>
      </c>
      <c r="V262" s="51"/>
    </row>
    <row r="263" spans="3:22" x14ac:dyDescent="0.25">
      <c r="C263" s="610" t="s">
        <v>84</v>
      </c>
      <c r="D263" s="611">
        <v>0</v>
      </c>
      <c r="E263" s="611">
        <v>0</v>
      </c>
      <c r="F263" s="611">
        <v>70.526185031804687</v>
      </c>
      <c r="G263" s="611">
        <v>2.3546975295224146</v>
      </c>
      <c r="H263" s="611">
        <v>7.1814532260043631</v>
      </c>
      <c r="I263" s="611">
        <v>0</v>
      </c>
      <c r="J263" s="611">
        <v>0</v>
      </c>
      <c r="K263" s="611">
        <v>0</v>
      </c>
      <c r="L263" s="611">
        <v>0.42109898462761541</v>
      </c>
      <c r="M263" s="611">
        <v>0</v>
      </c>
      <c r="N263" s="611">
        <v>33.896224635717942</v>
      </c>
      <c r="O263" s="611">
        <v>10.020700945523032</v>
      </c>
      <c r="P263" s="611">
        <v>0</v>
      </c>
      <c r="Q263" s="611">
        <v>0</v>
      </c>
      <c r="R263" s="611">
        <v>0</v>
      </c>
      <c r="S263" s="611">
        <v>0</v>
      </c>
      <c r="T263" s="611">
        <v>40.523061894297456</v>
      </c>
      <c r="U263" s="619">
        <v>164.92342224749751</v>
      </c>
      <c r="V263" s="51"/>
    </row>
    <row r="264" spans="3:22" x14ac:dyDescent="0.25">
      <c r="C264" s="614" t="s">
        <v>85</v>
      </c>
      <c r="D264" s="615">
        <v>2.0940127617265829</v>
      </c>
      <c r="E264" s="615">
        <v>0</v>
      </c>
      <c r="F264" s="615">
        <v>112.85573695568047</v>
      </c>
      <c r="G264" s="615">
        <v>4.6293837989827011</v>
      </c>
      <c r="H264" s="615">
        <v>62.051600486972504</v>
      </c>
      <c r="I264" s="615">
        <v>0.72515613120222222</v>
      </c>
      <c r="J264" s="615">
        <v>0</v>
      </c>
      <c r="K264" s="615">
        <v>0</v>
      </c>
      <c r="L264" s="615">
        <v>65.5830258165646</v>
      </c>
      <c r="M264" s="615">
        <v>6.2799536188843161</v>
      </c>
      <c r="N264" s="615">
        <v>117.37998406446134</v>
      </c>
      <c r="O264" s="615">
        <v>75.325028000975308</v>
      </c>
      <c r="P264" s="615">
        <v>165.69992491801096</v>
      </c>
      <c r="Q264" s="615">
        <v>7.6738034088497393</v>
      </c>
      <c r="R264" s="615">
        <v>561.50437892693742</v>
      </c>
      <c r="S264" s="615">
        <v>62.621514390504288</v>
      </c>
      <c r="T264" s="615">
        <v>58.78753522743871</v>
      </c>
      <c r="U264" s="615">
        <v>1303.2110385071912</v>
      </c>
      <c r="V264" s="51"/>
    </row>
    <row r="265" spans="3:22" x14ac:dyDescent="0.25">
      <c r="C265" s="51"/>
      <c r="D265" s="67">
        <v>0</v>
      </c>
      <c r="E265" s="67">
        <v>0</v>
      </c>
      <c r="F265" s="67">
        <v>0</v>
      </c>
      <c r="G265" s="67">
        <v>0</v>
      </c>
      <c r="H265" s="67">
        <v>0</v>
      </c>
      <c r="I265" s="67">
        <v>0</v>
      </c>
      <c r="J265" s="67">
        <v>0</v>
      </c>
      <c r="K265" s="67">
        <v>0</v>
      </c>
      <c r="L265" s="67">
        <v>0</v>
      </c>
      <c r="M265" s="67">
        <v>-3.685817073417752E-4</v>
      </c>
      <c r="N265" s="67">
        <v>0</v>
      </c>
      <c r="O265" s="67">
        <v>9.7699626167013776E-15</v>
      </c>
      <c r="P265" s="67">
        <v>0</v>
      </c>
      <c r="Q265" s="67">
        <v>0</v>
      </c>
      <c r="R265" s="67">
        <v>0</v>
      </c>
      <c r="S265" s="67">
        <v>0</v>
      </c>
      <c r="T265" s="67">
        <v>-9.7699626167013776E-15</v>
      </c>
      <c r="U265" s="67">
        <v>-3.6858170687992242E-4</v>
      </c>
      <c r="V265" s="51"/>
    </row>
    <row r="266" spans="3:22" x14ac:dyDescent="0.25">
      <c r="C266" s="51"/>
      <c r="D266" s="51"/>
      <c r="E266" s="51"/>
      <c r="F266" s="51"/>
      <c r="G266" s="67"/>
      <c r="H266" s="51"/>
      <c r="I266" s="51"/>
      <c r="J266" s="51"/>
      <c r="K266" s="51"/>
      <c r="L266" s="51"/>
      <c r="M266" s="51"/>
      <c r="N266" s="51"/>
      <c r="O266" s="51"/>
      <c r="P266" s="51"/>
      <c r="Q266" s="51"/>
      <c r="R266" s="51"/>
      <c r="S266" s="51"/>
      <c r="T266" s="51"/>
      <c r="U266" s="51"/>
      <c r="V266" s="51"/>
    </row>
    <row r="267" spans="3:22" x14ac:dyDescent="0.25">
      <c r="C267" s="607" t="s">
        <v>361</v>
      </c>
      <c r="D267" s="606"/>
      <c r="E267" s="606"/>
      <c r="F267" s="606"/>
      <c r="G267" s="682"/>
      <c r="H267" s="606"/>
      <c r="I267" s="606"/>
      <c r="J267" s="606"/>
      <c r="K267" s="606"/>
      <c r="L267" s="606"/>
      <c r="M267" s="606"/>
      <c r="N267" s="606"/>
      <c r="O267" s="606"/>
      <c r="P267" s="606"/>
      <c r="Q267" s="606"/>
      <c r="R267" s="606"/>
      <c r="S267" s="606"/>
      <c r="T267" s="606"/>
      <c r="U267" s="606"/>
      <c r="V267" s="606"/>
    </row>
    <row r="268" spans="3:22" x14ac:dyDescent="0.25">
      <c r="C268" s="51"/>
      <c r="D268" s="51"/>
      <c r="E268" s="51"/>
      <c r="F268" s="51"/>
      <c r="G268" s="67"/>
      <c r="H268" s="51"/>
      <c r="I268" s="51"/>
      <c r="J268" s="51"/>
      <c r="K268" s="51"/>
      <c r="L268" s="51"/>
      <c r="M268" s="51"/>
      <c r="N268" s="51"/>
      <c r="O268" s="51"/>
      <c r="P268" s="51"/>
      <c r="Q268" s="51"/>
      <c r="R268" s="51"/>
      <c r="S268" s="51"/>
      <c r="T268" s="51"/>
      <c r="U268" s="51"/>
      <c r="V268" s="51"/>
    </row>
    <row r="269" spans="3:22" x14ac:dyDescent="0.25">
      <c r="C269" s="764" t="s">
        <v>128</v>
      </c>
      <c r="D269" s="753" t="s">
        <v>42</v>
      </c>
      <c r="E269" s="753" t="s">
        <v>52</v>
      </c>
      <c r="F269" s="753" t="s">
        <v>53</v>
      </c>
      <c r="G269" s="766" t="s">
        <v>482</v>
      </c>
      <c r="H269" s="753" t="s">
        <v>32</v>
      </c>
      <c r="I269" s="753" t="s">
        <v>483</v>
      </c>
      <c r="J269" s="753" t="s">
        <v>20</v>
      </c>
      <c r="K269" s="753" t="s">
        <v>55</v>
      </c>
      <c r="L269" s="761" t="s">
        <v>56</v>
      </c>
      <c r="M269" s="762"/>
      <c r="N269" s="762"/>
      <c r="O269" s="762"/>
      <c r="P269" s="762"/>
      <c r="Q269" s="763"/>
      <c r="R269" s="753" t="s">
        <v>57</v>
      </c>
      <c r="S269" s="753" t="s">
        <v>58</v>
      </c>
      <c r="T269" s="753" t="s">
        <v>31</v>
      </c>
      <c r="U269" s="753" t="s">
        <v>10</v>
      </c>
      <c r="V269" s="51"/>
    </row>
    <row r="270" spans="3:22" ht="36" x14ac:dyDescent="0.25">
      <c r="C270" s="765"/>
      <c r="D270" s="754"/>
      <c r="E270" s="754"/>
      <c r="F270" s="754"/>
      <c r="G270" s="767"/>
      <c r="H270" s="754"/>
      <c r="I270" s="754"/>
      <c r="J270" s="754"/>
      <c r="K270" s="754"/>
      <c r="L270" s="608" t="s">
        <v>335</v>
      </c>
      <c r="M270" s="608" t="s">
        <v>40</v>
      </c>
      <c r="N270" s="608" t="s">
        <v>343</v>
      </c>
      <c r="O270" s="608" t="s">
        <v>344</v>
      </c>
      <c r="P270" s="609" t="s">
        <v>345</v>
      </c>
      <c r="Q270" s="608" t="s">
        <v>346</v>
      </c>
      <c r="R270" s="754"/>
      <c r="S270" s="754"/>
      <c r="T270" s="754"/>
      <c r="U270" s="754"/>
      <c r="V270" s="51"/>
    </row>
    <row r="271" spans="3:22" x14ac:dyDescent="0.25">
      <c r="C271" s="610" t="s">
        <v>59</v>
      </c>
      <c r="D271" s="611">
        <v>0</v>
      </c>
      <c r="E271" s="611">
        <v>0</v>
      </c>
      <c r="F271" s="611">
        <v>0</v>
      </c>
      <c r="G271" s="611">
        <v>0</v>
      </c>
      <c r="H271" s="611">
        <v>0</v>
      </c>
      <c r="I271" s="611">
        <v>0</v>
      </c>
      <c r="J271" s="612">
        <v>971.10439999999994</v>
      </c>
      <c r="K271" s="612">
        <v>503.30122823446823</v>
      </c>
      <c r="L271" s="612">
        <v>455.14148237245831</v>
      </c>
      <c r="M271" s="612">
        <v>20.793873035909879</v>
      </c>
      <c r="N271" s="611">
        <v>1.6797912871987437</v>
      </c>
      <c r="O271" s="611">
        <v>0.17065445399605614</v>
      </c>
      <c r="P271" s="612">
        <v>171.08209770143009</v>
      </c>
      <c r="Q271" s="612">
        <v>25.726769025027945</v>
      </c>
      <c r="R271" s="611">
        <v>0</v>
      </c>
      <c r="S271" s="611">
        <v>0</v>
      </c>
      <c r="T271" s="611">
        <v>0</v>
      </c>
      <c r="U271" s="613">
        <v>2149.0002961104892</v>
      </c>
      <c r="V271" s="51"/>
    </row>
    <row r="272" spans="3:22" x14ac:dyDescent="0.25">
      <c r="C272" s="610" t="s">
        <v>60</v>
      </c>
      <c r="D272" s="611">
        <v>1.6567330370836562</v>
      </c>
      <c r="E272" s="611">
        <v>156.10342406212303</v>
      </c>
      <c r="F272" s="611">
        <v>2.9590354993625017</v>
      </c>
      <c r="G272" s="611">
        <v>0</v>
      </c>
      <c r="H272" s="611">
        <v>54.539197305320002</v>
      </c>
      <c r="I272" s="611">
        <v>0</v>
      </c>
      <c r="J272" s="611">
        <v>0</v>
      </c>
      <c r="K272" s="611">
        <v>0</v>
      </c>
      <c r="L272" s="611">
        <v>4.8125993033158778</v>
      </c>
      <c r="M272" s="611">
        <v>0</v>
      </c>
      <c r="N272" s="611">
        <v>6.2295354537228107</v>
      </c>
      <c r="O272" s="611">
        <v>0</v>
      </c>
      <c r="P272" s="611">
        <v>0</v>
      </c>
      <c r="Q272" s="611">
        <v>0</v>
      </c>
      <c r="R272" s="611">
        <v>12.737834844238364</v>
      </c>
      <c r="S272" s="611">
        <v>0</v>
      </c>
      <c r="T272" s="611">
        <v>0</v>
      </c>
      <c r="U272" s="613">
        <v>239.03835950516623</v>
      </c>
      <c r="V272" s="51"/>
    </row>
    <row r="273" spans="3:22" x14ac:dyDescent="0.25">
      <c r="C273" s="610" t="s">
        <v>61</v>
      </c>
      <c r="D273" s="611">
        <v>0</v>
      </c>
      <c r="E273" s="611">
        <v>0</v>
      </c>
      <c r="F273" s="611">
        <v>-44.676300971263089</v>
      </c>
      <c r="G273" s="611">
        <v>-7.4420014649377606</v>
      </c>
      <c r="H273" s="611">
        <v>0</v>
      </c>
      <c r="I273" s="611">
        <v>0</v>
      </c>
      <c r="J273" s="611">
        <v>0</v>
      </c>
      <c r="K273" s="611">
        <v>0</v>
      </c>
      <c r="L273" s="611">
        <v>0</v>
      </c>
      <c r="M273" s="611">
        <v>0</v>
      </c>
      <c r="N273" s="611">
        <v>0</v>
      </c>
      <c r="O273" s="611">
        <v>0</v>
      </c>
      <c r="P273" s="611">
        <v>0</v>
      </c>
      <c r="Q273" s="611">
        <v>0</v>
      </c>
      <c r="R273" s="611">
        <v>0</v>
      </c>
      <c r="S273" s="611">
        <v>0</v>
      </c>
      <c r="T273" s="611">
        <v>0</v>
      </c>
      <c r="U273" s="613">
        <v>-52.11830243620085</v>
      </c>
      <c r="V273" s="51"/>
    </row>
    <row r="274" spans="3:22" x14ac:dyDescent="0.25">
      <c r="C274" s="610" t="s">
        <v>62</v>
      </c>
      <c r="D274" s="611">
        <v>0</v>
      </c>
      <c r="E274" s="611">
        <v>0</v>
      </c>
      <c r="F274" s="611">
        <v>-2.5439781787400757</v>
      </c>
      <c r="G274" s="611">
        <v>-5.1073400578201751</v>
      </c>
      <c r="H274" s="611">
        <v>0</v>
      </c>
      <c r="I274" s="611">
        <v>-4.025065184691706</v>
      </c>
      <c r="J274" s="611">
        <v>0</v>
      </c>
      <c r="K274" s="611">
        <v>0</v>
      </c>
      <c r="L274" s="611">
        <v>0</v>
      </c>
      <c r="M274" s="611">
        <v>0</v>
      </c>
      <c r="N274" s="611">
        <v>-1.4642875778969737</v>
      </c>
      <c r="O274" s="611">
        <v>-2.6833767897944703</v>
      </c>
      <c r="P274" s="611">
        <v>0</v>
      </c>
      <c r="Q274" s="611">
        <v>0</v>
      </c>
      <c r="R274" s="611">
        <v>0</v>
      </c>
      <c r="S274" s="611">
        <v>0</v>
      </c>
      <c r="T274" s="611">
        <v>-1.8096944583874461</v>
      </c>
      <c r="U274" s="613">
        <v>-17.633742247330847</v>
      </c>
      <c r="V274" s="51"/>
    </row>
    <row r="275" spans="3:22" x14ac:dyDescent="0.25">
      <c r="C275" s="610" t="s">
        <v>63</v>
      </c>
      <c r="D275" s="611">
        <v>0</v>
      </c>
      <c r="E275" s="611">
        <v>0</v>
      </c>
      <c r="F275" s="611">
        <v>-26.066537028283065</v>
      </c>
      <c r="G275" s="611">
        <v>-15.61159587816994</v>
      </c>
      <c r="H275" s="611">
        <v>0</v>
      </c>
      <c r="I275" s="611">
        <v>0</v>
      </c>
      <c r="J275" s="611">
        <v>0</v>
      </c>
      <c r="K275" s="611">
        <v>0</v>
      </c>
      <c r="L275" s="611">
        <v>0</v>
      </c>
      <c r="M275" s="611">
        <v>0</v>
      </c>
      <c r="N275" s="611">
        <v>-15.61159587816994</v>
      </c>
      <c r="O275" s="611">
        <v>0</v>
      </c>
      <c r="P275" s="611">
        <v>0</v>
      </c>
      <c r="Q275" s="611">
        <v>0</v>
      </c>
      <c r="R275" s="611">
        <v>0</v>
      </c>
      <c r="S275" s="611">
        <v>0</v>
      </c>
      <c r="T275" s="611">
        <v>-5.1590895167519655</v>
      </c>
      <c r="U275" s="613">
        <v>-62.448818301374899</v>
      </c>
      <c r="V275" s="51"/>
    </row>
    <row r="276" spans="3:22" x14ac:dyDescent="0.25">
      <c r="C276" s="610" t="s">
        <v>64</v>
      </c>
      <c r="D276" s="611">
        <v>0</v>
      </c>
      <c r="E276" s="611">
        <v>0</v>
      </c>
      <c r="F276" s="611">
        <v>0</v>
      </c>
      <c r="G276" s="611">
        <v>0</v>
      </c>
      <c r="H276" s="611">
        <v>0</v>
      </c>
      <c r="I276" s="611">
        <v>0</v>
      </c>
      <c r="J276" s="611">
        <v>0</v>
      </c>
      <c r="K276" s="611">
        <v>0</v>
      </c>
      <c r="L276" s="611">
        <v>0</v>
      </c>
      <c r="M276" s="611">
        <v>0</v>
      </c>
      <c r="N276" s="611">
        <v>0</v>
      </c>
      <c r="O276" s="611">
        <v>0</v>
      </c>
      <c r="P276" s="611">
        <v>0</v>
      </c>
      <c r="Q276" s="611">
        <v>0</v>
      </c>
      <c r="R276" s="611">
        <v>0</v>
      </c>
      <c r="S276" s="611">
        <v>0</v>
      </c>
      <c r="T276" s="611">
        <v>0</v>
      </c>
      <c r="U276" s="613">
        <v>0</v>
      </c>
      <c r="V276" s="51"/>
    </row>
    <row r="277" spans="3:22" x14ac:dyDescent="0.25">
      <c r="C277" s="614" t="s">
        <v>65</v>
      </c>
      <c r="D277" s="615">
        <v>1.6567330370836562</v>
      </c>
      <c r="E277" s="615">
        <v>156.10342406212303</v>
      </c>
      <c r="F277" s="615">
        <v>-70.32778067892373</v>
      </c>
      <c r="G277" s="615">
        <v>-28.160937400927875</v>
      </c>
      <c r="H277" s="615">
        <v>54.539197305320002</v>
      </c>
      <c r="I277" s="615">
        <v>-4.025065184691706</v>
      </c>
      <c r="J277" s="615">
        <v>971.10439999999994</v>
      </c>
      <c r="K277" s="615">
        <v>503.30122823446823</v>
      </c>
      <c r="L277" s="615">
        <v>459.9540816757742</v>
      </c>
      <c r="M277" s="615">
        <v>20.793873035909879</v>
      </c>
      <c r="N277" s="615">
        <v>-9.166556715145358</v>
      </c>
      <c r="O277" s="615">
        <v>-2.5127223357984141</v>
      </c>
      <c r="P277" s="615">
        <v>171.08209770143009</v>
      </c>
      <c r="Q277" s="615">
        <v>25.726769025027945</v>
      </c>
      <c r="R277" s="615">
        <v>12.737834844238364</v>
      </c>
      <c r="S277" s="615">
        <v>0</v>
      </c>
      <c r="T277" s="615">
        <v>-6.9687839751394112</v>
      </c>
      <c r="U277" s="615">
        <v>2255.8377926307489</v>
      </c>
      <c r="V277" s="51"/>
    </row>
    <row r="278" spans="3:22" x14ac:dyDescent="0.25">
      <c r="C278" s="616"/>
      <c r="D278" s="617"/>
      <c r="E278" s="617"/>
      <c r="F278" s="617"/>
      <c r="G278" s="617"/>
      <c r="H278" s="623"/>
      <c r="I278" s="617"/>
      <c r="J278" s="617"/>
      <c r="K278" s="617"/>
      <c r="L278" s="617"/>
      <c r="M278" s="617"/>
      <c r="N278" s="617"/>
      <c r="O278" s="617"/>
      <c r="P278" s="617"/>
      <c r="Q278" s="617"/>
      <c r="R278" s="617"/>
      <c r="S278" s="617"/>
      <c r="T278" s="617"/>
      <c r="U278" s="617"/>
      <c r="V278" s="51"/>
    </row>
    <row r="279" spans="3:22" x14ac:dyDescent="0.25">
      <c r="C279" s="618" t="s">
        <v>67</v>
      </c>
      <c r="D279" s="611">
        <v>0</v>
      </c>
      <c r="E279" s="611">
        <v>0</v>
      </c>
      <c r="F279" s="611">
        <v>0</v>
      </c>
      <c r="G279" s="611">
        <v>0</v>
      </c>
      <c r="H279" s="611">
        <v>0</v>
      </c>
      <c r="I279" s="611">
        <v>0</v>
      </c>
      <c r="J279" s="611">
        <v>0</v>
      </c>
      <c r="K279" s="611">
        <v>0</v>
      </c>
      <c r="L279" s="611">
        <v>0</v>
      </c>
      <c r="M279" s="611">
        <v>0</v>
      </c>
      <c r="N279" s="611">
        <v>0</v>
      </c>
      <c r="O279" s="611">
        <v>0</v>
      </c>
      <c r="P279" s="611">
        <v>0</v>
      </c>
      <c r="Q279" s="611">
        <v>0</v>
      </c>
      <c r="R279" s="611">
        <v>0</v>
      </c>
      <c r="S279" s="611">
        <v>0</v>
      </c>
      <c r="T279" s="611">
        <v>0</v>
      </c>
      <c r="U279" s="619">
        <v>0</v>
      </c>
      <c r="V279" s="51"/>
    </row>
    <row r="280" spans="3:22" x14ac:dyDescent="0.25">
      <c r="C280" s="618" t="s">
        <v>347</v>
      </c>
      <c r="D280" s="611">
        <v>0</v>
      </c>
      <c r="E280" s="611">
        <v>0</v>
      </c>
      <c r="F280" s="611">
        <v>0</v>
      </c>
      <c r="G280" s="611">
        <v>0</v>
      </c>
      <c r="H280" s="611">
        <v>0.44776646808510651</v>
      </c>
      <c r="I280" s="611">
        <v>0</v>
      </c>
      <c r="J280" s="611">
        <v>971.10439999999994</v>
      </c>
      <c r="K280" s="611">
        <v>503.30122823446823</v>
      </c>
      <c r="L280" s="611">
        <v>22.611661930027488</v>
      </c>
      <c r="M280" s="611">
        <v>0.61851517484510588</v>
      </c>
      <c r="N280" s="611">
        <v>6.3451610040287907</v>
      </c>
      <c r="O280" s="611">
        <v>1.1589812304406033</v>
      </c>
      <c r="P280" s="611">
        <v>0</v>
      </c>
      <c r="Q280" s="611">
        <v>6.4766550958451852</v>
      </c>
      <c r="R280" s="611">
        <v>-877.28387729883798</v>
      </c>
      <c r="S280" s="611">
        <v>0</v>
      </c>
      <c r="T280" s="611">
        <v>5.1921899999999992</v>
      </c>
      <c r="U280" s="619">
        <v>639.97268183890242</v>
      </c>
      <c r="V280" s="51"/>
    </row>
    <row r="281" spans="3:22" x14ac:dyDescent="0.25">
      <c r="C281" s="618" t="s">
        <v>348</v>
      </c>
      <c r="D281" s="611">
        <v>0</v>
      </c>
      <c r="E281" s="611">
        <v>0</v>
      </c>
      <c r="F281" s="611">
        <v>0</v>
      </c>
      <c r="G281" s="611">
        <v>0</v>
      </c>
      <c r="H281" s="611">
        <v>3.2640954387883037</v>
      </c>
      <c r="I281" s="611">
        <v>0</v>
      </c>
      <c r="J281" s="611">
        <v>0</v>
      </c>
      <c r="K281" s="611">
        <v>0</v>
      </c>
      <c r="L281" s="611">
        <v>34.874750545465744</v>
      </c>
      <c r="M281" s="611">
        <v>14.450307287843678</v>
      </c>
      <c r="N281" s="611">
        <v>0</v>
      </c>
      <c r="O281" s="611">
        <v>7.6313341325616637</v>
      </c>
      <c r="P281" s="611">
        <v>0</v>
      </c>
      <c r="Q281" s="611">
        <v>11.247880766628024</v>
      </c>
      <c r="R281" s="611">
        <v>0</v>
      </c>
      <c r="S281" s="611">
        <v>-67.335306808549447</v>
      </c>
      <c r="T281" s="611">
        <v>0</v>
      </c>
      <c r="U281" s="619">
        <v>4.133061362737962</v>
      </c>
      <c r="V281" s="51"/>
    </row>
    <row r="282" spans="3:22" x14ac:dyDescent="0.25">
      <c r="C282" s="618" t="s">
        <v>349</v>
      </c>
      <c r="D282" s="611">
        <v>0</v>
      </c>
      <c r="E282" s="611">
        <v>0</v>
      </c>
      <c r="F282" s="611">
        <v>0</v>
      </c>
      <c r="G282" s="611">
        <v>0</v>
      </c>
      <c r="H282" s="611">
        <v>0</v>
      </c>
      <c r="I282" s="611">
        <v>0</v>
      </c>
      <c r="J282" s="611">
        <v>0</v>
      </c>
      <c r="K282" s="611">
        <v>0</v>
      </c>
      <c r="L282" s="611">
        <v>99.886824202456438</v>
      </c>
      <c r="M282" s="611">
        <v>0</v>
      </c>
      <c r="N282" s="611">
        <v>0</v>
      </c>
      <c r="O282" s="611">
        <v>-91.582944375151399</v>
      </c>
      <c r="P282" s="611">
        <v>0</v>
      </c>
      <c r="Q282" s="611">
        <v>0</v>
      </c>
      <c r="R282" s="611">
        <v>0</v>
      </c>
      <c r="S282" s="611">
        <v>0</v>
      </c>
      <c r="T282" s="611">
        <v>0</v>
      </c>
      <c r="U282" s="619">
        <v>8.3038798273050389</v>
      </c>
      <c r="V282" s="51"/>
    </row>
    <row r="283" spans="3:22" x14ac:dyDescent="0.25">
      <c r="C283" s="618" t="s">
        <v>350</v>
      </c>
      <c r="D283" s="611">
        <v>0</v>
      </c>
      <c r="E283" s="611">
        <v>0</v>
      </c>
      <c r="F283" s="611">
        <v>0</v>
      </c>
      <c r="G283" s="611">
        <v>0</v>
      </c>
      <c r="H283" s="611">
        <v>0</v>
      </c>
      <c r="I283" s="611">
        <v>-5.1740904166094976</v>
      </c>
      <c r="J283" s="611">
        <v>0</v>
      </c>
      <c r="K283" s="611">
        <v>0</v>
      </c>
      <c r="L283" s="611">
        <v>0</v>
      </c>
      <c r="M283" s="611">
        <v>0</v>
      </c>
      <c r="N283" s="611">
        <v>0</v>
      </c>
      <c r="O283" s="611">
        <v>0</v>
      </c>
      <c r="P283" s="611">
        <v>0</v>
      </c>
      <c r="Q283" s="611">
        <v>0</v>
      </c>
      <c r="R283" s="611">
        <v>0</v>
      </c>
      <c r="S283" s="611">
        <v>0</v>
      </c>
      <c r="T283" s="611">
        <v>7.1912846116196816</v>
      </c>
      <c r="U283" s="619">
        <v>2.0171941950101839</v>
      </c>
      <c r="V283" s="51"/>
    </row>
    <row r="284" spans="3:22" x14ac:dyDescent="0.25">
      <c r="C284" s="618" t="s">
        <v>72</v>
      </c>
      <c r="D284" s="611">
        <v>0</v>
      </c>
      <c r="E284" s="611">
        <v>161.75289728424144</v>
      </c>
      <c r="F284" s="611">
        <v>-160.13983967974238</v>
      </c>
      <c r="G284" s="611">
        <v>0</v>
      </c>
      <c r="H284" s="611">
        <v>0</v>
      </c>
      <c r="I284" s="611">
        <v>0</v>
      </c>
      <c r="J284" s="611">
        <v>0</v>
      </c>
      <c r="K284" s="611">
        <v>0</v>
      </c>
      <c r="L284" s="611">
        <v>0</v>
      </c>
      <c r="M284" s="611">
        <v>0</v>
      </c>
      <c r="N284" s="611">
        <v>0</v>
      </c>
      <c r="O284" s="611">
        <v>0</v>
      </c>
      <c r="P284" s="611">
        <v>0</v>
      </c>
      <c r="Q284" s="611">
        <v>0</v>
      </c>
      <c r="R284" s="611">
        <v>0</v>
      </c>
      <c r="S284" s="611">
        <v>0</v>
      </c>
      <c r="T284" s="611">
        <v>0</v>
      </c>
      <c r="U284" s="619">
        <v>1.6130576044990619</v>
      </c>
      <c r="V284" s="51"/>
    </row>
    <row r="285" spans="3:22" x14ac:dyDescent="0.25">
      <c r="C285" s="618" t="s">
        <v>351</v>
      </c>
      <c r="D285" s="611">
        <v>0</v>
      </c>
      <c r="E285" s="611">
        <v>0</v>
      </c>
      <c r="F285" s="611">
        <v>0</v>
      </c>
      <c r="G285" s="611">
        <v>0</v>
      </c>
      <c r="H285" s="611">
        <v>0</v>
      </c>
      <c r="I285" s="611">
        <v>0</v>
      </c>
      <c r="J285" s="611">
        <v>0</v>
      </c>
      <c r="K285" s="611">
        <v>0</v>
      </c>
      <c r="L285" s="611">
        <v>239.29378044744664</v>
      </c>
      <c r="M285" s="611">
        <v>0</v>
      </c>
      <c r="N285" s="611">
        <v>-131.61157924609566</v>
      </c>
      <c r="O285" s="611">
        <v>0</v>
      </c>
      <c r="P285" s="611">
        <v>0</v>
      </c>
      <c r="Q285" s="611">
        <v>0</v>
      </c>
      <c r="R285" s="611">
        <v>0</v>
      </c>
      <c r="S285" s="611">
        <v>0</v>
      </c>
      <c r="T285" s="611">
        <v>0</v>
      </c>
      <c r="U285" s="619">
        <v>107.68220120135098</v>
      </c>
      <c r="V285" s="51"/>
    </row>
    <row r="286" spans="3:22" x14ac:dyDescent="0.25">
      <c r="C286" s="618" t="s">
        <v>352</v>
      </c>
      <c r="D286" s="611">
        <v>0</v>
      </c>
      <c r="E286" s="611">
        <v>0</v>
      </c>
      <c r="F286" s="611">
        <v>0</v>
      </c>
      <c r="G286" s="611">
        <v>-33.473815441656178</v>
      </c>
      <c r="H286" s="611">
        <v>0</v>
      </c>
      <c r="I286" s="611">
        <v>0</v>
      </c>
      <c r="J286" s="611">
        <v>0</v>
      </c>
      <c r="K286" s="611">
        <v>0</v>
      </c>
      <c r="L286" s="611">
        <v>0</v>
      </c>
      <c r="M286" s="611">
        <v>0</v>
      </c>
      <c r="N286" s="611">
        <v>0</v>
      </c>
      <c r="O286" s="611">
        <v>0</v>
      </c>
      <c r="P286" s="611">
        <v>0</v>
      </c>
      <c r="Q286" s="611">
        <v>0</v>
      </c>
      <c r="R286" s="611">
        <v>0</v>
      </c>
      <c r="S286" s="611">
        <v>0</v>
      </c>
      <c r="T286" s="611">
        <v>43.527837875314049</v>
      </c>
      <c r="U286" s="619">
        <v>10.05402243365787</v>
      </c>
      <c r="V286" s="51"/>
    </row>
    <row r="287" spans="3:22" x14ac:dyDescent="0.25">
      <c r="C287" s="618" t="s">
        <v>73</v>
      </c>
      <c r="D287" s="611">
        <v>0</v>
      </c>
      <c r="E287" s="611">
        <v>0</v>
      </c>
      <c r="F287" s="611">
        <v>0</v>
      </c>
      <c r="G287" s="611">
        <v>0</v>
      </c>
      <c r="H287" s="611">
        <v>0</v>
      </c>
      <c r="I287" s="611">
        <v>0</v>
      </c>
      <c r="J287" s="611">
        <v>0</v>
      </c>
      <c r="K287" s="611">
        <v>0</v>
      </c>
      <c r="L287" s="611">
        <v>0</v>
      </c>
      <c r="M287" s="611">
        <v>0</v>
      </c>
      <c r="N287" s="611">
        <v>0</v>
      </c>
      <c r="O287" s="611">
        <v>0</v>
      </c>
      <c r="P287" s="611">
        <v>0</v>
      </c>
      <c r="Q287" s="611">
        <v>0</v>
      </c>
      <c r="R287" s="611">
        <v>186.09171546114462</v>
      </c>
      <c r="S287" s="611">
        <v>0</v>
      </c>
      <c r="T287" s="611">
        <v>-130.72943011145409</v>
      </c>
      <c r="U287" s="619">
        <v>55.362285349690524</v>
      </c>
      <c r="V287" s="51"/>
    </row>
    <row r="288" spans="3:22" x14ac:dyDescent="0.25">
      <c r="C288" s="618" t="s">
        <v>353</v>
      </c>
      <c r="D288" s="611">
        <v>0</v>
      </c>
      <c r="E288" s="611">
        <v>-5.6494732221184147</v>
      </c>
      <c r="F288" s="611">
        <v>7.3669989850431641</v>
      </c>
      <c r="G288" s="611">
        <v>0</v>
      </c>
      <c r="H288" s="611">
        <v>0</v>
      </c>
      <c r="I288" s="611">
        <v>0</v>
      </c>
      <c r="J288" s="611">
        <v>0</v>
      </c>
      <c r="K288" s="611">
        <v>0</v>
      </c>
      <c r="L288" s="611">
        <v>0</v>
      </c>
      <c r="M288" s="611">
        <v>0</v>
      </c>
      <c r="N288" s="611">
        <v>0</v>
      </c>
      <c r="O288" s="611">
        <v>0</v>
      </c>
      <c r="P288" s="611">
        <v>0</v>
      </c>
      <c r="Q288" s="611">
        <v>0</v>
      </c>
      <c r="R288" s="611">
        <v>0</v>
      </c>
      <c r="S288" s="611">
        <v>0</v>
      </c>
      <c r="T288" s="611">
        <v>0</v>
      </c>
      <c r="U288" s="619">
        <v>1.7175257629247493</v>
      </c>
      <c r="V288" s="51"/>
    </row>
    <row r="289" spans="3:22" x14ac:dyDescent="0.25">
      <c r="C289" s="618" t="s">
        <v>75</v>
      </c>
      <c r="D289" s="611">
        <v>0</v>
      </c>
      <c r="E289" s="611">
        <v>0</v>
      </c>
      <c r="F289" s="611">
        <v>5.5408288295361077</v>
      </c>
      <c r="G289" s="611">
        <v>0</v>
      </c>
      <c r="H289" s="611">
        <v>1.9377811160090992</v>
      </c>
      <c r="I289" s="611">
        <v>4.9686695282284594E-2</v>
      </c>
      <c r="J289" s="611">
        <v>0</v>
      </c>
      <c r="K289" s="611">
        <v>0</v>
      </c>
      <c r="L289" s="611">
        <v>0</v>
      </c>
      <c r="M289" s="611">
        <v>0</v>
      </c>
      <c r="N289" s="611">
        <v>0</v>
      </c>
      <c r="O289" s="611">
        <v>2.9812017169370755</v>
      </c>
      <c r="P289" s="611">
        <v>0</v>
      </c>
      <c r="Q289" s="611">
        <v>0</v>
      </c>
      <c r="R289" s="611">
        <v>65.428671005307493</v>
      </c>
      <c r="S289" s="611">
        <v>0</v>
      </c>
      <c r="T289" s="611">
        <v>0</v>
      </c>
      <c r="U289" s="619">
        <v>75.938169363072063</v>
      </c>
      <c r="V289" s="51"/>
    </row>
    <row r="290" spans="3:22" x14ac:dyDescent="0.25">
      <c r="C290" s="618" t="s">
        <v>76</v>
      </c>
      <c r="D290" s="611">
        <v>0</v>
      </c>
      <c r="E290" s="611">
        <v>0</v>
      </c>
      <c r="F290" s="611">
        <v>0</v>
      </c>
      <c r="G290" s="611">
        <v>0</v>
      </c>
      <c r="H290" s="611">
        <v>0.58858582439204721</v>
      </c>
      <c r="I290" s="611">
        <v>1.5091944215180697E-2</v>
      </c>
      <c r="J290" s="611">
        <v>0</v>
      </c>
      <c r="K290" s="611">
        <v>0</v>
      </c>
      <c r="L290" s="611">
        <v>0</v>
      </c>
      <c r="M290" s="611">
        <v>0</v>
      </c>
      <c r="N290" s="611">
        <v>0</v>
      </c>
      <c r="O290" s="611">
        <v>0.90551665291084182</v>
      </c>
      <c r="P290" s="611">
        <v>0</v>
      </c>
      <c r="Q290" s="611">
        <v>0</v>
      </c>
      <c r="R290" s="611">
        <v>68.128345316060717</v>
      </c>
      <c r="S290" s="611">
        <v>5.2226705636158801</v>
      </c>
      <c r="T290" s="611">
        <v>0</v>
      </c>
      <c r="U290" s="619">
        <v>74.86021030119467</v>
      </c>
      <c r="V290" s="51"/>
    </row>
    <row r="291" spans="3:22" x14ac:dyDescent="0.25">
      <c r="C291" s="614" t="s">
        <v>77</v>
      </c>
      <c r="D291" s="615">
        <v>0</v>
      </c>
      <c r="E291" s="615">
        <v>156.10342406212303</v>
      </c>
      <c r="F291" s="615">
        <v>-147.23201186516312</v>
      </c>
      <c r="G291" s="615">
        <v>-33.473815441656178</v>
      </c>
      <c r="H291" s="615">
        <v>6.2382288472745566</v>
      </c>
      <c r="I291" s="615">
        <v>-5.1093117771120324</v>
      </c>
      <c r="J291" s="615">
        <v>971.10439999999994</v>
      </c>
      <c r="K291" s="615">
        <v>503.30122823446823</v>
      </c>
      <c r="L291" s="615">
        <v>396.66701712539634</v>
      </c>
      <c r="M291" s="615">
        <v>15.068822462688784</v>
      </c>
      <c r="N291" s="615">
        <v>-125.26641824206686</v>
      </c>
      <c r="O291" s="615">
        <v>-78.905910642301208</v>
      </c>
      <c r="P291" s="615">
        <v>0</v>
      </c>
      <c r="Q291" s="615">
        <v>17.724535862473211</v>
      </c>
      <c r="R291" s="615">
        <v>-557.63514551632511</v>
      </c>
      <c r="S291" s="615">
        <v>-62.112636244933569</v>
      </c>
      <c r="T291" s="615">
        <v>-74.818117624520369</v>
      </c>
      <c r="U291" s="615">
        <v>981.65428924034563</v>
      </c>
      <c r="V291" s="51"/>
    </row>
    <row r="292" spans="3:22" x14ac:dyDescent="0.25">
      <c r="C292" s="616"/>
      <c r="D292" s="617"/>
      <c r="E292" s="617"/>
      <c r="F292" s="617"/>
      <c r="G292" s="617"/>
      <c r="H292" s="623"/>
      <c r="I292" s="617"/>
      <c r="J292" s="617"/>
      <c r="K292" s="617"/>
      <c r="L292" s="617"/>
      <c r="M292" s="617"/>
      <c r="N292" s="617"/>
      <c r="O292" s="617"/>
      <c r="P292" s="617"/>
      <c r="Q292" s="617"/>
      <c r="R292" s="617"/>
      <c r="S292" s="617"/>
      <c r="T292" s="617"/>
      <c r="U292" s="617"/>
      <c r="V292" s="51"/>
    </row>
    <row r="293" spans="3:22" x14ac:dyDescent="0.25">
      <c r="C293" s="618" t="s">
        <v>78</v>
      </c>
      <c r="D293" s="611">
        <v>1.6567330370836562</v>
      </c>
      <c r="E293" s="611">
        <v>0</v>
      </c>
      <c r="F293" s="611">
        <v>2.8599897491525303</v>
      </c>
      <c r="G293" s="611">
        <v>0</v>
      </c>
      <c r="H293" s="611">
        <v>23.2042782425182</v>
      </c>
      <c r="I293" s="611">
        <v>0.59498149339790252</v>
      </c>
      <c r="J293" s="611">
        <v>0</v>
      </c>
      <c r="K293" s="611">
        <v>0</v>
      </c>
      <c r="L293" s="611">
        <v>22.611451120736024</v>
      </c>
      <c r="M293" s="611">
        <v>5.7247037459588501</v>
      </c>
      <c r="N293" s="611">
        <v>2.4891014214733991</v>
      </c>
      <c r="O293" s="611">
        <v>35.740239810905898</v>
      </c>
      <c r="P293" s="611">
        <v>17.613589843749999</v>
      </c>
      <c r="Q293" s="611">
        <v>8.4299170840015686E-4</v>
      </c>
      <c r="R293" s="611">
        <v>187.94943106568476</v>
      </c>
      <c r="S293" s="611">
        <v>21.3497147946984</v>
      </c>
      <c r="T293" s="611">
        <v>13.7914765625</v>
      </c>
      <c r="U293" s="619">
        <v>335.58653387956804</v>
      </c>
      <c r="V293" s="51"/>
    </row>
    <row r="294" spans="3:22" x14ac:dyDescent="0.25">
      <c r="C294" s="618" t="s">
        <v>79</v>
      </c>
      <c r="D294" s="611">
        <v>0</v>
      </c>
      <c r="E294" s="611">
        <v>0</v>
      </c>
      <c r="F294" s="611">
        <v>7.0212023016086675</v>
      </c>
      <c r="G294" s="611">
        <v>2.7990026147409606</v>
      </c>
      <c r="H294" s="611">
        <v>3.0363171620819989</v>
      </c>
      <c r="I294" s="611">
        <v>7.7854286207230741E-2</v>
      </c>
      <c r="J294" s="611">
        <v>0</v>
      </c>
      <c r="K294" s="611">
        <v>0</v>
      </c>
      <c r="L294" s="611">
        <v>0</v>
      </c>
      <c r="M294" s="611">
        <v>0</v>
      </c>
      <c r="N294" s="611">
        <v>56.581202021290558</v>
      </c>
      <c r="O294" s="611">
        <v>4.6712571724338439</v>
      </c>
      <c r="P294" s="611">
        <v>0</v>
      </c>
      <c r="Q294" s="611">
        <v>0</v>
      </c>
      <c r="R294" s="611">
        <v>112.24073946586431</v>
      </c>
      <c r="S294" s="611">
        <v>0</v>
      </c>
      <c r="T294" s="611">
        <v>6.497399181335763</v>
      </c>
      <c r="U294" s="619">
        <v>192.92497420556333</v>
      </c>
      <c r="V294" s="51"/>
    </row>
    <row r="295" spans="3:22" x14ac:dyDescent="0.25">
      <c r="C295" s="618" t="s">
        <v>80</v>
      </c>
      <c r="D295" s="611">
        <v>0</v>
      </c>
      <c r="E295" s="611">
        <v>0</v>
      </c>
      <c r="F295" s="611">
        <v>0.52818257625892373</v>
      </c>
      <c r="G295" s="611">
        <v>0</v>
      </c>
      <c r="H295" s="611">
        <v>9.9272307301662774</v>
      </c>
      <c r="I295" s="611">
        <v>0.25454437769657123</v>
      </c>
      <c r="J295" s="611">
        <v>0</v>
      </c>
      <c r="K295" s="611">
        <v>0</v>
      </c>
      <c r="L295" s="611">
        <v>36.145280389625334</v>
      </c>
      <c r="M295" s="611">
        <v>0</v>
      </c>
      <c r="N295" s="611">
        <v>0</v>
      </c>
      <c r="O295" s="611">
        <v>15.272662661794273</v>
      </c>
      <c r="P295" s="611">
        <v>102.98149571768585</v>
      </c>
      <c r="Q295" s="611">
        <v>2.9888036499995505</v>
      </c>
      <c r="R295" s="611">
        <v>143.51715895688449</v>
      </c>
      <c r="S295" s="611">
        <v>22.181895321077057</v>
      </c>
      <c r="T295" s="611">
        <v>0</v>
      </c>
      <c r="U295" s="619">
        <v>333.79725438118828</v>
      </c>
      <c r="V295" s="51"/>
    </row>
    <row r="296" spans="3:22" x14ac:dyDescent="0.25">
      <c r="C296" s="618" t="s">
        <v>81</v>
      </c>
      <c r="D296" s="611">
        <v>0</v>
      </c>
      <c r="E296" s="611">
        <v>0</v>
      </c>
      <c r="F296" s="611">
        <v>0.4043921899752152</v>
      </c>
      <c r="G296" s="611">
        <v>0</v>
      </c>
      <c r="H296" s="611">
        <v>5.5758605918279338</v>
      </c>
      <c r="I296" s="611">
        <v>0.14297078440584446</v>
      </c>
      <c r="J296" s="611">
        <v>0</v>
      </c>
      <c r="K296" s="611">
        <v>0</v>
      </c>
      <c r="L296" s="611">
        <v>0.49596954229928064</v>
      </c>
      <c r="M296" s="611">
        <v>0</v>
      </c>
      <c r="N296" s="611">
        <v>0</v>
      </c>
      <c r="O296" s="611">
        <v>8.5782470643506681</v>
      </c>
      <c r="P296" s="611">
        <v>49.237012139994242</v>
      </c>
      <c r="Q296" s="611">
        <v>3.2685728275989634</v>
      </c>
      <c r="R296" s="611">
        <v>113.98538483583862</v>
      </c>
      <c r="S296" s="611">
        <v>18.581026129158101</v>
      </c>
      <c r="T296" s="611">
        <v>0</v>
      </c>
      <c r="U296" s="619">
        <v>200.26943610544885</v>
      </c>
      <c r="V296" s="51"/>
    </row>
    <row r="297" spans="3:22" x14ac:dyDescent="0.25">
      <c r="C297" s="618" t="s">
        <v>82</v>
      </c>
      <c r="D297" s="611">
        <v>0</v>
      </c>
      <c r="E297" s="611">
        <v>0</v>
      </c>
      <c r="F297" s="611">
        <v>3.6463721740036745</v>
      </c>
      <c r="G297" s="611">
        <v>0</v>
      </c>
      <c r="H297" s="611">
        <v>0.54193037779832631</v>
      </c>
      <c r="I297" s="611">
        <v>1.3895650712777598E-2</v>
      </c>
      <c r="J297" s="611">
        <v>0</v>
      </c>
      <c r="K297" s="611">
        <v>0</v>
      </c>
      <c r="L297" s="611">
        <v>3.5613676310951794</v>
      </c>
      <c r="M297" s="611">
        <v>0</v>
      </c>
      <c r="N297" s="611">
        <v>18.734510808369581</v>
      </c>
      <c r="O297" s="611">
        <v>0.83373904276665589</v>
      </c>
      <c r="P297" s="611">
        <v>1.25</v>
      </c>
      <c r="Q297" s="611">
        <v>1.7440136932478227</v>
      </c>
      <c r="R297" s="611">
        <v>6.9126660362912906</v>
      </c>
      <c r="S297" s="611">
        <v>0</v>
      </c>
      <c r="T297" s="611">
        <v>0.67126612024062504</v>
      </c>
      <c r="U297" s="619">
        <v>37.909761534525927</v>
      </c>
      <c r="V297" s="51"/>
    </row>
    <row r="298" spans="3:22" x14ac:dyDescent="0.25">
      <c r="C298" s="618" t="s">
        <v>354</v>
      </c>
      <c r="D298" s="611">
        <v>0</v>
      </c>
      <c r="E298" s="611">
        <v>0</v>
      </c>
      <c r="F298" s="611">
        <v>0</v>
      </c>
      <c r="G298" s="611">
        <v>0</v>
      </c>
      <c r="H298" s="611">
        <v>0</v>
      </c>
      <c r="I298" s="611">
        <v>0</v>
      </c>
      <c r="J298" s="611">
        <v>0</v>
      </c>
      <c r="K298" s="611">
        <v>0</v>
      </c>
      <c r="L298" s="611">
        <v>0</v>
      </c>
      <c r="M298" s="611">
        <v>0</v>
      </c>
      <c r="N298" s="611">
        <v>0</v>
      </c>
      <c r="O298" s="611">
        <v>0</v>
      </c>
      <c r="P298" s="611">
        <v>0</v>
      </c>
      <c r="Q298" s="611">
        <v>0</v>
      </c>
      <c r="R298" s="611">
        <v>5.7675999999999998</v>
      </c>
      <c r="S298" s="611">
        <v>0</v>
      </c>
      <c r="T298" s="611">
        <v>0</v>
      </c>
      <c r="U298" s="619">
        <v>5.7675999999999998</v>
      </c>
      <c r="V298" s="51"/>
    </row>
    <row r="299" spans="3:22" x14ac:dyDescent="0.25">
      <c r="C299" s="614" t="s">
        <v>83</v>
      </c>
      <c r="D299" s="615">
        <v>1.6567330370836562</v>
      </c>
      <c r="E299" s="615">
        <v>0</v>
      </c>
      <c r="F299" s="615">
        <v>14.460138990999013</v>
      </c>
      <c r="G299" s="615">
        <v>2.7990026147409606</v>
      </c>
      <c r="H299" s="615">
        <v>42.285617104392735</v>
      </c>
      <c r="I299" s="615">
        <v>1.0842465924203266</v>
      </c>
      <c r="J299" s="615">
        <v>0</v>
      </c>
      <c r="K299" s="615">
        <v>0</v>
      </c>
      <c r="L299" s="615">
        <v>62.814068683755821</v>
      </c>
      <c r="M299" s="615">
        <v>5.7247037459588501</v>
      </c>
      <c r="N299" s="615">
        <v>77.804814251133536</v>
      </c>
      <c r="O299" s="615">
        <v>65.096145752251331</v>
      </c>
      <c r="P299" s="615">
        <v>171.08209770143009</v>
      </c>
      <c r="Q299" s="615">
        <v>8.0022331625547363</v>
      </c>
      <c r="R299" s="615">
        <v>570.37298036056347</v>
      </c>
      <c r="S299" s="615">
        <v>62.112636244933555</v>
      </c>
      <c r="T299" s="615">
        <v>20.960141864076387</v>
      </c>
      <c r="U299" s="615">
        <v>1106.2555601062943</v>
      </c>
      <c r="V299" s="51"/>
    </row>
    <row r="300" spans="3:22" x14ac:dyDescent="0.25">
      <c r="C300" s="610" t="s">
        <v>84</v>
      </c>
      <c r="D300" s="611">
        <v>0</v>
      </c>
      <c r="E300" s="611">
        <v>0</v>
      </c>
      <c r="F300" s="611">
        <v>62.444092195240373</v>
      </c>
      <c r="G300" s="611">
        <v>2.5138754259873437</v>
      </c>
      <c r="H300" s="611">
        <v>6.0153513536527026</v>
      </c>
      <c r="I300" s="611">
        <v>0</v>
      </c>
      <c r="J300" s="611">
        <v>0</v>
      </c>
      <c r="K300" s="611">
        <v>0</v>
      </c>
      <c r="L300" s="611">
        <v>0.4729958666220917</v>
      </c>
      <c r="M300" s="611">
        <v>0</v>
      </c>
      <c r="N300" s="611">
        <v>38.295047275787958</v>
      </c>
      <c r="O300" s="611">
        <v>11.297042554251473</v>
      </c>
      <c r="P300" s="611">
        <v>0</v>
      </c>
      <c r="Q300" s="611">
        <v>0</v>
      </c>
      <c r="R300" s="611">
        <v>0</v>
      </c>
      <c r="S300" s="611">
        <v>0</v>
      </c>
      <c r="T300" s="611">
        <v>46.889191785304561</v>
      </c>
      <c r="U300" s="619">
        <v>167.92759645684652</v>
      </c>
      <c r="V300" s="51"/>
    </row>
    <row r="301" spans="3:22" x14ac:dyDescent="0.25">
      <c r="C301" s="614" t="s">
        <v>85</v>
      </c>
      <c r="D301" s="615">
        <v>1.6567330370836562</v>
      </c>
      <c r="E301" s="615">
        <v>0</v>
      </c>
      <c r="F301" s="615">
        <v>76.904231186239386</v>
      </c>
      <c r="G301" s="615">
        <v>5.3128780407283038</v>
      </c>
      <c r="H301" s="615">
        <v>48.300968458045439</v>
      </c>
      <c r="I301" s="615">
        <v>1.0842465924203266</v>
      </c>
      <c r="J301" s="615">
        <v>0</v>
      </c>
      <c r="K301" s="615">
        <v>0</v>
      </c>
      <c r="L301" s="615">
        <v>63.287064550377913</v>
      </c>
      <c r="M301" s="615">
        <v>5.7247037459588501</v>
      </c>
      <c r="N301" s="615">
        <v>116.0998615269215</v>
      </c>
      <c r="O301" s="615">
        <v>76.393188306502807</v>
      </c>
      <c r="P301" s="615">
        <v>171.08209770143009</v>
      </c>
      <c r="Q301" s="615">
        <v>8.0022331625547363</v>
      </c>
      <c r="R301" s="615">
        <v>570.37298036056347</v>
      </c>
      <c r="S301" s="615">
        <v>62.112636244933555</v>
      </c>
      <c r="T301" s="615">
        <v>67.849333649380952</v>
      </c>
      <c r="U301" s="615">
        <v>1274.1831565631408</v>
      </c>
      <c r="V301" s="51"/>
    </row>
    <row r="302" spans="3:22" x14ac:dyDescent="0.25">
      <c r="C302" s="51"/>
      <c r="D302" s="67">
        <v>0</v>
      </c>
      <c r="E302" s="67">
        <v>0</v>
      </c>
      <c r="F302" s="67">
        <v>0</v>
      </c>
      <c r="G302" s="67">
        <v>0</v>
      </c>
      <c r="H302" s="67">
        <v>0</v>
      </c>
      <c r="I302" s="67">
        <v>0</v>
      </c>
      <c r="J302" s="67">
        <v>0</v>
      </c>
      <c r="K302" s="67">
        <v>0</v>
      </c>
      <c r="L302" s="67">
        <v>0</v>
      </c>
      <c r="M302" s="67">
        <v>-3.4682726224488647E-4</v>
      </c>
      <c r="N302" s="67">
        <v>0</v>
      </c>
      <c r="O302" s="67">
        <v>1.3322676295501878E-14</v>
      </c>
      <c r="P302" s="67">
        <v>0</v>
      </c>
      <c r="Q302" s="67">
        <v>0</v>
      </c>
      <c r="R302" s="67">
        <v>0</v>
      </c>
      <c r="S302" s="67">
        <v>-1.4210854715202004E-14</v>
      </c>
      <c r="T302" s="67">
        <v>0</v>
      </c>
      <c r="U302" s="67">
        <v>-3.4682726254686713E-4</v>
      </c>
      <c r="V302" s="51"/>
    </row>
    <row r="303" spans="3:22" x14ac:dyDescent="0.25">
      <c r="C303" s="51"/>
      <c r="D303" s="51"/>
      <c r="E303" s="51"/>
      <c r="F303" s="51"/>
      <c r="G303" s="67"/>
      <c r="H303" s="51"/>
      <c r="I303" s="51"/>
      <c r="J303" s="51"/>
      <c r="K303" s="51"/>
      <c r="L303" s="51"/>
      <c r="M303" s="51"/>
      <c r="N303" s="51"/>
      <c r="O303" s="51"/>
      <c r="P303" s="51"/>
      <c r="Q303" s="51"/>
      <c r="R303" s="51"/>
      <c r="S303" s="51"/>
      <c r="T303" s="51"/>
      <c r="U303" s="51"/>
      <c r="V303" s="51"/>
    </row>
    <row r="304" spans="3:22" x14ac:dyDescent="0.25">
      <c r="C304" s="607" t="s">
        <v>89</v>
      </c>
      <c r="D304" s="606"/>
      <c r="E304" s="606"/>
      <c r="F304" s="606"/>
      <c r="G304" s="682"/>
      <c r="H304" s="606"/>
      <c r="I304" s="606"/>
      <c r="J304" s="606"/>
      <c r="K304" s="606"/>
      <c r="L304" s="606"/>
      <c r="M304" s="606"/>
      <c r="N304" s="606"/>
      <c r="O304" s="606"/>
      <c r="P304" s="606"/>
      <c r="Q304" s="606"/>
      <c r="R304" s="606"/>
      <c r="S304" s="606"/>
      <c r="T304" s="606"/>
      <c r="U304" s="606"/>
      <c r="V304" s="606"/>
    </row>
    <row r="305" spans="3:22" x14ac:dyDescent="0.25">
      <c r="C305" s="51"/>
      <c r="D305" s="51"/>
      <c r="E305" s="51"/>
      <c r="F305" s="51"/>
      <c r="G305" s="67"/>
      <c r="H305" s="51"/>
      <c r="I305" s="51"/>
      <c r="J305" s="51"/>
      <c r="K305" s="51"/>
      <c r="L305" s="51"/>
      <c r="M305" s="51"/>
      <c r="N305" s="51"/>
      <c r="O305" s="51"/>
      <c r="P305" s="51"/>
      <c r="Q305" s="51"/>
      <c r="R305" s="51"/>
      <c r="S305" s="51"/>
      <c r="T305" s="51"/>
      <c r="U305" s="51"/>
      <c r="V305" s="51"/>
    </row>
    <row r="306" spans="3:22" x14ac:dyDescent="0.25">
      <c r="C306" s="764" t="s">
        <v>128</v>
      </c>
      <c r="D306" s="753" t="s">
        <v>42</v>
      </c>
      <c r="E306" s="753" t="s">
        <v>52</v>
      </c>
      <c r="F306" s="753" t="s">
        <v>53</v>
      </c>
      <c r="G306" s="766" t="s">
        <v>482</v>
      </c>
      <c r="H306" s="753" t="s">
        <v>32</v>
      </c>
      <c r="I306" s="753" t="s">
        <v>483</v>
      </c>
      <c r="J306" s="753" t="s">
        <v>20</v>
      </c>
      <c r="K306" s="753" t="s">
        <v>55</v>
      </c>
      <c r="L306" s="761" t="s">
        <v>56</v>
      </c>
      <c r="M306" s="762"/>
      <c r="N306" s="762"/>
      <c r="O306" s="762"/>
      <c r="P306" s="762"/>
      <c r="Q306" s="763"/>
      <c r="R306" s="753" t="s">
        <v>57</v>
      </c>
      <c r="S306" s="753" t="s">
        <v>58</v>
      </c>
      <c r="T306" s="753" t="s">
        <v>31</v>
      </c>
      <c r="U306" s="753" t="s">
        <v>10</v>
      </c>
      <c r="V306" s="51"/>
    </row>
    <row r="307" spans="3:22" ht="36" x14ac:dyDescent="0.25">
      <c r="C307" s="765"/>
      <c r="D307" s="754"/>
      <c r="E307" s="754"/>
      <c r="F307" s="754"/>
      <c r="G307" s="767"/>
      <c r="H307" s="754"/>
      <c r="I307" s="754"/>
      <c r="J307" s="754"/>
      <c r="K307" s="754"/>
      <c r="L307" s="608" t="s">
        <v>335</v>
      </c>
      <c r="M307" s="608" t="s">
        <v>40</v>
      </c>
      <c r="N307" s="608" t="s">
        <v>343</v>
      </c>
      <c r="O307" s="608" t="s">
        <v>344</v>
      </c>
      <c r="P307" s="609" t="s">
        <v>345</v>
      </c>
      <c r="Q307" s="608" t="s">
        <v>346</v>
      </c>
      <c r="R307" s="754"/>
      <c r="S307" s="754"/>
      <c r="T307" s="754"/>
      <c r="U307" s="754"/>
      <c r="V307" s="51"/>
    </row>
    <row r="308" spans="3:22" x14ac:dyDescent="0.25">
      <c r="C308" s="610" t="s">
        <v>59</v>
      </c>
      <c r="D308" s="611">
        <v>0</v>
      </c>
      <c r="E308" s="611">
        <v>0</v>
      </c>
      <c r="F308" s="611">
        <v>0</v>
      </c>
      <c r="G308" s="611">
        <v>0</v>
      </c>
      <c r="H308" s="611">
        <v>0</v>
      </c>
      <c r="I308" s="611">
        <v>0</v>
      </c>
      <c r="J308" s="612">
        <v>759.92203636363649</v>
      </c>
      <c r="K308" s="612">
        <v>585.27007132862354</v>
      </c>
      <c r="L308" s="612">
        <v>421.01958402132601</v>
      </c>
      <c r="M308" s="612">
        <v>20.686642208021134</v>
      </c>
      <c r="N308" s="611">
        <v>1.5563580670349855</v>
      </c>
      <c r="O308" s="611">
        <v>0.17110271620039663</v>
      </c>
      <c r="P308" s="612">
        <v>181.20215447851419</v>
      </c>
      <c r="Q308" s="612">
        <v>27.103716579638188</v>
      </c>
      <c r="R308" s="611">
        <v>0</v>
      </c>
      <c r="S308" s="611">
        <v>0</v>
      </c>
      <c r="T308" s="611">
        <v>0</v>
      </c>
      <c r="U308" s="613">
        <v>1996.9316657629947</v>
      </c>
      <c r="V308" s="51"/>
    </row>
    <row r="309" spans="3:22" x14ac:dyDescent="0.25">
      <c r="C309" s="610" t="s">
        <v>60</v>
      </c>
      <c r="D309" s="611">
        <v>0.64129319091675452</v>
      </c>
      <c r="E309" s="611">
        <v>72.7588411322387</v>
      </c>
      <c r="F309" s="611">
        <v>1.9517818504706483</v>
      </c>
      <c r="G309" s="611">
        <v>0</v>
      </c>
      <c r="H309" s="611">
        <v>3.2223770587889593</v>
      </c>
      <c r="I309" s="611">
        <v>0</v>
      </c>
      <c r="J309" s="611">
        <v>0</v>
      </c>
      <c r="K309" s="611">
        <v>0</v>
      </c>
      <c r="L309" s="611">
        <v>5.2309321400654634</v>
      </c>
      <c r="M309" s="611">
        <v>0</v>
      </c>
      <c r="N309" s="611">
        <v>6.8353402019644598</v>
      </c>
      <c r="O309" s="611">
        <v>0</v>
      </c>
      <c r="P309" s="611">
        <v>0</v>
      </c>
      <c r="Q309" s="611">
        <v>0</v>
      </c>
      <c r="R309" s="611">
        <v>86.758204068598843</v>
      </c>
      <c r="S309" s="611">
        <v>0</v>
      </c>
      <c r="T309" s="611">
        <v>0</v>
      </c>
      <c r="U309" s="613">
        <v>177.39876964304383</v>
      </c>
      <c r="V309" s="51"/>
    </row>
    <row r="310" spans="3:22" x14ac:dyDescent="0.25">
      <c r="C310" s="610" t="s">
        <v>61</v>
      </c>
      <c r="D310" s="611">
        <v>0</v>
      </c>
      <c r="E310" s="611">
        <v>0</v>
      </c>
      <c r="F310" s="611">
        <v>-14.049213431109226</v>
      </c>
      <c r="G310" s="611">
        <v>-15.061852283906475</v>
      </c>
      <c r="H310" s="611">
        <v>0</v>
      </c>
      <c r="I310" s="611">
        <v>0</v>
      </c>
      <c r="J310" s="611">
        <v>0</v>
      </c>
      <c r="K310" s="611">
        <v>0</v>
      </c>
      <c r="L310" s="611">
        <v>0</v>
      </c>
      <c r="M310" s="611">
        <v>0</v>
      </c>
      <c r="N310" s="611">
        <v>0</v>
      </c>
      <c r="O310" s="611">
        <v>0</v>
      </c>
      <c r="P310" s="611">
        <v>0</v>
      </c>
      <c r="Q310" s="611">
        <v>0</v>
      </c>
      <c r="R310" s="611">
        <v>0</v>
      </c>
      <c r="S310" s="611">
        <v>0</v>
      </c>
      <c r="T310" s="611">
        <v>0</v>
      </c>
      <c r="U310" s="613">
        <v>-29.111065715015702</v>
      </c>
      <c r="V310" s="51"/>
    </row>
    <row r="311" spans="3:22" x14ac:dyDescent="0.25">
      <c r="C311" s="610" t="s">
        <v>62</v>
      </c>
      <c r="D311" s="611">
        <v>0</v>
      </c>
      <c r="E311" s="611">
        <v>0</v>
      </c>
      <c r="F311" s="611">
        <v>0</v>
      </c>
      <c r="G311" s="611">
        <v>-6.1101617494546652</v>
      </c>
      <c r="H311" s="611">
        <v>0</v>
      </c>
      <c r="I311" s="611">
        <v>-4.4416564350684116</v>
      </c>
      <c r="J311" s="611">
        <v>0</v>
      </c>
      <c r="K311" s="611">
        <v>0</v>
      </c>
      <c r="L311" s="611">
        <v>0</v>
      </c>
      <c r="M311" s="611">
        <v>0</v>
      </c>
      <c r="N311" s="611">
        <v>-1.5423967884416028</v>
      </c>
      <c r="O311" s="611">
        <v>-2.9611042900456073</v>
      </c>
      <c r="P311" s="611">
        <v>0</v>
      </c>
      <c r="Q311" s="611">
        <v>0</v>
      </c>
      <c r="R311" s="611">
        <v>0</v>
      </c>
      <c r="S311" s="611">
        <v>0</v>
      </c>
      <c r="T311" s="611">
        <v>-2.4482488705422272</v>
      </c>
      <c r="U311" s="613">
        <v>-17.503568133552513</v>
      </c>
      <c r="V311" s="51"/>
    </row>
    <row r="312" spans="3:22" x14ac:dyDescent="0.25">
      <c r="C312" s="610" t="s">
        <v>63</v>
      </c>
      <c r="D312" s="611">
        <v>0</v>
      </c>
      <c r="E312" s="611">
        <v>0</v>
      </c>
      <c r="F312" s="611">
        <v>-7.3240777097484635</v>
      </c>
      <c r="G312" s="611">
        <v>-24.912603262820603</v>
      </c>
      <c r="H312" s="611">
        <v>0</v>
      </c>
      <c r="I312" s="611">
        <v>0</v>
      </c>
      <c r="J312" s="611">
        <v>0</v>
      </c>
      <c r="K312" s="611">
        <v>0</v>
      </c>
      <c r="L312" s="611">
        <v>0</v>
      </c>
      <c r="M312" s="611">
        <v>0</v>
      </c>
      <c r="N312" s="611">
        <v>-17.438822283974417</v>
      </c>
      <c r="O312" s="611">
        <v>0</v>
      </c>
      <c r="P312" s="611">
        <v>0</v>
      </c>
      <c r="Q312" s="611">
        <v>0</v>
      </c>
      <c r="R312" s="611">
        <v>0</v>
      </c>
      <c r="S312" s="611">
        <v>0</v>
      </c>
      <c r="T312" s="611">
        <v>-7.5807767073973409</v>
      </c>
      <c r="U312" s="613">
        <v>-57.256279963940827</v>
      </c>
      <c r="V312" s="51"/>
    </row>
    <row r="313" spans="3:22" x14ac:dyDescent="0.25">
      <c r="C313" s="610" t="s">
        <v>64</v>
      </c>
      <c r="D313" s="611">
        <v>0</v>
      </c>
      <c r="E313" s="611">
        <v>0</v>
      </c>
      <c r="F313" s="611">
        <v>0</v>
      </c>
      <c r="G313" s="611">
        <v>0</v>
      </c>
      <c r="H313" s="611">
        <v>0</v>
      </c>
      <c r="I313" s="611">
        <v>0</v>
      </c>
      <c r="J313" s="611">
        <v>0</v>
      </c>
      <c r="K313" s="611">
        <v>0</v>
      </c>
      <c r="L313" s="611">
        <v>0</v>
      </c>
      <c r="M313" s="611">
        <v>0</v>
      </c>
      <c r="N313" s="611">
        <v>0</v>
      </c>
      <c r="O313" s="611">
        <v>0</v>
      </c>
      <c r="P313" s="611">
        <v>0</v>
      </c>
      <c r="Q313" s="611">
        <v>0</v>
      </c>
      <c r="R313" s="611">
        <v>0</v>
      </c>
      <c r="S313" s="611">
        <v>0</v>
      </c>
      <c r="T313" s="611">
        <v>0</v>
      </c>
      <c r="U313" s="613">
        <v>0</v>
      </c>
      <c r="V313" s="51"/>
    </row>
    <row r="314" spans="3:22" x14ac:dyDescent="0.25">
      <c r="C314" s="614" t="s">
        <v>65</v>
      </c>
      <c r="D314" s="615">
        <v>0.64129319091675452</v>
      </c>
      <c r="E314" s="615">
        <v>72.7588411322387</v>
      </c>
      <c r="F314" s="615">
        <v>-19.421509290387043</v>
      </c>
      <c r="G314" s="615">
        <v>-46.084617296181747</v>
      </c>
      <c r="H314" s="615">
        <v>3.2223770587889593</v>
      </c>
      <c r="I314" s="615">
        <v>-4.4416564350684116</v>
      </c>
      <c r="J314" s="615">
        <v>759.92203636363649</v>
      </c>
      <c r="K314" s="615">
        <v>585.27007132862354</v>
      </c>
      <c r="L314" s="615">
        <v>426.25051616139149</v>
      </c>
      <c r="M314" s="615">
        <v>20.686642208021134</v>
      </c>
      <c r="N314" s="615">
        <v>-10.589520803416576</v>
      </c>
      <c r="O314" s="615">
        <v>-2.7900015738452106</v>
      </c>
      <c r="P314" s="615">
        <v>181.20215447851419</v>
      </c>
      <c r="Q314" s="615">
        <v>27.103716579638188</v>
      </c>
      <c r="R314" s="615">
        <v>86.758204068598843</v>
      </c>
      <c r="S314" s="615">
        <v>0</v>
      </c>
      <c r="T314" s="615">
        <v>-10.029025577939567</v>
      </c>
      <c r="U314" s="615">
        <v>2070.4595215935296</v>
      </c>
      <c r="V314" s="51"/>
    </row>
    <row r="315" spans="3:22" x14ac:dyDescent="0.25">
      <c r="C315" s="616"/>
      <c r="D315" s="617"/>
      <c r="E315" s="617"/>
      <c r="F315" s="617"/>
      <c r="G315" s="617"/>
      <c r="H315" s="623"/>
      <c r="I315" s="617"/>
      <c r="J315" s="617"/>
      <c r="K315" s="617"/>
      <c r="L315" s="617"/>
      <c r="M315" s="617"/>
      <c r="N315" s="617"/>
      <c r="O315" s="617"/>
      <c r="P315" s="617"/>
      <c r="Q315" s="617"/>
      <c r="R315" s="617"/>
      <c r="S315" s="617"/>
      <c r="T315" s="617"/>
      <c r="U315" s="617"/>
      <c r="V315" s="51"/>
    </row>
    <row r="316" spans="3:22" x14ac:dyDescent="0.25">
      <c r="C316" s="618" t="s">
        <v>67</v>
      </c>
      <c r="D316" s="611">
        <v>0</v>
      </c>
      <c r="E316" s="611">
        <v>0</v>
      </c>
      <c r="F316" s="611">
        <v>0</v>
      </c>
      <c r="G316" s="611">
        <v>0</v>
      </c>
      <c r="H316" s="611">
        <v>0</v>
      </c>
      <c r="I316" s="611">
        <v>0</v>
      </c>
      <c r="J316" s="611">
        <v>0</v>
      </c>
      <c r="K316" s="611">
        <v>0</v>
      </c>
      <c r="L316" s="611">
        <v>0</v>
      </c>
      <c r="M316" s="611">
        <v>0</v>
      </c>
      <c r="N316" s="611">
        <v>0</v>
      </c>
      <c r="O316" s="611">
        <v>0</v>
      </c>
      <c r="P316" s="611">
        <v>0</v>
      </c>
      <c r="Q316" s="611">
        <v>0</v>
      </c>
      <c r="R316" s="611">
        <v>0</v>
      </c>
      <c r="S316" s="611">
        <v>0</v>
      </c>
      <c r="T316" s="611">
        <v>0</v>
      </c>
      <c r="U316" s="619">
        <v>0</v>
      </c>
      <c r="V316" s="51"/>
    </row>
    <row r="317" spans="3:22" x14ac:dyDescent="0.25">
      <c r="C317" s="618" t="s">
        <v>347</v>
      </c>
      <c r="D317" s="611">
        <v>0</v>
      </c>
      <c r="E317" s="611">
        <v>0</v>
      </c>
      <c r="F317" s="611">
        <v>0</v>
      </c>
      <c r="G317" s="611">
        <v>0</v>
      </c>
      <c r="H317" s="611">
        <v>0</v>
      </c>
      <c r="I317" s="611">
        <v>0</v>
      </c>
      <c r="J317" s="611">
        <v>759.92203636363649</v>
      </c>
      <c r="K317" s="611">
        <v>585.27007132862354</v>
      </c>
      <c r="L317" s="611">
        <v>21.935641645543306</v>
      </c>
      <c r="M317" s="611">
        <v>0.61628865372008657</v>
      </c>
      <c r="N317" s="611">
        <v>6.5561937148871507</v>
      </c>
      <c r="O317" s="611">
        <v>1.5747281082088551</v>
      </c>
      <c r="P317" s="611">
        <v>0</v>
      </c>
      <c r="Q317" s="611">
        <v>6.7631767445353068</v>
      </c>
      <c r="R317" s="611">
        <v>-895.33632983844416</v>
      </c>
      <c r="S317" s="611">
        <v>0</v>
      </c>
      <c r="T317" s="611">
        <v>6.4421899999999992</v>
      </c>
      <c r="U317" s="619">
        <v>493.74399672071024</v>
      </c>
      <c r="V317" s="51"/>
    </row>
    <row r="318" spans="3:22" x14ac:dyDescent="0.25">
      <c r="C318" s="618" t="s">
        <v>348</v>
      </c>
      <c r="D318" s="611">
        <v>0</v>
      </c>
      <c r="E318" s="611">
        <v>0</v>
      </c>
      <c r="F318" s="611">
        <v>0</v>
      </c>
      <c r="G318" s="611">
        <v>0</v>
      </c>
      <c r="H318" s="611">
        <v>0</v>
      </c>
      <c r="I318" s="611">
        <v>0</v>
      </c>
      <c r="J318" s="611">
        <v>0</v>
      </c>
      <c r="K318" s="611">
        <v>0</v>
      </c>
      <c r="L318" s="611">
        <v>34.859137423321251</v>
      </c>
      <c r="M318" s="611">
        <v>14.707872710950403</v>
      </c>
      <c r="N318" s="611">
        <v>0</v>
      </c>
      <c r="O318" s="611">
        <v>8.3969630288089814</v>
      </c>
      <c r="P318" s="611">
        <v>0</v>
      </c>
      <c r="Q318" s="611">
        <v>11.678038971322861</v>
      </c>
      <c r="R318" s="611">
        <v>0</v>
      </c>
      <c r="S318" s="611">
        <v>-66.565624993763251</v>
      </c>
      <c r="T318" s="611">
        <v>0</v>
      </c>
      <c r="U318" s="619">
        <v>3.0763871406402501</v>
      </c>
      <c r="V318" s="51"/>
    </row>
    <row r="319" spans="3:22" x14ac:dyDescent="0.25">
      <c r="C319" s="618" t="s">
        <v>349</v>
      </c>
      <c r="D319" s="611">
        <v>0</v>
      </c>
      <c r="E319" s="611">
        <v>0</v>
      </c>
      <c r="F319" s="611">
        <v>0</v>
      </c>
      <c r="G319" s="611">
        <v>0</v>
      </c>
      <c r="H319" s="611">
        <v>0</v>
      </c>
      <c r="I319" s="611">
        <v>0</v>
      </c>
      <c r="J319" s="611">
        <v>0</v>
      </c>
      <c r="K319" s="611">
        <v>0</v>
      </c>
      <c r="L319" s="611">
        <v>116.09247876238595</v>
      </c>
      <c r="M319" s="611">
        <v>0</v>
      </c>
      <c r="N319" s="611">
        <v>0</v>
      </c>
      <c r="O319" s="611">
        <v>-107.1437165457632</v>
      </c>
      <c r="P319" s="611">
        <v>0</v>
      </c>
      <c r="Q319" s="611">
        <v>0</v>
      </c>
      <c r="R319" s="611">
        <v>0</v>
      </c>
      <c r="S319" s="611">
        <v>0</v>
      </c>
      <c r="T319" s="611">
        <v>0</v>
      </c>
      <c r="U319" s="619">
        <v>8.9487622166227538</v>
      </c>
      <c r="V319" s="51"/>
    </row>
    <row r="320" spans="3:22" x14ac:dyDescent="0.25">
      <c r="C320" s="618" t="s">
        <v>350</v>
      </c>
      <c r="D320" s="611">
        <v>0</v>
      </c>
      <c r="E320" s="611">
        <v>0</v>
      </c>
      <c r="F320" s="611">
        <v>0</v>
      </c>
      <c r="G320" s="611">
        <v>0</v>
      </c>
      <c r="H320" s="611">
        <v>0</v>
      </c>
      <c r="I320" s="611">
        <v>-8.6805438008370892</v>
      </c>
      <c r="J320" s="611">
        <v>0</v>
      </c>
      <c r="K320" s="611">
        <v>0</v>
      </c>
      <c r="L320" s="611">
        <v>0</v>
      </c>
      <c r="M320" s="611">
        <v>0</v>
      </c>
      <c r="N320" s="611">
        <v>0</v>
      </c>
      <c r="O320" s="611">
        <v>0</v>
      </c>
      <c r="P320" s="611">
        <v>0</v>
      </c>
      <c r="Q320" s="611">
        <v>0</v>
      </c>
      <c r="R320" s="611">
        <v>0</v>
      </c>
      <c r="S320" s="611">
        <v>0</v>
      </c>
      <c r="T320" s="611">
        <v>12.086503242074816</v>
      </c>
      <c r="U320" s="619">
        <v>3.4059594412377265</v>
      </c>
      <c r="V320" s="51"/>
    </row>
    <row r="321" spans="3:22" x14ac:dyDescent="0.25">
      <c r="C321" s="618" t="s">
        <v>72</v>
      </c>
      <c r="D321" s="611">
        <v>0</v>
      </c>
      <c r="E321" s="611">
        <v>75.393588190645644</v>
      </c>
      <c r="F321" s="611">
        <v>-74.641887149518311</v>
      </c>
      <c r="G321" s="611">
        <v>0</v>
      </c>
      <c r="H321" s="611">
        <v>0</v>
      </c>
      <c r="I321" s="611">
        <v>0</v>
      </c>
      <c r="J321" s="611">
        <v>0</v>
      </c>
      <c r="K321" s="611">
        <v>0</v>
      </c>
      <c r="L321" s="611">
        <v>0</v>
      </c>
      <c r="M321" s="611">
        <v>0</v>
      </c>
      <c r="N321" s="611">
        <v>0</v>
      </c>
      <c r="O321" s="611">
        <v>0</v>
      </c>
      <c r="P321" s="611">
        <v>0</v>
      </c>
      <c r="Q321" s="611">
        <v>0</v>
      </c>
      <c r="R321" s="611">
        <v>0</v>
      </c>
      <c r="S321" s="611">
        <v>0</v>
      </c>
      <c r="T321" s="611">
        <v>0</v>
      </c>
      <c r="U321" s="619">
        <v>0.75170104112733327</v>
      </c>
      <c r="V321" s="51"/>
    </row>
    <row r="322" spans="3:22" x14ac:dyDescent="0.25">
      <c r="C322" s="618" t="s">
        <v>351</v>
      </c>
      <c r="D322" s="611">
        <v>0</v>
      </c>
      <c r="E322" s="611">
        <v>0</v>
      </c>
      <c r="F322" s="611">
        <v>0</v>
      </c>
      <c r="G322" s="611">
        <v>0</v>
      </c>
      <c r="H322" s="611">
        <v>0</v>
      </c>
      <c r="I322" s="611">
        <v>0</v>
      </c>
      <c r="J322" s="611">
        <v>0</v>
      </c>
      <c r="K322" s="611">
        <v>0</v>
      </c>
      <c r="L322" s="611">
        <v>194.54575293909065</v>
      </c>
      <c r="M322" s="611">
        <v>0</v>
      </c>
      <c r="N322" s="611">
        <v>-107.00016411649986</v>
      </c>
      <c r="O322" s="611">
        <v>0</v>
      </c>
      <c r="P322" s="611">
        <v>0</v>
      </c>
      <c r="Q322" s="611">
        <v>0</v>
      </c>
      <c r="R322" s="611">
        <v>0</v>
      </c>
      <c r="S322" s="611">
        <v>0</v>
      </c>
      <c r="T322" s="611">
        <v>0</v>
      </c>
      <c r="U322" s="619">
        <v>87.545588822590787</v>
      </c>
      <c r="V322" s="51"/>
    </row>
    <row r="323" spans="3:22" x14ac:dyDescent="0.25">
      <c r="C323" s="618" t="s">
        <v>352</v>
      </c>
      <c r="D323" s="611">
        <v>0</v>
      </c>
      <c r="E323" s="611">
        <v>0</v>
      </c>
      <c r="F323" s="611">
        <v>0</v>
      </c>
      <c r="G323" s="611">
        <v>-53.670926604582093</v>
      </c>
      <c r="H323" s="611">
        <v>0</v>
      </c>
      <c r="I323" s="611">
        <v>0</v>
      </c>
      <c r="J323" s="611">
        <v>0</v>
      </c>
      <c r="K323" s="611">
        <v>0</v>
      </c>
      <c r="L323" s="611">
        <v>0</v>
      </c>
      <c r="M323" s="611">
        <v>0</v>
      </c>
      <c r="N323" s="611">
        <v>0</v>
      </c>
      <c r="O323" s="611">
        <v>0</v>
      </c>
      <c r="P323" s="611">
        <v>0</v>
      </c>
      <c r="Q323" s="611">
        <v>0</v>
      </c>
      <c r="R323" s="611">
        <v>0</v>
      </c>
      <c r="S323" s="611">
        <v>0</v>
      </c>
      <c r="T323" s="611">
        <v>69.588751075413697</v>
      </c>
      <c r="U323" s="619">
        <v>15.917824470831604</v>
      </c>
      <c r="V323" s="51"/>
    </row>
    <row r="324" spans="3:22" x14ac:dyDescent="0.25">
      <c r="C324" s="618" t="s">
        <v>73</v>
      </c>
      <c r="D324" s="611">
        <v>0</v>
      </c>
      <c r="E324" s="611">
        <v>0</v>
      </c>
      <c r="F324" s="611">
        <v>0</v>
      </c>
      <c r="G324" s="611">
        <v>0</v>
      </c>
      <c r="H324" s="611">
        <v>0</v>
      </c>
      <c r="I324" s="611">
        <v>0</v>
      </c>
      <c r="J324" s="611">
        <v>0</v>
      </c>
      <c r="K324" s="611">
        <v>0</v>
      </c>
      <c r="L324" s="611">
        <v>0</v>
      </c>
      <c r="M324" s="611">
        <v>0</v>
      </c>
      <c r="N324" s="611">
        <v>0</v>
      </c>
      <c r="O324" s="611">
        <v>0</v>
      </c>
      <c r="P324" s="611">
        <v>0</v>
      </c>
      <c r="Q324" s="611">
        <v>0</v>
      </c>
      <c r="R324" s="611">
        <v>258.03000874169254</v>
      </c>
      <c r="S324" s="611">
        <v>0</v>
      </c>
      <c r="T324" s="611">
        <v>-185.78160629401862</v>
      </c>
      <c r="U324" s="619">
        <v>72.248402447673925</v>
      </c>
      <c r="V324" s="51"/>
    </row>
    <row r="325" spans="3:22" x14ac:dyDescent="0.25">
      <c r="C325" s="618" t="s">
        <v>353</v>
      </c>
      <c r="D325" s="611">
        <v>0</v>
      </c>
      <c r="E325" s="611">
        <v>-2.634747058406945</v>
      </c>
      <c r="F325" s="611">
        <v>3.435008562710407</v>
      </c>
      <c r="G325" s="611">
        <v>0</v>
      </c>
      <c r="H325" s="611">
        <v>0</v>
      </c>
      <c r="I325" s="611">
        <v>0</v>
      </c>
      <c r="J325" s="611">
        <v>0</v>
      </c>
      <c r="K325" s="611">
        <v>0</v>
      </c>
      <c r="L325" s="611">
        <v>0</v>
      </c>
      <c r="M325" s="611">
        <v>0</v>
      </c>
      <c r="N325" s="611">
        <v>0</v>
      </c>
      <c r="O325" s="611">
        <v>0</v>
      </c>
      <c r="P325" s="611">
        <v>0</v>
      </c>
      <c r="Q325" s="611">
        <v>0</v>
      </c>
      <c r="R325" s="611">
        <v>0</v>
      </c>
      <c r="S325" s="611">
        <v>0</v>
      </c>
      <c r="T325" s="611">
        <v>0</v>
      </c>
      <c r="U325" s="619">
        <v>0.80026150430346199</v>
      </c>
      <c r="V325" s="51"/>
    </row>
    <row r="326" spans="3:22" x14ac:dyDescent="0.25">
      <c r="C326" s="618" t="s">
        <v>75</v>
      </c>
      <c r="D326" s="611">
        <v>0</v>
      </c>
      <c r="E326" s="611">
        <v>0</v>
      </c>
      <c r="F326" s="611">
        <v>2.5839893825265019</v>
      </c>
      <c r="G326" s="611">
        <v>0</v>
      </c>
      <c r="H326" s="611">
        <v>0</v>
      </c>
      <c r="I326" s="611">
        <v>0.23833359000000001</v>
      </c>
      <c r="J326" s="611">
        <v>0</v>
      </c>
      <c r="K326" s="611">
        <v>0</v>
      </c>
      <c r="L326" s="611">
        <v>0</v>
      </c>
      <c r="M326" s="611">
        <v>0</v>
      </c>
      <c r="N326" s="611">
        <v>0</v>
      </c>
      <c r="O326" s="611">
        <v>4.5283382100000003</v>
      </c>
      <c r="P326" s="611">
        <v>0</v>
      </c>
      <c r="Q326" s="611">
        <v>0</v>
      </c>
      <c r="R326" s="611">
        <v>65.365492404188032</v>
      </c>
      <c r="S326" s="611">
        <v>0</v>
      </c>
      <c r="T326" s="611">
        <v>0</v>
      </c>
      <c r="U326" s="619">
        <v>72.71615358671454</v>
      </c>
      <c r="V326" s="51"/>
    </row>
    <row r="327" spans="3:22" x14ac:dyDescent="0.25">
      <c r="C327" s="618" t="s">
        <v>76</v>
      </c>
      <c r="D327" s="611">
        <v>0</v>
      </c>
      <c r="E327" s="611">
        <v>0</v>
      </c>
      <c r="F327" s="611">
        <v>0</v>
      </c>
      <c r="G327" s="611">
        <v>0</v>
      </c>
      <c r="H327" s="611">
        <v>0</v>
      </c>
      <c r="I327" s="611">
        <v>5.609909084131174E-2</v>
      </c>
      <c r="J327" s="611">
        <v>0</v>
      </c>
      <c r="K327" s="611">
        <v>0</v>
      </c>
      <c r="L327" s="611">
        <v>0</v>
      </c>
      <c r="M327" s="611">
        <v>0</v>
      </c>
      <c r="N327" s="611">
        <v>0</v>
      </c>
      <c r="O327" s="611">
        <v>1.0658827259849231</v>
      </c>
      <c r="P327" s="611">
        <v>0</v>
      </c>
      <c r="Q327" s="611">
        <v>0</v>
      </c>
      <c r="R327" s="611">
        <v>75.163138458273835</v>
      </c>
      <c r="S327" s="611">
        <v>5.1631708880095033</v>
      </c>
      <c r="T327" s="611">
        <v>0</v>
      </c>
      <c r="U327" s="619">
        <v>81.448291163109573</v>
      </c>
      <c r="V327" s="51"/>
    </row>
    <row r="328" spans="3:22" x14ac:dyDescent="0.25">
      <c r="C328" s="614" t="s">
        <v>77</v>
      </c>
      <c r="D328" s="615">
        <v>0</v>
      </c>
      <c r="E328" s="615">
        <v>72.7588411322387</v>
      </c>
      <c r="F328" s="615">
        <v>-68.622889204281407</v>
      </c>
      <c r="G328" s="615">
        <v>-53.670926604582093</v>
      </c>
      <c r="H328" s="615">
        <v>0</v>
      </c>
      <c r="I328" s="615">
        <v>-8.3861111199957783</v>
      </c>
      <c r="J328" s="615">
        <v>759.92203636363649</v>
      </c>
      <c r="K328" s="615">
        <v>585.27007132862354</v>
      </c>
      <c r="L328" s="615">
        <v>367.43301077034118</v>
      </c>
      <c r="M328" s="615">
        <v>15.32416136467049</v>
      </c>
      <c r="N328" s="615">
        <v>-100.44397040161272</v>
      </c>
      <c r="O328" s="615">
        <v>-91.577804472760434</v>
      </c>
      <c r="P328" s="615">
        <v>0</v>
      </c>
      <c r="Q328" s="615">
        <v>18.441215715858167</v>
      </c>
      <c r="R328" s="615">
        <v>-496.77769023428982</v>
      </c>
      <c r="S328" s="615">
        <v>-61.402454105753748</v>
      </c>
      <c r="T328" s="615">
        <v>-97.664161976530096</v>
      </c>
      <c r="U328" s="615">
        <v>840.60332855556226</v>
      </c>
      <c r="V328" s="51"/>
    </row>
    <row r="329" spans="3:22" x14ac:dyDescent="0.25">
      <c r="C329" s="616"/>
      <c r="D329" s="617"/>
      <c r="E329" s="617"/>
      <c r="F329" s="617"/>
      <c r="G329" s="617"/>
      <c r="H329" s="623"/>
      <c r="I329" s="617"/>
      <c r="J329" s="617"/>
      <c r="K329" s="617"/>
      <c r="L329" s="617"/>
      <c r="M329" s="617"/>
      <c r="N329" s="617"/>
      <c r="O329" s="617"/>
      <c r="P329" s="617"/>
      <c r="Q329" s="617"/>
      <c r="R329" s="617"/>
      <c r="S329" s="617"/>
      <c r="T329" s="617"/>
      <c r="U329" s="617"/>
      <c r="V329" s="51"/>
    </row>
    <row r="330" spans="3:22" x14ac:dyDescent="0.25">
      <c r="C330" s="618" t="s">
        <v>78</v>
      </c>
      <c r="D330" s="611">
        <v>0.64129319091675452</v>
      </c>
      <c r="E330" s="611">
        <v>0</v>
      </c>
      <c r="F330" s="611">
        <v>1.525731430410463</v>
      </c>
      <c r="G330" s="611">
        <v>0</v>
      </c>
      <c r="H330" s="611">
        <v>0</v>
      </c>
      <c r="I330" s="611">
        <v>2.2603973079733568</v>
      </c>
      <c r="J330" s="611">
        <v>0</v>
      </c>
      <c r="K330" s="611">
        <v>0</v>
      </c>
      <c r="L330" s="611">
        <v>23.360019261656848</v>
      </c>
      <c r="M330" s="611">
        <v>5.362188402201145</v>
      </c>
      <c r="N330" s="611">
        <v>1.3034813300305972</v>
      </c>
      <c r="O330" s="611">
        <v>42.989679667648574</v>
      </c>
      <c r="P330" s="611">
        <v>22.01365625</v>
      </c>
      <c r="Q330" s="611">
        <v>8.5890570413253253E-4</v>
      </c>
      <c r="R330" s="611">
        <v>202.024278119439</v>
      </c>
      <c r="S330" s="611">
        <v>22.25756234266839</v>
      </c>
      <c r="T330" s="611">
        <v>16.001347656250001</v>
      </c>
      <c r="U330" s="619">
        <v>339.74049386489929</v>
      </c>
      <c r="V330" s="51"/>
    </row>
    <row r="331" spans="3:22" x14ac:dyDescent="0.25">
      <c r="C331" s="618" t="s">
        <v>79</v>
      </c>
      <c r="D331" s="611">
        <v>0</v>
      </c>
      <c r="E331" s="611">
        <v>0</v>
      </c>
      <c r="F331" s="611">
        <v>2.548518600222561</v>
      </c>
      <c r="G331" s="611">
        <v>4.6064063696995508</v>
      </c>
      <c r="H331" s="611">
        <v>0</v>
      </c>
      <c r="I331" s="611">
        <v>0.39196782379108752</v>
      </c>
      <c r="J331" s="611">
        <v>0</v>
      </c>
      <c r="K331" s="611">
        <v>0</v>
      </c>
      <c r="L331" s="611">
        <v>0</v>
      </c>
      <c r="M331" s="611">
        <v>0</v>
      </c>
      <c r="N331" s="611">
        <v>19.508637074329002</v>
      </c>
      <c r="O331" s="611">
        <v>7.4473886520306625</v>
      </c>
      <c r="P331" s="611">
        <v>0</v>
      </c>
      <c r="Q331" s="611">
        <v>0</v>
      </c>
      <c r="R331" s="611">
        <v>117.90461095014412</v>
      </c>
      <c r="S331" s="611">
        <v>0</v>
      </c>
      <c r="T331" s="611">
        <v>6.9740998058852091</v>
      </c>
      <c r="U331" s="619">
        <v>159.38162927610219</v>
      </c>
      <c r="V331" s="51"/>
    </row>
    <row r="332" spans="3:22" x14ac:dyDescent="0.25">
      <c r="C332" s="618" t="s">
        <v>80</v>
      </c>
      <c r="D332" s="611">
        <v>0</v>
      </c>
      <c r="E332" s="611">
        <v>0</v>
      </c>
      <c r="F332" s="611">
        <v>0.35613019618188829</v>
      </c>
      <c r="G332" s="611">
        <v>0</v>
      </c>
      <c r="H332" s="611">
        <v>0</v>
      </c>
      <c r="I332" s="611">
        <v>0.92121942110506694</v>
      </c>
      <c r="J332" s="611">
        <v>0</v>
      </c>
      <c r="K332" s="611">
        <v>0</v>
      </c>
      <c r="L332" s="611">
        <v>30.406752837013876</v>
      </c>
      <c r="M332" s="611">
        <v>0</v>
      </c>
      <c r="N332" s="611">
        <v>0</v>
      </c>
      <c r="O332" s="611">
        <v>17.503169000996269</v>
      </c>
      <c r="P332" s="611">
        <v>105.40020235475453</v>
      </c>
      <c r="Q332" s="611">
        <v>3.1166998128913419</v>
      </c>
      <c r="R332" s="611">
        <v>133.64902180729109</v>
      </c>
      <c r="S332" s="611">
        <v>20.977029614075306</v>
      </c>
      <c r="T332" s="611">
        <v>0</v>
      </c>
      <c r="U332" s="619">
        <v>312.33022504430937</v>
      </c>
      <c r="V332" s="51"/>
    </row>
    <row r="333" spans="3:22" x14ac:dyDescent="0.25">
      <c r="C333" s="618" t="s">
        <v>81</v>
      </c>
      <c r="D333" s="611">
        <v>0</v>
      </c>
      <c r="E333" s="611">
        <v>0</v>
      </c>
      <c r="F333" s="611">
        <v>6.5854952123934399E-2</v>
      </c>
      <c r="G333" s="611">
        <v>0</v>
      </c>
      <c r="H333" s="611">
        <v>0</v>
      </c>
      <c r="I333" s="611">
        <v>0.31585874142938569</v>
      </c>
      <c r="J333" s="611">
        <v>0</v>
      </c>
      <c r="K333" s="611">
        <v>0</v>
      </c>
      <c r="L333" s="611">
        <v>0.45236993281073634</v>
      </c>
      <c r="M333" s="611">
        <v>0</v>
      </c>
      <c r="N333" s="611">
        <v>0</v>
      </c>
      <c r="O333" s="611">
        <v>6.0013160871583278</v>
      </c>
      <c r="P333" s="611">
        <v>52.288295873759658</v>
      </c>
      <c r="Q333" s="611">
        <v>3.3575351400940563</v>
      </c>
      <c r="R333" s="611">
        <v>111.32761597349254</v>
      </c>
      <c r="S333" s="611">
        <v>18.167862149010045</v>
      </c>
      <c r="T333" s="611">
        <v>0</v>
      </c>
      <c r="U333" s="619">
        <v>191.97670884987866</v>
      </c>
      <c r="V333" s="51"/>
    </row>
    <row r="334" spans="3:22" x14ac:dyDescent="0.25">
      <c r="C334" s="618" t="s">
        <v>82</v>
      </c>
      <c r="D334" s="611">
        <v>0</v>
      </c>
      <c r="E334" s="611">
        <v>0</v>
      </c>
      <c r="F334" s="611">
        <v>0.14607036001340537</v>
      </c>
      <c r="G334" s="611">
        <v>0</v>
      </c>
      <c r="H334" s="611">
        <v>0</v>
      </c>
      <c r="I334" s="611">
        <v>5.5011390628469027E-2</v>
      </c>
      <c r="J334" s="611">
        <v>0</v>
      </c>
      <c r="K334" s="611">
        <v>0</v>
      </c>
      <c r="L334" s="611">
        <v>3.9918011059239289</v>
      </c>
      <c r="M334" s="611">
        <v>0</v>
      </c>
      <c r="N334" s="611">
        <v>18.700816435906518</v>
      </c>
      <c r="O334" s="611">
        <v>1.0452164219409115</v>
      </c>
      <c r="P334" s="611">
        <v>1.5</v>
      </c>
      <c r="Q334" s="611">
        <v>2.1874070050904897</v>
      </c>
      <c r="R334" s="611">
        <v>6.9303674525217573</v>
      </c>
      <c r="S334" s="611">
        <v>0</v>
      </c>
      <c r="T334" s="611">
        <v>0.82604920070086296</v>
      </c>
      <c r="U334" s="619">
        <v>35.382739372726341</v>
      </c>
      <c r="V334" s="51"/>
    </row>
    <row r="335" spans="3:22" x14ac:dyDescent="0.25">
      <c r="C335" s="618" t="s">
        <v>354</v>
      </c>
      <c r="D335" s="611">
        <v>0</v>
      </c>
      <c r="E335" s="611">
        <v>0</v>
      </c>
      <c r="F335" s="611">
        <v>0</v>
      </c>
      <c r="G335" s="611">
        <v>0</v>
      </c>
      <c r="H335" s="611">
        <v>0</v>
      </c>
      <c r="I335" s="611">
        <v>0</v>
      </c>
      <c r="J335" s="611">
        <v>0</v>
      </c>
      <c r="K335" s="611">
        <v>0</v>
      </c>
      <c r="L335" s="611">
        <v>0</v>
      </c>
      <c r="M335" s="611">
        <v>0</v>
      </c>
      <c r="N335" s="611">
        <v>0</v>
      </c>
      <c r="O335" s="611">
        <v>0</v>
      </c>
      <c r="P335" s="611">
        <v>0</v>
      </c>
      <c r="Q335" s="611">
        <v>0</v>
      </c>
      <c r="R335" s="611">
        <v>11.7</v>
      </c>
      <c r="S335" s="611">
        <v>0</v>
      </c>
      <c r="T335" s="611">
        <v>0</v>
      </c>
      <c r="U335" s="619">
        <v>11.7</v>
      </c>
      <c r="V335" s="51"/>
    </row>
    <row r="336" spans="3:22" x14ac:dyDescent="0.25">
      <c r="C336" s="614" t="s">
        <v>83</v>
      </c>
      <c r="D336" s="615">
        <v>0.64129319091675452</v>
      </c>
      <c r="E336" s="615">
        <v>0</v>
      </c>
      <c r="F336" s="615">
        <v>4.6423055389522521</v>
      </c>
      <c r="G336" s="615">
        <v>4.6064063696995508</v>
      </c>
      <c r="H336" s="615">
        <v>0</v>
      </c>
      <c r="I336" s="615">
        <v>3.9444546849273663</v>
      </c>
      <c r="J336" s="615">
        <v>0</v>
      </c>
      <c r="K336" s="615">
        <v>0</v>
      </c>
      <c r="L336" s="615">
        <v>58.210943137405394</v>
      </c>
      <c r="M336" s="615">
        <v>5.362188402201145</v>
      </c>
      <c r="N336" s="615">
        <v>39.512934840266112</v>
      </c>
      <c r="O336" s="615">
        <v>74.986769829774744</v>
      </c>
      <c r="P336" s="615">
        <v>181.20215447851419</v>
      </c>
      <c r="Q336" s="615">
        <v>8.6625008637800214</v>
      </c>
      <c r="R336" s="615">
        <v>583.53589430288855</v>
      </c>
      <c r="S336" s="615">
        <v>61.402454105753748</v>
      </c>
      <c r="T336" s="615">
        <v>23.801496662836072</v>
      </c>
      <c r="U336" s="615">
        <v>1050.5117964079159</v>
      </c>
      <c r="V336" s="51"/>
    </row>
    <row r="337" spans="3:22" x14ac:dyDescent="0.25">
      <c r="C337" s="610" t="s">
        <v>84</v>
      </c>
      <c r="D337" s="611">
        <v>0</v>
      </c>
      <c r="E337" s="611">
        <v>0</v>
      </c>
      <c r="F337" s="611">
        <v>44.559074374942114</v>
      </c>
      <c r="G337" s="611">
        <v>2.9799029387007945</v>
      </c>
      <c r="H337" s="611">
        <v>3.2223770587889593</v>
      </c>
      <c r="I337" s="611">
        <v>0</v>
      </c>
      <c r="J337" s="611">
        <v>0</v>
      </c>
      <c r="K337" s="611">
        <v>0</v>
      </c>
      <c r="L337" s="611">
        <v>0.60656225364490568</v>
      </c>
      <c r="M337" s="611">
        <v>0</v>
      </c>
      <c r="N337" s="611">
        <v>50.341514757930035</v>
      </c>
      <c r="O337" s="611">
        <v>13.801033069140475</v>
      </c>
      <c r="P337" s="611">
        <v>0</v>
      </c>
      <c r="Q337" s="611">
        <v>0</v>
      </c>
      <c r="R337" s="611">
        <v>0</v>
      </c>
      <c r="S337" s="611">
        <v>0</v>
      </c>
      <c r="T337" s="611">
        <v>63.833639735754474</v>
      </c>
      <c r="U337" s="619">
        <v>179.34410418890175</v>
      </c>
      <c r="V337" s="51"/>
    </row>
    <row r="338" spans="3:22" x14ac:dyDescent="0.25">
      <c r="C338" s="614" t="s">
        <v>85</v>
      </c>
      <c r="D338" s="615">
        <v>0.64129319091675452</v>
      </c>
      <c r="E338" s="615">
        <v>0</v>
      </c>
      <c r="F338" s="615">
        <v>49.201379913894364</v>
      </c>
      <c r="G338" s="615">
        <v>7.5863093084003452</v>
      </c>
      <c r="H338" s="615">
        <v>3.2223770587889593</v>
      </c>
      <c r="I338" s="615">
        <v>3.9444546849273663</v>
      </c>
      <c r="J338" s="615">
        <v>0</v>
      </c>
      <c r="K338" s="615">
        <v>0</v>
      </c>
      <c r="L338" s="615">
        <v>58.817505391050297</v>
      </c>
      <c r="M338" s="615">
        <v>5.362188402201145</v>
      </c>
      <c r="N338" s="615">
        <v>89.85444959819614</v>
      </c>
      <c r="O338" s="615">
        <v>88.787802898915217</v>
      </c>
      <c r="P338" s="615">
        <v>181.20215447851419</v>
      </c>
      <c r="Q338" s="615">
        <v>8.6625008637800214</v>
      </c>
      <c r="R338" s="615">
        <v>583.53589430288855</v>
      </c>
      <c r="S338" s="615">
        <v>61.402454105753748</v>
      </c>
      <c r="T338" s="615">
        <v>87.635136398590546</v>
      </c>
      <c r="U338" s="615">
        <v>1229.8559005968177</v>
      </c>
      <c r="V338" s="51"/>
    </row>
    <row r="339" spans="3:22" x14ac:dyDescent="0.25">
      <c r="C339" s="51"/>
      <c r="D339" s="67">
        <v>0</v>
      </c>
      <c r="E339" s="67">
        <v>0</v>
      </c>
      <c r="F339" s="67">
        <v>0</v>
      </c>
      <c r="G339" s="67">
        <v>0</v>
      </c>
      <c r="H339" s="67">
        <v>0</v>
      </c>
      <c r="I339" s="67">
        <v>0</v>
      </c>
      <c r="J339" s="67">
        <v>0</v>
      </c>
      <c r="K339" s="67">
        <v>0</v>
      </c>
      <c r="L339" s="67">
        <v>0</v>
      </c>
      <c r="M339" s="67">
        <v>-2.9244114949733557E-4</v>
      </c>
      <c r="N339" s="67">
        <v>0</v>
      </c>
      <c r="O339" s="67">
        <v>-6.2172489379008766E-15</v>
      </c>
      <c r="P339" s="67">
        <v>0</v>
      </c>
      <c r="Q339" s="67">
        <v>0</v>
      </c>
      <c r="R339" s="67">
        <v>-1.1368683772161603E-13</v>
      </c>
      <c r="S339" s="67">
        <v>0</v>
      </c>
      <c r="T339" s="67">
        <v>1.7763568394002505E-14</v>
      </c>
      <c r="U339" s="67">
        <v>-2.9244114966786583E-4</v>
      </c>
      <c r="V339" s="51"/>
    </row>
    <row r="340" spans="3:22" x14ac:dyDescent="0.25">
      <c r="C340" s="51"/>
      <c r="D340" s="51"/>
      <c r="E340" s="51"/>
      <c r="F340" s="51"/>
      <c r="G340" s="51"/>
      <c r="H340" s="51"/>
      <c r="I340" s="51"/>
      <c r="J340" s="51"/>
      <c r="K340" s="51"/>
      <c r="L340" s="51"/>
      <c r="M340" s="51"/>
      <c r="N340" s="51"/>
      <c r="O340" s="51"/>
      <c r="P340" s="51"/>
      <c r="Q340" s="51"/>
      <c r="R340" s="51"/>
      <c r="S340" s="51"/>
      <c r="T340" s="51"/>
      <c r="U340" s="51"/>
      <c r="V340" s="51"/>
    </row>
  </sheetData>
  <mergeCells count="126">
    <mergeCell ref="K306:K307"/>
    <mergeCell ref="L306:Q306"/>
    <mergeCell ref="R306:R307"/>
    <mergeCell ref="S306:S307"/>
    <mergeCell ref="T306:T307"/>
    <mergeCell ref="U306:U307"/>
    <mergeCell ref="T269:T270"/>
    <mergeCell ref="U269:U270"/>
    <mergeCell ref="C306:C307"/>
    <mergeCell ref="D306:D307"/>
    <mergeCell ref="E306:E307"/>
    <mergeCell ref="F306:F307"/>
    <mergeCell ref="G306:G307"/>
    <mergeCell ref="H306:H307"/>
    <mergeCell ref="I306:I307"/>
    <mergeCell ref="J306:J307"/>
    <mergeCell ref="I269:I270"/>
    <mergeCell ref="J269:J270"/>
    <mergeCell ref="K269:K270"/>
    <mergeCell ref="L269:Q269"/>
    <mergeCell ref="R269:R270"/>
    <mergeCell ref="S269:S270"/>
    <mergeCell ref="C269:C270"/>
    <mergeCell ref="D269:D270"/>
    <mergeCell ref="E269:E270"/>
    <mergeCell ref="F269:F270"/>
    <mergeCell ref="G269:G270"/>
    <mergeCell ref="H269:H270"/>
    <mergeCell ref="K232:K233"/>
    <mergeCell ref="L232:Q232"/>
    <mergeCell ref="R232:R233"/>
    <mergeCell ref="S232:S233"/>
    <mergeCell ref="T232:T233"/>
    <mergeCell ref="U232:U233"/>
    <mergeCell ref="T195:T196"/>
    <mergeCell ref="U195:U196"/>
    <mergeCell ref="C232:C233"/>
    <mergeCell ref="D232:D233"/>
    <mergeCell ref="E232:E233"/>
    <mergeCell ref="F232:F233"/>
    <mergeCell ref="G232:G233"/>
    <mergeCell ref="H232:H233"/>
    <mergeCell ref="I232:I233"/>
    <mergeCell ref="J232:J233"/>
    <mergeCell ref="I195:I196"/>
    <mergeCell ref="J195:J196"/>
    <mergeCell ref="K195:K196"/>
    <mergeCell ref="L195:Q195"/>
    <mergeCell ref="R195:R196"/>
    <mergeCell ref="S195:S196"/>
    <mergeCell ref="C195:C196"/>
    <mergeCell ref="D195:D196"/>
    <mergeCell ref="E195:E196"/>
    <mergeCell ref="F195:F196"/>
    <mergeCell ref="G195:G196"/>
    <mergeCell ref="H195:H196"/>
    <mergeCell ref="K158:K159"/>
    <mergeCell ref="L158:Q158"/>
    <mergeCell ref="R158:R159"/>
    <mergeCell ref="S158:S159"/>
    <mergeCell ref="T158:T159"/>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R121:R122"/>
    <mergeCell ref="S121:S122"/>
    <mergeCell ref="C121:C122"/>
    <mergeCell ref="D121:D122"/>
    <mergeCell ref="E121:E122"/>
    <mergeCell ref="F121:F122"/>
    <mergeCell ref="G121:G122"/>
    <mergeCell ref="H121:H122"/>
    <mergeCell ref="K84:K85"/>
    <mergeCell ref="L84:Q84"/>
    <mergeCell ref="R84:R85"/>
    <mergeCell ref="S84:S85"/>
    <mergeCell ref="T84:T85"/>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S47:S48"/>
    <mergeCell ref="C47:C48"/>
    <mergeCell ref="D47:D48"/>
    <mergeCell ref="E47:E48"/>
    <mergeCell ref="F47:F48"/>
    <mergeCell ref="G47:G48"/>
    <mergeCell ref="H47:H48"/>
    <mergeCell ref="K10:K11"/>
    <mergeCell ref="L10:Q10"/>
    <mergeCell ref="R10:R11"/>
    <mergeCell ref="S10:S11"/>
    <mergeCell ref="T10:T11"/>
    <mergeCell ref="U10:U11"/>
    <mergeCell ref="C10:C11"/>
    <mergeCell ref="D10:D11"/>
    <mergeCell ref="E10:E11"/>
    <mergeCell ref="F10:F11"/>
    <mergeCell ref="G10:G11"/>
    <mergeCell ref="H10:H11"/>
    <mergeCell ref="I10:I11"/>
    <mergeCell ref="J10:J11"/>
  </mergeCells>
  <conditionalFormatting sqref="D12:U18">
    <cfRule type="containsBlanks" dxfId="922" priority="9">
      <formula>LEN(TRIM(D12))=0</formula>
    </cfRule>
  </conditionalFormatting>
  <conditionalFormatting sqref="D12:U42">
    <cfRule type="cellIs" dxfId="921" priority="10" operator="equal">
      <formula>0</formula>
    </cfRule>
  </conditionalFormatting>
  <conditionalFormatting sqref="D20:U32">
    <cfRule type="containsBlanks" dxfId="920" priority="11">
      <formula>LEN(TRIM(D20))=0</formula>
    </cfRule>
  </conditionalFormatting>
  <conditionalFormatting sqref="D34:U42">
    <cfRule type="containsBlanks" dxfId="919" priority="12">
      <formula>LEN(TRIM(D34))=0</formula>
    </cfRule>
  </conditionalFormatting>
  <conditionalFormatting sqref="D49:U55">
    <cfRule type="containsBlanks" dxfId="918" priority="17">
      <formula>LEN(TRIM(D49))=0</formula>
    </cfRule>
  </conditionalFormatting>
  <conditionalFormatting sqref="D49:U79">
    <cfRule type="cellIs" dxfId="917" priority="18" operator="equal">
      <formula>0</formula>
    </cfRule>
  </conditionalFormatting>
  <conditionalFormatting sqref="D57:U69">
    <cfRule type="containsBlanks" dxfId="916" priority="19">
      <formula>LEN(TRIM(D57))=0</formula>
    </cfRule>
  </conditionalFormatting>
  <conditionalFormatting sqref="D71:U79">
    <cfRule type="containsBlanks" dxfId="915" priority="20">
      <formula>LEN(TRIM(D71))=0</formula>
    </cfRule>
  </conditionalFormatting>
  <conditionalFormatting sqref="D86:U92">
    <cfRule type="containsBlanks" dxfId="914" priority="37">
      <formula>LEN(TRIM(D86))=0</formula>
    </cfRule>
  </conditionalFormatting>
  <conditionalFormatting sqref="D86:U116">
    <cfRule type="cellIs" dxfId="913" priority="38" operator="equal">
      <formula>0</formula>
    </cfRule>
  </conditionalFormatting>
  <conditionalFormatting sqref="D94:U106">
    <cfRule type="containsBlanks" dxfId="912" priority="39">
      <formula>LEN(TRIM(D94))=0</formula>
    </cfRule>
  </conditionalFormatting>
  <conditionalFormatting sqref="D108:U116">
    <cfRule type="containsBlanks" dxfId="911" priority="40">
      <formula>LEN(TRIM(D108))=0</formula>
    </cfRule>
  </conditionalFormatting>
  <conditionalFormatting sqref="D123:U129">
    <cfRule type="containsBlanks" dxfId="910" priority="35">
      <formula>LEN(TRIM(D123))=0</formula>
    </cfRule>
  </conditionalFormatting>
  <conditionalFormatting sqref="D123:U153">
    <cfRule type="cellIs" dxfId="909" priority="36" operator="equal">
      <formula>0</formula>
    </cfRule>
  </conditionalFormatting>
  <conditionalFormatting sqref="D131:U143">
    <cfRule type="containsBlanks" dxfId="908" priority="45">
      <formula>LEN(TRIM(D131))=0</formula>
    </cfRule>
  </conditionalFormatting>
  <conditionalFormatting sqref="D145:U153">
    <cfRule type="containsBlanks" dxfId="907" priority="46">
      <formula>LEN(TRIM(D145))=0</formula>
    </cfRule>
  </conditionalFormatting>
  <conditionalFormatting sqref="D160:U166">
    <cfRule type="containsBlanks" dxfId="906" priority="33">
      <formula>LEN(TRIM(D160))=0</formula>
    </cfRule>
  </conditionalFormatting>
  <conditionalFormatting sqref="D160:U190">
    <cfRule type="cellIs" dxfId="905" priority="34" operator="equal">
      <formula>0</formula>
    </cfRule>
  </conditionalFormatting>
  <conditionalFormatting sqref="D168:U180">
    <cfRule type="containsBlanks" dxfId="904" priority="51">
      <formula>LEN(TRIM(D168))=0</formula>
    </cfRule>
  </conditionalFormatting>
  <conditionalFormatting sqref="D182:U190">
    <cfRule type="containsBlanks" dxfId="903" priority="52">
      <formula>LEN(TRIM(D182))=0</formula>
    </cfRule>
  </conditionalFormatting>
  <conditionalFormatting sqref="D197:U203">
    <cfRule type="containsBlanks" dxfId="902" priority="31">
      <formula>LEN(TRIM(D197))=0</formula>
    </cfRule>
  </conditionalFormatting>
  <conditionalFormatting sqref="D197:U227">
    <cfRule type="cellIs" dxfId="901" priority="32" operator="equal">
      <formula>0</formula>
    </cfRule>
  </conditionalFormatting>
  <conditionalFormatting sqref="D205:U217">
    <cfRule type="containsBlanks" dxfId="900" priority="57">
      <formula>LEN(TRIM(D205))=0</formula>
    </cfRule>
  </conditionalFormatting>
  <conditionalFormatting sqref="D219:U227">
    <cfRule type="containsBlanks" dxfId="899" priority="58">
      <formula>LEN(TRIM(D219))=0</formula>
    </cfRule>
  </conditionalFormatting>
  <conditionalFormatting sqref="D234:U240">
    <cfRule type="containsBlanks" dxfId="898" priority="29">
      <formula>LEN(TRIM(D234))=0</formula>
    </cfRule>
  </conditionalFormatting>
  <conditionalFormatting sqref="D234:U264">
    <cfRule type="cellIs" dxfId="897" priority="30" operator="equal">
      <formula>0</formula>
    </cfRule>
  </conditionalFormatting>
  <conditionalFormatting sqref="D242:U254">
    <cfRule type="containsBlanks" dxfId="896" priority="63">
      <formula>LEN(TRIM(D242))=0</formula>
    </cfRule>
  </conditionalFormatting>
  <conditionalFormatting sqref="D256:U264">
    <cfRule type="containsBlanks" dxfId="895" priority="64">
      <formula>LEN(TRIM(D256))=0</formula>
    </cfRule>
  </conditionalFormatting>
  <conditionalFormatting sqref="D271:U277">
    <cfRule type="containsBlanks" dxfId="894" priority="27">
      <formula>LEN(TRIM(D271))=0</formula>
    </cfRule>
  </conditionalFormatting>
  <conditionalFormatting sqref="D271:U301">
    <cfRule type="cellIs" dxfId="893" priority="28" operator="equal">
      <formula>0</formula>
    </cfRule>
  </conditionalFormatting>
  <conditionalFormatting sqref="D279:U291">
    <cfRule type="containsBlanks" dxfId="892" priority="69">
      <formula>LEN(TRIM(D279))=0</formula>
    </cfRule>
  </conditionalFormatting>
  <conditionalFormatting sqref="D293:U301">
    <cfRule type="containsBlanks" dxfId="891" priority="70">
      <formula>LEN(TRIM(D293))=0</formula>
    </cfRule>
  </conditionalFormatting>
  <conditionalFormatting sqref="D308:U314">
    <cfRule type="containsBlanks" dxfId="890" priority="25">
      <formula>LEN(TRIM(D308))=0</formula>
    </cfRule>
  </conditionalFormatting>
  <conditionalFormatting sqref="D308:U338">
    <cfRule type="cellIs" dxfId="889" priority="26" operator="equal">
      <formula>0</formula>
    </cfRule>
  </conditionalFormatting>
  <conditionalFormatting sqref="D316:U328">
    <cfRule type="containsBlanks" dxfId="888" priority="75">
      <formula>LEN(TRIM(D316))=0</formula>
    </cfRule>
  </conditionalFormatting>
  <conditionalFormatting sqref="D330:U338">
    <cfRule type="containsBlanks" dxfId="887" priority="76">
      <formula>LEN(TRIM(D330))=0</formula>
    </cfRule>
  </conditionalFormatting>
  <conditionalFormatting sqref="F124:F125">
    <cfRule type="cellIs" dxfId="886" priority="49" operator="equal">
      <formula>0</formula>
    </cfRule>
  </conditionalFormatting>
  <conditionalFormatting sqref="F161:F162">
    <cfRule type="cellIs" dxfId="885" priority="55" operator="equal">
      <formula>0</formula>
    </cfRule>
  </conditionalFormatting>
  <conditionalFormatting sqref="F198:F199">
    <cfRule type="cellIs" dxfId="884" priority="61" operator="equal">
      <formula>0</formula>
    </cfRule>
  </conditionalFormatting>
  <conditionalFormatting sqref="F235:F236">
    <cfRule type="cellIs" dxfId="883" priority="67" operator="equal">
      <formula>0</formula>
    </cfRule>
  </conditionalFormatting>
  <conditionalFormatting sqref="F272:F273">
    <cfRule type="cellIs" dxfId="882" priority="73" operator="equal">
      <formula>0</formula>
    </cfRule>
  </conditionalFormatting>
  <conditionalFormatting sqref="F309:F310">
    <cfRule type="cellIs" dxfId="881" priority="79" operator="equal">
      <formula>0</formula>
    </cfRule>
  </conditionalFormatting>
  <conditionalFormatting sqref="L13:L17">
    <cfRule type="cellIs" dxfId="880" priority="15" operator="equal">
      <formula>0</formula>
    </cfRule>
  </conditionalFormatting>
  <conditionalFormatting sqref="L50:L54">
    <cfRule type="cellIs" dxfId="879" priority="23" operator="equal">
      <formula>0</formula>
    </cfRule>
  </conditionalFormatting>
  <conditionalFormatting sqref="L87:L91">
    <cfRule type="cellIs" dxfId="878" priority="43" operator="equal">
      <formula>0</formula>
    </cfRule>
  </conditionalFormatting>
  <conditionalFormatting sqref="L124:L128">
    <cfRule type="cellIs" dxfId="877" priority="48" operator="equal">
      <formula>0</formula>
    </cfRule>
  </conditionalFormatting>
  <conditionalFormatting sqref="L161:L165">
    <cfRule type="cellIs" dxfId="876" priority="54" operator="equal">
      <formula>0</formula>
    </cfRule>
  </conditionalFormatting>
  <conditionalFormatting sqref="L198:L202">
    <cfRule type="cellIs" dxfId="875" priority="60" operator="equal">
      <formula>0</formula>
    </cfRule>
  </conditionalFormatting>
  <conditionalFormatting sqref="L235:L239">
    <cfRule type="cellIs" dxfId="874" priority="66" operator="equal">
      <formula>0</formula>
    </cfRule>
  </conditionalFormatting>
  <conditionalFormatting sqref="L272:L276">
    <cfRule type="cellIs" dxfId="873" priority="72" operator="equal">
      <formula>0</formula>
    </cfRule>
  </conditionalFormatting>
  <conditionalFormatting sqref="L309:L313">
    <cfRule type="cellIs" dxfId="872" priority="78" operator="equal">
      <formula>0</formula>
    </cfRule>
  </conditionalFormatting>
  <conditionalFormatting sqref="L11:Q11">
    <cfRule type="cellIs" dxfId="871" priority="89" operator="equal">
      <formula>0</formula>
    </cfRule>
  </conditionalFormatting>
  <conditionalFormatting sqref="L48:Q48">
    <cfRule type="cellIs" dxfId="870" priority="88" operator="equal">
      <formula>0</formula>
    </cfRule>
  </conditionalFormatting>
  <conditionalFormatting sqref="L85:Q85">
    <cfRule type="cellIs" dxfId="869" priority="87" operator="equal">
      <formula>0</formula>
    </cfRule>
  </conditionalFormatting>
  <conditionalFormatting sqref="L122:Q122">
    <cfRule type="cellIs" dxfId="868" priority="86" operator="equal">
      <formula>0</formula>
    </cfRule>
  </conditionalFormatting>
  <conditionalFormatting sqref="L159:Q159">
    <cfRule type="cellIs" dxfId="867" priority="85" operator="equal">
      <formula>0</formula>
    </cfRule>
  </conditionalFormatting>
  <conditionalFormatting sqref="L196:Q196">
    <cfRule type="cellIs" dxfId="866" priority="84" operator="equal">
      <formula>0</formula>
    </cfRule>
  </conditionalFormatting>
  <conditionalFormatting sqref="L233:Q233">
    <cfRule type="cellIs" dxfId="865" priority="83" operator="equal">
      <formula>0</formula>
    </cfRule>
  </conditionalFormatting>
  <conditionalFormatting sqref="L270:Q270">
    <cfRule type="cellIs" dxfId="864" priority="82" operator="equal">
      <formula>0</formula>
    </cfRule>
  </conditionalFormatting>
  <conditionalFormatting sqref="L307:Q307">
    <cfRule type="cellIs" dxfId="863" priority="81" operator="equal">
      <formula>0</formula>
    </cfRule>
  </conditionalFormatting>
  <conditionalFormatting sqref="M12:O17">
    <cfRule type="cellIs" dxfId="862" priority="13" operator="equal">
      <formula>0</formula>
    </cfRule>
  </conditionalFormatting>
  <conditionalFormatting sqref="M49:O54">
    <cfRule type="cellIs" dxfId="861" priority="21" operator="equal">
      <formula>0</formula>
    </cfRule>
  </conditionalFormatting>
  <conditionalFormatting sqref="M86:O91">
    <cfRule type="cellIs" dxfId="860" priority="41" operator="equal">
      <formula>0</formula>
    </cfRule>
  </conditionalFormatting>
  <conditionalFormatting sqref="P13:Q17">
    <cfRule type="cellIs" dxfId="859" priority="14" operator="equal">
      <formula>0</formula>
    </cfRule>
  </conditionalFormatting>
  <conditionalFormatting sqref="P50:Q54">
    <cfRule type="cellIs" dxfId="858" priority="22" operator="equal">
      <formula>0</formula>
    </cfRule>
  </conditionalFormatting>
  <conditionalFormatting sqref="P87:Q91">
    <cfRule type="cellIs" dxfId="857" priority="42" operator="equal">
      <formula>0</formula>
    </cfRule>
  </conditionalFormatting>
  <conditionalFormatting sqref="P124:Q128">
    <cfRule type="cellIs" dxfId="856" priority="47" operator="equal">
      <formula>0</formula>
    </cfRule>
  </conditionalFormatting>
  <conditionalFormatting sqref="P161:Q165">
    <cfRule type="cellIs" dxfId="855" priority="53" operator="equal">
      <formula>0</formula>
    </cfRule>
  </conditionalFormatting>
  <conditionalFormatting sqref="P198:Q202">
    <cfRule type="cellIs" dxfId="854" priority="59" operator="equal">
      <formula>0</formula>
    </cfRule>
  </conditionalFormatting>
  <conditionalFormatting sqref="P235:Q239">
    <cfRule type="cellIs" dxfId="853" priority="65" operator="equal">
      <formula>0</formula>
    </cfRule>
  </conditionalFormatting>
  <conditionalFormatting sqref="P272:Q276">
    <cfRule type="cellIs" dxfId="852" priority="71" operator="equal">
      <formula>0</formula>
    </cfRule>
  </conditionalFormatting>
  <conditionalFormatting sqref="P309:Q313">
    <cfRule type="cellIs" dxfId="851" priority="77" operator="equal">
      <formula>0</formula>
    </cfRule>
  </conditionalFormatting>
  <conditionalFormatting sqref="R12:R14">
    <cfRule type="cellIs" dxfId="850" priority="16" operator="equal">
      <formula>0</formula>
    </cfRule>
  </conditionalFormatting>
  <conditionalFormatting sqref="R49:R51">
    <cfRule type="cellIs" dxfId="849" priority="24" operator="equal">
      <formula>0</formula>
    </cfRule>
  </conditionalFormatting>
  <conditionalFormatting sqref="R86:R88">
    <cfRule type="cellIs" dxfId="848" priority="44" operator="equal">
      <formula>0</formula>
    </cfRule>
  </conditionalFormatting>
  <conditionalFormatting sqref="R123:R125">
    <cfRule type="cellIs" dxfId="847" priority="50" operator="equal">
      <formula>0</formula>
    </cfRule>
  </conditionalFormatting>
  <conditionalFormatting sqref="R160:R162">
    <cfRule type="cellIs" dxfId="846" priority="56" operator="equal">
      <formula>0</formula>
    </cfRule>
  </conditionalFormatting>
  <conditionalFormatting sqref="R197:R199">
    <cfRule type="cellIs" dxfId="845" priority="62" operator="equal">
      <formula>0</formula>
    </cfRule>
  </conditionalFormatting>
  <conditionalFormatting sqref="R234:R236">
    <cfRule type="cellIs" dxfId="844" priority="68" operator="equal">
      <formula>0</formula>
    </cfRule>
  </conditionalFormatting>
  <conditionalFormatting sqref="R271:R273">
    <cfRule type="cellIs" dxfId="843" priority="74" operator="equal">
      <formula>0</formula>
    </cfRule>
  </conditionalFormatting>
  <conditionalFormatting sqref="R308:R310">
    <cfRule type="cellIs" dxfId="842" priority="80" operator="equal">
      <formula>0</formula>
    </cfRule>
  </conditionalFormatting>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3592A-C182-484C-92DB-276C006A6B51}">
  <dimension ref="C2:V303"/>
  <sheetViews>
    <sheetView workbookViewId="0"/>
  </sheetViews>
  <sheetFormatPr baseColWidth="10" defaultRowHeight="15" x14ac:dyDescent="0.25"/>
  <sheetData>
    <row r="2" spans="3:22" ht="18.75" x14ac:dyDescent="0.3">
      <c r="C2" s="600" t="s">
        <v>406</v>
      </c>
      <c r="D2" s="599"/>
      <c r="E2" s="599"/>
      <c r="F2" s="599"/>
      <c r="G2" s="599"/>
      <c r="H2" s="599"/>
      <c r="I2" s="599"/>
      <c r="J2" s="599"/>
      <c r="K2" s="599"/>
      <c r="L2" s="599"/>
      <c r="M2" s="599"/>
      <c r="N2" s="599"/>
      <c r="O2" s="599"/>
      <c r="P2" s="599"/>
      <c r="Q2" s="599"/>
      <c r="R2" s="599"/>
      <c r="S2" s="599"/>
      <c r="T2" s="599"/>
      <c r="U2" s="599"/>
      <c r="V2" s="599"/>
    </row>
    <row r="3" spans="3:22" x14ac:dyDescent="0.25">
      <c r="C3" s="51"/>
      <c r="D3" s="51"/>
      <c r="E3" s="51"/>
      <c r="F3" s="51"/>
      <c r="G3" s="51"/>
      <c r="H3" s="51"/>
      <c r="I3" s="51"/>
      <c r="J3" s="51"/>
      <c r="K3" s="51"/>
      <c r="L3" s="51"/>
      <c r="M3" s="51"/>
      <c r="N3" s="51"/>
      <c r="O3" s="51"/>
      <c r="P3" s="51"/>
      <c r="Q3" s="51"/>
      <c r="R3" s="51"/>
      <c r="S3" s="51"/>
      <c r="T3" s="51"/>
      <c r="U3" s="51"/>
      <c r="V3" s="51"/>
    </row>
    <row r="4" spans="3:22" ht="15.75" x14ac:dyDescent="0.25">
      <c r="C4" s="603" t="s">
        <v>338</v>
      </c>
      <c r="D4" s="602" t="s">
        <v>481</v>
      </c>
      <c r="E4" s="602"/>
      <c r="F4" s="602"/>
      <c r="G4" s="602"/>
      <c r="H4" s="602"/>
      <c r="I4" s="602"/>
      <c r="J4" s="602"/>
      <c r="K4" s="604"/>
      <c r="L4" s="604"/>
      <c r="M4" s="604"/>
      <c r="N4" s="604"/>
      <c r="O4" s="604"/>
      <c r="P4" s="604"/>
      <c r="Q4" s="604"/>
      <c r="R4" s="602"/>
      <c r="S4" s="602"/>
      <c r="T4" s="602"/>
      <c r="U4" s="602"/>
      <c r="V4" s="602"/>
    </row>
    <row r="5" spans="3:22" ht="15.75" x14ac:dyDescent="0.25">
      <c r="C5" s="603" t="s">
        <v>341</v>
      </c>
      <c r="D5" s="602" t="s">
        <v>342</v>
      </c>
      <c r="E5" s="602"/>
      <c r="F5" s="602"/>
      <c r="G5" s="602"/>
      <c r="H5" s="602"/>
      <c r="I5" s="602"/>
      <c r="J5" s="602"/>
      <c r="K5" s="602"/>
      <c r="L5" s="602"/>
      <c r="M5" s="602"/>
      <c r="N5" s="602"/>
      <c r="O5" s="602"/>
      <c r="P5" s="602"/>
      <c r="Q5" s="602"/>
      <c r="R5" s="602"/>
      <c r="S5" s="602"/>
      <c r="T5" s="602"/>
      <c r="U5" s="602"/>
      <c r="V5" s="602"/>
    </row>
    <row r="6" spans="3:22" x14ac:dyDescent="0.25">
      <c r="C6" s="51"/>
      <c r="D6" s="51"/>
      <c r="E6" s="51"/>
      <c r="F6" s="51"/>
      <c r="G6" s="51"/>
      <c r="H6" s="51"/>
      <c r="I6" s="51"/>
      <c r="J6" s="51"/>
      <c r="K6" s="51"/>
      <c r="L6" s="51"/>
      <c r="M6" s="51"/>
      <c r="N6" s="51"/>
      <c r="O6" s="51"/>
      <c r="P6" s="51"/>
      <c r="Q6" s="51"/>
      <c r="R6" s="51"/>
      <c r="S6" s="51"/>
      <c r="T6" s="51"/>
      <c r="U6" s="51"/>
      <c r="V6" s="51"/>
    </row>
    <row r="7" spans="3:22" x14ac:dyDescent="0.25">
      <c r="C7" s="51"/>
      <c r="D7" s="51"/>
      <c r="E7" s="51"/>
      <c r="F7" s="51"/>
      <c r="G7" s="51"/>
      <c r="H7" s="51"/>
      <c r="I7" s="51"/>
      <c r="J7" s="51"/>
      <c r="K7" s="51"/>
      <c r="L7" s="51"/>
      <c r="M7" s="51"/>
      <c r="N7" s="51"/>
      <c r="O7" s="51"/>
      <c r="P7" s="51"/>
      <c r="Q7" s="51"/>
      <c r="R7" s="51"/>
      <c r="S7" s="51"/>
      <c r="T7" s="51"/>
      <c r="U7" s="51"/>
      <c r="V7" s="51"/>
    </row>
    <row r="8" spans="3:22" x14ac:dyDescent="0.25">
      <c r="C8" s="607" t="s">
        <v>88</v>
      </c>
      <c r="D8" s="606"/>
      <c r="E8" s="606"/>
      <c r="F8" s="606"/>
      <c r="G8" s="682"/>
      <c r="H8" s="606"/>
      <c r="I8" s="606"/>
      <c r="J8" s="606"/>
      <c r="K8" s="606"/>
      <c r="L8" s="606"/>
      <c r="M8" s="606"/>
      <c r="N8" s="606"/>
      <c r="O8" s="606"/>
      <c r="P8" s="606"/>
      <c r="Q8" s="606"/>
      <c r="R8" s="606"/>
      <c r="S8" s="606"/>
      <c r="T8" s="606"/>
      <c r="U8" s="606"/>
      <c r="V8" s="606"/>
    </row>
    <row r="9" spans="3:22" x14ac:dyDescent="0.25">
      <c r="C9" s="51"/>
      <c r="D9" s="51"/>
      <c r="E9" s="51"/>
      <c r="F9" s="51"/>
      <c r="G9" s="67"/>
      <c r="H9" s="51"/>
      <c r="I9" s="51"/>
      <c r="J9" s="51"/>
      <c r="K9" s="51"/>
      <c r="L9" s="51"/>
      <c r="M9" s="51"/>
      <c r="N9" s="51"/>
      <c r="O9" s="51"/>
      <c r="P9" s="51"/>
      <c r="Q9" s="51"/>
      <c r="R9" s="51"/>
      <c r="S9" s="51"/>
      <c r="T9" s="51"/>
      <c r="U9" s="51"/>
      <c r="V9" s="51"/>
    </row>
    <row r="10" spans="3:22" x14ac:dyDescent="0.25">
      <c r="C10" s="764" t="s">
        <v>128</v>
      </c>
      <c r="D10" s="753" t="s">
        <v>42</v>
      </c>
      <c r="E10" s="753" t="s">
        <v>52</v>
      </c>
      <c r="F10" s="753" t="s">
        <v>53</v>
      </c>
      <c r="G10" s="766" t="s">
        <v>482</v>
      </c>
      <c r="H10" s="753" t="s">
        <v>32</v>
      </c>
      <c r="I10" s="753" t="s">
        <v>483</v>
      </c>
      <c r="J10" s="753" t="s">
        <v>20</v>
      </c>
      <c r="K10" s="753" t="s">
        <v>55</v>
      </c>
      <c r="L10" s="761" t="s">
        <v>56</v>
      </c>
      <c r="M10" s="762"/>
      <c r="N10" s="762"/>
      <c r="O10" s="762"/>
      <c r="P10" s="762"/>
      <c r="Q10" s="763"/>
      <c r="R10" s="753" t="s">
        <v>57</v>
      </c>
      <c r="S10" s="753" t="s">
        <v>58</v>
      </c>
      <c r="T10" s="753" t="s">
        <v>31</v>
      </c>
      <c r="U10" s="753" t="s">
        <v>10</v>
      </c>
      <c r="V10" s="51"/>
    </row>
    <row r="11" spans="3:22" ht="36" x14ac:dyDescent="0.25">
      <c r="C11" s="765"/>
      <c r="D11" s="754"/>
      <c r="E11" s="754"/>
      <c r="F11" s="754"/>
      <c r="G11" s="767"/>
      <c r="H11" s="754"/>
      <c r="I11" s="754"/>
      <c r="J11" s="754"/>
      <c r="K11" s="754"/>
      <c r="L11" s="608" t="s">
        <v>335</v>
      </c>
      <c r="M11" s="608" t="s">
        <v>40</v>
      </c>
      <c r="N11" s="608" t="s">
        <v>343</v>
      </c>
      <c r="O11" s="608" t="s">
        <v>344</v>
      </c>
      <c r="P11" s="609" t="s">
        <v>345</v>
      </c>
      <c r="Q11" s="608" t="s">
        <v>346</v>
      </c>
      <c r="R11" s="754"/>
      <c r="S11" s="754"/>
      <c r="T11" s="754"/>
      <c r="U11" s="754"/>
      <c r="V11" s="51"/>
    </row>
    <row r="12" spans="3:22" x14ac:dyDescent="0.25">
      <c r="C12" s="610" t="s">
        <v>59</v>
      </c>
      <c r="D12" s="611">
        <v>0</v>
      </c>
      <c r="E12" s="611">
        <v>9.7691999999999997</v>
      </c>
      <c r="F12" s="611">
        <v>0</v>
      </c>
      <c r="G12" s="611">
        <v>0</v>
      </c>
      <c r="H12" s="611">
        <v>0.18608000000000002</v>
      </c>
      <c r="I12" s="611">
        <v>0</v>
      </c>
      <c r="J12" s="612">
        <v>1159.7098545454546</v>
      </c>
      <c r="K12" s="612">
        <v>206.22767049205902</v>
      </c>
      <c r="L12" s="612">
        <v>326.36588655557915</v>
      </c>
      <c r="M12" s="612">
        <v>23.880954036091094</v>
      </c>
      <c r="N12" s="611">
        <v>1.4156783371657409</v>
      </c>
      <c r="O12" s="611">
        <v>0.13593700784165794</v>
      </c>
      <c r="P12" s="612">
        <v>103.00436671608395</v>
      </c>
      <c r="Q12" s="612">
        <v>12.730506155114826</v>
      </c>
      <c r="R12" s="611">
        <v>0</v>
      </c>
      <c r="S12" s="611">
        <v>0</v>
      </c>
      <c r="T12" s="611">
        <v>0</v>
      </c>
      <c r="U12" s="613">
        <v>1804.6627452595433</v>
      </c>
      <c r="V12" s="51"/>
    </row>
    <row r="13" spans="3:22" x14ac:dyDescent="0.25">
      <c r="C13" s="610" t="s">
        <v>60</v>
      </c>
      <c r="D13" s="611">
        <v>23.408391415226877</v>
      </c>
      <c r="E13" s="611">
        <v>397.73285119797646</v>
      </c>
      <c r="F13" s="611">
        <v>191.75100078220197</v>
      </c>
      <c r="G13" s="611">
        <v>0.57597435478791414</v>
      </c>
      <c r="H13" s="611">
        <v>299.01405116645907</v>
      </c>
      <c r="I13" s="611">
        <v>0</v>
      </c>
      <c r="J13" s="611">
        <v>0</v>
      </c>
      <c r="K13" s="611">
        <v>0</v>
      </c>
      <c r="L13" s="611">
        <v>2.5322527707990741</v>
      </c>
      <c r="M13" s="611">
        <v>0</v>
      </c>
      <c r="N13" s="611">
        <v>3.4051358539984622</v>
      </c>
      <c r="O13" s="611">
        <v>0</v>
      </c>
      <c r="P13" s="611">
        <v>0</v>
      </c>
      <c r="Q13" s="611">
        <v>0</v>
      </c>
      <c r="R13" s="611">
        <v>0</v>
      </c>
      <c r="S13" s="611">
        <v>0</v>
      </c>
      <c r="T13" s="611">
        <v>0</v>
      </c>
      <c r="U13" s="613">
        <v>918.41965754144996</v>
      </c>
      <c r="V13" s="51"/>
    </row>
    <row r="14" spans="3:22" x14ac:dyDescent="0.25">
      <c r="C14" s="610" t="s">
        <v>61</v>
      </c>
      <c r="D14" s="611">
        <v>0</v>
      </c>
      <c r="E14" s="611">
        <v>0</v>
      </c>
      <c r="F14" s="611">
        <v>5.0493218309217411</v>
      </c>
      <c r="G14" s="611">
        <v>0</v>
      </c>
      <c r="H14" s="611">
        <v>0</v>
      </c>
      <c r="I14" s="611">
        <v>0</v>
      </c>
      <c r="J14" s="611">
        <v>0</v>
      </c>
      <c r="K14" s="611">
        <v>0</v>
      </c>
      <c r="L14" s="611">
        <v>0</v>
      </c>
      <c r="M14" s="611">
        <v>0</v>
      </c>
      <c r="N14" s="611">
        <v>0</v>
      </c>
      <c r="O14" s="611">
        <v>0</v>
      </c>
      <c r="P14" s="611">
        <v>0</v>
      </c>
      <c r="Q14" s="611">
        <v>0</v>
      </c>
      <c r="R14" s="611">
        <v>-60.040984503318555</v>
      </c>
      <c r="S14" s="611">
        <v>0</v>
      </c>
      <c r="T14" s="611">
        <v>0</v>
      </c>
      <c r="U14" s="613">
        <v>-54.991662672396814</v>
      </c>
      <c r="V14" s="51"/>
    </row>
    <row r="15" spans="3:22" x14ac:dyDescent="0.25">
      <c r="C15" s="610" t="s">
        <v>62</v>
      </c>
      <c r="D15" s="611">
        <v>0</v>
      </c>
      <c r="E15" s="611">
        <v>0</v>
      </c>
      <c r="F15" s="611">
        <v>-13.430949100801122</v>
      </c>
      <c r="G15" s="611">
        <v>-5.8076344872398176E-2</v>
      </c>
      <c r="H15" s="611">
        <v>-2.2639989057452867</v>
      </c>
      <c r="I15" s="611">
        <v>-0.72771393398955631</v>
      </c>
      <c r="J15" s="611">
        <v>0</v>
      </c>
      <c r="K15" s="611">
        <v>0</v>
      </c>
      <c r="L15" s="611">
        <v>0</v>
      </c>
      <c r="M15" s="611">
        <v>0</v>
      </c>
      <c r="N15" s="611">
        <v>-0.81896587882468008</v>
      </c>
      <c r="O15" s="611">
        <v>-1.0511423490960259</v>
      </c>
      <c r="P15" s="611">
        <v>0</v>
      </c>
      <c r="Q15" s="611">
        <v>0</v>
      </c>
      <c r="R15" s="611">
        <v>0</v>
      </c>
      <c r="S15" s="611">
        <v>0</v>
      </c>
      <c r="T15" s="611">
        <v>-0.13169239200090288</v>
      </c>
      <c r="U15" s="613">
        <v>-18.482538905329974</v>
      </c>
      <c r="V15" s="51"/>
    </row>
    <row r="16" spans="3:22" x14ac:dyDescent="0.25">
      <c r="C16" s="610" t="s">
        <v>63</v>
      </c>
      <c r="D16" s="611">
        <v>0</v>
      </c>
      <c r="E16" s="611">
        <v>0</v>
      </c>
      <c r="F16" s="611">
        <v>-68.854810681249447</v>
      </c>
      <c r="G16" s="611">
        <v>-0.89682740167552777</v>
      </c>
      <c r="H16" s="611">
        <v>0</v>
      </c>
      <c r="I16" s="611">
        <v>0</v>
      </c>
      <c r="J16" s="611">
        <v>0</v>
      </c>
      <c r="K16" s="611">
        <v>0</v>
      </c>
      <c r="L16" s="611">
        <v>0</v>
      </c>
      <c r="M16" s="611">
        <v>0</v>
      </c>
      <c r="N16" s="611">
        <v>-3.5873096067021111</v>
      </c>
      <c r="O16" s="611">
        <v>0</v>
      </c>
      <c r="P16" s="611">
        <v>0</v>
      </c>
      <c r="Q16" s="611">
        <v>0</v>
      </c>
      <c r="R16" s="611">
        <v>0</v>
      </c>
      <c r="S16" s="611">
        <v>0</v>
      </c>
      <c r="T16" s="611">
        <v>0</v>
      </c>
      <c r="U16" s="613">
        <v>-73.338947689627076</v>
      </c>
      <c r="V16" s="51"/>
    </row>
    <row r="17" spans="3:22" x14ac:dyDescent="0.25">
      <c r="C17" s="610" t="s">
        <v>64</v>
      </c>
      <c r="D17" s="611">
        <v>0</v>
      </c>
      <c r="E17" s="611">
        <v>0</v>
      </c>
      <c r="F17" s="611">
        <v>0</v>
      </c>
      <c r="G17" s="611">
        <v>0</v>
      </c>
      <c r="H17" s="611">
        <v>0</v>
      </c>
      <c r="I17" s="611">
        <v>0</v>
      </c>
      <c r="J17" s="611">
        <v>0</v>
      </c>
      <c r="K17" s="611">
        <v>0</v>
      </c>
      <c r="L17" s="611">
        <v>0</v>
      </c>
      <c r="M17" s="611">
        <v>0</v>
      </c>
      <c r="N17" s="611">
        <v>0</v>
      </c>
      <c r="O17" s="611">
        <v>0</v>
      </c>
      <c r="P17" s="611">
        <v>0</v>
      </c>
      <c r="Q17" s="611">
        <v>0</v>
      </c>
      <c r="R17" s="611">
        <v>0</v>
      </c>
      <c r="S17" s="611">
        <v>0</v>
      </c>
      <c r="T17" s="611">
        <v>0</v>
      </c>
      <c r="U17" s="613">
        <v>0</v>
      </c>
      <c r="V17" s="51"/>
    </row>
    <row r="18" spans="3:22" x14ac:dyDescent="0.25">
      <c r="C18" s="614" t="s">
        <v>65</v>
      </c>
      <c r="D18" s="615">
        <v>23.408391415226877</v>
      </c>
      <c r="E18" s="615">
        <v>407.50205119797647</v>
      </c>
      <c r="F18" s="615">
        <v>114.51456283107315</v>
      </c>
      <c r="G18" s="615">
        <v>-0.37892939176001184</v>
      </c>
      <c r="H18" s="615">
        <v>296.9361322607138</v>
      </c>
      <c r="I18" s="615">
        <v>-0.72771393398955631</v>
      </c>
      <c r="J18" s="615">
        <v>1159.7098545454546</v>
      </c>
      <c r="K18" s="615">
        <v>206.22767049205902</v>
      </c>
      <c r="L18" s="615">
        <v>328.89813932637821</v>
      </c>
      <c r="M18" s="615">
        <v>23.880954036091094</v>
      </c>
      <c r="N18" s="615">
        <v>0.41453870563741191</v>
      </c>
      <c r="O18" s="615">
        <v>-0.91520534125436792</v>
      </c>
      <c r="P18" s="615">
        <v>103.00436671608395</v>
      </c>
      <c r="Q18" s="615">
        <v>12.730506155114826</v>
      </c>
      <c r="R18" s="615">
        <v>-60.040984503318555</v>
      </c>
      <c r="S18" s="615">
        <v>0</v>
      </c>
      <c r="T18" s="615">
        <v>-0.13169239200090288</v>
      </c>
      <c r="U18" s="615">
        <v>2576.2692535336396</v>
      </c>
      <c r="V18" s="51"/>
    </row>
    <row r="19" spans="3:22" x14ac:dyDescent="0.25">
      <c r="C19" s="616"/>
      <c r="D19" s="617"/>
      <c r="E19" s="617"/>
      <c r="F19" s="617"/>
      <c r="G19" s="617"/>
      <c r="H19" s="623"/>
      <c r="I19" s="617"/>
      <c r="J19" s="617"/>
      <c r="K19" s="617"/>
      <c r="L19" s="617"/>
      <c r="M19" s="617"/>
      <c r="N19" s="617"/>
      <c r="O19" s="617"/>
      <c r="P19" s="617"/>
      <c r="Q19" s="617"/>
      <c r="R19" s="617"/>
      <c r="S19" s="617"/>
      <c r="T19" s="617"/>
      <c r="U19" s="617"/>
      <c r="V19" s="51"/>
    </row>
    <row r="20" spans="3:22" x14ac:dyDescent="0.25">
      <c r="C20" s="618" t="s">
        <v>67</v>
      </c>
      <c r="D20" s="611">
        <v>0</v>
      </c>
      <c r="E20" s="611">
        <v>0</v>
      </c>
      <c r="F20" s="611">
        <v>0</v>
      </c>
      <c r="G20" s="611">
        <v>0</v>
      </c>
      <c r="H20" s="611">
        <v>0</v>
      </c>
      <c r="I20" s="611">
        <v>0</v>
      </c>
      <c r="J20" s="611">
        <v>0</v>
      </c>
      <c r="K20" s="611">
        <v>0</v>
      </c>
      <c r="L20" s="611">
        <v>0</v>
      </c>
      <c r="M20" s="611">
        <v>0</v>
      </c>
      <c r="N20" s="611">
        <v>0</v>
      </c>
      <c r="O20" s="611">
        <v>0</v>
      </c>
      <c r="P20" s="611">
        <v>0</v>
      </c>
      <c r="Q20" s="611">
        <v>0</v>
      </c>
      <c r="R20" s="611">
        <v>0</v>
      </c>
      <c r="S20" s="611">
        <v>0</v>
      </c>
      <c r="T20" s="611">
        <v>0</v>
      </c>
      <c r="U20" s="619">
        <v>0</v>
      </c>
      <c r="V20" s="51"/>
    </row>
    <row r="21" spans="3:22" x14ac:dyDescent="0.25">
      <c r="C21" s="618" t="s">
        <v>347</v>
      </c>
      <c r="D21" s="611">
        <v>0</v>
      </c>
      <c r="E21" s="611">
        <v>0</v>
      </c>
      <c r="F21" s="611">
        <v>0.77863803143112786</v>
      </c>
      <c r="G21" s="611">
        <v>0</v>
      </c>
      <c r="H21" s="611">
        <v>48.649185599999988</v>
      </c>
      <c r="I21" s="611">
        <v>0</v>
      </c>
      <c r="J21" s="611">
        <v>1159.7098545454546</v>
      </c>
      <c r="K21" s="611">
        <v>206.22767049205902</v>
      </c>
      <c r="L21" s="611">
        <v>24.739021777792605</v>
      </c>
      <c r="M21" s="611">
        <v>0.78247284915082171</v>
      </c>
      <c r="N21" s="611">
        <v>4.4112574708908179</v>
      </c>
      <c r="O21" s="611">
        <v>8.6805648243110305</v>
      </c>
      <c r="P21" s="611">
        <v>0</v>
      </c>
      <c r="Q21" s="611">
        <v>0</v>
      </c>
      <c r="R21" s="611">
        <v>-654.2527428705597</v>
      </c>
      <c r="S21" s="611">
        <v>0</v>
      </c>
      <c r="T21" s="611">
        <v>0</v>
      </c>
      <c r="U21" s="619">
        <v>799.72592272053009</v>
      </c>
      <c r="V21" s="51"/>
    </row>
    <row r="22" spans="3:22" x14ac:dyDescent="0.25">
      <c r="C22" s="618" t="s">
        <v>348</v>
      </c>
      <c r="D22" s="611">
        <v>0</v>
      </c>
      <c r="E22" s="611">
        <v>0</v>
      </c>
      <c r="F22" s="611">
        <v>0</v>
      </c>
      <c r="G22" s="611">
        <v>0</v>
      </c>
      <c r="H22" s="611">
        <v>17.447614907438101</v>
      </c>
      <c r="I22" s="611">
        <v>0</v>
      </c>
      <c r="J22" s="611">
        <v>0</v>
      </c>
      <c r="K22" s="611">
        <v>0</v>
      </c>
      <c r="L22" s="611">
        <v>34.578262360003102</v>
      </c>
      <c r="M22" s="611">
        <v>15.806390734005202</v>
      </c>
      <c r="N22" s="611">
        <v>0</v>
      </c>
      <c r="O22" s="611">
        <v>4.3750593738442154</v>
      </c>
      <c r="P22" s="611">
        <v>0</v>
      </c>
      <c r="Q22" s="611">
        <v>7.6310920855978708</v>
      </c>
      <c r="R22" s="611">
        <v>0</v>
      </c>
      <c r="S22" s="611">
        <v>-72.688725054726262</v>
      </c>
      <c r="T22" s="611">
        <v>0</v>
      </c>
      <c r="U22" s="619">
        <v>7.1496944061622258</v>
      </c>
      <c r="V22" s="51"/>
    </row>
    <row r="23" spans="3:22" x14ac:dyDescent="0.25">
      <c r="C23" s="618" t="s">
        <v>349</v>
      </c>
      <c r="D23" s="611">
        <v>0</v>
      </c>
      <c r="E23" s="611">
        <v>0</v>
      </c>
      <c r="F23" s="611">
        <v>0</v>
      </c>
      <c r="G23" s="611">
        <v>0</v>
      </c>
      <c r="H23" s="611">
        <v>0</v>
      </c>
      <c r="I23" s="611">
        <v>0</v>
      </c>
      <c r="J23" s="611">
        <v>0</v>
      </c>
      <c r="K23" s="611">
        <v>0</v>
      </c>
      <c r="L23" s="611">
        <v>98.873927014712635</v>
      </c>
      <c r="M23" s="611">
        <v>0</v>
      </c>
      <c r="N23" s="611">
        <v>0</v>
      </c>
      <c r="O23" s="611">
        <v>-54.380659858091953</v>
      </c>
      <c r="P23" s="611">
        <v>0</v>
      </c>
      <c r="Q23" s="611">
        <v>0</v>
      </c>
      <c r="R23" s="611">
        <v>0</v>
      </c>
      <c r="S23" s="611">
        <v>0</v>
      </c>
      <c r="T23" s="611">
        <v>0</v>
      </c>
      <c r="U23" s="619">
        <v>44.493267156620682</v>
      </c>
      <c r="V23" s="51"/>
    </row>
    <row r="24" spans="3:22" x14ac:dyDescent="0.25">
      <c r="C24" s="618" t="s">
        <v>350</v>
      </c>
      <c r="D24" s="611">
        <v>0</v>
      </c>
      <c r="E24" s="611">
        <v>0</v>
      </c>
      <c r="F24" s="611">
        <v>0</v>
      </c>
      <c r="G24" s="611">
        <v>0</v>
      </c>
      <c r="H24" s="611">
        <v>0</v>
      </c>
      <c r="I24" s="611">
        <v>-0.72771393398955631</v>
      </c>
      <c r="J24" s="611">
        <v>0</v>
      </c>
      <c r="K24" s="611">
        <v>0</v>
      </c>
      <c r="L24" s="611">
        <v>0</v>
      </c>
      <c r="M24" s="611">
        <v>0</v>
      </c>
      <c r="N24" s="611">
        <v>0</v>
      </c>
      <c r="O24" s="611">
        <v>0</v>
      </c>
      <c r="P24" s="611">
        <v>0</v>
      </c>
      <c r="Q24" s="611">
        <v>0</v>
      </c>
      <c r="R24" s="611">
        <v>0</v>
      </c>
      <c r="S24" s="611">
        <v>0</v>
      </c>
      <c r="T24" s="611">
        <v>1.0107137972077171</v>
      </c>
      <c r="U24" s="619">
        <v>0.28299986321816084</v>
      </c>
      <c r="V24" s="51"/>
    </row>
    <row r="25" spans="3:22" x14ac:dyDescent="0.25">
      <c r="C25" s="618" t="s">
        <v>72</v>
      </c>
      <c r="D25" s="611">
        <v>0</v>
      </c>
      <c r="E25" s="611">
        <v>422.3330989513351</v>
      </c>
      <c r="F25" s="611">
        <v>-418.12947900634055</v>
      </c>
      <c r="G25" s="611">
        <v>0</v>
      </c>
      <c r="H25" s="611">
        <v>0</v>
      </c>
      <c r="I25" s="611">
        <v>0</v>
      </c>
      <c r="J25" s="611">
        <v>0</v>
      </c>
      <c r="K25" s="611">
        <v>0</v>
      </c>
      <c r="L25" s="611">
        <v>0</v>
      </c>
      <c r="M25" s="611">
        <v>0</v>
      </c>
      <c r="N25" s="611">
        <v>0</v>
      </c>
      <c r="O25" s="611">
        <v>0</v>
      </c>
      <c r="P25" s="611">
        <v>0</v>
      </c>
      <c r="Q25" s="611">
        <v>0</v>
      </c>
      <c r="R25" s="611">
        <v>0</v>
      </c>
      <c r="S25" s="611">
        <v>0</v>
      </c>
      <c r="T25" s="611">
        <v>0</v>
      </c>
      <c r="U25" s="619">
        <v>4.203619944994557</v>
      </c>
      <c r="V25" s="51"/>
    </row>
    <row r="26" spans="3:22" x14ac:dyDescent="0.25">
      <c r="C26" s="618" t="s">
        <v>351</v>
      </c>
      <c r="D26" s="611">
        <v>0</v>
      </c>
      <c r="E26" s="611">
        <v>0</v>
      </c>
      <c r="F26" s="611">
        <v>0</v>
      </c>
      <c r="G26" s="611">
        <v>0</v>
      </c>
      <c r="H26" s="611">
        <v>0</v>
      </c>
      <c r="I26" s="611">
        <v>0</v>
      </c>
      <c r="J26" s="611">
        <v>0</v>
      </c>
      <c r="K26" s="611">
        <v>0</v>
      </c>
      <c r="L26" s="611">
        <v>89.462734791672489</v>
      </c>
      <c r="M26" s="611">
        <v>0</v>
      </c>
      <c r="N26" s="611">
        <v>-49.204504135419874</v>
      </c>
      <c r="O26" s="611">
        <v>0</v>
      </c>
      <c r="P26" s="611">
        <v>0</v>
      </c>
      <c r="Q26" s="611">
        <v>0</v>
      </c>
      <c r="R26" s="611">
        <v>0</v>
      </c>
      <c r="S26" s="611">
        <v>0</v>
      </c>
      <c r="T26" s="611">
        <v>0</v>
      </c>
      <c r="U26" s="619">
        <v>40.258230656252614</v>
      </c>
      <c r="V26" s="51"/>
    </row>
    <row r="27" spans="3:22" x14ac:dyDescent="0.25">
      <c r="C27" s="618" t="s">
        <v>352</v>
      </c>
      <c r="D27" s="611">
        <v>0</v>
      </c>
      <c r="E27" s="611">
        <v>0</v>
      </c>
      <c r="F27" s="611">
        <v>0</v>
      </c>
      <c r="G27" s="611">
        <v>-2.0156543247413854</v>
      </c>
      <c r="H27" s="611">
        <v>0</v>
      </c>
      <c r="I27" s="611">
        <v>0</v>
      </c>
      <c r="J27" s="611">
        <v>0</v>
      </c>
      <c r="K27" s="611">
        <v>0</v>
      </c>
      <c r="L27" s="611">
        <v>0</v>
      </c>
      <c r="M27" s="611">
        <v>0</v>
      </c>
      <c r="N27" s="611">
        <v>0</v>
      </c>
      <c r="O27" s="611">
        <v>0</v>
      </c>
      <c r="P27" s="611">
        <v>0</v>
      </c>
      <c r="Q27" s="611">
        <v>0</v>
      </c>
      <c r="R27" s="611">
        <v>0</v>
      </c>
      <c r="S27" s="611">
        <v>0</v>
      </c>
      <c r="T27" s="611">
        <v>2.6398301244345332</v>
      </c>
      <c r="U27" s="619">
        <v>0.62417579969314785</v>
      </c>
      <c r="V27" s="51"/>
    </row>
    <row r="28" spans="3:22" x14ac:dyDescent="0.25">
      <c r="C28" s="618" t="s">
        <v>73</v>
      </c>
      <c r="D28" s="611">
        <v>0</v>
      </c>
      <c r="E28" s="611">
        <v>0</v>
      </c>
      <c r="F28" s="611">
        <v>0</v>
      </c>
      <c r="G28" s="611">
        <v>0</v>
      </c>
      <c r="H28" s="611">
        <v>0</v>
      </c>
      <c r="I28" s="611">
        <v>0</v>
      </c>
      <c r="J28" s="611">
        <v>0</v>
      </c>
      <c r="K28" s="611">
        <v>0</v>
      </c>
      <c r="L28" s="611">
        <v>0</v>
      </c>
      <c r="M28" s="611">
        <v>0</v>
      </c>
      <c r="N28" s="611">
        <v>0</v>
      </c>
      <c r="O28" s="611">
        <v>0</v>
      </c>
      <c r="P28" s="611">
        <v>0</v>
      </c>
      <c r="Q28" s="611">
        <v>0</v>
      </c>
      <c r="R28" s="611">
        <v>14.763935391852707</v>
      </c>
      <c r="S28" s="611">
        <v>0</v>
      </c>
      <c r="T28" s="611">
        <v>-9.59655800470426</v>
      </c>
      <c r="U28" s="619">
        <v>5.1673773871484467</v>
      </c>
      <c r="V28" s="51"/>
    </row>
    <row r="29" spans="3:22" x14ac:dyDescent="0.25">
      <c r="C29" s="618" t="s">
        <v>353</v>
      </c>
      <c r="D29" s="611">
        <v>14.423464335937501</v>
      </c>
      <c r="E29" s="611">
        <v>-14.831047753358636</v>
      </c>
      <c r="F29" s="611">
        <v>19.300366292147253</v>
      </c>
      <c r="G29" s="611">
        <v>0</v>
      </c>
      <c r="H29" s="611">
        <v>0</v>
      </c>
      <c r="I29" s="611">
        <v>0</v>
      </c>
      <c r="J29" s="611">
        <v>0</v>
      </c>
      <c r="K29" s="611">
        <v>0</v>
      </c>
      <c r="L29" s="611">
        <v>0</v>
      </c>
      <c r="M29" s="611">
        <v>0</v>
      </c>
      <c r="N29" s="611">
        <v>0</v>
      </c>
      <c r="O29" s="611">
        <v>0</v>
      </c>
      <c r="P29" s="611">
        <v>0</v>
      </c>
      <c r="Q29" s="611">
        <v>0</v>
      </c>
      <c r="R29" s="611">
        <v>0</v>
      </c>
      <c r="S29" s="611">
        <v>0</v>
      </c>
      <c r="T29" s="611">
        <v>0</v>
      </c>
      <c r="U29" s="619">
        <v>18.892782874726116</v>
      </c>
      <c r="V29" s="51"/>
    </row>
    <row r="30" spans="3:22" x14ac:dyDescent="0.25">
      <c r="C30" s="618" t="s">
        <v>75</v>
      </c>
      <c r="D30" s="611">
        <v>5.609125019531251</v>
      </c>
      <c r="E30" s="611">
        <v>0</v>
      </c>
      <c r="F30" s="611">
        <v>14.541080175745211</v>
      </c>
      <c r="G30" s="611">
        <v>0</v>
      </c>
      <c r="H30" s="611">
        <v>4.7384633059767616</v>
      </c>
      <c r="I30" s="611">
        <v>0</v>
      </c>
      <c r="J30" s="611">
        <v>0</v>
      </c>
      <c r="K30" s="611">
        <v>0</v>
      </c>
      <c r="L30" s="611">
        <v>0</v>
      </c>
      <c r="M30" s="611">
        <v>0</v>
      </c>
      <c r="N30" s="611">
        <v>0</v>
      </c>
      <c r="O30" s="611">
        <v>0.83619940693707562</v>
      </c>
      <c r="P30" s="611">
        <v>0</v>
      </c>
      <c r="Q30" s="611">
        <v>0</v>
      </c>
      <c r="R30" s="611">
        <v>56.456567554456434</v>
      </c>
      <c r="S30" s="611">
        <v>0</v>
      </c>
      <c r="T30" s="611">
        <v>0</v>
      </c>
      <c r="U30" s="619">
        <v>82.181435462646732</v>
      </c>
      <c r="V30" s="51"/>
    </row>
    <row r="31" spans="3:22" x14ac:dyDescent="0.25">
      <c r="C31" s="618" t="s">
        <v>76</v>
      </c>
      <c r="D31" s="611">
        <v>0</v>
      </c>
      <c r="E31" s="611">
        <v>0</v>
      </c>
      <c r="F31" s="611">
        <v>0</v>
      </c>
      <c r="G31" s="611">
        <v>0</v>
      </c>
      <c r="H31" s="611">
        <v>3.3733031885990123</v>
      </c>
      <c r="I31" s="611">
        <v>0</v>
      </c>
      <c r="J31" s="611">
        <v>0</v>
      </c>
      <c r="K31" s="611">
        <v>0</v>
      </c>
      <c r="L31" s="611">
        <v>0</v>
      </c>
      <c r="M31" s="611">
        <v>0</v>
      </c>
      <c r="N31" s="611">
        <v>0</v>
      </c>
      <c r="O31" s="611">
        <v>0.595288797988061</v>
      </c>
      <c r="P31" s="611">
        <v>0</v>
      </c>
      <c r="Q31" s="611">
        <v>0</v>
      </c>
      <c r="R31" s="611">
        <v>45.508769621740818</v>
      </c>
      <c r="S31" s="611">
        <v>5.637019848102371</v>
      </c>
      <c r="T31" s="611">
        <v>0</v>
      </c>
      <c r="U31" s="619">
        <v>55.114381456430259</v>
      </c>
      <c r="V31" s="51"/>
    </row>
    <row r="32" spans="3:22" x14ac:dyDescent="0.25">
      <c r="C32" s="614" t="s">
        <v>77</v>
      </c>
      <c r="D32" s="615">
        <v>20.032589355468751</v>
      </c>
      <c r="E32" s="615">
        <v>407.50205119797647</v>
      </c>
      <c r="F32" s="615">
        <v>-383.50939450701696</v>
      </c>
      <c r="G32" s="615">
        <v>-2.0156543247413854</v>
      </c>
      <c r="H32" s="615">
        <v>74.208567002013865</v>
      </c>
      <c r="I32" s="615">
        <v>-0.72771393398955631</v>
      </c>
      <c r="J32" s="615">
        <v>1159.7098545454546</v>
      </c>
      <c r="K32" s="615">
        <v>206.22767049205902</v>
      </c>
      <c r="L32" s="615">
        <v>247.65394594418083</v>
      </c>
      <c r="M32" s="615">
        <v>16.588863583156023</v>
      </c>
      <c r="N32" s="615">
        <v>-44.793246664529057</v>
      </c>
      <c r="O32" s="615">
        <v>-39.893547455011564</v>
      </c>
      <c r="P32" s="615">
        <v>0</v>
      </c>
      <c r="Q32" s="615">
        <v>7.6310920855978708</v>
      </c>
      <c r="R32" s="615">
        <v>-537.52347030250974</v>
      </c>
      <c r="S32" s="615">
        <v>-67.051705206623893</v>
      </c>
      <c r="T32" s="615">
        <v>-5.9460140830620096</v>
      </c>
      <c r="U32" s="615">
        <v>1019.3304991425766</v>
      </c>
      <c r="V32" s="51"/>
    </row>
    <row r="33" spans="3:22" x14ac:dyDescent="0.25">
      <c r="C33" s="616"/>
      <c r="D33" s="617"/>
      <c r="E33" s="617"/>
      <c r="F33" s="617"/>
      <c r="G33" s="617"/>
      <c r="H33" s="623"/>
      <c r="I33" s="617"/>
      <c r="J33" s="617"/>
      <c r="K33" s="617"/>
      <c r="L33" s="617"/>
      <c r="M33" s="617"/>
      <c r="N33" s="685"/>
      <c r="O33" s="686">
        <v>84.751497812873296</v>
      </c>
      <c r="P33" s="617"/>
      <c r="Q33" s="617"/>
      <c r="R33" s="617"/>
      <c r="S33" s="617"/>
      <c r="T33" s="617"/>
      <c r="U33" s="617"/>
      <c r="V33" s="51"/>
    </row>
    <row r="34" spans="3:22" x14ac:dyDescent="0.25">
      <c r="C34" s="618" t="s">
        <v>78</v>
      </c>
      <c r="D34" s="611">
        <v>3.3758020597581235</v>
      </c>
      <c r="E34" s="611">
        <v>0</v>
      </c>
      <c r="F34" s="611">
        <v>12.950442965803651</v>
      </c>
      <c r="G34" s="611">
        <v>0</v>
      </c>
      <c r="H34" s="611">
        <v>80.47134477164488</v>
      </c>
      <c r="I34" s="611">
        <v>0</v>
      </c>
      <c r="J34" s="611">
        <v>0</v>
      </c>
      <c r="K34" s="611">
        <v>0</v>
      </c>
      <c r="L34" s="611">
        <v>21.324114250752451</v>
      </c>
      <c r="M34" s="611">
        <v>7.2915559072262504</v>
      </c>
      <c r="N34" s="611">
        <v>1.0929506417768975</v>
      </c>
      <c r="O34" s="611">
        <v>14.228192484483269</v>
      </c>
      <c r="P34" s="611">
        <v>5.4360292968749997</v>
      </c>
      <c r="Q34" s="611">
        <v>5.5791983277925228E-4</v>
      </c>
      <c r="R34" s="611">
        <v>150.98087036591164</v>
      </c>
      <c r="S34" s="611">
        <v>19.403042568185512</v>
      </c>
      <c r="T34" s="611">
        <v>3.5524582519531251</v>
      </c>
      <c r="U34" s="619">
        <v>320.10736148420358</v>
      </c>
      <c r="V34" s="51"/>
    </row>
    <row r="35" spans="3:22" x14ac:dyDescent="0.25">
      <c r="C35" s="618" t="s">
        <v>79</v>
      </c>
      <c r="D35" s="611">
        <v>0</v>
      </c>
      <c r="E35" s="611">
        <v>0</v>
      </c>
      <c r="F35" s="611">
        <v>316.65258451410631</v>
      </c>
      <c r="G35" s="611">
        <v>0.21178247693223418</v>
      </c>
      <c r="H35" s="611">
        <v>5.6309983287714074</v>
      </c>
      <c r="I35" s="611">
        <v>0</v>
      </c>
      <c r="J35" s="611">
        <v>0</v>
      </c>
      <c r="K35" s="611">
        <v>0</v>
      </c>
      <c r="L35" s="611">
        <v>0</v>
      </c>
      <c r="M35" s="611">
        <v>0</v>
      </c>
      <c r="N35" s="611">
        <v>37.755477147774521</v>
      </c>
      <c r="O35" s="611">
        <v>0.99370558743024839</v>
      </c>
      <c r="P35" s="611">
        <v>0</v>
      </c>
      <c r="Q35" s="611">
        <v>0</v>
      </c>
      <c r="R35" s="611">
        <v>33.627467612150312</v>
      </c>
      <c r="S35" s="611">
        <v>0</v>
      </c>
      <c r="T35" s="611">
        <v>0.96605492902811552</v>
      </c>
      <c r="U35" s="619">
        <v>395.83807059619318</v>
      </c>
      <c r="V35" s="51"/>
    </row>
    <row r="36" spans="3:22" x14ac:dyDescent="0.25">
      <c r="C36" s="618" t="s">
        <v>80</v>
      </c>
      <c r="D36" s="611">
        <v>0</v>
      </c>
      <c r="E36" s="611">
        <v>0</v>
      </c>
      <c r="F36" s="611">
        <v>7.2867356885620511</v>
      </c>
      <c r="G36" s="611">
        <v>0</v>
      </c>
      <c r="H36" s="611">
        <v>75.839382204098968</v>
      </c>
      <c r="I36" s="611">
        <v>0</v>
      </c>
      <c r="J36" s="611">
        <v>0</v>
      </c>
      <c r="K36" s="611">
        <v>0</v>
      </c>
      <c r="L36" s="611">
        <v>57.151968272420838</v>
      </c>
      <c r="M36" s="611">
        <v>0</v>
      </c>
      <c r="N36" s="611">
        <v>0</v>
      </c>
      <c r="O36" s="611">
        <v>13.383420388958641</v>
      </c>
      <c r="P36" s="611">
        <v>66.200613422091479</v>
      </c>
      <c r="Q36" s="611">
        <v>1.8319270167538462</v>
      </c>
      <c r="R36" s="611">
        <v>166.53377911541864</v>
      </c>
      <c r="S36" s="611">
        <v>29.518394181597426</v>
      </c>
      <c r="T36" s="611">
        <v>0</v>
      </c>
      <c r="U36" s="619">
        <v>417.74622028990188</v>
      </c>
      <c r="V36" s="51"/>
    </row>
    <row r="37" spans="3:22" x14ac:dyDescent="0.25">
      <c r="C37" s="618" t="s">
        <v>81</v>
      </c>
      <c r="D37" s="611">
        <v>0</v>
      </c>
      <c r="E37" s="611">
        <v>0</v>
      </c>
      <c r="F37" s="611">
        <v>3.8458130396730921</v>
      </c>
      <c r="G37" s="611">
        <v>0</v>
      </c>
      <c r="H37" s="611">
        <v>45.397072959881058</v>
      </c>
      <c r="I37" s="611">
        <v>0</v>
      </c>
      <c r="J37" s="611">
        <v>0</v>
      </c>
      <c r="K37" s="611">
        <v>0</v>
      </c>
      <c r="L37" s="611">
        <v>0.65</v>
      </c>
      <c r="M37" s="611">
        <v>0</v>
      </c>
      <c r="N37" s="611">
        <v>0</v>
      </c>
      <c r="O37" s="611">
        <v>8.0112481693907753</v>
      </c>
      <c r="P37" s="611">
        <v>30.867723997117462</v>
      </c>
      <c r="Q37" s="611">
        <v>2.641744563232169</v>
      </c>
      <c r="R37" s="611">
        <v>119.27093147176694</v>
      </c>
      <c r="S37" s="611">
        <v>18.130268456840959</v>
      </c>
      <c r="T37" s="611">
        <v>0</v>
      </c>
      <c r="U37" s="619">
        <v>228.81480265790245</v>
      </c>
      <c r="V37" s="51"/>
    </row>
    <row r="38" spans="3:22" x14ac:dyDescent="0.25">
      <c r="C38" s="618" t="s">
        <v>82</v>
      </c>
      <c r="D38" s="611">
        <v>0</v>
      </c>
      <c r="E38" s="611">
        <v>0</v>
      </c>
      <c r="F38" s="611">
        <v>30.333744297384268</v>
      </c>
      <c r="G38" s="611">
        <v>0</v>
      </c>
      <c r="H38" s="611">
        <v>1.844061040391644</v>
      </c>
      <c r="I38" s="611">
        <v>0</v>
      </c>
      <c r="J38" s="611">
        <v>0</v>
      </c>
      <c r="K38" s="611">
        <v>0</v>
      </c>
      <c r="L38" s="611">
        <v>2</v>
      </c>
      <c r="M38" s="611">
        <v>0</v>
      </c>
      <c r="N38" s="611">
        <v>4.8320928703991264</v>
      </c>
      <c r="O38" s="611">
        <v>0.32542253653970188</v>
      </c>
      <c r="P38" s="611">
        <v>0.5</v>
      </c>
      <c r="Q38" s="611">
        <v>0.62518456969816016</v>
      </c>
      <c r="R38" s="611">
        <v>7.0694372339436615</v>
      </c>
      <c r="S38" s="611">
        <v>0</v>
      </c>
      <c r="T38" s="611">
        <v>0.17366238047171115</v>
      </c>
      <c r="U38" s="619">
        <v>47.703604928828284</v>
      </c>
      <c r="V38" s="51"/>
    </row>
    <row r="39" spans="3:22" x14ac:dyDescent="0.25">
      <c r="C39" s="618" t="s">
        <v>354</v>
      </c>
      <c r="D39" s="611">
        <v>0</v>
      </c>
      <c r="E39" s="611">
        <v>0</v>
      </c>
      <c r="F39" s="611">
        <v>0</v>
      </c>
      <c r="G39" s="611">
        <v>0</v>
      </c>
      <c r="H39" s="611">
        <v>0</v>
      </c>
      <c r="I39" s="611">
        <v>0</v>
      </c>
      <c r="J39" s="611">
        <v>0</v>
      </c>
      <c r="K39" s="611">
        <v>0</v>
      </c>
      <c r="L39" s="611">
        <v>0</v>
      </c>
      <c r="M39" s="611">
        <v>0</v>
      </c>
      <c r="N39" s="611">
        <v>0</v>
      </c>
      <c r="O39" s="611">
        <v>0</v>
      </c>
      <c r="P39" s="611">
        <v>0</v>
      </c>
      <c r="Q39" s="611">
        <v>0</v>
      </c>
      <c r="R39" s="611">
        <v>0</v>
      </c>
      <c r="S39" s="611">
        <v>0</v>
      </c>
      <c r="T39" s="611">
        <v>0</v>
      </c>
      <c r="U39" s="619">
        <v>0</v>
      </c>
      <c r="V39" s="51"/>
    </row>
    <row r="40" spans="3:22" x14ac:dyDescent="0.25">
      <c r="C40" s="614" t="s">
        <v>83</v>
      </c>
      <c r="D40" s="615">
        <v>3.3758020597581235</v>
      </c>
      <c r="E40" s="615">
        <v>0</v>
      </c>
      <c r="F40" s="615">
        <v>371.06932050552933</v>
      </c>
      <c r="G40" s="615">
        <v>0.21178247693223418</v>
      </c>
      <c r="H40" s="615">
        <v>209.18285930478797</v>
      </c>
      <c r="I40" s="615">
        <v>0</v>
      </c>
      <c r="J40" s="615">
        <v>0</v>
      </c>
      <c r="K40" s="615">
        <v>0</v>
      </c>
      <c r="L40" s="615">
        <v>81.126082523173295</v>
      </c>
      <c r="M40" s="615">
        <v>7.2915559072262504</v>
      </c>
      <c r="N40" s="615">
        <v>43.680520659950545</v>
      </c>
      <c r="O40" s="615">
        <v>36.941989166802642</v>
      </c>
      <c r="P40" s="615">
        <v>103.00436671608395</v>
      </c>
      <c r="Q40" s="615">
        <v>5.0994140695169552</v>
      </c>
      <c r="R40" s="615">
        <v>477.48248579919124</v>
      </c>
      <c r="S40" s="615">
        <v>67.051705206623893</v>
      </c>
      <c r="T40" s="615">
        <v>4.6921755614529523</v>
      </c>
      <c r="U40" s="615">
        <v>1410.2100599570294</v>
      </c>
      <c r="V40" s="51"/>
    </row>
    <row r="41" spans="3:22" x14ac:dyDescent="0.25">
      <c r="C41" s="610" t="s">
        <v>84</v>
      </c>
      <c r="D41" s="611">
        <v>0</v>
      </c>
      <c r="E41" s="611">
        <v>0</v>
      </c>
      <c r="F41" s="611">
        <v>126.95463683256074</v>
      </c>
      <c r="G41" s="611">
        <v>1.4249424560491393</v>
      </c>
      <c r="H41" s="611">
        <v>13.544705953911897</v>
      </c>
      <c r="I41" s="611">
        <v>0</v>
      </c>
      <c r="J41" s="611">
        <v>0</v>
      </c>
      <c r="K41" s="611">
        <v>0</v>
      </c>
      <c r="L41" s="611">
        <v>0.11811085902414258</v>
      </c>
      <c r="M41" s="611">
        <v>0</v>
      </c>
      <c r="N41" s="611">
        <v>1.5272647102159218</v>
      </c>
      <c r="O41" s="611">
        <v>2.0363529469545623</v>
      </c>
      <c r="P41" s="611">
        <v>0</v>
      </c>
      <c r="Q41" s="611">
        <v>0</v>
      </c>
      <c r="R41" s="611">
        <v>0</v>
      </c>
      <c r="S41" s="611">
        <v>0</v>
      </c>
      <c r="T41" s="611">
        <v>1.1221461296081543</v>
      </c>
      <c r="U41" s="619">
        <v>146.72815988832454</v>
      </c>
      <c r="V41" s="51"/>
    </row>
    <row r="42" spans="3:22" x14ac:dyDescent="0.25">
      <c r="C42" s="614" t="s">
        <v>85</v>
      </c>
      <c r="D42" s="615">
        <v>3.3758020597581235</v>
      </c>
      <c r="E42" s="615">
        <v>0</v>
      </c>
      <c r="F42" s="615">
        <v>498.0239573380901</v>
      </c>
      <c r="G42" s="615">
        <v>1.6367249329813736</v>
      </c>
      <c r="H42" s="615">
        <v>222.72756525869985</v>
      </c>
      <c r="I42" s="615">
        <v>0</v>
      </c>
      <c r="J42" s="615">
        <v>0</v>
      </c>
      <c r="K42" s="615">
        <v>0</v>
      </c>
      <c r="L42" s="615">
        <v>81.244193382197437</v>
      </c>
      <c r="M42" s="615">
        <v>7.2915559072262504</v>
      </c>
      <c r="N42" s="615">
        <v>45.207785370166469</v>
      </c>
      <c r="O42" s="615">
        <v>38.978342113757208</v>
      </c>
      <c r="P42" s="615">
        <v>103.00436671608395</v>
      </c>
      <c r="Q42" s="615">
        <v>5.0994140695169552</v>
      </c>
      <c r="R42" s="615">
        <v>477.48248579919124</v>
      </c>
      <c r="S42" s="615">
        <v>67.051705206623893</v>
      </c>
      <c r="T42" s="615">
        <v>5.8143216910611066</v>
      </c>
      <c r="U42" s="615">
        <v>1556.9382198453541</v>
      </c>
      <c r="V42" s="51"/>
    </row>
    <row r="43" spans="3:22" x14ac:dyDescent="0.25">
      <c r="C43" s="51"/>
      <c r="D43" s="67">
        <v>0</v>
      </c>
      <c r="E43" s="67">
        <v>0</v>
      </c>
      <c r="F43" s="67">
        <v>0</v>
      </c>
      <c r="G43" s="67">
        <v>0</v>
      </c>
      <c r="H43" s="67">
        <v>0</v>
      </c>
      <c r="I43" s="67">
        <v>0</v>
      </c>
      <c r="J43" s="67">
        <v>0</v>
      </c>
      <c r="K43" s="67">
        <v>0</v>
      </c>
      <c r="L43" s="67">
        <v>0</v>
      </c>
      <c r="M43" s="67">
        <v>-5.3454570882038865E-4</v>
      </c>
      <c r="N43" s="67">
        <v>0</v>
      </c>
      <c r="O43" s="67">
        <v>1.1324274851176597E-14</v>
      </c>
      <c r="P43" s="67">
        <v>0</v>
      </c>
      <c r="Q43" s="67">
        <v>0</v>
      </c>
      <c r="R43" s="67">
        <v>5.6843418860808015E-14</v>
      </c>
      <c r="S43" s="67">
        <v>0</v>
      </c>
      <c r="T43" s="67">
        <v>0</v>
      </c>
      <c r="U43" s="67">
        <v>-5.3454570888789021E-4</v>
      </c>
      <c r="V43" s="51"/>
    </row>
    <row r="44" spans="3:22" x14ac:dyDescent="0.25">
      <c r="C44" s="51"/>
      <c r="D44" s="51"/>
      <c r="E44" s="51"/>
      <c r="F44" s="51"/>
      <c r="G44" s="67"/>
      <c r="H44" s="51"/>
      <c r="I44" s="51"/>
      <c r="J44" s="51"/>
      <c r="K44" s="51"/>
      <c r="L44" s="51"/>
      <c r="M44" s="51"/>
      <c r="N44" s="51"/>
      <c r="O44" s="51"/>
      <c r="P44" s="51"/>
      <c r="Q44" s="51"/>
      <c r="R44" s="51"/>
      <c r="S44" s="51"/>
      <c r="T44" s="51"/>
      <c r="U44" s="51"/>
      <c r="V44" s="51"/>
    </row>
    <row r="45" spans="3:22" x14ac:dyDescent="0.25">
      <c r="C45" s="607" t="s">
        <v>357</v>
      </c>
      <c r="D45" s="606"/>
      <c r="E45" s="606"/>
      <c r="F45" s="606"/>
      <c r="G45" s="682"/>
      <c r="H45" s="606"/>
      <c r="I45" s="606"/>
      <c r="J45" s="606"/>
      <c r="K45" s="606"/>
      <c r="L45" s="606"/>
      <c r="M45" s="606"/>
      <c r="N45" s="606"/>
      <c r="O45" s="606"/>
      <c r="P45" s="606"/>
      <c r="Q45" s="606"/>
      <c r="R45" s="606"/>
      <c r="S45" s="606"/>
      <c r="T45" s="606"/>
      <c r="U45" s="606"/>
      <c r="V45" s="606"/>
    </row>
    <row r="46" spans="3:22" x14ac:dyDescent="0.25">
      <c r="C46" s="51"/>
      <c r="D46" s="51"/>
      <c r="E46" s="51"/>
      <c r="F46" s="51"/>
      <c r="G46" s="67"/>
      <c r="H46" s="51"/>
      <c r="I46" s="51"/>
      <c r="J46" s="51"/>
      <c r="K46" s="51"/>
      <c r="L46" s="51"/>
      <c r="M46" s="51"/>
      <c r="N46" s="51"/>
      <c r="O46" s="51"/>
      <c r="P46" s="51"/>
      <c r="Q46" s="51"/>
      <c r="R46" s="51"/>
      <c r="S46" s="51"/>
      <c r="T46" s="51"/>
      <c r="U46" s="51"/>
      <c r="V46" s="51"/>
    </row>
    <row r="47" spans="3:22" x14ac:dyDescent="0.25">
      <c r="C47" s="764" t="s">
        <v>128</v>
      </c>
      <c r="D47" s="753" t="s">
        <v>42</v>
      </c>
      <c r="E47" s="753" t="s">
        <v>52</v>
      </c>
      <c r="F47" s="753" t="s">
        <v>53</v>
      </c>
      <c r="G47" s="766" t="s">
        <v>482</v>
      </c>
      <c r="H47" s="753" t="s">
        <v>32</v>
      </c>
      <c r="I47" s="753" t="s">
        <v>483</v>
      </c>
      <c r="J47" s="753" t="s">
        <v>20</v>
      </c>
      <c r="K47" s="753" t="s">
        <v>55</v>
      </c>
      <c r="L47" s="761" t="s">
        <v>56</v>
      </c>
      <c r="M47" s="762"/>
      <c r="N47" s="762"/>
      <c r="O47" s="762"/>
      <c r="P47" s="762"/>
      <c r="Q47" s="763"/>
      <c r="R47" s="753" t="s">
        <v>57</v>
      </c>
      <c r="S47" s="753" t="s">
        <v>58</v>
      </c>
      <c r="T47" s="753" t="s">
        <v>31</v>
      </c>
      <c r="U47" s="753" t="s">
        <v>10</v>
      </c>
      <c r="V47" s="51"/>
    </row>
    <row r="48" spans="3:22" ht="36" x14ac:dyDescent="0.25">
      <c r="C48" s="765"/>
      <c r="D48" s="754"/>
      <c r="E48" s="754"/>
      <c r="F48" s="754"/>
      <c r="G48" s="767"/>
      <c r="H48" s="754"/>
      <c r="I48" s="754"/>
      <c r="J48" s="754"/>
      <c r="K48" s="754"/>
      <c r="L48" s="608" t="s">
        <v>335</v>
      </c>
      <c r="M48" s="608" t="s">
        <v>40</v>
      </c>
      <c r="N48" s="608" t="s">
        <v>343</v>
      </c>
      <c r="O48" s="608" t="s">
        <v>344</v>
      </c>
      <c r="P48" s="609" t="s">
        <v>345</v>
      </c>
      <c r="Q48" s="608" t="s">
        <v>346</v>
      </c>
      <c r="R48" s="754"/>
      <c r="S48" s="754"/>
      <c r="T48" s="754"/>
      <c r="U48" s="754"/>
      <c r="V48" s="51"/>
    </row>
    <row r="49" spans="3:22" x14ac:dyDescent="0.25">
      <c r="C49" s="610" t="s">
        <v>59</v>
      </c>
      <c r="D49" s="611">
        <v>0</v>
      </c>
      <c r="E49" s="611">
        <v>7.3966799999999999</v>
      </c>
      <c r="F49" s="611">
        <v>0</v>
      </c>
      <c r="G49" s="611">
        <v>0</v>
      </c>
      <c r="H49" s="611">
        <v>0.13025600000000001</v>
      </c>
      <c r="I49" s="611">
        <v>0</v>
      </c>
      <c r="J49" s="612">
        <v>1149.5641818181819</v>
      </c>
      <c r="K49" s="612">
        <v>271.86081401905926</v>
      </c>
      <c r="L49" s="612">
        <v>340.9855459340954</v>
      </c>
      <c r="M49" s="612">
        <v>22.299860098650736</v>
      </c>
      <c r="N49" s="611">
        <v>1.4753548538560814</v>
      </c>
      <c r="O49" s="611">
        <v>0.15089220372740705</v>
      </c>
      <c r="P49" s="612">
        <v>124.26113436397709</v>
      </c>
      <c r="Q49" s="612">
        <v>16.54082734098899</v>
      </c>
      <c r="R49" s="611">
        <v>0</v>
      </c>
      <c r="S49" s="611">
        <v>0</v>
      </c>
      <c r="T49" s="611">
        <v>0</v>
      </c>
      <c r="U49" s="613">
        <v>1934.6655466325367</v>
      </c>
      <c r="V49" s="51"/>
    </row>
    <row r="50" spans="3:22" x14ac:dyDescent="0.25">
      <c r="C50" s="610" t="s">
        <v>60</v>
      </c>
      <c r="D50" s="611">
        <v>18.28715345037487</v>
      </c>
      <c r="E50" s="611">
        <v>349.70303524729923</v>
      </c>
      <c r="F50" s="611">
        <v>131.18201763584051</v>
      </c>
      <c r="G50" s="611">
        <v>0.50033179368683367</v>
      </c>
      <c r="H50" s="611">
        <v>229.42495745873748</v>
      </c>
      <c r="I50" s="611">
        <v>0</v>
      </c>
      <c r="J50" s="611">
        <v>0</v>
      </c>
      <c r="K50" s="611">
        <v>0</v>
      </c>
      <c r="L50" s="611">
        <v>3.0227324829465219</v>
      </c>
      <c r="M50" s="611">
        <v>0</v>
      </c>
      <c r="N50" s="611">
        <v>4.0455454459272309</v>
      </c>
      <c r="O50" s="611">
        <v>0</v>
      </c>
      <c r="P50" s="611">
        <v>0</v>
      </c>
      <c r="Q50" s="611">
        <v>0</v>
      </c>
      <c r="R50" s="611">
        <v>0</v>
      </c>
      <c r="S50" s="611">
        <v>0</v>
      </c>
      <c r="T50" s="611">
        <v>0</v>
      </c>
      <c r="U50" s="613">
        <v>736.16577351481271</v>
      </c>
      <c r="V50" s="51"/>
    </row>
    <row r="51" spans="3:22" x14ac:dyDescent="0.25">
      <c r="C51" s="610" t="s">
        <v>61</v>
      </c>
      <c r="D51" s="611">
        <v>0</v>
      </c>
      <c r="E51" s="611">
        <v>0</v>
      </c>
      <c r="F51" s="611">
        <v>4.2105906375360576</v>
      </c>
      <c r="G51" s="611">
        <v>0</v>
      </c>
      <c r="H51" s="611">
        <v>0</v>
      </c>
      <c r="I51" s="611">
        <v>0</v>
      </c>
      <c r="J51" s="611">
        <v>0</v>
      </c>
      <c r="K51" s="611">
        <v>0</v>
      </c>
      <c r="L51" s="611">
        <v>0</v>
      </c>
      <c r="M51" s="611">
        <v>0</v>
      </c>
      <c r="N51" s="611">
        <v>0</v>
      </c>
      <c r="O51" s="611">
        <v>0</v>
      </c>
      <c r="P51" s="611">
        <v>0</v>
      </c>
      <c r="Q51" s="611">
        <v>0</v>
      </c>
      <c r="R51" s="611">
        <v>-64.694612145471979</v>
      </c>
      <c r="S51" s="611">
        <v>0</v>
      </c>
      <c r="T51" s="611">
        <v>0</v>
      </c>
      <c r="U51" s="613">
        <v>-60.484021507935921</v>
      </c>
      <c r="V51" s="51"/>
    </row>
    <row r="52" spans="3:22" x14ac:dyDescent="0.25">
      <c r="C52" s="610" t="s">
        <v>62</v>
      </c>
      <c r="D52" s="611">
        <v>0</v>
      </c>
      <c r="E52" s="611">
        <v>0</v>
      </c>
      <c r="F52" s="611">
        <v>-10.861999753071151</v>
      </c>
      <c r="G52" s="611">
        <v>-1.2717233399442811</v>
      </c>
      <c r="H52" s="611">
        <v>-1.650726997595853</v>
      </c>
      <c r="I52" s="611">
        <v>-1.5305667943868051</v>
      </c>
      <c r="J52" s="611">
        <v>0</v>
      </c>
      <c r="K52" s="611">
        <v>0</v>
      </c>
      <c r="L52" s="611">
        <v>0</v>
      </c>
      <c r="M52" s="611">
        <v>0</v>
      </c>
      <c r="N52" s="611">
        <v>-0.98510206600536243</v>
      </c>
      <c r="O52" s="611">
        <v>-1.4330596123235</v>
      </c>
      <c r="P52" s="611">
        <v>0</v>
      </c>
      <c r="Q52" s="611">
        <v>0</v>
      </c>
      <c r="R52" s="611">
        <v>0</v>
      </c>
      <c r="S52" s="611">
        <v>0</v>
      </c>
      <c r="T52" s="611">
        <v>-0.44287904354910901</v>
      </c>
      <c r="U52" s="613">
        <v>-18.176057606876064</v>
      </c>
      <c r="V52" s="51"/>
    </row>
    <row r="53" spans="3:22" x14ac:dyDescent="0.25">
      <c r="C53" s="610" t="s">
        <v>63</v>
      </c>
      <c r="D53" s="611">
        <v>0</v>
      </c>
      <c r="E53" s="611">
        <v>0</v>
      </c>
      <c r="F53" s="611">
        <v>-60.506792439626352</v>
      </c>
      <c r="G53" s="611">
        <v>-2.4607230105111979</v>
      </c>
      <c r="H53" s="611">
        <v>0</v>
      </c>
      <c r="I53" s="611">
        <v>0</v>
      </c>
      <c r="J53" s="611">
        <v>0</v>
      </c>
      <c r="K53" s="611">
        <v>0</v>
      </c>
      <c r="L53" s="611">
        <v>0</v>
      </c>
      <c r="M53" s="611">
        <v>0</v>
      </c>
      <c r="N53" s="611">
        <v>-7.7408999922038042</v>
      </c>
      <c r="O53" s="611">
        <v>0</v>
      </c>
      <c r="P53" s="611">
        <v>0</v>
      </c>
      <c r="Q53" s="611">
        <v>0</v>
      </c>
      <c r="R53" s="611">
        <v>0</v>
      </c>
      <c r="S53" s="611">
        <v>0</v>
      </c>
      <c r="T53" s="611">
        <v>-0.3392769133758014</v>
      </c>
      <c r="U53" s="613">
        <v>-71.047692355717146</v>
      </c>
      <c r="V53" s="51"/>
    </row>
    <row r="54" spans="3:22" x14ac:dyDescent="0.25">
      <c r="C54" s="610" t="s">
        <v>64</v>
      </c>
      <c r="D54" s="611">
        <v>0</v>
      </c>
      <c r="E54" s="611">
        <v>0</v>
      </c>
      <c r="F54" s="611">
        <v>0</v>
      </c>
      <c r="G54" s="611">
        <v>0</v>
      </c>
      <c r="H54" s="611">
        <v>0</v>
      </c>
      <c r="I54" s="611">
        <v>0</v>
      </c>
      <c r="J54" s="611">
        <v>0</v>
      </c>
      <c r="K54" s="611">
        <v>0</v>
      </c>
      <c r="L54" s="611">
        <v>0</v>
      </c>
      <c r="M54" s="611">
        <v>0</v>
      </c>
      <c r="N54" s="611">
        <v>0</v>
      </c>
      <c r="O54" s="611">
        <v>0</v>
      </c>
      <c r="P54" s="611">
        <v>0</v>
      </c>
      <c r="Q54" s="611">
        <v>0</v>
      </c>
      <c r="R54" s="611">
        <v>0</v>
      </c>
      <c r="S54" s="611">
        <v>0</v>
      </c>
      <c r="T54" s="611">
        <v>0</v>
      </c>
      <c r="U54" s="613">
        <v>0</v>
      </c>
      <c r="V54" s="51"/>
    </row>
    <row r="55" spans="3:22" x14ac:dyDescent="0.25">
      <c r="C55" s="614" t="s">
        <v>65</v>
      </c>
      <c r="D55" s="615">
        <v>18.28715345037487</v>
      </c>
      <c r="E55" s="615">
        <v>357.09971524729923</v>
      </c>
      <c r="F55" s="615">
        <v>64.023816080679069</v>
      </c>
      <c r="G55" s="615">
        <v>-3.2321145567686456</v>
      </c>
      <c r="H55" s="615">
        <v>227.90448646114163</v>
      </c>
      <c r="I55" s="615">
        <v>-1.5305667943868051</v>
      </c>
      <c r="J55" s="615">
        <v>1149.5641818181819</v>
      </c>
      <c r="K55" s="615">
        <v>271.86081401905926</v>
      </c>
      <c r="L55" s="615">
        <v>344.00827841704194</v>
      </c>
      <c r="M55" s="615">
        <v>22.299860098650736</v>
      </c>
      <c r="N55" s="615">
        <v>-3.2051017584258545</v>
      </c>
      <c r="O55" s="615">
        <v>-1.282167408596093</v>
      </c>
      <c r="P55" s="615">
        <v>124.26113436397709</v>
      </c>
      <c r="Q55" s="615">
        <v>16.54082734098899</v>
      </c>
      <c r="R55" s="615">
        <v>-64.694612145471979</v>
      </c>
      <c r="S55" s="615">
        <v>0</v>
      </c>
      <c r="T55" s="615">
        <v>-0.78215595692491036</v>
      </c>
      <c r="U55" s="615">
        <v>2521.1235486768205</v>
      </c>
      <c r="V55" s="51"/>
    </row>
    <row r="56" spans="3:22" x14ac:dyDescent="0.25">
      <c r="C56" s="616"/>
      <c r="D56" s="617"/>
      <c r="E56" s="617"/>
      <c r="F56" s="617"/>
      <c r="G56" s="617"/>
      <c r="H56" s="623"/>
      <c r="I56" s="617"/>
      <c r="J56" s="617"/>
      <c r="K56" s="617"/>
      <c r="L56" s="617"/>
      <c r="M56" s="617"/>
      <c r="N56" s="617"/>
      <c r="O56" s="617"/>
      <c r="P56" s="617"/>
      <c r="Q56" s="617"/>
      <c r="R56" s="617"/>
      <c r="S56" s="617"/>
      <c r="T56" s="617"/>
      <c r="U56" s="617"/>
      <c r="V56" s="51"/>
    </row>
    <row r="57" spans="3:22" x14ac:dyDescent="0.25">
      <c r="C57" s="618" t="s">
        <v>67</v>
      </c>
      <c r="D57" s="611">
        <v>0</v>
      </c>
      <c r="E57" s="611">
        <v>0</v>
      </c>
      <c r="F57" s="611">
        <v>0</v>
      </c>
      <c r="G57" s="611">
        <v>0</v>
      </c>
      <c r="H57" s="611">
        <v>0</v>
      </c>
      <c r="I57" s="611">
        <v>0</v>
      </c>
      <c r="J57" s="611">
        <v>0</v>
      </c>
      <c r="K57" s="611">
        <v>0</v>
      </c>
      <c r="L57" s="611">
        <v>0</v>
      </c>
      <c r="M57" s="611">
        <v>0</v>
      </c>
      <c r="N57" s="611">
        <v>0</v>
      </c>
      <c r="O57" s="611">
        <v>0</v>
      </c>
      <c r="P57" s="611">
        <v>0</v>
      </c>
      <c r="Q57" s="611">
        <v>0</v>
      </c>
      <c r="R57" s="611">
        <v>0</v>
      </c>
      <c r="S57" s="611">
        <v>0</v>
      </c>
      <c r="T57" s="611">
        <v>0</v>
      </c>
      <c r="U57" s="619">
        <v>0</v>
      </c>
      <c r="V57" s="51"/>
    </row>
    <row r="58" spans="3:22" x14ac:dyDescent="0.25">
      <c r="C58" s="618" t="s">
        <v>347</v>
      </c>
      <c r="D58" s="611">
        <v>0</v>
      </c>
      <c r="E58" s="611">
        <v>0</v>
      </c>
      <c r="F58" s="611">
        <v>0.79278558393774012</v>
      </c>
      <c r="G58" s="611">
        <v>0</v>
      </c>
      <c r="H58" s="611">
        <v>39.527338676233185</v>
      </c>
      <c r="I58" s="611">
        <v>0</v>
      </c>
      <c r="J58" s="611">
        <v>1149.5641818181819</v>
      </c>
      <c r="K58" s="611">
        <v>271.86081401905926</v>
      </c>
      <c r="L58" s="611">
        <v>24.281645722742617</v>
      </c>
      <c r="M58" s="611">
        <v>0.5839400251691752</v>
      </c>
      <c r="N58" s="611">
        <v>4.7819832265678626</v>
      </c>
      <c r="O58" s="611">
        <v>10.613276143464974</v>
      </c>
      <c r="P58" s="611">
        <v>0</v>
      </c>
      <c r="Q58" s="611">
        <v>1.6766395861963883</v>
      </c>
      <c r="R58" s="611">
        <v>-716.26174271126808</v>
      </c>
      <c r="S58" s="611">
        <v>0</v>
      </c>
      <c r="T58" s="611">
        <v>0</v>
      </c>
      <c r="U58" s="619">
        <v>787.42086209028514</v>
      </c>
      <c r="V58" s="51"/>
    </row>
    <row r="59" spans="3:22" x14ac:dyDescent="0.25">
      <c r="C59" s="618" t="s">
        <v>348</v>
      </c>
      <c r="D59" s="611">
        <v>0</v>
      </c>
      <c r="E59" s="611">
        <v>0</v>
      </c>
      <c r="F59" s="611">
        <v>0</v>
      </c>
      <c r="G59" s="611">
        <v>0</v>
      </c>
      <c r="H59" s="611">
        <v>13.826141720513146</v>
      </c>
      <c r="I59" s="611">
        <v>0</v>
      </c>
      <c r="J59" s="611">
        <v>0</v>
      </c>
      <c r="K59" s="611">
        <v>0</v>
      </c>
      <c r="L59" s="611">
        <v>34.119427125451772</v>
      </c>
      <c r="M59" s="611">
        <v>14.48897225092947</v>
      </c>
      <c r="N59" s="611">
        <v>0</v>
      </c>
      <c r="O59" s="611">
        <v>4.1434435426951568</v>
      </c>
      <c r="P59" s="611">
        <v>0</v>
      </c>
      <c r="Q59" s="611">
        <v>9.1888101009468421</v>
      </c>
      <c r="R59" s="611">
        <v>0</v>
      </c>
      <c r="S59" s="611">
        <v>-69.315447914592554</v>
      </c>
      <c r="T59" s="611">
        <v>0</v>
      </c>
      <c r="U59" s="619">
        <v>6.4513468259438298</v>
      </c>
      <c r="V59" s="51"/>
    </row>
    <row r="60" spans="3:22" x14ac:dyDescent="0.25">
      <c r="C60" s="618" t="s">
        <v>349</v>
      </c>
      <c r="D60" s="611">
        <v>0</v>
      </c>
      <c r="E60" s="611">
        <v>0</v>
      </c>
      <c r="F60" s="611">
        <v>0</v>
      </c>
      <c r="G60" s="611">
        <v>0</v>
      </c>
      <c r="H60" s="611">
        <v>0</v>
      </c>
      <c r="I60" s="611">
        <v>0</v>
      </c>
      <c r="J60" s="611">
        <v>0</v>
      </c>
      <c r="K60" s="611">
        <v>0</v>
      </c>
      <c r="L60" s="611">
        <v>72.746177616513393</v>
      </c>
      <c r="M60" s="611">
        <v>0</v>
      </c>
      <c r="N60" s="611">
        <v>0</v>
      </c>
      <c r="O60" s="611">
        <v>-66.093448965783651</v>
      </c>
      <c r="P60" s="611">
        <v>0</v>
      </c>
      <c r="Q60" s="611">
        <v>0</v>
      </c>
      <c r="R60" s="611">
        <v>0</v>
      </c>
      <c r="S60" s="611">
        <v>0</v>
      </c>
      <c r="T60" s="611">
        <v>0</v>
      </c>
      <c r="U60" s="619">
        <v>6.6527286507297418</v>
      </c>
      <c r="V60" s="51"/>
    </row>
    <row r="61" spans="3:22" x14ac:dyDescent="0.25">
      <c r="C61" s="618" t="s">
        <v>350</v>
      </c>
      <c r="D61" s="611">
        <v>0</v>
      </c>
      <c r="E61" s="611">
        <v>0</v>
      </c>
      <c r="F61" s="611">
        <v>0</v>
      </c>
      <c r="G61" s="611">
        <v>0</v>
      </c>
      <c r="H61" s="611">
        <v>0</v>
      </c>
      <c r="I61" s="611">
        <v>-1.5305667943868051</v>
      </c>
      <c r="J61" s="611">
        <v>0</v>
      </c>
      <c r="K61" s="611">
        <v>0</v>
      </c>
      <c r="L61" s="611">
        <v>0</v>
      </c>
      <c r="M61" s="611">
        <v>0</v>
      </c>
      <c r="N61" s="611">
        <v>0</v>
      </c>
      <c r="O61" s="611">
        <v>0</v>
      </c>
      <c r="P61" s="611">
        <v>0</v>
      </c>
      <c r="Q61" s="611">
        <v>0</v>
      </c>
      <c r="R61" s="611">
        <v>0</v>
      </c>
      <c r="S61" s="611">
        <v>0</v>
      </c>
      <c r="T61" s="611">
        <v>2.1257872144261181</v>
      </c>
      <c r="U61" s="619">
        <v>0.59522042003931297</v>
      </c>
      <c r="V61" s="51"/>
    </row>
    <row r="62" spans="3:22" x14ac:dyDescent="0.25">
      <c r="C62" s="618" t="s">
        <v>72</v>
      </c>
      <c r="D62" s="611">
        <v>0</v>
      </c>
      <c r="E62" s="611">
        <v>370.08210545563031</v>
      </c>
      <c r="F62" s="611">
        <v>-366.39718123017576</v>
      </c>
      <c r="G62" s="611">
        <v>0</v>
      </c>
      <c r="H62" s="611">
        <v>0</v>
      </c>
      <c r="I62" s="611">
        <v>0</v>
      </c>
      <c r="J62" s="611">
        <v>0</v>
      </c>
      <c r="K62" s="611">
        <v>0</v>
      </c>
      <c r="L62" s="611">
        <v>0</v>
      </c>
      <c r="M62" s="611">
        <v>0</v>
      </c>
      <c r="N62" s="611">
        <v>0</v>
      </c>
      <c r="O62" s="611">
        <v>0</v>
      </c>
      <c r="P62" s="611">
        <v>0</v>
      </c>
      <c r="Q62" s="611">
        <v>0</v>
      </c>
      <c r="R62" s="611">
        <v>0</v>
      </c>
      <c r="S62" s="611">
        <v>0</v>
      </c>
      <c r="T62" s="611">
        <v>0</v>
      </c>
      <c r="U62" s="619">
        <v>3.6849242254545516</v>
      </c>
      <c r="V62" s="51"/>
    </row>
    <row r="63" spans="3:22" x14ac:dyDescent="0.25">
      <c r="C63" s="618" t="s">
        <v>351</v>
      </c>
      <c r="D63" s="611">
        <v>0</v>
      </c>
      <c r="E63" s="611">
        <v>0</v>
      </c>
      <c r="F63" s="611">
        <v>0</v>
      </c>
      <c r="G63" s="611">
        <v>0</v>
      </c>
      <c r="H63" s="611">
        <v>0</v>
      </c>
      <c r="I63" s="611">
        <v>0</v>
      </c>
      <c r="J63" s="611">
        <v>0</v>
      </c>
      <c r="K63" s="611">
        <v>0</v>
      </c>
      <c r="L63" s="611">
        <v>134.10005475855147</v>
      </c>
      <c r="M63" s="611">
        <v>0</v>
      </c>
      <c r="N63" s="611">
        <v>-73.755030117203319</v>
      </c>
      <c r="O63" s="611">
        <v>0</v>
      </c>
      <c r="P63" s="611">
        <v>0</v>
      </c>
      <c r="Q63" s="611">
        <v>0</v>
      </c>
      <c r="R63" s="611">
        <v>0</v>
      </c>
      <c r="S63" s="611">
        <v>0</v>
      </c>
      <c r="T63" s="611">
        <v>0</v>
      </c>
      <c r="U63" s="619">
        <v>60.345024641348147</v>
      </c>
      <c r="V63" s="51"/>
    </row>
    <row r="64" spans="3:22" x14ac:dyDescent="0.25">
      <c r="C64" s="618" t="s">
        <v>352</v>
      </c>
      <c r="D64" s="611">
        <v>0</v>
      </c>
      <c r="E64" s="611">
        <v>0</v>
      </c>
      <c r="F64" s="611">
        <v>0</v>
      </c>
      <c r="G64" s="611">
        <v>-5.329861681315144</v>
      </c>
      <c r="H64" s="611">
        <v>0</v>
      </c>
      <c r="I64" s="611">
        <v>0</v>
      </c>
      <c r="J64" s="611">
        <v>0</v>
      </c>
      <c r="K64" s="611">
        <v>0</v>
      </c>
      <c r="L64" s="611">
        <v>0</v>
      </c>
      <c r="M64" s="611">
        <v>0</v>
      </c>
      <c r="N64" s="611">
        <v>0</v>
      </c>
      <c r="O64" s="611">
        <v>0</v>
      </c>
      <c r="P64" s="611">
        <v>0</v>
      </c>
      <c r="Q64" s="611">
        <v>0</v>
      </c>
      <c r="R64" s="611">
        <v>0</v>
      </c>
      <c r="S64" s="611">
        <v>0</v>
      </c>
      <c r="T64" s="611">
        <v>6.9775871245462397</v>
      </c>
      <c r="U64" s="619">
        <v>1.6477254432310957</v>
      </c>
      <c r="V64" s="51"/>
    </row>
    <row r="65" spans="3:22" x14ac:dyDescent="0.25">
      <c r="C65" s="618" t="s">
        <v>73</v>
      </c>
      <c r="D65" s="611">
        <v>0</v>
      </c>
      <c r="E65" s="611">
        <v>0</v>
      </c>
      <c r="F65" s="611">
        <v>0</v>
      </c>
      <c r="G65" s="611">
        <v>0</v>
      </c>
      <c r="H65" s="611">
        <v>0</v>
      </c>
      <c r="I65" s="611">
        <v>0</v>
      </c>
      <c r="J65" s="611">
        <v>0</v>
      </c>
      <c r="K65" s="611">
        <v>0</v>
      </c>
      <c r="L65" s="611">
        <v>0</v>
      </c>
      <c r="M65" s="611">
        <v>0</v>
      </c>
      <c r="N65" s="611">
        <v>0</v>
      </c>
      <c r="O65" s="611">
        <v>0</v>
      </c>
      <c r="P65" s="611">
        <v>0</v>
      </c>
      <c r="Q65" s="611">
        <v>0</v>
      </c>
      <c r="R65" s="611">
        <v>42.069884379238346</v>
      </c>
      <c r="S65" s="611">
        <v>0</v>
      </c>
      <c r="T65" s="611">
        <v>-27.787158632486928</v>
      </c>
      <c r="U65" s="619">
        <v>14.282725746751417</v>
      </c>
      <c r="V65" s="51"/>
    </row>
    <row r="66" spans="3:22" x14ac:dyDescent="0.25">
      <c r="C66" s="618" t="s">
        <v>353</v>
      </c>
      <c r="D66" s="611">
        <v>10.559522109374999</v>
      </c>
      <c r="E66" s="611">
        <v>-12.982390208331097</v>
      </c>
      <c r="F66" s="611">
        <v>16.901350191946939</v>
      </c>
      <c r="G66" s="611">
        <v>0</v>
      </c>
      <c r="H66" s="611">
        <v>0</v>
      </c>
      <c r="I66" s="611">
        <v>0</v>
      </c>
      <c r="J66" s="611">
        <v>0</v>
      </c>
      <c r="K66" s="611">
        <v>0</v>
      </c>
      <c r="L66" s="611">
        <v>0</v>
      </c>
      <c r="M66" s="611">
        <v>0</v>
      </c>
      <c r="N66" s="611">
        <v>0</v>
      </c>
      <c r="O66" s="611">
        <v>0</v>
      </c>
      <c r="P66" s="611">
        <v>0</v>
      </c>
      <c r="Q66" s="611">
        <v>0</v>
      </c>
      <c r="R66" s="611">
        <v>0</v>
      </c>
      <c r="S66" s="611">
        <v>0</v>
      </c>
      <c r="T66" s="611">
        <v>0</v>
      </c>
      <c r="U66" s="619">
        <v>14.478482092990841</v>
      </c>
      <c r="V66" s="51"/>
    </row>
    <row r="67" spans="3:22" x14ac:dyDescent="0.25">
      <c r="C67" s="618" t="s">
        <v>75</v>
      </c>
      <c r="D67" s="611">
        <v>4.1064808203125001</v>
      </c>
      <c r="E67" s="611">
        <v>0</v>
      </c>
      <c r="F67" s="611">
        <v>12.729375657811177</v>
      </c>
      <c r="G67" s="611">
        <v>0</v>
      </c>
      <c r="H67" s="611">
        <v>4.2427950511099199</v>
      </c>
      <c r="I67" s="611">
        <v>0</v>
      </c>
      <c r="J67" s="611">
        <v>0</v>
      </c>
      <c r="K67" s="611">
        <v>0</v>
      </c>
      <c r="L67" s="611">
        <v>0</v>
      </c>
      <c r="M67" s="611">
        <v>0</v>
      </c>
      <c r="N67" s="611">
        <v>0</v>
      </c>
      <c r="O67" s="611">
        <v>1.210669024866841</v>
      </c>
      <c r="P67" s="611">
        <v>0</v>
      </c>
      <c r="Q67" s="611">
        <v>0</v>
      </c>
      <c r="R67" s="611">
        <v>59.039710702043344</v>
      </c>
      <c r="S67" s="611">
        <v>0</v>
      </c>
      <c r="T67" s="611">
        <v>0</v>
      </c>
      <c r="U67" s="619">
        <v>81.329031256143779</v>
      </c>
      <c r="V67" s="51"/>
    </row>
    <row r="68" spans="3:22" x14ac:dyDescent="0.25">
      <c r="C68" s="618" t="s">
        <v>76</v>
      </c>
      <c r="D68" s="611">
        <v>0</v>
      </c>
      <c r="E68" s="611">
        <v>0</v>
      </c>
      <c r="F68" s="611">
        <v>0</v>
      </c>
      <c r="G68" s="611">
        <v>0</v>
      </c>
      <c r="H68" s="611">
        <v>2.5536194920018747</v>
      </c>
      <c r="I68" s="611">
        <v>0</v>
      </c>
      <c r="J68" s="611">
        <v>0</v>
      </c>
      <c r="K68" s="611">
        <v>0</v>
      </c>
      <c r="L68" s="611">
        <v>0</v>
      </c>
      <c r="M68" s="611">
        <v>0</v>
      </c>
      <c r="N68" s="611">
        <v>0</v>
      </c>
      <c r="O68" s="611">
        <v>0.7286677727820261</v>
      </c>
      <c r="P68" s="611">
        <v>0</v>
      </c>
      <c r="Q68" s="611">
        <v>0</v>
      </c>
      <c r="R68" s="611">
        <v>49.895923286473447</v>
      </c>
      <c r="S68" s="611">
        <v>5.3757235045056531</v>
      </c>
      <c r="T68" s="611">
        <v>0</v>
      </c>
      <c r="U68" s="619">
        <v>58.553934055763001</v>
      </c>
      <c r="V68" s="51"/>
    </row>
    <row r="69" spans="3:22" x14ac:dyDescent="0.25">
      <c r="C69" s="614" t="s">
        <v>77</v>
      </c>
      <c r="D69" s="615">
        <v>14.666002929687499</v>
      </c>
      <c r="E69" s="615">
        <v>357.09971524729923</v>
      </c>
      <c r="F69" s="615">
        <v>-335.97366979647984</v>
      </c>
      <c r="G69" s="615">
        <v>-5.329861681315144</v>
      </c>
      <c r="H69" s="615">
        <v>60.149894939858129</v>
      </c>
      <c r="I69" s="615">
        <v>-1.5305667943868051</v>
      </c>
      <c r="J69" s="615">
        <v>1149.5641818181819</v>
      </c>
      <c r="K69" s="615">
        <v>271.86081401905926</v>
      </c>
      <c r="L69" s="615">
        <v>265.24730522325922</v>
      </c>
      <c r="M69" s="615">
        <v>15.072912276098645</v>
      </c>
      <c r="N69" s="615">
        <v>-68.973046890635459</v>
      </c>
      <c r="O69" s="615">
        <v>-49.397392481974656</v>
      </c>
      <c r="P69" s="615">
        <v>0</v>
      </c>
      <c r="Q69" s="615">
        <v>10.865449687143231</v>
      </c>
      <c r="R69" s="615">
        <v>-565.25622434351294</v>
      </c>
      <c r="S69" s="615">
        <v>-63.939724410086903</v>
      </c>
      <c r="T69" s="615">
        <v>-18.68378429351457</v>
      </c>
      <c r="U69" s="615">
        <v>1035.4420054486809</v>
      </c>
      <c r="V69" s="51"/>
    </row>
    <row r="70" spans="3:22" x14ac:dyDescent="0.25">
      <c r="C70" s="616"/>
      <c r="D70" s="617"/>
      <c r="E70" s="617"/>
      <c r="F70" s="617"/>
      <c r="G70" s="617"/>
      <c r="H70" s="623"/>
      <c r="I70" s="617"/>
      <c r="J70" s="617"/>
      <c r="K70" s="617"/>
      <c r="L70" s="617"/>
      <c r="M70" s="617"/>
      <c r="N70" s="617"/>
      <c r="O70" s="617"/>
      <c r="P70" s="617"/>
      <c r="Q70" s="617"/>
      <c r="R70" s="617"/>
      <c r="S70" s="617"/>
      <c r="T70" s="617"/>
      <c r="U70" s="617"/>
      <c r="V70" s="51"/>
    </row>
    <row r="71" spans="3:22" x14ac:dyDescent="0.25">
      <c r="C71" s="618" t="s">
        <v>78</v>
      </c>
      <c r="D71" s="611">
        <v>3.6211505206873706</v>
      </c>
      <c r="E71" s="611">
        <v>0</v>
      </c>
      <c r="F71" s="611">
        <v>10.977786664841062</v>
      </c>
      <c r="G71" s="611">
        <v>0</v>
      </c>
      <c r="H71" s="611">
        <v>68.786287212877468</v>
      </c>
      <c r="I71" s="611">
        <v>0</v>
      </c>
      <c r="J71" s="611">
        <v>0</v>
      </c>
      <c r="K71" s="611">
        <v>0</v>
      </c>
      <c r="L71" s="611">
        <v>21.558703212450474</v>
      </c>
      <c r="M71" s="611">
        <v>7.2264532765434186</v>
      </c>
      <c r="N71" s="611">
        <v>1.1431902408607149</v>
      </c>
      <c r="O71" s="611">
        <v>19.659289951979574</v>
      </c>
      <c r="P71" s="611">
        <v>7.7275585937500004</v>
      </c>
      <c r="Q71" s="611">
        <v>6.3863689419622622E-4</v>
      </c>
      <c r="R71" s="611">
        <v>157.82302310235053</v>
      </c>
      <c r="S71" s="611">
        <v>19.724565273985597</v>
      </c>
      <c r="T71" s="611">
        <v>5.5820537109375001</v>
      </c>
      <c r="U71" s="619">
        <v>323.83070039815789</v>
      </c>
      <c r="V71" s="51"/>
    </row>
    <row r="72" spans="3:22" x14ac:dyDescent="0.25">
      <c r="C72" s="618" t="s">
        <v>79</v>
      </c>
      <c r="D72" s="611">
        <v>0</v>
      </c>
      <c r="E72" s="611">
        <v>0</v>
      </c>
      <c r="F72" s="611">
        <v>242.40875758324066</v>
      </c>
      <c r="G72" s="611">
        <v>0.47070091421213178</v>
      </c>
      <c r="H72" s="611">
        <v>5.6712945537201502</v>
      </c>
      <c r="I72" s="611">
        <v>0</v>
      </c>
      <c r="J72" s="611">
        <v>0</v>
      </c>
      <c r="K72" s="611">
        <v>0</v>
      </c>
      <c r="L72" s="611">
        <v>0</v>
      </c>
      <c r="M72" s="611">
        <v>0</v>
      </c>
      <c r="N72" s="611">
        <v>48.1771719361642</v>
      </c>
      <c r="O72" s="611">
        <v>1.6182871348661612</v>
      </c>
      <c r="P72" s="611">
        <v>0</v>
      </c>
      <c r="Q72" s="611">
        <v>0</v>
      </c>
      <c r="R72" s="611">
        <v>51.204779610530323</v>
      </c>
      <c r="S72" s="611">
        <v>0</v>
      </c>
      <c r="T72" s="611">
        <v>1.9274779617440119</v>
      </c>
      <c r="U72" s="619">
        <v>351.47846969447755</v>
      </c>
      <c r="V72" s="51"/>
    </row>
    <row r="73" spans="3:22" x14ac:dyDescent="0.25">
      <c r="C73" s="618" t="s">
        <v>80</v>
      </c>
      <c r="D73" s="611">
        <v>0</v>
      </c>
      <c r="E73" s="611">
        <v>0</v>
      </c>
      <c r="F73" s="611">
        <v>4.7459283971856747</v>
      </c>
      <c r="G73" s="611">
        <v>0</v>
      </c>
      <c r="H73" s="611">
        <v>46.893886558316041</v>
      </c>
      <c r="I73" s="611">
        <v>0</v>
      </c>
      <c r="J73" s="611">
        <v>0</v>
      </c>
      <c r="K73" s="611">
        <v>0</v>
      </c>
      <c r="L73" s="611">
        <v>53.872586019631953</v>
      </c>
      <c r="M73" s="611">
        <v>0</v>
      </c>
      <c r="N73" s="611">
        <v>0</v>
      </c>
      <c r="O73" s="611">
        <v>13.381031897103036</v>
      </c>
      <c r="P73" s="611">
        <v>80.312688161253334</v>
      </c>
      <c r="Q73" s="611">
        <v>2.1381357466702497</v>
      </c>
      <c r="R73" s="611">
        <v>164.73755500792967</v>
      </c>
      <c r="S73" s="611">
        <v>25.752701366315002</v>
      </c>
      <c r="T73" s="611">
        <v>0</v>
      </c>
      <c r="U73" s="619">
        <v>391.83451315440499</v>
      </c>
      <c r="V73" s="51"/>
    </row>
    <row r="74" spans="3:22" x14ac:dyDescent="0.25">
      <c r="C74" s="618" t="s">
        <v>81</v>
      </c>
      <c r="D74" s="611">
        <v>0</v>
      </c>
      <c r="E74" s="611">
        <v>0</v>
      </c>
      <c r="F74" s="611">
        <v>2.8086748566203306</v>
      </c>
      <c r="G74" s="611">
        <v>0</v>
      </c>
      <c r="H74" s="611">
        <v>32.689315451169001</v>
      </c>
      <c r="I74" s="611">
        <v>0</v>
      </c>
      <c r="J74" s="611">
        <v>0</v>
      </c>
      <c r="K74" s="611">
        <v>0</v>
      </c>
      <c r="L74" s="611">
        <v>0.62063021721986544</v>
      </c>
      <c r="M74" s="611">
        <v>0</v>
      </c>
      <c r="N74" s="611">
        <v>0</v>
      </c>
      <c r="O74" s="611">
        <v>9.3277995246266308</v>
      </c>
      <c r="P74" s="611">
        <v>35.570887608973749</v>
      </c>
      <c r="Q74" s="611">
        <v>2.708787957071054</v>
      </c>
      <c r="R74" s="611">
        <v>119.47734544980881</v>
      </c>
      <c r="S74" s="611">
        <v>18.462457769786305</v>
      </c>
      <c r="T74" s="611">
        <v>0</v>
      </c>
      <c r="U74" s="619">
        <v>221.66589883527573</v>
      </c>
      <c r="V74" s="51"/>
    </row>
    <row r="75" spans="3:22" x14ac:dyDescent="0.25">
      <c r="C75" s="618" t="s">
        <v>82</v>
      </c>
      <c r="D75" s="611">
        <v>0</v>
      </c>
      <c r="E75" s="611">
        <v>0</v>
      </c>
      <c r="F75" s="611">
        <v>25.559609559205267</v>
      </c>
      <c r="G75" s="611">
        <v>0</v>
      </c>
      <c r="H75" s="611">
        <v>1.621332154914384</v>
      </c>
      <c r="I75" s="611">
        <v>0</v>
      </c>
      <c r="J75" s="611">
        <v>0</v>
      </c>
      <c r="K75" s="611">
        <v>0</v>
      </c>
      <c r="L75" s="611">
        <v>2.5283272915061801</v>
      </c>
      <c r="M75" s="611">
        <v>0</v>
      </c>
      <c r="N75" s="611">
        <v>7.0504971038057827</v>
      </c>
      <c r="O75" s="611">
        <v>0.46264233726348752</v>
      </c>
      <c r="P75" s="611">
        <v>0.65</v>
      </c>
      <c r="Q75" s="611">
        <v>0.82781531321025892</v>
      </c>
      <c r="R75" s="611">
        <v>6.8619490274216233</v>
      </c>
      <c r="S75" s="611">
        <v>0</v>
      </c>
      <c r="T75" s="611">
        <v>0.27650857826431391</v>
      </c>
      <c r="U75" s="619">
        <v>45.838681365591299</v>
      </c>
      <c r="V75" s="51"/>
    </row>
    <row r="76" spans="3:22" x14ac:dyDescent="0.25">
      <c r="C76" s="618" t="s">
        <v>354</v>
      </c>
      <c r="D76" s="611">
        <v>0</v>
      </c>
      <c r="E76" s="611">
        <v>0</v>
      </c>
      <c r="F76" s="611">
        <v>0</v>
      </c>
      <c r="G76" s="611">
        <v>0</v>
      </c>
      <c r="H76" s="611">
        <v>0</v>
      </c>
      <c r="I76" s="611">
        <v>0</v>
      </c>
      <c r="J76" s="611">
        <v>0</v>
      </c>
      <c r="K76" s="611">
        <v>0</v>
      </c>
      <c r="L76" s="611">
        <v>0</v>
      </c>
      <c r="M76" s="611">
        <v>0</v>
      </c>
      <c r="N76" s="611">
        <v>0</v>
      </c>
      <c r="O76" s="611">
        <v>0</v>
      </c>
      <c r="P76" s="611">
        <v>0</v>
      </c>
      <c r="Q76" s="611">
        <v>0</v>
      </c>
      <c r="R76" s="611">
        <v>0.45696000000000003</v>
      </c>
      <c r="S76" s="611">
        <v>0</v>
      </c>
      <c r="T76" s="611">
        <v>0</v>
      </c>
      <c r="U76" s="619">
        <v>0.45696000000000003</v>
      </c>
      <c r="V76" s="51"/>
    </row>
    <row r="77" spans="3:22" x14ac:dyDescent="0.25">
      <c r="C77" s="614" t="s">
        <v>83</v>
      </c>
      <c r="D77" s="615">
        <v>3.6211505206873706</v>
      </c>
      <c r="E77" s="615">
        <v>0</v>
      </c>
      <c r="F77" s="615">
        <v>286.500757061093</v>
      </c>
      <c r="G77" s="615">
        <v>0.47070091421213178</v>
      </c>
      <c r="H77" s="615">
        <v>155.66211593099703</v>
      </c>
      <c r="I77" s="615">
        <v>0</v>
      </c>
      <c r="J77" s="615">
        <v>0</v>
      </c>
      <c r="K77" s="615">
        <v>0</v>
      </c>
      <c r="L77" s="615">
        <v>78.580246740808491</v>
      </c>
      <c r="M77" s="615">
        <v>7.2264532765434186</v>
      </c>
      <c r="N77" s="615">
        <v>56.370859280830693</v>
      </c>
      <c r="O77" s="615">
        <v>44.449050845838883</v>
      </c>
      <c r="P77" s="615">
        <v>124.26113436397709</v>
      </c>
      <c r="Q77" s="615">
        <v>5.675377653845759</v>
      </c>
      <c r="R77" s="615">
        <v>500.56161219804096</v>
      </c>
      <c r="S77" s="615">
        <v>63.939724410086903</v>
      </c>
      <c r="T77" s="615">
        <v>7.7860402509458257</v>
      </c>
      <c r="U77" s="615">
        <v>1335.1052234479075</v>
      </c>
      <c r="V77" s="51"/>
    </row>
    <row r="78" spans="3:22" x14ac:dyDescent="0.25">
      <c r="C78" s="610" t="s">
        <v>84</v>
      </c>
      <c r="D78" s="611">
        <v>0</v>
      </c>
      <c r="E78" s="611">
        <v>0</v>
      </c>
      <c r="F78" s="611">
        <v>113.49672881606593</v>
      </c>
      <c r="G78" s="611">
        <v>1.6270462103343666</v>
      </c>
      <c r="H78" s="611">
        <v>12.092475590286487</v>
      </c>
      <c r="I78" s="611">
        <v>0</v>
      </c>
      <c r="J78" s="611">
        <v>0</v>
      </c>
      <c r="K78" s="611">
        <v>0</v>
      </c>
      <c r="L78" s="611">
        <v>0.18072645297419759</v>
      </c>
      <c r="M78" s="611">
        <v>0</v>
      </c>
      <c r="N78" s="611">
        <v>9.3970858513789164</v>
      </c>
      <c r="O78" s="611">
        <v>3.666174227539674</v>
      </c>
      <c r="P78" s="611">
        <v>0</v>
      </c>
      <c r="Q78" s="611">
        <v>0</v>
      </c>
      <c r="R78" s="611">
        <v>0</v>
      </c>
      <c r="S78" s="611">
        <v>0</v>
      </c>
      <c r="T78" s="611">
        <v>10.115588085643834</v>
      </c>
      <c r="U78" s="619">
        <v>150.57582523422337</v>
      </c>
      <c r="V78" s="51"/>
    </row>
    <row r="79" spans="3:22" x14ac:dyDescent="0.25">
      <c r="C79" s="614" t="s">
        <v>85</v>
      </c>
      <c r="D79" s="615">
        <v>3.6211505206873706</v>
      </c>
      <c r="E79" s="615">
        <v>0</v>
      </c>
      <c r="F79" s="615">
        <v>399.99748587715891</v>
      </c>
      <c r="G79" s="615">
        <v>2.0977471245464985</v>
      </c>
      <c r="H79" s="615">
        <v>167.75459152128352</v>
      </c>
      <c r="I79" s="615">
        <v>0</v>
      </c>
      <c r="J79" s="615">
        <v>0</v>
      </c>
      <c r="K79" s="615">
        <v>0</v>
      </c>
      <c r="L79" s="615">
        <v>78.760973193782689</v>
      </c>
      <c r="M79" s="615">
        <v>7.2264532765434186</v>
      </c>
      <c r="N79" s="615">
        <v>65.767945132209604</v>
      </c>
      <c r="O79" s="615">
        <v>48.115225073378554</v>
      </c>
      <c r="P79" s="615">
        <v>124.26113436397709</v>
      </c>
      <c r="Q79" s="615">
        <v>5.675377653845759</v>
      </c>
      <c r="R79" s="615">
        <v>500.56161219804096</v>
      </c>
      <c r="S79" s="615">
        <v>63.939724410086903</v>
      </c>
      <c r="T79" s="615">
        <v>17.90162833658966</v>
      </c>
      <c r="U79" s="615">
        <v>1485.6810486821309</v>
      </c>
      <c r="V79" s="51"/>
    </row>
    <row r="80" spans="3:22" x14ac:dyDescent="0.25">
      <c r="C80" s="51"/>
      <c r="D80" s="67">
        <v>0</v>
      </c>
      <c r="E80" s="67">
        <v>0</v>
      </c>
      <c r="F80" s="67">
        <v>0</v>
      </c>
      <c r="G80" s="67">
        <v>0</v>
      </c>
      <c r="H80" s="67">
        <v>0</v>
      </c>
      <c r="I80" s="67">
        <v>0</v>
      </c>
      <c r="J80" s="67">
        <v>0</v>
      </c>
      <c r="K80" s="67">
        <v>0</v>
      </c>
      <c r="L80" s="67">
        <v>0</v>
      </c>
      <c r="M80" s="67">
        <v>-4.9454600867093745E-4</v>
      </c>
      <c r="N80" s="67">
        <v>0</v>
      </c>
      <c r="O80" s="67">
        <v>-9.1038288019262836E-15</v>
      </c>
      <c r="P80" s="67">
        <v>0</v>
      </c>
      <c r="Q80" s="67">
        <v>0</v>
      </c>
      <c r="R80" s="67">
        <v>0</v>
      </c>
      <c r="S80" s="67">
        <v>0</v>
      </c>
      <c r="T80" s="67">
        <v>0</v>
      </c>
      <c r="U80" s="67">
        <v>-4.9454600866738474E-4</v>
      </c>
      <c r="V80" s="51"/>
    </row>
    <row r="81" spans="3:22" x14ac:dyDescent="0.25">
      <c r="C81" s="51"/>
      <c r="D81" s="51"/>
      <c r="E81" s="51"/>
      <c r="F81" s="51"/>
      <c r="G81" s="67"/>
      <c r="H81" s="51"/>
      <c r="I81" s="51"/>
      <c r="J81" s="51"/>
      <c r="K81" s="51"/>
      <c r="L81" s="51"/>
      <c r="M81" s="51"/>
      <c r="N81" s="51"/>
      <c r="O81" s="51"/>
      <c r="P81" s="51"/>
      <c r="Q81" s="51"/>
      <c r="R81" s="51"/>
      <c r="S81" s="51"/>
      <c r="T81" s="51"/>
      <c r="U81" s="51"/>
      <c r="V81" s="51"/>
    </row>
    <row r="82" spans="3:22" x14ac:dyDescent="0.25">
      <c r="C82" s="607" t="s">
        <v>358</v>
      </c>
      <c r="D82" s="606"/>
      <c r="E82" s="606"/>
      <c r="F82" s="606"/>
      <c r="G82" s="682"/>
      <c r="H82" s="606"/>
      <c r="I82" s="606"/>
      <c r="J82" s="606"/>
      <c r="K82" s="606"/>
      <c r="L82" s="606"/>
      <c r="M82" s="606"/>
      <c r="N82" s="606"/>
      <c r="O82" s="606"/>
      <c r="P82" s="606"/>
      <c r="Q82" s="606"/>
      <c r="R82" s="606"/>
      <c r="S82" s="606"/>
      <c r="T82" s="606"/>
      <c r="U82" s="606"/>
      <c r="V82" s="606"/>
    </row>
    <row r="83" spans="3:22" x14ac:dyDescent="0.25">
      <c r="C83" s="51"/>
      <c r="D83" s="51"/>
      <c r="E83" s="51"/>
      <c r="F83" s="51"/>
      <c r="G83" s="67"/>
      <c r="H83" s="51"/>
      <c r="I83" s="51"/>
      <c r="J83" s="51"/>
      <c r="K83" s="51"/>
      <c r="L83" s="51"/>
      <c r="M83" s="51"/>
      <c r="N83" s="51"/>
      <c r="O83" s="51"/>
      <c r="P83" s="51"/>
      <c r="Q83" s="51"/>
      <c r="R83" s="51"/>
      <c r="S83" s="51"/>
      <c r="T83" s="51"/>
      <c r="U83" s="51"/>
      <c r="V83" s="51"/>
    </row>
    <row r="84" spans="3:22" x14ac:dyDescent="0.25">
      <c r="C84" s="764" t="s">
        <v>128</v>
      </c>
      <c r="D84" s="753" t="s">
        <v>42</v>
      </c>
      <c r="E84" s="753" t="s">
        <v>52</v>
      </c>
      <c r="F84" s="753" t="s">
        <v>53</v>
      </c>
      <c r="G84" s="766" t="s">
        <v>482</v>
      </c>
      <c r="H84" s="753" t="s">
        <v>32</v>
      </c>
      <c r="I84" s="753" t="s">
        <v>483</v>
      </c>
      <c r="J84" s="753" t="s">
        <v>20</v>
      </c>
      <c r="K84" s="753" t="s">
        <v>55</v>
      </c>
      <c r="L84" s="761" t="s">
        <v>56</v>
      </c>
      <c r="M84" s="762"/>
      <c r="N84" s="762"/>
      <c r="O84" s="762"/>
      <c r="P84" s="762"/>
      <c r="Q84" s="763"/>
      <c r="R84" s="753" t="s">
        <v>57</v>
      </c>
      <c r="S84" s="753" t="s">
        <v>58</v>
      </c>
      <c r="T84" s="753" t="s">
        <v>31</v>
      </c>
      <c r="U84" s="753" t="s">
        <v>10</v>
      </c>
      <c r="V84" s="51"/>
    </row>
    <row r="85" spans="3:22" ht="36" x14ac:dyDescent="0.25">
      <c r="C85" s="765"/>
      <c r="D85" s="754"/>
      <c r="E85" s="754"/>
      <c r="F85" s="754"/>
      <c r="G85" s="767"/>
      <c r="H85" s="754"/>
      <c r="I85" s="754"/>
      <c r="J85" s="754"/>
      <c r="K85" s="754"/>
      <c r="L85" s="608" t="s">
        <v>335</v>
      </c>
      <c r="M85" s="608" t="s">
        <v>40</v>
      </c>
      <c r="N85" s="608" t="s">
        <v>343</v>
      </c>
      <c r="O85" s="608" t="s">
        <v>344</v>
      </c>
      <c r="P85" s="609" t="s">
        <v>345</v>
      </c>
      <c r="Q85" s="608" t="s">
        <v>346</v>
      </c>
      <c r="R85" s="754"/>
      <c r="S85" s="754"/>
      <c r="T85" s="754"/>
      <c r="U85" s="754"/>
      <c r="V85" s="51"/>
    </row>
    <row r="86" spans="3:22" x14ac:dyDescent="0.25">
      <c r="C86" s="610" t="s">
        <v>59</v>
      </c>
      <c r="D86" s="611">
        <v>0</v>
      </c>
      <c r="E86" s="611">
        <v>5.8150000000000004</v>
      </c>
      <c r="F86" s="611">
        <v>0</v>
      </c>
      <c r="G86" s="611">
        <v>0</v>
      </c>
      <c r="H86" s="611">
        <v>9.3040000000000012E-2</v>
      </c>
      <c r="I86" s="611">
        <v>0</v>
      </c>
      <c r="J86" s="612">
        <v>1142.8003999999999</v>
      </c>
      <c r="K86" s="612">
        <v>315.61624303705946</v>
      </c>
      <c r="L86" s="612">
        <v>374.39851983069684</v>
      </c>
      <c r="M86" s="612">
        <v>21.729144477324894</v>
      </c>
      <c r="N86" s="611">
        <v>1.5151391983163085</v>
      </c>
      <c r="O86" s="611">
        <v>0.16086233431790645</v>
      </c>
      <c r="P86" s="612">
        <v>135.24093356373385</v>
      </c>
      <c r="Q86" s="612">
        <v>19.433298638078622</v>
      </c>
      <c r="R86" s="611">
        <v>0</v>
      </c>
      <c r="S86" s="611">
        <v>0</v>
      </c>
      <c r="T86" s="611">
        <v>0</v>
      </c>
      <c r="U86" s="613">
        <v>2016.802581079528</v>
      </c>
      <c r="V86" s="51"/>
    </row>
    <row r="87" spans="3:22" x14ac:dyDescent="0.25">
      <c r="C87" s="610" t="s">
        <v>60</v>
      </c>
      <c r="D87" s="611">
        <v>14.997589528810048</v>
      </c>
      <c r="E87" s="611">
        <v>317.6831579468477</v>
      </c>
      <c r="F87" s="611">
        <v>90.859411867227635</v>
      </c>
      <c r="G87" s="611">
        <v>0.4482168453037243</v>
      </c>
      <c r="H87" s="611">
        <v>195.90969664168796</v>
      </c>
      <c r="I87" s="611">
        <v>0</v>
      </c>
      <c r="J87" s="611">
        <v>0</v>
      </c>
      <c r="K87" s="611">
        <v>0</v>
      </c>
      <c r="L87" s="611">
        <v>3.3497189577114872</v>
      </c>
      <c r="M87" s="611">
        <v>0</v>
      </c>
      <c r="N87" s="611">
        <v>4.4724851738797717</v>
      </c>
      <c r="O87" s="611">
        <v>0</v>
      </c>
      <c r="P87" s="611">
        <v>0</v>
      </c>
      <c r="Q87" s="611">
        <v>0</v>
      </c>
      <c r="R87" s="611">
        <v>0</v>
      </c>
      <c r="S87" s="611">
        <v>0</v>
      </c>
      <c r="T87" s="611">
        <v>0</v>
      </c>
      <c r="U87" s="613">
        <v>627.72027696146836</v>
      </c>
      <c r="V87" s="51"/>
    </row>
    <row r="88" spans="3:22" x14ac:dyDescent="0.25">
      <c r="C88" s="610" t="s">
        <v>61</v>
      </c>
      <c r="D88" s="611">
        <v>0</v>
      </c>
      <c r="E88" s="611">
        <v>0</v>
      </c>
      <c r="F88" s="611">
        <v>3.6514365086121643</v>
      </c>
      <c r="G88" s="611">
        <v>0</v>
      </c>
      <c r="H88" s="611">
        <v>0</v>
      </c>
      <c r="I88" s="611">
        <v>0</v>
      </c>
      <c r="J88" s="611">
        <v>0</v>
      </c>
      <c r="K88" s="611">
        <v>0</v>
      </c>
      <c r="L88" s="611">
        <v>0</v>
      </c>
      <c r="M88" s="611">
        <v>0</v>
      </c>
      <c r="N88" s="611">
        <v>0</v>
      </c>
      <c r="O88" s="611">
        <v>0</v>
      </c>
      <c r="P88" s="611">
        <v>0</v>
      </c>
      <c r="Q88" s="611">
        <v>0</v>
      </c>
      <c r="R88" s="611">
        <v>-70.564869909311255</v>
      </c>
      <c r="S88" s="611">
        <v>0</v>
      </c>
      <c r="T88" s="611">
        <v>0</v>
      </c>
      <c r="U88" s="613">
        <v>-66.913433400699091</v>
      </c>
      <c r="V88" s="51"/>
    </row>
    <row r="89" spans="3:22" x14ac:dyDescent="0.25">
      <c r="C89" s="610" t="s">
        <v>62</v>
      </c>
      <c r="D89" s="611">
        <v>0</v>
      </c>
      <c r="E89" s="611">
        <v>0</v>
      </c>
      <c r="F89" s="611">
        <v>-9.1493668545845033</v>
      </c>
      <c r="G89" s="611">
        <v>-2.0808213366588695</v>
      </c>
      <c r="H89" s="611">
        <v>-1.1134427375085565</v>
      </c>
      <c r="I89" s="611">
        <v>-2.1621292756423931</v>
      </c>
      <c r="J89" s="611">
        <v>0</v>
      </c>
      <c r="K89" s="611">
        <v>0</v>
      </c>
      <c r="L89" s="611">
        <v>0</v>
      </c>
      <c r="M89" s="611">
        <v>0</v>
      </c>
      <c r="N89" s="611">
        <v>-1.0958595241258173</v>
      </c>
      <c r="O89" s="611">
        <v>-1.719780201472068</v>
      </c>
      <c r="P89" s="611">
        <v>0</v>
      </c>
      <c r="Q89" s="611">
        <v>0</v>
      </c>
      <c r="R89" s="611">
        <v>0</v>
      </c>
      <c r="S89" s="611">
        <v>0</v>
      </c>
      <c r="T89" s="611">
        <v>-0.65033681124791309</v>
      </c>
      <c r="U89" s="613">
        <v>-17.971736741240122</v>
      </c>
      <c r="V89" s="51"/>
    </row>
    <row r="90" spans="3:22" x14ac:dyDescent="0.25">
      <c r="C90" s="610" t="s">
        <v>63</v>
      </c>
      <c r="D90" s="611">
        <v>0</v>
      </c>
      <c r="E90" s="611">
        <v>0</v>
      </c>
      <c r="F90" s="611">
        <v>-54.941446945210977</v>
      </c>
      <c r="G90" s="611">
        <v>-3.5033200830683109</v>
      </c>
      <c r="H90" s="611">
        <v>0</v>
      </c>
      <c r="I90" s="611">
        <v>0</v>
      </c>
      <c r="J90" s="611">
        <v>0</v>
      </c>
      <c r="K90" s="611">
        <v>0</v>
      </c>
      <c r="L90" s="611">
        <v>0</v>
      </c>
      <c r="M90" s="611">
        <v>0</v>
      </c>
      <c r="N90" s="611">
        <v>-10.509960249204934</v>
      </c>
      <c r="O90" s="611">
        <v>0</v>
      </c>
      <c r="P90" s="611">
        <v>0</v>
      </c>
      <c r="Q90" s="611">
        <v>0</v>
      </c>
      <c r="R90" s="611">
        <v>0</v>
      </c>
      <c r="S90" s="611">
        <v>0</v>
      </c>
      <c r="T90" s="611">
        <v>-0.56546152229300228</v>
      </c>
      <c r="U90" s="613">
        <v>-69.52018879977723</v>
      </c>
      <c r="V90" s="51"/>
    </row>
    <row r="91" spans="3:22" x14ac:dyDescent="0.25">
      <c r="C91" s="610" t="s">
        <v>64</v>
      </c>
      <c r="D91" s="611">
        <v>0</v>
      </c>
      <c r="E91" s="611">
        <v>0</v>
      </c>
      <c r="F91" s="611">
        <v>0</v>
      </c>
      <c r="G91" s="611">
        <v>0</v>
      </c>
      <c r="H91" s="611">
        <v>0</v>
      </c>
      <c r="I91" s="611">
        <v>0</v>
      </c>
      <c r="J91" s="611">
        <v>0</v>
      </c>
      <c r="K91" s="611">
        <v>0</v>
      </c>
      <c r="L91" s="611">
        <v>0</v>
      </c>
      <c r="M91" s="611">
        <v>0</v>
      </c>
      <c r="N91" s="611">
        <v>0</v>
      </c>
      <c r="O91" s="611">
        <v>0</v>
      </c>
      <c r="P91" s="611">
        <v>0</v>
      </c>
      <c r="Q91" s="611">
        <v>0</v>
      </c>
      <c r="R91" s="611">
        <v>0</v>
      </c>
      <c r="S91" s="611">
        <v>0</v>
      </c>
      <c r="T91" s="611">
        <v>0</v>
      </c>
      <c r="U91" s="613">
        <v>0</v>
      </c>
      <c r="V91" s="51"/>
    </row>
    <row r="92" spans="3:22" x14ac:dyDescent="0.25">
      <c r="C92" s="614" t="s">
        <v>65</v>
      </c>
      <c r="D92" s="615">
        <v>14.997589528810048</v>
      </c>
      <c r="E92" s="615">
        <v>323.4981579468477</v>
      </c>
      <c r="F92" s="615">
        <v>30.420034576044323</v>
      </c>
      <c r="G92" s="615">
        <v>-5.1359245744234556</v>
      </c>
      <c r="H92" s="615">
        <v>194.8892939041794</v>
      </c>
      <c r="I92" s="615">
        <v>-2.1621292756423931</v>
      </c>
      <c r="J92" s="615">
        <v>1142.8003999999999</v>
      </c>
      <c r="K92" s="615">
        <v>315.61624303705946</v>
      </c>
      <c r="L92" s="615">
        <v>377.74823878840834</v>
      </c>
      <c r="M92" s="615">
        <v>21.729144477324894</v>
      </c>
      <c r="N92" s="615">
        <v>-5.6181954011346704</v>
      </c>
      <c r="O92" s="615">
        <v>-1.5589178671541615</v>
      </c>
      <c r="P92" s="615">
        <v>135.24093356373385</v>
      </c>
      <c r="Q92" s="615">
        <v>19.433298638078622</v>
      </c>
      <c r="R92" s="615">
        <v>-70.564869909311255</v>
      </c>
      <c r="S92" s="615">
        <v>0</v>
      </c>
      <c r="T92" s="615">
        <v>-1.2157983335409153</v>
      </c>
      <c r="U92" s="615">
        <v>2490.1174990992799</v>
      </c>
      <c r="V92" s="51"/>
    </row>
    <row r="93" spans="3:22" x14ac:dyDescent="0.25">
      <c r="C93" s="616"/>
      <c r="D93" s="617"/>
      <c r="E93" s="617"/>
      <c r="F93" s="617"/>
      <c r="G93" s="617"/>
      <c r="H93" s="623"/>
      <c r="I93" s="617"/>
      <c r="J93" s="617"/>
      <c r="K93" s="617"/>
      <c r="L93" s="617"/>
      <c r="M93" s="617"/>
      <c r="N93" s="617"/>
      <c r="O93" s="617"/>
      <c r="P93" s="617"/>
      <c r="Q93" s="617"/>
      <c r="R93" s="617"/>
      <c r="S93" s="617"/>
      <c r="T93" s="617"/>
      <c r="U93" s="617"/>
      <c r="V93" s="51"/>
    </row>
    <row r="94" spans="3:22" x14ac:dyDescent="0.25">
      <c r="C94" s="618" t="s">
        <v>67</v>
      </c>
      <c r="D94" s="611">
        <v>0</v>
      </c>
      <c r="E94" s="611">
        <v>0</v>
      </c>
      <c r="F94" s="611">
        <v>0</v>
      </c>
      <c r="G94" s="611">
        <v>0</v>
      </c>
      <c r="H94" s="611">
        <v>0</v>
      </c>
      <c r="I94" s="611">
        <v>0</v>
      </c>
      <c r="J94" s="611">
        <v>0</v>
      </c>
      <c r="K94" s="611">
        <v>0</v>
      </c>
      <c r="L94" s="611">
        <v>0</v>
      </c>
      <c r="M94" s="611">
        <v>0</v>
      </c>
      <c r="N94" s="611">
        <v>0</v>
      </c>
      <c r="O94" s="611">
        <v>0</v>
      </c>
      <c r="P94" s="611">
        <v>0</v>
      </c>
      <c r="Q94" s="611">
        <v>0</v>
      </c>
      <c r="R94" s="611">
        <v>0</v>
      </c>
      <c r="S94" s="611">
        <v>0</v>
      </c>
      <c r="T94" s="611">
        <v>0</v>
      </c>
      <c r="U94" s="619">
        <v>0</v>
      </c>
      <c r="V94" s="51"/>
    </row>
    <row r="95" spans="3:22" x14ac:dyDescent="0.25">
      <c r="C95" s="618" t="s">
        <v>347</v>
      </c>
      <c r="D95" s="611">
        <v>0</v>
      </c>
      <c r="E95" s="611">
        <v>0</v>
      </c>
      <c r="F95" s="611">
        <v>0.802217285608815</v>
      </c>
      <c r="G95" s="611">
        <v>0</v>
      </c>
      <c r="H95" s="611">
        <v>34.006086400000001</v>
      </c>
      <c r="I95" s="611">
        <v>0</v>
      </c>
      <c r="J95" s="611">
        <v>1142.8003999999999</v>
      </c>
      <c r="K95" s="611">
        <v>315.61624303705946</v>
      </c>
      <c r="L95" s="611">
        <v>23.835409314292445</v>
      </c>
      <c r="M95" s="611">
        <v>0.59779215197206559</v>
      </c>
      <c r="N95" s="611">
        <v>5.0291337303525587</v>
      </c>
      <c r="O95" s="611">
        <v>11.448434017818721</v>
      </c>
      <c r="P95" s="611">
        <v>0</v>
      </c>
      <c r="Q95" s="611">
        <v>2.7943993103273139</v>
      </c>
      <c r="R95" s="611">
        <v>-757.64688965301764</v>
      </c>
      <c r="S95" s="611">
        <v>0</v>
      </c>
      <c r="T95" s="611">
        <v>0</v>
      </c>
      <c r="U95" s="619">
        <v>779.28322559441347</v>
      </c>
      <c r="V95" s="51"/>
    </row>
    <row r="96" spans="3:22" x14ac:dyDescent="0.25">
      <c r="C96" s="618" t="s">
        <v>348</v>
      </c>
      <c r="D96" s="611">
        <v>0</v>
      </c>
      <c r="E96" s="611">
        <v>0</v>
      </c>
      <c r="F96" s="611">
        <v>0</v>
      </c>
      <c r="G96" s="611">
        <v>0</v>
      </c>
      <c r="H96" s="611">
        <v>12.051558414362514</v>
      </c>
      <c r="I96" s="611">
        <v>0</v>
      </c>
      <c r="J96" s="611">
        <v>0</v>
      </c>
      <c r="K96" s="611">
        <v>0</v>
      </c>
      <c r="L96" s="611">
        <v>34.958460935332894</v>
      </c>
      <c r="M96" s="611">
        <v>14.0272998093773</v>
      </c>
      <c r="N96" s="611">
        <v>0</v>
      </c>
      <c r="O96" s="611">
        <v>4.0310107980471637</v>
      </c>
      <c r="P96" s="611">
        <v>0</v>
      </c>
      <c r="Q96" s="611">
        <v>10.486182465403838</v>
      </c>
      <c r="R96" s="611">
        <v>0</v>
      </c>
      <c r="S96" s="611">
        <v>-69.379169378424834</v>
      </c>
      <c r="T96" s="611">
        <v>0</v>
      </c>
      <c r="U96" s="619">
        <v>6.1753430440988808</v>
      </c>
      <c r="V96" s="51"/>
    </row>
    <row r="97" spans="3:22" x14ac:dyDescent="0.25">
      <c r="C97" s="618" t="s">
        <v>349</v>
      </c>
      <c r="D97" s="611">
        <v>0</v>
      </c>
      <c r="E97" s="611">
        <v>0</v>
      </c>
      <c r="F97" s="611">
        <v>0</v>
      </c>
      <c r="G97" s="611">
        <v>0</v>
      </c>
      <c r="H97" s="611">
        <v>0</v>
      </c>
      <c r="I97" s="611">
        <v>0</v>
      </c>
      <c r="J97" s="611">
        <v>0</v>
      </c>
      <c r="K97" s="611">
        <v>0</v>
      </c>
      <c r="L97" s="611">
        <v>79.871600609491523</v>
      </c>
      <c r="M97" s="611">
        <v>0</v>
      </c>
      <c r="N97" s="611">
        <v>0</v>
      </c>
      <c r="O97" s="611">
        <v>-72.76063888039937</v>
      </c>
      <c r="P97" s="611">
        <v>0</v>
      </c>
      <c r="Q97" s="611">
        <v>0</v>
      </c>
      <c r="R97" s="611">
        <v>0</v>
      </c>
      <c r="S97" s="611">
        <v>0</v>
      </c>
      <c r="T97" s="611">
        <v>0</v>
      </c>
      <c r="U97" s="619">
        <v>7.1109617290921534</v>
      </c>
      <c r="V97" s="51"/>
    </row>
    <row r="98" spans="3:22" x14ac:dyDescent="0.25">
      <c r="C98" s="618" t="s">
        <v>350</v>
      </c>
      <c r="D98" s="611">
        <v>0</v>
      </c>
      <c r="E98" s="611">
        <v>0</v>
      </c>
      <c r="F98" s="611">
        <v>0</v>
      </c>
      <c r="G98" s="611">
        <v>0</v>
      </c>
      <c r="H98" s="611">
        <v>0</v>
      </c>
      <c r="I98" s="611">
        <v>-2.1621292756423931</v>
      </c>
      <c r="J98" s="611">
        <v>0</v>
      </c>
      <c r="K98" s="611">
        <v>0</v>
      </c>
      <c r="L98" s="611">
        <v>0</v>
      </c>
      <c r="M98" s="611">
        <v>0</v>
      </c>
      <c r="N98" s="611">
        <v>0</v>
      </c>
      <c r="O98" s="611">
        <v>0</v>
      </c>
      <c r="P98" s="611">
        <v>0</v>
      </c>
      <c r="Q98" s="611">
        <v>0</v>
      </c>
      <c r="R98" s="611">
        <v>0</v>
      </c>
      <c r="S98" s="611">
        <v>0</v>
      </c>
      <c r="T98" s="611">
        <v>3.0029573272811017</v>
      </c>
      <c r="U98" s="619">
        <v>0.84082805163870855</v>
      </c>
      <c r="V98" s="51"/>
    </row>
    <row r="99" spans="3:22" x14ac:dyDescent="0.25">
      <c r="C99" s="618" t="s">
        <v>72</v>
      </c>
      <c r="D99" s="611">
        <v>0</v>
      </c>
      <c r="E99" s="611">
        <v>335.24810979182712</v>
      </c>
      <c r="F99" s="611">
        <v>-331.90898271273255</v>
      </c>
      <c r="G99" s="611">
        <v>0</v>
      </c>
      <c r="H99" s="611">
        <v>0</v>
      </c>
      <c r="I99" s="611">
        <v>0</v>
      </c>
      <c r="J99" s="611">
        <v>0</v>
      </c>
      <c r="K99" s="611">
        <v>0</v>
      </c>
      <c r="L99" s="611">
        <v>0</v>
      </c>
      <c r="M99" s="611">
        <v>0</v>
      </c>
      <c r="N99" s="611">
        <v>0</v>
      </c>
      <c r="O99" s="611">
        <v>0</v>
      </c>
      <c r="P99" s="611">
        <v>0</v>
      </c>
      <c r="Q99" s="611">
        <v>0</v>
      </c>
      <c r="R99" s="611">
        <v>0</v>
      </c>
      <c r="S99" s="611">
        <v>0</v>
      </c>
      <c r="T99" s="611">
        <v>0</v>
      </c>
      <c r="U99" s="619">
        <v>3.3391270790945669</v>
      </c>
      <c r="V99" s="51"/>
    </row>
    <row r="100" spans="3:22" x14ac:dyDescent="0.25">
      <c r="C100" s="618" t="s">
        <v>351</v>
      </c>
      <c r="D100" s="611">
        <v>0</v>
      </c>
      <c r="E100" s="611">
        <v>0</v>
      </c>
      <c r="F100" s="611">
        <v>0</v>
      </c>
      <c r="G100" s="611">
        <v>0</v>
      </c>
      <c r="H100" s="611">
        <v>0</v>
      </c>
      <c r="I100" s="611">
        <v>0</v>
      </c>
      <c r="J100" s="611">
        <v>0</v>
      </c>
      <c r="K100" s="611">
        <v>0</v>
      </c>
      <c r="L100" s="611">
        <v>163.94028019262709</v>
      </c>
      <c r="M100" s="611">
        <v>0</v>
      </c>
      <c r="N100" s="611">
        <v>-90.167154105944903</v>
      </c>
      <c r="O100" s="611">
        <v>0</v>
      </c>
      <c r="P100" s="611">
        <v>0</v>
      </c>
      <c r="Q100" s="611">
        <v>0</v>
      </c>
      <c r="R100" s="611">
        <v>0</v>
      </c>
      <c r="S100" s="611">
        <v>0</v>
      </c>
      <c r="T100" s="611">
        <v>0</v>
      </c>
      <c r="U100" s="619">
        <v>73.773126086682183</v>
      </c>
      <c r="V100" s="51"/>
    </row>
    <row r="101" spans="3:22" x14ac:dyDescent="0.25">
      <c r="C101" s="618" t="s">
        <v>352</v>
      </c>
      <c r="D101" s="611">
        <v>0</v>
      </c>
      <c r="E101" s="611">
        <v>0</v>
      </c>
      <c r="F101" s="611">
        <v>0</v>
      </c>
      <c r="G101" s="611">
        <v>-7.5393332523643162</v>
      </c>
      <c r="H101" s="611">
        <v>0</v>
      </c>
      <c r="I101" s="611">
        <v>0</v>
      </c>
      <c r="J101" s="611">
        <v>0</v>
      </c>
      <c r="K101" s="611">
        <v>0</v>
      </c>
      <c r="L101" s="611">
        <v>0</v>
      </c>
      <c r="M101" s="611">
        <v>0</v>
      </c>
      <c r="N101" s="611">
        <v>0</v>
      </c>
      <c r="O101" s="611">
        <v>0</v>
      </c>
      <c r="P101" s="611">
        <v>0</v>
      </c>
      <c r="Q101" s="611">
        <v>0</v>
      </c>
      <c r="R101" s="611">
        <v>0</v>
      </c>
      <c r="S101" s="611">
        <v>0</v>
      </c>
      <c r="T101" s="611">
        <v>9.8694251246207116</v>
      </c>
      <c r="U101" s="619">
        <v>2.3300918722563955</v>
      </c>
      <c r="V101" s="51"/>
    </row>
    <row r="102" spans="3:22" x14ac:dyDescent="0.25">
      <c r="C102" s="618" t="s">
        <v>73</v>
      </c>
      <c r="D102" s="611">
        <v>0</v>
      </c>
      <c r="E102" s="611">
        <v>0</v>
      </c>
      <c r="F102" s="611">
        <v>0</v>
      </c>
      <c r="G102" s="611">
        <v>0</v>
      </c>
      <c r="H102" s="611">
        <v>0</v>
      </c>
      <c r="I102" s="611">
        <v>0</v>
      </c>
      <c r="J102" s="611">
        <v>0</v>
      </c>
      <c r="K102" s="611">
        <v>0</v>
      </c>
      <c r="L102" s="611">
        <v>0</v>
      </c>
      <c r="M102" s="611">
        <v>0</v>
      </c>
      <c r="N102" s="611">
        <v>0</v>
      </c>
      <c r="O102" s="611">
        <v>0</v>
      </c>
      <c r="P102" s="611">
        <v>0</v>
      </c>
      <c r="Q102" s="611">
        <v>0</v>
      </c>
      <c r="R102" s="611">
        <v>60.125996710882241</v>
      </c>
      <c r="S102" s="611">
        <v>0</v>
      </c>
      <c r="T102" s="611">
        <v>-40.134102804513894</v>
      </c>
      <c r="U102" s="619">
        <v>19.991893906368347</v>
      </c>
      <c r="V102" s="51"/>
    </row>
    <row r="103" spans="3:22" x14ac:dyDescent="0.25">
      <c r="C103" s="618" t="s">
        <v>353</v>
      </c>
      <c r="D103" s="611">
        <v>8.1657801562499994</v>
      </c>
      <c r="E103" s="611">
        <v>-11.749951844979407</v>
      </c>
      <c r="F103" s="611">
        <v>15.302006125146733</v>
      </c>
      <c r="G103" s="611">
        <v>0</v>
      </c>
      <c r="H103" s="611">
        <v>0</v>
      </c>
      <c r="I103" s="611">
        <v>0</v>
      </c>
      <c r="J103" s="611">
        <v>0</v>
      </c>
      <c r="K103" s="611">
        <v>0</v>
      </c>
      <c r="L103" s="611">
        <v>0</v>
      </c>
      <c r="M103" s="611">
        <v>0</v>
      </c>
      <c r="N103" s="611">
        <v>0</v>
      </c>
      <c r="O103" s="611">
        <v>0</v>
      </c>
      <c r="P103" s="611">
        <v>0</v>
      </c>
      <c r="Q103" s="611">
        <v>0</v>
      </c>
      <c r="R103" s="611">
        <v>0</v>
      </c>
      <c r="S103" s="611">
        <v>0</v>
      </c>
      <c r="T103" s="611">
        <v>0</v>
      </c>
      <c r="U103" s="619">
        <v>11.717834436417325</v>
      </c>
      <c r="V103" s="51"/>
    </row>
    <row r="104" spans="3:22" x14ac:dyDescent="0.25">
      <c r="C104" s="618" t="s">
        <v>75</v>
      </c>
      <c r="D104" s="611">
        <v>3.1755811718750002</v>
      </c>
      <c r="E104" s="611">
        <v>0</v>
      </c>
      <c r="F104" s="611">
        <v>11.521572645855153</v>
      </c>
      <c r="G104" s="611">
        <v>0</v>
      </c>
      <c r="H104" s="611">
        <v>3.9220454388203256</v>
      </c>
      <c r="I104" s="611">
        <v>0</v>
      </c>
      <c r="J104" s="611">
        <v>0</v>
      </c>
      <c r="K104" s="611">
        <v>0</v>
      </c>
      <c r="L104" s="611">
        <v>0</v>
      </c>
      <c r="M104" s="611">
        <v>0</v>
      </c>
      <c r="N104" s="611">
        <v>0</v>
      </c>
      <c r="O104" s="611">
        <v>1.4506195458650522</v>
      </c>
      <c r="P104" s="611">
        <v>0</v>
      </c>
      <c r="Q104" s="611">
        <v>0</v>
      </c>
      <c r="R104" s="611">
        <v>60.761806133767948</v>
      </c>
      <c r="S104" s="611">
        <v>0</v>
      </c>
      <c r="T104" s="611">
        <v>0</v>
      </c>
      <c r="U104" s="619">
        <v>80.831624936183488</v>
      </c>
      <c r="V104" s="51"/>
    </row>
    <row r="105" spans="3:22" x14ac:dyDescent="0.25">
      <c r="C105" s="618" t="s">
        <v>76</v>
      </c>
      <c r="D105" s="611">
        <v>0</v>
      </c>
      <c r="E105" s="611">
        <v>0</v>
      </c>
      <c r="F105" s="611">
        <v>0</v>
      </c>
      <c r="G105" s="611">
        <v>0</v>
      </c>
      <c r="H105" s="611">
        <v>2.1646233655533069</v>
      </c>
      <c r="I105" s="611">
        <v>0</v>
      </c>
      <c r="J105" s="611">
        <v>0</v>
      </c>
      <c r="K105" s="611">
        <v>0</v>
      </c>
      <c r="L105" s="611">
        <v>0</v>
      </c>
      <c r="M105" s="611">
        <v>0</v>
      </c>
      <c r="N105" s="611">
        <v>0</v>
      </c>
      <c r="O105" s="611">
        <v>0.80061412150601763</v>
      </c>
      <c r="P105" s="611">
        <v>0</v>
      </c>
      <c r="Q105" s="611">
        <v>0</v>
      </c>
      <c r="R105" s="611">
        <v>52.612079167713944</v>
      </c>
      <c r="S105" s="611">
        <v>5.3807290074301646</v>
      </c>
      <c r="T105" s="611">
        <v>0</v>
      </c>
      <c r="U105" s="619">
        <v>60.958045662203432</v>
      </c>
      <c r="V105" s="51"/>
    </row>
    <row r="106" spans="3:22" x14ac:dyDescent="0.25">
      <c r="C106" s="614" t="s">
        <v>77</v>
      </c>
      <c r="D106" s="615">
        <v>11.341361328125</v>
      </c>
      <c r="E106" s="615">
        <v>323.4981579468477</v>
      </c>
      <c r="F106" s="615">
        <v>-304.28318665612187</v>
      </c>
      <c r="G106" s="615">
        <v>-7.5393332523643162</v>
      </c>
      <c r="H106" s="615">
        <v>52.144313618736149</v>
      </c>
      <c r="I106" s="615">
        <v>-2.1621292756423931</v>
      </c>
      <c r="J106" s="615">
        <v>1142.8003999999999</v>
      </c>
      <c r="K106" s="615">
        <v>315.61624303705946</v>
      </c>
      <c r="L106" s="615">
        <v>302.60575105174394</v>
      </c>
      <c r="M106" s="615">
        <v>14.625091961349366</v>
      </c>
      <c r="N106" s="615">
        <v>-85.138020375592347</v>
      </c>
      <c r="O106" s="615">
        <v>-55.029960397162412</v>
      </c>
      <c r="P106" s="615">
        <v>0</v>
      </c>
      <c r="Q106" s="615">
        <v>13.280581775731152</v>
      </c>
      <c r="R106" s="615">
        <v>-584.14700764065356</v>
      </c>
      <c r="S106" s="615">
        <v>-63.998440370994672</v>
      </c>
      <c r="T106" s="615">
        <v>-27.26172035261208</v>
      </c>
      <c r="U106" s="615">
        <v>1046.352102398449</v>
      </c>
      <c r="V106" s="51"/>
    </row>
    <row r="107" spans="3:22" x14ac:dyDescent="0.25">
      <c r="C107" s="616"/>
      <c r="D107" s="617"/>
      <c r="E107" s="617"/>
      <c r="F107" s="617"/>
      <c r="G107" s="617"/>
      <c r="H107" s="623"/>
      <c r="I107" s="617"/>
      <c r="J107" s="617"/>
      <c r="K107" s="617"/>
      <c r="L107" s="617"/>
      <c r="M107" s="617"/>
      <c r="N107" s="617"/>
      <c r="O107" s="617"/>
      <c r="P107" s="617"/>
      <c r="Q107" s="617"/>
      <c r="R107" s="617"/>
      <c r="S107" s="617"/>
      <c r="T107" s="617"/>
      <c r="U107" s="617"/>
      <c r="V107" s="51"/>
    </row>
    <row r="108" spans="3:22" x14ac:dyDescent="0.25">
      <c r="C108" s="618" t="s">
        <v>78</v>
      </c>
      <c r="D108" s="611">
        <v>3.6562282006850468</v>
      </c>
      <c r="E108" s="611">
        <v>0</v>
      </c>
      <c r="F108" s="611">
        <v>9.7376785306283384</v>
      </c>
      <c r="G108" s="611">
        <v>0</v>
      </c>
      <c r="H108" s="611">
        <v>61.385022781931873</v>
      </c>
      <c r="I108" s="611">
        <v>0</v>
      </c>
      <c r="J108" s="611">
        <v>0</v>
      </c>
      <c r="K108" s="611">
        <v>0</v>
      </c>
      <c r="L108" s="611">
        <v>21.686124483212218</v>
      </c>
      <c r="M108" s="611">
        <v>7.1035846364336246</v>
      </c>
      <c r="N108" s="611">
        <v>1.1432225445669904</v>
      </c>
      <c r="O108" s="611">
        <v>22.738015311990583</v>
      </c>
      <c r="P108" s="611">
        <v>9.2526142578124997</v>
      </c>
      <c r="Q108" s="611">
        <v>6.9244826847420892E-4</v>
      </c>
      <c r="R108" s="611">
        <v>162.27713271483609</v>
      </c>
      <c r="S108" s="611">
        <v>19.928077987492124</v>
      </c>
      <c r="T108" s="611">
        <v>7.1014345703124997</v>
      </c>
      <c r="U108" s="619">
        <v>326.00982846817038</v>
      </c>
      <c r="V108" s="51"/>
    </row>
    <row r="109" spans="3:22" x14ac:dyDescent="0.25">
      <c r="C109" s="618" t="s">
        <v>79</v>
      </c>
      <c r="D109" s="611">
        <v>0</v>
      </c>
      <c r="E109" s="611">
        <v>0</v>
      </c>
      <c r="F109" s="611">
        <v>192.91287296266353</v>
      </c>
      <c r="G109" s="611">
        <v>0.64331320573206352</v>
      </c>
      <c r="H109" s="611">
        <v>5.6449684818952051</v>
      </c>
      <c r="I109" s="611">
        <v>0</v>
      </c>
      <c r="J109" s="611">
        <v>0</v>
      </c>
      <c r="K109" s="611">
        <v>0</v>
      </c>
      <c r="L109" s="611">
        <v>0</v>
      </c>
      <c r="M109" s="611">
        <v>0</v>
      </c>
      <c r="N109" s="611">
        <v>55.124968461757305</v>
      </c>
      <c r="O109" s="611">
        <v>2.0878650549475419</v>
      </c>
      <c r="P109" s="611">
        <v>0</v>
      </c>
      <c r="Q109" s="611">
        <v>0</v>
      </c>
      <c r="R109" s="611">
        <v>62.922987609450331</v>
      </c>
      <c r="S109" s="611">
        <v>0</v>
      </c>
      <c r="T109" s="611">
        <v>2.568426650221276</v>
      </c>
      <c r="U109" s="619">
        <v>321.90540242666725</v>
      </c>
      <c r="V109" s="51"/>
    </row>
    <row r="110" spans="3:22" x14ac:dyDescent="0.25">
      <c r="C110" s="618" t="s">
        <v>80</v>
      </c>
      <c r="D110" s="611">
        <v>0</v>
      </c>
      <c r="E110" s="611">
        <v>0</v>
      </c>
      <c r="F110" s="611">
        <v>3.0522332565861259</v>
      </c>
      <c r="G110" s="611">
        <v>0</v>
      </c>
      <c r="H110" s="611">
        <v>36.682189130077496</v>
      </c>
      <c r="I110" s="611">
        <v>0</v>
      </c>
      <c r="J110" s="611">
        <v>0</v>
      </c>
      <c r="K110" s="611">
        <v>0</v>
      </c>
      <c r="L110" s="611">
        <v>49.933380533226007</v>
      </c>
      <c r="M110" s="611">
        <v>0</v>
      </c>
      <c r="N110" s="611">
        <v>0</v>
      </c>
      <c r="O110" s="611">
        <v>13.567385020713596</v>
      </c>
      <c r="P110" s="611">
        <v>86.346993730736358</v>
      </c>
      <c r="Q110" s="611">
        <v>2.3427124137087052</v>
      </c>
      <c r="R110" s="611">
        <v>161.8990647634788</v>
      </c>
      <c r="S110" s="611">
        <v>25.454386166903632</v>
      </c>
      <c r="T110" s="611">
        <v>0</v>
      </c>
      <c r="U110" s="619">
        <v>379.27834501543077</v>
      </c>
      <c r="V110" s="51"/>
    </row>
    <row r="111" spans="3:22" x14ac:dyDescent="0.25">
      <c r="C111" s="618" t="s">
        <v>81</v>
      </c>
      <c r="D111" s="611">
        <v>0</v>
      </c>
      <c r="E111" s="611">
        <v>0</v>
      </c>
      <c r="F111" s="611">
        <v>2.064637318394833</v>
      </c>
      <c r="G111" s="611">
        <v>0</v>
      </c>
      <c r="H111" s="611">
        <v>26.484798777657492</v>
      </c>
      <c r="I111" s="611">
        <v>0</v>
      </c>
      <c r="J111" s="611">
        <v>0</v>
      </c>
      <c r="K111" s="611">
        <v>0</v>
      </c>
      <c r="L111" s="611">
        <v>0.59757790855029691</v>
      </c>
      <c r="M111" s="611">
        <v>0</v>
      </c>
      <c r="N111" s="611">
        <v>0</v>
      </c>
      <c r="O111" s="611">
        <v>9.7957474931061963</v>
      </c>
      <c r="P111" s="611">
        <v>38.891325575185007</v>
      </c>
      <c r="Q111" s="611">
        <v>2.8464095248186312</v>
      </c>
      <c r="R111" s="611">
        <v>118.84997058968706</v>
      </c>
      <c r="S111" s="611">
        <v>18.615976216598927</v>
      </c>
      <c r="T111" s="611">
        <v>0</v>
      </c>
      <c r="U111" s="619">
        <v>218.14644340399843</v>
      </c>
      <c r="V111" s="51"/>
    </row>
    <row r="112" spans="3:22" x14ac:dyDescent="0.25">
      <c r="C112" s="618" t="s">
        <v>82</v>
      </c>
      <c r="D112" s="611">
        <v>0</v>
      </c>
      <c r="E112" s="611">
        <v>0</v>
      </c>
      <c r="F112" s="611">
        <v>22.266407522057087</v>
      </c>
      <c r="G112" s="611">
        <v>0</v>
      </c>
      <c r="H112" s="611">
        <v>1.4368148997469985</v>
      </c>
      <c r="I112" s="611">
        <v>0</v>
      </c>
      <c r="J112" s="611">
        <v>0</v>
      </c>
      <c r="K112" s="611">
        <v>0</v>
      </c>
      <c r="L112" s="611">
        <v>2.70050068143768</v>
      </c>
      <c r="M112" s="611">
        <v>0</v>
      </c>
      <c r="N112" s="611">
        <v>8.7092137788049975</v>
      </c>
      <c r="O112" s="611">
        <v>0.53142468894752004</v>
      </c>
      <c r="P112" s="611">
        <v>0.75</v>
      </c>
      <c r="Q112" s="611">
        <v>0.96290247555165809</v>
      </c>
      <c r="R112" s="611">
        <v>6.8713820538899668</v>
      </c>
      <c r="S112" s="611">
        <v>0</v>
      </c>
      <c r="T112" s="611">
        <v>0.34507271012604906</v>
      </c>
      <c r="U112" s="619">
        <v>44.573718810561957</v>
      </c>
      <c r="V112" s="51"/>
    </row>
    <row r="113" spans="3:22" x14ac:dyDescent="0.25">
      <c r="C113" s="618" t="s">
        <v>354</v>
      </c>
      <c r="D113" s="611">
        <v>0</v>
      </c>
      <c r="E113" s="611">
        <v>0</v>
      </c>
      <c r="F113" s="611">
        <v>0</v>
      </c>
      <c r="G113" s="611">
        <v>0</v>
      </c>
      <c r="H113" s="611">
        <v>0</v>
      </c>
      <c r="I113" s="611">
        <v>0</v>
      </c>
      <c r="J113" s="611">
        <v>0</v>
      </c>
      <c r="K113" s="611">
        <v>0</v>
      </c>
      <c r="L113" s="611">
        <v>0</v>
      </c>
      <c r="M113" s="611">
        <v>0</v>
      </c>
      <c r="N113" s="611">
        <v>0</v>
      </c>
      <c r="O113" s="611">
        <v>0</v>
      </c>
      <c r="P113" s="611">
        <v>0</v>
      </c>
      <c r="Q113" s="611">
        <v>0</v>
      </c>
      <c r="R113" s="611">
        <v>0.76160000000000005</v>
      </c>
      <c r="S113" s="611">
        <v>0</v>
      </c>
      <c r="T113" s="611">
        <v>0</v>
      </c>
      <c r="U113" s="619">
        <v>0.76160000000000005</v>
      </c>
      <c r="V113" s="51"/>
    </row>
    <row r="114" spans="3:22" x14ac:dyDescent="0.25">
      <c r="C114" s="614" t="s">
        <v>83</v>
      </c>
      <c r="D114" s="615">
        <v>3.6562282006850468</v>
      </c>
      <c r="E114" s="615">
        <v>0</v>
      </c>
      <c r="F114" s="615">
        <v>230.0338295903299</v>
      </c>
      <c r="G114" s="615">
        <v>0.64331320573206352</v>
      </c>
      <c r="H114" s="615">
        <v>131.63379407130904</v>
      </c>
      <c r="I114" s="615">
        <v>0</v>
      </c>
      <c r="J114" s="615">
        <v>0</v>
      </c>
      <c r="K114" s="615">
        <v>0</v>
      </c>
      <c r="L114" s="615">
        <v>74.917583606426192</v>
      </c>
      <c r="M114" s="615">
        <v>7.1035846364336246</v>
      </c>
      <c r="N114" s="615">
        <v>64.977404785129295</v>
      </c>
      <c r="O114" s="615">
        <v>48.720437569705439</v>
      </c>
      <c r="P114" s="615">
        <v>135.24093356373385</v>
      </c>
      <c r="Q114" s="615">
        <v>6.1527168623474688</v>
      </c>
      <c r="R114" s="615">
        <v>513.5821377313423</v>
      </c>
      <c r="S114" s="615">
        <v>63.998440370994686</v>
      </c>
      <c r="T114" s="615">
        <v>10.014933930659824</v>
      </c>
      <c r="U114" s="615">
        <v>1290.6753381248291</v>
      </c>
      <c r="V114" s="51"/>
    </row>
    <row r="115" spans="3:22" x14ac:dyDescent="0.25">
      <c r="C115" s="610" t="s">
        <v>84</v>
      </c>
      <c r="D115" s="611">
        <v>0</v>
      </c>
      <c r="E115" s="611">
        <v>0</v>
      </c>
      <c r="F115" s="611">
        <v>104.6693916418363</v>
      </c>
      <c r="G115" s="611">
        <v>1.7600954722087971</v>
      </c>
      <c r="H115" s="611">
        <v>11.111186214134182</v>
      </c>
      <c r="I115" s="611">
        <v>0</v>
      </c>
      <c r="J115" s="611">
        <v>0</v>
      </c>
      <c r="K115" s="611">
        <v>0</v>
      </c>
      <c r="L115" s="611">
        <v>0.224904130238229</v>
      </c>
      <c r="M115" s="611">
        <v>0</v>
      </c>
      <c r="N115" s="611">
        <v>14.54242018932838</v>
      </c>
      <c r="O115" s="611">
        <v>4.7506049603028071</v>
      </c>
      <c r="P115" s="611">
        <v>0</v>
      </c>
      <c r="Q115" s="611">
        <v>0</v>
      </c>
      <c r="R115" s="611">
        <v>0</v>
      </c>
      <c r="S115" s="611">
        <v>0</v>
      </c>
      <c r="T115" s="611">
        <v>16.030988088411341</v>
      </c>
      <c r="U115" s="619">
        <v>153.08959069646002</v>
      </c>
      <c r="V115" s="51"/>
    </row>
    <row r="116" spans="3:22" x14ac:dyDescent="0.25">
      <c r="C116" s="614" t="s">
        <v>85</v>
      </c>
      <c r="D116" s="615">
        <v>3.6562282006850468</v>
      </c>
      <c r="E116" s="615">
        <v>0</v>
      </c>
      <c r="F116" s="615">
        <v>334.70322123216619</v>
      </c>
      <c r="G116" s="615">
        <v>2.4034086779408605</v>
      </c>
      <c r="H116" s="615">
        <v>142.74498028544323</v>
      </c>
      <c r="I116" s="615">
        <v>0</v>
      </c>
      <c r="J116" s="615">
        <v>0</v>
      </c>
      <c r="K116" s="615">
        <v>0</v>
      </c>
      <c r="L116" s="615">
        <v>75.142487736664421</v>
      </c>
      <c r="M116" s="615">
        <v>7.1035846364336246</v>
      </c>
      <c r="N116" s="615">
        <v>79.519824974457677</v>
      </c>
      <c r="O116" s="615">
        <v>53.471042530008248</v>
      </c>
      <c r="P116" s="615">
        <v>135.24093356373385</v>
      </c>
      <c r="Q116" s="615">
        <v>6.1527168623474688</v>
      </c>
      <c r="R116" s="615">
        <v>513.5821377313423</v>
      </c>
      <c r="S116" s="615">
        <v>63.998440370994686</v>
      </c>
      <c r="T116" s="615">
        <v>26.045922019071163</v>
      </c>
      <c r="U116" s="615">
        <v>1443.764928821289</v>
      </c>
      <c r="V116" s="51"/>
    </row>
    <row r="117" spans="3:22" x14ac:dyDescent="0.25">
      <c r="C117" s="51"/>
      <c r="D117" s="67">
        <v>0</v>
      </c>
      <c r="E117" s="67">
        <v>0</v>
      </c>
      <c r="F117" s="67">
        <v>0</v>
      </c>
      <c r="G117" s="67">
        <v>0</v>
      </c>
      <c r="H117" s="67">
        <v>0</v>
      </c>
      <c r="I117" s="67">
        <v>0</v>
      </c>
      <c r="J117" s="67">
        <v>0</v>
      </c>
      <c r="K117" s="67">
        <v>0</v>
      </c>
      <c r="L117" s="67">
        <v>0</v>
      </c>
      <c r="M117" s="67">
        <v>-4.6787954190463665E-4</v>
      </c>
      <c r="N117" s="67">
        <v>0</v>
      </c>
      <c r="O117" s="67">
        <v>-3.1086244689504383E-15</v>
      </c>
      <c r="P117" s="67">
        <v>0</v>
      </c>
      <c r="Q117" s="67">
        <v>0</v>
      </c>
      <c r="R117" s="67">
        <v>0</v>
      </c>
      <c r="S117" s="67">
        <v>1.4210854715202004E-14</v>
      </c>
      <c r="T117" s="67">
        <v>-1.7763568394002505E-15</v>
      </c>
      <c r="U117" s="67">
        <v>-4.6787954170213197E-4</v>
      </c>
      <c r="V117" s="51"/>
    </row>
    <row r="118" spans="3:22" x14ac:dyDescent="0.25">
      <c r="C118" s="51"/>
      <c r="D118" s="51"/>
      <c r="E118" s="51"/>
      <c r="F118" s="51"/>
      <c r="G118" s="67"/>
      <c r="H118" s="51"/>
      <c r="I118" s="51"/>
      <c r="J118" s="51"/>
      <c r="K118" s="51"/>
      <c r="L118" s="51"/>
      <c r="M118" s="51"/>
      <c r="N118" s="51"/>
      <c r="O118" s="51"/>
      <c r="P118" s="51"/>
      <c r="Q118" s="51"/>
      <c r="R118" s="51"/>
      <c r="S118" s="51"/>
      <c r="T118" s="51"/>
      <c r="U118" s="51"/>
      <c r="V118" s="51"/>
    </row>
    <row r="119" spans="3:22" x14ac:dyDescent="0.25">
      <c r="C119" s="607" t="s">
        <v>359</v>
      </c>
      <c r="D119" s="606"/>
      <c r="E119" s="606"/>
      <c r="F119" s="606"/>
      <c r="G119" s="682"/>
      <c r="H119" s="606"/>
      <c r="I119" s="606"/>
      <c r="J119" s="606"/>
      <c r="K119" s="606"/>
      <c r="L119" s="606"/>
      <c r="M119" s="606"/>
      <c r="N119" s="606"/>
      <c r="O119" s="606"/>
      <c r="P119" s="606"/>
      <c r="Q119" s="606"/>
      <c r="R119" s="606"/>
      <c r="S119" s="606"/>
      <c r="T119" s="606"/>
      <c r="U119" s="606"/>
      <c r="V119" s="606"/>
    </row>
    <row r="120" spans="3:22" x14ac:dyDescent="0.25">
      <c r="C120" s="51"/>
      <c r="D120" s="51"/>
      <c r="E120" s="51"/>
      <c r="F120" s="51"/>
      <c r="G120" s="67"/>
      <c r="H120" s="51"/>
      <c r="I120" s="51"/>
      <c r="J120" s="51"/>
      <c r="K120" s="51"/>
      <c r="L120" s="51"/>
      <c r="M120" s="51"/>
      <c r="N120" s="51"/>
      <c r="O120" s="51"/>
      <c r="P120" s="51"/>
      <c r="Q120" s="51"/>
      <c r="R120" s="51"/>
      <c r="S120" s="51"/>
      <c r="T120" s="51"/>
      <c r="U120" s="51"/>
      <c r="V120" s="51"/>
    </row>
    <row r="121" spans="3:22" x14ac:dyDescent="0.25">
      <c r="C121" s="764" t="s">
        <v>128</v>
      </c>
      <c r="D121" s="753" t="s">
        <v>42</v>
      </c>
      <c r="E121" s="753" t="s">
        <v>52</v>
      </c>
      <c r="F121" s="753" t="s">
        <v>53</v>
      </c>
      <c r="G121" s="766" t="s">
        <v>482</v>
      </c>
      <c r="H121" s="753" t="s">
        <v>32</v>
      </c>
      <c r="I121" s="753" t="s">
        <v>483</v>
      </c>
      <c r="J121" s="753" t="s">
        <v>20</v>
      </c>
      <c r="K121" s="753" t="s">
        <v>55</v>
      </c>
      <c r="L121" s="761" t="s">
        <v>56</v>
      </c>
      <c r="M121" s="762"/>
      <c r="N121" s="762"/>
      <c r="O121" s="762"/>
      <c r="P121" s="762"/>
      <c r="Q121" s="763"/>
      <c r="R121" s="753" t="s">
        <v>57</v>
      </c>
      <c r="S121" s="753" t="s">
        <v>58</v>
      </c>
      <c r="T121" s="753" t="s">
        <v>31</v>
      </c>
      <c r="U121" s="753" t="s">
        <v>10</v>
      </c>
      <c r="V121" s="51"/>
    </row>
    <row r="122" spans="3:22" ht="36" x14ac:dyDescent="0.25">
      <c r="C122" s="765"/>
      <c r="D122" s="754"/>
      <c r="E122" s="754"/>
      <c r="F122" s="754"/>
      <c r="G122" s="767"/>
      <c r="H122" s="754"/>
      <c r="I122" s="754"/>
      <c r="J122" s="754"/>
      <c r="K122" s="754"/>
      <c r="L122" s="608" t="s">
        <v>335</v>
      </c>
      <c r="M122" s="608" t="s">
        <v>40</v>
      </c>
      <c r="N122" s="608" t="s">
        <v>343</v>
      </c>
      <c r="O122" s="608" t="s">
        <v>344</v>
      </c>
      <c r="P122" s="609" t="s">
        <v>345</v>
      </c>
      <c r="Q122" s="608" t="s">
        <v>346</v>
      </c>
      <c r="R122" s="754"/>
      <c r="S122" s="754"/>
      <c r="T122" s="754"/>
      <c r="U122" s="754"/>
      <c r="V122" s="51"/>
    </row>
    <row r="123" spans="3:22" x14ac:dyDescent="0.25">
      <c r="C123" s="610" t="s">
        <v>59</v>
      </c>
      <c r="D123" s="611">
        <v>0</v>
      </c>
      <c r="E123" s="611">
        <v>2.3260000000000005</v>
      </c>
      <c r="F123" s="611">
        <v>0</v>
      </c>
      <c r="G123" s="611">
        <v>0</v>
      </c>
      <c r="H123" s="611">
        <v>3.7216000000000006E-2</v>
      </c>
      <c r="I123" s="611">
        <v>0</v>
      </c>
      <c r="J123" s="612">
        <v>1162.199818181818</v>
      </c>
      <c r="K123" s="612">
        <v>371.91258763455278</v>
      </c>
      <c r="L123" s="612">
        <v>428.31581499702253</v>
      </c>
      <c r="M123" s="612">
        <v>21.832470141682652</v>
      </c>
      <c r="N123" s="611">
        <v>1.5522078310841105</v>
      </c>
      <c r="O123" s="611">
        <v>0.16457898409976487</v>
      </c>
      <c r="P123" s="612">
        <v>148.71329626041282</v>
      </c>
      <c r="Q123" s="612">
        <v>22.497992115953615</v>
      </c>
      <c r="R123" s="611">
        <v>0</v>
      </c>
      <c r="S123" s="611">
        <v>0</v>
      </c>
      <c r="T123" s="611">
        <v>0</v>
      </c>
      <c r="U123" s="613">
        <v>2159.5519821466264</v>
      </c>
      <c r="V123" s="51"/>
    </row>
    <row r="124" spans="3:22" x14ac:dyDescent="0.25">
      <c r="C124" s="610" t="s">
        <v>60</v>
      </c>
      <c r="D124" s="611">
        <v>14.018688039101649</v>
      </c>
      <c r="E124" s="611">
        <v>270.8879796629484</v>
      </c>
      <c r="F124" s="611">
        <v>26.29831217515342</v>
      </c>
      <c r="G124" s="611">
        <v>0</v>
      </c>
      <c r="H124" s="611">
        <v>132.82105117150289</v>
      </c>
      <c r="I124" s="611">
        <v>0</v>
      </c>
      <c r="J124" s="611">
        <v>0</v>
      </c>
      <c r="K124" s="611">
        <v>0</v>
      </c>
      <c r="L124" s="611">
        <v>3.8185483520995893</v>
      </c>
      <c r="M124" s="611">
        <v>0</v>
      </c>
      <c r="N124" s="611">
        <v>5.0715995071493687</v>
      </c>
      <c r="O124" s="611">
        <v>0</v>
      </c>
      <c r="P124" s="611">
        <v>0</v>
      </c>
      <c r="Q124" s="611">
        <v>0</v>
      </c>
      <c r="R124" s="611">
        <v>0</v>
      </c>
      <c r="S124" s="611">
        <v>0</v>
      </c>
      <c r="T124" s="611">
        <v>0</v>
      </c>
      <c r="U124" s="613">
        <v>452.91617890795533</v>
      </c>
      <c r="V124" s="51"/>
    </row>
    <row r="125" spans="3:22" x14ac:dyDescent="0.25">
      <c r="C125" s="610" t="s">
        <v>61</v>
      </c>
      <c r="D125" s="611">
        <v>0</v>
      </c>
      <c r="E125" s="611">
        <v>0</v>
      </c>
      <c r="F125" s="611">
        <v>3.1635560327380432</v>
      </c>
      <c r="G125" s="611">
        <v>-0.85627443515198287</v>
      </c>
      <c r="H125" s="611">
        <v>0</v>
      </c>
      <c r="I125" s="611">
        <v>0</v>
      </c>
      <c r="J125" s="611">
        <v>0</v>
      </c>
      <c r="K125" s="611">
        <v>0</v>
      </c>
      <c r="L125" s="611">
        <v>0</v>
      </c>
      <c r="M125" s="611">
        <v>0</v>
      </c>
      <c r="N125" s="611">
        <v>0</v>
      </c>
      <c r="O125" s="611">
        <v>0</v>
      </c>
      <c r="P125" s="611">
        <v>0</v>
      </c>
      <c r="Q125" s="611">
        <v>0</v>
      </c>
      <c r="R125" s="611">
        <v>-59.544479832357297</v>
      </c>
      <c r="S125" s="611">
        <v>0</v>
      </c>
      <c r="T125" s="611">
        <v>0</v>
      </c>
      <c r="U125" s="613">
        <v>-57.237198234771235</v>
      </c>
      <c r="V125" s="51"/>
    </row>
    <row r="126" spans="3:22" x14ac:dyDescent="0.25">
      <c r="C126" s="610" t="s">
        <v>62</v>
      </c>
      <c r="D126" s="611">
        <v>0</v>
      </c>
      <c r="E126" s="611">
        <v>0</v>
      </c>
      <c r="F126" s="611">
        <v>-6.7125205563218922</v>
      </c>
      <c r="G126" s="611">
        <v>-3.2950395543749584</v>
      </c>
      <c r="H126" s="611">
        <v>-0.49987622776591634</v>
      </c>
      <c r="I126" s="611">
        <v>-2.9890617212740871</v>
      </c>
      <c r="J126" s="611">
        <v>0</v>
      </c>
      <c r="K126" s="611">
        <v>0</v>
      </c>
      <c r="L126" s="611">
        <v>0</v>
      </c>
      <c r="M126" s="611">
        <v>0</v>
      </c>
      <c r="N126" s="611">
        <v>-1.2700508300617339</v>
      </c>
      <c r="O126" s="611">
        <v>-2.1176768711242038</v>
      </c>
      <c r="P126" s="611">
        <v>0</v>
      </c>
      <c r="Q126" s="611">
        <v>0</v>
      </c>
      <c r="R126" s="611">
        <v>0</v>
      </c>
      <c r="S126" s="611">
        <v>0</v>
      </c>
      <c r="T126" s="611">
        <v>-0.96281875223876434</v>
      </c>
      <c r="U126" s="613">
        <v>-17.847044513161556</v>
      </c>
      <c r="V126" s="51"/>
    </row>
    <row r="127" spans="3:22" x14ac:dyDescent="0.25">
      <c r="C127" s="610" t="s">
        <v>63</v>
      </c>
      <c r="D127" s="611">
        <v>0</v>
      </c>
      <c r="E127" s="611">
        <v>0</v>
      </c>
      <c r="F127" s="611">
        <v>-45.424019815542103</v>
      </c>
      <c r="G127" s="611">
        <v>-6.3379784988277912</v>
      </c>
      <c r="H127" s="611">
        <v>0</v>
      </c>
      <c r="I127" s="611">
        <v>0</v>
      </c>
      <c r="J127" s="611">
        <v>0</v>
      </c>
      <c r="K127" s="611">
        <v>0</v>
      </c>
      <c r="L127" s="611">
        <v>0</v>
      </c>
      <c r="M127" s="611">
        <v>0</v>
      </c>
      <c r="N127" s="611">
        <v>-13.31780034386745</v>
      </c>
      <c r="O127" s="611">
        <v>0</v>
      </c>
      <c r="P127" s="611">
        <v>0</v>
      </c>
      <c r="Q127" s="611">
        <v>0</v>
      </c>
      <c r="R127" s="611">
        <v>0</v>
      </c>
      <c r="S127" s="611">
        <v>0</v>
      </c>
      <c r="T127" s="611">
        <v>-1.794651350884874</v>
      </c>
      <c r="U127" s="613">
        <v>-66.874450009122214</v>
      </c>
      <c r="V127" s="51"/>
    </row>
    <row r="128" spans="3:22" x14ac:dyDescent="0.25">
      <c r="C128" s="610" t="s">
        <v>64</v>
      </c>
      <c r="D128" s="611">
        <v>0</v>
      </c>
      <c r="E128" s="611">
        <v>0</v>
      </c>
      <c r="F128" s="611">
        <v>0</v>
      </c>
      <c r="G128" s="611">
        <v>0</v>
      </c>
      <c r="H128" s="611">
        <v>0</v>
      </c>
      <c r="I128" s="611">
        <v>0</v>
      </c>
      <c r="J128" s="611">
        <v>0</v>
      </c>
      <c r="K128" s="611">
        <v>0</v>
      </c>
      <c r="L128" s="611">
        <v>0</v>
      </c>
      <c r="M128" s="611">
        <v>0</v>
      </c>
      <c r="N128" s="611">
        <v>0</v>
      </c>
      <c r="O128" s="611">
        <v>0</v>
      </c>
      <c r="P128" s="611">
        <v>0</v>
      </c>
      <c r="Q128" s="611">
        <v>0</v>
      </c>
      <c r="R128" s="611">
        <v>0</v>
      </c>
      <c r="S128" s="611">
        <v>0</v>
      </c>
      <c r="T128" s="611">
        <v>0</v>
      </c>
      <c r="U128" s="613">
        <v>0</v>
      </c>
      <c r="V128" s="51"/>
    </row>
    <row r="129" spans="3:22" x14ac:dyDescent="0.25">
      <c r="C129" s="614" t="s">
        <v>65</v>
      </c>
      <c r="D129" s="615">
        <v>14.018688039101649</v>
      </c>
      <c r="E129" s="615">
        <v>273.21397966294842</v>
      </c>
      <c r="F129" s="615">
        <v>-22.674672163972531</v>
      </c>
      <c r="G129" s="615">
        <v>-10.489292488354732</v>
      </c>
      <c r="H129" s="615">
        <v>132.35839094373696</v>
      </c>
      <c r="I129" s="615">
        <v>-2.9890617212740871</v>
      </c>
      <c r="J129" s="615">
        <v>1162.199818181818</v>
      </c>
      <c r="K129" s="615">
        <v>371.91258763455278</v>
      </c>
      <c r="L129" s="615">
        <v>432.13436334912211</v>
      </c>
      <c r="M129" s="615">
        <v>21.832470141682652</v>
      </c>
      <c r="N129" s="615">
        <v>-7.9640438356957048</v>
      </c>
      <c r="O129" s="615">
        <v>-1.9530978870244389</v>
      </c>
      <c r="P129" s="615">
        <v>148.71329626041282</v>
      </c>
      <c r="Q129" s="615">
        <v>22.497992115953615</v>
      </c>
      <c r="R129" s="615">
        <v>-59.544479832357297</v>
      </c>
      <c r="S129" s="615">
        <v>0</v>
      </c>
      <c r="T129" s="615">
        <v>-2.7574701031236382</v>
      </c>
      <c r="U129" s="615">
        <v>2470.5094682975268</v>
      </c>
      <c r="V129" s="51"/>
    </row>
    <row r="130" spans="3:22" x14ac:dyDescent="0.25">
      <c r="C130" s="616"/>
      <c r="D130" s="617"/>
      <c r="E130" s="617"/>
      <c r="F130" s="617"/>
      <c r="G130" s="617"/>
      <c r="H130" s="623"/>
      <c r="I130" s="617"/>
      <c r="J130" s="617"/>
      <c r="K130" s="617"/>
      <c r="L130" s="617"/>
      <c r="M130" s="617"/>
      <c r="N130" s="617"/>
      <c r="O130" s="617"/>
      <c r="P130" s="617"/>
      <c r="Q130" s="617"/>
      <c r="R130" s="617"/>
      <c r="S130" s="617"/>
      <c r="T130" s="617"/>
      <c r="U130" s="617"/>
      <c r="V130" s="51"/>
    </row>
    <row r="131" spans="3:22" x14ac:dyDescent="0.25">
      <c r="C131" s="618" t="s">
        <v>67</v>
      </c>
      <c r="D131" s="611">
        <v>0</v>
      </c>
      <c r="E131" s="611">
        <v>0</v>
      </c>
      <c r="F131" s="611">
        <v>0</v>
      </c>
      <c r="G131" s="611">
        <v>0</v>
      </c>
      <c r="H131" s="611">
        <v>0</v>
      </c>
      <c r="I131" s="611">
        <v>0</v>
      </c>
      <c r="J131" s="611">
        <v>0</v>
      </c>
      <c r="K131" s="611">
        <v>0</v>
      </c>
      <c r="L131" s="611">
        <v>0</v>
      </c>
      <c r="M131" s="611">
        <v>0</v>
      </c>
      <c r="N131" s="611">
        <v>0</v>
      </c>
      <c r="O131" s="611">
        <v>0</v>
      </c>
      <c r="P131" s="611">
        <v>0</v>
      </c>
      <c r="Q131" s="611">
        <v>0</v>
      </c>
      <c r="R131" s="611">
        <v>0</v>
      </c>
      <c r="S131" s="611">
        <v>0</v>
      </c>
      <c r="T131" s="611">
        <v>0</v>
      </c>
      <c r="U131" s="619">
        <v>0</v>
      </c>
      <c r="V131" s="51"/>
    </row>
    <row r="132" spans="3:22" x14ac:dyDescent="0.25">
      <c r="C132" s="618" t="s">
        <v>347</v>
      </c>
      <c r="D132" s="611">
        <v>0</v>
      </c>
      <c r="E132" s="611">
        <v>0</v>
      </c>
      <c r="F132" s="611">
        <v>0.36057808628354604</v>
      </c>
      <c r="G132" s="611">
        <v>0</v>
      </c>
      <c r="H132" s="611">
        <v>11.85720957473684</v>
      </c>
      <c r="I132" s="611">
        <v>0</v>
      </c>
      <c r="J132" s="611">
        <v>1162.199818181818</v>
      </c>
      <c r="K132" s="611">
        <v>371.91258763455278</v>
      </c>
      <c r="L132" s="611">
        <v>23.35467673808137</v>
      </c>
      <c r="M132" s="611">
        <v>0.6051195632921027</v>
      </c>
      <c r="N132" s="611">
        <v>5.3878161949008447</v>
      </c>
      <c r="O132" s="611">
        <v>7.0773268475558293</v>
      </c>
      <c r="P132" s="611">
        <v>0</v>
      </c>
      <c r="Q132" s="611">
        <v>4.9774137725284184</v>
      </c>
      <c r="R132" s="611">
        <v>-809.82615158881902</v>
      </c>
      <c r="S132" s="611">
        <v>0</v>
      </c>
      <c r="T132" s="611">
        <v>2.2153139999999998</v>
      </c>
      <c r="U132" s="619">
        <v>780.12170900493118</v>
      </c>
      <c r="V132" s="51"/>
    </row>
    <row r="133" spans="3:22" x14ac:dyDescent="0.25">
      <c r="C133" s="618" t="s">
        <v>348</v>
      </c>
      <c r="D133" s="611">
        <v>0</v>
      </c>
      <c r="E133" s="611">
        <v>0</v>
      </c>
      <c r="F133" s="611">
        <v>0</v>
      </c>
      <c r="G133" s="611">
        <v>0</v>
      </c>
      <c r="H133" s="611">
        <v>9.1306644834570143</v>
      </c>
      <c r="I133" s="611">
        <v>0</v>
      </c>
      <c r="J133" s="611">
        <v>0</v>
      </c>
      <c r="K133" s="611">
        <v>0</v>
      </c>
      <c r="L133" s="611">
        <v>35.120993050701685</v>
      </c>
      <c r="M133" s="611">
        <v>14.187122516158354</v>
      </c>
      <c r="N133" s="611">
        <v>0</v>
      </c>
      <c r="O133" s="611">
        <v>5.376679884494675</v>
      </c>
      <c r="P133" s="611">
        <v>0</v>
      </c>
      <c r="Q133" s="611">
        <v>10.750796331510863</v>
      </c>
      <c r="R133" s="611">
        <v>0</v>
      </c>
      <c r="S133" s="611">
        <v>-68.975341890525812</v>
      </c>
      <c r="T133" s="611">
        <v>0</v>
      </c>
      <c r="U133" s="619">
        <v>5.5909143757967854</v>
      </c>
      <c r="V133" s="51"/>
    </row>
    <row r="134" spans="3:22" x14ac:dyDescent="0.25">
      <c r="C134" s="618" t="s">
        <v>349</v>
      </c>
      <c r="D134" s="611">
        <v>0</v>
      </c>
      <c r="E134" s="611">
        <v>0</v>
      </c>
      <c r="F134" s="611">
        <v>0</v>
      </c>
      <c r="G134" s="611">
        <v>0</v>
      </c>
      <c r="H134" s="611">
        <v>0</v>
      </c>
      <c r="I134" s="611">
        <v>0</v>
      </c>
      <c r="J134" s="611">
        <v>0</v>
      </c>
      <c r="K134" s="611">
        <v>0</v>
      </c>
      <c r="L134" s="611">
        <v>90.922618226552515</v>
      </c>
      <c r="M134" s="611">
        <v>0</v>
      </c>
      <c r="N134" s="611">
        <v>0</v>
      </c>
      <c r="O134" s="611">
        <v>-82.66993696120025</v>
      </c>
      <c r="P134" s="611">
        <v>0</v>
      </c>
      <c r="Q134" s="611">
        <v>0</v>
      </c>
      <c r="R134" s="611">
        <v>0</v>
      </c>
      <c r="S134" s="611">
        <v>0</v>
      </c>
      <c r="T134" s="611">
        <v>0</v>
      </c>
      <c r="U134" s="619">
        <v>8.2526812653522654</v>
      </c>
      <c r="V134" s="51"/>
    </row>
    <row r="135" spans="3:22" x14ac:dyDescent="0.25">
      <c r="C135" s="618" t="s">
        <v>350</v>
      </c>
      <c r="D135" s="611">
        <v>0</v>
      </c>
      <c r="E135" s="611">
        <v>0</v>
      </c>
      <c r="F135" s="611">
        <v>0</v>
      </c>
      <c r="G135" s="611">
        <v>0</v>
      </c>
      <c r="H135" s="611">
        <v>0</v>
      </c>
      <c r="I135" s="611">
        <v>-2.9890617212740871</v>
      </c>
      <c r="J135" s="611">
        <v>0</v>
      </c>
      <c r="K135" s="611">
        <v>0</v>
      </c>
      <c r="L135" s="611">
        <v>0</v>
      </c>
      <c r="M135" s="611">
        <v>0</v>
      </c>
      <c r="N135" s="611">
        <v>0</v>
      </c>
      <c r="O135" s="611">
        <v>0</v>
      </c>
      <c r="P135" s="611">
        <v>0</v>
      </c>
      <c r="Q135" s="611">
        <v>0</v>
      </c>
      <c r="R135" s="611">
        <v>0</v>
      </c>
      <c r="S135" s="611">
        <v>0</v>
      </c>
      <c r="T135" s="611">
        <v>4.1514746128806763</v>
      </c>
      <c r="U135" s="619">
        <v>1.1624128916065892</v>
      </c>
      <c r="V135" s="51"/>
    </row>
    <row r="136" spans="3:22" x14ac:dyDescent="0.25">
      <c r="C136" s="618" t="s">
        <v>72</v>
      </c>
      <c r="D136" s="611">
        <v>0</v>
      </c>
      <c r="E136" s="611">
        <v>283.1271683530257</v>
      </c>
      <c r="F136" s="611">
        <v>-280.30617492402195</v>
      </c>
      <c r="G136" s="611">
        <v>0</v>
      </c>
      <c r="H136" s="611">
        <v>0</v>
      </c>
      <c r="I136" s="611">
        <v>0</v>
      </c>
      <c r="J136" s="611">
        <v>0</v>
      </c>
      <c r="K136" s="611">
        <v>0</v>
      </c>
      <c r="L136" s="611">
        <v>0</v>
      </c>
      <c r="M136" s="611">
        <v>0</v>
      </c>
      <c r="N136" s="611">
        <v>0</v>
      </c>
      <c r="O136" s="611">
        <v>0</v>
      </c>
      <c r="P136" s="611">
        <v>0</v>
      </c>
      <c r="Q136" s="611">
        <v>0</v>
      </c>
      <c r="R136" s="611">
        <v>0</v>
      </c>
      <c r="S136" s="611">
        <v>0</v>
      </c>
      <c r="T136" s="611">
        <v>0</v>
      </c>
      <c r="U136" s="619">
        <v>2.8209934290037495</v>
      </c>
      <c r="V136" s="51"/>
    </row>
    <row r="137" spans="3:22" x14ac:dyDescent="0.25">
      <c r="C137" s="618" t="s">
        <v>351</v>
      </c>
      <c r="D137" s="611">
        <v>0</v>
      </c>
      <c r="E137" s="611">
        <v>0</v>
      </c>
      <c r="F137" s="611">
        <v>0</v>
      </c>
      <c r="G137" s="611">
        <v>0</v>
      </c>
      <c r="H137" s="611">
        <v>0</v>
      </c>
      <c r="I137" s="611">
        <v>0</v>
      </c>
      <c r="J137" s="611">
        <v>0</v>
      </c>
      <c r="K137" s="611">
        <v>0</v>
      </c>
      <c r="L137" s="611">
        <v>211.26822673401878</v>
      </c>
      <c r="M137" s="611">
        <v>0</v>
      </c>
      <c r="N137" s="611">
        <v>-116.19752470371033</v>
      </c>
      <c r="O137" s="611">
        <v>0</v>
      </c>
      <c r="P137" s="611">
        <v>0</v>
      </c>
      <c r="Q137" s="611">
        <v>0</v>
      </c>
      <c r="R137" s="611">
        <v>0</v>
      </c>
      <c r="S137" s="611">
        <v>0</v>
      </c>
      <c r="T137" s="611">
        <v>0</v>
      </c>
      <c r="U137" s="619">
        <v>95.070702030308453</v>
      </c>
      <c r="V137" s="51"/>
    </row>
    <row r="138" spans="3:22" x14ac:dyDescent="0.25">
      <c r="C138" s="618" t="s">
        <v>352</v>
      </c>
      <c r="D138" s="611">
        <v>0</v>
      </c>
      <c r="E138" s="611">
        <v>0</v>
      </c>
      <c r="F138" s="611">
        <v>0</v>
      </c>
      <c r="G138" s="611">
        <v>-13.61496514917124</v>
      </c>
      <c r="H138" s="611">
        <v>0</v>
      </c>
      <c r="I138" s="611">
        <v>0</v>
      </c>
      <c r="J138" s="611">
        <v>0</v>
      </c>
      <c r="K138" s="611">
        <v>0</v>
      </c>
      <c r="L138" s="611">
        <v>0</v>
      </c>
      <c r="M138" s="611">
        <v>0</v>
      </c>
      <c r="N138" s="611">
        <v>0</v>
      </c>
      <c r="O138" s="611">
        <v>0</v>
      </c>
      <c r="P138" s="611">
        <v>0</v>
      </c>
      <c r="Q138" s="611">
        <v>0</v>
      </c>
      <c r="R138" s="611">
        <v>0</v>
      </c>
      <c r="S138" s="611">
        <v>0</v>
      </c>
      <c r="T138" s="611">
        <v>17.7682733969807</v>
      </c>
      <c r="U138" s="619">
        <v>4.1533082478094592</v>
      </c>
      <c r="V138" s="51"/>
    </row>
    <row r="139" spans="3:22" x14ac:dyDescent="0.25">
      <c r="C139" s="618" t="s">
        <v>73</v>
      </c>
      <c r="D139" s="611">
        <v>0</v>
      </c>
      <c r="E139" s="611">
        <v>0</v>
      </c>
      <c r="F139" s="611">
        <v>0</v>
      </c>
      <c r="G139" s="611">
        <v>0</v>
      </c>
      <c r="H139" s="611">
        <v>0</v>
      </c>
      <c r="I139" s="611">
        <v>0</v>
      </c>
      <c r="J139" s="611">
        <v>0</v>
      </c>
      <c r="K139" s="611">
        <v>0</v>
      </c>
      <c r="L139" s="611">
        <v>0</v>
      </c>
      <c r="M139" s="611">
        <v>0</v>
      </c>
      <c r="N139" s="611">
        <v>0</v>
      </c>
      <c r="O139" s="611">
        <v>0</v>
      </c>
      <c r="P139" s="611">
        <v>0</v>
      </c>
      <c r="Q139" s="611">
        <v>0</v>
      </c>
      <c r="R139" s="611">
        <v>95.094141088203713</v>
      </c>
      <c r="S139" s="611">
        <v>0</v>
      </c>
      <c r="T139" s="611">
        <v>-64.473827657802119</v>
      </c>
      <c r="U139" s="619">
        <v>30.620313430401595</v>
      </c>
      <c r="V139" s="51"/>
    </row>
    <row r="140" spans="3:22" x14ac:dyDescent="0.25">
      <c r="C140" s="618" t="s">
        <v>353</v>
      </c>
      <c r="D140" s="611">
        <v>7.8269305078124995</v>
      </c>
      <c r="E140" s="611">
        <v>-9.913188690077277</v>
      </c>
      <c r="F140" s="611">
        <v>12.914884415071832</v>
      </c>
      <c r="G140" s="611">
        <v>0</v>
      </c>
      <c r="H140" s="611">
        <v>0</v>
      </c>
      <c r="I140" s="611">
        <v>0</v>
      </c>
      <c r="J140" s="611">
        <v>0</v>
      </c>
      <c r="K140" s="611">
        <v>0</v>
      </c>
      <c r="L140" s="611">
        <v>0</v>
      </c>
      <c r="M140" s="611">
        <v>0</v>
      </c>
      <c r="N140" s="611">
        <v>0</v>
      </c>
      <c r="O140" s="611">
        <v>0</v>
      </c>
      <c r="P140" s="611">
        <v>0</v>
      </c>
      <c r="Q140" s="611">
        <v>0</v>
      </c>
      <c r="R140" s="611">
        <v>0</v>
      </c>
      <c r="S140" s="611">
        <v>0</v>
      </c>
      <c r="T140" s="611">
        <v>0</v>
      </c>
      <c r="U140" s="619">
        <v>10.828626232807053</v>
      </c>
      <c r="V140" s="51"/>
    </row>
    <row r="141" spans="3:22" x14ac:dyDescent="0.25">
      <c r="C141" s="618" t="s">
        <v>75</v>
      </c>
      <c r="D141" s="611">
        <v>3.0438063085937501</v>
      </c>
      <c r="E141" s="611">
        <v>0</v>
      </c>
      <c r="F141" s="611">
        <v>9.7210991282801391</v>
      </c>
      <c r="G141" s="611">
        <v>0</v>
      </c>
      <c r="H141" s="611">
        <v>3.2664120682994437</v>
      </c>
      <c r="I141" s="611">
        <v>0</v>
      </c>
      <c r="J141" s="611">
        <v>0</v>
      </c>
      <c r="K141" s="611">
        <v>0</v>
      </c>
      <c r="L141" s="611">
        <v>0</v>
      </c>
      <c r="M141" s="611">
        <v>0</v>
      </c>
      <c r="N141" s="611">
        <v>0</v>
      </c>
      <c r="O141" s="611">
        <v>1.9850542794488581</v>
      </c>
      <c r="P141" s="611">
        <v>0</v>
      </c>
      <c r="Q141" s="611">
        <v>0</v>
      </c>
      <c r="R141" s="611">
        <v>63.494449496220589</v>
      </c>
      <c r="S141" s="611">
        <v>0</v>
      </c>
      <c r="T141" s="611">
        <v>0</v>
      </c>
      <c r="U141" s="619">
        <v>81.510821280842777</v>
      </c>
      <c r="V141" s="51"/>
    </row>
    <row r="142" spans="3:22" x14ac:dyDescent="0.25">
      <c r="C142" s="618" t="s">
        <v>76</v>
      </c>
      <c r="D142" s="611">
        <v>0</v>
      </c>
      <c r="E142" s="611">
        <v>0</v>
      </c>
      <c r="F142" s="611">
        <v>0</v>
      </c>
      <c r="G142" s="611">
        <v>0</v>
      </c>
      <c r="H142" s="611">
        <v>1.449304487001404</v>
      </c>
      <c r="I142" s="611">
        <v>0</v>
      </c>
      <c r="J142" s="611">
        <v>0</v>
      </c>
      <c r="K142" s="611">
        <v>0</v>
      </c>
      <c r="L142" s="611">
        <v>0</v>
      </c>
      <c r="M142" s="611">
        <v>0</v>
      </c>
      <c r="N142" s="611">
        <v>0</v>
      </c>
      <c r="O142" s="611">
        <v>0.88076703550889179</v>
      </c>
      <c r="P142" s="611">
        <v>0</v>
      </c>
      <c r="Q142" s="611">
        <v>0</v>
      </c>
      <c r="R142" s="611">
        <v>57.445441282352888</v>
      </c>
      <c r="S142" s="611">
        <v>5.3495376277801165</v>
      </c>
      <c r="T142" s="611">
        <v>0</v>
      </c>
      <c r="U142" s="619">
        <v>65.125050432643306</v>
      </c>
      <c r="V142" s="51"/>
    </row>
    <row r="143" spans="3:22" x14ac:dyDescent="0.25">
      <c r="C143" s="614" t="s">
        <v>77</v>
      </c>
      <c r="D143" s="615">
        <v>10.87073681640625</v>
      </c>
      <c r="E143" s="615">
        <v>273.21397966294842</v>
      </c>
      <c r="F143" s="615">
        <v>-257.30961329438645</v>
      </c>
      <c r="G143" s="615">
        <v>-13.61496514917124</v>
      </c>
      <c r="H143" s="615">
        <v>25.703590613494701</v>
      </c>
      <c r="I143" s="615">
        <v>-2.9890617212740871</v>
      </c>
      <c r="J143" s="615">
        <v>1162.199818181818</v>
      </c>
      <c r="K143" s="615">
        <v>371.91258763455278</v>
      </c>
      <c r="L143" s="615">
        <v>360.66651474935435</v>
      </c>
      <c r="M143" s="615">
        <v>14.792242079450457</v>
      </c>
      <c r="N143" s="615">
        <v>-110.80970850880948</v>
      </c>
      <c r="O143" s="615">
        <v>-67.350108914191992</v>
      </c>
      <c r="P143" s="615">
        <v>0</v>
      </c>
      <c r="Q143" s="615">
        <v>15.728210104039281</v>
      </c>
      <c r="R143" s="615">
        <v>-593.79211972204178</v>
      </c>
      <c r="S143" s="615">
        <v>-63.625804262745696</v>
      </c>
      <c r="T143" s="615">
        <v>-40.338765647940747</v>
      </c>
      <c r="U143" s="615">
        <v>1085.2575326215033</v>
      </c>
      <c r="V143" s="51"/>
    </row>
    <row r="144" spans="3:22" x14ac:dyDescent="0.25">
      <c r="C144" s="616"/>
      <c r="D144" s="617"/>
      <c r="E144" s="617"/>
      <c r="F144" s="617"/>
      <c r="G144" s="617"/>
      <c r="H144" s="623"/>
      <c r="I144" s="617"/>
      <c r="J144" s="617"/>
      <c r="K144" s="617"/>
      <c r="L144" s="617"/>
      <c r="M144" s="617"/>
      <c r="N144" s="617"/>
      <c r="O144" s="617"/>
      <c r="P144" s="617"/>
      <c r="Q144" s="617"/>
      <c r="R144" s="617"/>
      <c r="S144" s="617"/>
      <c r="T144" s="617"/>
      <c r="U144" s="617"/>
      <c r="V144" s="51"/>
    </row>
    <row r="145" spans="3:22" x14ac:dyDescent="0.25">
      <c r="C145" s="618" t="s">
        <v>78</v>
      </c>
      <c r="D145" s="611">
        <v>3.1479512226953994</v>
      </c>
      <c r="E145" s="611">
        <v>0</v>
      </c>
      <c r="F145" s="611">
        <v>7.3437351704458669</v>
      </c>
      <c r="G145" s="611">
        <v>0</v>
      </c>
      <c r="H145" s="611">
        <v>47.748408510748327</v>
      </c>
      <c r="I145" s="611">
        <v>0</v>
      </c>
      <c r="J145" s="611">
        <v>0</v>
      </c>
      <c r="K145" s="611">
        <v>0</v>
      </c>
      <c r="L145" s="611">
        <v>22.07297303718682</v>
      </c>
      <c r="M145" s="611">
        <v>7.0398001823904393</v>
      </c>
      <c r="N145" s="611">
        <v>1.8141076681280928</v>
      </c>
      <c r="O145" s="611">
        <v>29.054305571352941</v>
      </c>
      <c r="P145" s="611">
        <v>11.680015624999999</v>
      </c>
      <c r="Q145" s="611">
        <v>7.4990210834655101E-4</v>
      </c>
      <c r="R145" s="611">
        <v>169.36564151206954</v>
      </c>
      <c r="S145" s="611">
        <v>20.361092617344379</v>
      </c>
      <c r="T145" s="611">
        <v>8.2949111328124996</v>
      </c>
      <c r="U145" s="619">
        <v>327.92369215228263</v>
      </c>
      <c r="V145" s="51"/>
    </row>
    <row r="146" spans="3:22" x14ac:dyDescent="0.25">
      <c r="C146" s="618" t="s">
        <v>79</v>
      </c>
      <c r="D146" s="611">
        <v>0</v>
      </c>
      <c r="E146" s="611">
        <v>0</v>
      </c>
      <c r="F146" s="611">
        <v>117.18993365145114</v>
      </c>
      <c r="G146" s="611">
        <v>1.1502523332163914</v>
      </c>
      <c r="H146" s="611">
        <v>4.819889599277416</v>
      </c>
      <c r="I146" s="611">
        <v>0</v>
      </c>
      <c r="J146" s="611">
        <v>0</v>
      </c>
      <c r="K146" s="611">
        <v>0</v>
      </c>
      <c r="L146" s="611">
        <v>0</v>
      </c>
      <c r="M146" s="611">
        <v>0</v>
      </c>
      <c r="N146" s="611">
        <v>66.206077394178237</v>
      </c>
      <c r="O146" s="611">
        <v>2.9291290490785586</v>
      </c>
      <c r="P146" s="611">
        <v>0</v>
      </c>
      <c r="Q146" s="611">
        <v>0</v>
      </c>
      <c r="R146" s="611">
        <v>81.27523543109001</v>
      </c>
      <c r="S146" s="611">
        <v>0</v>
      </c>
      <c r="T146" s="611">
        <v>3.9485258535759078</v>
      </c>
      <c r="U146" s="619">
        <v>277.51904331186768</v>
      </c>
      <c r="V146" s="51"/>
    </row>
    <row r="147" spans="3:22" x14ac:dyDescent="0.25">
      <c r="C147" s="618" t="s">
        <v>80</v>
      </c>
      <c r="D147" s="611">
        <v>0</v>
      </c>
      <c r="E147" s="611">
        <v>0</v>
      </c>
      <c r="F147" s="611">
        <v>1.6468320076287117</v>
      </c>
      <c r="G147" s="611">
        <v>0</v>
      </c>
      <c r="H147" s="611">
        <v>25.682284030722609</v>
      </c>
      <c r="I147" s="611">
        <v>0</v>
      </c>
      <c r="J147" s="611">
        <v>0</v>
      </c>
      <c r="K147" s="611">
        <v>0</v>
      </c>
      <c r="L147" s="611">
        <v>45.576984042024812</v>
      </c>
      <c r="M147" s="611">
        <v>0</v>
      </c>
      <c r="N147" s="611">
        <v>0</v>
      </c>
      <c r="O147" s="611">
        <v>15.60756167783464</v>
      </c>
      <c r="P147" s="611">
        <v>92.9157768842542</v>
      </c>
      <c r="Q147" s="611">
        <v>2.574236293616976</v>
      </c>
      <c r="R147" s="611">
        <v>156.93618693881999</v>
      </c>
      <c r="S147" s="611">
        <v>24.427235185684346</v>
      </c>
      <c r="T147" s="611">
        <v>0</v>
      </c>
      <c r="U147" s="619">
        <v>365.36709706058627</v>
      </c>
      <c r="V147" s="51"/>
    </row>
    <row r="148" spans="3:22" x14ac:dyDescent="0.25">
      <c r="C148" s="618" t="s">
        <v>81</v>
      </c>
      <c r="D148" s="611">
        <v>0</v>
      </c>
      <c r="E148" s="611">
        <v>0</v>
      </c>
      <c r="F148" s="611">
        <v>1.271612584053831</v>
      </c>
      <c r="G148" s="611">
        <v>0</v>
      </c>
      <c r="H148" s="611">
        <v>17.420753976777231</v>
      </c>
      <c r="I148" s="611">
        <v>0</v>
      </c>
      <c r="J148" s="611">
        <v>0</v>
      </c>
      <c r="K148" s="611">
        <v>0</v>
      </c>
      <c r="L148" s="611">
        <v>0.56354292606487522</v>
      </c>
      <c r="M148" s="611">
        <v>0</v>
      </c>
      <c r="N148" s="611">
        <v>0</v>
      </c>
      <c r="O148" s="611">
        <v>10.586889072703848</v>
      </c>
      <c r="P148" s="611">
        <v>43.217503751158631</v>
      </c>
      <c r="Q148" s="611">
        <v>3.0292625971252525</v>
      </c>
      <c r="R148" s="611">
        <v>117.52524441411241</v>
      </c>
      <c r="S148" s="611">
        <v>18.837476459716978</v>
      </c>
      <c r="T148" s="611">
        <v>0</v>
      </c>
      <c r="U148" s="619">
        <v>212.45228578171304</v>
      </c>
      <c r="V148" s="51"/>
    </row>
    <row r="149" spans="3:22" x14ac:dyDescent="0.25">
      <c r="C149" s="618" t="s">
        <v>82</v>
      </c>
      <c r="D149" s="611">
        <v>0</v>
      </c>
      <c r="E149" s="611">
        <v>0</v>
      </c>
      <c r="F149" s="611">
        <v>15.53708337722879</v>
      </c>
      <c r="G149" s="611">
        <v>0</v>
      </c>
      <c r="H149" s="611">
        <v>1.1162643592180237</v>
      </c>
      <c r="I149" s="611">
        <v>0</v>
      </c>
      <c r="J149" s="611">
        <v>0</v>
      </c>
      <c r="K149" s="611">
        <v>0</v>
      </c>
      <c r="L149" s="611">
        <v>2.9587607663349296</v>
      </c>
      <c r="M149" s="611">
        <v>0</v>
      </c>
      <c r="N149" s="611">
        <v>12.733577925179564</v>
      </c>
      <c r="O149" s="611">
        <v>0.67837287425146786</v>
      </c>
      <c r="P149" s="611">
        <v>0.9</v>
      </c>
      <c r="Q149" s="611">
        <v>1.1655332190637568</v>
      </c>
      <c r="R149" s="611">
        <v>6.8855315935924812</v>
      </c>
      <c r="S149" s="611">
        <v>0</v>
      </c>
      <c r="T149" s="611">
        <v>0.44791890791865185</v>
      </c>
      <c r="U149" s="619">
        <v>42.423043022787667</v>
      </c>
      <c r="V149" s="51"/>
    </row>
    <row r="150" spans="3:22" x14ac:dyDescent="0.25">
      <c r="C150" s="618" t="s">
        <v>354</v>
      </c>
      <c r="D150" s="611">
        <v>0</v>
      </c>
      <c r="E150" s="611">
        <v>0</v>
      </c>
      <c r="F150" s="611">
        <v>0</v>
      </c>
      <c r="G150" s="611">
        <v>0</v>
      </c>
      <c r="H150" s="611">
        <v>0</v>
      </c>
      <c r="I150" s="611">
        <v>0</v>
      </c>
      <c r="J150" s="611">
        <v>0</v>
      </c>
      <c r="K150" s="611">
        <v>0</v>
      </c>
      <c r="L150" s="611">
        <v>0</v>
      </c>
      <c r="M150" s="611">
        <v>0</v>
      </c>
      <c r="N150" s="611">
        <v>0</v>
      </c>
      <c r="O150" s="611">
        <v>0</v>
      </c>
      <c r="P150" s="611">
        <v>0</v>
      </c>
      <c r="Q150" s="611">
        <v>0</v>
      </c>
      <c r="R150" s="611">
        <v>2.2597999999999998</v>
      </c>
      <c r="S150" s="611">
        <v>0</v>
      </c>
      <c r="T150" s="611">
        <v>0</v>
      </c>
      <c r="U150" s="619">
        <v>2.2597999999999998</v>
      </c>
      <c r="V150" s="51"/>
    </row>
    <row r="151" spans="3:22" x14ac:dyDescent="0.25">
      <c r="C151" s="614" t="s">
        <v>83</v>
      </c>
      <c r="D151" s="615">
        <v>3.1479512226953994</v>
      </c>
      <c r="E151" s="615">
        <v>0</v>
      </c>
      <c r="F151" s="615">
        <v>142.98919679080834</v>
      </c>
      <c r="G151" s="615">
        <v>1.1502523332163914</v>
      </c>
      <c r="H151" s="615">
        <v>96.787600476743606</v>
      </c>
      <c r="I151" s="615">
        <v>0</v>
      </c>
      <c r="J151" s="615">
        <v>0</v>
      </c>
      <c r="K151" s="615">
        <v>0</v>
      </c>
      <c r="L151" s="615">
        <v>71.172260771611434</v>
      </c>
      <c r="M151" s="615">
        <v>7.0398001823904393</v>
      </c>
      <c r="N151" s="615">
        <v>80.753762987485885</v>
      </c>
      <c r="O151" s="615">
        <v>58.856258245221454</v>
      </c>
      <c r="P151" s="615">
        <v>148.71329626041282</v>
      </c>
      <c r="Q151" s="615">
        <v>6.7697820119143319</v>
      </c>
      <c r="R151" s="615">
        <v>534.24763988968448</v>
      </c>
      <c r="S151" s="615">
        <v>63.625804262745703</v>
      </c>
      <c r="T151" s="615">
        <v>12.691355894307058</v>
      </c>
      <c r="U151" s="615">
        <v>1227.9449613292372</v>
      </c>
      <c r="V151" s="51"/>
    </row>
    <row r="152" spans="3:22" x14ac:dyDescent="0.25">
      <c r="C152" s="610" t="s">
        <v>84</v>
      </c>
      <c r="D152" s="611">
        <v>0</v>
      </c>
      <c r="E152" s="611">
        <v>0</v>
      </c>
      <c r="F152" s="611">
        <v>91.645744339605585</v>
      </c>
      <c r="G152" s="611">
        <v>1.9754203276001159</v>
      </c>
      <c r="H152" s="611">
        <v>9.8671998534986294</v>
      </c>
      <c r="I152" s="611">
        <v>0</v>
      </c>
      <c r="J152" s="611">
        <v>0</v>
      </c>
      <c r="K152" s="611">
        <v>0</v>
      </c>
      <c r="L152" s="611">
        <v>0.29558782815630974</v>
      </c>
      <c r="M152" s="611">
        <v>0</v>
      </c>
      <c r="N152" s="611">
        <v>22.091901685627885</v>
      </c>
      <c r="O152" s="611">
        <v>6.5407527819460896</v>
      </c>
      <c r="P152" s="611">
        <v>0</v>
      </c>
      <c r="Q152" s="611">
        <v>0</v>
      </c>
      <c r="R152" s="611">
        <v>0</v>
      </c>
      <c r="S152" s="611">
        <v>0</v>
      </c>
      <c r="T152" s="611">
        <v>24.889939650510044</v>
      </c>
      <c r="U152" s="619">
        <v>157.30654646694467</v>
      </c>
      <c r="V152" s="51"/>
    </row>
    <row r="153" spans="3:22" x14ac:dyDescent="0.25">
      <c r="C153" s="614" t="s">
        <v>85</v>
      </c>
      <c r="D153" s="615">
        <v>3.1479512226953994</v>
      </c>
      <c r="E153" s="615">
        <v>0</v>
      </c>
      <c r="F153" s="615">
        <v>234.63494113041392</v>
      </c>
      <c r="G153" s="615">
        <v>3.1256726608165071</v>
      </c>
      <c r="H153" s="615">
        <v>106.65480033024224</v>
      </c>
      <c r="I153" s="615">
        <v>0</v>
      </c>
      <c r="J153" s="615">
        <v>0</v>
      </c>
      <c r="K153" s="615">
        <v>0</v>
      </c>
      <c r="L153" s="615">
        <v>71.467848599767748</v>
      </c>
      <c r="M153" s="615">
        <v>7.0398001823904393</v>
      </c>
      <c r="N153" s="615">
        <v>102.84566467311377</v>
      </c>
      <c r="O153" s="615">
        <v>65.397011027167537</v>
      </c>
      <c r="P153" s="615">
        <v>148.71329626041282</v>
      </c>
      <c r="Q153" s="615">
        <v>6.7697820119143319</v>
      </c>
      <c r="R153" s="615">
        <v>534.24763988968448</v>
      </c>
      <c r="S153" s="615">
        <v>63.625804262745703</v>
      </c>
      <c r="T153" s="615">
        <v>37.581295544817102</v>
      </c>
      <c r="U153" s="615">
        <v>1385.2515077961818</v>
      </c>
      <c r="V153" s="51"/>
    </row>
    <row r="154" spans="3:22" x14ac:dyDescent="0.25">
      <c r="C154" s="51"/>
      <c r="D154" s="67">
        <v>0</v>
      </c>
      <c r="E154" s="67">
        <v>0</v>
      </c>
      <c r="F154" s="67">
        <v>0</v>
      </c>
      <c r="G154" s="67">
        <v>0</v>
      </c>
      <c r="H154" s="67">
        <v>0</v>
      </c>
      <c r="I154" s="67">
        <v>0</v>
      </c>
      <c r="J154" s="67">
        <v>0</v>
      </c>
      <c r="K154" s="67">
        <v>0</v>
      </c>
      <c r="L154" s="67">
        <v>0</v>
      </c>
      <c r="M154" s="67">
        <v>-4.2787984175518545E-4</v>
      </c>
      <c r="N154" s="67">
        <v>0</v>
      </c>
      <c r="O154" s="67">
        <v>-1.6431300764452317E-14</v>
      </c>
      <c r="P154" s="67">
        <v>0</v>
      </c>
      <c r="Q154" s="67">
        <v>0</v>
      </c>
      <c r="R154" s="67">
        <v>0</v>
      </c>
      <c r="S154" s="67">
        <v>7.1054273576010019E-15</v>
      </c>
      <c r="T154" s="67">
        <v>-6.2172489379008766E-15</v>
      </c>
      <c r="U154" s="67">
        <v>-4.278798414816265E-4</v>
      </c>
      <c r="V154" s="51"/>
    </row>
    <row r="155" spans="3:22" x14ac:dyDescent="0.25">
      <c r="C155" s="51"/>
      <c r="D155" s="51"/>
      <c r="E155" s="51"/>
      <c r="F155" s="51"/>
      <c r="G155" s="67"/>
      <c r="H155" s="51"/>
      <c r="I155" s="51"/>
      <c r="J155" s="51"/>
      <c r="K155" s="51"/>
      <c r="L155" s="51"/>
      <c r="M155" s="51"/>
      <c r="N155" s="51"/>
      <c r="O155" s="51"/>
      <c r="P155" s="51"/>
      <c r="Q155" s="51"/>
      <c r="R155" s="51"/>
      <c r="S155" s="51"/>
      <c r="T155" s="51"/>
      <c r="U155" s="51"/>
      <c r="V155" s="51"/>
    </row>
    <row r="156" spans="3:22" x14ac:dyDescent="0.25">
      <c r="C156" s="607" t="s">
        <v>360</v>
      </c>
      <c r="D156" s="606"/>
      <c r="E156" s="606"/>
      <c r="F156" s="606"/>
      <c r="G156" s="682"/>
      <c r="H156" s="606"/>
      <c r="I156" s="606"/>
      <c r="J156" s="606"/>
      <c r="K156" s="606"/>
      <c r="L156" s="606"/>
      <c r="M156" s="606"/>
      <c r="N156" s="606"/>
      <c r="O156" s="606"/>
      <c r="P156" s="606"/>
      <c r="Q156" s="606"/>
      <c r="R156" s="606"/>
      <c r="S156" s="606"/>
      <c r="T156" s="606"/>
      <c r="U156" s="606"/>
      <c r="V156" s="606"/>
    </row>
    <row r="157" spans="3:22" x14ac:dyDescent="0.25">
      <c r="C157" s="51"/>
      <c r="D157" s="51"/>
      <c r="E157" s="51"/>
      <c r="F157" s="51"/>
      <c r="G157" s="67"/>
      <c r="H157" s="51"/>
      <c r="I157" s="51"/>
      <c r="J157" s="51"/>
      <c r="K157" s="51"/>
      <c r="L157" s="51"/>
      <c r="M157" s="51"/>
      <c r="N157" s="51"/>
      <c r="O157" s="51"/>
      <c r="P157" s="51"/>
      <c r="Q157" s="51"/>
      <c r="R157" s="51"/>
      <c r="S157" s="51"/>
      <c r="T157" s="51"/>
      <c r="U157" s="51"/>
      <c r="V157" s="51"/>
    </row>
    <row r="158" spans="3:22" x14ac:dyDescent="0.25">
      <c r="C158" s="764" t="s">
        <v>128</v>
      </c>
      <c r="D158" s="753" t="s">
        <v>42</v>
      </c>
      <c r="E158" s="753" t="s">
        <v>52</v>
      </c>
      <c r="F158" s="753" t="s">
        <v>53</v>
      </c>
      <c r="G158" s="766" t="s">
        <v>482</v>
      </c>
      <c r="H158" s="753" t="s">
        <v>32</v>
      </c>
      <c r="I158" s="753" t="s">
        <v>483</v>
      </c>
      <c r="J158" s="753" t="s">
        <v>20</v>
      </c>
      <c r="K158" s="753" t="s">
        <v>55</v>
      </c>
      <c r="L158" s="761" t="s">
        <v>56</v>
      </c>
      <c r="M158" s="762"/>
      <c r="N158" s="762"/>
      <c r="O158" s="762"/>
      <c r="P158" s="762"/>
      <c r="Q158" s="763"/>
      <c r="R158" s="753" t="s">
        <v>57</v>
      </c>
      <c r="S158" s="753" t="s">
        <v>58</v>
      </c>
      <c r="T158" s="753" t="s">
        <v>31</v>
      </c>
      <c r="U158" s="753" t="s">
        <v>10</v>
      </c>
      <c r="V158" s="51"/>
    </row>
    <row r="159" spans="3:22" ht="36" x14ac:dyDescent="0.25">
      <c r="C159" s="765"/>
      <c r="D159" s="754"/>
      <c r="E159" s="754"/>
      <c r="F159" s="754"/>
      <c r="G159" s="767"/>
      <c r="H159" s="754"/>
      <c r="I159" s="754"/>
      <c r="J159" s="754"/>
      <c r="K159" s="754"/>
      <c r="L159" s="608" t="s">
        <v>335</v>
      </c>
      <c r="M159" s="608" t="s">
        <v>40</v>
      </c>
      <c r="N159" s="608" t="s">
        <v>343</v>
      </c>
      <c r="O159" s="608" t="s">
        <v>344</v>
      </c>
      <c r="P159" s="609" t="s">
        <v>345</v>
      </c>
      <c r="Q159" s="608" t="s">
        <v>346</v>
      </c>
      <c r="R159" s="754"/>
      <c r="S159" s="754"/>
      <c r="T159" s="754"/>
      <c r="U159" s="754"/>
      <c r="V159" s="51"/>
    </row>
    <row r="160" spans="3:22" x14ac:dyDescent="0.25">
      <c r="C160" s="610" t="s">
        <v>59</v>
      </c>
      <c r="D160" s="611">
        <v>0</v>
      </c>
      <c r="E160" s="611">
        <v>0</v>
      </c>
      <c r="F160" s="611">
        <v>0</v>
      </c>
      <c r="G160" s="611">
        <v>0</v>
      </c>
      <c r="H160" s="611">
        <v>0</v>
      </c>
      <c r="I160" s="611">
        <v>0</v>
      </c>
      <c r="J160" s="612">
        <v>1175.1327636363635</v>
      </c>
      <c r="K160" s="612">
        <v>409.44348403288171</v>
      </c>
      <c r="L160" s="612">
        <v>455.63054491967773</v>
      </c>
      <c r="M160" s="612">
        <v>21.888057205261063</v>
      </c>
      <c r="N160" s="611">
        <v>1.5769202529293118</v>
      </c>
      <c r="O160" s="611">
        <v>0.16705675062100381</v>
      </c>
      <c r="P160" s="612">
        <v>157.62105211134346</v>
      </c>
      <c r="Q160" s="612">
        <v>24.53711550235386</v>
      </c>
      <c r="R160" s="611">
        <v>0</v>
      </c>
      <c r="S160" s="611">
        <v>0</v>
      </c>
      <c r="T160" s="611">
        <v>0</v>
      </c>
      <c r="U160" s="613">
        <v>2245.9969944114318</v>
      </c>
      <c r="V160" s="51"/>
    </row>
    <row r="161" spans="3:22" x14ac:dyDescent="0.25">
      <c r="C161" s="610" t="s">
        <v>60</v>
      </c>
      <c r="D161" s="611">
        <v>13.340633881136302</v>
      </c>
      <c r="E161" s="611">
        <v>239.69119414034884</v>
      </c>
      <c r="F161" s="611">
        <v>4.6624671135986846</v>
      </c>
      <c r="G161" s="611">
        <v>0</v>
      </c>
      <c r="H161" s="611">
        <v>97.60128544811127</v>
      </c>
      <c r="I161" s="611">
        <v>0</v>
      </c>
      <c r="J161" s="611">
        <v>0</v>
      </c>
      <c r="K161" s="611">
        <v>0</v>
      </c>
      <c r="L161" s="611">
        <v>4.1311012816916577</v>
      </c>
      <c r="M161" s="611">
        <v>0</v>
      </c>
      <c r="N161" s="611">
        <v>5.4710090626624357</v>
      </c>
      <c r="O161" s="611">
        <v>0</v>
      </c>
      <c r="P161" s="611">
        <v>0</v>
      </c>
      <c r="Q161" s="611">
        <v>0</v>
      </c>
      <c r="R161" s="611">
        <v>0</v>
      </c>
      <c r="S161" s="611">
        <v>0</v>
      </c>
      <c r="T161" s="611">
        <v>0</v>
      </c>
      <c r="U161" s="613">
        <v>364.89769092754926</v>
      </c>
      <c r="V161" s="51"/>
    </row>
    <row r="162" spans="3:22" x14ac:dyDescent="0.25">
      <c r="C162" s="610" t="s">
        <v>61</v>
      </c>
      <c r="D162" s="611">
        <v>0</v>
      </c>
      <c r="E162" s="611">
        <v>0</v>
      </c>
      <c r="F162" s="611">
        <v>-17.494356691854108</v>
      </c>
      <c r="G162" s="611">
        <v>-1.7254456421765063</v>
      </c>
      <c r="H162" s="611">
        <v>0</v>
      </c>
      <c r="I162" s="611">
        <v>0</v>
      </c>
      <c r="J162" s="611">
        <v>0</v>
      </c>
      <c r="K162" s="611">
        <v>0</v>
      </c>
      <c r="L162" s="611">
        <v>0</v>
      </c>
      <c r="M162" s="611">
        <v>0</v>
      </c>
      <c r="N162" s="611">
        <v>0</v>
      </c>
      <c r="O162" s="611">
        <v>0</v>
      </c>
      <c r="P162" s="611">
        <v>0</v>
      </c>
      <c r="Q162" s="611">
        <v>0</v>
      </c>
      <c r="R162" s="611">
        <v>-53.009184488039523</v>
      </c>
      <c r="S162" s="611">
        <v>0</v>
      </c>
      <c r="T162" s="611">
        <v>0</v>
      </c>
      <c r="U162" s="613">
        <v>-72.228986822070141</v>
      </c>
      <c r="V162" s="51"/>
    </row>
    <row r="163" spans="3:22" x14ac:dyDescent="0.25">
      <c r="C163" s="610" t="s">
        <v>62</v>
      </c>
      <c r="D163" s="611">
        <v>0</v>
      </c>
      <c r="E163" s="611">
        <v>0</v>
      </c>
      <c r="F163" s="611">
        <v>-5.0879563574801514</v>
      </c>
      <c r="G163" s="611">
        <v>-4.1045183661856841</v>
      </c>
      <c r="H163" s="611">
        <v>0</v>
      </c>
      <c r="I163" s="611">
        <v>-3.6084739343150005</v>
      </c>
      <c r="J163" s="611">
        <v>0</v>
      </c>
      <c r="K163" s="611">
        <v>0</v>
      </c>
      <c r="L163" s="611">
        <v>0</v>
      </c>
      <c r="M163" s="611">
        <v>0</v>
      </c>
      <c r="N163" s="611">
        <v>-1.3861783673523449</v>
      </c>
      <c r="O163" s="611">
        <v>-2.4056492895433337</v>
      </c>
      <c r="P163" s="611">
        <v>0</v>
      </c>
      <c r="Q163" s="611">
        <v>0</v>
      </c>
      <c r="R163" s="611">
        <v>0</v>
      </c>
      <c r="S163" s="611">
        <v>0</v>
      </c>
      <c r="T163" s="611">
        <v>-1.1711400462326651</v>
      </c>
      <c r="U163" s="613">
        <v>-17.763916361109182</v>
      </c>
      <c r="V163" s="51"/>
    </row>
    <row r="164" spans="3:22" x14ac:dyDescent="0.25">
      <c r="C164" s="610" t="s">
        <v>63</v>
      </c>
      <c r="D164" s="611">
        <v>0</v>
      </c>
      <c r="E164" s="611">
        <v>0</v>
      </c>
      <c r="F164" s="611">
        <v>-39.079068395762839</v>
      </c>
      <c r="G164" s="611">
        <v>-8.2277507760007769</v>
      </c>
      <c r="H164" s="611">
        <v>0</v>
      </c>
      <c r="I164" s="611">
        <v>0</v>
      </c>
      <c r="J164" s="611">
        <v>0</v>
      </c>
      <c r="K164" s="611">
        <v>0</v>
      </c>
      <c r="L164" s="611">
        <v>0</v>
      </c>
      <c r="M164" s="611">
        <v>0</v>
      </c>
      <c r="N164" s="611">
        <v>-15.189693740309128</v>
      </c>
      <c r="O164" s="611">
        <v>0</v>
      </c>
      <c r="P164" s="611">
        <v>0</v>
      </c>
      <c r="Q164" s="611">
        <v>0</v>
      </c>
      <c r="R164" s="611">
        <v>0</v>
      </c>
      <c r="S164" s="611">
        <v>0</v>
      </c>
      <c r="T164" s="611">
        <v>-2.6141112366127883</v>
      </c>
      <c r="U164" s="613">
        <v>-65.110624148685531</v>
      </c>
      <c r="V164" s="51"/>
    </row>
    <row r="165" spans="3:22" x14ac:dyDescent="0.25">
      <c r="C165" s="610" t="s">
        <v>64</v>
      </c>
      <c r="D165" s="611">
        <v>0</v>
      </c>
      <c r="E165" s="611">
        <v>0</v>
      </c>
      <c r="F165" s="611">
        <v>0</v>
      </c>
      <c r="G165" s="611">
        <v>0</v>
      </c>
      <c r="H165" s="611">
        <v>0</v>
      </c>
      <c r="I165" s="611">
        <v>0</v>
      </c>
      <c r="J165" s="611">
        <v>0</v>
      </c>
      <c r="K165" s="611">
        <v>0</v>
      </c>
      <c r="L165" s="611">
        <v>0</v>
      </c>
      <c r="M165" s="611">
        <v>0</v>
      </c>
      <c r="N165" s="611">
        <v>0</v>
      </c>
      <c r="O165" s="611">
        <v>0</v>
      </c>
      <c r="P165" s="611">
        <v>0</v>
      </c>
      <c r="Q165" s="611">
        <v>0</v>
      </c>
      <c r="R165" s="611">
        <v>0</v>
      </c>
      <c r="S165" s="611">
        <v>0</v>
      </c>
      <c r="T165" s="611">
        <v>0</v>
      </c>
      <c r="U165" s="613">
        <v>0</v>
      </c>
      <c r="V165" s="51"/>
    </row>
    <row r="166" spans="3:22" x14ac:dyDescent="0.25">
      <c r="C166" s="614" t="s">
        <v>65</v>
      </c>
      <c r="D166" s="615">
        <v>13.340633881136302</v>
      </c>
      <c r="E166" s="615">
        <v>239.69119414034884</v>
      </c>
      <c r="F166" s="615">
        <v>-56.998914331498412</v>
      </c>
      <c r="G166" s="615">
        <v>-14.057714784362968</v>
      </c>
      <c r="H166" s="615">
        <v>97.60128544811127</v>
      </c>
      <c r="I166" s="615">
        <v>-3.6084739343150005</v>
      </c>
      <c r="J166" s="615">
        <v>1175.1327636363635</v>
      </c>
      <c r="K166" s="615">
        <v>409.44348403288171</v>
      </c>
      <c r="L166" s="615">
        <v>459.76164620136939</v>
      </c>
      <c r="M166" s="615">
        <v>21.888057205261063</v>
      </c>
      <c r="N166" s="615">
        <v>-9.5279427920697266</v>
      </c>
      <c r="O166" s="615">
        <v>-2.23859253892233</v>
      </c>
      <c r="P166" s="615">
        <v>157.62105211134346</v>
      </c>
      <c r="Q166" s="615">
        <v>24.53711550235386</v>
      </c>
      <c r="R166" s="615">
        <v>-53.009184488039523</v>
      </c>
      <c r="S166" s="615">
        <v>0</v>
      </c>
      <c r="T166" s="615">
        <v>-3.7852512828454534</v>
      </c>
      <c r="U166" s="615">
        <v>2455.7911580071163</v>
      </c>
      <c r="V166" s="51"/>
    </row>
    <row r="167" spans="3:22" x14ac:dyDescent="0.25">
      <c r="C167" s="616"/>
      <c r="D167" s="617"/>
      <c r="E167" s="617"/>
      <c r="F167" s="617"/>
      <c r="G167" s="617"/>
      <c r="H167" s="623"/>
      <c r="I167" s="617"/>
      <c r="J167" s="617"/>
      <c r="K167" s="617"/>
      <c r="L167" s="617"/>
      <c r="M167" s="617"/>
      <c r="N167" s="617"/>
      <c r="O167" s="617"/>
      <c r="P167" s="617"/>
      <c r="Q167" s="617"/>
      <c r="R167" s="617"/>
      <c r="S167" s="617"/>
      <c r="T167" s="617"/>
      <c r="U167" s="617"/>
      <c r="V167" s="51"/>
    </row>
    <row r="168" spans="3:22" x14ac:dyDescent="0.25">
      <c r="C168" s="618" t="s">
        <v>67</v>
      </c>
      <c r="D168" s="611">
        <v>0</v>
      </c>
      <c r="E168" s="611">
        <v>0</v>
      </c>
      <c r="F168" s="611">
        <v>0</v>
      </c>
      <c r="G168" s="611">
        <v>0</v>
      </c>
      <c r="H168" s="611">
        <v>0</v>
      </c>
      <c r="I168" s="611">
        <v>0</v>
      </c>
      <c r="J168" s="611">
        <v>0</v>
      </c>
      <c r="K168" s="611">
        <v>0</v>
      </c>
      <c r="L168" s="611">
        <v>0</v>
      </c>
      <c r="M168" s="611">
        <v>0</v>
      </c>
      <c r="N168" s="611">
        <v>0</v>
      </c>
      <c r="O168" s="611">
        <v>0</v>
      </c>
      <c r="P168" s="611">
        <v>0</v>
      </c>
      <c r="Q168" s="611">
        <v>0</v>
      </c>
      <c r="R168" s="611">
        <v>0</v>
      </c>
      <c r="S168" s="611">
        <v>0</v>
      </c>
      <c r="T168" s="611">
        <v>0</v>
      </c>
      <c r="U168" s="619">
        <v>0</v>
      </c>
      <c r="V168" s="51"/>
    </row>
    <row r="169" spans="3:22" x14ac:dyDescent="0.25">
      <c r="C169" s="618" t="s">
        <v>347</v>
      </c>
      <c r="D169" s="611">
        <v>0</v>
      </c>
      <c r="E169" s="611">
        <v>0</v>
      </c>
      <c r="F169" s="611">
        <v>6.6151953400033478E-2</v>
      </c>
      <c r="G169" s="611">
        <v>0</v>
      </c>
      <c r="H169" s="611">
        <v>0.83875095652173937</v>
      </c>
      <c r="I169" s="611">
        <v>0</v>
      </c>
      <c r="J169" s="611">
        <v>1175.1327636363635</v>
      </c>
      <c r="K169" s="611">
        <v>409.44348403288171</v>
      </c>
      <c r="L169" s="611">
        <v>23.084193835391716</v>
      </c>
      <c r="M169" s="611">
        <v>0.60990924478748687</v>
      </c>
      <c r="N169" s="611">
        <v>5.6269378379330357</v>
      </c>
      <c r="O169" s="611">
        <v>0.80015093186061059</v>
      </c>
      <c r="P169" s="611">
        <v>0</v>
      </c>
      <c r="Q169" s="611">
        <v>6.4327567473291545</v>
      </c>
      <c r="R169" s="611">
        <v>-844.61232621268675</v>
      </c>
      <c r="S169" s="611">
        <v>0</v>
      </c>
      <c r="T169" s="611">
        <v>3.6921899999999996</v>
      </c>
      <c r="U169" s="619">
        <v>781.1149629637822</v>
      </c>
      <c r="V169" s="51"/>
    </row>
    <row r="170" spans="3:22" x14ac:dyDescent="0.25">
      <c r="C170" s="618" t="s">
        <v>348</v>
      </c>
      <c r="D170" s="611">
        <v>0</v>
      </c>
      <c r="E170" s="611">
        <v>0</v>
      </c>
      <c r="F170" s="611">
        <v>0</v>
      </c>
      <c r="G170" s="611">
        <v>0</v>
      </c>
      <c r="H170" s="611">
        <v>7.3970017533359673</v>
      </c>
      <c r="I170" s="611">
        <v>0</v>
      </c>
      <c r="J170" s="611">
        <v>0</v>
      </c>
      <c r="K170" s="611">
        <v>0</v>
      </c>
      <c r="L170" s="611">
        <v>35.211219886643882</v>
      </c>
      <c r="M170" s="611">
        <v>14.290044583270845</v>
      </c>
      <c r="N170" s="611">
        <v>0</v>
      </c>
      <c r="O170" s="611">
        <v>6.0665861374245376</v>
      </c>
      <c r="P170" s="611">
        <v>0</v>
      </c>
      <c r="Q170" s="611">
        <v>10.923199976732462</v>
      </c>
      <c r="R170" s="611">
        <v>0</v>
      </c>
      <c r="S170" s="611">
        <v>-68.689846406921419</v>
      </c>
      <c r="T170" s="611">
        <v>0</v>
      </c>
      <c r="U170" s="619">
        <v>5.1982059304862673</v>
      </c>
      <c r="V170" s="51"/>
    </row>
    <row r="171" spans="3:22" x14ac:dyDescent="0.25">
      <c r="C171" s="618" t="s">
        <v>349</v>
      </c>
      <c r="D171" s="611">
        <v>0</v>
      </c>
      <c r="E171" s="611">
        <v>0</v>
      </c>
      <c r="F171" s="611">
        <v>0</v>
      </c>
      <c r="G171" s="611">
        <v>0</v>
      </c>
      <c r="H171" s="611">
        <v>0</v>
      </c>
      <c r="I171" s="611">
        <v>0</v>
      </c>
      <c r="J171" s="611">
        <v>0</v>
      </c>
      <c r="K171" s="611">
        <v>0</v>
      </c>
      <c r="L171" s="611">
        <v>91.2295818617647</v>
      </c>
      <c r="M171" s="611">
        <v>0</v>
      </c>
      <c r="N171" s="611">
        <v>0</v>
      </c>
      <c r="O171" s="611">
        <v>-82.683413983490482</v>
      </c>
      <c r="P171" s="611">
        <v>0</v>
      </c>
      <c r="Q171" s="611">
        <v>0</v>
      </c>
      <c r="R171" s="611">
        <v>0</v>
      </c>
      <c r="S171" s="611">
        <v>0</v>
      </c>
      <c r="T171" s="611">
        <v>0</v>
      </c>
      <c r="U171" s="619">
        <v>8.5461678782742183</v>
      </c>
      <c r="V171" s="51"/>
    </row>
    <row r="172" spans="3:22" x14ac:dyDescent="0.25">
      <c r="C172" s="618" t="s">
        <v>350</v>
      </c>
      <c r="D172" s="611">
        <v>0</v>
      </c>
      <c r="E172" s="611">
        <v>0</v>
      </c>
      <c r="F172" s="611">
        <v>0</v>
      </c>
      <c r="G172" s="611">
        <v>0</v>
      </c>
      <c r="H172" s="611">
        <v>0</v>
      </c>
      <c r="I172" s="611">
        <v>-3.6084739343150005</v>
      </c>
      <c r="J172" s="611">
        <v>0</v>
      </c>
      <c r="K172" s="611">
        <v>0</v>
      </c>
      <c r="L172" s="611">
        <v>0</v>
      </c>
      <c r="M172" s="611">
        <v>0</v>
      </c>
      <c r="N172" s="611">
        <v>0</v>
      </c>
      <c r="O172" s="611">
        <v>0</v>
      </c>
      <c r="P172" s="611">
        <v>0</v>
      </c>
      <c r="Q172" s="611">
        <v>0</v>
      </c>
      <c r="R172" s="611">
        <v>0</v>
      </c>
      <c r="S172" s="611">
        <v>0</v>
      </c>
      <c r="T172" s="611">
        <v>5.0117693532152785</v>
      </c>
      <c r="U172" s="619">
        <v>1.403295418900278</v>
      </c>
      <c r="V172" s="51"/>
    </row>
    <row r="173" spans="3:22" x14ac:dyDescent="0.25">
      <c r="C173" s="618" t="s">
        <v>72</v>
      </c>
      <c r="D173" s="611">
        <v>0</v>
      </c>
      <c r="E173" s="611">
        <v>248.37987406049137</v>
      </c>
      <c r="F173" s="611">
        <v>-245.90430306488159</v>
      </c>
      <c r="G173" s="611">
        <v>0</v>
      </c>
      <c r="H173" s="611">
        <v>0</v>
      </c>
      <c r="I173" s="611">
        <v>0</v>
      </c>
      <c r="J173" s="611">
        <v>0</v>
      </c>
      <c r="K173" s="611">
        <v>0</v>
      </c>
      <c r="L173" s="611">
        <v>0</v>
      </c>
      <c r="M173" s="611">
        <v>0</v>
      </c>
      <c r="N173" s="611">
        <v>0</v>
      </c>
      <c r="O173" s="611">
        <v>0</v>
      </c>
      <c r="P173" s="611">
        <v>0</v>
      </c>
      <c r="Q173" s="611">
        <v>0</v>
      </c>
      <c r="R173" s="611">
        <v>0</v>
      </c>
      <c r="S173" s="611">
        <v>0</v>
      </c>
      <c r="T173" s="611">
        <v>0</v>
      </c>
      <c r="U173" s="619">
        <v>2.475570995609786</v>
      </c>
      <c r="V173" s="51"/>
    </row>
    <row r="174" spans="3:22" x14ac:dyDescent="0.25">
      <c r="C174" s="618" t="s">
        <v>351</v>
      </c>
      <c r="D174" s="611">
        <v>0</v>
      </c>
      <c r="E174" s="611">
        <v>0</v>
      </c>
      <c r="F174" s="611">
        <v>0</v>
      </c>
      <c r="G174" s="611">
        <v>0</v>
      </c>
      <c r="H174" s="611">
        <v>0</v>
      </c>
      <c r="I174" s="611">
        <v>0</v>
      </c>
      <c r="J174" s="611">
        <v>0</v>
      </c>
      <c r="K174" s="611">
        <v>0</v>
      </c>
      <c r="L174" s="611">
        <v>241.23547887431721</v>
      </c>
      <c r="M174" s="611">
        <v>0</v>
      </c>
      <c r="N174" s="611">
        <v>-132.67951338087448</v>
      </c>
      <c r="O174" s="611">
        <v>0</v>
      </c>
      <c r="P174" s="611">
        <v>0</v>
      </c>
      <c r="Q174" s="611">
        <v>0</v>
      </c>
      <c r="R174" s="611">
        <v>0</v>
      </c>
      <c r="S174" s="611">
        <v>0</v>
      </c>
      <c r="T174" s="611">
        <v>0</v>
      </c>
      <c r="U174" s="619">
        <v>108.55596549344273</v>
      </c>
      <c r="V174" s="51"/>
    </row>
    <row r="175" spans="3:22" x14ac:dyDescent="0.25">
      <c r="C175" s="618" t="s">
        <v>352</v>
      </c>
      <c r="D175" s="611">
        <v>0</v>
      </c>
      <c r="E175" s="611">
        <v>0</v>
      </c>
      <c r="F175" s="611">
        <v>0</v>
      </c>
      <c r="G175" s="611">
        <v>-17.665386413709186</v>
      </c>
      <c r="H175" s="611">
        <v>0</v>
      </c>
      <c r="I175" s="611">
        <v>0</v>
      </c>
      <c r="J175" s="611">
        <v>0</v>
      </c>
      <c r="K175" s="611">
        <v>0</v>
      </c>
      <c r="L175" s="611">
        <v>0</v>
      </c>
      <c r="M175" s="611">
        <v>0</v>
      </c>
      <c r="N175" s="611">
        <v>0</v>
      </c>
      <c r="O175" s="611">
        <v>0</v>
      </c>
      <c r="P175" s="611">
        <v>0</v>
      </c>
      <c r="Q175" s="611">
        <v>0</v>
      </c>
      <c r="R175" s="611">
        <v>0</v>
      </c>
      <c r="S175" s="611">
        <v>0</v>
      </c>
      <c r="T175" s="611">
        <v>23.034172245220685</v>
      </c>
      <c r="U175" s="619">
        <v>5.3687858315114987</v>
      </c>
      <c r="V175" s="51"/>
    </row>
    <row r="176" spans="3:22" x14ac:dyDescent="0.25">
      <c r="C176" s="618" t="s">
        <v>73</v>
      </c>
      <c r="D176" s="611">
        <v>0</v>
      </c>
      <c r="E176" s="611">
        <v>0</v>
      </c>
      <c r="F176" s="611">
        <v>0</v>
      </c>
      <c r="G176" s="611">
        <v>0</v>
      </c>
      <c r="H176" s="611">
        <v>0</v>
      </c>
      <c r="I176" s="611">
        <v>0</v>
      </c>
      <c r="J176" s="611">
        <v>0</v>
      </c>
      <c r="K176" s="611">
        <v>0</v>
      </c>
      <c r="L176" s="611">
        <v>0</v>
      </c>
      <c r="M176" s="611">
        <v>0</v>
      </c>
      <c r="N176" s="611">
        <v>0</v>
      </c>
      <c r="O176" s="611">
        <v>0</v>
      </c>
      <c r="P176" s="611">
        <v>0</v>
      </c>
      <c r="Q176" s="611">
        <v>0</v>
      </c>
      <c r="R176" s="611">
        <v>117.85286984461516</v>
      </c>
      <c r="S176" s="611">
        <v>0</v>
      </c>
      <c r="T176" s="611">
        <v>-80.729215843561391</v>
      </c>
      <c r="U176" s="619">
        <v>37.123654001053765</v>
      </c>
      <c r="V176" s="51"/>
    </row>
    <row r="177" spans="3:22" x14ac:dyDescent="0.25">
      <c r="C177" s="618" t="s">
        <v>353</v>
      </c>
      <c r="D177" s="611">
        <v>7.6015399218749993</v>
      </c>
      <c r="E177" s="611">
        <v>-8.6886799201425244</v>
      </c>
      <c r="F177" s="611">
        <v>11.323469941688563</v>
      </c>
      <c r="G177" s="611">
        <v>0</v>
      </c>
      <c r="H177" s="611">
        <v>0</v>
      </c>
      <c r="I177" s="611">
        <v>0</v>
      </c>
      <c r="J177" s="611">
        <v>0</v>
      </c>
      <c r="K177" s="611">
        <v>0</v>
      </c>
      <c r="L177" s="611">
        <v>0</v>
      </c>
      <c r="M177" s="611">
        <v>0</v>
      </c>
      <c r="N177" s="611">
        <v>0</v>
      </c>
      <c r="O177" s="611">
        <v>0</v>
      </c>
      <c r="P177" s="611">
        <v>0</v>
      </c>
      <c r="Q177" s="611">
        <v>0</v>
      </c>
      <c r="R177" s="611">
        <v>0</v>
      </c>
      <c r="S177" s="611">
        <v>0</v>
      </c>
      <c r="T177" s="611">
        <v>0</v>
      </c>
      <c r="U177" s="619">
        <v>10.236329943421037</v>
      </c>
      <c r="V177" s="51"/>
    </row>
    <row r="178" spans="3:22" x14ac:dyDescent="0.25">
      <c r="C178" s="618" t="s">
        <v>75</v>
      </c>
      <c r="D178" s="611">
        <v>2.9561544140625</v>
      </c>
      <c r="E178" s="611">
        <v>0</v>
      </c>
      <c r="F178" s="611">
        <v>8.5207834498967969</v>
      </c>
      <c r="G178" s="611">
        <v>0</v>
      </c>
      <c r="H178" s="611">
        <v>2.8438669910513061</v>
      </c>
      <c r="I178" s="611">
        <v>0</v>
      </c>
      <c r="J178" s="611">
        <v>0</v>
      </c>
      <c r="K178" s="611">
        <v>0</v>
      </c>
      <c r="L178" s="611">
        <v>0</v>
      </c>
      <c r="M178" s="611">
        <v>0</v>
      </c>
      <c r="N178" s="611">
        <v>0</v>
      </c>
      <c r="O178" s="611">
        <v>2.3268002654056139</v>
      </c>
      <c r="P178" s="611">
        <v>0</v>
      </c>
      <c r="Q178" s="611">
        <v>0</v>
      </c>
      <c r="R178" s="611">
        <v>65.316211737855681</v>
      </c>
      <c r="S178" s="611">
        <v>0</v>
      </c>
      <c r="T178" s="611">
        <v>0</v>
      </c>
      <c r="U178" s="619">
        <v>81.963816858271898</v>
      </c>
      <c r="V178" s="51"/>
    </row>
    <row r="179" spans="3:22" x14ac:dyDescent="0.25">
      <c r="C179" s="618" t="s">
        <v>76</v>
      </c>
      <c r="D179" s="611">
        <v>0</v>
      </c>
      <c r="E179" s="611">
        <v>0</v>
      </c>
      <c r="F179" s="611">
        <v>0</v>
      </c>
      <c r="G179" s="611">
        <v>0</v>
      </c>
      <c r="H179" s="611">
        <v>1.0508214280770161</v>
      </c>
      <c r="I179" s="611">
        <v>0</v>
      </c>
      <c r="J179" s="611">
        <v>0</v>
      </c>
      <c r="K179" s="611">
        <v>0</v>
      </c>
      <c r="L179" s="611">
        <v>0</v>
      </c>
      <c r="M179" s="611">
        <v>0</v>
      </c>
      <c r="N179" s="611">
        <v>0</v>
      </c>
      <c r="O179" s="611">
        <v>0.85976298660846773</v>
      </c>
      <c r="P179" s="611">
        <v>0</v>
      </c>
      <c r="Q179" s="611">
        <v>0</v>
      </c>
      <c r="R179" s="611">
        <v>60.605480102995763</v>
      </c>
      <c r="S179" s="611">
        <v>5.3274820450671472</v>
      </c>
      <c r="T179" s="611">
        <v>0</v>
      </c>
      <c r="U179" s="619">
        <v>67.843546562748386</v>
      </c>
      <c r="V179" s="51"/>
    </row>
    <row r="180" spans="3:22" x14ac:dyDescent="0.25">
      <c r="C180" s="614" t="s">
        <v>77</v>
      </c>
      <c r="D180" s="615">
        <v>10.5576943359375</v>
      </c>
      <c r="E180" s="615">
        <v>239.69119414034884</v>
      </c>
      <c r="F180" s="615">
        <v>-225.99389771989621</v>
      </c>
      <c r="G180" s="615">
        <v>-17.665386413709186</v>
      </c>
      <c r="H180" s="615">
        <v>12.13044112898603</v>
      </c>
      <c r="I180" s="615">
        <v>-3.6084739343150005</v>
      </c>
      <c r="J180" s="615">
        <v>1175.1327636363635</v>
      </c>
      <c r="K180" s="615">
        <v>409.44348403288171</v>
      </c>
      <c r="L180" s="615">
        <v>390.76047445811753</v>
      </c>
      <c r="M180" s="615">
        <v>14.899953828058331</v>
      </c>
      <c r="N180" s="615">
        <v>-127.05257554294144</v>
      </c>
      <c r="O180" s="615">
        <v>-72.630113662191249</v>
      </c>
      <c r="P180" s="615">
        <v>0</v>
      </c>
      <c r="Q180" s="615">
        <v>17.355956724061617</v>
      </c>
      <c r="R180" s="615">
        <v>-600.83776452722009</v>
      </c>
      <c r="S180" s="615">
        <v>-63.362364361854269</v>
      </c>
      <c r="T180" s="615">
        <v>-48.991084245125428</v>
      </c>
      <c r="U180" s="615">
        <v>1109.8303018775021</v>
      </c>
      <c r="V180" s="51"/>
    </row>
    <row r="181" spans="3:22" x14ac:dyDescent="0.25">
      <c r="C181" s="616"/>
      <c r="D181" s="617"/>
      <c r="E181" s="617"/>
      <c r="F181" s="617"/>
      <c r="G181" s="617"/>
      <c r="H181" s="623"/>
      <c r="I181" s="617"/>
      <c r="J181" s="617"/>
      <c r="K181" s="617"/>
      <c r="L181" s="617"/>
      <c r="M181" s="617"/>
      <c r="N181" s="617"/>
      <c r="O181" s="617"/>
      <c r="P181" s="617"/>
      <c r="Q181" s="617"/>
      <c r="R181" s="617"/>
      <c r="S181" s="617"/>
      <c r="T181" s="617"/>
      <c r="U181" s="617"/>
      <c r="V181" s="51"/>
    </row>
    <row r="182" spans="3:22" x14ac:dyDescent="0.25">
      <c r="C182" s="618" t="s">
        <v>78</v>
      </c>
      <c r="D182" s="611">
        <v>2.7829395451988024</v>
      </c>
      <c r="E182" s="611">
        <v>0</v>
      </c>
      <c r="F182" s="611">
        <v>5.9508631597557615</v>
      </c>
      <c r="G182" s="611">
        <v>0</v>
      </c>
      <c r="H182" s="611">
        <v>39.502554352900951</v>
      </c>
      <c r="I182" s="611">
        <v>0</v>
      </c>
      <c r="J182" s="611">
        <v>0</v>
      </c>
      <c r="K182" s="611">
        <v>0</v>
      </c>
      <c r="L182" s="611">
        <v>22.312304964799452</v>
      </c>
      <c r="M182" s="611">
        <v>6.9877021638277412</v>
      </c>
      <c r="N182" s="611">
        <v>2.0803229791147206</v>
      </c>
      <c r="O182" s="611">
        <v>32.358934550865669</v>
      </c>
      <c r="P182" s="611">
        <v>13.3040771484375</v>
      </c>
      <c r="Q182" s="611">
        <v>7.8820466826144567E-4</v>
      </c>
      <c r="R182" s="611">
        <v>173.89525275416003</v>
      </c>
      <c r="S182" s="611">
        <v>20.634753208520429</v>
      </c>
      <c r="T182" s="611">
        <v>9.0650810546875</v>
      </c>
      <c r="U182" s="619">
        <v>328.87557408693681</v>
      </c>
      <c r="V182" s="51"/>
    </row>
    <row r="183" spans="3:22" x14ac:dyDescent="0.25">
      <c r="C183" s="618" t="s">
        <v>79</v>
      </c>
      <c r="D183" s="611">
        <v>0</v>
      </c>
      <c r="E183" s="611">
        <v>0</v>
      </c>
      <c r="F183" s="611">
        <v>66.70797411064288</v>
      </c>
      <c r="G183" s="611">
        <v>1.4882117515392765</v>
      </c>
      <c r="H183" s="611">
        <v>4.2678947974839696</v>
      </c>
      <c r="I183" s="611">
        <v>0</v>
      </c>
      <c r="J183" s="611">
        <v>0</v>
      </c>
      <c r="K183" s="611">
        <v>0</v>
      </c>
      <c r="L183" s="611">
        <v>0</v>
      </c>
      <c r="M183" s="611">
        <v>0</v>
      </c>
      <c r="N183" s="611">
        <v>73.593483349125535</v>
      </c>
      <c r="O183" s="611">
        <v>3.4919139252141571</v>
      </c>
      <c r="P183" s="611">
        <v>0</v>
      </c>
      <c r="Q183" s="611">
        <v>0</v>
      </c>
      <c r="R183" s="611">
        <v>93.510067312183125</v>
      </c>
      <c r="S183" s="611">
        <v>0</v>
      </c>
      <c r="T183" s="611">
        <v>4.8685919891456626</v>
      </c>
      <c r="U183" s="619">
        <v>247.92813723533465</v>
      </c>
      <c r="V183" s="51"/>
    </row>
    <row r="184" spans="3:22" x14ac:dyDescent="0.25">
      <c r="C184" s="618" t="s">
        <v>80</v>
      </c>
      <c r="D184" s="611">
        <v>0</v>
      </c>
      <c r="E184" s="611">
        <v>0</v>
      </c>
      <c r="F184" s="611">
        <v>0.70989784165710235</v>
      </c>
      <c r="G184" s="611">
        <v>0</v>
      </c>
      <c r="H184" s="611">
        <v>19.424181377554081</v>
      </c>
      <c r="I184" s="611">
        <v>0</v>
      </c>
      <c r="J184" s="611">
        <v>0</v>
      </c>
      <c r="K184" s="611">
        <v>0</v>
      </c>
      <c r="L184" s="611">
        <v>42.672719714557346</v>
      </c>
      <c r="M184" s="611">
        <v>0</v>
      </c>
      <c r="N184" s="611">
        <v>0</v>
      </c>
      <c r="O184" s="611">
        <v>15.89251203618061</v>
      </c>
      <c r="P184" s="611">
        <v>97.294965653266104</v>
      </c>
      <c r="Q184" s="611">
        <v>2.7285855468891569</v>
      </c>
      <c r="R184" s="611">
        <v>153.62760172238077</v>
      </c>
      <c r="S184" s="611">
        <v>23.742467864871486</v>
      </c>
      <c r="T184" s="611">
        <v>0</v>
      </c>
      <c r="U184" s="619">
        <v>356.09293175735661</v>
      </c>
      <c r="V184" s="51"/>
    </row>
    <row r="185" spans="3:22" x14ac:dyDescent="0.25">
      <c r="C185" s="618" t="s">
        <v>81</v>
      </c>
      <c r="D185" s="611">
        <v>0</v>
      </c>
      <c r="E185" s="611">
        <v>0</v>
      </c>
      <c r="F185" s="611">
        <v>0.74292942782649596</v>
      </c>
      <c r="G185" s="611">
        <v>0</v>
      </c>
      <c r="H185" s="611">
        <v>12.370805829410971</v>
      </c>
      <c r="I185" s="611">
        <v>0</v>
      </c>
      <c r="J185" s="611">
        <v>0</v>
      </c>
      <c r="K185" s="611">
        <v>0</v>
      </c>
      <c r="L185" s="611">
        <v>0.54085293774126075</v>
      </c>
      <c r="M185" s="611">
        <v>0</v>
      </c>
      <c r="N185" s="611">
        <v>0</v>
      </c>
      <c r="O185" s="611">
        <v>10.121568405881703</v>
      </c>
      <c r="P185" s="611">
        <v>46.022009309639856</v>
      </c>
      <c r="Q185" s="611">
        <v>3.1511646453296667</v>
      </c>
      <c r="R185" s="611">
        <v>116.64209363039593</v>
      </c>
      <c r="S185" s="611">
        <v>18.985143288462343</v>
      </c>
      <c r="T185" s="611">
        <v>0</v>
      </c>
      <c r="U185" s="619">
        <v>208.57656747468823</v>
      </c>
      <c r="V185" s="51"/>
    </row>
    <row r="186" spans="3:22" x14ac:dyDescent="0.25">
      <c r="C186" s="618" t="s">
        <v>82</v>
      </c>
      <c r="D186" s="611">
        <v>0</v>
      </c>
      <c r="E186" s="611">
        <v>0</v>
      </c>
      <c r="F186" s="611">
        <v>11.703228817007544</v>
      </c>
      <c r="G186" s="611">
        <v>0</v>
      </c>
      <c r="H186" s="611">
        <v>0.92339628149237685</v>
      </c>
      <c r="I186" s="611">
        <v>0</v>
      </c>
      <c r="J186" s="611">
        <v>0</v>
      </c>
      <c r="K186" s="611">
        <v>0</v>
      </c>
      <c r="L186" s="611">
        <v>3.1309341562664299</v>
      </c>
      <c r="M186" s="611">
        <v>0</v>
      </c>
      <c r="N186" s="611">
        <v>14.856440343671846</v>
      </c>
      <c r="O186" s="611">
        <v>0.75550604849376291</v>
      </c>
      <c r="P186" s="611">
        <v>1</v>
      </c>
      <c r="Q186" s="611">
        <v>1.300620381405156</v>
      </c>
      <c r="R186" s="611">
        <v>6.8949646200608239</v>
      </c>
      <c r="S186" s="611">
        <v>0</v>
      </c>
      <c r="T186" s="611">
        <v>0.51648303978038701</v>
      </c>
      <c r="U186" s="619">
        <v>41.081573688178324</v>
      </c>
      <c r="V186" s="51"/>
    </row>
    <row r="187" spans="3:22" x14ac:dyDescent="0.25">
      <c r="C187" s="618" t="s">
        <v>354</v>
      </c>
      <c r="D187" s="611">
        <v>0</v>
      </c>
      <c r="E187" s="611">
        <v>0</v>
      </c>
      <c r="F187" s="611">
        <v>0</v>
      </c>
      <c r="G187" s="611">
        <v>0</v>
      </c>
      <c r="H187" s="611">
        <v>0</v>
      </c>
      <c r="I187" s="611">
        <v>0</v>
      </c>
      <c r="J187" s="611">
        <v>0</v>
      </c>
      <c r="K187" s="611">
        <v>0</v>
      </c>
      <c r="L187" s="611">
        <v>0</v>
      </c>
      <c r="M187" s="611">
        <v>0</v>
      </c>
      <c r="N187" s="611">
        <v>0</v>
      </c>
      <c r="O187" s="611">
        <v>0</v>
      </c>
      <c r="P187" s="611">
        <v>0</v>
      </c>
      <c r="Q187" s="611">
        <v>0</v>
      </c>
      <c r="R187" s="611">
        <v>3.2585999999999999</v>
      </c>
      <c r="S187" s="611">
        <v>0</v>
      </c>
      <c r="T187" s="611">
        <v>0</v>
      </c>
      <c r="U187" s="619">
        <v>3.2585999999999999</v>
      </c>
      <c r="V187" s="51"/>
    </row>
    <row r="188" spans="3:22" x14ac:dyDescent="0.25">
      <c r="C188" s="614" t="s">
        <v>83</v>
      </c>
      <c r="D188" s="615">
        <v>2.7829395451988024</v>
      </c>
      <c r="E188" s="615">
        <v>0</v>
      </c>
      <c r="F188" s="615">
        <v>85.814893356889769</v>
      </c>
      <c r="G188" s="615">
        <v>1.4882117515392765</v>
      </c>
      <c r="H188" s="615">
        <v>76.488832638842339</v>
      </c>
      <c r="I188" s="615">
        <v>0</v>
      </c>
      <c r="J188" s="615">
        <v>0</v>
      </c>
      <c r="K188" s="615">
        <v>0</v>
      </c>
      <c r="L188" s="615">
        <v>68.656811773364495</v>
      </c>
      <c r="M188" s="615">
        <v>6.9877021638277412</v>
      </c>
      <c r="N188" s="615">
        <v>90.53024667191211</v>
      </c>
      <c r="O188" s="615">
        <v>62.620434966635905</v>
      </c>
      <c r="P188" s="615">
        <v>157.62105211134346</v>
      </c>
      <c r="Q188" s="615">
        <v>7.1811587782922404</v>
      </c>
      <c r="R188" s="615">
        <v>547.82858003918068</v>
      </c>
      <c r="S188" s="615">
        <v>63.362364361854262</v>
      </c>
      <c r="T188" s="615">
        <v>14.45015608361355</v>
      </c>
      <c r="U188" s="615">
        <v>1185.8133842424947</v>
      </c>
      <c r="V188" s="51"/>
    </row>
    <row r="189" spans="3:22" x14ac:dyDescent="0.25">
      <c r="C189" s="610" t="s">
        <v>84</v>
      </c>
      <c r="D189" s="611">
        <v>0</v>
      </c>
      <c r="E189" s="611">
        <v>0</v>
      </c>
      <c r="F189" s="611">
        <v>83.18009003150803</v>
      </c>
      <c r="G189" s="611">
        <v>2.1194598778069409</v>
      </c>
      <c r="H189" s="611">
        <v>8.9820116802829233</v>
      </c>
      <c r="I189" s="611">
        <v>0</v>
      </c>
      <c r="J189" s="611">
        <v>0</v>
      </c>
      <c r="K189" s="611">
        <v>0</v>
      </c>
      <c r="L189" s="611">
        <v>0.34435996988737483</v>
      </c>
      <c r="M189" s="611">
        <v>0</v>
      </c>
      <c r="N189" s="611">
        <v>26.994386078959611</v>
      </c>
      <c r="O189" s="611">
        <v>7.771086156633026</v>
      </c>
      <c r="P189" s="611">
        <v>0</v>
      </c>
      <c r="Q189" s="611">
        <v>0</v>
      </c>
      <c r="R189" s="611">
        <v>0</v>
      </c>
      <c r="S189" s="611">
        <v>0</v>
      </c>
      <c r="T189" s="611">
        <v>30.755676878666431</v>
      </c>
      <c r="U189" s="619">
        <v>160.14707067374434</v>
      </c>
      <c r="V189" s="51"/>
    </row>
    <row r="190" spans="3:22" x14ac:dyDescent="0.25">
      <c r="C190" s="614" t="s">
        <v>85</v>
      </c>
      <c r="D190" s="615">
        <v>2.7829395451988024</v>
      </c>
      <c r="E190" s="615">
        <v>0</v>
      </c>
      <c r="F190" s="615">
        <v>168.9949833883978</v>
      </c>
      <c r="G190" s="615">
        <v>3.6076716293462177</v>
      </c>
      <c r="H190" s="615">
        <v>85.470844319125263</v>
      </c>
      <c r="I190" s="615">
        <v>0</v>
      </c>
      <c r="J190" s="615">
        <v>0</v>
      </c>
      <c r="K190" s="615">
        <v>0</v>
      </c>
      <c r="L190" s="615">
        <v>69.001171743251874</v>
      </c>
      <c r="M190" s="615">
        <v>6.9877021638277412</v>
      </c>
      <c r="N190" s="615">
        <v>117.52463275087172</v>
      </c>
      <c r="O190" s="615">
        <v>70.39152112326893</v>
      </c>
      <c r="P190" s="615">
        <v>157.62105211134346</v>
      </c>
      <c r="Q190" s="615">
        <v>7.1811587782922404</v>
      </c>
      <c r="R190" s="615">
        <v>547.82858003918068</v>
      </c>
      <c r="S190" s="615">
        <v>63.362364361854262</v>
      </c>
      <c r="T190" s="615">
        <v>45.205832962279985</v>
      </c>
      <c r="U190" s="615">
        <v>1345.9604549162391</v>
      </c>
      <c r="V190" s="51"/>
    </row>
    <row r="191" spans="3:22" x14ac:dyDescent="0.25">
      <c r="C191" s="51"/>
      <c r="D191" s="67">
        <v>0</v>
      </c>
      <c r="E191" s="67">
        <v>0</v>
      </c>
      <c r="F191" s="67">
        <v>0</v>
      </c>
      <c r="G191" s="67">
        <v>0</v>
      </c>
      <c r="H191" s="67">
        <v>0</v>
      </c>
      <c r="I191" s="67">
        <v>0</v>
      </c>
      <c r="J191" s="67">
        <v>0</v>
      </c>
      <c r="K191" s="67">
        <v>0</v>
      </c>
      <c r="L191" s="67">
        <v>0</v>
      </c>
      <c r="M191" s="67">
        <v>-4.0121337499243737E-4</v>
      </c>
      <c r="N191" s="67">
        <v>0</v>
      </c>
      <c r="O191" s="67">
        <v>1.1102230246251565E-14</v>
      </c>
      <c r="P191" s="67">
        <v>0</v>
      </c>
      <c r="Q191" s="67">
        <v>0</v>
      </c>
      <c r="R191" s="67">
        <v>1.1368683772161603E-13</v>
      </c>
      <c r="S191" s="67">
        <v>-7.1054273576010019E-15</v>
      </c>
      <c r="T191" s="67">
        <v>9.7699626167013776E-15</v>
      </c>
      <c r="U191" s="67">
        <v>-4.0121337542586843E-4</v>
      </c>
      <c r="V191" s="51"/>
    </row>
    <row r="192" spans="3:22" x14ac:dyDescent="0.25">
      <c r="C192" s="51"/>
      <c r="D192" s="51"/>
      <c r="E192" s="51"/>
      <c r="F192" s="51"/>
      <c r="G192" s="67"/>
      <c r="H192" s="51"/>
      <c r="I192" s="51"/>
      <c r="J192" s="51"/>
      <c r="K192" s="51"/>
      <c r="L192" s="51"/>
      <c r="M192" s="51"/>
      <c r="N192" s="51"/>
      <c r="O192" s="51"/>
      <c r="P192" s="51"/>
      <c r="Q192" s="51"/>
      <c r="R192" s="51"/>
      <c r="S192" s="51"/>
      <c r="T192" s="51"/>
      <c r="U192" s="51"/>
      <c r="V192" s="51"/>
    </row>
    <row r="193" spans="3:22" x14ac:dyDescent="0.25">
      <c r="C193" s="607" t="s">
        <v>518</v>
      </c>
      <c r="D193" s="606"/>
      <c r="E193" s="606"/>
      <c r="F193" s="606"/>
      <c r="G193" s="682"/>
      <c r="H193" s="606"/>
      <c r="I193" s="606"/>
      <c r="J193" s="606"/>
      <c r="K193" s="606"/>
      <c r="L193" s="606"/>
      <c r="M193" s="606"/>
      <c r="N193" s="606"/>
      <c r="O193" s="606"/>
      <c r="P193" s="606"/>
      <c r="Q193" s="606"/>
      <c r="R193" s="606"/>
      <c r="S193" s="606"/>
      <c r="T193" s="606"/>
      <c r="U193" s="606"/>
      <c r="V193" s="606"/>
    </row>
    <row r="194" spans="3:22" x14ac:dyDescent="0.25">
      <c r="C194" s="51"/>
      <c r="D194" s="51"/>
      <c r="E194" s="51"/>
      <c r="F194" s="51"/>
      <c r="G194" s="67"/>
      <c r="H194" s="51"/>
      <c r="I194" s="51"/>
      <c r="J194" s="51"/>
      <c r="K194" s="51"/>
      <c r="L194" s="51"/>
      <c r="M194" s="51"/>
      <c r="N194" s="51"/>
      <c r="O194" s="51"/>
      <c r="P194" s="51"/>
      <c r="Q194" s="51"/>
      <c r="R194" s="51"/>
      <c r="S194" s="51"/>
      <c r="T194" s="51"/>
      <c r="U194" s="51"/>
      <c r="V194" s="51"/>
    </row>
    <row r="195" spans="3:22" x14ac:dyDescent="0.25">
      <c r="C195" s="764" t="s">
        <v>128</v>
      </c>
      <c r="D195" s="753" t="s">
        <v>42</v>
      </c>
      <c r="E195" s="753" t="s">
        <v>52</v>
      </c>
      <c r="F195" s="753" t="s">
        <v>53</v>
      </c>
      <c r="G195" s="766" t="s">
        <v>482</v>
      </c>
      <c r="H195" s="753" t="s">
        <v>32</v>
      </c>
      <c r="I195" s="753" t="s">
        <v>483</v>
      </c>
      <c r="J195" s="753" t="s">
        <v>20</v>
      </c>
      <c r="K195" s="753" t="s">
        <v>55</v>
      </c>
      <c r="L195" s="761" t="s">
        <v>56</v>
      </c>
      <c r="M195" s="762"/>
      <c r="N195" s="762"/>
      <c r="O195" s="762"/>
      <c r="P195" s="762"/>
      <c r="Q195" s="763"/>
      <c r="R195" s="753" t="s">
        <v>57</v>
      </c>
      <c r="S195" s="753" t="s">
        <v>58</v>
      </c>
      <c r="T195" s="753" t="s">
        <v>31</v>
      </c>
      <c r="U195" s="753" t="s">
        <v>10</v>
      </c>
      <c r="V195" s="51"/>
    </row>
    <row r="196" spans="3:22" ht="36" x14ac:dyDescent="0.25">
      <c r="C196" s="765"/>
      <c r="D196" s="754"/>
      <c r="E196" s="754"/>
      <c r="F196" s="754"/>
      <c r="G196" s="767"/>
      <c r="H196" s="754"/>
      <c r="I196" s="754"/>
      <c r="J196" s="754"/>
      <c r="K196" s="754"/>
      <c r="L196" s="608" t="s">
        <v>335</v>
      </c>
      <c r="M196" s="608" t="s">
        <v>40</v>
      </c>
      <c r="N196" s="608" t="s">
        <v>343</v>
      </c>
      <c r="O196" s="608" t="s">
        <v>344</v>
      </c>
      <c r="P196" s="609" t="s">
        <v>345</v>
      </c>
      <c r="Q196" s="608" t="s">
        <v>346</v>
      </c>
      <c r="R196" s="754"/>
      <c r="S196" s="754"/>
      <c r="T196" s="754"/>
      <c r="U196" s="754"/>
      <c r="V196" s="51"/>
    </row>
    <row r="197" spans="3:22" x14ac:dyDescent="0.25">
      <c r="C197" s="610" t="s">
        <v>59</v>
      </c>
      <c r="D197" s="611">
        <v>0</v>
      </c>
      <c r="E197" s="611">
        <v>0</v>
      </c>
      <c r="F197" s="611">
        <v>0</v>
      </c>
      <c r="G197" s="611">
        <v>0</v>
      </c>
      <c r="H197" s="611">
        <v>0</v>
      </c>
      <c r="I197" s="611">
        <v>0</v>
      </c>
      <c r="J197" s="612">
        <v>1052.7157454545454</v>
      </c>
      <c r="K197" s="612">
        <v>465.75813055383361</v>
      </c>
      <c r="L197" s="612">
        <v>458.29162667613781</v>
      </c>
      <c r="M197" s="612">
        <v>21.28454284594844</v>
      </c>
      <c r="N197" s="611">
        <v>1.638642873490971</v>
      </c>
      <c r="O197" s="611">
        <v>0.1692153726460352</v>
      </c>
      <c r="P197" s="612">
        <v>165.69992491801096</v>
      </c>
      <c r="Q197" s="612">
        <v>25.254108394560834</v>
      </c>
      <c r="R197" s="611">
        <v>0</v>
      </c>
      <c r="S197" s="611">
        <v>0</v>
      </c>
      <c r="T197" s="611">
        <v>0</v>
      </c>
      <c r="U197" s="613">
        <v>2190.8119370891736</v>
      </c>
      <c r="V197" s="51"/>
    </row>
    <row r="198" spans="3:22" x14ac:dyDescent="0.25">
      <c r="C198" s="610" t="s">
        <v>60</v>
      </c>
      <c r="D198" s="611">
        <v>6.0767583671953336</v>
      </c>
      <c r="E198" s="611">
        <v>189.53853209341332</v>
      </c>
      <c r="F198" s="611">
        <v>3.6404081450569747</v>
      </c>
      <c r="G198" s="611">
        <v>0</v>
      </c>
      <c r="H198" s="611">
        <v>70.464271488338852</v>
      </c>
      <c r="I198" s="611">
        <v>0</v>
      </c>
      <c r="J198" s="611">
        <v>0</v>
      </c>
      <c r="K198" s="611">
        <v>0</v>
      </c>
      <c r="L198" s="611">
        <v>4.5400000946661896</v>
      </c>
      <c r="M198" s="611">
        <v>0</v>
      </c>
      <c r="N198" s="611">
        <v>5.926124897298644</v>
      </c>
      <c r="O198" s="611">
        <v>0</v>
      </c>
      <c r="P198" s="611">
        <v>0</v>
      </c>
      <c r="Q198" s="611">
        <v>0</v>
      </c>
      <c r="R198" s="611">
        <v>0</v>
      </c>
      <c r="S198" s="611">
        <v>0</v>
      </c>
      <c r="T198" s="611">
        <v>0</v>
      </c>
      <c r="U198" s="613">
        <v>280.18609508596927</v>
      </c>
      <c r="V198" s="51"/>
    </row>
    <row r="199" spans="3:22" x14ac:dyDescent="0.25">
      <c r="C199" s="610" t="s">
        <v>61</v>
      </c>
      <c r="D199" s="611">
        <v>0</v>
      </c>
      <c r="E199" s="611">
        <v>0</v>
      </c>
      <c r="F199" s="611">
        <v>-34.688318370921742</v>
      </c>
      <c r="G199" s="611">
        <v>-5.1567908130260314</v>
      </c>
      <c r="H199" s="611">
        <v>0</v>
      </c>
      <c r="I199" s="611">
        <v>0</v>
      </c>
      <c r="J199" s="611">
        <v>0</v>
      </c>
      <c r="K199" s="611">
        <v>0</v>
      </c>
      <c r="L199" s="611">
        <v>0</v>
      </c>
      <c r="M199" s="611">
        <v>0</v>
      </c>
      <c r="N199" s="611">
        <v>0</v>
      </c>
      <c r="O199" s="611">
        <v>0</v>
      </c>
      <c r="P199" s="611">
        <v>0</v>
      </c>
      <c r="Q199" s="611">
        <v>0</v>
      </c>
      <c r="R199" s="611">
        <v>-12.796023203874938</v>
      </c>
      <c r="S199" s="611">
        <v>0</v>
      </c>
      <c r="T199" s="611">
        <v>0</v>
      </c>
      <c r="U199" s="613">
        <v>-52.641132387822708</v>
      </c>
      <c r="V199" s="51"/>
    </row>
    <row r="200" spans="3:22" x14ac:dyDescent="0.25">
      <c r="C200" s="610" t="s">
        <v>62</v>
      </c>
      <c r="D200" s="611">
        <v>0</v>
      </c>
      <c r="E200" s="611">
        <v>0</v>
      </c>
      <c r="F200" s="611">
        <v>-3.5615694502361057</v>
      </c>
      <c r="G200" s="611">
        <v>-4.706211381166379</v>
      </c>
      <c r="H200" s="611">
        <v>0</v>
      </c>
      <c r="I200" s="611">
        <v>-3.8584286845410238</v>
      </c>
      <c r="J200" s="611">
        <v>0</v>
      </c>
      <c r="K200" s="611">
        <v>0</v>
      </c>
      <c r="L200" s="611">
        <v>0</v>
      </c>
      <c r="M200" s="611">
        <v>0</v>
      </c>
      <c r="N200" s="611">
        <v>-1.4330438936791221</v>
      </c>
      <c r="O200" s="611">
        <v>-2.5722857896940159</v>
      </c>
      <c r="P200" s="611">
        <v>0</v>
      </c>
      <c r="Q200" s="611">
        <v>0</v>
      </c>
      <c r="R200" s="611">
        <v>0</v>
      </c>
      <c r="S200" s="611">
        <v>0</v>
      </c>
      <c r="T200" s="611">
        <v>-1.5542726935255338</v>
      </c>
      <c r="U200" s="613">
        <v>-17.685811892842178</v>
      </c>
      <c r="V200" s="51"/>
    </row>
    <row r="201" spans="3:22" x14ac:dyDescent="0.25">
      <c r="C201" s="610" t="s">
        <v>63</v>
      </c>
      <c r="D201" s="611">
        <v>0</v>
      </c>
      <c r="E201" s="611">
        <v>0</v>
      </c>
      <c r="F201" s="611">
        <v>-31.271549575274978</v>
      </c>
      <c r="G201" s="611">
        <v>-12.658057837302275</v>
      </c>
      <c r="H201" s="611">
        <v>0</v>
      </c>
      <c r="I201" s="611">
        <v>0</v>
      </c>
      <c r="J201" s="611">
        <v>0</v>
      </c>
      <c r="K201" s="611">
        <v>0</v>
      </c>
      <c r="L201" s="611">
        <v>0</v>
      </c>
      <c r="M201" s="611">
        <v>0</v>
      </c>
      <c r="N201" s="611">
        <v>-15.442835023025614</v>
      </c>
      <c r="O201" s="611">
        <v>0</v>
      </c>
      <c r="P201" s="611">
        <v>0</v>
      </c>
      <c r="Q201" s="611">
        <v>0</v>
      </c>
      <c r="R201" s="611">
        <v>0</v>
      </c>
      <c r="S201" s="611">
        <v>0</v>
      </c>
      <c r="T201" s="611">
        <v>-4.141098204696295</v>
      </c>
      <c r="U201" s="613">
        <v>-63.513540640299169</v>
      </c>
      <c r="V201" s="51"/>
    </row>
    <row r="202" spans="3:22" x14ac:dyDescent="0.25">
      <c r="C202" s="610" t="s">
        <v>64</v>
      </c>
      <c r="D202" s="611">
        <v>0</v>
      </c>
      <c r="E202" s="611">
        <v>0</v>
      </c>
      <c r="F202" s="611">
        <v>0</v>
      </c>
      <c r="G202" s="611">
        <v>0</v>
      </c>
      <c r="H202" s="611">
        <v>0</v>
      </c>
      <c r="I202" s="611">
        <v>0</v>
      </c>
      <c r="J202" s="611">
        <v>0</v>
      </c>
      <c r="K202" s="611">
        <v>0</v>
      </c>
      <c r="L202" s="611">
        <v>0</v>
      </c>
      <c r="M202" s="611">
        <v>0</v>
      </c>
      <c r="N202" s="611">
        <v>0</v>
      </c>
      <c r="O202" s="611">
        <v>0</v>
      </c>
      <c r="P202" s="611">
        <v>0</v>
      </c>
      <c r="Q202" s="611">
        <v>0</v>
      </c>
      <c r="R202" s="611">
        <v>0</v>
      </c>
      <c r="S202" s="611">
        <v>0</v>
      </c>
      <c r="T202" s="611">
        <v>0</v>
      </c>
      <c r="U202" s="613">
        <v>0</v>
      </c>
      <c r="V202" s="51"/>
    </row>
    <row r="203" spans="3:22" x14ac:dyDescent="0.25">
      <c r="C203" s="614" t="s">
        <v>65</v>
      </c>
      <c r="D203" s="615">
        <v>6.0767583671953336</v>
      </c>
      <c r="E203" s="615">
        <v>189.53853209341332</v>
      </c>
      <c r="F203" s="615">
        <v>-65.88102925137585</v>
      </c>
      <c r="G203" s="615">
        <v>-22.521060031494684</v>
      </c>
      <c r="H203" s="615">
        <v>70.464271488338852</v>
      </c>
      <c r="I203" s="615">
        <v>-3.8584286845410238</v>
      </c>
      <c r="J203" s="615">
        <v>1052.7157454545454</v>
      </c>
      <c r="K203" s="615">
        <v>465.75813055383361</v>
      </c>
      <c r="L203" s="615">
        <v>462.83162677080401</v>
      </c>
      <c r="M203" s="615">
        <v>21.28454284594844</v>
      </c>
      <c r="N203" s="615">
        <v>-9.3111111459151203</v>
      </c>
      <c r="O203" s="615">
        <v>-2.4030704170479806</v>
      </c>
      <c r="P203" s="615">
        <v>165.69992491801096</v>
      </c>
      <c r="Q203" s="615">
        <v>25.254108394560834</v>
      </c>
      <c r="R203" s="615">
        <v>-12.796023203874938</v>
      </c>
      <c r="S203" s="615">
        <v>0</v>
      </c>
      <c r="T203" s="615">
        <v>-5.695370898221829</v>
      </c>
      <c r="U203" s="615">
        <v>2337.1575472541786</v>
      </c>
      <c r="V203" s="51"/>
    </row>
    <row r="204" spans="3:22" x14ac:dyDescent="0.25">
      <c r="C204" s="616"/>
      <c r="D204" s="617"/>
      <c r="E204" s="617"/>
      <c r="F204" s="617"/>
      <c r="G204" s="617"/>
      <c r="H204" s="623"/>
      <c r="I204" s="617"/>
      <c r="J204" s="617"/>
      <c r="K204" s="617"/>
      <c r="L204" s="617"/>
      <c r="M204" s="617"/>
      <c r="N204" s="617"/>
      <c r="O204" s="617"/>
      <c r="P204" s="617"/>
      <c r="Q204" s="617"/>
      <c r="R204" s="617"/>
      <c r="S204" s="617"/>
      <c r="T204" s="617"/>
      <c r="U204" s="617"/>
      <c r="V204" s="51"/>
    </row>
    <row r="205" spans="3:22" x14ac:dyDescent="0.25">
      <c r="C205" s="618" t="s">
        <v>67</v>
      </c>
      <c r="D205" s="611">
        <v>0</v>
      </c>
      <c r="E205" s="611">
        <v>0</v>
      </c>
      <c r="F205" s="611">
        <v>0</v>
      </c>
      <c r="G205" s="611">
        <v>0</v>
      </c>
      <c r="H205" s="611">
        <v>0</v>
      </c>
      <c r="I205" s="611">
        <v>0</v>
      </c>
      <c r="J205" s="611">
        <v>0</v>
      </c>
      <c r="K205" s="611">
        <v>0</v>
      </c>
      <c r="L205" s="611">
        <v>0</v>
      </c>
      <c r="M205" s="611">
        <v>0</v>
      </c>
      <c r="N205" s="611">
        <v>0</v>
      </c>
      <c r="O205" s="611">
        <v>0</v>
      </c>
      <c r="P205" s="611">
        <v>0</v>
      </c>
      <c r="Q205" s="611">
        <v>0</v>
      </c>
      <c r="R205" s="611">
        <v>0</v>
      </c>
      <c r="S205" s="611">
        <v>0</v>
      </c>
      <c r="T205" s="611">
        <v>0</v>
      </c>
      <c r="U205" s="619">
        <v>0</v>
      </c>
      <c r="V205" s="51"/>
    </row>
    <row r="206" spans="3:22" x14ac:dyDescent="0.25">
      <c r="C206" s="618" t="s">
        <v>347</v>
      </c>
      <c r="D206" s="611">
        <v>0</v>
      </c>
      <c r="E206" s="611">
        <v>0</v>
      </c>
      <c r="F206" s="611">
        <v>2.6460781360013397E-2</v>
      </c>
      <c r="G206" s="611">
        <v>0</v>
      </c>
      <c r="H206" s="611">
        <v>0.60214660944206022</v>
      </c>
      <c r="I206" s="611">
        <v>0</v>
      </c>
      <c r="J206" s="611">
        <v>1052.7157454545454</v>
      </c>
      <c r="K206" s="611">
        <v>465.75813055383361</v>
      </c>
      <c r="L206" s="611">
        <v>22.779216201567415</v>
      </c>
      <c r="M206" s="611">
        <v>0.6151276496340945</v>
      </c>
      <c r="N206" s="611">
        <v>6.0578717375904887</v>
      </c>
      <c r="O206" s="611">
        <v>1.0172956568090692</v>
      </c>
      <c r="P206" s="611">
        <v>0</v>
      </c>
      <c r="Q206" s="611">
        <v>6.4590957564387725</v>
      </c>
      <c r="R206" s="611">
        <v>-864.21525686437747</v>
      </c>
      <c r="S206" s="611">
        <v>0</v>
      </c>
      <c r="T206" s="611">
        <v>4.5921899999999996</v>
      </c>
      <c r="U206" s="619">
        <v>696.40802353684307</v>
      </c>
      <c r="V206" s="51"/>
    </row>
    <row r="207" spans="3:22" x14ac:dyDescent="0.25">
      <c r="C207" s="618" t="s">
        <v>348</v>
      </c>
      <c r="D207" s="611">
        <v>0</v>
      </c>
      <c r="E207" s="611">
        <v>0</v>
      </c>
      <c r="F207" s="611">
        <v>0</v>
      </c>
      <c r="G207" s="611">
        <v>0</v>
      </c>
      <c r="H207" s="611">
        <v>4.7590942657711111</v>
      </c>
      <c r="I207" s="611">
        <v>0</v>
      </c>
      <c r="J207" s="611">
        <v>0</v>
      </c>
      <c r="K207" s="611">
        <v>0</v>
      </c>
      <c r="L207" s="611">
        <v>35.020832419252756</v>
      </c>
      <c r="M207" s="611">
        <v>14.389092995722686</v>
      </c>
      <c r="N207" s="611">
        <v>0</v>
      </c>
      <c r="O207" s="611">
        <v>7.1535057814044487</v>
      </c>
      <c r="P207" s="611">
        <v>0</v>
      </c>
      <c r="Q207" s="611">
        <v>11.121209229272322</v>
      </c>
      <c r="R207" s="611">
        <v>0</v>
      </c>
      <c r="S207" s="611">
        <v>-67.886864446200079</v>
      </c>
      <c r="T207" s="611">
        <v>0</v>
      </c>
      <c r="U207" s="619">
        <v>4.5568702452232372</v>
      </c>
      <c r="V207" s="51"/>
    </row>
    <row r="208" spans="3:22" x14ac:dyDescent="0.25">
      <c r="C208" s="618" t="s">
        <v>349</v>
      </c>
      <c r="D208" s="611">
        <v>0</v>
      </c>
      <c r="E208" s="611">
        <v>0</v>
      </c>
      <c r="F208" s="611">
        <v>0</v>
      </c>
      <c r="G208" s="611">
        <v>0</v>
      </c>
      <c r="H208" s="611">
        <v>0</v>
      </c>
      <c r="I208" s="611">
        <v>0</v>
      </c>
      <c r="J208" s="611">
        <v>0</v>
      </c>
      <c r="K208" s="611">
        <v>0</v>
      </c>
      <c r="L208" s="611">
        <v>98.086794246206622</v>
      </c>
      <c r="M208" s="611">
        <v>0</v>
      </c>
      <c r="N208" s="611">
        <v>0</v>
      </c>
      <c r="O208" s="611">
        <v>-89.52835419130885</v>
      </c>
      <c r="P208" s="611">
        <v>0</v>
      </c>
      <c r="Q208" s="611">
        <v>0</v>
      </c>
      <c r="R208" s="611">
        <v>0</v>
      </c>
      <c r="S208" s="611">
        <v>0</v>
      </c>
      <c r="T208" s="611">
        <v>0</v>
      </c>
      <c r="U208" s="619">
        <v>8.5584400548977726</v>
      </c>
      <c r="V208" s="51"/>
    </row>
    <row r="209" spans="3:22" x14ac:dyDescent="0.25">
      <c r="C209" s="618" t="s">
        <v>350</v>
      </c>
      <c r="D209" s="611">
        <v>0</v>
      </c>
      <c r="E209" s="611">
        <v>0</v>
      </c>
      <c r="F209" s="611">
        <v>0</v>
      </c>
      <c r="G209" s="611">
        <v>0</v>
      </c>
      <c r="H209" s="611">
        <v>0</v>
      </c>
      <c r="I209" s="611">
        <v>-4.6239120861329353</v>
      </c>
      <c r="J209" s="611">
        <v>0</v>
      </c>
      <c r="K209" s="611">
        <v>0</v>
      </c>
      <c r="L209" s="611">
        <v>0</v>
      </c>
      <c r="M209" s="611">
        <v>0</v>
      </c>
      <c r="N209" s="611">
        <v>0</v>
      </c>
      <c r="O209" s="611">
        <v>0</v>
      </c>
      <c r="P209" s="611">
        <v>0</v>
      </c>
      <c r="Q209" s="611">
        <v>0</v>
      </c>
      <c r="R209" s="611">
        <v>0</v>
      </c>
      <c r="S209" s="611">
        <v>0</v>
      </c>
      <c r="T209" s="611">
        <v>6.4247824825814277</v>
      </c>
      <c r="U209" s="619">
        <v>1.8008703964484924</v>
      </c>
      <c r="V209" s="51"/>
    </row>
    <row r="210" spans="3:22" x14ac:dyDescent="0.25">
      <c r="C210" s="618" t="s">
        <v>72</v>
      </c>
      <c r="D210" s="611">
        <v>0</v>
      </c>
      <c r="E210" s="611">
        <v>196.4036879947414</v>
      </c>
      <c r="F210" s="611">
        <v>-194.44562503379805</v>
      </c>
      <c r="G210" s="611">
        <v>0</v>
      </c>
      <c r="H210" s="611">
        <v>0</v>
      </c>
      <c r="I210" s="611">
        <v>0</v>
      </c>
      <c r="J210" s="611">
        <v>0</v>
      </c>
      <c r="K210" s="611">
        <v>0</v>
      </c>
      <c r="L210" s="611">
        <v>0</v>
      </c>
      <c r="M210" s="611">
        <v>0</v>
      </c>
      <c r="N210" s="611">
        <v>0</v>
      </c>
      <c r="O210" s="611">
        <v>0</v>
      </c>
      <c r="P210" s="611">
        <v>0</v>
      </c>
      <c r="Q210" s="611">
        <v>0</v>
      </c>
      <c r="R210" s="611">
        <v>0</v>
      </c>
      <c r="S210" s="611">
        <v>0</v>
      </c>
      <c r="T210" s="611">
        <v>0</v>
      </c>
      <c r="U210" s="619">
        <v>1.9580629609433515</v>
      </c>
      <c r="V210" s="51"/>
    </row>
    <row r="211" spans="3:22" x14ac:dyDescent="0.25">
      <c r="C211" s="618" t="s">
        <v>351</v>
      </c>
      <c r="D211" s="611">
        <v>0</v>
      </c>
      <c r="E211" s="611">
        <v>0</v>
      </c>
      <c r="F211" s="611">
        <v>0</v>
      </c>
      <c r="G211" s="611">
        <v>0</v>
      </c>
      <c r="H211" s="611">
        <v>0</v>
      </c>
      <c r="I211" s="611">
        <v>0</v>
      </c>
      <c r="J211" s="611">
        <v>0</v>
      </c>
      <c r="K211" s="611">
        <v>0</v>
      </c>
      <c r="L211" s="611">
        <v>241.36175808721262</v>
      </c>
      <c r="M211" s="611">
        <v>0</v>
      </c>
      <c r="N211" s="611">
        <v>-132.74896694796695</v>
      </c>
      <c r="O211" s="611">
        <v>0</v>
      </c>
      <c r="P211" s="611">
        <v>0</v>
      </c>
      <c r="Q211" s="611">
        <v>0</v>
      </c>
      <c r="R211" s="611">
        <v>0</v>
      </c>
      <c r="S211" s="611">
        <v>0</v>
      </c>
      <c r="T211" s="611">
        <v>0</v>
      </c>
      <c r="U211" s="619">
        <v>108.61279113924567</v>
      </c>
      <c r="V211" s="51"/>
    </row>
    <row r="212" spans="3:22" x14ac:dyDescent="0.25">
      <c r="C212" s="618" t="s">
        <v>352</v>
      </c>
      <c r="D212" s="611">
        <v>0</v>
      </c>
      <c r="E212" s="611">
        <v>0</v>
      </c>
      <c r="F212" s="611">
        <v>0</v>
      </c>
      <c r="G212" s="611">
        <v>-27.150443830477386</v>
      </c>
      <c r="H212" s="611">
        <v>0</v>
      </c>
      <c r="I212" s="611">
        <v>0</v>
      </c>
      <c r="J212" s="611">
        <v>0</v>
      </c>
      <c r="K212" s="611">
        <v>0</v>
      </c>
      <c r="L212" s="611">
        <v>0</v>
      </c>
      <c r="M212" s="611">
        <v>0</v>
      </c>
      <c r="N212" s="611">
        <v>0</v>
      </c>
      <c r="O212" s="611">
        <v>0</v>
      </c>
      <c r="P212" s="611">
        <v>0</v>
      </c>
      <c r="Q212" s="611">
        <v>0</v>
      </c>
      <c r="R212" s="611">
        <v>0</v>
      </c>
      <c r="S212" s="611">
        <v>0</v>
      </c>
      <c r="T212" s="611">
        <v>35.330371623276704</v>
      </c>
      <c r="U212" s="619">
        <v>8.1799277927993188</v>
      </c>
      <c r="V212" s="51"/>
    </row>
    <row r="213" spans="3:22" x14ac:dyDescent="0.25">
      <c r="C213" s="618" t="s">
        <v>73</v>
      </c>
      <c r="D213" s="611">
        <v>0</v>
      </c>
      <c r="E213" s="611">
        <v>0</v>
      </c>
      <c r="F213" s="611">
        <v>0</v>
      </c>
      <c r="G213" s="611">
        <v>0</v>
      </c>
      <c r="H213" s="611">
        <v>0</v>
      </c>
      <c r="I213" s="611">
        <v>0</v>
      </c>
      <c r="J213" s="611">
        <v>0</v>
      </c>
      <c r="K213" s="611">
        <v>0</v>
      </c>
      <c r="L213" s="611">
        <v>0</v>
      </c>
      <c r="M213" s="611">
        <v>0</v>
      </c>
      <c r="N213" s="611">
        <v>0</v>
      </c>
      <c r="O213" s="611">
        <v>0</v>
      </c>
      <c r="P213" s="611">
        <v>0</v>
      </c>
      <c r="Q213" s="611">
        <v>0</v>
      </c>
      <c r="R213" s="611">
        <v>159.35334325164439</v>
      </c>
      <c r="S213" s="611">
        <v>0</v>
      </c>
      <c r="T213" s="611">
        <v>-110.83025023151868</v>
      </c>
      <c r="U213" s="619">
        <v>48.523093020125714</v>
      </c>
      <c r="V213" s="51"/>
    </row>
    <row r="214" spans="3:22" x14ac:dyDescent="0.25">
      <c r="C214" s="618" t="s">
        <v>353</v>
      </c>
      <c r="D214" s="611">
        <v>2.8675768359375002</v>
      </c>
      <c r="E214" s="611">
        <v>-6.865155901328059</v>
      </c>
      <c r="F214" s="611">
        <v>8.9495873677013247</v>
      </c>
      <c r="G214" s="611">
        <v>0</v>
      </c>
      <c r="H214" s="611">
        <v>0</v>
      </c>
      <c r="I214" s="611">
        <v>0</v>
      </c>
      <c r="J214" s="611">
        <v>0</v>
      </c>
      <c r="K214" s="611">
        <v>0</v>
      </c>
      <c r="L214" s="611">
        <v>0</v>
      </c>
      <c r="M214" s="611">
        <v>0</v>
      </c>
      <c r="N214" s="611">
        <v>0</v>
      </c>
      <c r="O214" s="611">
        <v>0</v>
      </c>
      <c r="P214" s="611">
        <v>0</v>
      </c>
      <c r="Q214" s="611">
        <v>0</v>
      </c>
      <c r="R214" s="611">
        <v>0</v>
      </c>
      <c r="S214" s="611">
        <v>0</v>
      </c>
      <c r="T214" s="611">
        <v>0</v>
      </c>
      <c r="U214" s="619">
        <v>4.9520083023107659</v>
      </c>
      <c r="V214" s="51"/>
    </row>
    <row r="215" spans="3:22" x14ac:dyDescent="0.25">
      <c r="C215" s="618" t="s">
        <v>75</v>
      </c>
      <c r="D215" s="611">
        <v>1.1151687695312502</v>
      </c>
      <c r="E215" s="611">
        <v>0</v>
      </c>
      <c r="F215" s="611">
        <v>6.7328106776803835</v>
      </c>
      <c r="G215" s="611">
        <v>0</v>
      </c>
      <c r="H215" s="611">
        <v>2.2924587532620087</v>
      </c>
      <c r="I215" s="611">
        <v>3.0296811717119062E-2</v>
      </c>
      <c r="J215" s="611">
        <v>0</v>
      </c>
      <c r="K215" s="611">
        <v>0</v>
      </c>
      <c r="L215" s="611">
        <v>0</v>
      </c>
      <c r="M215" s="611">
        <v>0</v>
      </c>
      <c r="N215" s="611">
        <v>0</v>
      </c>
      <c r="O215" s="611">
        <v>2.7267130545407157</v>
      </c>
      <c r="P215" s="611">
        <v>0</v>
      </c>
      <c r="Q215" s="611">
        <v>0</v>
      </c>
      <c r="R215" s="611">
        <v>65.383687298326777</v>
      </c>
      <c r="S215" s="611">
        <v>0</v>
      </c>
      <c r="T215" s="611">
        <v>0</v>
      </c>
      <c r="U215" s="619">
        <v>78.281135365058248</v>
      </c>
      <c r="V215" s="51"/>
    </row>
    <row r="216" spans="3:22" x14ac:dyDescent="0.25">
      <c r="C216" s="618" t="s">
        <v>76</v>
      </c>
      <c r="D216" s="611">
        <v>0</v>
      </c>
      <c r="E216" s="611">
        <v>0</v>
      </c>
      <c r="F216" s="611">
        <v>0</v>
      </c>
      <c r="G216" s="611">
        <v>0</v>
      </c>
      <c r="H216" s="611">
        <v>0.75897137289116512</v>
      </c>
      <c r="I216" s="611">
        <v>1.0030458672570465E-2</v>
      </c>
      <c r="J216" s="611">
        <v>0</v>
      </c>
      <c r="K216" s="611">
        <v>0</v>
      </c>
      <c r="L216" s="611">
        <v>0</v>
      </c>
      <c r="M216" s="611">
        <v>0</v>
      </c>
      <c r="N216" s="611">
        <v>0</v>
      </c>
      <c r="O216" s="611">
        <v>0.90274128053134184</v>
      </c>
      <c r="P216" s="611">
        <v>0</v>
      </c>
      <c r="Q216" s="611">
        <v>0</v>
      </c>
      <c r="R216" s="611">
        <v>65.177824183593955</v>
      </c>
      <c r="S216" s="611">
        <v>5.2653500556957935</v>
      </c>
      <c r="T216" s="611">
        <v>0</v>
      </c>
      <c r="U216" s="619">
        <v>72.114917351384818</v>
      </c>
      <c r="V216" s="51"/>
    </row>
    <row r="217" spans="3:22" x14ac:dyDescent="0.25">
      <c r="C217" s="614" t="s">
        <v>77</v>
      </c>
      <c r="D217" s="615">
        <v>3.9827456054687502</v>
      </c>
      <c r="E217" s="615">
        <v>189.53853209341335</v>
      </c>
      <c r="F217" s="615">
        <v>-178.73676620705632</v>
      </c>
      <c r="G217" s="615">
        <v>-27.150443830477386</v>
      </c>
      <c r="H217" s="615">
        <v>8.4126710013663466</v>
      </c>
      <c r="I217" s="615">
        <v>-4.5835848157432455</v>
      </c>
      <c r="J217" s="615">
        <v>1052.7157454545454</v>
      </c>
      <c r="K217" s="615">
        <v>465.75813055383361</v>
      </c>
      <c r="L217" s="615">
        <v>397.24860095423941</v>
      </c>
      <c r="M217" s="615">
        <v>15.004220645356781</v>
      </c>
      <c r="N217" s="615">
        <v>-126.69109521037646</v>
      </c>
      <c r="O217" s="615">
        <v>-77.728098418023279</v>
      </c>
      <c r="P217" s="615">
        <v>0</v>
      </c>
      <c r="Q217" s="615">
        <v>17.580304985711095</v>
      </c>
      <c r="R217" s="615">
        <v>-574.30040213081236</v>
      </c>
      <c r="S217" s="615">
        <v>-62.621514390504288</v>
      </c>
      <c r="T217" s="615">
        <v>-64.482906125660548</v>
      </c>
      <c r="U217" s="615">
        <v>1033.9461401652807</v>
      </c>
      <c r="V217" s="51"/>
    </row>
    <row r="218" spans="3:22" x14ac:dyDescent="0.25">
      <c r="C218" s="616"/>
      <c r="D218" s="617"/>
      <c r="E218" s="617"/>
      <c r="F218" s="617"/>
      <c r="G218" s="617"/>
      <c r="H218" s="623"/>
      <c r="I218" s="617"/>
      <c r="J218" s="617"/>
      <c r="K218" s="617"/>
      <c r="L218" s="617"/>
      <c r="M218" s="617"/>
      <c r="N218" s="617"/>
      <c r="O218" s="617"/>
      <c r="P218" s="617"/>
      <c r="Q218" s="617"/>
      <c r="R218" s="617"/>
      <c r="S218" s="617"/>
      <c r="T218" s="617"/>
      <c r="U218" s="617"/>
      <c r="V218" s="51"/>
    </row>
    <row r="219" spans="3:22" x14ac:dyDescent="0.25">
      <c r="C219" s="618" t="s">
        <v>78</v>
      </c>
      <c r="D219" s="611">
        <v>2.0940127617265829</v>
      </c>
      <c r="E219" s="611">
        <v>0</v>
      </c>
      <c r="F219" s="611">
        <v>3.9559881090060012</v>
      </c>
      <c r="G219" s="611">
        <v>0</v>
      </c>
      <c r="H219" s="611">
        <v>29.330369351366478</v>
      </c>
      <c r="I219" s="611">
        <v>0.38762602667004159</v>
      </c>
      <c r="J219" s="611">
        <v>0</v>
      </c>
      <c r="K219" s="611">
        <v>0</v>
      </c>
      <c r="L219" s="611">
        <v>22.502553570699096</v>
      </c>
      <c r="M219" s="611">
        <v>6.2799536188843161</v>
      </c>
      <c r="N219" s="611">
        <v>2.4575263222437633</v>
      </c>
      <c r="O219" s="611">
        <v>34.926617647556021</v>
      </c>
      <c r="P219" s="611">
        <v>15.884769531250001</v>
      </c>
      <c r="Q219" s="611">
        <v>8.2107689234467234E-4</v>
      </c>
      <c r="R219" s="611">
        <v>182.47691843600197</v>
      </c>
      <c r="S219" s="611">
        <v>21.072717059029664</v>
      </c>
      <c r="T219" s="611">
        <v>11.809244140624999</v>
      </c>
      <c r="U219" s="619">
        <v>333.17911765195134</v>
      </c>
      <c r="V219" s="51"/>
    </row>
    <row r="220" spans="3:22" x14ac:dyDescent="0.25">
      <c r="C220" s="618" t="s">
        <v>79</v>
      </c>
      <c r="D220" s="611">
        <v>0</v>
      </c>
      <c r="E220" s="611">
        <v>0</v>
      </c>
      <c r="F220" s="611">
        <v>30.895911025222354</v>
      </c>
      <c r="G220" s="611">
        <v>2.274686269460287</v>
      </c>
      <c r="H220" s="611">
        <v>3.5299320203269446</v>
      </c>
      <c r="I220" s="611">
        <v>4.665108396907857E-2</v>
      </c>
      <c r="J220" s="611">
        <v>0</v>
      </c>
      <c r="K220" s="611">
        <v>0</v>
      </c>
      <c r="L220" s="611">
        <v>0</v>
      </c>
      <c r="M220" s="611">
        <v>0</v>
      </c>
      <c r="N220" s="611">
        <v>63.386114552424544</v>
      </c>
      <c r="O220" s="611">
        <v>4.1985975572170711</v>
      </c>
      <c r="P220" s="611">
        <v>0</v>
      </c>
      <c r="Q220" s="611">
        <v>0</v>
      </c>
      <c r="R220" s="611">
        <v>104.74847060439184</v>
      </c>
      <c r="S220" s="611">
        <v>0</v>
      </c>
      <c r="T220" s="611">
        <v>5.8458763044597228</v>
      </c>
      <c r="U220" s="619">
        <v>214.92623941747186</v>
      </c>
      <c r="V220" s="51"/>
    </row>
    <row r="221" spans="3:22" x14ac:dyDescent="0.25">
      <c r="C221" s="618" t="s">
        <v>80</v>
      </c>
      <c r="D221" s="611">
        <v>0</v>
      </c>
      <c r="E221" s="611">
        <v>0</v>
      </c>
      <c r="F221" s="611">
        <v>0.60086868241819513</v>
      </c>
      <c r="G221" s="611">
        <v>0</v>
      </c>
      <c r="H221" s="611">
        <v>13.347300372388817</v>
      </c>
      <c r="I221" s="611">
        <v>0.1763960401637289</v>
      </c>
      <c r="J221" s="611">
        <v>0</v>
      </c>
      <c r="K221" s="611">
        <v>0</v>
      </c>
      <c r="L221" s="611">
        <v>38.756256119598135</v>
      </c>
      <c r="M221" s="611">
        <v>0</v>
      </c>
      <c r="N221" s="611">
        <v>0</v>
      </c>
      <c r="O221" s="611">
        <v>15.875643614735601</v>
      </c>
      <c r="P221" s="611">
        <v>100.70688369191794</v>
      </c>
      <c r="Q221" s="611">
        <v>2.8847164087553931</v>
      </c>
      <c r="R221" s="611">
        <v>147.56133606308299</v>
      </c>
      <c r="S221" s="611">
        <v>22.806124338594827</v>
      </c>
      <c r="T221" s="611">
        <v>0</v>
      </c>
      <c r="U221" s="619">
        <v>342.71552533165561</v>
      </c>
      <c r="V221" s="51"/>
    </row>
    <row r="222" spans="3:22" x14ac:dyDescent="0.25">
      <c r="C222" s="618" t="s">
        <v>81</v>
      </c>
      <c r="D222" s="611">
        <v>0</v>
      </c>
      <c r="E222" s="611">
        <v>0</v>
      </c>
      <c r="F222" s="611">
        <v>0.5398070851157275</v>
      </c>
      <c r="G222" s="611">
        <v>0</v>
      </c>
      <c r="H222" s="611">
        <v>7.9791393283443517</v>
      </c>
      <c r="I222" s="611">
        <v>0.10545118055080642</v>
      </c>
      <c r="J222" s="611">
        <v>0</v>
      </c>
      <c r="K222" s="611">
        <v>0</v>
      </c>
      <c r="L222" s="611">
        <v>0.5139229004760727</v>
      </c>
      <c r="M222" s="611">
        <v>0</v>
      </c>
      <c r="N222" s="611">
        <v>0</v>
      </c>
      <c r="O222" s="611">
        <v>9.4906062495725791</v>
      </c>
      <c r="P222" s="611">
        <v>47.95827169484302</v>
      </c>
      <c r="Q222" s="611">
        <v>3.2216095546912449</v>
      </c>
      <c r="R222" s="611">
        <v>115.04806835366153</v>
      </c>
      <c r="S222" s="611">
        <v>18.742672992879797</v>
      </c>
      <c r="T222" s="611">
        <v>0</v>
      </c>
      <c r="U222" s="619">
        <v>203.59954934013513</v>
      </c>
      <c r="V222" s="51"/>
    </row>
    <row r="223" spans="3:22" x14ac:dyDescent="0.25">
      <c r="C223" s="618" t="s">
        <v>82</v>
      </c>
      <c r="D223" s="611">
        <v>0</v>
      </c>
      <c r="E223" s="611">
        <v>0</v>
      </c>
      <c r="F223" s="611">
        <v>6.3369770221135076</v>
      </c>
      <c r="G223" s="611">
        <v>0</v>
      </c>
      <c r="H223" s="611">
        <v>0.68340618854154467</v>
      </c>
      <c r="I223" s="611">
        <v>9.0317998485666701E-3</v>
      </c>
      <c r="J223" s="611">
        <v>0</v>
      </c>
      <c r="K223" s="611">
        <v>0</v>
      </c>
      <c r="L223" s="611">
        <v>3.3891942411636795</v>
      </c>
      <c r="M223" s="611">
        <v>0</v>
      </c>
      <c r="N223" s="611">
        <v>17.640118554075091</v>
      </c>
      <c r="O223" s="611">
        <v>0.81286198637100038</v>
      </c>
      <c r="P223" s="611">
        <v>1.1499999999999999</v>
      </c>
      <c r="Q223" s="611">
        <v>1.5666563685107562</v>
      </c>
      <c r="R223" s="611">
        <v>6.9055854697991039</v>
      </c>
      <c r="S223" s="611">
        <v>0</v>
      </c>
      <c r="T223" s="611">
        <v>0.60935288805652987</v>
      </c>
      <c r="U223" s="619">
        <v>39.103184518479779</v>
      </c>
      <c r="V223" s="51"/>
    </row>
    <row r="224" spans="3:22" x14ac:dyDescent="0.25">
      <c r="C224" s="618" t="s">
        <v>354</v>
      </c>
      <c r="D224" s="611">
        <v>0</v>
      </c>
      <c r="E224" s="611">
        <v>0</v>
      </c>
      <c r="F224" s="611">
        <v>0</v>
      </c>
      <c r="G224" s="611">
        <v>0</v>
      </c>
      <c r="H224" s="611">
        <v>0</v>
      </c>
      <c r="I224" s="611">
        <v>0</v>
      </c>
      <c r="J224" s="611">
        <v>0</v>
      </c>
      <c r="K224" s="611">
        <v>0</v>
      </c>
      <c r="L224" s="611">
        <v>0</v>
      </c>
      <c r="M224" s="611">
        <v>0</v>
      </c>
      <c r="N224" s="611">
        <v>0</v>
      </c>
      <c r="O224" s="611">
        <v>0</v>
      </c>
      <c r="P224" s="611">
        <v>0</v>
      </c>
      <c r="Q224" s="611">
        <v>0</v>
      </c>
      <c r="R224" s="611">
        <v>4.7640000000000002</v>
      </c>
      <c r="S224" s="611">
        <v>0</v>
      </c>
      <c r="T224" s="611">
        <v>0</v>
      </c>
      <c r="U224" s="619">
        <v>4.7640000000000002</v>
      </c>
      <c r="V224" s="51"/>
    </row>
    <row r="225" spans="3:22" x14ac:dyDescent="0.25">
      <c r="C225" s="614" t="s">
        <v>83</v>
      </c>
      <c r="D225" s="615">
        <v>2.0940127617265829</v>
      </c>
      <c r="E225" s="615">
        <v>0</v>
      </c>
      <c r="F225" s="615">
        <v>42.329551923875783</v>
      </c>
      <c r="G225" s="615">
        <v>2.274686269460287</v>
      </c>
      <c r="H225" s="615">
        <v>54.870147260968139</v>
      </c>
      <c r="I225" s="615">
        <v>0.72515613120222222</v>
      </c>
      <c r="J225" s="615">
        <v>0</v>
      </c>
      <c r="K225" s="615">
        <v>0</v>
      </c>
      <c r="L225" s="615">
        <v>65.161926831936981</v>
      </c>
      <c r="M225" s="615">
        <v>6.2799536188843161</v>
      </c>
      <c r="N225" s="615">
        <v>83.483759428743397</v>
      </c>
      <c r="O225" s="615">
        <v>65.304327055452276</v>
      </c>
      <c r="P225" s="615">
        <v>165.69992491801096</v>
      </c>
      <c r="Q225" s="615">
        <v>7.6738034088497393</v>
      </c>
      <c r="R225" s="615">
        <v>561.50437892693742</v>
      </c>
      <c r="S225" s="615">
        <v>62.621514390504288</v>
      </c>
      <c r="T225" s="615">
        <v>18.264473333141254</v>
      </c>
      <c r="U225" s="615">
        <v>1138.2876162596938</v>
      </c>
      <c r="V225" s="51"/>
    </row>
    <row r="226" spans="3:22" x14ac:dyDescent="0.25">
      <c r="C226" s="610" t="s">
        <v>84</v>
      </c>
      <c r="D226" s="611">
        <v>0</v>
      </c>
      <c r="E226" s="611">
        <v>0</v>
      </c>
      <c r="F226" s="611">
        <v>70.526185031804687</v>
      </c>
      <c r="G226" s="611">
        <v>2.3546975295224146</v>
      </c>
      <c r="H226" s="611">
        <v>7.1814532260043631</v>
      </c>
      <c r="I226" s="611">
        <v>0</v>
      </c>
      <c r="J226" s="611">
        <v>0</v>
      </c>
      <c r="K226" s="611">
        <v>0</v>
      </c>
      <c r="L226" s="611">
        <v>0.42109898462761541</v>
      </c>
      <c r="M226" s="611">
        <v>0</v>
      </c>
      <c r="N226" s="611">
        <v>33.896224635717942</v>
      </c>
      <c r="O226" s="611">
        <v>10.020700945523032</v>
      </c>
      <c r="P226" s="611">
        <v>0</v>
      </c>
      <c r="Q226" s="611">
        <v>0</v>
      </c>
      <c r="R226" s="611">
        <v>0</v>
      </c>
      <c r="S226" s="611">
        <v>0</v>
      </c>
      <c r="T226" s="611">
        <v>40.523061894297456</v>
      </c>
      <c r="U226" s="619">
        <v>164.92342224749751</v>
      </c>
      <c r="V226" s="51"/>
    </row>
    <row r="227" spans="3:22" x14ac:dyDescent="0.25">
      <c r="C227" s="614" t="s">
        <v>85</v>
      </c>
      <c r="D227" s="615">
        <v>2.0940127617265829</v>
      </c>
      <c r="E227" s="615">
        <v>0</v>
      </c>
      <c r="F227" s="615">
        <v>112.85573695568047</v>
      </c>
      <c r="G227" s="615">
        <v>4.6293837989827011</v>
      </c>
      <c r="H227" s="615">
        <v>62.051600486972504</v>
      </c>
      <c r="I227" s="615">
        <v>0.72515613120222222</v>
      </c>
      <c r="J227" s="615">
        <v>0</v>
      </c>
      <c r="K227" s="615">
        <v>0</v>
      </c>
      <c r="L227" s="615">
        <v>65.5830258165646</v>
      </c>
      <c r="M227" s="615">
        <v>6.2799536188843161</v>
      </c>
      <c r="N227" s="615">
        <v>117.37998406446134</v>
      </c>
      <c r="O227" s="615">
        <v>75.325028000975308</v>
      </c>
      <c r="P227" s="615">
        <v>165.69992491801096</v>
      </c>
      <c r="Q227" s="615">
        <v>7.6738034088497393</v>
      </c>
      <c r="R227" s="615">
        <v>561.50437892693742</v>
      </c>
      <c r="S227" s="615">
        <v>62.621514390504288</v>
      </c>
      <c r="T227" s="615">
        <v>58.78753522743871</v>
      </c>
      <c r="U227" s="615">
        <v>1303.2110385071912</v>
      </c>
      <c r="V227" s="51"/>
    </row>
    <row r="228" spans="3:22" x14ac:dyDescent="0.25">
      <c r="C228" s="51"/>
      <c r="D228" s="67">
        <v>0</v>
      </c>
      <c r="E228" s="67">
        <v>0</v>
      </c>
      <c r="F228" s="67">
        <v>0</v>
      </c>
      <c r="G228" s="67">
        <v>0</v>
      </c>
      <c r="H228" s="67">
        <v>0</v>
      </c>
      <c r="I228" s="67">
        <v>0</v>
      </c>
      <c r="J228" s="67">
        <v>0</v>
      </c>
      <c r="K228" s="67">
        <v>0</v>
      </c>
      <c r="L228" s="67">
        <v>0</v>
      </c>
      <c r="M228" s="67">
        <v>-3.685817073417752E-4</v>
      </c>
      <c r="N228" s="67">
        <v>0</v>
      </c>
      <c r="O228" s="67">
        <v>9.7699626167013776E-15</v>
      </c>
      <c r="P228" s="67">
        <v>0</v>
      </c>
      <c r="Q228" s="67">
        <v>0</v>
      </c>
      <c r="R228" s="67">
        <v>0</v>
      </c>
      <c r="S228" s="67">
        <v>0</v>
      </c>
      <c r="T228" s="67">
        <v>-9.7699626167013776E-15</v>
      </c>
      <c r="U228" s="67">
        <v>-3.6858170687992242E-4</v>
      </c>
      <c r="V228" s="51"/>
    </row>
    <row r="229" spans="3:22" x14ac:dyDescent="0.25">
      <c r="C229" s="51"/>
      <c r="D229" s="51"/>
      <c r="E229" s="51"/>
      <c r="F229" s="51"/>
      <c r="G229" s="67"/>
      <c r="H229" s="51"/>
      <c r="I229" s="51"/>
      <c r="J229" s="51"/>
      <c r="K229" s="51"/>
      <c r="L229" s="51"/>
      <c r="M229" s="51"/>
      <c r="N229" s="51"/>
      <c r="O229" s="51"/>
      <c r="P229" s="51"/>
      <c r="Q229" s="51"/>
      <c r="R229" s="51"/>
      <c r="S229" s="51"/>
      <c r="T229" s="51"/>
      <c r="U229" s="51"/>
      <c r="V229" s="51"/>
    </row>
    <row r="230" spans="3:22" x14ac:dyDescent="0.25">
      <c r="C230" s="607" t="s">
        <v>361</v>
      </c>
      <c r="D230" s="606"/>
      <c r="E230" s="606"/>
      <c r="F230" s="606"/>
      <c r="G230" s="682"/>
      <c r="H230" s="606"/>
      <c r="I230" s="606"/>
      <c r="J230" s="606"/>
      <c r="K230" s="606"/>
      <c r="L230" s="606"/>
      <c r="M230" s="606"/>
      <c r="N230" s="606"/>
      <c r="O230" s="606"/>
      <c r="P230" s="606"/>
      <c r="Q230" s="606"/>
      <c r="R230" s="606"/>
      <c r="S230" s="606"/>
      <c r="T230" s="606"/>
      <c r="U230" s="606"/>
      <c r="V230" s="606"/>
    </row>
    <row r="231" spans="3:22" x14ac:dyDescent="0.25">
      <c r="C231" s="51"/>
      <c r="D231" s="51"/>
      <c r="E231" s="51"/>
      <c r="F231" s="51"/>
      <c r="G231" s="67"/>
      <c r="H231" s="51"/>
      <c r="I231" s="51"/>
      <c r="J231" s="51"/>
      <c r="K231" s="51"/>
      <c r="L231" s="51"/>
      <c r="M231" s="51"/>
      <c r="N231" s="51"/>
      <c r="O231" s="51"/>
      <c r="P231" s="51"/>
      <c r="Q231" s="51"/>
      <c r="R231" s="51"/>
      <c r="S231" s="51"/>
      <c r="T231" s="51"/>
      <c r="U231" s="51"/>
      <c r="V231" s="51"/>
    </row>
    <row r="232" spans="3:22" x14ac:dyDescent="0.25">
      <c r="C232" s="764" t="s">
        <v>128</v>
      </c>
      <c r="D232" s="753" t="s">
        <v>42</v>
      </c>
      <c r="E232" s="753" t="s">
        <v>52</v>
      </c>
      <c r="F232" s="753" t="s">
        <v>53</v>
      </c>
      <c r="G232" s="766" t="s">
        <v>482</v>
      </c>
      <c r="H232" s="753" t="s">
        <v>32</v>
      </c>
      <c r="I232" s="753" t="s">
        <v>483</v>
      </c>
      <c r="J232" s="753" t="s">
        <v>20</v>
      </c>
      <c r="K232" s="753" t="s">
        <v>55</v>
      </c>
      <c r="L232" s="761" t="s">
        <v>56</v>
      </c>
      <c r="M232" s="762"/>
      <c r="N232" s="762"/>
      <c r="O232" s="762"/>
      <c r="P232" s="762"/>
      <c r="Q232" s="763"/>
      <c r="R232" s="753" t="s">
        <v>57</v>
      </c>
      <c r="S232" s="753" t="s">
        <v>58</v>
      </c>
      <c r="T232" s="753" t="s">
        <v>31</v>
      </c>
      <c r="U232" s="753" t="s">
        <v>10</v>
      </c>
      <c r="V232" s="51"/>
    </row>
    <row r="233" spans="3:22" ht="36" x14ac:dyDescent="0.25">
      <c r="C233" s="765"/>
      <c r="D233" s="754"/>
      <c r="E233" s="754"/>
      <c r="F233" s="754"/>
      <c r="G233" s="767"/>
      <c r="H233" s="754"/>
      <c r="I233" s="754"/>
      <c r="J233" s="754"/>
      <c r="K233" s="754"/>
      <c r="L233" s="608" t="s">
        <v>335</v>
      </c>
      <c r="M233" s="608" t="s">
        <v>40</v>
      </c>
      <c r="N233" s="608" t="s">
        <v>343</v>
      </c>
      <c r="O233" s="608" t="s">
        <v>344</v>
      </c>
      <c r="P233" s="609" t="s">
        <v>345</v>
      </c>
      <c r="Q233" s="608" t="s">
        <v>346</v>
      </c>
      <c r="R233" s="754"/>
      <c r="S233" s="754"/>
      <c r="T233" s="754"/>
      <c r="U233" s="754"/>
      <c r="V233" s="51"/>
    </row>
    <row r="234" spans="3:22" x14ac:dyDescent="0.25">
      <c r="C234" s="610" t="s">
        <v>59</v>
      </c>
      <c r="D234" s="611">
        <v>0</v>
      </c>
      <c r="E234" s="611">
        <v>0</v>
      </c>
      <c r="F234" s="611">
        <v>0</v>
      </c>
      <c r="G234" s="611">
        <v>0</v>
      </c>
      <c r="H234" s="611">
        <v>0</v>
      </c>
      <c r="I234" s="611">
        <v>0</v>
      </c>
      <c r="J234" s="612">
        <v>971.10439999999994</v>
      </c>
      <c r="K234" s="612">
        <v>503.30122823446823</v>
      </c>
      <c r="L234" s="612">
        <v>455.14148237245831</v>
      </c>
      <c r="M234" s="612">
        <v>20.793873035909879</v>
      </c>
      <c r="N234" s="611">
        <v>1.6797912871987437</v>
      </c>
      <c r="O234" s="611">
        <v>0.17065445399605614</v>
      </c>
      <c r="P234" s="612">
        <v>171.08209770143009</v>
      </c>
      <c r="Q234" s="612">
        <v>25.726769025027945</v>
      </c>
      <c r="R234" s="611">
        <v>0</v>
      </c>
      <c r="S234" s="611">
        <v>0</v>
      </c>
      <c r="T234" s="611">
        <v>0</v>
      </c>
      <c r="U234" s="613">
        <v>2149.0002961104892</v>
      </c>
      <c r="V234" s="51"/>
    </row>
    <row r="235" spans="3:22" x14ac:dyDescent="0.25">
      <c r="C235" s="610" t="s">
        <v>60</v>
      </c>
      <c r="D235" s="611">
        <v>1.6567330370836562</v>
      </c>
      <c r="E235" s="611">
        <v>156.10342406212303</v>
      </c>
      <c r="F235" s="611">
        <v>2.9590354993625017</v>
      </c>
      <c r="G235" s="611">
        <v>0</v>
      </c>
      <c r="H235" s="611">
        <v>54.539197305320002</v>
      </c>
      <c r="I235" s="611">
        <v>0</v>
      </c>
      <c r="J235" s="611">
        <v>0</v>
      </c>
      <c r="K235" s="611">
        <v>0</v>
      </c>
      <c r="L235" s="611">
        <v>4.8125993033158778</v>
      </c>
      <c r="M235" s="611">
        <v>0</v>
      </c>
      <c r="N235" s="611">
        <v>6.2295354537228107</v>
      </c>
      <c r="O235" s="611">
        <v>0</v>
      </c>
      <c r="P235" s="611">
        <v>0</v>
      </c>
      <c r="Q235" s="611">
        <v>0</v>
      </c>
      <c r="R235" s="611">
        <v>12.737834844238364</v>
      </c>
      <c r="S235" s="611">
        <v>0</v>
      </c>
      <c r="T235" s="611">
        <v>0</v>
      </c>
      <c r="U235" s="613">
        <v>239.03835950516623</v>
      </c>
      <c r="V235" s="51"/>
    </row>
    <row r="236" spans="3:22" x14ac:dyDescent="0.25">
      <c r="C236" s="610" t="s">
        <v>61</v>
      </c>
      <c r="D236" s="611">
        <v>0</v>
      </c>
      <c r="E236" s="611">
        <v>0</v>
      </c>
      <c r="F236" s="611">
        <v>-44.676300971263089</v>
      </c>
      <c r="G236" s="611">
        <v>-7.4420014649377606</v>
      </c>
      <c r="H236" s="611">
        <v>0</v>
      </c>
      <c r="I236" s="611">
        <v>0</v>
      </c>
      <c r="J236" s="611">
        <v>0</v>
      </c>
      <c r="K236" s="611">
        <v>0</v>
      </c>
      <c r="L236" s="611">
        <v>0</v>
      </c>
      <c r="M236" s="611">
        <v>0</v>
      </c>
      <c r="N236" s="611">
        <v>0</v>
      </c>
      <c r="O236" s="611">
        <v>0</v>
      </c>
      <c r="P236" s="611">
        <v>0</v>
      </c>
      <c r="Q236" s="611">
        <v>0</v>
      </c>
      <c r="R236" s="611">
        <v>0</v>
      </c>
      <c r="S236" s="611">
        <v>0</v>
      </c>
      <c r="T236" s="611">
        <v>0</v>
      </c>
      <c r="U236" s="613">
        <v>-52.11830243620085</v>
      </c>
      <c r="V236" s="51"/>
    </row>
    <row r="237" spans="3:22" x14ac:dyDescent="0.25">
      <c r="C237" s="610" t="s">
        <v>62</v>
      </c>
      <c r="D237" s="611">
        <v>0</v>
      </c>
      <c r="E237" s="611">
        <v>0</v>
      </c>
      <c r="F237" s="611">
        <v>-2.5439781787400757</v>
      </c>
      <c r="G237" s="611">
        <v>-5.1073400578201751</v>
      </c>
      <c r="H237" s="611">
        <v>0</v>
      </c>
      <c r="I237" s="611">
        <v>-4.025065184691706</v>
      </c>
      <c r="J237" s="611">
        <v>0</v>
      </c>
      <c r="K237" s="611">
        <v>0</v>
      </c>
      <c r="L237" s="611">
        <v>0</v>
      </c>
      <c r="M237" s="611">
        <v>0</v>
      </c>
      <c r="N237" s="611">
        <v>-1.4642875778969737</v>
      </c>
      <c r="O237" s="611">
        <v>-2.6833767897944703</v>
      </c>
      <c r="P237" s="611">
        <v>0</v>
      </c>
      <c r="Q237" s="611">
        <v>0</v>
      </c>
      <c r="R237" s="611">
        <v>0</v>
      </c>
      <c r="S237" s="611">
        <v>0</v>
      </c>
      <c r="T237" s="611">
        <v>-1.8096944583874461</v>
      </c>
      <c r="U237" s="613">
        <v>-17.633742247330847</v>
      </c>
      <c r="V237" s="51"/>
    </row>
    <row r="238" spans="3:22" x14ac:dyDescent="0.25">
      <c r="C238" s="610" t="s">
        <v>63</v>
      </c>
      <c r="D238" s="611">
        <v>0</v>
      </c>
      <c r="E238" s="611">
        <v>0</v>
      </c>
      <c r="F238" s="611">
        <v>-26.066537028283065</v>
      </c>
      <c r="G238" s="611">
        <v>-15.61159587816994</v>
      </c>
      <c r="H238" s="611">
        <v>0</v>
      </c>
      <c r="I238" s="611">
        <v>0</v>
      </c>
      <c r="J238" s="611">
        <v>0</v>
      </c>
      <c r="K238" s="611">
        <v>0</v>
      </c>
      <c r="L238" s="611">
        <v>0</v>
      </c>
      <c r="M238" s="611">
        <v>0</v>
      </c>
      <c r="N238" s="611">
        <v>-15.61159587816994</v>
      </c>
      <c r="O238" s="611">
        <v>0</v>
      </c>
      <c r="P238" s="611">
        <v>0</v>
      </c>
      <c r="Q238" s="611">
        <v>0</v>
      </c>
      <c r="R238" s="611">
        <v>0</v>
      </c>
      <c r="S238" s="611">
        <v>0</v>
      </c>
      <c r="T238" s="611">
        <v>-5.1590895167519655</v>
      </c>
      <c r="U238" s="613">
        <v>-62.448818301374899</v>
      </c>
      <c r="V238" s="51"/>
    </row>
    <row r="239" spans="3:22" x14ac:dyDescent="0.25">
      <c r="C239" s="610" t="s">
        <v>64</v>
      </c>
      <c r="D239" s="611">
        <v>0</v>
      </c>
      <c r="E239" s="611">
        <v>0</v>
      </c>
      <c r="F239" s="611">
        <v>0</v>
      </c>
      <c r="G239" s="611">
        <v>0</v>
      </c>
      <c r="H239" s="611">
        <v>0</v>
      </c>
      <c r="I239" s="611">
        <v>0</v>
      </c>
      <c r="J239" s="611">
        <v>0</v>
      </c>
      <c r="K239" s="611">
        <v>0</v>
      </c>
      <c r="L239" s="611">
        <v>0</v>
      </c>
      <c r="M239" s="611">
        <v>0</v>
      </c>
      <c r="N239" s="611">
        <v>0</v>
      </c>
      <c r="O239" s="611">
        <v>0</v>
      </c>
      <c r="P239" s="611">
        <v>0</v>
      </c>
      <c r="Q239" s="611">
        <v>0</v>
      </c>
      <c r="R239" s="611">
        <v>0</v>
      </c>
      <c r="S239" s="611">
        <v>0</v>
      </c>
      <c r="T239" s="611">
        <v>0</v>
      </c>
      <c r="U239" s="613">
        <v>0</v>
      </c>
      <c r="V239" s="51"/>
    </row>
    <row r="240" spans="3:22" x14ac:dyDescent="0.25">
      <c r="C240" s="614" t="s">
        <v>65</v>
      </c>
      <c r="D240" s="615">
        <v>1.6567330370836562</v>
      </c>
      <c r="E240" s="615">
        <v>156.10342406212303</v>
      </c>
      <c r="F240" s="615">
        <v>-70.32778067892373</v>
      </c>
      <c r="G240" s="615">
        <v>-28.160937400927875</v>
      </c>
      <c r="H240" s="615">
        <v>54.539197305320002</v>
      </c>
      <c r="I240" s="615">
        <v>-4.025065184691706</v>
      </c>
      <c r="J240" s="615">
        <v>971.10439999999994</v>
      </c>
      <c r="K240" s="615">
        <v>503.30122823446823</v>
      </c>
      <c r="L240" s="615">
        <v>459.9540816757742</v>
      </c>
      <c r="M240" s="615">
        <v>20.793873035909879</v>
      </c>
      <c r="N240" s="615">
        <v>-9.166556715145358</v>
      </c>
      <c r="O240" s="615">
        <v>-2.5127223357984141</v>
      </c>
      <c r="P240" s="615">
        <v>171.08209770143009</v>
      </c>
      <c r="Q240" s="615">
        <v>25.726769025027945</v>
      </c>
      <c r="R240" s="615">
        <v>12.737834844238364</v>
      </c>
      <c r="S240" s="615">
        <v>0</v>
      </c>
      <c r="T240" s="615">
        <v>-6.9687839751394112</v>
      </c>
      <c r="U240" s="615">
        <v>2255.8377926307489</v>
      </c>
      <c r="V240" s="51"/>
    </row>
    <row r="241" spans="3:22" x14ac:dyDescent="0.25">
      <c r="C241" s="616"/>
      <c r="D241" s="617"/>
      <c r="E241" s="617"/>
      <c r="F241" s="617"/>
      <c r="G241" s="617"/>
      <c r="H241" s="623"/>
      <c r="I241" s="617"/>
      <c r="J241" s="617"/>
      <c r="K241" s="617"/>
      <c r="L241" s="617"/>
      <c r="M241" s="617"/>
      <c r="N241" s="617"/>
      <c r="O241" s="617"/>
      <c r="P241" s="617"/>
      <c r="Q241" s="617"/>
      <c r="R241" s="617"/>
      <c r="S241" s="617"/>
      <c r="T241" s="617"/>
      <c r="U241" s="617"/>
      <c r="V241" s="51"/>
    </row>
    <row r="242" spans="3:22" x14ac:dyDescent="0.25">
      <c r="C242" s="618" t="s">
        <v>67</v>
      </c>
      <c r="D242" s="611">
        <v>0</v>
      </c>
      <c r="E242" s="611">
        <v>0</v>
      </c>
      <c r="F242" s="611">
        <v>0</v>
      </c>
      <c r="G242" s="611">
        <v>0</v>
      </c>
      <c r="H242" s="611">
        <v>0</v>
      </c>
      <c r="I242" s="611">
        <v>0</v>
      </c>
      <c r="J242" s="611">
        <v>0</v>
      </c>
      <c r="K242" s="611">
        <v>0</v>
      </c>
      <c r="L242" s="611">
        <v>0</v>
      </c>
      <c r="M242" s="611">
        <v>0</v>
      </c>
      <c r="N242" s="611">
        <v>0</v>
      </c>
      <c r="O242" s="611">
        <v>0</v>
      </c>
      <c r="P242" s="611">
        <v>0</v>
      </c>
      <c r="Q242" s="611">
        <v>0</v>
      </c>
      <c r="R242" s="611">
        <v>0</v>
      </c>
      <c r="S242" s="611">
        <v>0</v>
      </c>
      <c r="T242" s="611">
        <v>0</v>
      </c>
      <c r="U242" s="619">
        <v>0</v>
      </c>
      <c r="V242" s="51"/>
    </row>
    <row r="243" spans="3:22" x14ac:dyDescent="0.25">
      <c r="C243" s="618" t="s">
        <v>347</v>
      </c>
      <c r="D243" s="611">
        <v>0</v>
      </c>
      <c r="E243" s="611">
        <v>0</v>
      </c>
      <c r="F243" s="611">
        <v>0</v>
      </c>
      <c r="G243" s="611">
        <v>0</v>
      </c>
      <c r="H243" s="611">
        <v>0.44776646808510651</v>
      </c>
      <c r="I243" s="611">
        <v>0</v>
      </c>
      <c r="J243" s="611">
        <v>971.10439999999994</v>
      </c>
      <c r="K243" s="611">
        <v>503.30122823446823</v>
      </c>
      <c r="L243" s="611">
        <v>22.611661930027488</v>
      </c>
      <c r="M243" s="611">
        <v>0.61851517484510588</v>
      </c>
      <c r="N243" s="611">
        <v>6.3451610040287907</v>
      </c>
      <c r="O243" s="611">
        <v>1.1589812304406033</v>
      </c>
      <c r="P243" s="611">
        <v>0</v>
      </c>
      <c r="Q243" s="611">
        <v>6.4766550958451852</v>
      </c>
      <c r="R243" s="611">
        <v>-877.28387729883798</v>
      </c>
      <c r="S243" s="611">
        <v>0</v>
      </c>
      <c r="T243" s="611">
        <v>5.1921899999999992</v>
      </c>
      <c r="U243" s="619">
        <v>639.97268183890242</v>
      </c>
      <c r="V243" s="51"/>
    </row>
    <row r="244" spans="3:22" x14ac:dyDescent="0.25">
      <c r="C244" s="618" t="s">
        <v>348</v>
      </c>
      <c r="D244" s="611">
        <v>0</v>
      </c>
      <c r="E244" s="611">
        <v>0</v>
      </c>
      <c r="F244" s="611">
        <v>0</v>
      </c>
      <c r="G244" s="611">
        <v>0</v>
      </c>
      <c r="H244" s="611">
        <v>3.2640954387883037</v>
      </c>
      <c r="I244" s="611">
        <v>0</v>
      </c>
      <c r="J244" s="611">
        <v>0</v>
      </c>
      <c r="K244" s="611">
        <v>0</v>
      </c>
      <c r="L244" s="611">
        <v>34.874750545465744</v>
      </c>
      <c r="M244" s="611">
        <v>14.450307287843678</v>
      </c>
      <c r="N244" s="611">
        <v>0</v>
      </c>
      <c r="O244" s="611">
        <v>7.6313341325616637</v>
      </c>
      <c r="P244" s="611">
        <v>0</v>
      </c>
      <c r="Q244" s="611">
        <v>11.247880766628024</v>
      </c>
      <c r="R244" s="611">
        <v>0</v>
      </c>
      <c r="S244" s="611">
        <v>-67.335306808549447</v>
      </c>
      <c r="T244" s="611">
        <v>0</v>
      </c>
      <c r="U244" s="619">
        <v>4.133061362737962</v>
      </c>
      <c r="V244" s="51"/>
    </row>
    <row r="245" spans="3:22" x14ac:dyDescent="0.25">
      <c r="C245" s="618" t="s">
        <v>349</v>
      </c>
      <c r="D245" s="611">
        <v>0</v>
      </c>
      <c r="E245" s="611">
        <v>0</v>
      </c>
      <c r="F245" s="611">
        <v>0</v>
      </c>
      <c r="G245" s="611">
        <v>0</v>
      </c>
      <c r="H245" s="611">
        <v>0</v>
      </c>
      <c r="I245" s="611">
        <v>0</v>
      </c>
      <c r="J245" s="611">
        <v>0</v>
      </c>
      <c r="K245" s="611">
        <v>0</v>
      </c>
      <c r="L245" s="611">
        <v>99.886824202456438</v>
      </c>
      <c r="M245" s="611">
        <v>0</v>
      </c>
      <c r="N245" s="611">
        <v>0</v>
      </c>
      <c r="O245" s="611">
        <v>-91.582944375151399</v>
      </c>
      <c r="P245" s="611">
        <v>0</v>
      </c>
      <c r="Q245" s="611">
        <v>0</v>
      </c>
      <c r="R245" s="611">
        <v>0</v>
      </c>
      <c r="S245" s="611">
        <v>0</v>
      </c>
      <c r="T245" s="611">
        <v>0</v>
      </c>
      <c r="U245" s="619">
        <v>8.3038798273050389</v>
      </c>
      <c r="V245" s="51"/>
    </row>
    <row r="246" spans="3:22" x14ac:dyDescent="0.25">
      <c r="C246" s="618" t="s">
        <v>350</v>
      </c>
      <c r="D246" s="611">
        <v>0</v>
      </c>
      <c r="E246" s="611">
        <v>0</v>
      </c>
      <c r="F246" s="611">
        <v>0</v>
      </c>
      <c r="G246" s="611">
        <v>0</v>
      </c>
      <c r="H246" s="611">
        <v>0</v>
      </c>
      <c r="I246" s="611">
        <v>-5.1740904166094976</v>
      </c>
      <c r="J246" s="611">
        <v>0</v>
      </c>
      <c r="K246" s="611">
        <v>0</v>
      </c>
      <c r="L246" s="611">
        <v>0</v>
      </c>
      <c r="M246" s="611">
        <v>0</v>
      </c>
      <c r="N246" s="611">
        <v>0</v>
      </c>
      <c r="O246" s="611">
        <v>0</v>
      </c>
      <c r="P246" s="611">
        <v>0</v>
      </c>
      <c r="Q246" s="611">
        <v>0</v>
      </c>
      <c r="R246" s="611">
        <v>0</v>
      </c>
      <c r="S246" s="611">
        <v>0</v>
      </c>
      <c r="T246" s="611">
        <v>7.1912846116196816</v>
      </c>
      <c r="U246" s="619">
        <v>2.0171941950101839</v>
      </c>
      <c r="V246" s="51"/>
    </row>
    <row r="247" spans="3:22" x14ac:dyDescent="0.25">
      <c r="C247" s="618" t="s">
        <v>72</v>
      </c>
      <c r="D247" s="611">
        <v>0</v>
      </c>
      <c r="E247" s="611">
        <v>161.75289728424144</v>
      </c>
      <c r="F247" s="611">
        <v>-160.13983967974238</v>
      </c>
      <c r="G247" s="611">
        <v>0</v>
      </c>
      <c r="H247" s="611">
        <v>0</v>
      </c>
      <c r="I247" s="611">
        <v>0</v>
      </c>
      <c r="J247" s="611">
        <v>0</v>
      </c>
      <c r="K247" s="611">
        <v>0</v>
      </c>
      <c r="L247" s="611">
        <v>0</v>
      </c>
      <c r="M247" s="611">
        <v>0</v>
      </c>
      <c r="N247" s="611">
        <v>0</v>
      </c>
      <c r="O247" s="611">
        <v>0</v>
      </c>
      <c r="P247" s="611">
        <v>0</v>
      </c>
      <c r="Q247" s="611">
        <v>0</v>
      </c>
      <c r="R247" s="611">
        <v>0</v>
      </c>
      <c r="S247" s="611">
        <v>0</v>
      </c>
      <c r="T247" s="611">
        <v>0</v>
      </c>
      <c r="U247" s="619">
        <v>1.6130576044990619</v>
      </c>
      <c r="V247" s="51"/>
    </row>
    <row r="248" spans="3:22" x14ac:dyDescent="0.25">
      <c r="C248" s="618" t="s">
        <v>351</v>
      </c>
      <c r="D248" s="611">
        <v>0</v>
      </c>
      <c r="E248" s="611">
        <v>0</v>
      </c>
      <c r="F248" s="611">
        <v>0</v>
      </c>
      <c r="G248" s="611">
        <v>0</v>
      </c>
      <c r="H248" s="611">
        <v>0</v>
      </c>
      <c r="I248" s="611">
        <v>0</v>
      </c>
      <c r="J248" s="611">
        <v>0</v>
      </c>
      <c r="K248" s="611">
        <v>0</v>
      </c>
      <c r="L248" s="611">
        <v>239.29378044744664</v>
      </c>
      <c r="M248" s="611">
        <v>0</v>
      </c>
      <c r="N248" s="611">
        <v>-131.61157924609566</v>
      </c>
      <c r="O248" s="611">
        <v>0</v>
      </c>
      <c r="P248" s="611">
        <v>0</v>
      </c>
      <c r="Q248" s="611">
        <v>0</v>
      </c>
      <c r="R248" s="611">
        <v>0</v>
      </c>
      <c r="S248" s="611">
        <v>0</v>
      </c>
      <c r="T248" s="611">
        <v>0</v>
      </c>
      <c r="U248" s="619">
        <v>107.68220120135098</v>
      </c>
      <c r="V248" s="51"/>
    </row>
    <row r="249" spans="3:22" x14ac:dyDescent="0.25">
      <c r="C249" s="618" t="s">
        <v>352</v>
      </c>
      <c r="D249" s="611">
        <v>0</v>
      </c>
      <c r="E249" s="611">
        <v>0</v>
      </c>
      <c r="F249" s="611">
        <v>0</v>
      </c>
      <c r="G249" s="611">
        <v>-33.473815441656178</v>
      </c>
      <c r="H249" s="611">
        <v>0</v>
      </c>
      <c r="I249" s="611">
        <v>0</v>
      </c>
      <c r="J249" s="611">
        <v>0</v>
      </c>
      <c r="K249" s="611">
        <v>0</v>
      </c>
      <c r="L249" s="611">
        <v>0</v>
      </c>
      <c r="M249" s="611">
        <v>0</v>
      </c>
      <c r="N249" s="611">
        <v>0</v>
      </c>
      <c r="O249" s="611">
        <v>0</v>
      </c>
      <c r="P249" s="611">
        <v>0</v>
      </c>
      <c r="Q249" s="611">
        <v>0</v>
      </c>
      <c r="R249" s="611">
        <v>0</v>
      </c>
      <c r="S249" s="611">
        <v>0</v>
      </c>
      <c r="T249" s="611">
        <v>43.527837875314049</v>
      </c>
      <c r="U249" s="619">
        <v>10.05402243365787</v>
      </c>
      <c r="V249" s="51"/>
    </row>
    <row r="250" spans="3:22" x14ac:dyDescent="0.25">
      <c r="C250" s="618" t="s">
        <v>73</v>
      </c>
      <c r="D250" s="611">
        <v>0</v>
      </c>
      <c r="E250" s="611">
        <v>0</v>
      </c>
      <c r="F250" s="611">
        <v>0</v>
      </c>
      <c r="G250" s="611">
        <v>0</v>
      </c>
      <c r="H250" s="611">
        <v>0</v>
      </c>
      <c r="I250" s="611">
        <v>0</v>
      </c>
      <c r="J250" s="611">
        <v>0</v>
      </c>
      <c r="K250" s="611">
        <v>0</v>
      </c>
      <c r="L250" s="611">
        <v>0</v>
      </c>
      <c r="M250" s="611">
        <v>0</v>
      </c>
      <c r="N250" s="611">
        <v>0</v>
      </c>
      <c r="O250" s="611">
        <v>0</v>
      </c>
      <c r="P250" s="611">
        <v>0</v>
      </c>
      <c r="Q250" s="611">
        <v>0</v>
      </c>
      <c r="R250" s="611">
        <v>186.09171546114462</v>
      </c>
      <c r="S250" s="611">
        <v>0</v>
      </c>
      <c r="T250" s="611">
        <v>-130.72943011145409</v>
      </c>
      <c r="U250" s="619">
        <v>55.362285349690524</v>
      </c>
      <c r="V250" s="51"/>
    </row>
    <row r="251" spans="3:22" x14ac:dyDescent="0.25">
      <c r="C251" s="618" t="s">
        <v>353</v>
      </c>
      <c r="D251" s="611">
        <v>0</v>
      </c>
      <c r="E251" s="611">
        <v>-5.6494732221184147</v>
      </c>
      <c r="F251" s="611">
        <v>7.3669989850431641</v>
      </c>
      <c r="G251" s="611">
        <v>0</v>
      </c>
      <c r="H251" s="611">
        <v>0</v>
      </c>
      <c r="I251" s="611">
        <v>0</v>
      </c>
      <c r="J251" s="611">
        <v>0</v>
      </c>
      <c r="K251" s="611">
        <v>0</v>
      </c>
      <c r="L251" s="611">
        <v>0</v>
      </c>
      <c r="M251" s="611">
        <v>0</v>
      </c>
      <c r="N251" s="611">
        <v>0</v>
      </c>
      <c r="O251" s="611">
        <v>0</v>
      </c>
      <c r="P251" s="611">
        <v>0</v>
      </c>
      <c r="Q251" s="611">
        <v>0</v>
      </c>
      <c r="R251" s="611">
        <v>0</v>
      </c>
      <c r="S251" s="611">
        <v>0</v>
      </c>
      <c r="T251" s="611">
        <v>0</v>
      </c>
      <c r="U251" s="619">
        <v>1.7175257629247493</v>
      </c>
      <c r="V251" s="51"/>
    </row>
    <row r="252" spans="3:22" x14ac:dyDescent="0.25">
      <c r="C252" s="618" t="s">
        <v>75</v>
      </c>
      <c r="D252" s="611">
        <v>0</v>
      </c>
      <c r="E252" s="611">
        <v>0</v>
      </c>
      <c r="F252" s="611">
        <v>5.5408288295361077</v>
      </c>
      <c r="G252" s="611">
        <v>0</v>
      </c>
      <c r="H252" s="611">
        <v>1.9377811160090992</v>
      </c>
      <c r="I252" s="611">
        <v>4.9686695282284594E-2</v>
      </c>
      <c r="J252" s="611">
        <v>0</v>
      </c>
      <c r="K252" s="611">
        <v>0</v>
      </c>
      <c r="L252" s="611">
        <v>0</v>
      </c>
      <c r="M252" s="611">
        <v>0</v>
      </c>
      <c r="N252" s="611">
        <v>0</v>
      </c>
      <c r="O252" s="611">
        <v>2.9812017169370755</v>
      </c>
      <c r="P252" s="611">
        <v>0</v>
      </c>
      <c r="Q252" s="611">
        <v>0</v>
      </c>
      <c r="R252" s="611">
        <v>65.428671005307493</v>
      </c>
      <c r="S252" s="611">
        <v>0</v>
      </c>
      <c r="T252" s="611">
        <v>0</v>
      </c>
      <c r="U252" s="619">
        <v>75.938169363072063</v>
      </c>
      <c r="V252" s="51"/>
    </row>
    <row r="253" spans="3:22" x14ac:dyDescent="0.25">
      <c r="C253" s="618" t="s">
        <v>76</v>
      </c>
      <c r="D253" s="611">
        <v>0</v>
      </c>
      <c r="E253" s="611">
        <v>0</v>
      </c>
      <c r="F253" s="611">
        <v>0</v>
      </c>
      <c r="G253" s="611">
        <v>0</v>
      </c>
      <c r="H253" s="611">
        <v>0.58858582439204721</v>
      </c>
      <c r="I253" s="611">
        <v>1.5091944215180697E-2</v>
      </c>
      <c r="J253" s="611">
        <v>0</v>
      </c>
      <c r="K253" s="611">
        <v>0</v>
      </c>
      <c r="L253" s="611">
        <v>0</v>
      </c>
      <c r="M253" s="611">
        <v>0</v>
      </c>
      <c r="N253" s="611">
        <v>0</v>
      </c>
      <c r="O253" s="611">
        <v>0.90551665291084182</v>
      </c>
      <c r="P253" s="611">
        <v>0</v>
      </c>
      <c r="Q253" s="611">
        <v>0</v>
      </c>
      <c r="R253" s="611">
        <v>68.128345316060717</v>
      </c>
      <c r="S253" s="611">
        <v>5.2226705636158801</v>
      </c>
      <c r="T253" s="611">
        <v>0</v>
      </c>
      <c r="U253" s="619">
        <v>74.86021030119467</v>
      </c>
      <c r="V253" s="51"/>
    </row>
    <row r="254" spans="3:22" x14ac:dyDescent="0.25">
      <c r="C254" s="614" t="s">
        <v>77</v>
      </c>
      <c r="D254" s="615">
        <v>0</v>
      </c>
      <c r="E254" s="615">
        <v>156.10342406212303</v>
      </c>
      <c r="F254" s="615">
        <v>-147.23201186516312</v>
      </c>
      <c r="G254" s="615">
        <v>-33.473815441656178</v>
      </c>
      <c r="H254" s="615">
        <v>6.2382288472745566</v>
      </c>
      <c r="I254" s="615">
        <v>-5.1093117771120324</v>
      </c>
      <c r="J254" s="615">
        <v>971.10439999999994</v>
      </c>
      <c r="K254" s="615">
        <v>503.30122823446823</v>
      </c>
      <c r="L254" s="615">
        <v>396.66701712539634</v>
      </c>
      <c r="M254" s="615">
        <v>15.068822462688784</v>
      </c>
      <c r="N254" s="615">
        <v>-125.26641824206686</v>
      </c>
      <c r="O254" s="615">
        <v>-78.905910642301208</v>
      </c>
      <c r="P254" s="615">
        <v>0</v>
      </c>
      <c r="Q254" s="615">
        <v>17.724535862473211</v>
      </c>
      <c r="R254" s="615">
        <v>-557.63514551632511</v>
      </c>
      <c r="S254" s="615">
        <v>-62.112636244933569</v>
      </c>
      <c r="T254" s="615">
        <v>-74.818117624520369</v>
      </c>
      <c r="U254" s="615">
        <v>981.65428924034563</v>
      </c>
      <c r="V254" s="51"/>
    </row>
    <row r="255" spans="3:22" x14ac:dyDescent="0.25">
      <c r="C255" s="616"/>
      <c r="D255" s="617"/>
      <c r="E255" s="617"/>
      <c r="F255" s="617"/>
      <c r="G255" s="617"/>
      <c r="H255" s="623"/>
      <c r="I255" s="617"/>
      <c r="J255" s="617"/>
      <c r="K255" s="617"/>
      <c r="L255" s="617"/>
      <c r="M255" s="617"/>
      <c r="N255" s="617"/>
      <c r="O255" s="617"/>
      <c r="P255" s="617"/>
      <c r="Q255" s="617"/>
      <c r="R255" s="617"/>
      <c r="S255" s="617"/>
      <c r="T255" s="617"/>
      <c r="U255" s="617"/>
      <c r="V255" s="51"/>
    </row>
    <row r="256" spans="3:22" x14ac:dyDescent="0.25">
      <c r="C256" s="618" t="s">
        <v>78</v>
      </c>
      <c r="D256" s="611">
        <v>1.6567330370836562</v>
      </c>
      <c r="E256" s="611">
        <v>0</v>
      </c>
      <c r="F256" s="611">
        <v>2.8599897491525303</v>
      </c>
      <c r="G256" s="611">
        <v>0</v>
      </c>
      <c r="H256" s="611">
        <v>23.2042782425182</v>
      </c>
      <c r="I256" s="611">
        <v>0.59498149339790252</v>
      </c>
      <c r="J256" s="611">
        <v>0</v>
      </c>
      <c r="K256" s="611">
        <v>0</v>
      </c>
      <c r="L256" s="611">
        <v>22.611451120736024</v>
      </c>
      <c r="M256" s="611">
        <v>5.7247037459588501</v>
      </c>
      <c r="N256" s="611">
        <v>2.4891014214733991</v>
      </c>
      <c r="O256" s="611">
        <v>35.740239810905898</v>
      </c>
      <c r="P256" s="611">
        <v>17.613589843749999</v>
      </c>
      <c r="Q256" s="611">
        <v>8.4299170840015686E-4</v>
      </c>
      <c r="R256" s="611">
        <v>187.94943106568476</v>
      </c>
      <c r="S256" s="611">
        <v>21.3497147946984</v>
      </c>
      <c r="T256" s="611">
        <v>13.7914765625</v>
      </c>
      <c r="U256" s="619">
        <v>335.58653387956804</v>
      </c>
      <c r="V256" s="51"/>
    </row>
    <row r="257" spans="3:22" x14ac:dyDescent="0.25">
      <c r="C257" s="618" t="s">
        <v>79</v>
      </c>
      <c r="D257" s="611">
        <v>0</v>
      </c>
      <c r="E257" s="611">
        <v>0</v>
      </c>
      <c r="F257" s="611">
        <v>7.0212023016086675</v>
      </c>
      <c r="G257" s="611">
        <v>2.7990026147409606</v>
      </c>
      <c r="H257" s="611">
        <v>3.0363171620819989</v>
      </c>
      <c r="I257" s="611">
        <v>7.7854286207230741E-2</v>
      </c>
      <c r="J257" s="611">
        <v>0</v>
      </c>
      <c r="K257" s="611">
        <v>0</v>
      </c>
      <c r="L257" s="611">
        <v>0</v>
      </c>
      <c r="M257" s="611">
        <v>0</v>
      </c>
      <c r="N257" s="611">
        <v>56.581202021290558</v>
      </c>
      <c r="O257" s="611">
        <v>4.6712571724338439</v>
      </c>
      <c r="P257" s="611">
        <v>0</v>
      </c>
      <c r="Q257" s="611">
        <v>0</v>
      </c>
      <c r="R257" s="611">
        <v>112.24073946586431</v>
      </c>
      <c r="S257" s="611">
        <v>0</v>
      </c>
      <c r="T257" s="611">
        <v>6.497399181335763</v>
      </c>
      <c r="U257" s="619">
        <v>192.92497420556333</v>
      </c>
      <c r="V257" s="51"/>
    </row>
    <row r="258" spans="3:22" x14ac:dyDescent="0.25">
      <c r="C258" s="618" t="s">
        <v>80</v>
      </c>
      <c r="D258" s="611">
        <v>0</v>
      </c>
      <c r="E258" s="611">
        <v>0</v>
      </c>
      <c r="F258" s="611">
        <v>0.52818257625892373</v>
      </c>
      <c r="G258" s="611">
        <v>0</v>
      </c>
      <c r="H258" s="611">
        <v>9.9272307301662774</v>
      </c>
      <c r="I258" s="611">
        <v>0.25454437769657123</v>
      </c>
      <c r="J258" s="611">
        <v>0</v>
      </c>
      <c r="K258" s="611">
        <v>0</v>
      </c>
      <c r="L258" s="611">
        <v>36.145280389625334</v>
      </c>
      <c r="M258" s="611">
        <v>0</v>
      </c>
      <c r="N258" s="611">
        <v>0</v>
      </c>
      <c r="O258" s="611">
        <v>15.272662661794273</v>
      </c>
      <c r="P258" s="611">
        <v>102.98149571768585</v>
      </c>
      <c r="Q258" s="611">
        <v>2.9888036499995505</v>
      </c>
      <c r="R258" s="611">
        <v>143.51715895688449</v>
      </c>
      <c r="S258" s="611">
        <v>22.181895321077057</v>
      </c>
      <c r="T258" s="611">
        <v>0</v>
      </c>
      <c r="U258" s="619">
        <v>333.79725438118828</v>
      </c>
      <c r="V258" s="51"/>
    </row>
    <row r="259" spans="3:22" x14ac:dyDescent="0.25">
      <c r="C259" s="618" t="s">
        <v>81</v>
      </c>
      <c r="D259" s="611">
        <v>0</v>
      </c>
      <c r="E259" s="611">
        <v>0</v>
      </c>
      <c r="F259" s="611">
        <v>0.4043921899752152</v>
      </c>
      <c r="G259" s="611">
        <v>0</v>
      </c>
      <c r="H259" s="611">
        <v>5.5758605918279338</v>
      </c>
      <c r="I259" s="611">
        <v>0.14297078440584446</v>
      </c>
      <c r="J259" s="611">
        <v>0</v>
      </c>
      <c r="K259" s="611">
        <v>0</v>
      </c>
      <c r="L259" s="611">
        <v>0.49596954229928064</v>
      </c>
      <c r="M259" s="611">
        <v>0</v>
      </c>
      <c r="N259" s="611">
        <v>0</v>
      </c>
      <c r="O259" s="611">
        <v>8.5782470643506681</v>
      </c>
      <c r="P259" s="611">
        <v>49.237012139994242</v>
      </c>
      <c r="Q259" s="611">
        <v>3.2685728275989634</v>
      </c>
      <c r="R259" s="611">
        <v>113.98538483583862</v>
      </c>
      <c r="S259" s="611">
        <v>18.581026129158101</v>
      </c>
      <c r="T259" s="611">
        <v>0</v>
      </c>
      <c r="U259" s="619">
        <v>200.26943610544885</v>
      </c>
      <c r="V259" s="51"/>
    </row>
    <row r="260" spans="3:22" x14ac:dyDescent="0.25">
      <c r="C260" s="618" t="s">
        <v>82</v>
      </c>
      <c r="D260" s="611">
        <v>0</v>
      </c>
      <c r="E260" s="611">
        <v>0</v>
      </c>
      <c r="F260" s="611">
        <v>3.6463721740036745</v>
      </c>
      <c r="G260" s="611">
        <v>0</v>
      </c>
      <c r="H260" s="611">
        <v>0.54193037779832631</v>
      </c>
      <c r="I260" s="611">
        <v>1.3895650712777598E-2</v>
      </c>
      <c r="J260" s="611">
        <v>0</v>
      </c>
      <c r="K260" s="611">
        <v>0</v>
      </c>
      <c r="L260" s="611">
        <v>3.5613676310951794</v>
      </c>
      <c r="M260" s="611">
        <v>0</v>
      </c>
      <c r="N260" s="611">
        <v>18.734510808369581</v>
      </c>
      <c r="O260" s="611">
        <v>0.83373904276665589</v>
      </c>
      <c r="P260" s="611">
        <v>1.25</v>
      </c>
      <c r="Q260" s="611">
        <v>1.7440136932478227</v>
      </c>
      <c r="R260" s="611">
        <v>6.9126660362912906</v>
      </c>
      <c r="S260" s="611">
        <v>0</v>
      </c>
      <c r="T260" s="611">
        <v>0.67126612024062504</v>
      </c>
      <c r="U260" s="619">
        <v>37.909761534525927</v>
      </c>
      <c r="V260" s="51"/>
    </row>
    <row r="261" spans="3:22" x14ac:dyDescent="0.25">
      <c r="C261" s="618" t="s">
        <v>354</v>
      </c>
      <c r="D261" s="611">
        <v>0</v>
      </c>
      <c r="E261" s="611">
        <v>0</v>
      </c>
      <c r="F261" s="611">
        <v>0</v>
      </c>
      <c r="G261" s="611">
        <v>0</v>
      </c>
      <c r="H261" s="611">
        <v>0</v>
      </c>
      <c r="I261" s="611">
        <v>0</v>
      </c>
      <c r="J261" s="611">
        <v>0</v>
      </c>
      <c r="K261" s="611">
        <v>0</v>
      </c>
      <c r="L261" s="611">
        <v>0</v>
      </c>
      <c r="M261" s="611">
        <v>0</v>
      </c>
      <c r="N261" s="611">
        <v>0</v>
      </c>
      <c r="O261" s="611">
        <v>0</v>
      </c>
      <c r="P261" s="611">
        <v>0</v>
      </c>
      <c r="Q261" s="611">
        <v>0</v>
      </c>
      <c r="R261" s="611">
        <v>5.7675999999999998</v>
      </c>
      <c r="S261" s="611">
        <v>0</v>
      </c>
      <c r="T261" s="611">
        <v>0</v>
      </c>
      <c r="U261" s="619">
        <v>5.7675999999999998</v>
      </c>
      <c r="V261" s="51"/>
    </row>
    <row r="262" spans="3:22" x14ac:dyDescent="0.25">
      <c r="C262" s="614" t="s">
        <v>83</v>
      </c>
      <c r="D262" s="615">
        <v>1.6567330370836562</v>
      </c>
      <c r="E262" s="615">
        <v>0</v>
      </c>
      <c r="F262" s="615">
        <v>14.460138990999013</v>
      </c>
      <c r="G262" s="615">
        <v>2.7990026147409606</v>
      </c>
      <c r="H262" s="615">
        <v>42.285617104392735</v>
      </c>
      <c r="I262" s="615">
        <v>1.0842465924203266</v>
      </c>
      <c r="J262" s="615">
        <v>0</v>
      </c>
      <c r="K262" s="615">
        <v>0</v>
      </c>
      <c r="L262" s="615">
        <v>62.814068683755821</v>
      </c>
      <c r="M262" s="615">
        <v>5.7247037459588501</v>
      </c>
      <c r="N262" s="615">
        <v>77.804814251133536</v>
      </c>
      <c r="O262" s="615">
        <v>65.096145752251331</v>
      </c>
      <c r="P262" s="615">
        <v>171.08209770143009</v>
      </c>
      <c r="Q262" s="615">
        <v>8.0022331625547363</v>
      </c>
      <c r="R262" s="615">
        <v>570.37298036056347</v>
      </c>
      <c r="S262" s="615">
        <v>62.112636244933555</v>
      </c>
      <c r="T262" s="615">
        <v>20.960141864076387</v>
      </c>
      <c r="U262" s="615">
        <v>1106.2555601062943</v>
      </c>
      <c r="V262" s="51"/>
    </row>
    <row r="263" spans="3:22" x14ac:dyDescent="0.25">
      <c r="C263" s="610" t="s">
        <v>84</v>
      </c>
      <c r="D263" s="611">
        <v>0</v>
      </c>
      <c r="E263" s="611">
        <v>0</v>
      </c>
      <c r="F263" s="611">
        <v>62.444092195240373</v>
      </c>
      <c r="G263" s="611">
        <v>2.5138754259873437</v>
      </c>
      <c r="H263" s="611">
        <v>6.0153513536527026</v>
      </c>
      <c r="I263" s="611">
        <v>0</v>
      </c>
      <c r="J263" s="611">
        <v>0</v>
      </c>
      <c r="K263" s="611">
        <v>0</v>
      </c>
      <c r="L263" s="611">
        <v>0.4729958666220917</v>
      </c>
      <c r="M263" s="611">
        <v>0</v>
      </c>
      <c r="N263" s="611">
        <v>38.295047275787958</v>
      </c>
      <c r="O263" s="611">
        <v>11.297042554251473</v>
      </c>
      <c r="P263" s="611">
        <v>0</v>
      </c>
      <c r="Q263" s="611">
        <v>0</v>
      </c>
      <c r="R263" s="611">
        <v>0</v>
      </c>
      <c r="S263" s="611">
        <v>0</v>
      </c>
      <c r="T263" s="611">
        <v>46.889191785304561</v>
      </c>
      <c r="U263" s="619">
        <v>167.92759645684652</v>
      </c>
      <c r="V263" s="51"/>
    </row>
    <row r="264" spans="3:22" x14ac:dyDescent="0.25">
      <c r="C264" s="614" t="s">
        <v>85</v>
      </c>
      <c r="D264" s="615">
        <v>1.6567330370836562</v>
      </c>
      <c r="E264" s="615">
        <v>0</v>
      </c>
      <c r="F264" s="615">
        <v>76.904231186239386</v>
      </c>
      <c r="G264" s="615">
        <v>5.3128780407283038</v>
      </c>
      <c r="H264" s="615">
        <v>48.300968458045439</v>
      </c>
      <c r="I264" s="615">
        <v>1.0842465924203266</v>
      </c>
      <c r="J264" s="615">
        <v>0</v>
      </c>
      <c r="K264" s="615">
        <v>0</v>
      </c>
      <c r="L264" s="615">
        <v>63.287064550377913</v>
      </c>
      <c r="M264" s="615">
        <v>5.7247037459588501</v>
      </c>
      <c r="N264" s="615">
        <v>116.0998615269215</v>
      </c>
      <c r="O264" s="615">
        <v>76.393188306502807</v>
      </c>
      <c r="P264" s="615">
        <v>171.08209770143009</v>
      </c>
      <c r="Q264" s="615">
        <v>8.0022331625547363</v>
      </c>
      <c r="R264" s="615">
        <v>570.37298036056347</v>
      </c>
      <c r="S264" s="615">
        <v>62.112636244933555</v>
      </c>
      <c r="T264" s="615">
        <v>67.849333649380952</v>
      </c>
      <c r="U264" s="615">
        <v>1274.1831565631408</v>
      </c>
      <c r="V264" s="51"/>
    </row>
    <row r="265" spans="3:22" x14ac:dyDescent="0.25">
      <c r="C265" s="51"/>
      <c r="D265" s="67">
        <v>0</v>
      </c>
      <c r="E265" s="67">
        <v>0</v>
      </c>
      <c r="F265" s="67">
        <v>0</v>
      </c>
      <c r="G265" s="67">
        <v>0</v>
      </c>
      <c r="H265" s="67">
        <v>0</v>
      </c>
      <c r="I265" s="67">
        <v>0</v>
      </c>
      <c r="J265" s="67">
        <v>0</v>
      </c>
      <c r="K265" s="67">
        <v>0</v>
      </c>
      <c r="L265" s="67">
        <v>0</v>
      </c>
      <c r="M265" s="67">
        <v>-3.4682726224488647E-4</v>
      </c>
      <c r="N265" s="67">
        <v>0</v>
      </c>
      <c r="O265" s="67">
        <v>1.3322676295501878E-14</v>
      </c>
      <c r="P265" s="67">
        <v>0</v>
      </c>
      <c r="Q265" s="67">
        <v>0</v>
      </c>
      <c r="R265" s="67">
        <v>0</v>
      </c>
      <c r="S265" s="67">
        <v>-1.4210854715202004E-14</v>
      </c>
      <c r="T265" s="67">
        <v>0</v>
      </c>
      <c r="U265" s="67">
        <v>-3.4682726254686713E-4</v>
      </c>
      <c r="V265" s="51"/>
    </row>
    <row r="266" spans="3:22" x14ac:dyDescent="0.25">
      <c r="C266" s="51"/>
      <c r="D266" s="51"/>
      <c r="E266" s="51"/>
      <c r="F266" s="51"/>
      <c r="G266" s="67"/>
      <c r="H266" s="51"/>
      <c r="I266" s="51"/>
      <c r="J266" s="51"/>
      <c r="K266" s="51"/>
      <c r="L266" s="51"/>
      <c r="M266" s="51"/>
      <c r="N266" s="51"/>
      <c r="O266" s="51"/>
      <c r="P266" s="51"/>
      <c r="Q266" s="51"/>
      <c r="R266" s="51"/>
      <c r="S266" s="51"/>
      <c r="T266" s="51"/>
      <c r="U266" s="51"/>
      <c r="V266" s="51"/>
    </row>
    <row r="267" spans="3:22" x14ac:dyDescent="0.25">
      <c r="C267" s="607" t="s">
        <v>89</v>
      </c>
      <c r="D267" s="606"/>
      <c r="E267" s="606"/>
      <c r="F267" s="606"/>
      <c r="G267" s="682"/>
      <c r="H267" s="606"/>
      <c r="I267" s="606"/>
      <c r="J267" s="606"/>
      <c r="K267" s="606"/>
      <c r="L267" s="606"/>
      <c r="M267" s="606"/>
      <c r="N267" s="606"/>
      <c r="O267" s="606"/>
      <c r="P267" s="606"/>
      <c r="Q267" s="606"/>
      <c r="R267" s="606"/>
      <c r="S267" s="606"/>
      <c r="T267" s="606"/>
      <c r="U267" s="606"/>
      <c r="V267" s="606"/>
    </row>
    <row r="268" spans="3:22" x14ac:dyDescent="0.25">
      <c r="C268" s="51"/>
      <c r="D268" s="51"/>
      <c r="E268" s="51"/>
      <c r="F268" s="51"/>
      <c r="G268" s="67"/>
      <c r="H268" s="51"/>
      <c r="I268" s="51"/>
      <c r="J268" s="51"/>
      <c r="K268" s="51"/>
      <c r="L268" s="51"/>
      <c r="M268" s="51"/>
      <c r="N268" s="51"/>
      <c r="O268" s="51"/>
      <c r="P268" s="51"/>
      <c r="Q268" s="51"/>
      <c r="R268" s="51"/>
      <c r="S268" s="51"/>
      <c r="T268" s="51"/>
      <c r="U268" s="51"/>
      <c r="V268" s="51"/>
    </row>
    <row r="269" spans="3:22" x14ac:dyDescent="0.25">
      <c r="C269" s="764" t="s">
        <v>128</v>
      </c>
      <c r="D269" s="753" t="s">
        <v>42</v>
      </c>
      <c r="E269" s="753" t="s">
        <v>52</v>
      </c>
      <c r="F269" s="753" t="s">
        <v>53</v>
      </c>
      <c r="G269" s="766" t="s">
        <v>482</v>
      </c>
      <c r="H269" s="753" t="s">
        <v>32</v>
      </c>
      <c r="I269" s="753" t="s">
        <v>483</v>
      </c>
      <c r="J269" s="753" t="s">
        <v>20</v>
      </c>
      <c r="K269" s="753" t="s">
        <v>55</v>
      </c>
      <c r="L269" s="761" t="s">
        <v>56</v>
      </c>
      <c r="M269" s="762"/>
      <c r="N269" s="762"/>
      <c r="O269" s="762"/>
      <c r="P269" s="762"/>
      <c r="Q269" s="763"/>
      <c r="R269" s="753" t="s">
        <v>57</v>
      </c>
      <c r="S269" s="753" t="s">
        <v>58</v>
      </c>
      <c r="T269" s="753" t="s">
        <v>31</v>
      </c>
      <c r="U269" s="753" t="s">
        <v>10</v>
      </c>
      <c r="V269" s="51"/>
    </row>
    <row r="270" spans="3:22" ht="36" x14ac:dyDescent="0.25">
      <c r="C270" s="765"/>
      <c r="D270" s="754"/>
      <c r="E270" s="754"/>
      <c r="F270" s="754"/>
      <c r="G270" s="767"/>
      <c r="H270" s="754"/>
      <c r="I270" s="754"/>
      <c r="J270" s="754"/>
      <c r="K270" s="754"/>
      <c r="L270" s="608" t="s">
        <v>335</v>
      </c>
      <c r="M270" s="608" t="s">
        <v>40</v>
      </c>
      <c r="N270" s="608" t="s">
        <v>343</v>
      </c>
      <c r="O270" s="608" t="s">
        <v>344</v>
      </c>
      <c r="P270" s="609" t="s">
        <v>345</v>
      </c>
      <c r="Q270" s="608" t="s">
        <v>346</v>
      </c>
      <c r="R270" s="754"/>
      <c r="S270" s="754"/>
      <c r="T270" s="754"/>
      <c r="U270" s="754"/>
      <c r="V270" s="51"/>
    </row>
    <row r="271" spans="3:22" x14ac:dyDescent="0.25">
      <c r="C271" s="610" t="s">
        <v>59</v>
      </c>
      <c r="D271" s="611">
        <v>0</v>
      </c>
      <c r="E271" s="611">
        <v>0</v>
      </c>
      <c r="F271" s="611">
        <v>0</v>
      </c>
      <c r="G271" s="611">
        <v>0</v>
      </c>
      <c r="H271" s="611">
        <v>0</v>
      </c>
      <c r="I271" s="611">
        <v>0</v>
      </c>
      <c r="J271" s="612">
        <v>759.92203636363649</v>
      </c>
      <c r="K271" s="612">
        <v>585.27007132862354</v>
      </c>
      <c r="L271" s="612">
        <v>421.01958402132601</v>
      </c>
      <c r="M271" s="612">
        <v>20.686642208021134</v>
      </c>
      <c r="N271" s="611">
        <v>1.5563580670349855</v>
      </c>
      <c r="O271" s="611">
        <v>0.17110271620039663</v>
      </c>
      <c r="P271" s="612">
        <v>181.20215447851419</v>
      </c>
      <c r="Q271" s="612">
        <v>27.103716579638188</v>
      </c>
      <c r="R271" s="611">
        <v>0</v>
      </c>
      <c r="S271" s="611">
        <v>0</v>
      </c>
      <c r="T271" s="611">
        <v>0</v>
      </c>
      <c r="U271" s="613">
        <v>1996.9316657629947</v>
      </c>
      <c r="V271" s="51"/>
    </row>
    <row r="272" spans="3:22" x14ac:dyDescent="0.25">
      <c r="C272" s="610" t="s">
        <v>60</v>
      </c>
      <c r="D272" s="611">
        <v>0.64129319091675452</v>
      </c>
      <c r="E272" s="611">
        <v>72.7588411322387</v>
      </c>
      <c r="F272" s="611">
        <v>1.9517818504706483</v>
      </c>
      <c r="G272" s="611">
        <v>0</v>
      </c>
      <c r="H272" s="611">
        <v>3.2223770587889593</v>
      </c>
      <c r="I272" s="611">
        <v>0</v>
      </c>
      <c r="J272" s="611">
        <v>0</v>
      </c>
      <c r="K272" s="611">
        <v>0</v>
      </c>
      <c r="L272" s="611">
        <v>5.2309321400654634</v>
      </c>
      <c r="M272" s="611">
        <v>0</v>
      </c>
      <c r="N272" s="611">
        <v>6.8353402019644598</v>
      </c>
      <c r="O272" s="611">
        <v>0</v>
      </c>
      <c r="P272" s="611">
        <v>0</v>
      </c>
      <c r="Q272" s="611">
        <v>0</v>
      </c>
      <c r="R272" s="611">
        <v>86.758204068598843</v>
      </c>
      <c r="S272" s="611">
        <v>0</v>
      </c>
      <c r="T272" s="611">
        <v>0</v>
      </c>
      <c r="U272" s="613">
        <v>177.39876964304383</v>
      </c>
      <c r="V272" s="51"/>
    </row>
    <row r="273" spans="3:22" x14ac:dyDescent="0.25">
      <c r="C273" s="610" t="s">
        <v>61</v>
      </c>
      <c r="D273" s="611">
        <v>0</v>
      </c>
      <c r="E273" s="611">
        <v>0</v>
      </c>
      <c r="F273" s="611">
        <v>-14.049213431109226</v>
      </c>
      <c r="G273" s="611">
        <v>-15.061852283906475</v>
      </c>
      <c r="H273" s="611">
        <v>0</v>
      </c>
      <c r="I273" s="611">
        <v>0</v>
      </c>
      <c r="J273" s="611">
        <v>0</v>
      </c>
      <c r="K273" s="611">
        <v>0</v>
      </c>
      <c r="L273" s="611">
        <v>0</v>
      </c>
      <c r="M273" s="611">
        <v>0</v>
      </c>
      <c r="N273" s="611">
        <v>0</v>
      </c>
      <c r="O273" s="611">
        <v>0</v>
      </c>
      <c r="P273" s="611">
        <v>0</v>
      </c>
      <c r="Q273" s="611">
        <v>0</v>
      </c>
      <c r="R273" s="611">
        <v>0</v>
      </c>
      <c r="S273" s="611">
        <v>0</v>
      </c>
      <c r="T273" s="611">
        <v>0</v>
      </c>
      <c r="U273" s="613">
        <v>-29.111065715015702</v>
      </c>
      <c r="V273" s="51"/>
    </row>
    <row r="274" spans="3:22" x14ac:dyDescent="0.25">
      <c r="C274" s="610" t="s">
        <v>62</v>
      </c>
      <c r="D274" s="611">
        <v>0</v>
      </c>
      <c r="E274" s="611">
        <v>0</v>
      </c>
      <c r="F274" s="611">
        <v>0</v>
      </c>
      <c r="G274" s="611">
        <v>-6.1101617494546652</v>
      </c>
      <c r="H274" s="611">
        <v>0</v>
      </c>
      <c r="I274" s="611">
        <v>-4.4416564350684116</v>
      </c>
      <c r="J274" s="611">
        <v>0</v>
      </c>
      <c r="K274" s="611">
        <v>0</v>
      </c>
      <c r="L274" s="611">
        <v>0</v>
      </c>
      <c r="M274" s="611">
        <v>0</v>
      </c>
      <c r="N274" s="611">
        <v>-1.5423967884416028</v>
      </c>
      <c r="O274" s="611">
        <v>-2.9611042900456073</v>
      </c>
      <c r="P274" s="611">
        <v>0</v>
      </c>
      <c r="Q274" s="611">
        <v>0</v>
      </c>
      <c r="R274" s="611">
        <v>0</v>
      </c>
      <c r="S274" s="611">
        <v>0</v>
      </c>
      <c r="T274" s="611">
        <v>-2.4482488705422272</v>
      </c>
      <c r="U274" s="613">
        <v>-17.503568133552513</v>
      </c>
      <c r="V274" s="51"/>
    </row>
    <row r="275" spans="3:22" x14ac:dyDescent="0.25">
      <c r="C275" s="610" t="s">
        <v>63</v>
      </c>
      <c r="D275" s="611">
        <v>0</v>
      </c>
      <c r="E275" s="611">
        <v>0</v>
      </c>
      <c r="F275" s="611">
        <v>-7.3240777097484635</v>
      </c>
      <c r="G275" s="611">
        <v>-24.912603262820603</v>
      </c>
      <c r="H275" s="611">
        <v>0</v>
      </c>
      <c r="I275" s="611">
        <v>0</v>
      </c>
      <c r="J275" s="611">
        <v>0</v>
      </c>
      <c r="K275" s="611">
        <v>0</v>
      </c>
      <c r="L275" s="611">
        <v>0</v>
      </c>
      <c r="M275" s="611">
        <v>0</v>
      </c>
      <c r="N275" s="611">
        <v>-17.438822283974417</v>
      </c>
      <c r="O275" s="611">
        <v>0</v>
      </c>
      <c r="P275" s="611">
        <v>0</v>
      </c>
      <c r="Q275" s="611">
        <v>0</v>
      </c>
      <c r="R275" s="611">
        <v>0</v>
      </c>
      <c r="S275" s="611">
        <v>0</v>
      </c>
      <c r="T275" s="611">
        <v>-7.5807767073973409</v>
      </c>
      <c r="U275" s="613">
        <v>-57.256279963940827</v>
      </c>
      <c r="V275" s="51"/>
    </row>
    <row r="276" spans="3:22" x14ac:dyDescent="0.25">
      <c r="C276" s="610" t="s">
        <v>64</v>
      </c>
      <c r="D276" s="611">
        <v>0</v>
      </c>
      <c r="E276" s="611">
        <v>0</v>
      </c>
      <c r="F276" s="611">
        <v>0</v>
      </c>
      <c r="G276" s="611">
        <v>0</v>
      </c>
      <c r="H276" s="611">
        <v>0</v>
      </c>
      <c r="I276" s="611">
        <v>0</v>
      </c>
      <c r="J276" s="611">
        <v>0</v>
      </c>
      <c r="K276" s="611">
        <v>0</v>
      </c>
      <c r="L276" s="611">
        <v>0</v>
      </c>
      <c r="M276" s="611">
        <v>0</v>
      </c>
      <c r="N276" s="611">
        <v>0</v>
      </c>
      <c r="O276" s="611">
        <v>0</v>
      </c>
      <c r="P276" s="611">
        <v>0</v>
      </c>
      <c r="Q276" s="611">
        <v>0</v>
      </c>
      <c r="R276" s="611">
        <v>0</v>
      </c>
      <c r="S276" s="611">
        <v>0</v>
      </c>
      <c r="T276" s="611">
        <v>0</v>
      </c>
      <c r="U276" s="613">
        <v>0</v>
      </c>
      <c r="V276" s="51"/>
    </row>
    <row r="277" spans="3:22" x14ac:dyDescent="0.25">
      <c r="C277" s="614" t="s">
        <v>65</v>
      </c>
      <c r="D277" s="615">
        <v>0.64129319091675452</v>
      </c>
      <c r="E277" s="615">
        <v>72.7588411322387</v>
      </c>
      <c r="F277" s="615">
        <v>-19.421509290387043</v>
      </c>
      <c r="G277" s="615">
        <v>-46.084617296181747</v>
      </c>
      <c r="H277" s="615">
        <v>3.2223770587889593</v>
      </c>
      <c r="I277" s="615">
        <v>-4.4416564350684116</v>
      </c>
      <c r="J277" s="615">
        <v>759.92203636363649</v>
      </c>
      <c r="K277" s="615">
        <v>585.27007132862354</v>
      </c>
      <c r="L277" s="615">
        <v>426.25051616139149</v>
      </c>
      <c r="M277" s="615">
        <v>20.686642208021134</v>
      </c>
      <c r="N277" s="615">
        <v>-10.589520803416576</v>
      </c>
      <c r="O277" s="615">
        <v>-2.7900015738452106</v>
      </c>
      <c r="P277" s="615">
        <v>181.20215447851419</v>
      </c>
      <c r="Q277" s="615">
        <v>27.103716579638188</v>
      </c>
      <c r="R277" s="615">
        <v>86.758204068598843</v>
      </c>
      <c r="S277" s="615">
        <v>0</v>
      </c>
      <c r="T277" s="615">
        <v>-10.029025577939567</v>
      </c>
      <c r="U277" s="615">
        <v>2070.4595215935296</v>
      </c>
      <c r="V277" s="51"/>
    </row>
    <row r="278" spans="3:22" x14ac:dyDescent="0.25">
      <c r="C278" s="616"/>
      <c r="D278" s="617"/>
      <c r="E278" s="617"/>
      <c r="F278" s="617"/>
      <c r="G278" s="617"/>
      <c r="H278" s="623"/>
      <c r="I278" s="617"/>
      <c r="J278" s="617"/>
      <c r="K278" s="617"/>
      <c r="L278" s="617"/>
      <c r="M278" s="617"/>
      <c r="N278" s="617"/>
      <c r="O278" s="617"/>
      <c r="P278" s="617"/>
      <c r="Q278" s="617"/>
      <c r="R278" s="617"/>
      <c r="S278" s="617"/>
      <c r="T278" s="617"/>
      <c r="U278" s="617"/>
      <c r="V278" s="51"/>
    </row>
    <row r="279" spans="3:22" x14ac:dyDescent="0.25">
      <c r="C279" s="618" t="s">
        <v>67</v>
      </c>
      <c r="D279" s="611">
        <v>0</v>
      </c>
      <c r="E279" s="611">
        <v>0</v>
      </c>
      <c r="F279" s="611">
        <v>0</v>
      </c>
      <c r="G279" s="611">
        <v>0</v>
      </c>
      <c r="H279" s="611">
        <v>0</v>
      </c>
      <c r="I279" s="611">
        <v>0</v>
      </c>
      <c r="J279" s="611">
        <v>0</v>
      </c>
      <c r="K279" s="611">
        <v>0</v>
      </c>
      <c r="L279" s="611">
        <v>0</v>
      </c>
      <c r="M279" s="611">
        <v>0</v>
      </c>
      <c r="N279" s="611">
        <v>0</v>
      </c>
      <c r="O279" s="611">
        <v>0</v>
      </c>
      <c r="P279" s="611">
        <v>0</v>
      </c>
      <c r="Q279" s="611">
        <v>0</v>
      </c>
      <c r="R279" s="611">
        <v>0</v>
      </c>
      <c r="S279" s="611">
        <v>0</v>
      </c>
      <c r="T279" s="611">
        <v>0</v>
      </c>
      <c r="U279" s="619">
        <v>0</v>
      </c>
      <c r="V279" s="51"/>
    </row>
    <row r="280" spans="3:22" x14ac:dyDescent="0.25">
      <c r="C280" s="618" t="s">
        <v>347</v>
      </c>
      <c r="D280" s="611">
        <v>0</v>
      </c>
      <c r="E280" s="611">
        <v>0</v>
      </c>
      <c r="F280" s="611">
        <v>0</v>
      </c>
      <c r="G280" s="611">
        <v>0</v>
      </c>
      <c r="H280" s="611">
        <v>0</v>
      </c>
      <c r="I280" s="611">
        <v>0</v>
      </c>
      <c r="J280" s="611">
        <v>759.92203636363649</v>
      </c>
      <c r="K280" s="611">
        <v>585.27007132862354</v>
      </c>
      <c r="L280" s="611">
        <v>21.935641645543306</v>
      </c>
      <c r="M280" s="611">
        <v>0.61628865372008657</v>
      </c>
      <c r="N280" s="611">
        <v>6.5561937148871507</v>
      </c>
      <c r="O280" s="611">
        <v>1.5747281082088551</v>
      </c>
      <c r="P280" s="611">
        <v>0</v>
      </c>
      <c r="Q280" s="611">
        <v>6.7631767445353068</v>
      </c>
      <c r="R280" s="611">
        <v>-895.33632983844416</v>
      </c>
      <c r="S280" s="611">
        <v>0</v>
      </c>
      <c r="T280" s="611">
        <v>6.4421899999999992</v>
      </c>
      <c r="U280" s="619">
        <v>493.74399672071024</v>
      </c>
      <c r="V280" s="51"/>
    </row>
    <row r="281" spans="3:22" x14ac:dyDescent="0.25">
      <c r="C281" s="618" t="s">
        <v>348</v>
      </c>
      <c r="D281" s="611">
        <v>0</v>
      </c>
      <c r="E281" s="611">
        <v>0</v>
      </c>
      <c r="F281" s="611">
        <v>0</v>
      </c>
      <c r="G281" s="611">
        <v>0</v>
      </c>
      <c r="H281" s="611">
        <v>0</v>
      </c>
      <c r="I281" s="611">
        <v>0</v>
      </c>
      <c r="J281" s="611">
        <v>0</v>
      </c>
      <c r="K281" s="611">
        <v>0</v>
      </c>
      <c r="L281" s="611">
        <v>34.859137423321251</v>
      </c>
      <c r="M281" s="611">
        <v>14.707872710950403</v>
      </c>
      <c r="N281" s="611">
        <v>0</v>
      </c>
      <c r="O281" s="611">
        <v>8.3969630288089814</v>
      </c>
      <c r="P281" s="611">
        <v>0</v>
      </c>
      <c r="Q281" s="611">
        <v>11.678038971322861</v>
      </c>
      <c r="R281" s="611">
        <v>0</v>
      </c>
      <c r="S281" s="611">
        <v>-66.565624993763251</v>
      </c>
      <c r="T281" s="611">
        <v>0</v>
      </c>
      <c r="U281" s="619">
        <v>3.0763871406402501</v>
      </c>
      <c r="V281" s="51"/>
    </row>
    <row r="282" spans="3:22" x14ac:dyDescent="0.25">
      <c r="C282" s="618" t="s">
        <v>349</v>
      </c>
      <c r="D282" s="611">
        <v>0</v>
      </c>
      <c r="E282" s="611">
        <v>0</v>
      </c>
      <c r="F282" s="611">
        <v>0</v>
      </c>
      <c r="G282" s="611">
        <v>0</v>
      </c>
      <c r="H282" s="611">
        <v>0</v>
      </c>
      <c r="I282" s="611">
        <v>0</v>
      </c>
      <c r="J282" s="611">
        <v>0</v>
      </c>
      <c r="K282" s="611">
        <v>0</v>
      </c>
      <c r="L282" s="611">
        <v>116.09247876238595</v>
      </c>
      <c r="M282" s="611">
        <v>0</v>
      </c>
      <c r="N282" s="611">
        <v>0</v>
      </c>
      <c r="O282" s="611">
        <v>-107.1437165457632</v>
      </c>
      <c r="P282" s="611">
        <v>0</v>
      </c>
      <c r="Q282" s="611">
        <v>0</v>
      </c>
      <c r="R282" s="611">
        <v>0</v>
      </c>
      <c r="S282" s="611">
        <v>0</v>
      </c>
      <c r="T282" s="611">
        <v>0</v>
      </c>
      <c r="U282" s="619">
        <v>8.9487622166227538</v>
      </c>
      <c r="V282" s="51"/>
    </row>
    <row r="283" spans="3:22" x14ac:dyDescent="0.25">
      <c r="C283" s="618" t="s">
        <v>350</v>
      </c>
      <c r="D283" s="611">
        <v>0</v>
      </c>
      <c r="E283" s="611">
        <v>0</v>
      </c>
      <c r="F283" s="611">
        <v>0</v>
      </c>
      <c r="G283" s="611">
        <v>0</v>
      </c>
      <c r="H283" s="611">
        <v>0</v>
      </c>
      <c r="I283" s="611">
        <v>-8.6805438008370892</v>
      </c>
      <c r="J283" s="611">
        <v>0</v>
      </c>
      <c r="K283" s="611">
        <v>0</v>
      </c>
      <c r="L283" s="611">
        <v>0</v>
      </c>
      <c r="M283" s="611">
        <v>0</v>
      </c>
      <c r="N283" s="611">
        <v>0</v>
      </c>
      <c r="O283" s="611">
        <v>0</v>
      </c>
      <c r="P283" s="611">
        <v>0</v>
      </c>
      <c r="Q283" s="611">
        <v>0</v>
      </c>
      <c r="R283" s="611">
        <v>0</v>
      </c>
      <c r="S283" s="611">
        <v>0</v>
      </c>
      <c r="T283" s="611">
        <v>12.086503242074816</v>
      </c>
      <c r="U283" s="619">
        <v>3.4059594412377265</v>
      </c>
      <c r="V283" s="51"/>
    </row>
    <row r="284" spans="3:22" x14ac:dyDescent="0.25">
      <c r="C284" s="618" t="s">
        <v>72</v>
      </c>
      <c r="D284" s="611">
        <v>0</v>
      </c>
      <c r="E284" s="611">
        <v>75.393588190645644</v>
      </c>
      <c r="F284" s="611">
        <v>-74.641887149518311</v>
      </c>
      <c r="G284" s="611">
        <v>0</v>
      </c>
      <c r="H284" s="611">
        <v>0</v>
      </c>
      <c r="I284" s="611">
        <v>0</v>
      </c>
      <c r="J284" s="611">
        <v>0</v>
      </c>
      <c r="K284" s="611">
        <v>0</v>
      </c>
      <c r="L284" s="611">
        <v>0</v>
      </c>
      <c r="M284" s="611">
        <v>0</v>
      </c>
      <c r="N284" s="611">
        <v>0</v>
      </c>
      <c r="O284" s="611">
        <v>0</v>
      </c>
      <c r="P284" s="611">
        <v>0</v>
      </c>
      <c r="Q284" s="611">
        <v>0</v>
      </c>
      <c r="R284" s="611">
        <v>0</v>
      </c>
      <c r="S284" s="611">
        <v>0</v>
      </c>
      <c r="T284" s="611">
        <v>0</v>
      </c>
      <c r="U284" s="619">
        <v>0.75170104112733327</v>
      </c>
      <c r="V284" s="51"/>
    </row>
    <row r="285" spans="3:22" x14ac:dyDescent="0.25">
      <c r="C285" s="618" t="s">
        <v>351</v>
      </c>
      <c r="D285" s="611">
        <v>0</v>
      </c>
      <c r="E285" s="611">
        <v>0</v>
      </c>
      <c r="F285" s="611">
        <v>0</v>
      </c>
      <c r="G285" s="611">
        <v>0</v>
      </c>
      <c r="H285" s="611">
        <v>0</v>
      </c>
      <c r="I285" s="611">
        <v>0</v>
      </c>
      <c r="J285" s="611">
        <v>0</v>
      </c>
      <c r="K285" s="611">
        <v>0</v>
      </c>
      <c r="L285" s="611">
        <v>194.54575293909065</v>
      </c>
      <c r="M285" s="611">
        <v>0</v>
      </c>
      <c r="N285" s="611">
        <v>-107.00016411649986</v>
      </c>
      <c r="O285" s="611">
        <v>0</v>
      </c>
      <c r="P285" s="611">
        <v>0</v>
      </c>
      <c r="Q285" s="611">
        <v>0</v>
      </c>
      <c r="R285" s="611">
        <v>0</v>
      </c>
      <c r="S285" s="611">
        <v>0</v>
      </c>
      <c r="T285" s="611">
        <v>0</v>
      </c>
      <c r="U285" s="619">
        <v>87.545588822590787</v>
      </c>
      <c r="V285" s="51"/>
    </row>
    <row r="286" spans="3:22" x14ac:dyDescent="0.25">
      <c r="C286" s="618" t="s">
        <v>352</v>
      </c>
      <c r="D286" s="611">
        <v>0</v>
      </c>
      <c r="E286" s="611">
        <v>0</v>
      </c>
      <c r="F286" s="611">
        <v>0</v>
      </c>
      <c r="G286" s="611">
        <v>-53.670926604582093</v>
      </c>
      <c r="H286" s="611">
        <v>0</v>
      </c>
      <c r="I286" s="611">
        <v>0</v>
      </c>
      <c r="J286" s="611">
        <v>0</v>
      </c>
      <c r="K286" s="611">
        <v>0</v>
      </c>
      <c r="L286" s="611">
        <v>0</v>
      </c>
      <c r="M286" s="611">
        <v>0</v>
      </c>
      <c r="N286" s="611">
        <v>0</v>
      </c>
      <c r="O286" s="611">
        <v>0</v>
      </c>
      <c r="P286" s="611">
        <v>0</v>
      </c>
      <c r="Q286" s="611">
        <v>0</v>
      </c>
      <c r="R286" s="611">
        <v>0</v>
      </c>
      <c r="S286" s="611">
        <v>0</v>
      </c>
      <c r="T286" s="611">
        <v>69.588751075413697</v>
      </c>
      <c r="U286" s="619">
        <v>15.917824470831604</v>
      </c>
      <c r="V286" s="51"/>
    </row>
    <row r="287" spans="3:22" x14ac:dyDescent="0.25">
      <c r="C287" s="618" t="s">
        <v>73</v>
      </c>
      <c r="D287" s="611">
        <v>0</v>
      </c>
      <c r="E287" s="611">
        <v>0</v>
      </c>
      <c r="F287" s="611">
        <v>0</v>
      </c>
      <c r="G287" s="611">
        <v>0</v>
      </c>
      <c r="H287" s="611">
        <v>0</v>
      </c>
      <c r="I287" s="611">
        <v>0</v>
      </c>
      <c r="J287" s="611">
        <v>0</v>
      </c>
      <c r="K287" s="611">
        <v>0</v>
      </c>
      <c r="L287" s="611">
        <v>0</v>
      </c>
      <c r="M287" s="611">
        <v>0</v>
      </c>
      <c r="N287" s="611">
        <v>0</v>
      </c>
      <c r="O287" s="611">
        <v>0</v>
      </c>
      <c r="P287" s="611">
        <v>0</v>
      </c>
      <c r="Q287" s="611">
        <v>0</v>
      </c>
      <c r="R287" s="611">
        <v>258.03000874169254</v>
      </c>
      <c r="S287" s="611">
        <v>0</v>
      </c>
      <c r="T287" s="611">
        <v>-185.78160629401862</v>
      </c>
      <c r="U287" s="619">
        <v>72.248402447673925</v>
      </c>
      <c r="V287" s="51"/>
    </row>
    <row r="288" spans="3:22" x14ac:dyDescent="0.25">
      <c r="C288" s="618" t="s">
        <v>353</v>
      </c>
      <c r="D288" s="611">
        <v>0</v>
      </c>
      <c r="E288" s="611">
        <v>-2.634747058406945</v>
      </c>
      <c r="F288" s="611">
        <v>3.435008562710407</v>
      </c>
      <c r="G288" s="611">
        <v>0</v>
      </c>
      <c r="H288" s="611">
        <v>0</v>
      </c>
      <c r="I288" s="611">
        <v>0</v>
      </c>
      <c r="J288" s="611">
        <v>0</v>
      </c>
      <c r="K288" s="611">
        <v>0</v>
      </c>
      <c r="L288" s="611">
        <v>0</v>
      </c>
      <c r="M288" s="611">
        <v>0</v>
      </c>
      <c r="N288" s="611">
        <v>0</v>
      </c>
      <c r="O288" s="611">
        <v>0</v>
      </c>
      <c r="P288" s="611">
        <v>0</v>
      </c>
      <c r="Q288" s="611">
        <v>0</v>
      </c>
      <c r="R288" s="611">
        <v>0</v>
      </c>
      <c r="S288" s="611">
        <v>0</v>
      </c>
      <c r="T288" s="611">
        <v>0</v>
      </c>
      <c r="U288" s="619">
        <v>0.80026150430346199</v>
      </c>
      <c r="V288" s="51"/>
    </row>
    <row r="289" spans="3:22" x14ac:dyDescent="0.25">
      <c r="C289" s="618" t="s">
        <v>75</v>
      </c>
      <c r="D289" s="611">
        <v>0</v>
      </c>
      <c r="E289" s="611">
        <v>0</v>
      </c>
      <c r="F289" s="611">
        <v>2.5839893825265019</v>
      </c>
      <c r="G289" s="611">
        <v>0</v>
      </c>
      <c r="H289" s="611">
        <v>0</v>
      </c>
      <c r="I289" s="611">
        <v>0.23833359000000001</v>
      </c>
      <c r="J289" s="611">
        <v>0</v>
      </c>
      <c r="K289" s="611">
        <v>0</v>
      </c>
      <c r="L289" s="611">
        <v>0</v>
      </c>
      <c r="M289" s="611">
        <v>0</v>
      </c>
      <c r="N289" s="611">
        <v>0</v>
      </c>
      <c r="O289" s="611">
        <v>4.5283382100000003</v>
      </c>
      <c r="P289" s="611">
        <v>0</v>
      </c>
      <c r="Q289" s="611">
        <v>0</v>
      </c>
      <c r="R289" s="611">
        <v>65.365492404188032</v>
      </c>
      <c r="S289" s="611">
        <v>0</v>
      </c>
      <c r="T289" s="611">
        <v>0</v>
      </c>
      <c r="U289" s="619">
        <v>72.71615358671454</v>
      </c>
      <c r="V289" s="51"/>
    </row>
    <row r="290" spans="3:22" x14ac:dyDescent="0.25">
      <c r="C290" s="618" t="s">
        <v>76</v>
      </c>
      <c r="D290" s="611">
        <v>0</v>
      </c>
      <c r="E290" s="611">
        <v>0</v>
      </c>
      <c r="F290" s="611">
        <v>0</v>
      </c>
      <c r="G290" s="611">
        <v>0</v>
      </c>
      <c r="H290" s="611">
        <v>0</v>
      </c>
      <c r="I290" s="611">
        <v>5.609909084131174E-2</v>
      </c>
      <c r="J290" s="611">
        <v>0</v>
      </c>
      <c r="K290" s="611">
        <v>0</v>
      </c>
      <c r="L290" s="611">
        <v>0</v>
      </c>
      <c r="M290" s="611">
        <v>0</v>
      </c>
      <c r="N290" s="611">
        <v>0</v>
      </c>
      <c r="O290" s="611">
        <v>1.0658827259849231</v>
      </c>
      <c r="P290" s="611">
        <v>0</v>
      </c>
      <c r="Q290" s="611">
        <v>0</v>
      </c>
      <c r="R290" s="611">
        <v>75.163138458273835</v>
      </c>
      <c r="S290" s="611">
        <v>5.1631708880095033</v>
      </c>
      <c r="T290" s="611">
        <v>0</v>
      </c>
      <c r="U290" s="619">
        <v>81.448291163109573</v>
      </c>
      <c r="V290" s="51"/>
    </row>
    <row r="291" spans="3:22" x14ac:dyDescent="0.25">
      <c r="C291" s="614" t="s">
        <v>77</v>
      </c>
      <c r="D291" s="615">
        <v>0</v>
      </c>
      <c r="E291" s="615">
        <v>72.7588411322387</v>
      </c>
      <c r="F291" s="615">
        <v>-68.622889204281407</v>
      </c>
      <c r="G291" s="615">
        <v>-53.670926604582093</v>
      </c>
      <c r="H291" s="615">
        <v>0</v>
      </c>
      <c r="I291" s="615">
        <v>-8.3861111199957783</v>
      </c>
      <c r="J291" s="615">
        <v>759.92203636363649</v>
      </c>
      <c r="K291" s="615">
        <v>585.27007132862354</v>
      </c>
      <c r="L291" s="615">
        <v>367.43301077034118</v>
      </c>
      <c r="M291" s="615">
        <v>15.32416136467049</v>
      </c>
      <c r="N291" s="615">
        <v>-100.44397040161272</v>
      </c>
      <c r="O291" s="615">
        <v>-91.577804472760434</v>
      </c>
      <c r="P291" s="615">
        <v>0</v>
      </c>
      <c r="Q291" s="615">
        <v>18.441215715858167</v>
      </c>
      <c r="R291" s="615">
        <v>-496.77769023428982</v>
      </c>
      <c r="S291" s="615">
        <v>-61.402454105753748</v>
      </c>
      <c r="T291" s="615">
        <v>-97.664161976530096</v>
      </c>
      <c r="U291" s="615">
        <v>840.60332855556226</v>
      </c>
      <c r="V291" s="51"/>
    </row>
    <row r="292" spans="3:22" x14ac:dyDescent="0.25">
      <c r="C292" s="616"/>
      <c r="D292" s="617"/>
      <c r="E292" s="617"/>
      <c r="F292" s="617"/>
      <c r="G292" s="617"/>
      <c r="H292" s="623"/>
      <c r="I292" s="617"/>
      <c r="J292" s="617"/>
      <c r="K292" s="617"/>
      <c r="L292" s="617"/>
      <c r="M292" s="617"/>
      <c r="N292" s="617"/>
      <c r="O292" s="617"/>
      <c r="P292" s="617"/>
      <c r="Q292" s="617"/>
      <c r="R292" s="617"/>
      <c r="S292" s="617"/>
      <c r="T292" s="617"/>
      <c r="U292" s="617"/>
      <c r="V292" s="51"/>
    </row>
    <row r="293" spans="3:22" x14ac:dyDescent="0.25">
      <c r="C293" s="618" t="s">
        <v>78</v>
      </c>
      <c r="D293" s="611">
        <v>0.64129319091675452</v>
      </c>
      <c r="E293" s="611">
        <v>0</v>
      </c>
      <c r="F293" s="611">
        <v>1.525731430410463</v>
      </c>
      <c r="G293" s="611">
        <v>0</v>
      </c>
      <c r="H293" s="611">
        <v>0</v>
      </c>
      <c r="I293" s="611">
        <v>2.2603973079733568</v>
      </c>
      <c r="J293" s="611">
        <v>0</v>
      </c>
      <c r="K293" s="611">
        <v>0</v>
      </c>
      <c r="L293" s="611">
        <v>23.360019261656848</v>
      </c>
      <c r="M293" s="611">
        <v>5.362188402201145</v>
      </c>
      <c r="N293" s="611">
        <v>1.3034813300305972</v>
      </c>
      <c r="O293" s="611">
        <v>42.989679667648574</v>
      </c>
      <c r="P293" s="611">
        <v>22.01365625</v>
      </c>
      <c r="Q293" s="611">
        <v>8.5890570413253253E-4</v>
      </c>
      <c r="R293" s="611">
        <v>202.024278119439</v>
      </c>
      <c r="S293" s="611">
        <v>22.25756234266839</v>
      </c>
      <c r="T293" s="611">
        <v>16.001347656250001</v>
      </c>
      <c r="U293" s="619">
        <v>339.74049386489929</v>
      </c>
      <c r="V293" s="51"/>
    </row>
    <row r="294" spans="3:22" x14ac:dyDescent="0.25">
      <c r="C294" s="618" t="s">
        <v>79</v>
      </c>
      <c r="D294" s="611">
        <v>0</v>
      </c>
      <c r="E294" s="611">
        <v>0</v>
      </c>
      <c r="F294" s="611">
        <v>2.548518600222561</v>
      </c>
      <c r="G294" s="611">
        <v>4.6064063696995508</v>
      </c>
      <c r="H294" s="611">
        <v>0</v>
      </c>
      <c r="I294" s="611">
        <v>0.39196782379108752</v>
      </c>
      <c r="J294" s="611">
        <v>0</v>
      </c>
      <c r="K294" s="611">
        <v>0</v>
      </c>
      <c r="L294" s="611">
        <v>0</v>
      </c>
      <c r="M294" s="611">
        <v>0</v>
      </c>
      <c r="N294" s="611">
        <v>19.508637074329002</v>
      </c>
      <c r="O294" s="611">
        <v>7.4473886520306625</v>
      </c>
      <c r="P294" s="611">
        <v>0</v>
      </c>
      <c r="Q294" s="611">
        <v>0</v>
      </c>
      <c r="R294" s="611">
        <v>117.90461095014412</v>
      </c>
      <c r="S294" s="611">
        <v>0</v>
      </c>
      <c r="T294" s="611">
        <v>6.9740998058852091</v>
      </c>
      <c r="U294" s="619">
        <v>159.38162927610219</v>
      </c>
      <c r="V294" s="51"/>
    </row>
    <row r="295" spans="3:22" x14ac:dyDescent="0.25">
      <c r="C295" s="618" t="s">
        <v>80</v>
      </c>
      <c r="D295" s="611">
        <v>0</v>
      </c>
      <c r="E295" s="611">
        <v>0</v>
      </c>
      <c r="F295" s="611">
        <v>0.35613019618188829</v>
      </c>
      <c r="G295" s="611">
        <v>0</v>
      </c>
      <c r="H295" s="611">
        <v>0</v>
      </c>
      <c r="I295" s="611">
        <v>0.92121942110506694</v>
      </c>
      <c r="J295" s="611">
        <v>0</v>
      </c>
      <c r="K295" s="611">
        <v>0</v>
      </c>
      <c r="L295" s="611">
        <v>30.406752837013876</v>
      </c>
      <c r="M295" s="611">
        <v>0</v>
      </c>
      <c r="N295" s="611">
        <v>0</v>
      </c>
      <c r="O295" s="611">
        <v>17.503169000996269</v>
      </c>
      <c r="P295" s="611">
        <v>105.40020235475453</v>
      </c>
      <c r="Q295" s="611">
        <v>3.1166998128913419</v>
      </c>
      <c r="R295" s="611">
        <v>133.64902180729109</v>
      </c>
      <c r="S295" s="611">
        <v>20.977029614075306</v>
      </c>
      <c r="T295" s="611">
        <v>0</v>
      </c>
      <c r="U295" s="619">
        <v>312.33022504430937</v>
      </c>
      <c r="V295" s="51"/>
    </row>
    <row r="296" spans="3:22" x14ac:dyDescent="0.25">
      <c r="C296" s="618" t="s">
        <v>81</v>
      </c>
      <c r="D296" s="611">
        <v>0</v>
      </c>
      <c r="E296" s="611">
        <v>0</v>
      </c>
      <c r="F296" s="611">
        <v>6.5854952123934399E-2</v>
      </c>
      <c r="G296" s="611">
        <v>0</v>
      </c>
      <c r="H296" s="611">
        <v>0</v>
      </c>
      <c r="I296" s="611">
        <v>0.31585874142938569</v>
      </c>
      <c r="J296" s="611">
        <v>0</v>
      </c>
      <c r="K296" s="611">
        <v>0</v>
      </c>
      <c r="L296" s="611">
        <v>0.45236993281073634</v>
      </c>
      <c r="M296" s="611">
        <v>0</v>
      </c>
      <c r="N296" s="611">
        <v>0</v>
      </c>
      <c r="O296" s="611">
        <v>6.0013160871583278</v>
      </c>
      <c r="P296" s="611">
        <v>52.288295873759658</v>
      </c>
      <c r="Q296" s="611">
        <v>3.3575351400940563</v>
      </c>
      <c r="R296" s="611">
        <v>111.32761597349254</v>
      </c>
      <c r="S296" s="611">
        <v>18.167862149010045</v>
      </c>
      <c r="T296" s="611">
        <v>0</v>
      </c>
      <c r="U296" s="619">
        <v>191.97670884987866</v>
      </c>
      <c r="V296" s="51"/>
    </row>
    <row r="297" spans="3:22" x14ac:dyDescent="0.25">
      <c r="C297" s="618" t="s">
        <v>82</v>
      </c>
      <c r="D297" s="611">
        <v>0</v>
      </c>
      <c r="E297" s="611">
        <v>0</v>
      </c>
      <c r="F297" s="611">
        <v>0.14607036001340537</v>
      </c>
      <c r="G297" s="611">
        <v>0</v>
      </c>
      <c r="H297" s="611">
        <v>0</v>
      </c>
      <c r="I297" s="611">
        <v>5.5011390628469027E-2</v>
      </c>
      <c r="J297" s="611">
        <v>0</v>
      </c>
      <c r="K297" s="611">
        <v>0</v>
      </c>
      <c r="L297" s="611">
        <v>3.9918011059239289</v>
      </c>
      <c r="M297" s="611">
        <v>0</v>
      </c>
      <c r="N297" s="611">
        <v>18.700816435906518</v>
      </c>
      <c r="O297" s="611">
        <v>1.0452164219409115</v>
      </c>
      <c r="P297" s="611">
        <v>1.5</v>
      </c>
      <c r="Q297" s="611">
        <v>2.1874070050904897</v>
      </c>
      <c r="R297" s="611">
        <v>6.9303674525217573</v>
      </c>
      <c r="S297" s="611">
        <v>0</v>
      </c>
      <c r="T297" s="611">
        <v>0.82604920070086296</v>
      </c>
      <c r="U297" s="619">
        <v>35.382739372726341</v>
      </c>
      <c r="V297" s="51"/>
    </row>
    <row r="298" spans="3:22" x14ac:dyDescent="0.25">
      <c r="C298" s="618" t="s">
        <v>354</v>
      </c>
      <c r="D298" s="611">
        <v>0</v>
      </c>
      <c r="E298" s="611">
        <v>0</v>
      </c>
      <c r="F298" s="611">
        <v>0</v>
      </c>
      <c r="G298" s="611">
        <v>0</v>
      </c>
      <c r="H298" s="611">
        <v>0</v>
      </c>
      <c r="I298" s="611">
        <v>0</v>
      </c>
      <c r="J298" s="611">
        <v>0</v>
      </c>
      <c r="K298" s="611">
        <v>0</v>
      </c>
      <c r="L298" s="611">
        <v>0</v>
      </c>
      <c r="M298" s="611">
        <v>0</v>
      </c>
      <c r="N298" s="611">
        <v>0</v>
      </c>
      <c r="O298" s="611">
        <v>0</v>
      </c>
      <c r="P298" s="611">
        <v>0</v>
      </c>
      <c r="Q298" s="611">
        <v>0</v>
      </c>
      <c r="R298" s="611">
        <v>11.7</v>
      </c>
      <c r="S298" s="611">
        <v>0</v>
      </c>
      <c r="T298" s="611">
        <v>0</v>
      </c>
      <c r="U298" s="619">
        <v>11.7</v>
      </c>
      <c r="V298" s="51"/>
    </row>
    <row r="299" spans="3:22" x14ac:dyDescent="0.25">
      <c r="C299" s="614" t="s">
        <v>83</v>
      </c>
      <c r="D299" s="615">
        <v>0.64129319091675452</v>
      </c>
      <c r="E299" s="615">
        <v>0</v>
      </c>
      <c r="F299" s="615">
        <v>4.6423055389522521</v>
      </c>
      <c r="G299" s="615">
        <v>4.6064063696995508</v>
      </c>
      <c r="H299" s="615">
        <v>0</v>
      </c>
      <c r="I299" s="615">
        <v>3.9444546849273663</v>
      </c>
      <c r="J299" s="615">
        <v>0</v>
      </c>
      <c r="K299" s="615">
        <v>0</v>
      </c>
      <c r="L299" s="615">
        <v>58.210943137405394</v>
      </c>
      <c r="M299" s="615">
        <v>5.362188402201145</v>
      </c>
      <c r="N299" s="615">
        <v>39.512934840266112</v>
      </c>
      <c r="O299" s="615">
        <v>74.986769829774744</v>
      </c>
      <c r="P299" s="615">
        <v>181.20215447851419</v>
      </c>
      <c r="Q299" s="615">
        <v>8.6625008637800214</v>
      </c>
      <c r="R299" s="615">
        <v>583.53589430288855</v>
      </c>
      <c r="S299" s="615">
        <v>61.402454105753748</v>
      </c>
      <c r="T299" s="615">
        <v>23.801496662836072</v>
      </c>
      <c r="U299" s="615">
        <v>1050.5117964079159</v>
      </c>
      <c r="V299" s="51"/>
    </row>
    <row r="300" spans="3:22" x14ac:dyDescent="0.25">
      <c r="C300" s="610" t="s">
        <v>84</v>
      </c>
      <c r="D300" s="611">
        <v>0</v>
      </c>
      <c r="E300" s="611">
        <v>0</v>
      </c>
      <c r="F300" s="611">
        <v>44.559074374942114</v>
      </c>
      <c r="G300" s="611">
        <v>2.9799029387007945</v>
      </c>
      <c r="H300" s="611">
        <v>3.2223770587889593</v>
      </c>
      <c r="I300" s="611">
        <v>0</v>
      </c>
      <c r="J300" s="611">
        <v>0</v>
      </c>
      <c r="K300" s="611">
        <v>0</v>
      </c>
      <c r="L300" s="611">
        <v>0.60656225364490568</v>
      </c>
      <c r="M300" s="611">
        <v>0</v>
      </c>
      <c r="N300" s="611">
        <v>50.341514757930035</v>
      </c>
      <c r="O300" s="611">
        <v>13.801033069140475</v>
      </c>
      <c r="P300" s="611">
        <v>0</v>
      </c>
      <c r="Q300" s="611">
        <v>0</v>
      </c>
      <c r="R300" s="611">
        <v>0</v>
      </c>
      <c r="S300" s="611">
        <v>0</v>
      </c>
      <c r="T300" s="611">
        <v>63.833639735754474</v>
      </c>
      <c r="U300" s="619">
        <v>179.34410418890175</v>
      </c>
      <c r="V300" s="51"/>
    </row>
    <row r="301" spans="3:22" x14ac:dyDescent="0.25">
      <c r="C301" s="614" t="s">
        <v>85</v>
      </c>
      <c r="D301" s="615">
        <v>0.64129319091675452</v>
      </c>
      <c r="E301" s="615">
        <v>0</v>
      </c>
      <c r="F301" s="615">
        <v>49.201379913894364</v>
      </c>
      <c r="G301" s="615">
        <v>7.5863093084003452</v>
      </c>
      <c r="H301" s="615">
        <v>3.2223770587889593</v>
      </c>
      <c r="I301" s="615">
        <v>3.9444546849273663</v>
      </c>
      <c r="J301" s="615">
        <v>0</v>
      </c>
      <c r="K301" s="615">
        <v>0</v>
      </c>
      <c r="L301" s="615">
        <v>58.817505391050297</v>
      </c>
      <c r="M301" s="615">
        <v>5.362188402201145</v>
      </c>
      <c r="N301" s="615">
        <v>89.85444959819614</v>
      </c>
      <c r="O301" s="615">
        <v>88.787802898915217</v>
      </c>
      <c r="P301" s="615">
        <v>181.20215447851419</v>
      </c>
      <c r="Q301" s="615">
        <v>8.6625008637800214</v>
      </c>
      <c r="R301" s="615">
        <v>583.53589430288855</v>
      </c>
      <c r="S301" s="615">
        <v>61.402454105753748</v>
      </c>
      <c r="T301" s="615">
        <v>87.635136398590546</v>
      </c>
      <c r="U301" s="615">
        <v>1229.8559005968177</v>
      </c>
      <c r="V301" s="51"/>
    </row>
    <row r="302" spans="3:22" x14ac:dyDescent="0.25">
      <c r="C302" s="51"/>
      <c r="D302" s="67">
        <v>0</v>
      </c>
      <c r="E302" s="67">
        <v>0</v>
      </c>
      <c r="F302" s="67">
        <v>0</v>
      </c>
      <c r="G302" s="67">
        <v>0</v>
      </c>
      <c r="H302" s="67">
        <v>0</v>
      </c>
      <c r="I302" s="67">
        <v>0</v>
      </c>
      <c r="J302" s="67">
        <v>0</v>
      </c>
      <c r="K302" s="67">
        <v>0</v>
      </c>
      <c r="L302" s="67">
        <v>0</v>
      </c>
      <c r="M302" s="67">
        <v>-2.9244114949733557E-4</v>
      </c>
      <c r="N302" s="67">
        <v>0</v>
      </c>
      <c r="O302" s="67">
        <v>-6.2172489379008766E-15</v>
      </c>
      <c r="P302" s="67">
        <v>0</v>
      </c>
      <c r="Q302" s="67">
        <v>0</v>
      </c>
      <c r="R302" s="67">
        <v>-1.1368683772161603E-13</v>
      </c>
      <c r="S302" s="67">
        <v>0</v>
      </c>
      <c r="T302" s="67">
        <v>1.7763568394002505E-14</v>
      </c>
      <c r="U302" s="67">
        <v>-2.9244114966786583E-4</v>
      </c>
      <c r="V302" s="51"/>
    </row>
    <row r="303" spans="3:22" x14ac:dyDescent="0.25">
      <c r="C303" s="51"/>
      <c r="D303" s="51"/>
      <c r="E303" s="51"/>
      <c r="F303" s="51"/>
      <c r="G303" s="51"/>
      <c r="H303" s="51"/>
      <c r="I303" s="51"/>
      <c r="J303" s="51"/>
      <c r="K303" s="51"/>
      <c r="L303" s="51"/>
      <c r="M303" s="51"/>
      <c r="N303" s="51"/>
      <c r="O303" s="51"/>
      <c r="P303" s="51"/>
      <c r="Q303" s="51"/>
      <c r="R303" s="51"/>
      <c r="S303" s="51"/>
      <c r="T303" s="51"/>
      <c r="U303" s="51"/>
      <c r="V303" s="51"/>
    </row>
  </sheetData>
  <mergeCells count="112">
    <mergeCell ref="T269:T270"/>
    <mergeCell ref="U269:U270"/>
    <mergeCell ref="I269:I270"/>
    <mergeCell ref="J269:J270"/>
    <mergeCell ref="K269:K270"/>
    <mergeCell ref="L269:Q269"/>
    <mergeCell ref="R269:R270"/>
    <mergeCell ref="S269:S270"/>
    <mergeCell ref="C269:C270"/>
    <mergeCell ref="D269:D270"/>
    <mergeCell ref="E269:E270"/>
    <mergeCell ref="F269:F270"/>
    <mergeCell ref="G269:G270"/>
    <mergeCell ref="H269:H270"/>
    <mergeCell ref="K232:K233"/>
    <mergeCell ref="L232:Q232"/>
    <mergeCell ref="R232:R233"/>
    <mergeCell ref="S232:S233"/>
    <mergeCell ref="T232:T233"/>
    <mergeCell ref="U232:U233"/>
    <mergeCell ref="T195:T196"/>
    <mergeCell ref="U195:U196"/>
    <mergeCell ref="C232:C233"/>
    <mergeCell ref="D232:D233"/>
    <mergeCell ref="E232:E233"/>
    <mergeCell ref="F232:F233"/>
    <mergeCell ref="G232:G233"/>
    <mergeCell ref="H232:H233"/>
    <mergeCell ref="I232:I233"/>
    <mergeCell ref="J232:J233"/>
    <mergeCell ref="I195:I196"/>
    <mergeCell ref="J195:J196"/>
    <mergeCell ref="K195:K196"/>
    <mergeCell ref="L195:Q195"/>
    <mergeCell ref="R195:R196"/>
    <mergeCell ref="S195:S196"/>
    <mergeCell ref="C195:C196"/>
    <mergeCell ref="D195:D196"/>
    <mergeCell ref="E195:E196"/>
    <mergeCell ref="F195:F196"/>
    <mergeCell ref="G195:G196"/>
    <mergeCell ref="H195:H196"/>
    <mergeCell ref="K158:K159"/>
    <mergeCell ref="L158:Q158"/>
    <mergeCell ref="R158:R159"/>
    <mergeCell ref="S158:S159"/>
    <mergeCell ref="T158:T159"/>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R121:R122"/>
    <mergeCell ref="S121:S122"/>
    <mergeCell ref="C121:C122"/>
    <mergeCell ref="D121:D122"/>
    <mergeCell ref="E121:E122"/>
    <mergeCell ref="F121:F122"/>
    <mergeCell ref="G121:G122"/>
    <mergeCell ref="H121:H122"/>
    <mergeCell ref="K84:K85"/>
    <mergeCell ref="L84:Q84"/>
    <mergeCell ref="R84:R85"/>
    <mergeCell ref="S84:S85"/>
    <mergeCell ref="T84:T85"/>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S47:S48"/>
    <mergeCell ref="C47:C48"/>
    <mergeCell ref="D47:D48"/>
    <mergeCell ref="E47:E48"/>
    <mergeCell ref="F47:F48"/>
    <mergeCell ref="G47:G48"/>
    <mergeCell ref="H47:H48"/>
    <mergeCell ref="K10:K11"/>
    <mergeCell ref="L10:Q10"/>
    <mergeCell ref="R10:R11"/>
    <mergeCell ref="S10:S11"/>
    <mergeCell ref="T10:T11"/>
    <mergeCell ref="U10:U11"/>
    <mergeCell ref="C10:C11"/>
    <mergeCell ref="D10:D11"/>
    <mergeCell ref="E10:E11"/>
    <mergeCell ref="F10:F11"/>
    <mergeCell ref="G10:G11"/>
    <mergeCell ref="H10:H11"/>
    <mergeCell ref="I10:I11"/>
    <mergeCell ref="J10:J11"/>
  </mergeCells>
  <conditionalFormatting sqref="D12:U18">
    <cfRule type="containsBlanks" dxfId="841" priority="9">
      <formula>LEN(TRIM(D12))=0</formula>
    </cfRule>
  </conditionalFormatting>
  <conditionalFormatting sqref="D12:U42">
    <cfRule type="cellIs" dxfId="840" priority="10" operator="equal">
      <formula>0</formula>
    </cfRule>
  </conditionalFormatting>
  <conditionalFormatting sqref="D20:U32">
    <cfRule type="containsBlanks" dxfId="839" priority="11">
      <formula>LEN(TRIM(D20))=0</formula>
    </cfRule>
  </conditionalFormatting>
  <conditionalFormatting sqref="D34:U42">
    <cfRule type="containsBlanks" dxfId="838" priority="12">
      <formula>LEN(TRIM(D34))=0</formula>
    </cfRule>
  </conditionalFormatting>
  <conditionalFormatting sqref="D49:U55">
    <cfRule type="containsBlanks" dxfId="837" priority="29">
      <formula>LEN(TRIM(D49))=0</formula>
    </cfRule>
  </conditionalFormatting>
  <conditionalFormatting sqref="D49:U79">
    <cfRule type="cellIs" dxfId="836" priority="30" operator="equal">
      <formula>0</formula>
    </cfRule>
  </conditionalFormatting>
  <conditionalFormatting sqref="D57:U69">
    <cfRule type="containsBlanks" dxfId="835" priority="31">
      <formula>LEN(TRIM(D57))=0</formula>
    </cfRule>
  </conditionalFormatting>
  <conditionalFormatting sqref="D71:U79">
    <cfRule type="containsBlanks" dxfId="834" priority="32">
      <formula>LEN(TRIM(D71))=0</formula>
    </cfRule>
  </conditionalFormatting>
  <conditionalFormatting sqref="D86:U92">
    <cfRule type="containsBlanks" dxfId="833" priority="27">
      <formula>LEN(TRIM(D86))=0</formula>
    </cfRule>
  </conditionalFormatting>
  <conditionalFormatting sqref="D86:U116">
    <cfRule type="cellIs" dxfId="832" priority="28" operator="equal">
      <formula>0</formula>
    </cfRule>
  </conditionalFormatting>
  <conditionalFormatting sqref="D94:U106">
    <cfRule type="containsBlanks" dxfId="831" priority="37">
      <formula>LEN(TRIM(D94))=0</formula>
    </cfRule>
  </conditionalFormatting>
  <conditionalFormatting sqref="D108:U116">
    <cfRule type="containsBlanks" dxfId="830" priority="38">
      <formula>LEN(TRIM(D108))=0</formula>
    </cfRule>
  </conditionalFormatting>
  <conditionalFormatting sqref="D123:U129">
    <cfRule type="containsBlanks" dxfId="829" priority="25">
      <formula>LEN(TRIM(D123))=0</formula>
    </cfRule>
  </conditionalFormatting>
  <conditionalFormatting sqref="D123:U153">
    <cfRule type="cellIs" dxfId="828" priority="26" operator="equal">
      <formula>0</formula>
    </cfRule>
  </conditionalFormatting>
  <conditionalFormatting sqref="D131:U143">
    <cfRule type="containsBlanks" dxfId="827" priority="43">
      <formula>LEN(TRIM(D131))=0</formula>
    </cfRule>
  </conditionalFormatting>
  <conditionalFormatting sqref="D145:U153">
    <cfRule type="containsBlanks" dxfId="826" priority="44">
      <formula>LEN(TRIM(D145))=0</formula>
    </cfRule>
  </conditionalFormatting>
  <conditionalFormatting sqref="D160:U166">
    <cfRule type="containsBlanks" dxfId="825" priority="23">
      <formula>LEN(TRIM(D160))=0</formula>
    </cfRule>
  </conditionalFormatting>
  <conditionalFormatting sqref="D160:U190">
    <cfRule type="cellIs" dxfId="824" priority="24" operator="equal">
      <formula>0</formula>
    </cfRule>
  </conditionalFormatting>
  <conditionalFormatting sqref="D168:U180">
    <cfRule type="containsBlanks" dxfId="823" priority="49">
      <formula>LEN(TRIM(D168))=0</formula>
    </cfRule>
  </conditionalFormatting>
  <conditionalFormatting sqref="D182:U190">
    <cfRule type="containsBlanks" dxfId="822" priority="50">
      <formula>LEN(TRIM(D182))=0</formula>
    </cfRule>
  </conditionalFormatting>
  <conditionalFormatting sqref="D197:U203">
    <cfRule type="containsBlanks" dxfId="821" priority="21">
      <formula>LEN(TRIM(D197))=0</formula>
    </cfRule>
  </conditionalFormatting>
  <conditionalFormatting sqref="D197:U227">
    <cfRule type="cellIs" dxfId="820" priority="22" operator="equal">
      <formula>0</formula>
    </cfRule>
  </conditionalFormatting>
  <conditionalFormatting sqref="D205:U217">
    <cfRule type="containsBlanks" dxfId="819" priority="55">
      <formula>LEN(TRIM(D205))=0</formula>
    </cfRule>
  </conditionalFormatting>
  <conditionalFormatting sqref="D219:U227">
    <cfRule type="containsBlanks" dxfId="818" priority="56">
      <formula>LEN(TRIM(D219))=0</formula>
    </cfRule>
  </conditionalFormatting>
  <conditionalFormatting sqref="D234:U240">
    <cfRule type="containsBlanks" dxfId="817" priority="19">
      <formula>LEN(TRIM(D234))=0</formula>
    </cfRule>
  </conditionalFormatting>
  <conditionalFormatting sqref="D234:U264">
    <cfRule type="cellIs" dxfId="816" priority="20" operator="equal">
      <formula>0</formula>
    </cfRule>
  </conditionalFormatting>
  <conditionalFormatting sqref="D242:U254">
    <cfRule type="containsBlanks" dxfId="815" priority="61">
      <formula>LEN(TRIM(D242))=0</formula>
    </cfRule>
  </conditionalFormatting>
  <conditionalFormatting sqref="D256:U264">
    <cfRule type="containsBlanks" dxfId="814" priority="62">
      <formula>LEN(TRIM(D256))=0</formula>
    </cfRule>
  </conditionalFormatting>
  <conditionalFormatting sqref="D271:U277">
    <cfRule type="containsBlanks" dxfId="813" priority="17">
      <formula>LEN(TRIM(D271))=0</formula>
    </cfRule>
  </conditionalFormatting>
  <conditionalFormatting sqref="D271:U301">
    <cfRule type="cellIs" dxfId="812" priority="18" operator="equal">
      <formula>0</formula>
    </cfRule>
  </conditionalFormatting>
  <conditionalFormatting sqref="D279:U291">
    <cfRule type="containsBlanks" dxfId="811" priority="67">
      <formula>LEN(TRIM(D279))=0</formula>
    </cfRule>
  </conditionalFormatting>
  <conditionalFormatting sqref="D293:U301">
    <cfRule type="containsBlanks" dxfId="810" priority="68">
      <formula>LEN(TRIM(D293))=0</formula>
    </cfRule>
  </conditionalFormatting>
  <conditionalFormatting sqref="F87:F88">
    <cfRule type="cellIs" dxfId="809" priority="41" operator="equal">
      <formula>0</formula>
    </cfRule>
  </conditionalFormatting>
  <conditionalFormatting sqref="F124:F125">
    <cfRule type="cellIs" dxfId="808" priority="47" operator="equal">
      <formula>0</formula>
    </cfRule>
  </conditionalFormatting>
  <conditionalFormatting sqref="F161:F162">
    <cfRule type="cellIs" dxfId="807" priority="53" operator="equal">
      <formula>0</formula>
    </cfRule>
  </conditionalFormatting>
  <conditionalFormatting sqref="F198:F199">
    <cfRule type="cellIs" dxfId="806" priority="59" operator="equal">
      <formula>0</formula>
    </cfRule>
  </conditionalFormatting>
  <conditionalFormatting sqref="F235:F236">
    <cfRule type="cellIs" dxfId="805" priority="65" operator="equal">
      <formula>0</formula>
    </cfRule>
  </conditionalFormatting>
  <conditionalFormatting sqref="F272:F273">
    <cfRule type="cellIs" dxfId="804" priority="71" operator="equal">
      <formula>0</formula>
    </cfRule>
  </conditionalFormatting>
  <conditionalFormatting sqref="L13:L17">
    <cfRule type="cellIs" dxfId="803" priority="15" operator="equal">
      <formula>0</formula>
    </cfRule>
  </conditionalFormatting>
  <conditionalFormatting sqref="L50:L54">
    <cfRule type="cellIs" dxfId="802" priority="35" operator="equal">
      <formula>0</formula>
    </cfRule>
  </conditionalFormatting>
  <conditionalFormatting sqref="L87:L91">
    <cfRule type="cellIs" dxfId="801" priority="40" operator="equal">
      <formula>0</formula>
    </cfRule>
  </conditionalFormatting>
  <conditionalFormatting sqref="L124:L128">
    <cfRule type="cellIs" dxfId="800" priority="46" operator="equal">
      <formula>0</formula>
    </cfRule>
  </conditionalFormatting>
  <conditionalFormatting sqref="L161:L165">
    <cfRule type="cellIs" dxfId="799" priority="52" operator="equal">
      <formula>0</formula>
    </cfRule>
  </conditionalFormatting>
  <conditionalFormatting sqref="L198:L202">
    <cfRule type="cellIs" dxfId="798" priority="58" operator="equal">
      <formula>0</formula>
    </cfRule>
  </conditionalFormatting>
  <conditionalFormatting sqref="L235:L239">
    <cfRule type="cellIs" dxfId="797" priority="64" operator="equal">
      <formula>0</formula>
    </cfRule>
  </conditionalFormatting>
  <conditionalFormatting sqref="L272:L276">
    <cfRule type="cellIs" dxfId="796" priority="70" operator="equal">
      <formula>0</formula>
    </cfRule>
  </conditionalFormatting>
  <conditionalFormatting sqref="L11:Q11">
    <cfRule type="cellIs" dxfId="795" priority="80" operator="equal">
      <formula>0</formula>
    </cfRule>
  </conditionalFormatting>
  <conditionalFormatting sqref="L48:Q48">
    <cfRule type="cellIs" dxfId="794" priority="79" operator="equal">
      <formula>0</formula>
    </cfRule>
  </conditionalFormatting>
  <conditionalFormatting sqref="L85:Q85">
    <cfRule type="cellIs" dxfId="793" priority="78" operator="equal">
      <formula>0</formula>
    </cfRule>
  </conditionalFormatting>
  <conditionalFormatting sqref="L122:Q122">
    <cfRule type="cellIs" dxfId="792" priority="77" operator="equal">
      <formula>0</formula>
    </cfRule>
  </conditionalFormatting>
  <conditionalFormatting sqref="L159:Q159">
    <cfRule type="cellIs" dxfId="791" priority="76" operator="equal">
      <formula>0</formula>
    </cfRule>
  </conditionalFormatting>
  <conditionalFormatting sqref="L196:Q196">
    <cfRule type="cellIs" dxfId="790" priority="75" operator="equal">
      <formula>0</formula>
    </cfRule>
  </conditionalFormatting>
  <conditionalFormatting sqref="L233:Q233">
    <cfRule type="cellIs" dxfId="789" priority="74" operator="equal">
      <formula>0</formula>
    </cfRule>
  </conditionalFormatting>
  <conditionalFormatting sqref="L270:Q270">
    <cfRule type="cellIs" dxfId="788" priority="73" operator="equal">
      <formula>0</formula>
    </cfRule>
  </conditionalFormatting>
  <conditionalFormatting sqref="M12:O17">
    <cfRule type="cellIs" dxfId="787" priority="13" operator="equal">
      <formula>0</formula>
    </cfRule>
  </conditionalFormatting>
  <conditionalFormatting sqref="M49:O54">
    <cfRule type="cellIs" dxfId="786" priority="33" operator="equal">
      <formula>0</formula>
    </cfRule>
  </conditionalFormatting>
  <conditionalFormatting sqref="P13:Q17">
    <cfRule type="cellIs" dxfId="785" priority="14" operator="equal">
      <formula>0</formula>
    </cfRule>
  </conditionalFormatting>
  <conditionalFormatting sqref="P50:Q54">
    <cfRule type="cellIs" dxfId="784" priority="34" operator="equal">
      <formula>0</formula>
    </cfRule>
  </conditionalFormatting>
  <conditionalFormatting sqref="P87:Q91">
    <cfRule type="cellIs" dxfId="783" priority="39" operator="equal">
      <formula>0</formula>
    </cfRule>
  </conditionalFormatting>
  <conditionalFormatting sqref="P124:Q128">
    <cfRule type="cellIs" dxfId="782" priority="45" operator="equal">
      <formula>0</formula>
    </cfRule>
  </conditionalFormatting>
  <conditionalFormatting sqref="P161:Q165">
    <cfRule type="cellIs" dxfId="781" priority="51" operator="equal">
      <formula>0</formula>
    </cfRule>
  </conditionalFormatting>
  <conditionalFormatting sqref="P198:Q202">
    <cfRule type="cellIs" dxfId="780" priority="57" operator="equal">
      <formula>0</formula>
    </cfRule>
  </conditionalFormatting>
  <conditionalFormatting sqref="P235:Q239">
    <cfRule type="cellIs" dxfId="779" priority="63" operator="equal">
      <formula>0</formula>
    </cfRule>
  </conditionalFormatting>
  <conditionalFormatting sqref="P272:Q276">
    <cfRule type="cellIs" dxfId="778" priority="69" operator="equal">
      <formula>0</formula>
    </cfRule>
  </conditionalFormatting>
  <conditionalFormatting sqref="R12:R14">
    <cfRule type="cellIs" dxfId="777" priority="16" operator="equal">
      <formula>0</formula>
    </cfRule>
  </conditionalFormatting>
  <conditionalFormatting sqref="R49:R51">
    <cfRule type="cellIs" dxfId="776" priority="36" operator="equal">
      <formula>0</formula>
    </cfRule>
  </conditionalFormatting>
  <conditionalFormatting sqref="R86:R88">
    <cfRule type="cellIs" dxfId="775" priority="42" operator="equal">
      <formula>0</formula>
    </cfRule>
  </conditionalFormatting>
  <conditionalFormatting sqref="R123:R125">
    <cfRule type="cellIs" dxfId="774" priority="48" operator="equal">
      <formula>0</formula>
    </cfRule>
  </conditionalFormatting>
  <conditionalFormatting sqref="R160:R162">
    <cfRule type="cellIs" dxfId="773" priority="54" operator="equal">
      <formula>0</formula>
    </cfRule>
  </conditionalFormatting>
  <conditionalFormatting sqref="R197:R199">
    <cfRule type="cellIs" dxfId="772" priority="60" operator="equal">
      <formula>0</formula>
    </cfRule>
  </conditionalFormatting>
  <conditionalFormatting sqref="R234:R236">
    <cfRule type="cellIs" dxfId="771" priority="66" operator="equal">
      <formula>0</formula>
    </cfRule>
  </conditionalFormatting>
  <conditionalFormatting sqref="R271:R273">
    <cfRule type="cellIs" dxfId="770" priority="72" operator="equal">
      <formula>0</formula>
    </cfRule>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3F081-3E5C-4888-9721-1EF36187D176}">
  <dimension ref="C2:V266"/>
  <sheetViews>
    <sheetView workbookViewId="0"/>
  </sheetViews>
  <sheetFormatPr baseColWidth="10" defaultRowHeight="15" x14ac:dyDescent="0.25"/>
  <sheetData>
    <row r="2" spans="3:22" ht="18.75" x14ac:dyDescent="0.3">
      <c r="C2" s="600" t="s">
        <v>406</v>
      </c>
      <c r="D2" s="599"/>
      <c r="E2" s="599"/>
      <c r="F2" s="599"/>
      <c r="G2" s="599"/>
      <c r="H2" s="599"/>
      <c r="I2" s="599"/>
      <c r="J2" s="599"/>
      <c r="K2" s="599"/>
      <c r="L2" s="599"/>
      <c r="M2" s="599"/>
      <c r="N2" s="599"/>
      <c r="O2" s="599"/>
      <c r="P2" s="599"/>
      <c r="Q2" s="599"/>
      <c r="R2" s="599"/>
      <c r="S2" s="599"/>
      <c r="T2" s="599"/>
      <c r="U2" s="599"/>
      <c r="V2" s="599"/>
    </row>
    <row r="3" spans="3:22" x14ac:dyDescent="0.25">
      <c r="C3" s="51"/>
      <c r="D3" s="51"/>
      <c r="E3" s="51"/>
      <c r="F3" s="51"/>
      <c r="G3" s="51"/>
      <c r="H3" s="51"/>
      <c r="I3" s="51"/>
      <c r="J3" s="51"/>
      <c r="K3" s="51"/>
      <c r="L3" s="51"/>
      <c r="M3" s="51"/>
      <c r="N3" s="51"/>
      <c r="O3" s="51"/>
      <c r="P3" s="51"/>
      <c r="Q3" s="51"/>
      <c r="R3" s="51"/>
      <c r="S3" s="51"/>
      <c r="T3" s="51"/>
      <c r="U3" s="51"/>
      <c r="V3" s="51"/>
    </row>
    <row r="4" spans="3:22" ht="15.75" x14ac:dyDescent="0.25">
      <c r="C4" s="603" t="s">
        <v>338</v>
      </c>
      <c r="D4" s="602" t="s">
        <v>481</v>
      </c>
      <c r="E4" s="602"/>
      <c r="F4" s="602"/>
      <c r="G4" s="602"/>
      <c r="H4" s="602"/>
      <c r="I4" s="602"/>
      <c r="J4" s="602"/>
      <c r="K4" s="604"/>
      <c r="L4" s="604"/>
      <c r="M4" s="604"/>
      <c r="N4" s="604"/>
      <c r="O4" s="604"/>
      <c r="P4" s="604"/>
      <c r="Q4" s="604"/>
      <c r="R4" s="602"/>
      <c r="S4" s="602"/>
      <c r="T4" s="602"/>
      <c r="U4" s="602"/>
      <c r="V4" s="602"/>
    </row>
    <row r="5" spans="3:22" ht="15.75" x14ac:dyDescent="0.25">
      <c r="C5" s="603" t="s">
        <v>341</v>
      </c>
      <c r="D5" s="602" t="s">
        <v>342</v>
      </c>
      <c r="E5" s="602"/>
      <c r="F5" s="602"/>
      <c r="G5" s="602"/>
      <c r="H5" s="602"/>
      <c r="I5" s="602"/>
      <c r="J5" s="602"/>
      <c r="K5" s="602"/>
      <c r="L5" s="602"/>
      <c r="M5" s="602"/>
      <c r="N5" s="602"/>
      <c r="O5" s="602"/>
      <c r="P5" s="602"/>
      <c r="Q5" s="602"/>
      <c r="R5" s="602"/>
      <c r="S5" s="602"/>
      <c r="T5" s="602"/>
      <c r="U5" s="602"/>
      <c r="V5" s="602"/>
    </row>
    <row r="6" spans="3:22" x14ac:dyDescent="0.25">
      <c r="C6" s="51"/>
      <c r="D6" s="51"/>
      <c r="E6" s="51"/>
      <c r="F6" s="51"/>
      <c r="G6" s="51"/>
      <c r="H6" s="51"/>
      <c r="I6" s="51"/>
      <c r="J6" s="51"/>
      <c r="K6" s="51"/>
      <c r="L6" s="51"/>
      <c r="M6" s="51"/>
      <c r="N6" s="51"/>
      <c r="O6" s="51"/>
      <c r="P6" s="51"/>
      <c r="Q6" s="51"/>
      <c r="R6" s="51"/>
      <c r="S6" s="51"/>
      <c r="T6" s="51"/>
      <c r="U6" s="51"/>
      <c r="V6" s="51"/>
    </row>
    <row r="7" spans="3:22" x14ac:dyDescent="0.25">
      <c r="C7" s="51"/>
      <c r="D7" s="51"/>
      <c r="E7" s="51"/>
      <c r="F7" s="51"/>
      <c r="G7" s="51"/>
      <c r="H7" s="51"/>
      <c r="I7" s="51"/>
      <c r="J7" s="51"/>
      <c r="K7" s="51"/>
      <c r="L7" s="51"/>
      <c r="M7" s="51"/>
      <c r="N7" s="51"/>
      <c r="O7" s="51"/>
      <c r="P7" s="51"/>
      <c r="Q7" s="51"/>
      <c r="R7" s="51"/>
      <c r="S7" s="51"/>
      <c r="T7" s="51"/>
      <c r="U7" s="51"/>
      <c r="V7" s="51"/>
    </row>
    <row r="8" spans="3:22" x14ac:dyDescent="0.25">
      <c r="C8" s="607" t="s">
        <v>357</v>
      </c>
      <c r="D8" s="606"/>
      <c r="E8" s="606"/>
      <c r="F8" s="606"/>
      <c r="G8" s="682"/>
      <c r="H8" s="606"/>
      <c r="I8" s="606"/>
      <c r="J8" s="606"/>
      <c r="K8" s="606"/>
      <c r="L8" s="606"/>
      <c r="M8" s="606"/>
      <c r="N8" s="606"/>
      <c r="O8" s="606"/>
      <c r="P8" s="606"/>
      <c r="Q8" s="606"/>
      <c r="R8" s="606"/>
      <c r="S8" s="606"/>
      <c r="T8" s="606"/>
      <c r="U8" s="606"/>
      <c r="V8" s="606"/>
    </row>
    <row r="9" spans="3:22" x14ac:dyDescent="0.25">
      <c r="C9" s="51"/>
      <c r="D9" s="51"/>
      <c r="E9" s="51"/>
      <c r="F9" s="51"/>
      <c r="G9" s="67"/>
      <c r="H9" s="51"/>
      <c r="I9" s="51"/>
      <c r="J9" s="51"/>
      <c r="K9" s="51"/>
      <c r="L9" s="51"/>
      <c r="M9" s="51"/>
      <c r="N9" s="51"/>
      <c r="O9" s="51"/>
      <c r="P9" s="51"/>
      <c r="Q9" s="51"/>
      <c r="R9" s="51"/>
      <c r="S9" s="51"/>
      <c r="T9" s="51"/>
      <c r="U9" s="51"/>
      <c r="V9" s="51"/>
    </row>
    <row r="10" spans="3:22" x14ac:dyDescent="0.25">
      <c r="C10" s="764" t="s">
        <v>128</v>
      </c>
      <c r="D10" s="753" t="s">
        <v>42</v>
      </c>
      <c r="E10" s="753" t="s">
        <v>52</v>
      </c>
      <c r="F10" s="753" t="s">
        <v>53</v>
      </c>
      <c r="G10" s="766" t="s">
        <v>482</v>
      </c>
      <c r="H10" s="753" t="s">
        <v>32</v>
      </c>
      <c r="I10" s="753" t="s">
        <v>483</v>
      </c>
      <c r="J10" s="753" t="s">
        <v>20</v>
      </c>
      <c r="K10" s="753" t="s">
        <v>55</v>
      </c>
      <c r="L10" s="761" t="s">
        <v>56</v>
      </c>
      <c r="M10" s="762"/>
      <c r="N10" s="762"/>
      <c r="O10" s="762"/>
      <c r="P10" s="762"/>
      <c r="Q10" s="763"/>
      <c r="R10" s="753" t="s">
        <v>57</v>
      </c>
      <c r="S10" s="753" t="s">
        <v>58</v>
      </c>
      <c r="T10" s="753" t="s">
        <v>31</v>
      </c>
      <c r="U10" s="753" t="s">
        <v>10</v>
      </c>
      <c r="V10" s="51"/>
    </row>
    <row r="11" spans="3:22" ht="36" x14ac:dyDescent="0.25">
      <c r="C11" s="765"/>
      <c r="D11" s="754"/>
      <c r="E11" s="754"/>
      <c r="F11" s="754"/>
      <c r="G11" s="767"/>
      <c r="H11" s="754"/>
      <c r="I11" s="754"/>
      <c r="J11" s="754"/>
      <c r="K11" s="754"/>
      <c r="L11" s="608" t="s">
        <v>335</v>
      </c>
      <c r="M11" s="608" t="s">
        <v>40</v>
      </c>
      <c r="N11" s="608" t="s">
        <v>343</v>
      </c>
      <c r="O11" s="608" t="s">
        <v>344</v>
      </c>
      <c r="P11" s="609" t="s">
        <v>345</v>
      </c>
      <c r="Q11" s="608" t="s">
        <v>346</v>
      </c>
      <c r="R11" s="754"/>
      <c r="S11" s="754"/>
      <c r="T11" s="754"/>
      <c r="U11" s="754"/>
      <c r="V11" s="51"/>
    </row>
    <row r="12" spans="3:22" x14ac:dyDescent="0.25">
      <c r="C12" s="610" t="s">
        <v>59</v>
      </c>
      <c r="D12" s="611">
        <v>0</v>
      </c>
      <c r="E12" s="611">
        <v>7.3966799999999999</v>
      </c>
      <c r="F12" s="611">
        <v>0</v>
      </c>
      <c r="G12" s="611">
        <v>0</v>
      </c>
      <c r="H12" s="611">
        <v>0.13025600000000001</v>
      </c>
      <c r="I12" s="611">
        <v>0</v>
      </c>
      <c r="J12" s="612">
        <v>1149.5641818181819</v>
      </c>
      <c r="K12" s="612">
        <v>271.86081401905926</v>
      </c>
      <c r="L12" s="612">
        <v>397.0289475788656</v>
      </c>
      <c r="M12" s="612">
        <v>23.393768013389355</v>
      </c>
      <c r="N12" s="611">
        <v>1.4753548538560814</v>
      </c>
      <c r="O12" s="611">
        <v>0.15089220372740705</v>
      </c>
      <c r="P12" s="612">
        <v>117.62110970536919</v>
      </c>
      <c r="Q12" s="612">
        <v>17.46028275944898</v>
      </c>
      <c r="R12" s="611">
        <v>0</v>
      </c>
      <c r="S12" s="611">
        <v>0</v>
      </c>
      <c r="T12" s="611">
        <v>0</v>
      </c>
      <c r="U12" s="613">
        <v>1935.1769256231291</v>
      </c>
      <c r="V12" s="51"/>
    </row>
    <row r="13" spans="3:22" x14ac:dyDescent="0.25">
      <c r="C13" s="610" t="s">
        <v>60</v>
      </c>
      <c r="D13" s="611">
        <v>18.28715345037487</v>
      </c>
      <c r="E13" s="611">
        <v>349.70303524729923</v>
      </c>
      <c r="F13" s="611">
        <v>130.886558117888</v>
      </c>
      <c r="G13" s="611">
        <v>0.50033179368683367</v>
      </c>
      <c r="H13" s="611">
        <v>247.23033513794201</v>
      </c>
      <c r="I13" s="611">
        <v>0</v>
      </c>
      <c r="J13" s="611">
        <v>0</v>
      </c>
      <c r="K13" s="611">
        <v>0</v>
      </c>
      <c r="L13" s="611">
        <v>3.0227324829465219</v>
      </c>
      <c r="M13" s="611">
        <v>0</v>
      </c>
      <c r="N13" s="611">
        <v>4.0455454459272451</v>
      </c>
      <c r="O13" s="611">
        <v>0</v>
      </c>
      <c r="P13" s="611">
        <v>0</v>
      </c>
      <c r="Q13" s="611">
        <v>0</v>
      </c>
      <c r="R13" s="611">
        <v>0</v>
      </c>
      <c r="S13" s="611">
        <v>0</v>
      </c>
      <c r="T13" s="611">
        <v>0</v>
      </c>
      <c r="U13" s="613">
        <v>753.67569167606473</v>
      </c>
      <c r="V13" s="51"/>
    </row>
    <row r="14" spans="3:22" x14ac:dyDescent="0.25">
      <c r="C14" s="610" t="s">
        <v>61</v>
      </c>
      <c r="D14" s="611">
        <v>0</v>
      </c>
      <c r="E14" s="611">
        <v>0</v>
      </c>
      <c r="F14" s="611">
        <v>4.2105906375360576</v>
      </c>
      <c r="G14" s="611">
        <v>0</v>
      </c>
      <c r="H14" s="611">
        <v>0</v>
      </c>
      <c r="I14" s="611">
        <v>0</v>
      </c>
      <c r="J14" s="611">
        <v>0</v>
      </c>
      <c r="K14" s="611">
        <v>0</v>
      </c>
      <c r="L14" s="611">
        <v>0</v>
      </c>
      <c r="M14" s="611">
        <v>0</v>
      </c>
      <c r="N14" s="611">
        <v>0</v>
      </c>
      <c r="O14" s="611">
        <v>0</v>
      </c>
      <c r="P14" s="611">
        <v>0</v>
      </c>
      <c r="Q14" s="611">
        <v>0</v>
      </c>
      <c r="R14" s="611">
        <v>-71.116088326729823</v>
      </c>
      <c r="S14" s="611">
        <v>0</v>
      </c>
      <c r="T14" s="611">
        <v>0</v>
      </c>
      <c r="U14" s="613">
        <v>-66.905497689193766</v>
      </c>
      <c r="V14" s="51"/>
    </row>
    <row r="15" spans="3:22" x14ac:dyDescent="0.25">
      <c r="C15" s="610" t="s">
        <v>62</v>
      </c>
      <c r="D15" s="611">
        <v>0</v>
      </c>
      <c r="E15" s="611">
        <v>0</v>
      </c>
      <c r="F15" s="611">
        <v>-10.861999753071151</v>
      </c>
      <c r="G15" s="611">
        <v>-1.2717233399442811</v>
      </c>
      <c r="H15" s="611">
        <v>-1.650726997595853</v>
      </c>
      <c r="I15" s="611">
        <v>-1.5305667943868051</v>
      </c>
      <c r="J15" s="611">
        <v>0</v>
      </c>
      <c r="K15" s="611">
        <v>0</v>
      </c>
      <c r="L15" s="611">
        <v>0</v>
      </c>
      <c r="M15" s="611">
        <v>0</v>
      </c>
      <c r="N15" s="611">
        <v>-0.98510206600536243</v>
      </c>
      <c r="O15" s="611">
        <v>-1.4330596123235</v>
      </c>
      <c r="P15" s="611">
        <v>0</v>
      </c>
      <c r="Q15" s="611">
        <v>0</v>
      </c>
      <c r="R15" s="611">
        <v>0</v>
      </c>
      <c r="S15" s="611">
        <v>0</v>
      </c>
      <c r="T15" s="611">
        <v>-0.44287904354910901</v>
      </c>
      <c r="U15" s="613">
        <v>-18.176057606876064</v>
      </c>
      <c r="V15" s="51"/>
    </row>
    <row r="16" spans="3:22" x14ac:dyDescent="0.25">
      <c r="C16" s="610" t="s">
        <v>63</v>
      </c>
      <c r="D16" s="611">
        <v>0</v>
      </c>
      <c r="E16" s="611">
        <v>0</v>
      </c>
      <c r="F16" s="611">
        <v>-60.506792439626352</v>
      </c>
      <c r="G16" s="611">
        <v>-2.4607230105111979</v>
      </c>
      <c r="H16" s="611">
        <v>0</v>
      </c>
      <c r="I16" s="611">
        <v>0</v>
      </c>
      <c r="J16" s="611">
        <v>0</v>
      </c>
      <c r="K16" s="611">
        <v>0</v>
      </c>
      <c r="L16" s="611">
        <v>0</v>
      </c>
      <c r="M16" s="611">
        <v>0</v>
      </c>
      <c r="N16" s="611">
        <v>-7.7408999922038042</v>
      </c>
      <c r="O16" s="611">
        <v>0</v>
      </c>
      <c r="P16" s="611">
        <v>0</v>
      </c>
      <c r="Q16" s="611">
        <v>0</v>
      </c>
      <c r="R16" s="611">
        <v>0</v>
      </c>
      <c r="S16" s="611">
        <v>0</v>
      </c>
      <c r="T16" s="611">
        <v>-0.3392769133758014</v>
      </c>
      <c r="U16" s="613">
        <v>-71.047692355717146</v>
      </c>
      <c r="V16" s="51"/>
    </row>
    <row r="17" spans="3:22" x14ac:dyDescent="0.25">
      <c r="C17" s="610" t="s">
        <v>64</v>
      </c>
      <c r="D17" s="611">
        <v>0</v>
      </c>
      <c r="E17" s="611">
        <v>0</v>
      </c>
      <c r="F17" s="611">
        <v>0</v>
      </c>
      <c r="G17" s="611">
        <v>0</v>
      </c>
      <c r="H17" s="611">
        <v>0</v>
      </c>
      <c r="I17" s="611">
        <v>0</v>
      </c>
      <c r="J17" s="611">
        <v>0</v>
      </c>
      <c r="K17" s="611">
        <v>0</v>
      </c>
      <c r="L17" s="611">
        <v>0</v>
      </c>
      <c r="M17" s="611">
        <v>0</v>
      </c>
      <c r="N17" s="611">
        <v>0</v>
      </c>
      <c r="O17" s="611">
        <v>0</v>
      </c>
      <c r="P17" s="611">
        <v>0</v>
      </c>
      <c r="Q17" s="611">
        <v>0</v>
      </c>
      <c r="R17" s="611">
        <v>0</v>
      </c>
      <c r="S17" s="611">
        <v>0</v>
      </c>
      <c r="T17" s="611">
        <v>0</v>
      </c>
      <c r="U17" s="613">
        <v>0</v>
      </c>
      <c r="V17" s="51"/>
    </row>
    <row r="18" spans="3:22" x14ac:dyDescent="0.25">
      <c r="C18" s="614" t="s">
        <v>65</v>
      </c>
      <c r="D18" s="615">
        <v>18.28715345037487</v>
      </c>
      <c r="E18" s="615">
        <v>357.09971524729923</v>
      </c>
      <c r="F18" s="615">
        <v>63.72835656272656</v>
      </c>
      <c r="G18" s="615">
        <v>-3.2321145567686456</v>
      </c>
      <c r="H18" s="615">
        <v>245.70986414034616</v>
      </c>
      <c r="I18" s="615">
        <v>-1.5305667943868051</v>
      </c>
      <c r="J18" s="615">
        <v>1149.5641818181819</v>
      </c>
      <c r="K18" s="615">
        <v>271.86081401905926</v>
      </c>
      <c r="L18" s="615">
        <v>400.05168006181214</v>
      </c>
      <c r="M18" s="615">
        <v>23.393768013389355</v>
      </c>
      <c r="N18" s="615">
        <v>-3.2051017584258403</v>
      </c>
      <c r="O18" s="615">
        <v>-1.282167408596093</v>
      </c>
      <c r="P18" s="615">
        <v>117.62110970536919</v>
      </c>
      <c r="Q18" s="615">
        <v>17.46028275944898</v>
      </c>
      <c r="R18" s="615">
        <v>-71.116088326729823</v>
      </c>
      <c r="S18" s="615">
        <v>0</v>
      </c>
      <c r="T18" s="615">
        <v>-0.78215595692491036</v>
      </c>
      <c r="U18" s="615">
        <v>2532.7233696474068</v>
      </c>
      <c r="V18" s="51"/>
    </row>
    <row r="19" spans="3:22" x14ac:dyDescent="0.25">
      <c r="C19" s="616"/>
      <c r="D19" s="617"/>
      <c r="E19" s="617"/>
      <c r="F19" s="617"/>
      <c r="G19" s="617"/>
      <c r="H19" s="623"/>
      <c r="I19" s="617"/>
      <c r="J19" s="617"/>
      <c r="K19" s="617"/>
      <c r="L19" s="617"/>
      <c r="M19" s="617"/>
      <c r="N19" s="617"/>
      <c r="O19" s="617"/>
      <c r="P19" s="617"/>
      <c r="Q19" s="617"/>
      <c r="R19" s="617"/>
      <c r="S19" s="617"/>
      <c r="T19" s="617"/>
      <c r="U19" s="617"/>
      <c r="V19" s="51"/>
    </row>
    <row r="20" spans="3:22" x14ac:dyDescent="0.25">
      <c r="C20" s="618" t="s">
        <v>67</v>
      </c>
      <c r="D20" s="611">
        <v>0</v>
      </c>
      <c r="E20" s="611">
        <v>0</v>
      </c>
      <c r="F20" s="611">
        <v>0</v>
      </c>
      <c r="G20" s="611">
        <v>0</v>
      </c>
      <c r="H20" s="611">
        <v>0</v>
      </c>
      <c r="I20" s="611">
        <v>0</v>
      </c>
      <c r="J20" s="611">
        <v>0</v>
      </c>
      <c r="K20" s="611">
        <v>0</v>
      </c>
      <c r="L20" s="611">
        <v>0</v>
      </c>
      <c r="M20" s="611">
        <v>0</v>
      </c>
      <c r="N20" s="611">
        <v>0</v>
      </c>
      <c r="O20" s="611">
        <v>0</v>
      </c>
      <c r="P20" s="611">
        <v>0</v>
      </c>
      <c r="Q20" s="611">
        <v>0</v>
      </c>
      <c r="R20" s="611">
        <v>0</v>
      </c>
      <c r="S20" s="611">
        <v>0</v>
      </c>
      <c r="T20" s="611">
        <v>0</v>
      </c>
      <c r="U20" s="619">
        <v>0</v>
      </c>
      <c r="V20" s="51"/>
    </row>
    <row r="21" spans="3:22" x14ac:dyDescent="0.25">
      <c r="C21" s="618" t="s">
        <v>347</v>
      </c>
      <c r="D21" s="611">
        <v>0</v>
      </c>
      <c r="E21" s="611">
        <v>0</v>
      </c>
      <c r="F21" s="611">
        <v>0.79278558393774012</v>
      </c>
      <c r="G21" s="611">
        <v>0</v>
      </c>
      <c r="H21" s="611">
        <v>39.527338676233185</v>
      </c>
      <c r="I21" s="611">
        <v>0</v>
      </c>
      <c r="J21" s="611">
        <v>1149.5641818181819</v>
      </c>
      <c r="K21" s="611">
        <v>271.86081401905926</v>
      </c>
      <c r="L21" s="611">
        <v>23.789318392311586</v>
      </c>
      <c r="M21" s="611">
        <v>0.78288529253283656</v>
      </c>
      <c r="N21" s="611">
        <v>4.7819832265678626</v>
      </c>
      <c r="O21" s="611">
        <v>10.613276143464974</v>
      </c>
      <c r="P21" s="611">
        <v>0</v>
      </c>
      <c r="Q21" s="611">
        <v>1.6766395861963883</v>
      </c>
      <c r="R21" s="611">
        <v>-716.32813829992745</v>
      </c>
      <c r="S21" s="611">
        <v>0</v>
      </c>
      <c r="T21" s="611">
        <v>0</v>
      </c>
      <c r="U21" s="619">
        <v>787.0610844385584</v>
      </c>
      <c r="V21" s="51"/>
    </row>
    <row r="22" spans="3:22" x14ac:dyDescent="0.25">
      <c r="C22" s="618" t="s">
        <v>348</v>
      </c>
      <c r="D22" s="611">
        <v>0</v>
      </c>
      <c r="E22" s="611">
        <v>0</v>
      </c>
      <c r="F22" s="611">
        <v>0</v>
      </c>
      <c r="G22" s="611">
        <v>0</v>
      </c>
      <c r="H22" s="611">
        <v>14.863634929352314</v>
      </c>
      <c r="I22" s="611">
        <v>0</v>
      </c>
      <c r="J22" s="611">
        <v>0</v>
      </c>
      <c r="K22" s="611">
        <v>0</v>
      </c>
      <c r="L22" s="611">
        <v>36.951529030708912</v>
      </c>
      <c r="M22" s="611">
        <v>15.383934898304426</v>
      </c>
      <c r="N22" s="611">
        <v>0</v>
      </c>
      <c r="O22" s="611">
        <v>4.4533441115691943</v>
      </c>
      <c r="P22" s="611">
        <v>0</v>
      </c>
      <c r="Q22" s="611">
        <v>9.9766960849791442</v>
      </c>
      <c r="R22" s="611">
        <v>0</v>
      </c>
      <c r="S22" s="611">
        <v>-74.745984582713277</v>
      </c>
      <c r="T22" s="611">
        <v>0</v>
      </c>
      <c r="U22" s="619">
        <v>6.8831544722007152</v>
      </c>
      <c r="V22" s="51"/>
    </row>
    <row r="23" spans="3:22" x14ac:dyDescent="0.25">
      <c r="C23" s="618" t="s">
        <v>349</v>
      </c>
      <c r="D23" s="611">
        <v>0</v>
      </c>
      <c r="E23" s="611">
        <v>0</v>
      </c>
      <c r="F23" s="611">
        <v>0</v>
      </c>
      <c r="G23" s="611">
        <v>0</v>
      </c>
      <c r="H23" s="611">
        <v>0</v>
      </c>
      <c r="I23" s="611">
        <v>0</v>
      </c>
      <c r="J23" s="611">
        <v>0</v>
      </c>
      <c r="K23" s="611">
        <v>0</v>
      </c>
      <c r="L23" s="611">
        <v>129.43275599529042</v>
      </c>
      <c r="M23" s="611">
        <v>0</v>
      </c>
      <c r="N23" s="611">
        <v>0</v>
      </c>
      <c r="O23" s="611">
        <v>-71.188015797409747</v>
      </c>
      <c r="P23" s="611">
        <v>0</v>
      </c>
      <c r="Q23" s="611">
        <v>0</v>
      </c>
      <c r="R23" s="611">
        <v>0</v>
      </c>
      <c r="S23" s="611">
        <v>0</v>
      </c>
      <c r="T23" s="611">
        <v>0</v>
      </c>
      <c r="U23" s="619">
        <v>58.244740197880674</v>
      </c>
      <c r="V23" s="51"/>
    </row>
    <row r="24" spans="3:22" x14ac:dyDescent="0.25">
      <c r="C24" s="618" t="s">
        <v>350</v>
      </c>
      <c r="D24" s="611">
        <v>0</v>
      </c>
      <c r="E24" s="611">
        <v>0</v>
      </c>
      <c r="F24" s="611">
        <v>0</v>
      </c>
      <c r="G24" s="611">
        <v>0</v>
      </c>
      <c r="H24" s="611">
        <v>0</v>
      </c>
      <c r="I24" s="611">
        <v>-1.5305667943868051</v>
      </c>
      <c r="J24" s="611">
        <v>0</v>
      </c>
      <c r="K24" s="611">
        <v>0</v>
      </c>
      <c r="L24" s="611">
        <v>0</v>
      </c>
      <c r="M24" s="611">
        <v>0</v>
      </c>
      <c r="N24" s="611">
        <v>0</v>
      </c>
      <c r="O24" s="611">
        <v>0</v>
      </c>
      <c r="P24" s="611">
        <v>0</v>
      </c>
      <c r="Q24" s="611">
        <v>0</v>
      </c>
      <c r="R24" s="611">
        <v>0</v>
      </c>
      <c r="S24" s="611">
        <v>0</v>
      </c>
      <c r="T24" s="611">
        <v>2.1257872144261181</v>
      </c>
      <c r="U24" s="619">
        <v>0.59522042003931297</v>
      </c>
      <c r="V24" s="51"/>
    </row>
    <row r="25" spans="3:22" x14ac:dyDescent="0.25">
      <c r="C25" s="618" t="s">
        <v>72</v>
      </c>
      <c r="D25" s="611">
        <v>0</v>
      </c>
      <c r="E25" s="611">
        <v>370.08210545563031</v>
      </c>
      <c r="F25" s="611">
        <v>-366.39718123017576</v>
      </c>
      <c r="G25" s="611">
        <v>0</v>
      </c>
      <c r="H25" s="611">
        <v>0</v>
      </c>
      <c r="I25" s="611">
        <v>0</v>
      </c>
      <c r="J25" s="611">
        <v>0</v>
      </c>
      <c r="K25" s="611">
        <v>0</v>
      </c>
      <c r="L25" s="611">
        <v>0</v>
      </c>
      <c r="M25" s="611">
        <v>0</v>
      </c>
      <c r="N25" s="611">
        <v>0</v>
      </c>
      <c r="O25" s="611">
        <v>0</v>
      </c>
      <c r="P25" s="611">
        <v>0</v>
      </c>
      <c r="Q25" s="611">
        <v>0</v>
      </c>
      <c r="R25" s="611">
        <v>0</v>
      </c>
      <c r="S25" s="611">
        <v>0</v>
      </c>
      <c r="T25" s="611">
        <v>0</v>
      </c>
      <c r="U25" s="619">
        <v>3.6849242254545516</v>
      </c>
      <c r="V25" s="51"/>
    </row>
    <row r="26" spans="3:22" x14ac:dyDescent="0.25">
      <c r="C26" s="618" t="s">
        <v>351</v>
      </c>
      <c r="D26" s="611">
        <v>0</v>
      </c>
      <c r="E26" s="611">
        <v>0</v>
      </c>
      <c r="F26" s="611">
        <v>0</v>
      </c>
      <c r="G26" s="611">
        <v>0</v>
      </c>
      <c r="H26" s="611">
        <v>0</v>
      </c>
      <c r="I26" s="611">
        <v>0</v>
      </c>
      <c r="J26" s="611">
        <v>0</v>
      </c>
      <c r="K26" s="611">
        <v>0</v>
      </c>
      <c r="L26" s="611">
        <v>134.75063526164635</v>
      </c>
      <c r="M26" s="611">
        <v>0</v>
      </c>
      <c r="N26" s="611">
        <v>-74.112849393905506</v>
      </c>
      <c r="O26" s="611">
        <v>0</v>
      </c>
      <c r="P26" s="611">
        <v>0</v>
      </c>
      <c r="Q26" s="611">
        <v>0</v>
      </c>
      <c r="R26" s="611">
        <v>0</v>
      </c>
      <c r="S26" s="611">
        <v>0</v>
      </c>
      <c r="T26" s="611">
        <v>0</v>
      </c>
      <c r="U26" s="619">
        <v>60.637785867740845</v>
      </c>
      <c r="V26" s="51"/>
    </row>
    <row r="27" spans="3:22" x14ac:dyDescent="0.25">
      <c r="C27" s="618" t="s">
        <v>352</v>
      </c>
      <c r="D27" s="611">
        <v>0</v>
      </c>
      <c r="E27" s="611">
        <v>0</v>
      </c>
      <c r="F27" s="611">
        <v>0</v>
      </c>
      <c r="G27" s="611">
        <v>-5.329861681315144</v>
      </c>
      <c r="H27" s="611">
        <v>0</v>
      </c>
      <c r="I27" s="611">
        <v>0</v>
      </c>
      <c r="J27" s="611">
        <v>0</v>
      </c>
      <c r="K27" s="611">
        <v>0</v>
      </c>
      <c r="L27" s="611">
        <v>0</v>
      </c>
      <c r="M27" s="611">
        <v>0</v>
      </c>
      <c r="N27" s="611">
        <v>0</v>
      </c>
      <c r="O27" s="611">
        <v>0</v>
      </c>
      <c r="P27" s="611">
        <v>0</v>
      </c>
      <c r="Q27" s="611">
        <v>0</v>
      </c>
      <c r="R27" s="611">
        <v>0</v>
      </c>
      <c r="S27" s="611">
        <v>0</v>
      </c>
      <c r="T27" s="611">
        <v>6.9775871245462397</v>
      </c>
      <c r="U27" s="619">
        <v>1.6477254432310957</v>
      </c>
      <c r="V27" s="51"/>
    </row>
    <row r="28" spans="3:22" x14ac:dyDescent="0.25">
      <c r="C28" s="618" t="s">
        <v>73</v>
      </c>
      <c r="D28" s="611">
        <v>0</v>
      </c>
      <c r="E28" s="611">
        <v>0</v>
      </c>
      <c r="F28" s="611">
        <v>0</v>
      </c>
      <c r="G28" s="611">
        <v>0</v>
      </c>
      <c r="H28" s="611">
        <v>0</v>
      </c>
      <c r="I28" s="611">
        <v>0</v>
      </c>
      <c r="J28" s="611">
        <v>0</v>
      </c>
      <c r="K28" s="611">
        <v>0</v>
      </c>
      <c r="L28" s="611">
        <v>0</v>
      </c>
      <c r="M28" s="611">
        <v>0</v>
      </c>
      <c r="N28" s="611">
        <v>0</v>
      </c>
      <c r="O28" s="611">
        <v>0</v>
      </c>
      <c r="P28" s="611">
        <v>0</v>
      </c>
      <c r="Q28" s="611">
        <v>0</v>
      </c>
      <c r="R28" s="611">
        <v>42.073823238695233</v>
      </c>
      <c r="S28" s="611">
        <v>0</v>
      </c>
      <c r="T28" s="611">
        <v>-27.789760249158199</v>
      </c>
      <c r="U28" s="619">
        <v>14.284062989537034</v>
      </c>
      <c r="V28" s="51"/>
    </row>
    <row r="29" spans="3:22" x14ac:dyDescent="0.25">
      <c r="C29" s="618" t="s">
        <v>353</v>
      </c>
      <c r="D29" s="611">
        <v>10.559522109374999</v>
      </c>
      <c r="E29" s="611">
        <v>-12.982390208331097</v>
      </c>
      <c r="F29" s="611">
        <v>16.901350191946939</v>
      </c>
      <c r="G29" s="611">
        <v>0</v>
      </c>
      <c r="H29" s="611">
        <v>0</v>
      </c>
      <c r="I29" s="611">
        <v>0</v>
      </c>
      <c r="J29" s="611">
        <v>0</v>
      </c>
      <c r="K29" s="611">
        <v>0</v>
      </c>
      <c r="L29" s="611">
        <v>0</v>
      </c>
      <c r="M29" s="611">
        <v>0</v>
      </c>
      <c r="N29" s="611">
        <v>0</v>
      </c>
      <c r="O29" s="611">
        <v>0</v>
      </c>
      <c r="P29" s="611">
        <v>0</v>
      </c>
      <c r="Q29" s="611">
        <v>0</v>
      </c>
      <c r="R29" s="611">
        <v>0</v>
      </c>
      <c r="S29" s="611">
        <v>0</v>
      </c>
      <c r="T29" s="611">
        <v>0</v>
      </c>
      <c r="U29" s="619">
        <v>14.478482092990841</v>
      </c>
      <c r="V29" s="51"/>
    </row>
    <row r="30" spans="3:22" x14ac:dyDescent="0.25">
      <c r="C30" s="618" t="s">
        <v>75</v>
      </c>
      <c r="D30" s="611">
        <v>4.1064808203125001</v>
      </c>
      <c r="E30" s="611">
        <v>0</v>
      </c>
      <c r="F30" s="611">
        <v>12.729375657811177</v>
      </c>
      <c r="G30" s="611">
        <v>0</v>
      </c>
      <c r="H30" s="611">
        <v>4.2427950511099199</v>
      </c>
      <c r="I30" s="611">
        <v>0</v>
      </c>
      <c r="J30" s="611">
        <v>0</v>
      </c>
      <c r="K30" s="611">
        <v>0</v>
      </c>
      <c r="L30" s="611">
        <v>0</v>
      </c>
      <c r="M30" s="611">
        <v>0</v>
      </c>
      <c r="N30" s="611">
        <v>0</v>
      </c>
      <c r="O30" s="611">
        <v>1.210669024866841</v>
      </c>
      <c r="P30" s="611">
        <v>0</v>
      </c>
      <c r="Q30" s="611">
        <v>0</v>
      </c>
      <c r="R30" s="611">
        <v>59.039710702043344</v>
      </c>
      <c r="S30" s="611">
        <v>0</v>
      </c>
      <c r="T30" s="611">
        <v>0</v>
      </c>
      <c r="U30" s="619">
        <v>81.329031256143779</v>
      </c>
      <c r="V30" s="51"/>
    </row>
    <row r="31" spans="3:22" x14ac:dyDescent="0.25">
      <c r="C31" s="618" t="s">
        <v>76</v>
      </c>
      <c r="D31" s="611">
        <v>0</v>
      </c>
      <c r="E31" s="611">
        <v>0</v>
      </c>
      <c r="F31" s="611">
        <v>0</v>
      </c>
      <c r="G31" s="611">
        <v>0</v>
      </c>
      <c r="H31" s="611">
        <v>2.7648782686353877</v>
      </c>
      <c r="I31" s="611">
        <v>0</v>
      </c>
      <c r="J31" s="611">
        <v>0</v>
      </c>
      <c r="K31" s="611">
        <v>0</v>
      </c>
      <c r="L31" s="611">
        <v>0</v>
      </c>
      <c r="M31" s="611">
        <v>0</v>
      </c>
      <c r="N31" s="611">
        <v>0</v>
      </c>
      <c r="O31" s="611">
        <v>0.78894984015045766</v>
      </c>
      <c r="P31" s="611">
        <v>0</v>
      </c>
      <c r="Q31" s="611">
        <v>0</v>
      </c>
      <c r="R31" s="611">
        <v>49.408876482054545</v>
      </c>
      <c r="S31" s="611">
        <v>5.7965399990832731</v>
      </c>
      <c r="T31" s="611">
        <v>0</v>
      </c>
      <c r="U31" s="619">
        <v>58.759244589923661</v>
      </c>
      <c r="V31" s="51"/>
    </row>
    <row r="32" spans="3:22" x14ac:dyDescent="0.25">
      <c r="C32" s="614" t="s">
        <v>77</v>
      </c>
      <c r="D32" s="615">
        <v>14.666002929687499</v>
      </c>
      <c r="E32" s="615">
        <v>357.09971524729923</v>
      </c>
      <c r="F32" s="615">
        <v>-335.97366979647984</v>
      </c>
      <c r="G32" s="615">
        <v>-5.329861681315144</v>
      </c>
      <c r="H32" s="615">
        <v>61.398646925330809</v>
      </c>
      <c r="I32" s="615">
        <v>-1.5305667943868051</v>
      </c>
      <c r="J32" s="615">
        <v>1149.5641818181819</v>
      </c>
      <c r="K32" s="615">
        <v>271.86081401905926</v>
      </c>
      <c r="L32" s="615">
        <v>324.92423867995728</v>
      </c>
      <c r="M32" s="615">
        <v>16.166820190837264</v>
      </c>
      <c r="N32" s="615">
        <v>-69.330866167337646</v>
      </c>
      <c r="O32" s="615">
        <v>-54.121776677358284</v>
      </c>
      <c r="P32" s="615">
        <v>0</v>
      </c>
      <c r="Q32" s="615">
        <v>11.653335671175533</v>
      </c>
      <c r="R32" s="615">
        <v>-565.80572787713436</v>
      </c>
      <c r="S32" s="615">
        <v>-68.949444583629997</v>
      </c>
      <c r="T32" s="615">
        <v>-18.686385910185841</v>
      </c>
      <c r="U32" s="615">
        <v>1036.7000946649325</v>
      </c>
      <c r="V32" s="51"/>
    </row>
    <row r="33" spans="3:22" x14ac:dyDescent="0.25">
      <c r="C33" s="616"/>
      <c r="D33" s="617"/>
      <c r="E33" s="617"/>
      <c r="F33" s="617"/>
      <c r="G33" s="617"/>
      <c r="H33" s="623"/>
      <c r="I33" s="617"/>
      <c r="J33" s="617"/>
      <c r="K33" s="617"/>
      <c r="L33" s="617"/>
      <c r="M33" s="617"/>
      <c r="N33" s="617"/>
      <c r="O33" s="617"/>
      <c r="P33" s="617"/>
      <c r="Q33" s="617"/>
      <c r="R33" s="617"/>
      <c r="S33" s="617"/>
      <c r="T33" s="617"/>
      <c r="U33" s="617"/>
      <c r="V33" s="51"/>
    </row>
    <row r="34" spans="3:22" x14ac:dyDescent="0.25">
      <c r="C34" s="618" t="s">
        <v>78</v>
      </c>
      <c r="D34" s="611">
        <v>3.6211505206873706</v>
      </c>
      <c r="E34" s="611">
        <v>0</v>
      </c>
      <c r="F34" s="611">
        <v>10.977786664841062</v>
      </c>
      <c r="G34" s="611">
        <v>0</v>
      </c>
      <c r="H34" s="611">
        <v>68.786287212877468</v>
      </c>
      <c r="I34" s="611">
        <v>0</v>
      </c>
      <c r="J34" s="611">
        <v>0</v>
      </c>
      <c r="K34" s="611">
        <v>0</v>
      </c>
      <c r="L34" s="611">
        <v>21.558703212450474</v>
      </c>
      <c r="M34" s="611">
        <v>7.2264532765434186</v>
      </c>
      <c r="N34" s="611">
        <v>1.1431902408607149</v>
      </c>
      <c r="O34" s="611">
        <v>19.659289951979574</v>
      </c>
      <c r="P34" s="611">
        <v>7.7275585937500004</v>
      </c>
      <c r="Q34" s="611">
        <v>6.3863689419622622E-4</v>
      </c>
      <c r="R34" s="611">
        <v>157.82302310235053</v>
      </c>
      <c r="S34" s="611">
        <v>19.724565273985597</v>
      </c>
      <c r="T34" s="611">
        <v>5.5820537109375001</v>
      </c>
      <c r="U34" s="619">
        <v>323.83070039815789</v>
      </c>
      <c r="V34" s="51"/>
    </row>
    <row r="35" spans="3:22" x14ac:dyDescent="0.25">
      <c r="C35" s="618" t="s">
        <v>79</v>
      </c>
      <c r="D35" s="611">
        <v>0</v>
      </c>
      <c r="E35" s="611">
        <v>0</v>
      </c>
      <c r="F35" s="611">
        <v>242.40875758324066</v>
      </c>
      <c r="G35" s="611">
        <v>0.47070091421213178</v>
      </c>
      <c r="H35" s="611">
        <v>5.6712945537201502</v>
      </c>
      <c r="I35" s="611">
        <v>0</v>
      </c>
      <c r="J35" s="611">
        <v>0</v>
      </c>
      <c r="K35" s="611">
        <v>0</v>
      </c>
      <c r="L35" s="611">
        <v>0</v>
      </c>
      <c r="M35" s="611">
        <v>0</v>
      </c>
      <c r="N35" s="611">
        <v>48.1771719361642</v>
      </c>
      <c r="O35" s="611">
        <v>1.6182871348661612</v>
      </c>
      <c r="P35" s="611">
        <v>0</v>
      </c>
      <c r="Q35" s="611">
        <v>0</v>
      </c>
      <c r="R35" s="611">
        <v>51.204779610530323</v>
      </c>
      <c r="S35" s="611">
        <v>0</v>
      </c>
      <c r="T35" s="611">
        <v>1.9274779617440119</v>
      </c>
      <c r="U35" s="619">
        <v>351.47846969447755</v>
      </c>
      <c r="V35" s="51"/>
    </row>
    <row r="36" spans="3:22" x14ac:dyDescent="0.25">
      <c r="C36" s="618" t="s">
        <v>80</v>
      </c>
      <c r="D36" s="611">
        <v>0</v>
      </c>
      <c r="E36" s="611">
        <v>0</v>
      </c>
      <c r="F36" s="611">
        <v>4.7499833734259962</v>
      </c>
      <c r="G36" s="611">
        <v>0</v>
      </c>
      <c r="H36" s="611">
        <v>59.892644640477613</v>
      </c>
      <c r="I36" s="611">
        <v>0</v>
      </c>
      <c r="J36" s="611">
        <v>0</v>
      </c>
      <c r="K36" s="611">
        <v>0</v>
      </c>
      <c r="L36" s="611">
        <v>50.474011716430226</v>
      </c>
      <c r="M36" s="611">
        <v>0</v>
      </c>
      <c r="N36" s="611">
        <v>0</v>
      </c>
      <c r="O36" s="611">
        <v>17.090189087642713</v>
      </c>
      <c r="P36" s="611">
        <v>72.896531078688341</v>
      </c>
      <c r="Q36" s="611">
        <v>2.1388383201796159</v>
      </c>
      <c r="R36" s="611">
        <v>161.07901165495488</v>
      </c>
      <c r="S36" s="611">
        <v>31.017277954172368</v>
      </c>
      <c r="T36" s="611">
        <v>0</v>
      </c>
      <c r="U36" s="619">
        <v>399.33848782597175</v>
      </c>
      <c r="V36" s="51"/>
    </row>
    <row r="37" spans="3:22" x14ac:dyDescent="0.25">
      <c r="C37" s="618" t="s">
        <v>81</v>
      </c>
      <c r="D37" s="611">
        <v>0</v>
      </c>
      <c r="E37" s="611">
        <v>0</v>
      </c>
      <c r="F37" s="611">
        <v>2.7864297325406127</v>
      </c>
      <c r="G37" s="611">
        <v>0</v>
      </c>
      <c r="H37" s="611">
        <v>36.302778501513302</v>
      </c>
      <c r="I37" s="611">
        <v>0</v>
      </c>
      <c r="J37" s="611">
        <v>0</v>
      </c>
      <c r="K37" s="611">
        <v>0</v>
      </c>
      <c r="L37" s="611">
        <v>0.61399999999999999</v>
      </c>
      <c r="M37" s="611">
        <v>0</v>
      </c>
      <c r="N37" s="611">
        <v>0</v>
      </c>
      <c r="O37" s="611">
        <v>10.358890523568064</v>
      </c>
      <c r="P37" s="611">
        <v>36.347020032930843</v>
      </c>
      <c r="Q37" s="611">
        <v>2.8396548179893775</v>
      </c>
      <c r="R37" s="611">
        <v>117.08039522805777</v>
      </c>
      <c r="S37" s="611">
        <v>18.207601355472033</v>
      </c>
      <c r="T37" s="611">
        <v>0</v>
      </c>
      <c r="U37" s="619">
        <v>224.536770192072</v>
      </c>
      <c r="V37" s="51"/>
    </row>
    <row r="38" spans="3:22" x14ac:dyDescent="0.25">
      <c r="C38" s="618" t="s">
        <v>82</v>
      </c>
      <c r="D38" s="611">
        <v>0</v>
      </c>
      <c r="E38" s="611">
        <v>0</v>
      </c>
      <c r="F38" s="611">
        <v>25.282340189092182</v>
      </c>
      <c r="G38" s="611">
        <v>0</v>
      </c>
      <c r="H38" s="611">
        <v>1.5657367161403111</v>
      </c>
      <c r="I38" s="611">
        <v>0</v>
      </c>
      <c r="J38" s="611">
        <v>0</v>
      </c>
      <c r="K38" s="611">
        <v>0</v>
      </c>
      <c r="L38" s="611">
        <v>2.2999999999999998</v>
      </c>
      <c r="M38" s="611">
        <v>0</v>
      </c>
      <c r="N38" s="611">
        <v>7.4083163805079773</v>
      </c>
      <c r="O38" s="611">
        <v>0.4467783431660014</v>
      </c>
      <c r="P38" s="611">
        <v>0.65</v>
      </c>
      <c r="Q38" s="611">
        <v>0.82781531321025892</v>
      </c>
      <c r="R38" s="611">
        <v>7.0454699545110753</v>
      </c>
      <c r="S38" s="611">
        <v>0</v>
      </c>
      <c r="T38" s="611">
        <v>0.27911019493558448</v>
      </c>
      <c r="U38" s="619">
        <v>45.80556709156339</v>
      </c>
      <c r="V38" s="51"/>
    </row>
    <row r="39" spans="3:22" x14ac:dyDescent="0.25">
      <c r="C39" s="618" t="s">
        <v>354</v>
      </c>
      <c r="D39" s="611">
        <v>0</v>
      </c>
      <c r="E39" s="611">
        <v>0</v>
      </c>
      <c r="F39" s="611">
        <v>0</v>
      </c>
      <c r="G39" s="611">
        <v>0</v>
      </c>
      <c r="H39" s="611">
        <v>0</v>
      </c>
      <c r="I39" s="611">
        <v>0</v>
      </c>
      <c r="J39" s="611">
        <v>0</v>
      </c>
      <c r="K39" s="611">
        <v>0</v>
      </c>
      <c r="L39" s="611">
        <v>0</v>
      </c>
      <c r="M39" s="611">
        <v>0</v>
      </c>
      <c r="N39" s="611">
        <v>0</v>
      </c>
      <c r="O39" s="611">
        <v>0</v>
      </c>
      <c r="P39" s="611">
        <v>0</v>
      </c>
      <c r="Q39" s="611">
        <v>0</v>
      </c>
      <c r="R39" s="611">
        <v>0.45696000000000003</v>
      </c>
      <c r="S39" s="611">
        <v>0</v>
      </c>
      <c r="T39" s="611">
        <v>0</v>
      </c>
      <c r="U39" s="619">
        <v>0.45696000000000003</v>
      </c>
      <c r="V39" s="51"/>
    </row>
    <row r="40" spans="3:22" x14ac:dyDescent="0.25">
      <c r="C40" s="614" t="s">
        <v>83</v>
      </c>
      <c r="D40" s="615">
        <v>3.6211505206873706</v>
      </c>
      <c r="E40" s="615">
        <v>0</v>
      </c>
      <c r="F40" s="615">
        <v>286.20529754314049</v>
      </c>
      <c r="G40" s="615">
        <v>0.47070091421213178</v>
      </c>
      <c r="H40" s="615">
        <v>172.21874162472886</v>
      </c>
      <c r="I40" s="615">
        <v>0</v>
      </c>
      <c r="J40" s="615">
        <v>0</v>
      </c>
      <c r="K40" s="615">
        <v>0</v>
      </c>
      <c r="L40" s="615">
        <v>74.946714928880695</v>
      </c>
      <c r="M40" s="615">
        <v>7.2264532765434186</v>
      </c>
      <c r="N40" s="615">
        <v>56.728678557532888</v>
      </c>
      <c r="O40" s="615">
        <v>49.173435041222518</v>
      </c>
      <c r="P40" s="615">
        <v>117.62110970536919</v>
      </c>
      <c r="Q40" s="615">
        <v>5.8069470882734482</v>
      </c>
      <c r="R40" s="615">
        <v>494.68963955040454</v>
      </c>
      <c r="S40" s="615">
        <v>68.949444583629997</v>
      </c>
      <c r="T40" s="615">
        <v>7.7886418676170965</v>
      </c>
      <c r="U40" s="615">
        <v>1345.4469552022426</v>
      </c>
      <c r="V40" s="51"/>
    </row>
    <row r="41" spans="3:22" x14ac:dyDescent="0.25">
      <c r="C41" s="610" t="s">
        <v>84</v>
      </c>
      <c r="D41" s="611">
        <v>0</v>
      </c>
      <c r="E41" s="611">
        <v>0</v>
      </c>
      <c r="F41" s="611">
        <v>113.49672881606593</v>
      </c>
      <c r="G41" s="611">
        <v>1.6270462103343666</v>
      </c>
      <c r="H41" s="611">
        <v>12.092475590286487</v>
      </c>
      <c r="I41" s="611">
        <v>0</v>
      </c>
      <c r="J41" s="611">
        <v>0</v>
      </c>
      <c r="K41" s="611">
        <v>0</v>
      </c>
      <c r="L41" s="611">
        <v>0.18072645297419759</v>
      </c>
      <c r="M41" s="611">
        <v>0</v>
      </c>
      <c r="N41" s="611">
        <v>9.3970858513789164</v>
      </c>
      <c r="O41" s="611">
        <v>3.666174227539674</v>
      </c>
      <c r="P41" s="611">
        <v>0</v>
      </c>
      <c r="Q41" s="611">
        <v>0</v>
      </c>
      <c r="R41" s="611">
        <v>0</v>
      </c>
      <c r="S41" s="611">
        <v>0</v>
      </c>
      <c r="T41" s="611">
        <v>10.115588085643834</v>
      </c>
      <c r="U41" s="619">
        <v>150.57582523422337</v>
      </c>
      <c r="V41" s="51"/>
    </row>
    <row r="42" spans="3:22" x14ac:dyDescent="0.25">
      <c r="C42" s="614" t="s">
        <v>85</v>
      </c>
      <c r="D42" s="615">
        <v>3.6211505206873706</v>
      </c>
      <c r="E42" s="615">
        <v>0</v>
      </c>
      <c r="F42" s="615">
        <v>399.7020263592064</v>
      </c>
      <c r="G42" s="615">
        <v>2.0977471245464985</v>
      </c>
      <c r="H42" s="615">
        <v>184.31121721501535</v>
      </c>
      <c r="I42" s="615">
        <v>0</v>
      </c>
      <c r="J42" s="615">
        <v>0</v>
      </c>
      <c r="K42" s="615">
        <v>0</v>
      </c>
      <c r="L42" s="615">
        <v>75.127441381854894</v>
      </c>
      <c r="M42" s="615">
        <v>7.2264532765434186</v>
      </c>
      <c r="N42" s="615">
        <v>66.125764408911806</v>
      </c>
      <c r="O42" s="615">
        <v>52.839609268762189</v>
      </c>
      <c r="P42" s="615">
        <v>117.62110970536919</v>
      </c>
      <c r="Q42" s="615">
        <v>5.8069470882734482</v>
      </c>
      <c r="R42" s="615">
        <v>494.68963955040454</v>
      </c>
      <c r="S42" s="615">
        <v>68.949444583629997</v>
      </c>
      <c r="T42" s="615">
        <v>17.904229953260931</v>
      </c>
      <c r="U42" s="615">
        <v>1496.0227804364661</v>
      </c>
      <c r="V42" s="51"/>
    </row>
    <row r="43" spans="3:22" x14ac:dyDescent="0.25">
      <c r="C43" s="51"/>
      <c r="D43" s="67">
        <v>0</v>
      </c>
      <c r="E43" s="67">
        <v>0</v>
      </c>
      <c r="F43" s="67">
        <v>0</v>
      </c>
      <c r="G43" s="67">
        <v>0</v>
      </c>
      <c r="H43" s="67">
        <v>0</v>
      </c>
      <c r="I43" s="67">
        <v>0</v>
      </c>
      <c r="J43" s="67">
        <v>0</v>
      </c>
      <c r="K43" s="67">
        <v>0</v>
      </c>
      <c r="L43" s="67">
        <v>0</v>
      </c>
      <c r="M43" s="67">
        <v>-4.9454600867449017E-4</v>
      </c>
      <c r="N43" s="67">
        <v>0</v>
      </c>
      <c r="O43" s="67">
        <v>-1.9984014443252818E-15</v>
      </c>
      <c r="P43" s="67">
        <v>0</v>
      </c>
      <c r="Q43" s="67">
        <v>0</v>
      </c>
      <c r="R43" s="67">
        <v>0</v>
      </c>
      <c r="S43" s="67">
        <v>0</v>
      </c>
      <c r="T43" s="67">
        <v>0</v>
      </c>
      <c r="U43" s="67">
        <v>-4.9454600821263739E-4</v>
      </c>
      <c r="V43" s="51"/>
    </row>
    <row r="44" spans="3:22" x14ac:dyDescent="0.25">
      <c r="C44" s="51"/>
      <c r="D44" s="51"/>
      <c r="E44" s="51"/>
      <c r="F44" s="51"/>
      <c r="G44" s="67"/>
      <c r="H44" s="51"/>
      <c r="I44" s="51"/>
      <c r="J44" s="51"/>
      <c r="K44" s="51"/>
      <c r="L44" s="51"/>
      <c r="M44" s="51"/>
      <c r="N44" s="51"/>
      <c r="O44" s="51"/>
      <c r="P44" s="51"/>
      <c r="Q44" s="51"/>
      <c r="R44" s="51"/>
      <c r="S44" s="51"/>
      <c r="T44" s="51"/>
      <c r="U44" s="51"/>
      <c r="V44" s="51"/>
    </row>
    <row r="45" spans="3:22" x14ac:dyDescent="0.25">
      <c r="C45" s="607" t="s">
        <v>358</v>
      </c>
      <c r="D45" s="606"/>
      <c r="E45" s="606"/>
      <c r="F45" s="606"/>
      <c r="G45" s="682"/>
      <c r="H45" s="606"/>
      <c r="I45" s="606"/>
      <c r="J45" s="606"/>
      <c r="K45" s="606"/>
      <c r="L45" s="606"/>
      <c r="M45" s="606"/>
      <c r="N45" s="606"/>
      <c r="O45" s="606"/>
      <c r="P45" s="606"/>
      <c r="Q45" s="606"/>
      <c r="R45" s="606"/>
      <c r="S45" s="606"/>
      <c r="T45" s="606"/>
      <c r="U45" s="606"/>
      <c r="V45" s="606"/>
    </row>
    <row r="46" spans="3:22" x14ac:dyDescent="0.25">
      <c r="C46" s="51"/>
      <c r="D46" s="51"/>
      <c r="E46" s="51"/>
      <c r="F46" s="51"/>
      <c r="G46" s="67"/>
      <c r="H46" s="51"/>
      <c r="I46" s="51"/>
      <c r="J46" s="51"/>
      <c r="K46" s="51"/>
      <c r="L46" s="51"/>
      <c r="M46" s="51"/>
      <c r="N46" s="51"/>
      <c r="O46" s="51"/>
      <c r="P46" s="51"/>
      <c r="Q46" s="51"/>
      <c r="R46" s="51"/>
      <c r="S46" s="51"/>
      <c r="T46" s="51"/>
      <c r="U46" s="51"/>
      <c r="V46" s="51"/>
    </row>
    <row r="47" spans="3:22" x14ac:dyDescent="0.25">
      <c r="C47" s="764" t="s">
        <v>128</v>
      </c>
      <c r="D47" s="753" t="s">
        <v>42</v>
      </c>
      <c r="E47" s="753" t="s">
        <v>52</v>
      </c>
      <c r="F47" s="753" t="s">
        <v>53</v>
      </c>
      <c r="G47" s="766" t="s">
        <v>482</v>
      </c>
      <c r="H47" s="753" t="s">
        <v>32</v>
      </c>
      <c r="I47" s="753" t="s">
        <v>483</v>
      </c>
      <c r="J47" s="753" t="s">
        <v>20</v>
      </c>
      <c r="K47" s="753" t="s">
        <v>55</v>
      </c>
      <c r="L47" s="761" t="s">
        <v>56</v>
      </c>
      <c r="M47" s="762"/>
      <c r="N47" s="762"/>
      <c r="O47" s="762"/>
      <c r="P47" s="762"/>
      <c r="Q47" s="763"/>
      <c r="R47" s="753" t="s">
        <v>57</v>
      </c>
      <c r="S47" s="753" t="s">
        <v>58</v>
      </c>
      <c r="T47" s="753" t="s">
        <v>31</v>
      </c>
      <c r="U47" s="753" t="s">
        <v>10</v>
      </c>
      <c r="V47" s="51"/>
    </row>
    <row r="48" spans="3:22" ht="36" x14ac:dyDescent="0.25">
      <c r="C48" s="765"/>
      <c r="D48" s="754"/>
      <c r="E48" s="754"/>
      <c r="F48" s="754"/>
      <c r="G48" s="767"/>
      <c r="H48" s="754"/>
      <c r="I48" s="754"/>
      <c r="J48" s="754"/>
      <c r="K48" s="754"/>
      <c r="L48" s="608" t="s">
        <v>335</v>
      </c>
      <c r="M48" s="608" t="s">
        <v>40</v>
      </c>
      <c r="N48" s="608" t="s">
        <v>343</v>
      </c>
      <c r="O48" s="608" t="s">
        <v>344</v>
      </c>
      <c r="P48" s="609" t="s">
        <v>345</v>
      </c>
      <c r="Q48" s="608" t="s">
        <v>346</v>
      </c>
      <c r="R48" s="754"/>
      <c r="S48" s="754"/>
      <c r="T48" s="754"/>
      <c r="U48" s="754"/>
      <c r="V48" s="51"/>
    </row>
    <row r="49" spans="3:22" x14ac:dyDescent="0.25">
      <c r="C49" s="610" t="s">
        <v>59</v>
      </c>
      <c r="D49" s="611">
        <v>0</v>
      </c>
      <c r="E49" s="611">
        <v>5.8150000000000004</v>
      </c>
      <c r="F49" s="611">
        <v>0</v>
      </c>
      <c r="G49" s="611">
        <v>0</v>
      </c>
      <c r="H49" s="611">
        <v>9.3040000000000012E-2</v>
      </c>
      <c r="I49" s="611">
        <v>0</v>
      </c>
      <c r="J49" s="612">
        <v>1142.8003999999999</v>
      </c>
      <c r="K49" s="612">
        <v>315.61624303705946</v>
      </c>
      <c r="L49" s="612">
        <v>374.39851983069684</v>
      </c>
      <c r="M49" s="612">
        <v>21.729144477324894</v>
      </c>
      <c r="N49" s="611">
        <v>1.5151391983163085</v>
      </c>
      <c r="O49" s="611">
        <v>0.16086233431790645</v>
      </c>
      <c r="P49" s="612">
        <v>135.24093356373385</v>
      </c>
      <c r="Q49" s="612">
        <v>19.433298638078622</v>
      </c>
      <c r="R49" s="611">
        <v>0</v>
      </c>
      <c r="S49" s="611">
        <v>0</v>
      </c>
      <c r="T49" s="611">
        <v>0</v>
      </c>
      <c r="U49" s="613">
        <v>2016.802581079528</v>
      </c>
      <c r="V49" s="51"/>
    </row>
    <row r="50" spans="3:22" x14ac:dyDescent="0.25">
      <c r="C50" s="610" t="s">
        <v>60</v>
      </c>
      <c r="D50" s="611">
        <v>14.997589528810048</v>
      </c>
      <c r="E50" s="611">
        <v>317.6831579468477</v>
      </c>
      <c r="F50" s="611">
        <v>90.859411867227635</v>
      </c>
      <c r="G50" s="611">
        <v>0.4482168453037243</v>
      </c>
      <c r="H50" s="611">
        <v>195.90969664168796</v>
      </c>
      <c r="I50" s="611">
        <v>0</v>
      </c>
      <c r="J50" s="611">
        <v>0</v>
      </c>
      <c r="K50" s="611">
        <v>0</v>
      </c>
      <c r="L50" s="611">
        <v>3.3497189577114872</v>
      </c>
      <c r="M50" s="611">
        <v>0</v>
      </c>
      <c r="N50" s="611">
        <v>4.4724851738797717</v>
      </c>
      <c r="O50" s="611">
        <v>0</v>
      </c>
      <c r="P50" s="611">
        <v>0</v>
      </c>
      <c r="Q50" s="611">
        <v>0</v>
      </c>
      <c r="R50" s="611">
        <v>0</v>
      </c>
      <c r="S50" s="611">
        <v>0</v>
      </c>
      <c r="T50" s="611">
        <v>0</v>
      </c>
      <c r="U50" s="613">
        <v>627.72027696146836</v>
      </c>
      <c r="V50" s="51"/>
    </row>
    <row r="51" spans="3:22" x14ac:dyDescent="0.25">
      <c r="C51" s="610" t="s">
        <v>61</v>
      </c>
      <c r="D51" s="611">
        <v>0</v>
      </c>
      <c r="E51" s="611">
        <v>0</v>
      </c>
      <c r="F51" s="611">
        <v>3.6514365086121643</v>
      </c>
      <c r="G51" s="611">
        <v>0</v>
      </c>
      <c r="H51" s="611">
        <v>0</v>
      </c>
      <c r="I51" s="611">
        <v>0</v>
      </c>
      <c r="J51" s="611">
        <v>0</v>
      </c>
      <c r="K51" s="611">
        <v>0</v>
      </c>
      <c r="L51" s="611">
        <v>0</v>
      </c>
      <c r="M51" s="611">
        <v>0</v>
      </c>
      <c r="N51" s="611">
        <v>0</v>
      </c>
      <c r="O51" s="611">
        <v>0</v>
      </c>
      <c r="P51" s="611">
        <v>0</v>
      </c>
      <c r="Q51" s="611">
        <v>0</v>
      </c>
      <c r="R51" s="611">
        <v>-70.564869909311255</v>
      </c>
      <c r="S51" s="611">
        <v>0</v>
      </c>
      <c r="T51" s="611">
        <v>0</v>
      </c>
      <c r="U51" s="613">
        <v>-66.913433400699091</v>
      </c>
      <c r="V51" s="51"/>
    </row>
    <row r="52" spans="3:22" x14ac:dyDescent="0.25">
      <c r="C52" s="610" t="s">
        <v>62</v>
      </c>
      <c r="D52" s="611">
        <v>0</v>
      </c>
      <c r="E52" s="611">
        <v>0</v>
      </c>
      <c r="F52" s="611">
        <v>-9.1493668545845033</v>
      </c>
      <c r="G52" s="611">
        <v>-2.0808213366588695</v>
      </c>
      <c r="H52" s="611">
        <v>-1.1134427375085565</v>
      </c>
      <c r="I52" s="611">
        <v>-2.1621292756423931</v>
      </c>
      <c r="J52" s="611">
        <v>0</v>
      </c>
      <c r="K52" s="611">
        <v>0</v>
      </c>
      <c r="L52" s="611">
        <v>0</v>
      </c>
      <c r="M52" s="611">
        <v>0</v>
      </c>
      <c r="N52" s="611">
        <v>-1.0958595241258173</v>
      </c>
      <c r="O52" s="611">
        <v>-1.719780201472068</v>
      </c>
      <c r="P52" s="611">
        <v>0</v>
      </c>
      <c r="Q52" s="611">
        <v>0</v>
      </c>
      <c r="R52" s="611">
        <v>0</v>
      </c>
      <c r="S52" s="611">
        <v>0</v>
      </c>
      <c r="T52" s="611">
        <v>-0.65033681124791309</v>
      </c>
      <c r="U52" s="613">
        <v>-17.971736741240122</v>
      </c>
      <c r="V52" s="51"/>
    </row>
    <row r="53" spans="3:22" x14ac:dyDescent="0.25">
      <c r="C53" s="610" t="s">
        <v>63</v>
      </c>
      <c r="D53" s="611">
        <v>0</v>
      </c>
      <c r="E53" s="611">
        <v>0</v>
      </c>
      <c r="F53" s="611">
        <v>-54.941446945210977</v>
      </c>
      <c r="G53" s="611">
        <v>-3.5033200830683109</v>
      </c>
      <c r="H53" s="611">
        <v>0</v>
      </c>
      <c r="I53" s="611">
        <v>0</v>
      </c>
      <c r="J53" s="611">
        <v>0</v>
      </c>
      <c r="K53" s="611">
        <v>0</v>
      </c>
      <c r="L53" s="611">
        <v>0</v>
      </c>
      <c r="M53" s="611">
        <v>0</v>
      </c>
      <c r="N53" s="611">
        <v>-10.509960249204934</v>
      </c>
      <c r="O53" s="611">
        <v>0</v>
      </c>
      <c r="P53" s="611">
        <v>0</v>
      </c>
      <c r="Q53" s="611">
        <v>0</v>
      </c>
      <c r="R53" s="611">
        <v>0</v>
      </c>
      <c r="S53" s="611">
        <v>0</v>
      </c>
      <c r="T53" s="611">
        <v>-0.56546152229300228</v>
      </c>
      <c r="U53" s="613">
        <v>-69.52018879977723</v>
      </c>
      <c r="V53" s="51"/>
    </row>
    <row r="54" spans="3:22" x14ac:dyDescent="0.25">
      <c r="C54" s="610" t="s">
        <v>64</v>
      </c>
      <c r="D54" s="611">
        <v>0</v>
      </c>
      <c r="E54" s="611">
        <v>0</v>
      </c>
      <c r="F54" s="611">
        <v>0</v>
      </c>
      <c r="G54" s="611">
        <v>0</v>
      </c>
      <c r="H54" s="611">
        <v>0</v>
      </c>
      <c r="I54" s="611">
        <v>0</v>
      </c>
      <c r="J54" s="611">
        <v>0</v>
      </c>
      <c r="K54" s="611">
        <v>0</v>
      </c>
      <c r="L54" s="611">
        <v>0</v>
      </c>
      <c r="M54" s="611">
        <v>0</v>
      </c>
      <c r="N54" s="611">
        <v>0</v>
      </c>
      <c r="O54" s="611">
        <v>0</v>
      </c>
      <c r="P54" s="611">
        <v>0</v>
      </c>
      <c r="Q54" s="611">
        <v>0</v>
      </c>
      <c r="R54" s="611">
        <v>0</v>
      </c>
      <c r="S54" s="611">
        <v>0</v>
      </c>
      <c r="T54" s="611">
        <v>0</v>
      </c>
      <c r="U54" s="613">
        <v>0</v>
      </c>
      <c r="V54" s="51"/>
    </row>
    <row r="55" spans="3:22" x14ac:dyDescent="0.25">
      <c r="C55" s="614" t="s">
        <v>65</v>
      </c>
      <c r="D55" s="615">
        <v>14.997589528810048</v>
      </c>
      <c r="E55" s="615">
        <v>323.4981579468477</v>
      </c>
      <c r="F55" s="615">
        <v>30.420034576044323</v>
      </c>
      <c r="G55" s="615">
        <v>-5.1359245744234556</v>
      </c>
      <c r="H55" s="615">
        <v>194.8892939041794</v>
      </c>
      <c r="I55" s="615">
        <v>-2.1621292756423931</v>
      </c>
      <c r="J55" s="615">
        <v>1142.8003999999999</v>
      </c>
      <c r="K55" s="615">
        <v>315.61624303705946</v>
      </c>
      <c r="L55" s="615">
        <v>377.74823878840834</v>
      </c>
      <c r="M55" s="615">
        <v>21.729144477324894</v>
      </c>
      <c r="N55" s="615">
        <v>-5.6181954011346704</v>
      </c>
      <c r="O55" s="615">
        <v>-1.5589178671541615</v>
      </c>
      <c r="P55" s="615">
        <v>135.24093356373385</v>
      </c>
      <c r="Q55" s="615">
        <v>19.433298638078622</v>
      </c>
      <c r="R55" s="615">
        <v>-70.564869909311255</v>
      </c>
      <c r="S55" s="615">
        <v>0</v>
      </c>
      <c r="T55" s="615">
        <v>-1.2157983335409153</v>
      </c>
      <c r="U55" s="615">
        <v>2490.1174990992799</v>
      </c>
      <c r="V55" s="51"/>
    </row>
    <row r="56" spans="3:22" x14ac:dyDescent="0.25">
      <c r="C56" s="616"/>
      <c r="D56" s="617"/>
      <c r="E56" s="617"/>
      <c r="F56" s="617"/>
      <c r="G56" s="617"/>
      <c r="H56" s="623"/>
      <c r="I56" s="617"/>
      <c r="J56" s="617"/>
      <c r="K56" s="617"/>
      <c r="L56" s="617"/>
      <c r="M56" s="617"/>
      <c r="N56" s="617"/>
      <c r="O56" s="617"/>
      <c r="P56" s="617"/>
      <c r="Q56" s="617"/>
      <c r="R56" s="617"/>
      <c r="S56" s="617"/>
      <c r="T56" s="617"/>
      <c r="U56" s="617"/>
      <c r="V56" s="51"/>
    </row>
    <row r="57" spans="3:22" x14ac:dyDescent="0.25">
      <c r="C57" s="618" t="s">
        <v>67</v>
      </c>
      <c r="D57" s="611">
        <v>0</v>
      </c>
      <c r="E57" s="611">
        <v>0</v>
      </c>
      <c r="F57" s="611">
        <v>0</v>
      </c>
      <c r="G57" s="611">
        <v>0</v>
      </c>
      <c r="H57" s="611">
        <v>0</v>
      </c>
      <c r="I57" s="611">
        <v>0</v>
      </c>
      <c r="J57" s="611">
        <v>0</v>
      </c>
      <c r="K57" s="611">
        <v>0</v>
      </c>
      <c r="L57" s="611">
        <v>0</v>
      </c>
      <c r="M57" s="611">
        <v>0</v>
      </c>
      <c r="N57" s="611">
        <v>0</v>
      </c>
      <c r="O57" s="611">
        <v>0</v>
      </c>
      <c r="P57" s="611">
        <v>0</v>
      </c>
      <c r="Q57" s="611">
        <v>0</v>
      </c>
      <c r="R57" s="611">
        <v>0</v>
      </c>
      <c r="S57" s="611">
        <v>0</v>
      </c>
      <c r="T57" s="611">
        <v>0</v>
      </c>
      <c r="U57" s="619">
        <v>0</v>
      </c>
      <c r="V57" s="51"/>
    </row>
    <row r="58" spans="3:22" x14ac:dyDescent="0.25">
      <c r="C58" s="618" t="s">
        <v>347</v>
      </c>
      <c r="D58" s="611">
        <v>0</v>
      </c>
      <c r="E58" s="611">
        <v>0</v>
      </c>
      <c r="F58" s="611">
        <v>0.802217285608815</v>
      </c>
      <c r="G58" s="611">
        <v>0</v>
      </c>
      <c r="H58" s="611">
        <v>34.006086400000001</v>
      </c>
      <c r="I58" s="611">
        <v>0</v>
      </c>
      <c r="J58" s="611">
        <v>1142.8003999999999</v>
      </c>
      <c r="K58" s="611">
        <v>315.61624303705946</v>
      </c>
      <c r="L58" s="611">
        <v>23.835409314292445</v>
      </c>
      <c r="M58" s="611">
        <v>0.59779215197206559</v>
      </c>
      <c r="N58" s="611">
        <v>5.0291337303525587</v>
      </c>
      <c r="O58" s="611">
        <v>11.448434017818721</v>
      </c>
      <c r="P58" s="611">
        <v>0</v>
      </c>
      <c r="Q58" s="611">
        <v>2.7943993103273139</v>
      </c>
      <c r="R58" s="611">
        <v>-757.64688965301764</v>
      </c>
      <c r="S58" s="611">
        <v>0</v>
      </c>
      <c r="T58" s="611">
        <v>0</v>
      </c>
      <c r="U58" s="619">
        <v>779.28322559441347</v>
      </c>
      <c r="V58" s="51"/>
    </row>
    <row r="59" spans="3:22" x14ac:dyDescent="0.25">
      <c r="C59" s="618" t="s">
        <v>348</v>
      </c>
      <c r="D59" s="611">
        <v>0</v>
      </c>
      <c r="E59" s="611">
        <v>0</v>
      </c>
      <c r="F59" s="611">
        <v>0</v>
      </c>
      <c r="G59" s="611">
        <v>0</v>
      </c>
      <c r="H59" s="611">
        <v>12.051558414362514</v>
      </c>
      <c r="I59" s="611">
        <v>0</v>
      </c>
      <c r="J59" s="611">
        <v>0</v>
      </c>
      <c r="K59" s="611">
        <v>0</v>
      </c>
      <c r="L59" s="611">
        <v>34.958460935332894</v>
      </c>
      <c r="M59" s="611">
        <v>14.0272998093773</v>
      </c>
      <c r="N59" s="611">
        <v>0</v>
      </c>
      <c r="O59" s="611">
        <v>4.0310107980471637</v>
      </c>
      <c r="P59" s="611">
        <v>0</v>
      </c>
      <c r="Q59" s="611">
        <v>10.486182465403838</v>
      </c>
      <c r="R59" s="611">
        <v>0</v>
      </c>
      <c r="S59" s="611">
        <v>-69.379169378424834</v>
      </c>
      <c r="T59" s="611">
        <v>0</v>
      </c>
      <c r="U59" s="619">
        <v>6.1753430440988808</v>
      </c>
      <c r="V59" s="51"/>
    </row>
    <row r="60" spans="3:22" x14ac:dyDescent="0.25">
      <c r="C60" s="618" t="s">
        <v>349</v>
      </c>
      <c r="D60" s="611">
        <v>0</v>
      </c>
      <c r="E60" s="611">
        <v>0</v>
      </c>
      <c r="F60" s="611">
        <v>0</v>
      </c>
      <c r="G60" s="611">
        <v>0</v>
      </c>
      <c r="H60" s="611">
        <v>0</v>
      </c>
      <c r="I60" s="611">
        <v>0</v>
      </c>
      <c r="J60" s="611">
        <v>0</v>
      </c>
      <c r="K60" s="611">
        <v>0</v>
      </c>
      <c r="L60" s="611">
        <v>79.871600609491523</v>
      </c>
      <c r="M60" s="611">
        <v>0</v>
      </c>
      <c r="N60" s="611">
        <v>0</v>
      </c>
      <c r="O60" s="611">
        <v>-72.76063888039937</v>
      </c>
      <c r="P60" s="611">
        <v>0</v>
      </c>
      <c r="Q60" s="611">
        <v>0</v>
      </c>
      <c r="R60" s="611">
        <v>0</v>
      </c>
      <c r="S60" s="611">
        <v>0</v>
      </c>
      <c r="T60" s="611">
        <v>0</v>
      </c>
      <c r="U60" s="619">
        <v>7.1109617290921534</v>
      </c>
      <c r="V60" s="51"/>
    </row>
    <row r="61" spans="3:22" x14ac:dyDescent="0.25">
      <c r="C61" s="618" t="s">
        <v>350</v>
      </c>
      <c r="D61" s="611">
        <v>0</v>
      </c>
      <c r="E61" s="611">
        <v>0</v>
      </c>
      <c r="F61" s="611">
        <v>0</v>
      </c>
      <c r="G61" s="611">
        <v>0</v>
      </c>
      <c r="H61" s="611">
        <v>0</v>
      </c>
      <c r="I61" s="611">
        <v>-2.1621292756423931</v>
      </c>
      <c r="J61" s="611">
        <v>0</v>
      </c>
      <c r="K61" s="611">
        <v>0</v>
      </c>
      <c r="L61" s="611">
        <v>0</v>
      </c>
      <c r="M61" s="611">
        <v>0</v>
      </c>
      <c r="N61" s="611">
        <v>0</v>
      </c>
      <c r="O61" s="611">
        <v>0</v>
      </c>
      <c r="P61" s="611">
        <v>0</v>
      </c>
      <c r="Q61" s="611">
        <v>0</v>
      </c>
      <c r="R61" s="611">
        <v>0</v>
      </c>
      <c r="S61" s="611">
        <v>0</v>
      </c>
      <c r="T61" s="611">
        <v>3.0029573272811017</v>
      </c>
      <c r="U61" s="619">
        <v>0.84082805163870855</v>
      </c>
      <c r="V61" s="51"/>
    </row>
    <row r="62" spans="3:22" x14ac:dyDescent="0.25">
      <c r="C62" s="618" t="s">
        <v>72</v>
      </c>
      <c r="D62" s="611">
        <v>0</v>
      </c>
      <c r="E62" s="611">
        <v>335.24810979182712</v>
      </c>
      <c r="F62" s="611">
        <v>-331.90898271273255</v>
      </c>
      <c r="G62" s="611">
        <v>0</v>
      </c>
      <c r="H62" s="611">
        <v>0</v>
      </c>
      <c r="I62" s="611">
        <v>0</v>
      </c>
      <c r="J62" s="611">
        <v>0</v>
      </c>
      <c r="K62" s="611">
        <v>0</v>
      </c>
      <c r="L62" s="611">
        <v>0</v>
      </c>
      <c r="M62" s="611">
        <v>0</v>
      </c>
      <c r="N62" s="611">
        <v>0</v>
      </c>
      <c r="O62" s="611">
        <v>0</v>
      </c>
      <c r="P62" s="611">
        <v>0</v>
      </c>
      <c r="Q62" s="611">
        <v>0</v>
      </c>
      <c r="R62" s="611">
        <v>0</v>
      </c>
      <c r="S62" s="611">
        <v>0</v>
      </c>
      <c r="T62" s="611">
        <v>0</v>
      </c>
      <c r="U62" s="619">
        <v>3.3391270790945669</v>
      </c>
      <c r="V62" s="51"/>
    </row>
    <row r="63" spans="3:22" x14ac:dyDescent="0.25">
      <c r="C63" s="618" t="s">
        <v>351</v>
      </c>
      <c r="D63" s="611">
        <v>0</v>
      </c>
      <c r="E63" s="611">
        <v>0</v>
      </c>
      <c r="F63" s="611">
        <v>0</v>
      </c>
      <c r="G63" s="611">
        <v>0</v>
      </c>
      <c r="H63" s="611">
        <v>0</v>
      </c>
      <c r="I63" s="611">
        <v>0</v>
      </c>
      <c r="J63" s="611">
        <v>0</v>
      </c>
      <c r="K63" s="611">
        <v>0</v>
      </c>
      <c r="L63" s="611">
        <v>163.94028019262709</v>
      </c>
      <c r="M63" s="611">
        <v>0</v>
      </c>
      <c r="N63" s="611">
        <v>-90.167154105944903</v>
      </c>
      <c r="O63" s="611">
        <v>0</v>
      </c>
      <c r="P63" s="611">
        <v>0</v>
      </c>
      <c r="Q63" s="611">
        <v>0</v>
      </c>
      <c r="R63" s="611">
        <v>0</v>
      </c>
      <c r="S63" s="611">
        <v>0</v>
      </c>
      <c r="T63" s="611">
        <v>0</v>
      </c>
      <c r="U63" s="619">
        <v>73.773126086682183</v>
      </c>
      <c r="V63" s="51"/>
    </row>
    <row r="64" spans="3:22" x14ac:dyDescent="0.25">
      <c r="C64" s="618" t="s">
        <v>352</v>
      </c>
      <c r="D64" s="611">
        <v>0</v>
      </c>
      <c r="E64" s="611">
        <v>0</v>
      </c>
      <c r="F64" s="611">
        <v>0</v>
      </c>
      <c r="G64" s="611">
        <v>-7.5393332523643162</v>
      </c>
      <c r="H64" s="611">
        <v>0</v>
      </c>
      <c r="I64" s="611">
        <v>0</v>
      </c>
      <c r="J64" s="611">
        <v>0</v>
      </c>
      <c r="K64" s="611">
        <v>0</v>
      </c>
      <c r="L64" s="611">
        <v>0</v>
      </c>
      <c r="M64" s="611">
        <v>0</v>
      </c>
      <c r="N64" s="611">
        <v>0</v>
      </c>
      <c r="O64" s="611">
        <v>0</v>
      </c>
      <c r="P64" s="611">
        <v>0</v>
      </c>
      <c r="Q64" s="611">
        <v>0</v>
      </c>
      <c r="R64" s="611">
        <v>0</v>
      </c>
      <c r="S64" s="611">
        <v>0</v>
      </c>
      <c r="T64" s="611">
        <v>9.8694251246207116</v>
      </c>
      <c r="U64" s="619">
        <v>2.3300918722563955</v>
      </c>
      <c r="V64" s="51"/>
    </row>
    <row r="65" spans="3:22" x14ac:dyDescent="0.25">
      <c r="C65" s="618" t="s">
        <v>73</v>
      </c>
      <c r="D65" s="611">
        <v>0</v>
      </c>
      <c r="E65" s="611">
        <v>0</v>
      </c>
      <c r="F65" s="611">
        <v>0</v>
      </c>
      <c r="G65" s="611">
        <v>0</v>
      </c>
      <c r="H65" s="611">
        <v>0</v>
      </c>
      <c r="I65" s="611">
        <v>0</v>
      </c>
      <c r="J65" s="611">
        <v>0</v>
      </c>
      <c r="K65" s="611">
        <v>0</v>
      </c>
      <c r="L65" s="611">
        <v>0</v>
      </c>
      <c r="M65" s="611">
        <v>0</v>
      </c>
      <c r="N65" s="611">
        <v>0</v>
      </c>
      <c r="O65" s="611">
        <v>0</v>
      </c>
      <c r="P65" s="611">
        <v>0</v>
      </c>
      <c r="Q65" s="611">
        <v>0</v>
      </c>
      <c r="R65" s="611">
        <v>60.125996710882241</v>
      </c>
      <c r="S65" s="611">
        <v>0</v>
      </c>
      <c r="T65" s="611">
        <v>-40.134102804513894</v>
      </c>
      <c r="U65" s="619">
        <v>19.991893906368347</v>
      </c>
      <c r="V65" s="51"/>
    </row>
    <row r="66" spans="3:22" x14ac:dyDescent="0.25">
      <c r="C66" s="618" t="s">
        <v>353</v>
      </c>
      <c r="D66" s="611">
        <v>8.1657801562499994</v>
      </c>
      <c r="E66" s="611">
        <v>-11.749951844979407</v>
      </c>
      <c r="F66" s="611">
        <v>15.302006125146733</v>
      </c>
      <c r="G66" s="611">
        <v>0</v>
      </c>
      <c r="H66" s="611">
        <v>0</v>
      </c>
      <c r="I66" s="611">
        <v>0</v>
      </c>
      <c r="J66" s="611">
        <v>0</v>
      </c>
      <c r="K66" s="611">
        <v>0</v>
      </c>
      <c r="L66" s="611">
        <v>0</v>
      </c>
      <c r="M66" s="611">
        <v>0</v>
      </c>
      <c r="N66" s="611">
        <v>0</v>
      </c>
      <c r="O66" s="611">
        <v>0</v>
      </c>
      <c r="P66" s="611">
        <v>0</v>
      </c>
      <c r="Q66" s="611">
        <v>0</v>
      </c>
      <c r="R66" s="611">
        <v>0</v>
      </c>
      <c r="S66" s="611">
        <v>0</v>
      </c>
      <c r="T66" s="611">
        <v>0</v>
      </c>
      <c r="U66" s="619">
        <v>11.717834436417325</v>
      </c>
      <c r="V66" s="51"/>
    </row>
    <row r="67" spans="3:22" x14ac:dyDescent="0.25">
      <c r="C67" s="618" t="s">
        <v>75</v>
      </c>
      <c r="D67" s="611">
        <v>3.1755811718750002</v>
      </c>
      <c r="E67" s="611">
        <v>0</v>
      </c>
      <c r="F67" s="611">
        <v>11.521572645855153</v>
      </c>
      <c r="G67" s="611">
        <v>0</v>
      </c>
      <c r="H67" s="611">
        <v>3.9220454388203256</v>
      </c>
      <c r="I67" s="611">
        <v>0</v>
      </c>
      <c r="J67" s="611">
        <v>0</v>
      </c>
      <c r="K67" s="611">
        <v>0</v>
      </c>
      <c r="L67" s="611">
        <v>0</v>
      </c>
      <c r="M67" s="611">
        <v>0</v>
      </c>
      <c r="N67" s="611">
        <v>0</v>
      </c>
      <c r="O67" s="611">
        <v>1.4506195458650522</v>
      </c>
      <c r="P67" s="611">
        <v>0</v>
      </c>
      <c r="Q67" s="611">
        <v>0</v>
      </c>
      <c r="R67" s="611">
        <v>60.761806133767948</v>
      </c>
      <c r="S67" s="611">
        <v>0</v>
      </c>
      <c r="T67" s="611">
        <v>0</v>
      </c>
      <c r="U67" s="619">
        <v>80.831624936183488</v>
      </c>
      <c r="V67" s="51"/>
    </row>
    <row r="68" spans="3:22" x14ac:dyDescent="0.25">
      <c r="C68" s="618" t="s">
        <v>76</v>
      </c>
      <c r="D68" s="611">
        <v>0</v>
      </c>
      <c r="E68" s="611">
        <v>0</v>
      </c>
      <c r="F68" s="611">
        <v>0</v>
      </c>
      <c r="G68" s="611">
        <v>0</v>
      </c>
      <c r="H68" s="611">
        <v>2.1646233655533069</v>
      </c>
      <c r="I68" s="611">
        <v>0</v>
      </c>
      <c r="J68" s="611">
        <v>0</v>
      </c>
      <c r="K68" s="611">
        <v>0</v>
      </c>
      <c r="L68" s="611">
        <v>0</v>
      </c>
      <c r="M68" s="611">
        <v>0</v>
      </c>
      <c r="N68" s="611">
        <v>0</v>
      </c>
      <c r="O68" s="611">
        <v>0.80061412150601763</v>
      </c>
      <c r="P68" s="611">
        <v>0</v>
      </c>
      <c r="Q68" s="611">
        <v>0</v>
      </c>
      <c r="R68" s="611">
        <v>52.612079167713944</v>
      </c>
      <c r="S68" s="611">
        <v>5.3807290074301646</v>
      </c>
      <c r="T68" s="611">
        <v>0</v>
      </c>
      <c r="U68" s="619">
        <v>60.958045662203432</v>
      </c>
      <c r="V68" s="51"/>
    </row>
    <row r="69" spans="3:22" x14ac:dyDescent="0.25">
      <c r="C69" s="614" t="s">
        <v>77</v>
      </c>
      <c r="D69" s="615">
        <v>11.341361328125</v>
      </c>
      <c r="E69" s="615">
        <v>323.4981579468477</v>
      </c>
      <c r="F69" s="615">
        <v>-304.28318665612187</v>
      </c>
      <c r="G69" s="615">
        <v>-7.5393332523643162</v>
      </c>
      <c r="H69" s="615">
        <v>52.144313618736149</v>
      </c>
      <c r="I69" s="615">
        <v>-2.1621292756423931</v>
      </c>
      <c r="J69" s="615">
        <v>1142.8003999999999</v>
      </c>
      <c r="K69" s="615">
        <v>315.61624303705946</v>
      </c>
      <c r="L69" s="615">
        <v>302.60575105174394</v>
      </c>
      <c r="M69" s="615">
        <v>14.625091961349366</v>
      </c>
      <c r="N69" s="615">
        <v>-85.138020375592347</v>
      </c>
      <c r="O69" s="615">
        <v>-55.029960397162412</v>
      </c>
      <c r="P69" s="615">
        <v>0</v>
      </c>
      <c r="Q69" s="615">
        <v>13.280581775731152</v>
      </c>
      <c r="R69" s="615">
        <v>-584.14700764065356</v>
      </c>
      <c r="S69" s="615">
        <v>-63.998440370994672</v>
      </c>
      <c r="T69" s="615">
        <v>-27.26172035261208</v>
      </c>
      <c r="U69" s="615">
        <v>1046.352102398449</v>
      </c>
      <c r="V69" s="51"/>
    </row>
    <row r="70" spans="3:22" x14ac:dyDescent="0.25">
      <c r="C70" s="616"/>
      <c r="D70" s="617"/>
      <c r="E70" s="617"/>
      <c r="F70" s="617"/>
      <c r="G70" s="617"/>
      <c r="H70" s="623"/>
      <c r="I70" s="617"/>
      <c r="J70" s="617"/>
      <c r="K70" s="617"/>
      <c r="L70" s="617"/>
      <c r="M70" s="617"/>
      <c r="N70" s="617"/>
      <c r="O70" s="617"/>
      <c r="P70" s="617"/>
      <c r="Q70" s="617"/>
      <c r="R70" s="617"/>
      <c r="S70" s="617"/>
      <c r="T70" s="617"/>
      <c r="U70" s="617"/>
      <c r="V70" s="51"/>
    </row>
    <row r="71" spans="3:22" x14ac:dyDescent="0.25">
      <c r="C71" s="618" t="s">
        <v>78</v>
      </c>
      <c r="D71" s="611">
        <v>3.6562282006850468</v>
      </c>
      <c r="E71" s="611">
        <v>0</v>
      </c>
      <c r="F71" s="611">
        <v>9.7376785306283384</v>
      </c>
      <c r="G71" s="611">
        <v>0</v>
      </c>
      <c r="H71" s="611">
        <v>61.385022781931873</v>
      </c>
      <c r="I71" s="611">
        <v>0</v>
      </c>
      <c r="J71" s="611">
        <v>0</v>
      </c>
      <c r="K71" s="611">
        <v>0</v>
      </c>
      <c r="L71" s="611">
        <v>21.686124483212218</v>
      </c>
      <c r="M71" s="611">
        <v>7.1035846364336246</v>
      </c>
      <c r="N71" s="611">
        <v>1.1432225445669904</v>
      </c>
      <c r="O71" s="611">
        <v>22.738015311990583</v>
      </c>
      <c r="P71" s="611">
        <v>9.2526142578124997</v>
      </c>
      <c r="Q71" s="611">
        <v>6.9244826847420892E-4</v>
      </c>
      <c r="R71" s="611">
        <v>162.27713271483609</v>
      </c>
      <c r="S71" s="611">
        <v>19.928077987492124</v>
      </c>
      <c r="T71" s="611">
        <v>7.1014345703124997</v>
      </c>
      <c r="U71" s="619">
        <v>326.00982846817038</v>
      </c>
      <c r="V71" s="51"/>
    </row>
    <row r="72" spans="3:22" x14ac:dyDescent="0.25">
      <c r="C72" s="618" t="s">
        <v>79</v>
      </c>
      <c r="D72" s="611">
        <v>0</v>
      </c>
      <c r="E72" s="611">
        <v>0</v>
      </c>
      <c r="F72" s="611">
        <v>192.91287296266353</v>
      </c>
      <c r="G72" s="611">
        <v>0.64331320573206352</v>
      </c>
      <c r="H72" s="611">
        <v>5.6449684818952051</v>
      </c>
      <c r="I72" s="611">
        <v>0</v>
      </c>
      <c r="J72" s="611">
        <v>0</v>
      </c>
      <c r="K72" s="611">
        <v>0</v>
      </c>
      <c r="L72" s="611">
        <v>0</v>
      </c>
      <c r="M72" s="611">
        <v>0</v>
      </c>
      <c r="N72" s="611">
        <v>55.124968461757305</v>
      </c>
      <c r="O72" s="611">
        <v>2.0878650549475419</v>
      </c>
      <c r="P72" s="611">
        <v>0</v>
      </c>
      <c r="Q72" s="611">
        <v>0</v>
      </c>
      <c r="R72" s="611">
        <v>62.922987609450331</v>
      </c>
      <c r="S72" s="611">
        <v>0</v>
      </c>
      <c r="T72" s="611">
        <v>2.568426650221276</v>
      </c>
      <c r="U72" s="619">
        <v>321.90540242666725</v>
      </c>
      <c r="V72" s="51"/>
    </row>
    <row r="73" spans="3:22" x14ac:dyDescent="0.25">
      <c r="C73" s="618" t="s">
        <v>80</v>
      </c>
      <c r="D73" s="611">
        <v>0</v>
      </c>
      <c r="E73" s="611">
        <v>0</v>
      </c>
      <c r="F73" s="611">
        <v>3.0522332565861259</v>
      </c>
      <c r="G73" s="611">
        <v>0</v>
      </c>
      <c r="H73" s="611">
        <v>36.682189130077496</v>
      </c>
      <c r="I73" s="611">
        <v>0</v>
      </c>
      <c r="J73" s="611">
        <v>0</v>
      </c>
      <c r="K73" s="611">
        <v>0</v>
      </c>
      <c r="L73" s="611">
        <v>49.933380533226007</v>
      </c>
      <c r="M73" s="611">
        <v>0</v>
      </c>
      <c r="N73" s="611">
        <v>0</v>
      </c>
      <c r="O73" s="611">
        <v>13.567385020713596</v>
      </c>
      <c r="P73" s="611">
        <v>86.346993730736358</v>
      </c>
      <c r="Q73" s="611">
        <v>2.3427124137087052</v>
      </c>
      <c r="R73" s="611">
        <v>161.8990647634788</v>
      </c>
      <c r="S73" s="611">
        <v>25.454386166903632</v>
      </c>
      <c r="T73" s="611">
        <v>0</v>
      </c>
      <c r="U73" s="619">
        <v>379.27834501543077</v>
      </c>
      <c r="V73" s="51"/>
    </row>
    <row r="74" spans="3:22" x14ac:dyDescent="0.25">
      <c r="C74" s="618" t="s">
        <v>81</v>
      </c>
      <c r="D74" s="611">
        <v>0</v>
      </c>
      <c r="E74" s="611">
        <v>0</v>
      </c>
      <c r="F74" s="611">
        <v>2.064637318394833</v>
      </c>
      <c r="G74" s="611">
        <v>0</v>
      </c>
      <c r="H74" s="611">
        <v>26.484798777657492</v>
      </c>
      <c r="I74" s="611">
        <v>0</v>
      </c>
      <c r="J74" s="611">
        <v>0</v>
      </c>
      <c r="K74" s="611">
        <v>0</v>
      </c>
      <c r="L74" s="611">
        <v>0.59757790855029691</v>
      </c>
      <c r="M74" s="611">
        <v>0</v>
      </c>
      <c r="N74" s="611">
        <v>0</v>
      </c>
      <c r="O74" s="611">
        <v>9.7957474931061963</v>
      </c>
      <c r="P74" s="611">
        <v>38.891325575185007</v>
      </c>
      <c r="Q74" s="611">
        <v>2.8464095248186312</v>
      </c>
      <c r="R74" s="611">
        <v>118.84997058968706</v>
      </c>
      <c r="S74" s="611">
        <v>18.615976216598927</v>
      </c>
      <c r="T74" s="611">
        <v>0</v>
      </c>
      <c r="U74" s="619">
        <v>218.14644340399843</v>
      </c>
      <c r="V74" s="51"/>
    </row>
    <row r="75" spans="3:22" x14ac:dyDescent="0.25">
      <c r="C75" s="618" t="s">
        <v>82</v>
      </c>
      <c r="D75" s="611">
        <v>0</v>
      </c>
      <c r="E75" s="611">
        <v>0</v>
      </c>
      <c r="F75" s="611">
        <v>22.266407522057087</v>
      </c>
      <c r="G75" s="611">
        <v>0</v>
      </c>
      <c r="H75" s="611">
        <v>1.4368148997469985</v>
      </c>
      <c r="I75" s="611">
        <v>0</v>
      </c>
      <c r="J75" s="611">
        <v>0</v>
      </c>
      <c r="K75" s="611">
        <v>0</v>
      </c>
      <c r="L75" s="611">
        <v>2.70050068143768</v>
      </c>
      <c r="M75" s="611">
        <v>0</v>
      </c>
      <c r="N75" s="611">
        <v>8.7092137788049975</v>
      </c>
      <c r="O75" s="611">
        <v>0.53142468894752004</v>
      </c>
      <c r="P75" s="611">
        <v>0.75</v>
      </c>
      <c r="Q75" s="611">
        <v>0.96290247555165809</v>
      </c>
      <c r="R75" s="611">
        <v>6.8713820538899668</v>
      </c>
      <c r="S75" s="611">
        <v>0</v>
      </c>
      <c r="T75" s="611">
        <v>0.34507271012604906</v>
      </c>
      <c r="U75" s="619">
        <v>44.573718810561957</v>
      </c>
      <c r="V75" s="51"/>
    </row>
    <row r="76" spans="3:22" x14ac:dyDescent="0.25">
      <c r="C76" s="618" t="s">
        <v>354</v>
      </c>
      <c r="D76" s="611">
        <v>0</v>
      </c>
      <c r="E76" s="611">
        <v>0</v>
      </c>
      <c r="F76" s="611">
        <v>0</v>
      </c>
      <c r="G76" s="611">
        <v>0</v>
      </c>
      <c r="H76" s="611">
        <v>0</v>
      </c>
      <c r="I76" s="611">
        <v>0</v>
      </c>
      <c r="J76" s="611">
        <v>0</v>
      </c>
      <c r="K76" s="611">
        <v>0</v>
      </c>
      <c r="L76" s="611">
        <v>0</v>
      </c>
      <c r="M76" s="611">
        <v>0</v>
      </c>
      <c r="N76" s="611">
        <v>0</v>
      </c>
      <c r="O76" s="611">
        <v>0</v>
      </c>
      <c r="P76" s="611">
        <v>0</v>
      </c>
      <c r="Q76" s="611">
        <v>0</v>
      </c>
      <c r="R76" s="611">
        <v>0.76160000000000005</v>
      </c>
      <c r="S76" s="611">
        <v>0</v>
      </c>
      <c r="T76" s="611">
        <v>0</v>
      </c>
      <c r="U76" s="619">
        <v>0.76160000000000005</v>
      </c>
      <c r="V76" s="51"/>
    </row>
    <row r="77" spans="3:22" x14ac:dyDescent="0.25">
      <c r="C77" s="614" t="s">
        <v>83</v>
      </c>
      <c r="D77" s="615">
        <v>3.6562282006850468</v>
      </c>
      <c r="E77" s="615">
        <v>0</v>
      </c>
      <c r="F77" s="615">
        <v>230.0338295903299</v>
      </c>
      <c r="G77" s="615">
        <v>0.64331320573206352</v>
      </c>
      <c r="H77" s="615">
        <v>131.63379407130904</v>
      </c>
      <c r="I77" s="615">
        <v>0</v>
      </c>
      <c r="J77" s="615">
        <v>0</v>
      </c>
      <c r="K77" s="615">
        <v>0</v>
      </c>
      <c r="L77" s="615">
        <v>74.917583606426192</v>
      </c>
      <c r="M77" s="615">
        <v>7.1035846364336246</v>
      </c>
      <c r="N77" s="615">
        <v>64.977404785129295</v>
      </c>
      <c r="O77" s="615">
        <v>48.720437569705439</v>
      </c>
      <c r="P77" s="615">
        <v>135.24093356373385</v>
      </c>
      <c r="Q77" s="615">
        <v>6.1527168623474688</v>
      </c>
      <c r="R77" s="615">
        <v>513.5821377313423</v>
      </c>
      <c r="S77" s="615">
        <v>63.998440370994686</v>
      </c>
      <c r="T77" s="615">
        <v>10.014933930659824</v>
      </c>
      <c r="U77" s="615">
        <v>1290.6753381248291</v>
      </c>
      <c r="V77" s="51"/>
    </row>
    <row r="78" spans="3:22" x14ac:dyDescent="0.25">
      <c r="C78" s="610" t="s">
        <v>84</v>
      </c>
      <c r="D78" s="611">
        <v>0</v>
      </c>
      <c r="E78" s="611">
        <v>0</v>
      </c>
      <c r="F78" s="611">
        <v>104.6693916418363</v>
      </c>
      <c r="G78" s="611">
        <v>1.7600954722087971</v>
      </c>
      <c r="H78" s="611">
        <v>11.111186214134182</v>
      </c>
      <c r="I78" s="611">
        <v>0</v>
      </c>
      <c r="J78" s="611">
        <v>0</v>
      </c>
      <c r="K78" s="611">
        <v>0</v>
      </c>
      <c r="L78" s="611">
        <v>0.224904130238229</v>
      </c>
      <c r="M78" s="611">
        <v>0</v>
      </c>
      <c r="N78" s="611">
        <v>14.54242018932838</v>
      </c>
      <c r="O78" s="611">
        <v>4.7506049603028071</v>
      </c>
      <c r="P78" s="611">
        <v>0</v>
      </c>
      <c r="Q78" s="611">
        <v>0</v>
      </c>
      <c r="R78" s="611">
        <v>0</v>
      </c>
      <c r="S78" s="611">
        <v>0</v>
      </c>
      <c r="T78" s="611">
        <v>16.030988088411341</v>
      </c>
      <c r="U78" s="619">
        <v>153.08959069646002</v>
      </c>
      <c r="V78" s="51"/>
    </row>
    <row r="79" spans="3:22" x14ac:dyDescent="0.25">
      <c r="C79" s="614" t="s">
        <v>85</v>
      </c>
      <c r="D79" s="615">
        <v>3.6562282006850468</v>
      </c>
      <c r="E79" s="615">
        <v>0</v>
      </c>
      <c r="F79" s="615">
        <v>334.70322123216619</v>
      </c>
      <c r="G79" s="615">
        <v>2.4034086779408605</v>
      </c>
      <c r="H79" s="615">
        <v>142.74498028544323</v>
      </c>
      <c r="I79" s="615">
        <v>0</v>
      </c>
      <c r="J79" s="615">
        <v>0</v>
      </c>
      <c r="K79" s="615">
        <v>0</v>
      </c>
      <c r="L79" s="615">
        <v>75.142487736664421</v>
      </c>
      <c r="M79" s="615">
        <v>7.1035846364336246</v>
      </c>
      <c r="N79" s="615">
        <v>79.519824974457677</v>
      </c>
      <c r="O79" s="615">
        <v>53.471042530008248</v>
      </c>
      <c r="P79" s="615">
        <v>135.24093356373385</v>
      </c>
      <c r="Q79" s="615">
        <v>6.1527168623474688</v>
      </c>
      <c r="R79" s="615">
        <v>513.5821377313423</v>
      </c>
      <c r="S79" s="615">
        <v>63.998440370994686</v>
      </c>
      <c r="T79" s="615">
        <v>26.045922019071163</v>
      </c>
      <c r="U79" s="615">
        <v>1443.764928821289</v>
      </c>
      <c r="V79" s="51"/>
    </row>
    <row r="80" spans="3:22" x14ac:dyDescent="0.25">
      <c r="C80" s="51"/>
      <c r="D80" s="67">
        <v>0</v>
      </c>
      <c r="E80" s="67">
        <v>0</v>
      </c>
      <c r="F80" s="67">
        <v>0</v>
      </c>
      <c r="G80" s="67">
        <v>0</v>
      </c>
      <c r="H80" s="67">
        <v>0</v>
      </c>
      <c r="I80" s="67">
        <v>0</v>
      </c>
      <c r="J80" s="67">
        <v>0</v>
      </c>
      <c r="K80" s="67">
        <v>0</v>
      </c>
      <c r="L80" s="67">
        <v>0</v>
      </c>
      <c r="M80" s="67">
        <v>-4.6787954190463665E-4</v>
      </c>
      <c r="N80" s="67">
        <v>0</v>
      </c>
      <c r="O80" s="67">
        <v>-3.1086244689504383E-15</v>
      </c>
      <c r="P80" s="67">
        <v>0</v>
      </c>
      <c r="Q80" s="67">
        <v>0</v>
      </c>
      <c r="R80" s="67">
        <v>0</v>
      </c>
      <c r="S80" s="67">
        <v>1.4210854715202004E-14</v>
      </c>
      <c r="T80" s="67">
        <v>-1.7763568394002505E-15</v>
      </c>
      <c r="U80" s="67">
        <v>-4.6787954170213197E-4</v>
      </c>
      <c r="V80" s="51"/>
    </row>
    <row r="81" spans="3:22" x14ac:dyDescent="0.25">
      <c r="C81" s="51"/>
      <c r="D81" s="51"/>
      <c r="E81" s="51"/>
      <c r="F81" s="51"/>
      <c r="G81" s="67"/>
      <c r="H81" s="51"/>
      <c r="I81" s="51"/>
      <c r="J81" s="51"/>
      <c r="K81" s="51"/>
      <c r="L81" s="51"/>
      <c r="M81" s="51"/>
      <c r="N81" s="51"/>
      <c r="O81" s="51"/>
      <c r="P81" s="51"/>
      <c r="Q81" s="51"/>
      <c r="R81" s="51"/>
      <c r="S81" s="51"/>
      <c r="T81" s="51"/>
      <c r="U81" s="51"/>
      <c r="V81" s="51"/>
    </row>
    <row r="82" spans="3:22" x14ac:dyDescent="0.25">
      <c r="C82" s="607" t="s">
        <v>359</v>
      </c>
      <c r="D82" s="606"/>
      <c r="E82" s="606"/>
      <c r="F82" s="606"/>
      <c r="G82" s="682"/>
      <c r="H82" s="606"/>
      <c r="I82" s="606"/>
      <c r="J82" s="606"/>
      <c r="K82" s="606"/>
      <c r="L82" s="606"/>
      <c r="M82" s="606"/>
      <c r="N82" s="606"/>
      <c r="O82" s="606"/>
      <c r="P82" s="606"/>
      <c r="Q82" s="606"/>
      <c r="R82" s="606"/>
      <c r="S82" s="606"/>
      <c r="T82" s="606"/>
      <c r="U82" s="606"/>
      <c r="V82" s="606"/>
    </row>
    <row r="83" spans="3:22" x14ac:dyDescent="0.25">
      <c r="C83" s="51"/>
      <c r="D83" s="51"/>
      <c r="E83" s="51"/>
      <c r="F83" s="51"/>
      <c r="G83" s="67"/>
      <c r="H83" s="51"/>
      <c r="I83" s="51"/>
      <c r="J83" s="51"/>
      <c r="K83" s="51"/>
      <c r="L83" s="51"/>
      <c r="M83" s="51"/>
      <c r="N83" s="51"/>
      <c r="O83" s="51"/>
      <c r="P83" s="51"/>
      <c r="Q83" s="51"/>
      <c r="R83" s="51"/>
      <c r="S83" s="51"/>
      <c r="T83" s="51"/>
      <c r="U83" s="51"/>
      <c r="V83" s="51"/>
    </row>
    <row r="84" spans="3:22" x14ac:dyDescent="0.25">
      <c r="C84" s="764" t="s">
        <v>128</v>
      </c>
      <c r="D84" s="753" t="s">
        <v>42</v>
      </c>
      <c r="E84" s="753" t="s">
        <v>52</v>
      </c>
      <c r="F84" s="753" t="s">
        <v>53</v>
      </c>
      <c r="G84" s="766" t="s">
        <v>482</v>
      </c>
      <c r="H84" s="753" t="s">
        <v>32</v>
      </c>
      <c r="I84" s="753" t="s">
        <v>483</v>
      </c>
      <c r="J84" s="753" t="s">
        <v>20</v>
      </c>
      <c r="K84" s="753" t="s">
        <v>55</v>
      </c>
      <c r="L84" s="761" t="s">
        <v>56</v>
      </c>
      <c r="M84" s="762"/>
      <c r="N84" s="762"/>
      <c r="O84" s="762"/>
      <c r="P84" s="762"/>
      <c r="Q84" s="763"/>
      <c r="R84" s="753" t="s">
        <v>57</v>
      </c>
      <c r="S84" s="753" t="s">
        <v>58</v>
      </c>
      <c r="T84" s="753" t="s">
        <v>31</v>
      </c>
      <c r="U84" s="753" t="s">
        <v>10</v>
      </c>
      <c r="V84" s="51"/>
    </row>
    <row r="85" spans="3:22" ht="36" x14ac:dyDescent="0.25">
      <c r="C85" s="765"/>
      <c r="D85" s="754"/>
      <c r="E85" s="754"/>
      <c r="F85" s="754"/>
      <c r="G85" s="767"/>
      <c r="H85" s="754"/>
      <c r="I85" s="754"/>
      <c r="J85" s="754"/>
      <c r="K85" s="754"/>
      <c r="L85" s="608" t="s">
        <v>335</v>
      </c>
      <c r="M85" s="608" t="s">
        <v>40</v>
      </c>
      <c r="N85" s="608" t="s">
        <v>343</v>
      </c>
      <c r="O85" s="608" t="s">
        <v>344</v>
      </c>
      <c r="P85" s="609" t="s">
        <v>345</v>
      </c>
      <c r="Q85" s="608" t="s">
        <v>346</v>
      </c>
      <c r="R85" s="754"/>
      <c r="S85" s="754"/>
      <c r="T85" s="754"/>
      <c r="U85" s="754"/>
      <c r="V85" s="51"/>
    </row>
    <row r="86" spans="3:22" x14ac:dyDescent="0.25">
      <c r="C86" s="610" t="s">
        <v>59</v>
      </c>
      <c r="D86" s="611">
        <v>0</v>
      </c>
      <c r="E86" s="611">
        <v>2.3260000000000005</v>
      </c>
      <c r="F86" s="611">
        <v>0</v>
      </c>
      <c r="G86" s="611">
        <v>0</v>
      </c>
      <c r="H86" s="611">
        <v>3.7216000000000006E-2</v>
      </c>
      <c r="I86" s="611">
        <v>0</v>
      </c>
      <c r="J86" s="612">
        <v>1162.199818181818</v>
      </c>
      <c r="K86" s="612">
        <v>371.91258763455278</v>
      </c>
      <c r="L86" s="612">
        <v>428.31581499702253</v>
      </c>
      <c r="M86" s="612">
        <v>21.832470141682652</v>
      </c>
      <c r="N86" s="611">
        <v>1.5522078310841105</v>
      </c>
      <c r="O86" s="611">
        <v>0.16457898409976487</v>
      </c>
      <c r="P86" s="612">
        <v>148.71329626041282</v>
      </c>
      <c r="Q86" s="612">
        <v>22.497992115953615</v>
      </c>
      <c r="R86" s="611">
        <v>0</v>
      </c>
      <c r="S86" s="611">
        <v>0</v>
      </c>
      <c r="T86" s="611">
        <v>0</v>
      </c>
      <c r="U86" s="613">
        <v>2159.5519821466264</v>
      </c>
      <c r="V86" s="51"/>
    </row>
    <row r="87" spans="3:22" x14ac:dyDescent="0.25">
      <c r="C87" s="610" t="s">
        <v>60</v>
      </c>
      <c r="D87" s="611">
        <v>14.018688039101649</v>
      </c>
      <c r="E87" s="611">
        <v>270.8879796629484</v>
      </c>
      <c r="F87" s="611">
        <v>26.29831217515342</v>
      </c>
      <c r="G87" s="611">
        <v>0</v>
      </c>
      <c r="H87" s="611">
        <v>132.82105117150289</v>
      </c>
      <c r="I87" s="611">
        <v>0</v>
      </c>
      <c r="J87" s="611">
        <v>0</v>
      </c>
      <c r="K87" s="611">
        <v>0</v>
      </c>
      <c r="L87" s="611">
        <v>3.8185483520995893</v>
      </c>
      <c r="M87" s="611">
        <v>0</v>
      </c>
      <c r="N87" s="611">
        <v>5.0715995071493687</v>
      </c>
      <c r="O87" s="611">
        <v>0</v>
      </c>
      <c r="P87" s="611">
        <v>0</v>
      </c>
      <c r="Q87" s="611">
        <v>0</v>
      </c>
      <c r="R87" s="611">
        <v>0</v>
      </c>
      <c r="S87" s="611">
        <v>0</v>
      </c>
      <c r="T87" s="611">
        <v>0</v>
      </c>
      <c r="U87" s="613">
        <v>452.91617890795533</v>
      </c>
      <c r="V87" s="51"/>
    </row>
    <row r="88" spans="3:22" x14ac:dyDescent="0.25">
      <c r="C88" s="610" t="s">
        <v>61</v>
      </c>
      <c r="D88" s="611">
        <v>0</v>
      </c>
      <c r="E88" s="611">
        <v>0</v>
      </c>
      <c r="F88" s="611">
        <v>3.1635560327380432</v>
      </c>
      <c r="G88" s="611">
        <v>-0.85627443515198287</v>
      </c>
      <c r="H88" s="611">
        <v>0</v>
      </c>
      <c r="I88" s="611">
        <v>0</v>
      </c>
      <c r="J88" s="611">
        <v>0</v>
      </c>
      <c r="K88" s="611">
        <v>0</v>
      </c>
      <c r="L88" s="611">
        <v>0</v>
      </c>
      <c r="M88" s="611">
        <v>0</v>
      </c>
      <c r="N88" s="611">
        <v>0</v>
      </c>
      <c r="O88" s="611">
        <v>0</v>
      </c>
      <c r="P88" s="611">
        <v>0</v>
      </c>
      <c r="Q88" s="611">
        <v>0</v>
      </c>
      <c r="R88" s="611">
        <v>-59.544479832357297</v>
      </c>
      <c r="S88" s="611">
        <v>0</v>
      </c>
      <c r="T88" s="611">
        <v>0</v>
      </c>
      <c r="U88" s="613">
        <v>-57.237198234771235</v>
      </c>
      <c r="V88" s="51"/>
    </row>
    <row r="89" spans="3:22" x14ac:dyDescent="0.25">
      <c r="C89" s="610" t="s">
        <v>62</v>
      </c>
      <c r="D89" s="611">
        <v>0</v>
      </c>
      <c r="E89" s="611">
        <v>0</v>
      </c>
      <c r="F89" s="611">
        <v>-6.7125205563218922</v>
      </c>
      <c r="G89" s="611">
        <v>-3.2950395543749584</v>
      </c>
      <c r="H89" s="611">
        <v>-0.49987622776591634</v>
      </c>
      <c r="I89" s="611">
        <v>-2.9890617212740871</v>
      </c>
      <c r="J89" s="611">
        <v>0</v>
      </c>
      <c r="K89" s="611">
        <v>0</v>
      </c>
      <c r="L89" s="611">
        <v>0</v>
      </c>
      <c r="M89" s="611">
        <v>0</v>
      </c>
      <c r="N89" s="611">
        <v>-1.2700508300617339</v>
      </c>
      <c r="O89" s="611">
        <v>-2.1176768711242038</v>
      </c>
      <c r="P89" s="611">
        <v>0</v>
      </c>
      <c r="Q89" s="611">
        <v>0</v>
      </c>
      <c r="R89" s="611">
        <v>0</v>
      </c>
      <c r="S89" s="611">
        <v>0</v>
      </c>
      <c r="T89" s="611">
        <v>-0.96281875223876434</v>
      </c>
      <c r="U89" s="613">
        <v>-17.847044513161556</v>
      </c>
      <c r="V89" s="51"/>
    </row>
    <row r="90" spans="3:22" x14ac:dyDescent="0.25">
      <c r="C90" s="610" t="s">
        <v>63</v>
      </c>
      <c r="D90" s="611">
        <v>0</v>
      </c>
      <c r="E90" s="611">
        <v>0</v>
      </c>
      <c r="F90" s="611">
        <v>-45.424019815542103</v>
      </c>
      <c r="G90" s="611">
        <v>-6.3379784988277912</v>
      </c>
      <c r="H90" s="611">
        <v>0</v>
      </c>
      <c r="I90" s="611">
        <v>0</v>
      </c>
      <c r="J90" s="611">
        <v>0</v>
      </c>
      <c r="K90" s="611">
        <v>0</v>
      </c>
      <c r="L90" s="611">
        <v>0</v>
      </c>
      <c r="M90" s="611">
        <v>0</v>
      </c>
      <c r="N90" s="611">
        <v>-13.31780034386745</v>
      </c>
      <c r="O90" s="611">
        <v>0</v>
      </c>
      <c r="P90" s="611">
        <v>0</v>
      </c>
      <c r="Q90" s="611">
        <v>0</v>
      </c>
      <c r="R90" s="611">
        <v>0</v>
      </c>
      <c r="S90" s="611">
        <v>0</v>
      </c>
      <c r="T90" s="611">
        <v>-1.794651350884874</v>
      </c>
      <c r="U90" s="613">
        <v>-66.874450009122214</v>
      </c>
      <c r="V90" s="51"/>
    </row>
    <row r="91" spans="3:22" x14ac:dyDescent="0.25">
      <c r="C91" s="610" t="s">
        <v>64</v>
      </c>
      <c r="D91" s="611">
        <v>0</v>
      </c>
      <c r="E91" s="611">
        <v>0</v>
      </c>
      <c r="F91" s="611">
        <v>0</v>
      </c>
      <c r="G91" s="611">
        <v>0</v>
      </c>
      <c r="H91" s="611">
        <v>0</v>
      </c>
      <c r="I91" s="611">
        <v>0</v>
      </c>
      <c r="J91" s="611">
        <v>0</v>
      </c>
      <c r="K91" s="611">
        <v>0</v>
      </c>
      <c r="L91" s="611">
        <v>0</v>
      </c>
      <c r="M91" s="611">
        <v>0</v>
      </c>
      <c r="N91" s="611">
        <v>0</v>
      </c>
      <c r="O91" s="611">
        <v>0</v>
      </c>
      <c r="P91" s="611">
        <v>0</v>
      </c>
      <c r="Q91" s="611">
        <v>0</v>
      </c>
      <c r="R91" s="611">
        <v>0</v>
      </c>
      <c r="S91" s="611">
        <v>0</v>
      </c>
      <c r="T91" s="611">
        <v>0</v>
      </c>
      <c r="U91" s="613">
        <v>0</v>
      </c>
      <c r="V91" s="51"/>
    </row>
    <row r="92" spans="3:22" x14ac:dyDescent="0.25">
      <c r="C92" s="614" t="s">
        <v>65</v>
      </c>
      <c r="D92" s="615">
        <v>14.018688039101649</v>
      </c>
      <c r="E92" s="615">
        <v>273.21397966294842</v>
      </c>
      <c r="F92" s="615">
        <v>-22.674672163972531</v>
      </c>
      <c r="G92" s="615">
        <v>-10.489292488354732</v>
      </c>
      <c r="H92" s="615">
        <v>132.35839094373696</v>
      </c>
      <c r="I92" s="615">
        <v>-2.9890617212740871</v>
      </c>
      <c r="J92" s="615">
        <v>1162.199818181818</v>
      </c>
      <c r="K92" s="615">
        <v>371.91258763455278</v>
      </c>
      <c r="L92" s="615">
        <v>432.13436334912211</v>
      </c>
      <c r="M92" s="615">
        <v>21.832470141682652</v>
      </c>
      <c r="N92" s="615">
        <v>-7.9640438356957048</v>
      </c>
      <c r="O92" s="615">
        <v>-1.9530978870244389</v>
      </c>
      <c r="P92" s="615">
        <v>148.71329626041282</v>
      </c>
      <c r="Q92" s="615">
        <v>22.497992115953615</v>
      </c>
      <c r="R92" s="615">
        <v>-59.544479832357297</v>
      </c>
      <c r="S92" s="615">
        <v>0</v>
      </c>
      <c r="T92" s="615">
        <v>-2.7574701031236382</v>
      </c>
      <c r="U92" s="615">
        <v>2470.5094682975268</v>
      </c>
      <c r="V92" s="51"/>
    </row>
    <row r="93" spans="3:22" x14ac:dyDescent="0.25">
      <c r="C93" s="616"/>
      <c r="D93" s="617"/>
      <c r="E93" s="617"/>
      <c r="F93" s="617"/>
      <c r="G93" s="617"/>
      <c r="H93" s="623"/>
      <c r="I93" s="617"/>
      <c r="J93" s="617"/>
      <c r="K93" s="617"/>
      <c r="L93" s="617"/>
      <c r="M93" s="617"/>
      <c r="N93" s="617"/>
      <c r="O93" s="617"/>
      <c r="P93" s="617"/>
      <c r="Q93" s="617"/>
      <c r="R93" s="617"/>
      <c r="S93" s="617"/>
      <c r="T93" s="617"/>
      <c r="U93" s="617"/>
      <c r="V93" s="51"/>
    </row>
    <row r="94" spans="3:22" x14ac:dyDescent="0.25">
      <c r="C94" s="618" t="s">
        <v>67</v>
      </c>
      <c r="D94" s="611">
        <v>0</v>
      </c>
      <c r="E94" s="611">
        <v>0</v>
      </c>
      <c r="F94" s="611">
        <v>0</v>
      </c>
      <c r="G94" s="611">
        <v>0</v>
      </c>
      <c r="H94" s="611">
        <v>0</v>
      </c>
      <c r="I94" s="611">
        <v>0</v>
      </c>
      <c r="J94" s="611">
        <v>0</v>
      </c>
      <c r="K94" s="611">
        <v>0</v>
      </c>
      <c r="L94" s="611">
        <v>0</v>
      </c>
      <c r="M94" s="611">
        <v>0</v>
      </c>
      <c r="N94" s="611">
        <v>0</v>
      </c>
      <c r="O94" s="611">
        <v>0</v>
      </c>
      <c r="P94" s="611">
        <v>0</v>
      </c>
      <c r="Q94" s="611">
        <v>0</v>
      </c>
      <c r="R94" s="611">
        <v>0</v>
      </c>
      <c r="S94" s="611">
        <v>0</v>
      </c>
      <c r="T94" s="611">
        <v>0</v>
      </c>
      <c r="U94" s="619">
        <v>0</v>
      </c>
      <c r="V94" s="51"/>
    </row>
    <row r="95" spans="3:22" x14ac:dyDescent="0.25">
      <c r="C95" s="618" t="s">
        <v>347</v>
      </c>
      <c r="D95" s="611">
        <v>0</v>
      </c>
      <c r="E95" s="611">
        <v>0</v>
      </c>
      <c r="F95" s="611">
        <v>0.36057808628354604</v>
      </c>
      <c r="G95" s="611">
        <v>0</v>
      </c>
      <c r="H95" s="611">
        <v>11.85720957473684</v>
      </c>
      <c r="I95" s="611">
        <v>0</v>
      </c>
      <c r="J95" s="611">
        <v>1162.199818181818</v>
      </c>
      <c r="K95" s="611">
        <v>371.91258763455278</v>
      </c>
      <c r="L95" s="611">
        <v>23.35467673808137</v>
      </c>
      <c r="M95" s="611">
        <v>0.6051195632921027</v>
      </c>
      <c r="N95" s="611">
        <v>5.3878161949008447</v>
      </c>
      <c r="O95" s="611">
        <v>7.0773268475558293</v>
      </c>
      <c r="P95" s="611">
        <v>0</v>
      </c>
      <c r="Q95" s="611">
        <v>4.9774137725284184</v>
      </c>
      <c r="R95" s="611">
        <v>-809.82615158881902</v>
      </c>
      <c r="S95" s="611">
        <v>0</v>
      </c>
      <c r="T95" s="611">
        <v>2.2153139999999998</v>
      </c>
      <c r="U95" s="619">
        <v>780.12170900493118</v>
      </c>
      <c r="V95" s="51"/>
    </row>
    <row r="96" spans="3:22" x14ac:dyDescent="0.25">
      <c r="C96" s="618" t="s">
        <v>348</v>
      </c>
      <c r="D96" s="611">
        <v>0</v>
      </c>
      <c r="E96" s="611">
        <v>0</v>
      </c>
      <c r="F96" s="611">
        <v>0</v>
      </c>
      <c r="G96" s="611">
        <v>0</v>
      </c>
      <c r="H96" s="611">
        <v>9.1306644834570143</v>
      </c>
      <c r="I96" s="611">
        <v>0</v>
      </c>
      <c r="J96" s="611">
        <v>0</v>
      </c>
      <c r="K96" s="611">
        <v>0</v>
      </c>
      <c r="L96" s="611">
        <v>35.120993050701685</v>
      </c>
      <c r="M96" s="611">
        <v>14.187122516158354</v>
      </c>
      <c r="N96" s="611">
        <v>0</v>
      </c>
      <c r="O96" s="611">
        <v>5.376679884494675</v>
      </c>
      <c r="P96" s="611">
        <v>0</v>
      </c>
      <c r="Q96" s="611">
        <v>10.750796331510863</v>
      </c>
      <c r="R96" s="611">
        <v>0</v>
      </c>
      <c r="S96" s="611">
        <v>-68.975341890525812</v>
      </c>
      <c r="T96" s="611">
        <v>0</v>
      </c>
      <c r="U96" s="619">
        <v>5.5909143757967854</v>
      </c>
      <c r="V96" s="51"/>
    </row>
    <row r="97" spans="3:22" x14ac:dyDescent="0.25">
      <c r="C97" s="618" t="s">
        <v>349</v>
      </c>
      <c r="D97" s="611">
        <v>0</v>
      </c>
      <c r="E97" s="611">
        <v>0</v>
      </c>
      <c r="F97" s="611">
        <v>0</v>
      </c>
      <c r="G97" s="611">
        <v>0</v>
      </c>
      <c r="H97" s="611">
        <v>0</v>
      </c>
      <c r="I97" s="611">
        <v>0</v>
      </c>
      <c r="J97" s="611">
        <v>0</v>
      </c>
      <c r="K97" s="611">
        <v>0</v>
      </c>
      <c r="L97" s="611">
        <v>90.922618226552515</v>
      </c>
      <c r="M97" s="611">
        <v>0</v>
      </c>
      <c r="N97" s="611">
        <v>0</v>
      </c>
      <c r="O97" s="611">
        <v>-82.66993696120025</v>
      </c>
      <c r="P97" s="611">
        <v>0</v>
      </c>
      <c r="Q97" s="611">
        <v>0</v>
      </c>
      <c r="R97" s="611">
        <v>0</v>
      </c>
      <c r="S97" s="611">
        <v>0</v>
      </c>
      <c r="T97" s="611">
        <v>0</v>
      </c>
      <c r="U97" s="619">
        <v>8.2526812653522654</v>
      </c>
      <c r="V97" s="51"/>
    </row>
    <row r="98" spans="3:22" x14ac:dyDescent="0.25">
      <c r="C98" s="618" t="s">
        <v>350</v>
      </c>
      <c r="D98" s="611">
        <v>0</v>
      </c>
      <c r="E98" s="611">
        <v>0</v>
      </c>
      <c r="F98" s="611">
        <v>0</v>
      </c>
      <c r="G98" s="611">
        <v>0</v>
      </c>
      <c r="H98" s="611">
        <v>0</v>
      </c>
      <c r="I98" s="611">
        <v>-2.9890617212740871</v>
      </c>
      <c r="J98" s="611">
        <v>0</v>
      </c>
      <c r="K98" s="611">
        <v>0</v>
      </c>
      <c r="L98" s="611">
        <v>0</v>
      </c>
      <c r="M98" s="611">
        <v>0</v>
      </c>
      <c r="N98" s="611">
        <v>0</v>
      </c>
      <c r="O98" s="611">
        <v>0</v>
      </c>
      <c r="P98" s="611">
        <v>0</v>
      </c>
      <c r="Q98" s="611">
        <v>0</v>
      </c>
      <c r="R98" s="611">
        <v>0</v>
      </c>
      <c r="S98" s="611">
        <v>0</v>
      </c>
      <c r="T98" s="611">
        <v>4.1514746128806763</v>
      </c>
      <c r="U98" s="619">
        <v>1.1624128916065892</v>
      </c>
      <c r="V98" s="51"/>
    </row>
    <row r="99" spans="3:22" x14ac:dyDescent="0.25">
      <c r="C99" s="618" t="s">
        <v>72</v>
      </c>
      <c r="D99" s="611">
        <v>0</v>
      </c>
      <c r="E99" s="611">
        <v>283.1271683530257</v>
      </c>
      <c r="F99" s="611">
        <v>-280.30617492402195</v>
      </c>
      <c r="G99" s="611">
        <v>0</v>
      </c>
      <c r="H99" s="611">
        <v>0</v>
      </c>
      <c r="I99" s="611">
        <v>0</v>
      </c>
      <c r="J99" s="611">
        <v>0</v>
      </c>
      <c r="K99" s="611">
        <v>0</v>
      </c>
      <c r="L99" s="611">
        <v>0</v>
      </c>
      <c r="M99" s="611">
        <v>0</v>
      </c>
      <c r="N99" s="611">
        <v>0</v>
      </c>
      <c r="O99" s="611">
        <v>0</v>
      </c>
      <c r="P99" s="611">
        <v>0</v>
      </c>
      <c r="Q99" s="611">
        <v>0</v>
      </c>
      <c r="R99" s="611">
        <v>0</v>
      </c>
      <c r="S99" s="611">
        <v>0</v>
      </c>
      <c r="T99" s="611">
        <v>0</v>
      </c>
      <c r="U99" s="619">
        <v>2.8209934290037495</v>
      </c>
      <c r="V99" s="51"/>
    </row>
    <row r="100" spans="3:22" x14ac:dyDescent="0.25">
      <c r="C100" s="618" t="s">
        <v>351</v>
      </c>
      <c r="D100" s="611">
        <v>0</v>
      </c>
      <c r="E100" s="611">
        <v>0</v>
      </c>
      <c r="F100" s="611">
        <v>0</v>
      </c>
      <c r="G100" s="611">
        <v>0</v>
      </c>
      <c r="H100" s="611">
        <v>0</v>
      </c>
      <c r="I100" s="611">
        <v>0</v>
      </c>
      <c r="J100" s="611">
        <v>0</v>
      </c>
      <c r="K100" s="611">
        <v>0</v>
      </c>
      <c r="L100" s="611">
        <v>211.26822673401878</v>
      </c>
      <c r="M100" s="611">
        <v>0</v>
      </c>
      <c r="N100" s="611">
        <v>-116.19752470371033</v>
      </c>
      <c r="O100" s="611">
        <v>0</v>
      </c>
      <c r="P100" s="611">
        <v>0</v>
      </c>
      <c r="Q100" s="611">
        <v>0</v>
      </c>
      <c r="R100" s="611">
        <v>0</v>
      </c>
      <c r="S100" s="611">
        <v>0</v>
      </c>
      <c r="T100" s="611">
        <v>0</v>
      </c>
      <c r="U100" s="619">
        <v>95.070702030308453</v>
      </c>
      <c r="V100" s="51"/>
    </row>
    <row r="101" spans="3:22" x14ac:dyDescent="0.25">
      <c r="C101" s="618" t="s">
        <v>352</v>
      </c>
      <c r="D101" s="611">
        <v>0</v>
      </c>
      <c r="E101" s="611">
        <v>0</v>
      </c>
      <c r="F101" s="611">
        <v>0</v>
      </c>
      <c r="G101" s="611">
        <v>-13.61496514917124</v>
      </c>
      <c r="H101" s="611">
        <v>0</v>
      </c>
      <c r="I101" s="611">
        <v>0</v>
      </c>
      <c r="J101" s="611">
        <v>0</v>
      </c>
      <c r="K101" s="611">
        <v>0</v>
      </c>
      <c r="L101" s="611">
        <v>0</v>
      </c>
      <c r="M101" s="611">
        <v>0</v>
      </c>
      <c r="N101" s="611">
        <v>0</v>
      </c>
      <c r="O101" s="611">
        <v>0</v>
      </c>
      <c r="P101" s="611">
        <v>0</v>
      </c>
      <c r="Q101" s="611">
        <v>0</v>
      </c>
      <c r="R101" s="611">
        <v>0</v>
      </c>
      <c r="S101" s="611">
        <v>0</v>
      </c>
      <c r="T101" s="611">
        <v>17.7682733969807</v>
      </c>
      <c r="U101" s="619">
        <v>4.1533082478094592</v>
      </c>
      <c r="V101" s="51"/>
    </row>
    <row r="102" spans="3:22" x14ac:dyDescent="0.25">
      <c r="C102" s="618" t="s">
        <v>73</v>
      </c>
      <c r="D102" s="611">
        <v>0</v>
      </c>
      <c r="E102" s="611">
        <v>0</v>
      </c>
      <c r="F102" s="611">
        <v>0</v>
      </c>
      <c r="G102" s="611">
        <v>0</v>
      </c>
      <c r="H102" s="611">
        <v>0</v>
      </c>
      <c r="I102" s="611">
        <v>0</v>
      </c>
      <c r="J102" s="611">
        <v>0</v>
      </c>
      <c r="K102" s="611">
        <v>0</v>
      </c>
      <c r="L102" s="611">
        <v>0</v>
      </c>
      <c r="M102" s="611">
        <v>0</v>
      </c>
      <c r="N102" s="611">
        <v>0</v>
      </c>
      <c r="O102" s="611">
        <v>0</v>
      </c>
      <c r="P102" s="611">
        <v>0</v>
      </c>
      <c r="Q102" s="611">
        <v>0</v>
      </c>
      <c r="R102" s="611">
        <v>95.094141088203713</v>
      </c>
      <c r="S102" s="611">
        <v>0</v>
      </c>
      <c r="T102" s="611">
        <v>-64.473827657802119</v>
      </c>
      <c r="U102" s="619">
        <v>30.620313430401595</v>
      </c>
      <c r="V102" s="51"/>
    </row>
    <row r="103" spans="3:22" x14ac:dyDescent="0.25">
      <c r="C103" s="618" t="s">
        <v>353</v>
      </c>
      <c r="D103" s="611">
        <v>7.8269305078124995</v>
      </c>
      <c r="E103" s="611">
        <v>-9.913188690077277</v>
      </c>
      <c r="F103" s="611">
        <v>12.914884415071832</v>
      </c>
      <c r="G103" s="611">
        <v>0</v>
      </c>
      <c r="H103" s="611">
        <v>0</v>
      </c>
      <c r="I103" s="611">
        <v>0</v>
      </c>
      <c r="J103" s="611">
        <v>0</v>
      </c>
      <c r="K103" s="611">
        <v>0</v>
      </c>
      <c r="L103" s="611">
        <v>0</v>
      </c>
      <c r="M103" s="611">
        <v>0</v>
      </c>
      <c r="N103" s="611">
        <v>0</v>
      </c>
      <c r="O103" s="611">
        <v>0</v>
      </c>
      <c r="P103" s="611">
        <v>0</v>
      </c>
      <c r="Q103" s="611">
        <v>0</v>
      </c>
      <c r="R103" s="611">
        <v>0</v>
      </c>
      <c r="S103" s="611">
        <v>0</v>
      </c>
      <c r="T103" s="611">
        <v>0</v>
      </c>
      <c r="U103" s="619">
        <v>10.828626232807053</v>
      </c>
      <c r="V103" s="51"/>
    </row>
    <row r="104" spans="3:22" x14ac:dyDescent="0.25">
      <c r="C104" s="618" t="s">
        <v>75</v>
      </c>
      <c r="D104" s="611">
        <v>3.0438063085937501</v>
      </c>
      <c r="E104" s="611">
        <v>0</v>
      </c>
      <c r="F104" s="611">
        <v>9.7210991282801391</v>
      </c>
      <c r="G104" s="611">
        <v>0</v>
      </c>
      <c r="H104" s="611">
        <v>3.2664120682994437</v>
      </c>
      <c r="I104" s="611">
        <v>0</v>
      </c>
      <c r="J104" s="611">
        <v>0</v>
      </c>
      <c r="K104" s="611">
        <v>0</v>
      </c>
      <c r="L104" s="611">
        <v>0</v>
      </c>
      <c r="M104" s="611">
        <v>0</v>
      </c>
      <c r="N104" s="611">
        <v>0</v>
      </c>
      <c r="O104" s="611">
        <v>1.9850542794488581</v>
      </c>
      <c r="P104" s="611">
        <v>0</v>
      </c>
      <c r="Q104" s="611">
        <v>0</v>
      </c>
      <c r="R104" s="611">
        <v>63.494449496220589</v>
      </c>
      <c r="S104" s="611">
        <v>0</v>
      </c>
      <c r="T104" s="611">
        <v>0</v>
      </c>
      <c r="U104" s="619">
        <v>81.510821280842777</v>
      </c>
      <c r="V104" s="51"/>
    </row>
    <row r="105" spans="3:22" x14ac:dyDescent="0.25">
      <c r="C105" s="618" t="s">
        <v>76</v>
      </c>
      <c r="D105" s="611">
        <v>0</v>
      </c>
      <c r="E105" s="611">
        <v>0</v>
      </c>
      <c r="F105" s="611">
        <v>0</v>
      </c>
      <c r="G105" s="611">
        <v>0</v>
      </c>
      <c r="H105" s="611">
        <v>1.449304487001404</v>
      </c>
      <c r="I105" s="611">
        <v>0</v>
      </c>
      <c r="J105" s="611">
        <v>0</v>
      </c>
      <c r="K105" s="611">
        <v>0</v>
      </c>
      <c r="L105" s="611">
        <v>0</v>
      </c>
      <c r="M105" s="611">
        <v>0</v>
      </c>
      <c r="N105" s="611">
        <v>0</v>
      </c>
      <c r="O105" s="611">
        <v>0.88076703550889179</v>
      </c>
      <c r="P105" s="611">
        <v>0</v>
      </c>
      <c r="Q105" s="611">
        <v>0</v>
      </c>
      <c r="R105" s="611">
        <v>57.445441282352888</v>
      </c>
      <c r="S105" s="611">
        <v>5.3495376277801165</v>
      </c>
      <c r="T105" s="611">
        <v>0</v>
      </c>
      <c r="U105" s="619">
        <v>65.125050432643306</v>
      </c>
      <c r="V105" s="51"/>
    </row>
    <row r="106" spans="3:22" x14ac:dyDescent="0.25">
      <c r="C106" s="614" t="s">
        <v>77</v>
      </c>
      <c r="D106" s="615">
        <v>10.87073681640625</v>
      </c>
      <c r="E106" s="615">
        <v>273.21397966294842</v>
      </c>
      <c r="F106" s="615">
        <v>-257.30961329438645</v>
      </c>
      <c r="G106" s="615">
        <v>-13.61496514917124</v>
      </c>
      <c r="H106" s="615">
        <v>25.703590613494701</v>
      </c>
      <c r="I106" s="615">
        <v>-2.9890617212740871</v>
      </c>
      <c r="J106" s="615">
        <v>1162.199818181818</v>
      </c>
      <c r="K106" s="615">
        <v>371.91258763455278</v>
      </c>
      <c r="L106" s="615">
        <v>360.66651474935435</v>
      </c>
      <c r="M106" s="615">
        <v>14.792242079450457</v>
      </c>
      <c r="N106" s="615">
        <v>-110.80970850880948</v>
      </c>
      <c r="O106" s="615">
        <v>-67.350108914191992</v>
      </c>
      <c r="P106" s="615">
        <v>0</v>
      </c>
      <c r="Q106" s="615">
        <v>15.728210104039281</v>
      </c>
      <c r="R106" s="615">
        <v>-593.79211972204178</v>
      </c>
      <c r="S106" s="615">
        <v>-63.625804262745696</v>
      </c>
      <c r="T106" s="615">
        <v>-40.338765647940747</v>
      </c>
      <c r="U106" s="615">
        <v>1085.2575326215033</v>
      </c>
      <c r="V106" s="51"/>
    </row>
    <row r="107" spans="3:22" x14ac:dyDescent="0.25">
      <c r="C107" s="616"/>
      <c r="D107" s="617"/>
      <c r="E107" s="617"/>
      <c r="F107" s="617"/>
      <c r="G107" s="617"/>
      <c r="H107" s="623"/>
      <c r="I107" s="617"/>
      <c r="J107" s="617"/>
      <c r="K107" s="617"/>
      <c r="L107" s="617"/>
      <c r="M107" s="617"/>
      <c r="N107" s="617"/>
      <c r="O107" s="617"/>
      <c r="P107" s="617"/>
      <c r="Q107" s="617"/>
      <c r="R107" s="617"/>
      <c r="S107" s="617"/>
      <c r="T107" s="617"/>
      <c r="U107" s="617"/>
      <c r="V107" s="51"/>
    </row>
    <row r="108" spans="3:22" x14ac:dyDescent="0.25">
      <c r="C108" s="618" t="s">
        <v>78</v>
      </c>
      <c r="D108" s="611">
        <v>3.1479512226953994</v>
      </c>
      <c r="E108" s="611">
        <v>0</v>
      </c>
      <c r="F108" s="611">
        <v>7.3437351704458669</v>
      </c>
      <c r="G108" s="611">
        <v>0</v>
      </c>
      <c r="H108" s="611">
        <v>47.748408510748327</v>
      </c>
      <c r="I108" s="611">
        <v>0</v>
      </c>
      <c r="J108" s="611">
        <v>0</v>
      </c>
      <c r="K108" s="611">
        <v>0</v>
      </c>
      <c r="L108" s="611">
        <v>22.07297303718682</v>
      </c>
      <c r="M108" s="611">
        <v>7.0398001823904393</v>
      </c>
      <c r="N108" s="611">
        <v>1.8141076681280928</v>
      </c>
      <c r="O108" s="611">
        <v>29.054305571352941</v>
      </c>
      <c r="P108" s="611">
        <v>11.680015624999999</v>
      </c>
      <c r="Q108" s="611">
        <v>7.4990210834655101E-4</v>
      </c>
      <c r="R108" s="611">
        <v>169.36564151206954</v>
      </c>
      <c r="S108" s="611">
        <v>20.361092617344379</v>
      </c>
      <c r="T108" s="611">
        <v>8.2949111328124996</v>
      </c>
      <c r="U108" s="619">
        <v>327.92369215228263</v>
      </c>
      <c r="V108" s="51"/>
    </row>
    <row r="109" spans="3:22" x14ac:dyDescent="0.25">
      <c r="C109" s="618" t="s">
        <v>79</v>
      </c>
      <c r="D109" s="611">
        <v>0</v>
      </c>
      <c r="E109" s="611">
        <v>0</v>
      </c>
      <c r="F109" s="611">
        <v>117.18993365145114</v>
      </c>
      <c r="G109" s="611">
        <v>1.1502523332163914</v>
      </c>
      <c r="H109" s="611">
        <v>4.819889599277416</v>
      </c>
      <c r="I109" s="611">
        <v>0</v>
      </c>
      <c r="J109" s="611">
        <v>0</v>
      </c>
      <c r="K109" s="611">
        <v>0</v>
      </c>
      <c r="L109" s="611">
        <v>0</v>
      </c>
      <c r="M109" s="611">
        <v>0</v>
      </c>
      <c r="N109" s="611">
        <v>66.206077394178237</v>
      </c>
      <c r="O109" s="611">
        <v>2.9291290490785586</v>
      </c>
      <c r="P109" s="611">
        <v>0</v>
      </c>
      <c r="Q109" s="611">
        <v>0</v>
      </c>
      <c r="R109" s="611">
        <v>81.27523543109001</v>
      </c>
      <c r="S109" s="611">
        <v>0</v>
      </c>
      <c r="T109" s="611">
        <v>3.9485258535759078</v>
      </c>
      <c r="U109" s="619">
        <v>277.51904331186768</v>
      </c>
      <c r="V109" s="51"/>
    </row>
    <row r="110" spans="3:22" x14ac:dyDescent="0.25">
      <c r="C110" s="618" t="s">
        <v>80</v>
      </c>
      <c r="D110" s="611">
        <v>0</v>
      </c>
      <c r="E110" s="611">
        <v>0</v>
      </c>
      <c r="F110" s="611">
        <v>1.6468320076287117</v>
      </c>
      <c r="G110" s="611">
        <v>0</v>
      </c>
      <c r="H110" s="611">
        <v>25.682284030722609</v>
      </c>
      <c r="I110" s="611">
        <v>0</v>
      </c>
      <c r="J110" s="611">
        <v>0</v>
      </c>
      <c r="K110" s="611">
        <v>0</v>
      </c>
      <c r="L110" s="611">
        <v>45.576984042024812</v>
      </c>
      <c r="M110" s="611">
        <v>0</v>
      </c>
      <c r="N110" s="611">
        <v>0</v>
      </c>
      <c r="O110" s="611">
        <v>15.60756167783464</v>
      </c>
      <c r="P110" s="611">
        <v>92.9157768842542</v>
      </c>
      <c r="Q110" s="611">
        <v>2.574236293616976</v>
      </c>
      <c r="R110" s="611">
        <v>156.93618693881999</v>
      </c>
      <c r="S110" s="611">
        <v>24.427235185684346</v>
      </c>
      <c r="T110" s="611">
        <v>0</v>
      </c>
      <c r="U110" s="619">
        <v>365.36709706058627</v>
      </c>
      <c r="V110" s="51"/>
    </row>
    <row r="111" spans="3:22" x14ac:dyDescent="0.25">
      <c r="C111" s="618" t="s">
        <v>81</v>
      </c>
      <c r="D111" s="611">
        <v>0</v>
      </c>
      <c r="E111" s="611">
        <v>0</v>
      </c>
      <c r="F111" s="611">
        <v>1.271612584053831</v>
      </c>
      <c r="G111" s="611">
        <v>0</v>
      </c>
      <c r="H111" s="611">
        <v>17.420753976777231</v>
      </c>
      <c r="I111" s="611">
        <v>0</v>
      </c>
      <c r="J111" s="611">
        <v>0</v>
      </c>
      <c r="K111" s="611">
        <v>0</v>
      </c>
      <c r="L111" s="611">
        <v>0.56354292606487522</v>
      </c>
      <c r="M111" s="611">
        <v>0</v>
      </c>
      <c r="N111" s="611">
        <v>0</v>
      </c>
      <c r="O111" s="611">
        <v>10.586889072703848</v>
      </c>
      <c r="P111" s="611">
        <v>43.217503751158631</v>
      </c>
      <c r="Q111" s="611">
        <v>3.0292625971252525</v>
      </c>
      <c r="R111" s="611">
        <v>117.52524441411241</v>
      </c>
      <c r="S111" s="611">
        <v>18.837476459716978</v>
      </c>
      <c r="T111" s="611">
        <v>0</v>
      </c>
      <c r="U111" s="619">
        <v>212.45228578171304</v>
      </c>
      <c r="V111" s="51"/>
    </row>
    <row r="112" spans="3:22" x14ac:dyDescent="0.25">
      <c r="C112" s="618" t="s">
        <v>82</v>
      </c>
      <c r="D112" s="611">
        <v>0</v>
      </c>
      <c r="E112" s="611">
        <v>0</v>
      </c>
      <c r="F112" s="611">
        <v>15.53708337722879</v>
      </c>
      <c r="G112" s="611">
        <v>0</v>
      </c>
      <c r="H112" s="611">
        <v>1.1162643592180237</v>
      </c>
      <c r="I112" s="611">
        <v>0</v>
      </c>
      <c r="J112" s="611">
        <v>0</v>
      </c>
      <c r="K112" s="611">
        <v>0</v>
      </c>
      <c r="L112" s="611">
        <v>2.9587607663349296</v>
      </c>
      <c r="M112" s="611">
        <v>0</v>
      </c>
      <c r="N112" s="611">
        <v>12.733577925179564</v>
      </c>
      <c r="O112" s="611">
        <v>0.67837287425146786</v>
      </c>
      <c r="P112" s="611">
        <v>0.9</v>
      </c>
      <c r="Q112" s="611">
        <v>1.1655332190637568</v>
      </c>
      <c r="R112" s="611">
        <v>6.8855315935924812</v>
      </c>
      <c r="S112" s="611">
        <v>0</v>
      </c>
      <c r="T112" s="611">
        <v>0.44791890791865185</v>
      </c>
      <c r="U112" s="619">
        <v>42.423043022787667</v>
      </c>
      <c r="V112" s="51"/>
    </row>
    <row r="113" spans="3:22" x14ac:dyDescent="0.25">
      <c r="C113" s="618" t="s">
        <v>354</v>
      </c>
      <c r="D113" s="611">
        <v>0</v>
      </c>
      <c r="E113" s="611">
        <v>0</v>
      </c>
      <c r="F113" s="611">
        <v>0</v>
      </c>
      <c r="G113" s="611">
        <v>0</v>
      </c>
      <c r="H113" s="611">
        <v>0</v>
      </c>
      <c r="I113" s="611">
        <v>0</v>
      </c>
      <c r="J113" s="611">
        <v>0</v>
      </c>
      <c r="K113" s="611">
        <v>0</v>
      </c>
      <c r="L113" s="611">
        <v>0</v>
      </c>
      <c r="M113" s="611">
        <v>0</v>
      </c>
      <c r="N113" s="611">
        <v>0</v>
      </c>
      <c r="O113" s="611">
        <v>0</v>
      </c>
      <c r="P113" s="611">
        <v>0</v>
      </c>
      <c r="Q113" s="611">
        <v>0</v>
      </c>
      <c r="R113" s="611">
        <v>2.2597999999999998</v>
      </c>
      <c r="S113" s="611">
        <v>0</v>
      </c>
      <c r="T113" s="611">
        <v>0</v>
      </c>
      <c r="U113" s="619">
        <v>2.2597999999999998</v>
      </c>
      <c r="V113" s="51"/>
    </row>
    <row r="114" spans="3:22" x14ac:dyDescent="0.25">
      <c r="C114" s="614" t="s">
        <v>83</v>
      </c>
      <c r="D114" s="615">
        <v>3.1479512226953994</v>
      </c>
      <c r="E114" s="615">
        <v>0</v>
      </c>
      <c r="F114" s="615">
        <v>142.98919679080834</v>
      </c>
      <c r="G114" s="615">
        <v>1.1502523332163914</v>
      </c>
      <c r="H114" s="615">
        <v>96.787600476743606</v>
      </c>
      <c r="I114" s="615">
        <v>0</v>
      </c>
      <c r="J114" s="615">
        <v>0</v>
      </c>
      <c r="K114" s="615">
        <v>0</v>
      </c>
      <c r="L114" s="615">
        <v>71.172260771611434</v>
      </c>
      <c r="M114" s="615">
        <v>7.0398001823904393</v>
      </c>
      <c r="N114" s="615">
        <v>80.753762987485885</v>
      </c>
      <c r="O114" s="615">
        <v>58.856258245221454</v>
      </c>
      <c r="P114" s="615">
        <v>148.71329626041282</v>
      </c>
      <c r="Q114" s="615">
        <v>6.7697820119143319</v>
      </c>
      <c r="R114" s="615">
        <v>534.24763988968448</v>
      </c>
      <c r="S114" s="615">
        <v>63.625804262745703</v>
      </c>
      <c r="T114" s="615">
        <v>12.691355894307058</v>
      </c>
      <c r="U114" s="615">
        <v>1227.9449613292372</v>
      </c>
      <c r="V114" s="51"/>
    </row>
    <row r="115" spans="3:22" x14ac:dyDescent="0.25">
      <c r="C115" s="610" t="s">
        <v>84</v>
      </c>
      <c r="D115" s="611">
        <v>0</v>
      </c>
      <c r="E115" s="611">
        <v>0</v>
      </c>
      <c r="F115" s="611">
        <v>91.645744339605585</v>
      </c>
      <c r="G115" s="611">
        <v>1.9754203276001159</v>
      </c>
      <c r="H115" s="611">
        <v>9.8671998534986294</v>
      </c>
      <c r="I115" s="611">
        <v>0</v>
      </c>
      <c r="J115" s="611">
        <v>0</v>
      </c>
      <c r="K115" s="611">
        <v>0</v>
      </c>
      <c r="L115" s="611">
        <v>0.29558782815630974</v>
      </c>
      <c r="M115" s="611">
        <v>0</v>
      </c>
      <c r="N115" s="611">
        <v>22.091901685627885</v>
      </c>
      <c r="O115" s="611">
        <v>6.5407527819460896</v>
      </c>
      <c r="P115" s="611">
        <v>0</v>
      </c>
      <c r="Q115" s="611">
        <v>0</v>
      </c>
      <c r="R115" s="611">
        <v>0</v>
      </c>
      <c r="S115" s="611">
        <v>0</v>
      </c>
      <c r="T115" s="611">
        <v>24.889939650510044</v>
      </c>
      <c r="U115" s="619">
        <v>157.30654646694467</v>
      </c>
      <c r="V115" s="51"/>
    </row>
    <row r="116" spans="3:22" x14ac:dyDescent="0.25">
      <c r="C116" s="614" t="s">
        <v>85</v>
      </c>
      <c r="D116" s="615">
        <v>3.1479512226953994</v>
      </c>
      <c r="E116" s="615">
        <v>0</v>
      </c>
      <c r="F116" s="615">
        <v>234.63494113041392</v>
      </c>
      <c r="G116" s="615">
        <v>3.1256726608165071</v>
      </c>
      <c r="H116" s="615">
        <v>106.65480033024224</v>
      </c>
      <c r="I116" s="615">
        <v>0</v>
      </c>
      <c r="J116" s="615">
        <v>0</v>
      </c>
      <c r="K116" s="615">
        <v>0</v>
      </c>
      <c r="L116" s="615">
        <v>71.467848599767748</v>
      </c>
      <c r="M116" s="615">
        <v>7.0398001823904393</v>
      </c>
      <c r="N116" s="615">
        <v>102.84566467311377</v>
      </c>
      <c r="O116" s="615">
        <v>65.397011027167537</v>
      </c>
      <c r="P116" s="615">
        <v>148.71329626041282</v>
      </c>
      <c r="Q116" s="615">
        <v>6.7697820119143319</v>
      </c>
      <c r="R116" s="615">
        <v>534.24763988968448</v>
      </c>
      <c r="S116" s="615">
        <v>63.625804262745703</v>
      </c>
      <c r="T116" s="615">
        <v>37.581295544817102</v>
      </c>
      <c r="U116" s="615">
        <v>1385.2515077961818</v>
      </c>
      <c r="V116" s="51"/>
    </row>
    <row r="117" spans="3:22" x14ac:dyDescent="0.25">
      <c r="C117" s="51"/>
      <c r="D117" s="67">
        <v>0</v>
      </c>
      <c r="E117" s="67">
        <v>0</v>
      </c>
      <c r="F117" s="67">
        <v>0</v>
      </c>
      <c r="G117" s="67">
        <v>0</v>
      </c>
      <c r="H117" s="67">
        <v>0</v>
      </c>
      <c r="I117" s="67">
        <v>0</v>
      </c>
      <c r="J117" s="67">
        <v>0</v>
      </c>
      <c r="K117" s="67">
        <v>0</v>
      </c>
      <c r="L117" s="67">
        <v>0</v>
      </c>
      <c r="M117" s="67">
        <v>-4.2787984175518545E-4</v>
      </c>
      <c r="N117" s="67">
        <v>0</v>
      </c>
      <c r="O117" s="67">
        <v>-1.6431300764452317E-14</v>
      </c>
      <c r="P117" s="67">
        <v>0</v>
      </c>
      <c r="Q117" s="67">
        <v>0</v>
      </c>
      <c r="R117" s="67">
        <v>0</v>
      </c>
      <c r="S117" s="67">
        <v>7.1054273576010019E-15</v>
      </c>
      <c r="T117" s="67">
        <v>-6.2172489379008766E-15</v>
      </c>
      <c r="U117" s="67">
        <v>-4.278798414816265E-4</v>
      </c>
      <c r="V117" s="51"/>
    </row>
    <row r="118" spans="3:22" x14ac:dyDescent="0.25">
      <c r="C118" s="51"/>
      <c r="D118" s="51"/>
      <c r="E118" s="51"/>
      <c r="F118" s="51"/>
      <c r="G118" s="67"/>
      <c r="H118" s="51"/>
      <c r="I118" s="51"/>
      <c r="J118" s="51"/>
      <c r="K118" s="51"/>
      <c r="L118" s="51"/>
      <c r="M118" s="51"/>
      <c r="N118" s="51"/>
      <c r="O118" s="51"/>
      <c r="P118" s="51"/>
      <c r="Q118" s="51"/>
      <c r="R118" s="51"/>
      <c r="S118" s="51"/>
      <c r="T118" s="51"/>
      <c r="U118" s="51"/>
      <c r="V118" s="51"/>
    </row>
    <row r="119" spans="3:22" x14ac:dyDescent="0.25">
      <c r="C119" s="607" t="s">
        <v>360</v>
      </c>
      <c r="D119" s="606"/>
      <c r="E119" s="606"/>
      <c r="F119" s="606"/>
      <c r="G119" s="682"/>
      <c r="H119" s="606"/>
      <c r="I119" s="606"/>
      <c r="J119" s="606"/>
      <c r="K119" s="606"/>
      <c r="L119" s="606"/>
      <c r="M119" s="606"/>
      <c r="N119" s="606"/>
      <c r="O119" s="606"/>
      <c r="P119" s="606"/>
      <c r="Q119" s="606"/>
      <c r="R119" s="606"/>
      <c r="S119" s="606"/>
      <c r="T119" s="606"/>
      <c r="U119" s="606"/>
      <c r="V119" s="606"/>
    </row>
    <row r="120" spans="3:22" x14ac:dyDescent="0.25">
      <c r="C120" s="51"/>
      <c r="D120" s="51"/>
      <c r="E120" s="51"/>
      <c r="F120" s="51"/>
      <c r="G120" s="67"/>
      <c r="H120" s="51"/>
      <c r="I120" s="51"/>
      <c r="J120" s="51"/>
      <c r="K120" s="51"/>
      <c r="L120" s="51"/>
      <c r="M120" s="51"/>
      <c r="N120" s="51"/>
      <c r="O120" s="51"/>
      <c r="P120" s="51"/>
      <c r="Q120" s="51"/>
      <c r="R120" s="51"/>
      <c r="S120" s="51"/>
      <c r="T120" s="51"/>
      <c r="U120" s="51"/>
      <c r="V120" s="51"/>
    </row>
    <row r="121" spans="3:22" x14ac:dyDescent="0.25">
      <c r="C121" s="764" t="s">
        <v>128</v>
      </c>
      <c r="D121" s="753" t="s">
        <v>42</v>
      </c>
      <c r="E121" s="753" t="s">
        <v>52</v>
      </c>
      <c r="F121" s="753" t="s">
        <v>53</v>
      </c>
      <c r="G121" s="766" t="s">
        <v>482</v>
      </c>
      <c r="H121" s="753" t="s">
        <v>32</v>
      </c>
      <c r="I121" s="753" t="s">
        <v>483</v>
      </c>
      <c r="J121" s="753" t="s">
        <v>20</v>
      </c>
      <c r="K121" s="753" t="s">
        <v>55</v>
      </c>
      <c r="L121" s="761" t="s">
        <v>56</v>
      </c>
      <c r="M121" s="762"/>
      <c r="N121" s="762"/>
      <c r="O121" s="762"/>
      <c r="P121" s="762"/>
      <c r="Q121" s="763"/>
      <c r="R121" s="753" t="s">
        <v>57</v>
      </c>
      <c r="S121" s="753" t="s">
        <v>58</v>
      </c>
      <c r="T121" s="753" t="s">
        <v>31</v>
      </c>
      <c r="U121" s="753" t="s">
        <v>10</v>
      </c>
      <c r="V121" s="51"/>
    </row>
    <row r="122" spans="3:22" ht="36" x14ac:dyDescent="0.25">
      <c r="C122" s="765"/>
      <c r="D122" s="754"/>
      <c r="E122" s="754"/>
      <c r="F122" s="754"/>
      <c r="G122" s="767"/>
      <c r="H122" s="754"/>
      <c r="I122" s="754"/>
      <c r="J122" s="754"/>
      <c r="K122" s="754"/>
      <c r="L122" s="608" t="s">
        <v>335</v>
      </c>
      <c r="M122" s="608" t="s">
        <v>40</v>
      </c>
      <c r="N122" s="608" t="s">
        <v>343</v>
      </c>
      <c r="O122" s="608" t="s">
        <v>344</v>
      </c>
      <c r="P122" s="609" t="s">
        <v>345</v>
      </c>
      <c r="Q122" s="608" t="s">
        <v>346</v>
      </c>
      <c r="R122" s="754"/>
      <c r="S122" s="754"/>
      <c r="T122" s="754"/>
      <c r="U122" s="754"/>
      <c r="V122" s="51"/>
    </row>
    <row r="123" spans="3:22" x14ac:dyDescent="0.25">
      <c r="C123" s="610" t="s">
        <v>59</v>
      </c>
      <c r="D123" s="611">
        <v>0</v>
      </c>
      <c r="E123" s="611">
        <v>0</v>
      </c>
      <c r="F123" s="611">
        <v>0</v>
      </c>
      <c r="G123" s="611">
        <v>0</v>
      </c>
      <c r="H123" s="611">
        <v>0</v>
      </c>
      <c r="I123" s="611">
        <v>0</v>
      </c>
      <c r="J123" s="612">
        <v>1175.1327636363635</v>
      </c>
      <c r="K123" s="612">
        <v>409.44348403288171</v>
      </c>
      <c r="L123" s="612">
        <v>455.63054491967773</v>
      </c>
      <c r="M123" s="612">
        <v>21.888057205261063</v>
      </c>
      <c r="N123" s="611">
        <v>1.5769202529293118</v>
      </c>
      <c r="O123" s="611">
        <v>0.16705675062100381</v>
      </c>
      <c r="P123" s="612">
        <v>157.62105211134346</v>
      </c>
      <c r="Q123" s="612">
        <v>24.53711550235386</v>
      </c>
      <c r="R123" s="611">
        <v>0</v>
      </c>
      <c r="S123" s="611">
        <v>0</v>
      </c>
      <c r="T123" s="611">
        <v>0</v>
      </c>
      <c r="U123" s="613">
        <v>2245.9969944114318</v>
      </c>
      <c r="V123" s="51"/>
    </row>
    <row r="124" spans="3:22" x14ac:dyDescent="0.25">
      <c r="C124" s="610" t="s">
        <v>60</v>
      </c>
      <c r="D124" s="611">
        <v>13.340633881136302</v>
      </c>
      <c r="E124" s="611">
        <v>239.69119414034884</v>
      </c>
      <c r="F124" s="611">
        <v>4.6624671135986846</v>
      </c>
      <c r="G124" s="611">
        <v>0</v>
      </c>
      <c r="H124" s="611">
        <v>97.60128544811127</v>
      </c>
      <c r="I124" s="611">
        <v>0</v>
      </c>
      <c r="J124" s="611">
        <v>0</v>
      </c>
      <c r="K124" s="611">
        <v>0</v>
      </c>
      <c r="L124" s="611">
        <v>4.1311012816916577</v>
      </c>
      <c r="M124" s="611">
        <v>0</v>
      </c>
      <c r="N124" s="611">
        <v>5.4710090626624357</v>
      </c>
      <c r="O124" s="611">
        <v>0</v>
      </c>
      <c r="P124" s="611">
        <v>0</v>
      </c>
      <c r="Q124" s="611">
        <v>0</v>
      </c>
      <c r="R124" s="611">
        <v>0</v>
      </c>
      <c r="S124" s="611">
        <v>0</v>
      </c>
      <c r="T124" s="611">
        <v>0</v>
      </c>
      <c r="U124" s="613">
        <v>364.89769092754926</v>
      </c>
      <c r="V124" s="51"/>
    </row>
    <row r="125" spans="3:22" x14ac:dyDescent="0.25">
      <c r="C125" s="610" t="s">
        <v>61</v>
      </c>
      <c r="D125" s="611">
        <v>0</v>
      </c>
      <c r="E125" s="611">
        <v>0</v>
      </c>
      <c r="F125" s="611">
        <v>-17.494356691854108</v>
      </c>
      <c r="G125" s="611">
        <v>-1.7254456421765063</v>
      </c>
      <c r="H125" s="611">
        <v>0</v>
      </c>
      <c r="I125" s="611">
        <v>0</v>
      </c>
      <c r="J125" s="611">
        <v>0</v>
      </c>
      <c r="K125" s="611">
        <v>0</v>
      </c>
      <c r="L125" s="611">
        <v>0</v>
      </c>
      <c r="M125" s="611">
        <v>0</v>
      </c>
      <c r="N125" s="611">
        <v>0</v>
      </c>
      <c r="O125" s="611">
        <v>0</v>
      </c>
      <c r="P125" s="611">
        <v>0</v>
      </c>
      <c r="Q125" s="611">
        <v>0</v>
      </c>
      <c r="R125" s="611">
        <v>-53.009184488039523</v>
      </c>
      <c r="S125" s="611">
        <v>0</v>
      </c>
      <c r="T125" s="611">
        <v>0</v>
      </c>
      <c r="U125" s="613">
        <v>-72.228986822070141</v>
      </c>
      <c r="V125" s="51"/>
    </row>
    <row r="126" spans="3:22" x14ac:dyDescent="0.25">
      <c r="C126" s="610" t="s">
        <v>62</v>
      </c>
      <c r="D126" s="611">
        <v>0</v>
      </c>
      <c r="E126" s="611">
        <v>0</v>
      </c>
      <c r="F126" s="611">
        <v>-5.0879563574801514</v>
      </c>
      <c r="G126" s="611">
        <v>-4.1045183661856841</v>
      </c>
      <c r="H126" s="611">
        <v>0</v>
      </c>
      <c r="I126" s="611">
        <v>-3.6084739343150005</v>
      </c>
      <c r="J126" s="611">
        <v>0</v>
      </c>
      <c r="K126" s="611">
        <v>0</v>
      </c>
      <c r="L126" s="611">
        <v>0</v>
      </c>
      <c r="M126" s="611">
        <v>0</v>
      </c>
      <c r="N126" s="611">
        <v>-1.3861783673523449</v>
      </c>
      <c r="O126" s="611">
        <v>-2.4056492895433337</v>
      </c>
      <c r="P126" s="611">
        <v>0</v>
      </c>
      <c r="Q126" s="611">
        <v>0</v>
      </c>
      <c r="R126" s="611">
        <v>0</v>
      </c>
      <c r="S126" s="611">
        <v>0</v>
      </c>
      <c r="T126" s="611">
        <v>-1.1711400462326651</v>
      </c>
      <c r="U126" s="613">
        <v>-17.763916361109182</v>
      </c>
      <c r="V126" s="51"/>
    </row>
    <row r="127" spans="3:22" x14ac:dyDescent="0.25">
      <c r="C127" s="610" t="s">
        <v>63</v>
      </c>
      <c r="D127" s="611">
        <v>0</v>
      </c>
      <c r="E127" s="611">
        <v>0</v>
      </c>
      <c r="F127" s="611">
        <v>-39.079068395762839</v>
      </c>
      <c r="G127" s="611">
        <v>-8.2277507760007769</v>
      </c>
      <c r="H127" s="611">
        <v>0</v>
      </c>
      <c r="I127" s="611">
        <v>0</v>
      </c>
      <c r="J127" s="611">
        <v>0</v>
      </c>
      <c r="K127" s="611">
        <v>0</v>
      </c>
      <c r="L127" s="611">
        <v>0</v>
      </c>
      <c r="M127" s="611">
        <v>0</v>
      </c>
      <c r="N127" s="611">
        <v>-15.189693740309128</v>
      </c>
      <c r="O127" s="611">
        <v>0</v>
      </c>
      <c r="P127" s="611">
        <v>0</v>
      </c>
      <c r="Q127" s="611">
        <v>0</v>
      </c>
      <c r="R127" s="611">
        <v>0</v>
      </c>
      <c r="S127" s="611">
        <v>0</v>
      </c>
      <c r="T127" s="611">
        <v>-2.6141112366127883</v>
      </c>
      <c r="U127" s="613">
        <v>-65.110624148685531</v>
      </c>
      <c r="V127" s="51"/>
    </row>
    <row r="128" spans="3:22" x14ac:dyDescent="0.25">
      <c r="C128" s="610" t="s">
        <v>64</v>
      </c>
      <c r="D128" s="611">
        <v>0</v>
      </c>
      <c r="E128" s="611">
        <v>0</v>
      </c>
      <c r="F128" s="611">
        <v>0</v>
      </c>
      <c r="G128" s="611">
        <v>0</v>
      </c>
      <c r="H128" s="611">
        <v>0</v>
      </c>
      <c r="I128" s="611">
        <v>0</v>
      </c>
      <c r="J128" s="611">
        <v>0</v>
      </c>
      <c r="K128" s="611">
        <v>0</v>
      </c>
      <c r="L128" s="611">
        <v>0</v>
      </c>
      <c r="M128" s="611">
        <v>0</v>
      </c>
      <c r="N128" s="611">
        <v>0</v>
      </c>
      <c r="O128" s="611">
        <v>0</v>
      </c>
      <c r="P128" s="611">
        <v>0</v>
      </c>
      <c r="Q128" s="611">
        <v>0</v>
      </c>
      <c r="R128" s="611">
        <v>0</v>
      </c>
      <c r="S128" s="611">
        <v>0</v>
      </c>
      <c r="T128" s="611">
        <v>0</v>
      </c>
      <c r="U128" s="613">
        <v>0</v>
      </c>
      <c r="V128" s="51"/>
    </row>
    <row r="129" spans="3:22" x14ac:dyDescent="0.25">
      <c r="C129" s="614" t="s">
        <v>65</v>
      </c>
      <c r="D129" s="615">
        <v>13.340633881136302</v>
      </c>
      <c r="E129" s="615">
        <v>239.69119414034884</v>
      </c>
      <c r="F129" s="615">
        <v>-56.998914331498412</v>
      </c>
      <c r="G129" s="615">
        <v>-14.057714784362968</v>
      </c>
      <c r="H129" s="615">
        <v>97.60128544811127</v>
      </c>
      <c r="I129" s="615">
        <v>-3.6084739343150005</v>
      </c>
      <c r="J129" s="615">
        <v>1175.1327636363635</v>
      </c>
      <c r="K129" s="615">
        <v>409.44348403288171</v>
      </c>
      <c r="L129" s="615">
        <v>459.76164620136939</v>
      </c>
      <c r="M129" s="615">
        <v>21.888057205261063</v>
      </c>
      <c r="N129" s="615">
        <v>-9.5279427920697266</v>
      </c>
      <c r="O129" s="615">
        <v>-2.23859253892233</v>
      </c>
      <c r="P129" s="615">
        <v>157.62105211134346</v>
      </c>
      <c r="Q129" s="615">
        <v>24.53711550235386</v>
      </c>
      <c r="R129" s="615">
        <v>-53.009184488039523</v>
      </c>
      <c r="S129" s="615">
        <v>0</v>
      </c>
      <c r="T129" s="615">
        <v>-3.7852512828454534</v>
      </c>
      <c r="U129" s="615">
        <v>2455.7911580071163</v>
      </c>
      <c r="V129" s="51"/>
    </row>
    <row r="130" spans="3:22" x14ac:dyDescent="0.25">
      <c r="C130" s="616"/>
      <c r="D130" s="617"/>
      <c r="E130" s="617"/>
      <c r="F130" s="617"/>
      <c r="G130" s="617"/>
      <c r="H130" s="623"/>
      <c r="I130" s="617"/>
      <c r="J130" s="617"/>
      <c r="K130" s="617"/>
      <c r="L130" s="617"/>
      <c r="M130" s="617"/>
      <c r="N130" s="617"/>
      <c r="O130" s="617"/>
      <c r="P130" s="617"/>
      <c r="Q130" s="617"/>
      <c r="R130" s="617"/>
      <c r="S130" s="617"/>
      <c r="T130" s="617"/>
      <c r="U130" s="617"/>
      <c r="V130" s="51"/>
    </row>
    <row r="131" spans="3:22" x14ac:dyDescent="0.25">
      <c r="C131" s="618" t="s">
        <v>67</v>
      </c>
      <c r="D131" s="611">
        <v>0</v>
      </c>
      <c r="E131" s="611">
        <v>0</v>
      </c>
      <c r="F131" s="611">
        <v>0</v>
      </c>
      <c r="G131" s="611">
        <v>0</v>
      </c>
      <c r="H131" s="611">
        <v>0</v>
      </c>
      <c r="I131" s="611">
        <v>0</v>
      </c>
      <c r="J131" s="611">
        <v>0</v>
      </c>
      <c r="K131" s="611">
        <v>0</v>
      </c>
      <c r="L131" s="611">
        <v>0</v>
      </c>
      <c r="M131" s="611">
        <v>0</v>
      </c>
      <c r="N131" s="611">
        <v>0</v>
      </c>
      <c r="O131" s="611">
        <v>0</v>
      </c>
      <c r="P131" s="611">
        <v>0</v>
      </c>
      <c r="Q131" s="611">
        <v>0</v>
      </c>
      <c r="R131" s="611">
        <v>0</v>
      </c>
      <c r="S131" s="611">
        <v>0</v>
      </c>
      <c r="T131" s="611">
        <v>0</v>
      </c>
      <c r="U131" s="619">
        <v>0</v>
      </c>
      <c r="V131" s="51"/>
    </row>
    <row r="132" spans="3:22" x14ac:dyDescent="0.25">
      <c r="C132" s="618" t="s">
        <v>347</v>
      </c>
      <c r="D132" s="611">
        <v>0</v>
      </c>
      <c r="E132" s="611">
        <v>0</v>
      </c>
      <c r="F132" s="611">
        <v>6.6151953400033478E-2</v>
      </c>
      <c r="G132" s="611">
        <v>0</v>
      </c>
      <c r="H132" s="611">
        <v>0.83875095652173937</v>
      </c>
      <c r="I132" s="611">
        <v>0</v>
      </c>
      <c r="J132" s="611">
        <v>1175.1327636363635</v>
      </c>
      <c r="K132" s="611">
        <v>409.44348403288171</v>
      </c>
      <c r="L132" s="611">
        <v>23.084193835391716</v>
      </c>
      <c r="M132" s="611">
        <v>0.60990924478748687</v>
      </c>
      <c r="N132" s="611">
        <v>5.6269378379330357</v>
      </c>
      <c r="O132" s="611">
        <v>0.80015093186061059</v>
      </c>
      <c r="P132" s="611">
        <v>0</v>
      </c>
      <c r="Q132" s="611">
        <v>6.4327567473291545</v>
      </c>
      <c r="R132" s="611">
        <v>-844.61232621268675</v>
      </c>
      <c r="S132" s="611">
        <v>0</v>
      </c>
      <c r="T132" s="611">
        <v>3.6921899999999996</v>
      </c>
      <c r="U132" s="619">
        <v>781.1149629637822</v>
      </c>
      <c r="V132" s="51"/>
    </row>
    <row r="133" spans="3:22" x14ac:dyDescent="0.25">
      <c r="C133" s="618" t="s">
        <v>348</v>
      </c>
      <c r="D133" s="611">
        <v>0</v>
      </c>
      <c r="E133" s="611">
        <v>0</v>
      </c>
      <c r="F133" s="611">
        <v>0</v>
      </c>
      <c r="G133" s="611">
        <v>0</v>
      </c>
      <c r="H133" s="611">
        <v>7.3970017533359673</v>
      </c>
      <c r="I133" s="611">
        <v>0</v>
      </c>
      <c r="J133" s="611">
        <v>0</v>
      </c>
      <c r="K133" s="611">
        <v>0</v>
      </c>
      <c r="L133" s="611">
        <v>35.211219886643882</v>
      </c>
      <c r="M133" s="611">
        <v>14.290044583270845</v>
      </c>
      <c r="N133" s="611">
        <v>0</v>
      </c>
      <c r="O133" s="611">
        <v>6.0665861374245376</v>
      </c>
      <c r="P133" s="611">
        <v>0</v>
      </c>
      <c r="Q133" s="611">
        <v>10.923199976732462</v>
      </c>
      <c r="R133" s="611">
        <v>0</v>
      </c>
      <c r="S133" s="611">
        <v>-68.689846406921419</v>
      </c>
      <c r="T133" s="611">
        <v>0</v>
      </c>
      <c r="U133" s="619">
        <v>5.1982059304862673</v>
      </c>
      <c r="V133" s="51"/>
    </row>
    <row r="134" spans="3:22" x14ac:dyDescent="0.25">
      <c r="C134" s="618" t="s">
        <v>349</v>
      </c>
      <c r="D134" s="611">
        <v>0</v>
      </c>
      <c r="E134" s="611">
        <v>0</v>
      </c>
      <c r="F134" s="611">
        <v>0</v>
      </c>
      <c r="G134" s="611">
        <v>0</v>
      </c>
      <c r="H134" s="611">
        <v>0</v>
      </c>
      <c r="I134" s="611">
        <v>0</v>
      </c>
      <c r="J134" s="611">
        <v>0</v>
      </c>
      <c r="K134" s="611">
        <v>0</v>
      </c>
      <c r="L134" s="611">
        <v>91.2295818617647</v>
      </c>
      <c r="M134" s="611">
        <v>0</v>
      </c>
      <c r="N134" s="611">
        <v>0</v>
      </c>
      <c r="O134" s="611">
        <v>-82.683413983490482</v>
      </c>
      <c r="P134" s="611">
        <v>0</v>
      </c>
      <c r="Q134" s="611">
        <v>0</v>
      </c>
      <c r="R134" s="611">
        <v>0</v>
      </c>
      <c r="S134" s="611">
        <v>0</v>
      </c>
      <c r="T134" s="611">
        <v>0</v>
      </c>
      <c r="U134" s="619">
        <v>8.5461678782742183</v>
      </c>
      <c r="V134" s="51"/>
    </row>
    <row r="135" spans="3:22" x14ac:dyDescent="0.25">
      <c r="C135" s="618" t="s">
        <v>350</v>
      </c>
      <c r="D135" s="611">
        <v>0</v>
      </c>
      <c r="E135" s="611">
        <v>0</v>
      </c>
      <c r="F135" s="611">
        <v>0</v>
      </c>
      <c r="G135" s="611">
        <v>0</v>
      </c>
      <c r="H135" s="611">
        <v>0</v>
      </c>
      <c r="I135" s="611">
        <v>-3.6084739343150005</v>
      </c>
      <c r="J135" s="611">
        <v>0</v>
      </c>
      <c r="K135" s="611">
        <v>0</v>
      </c>
      <c r="L135" s="611">
        <v>0</v>
      </c>
      <c r="M135" s="611">
        <v>0</v>
      </c>
      <c r="N135" s="611">
        <v>0</v>
      </c>
      <c r="O135" s="611">
        <v>0</v>
      </c>
      <c r="P135" s="611">
        <v>0</v>
      </c>
      <c r="Q135" s="611">
        <v>0</v>
      </c>
      <c r="R135" s="611">
        <v>0</v>
      </c>
      <c r="S135" s="611">
        <v>0</v>
      </c>
      <c r="T135" s="611">
        <v>5.0117693532152785</v>
      </c>
      <c r="U135" s="619">
        <v>1.403295418900278</v>
      </c>
      <c r="V135" s="51"/>
    </row>
    <row r="136" spans="3:22" x14ac:dyDescent="0.25">
      <c r="C136" s="618" t="s">
        <v>72</v>
      </c>
      <c r="D136" s="611">
        <v>0</v>
      </c>
      <c r="E136" s="611">
        <v>248.37987406049137</v>
      </c>
      <c r="F136" s="611">
        <v>-245.90430306488159</v>
      </c>
      <c r="G136" s="611">
        <v>0</v>
      </c>
      <c r="H136" s="611">
        <v>0</v>
      </c>
      <c r="I136" s="611">
        <v>0</v>
      </c>
      <c r="J136" s="611">
        <v>0</v>
      </c>
      <c r="K136" s="611">
        <v>0</v>
      </c>
      <c r="L136" s="611">
        <v>0</v>
      </c>
      <c r="M136" s="611">
        <v>0</v>
      </c>
      <c r="N136" s="611">
        <v>0</v>
      </c>
      <c r="O136" s="611">
        <v>0</v>
      </c>
      <c r="P136" s="611">
        <v>0</v>
      </c>
      <c r="Q136" s="611">
        <v>0</v>
      </c>
      <c r="R136" s="611">
        <v>0</v>
      </c>
      <c r="S136" s="611">
        <v>0</v>
      </c>
      <c r="T136" s="611">
        <v>0</v>
      </c>
      <c r="U136" s="619">
        <v>2.475570995609786</v>
      </c>
      <c r="V136" s="51"/>
    </row>
    <row r="137" spans="3:22" x14ac:dyDescent="0.25">
      <c r="C137" s="618" t="s">
        <v>351</v>
      </c>
      <c r="D137" s="611">
        <v>0</v>
      </c>
      <c r="E137" s="611">
        <v>0</v>
      </c>
      <c r="F137" s="611">
        <v>0</v>
      </c>
      <c r="G137" s="611">
        <v>0</v>
      </c>
      <c r="H137" s="611">
        <v>0</v>
      </c>
      <c r="I137" s="611">
        <v>0</v>
      </c>
      <c r="J137" s="611">
        <v>0</v>
      </c>
      <c r="K137" s="611">
        <v>0</v>
      </c>
      <c r="L137" s="611">
        <v>241.23547887431721</v>
      </c>
      <c r="M137" s="611">
        <v>0</v>
      </c>
      <c r="N137" s="611">
        <v>-132.67951338087448</v>
      </c>
      <c r="O137" s="611">
        <v>0</v>
      </c>
      <c r="P137" s="611">
        <v>0</v>
      </c>
      <c r="Q137" s="611">
        <v>0</v>
      </c>
      <c r="R137" s="611">
        <v>0</v>
      </c>
      <c r="S137" s="611">
        <v>0</v>
      </c>
      <c r="T137" s="611">
        <v>0</v>
      </c>
      <c r="U137" s="619">
        <v>108.55596549344273</v>
      </c>
      <c r="V137" s="51"/>
    </row>
    <row r="138" spans="3:22" x14ac:dyDescent="0.25">
      <c r="C138" s="618" t="s">
        <v>352</v>
      </c>
      <c r="D138" s="611">
        <v>0</v>
      </c>
      <c r="E138" s="611">
        <v>0</v>
      </c>
      <c r="F138" s="611">
        <v>0</v>
      </c>
      <c r="G138" s="611">
        <v>-17.665386413709186</v>
      </c>
      <c r="H138" s="611">
        <v>0</v>
      </c>
      <c r="I138" s="611">
        <v>0</v>
      </c>
      <c r="J138" s="611">
        <v>0</v>
      </c>
      <c r="K138" s="611">
        <v>0</v>
      </c>
      <c r="L138" s="611">
        <v>0</v>
      </c>
      <c r="M138" s="611">
        <v>0</v>
      </c>
      <c r="N138" s="611">
        <v>0</v>
      </c>
      <c r="O138" s="611">
        <v>0</v>
      </c>
      <c r="P138" s="611">
        <v>0</v>
      </c>
      <c r="Q138" s="611">
        <v>0</v>
      </c>
      <c r="R138" s="611">
        <v>0</v>
      </c>
      <c r="S138" s="611">
        <v>0</v>
      </c>
      <c r="T138" s="611">
        <v>23.034172245220685</v>
      </c>
      <c r="U138" s="619">
        <v>5.3687858315114987</v>
      </c>
      <c r="V138" s="51"/>
    </row>
    <row r="139" spans="3:22" x14ac:dyDescent="0.25">
      <c r="C139" s="618" t="s">
        <v>73</v>
      </c>
      <c r="D139" s="611">
        <v>0</v>
      </c>
      <c r="E139" s="611">
        <v>0</v>
      </c>
      <c r="F139" s="611">
        <v>0</v>
      </c>
      <c r="G139" s="611">
        <v>0</v>
      </c>
      <c r="H139" s="611">
        <v>0</v>
      </c>
      <c r="I139" s="611">
        <v>0</v>
      </c>
      <c r="J139" s="611">
        <v>0</v>
      </c>
      <c r="K139" s="611">
        <v>0</v>
      </c>
      <c r="L139" s="611">
        <v>0</v>
      </c>
      <c r="M139" s="611">
        <v>0</v>
      </c>
      <c r="N139" s="611">
        <v>0</v>
      </c>
      <c r="O139" s="611">
        <v>0</v>
      </c>
      <c r="P139" s="611">
        <v>0</v>
      </c>
      <c r="Q139" s="611">
        <v>0</v>
      </c>
      <c r="R139" s="611">
        <v>117.85286984461516</v>
      </c>
      <c r="S139" s="611">
        <v>0</v>
      </c>
      <c r="T139" s="611">
        <v>-80.729215843561391</v>
      </c>
      <c r="U139" s="619">
        <v>37.123654001053765</v>
      </c>
      <c r="V139" s="51"/>
    </row>
    <row r="140" spans="3:22" x14ac:dyDescent="0.25">
      <c r="C140" s="618" t="s">
        <v>353</v>
      </c>
      <c r="D140" s="611">
        <v>7.6015399218749993</v>
      </c>
      <c r="E140" s="611">
        <v>-8.6886799201425244</v>
      </c>
      <c r="F140" s="611">
        <v>11.323469941688563</v>
      </c>
      <c r="G140" s="611">
        <v>0</v>
      </c>
      <c r="H140" s="611">
        <v>0</v>
      </c>
      <c r="I140" s="611">
        <v>0</v>
      </c>
      <c r="J140" s="611">
        <v>0</v>
      </c>
      <c r="K140" s="611">
        <v>0</v>
      </c>
      <c r="L140" s="611">
        <v>0</v>
      </c>
      <c r="M140" s="611">
        <v>0</v>
      </c>
      <c r="N140" s="611">
        <v>0</v>
      </c>
      <c r="O140" s="611">
        <v>0</v>
      </c>
      <c r="P140" s="611">
        <v>0</v>
      </c>
      <c r="Q140" s="611">
        <v>0</v>
      </c>
      <c r="R140" s="611">
        <v>0</v>
      </c>
      <c r="S140" s="611">
        <v>0</v>
      </c>
      <c r="T140" s="611">
        <v>0</v>
      </c>
      <c r="U140" s="619">
        <v>10.236329943421037</v>
      </c>
      <c r="V140" s="51"/>
    </row>
    <row r="141" spans="3:22" x14ac:dyDescent="0.25">
      <c r="C141" s="618" t="s">
        <v>75</v>
      </c>
      <c r="D141" s="611">
        <v>2.9561544140625</v>
      </c>
      <c r="E141" s="611">
        <v>0</v>
      </c>
      <c r="F141" s="611">
        <v>8.5207834498967969</v>
      </c>
      <c r="G141" s="611">
        <v>0</v>
      </c>
      <c r="H141" s="611">
        <v>2.8438669910513061</v>
      </c>
      <c r="I141" s="611">
        <v>0</v>
      </c>
      <c r="J141" s="611">
        <v>0</v>
      </c>
      <c r="K141" s="611">
        <v>0</v>
      </c>
      <c r="L141" s="611">
        <v>0</v>
      </c>
      <c r="M141" s="611">
        <v>0</v>
      </c>
      <c r="N141" s="611">
        <v>0</v>
      </c>
      <c r="O141" s="611">
        <v>2.3268002654056139</v>
      </c>
      <c r="P141" s="611">
        <v>0</v>
      </c>
      <c r="Q141" s="611">
        <v>0</v>
      </c>
      <c r="R141" s="611">
        <v>65.316211737855681</v>
      </c>
      <c r="S141" s="611">
        <v>0</v>
      </c>
      <c r="T141" s="611">
        <v>0</v>
      </c>
      <c r="U141" s="619">
        <v>81.963816858271898</v>
      </c>
      <c r="V141" s="51"/>
    </row>
    <row r="142" spans="3:22" x14ac:dyDescent="0.25">
      <c r="C142" s="618" t="s">
        <v>76</v>
      </c>
      <c r="D142" s="611">
        <v>0</v>
      </c>
      <c r="E142" s="611">
        <v>0</v>
      </c>
      <c r="F142" s="611">
        <v>0</v>
      </c>
      <c r="G142" s="611">
        <v>0</v>
      </c>
      <c r="H142" s="611">
        <v>1.0508214280770161</v>
      </c>
      <c r="I142" s="611">
        <v>0</v>
      </c>
      <c r="J142" s="611">
        <v>0</v>
      </c>
      <c r="K142" s="611">
        <v>0</v>
      </c>
      <c r="L142" s="611">
        <v>0</v>
      </c>
      <c r="M142" s="611">
        <v>0</v>
      </c>
      <c r="N142" s="611">
        <v>0</v>
      </c>
      <c r="O142" s="611">
        <v>0.85976298660846773</v>
      </c>
      <c r="P142" s="611">
        <v>0</v>
      </c>
      <c r="Q142" s="611">
        <v>0</v>
      </c>
      <c r="R142" s="611">
        <v>60.605480102995763</v>
      </c>
      <c r="S142" s="611">
        <v>5.3274820450671472</v>
      </c>
      <c r="T142" s="611">
        <v>0</v>
      </c>
      <c r="U142" s="619">
        <v>67.843546562748386</v>
      </c>
      <c r="V142" s="51"/>
    </row>
    <row r="143" spans="3:22" x14ac:dyDescent="0.25">
      <c r="C143" s="614" t="s">
        <v>77</v>
      </c>
      <c r="D143" s="615">
        <v>10.5576943359375</v>
      </c>
      <c r="E143" s="615">
        <v>239.69119414034884</v>
      </c>
      <c r="F143" s="615">
        <v>-225.99389771989621</v>
      </c>
      <c r="G143" s="615">
        <v>-17.665386413709186</v>
      </c>
      <c r="H143" s="615">
        <v>12.13044112898603</v>
      </c>
      <c r="I143" s="615">
        <v>-3.6084739343150005</v>
      </c>
      <c r="J143" s="615">
        <v>1175.1327636363635</v>
      </c>
      <c r="K143" s="615">
        <v>409.44348403288171</v>
      </c>
      <c r="L143" s="615">
        <v>390.76047445811753</v>
      </c>
      <c r="M143" s="615">
        <v>14.899953828058331</v>
      </c>
      <c r="N143" s="615">
        <v>-127.05257554294144</v>
      </c>
      <c r="O143" s="615">
        <v>-72.630113662191249</v>
      </c>
      <c r="P143" s="615">
        <v>0</v>
      </c>
      <c r="Q143" s="615">
        <v>17.355956724061617</v>
      </c>
      <c r="R143" s="615">
        <v>-600.83776452722009</v>
      </c>
      <c r="S143" s="615">
        <v>-63.362364361854269</v>
      </c>
      <c r="T143" s="615">
        <v>-48.991084245125428</v>
      </c>
      <c r="U143" s="615">
        <v>1109.8303018775021</v>
      </c>
      <c r="V143" s="51"/>
    </row>
    <row r="144" spans="3:22" x14ac:dyDescent="0.25">
      <c r="C144" s="616"/>
      <c r="D144" s="617"/>
      <c r="E144" s="617"/>
      <c r="F144" s="617"/>
      <c r="G144" s="617"/>
      <c r="H144" s="623"/>
      <c r="I144" s="617"/>
      <c r="J144" s="617"/>
      <c r="K144" s="617"/>
      <c r="L144" s="617"/>
      <c r="M144" s="617"/>
      <c r="N144" s="617"/>
      <c r="O144" s="617"/>
      <c r="P144" s="617"/>
      <c r="Q144" s="617"/>
      <c r="R144" s="617"/>
      <c r="S144" s="617"/>
      <c r="T144" s="617"/>
      <c r="U144" s="617"/>
      <c r="V144" s="51"/>
    </row>
    <row r="145" spans="3:22" x14ac:dyDescent="0.25">
      <c r="C145" s="618" t="s">
        <v>78</v>
      </c>
      <c r="D145" s="611">
        <v>2.7829395451988024</v>
      </c>
      <c r="E145" s="611">
        <v>0</v>
      </c>
      <c r="F145" s="611">
        <v>5.9508631597557615</v>
      </c>
      <c r="G145" s="611">
        <v>0</v>
      </c>
      <c r="H145" s="611">
        <v>39.502554352900951</v>
      </c>
      <c r="I145" s="611">
        <v>0</v>
      </c>
      <c r="J145" s="611">
        <v>0</v>
      </c>
      <c r="K145" s="611">
        <v>0</v>
      </c>
      <c r="L145" s="611">
        <v>22.312304964799452</v>
      </c>
      <c r="M145" s="611">
        <v>6.9877021638277412</v>
      </c>
      <c r="N145" s="611">
        <v>2.0803229791147206</v>
      </c>
      <c r="O145" s="611">
        <v>32.358934550865669</v>
      </c>
      <c r="P145" s="611">
        <v>13.3040771484375</v>
      </c>
      <c r="Q145" s="611">
        <v>7.8820466826144567E-4</v>
      </c>
      <c r="R145" s="611">
        <v>173.89525275416003</v>
      </c>
      <c r="S145" s="611">
        <v>20.634753208520429</v>
      </c>
      <c r="T145" s="611">
        <v>9.0650810546875</v>
      </c>
      <c r="U145" s="619">
        <v>328.87557408693681</v>
      </c>
      <c r="V145" s="51"/>
    </row>
    <row r="146" spans="3:22" x14ac:dyDescent="0.25">
      <c r="C146" s="618" t="s">
        <v>79</v>
      </c>
      <c r="D146" s="611">
        <v>0</v>
      </c>
      <c r="E146" s="611">
        <v>0</v>
      </c>
      <c r="F146" s="611">
        <v>66.70797411064288</v>
      </c>
      <c r="G146" s="611">
        <v>1.4882117515392765</v>
      </c>
      <c r="H146" s="611">
        <v>4.2678947974839696</v>
      </c>
      <c r="I146" s="611">
        <v>0</v>
      </c>
      <c r="J146" s="611">
        <v>0</v>
      </c>
      <c r="K146" s="611">
        <v>0</v>
      </c>
      <c r="L146" s="611">
        <v>0</v>
      </c>
      <c r="M146" s="611">
        <v>0</v>
      </c>
      <c r="N146" s="611">
        <v>73.593483349125535</v>
      </c>
      <c r="O146" s="611">
        <v>3.4919139252141571</v>
      </c>
      <c r="P146" s="611">
        <v>0</v>
      </c>
      <c r="Q146" s="611">
        <v>0</v>
      </c>
      <c r="R146" s="611">
        <v>93.510067312183125</v>
      </c>
      <c r="S146" s="611">
        <v>0</v>
      </c>
      <c r="T146" s="611">
        <v>4.8685919891456626</v>
      </c>
      <c r="U146" s="619">
        <v>247.92813723533465</v>
      </c>
      <c r="V146" s="51"/>
    </row>
    <row r="147" spans="3:22" x14ac:dyDescent="0.25">
      <c r="C147" s="618" t="s">
        <v>80</v>
      </c>
      <c r="D147" s="611">
        <v>0</v>
      </c>
      <c r="E147" s="611">
        <v>0</v>
      </c>
      <c r="F147" s="611">
        <v>0.70989784165710235</v>
      </c>
      <c r="G147" s="611">
        <v>0</v>
      </c>
      <c r="H147" s="611">
        <v>19.424181377554081</v>
      </c>
      <c r="I147" s="611">
        <v>0</v>
      </c>
      <c r="J147" s="611">
        <v>0</v>
      </c>
      <c r="K147" s="611">
        <v>0</v>
      </c>
      <c r="L147" s="611">
        <v>42.672719714557346</v>
      </c>
      <c r="M147" s="611">
        <v>0</v>
      </c>
      <c r="N147" s="611">
        <v>0</v>
      </c>
      <c r="O147" s="611">
        <v>15.89251203618061</v>
      </c>
      <c r="P147" s="611">
        <v>97.294965653266104</v>
      </c>
      <c r="Q147" s="611">
        <v>2.7285855468891569</v>
      </c>
      <c r="R147" s="611">
        <v>153.62760172238077</v>
      </c>
      <c r="S147" s="611">
        <v>23.742467864871486</v>
      </c>
      <c r="T147" s="611">
        <v>0</v>
      </c>
      <c r="U147" s="619">
        <v>356.09293175735661</v>
      </c>
      <c r="V147" s="51"/>
    </row>
    <row r="148" spans="3:22" x14ac:dyDescent="0.25">
      <c r="C148" s="618" t="s">
        <v>81</v>
      </c>
      <c r="D148" s="611">
        <v>0</v>
      </c>
      <c r="E148" s="611">
        <v>0</v>
      </c>
      <c r="F148" s="611">
        <v>0.74292942782649596</v>
      </c>
      <c r="G148" s="611">
        <v>0</v>
      </c>
      <c r="H148" s="611">
        <v>12.370805829410971</v>
      </c>
      <c r="I148" s="611">
        <v>0</v>
      </c>
      <c r="J148" s="611">
        <v>0</v>
      </c>
      <c r="K148" s="611">
        <v>0</v>
      </c>
      <c r="L148" s="611">
        <v>0.54085293774126075</v>
      </c>
      <c r="M148" s="611">
        <v>0</v>
      </c>
      <c r="N148" s="611">
        <v>0</v>
      </c>
      <c r="O148" s="611">
        <v>10.121568405881703</v>
      </c>
      <c r="P148" s="611">
        <v>46.022009309639856</v>
      </c>
      <c r="Q148" s="611">
        <v>3.1511646453296667</v>
      </c>
      <c r="R148" s="611">
        <v>116.64209363039593</v>
      </c>
      <c r="S148" s="611">
        <v>18.985143288462343</v>
      </c>
      <c r="T148" s="611">
        <v>0</v>
      </c>
      <c r="U148" s="619">
        <v>208.57656747468823</v>
      </c>
      <c r="V148" s="51"/>
    </row>
    <row r="149" spans="3:22" x14ac:dyDescent="0.25">
      <c r="C149" s="618" t="s">
        <v>82</v>
      </c>
      <c r="D149" s="611">
        <v>0</v>
      </c>
      <c r="E149" s="611">
        <v>0</v>
      </c>
      <c r="F149" s="611">
        <v>11.703228817007544</v>
      </c>
      <c r="G149" s="611">
        <v>0</v>
      </c>
      <c r="H149" s="611">
        <v>0.92339628149237685</v>
      </c>
      <c r="I149" s="611">
        <v>0</v>
      </c>
      <c r="J149" s="611">
        <v>0</v>
      </c>
      <c r="K149" s="611">
        <v>0</v>
      </c>
      <c r="L149" s="611">
        <v>3.1309341562664299</v>
      </c>
      <c r="M149" s="611">
        <v>0</v>
      </c>
      <c r="N149" s="611">
        <v>14.856440343671846</v>
      </c>
      <c r="O149" s="611">
        <v>0.75550604849376291</v>
      </c>
      <c r="P149" s="611">
        <v>1</v>
      </c>
      <c r="Q149" s="611">
        <v>1.300620381405156</v>
      </c>
      <c r="R149" s="611">
        <v>6.8949646200608239</v>
      </c>
      <c r="S149" s="611">
        <v>0</v>
      </c>
      <c r="T149" s="611">
        <v>0.51648303978038701</v>
      </c>
      <c r="U149" s="619">
        <v>41.081573688178324</v>
      </c>
      <c r="V149" s="51"/>
    </row>
    <row r="150" spans="3:22" x14ac:dyDescent="0.25">
      <c r="C150" s="618" t="s">
        <v>354</v>
      </c>
      <c r="D150" s="611">
        <v>0</v>
      </c>
      <c r="E150" s="611">
        <v>0</v>
      </c>
      <c r="F150" s="611">
        <v>0</v>
      </c>
      <c r="G150" s="611">
        <v>0</v>
      </c>
      <c r="H150" s="611">
        <v>0</v>
      </c>
      <c r="I150" s="611">
        <v>0</v>
      </c>
      <c r="J150" s="611">
        <v>0</v>
      </c>
      <c r="K150" s="611">
        <v>0</v>
      </c>
      <c r="L150" s="611">
        <v>0</v>
      </c>
      <c r="M150" s="611">
        <v>0</v>
      </c>
      <c r="N150" s="611">
        <v>0</v>
      </c>
      <c r="O150" s="611">
        <v>0</v>
      </c>
      <c r="P150" s="611">
        <v>0</v>
      </c>
      <c r="Q150" s="611">
        <v>0</v>
      </c>
      <c r="R150" s="611">
        <v>3.2585999999999999</v>
      </c>
      <c r="S150" s="611">
        <v>0</v>
      </c>
      <c r="T150" s="611">
        <v>0</v>
      </c>
      <c r="U150" s="619">
        <v>3.2585999999999999</v>
      </c>
      <c r="V150" s="51"/>
    </row>
    <row r="151" spans="3:22" x14ac:dyDescent="0.25">
      <c r="C151" s="614" t="s">
        <v>83</v>
      </c>
      <c r="D151" s="615">
        <v>2.7829395451988024</v>
      </c>
      <c r="E151" s="615">
        <v>0</v>
      </c>
      <c r="F151" s="615">
        <v>85.814893356889769</v>
      </c>
      <c r="G151" s="615">
        <v>1.4882117515392765</v>
      </c>
      <c r="H151" s="615">
        <v>76.488832638842339</v>
      </c>
      <c r="I151" s="615">
        <v>0</v>
      </c>
      <c r="J151" s="615">
        <v>0</v>
      </c>
      <c r="K151" s="615">
        <v>0</v>
      </c>
      <c r="L151" s="615">
        <v>68.656811773364495</v>
      </c>
      <c r="M151" s="615">
        <v>6.9877021638277412</v>
      </c>
      <c r="N151" s="615">
        <v>90.53024667191211</v>
      </c>
      <c r="O151" s="615">
        <v>62.620434966635905</v>
      </c>
      <c r="P151" s="615">
        <v>157.62105211134346</v>
      </c>
      <c r="Q151" s="615">
        <v>7.1811587782922404</v>
      </c>
      <c r="R151" s="615">
        <v>547.82858003918068</v>
      </c>
      <c r="S151" s="615">
        <v>63.362364361854262</v>
      </c>
      <c r="T151" s="615">
        <v>14.45015608361355</v>
      </c>
      <c r="U151" s="615">
        <v>1185.8133842424947</v>
      </c>
      <c r="V151" s="51"/>
    </row>
    <row r="152" spans="3:22" x14ac:dyDescent="0.25">
      <c r="C152" s="610" t="s">
        <v>84</v>
      </c>
      <c r="D152" s="611">
        <v>0</v>
      </c>
      <c r="E152" s="611">
        <v>0</v>
      </c>
      <c r="F152" s="611">
        <v>83.18009003150803</v>
      </c>
      <c r="G152" s="611">
        <v>2.1194598778069409</v>
      </c>
      <c r="H152" s="611">
        <v>8.9820116802829233</v>
      </c>
      <c r="I152" s="611">
        <v>0</v>
      </c>
      <c r="J152" s="611">
        <v>0</v>
      </c>
      <c r="K152" s="611">
        <v>0</v>
      </c>
      <c r="L152" s="611">
        <v>0.34435996988737483</v>
      </c>
      <c r="M152" s="611">
        <v>0</v>
      </c>
      <c r="N152" s="611">
        <v>26.994386078959611</v>
      </c>
      <c r="O152" s="611">
        <v>7.771086156633026</v>
      </c>
      <c r="P152" s="611">
        <v>0</v>
      </c>
      <c r="Q152" s="611">
        <v>0</v>
      </c>
      <c r="R152" s="611">
        <v>0</v>
      </c>
      <c r="S152" s="611">
        <v>0</v>
      </c>
      <c r="T152" s="611">
        <v>30.755676878666431</v>
      </c>
      <c r="U152" s="619">
        <v>160.14707067374434</v>
      </c>
      <c r="V152" s="51"/>
    </row>
    <row r="153" spans="3:22" x14ac:dyDescent="0.25">
      <c r="C153" s="614" t="s">
        <v>85</v>
      </c>
      <c r="D153" s="615">
        <v>2.7829395451988024</v>
      </c>
      <c r="E153" s="615">
        <v>0</v>
      </c>
      <c r="F153" s="615">
        <v>168.9949833883978</v>
      </c>
      <c r="G153" s="615">
        <v>3.6076716293462177</v>
      </c>
      <c r="H153" s="615">
        <v>85.470844319125263</v>
      </c>
      <c r="I153" s="615">
        <v>0</v>
      </c>
      <c r="J153" s="615">
        <v>0</v>
      </c>
      <c r="K153" s="615">
        <v>0</v>
      </c>
      <c r="L153" s="615">
        <v>69.001171743251874</v>
      </c>
      <c r="M153" s="615">
        <v>6.9877021638277412</v>
      </c>
      <c r="N153" s="615">
        <v>117.52463275087172</v>
      </c>
      <c r="O153" s="615">
        <v>70.39152112326893</v>
      </c>
      <c r="P153" s="615">
        <v>157.62105211134346</v>
      </c>
      <c r="Q153" s="615">
        <v>7.1811587782922404</v>
      </c>
      <c r="R153" s="615">
        <v>547.82858003918068</v>
      </c>
      <c r="S153" s="615">
        <v>63.362364361854262</v>
      </c>
      <c r="T153" s="615">
        <v>45.205832962279985</v>
      </c>
      <c r="U153" s="615">
        <v>1345.9604549162391</v>
      </c>
      <c r="V153" s="51"/>
    </row>
    <row r="154" spans="3:22" x14ac:dyDescent="0.25">
      <c r="C154" s="51"/>
      <c r="D154" s="67">
        <v>0</v>
      </c>
      <c r="E154" s="67">
        <v>0</v>
      </c>
      <c r="F154" s="67">
        <v>0</v>
      </c>
      <c r="G154" s="67">
        <v>0</v>
      </c>
      <c r="H154" s="67">
        <v>0</v>
      </c>
      <c r="I154" s="67">
        <v>0</v>
      </c>
      <c r="J154" s="67">
        <v>0</v>
      </c>
      <c r="K154" s="67">
        <v>0</v>
      </c>
      <c r="L154" s="67">
        <v>0</v>
      </c>
      <c r="M154" s="67">
        <v>-4.0121337499243737E-4</v>
      </c>
      <c r="N154" s="67">
        <v>0</v>
      </c>
      <c r="O154" s="67">
        <v>1.1102230246251565E-14</v>
      </c>
      <c r="P154" s="67">
        <v>0</v>
      </c>
      <c r="Q154" s="67">
        <v>0</v>
      </c>
      <c r="R154" s="67">
        <v>1.1368683772161603E-13</v>
      </c>
      <c r="S154" s="67">
        <v>-7.1054273576010019E-15</v>
      </c>
      <c r="T154" s="67">
        <v>9.7699626167013776E-15</v>
      </c>
      <c r="U154" s="67">
        <v>-4.0121337542586843E-4</v>
      </c>
      <c r="V154" s="51"/>
    </row>
    <row r="155" spans="3:22" x14ac:dyDescent="0.25">
      <c r="C155" s="51"/>
      <c r="D155" s="51"/>
      <c r="E155" s="51"/>
      <c r="F155" s="51"/>
      <c r="G155" s="67"/>
      <c r="H155" s="51"/>
      <c r="I155" s="51"/>
      <c r="J155" s="51"/>
      <c r="K155" s="51"/>
      <c r="L155" s="51"/>
      <c r="M155" s="51"/>
      <c r="N155" s="51"/>
      <c r="O155" s="51"/>
      <c r="P155" s="51"/>
      <c r="Q155" s="51"/>
      <c r="R155" s="51"/>
      <c r="S155" s="51"/>
      <c r="T155" s="51"/>
      <c r="U155" s="51"/>
      <c r="V155" s="51"/>
    </row>
    <row r="156" spans="3:22" x14ac:dyDescent="0.25">
      <c r="C156" s="607" t="s">
        <v>518</v>
      </c>
      <c r="D156" s="606"/>
      <c r="E156" s="606"/>
      <c r="F156" s="606"/>
      <c r="G156" s="682"/>
      <c r="H156" s="606"/>
      <c r="I156" s="606"/>
      <c r="J156" s="606"/>
      <c r="K156" s="606"/>
      <c r="L156" s="606"/>
      <c r="M156" s="606"/>
      <c r="N156" s="606"/>
      <c r="O156" s="606"/>
      <c r="P156" s="606"/>
      <c r="Q156" s="606"/>
      <c r="R156" s="606"/>
      <c r="S156" s="606"/>
      <c r="T156" s="606"/>
      <c r="U156" s="606"/>
      <c r="V156" s="606"/>
    </row>
    <row r="157" spans="3:22" x14ac:dyDescent="0.25">
      <c r="C157" s="51"/>
      <c r="D157" s="51"/>
      <c r="E157" s="51"/>
      <c r="F157" s="51"/>
      <c r="G157" s="67"/>
      <c r="H157" s="51"/>
      <c r="I157" s="51"/>
      <c r="J157" s="51"/>
      <c r="K157" s="51"/>
      <c r="L157" s="51"/>
      <c r="M157" s="51"/>
      <c r="N157" s="51"/>
      <c r="O157" s="51"/>
      <c r="P157" s="51"/>
      <c r="Q157" s="51"/>
      <c r="R157" s="51"/>
      <c r="S157" s="51"/>
      <c r="T157" s="51"/>
      <c r="U157" s="51"/>
      <c r="V157" s="51"/>
    </row>
    <row r="158" spans="3:22" x14ac:dyDescent="0.25">
      <c r="C158" s="764" t="s">
        <v>128</v>
      </c>
      <c r="D158" s="753" t="s">
        <v>42</v>
      </c>
      <c r="E158" s="753" t="s">
        <v>52</v>
      </c>
      <c r="F158" s="753" t="s">
        <v>53</v>
      </c>
      <c r="G158" s="766" t="s">
        <v>482</v>
      </c>
      <c r="H158" s="753" t="s">
        <v>32</v>
      </c>
      <c r="I158" s="753" t="s">
        <v>483</v>
      </c>
      <c r="J158" s="753" t="s">
        <v>20</v>
      </c>
      <c r="K158" s="753" t="s">
        <v>55</v>
      </c>
      <c r="L158" s="761" t="s">
        <v>56</v>
      </c>
      <c r="M158" s="762"/>
      <c r="N158" s="762"/>
      <c r="O158" s="762"/>
      <c r="P158" s="762"/>
      <c r="Q158" s="763"/>
      <c r="R158" s="753" t="s">
        <v>57</v>
      </c>
      <c r="S158" s="753" t="s">
        <v>58</v>
      </c>
      <c r="T158" s="753" t="s">
        <v>31</v>
      </c>
      <c r="U158" s="753" t="s">
        <v>10</v>
      </c>
      <c r="V158" s="51"/>
    </row>
    <row r="159" spans="3:22" ht="36" x14ac:dyDescent="0.25">
      <c r="C159" s="765"/>
      <c r="D159" s="754"/>
      <c r="E159" s="754"/>
      <c r="F159" s="754"/>
      <c r="G159" s="767"/>
      <c r="H159" s="754"/>
      <c r="I159" s="754"/>
      <c r="J159" s="754"/>
      <c r="K159" s="754"/>
      <c r="L159" s="608" t="s">
        <v>335</v>
      </c>
      <c r="M159" s="608" t="s">
        <v>40</v>
      </c>
      <c r="N159" s="608" t="s">
        <v>343</v>
      </c>
      <c r="O159" s="608" t="s">
        <v>344</v>
      </c>
      <c r="P159" s="609" t="s">
        <v>345</v>
      </c>
      <c r="Q159" s="608" t="s">
        <v>346</v>
      </c>
      <c r="R159" s="754"/>
      <c r="S159" s="754"/>
      <c r="T159" s="754"/>
      <c r="U159" s="754"/>
      <c r="V159" s="51"/>
    </row>
    <row r="160" spans="3:22" x14ac:dyDescent="0.25">
      <c r="C160" s="610" t="s">
        <v>59</v>
      </c>
      <c r="D160" s="611">
        <v>0</v>
      </c>
      <c r="E160" s="611">
        <v>0</v>
      </c>
      <c r="F160" s="611">
        <v>0</v>
      </c>
      <c r="G160" s="611">
        <v>0</v>
      </c>
      <c r="H160" s="611">
        <v>0</v>
      </c>
      <c r="I160" s="611">
        <v>0</v>
      </c>
      <c r="J160" s="612">
        <v>1052.7157454545454</v>
      </c>
      <c r="K160" s="612">
        <v>465.75813055383361</v>
      </c>
      <c r="L160" s="612">
        <v>458.29162667613781</v>
      </c>
      <c r="M160" s="612">
        <v>21.28454284594844</v>
      </c>
      <c r="N160" s="611">
        <v>1.638642873490971</v>
      </c>
      <c r="O160" s="611">
        <v>0.1692153726460352</v>
      </c>
      <c r="P160" s="612">
        <v>165.69992491801096</v>
      </c>
      <c r="Q160" s="612">
        <v>25.254108394560834</v>
      </c>
      <c r="R160" s="611">
        <v>0</v>
      </c>
      <c r="S160" s="611">
        <v>0</v>
      </c>
      <c r="T160" s="611">
        <v>0</v>
      </c>
      <c r="U160" s="613">
        <v>2190.8119370891736</v>
      </c>
      <c r="V160" s="51"/>
    </row>
    <row r="161" spans="3:22" x14ac:dyDescent="0.25">
      <c r="C161" s="610" t="s">
        <v>60</v>
      </c>
      <c r="D161" s="611">
        <v>6.0767583671953336</v>
      </c>
      <c r="E161" s="611">
        <v>189.53853209341332</v>
      </c>
      <c r="F161" s="611">
        <v>3.6404081450569747</v>
      </c>
      <c r="G161" s="611">
        <v>0</v>
      </c>
      <c r="H161" s="611">
        <v>70.464271488338852</v>
      </c>
      <c r="I161" s="611">
        <v>0</v>
      </c>
      <c r="J161" s="611">
        <v>0</v>
      </c>
      <c r="K161" s="611">
        <v>0</v>
      </c>
      <c r="L161" s="611">
        <v>4.5400000946661896</v>
      </c>
      <c r="M161" s="611">
        <v>0</v>
      </c>
      <c r="N161" s="611">
        <v>5.926124897298644</v>
      </c>
      <c r="O161" s="611">
        <v>0</v>
      </c>
      <c r="P161" s="611">
        <v>0</v>
      </c>
      <c r="Q161" s="611">
        <v>0</v>
      </c>
      <c r="R161" s="611">
        <v>0</v>
      </c>
      <c r="S161" s="611">
        <v>0</v>
      </c>
      <c r="T161" s="611">
        <v>0</v>
      </c>
      <c r="U161" s="613">
        <v>280.18609508596927</v>
      </c>
      <c r="V161" s="51"/>
    </row>
    <row r="162" spans="3:22" x14ac:dyDescent="0.25">
      <c r="C162" s="610" t="s">
        <v>61</v>
      </c>
      <c r="D162" s="611">
        <v>0</v>
      </c>
      <c r="E162" s="611">
        <v>0</v>
      </c>
      <c r="F162" s="611">
        <v>-34.688318370921742</v>
      </c>
      <c r="G162" s="611">
        <v>-5.1567908130260314</v>
      </c>
      <c r="H162" s="611">
        <v>0</v>
      </c>
      <c r="I162" s="611">
        <v>0</v>
      </c>
      <c r="J162" s="611">
        <v>0</v>
      </c>
      <c r="K162" s="611">
        <v>0</v>
      </c>
      <c r="L162" s="611">
        <v>0</v>
      </c>
      <c r="M162" s="611">
        <v>0</v>
      </c>
      <c r="N162" s="611">
        <v>0</v>
      </c>
      <c r="O162" s="611">
        <v>0</v>
      </c>
      <c r="P162" s="611">
        <v>0</v>
      </c>
      <c r="Q162" s="611">
        <v>0</v>
      </c>
      <c r="R162" s="611">
        <v>-12.796023203874938</v>
      </c>
      <c r="S162" s="611">
        <v>0</v>
      </c>
      <c r="T162" s="611">
        <v>0</v>
      </c>
      <c r="U162" s="613">
        <v>-52.641132387822708</v>
      </c>
      <c r="V162" s="51"/>
    </row>
    <row r="163" spans="3:22" x14ac:dyDescent="0.25">
      <c r="C163" s="610" t="s">
        <v>62</v>
      </c>
      <c r="D163" s="611">
        <v>0</v>
      </c>
      <c r="E163" s="611">
        <v>0</v>
      </c>
      <c r="F163" s="611">
        <v>-3.5615694502361057</v>
      </c>
      <c r="G163" s="611">
        <v>-4.706211381166379</v>
      </c>
      <c r="H163" s="611">
        <v>0</v>
      </c>
      <c r="I163" s="611">
        <v>-3.8584286845410238</v>
      </c>
      <c r="J163" s="611">
        <v>0</v>
      </c>
      <c r="K163" s="611">
        <v>0</v>
      </c>
      <c r="L163" s="611">
        <v>0</v>
      </c>
      <c r="M163" s="611">
        <v>0</v>
      </c>
      <c r="N163" s="611">
        <v>-1.4330438936791221</v>
      </c>
      <c r="O163" s="611">
        <v>-2.5722857896940159</v>
      </c>
      <c r="P163" s="611">
        <v>0</v>
      </c>
      <c r="Q163" s="611">
        <v>0</v>
      </c>
      <c r="R163" s="611">
        <v>0</v>
      </c>
      <c r="S163" s="611">
        <v>0</v>
      </c>
      <c r="T163" s="611">
        <v>-1.5542726935255338</v>
      </c>
      <c r="U163" s="613">
        <v>-17.685811892842178</v>
      </c>
      <c r="V163" s="51"/>
    </row>
    <row r="164" spans="3:22" x14ac:dyDescent="0.25">
      <c r="C164" s="610" t="s">
        <v>63</v>
      </c>
      <c r="D164" s="611">
        <v>0</v>
      </c>
      <c r="E164" s="611">
        <v>0</v>
      </c>
      <c r="F164" s="611">
        <v>-31.271549575274978</v>
      </c>
      <c r="G164" s="611">
        <v>-12.658057837302275</v>
      </c>
      <c r="H164" s="611">
        <v>0</v>
      </c>
      <c r="I164" s="611">
        <v>0</v>
      </c>
      <c r="J164" s="611">
        <v>0</v>
      </c>
      <c r="K164" s="611">
        <v>0</v>
      </c>
      <c r="L164" s="611">
        <v>0</v>
      </c>
      <c r="M164" s="611">
        <v>0</v>
      </c>
      <c r="N164" s="611">
        <v>-15.442835023025614</v>
      </c>
      <c r="O164" s="611">
        <v>0</v>
      </c>
      <c r="P164" s="611">
        <v>0</v>
      </c>
      <c r="Q164" s="611">
        <v>0</v>
      </c>
      <c r="R164" s="611">
        <v>0</v>
      </c>
      <c r="S164" s="611">
        <v>0</v>
      </c>
      <c r="T164" s="611">
        <v>-4.141098204696295</v>
      </c>
      <c r="U164" s="613">
        <v>-63.513540640299169</v>
      </c>
      <c r="V164" s="51"/>
    </row>
    <row r="165" spans="3:22" x14ac:dyDescent="0.25">
      <c r="C165" s="610" t="s">
        <v>64</v>
      </c>
      <c r="D165" s="611">
        <v>0</v>
      </c>
      <c r="E165" s="611">
        <v>0</v>
      </c>
      <c r="F165" s="611">
        <v>0</v>
      </c>
      <c r="G165" s="611">
        <v>0</v>
      </c>
      <c r="H165" s="611">
        <v>0</v>
      </c>
      <c r="I165" s="611">
        <v>0</v>
      </c>
      <c r="J165" s="611">
        <v>0</v>
      </c>
      <c r="K165" s="611">
        <v>0</v>
      </c>
      <c r="L165" s="611">
        <v>0</v>
      </c>
      <c r="M165" s="611">
        <v>0</v>
      </c>
      <c r="N165" s="611">
        <v>0</v>
      </c>
      <c r="O165" s="611">
        <v>0</v>
      </c>
      <c r="P165" s="611">
        <v>0</v>
      </c>
      <c r="Q165" s="611">
        <v>0</v>
      </c>
      <c r="R165" s="611">
        <v>0</v>
      </c>
      <c r="S165" s="611">
        <v>0</v>
      </c>
      <c r="T165" s="611">
        <v>0</v>
      </c>
      <c r="U165" s="613">
        <v>0</v>
      </c>
      <c r="V165" s="51"/>
    </row>
    <row r="166" spans="3:22" x14ac:dyDescent="0.25">
      <c r="C166" s="614" t="s">
        <v>65</v>
      </c>
      <c r="D166" s="615">
        <v>6.0767583671953336</v>
      </c>
      <c r="E166" s="615">
        <v>189.53853209341332</v>
      </c>
      <c r="F166" s="615">
        <v>-65.88102925137585</v>
      </c>
      <c r="G166" s="615">
        <v>-22.521060031494684</v>
      </c>
      <c r="H166" s="615">
        <v>70.464271488338852</v>
      </c>
      <c r="I166" s="615">
        <v>-3.8584286845410238</v>
      </c>
      <c r="J166" s="615">
        <v>1052.7157454545454</v>
      </c>
      <c r="K166" s="615">
        <v>465.75813055383361</v>
      </c>
      <c r="L166" s="615">
        <v>462.83162677080401</v>
      </c>
      <c r="M166" s="615">
        <v>21.28454284594844</v>
      </c>
      <c r="N166" s="615">
        <v>-9.3111111459151203</v>
      </c>
      <c r="O166" s="615">
        <v>-2.4030704170479806</v>
      </c>
      <c r="P166" s="615">
        <v>165.69992491801096</v>
      </c>
      <c r="Q166" s="615">
        <v>25.254108394560834</v>
      </c>
      <c r="R166" s="615">
        <v>-12.796023203874938</v>
      </c>
      <c r="S166" s="615">
        <v>0</v>
      </c>
      <c r="T166" s="615">
        <v>-5.695370898221829</v>
      </c>
      <c r="U166" s="615">
        <v>2337.1575472541786</v>
      </c>
      <c r="V166" s="51"/>
    </row>
    <row r="167" spans="3:22" x14ac:dyDescent="0.25">
      <c r="C167" s="616"/>
      <c r="D167" s="617"/>
      <c r="E167" s="617"/>
      <c r="F167" s="617"/>
      <c r="G167" s="617"/>
      <c r="H167" s="623"/>
      <c r="I167" s="617"/>
      <c r="J167" s="617"/>
      <c r="K167" s="617"/>
      <c r="L167" s="617"/>
      <c r="M167" s="617"/>
      <c r="N167" s="617"/>
      <c r="O167" s="617"/>
      <c r="P167" s="617"/>
      <c r="Q167" s="617"/>
      <c r="R167" s="617"/>
      <c r="S167" s="617"/>
      <c r="T167" s="617"/>
      <c r="U167" s="617"/>
      <c r="V167" s="51"/>
    </row>
    <row r="168" spans="3:22" x14ac:dyDescent="0.25">
      <c r="C168" s="618" t="s">
        <v>67</v>
      </c>
      <c r="D168" s="611">
        <v>0</v>
      </c>
      <c r="E168" s="611">
        <v>0</v>
      </c>
      <c r="F168" s="611">
        <v>0</v>
      </c>
      <c r="G168" s="611">
        <v>0</v>
      </c>
      <c r="H168" s="611">
        <v>0</v>
      </c>
      <c r="I168" s="611">
        <v>0</v>
      </c>
      <c r="J168" s="611">
        <v>0</v>
      </c>
      <c r="K168" s="611">
        <v>0</v>
      </c>
      <c r="L168" s="611">
        <v>0</v>
      </c>
      <c r="M168" s="611">
        <v>0</v>
      </c>
      <c r="N168" s="611">
        <v>0</v>
      </c>
      <c r="O168" s="611">
        <v>0</v>
      </c>
      <c r="P168" s="611">
        <v>0</v>
      </c>
      <c r="Q168" s="611">
        <v>0</v>
      </c>
      <c r="R168" s="611">
        <v>0</v>
      </c>
      <c r="S168" s="611">
        <v>0</v>
      </c>
      <c r="T168" s="611">
        <v>0</v>
      </c>
      <c r="U168" s="619">
        <v>0</v>
      </c>
      <c r="V168" s="51"/>
    </row>
    <row r="169" spans="3:22" x14ac:dyDescent="0.25">
      <c r="C169" s="618" t="s">
        <v>347</v>
      </c>
      <c r="D169" s="611">
        <v>0</v>
      </c>
      <c r="E169" s="611">
        <v>0</v>
      </c>
      <c r="F169" s="611">
        <v>2.6460781360013397E-2</v>
      </c>
      <c r="G169" s="611">
        <v>0</v>
      </c>
      <c r="H169" s="611">
        <v>0.60214660944206022</v>
      </c>
      <c r="I169" s="611">
        <v>0</v>
      </c>
      <c r="J169" s="611">
        <v>1052.7157454545454</v>
      </c>
      <c r="K169" s="611">
        <v>465.75813055383361</v>
      </c>
      <c r="L169" s="611">
        <v>22.779216201567415</v>
      </c>
      <c r="M169" s="611">
        <v>0.6151276496340945</v>
      </c>
      <c r="N169" s="611">
        <v>6.0578717375904887</v>
      </c>
      <c r="O169" s="611">
        <v>1.0172956568090692</v>
      </c>
      <c r="P169" s="611">
        <v>0</v>
      </c>
      <c r="Q169" s="611">
        <v>6.4590957564387725</v>
      </c>
      <c r="R169" s="611">
        <v>-864.21525686437747</v>
      </c>
      <c r="S169" s="611">
        <v>0</v>
      </c>
      <c r="T169" s="611">
        <v>4.5921899999999996</v>
      </c>
      <c r="U169" s="619">
        <v>696.40802353684307</v>
      </c>
      <c r="V169" s="51"/>
    </row>
    <row r="170" spans="3:22" x14ac:dyDescent="0.25">
      <c r="C170" s="618" t="s">
        <v>348</v>
      </c>
      <c r="D170" s="611">
        <v>0</v>
      </c>
      <c r="E170" s="611">
        <v>0</v>
      </c>
      <c r="F170" s="611">
        <v>0</v>
      </c>
      <c r="G170" s="611">
        <v>0</v>
      </c>
      <c r="H170" s="611">
        <v>4.7590942657711111</v>
      </c>
      <c r="I170" s="611">
        <v>0</v>
      </c>
      <c r="J170" s="611">
        <v>0</v>
      </c>
      <c r="K170" s="611">
        <v>0</v>
      </c>
      <c r="L170" s="611">
        <v>35.020832419252756</v>
      </c>
      <c r="M170" s="611">
        <v>14.389092995722686</v>
      </c>
      <c r="N170" s="611">
        <v>0</v>
      </c>
      <c r="O170" s="611">
        <v>7.1535057814044487</v>
      </c>
      <c r="P170" s="611">
        <v>0</v>
      </c>
      <c r="Q170" s="611">
        <v>11.121209229272322</v>
      </c>
      <c r="R170" s="611">
        <v>0</v>
      </c>
      <c r="S170" s="611">
        <v>-67.886864446200079</v>
      </c>
      <c r="T170" s="611">
        <v>0</v>
      </c>
      <c r="U170" s="619">
        <v>4.5568702452232372</v>
      </c>
      <c r="V170" s="51"/>
    </row>
    <row r="171" spans="3:22" x14ac:dyDescent="0.25">
      <c r="C171" s="618" t="s">
        <v>349</v>
      </c>
      <c r="D171" s="611">
        <v>0</v>
      </c>
      <c r="E171" s="611">
        <v>0</v>
      </c>
      <c r="F171" s="611">
        <v>0</v>
      </c>
      <c r="G171" s="611">
        <v>0</v>
      </c>
      <c r="H171" s="611">
        <v>0</v>
      </c>
      <c r="I171" s="611">
        <v>0</v>
      </c>
      <c r="J171" s="611">
        <v>0</v>
      </c>
      <c r="K171" s="611">
        <v>0</v>
      </c>
      <c r="L171" s="611">
        <v>98.086794246206622</v>
      </c>
      <c r="M171" s="611">
        <v>0</v>
      </c>
      <c r="N171" s="611">
        <v>0</v>
      </c>
      <c r="O171" s="611">
        <v>-89.52835419130885</v>
      </c>
      <c r="P171" s="611">
        <v>0</v>
      </c>
      <c r="Q171" s="611">
        <v>0</v>
      </c>
      <c r="R171" s="611">
        <v>0</v>
      </c>
      <c r="S171" s="611">
        <v>0</v>
      </c>
      <c r="T171" s="611">
        <v>0</v>
      </c>
      <c r="U171" s="619">
        <v>8.5584400548977726</v>
      </c>
      <c r="V171" s="51"/>
    </row>
    <row r="172" spans="3:22" x14ac:dyDescent="0.25">
      <c r="C172" s="618" t="s">
        <v>350</v>
      </c>
      <c r="D172" s="611">
        <v>0</v>
      </c>
      <c r="E172" s="611">
        <v>0</v>
      </c>
      <c r="F172" s="611">
        <v>0</v>
      </c>
      <c r="G172" s="611">
        <v>0</v>
      </c>
      <c r="H172" s="611">
        <v>0</v>
      </c>
      <c r="I172" s="611">
        <v>-4.6239120861329353</v>
      </c>
      <c r="J172" s="611">
        <v>0</v>
      </c>
      <c r="K172" s="611">
        <v>0</v>
      </c>
      <c r="L172" s="611">
        <v>0</v>
      </c>
      <c r="M172" s="611">
        <v>0</v>
      </c>
      <c r="N172" s="611">
        <v>0</v>
      </c>
      <c r="O172" s="611">
        <v>0</v>
      </c>
      <c r="P172" s="611">
        <v>0</v>
      </c>
      <c r="Q172" s="611">
        <v>0</v>
      </c>
      <c r="R172" s="611">
        <v>0</v>
      </c>
      <c r="S172" s="611">
        <v>0</v>
      </c>
      <c r="T172" s="611">
        <v>6.4247824825814277</v>
      </c>
      <c r="U172" s="619">
        <v>1.8008703964484924</v>
      </c>
      <c r="V172" s="51"/>
    </row>
    <row r="173" spans="3:22" x14ac:dyDescent="0.25">
      <c r="C173" s="618" t="s">
        <v>72</v>
      </c>
      <c r="D173" s="611">
        <v>0</v>
      </c>
      <c r="E173" s="611">
        <v>196.4036879947414</v>
      </c>
      <c r="F173" s="611">
        <v>-194.44562503379805</v>
      </c>
      <c r="G173" s="611">
        <v>0</v>
      </c>
      <c r="H173" s="611">
        <v>0</v>
      </c>
      <c r="I173" s="611">
        <v>0</v>
      </c>
      <c r="J173" s="611">
        <v>0</v>
      </c>
      <c r="K173" s="611">
        <v>0</v>
      </c>
      <c r="L173" s="611">
        <v>0</v>
      </c>
      <c r="M173" s="611">
        <v>0</v>
      </c>
      <c r="N173" s="611">
        <v>0</v>
      </c>
      <c r="O173" s="611">
        <v>0</v>
      </c>
      <c r="P173" s="611">
        <v>0</v>
      </c>
      <c r="Q173" s="611">
        <v>0</v>
      </c>
      <c r="R173" s="611">
        <v>0</v>
      </c>
      <c r="S173" s="611">
        <v>0</v>
      </c>
      <c r="T173" s="611">
        <v>0</v>
      </c>
      <c r="U173" s="619">
        <v>1.9580629609433515</v>
      </c>
      <c r="V173" s="51"/>
    </row>
    <row r="174" spans="3:22" x14ac:dyDescent="0.25">
      <c r="C174" s="618" t="s">
        <v>351</v>
      </c>
      <c r="D174" s="611">
        <v>0</v>
      </c>
      <c r="E174" s="611">
        <v>0</v>
      </c>
      <c r="F174" s="611">
        <v>0</v>
      </c>
      <c r="G174" s="611">
        <v>0</v>
      </c>
      <c r="H174" s="611">
        <v>0</v>
      </c>
      <c r="I174" s="611">
        <v>0</v>
      </c>
      <c r="J174" s="611">
        <v>0</v>
      </c>
      <c r="K174" s="611">
        <v>0</v>
      </c>
      <c r="L174" s="611">
        <v>241.36175808721262</v>
      </c>
      <c r="M174" s="611">
        <v>0</v>
      </c>
      <c r="N174" s="611">
        <v>-132.74896694796695</v>
      </c>
      <c r="O174" s="611">
        <v>0</v>
      </c>
      <c r="P174" s="611">
        <v>0</v>
      </c>
      <c r="Q174" s="611">
        <v>0</v>
      </c>
      <c r="R174" s="611">
        <v>0</v>
      </c>
      <c r="S174" s="611">
        <v>0</v>
      </c>
      <c r="T174" s="611">
        <v>0</v>
      </c>
      <c r="U174" s="619">
        <v>108.61279113924567</v>
      </c>
      <c r="V174" s="51"/>
    </row>
    <row r="175" spans="3:22" x14ac:dyDescent="0.25">
      <c r="C175" s="618" t="s">
        <v>352</v>
      </c>
      <c r="D175" s="611">
        <v>0</v>
      </c>
      <c r="E175" s="611">
        <v>0</v>
      </c>
      <c r="F175" s="611">
        <v>0</v>
      </c>
      <c r="G175" s="611">
        <v>-27.150443830477386</v>
      </c>
      <c r="H175" s="611">
        <v>0</v>
      </c>
      <c r="I175" s="611">
        <v>0</v>
      </c>
      <c r="J175" s="611">
        <v>0</v>
      </c>
      <c r="K175" s="611">
        <v>0</v>
      </c>
      <c r="L175" s="611">
        <v>0</v>
      </c>
      <c r="M175" s="611">
        <v>0</v>
      </c>
      <c r="N175" s="611">
        <v>0</v>
      </c>
      <c r="O175" s="611">
        <v>0</v>
      </c>
      <c r="P175" s="611">
        <v>0</v>
      </c>
      <c r="Q175" s="611">
        <v>0</v>
      </c>
      <c r="R175" s="611">
        <v>0</v>
      </c>
      <c r="S175" s="611">
        <v>0</v>
      </c>
      <c r="T175" s="611">
        <v>35.330371623276704</v>
      </c>
      <c r="U175" s="619">
        <v>8.1799277927993188</v>
      </c>
      <c r="V175" s="51"/>
    </row>
    <row r="176" spans="3:22" x14ac:dyDescent="0.25">
      <c r="C176" s="618" t="s">
        <v>73</v>
      </c>
      <c r="D176" s="611">
        <v>0</v>
      </c>
      <c r="E176" s="611">
        <v>0</v>
      </c>
      <c r="F176" s="611">
        <v>0</v>
      </c>
      <c r="G176" s="611">
        <v>0</v>
      </c>
      <c r="H176" s="611">
        <v>0</v>
      </c>
      <c r="I176" s="611">
        <v>0</v>
      </c>
      <c r="J176" s="611">
        <v>0</v>
      </c>
      <c r="K176" s="611">
        <v>0</v>
      </c>
      <c r="L176" s="611">
        <v>0</v>
      </c>
      <c r="M176" s="611">
        <v>0</v>
      </c>
      <c r="N176" s="611">
        <v>0</v>
      </c>
      <c r="O176" s="611">
        <v>0</v>
      </c>
      <c r="P176" s="611">
        <v>0</v>
      </c>
      <c r="Q176" s="611">
        <v>0</v>
      </c>
      <c r="R176" s="611">
        <v>159.35334325164439</v>
      </c>
      <c r="S176" s="611">
        <v>0</v>
      </c>
      <c r="T176" s="611">
        <v>-110.83025023151868</v>
      </c>
      <c r="U176" s="619">
        <v>48.523093020125714</v>
      </c>
      <c r="V176" s="51"/>
    </row>
    <row r="177" spans="3:22" x14ac:dyDescent="0.25">
      <c r="C177" s="618" t="s">
        <v>353</v>
      </c>
      <c r="D177" s="611">
        <v>2.8675768359375002</v>
      </c>
      <c r="E177" s="611">
        <v>-6.865155901328059</v>
      </c>
      <c r="F177" s="611">
        <v>8.9495873677013247</v>
      </c>
      <c r="G177" s="611">
        <v>0</v>
      </c>
      <c r="H177" s="611">
        <v>0</v>
      </c>
      <c r="I177" s="611">
        <v>0</v>
      </c>
      <c r="J177" s="611">
        <v>0</v>
      </c>
      <c r="K177" s="611">
        <v>0</v>
      </c>
      <c r="L177" s="611">
        <v>0</v>
      </c>
      <c r="M177" s="611">
        <v>0</v>
      </c>
      <c r="N177" s="611">
        <v>0</v>
      </c>
      <c r="O177" s="611">
        <v>0</v>
      </c>
      <c r="P177" s="611">
        <v>0</v>
      </c>
      <c r="Q177" s="611">
        <v>0</v>
      </c>
      <c r="R177" s="611">
        <v>0</v>
      </c>
      <c r="S177" s="611">
        <v>0</v>
      </c>
      <c r="T177" s="611">
        <v>0</v>
      </c>
      <c r="U177" s="619">
        <v>4.9520083023107659</v>
      </c>
      <c r="V177" s="51"/>
    </row>
    <row r="178" spans="3:22" x14ac:dyDescent="0.25">
      <c r="C178" s="618" t="s">
        <v>75</v>
      </c>
      <c r="D178" s="611">
        <v>1.1151687695312502</v>
      </c>
      <c r="E178" s="611">
        <v>0</v>
      </c>
      <c r="F178" s="611">
        <v>6.7328106776803835</v>
      </c>
      <c r="G178" s="611">
        <v>0</v>
      </c>
      <c r="H178" s="611">
        <v>2.2924587532620087</v>
      </c>
      <c r="I178" s="611">
        <v>3.0296811717119062E-2</v>
      </c>
      <c r="J178" s="611">
        <v>0</v>
      </c>
      <c r="K178" s="611">
        <v>0</v>
      </c>
      <c r="L178" s="611">
        <v>0</v>
      </c>
      <c r="M178" s="611">
        <v>0</v>
      </c>
      <c r="N178" s="611">
        <v>0</v>
      </c>
      <c r="O178" s="611">
        <v>2.7267130545407157</v>
      </c>
      <c r="P178" s="611">
        <v>0</v>
      </c>
      <c r="Q178" s="611">
        <v>0</v>
      </c>
      <c r="R178" s="611">
        <v>65.383687298326777</v>
      </c>
      <c r="S178" s="611">
        <v>0</v>
      </c>
      <c r="T178" s="611">
        <v>0</v>
      </c>
      <c r="U178" s="619">
        <v>78.281135365058248</v>
      </c>
      <c r="V178" s="51"/>
    </row>
    <row r="179" spans="3:22" x14ac:dyDescent="0.25">
      <c r="C179" s="618" t="s">
        <v>76</v>
      </c>
      <c r="D179" s="611">
        <v>0</v>
      </c>
      <c r="E179" s="611">
        <v>0</v>
      </c>
      <c r="F179" s="611">
        <v>0</v>
      </c>
      <c r="G179" s="611">
        <v>0</v>
      </c>
      <c r="H179" s="611">
        <v>0.75897137289116512</v>
      </c>
      <c r="I179" s="611">
        <v>1.0030458672570465E-2</v>
      </c>
      <c r="J179" s="611">
        <v>0</v>
      </c>
      <c r="K179" s="611">
        <v>0</v>
      </c>
      <c r="L179" s="611">
        <v>0</v>
      </c>
      <c r="M179" s="611">
        <v>0</v>
      </c>
      <c r="N179" s="611">
        <v>0</v>
      </c>
      <c r="O179" s="611">
        <v>0.90274128053134184</v>
      </c>
      <c r="P179" s="611">
        <v>0</v>
      </c>
      <c r="Q179" s="611">
        <v>0</v>
      </c>
      <c r="R179" s="611">
        <v>65.177824183593955</v>
      </c>
      <c r="S179" s="611">
        <v>5.2653500556957935</v>
      </c>
      <c r="T179" s="611">
        <v>0</v>
      </c>
      <c r="U179" s="619">
        <v>72.114917351384818</v>
      </c>
      <c r="V179" s="51"/>
    </row>
    <row r="180" spans="3:22" x14ac:dyDescent="0.25">
      <c r="C180" s="614" t="s">
        <v>77</v>
      </c>
      <c r="D180" s="615">
        <v>3.9827456054687502</v>
      </c>
      <c r="E180" s="615">
        <v>189.53853209341335</v>
      </c>
      <c r="F180" s="615">
        <v>-178.73676620705632</v>
      </c>
      <c r="G180" s="615">
        <v>-27.150443830477386</v>
      </c>
      <c r="H180" s="615">
        <v>8.4126710013663466</v>
      </c>
      <c r="I180" s="615">
        <v>-4.5835848157432455</v>
      </c>
      <c r="J180" s="615">
        <v>1052.7157454545454</v>
      </c>
      <c r="K180" s="615">
        <v>465.75813055383361</v>
      </c>
      <c r="L180" s="615">
        <v>397.24860095423941</v>
      </c>
      <c r="M180" s="615">
        <v>15.004220645356781</v>
      </c>
      <c r="N180" s="615">
        <v>-126.69109521037646</v>
      </c>
      <c r="O180" s="615">
        <v>-77.728098418023279</v>
      </c>
      <c r="P180" s="615">
        <v>0</v>
      </c>
      <c r="Q180" s="615">
        <v>17.580304985711095</v>
      </c>
      <c r="R180" s="615">
        <v>-574.30040213081236</v>
      </c>
      <c r="S180" s="615">
        <v>-62.621514390504288</v>
      </c>
      <c r="T180" s="615">
        <v>-64.482906125660548</v>
      </c>
      <c r="U180" s="615">
        <v>1033.9461401652807</v>
      </c>
      <c r="V180" s="51"/>
    </row>
    <row r="181" spans="3:22" x14ac:dyDescent="0.25">
      <c r="C181" s="616"/>
      <c r="D181" s="617"/>
      <c r="E181" s="617"/>
      <c r="F181" s="617"/>
      <c r="G181" s="617"/>
      <c r="H181" s="623"/>
      <c r="I181" s="617"/>
      <c r="J181" s="617"/>
      <c r="K181" s="617"/>
      <c r="L181" s="617"/>
      <c r="M181" s="617"/>
      <c r="N181" s="617"/>
      <c r="O181" s="617"/>
      <c r="P181" s="617"/>
      <c r="Q181" s="617"/>
      <c r="R181" s="617"/>
      <c r="S181" s="617"/>
      <c r="T181" s="617"/>
      <c r="U181" s="617"/>
      <c r="V181" s="51"/>
    </row>
    <row r="182" spans="3:22" x14ac:dyDescent="0.25">
      <c r="C182" s="618" t="s">
        <v>78</v>
      </c>
      <c r="D182" s="611">
        <v>2.0940127617265829</v>
      </c>
      <c r="E182" s="611">
        <v>0</v>
      </c>
      <c r="F182" s="611">
        <v>3.9559881090060012</v>
      </c>
      <c r="G182" s="611">
        <v>0</v>
      </c>
      <c r="H182" s="611">
        <v>29.330369351366478</v>
      </c>
      <c r="I182" s="611">
        <v>0.38762602667004159</v>
      </c>
      <c r="J182" s="611">
        <v>0</v>
      </c>
      <c r="K182" s="611">
        <v>0</v>
      </c>
      <c r="L182" s="611">
        <v>22.502553570699096</v>
      </c>
      <c r="M182" s="611">
        <v>6.2799536188843161</v>
      </c>
      <c r="N182" s="611">
        <v>2.4575263222437633</v>
      </c>
      <c r="O182" s="611">
        <v>34.926617647556021</v>
      </c>
      <c r="P182" s="611">
        <v>15.884769531250001</v>
      </c>
      <c r="Q182" s="611">
        <v>8.2107689234467234E-4</v>
      </c>
      <c r="R182" s="611">
        <v>182.47691843600197</v>
      </c>
      <c r="S182" s="611">
        <v>21.072717059029664</v>
      </c>
      <c r="T182" s="611">
        <v>11.809244140624999</v>
      </c>
      <c r="U182" s="619">
        <v>333.17911765195134</v>
      </c>
      <c r="V182" s="51"/>
    </row>
    <row r="183" spans="3:22" x14ac:dyDescent="0.25">
      <c r="C183" s="618" t="s">
        <v>79</v>
      </c>
      <c r="D183" s="611">
        <v>0</v>
      </c>
      <c r="E183" s="611">
        <v>0</v>
      </c>
      <c r="F183" s="611">
        <v>30.895911025222354</v>
      </c>
      <c r="G183" s="611">
        <v>2.274686269460287</v>
      </c>
      <c r="H183" s="611">
        <v>3.5299320203269446</v>
      </c>
      <c r="I183" s="611">
        <v>4.665108396907857E-2</v>
      </c>
      <c r="J183" s="611">
        <v>0</v>
      </c>
      <c r="K183" s="611">
        <v>0</v>
      </c>
      <c r="L183" s="611">
        <v>0</v>
      </c>
      <c r="M183" s="611">
        <v>0</v>
      </c>
      <c r="N183" s="611">
        <v>63.386114552424544</v>
      </c>
      <c r="O183" s="611">
        <v>4.1985975572170711</v>
      </c>
      <c r="P183" s="611">
        <v>0</v>
      </c>
      <c r="Q183" s="611">
        <v>0</v>
      </c>
      <c r="R183" s="611">
        <v>104.74847060439184</v>
      </c>
      <c r="S183" s="611">
        <v>0</v>
      </c>
      <c r="T183" s="611">
        <v>5.8458763044597228</v>
      </c>
      <c r="U183" s="619">
        <v>214.92623941747186</v>
      </c>
      <c r="V183" s="51"/>
    </row>
    <row r="184" spans="3:22" x14ac:dyDescent="0.25">
      <c r="C184" s="618" t="s">
        <v>80</v>
      </c>
      <c r="D184" s="611">
        <v>0</v>
      </c>
      <c r="E184" s="611">
        <v>0</v>
      </c>
      <c r="F184" s="611">
        <v>0.60086868241819513</v>
      </c>
      <c r="G184" s="611">
        <v>0</v>
      </c>
      <c r="H184" s="611">
        <v>13.347300372388817</v>
      </c>
      <c r="I184" s="611">
        <v>0.1763960401637289</v>
      </c>
      <c r="J184" s="611">
        <v>0</v>
      </c>
      <c r="K184" s="611">
        <v>0</v>
      </c>
      <c r="L184" s="611">
        <v>38.756256119598135</v>
      </c>
      <c r="M184" s="611">
        <v>0</v>
      </c>
      <c r="N184" s="611">
        <v>0</v>
      </c>
      <c r="O184" s="611">
        <v>15.875643614735601</v>
      </c>
      <c r="P184" s="611">
        <v>100.70688369191794</v>
      </c>
      <c r="Q184" s="611">
        <v>2.8847164087553931</v>
      </c>
      <c r="R184" s="611">
        <v>147.56133606308299</v>
      </c>
      <c r="S184" s="611">
        <v>22.806124338594827</v>
      </c>
      <c r="T184" s="611">
        <v>0</v>
      </c>
      <c r="U184" s="619">
        <v>342.71552533165561</v>
      </c>
      <c r="V184" s="51"/>
    </row>
    <row r="185" spans="3:22" x14ac:dyDescent="0.25">
      <c r="C185" s="618" t="s">
        <v>81</v>
      </c>
      <c r="D185" s="611">
        <v>0</v>
      </c>
      <c r="E185" s="611">
        <v>0</v>
      </c>
      <c r="F185" s="611">
        <v>0.5398070851157275</v>
      </c>
      <c r="G185" s="611">
        <v>0</v>
      </c>
      <c r="H185" s="611">
        <v>7.9791393283443517</v>
      </c>
      <c r="I185" s="611">
        <v>0.10545118055080642</v>
      </c>
      <c r="J185" s="611">
        <v>0</v>
      </c>
      <c r="K185" s="611">
        <v>0</v>
      </c>
      <c r="L185" s="611">
        <v>0.5139229004760727</v>
      </c>
      <c r="M185" s="611">
        <v>0</v>
      </c>
      <c r="N185" s="611">
        <v>0</v>
      </c>
      <c r="O185" s="611">
        <v>9.4906062495725791</v>
      </c>
      <c r="P185" s="611">
        <v>47.95827169484302</v>
      </c>
      <c r="Q185" s="611">
        <v>3.2216095546912449</v>
      </c>
      <c r="R185" s="611">
        <v>115.04806835366153</v>
      </c>
      <c r="S185" s="611">
        <v>18.742672992879797</v>
      </c>
      <c r="T185" s="611">
        <v>0</v>
      </c>
      <c r="U185" s="619">
        <v>203.59954934013513</v>
      </c>
      <c r="V185" s="51"/>
    </row>
    <row r="186" spans="3:22" x14ac:dyDescent="0.25">
      <c r="C186" s="618" t="s">
        <v>82</v>
      </c>
      <c r="D186" s="611">
        <v>0</v>
      </c>
      <c r="E186" s="611">
        <v>0</v>
      </c>
      <c r="F186" s="611">
        <v>6.3369770221135076</v>
      </c>
      <c r="G186" s="611">
        <v>0</v>
      </c>
      <c r="H186" s="611">
        <v>0.68340618854154467</v>
      </c>
      <c r="I186" s="611">
        <v>9.0317998485666701E-3</v>
      </c>
      <c r="J186" s="611">
        <v>0</v>
      </c>
      <c r="K186" s="611">
        <v>0</v>
      </c>
      <c r="L186" s="611">
        <v>3.3891942411636795</v>
      </c>
      <c r="M186" s="611">
        <v>0</v>
      </c>
      <c r="N186" s="611">
        <v>17.640118554075091</v>
      </c>
      <c r="O186" s="611">
        <v>0.81286198637100038</v>
      </c>
      <c r="P186" s="611">
        <v>1.1499999999999999</v>
      </c>
      <c r="Q186" s="611">
        <v>1.5666563685107562</v>
      </c>
      <c r="R186" s="611">
        <v>6.9055854697991039</v>
      </c>
      <c r="S186" s="611">
        <v>0</v>
      </c>
      <c r="T186" s="611">
        <v>0.60935288805652987</v>
      </c>
      <c r="U186" s="619">
        <v>39.103184518479779</v>
      </c>
      <c r="V186" s="51"/>
    </row>
    <row r="187" spans="3:22" x14ac:dyDescent="0.25">
      <c r="C187" s="618" t="s">
        <v>354</v>
      </c>
      <c r="D187" s="611">
        <v>0</v>
      </c>
      <c r="E187" s="611">
        <v>0</v>
      </c>
      <c r="F187" s="611">
        <v>0</v>
      </c>
      <c r="G187" s="611">
        <v>0</v>
      </c>
      <c r="H187" s="611">
        <v>0</v>
      </c>
      <c r="I187" s="611">
        <v>0</v>
      </c>
      <c r="J187" s="611">
        <v>0</v>
      </c>
      <c r="K187" s="611">
        <v>0</v>
      </c>
      <c r="L187" s="611">
        <v>0</v>
      </c>
      <c r="M187" s="611">
        <v>0</v>
      </c>
      <c r="N187" s="611">
        <v>0</v>
      </c>
      <c r="O187" s="611">
        <v>0</v>
      </c>
      <c r="P187" s="611">
        <v>0</v>
      </c>
      <c r="Q187" s="611">
        <v>0</v>
      </c>
      <c r="R187" s="611">
        <v>4.7640000000000002</v>
      </c>
      <c r="S187" s="611">
        <v>0</v>
      </c>
      <c r="T187" s="611">
        <v>0</v>
      </c>
      <c r="U187" s="619">
        <v>4.7640000000000002</v>
      </c>
      <c r="V187" s="51"/>
    </row>
    <row r="188" spans="3:22" x14ac:dyDescent="0.25">
      <c r="C188" s="614" t="s">
        <v>83</v>
      </c>
      <c r="D188" s="615">
        <v>2.0940127617265829</v>
      </c>
      <c r="E188" s="615">
        <v>0</v>
      </c>
      <c r="F188" s="615">
        <v>42.329551923875783</v>
      </c>
      <c r="G188" s="615">
        <v>2.274686269460287</v>
      </c>
      <c r="H188" s="615">
        <v>54.870147260968139</v>
      </c>
      <c r="I188" s="615">
        <v>0.72515613120222222</v>
      </c>
      <c r="J188" s="615">
        <v>0</v>
      </c>
      <c r="K188" s="615">
        <v>0</v>
      </c>
      <c r="L188" s="615">
        <v>65.161926831936981</v>
      </c>
      <c r="M188" s="615">
        <v>6.2799536188843161</v>
      </c>
      <c r="N188" s="615">
        <v>83.483759428743397</v>
      </c>
      <c r="O188" s="615">
        <v>65.304327055452276</v>
      </c>
      <c r="P188" s="615">
        <v>165.69992491801096</v>
      </c>
      <c r="Q188" s="615">
        <v>7.6738034088497393</v>
      </c>
      <c r="R188" s="615">
        <v>561.50437892693742</v>
      </c>
      <c r="S188" s="615">
        <v>62.621514390504288</v>
      </c>
      <c r="T188" s="615">
        <v>18.264473333141254</v>
      </c>
      <c r="U188" s="615">
        <v>1138.2876162596938</v>
      </c>
      <c r="V188" s="51"/>
    </row>
    <row r="189" spans="3:22" x14ac:dyDescent="0.25">
      <c r="C189" s="610" t="s">
        <v>84</v>
      </c>
      <c r="D189" s="611">
        <v>0</v>
      </c>
      <c r="E189" s="611">
        <v>0</v>
      </c>
      <c r="F189" s="611">
        <v>70.526185031804687</v>
      </c>
      <c r="G189" s="611">
        <v>2.3546975295224146</v>
      </c>
      <c r="H189" s="611">
        <v>7.1814532260043631</v>
      </c>
      <c r="I189" s="611">
        <v>0</v>
      </c>
      <c r="J189" s="611">
        <v>0</v>
      </c>
      <c r="K189" s="611">
        <v>0</v>
      </c>
      <c r="L189" s="611">
        <v>0.42109898462761541</v>
      </c>
      <c r="M189" s="611">
        <v>0</v>
      </c>
      <c r="N189" s="611">
        <v>33.896224635717942</v>
      </c>
      <c r="O189" s="611">
        <v>10.020700945523032</v>
      </c>
      <c r="P189" s="611">
        <v>0</v>
      </c>
      <c r="Q189" s="611">
        <v>0</v>
      </c>
      <c r="R189" s="611">
        <v>0</v>
      </c>
      <c r="S189" s="611">
        <v>0</v>
      </c>
      <c r="T189" s="611">
        <v>40.523061894297456</v>
      </c>
      <c r="U189" s="619">
        <v>164.92342224749751</v>
      </c>
      <c r="V189" s="51"/>
    </row>
    <row r="190" spans="3:22" x14ac:dyDescent="0.25">
      <c r="C190" s="614" t="s">
        <v>85</v>
      </c>
      <c r="D190" s="615">
        <v>2.0940127617265829</v>
      </c>
      <c r="E190" s="615">
        <v>0</v>
      </c>
      <c r="F190" s="615">
        <v>112.85573695568047</v>
      </c>
      <c r="G190" s="615">
        <v>4.6293837989827011</v>
      </c>
      <c r="H190" s="615">
        <v>62.051600486972504</v>
      </c>
      <c r="I190" s="615">
        <v>0.72515613120222222</v>
      </c>
      <c r="J190" s="615">
        <v>0</v>
      </c>
      <c r="K190" s="615">
        <v>0</v>
      </c>
      <c r="L190" s="615">
        <v>65.5830258165646</v>
      </c>
      <c r="M190" s="615">
        <v>6.2799536188843161</v>
      </c>
      <c r="N190" s="615">
        <v>117.37998406446134</v>
      </c>
      <c r="O190" s="615">
        <v>75.325028000975308</v>
      </c>
      <c r="P190" s="615">
        <v>165.69992491801096</v>
      </c>
      <c r="Q190" s="615">
        <v>7.6738034088497393</v>
      </c>
      <c r="R190" s="615">
        <v>561.50437892693742</v>
      </c>
      <c r="S190" s="615">
        <v>62.621514390504288</v>
      </c>
      <c r="T190" s="615">
        <v>58.78753522743871</v>
      </c>
      <c r="U190" s="615">
        <v>1303.2110385071912</v>
      </c>
      <c r="V190" s="51"/>
    </row>
    <row r="191" spans="3:22" x14ac:dyDescent="0.25">
      <c r="C191" s="51"/>
      <c r="D191" s="67">
        <v>0</v>
      </c>
      <c r="E191" s="67">
        <v>0</v>
      </c>
      <c r="F191" s="67">
        <v>0</v>
      </c>
      <c r="G191" s="67">
        <v>0</v>
      </c>
      <c r="H191" s="67">
        <v>0</v>
      </c>
      <c r="I191" s="67">
        <v>0</v>
      </c>
      <c r="J191" s="67">
        <v>0</v>
      </c>
      <c r="K191" s="67">
        <v>0</v>
      </c>
      <c r="L191" s="67">
        <v>0</v>
      </c>
      <c r="M191" s="67">
        <v>-3.685817073417752E-4</v>
      </c>
      <c r="N191" s="67">
        <v>0</v>
      </c>
      <c r="O191" s="67">
        <v>9.7699626167013776E-15</v>
      </c>
      <c r="P191" s="67">
        <v>0</v>
      </c>
      <c r="Q191" s="67">
        <v>0</v>
      </c>
      <c r="R191" s="67">
        <v>0</v>
      </c>
      <c r="S191" s="67">
        <v>0</v>
      </c>
      <c r="T191" s="67">
        <v>-9.7699626167013776E-15</v>
      </c>
      <c r="U191" s="67">
        <v>-3.6858170687992242E-4</v>
      </c>
      <c r="V191" s="51"/>
    </row>
    <row r="192" spans="3:22" x14ac:dyDescent="0.25">
      <c r="C192" s="51"/>
      <c r="D192" s="51"/>
      <c r="E192" s="51"/>
      <c r="F192" s="51"/>
      <c r="G192" s="67"/>
      <c r="H192" s="51"/>
      <c r="I192" s="51"/>
      <c r="J192" s="51"/>
      <c r="K192" s="51"/>
      <c r="L192" s="51"/>
      <c r="M192" s="51"/>
      <c r="N192" s="51"/>
      <c r="O192" s="51"/>
      <c r="P192" s="51"/>
      <c r="Q192" s="51"/>
      <c r="R192" s="51"/>
      <c r="S192" s="51"/>
      <c r="T192" s="51"/>
      <c r="U192" s="51"/>
      <c r="V192" s="51"/>
    </row>
    <row r="193" spans="3:22" x14ac:dyDescent="0.25">
      <c r="C193" s="607" t="s">
        <v>361</v>
      </c>
      <c r="D193" s="606"/>
      <c r="E193" s="606"/>
      <c r="F193" s="606"/>
      <c r="G193" s="682"/>
      <c r="H193" s="606"/>
      <c r="I193" s="606"/>
      <c r="J193" s="606"/>
      <c r="K193" s="606"/>
      <c r="L193" s="606"/>
      <c r="M193" s="606"/>
      <c r="N193" s="606"/>
      <c r="O193" s="606"/>
      <c r="P193" s="606"/>
      <c r="Q193" s="606"/>
      <c r="R193" s="606"/>
      <c r="S193" s="606"/>
      <c r="T193" s="606"/>
      <c r="U193" s="606"/>
      <c r="V193" s="606"/>
    </row>
    <row r="194" spans="3:22" x14ac:dyDescent="0.25">
      <c r="C194" s="51"/>
      <c r="D194" s="51"/>
      <c r="E194" s="51"/>
      <c r="F194" s="51"/>
      <c r="G194" s="67"/>
      <c r="H194" s="51"/>
      <c r="I194" s="51"/>
      <c r="J194" s="51"/>
      <c r="K194" s="51"/>
      <c r="L194" s="51"/>
      <c r="M194" s="51"/>
      <c r="N194" s="51"/>
      <c r="O194" s="51"/>
      <c r="P194" s="51"/>
      <c r="Q194" s="51"/>
      <c r="R194" s="51"/>
      <c r="S194" s="51"/>
      <c r="T194" s="51"/>
      <c r="U194" s="51"/>
      <c r="V194" s="51"/>
    </row>
    <row r="195" spans="3:22" x14ac:dyDescent="0.25">
      <c r="C195" s="764" t="s">
        <v>128</v>
      </c>
      <c r="D195" s="753" t="s">
        <v>42</v>
      </c>
      <c r="E195" s="753" t="s">
        <v>52</v>
      </c>
      <c r="F195" s="753" t="s">
        <v>53</v>
      </c>
      <c r="G195" s="766" t="s">
        <v>482</v>
      </c>
      <c r="H195" s="753" t="s">
        <v>32</v>
      </c>
      <c r="I195" s="753" t="s">
        <v>483</v>
      </c>
      <c r="J195" s="753" t="s">
        <v>20</v>
      </c>
      <c r="K195" s="753" t="s">
        <v>55</v>
      </c>
      <c r="L195" s="761" t="s">
        <v>56</v>
      </c>
      <c r="M195" s="762"/>
      <c r="N195" s="762"/>
      <c r="O195" s="762"/>
      <c r="P195" s="762"/>
      <c r="Q195" s="763"/>
      <c r="R195" s="753" t="s">
        <v>57</v>
      </c>
      <c r="S195" s="753" t="s">
        <v>58</v>
      </c>
      <c r="T195" s="753" t="s">
        <v>31</v>
      </c>
      <c r="U195" s="753" t="s">
        <v>10</v>
      </c>
      <c r="V195" s="51"/>
    </row>
    <row r="196" spans="3:22" ht="36" x14ac:dyDescent="0.25">
      <c r="C196" s="765"/>
      <c r="D196" s="754"/>
      <c r="E196" s="754"/>
      <c r="F196" s="754"/>
      <c r="G196" s="767"/>
      <c r="H196" s="754"/>
      <c r="I196" s="754"/>
      <c r="J196" s="754"/>
      <c r="K196" s="754"/>
      <c r="L196" s="608" t="s">
        <v>335</v>
      </c>
      <c r="M196" s="608" t="s">
        <v>40</v>
      </c>
      <c r="N196" s="608" t="s">
        <v>343</v>
      </c>
      <c r="O196" s="608" t="s">
        <v>344</v>
      </c>
      <c r="P196" s="609" t="s">
        <v>345</v>
      </c>
      <c r="Q196" s="608" t="s">
        <v>346</v>
      </c>
      <c r="R196" s="754"/>
      <c r="S196" s="754"/>
      <c r="T196" s="754"/>
      <c r="U196" s="754"/>
      <c r="V196" s="51"/>
    </row>
    <row r="197" spans="3:22" x14ac:dyDescent="0.25">
      <c r="C197" s="610" t="s">
        <v>59</v>
      </c>
      <c r="D197" s="611">
        <v>0</v>
      </c>
      <c r="E197" s="611">
        <v>0</v>
      </c>
      <c r="F197" s="611">
        <v>0</v>
      </c>
      <c r="G197" s="611">
        <v>0</v>
      </c>
      <c r="H197" s="611">
        <v>0</v>
      </c>
      <c r="I197" s="611">
        <v>0</v>
      </c>
      <c r="J197" s="612">
        <v>971.10439999999994</v>
      </c>
      <c r="K197" s="612">
        <v>503.30122823446823</v>
      </c>
      <c r="L197" s="612">
        <v>455.14148237245831</v>
      </c>
      <c r="M197" s="612">
        <v>20.793873035909879</v>
      </c>
      <c r="N197" s="611">
        <v>1.6797912871987437</v>
      </c>
      <c r="O197" s="611">
        <v>0.17065445399605614</v>
      </c>
      <c r="P197" s="612">
        <v>171.08209770143009</v>
      </c>
      <c r="Q197" s="612">
        <v>25.726769025027945</v>
      </c>
      <c r="R197" s="611">
        <v>0</v>
      </c>
      <c r="S197" s="611">
        <v>0</v>
      </c>
      <c r="T197" s="611">
        <v>0</v>
      </c>
      <c r="U197" s="613">
        <v>2149.0002961104892</v>
      </c>
      <c r="V197" s="51"/>
    </row>
    <row r="198" spans="3:22" x14ac:dyDescent="0.25">
      <c r="C198" s="610" t="s">
        <v>60</v>
      </c>
      <c r="D198" s="611">
        <v>1.6567330370836562</v>
      </c>
      <c r="E198" s="611">
        <v>156.10342406212303</v>
      </c>
      <c r="F198" s="611">
        <v>2.9590354993625017</v>
      </c>
      <c r="G198" s="611">
        <v>0</v>
      </c>
      <c r="H198" s="611">
        <v>54.539197305320002</v>
      </c>
      <c r="I198" s="611">
        <v>0</v>
      </c>
      <c r="J198" s="611">
        <v>0</v>
      </c>
      <c r="K198" s="611">
        <v>0</v>
      </c>
      <c r="L198" s="611">
        <v>4.8125993033158778</v>
      </c>
      <c r="M198" s="611">
        <v>0</v>
      </c>
      <c r="N198" s="611">
        <v>6.2295354537228107</v>
      </c>
      <c r="O198" s="611">
        <v>0</v>
      </c>
      <c r="P198" s="611">
        <v>0</v>
      </c>
      <c r="Q198" s="611">
        <v>0</v>
      </c>
      <c r="R198" s="611">
        <v>12.737834844238364</v>
      </c>
      <c r="S198" s="611">
        <v>0</v>
      </c>
      <c r="T198" s="611">
        <v>0</v>
      </c>
      <c r="U198" s="613">
        <v>239.03835950516623</v>
      </c>
      <c r="V198" s="51"/>
    </row>
    <row r="199" spans="3:22" x14ac:dyDescent="0.25">
      <c r="C199" s="610" t="s">
        <v>61</v>
      </c>
      <c r="D199" s="611">
        <v>0</v>
      </c>
      <c r="E199" s="611">
        <v>0</v>
      </c>
      <c r="F199" s="611">
        <v>-44.676300971263089</v>
      </c>
      <c r="G199" s="611">
        <v>-7.4420014649377606</v>
      </c>
      <c r="H199" s="611">
        <v>0</v>
      </c>
      <c r="I199" s="611">
        <v>0</v>
      </c>
      <c r="J199" s="611">
        <v>0</v>
      </c>
      <c r="K199" s="611">
        <v>0</v>
      </c>
      <c r="L199" s="611">
        <v>0</v>
      </c>
      <c r="M199" s="611">
        <v>0</v>
      </c>
      <c r="N199" s="611">
        <v>0</v>
      </c>
      <c r="O199" s="611">
        <v>0</v>
      </c>
      <c r="P199" s="611">
        <v>0</v>
      </c>
      <c r="Q199" s="611">
        <v>0</v>
      </c>
      <c r="R199" s="611">
        <v>0</v>
      </c>
      <c r="S199" s="611">
        <v>0</v>
      </c>
      <c r="T199" s="611">
        <v>0</v>
      </c>
      <c r="U199" s="613">
        <v>-52.11830243620085</v>
      </c>
      <c r="V199" s="51"/>
    </row>
    <row r="200" spans="3:22" x14ac:dyDescent="0.25">
      <c r="C200" s="610" t="s">
        <v>62</v>
      </c>
      <c r="D200" s="611">
        <v>0</v>
      </c>
      <c r="E200" s="611">
        <v>0</v>
      </c>
      <c r="F200" s="611">
        <v>-2.5439781787400757</v>
      </c>
      <c r="G200" s="611">
        <v>-5.1073400578201751</v>
      </c>
      <c r="H200" s="611">
        <v>0</v>
      </c>
      <c r="I200" s="611">
        <v>-4.025065184691706</v>
      </c>
      <c r="J200" s="611">
        <v>0</v>
      </c>
      <c r="K200" s="611">
        <v>0</v>
      </c>
      <c r="L200" s="611">
        <v>0</v>
      </c>
      <c r="M200" s="611">
        <v>0</v>
      </c>
      <c r="N200" s="611">
        <v>-1.4642875778969737</v>
      </c>
      <c r="O200" s="611">
        <v>-2.6833767897944703</v>
      </c>
      <c r="P200" s="611">
        <v>0</v>
      </c>
      <c r="Q200" s="611">
        <v>0</v>
      </c>
      <c r="R200" s="611">
        <v>0</v>
      </c>
      <c r="S200" s="611">
        <v>0</v>
      </c>
      <c r="T200" s="611">
        <v>-1.8096944583874461</v>
      </c>
      <c r="U200" s="613">
        <v>-17.633742247330847</v>
      </c>
      <c r="V200" s="51"/>
    </row>
    <row r="201" spans="3:22" x14ac:dyDescent="0.25">
      <c r="C201" s="610" t="s">
        <v>63</v>
      </c>
      <c r="D201" s="611">
        <v>0</v>
      </c>
      <c r="E201" s="611">
        <v>0</v>
      </c>
      <c r="F201" s="611">
        <v>-26.066537028283065</v>
      </c>
      <c r="G201" s="611">
        <v>-15.61159587816994</v>
      </c>
      <c r="H201" s="611">
        <v>0</v>
      </c>
      <c r="I201" s="611">
        <v>0</v>
      </c>
      <c r="J201" s="611">
        <v>0</v>
      </c>
      <c r="K201" s="611">
        <v>0</v>
      </c>
      <c r="L201" s="611">
        <v>0</v>
      </c>
      <c r="M201" s="611">
        <v>0</v>
      </c>
      <c r="N201" s="611">
        <v>-15.61159587816994</v>
      </c>
      <c r="O201" s="611">
        <v>0</v>
      </c>
      <c r="P201" s="611">
        <v>0</v>
      </c>
      <c r="Q201" s="611">
        <v>0</v>
      </c>
      <c r="R201" s="611">
        <v>0</v>
      </c>
      <c r="S201" s="611">
        <v>0</v>
      </c>
      <c r="T201" s="611">
        <v>-5.1590895167519655</v>
      </c>
      <c r="U201" s="613">
        <v>-62.448818301374899</v>
      </c>
      <c r="V201" s="51"/>
    </row>
    <row r="202" spans="3:22" x14ac:dyDescent="0.25">
      <c r="C202" s="610" t="s">
        <v>64</v>
      </c>
      <c r="D202" s="611">
        <v>0</v>
      </c>
      <c r="E202" s="611">
        <v>0</v>
      </c>
      <c r="F202" s="611">
        <v>0</v>
      </c>
      <c r="G202" s="611">
        <v>0</v>
      </c>
      <c r="H202" s="611">
        <v>0</v>
      </c>
      <c r="I202" s="611">
        <v>0</v>
      </c>
      <c r="J202" s="611">
        <v>0</v>
      </c>
      <c r="K202" s="611">
        <v>0</v>
      </c>
      <c r="L202" s="611">
        <v>0</v>
      </c>
      <c r="M202" s="611">
        <v>0</v>
      </c>
      <c r="N202" s="611">
        <v>0</v>
      </c>
      <c r="O202" s="611">
        <v>0</v>
      </c>
      <c r="P202" s="611">
        <v>0</v>
      </c>
      <c r="Q202" s="611">
        <v>0</v>
      </c>
      <c r="R202" s="611">
        <v>0</v>
      </c>
      <c r="S202" s="611">
        <v>0</v>
      </c>
      <c r="T202" s="611">
        <v>0</v>
      </c>
      <c r="U202" s="613">
        <v>0</v>
      </c>
      <c r="V202" s="51"/>
    </row>
    <row r="203" spans="3:22" x14ac:dyDescent="0.25">
      <c r="C203" s="614" t="s">
        <v>65</v>
      </c>
      <c r="D203" s="615">
        <v>1.6567330370836562</v>
      </c>
      <c r="E203" s="615">
        <v>156.10342406212303</v>
      </c>
      <c r="F203" s="615">
        <v>-70.32778067892373</v>
      </c>
      <c r="G203" s="615">
        <v>-28.160937400927875</v>
      </c>
      <c r="H203" s="615">
        <v>54.539197305320002</v>
      </c>
      <c r="I203" s="615">
        <v>-4.025065184691706</v>
      </c>
      <c r="J203" s="615">
        <v>971.10439999999994</v>
      </c>
      <c r="K203" s="615">
        <v>503.30122823446823</v>
      </c>
      <c r="L203" s="615">
        <v>459.9540816757742</v>
      </c>
      <c r="M203" s="615">
        <v>20.793873035909879</v>
      </c>
      <c r="N203" s="615">
        <v>-9.166556715145358</v>
      </c>
      <c r="O203" s="615">
        <v>-2.5127223357984141</v>
      </c>
      <c r="P203" s="615">
        <v>171.08209770143009</v>
      </c>
      <c r="Q203" s="615">
        <v>25.726769025027945</v>
      </c>
      <c r="R203" s="615">
        <v>12.737834844238364</v>
      </c>
      <c r="S203" s="615">
        <v>0</v>
      </c>
      <c r="T203" s="615">
        <v>-6.9687839751394112</v>
      </c>
      <c r="U203" s="615">
        <v>2255.8377926307489</v>
      </c>
      <c r="V203" s="51"/>
    </row>
    <row r="204" spans="3:22" x14ac:dyDescent="0.25">
      <c r="C204" s="616"/>
      <c r="D204" s="617"/>
      <c r="E204" s="617"/>
      <c r="F204" s="617"/>
      <c r="G204" s="617"/>
      <c r="H204" s="623"/>
      <c r="I204" s="617"/>
      <c r="J204" s="617"/>
      <c r="K204" s="617"/>
      <c r="L204" s="617"/>
      <c r="M204" s="617"/>
      <c r="N204" s="617"/>
      <c r="O204" s="617"/>
      <c r="P204" s="617"/>
      <c r="Q204" s="617"/>
      <c r="R204" s="617"/>
      <c r="S204" s="617"/>
      <c r="T204" s="617"/>
      <c r="U204" s="617"/>
      <c r="V204" s="51"/>
    </row>
    <row r="205" spans="3:22" x14ac:dyDescent="0.25">
      <c r="C205" s="618" t="s">
        <v>67</v>
      </c>
      <c r="D205" s="611">
        <v>0</v>
      </c>
      <c r="E205" s="611">
        <v>0</v>
      </c>
      <c r="F205" s="611">
        <v>0</v>
      </c>
      <c r="G205" s="611">
        <v>0</v>
      </c>
      <c r="H205" s="611">
        <v>0</v>
      </c>
      <c r="I205" s="611">
        <v>0</v>
      </c>
      <c r="J205" s="611">
        <v>0</v>
      </c>
      <c r="K205" s="611">
        <v>0</v>
      </c>
      <c r="L205" s="611">
        <v>0</v>
      </c>
      <c r="M205" s="611">
        <v>0</v>
      </c>
      <c r="N205" s="611">
        <v>0</v>
      </c>
      <c r="O205" s="611">
        <v>0</v>
      </c>
      <c r="P205" s="611">
        <v>0</v>
      </c>
      <c r="Q205" s="611">
        <v>0</v>
      </c>
      <c r="R205" s="611">
        <v>0</v>
      </c>
      <c r="S205" s="611">
        <v>0</v>
      </c>
      <c r="T205" s="611">
        <v>0</v>
      </c>
      <c r="U205" s="619">
        <v>0</v>
      </c>
      <c r="V205" s="51"/>
    </row>
    <row r="206" spans="3:22" x14ac:dyDescent="0.25">
      <c r="C206" s="618" t="s">
        <v>347</v>
      </c>
      <c r="D206" s="611">
        <v>0</v>
      </c>
      <c r="E206" s="611">
        <v>0</v>
      </c>
      <c r="F206" s="611">
        <v>0</v>
      </c>
      <c r="G206" s="611">
        <v>0</v>
      </c>
      <c r="H206" s="611">
        <v>0.44776646808510651</v>
      </c>
      <c r="I206" s="611">
        <v>0</v>
      </c>
      <c r="J206" s="611">
        <v>971.10439999999994</v>
      </c>
      <c r="K206" s="611">
        <v>503.30122823446823</v>
      </c>
      <c r="L206" s="611">
        <v>22.611661930027488</v>
      </c>
      <c r="M206" s="611">
        <v>0.61851517484510588</v>
      </c>
      <c r="N206" s="611">
        <v>6.3451610040287907</v>
      </c>
      <c r="O206" s="611">
        <v>1.1589812304406033</v>
      </c>
      <c r="P206" s="611">
        <v>0</v>
      </c>
      <c r="Q206" s="611">
        <v>6.4766550958451852</v>
      </c>
      <c r="R206" s="611">
        <v>-877.28387729883798</v>
      </c>
      <c r="S206" s="611">
        <v>0</v>
      </c>
      <c r="T206" s="611">
        <v>5.1921899999999992</v>
      </c>
      <c r="U206" s="619">
        <v>639.97268183890242</v>
      </c>
      <c r="V206" s="51"/>
    </row>
    <row r="207" spans="3:22" x14ac:dyDescent="0.25">
      <c r="C207" s="618" t="s">
        <v>348</v>
      </c>
      <c r="D207" s="611">
        <v>0</v>
      </c>
      <c r="E207" s="611">
        <v>0</v>
      </c>
      <c r="F207" s="611">
        <v>0</v>
      </c>
      <c r="G207" s="611">
        <v>0</v>
      </c>
      <c r="H207" s="611">
        <v>3.2640954387883037</v>
      </c>
      <c r="I207" s="611">
        <v>0</v>
      </c>
      <c r="J207" s="611">
        <v>0</v>
      </c>
      <c r="K207" s="611">
        <v>0</v>
      </c>
      <c r="L207" s="611">
        <v>34.874750545465744</v>
      </c>
      <c r="M207" s="611">
        <v>14.450307287843678</v>
      </c>
      <c r="N207" s="611">
        <v>0</v>
      </c>
      <c r="O207" s="611">
        <v>7.6313341325616637</v>
      </c>
      <c r="P207" s="611">
        <v>0</v>
      </c>
      <c r="Q207" s="611">
        <v>11.247880766628024</v>
      </c>
      <c r="R207" s="611">
        <v>0</v>
      </c>
      <c r="S207" s="611">
        <v>-67.335306808549447</v>
      </c>
      <c r="T207" s="611">
        <v>0</v>
      </c>
      <c r="U207" s="619">
        <v>4.133061362737962</v>
      </c>
      <c r="V207" s="51"/>
    </row>
    <row r="208" spans="3:22" x14ac:dyDescent="0.25">
      <c r="C208" s="618" t="s">
        <v>349</v>
      </c>
      <c r="D208" s="611">
        <v>0</v>
      </c>
      <c r="E208" s="611">
        <v>0</v>
      </c>
      <c r="F208" s="611">
        <v>0</v>
      </c>
      <c r="G208" s="611">
        <v>0</v>
      </c>
      <c r="H208" s="611">
        <v>0</v>
      </c>
      <c r="I208" s="611">
        <v>0</v>
      </c>
      <c r="J208" s="611">
        <v>0</v>
      </c>
      <c r="K208" s="611">
        <v>0</v>
      </c>
      <c r="L208" s="611">
        <v>99.886824202456438</v>
      </c>
      <c r="M208" s="611">
        <v>0</v>
      </c>
      <c r="N208" s="611">
        <v>0</v>
      </c>
      <c r="O208" s="611">
        <v>-91.582944375151399</v>
      </c>
      <c r="P208" s="611">
        <v>0</v>
      </c>
      <c r="Q208" s="611">
        <v>0</v>
      </c>
      <c r="R208" s="611">
        <v>0</v>
      </c>
      <c r="S208" s="611">
        <v>0</v>
      </c>
      <c r="T208" s="611">
        <v>0</v>
      </c>
      <c r="U208" s="619">
        <v>8.3038798273050389</v>
      </c>
      <c r="V208" s="51"/>
    </row>
    <row r="209" spans="3:22" x14ac:dyDescent="0.25">
      <c r="C209" s="618" t="s">
        <v>350</v>
      </c>
      <c r="D209" s="611">
        <v>0</v>
      </c>
      <c r="E209" s="611">
        <v>0</v>
      </c>
      <c r="F209" s="611">
        <v>0</v>
      </c>
      <c r="G209" s="611">
        <v>0</v>
      </c>
      <c r="H209" s="611">
        <v>0</v>
      </c>
      <c r="I209" s="611">
        <v>-5.1740904166094976</v>
      </c>
      <c r="J209" s="611">
        <v>0</v>
      </c>
      <c r="K209" s="611">
        <v>0</v>
      </c>
      <c r="L209" s="611">
        <v>0</v>
      </c>
      <c r="M209" s="611">
        <v>0</v>
      </c>
      <c r="N209" s="611">
        <v>0</v>
      </c>
      <c r="O209" s="611">
        <v>0</v>
      </c>
      <c r="P209" s="611">
        <v>0</v>
      </c>
      <c r="Q209" s="611">
        <v>0</v>
      </c>
      <c r="R209" s="611">
        <v>0</v>
      </c>
      <c r="S209" s="611">
        <v>0</v>
      </c>
      <c r="T209" s="611">
        <v>7.1912846116196816</v>
      </c>
      <c r="U209" s="619">
        <v>2.0171941950101839</v>
      </c>
      <c r="V209" s="51"/>
    </row>
    <row r="210" spans="3:22" x14ac:dyDescent="0.25">
      <c r="C210" s="618" t="s">
        <v>72</v>
      </c>
      <c r="D210" s="611">
        <v>0</v>
      </c>
      <c r="E210" s="611">
        <v>161.75289728424144</v>
      </c>
      <c r="F210" s="611">
        <v>-160.13983967974238</v>
      </c>
      <c r="G210" s="611">
        <v>0</v>
      </c>
      <c r="H210" s="611">
        <v>0</v>
      </c>
      <c r="I210" s="611">
        <v>0</v>
      </c>
      <c r="J210" s="611">
        <v>0</v>
      </c>
      <c r="K210" s="611">
        <v>0</v>
      </c>
      <c r="L210" s="611">
        <v>0</v>
      </c>
      <c r="M210" s="611">
        <v>0</v>
      </c>
      <c r="N210" s="611">
        <v>0</v>
      </c>
      <c r="O210" s="611">
        <v>0</v>
      </c>
      <c r="P210" s="611">
        <v>0</v>
      </c>
      <c r="Q210" s="611">
        <v>0</v>
      </c>
      <c r="R210" s="611">
        <v>0</v>
      </c>
      <c r="S210" s="611">
        <v>0</v>
      </c>
      <c r="T210" s="611">
        <v>0</v>
      </c>
      <c r="U210" s="619">
        <v>1.6130576044990619</v>
      </c>
      <c r="V210" s="51"/>
    </row>
    <row r="211" spans="3:22" x14ac:dyDescent="0.25">
      <c r="C211" s="618" t="s">
        <v>351</v>
      </c>
      <c r="D211" s="611">
        <v>0</v>
      </c>
      <c r="E211" s="611">
        <v>0</v>
      </c>
      <c r="F211" s="611">
        <v>0</v>
      </c>
      <c r="G211" s="611">
        <v>0</v>
      </c>
      <c r="H211" s="611">
        <v>0</v>
      </c>
      <c r="I211" s="611">
        <v>0</v>
      </c>
      <c r="J211" s="611">
        <v>0</v>
      </c>
      <c r="K211" s="611">
        <v>0</v>
      </c>
      <c r="L211" s="611">
        <v>239.29378044744664</v>
      </c>
      <c r="M211" s="611">
        <v>0</v>
      </c>
      <c r="N211" s="611">
        <v>-131.61157924609566</v>
      </c>
      <c r="O211" s="611">
        <v>0</v>
      </c>
      <c r="P211" s="611">
        <v>0</v>
      </c>
      <c r="Q211" s="611">
        <v>0</v>
      </c>
      <c r="R211" s="611">
        <v>0</v>
      </c>
      <c r="S211" s="611">
        <v>0</v>
      </c>
      <c r="T211" s="611">
        <v>0</v>
      </c>
      <c r="U211" s="619">
        <v>107.68220120135098</v>
      </c>
      <c r="V211" s="51"/>
    </row>
    <row r="212" spans="3:22" x14ac:dyDescent="0.25">
      <c r="C212" s="618" t="s">
        <v>352</v>
      </c>
      <c r="D212" s="611">
        <v>0</v>
      </c>
      <c r="E212" s="611">
        <v>0</v>
      </c>
      <c r="F212" s="611">
        <v>0</v>
      </c>
      <c r="G212" s="611">
        <v>-33.473815441656178</v>
      </c>
      <c r="H212" s="611">
        <v>0</v>
      </c>
      <c r="I212" s="611">
        <v>0</v>
      </c>
      <c r="J212" s="611">
        <v>0</v>
      </c>
      <c r="K212" s="611">
        <v>0</v>
      </c>
      <c r="L212" s="611">
        <v>0</v>
      </c>
      <c r="M212" s="611">
        <v>0</v>
      </c>
      <c r="N212" s="611">
        <v>0</v>
      </c>
      <c r="O212" s="611">
        <v>0</v>
      </c>
      <c r="P212" s="611">
        <v>0</v>
      </c>
      <c r="Q212" s="611">
        <v>0</v>
      </c>
      <c r="R212" s="611">
        <v>0</v>
      </c>
      <c r="S212" s="611">
        <v>0</v>
      </c>
      <c r="T212" s="611">
        <v>43.527837875314049</v>
      </c>
      <c r="U212" s="619">
        <v>10.05402243365787</v>
      </c>
      <c r="V212" s="51"/>
    </row>
    <row r="213" spans="3:22" x14ac:dyDescent="0.25">
      <c r="C213" s="618" t="s">
        <v>73</v>
      </c>
      <c r="D213" s="611">
        <v>0</v>
      </c>
      <c r="E213" s="611">
        <v>0</v>
      </c>
      <c r="F213" s="611">
        <v>0</v>
      </c>
      <c r="G213" s="611">
        <v>0</v>
      </c>
      <c r="H213" s="611">
        <v>0</v>
      </c>
      <c r="I213" s="611">
        <v>0</v>
      </c>
      <c r="J213" s="611">
        <v>0</v>
      </c>
      <c r="K213" s="611">
        <v>0</v>
      </c>
      <c r="L213" s="611">
        <v>0</v>
      </c>
      <c r="M213" s="611">
        <v>0</v>
      </c>
      <c r="N213" s="611">
        <v>0</v>
      </c>
      <c r="O213" s="611">
        <v>0</v>
      </c>
      <c r="P213" s="611">
        <v>0</v>
      </c>
      <c r="Q213" s="611">
        <v>0</v>
      </c>
      <c r="R213" s="611">
        <v>186.09171546114462</v>
      </c>
      <c r="S213" s="611">
        <v>0</v>
      </c>
      <c r="T213" s="611">
        <v>-130.72943011145409</v>
      </c>
      <c r="U213" s="619">
        <v>55.362285349690524</v>
      </c>
      <c r="V213" s="51"/>
    </row>
    <row r="214" spans="3:22" x14ac:dyDescent="0.25">
      <c r="C214" s="618" t="s">
        <v>353</v>
      </c>
      <c r="D214" s="611">
        <v>0</v>
      </c>
      <c r="E214" s="611">
        <v>-5.6494732221184147</v>
      </c>
      <c r="F214" s="611">
        <v>7.3669989850431641</v>
      </c>
      <c r="G214" s="611">
        <v>0</v>
      </c>
      <c r="H214" s="611">
        <v>0</v>
      </c>
      <c r="I214" s="611">
        <v>0</v>
      </c>
      <c r="J214" s="611">
        <v>0</v>
      </c>
      <c r="K214" s="611">
        <v>0</v>
      </c>
      <c r="L214" s="611">
        <v>0</v>
      </c>
      <c r="M214" s="611">
        <v>0</v>
      </c>
      <c r="N214" s="611">
        <v>0</v>
      </c>
      <c r="O214" s="611">
        <v>0</v>
      </c>
      <c r="P214" s="611">
        <v>0</v>
      </c>
      <c r="Q214" s="611">
        <v>0</v>
      </c>
      <c r="R214" s="611">
        <v>0</v>
      </c>
      <c r="S214" s="611">
        <v>0</v>
      </c>
      <c r="T214" s="611">
        <v>0</v>
      </c>
      <c r="U214" s="619">
        <v>1.7175257629247493</v>
      </c>
      <c r="V214" s="51"/>
    </row>
    <row r="215" spans="3:22" x14ac:dyDescent="0.25">
      <c r="C215" s="618" t="s">
        <v>75</v>
      </c>
      <c r="D215" s="611">
        <v>0</v>
      </c>
      <c r="E215" s="611">
        <v>0</v>
      </c>
      <c r="F215" s="611">
        <v>5.5408288295361077</v>
      </c>
      <c r="G215" s="611">
        <v>0</v>
      </c>
      <c r="H215" s="611">
        <v>1.9377811160090992</v>
      </c>
      <c r="I215" s="611">
        <v>4.9686695282284594E-2</v>
      </c>
      <c r="J215" s="611">
        <v>0</v>
      </c>
      <c r="K215" s="611">
        <v>0</v>
      </c>
      <c r="L215" s="611">
        <v>0</v>
      </c>
      <c r="M215" s="611">
        <v>0</v>
      </c>
      <c r="N215" s="611">
        <v>0</v>
      </c>
      <c r="O215" s="611">
        <v>2.9812017169370755</v>
      </c>
      <c r="P215" s="611">
        <v>0</v>
      </c>
      <c r="Q215" s="611">
        <v>0</v>
      </c>
      <c r="R215" s="611">
        <v>65.428671005307493</v>
      </c>
      <c r="S215" s="611">
        <v>0</v>
      </c>
      <c r="T215" s="611">
        <v>0</v>
      </c>
      <c r="U215" s="619">
        <v>75.938169363072063</v>
      </c>
      <c r="V215" s="51"/>
    </row>
    <row r="216" spans="3:22" x14ac:dyDescent="0.25">
      <c r="C216" s="618" t="s">
        <v>76</v>
      </c>
      <c r="D216" s="611">
        <v>0</v>
      </c>
      <c r="E216" s="611">
        <v>0</v>
      </c>
      <c r="F216" s="611">
        <v>0</v>
      </c>
      <c r="G216" s="611">
        <v>0</v>
      </c>
      <c r="H216" s="611">
        <v>0.58858582439204721</v>
      </c>
      <c r="I216" s="611">
        <v>1.5091944215180697E-2</v>
      </c>
      <c r="J216" s="611">
        <v>0</v>
      </c>
      <c r="K216" s="611">
        <v>0</v>
      </c>
      <c r="L216" s="611">
        <v>0</v>
      </c>
      <c r="M216" s="611">
        <v>0</v>
      </c>
      <c r="N216" s="611">
        <v>0</v>
      </c>
      <c r="O216" s="611">
        <v>0.90551665291084182</v>
      </c>
      <c r="P216" s="611">
        <v>0</v>
      </c>
      <c r="Q216" s="611">
        <v>0</v>
      </c>
      <c r="R216" s="611">
        <v>68.128345316060717</v>
      </c>
      <c r="S216" s="611">
        <v>5.2226705636158801</v>
      </c>
      <c r="T216" s="611">
        <v>0</v>
      </c>
      <c r="U216" s="619">
        <v>74.86021030119467</v>
      </c>
      <c r="V216" s="51"/>
    </row>
    <row r="217" spans="3:22" x14ac:dyDescent="0.25">
      <c r="C217" s="614" t="s">
        <v>77</v>
      </c>
      <c r="D217" s="615">
        <v>0</v>
      </c>
      <c r="E217" s="615">
        <v>156.10342406212303</v>
      </c>
      <c r="F217" s="615">
        <v>-147.23201186516312</v>
      </c>
      <c r="G217" s="615">
        <v>-33.473815441656178</v>
      </c>
      <c r="H217" s="615">
        <v>6.2382288472745566</v>
      </c>
      <c r="I217" s="615">
        <v>-5.1093117771120324</v>
      </c>
      <c r="J217" s="615">
        <v>971.10439999999994</v>
      </c>
      <c r="K217" s="615">
        <v>503.30122823446823</v>
      </c>
      <c r="L217" s="615">
        <v>396.66701712539634</v>
      </c>
      <c r="M217" s="615">
        <v>15.068822462688784</v>
      </c>
      <c r="N217" s="615">
        <v>-125.26641824206686</v>
      </c>
      <c r="O217" s="615">
        <v>-78.905910642301208</v>
      </c>
      <c r="P217" s="615">
        <v>0</v>
      </c>
      <c r="Q217" s="615">
        <v>17.724535862473211</v>
      </c>
      <c r="R217" s="615">
        <v>-557.63514551632511</v>
      </c>
      <c r="S217" s="615">
        <v>-62.112636244933569</v>
      </c>
      <c r="T217" s="615">
        <v>-74.818117624520369</v>
      </c>
      <c r="U217" s="615">
        <v>981.65428924034563</v>
      </c>
      <c r="V217" s="51"/>
    </row>
    <row r="218" spans="3:22" x14ac:dyDescent="0.25">
      <c r="C218" s="616"/>
      <c r="D218" s="617"/>
      <c r="E218" s="617"/>
      <c r="F218" s="617"/>
      <c r="G218" s="617"/>
      <c r="H218" s="623"/>
      <c r="I218" s="617"/>
      <c r="J218" s="617"/>
      <c r="K218" s="617"/>
      <c r="L218" s="617"/>
      <c r="M218" s="617"/>
      <c r="N218" s="617"/>
      <c r="O218" s="617"/>
      <c r="P218" s="617"/>
      <c r="Q218" s="617"/>
      <c r="R218" s="617"/>
      <c r="S218" s="617"/>
      <c r="T218" s="617"/>
      <c r="U218" s="617"/>
      <c r="V218" s="51"/>
    </row>
    <row r="219" spans="3:22" x14ac:dyDescent="0.25">
      <c r="C219" s="618" t="s">
        <v>78</v>
      </c>
      <c r="D219" s="611">
        <v>1.6567330370836562</v>
      </c>
      <c r="E219" s="611">
        <v>0</v>
      </c>
      <c r="F219" s="611">
        <v>2.8599897491525303</v>
      </c>
      <c r="G219" s="611">
        <v>0</v>
      </c>
      <c r="H219" s="611">
        <v>23.2042782425182</v>
      </c>
      <c r="I219" s="611">
        <v>0.59498149339790252</v>
      </c>
      <c r="J219" s="611">
        <v>0</v>
      </c>
      <c r="K219" s="611">
        <v>0</v>
      </c>
      <c r="L219" s="611">
        <v>22.611451120736024</v>
      </c>
      <c r="M219" s="611">
        <v>5.7247037459588501</v>
      </c>
      <c r="N219" s="611">
        <v>2.4891014214733991</v>
      </c>
      <c r="O219" s="611">
        <v>35.740239810905898</v>
      </c>
      <c r="P219" s="611">
        <v>17.613589843749999</v>
      </c>
      <c r="Q219" s="611">
        <v>8.4299170840015686E-4</v>
      </c>
      <c r="R219" s="611">
        <v>187.94943106568476</v>
      </c>
      <c r="S219" s="611">
        <v>21.3497147946984</v>
      </c>
      <c r="T219" s="611">
        <v>13.7914765625</v>
      </c>
      <c r="U219" s="619">
        <v>335.58653387956804</v>
      </c>
      <c r="V219" s="51"/>
    </row>
    <row r="220" spans="3:22" x14ac:dyDescent="0.25">
      <c r="C220" s="618" t="s">
        <v>79</v>
      </c>
      <c r="D220" s="611">
        <v>0</v>
      </c>
      <c r="E220" s="611">
        <v>0</v>
      </c>
      <c r="F220" s="611">
        <v>7.0212023016086675</v>
      </c>
      <c r="G220" s="611">
        <v>2.7990026147409606</v>
      </c>
      <c r="H220" s="611">
        <v>3.0363171620819989</v>
      </c>
      <c r="I220" s="611">
        <v>7.7854286207230741E-2</v>
      </c>
      <c r="J220" s="611">
        <v>0</v>
      </c>
      <c r="K220" s="611">
        <v>0</v>
      </c>
      <c r="L220" s="611">
        <v>0</v>
      </c>
      <c r="M220" s="611">
        <v>0</v>
      </c>
      <c r="N220" s="611">
        <v>56.581202021290558</v>
      </c>
      <c r="O220" s="611">
        <v>4.6712571724338439</v>
      </c>
      <c r="P220" s="611">
        <v>0</v>
      </c>
      <c r="Q220" s="611">
        <v>0</v>
      </c>
      <c r="R220" s="611">
        <v>112.24073946586431</v>
      </c>
      <c r="S220" s="611">
        <v>0</v>
      </c>
      <c r="T220" s="611">
        <v>6.497399181335763</v>
      </c>
      <c r="U220" s="619">
        <v>192.92497420556333</v>
      </c>
      <c r="V220" s="51"/>
    </row>
    <row r="221" spans="3:22" x14ac:dyDescent="0.25">
      <c r="C221" s="618" t="s">
        <v>80</v>
      </c>
      <c r="D221" s="611">
        <v>0</v>
      </c>
      <c r="E221" s="611">
        <v>0</v>
      </c>
      <c r="F221" s="611">
        <v>0.52818257625892373</v>
      </c>
      <c r="G221" s="611">
        <v>0</v>
      </c>
      <c r="H221" s="611">
        <v>9.9272307301662774</v>
      </c>
      <c r="I221" s="611">
        <v>0.25454437769657123</v>
      </c>
      <c r="J221" s="611">
        <v>0</v>
      </c>
      <c r="K221" s="611">
        <v>0</v>
      </c>
      <c r="L221" s="611">
        <v>36.145280389625334</v>
      </c>
      <c r="M221" s="611">
        <v>0</v>
      </c>
      <c r="N221" s="611">
        <v>0</v>
      </c>
      <c r="O221" s="611">
        <v>15.272662661794273</v>
      </c>
      <c r="P221" s="611">
        <v>102.98149571768585</v>
      </c>
      <c r="Q221" s="611">
        <v>2.9888036499995505</v>
      </c>
      <c r="R221" s="611">
        <v>143.51715895688449</v>
      </c>
      <c r="S221" s="611">
        <v>22.181895321077057</v>
      </c>
      <c r="T221" s="611">
        <v>0</v>
      </c>
      <c r="U221" s="619">
        <v>333.79725438118828</v>
      </c>
      <c r="V221" s="51"/>
    </row>
    <row r="222" spans="3:22" x14ac:dyDescent="0.25">
      <c r="C222" s="618" t="s">
        <v>81</v>
      </c>
      <c r="D222" s="611">
        <v>0</v>
      </c>
      <c r="E222" s="611">
        <v>0</v>
      </c>
      <c r="F222" s="611">
        <v>0.4043921899752152</v>
      </c>
      <c r="G222" s="611">
        <v>0</v>
      </c>
      <c r="H222" s="611">
        <v>5.5758605918279338</v>
      </c>
      <c r="I222" s="611">
        <v>0.14297078440584446</v>
      </c>
      <c r="J222" s="611">
        <v>0</v>
      </c>
      <c r="K222" s="611">
        <v>0</v>
      </c>
      <c r="L222" s="611">
        <v>0.49596954229928064</v>
      </c>
      <c r="M222" s="611">
        <v>0</v>
      </c>
      <c r="N222" s="611">
        <v>0</v>
      </c>
      <c r="O222" s="611">
        <v>8.5782470643506681</v>
      </c>
      <c r="P222" s="611">
        <v>49.237012139994242</v>
      </c>
      <c r="Q222" s="611">
        <v>3.2685728275989634</v>
      </c>
      <c r="R222" s="611">
        <v>113.98538483583862</v>
      </c>
      <c r="S222" s="611">
        <v>18.581026129158101</v>
      </c>
      <c r="T222" s="611">
        <v>0</v>
      </c>
      <c r="U222" s="619">
        <v>200.26943610544885</v>
      </c>
      <c r="V222" s="51"/>
    </row>
    <row r="223" spans="3:22" x14ac:dyDescent="0.25">
      <c r="C223" s="618" t="s">
        <v>82</v>
      </c>
      <c r="D223" s="611">
        <v>0</v>
      </c>
      <c r="E223" s="611">
        <v>0</v>
      </c>
      <c r="F223" s="611">
        <v>3.6463721740036745</v>
      </c>
      <c r="G223" s="611">
        <v>0</v>
      </c>
      <c r="H223" s="611">
        <v>0.54193037779832631</v>
      </c>
      <c r="I223" s="611">
        <v>1.3895650712777598E-2</v>
      </c>
      <c r="J223" s="611">
        <v>0</v>
      </c>
      <c r="K223" s="611">
        <v>0</v>
      </c>
      <c r="L223" s="611">
        <v>3.5613676310951794</v>
      </c>
      <c r="M223" s="611">
        <v>0</v>
      </c>
      <c r="N223" s="611">
        <v>18.734510808369581</v>
      </c>
      <c r="O223" s="611">
        <v>0.83373904276665589</v>
      </c>
      <c r="P223" s="611">
        <v>1.25</v>
      </c>
      <c r="Q223" s="611">
        <v>1.7440136932478227</v>
      </c>
      <c r="R223" s="611">
        <v>6.9126660362912906</v>
      </c>
      <c r="S223" s="611">
        <v>0</v>
      </c>
      <c r="T223" s="611">
        <v>0.67126612024062504</v>
      </c>
      <c r="U223" s="619">
        <v>37.909761534525927</v>
      </c>
      <c r="V223" s="51"/>
    </row>
    <row r="224" spans="3:22" x14ac:dyDescent="0.25">
      <c r="C224" s="618" t="s">
        <v>354</v>
      </c>
      <c r="D224" s="611">
        <v>0</v>
      </c>
      <c r="E224" s="611">
        <v>0</v>
      </c>
      <c r="F224" s="611">
        <v>0</v>
      </c>
      <c r="G224" s="611">
        <v>0</v>
      </c>
      <c r="H224" s="611">
        <v>0</v>
      </c>
      <c r="I224" s="611">
        <v>0</v>
      </c>
      <c r="J224" s="611">
        <v>0</v>
      </c>
      <c r="K224" s="611">
        <v>0</v>
      </c>
      <c r="L224" s="611">
        <v>0</v>
      </c>
      <c r="M224" s="611">
        <v>0</v>
      </c>
      <c r="N224" s="611">
        <v>0</v>
      </c>
      <c r="O224" s="611">
        <v>0</v>
      </c>
      <c r="P224" s="611">
        <v>0</v>
      </c>
      <c r="Q224" s="611">
        <v>0</v>
      </c>
      <c r="R224" s="611">
        <v>5.7675999999999998</v>
      </c>
      <c r="S224" s="611">
        <v>0</v>
      </c>
      <c r="T224" s="611">
        <v>0</v>
      </c>
      <c r="U224" s="619">
        <v>5.7675999999999998</v>
      </c>
      <c r="V224" s="51"/>
    </row>
    <row r="225" spans="3:22" x14ac:dyDescent="0.25">
      <c r="C225" s="614" t="s">
        <v>83</v>
      </c>
      <c r="D225" s="615">
        <v>1.6567330370836562</v>
      </c>
      <c r="E225" s="615">
        <v>0</v>
      </c>
      <c r="F225" s="615">
        <v>14.460138990999013</v>
      </c>
      <c r="G225" s="615">
        <v>2.7990026147409606</v>
      </c>
      <c r="H225" s="615">
        <v>42.285617104392735</v>
      </c>
      <c r="I225" s="615">
        <v>1.0842465924203266</v>
      </c>
      <c r="J225" s="615">
        <v>0</v>
      </c>
      <c r="K225" s="615">
        <v>0</v>
      </c>
      <c r="L225" s="615">
        <v>62.814068683755821</v>
      </c>
      <c r="M225" s="615">
        <v>5.7247037459588501</v>
      </c>
      <c r="N225" s="615">
        <v>77.804814251133536</v>
      </c>
      <c r="O225" s="615">
        <v>65.096145752251331</v>
      </c>
      <c r="P225" s="615">
        <v>171.08209770143009</v>
      </c>
      <c r="Q225" s="615">
        <v>8.0022331625547363</v>
      </c>
      <c r="R225" s="615">
        <v>570.37298036056347</v>
      </c>
      <c r="S225" s="615">
        <v>62.112636244933555</v>
      </c>
      <c r="T225" s="615">
        <v>20.960141864076387</v>
      </c>
      <c r="U225" s="615">
        <v>1106.2555601062943</v>
      </c>
      <c r="V225" s="51"/>
    </row>
    <row r="226" spans="3:22" x14ac:dyDescent="0.25">
      <c r="C226" s="610" t="s">
        <v>84</v>
      </c>
      <c r="D226" s="611">
        <v>0</v>
      </c>
      <c r="E226" s="611">
        <v>0</v>
      </c>
      <c r="F226" s="611">
        <v>62.444092195240373</v>
      </c>
      <c r="G226" s="611">
        <v>2.5138754259873437</v>
      </c>
      <c r="H226" s="611">
        <v>6.0153513536527026</v>
      </c>
      <c r="I226" s="611">
        <v>0</v>
      </c>
      <c r="J226" s="611">
        <v>0</v>
      </c>
      <c r="K226" s="611">
        <v>0</v>
      </c>
      <c r="L226" s="611">
        <v>0.4729958666220917</v>
      </c>
      <c r="M226" s="611">
        <v>0</v>
      </c>
      <c r="N226" s="611">
        <v>38.295047275787958</v>
      </c>
      <c r="O226" s="611">
        <v>11.297042554251473</v>
      </c>
      <c r="P226" s="611">
        <v>0</v>
      </c>
      <c r="Q226" s="611">
        <v>0</v>
      </c>
      <c r="R226" s="611">
        <v>0</v>
      </c>
      <c r="S226" s="611">
        <v>0</v>
      </c>
      <c r="T226" s="611">
        <v>46.889191785304561</v>
      </c>
      <c r="U226" s="619">
        <v>167.92759645684652</v>
      </c>
      <c r="V226" s="51"/>
    </row>
    <row r="227" spans="3:22" x14ac:dyDescent="0.25">
      <c r="C227" s="614" t="s">
        <v>85</v>
      </c>
      <c r="D227" s="615">
        <v>1.6567330370836562</v>
      </c>
      <c r="E227" s="615">
        <v>0</v>
      </c>
      <c r="F227" s="615">
        <v>76.904231186239386</v>
      </c>
      <c r="G227" s="615">
        <v>5.3128780407283038</v>
      </c>
      <c r="H227" s="615">
        <v>48.300968458045439</v>
      </c>
      <c r="I227" s="615">
        <v>1.0842465924203266</v>
      </c>
      <c r="J227" s="615">
        <v>0</v>
      </c>
      <c r="K227" s="615">
        <v>0</v>
      </c>
      <c r="L227" s="615">
        <v>63.287064550377913</v>
      </c>
      <c r="M227" s="615">
        <v>5.7247037459588501</v>
      </c>
      <c r="N227" s="615">
        <v>116.0998615269215</v>
      </c>
      <c r="O227" s="615">
        <v>76.393188306502807</v>
      </c>
      <c r="P227" s="615">
        <v>171.08209770143009</v>
      </c>
      <c r="Q227" s="615">
        <v>8.0022331625547363</v>
      </c>
      <c r="R227" s="615">
        <v>570.37298036056347</v>
      </c>
      <c r="S227" s="615">
        <v>62.112636244933555</v>
      </c>
      <c r="T227" s="615">
        <v>67.849333649380952</v>
      </c>
      <c r="U227" s="615">
        <v>1274.1831565631408</v>
      </c>
      <c r="V227" s="51"/>
    </row>
    <row r="228" spans="3:22" x14ac:dyDescent="0.25">
      <c r="C228" s="51"/>
      <c r="D228" s="67">
        <v>0</v>
      </c>
      <c r="E228" s="67">
        <v>0</v>
      </c>
      <c r="F228" s="67">
        <v>0</v>
      </c>
      <c r="G228" s="67">
        <v>0</v>
      </c>
      <c r="H228" s="67">
        <v>0</v>
      </c>
      <c r="I228" s="67">
        <v>0</v>
      </c>
      <c r="J228" s="67">
        <v>0</v>
      </c>
      <c r="K228" s="67">
        <v>0</v>
      </c>
      <c r="L228" s="67">
        <v>0</v>
      </c>
      <c r="M228" s="67">
        <v>-3.4682726224488647E-4</v>
      </c>
      <c r="N228" s="67">
        <v>0</v>
      </c>
      <c r="O228" s="67">
        <v>1.3322676295501878E-14</v>
      </c>
      <c r="P228" s="67">
        <v>0</v>
      </c>
      <c r="Q228" s="67">
        <v>0</v>
      </c>
      <c r="R228" s="67">
        <v>0</v>
      </c>
      <c r="S228" s="67">
        <v>-1.4210854715202004E-14</v>
      </c>
      <c r="T228" s="67">
        <v>0</v>
      </c>
      <c r="U228" s="67">
        <v>-3.4682726254686713E-4</v>
      </c>
      <c r="V228" s="51"/>
    </row>
    <row r="229" spans="3:22" x14ac:dyDescent="0.25">
      <c r="C229" s="51"/>
      <c r="D229" s="51"/>
      <c r="E229" s="51"/>
      <c r="F229" s="51"/>
      <c r="G229" s="67"/>
      <c r="H229" s="51"/>
      <c r="I229" s="51"/>
      <c r="J229" s="51"/>
      <c r="K229" s="51"/>
      <c r="L229" s="51"/>
      <c r="M229" s="51"/>
      <c r="N229" s="51"/>
      <c r="O229" s="51"/>
      <c r="P229" s="51"/>
      <c r="Q229" s="51"/>
      <c r="R229" s="51"/>
      <c r="S229" s="51"/>
      <c r="T229" s="51"/>
      <c r="U229" s="51"/>
      <c r="V229" s="51"/>
    </row>
    <row r="230" spans="3:22" x14ac:dyDescent="0.25">
      <c r="C230" s="607" t="s">
        <v>89</v>
      </c>
      <c r="D230" s="606"/>
      <c r="E230" s="606"/>
      <c r="F230" s="606"/>
      <c r="G230" s="682"/>
      <c r="H230" s="606"/>
      <c r="I230" s="606"/>
      <c r="J230" s="606"/>
      <c r="K230" s="606"/>
      <c r="L230" s="606"/>
      <c r="M230" s="606"/>
      <c r="N230" s="606"/>
      <c r="O230" s="606"/>
      <c r="P230" s="606"/>
      <c r="Q230" s="606"/>
      <c r="R230" s="606"/>
      <c r="S230" s="606"/>
      <c r="T230" s="606"/>
      <c r="U230" s="606"/>
      <c r="V230" s="606"/>
    </row>
    <row r="231" spans="3:22" x14ac:dyDescent="0.25">
      <c r="C231" s="51"/>
      <c r="D231" s="51"/>
      <c r="E231" s="51"/>
      <c r="F231" s="51"/>
      <c r="G231" s="67"/>
      <c r="H231" s="51"/>
      <c r="I231" s="51"/>
      <c r="J231" s="51"/>
      <c r="K231" s="51"/>
      <c r="L231" s="51"/>
      <c r="M231" s="51"/>
      <c r="N231" s="51"/>
      <c r="O231" s="51"/>
      <c r="P231" s="51"/>
      <c r="Q231" s="51"/>
      <c r="R231" s="51"/>
      <c r="S231" s="51"/>
      <c r="T231" s="51"/>
      <c r="U231" s="51"/>
      <c r="V231" s="51"/>
    </row>
    <row r="232" spans="3:22" x14ac:dyDescent="0.25">
      <c r="C232" s="764" t="s">
        <v>128</v>
      </c>
      <c r="D232" s="753" t="s">
        <v>42</v>
      </c>
      <c r="E232" s="753" t="s">
        <v>52</v>
      </c>
      <c r="F232" s="753" t="s">
        <v>53</v>
      </c>
      <c r="G232" s="766" t="s">
        <v>482</v>
      </c>
      <c r="H232" s="753" t="s">
        <v>32</v>
      </c>
      <c r="I232" s="753" t="s">
        <v>483</v>
      </c>
      <c r="J232" s="753" t="s">
        <v>20</v>
      </c>
      <c r="K232" s="753" t="s">
        <v>55</v>
      </c>
      <c r="L232" s="761" t="s">
        <v>56</v>
      </c>
      <c r="M232" s="762"/>
      <c r="N232" s="762"/>
      <c r="O232" s="762"/>
      <c r="P232" s="762"/>
      <c r="Q232" s="763"/>
      <c r="R232" s="753" t="s">
        <v>57</v>
      </c>
      <c r="S232" s="753" t="s">
        <v>58</v>
      </c>
      <c r="T232" s="753" t="s">
        <v>31</v>
      </c>
      <c r="U232" s="753" t="s">
        <v>10</v>
      </c>
      <c r="V232" s="51"/>
    </row>
    <row r="233" spans="3:22" ht="36" x14ac:dyDescent="0.25">
      <c r="C233" s="765"/>
      <c r="D233" s="754"/>
      <c r="E233" s="754"/>
      <c r="F233" s="754"/>
      <c r="G233" s="767"/>
      <c r="H233" s="754"/>
      <c r="I233" s="754"/>
      <c r="J233" s="754"/>
      <c r="K233" s="754"/>
      <c r="L233" s="608" t="s">
        <v>335</v>
      </c>
      <c r="M233" s="608" t="s">
        <v>40</v>
      </c>
      <c r="N233" s="608" t="s">
        <v>343</v>
      </c>
      <c r="O233" s="608" t="s">
        <v>344</v>
      </c>
      <c r="P233" s="609" t="s">
        <v>345</v>
      </c>
      <c r="Q233" s="608" t="s">
        <v>346</v>
      </c>
      <c r="R233" s="754"/>
      <c r="S233" s="754"/>
      <c r="T233" s="754"/>
      <c r="U233" s="754"/>
      <c r="V233" s="51"/>
    </row>
    <row r="234" spans="3:22" x14ac:dyDescent="0.25">
      <c r="C234" s="610" t="s">
        <v>59</v>
      </c>
      <c r="D234" s="611">
        <v>0</v>
      </c>
      <c r="E234" s="611">
        <v>0</v>
      </c>
      <c r="F234" s="611">
        <v>0</v>
      </c>
      <c r="G234" s="611">
        <v>0</v>
      </c>
      <c r="H234" s="611">
        <v>0</v>
      </c>
      <c r="I234" s="611">
        <v>0</v>
      </c>
      <c r="J234" s="612">
        <v>759.92203636363649</v>
      </c>
      <c r="K234" s="612">
        <v>585.27007132862354</v>
      </c>
      <c r="L234" s="612">
        <v>421.01958402132601</v>
      </c>
      <c r="M234" s="612">
        <v>20.686642208021134</v>
      </c>
      <c r="N234" s="611">
        <v>1.5563580670349855</v>
      </c>
      <c r="O234" s="611">
        <v>0.17110271620039663</v>
      </c>
      <c r="P234" s="612">
        <v>181.20215447851419</v>
      </c>
      <c r="Q234" s="612">
        <v>27.103716579638188</v>
      </c>
      <c r="R234" s="611">
        <v>0</v>
      </c>
      <c r="S234" s="611">
        <v>0</v>
      </c>
      <c r="T234" s="611">
        <v>0</v>
      </c>
      <c r="U234" s="613">
        <v>1996.9316657629947</v>
      </c>
      <c r="V234" s="51"/>
    </row>
    <row r="235" spans="3:22" x14ac:dyDescent="0.25">
      <c r="C235" s="610" t="s">
        <v>60</v>
      </c>
      <c r="D235" s="611">
        <v>0.64129319091675452</v>
      </c>
      <c r="E235" s="611">
        <v>72.7588411322387</v>
      </c>
      <c r="F235" s="611">
        <v>1.9517818504706483</v>
      </c>
      <c r="G235" s="611">
        <v>0</v>
      </c>
      <c r="H235" s="611">
        <v>3.2223770587889593</v>
      </c>
      <c r="I235" s="611">
        <v>0</v>
      </c>
      <c r="J235" s="611">
        <v>0</v>
      </c>
      <c r="K235" s="611">
        <v>0</v>
      </c>
      <c r="L235" s="611">
        <v>5.2309321400654634</v>
      </c>
      <c r="M235" s="611">
        <v>0</v>
      </c>
      <c r="N235" s="611">
        <v>6.8353402019644598</v>
      </c>
      <c r="O235" s="611">
        <v>0</v>
      </c>
      <c r="P235" s="611">
        <v>0</v>
      </c>
      <c r="Q235" s="611">
        <v>0</v>
      </c>
      <c r="R235" s="611">
        <v>86.758204068598843</v>
      </c>
      <c r="S235" s="611">
        <v>0</v>
      </c>
      <c r="T235" s="611">
        <v>0</v>
      </c>
      <c r="U235" s="613">
        <v>177.39876964304383</v>
      </c>
      <c r="V235" s="51"/>
    </row>
    <row r="236" spans="3:22" x14ac:dyDescent="0.25">
      <c r="C236" s="610" t="s">
        <v>61</v>
      </c>
      <c r="D236" s="611">
        <v>0</v>
      </c>
      <c r="E236" s="611">
        <v>0</v>
      </c>
      <c r="F236" s="611">
        <v>-14.049213431109226</v>
      </c>
      <c r="G236" s="611">
        <v>-15.061852283906475</v>
      </c>
      <c r="H236" s="611">
        <v>0</v>
      </c>
      <c r="I236" s="611">
        <v>0</v>
      </c>
      <c r="J236" s="611">
        <v>0</v>
      </c>
      <c r="K236" s="611">
        <v>0</v>
      </c>
      <c r="L236" s="611">
        <v>0</v>
      </c>
      <c r="M236" s="611">
        <v>0</v>
      </c>
      <c r="N236" s="611">
        <v>0</v>
      </c>
      <c r="O236" s="611">
        <v>0</v>
      </c>
      <c r="P236" s="611">
        <v>0</v>
      </c>
      <c r="Q236" s="611">
        <v>0</v>
      </c>
      <c r="R236" s="611">
        <v>0</v>
      </c>
      <c r="S236" s="611">
        <v>0</v>
      </c>
      <c r="T236" s="611">
        <v>0</v>
      </c>
      <c r="U236" s="613">
        <v>-29.111065715015702</v>
      </c>
      <c r="V236" s="51"/>
    </row>
    <row r="237" spans="3:22" x14ac:dyDescent="0.25">
      <c r="C237" s="610" t="s">
        <v>62</v>
      </c>
      <c r="D237" s="611">
        <v>0</v>
      </c>
      <c r="E237" s="611">
        <v>0</v>
      </c>
      <c r="F237" s="611">
        <v>0</v>
      </c>
      <c r="G237" s="611">
        <v>-6.1101617494546652</v>
      </c>
      <c r="H237" s="611">
        <v>0</v>
      </c>
      <c r="I237" s="611">
        <v>-4.4416564350684116</v>
      </c>
      <c r="J237" s="611">
        <v>0</v>
      </c>
      <c r="K237" s="611">
        <v>0</v>
      </c>
      <c r="L237" s="611">
        <v>0</v>
      </c>
      <c r="M237" s="611">
        <v>0</v>
      </c>
      <c r="N237" s="611">
        <v>-1.5423967884416028</v>
      </c>
      <c r="O237" s="611">
        <v>-2.9611042900456073</v>
      </c>
      <c r="P237" s="611">
        <v>0</v>
      </c>
      <c r="Q237" s="611">
        <v>0</v>
      </c>
      <c r="R237" s="611">
        <v>0</v>
      </c>
      <c r="S237" s="611">
        <v>0</v>
      </c>
      <c r="T237" s="611">
        <v>-2.4482488705422272</v>
      </c>
      <c r="U237" s="613">
        <v>-17.503568133552513</v>
      </c>
      <c r="V237" s="51"/>
    </row>
    <row r="238" spans="3:22" x14ac:dyDescent="0.25">
      <c r="C238" s="610" t="s">
        <v>63</v>
      </c>
      <c r="D238" s="611">
        <v>0</v>
      </c>
      <c r="E238" s="611">
        <v>0</v>
      </c>
      <c r="F238" s="611">
        <v>-7.3240777097484635</v>
      </c>
      <c r="G238" s="611">
        <v>-24.912603262820603</v>
      </c>
      <c r="H238" s="611">
        <v>0</v>
      </c>
      <c r="I238" s="611">
        <v>0</v>
      </c>
      <c r="J238" s="611">
        <v>0</v>
      </c>
      <c r="K238" s="611">
        <v>0</v>
      </c>
      <c r="L238" s="611">
        <v>0</v>
      </c>
      <c r="M238" s="611">
        <v>0</v>
      </c>
      <c r="N238" s="611">
        <v>-17.438822283974417</v>
      </c>
      <c r="O238" s="611">
        <v>0</v>
      </c>
      <c r="P238" s="611">
        <v>0</v>
      </c>
      <c r="Q238" s="611">
        <v>0</v>
      </c>
      <c r="R238" s="611">
        <v>0</v>
      </c>
      <c r="S238" s="611">
        <v>0</v>
      </c>
      <c r="T238" s="611">
        <v>-7.5807767073973409</v>
      </c>
      <c r="U238" s="613">
        <v>-57.256279963940827</v>
      </c>
      <c r="V238" s="51"/>
    </row>
    <row r="239" spans="3:22" x14ac:dyDescent="0.25">
      <c r="C239" s="610" t="s">
        <v>64</v>
      </c>
      <c r="D239" s="611">
        <v>0</v>
      </c>
      <c r="E239" s="611">
        <v>0</v>
      </c>
      <c r="F239" s="611">
        <v>0</v>
      </c>
      <c r="G239" s="611">
        <v>0</v>
      </c>
      <c r="H239" s="611">
        <v>0</v>
      </c>
      <c r="I239" s="611">
        <v>0</v>
      </c>
      <c r="J239" s="611">
        <v>0</v>
      </c>
      <c r="K239" s="611">
        <v>0</v>
      </c>
      <c r="L239" s="611">
        <v>0</v>
      </c>
      <c r="M239" s="611">
        <v>0</v>
      </c>
      <c r="N239" s="611">
        <v>0</v>
      </c>
      <c r="O239" s="611">
        <v>0</v>
      </c>
      <c r="P239" s="611">
        <v>0</v>
      </c>
      <c r="Q239" s="611">
        <v>0</v>
      </c>
      <c r="R239" s="611">
        <v>0</v>
      </c>
      <c r="S239" s="611">
        <v>0</v>
      </c>
      <c r="T239" s="611">
        <v>0</v>
      </c>
      <c r="U239" s="613">
        <v>0</v>
      </c>
      <c r="V239" s="51"/>
    </row>
    <row r="240" spans="3:22" x14ac:dyDescent="0.25">
      <c r="C240" s="614" t="s">
        <v>65</v>
      </c>
      <c r="D240" s="615">
        <v>0.64129319091675452</v>
      </c>
      <c r="E240" s="615">
        <v>72.7588411322387</v>
      </c>
      <c r="F240" s="615">
        <v>-19.421509290387043</v>
      </c>
      <c r="G240" s="615">
        <v>-46.084617296181747</v>
      </c>
      <c r="H240" s="615">
        <v>3.2223770587889593</v>
      </c>
      <c r="I240" s="615">
        <v>-4.4416564350684116</v>
      </c>
      <c r="J240" s="615">
        <v>759.92203636363649</v>
      </c>
      <c r="K240" s="615">
        <v>585.27007132862354</v>
      </c>
      <c r="L240" s="615">
        <v>426.25051616139149</v>
      </c>
      <c r="M240" s="615">
        <v>20.686642208021134</v>
      </c>
      <c r="N240" s="615">
        <v>-10.589520803416576</v>
      </c>
      <c r="O240" s="615">
        <v>-2.7900015738452106</v>
      </c>
      <c r="P240" s="615">
        <v>181.20215447851419</v>
      </c>
      <c r="Q240" s="615">
        <v>27.103716579638188</v>
      </c>
      <c r="R240" s="615">
        <v>86.758204068598843</v>
      </c>
      <c r="S240" s="615">
        <v>0</v>
      </c>
      <c r="T240" s="615">
        <v>-10.029025577939567</v>
      </c>
      <c r="U240" s="615">
        <v>2070.4595215935296</v>
      </c>
      <c r="V240" s="51"/>
    </row>
    <row r="241" spans="3:22" x14ac:dyDescent="0.25">
      <c r="C241" s="616"/>
      <c r="D241" s="617"/>
      <c r="E241" s="617"/>
      <c r="F241" s="617"/>
      <c r="G241" s="617"/>
      <c r="H241" s="623"/>
      <c r="I241" s="617"/>
      <c r="J241" s="617"/>
      <c r="K241" s="617"/>
      <c r="L241" s="617"/>
      <c r="M241" s="617"/>
      <c r="N241" s="617"/>
      <c r="O241" s="617"/>
      <c r="P241" s="617"/>
      <c r="Q241" s="617"/>
      <c r="R241" s="617"/>
      <c r="S241" s="617"/>
      <c r="T241" s="617"/>
      <c r="U241" s="617"/>
      <c r="V241" s="51"/>
    </row>
    <row r="242" spans="3:22" x14ac:dyDescent="0.25">
      <c r="C242" s="618" t="s">
        <v>67</v>
      </c>
      <c r="D242" s="611">
        <v>0</v>
      </c>
      <c r="E242" s="611">
        <v>0</v>
      </c>
      <c r="F242" s="611">
        <v>0</v>
      </c>
      <c r="G242" s="611">
        <v>0</v>
      </c>
      <c r="H242" s="611">
        <v>0</v>
      </c>
      <c r="I242" s="611">
        <v>0</v>
      </c>
      <c r="J242" s="611">
        <v>0</v>
      </c>
      <c r="K242" s="611">
        <v>0</v>
      </c>
      <c r="L242" s="611">
        <v>0</v>
      </c>
      <c r="M242" s="611">
        <v>0</v>
      </c>
      <c r="N242" s="611">
        <v>0</v>
      </c>
      <c r="O242" s="611">
        <v>0</v>
      </c>
      <c r="P242" s="611">
        <v>0</v>
      </c>
      <c r="Q242" s="611">
        <v>0</v>
      </c>
      <c r="R242" s="611">
        <v>0</v>
      </c>
      <c r="S242" s="611">
        <v>0</v>
      </c>
      <c r="T242" s="611">
        <v>0</v>
      </c>
      <c r="U242" s="619">
        <v>0</v>
      </c>
      <c r="V242" s="51"/>
    </row>
    <row r="243" spans="3:22" x14ac:dyDescent="0.25">
      <c r="C243" s="618" t="s">
        <v>347</v>
      </c>
      <c r="D243" s="611">
        <v>0</v>
      </c>
      <c r="E243" s="611">
        <v>0</v>
      </c>
      <c r="F243" s="611">
        <v>0</v>
      </c>
      <c r="G243" s="611">
        <v>0</v>
      </c>
      <c r="H243" s="611">
        <v>0</v>
      </c>
      <c r="I243" s="611">
        <v>0</v>
      </c>
      <c r="J243" s="611">
        <v>759.92203636363649</v>
      </c>
      <c r="K243" s="611">
        <v>585.27007132862354</v>
      </c>
      <c r="L243" s="611">
        <v>21.935641645543306</v>
      </c>
      <c r="M243" s="611">
        <v>0.61628865372008657</v>
      </c>
      <c r="N243" s="611">
        <v>6.5561937148871507</v>
      </c>
      <c r="O243" s="611">
        <v>1.5747281082088551</v>
      </c>
      <c r="P243" s="611">
        <v>0</v>
      </c>
      <c r="Q243" s="611">
        <v>6.7631767445353068</v>
      </c>
      <c r="R243" s="611">
        <v>-895.33632983844416</v>
      </c>
      <c r="S243" s="611">
        <v>0</v>
      </c>
      <c r="T243" s="611">
        <v>6.4421899999999992</v>
      </c>
      <c r="U243" s="619">
        <v>493.74399672071024</v>
      </c>
      <c r="V243" s="51"/>
    </row>
    <row r="244" spans="3:22" x14ac:dyDescent="0.25">
      <c r="C244" s="618" t="s">
        <v>348</v>
      </c>
      <c r="D244" s="611">
        <v>0</v>
      </c>
      <c r="E244" s="611">
        <v>0</v>
      </c>
      <c r="F244" s="611">
        <v>0</v>
      </c>
      <c r="G244" s="611">
        <v>0</v>
      </c>
      <c r="H244" s="611">
        <v>0</v>
      </c>
      <c r="I244" s="611">
        <v>0</v>
      </c>
      <c r="J244" s="611">
        <v>0</v>
      </c>
      <c r="K244" s="611">
        <v>0</v>
      </c>
      <c r="L244" s="611">
        <v>34.859137423321251</v>
      </c>
      <c r="M244" s="611">
        <v>14.707872710950403</v>
      </c>
      <c r="N244" s="611">
        <v>0</v>
      </c>
      <c r="O244" s="611">
        <v>8.3969630288089814</v>
      </c>
      <c r="P244" s="611">
        <v>0</v>
      </c>
      <c r="Q244" s="611">
        <v>11.678038971322861</v>
      </c>
      <c r="R244" s="611">
        <v>0</v>
      </c>
      <c r="S244" s="611">
        <v>-66.565624993763251</v>
      </c>
      <c r="T244" s="611">
        <v>0</v>
      </c>
      <c r="U244" s="619">
        <v>3.0763871406402501</v>
      </c>
      <c r="V244" s="51"/>
    </row>
    <row r="245" spans="3:22" x14ac:dyDescent="0.25">
      <c r="C245" s="618" t="s">
        <v>349</v>
      </c>
      <c r="D245" s="611">
        <v>0</v>
      </c>
      <c r="E245" s="611">
        <v>0</v>
      </c>
      <c r="F245" s="611">
        <v>0</v>
      </c>
      <c r="G245" s="611">
        <v>0</v>
      </c>
      <c r="H245" s="611">
        <v>0</v>
      </c>
      <c r="I245" s="611">
        <v>0</v>
      </c>
      <c r="J245" s="611">
        <v>0</v>
      </c>
      <c r="K245" s="611">
        <v>0</v>
      </c>
      <c r="L245" s="611">
        <v>116.09247876238595</v>
      </c>
      <c r="M245" s="611">
        <v>0</v>
      </c>
      <c r="N245" s="611">
        <v>0</v>
      </c>
      <c r="O245" s="611">
        <v>-107.1437165457632</v>
      </c>
      <c r="P245" s="611">
        <v>0</v>
      </c>
      <c r="Q245" s="611">
        <v>0</v>
      </c>
      <c r="R245" s="611">
        <v>0</v>
      </c>
      <c r="S245" s="611">
        <v>0</v>
      </c>
      <c r="T245" s="611">
        <v>0</v>
      </c>
      <c r="U245" s="619">
        <v>8.9487622166227538</v>
      </c>
      <c r="V245" s="51"/>
    </row>
    <row r="246" spans="3:22" x14ac:dyDescent="0.25">
      <c r="C246" s="618" t="s">
        <v>350</v>
      </c>
      <c r="D246" s="611">
        <v>0</v>
      </c>
      <c r="E246" s="611">
        <v>0</v>
      </c>
      <c r="F246" s="611">
        <v>0</v>
      </c>
      <c r="G246" s="611">
        <v>0</v>
      </c>
      <c r="H246" s="611">
        <v>0</v>
      </c>
      <c r="I246" s="611">
        <v>-8.6805438008370892</v>
      </c>
      <c r="J246" s="611">
        <v>0</v>
      </c>
      <c r="K246" s="611">
        <v>0</v>
      </c>
      <c r="L246" s="611">
        <v>0</v>
      </c>
      <c r="M246" s="611">
        <v>0</v>
      </c>
      <c r="N246" s="611">
        <v>0</v>
      </c>
      <c r="O246" s="611">
        <v>0</v>
      </c>
      <c r="P246" s="611">
        <v>0</v>
      </c>
      <c r="Q246" s="611">
        <v>0</v>
      </c>
      <c r="R246" s="611">
        <v>0</v>
      </c>
      <c r="S246" s="611">
        <v>0</v>
      </c>
      <c r="T246" s="611">
        <v>12.086503242074816</v>
      </c>
      <c r="U246" s="619">
        <v>3.4059594412377265</v>
      </c>
      <c r="V246" s="51"/>
    </row>
    <row r="247" spans="3:22" x14ac:dyDescent="0.25">
      <c r="C247" s="618" t="s">
        <v>72</v>
      </c>
      <c r="D247" s="611">
        <v>0</v>
      </c>
      <c r="E247" s="611">
        <v>75.393588190645644</v>
      </c>
      <c r="F247" s="611">
        <v>-74.641887149518311</v>
      </c>
      <c r="G247" s="611">
        <v>0</v>
      </c>
      <c r="H247" s="611">
        <v>0</v>
      </c>
      <c r="I247" s="611">
        <v>0</v>
      </c>
      <c r="J247" s="611">
        <v>0</v>
      </c>
      <c r="K247" s="611">
        <v>0</v>
      </c>
      <c r="L247" s="611">
        <v>0</v>
      </c>
      <c r="M247" s="611">
        <v>0</v>
      </c>
      <c r="N247" s="611">
        <v>0</v>
      </c>
      <c r="O247" s="611">
        <v>0</v>
      </c>
      <c r="P247" s="611">
        <v>0</v>
      </c>
      <c r="Q247" s="611">
        <v>0</v>
      </c>
      <c r="R247" s="611">
        <v>0</v>
      </c>
      <c r="S247" s="611">
        <v>0</v>
      </c>
      <c r="T247" s="611">
        <v>0</v>
      </c>
      <c r="U247" s="619">
        <v>0.75170104112733327</v>
      </c>
      <c r="V247" s="51"/>
    </row>
    <row r="248" spans="3:22" x14ac:dyDescent="0.25">
      <c r="C248" s="618" t="s">
        <v>351</v>
      </c>
      <c r="D248" s="611">
        <v>0</v>
      </c>
      <c r="E248" s="611">
        <v>0</v>
      </c>
      <c r="F248" s="611">
        <v>0</v>
      </c>
      <c r="G248" s="611">
        <v>0</v>
      </c>
      <c r="H248" s="611">
        <v>0</v>
      </c>
      <c r="I248" s="611">
        <v>0</v>
      </c>
      <c r="J248" s="611">
        <v>0</v>
      </c>
      <c r="K248" s="611">
        <v>0</v>
      </c>
      <c r="L248" s="611">
        <v>194.54575293909065</v>
      </c>
      <c r="M248" s="611">
        <v>0</v>
      </c>
      <c r="N248" s="611">
        <v>-107.00016411649986</v>
      </c>
      <c r="O248" s="611">
        <v>0</v>
      </c>
      <c r="P248" s="611">
        <v>0</v>
      </c>
      <c r="Q248" s="611">
        <v>0</v>
      </c>
      <c r="R248" s="611">
        <v>0</v>
      </c>
      <c r="S248" s="611">
        <v>0</v>
      </c>
      <c r="T248" s="611">
        <v>0</v>
      </c>
      <c r="U248" s="619">
        <v>87.545588822590787</v>
      </c>
      <c r="V248" s="51"/>
    </row>
    <row r="249" spans="3:22" x14ac:dyDescent="0.25">
      <c r="C249" s="618" t="s">
        <v>352</v>
      </c>
      <c r="D249" s="611">
        <v>0</v>
      </c>
      <c r="E249" s="611">
        <v>0</v>
      </c>
      <c r="F249" s="611">
        <v>0</v>
      </c>
      <c r="G249" s="611">
        <v>-53.670926604582093</v>
      </c>
      <c r="H249" s="611">
        <v>0</v>
      </c>
      <c r="I249" s="611">
        <v>0</v>
      </c>
      <c r="J249" s="611">
        <v>0</v>
      </c>
      <c r="K249" s="611">
        <v>0</v>
      </c>
      <c r="L249" s="611">
        <v>0</v>
      </c>
      <c r="M249" s="611">
        <v>0</v>
      </c>
      <c r="N249" s="611">
        <v>0</v>
      </c>
      <c r="O249" s="611">
        <v>0</v>
      </c>
      <c r="P249" s="611">
        <v>0</v>
      </c>
      <c r="Q249" s="611">
        <v>0</v>
      </c>
      <c r="R249" s="611">
        <v>0</v>
      </c>
      <c r="S249" s="611">
        <v>0</v>
      </c>
      <c r="T249" s="611">
        <v>69.588751075413697</v>
      </c>
      <c r="U249" s="619">
        <v>15.917824470831604</v>
      </c>
      <c r="V249" s="51"/>
    </row>
    <row r="250" spans="3:22" x14ac:dyDescent="0.25">
      <c r="C250" s="618" t="s">
        <v>73</v>
      </c>
      <c r="D250" s="611">
        <v>0</v>
      </c>
      <c r="E250" s="611">
        <v>0</v>
      </c>
      <c r="F250" s="611">
        <v>0</v>
      </c>
      <c r="G250" s="611">
        <v>0</v>
      </c>
      <c r="H250" s="611">
        <v>0</v>
      </c>
      <c r="I250" s="611">
        <v>0</v>
      </c>
      <c r="J250" s="611">
        <v>0</v>
      </c>
      <c r="K250" s="611">
        <v>0</v>
      </c>
      <c r="L250" s="611">
        <v>0</v>
      </c>
      <c r="M250" s="611">
        <v>0</v>
      </c>
      <c r="N250" s="611">
        <v>0</v>
      </c>
      <c r="O250" s="611">
        <v>0</v>
      </c>
      <c r="P250" s="611">
        <v>0</v>
      </c>
      <c r="Q250" s="611">
        <v>0</v>
      </c>
      <c r="R250" s="611">
        <v>258.03000874169254</v>
      </c>
      <c r="S250" s="611">
        <v>0</v>
      </c>
      <c r="T250" s="611">
        <v>-185.78160629401862</v>
      </c>
      <c r="U250" s="619">
        <v>72.248402447673925</v>
      </c>
      <c r="V250" s="51"/>
    </row>
    <row r="251" spans="3:22" x14ac:dyDescent="0.25">
      <c r="C251" s="618" t="s">
        <v>353</v>
      </c>
      <c r="D251" s="611">
        <v>0</v>
      </c>
      <c r="E251" s="611">
        <v>-2.634747058406945</v>
      </c>
      <c r="F251" s="611">
        <v>3.435008562710407</v>
      </c>
      <c r="G251" s="611">
        <v>0</v>
      </c>
      <c r="H251" s="611">
        <v>0</v>
      </c>
      <c r="I251" s="611">
        <v>0</v>
      </c>
      <c r="J251" s="611">
        <v>0</v>
      </c>
      <c r="K251" s="611">
        <v>0</v>
      </c>
      <c r="L251" s="611">
        <v>0</v>
      </c>
      <c r="M251" s="611">
        <v>0</v>
      </c>
      <c r="N251" s="611">
        <v>0</v>
      </c>
      <c r="O251" s="611">
        <v>0</v>
      </c>
      <c r="P251" s="611">
        <v>0</v>
      </c>
      <c r="Q251" s="611">
        <v>0</v>
      </c>
      <c r="R251" s="611">
        <v>0</v>
      </c>
      <c r="S251" s="611">
        <v>0</v>
      </c>
      <c r="T251" s="611">
        <v>0</v>
      </c>
      <c r="U251" s="619">
        <v>0.80026150430346199</v>
      </c>
      <c r="V251" s="51"/>
    </row>
    <row r="252" spans="3:22" x14ac:dyDescent="0.25">
      <c r="C252" s="618" t="s">
        <v>75</v>
      </c>
      <c r="D252" s="611">
        <v>0</v>
      </c>
      <c r="E252" s="611">
        <v>0</v>
      </c>
      <c r="F252" s="611">
        <v>2.5839893825265019</v>
      </c>
      <c r="G252" s="611">
        <v>0</v>
      </c>
      <c r="H252" s="611">
        <v>0</v>
      </c>
      <c r="I252" s="611">
        <v>0.23833359000000001</v>
      </c>
      <c r="J252" s="611">
        <v>0</v>
      </c>
      <c r="K252" s="611">
        <v>0</v>
      </c>
      <c r="L252" s="611">
        <v>0</v>
      </c>
      <c r="M252" s="611">
        <v>0</v>
      </c>
      <c r="N252" s="611">
        <v>0</v>
      </c>
      <c r="O252" s="611">
        <v>4.5283382100000003</v>
      </c>
      <c r="P252" s="611">
        <v>0</v>
      </c>
      <c r="Q252" s="611">
        <v>0</v>
      </c>
      <c r="R252" s="611">
        <v>65.365492404188032</v>
      </c>
      <c r="S252" s="611">
        <v>0</v>
      </c>
      <c r="T252" s="611">
        <v>0</v>
      </c>
      <c r="U252" s="619">
        <v>72.71615358671454</v>
      </c>
      <c r="V252" s="51"/>
    </row>
    <row r="253" spans="3:22" x14ac:dyDescent="0.25">
      <c r="C253" s="618" t="s">
        <v>76</v>
      </c>
      <c r="D253" s="611">
        <v>0</v>
      </c>
      <c r="E253" s="611">
        <v>0</v>
      </c>
      <c r="F253" s="611">
        <v>0</v>
      </c>
      <c r="G253" s="611">
        <v>0</v>
      </c>
      <c r="H253" s="611">
        <v>0</v>
      </c>
      <c r="I253" s="611">
        <v>5.609909084131174E-2</v>
      </c>
      <c r="J253" s="611">
        <v>0</v>
      </c>
      <c r="K253" s="611">
        <v>0</v>
      </c>
      <c r="L253" s="611">
        <v>0</v>
      </c>
      <c r="M253" s="611">
        <v>0</v>
      </c>
      <c r="N253" s="611">
        <v>0</v>
      </c>
      <c r="O253" s="611">
        <v>1.0658827259849231</v>
      </c>
      <c r="P253" s="611">
        <v>0</v>
      </c>
      <c r="Q253" s="611">
        <v>0</v>
      </c>
      <c r="R253" s="611">
        <v>75.163138458273835</v>
      </c>
      <c r="S253" s="611">
        <v>5.1631708880095033</v>
      </c>
      <c r="T253" s="611">
        <v>0</v>
      </c>
      <c r="U253" s="619">
        <v>81.448291163109573</v>
      </c>
      <c r="V253" s="51"/>
    </row>
    <row r="254" spans="3:22" x14ac:dyDescent="0.25">
      <c r="C254" s="614" t="s">
        <v>77</v>
      </c>
      <c r="D254" s="615">
        <v>0</v>
      </c>
      <c r="E254" s="615">
        <v>72.7588411322387</v>
      </c>
      <c r="F254" s="615">
        <v>-68.622889204281407</v>
      </c>
      <c r="G254" s="615">
        <v>-53.670926604582093</v>
      </c>
      <c r="H254" s="615">
        <v>0</v>
      </c>
      <c r="I254" s="615">
        <v>-8.3861111199957783</v>
      </c>
      <c r="J254" s="615">
        <v>759.92203636363649</v>
      </c>
      <c r="K254" s="615">
        <v>585.27007132862354</v>
      </c>
      <c r="L254" s="615">
        <v>367.43301077034118</v>
      </c>
      <c r="M254" s="615">
        <v>15.32416136467049</v>
      </c>
      <c r="N254" s="615">
        <v>-100.44397040161272</v>
      </c>
      <c r="O254" s="615">
        <v>-91.577804472760434</v>
      </c>
      <c r="P254" s="615">
        <v>0</v>
      </c>
      <c r="Q254" s="615">
        <v>18.441215715858167</v>
      </c>
      <c r="R254" s="615">
        <v>-496.77769023428982</v>
      </c>
      <c r="S254" s="615">
        <v>-61.402454105753748</v>
      </c>
      <c r="T254" s="615">
        <v>-97.664161976530096</v>
      </c>
      <c r="U254" s="615">
        <v>840.60332855556226</v>
      </c>
      <c r="V254" s="51"/>
    </row>
    <row r="255" spans="3:22" x14ac:dyDescent="0.25">
      <c r="C255" s="616"/>
      <c r="D255" s="617"/>
      <c r="E255" s="617"/>
      <c r="F255" s="617"/>
      <c r="G255" s="617"/>
      <c r="H255" s="623"/>
      <c r="I255" s="617"/>
      <c r="J255" s="617"/>
      <c r="K255" s="617"/>
      <c r="L255" s="617"/>
      <c r="M255" s="617"/>
      <c r="N255" s="617"/>
      <c r="O255" s="617"/>
      <c r="P255" s="617"/>
      <c r="Q255" s="617"/>
      <c r="R255" s="617"/>
      <c r="S255" s="617"/>
      <c r="T255" s="617"/>
      <c r="U255" s="617"/>
      <c r="V255" s="51"/>
    </row>
    <row r="256" spans="3:22" x14ac:dyDescent="0.25">
      <c r="C256" s="618" t="s">
        <v>78</v>
      </c>
      <c r="D256" s="611">
        <v>0.64129319091675452</v>
      </c>
      <c r="E256" s="611">
        <v>0</v>
      </c>
      <c r="F256" s="611">
        <v>1.525731430410463</v>
      </c>
      <c r="G256" s="611">
        <v>0</v>
      </c>
      <c r="H256" s="611">
        <v>0</v>
      </c>
      <c r="I256" s="611">
        <v>2.2603973079733568</v>
      </c>
      <c r="J256" s="611">
        <v>0</v>
      </c>
      <c r="K256" s="611">
        <v>0</v>
      </c>
      <c r="L256" s="611">
        <v>23.360019261656848</v>
      </c>
      <c r="M256" s="611">
        <v>5.362188402201145</v>
      </c>
      <c r="N256" s="611">
        <v>1.3034813300305972</v>
      </c>
      <c r="O256" s="611">
        <v>42.989679667648574</v>
      </c>
      <c r="P256" s="611">
        <v>22.01365625</v>
      </c>
      <c r="Q256" s="611">
        <v>8.5890570413253253E-4</v>
      </c>
      <c r="R256" s="611">
        <v>202.024278119439</v>
      </c>
      <c r="S256" s="611">
        <v>22.25756234266839</v>
      </c>
      <c r="T256" s="611">
        <v>16.001347656250001</v>
      </c>
      <c r="U256" s="619">
        <v>339.74049386489929</v>
      </c>
      <c r="V256" s="51"/>
    </row>
    <row r="257" spans="3:22" x14ac:dyDescent="0.25">
      <c r="C257" s="618" t="s">
        <v>79</v>
      </c>
      <c r="D257" s="611">
        <v>0</v>
      </c>
      <c r="E257" s="611">
        <v>0</v>
      </c>
      <c r="F257" s="611">
        <v>2.548518600222561</v>
      </c>
      <c r="G257" s="611">
        <v>4.6064063696995508</v>
      </c>
      <c r="H257" s="611">
        <v>0</v>
      </c>
      <c r="I257" s="611">
        <v>0.39196782379108752</v>
      </c>
      <c r="J257" s="611">
        <v>0</v>
      </c>
      <c r="K257" s="611">
        <v>0</v>
      </c>
      <c r="L257" s="611">
        <v>0</v>
      </c>
      <c r="M257" s="611">
        <v>0</v>
      </c>
      <c r="N257" s="611">
        <v>19.508637074329002</v>
      </c>
      <c r="O257" s="611">
        <v>7.4473886520306625</v>
      </c>
      <c r="P257" s="611">
        <v>0</v>
      </c>
      <c r="Q257" s="611">
        <v>0</v>
      </c>
      <c r="R257" s="611">
        <v>117.90461095014412</v>
      </c>
      <c r="S257" s="611">
        <v>0</v>
      </c>
      <c r="T257" s="611">
        <v>6.9740998058852091</v>
      </c>
      <c r="U257" s="619">
        <v>159.38162927610219</v>
      </c>
      <c r="V257" s="51"/>
    </row>
    <row r="258" spans="3:22" x14ac:dyDescent="0.25">
      <c r="C258" s="618" t="s">
        <v>80</v>
      </c>
      <c r="D258" s="611">
        <v>0</v>
      </c>
      <c r="E258" s="611">
        <v>0</v>
      </c>
      <c r="F258" s="611">
        <v>0.35613019618188829</v>
      </c>
      <c r="G258" s="611">
        <v>0</v>
      </c>
      <c r="H258" s="611">
        <v>0</v>
      </c>
      <c r="I258" s="611">
        <v>0.92121942110506694</v>
      </c>
      <c r="J258" s="611">
        <v>0</v>
      </c>
      <c r="K258" s="611">
        <v>0</v>
      </c>
      <c r="L258" s="611">
        <v>30.406752837013876</v>
      </c>
      <c r="M258" s="611">
        <v>0</v>
      </c>
      <c r="N258" s="611">
        <v>0</v>
      </c>
      <c r="O258" s="611">
        <v>17.503169000996269</v>
      </c>
      <c r="P258" s="611">
        <v>105.40020235475453</v>
      </c>
      <c r="Q258" s="611">
        <v>3.1166998128913419</v>
      </c>
      <c r="R258" s="611">
        <v>133.64902180729109</v>
      </c>
      <c r="S258" s="611">
        <v>20.977029614075306</v>
      </c>
      <c r="T258" s="611">
        <v>0</v>
      </c>
      <c r="U258" s="619">
        <v>312.33022504430937</v>
      </c>
      <c r="V258" s="51"/>
    </row>
    <row r="259" spans="3:22" x14ac:dyDescent="0.25">
      <c r="C259" s="618" t="s">
        <v>81</v>
      </c>
      <c r="D259" s="611">
        <v>0</v>
      </c>
      <c r="E259" s="611">
        <v>0</v>
      </c>
      <c r="F259" s="611">
        <v>6.5854952123934399E-2</v>
      </c>
      <c r="G259" s="611">
        <v>0</v>
      </c>
      <c r="H259" s="611">
        <v>0</v>
      </c>
      <c r="I259" s="611">
        <v>0.31585874142938569</v>
      </c>
      <c r="J259" s="611">
        <v>0</v>
      </c>
      <c r="K259" s="611">
        <v>0</v>
      </c>
      <c r="L259" s="611">
        <v>0.45236993281073634</v>
      </c>
      <c r="M259" s="611">
        <v>0</v>
      </c>
      <c r="N259" s="611">
        <v>0</v>
      </c>
      <c r="O259" s="611">
        <v>6.0013160871583278</v>
      </c>
      <c r="P259" s="611">
        <v>52.288295873759658</v>
      </c>
      <c r="Q259" s="611">
        <v>3.3575351400940563</v>
      </c>
      <c r="R259" s="611">
        <v>111.32761597349254</v>
      </c>
      <c r="S259" s="611">
        <v>18.167862149010045</v>
      </c>
      <c r="T259" s="611">
        <v>0</v>
      </c>
      <c r="U259" s="619">
        <v>191.97670884987866</v>
      </c>
      <c r="V259" s="51"/>
    </row>
    <row r="260" spans="3:22" x14ac:dyDescent="0.25">
      <c r="C260" s="618" t="s">
        <v>82</v>
      </c>
      <c r="D260" s="611">
        <v>0</v>
      </c>
      <c r="E260" s="611">
        <v>0</v>
      </c>
      <c r="F260" s="611">
        <v>0.14607036001340537</v>
      </c>
      <c r="G260" s="611">
        <v>0</v>
      </c>
      <c r="H260" s="611">
        <v>0</v>
      </c>
      <c r="I260" s="611">
        <v>5.5011390628469027E-2</v>
      </c>
      <c r="J260" s="611">
        <v>0</v>
      </c>
      <c r="K260" s="611">
        <v>0</v>
      </c>
      <c r="L260" s="611">
        <v>3.9918011059239289</v>
      </c>
      <c r="M260" s="611">
        <v>0</v>
      </c>
      <c r="N260" s="611">
        <v>18.700816435906518</v>
      </c>
      <c r="O260" s="611">
        <v>1.0452164219409115</v>
      </c>
      <c r="P260" s="611">
        <v>1.5</v>
      </c>
      <c r="Q260" s="611">
        <v>2.1874070050904897</v>
      </c>
      <c r="R260" s="611">
        <v>6.9303674525217573</v>
      </c>
      <c r="S260" s="611">
        <v>0</v>
      </c>
      <c r="T260" s="611">
        <v>0.82604920070086296</v>
      </c>
      <c r="U260" s="619">
        <v>35.382739372726341</v>
      </c>
      <c r="V260" s="51"/>
    </row>
    <row r="261" spans="3:22" x14ac:dyDescent="0.25">
      <c r="C261" s="618" t="s">
        <v>354</v>
      </c>
      <c r="D261" s="611">
        <v>0</v>
      </c>
      <c r="E261" s="611">
        <v>0</v>
      </c>
      <c r="F261" s="611">
        <v>0</v>
      </c>
      <c r="G261" s="611">
        <v>0</v>
      </c>
      <c r="H261" s="611">
        <v>0</v>
      </c>
      <c r="I261" s="611">
        <v>0</v>
      </c>
      <c r="J261" s="611">
        <v>0</v>
      </c>
      <c r="K261" s="611">
        <v>0</v>
      </c>
      <c r="L261" s="611">
        <v>0</v>
      </c>
      <c r="M261" s="611">
        <v>0</v>
      </c>
      <c r="N261" s="611">
        <v>0</v>
      </c>
      <c r="O261" s="611">
        <v>0</v>
      </c>
      <c r="P261" s="611">
        <v>0</v>
      </c>
      <c r="Q261" s="611">
        <v>0</v>
      </c>
      <c r="R261" s="611">
        <v>11.7</v>
      </c>
      <c r="S261" s="611">
        <v>0</v>
      </c>
      <c r="T261" s="611">
        <v>0</v>
      </c>
      <c r="U261" s="619">
        <v>11.7</v>
      </c>
      <c r="V261" s="51"/>
    </row>
    <row r="262" spans="3:22" x14ac:dyDescent="0.25">
      <c r="C262" s="614" t="s">
        <v>83</v>
      </c>
      <c r="D262" s="615">
        <v>0.64129319091675452</v>
      </c>
      <c r="E262" s="615">
        <v>0</v>
      </c>
      <c r="F262" s="615">
        <v>4.6423055389522521</v>
      </c>
      <c r="G262" s="615">
        <v>4.6064063696995508</v>
      </c>
      <c r="H262" s="615">
        <v>0</v>
      </c>
      <c r="I262" s="615">
        <v>3.9444546849273663</v>
      </c>
      <c r="J262" s="615">
        <v>0</v>
      </c>
      <c r="K262" s="615">
        <v>0</v>
      </c>
      <c r="L262" s="615">
        <v>58.210943137405394</v>
      </c>
      <c r="M262" s="615">
        <v>5.362188402201145</v>
      </c>
      <c r="N262" s="615">
        <v>39.512934840266112</v>
      </c>
      <c r="O262" s="615">
        <v>74.986769829774744</v>
      </c>
      <c r="P262" s="615">
        <v>181.20215447851419</v>
      </c>
      <c r="Q262" s="615">
        <v>8.6625008637800214</v>
      </c>
      <c r="R262" s="615">
        <v>583.53589430288855</v>
      </c>
      <c r="S262" s="615">
        <v>61.402454105753748</v>
      </c>
      <c r="T262" s="615">
        <v>23.801496662836072</v>
      </c>
      <c r="U262" s="615">
        <v>1050.5117964079159</v>
      </c>
      <c r="V262" s="51"/>
    </row>
    <row r="263" spans="3:22" x14ac:dyDescent="0.25">
      <c r="C263" s="610" t="s">
        <v>84</v>
      </c>
      <c r="D263" s="611">
        <v>0</v>
      </c>
      <c r="E263" s="611">
        <v>0</v>
      </c>
      <c r="F263" s="611">
        <v>44.559074374942114</v>
      </c>
      <c r="G263" s="611">
        <v>2.9799029387007945</v>
      </c>
      <c r="H263" s="611">
        <v>3.2223770587889593</v>
      </c>
      <c r="I263" s="611">
        <v>0</v>
      </c>
      <c r="J263" s="611">
        <v>0</v>
      </c>
      <c r="K263" s="611">
        <v>0</v>
      </c>
      <c r="L263" s="611">
        <v>0.60656225364490568</v>
      </c>
      <c r="M263" s="611">
        <v>0</v>
      </c>
      <c r="N263" s="611">
        <v>50.341514757930035</v>
      </c>
      <c r="O263" s="611">
        <v>13.801033069140475</v>
      </c>
      <c r="P263" s="611">
        <v>0</v>
      </c>
      <c r="Q263" s="611">
        <v>0</v>
      </c>
      <c r="R263" s="611">
        <v>0</v>
      </c>
      <c r="S263" s="611">
        <v>0</v>
      </c>
      <c r="T263" s="611">
        <v>63.833639735754474</v>
      </c>
      <c r="U263" s="619">
        <v>179.34410418890175</v>
      </c>
      <c r="V263" s="51"/>
    </row>
    <row r="264" spans="3:22" x14ac:dyDescent="0.25">
      <c r="C264" s="614" t="s">
        <v>85</v>
      </c>
      <c r="D264" s="615">
        <v>0.64129319091675452</v>
      </c>
      <c r="E264" s="615">
        <v>0</v>
      </c>
      <c r="F264" s="615">
        <v>49.201379913894364</v>
      </c>
      <c r="G264" s="615">
        <v>7.5863093084003452</v>
      </c>
      <c r="H264" s="615">
        <v>3.2223770587889593</v>
      </c>
      <c r="I264" s="615">
        <v>3.9444546849273663</v>
      </c>
      <c r="J264" s="615">
        <v>0</v>
      </c>
      <c r="K264" s="615">
        <v>0</v>
      </c>
      <c r="L264" s="615">
        <v>58.817505391050297</v>
      </c>
      <c r="M264" s="615">
        <v>5.362188402201145</v>
      </c>
      <c r="N264" s="615">
        <v>89.85444959819614</v>
      </c>
      <c r="O264" s="615">
        <v>88.787802898915217</v>
      </c>
      <c r="P264" s="615">
        <v>181.20215447851419</v>
      </c>
      <c r="Q264" s="615">
        <v>8.6625008637800214</v>
      </c>
      <c r="R264" s="615">
        <v>583.53589430288855</v>
      </c>
      <c r="S264" s="615">
        <v>61.402454105753748</v>
      </c>
      <c r="T264" s="615">
        <v>87.635136398590546</v>
      </c>
      <c r="U264" s="615">
        <v>1229.8559005968177</v>
      </c>
      <c r="V264" s="51"/>
    </row>
    <row r="265" spans="3:22" x14ac:dyDescent="0.25">
      <c r="C265" s="51"/>
      <c r="D265" s="67">
        <v>0</v>
      </c>
      <c r="E265" s="67">
        <v>0</v>
      </c>
      <c r="F265" s="67">
        <v>0</v>
      </c>
      <c r="G265" s="67">
        <v>0</v>
      </c>
      <c r="H265" s="67">
        <v>0</v>
      </c>
      <c r="I265" s="67">
        <v>0</v>
      </c>
      <c r="J265" s="67">
        <v>0</v>
      </c>
      <c r="K265" s="67">
        <v>0</v>
      </c>
      <c r="L265" s="67">
        <v>0</v>
      </c>
      <c r="M265" s="67">
        <v>-2.9244114949733557E-4</v>
      </c>
      <c r="N265" s="67">
        <v>0</v>
      </c>
      <c r="O265" s="67">
        <v>-6.2172489379008766E-15</v>
      </c>
      <c r="P265" s="67">
        <v>0</v>
      </c>
      <c r="Q265" s="67">
        <v>0</v>
      </c>
      <c r="R265" s="67">
        <v>-1.1368683772161603E-13</v>
      </c>
      <c r="S265" s="67">
        <v>0</v>
      </c>
      <c r="T265" s="67">
        <v>1.7763568394002505E-14</v>
      </c>
      <c r="U265" s="67">
        <v>-2.9244114966786583E-4</v>
      </c>
      <c r="V265" s="51"/>
    </row>
    <row r="266" spans="3:22" x14ac:dyDescent="0.25">
      <c r="C266" s="51"/>
      <c r="D266" s="51"/>
      <c r="E266" s="51"/>
      <c r="F266" s="51"/>
      <c r="G266" s="51"/>
      <c r="H266" s="51"/>
      <c r="I266" s="51"/>
      <c r="J266" s="51"/>
      <c r="K266" s="51"/>
      <c r="L266" s="51"/>
      <c r="M266" s="51"/>
      <c r="N266" s="51"/>
      <c r="O266" s="51"/>
      <c r="P266" s="51"/>
      <c r="Q266" s="51"/>
      <c r="R266" s="51"/>
      <c r="S266" s="51"/>
      <c r="T266" s="51"/>
      <c r="U266" s="51"/>
      <c r="V266" s="51"/>
    </row>
  </sheetData>
  <mergeCells count="98">
    <mergeCell ref="K232:K233"/>
    <mergeCell ref="L232:Q232"/>
    <mergeCell ref="R232:R233"/>
    <mergeCell ref="S232:S233"/>
    <mergeCell ref="T232:T233"/>
    <mergeCell ref="U232:U233"/>
    <mergeCell ref="T195:T196"/>
    <mergeCell ref="U195:U196"/>
    <mergeCell ref="C232:C233"/>
    <mergeCell ref="D232:D233"/>
    <mergeCell ref="E232:E233"/>
    <mergeCell ref="F232:F233"/>
    <mergeCell ref="G232:G233"/>
    <mergeCell ref="H232:H233"/>
    <mergeCell ref="I232:I233"/>
    <mergeCell ref="J232:J233"/>
    <mergeCell ref="I195:I196"/>
    <mergeCell ref="J195:J196"/>
    <mergeCell ref="K195:K196"/>
    <mergeCell ref="L195:Q195"/>
    <mergeCell ref="R195:R196"/>
    <mergeCell ref="S195:S196"/>
    <mergeCell ref="C195:C196"/>
    <mergeCell ref="D195:D196"/>
    <mergeCell ref="E195:E196"/>
    <mergeCell ref="F195:F196"/>
    <mergeCell ref="G195:G196"/>
    <mergeCell ref="H195:H196"/>
    <mergeCell ref="K158:K159"/>
    <mergeCell ref="L158:Q158"/>
    <mergeCell ref="R158:R159"/>
    <mergeCell ref="S158:S159"/>
    <mergeCell ref="T158:T159"/>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R121:R122"/>
    <mergeCell ref="S121:S122"/>
    <mergeCell ref="C121:C122"/>
    <mergeCell ref="D121:D122"/>
    <mergeCell ref="E121:E122"/>
    <mergeCell ref="F121:F122"/>
    <mergeCell ref="G121:G122"/>
    <mergeCell ref="H121:H122"/>
    <mergeCell ref="K84:K85"/>
    <mergeCell ref="L84:Q84"/>
    <mergeCell ref="R84:R85"/>
    <mergeCell ref="S84:S85"/>
    <mergeCell ref="T84:T85"/>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S47:S48"/>
    <mergeCell ref="C47:C48"/>
    <mergeCell ref="D47:D48"/>
    <mergeCell ref="E47:E48"/>
    <mergeCell ref="F47:F48"/>
    <mergeCell ref="G47:G48"/>
    <mergeCell ref="H47:H48"/>
    <mergeCell ref="U10:U11"/>
    <mergeCell ref="C10:C11"/>
    <mergeCell ref="D10:D11"/>
    <mergeCell ref="E10:E11"/>
    <mergeCell ref="F10:F11"/>
    <mergeCell ref="G10:G11"/>
    <mergeCell ref="H10:H11"/>
    <mergeCell ref="I10:I11"/>
    <mergeCell ref="J10:J11"/>
    <mergeCell ref="K10:K11"/>
    <mergeCell ref="L10:Q10"/>
    <mergeCell ref="R10:R11"/>
    <mergeCell ref="S10:S11"/>
    <mergeCell ref="T10:T11"/>
  </mergeCells>
  <conditionalFormatting sqref="D12:U18">
    <cfRule type="containsBlanks" dxfId="769" priority="21">
      <formula>LEN(TRIM(D12))=0</formula>
    </cfRule>
  </conditionalFormatting>
  <conditionalFormatting sqref="D12:U42">
    <cfRule type="cellIs" dxfId="768" priority="22" operator="equal">
      <formula>0</formula>
    </cfRule>
  </conditionalFormatting>
  <conditionalFormatting sqref="D20:U32">
    <cfRule type="containsBlanks" dxfId="767" priority="23">
      <formula>LEN(TRIM(D20))=0</formula>
    </cfRule>
  </conditionalFormatting>
  <conditionalFormatting sqref="D34:U42">
    <cfRule type="containsBlanks" dxfId="766" priority="24">
      <formula>LEN(TRIM(D34))=0</formula>
    </cfRule>
  </conditionalFormatting>
  <conditionalFormatting sqref="D49:U55">
    <cfRule type="containsBlanks" dxfId="765" priority="19">
      <formula>LEN(TRIM(D49))=0</formula>
    </cfRule>
  </conditionalFormatting>
  <conditionalFormatting sqref="D49:U79">
    <cfRule type="cellIs" dxfId="764" priority="20" operator="equal">
      <formula>0</formula>
    </cfRule>
  </conditionalFormatting>
  <conditionalFormatting sqref="D57:U69">
    <cfRule type="containsBlanks" dxfId="763" priority="29">
      <formula>LEN(TRIM(D57))=0</formula>
    </cfRule>
  </conditionalFormatting>
  <conditionalFormatting sqref="D71:U79">
    <cfRule type="containsBlanks" dxfId="762" priority="30">
      <formula>LEN(TRIM(D71))=0</formula>
    </cfRule>
  </conditionalFormatting>
  <conditionalFormatting sqref="D86:U92">
    <cfRule type="containsBlanks" dxfId="761" priority="17">
      <formula>LEN(TRIM(D86))=0</formula>
    </cfRule>
  </conditionalFormatting>
  <conditionalFormatting sqref="D86:U116">
    <cfRule type="cellIs" dxfId="760" priority="18" operator="equal">
      <formula>0</formula>
    </cfRule>
  </conditionalFormatting>
  <conditionalFormatting sqref="D94:U106">
    <cfRule type="containsBlanks" dxfId="759" priority="35">
      <formula>LEN(TRIM(D94))=0</formula>
    </cfRule>
  </conditionalFormatting>
  <conditionalFormatting sqref="D108:U116">
    <cfRule type="containsBlanks" dxfId="758" priority="36">
      <formula>LEN(TRIM(D108))=0</formula>
    </cfRule>
  </conditionalFormatting>
  <conditionalFormatting sqref="D123:U129">
    <cfRule type="containsBlanks" dxfId="757" priority="15">
      <formula>LEN(TRIM(D123))=0</formula>
    </cfRule>
  </conditionalFormatting>
  <conditionalFormatting sqref="D123:U153">
    <cfRule type="cellIs" dxfId="756" priority="16" operator="equal">
      <formula>0</formula>
    </cfRule>
  </conditionalFormatting>
  <conditionalFormatting sqref="D131:U143">
    <cfRule type="containsBlanks" dxfId="755" priority="41">
      <formula>LEN(TRIM(D131))=0</formula>
    </cfRule>
  </conditionalFormatting>
  <conditionalFormatting sqref="D145:U153">
    <cfRule type="containsBlanks" dxfId="754" priority="42">
      <formula>LEN(TRIM(D145))=0</formula>
    </cfRule>
  </conditionalFormatting>
  <conditionalFormatting sqref="D160:U166">
    <cfRule type="containsBlanks" dxfId="753" priority="13">
      <formula>LEN(TRIM(D160))=0</formula>
    </cfRule>
  </conditionalFormatting>
  <conditionalFormatting sqref="D160:U190">
    <cfRule type="cellIs" dxfId="752" priority="14" operator="equal">
      <formula>0</formula>
    </cfRule>
  </conditionalFormatting>
  <conditionalFormatting sqref="D168:U180">
    <cfRule type="containsBlanks" dxfId="751" priority="47">
      <formula>LEN(TRIM(D168))=0</formula>
    </cfRule>
  </conditionalFormatting>
  <conditionalFormatting sqref="D182:U190">
    <cfRule type="containsBlanks" dxfId="750" priority="48">
      <formula>LEN(TRIM(D182))=0</formula>
    </cfRule>
  </conditionalFormatting>
  <conditionalFormatting sqref="D197:U203">
    <cfRule type="containsBlanks" dxfId="749" priority="11">
      <formula>LEN(TRIM(D197))=0</formula>
    </cfRule>
  </conditionalFormatting>
  <conditionalFormatting sqref="D197:U227">
    <cfRule type="cellIs" dxfId="748" priority="12" operator="equal">
      <formula>0</formula>
    </cfRule>
  </conditionalFormatting>
  <conditionalFormatting sqref="D205:U217">
    <cfRule type="containsBlanks" dxfId="747" priority="53">
      <formula>LEN(TRIM(D205))=0</formula>
    </cfRule>
  </conditionalFormatting>
  <conditionalFormatting sqref="D219:U227">
    <cfRule type="containsBlanks" dxfId="746" priority="54">
      <formula>LEN(TRIM(D219))=0</formula>
    </cfRule>
  </conditionalFormatting>
  <conditionalFormatting sqref="D234:U240">
    <cfRule type="containsBlanks" dxfId="745" priority="9">
      <formula>LEN(TRIM(D234))=0</formula>
    </cfRule>
  </conditionalFormatting>
  <conditionalFormatting sqref="D234:U264">
    <cfRule type="cellIs" dxfId="744" priority="10" operator="equal">
      <formula>0</formula>
    </cfRule>
  </conditionalFormatting>
  <conditionalFormatting sqref="D242:U254">
    <cfRule type="containsBlanks" dxfId="743" priority="59">
      <formula>LEN(TRIM(D242))=0</formula>
    </cfRule>
  </conditionalFormatting>
  <conditionalFormatting sqref="D256:U264">
    <cfRule type="containsBlanks" dxfId="742" priority="60">
      <formula>LEN(TRIM(D256))=0</formula>
    </cfRule>
  </conditionalFormatting>
  <conditionalFormatting sqref="F50:F51">
    <cfRule type="cellIs" dxfId="741" priority="33" operator="equal">
      <formula>0</formula>
    </cfRule>
  </conditionalFormatting>
  <conditionalFormatting sqref="F87:F88">
    <cfRule type="cellIs" dxfId="740" priority="39" operator="equal">
      <formula>0</formula>
    </cfRule>
  </conditionalFormatting>
  <conditionalFormatting sqref="F124:F125">
    <cfRule type="cellIs" dxfId="739" priority="45" operator="equal">
      <formula>0</formula>
    </cfRule>
  </conditionalFormatting>
  <conditionalFormatting sqref="F161:F162">
    <cfRule type="cellIs" dxfId="738" priority="51" operator="equal">
      <formula>0</formula>
    </cfRule>
  </conditionalFormatting>
  <conditionalFormatting sqref="F198:F199">
    <cfRule type="cellIs" dxfId="737" priority="57" operator="equal">
      <formula>0</formula>
    </cfRule>
  </conditionalFormatting>
  <conditionalFormatting sqref="F235:F236">
    <cfRule type="cellIs" dxfId="736" priority="63" operator="equal">
      <formula>0</formula>
    </cfRule>
  </conditionalFormatting>
  <conditionalFormatting sqref="L13:L17">
    <cfRule type="cellIs" dxfId="735" priority="27" operator="equal">
      <formula>0</formula>
    </cfRule>
  </conditionalFormatting>
  <conditionalFormatting sqref="L50:L54">
    <cfRule type="cellIs" dxfId="734" priority="32" operator="equal">
      <formula>0</formula>
    </cfRule>
  </conditionalFormatting>
  <conditionalFormatting sqref="L87:L91">
    <cfRule type="cellIs" dxfId="733" priority="38" operator="equal">
      <formula>0</formula>
    </cfRule>
  </conditionalFormatting>
  <conditionalFormatting sqref="L124:L128">
    <cfRule type="cellIs" dxfId="732" priority="44" operator="equal">
      <formula>0</formula>
    </cfRule>
  </conditionalFormatting>
  <conditionalFormatting sqref="L161:L165">
    <cfRule type="cellIs" dxfId="731" priority="50" operator="equal">
      <formula>0</formula>
    </cfRule>
  </conditionalFormatting>
  <conditionalFormatting sqref="L198:L202">
    <cfRule type="cellIs" dxfId="730" priority="56" operator="equal">
      <formula>0</formula>
    </cfRule>
  </conditionalFormatting>
  <conditionalFormatting sqref="L235:L239">
    <cfRule type="cellIs" dxfId="729" priority="62" operator="equal">
      <formula>0</formula>
    </cfRule>
  </conditionalFormatting>
  <conditionalFormatting sqref="L11:Q11">
    <cfRule type="cellIs" dxfId="728" priority="71" operator="equal">
      <formula>0</formula>
    </cfRule>
  </conditionalFormatting>
  <conditionalFormatting sqref="L48:Q48">
    <cfRule type="cellIs" dxfId="727" priority="70" operator="equal">
      <formula>0</formula>
    </cfRule>
  </conditionalFormatting>
  <conditionalFormatting sqref="L85:Q85">
    <cfRule type="cellIs" dxfId="726" priority="69" operator="equal">
      <formula>0</formula>
    </cfRule>
  </conditionalFormatting>
  <conditionalFormatting sqref="L122:Q122">
    <cfRule type="cellIs" dxfId="725" priority="68" operator="equal">
      <formula>0</formula>
    </cfRule>
  </conditionalFormatting>
  <conditionalFormatting sqref="L159:Q159">
    <cfRule type="cellIs" dxfId="724" priority="67" operator="equal">
      <formula>0</formula>
    </cfRule>
  </conditionalFormatting>
  <conditionalFormatting sqref="L196:Q196">
    <cfRule type="cellIs" dxfId="723" priority="66" operator="equal">
      <formula>0</formula>
    </cfRule>
  </conditionalFormatting>
  <conditionalFormatting sqref="L233:Q233">
    <cfRule type="cellIs" dxfId="722" priority="65" operator="equal">
      <formula>0</formula>
    </cfRule>
  </conditionalFormatting>
  <conditionalFormatting sqref="M12:O17">
    <cfRule type="cellIs" dxfId="721" priority="25" operator="equal">
      <formula>0</formula>
    </cfRule>
  </conditionalFormatting>
  <conditionalFormatting sqref="P13:Q17">
    <cfRule type="cellIs" dxfId="720" priority="26" operator="equal">
      <formula>0</formula>
    </cfRule>
  </conditionalFormatting>
  <conditionalFormatting sqref="P50:Q54">
    <cfRule type="cellIs" dxfId="719" priority="31" operator="equal">
      <formula>0</formula>
    </cfRule>
  </conditionalFormatting>
  <conditionalFormatting sqref="P87:Q91">
    <cfRule type="cellIs" dxfId="718" priority="37" operator="equal">
      <formula>0</formula>
    </cfRule>
  </conditionalFormatting>
  <conditionalFormatting sqref="P124:Q128">
    <cfRule type="cellIs" dxfId="717" priority="43" operator="equal">
      <formula>0</formula>
    </cfRule>
  </conditionalFormatting>
  <conditionalFormatting sqref="P161:Q165">
    <cfRule type="cellIs" dxfId="716" priority="49" operator="equal">
      <formula>0</formula>
    </cfRule>
  </conditionalFormatting>
  <conditionalFormatting sqref="P198:Q202">
    <cfRule type="cellIs" dxfId="715" priority="55" operator="equal">
      <formula>0</formula>
    </cfRule>
  </conditionalFormatting>
  <conditionalFormatting sqref="P235:Q239">
    <cfRule type="cellIs" dxfId="714" priority="61" operator="equal">
      <formula>0</formula>
    </cfRule>
  </conditionalFormatting>
  <conditionalFormatting sqref="R12:R14">
    <cfRule type="cellIs" dxfId="713" priority="28" operator="equal">
      <formula>0</formula>
    </cfRule>
  </conditionalFormatting>
  <conditionalFormatting sqref="R49:R51">
    <cfRule type="cellIs" dxfId="712" priority="34" operator="equal">
      <formula>0</formula>
    </cfRule>
  </conditionalFormatting>
  <conditionalFormatting sqref="R86:R88">
    <cfRule type="cellIs" dxfId="711" priority="40" operator="equal">
      <formula>0</formula>
    </cfRule>
  </conditionalFormatting>
  <conditionalFormatting sqref="R123:R125">
    <cfRule type="cellIs" dxfId="710" priority="46" operator="equal">
      <formula>0</formula>
    </cfRule>
  </conditionalFormatting>
  <conditionalFormatting sqref="R160:R162">
    <cfRule type="cellIs" dxfId="709" priority="52" operator="equal">
      <formula>0</formula>
    </cfRule>
  </conditionalFormatting>
  <conditionalFormatting sqref="R197:R199">
    <cfRule type="cellIs" dxfId="708" priority="58" operator="equal">
      <formula>0</formula>
    </cfRule>
  </conditionalFormatting>
  <conditionalFormatting sqref="R234:R236">
    <cfRule type="cellIs" dxfId="707" priority="64" operator="equal">
      <formula>0</formula>
    </cfRule>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68901-3C75-4BA6-A3CF-5218FCBEFE11}">
  <dimension ref="C2:V229"/>
  <sheetViews>
    <sheetView workbookViewId="0"/>
  </sheetViews>
  <sheetFormatPr baseColWidth="10" defaultRowHeight="15" x14ac:dyDescent="0.25"/>
  <sheetData>
    <row r="2" spans="3:22" ht="18.75" x14ac:dyDescent="0.3">
      <c r="C2" s="600" t="s">
        <v>406</v>
      </c>
      <c r="D2" s="599"/>
      <c r="E2" s="599"/>
      <c r="F2" s="599"/>
      <c r="G2" s="599"/>
      <c r="H2" s="599"/>
      <c r="I2" s="599"/>
      <c r="J2" s="599"/>
      <c r="K2" s="599"/>
      <c r="L2" s="599"/>
      <c r="M2" s="599"/>
      <c r="N2" s="599"/>
      <c r="O2" s="599"/>
      <c r="P2" s="599"/>
      <c r="Q2" s="599"/>
      <c r="R2" s="599"/>
      <c r="S2" s="599"/>
      <c r="T2" s="599"/>
      <c r="U2" s="599"/>
      <c r="V2" s="599"/>
    </row>
    <row r="3" spans="3:22" x14ac:dyDescent="0.25">
      <c r="C3" s="51"/>
      <c r="D3" s="51"/>
      <c r="E3" s="51"/>
      <c r="F3" s="51"/>
      <c r="G3" s="51"/>
      <c r="H3" s="51"/>
      <c r="I3" s="51"/>
      <c r="J3" s="51"/>
      <c r="K3" s="51"/>
      <c r="L3" s="51"/>
      <c r="M3" s="51"/>
      <c r="N3" s="51"/>
      <c r="O3" s="51"/>
      <c r="P3" s="51"/>
      <c r="Q3" s="51"/>
      <c r="R3" s="51"/>
      <c r="S3" s="51"/>
      <c r="T3" s="51"/>
      <c r="U3" s="51"/>
      <c r="V3" s="51"/>
    </row>
    <row r="4" spans="3:22" ht="15.75" x14ac:dyDescent="0.25">
      <c r="C4" s="603" t="s">
        <v>338</v>
      </c>
      <c r="D4" s="602" t="s">
        <v>481</v>
      </c>
      <c r="E4" s="602"/>
      <c r="F4" s="602"/>
      <c r="G4" s="602"/>
      <c r="H4" s="602"/>
      <c r="I4" s="602"/>
      <c r="J4" s="602"/>
      <c r="K4" s="604"/>
      <c r="L4" s="604"/>
      <c r="M4" s="604"/>
      <c r="N4" s="604"/>
      <c r="O4" s="604"/>
      <c r="P4" s="604"/>
      <c r="Q4" s="604"/>
      <c r="R4" s="602"/>
      <c r="S4" s="602"/>
      <c r="T4" s="602"/>
      <c r="U4" s="602"/>
      <c r="V4" s="602"/>
    </row>
    <row r="5" spans="3:22" ht="15.75" x14ac:dyDescent="0.25">
      <c r="C5" s="603" t="s">
        <v>341</v>
      </c>
      <c r="D5" s="602" t="s">
        <v>342</v>
      </c>
      <c r="E5" s="602"/>
      <c r="F5" s="602"/>
      <c r="G5" s="602"/>
      <c r="H5" s="602"/>
      <c r="I5" s="602"/>
      <c r="J5" s="602"/>
      <c r="K5" s="602"/>
      <c r="L5" s="602"/>
      <c r="M5" s="602"/>
      <c r="N5" s="602"/>
      <c r="O5" s="602"/>
      <c r="P5" s="602"/>
      <c r="Q5" s="602"/>
      <c r="R5" s="602"/>
      <c r="S5" s="602"/>
      <c r="T5" s="602"/>
      <c r="U5" s="602"/>
      <c r="V5" s="602"/>
    </row>
    <row r="6" spans="3:22" x14ac:dyDescent="0.25">
      <c r="C6" s="51"/>
      <c r="D6" s="51"/>
      <c r="E6" s="51"/>
      <c r="F6" s="51"/>
      <c r="G6" s="51"/>
      <c r="H6" s="51"/>
      <c r="I6" s="51"/>
      <c r="J6" s="51"/>
      <c r="K6" s="51"/>
      <c r="L6" s="51"/>
      <c r="M6" s="51"/>
      <c r="N6" s="51"/>
      <c r="O6" s="51"/>
      <c r="P6" s="51"/>
      <c r="Q6" s="51"/>
      <c r="R6" s="51"/>
      <c r="S6" s="51"/>
      <c r="T6" s="51"/>
      <c r="U6" s="51"/>
      <c r="V6" s="51"/>
    </row>
    <row r="7" spans="3:22" x14ac:dyDescent="0.25">
      <c r="C7" s="51"/>
      <c r="D7" s="51"/>
      <c r="E7" s="51"/>
      <c r="F7" s="51"/>
      <c r="G7" s="51"/>
      <c r="H7" s="51"/>
      <c r="I7" s="51"/>
      <c r="J7" s="51"/>
      <c r="K7" s="51"/>
      <c r="L7" s="51"/>
      <c r="M7" s="51"/>
      <c r="N7" s="51"/>
      <c r="O7" s="51"/>
      <c r="P7" s="51"/>
      <c r="Q7" s="51"/>
      <c r="R7" s="51"/>
      <c r="S7" s="51"/>
      <c r="T7" s="51"/>
      <c r="U7" s="51"/>
      <c r="V7" s="51"/>
    </row>
    <row r="8" spans="3:22" x14ac:dyDescent="0.25">
      <c r="C8" s="607" t="s">
        <v>358</v>
      </c>
      <c r="D8" s="606"/>
      <c r="E8" s="606"/>
      <c r="F8" s="606"/>
      <c r="G8" s="682"/>
      <c r="H8" s="606"/>
      <c r="I8" s="606"/>
      <c r="J8" s="606"/>
      <c r="K8" s="606"/>
      <c r="L8" s="606"/>
      <c r="M8" s="606"/>
      <c r="N8" s="606"/>
      <c r="O8" s="606"/>
      <c r="P8" s="606"/>
      <c r="Q8" s="606"/>
      <c r="R8" s="606"/>
      <c r="S8" s="606"/>
      <c r="T8" s="606"/>
      <c r="U8" s="606"/>
      <c r="V8" s="606"/>
    </row>
    <row r="9" spans="3:22" x14ac:dyDescent="0.25">
      <c r="C9" s="51"/>
      <c r="D9" s="51"/>
      <c r="E9" s="51"/>
      <c r="F9" s="51"/>
      <c r="G9" s="67"/>
      <c r="H9" s="51"/>
      <c r="I9" s="51"/>
      <c r="J9" s="51"/>
      <c r="K9" s="51"/>
      <c r="L9" s="51"/>
      <c r="M9" s="51"/>
      <c r="N9" s="51"/>
      <c r="O9" s="51"/>
      <c r="P9" s="51"/>
      <c r="Q9" s="51"/>
      <c r="R9" s="51"/>
      <c r="S9" s="51"/>
      <c r="T9" s="51"/>
      <c r="U9" s="51"/>
      <c r="V9" s="51"/>
    </row>
    <row r="10" spans="3:22" x14ac:dyDescent="0.25">
      <c r="C10" s="764" t="s">
        <v>128</v>
      </c>
      <c r="D10" s="753" t="s">
        <v>42</v>
      </c>
      <c r="E10" s="753" t="s">
        <v>52</v>
      </c>
      <c r="F10" s="753" t="s">
        <v>53</v>
      </c>
      <c r="G10" s="766" t="s">
        <v>482</v>
      </c>
      <c r="H10" s="753" t="s">
        <v>32</v>
      </c>
      <c r="I10" s="753" t="s">
        <v>483</v>
      </c>
      <c r="J10" s="753" t="s">
        <v>20</v>
      </c>
      <c r="K10" s="753" t="s">
        <v>55</v>
      </c>
      <c r="L10" s="761" t="s">
        <v>56</v>
      </c>
      <c r="M10" s="762"/>
      <c r="N10" s="762"/>
      <c r="O10" s="762"/>
      <c r="P10" s="762"/>
      <c r="Q10" s="763"/>
      <c r="R10" s="753" t="s">
        <v>57</v>
      </c>
      <c r="S10" s="753" t="s">
        <v>58</v>
      </c>
      <c r="T10" s="753" t="s">
        <v>31</v>
      </c>
      <c r="U10" s="753" t="s">
        <v>10</v>
      </c>
      <c r="V10" s="51"/>
    </row>
    <row r="11" spans="3:22" ht="36" x14ac:dyDescent="0.25">
      <c r="C11" s="765"/>
      <c r="D11" s="754"/>
      <c r="E11" s="754"/>
      <c r="F11" s="754"/>
      <c r="G11" s="767"/>
      <c r="H11" s="754"/>
      <c r="I11" s="754"/>
      <c r="J11" s="754"/>
      <c r="K11" s="754"/>
      <c r="L11" s="608" t="s">
        <v>335</v>
      </c>
      <c r="M11" s="608" t="s">
        <v>40</v>
      </c>
      <c r="N11" s="608" t="s">
        <v>343</v>
      </c>
      <c r="O11" s="608" t="s">
        <v>344</v>
      </c>
      <c r="P11" s="609" t="s">
        <v>345</v>
      </c>
      <c r="Q11" s="608" t="s">
        <v>346</v>
      </c>
      <c r="R11" s="754"/>
      <c r="S11" s="754"/>
      <c r="T11" s="754"/>
      <c r="U11" s="754"/>
      <c r="V11" s="51"/>
    </row>
    <row r="12" spans="3:22" x14ac:dyDescent="0.25">
      <c r="C12" s="610" t="s">
        <v>59</v>
      </c>
      <c r="D12" s="611">
        <v>0</v>
      </c>
      <c r="E12" s="611">
        <v>5.8150000000000004</v>
      </c>
      <c r="F12" s="611">
        <v>0</v>
      </c>
      <c r="G12" s="611">
        <v>0</v>
      </c>
      <c r="H12" s="611">
        <v>9.3040000000000012E-2</v>
      </c>
      <c r="I12" s="611">
        <v>0</v>
      </c>
      <c r="J12" s="612">
        <v>1142.8003999999999</v>
      </c>
      <c r="K12" s="612">
        <v>315.61624303705946</v>
      </c>
      <c r="L12" s="612">
        <v>439.06519694377374</v>
      </c>
      <c r="M12" s="612">
        <v>22.953434806276242</v>
      </c>
      <c r="N12" s="611">
        <v>1.5151391983163085</v>
      </c>
      <c r="O12" s="611">
        <v>0.16086233431790645</v>
      </c>
      <c r="P12" s="612">
        <v>127.42983196346779</v>
      </c>
      <c r="Q12" s="612">
        <v>20.689716003432839</v>
      </c>
      <c r="R12" s="611">
        <v>0</v>
      </c>
      <c r="S12" s="611">
        <v>0</v>
      </c>
      <c r="T12" s="611">
        <v>0</v>
      </c>
      <c r="U12" s="613">
        <v>2018.8949175454236</v>
      </c>
      <c r="V12" s="51"/>
    </row>
    <row r="13" spans="3:22" x14ac:dyDescent="0.25">
      <c r="C13" s="610" t="s">
        <v>60</v>
      </c>
      <c r="D13" s="611">
        <v>14.997589528810048</v>
      </c>
      <c r="E13" s="611">
        <v>317.6831579468477</v>
      </c>
      <c r="F13" s="611">
        <v>90.64640210854148</v>
      </c>
      <c r="G13" s="611">
        <v>0.4482168453037243</v>
      </c>
      <c r="H13" s="611">
        <v>215.03381892924489</v>
      </c>
      <c r="I13" s="611">
        <v>0</v>
      </c>
      <c r="J13" s="611">
        <v>0</v>
      </c>
      <c r="K13" s="611">
        <v>0</v>
      </c>
      <c r="L13" s="611">
        <v>3.3497189577114872</v>
      </c>
      <c r="M13" s="611">
        <v>0</v>
      </c>
      <c r="N13" s="611">
        <v>4.4724851738797575</v>
      </c>
      <c r="O13" s="611">
        <v>0</v>
      </c>
      <c r="P13" s="611">
        <v>0</v>
      </c>
      <c r="Q13" s="611">
        <v>0</v>
      </c>
      <c r="R13" s="611">
        <v>0</v>
      </c>
      <c r="S13" s="611">
        <v>0</v>
      </c>
      <c r="T13" s="611">
        <v>0</v>
      </c>
      <c r="U13" s="613">
        <v>646.63138949033896</v>
      </c>
      <c r="V13" s="51"/>
    </row>
    <row r="14" spans="3:22" x14ac:dyDescent="0.25">
      <c r="C14" s="610" t="s">
        <v>61</v>
      </c>
      <c r="D14" s="611">
        <v>0</v>
      </c>
      <c r="E14" s="611">
        <v>0</v>
      </c>
      <c r="F14" s="611">
        <v>3.6514365086121643</v>
      </c>
      <c r="G14" s="611">
        <v>0</v>
      </c>
      <c r="H14" s="611">
        <v>0</v>
      </c>
      <c r="I14" s="611">
        <v>0</v>
      </c>
      <c r="J14" s="611">
        <v>0</v>
      </c>
      <c r="K14" s="611">
        <v>0</v>
      </c>
      <c r="L14" s="611">
        <v>0</v>
      </c>
      <c r="M14" s="611">
        <v>0</v>
      </c>
      <c r="N14" s="611">
        <v>0</v>
      </c>
      <c r="O14" s="611">
        <v>0</v>
      </c>
      <c r="P14" s="611">
        <v>0</v>
      </c>
      <c r="Q14" s="611">
        <v>0</v>
      </c>
      <c r="R14" s="611">
        <v>-78.775924512815891</v>
      </c>
      <c r="S14" s="611">
        <v>0</v>
      </c>
      <c r="T14" s="611">
        <v>0</v>
      </c>
      <c r="U14" s="613">
        <v>-75.124488004203727</v>
      </c>
      <c r="V14" s="51"/>
    </row>
    <row r="15" spans="3:22" x14ac:dyDescent="0.25">
      <c r="C15" s="610" t="s">
        <v>62</v>
      </c>
      <c r="D15" s="611">
        <v>0</v>
      </c>
      <c r="E15" s="611">
        <v>0</v>
      </c>
      <c r="F15" s="611">
        <v>-9.1493668545845033</v>
      </c>
      <c r="G15" s="611">
        <v>-2.0808213366588695</v>
      </c>
      <c r="H15" s="611">
        <v>-1.1134427375085565</v>
      </c>
      <c r="I15" s="611">
        <v>-2.1621292756423931</v>
      </c>
      <c r="J15" s="611">
        <v>0</v>
      </c>
      <c r="K15" s="611">
        <v>0</v>
      </c>
      <c r="L15" s="611">
        <v>0</v>
      </c>
      <c r="M15" s="611">
        <v>0</v>
      </c>
      <c r="N15" s="611">
        <v>-1.0958595241258173</v>
      </c>
      <c r="O15" s="611">
        <v>-1.719780201472068</v>
      </c>
      <c r="P15" s="611">
        <v>0</v>
      </c>
      <c r="Q15" s="611">
        <v>0</v>
      </c>
      <c r="R15" s="611">
        <v>0</v>
      </c>
      <c r="S15" s="611">
        <v>0</v>
      </c>
      <c r="T15" s="611">
        <v>-0.65033681124791309</v>
      </c>
      <c r="U15" s="613">
        <v>-17.971736741240122</v>
      </c>
      <c r="V15" s="51"/>
    </row>
    <row r="16" spans="3:22" x14ac:dyDescent="0.25">
      <c r="C16" s="610" t="s">
        <v>63</v>
      </c>
      <c r="D16" s="611">
        <v>0</v>
      </c>
      <c r="E16" s="611">
        <v>0</v>
      </c>
      <c r="F16" s="611">
        <v>-54.941446945210977</v>
      </c>
      <c r="G16" s="611">
        <v>-3.5033200830683109</v>
      </c>
      <c r="H16" s="611">
        <v>0</v>
      </c>
      <c r="I16" s="611">
        <v>0</v>
      </c>
      <c r="J16" s="611">
        <v>0</v>
      </c>
      <c r="K16" s="611">
        <v>0</v>
      </c>
      <c r="L16" s="611">
        <v>0</v>
      </c>
      <c r="M16" s="611">
        <v>0</v>
      </c>
      <c r="N16" s="611">
        <v>-10.509960249204934</v>
      </c>
      <c r="O16" s="611">
        <v>0</v>
      </c>
      <c r="P16" s="611">
        <v>0</v>
      </c>
      <c r="Q16" s="611">
        <v>0</v>
      </c>
      <c r="R16" s="611">
        <v>0</v>
      </c>
      <c r="S16" s="611">
        <v>0</v>
      </c>
      <c r="T16" s="611">
        <v>-0.56546152229300228</v>
      </c>
      <c r="U16" s="613">
        <v>-69.52018879977723</v>
      </c>
      <c r="V16" s="51"/>
    </row>
    <row r="17" spans="3:22" x14ac:dyDescent="0.25">
      <c r="C17" s="610" t="s">
        <v>64</v>
      </c>
      <c r="D17" s="611">
        <v>0</v>
      </c>
      <c r="E17" s="611">
        <v>0</v>
      </c>
      <c r="F17" s="611">
        <v>0</v>
      </c>
      <c r="G17" s="611">
        <v>0</v>
      </c>
      <c r="H17" s="611">
        <v>0</v>
      </c>
      <c r="I17" s="611">
        <v>0</v>
      </c>
      <c r="J17" s="611">
        <v>0</v>
      </c>
      <c r="K17" s="611">
        <v>0</v>
      </c>
      <c r="L17" s="611">
        <v>0</v>
      </c>
      <c r="M17" s="611">
        <v>0</v>
      </c>
      <c r="N17" s="611">
        <v>0</v>
      </c>
      <c r="O17" s="611">
        <v>0</v>
      </c>
      <c r="P17" s="611">
        <v>0</v>
      </c>
      <c r="Q17" s="611">
        <v>0</v>
      </c>
      <c r="R17" s="611">
        <v>0</v>
      </c>
      <c r="S17" s="611">
        <v>0</v>
      </c>
      <c r="T17" s="611">
        <v>0</v>
      </c>
      <c r="U17" s="613">
        <v>0</v>
      </c>
      <c r="V17" s="51"/>
    </row>
    <row r="18" spans="3:22" x14ac:dyDescent="0.25">
      <c r="C18" s="614" t="s">
        <v>65</v>
      </c>
      <c r="D18" s="615">
        <v>14.997589528810048</v>
      </c>
      <c r="E18" s="615">
        <v>323.4981579468477</v>
      </c>
      <c r="F18" s="615">
        <v>30.207024817358167</v>
      </c>
      <c r="G18" s="615">
        <v>-5.1359245744234556</v>
      </c>
      <c r="H18" s="615">
        <v>214.01341619173633</v>
      </c>
      <c r="I18" s="615">
        <v>-2.1621292756423931</v>
      </c>
      <c r="J18" s="615">
        <v>1142.8003999999999</v>
      </c>
      <c r="K18" s="615">
        <v>315.61624303705946</v>
      </c>
      <c r="L18" s="615">
        <v>442.41491590148524</v>
      </c>
      <c r="M18" s="615">
        <v>22.953434806276242</v>
      </c>
      <c r="N18" s="615">
        <v>-5.6181954011346846</v>
      </c>
      <c r="O18" s="615">
        <v>-1.5589178671541615</v>
      </c>
      <c r="P18" s="615">
        <v>127.42983196346779</v>
      </c>
      <c r="Q18" s="615">
        <v>20.689716003432839</v>
      </c>
      <c r="R18" s="615">
        <v>-78.775924512815891</v>
      </c>
      <c r="S18" s="615">
        <v>0</v>
      </c>
      <c r="T18" s="615">
        <v>-1.2157983335409153</v>
      </c>
      <c r="U18" s="615">
        <v>2502.9098934905414</v>
      </c>
      <c r="V18" s="51"/>
    </row>
    <row r="19" spans="3:22" x14ac:dyDescent="0.25">
      <c r="C19" s="616"/>
      <c r="D19" s="617"/>
      <c r="E19" s="617"/>
      <c r="F19" s="617"/>
      <c r="G19" s="617"/>
      <c r="H19" s="623"/>
      <c r="I19" s="617"/>
      <c r="J19" s="617"/>
      <c r="K19" s="617"/>
      <c r="L19" s="617"/>
      <c r="M19" s="617"/>
      <c r="N19" s="617"/>
      <c r="O19" s="617"/>
      <c r="P19" s="617"/>
      <c r="Q19" s="617"/>
      <c r="R19" s="617"/>
      <c r="S19" s="617"/>
      <c r="T19" s="617"/>
      <c r="U19" s="617"/>
      <c r="V19" s="51"/>
    </row>
    <row r="20" spans="3:22" x14ac:dyDescent="0.25">
      <c r="C20" s="618" t="s">
        <v>67</v>
      </c>
      <c r="D20" s="611">
        <v>0</v>
      </c>
      <c r="E20" s="611">
        <v>0</v>
      </c>
      <c r="F20" s="611">
        <v>0</v>
      </c>
      <c r="G20" s="611">
        <v>0</v>
      </c>
      <c r="H20" s="611">
        <v>0</v>
      </c>
      <c r="I20" s="611">
        <v>0</v>
      </c>
      <c r="J20" s="611">
        <v>0</v>
      </c>
      <c r="K20" s="611">
        <v>0</v>
      </c>
      <c r="L20" s="611">
        <v>0</v>
      </c>
      <c r="M20" s="611">
        <v>0</v>
      </c>
      <c r="N20" s="611">
        <v>0</v>
      </c>
      <c r="O20" s="611">
        <v>0</v>
      </c>
      <c r="P20" s="611">
        <v>0</v>
      </c>
      <c r="Q20" s="611">
        <v>0</v>
      </c>
      <c r="R20" s="611">
        <v>0</v>
      </c>
      <c r="S20" s="611">
        <v>0</v>
      </c>
      <c r="T20" s="611">
        <v>0</v>
      </c>
      <c r="U20" s="619">
        <v>0</v>
      </c>
      <c r="V20" s="51"/>
    </row>
    <row r="21" spans="3:22" x14ac:dyDescent="0.25">
      <c r="C21" s="618" t="s">
        <v>347</v>
      </c>
      <c r="D21" s="611">
        <v>0</v>
      </c>
      <c r="E21" s="611">
        <v>0</v>
      </c>
      <c r="F21" s="611">
        <v>0.802217285608815</v>
      </c>
      <c r="G21" s="611">
        <v>0</v>
      </c>
      <c r="H21" s="611">
        <v>34.006086400000001</v>
      </c>
      <c r="I21" s="611">
        <v>0</v>
      </c>
      <c r="J21" s="611">
        <v>1142.8003999999999</v>
      </c>
      <c r="K21" s="611">
        <v>315.61624303705946</v>
      </c>
      <c r="L21" s="611">
        <v>23.22237797454401</v>
      </c>
      <c r="M21" s="611">
        <v>0.78398280853048141</v>
      </c>
      <c r="N21" s="611">
        <v>5.0291337303525587</v>
      </c>
      <c r="O21" s="611">
        <v>11.448434017818721</v>
      </c>
      <c r="P21" s="611">
        <v>0</v>
      </c>
      <c r="Q21" s="611">
        <v>2.7943993103273139</v>
      </c>
      <c r="R21" s="611">
        <v>-757.71173525283928</v>
      </c>
      <c r="S21" s="611">
        <v>0</v>
      </c>
      <c r="T21" s="611">
        <v>0</v>
      </c>
      <c r="U21" s="619">
        <v>778.79153931140183</v>
      </c>
      <c r="V21" s="51"/>
    </row>
    <row r="22" spans="3:22" x14ac:dyDescent="0.25">
      <c r="C22" s="618" t="s">
        <v>348</v>
      </c>
      <c r="D22" s="611">
        <v>0</v>
      </c>
      <c r="E22" s="611">
        <v>0</v>
      </c>
      <c r="F22" s="611">
        <v>0</v>
      </c>
      <c r="G22" s="611">
        <v>0</v>
      </c>
      <c r="H22" s="611">
        <v>13.139983307328627</v>
      </c>
      <c r="I22" s="611">
        <v>0</v>
      </c>
      <c r="J22" s="611">
        <v>0</v>
      </c>
      <c r="K22" s="611">
        <v>0</v>
      </c>
      <c r="L22" s="611">
        <v>38.572952964760191</v>
      </c>
      <c r="M22" s="611">
        <v>15.065399481770232</v>
      </c>
      <c r="N22" s="611">
        <v>0</v>
      </c>
      <c r="O22" s="611">
        <v>4.3938190957025354</v>
      </c>
      <c r="P22" s="611">
        <v>0</v>
      </c>
      <c r="Q22" s="611">
        <v>11.616680925661079</v>
      </c>
      <c r="R22" s="611">
        <v>0</v>
      </c>
      <c r="S22" s="611">
        <v>-76.1057449740875</v>
      </c>
      <c r="T22" s="611">
        <v>0</v>
      </c>
      <c r="U22" s="619">
        <v>6.6830908011351795</v>
      </c>
      <c r="V22" s="51"/>
    </row>
    <row r="23" spans="3:22" x14ac:dyDescent="0.25">
      <c r="C23" s="618" t="s">
        <v>349</v>
      </c>
      <c r="D23" s="611">
        <v>0</v>
      </c>
      <c r="E23" s="611">
        <v>0</v>
      </c>
      <c r="F23" s="611">
        <v>0</v>
      </c>
      <c r="G23" s="611">
        <v>0</v>
      </c>
      <c r="H23" s="611">
        <v>0</v>
      </c>
      <c r="I23" s="611">
        <v>0</v>
      </c>
      <c r="J23" s="611">
        <v>0</v>
      </c>
      <c r="K23" s="611">
        <v>0</v>
      </c>
      <c r="L23" s="611">
        <v>145.08033558286297</v>
      </c>
      <c r="M23" s="611">
        <v>0</v>
      </c>
      <c r="N23" s="611">
        <v>0</v>
      </c>
      <c r="O23" s="611">
        <v>-79.794184570574629</v>
      </c>
      <c r="P23" s="611">
        <v>0</v>
      </c>
      <c r="Q23" s="611">
        <v>0</v>
      </c>
      <c r="R23" s="611">
        <v>0</v>
      </c>
      <c r="S23" s="611">
        <v>0</v>
      </c>
      <c r="T23" s="611">
        <v>0</v>
      </c>
      <c r="U23" s="619">
        <v>65.286151012288343</v>
      </c>
      <c r="V23" s="51"/>
    </row>
    <row r="24" spans="3:22" x14ac:dyDescent="0.25">
      <c r="C24" s="618" t="s">
        <v>350</v>
      </c>
      <c r="D24" s="611">
        <v>0</v>
      </c>
      <c r="E24" s="611">
        <v>0</v>
      </c>
      <c r="F24" s="611">
        <v>0</v>
      </c>
      <c r="G24" s="611">
        <v>0</v>
      </c>
      <c r="H24" s="611">
        <v>0</v>
      </c>
      <c r="I24" s="611">
        <v>-2.1621292756423931</v>
      </c>
      <c r="J24" s="611">
        <v>0</v>
      </c>
      <c r="K24" s="611">
        <v>0</v>
      </c>
      <c r="L24" s="611">
        <v>0</v>
      </c>
      <c r="M24" s="611">
        <v>0</v>
      </c>
      <c r="N24" s="611">
        <v>0</v>
      </c>
      <c r="O24" s="611">
        <v>0</v>
      </c>
      <c r="P24" s="611">
        <v>0</v>
      </c>
      <c r="Q24" s="611">
        <v>0</v>
      </c>
      <c r="R24" s="611">
        <v>0</v>
      </c>
      <c r="S24" s="611">
        <v>0</v>
      </c>
      <c r="T24" s="611">
        <v>3.0029573272811017</v>
      </c>
      <c r="U24" s="619">
        <v>0.84082805163870855</v>
      </c>
      <c r="V24" s="51"/>
    </row>
    <row r="25" spans="3:22" x14ac:dyDescent="0.25">
      <c r="C25" s="618" t="s">
        <v>72</v>
      </c>
      <c r="D25" s="611">
        <v>0</v>
      </c>
      <c r="E25" s="611">
        <v>335.24810979182712</v>
      </c>
      <c r="F25" s="611">
        <v>-331.90898271273255</v>
      </c>
      <c r="G25" s="611">
        <v>0</v>
      </c>
      <c r="H25" s="611">
        <v>0</v>
      </c>
      <c r="I25" s="611">
        <v>0</v>
      </c>
      <c r="J25" s="611">
        <v>0</v>
      </c>
      <c r="K25" s="611">
        <v>0</v>
      </c>
      <c r="L25" s="611">
        <v>0</v>
      </c>
      <c r="M25" s="611">
        <v>0</v>
      </c>
      <c r="N25" s="611">
        <v>0</v>
      </c>
      <c r="O25" s="611">
        <v>0</v>
      </c>
      <c r="P25" s="611">
        <v>0</v>
      </c>
      <c r="Q25" s="611">
        <v>0</v>
      </c>
      <c r="R25" s="611">
        <v>0</v>
      </c>
      <c r="S25" s="611">
        <v>0</v>
      </c>
      <c r="T25" s="611">
        <v>0</v>
      </c>
      <c r="U25" s="619">
        <v>3.3391270790945669</v>
      </c>
      <c r="V25" s="51"/>
    </row>
    <row r="26" spans="3:22" x14ac:dyDescent="0.25">
      <c r="C26" s="618" t="s">
        <v>351</v>
      </c>
      <c r="D26" s="611">
        <v>0</v>
      </c>
      <c r="E26" s="611">
        <v>0</v>
      </c>
      <c r="F26" s="611">
        <v>0</v>
      </c>
      <c r="G26" s="611">
        <v>0</v>
      </c>
      <c r="H26" s="611">
        <v>0</v>
      </c>
      <c r="I26" s="611">
        <v>0</v>
      </c>
      <c r="J26" s="611">
        <v>0</v>
      </c>
      <c r="K26" s="611">
        <v>0</v>
      </c>
      <c r="L26" s="611">
        <v>164.51618008676445</v>
      </c>
      <c r="M26" s="611">
        <v>0</v>
      </c>
      <c r="N26" s="611">
        <v>-90.483899047720456</v>
      </c>
      <c r="O26" s="611">
        <v>0</v>
      </c>
      <c r="P26" s="611">
        <v>0</v>
      </c>
      <c r="Q26" s="611">
        <v>0</v>
      </c>
      <c r="R26" s="611">
        <v>0</v>
      </c>
      <c r="S26" s="611">
        <v>0</v>
      </c>
      <c r="T26" s="611">
        <v>0</v>
      </c>
      <c r="U26" s="619">
        <v>74.032281039043994</v>
      </c>
      <c r="V26" s="51"/>
    </row>
    <row r="27" spans="3:22" x14ac:dyDescent="0.25">
      <c r="C27" s="618" t="s">
        <v>352</v>
      </c>
      <c r="D27" s="611">
        <v>0</v>
      </c>
      <c r="E27" s="611">
        <v>0</v>
      </c>
      <c r="F27" s="611">
        <v>0</v>
      </c>
      <c r="G27" s="611">
        <v>-7.5393332523643162</v>
      </c>
      <c r="H27" s="611">
        <v>0</v>
      </c>
      <c r="I27" s="611">
        <v>0</v>
      </c>
      <c r="J27" s="611">
        <v>0</v>
      </c>
      <c r="K27" s="611">
        <v>0</v>
      </c>
      <c r="L27" s="611">
        <v>0</v>
      </c>
      <c r="M27" s="611">
        <v>0</v>
      </c>
      <c r="N27" s="611">
        <v>0</v>
      </c>
      <c r="O27" s="611">
        <v>0</v>
      </c>
      <c r="P27" s="611">
        <v>0</v>
      </c>
      <c r="Q27" s="611">
        <v>0</v>
      </c>
      <c r="R27" s="611">
        <v>0</v>
      </c>
      <c r="S27" s="611">
        <v>0</v>
      </c>
      <c r="T27" s="611">
        <v>9.8694251246207116</v>
      </c>
      <c r="U27" s="619">
        <v>2.3300918722563955</v>
      </c>
      <c r="V27" s="51"/>
    </row>
    <row r="28" spans="3:22" x14ac:dyDescent="0.25">
      <c r="C28" s="618" t="s">
        <v>73</v>
      </c>
      <c r="D28" s="611">
        <v>0</v>
      </c>
      <c r="E28" s="611">
        <v>0</v>
      </c>
      <c r="F28" s="611">
        <v>0</v>
      </c>
      <c r="G28" s="611">
        <v>0</v>
      </c>
      <c r="H28" s="611">
        <v>0</v>
      </c>
      <c r="I28" s="611">
        <v>0</v>
      </c>
      <c r="J28" s="611">
        <v>0</v>
      </c>
      <c r="K28" s="611">
        <v>0</v>
      </c>
      <c r="L28" s="611">
        <v>0</v>
      </c>
      <c r="M28" s="611">
        <v>0</v>
      </c>
      <c r="N28" s="611">
        <v>0</v>
      </c>
      <c r="O28" s="611">
        <v>0</v>
      </c>
      <c r="P28" s="611">
        <v>0</v>
      </c>
      <c r="Q28" s="611">
        <v>0</v>
      </c>
      <c r="R28" s="611">
        <v>60.132492632658192</v>
      </c>
      <c r="S28" s="611">
        <v>0</v>
      </c>
      <c r="T28" s="611">
        <v>-40.138438832299343</v>
      </c>
      <c r="U28" s="619">
        <v>19.994053800358849</v>
      </c>
      <c r="V28" s="51"/>
    </row>
    <row r="29" spans="3:22" x14ac:dyDescent="0.25">
      <c r="C29" s="618" t="s">
        <v>353</v>
      </c>
      <c r="D29" s="611">
        <v>8.1657801562499994</v>
      </c>
      <c r="E29" s="611">
        <v>-11.749951844979407</v>
      </c>
      <c r="F29" s="611">
        <v>15.302006125146733</v>
      </c>
      <c r="G29" s="611">
        <v>0</v>
      </c>
      <c r="H29" s="611">
        <v>0</v>
      </c>
      <c r="I29" s="611">
        <v>0</v>
      </c>
      <c r="J29" s="611">
        <v>0</v>
      </c>
      <c r="K29" s="611">
        <v>0</v>
      </c>
      <c r="L29" s="611">
        <v>0</v>
      </c>
      <c r="M29" s="611">
        <v>0</v>
      </c>
      <c r="N29" s="611">
        <v>0</v>
      </c>
      <c r="O29" s="611">
        <v>0</v>
      </c>
      <c r="P29" s="611">
        <v>0</v>
      </c>
      <c r="Q29" s="611">
        <v>0</v>
      </c>
      <c r="R29" s="611">
        <v>0</v>
      </c>
      <c r="S29" s="611">
        <v>0</v>
      </c>
      <c r="T29" s="611">
        <v>0</v>
      </c>
      <c r="U29" s="619">
        <v>11.717834436417325</v>
      </c>
      <c r="V29" s="51"/>
    </row>
    <row r="30" spans="3:22" x14ac:dyDescent="0.25">
      <c r="C30" s="618" t="s">
        <v>75</v>
      </c>
      <c r="D30" s="611">
        <v>3.1755811718750002</v>
      </c>
      <c r="E30" s="611">
        <v>0</v>
      </c>
      <c r="F30" s="611">
        <v>11.521572645855153</v>
      </c>
      <c r="G30" s="611">
        <v>0</v>
      </c>
      <c r="H30" s="611">
        <v>3.9220454388203256</v>
      </c>
      <c r="I30" s="611">
        <v>0</v>
      </c>
      <c r="J30" s="611">
        <v>0</v>
      </c>
      <c r="K30" s="611">
        <v>0</v>
      </c>
      <c r="L30" s="611">
        <v>0</v>
      </c>
      <c r="M30" s="611">
        <v>0</v>
      </c>
      <c r="N30" s="611">
        <v>0</v>
      </c>
      <c r="O30" s="611">
        <v>1.4506195458650522</v>
      </c>
      <c r="P30" s="611">
        <v>0</v>
      </c>
      <c r="Q30" s="611">
        <v>0</v>
      </c>
      <c r="R30" s="611">
        <v>60.761806133767948</v>
      </c>
      <c r="S30" s="611">
        <v>0</v>
      </c>
      <c r="T30" s="611">
        <v>0</v>
      </c>
      <c r="U30" s="619">
        <v>80.831624936183488</v>
      </c>
      <c r="V30" s="51"/>
    </row>
    <row r="31" spans="3:22" x14ac:dyDescent="0.25">
      <c r="C31" s="618" t="s">
        <v>76</v>
      </c>
      <c r="D31" s="611">
        <v>0</v>
      </c>
      <c r="E31" s="611">
        <v>0</v>
      </c>
      <c r="F31" s="611">
        <v>0</v>
      </c>
      <c r="G31" s="611">
        <v>0</v>
      </c>
      <c r="H31" s="611">
        <v>2.391047448048301</v>
      </c>
      <c r="I31" s="611">
        <v>0</v>
      </c>
      <c r="J31" s="611">
        <v>0</v>
      </c>
      <c r="K31" s="611">
        <v>0</v>
      </c>
      <c r="L31" s="611">
        <v>0</v>
      </c>
      <c r="M31" s="611">
        <v>0</v>
      </c>
      <c r="N31" s="611">
        <v>0</v>
      </c>
      <c r="O31" s="611">
        <v>0.88436001503156347</v>
      </c>
      <c r="P31" s="611">
        <v>0</v>
      </c>
      <c r="Q31" s="611">
        <v>0</v>
      </c>
      <c r="R31" s="611">
        <v>51.987762134190696</v>
      </c>
      <c r="S31" s="611">
        <v>5.9019765628136174</v>
      </c>
      <c r="T31" s="611">
        <v>0</v>
      </c>
      <c r="U31" s="619">
        <v>61.165146160084177</v>
      </c>
      <c r="V31" s="51"/>
    </row>
    <row r="32" spans="3:22" x14ac:dyDescent="0.25">
      <c r="C32" s="614" t="s">
        <v>77</v>
      </c>
      <c r="D32" s="615">
        <v>11.341361328125</v>
      </c>
      <c r="E32" s="615">
        <v>323.4981579468477</v>
      </c>
      <c r="F32" s="615">
        <v>-304.28318665612187</v>
      </c>
      <c r="G32" s="615">
        <v>-7.5393332523643162</v>
      </c>
      <c r="H32" s="615">
        <v>53.459162594197252</v>
      </c>
      <c r="I32" s="615">
        <v>-2.1621292756423931</v>
      </c>
      <c r="J32" s="615">
        <v>1142.8003999999999</v>
      </c>
      <c r="K32" s="615">
        <v>315.61624303705946</v>
      </c>
      <c r="L32" s="615">
        <v>371.39184660893159</v>
      </c>
      <c r="M32" s="615">
        <v>15.849382290300714</v>
      </c>
      <c r="N32" s="615">
        <v>-85.454765317367901</v>
      </c>
      <c r="O32" s="615">
        <v>-61.616951896156763</v>
      </c>
      <c r="P32" s="615">
        <v>0</v>
      </c>
      <c r="Q32" s="615">
        <v>14.411080235988393</v>
      </c>
      <c r="R32" s="615">
        <v>-584.82967435222236</v>
      </c>
      <c r="S32" s="615">
        <v>-70.203768411273884</v>
      </c>
      <c r="T32" s="615">
        <v>-27.266056380397529</v>
      </c>
      <c r="U32" s="615">
        <v>1047.7678217586824</v>
      </c>
      <c r="V32" s="51"/>
    </row>
    <row r="33" spans="3:22" x14ac:dyDescent="0.25">
      <c r="C33" s="616"/>
      <c r="D33" s="617"/>
      <c r="E33" s="617"/>
      <c r="F33" s="617"/>
      <c r="G33" s="617"/>
      <c r="H33" s="623"/>
      <c r="I33" s="617"/>
      <c r="J33" s="617"/>
      <c r="K33" s="617"/>
      <c r="L33" s="617"/>
      <c r="M33" s="617"/>
      <c r="N33" s="617"/>
      <c r="O33" s="617"/>
      <c r="P33" s="617"/>
      <c r="Q33" s="617"/>
      <c r="R33" s="617"/>
      <c r="S33" s="617"/>
      <c r="T33" s="617"/>
      <c r="U33" s="617"/>
      <c r="V33" s="51"/>
    </row>
    <row r="34" spans="3:22" x14ac:dyDescent="0.25">
      <c r="C34" s="618" t="s">
        <v>78</v>
      </c>
      <c r="D34" s="611">
        <v>3.6562282006850468</v>
      </c>
      <c r="E34" s="611">
        <v>0</v>
      </c>
      <c r="F34" s="611">
        <v>9.7376785306283384</v>
      </c>
      <c r="G34" s="611">
        <v>0</v>
      </c>
      <c r="H34" s="611">
        <v>61.385022781931873</v>
      </c>
      <c r="I34" s="611">
        <v>0</v>
      </c>
      <c r="J34" s="611">
        <v>0</v>
      </c>
      <c r="K34" s="611">
        <v>0</v>
      </c>
      <c r="L34" s="611">
        <v>21.686124483212218</v>
      </c>
      <c r="M34" s="611">
        <v>7.1035846364336246</v>
      </c>
      <c r="N34" s="611">
        <v>1.1432225445669904</v>
      </c>
      <c r="O34" s="611">
        <v>22.738015311990583</v>
      </c>
      <c r="P34" s="611">
        <v>9.2526142578124997</v>
      </c>
      <c r="Q34" s="611">
        <v>6.9244826847420892E-4</v>
      </c>
      <c r="R34" s="611">
        <v>162.27713271483609</v>
      </c>
      <c r="S34" s="611">
        <v>19.928077987492124</v>
      </c>
      <c r="T34" s="611">
        <v>7.1014345703124997</v>
      </c>
      <c r="U34" s="619">
        <v>326.00982846817038</v>
      </c>
      <c r="V34" s="51"/>
    </row>
    <row r="35" spans="3:22" x14ac:dyDescent="0.25">
      <c r="C35" s="618" t="s">
        <v>79</v>
      </c>
      <c r="D35" s="611">
        <v>0</v>
      </c>
      <c r="E35" s="611">
        <v>0</v>
      </c>
      <c r="F35" s="611">
        <v>192.91287296266353</v>
      </c>
      <c r="G35" s="611">
        <v>0.64331320573206352</v>
      </c>
      <c r="H35" s="611">
        <v>5.6449684818952051</v>
      </c>
      <c r="I35" s="611">
        <v>0</v>
      </c>
      <c r="J35" s="611">
        <v>0</v>
      </c>
      <c r="K35" s="611">
        <v>0</v>
      </c>
      <c r="L35" s="611">
        <v>0</v>
      </c>
      <c r="M35" s="611">
        <v>0</v>
      </c>
      <c r="N35" s="611">
        <v>55.124968461757305</v>
      </c>
      <c r="O35" s="611">
        <v>2.0878650549475419</v>
      </c>
      <c r="P35" s="611">
        <v>0</v>
      </c>
      <c r="Q35" s="611">
        <v>0</v>
      </c>
      <c r="R35" s="611">
        <v>62.922987609450331</v>
      </c>
      <c r="S35" s="611">
        <v>0</v>
      </c>
      <c r="T35" s="611">
        <v>2.568426650221276</v>
      </c>
      <c r="U35" s="619">
        <v>321.90540242666725</v>
      </c>
      <c r="V35" s="51"/>
    </row>
    <row r="36" spans="3:22" x14ac:dyDescent="0.25">
      <c r="C36" s="618" t="s">
        <v>80</v>
      </c>
      <c r="D36" s="611">
        <v>0</v>
      </c>
      <c r="E36" s="611">
        <v>0</v>
      </c>
      <c r="F36" s="611">
        <v>3.0588151633352934</v>
      </c>
      <c r="G36" s="611">
        <v>0</v>
      </c>
      <c r="H36" s="611">
        <v>50.240683773925028</v>
      </c>
      <c r="I36" s="611">
        <v>0</v>
      </c>
      <c r="J36" s="611">
        <v>0</v>
      </c>
      <c r="K36" s="611">
        <v>0</v>
      </c>
      <c r="L36" s="611">
        <v>46.022040679103164</v>
      </c>
      <c r="M36" s="611">
        <v>0</v>
      </c>
      <c r="N36" s="611">
        <v>0</v>
      </c>
      <c r="O36" s="611">
        <v>18.582170710903778</v>
      </c>
      <c r="P36" s="611">
        <v>77.360476183086249</v>
      </c>
      <c r="Q36" s="611">
        <v>2.3434458557967961</v>
      </c>
      <c r="R36" s="611">
        <v>157.44250001464576</v>
      </c>
      <c r="S36" s="611">
        <v>32.016533802555671</v>
      </c>
      <c r="T36" s="611">
        <v>0</v>
      </c>
      <c r="U36" s="619">
        <v>387.06666618335174</v>
      </c>
      <c r="V36" s="51"/>
    </row>
    <row r="37" spans="3:22" x14ac:dyDescent="0.25">
      <c r="C37" s="618" t="s">
        <v>81</v>
      </c>
      <c r="D37" s="611">
        <v>0</v>
      </c>
      <c r="E37" s="611">
        <v>0</v>
      </c>
      <c r="F37" s="611">
        <v>2.0801741944522929</v>
      </c>
      <c r="G37" s="611">
        <v>0</v>
      </c>
      <c r="H37" s="611">
        <v>30.779647697603366</v>
      </c>
      <c r="I37" s="611">
        <v>0</v>
      </c>
      <c r="J37" s="611">
        <v>0</v>
      </c>
      <c r="K37" s="611">
        <v>0</v>
      </c>
      <c r="L37" s="611">
        <v>0.59</v>
      </c>
      <c r="M37" s="611">
        <v>0</v>
      </c>
      <c r="N37" s="611">
        <v>0</v>
      </c>
      <c r="O37" s="611">
        <v>11.384253258017685</v>
      </c>
      <c r="P37" s="611">
        <v>40.066741522569053</v>
      </c>
      <c r="Q37" s="611">
        <v>2.9715949878275159</v>
      </c>
      <c r="R37" s="611">
        <v>115.62003773225165</v>
      </c>
      <c r="S37" s="611">
        <v>18.259156621226083</v>
      </c>
      <c r="T37" s="611">
        <v>0</v>
      </c>
      <c r="U37" s="619">
        <v>221.75160601394765</v>
      </c>
      <c r="V37" s="51"/>
    </row>
    <row r="38" spans="3:22" x14ac:dyDescent="0.25">
      <c r="C38" s="618" t="s">
        <v>82</v>
      </c>
      <c r="D38" s="611">
        <v>0</v>
      </c>
      <c r="E38" s="611">
        <v>0</v>
      </c>
      <c r="F38" s="611">
        <v>22.031278980564299</v>
      </c>
      <c r="G38" s="611">
        <v>0</v>
      </c>
      <c r="H38" s="611">
        <v>1.3927446480494259</v>
      </c>
      <c r="I38" s="611">
        <v>0</v>
      </c>
      <c r="J38" s="611">
        <v>0</v>
      </c>
      <c r="K38" s="611">
        <v>0</v>
      </c>
      <c r="L38" s="611">
        <v>2.5</v>
      </c>
      <c r="M38" s="611">
        <v>0</v>
      </c>
      <c r="N38" s="611">
        <v>9.0259587205805474</v>
      </c>
      <c r="O38" s="611">
        <v>0.51512473284019866</v>
      </c>
      <c r="P38" s="611">
        <v>0.75</v>
      </c>
      <c r="Q38" s="611">
        <v>0.96290247555165809</v>
      </c>
      <c r="R38" s="611">
        <v>7.0294917682226847</v>
      </c>
      <c r="S38" s="611">
        <v>0</v>
      </c>
      <c r="T38" s="611">
        <v>0.34940873791150007</v>
      </c>
      <c r="U38" s="619">
        <v>44.556910063720316</v>
      </c>
      <c r="V38" s="51"/>
    </row>
    <row r="39" spans="3:22" x14ac:dyDescent="0.25">
      <c r="C39" s="618" t="s">
        <v>354</v>
      </c>
      <c r="D39" s="611">
        <v>0</v>
      </c>
      <c r="E39" s="611">
        <v>0</v>
      </c>
      <c r="F39" s="611">
        <v>0</v>
      </c>
      <c r="G39" s="611">
        <v>0</v>
      </c>
      <c r="H39" s="611">
        <v>0</v>
      </c>
      <c r="I39" s="611">
        <v>0</v>
      </c>
      <c r="J39" s="611">
        <v>0</v>
      </c>
      <c r="K39" s="611">
        <v>0</v>
      </c>
      <c r="L39" s="611">
        <v>0</v>
      </c>
      <c r="M39" s="611">
        <v>0</v>
      </c>
      <c r="N39" s="611">
        <v>0</v>
      </c>
      <c r="O39" s="611">
        <v>0</v>
      </c>
      <c r="P39" s="611">
        <v>0</v>
      </c>
      <c r="Q39" s="611">
        <v>0</v>
      </c>
      <c r="R39" s="611">
        <v>0.76160000000000005</v>
      </c>
      <c r="S39" s="611">
        <v>0</v>
      </c>
      <c r="T39" s="611">
        <v>0</v>
      </c>
      <c r="U39" s="619">
        <v>0.76160000000000005</v>
      </c>
      <c r="V39" s="51"/>
    </row>
    <row r="40" spans="3:22" x14ac:dyDescent="0.25">
      <c r="C40" s="614" t="s">
        <v>83</v>
      </c>
      <c r="D40" s="615">
        <v>3.6562282006850468</v>
      </c>
      <c r="E40" s="615">
        <v>0</v>
      </c>
      <c r="F40" s="615">
        <v>229.82081983164375</v>
      </c>
      <c r="G40" s="615">
        <v>0.64331320573206352</v>
      </c>
      <c r="H40" s="615">
        <v>149.44306738340487</v>
      </c>
      <c r="I40" s="615">
        <v>0</v>
      </c>
      <c r="J40" s="615">
        <v>0</v>
      </c>
      <c r="K40" s="615">
        <v>0</v>
      </c>
      <c r="L40" s="615">
        <v>70.798165162315385</v>
      </c>
      <c r="M40" s="615">
        <v>7.1035846364336246</v>
      </c>
      <c r="N40" s="615">
        <v>65.294149726904834</v>
      </c>
      <c r="O40" s="615">
        <v>55.30742906869979</v>
      </c>
      <c r="P40" s="615">
        <v>127.42983196346779</v>
      </c>
      <c r="Q40" s="615">
        <v>6.2786357674444444</v>
      </c>
      <c r="R40" s="615">
        <v>506.05374983940646</v>
      </c>
      <c r="S40" s="615">
        <v>70.20376841127387</v>
      </c>
      <c r="T40" s="615">
        <v>10.019269958445275</v>
      </c>
      <c r="U40" s="615">
        <v>1302.0520131558574</v>
      </c>
      <c r="V40" s="51"/>
    </row>
    <row r="41" spans="3:22" x14ac:dyDescent="0.25">
      <c r="C41" s="610" t="s">
        <v>84</v>
      </c>
      <c r="D41" s="611">
        <v>0</v>
      </c>
      <c r="E41" s="611">
        <v>0</v>
      </c>
      <c r="F41" s="611">
        <v>104.6693916418363</v>
      </c>
      <c r="G41" s="611">
        <v>1.7600954722087971</v>
      </c>
      <c r="H41" s="611">
        <v>11.111186214134182</v>
      </c>
      <c r="I41" s="611">
        <v>0</v>
      </c>
      <c r="J41" s="611">
        <v>0</v>
      </c>
      <c r="K41" s="611">
        <v>0</v>
      </c>
      <c r="L41" s="611">
        <v>0.224904130238229</v>
      </c>
      <c r="M41" s="611">
        <v>0</v>
      </c>
      <c r="N41" s="611">
        <v>14.54242018932838</v>
      </c>
      <c r="O41" s="611">
        <v>4.7506049603028071</v>
      </c>
      <c r="P41" s="611">
        <v>0</v>
      </c>
      <c r="Q41" s="611">
        <v>0</v>
      </c>
      <c r="R41" s="611">
        <v>0</v>
      </c>
      <c r="S41" s="611">
        <v>0</v>
      </c>
      <c r="T41" s="611">
        <v>16.030988088411341</v>
      </c>
      <c r="U41" s="619">
        <v>153.08959069646002</v>
      </c>
      <c r="V41" s="51"/>
    </row>
    <row r="42" spans="3:22" x14ac:dyDescent="0.25">
      <c r="C42" s="614" t="s">
        <v>85</v>
      </c>
      <c r="D42" s="615">
        <v>3.6562282006850468</v>
      </c>
      <c r="E42" s="615">
        <v>0</v>
      </c>
      <c r="F42" s="615">
        <v>334.49021147348003</v>
      </c>
      <c r="G42" s="615">
        <v>2.4034086779408605</v>
      </c>
      <c r="H42" s="615">
        <v>160.55425359753906</v>
      </c>
      <c r="I42" s="615">
        <v>0</v>
      </c>
      <c r="J42" s="615">
        <v>0</v>
      </c>
      <c r="K42" s="615">
        <v>0</v>
      </c>
      <c r="L42" s="615">
        <v>71.023069292553615</v>
      </c>
      <c r="M42" s="615">
        <v>7.1035846364336246</v>
      </c>
      <c r="N42" s="615">
        <v>79.836569916233216</v>
      </c>
      <c r="O42" s="615">
        <v>60.058034029002599</v>
      </c>
      <c r="P42" s="615">
        <v>127.42983196346779</v>
      </c>
      <c r="Q42" s="615">
        <v>6.2786357674444444</v>
      </c>
      <c r="R42" s="615">
        <v>506.05374983940646</v>
      </c>
      <c r="S42" s="615">
        <v>70.20376841127387</v>
      </c>
      <c r="T42" s="615">
        <v>26.050258046856616</v>
      </c>
      <c r="U42" s="615">
        <v>1455.1416038523173</v>
      </c>
      <c r="V42" s="51"/>
    </row>
    <row r="43" spans="3:22" x14ac:dyDescent="0.25">
      <c r="C43" s="51"/>
      <c r="D43" s="67">
        <v>0</v>
      </c>
      <c r="E43" s="67">
        <v>0</v>
      </c>
      <c r="F43" s="67">
        <v>0</v>
      </c>
      <c r="G43" s="67">
        <v>0</v>
      </c>
      <c r="H43" s="67">
        <v>0</v>
      </c>
      <c r="I43" s="67">
        <v>0</v>
      </c>
      <c r="J43" s="67">
        <v>0</v>
      </c>
      <c r="K43" s="67">
        <v>0</v>
      </c>
      <c r="L43" s="67">
        <v>0</v>
      </c>
      <c r="M43" s="67">
        <v>-4.6787954190463665E-4</v>
      </c>
      <c r="N43" s="67">
        <v>0</v>
      </c>
      <c r="O43" s="67">
        <v>-3.1086244689504383E-15</v>
      </c>
      <c r="P43" s="67">
        <v>0</v>
      </c>
      <c r="Q43" s="67">
        <v>0</v>
      </c>
      <c r="R43" s="67">
        <v>0</v>
      </c>
      <c r="S43" s="67">
        <v>-1.4210854715202004E-14</v>
      </c>
      <c r="T43" s="67">
        <v>1.7763568394002505E-15</v>
      </c>
      <c r="U43" s="67">
        <v>-4.6787954170213197E-4</v>
      </c>
      <c r="V43" s="51"/>
    </row>
    <row r="44" spans="3:22" x14ac:dyDescent="0.25">
      <c r="C44" s="51"/>
      <c r="D44" s="51"/>
      <c r="E44" s="51"/>
      <c r="F44" s="51"/>
      <c r="G44" s="67"/>
      <c r="H44" s="51"/>
      <c r="I44" s="51"/>
      <c r="J44" s="51"/>
      <c r="K44" s="51"/>
      <c r="L44" s="51"/>
      <c r="M44" s="51"/>
      <c r="N44" s="51"/>
      <c r="O44" s="51"/>
      <c r="P44" s="51"/>
      <c r="Q44" s="51"/>
      <c r="R44" s="51"/>
      <c r="S44" s="51"/>
      <c r="T44" s="51"/>
      <c r="U44" s="51"/>
      <c r="V44" s="51"/>
    </row>
    <row r="45" spans="3:22" x14ac:dyDescent="0.25">
      <c r="C45" s="607" t="s">
        <v>359</v>
      </c>
      <c r="D45" s="606"/>
      <c r="E45" s="606"/>
      <c r="F45" s="606"/>
      <c r="G45" s="682"/>
      <c r="H45" s="606"/>
      <c r="I45" s="606"/>
      <c r="J45" s="606"/>
      <c r="K45" s="606"/>
      <c r="L45" s="606"/>
      <c r="M45" s="606"/>
      <c r="N45" s="606"/>
      <c r="O45" s="606"/>
      <c r="P45" s="606"/>
      <c r="Q45" s="606"/>
      <c r="R45" s="606"/>
      <c r="S45" s="606"/>
      <c r="T45" s="606"/>
      <c r="U45" s="606"/>
      <c r="V45" s="606"/>
    </row>
    <row r="46" spans="3:22" x14ac:dyDescent="0.25">
      <c r="C46" s="51"/>
      <c r="D46" s="51"/>
      <c r="E46" s="51"/>
      <c r="F46" s="51"/>
      <c r="G46" s="67"/>
      <c r="H46" s="51"/>
      <c r="I46" s="51"/>
      <c r="J46" s="51"/>
      <c r="K46" s="51"/>
      <c r="L46" s="51"/>
      <c r="M46" s="51"/>
      <c r="N46" s="51"/>
      <c r="O46" s="51"/>
      <c r="P46" s="51"/>
      <c r="Q46" s="51"/>
      <c r="R46" s="51"/>
      <c r="S46" s="51"/>
      <c r="T46" s="51"/>
      <c r="U46" s="51"/>
      <c r="V46" s="51"/>
    </row>
    <row r="47" spans="3:22" x14ac:dyDescent="0.25">
      <c r="C47" s="764" t="s">
        <v>128</v>
      </c>
      <c r="D47" s="753" t="s">
        <v>42</v>
      </c>
      <c r="E47" s="753" t="s">
        <v>52</v>
      </c>
      <c r="F47" s="753" t="s">
        <v>53</v>
      </c>
      <c r="G47" s="766" t="s">
        <v>482</v>
      </c>
      <c r="H47" s="753" t="s">
        <v>32</v>
      </c>
      <c r="I47" s="753" t="s">
        <v>483</v>
      </c>
      <c r="J47" s="753" t="s">
        <v>20</v>
      </c>
      <c r="K47" s="753" t="s">
        <v>55</v>
      </c>
      <c r="L47" s="761" t="s">
        <v>56</v>
      </c>
      <c r="M47" s="762"/>
      <c r="N47" s="762"/>
      <c r="O47" s="762"/>
      <c r="P47" s="762"/>
      <c r="Q47" s="763"/>
      <c r="R47" s="753" t="s">
        <v>57</v>
      </c>
      <c r="S47" s="753" t="s">
        <v>58</v>
      </c>
      <c r="T47" s="753" t="s">
        <v>31</v>
      </c>
      <c r="U47" s="753" t="s">
        <v>10</v>
      </c>
      <c r="V47" s="51"/>
    </row>
    <row r="48" spans="3:22" ht="36" x14ac:dyDescent="0.25">
      <c r="C48" s="765"/>
      <c r="D48" s="754"/>
      <c r="E48" s="754"/>
      <c r="F48" s="754"/>
      <c r="G48" s="767"/>
      <c r="H48" s="754"/>
      <c r="I48" s="754"/>
      <c r="J48" s="754"/>
      <c r="K48" s="754"/>
      <c r="L48" s="608" t="s">
        <v>335</v>
      </c>
      <c r="M48" s="608" t="s">
        <v>40</v>
      </c>
      <c r="N48" s="608" t="s">
        <v>343</v>
      </c>
      <c r="O48" s="608" t="s">
        <v>344</v>
      </c>
      <c r="P48" s="609" t="s">
        <v>345</v>
      </c>
      <c r="Q48" s="608" t="s">
        <v>346</v>
      </c>
      <c r="R48" s="754"/>
      <c r="S48" s="754"/>
      <c r="T48" s="754"/>
      <c r="U48" s="754"/>
      <c r="V48" s="51"/>
    </row>
    <row r="49" spans="3:22" x14ac:dyDescent="0.25">
      <c r="C49" s="610" t="s">
        <v>59</v>
      </c>
      <c r="D49" s="611">
        <v>0</v>
      </c>
      <c r="E49" s="611">
        <v>2.3260000000000005</v>
      </c>
      <c r="F49" s="611">
        <v>0</v>
      </c>
      <c r="G49" s="611">
        <v>0</v>
      </c>
      <c r="H49" s="611">
        <v>3.7216000000000006E-2</v>
      </c>
      <c r="I49" s="611">
        <v>0</v>
      </c>
      <c r="J49" s="612">
        <v>1162.199818181818</v>
      </c>
      <c r="K49" s="612">
        <v>371.91258763455278</v>
      </c>
      <c r="L49" s="612">
        <v>428.31581499702253</v>
      </c>
      <c r="M49" s="612">
        <v>21.832470141682652</v>
      </c>
      <c r="N49" s="611">
        <v>1.5522078310841105</v>
      </c>
      <c r="O49" s="611">
        <v>0.16457898409976487</v>
      </c>
      <c r="P49" s="612">
        <v>148.71329626041282</v>
      </c>
      <c r="Q49" s="612">
        <v>22.497992115953615</v>
      </c>
      <c r="R49" s="611">
        <v>0</v>
      </c>
      <c r="S49" s="611">
        <v>0</v>
      </c>
      <c r="T49" s="611">
        <v>0</v>
      </c>
      <c r="U49" s="613">
        <v>2159.5519821466264</v>
      </c>
      <c r="V49" s="51"/>
    </row>
    <row r="50" spans="3:22" x14ac:dyDescent="0.25">
      <c r="C50" s="610" t="s">
        <v>60</v>
      </c>
      <c r="D50" s="611">
        <v>14.018688039101649</v>
      </c>
      <c r="E50" s="611">
        <v>270.8879796629484</v>
      </c>
      <c r="F50" s="611">
        <v>26.29831217515342</v>
      </c>
      <c r="G50" s="611">
        <v>0</v>
      </c>
      <c r="H50" s="611">
        <v>132.82105117150289</v>
      </c>
      <c r="I50" s="611">
        <v>0</v>
      </c>
      <c r="J50" s="611">
        <v>0</v>
      </c>
      <c r="K50" s="611">
        <v>0</v>
      </c>
      <c r="L50" s="611">
        <v>3.8185483520995893</v>
      </c>
      <c r="M50" s="611">
        <v>0</v>
      </c>
      <c r="N50" s="611">
        <v>5.0715995071493687</v>
      </c>
      <c r="O50" s="611">
        <v>0</v>
      </c>
      <c r="P50" s="611">
        <v>0</v>
      </c>
      <c r="Q50" s="611">
        <v>0</v>
      </c>
      <c r="R50" s="611">
        <v>0</v>
      </c>
      <c r="S50" s="611">
        <v>0</v>
      </c>
      <c r="T50" s="611">
        <v>0</v>
      </c>
      <c r="U50" s="613">
        <v>452.91617890795533</v>
      </c>
      <c r="V50" s="51"/>
    </row>
    <row r="51" spans="3:22" x14ac:dyDescent="0.25">
      <c r="C51" s="610" t="s">
        <v>61</v>
      </c>
      <c r="D51" s="611">
        <v>0</v>
      </c>
      <c r="E51" s="611">
        <v>0</v>
      </c>
      <c r="F51" s="611">
        <v>3.1635560327380432</v>
      </c>
      <c r="G51" s="611">
        <v>-0.85627443515198287</v>
      </c>
      <c r="H51" s="611">
        <v>0</v>
      </c>
      <c r="I51" s="611">
        <v>0</v>
      </c>
      <c r="J51" s="611">
        <v>0</v>
      </c>
      <c r="K51" s="611">
        <v>0</v>
      </c>
      <c r="L51" s="611">
        <v>0</v>
      </c>
      <c r="M51" s="611">
        <v>0</v>
      </c>
      <c r="N51" s="611">
        <v>0</v>
      </c>
      <c r="O51" s="611">
        <v>0</v>
      </c>
      <c r="P51" s="611">
        <v>0</v>
      </c>
      <c r="Q51" s="611">
        <v>0</v>
      </c>
      <c r="R51" s="611">
        <v>-59.544479832357297</v>
      </c>
      <c r="S51" s="611">
        <v>0</v>
      </c>
      <c r="T51" s="611">
        <v>0</v>
      </c>
      <c r="U51" s="613">
        <v>-57.237198234771235</v>
      </c>
      <c r="V51" s="51"/>
    </row>
    <row r="52" spans="3:22" x14ac:dyDescent="0.25">
      <c r="C52" s="610" t="s">
        <v>62</v>
      </c>
      <c r="D52" s="611">
        <v>0</v>
      </c>
      <c r="E52" s="611">
        <v>0</v>
      </c>
      <c r="F52" s="611">
        <v>-6.7125205563218922</v>
      </c>
      <c r="G52" s="611">
        <v>-3.2950395543749584</v>
      </c>
      <c r="H52" s="611">
        <v>-0.49987622776591634</v>
      </c>
      <c r="I52" s="611">
        <v>-2.9890617212740871</v>
      </c>
      <c r="J52" s="611">
        <v>0</v>
      </c>
      <c r="K52" s="611">
        <v>0</v>
      </c>
      <c r="L52" s="611">
        <v>0</v>
      </c>
      <c r="M52" s="611">
        <v>0</v>
      </c>
      <c r="N52" s="611">
        <v>-1.2700508300617339</v>
      </c>
      <c r="O52" s="611">
        <v>-2.1176768711242038</v>
      </c>
      <c r="P52" s="611">
        <v>0</v>
      </c>
      <c r="Q52" s="611">
        <v>0</v>
      </c>
      <c r="R52" s="611">
        <v>0</v>
      </c>
      <c r="S52" s="611">
        <v>0</v>
      </c>
      <c r="T52" s="611">
        <v>-0.96281875223876434</v>
      </c>
      <c r="U52" s="613">
        <v>-17.847044513161556</v>
      </c>
      <c r="V52" s="51"/>
    </row>
    <row r="53" spans="3:22" x14ac:dyDescent="0.25">
      <c r="C53" s="610" t="s">
        <v>63</v>
      </c>
      <c r="D53" s="611">
        <v>0</v>
      </c>
      <c r="E53" s="611">
        <v>0</v>
      </c>
      <c r="F53" s="611">
        <v>-45.424019815542103</v>
      </c>
      <c r="G53" s="611">
        <v>-6.3379784988277912</v>
      </c>
      <c r="H53" s="611">
        <v>0</v>
      </c>
      <c r="I53" s="611">
        <v>0</v>
      </c>
      <c r="J53" s="611">
        <v>0</v>
      </c>
      <c r="K53" s="611">
        <v>0</v>
      </c>
      <c r="L53" s="611">
        <v>0</v>
      </c>
      <c r="M53" s="611">
        <v>0</v>
      </c>
      <c r="N53" s="611">
        <v>-13.31780034386745</v>
      </c>
      <c r="O53" s="611">
        <v>0</v>
      </c>
      <c r="P53" s="611">
        <v>0</v>
      </c>
      <c r="Q53" s="611">
        <v>0</v>
      </c>
      <c r="R53" s="611">
        <v>0</v>
      </c>
      <c r="S53" s="611">
        <v>0</v>
      </c>
      <c r="T53" s="611">
        <v>-1.794651350884874</v>
      </c>
      <c r="U53" s="613">
        <v>-66.874450009122214</v>
      </c>
      <c r="V53" s="51"/>
    </row>
    <row r="54" spans="3:22" x14ac:dyDescent="0.25">
      <c r="C54" s="610" t="s">
        <v>64</v>
      </c>
      <c r="D54" s="611">
        <v>0</v>
      </c>
      <c r="E54" s="611">
        <v>0</v>
      </c>
      <c r="F54" s="611">
        <v>0</v>
      </c>
      <c r="G54" s="611">
        <v>0</v>
      </c>
      <c r="H54" s="611">
        <v>0</v>
      </c>
      <c r="I54" s="611">
        <v>0</v>
      </c>
      <c r="J54" s="611">
        <v>0</v>
      </c>
      <c r="K54" s="611">
        <v>0</v>
      </c>
      <c r="L54" s="611">
        <v>0</v>
      </c>
      <c r="M54" s="611">
        <v>0</v>
      </c>
      <c r="N54" s="611">
        <v>0</v>
      </c>
      <c r="O54" s="611">
        <v>0</v>
      </c>
      <c r="P54" s="611">
        <v>0</v>
      </c>
      <c r="Q54" s="611">
        <v>0</v>
      </c>
      <c r="R54" s="611">
        <v>0</v>
      </c>
      <c r="S54" s="611">
        <v>0</v>
      </c>
      <c r="T54" s="611">
        <v>0</v>
      </c>
      <c r="U54" s="613">
        <v>0</v>
      </c>
      <c r="V54" s="51"/>
    </row>
    <row r="55" spans="3:22" x14ac:dyDescent="0.25">
      <c r="C55" s="614" t="s">
        <v>65</v>
      </c>
      <c r="D55" s="615">
        <v>14.018688039101649</v>
      </c>
      <c r="E55" s="615">
        <v>273.21397966294842</v>
      </c>
      <c r="F55" s="615">
        <v>-22.674672163972531</v>
      </c>
      <c r="G55" s="615">
        <v>-10.489292488354732</v>
      </c>
      <c r="H55" s="615">
        <v>132.35839094373696</v>
      </c>
      <c r="I55" s="615">
        <v>-2.9890617212740871</v>
      </c>
      <c r="J55" s="615">
        <v>1162.199818181818</v>
      </c>
      <c r="K55" s="615">
        <v>371.91258763455278</v>
      </c>
      <c r="L55" s="615">
        <v>432.13436334912211</v>
      </c>
      <c r="M55" s="615">
        <v>21.832470141682652</v>
      </c>
      <c r="N55" s="615">
        <v>-7.9640438356957048</v>
      </c>
      <c r="O55" s="615">
        <v>-1.9530978870244389</v>
      </c>
      <c r="P55" s="615">
        <v>148.71329626041282</v>
      </c>
      <c r="Q55" s="615">
        <v>22.497992115953615</v>
      </c>
      <c r="R55" s="615">
        <v>-59.544479832357297</v>
      </c>
      <c r="S55" s="615">
        <v>0</v>
      </c>
      <c r="T55" s="615">
        <v>-2.7574701031236382</v>
      </c>
      <c r="U55" s="615">
        <v>2470.5094682975268</v>
      </c>
      <c r="V55" s="51"/>
    </row>
    <row r="56" spans="3:22" x14ac:dyDescent="0.25">
      <c r="C56" s="616"/>
      <c r="D56" s="617"/>
      <c r="E56" s="617"/>
      <c r="F56" s="617"/>
      <c r="G56" s="617"/>
      <c r="H56" s="623"/>
      <c r="I56" s="617"/>
      <c r="J56" s="617"/>
      <c r="K56" s="617"/>
      <c r="L56" s="617"/>
      <c r="M56" s="617"/>
      <c r="N56" s="617"/>
      <c r="O56" s="617"/>
      <c r="P56" s="617"/>
      <c r="Q56" s="617"/>
      <c r="R56" s="617"/>
      <c r="S56" s="617"/>
      <c r="T56" s="617"/>
      <c r="U56" s="617"/>
      <c r="V56" s="51"/>
    </row>
    <row r="57" spans="3:22" x14ac:dyDescent="0.25">
      <c r="C57" s="618" t="s">
        <v>67</v>
      </c>
      <c r="D57" s="611">
        <v>0</v>
      </c>
      <c r="E57" s="611">
        <v>0</v>
      </c>
      <c r="F57" s="611">
        <v>0</v>
      </c>
      <c r="G57" s="611">
        <v>0</v>
      </c>
      <c r="H57" s="611">
        <v>0</v>
      </c>
      <c r="I57" s="611">
        <v>0</v>
      </c>
      <c r="J57" s="611">
        <v>0</v>
      </c>
      <c r="K57" s="611">
        <v>0</v>
      </c>
      <c r="L57" s="611">
        <v>0</v>
      </c>
      <c r="M57" s="611">
        <v>0</v>
      </c>
      <c r="N57" s="611">
        <v>0</v>
      </c>
      <c r="O57" s="611">
        <v>0</v>
      </c>
      <c r="P57" s="611">
        <v>0</v>
      </c>
      <c r="Q57" s="611">
        <v>0</v>
      </c>
      <c r="R57" s="611">
        <v>0</v>
      </c>
      <c r="S57" s="611">
        <v>0</v>
      </c>
      <c r="T57" s="611">
        <v>0</v>
      </c>
      <c r="U57" s="619">
        <v>0</v>
      </c>
      <c r="V57" s="51"/>
    </row>
    <row r="58" spans="3:22" x14ac:dyDescent="0.25">
      <c r="C58" s="618" t="s">
        <v>347</v>
      </c>
      <c r="D58" s="611">
        <v>0</v>
      </c>
      <c r="E58" s="611">
        <v>0</v>
      </c>
      <c r="F58" s="611">
        <v>0.36057808628354604</v>
      </c>
      <c r="G58" s="611">
        <v>0</v>
      </c>
      <c r="H58" s="611">
        <v>11.85720957473684</v>
      </c>
      <c r="I58" s="611">
        <v>0</v>
      </c>
      <c r="J58" s="611">
        <v>1162.199818181818</v>
      </c>
      <c r="K58" s="611">
        <v>371.91258763455278</v>
      </c>
      <c r="L58" s="611">
        <v>23.35467673808137</v>
      </c>
      <c r="M58" s="611">
        <v>0.6051195632921027</v>
      </c>
      <c r="N58" s="611">
        <v>5.3878161949008447</v>
      </c>
      <c r="O58" s="611">
        <v>7.0773268475558293</v>
      </c>
      <c r="P58" s="611">
        <v>0</v>
      </c>
      <c r="Q58" s="611">
        <v>4.9774137725284184</v>
      </c>
      <c r="R58" s="611">
        <v>-809.82615158881902</v>
      </c>
      <c r="S58" s="611">
        <v>0</v>
      </c>
      <c r="T58" s="611">
        <v>2.2153139999999998</v>
      </c>
      <c r="U58" s="619">
        <v>780.12170900493118</v>
      </c>
      <c r="V58" s="51"/>
    </row>
    <row r="59" spans="3:22" x14ac:dyDescent="0.25">
      <c r="C59" s="618" t="s">
        <v>348</v>
      </c>
      <c r="D59" s="611">
        <v>0</v>
      </c>
      <c r="E59" s="611">
        <v>0</v>
      </c>
      <c r="F59" s="611">
        <v>0</v>
      </c>
      <c r="G59" s="611">
        <v>0</v>
      </c>
      <c r="H59" s="611">
        <v>9.1306644834570143</v>
      </c>
      <c r="I59" s="611">
        <v>0</v>
      </c>
      <c r="J59" s="611">
        <v>0</v>
      </c>
      <c r="K59" s="611">
        <v>0</v>
      </c>
      <c r="L59" s="611">
        <v>35.120993050701685</v>
      </c>
      <c r="M59" s="611">
        <v>14.187122516158354</v>
      </c>
      <c r="N59" s="611">
        <v>0</v>
      </c>
      <c r="O59" s="611">
        <v>5.376679884494675</v>
      </c>
      <c r="P59" s="611">
        <v>0</v>
      </c>
      <c r="Q59" s="611">
        <v>10.750796331510863</v>
      </c>
      <c r="R59" s="611">
        <v>0</v>
      </c>
      <c r="S59" s="611">
        <v>-68.975341890525812</v>
      </c>
      <c r="T59" s="611">
        <v>0</v>
      </c>
      <c r="U59" s="619">
        <v>5.5909143757967854</v>
      </c>
      <c r="V59" s="51"/>
    </row>
    <row r="60" spans="3:22" x14ac:dyDescent="0.25">
      <c r="C60" s="618" t="s">
        <v>349</v>
      </c>
      <c r="D60" s="611">
        <v>0</v>
      </c>
      <c r="E60" s="611">
        <v>0</v>
      </c>
      <c r="F60" s="611">
        <v>0</v>
      </c>
      <c r="G60" s="611">
        <v>0</v>
      </c>
      <c r="H60" s="611">
        <v>0</v>
      </c>
      <c r="I60" s="611">
        <v>0</v>
      </c>
      <c r="J60" s="611">
        <v>0</v>
      </c>
      <c r="K60" s="611">
        <v>0</v>
      </c>
      <c r="L60" s="611">
        <v>90.922618226552515</v>
      </c>
      <c r="M60" s="611">
        <v>0</v>
      </c>
      <c r="N60" s="611">
        <v>0</v>
      </c>
      <c r="O60" s="611">
        <v>-82.66993696120025</v>
      </c>
      <c r="P60" s="611">
        <v>0</v>
      </c>
      <c r="Q60" s="611">
        <v>0</v>
      </c>
      <c r="R60" s="611">
        <v>0</v>
      </c>
      <c r="S60" s="611">
        <v>0</v>
      </c>
      <c r="T60" s="611">
        <v>0</v>
      </c>
      <c r="U60" s="619">
        <v>8.2526812653522654</v>
      </c>
      <c r="V60" s="51"/>
    </row>
    <row r="61" spans="3:22" x14ac:dyDescent="0.25">
      <c r="C61" s="618" t="s">
        <v>350</v>
      </c>
      <c r="D61" s="611">
        <v>0</v>
      </c>
      <c r="E61" s="611">
        <v>0</v>
      </c>
      <c r="F61" s="611">
        <v>0</v>
      </c>
      <c r="G61" s="611">
        <v>0</v>
      </c>
      <c r="H61" s="611">
        <v>0</v>
      </c>
      <c r="I61" s="611">
        <v>-2.9890617212740871</v>
      </c>
      <c r="J61" s="611">
        <v>0</v>
      </c>
      <c r="K61" s="611">
        <v>0</v>
      </c>
      <c r="L61" s="611">
        <v>0</v>
      </c>
      <c r="M61" s="611">
        <v>0</v>
      </c>
      <c r="N61" s="611">
        <v>0</v>
      </c>
      <c r="O61" s="611">
        <v>0</v>
      </c>
      <c r="P61" s="611">
        <v>0</v>
      </c>
      <c r="Q61" s="611">
        <v>0</v>
      </c>
      <c r="R61" s="611">
        <v>0</v>
      </c>
      <c r="S61" s="611">
        <v>0</v>
      </c>
      <c r="T61" s="611">
        <v>4.1514746128806763</v>
      </c>
      <c r="U61" s="619">
        <v>1.1624128916065892</v>
      </c>
      <c r="V61" s="51"/>
    </row>
    <row r="62" spans="3:22" x14ac:dyDescent="0.25">
      <c r="C62" s="618" t="s">
        <v>72</v>
      </c>
      <c r="D62" s="611">
        <v>0</v>
      </c>
      <c r="E62" s="611">
        <v>283.1271683530257</v>
      </c>
      <c r="F62" s="611">
        <v>-280.30617492402195</v>
      </c>
      <c r="G62" s="611">
        <v>0</v>
      </c>
      <c r="H62" s="611">
        <v>0</v>
      </c>
      <c r="I62" s="611">
        <v>0</v>
      </c>
      <c r="J62" s="611">
        <v>0</v>
      </c>
      <c r="K62" s="611">
        <v>0</v>
      </c>
      <c r="L62" s="611">
        <v>0</v>
      </c>
      <c r="M62" s="611">
        <v>0</v>
      </c>
      <c r="N62" s="611">
        <v>0</v>
      </c>
      <c r="O62" s="611">
        <v>0</v>
      </c>
      <c r="P62" s="611">
        <v>0</v>
      </c>
      <c r="Q62" s="611">
        <v>0</v>
      </c>
      <c r="R62" s="611">
        <v>0</v>
      </c>
      <c r="S62" s="611">
        <v>0</v>
      </c>
      <c r="T62" s="611">
        <v>0</v>
      </c>
      <c r="U62" s="619">
        <v>2.8209934290037495</v>
      </c>
      <c r="V62" s="51"/>
    </row>
    <row r="63" spans="3:22" x14ac:dyDescent="0.25">
      <c r="C63" s="618" t="s">
        <v>351</v>
      </c>
      <c r="D63" s="611">
        <v>0</v>
      </c>
      <c r="E63" s="611">
        <v>0</v>
      </c>
      <c r="F63" s="611">
        <v>0</v>
      </c>
      <c r="G63" s="611">
        <v>0</v>
      </c>
      <c r="H63" s="611">
        <v>0</v>
      </c>
      <c r="I63" s="611">
        <v>0</v>
      </c>
      <c r="J63" s="611">
        <v>0</v>
      </c>
      <c r="K63" s="611">
        <v>0</v>
      </c>
      <c r="L63" s="611">
        <v>211.26822673401878</v>
      </c>
      <c r="M63" s="611">
        <v>0</v>
      </c>
      <c r="N63" s="611">
        <v>-116.19752470371033</v>
      </c>
      <c r="O63" s="611">
        <v>0</v>
      </c>
      <c r="P63" s="611">
        <v>0</v>
      </c>
      <c r="Q63" s="611">
        <v>0</v>
      </c>
      <c r="R63" s="611">
        <v>0</v>
      </c>
      <c r="S63" s="611">
        <v>0</v>
      </c>
      <c r="T63" s="611">
        <v>0</v>
      </c>
      <c r="U63" s="619">
        <v>95.070702030308453</v>
      </c>
      <c r="V63" s="51"/>
    </row>
    <row r="64" spans="3:22" x14ac:dyDescent="0.25">
      <c r="C64" s="618" t="s">
        <v>352</v>
      </c>
      <c r="D64" s="611">
        <v>0</v>
      </c>
      <c r="E64" s="611">
        <v>0</v>
      </c>
      <c r="F64" s="611">
        <v>0</v>
      </c>
      <c r="G64" s="611">
        <v>-13.61496514917124</v>
      </c>
      <c r="H64" s="611">
        <v>0</v>
      </c>
      <c r="I64" s="611">
        <v>0</v>
      </c>
      <c r="J64" s="611">
        <v>0</v>
      </c>
      <c r="K64" s="611">
        <v>0</v>
      </c>
      <c r="L64" s="611">
        <v>0</v>
      </c>
      <c r="M64" s="611">
        <v>0</v>
      </c>
      <c r="N64" s="611">
        <v>0</v>
      </c>
      <c r="O64" s="611">
        <v>0</v>
      </c>
      <c r="P64" s="611">
        <v>0</v>
      </c>
      <c r="Q64" s="611">
        <v>0</v>
      </c>
      <c r="R64" s="611">
        <v>0</v>
      </c>
      <c r="S64" s="611">
        <v>0</v>
      </c>
      <c r="T64" s="611">
        <v>17.7682733969807</v>
      </c>
      <c r="U64" s="619">
        <v>4.1533082478094592</v>
      </c>
      <c r="V64" s="51"/>
    </row>
    <row r="65" spans="3:22" x14ac:dyDescent="0.25">
      <c r="C65" s="618" t="s">
        <v>73</v>
      </c>
      <c r="D65" s="611">
        <v>0</v>
      </c>
      <c r="E65" s="611">
        <v>0</v>
      </c>
      <c r="F65" s="611">
        <v>0</v>
      </c>
      <c r="G65" s="611">
        <v>0</v>
      </c>
      <c r="H65" s="611">
        <v>0</v>
      </c>
      <c r="I65" s="611">
        <v>0</v>
      </c>
      <c r="J65" s="611">
        <v>0</v>
      </c>
      <c r="K65" s="611">
        <v>0</v>
      </c>
      <c r="L65" s="611">
        <v>0</v>
      </c>
      <c r="M65" s="611">
        <v>0</v>
      </c>
      <c r="N65" s="611">
        <v>0</v>
      </c>
      <c r="O65" s="611">
        <v>0</v>
      </c>
      <c r="P65" s="611">
        <v>0</v>
      </c>
      <c r="Q65" s="611">
        <v>0</v>
      </c>
      <c r="R65" s="611">
        <v>95.094141088203713</v>
      </c>
      <c r="S65" s="611">
        <v>0</v>
      </c>
      <c r="T65" s="611">
        <v>-64.473827657802119</v>
      </c>
      <c r="U65" s="619">
        <v>30.620313430401595</v>
      </c>
      <c r="V65" s="51"/>
    </row>
    <row r="66" spans="3:22" x14ac:dyDescent="0.25">
      <c r="C66" s="618" t="s">
        <v>353</v>
      </c>
      <c r="D66" s="611">
        <v>7.8269305078124995</v>
      </c>
      <c r="E66" s="611">
        <v>-9.913188690077277</v>
      </c>
      <c r="F66" s="611">
        <v>12.914884415071832</v>
      </c>
      <c r="G66" s="611">
        <v>0</v>
      </c>
      <c r="H66" s="611">
        <v>0</v>
      </c>
      <c r="I66" s="611">
        <v>0</v>
      </c>
      <c r="J66" s="611">
        <v>0</v>
      </c>
      <c r="K66" s="611">
        <v>0</v>
      </c>
      <c r="L66" s="611">
        <v>0</v>
      </c>
      <c r="M66" s="611">
        <v>0</v>
      </c>
      <c r="N66" s="611">
        <v>0</v>
      </c>
      <c r="O66" s="611">
        <v>0</v>
      </c>
      <c r="P66" s="611">
        <v>0</v>
      </c>
      <c r="Q66" s="611">
        <v>0</v>
      </c>
      <c r="R66" s="611">
        <v>0</v>
      </c>
      <c r="S66" s="611">
        <v>0</v>
      </c>
      <c r="T66" s="611">
        <v>0</v>
      </c>
      <c r="U66" s="619">
        <v>10.828626232807053</v>
      </c>
      <c r="V66" s="51"/>
    </row>
    <row r="67" spans="3:22" x14ac:dyDescent="0.25">
      <c r="C67" s="618" t="s">
        <v>75</v>
      </c>
      <c r="D67" s="611">
        <v>3.0438063085937501</v>
      </c>
      <c r="E67" s="611">
        <v>0</v>
      </c>
      <c r="F67" s="611">
        <v>9.7210991282801391</v>
      </c>
      <c r="G67" s="611">
        <v>0</v>
      </c>
      <c r="H67" s="611">
        <v>3.2664120682994437</v>
      </c>
      <c r="I67" s="611">
        <v>0</v>
      </c>
      <c r="J67" s="611">
        <v>0</v>
      </c>
      <c r="K67" s="611">
        <v>0</v>
      </c>
      <c r="L67" s="611">
        <v>0</v>
      </c>
      <c r="M67" s="611">
        <v>0</v>
      </c>
      <c r="N67" s="611">
        <v>0</v>
      </c>
      <c r="O67" s="611">
        <v>1.9850542794488581</v>
      </c>
      <c r="P67" s="611">
        <v>0</v>
      </c>
      <c r="Q67" s="611">
        <v>0</v>
      </c>
      <c r="R67" s="611">
        <v>63.494449496220589</v>
      </c>
      <c r="S67" s="611">
        <v>0</v>
      </c>
      <c r="T67" s="611">
        <v>0</v>
      </c>
      <c r="U67" s="619">
        <v>81.510821280842777</v>
      </c>
      <c r="V67" s="51"/>
    </row>
    <row r="68" spans="3:22" x14ac:dyDescent="0.25">
      <c r="C68" s="618" t="s">
        <v>76</v>
      </c>
      <c r="D68" s="611">
        <v>0</v>
      </c>
      <c r="E68" s="611">
        <v>0</v>
      </c>
      <c r="F68" s="611">
        <v>0</v>
      </c>
      <c r="G68" s="611">
        <v>0</v>
      </c>
      <c r="H68" s="611">
        <v>1.449304487001404</v>
      </c>
      <c r="I68" s="611">
        <v>0</v>
      </c>
      <c r="J68" s="611">
        <v>0</v>
      </c>
      <c r="K68" s="611">
        <v>0</v>
      </c>
      <c r="L68" s="611">
        <v>0</v>
      </c>
      <c r="M68" s="611">
        <v>0</v>
      </c>
      <c r="N68" s="611">
        <v>0</v>
      </c>
      <c r="O68" s="611">
        <v>0.88076703550889179</v>
      </c>
      <c r="P68" s="611">
        <v>0</v>
      </c>
      <c r="Q68" s="611">
        <v>0</v>
      </c>
      <c r="R68" s="611">
        <v>57.445441282352888</v>
      </c>
      <c r="S68" s="611">
        <v>5.3495376277801165</v>
      </c>
      <c r="T68" s="611">
        <v>0</v>
      </c>
      <c r="U68" s="619">
        <v>65.125050432643306</v>
      </c>
      <c r="V68" s="51"/>
    </row>
    <row r="69" spans="3:22" x14ac:dyDescent="0.25">
      <c r="C69" s="614" t="s">
        <v>77</v>
      </c>
      <c r="D69" s="615">
        <v>10.87073681640625</v>
      </c>
      <c r="E69" s="615">
        <v>273.21397966294842</v>
      </c>
      <c r="F69" s="615">
        <v>-257.30961329438645</v>
      </c>
      <c r="G69" s="615">
        <v>-13.61496514917124</v>
      </c>
      <c r="H69" s="615">
        <v>25.703590613494701</v>
      </c>
      <c r="I69" s="615">
        <v>-2.9890617212740871</v>
      </c>
      <c r="J69" s="615">
        <v>1162.199818181818</v>
      </c>
      <c r="K69" s="615">
        <v>371.91258763455278</v>
      </c>
      <c r="L69" s="615">
        <v>360.66651474935435</v>
      </c>
      <c r="M69" s="615">
        <v>14.792242079450457</v>
      </c>
      <c r="N69" s="615">
        <v>-110.80970850880948</v>
      </c>
      <c r="O69" s="615">
        <v>-67.350108914191992</v>
      </c>
      <c r="P69" s="615">
        <v>0</v>
      </c>
      <c r="Q69" s="615">
        <v>15.728210104039281</v>
      </c>
      <c r="R69" s="615">
        <v>-593.79211972204178</v>
      </c>
      <c r="S69" s="615">
        <v>-63.625804262745696</v>
      </c>
      <c r="T69" s="615">
        <v>-40.338765647940747</v>
      </c>
      <c r="U69" s="615">
        <v>1085.2575326215033</v>
      </c>
      <c r="V69" s="51"/>
    </row>
    <row r="70" spans="3:22" x14ac:dyDescent="0.25">
      <c r="C70" s="616"/>
      <c r="D70" s="617"/>
      <c r="E70" s="617"/>
      <c r="F70" s="617"/>
      <c r="G70" s="617"/>
      <c r="H70" s="623"/>
      <c r="I70" s="617"/>
      <c r="J70" s="617"/>
      <c r="K70" s="617"/>
      <c r="L70" s="617"/>
      <c r="M70" s="617"/>
      <c r="N70" s="617"/>
      <c r="O70" s="617"/>
      <c r="P70" s="617"/>
      <c r="Q70" s="617"/>
      <c r="R70" s="617"/>
      <c r="S70" s="617"/>
      <c r="T70" s="617"/>
      <c r="U70" s="617"/>
      <c r="V70" s="51"/>
    </row>
    <row r="71" spans="3:22" x14ac:dyDescent="0.25">
      <c r="C71" s="618" t="s">
        <v>78</v>
      </c>
      <c r="D71" s="611">
        <v>3.1479512226953994</v>
      </c>
      <c r="E71" s="611">
        <v>0</v>
      </c>
      <c r="F71" s="611">
        <v>7.3437351704458669</v>
      </c>
      <c r="G71" s="611">
        <v>0</v>
      </c>
      <c r="H71" s="611">
        <v>47.748408510748327</v>
      </c>
      <c r="I71" s="611">
        <v>0</v>
      </c>
      <c r="J71" s="611">
        <v>0</v>
      </c>
      <c r="K71" s="611">
        <v>0</v>
      </c>
      <c r="L71" s="611">
        <v>22.07297303718682</v>
      </c>
      <c r="M71" s="611">
        <v>7.0398001823904393</v>
      </c>
      <c r="N71" s="611">
        <v>1.8141076681280928</v>
      </c>
      <c r="O71" s="611">
        <v>29.054305571352941</v>
      </c>
      <c r="P71" s="611">
        <v>11.680015624999999</v>
      </c>
      <c r="Q71" s="611">
        <v>7.4990210834655101E-4</v>
      </c>
      <c r="R71" s="611">
        <v>169.36564151206954</v>
      </c>
      <c r="S71" s="611">
        <v>20.361092617344379</v>
      </c>
      <c r="T71" s="611">
        <v>8.2949111328124996</v>
      </c>
      <c r="U71" s="619">
        <v>327.92369215228263</v>
      </c>
      <c r="V71" s="51"/>
    </row>
    <row r="72" spans="3:22" x14ac:dyDescent="0.25">
      <c r="C72" s="618" t="s">
        <v>79</v>
      </c>
      <c r="D72" s="611">
        <v>0</v>
      </c>
      <c r="E72" s="611">
        <v>0</v>
      </c>
      <c r="F72" s="611">
        <v>117.18993365145114</v>
      </c>
      <c r="G72" s="611">
        <v>1.1502523332163914</v>
      </c>
      <c r="H72" s="611">
        <v>4.819889599277416</v>
      </c>
      <c r="I72" s="611">
        <v>0</v>
      </c>
      <c r="J72" s="611">
        <v>0</v>
      </c>
      <c r="K72" s="611">
        <v>0</v>
      </c>
      <c r="L72" s="611">
        <v>0</v>
      </c>
      <c r="M72" s="611">
        <v>0</v>
      </c>
      <c r="N72" s="611">
        <v>66.206077394178237</v>
      </c>
      <c r="O72" s="611">
        <v>2.9291290490785586</v>
      </c>
      <c r="P72" s="611">
        <v>0</v>
      </c>
      <c r="Q72" s="611">
        <v>0</v>
      </c>
      <c r="R72" s="611">
        <v>81.27523543109001</v>
      </c>
      <c r="S72" s="611">
        <v>0</v>
      </c>
      <c r="T72" s="611">
        <v>3.9485258535759078</v>
      </c>
      <c r="U72" s="619">
        <v>277.51904331186768</v>
      </c>
      <c r="V72" s="51"/>
    </row>
    <row r="73" spans="3:22" x14ac:dyDescent="0.25">
      <c r="C73" s="618" t="s">
        <v>80</v>
      </c>
      <c r="D73" s="611">
        <v>0</v>
      </c>
      <c r="E73" s="611">
        <v>0</v>
      </c>
      <c r="F73" s="611">
        <v>1.6468320076287117</v>
      </c>
      <c r="G73" s="611">
        <v>0</v>
      </c>
      <c r="H73" s="611">
        <v>25.682284030722609</v>
      </c>
      <c r="I73" s="611">
        <v>0</v>
      </c>
      <c r="J73" s="611">
        <v>0</v>
      </c>
      <c r="K73" s="611">
        <v>0</v>
      </c>
      <c r="L73" s="611">
        <v>45.576984042024812</v>
      </c>
      <c r="M73" s="611">
        <v>0</v>
      </c>
      <c r="N73" s="611">
        <v>0</v>
      </c>
      <c r="O73" s="611">
        <v>15.60756167783464</v>
      </c>
      <c r="P73" s="611">
        <v>92.9157768842542</v>
      </c>
      <c r="Q73" s="611">
        <v>2.574236293616976</v>
      </c>
      <c r="R73" s="611">
        <v>156.93618693881999</v>
      </c>
      <c r="S73" s="611">
        <v>24.427235185684346</v>
      </c>
      <c r="T73" s="611">
        <v>0</v>
      </c>
      <c r="U73" s="619">
        <v>365.36709706058627</v>
      </c>
      <c r="V73" s="51"/>
    </row>
    <row r="74" spans="3:22" x14ac:dyDescent="0.25">
      <c r="C74" s="618" t="s">
        <v>81</v>
      </c>
      <c r="D74" s="611">
        <v>0</v>
      </c>
      <c r="E74" s="611">
        <v>0</v>
      </c>
      <c r="F74" s="611">
        <v>1.271612584053831</v>
      </c>
      <c r="G74" s="611">
        <v>0</v>
      </c>
      <c r="H74" s="611">
        <v>17.420753976777231</v>
      </c>
      <c r="I74" s="611">
        <v>0</v>
      </c>
      <c r="J74" s="611">
        <v>0</v>
      </c>
      <c r="K74" s="611">
        <v>0</v>
      </c>
      <c r="L74" s="611">
        <v>0.56354292606487522</v>
      </c>
      <c r="M74" s="611">
        <v>0</v>
      </c>
      <c r="N74" s="611">
        <v>0</v>
      </c>
      <c r="O74" s="611">
        <v>10.586889072703848</v>
      </c>
      <c r="P74" s="611">
        <v>43.217503751158631</v>
      </c>
      <c r="Q74" s="611">
        <v>3.0292625971252525</v>
      </c>
      <c r="R74" s="611">
        <v>117.52524441411241</v>
      </c>
      <c r="S74" s="611">
        <v>18.837476459716978</v>
      </c>
      <c r="T74" s="611">
        <v>0</v>
      </c>
      <c r="U74" s="619">
        <v>212.45228578171304</v>
      </c>
      <c r="V74" s="51"/>
    </row>
    <row r="75" spans="3:22" x14ac:dyDescent="0.25">
      <c r="C75" s="618" t="s">
        <v>82</v>
      </c>
      <c r="D75" s="611">
        <v>0</v>
      </c>
      <c r="E75" s="611">
        <v>0</v>
      </c>
      <c r="F75" s="611">
        <v>15.53708337722879</v>
      </c>
      <c r="G75" s="611">
        <v>0</v>
      </c>
      <c r="H75" s="611">
        <v>1.1162643592180237</v>
      </c>
      <c r="I75" s="611">
        <v>0</v>
      </c>
      <c r="J75" s="611">
        <v>0</v>
      </c>
      <c r="K75" s="611">
        <v>0</v>
      </c>
      <c r="L75" s="611">
        <v>2.9587607663349296</v>
      </c>
      <c r="M75" s="611">
        <v>0</v>
      </c>
      <c r="N75" s="611">
        <v>12.733577925179564</v>
      </c>
      <c r="O75" s="611">
        <v>0.67837287425146786</v>
      </c>
      <c r="P75" s="611">
        <v>0.9</v>
      </c>
      <c r="Q75" s="611">
        <v>1.1655332190637568</v>
      </c>
      <c r="R75" s="611">
        <v>6.8855315935924812</v>
      </c>
      <c r="S75" s="611">
        <v>0</v>
      </c>
      <c r="T75" s="611">
        <v>0.44791890791865185</v>
      </c>
      <c r="U75" s="619">
        <v>42.423043022787667</v>
      </c>
      <c r="V75" s="51"/>
    </row>
    <row r="76" spans="3:22" x14ac:dyDescent="0.25">
      <c r="C76" s="618" t="s">
        <v>354</v>
      </c>
      <c r="D76" s="611">
        <v>0</v>
      </c>
      <c r="E76" s="611">
        <v>0</v>
      </c>
      <c r="F76" s="611">
        <v>0</v>
      </c>
      <c r="G76" s="611">
        <v>0</v>
      </c>
      <c r="H76" s="611">
        <v>0</v>
      </c>
      <c r="I76" s="611">
        <v>0</v>
      </c>
      <c r="J76" s="611">
        <v>0</v>
      </c>
      <c r="K76" s="611">
        <v>0</v>
      </c>
      <c r="L76" s="611">
        <v>0</v>
      </c>
      <c r="M76" s="611">
        <v>0</v>
      </c>
      <c r="N76" s="611">
        <v>0</v>
      </c>
      <c r="O76" s="611">
        <v>0</v>
      </c>
      <c r="P76" s="611">
        <v>0</v>
      </c>
      <c r="Q76" s="611">
        <v>0</v>
      </c>
      <c r="R76" s="611">
        <v>2.2597999999999998</v>
      </c>
      <c r="S76" s="611">
        <v>0</v>
      </c>
      <c r="T76" s="611">
        <v>0</v>
      </c>
      <c r="U76" s="619">
        <v>2.2597999999999998</v>
      </c>
      <c r="V76" s="51"/>
    </row>
    <row r="77" spans="3:22" x14ac:dyDescent="0.25">
      <c r="C77" s="614" t="s">
        <v>83</v>
      </c>
      <c r="D77" s="615">
        <v>3.1479512226953994</v>
      </c>
      <c r="E77" s="615">
        <v>0</v>
      </c>
      <c r="F77" s="615">
        <v>142.98919679080834</v>
      </c>
      <c r="G77" s="615">
        <v>1.1502523332163914</v>
      </c>
      <c r="H77" s="615">
        <v>96.787600476743606</v>
      </c>
      <c r="I77" s="615">
        <v>0</v>
      </c>
      <c r="J77" s="615">
        <v>0</v>
      </c>
      <c r="K77" s="615">
        <v>0</v>
      </c>
      <c r="L77" s="615">
        <v>71.172260771611434</v>
      </c>
      <c r="M77" s="615">
        <v>7.0398001823904393</v>
      </c>
      <c r="N77" s="615">
        <v>80.753762987485885</v>
      </c>
      <c r="O77" s="615">
        <v>58.856258245221454</v>
      </c>
      <c r="P77" s="615">
        <v>148.71329626041282</v>
      </c>
      <c r="Q77" s="615">
        <v>6.7697820119143319</v>
      </c>
      <c r="R77" s="615">
        <v>534.24763988968448</v>
      </c>
      <c r="S77" s="615">
        <v>63.625804262745703</v>
      </c>
      <c r="T77" s="615">
        <v>12.691355894307058</v>
      </c>
      <c r="U77" s="615">
        <v>1227.9449613292372</v>
      </c>
      <c r="V77" s="51"/>
    </row>
    <row r="78" spans="3:22" x14ac:dyDescent="0.25">
      <c r="C78" s="610" t="s">
        <v>84</v>
      </c>
      <c r="D78" s="611">
        <v>0</v>
      </c>
      <c r="E78" s="611">
        <v>0</v>
      </c>
      <c r="F78" s="611">
        <v>91.645744339605585</v>
      </c>
      <c r="G78" s="611">
        <v>1.9754203276001159</v>
      </c>
      <c r="H78" s="611">
        <v>9.8671998534986294</v>
      </c>
      <c r="I78" s="611">
        <v>0</v>
      </c>
      <c r="J78" s="611">
        <v>0</v>
      </c>
      <c r="K78" s="611">
        <v>0</v>
      </c>
      <c r="L78" s="611">
        <v>0.29558782815630974</v>
      </c>
      <c r="M78" s="611">
        <v>0</v>
      </c>
      <c r="N78" s="611">
        <v>22.091901685627885</v>
      </c>
      <c r="O78" s="611">
        <v>6.5407527819460896</v>
      </c>
      <c r="P78" s="611">
        <v>0</v>
      </c>
      <c r="Q78" s="611">
        <v>0</v>
      </c>
      <c r="R78" s="611">
        <v>0</v>
      </c>
      <c r="S78" s="611">
        <v>0</v>
      </c>
      <c r="T78" s="611">
        <v>24.889939650510044</v>
      </c>
      <c r="U78" s="619">
        <v>157.30654646694467</v>
      </c>
      <c r="V78" s="51"/>
    </row>
    <row r="79" spans="3:22" x14ac:dyDescent="0.25">
      <c r="C79" s="614" t="s">
        <v>85</v>
      </c>
      <c r="D79" s="615">
        <v>3.1479512226953994</v>
      </c>
      <c r="E79" s="615">
        <v>0</v>
      </c>
      <c r="F79" s="615">
        <v>234.63494113041392</v>
      </c>
      <c r="G79" s="615">
        <v>3.1256726608165071</v>
      </c>
      <c r="H79" s="615">
        <v>106.65480033024224</v>
      </c>
      <c r="I79" s="615">
        <v>0</v>
      </c>
      <c r="J79" s="615">
        <v>0</v>
      </c>
      <c r="K79" s="615">
        <v>0</v>
      </c>
      <c r="L79" s="615">
        <v>71.467848599767748</v>
      </c>
      <c r="M79" s="615">
        <v>7.0398001823904393</v>
      </c>
      <c r="N79" s="615">
        <v>102.84566467311377</v>
      </c>
      <c r="O79" s="615">
        <v>65.397011027167537</v>
      </c>
      <c r="P79" s="615">
        <v>148.71329626041282</v>
      </c>
      <c r="Q79" s="615">
        <v>6.7697820119143319</v>
      </c>
      <c r="R79" s="615">
        <v>534.24763988968448</v>
      </c>
      <c r="S79" s="615">
        <v>63.625804262745703</v>
      </c>
      <c r="T79" s="615">
        <v>37.581295544817102</v>
      </c>
      <c r="U79" s="615">
        <v>1385.2515077961818</v>
      </c>
      <c r="V79" s="51"/>
    </row>
    <row r="80" spans="3:22" x14ac:dyDescent="0.25">
      <c r="C80" s="51"/>
      <c r="D80" s="67">
        <v>0</v>
      </c>
      <c r="E80" s="67">
        <v>0</v>
      </c>
      <c r="F80" s="67">
        <v>0</v>
      </c>
      <c r="G80" s="67">
        <v>0</v>
      </c>
      <c r="H80" s="67">
        <v>0</v>
      </c>
      <c r="I80" s="67">
        <v>0</v>
      </c>
      <c r="J80" s="67">
        <v>0</v>
      </c>
      <c r="K80" s="67">
        <v>0</v>
      </c>
      <c r="L80" s="67">
        <v>0</v>
      </c>
      <c r="M80" s="67">
        <v>-4.2787984175518545E-4</v>
      </c>
      <c r="N80" s="67">
        <v>0</v>
      </c>
      <c r="O80" s="67">
        <v>-1.6431300764452317E-14</v>
      </c>
      <c r="P80" s="67">
        <v>0</v>
      </c>
      <c r="Q80" s="67">
        <v>0</v>
      </c>
      <c r="R80" s="67">
        <v>0</v>
      </c>
      <c r="S80" s="67">
        <v>7.1054273576010019E-15</v>
      </c>
      <c r="T80" s="67">
        <v>-6.2172489379008766E-15</v>
      </c>
      <c r="U80" s="67">
        <v>-4.278798414816265E-4</v>
      </c>
      <c r="V80" s="51"/>
    </row>
    <row r="81" spans="3:22" x14ac:dyDescent="0.25">
      <c r="C81" s="51"/>
      <c r="D81" s="51"/>
      <c r="E81" s="51"/>
      <c r="F81" s="51"/>
      <c r="G81" s="67"/>
      <c r="H81" s="51"/>
      <c r="I81" s="51"/>
      <c r="J81" s="51"/>
      <c r="K81" s="51"/>
      <c r="L81" s="51"/>
      <c r="M81" s="51"/>
      <c r="N81" s="51"/>
      <c r="O81" s="51"/>
      <c r="P81" s="51"/>
      <c r="Q81" s="51"/>
      <c r="R81" s="51"/>
      <c r="S81" s="51"/>
      <c r="T81" s="51"/>
      <c r="U81" s="51"/>
      <c r="V81" s="51"/>
    </row>
    <row r="82" spans="3:22" x14ac:dyDescent="0.25">
      <c r="C82" s="607" t="s">
        <v>360</v>
      </c>
      <c r="D82" s="606"/>
      <c r="E82" s="606"/>
      <c r="F82" s="606"/>
      <c r="G82" s="682"/>
      <c r="H82" s="606"/>
      <c r="I82" s="606"/>
      <c r="J82" s="606"/>
      <c r="K82" s="606"/>
      <c r="L82" s="606"/>
      <c r="M82" s="606"/>
      <c r="N82" s="606"/>
      <c r="O82" s="606"/>
      <c r="P82" s="606"/>
      <c r="Q82" s="606"/>
      <c r="R82" s="606"/>
      <c r="S82" s="606"/>
      <c r="T82" s="606"/>
      <c r="U82" s="606"/>
      <c r="V82" s="606"/>
    </row>
    <row r="83" spans="3:22" x14ac:dyDescent="0.25">
      <c r="C83" s="51"/>
      <c r="D83" s="51"/>
      <c r="E83" s="51"/>
      <c r="F83" s="51"/>
      <c r="G83" s="67"/>
      <c r="H83" s="51"/>
      <c r="I83" s="51"/>
      <c r="J83" s="51"/>
      <c r="K83" s="51"/>
      <c r="L83" s="51"/>
      <c r="M83" s="51"/>
      <c r="N83" s="51"/>
      <c r="O83" s="51"/>
      <c r="P83" s="51"/>
      <c r="Q83" s="51"/>
      <c r="R83" s="51"/>
      <c r="S83" s="51"/>
      <c r="T83" s="51"/>
      <c r="U83" s="51"/>
      <c r="V83" s="51"/>
    </row>
    <row r="84" spans="3:22" x14ac:dyDescent="0.25">
      <c r="C84" s="764" t="s">
        <v>128</v>
      </c>
      <c r="D84" s="753" t="s">
        <v>42</v>
      </c>
      <c r="E84" s="753" t="s">
        <v>52</v>
      </c>
      <c r="F84" s="753" t="s">
        <v>53</v>
      </c>
      <c r="G84" s="766" t="s">
        <v>482</v>
      </c>
      <c r="H84" s="753" t="s">
        <v>32</v>
      </c>
      <c r="I84" s="753" t="s">
        <v>483</v>
      </c>
      <c r="J84" s="753" t="s">
        <v>20</v>
      </c>
      <c r="K84" s="753" t="s">
        <v>55</v>
      </c>
      <c r="L84" s="761" t="s">
        <v>56</v>
      </c>
      <c r="M84" s="762"/>
      <c r="N84" s="762"/>
      <c r="O84" s="762"/>
      <c r="P84" s="762"/>
      <c r="Q84" s="763"/>
      <c r="R84" s="753" t="s">
        <v>57</v>
      </c>
      <c r="S84" s="753" t="s">
        <v>58</v>
      </c>
      <c r="T84" s="753" t="s">
        <v>31</v>
      </c>
      <c r="U84" s="753" t="s">
        <v>10</v>
      </c>
      <c r="V84" s="51"/>
    </row>
    <row r="85" spans="3:22" ht="36" x14ac:dyDescent="0.25">
      <c r="C85" s="765"/>
      <c r="D85" s="754"/>
      <c r="E85" s="754"/>
      <c r="F85" s="754"/>
      <c r="G85" s="767"/>
      <c r="H85" s="754"/>
      <c r="I85" s="754"/>
      <c r="J85" s="754"/>
      <c r="K85" s="754"/>
      <c r="L85" s="608" t="s">
        <v>335</v>
      </c>
      <c r="M85" s="608" t="s">
        <v>40</v>
      </c>
      <c r="N85" s="608" t="s">
        <v>343</v>
      </c>
      <c r="O85" s="608" t="s">
        <v>344</v>
      </c>
      <c r="P85" s="609" t="s">
        <v>345</v>
      </c>
      <c r="Q85" s="608" t="s">
        <v>346</v>
      </c>
      <c r="R85" s="754"/>
      <c r="S85" s="754"/>
      <c r="T85" s="754"/>
      <c r="U85" s="754"/>
      <c r="V85" s="51"/>
    </row>
    <row r="86" spans="3:22" x14ac:dyDescent="0.25">
      <c r="C86" s="610" t="s">
        <v>59</v>
      </c>
      <c r="D86" s="611">
        <v>0</v>
      </c>
      <c r="E86" s="611">
        <v>0</v>
      </c>
      <c r="F86" s="611">
        <v>0</v>
      </c>
      <c r="G86" s="611">
        <v>0</v>
      </c>
      <c r="H86" s="611">
        <v>0</v>
      </c>
      <c r="I86" s="611">
        <v>0</v>
      </c>
      <c r="J86" s="612">
        <v>1175.1327636363635</v>
      </c>
      <c r="K86" s="612">
        <v>409.44348403288171</v>
      </c>
      <c r="L86" s="612">
        <v>455.63054491967773</v>
      </c>
      <c r="M86" s="612">
        <v>21.888057205261063</v>
      </c>
      <c r="N86" s="611">
        <v>1.5769202529293118</v>
      </c>
      <c r="O86" s="611">
        <v>0.16705675062100381</v>
      </c>
      <c r="P86" s="612">
        <v>157.62105211134346</v>
      </c>
      <c r="Q86" s="612">
        <v>24.53711550235386</v>
      </c>
      <c r="R86" s="611">
        <v>0</v>
      </c>
      <c r="S86" s="611">
        <v>0</v>
      </c>
      <c r="T86" s="611">
        <v>0</v>
      </c>
      <c r="U86" s="613">
        <v>2245.9969944114318</v>
      </c>
      <c r="V86" s="51"/>
    </row>
    <row r="87" spans="3:22" x14ac:dyDescent="0.25">
      <c r="C87" s="610" t="s">
        <v>60</v>
      </c>
      <c r="D87" s="611">
        <v>13.340633881136302</v>
      </c>
      <c r="E87" s="611">
        <v>239.69119414034884</v>
      </c>
      <c r="F87" s="611">
        <v>4.6624671135986846</v>
      </c>
      <c r="G87" s="611">
        <v>0</v>
      </c>
      <c r="H87" s="611">
        <v>97.60128544811127</v>
      </c>
      <c r="I87" s="611">
        <v>0</v>
      </c>
      <c r="J87" s="611">
        <v>0</v>
      </c>
      <c r="K87" s="611">
        <v>0</v>
      </c>
      <c r="L87" s="611">
        <v>4.1311012816916577</v>
      </c>
      <c r="M87" s="611">
        <v>0</v>
      </c>
      <c r="N87" s="611">
        <v>5.4710090626624357</v>
      </c>
      <c r="O87" s="611">
        <v>0</v>
      </c>
      <c r="P87" s="611">
        <v>0</v>
      </c>
      <c r="Q87" s="611">
        <v>0</v>
      </c>
      <c r="R87" s="611">
        <v>0</v>
      </c>
      <c r="S87" s="611">
        <v>0</v>
      </c>
      <c r="T87" s="611">
        <v>0</v>
      </c>
      <c r="U87" s="613">
        <v>364.89769092754926</v>
      </c>
      <c r="V87" s="51"/>
    </row>
    <row r="88" spans="3:22" x14ac:dyDescent="0.25">
      <c r="C88" s="610" t="s">
        <v>61</v>
      </c>
      <c r="D88" s="611">
        <v>0</v>
      </c>
      <c r="E88" s="611">
        <v>0</v>
      </c>
      <c r="F88" s="611">
        <v>-17.494356691854108</v>
      </c>
      <c r="G88" s="611">
        <v>-1.7254456421765063</v>
      </c>
      <c r="H88" s="611">
        <v>0</v>
      </c>
      <c r="I88" s="611">
        <v>0</v>
      </c>
      <c r="J88" s="611">
        <v>0</v>
      </c>
      <c r="K88" s="611">
        <v>0</v>
      </c>
      <c r="L88" s="611">
        <v>0</v>
      </c>
      <c r="M88" s="611">
        <v>0</v>
      </c>
      <c r="N88" s="611">
        <v>0</v>
      </c>
      <c r="O88" s="611">
        <v>0</v>
      </c>
      <c r="P88" s="611">
        <v>0</v>
      </c>
      <c r="Q88" s="611">
        <v>0</v>
      </c>
      <c r="R88" s="611">
        <v>-53.009184488039523</v>
      </c>
      <c r="S88" s="611">
        <v>0</v>
      </c>
      <c r="T88" s="611">
        <v>0</v>
      </c>
      <c r="U88" s="613">
        <v>-72.228986822070141</v>
      </c>
      <c r="V88" s="51"/>
    </row>
    <row r="89" spans="3:22" x14ac:dyDescent="0.25">
      <c r="C89" s="610" t="s">
        <v>62</v>
      </c>
      <c r="D89" s="611">
        <v>0</v>
      </c>
      <c r="E89" s="611">
        <v>0</v>
      </c>
      <c r="F89" s="611">
        <v>-5.0879563574801514</v>
      </c>
      <c r="G89" s="611">
        <v>-4.1045183661856841</v>
      </c>
      <c r="H89" s="611">
        <v>0</v>
      </c>
      <c r="I89" s="611">
        <v>-3.6084739343150005</v>
      </c>
      <c r="J89" s="611">
        <v>0</v>
      </c>
      <c r="K89" s="611">
        <v>0</v>
      </c>
      <c r="L89" s="611">
        <v>0</v>
      </c>
      <c r="M89" s="611">
        <v>0</v>
      </c>
      <c r="N89" s="611">
        <v>-1.3861783673523449</v>
      </c>
      <c r="O89" s="611">
        <v>-2.4056492895433337</v>
      </c>
      <c r="P89" s="611">
        <v>0</v>
      </c>
      <c r="Q89" s="611">
        <v>0</v>
      </c>
      <c r="R89" s="611">
        <v>0</v>
      </c>
      <c r="S89" s="611">
        <v>0</v>
      </c>
      <c r="T89" s="611">
        <v>-1.1711400462326651</v>
      </c>
      <c r="U89" s="613">
        <v>-17.763916361109182</v>
      </c>
      <c r="V89" s="51"/>
    </row>
    <row r="90" spans="3:22" x14ac:dyDescent="0.25">
      <c r="C90" s="610" t="s">
        <v>63</v>
      </c>
      <c r="D90" s="611">
        <v>0</v>
      </c>
      <c r="E90" s="611">
        <v>0</v>
      </c>
      <c r="F90" s="611">
        <v>-39.079068395762839</v>
      </c>
      <c r="G90" s="611">
        <v>-8.2277507760007769</v>
      </c>
      <c r="H90" s="611">
        <v>0</v>
      </c>
      <c r="I90" s="611">
        <v>0</v>
      </c>
      <c r="J90" s="611">
        <v>0</v>
      </c>
      <c r="K90" s="611">
        <v>0</v>
      </c>
      <c r="L90" s="611">
        <v>0</v>
      </c>
      <c r="M90" s="611">
        <v>0</v>
      </c>
      <c r="N90" s="611">
        <v>-15.189693740309128</v>
      </c>
      <c r="O90" s="611">
        <v>0</v>
      </c>
      <c r="P90" s="611">
        <v>0</v>
      </c>
      <c r="Q90" s="611">
        <v>0</v>
      </c>
      <c r="R90" s="611">
        <v>0</v>
      </c>
      <c r="S90" s="611">
        <v>0</v>
      </c>
      <c r="T90" s="611">
        <v>-2.6141112366127883</v>
      </c>
      <c r="U90" s="613">
        <v>-65.110624148685531</v>
      </c>
      <c r="V90" s="51"/>
    </row>
    <row r="91" spans="3:22" x14ac:dyDescent="0.25">
      <c r="C91" s="610" t="s">
        <v>64</v>
      </c>
      <c r="D91" s="611">
        <v>0</v>
      </c>
      <c r="E91" s="611">
        <v>0</v>
      </c>
      <c r="F91" s="611">
        <v>0</v>
      </c>
      <c r="G91" s="611">
        <v>0</v>
      </c>
      <c r="H91" s="611">
        <v>0</v>
      </c>
      <c r="I91" s="611">
        <v>0</v>
      </c>
      <c r="J91" s="611">
        <v>0</v>
      </c>
      <c r="K91" s="611">
        <v>0</v>
      </c>
      <c r="L91" s="611">
        <v>0</v>
      </c>
      <c r="M91" s="611">
        <v>0</v>
      </c>
      <c r="N91" s="611">
        <v>0</v>
      </c>
      <c r="O91" s="611">
        <v>0</v>
      </c>
      <c r="P91" s="611">
        <v>0</v>
      </c>
      <c r="Q91" s="611">
        <v>0</v>
      </c>
      <c r="R91" s="611">
        <v>0</v>
      </c>
      <c r="S91" s="611">
        <v>0</v>
      </c>
      <c r="T91" s="611">
        <v>0</v>
      </c>
      <c r="U91" s="613">
        <v>0</v>
      </c>
      <c r="V91" s="51"/>
    </row>
    <row r="92" spans="3:22" x14ac:dyDescent="0.25">
      <c r="C92" s="614" t="s">
        <v>65</v>
      </c>
      <c r="D92" s="615">
        <v>13.340633881136302</v>
      </c>
      <c r="E92" s="615">
        <v>239.69119414034884</v>
      </c>
      <c r="F92" s="615">
        <v>-56.998914331498412</v>
      </c>
      <c r="G92" s="615">
        <v>-14.057714784362968</v>
      </c>
      <c r="H92" s="615">
        <v>97.60128544811127</v>
      </c>
      <c r="I92" s="615">
        <v>-3.6084739343150005</v>
      </c>
      <c r="J92" s="615">
        <v>1175.1327636363635</v>
      </c>
      <c r="K92" s="615">
        <v>409.44348403288171</v>
      </c>
      <c r="L92" s="615">
        <v>459.76164620136939</v>
      </c>
      <c r="M92" s="615">
        <v>21.888057205261063</v>
      </c>
      <c r="N92" s="615">
        <v>-9.5279427920697266</v>
      </c>
      <c r="O92" s="615">
        <v>-2.23859253892233</v>
      </c>
      <c r="P92" s="615">
        <v>157.62105211134346</v>
      </c>
      <c r="Q92" s="615">
        <v>24.53711550235386</v>
      </c>
      <c r="R92" s="615">
        <v>-53.009184488039523</v>
      </c>
      <c r="S92" s="615">
        <v>0</v>
      </c>
      <c r="T92" s="615">
        <v>-3.7852512828454534</v>
      </c>
      <c r="U92" s="615">
        <v>2455.7911580071163</v>
      </c>
      <c r="V92" s="51"/>
    </row>
    <row r="93" spans="3:22" x14ac:dyDescent="0.25">
      <c r="C93" s="616"/>
      <c r="D93" s="617"/>
      <c r="E93" s="617"/>
      <c r="F93" s="617"/>
      <c r="G93" s="617"/>
      <c r="H93" s="623"/>
      <c r="I93" s="617"/>
      <c r="J93" s="617"/>
      <c r="K93" s="617"/>
      <c r="L93" s="617"/>
      <c r="M93" s="617"/>
      <c r="N93" s="617"/>
      <c r="O93" s="617"/>
      <c r="P93" s="617"/>
      <c r="Q93" s="617"/>
      <c r="R93" s="617"/>
      <c r="S93" s="617"/>
      <c r="T93" s="617"/>
      <c r="U93" s="617"/>
      <c r="V93" s="51"/>
    </row>
    <row r="94" spans="3:22" x14ac:dyDescent="0.25">
      <c r="C94" s="618" t="s">
        <v>67</v>
      </c>
      <c r="D94" s="611">
        <v>0</v>
      </c>
      <c r="E94" s="611">
        <v>0</v>
      </c>
      <c r="F94" s="611">
        <v>0</v>
      </c>
      <c r="G94" s="611">
        <v>0</v>
      </c>
      <c r="H94" s="611">
        <v>0</v>
      </c>
      <c r="I94" s="611">
        <v>0</v>
      </c>
      <c r="J94" s="611">
        <v>0</v>
      </c>
      <c r="K94" s="611">
        <v>0</v>
      </c>
      <c r="L94" s="611">
        <v>0</v>
      </c>
      <c r="M94" s="611">
        <v>0</v>
      </c>
      <c r="N94" s="611">
        <v>0</v>
      </c>
      <c r="O94" s="611">
        <v>0</v>
      </c>
      <c r="P94" s="611">
        <v>0</v>
      </c>
      <c r="Q94" s="611">
        <v>0</v>
      </c>
      <c r="R94" s="611">
        <v>0</v>
      </c>
      <c r="S94" s="611">
        <v>0</v>
      </c>
      <c r="T94" s="611">
        <v>0</v>
      </c>
      <c r="U94" s="619">
        <v>0</v>
      </c>
      <c r="V94" s="51"/>
    </row>
    <row r="95" spans="3:22" x14ac:dyDescent="0.25">
      <c r="C95" s="618" t="s">
        <v>347</v>
      </c>
      <c r="D95" s="611">
        <v>0</v>
      </c>
      <c r="E95" s="611">
        <v>0</v>
      </c>
      <c r="F95" s="611">
        <v>6.6151953400033478E-2</v>
      </c>
      <c r="G95" s="611">
        <v>0</v>
      </c>
      <c r="H95" s="611">
        <v>0.83875095652173937</v>
      </c>
      <c r="I95" s="611">
        <v>0</v>
      </c>
      <c r="J95" s="611">
        <v>1175.1327636363635</v>
      </c>
      <c r="K95" s="611">
        <v>409.44348403288171</v>
      </c>
      <c r="L95" s="611">
        <v>23.084193835391716</v>
      </c>
      <c r="M95" s="611">
        <v>0.60990924478748687</v>
      </c>
      <c r="N95" s="611">
        <v>5.6269378379330357</v>
      </c>
      <c r="O95" s="611">
        <v>0.80015093186061059</v>
      </c>
      <c r="P95" s="611">
        <v>0</v>
      </c>
      <c r="Q95" s="611">
        <v>6.4327567473291545</v>
      </c>
      <c r="R95" s="611">
        <v>-844.61232621268675</v>
      </c>
      <c r="S95" s="611">
        <v>0</v>
      </c>
      <c r="T95" s="611">
        <v>3.6921899999999996</v>
      </c>
      <c r="U95" s="619">
        <v>781.1149629637822</v>
      </c>
      <c r="V95" s="51"/>
    </row>
    <row r="96" spans="3:22" x14ac:dyDescent="0.25">
      <c r="C96" s="618" t="s">
        <v>348</v>
      </c>
      <c r="D96" s="611">
        <v>0</v>
      </c>
      <c r="E96" s="611">
        <v>0</v>
      </c>
      <c r="F96" s="611">
        <v>0</v>
      </c>
      <c r="G96" s="611">
        <v>0</v>
      </c>
      <c r="H96" s="611">
        <v>7.3970017533359673</v>
      </c>
      <c r="I96" s="611">
        <v>0</v>
      </c>
      <c r="J96" s="611">
        <v>0</v>
      </c>
      <c r="K96" s="611">
        <v>0</v>
      </c>
      <c r="L96" s="611">
        <v>35.211219886643882</v>
      </c>
      <c r="M96" s="611">
        <v>14.290044583270845</v>
      </c>
      <c r="N96" s="611">
        <v>0</v>
      </c>
      <c r="O96" s="611">
        <v>6.0665861374245376</v>
      </c>
      <c r="P96" s="611">
        <v>0</v>
      </c>
      <c r="Q96" s="611">
        <v>10.923199976732462</v>
      </c>
      <c r="R96" s="611">
        <v>0</v>
      </c>
      <c r="S96" s="611">
        <v>-68.689846406921419</v>
      </c>
      <c r="T96" s="611">
        <v>0</v>
      </c>
      <c r="U96" s="619">
        <v>5.1982059304862673</v>
      </c>
      <c r="V96" s="51"/>
    </row>
    <row r="97" spans="3:22" x14ac:dyDescent="0.25">
      <c r="C97" s="618" t="s">
        <v>349</v>
      </c>
      <c r="D97" s="611">
        <v>0</v>
      </c>
      <c r="E97" s="611">
        <v>0</v>
      </c>
      <c r="F97" s="611">
        <v>0</v>
      </c>
      <c r="G97" s="611">
        <v>0</v>
      </c>
      <c r="H97" s="611">
        <v>0</v>
      </c>
      <c r="I97" s="611">
        <v>0</v>
      </c>
      <c r="J97" s="611">
        <v>0</v>
      </c>
      <c r="K97" s="611">
        <v>0</v>
      </c>
      <c r="L97" s="611">
        <v>91.2295818617647</v>
      </c>
      <c r="M97" s="611">
        <v>0</v>
      </c>
      <c r="N97" s="611">
        <v>0</v>
      </c>
      <c r="O97" s="611">
        <v>-82.683413983490482</v>
      </c>
      <c r="P97" s="611">
        <v>0</v>
      </c>
      <c r="Q97" s="611">
        <v>0</v>
      </c>
      <c r="R97" s="611">
        <v>0</v>
      </c>
      <c r="S97" s="611">
        <v>0</v>
      </c>
      <c r="T97" s="611">
        <v>0</v>
      </c>
      <c r="U97" s="619">
        <v>8.5461678782742183</v>
      </c>
      <c r="V97" s="51"/>
    </row>
    <row r="98" spans="3:22" x14ac:dyDescent="0.25">
      <c r="C98" s="618" t="s">
        <v>350</v>
      </c>
      <c r="D98" s="611">
        <v>0</v>
      </c>
      <c r="E98" s="611">
        <v>0</v>
      </c>
      <c r="F98" s="611">
        <v>0</v>
      </c>
      <c r="G98" s="611">
        <v>0</v>
      </c>
      <c r="H98" s="611">
        <v>0</v>
      </c>
      <c r="I98" s="611">
        <v>-3.6084739343150005</v>
      </c>
      <c r="J98" s="611">
        <v>0</v>
      </c>
      <c r="K98" s="611">
        <v>0</v>
      </c>
      <c r="L98" s="611">
        <v>0</v>
      </c>
      <c r="M98" s="611">
        <v>0</v>
      </c>
      <c r="N98" s="611">
        <v>0</v>
      </c>
      <c r="O98" s="611">
        <v>0</v>
      </c>
      <c r="P98" s="611">
        <v>0</v>
      </c>
      <c r="Q98" s="611">
        <v>0</v>
      </c>
      <c r="R98" s="611">
        <v>0</v>
      </c>
      <c r="S98" s="611">
        <v>0</v>
      </c>
      <c r="T98" s="611">
        <v>5.0117693532152785</v>
      </c>
      <c r="U98" s="619">
        <v>1.403295418900278</v>
      </c>
      <c r="V98" s="51"/>
    </row>
    <row r="99" spans="3:22" x14ac:dyDescent="0.25">
      <c r="C99" s="618" t="s">
        <v>72</v>
      </c>
      <c r="D99" s="611">
        <v>0</v>
      </c>
      <c r="E99" s="611">
        <v>248.37987406049137</v>
      </c>
      <c r="F99" s="611">
        <v>-245.90430306488159</v>
      </c>
      <c r="G99" s="611">
        <v>0</v>
      </c>
      <c r="H99" s="611">
        <v>0</v>
      </c>
      <c r="I99" s="611">
        <v>0</v>
      </c>
      <c r="J99" s="611">
        <v>0</v>
      </c>
      <c r="K99" s="611">
        <v>0</v>
      </c>
      <c r="L99" s="611">
        <v>0</v>
      </c>
      <c r="M99" s="611">
        <v>0</v>
      </c>
      <c r="N99" s="611">
        <v>0</v>
      </c>
      <c r="O99" s="611">
        <v>0</v>
      </c>
      <c r="P99" s="611">
        <v>0</v>
      </c>
      <c r="Q99" s="611">
        <v>0</v>
      </c>
      <c r="R99" s="611">
        <v>0</v>
      </c>
      <c r="S99" s="611">
        <v>0</v>
      </c>
      <c r="T99" s="611">
        <v>0</v>
      </c>
      <c r="U99" s="619">
        <v>2.475570995609786</v>
      </c>
      <c r="V99" s="51"/>
    </row>
    <row r="100" spans="3:22" x14ac:dyDescent="0.25">
      <c r="C100" s="618" t="s">
        <v>351</v>
      </c>
      <c r="D100" s="611">
        <v>0</v>
      </c>
      <c r="E100" s="611">
        <v>0</v>
      </c>
      <c r="F100" s="611">
        <v>0</v>
      </c>
      <c r="G100" s="611">
        <v>0</v>
      </c>
      <c r="H100" s="611">
        <v>0</v>
      </c>
      <c r="I100" s="611">
        <v>0</v>
      </c>
      <c r="J100" s="611">
        <v>0</v>
      </c>
      <c r="K100" s="611">
        <v>0</v>
      </c>
      <c r="L100" s="611">
        <v>241.23547887431721</v>
      </c>
      <c r="M100" s="611">
        <v>0</v>
      </c>
      <c r="N100" s="611">
        <v>-132.67951338087448</v>
      </c>
      <c r="O100" s="611">
        <v>0</v>
      </c>
      <c r="P100" s="611">
        <v>0</v>
      </c>
      <c r="Q100" s="611">
        <v>0</v>
      </c>
      <c r="R100" s="611">
        <v>0</v>
      </c>
      <c r="S100" s="611">
        <v>0</v>
      </c>
      <c r="T100" s="611">
        <v>0</v>
      </c>
      <c r="U100" s="619">
        <v>108.55596549344273</v>
      </c>
      <c r="V100" s="51"/>
    </row>
    <row r="101" spans="3:22" x14ac:dyDescent="0.25">
      <c r="C101" s="618" t="s">
        <v>352</v>
      </c>
      <c r="D101" s="611">
        <v>0</v>
      </c>
      <c r="E101" s="611">
        <v>0</v>
      </c>
      <c r="F101" s="611">
        <v>0</v>
      </c>
      <c r="G101" s="611">
        <v>-17.665386413709186</v>
      </c>
      <c r="H101" s="611">
        <v>0</v>
      </c>
      <c r="I101" s="611">
        <v>0</v>
      </c>
      <c r="J101" s="611">
        <v>0</v>
      </c>
      <c r="K101" s="611">
        <v>0</v>
      </c>
      <c r="L101" s="611">
        <v>0</v>
      </c>
      <c r="M101" s="611">
        <v>0</v>
      </c>
      <c r="N101" s="611">
        <v>0</v>
      </c>
      <c r="O101" s="611">
        <v>0</v>
      </c>
      <c r="P101" s="611">
        <v>0</v>
      </c>
      <c r="Q101" s="611">
        <v>0</v>
      </c>
      <c r="R101" s="611">
        <v>0</v>
      </c>
      <c r="S101" s="611">
        <v>0</v>
      </c>
      <c r="T101" s="611">
        <v>23.034172245220685</v>
      </c>
      <c r="U101" s="619">
        <v>5.3687858315114987</v>
      </c>
      <c r="V101" s="51"/>
    </row>
    <row r="102" spans="3:22" x14ac:dyDescent="0.25">
      <c r="C102" s="618" t="s">
        <v>73</v>
      </c>
      <c r="D102" s="611">
        <v>0</v>
      </c>
      <c r="E102" s="611">
        <v>0</v>
      </c>
      <c r="F102" s="611">
        <v>0</v>
      </c>
      <c r="G102" s="611">
        <v>0</v>
      </c>
      <c r="H102" s="611">
        <v>0</v>
      </c>
      <c r="I102" s="611">
        <v>0</v>
      </c>
      <c r="J102" s="611">
        <v>0</v>
      </c>
      <c r="K102" s="611">
        <v>0</v>
      </c>
      <c r="L102" s="611">
        <v>0</v>
      </c>
      <c r="M102" s="611">
        <v>0</v>
      </c>
      <c r="N102" s="611">
        <v>0</v>
      </c>
      <c r="O102" s="611">
        <v>0</v>
      </c>
      <c r="P102" s="611">
        <v>0</v>
      </c>
      <c r="Q102" s="611">
        <v>0</v>
      </c>
      <c r="R102" s="611">
        <v>117.85286984461516</v>
      </c>
      <c r="S102" s="611">
        <v>0</v>
      </c>
      <c r="T102" s="611">
        <v>-80.729215843561391</v>
      </c>
      <c r="U102" s="619">
        <v>37.123654001053765</v>
      </c>
      <c r="V102" s="51"/>
    </row>
    <row r="103" spans="3:22" x14ac:dyDescent="0.25">
      <c r="C103" s="618" t="s">
        <v>353</v>
      </c>
      <c r="D103" s="611">
        <v>7.6015399218749993</v>
      </c>
      <c r="E103" s="611">
        <v>-8.6886799201425244</v>
      </c>
      <c r="F103" s="611">
        <v>11.323469941688563</v>
      </c>
      <c r="G103" s="611">
        <v>0</v>
      </c>
      <c r="H103" s="611">
        <v>0</v>
      </c>
      <c r="I103" s="611">
        <v>0</v>
      </c>
      <c r="J103" s="611">
        <v>0</v>
      </c>
      <c r="K103" s="611">
        <v>0</v>
      </c>
      <c r="L103" s="611">
        <v>0</v>
      </c>
      <c r="M103" s="611">
        <v>0</v>
      </c>
      <c r="N103" s="611">
        <v>0</v>
      </c>
      <c r="O103" s="611">
        <v>0</v>
      </c>
      <c r="P103" s="611">
        <v>0</v>
      </c>
      <c r="Q103" s="611">
        <v>0</v>
      </c>
      <c r="R103" s="611">
        <v>0</v>
      </c>
      <c r="S103" s="611">
        <v>0</v>
      </c>
      <c r="T103" s="611">
        <v>0</v>
      </c>
      <c r="U103" s="619">
        <v>10.236329943421037</v>
      </c>
      <c r="V103" s="51"/>
    </row>
    <row r="104" spans="3:22" x14ac:dyDescent="0.25">
      <c r="C104" s="618" t="s">
        <v>75</v>
      </c>
      <c r="D104" s="611">
        <v>2.9561544140625</v>
      </c>
      <c r="E104" s="611">
        <v>0</v>
      </c>
      <c r="F104" s="611">
        <v>8.5207834498967969</v>
      </c>
      <c r="G104" s="611">
        <v>0</v>
      </c>
      <c r="H104" s="611">
        <v>2.8438669910513061</v>
      </c>
      <c r="I104" s="611">
        <v>0</v>
      </c>
      <c r="J104" s="611">
        <v>0</v>
      </c>
      <c r="K104" s="611">
        <v>0</v>
      </c>
      <c r="L104" s="611">
        <v>0</v>
      </c>
      <c r="M104" s="611">
        <v>0</v>
      </c>
      <c r="N104" s="611">
        <v>0</v>
      </c>
      <c r="O104" s="611">
        <v>2.3268002654056139</v>
      </c>
      <c r="P104" s="611">
        <v>0</v>
      </c>
      <c r="Q104" s="611">
        <v>0</v>
      </c>
      <c r="R104" s="611">
        <v>65.316211737855681</v>
      </c>
      <c r="S104" s="611">
        <v>0</v>
      </c>
      <c r="T104" s="611">
        <v>0</v>
      </c>
      <c r="U104" s="619">
        <v>81.963816858271898</v>
      </c>
      <c r="V104" s="51"/>
    </row>
    <row r="105" spans="3:22" x14ac:dyDescent="0.25">
      <c r="C105" s="618" t="s">
        <v>76</v>
      </c>
      <c r="D105" s="611">
        <v>0</v>
      </c>
      <c r="E105" s="611">
        <v>0</v>
      </c>
      <c r="F105" s="611">
        <v>0</v>
      </c>
      <c r="G105" s="611">
        <v>0</v>
      </c>
      <c r="H105" s="611">
        <v>1.0508214280770161</v>
      </c>
      <c r="I105" s="611">
        <v>0</v>
      </c>
      <c r="J105" s="611">
        <v>0</v>
      </c>
      <c r="K105" s="611">
        <v>0</v>
      </c>
      <c r="L105" s="611">
        <v>0</v>
      </c>
      <c r="M105" s="611">
        <v>0</v>
      </c>
      <c r="N105" s="611">
        <v>0</v>
      </c>
      <c r="O105" s="611">
        <v>0.85976298660846773</v>
      </c>
      <c r="P105" s="611">
        <v>0</v>
      </c>
      <c r="Q105" s="611">
        <v>0</v>
      </c>
      <c r="R105" s="611">
        <v>60.605480102995763</v>
      </c>
      <c r="S105" s="611">
        <v>5.3274820450671472</v>
      </c>
      <c r="T105" s="611">
        <v>0</v>
      </c>
      <c r="U105" s="619">
        <v>67.843546562748386</v>
      </c>
      <c r="V105" s="51"/>
    </row>
    <row r="106" spans="3:22" x14ac:dyDescent="0.25">
      <c r="C106" s="614" t="s">
        <v>77</v>
      </c>
      <c r="D106" s="615">
        <v>10.5576943359375</v>
      </c>
      <c r="E106" s="615">
        <v>239.69119414034884</v>
      </c>
      <c r="F106" s="615">
        <v>-225.99389771989621</v>
      </c>
      <c r="G106" s="615">
        <v>-17.665386413709186</v>
      </c>
      <c r="H106" s="615">
        <v>12.13044112898603</v>
      </c>
      <c r="I106" s="615">
        <v>-3.6084739343150005</v>
      </c>
      <c r="J106" s="615">
        <v>1175.1327636363635</v>
      </c>
      <c r="K106" s="615">
        <v>409.44348403288171</v>
      </c>
      <c r="L106" s="615">
        <v>390.76047445811753</v>
      </c>
      <c r="M106" s="615">
        <v>14.899953828058331</v>
      </c>
      <c r="N106" s="615">
        <v>-127.05257554294144</v>
      </c>
      <c r="O106" s="615">
        <v>-72.630113662191249</v>
      </c>
      <c r="P106" s="615">
        <v>0</v>
      </c>
      <c r="Q106" s="615">
        <v>17.355956724061617</v>
      </c>
      <c r="R106" s="615">
        <v>-600.83776452722009</v>
      </c>
      <c r="S106" s="615">
        <v>-63.362364361854269</v>
      </c>
      <c r="T106" s="615">
        <v>-48.991084245125428</v>
      </c>
      <c r="U106" s="615">
        <v>1109.8303018775021</v>
      </c>
      <c r="V106" s="51"/>
    </row>
    <row r="107" spans="3:22" x14ac:dyDescent="0.25">
      <c r="C107" s="616"/>
      <c r="D107" s="617"/>
      <c r="E107" s="617"/>
      <c r="F107" s="617"/>
      <c r="G107" s="617"/>
      <c r="H107" s="623"/>
      <c r="I107" s="617"/>
      <c r="J107" s="617"/>
      <c r="K107" s="617"/>
      <c r="L107" s="617"/>
      <c r="M107" s="617"/>
      <c r="N107" s="617"/>
      <c r="O107" s="617"/>
      <c r="P107" s="617"/>
      <c r="Q107" s="617"/>
      <c r="R107" s="617"/>
      <c r="S107" s="617"/>
      <c r="T107" s="617"/>
      <c r="U107" s="617"/>
      <c r="V107" s="51"/>
    </row>
    <row r="108" spans="3:22" x14ac:dyDescent="0.25">
      <c r="C108" s="618" t="s">
        <v>78</v>
      </c>
      <c r="D108" s="611">
        <v>2.7829395451988024</v>
      </c>
      <c r="E108" s="611">
        <v>0</v>
      </c>
      <c r="F108" s="611">
        <v>5.9508631597557615</v>
      </c>
      <c r="G108" s="611">
        <v>0</v>
      </c>
      <c r="H108" s="611">
        <v>39.502554352900951</v>
      </c>
      <c r="I108" s="611">
        <v>0</v>
      </c>
      <c r="J108" s="611">
        <v>0</v>
      </c>
      <c r="K108" s="611">
        <v>0</v>
      </c>
      <c r="L108" s="611">
        <v>22.312304964799452</v>
      </c>
      <c r="M108" s="611">
        <v>6.9877021638277412</v>
      </c>
      <c r="N108" s="611">
        <v>2.0803229791147206</v>
      </c>
      <c r="O108" s="611">
        <v>32.358934550865669</v>
      </c>
      <c r="P108" s="611">
        <v>13.3040771484375</v>
      </c>
      <c r="Q108" s="611">
        <v>7.8820466826144567E-4</v>
      </c>
      <c r="R108" s="611">
        <v>173.89525275416003</v>
      </c>
      <c r="S108" s="611">
        <v>20.634753208520429</v>
      </c>
      <c r="T108" s="611">
        <v>9.0650810546875</v>
      </c>
      <c r="U108" s="619">
        <v>328.87557408693681</v>
      </c>
      <c r="V108" s="51"/>
    </row>
    <row r="109" spans="3:22" x14ac:dyDescent="0.25">
      <c r="C109" s="618" t="s">
        <v>79</v>
      </c>
      <c r="D109" s="611">
        <v>0</v>
      </c>
      <c r="E109" s="611">
        <v>0</v>
      </c>
      <c r="F109" s="611">
        <v>66.70797411064288</v>
      </c>
      <c r="G109" s="611">
        <v>1.4882117515392765</v>
      </c>
      <c r="H109" s="611">
        <v>4.2678947974839696</v>
      </c>
      <c r="I109" s="611">
        <v>0</v>
      </c>
      <c r="J109" s="611">
        <v>0</v>
      </c>
      <c r="K109" s="611">
        <v>0</v>
      </c>
      <c r="L109" s="611">
        <v>0</v>
      </c>
      <c r="M109" s="611">
        <v>0</v>
      </c>
      <c r="N109" s="611">
        <v>73.593483349125535</v>
      </c>
      <c r="O109" s="611">
        <v>3.4919139252141571</v>
      </c>
      <c r="P109" s="611">
        <v>0</v>
      </c>
      <c r="Q109" s="611">
        <v>0</v>
      </c>
      <c r="R109" s="611">
        <v>93.510067312183125</v>
      </c>
      <c r="S109" s="611">
        <v>0</v>
      </c>
      <c r="T109" s="611">
        <v>4.8685919891456626</v>
      </c>
      <c r="U109" s="619">
        <v>247.92813723533465</v>
      </c>
      <c r="V109" s="51"/>
    </row>
    <row r="110" spans="3:22" x14ac:dyDescent="0.25">
      <c r="C110" s="618" t="s">
        <v>80</v>
      </c>
      <c r="D110" s="611">
        <v>0</v>
      </c>
      <c r="E110" s="611">
        <v>0</v>
      </c>
      <c r="F110" s="611">
        <v>0.70989784165710235</v>
      </c>
      <c r="G110" s="611">
        <v>0</v>
      </c>
      <c r="H110" s="611">
        <v>19.424181377554081</v>
      </c>
      <c r="I110" s="611">
        <v>0</v>
      </c>
      <c r="J110" s="611">
        <v>0</v>
      </c>
      <c r="K110" s="611">
        <v>0</v>
      </c>
      <c r="L110" s="611">
        <v>42.672719714557346</v>
      </c>
      <c r="M110" s="611">
        <v>0</v>
      </c>
      <c r="N110" s="611">
        <v>0</v>
      </c>
      <c r="O110" s="611">
        <v>15.89251203618061</v>
      </c>
      <c r="P110" s="611">
        <v>97.294965653266104</v>
      </c>
      <c r="Q110" s="611">
        <v>2.7285855468891569</v>
      </c>
      <c r="R110" s="611">
        <v>153.62760172238077</v>
      </c>
      <c r="S110" s="611">
        <v>23.742467864871486</v>
      </c>
      <c r="T110" s="611">
        <v>0</v>
      </c>
      <c r="U110" s="619">
        <v>356.09293175735661</v>
      </c>
      <c r="V110" s="51"/>
    </row>
    <row r="111" spans="3:22" x14ac:dyDescent="0.25">
      <c r="C111" s="618" t="s">
        <v>81</v>
      </c>
      <c r="D111" s="611">
        <v>0</v>
      </c>
      <c r="E111" s="611">
        <v>0</v>
      </c>
      <c r="F111" s="611">
        <v>0.74292942782649596</v>
      </c>
      <c r="G111" s="611">
        <v>0</v>
      </c>
      <c r="H111" s="611">
        <v>12.370805829410971</v>
      </c>
      <c r="I111" s="611">
        <v>0</v>
      </c>
      <c r="J111" s="611">
        <v>0</v>
      </c>
      <c r="K111" s="611">
        <v>0</v>
      </c>
      <c r="L111" s="611">
        <v>0.54085293774126075</v>
      </c>
      <c r="M111" s="611">
        <v>0</v>
      </c>
      <c r="N111" s="611">
        <v>0</v>
      </c>
      <c r="O111" s="611">
        <v>10.121568405881703</v>
      </c>
      <c r="P111" s="611">
        <v>46.022009309639856</v>
      </c>
      <c r="Q111" s="611">
        <v>3.1511646453296667</v>
      </c>
      <c r="R111" s="611">
        <v>116.64209363039593</v>
      </c>
      <c r="S111" s="611">
        <v>18.985143288462343</v>
      </c>
      <c r="T111" s="611">
        <v>0</v>
      </c>
      <c r="U111" s="619">
        <v>208.57656747468823</v>
      </c>
      <c r="V111" s="51"/>
    </row>
    <row r="112" spans="3:22" x14ac:dyDescent="0.25">
      <c r="C112" s="618" t="s">
        <v>82</v>
      </c>
      <c r="D112" s="611">
        <v>0</v>
      </c>
      <c r="E112" s="611">
        <v>0</v>
      </c>
      <c r="F112" s="611">
        <v>11.703228817007544</v>
      </c>
      <c r="G112" s="611">
        <v>0</v>
      </c>
      <c r="H112" s="611">
        <v>0.92339628149237685</v>
      </c>
      <c r="I112" s="611">
        <v>0</v>
      </c>
      <c r="J112" s="611">
        <v>0</v>
      </c>
      <c r="K112" s="611">
        <v>0</v>
      </c>
      <c r="L112" s="611">
        <v>3.1309341562664299</v>
      </c>
      <c r="M112" s="611">
        <v>0</v>
      </c>
      <c r="N112" s="611">
        <v>14.856440343671846</v>
      </c>
      <c r="O112" s="611">
        <v>0.75550604849376291</v>
      </c>
      <c r="P112" s="611">
        <v>1</v>
      </c>
      <c r="Q112" s="611">
        <v>1.300620381405156</v>
      </c>
      <c r="R112" s="611">
        <v>6.8949646200608239</v>
      </c>
      <c r="S112" s="611">
        <v>0</v>
      </c>
      <c r="T112" s="611">
        <v>0.51648303978038701</v>
      </c>
      <c r="U112" s="619">
        <v>41.081573688178324</v>
      </c>
      <c r="V112" s="51"/>
    </row>
    <row r="113" spans="3:22" x14ac:dyDescent="0.25">
      <c r="C113" s="618" t="s">
        <v>354</v>
      </c>
      <c r="D113" s="611">
        <v>0</v>
      </c>
      <c r="E113" s="611">
        <v>0</v>
      </c>
      <c r="F113" s="611">
        <v>0</v>
      </c>
      <c r="G113" s="611">
        <v>0</v>
      </c>
      <c r="H113" s="611">
        <v>0</v>
      </c>
      <c r="I113" s="611">
        <v>0</v>
      </c>
      <c r="J113" s="611">
        <v>0</v>
      </c>
      <c r="K113" s="611">
        <v>0</v>
      </c>
      <c r="L113" s="611">
        <v>0</v>
      </c>
      <c r="M113" s="611">
        <v>0</v>
      </c>
      <c r="N113" s="611">
        <v>0</v>
      </c>
      <c r="O113" s="611">
        <v>0</v>
      </c>
      <c r="P113" s="611">
        <v>0</v>
      </c>
      <c r="Q113" s="611">
        <v>0</v>
      </c>
      <c r="R113" s="611">
        <v>3.2585999999999999</v>
      </c>
      <c r="S113" s="611">
        <v>0</v>
      </c>
      <c r="T113" s="611">
        <v>0</v>
      </c>
      <c r="U113" s="619">
        <v>3.2585999999999999</v>
      </c>
      <c r="V113" s="51"/>
    </row>
    <row r="114" spans="3:22" x14ac:dyDescent="0.25">
      <c r="C114" s="614" t="s">
        <v>83</v>
      </c>
      <c r="D114" s="615">
        <v>2.7829395451988024</v>
      </c>
      <c r="E114" s="615">
        <v>0</v>
      </c>
      <c r="F114" s="615">
        <v>85.814893356889769</v>
      </c>
      <c r="G114" s="615">
        <v>1.4882117515392765</v>
      </c>
      <c r="H114" s="615">
        <v>76.488832638842339</v>
      </c>
      <c r="I114" s="615">
        <v>0</v>
      </c>
      <c r="J114" s="615">
        <v>0</v>
      </c>
      <c r="K114" s="615">
        <v>0</v>
      </c>
      <c r="L114" s="615">
        <v>68.656811773364495</v>
      </c>
      <c r="M114" s="615">
        <v>6.9877021638277412</v>
      </c>
      <c r="N114" s="615">
        <v>90.53024667191211</v>
      </c>
      <c r="O114" s="615">
        <v>62.620434966635905</v>
      </c>
      <c r="P114" s="615">
        <v>157.62105211134346</v>
      </c>
      <c r="Q114" s="615">
        <v>7.1811587782922404</v>
      </c>
      <c r="R114" s="615">
        <v>547.82858003918068</v>
      </c>
      <c r="S114" s="615">
        <v>63.362364361854262</v>
      </c>
      <c r="T114" s="615">
        <v>14.45015608361355</v>
      </c>
      <c r="U114" s="615">
        <v>1185.8133842424947</v>
      </c>
      <c r="V114" s="51"/>
    </row>
    <row r="115" spans="3:22" x14ac:dyDescent="0.25">
      <c r="C115" s="610" t="s">
        <v>84</v>
      </c>
      <c r="D115" s="611">
        <v>0</v>
      </c>
      <c r="E115" s="611">
        <v>0</v>
      </c>
      <c r="F115" s="611">
        <v>83.18009003150803</v>
      </c>
      <c r="G115" s="611">
        <v>2.1194598778069409</v>
      </c>
      <c r="H115" s="611">
        <v>8.9820116802829233</v>
      </c>
      <c r="I115" s="611">
        <v>0</v>
      </c>
      <c r="J115" s="611">
        <v>0</v>
      </c>
      <c r="K115" s="611">
        <v>0</v>
      </c>
      <c r="L115" s="611">
        <v>0.34435996988737483</v>
      </c>
      <c r="M115" s="611">
        <v>0</v>
      </c>
      <c r="N115" s="611">
        <v>26.994386078959611</v>
      </c>
      <c r="O115" s="611">
        <v>7.771086156633026</v>
      </c>
      <c r="P115" s="611">
        <v>0</v>
      </c>
      <c r="Q115" s="611">
        <v>0</v>
      </c>
      <c r="R115" s="611">
        <v>0</v>
      </c>
      <c r="S115" s="611">
        <v>0</v>
      </c>
      <c r="T115" s="611">
        <v>30.755676878666431</v>
      </c>
      <c r="U115" s="619">
        <v>160.14707067374434</v>
      </c>
      <c r="V115" s="51"/>
    </row>
    <row r="116" spans="3:22" x14ac:dyDescent="0.25">
      <c r="C116" s="614" t="s">
        <v>85</v>
      </c>
      <c r="D116" s="615">
        <v>2.7829395451988024</v>
      </c>
      <c r="E116" s="615">
        <v>0</v>
      </c>
      <c r="F116" s="615">
        <v>168.9949833883978</v>
      </c>
      <c r="G116" s="615">
        <v>3.6076716293462177</v>
      </c>
      <c r="H116" s="615">
        <v>85.470844319125263</v>
      </c>
      <c r="I116" s="615">
        <v>0</v>
      </c>
      <c r="J116" s="615">
        <v>0</v>
      </c>
      <c r="K116" s="615">
        <v>0</v>
      </c>
      <c r="L116" s="615">
        <v>69.001171743251874</v>
      </c>
      <c r="M116" s="615">
        <v>6.9877021638277412</v>
      </c>
      <c r="N116" s="615">
        <v>117.52463275087172</v>
      </c>
      <c r="O116" s="615">
        <v>70.39152112326893</v>
      </c>
      <c r="P116" s="615">
        <v>157.62105211134346</v>
      </c>
      <c r="Q116" s="615">
        <v>7.1811587782922404</v>
      </c>
      <c r="R116" s="615">
        <v>547.82858003918068</v>
      </c>
      <c r="S116" s="615">
        <v>63.362364361854262</v>
      </c>
      <c r="T116" s="615">
        <v>45.205832962279985</v>
      </c>
      <c r="U116" s="615">
        <v>1345.9604549162391</v>
      </c>
      <c r="V116" s="51"/>
    </row>
    <row r="117" spans="3:22" x14ac:dyDescent="0.25">
      <c r="C117" s="51"/>
      <c r="D117" s="67">
        <v>0</v>
      </c>
      <c r="E117" s="67">
        <v>0</v>
      </c>
      <c r="F117" s="67">
        <v>0</v>
      </c>
      <c r="G117" s="67">
        <v>0</v>
      </c>
      <c r="H117" s="67">
        <v>0</v>
      </c>
      <c r="I117" s="67">
        <v>0</v>
      </c>
      <c r="J117" s="67">
        <v>0</v>
      </c>
      <c r="K117" s="67">
        <v>0</v>
      </c>
      <c r="L117" s="67">
        <v>0</v>
      </c>
      <c r="M117" s="67">
        <v>-4.0121337499243737E-4</v>
      </c>
      <c r="N117" s="67">
        <v>0</v>
      </c>
      <c r="O117" s="67">
        <v>1.1102230246251565E-14</v>
      </c>
      <c r="P117" s="67">
        <v>0</v>
      </c>
      <c r="Q117" s="67">
        <v>0</v>
      </c>
      <c r="R117" s="67">
        <v>1.1368683772161603E-13</v>
      </c>
      <c r="S117" s="67">
        <v>-7.1054273576010019E-15</v>
      </c>
      <c r="T117" s="67">
        <v>9.7699626167013776E-15</v>
      </c>
      <c r="U117" s="67">
        <v>-4.0121337542586843E-4</v>
      </c>
      <c r="V117" s="51"/>
    </row>
    <row r="118" spans="3:22" x14ac:dyDescent="0.25">
      <c r="C118" s="51"/>
      <c r="D118" s="51"/>
      <c r="E118" s="51"/>
      <c r="F118" s="51"/>
      <c r="G118" s="67"/>
      <c r="H118" s="51"/>
      <c r="I118" s="51"/>
      <c r="J118" s="51"/>
      <c r="K118" s="51"/>
      <c r="L118" s="51"/>
      <c r="M118" s="51"/>
      <c r="N118" s="51"/>
      <c r="O118" s="51"/>
      <c r="P118" s="51"/>
      <c r="Q118" s="51"/>
      <c r="R118" s="51"/>
      <c r="S118" s="51"/>
      <c r="T118" s="51"/>
      <c r="U118" s="51"/>
      <c r="V118" s="51"/>
    </row>
    <row r="119" spans="3:22" x14ac:dyDescent="0.25">
      <c r="C119" s="607" t="s">
        <v>518</v>
      </c>
      <c r="D119" s="606"/>
      <c r="E119" s="606"/>
      <c r="F119" s="606"/>
      <c r="G119" s="682"/>
      <c r="H119" s="606"/>
      <c r="I119" s="606"/>
      <c r="J119" s="606"/>
      <c r="K119" s="606"/>
      <c r="L119" s="606"/>
      <c r="M119" s="606"/>
      <c r="N119" s="606"/>
      <c r="O119" s="606"/>
      <c r="P119" s="606"/>
      <c r="Q119" s="606"/>
      <c r="R119" s="606"/>
      <c r="S119" s="606"/>
      <c r="T119" s="606"/>
      <c r="U119" s="606"/>
      <c r="V119" s="606"/>
    </row>
    <row r="120" spans="3:22" x14ac:dyDescent="0.25">
      <c r="C120" s="51"/>
      <c r="D120" s="51"/>
      <c r="E120" s="51"/>
      <c r="F120" s="51"/>
      <c r="G120" s="67"/>
      <c r="H120" s="51"/>
      <c r="I120" s="51"/>
      <c r="J120" s="51"/>
      <c r="K120" s="51"/>
      <c r="L120" s="51"/>
      <c r="M120" s="51"/>
      <c r="N120" s="51"/>
      <c r="O120" s="51"/>
      <c r="P120" s="51"/>
      <c r="Q120" s="51"/>
      <c r="R120" s="51"/>
      <c r="S120" s="51"/>
      <c r="T120" s="51"/>
      <c r="U120" s="51"/>
      <c r="V120" s="51"/>
    </row>
    <row r="121" spans="3:22" x14ac:dyDescent="0.25">
      <c r="C121" s="764" t="s">
        <v>128</v>
      </c>
      <c r="D121" s="753" t="s">
        <v>42</v>
      </c>
      <c r="E121" s="753" t="s">
        <v>52</v>
      </c>
      <c r="F121" s="753" t="s">
        <v>53</v>
      </c>
      <c r="G121" s="766" t="s">
        <v>482</v>
      </c>
      <c r="H121" s="753" t="s">
        <v>32</v>
      </c>
      <c r="I121" s="753" t="s">
        <v>483</v>
      </c>
      <c r="J121" s="753" t="s">
        <v>20</v>
      </c>
      <c r="K121" s="753" t="s">
        <v>55</v>
      </c>
      <c r="L121" s="761" t="s">
        <v>56</v>
      </c>
      <c r="M121" s="762"/>
      <c r="N121" s="762"/>
      <c r="O121" s="762"/>
      <c r="P121" s="762"/>
      <c r="Q121" s="763"/>
      <c r="R121" s="753" t="s">
        <v>57</v>
      </c>
      <c r="S121" s="753" t="s">
        <v>58</v>
      </c>
      <c r="T121" s="753" t="s">
        <v>31</v>
      </c>
      <c r="U121" s="753" t="s">
        <v>10</v>
      </c>
      <c r="V121" s="51"/>
    </row>
    <row r="122" spans="3:22" ht="36" x14ac:dyDescent="0.25">
      <c r="C122" s="765"/>
      <c r="D122" s="754"/>
      <c r="E122" s="754"/>
      <c r="F122" s="754"/>
      <c r="G122" s="767"/>
      <c r="H122" s="754"/>
      <c r="I122" s="754"/>
      <c r="J122" s="754"/>
      <c r="K122" s="754"/>
      <c r="L122" s="608" t="s">
        <v>335</v>
      </c>
      <c r="M122" s="608" t="s">
        <v>40</v>
      </c>
      <c r="N122" s="608" t="s">
        <v>343</v>
      </c>
      <c r="O122" s="608" t="s">
        <v>344</v>
      </c>
      <c r="P122" s="609" t="s">
        <v>345</v>
      </c>
      <c r="Q122" s="608" t="s">
        <v>346</v>
      </c>
      <c r="R122" s="754"/>
      <c r="S122" s="754"/>
      <c r="T122" s="754"/>
      <c r="U122" s="754"/>
      <c r="V122" s="51"/>
    </row>
    <row r="123" spans="3:22" x14ac:dyDescent="0.25">
      <c r="C123" s="610" t="s">
        <v>59</v>
      </c>
      <c r="D123" s="611">
        <v>0</v>
      </c>
      <c r="E123" s="611">
        <v>0</v>
      </c>
      <c r="F123" s="611">
        <v>0</v>
      </c>
      <c r="G123" s="611">
        <v>0</v>
      </c>
      <c r="H123" s="611">
        <v>0</v>
      </c>
      <c r="I123" s="611">
        <v>0</v>
      </c>
      <c r="J123" s="612">
        <v>1052.7157454545454</v>
      </c>
      <c r="K123" s="612">
        <v>465.75813055383361</v>
      </c>
      <c r="L123" s="612">
        <v>458.29162667613781</v>
      </c>
      <c r="M123" s="612">
        <v>21.28454284594844</v>
      </c>
      <c r="N123" s="611">
        <v>1.638642873490971</v>
      </c>
      <c r="O123" s="611">
        <v>0.1692153726460352</v>
      </c>
      <c r="P123" s="612">
        <v>165.69992491801096</v>
      </c>
      <c r="Q123" s="612">
        <v>25.254108394560834</v>
      </c>
      <c r="R123" s="611">
        <v>0</v>
      </c>
      <c r="S123" s="611">
        <v>0</v>
      </c>
      <c r="T123" s="611">
        <v>0</v>
      </c>
      <c r="U123" s="613">
        <v>2190.8119370891736</v>
      </c>
      <c r="V123" s="51"/>
    </row>
    <row r="124" spans="3:22" x14ac:dyDescent="0.25">
      <c r="C124" s="610" t="s">
        <v>60</v>
      </c>
      <c r="D124" s="611">
        <v>6.0767583671953336</v>
      </c>
      <c r="E124" s="611">
        <v>189.53853209341332</v>
      </c>
      <c r="F124" s="611">
        <v>3.6404081450569747</v>
      </c>
      <c r="G124" s="611">
        <v>0</v>
      </c>
      <c r="H124" s="611">
        <v>70.464271488338852</v>
      </c>
      <c r="I124" s="611">
        <v>0</v>
      </c>
      <c r="J124" s="611">
        <v>0</v>
      </c>
      <c r="K124" s="611">
        <v>0</v>
      </c>
      <c r="L124" s="611">
        <v>4.5400000946661896</v>
      </c>
      <c r="M124" s="611">
        <v>0</v>
      </c>
      <c r="N124" s="611">
        <v>5.926124897298644</v>
      </c>
      <c r="O124" s="611">
        <v>0</v>
      </c>
      <c r="P124" s="611">
        <v>0</v>
      </c>
      <c r="Q124" s="611">
        <v>0</v>
      </c>
      <c r="R124" s="611">
        <v>0</v>
      </c>
      <c r="S124" s="611">
        <v>0</v>
      </c>
      <c r="T124" s="611">
        <v>0</v>
      </c>
      <c r="U124" s="613">
        <v>280.18609508596927</v>
      </c>
      <c r="V124" s="51"/>
    </row>
    <row r="125" spans="3:22" x14ac:dyDescent="0.25">
      <c r="C125" s="610" t="s">
        <v>61</v>
      </c>
      <c r="D125" s="611">
        <v>0</v>
      </c>
      <c r="E125" s="611">
        <v>0</v>
      </c>
      <c r="F125" s="611">
        <v>-34.688318370921742</v>
      </c>
      <c r="G125" s="611">
        <v>-5.1567908130260314</v>
      </c>
      <c r="H125" s="611">
        <v>0</v>
      </c>
      <c r="I125" s="611">
        <v>0</v>
      </c>
      <c r="J125" s="611">
        <v>0</v>
      </c>
      <c r="K125" s="611">
        <v>0</v>
      </c>
      <c r="L125" s="611">
        <v>0</v>
      </c>
      <c r="M125" s="611">
        <v>0</v>
      </c>
      <c r="N125" s="611">
        <v>0</v>
      </c>
      <c r="O125" s="611">
        <v>0</v>
      </c>
      <c r="P125" s="611">
        <v>0</v>
      </c>
      <c r="Q125" s="611">
        <v>0</v>
      </c>
      <c r="R125" s="611">
        <v>-12.796023203874938</v>
      </c>
      <c r="S125" s="611">
        <v>0</v>
      </c>
      <c r="T125" s="611">
        <v>0</v>
      </c>
      <c r="U125" s="613">
        <v>-52.641132387822708</v>
      </c>
      <c r="V125" s="51"/>
    </row>
    <row r="126" spans="3:22" x14ac:dyDescent="0.25">
      <c r="C126" s="610" t="s">
        <v>62</v>
      </c>
      <c r="D126" s="611">
        <v>0</v>
      </c>
      <c r="E126" s="611">
        <v>0</v>
      </c>
      <c r="F126" s="611">
        <v>-3.5615694502361057</v>
      </c>
      <c r="G126" s="611">
        <v>-4.706211381166379</v>
      </c>
      <c r="H126" s="611">
        <v>0</v>
      </c>
      <c r="I126" s="611">
        <v>-3.8584286845410238</v>
      </c>
      <c r="J126" s="611">
        <v>0</v>
      </c>
      <c r="K126" s="611">
        <v>0</v>
      </c>
      <c r="L126" s="611">
        <v>0</v>
      </c>
      <c r="M126" s="611">
        <v>0</v>
      </c>
      <c r="N126" s="611">
        <v>-1.4330438936791221</v>
      </c>
      <c r="O126" s="611">
        <v>-2.5722857896940159</v>
      </c>
      <c r="P126" s="611">
        <v>0</v>
      </c>
      <c r="Q126" s="611">
        <v>0</v>
      </c>
      <c r="R126" s="611">
        <v>0</v>
      </c>
      <c r="S126" s="611">
        <v>0</v>
      </c>
      <c r="T126" s="611">
        <v>-1.5542726935255338</v>
      </c>
      <c r="U126" s="613">
        <v>-17.685811892842178</v>
      </c>
      <c r="V126" s="51"/>
    </row>
    <row r="127" spans="3:22" x14ac:dyDescent="0.25">
      <c r="C127" s="610" t="s">
        <v>63</v>
      </c>
      <c r="D127" s="611">
        <v>0</v>
      </c>
      <c r="E127" s="611">
        <v>0</v>
      </c>
      <c r="F127" s="611">
        <v>-31.271549575274978</v>
      </c>
      <c r="G127" s="611">
        <v>-12.658057837302275</v>
      </c>
      <c r="H127" s="611">
        <v>0</v>
      </c>
      <c r="I127" s="611">
        <v>0</v>
      </c>
      <c r="J127" s="611">
        <v>0</v>
      </c>
      <c r="K127" s="611">
        <v>0</v>
      </c>
      <c r="L127" s="611">
        <v>0</v>
      </c>
      <c r="M127" s="611">
        <v>0</v>
      </c>
      <c r="N127" s="611">
        <v>-15.442835023025614</v>
      </c>
      <c r="O127" s="611">
        <v>0</v>
      </c>
      <c r="P127" s="611">
        <v>0</v>
      </c>
      <c r="Q127" s="611">
        <v>0</v>
      </c>
      <c r="R127" s="611">
        <v>0</v>
      </c>
      <c r="S127" s="611">
        <v>0</v>
      </c>
      <c r="T127" s="611">
        <v>-4.141098204696295</v>
      </c>
      <c r="U127" s="613">
        <v>-63.513540640299169</v>
      </c>
      <c r="V127" s="51"/>
    </row>
    <row r="128" spans="3:22" x14ac:dyDescent="0.25">
      <c r="C128" s="610" t="s">
        <v>64</v>
      </c>
      <c r="D128" s="611">
        <v>0</v>
      </c>
      <c r="E128" s="611">
        <v>0</v>
      </c>
      <c r="F128" s="611">
        <v>0</v>
      </c>
      <c r="G128" s="611">
        <v>0</v>
      </c>
      <c r="H128" s="611">
        <v>0</v>
      </c>
      <c r="I128" s="611">
        <v>0</v>
      </c>
      <c r="J128" s="611">
        <v>0</v>
      </c>
      <c r="K128" s="611">
        <v>0</v>
      </c>
      <c r="L128" s="611">
        <v>0</v>
      </c>
      <c r="M128" s="611">
        <v>0</v>
      </c>
      <c r="N128" s="611">
        <v>0</v>
      </c>
      <c r="O128" s="611">
        <v>0</v>
      </c>
      <c r="P128" s="611">
        <v>0</v>
      </c>
      <c r="Q128" s="611">
        <v>0</v>
      </c>
      <c r="R128" s="611">
        <v>0</v>
      </c>
      <c r="S128" s="611">
        <v>0</v>
      </c>
      <c r="T128" s="611">
        <v>0</v>
      </c>
      <c r="U128" s="613">
        <v>0</v>
      </c>
      <c r="V128" s="51"/>
    </row>
    <row r="129" spans="3:22" x14ac:dyDescent="0.25">
      <c r="C129" s="614" t="s">
        <v>65</v>
      </c>
      <c r="D129" s="615">
        <v>6.0767583671953336</v>
      </c>
      <c r="E129" s="615">
        <v>189.53853209341332</v>
      </c>
      <c r="F129" s="615">
        <v>-65.88102925137585</v>
      </c>
      <c r="G129" s="615">
        <v>-22.521060031494684</v>
      </c>
      <c r="H129" s="615">
        <v>70.464271488338852</v>
      </c>
      <c r="I129" s="615">
        <v>-3.8584286845410238</v>
      </c>
      <c r="J129" s="615">
        <v>1052.7157454545454</v>
      </c>
      <c r="K129" s="615">
        <v>465.75813055383361</v>
      </c>
      <c r="L129" s="615">
        <v>462.83162677080401</v>
      </c>
      <c r="M129" s="615">
        <v>21.28454284594844</v>
      </c>
      <c r="N129" s="615">
        <v>-9.3111111459151203</v>
      </c>
      <c r="O129" s="615">
        <v>-2.4030704170479806</v>
      </c>
      <c r="P129" s="615">
        <v>165.69992491801096</v>
      </c>
      <c r="Q129" s="615">
        <v>25.254108394560834</v>
      </c>
      <c r="R129" s="615">
        <v>-12.796023203874938</v>
      </c>
      <c r="S129" s="615">
        <v>0</v>
      </c>
      <c r="T129" s="615">
        <v>-5.695370898221829</v>
      </c>
      <c r="U129" s="615">
        <v>2337.1575472541786</v>
      </c>
      <c r="V129" s="51"/>
    </row>
    <row r="130" spans="3:22" x14ac:dyDescent="0.25">
      <c r="C130" s="616"/>
      <c r="D130" s="617"/>
      <c r="E130" s="617"/>
      <c r="F130" s="617"/>
      <c r="G130" s="617"/>
      <c r="H130" s="623"/>
      <c r="I130" s="617"/>
      <c r="J130" s="617"/>
      <c r="K130" s="617"/>
      <c r="L130" s="617"/>
      <c r="M130" s="617"/>
      <c r="N130" s="617"/>
      <c r="O130" s="617"/>
      <c r="P130" s="617"/>
      <c r="Q130" s="617"/>
      <c r="R130" s="617"/>
      <c r="S130" s="617"/>
      <c r="T130" s="617"/>
      <c r="U130" s="617"/>
      <c r="V130" s="51"/>
    </row>
    <row r="131" spans="3:22" x14ac:dyDescent="0.25">
      <c r="C131" s="618" t="s">
        <v>67</v>
      </c>
      <c r="D131" s="611">
        <v>0</v>
      </c>
      <c r="E131" s="611">
        <v>0</v>
      </c>
      <c r="F131" s="611">
        <v>0</v>
      </c>
      <c r="G131" s="611">
        <v>0</v>
      </c>
      <c r="H131" s="611">
        <v>0</v>
      </c>
      <c r="I131" s="611">
        <v>0</v>
      </c>
      <c r="J131" s="611">
        <v>0</v>
      </c>
      <c r="K131" s="611">
        <v>0</v>
      </c>
      <c r="L131" s="611">
        <v>0</v>
      </c>
      <c r="M131" s="611">
        <v>0</v>
      </c>
      <c r="N131" s="611">
        <v>0</v>
      </c>
      <c r="O131" s="611">
        <v>0</v>
      </c>
      <c r="P131" s="611">
        <v>0</v>
      </c>
      <c r="Q131" s="611">
        <v>0</v>
      </c>
      <c r="R131" s="611">
        <v>0</v>
      </c>
      <c r="S131" s="611">
        <v>0</v>
      </c>
      <c r="T131" s="611">
        <v>0</v>
      </c>
      <c r="U131" s="619">
        <v>0</v>
      </c>
      <c r="V131" s="51"/>
    </row>
    <row r="132" spans="3:22" x14ac:dyDescent="0.25">
      <c r="C132" s="618" t="s">
        <v>347</v>
      </c>
      <c r="D132" s="611">
        <v>0</v>
      </c>
      <c r="E132" s="611">
        <v>0</v>
      </c>
      <c r="F132" s="611">
        <v>2.6460781360013397E-2</v>
      </c>
      <c r="G132" s="611">
        <v>0</v>
      </c>
      <c r="H132" s="611">
        <v>0.60214660944206022</v>
      </c>
      <c r="I132" s="611">
        <v>0</v>
      </c>
      <c r="J132" s="611">
        <v>1052.7157454545454</v>
      </c>
      <c r="K132" s="611">
        <v>465.75813055383361</v>
      </c>
      <c r="L132" s="611">
        <v>22.779216201567415</v>
      </c>
      <c r="M132" s="611">
        <v>0.6151276496340945</v>
      </c>
      <c r="N132" s="611">
        <v>6.0578717375904887</v>
      </c>
      <c r="O132" s="611">
        <v>1.0172956568090692</v>
      </c>
      <c r="P132" s="611">
        <v>0</v>
      </c>
      <c r="Q132" s="611">
        <v>6.4590957564387725</v>
      </c>
      <c r="R132" s="611">
        <v>-864.21525686437747</v>
      </c>
      <c r="S132" s="611">
        <v>0</v>
      </c>
      <c r="T132" s="611">
        <v>4.5921899999999996</v>
      </c>
      <c r="U132" s="619">
        <v>696.40802353684307</v>
      </c>
      <c r="V132" s="51"/>
    </row>
    <row r="133" spans="3:22" x14ac:dyDescent="0.25">
      <c r="C133" s="618" t="s">
        <v>348</v>
      </c>
      <c r="D133" s="611">
        <v>0</v>
      </c>
      <c r="E133" s="611">
        <v>0</v>
      </c>
      <c r="F133" s="611">
        <v>0</v>
      </c>
      <c r="G133" s="611">
        <v>0</v>
      </c>
      <c r="H133" s="611">
        <v>4.7590942657711111</v>
      </c>
      <c r="I133" s="611">
        <v>0</v>
      </c>
      <c r="J133" s="611">
        <v>0</v>
      </c>
      <c r="K133" s="611">
        <v>0</v>
      </c>
      <c r="L133" s="611">
        <v>35.020832419252756</v>
      </c>
      <c r="M133" s="611">
        <v>14.389092995722686</v>
      </c>
      <c r="N133" s="611">
        <v>0</v>
      </c>
      <c r="O133" s="611">
        <v>7.1535057814044487</v>
      </c>
      <c r="P133" s="611">
        <v>0</v>
      </c>
      <c r="Q133" s="611">
        <v>11.121209229272322</v>
      </c>
      <c r="R133" s="611">
        <v>0</v>
      </c>
      <c r="S133" s="611">
        <v>-67.886864446200079</v>
      </c>
      <c r="T133" s="611">
        <v>0</v>
      </c>
      <c r="U133" s="619">
        <v>4.5568702452232372</v>
      </c>
      <c r="V133" s="51"/>
    </row>
    <row r="134" spans="3:22" x14ac:dyDescent="0.25">
      <c r="C134" s="618" t="s">
        <v>349</v>
      </c>
      <c r="D134" s="611">
        <v>0</v>
      </c>
      <c r="E134" s="611">
        <v>0</v>
      </c>
      <c r="F134" s="611">
        <v>0</v>
      </c>
      <c r="G134" s="611">
        <v>0</v>
      </c>
      <c r="H134" s="611">
        <v>0</v>
      </c>
      <c r="I134" s="611">
        <v>0</v>
      </c>
      <c r="J134" s="611">
        <v>0</v>
      </c>
      <c r="K134" s="611">
        <v>0</v>
      </c>
      <c r="L134" s="611">
        <v>98.086794246206622</v>
      </c>
      <c r="M134" s="611">
        <v>0</v>
      </c>
      <c r="N134" s="611">
        <v>0</v>
      </c>
      <c r="O134" s="611">
        <v>-89.52835419130885</v>
      </c>
      <c r="P134" s="611">
        <v>0</v>
      </c>
      <c r="Q134" s="611">
        <v>0</v>
      </c>
      <c r="R134" s="611">
        <v>0</v>
      </c>
      <c r="S134" s="611">
        <v>0</v>
      </c>
      <c r="T134" s="611">
        <v>0</v>
      </c>
      <c r="U134" s="619">
        <v>8.5584400548977726</v>
      </c>
      <c r="V134" s="51"/>
    </row>
    <row r="135" spans="3:22" x14ac:dyDescent="0.25">
      <c r="C135" s="618" t="s">
        <v>350</v>
      </c>
      <c r="D135" s="611">
        <v>0</v>
      </c>
      <c r="E135" s="611">
        <v>0</v>
      </c>
      <c r="F135" s="611">
        <v>0</v>
      </c>
      <c r="G135" s="611">
        <v>0</v>
      </c>
      <c r="H135" s="611">
        <v>0</v>
      </c>
      <c r="I135" s="611">
        <v>-4.6239120861329353</v>
      </c>
      <c r="J135" s="611">
        <v>0</v>
      </c>
      <c r="K135" s="611">
        <v>0</v>
      </c>
      <c r="L135" s="611">
        <v>0</v>
      </c>
      <c r="M135" s="611">
        <v>0</v>
      </c>
      <c r="N135" s="611">
        <v>0</v>
      </c>
      <c r="O135" s="611">
        <v>0</v>
      </c>
      <c r="P135" s="611">
        <v>0</v>
      </c>
      <c r="Q135" s="611">
        <v>0</v>
      </c>
      <c r="R135" s="611">
        <v>0</v>
      </c>
      <c r="S135" s="611">
        <v>0</v>
      </c>
      <c r="T135" s="611">
        <v>6.4247824825814277</v>
      </c>
      <c r="U135" s="619">
        <v>1.8008703964484924</v>
      </c>
      <c r="V135" s="51"/>
    </row>
    <row r="136" spans="3:22" x14ac:dyDescent="0.25">
      <c r="C136" s="618" t="s">
        <v>72</v>
      </c>
      <c r="D136" s="611">
        <v>0</v>
      </c>
      <c r="E136" s="611">
        <v>196.4036879947414</v>
      </c>
      <c r="F136" s="611">
        <v>-194.44562503379805</v>
      </c>
      <c r="G136" s="611">
        <v>0</v>
      </c>
      <c r="H136" s="611">
        <v>0</v>
      </c>
      <c r="I136" s="611">
        <v>0</v>
      </c>
      <c r="J136" s="611">
        <v>0</v>
      </c>
      <c r="K136" s="611">
        <v>0</v>
      </c>
      <c r="L136" s="611">
        <v>0</v>
      </c>
      <c r="M136" s="611">
        <v>0</v>
      </c>
      <c r="N136" s="611">
        <v>0</v>
      </c>
      <c r="O136" s="611">
        <v>0</v>
      </c>
      <c r="P136" s="611">
        <v>0</v>
      </c>
      <c r="Q136" s="611">
        <v>0</v>
      </c>
      <c r="R136" s="611">
        <v>0</v>
      </c>
      <c r="S136" s="611">
        <v>0</v>
      </c>
      <c r="T136" s="611">
        <v>0</v>
      </c>
      <c r="U136" s="619">
        <v>1.9580629609433515</v>
      </c>
      <c r="V136" s="51"/>
    </row>
    <row r="137" spans="3:22" x14ac:dyDescent="0.25">
      <c r="C137" s="618" t="s">
        <v>351</v>
      </c>
      <c r="D137" s="611">
        <v>0</v>
      </c>
      <c r="E137" s="611">
        <v>0</v>
      </c>
      <c r="F137" s="611">
        <v>0</v>
      </c>
      <c r="G137" s="611">
        <v>0</v>
      </c>
      <c r="H137" s="611">
        <v>0</v>
      </c>
      <c r="I137" s="611">
        <v>0</v>
      </c>
      <c r="J137" s="611">
        <v>0</v>
      </c>
      <c r="K137" s="611">
        <v>0</v>
      </c>
      <c r="L137" s="611">
        <v>241.36175808721262</v>
      </c>
      <c r="M137" s="611">
        <v>0</v>
      </c>
      <c r="N137" s="611">
        <v>-132.74896694796695</v>
      </c>
      <c r="O137" s="611">
        <v>0</v>
      </c>
      <c r="P137" s="611">
        <v>0</v>
      </c>
      <c r="Q137" s="611">
        <v>0</v>
      </c>
      <c r="R137" s="611">
        <v>0</v>
      </c>
      <c r="S137" s="611">
        <v>0</v>
      </c>
      <c r="T137" s="611">
        <v>0</v>
      </c>
      <c r="U137" s="619">
        <v>108.61279113924567</v>
      </c>
      <c r="V137" s="51"/>
    </row>
    <row r="138" spans="3:22" x14ac:dyDescent="0.25">
      <c r="C138" s="618" t="s">
        <v>352</v>
      </c>
      <c r="D138" s="611">
        <v>0</v>
      </c>
      <c r="E138" s="611">
        <v>0</v>
      </c>
      <c r="F138" s="611">
        <v>0</v>
      </c>
      <c r="G138" s="611">
        <v>-27.150443830477386</v>
      </c>
      <c r="H138" s="611">
        <v>0</v>
      </c>
      <c r="I138" s="611">
        <v>0</v>
      </c>
      <c r="J138" s="611">
        <v>0</v>
      </c>
      <c r="K138" s="611">
        <v>0</v>
      </c>
      <c r="L138" s="611">
        <v>0</v>
      </c>
      <c r="M138" s="611">
        <v>0</v>
      </c>
      <c r="N138" s="611">
        <v>0</v>
      </c>
      <c r="O138" s="611">
        <v>0</v>
      </c>
      <c r="P138" s="611">
        <v>0</v>
      </c>
      <c r="Q138" s="611">
        <v>0</v>
      </c>
      <c r="R138" s="611">
        <v>0</v>
      </c>
      <c r="S138" s="611">
        <v>0</v>
      </c>
      <c r="T138" s="611">
        <v>35.330371623276704</v>
      </c>
      <c r="U138" s="619">
        <v>8.1799277927993188</v>
      </c>
      <c r="V138" s="51"/>
    </row>
    <row r="139" spans="3:22" x14ac:dyDescent="0.25">
      <c r="C139" s="618" t="s">
        <v>73</v>
      </c>
      <c r="D139" s="611">
        <v>0</v>
      </c>
      <c r="E139" s="611">
        <v>0</v>
      </c>
      <c r="F139" s="611">
        <v>0</v>
      </c>
      <c r="G139" s="611">
        <v>0</v>
      </c>
      <c r="H139" s="611">
        <v>0</v>
      </c>
      <c r="I139" s="611">
        <v>0</v>
      </c>
      <c r="J139" s="611">
        <v>0</v>
      </c>
      <c r="K139" s="611">
        <v>0</v>
      </c>
      <c r="L139" s="611">
        <v>0</v>
      </c>
      <c r="M139" s="611">
        <v>0</v>
      </c>
      <c r="N139" s="611">
        <v>0</v>
      </c>
      <c r="O139" s="611">
        <v>0</v>
      </c>
      <c r="P139" s="611">
        <v>0</v>
      </c>
      <c r="Q139" s="611">
        <v>0</v>
      </c>
      <c r="R139" s="611">
        <v>159.35334325164439</v>
      </c>
      <c r="S139" s="611">
        <v>0</v>
      </c>
      <c r="T139" s="611">
        <v>-110.83025023151868</v>
      </c>
      <c r="U139" s="619">
        <v>48.523093020125714</v>
      </c>
      <c r="V139" s="51"/>
    </row>
    <row r="140" spans="3:22" x14ac:dyDescent="0.25">
      <c r="C140" s="618" t="s">
        <v>353</v>
      </c>
      <c r="D140" s="611">
        <v>2.8675768359375002</v>
      </c>
      <c r="E140" s="611">
        <v>-6.865155901328059</v>
      </c>
      <c r="F140" s="611">
        <v>8.9495873677013247</v>
      </c>
      <c r="G140" s="611">
        <v>0</v>
      </c>
      <c r="H140" s="611">
        <v>0</v>
      </c>
      <c r="I140" s="611">
        <v>0</v>
      </c>
      <c r="J140" s="611">
        <v>0</v>
      </c>
      <c r="K140" s="611">
        <v>0</v>
      </c>
      <c r="L140" s="611">
        <v>0</v>
      </c>
      <c r="M140" s="611">
        <v>0</v>
      </c>
      <c r="N140" s="611">
        <v>0</v>
      </c>
      <c r="O140" s="611">
        <v>0</v>
      </c>
      <c r="P140" s="611">
        <v>0</v>
      </c>
      <c r="Q140" s="611">
        <v>0</v>
      </c>
      <c r="R140" s="611">
        <v>0</v>
      </c>
      <c r="S140" s="611">
        <v>0</v>
      </c>
      <c r="T140" s="611">
        <v>0</v>
      </c>
      <c r="U140" s="619">
        <v>4.9520083023107659</v>
      </c>
      <c r="V140" s="51"/>
    </row>
    <row r="141" spans="3:22" x14ac:dyDescent="0.25">
      <c r="C141" s="618" t="s">
        <v>75</v>
      </c>
      <c r="D141" s="611">
        <v>1.1151687695312502</v>
      </c>
      <c r="E141" s="611">
        <v>0</v>
      </c>
      <c r="F141" s="611">
        <v>6.7328106776803835</v>
      </c>
      <c r="G141" s="611">
        <v>0</v>
      </c>
      <c r="H141" s="611">
        <v>2.2924587532620087</v>
      </c>
      <c r="I141" s="611">
        <v>3.0296811717119062E-2</v>
      </c>
      <c r="J141" s="611">
        <v>0</v>
      </c>
      <c r="K141" s="611">
        <v>0</v>
      </c>
      <c r="L141" s="611">
        <v>0</v>
      </c>
      <c r="M141" s="611">
        <v>0</v>
      </c>
      <c r="N141" s="611">
        <v>0</v>
      </c>
      <c r="O141" s="611">
        <v>2.7267130545407157</v>
      </c>
      <c r="P141" s="611">
        <v>0</v>
      </c>
      <c r="Q141" s="611">
        <v>0</v>
      </c>
      <c r="R141" s="611">
        <v>65.383687298326777</v>
      </c>
      <c r="S141" s="611">
        <v>0</v>
      </c>
      <c r="T141" s="611">
        <v>0</v>
      </c>
      <c r="U141" s="619">
        <v>78.281135365058248</v>
      </c>
      <c r="V141" s="51"/>
    </row>
    <row r="142" spans="3:22" x14ac:dyDescent="0.25">
      <c r="C142" s="618" t="s">
        <v>76</v>
      </c>
      <c r="D142" s="611">
        <v>0</v>
      </c>
      <c r="E142" s="611">
        <v>0</v>
      </c>
      <c r="F142" s="611">
        <v>0</v>
      </c>
      <c r="G142" s="611">
        <v>0</v>
      </c>
      <c r="H142" s="611">
        <v>0.75897137289116512</v>
      </c>
      <c r="I142" s="611">
        <v>1.0030458672570465E-2</v>
      </c>
      <c r="J142" s="611">
        <v>0</v>
      </c>
      <c r="K142" s="611">
        <v>0</v>
      </c>
      <c r="L142" s="611">
        <v>0</v>
      </c>
      <c r="M142" s="611">
        <v>0</v>
      </c>
      <c r="N142" s="611">
        <v>0</v>
      </c>
      <c r="O142" s="611">
        <v>0.90274128053134184</v>
      </c>
      <c r="P142" s="611">
        <v>0</v>
      </c>
      <c r="Q142" s="611">
        <v>0</v>
      </c>
      <c r="R142" s="611">
        <v>65.177824183593955</v>
      </c>
      <c r="S142" s="611">
        <v>5.2653500556957935</v>
      </c>
      <c r="T142" s="611">
        <v>0</v>
      </c>
      <c r="U142" s="619">
        <v>72.114917351384818</v>
      </c>
      <c r="V142" s="51"/>
    </row>
    <row r="143" spans="3:22" x14ac:dyDescent="0.25">
      <c r="C143" s="614" t="s">
        <v>77</v>
      </c>
      <c r="D143" s="615">
        <v>3.9827456054687502</v>
      </c>
      <c r="E143" s="615">
        <v>189.53853209341335</v>
      </c>
      <c r="F143" s="615">
        <v>-178.73676620705632</v>
      </c>
      <c r="G143" s="615">
        <v>-27.150443830477386</v>
      </c>
      <c r="H143" s="615">
        <v>8.4126710013663466</v>
      </c>
      <c r="I143" s="615">
        <v>-4.5835848157432455</v>
      </c>
      <c r="J143" s="615">
        <v>1052.7157454545454</v>
      </c>
      <c r="K143" s="615">
        <v>465.75813055383361</v>
      </c>
      <c r="L143" s="615">
        <v>397.24860095423941</v>
      </c>
      <c r="M143" s="615">
        <v>15.004220645356781</v>
      </c>
      <c r="N143" s="615">
        <v>-126.69109521037646</v>
      </c>
      <c r="O143" s="615">
        <v>-77.728098418023279</v>
      </c>
      <c r="P143" s="615">
        <v>0</v>
      </c>
      <c r="Q143" s="615">
        <v>17.580304985711095</v>
      </c>
      <c r="R143" s="615">
        <v>-574.30040213081236</v>
      </c>
      <c r="S143" s="615">
        <v>-62.621514390504288</v>
      </c>
      <c r="T143" s="615">
        <v>-64.482906125660548</v>
      </c>
      <c r="U143" s="615">
        <v>1033.9461401652807</v>
      </c>
      <c r="V143" s="51"/>
    </row>
    <row r="144" spans="3:22" x14ac:dyDescent="0.25">
      <c r="C144" s="616"/>
      <c r="D144" s="617"/>
      <c r="E144" s="617"/>
      <c r="F144" s="617"/>
      <c r="G144" s="617"/>
      <c r="H144" s="623"/>
      <c r="I144" s="617"/>
      <c r="J144" s="617"/>
      <c r="K144" s="617"/>
      <c r="L144" s="617"/>
      <c r="M144" s="617"/>
      <c r="N144" s="617"/>
      <c r="O144" s="617"/>
      <c r="P144" s="617"/>
      <c r="Q144" s="617"/>
      <c r="R144" s="617"/>
      <c r="S144" s="617"/>
      <c r="T144" s="617"/>
      <c r="U144" s="617"/>
      <c r="V144" s="51"/>
    </row>
    <row r="145" spans="3:22" x14ac:dyDescent="0.25">
      <c r="C145" s="618" t="s">
        <v>78</v>
      </c>
      <c r="D145" s="611">
        <v>2.0940127617265829</v>
      </c>
      <c r="E145" s="611">
        <v>0</v>
      </c>
      <c r="F145" s="611">
        <v>3.9559881090060012</v>
      </c>
      <c r="G145" s="611">
        <v>0</v>
      </c>
      <c r="H145" s="611">
        <v>29.330369351366478</v>
      </c>
      <c r="I145" s="611">
        <v>0.38762602667004159</v>
      </c>
      <c r="J145" s="611">
        <v>0</v>
      </c>
      <c r="K145" s="611">
        <v>0</v>
      </c>
      <c r="L145" s="611">
        <v>22.502553570699096</v>
      </c>
      <c r="M145" s="611">
        <v>6.2799536188843161</v>
      </c>
      <c r="N145" s="611">
        <v>2.4575263222437633</v>
      </c>
      <c r="O145" s="611">
        <v>34.926617647556021</v>
      </c>
      <c r="P145" s="611">
        <v>15.884769531250001</v>
      </c>
      <c r="Q145" s="611">
        <v>8.2107689234467234E-4</v>
      </c>
      <c r="R145" s="611">
        <v>182.47691843600197</v>
      </c>
      <c r="S145" s="611">
        <v>21.072717059029664</v>
      </c>
      <c r="T145" s="611">
        <v>11.809244140624999</v>
      </c>
      <c r="U145" s="619">
        <v>333.17911765195134</v>
      </c>
      <c r="V145" s="51"/>
    </row>
    <row r="146" spans="3:22" x14ac:dyDescent="0.25">
      <c r="C146" s="618" t="s">
        <v>79</v>
      </c>
      <c r="D146" s="611">
        <v>0</v>
      </c>
      <c r="E146" s="611">
        <v>0</v>
      </c>
      <c r="F146" s="611">
        <v>30.895911025222354</v>
      </c>
      <c r="G146" s="611">
        <v>2.274686269460287</v>
      </c>
      <c r="H146" s="611">
        <v>3.5299320203269446</v>
      </c>
      <c r="I146" s="611">
        <v>4.665108396907857E-2</v>
      </c>
      <c r="J146" s="611">
        <v>0</v>
      </c>
      <c r="K146" s="611">
        <v>0</v>
      </c>
      <c r="L146" s="611">
        <v>0</v>
      </c>
      <c r="M146" s="611">
        <v>0</v>
      </c>
      <c r="N146" s="611">
        <v>63.386114552424544</v>
      </c>
      <c r="O146" s="611">
        <v>4.1985975572170711</v>
      </c>
      <c r="P146" s="611">
        <v>0</v>
      </c>
      <c r="Q146" s="611">
        <v>0</v>
      </c>
      <c r="R146" s="611">
        <v>104.74847060439184</v>
      </c>
      <c r="S146" s="611">
        <v>0</v>
      </c>
      <c r="T146" s="611">
        <v>5.8458763044597228</v>
      </c>
      <c r="U146" s="619">
        <v>214.92623941747186</v>
      </c>
      <c r="V146" s="51"/>
    </row>
    <row r="147" spans="3:22" x14ac:dyDescent="0.25">
      <c r="C147" s="618" t="s">
        <v>80</v>
      </c>
      <c r="D147" s="611">
        <v>0</v>
      </c>
      <c r="E147" s="611">
        <v>0</v>
      </c>
      <c r="F147" s="611">
        <v>0.60086868241819513</v>
      </c>
      <c r="G147" s="611">
        <v>0</v>
      </c>
      <c r="H147" s="611">
        <v>13.347300372388817</v>
      </c>
      <c r="I147" s="611">
        <v>0.1763960401637289</v>
      </c>
      <c r="J147" s="611">
        <v>0</v>
      </c>
      <c r="K147" s="611">
        <v>0</v>
      </c>
      <c r="L147" s="611">
        <v>38.756256119598135</v>
      </c>
      <c r="M147" s="611">
        <v>0</v>
      </c>
      <c r="N147" s="611">
        <v>0</v>
      </c>
      <c r="O147" s="611">
        <v>15.875643614735601</v>
      </c>
      <c r="P147" s="611">
        <v>100.70688369191794</v>
      </c>
      <c r="Q147" s="611">
        <v>2.8847164087553931</v>
      </c>
      <c r="R147" s="611">
        <v>147.56133606308299</v>
      </c>
      <c r="S147" s="611">
        <v>22.806124338594827</v>
      </c>
      <c r="T147" s="611">
        <v>0</v>
      </c>
      <c r="U147" s="619">
        <v>342.71552533165561</v>
      </c>
      <c r="V147" s="51"/>
    </row>
    <row r="148" spans="3:22" x14ac:dyDescent="0.25">
      <c r="C148" s="618" t="s">
        <v>81</v>
      </c>
      <c r="D148" s="611">
        <v>0</v>
      </c>
      <c r="E148" s="611">
        <v>0</v>
      </c>
      <c r="F148" s="611">
        <v>0.5398070851157275</v>
      </c>
      <c r="G148" s="611">
        <v>0</v>
      </c>
      <c r="H148" s="611">
        <v>7.9791393283443517</v>
      </c>
      <c r="I148" s="611">
        <v>0.10545118055080642</v>
      </c>
      <c r="J148" s="611">
        <v>0</v>
      </c>
      <c r="K148" s="611">
        <v>0</v>
      </c>
      <c r="L148" s="611">
        <v>0.5139229004760727</v>
      </c>
      <c r="M148" s="611">
        <v>0</v>
      </c>
      <c r="N148" s="611">
        <v>0</v>
      </c>
      <c r="O148" s="611">
        <v>9.4906062495725791</v>
      </c>
      <c r="P148" s="611">
        <v>47.95827169484302</v>
      </c>
      <c r="Q148" s="611">
        <v>3.2216095546912449</v>
      </c>
      <c r="R148" s="611">
        <v>115.04806835366153</v>
      </c>
      <c r="S148" s="611">
        <v>18.742672992879797</v>
      </c>
      <c r="T148" s="611">
        <v>0</v>
      </c>
      <c r="U148" s="619">
        <v>203.59954934013513</v>
      </c>
      <c r="V148" s="51"/>
    </row>
    <row r="149" spans="3:22" x14ac:dyDescent="0.25">
      <c r="C149" s="618" t="s">
        <v>82</v>
      </c>
      <c r="D149" s="611">
        <v>0</v>
      </c>
      <c r="E149" s="611">
        <v>0</v>
      </c>
      <c r="F149" s="611">
        <v>6.3369770221135076</v>
      </c>
      <c r="G149" s="611">
        <v>0</v>
      </c>
      <c r="H149" s="611">
        <v>0.68340618854154467</v>
      </c>
      <c r="I149" s="611">
        <v>9.0317998485666701E-3</v>
      </c>
      <c r="J149" s="611">
        <v>0</v>
      </c>
      <c r="K149" s="611">
        <v>0</v>
      </c>
      <c r="L149" s="611">
        <v>3.3891942411636795</v>
      </c>
      <c r="M149" s="611">
        <v>0</v>
      </c>
      <c r="N149" s="611">
        <v>17.640118554075091</v>
      </c>
      <c r="O149" s="611">
        <v>0.81286198637100038</v>
      </c>
      <c r="P149" s="611">
        <v>1.1499999999999999</v>
      </c>
      <c r="Q149" s="611">
        <v>1.5666563685107562</v>
      </c>
      <c r="R149" s="611">
        <v>6.9055854697991039</v>
      </c>
      <c r="S149" s="611">
        <v>0</v>
      </c>
      <c r="T149" s="611">
        <v>0.60935288805652987</v>
      </c>
      <c r="U149" s="619">
        <v>39.103184518479779</v>
      </c>
      <c r="V149" s="51"/>
    </row>
    <row r="150" spans="3:22" x14ac:dyDescent="0.25">
      <c r="C150" s="618" t="s">
        <v>354</v>
      </c>
      <c r="D150" s="611">
        <v>0</v>
      </c>
      <c r="E150" s="611">
        <v>0</v>
      </c>
      <c r="F150" s="611">
        <v>0</v>
      </c>
      <c r="G150" s="611">
        <v>0</v>
      </c>
      <c r="H150" s="611">
        <v>0</v>
      </c>
      <c r="I150" s="611">
        <v>0</v>
      </c>
      <c r="J150" s="611">
        <v>0</v>
      </c>
      <c r="K150" s="611">
        <v>0</v>
      </c>
      <c r="L150" s="611">
        <v>0</v>
      </c>
      <c r="M150" s="611">
        <v>0</v>
      </c>
      <c r="N150" s="611">
        <v>0</v>
      </c>
      <c r="O150" s="611">
        <v>0</v>
      </c>
      <c r="P150" s="611">
        <v>0</v>
      </c>
      <c r="Q150" s="611">
        <v>0</v>
      </c>
      <c r="R150" s="611">
        <v>4.7640000000000002</v>
      </c>
      <c r="S150" s="611">
        <v>0</v>
      </c>
      <c r="T150" s="611">
        <v>0</v>
      </c>
      <c r="U150" s="619">
        <v>4.7640000000000002</v>
      </c>
      <c r="V150" s="51"/>
    </row>
    <row r="151" spans="3:22" x14ac:dyDescent="0.25">
      <c r="C151" s="614" t="s">
        <v>83</v>
      </c>
      <c r="D151" s="615">
        <v>2.0940127617265829</v>
      </c>
      <c r="E151" s="615">
        <v>0</v>
      </c>
      <c r="F151" s="615">
        <v>42.329551923875783</v>
      </c>
      <c r="G151" s="615">
        <v>2.274686269460287</v>
      </c>
      <c r="H151" s="615">
        <v>54.870147260968139</v>
      </c>
      <c r="I151" s="615">
        <v>0.72515613120222222</v>
      </c>
      <c r="J151" s="615">
        <v>0</v>
      </c>
      <c r="K151" s="615">
        <v>0</v>
      </c>
      <c r="L151" s="615">
        <v>65.161926831936981</v>
      </c>
      <c r="M151" s="615">
        <v>6.2799536188843161</v>
      </c>
      <c r="N151" s="615">
        <v>83.483759428743397</v>
      </c>
      <c r="O151" s="615">
        <v>65.304327055452276</v>
      </c>
      <c r="P151" s="615">
        <v>165.69992491801096</v>
      </c>
      <c r="Q151" s="615">
        <v>7.6738034088497393</v>
      </c>
      <c r="R151" s="615">
        <v>561.50437892693742</v>
      </c>
      <c r="S151" s="615">
        <v>62.621514390504288</v>
      </c>
      <c r="T151" s="615">
        <v>18.264473333141254</v>
      </c>
      <c r="U151" s="615">
        <v>1138.2876162596938</v>
      </c>
      <c r="V151" s="51"/>
    </row>
    <row r="152" spans="3:22" x14ac:dyDescent="0.25">
      <c r="C152" s="610" t="s">
        <v>84</v>
      </c>
      <c r="D152" s="611">
        <v>0</v>
      </c>
      <c r="E152" s="611">
        <v>0</v>
      </c>
      <c r="F152" s="611">
        <v>70.526185031804687</v>
      </c>
      <c r="G152" s="611">
        <v>2.3546975295224146</v>
      </c>
      <c r="H152" s="611">
        <v>7.1814532260043631</v>
      </c>
      <c r="I152" s="611">
        <v>0</v>
      </c>
      <c r="J152" s="611">
        <v>0</v>
      </c>
      <c r="K152" s="611">
        <v>0</v>
      </c>
      <c r="L152" s="611">
        <v>0.42109898462761541</v>
      </c>
      <c r="M152" s="611">
        <v>0</v>
      </c>
      <c r="N152" s="611">
        <v>33.896224635717942</v>
      </c>
      <c r="O152" s="611">
        <v>10.020700945523032</v>
      </c>
      <c r="P152" s="611">
        <v>0</v>
      </c>
      <c r="Q152" s="611">
        <v>0</v>
      </c>
      <c r="R152" s="611">
        <v>0</v>
      </c>
      <c r="S152" s="611">
        <v>0</v>
      </c>
      <c r="T152" s="611">
        <v>40.523061894297456</v>
      </c>
      <c r="U152" s="619">
        <v>164.92342224749751</v>
      </c>
      <c r="V152" s="51"/>
    </row>
    <row r="153" spans="3:22" x14ac:dyDescent="0.25">
      <c r="C153" s="614" t="s">
        <v>85</v>
      </c>
      <c r="D153" s="615">
        <v>2.0940127617265829</v>
      </c>
      <c r="E153" s="615">
        <v>0</v>
      </c>
      <c r="F153" s="615">
        <v>112.85573695568047</v>
      </c>
      <c r="G153" s="615">
        <v>4.6293837989827011</v>
      </c>
      <c r="H153" s="615">
        <v>62.051600486972504</v>
      </c>
      <c r="I153" s="615">
        <v>0.72515613120222222</v>
      </c>
      <c r="J153" s="615">
        <v>0</v>
      </c>
      <c r="K153" s="615">
        <v>0</v>
      </c>
      <c r="L153" s="615">
        <v>65.5830258165646</v>
      </c>
      <c r="M153" s="615">
        <v>6.2799536188843161</v>
      </c>
      <c r="N153" s="615">
        <v>117.37998406446134</v>
      </c>
      <c r="O153" s="615">
        <v>75.325028000975308</v>
      </c>
      <c r="P153" s="615">
        <v>165.69992491801096</v>
      </c>
      <c r="Q153" s="615">
        <v>7.6738034088497393</v>
      </c>
      <c r="R153" s="615">
        <v>561.50437892693742</v>
      </c>
      <c r="S153" s="615">
        <v>62.621514390504288</v>
      </c>
      <c r="T153" s="615">
        <v>58.78753522743871</v>
      </c>
      <c r="U153" s="615">
        <v>1303.2110385071912</v>
      </c>
      <c r="V153" s="51"/>
    </row>
    <row r="154" spans="3:22" x14ac:dyDescent="0.25">
      <c r="C154" s="51"/>
      <c r="D154" s="67">
        <v>0</v>
      </c>
      <c r="E154" s="67">
        <v>0</v>
      </c>
      <c r="F154" s="67">
        <v>0</v>
      </c>
      <c r="G154" s="67">
        <v>0</v>
      </c>
      <c r="H154" s="67">
        <v>0</v>
      </c>
      <c r="I154" s="67">
        <v>0</v>
      </c>
      <c r="J154" s="67">
        <v>0</v>
      </c>
      <c r="K154" s="67">
        <v>0</v>
      </c>
      <c r="L154" s="67">
        <v>0</v>
      </c>
      <c r="M154" s="67">
        <v>-3.685817073417752E-4</v>
      </c>
      <c r="N154" s="67">
        <v>0</v>
      </c>
      <c r="O154" s="67">
        <v>9.7699626167013776E-15</v>
      </c>
      <c r="P154" s="67">
        <v>0</v>
      </c>
      <c r="Q154" s="67">
        <v>0</v>
      </c>
      <c r="R154" s="67">
        <v>0</v>
      </c>
      <c r="S154" s="67">
        <v>0</v>
      </c>
      <c r="T154" s="67">
        <v>-9.7699626167013776E-15</v>
      </c>
      <c r="U154" s="67">
        <v>-3.6858170687992242E-4</v>
      </c>
      <c r="V154" s="51"/>
    </row>
    <row r="155" spans="3:22" x14ac:dyDescent="0.25">
      <c r="C155" s="51"/>
      <c r="D155" s="51"/>
      <c r="E155" s="51"/>
      <c r="F155" s="51"/>
      <c r="G155" s="67"/>
      <c r="H155" s="51"/>
      <c r="I155" s="51"/>
      <c r="J155" s="51"/>
      <c r="K155" s="51"/>
      <c r="L155" s="51"/>
      <c r="M155" s="51"/>
      <c r="N155" s="51"/>
      <c r="O155" s="51"/>
      <c r="P155" s="51"/>
      <c r="Q155" s="51"/>
      <c r="R155" s="51"/>
      <c r="S155" s="51"/>
      <c r="T155" s="51"/>
      <c r="U155" s="51"/>
      <c r="V155" s="51"/>
    </row>
    <row r="156" spans="3:22" x14ac:dyDescent="0.25">
      <c r="C156" s="607" t="s">
        <v>361</v>
      </c>
      <c r="D156" s="606"/>
      <c r="E156" s="606"/>
      <c r="F156" s="606"/>
      <c r="G156" s="682"/>
      <c r="H156" s="606"/>
      <c r="I156" s="606"/>
      <c r="J156" s="606"/>
      <c r="K156" s="606"/>
      <c r="L156" s="606"/>
      <c r="M156" s="606"/>
      <c r="N156" s="606"/>
      <c r="O156" s="606"/>
      <c r="P156" s="606"/>
      <c r="Q156" s="606"/>
      <c r="R156" s="606"/>
      <c r="S156" s="606"/>
      <c r="T156" s="606"/>
      <c r="U156" s="606"/>
      <c r="V156" s="606"/>
    </row>
    <row r="157" spans="3:22" x14ac:dyDescent="0.25">
      <c r="C157" s="51"/>
      <c r="D157" s="51"/>
      <c r="E157" s="51"/>
      <c r="F157" s="51"/>
      <c r="G157" s="67"/>
      <c r="H157" s="51"/>
      <c r="I157" s="51"/>
      <c r="J157" s="51"/>
      <c r="K157" s="51"/>
      <c r="L157" s="51"/>
      <c r="M157" s="51"/>
      <c r="N157" s="51"/>
      <c r="O157" s="51"/>
      <c r="P157" s="51"/>
      <c r="Q157" s="51"/>
      <c r="R157" s="51"/>
      <c r="S157" s="51"/>
      <c r="T157" s="51"/>
      <c r="U157" s="51"/>
      <c r="V157" s="51"/>
    </row>
    <row r="158" spans="3:22" x14ac:dyDescent="0.25">
      <c r="C158" s="764" t="s">
        <v>128</v>
      </c>
      <c r="D158" s="753" t="s">
        <v>42</v>
      </c>
      <c r="E158" s="753" t="s">
        <v>52</v>
      </c>
      <c r="F158" s="753" t="s">
        <v>53</v>
      </c>
      <c r="G158" s="766" t="s">
        <v>482</v>
      </c>
      <c r="H158" s="753" t="s">
        <v>32</v>
      </c>
      <c r="I158" s="753" t="s">
        <v>483</v>
      </c>
      <c r="J158" s="753" t="s">
        <v>20</v>
      </c>
      <c r="K158" s="753" t="s">
        <v>55</v>
      </c>
      <c r="L158" s="761" t="s">
        <v>56</v>
      </c>
      <c r="M158" s="762"/>
      <c r="N158" s="762"/>
      <c r="O158" s="762"/>
      <c r="P158" s="762"/>
      <c r="Q158" s="763"/>
      <c r="R158" s="753" t="s">
        <v>57</v>
      </c>
      <c r="S158" s="753" t="s">
        <v>58</v>
      </c>
      <c r="T158" s="753" t="s">
        <v>31</v>
      </c>
      <c r="U158" s="753" t="s">
        <v>10</v>
      </c>
      <c r="V158" s="51"/>
    </row>
    <row r="159" spans="3:22" ht="36" x14ac:dyDescent="0.25">
      <c r="C159" s="765"/>
      <c r="D159" s="754"/>
      <c r="E159" s="754"/>
      <c r="F159" s="754"/>
      <c r="G159" s="767"/>
      <c r="H159" s="754"/>
      <c r="I159" s="754"/>
      <c r="J159" s="754"/>
      <c r="K159" s="754"/>
      <c r="L159" s="608" t="s">
        <v>335</v>
      </c>
      <c r="M159" s="608" t="s">
        <v>40</v>
      </c>
      <c r="N159" s="608" t="s">
        <v>343</v>
      </c>
      <c r="O159" s="608" t="s">
        <v>344</v>
      </c>
      <c r="P159" s="609" t="s">
        <v>345</v>
      </c>
      <c r="Q159" s="608" t="s">
        <v>346</v>
      </c>
      <c r="R159" s="754"/>
      <c r="S159" s="754"/>
      <c r="T159" s="754"/>
      <c r="U159" s="754"/>
      <c r="V159" s="51"/>
    </row>
    <row r="160" spans="3:22" x14ac:dyDescent="0.25">
      <c r="C160" s="610" t="s">
        <v>59</v>
      </c>
      <c r="D160" s="611">
        <v>0</v>
      </c>
      <c r="E160" s="611">
        <v>0</v>
      </c>
      <c r="F160" s="611">
        <v>0</v>
      </c>
      <c r="G160" s="611">
        <v>0</v>
      </c>
      <c r="H160" s="611">
        <v>0</v>
      </c>
      <c r="I160" s="611">
        <v>0</v>
      </c>
      <c r="J160" s="612">
        <v>971.10439999999994</v>
      </c>
      <c r="K160" s="612">
        <v>503.30122823446823</v>
      </c>
      <c r="L160" s="612">
        <v>455.14148237245831</v>
      </c>
      <c r="M160" s="612">
        <v>20.793873035909879</v>
      </c>
      <c r="N160" s="611">
        <v>1.6797912871987437</v>
      </c>
      <c r="O160" s="611">
        <v>0.17065445399605614</v>
      </c>
      <c r="P160" s="612">
        <v>171.08209770143009</v>
      </c>
      <c r="Q160" s="612">
        <v>25.726769025027945</v>
      </c>
      <c r="R160" s="611">
        <v>0</v>
      </c>
      <c r="S160" s="611">
        <v>0</v>
      </c>
      <c r="T160" s="611">
        <v>0</v>
      </c>
      <c r="U160" s="613">
        <v>2149.0002961104892</v>
      </c>
      <c r="V160" s="51"/>
    </row>
    <row r="161" spans="3:22" x14ac:dyDescent="0.25">
      <c r="C161" s="610" t="s">
        <v>60</v>
      </c>
      <c r="D161" s="611">
        <v>1.6567330370836562</v>
      </c>
      <c r="E161" s="611">
        <v>156.10342406212303</v>
      </c>
      <c r="F161" s="611">
        <v>2.9590354993625017</v>
      </c>
      <c r="G161" s="611">
        <v>0</v>
      </c>
      <c r="H161" s="611">
        <v>54.539197305320002</v>
      </c>
      <c r="I161" s="611">
        <v>0</v>
      </c>
      <c r="J161" s="611">
        <v>0</v>
      </c>
      <c r="K161" s="611">
        <v>0</v>
      </c>
      <c r="L161" s="611">
        <v>4.8125993033158778</v>
      </c>
      <c r="M161" s="611">
        <v>0</v>
      </c>
      <c r="N161" s="611">
        <v>6.2295354537228107</v>
      </c>
      <c r="O161" s="611">
        <v>0</v>
      </c>
      <c r="P161" s="611">
        <v>0</v>
      </c>
      <c r="Q161" s="611">
        <v>0</v>
      </c>
      <c r="R161" s="611">
        <v>12.737834844238364</v>
      </c>
      <c r="S161" s="611">
        <v>0</v>
      </c>
      <c r="T161" s="611">
        <v>0</v>
      </c>
      <c r="U161" s="613">
        <v>239.03835950516623</v>
      </c>
      <c r="V161" s="51"/>
    </row>
    <row r="162" spans="3:22" x14ac:dyDescent="0.25">
      <c r="C162" s="610" t="s">
        <v>61</v>
      </c>
      <c r="D162" s="611">
        <v>0</v>
      </c>
      <c r="E162" s="611">
        <v>0</v>
      </c>
      <c r="F162" s="611">
        <v>-44.676300971263089</v>
      </c>
      <c r="G162" s="611">
        <v>-7.4420014649377606</v>
      </c>
      <c r="H162" s="611">
        <v>0</v>
      </c>
      <c r="I162" s="611">
        <v>0</v>
      </c>
      <c r="J162" s="611">
        <v>0</v>
      </c>
      <c r="K162" s="611">
        <v>0</v>
      </c>
      <c r="L162" s="611">
        <v>0</v>
      </c>
      <c r="M162" s="611">
        <v>0</v>
      </c>
      <c r="N162" s="611">
        <v>0</v>
      </c>
      <c r="O162" s="611">
        <v>0</v>
      </c>
      <c r="P162" s="611">
        <v>0</v>
      </c>
      <c r="Q162" s="611">
        <v>0</v>
      </c>
      <c r="R162" s="611">
        <v>0</v>
      </c>
      <c r="S162" s="611">
        <v>0</v>
      </c>
      <c r="T162" s="611">
        <v>0</v>
      </c>
      <c r="U162" s="613">
        <v>-52.11830243620085</v>
      </c>
      <c r="V162" s="51"/>
    </row>
    <row r="163" spans="3:22" x14ac:dyDescent="0.25">
      <c r="C163" s="610" t="s">
        <v>62</v>
      </c>
      <c r="D163" s="611">
        <v>0</v>
      </c>
      <c r="E163" s="611">
        <v>0</v>
      </c>
      <c r="F163" s="611">
        <v>-2.5439781787400757</v>
      </c>
      <c r="G163" s="611">
        <v>-5.1073400578201751</v>
      </c>
      <c r="H163" s="611">
        <v>0</v>
      </c>
      <c r="I163" s="611">
        <v>-4.025065184691706</v>
      </c>
      <c r="J163" s="611">
        <v>0</v>
      </c>
      <c r="K163" s="611">
        <v>0</v>
      </c>
      <c r="L163" s="611">
        <v>0</v>
      </c>
      <c r="M163" s="611">
        <v>0</v>
      </c>
      <c r="N163" s="611">
        <v>-1.4642875778969737</v>
      </c>
      <c r="O163" s="611">
        <v>-2.6833767897944703</v>
      </c>
      <c r="P163" s="611">
        <v>0</v>
      </c>
      <c r="Q163" s="611">
        <v>0</v>
      </c>
      <c r="R163" s="611">
        <v>0</v>
      </c>
      <c r="S163" s="611">
        <v>0</v>
      </c>
      <c r="T163" s="611">
        <v>-1.8096944583874461</v>
      </c>
      <c r="U163" s="613">
        <v>-17.633742247330847</v>
      </c>
      <c r="V163" s="51"/>
    </row>
    <row r="164" spans="3:22" x14ac:dyDescent="0.25">
      <c r="C164" s="610" t="s">
        <v>63</v>
      </c>
      <c r="D164" s="611">
        <v>0</v>
      </c>
      <c r="E164" s="611">
        <v>0</v>
      </c>
      <c r="F164" s="611">
        <v>-26.066537028283065</v>
      </c>
      <c r="G164" s="611">
        <v>-15.61159587816994</v>
      </c>
      <c r="H164" s="611">
        <v>0</v>
      </c>
      <c r="I164" s="611">
        <v>0</v>
      </c>
      <c r="J164" s="611">
        <v>0</v>
      </c>
      <c r="K164" s="611">
        <v>0</v>
      </c>
      <c r="L164" s="611">
        <v>0</v>
      </c>
      <c r="M164" s="611">
        <v>0</v>
      </c>
      <c r="N164" s="611">
        <v>-15.61159587816994</v>
      </c>
      <c r="O164" s="611">
        <v>0</v>
      </c>
      <c r="P164" s="611">
        <v>0</v>
      </c>
      <c r="Q164" s="611">
        <v>0</v>
      </c>
      <c r="R164" s="611">
        <v>0</v>
      </c>
      <c r="S164" s="611">
        <v>0</v>
      </c>
      <c r="T164" s="611">
        <v>-5.1590895167519655</v>
      </c>
      <c r="U164" s="613">
        <v>-62.448818301374899</v>
      </c>
      <c r="V164" s="51"/>
    </row>
    <row r="165" spans="3:22" x14ac:dyDescent="0.25">
      <c r="C165" s="610" t="s">
        <v>64</v>
      </c>
      <c r="D165" s="611">
        <v>0</v>
      </c>
      <c r="E165" s="611">
        <v>0</v>
      </c>
      <c r="F165" s="611">
        <v>0</v>
      </c>
      <c r="G165" s="611">
        <v>0</v>
      </c>
      <c r="H165" s="611">
        <v>0</v>
      </c>
      <c r="I165" s="611">
        <v>0</v>
      </c>
      <c r="J165" s="611">
        <v>0</v>
      </c>
      <c r="K165" s="611">
        <v>0</v>
      </c>
      <c r="L165" s="611">
        <v>0</v>
      </c>
      <c r="M165" s="611">
        <v>0</v>
      </c>
      <c r="N165" s="611">
        <v>0</v>
      </c>
      <c r="O165" s="611">
        <v>0</v>
      </c>
      <c r="P165" s="611">
        <v>0</v>
      </c>
      <c r="Q165" s="611">
        <v>0</v>
      </c>
      <c r="R165" s="611">
        <v>0</v>
      </c>
      <c r="S165" s="611">
        <v>0</v>
      </c>
      <c r="T165" s="611">
        <v>0</v>
      </c>
      <c r="U165" s="613">
        <v>0</v>
      </c>
      <c r="V165" s="51"/>
    </row>
    <row r="166" spans="3:22" x14ac:dyDescent="0.25">
      <c r="C166" s="614" t="s">
        <v>65</v>
      </c>
      <c r="D166" s="615">
        <v>1.6567330370836562</v>
      </c>
      <c r="E166" s="615">
        <v>156.10342406212303</v>
      </c>
      <c r="F166" s="615">
        <v>-70.32778067892373</v>
      </c>
      <c r="G166" s="615">
        <v>-28.160937400927875</v>
      </c>
      <c r="H166" s="615">
        <v>54.539197305320002</v>
      </c>
      <c r="I166" s="615">
        <v>-4.025065184691706</v>
      </c>
      <c r="J166" s="615">
        <v>971.10439999999994</v>
      </c>
      <c r="K166" s="615">
        <v>503.30122823446823</v>
      </c>
      <c r="L166" s="615">
        <v>459.9540816757742</v>
      </c>
      <c r="M166" s="615">
        <v>20.793873035909879</v>
      </c>
      <c r="N166" s="615">
        <v>-9.166556715145358</v>
      </c>
      <c r="O166" s="615">
        <v>-2.5127223357984141</v>
      </c>
      <c r="P166" s="615">
        <v>171.08209770143009</v>
      </c>
      <c r="Q166" s="615">
        <v>25.726769025027945</v>
      </c>
      <c r="R166" s="615">
        <v>12.737834844238364</v>
      </c>
      <c r="S166" s="615">
        <v>0</v>
      </c>
      <c r="T166" s="615">
        <v>-6.9687839751394112</v>
      </c>
      <c r="U166" s="615">
        <v>2255.8377926307489</v>
      </c>
      <c r="V166" s="51"/>
    </row>
    <row r="167" spans="3:22" x14ac:dyDescent="0.25">
      <c r="C167" s="616"/>
      <c r="D167" s="617"/>
      <c r="E167" s="617"/>
      <c r="F167" s="617"/>
      <c r="G167" s="617"/>
      <c r="H167" s="623"/>
      <c r="I167" s="617"/>
      <c r="J167" s="617"/>
      <c r="K167" s="617"/>
      <c r="L167" s="617"/>
      <c r="M167" s="617"/>
      <c r="N167" s="617"/>
      <c r="O167" s="617"/>
      <c r="P167" s="617"/>
      <c r="Q167" s="617"/>
      <c r="R167" s="617"/>
      <c r="S167" s="617"/>
      <c r="T167" s="617"/>
      <c r="U167" s="617"/>
      <c r="V167" s="51"/>
    </row>
    <row r="168" spans="3:22" x14ac:dyDescent="0.25">
      <c r="C168" s="618" t="s">
        <v>67</v>
      </c>
      <c r="D168" s="611">
        <v>0</v>
      </c>
      <c r="E168" s="611">
        <v>0</v>
      </c>
      <c r="F168" s="611">
        <v>0</v>
      </c>
      <c r="G168" s="611">
        <v>0</v>
      </c>
      <c r="H168" s="611">
        <v>0</v>
      </c>
      <c r="I168" s="611">
        <v>0</v>
      </c>
      <c r="J168" s="611">
        <v>0</v>
      </c>
      <c r="K168" s="611">
        <v>0</v>
      </c>
      <c r="L168" s="611">
        <v>0</v>
      </c>
      <c r="M168" s="611">
        <v>0</v>
      </c>
      <c r="N168" s="611">
        <v>0</v>
      </c>
      <c r="O168" s="611">
        <v>0</v>
      </c>
      <c r="P168" s="611">
        <v>0</v>
      </c>
      <c r="Q168" s="611">
        <v>0</v>
      </c>
      <c r="R168" s="611">
        <v>0</v>
      </c>
      <c r="S168" s="611">
        <v>0</v>
      </c>
      <c r="T168" s="611">
        <v>0</v>
      </c>
      <c r="U168" s="619">
        <v>0</v>
      </c>
      <c r="V168" s="51"/>
    </row>
    <row r="169" spans="3:22" x14ac:dyDescent="0.25">
      <c r="C169" s="618" t="s">
        <v>347</v>
      </c>
      <c r="D169" s="611">
        <v>0</v>
      </c>
      <c r="E169" s="611">
        <v>0</v>
      </c>
      <c r="F169" s="611">
        <v>0</v>
      </c>
      <c r="G169" s="611">
        <v>0</v>
      </c>
      <c r="H169" s="611">
        <v>0.44776646808510651</v>
      </c>
      <c r="I169" s="611">
        <v>0</v>
      </c>
      <c r="J169" s="611">
        <v>971.10439999999994</v>
      </c>
      <c r="K169" s="611">
        <v>503.30122823446823</v>
      </c>
      <c r="L169" s="611">
        <v>22.611661930027488</v>
      </c>
      <c r="M169" s="611">
        <v>0.61851517484510588</v>
      </c>
      <c r="N169" s="611">
        <v>6.3451610040287907</v>
      </c>
      <c r="O169" s="611">
        <v>1.1589812304406033</v>
      </c>
      <c r="P169" s="611">
        <v>0</v>
      </c>
      <c r="Q169" s="611">
        <v>6.4766550958451852</v>
      </c>
      <c r="R169" s="611">
        <v>-877.28387729883798</v>
      </c>
      <c r="S169" s="611">
        <v>0</v>
      </c>
      <c r="T169" s="611">
        <v>5.1921899999999992</v>
      </c>
      <c r="U169" s="619">
        <v>639.97268183890242</v>
      </c>
      <c r="V169" s="51"/>
    </row>
    <row r="170" spans="3:22" x14ac:dyDescent="0.25">
      <c r="C170" s="618" t="s">
        <v>348</v>
      </c>
      <c r="D170" s="611">
        <v>0</v>
      </c>
      <c r="E170" s="611">
        <v>0</v>
      </c>
      <c r="F170" s="611">
        <v>0</v>
      </c>
      <c r="G170" s="611">
        <v>0</v>
      </c>
      <c r="H170" s="611">
        <v>3.2640954387883037</v>
      </c>
      <c r="I170" s="611">
        <v>0</v>
      </c>
      <c r="J170" s="611">
        <v>0</v>
      </c>
      <c r="K170" s="611">
        <v>0</v>
      </c>
      <c r="L170" s="611">
        <v>34.874750545465744</v>
      </c>
      <c r="M170" s="611">
        <v>14.450307287843678</v>
      </c>
      <c r="N170" s="611">
        <v>0</v>
      </c>
      <c r="O170" s="611">
        <v>7.6313341325616637</v>
      </c>
      <c r="P170" s="611">
        <v>0</v>
      </c>
      <c r="Q170" s="611">
        <v>11.247880766628024</v>
      </c>
      <c r="R170" s="611">
        <v>0</v>
      </c>
      <c r="S170" s="611">
        <v>-67.335306808549447</v>
      </c>
      <c r="T170" s="611">
        <v>0</v>
      </c>
      <c r="U170" s="619">
        <v>4.133061362737962</v>
      </c>
      <c r="V170" s="51"/>
    </row>
    <row r="171" spans="3:22" x14ac:dyDescent="0.25">
      <c r="C171" s="618" t="s">
        <v>349</v>
      </c>
      <c r="D171" s="611">
        <v>0</v>
      </c>
      <c r="E171" s="611">
        <v>0</v>
      </c>
      <c r="F171" s="611">
        <v>0</v>
      </c>
      <c r="G171" s="611">
        <v>0</v>
      </c>
      <c r="H171" s="611">
        <v>0</v>
      </c>
      <c r="I171" s="611">
        <v>0</v>
      </c>
      <c r="J171" s="611">
        <v>0</v>
      </c>
      <c r="K171" s="611">
        <v>0</v>
      </c>
      <c r="L171" s="611">
        <v>99.886824202456438</v>
      </c>
      <c r="M171" s="611">
        <v>0</v>
      </c>
      <c r="N171" s="611">
        <v>0</v>
      </c>
      <c r="O171" s="611">
        <v>-91.582944375151399</v>
      </c>
      <c r="P171" s="611">
        <v>0</v>
      </c>
      <c r="Q171" s="611">
        <v>0</v>
      </c>
      <c r="R171" s="611">
        <v>0</v>
      </c>
      <c r="S171" s="611">
        <v>0</v>
      </c>
      <c r="T171" s="611">
        <v>0</v>
      </c>
      <c r="U171" s="619">
        <v>8.3038798273050389</v>
      </c>
      <c r="V171" s="51"/>
    </row>
    <row r="172" spans="3:22" x14ac:dyDescent="0.25">
      <c r="C172" s="618" t="s">
        <v>350</v>
      </c>
      <c r="D172" s="611">
        <v>0</v>
      </c>
      <c r="E172" s="611">
        <v>0</v>
      </c>
      <c r="F172" s="611">
        <v>0</v>
      </c>
      <c r="G172" s="611">
        <v>0</v>
      </c>
      <c r="H172" s="611">
        <v>0</v>
      </c>
      <c r="I172" s="611">
        <v>-5.1740904166094976</v>
      </c>
      <c r="J172" s="611">
        <v>0</v>
      </c>
      <c r="K172" s="611">
        <v>0</v>
      </c>
      <c r="L172" s="611">
        <v>0</v>
      </c>
      <c r="M172" s="611">
        <v>0</v>
      </c>
      <c r="N172" s="611">
        <v>0</v>
      </c>
      <c r="O172" s="611">
        <v>0</v>
      </c>
      <c r="P172" s="611">
        <v>0</v>
      </c>
      <c r="Q172" s="611">
        <v>0</v>
      </c>
      <c r="R172" s="611">
        <v>0</v>
      </c>
      <c r="S172" s="611">
        <v>0</v>
      </c>
      <c r="T172" s="611">
        <v>7.1912846116196816</v>
      </c>
      <c r="U172" s="619">
        <v>2.0171941950101839</v>
      </c>
      <c r="V172" s="51"/>
    </row>
    <row r="173" spans="3:22" x14ac:dyDescent="0.25">
      <c r="C173" s="618" t="s">
        <v>72</v>
      </c>
      <c r="D173" s="611">
        <v>0</v>
      </c>
      <c r="E173" s="611">
        <v>161.75289728424144</v>
      </c>
      <c r="F173" s="611">
        <v>-160.13983967974238</v>
      </c>
      <c r="G173" s="611">
        <v>0</v>
      </c>
      <c r="H173" s="611">
        <v>0</v>
      </c>
      <c r="I173" s="611">
        <v>0</v>
      </c>
      <c r="J173" s="611">
        <v>0</v>
      </c>
      <c r="K173" s="611">
        <v>0</v>
      </c>
      <c r="L173" s="611">
        <v>0</v>
      </c>
      <c r="M173" s="611">
        <v>0</v>
      </c>
      <c r="N173" s="611">
        <v>0</v>
      </c>
      <c r="O173" s="611">
        <v>0</v>
      </c>
      <c r="P173" s="611">
        <v>0</v>
      </c>
      <c r="Q173" s="611">
        <v>0</v>
      </c>
      <c r="R173" s="611">
        <v>0</v>
      </c>
      <c r="S173" s="611">
        <v>0</v>
      </c>
      <c r="T173" s="611">
        <v>0</v>
      </c>
      <c r="U173" s="619">
        <v>1.6130576044990619</v>
      </c>
      <c r="V173" s="51"/>
    </row>
    <row r="174" spans="3:22" x14ac:dyDescent="0.25">
      <c r="C174" s="618" t="s">
        <v>351</v>
      </c>
      <c r="D174" s="611">
        <v>0</v>
      </c>
      <c r="E174" s="611">
        <v>0</v>
      </c>
      <c r="F174" s="611">
        <v>0</v>
      </c>
      <c r="G174" s="611">
        <v>0</v>
      </c>
      <c r="H174" s="611">
        <v>0</v>
      </c>
      <c r="I174" s="611">
        <v>0</v>
      </c>
      <c r="J174" s="611">
        <v>0</v>
      </c>
      <c r="K174" s="611">
        <v>0</v>
      </c>
      <c r="L174" s="611">
        <v>239.29378044744664</v>
      </c>
      <c r="M174" s="611">
        <v>0</v>
      </c>
      <c r="N174" s="611">
        <v>-131.61157924609566</v>
      </c>
      <c r="O174" s="611">
        <v>0</v>
      </c>
      <c r="P174" s="611">
        <v>0</v>
      </c>
      <c r="Q174" s="611">
        <v>0</v>
      </c>
      <c r="R174" s="611">
        <v>0</v>
      </c>
      <c r="S174" s="611">
        <v>0</v>
      </c>
      <c r="T174" s="611">
        <v>0</v>
      </c>
      <c r="U174" s="619">
        <v>107.68220120135098</v>
      </c>
      <c r="V174" s="51"/>
    </row>
    <row r="175" spans="3:22" x14ac:dyDescent="0.25">
      <c r="C175" s="618" t="s">
        <v>352</v>
      </c>
      <c r="D175" s="611">
        <v>0</v>
      </c>
      <c r="E175" s="611">
        <v>0</v>
      </c>
      <c r="F175" s="611">
        <v>0</v>
      </c>
      <c r="G175" s="611">
        <v>-33.473815441656178</v>
      </c>
      <c r="H175" s="611">
        <v>0</v>
      </c>
      <c r="I175" s="611">
        <v>0</v>
      </c>
      <c r="J175" s="611">
        <v>0</v>
      </c>
      <c r="K175" s="611">
        <v>0</v>
      </c>
      <c r="L175" s="611">
        <v>0</v>
      </c>
      <c r="M175" s="611">
        <v>0</v>
      </c>
      <c r="N175" s="611">
        <v>0</v>
      </c>
      <c r="O175" s="611">
        <v>0</v>
      </c>
      <c r="P175" s="611">
        <v>0</v>
      </c>
      <c r="Q175" s="611">
        <v>0</v>
      </c>
      <c r="R175" s="611">
        <v>0</v>
      </c>
      <c r="S175" s="611">
        <v>0</v>
      </c>
      <c r="T175" s="611">
        <v>43.527837875314049</v>
      </c>
      <c r="U175" s="619">
        <v>10.05402243365787</v>
      </c>
      <c r="V175" s="51"/>
    </row>
    <row r="176" spans="3:22" x14ac:dyDescent="0.25">
      <c r="C176" s="618" t="s">
        <v>73</v>
      </c>
      <c r="D176" s="611">
        <v>0</v>
      </c>
      <c r="E176" s="611">
        <v>0</v>
      </c>
      <c r="F176" s="611">
        <v>0</v>
      </c>
      <c r="G176" s="611">
        <v>0</v>
      </c>
      <c r="H176" s="611">
        <v>0</v>
      </c>
      <c r="I176" s="611">
        <v>0</v>
      </c>
      <c r="J176" s="611">
        <v>0</v>
      </c>
      <c r="K176" s="611">
        <v>0</v>
      </c>
      <c r="L176" s="611">
        <v>0</v>
      </c>
      <c r="M176" s="611">
        <v>0</v>
      </c>
      <c r="N176" s="611">
        <v>0</v>
      </c>
      <c r="O176" s="611">
        <v>0</v>
      </c>
      <c r="P176" s="611">
        <v>0</v>
      </c>
      <c r="Q176" s="611">
        <v>0</v>
      </c>
      <c r="R176" s="611">
        <v>186.09171546114462</v>
      </c>
      <c r="S176" s="611">
        <v>0</v>
      </c>
      <c r="T176" s="611">
        <v>-130.72943011145409</v>
      </c>
      <c r="U176" s="619">
        <v>55.362285349690524</v>
      </c>
      <c r="V176" s="51"/>
    </row>
    <row r="177" spans="3:22" x14ac:dyDescent="0.25">
      <c r="C177" s="618" t="s">
        <v>353</v>
      </c>
      <c r="D177" s="611">
        <v>0</v>
      </c>
      <c r="E177" s="611">
        <v>-5.6494732221184147</v>
      </c>
      <c r="F177" s="611">
        <v>7.3669989850431641</v>
      </c>
      <c r="G177" s="611">
        <v>0</v>
      </c>
      <c r="H177" s="611">
        <v>0</v>
      </c>
      <c r="I177" s="611">
        <v>0</v>
      </c>
      <c r="J177" s="611">
        <v>0</v>
      </c>
      <c r="K177" s="611">
        <v>0</v>
      </c>
      <c r="L177" s="611">
        <v>0</v>
      </c>
      <c r="M177" s="611">
        <v>0</v>
      </c>
      <c r="N177" s="611">
        <v>0</v>
      </c>
      <c r="O177" s="611">
        <v>0</v>
      </c>
      <c r="P177" s="611">
        <v>0</v>
      </c>
      <c r="Q177" s="611">
        <v>0</v>
      </c>
      <c r="R177" s="611">
        <v>0</v>
      </c>
      <c r="S177" s="611">
        <v>0</v>
      </c>
      <c r="T177" s="611">
        <v>0</v>
      </c>
      <c r="U177" s="619">
        <v>1.7175257629247493</v>
      </c>
      <c r="V177" s="51"/>
    </row>
    <row r="178" spans="3:22" x14ac:dyDescent="0.25">
      <c r="C178" s="618" t="s">
        <v>75</v>
      </c>
      <c r="D178" s="611">
        <v>0</v>
      </c>
      <c r="E178" s="611">
        <v>0</v>
      </c>
      <c r="F178" s="611">
        <v>5.5408288295361077</v>
      </c>
      <c r="G178" s="611">
        <v>0</v>
      </c>
      <c r="H178" s="611">
        <v>1.9377811160090992</v>
      </c>
      <c r="I178" s="611">
        <v>4.9686695282284594E-2</v>
      </c>
      <c r="J178" s="611">
        <v>0</v>
      </c>
      <c r="K178" s="611">
        <v>0</v>
      </c>
      <c r="L178" s="611">
        <v>0</v>
      </c>
      <c r="M178" s="611">
        <v>0</v>
      </c>
      <c r="N178" s="611">
        <v>0</v>
      </c>
      <c r="O178" s="611">
        <v>2.9812017169370755</v>
      </c>
      <c r="P178" s="611">
        <v>0</v>
      </c>
      <c r="Q178" s="611">
        <v>0</v>
      </c>
      <c r="R178" s="611">
        <v>65.428671005307493</v>
      </c>
      <c r="S178" s="611">
        <v>0</v>
      </c>
      <c r="T178" s="611">
        <v>0</v>
      </c>
      <c r="U178" s="619">
        <v>75.938169363072063</v>
      </c>
      <c r="V178" s="51"/>
    </row>
    <row r="179" spans="3:22" x14ac:dyDescent="0.25">
      <c r="C179" s="618" t="s">
        <v>76</v>
      </c>
      <c r="D179" s="611">
        <v>0</v>
      </c>
      <c r="E179" s="611">
        <v>0</v>
      </c>
      <c r="F179" s="611">
        <v>0</v>
      </c>
      <c r="G179" s="611">
        <v>0</v>
      </c>
      <c r="H179" s="611">
        <v>0.58858582439204721</v>
      </c>
      <c r="I179" s="611">
        <v>1.5091944215180697E-2</v>
      </c>
      <c r="J179" s="611">
        <v>0</v>
      </c>
      <c r="K179" s="611">
        <v>0</v>
      </c>
      <c r="L179" s="611">
        <v>0</v>
      </c>
      <c r="M179" s="611">
        <v>0</v>
      </c>
      <c r="N179" s="611">
        <v>0</v>
      </c>
      <c r="O179" s="611">
        <v>0.90551665291084182</v>
      </c>
      <c r="P179" s="611">
        <v>0</v>
      </c>
      <c r="Q179" s="611">
        <v>0</v>
      </c>
      <c r="R179" s="611">
        <v>68.128345316060717</v>
      </c>
      <c r="S179" s="611">
        <v>5.2226705636158801</v>
      </c>
      <c r="T179" s="611">
        <v>0</v>
      </c>
      <c r="U179" s="619">
        <v>74.86021030119467</v>
      </c>
      <c r="V179" s="51"/>
    </row>
    <row r="180" spans="3:22" x14ac:dyDescent="0.25">
      <c r="C180" s="614" t="s">
        <v>77</v>
      </c>
      <c r="D180" s="615">
        <v>0</v>
      </c>
      <c r="E180" s="615">
        <v>156.10342406212303</v>
      </c>
      <c r="F180" s="615">
        <v>-147.23201186516312</v>
      </c>
      <c r="G180" s="615">
        <v>-33.473815441656178</v>
      </c>
      <c r="H180" s="615">
        <v>6.2382288472745566</v>
      </c>
      <c r="I180" s="615">
        <v>-5.1093117771120324</v>
      </c>
      <c r="J180" s="615">
        <v>971.10439999999994</v>
      </c>
      <c r="K180" s="615">
        <v>503.30122823446823</v>
      </c>
      <c r="L180" s="615">
        <v>396.66701712539634</v>
      </c>
      <c r="M180" s="615">
        <v>15.068822462688784</v>
      </c>
      <c r="N180" s="615">
        <v>-125.26641824206686</v>
      </c>
      <c r="O180" s="615">
        <v>-78.905910642301208</v>
      </c>
      <c r="P180" s="615">
        <v>0</v>
      </c>
      <c r="Q180" s="615">
        <v>17.724535862473211</v>
      </c>
      <c r="R180" s="615">
        <v>-557.63514551632511</v>
      </c>
      <c r="S180" s="615">
        <v>-62.112636244933569</v>
      </c>
      <c r="T180" s="615">
        <v>-74.818117624520369</v>
      </c>
      <c r="U180" s="615">
        <v>981.65428924034563</v>
      </c>
      <c r="V180" s="51"/>
    </row>
    <row r="181" spans="3:22" x14ac:dyDescent="0.25">
      <c r="C181" s="616"/>
      <c r="D181" s="617"/>
      <c r="E181" s="617"/>
      <c r="F181" s="617"/>
      <c r="G181" s="617"/>
      <c r="H181" s="623"/>
      <c r="I181" s="617"/>
      <c r="J181" s="617"/>
      <c r="K181" s="617"/>
      <c r="L181" s="617"/>
      <c r="M181" s="617"/>
      <c r="N181" s="617"/>
      <c r="O181" s="617"/>
      <c r="P181" s="617"/>
      <c r="Q181" s="617"/>
      <c r="R181" s="617"/>
      <c r="S181" s="617"/>
      <c r="T181" s="617"/>
      <c r="U181" s="617"/>
      <c r="V181" s="51"/>
    </row>
    <row r="182" spans="3:22" x14ac:dyDescent="0.25">
      <c r="C182" s="618" t="s">
        <v>78</v>
      </c>
      <c r="D182" s="611">
        <v>1.6567330370836562</v>
      </c>
      <c r="E182" s="611">
        <v>0</v>
      </c>
      <c r="F182" s="611">
        <v>2.8599897491525303</v>
      </c>
      <c r="G182" s="611">
        <v>0</v>
      </c>
      <c r="H182" s="611">
        <v>23.2042782425182</v>
      </c>
      <c r="I182" s="611">
        <v>0.59498149339790252</v>
      </c>
      <c r="J182" s="611">
        <v>0</v>
      </c>
      <c r="K182" s="611">
        <v>0</v>
      </c>
      <c r="L182" s="611">
        <v>22.611451120736024</v>
      </c>
      <c r="M182" s="611">
        <v>5.7247037459588501</v>
      </c>
      <c r="N182" s="611">
        <v>2.4891014214733991</v>
      </c>
      <c r="O182" s="611">
        <v>35.740239810905898</v>
      </c>
      <c r="P182" s="611">
        <v>17.613589843749999</v>
      </c>
      <c r="Q182" s="611">
        <v>8.4299170840015686E-4</v>
      </c>
      <c r="R182" s="611">
        <v>187.94943106568476</v>
      </c>
      <c r="S182" s="611">
        <v>21.3497147946984</v>
      </c>
      <c r="T182" s="611">
        <v>13.7914765625</v>
      </c>
      <c r="U182" s="619">
        <v>335.58653387956804</v>
      </c>
      <c r="V182" s="51"/>
    </row>
    <row r="183" spans="3:22" x14ac:dyDescent="0.25">
      <c r="C183" s="618" t="s">
        <v>79</v>
      </c>
      <c r="D183" s="611">
        <v>0</v>
      </c>
      <c r="E183" s="611">
        <v>0</v>
      </c>
      <c r="F183" s="611">
        <v>7.0212023016086675</v>
      </c>
      <c r="G183" s="611">
        <v>2.7990026147409606</v>
      </c>
      <c r="H183" s="611">
        <v>3.0363171620819989</v>
      </c>
      <c r="I183" s="611">
        <v>7.7854286207230741E-2</v>
      </c>
      <c r="J183" s="611">
        <v>0</v>
      </c>
      <c r="K183" s="611">
        <v>0</v>
      </c>
      <c r="L183" s="611">
        <v>0</v>
      </c>
      <c r="M183" s="611">
        <v>0</v>
      </c>
      <c r="N183" s="611">
        <v>56.581202021290558</v>
      </c>
      <c r="O183" s="611">
        <v>4.6712571724338439</v>
      </c>
      <c r="P183" s="611">
        <v>0</v>
      </c>
      <c r="Q183" s="611">
        <v>0</v>
      </c>
      <c r="R183" s="611">
        <v>112.24073946586431</v>
      </c>
      <c r="S183" s="611">
        <v>0</v>
      </c>
      <c r="T183" s="611">
        <v>6.497399181335763</v>
      </c>
      <c r="U183" s="619">
        <v>192.92497420556333</v>
      </c>
      <c r="V183" s="51"/>
    </row>
    <row r="184" spans="3:22" x14ac:dyDescent="0.25">
      <c r="C184" s="618" t="s">
        <v>80</v>
      </c>
      <c r="D184" s="611">
        <v>0</v>
      </c>
      <c r="E184" s="611">
        <v>0</v>
      </c>
      <c r="F184" s="611">
        <v>0.52818257625892373</v>
      </c>
      <c r="G184" s="611">
        <v>0</v>
      </c>
      <c r="H184" s="611">
        <v>9.9272307301662774</v>
      </c>
      <c r="I184" s="611">
        <v>0.25454437769657123</v>
      </c>
      <c r="J184" s="611">
        <v>0</v>
      </c>
      <c r="K184" s="611">
        <v>0</v>
      </c>
      <c r="L184" s="611">
        <v>36.145280389625334</v>
      </c>
      <c r="M184" s="611">
        <v>0</v>
      </c>
      <c r="N184" s="611">
        <v>0</v>
      </c>
      <c r="O184" s="611">
        <v>15.272662661794273</v>
      </c>
      <c r="P184" s="611">
        <v>102.98149571768585</v>
      </c>
      <c r="Q184" s="611">
        <v>2.9888036499995505</v>
      </c>
      <c r="R184" s="611">
        <v>143.51715895688449</v>
      </c>
      <c r="S184" s="611">
        <v>22.181895321077057</v>
      </c>
      <c r="T184" s="611">
        <v>0</v>
      </c>
      <c r="U184" s="619">
        <v>333.79725438118828</v>
      </c>
      <c r="V184" s="51"/>
    </row>
    <row r="185" spans="3:22" x14ac:dyDescent="0.25">
      <c r="C185" s="618" t="s">
        <v>81</v>
      </c>
      <c r="D185" s="611">
        <v>0</v>
      </c>
      <c r="E185" s="611">
        <v>0</v>
      </c>
      <c r="F185" s="611">
        <v>0.4043921899752152</v>
      </c>
      <c r="G185" s="611">
        <v>0</v>
      </c>
      <c r="H185" s="611">
        <v>5.5758605918279338</v>
      </c>
      <c r="I185" s="611">
        <v>0.14297078440584446</v>
      </c>
      <c r="J185" s="611">
        <v>0</v>
      </c>
      <c r="K185" s="611">
        <v>0</v>
      </c>
      <c r="L185" s="611">
        <v>0.49596954229928064</v>
      </c>
      <c r="M185" s="611">
        <v>0</v>
      </c>
      <c r="N185" s="611">
        <v>0</v>
      </c>
      <c r="O185" s="611">
        <v>8.5782470643506681</v>
      </c>
      <c r="P185" s="611">
        <v>49.237012139994242</v>
      </c>
      <c r="Q185" s="611">
        <v>3.2685728275989634</v>
      </c>
      <c r="R185" s="611">
        <v>113.98538483583862</v>
      </c>
      <c r="S185" s="611">
        <v>18.581026129158101</v>
      </c>
      <c r="T185" s="611">
        <v>0</v>
      </c>
      <c r="U185" s="619">
        <v>200.26943610544885</v>
      </c>
      <c r="V185" s="51"/>
    </row>
    <row r="186" spans="3:22" x14ac:dyDescent="0.25">
      <c r="C186" s="618" t="s">
        <v>82</v>
      </c>
      <c r="D186" s="611">
        <v>0</v>
      </c>
      <c r="E186" s="611">
        <v>0</v>
      </c>
      <c r="F186" s="611">
        <v>3.6463721740036745</v>
      </c>
      <c r="G186" s="611">
        <v>0</v>
      </c>
      <c r="H186" s="611">
        <v>0.54193037779832631</v>
      </c>
      <c r="I186" s="611">
        <v>1.3895650712777598E-2</v>
      </c>
      <c r="J186" s="611">
        <v>0</v>
      </c>
      <c r="K186" s="611">
        <v>0</v>
      </c>
      <c r="L186" s="611">
        <v>3.5613676310951794</v>
      </c>
      <c r="M186" s="611">
        <v>0</v>
      </c>
      <c r="N186" s="611">
        <v>18.734510808369581</v>
      </c>
      <c r="O186" s="611">
        <v>0.83373904276665589</v>
      </c>
      <c r="P186" s="611">
        <v>1.25</v>
      </c>
      <c r="Q186" s="611">
        <v>1.7440136932478227</v>
      </c>
      <c r="R186" s="611">
        <v>6.9126660362912906</v>
      </c>
      <c r="S186" s="611">
        <v>0</v>
      </c>
      <c r="T186" s="611">
        <v>0.67126612024062504</v>
      </c>
      <c r="U186" s="619">
        <v>37.909761534525927</v>
      </c>
      <c r="V186" s="51"/>
    </row>
    <row r="187" spans="3:22" x14ac:dyDescent="0.25">
      <c r="C187" s="618" t="s">
        <v>354</v>
      </c>
      <c r="D187" s="611">
        <v>0</v>
      </c>
      <c r="E187" s="611">
        <v>0</v>
      </c>
      <c r="F187" s="611">
        <v>0</v>
      </c>
      <c r="G187" s="611">
        <v>0</v>
      </c>
      <c r="H187" s="611">
        <v>0</v>
      </c>
      <c r="I187" s="611">
        <v>0</v>
      </c>
      <c r="J187" s="611">
        <v>0</v>
      </c>
      <c r="K187" s="611">
        <v>0</v>
      </c>
      <c r="L187" s="611">
        <v>0</v>
      </c>
      <c r="M187" s="611">
        <v>0</v>
      </c>
      <c r="N187" s="611">
        <v>0</v>
      </c>
      <c r="O187" s="611">
        <v>0</v>
      </c>
      <c r="P187" s="611">
        <v>0</v>
      </c>
      <c r="Q187" s="611">
        <v>0</v>
      </c>
      <c r="R187" s="611">
        <v>5.7675999999999998</v>
      </c>
      <c r="S187" s="611">
        <v>0</v>
      </c>
      <c r="T187" s="611">
        <v>0</v>
      </c>
      <c r="U187" s="619">
        <v>5.7675999999999998</v>
      </c>
      <c r="V187" s="51"/>
    </row>
    <row r="188" spans="3:22" x14ac:dyDescent="0.25">
      <c r="C188" s="614" t="s">
        <v>83</v>
      </c>
      <c r="D188" s="615">
        <v>1.6567330370836562</v>
      </c>
      <c r="E188" s="615">
        <v>0</v>
      </c>
      <c r="F188" s="615">
        <v>14.460138990999013</v>
      </c>
      <c r="G188" s="615">
        <v>2.7990026147409606</v>
      </c>
      <c r="H188" s="615">
        <v>42.285617104392735</v>
      </c>
      <c r="I188" s="615">
        <v>1.0842465924203266</v>
      </c>
      <c r="J188" s="615">
        <v>0</v>
      </c>
      <c r="K188" s="615">
        <v>0</v>
      </c>
      <c r="L188" s="615">
        <v>62.814068683755821</v>
      </c>
      <c r="M188" s="615">
        <v>5.7247037459588501</v>
      </c>
      <c r="N188" s="615">
        <v>77.804814251133536</v>
      </c>
      <c r="O188" s="615">
        <v>65.096145752251331</v>
      </c>
      <c r="P188" s="615">
        <v>171.08209770143009</v>
      </c>
      <c r="Q188" s="615">
        <v>8.0022331625547363</v>
      </c>
      <c r="R188" s="615">
        <v>570.37298036056347</v>
      </c>
      <c r="S188" s="615">
        <v>62.112636244933555</v>
      </c>
      <c r="T188" s="615">
        <v>20.960141864076387</v>
      </c>
      <c r="U188" s="615">
        <v>1106.2555601062943</v>
      </c>
      <c r="V188" s="51"/>
    </row>
    <row r="189" spans="3:22" x14ac:dyDescent="0.25">
      <c r="C189" s="610" t="s">
        <v>84</v>
      </c>
      <c r="D189" s="611">
        <v>0</v>
      </c>
      <c r="E189" s="611">
        <v>0</v>
      </c>
      <c r="F189" s="611">
        <v>62.444092195240373</v>
      </c>
      <c r="G189" s="611">
        <v>2.5138754259873437</v>
      </c>
      <c r="H189" s="611">
        <v>6.0153513536527026</v>
      </c>
      <c r="I189" s="611">
        <v>0</v>
      </c>
      <c r="J189" s="611">
        <v>0</v>
      </c>
      <c r="K189" s="611">
        <v>0</v>
      </c>
      <c r="L189" s="611">
        <v>0.4729958666220917</v>
      </c>
      <c r="M189" s="611">
        <v>0</v>
      </c>
      <c r="N189" s="611">
        <v>38.295047275787958</v>
      </c>
      <c r="O189" s="611">
        <v>11.297042554251473</v>
      </c>
      <c r="P189" s="611">
        <v>0</v>
      </c>
      <c r="Q189" s="611">
        <v>0</v>
      </c>
      <c r="R189" s="611">
        <v>0</v>
      </c>
      <c r="S189" s="611">
        <v>0</v>
      </c>
      <c r="T189" s="611">
        <v>46.889191785304561</v>
      </c>
      <c r="U189" s="619">
        <v>167.92759645684652</v>
      </c>
      <c r="V189" s="51"/>
    </row>
    <row r="190" spans="3:22" x14ac:dyDescent="0.25">
      <c r="C190" s="614" t="s">
        <v>85</v>
      </c>
      <c r="D190" s="615">
        <v>1.6567330370836562</v>
      </c>
      <c r="E190" s="615">
        <v>0</v>
      </c>
      <c r="F190" s="615">
        <v>76.904231186239386</v>
      </c>
      <c r="G190" s="615">
        <v>5.3128780407283038</v>
      </c>
      <c r="H190" s="615">
        <v>48.300968458045439</v>
      </c>
      <c r="I190" s="615">
        <v>1.0842465924203266</v>
      </c>
      <c r="J190" s="615">
        <v>0</v>
      </c>
      <c r="K190" s="615">
        <v>0</v>
      </c>
      <c r="L190" s="615">
        <v>63.287064550377913</v>
      </c>
      <c r="M190" s="615">
        <v>5.7247037459588501</v>
      </c>
      <c r="N190" s="615">
        <v>116.0998615269215</v>
      </c>
      <c r="O190" s="615">
        <v>76.393188306502807</v>
      </c>
      <c r="P190" s="615">
        <v>171.08209770143009</v>
      </c>
      <c r="Q190" s="615">
        <v>8.0022331625547363</v>
      </c>
      <c r="R190" s="615">
        <v>570.37298036056347</v>
      </c>
      <c r="S190" s="615">
        <v>62.112636244933555</v>
      </c>
      <c r="T190" s="615">
        <v>67.849333649380952</v>
      </c>
      <c r="U190" s="615">
        <v>1274.1831565631408</v>
      </c>
      <c r="V190" s="51"/>
    </row>
    <row r="191" spans="3:22" x14ac:dyDescent="0.25">
      <c r="C191" s="51"/>
      <c r="D191" s="67">
        <v>0</v>
      </c>
      <c r="E191" s="67">
        <v>0</v>
      </c>
      <c r="F191" s="67">
        <v>0</v>
      </c>
      <c r="G191" s="67">
        <v>0</v>
      </c>
      <c r="H191" s="67">
        <v>0</v>
      </c>
      <c r="I191" s="67">
        <v>0</v>
      </c>
      <c r="J191" s="67">
        <v>0</v>
      </c>
      <c r="K191" s="67">
        <v>0</v>
      </c>
      <c r="L191" s="67">
        <v>0</v>
      </c>
      <c r="M191" s="67">
        <v>-3.4682726224488647E-4</v>
      </c>
      <c r="N191" s="67">
        <v>0</v>
      </c>
      <c r="O191" s="67">
        <v>1.3322676295501878E-14</v>
      </c>
      <c r="P191" s="67">
        <v>0</v>
      </c>
      <c r="Q191" s="67">
        <v>0</v>
      </c>
      <c r="R191" s="67">
        <v>0</v>
      </c>
      <c r="S191" s="67">
        <v>-1.4210854715202004E-14</v>
      </c>
      <c r="T191" s="67">
        <v>0</v>
      </c>
      <c r="U191" s="67">
        <v>-3.4682726254686713E-4</v>
      </c>
      <c r="V191" s="51"/>
    </row>
    <row r="192" spans="3:22" x14ac:dyDescent="0.25">
      <c r="C192" s="51"/>
      <c r="D192" s="51"/>
      <c r="E192" s="51"/>
      <c r="F192" s="51"/>
      <c r="G192" s="67"/>
      <c r="H192" s="51"/>
      <c r="I192" s="51"/>
      <c r="J192" s="51"/>
      <c r="K192" s="51"/>
      <c r="L192" s="51"/>
      <c r="M192" s="51"/>
      <c r="N192" s="51"/>
      <c r="O192" s="51"/>
      <c r="P192" s="51"/>
      <c r="Q192" s="51"/>
      <c r="R192" s="51"/>
      <c r="S192" s="51"/>
      <c r="T192" s="51"/>
      <c r="U192" s="51"/>
      <c r="V192" s="51"/>
    </row>
    <row r="193" spans="3:22" x14ac:dyDescent="0.25">
      <c r="C193" s="607" t="s">
        <v>89</v>
      </c>
      <c r="D193" s="606"/>
      <c r="E193" s="606"/>
      <c r="F193" s="606"/>
      <c r="G193" s="682"/>
      <c r="H193" s="606"/>
      <c r="I193" s="606"/>
      <c r="J193" s="606"/>
      <c r="K193" s="606"/>
      <c r="L193" s="606"/>
      <c r="M193" s="606"/>
      <c r="N193" s="606"/>
      <c r="O193" s="606"/>
      <c r="P193" s="606"/>
      <c r="Q193" s="606"/>
      <c r="R193" s="606"/>
      <c r="S193" s="606"/>
      <c r="T193" s="606"/>
      <c r="U193" s="606"/>
      <c r="V193" s="606"/>
    </row>
    <row r="194" spans="3:22" x14ac:dyDescent="0.25">
      <c r="C194" s="51"/>
      <c r="D194" s="51"/>
      <c r="E194" s="51"/>
      <c r="F194" s="51"/>
      <c r="G194" s="67"/>
      <c r="H194" s="51"/>
      <c r="I194" s="51"/>
      <c r="J194" s="51"/>
      <c r="K194" s="51"/>
      <c r="L194" s="51"/>
      <c r="M194" s="51"/>
      <c r="N194" s="51"/>
      <c r="O194" s="51"/>
      <c r="P194" s="51"/>
      <c r="Q194" s="51"/>
      <c r="R194" s="51"/>
      <c r="S194" s="51"/>
      <c r="T194" s="51"/>
      <c r="U194" s="51"/>
      <c r="V194" s="51"/>
    </row>
    <row r="195" spans="3:22" x14ac:dyDescent="0.25">
      <c r="C195" s="764" t="s">
        <v>128</v>
      </c>
      <c r="D195" s="753" t="s">
        <v>42</v>
      </c>
      <c r="E195" s="753" t="s">
        <v>52</v>
      </c>
      <c r="F195" s="753" t="s">
        <v>53</v>
      </c>
      <c r="G195" s="766" t="s">
        <v>482</v>
      </c>
      <c r="H195" s="753" t="s">
        <v>32</v>
      </c>
      <c r="I195" s="753" t="s">
        <v>483</v>
      </c>
      <c r="J195" s="753" t="s">
        <v>20</v>
      </c>
      <c r="K195" s="753" t="s">
        <v>55</v>
      </c>
      <c r="L195" s="761" t="s">
        <v>56</v>
      </c>
      <c r="M195" s="762"/>
      <c r="N195" s="762"/>
      <c r="O195" s="762"/>
      <c r="P195" s="762"/>
      <c r="Q195" s="763"/>
      <c r="R195" s="753" t="s">
        <v>57</v>
      </c>
      <c r="S195" s="753" t="s">
        <v>58</v>
      </c>
      <c r="T195" s="753" t="s">
        <v>31</v>
      </c>
      <c r="U195" s="753" t="s">
        <v>10</v>
      </c>
      <c r="V195" s="51"/>
    </row>
    <row r="196" spans="3:22" ht="36" x14ac:dyDescent="0.25">
      <c r="C196" s="765"/>
      <c r="D196" s="754"/>
      <c r="E196" s="754"/>
      <c r="F196" s="754"/>
      <c r="G196" s="767"/>
      <c r="H196" s="754"/>
      <c r="I196" s="754"/>
      <c r="J196" s="754"/>
      <c r="K196" s="754"/>
      <c r="L196" s="608" t="s">
        <v>335</v>
      </c>
      <c r="M196" s="608" t="s">
        <v>40</v>
      </c>
      <c r="N196" s="608" t="s">
        <v>343</v>
      </c>
      <c r="O196" s="608" t="s">
        <v>344</v>
      </c>
      <c r="P196" s="609" t="s">
        <v>345</v>
      </c>
      <c r="Q196" s="608" t="s">
        <v>346</v>
      </c>
      <c r="R196" s="754"/>
      <c r="S196" s="754"/>
      <c r="T196" s="754"/>
      <c r="U196" s="754"/>
      <c r="V196" s="51"/>
    </row>
    <row r="197" spans="3:22" x14ac:dyDescent="0.25">
      <c r="C197" s="610" t="s">
        <v>59</v>
      </c>
      <c r="D197" s="611">
        <v>0</v>
      </c>
      <c r="E197" s="611">
        <v>0</v>
      </c>
      <c r="F197" s="611">
        <v>0</v>
      </c>
      <c r="G197" s="611">
        <v>0</v>
      </c>
      <c r="H197" s="611">
        <v>0</v>
      </c>
      <c r="I197" s="611">
        <v>0</v>
      </c>
      <c r="J197" s="612">
        <v>759.92203636363649</v>
      </c>
      <c r="K197" s="612">
        <v>585.27007132862354</v>
      </c>
      <c r="L197" s="612">
        <v>421.01958402132601</v>
      </c>
      <c r="M197" s="612">
        <v>20.686642208021134</v>
      </c>
      <c r="N197" s="611">
        <v>1.5563580670349855</v>
      </c>
      <c r="O197" s="611">
        <v>0.17110271620039663</v>
      </c>
      <c r="P197" s="612">
        <v>181.20215447851419</v>
      </c>
      <c r="Q197" s="612">
        <v>27.103716579638188</v>
      </c>
      <c r="R197" s="611">
        <v>0</v>
      </c>
      <c r="S197" s="611">
        <v>0</v>
      </c>
      <c r="T197" s="611">
        <v>0</v>
      </c>
      <c r="U197" s="613">
        <v>1996.9316657629947</v>
      </c>
      <c r="V197" s="51"/>
    </row>
    <row r="198" spans="3:22" x14ac:dyDescent="0.25">
      <c r="C198" s="610" t="s">
        <v>60</v>
      </c>
      <c r="D198" s="611">
        <v>0.64129319091675452</v>
      </c>
      <c r="E198" s="611">
        <v>72.7588411322387</v>
      </c>
      <c r="F198" s="611">
        <v>1.9517818504706483</v>
      </c>
      <c r="G198" s="611">
        <v>0</v>
      </c>
      <c r="H198" s="611">
        <v>3.2223770587889593</v>
      </c>
      <c r="I198" s="611">
        <v>0</v>
      </c>
      <c r="J198" s="611">
        <v>0</v>
      </c>
      <c r="K198" s="611">
        <v>0</v>
      </c>
      <c r="L198" s="611">
        <v>5.2309321400654634</v>
      </c>
      <c r="M198" s="611">
        <v>0</v>
      </c>
      <c r="N198" s="611">
        <v>6.8353402019644598</v>
      </c>
      <c r="O198" s="611">
        <v>0</v>
      </c>
      <c r="P198" s="611">
        <v>0</v>
      </c>
      <c r="Q198" s="611">
        <v>0</v>
      </c>
      <c r="R198" s="611">
        <v>86.758204068598843</v>
      </c>
      <c r="S198" s="611">
        <v>0</v>
      </c>
      <c r="T198" s="611">
        <v>0</v>
      </c>
      <c r="U198" s="613">
        <v>177.39876964304383</v>
      </c>
      <c r="V198" s="51"/>
    </row>
    <row r="199" spans="3:22" x14ac:dyDescent="0.25">
      <c r="C199" s="610" t="s">
        <v>61</v>
      </c>
      <c r="D199" s="611">
        <v>0</v>
      </c>
      <c r="E199" s="611">
        <v>0</v>
      </c>
      <c r="F199" s="611">
        <v>-14.049213431109226</v>
      </c>
      <c r="G199" s="611">
        <v>-15.061852283906475</v>
      </c>
      <c r="H199" s="611">
        <v>0</v>
      </c>
      <c r="I199" s="611">
        <v>0</v>
      </c>
      <c r="J199" s="611">
        <v>0</v>
      </c>
      <c r="K199" s="611">
        <v>0</v>
      </c>
      <c r="L199" s="611">
        <v>0</v>
      </c>
      <c r="M199" s="611">
        <v>0</v>
      </c>
      <c r="N199" s="611">
        <v>0</v>
      </c>
      <c r="O199" s="611">
        <v>0</v>
      </c>
      <c r="P199" s="611">
        <v>0</v>
      </c>
      <c r="Q199" s="611">
        <v>0</v>
      </c>
      <c r="R199" s="611">
        <v>0</v>
      </c>
      <c r="S199" s="611">
        <v>0</v>
      </c>
      <c r="T199" s="611">
        <v>0</v>
      </c>
      <c r="U199" s="613">
        <v>-29.111065715015702</v>
      </c>
      <c r="V199" s="51"/>
    </row>
    <row r="200" spans="3:22" x14ac:dyDescent="0.25">
      <c r="C200" s="610" t="s">
        <v>62</v>
      </c>
      <c r="D200" s="611">
        <v>0</v>
      </c>
      <c r="E200" s="611">
        <v>0</v>
      </c>
      <c r="F200" s="611">
        <v>0</v>
      </c>
      <c r="G200" s="611">
        <v>-6.1101617494546652</v>
      </c>
      <c r="H200" s="611">
        <v>0</v>
      </c>
      <c r="I200" s="611">
        <v>-4.4416564350684116</v>
      </c>
      <c r="J200" s="611">
        <v>0</v>
      </c>
      <c r="K200" s="611">
        <v>0</v>
      </c>
      <c r="L200" s="611">
        <v>0</v>
      </c>
      <c r="M200" s="611">
        <v>0</v>
      </c>
      <c r="N200" s="611">
        <v>-1.5423967884416028</v>
      </c>
      <c r="O200" s="611">
        <v>-2.9611042900456073</v>
      </c>
      <c r="P200" s="611">
        <v>0</v>
      </c>
      <c r="Q200" s="611">
        <v>0</v>
      </c>
      <c r="R200" s="611">
        <v>0</v>
      </c>
      <c r="S200" s="611">
        <v>0</v>
      </c>
      <c r="T200" s="611">
        <v>-2.4482488705422272</v>
      </c>
      <c r="U200" s="613">
        <v>-17.503568133552513</v>
      </c>
      <c r="V200" s="51"/>
    </row>
    <row r="201" spans="3:22" x14ac:dyDescent="0.25">
      <c r="C201" s="610" t="s">
        <v>63</v>
      </c>
      <c r="D201" s="611">
        <v>0</v>
      </c>
      <c r="E201" s="611">
        <v>0</v>
      </c>
      <c r="F201" s="611">
        <v>-7.3240777097484635</v>
      </c>
      <c r="G201" s="611">
        <v>-24.912603262820603</v>
      </c>
      <c r="H201" s="611">
        <v>0</v>
      </c>
      <c r="I201" s="611">
        <v>0</v>
      </c>
      <c r="J201" s="611">
        <v>0</v>
      </c>
      <c r="K201" s="611">
        <v>0</v>
      </c>
      <c r="L201" s="611">
        <v>0</v>
      </c>
      <c r="M201" s="611">
        <v>0</v>
      </c>
      <c r="N201" s="611">
        <v>-17.438822283974417</v>
      </c>
      <c r="O201" s="611">
        <v>0</v>
      </c>
      <c r="P201" s="611">
        <v>0</v>
      </c>
      <c r="Q201" s="611">
        <v>0</v>
      </c>
      <c r="R201" s="611">
        <v>0</v>
      </c>
      <c r="S201" s="611">
        <v>0</v>
      </c>
      <c r="T201" s="611">
        <v>-7.5807767073973409</v>
      </c>
      <c r="U201" s="613">
        <v>-57.256279963940827</v>
      </c>
      <c r="V201" s="51"/>
    </row>
    <row r="202" spans="3:22" x14ac:dyDescent="0.25">
      <c r="C202" s="610" t="s">
        <v>64</v>
      </c>
      <c r="D202" s="611">
        <v>0</v>
      </c>
      <c r="E202" s="611">
        <v>0</v>
      </c>
      <c r="F202" s="611">
        <v>0</v>
      </c>
      <c r="G202" s="611">
        <v>0</v>
      </c>
      <c r="H202" s="611">
        <v>0</v>
      </c>
      <c r="I202" s="611">
        <v>0</v>
      </c>
      <c r="J202" s="611">
        <v>0</v>
      </c>
      <c r="K202" s="611">
        <v>0</v>
      </c>
      <c r="L202" s="611">
        <v>0</v>
      </c>
      <c r="M202" s="611">
        <v>0</v>
      </c>
      <c r="N202" s="611">
        <v>0</v>
      </c>
      <c r="O202" s="611">
        <v>0</v>
      </c>
      <c r="P202" s="611">
        <v>0</v>
      </c>
      <c r="Q202" s="611">
        <v>0</v>
      </c>
      <c r="R202" s="611">
        <v>0</v>
      </c>
      <c r="S202" s="611">
        <v>0</v>
      </c>
      <c r="T202" s="611">
        <v>0</v>
      </c>
      <c r="U202" s="613">
        <v>0</v>
      </c>
      <c r="V202" s="51"/>
    </row>
    <row r="203" spans="3:22" x14ac:dyDescent="0.25">
      <c r="C203" s="614" t="s">
        <v>65</v>
      </c>
      <c r="D203" s="615">
        <v>0.64129319091675452</v>
      </c>
      <c r="E203" s="615">
        <v>72.7588411322387</v>
      </c>
      <c r="F203" s="615">
        <v>-19.421509290387043</v>
      </c>
      <c r="G203" s="615">
        <v>-46.084617296181747</v>
      </c>
      <c r="H203" s="615">
        <v>3.2223770587889593</v>
      </c>
      <c r="I203" s="615">
        <v>-4.4416564350684116</v>
      </c>
      <c r="J203" s="615">
        <v>759.92203636363649</v>
      </c>
      <c r="K203" s="615">
        <v>585.27007132862354</v>
      </c>
      <c r="L203" s="615">
        <v>426.25051616139149</v>
      </c>
      <c r="M203" s="615">
        <v>20.686642208021134</v>
      </c>
      <c r="N203" s="615">
        <v>-10.589520803416576</v>
      </c>
      <c r="O203" s="615">
        <v>-2.7900015738452106</v>
      </c>
      <c r="P203" s="615">
        <v>181.20215447851419</v>
      </c>
      <c r="Q203" s="615">
        <v>27.103716579638188</v>
      </c>
      <c r="R203" s="615">
        <v>86.758204068598843</v>
      </c>
      <c r="S203" s="615">
        <v>0</v>
      </c>
      <c r="T203" s="615">
        <v>-10.029025577939567</v>
      </c>
      <c r="U203" s="615">
        <v>2070.4595215935296</v>
      </c>
      <c r="V203" s="51"/>
    </row>
    <row r="204" spans="3:22" x14ac:dyDescent="0.25">
      <c r="C204" s="616"/>
      <c r="D204" s="617"/>
      <c r="E204" s="617"/>
      <c r="F204" s="617"/>
      <c r="G204" s="617"/>
      <c r="H204" s="623"/>
      <c r="I204" s="617"/>
      <c r="J204" s="617"/>
      <c r="K204" s="617"/>
      <c r="L204" s="617"/>
      <c r="M204" s="617"/>
      <c r="N204" s="617"/>
      <c r="O204" s="617"/>
      <c r="P204" s="617"/>
      <c r="Q204" s="617"/>
      <c r="R204" s="617"/>
      <c r="S204" s="617"/>
      <c r="T204" s="617"/>
      <c r="U204" s="617"/>
      <c r="V204" s="51"/>
    </row>
    <row r="205" spans="3:22" x14ac:dyDescent="0.25">
      <c r="C205" s="618" t="s">
        <v>67</v>
      </c>
      <c r="D205" s="611">
        <v>0</v>
      </c>
      <c r="E205" s="611">
        <v>0</v>
      </c>
      <c r="F205" s="611">
        <v>0</v>
      </c>
      <c r="G205" s="611">
        <v>0</v>
      </c>
      <c r="H205" s="611">
        <v>0</v>
      </c>
      <c r="I205" s="611">
        <v>0</v>
      </c>
      <c r="J205" s="611">
        <v>0</v>
      </c>
      <c r="K205" s="611">
        <v>0</v>
      </c>
      <c r="L205" s="611">
        <v>0</v>
      </c>
      <c r="M205" s="611">
        <v>0</v>
      </c>
      <c r="N205" s="611">
        <v>0</v>
      </c>
      <c r="O205" s="611">
        <v>0</v>
      </c>
      <c r="P205" s="611">
        <v>0</v>
      </c>
      <c r="Q205" s="611">
        <v>0</v>
      </c>
      <c r="R205" s="611">
        <v>0</v>
      </c>
      <c r="S205" s="611">
        <v>0</v>
      </c>
      <c r="T205" s="611">
        <v>0</v>
      </c>
      <c r="U205" s="619">
        <v>0</v>
      </c>
      <c r="V205" s="51"/>
    </row>
    <row r="206" spans="3:22" x14ac:dyDescent="0.25">
      <c r="C206" s="618" t="s">
        <v>347</v>
      </c>
      <c r="D206" s="611">
        <v>0</v>
      </c>
      <c r="E206" s="611">
        <v>0</v>
      </c>
      <c r="F206" s="611">
        <v>0</v>
      </c>
      <c r="G206" s="611">
        <v>0</v>
      </c>
      <c r="H206" s="611">
        <v>0</v>
      </c>
      <c r="I206" s="611">
        <v>0</v>
      </c>
      <c r="J206" s="611">
        <v>759.92203636363649</v>
      </c>
      <c r="K206" s="611">
        <v>585.27007132862354</v>
      </c>
      <c r="L206" s="611">
        <v>21.935641645543306</v>
      </c>
      <c r="M206" s="611">
        <v>0.61628865372008657</v>
      </c>
      <c r="N206" s="611">
        <v>6.5561937148871507</v>
      </c>
      <c r="O206" s="611">
        <v>1.5747281082088551</v>
      </c>
      <c r="P206" s="611">
        <v>0</v>
      </c>
      <c r="Q206" s="611">
        <v>6.7631767445353068</v>
      </c>
      <c r="R206" s="611">
        <v>-895.33632983844416</v>
      </c>
      <c r="S206" s="611">
        <v>0</v>
      </c>
      <c r="T206" s="611">
        <v>6.4421899999999992</v>
      </c>
      <c r="U206" s="619">
        <v>493.74399672071024</v>
      </c>
      <c r="V206" s="51"/>
    </row>
    <row r="207" spans="3:22" x14ac:dyDescent="0.25">
      <c r="C207" s="618" t="s">
        <v>348</v>
      </c>
      <c r="D207" s="611">
        <v>0</v>
      </c>
      <c r="E207" s="611">
        <v>0</v>
      </c>
      <c r="F207" s="611">
        <v>0</v>
      </c>
      <c r="G207" s="611">
        <v>0</v>
      </c>
      <c r="H207" s="611">
        <v>0</v>
      </c>
      <c r="I207" s="611">
        <v>0</v>
      </c>
      <c r="J207" s="611">
        <v>0</v>
      </c>
      <c r="K207" s="611">
        <v>0</v>
      </c>
      <c r="L207" s="611">
        <v>34.859137423321251</v>
      </c>
      <c r="M207" s="611">
        <v>14.707872710950403</v>
      </c>
      <c r="N207" s="611">
        <v>0</v>
      </c>
      <c r="O207" s="611">
        <v>8.3969630288089814</v>
      </c>
      <c r="P207" s="611">
        <v>0</v>
      </c>
      <c r="Q207" s="611">
        <v>11.678038971322861</v>
      </c>
      <c r="R207" s="611">
        <v>0</v>
      </c>
      <c r="S207" s="611">
        <v>-66.565624993763251</v>
      </c>
      <c r="T207" s="611">
        <v>0</v>
      </c>
      <c r="U207" s="619">
        <v>3.0763871406402501</v>
      </c>
      <c r="V207" s="51"/>
    </row>
    <row r="208" spans="3:22" x14ac:dyDescent="0.25">
      <c r="C208" s="618" t="s">
        <v>349</v>
      </c>
      <c r="D208" s="611">
        <v>0</v>
      </c>
      <c r="E208" s="611">
        <v>0</v>
      </c>
      <c r="F208" s="611">
        <v>0</v>
      </c>
      <c r="G208" s="611">
        <v>0</v>
      </c>
      <c r="H208" s="611">
        <v>0</v>
      </c>
      <c r="I208" s="611">
        <v>0</v>
      </c>
      <c r="J208" s="611">
        <v>0</v>
      </c>
      <c r="K208" s="611">
        <v>0</v>
      </c>
      <c r="L208" s="611">
        <v>116.09247876238595</v>
      </c>
      <c r="M208" s="611">
        <v>0</v>
      </c>
      <c r="N208" s="611">
        <v>0</v>
      </c>
      <c r="O208" s="611">
        <v>-107.1437165457632</v>
      </c>
      <c r="P208" s="611">
        <v>0</v>
      </c>
      <c r="Q208" s="611">
        <v>0</v>
      </c>
      <c r="R208" s="611">
        <v>0</v>
      </c>
      <c r="S208" s="611">
        <v>0</v>
      </c>
      <c r="T208" s="611">
        <v>0</v>
      </c>
      <c r="U208" s="619">
        <v>8.9487622166227538</v>
      </c>
      <c r="V208" s="51"/>
    </row>
    <row r="209" spans="3:22" x14ac:dyDescent="0.25">
      <c r="C209" s="618" t="s">
        <v>350</v>
      </c>
      <c r="D209" s="611">
        <v>0</v>
      </c>
      <c r="E209" s="611">
        <v>0</v>
      </c>
      <c r="F209" s="611">
        <v>0</v>
      </c>
      <c r="G209" s="611">
        <v>0</v>
      </c>
      <c r="H209" s="611">
        <v>0</v>
      </c>
      <c r="I209" s="611">
        <v>-8.6805438008370892</v>
      </c>
      <c r="J209" s="611">
        <v>0</v>
      </c>
      <c r="K209" s="611">
        <v>0</v>
      </c>
      <c r="L209" s="611">
        <v>0</v>
      </c>
      <c r="M209" s="611">
        <v>0</v>
      </c>
      <c r="N209" s="611">
        <v>0</v>
      </c>
      <c r="O209" s="611">
        <v>0</v>
      </c>
      <c r="P209" s="611">
        <v>0</v>
      </c>
      <c r="Q209" s="611">
        <v>0</v>
      </c>
      <c r="R209" s="611">
        <v>0</v>
      </c>
      <c r="S209" s="611">
        <v>0</v>
      </c>
      <c r="T209" s="611">
        <v>12.086503242074816</v>
      </c>
      <c r="U209" s="619">
        <v>3.4059594412377265</v>
      </c>
      <c r="V209" s="51"/>
    </row>
    <row r="210" spans="3:22" x14ac:dyDescent="0.25">
      <c r="C210" s="618" t="s">
        <v>72</v>
      </c>
      <c r="D210" s="611">
        <v>0</v>
      </c>
      <c r="E210" s="611">
        <v>75.393588190645644</v>
      </c>
      <c r="F210" s="611">
        <v>-74.641887149518311</v>
      </c>
      <c r="G210" s="611">
        <v>0</v>
      </c>
      <c r="H210" s="611">
        <v>0</v>
      </c>
      <c r="I210" s="611">
        <v>0</v>
      </c>
      <c r="J210" s="611">
        <v>0</v>
      </c>
      <c r="K210" s="611">
        <v>0</v>
      </c>
      <c r="L210" s="611">
        <v>0</v>
      </c>
      <c r="M210" s="611">
        <v>0</v>
      </c>
      <c r="N210" s="611">
        <v>0</v>
      </c>
      <c r="O210" s="611">
        <v>0</v>
      </c>
      <c r="P210" s="611">
        <v>0</v>
      </c>
      <c r="Q210" s="611">
        <v>0</v>
      </c>
      <c r="R210" s="611">
        <v>0</v>
      </c>
      <c r="S210" s="611">
        <v>0</v>
      </c>
      <c r="T210" s="611">
        <v>0</v>
      </c>
      <c r="U210" s="619">
        <v>0.75170104112733327</v>
      </c>
      <c r="V210" s="51"/>
    </row>
    <row r="211" spans="3:22" x14ac:dyDescent="0.25">
      <c r="C211" s="618" t="s">
        <v>351</v>
      </c>
      <c r="D211" s="611">
        <v>0</v>
      </c>
      <c r="E211" s="611">
        <v>0</v>
      </c>
      <c r="F211" s="611">
        <v>0</v>
      </c>
      <c r="G211" s="611">
        <v>0</v>
      </c>
      <c r="H211" s="611">
        <v>0</v>
      </c>
      <c r="I211" s="611">
        <v>0</v>
      </c>
      <c r="J211" s="611">
        <v>0</v>
      </c>
      <c r="K211" s="611">
        <v>0</v>
      </c>
      <c r="L211" s="611">
        <v>194.54575293909065</v>
      </c>
      <c r="M211" s="611">
        <v>0</v>
      </c>
      <c r="N211" s="611">
        <v>-107.00016411649986</v>
      </c>
      <c r="O211" s="611">
        <v>0</v>
      </c>
      <c r="P211" s="611">
        <v>0</v>
      </c>
      <c r="Q211" s="611">
        <v>0</v>
      </c>
      <c r="R211" s="611">
        <v>0</v>
      </c>
      <c r="S211" s="611">
        <v>0</v>
      </c>
      <c r="T211" s="611">
        <v>0</v>
      </c>
      <c r="U211" s="619">
        <v>87.545588822590787</v>
      </c>
      <c r="V211" s="51"/>
    </row>
    <row r="212" spans="3:22" x14ac:dyDescent="0.25">
      <c r="C212" s="618" t="s">
        <v>352</v>
      </c>
      <c r="D212" s="611">
        <v>0</v>
      </c>
      <c r="E212" s="611">
        <v>0</v>
      </c>
      <c r="F212" s="611">
        <v>0</v>
      </c>
      <c r="G212" s="611">
        <v>-53.670926604582093</v>
      </c>
      <c r="H212" s="611">
        <v>0</v>
      </c>
      <c r="I212" s="611">
        <v>0</v>
      </c>
      <c r="J212" s="611">
        <v>0</v>
      </c>
      <c r="K212" s="611">
        <v>0</v>
      </c>
      <c r="L212" s="611">
        <v>0</v>
      </c>
      <c r="M212" s="611">
        <v>0</v>
      </c>
      <c r="N212" s="611">
        <v>0</v>
      </c>
      <c r="O212" s="611">
        <v>0</v>
      </c>
      <c r="P212" s="611">
        <v>0</v>
      </c>
      <c r="Q212" s="611">
        <v>0</v>
      </c>
      <c r="R212" s="611">
        <v>0</v>
      </c>
      <c r="S212" s="611">
        <v>0</v>
      </c>
      <c r="T212" s="611">
        <v>69.588751075413697</v>
      </c>
      <c r="U212" s="619">
        <v>15.917824470831604</v>
      </c>
      <c r="V212" s="51"/>
    </row>
    <row r="213" spans="3:22" x14ac:dyDescent="0.25">
      <c r="C213" s="618" t="s">
        <v>73</v>
      </c>
      <c r="D213" s="611">
        <v>0</v>
      </c>
      <c r="E213" s="611">
        <v>0</v>
      </c>
      <c r="F213" s="611">
        <v>0</v>
      </c>
      <c r="G213" s="611">
        <v>0</v>
      </c>
      <c r="H213" s="611">
        <v>0</v>
      </c>
      <c r="I213" s="611">
        <v>0</v>
      </c>
      <c r="J213" s="611">
        <v>0</v>
      </c>
      <c r="K213" s="611">
        <v>0</v>
      </c>
      <c r="L213" s="611">
        <v>0</v>
      </c>
      <c r="M213" s="611">
        <v>0</v>
      </c>
      <c r="N213" s="611">
        <v>0</v>
      </c>
      <c r="O213" s="611">
        <v>0</v>
      </c>
      <c r="P213" s="611">
        <v>0</v>
      </c>
      <c r="Q213" s="611">
        <v>0</v>
      </c>
      <c r="R213" s="611">
        <v>258.03000874169254</v>
      </c>
      <c r="S213" s="611">
        <v>0</v>
      </c>
      <c r="T213" s="611">
        <v>-185.78160629401862</v>
      </c>
      <c r="U213" s="619">
        <v>72.248402447673925</v>
      </c>
      <c r="V213" s="51"/>
    </row>
    <row r="214" spans="3:22" x14ac:dyDescent="0.25">
      <c r="C214" s="618" t="s">
        <v>353</v>
      </c>
      <c r="D214" s="611">
        <v>0</v>
      </c>
      <c r="E214" s="611">
        <v>-2.634747058406945</v>
      </c>
      <c r="F214" s="611">
        <v>3.435008562710407</v>
      </c>
      <c r="G214" s="611">
        <v>0</v>
      </c>
      <c r="H214" s="611">
        <v>0</v>
      </c>
      <c r="I214" s="611">
        <v>0</v>
      </c>
      <c r="J214" s="611">
        <v>0</v>
      </c>
      <c r="K214" s="611">
        <v>0</v>
      </c>
      <c r="L214" s="611">
        <v>0</v>
      </c>
      <c r="M214" s="611">
        <v>0</v>
      </c>
      <c r="N214" s="611">
        <v>0</v>
      </c>
      <c r="O214" s="611">
        <v>0</v>
      </c>
      <c r="P214" s="611">
        <v>0</v>
      </c>
      <c r="Q214" s="611">
        <v>0</v>
      </c>
      <c r="R214" s="611">
        <v>0</v>
      </c>
      <c r="S214" s="611">
        <v>0</v>
      </c>
      <c r="T214" s="611">
        <v>0</v>
      </c>
      <c r="U214" s="619">
        <v>0.80026150430346199</v>
      </c>
      <c r="V214" s="51"/>
    </row>
    <row r="215" spans="3:22" x14ac:dyDescent="0.25">
      <c r="C215" s="618" t="s">
        <v>75</v>
      </c>
      <c r="D215" s="611">
        <v>0</v>
      </c>
      <c r="E215" s="611">
        <v>0</v>
      </c>
      <c r="F215" s="611">
        <v>2.5839893825265019</v>
      </c>
      <c r="G215" s="611">
        <v>0</v>
      </c>
      <c r="H215" s="611">
        <v>0</v>
      </c>
      <c r="I215" s="611">
        <v>0.23833359000000001</v>
      </c>
      <c r="J215" s="611">
        <v>0</v>
      </c>
      <c r="K215" s="611">
        <v>0</v>
      </c>
      <c r="L215" s="611">
        <v>0</v>
      </c>
      <c r="M215" s="611">
        <v>0</v>
      </c>
      <c r="N215" s="611">
        <v>0</v>
      </c>
      <c r="O215" s="611">
        <v>4.5283382100000003</v>
      </c>
      <c r="P215" s="611">
        <v>0</v>
      </c>
      <c r="Q215" s="611">
        <v>0</v>
      </c>
      <c r="R215" s="611">
        <v>65.365492404188032</v>
      </c>
      <c r="S215" s="611">
        <v>0</v>
      </c>
      <c r="T215" s="611">
        <v>0</v>
      </c>
      <c r="U215" s="619">
        <v>72.71615358671454</v>
      </c>
      <c r="V215" s="51"/>
    </row>
    <row r="216" spans="3:22" x14ac:dyDescent="0.25">
      <c r="C216" s="618" t="s">
        <v>76</v>
      </c>
      <c r="D216" s="611">
        <v>0</v>
      </c>
      <c r="E216" s="611">
        <v>0</v>
      </c>
      <c r="F216" s="611">
        <v>0</v>
      </c>
      <c r="G216" s="611">
        <v>0</v>
      </c>
      <c r="H216" s="611">
        <v>0</v>
      </c>
      <c r="I216" s="611">
        <v>5.609909084131174E-2</v>
      </c>
      <c r="J216" s="611">
        <v>0</v>
      </c>
      <c r="K216" s="611">
        <v>0</v>
      </c>
      <c r="L216" s="611">
        <v>0</v>
      </c>
      <c r="M216" s="611">
        <v>0</v>
      </c>
      <c r="N216" s="611">
        <v>0</v>
      </c>
      <c r="O216" s="611">
        <v>1.0658827259849231</v>
      </c>
      <c r="P216" s="611">
        <v>0</v>
      </c>
      <c r="Q216" s="611">
        <v>0</v>
      </c>
      <c r="R216" s="611">
        <v>75.163138458273835</v>
      </c>
      <c r="S216" s="611">
        <v>5.1631708880095033</v>
      </c>
      <c r="T216" s="611">
        <v>0</v>
      </c>
      <c r="U216" s="619">
        <v>81.448291163109573</v>
      </c>
      <c r="V216" s="51"/>
    </row>
    <row r="217" spans="3:22" x14ac:dyDescent="0.25">
      <c r="C217" s="614" t="s">
        <v>77</v>
      </c>
      <c r="D217" s="615">
        <v>0</v>
      </c>
      <c r="E217" s="615">
        <v>72.7588411322387</v>
      </c>
      <c r="F217" s="615">
        <v>-68.622889204281407</v>
      </c>
      <c r="G217" s="615">
        <v>-53.670926604582093</v>
      </c>
      <c r="H217" s="615">
        <v>0</v>
      </c>
      <c r="I217" s="615">
        <v>-8.3861111199957783</v>
      </c>
      <c r="J217" s="615">
        <v>759.92203636363649</v>
      </c>
      <c r="K217" s="615">
        <v>585.27007132862354</v>
      </c>
      <c r="L217" s="615">
        <v>367.43301077034118</v>
      </c>
      <c r="M217" s="615">
        <v>15.32416136467049</v>
      </c>
      <c r="N217" s="615">
        <v>-100.44397040161272</v>
      </c>
      <c r="O217" s="615">
        <v>-91.577804472760434</v>
      </c>
      <c r="P217" s="615">
        <v>0</v>
      </c>
      <c r="Q217" s="615">
        <v>18.441215715858167</v>
      </c>
      <c r="R217" s="615">
        <v>-496.77769023428982</v>
      </c>
      <c r="S217" s="615">
        <v>-61.402454105753748</v>
      </c>
      <c r="T217" s="615">
        <v>-97.664161976530096</v>
      </c>
      <c r="U217" s="615">
        <v>840.60332855556226</v>
      </c>
      <c r="V217" s="51"/>
    </row>
    <row r="218" spans="3:22" x14ac:dyDescent="0.25">
      <c r="C218" s="616"/>
      <c r="D218" s="617"/>
      <c r="E218" s="617"/>
      <c r="F218" s="617"/>
      <c r="G218" s="617"/>
      <c r="H218" s="623"/>
      <c r="I218" s="617"/>
      <c r="J218" s="617"/>
      <c r="K218" s="617"/>
      <c r="L218" s="617"/>
      <c r="M218" s="617"/>
      <c r="N218" s="617"/>
      <c r="O218" s="617"/>
      <c r="P218" s="617"/>
      <c r="Q218" s="617"/>
      <c r="R218" s="617"/>
      <c r="S218" s="617"/>
      <c r="T218" s="617"/>
      <c r="U218" s="617"/>
      <c r="V218" s="51"/>
    </row>
    <row r="219" spans="3:22" x14ac:dyDescent="0.25">
      <c r="C219" s="618" t="s">
        <v>78</v>
      </c>
      <c r="D219" s="611">
        <v>0.64129319091675452</v>
      </c>
      <c r="E219" s="611">
        <v>0</v>
      </c>
      <c r="F219" s="611">
        <v>1.525731430410463</v>
      </c>
      <c r="G219" s="611">
        <v>0</v>
      </c>
      <c r="H219" s="611">
        <v>0</v>
      </c>
      <c r="I219" s="611">
        <v>2.2603973079733568</v>
      </c>
      <c r="J219" s="611">
        <v>0</v>
      </c>
      <c r="K219" s="611">
        <v>0</v>
      </c>
      <c r="L219" s="611">
        <v>23.360019261656848</v>
      </c>
      <c r="M219" s="611">
        <v>5.362188402201145</v>
      </c>
      <c r="N219" s="611">
        <v>1.3034813300305972</v>
      </c>
      <c r="O219" s="611">
        <v>42.989679667648574</v>
      </c>
      <c r="P219" s="611">
        <v>22.01365625</v>
      </c>
      <c r="Q219" s="611">
        <v>8.5890570413253253E-4</v>
      </c>
      <c r="R219" s="611">
        <v>202.024278119439</v>
      </c>
      <c r="S219" s="611">
        <v>22.25756234266839</v>
      </c>
      <c r="T219" s="611">
        <v>16.001347656250001</v>
      </c>
      <c r="U219" s="619">
        <v>339.74049386489929</v>
      </c>
      <c r="V219" s="51"/>
    </row>
    <row r="220" spans="3:22" x14ac:dyDescent="0.25">
      <c r="C220" s="618" t="s">
        <v>79</v>
      </c>
      <c r="D220" s="611">
        <v>0</v>
      </c>
      <c r="E220" s="611">
        <v>0</v>
      </c>
      <c r="F220" s="611">
        <v>2.548518600222561</v>
      </c>
      <c r="G220" s="611">
        <v>4.6064063696995508</v>
      </c>
      <c r="H220" s="611">
        <v>0</v>
      </c>
      <c r="I220" s="611">
        <v>0.39196782379108752</v>
      </c>
      <c r="J220" s="611">
        <v>0</v>
      </c>
      <c r="K220" s="611">
        <v>0</v>
      </c>
      <c r="L220" s="611">
        <v>0</v>
      </c>
      <c r="M220" s="611">
        <v>0</v>
      </c>
      <c r="N220" s="611">
        <v>19.508637074329002</v>
      </c>
      <c r="O220" s="611">
        <v>7.4473886520306625</v>
      </c>
      <c r="P220" s="611">
        <v>0</v>
      </c>
      <c r="Q220" s="611">
        <v>0</v>
      </c>
      <c r="R220" s="611">
        <v>117.90461095014412</v>
      </c>
      <c r="S220" s="611">
        <v>0</v>
      </c>
      <c r="T220" s="611">
        <v>6.9740998058852091</v>
      </c>
      <c r="U220" s="619">
        <v>159.38162927610219</v>
      </c>
      <c r="V220" s="51"/>
    </row>
    <row r="221" spans="3:22" x14ac:dyDescent="0.25">
      <c r="C221" s="618" t="s">
        <v>80</v>
      </c>
      <c r="D221" s="611">
        <v>0</v>
      </c>
      <c r="E221" s="611">
        <v>0</v>
      </c>
      <c r="F221" s="611">
        <v>0.35613019618188829</v>
      </c>
      <c r="G221" s="611">
        <v>0</v>
      </c>
      <c r="H221" s="611">
        <v>0</v>
      </c>
      <c r="I221" s="611">
        <v>0.92121942110506694</v>
      </c>
      <c r="J221" s="611">
        <v>0</v>
      </c>
      <c r="K221" s="611">
        <v>0</v>
      </c>
      <c r="L221" s="611">
        <v>30.406752837013876</v>
      </c>
      <c r="M221" s="611">
        <v>0</v>
      </c>
      <c r="N221" s="611">
        <v>0</v>
      </c>
      <c r="O221" s="611">
        <v>17.503169000996269</v>
      </c>
      <c r="P221" s="611">
        <v>105.40020235475453</v>
      </c>
      <c r="Q221" s="611">
        <v>3.1166998128913419</v>
      </c>
      <c r="R221" s="611">
        <v>133.64902180729109</v>
      </c>
      <c r="S221" s="611">
        <v>20.977029614075306</v>
      </c>
      <c r="T221" s="611">
        <v>0</v>
      </c>
      <c r="U221" s="619">
        <v>312.33022504430937</v>
      </c>
      <c r="V221" s="51"/>
    </row>
    <row r="222" spans="3:22" x14ac:dyDescent="0.25">
      <c r="C222" s="618" t="s">
        <v>81</v>
      </c>
      <c r="D222" s="611">
        <v>0</v>
      </c>
      <c r="E222" s="611">
        <v>0</v>
      </c>
      <c r="F222" s="611">
        <v>6.5854952123934399E-2</v>
      </c>
      <c r="G222" s="611">
        <v>0</v>
      </c>
      <c r="H222" s="611">
        <v>0</v>
      </c>
      <c r="I222" s="611">
        <v>0.31585874142938569</v>
      </c>
      <c r="J222" s="611">
        <v>0</v>
      </c>
      <c r="K222" s="611">
        <v>0</v>
      </c>
      <c r="L222" s="611">
        <v>0.45236993281073634</v>
      </c>
      <c r="M222" s="611">
        <v>0</v>
      </c>
      <c r="N222" s="611">
        <v>0</v>
      </c>
      <c r="O222" s="611">
        <v>6.0013160871583278</v>
      </c>
      <c r="P222" s="611">
        <v>52.288295873759658</v>
      </c>
      <c r="Q222" s="611">
        <v>3.3575351400940563</v>
      </c>
      <c r="R222" s="611">
        <v>111.32761597349254</v>
      </c>
      <c r="S222" s="611">
        <v>18.167862149010045</v>
      </c>
      <c r="T222" s="611">
        <v>0</v>
      </c>
      <c r="U222" s="619">
        <v>191.97670884987866</v>
      </c>
      <c r="V222" s="51"/>
    </row>
    <row r="223" spans="3:22" x14ac:dyDescent="0.25">
      <c r="C223" s="618" t="s">
        <v>82</v>
      </c>
      <c r="D223" s="611">
        <v>0</v>
      </c>
      <c r="E223" s="611">
        <v>0</v>
      </c>
      <c r="F223" s="611">
        <v>0.14607036001340537</v>
      </c>
      <c r="G223" s="611">
        <v>0</v>
      </c>
      <c r="H223" s="611">
        <v>0</v>
      </c>
      <c r="I223" s="611">
        <v>5.5011390628469027E-2</v>
      </c>
      <c r="J223" s="611">
        <v>0</v>
      </c>
      <c r="K223" s="611">
        <v>0</v>
      </c>
      <c r="L223" s="611">
        <v>3.9918011059239289</v>
      </c>
      <c r="M223" s="611">
        <v>0</v>
      </c>
      <c r="N223" s="611">
        <v>18.700816435906518</v>
      </c>
      <c r="O223" s="611">
        <v>1.0452164219409115</v>
      </c>
      <c r="P223" s="611">
        <v>1.5</v>
      </c>
      <c r="Q223" s="611">
        <v>2.1874070050904897</v>
      </c>
      <c r="R223" s="611">
        <v>6.9303674525217573</v>
      </c>
      <c r="S223" s="611">
        <v>0</v>
      </c>
      <c r="T223" s="611">
        <v>0.82604920070086296</v>
      </c>
      <c r="U223" s="619">
        <v>35.382739372726341</v>
      </c>
      <c r="V223" s="51"/>
    </row>
    <row r="224" spans="3:22" x14ac:dyDescent="0.25">
      <c r="C224" s="618" t="s">
        <v>354</v>
      </c>
      <c r="D224" s="611">
        <v>0</v>
      </c>
      <c r="E224" s="611">
        <v>0</v>
      </c>
      <c r="F224" s="611">
        <v>0</v>
      </c>
      <c r="G224" s="611">
        <v>0</v>
      </c>
      <c r="H224" s="611">
        <v>0</v>
      </c>
      <c r="I224" s="611">
        <v>0</v>
      </c>
      <c r="J224" s="611">
        <v>0</v>
      </c>
      <c r="K224" s="611">
        <v>0</v>
      </c>
      <c r="L224" s="611">
        <v>0</v>
      </c>
      <c r="M224" s="611">
        <v>0</v>
      </c>
      <c r="N224" s="611">
        <v>0</v>
      </c>
      <c r="O224" s="611">
        <v>0</v>
      </c>
      <c r="P224" s="611">
        <v>0</v>
      </c>
      <c r="Q224" s="611">
        <v>0</v>
      </c>
      <c r="R224" s="611">
        <v>11.7</v>
      </c>
      <c r="S224" s="611">
        <v>0</v>
      </c>
      <c r="T224" s="611">
        <v>0</v>
      </c>
      <c r="U224" s="619">
        <v>11.7</v>
      </c>
      <c r="V224" s="51"/>
    </row>
    <row r="225" spans="3:22" x14ac:dyDescent="0.25">
      <c r="C225" s="614" t="s">
        <v>83</v>
      </c>
      <c r="D225" s="615">
        <v>0.64129319091675452</v>
      </c>
      <c r="E225" s="615">
        <v>0</v>
      </c>
      <c r="F225" s="615">
        <v>4.6423055389522521</v>
      </c>
      <c r="G225" s="615">
        <v>4.6064063696995508</v>
      </c>
      <c r="H225" s="615">
        <v>0</v>
      </c>
      <c r="I225" s="615">
        <v>3.9444546849273663</v>
      </c>
      <c r="J225" s="615">
        <v>0</v>
      </c>
      <c r="K225" s="615">
        <v>0</v>
      </c>
      <c r="L225" s="615">
        <v>58.210943137405394</v>
      </c>
      <c r="M225" s="615">
        <v>5.362188402201145</v>
      </c>
      <c r="N225" s="615">
        <v>39.512934840266112</v>
      </c>
      <c r="O225" s="615">
        <v>74.986769829774744</v>
      </c>
      <c r="P225" s="615">
        <v>181.20215447851419</v>
      </c>
      <c r="Q225" s="615">
        <v>8.6625008637800214</v>
      </c>
      <c r="R225" s="615">
        <v>583.53589430288855</v>
      </c>
      <c r="S225" s="615">
        <v>61.402454105753748</v>
      </c>
      <c r="T225" s="615">
        <v>23.801496662836072</v>
      </c>
      <c r="U225" s="615">
        <v>1050.5117964079159</v>
      </c>
      <c r="V225" s="51"/>
    </row>
    <row r="226" spans="3:22" x14ac:dyDescent="0.25">
      <c r="C226" s="610" t="s">
        <v>84</v>
      </c>
      <c r="D226" s="611">
        <v>0</v>
      </c>
      <c r="E226" s="611">
        <v>0</v>
      </c>
      <c r="F226" s="611">
        <v>44.559074374942114</v>
      </c>
      <c r="G226" s="611">
        <v>2.9799029387007945</v>
      </c>
      <c r="H226" s="611">
        <v>3.2223770587889593</v>
      </c>
      <c r="I226" s="611">
        <v>0</v>
      </c>
      <c r="J226" s="611">
        <v>0</v>
      </c>
      <c r="K226" s="611">
        <v>0</v>
      </c>
      <c r="L226" s="611">
        <v>0.60656225364490568</v>
      </c>
      <c r="M226" s="611">
        <v>0</v>
      </c>
      <c r="N226" s="611">
        <v>50.341514757930035</v>
      </c>
      <c r="O226" s="611">
        <v>13.801033069140475</v>
      </c>
      <c r="P226" s="611">
        <v>0</v>
      </c>
      <c r="Q226" s="611">
        <v>0</v>
      </c>
      <c r="R226" s="611">
        <v>0</v>
      </c>
      <c r="S226" s="611">
        <v>0</v>
      </c>
      <c r="T226" s="611">
        <v>63.833639735754474</v>
      </c>
      <c r="U226" s="619">
        <v>179.34410418890175</v>
      </c>
      <c r="V226" s="51"/>
    </row>
    <row r="227" spans="3:22" x14ac:dyDescent="0.25">
      <c r="C227" s="614" t="s">
        <v>85</v>
      </c>
      <c r="D227" s="615">
        <v>0.64129319091675452</v>
      </c>
      <c r="E227" s="615">
        <v>0</v>
      </c>
      <c r="F227" s="615">
        <v>49.201379913894364</v>
      </c>
      <c r="G227" s="615">
        <v>7.5863093084003452</v>
      </c>
      <c r="H227" s="615">
        <v>3.2223770587889593</v>
      </c>
      <c r="I227" s="615">
        <v>3.9444546849273663</v>
      </c>
      <c r="J227" s="615">
        <v>0</v>
      </c>
      <c r="K227" s="615">
        <v>0</v>
      </c>
      <c r="L227" s="615">
        <v>58.817505391050297</v>
      </c>
      <c r="M227" s="615">
        <v>5.362188402201145</v>
      </c>
      <c r="N227" s="615">
        <v>89.85444959819614</v>
      </c>
      <c r="O227" s="615">
        <v>88.787802898915217</v>
      </c>
      <c r="P227" s="615">
        <v>181.20215447851419</v>
      </c>
      <c r="Q227" s="615">
        <v>8.6625008637800214</v>
      </c>
      <c r="R227" s="615">
        <v>583.53589430288855</v>
      </c>
      <c r="S227" s="615">
        <v>61.402454105753748</v>
      </c>
      <c r="T227" s="615">
        <v>87.635136398590546</v>
      </c>
      <c r="U227" s="615">
        <v>1229.8559005968177</v>
      </c>
      <c r="V227" s="51"/>
    </row>
    <row r="228" spans="3:22" x14ac:dyDescent="0.25">
      <c r="C228" s="51"/>
      <c r="D228" s="67">
        <v>0</v>
      </c>
      <c r="E228" s="67">
        <v>0</v>
      </c>
      <c r="F228" s="67">
        <v>0</v>
      </c>
      <c r="G228" s="67">
        <v>0</v>
      </c>
      <c r="H228" s="67">
        <v>0</v>
      </c>
      <c r="I228" s="67">
        <v>0</v>
      </c>
      <c r="J228" s="67">
        <v>0</v>
      </c>
      <c r="K228" s="67">
        <v>0</v>
      </c>
      <c r="L228" s="67">
        <v>0</v>
      </c>
      <c r="M228" s="67">
        <v>-2.9244114949733557E-4</v>
      </c>
      <c r="N228" s="67">
        <v>0</v>
      </c>
      <c r="O228" s="67">
        <v>-6.2172489379008766E-15</v>
      </c>
      <c r="P228" s="67">
        <v>0</v>
      </c>
      <c r="Q228" s="67">
        <v>0</v>
      </c>
      <c r="R228" s="67">
        <v>-1.1368683772161603E-13</v>
      </c>
      <c r="S228" s="67">
        <v>0</v>
      </c>
      <c r="T228" s="67">
        <v>1.7763568394002505E-14</v>
      </c>
      <c r="U228" s="67">
        <v>-2.9244114966786583E-4</v>
      </c>
      <c r="V228" s="51"/>
    </row>
    <row r="229" spans="3:22" x14ac:dyDescent="0.25">
      <c r="C229" s="51"/>
      <c r="D229" s="51"/>
      <c r="E229" s="51"/>
      <c r="F229" s="51"/>
      <c r="G229" s="51"/>
      <c r="H229" s="51"/>
      <c r="I229" s="51"/>
      <c r="J229" s="51"/>
      <c r="K229" s="51"/>
      <c r="L229" s="51"/>
      <c r="M229" s="51"/>
      <c r="N229" s="51"/>
      <c r="O229" s="51"/>
      <c r="P229" s="51"/>
      <c r="Q229" s="51"/>
      <c r="R229" s="51"/>
      <c r="S229" s="51"/>
      <c r="T229" s="51"/>
      <c r="U229" s="51"/>
      <c r="V229" s="51"/>
    </row>
  </sheetData>
  <mergeCells count="84">
    <mergeCell ref="T195:T196"/>
    <mergeCell ref="U195:U196"/>
    <mergeCell ref="I195:I196"/>
    <mergeCell ref="J195:J196"/>
    <mergeCell ref="K195:K196"/>
    <mergeCell ref="L195:Q195"/>
    <mergeCell ref="R195:R196"/>
    <mergeCell ref="S195:S196"/>
    <mergeCell ref="C195:C196"/>
    <mergeCell ref="D195:D196"/>
    <mergeCell ref="E195:E196"/>
    <mergeCell ref="F195:F196"/>
    <mergeCell ref="G195:G196"/>
    <mergeCell ref="H195:H196"/>
    <mergeCell ref="K158:K159"/>
    <mergeCell ref="L158:Q158"/>
    <mergeCell ref="R158:R159"/>
    <mergeCell ref="S158:S159"/>
    <mergeCell ref="T158:T159"/>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R121:R122"/>
    <mergeCell ref="S121:S122"/>
    <mergeCell ref="C121:C122"/>
    <mergeCell ref="D121:D122"/>
    <mergeCell ref="E121:E122"/>
    <mergeCell ref="F121:F122"/>
    <mergeCell ref="G121:G122"/>
    <mergeCell ref="H121:H122"/>
    <mergeCell ref="K84:K85"/>
    <mergeCell ref="L84:Q84"/>
    <mergeCell ref="R84:R85"/>
    <mergeCell ref="S84:S85"/>
    <mergeCell ref="T84:T85"/>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S47:S48"/>
    <mergeCell ref="C47:C48"/>
    <mergeCell ref="D47:D48"/>
    <mergeCell ref="E47:E48"/>
    <mergeCell ref="F47:F48"/>
    <mergeCell ref="G47:G48"/>
    <mergeCell ref="H47:H48"/>
    <mergeCell ref="U10:U11"/>
    <mergeCell ref="C10:C11"/>
    <mergeCell ref="D10:D11"/>
    <mergeCell ref="E10:E11"/>
    <mergeCell ref="F10:F11"/>
    <mergeCell ref="G10:G11"/>
    <mergeCell ref="H10:H11"/>
    <mergeCell ref="I10:I11"/>
    <mergeCell ref="J10:J11"/>
    <mergeCell ref="K10:K11"/>
    <mergeCell ref="L10:Q10"/>
    <mergeCell ref="R10:R11"/>
    <mergeCell ref="S10:S11"/>
    <mergeCell ref="T10:T11"/>
  </mergeCells>
  <conditionalFormatting sqref="D12:U18">
    <cfRule type="containsBlanks" dxfId="706" priority="11">
      <formula>LEN(TRIM(D12))=0</formula>
    </cfRule>
  </conditionalFormatting>
  <conditionalFormatting sqref="D12:U42">
    <cfRule type="cellIs" dxfId="705" priority="12" operator="equal">
      <formula>0</formula>
    </cfRule>
  </conditionalFormatting>
  <conditionalFormatting sqref="D20:U32">
    <cfRule type="containsBlanks" dxfId="704" priority="21">
      <formula>LEN(TRIM(D20))=0</formula>
    </cfRule>
  </conditionalFormatting>
  <conditionalFormatting sqref="D34:U42">
    <cfRule type="containsBlanks" dxfId="703" priority="22">
      <formula>LEN(TRIM(D34))=0</formula>
    </cfRule>
  </conditionalFormatting>
  <conditionalFormatting sqref="D49:U55">
    <cfRule type="containsBlanks" dxfId="702" priority="9">
      <formula>LEN(TRIM(D49))=0</formula>
    </cfRule>
  </conditionalFormatting>
  <conditionalFormatting sqref="D49:U79">
    <cfRule type="cellIs" dxfId="701" priority="10" operator="equal">
      <formula>0</formula>
    </cfRule>
  </conditionalFormatting>
  <conditionalFormatting sqref="D57:U69">
    <cfRule type="containsBlanks" dxfId="700" priority="27">
      <formula>LEN(TRIM(D57))=0</formula>
    </cfRule>
  </conditionalFormatting>
  <conditionalFormatting sqref="D71:U79">
    <cfRule type="containsBlanks" dxfId="699" priority="28">
      <formula>LEN(TRIM(D71))=0</formula>
    </cfRule>
  </conditionalFormatting>
  <conditionalFormatting sqref="D86:U92">
    <cfRule type="containsBlanks" dxfId="698" priority="7">
      <formula>LEN(TRIM(D86))=0</formula>
    </cfRule>
  </conditionalFormatting>
  <conditionalFormatting sqref="D86:U116">
    <cfRule type="cellIs" dxfId="697" priority="8" operator="equal">
      <formula>0</formula>
    </cfRule>
  </conditionalFormatting>
  <conditionalFormatting sqref="D94:U106">
    <cfRule type="containsBlanks" dxfId="696" priority="33">
      <formula>LEN(TRIM(D94))=0</formula>
    </cfRule>
  </conditionalFormatting>
  <conditionalFormatting sqref="D108:U116">
    <cfRule type="containsBlanks" dxfId="695" priority="34">
      <formula>LEN(TRIM(D108))=0</formula>
    </cfRule>
  </conditionalFormatting>
  <conditionalFormatting sqref="D123:U129">
    <cfRule type="containsBlanks" dxfId="694" priority="5">
      <formula>LEN(TRIM(D123))=0</formula>
    </cfRule>
  </conditionalFormatting>
  <conditionalFormatting sqref="D123:U153">
    <cfRule type="cellIs" dxfId="693" priority="6" operator="equal">
      <formula>0</formula>
    </cfRule>
  </conditionalFormatting>
  <conditionalFormatting sqref="D131:U143">
    <cfRule type="containsBlanks" dxfId="692" priority="39">
      <formula>LEN(TRIM(D131))=0</formula>
    </cfRule>
  </conditionalFormatting>
  <conditionalFormatting sqref="D145:U153">
    <cfRule type="containsBlanks" dxfId="691" priority="40">
      <formula>LEN(TRIM(D145))=0</formula>
    </cfRule>
  </conditionalFormatting>
  <conditionalFormatting sqref="D160:U166">
    <cfRule type="containsBlanks" dxfId="690" priority="3">
      <formula>LEN(TRIM(D160))=0</formula>
    </cfRule>
  </conditionalFormatting>
  <conditionalFormatting sqref="D160:U190">
    <cfRule type="cellIs" dxfId="689" priority="4" operator="equal">
      <formula>0</formula>
    </cfRule>
  </conditionalFormatting>
  <conditionalFormatting sqref="D168:U180">
    <cfRule type="containsBlanks" dxfId="688" priority="45">
      <formula>LEN(TRIM(D168))=0</formula>
    </cfRule>
  </conditionalFormatting>
  <conditionalFormatting sqref="D182:U190">
    <cfRule type="containsBlanks" dxfId="687" priority="46">
      <formula>LEN(TRIM(D182))=0</formula>
    </cfRule>
  </conditionalFormatting>
  <conditionalFormatting sqref="D197:U203">
    <cfRule type="containsBlanks" dxfId="686" priority="1">
      <formula>LEN(TRIM(D197))=0</formula>
    </cfRule>
  </conditionalFormatting>
  <conditionalFormatting sqref="D197:U227">
    <cfRule type="cellIs" dxfId="685" priority="2" operator="equal">
      <formula>0</formula>
    </cfRule>
  </conditionalFormatting>
  <conditionalFormatting sqref="D205:U217">
    <cfRule type="containsBlanks" dxfId="684" priority="51">
      <formula>LEN(TRIM(D205))=0</formula>
    </cfRule>
  </conditionalFormatting>
  <conditionalFormatting sqref="D219:U227">
    <cfRule type="containsBlanks" dxfId="683" priority="52">
      <formula>LEN(TRIM(D219))=0</formula>
    </cfRule>
  </conditionalFormatting>
  <conditionalFormatting sqref="F13:F14">
    <cfRule type="cellIs" dxfId="682" priority="25" operator="equal">
      <formula>0</formula>
    </cfRule>
  </conditionalFormatting>
  <conditionalFormatting sqref="F50:F51">
    <cfRule type="cellIs" dxfId="681" priority="31" operator="equal">
      <formula>0</formula>
    </cfRule>
  </conditionalFormatting>
  <conditionalFormatting sqref="F87:F88">
    <cfRule type="cellIs" dxfId="680" priority="37" operator="equal">
      <formula>0</formula>
    </cfRule>
  </conditionalFormatting>
  <conditionalFormatting sqref="F124:F125">
    <cfRule type="cellIs" dxfId="679" priority="43" operator="equal">
      <formula>0</formula>
    </cfRule>
  </conditionalFormatting>
  <conditionalFormatting sqref="F161:F162">
    <cfRule type="cellIs" dxfId="678" priority="49" operator="equal">
      <formula>0</formula>
    </cfRule>
  </conditionalFormatting>
  <conditionalFormatting sqref="F198:F199">
    <cfRule type="cellIs" dxfId="677" priority="55" operator="equal">
      <formula>0</formula>
    </cfRule>
  </conditionalFormatting>
  <conditionalFormatting sqref="L13:L17">
    <cfRule type="cellIs" dxfId="676" priority="24" operator="equal">
      <formula>0</formula>
    </cfRule>
  </conditionalFormatting>
  <conditionalFormatting sqref="L50:L54">
    <cfRule type="cellIs" dxfId="675" priority="30" operator="equal">
      <formula>0</formula>
    </cfRule>
  </conditionalFormatting>
  <conditionalFormatting sqref="L87:L91">
    <cfRule type="cellIs" dxfId="674" priority="36" operator="equal">
      <formula>0</formula>
    </cfRule>
  </conditionalFormatting>
  <conditionalFormatting sqref="L124:L128">
    <cfRule type="cellIs" dxfId="673" priority="42" operator="equal">
      <formula>0</formula>
    </cfRule>
  </conditionalFormatting>
  <conditionalFormatting sqref="L161:L165">
    <cfRule type="cellIs" dxfId="672" priority="48" operator="equal">
      <formula>0</formula>
    </cfRule>
  </conditionalFormatting>
  <conditionalFormatting sqref="L198:L202">
    <cfRule type="cellIs" dxfId="671" priority="54" operator="equal">
      <formula>0</formula>
    </cfRule>
  </conditionalFormatting>
  <conditionalFormatting sqref="L11:Q11">
    <cfRule type="cellIs" dxfId="670" priority="62" operator="equal">
      <formula>0</formula>
    </cfRule>
  </conditionalFormatting>
  <conditionalFormatting sqref="L48:Q48">
    <cfRule type="cellIs" dxfId="669" priority="61" operator="equal">
      <formula>0</formula>
    </cfRule>
  </conditionalFormatting>
  <conditionalFormatting sqref="L85:Q85">
    <cfRule type="cellIs" dxfId="668" priority="60" operator="equal">
      <formula>0</formula>
    </cfRule>
  </conditionalFormatting>
  <conditionalFormatting sqref="L122:Q122">
    <cfRule type="cellIs" dxfId="667" priority="59" operator="equal">
      <formula>0</formula>
    </cfRule>
  </conditionalFormatting>
  <conditionalFormatting sqref="L159:Q159">
    <cfRule type="cellIs" dxfId="666" priority="58" operator="equal">
      <formula>0</formula>
    </cfRule>
  </conditionalFormatting>
  <conditionalFormatting sqref="L196:Q196">
    <cfRule type="cellIs" dxfId="665" priority="57" operator="equal">
      <formula>0</formula>
    </cfRule>
  </conditionalFormatting>
  <conditionalFormatting sqref="P13:Q17">
    <cfRule type="cellIs" dxfId="664" priority="23" operator="equal">
      <formula>0</formula>
    </cfRule>
  </conditionalFormatting>
  <conditionalFormatting sqref="P50:Q54">
    <cfRule type="cellIs" dxfId="663" priority="29" operator="equal">
      <formula>0</formula>
    </cfRule>
  </conditionalFormatting>
  <conditionalFormatting sqref="P87:Q91">
    <cfRule type="cellIs" dxfId="662" priority="35" operator="equal">
      <formula>0</formula>
    </cfRule>
  </conditionalFormatting>
  <conditionalFormatting sqref="P124:Q128">
    <cfRule type="cellIs" dxfId="661" priority="41" operator="equal">
      <formula>0</formula>
    </cfRule>
  </conditionalFormatting>
  <conditionalFormatting sqref="P161:Q165">
    <cfRule type="cellIs" dxfId="660" priority="47" operator="equal">
      <formula>0</formula>
    </cfRule>
  </conditionalFormatting>
  <conditionalFormatting sqref="P198:Q202">
    <cfRule type="cellIs" dxfId="659" priority="53" operator="equal">
      <formula>0</formula>
    </cfRule>
  </conditionalFormatting>
  <conditionalFormatting sqref="R12:R14">
    <cfRule type="cellIs" dxfId="658" priority="26" operator="equal">
      <formula>0</formula>
    </cfRule>
  </conditionalFormatting>
  <conditionalFormatting sqref="R49:R51">
    <cfRule type="cellIs" dxfId="657" priority="32" operator="equal">
      <formula>0</formula>
    </cfRule>
  </conditionalFormatting>
  <conditionalFormatting sqref="R86:R88">
    <cfRule type="cellIs" dxfId="656" priority="38" operator="equal">
      <formula>0</formula>
    </cfRule>
  </conditionalFormatting>
  <conditionalFormatting sqref="R123:R125">
    <cfRule type="cellIs" dxfId="655" priority="44" operator="equal">
      <formula>0</formula>
    </cfRule>
  </conditionalFormatting>
  <conditionalFormatting sqref="R160:R162">
    <cfRule type="cellIs" dxfId="654" priority="50" operator="equal">
      <formula>0</formula>
    </cfRule>
  </conditionalFormatting>
  <conditionalFormatting sqref="R197:R199">
    <cfRule type="cellIs" dxfId="653" priority="56" operator="equal">
      <formula>0</formula>
    </cfRule>
  </conditionalFormatting>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11FF7-A725-4CC9-974C-FAA84C07CFD0}">
  <dimension ref="C2:V192"/>
  <sheetViews>
    <sheetView workbookViewId="0"/>
  </sheetViews>
  <sheetFormatPr baseColWidth="10" defaultRowHeight="15" x14ac:dyDescent="0.25"/>
  <sheetData>
    <row r="2" spans="3:22" ht="18.75" x14ac:dyDescent="0.3">
      <c r="C2" s="600" t="s">
        <v>406</v>
      </c>
      <c r="D2" s="599"/>
      <c r="E2" s="599"/>
      <c r="F2" s="599"/>
      <c r="G2" s="599"/>
      <c r="H2" s="599"/>
      <c r="I2" s="599"/>
      <c r="J2" s="599"/>
      <c r="K2" s="599"/>
      <c r="L2" s="599"/>
      <c r="M2" s="599"/>
      <c r="N2" s="599"/>
      <c r="O2" s="599"/>
      <c r="P2" s="599"/>
      <c r="Q2" s="599"/>
      <c r="R2" s="599"/>
      <c r="S2" s="599"/>
      <c r="T2" s="599"/>
      <c r="U2" s="599"/>
      <c r="V2" s="599"/>
    </row>
    <row r="3" spans="3:22" x14ac:dyDescent="0.25">
      <c r="C3" s="51"/>
      <c r="D3" s="51"/>
      <c r="E3" s="51"/>
      <c r="F3" s="51"/>
      <c r="G3" s="51"/>
      <c r="H3" s="51"/>
      <c r="I3" s="51"/>
      <c r="J3" s="51"/>
      <c r="K3" s="51"/>
      <c r="L3" s="51"/>
      <c r="M3" s="51"/>
      <c r="N3" s="51"/>
      <c r="O3" s="51"/>
      <c r="P3" s="51"/>
      <c r="Q3" s="51"/>
      <c r="R3" s="51"/>
      <c r="S3" s="51"/>
      <c r="T3" s="51"/>
      <c r="U3" s="51"/>
      <c r="V3" s="51"/>
    </row>
    <row r="4" spans="3:22" ht="15.75" x14ac:dyDescent="0.25">
      <c r="C4" s="603" t="s">
        <v>338</v>
      </c>
      <c r="D4" s="602" t="s">
        <v>481</v>
      </c>
      <c r="E4" s="602"/>
      <c r="F4" s="602"/>
      <c r="G4" s="602"/>
      <c r="H4" s="602"/>
      <c r="I4" s="602"/>
      <c r="J4" s="602"/>
      <c r="K4" s="604"/>
      <c r="L4" s="604"/>
      <c r="M4" s="604"/>
      <c r="N4" s="604"/>
      <c r="O4" s="604"/>
      <c r="P4" s="604"/>
      <c r="Q4" s="604"/>
      <c r="R4" s="602"/>
      <c r="S4" s="602"/>
      <c r="T4" s="602"/>
      <c r="U4" s="602"/>
      <c r="V4" s="602"/>
    </row>
    <row r="5" spans="3:22" ht="15.75" x14ac:dyDescent="0.25">
      <c r="C5" s="603" t="s">
        <v>341</v>
      </c>
      <c r="D5" s="602" t="s">
        <v>342</v>
      </c>
      <c r="E5" s="602"/>
      <c r="F5" s="602"/>
      <c r="G5" s="602"/>
      <c r="H5" s="602"/>
      <c r="I5" s="602"/>
      <c r="J5" s="602"/>
      <c r="K5" s="602"/>
      <c r="L5" s="602"/>
      <c r="M5" s="602"/>
      <c r="N5" s="602"/>
      <c r="O5" s="602"/>
      <c r="P5" s="602"/>
      <c r="Q5" s="602"/>
      <c r="R5" s="602"/>
      <c r="S5" s="602"/>
      <c r="T5" s="602"/>
      <c r="U5" s="602"/>
      <c r="V5" s="602"/>
    </row>
    <row r="6" spans="3:22" x14ac:dyDescent="0.25">
      <c r="C6" s="51"/>
      <c r="D6" s="51"/>
      <c r="E6" s="51"/>
      <c r="F6" s="51"/>
      <c r="G6" s="51"/>
      <c r="H6" s="51"/>
      <c r="I6" s="51"/>
      <c r="J6" s="51"/>
      <c r="K6" s="51"/>
      <c r="L6" s="51"/>
      <c r="M6" s="51"/>
      <c r="N6" s="51"/>
      <c r="O6" s="51"/>
      <c r="P6" s="51"/>
      <c r="Q6" s="51"/>
      <c r="R6" s="51"/>
      <c r="S6" s="51"/>
      <c r="T6" s="51"/>
      <c r="U6" s="51"/>
      <c r="V6" s="51"/>
    </row>
    <row r="7" spans="3:22" x14ac:dyDescent="0.25">
      <c r="C7" s="51"/>
      <c r="D7" s="51"/>
      <c r="E7" s="51"/>
      <c r="F7" s="51"/>
      <c r="G7" s="51"/>
      <c r="H7" s="51"/>
      <c r="I7" s="51"/>
      <c r="J7" s="51"/>
      <c r="K7" s="51"/>
      <c r="L7" s="51"/>
      <c r="M7" s="51"/>
      <c r="N7" s="51"/>
      <c r="O7" s="51"/>
      <c r="P7" s="51"/>
      <c r="Q7" s="51"/>
      <c r="R7" s="51"/>
      <c r="S7" s="51"/>
      <c r="T7" s="51"/>
      <c r="U7" s="51"/>
      <c r="V7" s="51"/>
    </row>
    <row r="8" spans="3:22" x14ac:dyDescent="0.25">
      <c r="C8" s="607" t="s">
        <v>359</v>
      </c>
      <c r="D8" s="606"/>
      <c r="E8" s="606"/>
      <c r="F8" s="606"/>
      <c r="G8" s="682"/>
      <c r="H8" s="606"/>
      <c r="I8" s="606"/>
      <c r="J8" s="606"/>
      <c r="K8" s="606"/>
      <c r="L8" s="606"/>
      <c r="M8" s="606"/>
      <c r="N8" s="606"/>
      <c r="O8" s="606"/>
      <c r="P8" s="606"/>
      <c r="Q8" s="606"/>
      <c r="R8" s="606"/>
      <c r="S8" s="606"/>
      <c r="T8" s="606"/>
      <c r="U8" s="606"/>
      <c r="V8" s="606"/>
    </row>
    <row r="9" spans="3:22" x14ac:dyDescent="0.25">
      <c r="C9" s="51"/>
      <c r="D9" s="51"/>
      <c r="E9" s="51"/>
      <c r="F9" s="51"/>
      <c r="G9" s="67"/>
      <c r="H9" s="51"/>
      <c r="I9" s="51"/>
      <c r="J9" s="51"/>
      <c r="K9" s="51"/>
      <c r="L9" s="51"/>
      <c r="M9" s="51"/>
      <c r="N9" s="51"/>
      <c r="O9" s="51"/>
      <c r="P9" s="51"/>
      <c r="Q9" s="51"/>
      <c r="R9" s="51"/>
      <c r="S9" s="51"/>
      <c r="T9" s="51"/>
      <c r="U9" s="51"/>
      <c r="V9" s="51"/>
    </row>
    <row r="10" spans="3:22" x14ac:dyDescent="0.25">
      <c r="C10" s="764" t="s">
        <v>128</v>
      </c>
      <c r="D10" s="753" t="s">
        <v>42</v>
      </c>
      <c r="E10" s="753" t="s">
        <v>52</v>
      </c>
      <c r="F10" s="753" t="s">
        <v>53</v>
      </c>
      <c r="G10" s="766" t="s">
        <v>482</v>
      </c>
      <c r="H10" s="753" t="s">
        <v>32</v>
      </c>
      <c r="I10" s="753" t="s">
        <v>483</v>
      </c>
      <c r="J10" s="753" t="s">
        <v>20</v>
      </c>
      <c r="K10" s="753" t="s">
        <v>55</v>
      </c>
      <c r="L10" s="761" t="s">
        <v>56</v>
      </c>
      <c r="M10" s="762"/>
      <c r="N10" s="762"/>
      <c r="O10" s="762"/>
      <c r="P10" s="762"/>
      <c r="Q10" s="763"/>
      <c r="R10" s="753" t="s">
        <v>57</v>
      </c>
      <c r="S10" s="753" t="s">
        <v>58</v>
      </c>
      <c r="T10" s="753" t="s">
        <v>31</v>
      </c>
      <c r="U10" s="753" t="s">
        <v>10</v>
      </c>
      <c r="V10" s="51"/>
    </row>
    <row r="11" spans="3:22" ht="36" x14ac:dyDescent="0.25">
      <c r="C11" s="765"/>
      <c r="D11" s="754"/>
      <c r="E11" s="754"/>
      <c r="F11" s="754"/>
      <c r="G11" s="767"/>
      <c r="H11" s="754"/>
      <c r="I11" s="754"/>
      <c r="J11" s="754"/>
      <c r="K11" s="754"/>
      <c r="L11" s="608" t="s">
        <v>335</v>
      </c>
      <c r="M11" s="608" t="s">
        <v>40</v>
      </c>
      <c r="N11" s="608" t="s">
        <v>343</v>
      </c>
      <c r="O11" s="608" t="s">
        <v>344</v>
      </c>
      <c r="P11" s="609" t="s">
        <v>345</v>
      </c>
      <c r="Q11" s="608" t="s">
        <v>346</v>
      </c>
      <c r="R11" s="754"/>
      <c r="S11" s="754"/>
      <c r="T11" s="754"/>
      <c r="U11" s="754"/>
      <c r="V11" s="51"/>
    </row>
    <row r="12" spans="3:22" x14ac:dyDescent="0.25">
      <c r="C12" s="610" t="s">
        <v>59</v>
      </c>
      <c r="D12" s="611">
        <v>0</v>
      </c>
      <c r="E12" s="611">
        <v>2.3260000000000005</v>
      </c>
      <c r="F12" s="611">
        <v>0</v>
      </c>
      <c r="G12" s="611">
        <v>0</v>
      </c>
      <c r="H12" s="611">
        <v>3.7216000000000006E-2</v>
      </c>
      <c r="I12" s="611">
        <v>0</v>
      </c>
      <c r="J12" s="612">
        <v>1162.199818181818</v>
      </c>
      <c r="K12" s="612">
        <v>371.91258763455278</v>
      </c>
      <c r="L12" s="612">
        <v>507.12326525352324</v>
      </c>
      <c r="M12" s="612">
        <v>23.204926900148187</v>
      </c>
      <c r="N12" s="611">
        <v>1.5522078310841105</v>
      </c>
      <c r="O12" s="611">
        <v>0.16457898409976487</v>
      </c>
      <c r="P12" s="612">
        <v>139.98706275749188</v>
      </c>
      <c r="Q12" s="612">
        <v>23.966420757725231</v>
      </c>
      <c r="R12" s="611">
        <v>0</v>
      </c>
      <c r="S12" s="611">
        <v>0</v>
      </c>
      <c r="T12" s="611">
        <v>0</v>
      </c>
      <c r="U12" s="613">
        <v>2165.6022501068492</v>
      </c>
      <c r="V12" s="51"/>
    </row>
    <row r="13" spans="3:22" x14ac:dyDescent="0.25">
      <c r="C13" s="610" t="s">
        <v>60</v>
      </c>
      <c r="D13" s="611">
        <v>14.018688039101649</v>
      </c>
      <c r="E13" s="611">
        <v>270.8879796629484</v>
      </c>
      <c r="F13" s="611">
        <v>26.133881995731336</v>
      </c>
      <c r="G13" s="611">
        <v>0</v>
      </c>
      <c r="H13" s="611">
        <v>150.67334265438717</v>
      </c>
      <c r="I13" s="611">
        <v>0</v>
      </c>
      <c r="J13" s="611">
        <v>0</v>
      </c>
      <c r="K13" s="611">
        <v>0</v>
      </c>
      <c r="L13" s="611">
        <v>3.8185483520995893</v>
      </c>
      <c r="M13" s="611">
        <v>0</v>
      </c>
      <c r="N13" s="611">
        <v>5.0715995071493687</v>
      </c>
      <c r="O13" s="611">
        <v>0</v>
      </c>
      <c r="P13" s="611">
        <v>0</v>
      </c>
      <c r="Q13" s="611">
        <v>0</v>
      </c>
      <c r="R13" s="611">
        <v>0</v>
      </c>
      <c r="S13" s="611">
        <v>0</v>
      </c>
      <c r="T13" s="611">
        <v>0</v>
      </c>
      <c r="U13" s="613">
        <v>470.6040402114175</v>
      </c>
      <c r="V13" s="51"/>
    </row>
    <row r="14" spans="3:22" x14ac:dyDescent="0.25">
      <c r="C14" s="610" t="s">
        <v>61</v>
      </c>
      <c r="D14" s="611">
        <v>0</v>
      </c>
      <c r="E14" s="611">
        <v>0</v>
      </c>
      <c r="F14" s="611">
        <v>3.1635560327380716</v>
      </c>
      <c r="G14" s="611">
        <v>-0.85627443515198287</v>
      </c>
      <c r="H14" s="611">
        <v>0</v>
      </c>
      <c r="I14" s="611">
        <v>0</v>
      </c>
      <c r="J14" s="611">
        <v>0</v>
      </c>
      <c r="K14" s="611">
        <v>0</v>
      </c>
      <c r="L14" s="611">
        <v>0</v>
      </c>
      <c r="M14" s="611">
        <v>0</v>
      </c>
      <c r="N14" s="611">
        <v>0</v>
      </c>
      <c r="O14" s="611">
        <v>0</v>
      </c>
      <c r="P14" s="611">
        <v>0</v>
      </c>
      <c r="Q14" s="611">
        <v>0</v>
      </c>
      <c r="R14" s="611">
        <v>-69.722313089236536</v>
      </c>
      <c r="S14" s="611">
        <v>0</v>
      </c>
      <c r="T14" s="611">
        <v>0</v>
      </c>
      <c r="U14" s="613">
        <v>-67.415031491650453</v>
      </c>
      <c r="V14" s="51"/>
    </row>
    <row r="15" spans="3:22" x14ac:dyDescent="0.25">
      <c r="C15" s="610" t="s">
        <v>62</v>
      </c>
      <c r="D15" s="611">
        <v>0</v>
      </c>
      <c r="E15" s="611">
        <v>0</v>
      </c>
      <c r="F15" s="611">
        <v>-6.7125205563218922</v>
      </c>
      <c r="G15" s="611">
        <v>-3.2950395543749584</v>
      </c>
      <c r="H15" s="611">
        <v>-0.49987622776591634</v>
      </c>
      <c r="I15" s="611">
        <v>-2.9890617212740871</v>
      </c>
      <c r="J15" s="611">
        <v>0</v>
      </c>
      <c r="K15" s="611">
        <v>0</v>
      </c>
      <c r="L15" s="611">
        <v>0</v>
      </c>
      <c r="M15" s="611">
        <v>0</v>
      </c>
      <c r="N15" s="611">
        <v>-1.2700508300617339</v>
      </c>
      <c r="O15" s="611">
        <v>-2.1176768711242038</v>
      </c>
      <c r="P15" s="611">
        <v>0</v>
      </c>
      <c r="Q15" s="611">
        <v>0</v>
      </c>
      <c r="R15" s="611">
        <v>0</v>
      </c>
      <c r="S15" s="611">
        <v>0</v>
      </c>
      <c r="T15" s="611">
        <v>-0.96281875223876434</v>
      </c>
      <c r="U15" s="613">
        <v>-17.847044513161556</v>
      </c>
      <c r="V15" s="51"/>
    </row>
    <row r="16" spans="3:22" x14ac:dyDescent="0.25">
      <c r="C16" s="610" t="s">
        <v>63</v>
      </c>
      <c r="D16" s="611">
        <v>0</v>
      </c>
      <c r="E16" s="611">
        <v>0</v>
      </c>
      <c r="F16" s="611">
        <v>-45.424019815542103</v>
      </c>
      <c r="G16" s="611">
        <v>-6.3379784988277912</v>
      </c>
      <c r="H16" s="611">
        <v>0</v>
      </c>
      <c r="I16" s="611">
        <v>0</v>
      </c>
      <c r="J16" s="611">
        <v>0</v>
      </c>
      <c r="K16" s="611">
        <v>0</v>
      </c>
      <c r="L16" s="611">
        <v>0</v>
      </c>
      <c r="M16" s="611">
        <v>0</v>
      </c>
      <c r="N16" s="611">
        <v>-13.31780034386745</v>
      </c>
      <c r="O16" s="611">
        <v>0</v>
      </c>
      <c r="P16" s="611">
        <v>0</v>
      </c>
      <c r="Q16" s="611">
        <v>0</v>
      </c>
      <c r="R16" s="611">
        <v>0</v>
      </c>
      <c r="S16" s="611">
        <v>0</v>
      </c>
      <c r="T16" s="611">
        <v>-1.794651350884874</v>
      </c>
      <c r="U16" s="613">
        <v>-66.874450009122214</v>
      </c>
      <c r="V16" s="51"/>
    </row>
    <row r="17" spans="3:22" x14ac:dyDescent="0.25">
      <c r="C17" s="610" t="s">
        <v>64</v>
      </c>
      <c r="D17" s="611">
        <v>0</v>
      </c>
      <c r="E17" s="611">
        <v>0</v>
      </c>
      <c r="F17" s="611">
        <v>0</v>
      </c>
      <c r="G17" s="611">
        <v>0</v>
      </c>
      <c r="H17" s="611">
        <v>0</v>
      </c>
      <c r="I17" s="611">
        <v>0</v>
      </c>
      <c r="J17" s="611">
        <v>0</v>
      </c>
      <c r="K17" s="611">
        <v>0</v>
      </c>
      <c r="L17" s="611">
        <v>0</v>
      </c>
      <c r="M17" s="611">
        <v>0</v>
      </c>
      <c r="N17" s="611">
        <v>0</v>
      </c>
      <c r="O17" s="611">
        <v>0</v>
      </c>
      <c r="P17" s="611">
        <v>0</v>
      </c>
      <c r="Q17" s="611">
        <v>0</v>
      </c>
      <c r="R17" s="611">
        <v>0</v>
      </c>
      <c r="S17" s="611">
        <v>0</v>
      </c>
      <c r="T17" s="611">
        <v>0</v>
      </c>
      <c r="U17" s="613">
        <v>0</v>
      </c>
      <c r="V17" s="51"/>
    </row>
    <row r="18" spans="3:22" x14ac:dyDescent="0.25">
      <c r="C18" s="614" t="s">
        <v>65</v>
      </c>
      <c r="D18" s="615">
        <v>14.018688039101649</v>
      </c>
      <c r="E18" s="615">
        <v>273.21397966294842</v>
      </c>
      <c r="F18" s="615">
        <v>-22.839102343394586</v>
      </c>
      <c r="G18" s="615">
        <v>-10.489292488354732</v>
      </c>
      <c r="H18" s="615">
        <v>150.21068242662125</v>
      </c>
      <c r="I18" s="615">
        <v>-2.9890617212740871</v>
      </c>
      <c r="J18" s="615">
        <v>1162.199818181818</v>
      </c>
      <c r="K18" s="615">
        <v>371.91258763455278</v>
      </c>
      <c r="L18" s="615">
        <v>510.94181360562283</v>
      </c>
      <c r="M18" s="615">
        <v>23.204926900148187</v>
      </c>
      <c r="N18" s="615">
        <v>-7.9640438356957048</v>
      </c>
      <c r="O18" s="615">
        <v>-1.9530978870244389</v>
      </c>
      <c r="P18" s="615">
        <v>139.98706275749188</v>
      </c>
      <c r="Q18" s="615">
        <v>23.966420757725231</v>
      </c>
      <c r="R18" s="615">
        <v>-69.722313089236536</v>
      </c>
      <c r="S18" s="615">
        <v>0</v>
      </c>
      <c r="T18" s="615">
        <v>-2.7574701031236382</v>
      </c>
      <c r="U18" s="615">
        <v>2484.0697643043327</v>
      </c>
      <c r="V18" s="51"/>
    </row>
    <row r="19" spans="3:22" x14ac:dyDescent="0.25">
      <c r="C19" s="616"/>
      <c r="D19" s="617"/>
      <c r="E19" s="617"/>
      <c r="F19" s="617"/>
      <c r="G19" s="617"/>
      <c r="H19" s="623"/>
      <c r="I19" s="617"/>
      <c r="J19" s="617"/>
      <c r="K19" s="617"/>
      <c r="L19" s="617"/>
      <c r="M19" s="617"/>
      <c r="N19" s="617"/>
      <c r="O19" s="617"/>
      <c r="P19" s="617"/>
      <c r="Q19" s="617"/>
      <c r="R19" s="617"/>
      <c r="S19" s="617"/>
      <c r="T19" s="617"/>
      <c r="U19" s="617"/>
      <c r="V19" s="51"/>
    </row>
    <row r="20" spans="3:22" x14ac:dyDescent="0.25">
      <c r="C20" s="618" t="s">
        <v>67</v>
      </c>
      <c r="D20" s="611">
        <v>0</v>
      </c>
      <c r="E20" s="611">
        <v>0</v>
      </c>
      <c r="F20" s="611">
        <v>0</v>
      </c>
      <c r="G20" s="611">
        <v>0</v>
      </c>
      <c r="H20" s="611">
        <v>0</v>
      </c>
      <c r="I20" s="611">
        <v>0</v>
      </c>
      <c r="J20" s="611">
        <v>0</v>
      </c>
      <c r="K20" s="611">
        <v>0</v>
      </c>
      <c r="L20" s="611">
        <v>0</v>
      </c>
      <c r="M20" s="611">
        <v>0</v>
      </c>
      <c r="N20" s="611">
        <v>0</v>
      </c>
      <c r="O20" s="611">
        <v>0</v>
      </c>
      <c r="P20" s="611">
        <v>0</v>
      </c>
      <c r="Q20" s="611">
        <v>0</v>
      </c>
      <c r="R20" s="611">
        <v>0</v>
      </c>
      <c r="S20" s="611">
        <v>0</v>
      </c>
      <c r="T20" s="611">
        <v>0</v>
      </c>
      <c r="U20" s="619">
        <v>0</v>
      </c>
      <c r="V20" s="51"/>
    </row>
    <row r="21" spans="3:22" x14ac:dyDescent="0.25">
      <c r="C21" s="618" t="s">
        <v>347</v>
      </c>
      <c r="D21" s="611">
        <v>0</v>
      </c>
      <c r="E21" s="611">
        <v>0</v>
      </c>
      <c r="F21" s="611">
        <v>0.36057808628354604</v>
      </c>
      <c r="G21" s="611">
        <v>0</v>
      </c>
      <c r="H21" s="611">
        <v>11.85720957473684</v>
      </c>
      <c r="I21" s="611">
        <v>0</v>
      </c>
      <c r="J21" s="611">
        <v>1162.199818181818</v>
      </c>
      <c r="K21" s="611">
        <v>371.91258763455278</v>
      </c>
      <c r="L21" s="611">
        <v>22.679502638735677</v>
      </c>
      <c r="M21" s="611">
        <v>0.78983279474198065</v>
      </c>
      <c r="N21" s="611">
        <v>5.3878161949008447</v>
      </c>
      <c r="O21" s="611">
        <v>7.0773268475558293</v>
      </c>
      <c r="P21" s="611">
        <v>0</v>
      </c>
      <c r="Q21" s="611">
        <v>4.9774137725284184</v>
      </c>
      <c r="R21" s="611">
        <v>-809.89392601359134</v>
      </c>
      <c r="S21" s="611">
        <v>0</v>
      </c>
      <c r="T21" s="611">
        <v>2.2153139999999998</v>
      </c>
      <c r="U21" s="619">
        <v>779.56347371226263</v>
      </c>
      <c r="V21" s="51"/>
    </row>
    <row r="22" spans="3:22" x14ac:dyDescent="0.25">
      <c r="C22" s="618" t="s">
        <v>348</v>
      </c>
      <c r="D22" s="611">
        <v>0</v>
      </c>
      <c r="E22" s="611">
        <v>0</v>
      </c>
      <c r="F22" s="611">
        <v>0</v>
      </c>
      <c r="G22" s="611">
        <v>0</v>
      </c>
      <c r="H22" s="611">
        <v>10.065295152531121</v>
      </c>
      <c r="I22" s="611">
        <v>0</v>
      </c>
      <c r="J22" s="611">
        <v>0</v>
      </c>
      <c r="K22" s="611">
        <v>0</v>
      </c>
      <c r="L22" s="611">
        <v>39.245909116714159</v>
      </c>
      <c r="M22" s="611">
        <v>15.374866043174009</v>
      </c>
      <c r="N22" s="611">
        <v>0</v>
      </c>
      <c r="O22" s="611">
        <v>5.9255899599826414</v>
      </c>
      <c r="P22" s="611">
        <v>0</v>
      </c>
      <c r="Q22" s="611">
        <v>12.044861462217421</v>
      </c>
      <c r="R22" s="611">
        <v>0</v>
      </c>
      <c r="S22" s="611">
        <v>-76.558771945494215</v>
      </c>
      <c r="T22" s="611">
        <v>0</v>
      </c>
      <c r="U22" s="619">
        <v>6.097749789125146</v>
      </c>
      <c r="V22" s="51"/>
    </row>
    <row r="23" spans="3:22" x14ac:dyDescent="0.25">
      <c r="C23" s="618" t="s">
        <v>349</v>
      </c>
      <c r="D23" s="611">
        <v>0</v>
      </c>
      <c r="E23" s="611">
        <v>0</v>
      </c>
      <c r="F23" s="611">
        <v>0</v>
      </c>
      <c r="G23" s="611">
        <v>0</v>
      </c>
      <c r="H23" s="611">
        <v>0</v>
      </c>
      <c r="I23" s="611">
        <v>0</v>
      </c>
      <c r="J23" s="611">
        <v>0</v>
      </c>
      <c r="K23" s="611">
        <v>0</v>
      </c>
      <c r="L23" s="611">
        <v>169.99999603753383</v>
      </c>
      <c r="M23" s="611">
        <v>0</v>
      </c>
      <c r="N23" s="611">
        <v>0</v>
      </c>
      <c r="O23" s="611">
        <v>-93.499997820643614</v>
      </c>
      <c r="P23" s="611">
        <v>0</v>
      </c>
      <c r="Q23" s="611">
        <v>0</v>
      </c>
      <c r="R23" s="611">
        <v>0</v>
      </c>
      <c r="S23" s="611">
        <v>0</v>
      </c>
      <c r="T23" s="611">
        <v>0</v>
      </c>
      <c r="U23" s="619">
        <v>76.499998216890219</v>
      </c>
      <c r="V23" s="51"/>
    </row>
    <row r="24" spans="3:22" x14ac:dyDescent="0.25">
      <c r="C24" s="618" t="s">
        <v>350</v>
      </c>
      <c r="D24" s="611">
        <v>0</v>
      </c>
      <c r="E24" s="611">
        <v>0</v>
      </c>
      <c r="F24" s="611">
        <v>0</v>
      </c>
      <c r="G24" s="611">
        <v>0</v>
      </c>
      <c r="H24" s="611">
        <v>0</v>
      </c>
      <c r="I24" s="611">
        <v>-2.9890617212740871</v>
      </c>
      <c r="J24" s="611">
        <v>0</v>
      </c>
      <c r="K24" s="611">
        <v>0</v>
      </c>
      <c r="L24" s="611">
        <v>0</v>
      </c>
      <c r="M24" s="611">
        <v>0</v>
      </c>
      <c r="N24" s="611">
        <v>0</v>
      </c>
      <c r="O24" s="611">
        <v>0</v>
      </c>
      <c r="P24" s="611">
        <v>0</v>
      </c>
      <c r="Q24" s="611">
        <v>0</v>
      </c>
      <c r="R24" s="611">
        <v>0</v>
      </c>
      <c r="S24" s="611">
        <v>0</v>
      </c>
      <c r="T24" s="611">
        <v>4.1514746128806763</v>
      </c>
      <c r="U24" s="619">
        <v>1.1624128916065892</v>
      </c>
      <c r="V24" s="51"/>
    </row>
    <row r="25" spans="3:22" x14ac:dyDescent="0.25">
      <c r="C25" s="618" t="s">
        <v>72</v>
      </c>
      <c r="D25" s="611">
        <v>0</v>
      </c>
      <c r="E25" s="611">
        <v>283.1271683530257</v>
      </c>
      <c r="F25" s="611">
        <v>-280.30617492402195</v>
      </c>
      <c r="G25" s="611">
        <v>0</v>
      </c>
      <c r="H25" s="611">
        <v>0</v>
      </c>
      <c r="I25" s="611">
        <v>0</v>
      </c>
      <c r="J25" s="611">
        <v>0</v>
      </c>
      <c r="K25" s="611">
        <v>0</v>
      </c>
      <c r="L25" s="611">
        <v>0</v>
      </c>
      <c r="M25" s="611">
        <v>0</v>
      </c>
      <c r="N25" s="611">
        <v>0</v>
      </c>
      <c r="O25" s="611">
        <v>0</v>
      </c>
      <c r="P25" s="611">
        <v>0</v>
      </c>
      <c r="Q25" s="611">
        <v>0</v>
      </c>
      <c r="R25" s="611">
        <v>0</v>
      </c>
      <c r="S25" s="611">
        <v>0</v>
      </c>
      <c r="T25" s="611">
        <v>0</v>
      </c>
      <c r="U25" s="619">
        <v>2.8209934290037495</v>
      </c>
      <c r="V25" s="51"/>
    </row>
    <row r="26" spans="3:22" x14ac:dyDescent="0.25">
      <c r="C26" s="618" t="s">
        <v>351</v>
      </c>
      <c r="D26" s="611">
        <v>0</v>
      </c>
      <c r="E26" s="611">
        <v>0</v>
      </c>
      <c r="F26" s="611">
        <v>0</v>
      </c>
      <c r="G26" s="611">
        <v>0</v>
      </c>
      <c r="H26" s="611">
        <v>0</v>
      </c>
      <c r="I26" s="611">
        <v>0</v>
      </c>
      <c r="J26" s="611">
        <v>0</v>
      </c>
      <c r="K26" s="611">
        <v>0</v>
      </c>
      <c r="L26" s="611">
        <v>211.69506074403665</v>
      </c>
      <c r="M26" s="611">
        <v>0</v>
      </c>
      <c r="N26" s="611">
        <v>-116.43228340922018</v>
      </c>
      <c r="O26" s="611">
        <v>0</v>
      </c>
      <c r="P26" s="611">
        <v>0</v>
      </c>
      <c r="Q26" s="611">
        <v>0</v>
      </c>
      <c r="R26" s="611">
        <v>0</v>
      </c>
      <c r="S26" s="611">
        <v>0</v>
      </c>
      <c r="T26" s="611">
        <v>0</v>
      </c>
      <c r="U26" s="619">
        <v>95.262777334816477</v>
      </c>
      <c r="V26" s="51"/>
    </row>
    <row r="27" spans="3:22" x14ac:dyDescent="0.25">
      <c r="C27" s="618" t="s">
        <v>352</v>
      </c>
      <c r="D27" s="611">
        <v>0</v>
      </c>
      <c r="E27" s="611">
        <v>0</v>
      </c>
      <c r="F27" s="611">
        <v>0</v>
      </c>
      <c r="G27" s="611">
        <v>-13.61496514917124</v>
      </c>
      <c r="H27" s="611">
        <v>0</v>
      </c>
      <c r="I27" s="611">
        <v>0</v>
      </c>
      <c r="J27" s="611">
        <v>0</v>
      </c>
      <c r="K27" s="611">
        <v>0</v>
      </c>
      <c r="L27" s="611">
        <v>0</v>
      </c>
      <c r="M27" s="611">
        <v>0</v>
      </c>
      <c r="N27" s="611">
        <v>0</v>
      </c>
      <c r="O27" s="611">
        <v>0</v>
      </c>
      <c r="P27" s="611">
        <v>0</v>
      </c>
      <c r="Q27" s="611">
        <v>0</v>
      </c>
      <c r="R27" s="611">
        <v>0</v>
      </c>
      <c r="S27" s="611">
        <v>0</v>
      </c>
      <c r="T27" s="611">
        <v>17.7682733969807</v>
      </c>
      <c r="U27" s="619">
        <v>4.1533082478094592</v>
      </c>
      <c r="V27" s="51"/>
    </row>
    <row r="28" spans="3:22" x14ac:dyDescent="0.25">
      <c r="C28" s="618" t="s">
        <v>73</v>
      </c>
      <c r="D28" s="611">
        <v>0</v>
      </c>
      <c r="E28" s="611">
        <v>0</v>
      </c>
      <c r="F28" s="611">
        <v>0</v>
      </c>
      <c r="G28" s="611">
        <v>0</v>
      </c>
      <c r="H28" s="611">
        <v>0</v>
      </c>
      <c r="I28" s="611">
        <v>0</v>
      </c>
      <c r="J28" s="611">
        <v>0</v>
      </c>
      <c r="K28" s="611">
        <v>0</v>
      </c>
      <c r="L28" s="611">
        <v>0</v>
      </c>
      <c r="M28" s="611">
        <v>0</v>
      </c>
      <c r="N28" s="611">
        <v>0</v>
      </c>
      <c r="O28" s="611">
        <v>0</v>
      </c>
      <c r="P28" s="611">
        <v>0</v>
      </c>
      <c r="Q28" s="611">
        <v>0</v>
      </c>
      <c r="R28" s="611">
        <v>95.104373602151668</v>
      </c>
      <c r="S28" s="611">
        <v>0</v>
      </c>
      <c r="T28" s="611">
        <v>-64.480765302258831</v>
      </c>
      <c r="U28" s="619">
        <v>30.623608299892837</v>
      </c>
      <c r="V28" s="51"/>
    </row>
    <row r="29" spans="3:22" x14ac:dyDescent="0.25">
      <c r="C29" s="618" t="s">
        <v>353</v>
      </c>
      <c r="D29" s="611">
        <v>7.8269305078124995</v>
      </c>
      <c r="E29" s="611">
        <v>-9.913188690077277</v>
      </c>
      <c r="F29" s="611">
        <v>12.914884415071832</v>
      </c>
      <c r="G29" s="611">
        <v>0</v>
      </c>
      <c r="H29" s="611">
        <v>0</v>
      </c>
      <c r="I29" s="611">
        <v>0</v>
      </c>
      <c r="J29" s="611">
        <v>0</v>
      </c>
      <c r="K29" s="611">
        <v>0</v>
      </c>
      <c r="L29" s="611">
        <v>0</v>
      </c>
      <c r="M29" s="611">
        <v>0</v>
      </c>
      <c r="N29" s="611">
        <v>0</v>
      </c>
      <c r="O29" s="611">
        <v>0</v>
      </c>
      <c r="P29" s="611">
        <v>0</v>
      </c>
      <c r="Q29" s="611">
        <v>0</v>
      </c>
      <c r="R29" s="611">
        <v>0</v>
      </c>
      <c r="S29" s="611">
        <v>0</v>
      </c>
      <c r="T29" s="611">
        <v>0</v>
      </c>
      <c r="U29" s="619">
        <v>10.828626232807053</v>
      </c>
      <c r="V29" s="51"/>
    </row>
    <row r="30" spans="3:22" x14ac:dyDescent="0.25">
      <c r="C30" s="618" t="s">
        <v>75</v>
      </c>
      <c r="D30" s="611">
        <v>3.0438063085937501</v>
      </c>
      <c r="E30" s="611">
        <v>0</v>
      </c>
      <c r="F30" s="611">
        <v>9.7210991282801391</v>
      </c>
      <c r="G30" s="611">
        <v>0</v>
      </c>
      <c r="H30" s="611">
        <v>3.2664120682994437</v>
      </c>
      <c r="I30" s="611">
        <v>0</v>
      </c>
      <c r="J30" s="611">
        <v>0</v>
      </c>
      <c r="K30" s="611">
        <v>0</v>
      </c>
      <c r="L30" s="611">
        <v>0</v>
      </c>
      <c r="M30" s="611">
        <v>0</v>
      </c>
      <c r="N30" s="611">
        <v>0</v>
      </c>
      <c r="O30" s="611">
        <v>1.9850542794488581</v>
      </c>
      <c r="P30" s="611">
        <v>0</v>
      </c>
      <c r="Q30" s="611">
        <v>0</v>
      </c>
      <c r="R30" s="611">
        <v>63.494449496220589</v>
      </c>
      <c r="S30" s="611">
        <v>0</v>
      </c>
      <c r="T30" s="611">
        <v>0</v>
      </c>
      <c r="U30" s="619">
        <v>81.510821280842777</v>
      </c>
      <c r="V30" s="51"/>
    </row>
    <row r="31" spans="3:22" x14ac:dyDescent="0.25">
      <c r="C31" s="618" t="s">
        <v>76</v>
      </c>
      <c r="D31" s="611">
        <v>0</v>
      </c>
      <c r="E31" s="611">
        <v>0</v>
      </c>
      <c r="F31" s="611">
        <v>0</v>
      </c>
      <c r="G31" s="611">
        <v>0</v>
      </c>
      <c r="H31" s="611">
        <v>1.6608510066487696</v>
      </c>
      <c r="I31" s="611">
        <v>0</v>
      </c>
      <c r="J31" s="611">
        <v>0</v>
      </c>
      <c r="K31" s="611">
        <v>0</v>
      </c>
      <c r="L31" s="611">
        <v>0</v>
      </c>
      <c r="M31" s="611">
        <v>0</v>
      </c>
      <c r="N31" s="611">
        <v>0</v>
      </c>
      <c r="O31" s="611">
        <v>1.0093274606322105</v>
      </c>
      <c r="P31" s="611">
        <v>0</v>
      </c>
      <c r="Q31" s="611">
        <v>0</v>
      </c>
      <c r="R31" s="611">
        <v>56.670616828922711</v>
      </c>
      <c r="S31" s="611">
        <v>5.9371834991983317</v>
      </c>
      <c r="T31" s="611">
        <v>0</v>
      </c>
      <c r="U31" s="619">
        <v>65.277978795402021</v>
      </c>
      <c r="V31" s="51"/>
    </row>
    <row r="32" spans="3:22" x14ac:dyDescent="0.25">
      <c r="C32" s="614" t="s">
        <v>77</v>
      </c>
      <c r="D32" s="615">
        <v>10.87073681640625</v>
      </c>
      <c r="E32" s="615">
        <v>273.21397966294842</v>
      </c>
      <c r="F32" s="615">
        <v>-257.30961329438645</v>
      </c>
      <c r="G32" s="615">
        <v>-13.61496514917124</v>
      </c>
      <c r="H32" s="615">
        <v>26.849767802216178</v>
      </c>
      <c r="I32" s="615">
        <v>-2.9890617212740871</v>
      </c>
      <c r="J32" s="615">
        <v>1162.199818181818</v>
      </c>
      <c r="K32" s="615">
        <v>371.91258763455278</v>
      </c>
      <c r="L32" s="615">
        <v>443.62046853702032</v>
      </c>
      <c r="M32" s="615">
        <v>16.164698837915989</v>
      </c>
      <c r="N32" s="615">
        <v>-111.04446721431933</v>
      </c>
      <c r="O32" s="615">
        <v>-77.502699273024078</v>
      </c>
      <c r="P32" s="615">
        <v>0</v>
      </c>
      <c r="Q32" s="615">
        <v>17.022275234745841</v>
      </c>
      <c r="R32" s="615">
        <v>-594.62448608629643</v>
      </c>
      <c r="S32" s="615">
        <v>-70.621588446295888</v>
      </c>
      <c r="T32" s="615">
        <v>-40.345703292397459</v>
      </c>
      <c r="U32" s="615">
        <v>1086.9299140368653</v>
      </c>
      <c r="V32" s="51"/>
    </row>
    <row r="33" spans="3:22" x14ac:dyDescent="0.25">
      <c r="C33" s="616"/>
      <c r="D33" s="617"/>
      <c r="E33" s="617"/>
      <c r="F33" s="617"/>
      <c r="G33" s="617"/>
      <c r="H33" s="623"/>
      <c r="I33" s="617"/>
      <c r="J33" s="617"/>
      <c r="K33" s="617"/>
      <c r="L33" s="617"/>
      <c r="M33" s="617"/>
      <c r="N33" s="617"/>
      <c r="O33" s="617"/>
      <c r="P33" s="617"/>
      <c r="Q33" s="617"/>
      <c r="R33" s="617"/>
      <c r="S33" s="617"/>
      <c r="T33" s="617"/>
      <c r="U33" s="617"/>
      <c r="V33" s="51"/>
    </row>
    <row r="34" spans="3:22" x14ac:dyDescent="0.25">
      <c r="C34" s="618" t="s">
        <v>78</v>
      </c>
      <c r="D34" s="611">
        <v>3.1479512226953994</v>
      </c>
      <c r="E34" s="611">
        <v>0</v>
      </c>
      <c r="F34" s="611">
        <v>7.3437351704458669</v>
      </c>
      <c r="G34" s="611">
        <v>0</v>
      </c>
      <c r="H34" s="611">
        <v>47.748408510748327</v>
      </c>
      <c r="I34" s="611">
        <v>0</v>
      </c>
      <c r="J34" s="611">
        <v>0</v>
      </c>
      <c r="K34" s="611">
        <v>0</v>
      </c>
      <c r="L34" s="611">
        <v>22.07297303718682</v>
      </c>
      <c r="M34" s="611">
        <v>7.0398001823904393</v>
      </c>
      <c r="N34" s="611">
        <v>1.8141076681280928</v>
      </c>
      <c r="O34" s="611">
        <v>29.054305571352941</v>
      </c>
      <c r="P34" s="611">
        <v>11.680015624999999</v>
      </c>
      <c r="Q34" s="611">
        <v>7.4990210834655101E-4</v>
      </c>
      <c r="R34" s="611">
        <v>169.36564151206954</v>
      </c>
      <c r="S34" s="611">
        <v>20.361092617344379</v>
      </c>
      <c r="T34" s="611">
        <v>8.2949111328124996</v>
      </c>
      <c r="U34" s="619">
        <v>327.92369215228263</v>
      </c>
      <c r="V34" s="51"/>
    </row>
    <row r="35" spans="3:22" x14ac:dyDescent="0.25">
      <c r="C35" s="618" t="s">
        <v>79</v>
      </c>
      <c r="D35" s="611">
        <v>0</v>
      </c>
      <c r="E35" s="611">
        <v>0</v>
      </c>
      <c r="F35" s="611">
        <v>117.18993365145114</v>
      </c>
      <c r="G35" s="611">
        <v>1.1502523332163914</v>
      </c>
      <c r="H35" s="611">
        <v>4.819889599277416</v>
      </c>
      <c r="I35" s="611">
        <v>0</v>
      </c>
      <c r="J35" s="611">
        <v>0</v>
      </c>
      <c r="K35" s="611">
        <v>0</v>
      </c>
      <c r="L35" s="611">
        <v>0</v>
      </c>
      <c r="M35" s="611">
        <v>0</v>
      </c>
      <c r="N35" s="611">
        <v>66.206077394178237</v>
      </c>
      <c r="O35" s="611">
        <v>2.9291290490785586</v>
      </c>
      <c r="P35" s="611">
        <v>0</v>
      </c>
      <c r="Q35" s="611">
        <v>0</v>
      </c>
      <c r="R35" s="611">
        <v>81.27523543109001</v>
      </c>
      <c r="S35" s="611">
        <v>0</v>
      </c>
      <c r="T35" s="611">
        <v>3.9485258535759078</v>
      </c>
      <c r="U35" s="619">
        <v>277.51904331186768</v>
      </c>
      <c r="V35" s="51"/>
    </row>
    <row r="36" spans="3:22" x14ac:dyDescent="0.25">
      <c r="C36" s="618" t="s">
        <v>80</v>
      </c>
      <c r="D36" s="611">
        <v>0</v>
      </c>
      <c r="E36" s="611">
        <v>0</v>
      </c>
      <c r="F36" s="611">
        <v>1.6438651007794511</v>
      </c>
      <c r="G36" s="611">
        <v>0</v>
      </c>
      <c r="H36" s="611">
        <v>37.762906897334723</v>
      </c>
      <c r="I36" s="611">
        <v>0</v>
      </c>
      <c r="J36" s="611">
        <v>0</v>
      </c>
      <c r="K36" s="611">
        <v>0</v>
      </c>
      <c r="L36" s="611">
        <v>41.59278420325942</v>
      </c>
      <c r="M36" s="611">
        <v>0</v>
      </c>
      <c r="N36" s="611">
        <v>0</v>
      </c>
      <c r="O36" s="611">
        <v>22.949162069441361</v>
      </c>
      <c r="P36" s="611">
        <v>82.607640149864139</v>
      </c>
      <c r="Q36" s="611">
        <v>2.572357159222566</v>
      </c>
      <c r="R36" s="611">
        <v>151.89062993564033</v>
      </c>
      <c r="S36" s="611">
        <v>31.936895125532864</v>
      </c>
      <c r="T36" s="611">
        <v>0</v>
      </c>
      <c r="U36" s="619">
        <v>372.95624064107488</v>
      </c>
      <c r="V36" s="51"/>
    </row>
    <row r="37" spans="3:22" x14ac:dyDescent="0.25">
      <c r="C37" s="618" t="s">
        <v>81</v>
      </c>
      <c r="D37" s="611">
        <v>0</v>
      </c>
      <c r="E37" s="611">
        <v>0</v>
      </c>
      <c r="F37" s="611">
        <v>1.2620465629105715</v>
      </c>
      <c r="G37" s="611">
        <v>0</v>
      </c>
      <c r="H37" s="611">
        <v>22.07344942659541</v>
      </c>
      <c r="I37" s="611">
        <v>0</v>
      </c>
      <c r="J37" s="611">
        <v>0</v>
      </c>
      <c r="K37" s="611">
        <v>0</v>
      </c>
      <c r="L37" s="611">
        <v>0.56000000000000005</v>
      </c>
      <c r="M37" s="611">
        <v>0</v>
      </c>
      <c r="N37" s="611">
        <v>0</v>
      </c>
      <c r="O37" s="611">
        <v>13.414411387866664</v>
      </c>
      <c r="P37" s="611">
        <v>44.799406982627758</v>
      </c>
      <c r="Q37" s="611">
        <v>3.2055052425847239</v>
      </c>
      <c r="R37" s="611">
        <v>113.10534162946976</v>
      </c>
      <c r="S37" s="611">
        <v>18.323600703418645</v>
      </c>
      <c r="T37" s="611">
        <v>0</v>
      </c>
      <c r="U37" s="619">
        <v>216.74376193547354</v>
      </c>
      <c r="V37" s="51"/>
    </row>
    <row r="38" spans="3:22" x14ac:dyDescent="0.25">
      <c r="C38" s="618" t="s">
        <v>82</v>
      </c>
      <c r="D38" s="611">
        <v>0</v>
      </c>
      <c r="E38" s="611">
        <v>0</v>
      </c>
      <c r="F38" s="611">
        <v>15.385186125799255</v>
      </c>
      <c r="G38" s="611">
        <v>0</v>
      </c>
      <c r="H38" s="611">
        <v>1.0890603369505767</v>
      </c>
      <c r="I38" s="611">
        <v>0</v>
      </c>
      <c r="J38" s="611">
        <v>0</v>
      </c>
      <c r="K38" s="611">
        <v>0</v>
      </c>
      <c r="L38" s="611">
        <v>2.8</v>
      </c>
      <c r="M38" s="611">
        <v>0</v>
      </c>
      <c r="N38" s="611">
        <v>12.9683366306894</v>
      </c>
      <c r="O38" s="611">
        <v>0.66184052631401613</v>
      </c>
      <c r="P38" s="611">
        <v>0.9</v>
      </c>
      <c r="Q38" s="611">
        <v>1.1655332190637568</v>
      </c>
      <c r="R38" s="611">
        <v>7.0055244887900985</v>
      </c>
      <c r="S38" s="611">
        <v>0</v>
      </c>
      <c r="T38" s="611">
        <v>0.45485655237537337</v>
      </c>
      <c r="U38" s="619">
        <v>42.430337879982481</v>
      </c>
      <c r="V38" s="51"/>
    </row>
    <row r="39" spans="3:22" x14ac:dyDescent="0.25">
      <c r="C39" s="618" t="s">
        <v>354</v>
      </c>
      <c r="D39" s="611">
        <v>0</v>
      </c>
      <c r="E39" s="611">
        <v>0</v>
      </c>
      <c r="F39" s="611">
        <v>0</v>
      </c>
      <c r="G39" s="611">
        <v>0</v>
      </c>
      <c r="H39" s="611">
        <v>0</v>
      </c>
      <c r="I39" s="611">
        <v>0</v>
      </c>
      <c r="J39" s="611">
        <v>0</v>
      </c>
      <c r="K39" s="611">
        <v>0</v>
      </c>
      <c r="L39" s="611">
        <v>0</v>
      </c>
      <c r="M39" s="611">
        <v>0</v>
      </c>
      <c r="N39" s="611">
        <v>0</v>
      </c>
      <c r="O39" s="611">
        <v>0</v>
      </c>
      <c r="P39" s="611">
        <v>0</v>
      </c>
      <c r="Q39" s="611">
        <v>0</v>
      </c>
      <c r="R39" s="611">
        <v>2.2597999999999998</v>
      </c>
      <c r="S39" s="611">
        <v>0</v>
      </c>
      <c r="T39" s="611">
        <v>0</v>
      </c>
      <c r="U39" s="619">
        <v>2.2597999999999998</v>
      </c>
      <c r="V39" s="51"/>
    </row>
    <row r="40" spans="3:22" x14ac:dyDescent="0.25">
      <c r="C40" s="614" t="s">
        <v>83</v>
      </c>
      <c r="D40" s="615">
        <v>3.1479512226953994</v>
      </c>
      <c r="E40" s="615">
        <v>0</v>
      </c>
      <c r="F40" s="615">
        <v>142.82476661138628</v>
      </c>
      <c r="G40" s="615">
        <v>1.1502523332163914</v>
      </c>
      <c r="H40" s="615">
        <v>113.49371477090645</v>
      </c>
      <c r="I40" s="615">
        <v>0</v>
      </c>
      <c r="J40" s="615">
        <v>0</v>
      </c>
      <c r="K40" s="615">
        <v>0</v>
      </c>
      <c r="L40" s="615">
        <v>67.025757240446239</v>
      </c>
      <c r="M40" s="615">
        <v>7.0398001823904393</v>
      </c>
      <c r="N40" s="615">
        <v>80.988521692995732</v>
      </c>
      <c r="O40" s="615">
        <v>69.008848604053554</v>
      </c>
      <c r="P40" s="615">
        <v>139.98706275749188</v>
      </c>
      <c r="Q40" s="615">
        <v>6.9441455229793938</v>
      </c>
      <c r="R40" s="615">
        <v>524.90217299705978</v>
      </c>
      <c r="S40" s="615">
        <v>70.621588446295888</v>
      </c>
      <c r="T40" s="615">
        <v>12.69829353876378</v>
      </c>
      <c r="U40" s="615">
        <v>1239.8328759206811</v>
      </c>
      <c r="V40" s="51"/>
    </row>
    <row r="41" spans="3:22" x14ac:dyDescent="0.25">
      <c r="C41" s="610" t="s">
        <v>84</v>
      </c>
      <c r="D41" s="611">
        <v>0</v>
      </c>
      <c r="E41" s="611">
        <v>0</v>
      </c>
      <c r="F41" s="611">
        <v>91.645744339605585</v>
      </c>
      <c r="G41" s="611">
        <v>1.9754203276001159</v>
      </c>
      <c r="H41" s="611">
        <v>9.8671998534986294</v>
      </c>
      <c r="I41" s="611">
        <v>0</v>
      </c>
      <c r="J41" s="611">
        <v>0</v>
      </c>
      <c r="K41" s="611">
        <v>0</v>
      </c>
      <c r="L41" s="611">
        <v>0.29558782815630974</v>
      </c>
      <c r="M41" s="611">
        <v>0</v>
      </c>
      <c r="N41" s="611">
        <v>22.091901685627885</v>
      </c>
      <c r="O41" s="611">
        <v>6.5407527819460896</v>
      </c>
      <c r="P41" s="611">
        <v>0</v>
      </c>
      <c r="Q41" s="611">
        <v>0</v>
      </c>
      <c r="R41" s="611">
        <v>0</v>
      </c>
      <c r="S41" s="611">
        <v>0</v>
      </c>
      <c r="T41" s="611">
        <v>24.889939650510044</v>
      </c>
      <c r="U41" s="619">
        <v>157.30654646694467</v>
      </c>
      <c r="V41" s="51"/>
    </row>
    <row r="42" spans="3:22" x14ac:dyDescent="0.25">
      <c r="C42" s="614" t="s">
        <v>85</v>
      </c>
      <c r="D42" s="615">
        <v>3.1479512226953994</v>
      </c>
      <c r="E42" s="615">
        <v>0</v>
      </c>
      <c r="F42" s="615">
        <v>234.47051095099187</v>
      </c>
      <c r="G42" s="615">
        <v>3.1256726608165071</v>
      </c>
      <c r="H42" s="615">
        <v>123.36091462440508</v>
      </c>
      <c r="I42" s="615">
        <v>0</v>
      </c>
      <c r="J42" s="615">
        <v>0</v>
      </c>
      <c r="K42" s="615">
        <v>0</v>
      </c>
      <c r="L42" s="615">
        <v>67.321345068602554</v>
      </c>
      <c r="M42" s="615">
        <v>7.0398001823904393</v>
      </c>
      <c r="N42" s="615">
        <v>103.08042337862362</v>
      </c>
      <c r="O42" s="615">
        <v>75.549601385999637</v>
      </c>
      <c r="P42" s="615">
        <v>139.98706275749188</v>
      </c>
      <c r="Q42" s="615">
        <v>6.9441455229793938</v>
      </c>
      <c r="R42" s="615">
        <v>524.90217299705978</v>
      </c>
      <c r="S42" s="615">
        <v>70.621588446295888</v>
      </c>
      <c r="T42" s="615">
        <v>37.588233189273822</v>
      </c>
      <c r="U42" s="615">
        <v>1397.1394223876257</v>
      </c>
      <c r="V42" s="51"/>
    </row>
    <row r="43" spans="3:22" x14ac:dyDescent="0.25">
      <c r="C43" s="51"/>
      <c r="D43" s="67">
        <v>0</v>
      </c>
      <c r="E43" s="67">
        <v>0</v>
      </c>
      <c r="F43" s="67">
        <v>0</v>
      </c>
      <c r="G43" s="67">
        <v>0</v>
      </c>
      <c r="H43" s="67">
        <v>0</v>
      </c>
      <c r="I43" s="67">
        <v>0</v>
      </c>
      <c r="J43" s="67">
        <v>0</v>
      </c>
      <c r="K43" s="67">
        <v>0</v>
      </c>
      <c r="L43" s="67">
        <v>0</v>
      </c>
      <c r="M43" s="67">
        <v>-4.2787984175873817E-4</v>
      </c>
      <c r="N43" s="67">
        <v>0</v>
      </c>
      <c r="O43" s="67">
        <v>-2.2204460492503131E-15</v>
      </c>
      <c r="P43" s="67">
        <v>0</v>
      </c>
      <c r="Q43" s="67">
        <v>0</v>
      </c>
      <c r="R43" s="67">
        <v>-1.1368683772161603E-13</v>
      </c>
      <c r="S43" s="67">
        <v>0</v>
      </c>
      <c r="T43" s="67">
        <v>0</v>
      </c>
      <c r="U43" s="67">
        <v>-4.2787984193637385E-4</v>
      </c>
      <c r="V43" s="51"/>
    </row>
    <row r="44" spans="3:22" x14ac:dyDescent="0.25">
      <c r="C44" s="51"/>
      <c r="D44" s="51"/>
      <c r="E44" s="51"/>
      <c r="F44" s="51"/>
      <c r="G44" s="67"/>
      <c r="H44" s="51"/>
      <c r="I44" s="51"/>
      <c r="J44" s="51"/>
      <c r="K44" s="51"/>
      <c r="L44" s="51"/>
      <c r="M44" s="51"/>
      <c r="N44" s="51"/>
      <c r="O44" s="51"/>
      <c r="P44" s="51"/>
      <c r="Q44" s="51"/>
      <c r="R44" s="51"/>
      <c r="S44" s="51"/>
      <c r="T44" s="51"/>
      <c r="U44" s="51"/>
      <c r="V44" s="51"/>
    </row>
    <row r="45" spans="3:22" x14ac:dyDescent="0.25">
      <c r="C45" s="607" t="s">
        <v>360</v>
      </c>
      <c r="D45" s="606"/>
      <c r="E45" s="606"/>
      <c r="F45" s="606"/>
      <c r="G45" s="682"/>
      <c r="H45" s="606"/>
      <c r="I45" s="606"/>
      <c r="J45" s="606"/>
      <c r="K45" s="606"/>
      <c r="L45" s="606"/>
      <c r="M45" s="606"/>
      <c r="N45" s="606"/>
      <c r="O45" s="606"/>
      <c r="P45" s="606"/>
      <c r="Q45" s="606"/>
      <c r="R45" s="606"/>
      <c r="S45" s="606"/>
      <c r="T45" s="606"/>
      <c r="U45" s="606"/>
      <c r="V45" s="606"/>
    </row>
    <row r="46" spans="3:22" x14ac:dyDescent="0.25">
      <c r="C46" s="51"/>
      <c r="D46" s="51"/>
      <c r="E46" s="51"/>
      <c r="F46" s="51"/>
      <c r="G46" s="67"/>
      <c r="H46" s="51"/>
      <c r="I46" s="51"/>
      <c r="J46" s="51"/>
      <c r="K46" s="51"/>
      <c r="L46" s="51"/>
      <c r="M46" s="51"/>
      <c r="N46" s="51"/>
      <c r="O46" s="51"/>
      <c r="P46" s="51"/>
      <c r="Q46" s="51"/>
      <c r="R46" s="51"/>
      <c r="S46" s="51"/>
      <c r="T46" s="51"/>
      <c r="U46" s="51"/>
      <c r="V46" s="51"/>
    </row>
    <row r="47" spans="3:22" x14ac:dyDescent="0.25">
      <c r="C47" s="764" t="s">
        <v>128</v>
      </c>
      <c r="D47" s="753" t="s">
        <v>42</v>
      </c>
      <c r="E47" s="753" t="s">
        <v>52</v>
      </c>
      <c r="F47" s="753" t="s">
        <v>53</v>
      </c>
      <c r="G47" s="766" t="s">
        <v>482</v>
      </c>
      <c r="H47" s="753" t="s">
        <v>32</v>
      </c>
      <c r="I47" s="753" t="s">
        <v>483</v>
      </c>
      <c r="J47" s="753" t="s">
        <v>20</v>
      </c>
      <c r="K47" s="753" t="s">
        <v>55</v>
      </c>
      <c r="L47" s="761" t="s">
        <v>56</v>
      </c>
      <c r="M47" s="762"/>
      <c r="N47" s="762"/>
      <c r="O47" s="762"/>
      <c r="P47" s="762"/>
      <c r="Q47" s="763"/>
      <c r="R47" s="753" t="s">
        <v>57</v>
      </c>
      <c r="S47" s="753" t="s">
        <v>58</v>
      </c>
      <c r="T47" s="753" t="s">
        <v>31</v>
      </c>
      <c r="U47" s="753" t="s">
        <v>10</v>
      </c>
      <c r="V47" s="51"/>
    </row>
    <row r="48" spans="3:22" ht="36" x14ac:dyDescent="0.25">
      <c r="C48" s="765"/>
      <c r="D48" s="754"/>
      <c r="E48" s="754"/>
      <c r="F48" s="754"/>
      <c r="G48" s="767"/>
      <c r="H48" s="754"/>
      <c r="I48" s="754"/>
      <c r="J48" s="754"/>
      <c r="K48" s="754"/>
      <c r="L48" s="608" t="s">
        <v>335</v>
      </c>
      <c r="M48" s="608" t="s">
        <v>40</v>
      </c>
      <c r="N48" s="608" t="s">
        <v>343</v>
      </c>
      <c r="O48" s="608" t="s">
        <v>344</v>
      </c>
      <c r="P48" s="609" t="s">
        <v>345</v>
      </c>
      <c r="Q48" s="608" t="s">
        <v>346</v>
      </c>
      <c r="R48" s="754"/>
      <c r="S48" s="754"/>
      <c r="T48" s="754"/>
      <c r="U48" s="754"/>
      <c r="V48" s="51"/>
    </row>
    <row r="49" spans="3:22" x14ac:dyDescent="0.25">
      <c r="C49" s="610" t="s">
        <v>59</v>
      </c>
      <c r="D49" s="611">
        <v>0</v>
      </c>
      <c r="E49" s="611">
        <v>0</v>
      </c>
      <c r="F49" s="611">
        <v>0</v>
      </c>
      <c r="G49" s="611">
        <v>0</v>
      </c>
      <c r="H49" s="611">
        <v>0</v>
      </c>
      <c r="I49" s="611">
        <v>0</v>
      </c>
      <c r="J49" s="612">
        <v>1175.1327636363635</v>
      </c>
      <c r="K49" s="612">
        <v>409.44348403288171</v>
      </c>
      <c r="L49" s="612">
        <v>455.63054491967773</v>
      </c>
      <c r="M49" s="612">
        <v>21.888057205261063</v>
      </c>
      <c r="N49" s="611">
        <v>1.5769202529293118</v>
      </c>
      <c r="O49" s="611">
        <v>0.16705675062100381</v>
      </c>
      <c r="P49" s="612">
        <v>157.62105211134346</v>
      </c>
      <c r="Q49" s="612">
        <v>24.53711550235386</v>
      </c>
      <c r="R49" s="611">
        <v>0</v>
      </c>
      <c r="S49" s="611">
        <v>0</v>
      </c>
      <c r="T49" s="611">
        <v>0</v>
      </c>
      <c r="U49" s="613">
        <v>2245.9969944114318</v>
      </c>
      <c r="V49" s="51"/>
    </row>
    <row r="50" spans="3:22" x14ac:dyDescent="0.25">
      <c r="C50" s="610" t="s">
        <v>60</v>
      </c>
      <c r="D50" s="611">
        <v>13.340633881136302</v>
      </c>
      <c r="E50" s="611">
        <v>239.69119414034884</v>
      </c>
      <c r="F50" s="611">
        <v>4.6624671135986846</v>
      </c>
      <c r="G50" s="611">
        <v>0</v>
      </c>
      <c r="H50" s="611">
        <v>97.60128544811127</v>
      </c>
      <c r="I50" s="611">
        <v>0</v>
      </c>
      <c r="J50" s="611">
        <v>0</v>
      </c>
      <c r="K50" s="611">
        <v>0</v>
      </c>
      <c r="L50" s="611">
        <v>4.1311012816916577</v>
      </c>
      <c r="M50" s="611">
        <v>0</v>
      </c>
      <c r="N50" s="611">
        <v>5.4710090626624357</v>
      </c>
      <c r="O50" s="611">
        <v>0</v>
      </c>
      <c r="P50" s="611">
        <v>0</v>
      </c>
      <c r="Q50" s="611">
        <v>0</v>
      </c>
      <c r="R50" s="611">
        <v>0</v>
      </c>
      <c r="S50" s="611">
        <v>0</v>
      </c>
      <c r="T50" s="611">
        <v>0</v>
      </c>
      <c r="U50" s="613">
        <v>364.89769092754926</v>
      </c>
      <c r="V50" s="51"/>
    </row>
    <row r="51" spans="3:22" x14ac:dyDescent="0.25">
      <c r="C51" s="610" t="s">
        <v>61</v>
      </c>
      <c r="D51" s="611">
        <v>0</v>
      </c>
      <c r="E51" s="611">
        <v>0</v>
      </c>
      <c r="F51" s="611">
        <v>-17.494356691854108</v>
      </c>
      <c r="G51" s="611">
        <v>-1.7254456421765063</v>
      </c>
      <c r="H51" s="611">
        <v>0</v>
      </c>
      <c r="I51" s="611">
        <v>0</v>
      </c>
      <c r="J51" s="611">
        <v>0</v>
      </c>
      <c r="K51" s="611">
        <v>0</v>
      </c>
      <c r="L51" s="611">
        <v>0</v>
      </c>
      <c r="M51" s="611">
        <v>0</v>
      </c>
      <c r="N51" s="611">
        <v>0</v>
      </c>
      <c r="O51" s="611">
        <v>0</v>
      </c>
      <c r="P51" s="611">
        <v>0</v>
      </c>
      <c r="Q51" s="611">
        <v>0</v>
      </c>
      <c r="R51" s="611">
        <v>-53.009184488039523</v>
      </c>
      <c r="S51" s="611">
        <v>0</v>
      </c>
      <c r="T51" s="611">
        <v>0</v>
      </c>
      <c r="U51" s="613">
        <v>-72.228986822070141</v>
      </c>
      <c r="V51" s="51"/>
    </row>
    <row r="52" spans="3:22" x14ac:dyDescent="0.25">
      <c r="C52" s="610" t="s">
        <v>62</v>
      </c>
      <c r="D52" s="611">
        <v>0</v>
      </c>
      <c r="E52" s="611">
        <v>0</v>
      </c>
      <c r="F52" s="611">
        <v>-5.0879563574801514</v>
      </c>
      <c r="G52" s="611">
        <v>-4.1045183661856841</v>
      </c>
      <c r="H52" s="611">
        <v>0</v>
      </c>
      <c r="I52" s="611">
        <v>-3.6084739343150005</v>
      </c>
      <c r="J52" s="611">
        <v>0</v>
      </c>
      <c r="K52" s="611">
        <v>0</v>
      </c>
      <c r="L52" s="611">
        <v>0</v>
      </c>
      <c r="M52" s="611">
        <v>0</v>
      </c>
      <c r="N52" s="611">
        <v>-1.3861783673523449</v>
      </c>
      <c r="O52" s="611">
        <v>-2.4056492895433337</v>
      </c>
      <c r="P52" s="611">
        <v>0</v>
      </c>
      <c r="Q52" s="611">
        <v>0</v>
      </c>
      <c r="R52" s="611">
        <v>0</v>
      </c>
      <c r="S52" s="611">
        <v>0</v>
      </c>
      <c r="T52" s="611">
        <v>-1.1711400462326651</v>
      </c>
      <c r="U52" s="613">
        <v>-17.763916361109182</v>
      </c>
      <c r="V52" s="51"/>
    </row>
    <row r="53" spans="3:22" x14ac:dyDescent="0.25">
      <c r="C53" s="610" t="s">
        <v>63</v>
      </c>
      <c r="D53" s="611">
        <v>0</v>
      </c>
      <c r="E53" s="611">
        <v>0</v>
      </c>
      <c r="F53" s="611">
        <v>-39.079068395762839</v>
      </c>
      <c r="G53" s="611">
        <v>-8.2277507760007769</v>
      </c>
      <c r="H53" s="611">
        <v>0</v>
      </c>
      <c r="I53" s="611">
        <v>0</v>
      </c>
      <c r="J53" s="611">
        <v>0</v>
      </c>
      <c r="K53" s="611">
        <v>0</v>
      </c>
      <c r="L53" s="611">
        <v>0</v>
      </c>
      <c r="M53" s="611">
        <v>0</v>
      </c>
      <c r="N53" s="611">
        <v>-15.189693740309128</v>
      </c>
      <c r="O53" s="611">
        <v>0</v>
      </c>
      <c r="P53" s="611">
        <v>0</v>
      </c>
      <c r="Q53" s="611">
        <v>0</v>
      </c>
      <c r="R53" s="611">
        <v>0</v>
      </c>
      <c r="S53" s="611">
        <v>0</v>
      </c>
      <c r="T53" s="611">
        <v>-2.6141112366127883</v>
      </c>
      <c r="U53" s="613">
        <v>-65.110624148685531</v>
      </c>
      <c r="V53" s="51"/>
    </row>
    <row r="54" spans="3:22" x14ac:dyDescent="0.25">
      <c r="C54" s="610" t="s">
        <v>64</v>
      </c>
      <c r="D54" s="611">
        <v>0</v>
      </c>
      <c r="E54" s="611">
        <v>0</v>
      </c>
      <c r="F54" s="611">
        <v>0</v>
      </c>
      <c r="G54" s="611">
        <v>0</v>
      </c>
      <c r="H54" s="611">
        <v>0</v>
      </c>
      <c r="I54" s="611">
        <v>0</v>
      </c>
      <c r="J54" s="611">
        <v>0</v>
      </c>
      <c r="K54" s="611">
        <v>0</v>
      </c>
      <c r="L54" s="611">
        <v>0</v>
      </c>
      <c r="M54" s="611">
        <v>0</v>
      </c>
      <c r="N54" s="611">
        <v>0</v>
      </c>
      <c r="O54" s="611">
        <v>0</v>
      </c>
      <c r="P54" s="611">
        <v>0</v>
      </c>
      <c r="Q54" s="611">
        <v>0</v>
      </c>
      <c r="R54" s="611">
        <v>0</v>
      </c>
      <c r="S54" s="611">
        <v>0</v>
      </c>
      <c r="T54" s="611">
        <v>0</v>
      </c>
      <c r="U54" s="613">
        <v>0</v>
      </c>
      <c r="V54" s="51"/>
    </row>
    <row r="55" spans="3:22" x14ac:dyDescent="0.25">
      <c r="C55" s="614" t="s">
        <v>65</v>
      </c>
      <c r="D55" s="615">
        <v>13.340633881136302</v>
      </c>
      <c r="E55" s="615">
        <v>239.69119414034884</v>
      </c>
      <c r="F55" s="615">
        <v>-56.998914331498412</v>
      </c>
      <c r="G55" s="615">
        <v>-14.057714784362968</v>
      </c>
      <c r="H55" s="615">
        <v>97.60128544811127</v>
      </c>
      <c r="I55" s="615">
        <v>-3.6084739343150005</v>
      </c>
      <c r="J55" s="615">
        <v>1175.1327636363635</v>
      </c>
      <c r="K55" s="615">
        <v>409.44348403288171</v>
      </c>
      <c r="L55" s="615">
        <v>459.76164620136939</v>
      </c>
      <c r="M55" s="615">
        <v>21.888057205261063</v>
      </c>
      <c r="N55" s="615">
        <v>-9.5279427920697266</v>
      </c>
      <c r="O55" s="615">
        <v>-2.23859253892233</v>
      </c>
      <c r="P55" s="615">
        <v>157.62105211134346</v>
      </c>
      <c r="Q55" s="615">
        <v>24.53711550235386</v>
      </c>
      <c r="R55" s="615">
        <v>-53.009184488039523</v>
      </c>
      <c r="S55" s="615">
        <v>0</v>
      </c>
      <c r="T55" s="615">
        <v>-3.7852512828454534</v>
      </c>
      <c r="U55" s="615">
        <v>2455.7911580071163</v>
      </c>
      <c r="V55" s="51"/>
    </row>
    <row r="56" spans="3:22" x14ac:dyDescent="0.25">
      <c r="C56" s="616"/>
      <c r="D56" s="617"/>
      <c r="E56" s="617"/>
      <c r="F56" s="617"/>
      <c r="G56" s="617"/>
      <c r="H56" s="623"/>
      <c r="I56" s="617"/>
      <c r="J56" s="617"/>
      <c r="K56" s="617"/>
      <c r="L56" s="617"/>
      <c r="M56" s="617"/>
      <c r="N56" s="617"/>
      <c r="O56" s="617"/>
      <c r="P56" s="617"/>
      <c r="Q56" s="617"/>
      <c r="R56" s="617"/>
      <c r="S56" s="617"/>
      <c r="T56" s="617"/>
      <c r="U56" s="617"/>
      <c r="V56" s="51"/>
    </row>
    <row r="57" spans="3:22" x14ac:dyDescent="0.25">
      <c r="C57" s="618" t="s">
        <v>67</v>
      </c>
      <c r="D57" s="611">
        <v>0</v>
      </c>
      <c r="E57" s="611">
        <v>0</v>
      </c>
      <c r="F57" s="611">
        <v>0</v>
      </c>
      <c r="G57" s="611">
        <v>0</v>
      </c>
      <c r="H57" s="611">
        <v>0</v>
      </c>
      <c r="I57" s="611">
        <v>0</v>
      </c>
      <c r="J57" s="611">
        <v>0</v>
      </c>
      <c r="K57" s="611">
        <v>0</v>
      </c>
      <c r="L57" s="611">
        <v>0</v>
      </c>
      <c r="M57" s="611">
        <v>0</v>
      </c>
      <c r="N57" s="611">
        <v>0</v>
      </c>
      <c r="O57" s="611">
        <v>0</v>
      </c>
      <c r="P57" s="611">
        <v>0</v>
      </c>
      <c r="Q57" s="611">
        <v>0</v>
      </c>
      <c r="R57" s="611">
        <v>0</v>
      </c>
      <c r="S57" s="611">
        <v>0</v>
      </c>
      <c r="T57" s="611">
        <v>0</v>
      </c>
      <c r="U57" s="619">
        <v>0</v>
      </c>
      <c r="V57" s="51"/>
    </row>
    <row r="58" spans="3:22" x14ac:dyDescent="0.25">
      <c r="C58" s="618" t="s">
        <v>347</v>
      </c>
      <c r="D58" s="611">
        <v>0</v>
      </c>
      <c r="E58" s="611">
        <v>0</v>
      </c>
      <c r="F58" s="611">
        <v>6.6151953400033478E-2</v>
      </c>
      <c r="G58" s="611">
        <v>0</v>
      </c>
      <c r="H58" s="611">
        <v>0.83875095652173937</v>
      </c>
      <c r="I58" s="611">
        <v>0</v>
      </c>
      <c r="J58" s="611">
        <v>1175.1327636363635</v>
      </c>
      <c r="K58" s="611">
        <v>409.44348403288171</v>
      </c>
      <c r="L58" s="611">
        <v>23.084193835391716</v>
      </c>
      <c r="M58" s="611">
        <v>0.60990924478748687</v>
      </c>
      <c r="N58" s="611">
        <v>5.6269378379330357</v>
      </c>
      <c r="O58" s="611">
        <v>0.80015093186061059</v>
      </c>
      <c r="P58" s="611">
        <v>0</v>
      </c>
      <c r="Q58" s="611">
        <v>6.4327567473291545</v>
      </c>
      <c r="R58" s="611">
        <v>-844.61232621268675</v>
      </c>
      <c r="S58" s="611">
        <v>0</v>
      </c>
      <c r="T58" s="611">
        <v>3.6921899999999996</v>
      </c>
      <c r="U58" s="619">
        <v>781.1149629637822</v>
      </c>
      <c r="V58" s="51"/>
    </row>
    <row r="59" spans="3:22" x14ac:dyDescent="0.25">
      <c r="C59" s="618" t="s">
        <v>348</v>
      </c>
      <c r="D59" s="611">
        <v>0</v>
      </c>
      <c r="E59" s="611">
        <v>0</v>
      </c>
      <c r="F59" s="611">
        <v>0</v>
      </c>
      <c r="G59" s="611">
        <v>0</v>
      </c>
      <c r="H59" s="611">
        <v>7.3970017533359673</v>
      </c>
      <c r="I59" s="611">
        <v>0</v>
      </c>
      <c r="J59" s="611">
        <v>0</v>
      </c>
      <c r="K59" s="611">
        <v>0</v>
      </c>
      <c r="L59" s="611">
        <v>35.211219886643882</v>
      </c>
      <c r="M59" s="611">
        <v>14.290044583270845</v>
      </c>
      <c r="N59" s="611">
        <v>0</v>
      </c>
      <c r="O59" s="611">
        <v>6.0665861374245376</v>
      </c>
      <c r="P59" s="611">
        <v>0</v>
      </c>
      <c r="Q59" s="611">
        <v>10.923199976732462</v>
      </c>
      <c r="R59" s="611">
        <v>0</v>
      </c>
      <c r="S59" s="611">
        <v>-68.689846406921419</v>
      </c>
      <c r="T59" s="611">
        <v>0</v>
      </c>
      <c r="U59" s="619">
        <v>5.1982059304862673</v>
      </c>
      <c r="V59" s="51"/>
    </row>
    <row r="60" spans="3:22" x14ac:dyDescent="0.25">
      <c r="C60" s="618" t="s">
        <v>349</v>
      </c>
      <c r="D60" s="611">
        <v>0</v>
      </c>
      <c r="E60" s="611">
        <v>0</v>
      </c>
      <c r="F60" s="611">
        <v>0</v>
      </c>
      <c r="G60" s="611">
        <v>0</v>
      </c>
      <c r="H60" s="611">
        <v>0</v>
      </c>
      <c r="I60" s="611">
        <v>0</v>
      </c>
      <c r="J60" s="611">
        <v>0</v>
      </c>
      <c r="K60" s="611">
        <v>0</v>
      </c>
      <c r="L60" s="611">
        <v>91.2295818617647</v>
      </c>
      <c r="M60" s="611">
        <v>0</v>
      </c>
      <c r="N60" s="611">
        <v>0</v>
      </c>
      <c r="O60" s="611">
        <v>-82.683413983490482</v>
      </c>
      <c r="P60" s="611">
        <v>0</v>
      </c>
      <c r="Q60" s="611">
        <v>0</v>
      </c>
      <c r="R60" s="611">
        <v>0</v>
      </c>
      <c r="S60" s="611">
        <v>0</v>
      </c>
      <c r="T60" s="611">
        <v>0</v>
      </c>
      <c r="U60" s="619">
        <v>8.5461678782742183</v>
      </c>
      <c r="V60" s="51"/>
    </row>
    <row r="61" spans="3:22" x14ac:dyDescent="0.25">
      <c r="C61" s="618" t="s">
        <v>350</v>
      </c>
      <c r="D61" s="611">
        <v>0</v>
      </c>
      <c r="E61" s="611">
        <v>0</v>
      </c>
      <c r="F61" s="611">
        <v>0</v>
      </c>
      <c r="G61" s="611">
        <v>0</v>
      </c>
      <c r="H61" s="611">
        <v>0</v>
      </c>
      <c r="I61" s="611">
        <v>-3.6084739343150005</v>
      </c>
      <c r="J61" s="611">
        <v>0</v>
      </c>
      <c r="K61" s="611">
        <v>0</v>
      </c>
      <c r="L61" s="611">
        <v>0</v>
      </c>
      <c r="M61" s="611">
        <v>0</v>
      </c>
      <c r="N61" s="611">
        <v>0</v>
      </c>
      <c r="O61" s="611">
        <v>0</v>
      </c>
      <c r="P61" s="611">
        <v>0</v>
      </c>
      <c r="Q61" s="611">
        <v>0</v>
      </c>
      <c r="R61" s="611">
        <v>0</v>
      </c>
      <c r="S61" s="611">
        <v>0</v>
      </c>
      <c r="T61" s="611">
        <v>5.0117693532152785</v>
      </c>
      <c r="U61" s="619">
        <v>1.403295418900278</v>
      </c>
      <c r="V61" s="51"/>
    </row>
    <row r="62" spans="3:22" x14ac:dyDescent="0.25">
      <c r="C62" s="618" t="s">
        <v>72</v>
      </c>
      <c r="D62" s="611">
        <v>0</v>
      </c>
      <c r="E62" s="611">
        <v>248.37987406049137</v>
      </c>
      <c r="F62" s="611">
        <v>-245.90430306488159</v>
      </c>
      <c r="G62" s="611">
        <v>0</v>
      </c>
      <c r="H62" s="611">
        <v>0</v>
      </c>
      <c r="I62" s="611">
        <v>0</v>
      </c>
      <c r="J62" s="611">
        <v>0</v>
      </c>
      <c r="K62" s="611">
        <v>0</v>
      </c>
      <c r="L62" s="611">
        <v>0</v>
      </c>
      <c r="M62" s="611">
        <v>0</v>
      </c>
      <c r="N62" s="611">
        <v>0</v>
      </c>
      <c r="O62" s="611">
        <v>0</v>
      </c>
      <c r="P62" s="611">
        <v>0</v>
      </c>
      <c r="Q62" s="611">
        <v>0</v>
      </c>
      <c r="R62" s="611">
        <v>0</v>
      </c>
      <c r="S62" s="611">
        <v>0</v>
      </c>
      <c r="T62" s="611">
        <v>0</v>
      </c>
      <c r="U62" s="619">
        <v>2.475570995609786</v>
      </c>
      <c r="V62" s="51"/>
    </row>
    <row r="63" spans="3:22" x14ac:dyDescent="0.25">
      <c r="C63" s="618" t="s">
        <v>351</v>
      </c>
      <c r="D63" s="611">
        <v>0</v>
      </c>
      <c r="E63" s="611">
        <v>0</v>
      </c>
      <c r="F63" s="611">
        <v>0</v>
      </c>
      <c r="G63" s="611">
        <v>0</v>
      </c>
      <c r="H63" s="611">
        <v>0</v>
      </c>
      <c r="I63" s="611">
        <v>0</v>
      </c>
      <c r="J63" s="611">
        <v>0</v>
      </c>
      <c r="K63" s="611">
        <v>0</v>
      </c>
      <c r="L63" s="611">
        <v>241.23547887431721</v>
      </c>
      <c r="M63" s="611">
        <v>0</v>
      </c>
      <c r="N63" s="611">
        <v>-132.67951338087448</v>
      </c>
      <c r="O63" s="611">
        <v>0</v>
      </c>
      <c r="P63" s="611">
        <v>0</v>
      </c>
      <c r="Q63" s="611">
        <v>0</v>
      </c>
      <c r="R63" s="611">
        <v>0</v>
      </c>
      <c r="S63" s="611">
        <v>0</v>
      </c>
      <c r="T63" s="611">
        <v>0</v>
      </c>
      <c r="U63" s="619">
        <v>108.55596549344273</v>
      </c>
      <c r="V63" s="51"/>
    </row>
    <row r="64" spans="3:22" x14ac:dyDescent="0.25">
      <c r="C64" s="618" t="s">
        <v>352</v>
      </c>
      <c r="D64" s="611">
        <v>0</v>
      </c>
      <c r="E64" s="611">
        <v>0</v>
      </c>
      <c r="F64" s="611">
        <v>0</v>
      </c>
      <c r="G64" s="611">
        <v>-17.665386413709186</v>
      </c>
      <c r="H64" s="611">
        <v>0</v>
      </c>
      <c r="I64" s="611">
        <v>0</v>
      </c>
      <c r="J64" s="611">
        <v>0</v>
      </c>
      <c r="K64" s="611">
        <v>0</v>
      </c>
      <c r="L64" s="611">
        <v>0</v>
      </c>
      <c r="M64" s="611">
        <v>0</v>
      </c>
      <c r="N64" s="611">
        <v>0</v>
      </c>
      <c r="O64" s="611">
        <v>0</v>
      </c>
      <c r="P64" s="611">
        <v>0</v>
      </c>
      <c r="Q64" s="611">
        <v>0</v>
      </c>
      <c r="R64" s="611">
        <v>0</v>
      </c>
      <c r="S64" s="611">
        <v>0</v>
      </c>
      <c r="T64" s="611">
        <v>23.034172245220685</v>
      </c>
      <c r="U64" s="619">
        <v>5.3687858315114987</v>
      </c>
      <c r="V64" s="51"/>
    </row>
    <row r="65" spans="3:22" x14ac:dyDescent="0.25">
      <c r="C65" s="618" t="s">
        <v>73</v>
      </c>
      <c r="D65" s="611">
        <v>0</v>
      </c>
      <c r="E65" s="611">
        <v>0</v>
      </c>
      <c r="F65" s="611">
        <v>0</v>
      </c>
      <c r="G65" s="611">
        <v>0</v>
      </c>
      <c r="H65" s="611">
        <v>0</v>
      </c>
      <c r="I65" s="611">
        <v>0</v>
      </c>
      <c r="J65" s="611">
        <v>0</v>
      </c>
      <c r="K65" s="611">
        <v>0</v>
      </c>
      <c r="L65" s="611">
        <v>0</v>
      </c>
      <c r="M65" s="611">
        <v>0</v>
      </c>
      <c r="N65" s="611">
        <v>0</v>
      </c>
      <c r="O65" s="611">
        <v>0</v>
      </c>
      <c r="P65" s="611">
        <v>0</v>
      </c>
      <c r="Q65" s="611">
        <v>0</v>
      </c>
      <c r="R65" s="611">
        <v>117.85286984461516</v>
      </c>
      <c r="S65" s="611">
        <v>0</v>
      </c>
      <c r="T65" s="611">
        <v>-80.729215843561391</v>
      </c>
      <c r="U65" s="619">
        <v>37.123654001053765</v>
      </c>
      <c r="V65" s="51"/>
    </row>
    <row r="66" spans="3:22" x14ac:dyDescent="0.25">
      <c r="C66" s="618" t="s">
        <v>353</v>
      </c>
      <c r="D66" s="611">
        <v>7.6015399218749993</v>
      </c>
      <c r="E66" s="611">
        <v>-8.6886799201425244</v>
      </c>
      <c r="F66" s="611">
        <v>11.323469941688563</v>
      </c>
      <c r="G66" s="611">
        <v>0</v>
      </c>
      <c r="H66" s="611">
        <v>0</v>
      </c>
      <c r="I66" s="611">
        <v>0</v>
      </c>
      <c r="J66" s="611">
        <v>0</v>
      </c>
      <c r="K66" s="611">
        <v>0</v>
      </c>
      <c r="L66" s="611">
        <v>0</v>
      </c>
      <c r="M66" s="611">
        <v>0</v>
      </c>
      <c r="N66" s="611">
        <v>0</v>
      </c>
      <c r="O66" s="611">
        <v>0</v>
      </c>
      <c r="P66" s="611">
        <v>0</v>
      </c>
      <c r="Q66" s="611">
        <v>0</v>
      </c>
      <c r="R66" s="611">
        <v>0</v>
      </c>
      <c r="S66" s="611">
        <v>0</v>
      </c>
      <c r="T66" s="611">
        <v>0</v>
      </c>
      <c r="U66" s="619">
        <v>10.236329943421037</v>
      </c>
      <c r="V66" s="51"/>
    </row>
    <row r="67" spans="3:22" x14ac:dyDescent="0.25">
      <c r="C67" s="618" t="s">
        <v>75</v>
      </c>
      <c r="D67" s="611">
        <v>2.9561544140625</v>
      </c>
      <c r="E67" s="611">
        <v>0</v>
      </c>
      <c r="F67" s="611">
        <v>8.5207834498967969</v>
      </c>
      <c r="G67" s="611">
        <v>0</v>
      </c>
      <c r="H67" s="611">
        <v>2.8438669910513061</v>
      </c>
      <c r="I67" s="611">
        <v>0</v>
      </c>
      <c r="J67" s="611">
        <v>0</v>
      </c>
      <c r="K67" s="611">
        <v>0</v>
      </c>
      <c r="L67" s="611">
        <v>0</v>
      </c>
      <c r="M67" s="611">
        <v>0</v>
      </c>
      <c r="N67" s="611">
        <v>0</v>
      </c>
      <c r="O67" s="611">
        <v>2.3268002654056139</v>
      </c>
      <c r="P67" s="611">
        <v>0</v>
      </c>
      <c r="Q67" s="611">
        <v>0</v>
      </c>
      <c r="R67" s="611">
        <v>65.316211737855681</v>
      </c>
      <c r="S67" s="611">
        <v>0</v>
      </c>
      <c r="T67" s="611">
        <v>0</v>
      </c>
      <c r="U67" s="619">
        <v>81.963816858271898</v>
      </c>
      <c r="V67" s="51"/>
    </row>
    <row r="68" spans="3:22" x14ac:dyDescent="0.25">
      <c r="C68" s="618" t="s">
        <v>76</v>
      </c>
      <c r="D68" s="611">
        <v>0</v>
      </c>
      <c r="E68" s="611">
        <v>0</v>
      </c>
      <c r="F68" s="611">
        <v>0</v>
      </c>
      <c r="G68" s="611">
        <v>0</v>
      </c>
      <c r="H68" s="611">
        <v>1.0508214280770161</v>
      </c>
      <c r="I68" s="611">
        <v>0</v>
      </c>
      <c r="J68" s="611">
        <v>0</v>
      </c>
      <c r="K68" s="611">
        <v>0</v>
      </c>
      <c r="L68" s="611">
        <v>0</v>
      </c>
      <c r="M68" s="611">
        <v>0</v>
      </c>
      <c r="N68" s="611">
        <v>0</v>
      </c>
      <c r="O68" s="611">
        <v>0.85976298660846773</v>
      </c>
      <c r="P68" s="611">
        <v>0</v>
      </c>
      <c r="Q68" s="611">
        <v>0</v>
      </c>
      <c r="R68" s="611">
        <v>60.605480102995763</v>
      </c>
      <c r="S68" s="611">
        <v>5.3274820450671472</v>
      </c>
      <c r="T68" s="611">
        <v>0</v>
      </c>
      <c r="U68" s="619">
        <v>67.843546562748386</v>
      </c>
      <c r="V68" s="51"/>
    </row>
    <row r="69" spans="3:22" x14ac:dyDescent="0.25">
      <c r="C69" s="614" t="s">
        <v>77</v>
      </c>
      <c r="D69" s="615">
        <v>10.5576943359375</v>
      </c>
      <c r="E69" s="615">
        <v>239.69119414034884</v>
      </c>
      <c r="F69" s="615">
        <v>-225.99389771989621</v>
      </c>
      <c r="G69" s="615">
        <v>-17.665386413709186</v>
      </c>
      <c r="H69" s="615">
        <v>12.13044112898603</v>
      </c>
      <c r="I69" s="615">
        <v>-3.6084739343150005</v>
      </c>
      <c r="J69" s="615">
        <v>1175.1327636363635</v>
      </c>
      <c r="K69" s="615">
        <v>409.44348403288171</v>
      </c>
      <c r="L69" s="615">
        <v>390.76047445811753</v>
      </c>
      <c r="M69" s="615">
        <v>14.899953828058331</v>
      </c>
      <c r="N69" s="615">
        <v>-127.05257554294144</v>
      </c>
      <c r="O69" s="615">
        <v>-72.630113662191249</v>
      </c>
      <c r="P69" s="615">
        <v>0</v>
      </c>
      <c r="Q69" s="615">
        <v>17.355956724061617</v>
      </c>
      <c r="R69" s="615">
        <v>-600.83776452722009</v>
      </c>
      <c r="S69" s="615">
        <v>-63.362364361854269</v>
      </c>
      <c r="T69" s="615">
        <v>-48.991084245125428</v>
      </c>
      <c r="U69" s="615">
        <v>1109.8303018775021</v>
      </c>
      <c r="V69" s="51"/>
    </row>
    <row r="70" spans="3:22" x14ac:dyDescent="0.25">
      <c r="C70" s="616"/>
      <c r="D70" s="617"/>
      <c r="E70" s="617"/>
      <c r="F70" s="617"/>
      <c r="G70" s="617"/>
      <c r="H70" s="623"/>
      <c r="I70" s="617"/>
      <c r="J70" s="617"/>
      <c r="K70" s="617"/>
      <c r="L70" s="617"/>
      <c r="M70" s="617"/>
      <c r="N70" s="617"/>
      <c r="O70" s="617"/>
      <c r="P70" s="617"/>
      <c r="Q70" s="617"/>
      <c r="R70" s="617"/>
      <c r="S70" s="617"/>
      <c r="T70" s="617"/>
      <c r="U70" s="617"/>
      <c r="V70" s="51"/>
    </row>
    <row r="71" spans="3:22" x14ac:dyDescent="0.25">
      <c r="C71" s="618" t="s">
        <v>78</v>
      </c>
      <c r="D71" s="611">
        <v>2.7829395451988024</v>
      </c>
      <c r="E71" s="611">
        <v>0</v>
      </c>
      <c r="F71" s="611">
        <v>5.9508631597557615</v>
      </c>
      <c r="G71" s="611">
        <v>0</v>
      </c>
      <c r="H71" s="611">
        <v>39.502554352900951</v>
      </c>
      <c r="I71" s="611">
        <v>0</v>
      </c>
      <c r="J71" s="611">
        <v>0</v>
      </c>
      <c r="K71" s="611">
        <v>0</v>
      </c>
      <c r="L71" s="611">
        <v>22.312304964799452</v>
      </c>
      <c r="M71" s="611">
        <v>6.9877021638277412</v>
      </c>
      <c r="N71" s="611">
        <v>2.0803229791147206</v>
      </c>
      <c r="O71" s="611">
        <v>32.358934550865669</v>
      </c>
      <c r="P71" s="611">
        <v>13.3040771484375</v>
      </c>
      <c r="Q71" s="611">
        <v>7.8820466826144567E-4</v>
      </c>
      <c r="R71" s="611">
        <v>173.89525275416003</v>
      </c>
      <c r="S71" s="611">
        <v>20.634753208520429</v>
      </c>
      <c r="T71" s="611">
        <v>9.0650810546875</v>
      </c>
      <c r="U71" s="619">
        <v>328.87557408693681</v>
      </c>
      <c r="V71" s="51"/>
    </row>
    <row r="72" spans="3:22" x14ac:dyDescent="0.25">
      <c r="C72" s="618" t="s">
        <v>79</v>
      </c>
      <c r="D72" s="611">
        <v>0</v>
      </c>
      <c r="E72" s="611">
        <v>0</v>
      </c>
      <c r="F72" s="611">
        <v>66.70797411064288</v>
      </c>
      <c r="G72" s="611">
        <v>1.4882117515392765</v>
      </c>
      <c r="H72" s="611">
        <v>4.2678947974839696</v>
      </c>
      <c r="I72" s="611">
        <v>0</v>
      </c>
      <c r="J72" s="611">
        <v>0</v>
      </c>
      <c r="K72" s="611">
        <v>0</v>
      </c>
      <c r="L72" s="611">
        <v>0</v>
      </c>
      <c r="M72" s="611">
        <v>0</v>
      </c>
      <c r="N72" s="611">
        <v>73.593483349125535</v>
      </c>
      <c r="O72" s="611">
        <v>3.4919139252141571</v>
      </c>
      <c r="P72" s="611">
        <v>0</v>
      </c>
      <c r="Q72" s="611">
        <v>0</v>
      </c>
      <c r="R72" s="611">
        <v>93.510067312183125</v>
      </c>
      <c r="S72" s="611">
        <v>0</v>
      </c>
      <c r="T72" s="611">
        <v>4.8685919891456626</v>
      </c>
      <c r="U72" s="619">
        <v>247.92813723533465</v>
      </c>
      <c r="V72" s="51"/>
    </row>
    <row r="73" spans="3:22" x14ac:dyDescent="0.25">
      <c r="C73" s="618" t="s">
        <v>80</v>
      </c>
      <c r="D73" s="611">
        <v>0</v>
      </c>
      <c r="E73" s="611">
        <v>0</v>
      </c>
      <c r="F73" s="611">
        <v>0.70989784165710235</v>
      </c>
      <c r="G73" s="611">
        <v>0</v>
      </c>
      <c r="H73" s="611">
        <v>19.424181377554081</v>
      </c>
      <c r="I73" s="611">
        <v>0</v>
      </c>
      <c r="J73" s="611">
        <v>0</v>
      </c>
      <c r="K73" s="611">
        <v>0</v>
      </c>
      <c r="L73" s="611">
        <v>42.672719714557346</v>
      </c>
      <c r="M73" s="611">
        <v>0</v>
      </c>
      <c r="N73" s="611">
        <v>0</v>
      </c>
      <c r="O73" s="611">
        <v>15.89251203618061</v>
      </c>
      <c r="P73" s="611">
        <v>97.294965653266104</v>
      </c>
      <c r="Q73" s="611">
        <v>2.7285855468891569</v>
      </c>
      <c r="R73" s="611">
        <v>153.62760172238077</v>
      </c>
      <c r="S73" s="611">
        <v>23.742467864871486</v>
      </c>
      <c r="T73" s="611">
        <v>0</v>
      </c>
      <c r="U73" s="619">
        <v>356.09293175735661</v>
      </c>
      <c r="V73" s="51"/>
    </row>
    <row r="74" spans="3:22" x14ac:dyDescent="0.25">
      <c r="C74" s="618" t="s">
        <v>81</v>
      </c>
      <c r="D74" s="611">
        <v>0</v>
      </c>
      <c r="E74" s="611">
        <v>0</v>
      </c>
      <c r="F74" s="611">
        <v>0.74292942782649596</v>
      </c>
      <c r="G74" s="611">
        <v>0</v>
      </c>
      <c r="H74" s="611">
        <v>12.370805829410971</v>
      </c>
      <c r="I74" s="611">
        <v>0</v>
      </c>
      <c r="J74" s="611">
        <v>0</v>
      </c>
      <c r="K74" s="611">
        <v>0</v>
      </c>
      <c r="L74" s="611">
        <v>0.54085293774126075</v>
      </c>
      <c r="M74" s="611">
        <v>0</v>
      </c>
      <c r="N74" s="611">
        <v>0</v>
      </c>
      <c r="O74" s="611">
        <v>10.121568405881703</v>
      </c>
      <c r="P74" s="611">
        <v>46.022009309639856</v>
      </c>
      <c r="Q74" s="611">
        <v>3.1511646453296667</v>
      </c>
      <c r="R74" s="611">
        <v>116.64209363039593</v>
      </c>
      <c r="S74" s="611">
        <v>18.985143288462343</v>
      </c>
      <c r="T74" s="611">
        <v>0</v>
      </c>
      <c r="U74" s="619">
        <v>208.57656747468823</v>
      </c>
      <c r="V74" s="51"/>
    </row>
    <row r="75" spans="3:22" x14ac:dyDescent="0.25">
      <c r="C75" s="618" t="s">
        <v>82</v>
      </c>
      <c r="D75" s="611">
        <v>0</v>
      </c>
      <c r="E75" s="611">
        <v>0</v>
      </c>
      <c r="F75" s="611">
        <v>11.703228817007544</v>
      </c>
      <c r="G75" s="611">
        <v>0</v>
      </c>
      <c r="H75" s="611">
        <v>0.92339628149237685</v>
      </c>
      <c r="I75" s="611">
        <v>0</v>
      </c>
      <c r="J75" s="611">
        <v>0</v>
      </c>
      <c r="K75" s="611">
        <v>0</v>
      </c>
      <c r="L75" s="611">
        <v>3.1309341562664299</v>
      </c>
      <c r="M75" s="611">
        <v>0</v>
      </c>
      <c r="N75" s="611">
        <v>14.856440343671846</v>
      </c>
      <c r="O75" s="611">
        <v>0.75550604849376291</v>
      </c>
      <c r="P75" s="611">
        <v>1</v>
      </c>
      <c r="Q75" s="611">
        <v>1.300620381405156</v>
      </c>
      <c r="R75" s="611">
        <v>6.8949646200608239</v>
      </c>
      <c r="S75" s="611">
        <v>0</v>
      </c>
      <c r="T75" s="611">
        <v>0.51648303978038701</v>
      </c>
      <c r="U75" s="619">
        <v>41.081573688178324</v>
      </c>
      <c r="V75" s="51"/>
    </row>
    <row r="76" spans="3:22" x14ac:dyDescent="0.25">
      <c r="C76" s="618" t="s">
        <v>354</v>
      </c>
      <c r="D76" s="611">
        <v>0</v>
      </c>
      <c r="E76" s="611">
        <v>0</v>
      </c>
      <c r="F76" s="611">
        <v>0</v>
      </c>
      <c r="G76" s="611">
        <v>0</v>
      </c>
      <c r="H76" s="611">
        <v>0</v>
      </c>
      <c r="I76" s="611">
        <v>0</v>
      </c>
      <c r="J76" s="611">
        <v>0</v>
      </c>
      <c r="K76" s="611">
        <v>0</v>
      </c>
      <c r="L76" s="611">
        <v>0</v>
      </c>
      <c r="M76" s="611">
        <v>0</v>
      </c>
      <c r="N76" s="611">
        <v>0</v>
      </c>
      <c r="O76" s="611">
        <v>0</v>
      </c>
      <c r="P76" s="611">
        <v>0</v>
      </c>
      <c r="Q76" s="611">
        <v>0</v>
      </c>
      <c r="R76" s="611">
        <v>3.2585999999999999</v>
      </c>
      <c r="S76" s="611">
        <v>0</v>
      </c>
      <c r="T76" s="611">
        <v>0</v>
      </c>
      <c r="U76" s="619">
        <v>3.2585999999999999</v>
      </c>
      <c r="V76" s="51"/>
    </row>
    <row r="77" spans="3:22" x14ac:dyDescent="0.25">
      <c r="C77" s="614" t="s">
        <v>83</v>
      </c>
      <c r="D77" s="615">
        <v>2.7829395451988024</v>
      </c>
      <c r="E77" s="615">
        <v>0</v>
      </c>
      <c r="F77" s="615">
        <v>85.814893356889769</v>
      </c>
      <c r="G77" s="615">
        <v>1.4882117515392765</v>
      </c>
      <c r="H77" s="615">
        <v>76.488832638842339</v>
      </c>
      <c r="I77" s="615">
        <v>0</v>
      </c>
      <c r="J77" s="615">
        <v>0</v>
      </c>
      <c r="K77" s="615">
        <v>0</v>
      </c>
      <c r="L77" s="615">
        <v>68.656811773364495</v>
      </c>
      <c r="M77" s="615">
        <v>6.9877021638277412</v>
      </c>
      <c r="N77" s="615">
        <v>90.53024667191211</v>
      </c>
      <c r="O77" s="615">
        <v>62.620434966635905</v>
      </c>
      <c r="P77" s="615">
        <v>157.62105211134346</v>
      </c>
      <c r="Q77" s="615">
        <v>7.1811587782922404</v>
      </c>
      <c r="R77" s="615">
        <v>547.82858003918068</v>
      </c>
      <c r="S77" s="615">
        <v>63.362364361854262</v>
      </c>
      <c r="T77" s="615">
        <v>14.45015608361355</v>
      </c>
      <c r="U77" s="615">
        <v>1185.8133842424947</v>
      </c>
      <c r="V77" s="51"/>
    </row>
    <row r="78" spans="3:22" x14ac:dyDescent="0.25">
      <c r="C78" s="610" t="s">
        <v>84</v>
      </c>
      <c r="D78" s="611">
        <v>0</v>
      </c>
      <c r="E78" s="611">
        <v>0</v>
      </c>
      <c r="F78" s="611">
        <v>83.18009003150803</v>
      </c>
      <c r="G78" s="611">
        <v>2.1194598778069409</v>
      </c>
      <c r="H78" s="611">
        <v>8.9820116802829233</v>
      </c>
      <c r="I78" s="611">
        <v>0</v>
      </c>
      <c r="J78" s="611">
        <v>0</v>
      </c>
      <c r="K78" s="611">
        <v>0</v>
      </c>
      <c r="L78" s="611">
        <v>0.34435996988737483</v>
      </c>
      <c r="M78" s="611">
        <v>0</v>
      </c>
      <c r="N78" s="611">
        <v>26.994386078959611</v>
      </c>
      <c r="O78" s="611">
        <v>7.771086156633026</v>
      </c>
      <c r="P78" s="611">
        <v>0</v>
      </c>
      <c r="Q78" s="611">
        <v>0</v>
      </c>
      <c r="R78" s="611">
        <v>0</v>
      </c>
      <c r="S78" s="611">
        <v>0</v>
      </c>
      <c r="T78" s="611">
        <v>30.755676878666431</v>
      </c>
      <c r="U78" s="619">
        <v>160.14707067374434</v>
      </c>
      <c r="V78" s="51"/>
    </row>
    <row r="79" spans="3:22" x14ac:dyDescent="0.25">
      <c r="C79" s="614" t="s">
        <v>85</v>
      </c>
      <c r="D79" s="615">
        <v>2.7829395451988024</v>
      </c>
      <c r="E79" s="615">
        <v>0</v>
      </c>
      <c r="F79" s="615">
        <v>168.9949833883978</v>
      </c>
      <c r="G79" s="615">
        <v>3.6076716293462177</v>
      </c>
      <c r="H79" s="615">
        <v>85.470844319125263</v>
      </c>
      <c r="I79" s="615">
        <v>0</v>
      </c>
      <c r="J79" s="615">
        <v>0</v>
      </c>
      <c r="K79" s="615">
        <v>0</v>
      </c>
      <c r="L79" s="615">
        <v>69.001171743251874</v>
      </c>
      <c r="M79" s="615">
        <v>6.9877021638277412</v>
      </c>
      <c r="N79" s="615">
        <v>117.52463275087172</v>
      </c>
      <c r="O79" s="615">
        <v>70.39152112326893</v>
      </c>
      <c r="P79" s="615">
        <v>157.62105211134346</v>
      </c>
      <c r="Q79" s="615">
        <v>7.1811587782922404</v>
      </c>
      <c r="R79" s="615">
        <v>547.82858003918068</v>
      </c>
      <c r="S79" s="615">
        <v>63.362364361854262</v>
      </c>
      <c r="T79" s="615">
        <v>45.205832962279985</v>
      </c>
      <c r="U79" s="615">
        <v>1345.9604549162391</v>
      </c>
      <c r="V79" s="51"/>
    </row>
    <row r="80" spans="3:22" x14ac:dyDescent="0.25">
      <c r="C80" s="51"/>
      <c r="D80" s="67">
        <v>0</v>
      </c>
      <c r="E80" s="67">
        <v>0</v>
      </c>
      <c r="F80" s="67">
        <v>0</v>
      </c>
      <c r="G80" s="67">
        <v>0</v>
      </c>
      <c r="H80" s="67">
        <v>0</v>
      </c>
      <c r="I80" s="67">
        <v>0</v>
      </c>
      <c r="J80" s="67">
        <v>0</v>
      </c>
      <c r="K80" s="67">
        <v>0</v>
      </c>
      <c r="L80" s="67">
        <v>0</v>
      </c>
      <c r="M80" s="67">
        <v>-4.0121337499243737E-4</v>
      </c>
      <c r="N80" s="67">
        <v>0</v>
      </c>
      <c r="O80" s="67">
        <v>1.1102230246251565E-14</v>
      </c>
      <c r="P80" s="67">
        <v>0</v>
      </c>
      <c r="Q80" s="67">
        <v>0</v>
      </c>
      <c r="R80" s="67">
        <v>1.1368683772161603E-13</v>
      </c>
      <c r="S80" s="67">
        <v>-7.1054273576010019E-15</v>
      </c>
      <c r="T80" s="67">
        <v>9.7699626167013776E-15</v>
      </c>
      <c r="U80" s="67">
        <v>-4.0121337542586843E-4</v>
      </c>
      <c r="V80" s="51"/>
    </row>
    <row r="81" spans="3:22" x14ac:dyDescent="0.25">
      <c r="C81" s="51"/>
      <c r="D81" s="51"/>
      <c r="E81" s="51"/>
      <c r="F81" s="51"/>
      <c r="G81" s="67"/>
      <c r="H81" s="51"/>
      <c r="I81" s="51"/>
      <c r="J81" s="51"/>
      <c r="K81" s="51"/>
      <c r="L81" s="51"/>
      <c r="M81" s="51"/>
      <c r="N81" s="51"/>
      <c r="O81" s="51"/>
      <c r="P81" s="51"/>
      <c r="Q81" s="51"/>
      <c r="R81" s="51"/>
      <c r="S81" s="51"/>
      <c r="T81" s="51"/>
      <c r="U81" s="51"/>
      <c r="V81" s="51"/>
    </row>
    <row r="82" spans="3:22" x14ac:dyDescent="0.25">
      <c r="C82" s="607" t="s">
        <v>518</v>
      </c>
      <c r="D82" s="606"/>
      <c r="E82" s="606"/>
      <c r="F82" s="606"/>
      <c r="G82" s="682"/>
      <c r="H82" s="606"/>
      <c r="I82" s="606"/>
      <c r="J82" s="606"/>
      <c r="K82" s="606"/>
      <c r="L82" s="606"/>
      <c r="M82" s="606"/>
      <c r="N82" s="606"/>
      <c r="O82" s="606"/>
      <c r="P82" s="606"/>
      <c r="Q82" s="606"/>
      <c r="R82" s="606"/>
      <c r="S82" s="606"/>
      <c r="T82" s="606"/>
      <c r="U82" s="606"/>
      <c r="V82" s="606"/>
    </row>
    <row r="83" spans="3:22" x14ac:dyDescent="0.25">
      <c r="C83" s="51"/>
      <c r="D83" s="51"/>
      <c r="E83" s="51"/>
      <c r="F83" s="51"/>
      <c r="G83" s="67"/>
      <c r="H83" s="51"/>
      <c r="I83" s="51"/>
      <c r="J83" s="51"/>
      <c r="K83" s="51"/>
      <c r="L83" s="51"/>
      <c r="M83" s="51"/>
      <c r="N83" s="51"/>
      <c r="O83" s="51"/>
      <c r="P83" s="51"/>
      <c r="Q83" s="51"/>
      <c r="R83" s="51"/>
      <c r="S83" s="51"/>
      <c r="T83" s="51"/>
      <c r="U83" s="51"/>
      <c r="V83" s="51"/>
    </row>
    <row r="84" spans="3:22" x14ac:dyDescent="0.25">
      <c r="C84" s="764" t="s">
        <v>128</v>
      </c>
      <c r="D84" s="753" t="s">
        <v>42</v>
      </c>
      <c r="E84" s="753" t="s">
        <v>52</v>
      </c>
      <c r="F84" s="753" t="s">
        <v>53</v>
      </c>
      <c r="G84" s="766" t="s">
        <v>482</v>
      </c>
      <c r="H84" s="753" t="s">
        <v>32</v>
      </c>
      <c r="I84" s="753" t="s">
        <v>483</v>
      </c>
      <c r="J84" s="753" t="s">
        <v>20</v>
      </c>
      <c r="K84" s="753" t="s">
        <v>55</v>
      </c>
      <c r="L84" s="761" t="s">
        <v>56</v>
      </c>
      <c r="M84" s="762"/>
      <c r="N84" s="762"/>
      <c r="O84" s="762"/>
      <c r="P84" s="762"/>
      <c r="Q84" s="763"/>
      <c r="R84" s="753" t="s">
        <v>57</v>
      </c>
      <c r="S84" s="753" t="s">
        <v>58</v>
      </c>
      <c r="T84" s="753" t="s">
        <v>31</v>
      </c>
      <c r="U84" s="753" t="s">
        <v>10</v>
      </c>
      <c r="V84" s="51"/>
    </row>
    <row r="85" spans="3:22" ht="36" x14ac:dyDescent="0.25">
      <c r="C85" s="765"/>
      <c r="D85" s="754"/>
      <c r="E85" s="754"/>
      <c r="F85" s="754"/>
      <c r="G85" s="767"/>
      <c r="H85" s="754"/>
      <c r="I85" s="754"/>
      <c r="J85" s="754"/>
      <c r="K85" s="754"/>
      <c r="L85" s="608" t="s">
        <v>335</v>
      </c>
      <c r="M85" s="608" t="s">
        <v>40</v>
      </c>
      <c r="N85" s="608" t="s">
        <v>343</v>
      </c>
      <c r="O85" s="608" t="s">
        <v>344</v>
      </c>
      <c r="P85" s="609" t="s">
        <v>345</v>
      </c>
      <c r="Q85" s="608" t="s">
        <v>346</v>
      </c>
      <c r="R85" s="754"/>
      <c r="S85" s="754"/>
      <c r="T85" s="754"/>
      <c r="U85" s="754"/>
      <c r="V85" s="51"/>
    </row>
    <row r="86" spans="3:22" x14ac:dyDescent="0.25">
      <c r="C86" s="610" t="s">
        <v>59</v>
      </c>
      <c r="D86" s="611">
        <v>0</v>
      </c>
      <c r="E86" s="611">
        <v>0</v>
      </c>
      <c r="F86" s="611">
        <v>0</v>
      </c>
      <c r="G86" s="611">
        <v>0</v>
      </c>
      <c r="H86" s="611">
        <v>0</v>
      </c>
      <c r="I86" s="611">
        <v>0</v>
      </c>
      <c r="J86" s="612">
        <v>1052.7157454545454</v>
      </c>
      <c r="K86" s="612">
        <v>465.75813055383361</v>
      </c>
      <c r="L86" s="612">
        <v>458.29162667613781</v>
      </c>
      <c r="M86" s="612">
        <v>21.28454284594844</v>
      </c>
      <c r="N86" s="611">
        <v>1.638642873490971</v>
      </c>
      <c r="O86" s="611">
        <v>0.1692153726460352</v>
      </c>
      <c r="P86" s="612">
        <v>165.69992491801096</v>
      </c>
      <c r="Q86" s="612">
        <v>25.254108394560834</v>
      </c>
      <c r="R86" s="611">
        <v>0</v>
      </c>
      <c r="S86" s="611">
        <v>0</v>
      </c>
      <c r="T86" s="611">
        <v>0</v>
      </c>
      <c r="U86" s="613">
        <v>2190.8119370891736</v>
      </c>
      <c r="V86" s="51"/>
    </row>
    <row r="87" spans="3:22" x14ac:dyDescent="0.25">
      <c r="C87" s="610" t="s">
        <v>60</v>
      </c>
      <c r="D87" s="611">
        <v>6.0767583671953336</v>
      </c>
      <c r="E87" s="611">
        <v>189.53853209341332</v>
      </c>
      <c r="F87" s="611">
        <v>3.6404081450569747</v>
      </c>
      <c r="G87" s="611">
        <v>0</v>
      </c>
      <c r="H87" s="611">
        <v>70.464271488338852</v>
      </c>
      <c r="I87" s="611">
        <v>0</v>
      </c>
      <c r="J87" s="611">
        <v>0</v>
      </c>
      <c r="K87" s="611">
        <v>0</v>
      </c>
      <c r="L87" s="611">
        <v>4.5400000946661896</v>
      </c>
      <c r="M87" s="611">
        <v>0</v>
      </c>
      <c r="N87" s="611">
        <v>5.926124897298644</v>
      </c>
      <c r="O87" s="611">
        <v>0</v>
      </c>
      <c r="P87" s="611">
        <v>0</v>
      </c>
      <c r="Q87" s="611">
        <v>0</v>
      </c>
      <c r="R87" s="611">
        <v>0</v>
      </c>
      <c r="S87" s="611">
        <v>0</v>
      </c>
      <c r="T87" s="611">
        <v>0</v>
      </c>
      <c r="U87" s="613">
        <v>280.18609508596927</v>
      </c>
      <c r="V87" s="51"/>
    </row>
    <row r="88" spans="3:22" x14ac:dyDescent="0.25">
      <c r="C88" s="610" t="s">
        <v>61</v>
      </c>
      <c r="D88" s="611">
        <v>0</v>
      </c>
      <c r="E88" s="611">
        <v>0</v>
      </c>
      <c r="F88" s="611">
        <v>-34.688318370921742</v>
      </c>
      <c r="G88" s="611">
        <v>-5.1567908130260314</v>
      </c>
      <c r="H88" s="611">
        <v>0</v>
      </c>
      <c r="I88" s="611">
        <v>0</v>
      </c>
      <c r="J88" s="611">
        <v>0</v>
      </c>
      <c r="K88" s="611">
        <v>0</v>
      </c>
      <c r="L88" s="611">
        <v>0</v>
      </c>
      <c r="M88" s="611">
        <v>0</v>
      </c>
      <c r="N88" s="611">
        <v>0</v>
      </c>
      <c r="O88" s="611">
        <v>0</v>
      </c>
      <c r="P88" s="611">
        <v>0</v>
      </c>
      <c r="Q88" s="611">
        <v>0</v>
      </c>
      <c r="R88" s="611">
        <v>-12.796023203874938</v>
      </c>
      <c r="S88" s="611">
        <v>0</v>
      </c>
      <c r="T88" s="611">
        <v>0</v>
      </c>
      <c r="U88" s="613">
        <v>-52.641132387822708</v>
      </c>
      <c r="V88" s="51"/>
    </row>
    <row r="89" spans="3:22" x14ac:dyDescent="0.25">
      <c r="C89" s="610" t="s">
        <v>62</v>
      </c>
      <c r="D89" s="611">
        <v>0</v>
      </c>
      <c r="E89" s="611">
        <v>0</v>
      </c>
      <c r="F89" s="611">
        <v>-3.5615694502361057</v>
      </c>
      <c r="G89" s="611">
        <v>-4.706211381166379</v>
      </c>
      <c r="H89" s="611">
        <v>0</v>
      </c>
      <c r="I89" s="611">
        <v>-3.8584286845410238</v>
      </c>
      <c r="J89" s="611">
        <v>0</v>
      </c>
      <c r="K89" s="611">
        <v>0</v>
      </c>
      <c r="L89" s="611">
        <v>0</v>
      </c>
      <c r="M89" s="611">
        <v>0</v>
      </c>
      <c r="N89" s="611">
        <v>-1.4330438936791221</v>
      </c>
      <c r="O89" s="611">
        <v>-2.5722857896940159</v>
      </c>
      <c r="P89" s="611">
        <v>0</v>
      </c>
      <c r="Q89" s="611">
        <v>0</v>
      </c>
      <c r="R89" s="611">
        <v>0</v>
      </c>
      <c r="S89" s="611">
        <v>0</v>
      </c>
      <c r="T89" s="611">
        <v>-1.5542726935255338</v>
      </c>
      <c r="U89" s="613">
        <v>-17.685811892842178</v>
      </c>
      <c r="V89" s="51"/>
    </row>
    <row r="90" spans="3:22" x14ac:dyDescent="0.25">
      <c r="C90" s="610" t="s">
        <v>63</v>
      </c>
      <c r="D90" s="611">
        <v>0</v>
      </c>
      <c r="E90" s="611">
        <v>0</v>
      </c>
      <c r="F90" s="611">
        <v>-31.271549575274978</v>
      </c>
      <c r="G90" s="611">
        <v>-12.658057837302275</v>
      </c>
      <c r="H90" s="611">
        <v>0</v>
      </c>
      <c r="I90" s="611">
        <v>0</v>
      </c>
      <c r="J90" s="611">
        <v>0</v>
      </c>
      <c r="K90" s="611">
        <v>0</v>
      </c>
      <c r="L90" s="611">
        <v>0</v>
      </c>
      <c r="M90" s="611">
        <v>0</v>
      </c>
      <c r="N90" s="611">
        <v>-15.442835023025614</v>
      </c>
      <c r="O90" s="611">
        <v>0</v>
      </c>
      <c r="P90" s="611">
        <v>0</v>
      </c>
      <c r="Q90" s="611">
        <v>0</v>
      </c>
      <c r="R90" s="611">
        <v>0</v>
      </c>
      <c r="S90" s="611">
        <v>0</v>
      </c>
      <c r="T90" s="611">
        <v>-4.141098204696295</v>
      </c>
      <c r="U90" s="613">
        <v>-63.513540640299169</v>
      </c>
      <c r="V90" s="51"/>
    </row>
    <row r="91" spans="3:22" x14ac:dyDescent="0.25">
      <c r="C91" s="610" t="s">
        <v>64</v>
      </c>
      <c r="D91" s="611">
        <v>0</v>
      </c>
      <c r="E91" s="611">
        <v>0</v>
      </c>
      <c r="F91" s="611">
        <v>0</v>
      </c>
      <c r="G91" s="611">
        <v>0</v>
      </c>
      <c r="H91" s="611">
        <v>0</v>
      </c>
      <c r="I91" s="611">
        <v>0</v>
      </c>
      <c r="J91" s="611">
        <v>0</v>
      </c>
      <c r="K91" s="611">
        <v>0</v>
      </c>
      <c r="L91" s="611">
        <v>0</v>
      </c>
      <c r="M91" s="611">
        <v>0</v>
      </c>
      <c r="N91" s="611">
        <v>0</v>
      </c>
      <c r="O91" s="611">
        <v>0</v>
      </c>
      <c r="P91" s="611">
        <v>0</v>
      </c>
      <c r="Q91" s="611">
        <v>0</v>
      </c>
      <c r="R91" s="611">
        <v>0</v>
      </c>
      <c r="S91" s="611">
        <v>0</v>
      </c>
      <c r="T91" s="611">
        <v>0</v>
      </c>
      <c r="U91" s="613">
        <v>0</v>
      </c>
      <c r="V91" s="51"/>
    </row>
    <row r="92" spans="3:22" x14ac:dyDescent="0.25">
      <c r="C92" s="614" t="s">
        <v>65</v>
      </c>
      <c r="D92" s="615">
        <v>6.0767583671953336</v>
      </c>
      <c r="E92" s="615">
        <v>189.53853209341332</v>
      </c>
      <c r="F92" s="615">
        <v>-65.88102925137585</v>
      </c>
      <c r="G92" s="615">
        <v>-22.521060031494684</v>
      </c>
      <c r="H92" s="615">
        <v>70.464271488338852</v>
      </c>
      <c r="I92" s="615">
        <v>-3.8584286845410238</v>
      </c>
      <c r="J92" s="615">
        <v>1052.7157454545454</v>
      </c>
      <c r="K92" s="615">
        <v>465.75813055383361</v>
      </c>
      <c r="L92" s="615">
        <v>462.83162677080401</v>
      </c>
      <c r="M92" s="615">
        <v>21.28454284594844</v>
      </c>
      <c r="N92" s="615">
        <v>-9.3111111459151203</v>
      </c>
      <c r="O92" s="615">
        <v>-2.4030704170479806</v>
      </c>
      <c r="P92" s="615">
        <v>165.69992491801096</v>
      </c>
      <c r="Q92" s="615">
        <v>25.254108394560834</v>
      </c>
      <c r="R92" s="615">
        <v>-12.796023203874938</v>
      </c>
      <c r="S92" s="615">
        <v>0</v>
      </c>
      <c r="T92" s="615">
        <v>-5.695370898221829</v>
      </c>
      <c r="U92" s="615">
        <v>2337.1575472541786</v>
      </c>
      <c r="V92" s="51"/>
    </row>
    <row r="93" spans="3:22" x14ac:dyDescent="0.25">
      <c r="C93" s="616"/>
      <c r="D93" s="617"/>
      <c r="E93" s="617"/>
      <c r="F93" s="617"/>
      <c r="G93" s="617"/>
      <c r="H93" s="623"/>
      <c r="I93" s="617"/>
      <c r="J93" s="617"/>
      <c r="K93" s="617"/>
      <c r="L93" s="617"/>
      <c r="M93" s="617"/>
      <c r="N93" s="617"/>
      <c r="O93" s="617"/>
      <c r="P93" s="617"/>
      <c r="Q93" s="617"/>
      <c r="R93" s="617"/>
      <c r="S93" s="617"/>
      <c r="T93" s="617"/>
      <c r="U93" s="617"/>
      <c r="V93" s="51"/>
    </row>
    <row r="94" spans="3:22" x14ac:dyDescent="0.25">
      <c r="C94" s="618" t="s">
        <v>67</v>
      </c>
      <c r="D94" s="611">
        <v>0</v>
      </c>
      <c r="E94" s="611">
        <v>0</v>
      </c>
      <c r="F94" s="611">
        <v>0</v>
      </c>
      <c r="G94" s="611">
        <v>0</v>
      </c>
      <c r="H94" s="611">
        <v>0</v>
      </c>
      <c r="I94" s="611">
        <v>0</v>
      </c>
      <c r="J94" s="611">
        <v>0</v>
      </c>
      <c r="K94" s="611">
        <v>0</v>
      </c>
      <c r="L94" s="611">
        <v>0</v>
      </c>
      <c r="M94" s="611">
        <v>0</v>
      </c>
      <c r="N94" s="611">
        <v>0</v>
      </c>
      <c r="O94" s="611">
        <v>0</v>
      </c>
      <c r="P94" s="611">
        <v>0</v>
      </c>
      <c r="Q94" s="611">
        <v>0</v>
      </c>
      <c r="R94" s="611">
        <v>0</v>
      </c>
      <c r="S94" s="611">
        <v>0</v>
      </c>
      <c r="T94" s="611">
        <v>0</v>
      </c>
      <c r="U94" s="619">
        <v>0</v>
      </c>
      <c r="V94" s="51"/>
    </row>
    <row r="95" spans="3:22" x14ac:dyDescent="0.25">
      <c r="C95" s="618" t="s">
        <v>347</v>
      </c>
      <c r="D95" s="611">
        <v>0</v>
      </c>
      <c r="E95" s="611">
        <v>0</v>
      </c>
      <c r="F95" s="611">
        <v>2.6460781360013397E-2</v>
      </c>
      <c r="G95" s="611">
        <v>0</v>
      </c>
      <c r="H95" s="611">
        <v>0.60214660944206022</v>
      </c>
      <c r="I95" s="611">
        <v>0</v>
      </c>
      <c r="J95" s="611">
        <v>1052.7157454545454</v>
      </c>
      <c r="K95" s="611">
        <v>465.75813055383361</v>
      </c>
      <c r="L95" s="611">
        <v>22.779216201567415</v>
      </c>
      <c r="M95" s="611">
        <v>0.6151276496340945</v>
      </c>
      <c r="N95" s="611">
        <v>6.0578717375904887</v>
      </c>
      <c r="O95" s="611">
        <v>1.0172956568090692</v>
      </c>
      <c r="P95" s="611">
        <v>0</v>
      </c>
      <c r="Q95" s="611">
        <v>6.4590957564387725</v>
      </c>
      <c r="R95" s="611">
        <v>-864.21525686437747</v>
      </c>
      <c r="S95" s="611">
        <v>0</v>
      </c>
      <c r="T95" s="611">
        <v>4.5921899999999996</v>
      </c>
      <c r="U95" s="619">
        <v>696.40802353684307</v>
      </c>
      <c r="V95" s="51"/>
    </row>
    <row r="96" spans="3:22" x14ac:dyDescent="0.25">
      <c r="C96" s="618" t="s">
        <v>348</v>
      </c>
      <c r="D96" s="611">
        <v>0</v>
      </c>
      <c r="E96" s="611">
        <v>0</v>
      </c>
      <c r="F96" s="611">
        <v>0</v>
      </c>
      <c r="G96" s="611">
        <v>0</v>
      </c>
      <c r="H96" s="611">
        <v>4.7590942657711111</v>
      </c>
      <c r="I96" s="611">
        <v>0</v>
      </c>
      <c r="J96" s="611">
        <v>0</v>
      </c>
      <c r="K96" s="611">
        <v>0</v>
      </c>
      <c r="L96" s="611">
        <v>35.020832419252756</v>
      </c>
      <c r="M96" s="611">
        <v>14.389092995722686</v>
      </c>
      <c r="N96" s="611">
        <v>0</v>
      </c>
      <c r="O96" s="611">
        <v>7.1535057814044487</v>
      </c>
      <c r="P96" s="611">
        <v>0</v>
      </c>
      <c r="Q96" s="611">
        <v>11.121209229272322</v>
      </c>
      <c r="R96" s="611">
        <v>0</v>
      </c>
      <c r="S96" s="611">
        <v>-67.886864446200079</v>
      </c>
      <c r="T96" s="611">
        <v>0</v>
      </c>
      <c r="U96" s="619">
        <v>4.5568702452232372</v>
      </c>
      <c r="V96" s="51"/>
    </row>
    <row r="97" spans="3:22" x14ac:dyDescent="0.25">
      <c r="C97" s="618" t="s">
        <v>349</v>
      </c>
      <c r="D97" s="611">
        <v>0</v>
      </c>
      <c r="E97" s="611">
        <v>0</v>
      </c>
      <c r="F97" s="611">
        <v>0</v>
      </c>
      <c r="G97" s="611">
        <v>0</v>
      </c>
      <c r="H97" s="611">
        <v>0</v>
      </c>
      <c r="I97" s="611">
        <v>0</v>
      </c>
      <c r="J97" s="611">
        <v>0</v>
      </c>
      <c r="K97" s="611">
        <v>0</v>
      </c>
      <c r="L97" s="611">
        <v>98.086794246206622</v>
      </c>
      <c r="M97" s="611">
        <v>0</v>
      </c>
      <c r="N97" s="611">
        <v>0</v>
      </c>
      <c r="O97" s="611">
        <v>-89.52835419130885</v>
      </c>
      <c r="P97" s="611">
        <v>0</v>
      </c>
      <c r="Q97" s="611">
        <v>0</v>
      </c>
      <c r="R97" s="611">
        <v>0</v>
      </c>
      <c r="S97" s="611">
        <v>0</v>
      </c>
      <c r="T97" s="611">
        <v>0</v>
      </c>
      <c r="U97" s="619">
        <v>8.5584400548977726</v>
      </c>
      <c r="V97" s="51"/>
    </row>
    <row r="98" spans="3:22" x14ac:dyDescent="0.25">
      <c r="C98" s="618" t="s">
        <v>350</v>
      </c>
      <c r="D98" s="611">
        <v>0</v>
      </c>
      <c r="E98" s="611">
        <v>0</v>
      </c>
      <c r="F98" s="611">
        <v>0</v>
      </c>
      <c r="G98" s="611">
        <v>0</v>
      </c>
      <c r="H98" s="611">
        <v>0</v>
      </c>
      <c r="I98" s="611">
        <v>-4.6239120861329353</v>
      </c>
      <c r="J98" s="611">
        <v>0</v>
      </c>
      <c r="K98" s="611">
        <v>0</v>
      </c>
      <c r="L98" s="611">
        <v>0</v>
      </c>
      <c r="M98" s="611">
        <v>0</v>
      </c>
      <c r="N98" s="611">
        <v>0</v>
      </c>
      <c r="O98" s="611">
        <v>0</v>
      </c>
      <c r="P98" s="611">
        <v>0</v>
      </c>
      <c r="Q98" s="611">
        <v>0</v>
      </c>
      <c r="R98" s="611">
        <v>0</v>
      </c>
      <c r="S98" s="611">
        <v>0</v>
      </c>
      <c r="T98" s="611">
        <v>6.4247824825814277</v>
      </c>
      <c r="U98" s="619">
        <v>1.8008703964484924</v>
      </c>
      <c r="V98" s="51"/>
    </row>
    <row r="99" spans="3:22" x14ac:dyDescent="0.25">
      <c r="C99" s="618" t="s">
        <v>72</v>
      </c>
      <c r="D99" s="611">
        <v>0</v>
      </c>
      <c r="E99" s="611">
        <v>196.4036879947414</v>
      </c>
      <c r="F99" s="611">
        <v>-194.44562503379805</v>
      </c>
      <c r="G99" s="611">
        <v>0</v>
      </c>
      <c r="H99" s="611">
        <v>0</v>
      </c>
      <c r="I99" s="611">
        <v>0</v>
      </c>
      <c r="J99" s="611">
        <v>0</v>
      </c>
      <c r="K99" s="611">
        <v>0</v>
      </c>
      <c r="L99" s="611">
        <v>0</v>
      </c>
      <c r="M99" s="611">
        <v>0</v>
      </c>
      <c r="N99" s="611">
        <v>0</v>
      </c>
      <c r="O99" s="611">
        <v>0</v>
      </c>
      <c r="P99" s="611">
        <v>0</v>
      </c>
      <c r="Q99" s="611">
        <v>0</v>
      </c>
      <c r="R99" s="611">
        <v>0</v>
      </c>
      <c r="S99" s="611">
        <v>0</v>
      </c>
      <c r="T99" s="611">
        <v>0</v>
      </c>
      <c r="U99" s="619">
        <v>1.9580629609433515</v>
      </c>
      <c r="V99" s="51"/>
    </row>
    <row r="100" spans="3:22" x14ac:dyDescent="0.25">
      <c r="C100" s="618" t="s">
        <v>351</v>
      </c>
      <c r="D100" s="611">
        <v>0</v>
      </c>
      <c r="E100" s="611">
        <v>0</v>
      </c>
      <c r="F100" s="611">
        <v>0</v>
      </c>
      <c r="G100" s="611">
        <v>0</v>
      </c>
      <c r="H100" s="611">
        <v>0</v>
      </c>
      <c r="I100" s="611">
        <v>0</v>
      </c>
      <c r="J100" s="611">
        <v>0</v>
      </c>
      <c r="K100" s="611">
        <v>0</v>
      </c>
      <c r="L100" s="611">
        <v>241.36175808721262</v>
      </c>
      <c r="M100" s="611">
        <v>0</v>
      </c>
      <c r="N100" s="611">
        <v>-132.74896694796695</v>
      </c>
      <c r="O100" s="611">
        <v>0</v>
      </c>
      <c r="P100" s="611">
        <v>0</v>
      </c>
      <c r="Q100" s="611">
        <v>0</v>
      </c>
      <c r="R100" s="611">
        <v>0</v>
      </c>
      <c r="S100" s="611">
        <v>0</v>
      </c>
      <c r="T100" s="611">
        <v>0</v>
      </c>
      <c r="U100" s="619">
        <v>108.61279113924567</v>
      </c>
      <c r="V100" s="51"/>
    </row>
    <row r="101" spans="3:22" x14ac:dyDescent="0.25">
      <c r="C101" s="618" t="s">
        <v>352</v>
      </c>
      <c r="D101" s="611">
        <v>0</v>
      </c>
      <c r="E101" s="611">
        <v>0</v>
      </c>
      <c r="F101" s="611">
        <v>0</v>
      </c>
      <c r="G101" s="611">
        <v>-27.150443830477386</v>
      </c>
      <c r="H101" s="611">
        <v>0</v>
      </c>
      <c r="I101" s="611">
        <v>0</v>
      </c>
      <c r="J101" s="611">
        <v>0</v>
      </c>
      <c r="K101" s="611">
        <v>0</v>
      </c>
      <c r="L101" s="611">
        <v>0</v>
      </c>
      <c r="M101" s="611">
        <v>0</v>
      </c>
      <c r="N101" s="611">
        <v>0</v>
      </c>
      <c r="O101" s="611">
        <v>0</v>
      </c>
      <c r="P101" s="611">
        <v>0</v>
      </c>
      <c r="Q101" s="611">
        <v>0</v>
      </c>
      <c r="R101" s="611">
        <v>0</v>
      </c>
      <c r="S101" s="611">
        <v>0</v>
      </c>
      <c r="T101" s="611">
        <v>35.330371623276704</v>
      </c>
      <c r="U101" s="619">
        <v>8.1799277927993188</v>
      </c>
      <c r="V101" s="51"/>
    </row>
    <row r="102" spans="3:22" x14ac:dyDescent="0.25">
      <c r="C102" s="618" t="s">
        <v>73</v>
      </c>
      <c r="D102" s="611">
        <v>0</v>
      </c>
      <c r="E102" s="611">
        <v>0</v>
      </c>
      <c r="F102" s="611">
        <v>0</v>
      </c>
      <c r="G102" s="611">
        <v>0</v>
      </c>
      <c r="H102" s="611">
        <v>0</v>
      </c>
      <c r="I102" s="611">
        <v>0</v>
      </c>
      <c r="J102" s="611">
        <v>0</v>
      </c>
      <c r="K102" s="611">
        <v>0</v>
      </c>
      <c r="L102" s="611">
        <v>0</v>
      </c>
      <c r="M102" s="611">
        <v>0</v>
      </c>
      <c r="N102" s="611">
        <v>0</v>
      </c>
      <c r="O102" s="611">
        <v>0</v>
      </c>
      <c r="P102" s="611">
        <v>0</v>
      </c>
      <c r="Q102" s="611">
        <v>0</v>
      </c>
      <c r="R102" s="611">
        <v>159.35334325164439</v>
      </c>
      <c r="S102" s="611">
        <v>0</v>
      </c>
      <c r="T102" s="611">
        <v>-110.83025023151868</v>
      </c>
      <c r="U102" s="619">
        <v>48.523093020125714</v>
      </c>
      <c r="V102" s="51"/>
    </row>
    <row r="103" spans="3:22" x14ac:dyDescent="0.25">
      <c r="C103" s="618" t="s">
        <v>353</v>
      </c>
      <c r="D103" s="611">
        <v>2.8675768359375002</v>
      </c>
      <c r="E103" s="611">
        <v>-6.865155901328059</v>
      </c>
      <c r="F103" s="611">
        <v>8.9495873677013247</v>
      </c>
      <c r="G103" s="611">
        <v>0</v>
      </c>
      <c r="H103" s="611">
        <v>0</v>
      </c>
      <c r="I103" s="611">
        <v>0</v>
      </c>
      <c r="J103" s="611">
        <v>0</v>
      </c>
      <c r="K103" s="611">
        <v>0</v>
      </c>
      <c r="L103" s="611">
        <v>0</v>
      </c>
      <c r="M103" s="611">
        <v>0</v>
      </c>
      <c r="N103" s="611">
        <v>0</v>
      </c>
      <c r="O103" s="611">
        <v>0</v>
      </c>
      <c r="P103" s="611">
        <v>0</v>
      </c>
      <c r="Q103" s="611">
        <v>0</v>
      </c>
      <c r="R103" s="611">
        <v>0</v>
      </c>
      <c r="S103" s="611">
        <v>0</v>
      </c>
      <c r="T103" s="611">
        <v>0</v>
      </c>
      <c r="U103" s="619">
        <v>4.9520083023107659</v>
      </c>
      <c r="V103" s="51"/>
    </row>
    <row r="104" spans="3:22" x14ac:dyDescent="0.25">
      <c r="C104" s="618" t="s">
        <v>75</v>
      </c>
      <c r="D104" s="611">
        <v>1.1151687695312502</v>
      </c>
      <c r="E104" s="611">
        <v>0</v>
      </c>
      <c r="F104" s="611">
        <v>6.7328106776803835</v>
      </c>
      <c r="G104" s="611">
        <v>0</v>
      </c>
      <c r="H104" s="611">
        <v>2.2924587532620087</v>
      </c>
      <c r="I104" s="611">
        <v>3.0296811717119062E-2</v>
      </c>
      <c r="J104" s="611">
        <v>0</v>
      </c>
      <c r="K104" s="611">
        <v>0</v>
      </c>
      <c r="L104" s="611">
        <v>0</v>
      </c>
      <c r="M104" s="611">
        <v>0</v>
      </c>
      <c r="N104" s="611">
        <v>0</v>
      </c>
      <c r="O104" s="611">
        <v>2.7267130545407157</v>
      </c>
      <c r="P104" s="611">
        <v>0</v>
      </c>
      <c r="Q104" s="611">
        <v>0</v>
      </c>
      <c r="R104" s="611">
        <v>65.383687298326777</v>
      </c>
      <c r="S104" s="611">
        <v>0</v>
      </c>
      <c r="T104" s="611">
        <v>0</v>
      </c>
      <c r="U104" s="619">
        <v>78.281135365058248</v>
      </c>
      <c r="V104" s="51"/>
    </row>
    <row r="105" spans="3:22" x14ac:dyDescent="0.25">
      <c r="C105" s="618" t="s">
        <v>76</v>
      </c>
      <c r="D105" s="611">
        <v>0</v>
      </c>
      <c r="E105" s="611">
        <v>0</v>
      </c>
      <c r="F105" s="611">
        <v>0</v>
      </c>
      <c r="G105" s="611">
        <v>0</v>
      </c>
      <c r="H105" s="611">
        <v>0.75897137289116512</v>
      </c>
      <c r="I105" s="611">
        <v>1.0030458672570465E-2</v>
      </c>
      <c r="J105" s="611">
        <v>0</v>
      </c>
      <c r="K105" s="611">
        <v>0</v>
      </c>
      <c r="L105" s="611">
        <v>0</v>
      </c>
      <c r="M105" s="611">
        <v>0</v>
      </c>
      <c r="N105" s="611">
        <v>0</v>
      </c>
      <c r="O105" s="611">
        <v>0.90274128053134184</v>
      </c>
      <c r="P105" s="611">
        <v>0</v>
      </c>
      <c r="Q105" s="611">
        <v>0</v>
      </c>
      <c r="R105" s="611">
        <v>65.177824183593955</v>
      </c>
      <c r="S105" s="611">
        <v>5.2653500556957935</v>
      </c>
      <c r="T105" s="611">
        <v>0</v>
      </c>
      <c r="U105" s="619">
        <v>72.114917351384818</v>
      </c>
      <c r="V105" s="51"/>
    </row>
    <row r="106" spans="3:22" x14ac:dyDescent="0.25">
      <c r="C106" s="614" t="s">
        <v>77</v>
      </c>
      <c r="D106" s="615">
        <v>3.9827456054687502</v>
      </c>
      <c r="E106" s="615">
        <v>189.53853209341335</v>
      </c>
      <c r="F106" s="615">
        <v>-178.73676620705632</v>
      </c>
      <c r="G106" s="615">
        <v>-27.150443830477386</v>
      </c>
      <c r="H106" s="615">
        <v>8.4126710013663466</v>
      </c>
      <c r="I106" s="615">
        <v>-4.5835848157432455</v>
      </c>
      <c r="J106" s="615">
        <v>1052.7157454545454</v>
      </c>
      <c r="K106" s="615">
        <v>465.75813055383361</v>
      </c>
      <c r="L106" s="615">
        <v>397.24860095423941</v>
      </c>
      <c r="M106" s="615">
        <v>15.004220645356781</v>
      </c>
      <c r="N106" s="615">
        <v>-126.69109521037646</v>
      </c>
      <c r="O106" s="615">
        <v>-77.728098418023279</v>
      </c>
      <c r="P106" s="615">
        <v>0</v>
      </c>
      <c r="Q106" s="615">
        <v>17.580304985711095</v>
      </c>
      <c r="R106" s="615">
        <v>-574.30040213081236</v>
      </c>
      <c r="S106" s="615">
        <v>-62.621514390504288</v>
      </c>
      <c r="T106" s="615">
        <v>-64.482906125660548</v>
      </c>
      <c r="U106" s="615">
        <v>1033.9461401652807</v>
      </c>
      <c r="V106" s="51"/>
    </row>
    <row r="107" spans="3:22" x14ac:dyDescent="0.25">
      <c r="C107" s="616"/>
      <c r="D107" s="617"/>
      <c r="E107" s="617"/>
      <c r="F107" s="617"/>
      <c r="G107" s="617"/>
      <c r="H107" s="623"/>
      <c r="I107" s="617"/>
      <c r="J107" s="617"/>
      <c r="K107" s="617"/>
      <c r="L107" s="617"/>
      <c r="M107" s="617"/>
      <c r="N107" s="617"/>
      <c r="O107" s="617"/>
      <c r="P107" s="617"/>
      <c r="Q107" s="617"/>
      <c r="R107" s="617"/>
      <c r="S107" s="617"/>
      <c r="T107" s="617"/>
      <c r="U107" s="617"/>
      <c r="V107" s="51"/>
    </row>
    <row r="108" spans="3:22" x14ac:dyDescent="0.25">
      <c r="C108" s="618" t="s">
        <v>78</v>
      </c>
      <c r="D108" s="611">
        <v>2.0940127617265829</v>
      </c>
      <c r="E108" s="611">
        <v>0</v>
      </c>
      <c r="F108" s="611">
        <v>3.9559881090060012</v>
      </c>
      <c r="G108" s="611">
        <v>0</v>
      </c>
      <c r="H108" s="611">
        <v>29.330369351366478</v>
      </c>
      <c r="I108" s="611">
        <v>0.38762602667004159</v>
      </c>
      <c r="J108" s="611">
        <v>0</v>
      </c>
      <c r="K108" s="611">
        <v>0</v>
      </c>
      <c r="L108" s="611">
        <v>22.502553570699096</v>
      </c>
      <c r="M108" s="611">
        <v>6.2799536188843161</v>
      </c>
      <c r="N108" s="611">
        <v>2.4575263222437633</v>
      </c>
      <c r="O108" s="611">
        <v>34.926617647556021</v>
      </c>
      <c r="P108" s="611">
        <v>15.884769531250001</v>
      </c>
      <c r="Q108" s="611">
        <v>8.2107689234467234E-4</v>
      </c>
      <c r="R108" s="611">
        <v>182.47691843600197</v>
      </c>
      <c r="S108" s="611">
        <v>21.072717059029664</v>
      </c>
      <c r="T108" s="611">
        <v>11.809244140624999</v>
      </c>
      <c r="U108" s="619">
        <v>333.17911765195134</v>
      </c>
      <c r="V108" s="51"/>
    </row>
    <row r="109" spans="3:22" x14ac:dyDescent="0.25">
      <c r="C109" s="618" t="s">
        <v>79</v>
      </c>
      <c r="D109" s="611">
        <v>0</v>
      </c>
      <c r="E109" s="611">
        <v>0</v>
      </c>
      <c r="F109" s="611">
        <v>30.895911025222354</v>
      </c>
      <c r="G109" s="611">
        <v>2.274686269460287</v>
      </c>
      <c r="H109" s="611">
        <v>3.5299320203269446</v>
      </c>
      <c r="I109" s="611">
        <v>4.665108396907857E-2</v>
      </c>
      <c r="J109" s="611">
        <v>0</v>
      </c>
      <c r="K109" s="611">
        <v>0</v>
      </c>
      <c r="L109" s="611">
        <v>0</v>
      </c>
      <c r="M109" s="611">
        <v>0</v>
      </c>
      <c r="N109" s="611">
        <v>63.386114552424544</v>
      </c>
      <c r="O109" s="611">
        <v>4.1985975572170711</v>
      </c>
      <c r="P109" s="611">
        <v>0</v>
      </c>
      <c r="Q109" s="611">
        <v>0</v>
      </c>
      <c r="R109" s="611">
        <v>104.74847060439184</v>
      </c>
      <c r="S109" s="611">
        <v>0</v>
      </c>
      <c r="T109" s="611">
        <v>5.8458763044597228</v>
      </c>
      <c r="U109" s="619">
        <v>214.92623941747186</v>
      </c>
      <c r="V109" s="51"/>
    </row>
    <row r="110" spans="3:22" x14ac:dyDescent="0.25">
      <c r="C110" s="618" t="s">
        <v>80</v>
      </c>
      <c r="D110" s="611">
        <v>0</v>
      </c>
      <c r="E110" s="611">
        <v>0</v>
      </c>
      <c r="F110" s="611">
        <v>0.60086868241819513</v>
      </c>
      <c r="G110" s="611">
        <v>0</v>
      </c>
      <c r="H110" s="611">
        <v>13.347300372388817</v>
      </c>
      <c r="I110" s="611">
        <v>0.1763960401637289</v>
      </c>
      <c r="J110" s="611">
        <v>0</v>
      </c>
      <c r="K110" s="611">
        <v>0</v>
      </c>
      <c r="L110" s="611">
        <v>38.756256119598135</v>
      </c>
      <c r="M110" s="611">
        <v>0</v>
      </c>
      <c r="N110" s="611">
        <v>0</v>
      </c>
      <c r="O110" s="611">
        <v>15.875643614735601</v>
      </c>
      <c r="P110" s="611">
        <v>100.70688369191794</v>
      </c>
      <c r="Q110" s="611">
        <v>2.8847164087553931</v>
      </c>
      <c r="R110" s="611">
        <v>147.56133606308299</v>
      </c>
      <c r="S110" s="611">
        <v>22.806124338594827</v>
      </c>
      <c r="T110" s="611">
        <v>0</v>
      </c>
      <c r="U110" s="619">
        <v>342.71552533165561</v>
      </c>
      <c r="V110" s="51"/>
    </row>
    <row r="111" spans="3:22" x14ac:dyDescent="0.25">
      <c r="C111" s="618" t="s">
        <v>81</v>
      </c>
      <c r="D111" s="611">
        <v>0</v>
      </c>
      <c r="E111" s="611">
        <v>0</v>
      </c>
      <c r="F111" s="611">
        <v>0.5398070851157275</v>
      </c>
      <c r="G111" s="611">
        <v>0</v>
      </c>
      <c r="H111" s="611">
        <v>7.9791393283443517</v>
      </c>
      <c r="I111" s="611">
        <v>0.10545118055080642</v>
      </c>
      <c r="J111" s="611">
        <v>0</v>
      </c>
      <c r="K111" s="611">
        <v>0</v>
      </c>
      <c r="L111" s="611">
        <v>0.5139229004760727</v>
      </c>
      <c r="M111" s="611">
        <v>0</v>
      </c>
      <c r="N111" s="611">
        <v>0</v>
      </c>
      <c r="O111" s="611">
        <v>9.4906062495725791</v>
      </c>
      <c r="P111" s="611">
        <v>47.95827169484302</v>
      </c>
      <c r="Q111" s="611">
        <v>3.2216095546912449</v>
      </c>
      <c r="R111" s="611">
        <v>115.04806835366153</v>
      </c>
      <c r="S111" s="611">
        <v>18.742672992879797</v>
      </c>
      <c r="T111" s="611">
        <v>0</v>
      </c>
      <c r="U111" s="619">
        <v>203.59954934013513</v>
      </c>
      <c r="V111" s="51"/>
    </row>
    <row r="112" spans="3:22" x14ac:dyDescent="0.25">
      <c r="C112" s="618" t="s">
        <v>82</v>
      </c>
      <c r="D112" s="611">
        <v>0</v>
      </c>
      <c r="E112" s="611">
        <v>0</v>
      </c>
      <c r="F112" s="611">
        <v>6.3369770221135076</v>
      </c>
      <c r="G112" s="611">
        <v>0</v>
      </c>
      <c r="H112" s="611">
        <v>0.68340618854154467</v>
      </c>
      <c r="I112" s="611">
        <v>9.0317998485666701E-3</v>
      </c>
      <c r="J112" s="611">
        <v>0</v>
      </c>
      <c r="K112" s="611">
        <v>0</v>
      </c>
      <c r="L112" s="611">
        <v>3.3891942411636795</v>
      </c>
      <c r="M112" s="611">
        <v>0</v>
      </c>
      <c r="N112" s="611">
        <v>17.640118554075091</v>
      </c>
      <c r="O112" s="611">
        <v>0.81286198637100038</v>
      </c>
      <c r="P112" s="611">
        <v>1.1499999999999999</v>
      </c>
      <c r="Q112" s="611">
        <v>1.5666563685107562</v>
      </c>
      <c r="R112" s="611">
        <v>6.9055854697991039</v>
      </c>
      <c r="S112" s="611">
        <v>0</v>
      </c>
      <c r="T112" s="611">
        <v>0.60935288805652987</v>
      </c>
      <c r="U112" s="619">
        <v>39.103184518479779</v>
      </c>
      <c r="V112" s="51"/>
    </row>
    <row r="113" spans="3:22" x14ac:dyDescent="0.25">
      <c r="C113" s="618" t="s">
        <v>354</v>
      </c>
      <c r="D113" s="611">
        <v>0</v>
      </c>
      <c r="E113" s="611">
        <v>0</v>
      </c>
      <c r="F113" s="611">
        <v>0</v>
      </c>
      <c r="G113" s="611">
        <v>0</v>
      </c>
      <c r="H113" s="611">
        <v>0</v>
      </c>
      <c r="I113" s="611">
        <v>0</v>
      </c>
      <c r="J113" s="611">
        <v>0</v>
      </c>
      <c r="K113" s="611">
        <v>0</v>
      </c>
      <c r="L113" s="611">
        <v>0</v>
      </c>
      <c r="M113" s="611">
        <v>0</v>
      </c>
      <c r="N113" s="611">
        <v>0</v>
      </c>
      <c r="O113" s="611">
        <v>0</v>
      </c>
      <c r="P113" s="611">
        <v>0</v>
      </c>
      <c r="Q113" s="611">
        <v>0</v>
      </c>
      <c r="R113" s="611">
        <v>4.7640000000000002</v>
      </c>
      <c r="S113" s="611">
        <v>0</v>
      </c>
      <c r="T113" s="611">
        <v>0</v>
      </c>
      <c r="U113" s="619">
        <v>4.7640000000000002</v>
      </c>
      <c r="V113" s="51"/>
    </row>
    <row r="114" spans="3:22" x14ac:dyDescent="0.25">
      <c r="C114" s="614" t="s">
        <v>83</v>
      </c>
      <c r="D114" s="615">
        <v>2.0940127617265829</v>
      </c>
      <c r="E114" s="615">
        <v>0</v>
      </c>
      <c r="F114" s="615">
        <v>42.329551923875783</v>
      </c>
      <c r="G114" s="615">
        <v>2.274686269460287</v>
      </c>
      <c r="H114" s="615">
        <v>54.870147260968139</v>
      </c>
      <c r="I114" s="615">
        <v>0.72515613120222222</v>
      </c>
      <c r="J114" s="615">
        <v>0</v>
      </c>
      <c r="K114" s="615">
        <v>0</v>
      </c>
      <c r="L114" s="615">
        <v>65.161926831936981</v>
      </c>
      <c r="M114" s="615">
        <v>6.2799536188843161</v>
      </c>
      <c r="N114" s="615">
        <v>83.483759428743397</v>
      </c>
      <c r="O114" s="615">
        <v>65.304327055452276</v>
      </c>
      <c r="P114" s="615">
        <v>165.69992491801096</v>
      </c>
      <c r="Q114" s="615">
        <v>7.6738034088497393</v>
      </c>
      <c r="R114" s="615">
        <v>561.50437892693742</v>
      </c>
      <c r="S114" s="615">
        <v>62.621514390504288</v>
      </c>
      <c r="T114" s="615">
        <v>18.264473333141254</v>
      </c>
      <c r="U114" s="615">
        <v>1138.2876162596938</v>
      </c>
      <c r="V114" s="51"/>
    </row>
    <row r="115" spans="3:22" x14ac:dyDescent="0.25">
      <c r="C115" s="610" t="s">
        <v>84</v>
      </c>
      <c r="D115" s="611">
        <v>0</v>
      </c>
      <c r="E115" s="611">
        <v>0</v>
      </c>
      <c r="F115" s="611">
        <v>70.526185031804687</v>
      </c>
      <c r="G115" s="611">
        <v>2.3546975295224146</v>
      </c>
      <c r="H115" s="611">
        <v>7.1814532260043631</v>
      </c>
      <c r="I115" s="611">
        <v>0</v>
      </c>
      <c r="J115" s="611">
        <v>0</v>
      </c>
      <c r="K115" s="611">
        <v>0</v>
      </c>
      <c r="L115" s="611">
        <v>0.42109898462761541</v>
      </c>
      <c r="M115" s="611">
        <v>0</v>
      </c>
      <c r="N115" s="611">
        <v>33.896224635717942</v>
      </c>
      <c r="O115" s="611">
        <v>10.020700945523032</v>
      </c>
      <c r="P115" s="611">
        <v>0</v>
      </c>
      <c r="Q115" s="611">
        <v>0</v>
      </c>
      <c r="R115" s="611">
        <v>0</v>
      </c>
      <c r="S115" s="611">
        <v>0</v>
      </c>
      <c r="T115" s="611">
        <v>40.523061894297456</v>
      </c>
      <c r="U115" s="619">
        <v>164.92342224749751</v>
      </c>
      <c r="V115" s="51"/>
    </row>
    <row r="116" spans="3:22" x14ac:dyDescent="0.25">
      <c r="C116" s="614" t="s">
        <v>85</v>
      </c>
      <c r="D116" s="615">
        <v>2.0940127617265829</v>
      </c>
      <c r="E116" s="615">
        <v>0</v>
      </c>
      <c r="F116" s="615">
        <v>112.85573695568047</v>
      </c>
      <c r="G116" s="615">
        <v>4.6293837989827011</v>
      </c>
      <c r="H116" s="615">
        <v>62.051600486972504</v>
      </c>
      <c r="I116" s="615">
        <v>0.72515613120222222</v>
      </c>
      <c r="J116" s="615">
        <v>0</v>
      </c>
      <c r="K116" s="615">
        <v>0</v>
      </c>
      <c r="L116" s="615">
        <v>65.5830258165646</v>
      </c>
      <c r="M116" s="615">
        <v>6.2799536188843161</v>
      </c>
      <c r="N116" s="615">
        <v>117.37998406446134</v>
      </c>
      <c r="O116" s="615">
        <v>75.325028000975308</v>
      </c>
      <c r="P116" s="615">
        <v>165.69992491801096</v>
      </c>
      <c r="Q116" s="615">
        <v>7.6738034088497393</v>
      </c>
      <c r="R116" s="615">
        <v>561.50437892693742</v>
      </c>
      <c r="S116" s="615">
        <v>62.621514390504288</v>
      </c>
      <c r="T116" s="615">
        <v>58.78753522743871</v>
      </c>
      <c r="U116" s="615">
        <v>1303.2110385071912</v>
      </c>
      <c r="V116" s="51"/>
    </row>
    <row r="117" spans="3:22" x14ac:dyDescent="0.25">
      <c r="C117" s="51"/>
      <c r="D117" s="67">
        <v>0</v>
      </c>
      <c r="E117" s="67">
        <v>0</v>
      </c>
      <c r="F117" s="67">
        <v>0</v>
      </c>
      <c r="G117" s="67">
        <v>0</v>
      </c>
      <c r="H117" s="67">
        <v>0</v>
      </c>
      <c r="I117" s="67">
        <v>0</v>
      </c>
      <c r="J117" s="67">
        <v>0</v>
      </c>
      <c r="K117" s="67">
        <v>0</v>
      </c>
      <c r="L117" s="67">
        <v>0</v>
      </c>
      <c r="M117" s="67">
        <v>-3.685817073417752E-4</v>
      </c>
      <c r="N117" s="67">
        <v>0</v>
      </c>
      <c r="O117" s="67">
        <v>9.7699626167013776E-15</v>
      </c>
      <c r="P117" s="67">
        <v>0</v>
      </c>
      <c r="Q117" s="67">
        <v>0</v>
      </c>
      <c r="R117" s="67">
        <v>0</v>
      </c>
      <c r="S117" s="67">
        <v>0</v>
      </c>
      <c r="T117" s="67">
        <v>-9.7699626167013776E-15</v>
      </c>
      <c r="U117" s="67">
        <v>-3.6858170687992242E-4</v>
      </c>
      <c r="V117" s="51"/>
    </row>
    <row r="118" spans="3:22" x14ac:dyDescent="0.25">
      <c r="C118" s="51"/>
      <c r="D118" s="51"/>
      <c r="E118" s="51"/>
      <c r="F118" s="51"/>
      <c r="G118" s="67"/>
      <c r="H118" s="51"/>
      <c r="I118" s="51"/>
      <c r="J118" s="51"/>
      <c r="K118" s="51"/>
      <c r="L118" s="51"/>
      <c r="M118" s="51"/>
      <c r="N118" s="51"/>
      <c r="O118" s="51"/>
      <c r="P118" s="51"/>
      <c r="Q118" s="51"/>
      <c r="R118" s="51"/>
      <c r="S118" s="51"/>
      <c r="T118" s="51"/>
      <c r="U118" s="51"/>
      <c r="V118" s="51"/>
    </row>
    <row r="119" spans="3:22" x14ac:dyDescent="0.25">
      <c r="C119" s="607" t="s">
        <v>361</v>
      </c>
      <c r="D119" s="606"/>
      <c r="E119" s="606"/>
      <c r="F119" s="606"/>
      <c r="G119" s="682"/>
      <c r="H119" s="606"/>
      <c r="I119" s="606"/>
      <c r="J119" s="606"/>
      <c r="K119" s="606"/>
      <c r="L119" s="606"/>
      <c r="M119" s="606"/>
      <c r="N119" s="606"/>
      <c r="O119" s="606"/>
      <c r="P119" s="606"/>
      <c r="Q119" s="606"/>
      <c r="R119" s="606"/>
      <c r="S119" s="606"/>
      <c r="T119" s="606"/>
      <c r="U119" s="606"/>
      <c r="V119" s="606"/>
    </row>
    <row r="120" spans="3:22" x14ac:dyDescent="0.25">
      <c r="C120" s="51"/>
      <c r="D120" s="51"/>
      <c r="E120" s="51"/>
      <c r="F120" s="51"/>
      <c r="G120" s="67"/>
      <c r="H120" s="51"/>
      <c r="I120" s="51"/>
      <c r="J120" s="51"/>
      <c r="K120" s="51"/>
      <c r="L120" s="51"/>
      <c r="M120" s="51"/>
      <c r="N120" s="51"/>
      <c r="O120" s="51"/>
      <c r="P120" s="51"/>
      <c r="Q120" s="51"/>
      <c r="R120" s="51"/>
      <c r="S120" s="51"/>
      <c r="T120" s="51"/>
      <c r="U120" s="51"/>
      <c r="V120" s="51"/>
    </row>
    <row r="121" spans="3:22" x14ac:dyDescent="0.25">
      <c r="C121" s="764" t="s">
        <v>128</v>
      </c>
      <c r="D121" s="753" t="s">
        <v>42</v>
      </c>
      <c r="E121" s="753" t="s">
        <v>52</v>
      </c>
      <c r="F121" s="753" t="s">
        <v>53</v>
      </c>
      <c r="G121" s="766" t="s">
        <v>482</v>
      </c>
      <c r="H121" s="753" t="s">
        <v>32</v>
      </c>
      <c r="I121" s="753" t="s">
        <v>483</v>
      </c>
      <c r="J121" s="753" t="s">
        <v>20</v>
      </c>
      <c r="K121" s="753" t="s">
        <v>55</v>
      </c>
      <c r="L121" s="761" t="s">
        <v>56</v>
      </c>
      <c r="M121" s="762"/>
      <c r="N121" s="762"/>
      <c r="O121" s="762"/>
      <c r="P121" s="762"/>
      <c r="Q121" s="763"/>
      <c r="R121" s="753" t="s">
        <v>57</v>
      </c>
      <c r="S121" s="753" t="s">
        <v>58</v>
      </c>
      <c r="T121" s="753" t="s">
        <v>31</v>
      </c>
      <c r="U121" s="753" t="s">
        <v>10</v>
      </c>
      <c r="V121" s="51"/>
    </row>
    <row r="122" spans="3:22" ht="36" x14ac:dyDescent="0.25">
      <c r="C122" s="765"/>
      <c r="D122" s="754"/>
      <c r="E122" s="754"/>
      <c r="F122" s="754"/>
      <c r="G122" s="767"/>
      <c r="H122" s="754"/>
      <c r="I122" s="754"/>
      <c r="J122" s="754"/>
      <c r="K122" s="754"/>
      <c r="L122" s="608" t="s">
        <v>335</v>
      </c>
      <c r="M122" s="608" t="s">
        <v>40</v>
      </c>
      <c r="N122" s="608" t="s">
        <v>343</v>
      </c>
      <c r="O122" s="608" t="s">
        <v>344</v>
      </c>
      <c r="P122" s="609" t="s">
        <v>345</v>
      </c>
      <c r="Q122" s="608" t="s">
        <v>346</v>
      </c>
      <c r="R122" s="754"/>
      <c r="S122" s="754"/>
      <c r="T122" s="754"/>
      <c r="U122" s="754"/>
      <c r="V122" s="51"/>
    </row>
    <row r="123" spans="3:22" x14ac:dyDescent="0.25">
      <c r="C123" s="610" t="s">
        <v>59</v>
      </c>
      <c r="D123" s="611">
        <v>0</v>
      </c>
      <c r="E123" s="611">
        <v>0</v>
      </c>
      <c r="F123" s="611">
        <v>0</v>
      </c>
      <c r="G123" s="611">
        <v>0</v>
      </c>
      <c r="H123" s="611">
        <v>0</v>
      </c>
      <c r="I123" s="611">
        <v>0</v>
      </c>
      <c r="J123" s="612">
        <v>971.10439999999994</v>
      </c>
      <c r="K123" s="612">
        <v>503.30122823446823</v>
      </c>
      <c r="L123" s="612">
        <v>455.14148237245831</v>
      </c>
      <c r="M123" s="612">
        <v>20.793873035909879</v>
      </c>
      <c r="N123" s="611">
        <v>1.6797912871987437</v>
      </c>
      <c r="O123" s="611">
        <v>0.17065445399605614</v>
      </c>
      <c r="P123" s="612">
        <v>171.08209770143009</v>
      </c>
      <c r="Q123" s="612">
        <v>25.726769025027945</v>
      </c>
      <c r="R123" s="611">
        <v>0</v>
      </c>
      <c r="S123" s="611">
        <v>0</v>
      </c>
      <c r="T123" s="611">
        <v>0</v>
      </c>
      <c r="U123" s="613">
        <v>2149.0002961104892</v>
      </c>
      <c r="V123" s="51"/>
    </row>
    <row r="124" spans="3:22" x14ac:dyDescent="0.25">
      <c r="C124" s="610" t="s">
        <v>60</v>
      </c>
      <c r="D124" s="611">
        <v>1.6567330370836562</v>
      </c>
      <c r="E124" s="611">
        <v>156.10342406212303</v>
      </c>
      <c r="F124" s="611">
        <v>2.9590354993625017</v>
      </c>
      <c r="G124" s="611">
        <v>0</v>
      </c>
      <c r="H124" s="611">
        <v>54.539197305320002</v>
      </c>
      <c r="I124" s="611">
        <v>0</v>
      </c>
      <c r="J124" s="611">
        <v>0</v>
      </c>
      <c r="K124" s="611">
        <v>0</v>
      </c>
      <c r="L124" s="611">
        <v>4.8125993033158778</v>
      </c>
      <c r="M124" s="611">
        <v>0</v>
      </c>
      <c r="N124" s="611">
        <v>6.2295354537228107</v>
      </c>
      <c r="O124" s="611">
        <v>0</v>
      </c>
      <c r="P124" s="611">
        <v>0</v>
      </c>
      <c r="Q124" s="611">
        <v>0</v>
      </c>
      <c r="R124" s="611">
        <v>12.737834844238364</v>
      </c>
      <c r="S124" s="611">
        <v>0</v>
      </c>
      <c r="T124" s="611">
        <v>0</v>
      </c>
      <c r="U124" s="613">
        <v>239.03835950516623</v>
      </c>
      <c r="V124" s="51"/>
    </row>
    <row r="125" spans="3:22" x14ac:dyDescent="0.25">
      <c r="C125" s="610" t="s">
        <v>61</v>
      </c>
      <c r="D125" s="611">
        <v>0</v>
      </c>
      <c r="E125" s="611">
        <v>0</v>
      </c>
      <c r="F125" s="611">
        <v>-44.676300971263089</v>
      </c>
      <c r="G125" s="611">
        <v>-7.4420014649377606</v>
      </c>
      <c r="H125" s="611">
        <v>0</v>
      </c>
      <c r="I125" s="611">
        <v>0</v>
      </c>
      <c r="J125" s="611">
        <v>0</v>
      </c>
      <c r="K125" s="611">
        <v>0</v>
      </c>
      <c r="L125" s="611">
        <v>0</v>
      </c>
      <c r="M125" s="611">
        <v>0</v>
      </c>
      <c r="N125" s="611">
        <v>0</v>
      </c>
      <c r="O125" s="611">
        <v>0</v>
      </c>
      <c r="P125" s="611">
        <v>0</v>
      </c>
      <c r="Q125" s="611">
        <v>0</v>
      </c>
      <c r="R125" s="611">
        <v>0</v>
      </c>
      <c r="S125" s="611">
        <v>0</v>
      </c>
      <c r="T125" s="611">
        <v>0</v>
      </c>
      <c r="U125" s="613">
        <v>-52.11830243620085</v>
      </c>
      <c r="V125" s="51"/>
    </row>
    <row r="126" spans="3:22" x14ac:dyDescent="0.25">
      <c r="C126" s="610" t="s">
        <v>62</v>
      </c>
      <c r="D126" s="611">
        <v>0</v>
      </c>
      <c r="E126" s="611">
        <v>0</v>
      </c>
      <c r="F126" s="611">
        <v>-2.5439781787400757</v>
      </c>
      <c r="G126" s="611">
        <v>-5.1073400578201751</v>
      </c>
      <c r="H126" s="611">
        <v>0</v>
      </c>
      <c r="I126" s="611">
        <v>-4.025065184691706</v>
      </c>
      <c r="J126" s="611">
        <v>0</v>
      </c>
      <c r="K126" s="611">
        <v>0</v>
      </c>
      <c r="L126" s="611">
        <v>0</v>
      </c>
      <c r="M126" s="611">
        <v>0</v>
      </c>
      <c r="N126" s="611">
        <v>-1.4642875778969737</v>
      </c>
      <c r="O126" s="611">
        <v>-2.6833767897944703</v>
      </c>
      <c r="P126" s="611">
        <v>0</v>
      </c>
      <c r="Q126" s="611">
        <v>0</v>
      </c>
      <c r="R126" s="611">
        <v>0</v>
      </c>
      <c r="S126" s="611">
        <v>0</v>
      </c>
      <c r="T126" s="611">
        <v>-1.8096944583874461</v>
      </c>
      <c r="U126" s="613">
        <v>-17.633742247330847</v>
      </c>
      <c r="V126" s="51"/>
    </row>
    <row r="127" spans="3:22" x14ac:dyDescent="0.25">
      <c r="C127" s="610" t="s">
        <v>63</v>
      </c>
      <c r="D127" s="611">
        <v>0</v>
      </c>
      <c r="E127" s="611">
        <v>0</v>
      </c>
      <c r="F127" s="611">
        <v>-26.066537028283065</v>
      </c>
      <c r="G127" s="611">
        <v>-15.61159587816994</v>
      </c>
      <c r="H127" s="611">
        <v>0</v>
      </c>
      <c r="I127" s="611">
        <v>0</v>
      </c>
      <c r="J127" s="611">
        <v>0</v>
      </c>
      <c r="K127" s="611">
        <v>0</v>
      </c>
      <c r="L127" s="611">
        <v>0</v>
      </c>
      <c r="M127" s="611">
        <v>0</v>
      </c>
      <c r="N127" s="611">
        <v>-15.61159587816994</v>
      </c>
      <c r="O127" s="611">
        <v>0</v>
      </c>
      <c r="P127" s="611">
        <v>0</v>
      </c>
      <c r="Q127" s="611">
        <v>0</v>
      </c>
      <c r="R127" s="611">
        <v>0</v>
      </c>
      <c r="S127" s="611">
        <v>0</v>
      </c>
      <c r="T127" s="611">
        <v>-5.1590895167519655</v>
      </c>
      <c r="U127" s="613">
        <v>-62.448818301374899</v>
      </c>
      <c r="V127" s="51"/>
    </row>
    <row r="128" spans="3:22" x14ac:dyDescent="0.25">
      <c r="C128" s="610" t="s">
        <v>64</v>
      </c>
      <c r="D128" s="611">
        <v>0</v>
      </c>
      <c r="E128" s="611">
        <v>0</v>
      </c>
      <c r="F128" s="611">
        <v>0</v>
      </c>
      <c r="G128" s="611">
        <v>0</v>
      </c>
      <c r="H128" s="611">
        <v>0</v>
      </c>
      <c r="I128" s="611">
        <v>0</v>
      </c>
      <c r="J128" s="611">
        <v>0</v>
      </c>
      <c r="K128" s="611">
        <v>0</v>
      </c>
      <c r="L128" s="611">
        <v>0</v>
      </c>
      <c r="M128" s="611">
        <v>0</v>
      </c>
      <c r="N128" s="611">
        <v>0</v>
      </c>
      <c r="O128" s="611">
        <v>0</v>
      </c>
      <c r="P128" s="611">
        <v>0</v>
      </c>
      <c r="Q128" s="611">
        <v>0</v>
      </c>
      <c r="R128" s="611">
        <v>0</v>
      </c>
      <c r="S128" s="611">
        <v>0</v>
      </c>
      <c r="T128" s="611">
        <v>0</v>
      </c>
      <c r="U128" s="613">
        <v>0</v>
      </c>
      <c r="V128" s="51"/>
    </row>
    <row r="129" spans="3:22" x14ac:dyDescent="0.25">
      <c r="C129" s="614" t="s">
        <v>65</v>
      </c>
      <c r="D129" s="615">
        <v>1.6567330370836562</v>
      </c>
      <c r="E129" s="615">
        <v>156.10342406212303</v>
      </c>
      <c r="F129" s="615">
        <v>-70.32778067892373</v>
      </c>
      <c r="G129" s="615">
        <v>-28.160937400927875</v>
      </c>
      <c r="H129" s="615">
        <v>54.539197305320002</v>
      </c>
      <c r="I129" s="615">
        <v>-4.025065184691706</v>
      </c>
      <c r="J129" s="615">
        <v>971.10439999999994</v>
      </c>
      <c r="K129" s="615">
        <v>503.30122823446823</v>
      </c>
      <c r="L129" s="615">
        <v>459.9540816757742</v>
      </c>
      <c r="M129" s="615">
        <v>20.793873035909879</v>
      </c>
      <c r="N129" s="615">
        <v>-9.166556715145358</v>
      </c>
      <c r="O129" s="615">
        <v>-2.5127223357984141</v>
      </c>
      <c r="P129" s="615">
        <v>171.08209770143009</v>
      </c>
      <c r="Q129" s="615">
        <v>25.726769025027945</v>
      </c>
      <c r="R129" s="615">
        <v>12.737834844238364</v>
      </c>
      <c r="S129" s="615">
        <v>0</v>
      </c>
      <c r="T129" s="615">
        <v>-6.9687839751394112</v>
      </c>
      <c r="U129" s="615">
        <v>2255.8377926307489</v>
      </c>
      <c r="V129" s="51"/>
    </row>
    <row r="130" spans="3:22" x14ac:dyDescent="0.25">
      <c r="C130" s="616"/>
      <c r="D130" s="617"/>
      <c r="E130" s="617"/>
      <c r="F130" s="617"/>
      <c r="G130" s="617"/>
      <c r="H130" s="623"/>
      <c r="I130" s="617"/>
      <c r="J130" s="617"/>
      <c r="K130" s="617"/>
      <c r="L130" s="617"/>
      <c r="M130" s="617"/>
      <c r="N130" s="617"/>
      <c r="O130" s="617"/>
      <c r="P130" s="617"/>
      <c r="Q130" s="617"/>
      <c r="R130" s="617"/>
      <c r="S130" s="617"/>
      <c r="T130" s="617"/>
      <c r="U130" s="617"/>
      <c r="V130" s="51"/>
    </row>
    <row r="131" spans="3:22" x14ac:dyDescent="0.25">
      <c r="C131" s="618" t="s">
        <v>67</v>
      </c>
      <c r="D131" s="611">
        <v>0</v>
      </c>
      <c r="E131" s="611">
        <v>0</v>
      </c>
      <c r="F131" s="611">
        <v>0</v>
      </c>
      <c r="G131" s="611">
        <v>0</v>
      </c>
      <c r="H131" s="611">
        <v>0</v>
      </c>
      <c r="I131" s="611">
        <v>0</v>
      </c>
      <c r="J131" s="611">
        <v>0</v>
      </c>
      <c r="K131" s="611">
        <v>0</v>
      </c>
      <c r="L131" s="611">
        <v>0</v>
      </c>
      <c r="M131" s="611">
        <v>0</v>
      </c>
      <c r="N131" s="611">
        <v>0</v>
      </c>
      <c r="O131" s="611">
        <v>0</v>
      </c>
      <c r="P131" s="611">
        <v>0</v>
      </c>
      <c r="Q131" s="611">
        <v>0</v>
      </c>
      <c r="R131" s="611">
        <v>0</v>
      </c>
      <c r="S131" s="611">
        <v>0</v>
      </c>
      <c r="T131" s="611">
        <v>0</v>
      </c>
      <c r="U131" s="619">
        <v>0</v>
      </c>
      <c r="V131" s="51"/>
    </row>
    <row r="132" spans="3:22" x14ac:dyDescent="0.25">
      <c r="C132" s="618" t="s">
        <v>347</v>
      </c>
      <c r="D132" s="611">
        <v>0</v>
      </c>
      <c r="E132" s="611">
        <v>0</v>
      </c>
      <c r="F132" s="611">
        <v>0</v>
      </c>
      <c r="G132" s="611">
        <v>0</v>
      </c>
      <c r="H132" s="611">
        <v>0.44776646808510651</v>
      </c>
      <c r="I132" s="611">
        <v>0</v>
      </c>
      <c r="J132" s="611">
        <v>971.10439999999994</v>
      </c>
      <c r="K132" s="611">
        <v>503.30122823446823</v>
      </c>
      <c r="L132" s="611">
        <v>22.611661930027488</v>
      </c>
      <c r="M132" s="611">
        <v>0.61851517484510588</v>
      </c>
      <c r="N132" s="611">
        <v>6.3451610040287907</v>
      </c>
      <c r="O132" s="611">
        <v>1.1589812304406033</v>
      </c>
      <c r="P132" s="611">
        <v>0</v>
      </c>
      <c r="Q132" s="611">
        <v>6.4766550958451852</v>
      </c>
      <c r="R132" s="611">
        <v>-877.28387729883798</v>
      </c>
      <c r="S132" s="611">
        <v>0</v>
      </c>
      <c r="T132" s="611">
        <v>5.1921899999999992</v>
      </c>
      <c r="U132" s="619">
        <v>639.97268183890242</v>
      </c>
      <c r="V132" s="51"/>
    </row>
    <row r="133" spans="3:22" x14ac:dyDescent="0.25">
      <c r="C133" s="618" t="s">
        <v>348</v>
      </c>
      <c r="D133" s="611">
        <v>0</v>
      </c>
      <c r="E133" s="611">
        <v>0</v>
      </c>
      <c r="F133" s="611">
        <v>0</v>
      </c>
      <c r="G133" s="611">
        <v>0</v>
      </c>
      <c r="H133" s="611">
        <v>3.2640954387883037</v>
      </c>
      <c r="I133" s="611">
        <v>0</v>
      </c>
      <c r="J133" s="611">
        <v>0</v>
      </c>
      <c r="K133" s="611">
        <v>0</v>
      </c>
      <c r="L133" s="611">
        <v>34.874750545465744</v>
      </c>
      <c r="M133" s="611">
        <v>14.450307287843678</v>
      </c>
      <c r="N133" s="611">
        <v>0</v>
      </c>
      <c r="O133" s="611">
        <v>7.6313341325616637</v>
      </c>
      <c r="P133" s="611">
        <v>0</v>
      </c>
      <c r="Q133" s="611">
        <v>11.247880766628024</v>
      </c>
      <c r="R133" s="611">
        <v>0</v>
      </c>
      <c r="S133" s="611">
        <v>-67.335306808549447</v>
      </c>
      <c r="T133" s="611">
        <v>0</v>
      </c>
      <c r="U133" s="619">
        <v>4.133061362737962</v>
      </c>
      <c r="V133" s="51"/>
    </row>
    <row r="134" spans="3:22" x14ac:dyDescent="0.25">
      <c r="C134" s="618" t="s">
        <v>349</v>
      </c>
      <c r="D134" s="611">
        <v>0</v>
      </c>
      <c r="E134" s="611">
        <v>0</v>
      </c>
      <c r="F134" s="611">
        <v>0</v>
      </c>
      <c r="G134" s="611">
        <v>0</v>
      </c>
      <c r="H134" s="611">
        <v>0</v>
      </c>
      <c r="I134" s="611">
        <v>0</v>
      </c>
      <c r="J134" s="611">
        <v>0</v>
      </c>
      <c r="K134" s="611">
        <v>0</v>
      </c>
      <c r="L134" s="611">
        <v>99.886824202456438</v>
      </c>
      <c r="M134" s="611">
        <v>0</v>
      </c>
      <c r="N134" s="611">
        <v>0</v>
      </c>
      <c r="O134" s="611">
        <v>-91.582944375151399</v>
      </c>
      <c r="P134" s="611">
        <v>0</v>
      </c>
      <c r="Q134" s="611">
        <v>0</v>
      </c>
      <c r="R134" s="611">
        <v>0</v>
      </c>
      <c r="S134" s="611">
        <v>0</v>
      </c>
      <c r="T134" s="611">
        <v>0</v>
      </c>
      <c r="U134" s="619">
        <v>8.3038798273050389</v>
      </c>
      <c r="V134" s="51"/>
    </row>
    <row r="135" spans="3:22" x14ac:dyDescent="0.25">
      <c r="C135" s="618" t="s">
        <v>350</v>
      </c>
      <c r="D135" s="611">
        <v>0</v>
      </c>
      <c r="E135" s="611">
        <v>0</v>
      </c>
      <c r="F135" s="611">
        <v>0</v>
      </c>
      <c r="G135" s="611">
        <v>0</v>
      </c>
      <c r="H135" s="611">
        <v>0</v>
      </c>
      <c r="I135" s="611">
        <v>-5.1740904166094976</v>
      </c>
      <c r="J135" s="611">
        <v>0</v>
      </c>
      <c r="K135" s="611">
        <v>0</v>
      </c>
      <c r="L135" s="611">
        <v>0</v>
      </c>
      <c r="M135" s="611">
        <v>0</v>
      </c>
      <c r="N135" s="611">
        <v>0</v>
      </c>
      <c r="O135" s="611">
        <v>0</v>
      </c>
      <c r="P135" s="611">
        <v>0</v>
      </c>
      <c r="Q135" s="611">
        <v>0</v>
      </c>
      <c r="R135" s="611">
        <v>0</v>
      </c>
      <c r="S135" s="611">
        <v>0</v>
      </c>
      <c r="T135" s="611">
        <v>7.1912846116196816</v>
      </c>
      <c r="U135" s="619">
        <v>2.0171941950101839</v>
      </c>
      <c r="V135" s="51"/>
    </row>
    <row r="136" spans="3:22" x14ac:dyDescent="0.25">
      <c r="C136" s="618" t="s">
        <v>72</v>
      </c>
      <c r="D136" s="611">
        <v>0</v>
      </c>
      <c r="E136" s="611">
        <v>161.75289728424144</v>
      </c>
      <c r="F136" s="611">
        <v>-160.13983967974238</v>
      </c>
      <c r="G136" s="611">
        <v>0</v>
      </c>
      <c r="H136" s="611">
        <v>0</v>
      </c>
      <c r="I136" s="611">
        <v>0</v>
      </c>
      <c r="J136" s="611">
        <v>0</v>
      </c>
      <c r="K136" s="611">
        <v>0</v>
      </c>
      <c r="L136" s="611">
        <v>0</v>
      </c>
      <c r="M136" s="611">
        <v>0</v>
      </c>
      <c r="N136" s="611">
        <v>0</v>
      </c>
      <c r="O136" s="611">
        <v>0</v>
      </c>
      <c r="P136" s="611">
        <v>0</v>
      </c>
      <c r="Q136" s="611">
        <v>0</v>
      </c>
      <c r="R136" s="611">
        <v>0</v>
      </c>
      <c r="S136" s="611">
        <v>0</v>
      </c>
      <c r="T136" s="611">
        <v>0</v>
      </c>
      <c r="U136" s="619">
        <v>1.6130576044990619</v>
      </c>
      <c r="V136" s="51"/>
    </row>
    <row r="137" spans="3:22" x14ac:dyDescent="0.25">
      <c r="C137" s="618" t="s">
        <v>351</v>
      </c>
      <c r="D137" s="611">
        <v>0</v>
      </c>
      <c r="E137" s="611">
        <v>0</v>
      </c>
      <c r="F137" s="611">
        <v>0</v>
      </c>
      <c r="G137" s="611">
        <v>0</v>
      </c>
      <c r="H137" s="611">
        <v>0</v>
      </c>
      <c r="I137" s="611">
        <v>0</v>
      </c>
      <c r="J137" s="611">
        <v>0</v>
      </c>
      <c r="K137" s="611">
        <v>0</v>
      </c>
      <c r="L137" s="611">
        <v>239.29378044744664</v>
      </c>
      <c r="M137" s="611">
        <v>0</v>
      </c>
      <c r="N137" s="611">
        <v>-131.61157924609566</v>
      </c>
      <c r="O137" s="611">
        <v>0</v>
      </c>
      <c r="P137" s="611">
        <v>0</v>
      </c>
      <c r="Q137" s="611">
        <v>0</v>
      </c>
      <c r="R137" s="611">
        <v>0</v>
      </c>
      <c r="S137" s="611">
        <v>0</v>
      </c>
      <c r="T137" s="611">
        <v>0</v>
      </c>
      <c r="U137" s="619">
        <v>107.68220120135098</v>
      </c>
      <c r="V137" s="51"/>
    </row>
    <row r="138" spans="3:22" x14ac:dyDescent="0.25">
      <c r="C138" s="618" t="s">
        <v>352</v>
      </c>
      <c r="D138" s="611">
        <v>0</v>
      </c>
      <c r="E138" s="611">
        <v>0</v>
      </c>
      <c r="F138" s="611">
        <v>0</v>
      </c>
      <c r="G138" s="611">
        <v>-33.473815441656178</v>
      </c>
      <c r="H138" s="611">
        <v>0</v>
      </c>
      <c r="I138" s="611">
        <v>0</v>
      </c>
      <c r="J138" s="611">
        <v>0</v>
      </c>
      <c r="K138" s="611">
        <v>0</v>
      </c>
      <c r="L138" s="611">
        <v>0</v>
      </c>
      <c r="M138" s="611">
        <v>0</v>
      </c>
      <c r="N138" s="611">
        <v>0</v>
      </c>
      <c r="O138" s="611">
        <v>0</v>
      </c>
      <c r="P138" s="611">
        <v>0</v>
      </c>
      <c r="Q138" s="611">
        <v>0</v>
      </c>
      <c r="R138" s="611">
        <v>0</v>
      </c>
      <c r="S138" s="611">
        <v>0</v>
      </c>
      <c r="T138" s="611">
        <v>43.527837875314049</v>
      </c>
      <c r="U138" s="619">
        <v>10.05402243365787</v>
      </c>
      <c r="V138" s="51"/>
    </row>
    <row r="139" spans="3:22" x14ac:dyDescent="0.25">
      <c r="C139" s="618" t="s">
        <v>73</v>
      </c>
      <c r="D139" s="611">
        <v>0</v>
      </c>
      <c r="E139" s="611">
        <v>0</v>
      </c>
      <c r="F139" s="611">
        <v>0</v>
      </c>
      <c r="G139" s="611">
        <v>0</v>
      </c>
      <c r="H139" s="611">
        <v>0</v>
      </c>
      <c r="I139" s="611">
        <v>0</v>
      </c>
      <c r="J139" s="611">
        <v>0</v>
      </c>
      <c r="K139" s="611">
        <v>0</v>
      </c>
      <c r="L139" s="611">
        <v>0</v>
      </c>
      <c r="M139" s="611">
        <v>0</v>
      </c>
      <c r="N139" s="611">
        <v>0</v>
      </c>
      <c r="O139" s="611">
        <v>0</v>
      </c>
      <c r="P139" s="611">
        <v>0</v>
      </c>
      <c r="Q139" s="611">
        <v>0</v>
      </c>
      <c r="R139" s="611">
        <v>186.09171546114462</v>
      </c>
      <c r="S139" s="611">
        <v>0</v>
      </c>
      <c r="T139" s="611">
        <v>-130.72943011145409</v>
      </c>
      <c r="U139" s="619">
        <v>55.362285349690524</v>
      </c>
      <c r="V139" s="51"/>
    </row>
    <row r="140" spans="3:22" x14ac:dyDescent="0.25">
      <c r="C140" s="618" t="s">
        <v>353</v>
      </c>
      <c r="D140" s="611">
        <v>0</v>
      </c>
      <c r="E140" s="611">
        <v>-5.6494732221184147</v>
      </c>
      <c r="F140" s="611">
        <v>7.3669989850431641</v>
      </c>
      <c r="G140" s="611">
        <v>0</v>
      </c>
      <c r="H140" s="611">
        <v>0</v>
      </c>
      <c r="I140" s="611">
        <v>0</v>
      </c>
      <c r="J140" s="611">
        <v>0</v>
      </c>
      <c r="K140" s="611">
        <v>0</v>
      </c>
      <c r="L140" s="611">
        <v>0</v>
      </c>
      <c r="M140" s="611">
        <v>0</v>
      </c>
      <c r="N140" s="611">
        <v>0</v>
      </c>
      <c r="O140" s="611">
        <v>0</v>
      </c>
      <c r="P140" s="611">
        <v>0</v>
      </c>
      <c r="Q140" s="611">
        <v>0</v>
      </c>
      <c r="R140" s="611">
        <v>0</v>
      </c>
      <c r="S140" s="611">
        <v>0</v>
      </c>
      <c r="T140" s="611">
        <v>0</v>
      </c>
      <c r="U140" s="619">
        <v>1.7175257629247493</v>
      </c>
      <c r="V140" s="51"/>
    </row>
    <row r="141" spans="3:22" x14ac:dyDescent="0.25">
      <c r="C141" s="618" t="s">
        <v>75</v>
      </c>
      <c r="D141" s="611">
        <v>0</v>
      </c>
      <c r="E141" s="611">
        <v>0</v>
      </c>
      <c r="F141" s="611">
        <v>5.5408288295361077</v>
      </c>
      <c r="G141" s="611">
        <v>0</v>
      </c>
      <c r="H141" s="611">
        <v>1.9377811160090992</v>
      </c>
      <c r="I141" s="611">
        <v>4.9686695282284594E-2</v>
      </c>
      <c r="J141" s="611">
        <v>0</v>
      </c>
      <c r="K141" s="611">
        <v>0</v>
      </c>
      <c r="L141" s="611">
        <v>0</v>
      </c>
      <c r="M141" s="611">
        <v>0</v>
      </c>
      <c r="N141" s="611">
        <v>0</v>
      </c>
      <c r="O141" s="611">
        <v>2.9812017169370755</v>
      </c>
      <c r="P141" s="611">
        <v>0</v>
      </c>
      <c r="Q141" s="611">
        <v>0</v>
      </c>
      <c r="R141" s="611">
        <v>65.428671005307493</v>
      </c>
      <c r="S141" s="611">
        <v>0</v>
      </c>
      <c r="T141" s="611">
        <v>0</v>
      </c>
      <c r="U141" s="619">
        <v>75.938169363072063</v>
      </c>
      <c r="V141" s="51"/>
    </row>
    <row r="142" spans="3:22" x14ac:dyDescent="0.25">
      <c r="C142" s="618" t="s">
        <v>76</v>
      </c>
      <c r="D142" s="611">
        <v>0</v>
      </c>
      <c r="E142" s="611">
        <v>0</v>
      </c>
      <c r="F142" s="611">
        <v>0</v>
      </c>
      <c r="G142" s="611">
        <v>0</v>
      </c>
      <c r="H142" s="611">
        <v>0.58858582439204721</v>
      </c>
      <c r="I142" s="611">
        <v>1.5091944215180697E-2</v>
      </c>
      <c r="J142" s="611">
        <v>0</v>
      </c>
      <c r="K142" s="611">
        <v>0</v>
      </c>
      <c r="L142" s="611">
        <v>0</v>
      </c>
      <c r="M142" s="611">
        <v>0</v>
      </c>
      <c r="N142" s="611">
        <v>0</v>
      </c>
      <c r="O142" s="611">
        <v>0.90551665291084182</v>
      </c>
      <c r="P142" s="611">
        <v>0</v>
      </c>
      <c r="Q142" s="611">
        <v>0</v>
      </c>
      <c r="R142" s="611">
        <v>68.128345316060717</v>
      </c>
      <c r="S142" s="611">
        <v>5.2226705636158801</v>
      </c>
      <c r="T142" s="611">
        <v>0</v>
      </c>
      <c r="U142" s="619">
        <v>74.86021030119467</v>
      </c>
      <c r="V142" s="51"/>
    </row>
    <row r="143" spans="3:22" x14ac:dyDescent="0.25">
      <c r="C143" s="614" t="s">
        <v>77</v>
      </c>
      <c r="D143" s="615">
        <v>0</v>
      </c>
      <c r="E143" s="615">
        <v>156.10342406212303</v>
      </c>
      <c r="F143" s="615">
        <v>-147.23201186516312</v>
      </c>
      <c r="G143" s="615">
        <v>-33.473815441656178</v>
      </c>
      <c r="H143" s="615">
        <v>6.2382288472745566</v>
      </c>
      <c r="I143" s="615">
        <v>-5.1093117771120324</v>
      </c>
      <c r="J143" s="615">
        <v>971.10439999999994</v>
      </c>
      <c r="K143" s="615">
        <v>503.30122823446823</v>
      </c>
      <c r="L143" s="615">
        <v>396.66701712539634</v>
      </c>
      <c r="M143" s="615">
        <v>15.068822462688784</v>
      </c>
      <c r="N143" s="615">
        <v>-125.26641824206686</v>
      </c>
      <c r="O143" s="615">
        <v>-78.905910642301208</v>
      </c>
      <c r="P143" s="615">
        <v>0</v>
      </c>
      <c r="Q143" s="615">
        <v>17.724535862473211</v>
      </c>
      <c r="R143" s="615">
        <v>-557.63514551632511</v>
      </c>
      <c r="S143" s="615">
        <v>-62.112636244933569</v>
      </c>
      <c r="T143" s="615">
        <v>-74.818117624520369</v>
      </c>
      <c r="U143" s="615">
        <v>981.65428924034563</v>
      </c>
      <c r="V143" s="51"/>
    </row>
    <row r="144" spans="3:22" x14ac:dyDescent="0.25">
      <c r="C144" s="616"/>
      <c r="D144" s="617"/>
      <c r="E144" s="617"/>
      <c r="F144" s="617"/>
      <c r="G144" s="617"/>
      <c r="H144" s="623"/>
      <c r="I144" s="617"/>
      <c r="J144" s="617"/>
      <c r="K144" s="617"/>
      <c r="L144" s="617"/>
      <c r="M144" s="617"/>
      <c r="N144" s="617"/>
      <c r="O144" s="617"/>
      <c r="P144" s="617"/>
      <c r="Q144" s="617"/>
      <c r="R144" s="617"/>
      <c r="S144" s="617"/>
      <c r="T144" s="617"/>
      <c r="U144" s="617"/>
      <c r="V144" s="51"/>
    </row>
    <row r="145" spans="3:22" x14ac:dyDescent="0.25">
      <c r="C145" s="618" t="s">
        <v>78</v>
      </c>
      <c r="D145" s="611">
        <v>1.6567330370836562</v>
      </c>
      <c r="E145" s="611">
        <v>0</v>
      </c>
      <c r="F145" s="611">
        <v>2.8599897491525303</v>
      </c>
      <c r="G145" s="611">
        <v>0</v>
      </c>
      <c r="H145" s="611">
        <v>23.2042782425182</v>
      </c>
      <c r="I145" s="611">
        <v>0.59498149339790252</v>
      </c>
      <c r="J145" s="611">
        <v>0</v>
      </c>
      <c r="K145" s="611">
        <v>0</v>
      </c>
      <c r="L145" s="611">
        <v>22.611451120736024</v>
      </c>
      <c r="M145" s="611">
        <v>5.7247037459588501</v>
      </c>
      <c r="N145" s="611">
        <v>2.4891014214733991</v>
      </c>
      <c r="O145" s="611">
        <v>35.740239810905898</v>
      </c>
      <c r="P145" s="611">
        <v>17.613589843749999</v>
      </c>
      <c r="Q145" s="611">
        <v>8.4299170840015686E-4</v>
      </c>
      <c r="R145" s="611">
        <v>187.94943106568476</v>
      </c>
      <c r="S145" s="611">
        <v>21.3497147946984</v>
      </c>
      <c r="T145" s="611">
        <v>13.7914765625</v>
      </c>
      <c r="U145" s="619">
        <v>335.58653387956804</v>
      </c>
      <c r="V145" s="51"/>
    </row>
    <row r="146" spans="3:22" x14ac:dyDescent="0.25">
      <c r="C146" s="618" t="s">
        <v>79</v>
      </c>
      <c r="D146" s="611">
        <v>0</v>
      </c>
      <c r="E146" s="611">
        <v>0</v>
      </c>
      <c r="F146" s="611">
        <v>7.0212023016086675</v>
      </c>
      <c r="G146" s="611">
        <v>2.7990026147409606</v>
      </c>
      <c r="H146" s="611">
        <v>3.0363171620819989</v>
      </c>
      <c r="I146" s="611">
        <v>7.7854286207230741E-2</v>
      </c>
      <c r="J146" s="611">
        <v>0</v>
      </c>
      <c r="K146" s="611">
        <v>0</v>
      </c>
      <c r="L146" s="611">
        <v>0</v>
      </c>
      <c r="M146" s="611">
        <v>0</v>
      </c>
      <c r="N146" s="611">
        <v>56.581202021290558</v>
      </c>
      <c r="O146" s="611">
        <v>4.6712571724338439</v>
      </c>
      <c r="P146" s="611">
        <v>0</v>
      </c>
      <c r="Q146" s="611">
        <v>0</v>
      </c>
      <c r="R146" s="611">
        <v>112.24073946586431</v>
      </c>
      <c r="S146" s="611">
        <v>0</v>
      </c>
      <c r="T146" s="611">
        <v>6.497399181335763</v>
      </c>
      <c r="U146" s="619">
        <v>192.92497420556333</v>
      </c>
      <c r="V146" s="51"/>
    </row>
    <row r="147" spans="3:22" x14ac:dyDescent="0.25">
      <c r="C147" s="618" t="s">
        <v>80</v>
      </c>
      <c r="D147" s="611">
        <v>0</v>
      </c>
      <c r="E147" s="611">
        <v>0</v>
      </c>
      <c r="F147" s="611">
        <v>0.52818257625892373</v>
      </c>
      <c r="G147" s="611">
        <v>0</v>
      </c>
      <c r="H147" s="611">
        <v>9.9272307301662774</v>
      </c>
      <c r="I147" s="611">
        <v>0.25454437769657123</v>
      </c>
      <c r="J147" s="611">
        <v>0</v>
      </c>
      <c r="K147" s="611">
        <v>0</v>
      </c>
      <c r="L147" s="611">
        <v>36.145280389625334</v>
      </c>
      <c r="M147" s="611">
        <v>0</v>
      </c>
      <c r="N147" s="611">
        <v>0</v>
      </c>
      <c r="O147" s="611">
        <v>15.272662661794273</v>
      </c>
      <c r="P147" s="611">
        <v>102.98149571768585</v>
      </c>
      <c r="Q147" s="611">
        <v>2.9888036499995505</v>
      </c>
      <c r="R147" s="611">
        <v>143.51715895688449</v>
      </c>
      <c r="S147" s="611">
        <v>22.181895321077057</v>
      </c>
      <c r="T147" s="611">
        <v>0</v>
      </c>
      <c r="U147" s="619">
        <v>333.79725438118828</v>
      </c>
      <c r="V147" s="51"/>
    </row>
    <row r="148" spans="3:22" x14ac:dyDescent="0.25">
      <c r="C148" s="618" t="s">
        <v>81</v>
      </c>
      <c r="D148" s="611">
        <v>0</v>
      </c>
      <c r="E148" s="611">
        <v>0</v>
      </c>
      <c r="F148" s="611">
        <v>0.4043921899752152</v>
      </c>
      <c r="G148" s="611">
        <v>0</v>
      </c>
      <c r="H148" s="611">
        <v>5.5758605918279338</v>
      </c>
      <c r="I148" s="611">
        <v>0.14297078440584446</v>
      </c>
      <c r="J148" s="611">
        <v>0</v>
      </c>
      <c r="K148" s="611">
        <v>0</v>
      </c>
      <c r="L148" s="611">
        <v>0.49596954229928064</v>
      </c>
      <c r="M148" s="611">
        <v>0</v>
      </c>
      <c r="N148" s="611">
        <v>0</v>
      </c>
      <c r="O148" s="611">
        <v>8.5782470643506681</v>
      </c>
      <c r="P148" s="611">
        <v>49.237012139994242</v>
      </c>
      <c r="Q148" s="611">
        <v>3.2685728275989634</v>
      </c>
      <c r="R148" s="611">
        <v>113.98538483583862</v>
      </c>
      <c r="S148" s="611">
        <v>18.581026129158101</v>
      </c>
      <c r="T148" s="611">
        <v>0</v>
      </c>
      <c r="U148" s="619">
        <v>200.26943610544885</v>
      </c>
      <c r="V148" s="51"/>
    </row>
    <row r="149" spans="3:22" x14ac:dyDescent="0.25">
      <c r="C149" s="618" t="s">
        <v>82</v>
      </c>
      <c r="D149" s="611">
        <v>0</v>
      </c>
      <c r="E149" s="611">
        <v>0</v>
      </c>
      <c r="F149" s="611">
        <v>3.6463721740036745</v>
      </c>
      <c r="G149" s="611">
        <v>0</v>
      </c>
      <c r="H149" s="611">
        <v>0.54193037779832631</v>
      </c>
      <c r="I149" s="611">
        <v>1.3895650712777598E-2</v>
      </c>
      <c r="J149" s="611">
        <v>0</v>
      </c>
      <c r="K149" s="611">
        <v>0</v>
      </c>
      <c r="L149" s="611">
        <v>3.5613676310951794</v>
      </c>
      <c r="M149" s="611">
        <v>0</v>
      </c>
      <c r="N149" s="611">
        <v>18.734510808369581</v>
      </c>
      <c r="O149" s="611">
        <v>0.83373904276665589</v>
      </c>
      <c r="P149" s="611">
        <v>1.25</v>
      </c>
      <c r="Q149" s="611">
        <v>1.7440136932478227</v>
      </c>
      <c r="R149" s="611">
        <v>6.9126660362912906</v>
      </c>
      <c r="S149" s="611">
        <v>0</v>
      </c>
      <c r="T149" s="611">
        <v>0.67126612024062504</v>
      </c>
      <c r="U149" s="619">
        <v>37.909761534525927</v>
      </c>
      <c r="V149" s="51"/>
    </row>
    <row r="150" spans="3:22" x14ac:dyDescent="0.25">
      <c r="C150" s="618" t="s">
        <v>354</v>
      </c>
      <c r="D150" s="611">
        <v>0</v>
      </c>
      <c r="E150" s="611">
        <v>0</v>
      </c>
      <c r="F150" s="611">
        <v>0</v>
      </c>
      <c r="G150" s="611">
        <v>0</v>
      </c>
      <c r="H150" s="611">
        <v>0</v>
      </c>
      <c r="I150" s="611">
        <v>0</v>
      </c>
      <c r="J150" s="611">
        <v>0</v>
      </c>
      <c r="K150" s="611">
        <v>0</v>
      </c>
      <c r="L150" s="611">
        <v>0</v>
      </c>
      <c r="M150" s="611">
        <v>0</v>
      </c>
      <c r="N150" s="611">
        <v>0</v>
      </c>
      <c r="O150" s="611">
        <v>0</v>
      </c>
      <c r="P150" s="611">
        <v>0</v>
      </c>
      <c r="Q150" s="611">
        <v>0</v>
      </c>
      <c r="R150" s="611">
        <v>5.7675999999999998</v>
      </c>
      <c r="S150" s="611">
        <v>0</v>
      </c>
      <c r="T150" s="611">
        <v>0</v>
      </c>
      <c r="U150" s="619">
        <v>5.7675999999999998</v>
      </c>
      <c r="V150" s="51"/>
    </row>
    <row r="151" spans="3:22" x14ac:dyDescent="0.25">
      <c r="C151" s="614" t="s">
        <v>83</v>
      </c>
      <c r="D151" s="615">
        <v>1.6567330370836562</v>
      </c>
      <c r="E151" s="615">
        <v>0</v>
      </c>
      <c r="F151" s="615">
        <v>14.460138990999013</v>
      </c>
      <c r="G151" s="615">
        <v>2.7990026147409606</v>
      </c>
      <c r="H151" s="615">
        <v>42.285617104392735</v>
      </c>
      <c r="I151" s="615">
        <v>1.0842465924203266</v>
      </c>
      <c r="J151" s="615">
        <v>0</v>
      </c>
      <c r="K151" s="615">
        <v>0</v>
      </c>
      <c r="L151" s="615">
        <v>62.814068683755821</v>
      </c>
      <c r="M151" s="615">
        <v>5.7247037459588501</v>
      </c>
      <c r="N151" s="615">
        <v>77.804814251133536</v>
      </c>
      <c r="O151" s="615">
        <v>65.096145752251331</v>
      </c>
      <c r="P151" s="615">
        <v>171.08209770143009</v>
      </c>
      <c r="Q151" s="615">
        <v>8.0022331625547363</v>
      </c>
      <c r="R151" s="615">
        <v>570.37298036056347</v>
      </c>
      <c r="S151" s="615">
        <v>62.112636244933555</v>
      </c>
      <c r="T151" s="615">
        <v>20.960141864076387</v>
      </c>
      <c r="U151" s="615">
        <v>1106.2555601062943</v>
      </c>
      <c r="V151" s="51"/>
    </row>
    <row r="152" spans="3:22" x14ac:dyDescent="0.25">
      <c r="C152" s="610" t="s">
        <v>84</v>
      </c>
      <c r="D152" s="611">
        <v>0</v>
      </c>
      <c r="E152" s="611">
        <v>0</v>
      </c>
      <c r="F152" s="611">
        <v>62.444092195240373</v>
      </c>
      <c r="G152" s="611">
        <v>2.5138754259873437</v>
      </c>
      <c r="H152" s="611">
        <v>6.0153513536527026</v>
      </c>
      <c r="I152" s="611">
        <v>0</v>
      </c>
      <c r="J152" s="611">
        <v>0</v>
      </c>
      <c r="K152" s="611">
        <v>0</v>
      </c>
      <c r="L152" s="611">
        <v>0.4729958666220917</v>
      </c>
      <c r="M152" s="611">
        <v>0</v>
      </c>
      <c r="N152" s="611">
        <v>38.295047275787958</v>
      </c>
      <c r="O152" s="611">
        <v>11.297042554251473</v>
      </c>
      <c r="P152" s="611">
        <v>0</v>
      </c>
      <c r="Q152" s="611">
        <v>0</v>
      </c>
      <c r="R152" s="611">
        <v>0</v>
      </c>
      <c r="S152" s="611">
        <v>0</v>
      </c>
      <c r="T152" s="611">
        <v>46.889191785304561</v>
      </c>
      <c r="U152" s="619">
        <v>167.92759645684652</v>
      </c>
      <c r="V152" s="51"/>
    </row>
    <row r="153" spans="3:22" x14ac:dyDescent="0.25">
      <c r="C153" s="614" t="s">
        <v>85</v>
      </c>
      <c r="D153" s="615">
        <v>1.6567330370836562</v>
      </c>
      <c r="E153" s="615">
        <v>0</v>
      </c>
      <c r="F153" s="615">
        <v>76.904231186239386</v>
      </c>
      <c r="G153" s="615">
        <v>5.3128780407283038</v>
      </c>
      <c r="H153" s="615">
        <v>48.300968458045439</v>
      </c>
      <c r="I153" s="615">
        <v>1.0842465924203266</v>
      </c>
      <c r="J153" s="615">
        <v>0</v>
      </c>
      <c r="K153" s="615">
        <v>0</v>
      </c>
      <c r="L153" s="615">
        <v>63.287064550377913</v>
      </c>
      <c r="M153" s="615">
        <v>5.7247037459588501</v>
      </c>
      <c r="N153" s="615">
        <v>116.0998615269215</v>
      </c>
      <c r="O153" s="615">
        <v>76.393188306502807</v>
      </c>
      <c r="P153" s="615">
        <v>171.08209770143009</v>
      </c>
      <c r="Q153" s="615">
        <v>8.0022331625547363</v>
      </c>
      <c r="R153" s="615">
        <v>570.37298036056347</v>
      </c>
      <c r="S153" s="615">
        <v>62.112636244933555</v>
      </c>
      <c r="T153" s="615">
        <v>67.849333649380952</v>
      </c>
      <c r="U153" s="615">
        <v>1274.1831565631408</v>
      </c>
      <c r="V153" s="51"/>
    </row>
    <row r="154" spans="3:22" x14ac:dyDescent="0.25">
      <c r="C154" s="51"/>
      <c r="D154" s="67">
        <v>0</v>
      </c>
      <c r="E154" s="67">
        <v>0</v>
      </c>
      <c r="F154" s="67">
        <v>0</v>
      </c>
      <c r="G154" s="67">
        <v>0</v>
      </c>
      <c r="H154" s="67">
        <v>0</v>
      </c>
      <c r="I154" s="67">
        <v>0</v>
      </c>
      <c r="J154" s="67">
        <v>0</v>
      </c>
      <c r="K154" s="67">
        <v>0</v>
      </c>
      <c r="L154" s="67">
        <v>0</v>
      </c>
      <c r="M154" s="67">
        <v>-3.4682726224488647E-4</v>
      </c>
      <c r="N154" s="67">
        <v>0</v>
      </c>
      <c r="O154" s="67">
        <v>1.3322676295501878E-14</v>
      </c>
      <c r="P154" s="67">
        <v>0</v>
      </c>
      <c r="Q154" s="67">
        <v>0</v>
      </c>
      <c r="R154" s="67">
        <v>0</v>
      </c>
      <c r="S154" s="67">
        <v>-1.4210854715202004E-14</v>
      </c>
      <c r="T154" s="67">
        <v>0</v>
      </c>
      <c r="U154" s="67">
        <v>-3.4682726254686713E-4</v>
      </c>
      <c r="V154" s="51"/>
    </row>
    <row r="155" spans="3:22" x14ac:dyDescent="0.25">
      <c r="C155" s="51"/>
      <c r="D155" s="51"/>
      <c r="E155" s="51"/>
      <c r="F155" s="51"/>
      <c r="G155" s="67"/>
      <c r="H155" s="51"/>
      <c r="I155" s="51"/>
      <c r="J155" s="51"/>
      <c r="K155" s="51"/>
      <c r="L155" s="51"/>
      <c r="M155" s="51"/>
      <c r="N155" s="51"/>
      <c r="O155" s="51"/>
      <c r="P155" s="51"/>
      <c r="Q155" s="51"/>
      <c r="R155" s="51"/>
      <c r="S155" s="51"/>
      <c r="T155" s="51"/>
      <c r="U155" s="51"/>
      <c r="V155" s="51"/>
    </row>
    <row r="156" spans="3:22" x14ac:dyDescent="0.25">
      <c r="C156" s="607" t="s">
        <v>89</v>
      </c>
      <c r="D156" s="606"/>
      <c r="E156" s="606"/>
      <c r="F156" s="606"/>
      <c r="G156" s="682"/>
      <c r="H156" s="606"/>
      <c r="I156" s="606"/>
      <c r="J156" s="606"/>
      <c r="K156" s="606"/>
      <c r="L156" s="606"/>
      <c r="M156" s="606"/>
      <c r="N156" s="606"/>
      <c r="O156" s="606"/>
      <c r="P156" s="606"/>
      <c r="Q156" s="606"/>
      <c r="R156" s="606"/>
      <c r="S156" s="606"/>
      <c r="T156" s="606"/>
      <c r="U156" s="606"/>
      <c r="V156" s="606"/>
    </row>
    <row r="157" spans="3:22" x14ac:dyDescent="0.25">
      <c r="C157" s="51"/>
      <c r="D157" s="51"/>
      <c r="E157" s="51"/>
      <c r="F157" s="51"/>
      <c r="G157" s="67"/>
      <c r="H157" s="51"/>
      <c r="I157" s="51"/>
      <c r="J157" s="51"/>
      <c r="K157" s="51"/>
      <c r="L157" s="51"/>
      <c r="M157" s="51"/>
      <c r="N157" s="51"/>
      <c r="O157" s="51"/>
      <c r="P157" s="51"/>
      <c r="Q157" s="51"/>
      <c r="R157" s="51"/>
      <c r="S157" s="51"/>
      <c r="T157" s="51"/>
      <c r="U157" s="51"/>
      <c r="V157" s="51"/>
    </row>
    <row r="158" spans="3:22" x14ac:dyDescent="0.25">
      <c r="C158" s="764" t="s">
        <v>128</v>
      </c>
      <c r="D158" s="753" t="s">
        <v>42</v>
      </c>
      <c r="E158" s="753" t="s">
        <v>52</v>
      </c>
      <c r="F158" s="753" t="s">
        <v>53</v>
      </c>
      <c r="G158" s="766" t="s">
        <v>482</v>
      </c>
      <c r="H158" s="753" t="s">
        <v>32</v>
      </c>
      <c r="I158" s="753" t="s">
        <v>483</v>
      </c>
      <c r="J158" s="753" t="s">
        <v>20</v>
      </c>
      <c r="K158" s="753" t="s">
        <v>55</v>
      </c>
      <c r="L158" s="761" t="s">
        <v>56</v>
      </c>
      <c r="M158" s="762"/>
      <c r="N158" s="762"/>
      <c r="O158" s="762"/>
      <c r="P158" s="762"/>
      <c r="Q158" s="763"/>
      <c r="R158" s="753" t="s">
        <v>57</v>
      </c>
      <c r="S158" s="753" t="s">
        <v>58</v>
      </c>
      <c r="T158" s="753" t="s">
        <v>31</v>
      </c>
      <c r="U158" s="753" t="s">
        <v>10</v>
      </c>
      <c r="V158" s="51"/>
    </row>
    <row r="159" spans="3:22" ht="36" x14ac:dyDescent="0.25">
      <c r="C159" s="765"/>
      <c r="D159" s="754"/>
      <c r="E159" s="754"/>
      <c r="F159" s="754"/>
      <c r="G159" s="767"/>
      <c r="H159" s="754"/>
      <c r="I159" s="754"/>
      <c r="J159" s="754"/>
      <c r="K159" s="754"/>
      <c r="L159" s="608" t="s">
        <v>335</v>
      </c>
      <c r="M159" s="608" t="s">
        <v>40</v>
      </c>
      <c r="N159" s="608" t="s">
        <v>343</v>
      </c>
      <c r="O159" s="608" t="s">
        <v>344</v>
      </c>
      <c r="P159" s="609" t="s">
        <v>345</v>
      </c>
      <c r="Q159" s="608" t="s">
        <v>346</v>
      </c>
      <c r="R159" s="754"/>
      <c r="S159" s="754"/>
      <c r="T159" s="754"/>
      <c r="U159" s="754"/>
      <c r="V159" s="51"/>
    </row>
    <row r="160" spans="3:22" x14ac:dyDescent="0.25">
      <c r="C160" s="610" t="s">
        <v>59</v>
      </c>
      <c r="D160" s="611">
        <v>0</v>
      </c>
      <c r="E160" s="611">
        <v>0</v>
      </c>
      <c r="F160" s="611">
        <v>0</v>
      </c>
      <c r="G160" s="611">
        <v>0</v>
      </c>
      <c r="H160" s="611">
        <v>0</v>
      </c>
      <c r="I160" s="611">
        <v>0</v>
      </c>
      <c r="J160" s="612">
        <v>759.92203636363649</v>
      </c>
      <c r="K160" s="612">
        <v>585.27007132862354</v>
      </c>
      <c r="L160" s="612">
        <v>421.01958402132601</v>
      </c>
      <c r="M160" s="612">
        <v>20.686642208021134</v>
      </c>
      <c r="N160" s="611">
        <v>1.5563580670349855</v>
      </c>
      <c r="O160" s="611">
        <v>0.17110271620039663</v>
      </c>
      <c r="P160" s="612">
        <v>181.20215447851419</v>
      </c>
      <c r="Q160" s="612">
        <v>27.103716579638188</v>
      </c>
      <c r="R160" s="611">
        <v>0</v>
      </c>
      <c r="S160" s="611">
        <v>0</v>
      </c>
      <c r="T160" s="611">
        <v>0</v>
      </c>
      <c r="U160" s="613">
        <v>1996.9316657629947</v>
      </c>
      <c r="V160" s="51"/>
    </row>
    <row r="161" spans="3:22" x14ac:dyDescent="0.25">
      <c r="C161" s="610" t="s">
        <v>60</v>
      </c>
      <c r="D161" s="611">
        <v>0.64129319091675452</v>
      </c>
      <c r="E161" s="611">
        <v>72.7588411322387</v>
      </c>
      <c r="F161" s="611">
        <v>1.9517818504706483</v>
      </c>
      <c r="G161" s="611">
        <v>0</v>
      </c>
      <c r="H161" s="611">
        <v>3.2223770587889593</v>
      </c>
      <c r="I161" s="611">
        <v>0</v>
      </c>
      <c r="J161" s="611">
        <v>0</v>
      </c>
      <c r="K161" s="611">
        <v>0</v>
      </c>
      <c r="L161" s="611">
        <v>5.2309321400654634</v>
      </c>
      <c r="M161" s="611">
        <v>0</v>
      </c>
      <c r="N161" s="611">
        <v>6.8353402019644598</v>
      </c>
      <c r="O161" s="611">
        <v>0</v>
      </c>
      <c r="P161" s="611">
        <v>0</v>
      </c>
      <c r="Q161" s="611">
        <v>0</v>
      </c>
      <c r="R161" s="611">
        <v>86.758204068598843</v>
      </c>
      <c r="S161" s="611">
        <v>0</v>
      </c>
      <c r="T161" s="611">
        <v>0</v>
      </c>
      <c r="U161" s="613">
        <v>177.39876964304383</v>
      </c>
      <c r="V161" s="51"/>
    </row>
    <row r="162" spans="3:22" x14ac:dyDescent="0.25">
      <c r="C162" s="610" t="s">
        <v>61</v>
      </c>
      <c r="D162" s="611">
        <v>0</v>
      </c>
      <c r="E162" s="611">
        <v>0</v>
      </c>
      <c r="F162" s="611">
        <v>-14.049213431109226</v>
      </c>
      <c r="G162" s="611">
        <v>-15.061852283906475</v>
      </c>
      <c r="H162" s="611">
        <v>0</v>
      </c>
      <c r="I162" s="611">
        <v>0</v>
      </c>
      <c r="J162" s="611">
        <v>0</v>
      </c>
      <c r="K162" s="611">
        <v>0</v>
      </c>
      <c r="L162" s="611">
        <v>0</v>
      </c>
      <c r="M162" s="611">
        <v>0</v>
      </c>
      <c r="N162" s="611">
        <v>0</v>
      </c>
      <c r="O162" s="611">
        <v>0</v>
      </c>
      <c r="P162" s="611">
        <v>0</v>
      </c>
      <c r="Q162" s="611">
        <v>0</v>
      </c>
      <c r="R162" s="611">
        <v>0</v>
      </c>
      <c r="S162" s="611">
        <v>0</v>
      </c>
      <c r="T162" s="611">
        <v>0</v>
      </c>
      <c r="U162" s="613">
        <v>-29.111065715015702</v>
      </c>
      <c r="V162" s="51"/>
    </row>
    <row r="163" spans="3:22" x14ac:dyDescent="0.25">
      <c r="C163" s="610" t="s">
        <v>62</v>
      </c>
      <c r="D163" s="611">
        <v>0</v>
      </c>
      <c r="E163" s="611">
        <v>0</v>
      </c>
      <c r="F163" s="611">
        <v>0</v>
      </c>
      <c r="G163" s="611">
        <v>-6.1101617494546652</v>
      </c>
      <c r="H163" s="611">
        <v>0</v>
      </c>
      <c r="I163" s="611">
        <v>-4.4416564350684116</v>
      </c>
      <c r="J163" s="611">
        <v>0</v>
      </c>
      <c r="K163" s="611">
        <v>0</v>
      </c>
      <c r="L163" s="611">
        <v>0</v>
      </c>
      <c r="M163" s="611">
        <v>0</v>
      </c>
      <c r="N163" s="611">
        <v>-1.5423967884416028</v>
      </c>
      <c r="O163" s="611">
        <v>-2.9611042900456073</v>
      </c>
      <c r="P163" s="611">
        <v>0</v>
      </c>
      <c r="Q163" s="611">
        <v>0</v>
      </c>
      <c r="R163" s="611">
        <v>0</v>
      </c>
      <c r="S163" s="611">
        <v>0</v>
      </c>
      <c r="T163" s="611">
        <v>-2.4482488705422272</v>
      </c>
      <c r="U163" s="613">
        <v>-17.503568133552513</v>
      </c>
      <c r="V163" s="51"/>
    </row>
    <row r="164" spans="3:22" x14ac:dyDescent="0.25">
      <c r="C164" s="610" t="s">
        <v>63</v>
      </c>
      <c r="D164" s="611">
        <v>0</v>
      </c>
      <c r="E164" s="611">
        <v>0</v>
      </c>
      <c r="F164" s="611">
        <v>-7.3240777097484635</v>
      </c>
      <c r="G164" s="611">
        <v>-24.912603262820603</v>
      </c>
      <c r="H164" s="611">
        <v>0</v>
      </c>
      <c r="I164" s="611">
        <v>0</v>
      </c>
      <c r="J164" s="611">
        <v>0</v>
      </c>
      <c r="K164" s="611">
        <v>0</v>
      </c>
      <c r="L164" s="611">
        <v>0</v>
      </c>
      <c r="M164" s="611">
        <v>0</v>
      </c>
      <c r="N164" s="611">
        <v>-17.438822283974417</v>
      </c>
      <c r="O164" s="611">
        <v>0</v>
      </c>
      <c r="P164" s="611">
        <v>0</v>
      </c>
      <c r="Q164" s="611">
        <v>0</v>
      </c>
      <c r="R164" s="611">
        <v>0</v>
      </c>
      <c r="S164" s="611">
        <v>0</v>
      </c>
      <c r="T164" s="611">
        <v>-7.5807767073973409</v>
      </c>
      <c r="U164" s="613">
        <v>-57.256279963940827</v>
      </c>
      <c r="V164" s="51"/>
    </row>
    <row r="165" spans="3:22" x14ac:dyDescent="0.25">
      <c r="C165" s="610" t="s">
        <v>64</v>
      </c>
      <c r="D165" s="611">
        <v>0</v>
      </c>
      <c r="E165" s="611">
        <v>0</v>
      </c>
      <c r="F165" s="611">
        <v>0</v>
      </c>
      <c r="G165" s="611">
        <v>0</v>
      </c>
      <c r="H165" s="611">
        <v>0</v>
      </c>
      <c r="I165" s="611">
        <v>0</v>
      </c>
      <c r="J165" s="611">
        <v>0</v>
      </c>
      <c r="K165" s="611">
        <v>0</v>
      </c>
      <c r="L165" s="611">
        <v>0</v>
      </c>
      <c r="M165" s="611">
        <v>0</v>
      </c>
      <c r="N165" s="611">
        <v>0</v>
      </c>
      <c r="O165" s="611">
        <v>0</v>
      </c>
      <c r="P165" s="611">
        <v>0</v>
      </c>
      <c r="Q165" s="611">
        <v>0</v>
      </c>
      <c r="R165" s="611">
        <v>0</v>
      </c>
      <c r="S165" s="611">
        <v>0</v>
      </c>
      <c r="T165" s="611">
        <v>0</v>
      </c>
      <c r="U165" s="613">
        <v>0</v>
      </c>
      <c r="V165" s="51"/>
    </row>
    <row r="166" spans="3:22" x14ac:dyDescent="0.25">
      <c r="C166" s="614" t="s">
        <v>65</v>
      </c>
      <c r="D166" s="615">
        <v>0.64129319091675452</v>
      </c>
      <c r="E166" s="615">
        <v>72.7588411322387</v>
      </c>
      <c r="F166" s="615">
        <v>-19.421509290387043</v>
      </c>
      <c r="G166" s="615">
        <v>-46.084617296181747</v>
      </c>
      <c r="H166" s="615">
        <v>3.2223770587889593</v>
      </c>
      <c r="I166" s="615">
        <v>-4.4416564350684116</v>
      </c>
      <c r="J166" s="615">
        <v>759.92203636363649</v>
      </c>
      <c r="K166" s="615">
        <v>585.27007132862354</v>
      </c>
      <c r="L166" s="615">
        <v>426.25051616139149</v>
      </c>
      <c r="M166" s="615">
        <v>20.686642208021134</v>
      </c>
      <c r="N166" s="615">
        <v>-10.589520803416576</v>
      </c>
      <c r="O166" s="615">
        <v>-2.7900015738452106</v>
      </c>
      <c r="P166" s="615">
        <v>181.20215447851419</v>
      </c>
      <c r="Q166" s="615">
        <v>27.103716579638188</v>
      </c>
      <c r="R166" s="615">
        <v>86.758204068598843</v>
      </c>
      <c r="S166" s="615">
        <v>0</v>
      </c>
      <c r="T166" s="615">
        <v>-10.029025577939567</v>
      </c>
      <c r="U166" s="615">
        <v>2070.4595215935296</v>
      </c>
      <c r="V166" s="51"/>
    </row>
    <row r="167" spans="3:22" x14ac:dyDescent="0.25">
      <c r="C167" s="616"/>
      <c r="D167" s="617"/>
      <c r="E167" s="617"/>
      <c r="F167" s="617"/>
      <c r="G167" s="617"/>
      <c r="H167" s="623"/>
      <c r="I167" s="617"/>
      <c r="J167" s="617"/>
      <c r="K167" s="617"/>
      <c r="L167" s="617"/>
      <c r="M167" s="617"/>
      <c r="N167" s="617"/>
      <c r="O167" s="617"/>
      <c r="P167" s="617"/>
      <c r="Q167" s="617"/>
      <c r="R167" s="617"/>
      <c r="S167" s="617"/>
      <c r="T167" s="617"/>
      <c r="U167" s="617"/>
      <c r="V167" s="51"/>
    </row>
    <row r="168" spans="3:22" x14ac:dyDescent="0.25">
      <c r="C168" s="618" t="s">
        <v>67</v>
      </c>
      <c r="D168" s="611">
        <v>0</v>
      </c>
      <c r="E168" s="611">
        <v>0</v>
      </c>
      <c r="F168" s="611">
        <v>0</v>
      </c>
      <c r="G168" s="611">
        <v>0</v>
      </c>
      <c r="H168" s="611">
        <v>0</v>
      </c>
      <c r="I168" s="611">
        <v>0</v>
      </c>
      <c r="J168" s="611">
        <v>0</v>
      </c>
      <c r="K168" s="611">
        <v>0</v>
      </c>
      <c r="L168" s="611">
        <v>0</v>
      </c>
      <c r="M168" s="611">
        <v>0</v>
      </c>
      <c r="N168" s="611">
        <v>0</v>
      </c>
      <c r="O168" s="611">
        <v>0</v>
      </c>
      <c r="P168" s="611">
        <v>0</v>
      </c>
      <c r="Q168" s="611">
        <v>0</v>
      </c>
      <c r="R168" s="611">
        <v>0</v>
      </c>
      <c r="S168" s="611">
        <v>0</v>
      </c>
      <c r="T168" s="611">
        <v>0</v>
      </c>
      <c r="U168" s="619">
        <v>0</v>
      </c>
      <c r="V168" s="51"/>
    </row>
    <row r="169" spans="3:22" x14ac:dyDescent="0.25">
      <c r="C169" s="618" t="s">
        <v>347</v>
      </c>
      <c r="D169" s="611">
        <v>0</v>
      </c>
      <c r="E169" s="611">
        <v>0</v>
      </c>
      <c r="F169" s="611">
        <v>0</v>
      </c>
      <c r="G169" s="611">
        <v>0</v>
      </c>
      <c r="H169" s="611">
        <v>0</v>
      </c>
      <c r="I169" s="611">
        <v>0</v>
      </c>
      <c r="J169" s="611">
        <v>759.92203636363649</v>
      </c>
      <c r="K169" s="611">
        <v>585.27007132862354</v>
      </c>
      <c r="L169" s="611">
        <v>21.935641645543306</v>
      </c>
      <c r="M169" s="611">
        <v>0.61628865372008657</v>
      </c>
      <c r="N169" s="611">
        <v>6.5561937148871507</v>
      </c>
      <c r="O169" s="611">
        <v>1.5747281082088551</v>
      </c>
      <c r="P169" s="611">
        <v>0</v>
      </c>
      <c r="Q169" s="611">
        <v>6.7631767445353068</v>
      </c>
      <c r="R169" s="611">
        <v>-895.33632983844416</v>
      </c>
      <c r="S169" s="611">
        <v>0</v>
      </c>
      <c r="T169" s="611">
        <v>6.4421899999999992</v>
      </c>
      <c r="U169" s="619">
        <v>493.74399672071024</v>
      </c>
      <c r="V169" s="51"/>
    </row>
    <row r="170" spans="3:22" x14ac:dyDescent="0.25">
      <c r="C170" s="618" t="s">
        <v>348</v>
      </c>
      <c r="D170" s="611">
        <v>0</v>
      </c>
      <c r="E170" s="611">
        <v>0</v>
      </c>
      <c r="F170" s="611">
        <v>0</v>
      </c>
      <c r="G170" s="611">
        <v>0</v>
      </c>
      <c r="H170" s="611">
        <v>0</v>
      </c>
      <c r="I170" s="611">
        <v>0</v>
      </c>
      <c r="J170" s="611">
        <v>0</v>
      </c>
      <c r="K170" s="611">
        <v>0</v>
      </c>
      <c r="L170" s="611">
        <v>34.859137423321251</v>
      </c>
      <c r="M170" s="611">
        <v>14.707872710950403</v>
      </c>
      <c r="N170" s="611">
        <v>0</v>
      </c>
      <c r="O170" s="611">
        <v>8.3969630288089814</v>
      </c>
      <c r="P170" s="611">
        <v>0</v>
      </c>
      <c r="Q170" s="611">
        <v>11.678038971322861</v>
      </c>
      <c r="R170" s="611">
        <v>0</v>
      </c>
      <c r="S170" s="611">
        <v>-66.565624993763251</v>
      </c>
      <c r="T170" s="611">
        <v>0</v>
      </c>
      <c r="U170" s="619">
        <v>3.0763871406402501</v>
      </c>
      <c r="V170" s="51"/>
    </row>
    <row r="171" spans="3:22" x14ac:dyDescent="0.25">
      <c r="C171" s="618" t="s">
        <v>349</v>
      </c>
      <c r="D171" s="611">
        <v>0</v>
      </c>
      <c r="E171" s="611">
        <v>0</v>
      </c>
      <c r="F171" s="611">
        <v>0</v>
      </c>
      <c r="G171" s="611">
        <v>0</v>
      </c>
      <c r="H171" s="611">
        <v>0</v>
      </c>
      <c r="I171" s="611">
        <v>0</v>
      </c>
      <c r="J171" s="611">
        <v>0</v>
      </c>
      <c r="K171" s="611">
        <v>0</v>
      </c>
      <c r="L171" s="611">
        <v>116.09247876238595</v>
      </c>
      <c r="M171" s="611">
        <v>0</v>
      </c>
      <c r="N171" s="611">
        <v>0</v>
      </c>
      <c r="O171" s="611">
        <v>-107.1437165457632</v>
      </c>
      <c r="P171" s="611">
        <v>0</v>
      </c>
      <c r="Q171" s="611">
        <v>0</v>
      </c>
      <c r="R171" s="611">
        <v>0</v>
      </c>
      <c r="S171" s="611">
        <v>0</v>
      </c>
      <c r="T171" s="611">
        <v>0</v>
      </c>
      <c r="U171" s="619">
        <v>8.9487622166227538</v>
      </c>
      <c r="V171" s="51"/>
    </row>
    <row r="172" spans="3:22" x14ac:dyDescent="0.25">
      <c r="C172" s="618" t="s">
        <v>350</v>
      </c>
      <c r="D172" s="611">
        <v>0</v>
      </c>
      <c r="E172" s="611">
        <v>0</v>
      </c>
      <c r="F172" s="611">
        <v>0</v>
      </c>
      <c r="G172" s="611">
        <v>0</v>
      </c>
      <c r="H172" s="611">
        <v>0</v>
      </c>
      <c r="I172" s="611">
        <v>-8.6805438008370892</v>
      </c>
      <c r="J172" s="611">
        <v>0</v>
      </c>
      <c r="K172" s="611">
        <v>0</v>
      </c>
      <c r="L172" s="611">
        <v>0</v>
      </c>
      <c r="M172" s="611">
        <v>0</v>
      </c>
      <c r="N172" s="611">
        <v>0</v>
      </c>
      <c r="O172" s="611">
        <v>0</v>
      </c>
      <c r="P172" s="611">
        <v>0</v>
      </c>
      <c r="Q172" s="611">
        <v>0</v>
      </c>
      <c r="R172" s="611">
        <v>0</v>
      </c>
      <c r="S172" s="611">
        <v>0</v>
      </c>
      <c r="T172" s="611">
        <v>12.086503242074816</v>
      </c>
      <c r="U172" s="619">
        <v>3.4059594412377265</v>
      </c>
      <c r="V172" s="51"/>
    </row>
    <row r="173" spans="3:22" x14ac:dyDescent="0.25">
      <c r="C173" s="618" t="s">
        <v>72</v>
      </c>
      <c r="D173" s="611">
        <v>0</v>
      </c>
      <c r="E173" s="611">
        <v>75.393588190645644</v>
      </c>
      <c r="F173" s="611">
        <v>-74.641887149518311</v>
      </c>
      <c r="G173" s="611">
        <v>0</v>
      </c>
      <c r="H173" s="611">
        <v>0</v>
      </c>
      <c r="I173" s="611">
        <v>0</v>
      </c>
      <c r="J173" s="611">
        <v>0</v>
      </c>
      <c r="K173" s="611">
        <v>0</v>
      </c>
      <c r="L173" s="611">
        <v>0</v>
      </c>
      <c r="M173" s="611">
        <v>0</v>
      </c>
      <c r="N173" s="611">
        <v>0</v>
      </c>
      <c r="O173" s="611">
        <v>0</v>
      </c>
      <c r="P173" s="611">
        <v>0</v>
      </c>
      <c r="Q173" s="611">
        <v>0</v>
      </c>
      <c r="R173" s="611">
        <v>0</v>
      </c>
      <c r="S173" s="611">
        <v>0</v>
      </c>
      <c r="T173" s="611">
        <v>0</v>
      </c>
      <c r="U173" s="619">
        <v>0.75170104112733327</v>
      </c>
      <c r="V173" s="51"/>
    </row>
    <row r="174" spans="3:22" x14ac:dyDescent="0.25">
      <c r="C174" s="618" t="s">
        <v>351</v>
      </c>
      <c r="D174" s="611">
        <v>0</v>
      </c>
      <c r="E174" s="611">
        <v>0</v>
      </c>
      <c r="F174" s="611">
        <v>0</v>
      </c>
      <c r="G174" s="611">
        <v>0</v>
      </c>
      <c r="H174" s="611">
        <v>0</v>
      </c>
      <c r="I174" s="611">
        <v>0</v>
      </c>
      <c r="J174" s="611">
        <v>0</v>
      </c>
      <c r="K174" s="611">
        <v>0</v>
      </c>
      <c r="L174" s="611">
        <v>194.54575293909065</v>
      </c>
      <c r="M174" s="611">
        <v>0</v>
      </c>
      <c r="N174" s="611">
        <v>-107.00016411649986</v>
      </c>
      <c r="O174" s="611">
        <v>0</v>
      </c>
      <c r="P174" s="611">
        <v>0</v>
      </c>
      <c r="Q174" s="611">
        <v>0</v>
      </c>
      <c r="R174" s="611">
        <v>0</v>
      </c>
      <c r="S174" s="611">
        <v>0</v>
      </c>
      <c r="T174" s="611">
        <v>0</v>
      </c>
      <c r="U174" s="619">
        <v>87.545588822590787</v>
      </c>
      <c r="V174" s="51"/>
    </row>
    <row r="175" spans="3:22" x14ac:dyDescent="0.25">
      <c r="C175" s="618" t="s">
        <v>352</v>
      </c>
      <c r="D175" s="611">
        <v>0</v>
      </c>
      <c r="E175" s="611">
        <v>0</v>
      </c>
      <c r="F175" s="611">
        <v>0</v>
      </c>
      <c r="G175" s="611">
        <v>-53.670926604582093</v>
      </c>
      <c r="H175" s="611">
        <v>0</v>
      </c>
      <c r="I175" s="611">
        <v>0</v>
      </c>
      <c r="J175" s="611">
        <v>0</v>
      </c>
      <c r="K175" s="611">
        <v>0</v>
      </c>
      <c r="L175" s="611">
        <v>0</v>
      </c>
      <c r="M175" s="611">
        <v>0</v>
      </c>
      <c r="N175" s="611">
        <v>0</v>
      </c>
      <c r="O175" s="611">
        <v>0</v>
      </c>
      <c r="P175" s="611">
        <v>0</v>
      </c>
      <c r="Q175" s="611">
        <v>0</v>
      </c>
      <c r="R175" s="611">
        <v>0</v>
      </c>
      <c r="S175" s="611">
        <v>0</v>
      </c>
      <c r="T175" s="611">
        <v>69.588751075413697</v>
      </c>
      <c r="U175" s="619">
        <v>15.917824470831604</v>
      </c>
      <c r="V175" s="51"/>
    </row>
    <row r="176" spans="3:22" x14ac:dyDescent="0.25">
      <c r="C176" s="618" t="s">
        <v>73</v>
      </c>
      <c r="D176" s="611">
        <v>0</v>
      </c>
      <c r="E176" s="611">
        <v>0</v>
      </c>
      <c r="F176" s="611">
        <v>0</v>
      </c>
      <c r="G176" s="611">
        <v>0</v>
      </c>
      <c r="H176" s="611">
        <v>0</v>
      </c>
      <c r="I176" s="611">
        <v>0</v>
      </c>
      <c r="J176" s="611">
        <v>0</v>
      </c>
      <c r="K176" s="611">
        <v>0</v>
      </c>
      <c r="L176" s="611">
        <v>0</v>
      </c>
      <c r="M176" s="611">
        <v>0</v>
      </c>
      <c r="N176" s="611">
        <v>0</v>
      </c>
      <c r="O176" s="611">
        <v>0</v>
      </c>
      <c r="P176" s="611">
        <v>0</v>
      </c>
      <c r="Q176" s="611">
        <v>0</v>
      </c>
      <c r="R176" s="611">
        <v>258.03000874169254</v>
      </c>
      <c r="S176" s="611">
        <v>0</v>
      </c>
      <c r="T176" s="611">
        <v>-185.78160629401862</v>
      </c>
      <c r="U176" s="619">
        <v>72.248402447673925</v>
      </c>
      <c r="V176" s="51"/>
    </row>
    <row r="177" spans="3:22" x14ac:dyDescent="0.25">
      <c r="C177" s="618" t="s">
        <v>353</v>
      </c>
      <c r="D177" s="611">
        <v>0</v>
      </c>
      <c r="E177" s="611">
        <v>-2.634747058406945</v>
      </c>
      <c r="F177" s="611">
        <v>3.435008562710407</v>
      </c>
      <c r="G177" s="611">
        <v>0</v>
      </c>
      <c r="H177" s="611">
        <v>0</v>
      </c>
      <c r="I177" s="611">
        <v>0</v>
      </c>
      <c r="J177" s="611">
        <v>0</v>
      </c>
      <c r="K177" s="611">
        <v>0</v>
      </c>
      <c r="L177" s="611">
        <v>0</v>
      </c>
      <c r="M177" s="611">
        <v>0</v>
      </c>
      <c r="N177" s="611">
        <v>0</v>
      </c>
      <c r="O177" s="611">
        <v>0</v>
      </c>
      <c r="P177" s="611">
        <v>0</v>
      </c>
      <c r="Q177" s="611">
        <v>0</v>
      </c>
      <c r="R177" s="611">
        <v>0</v>
      </c>
      <c r="S177" s="611">
        <v>0</v>
      </c>
      <c r="T177" s="611">
        <v>0</v>
      </c>
      <c r="U177" s="619">
        <v>0.80026150430346199</v>
      </c>
      <c r="V177" s="51"/>
    </row>
    <row r="178" spans="3:22" x14ac:dyDescent="0.25">
      <c r="C178" s="618" t="s">
        <v>75</v>
      </c>
      <c r="D178" s="611">
        <v>0</v>
      </c>
      <c r="E178" s="611">
        <v>0</v>
      </c>
      <c r="F178" s="611">
        <v>2.5839893825265019</v>
      </c>
      <c r="G178" s="611">
        <v>0</v>
      </c>
      <c r="H178" s="611">
        <v>0</v>
      </c>
      <c r="I178" s="611">
        <v>0.23833359000000001</v>
      </c>
      <c r="J178" s="611">
        <v>0</v>
      </c>
      <c r="K178" s="611">
        <v>0</v>
      </c>
      <c r="L178" s="611">
        <v>0</v>
      </c>
      <c r="M178" s="611">
        <v>0</v>
      </c>
      <c r="N178" s="611">
        <v>0</v>
      </c>
      <c r="O178" s="611">
        <v>4.5283382100000003</v>
      </c>
      <c r="P178" s="611">
        <v>0</v>
      </c>
      <c r="Q178" s="611">
        <v>0</v>
      </c>
      <c r="R178" s="611">
        <v>65.365492404188032</v>
      </c>
      <c r="S178" s="611">
        <v>0</v>
      </c>
      <c r="T178" s="611">
        <v>0</v>
      </c>
      <c r="U178" s="619">
        <v>72.71615358671454</v>
      </c>
      <c r="V178" s="51"/>
    </row>
    <row r="179" spans="3:22" x14ac:dyDescent="0.25">
      <c r="C179" s="618" t="s">
        <v>76</v>
      </c>
      <c r="D179" s="611">
        <v>0</v>
      </c>
      <c r="E179" s="611">
        <v>0</v>
      </c>
      <c r="F179" s="611">
        <v>0</v>
      </c>
      <c r="G179" s="611">
        <v>0</v>
      </c>
      <c r="H179" s="611">
        <v>0</v>
      </c>
      <c r="I179" s="611">
        <v>5.609909084131174E-2</v>
      </c>
      <c r="J179" s="611">
        <v>0</v>
      </c>
      <c r="K179" s="611">
        <v>0</v>
      </c>
      <c r="L179" s="611">
        <v>0</v>
      </c>
      <c r="M179" s="611">
        <v>0</v>
      </c>
      <c r="N179" s="611">
        <v>0</v>
      </c>
      <c r="O179" s="611">
        <v>1.0658827259849231</v>
      </c>
      <c r="P179" s="611">
        <v>0</v>
      </c>
      <c r="Q179" s="611">
        <v>0</v>
      </c>
      <c r="R179" s="611">
        <v>75.163138458273835</v>
      </c>
      <c r="S179" s="611">
        <v>5.1631708880095033</v>
      </c>
      <c r="T179" s="611">
        <v>0</v>
      </c>
      <c r="U179" s="619">
        <v>81.448291163109573</v>
      </c>
      <c r="V179" s="51"/>
    </row>
    <row r="180" spans="3:22" x14ac:dyDescent="0.25">
      <c r="C180" s="614" t="s">
        <v>77</v>
      </c>
      <c r="D180" s="615">
        <v>0</v>
      </c>
      <c r="E180" s="615">
        <v>72.7588411322387</v>
      </c>
      <c r="F180" s="615">
        <v>-68.622889204281407</v>
      </c>
      <c r="G180" s="615">
        <v>-53.670926604582093</v>
      </c>
      <c r="H180" s="615">
        <v>0</v>
      </c>
      <c r="I180" s="615">
        <v>-8.3861111199957783</v>
      </c>
      <c r="J180" s="615">
        <v>759.92203636363649</v>
      </c>
      <c r="K180" s="615">
        <v>585.27007132862354</v>
      </c>
      <c r="L180" s="615">
        <v>367.43301077034118</v>
      </c>
      <c r="M180" s="615">
        <v>15.32416136467049</v>
      </c>
      <c r="N180" s="615">
        <v>-100.44397040161272</v>
      </c>
      <c r="O180" s="615">
        <v>-91.577804472760434</v>
      </c>
      <c r="P180" s="615">
        <v>0</v>
      </c>
      <c r="Q180" s="615">
        <v>18.441215715858167</v>
      </c>
      <c r="R180" s="615">
        <v>-496.77769023428982</v>
      </c>
      <c r="S180" s="615">
        <v>-61.402454105753748</v>
      </c>
      <c r="T180" s="615">
        <v>-97.664161976530096</v>
      </c>
      <c r="U180" s="615">
        <v>840.60332855556226</v>
      </c>
      <c r="V180" s="51"/>
    </row>
    <row r="181" spans="3:22" x14ac:dyDescent="0.25">
      <c r="C181" s="616"/>
      <c r="D181" s="617"/>
      <c r="E181" s="617"/>
      <c r="F181" s="617"/>
      <c r="G181" s="617"/>
      <c r="H181" s="623"/>
      <c r="I181" s="617"/>
      <c r="J181" s="617"/>
      <c r="K181" s="617"/>
      <c r="L181" s="617"/>
      <c r="M181" s="617"/>
      <c r="N181" s="617"/>
      <c r="O181" s="617"/>
      <c r="P181" s="617"/>
      <c r="Q181" s="617"/>
      <c r="R181" s="617"/>
      <c r="S181" s="617"/>
      <c r="T181" s="617"/>
      <c r="U181" s="617"/>
      <c r="V181" s="51"/>
    </row>
    <row r="182" spans="3:22" x14ac:dyDescent="0.25">
      <c r="C182" s="618" t="s">
        <v>78</v>
      </c>
      <c r="D182" s="611">
        <v>0.64129319091675452</v>
      </c>
      <c r="E182" s="611">
        <v>0</v>
      </c>
      <c r="F182" s="611">
        <v>1.525731430410463</v>
      </c>
      <c r="G182" s="611">
        <v>0</v>
      </c>
      <c r="H182" s="611">
        <v>0</v>
      </c>
      <c r="I182" s="611">
        <v>2.2603973079733568</v>
      </c>
      <c r="J182" s="611">
        <v>0</v>
      </c>
      <c r="K182" s="611">
        <v>0</v>
      </c>
      <c r="L182" s="611">
        <v>23.360019261656848</v>
      </c>
      <c r="M182" s="611">
        <v>5.362188402201145</v>
      </c>
      <c r="N182" s="611">
        <v>1.3034813300305972</v>
      </c>
      <c r="O182" s="611">
        <v>42.989679667648574</v>
      </c>
      <c r="P182" s="611">
        <v>22.01365625</v>
      </c>
      <c r="Q182" s="611">
        <v>8.5890570413253253E-4</v>
      </c>
      <c r="R182" s="611">
        <v>202.024278119439</v>
      </c>
      <c r="S182" s="611">
        <v>22.25756234266839</v>
      </c>
      <c r="T182" s="611">
        <v>16.001347656250001</v>
      </c>
      <c r="U182" s="619">
        <v>339.74049386489929</v>
      </c>
      <c r="V182" s="51"/>
    </row>
    <row r="183" spans="3:22" x14ac:dyDescent="0.25">
      <c r="C183" s="618" t="s">
        <v>79</v>
      </c>
      <c r="D183" s="611">
        <v>0</v>
      </c>
      <c r="E183" s="611">
        <v>0</v>
      </c>
      <c r="F183" s="611">
        <v>2.548518600222561</v>
      </c>
      <c r="G183" s="611">
        <v>4.6064063696995508</v>
      </c>
      <c r="H183" s="611">
        <v>0</v>
      </c>
      <c r="I183" s="611">
        <v>0.39196782379108752</v>
      </c>
      <c r="J183" s="611">
        <v>0</v>
      </c>
      <c r="K183" s="611">
        <v>0</v>
      </c>
      <c r="L183" s="611">
        <v>0</v>
      </c>
      <c r="M183" s="611">
        <v>0</v>
      </c>
      <c r="N183" s="611">
        <v>19.508637074329002</v>
      </c>
      <c r="O183" s="611">
        <v>7.4473886520306625</v>
      </c>
      <c r="P183" s="611">
        <v>0</v>
      </c>
      <c r="Q183" s="611">
        <v>0</v>
      </c>
      <c r="R183" s="611">
        <v>117.90461095014412</v>
      </c>
      <c r="S183" s="611">
        <v>0</v>
      </c>
      <c r="T183" s="611">
        <v>6.9740998058852091</v>
      </c>
      <c r="U183" s="619">
        <v>159.38162927610219</v>
      </c>
      <c r="V183" s="51"/>
    </row>
    <row r="184" spans="3:22" x14ac:dyDescent="0.25">
      <c r="C184" s="618" t="s">
        <v>80</v>
      </c>
      <c r="D184" s="611">
        <v>0</v>
      </c>
      <c r="E184" s="611">
        <v>0</v>
      </c>
      <c r="F184" s="611">
        <v>0.35613019618188829</v>
      </c>
      <c r="G184" s="611">
        <v>0</v>
      </c>
      <c r="H184" s="611">
        <v>0</v>
      </c>
      <c r="I184" s="611">
        <v>0.92121942110506694</v>
      </c>
      <c r="J184" s="611">
        <v>0</v>
      </c>
      <c r="K184" s="611">
        <v>0</v>
      </c>
      <c r="L184" s="611">
        <v>30.406752837013876</v>
      </c>
      <c r="M184" s="611">
        <v>0</v>
      </c>
      <c r="N184" s="611">
        <v>0</v>
      </c>
      <c r="O184" s="611">
        <v>17.503169000996269</v>
      </c>
      <c r="P184" s="611">
        <v>105.40020235475453</v>
      </c>
      <c r="Q184" s="611">
        <v>3.1166998128913419</v>
      </c>
      <c r="R184" s="611">
        <v>133.64902180729109</v>
      </c>
      <c r="S184" s="611">
        <v>20.977029614075306</v>
      </c>
      <c r="T184" s="611">
        <v>0</v>
      </c>
      <c r="U184" s="619">
        <v>312.33022504430937</v>
      </c>
      <c r="V184" s="51"/>
    </row>
    <row r="185" spans="3:22" x14ac:dyDescent="0.25">
      <c r="C185" s="618" t="s">
        <v>81</v>
      </c>
      <c r="D185" s="611">
        <v>0</v>
      </c>
      <c r="E185" s="611">
        <v>0</v>
      </c>
      <c r="F185" s="611">
        <v>6.5854952123934399E-2</v>
      </c>
      <c r="G185" s="611">
        <v>0</v>
      </c>
      <c r="H185" s="611">
        <v>0</v>
      </c>
      <c r="I185" s="611">
        <v>0.31585874142938569</v>
      </c>
      <c r="J185" s="611">
        <v>0</v>
      </c>
      <c r="K185" s="611">
        <v>0</v>
      </c>
      <c r="L185" s="611">
        <v>0.45236993281073634</v>
      </c>
      <c r="M185" s="611">
        <v>0</v>
      </c>
      <c r="N185" s="611">
        <v>0</v>
      </c>
      <c r="O185" s="611">
        <v>6.0013160871583278</v>
      </c>
      <c r="P185" s="611">
        <v>52.288295873759658</v>
      </c>
      <c r="Q185" s="611">
        <v>3.3575351400940563</v>
      </c>
      <c r="R185" s="611">
        <v>111.32761597349254</v>
      </c>
      <c r="S185" s="611">
        <v>18.167862149010045</v>
      </c>
      <c r="T185" s="611">
        <v>0</v>
      </c>
      <c r="U185" s="619">
        <v>191.97670884987866</v>
      </c>
      <c r="V185" s="51"/>
    </row>
    <row r="186" spans="3:22" x14ac:dyDescent="0.25">
      <c r="C186" s="618" t="s">
        <v>82</v>
      </c>
      <c r="D186" s="611">
        <v>0</v>
      </c>
      <c r="E186" s="611">
        <v>0</v>
      </c>
      <c r="F186" s="611">
        <v>0.14607036001340537</v>
      </c>
      <c r="G186" s="611">
        <v>0</v>
      </c>
      <c r="H186" s="611">
        <v>0</v>
      </c>
      <c r="I186" s="611">
        <v>5.5011390628469027E-2</v>
      </c>
      <c r="J186" s="611">
        <v>0</v>
      </c>
      <c r="K186" s="611">
        <v>0</v>
      </c>
      <c r="L186" s="611">
        <v>3.9918011059239289</v>
      </c>
      <c r="M186" s="611">
        <v>0</v>
      </c>
      <c r="N186" s="611">
        <v>18.700816435906518</v>
      </c>
      <c r="O186" s="611">
        <v>1.0452164219409115</v>
      </c>
      <c r="P186" s="611">
        <v>1.5</v>
      </c>
      <c r="Q186" s="611">
        <v>2.1874070050904897</v>
      </c>
      <c r="R186" s="611">
        <v>6.9303674525217573</v>
      </c>
      <c r="S186" s="611">
        <v>0</v>
      </c>
      <c r="T186" s="611">
        <v>0.82604920070086296</v>
      </c>
      <c r="U186" s="619">
        <v>35.382739372726341</v>
      </c>
      <c r="V186" s="51"/>
    </row>
    <row r="187" spans="3:22" x14ac:dyDescent="0.25">
      <c r="C187" s="618" t="s">
        <v>354</v>
      </c>
      <c r="D187" s="611">
        <v>0</v>
      </c>
      <c r="E187" s="611">
        <v>0</v>
      </c>
      <c r="F187" s="611">
        <v>0</v>
      </c>
      <c r="G187" s="611">
        <v>0</v>
      </c>
      <c r="H187" s="611">
        <v>0</v>
      </c>
      <c r="I187" s="611">
        <v>0</v>
      </c>
      <c r="J187" s="611">
        <v>0</v>
      </c>
      <c r="K187" s="611">
        <v>0</v>
      </c>
      <c r="L187" s="611">
        <v>0</v>
      </c>
      <c r="M187" s="611">
        <v>0</v>
      </c>
      <c r="N187" s="611">
        <v>0</v>
      </c>
      <c r="O187" s="611">
        <v>0</v>
      </c>
      <c r="P187" s="611">
        <v>0</v>
      </c>
      <c r="Q187" s="611">
        <v>0</v>
      </c>
      <c r="R187" s="611">
        <v>11.7</v>
      </c>
      <c r="S187" s="611">
        <v>0</v>
      </c>
      <c r="T187" s="611">
        <v>0</v>
      </c>
      <c r="U187" s="619">
        <v>11.7</v>
      </c>
      <c r="V187" s="51"/>
    </row>
    <row r="188" spans="3:22" x14ac:dyDescent="0.25">
      <c r="C188" s="614" t="s">
        <v>83</v>
      </c>
      <c r="D188" s="615">
        <v>0.64129319091675452</v>
      </c>
      <c r="E188" s="615">
        <v>0</v>
      </c>
      <c r="F188" s="615">
        <v>4.6423055389522521</v>
      </c>
      <c r="G188" s="615">
        <v>4.6064063696995508</v>
      </c>
      <c r="H188" s="615">
        <v>0</v>
      </c>
      <c r="I188" s="615">
        <v>3.9444546849273663</v>
      </c>
      <c r="J188" s="615">
        <v>0</v>
      </c>
      <c r="K188" s="615">
        <v>0</v>
      </c>
      <c r="L188" s="615">
        <v>58.210943137405394</v>
      </c>
      <c r="M188" s="615">
        <v>5.362188402201145</v>
      </c>
      <c r="N188" s="615">
        <v>39.512934840266112</v>
      </c>
      <c r="O188" s="615">
        <v>74.986769829774744</v>
      </c>
      <c r="P188" s="615">
        <v>181.20215447851419</v>
      </c>
      <c r="Q188" s="615">
        <v>8.6625008637800214</v>
      </c>
      <c r="R188" s="615">
        <v>583.53589430288855</v>
      </c>
      <c r="S188" s="615">
        <v>61.402454105753748</v>
      </c>
      <c r="T188" s="615">
        <v>23.801496662836072</v>
      </c>
      <c r="U188" s="615">
        <v>1050.5117964079159</v>
      </c>
      <c r="V188" s="51"/>
    </row>
    <row r="189" spans="3:22" x14ac:dyDescent="0.25">
      <c r="C189" s="610" t="s">
        <v>84</v>
      </c>
      <c r="D189" s="611">
        <v>0</v>
      </c>
      <c r="E189" s="611">
        <v>0</v>
      </c>
      <c r="F189" s="611">
        <v>44.559074374942114</v>
      </c>
      <c r="G189" s="611">
        <v>2.9799029387007945</v>
      </c>
      <c r="H189" s="611">
        <v>3.2223770587889593</v>
      </c>
      <c r="I189" s="611">
        <v>0</v>
      </c>
      <c r="J189" s="611">
        <v>0</v>
      </c>
      <c r="K189" s="611">
        <v>0</v>
      </c>
      <c r="L189" s="611">
        <v>0.60656225364490568</v>
      </c>
      <c r="M189" s="611">
        <v>0</v>
      </c>
      <c r="N189" s="611">
        <v>50.341514757930035</v>
      </c>
      <c r="O189" s="611">
        <v>13.801033069140475</v>
      </c>
      <c r="P189" s="611">
        <v>0</v>
      </c>
      <c r="Q189" s="611">
        <v>0</v>
      </c>
      <c r="R189" s="611">
        <v>0</v>
      </c>
      <c r="S189" s="611">
        <v>0</v>
      </c>
      <c r="T189" s="611">
        <v>63.833639735754474</v>
      </c>
      <c r="U189" s="619">
        <v>179.34410418890175</v>
      </c>
      <c r="V189" s="51"/>
    </row>
    <row r="190" spans="3:22" x14ac:dyDescent="0.25">
      <c r="C190" s="614" t="s">
        <v>85</v>
      </c>
      <c r="D190" s="615">
        <v>0.64129319091675452</v>
      </c>
      <c r="E190" s="615">
        <v>0</v>
      </c>
      <c r="F190" s="615">
        <v>49.201379913894364</v>
      </c>
      <c r="G190" s="615">
        <v>7.5863093084003452</v>
      </c>
      <c r="H190" s="615">
        <v>3.2223770587889593</v>
      </c>
      <c r="I190" s="615">
        <v>3.9444546849273663</v>
      </c>
      <c r="J190" s="615">
        <v>0</v>
      </c>
      <c r="K190" s="615">
        <v>0</v>
      </c>
      <c r="L190" s="615">
        <v>58.817505391050297</v>
      </c>
      <c r="M190" s="615">
        <v>5.362188402201145</v>
      </c>
      <c r="N190" s="615">
        <v>89.85444959819614</v>
      </c>
      <c r="O190" s="615">
        <v>88.787802898915217</v>
      </c>
      <c r="P190" s="615">
        <v>181.20215447851419</v>
      </c>
      <c r="Q190" s="615">
        <v>8.6625008637800214</v>
      </c>
      <c r="R190" s="615">
        <v>583.53589430288855</v>
      </c>
      <c r="S190" s="615">
        <v>61.402454105753748</v>
      </c>
      <c r="T190" s="615">
        <v>87.635136398590546</v>
      </c>
      <c r="U190" s="615">
        <v>1229.8559005968177</v>
      </c>
      <c r="V190" s="51"/>
    </row>
    <row r="191" spans="3:22" x14ac:dyDescent="0.25">
      <c r="C191" s="51"/>
      <c r="D191" s="67">
        <v>0</v>
      </c>
      <c r="E191" s="67">
        <v>0</v>
      </c>
      <c r="F191" s="67">
        <v>0</v>
      </c>
      <c r="G191" s="67">
        <v>0</v>
      </c>
      <c r="H191" s="67">
        <v>0</v>
      </c>
      <c r="I191" s="67">
        <v>0</v>
      </c>
      <c r="J191" s="67">
        <v>0</v>
      </c>
      <c r="K191" s="67">
        <v>0</v>
      </c>
      <c r="L191" s="67">
        <v>0</v>
      </c>
      <c r="M191" s="67">
        <v>-2.9244114949733557E-4</v>
      </c>
      <c r="N191" s="67">
        <v>0</v>
      </c>
      <c r="O191" s="67">
        <v>-6.2172489379008766E-15</v>
      </c>
      <c r="P191" s="67">
        <v>0</v>
      </c>
      <c r="Q191" s="67">
        <v>0</v>
      </c>
      <c r="R191" s="67">
        <v>-1.1368683772161603E-13</v>
      </c>
      <c r="S191" s="67">
        <v>0</v>
      </c>
      <c r="T191" s="67">
        <v>1.7763568394002505E-14</v>
      </c>
      <c r="U191" s="67">
        <v>-2.9244114966786583E-4</v>
      </c>
      <c r="V191" s="51"/>
    </row>
    <row r="192" spans="3:22" x14ac:dyDescent="0.25">
      <c r="C192" s="51"/>
      <c r="D192" s="51"/>
      <c r="E192" s="51"/>
      <c r="F192" s="51"/>
      <c r="G192" s="51"/>
      <c r="H192" s="51"/>
      <c r="I192" s="51"/>
      <c r="J192" s="51"/>
      <c r="K192" s="51"/>
      <c r="L192" s="51"/>
      <c r="M192" s="51"/>
      <c r="N192" s="51"/>
      <c r="O192" s="51"/>
      <c r="P192" s="51"/>
      <c r="Q192" s="51"/>
      <c r="R192" s="51"/>
      <c r="S192" s="51"/>
      <c r="T192" s="51"/>
      <c r="U192" s="51"/>
      <c r="V192" s="51"/>
    </row>
  </sheetData>
  <mergeCells count="70">
    <mergeCell ref="K158:K159"/>
    <mergeCell ref="L158:Q158"/>
    <mergeCell ref="R158:R159"/>
    <mergeCell ref="S158:S159"/>
    <mergeCell ref="T158:T159"/>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R121:R122"/>
    <mergeCell ref="S121:S122"/>
    <mergeCell ref="C121:C122"/>
    <mergeCell ref="D121:D122"/>
    <mergeCell ref="E121:E122"/>
    <mergeCell ref="F121:F122"/>
    <mergeCell ref="G121:G122"/>
    <mergeCell ref="H121:H122"/>
    <mergeCell ref="K84:K85"/>
    <mergeCell ref="L84:Q84"/>
    <mergeCell ref="R84:R85"/>
    <mergeCell ref="S84:S85"/>
    <mergeCell ref="T84:T85"/>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S47:S48"/>
    <mergeCell ref="C47:C48"/>
    <mergeCell ref="D47:D48"/>
    <mergeCell ref="E47:E48"/>
    <mergeCell ref="F47:F48"/>
    <mergeCell ref="G47:G48"/>
    <mergeCell ref="H47:H48"/>
    <mergeCell ref="U10:U11"/>
    <mergeCell ref="C10:C11"/>
    <mergeCell ref="D10:D11"/>
    <mergeCell ref="E10:E11"/>
    <mergeCell ref="F10:F11"/>
    <mergeCell ref="G10:G11"/>
    <mergeCell ref="H10:H11"/>
    <mergeCell ref="I10:I11"/>
    <mergeCell ref="J10:J11"/>
    <mergeCell ref="K10:K11"/>
    <mergeCell ref="L10:Q10"/>
    <mergeCell ref="R10:R11"/>
    <mergeCell ref="S10:S11"/>
    <mergeCell ref="T10:T11"/>
  </mergeCells>
  <conditionalFormatting sqref="D12:U18">
    <cfRule type="containsBlanks" dxfId="652" priority="9">
      <formula>LEN(TRIM(D12))=0</formula>
    </cfRule>
  </conditionalFormatting>
  <conditionalFormatting sqref="D12:U42">
    <cfRule type="cellIs" dxfId="651" priority="10" operator="equal">
      <formula>0</formula>
    </cfRule>
  </conditionalFormatting>
  <conditionalFormatting sqref="D20:U32">
    <cfRule type="containsBlanks" dxfId="650" priority="19">
      <formula>LEN(TRIM(D20))=0</formula>
    </cfRule>
  </conditionalFormatting>
  <conditionalFormatting sqref="D34:U42">
    <cfRule type="containsBlanks" dxfId="649" priority="20">
      <formula>LEN(TRIM(D34))=0</formula>
    </cfRule>
  </conditionalFormatting>
  <conditionalFormatting sqref="D49:U55">
    <cfRule type="containsBlanks" dxfId="648" priority="7">
      <formula>LEN(TRIM(D49))=0</formula>
    </cfRule>
  </conditionalFormatting>
  <conditionalFormatting sqref="D49:U79">
    <cfRule type="cellIs" dxfId="647" priority="8" operator="equal">
      <formula>0</formula>
    </cfRule>
  </conditionalFormatting>
  <conditionalFormatting sqref="D57:U69">
    <cfRule type="containsBlanks" dxfId="646" priority="25">
      <formula>LEN(TRIM(D57))=0</formula>
    </cfRule>
  </conditionalFormatting>
  <conditionalFormatting sqref="D71:U79">
    <cfRule type="containsBlanks" dxfId="645" priority="26">
      <formula>LEN(TRIM(D71))=0</formula>
    </cfRule>
  </conditionalFormatting>
  <conditionalFormatting sqref="D86:U92">
    <cfRule type="containsBlanks" dxfId="644" priority="5">
      <formula>LEN(TRIM(D86))=0</formula>
    </cfRule>
  </conditionalFormatting>
  <conditionalFormatting sqref="D86:U116">
    <cfRule type="cellIs" dxfId="643" priority="6" operator="equal">
      <formula>0</formula>
    </cfRule>
  </conditionalFormatting>
  <conditionalFormatting sqref="D94:U106">
    <cfRule type="containsBlanks" dxfId="642" priority="31">
      <formula>LEN(TRIM(D94))=0</formula>
    </cfRule>
  </conditionalFormatting>
  <conditionalFormatting sqref="D108:U116">
    <cfRule type="containsBlanks" dxfId="641" priority="32">
      <formula>LEN(TRIM(D108))=0</formula>
    </cfRule>
  </conditionalFormatting>
  <conditionalFormatting sqref="D123:U129">
    <cfRule type="containsBlanks" dxfId="640" priority="3">
      <formula>LEN(TRIM(D123))=0</formula>
    </cfRule>
  </conditionalFormatting>
  <conditionalFormatting sqref="D123:U153">
    <cfRule type="cellIs" dxfId="639" priority="4" operator="equal">
      <formula>0</formula>
    </cfRule>
  </conditionalFormatting>
  <conditionalFormatting sqref="D131:U143">
    <cfRule type="containsBlanks" dxfId="638" priority="37">
      <formula>LEN(TRIM(D131))=0</formula>
    </cfRule>
  </conditionalFormatting>
  <conditionalFormatting sqref="D145:U153">
    <cfRule type="containsBlanks" dxfId="637" priority="38">
      <formula>LEN(TRIM(D145))=0</formula>
    </cfRule>
  </conditionalFormatting>
  <conditionalFormatting sqref="D160:U166">
    <cfRule type="containsBlanks" dxfId="636" priority="1">
      <formula>LEN(TRIM(D160))=0</formula>
    </cfRule>
  </conditionalFormatting>
  <conditionalFormatting sqref="D160:U190">
    <cfRule type="cellIs" dxfId="635" priority="2" operator="equal">
      <formula>0</formula>
    </cfRule>
  </conditionalFormatting>
  <conditionalFormatting sqref="D168:U180">
    <cfRule type="containsBlanks" dxfId="634" priority="43">
      <formula>LEN(TRIM(D168))=0</formula>
    </cfRule>
  </conditionalFormatting>
  <conditionalFormatting sqref="D182:U190">
    <cfRule type="containsBlanks" dxfId="633" priority="44">
      <formula>LEN(TRIM(D182))=0</formula>
    </cfRule>
  </conditionalFormatting>
  <conditionalFormatting sqref="F13:F14">
    <cfRule type="cellIs" dxfId="632" priority="23" operator="equal">
      <formula>0</formula>
    </cfRule>
  </conditionalFormatting>
  <conditionalFormatting sqref="F50:F51">
    <cfRule type="cellIs" dxfId="631" priority="29" operator="equal">
      <formula>0</formula>
    </cfRule>
  </conditionalFormatting>
  <conditionalFormatting sqref="F87:F88">
    <cfRule type="cellIs" dxfId="630" priority="35" operator="equal">
      <formula>0</formula>
    </cfRule>
  </conditionalFormatting>
  <conditionalFormatting sqref="F124:F125">
    <cfRule type="cellIs" dxfId="629" priority="41" operator="equal">
      <formula>0</formula>
    </cfRule>
  </conditionalFormatting>
  <conditionalFormatting sqref="F161:F162">
    <cfRule type="cellIs" dxfId="628" priority="47" operator="equal">
      <formula>0</formula>
    </cfRule>
  </conditionalFormatting>
  <conditionalFormatting sqref="L13:L17">
    <cfRule type="cellIs" dxfId="627" priority="22" operator="equal">
      <formula>0</formula>
    </cfRule>
  </conditionalFormatting>
  <conditionalFormatting sqref="L50:L54">
    <cfRule type="cellIs" dxfId="626" priority="28" operator="equal">
      <formula>0</formula>
    </cfRule>
  </conditionalFormatting>
  <conditionalFormatting sqref="L87:L91">
    <cfRule type="cellIs" dxfId="625" priority="34" operator="equal">
      <formula>0</formula>
    </cfRule>
  </conditionalFormatting>
  <conditionalFormatting sqref="L124:L128">
    <cfRule type="cellIs" dxfId="624" priority="40" operator="equal">
      <formula>0</formula>
    </cfRule>
  </conditionalFormatting>
  <conditionalFormatting sqref="L161:L165">
    <cfRule type="cellIs" dxfId="623" priority="46" operator="equal">
      <formula>0</formula>
    </cfRule>
  </conditionalFormatting>
  <conditionalFormatting sqref="L11:Q11">
    <cfRule type="cellIs" dxfId="622" priority="53" operator="equal">
      <formula>0</formula>
    </cfRule>
  </conditionalFormatting>
  <conditionalFormatting sqref="L48:Q48">
    <cfRule type="cellIs" dxfId="621" priority="52" operator="equal">
      <formula>0</formula>
    </cfRule>
  </conditionalFormatting>
  <conditionalFormatting sqref="L85:Q85">
    <cfRule type="cellIs" dxfId="620" priority="51" operator="equal">
      <formula>0</formula>
    </cfRule>
  </conditionalFormatting>
  <conditionalFormatting sqref="L122:Q122">
    <cfRule type="cellIs" dxfId="619" priority="50" operator="equal">
      <formula>0</formula>
    </cfRule>
  </conditionalFormatting>
  <conditionalFormatting sqref="L159:Q159">
    <cfRule type="cellIs" dxfId="618" priority="49" operator="equal">
      <formula>0</formula>
    </cfRule>
  </conditionalFormatting>
  <conditionalFormatting sqref="P13:Q17">
    <cfRule type="cellIs" dxfId="617" priority="21" operator="equal">
      <formula>0</formula>
    </cfRule>
  </conditionalFormatting>
  <conditionalFormatting sqref="P50:Q54">
    <cfRule type="cellIs" dxfId="616" priority="27" operator="equal">
      <formula>0</formula>
    </cfRule>
  </conditionalFormatting>
  <conditionalFormatting sqref="P87:Q91">
    <cfRule type="cellIs" dxfId="615" priority="33" operator="equal">
      <formula>0</formula>
    </cfRule>
  </conditionalFormatting>
  <conditionalFormatting sqref="P124:Q128">
    <cfRule type="cellIs" dxfId="614" priority="39" operator="equal">
      <formula>0</formula>
    </cfRule>
  </conditionalFormatting>
  <conditionalFormatting sqref="P161:Q165">
    <cfRule type="cellIs" dxfId="613" priority="45" operator="equal">
      <formula>0</formula>
    </cfRule>
  </conditionalFormatting>
  <conditionalFormatting sqref="R12:R14">
    <cfRule type="cellIs" dxfId="612" priority="24" operator="equal">
      <formula>0</formula>
    </cfRule>
  </conditionalFormatting>
  <conditionalFormatting sqref="R49:R51">
    <cfRule type="cellIs" dxfId="611" priority="30" operator="equal">
      <formula>0</formula>
    </cfRule>
  </conditionalFormatting>
  <conditionalFormatting sqref="R86:R88">
    <cfRule type="cellIs" dxfId="610" priority="36" operator="equal">
      <formula>0</formula>
    </cfRule>
  </conditionalFormatting>
  <conditionalFormatting sqref="R123:R125">
    <cfRule type="cellIs" dxfId="609" priority="42" operator="equal">
      <formula>0</formula>
    </cfRule>
  </conditionalFormatting>
  <conditionalFormatting sqref="R160:R162">
    <cfRule type="cellIs" dxfId="608" priority="48" operator="equal">
      <formula>0</formula>
    </cfRule>
  </conditionalFormatting>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C05C7-57D6-4EDF-B9B7-580D1C3C6FC3}">
  <dimension ref="C2:V155"/>
  <sheetViews>
    <sheetView workbookViewId="0"/>
  </sheetViews>
  <sheetFormatPr baseColWidth="10" defaultRowHeight="15" x14ac:dyDescent="0.25"/>
  <sheetData>
    <row r="2" spans="3:22" ht="18.75" x14ac:dyDescent="0.3">
      <c r="C2" s="600" t="s">
        <v>406</v>
      </c>
      <c r="D2" s="599"/>
      <c r="E2" s="599"/>
      <c r="F2" s="599"/>
      <c r="G2" s="599"/>
      <c r="H2" s="599"/>
      <c r="I2" s="599"/>
      <c r="J2" s="599"/>
      <c r="K2" s="599"/>
      <c r="L2" s="599"/>
      <c r="M2" s="599"/>
      <c r="N2" s="599"/>
      <c r="O2" s="599"/>
      <c r="P2" s="599"/>
      <c r="Q2" s="599"/>
      <c r="R2" s="599"/>
      <c r="S2" s="599"/>
      <c r="T2" s="599"/>
      <c r="U2" s="599"/>
      <c r="V2" s="599"/>
    </row>
    <row r="3" spans="3:22" x14ac:dyDescent="0.25">
      <c r="C3" s="51"/>
      <c r="D3" s="51"/>
      <c r="E3" s="51"/>
      <c r="F3" s="51"/>
      <c r="G3" s="51"/>
      <c r="H3" s="51"/>
      <c r="I3" s="51"/>
      <c r="J3" s="51"/>
      <c r="K3" s="51"/>
      <c r="L3" s="51"/>
      <c r="M3" s="51"/>
      <c r="N3" s="51"/>
      <c r="O3" s="51"/>
      <c r="P3" s="51"/>
      <c r="Q3" s="51"/>
      <c r="R3" s="51"/>
      <c r="S3" s="51"/>
      <c r="T3" s="51"/>
      <c r="U3" s="51"/>
      <c r="V3" s="51"/>
    </row>
    <row r="4" spans="3:22" ht="15.75" x14ac:dyDescent="0.25">
      <c r="C4" s="603" t="s">
        <v>338</v>
      </c>
      <c r="D4" s="602" t="s">
        <v>481</v>
      </c>
      <c r="E4" s="602"/>
      <c r="F4" s="602"/>
      <c r="G4" s="602"/>
      <c r="H4" s="602"/>
      <c r="I4" s="602"/>
      <c r="J4" s="602"/>
      <c r="K4" s="604"/>
      <c r="L4" s="604"/>
      <c r="M4" s="604"/>
      <c r="N4" s="604"/>
      <c r="O4" s="604"/>
      <c r="P4" s="604"/>
      <c r="Q4" s="604"/>
      <c r="R4" s="602"/>
      <c r="S4" s="602"/>
      <c r="T4" s="602"/>
      <c r="U4" s="602"/>
      <c r="V4" s="602"/>
    </row>
    <row r="5" spans="3:22" ht="15.75" x14ac:dyDescent="0.25">
      <c r="C5" s="603" t="s">
        <v>341</v>
      </c>
      <c r="D5" s="602" t="s">
        <v>342</v>
      </c>
      <c r="E5" s="602"/>
      <c r="F5" s="602"/>
      <c r="G5" s="602"/>
      <c r="H5" s="602"/>
      <c r="I5" s="602"/>
      <c r="J5" s="602"/>
      <c r="K5" s="602"/>
      <c r="L5" s="602"/>
      <c r="M5" s="602"/>
      <c r="N5" s="602"/>
      <c r="O5" s="602"/>
      <c r="P5" s="602"/>
      <c r="Q5" s="602"/>
      <c r="R5" s="602"/>
      <c r="S5" s="602"/>
      <c r="T5" s="602"/>
      <c r="U5" s="602"/>
      <c r="V5" s="602"/>
    </row>
    <row r="6" spans="3:22" x14ac:dyDescent="0.25">
      <c r="C6" s="51"/>
      <c r="D6" s="51"/>
      <c r="E6" s="51"/>
      <c r="F6" s="51"/>
      <c r="G6" s="51"/>
      <c r="H6" s="51"/>
      <c r="I6" s="51"/>
      <c r="J6" s="51"/>
      <c r="K6" s="51"/>
      <c r="L6" s="51"/>
      <c r="M6" s="51"/>
      <c r="N6" s="51"/>
      <c r="O6" s="51"/>
      <c r="P6" s="51"/>
      <c r="Q6" s="51"/>
      <c r="R6" s="51"/>
      <c r="S6" s="51"/>
      <c r="T6" s="51"/>
      <c r="U6" s="51"/>
      <c r="V6" s="51"/>
    </row>
    <row r="7" spans="3:22" x14ac:dyDescent="0.25">
      <c r="C7" s="51"/>
      <c r="D7" s="51"/>
      <c r="E7" s="51"/>
      <c r="F7" s="51"/>
      <c r="G7" s="51"/>
      <c r="H7" s="51"/>
      <c r="I7" s="51"/>
      <c r="J7" s="51"/>
      <c r="K7" s="51"/>
      <c r="L7" s="51"/>
      <c r="M7" s="51"/>
      <c r="N7" s="51"/>
      <c r="O7" s="51"/>
      <c r="P7" s="51"/>
      <c r="Q7" s="51"/>
      <c r="R7" s="51"/>
      <c r="S7" s="51"/>
      <c r="T7" s="51"/>
      <c r="U7" s="51"/>
      <c r="V7" s="51"/>
    </row>
    <row r="8" spans="3:22" x14ac:dyDescent="0.25">
      <c r="C8" s="607" t="s">
        <v>360</v>
      </c>
      <c r="D8" s="606"/>
      <c r="E8" s="606"/>
      <c r="F8" s="606"/>
      <c r="G8" s="682"/>
      <c r="H8" s="606"/>
      <c r="I8" s="606"/>
      <c r="J8" s="606"/>
      <c r="K8" s="606"/>
      <c r="L8" s="606"/>
      <c r="M8" s="606"/>
      <c r="N8" s="606"/>
      <c r="O8" s="606"/>
      <c r="P8" s="606"/>
      <c r="Q8" s="606"/>
      <c r="R8" s="606"/>
      <c r="S8" s="606"/>
      <c r="T8" s="606"/>
      <c r="U8" s="606"/>
      <c r="V8" s="606"/>
    </row>
    <row r="9" spans="3:22" x14ac:dyDescent="0.25">
      <c r="C9" s="51"/>
      <c r="D9" s="51"/>
      <c r="E9" s="51"/>
      <c r="F9" s="51"/>
      <c r="G9" s="67"/>
      <c r="H9" s="51"/>
      <c r="I9" s="51"/>
      <c r="J9" s="51"/>
      <c r="K9" s="51"/>
      <c r="L9" s="51"/>
      <c r="M9" s="51"/>
      <c r="N9" s="51"/>
      <c r="O9" s="51"/>
      <c r="P9" s="51"/>
      <c r="Q9" s="51"/>
      <c r="R9" s="51"/>
      <c r="S9" s="51"/>
      <c r="T9" s="51"/>
      <c r="U9" s="51"/>
      <c r="V9" s="51"/>
    </row>
    <row r="10" spans="3:22" x14ac:dyDescent="0.25">
      <c r="C10" s="764" t="s">
        <v>128</v>
      </c>
      <c r="D10" s="753" t="s">
        <v>42</v>
      </c>
      <c r="E10" s="753" t="s">
        <v>52</v>
      </c>
      <c r="F10" s="753" t="s">
        <v>53</v>
      </c>
      <c r="G10" s="766" t="s">
        <v>482</v>
      </c>
      <c r="H10" s="753" t="s">
        <v>32</v>
      </c>
      <c r="I10" s="753" t="s">
        <v>483</v>
      </c>
      <c r="J10" s="753" t="s">
        <v>20</v>
      </c>
      <c r="K10" s="753" t="s">
        <v>55</v>
      </c>
      <c r="L10" s="761" t="s">
        <v>56</v>
      </c>
      <c r="M10" s="762"/>
      <c r="N10" s="762"/>
      <c r="O10" s="762"/>
      <c r="P10" s="762"/>
      <c r="Q10" s="763"/>
      <c r="R10" s="753" t="s">
        <v>57</v>
      </c>
      <c r="S10" s="753" t="s">
        <v>58</v>
      </c>
      <c r="T10" s="753" t="s">
        <v>31</v>
      </c>
      <c r="U10" s="753" t="s">
        <v>10</v>
      </c>
      <c r="V10" s="51"/>
    </row>
    <row r="11" spans="3:22" ht="36" x14ac:dyDescent="0.25">
      <c r="C11" s="765"/>
      <c r="D11" s="754"/>
      <c r="E11" s="754"/>
      <c r="F11" s="754"/>
      <c r="G11" s="767"/>
      <c r="H11" s="754"/>
      <c r="I11" s="754"/>
      <c r="J11" s="754"/>
      <c r="K11" s="754"/>
      <c r="L11" s="608" t="s">
        <v>335</v>
      </c>
      <c r="M11" s="608" t="s">
        <v>40</v>
      </c>
      <c r="N11" s="608" t="s">
        <v>343</v>
      </c>
      <c r="O11" s="608" t="s">
        <v>344</v>
      </c>
      <c r="P11" s="609" t="s">
        <v>345</v>
      </c>
      <c r="Q11" s="608" t="s">
        <v>346</v>
      </c>
      <c r="R11" s="754"/>
      <c r="S11" s="754"/>
      <c r="T11" s="754"/>
      <c r="U11" s="754"/>
      <c r="V11" s="51"/>
    </row>
    <row r="12" spans="3:22" x14ac:dyDescent="0.25">
      <c r="C12" s="610" t="s">
        <v>59</v>
      </c>
      <c r="D12" s="611">
        <v>0</v>
      </c>
      <c r="E12" s="611">
        <v>0</v>
      </c>
      <c r="F12" s="611">
        <v>0</v>
      </c>
      <c r="G12" s="611">
        <v>0</v>
      </c>
      <c r="H12" s="611">
        <v>0</v>
      </c>
      <c r="I12" s="611">
        <v>0</v>
      </c>
      <c r="J12" s="612">
        <v>1175.1327636363635</v>
      </c>
      <c r="K12" s="612">
        <v>409.44348403288171</v>
      </c>
      <c r="L12" s="612">
        <v>539.49846925888278</v>
      </c>
      <c r="M12" s="612">
        <v>23.361523734790747</v>
      </c>
      <c r="N12" s="611">
        <v>1.5769202529293118</v>
      </c>
      <c r="O12" s="611">
        <v>0.16705675062100381</v>
      </c>
      <c r="P12" s="612">
        <v>148.2996835402468</v>
      </c>
      <c r="Q12" s="612">
        <v>26.149340635488667</v>
      </c>
      <c r="R12" s="611">
        <v>0</v>
      </c>
      <c r="S12" s="611">
        <v>0</v>
      </c>
      <c r="T12" s="611">
        <v>0</v>
      </c>
      <c r="U12" s="613">
        <v>2255.0400500862106</v>
      </c>
      <c r="V12" s="51"/>
    </row>
    <row r="13" spans="3:22" x14ac:dyDescent="0.25">
      <c r="C13" s="610" t="s">
        <v>60</v>
      </c>
      <c r="D13" s="611">
        <v>13.340633881136302</v>
      </c>
      <c r="E13" s="611">
        <v>239.69119414034884</v>
      </c>
      <c r="F13" s="611">
        <v>4.6624671135986846</v>
      </c>
      <c r="G13" s="611">
        <v>0</v>
      </c>
      <c r="H13" s="611">
        <v>114.29163652082941</v>
      </c>
      <c r="I13" s="611">
        <v>0</v>
      </c>
      <c r="J13" s="611">
        <v>0</v>
      </c>
      <c r="K13" s="611">
        <v>0</v>
      </c>
      <c r="L13" s="611">
        <v>4.1311012816916577</v>
      </c>
      <c r="M13" s="611">
        <v>0</v>
      </c>
      <c r="N13" s="611">
        <v>5.4710090626624641</v>
      </c>
      <c r="O13" s="611">
        <v>0</v>
      </c>
      <c r="P13" s="611">
        <v>0</v>
      </c>
      <c r="Q13" s="611">
        <v>0</v>
      </c>
      <c r="R13" s="611">
        <v>0</v>
      </c>
      <c r="S13" s="611">
        <v>0</v>
      </c>
      <c r="T13" s="611">
        <v>0</v>
      </c>
      <c r="U13" s="613">
        <v>381.58804200026736</v>
      </c>
      <c r="V13" s="51"/>
    </row>
    <row r="14" spans="3:22" x14ac:dyDescent="0.25">
      <c r="C14" s="610" t="s">
        <v>61</v>
      </c>
      <c r="D14" s="611">
        <v>0</v>
      </c>
      <c r="E14" s="611">
        <v>0</v>
      </c>
      <c r="F14" s="611">
        <v>-17.635841245757831</v>
      </c>
      <c r="G14" s="611">
        <v>-1.7254456421765063</v>
      </c>
      <c r="H14" s="611">
        <v>0</v>
      </c>
      <c r="I14" s="611">
        <v>0</v>
      </c>
      <c r="J14" s="611">
        <v>0</v>
      </c>
      <c r="K14" s="611">
        <v>0</v>
      </c>
      <c r="L14" s="611">
        <v>0</v>
      </c>
      <c r="M14" s="611">
        <v>0</v>
      </c>
      <c r="N14" s="611">
        <v>0</v>
      </c>
      <c r="O14" s="611">
        <v>0</v>
      </c>
      <c r="P14" s="611">
        <v>0</v>
      </c>
      <c r="Q14" s="611">
        <v>0</v>
      </c>
      <c r="R14" s="611">
        <v>-64.4982724362319</v>
      </c>
      <c r="S14" s="611">
        <v>0</v>
      </c>
      <c r="T14" s="611">
        <v>0</v>
      </c>
      <c r="U14" s="613">
        <v>-83.859559324166241</v>
      </c>
      <c r="V14" s="51"/>
    </row>
    <row r="15" spans="3:22" x14ac:dyDescent="0.25">
      <c r="C15" s="610" t="s">
        <v>62</v>
      </c>
      <c r="D15" s="611">
        <v>0</v>
      </c>
      <c r="E15" s="611">
        <v>0</v>
      </c>
      <c r="F15" s="611">
        <v>-5.0879563574801514</v>
      </c>
      <c r="G15" s="611">
        <v>-4.1045183661856841</v>
      </c>
      <c r="H15" s="611">
        <v>0</v>
      </c>
      <c r="I15" s="611">
        <v>-3.6084739343150005</v>
      </c>
      <c r="J15" s="611">
        <v>0</v>
      </c>
      <c r="K15" s="611">
        <v>0</v>
      </c>
      <c r="L15" s="611">
        <v>0</v>
      </c>
      <c r="M15" s="611">
        <v>0</v>
      </c>
      <c r="N15" s="611">
        <v>-1.3861783673523449</v>
      </c>
      <c r="O15" s="611">
        <v>-2.4056492895433337</v>
      </c>
      <c r="P15" s="611">
        <v>0</v>
      </c>
      <c r="Q15" s="611">
        <v>0</v>
      </c>
      <c r="R15" s="611">
        <v>0</v>
      </c>
      <c r="S15" s="611">
        <v>0</v>
      </c>
      <c r="T15" s="611">
        <v>-1.1711400462326651</v>
      </c>
      <c r="U15" s="613">
        <v>-17.763916361109182</v>
      </c>
      <c r="V15" s="51"/>
    </row>
    <row r="16" spans="3:22" x14ac:dyDescent="0.25">
      <c r="C16" s="610" t="s">
        <v>63</v>
      </c>
      <c r="D16" s="611">
        <v>0</v>
      </c>
      <c r="E16" s="611">
        <v>0</v>
      </c>
      <c r="F16" s="611">
        <v>-39.079068395762839</v>
      </c>
      <c r="G16" s="611">
        <v>-8.2277507760007769</v>
      </c>
      <c r="H16" s="611">
        <v>0</v>
      </c>
      <c r="I16" s="611">
        <v>0</v>
      </c>
      <c r="J16" s="611">
        <v>0</v>
      </c>
      <c r="K16" s="611">
        <v>0</v>
      </c>
      <c r="L16" s="611">
        <v>0</v>
      </c>
      <c r="M16" s="611">
        <v>0</v>
      </c>
      <c r="N16" s="611">
        <v>-15.189693740309128</v>
      </c>
      <c r="O16" s="611">
        <v>0</v>
      </c>
      <c r="P16" s="611">
        <v>0</v>
      </c>
      <c r="Q16" s="611">
        <v>0</v>
      </c>
      <c r="R16" s="611">
        <v>0</v>
      </c>
      <c r="S16" s="611">
        <v>0</v>
      </c>
      <c r="T16" s="611">
        <v>-2.6141112366127883</v>
      </c>
      <c r="U16" s="613">
        <v>-65.110624148685531</v>
      </c>
      <c r="V16" s="51"/>
    </row>
    <row r="17" spans="3:22" x14ac:dyDescent="0.25">
      <c r="C17" s="610" t="s">
        <v>64</v>
      </c>
      <c r="D17" s="611">
        <v>0</v>
      </c>
      <c r="E17" s="611">
        <v>0</v>
      </c>
      <c r="F17" s="611">
        <v>0</v>
      </c>
      <c r="G17" s="611">
        <v>0</v>
      </c>
      <c r="H17" s="611">
        <v>0</v>
      </c>
      <c r="I17" s="611">
        <v>0</v>
      </c>
      <c r="J17" s="611">
        <v>0</v>
      </c>
      <c r="K17" s="611">
        <v>0</v>
      </c>
      <c r="L17" s="611">
        <v>0</v>
      </c>
      <c r="M17" s="611">
        <v>0</v>
      </c>
      <c r="N17" s="611">
        <v>0</v>
      </c>
      <c r="O17" s="611">
        <v>0</v>
      </c>
      <c r="P17" s="611">
        <v>0</v>
      </c>
      <c r="Q17" s="611">
        <v>0</v>
      </c>
      <c r="R17" s="611">
        <v>0</v>
      </c>
      <c r="S17" s="611">
        <v>0</v>
      </c>
      <c r="T17" s="611">
        <v>0</v>
      </c>
      <c r="U17" s="613">
        <v>0</v>
      </c>
      <c r="V17" s="51"/>
    </row>
    <row r="18" spans="3:22" x14ac:dyDescent="0.25">
      <c r="C18" s="614" t="s">
        <v>65</v>
      </c>
      <c r="D18" s="615">
        <v>13.340633881136302</v>
      </c>
      <c r="E18" s="615">
        <v>239.69119414034884</v>
      </c>
      <c r="F18" s="615">
        <v>-57.140398885402135</v>
      </c>
      <c r="G18" s="615">
        <v>-14.057714784362968</v>
      </c>
      <c r="H18" s="615">
        <v>114.29163652082941</v>
      </c>
      <c r="I18" s="615">
        <v>-3.6084739343150005</v>
      </c>
      <c r="J18" s="615">
        <v>1175.1327636363635</v>
      </c>
      <c r="K18" s="615">
        <v>409.44348403288171</v>
      </c>
      <c r="L18" s="615">
        <v>543.62957054057449</v>
      </c>
      <c r="M18" s="615">
        <v>23.361523734790747</v>
      </c>
      <c r="N18" s="615">
        <v>-9.5279427920696982</v>
      </c>
      <c r="O18" s="615">
        <v>-2.23859253892233</v>
      </c>
      <c r="P18" s="615">
        <v>148.2996835402468</v>
      </c>
      <c r="Q18" s="615">
        <v>26.149340635488667</v>
      </c>
      <c r="R18" s="615">
        <v>-64.4982724362319</v>
      </c>
      <c r="S18" s="615">
        <v>0</v>
      </c>
      <c r="T18" s="615">
        <v>-3.7852512828454534</v>
      </c>
      <c r="U18" s="615">
        <v>2469.8939922525169</v>
      </c>
      <c r="V18" s="51"/>
    </row>
    <row r="19" spans="3:22" x14ac:dyDescent="0.25">
      <c r="C19" s="616"/>
      <c r="D19" s="617"/>
      <c r="E19" s="617"/>
      <c r="F19" s="617"/>
      <c r="G19" s="617"/>
      <c r="H19" s="623"/>
      <c r="I19" s="617"/>
      <c r="J19" s="617"/>
      <c r="K19" s="617"/>
      <c r="L19" s="617"/>
      <c r="M19" s="617"/>
      <c r="N19" s="617"/>
      <c r="O19" s="617"/>
      <c r="P19" s="617"/>
      <c r="Q19" s="617"/>
      <c r="R19" s="617"/>
      <c r="S19" s="617"/>
      <c r="T19" s="617"/>
      <c r="U19" s="617"/>
      <c r="V19" s="51"/>
    </row>
    <row r="20" spans="3:22" x14ac:dyDescent="0.25">
      <c r="C20" s="618" t="s">
        <v>67</v>
      </c>
      <c r="D20" s="611">
        <v>0</v>
      </c>
      <c r="E20" s="611">
        <v>0</v>
      </c>
      <c r="F20" s="611">
        <v>0</v>
      </c>
      <c r="G20" s="611">
        <v>0</v>
      </c>
      <c r="H20" s="611">
        <v>0</v>
      </c>
      <c r="I20" s="611">
        <v>0</v>
      </c>
      <c r="J20" s="611">
        <v>0</v>
      </c>
      <c r="K20" s="611">
        <v>0</v>
      </c>
      <c r="L20" s="611">
        <v>0</v>
      </c>
      <c r="M20" s="611">
        <v>0</v>
      </c>
      <c r="N20" s="611">
        <v>0</v>
      </c>
      <c r="O20" s="611">
        <v>0</v>
      </c>
      <c r="P20" s="611">
        <v>0</v>
      </c>
      <c r="Q20" s="611">
        <v>0</v>
      </c>
      <c r="R20" s="611">
        <v>0</v>
      </c>
      <c r="S20" s="611">
        <v>0</v>
      </c>
      <c r="T20" s="611">
        <v>0</v>
      </c>
      <c r="U20" s="619">
        <v>0</v>
      </c>
      <c r="V20" s="51"/>
    </row>
    <row r="21" spans="3:22" x14ac:dyDescent="0.25">
      <c r="C21" s="618" t="s">
        <v>347</v>
      </c>
      <c r="D21" s="611">
        <v>0</v>
      </c>
      <c r="E21" s="611">
        <v>0</v>
      </c>
      <c r="F21" s="611">
        <v>6.6151953400033478E-2</v>
      </c>
      <c r="G21" s="611">
        <v>0</v>
      </c>
      <c r="H21" s="611">
        <v>0.83875095652173937</v>
      </c>
      <c r="I21" s="611">
        <v>0</v>
      </c>
      <c r="J21" s="611">
        <v>1175.1327636363635</v>
      </c>
      <c r="K21" s="611">
        <v>409.44348403288171</v>
      </c>
      <c r="L21" s="611">
        <v>22.368860929108919</v>
      </c>
      <c r="M21" s="611">
        <v>0.7936817709981997</v>
      </c>
      <c r="N21" s="611">
        <v>5.6269378379330357</v>
      </c>
      <c r="O21" s="611">
        <v>0.80015093186061059</v>
      </c>
      <c r="P21" s="611">
        <v>0</v>
      </c>
      <c r="Q21" s="611">
        <v>6.4327567473291545</v>
      </c>
      <c r="R21" s="611">
        <v>-844.68205318742605</v>
      </c>
      <c r="S21" s="611">
        <v>0</v>
      </c>
      <c r="T21" s="611">
        <v>3.6921899999999996</v>
      </c>
      <c r="U21" s="619">
        <v>780.51367560897063</v>
      </c>
      <c r="V21" s="51"/>
    </row>
    <row r="22" spans="3:22" x14ac:dyDescent="0.25">
      <c r="C22" s="618" t="s">
        <v>348</v>
      </c>
      <c r="D22" s="611">
        <v>0</v>
      </c>
      <c r="E22" s="611">
        <v>0</v>
      </c>
      <c r="F22" s="611">
        <v>0</v>
      </c>
      <c r="G22" s="611">
        <v>0</v>
      </c>
      <c r="H22" s="611">
        <v>8.2142613569509191</v>
      </c>
      <c r="I22" s="611">
        <v>0</v>
      </c>
      <c r="J22" s="611">
        <v>0</v>
      </c>
      <c r="K22" s="611">
        <v>0</v>
      </c>
      <c r="L22" s="611">
        <v>39.682219254582726</v>
      </c>
      <c r="M22" s="611">
        <v>15.579738586589816</v>
      </c>
      <c r="N22" s="611">
        <v>0</v>
      </c>
      <c r="O22" s="611">
        <v>6.7352530858367707</v>
      </c>
      <c r="P22" s="611">
        <v>0</v>
      </c>
      <c r="Q22" s="611">
        <v>12.328765194823482</v>
      </c>
      <c r="R22" s="611">
        <v>0</v>
      </c>
      <c r="S22" s="611">
        <v>-76.844512768093665</v>
      </c>
      <c r="T22" s="611">
        <v>0</v>
      </c>
      <c r="U22" s="619">
        <v>5.6957247106900581</v>
      </c>
      <c r="V22" s="51"/>
    </row>
    <row r="23" spans="3:22" x14ac:dyDescent="0.25">
      <c r="C23" s="618" t="s">
        <v>349</v>
      </c>
      <c r="D23" s="611">
        <v>0</v>
      </c>
      <c r="E23" s="611">
        <v>0</v>
      </c>
      <c r="F23" s="611">
        <v>0</v>
      </c>
      <c r="G23" s="611">
        <v>0</v>
      </c>
      <c r="H23" s="611">
        <v>0</v>
      </c>
      <c r="I23" s="611">
        <v>0</v>
      </c>
      <c r="J23" s="611">
        <v>0</v>
      </c>
      <c r="K23" s="611">
        <v>0</v>
      </c>
      <c r="L23" s="611">
        <v>175.16210140047244</v>
      </c>
      <c r="M23" s="611">
        <v>0</v>
      </c>
      <c r="N23" s="611">
        <v>0</v>
      </c>
      <c r="O23" s="611">
        <v>-96.33915577025985</v>
      </c>
      <c r="P23" s="611">
        <v>0</v>
      </c>
      <c r="Q23" s="611">
        <v>0</v>
      </c>
      <c r="R23" s="611">
        <v>0</v>
      </c>
      <c r="S23" s="611">
        <v>0</v>
      </c>
      <c r="T23" s="611">
        <v>0</v>
      </c>
      <c r="U23" s="619">
        <v>78.822945630212587</v>
      </c>
      <c r="V23" s="51"/>
    </row>
    <row r="24" spans="3:22" x14ac:dyDescent="0.25">
      <c r="C24" s="618" t="s">
        <v>350</v>
      </c>
      <c r="D24" s="611">
        <v>0</v>
      </c>
      <c r="E24" s="611">
        <v>0</v>
      </c>
      <c r="F24" s="611">
        <v>0</v>
      </c>
      <c r="G24" s="611">
        <v>0</v>
      </c>
      <c r="H24" s="611">
        <v>0</v>
      </c>
      <c r="I24" s="611">
        <v>-3.6084739343150005</v>
      </c>
      <c r="J24" s="611">
        <v>0</v>
      </c>
      <c r="K24" s="611">
        <v>0</v>
      </c>
      <c r="L24" s="611">
        <v>0</v>
      </c>
      <c r="M24" s="611">
        <v>0</v>
      </c>
      <c r="N24" s="611">
        <v>0</v>
      </c>
      <c r="O24" s="611">
        <v>0</v>
      </c>
      <c r="P24" s="611">
        <v>0</v>
      </c>
      <c r="Q24" s="611">
        <v>0</v>
      </c>
      <c r="R24" s="611">
        <v>0</v>
      </c>
      <c r="S24" s="611">
        <v>0</v>
      </c>
      <c r="T24" s="611">
        <v>5.0117693532152785</v>
      </c>
      <c r="U24" s="619">
        <v>1.403295418900278</v>
      </c>
      <c r="V24" s="51"/>
    </row>
    <row r="25" spans="3:22" x14ac:dyDescent="0.25">
      <c r="C25" s="618" t="s">
        <v>72</v>
      </c>
      <c r="D25" s="611">
        <v>0</v>
      </c>
      <c r="E25" s="611">
        <v>248.37987406049137</v>
      </c>
      <c r="F25" s="611">
        <v>-245.90430306488159</v>
      </c>
      <c r="G25" s="611">
        <v>0</v>
      </c>
      <c r="H25" s="611">
        <v>0</v>
      </c>
      <c r="I25" s="611">
        <v>0</v>
      </c>
      <c r="J25" s="611">
        <v>0</v>
      </c>
      <c r="K25" s="611">
        <v>0</v>
      </c>
      <c r="L25" s="611">
        <v>0</v>
      </c>
      <c r="M25" s="611">
        <v>0</v>
      </c>
      <c r="N25" s="611">
        <v>0</v>
      </c>
      <c r="O25" s="611">
        <v>0</v>
      </c>
      <c r="P25" s="611">
        <v>0</v>
      </c>
      <c r="Q25" s="611">
        <v>0</v>
      </c>
      <c r="R25" s="611">
        <v>0</v>
      </c>
      <c r="S25" s="611">
        <v>0</v>
      </c>
      <c r="T25" s="611">
        <v>0</v>
      </c>
      <c r="U25" s="619">
        <v>2.475570995609786</v>
      </c>
      <c r="V25" s="51"/>
    </row>
    <row r="26" spans="3:22" x14ac:dyDescent="0.25">
      <c r="C26" s="618" t="s">
        <v>351</v>
      </c>
      <c r="D26" s="611">
        <v>0</v>
      </c>
      <c r="E26" s="611">
        <v>0</v>
      </c>
      <c r="F26" s="611">
        <v>0</v>
      </c>
      <c r="G26" s="611">
        <v>0</v>
      </c>
      <c r="H26" s="611">
        <v>0</v>
      </c>
      <c r="I26" s="611">
        <v>0</v>
      </c>
      <c r="J26" s="611">
        <v>0</v>
      </c>
      <c r="K26" s="611">
        <v>0</v>
      </c>
      <c r="L26" s="611">
        <v>241.57977746902651</v>
      </c>
      <c r="M26" s="611">
        <v>0</v>
      </c>
      <c r="N26" s="611">
        <v>-132.86887760796458</v>
      </c>
      <c r="O26" s="611">
        <v>0</v>
      </c>
      <c r="P26" s="611">
        <v>0</v>
      </c>
      <c r="Q26" s="611">
        <v>0</v>
      </c>
      <c r="R26" s="611">
        <v>0</v>
      </c>
      <c r="S26" s="611">
        <v>0</v>
      </c>
      <c r="T26" s="611">
        <v>0</v>
      </c>
      <c r="U26" s="619">
        <v>108.71089986106193</v>
      </c>
      <c r="V26" s="51"/>
    </row>
    <row r="27" spans="3:22" x14ac:dyDescent="0.25">
      <c r="C27" s="618" t="s">
        <v>352</v>
      </c>
      <c r="D27" s="611">
        <v>0</v>
      </c>
      <c r="E27" s="611">
        <v>0</v>
      </c>
      <c r="F27" s="611">
        <v>0</v>
      </c>
      <c r="G27" s="611">
        <v>-17.665386413709186</v>
      </c>
      <c r="H27" s="611">
        <v>0</v>
      </c>
      <c r="I27" s="611">
        <v>0</v>
      </c>
      <c r="J27" s="611">
        <v>0</v>
      </c>
      <c r="K27" s="611">
        <v>0</v>
      </c>
      <c r="L27" s="611">
        <v>0</v>
      </c>
      <c r="M27" s="611">
        <v>0</v>
      </c>
      <c r="N27" s="611">
        <v>0</v>
      </c>
      <c r="O27" s="611">
        <v>0</v>
      </c>
      <c r="P27" s="611">
        <v>0</v>
      </c>
      <c r="Q27" s="611">
        <v>0</v>
      </c>
      <c r="R27" s="611">
        <v>0</v>
      </c>
      <c r="S27" s="611">
        <v>0</v>
      </c>
      <c r="T27" s="611">
        <v>23.034172245220685</v>
      </c>
      <c r="U27" s="619">
        <v>5.3687858315114987</v>
      </c>
      <c r="V27" s="51"/>
    </row>
    <row r="28" spans="3:22" x14ac:dyDescent="0.25">
      <c r="C28" s="618" t="s">
        <v>73</v>
      </c>
      <c r="D28" s="611">
        <v>0</v>
      </c>
      <c r="E28" s="611">
        <v>0</v>
      </c>
      <c r="F28" s="611">
        <v>0</v>
      </c>
      <c r="G28" s="611">
        <v>0</v>
      </c>
      <c r="H28" s="611">
        <v>0</v>
      </c>
      <c r="I28" s="611">
        <v>0</v>
      </c>
      <c r="J28" s="611">
        <v>0</v>
      </c>
      <c r="K28" s="611">
        <v>0</v>
      </c>
      <c r="L28" s="611">
        <v>0</v>
      </c>
      <c r="M28" s="611">
        <v>0</v>
      </c>
      <c r="N28" s="611">
        <v>0</v>
      </c>
      <c r="O28" s="611">
        <v>0</v>
      </c>
      <c r="P28" s="611">
        <v>0</v>
      </c>
      <c r="Q28" s="611">
        <v>0</v>
      </c>
      <c r="R28" s="611">
        <v>117.86552977975516</v>
      </c>
      <c r="S28" s="611">
        <v>0</v>
      </c>
      <c r="T28" s="611">
        <v>-80.737887899132289</v>
      </c>
      <c r="U28" s="619">
        <v>37.127641880622875</v>
      </c>
      <c r="V28" s="51"/>
    </row>
    <row r="29" spans="3:22" x14ac:dyDescent="0.25">
      <c r="C29" s="618" t="s">
        <v>353</v>
      </c>
      <c r="D29" s="611">
        <v>7.6015399218749993</v>
      </c>
      <c r="E29" s="611">
        <v>-8.6886799201425244</v>
      </c>
      <c r="F29" s="611">
        <v>11.323469941688563</v>
      </c>
      <c r="G29" s="611">
        <v>0</v>
      </c>
      <c r="H29" s="611">
        <v>0</v>
      </c>
      <c r="I29" s="611">
        <v>0</v>
      </c>
      <c r="J29" s="611">
        <v>0</v>
      </c>
      <c r="K29" s="611">
        <v>0</v>
      </c>
      <c r="L29" s="611">
        <v>0</v>
      </c>
      <c r="M29" s="611">
        <v>0</v>
      </c>
      <c r="N29" s="611">
        <v>0</v>
      </c>
      <c r="O29" s="611">
        <v>0</v>
      </c>
      <c r="P29" s="611">
        <v>0</v>
      </c>
      <c r="Q29" s="611">
        <v>0</v>
      </c>
      <c r="R29" s="611">
        <v>0</v>
      </c>
      <c r="S29" s="611">
        <v>0</v>
      </c>
      <c r="T29" s="611">
        <v>0</v>
      </c>
      <c r="U29" s="619">
        <v>10.236329943421037</v>
      </c>
      <c r="V29" s="51"/>
    </row>
    <row r="30" spans="3:22" x14ac:dyDescent="0.25">
      <c r="C30" s="618" t="s">
        <v>75</v>
      </c>
      <c r="D30" s="611">
        <v>2.9561544140625</v>
      </c>
      <c r="E30" s="611">
        <v>0</v>
      </c>
      <c r="F30" s="611">
        <v>8.5207834498967969</v>
      </c>
      <c r="G30" s="611">
        <v>0</v>
      </c>
      <c r="H30" s="611">
        <v>2.8438669910513061</v>
      </c>
      <c r="I30" s="611">
        <v>0</v>
      </c>
      <c r="J30" s="611">
        <v>0</v>
      </c>
      <c r="K30" s="611">
        <v>0</v>
      </c>
      <c r="L30" s="611">
        <v>0</v>
      </c>
      <c r="M30" s="611">
        <v>0</v>
      </c>
      <c r="N30" s="611">
        <v>0</v>
      </c>
      <c r="O30" s="611">
        <v>2.3268002654056139</v>
      </c>
      <c r="P30" s="611">
        <v>0</v>
      </c>
      <c r="Q30" s="611">
        <v>0</v>
      </c>
      <c r="R30" s="611">
        <v>65.316211737855681</v>
      </c>
      <c r="S30" s="611">
        <v>0</v>
      </c>
      <c r="T30" s="611">
        <v>0</v>
      </c>
      <c r="U30" s="619">
        <v>81.963816858271898</v>
      </c>
      <c r="V30" s="51"/>
    </row>
    <row r="31" spans="3:22" x14ac:dyDescent="0.25">
      <c r="C31" s="618" t="s">
        <v>76</v>
      </c>
      <c r="D31" s="611">
        <v>0</v>
      </c>
      <c r="E31" s="611">
        <v>0</v>
      </c>
      <c r="F31" s="611">
        <v>0</v>
      </c>
      <c r="G31" s="611">
        <v>0</v>
      </c>
      <c r="H31" s="611">
        <v>1.2487307293345435</v>
      </c>
      <c r="I31" s="611">
        <v>0</v>
      </c>
      <c r="J31" s="611">
        <v>0</v>
      </c>
      <c r="K31" s="611">
        <v>0</v>
      </c>
      <c r="L31" s="611">
        <v>0</v>
      </c>
      <c r="M31" s="611">
        <v>0</v>
      </c>
      <c r="N31" s="611">
        <v>0</v>
      </c>
      <c r="O31" s="611">
        <v>1.0216887785464446</v>
      </c>
      <c r="P31" s="611">
        <v>0</v>
      </c>
      <c r="Q31" s="611">
        <v>0</v>
      </c>
      <c r="R31" s="611">
        <v>59.730312087486432</v>
      </c>
      <c r="S31" s="611">
        <v>5.9593934605085384</v>
      </c>
      <c r="T31" s="611">
        <v>0</v>
      </c>
      <c r="U31" s="619">
        <v>67.960125055875963</v>
      </c>
      <c r="V31" s="51"/>
    </row>
    <row r="32" spans="3:22" x14ac:dyDescent="0.25">
      <c r="C32" s="614" t="s">
        <v>77</v>
      </c>
      <c r="D32" s="615">
        <v>10.5576943359375</v>
      </c>
      <c r="E32" s="615">
        <v>239.69119414034884</v>
      </c>
      <c r="F32" s="615">
        <v>-225.99389771989621</v>
      </c>
      <c r="G32" s="615">
        <v>-17.665386413709186</v>
      </c>
      <c r="H32" s="615">
        <v>13.145610033858507</v>
      </c>
      <c r="I32" s="615">
        <v>-3.6084739343150005</v>
      </c>
      <c r="J32" s="615">
        <v>1175.1327636363635</v>
      </c>
      <c r="K32" s="615">
        <v>409.44348403288171</v>
      </c>
      <c r="L32" s="615">
        <v>478.7929590531906</v>
      </c>
      <c r="M32" s="615">
        <v>16.373420357588014</v>
      </c>
      <c r="N32" s="615">
        <v>-127.24193977003154</v>
      </c>
      <c r="O32" s="615">
        <v>-85.45526270861042</v>
      </c>
      <c r="P32" s="615">
        <v>0</v>
      </c>
      <c r="Q32" s="615">
        <v>18.761521942152637</v>
      </c>
      <c r="R32" s="615">
        <v>-601.76999958232864</v>
      </c>
      <c r="S32" s="615">
        <v>-70.885119307585128</v>
      </c>
      <c r="T32" s="615">
        <v>-48.999756300696326</v>
      </c>
      <c r="U32" s="615">
        <v>1111.689620039155</v>
      </c>
      <c r="V32" s="51"/>
    </row>
    <row r="33" spans="3:22" x14ac:dyDescent="0.25">
      <c r="C33" s="616"/>
      <c r="D33" s="617"/>
      <c r="E33" s="617"/>
      <c r="F33" s="617"/>
      <c r="G33" s="617"/>
      <c r="H33" s="623"/>
      <c r="I33" s="617"/>
      <c r="J33" s="617"/>
      <c r="K33" s="617"/>
      <c r="L33" s="617"/>
      <c r="M33" s="617"/>
      <c r="N33" s="617"/>
      <c r="O33" s="685"/>
      <c r="P33" s="617"/>
      <c r="Q33" s="617"/>
      <c r="R33" s="617"/>
      <c r="S33" s="617"/>
      <c r="T33" s="617"/>
      <c r="U33" s="617"/>
      <c r="V33" s="51"/>
    </row>
    <row r="34" spans="3:22" x14ac:dyDescent="0.25">
      <c r="C34" s="618" t="s">
        <v>78</v>
      </c>
      <c r="D34" s="611">
        <v>2.7829395451988024</v>
      </c>
      <c r="E34" s="611">
        <v>0</v>
      </c>
      <c r="F34" s="611">
        <v>5.9508631597557615</v>
      </c>
      <c r="G34" s="611">
        <v>0</v>
      </c>
      <c r="H34" s="611">
        <v>39.502554352900951</v>
      </c>
      <c r="I34" s="611">
        <v>0</v>
      </c>
      <c r="J34" s="611">
        <v>0</v>
      </c>
      <c r="K34" s="611">
        <v>0</v>
      </c>
      <c r="L34" s="611">
        <v>22.312304964799452</v>
      </c>
      <c r="M34" s="611">
        <v>6.9877021638277412</v>
      </c>
      <c r="N34" s="611">
        <v>2.0803229791147206</v>
      </c>
      <c r="O34" s="611">
        <v>32.358934550865669</v>
      </c>
      <c r="P34" s="611">
        <v>13.3040771484375</v>
      </c>
      <c r="Q34" s="611">
        <v>7.8820466826144567E-4</v>
      </c>
      <c r="R34" s="611">
        <v>173.89525275416003</v>
      </c>
      <c r="S34" s="611">
        <v>20.634753208520429</v>
      </c>
      <c r="T34" s="611">
        <v>9.0650810546875</v>
      </c>
      <c r="U34" s="619">
        <v>328.87557408693681</v>
      </c>
      <c r="V34" s="51"/>
    </row>
    <row r="35" spans="3:22" x14ac:dyDescent="0.25">
      <c r="C35" s="618" t="s">
        <v>79</v>
      </c>
      <c r="D35" s="611">
        <v>0</v>
      </c>
      <c r="E35" s="611">
        <v>0</v>
      </c>
      <c r="F35" s="611">
        <v>66.70797411064288</v>
      </c>
      <c r="G35" s="611">
        <v>1.4882117515392765</v>
      </c>
      <c r="H35" s="611">
        <v>4.2678947974839696</v>
      </c>
      <c r="I35" s="611">
        <v>0</v>
      </c>
      <c r="J35" s="611">
        <v>0</v>
      </c>
      <c r="K35" s="611">
        <v>0</v>
      </c>
      <c r="L35" s="611">
        <v>0</v>
      </c>
      <c r="M35" s="611">
        <v>0</v>
      </c>
      <c r="N35" s="611">
        <v>73.593483349125535</v>
      </c>
      <c r="O35" s="611">
        <v>3.4919139252141571</v>
      </c>
      <c r="P35" s="611">
        <v>0</v>
      </c>
      <c r="Q35" s="611">
        <v>0</v>
      </c>
      <c r="R35" s="611">
        <v>93.510067312183125</v>
      </c>
      <c r="S35" s="611">
        <v>0</v>
      </c>
      <c r="T35" s="611">
        <v>4.8685919891456626</v>
      </c>
      <c r="U35" s="619">
        <v>247.92813723533465</v>
      </c>
      <c r="V35" s="51"/>
    </row>
    <row r="36" spans="3:22" x14ac:dyDescent="0.25">
      <c r="C36" s="618" t="s">
        <v>80</v>
      </c>
      <c r="D36" s="611">
        <v>0</v>
      </c>
      <c r="E36" s="611">
        <v>0</v>
      </c>
      <c r="F36" s="611">
        <v>0.70056505907555588</v>
      </c>
      <c r="G36" s="611">
        <v>0</v>
      </c>
      <c r="H36" s="611">
        <v>30.417683241774196</v>
      </c>
      <c r="I36" s="611">
        <v>0</v>
      </c>
      <c r="J36" s="611">
        <v>0</v>
      </c>
      <c r="K36" s="611">
        <v>0</v>
      </c>
      <c r="L36" s="611">
        <v>38.639946552696927</v>
      </c>
      <c r="M36" s="611">
        <v>0</v>
      </c>
      <c r="N36" s="611">
        <v>0</v>
      </c>
      <c r="O36" s="611">
        <v>24.887195379633432</v>
      </c>
      <c r="P36" s="611">
        <v>86.105749461049399</v>
      </c>
      <c r="Q36" s="611">
        <v>2.7249646948397461</v>
      </c>
      <c r="R36" s="611">
        <v>148.18938321630344</v>
      </c>
      <c r="S36" s="611">
        <v>31.883802674184324</v>
      </c>
      <c r="T36" s="611">
        <v>0</v>
      </c>
      <c r="U36" s="619">
        <v>363.549290279557</v>
      </c>
      <c r="V36" s="51"/>
    </row>
    <row r="37" spans="3:22" x14ac:dyDescent="0.25">
      <c r="C37" s="618" t="s">
        <v>81</v>
      </c>
      <c r="D37" s="611">
        <v>0</v>
      </c>
      <c r="E37" s="611">
        <v>0</v>
      </c>
      <c r="F37" s="611">
        <v>0.71662814188275692</v>
      </c>
      <c r="G37" s="611">
        <v>0</v>
      </c>
      <c r="H37" s="611">
        <v>17.070442062862515</v>
      </c>
      <c r="I37" s="611">
        <v>0</v>
      </c>
      <c r="J37" s="611">
        <v>0</v>
      </c>
      <c r="K37" s="611">
        <v>0</v>
      </c>
      <c r="L37" s="611">
        <v>0.54</v>
      </c>
      <c r="M37" s="611">
        <v>0</v>
      </c>
      <c r="N37" s="611">
        <v>0</v>
      </c>
      <c r="O37" s="611">
        <v>13.96672532416024</v>
      </c>
      <c r="P37" s="611">
        <v>47.88985693075989</v>
      </c>
      <c r="Q37" s="611">
        <v>3.3614454124228632</v>
      </c>
      <c r="R37" s="611">
        <v>111.42887756094851</v>
      </c>
      <c r="S37" s="611">
        <v>18.366563424880354</v>
      </c>
      <c r="T37" s="611">
        <v>0</v>
      </c>
      <c r="U37" s="619">
        <v>213.34053885791715</v>
      </c>
      <c r="V37" s="51"/>
    </row>
    <row r="38" spans="3:22" x14ac:dyDescent="0.25">
      <c r="C38" s="618" t="s">
        <v>82</v>
      </c>
      <c r="D38" s="611">
        <v>0</v>
      </c>
      <c r="E38" s="611">
        <v>0</v>
      </c>
      <c r="F38" s="611">
        <v>11.597378331629093</v>
      </c>
      <c r="G38" s="611">
        <v>0</v>
      </c>
      <c r="H38" s="611">
        <v>0.90544035166634684</v>
      </c>
      <c r="I38" s="611">
        <v>0</v>
      </c>
      <c r="J38" s="611">
        <v>0</v>
      </c>
      <c r="K38" s="611">
        <v>0</v>
      </c>
      <c r="L38" s="611">
        <v>3</v>
      </c>
      <c r="M38" s="611">
        <v>0</v>
      </c>
      <c r="N38" s="611">
        <v>15.045804570761968</v>
      </c>
      <c r="O38" s="611">
        <v>0.7408148331815565</v>
      </c>
      <c r="P38" s="611">
        <v>1</v>
      </c>
      <c r="Q38" s="611">
        <v>1.300620381405156</v>
      </c>
      <c r="R38" s="611">
        <v>6.9895463025017071</v>
      </c>
      <c r="S38" s="611">
        <v>0</v>
      </c>
      <c r="T38" s="611">
        <v>0.52515509535128901</v>
      </c>
      <c r="U38" s="619">
        <v>41.104759866497112</v>
      </c>
      <c r="V38" s="51"/>
    </row>
    <row r="39" spans="3:22" x14ac:dyDescent="0.25">
      <c r="C39" s="618" t="s">
        <v>354</v>
      </c>
      <c r="D39" s="611">
        <v>0</v>
      </c>
      <c r="E39" s="611">
        <v>0</v>
      </c>
      <c r="F39" s="611">
        <v>0</v>
      </c>
      <c r="G39" s="611">
        <v>0</v>
      </c>
      <c r="H39" s="611">
        <v>0</v>
      </c>
      <c r="I39" s="611">
        <v>0</v>
      </c>
      <c r="J39" s="611">
        <v>0</v>
      </c>
      <c r="K39" s="611">
        <v>0</v>
      </c>
      <c r="L39" s="611">
        <v>0</v>
      </c>
      <c r="M39" s="611">
        <v>0</v>
      </c>
      <c r="N39" s="611">
        <v>0</v>
      </c>
      <c r="O39" s="611">
        <v>0</v>
      </c>
      <c r="P39" s="611">
        <v>0</v>
      </c>
      <c r="Q39" s="611">
        <v>0</v>
      </c>
      <c r="R39" s="611">
        <v>3.2585999999999999</v>
      </c>
      <c r="S39" s="611">
        <v>0</v>
      </c>
      <c r="T39" s="611">
        <v>0</v>
      </c>
      <c r="U39" s="619">
        <v>3.2585999999999999</v>
      </c>
      <c r="V39" s="51"/>
    </row>
    <row r="40" spans="3:22" x14ac:dyDescent="0.25">
      <c r="C40" s="614" t="s">
        <v>83</v>
      </c>
      <c r="D40" s="615">
        <v>2.7829395451988024</v>
      </c>
      <c r="E40" s="615">
        <v>0</v>
      </c>
      <c r="F40" s="615">
        <v>85.673408802986032</v>
      </c>
      <c r="G40" s="615">
        <v>1.4882117515392765</v>
      </c>
      <c r="H40" s="615">
        <v>92.164014806687973</v>
      </c>
      <c r="I40" s="615">
        <v>0</v>
      </c>
      <c r="J40" s="615">
        <v>0</v>
      </c>
      <c r="K40" s="615">
        <v>0</v>
      </c>
      <c r="L40" s="615">
        <v>64.492251517496385</v>
      </c>
      <c r="M40" s="615">
        <v>6.9877021638277412</v>
      </c>
      <c r="N40" s="615">
        <v>90.719610899002234</v>
      </c>
      <c r="O40" s="615">
        <v>75.445584013055054</v>
      </c>
      <c r="P40" s="615">
        <v>148.2996835402468</v>
      </c>
      <c r="Q40" s="615">
        <v>7.387818693336027</v>
      </c>
      <c r="R40" s="615">
        <v>537.27172714609685</v>
      </c>
      <c r="S40" s="615">
        <v>70.885119307585114</v>
      </c>
      <c r="T40" s="615">
        <v>14.458828139184453</v>
      </c>
      <c r="U40" s="615">
        <v>1198.0569003262426</v>
      </c>
      <c r="V40" s="51"/>
    </row>
    <row r="41" spans="3:22" x14ac:dyDescent="0.25">
      <c r="C41" s="610" t="s">
        <v>84</v>
      </c>
      <c r="D41" s="611">
        <v>0</v>
      </c>
      <c r="E41" s="611">
        <v>0</v>
      </c>
      <c r="F41" s="611">
        <v>83.18009003150803</v>
      </c>
      <c r="G41" s="611">
        <v>2.1194598778069409</v>
      </c>
      <c r="H41" s="611">
        <v>8.9820116802829233</v>
      </c>
      <c r="I41" s="611">
        <v>0</v>
      </c>
      <c r="J41" s="611">
        <v>0</v>
      </c>
      <c r="K41" s="611">
        <v>0</v>
      </c>
      <c r="L41" s="611">
        <v>0.34435996988737483</v>
      </c>
      <c r="M41" s="611">
        <v>0</v>
      </c>
      <c r="N41" s="611">
        <v>26.994386078959611</v>
      </c>
      <c r="O41" s="611">
        <v>7.771086156633026</v>
      </c>
      <c r="P41" s="611">
        <v>0</v>
      </c>
      <c r="Q41" s="611">
        <v>0</v>
      </c>
      <c r="R41" s="611">
        <v>0</v>
      </c>
      <c r="S41" s="611">
        <v>0</v>
      </c>
      <c r="T41" s="611">
        <v>30.755676878666431</v>
      </c>
      <c r="U41" s="619">
        <v>160.14707067374434</v>
      </c>
      <c r="V41" s="51"/>
    </row>
    <row r="42" spans="3:22" x14ac:dyDescent="0.25">
      <c r="C42" s="614" t="s">
        <v>85</v>
      </c>
      <c r="D42" s="615">
        <v>2.7829395451988024</v>
      </c>
      <c r="E42" s="615">
        <v>0</v>
      </c>
      <c r="F42" s="615">
        <v>168.85349883449408</v>
      </c>
      <c r="G42" s="615">
        <v>3.6076716293462177</v>
      </c>
      <c r="H42" s="615">
        <v>101.1460264869709</v>
      </c>
      <c r="I42" s="615">
        <v>0</v>
      </c>
      <c r="J42" s="615">
        <v>0</v>
      </c>
      <c r="K42" s="615">
        <v>0</v>
      </c>
      <c r="L42" s="615">
        <v>64.836611487383763</v>
      </c>
      <c r="M42" s="615">
        <v>6.9877021638277412</v>
      </c>
      <c r="N42" s="615">
        <v>117.71399697796184</v>
      </c>
      <c r="O42" s="615">
        <v>83.216670169688086</v>
      </c>
      <c r="P42" s="615">
        <v>148.2996835402468</v>
      </c>
      <c r="Q42" s="615">
        <v>7.387818693336027</v>
      </c>
      <c r="R42" s="615">
        <v>537.27172714609685</v>
      </c>
      <c r="S42" s="615">
        <v>70.885119307585114</v>
      </c>
      <c r="T42" s="615">
        <v>45.214505017850882</v>
      </c>
      <c r="U42" s="615">
        <v>1358.203970999987</v>
      </c>
      <c r="V42" s="51"/>
    </row>
    <row r="43" spans="3:22" x14ac:dyDescent="0.25">
      <c r="C43" s="51"/>
      <c r="D43" s="67">
        <v>0</v>
      </c>
      <c r="E43" s="67">
        <v>0</v>
      </c>
      <c r="F43" s="67">
        <v>0</v>
      </c>
      <c r="G43" s="67">
        <v>0</v>
      </c>
      <c r="H43" s="67">
        <v>0</v>
      </c>
      <c r="I43" s="67">
        <v>0</v>
      </c>
      <c r="J43" s="67">
        <v>0</v>
      </c>
      <c r="K43" s="67">
        <v>0</v>
      </c>
      <c r="L43" s="67">
        <v>0</v>
      </c>
      <c r="M43" s="67">
        <v>-4.0121337499243737E-4</v>
      </c>
      <c r="N43" s="67">
        <v>0</v>
      </c>
      <c r="O43" s="67">
        <v>0</v>
      </c>
      <c r="P43" s="67">
        <v>0</v>
      </c>
      <c r="Q43" s="67">
        <v>0</v>
      </c>
      <c r="R43" s="67">
        <v>1.1368683772161603E-13</v>
      </c>
      <c r="S43" s="67">
        <v>-1.4210854715202004E-14</v>
      </c>
      <c r="T43" s="67">
        <v>9.7699626167013776E-15</v>
      </c>
      <c r="U43" s="67">
        <v>-4.0121337497112108E-4</v>
      </c>
      <c r="V43" s="51"/>
    </row>
    <row r="44" spans="3:22" x14ac:dyDescent="0.25">
      <c r="C44" s="51"/>
      <c r="D44" s="51"/>
      <c r="E44" s="51"/>
      <c r="F44" s="51"/>
      <c r="G44" s="67"/>
      <c r="H44" s="51"/>
      <c r="I44" s="51"/>
      <c r="J44" s="51"/>
      <c r="K44" s="51"/>
      <c r="L44" s="51"/>
      <c r="M44" s="51"/>
      <c r="N44" s="51"/>
      <c r="O44" s="51"/>
      <c r="P44" s="51"/>
      <c r="Q44" s="51"/>
      <c r="R44" s="51"/>
      <c r="S44" s="51"/>
      <c r="T44" s="51"/>
      <c r="U44" s="51"/>
      <c r="V44" s="51"/>
    </row>
    <row r="45" spans="3:22" x14ac:dyDescent="0.25">
      <c r="C45" s="607" t="s">
        <v>518</v>
      </c>
      <c r="D45" s="606"/>
      <c r="E45" s="606"/>
      <c r="F45" s="606"/>
      <c r="G45" s="682"/>
      <c r="H45" s="606"/>
      <c r="I45" s="606"/>
      <c r="J45" s="606"/>
      <c r="K45" s="606"/>
      <c r="L45" s="606"/>
      <c r="M45" s="606"/>
      <c r="N45" s="606"/>
      <c r="O45" s="606"/>
      <c r="P45" s="606"/>
      <c r="Q45" s="606"/>
      <c r="R45" s="606"/>
      <c r="S45" s="606"/>
      <c r="T45" s="606"/>
      <c r="U45" s="606"/>
      <c r="V45" s="606"/>
    </row>
    <row r="46" spans="3:22" x14ac:dyDescent="0.25">
      <c r="C46" s="51"/>
      <c r="D46" s="51"/>
      <c r="E46" s="51"/>
      <c r="F46" s="51"/>
      <c r="G46" s="67"/>
      <c r="H46" s="51"/>
      <c r="I46" s="51"/>
      <c r="J46" s="51"/>
      <c r="K46" s="51"/>
      <c r="L46" s="51"/>
      <c r="M46" s="51"/>
      <c r="N46" s="51"/>
      <c r="O46" s="51"/>
      <c r="P46" s="51"/>
      <c r="Q46" s="51"/>
      <c r="R46" s="51"/>
      <c r="S46" s="51"/>
      <c r="T46" s="51"/>
      <c r="U46" s="51"/>
      <c r="V46" s="51"/>
    </row>
    <row r="47" spans="3:22" x14ac:dyDescent="0.25">
      <c r="C47" s="764" t="s">
        <v>128</v>
      </c>
      <c r="D47" s="753" t="s">
        <v>42</v>
      </c>
      <c r="E47" s="753" t="s">
        <v>52</v>
      </c>
      <c r="F47" s="753" t="s">
        <v>53</v>
      </c>
      <c r="G47" s="766" t="s">
        <v>482</v>
      </c>
      <c r="H47" s="753" t="s">
        <v>32</v>
      </c>
      <c r="I47" s="753" t="s">
        <v>483</v>
      </c>
      <c r="J47" s="753" t="s">
        <v>20</v>
      </c>
      <c r="K47" s="753" t="s">
        <v>55</v>
      </c>
      <c r="L47" s="761" t="s">
        <v>56</v>
      </c>
      <c r="M47" s="762"/>
      <c r="N47" s="762"/>
      <c r="O47" s="762"/>
      <c r="P47" s="762"/>
      <c r="Q47" s="763"/>
      <c r="R47" s="753" t="s">
        <v>57</v>
      </c>
      <c r="S47" s="753" t="s">
        <v>58</v>
      </c>
      <c r="T47" s="753" t="s">
        <v>31</v>
      </c>
      <c r="U47" s="753" t="s">
        <v>10</v>
      </c>
      <c r="V47" s="51"/>
    </row>
    <row r="48" spans="3:22" ht="36" x14ac:dyDescent="0.25">
      <c r="C48" s="765"/>
      <c r="D48" s="754"/>
      <c r="E48" s="754"/>
      <c r="F48" s="754"/>
      <c r="G48" s="767"/>
      <c r="H48" s="754"/>
      <c r="I48" s="754"/>
      <c r="J48" s="754"/>
      <c r="K48" s="754"/>
      <c r="L48" s="608" t="s">
        <v>335</v>
      </c>
      <c r="M48" s="608" t="s">
        <v>40</v>
      </c>
      <c r="N48" s="608" t="s">
        <v>343</v>
      </c>
      <c r="O48" s="608" t="s">
        <v>344</v>
      </c>
      <c r="P48" s="609" t="s">
        <v>345</v>
      </c>
      <c r="Q48" s="608" t="s">
        <v>346</v>
      </c>
      <c r="R48" s="754"/>
      <c r="S48" s="754"/>
      <c r="T48" s="754"/>
      <c r="U48" s="754"/>
      <c r="V48" s="51"/>
    </row>
    <row r="49" spans="3:22" x14ac:dyDescent="0.25">
      <c r="C49" s="610" t="s">
        <v>59</v>
      </c>
      <c r="D49" s="611">
        <v>0</v>
      </c>
      <c r="E49" s="611">
        <v>0</v>
      </c>
      <c r="F49" s="611">
        <v>0</v>
      </c>
      <c r="G49" s="611">
        <v>0</v>
      </c>
      <c r="H49" s="611">
        <v>0</v>
      </c>
      <c r="I49" s="611">
        <v>0</v>
      </c>
      <c r="J49" s="612">
        <v>1052.7157454545454</v>
      </c>
      <c r="K49" s="612">
        <v>465.75813055383361</v>
      </c>
      <c r="L49" s="612">
        <v>458.29162667613781</v>
      </c>
      <c r="M49" s="612">
        <v>21.28454284594844</v>
      </c>
      <c r="N49" s="611">
        <v>1.638642873490971</v>
      </c>
      <c r="O49" s="611">
        <v>0.1692153726460352</v>
      </c>
      <c r="P49" s="612">
        <v>165.69992491801096</v>
      </c>
      <c r="Q49" s="612">
        <v>25.254108394560834</v>
      </c>
      <c r="R49" s="611">
        <v>0</v>
      </c>
      <c r="S49" s="611">
        <v>0</v>
      </c>
      <c r="T49" s="611">
        <v>0</v>
      </c>
      <c r="U49" s="613">
        <v>2190.8119370891736</v>
      </c>
      <c r="V49" s="51"/>
    </row>
    <row r="50" spans="3:22" x14ac:dyDescent="0.25">
      <c r="C50" s="610" t="s">
        <v>60</v>
      </c>
      <c r="D50" s="611">
        <v>6.0767583671953336</v>
      </c>
      <c r="E50" s="611">
        <v>189.53853209341332</v>
      </c>
      <c r="F50" s="611">
        <v>3.6404081450569747</v>
      </c>
      <c r="G50" s="611">
        <v>0</v>
      </c>
      <c r="H50" s="611">
        <v>70.464271488338852</v>
      </c>
      <c r="I50" s="611">
        <v>0</v>
      </c>
      <c r="J50" s="611">
        <v>0</v>
      </c>
      <c r="K50" s="611">
        <v>0</v>
      </c>
      <c r="L50" s="611">
        <v>4.5400000946661896</v>
      </c>
      <c r="M50" s="611">
        <v>0</v>
      </c>
      <c r="N50" s="611">
        <v>5.926124897298644</v>
      </c>
      <c r="O50" s="611">
        <v>0</v>
      </c>
      <c r="P50" s="611">
        <v>0</v>
      </c>
      <c r="Q50" s="611">
        <v>0</v>
      </c>
      <c r="R50" s="611">
        <v>0</v>
      </c>
      <c r="S50" s="611">
        <v>0</v>
      </c>
      <c r="T50" s="611">
        <v>0</v>
      </c>
      <c r="U50" s="613">
        <v>280.18609508596927</v>
      </c>
      <c r="V50" s="51"/>
    </row>
    <row r="51" spans="3:22" x14ac:dyDescent="0.25">
      <c r="C51" s="610" t="s">
        <v>61</v>
      </c>
      <c r="D51" s="611">
        <v>0</v>
      </c>
      <c r="E51" s="611">
        <v>0</v>
      </c>
      <c r="F51" s="611">
        <v>-34.688318370921742</v>
      </c>
      <c r="G51" s="611">
        <v>-5.1567908130260314</v>
      </c>
      <c r="H51" s="611">
        <v>0</v>
      </c>
      <c r="I51" s="611">
        <v>0</v>
      </c>
      <c r="J51" s="611">
        <v>0</v>
      </c>
      <c r="K51" s="611">
        <v>0</v>
      </c>
      <c r="L51" s="611">
        <v>0</v>
      </c>
      <c r="M51" s="611">
        <v>0</v>
      </c>
      <c r="N51" s="611">
        <v>0</v>
      </c>
      <c r="O51" s="611">
        <v>0</v>
      </c>
      <c r="P51" s="611">
        <v>0</v>
      </c>
      <c r="Q51" s="611">
        <v>0</v>
      </c>
      <c r="R51" s="611">
        <v>-12.796023203874938</v>
      </c>
      <c r="S51" s="611">
        <v>0</v>
      </c>
      <c r="T51" s="611">
        <v>0</v>
      </c>
      <c r="U51" s="613">
        <v>-52.641132387822708</v>
      </c>
      <c r="V51" s="51"/>
    </row>
    <row r="52" spans="3:22" x14ac:dyDescent="0.25">
      <c r="C52" s="610" t="s">
        <v>62</v>
      </c>
      <c r="D52" s="611">
        <v>0</v>
      </c>
      <c r="E52" s="611">
        <v>0</v>
      </c>
      <c r="F52" s="611">
        <v>-3.5615694502361057</v>
      </c>
      <c r="G52" s="611">
        <v>-4.706211381166379</v>
      </c>
      <c r="H52" s="611">
        <v>0</v>
      </c>
      <c r="I52" s="611">
        <v>-3.8584286845410238</v>
      </c>
      <c r="J52" s="611">
        <v>0</v>
      </c>
      <c r="K52" s="611">
        <v>0</v>
      </c>
      <c r="L52" s="611">
        <v>0</v>
      </c>
      <c r="M52" s="611">
        <v>0</v>
      </c>
      <c r="N52" s="611">
        <v>-1.4330438936791221</v>
      </c>
      <c r="O52" s="611">
        <v>-2.5722857896940159</v>
      </c>
      <c r="P52" s="611">
        <v>0</v>
      </c>
      <c r="Q52" s="611">
        <v>0</v>
      </c>
      <c r="R52" s="611">
        <v>0</v>
      </c>
      <c r="S52" s="611">
        <v>0</v>
      </c>
      <c r="T52" s="611">
        <v>-1.5542726935255338</v>
      </c>
      <c r="U52" s="613">
        <v>-17.685811892842178</v>
      </c>
      <c r="V52" s="51"/>
    </row>
    <row r="53" spans="3:22" x14ac:dyDescent="0.25">
      <c r="C53" s="610" t="s">
        <v>63</v>
      </c>
      <c r="D53" s="611">
        <v>0</v>
      </c>
      <c r="E53" s="611">
        <v>0</v>
      </c>
      <c r="F53" s="611">
        <v>-31.271549575274978</v>
      </c>
      <c r="G53" s="611">
        <v>-12.658057837302275</v>
      </c>
      <c r="H53" s="611">
        <v>0</v>
      </c>
      <c r="I53" s="611">
        <v>0</v>
      </c>
      <c r="J53" s="611">
        <v>0</v>
      </c>
      <c r="K53" s="611">
        <v>0</v>
      </c>
      <c r="L53" s="611">
        <v>0</v>
      </c>
      <c r="M53" s="611">
        <v>0</v>
      </c>
      <c r="N53" s="611">
        <v>-15.442835023025614</v>
      </c>
      <c r="O53" s="611">
        <v>0</v>
      </c>
      <c r="P53" s="611">
        <v>0</v>
      </c>
      <c r="Q53" s="611">
        <v>0</v>
      </c>
      <c r="R53" s="611">
        <v>0</v>
      </c>
      <c r="S53" s="611">
        <v>0</v>
      </c>
      <c r="T53" s="611">
        <v>-4.141098204696295</v>
      </c>
      <c r="U53" s="613">
        <v>-63.513540640299169</v>
      </c>
      <c r="V53" s="51"/>
    </row>
    <row r="54" spans="3:22" x14ac:dyDescent="0.25">
      <c r="C54" s="610" t="s">
        <v>64</v>
      </c>
      <c r="D54" s="611">
        <v>0</v>
      </c>
      <c r="E54" s="611">
        <v>0</v>
      </c>
      <c r="F54" s="611">
        <v>0</v>
      </c>
      <c r="G54" s="611">
        <v>0</v>
      </c>
      <c r="H54" s="611">
        <v>0</v>
      </c>
      <c r="I54" s="611">
        <v>0</v>
      </c>
      <c r="J54" s="611">
        <v>0</v>
      </c>
      <c r="K54" s="611">
        <v>0</v>
      </c>
      <c r="L54" s="611">
        <v>0</v>
      </c>
      <c r="M54" s="611">
        <v>0</v>
      </c>
      <c r="N54" s="611">
        <v>0</v>
      </c>
      <c r="O54" s="611">
        <v>0</v>
      </c>
      <c r="P54" s="611">
        <v>0</v>
      </c>
      <c r="Q54" s="611">
        <v>0</v>
      </c>
      <c r="R54" s="611">
        <v>0</v>
      </c>
      <c r="S54" s="611">
        <v>0</v>
      </c>
      <c r="T54" s="611">
        <v>0</v>
      </c>
      <c r="U54" s="613">
        <v>0</v>
      </c>
      <c r="V54" s="51"/>
    </row>
    <row r="55" spans="3:22" x14ac:dyDescent="0.25">
      <c r="C55" s="614" t="s">
        <v>65</v>
      </c>
      <c r="D55" s="615">
        <v>6.0767583671953336</v>
      </c>
      <c r="E55" s="615">
        <v>189.53853209341332</v>
      </c>
      <c r="F55" s="615">
        <v>-65.88102925137585</v>
      </c>
      <c r="G55" s="615">
        <v>-22.521060031494684</v>
      </c>
      <c r="H55" s="615">
        <v>70.464271488338852</v>
      </c>
      <c r="I55" s="615">
        <v>-3.8584286845410238</v>
      </c>
      <c r="J55" s="615">
        <v>1052.7157454545454</v>
      </c>
      <c r="K55" s="615">
        <v>465.75813055383361</v>
      </c>
      <c r="L55" s="615">
        <v>462.83162677080401</v>
      </c>
      <c r="M55" s="615">
        <v>21.28454284594844</v>
      </c>
      <c r="N55" s="615">
        <v>-9.3111111459151203</v>
      </c>
      <c r="O55" s="615">
        <v>-2.4030704170479806</v>
      </c>
      <c r="P55" s="615">
        <v>165.69992491801096</v>
      </c>
      <c r="Q55" s="615">
        <v>25.254108394560834</v>
      </c>
      <c r="R55" s="615">
        <v>-12.796023203874938</v>
      </c>
      <c r="S55" s="615">
        <v>0</v>
      </c>
      <c r="T55" s="615">
        <v>-5.695370898221829</v>
      </c>
      <c r="U55" s="615">
        <v>2337.1575472541786</v>
      </c>
      <c r="V55" s="51"/>
    </row>
    <row r="56" spans="3:22" x14ac:dyDescent="0.25">
      <c r="C56" s="616"/>
      <c r="D56" s="617"/>
      <c r="E56" s="617"/>
      <c r="F56" s="617"/>
      <c r="G56" s="617"/>
      <c r="H56" s="623"/>
      <c r="I56" s="617"/>
      <c r="J56" s="617"/>
      <c r="K56" s="617"/>
      <c r="L56" s="617"/>
      <c r="M56" s="617"/>
      <c r="N56" s="617"/>
      <c r="O56" s="617"/>
      <c r="P56" s="617"/>
      <c r="Q56" s="617"/>
      <c r="R56" s="617"/>
      <c r="S56" s="617"/>
      <c r="T56" s="617"/>
      <c r="U56" s="617"/>
      <c r="V56" s="51"/>
    </row>
    <row r="57" spans="3:22" x14ac:dyDescent="0.25">
      <c r="C57" s="618" t="s">
        <v>67</v>
      </c>
      <c r="D57" s="611">
        <v>0</v>
      </c>
      <c r="E57" s="611">
        <v>0</v>
      </c>
      <c r="F57" s="611">
        <v>0</v>
      </c>
      <c r="G57" s="611">
        <v>0</v>
      </c>
      <c r="H57" s="611">
        <v>0</v>
      </c>
      <c r="I57" s="611">
        <v>0</v>
      </c>
      <c r="J57" s="611">
        <v>0</v>
      </c>
      <c r="K57" s="611">
        <v>0</v>
      </c>
      <c r="L57" s="611">
        <v>0</v>
      </c>
      <c r="M57" s="611">
        <v>0</v>
      </c>
      <c r="N57" s="611">
        <v>0</v>
      </c>
      <c r="O57" s="611">
        <v>0</v>
      </c>
      <c r="P57" s="611">
        <v>0</v>
      </c>
      <c r="Q57" s="611">
        <v>0</v>
      </c>
      <c r="R57" s="611">
        <v>0</v>
      </c>
      <c r="S57" s="611">
        <v>0</v>
      </c>
      <c r="T57" s="611">
        <v>0</v>
      </c>
      <c r="U57" s="619">
        <v>0</v>
      </c>
      <c r="V57" s="51"/>
    </row>
    <row r="58" spans="3:22" x14ac:dyDescent="0.25">
      <c r="C58" s="618" t="s">
        <v>347</v>
      </c>
      <c r="D58" s="611">
        <v>0</v>
      </c>
      <c r="E58" s="611">
        <v>0</v>
      </c>
      <c r="F58" s="611">
        <v>2.6460781360013397E-2</v>
      </c>
      <c r="G58" s="611">
        <v>0</v>
      </c>
      <c r="H58" s="611">
        <v>0.60214660944206022</v>
      </c>
      <c r="I58" s="611">
        <v>0</v>
      </c>
      <c r="J58" s="611">
        <v>1052.7157454545454</v>
      </c>
      <c r="K58" s="611">
        <v>465.75813055383361</v>
      </c>
      <c r="L58" s="611">
        <v>22.779216201567415</v>
      </c>
      <c r="M58" s="611">
        <v>0.6151276496340945</v>
      </c>
      <c r="N58" s="611">
        <v>6.0578717375904887</v>
      </c>
      <c r="O58" s="611">
        <v>1.0172956568090692</v>
      </c>
      <c r="P58" s="611">
        <v>0</v>
      </c>
      <c r="Q58" s="611">
        <v>6.4590957564387725</v>
      </c>
      <c r="R58" s="611">
        <v>-864.21525686437747</v>
      </c>
      <c r="S58" s="611">
        <v>0</v>
      </c>
      <c r="T58" s="611">
        <v>4.5921899999999996</v>
      </c>
      <c r="U58" s="619">
        <v>696.40802353684307</v>
      </c>
      <c r="V58" s="51"/>
    </row>
    <row r="59" spans="3:22" x14ac:dyDescent="0.25">
      <c r="C59" s="618" t="s">
        <v>348</v>
      </c>
      <c r="D59" s="611">
        <v>0</v>
      </c>
      <c r="E59" s="611">
        <v>0</v>
      </c>
      <c r="F59" s="611">
        <v>0</v>
      </c>
      <c r="G59" s="611">
        <v>0</v>
      </c>
      <c r="H59" s="611">
        <v>4.7590942657711111</v>
      </c>
      <c r="I59" s="611">
        <v>0</v>
      </c>
      <c r="J59" s="611">
        <v>0</v>
      </c>
      <c r="K59" s="611">
        <v>0</v>
      </c>
      <c r="L59" s="611">
        <v>35.020832419252756</v>
      </c>
      <c r="M59" s="611">
        <v>14.389092995722686</v>
      </c>
      <c r="N59" s="611">
        <v>0</v>
      </c>
      <c r="O59" s="611">
        <v>7.1535057814044487</v>
      </c>
      <c r="P59" s="611">
        <v>0</v>
      </c>
      <c r="Q59" s="611">
        <v>11.121209229272322</v>
      </c>
      <c r="R59" s="611">
        <v>0</v>
      </c>
      <c r="S59" s="611">
        <v>-67.886864446200079</v>
      </c>
      <c r="T59" s="611">
        <v>0</v>
      </c>
      <c r="U59" s="619">
        <v>4.5568702452232372</v>
      </c>
      <c r="V59" s="51"/>
    </row>
    <row r="60" spans="3:22" x14ac:dyDescent="0.25">
      <c r="C60" s="618" t="s">
        <v>349</v>
      </c>
      <c r="D60" s="611">
        <v>0</v>
      </c>
      <c r="E60" s="611">
        <v>0</v>
      </c>
      <c r="F60" s="611">
        <v>0</v>
      </c>
      <c r="G60" s="611">
        <v>0</v>
      </c>
      <c r="H60" s="611">
        <v>0</v>
      </c>
      <c r="I60" s="611">
        <v>0</v>
      </c>
      <c r="J60" s="611">
        <v>0</v>
      </c>
      <c r="K60" s="611">
        <v>0</v>
      </c>
      <c r="L60" s="611">
        <v>98.086794246206622</v>
      </c>
      <c r="M60" s="611">
        <v>0</v>
      </c>
      <c r="N60" s="611">
        <v>0</v>
      </c>
      <c r="O60" s="611">
        <v>-89.52835419130885</v>
      </c>
      <c r="P60" s="611">
        <v>0</v>
      </c>
      <c r="Q60" s="611">
        <v>0</v>
      </c>
      <c r="R60" s="611">
        <v>0</v>
      </c>
      <c r="S60" s="611">
        <v>0</v>
      </c>
      <c r="T60" s="611">
        <v>0</v>
      </c>
      <c r="U60" s="619">
        <v>8.5584400548977726</v>
      </c>
      <c r="V60" s="51"/>
    </row>
    <row r="61" spans="3:22" x14ac:dyDescent="0.25">
      <c r="C61" s="618" t="s">
        <v>350</v>
      </c>
      <c r="D61" s="611">
        <v>0</v>
      </c>
      <c r="E61" s="611">
        <v>0</v>
      </c>
      <c r="F61" s="611">
        <v>0</v>
      </c>
      <c r="G61" s="611">
        <v>0</v>
      </c>
      <c r="H61" s="611">
        <v>0</v>
      </c>
      <c r="I61" s="611">
        <v>-4.6239120861329353</v>
      </c>
      <c r="J61" s="611">
        <v>0</v>
      </c>
      <c r="K61" s="611">
        <v>0</v>
      </c>
      <c r="L61" s="611">
        <v>0</v>
      </c>
      <c r="M61" s="611">
        <v>0</v>
      </c>
      <c r="N61" s="611">
        <v>0</v>
      </c>
      <c r="O61" s="611">
        <v>0</v>
      </c>
      <c r="P61" s="611">
        <v>0</v>
      </c>
      <c r="Q61" s="611">
        <v>0</v>
      </c>
      <c r="R61" s="611">
        <v>0</v>
      </c>
      <c r="S61" s="611">
        <v>0</v>
      </c>
      <c r="T61" s="611">
        <v>6.4247824825814277</v>
      </c>
      <c r="U61" s="619">
        <v>1.8008703964484924</v>
      </c>
      <c r="V61" s="51"/>
    </row>
    <row r="62" spans="3:22" x14ac:dyDescent="0.25">
      <c r="C62" s="618" t="s">
        <v>72</v>
      </c>
      <c r="D62" s="611">
        <v>0</v>
      </c>
      <c r="E62" s="611">
        <v>196.4036879947414</v>
      </c>
      <c r="F62" s="611">
        <v>-194.44562503379805</v>
      </c>
      <c r="G62" s="611">
        <v>0</v>
      </c>
      <c r="H62" s="611">
        <v>0</v>
      </c>
      <c r="I62" s="611">
        <v>0</v>
      </c>
      <c r="J62" s="611">
        <v>0</v>
      </c>
      <c r="K62" s="611">
        <v>0</v>
      </c>
      <c r="L62" s="611">
        <v>0</v>
      </c>
      <c r="M62" s="611">
        <v>0</v>
      </c>
      <c r="N62" s="611">
        <v>0</v>
      </c>
      <c r="O62" s="611">
        <v>0</v>
      </c>
      <c r="P62" s="611">
        <v>0</v>
      </c>
      <c r="Q62" s="611">
        <v>0</v>
      </c>
      <c r="R62" s="611">
        <v>0</v>
      </c>
      <c r="S62" s="611">
        <v>0</v>
      </c>
      <c r="T62" s="611">
        <v>0</v>
      </c>
      <c r="U62" s="619">
        <v>1.9580629609433515</v>
      </c>
      <c r="V62" s="51"/>
    </row>
    <row r="63" spans="3:22" x14ac:dyDescent="0.25">
      <c r="C63" s="618" t="s">
        <v>351</v>
      </c>
      <c r="D63" s="611">
        <v>0</v>
      </c>
      <c r="E63" s="611">
        <v>0</v>
      </c>
      <c r="F63" s="611">
        <v>0</v>
      </c>
      <c r="G63" s="611">
        <v>0</v>
      </c>
      <c r="H63" s="611">
        <v>0</v>
      </c>
      <c r="I63" s="611">
        <v>0</v>
      </c>
      <c r="J63" s="611">
        <v>0</v>
      </c>
      <c r="K63" s="611">
        <v>0</v>
      </c>
      <c r="L63" s="611">
        <v>241.36175808721262</v>
      </c>
      <c r="M63" s="611">
        <v>0</v>
      </c>
      <c r="N63" s="611">
        <v>-132.74896694796695</v>
      </c>
      <c r="O63" s="611">
        <v>0</v>
      </c>
      <c r="P63" s="611">
        <v>0</v>
      </c>
      <c r="Q63" s="611">
        <v>0</v>
      </c>
      <c r="R63" s="611">
        <v>0</v>
      </c>
      <c r="S63" s="611">
        <v>0</v>
      </c>
      <c r="T63" s="611">
        <v>0</v>
      </c>
      <c r="U63" s="619">
        <v>108.61279113924567</v>
      </c>
      <c r="V63" s="51"/>
    </row>
    <row r="64" spans="3:22" x14ac:dyDescent="0.25">
      <c r="C64" s="618" t="s">
        <v>352</v>
      </c>
      <c r="D64" s="611">
        <v>0</v>
      </c>
      <c r="E64" s="611">
        <v>0</v>
      </c>
      <c r="F64" s="611">
        <v>0</v>
      </c>
      <c r="G64" s="611">
        <v>-27.150443830477386</v>
      </c>
      <c r="H64" s="611">
        <v>0</v>
      </c>
      <c r="I64" s="611">
        <v>0</v>
      </c>
      <c r="J64" s="611">
        <v>0</v>
      </c>
      <c r="K64" s="611">
        <v>0</v>
      </c>
      <c r="L64" s="611">
        <v>0</v>
      </c>
      <c r="M64" s="611">
        <v>0</v>
      </c>
      <c r="N64" s="611">
        <v>0</v>
      </c>
      <c r="O64" s="611">
        <v>0</v>
      </c>
      <c r="P64" s="611">
        <v>0</v>
      </c>
      <c r="Q64" s="611">
        <v>0</v>
      </c>
      <c r="R64" s="611">
        <v>0</v>
      </c>
      <c r="S64" s="611">
        <v>0</v>
      </c>
      <c r="T64" s="611">
        <v>35.330371623276704</v>
      </c>
      <c r="U64" s="619">
        <v>8.1799277927993188</v>
      </c>
      <c r="V64" s="51"/>
    </row>
    <row r="65" spans="3:22" x14ac:dyDescent="0.25">
      <c r="C65" s="618" t="s">
        <v>73</v>
      </c>
      <c r="D65" s="611">
        <v>0</v>
      </c>
      <c r="E65" s="611">
        <v>0</v>
      </c>
      <c r="F65" s="611">
        <v>0</v>
      </c>
      <c r="G65" s="611">
        <v>0</v>
      </c>
      <c r="H65" s="611">
        <v>0</v>
      </c>
      <c r="I65" s="611">
        <v>0</v>
      </c>
      <c r="J65" s="611">
        <v>0</v>
      </c>
      <c r="K65" s="611">
        <v>0</v>
      </c>
      <c r="L65" s="611">
        <v>0</v>
      </c>
      <c r="M65" s="611">
        <v>0</v>
      </c>
      <c r="N65" s="611">
        <v>0</v>
      </c>
      <c r="O65" s="611">
        <v>0</v>
      </c>
      <c r="P65" s="611">
        <v>0</v>
      </c>
      <c r="Q65" s="611">
        <v>0</v>
      </c>
      <c r="R65" s="611">
        <v>159.35334325164439</v>
      </c>
      <c r="S65" s="611">
        <v>0</v>
      </c>
      <c r="T65" s="611">
        <v>-110.83025023151868</v>
      </c>
      <c r="U65" s="619">
        <v>48.523093020125714</v>
      </c>
      <c r="V65" s="51"/>
    </row>
    <row r="66" spans="3:22" x14ac:dyDescent="0.25">
      <c r="C66" s="618" t="s">
        <v>353</v>
      </c>
      <c r="D66" s="611">
        <v>2.8675768359375002</v>
      </c>
      <c r="E66" s="611">
        <v>-6.865155901328059</v>
      </c>
      <c r="F66" s="611">
        <v>8.9495873677013247</v>
      </c>
      <c r="G66" s="611">
        <v>0</v>
      </c>
      <c r="H66" s="611">
        <v>0</v>
      </c>
      <c r="I66" s="611">
        <v>0</v>
      </c>
      <c r="J66" s="611">
        <v>0</v>
      </c>
      <c r="K66" s="611">
        <v>0</v>
      </c>
      <c r="L66" s="611">
        <v>0</v>
      </c>
      <c r="M66" s="611">
        <v>0</v>
      </c>
      <c r="N66" s="611">
        <v>0</v>
      </c>
      <c r="O66" s="611">
        <v>0</v>
      </c>
      <c r="P66" s="611">
        <v>0</v>
      </c>
      <c r="Q66" s="611">
        <v>0</v>
      </c>
      <c r="R66" s="611">
        <v>0</v>
      </c>
      <c r="S66" s="611">
        <v>0</v>
      </c>
      <c r="T66" s="611">
        <v>0</v>
      </c>
      <c r="U66" s="619">
        <v>4.9520083023107659</v>
      </c>
      <c r="V66" s="51"/>
    </row>
    <row r="67" spans="3:22" x14ac:dyDescent="0.25">
      <c r="C67" s="618" t="s">
        <v>75</v>
      </c>
      <c r="D67" s="611">
        <v>1.1151687695312502</v>
      </c>
      <c r="E67" s="611">
        <v>0</v>
      </c>
      <c r="F67" s="611">
        <v>6.7328106776803835</v>
      </c>
      <c r="G67" s="611">
        <v>0</v>
      </c>
      <c r="H67" s="611">
        <v>2.2924587532620087</v>
      </c>
      <c r="I67" s="611">
        <v>3.0296811717119062E-2</v>
      </c>
      <c r="J67" s="611">
        <v>0</v>
      </c>
      <c r="K67" s="611">
        <v>0</v>
      </c>
      <c r="L67" s="611">
        <v>0</v>
      </c>
      <c r="M67" s="611">
        <v>0</v>
      </c>
      <c r="N67" s="611">
        <v>0</v>
      </c>
      <c r="O67" s="611">
        <v>2.7267130545407157</v>
      </c>
      <c r="P67" s="611">
        <v>0</v>
      </c>
      <c r="Q67" s="611">
        <v>0</v>
      </c>
      <c r="R67" s="611">
        <v>65.383687298326777</v>
      </c>
      <c r="S67" s="611">
        <v>0</v>
      </c>
      <c r="T67" s="611">
        <v>0</v>
      </c>
      <c r="U67" s="619">
        <v>78.281135365058248</v>
      </c>
      <c r="V67" s="51"/>
    </row>
    <row r="68" spans="3:22" x14ac:dyDescent="0.25">
      <c r="C68" s="618" t="s">
        <v>76</v>
      </c>
      <c r="D68" s="611">
        <v>0</v>
      </c>
      <c r="E68" s="611">
        <v>0</v>
      </c>
      <c r="F68" s="611">
        <v>0</v>
      </c>
      <c r="G68" s="611">
        <v>0</v>
      </c>
      <c r="H68" s="611">
        <v>0.75897137289116512</v>
      </c>
      <c r="I68" s="611">
        <v>1.0030458672570465E-2</v>
      </c>
      <c r="J68" s="611">
        <v>0</v>
      </c>
      <c r="K68" s="611">
        <v>0</v>
      </c>
      <c r="L68" s="611">
        <v>0</v>
      </c>
      <c r="M68" s="611">
        <v>0</v>
      </c>
      <c r="N68" s="611">
        <v>0</v>
      </c>
      <c r="O68" s="611">
        <v>0.90274128053134184</v>
      </c>
      <c r="P68" s="611">
        <v>0</v>
      </c>
      <c r="Q68" s="611">
        <v>0</v>
      </c>
      <c r="R68" s="611">
        <v>65.177824183593955</v>
      </c>
      <c r="S68" s="611">
        <v>5.2653500556957935</v>
      </c>
      <c r="T68" s="611">
        <v>0</v>
      </c>
      <c r="U68" s="619">
        <v>72.114917351384818</v>
      </c>
      <c r="V68" s="51"/>
    </row>
    <row r="69" spans="3:22" x14ac:dyDescent="0.25">
      <c r="C69" s="614" t="s">
        <v>77</v>
      </c>
      <c r="D69" s="615">
        <v>3.9827456054687502</v>
      </c>
      <c r="E69" s="615">
        <v>189.53853209341335</v>
      </c>
      <c r="F69" s="615">
        <v>-178.73676620705632</v>
      </c>
      <c r="G69" s="615">
        <v>-27.150443830477386</v>
      </c>
      <c r="H69" s="615">
        <v>8.4126710013663466</v>
      </c>
      <c r="I69" s="615">
        <v>-4.5835848157432455</v>
      </c>
      <c r="J69" s="615">
        <v>1052.7157454545454</v>
      </c>
      <c r="K69" s="615">
        <v>465.75813055383361</v>
      </c>
      <c r="L69" s="615">
        <v>397.24860095423941</v>
      </c>
      <c r="M69" s="615">
        <v>15.004220645356781</v>
      </c>
      <c r="N69" s="615">
        <v>-126.69109521037646</v>
      </c>
      <c r="O69" s="615">
        <v>-77.728098418023279</v>
      </c>
      <c r="P69" s="615">
        <v>0</v>
      </c>
      <c r="Q69" s="615">
        <v>17.580304985711095</v>
      </c>
      <c r="R69" s="615">
        <v>-574.30040213081236</v>
      </c>
      <c r="S69" s="615">
        <v>-62.621514390504288</v>
      </c>
      <c r="T69" s="615">
        <v>-64.482906125660548</v>
      </c>
      <c r="U69" s="615">
        <v>1033.9461401652807</v>
      </c>
      <c r="V69" s="51"/>
    </row>
    <row r="70" spans="3:22" x14ac:dyDescent="0.25">
      <c r="C70" s="616"/>
      <c r="D70" s="617"/>
      <c r="E70" s="617"/>
      <c r="F70" s="617"/>
      <c r="G70" s="617"/>
      <c r="H70" s="623"/>
      <c r="I70" s="617"/>
      <c r="J70" s="617"/>
      <c r="K70" s="617"/>
      <c r="L70" s="617"/>
      <c r="M70" s="617"/>
      <c r="N70" s="617"/>
      <c r="O70" s="617"/>
      <c r="P70" s="617"/>
      <c r="Q70" s="617"/>
      <c r="R70" s="617"/>
      <c r="S70" s="617"/>
      <c r="T70" s="617"/>
      <c r="U70" s="617"/>
      <c r="V70" s="51"/>
    </row>
    <row r="71" spans="3:22" x14ac:dyDescent="0.25">
      <c r="C71" s="618" t="s">
        <v>78</v>
      </c>
      <c r="D71" s="611">
        <v>2.0940127617265829</v>
      </c>
      <c r="E71" s="611">
        <v>0</v>
      </c>
      <c r="F71" s="611">
        <v>3.9559881090060012</v>
      </c>
      <c r="G71" s="611">
        <v>0</v>
      </c>
      <c r="H71" s="611">
        <v>29.330369351366478</v>
      </c>
      <c r="I71" s="611">
        <v>0.38762602667004159</v>
      </c>
      <c r="J71" s="611">
        <v>0</v>
      </c>
      <c r="K71" s="611">
        <v>0</v>
      </c>
      <c r="L71" s="611">
        <v>22.502553570699096</v>
      </c>
      <c r="M71" s="611">
        <v>6.2799536188843161</v>
      </c>
      <c r="N71" s="611">
        <v>2.4575263222437633</v>
      </c>
      <c r="O71" s="611">
        <v>34.926617647556021</v>
      </c>
      <c r="P71" s="611">
        <v>15.884769531250001</v>
      </c>
      <c r="Q71" s="611">
        <v>8.2107689234467234E-4</v>
      </c>
      <c r="R71" s="611">
        <v>182.47691843600197</v>
      </c>
      <c r="S71" s="611">
        <v>21.072717059029664</v>
      </c>
      <c r="T71" s="611">
        <v>11.809244140624999</v>
      </c>
      <c r="U71" s="619">
        <v>333.17911765195134</v>
      </c>
      <c r="V71" s="51"/>
    </row>
    <row r="72" spans="3:22" x14ac:dyDescent="0.25">
      <c r="C72" s="618" t="s">
        <v>79</v>
      </c>
      <c r="D72" s="611">
        <v>0</v>
      </c>
      <c r="E72" s="611">
        <v>0</v>
      </c>
      <c r="F72" s="611">
        <v>30.895911025222354</v>
      </c>
      <c r="G72" s="611">
        <v>2.274686269460287</v>
      </c>
      <c r="H72" s="611">
        <v>3.5299320203269446</v>
      </c>
      <c r="I72" s="611">
        <v>4.665108396907857E-2</v>
      </c>
      <c r="J72" s="611">
        <v>0</v>
      </c>
      <c r="K72" s="611">
        <v>0</v>
      </c>
      <c r="L72" s="611">
        <v>0</v>
      </c>
      <c r="M72" s="611">
        <v>0</v>
      </c>
      <c r="N72" s="611">
        <v>63.386114552424544</v>
      </c>
      <c r="O72" s="611">
        <v>4.1985975572170711</v>
      </c>
      <c r="P72" s="611">
        <v>0</v>
      </c>
      <c r="Q72" s="611">
        <v>0</v>
      </c>
      <c r="R72" s="611">
        <v>104.74847060439184</v>
      </c>
      <c r="S72" s="611">
        <v>0</v>
      </c>
      <c r="T72" s="611">
        <v>5.8458763044597228</v>
      </c>
      <c r="U72" s="619">
        <v>214.92623941747186</v>
      </c>
      <c r="V72" s="51"/>
    </row>
    <row r="73" spans="3:22" x14ac:dyDescent="0.25">
      <c r="C73" s="618" t="s">
        <v>80</v>
      </c>
      <c r="D73" s="611">
        <v>0</v>
      </c>
      <c r="E73" s="611">
        <v>0</v>
      </c>
      <c r="F73" s="611">
        <v>0.60086868241819513</v>
      </c>
      <c r="G73" s="611">
        <v>0</v>
      </c>
      <c r="H73" s="611">
        <v>13.347300372388817</v>
      </c>
      <c r="I73" s="611">
        <v>0.1763960401637289</v>
      </c>
      <c r="J73" s="611">
        <v>0</v>
      </c>
      <c r="K73" s="611">
        <v>0</v>
      </c>
      <c r="L73" s="611">
        <v>38.756256119598135</v>
      </c>
      <c r="M73" s="611">
        <v>0</v>
      </c>
      <c r="N73" s="611">
        <v>0</v>
      </c>
      <c r="O73" s="611">
        <v>15.875643614735601</v>
      </c>
      <c r="P73" s="611">
        <v>100.70688369191794</v>
      </c>
      <c r="Q73" s="611">
        <v>2.8847164087553931</v>
      </c>
      <c r="R73" s="611">
        <v>147.56133606308299</v>
      </c>
      <c r="S73" s="611">
        <v>22.806124338594827</v>
      </c>
      <c r="T73" s="611">
        <v>0</v>
      </c>
      <c r="U73" s="619">
        <v>342.71552533165561</v>
      </c>
      <c r="V73" s="51"/>
    </row>
    <row r="74" spans="3:22" x14ac:dyDescent="0.25">
      <c r="C74" s="618" t="s">
        <v>81</v>
      </c>
      <c r="D74" s="611">
        <v>0</v>
      </c>
      <c r="E74" s="611">
        <v>0</v>
      </c>
      <c r="F74" s="611">
        <v>0.5398070851157275</v>
      </c>
      <c r="G74" s="611">
        <v>0</v>
      </c>
      <c r="H74" s="611">
        <v>7.9791393283443517</v>
      </c>
      <c r="I74" s="611">
        <v>0.10545118055080642</v>
      </c>
      <c r="J74" s="611">
        <v>0</v>
      </c>
      <c r="K74" s="611">
        <v>0</v>
      </c>
      <c r="L74" s="611">
        <v>0.5139229004760727</v>
      </c>
      <c r="M74" s="611">
        <v>0</v>
      </c>
      <c r="N74" s="611">
        <v>0</v>
      </c>
      <c r="O74" s="611">
        <v>9.4906062495725791</v>
      </c>
      <c r="P74" s="611">
        <v>47.95827169484302</v>
      </c>
      <c r="Q74" s="611">
        <v>3.2216095546912449</v>
      </c>
      <c r="R74" s="611">
        <v>115.04806835366153</v>
      </c>
      <c r="S74" s="611">
        <v>18.742672992879797</v>
      </c>
      <c r="T74" s="611">
        <v>0</v>
      </c>
      <c r="U74" s="619">
        <v>203.59954934013513</v>
      </c>
      <c r="V74" s="51"/>
    </row>
    <row r="75" spans="3:22" x14ac:dyDescent="0.25">
      <c r="C75" s="618" t="s">
        <v>82</v>
      </c>
      <c r="D75" s="611">
        <v>0</v>
      </c>
      <c r="E75" s="611">
        <v>0</v>
      </c>
      <c r="F75" s="611">
        <v>6.3369770221135076</v>
      </c>
      <c r="G75" s="611">
        <v>0</v>
      </c>
      <c r="H75" s="611">
        <v>0.68340618854154467</v>
      </c>
      <c r="I75" s="611">
        <v>9.0317998485666701E-3</v>
      </c>
      <c r="J75" s="611">
        <v>0</v>
      </c>
      <c r="K75" s="611">
        <v>0</v>
      </c>
      <c r="L75" s="611">
        <v>3.3891942411636795</v>
      </c>
      <c r="M75" s="611">
        <v>0</v>
      </c>
      <c r="N75" s="611">
        <v>17.640118554075091</v>
      </c>
      <c r="O75" s="611">
        <v>0.81286198637100038</v>
      </c>
      <c r="P75" s="611">
        <v>1.1499999999999999</v>
      </c>
      <c r="Q75" s="611">
        <v>1.5666563685107562</v>
      </c>
      <c r="R75" s="611">
        <v>6.9055854697991039</v>
      </c>
      <c r="S75" s="611">
        <v>0</v>
      </c>
      <c r="T75" s="611">
        <v>0.60935288805652987</v>
      </c>
      <c r="U75" s="619">
        <v>39.103184518479779</v>
      </c>
      <c r="V75" s="51"/>
    </row>
    <row r="76" spans="3:22" x14ac:dyDescent="0.25">
      <c r="C76" s="618" t="s">
        <v>354</v>
      </c>
      <c r="D76" s="611">
        <v>0</v>
      </c>
      <c r="E76" s="611">
        <v>0</v>
      </c>
      <c r="F76" s="611">
        <v>0</v>
      </c>
      <c r="G76" s="611">
        <v>0</v>
      </c>
      <c r="H76" s="611">
        <v>0</v>
      </c>
      <c r="I76" s="611">
        <v>0</v>
      </c>
      <c r="J76" s="611">
        <v>0</v>
      </c>
      <c r="K76" s="611">
        <v>0</v>
      </c>
      <c r="L76" s="611">
        <v>0</v>
      </c>
      <c r="M76" s="611">
        <v>0</v>
      </c>
      <c r="N76" s="611">
        <v>0</v>
      </c>
      <c r="O76" s="611">
        <v>0</v>
      </c>
      <c r="P76" s="611">
        <v>0</v>
      </c>
      <c r="Q76" s="611">
        <v>0</v>
      </c>
      <c r="R76" s="611">
        <v>4.7640000000000002</v>
      </c>
      <c r="S76" s="611">
        <v>0</v>
      </c>
      <c r="T76" s="611">
        <v>0</v>
      </c>
      <c r="U76" s="619">
        <v>4.7640000000000002</v>
      </c>
      <c r="V76" s="51"/>
    </row>
    <row r="77" spans="3:22" x14ac:dyDescent="0.25">
      <c r="C77" s="614" t="s">
        <v>83</v>
      </c>
      <c r="D77" s="615">
        <v>2.0940127617265829</v>
      </c>
      <c r="E77" s="615">
        <v>0</v>
      </c>
      <c r="F77" s="615">
        <v>42.329551923875783</v>
      </c>
      <c r="G77" s="615">
        <v>2.274686269460287</v>
      </c>
      <c r="H77" s="615">
        <v>54.870147260968139</v>
      </c>
      <c r="I77" s="615">
        <v>0.72515613120222222</v>
      </c>
      <c r="J77" s="615">
        <v>0</v>
      </c>
      <c r="K77" s="615">
        <v>0</v>
      </c>
      <c r="L77" s="615">
        <v>65.161926831936981</v>
      </c>
      <c r="M77" s="615">
        <v>6.2799536188843161</v>
      </c>
      <c r="N77" s="615">
        <v>83.483759428743397</v>
      </c>
      <c r="O77" s="615">
        <v>65.304327055452276</v>
      </c>
      <c r="P77" s="615">
        <v>165.69992491801096</v>
      </c>
      <c r="Q77" s="615">
        <v>7.6738034088497393</v>
      </c>
      <c r="R77" s="615">
        <v>561.50437892693742</v>
      </c>
      <c r="S77" s="615">
        <v>62.621514390504288</v>
      </c>
      <c r="T77" s="615">
        <v>18.264473333141254</v>
      </c>
      <c r="U77" s="615">
        <v>1138.2876162596938</v>
      </c>
      <c r="V77" s="51"/>
    </row>
    <row r="78" spans="3:22" x14ac:dyDescent="0.25">
      <c r="C78" s="610" t="s">
        <v>84</v>
      </c>
      <c r="D78" s="611">
        <v>0</v>
      </c>
      <c r="E78" s="611">
        <v>0</v>
      </c>
      <c r="F78" s="611">
        <v>70.526185031804687</v>
      </c>
      <c r="G78" s="611">
        <v>2.3546975295224146</v>
      </c>
      <c r="H78" s="611">
        <v>7.1814532260043631</v>
      </c>
      <c r="I78" s="611">
        <v>0</v>
      </c>
      <c r="J78" s="611">
        <v>0</v>
      </c>
      <c r="K78" s="611">
        <v>0</v>
      </c>
      <c r="L78" s="611">
        <v>0.42109898462761541</v>
      </c>
      <c r="M78" s="611">
        <v>0</v>
      </c>
      <c r="N78" s="611">
        <v>33.896224635717942</v>
      </c>
      <c r="O78" s="611">
        <v>10.020700945523032</v>
      </c>
      <c r="P78" s="611">
        <v>0</v>
      </c>
      <c r="Q78" s="611">
        <v>0</v>
      </c>
      <c r="R78" s="611">
        <v>0</v>
      </c>
      <c r="S78" s="611">
        <v>0</v>
      </c>
      <c r="T78" s="611">
        <v>40.523061894297456</v>
      </c>
      <c r="U78" s="619">
        <v>164.92342224749751</v>
      </c>
      <c r="V78" s="51"/>
    </row>
    <row r="79" spans="3:22" x14ac:dyDescent="0.25">
      <c r="C79" s="614" t="s">
        <v>85</v>
      </c>
      <c r="D79" s="615">
        <v>2.0940127617265829</v>
      </c>
      <c r="E79" s="615">
        <v>0</v>
      </c>
      <c r="F79" s="615">
        <v>112.85573695568047</v>
      </c>
      <c r="G79" s="615">
        <v>4.6293837989827011</v>
      </c>
      <c r="H79" s="615">
        <v>62.051600486972504</v>
      </c>
      <c r="I79" s="615">
        <v>0.72515613120222222</v>
      </c>
      <c r="J79" s="615">
        <v>0</v>
      </c>
      <c r="K79" s="615">
        <v>0</v>
      </c>
      <c r="L79" s="615">
        <v>65.5830258165646</v>
      </c>
      <c r="M79" s="615">
        <v>6.2799536188843161</v>
      </c>
      <c r="N79" s="615">
        <v>117.37998406446134</v>
      </c>
      <c r="O79" s="615">
        <v>75.325028000975308</v>
      </c>
      <c r="P79" s="615">
        <v>165.69992491801096</v>
      </c>
      <c r="Q79" s="615">
        <v>7.6738034088497393</v>
      </c>
      <c r="R79" s="615">
        <v>561.50437892693742</v>
      </c>
      <c r="S79" s="615">
        <v>62.621514390504288</v>
      </c>
      <c r="T79" s="615">
        <v>58.78753522743871</v>
      </c>
      <c r="U79" s="615">
        <v>1303.2110385071912</v>
      </c>
      <c r="V79" s="51"/>
    </row>
    <row r="80" spans="3:22" x14ac:dyDescent="0.25">
      <c r="C80" s="51"/>
      <c r="D80" s="67">
        <v>0</v>
      </c>
      <c r="E80" s="67">
        <v>0</v>
      </c>
      <c r="F80" s="67">
        <v>0</v>
      </c>
      <c r="G80" s="67">
        <v>0</v>
      </c>
      <c r="H80" s="67">
        <v>0</v>
      </c>
      <c r="I80" s="67">
        <v>0</v>
      </c>
      <c r="J80" s="67">
        <v>0</v>
      </c>
      <c r="K80" s="67">
        <v>0</v>
      </c>
      <c r="L80" s="67">
        <v>0</v>
      </c>
      <c r="M80" s="67">
        <v>-3.685817073417752E-4</v>
      </c>
      <c r="N80" s="67">
        <v>0</v>
      </c>
      <c r="O80" s="67">
        <v>9.7699626167013776E-15</v>
      </c>
      <c r="P80" s="67">
        <v>0</v>
      </c>
      <c r="Q80" s="67">
        <v>0</v>
      </c>
      <c r="R80" s="67">
        <v>0</v>
      </c>
      <c r="S80" s="67">
        <v>0</v>
      </c>
      <c r="T80" s="67">
        <v>-9.7699626167013776E-15</v>
      </c>
      <c r="U80" s="67">
        <v>-3.6858170687992242E-4</v>
      </c>
      <c r="V80" s="51"/>
    </row>
    <row r="81" spans="3:22" x14ac:dyDescent="0.25">
      <c r="C81" s="51"/>
      <c r="D81" s="51"/>
      <c r="E81" s="51"/>
      <c r="F81" s="51"/>
      <c r="G81" s="67"/>
      <c r="H81" s="51"/>
      <c r="I81" s="51"/>
      <c r="J81" s="51"/>
      <c r="K81" s="51"/>
      <c r="L81" s="51"/>
      <c r="M81" s="51"/>
      <c r="N81" s="51"/>
      <c r="O81" s="51"/>
      <c r="P81" s="51"/>
      <c r="Q81" s="51"/>
      <c r="R81" s="51"/>
      <c r="S81" s="51"/>
      <c r="T81" s="51"/>
      <c r="U81" s="51"/>
      <c r="V81" s="51"/>
    </row>
    <row r="82" spans="3:22" x14ac:dyDescent="0.25">
      <c r="C82" s="607" t="s">
        <v>361</v>
      </c>
      <c r="D82" s="606"/>
      <c r="E82" s="606"/>
      <c r="F82" s="606"/>
      <c r="G82" s="682"/>
      <c r="H82" s="606"/>
      <c r="I82" s="606"/>
      <c r="J82" s="606"/>
      <c r="K82" s="606"/>
      <c r="L82" s="606"/>
      <c r="M82" s="606"/>
      <c r="N82" s="606"/>
      <c r="O82" s="606"/>
      <c r="P82" s="606"/>
      <c r="Q82" s="606"/>
      <c r="R82" s="606"/>
      <c r="S82" s="606"/>
      <c r="T82" s="606"/>
      <c r="U82" s="606"/>
      <c r="V82" s="606"/>
    </row>
    <row r="83" spans="3:22" x14ac:dyDescent="0.25">
      <c r="C83" s="51"/>
      <c r="D83" s="51"/>
      <c r="E83" s="51"/>
      <c r="F83" s="51"/>
      <c r="G83" s="67"/>
      <c r="H83" s="51"/>
      <c r="I83" s="51"/>
      <c r="J83" s="51"/>
      <c r="K83" s="51"/>
      <c r="L83" s="51"/>
      <c r="M83" s="51"/>
      <c r="N83" s="51"/>
      <c r="O83" s="51"/>
      <c r="P83" s="51"/>
      <c r="Q83" s="51"/>
      <c r="R83" s="51"/>
      <c r="S83" s="51"/>
      <c r="T83" s="51"/>
      <c r="U83" s="51"/>
      <c r="V83" s="51"/>
    </row>
    <row r="84" spans="3:22" x14ac:dyDescent="0.25">
      <c r="C84" s="764" t="s">
        <v>128</v>
      </c>
      <c r="D84" s="753" t="s">
        <v>42</v>
      </c>
      <c r="E84" s="753" t="s">
        <v>52</v>
      </c>
      <c r="F84" s="753" t="s">
        <v>53</v>
      </c>
      <c r="G84" s="766" t="s">
        <v>482</v>
      </c>
      <c r="H84" s="753" t="s">
        <v>32</v>
      </c>
      <c r="I84" s="753" t="s">
        <v>483</v>
      </c>
      <c r="J84" s="753" t="s">
        <v>20</v>
      </c>
      <c r="K84" s="753" t="s">
        <v>55</v>
      </c>
      <c r="L84" s="761" t="s">
        <v>56</v>
      </c>
      <c r="M84" s="762"/>
      <c r="N84" s="762"/>
      <c r="O84" s="762"/>
      <c r="P84" s="762"/>
      <c r="Q84" s="763"/>
      <c r="R84" s="753" t="s">
        <v>57</v>
      </c>
      <c r="S84" s="753" t="s">
        <v>58</v>
      </c>
      <c r="T84" s="753" t="s">
        <v>31</v>
      </c>
      <c r="U84" s="753" t="s">
        <v>10</v>
      </c>
      <c r="V84" s="51"/>
    </row>
    <row r="85" spans="3:22" ht="36" x14ac:dyDescent="0.25">
      <c r="C85" s="765"/>
      <c r="D85" s="754"/>
      <c r="E85" s="754"/>
      <c r="F85" s="754"/>
      <c r="G85" s="767"/>
      <c r="H85" s="754"/>
      <c r="I85" s="754"/>
      <c r="J85" s="754"/>
      <c r="K85" s="754"/>
      <c r="L85" s="608" t="s">
        <v>335</v>
      </c>
      <c r="M85" s="608" t="s">
        <v>40</v>
      </c>
      <c r="N85" s="608" t="s">
        <v>343</v>
      </c>
      <c r="O85" s="608" t="s">
        <v>344</v>
      </c>
      <c r="P85" s="609" t="s">
        <v>345</v>
      </c>
      <c r="Q85" s="608" t="s">
        <v>346</v>
      </c>
      <c r="R85" s="754"/>
      <c r="S85" s="754"/>
      <c r="T85" s="754"/>
      <c r="U85" s="754"/>
      <c r="V85" s="51"/>
    </row>
    <row r="86" spans="3:22" x14ac:dyDescent="0.25">
      <c r="C86" s="610" t="s">
        <v>59</v>
      </c>
      <c r="D86" s="611">
        <v>0</v>
      </c>
      <c r="E86" s="611">
        <v>0</v>
      </c>
      <c r="F86" s="611">
        <v>0</v>
      </c>
      <c r="G86" s="611">
        <v>0</v>
      </c>
      <c r="H86" s="611">
        <v>0</v>
      </c>
      <c r="I86" s="611">
        <v>0</v>
      </c>
      <c r="J86" s="612">
        <v>971.10439999999994</v>
      </c>
      <c r="K86" s="612">
        <v>503.30122823446823</v>
      </c>
      <c r="L86" s="612">
        <v>455.14148237245831</v>
      </c>
      <c r="M86" s="612">
        <v>20.793873035909879</v>
      </c>
      <c r="N86" s="611">
        <v>1.6797912871987437</v>
      </c>
      <c r="O86" s="611">
        <v>0.17065445399605614</v>
      </c>
      <c r="P86" s="612">
        <v>171.08209770143009</v>
      </c>
      <c r="Q86" s="612">
        <v>25.726769025027945</v>
      </c>
      <c r="R86" s="611">
        <v>0</v>
      </c>
      <c r="S86" s="611">
        <v>0</v>
      </c>
      <c r="T86" s="611">
        <v>0</v>
      </c>
      <c r="U86" s="613">
        <v>2149.0002961104892</v>
      </c>
      <c r="V86" s="51"/>
    </row>
    <row r="87" spans="3:22" x14ac:dyDescent="0.25">
      <c r="C87" s="610" t="s">
        <v>60</v>
      </c>
      <c r="D87" s="611">
        <v>1.6567330370836562</v>
      </c>
      <c r="E87" s="611">
        <v>156.10342406212303</v>
      </c>
      <c r="F87" s="611">
        <v>2.9590354993625017</v>
      </c>
      <c r="G87" s="611">
        <v>0</v>
      </c>
      <c r="H87" s="611">
        <v>54.539197305320002</v>
      </c>
      <c r="I87" s="611">
        <v>0</v>
      </c>
      <c r="J87" s="611">
        <v>0</v>
      </c>
      <c r="K87" s="611">
        <v>0</v>
      </c>
      <c r="L87" s="611">
        <v>4.8125993033158778</v>
      </c>
      <c r="M87" s="611">
        <v>0</v>
      </c>
      <c r="N87" s="611">
        <v>6.2295354537228107</v>
      </c>
      <c r="O87" s="611">
        <v>0</v>
      </c>
      <c r="P87" s="611">
        <v>0</v>
      </c>
      <c r="Q87" s="611">
        <v>0</v>
      </c>
      <c r="R87" s="611">
        <v>12.737834844238364</v>
      </c>
      <c r="S87" s="611">
        <v>0</v>
      </c>
      <c r="T87" s="611">
        <v>0</v>
      </c>
      <c r="U87" s="613">
        <v>239.03835950516623</v>
      </c>
      <c r="V87" s="51"/>
    </row>
    <row r="88" spans="3:22" x14ac:dyDescent="0.25">
      <c r="C88" s="610" t="s">
        <v>61</v>
      </c>
      <c r="D88" s="611">
        <v>0</v>
      </c>
      <c r="E88" s="611">
        <v>0</v>
      </c>
      <c r="F88" s="611">
        <v>-44.676300971263089</v>
      </c>
      <c r="G88" s="611">
        <v>-7.4420014649377606</v>
      </c>
      <c r="H88" s="611">
        <v>0</v>
      </c>
      <c r="I88" s="611">
        <v>0</v>
      </c>
      <c r="J88" s="611">
        <v>0</v>
      </c>
      <c r="K88" s="611">
        <v>0</v>
      </c>
      <c r="L88" s="611">
        <v>0</v>
      </c>
      <c r="M88" s="611">
        <v>0</v>
      </c>
      <c r="N88" s="611">
        <v>0</v>
      </c>
      <c r="O88" s="611">
        <v>0</v>
      </c>
      <c r="P88" s="611">
        <v>0</v>
      </c>
      <c r="Q88" s="611">
        <v>0</v>
      </c>
      <c r="R88" s="611">
        <v>0</v>
      </c>
      <c r="S88" s="611">
        <v>0</v>
      </c>
      <c r="T88" s="611">
        <v>0</v>
      </c>
      <c r="U88" s="613">
        <v>-52.11830243620085</v>
      </c>
      <c r="V88" s="51"/>
    </row>
    <row r="89" spans="3:22" x14ac:dyDescent="0.25">
      <c r="C89" s="610" t="s">
        <v>62</v>
      </c>
      <c r="D89" s="611">
        <v>0</v>
      </c>
      <c r="E89" s="611">
        <v>0</v>
      </c>
      <c r="F89" s="611">
        <v>-2.5439781787400757</v>
      </c>
      <c r="G89" s="611">
        <v>-5.1073400578201751</v>
      </c>
      <c r="H89" s="611">
        <v>0</v>
      </c>
      <c r="I89" s="611">
        <v>-4.025065184691706</v>
      </c>
      <c r="J89" s="611">
        <v>0</v>
      </c>
      <c r="K89" s="611">
        <v>0</v>
      </c>
      <c r="L89" s="611">
        <v>0</v>
      </c>
      <c r="M89" s="611">
        <v>0</v>
      </c>
      <c r="N89" s="611">
        <v>-1.4642875778969737</v>
      </c>
      <c r="O89" s="611">
        <v>-2.6833767897944703</v>
      </c>
      <c r="P89" s="611">
        <v>0</v>
      </c>
      <c r="Q89" s="611">
        <v>0</v>
      </c>
      <c r="R89" s="611">
        <v>0</v>
      </c>
      <c r="S89" s="611">
        <v>0</v>
      </c>
      <c r="T89" s="611">
        <v>-1.8096944583874461</v>
      </c>
      <c r="U89" s="613">
        <v>-17.633742247330847</v>
      </c>
      <c r="V89" s="51"/>
    </row>
    <row r="90" spans="3:22" x14ac:dyDescent="0.25">
      <c r="C90" s="610" t="s">
        <v>63</v>
      </c>
      <c r="D90" s="611">
        <v>0</v>
      </c>
      <c r="E90" s="611">
        <v>0</v>
      </c>
      <c r="F90" s="611">
        <v>-26.066537028283065</v>
      </c>
      <c r="G90" s="611">
        <v>-15.61159587816994</v>
      </c>
      <c r="H90" s="611">
        <v>0</v>
      </c>
      <c r="I90" s="611">
        <v>0</v>
      </c>
      <c r="J90" s="611">
        <v>0</v>
      </c>
      <c r="K90" s="611">
        <v>0</v>
      </c>
      <c r="L90" s="611">
        <v>0</v>
      </c>
      <c r="M90" s="611">
        <v>0</v>
      </c>
      <c r="N90" s="611">
        <v>-15.61159587816994</v>
      </c>
      <c r="O90" s="611">
        <v>0</v>
      </c>
      <c r="P90" s="611">
        <v>0</v>
      </c>
      <c r="Q90" s="611">
        <v>0</v>
      </c>
      <c r="R90" s="611">
        <v>0</v>
      </c>
      <c r="S90" s="611">
        <v>0</v>
      </c>
      <c r="T90" s="611">
        <v>-5.1590895167519655</v>
      </c>
      <c r="U90" s="613">
        <v>-62.448818301374899</v>
      </c>
      <c r="V90" s="51"/>
    </row>
    <row r="91" spans="3:22" x14ac:dyDescent="0.25">
      <c r="C91" s="610" t="s">
        <v>64</v>
      </c>
      <c r="D91" s="611">
        <v>0</v>
      </c>
      <c r="E91" s="611">
        <v>0</v>
      </c>
      <c r="F91" s="611">
        <v>0</v>
      </c>
      <c r="G91" s="611">
        <v>0</v>
      </c>
      <c r="H91" s="611">
        <v>0</v>
      </c>
      <c r="I91" s="611">
        <v>0</v>
      </c>
      <c r="J91" s="611">
        <v>0</v>
      </c>
      <c r="K91" s="611">
        <v>0</v>
      </c>
      <c r="L91" s="611">
        <v>0</v>
      </c>
      <c r="M91" s="611">
        <v>0</v>
      </c>
      <c r="N91" s="611">
        <v>0</v>
      </c>
      <c r="O91" s="611">
        <v>0</v>
      </c>
      <c r="P91" s="611">
        <v>0</v>
      </c>
      <c r="Q91" s="611">
        <v>0</v>
      </c>
      <c r="R91" s="611">
        <v>0</v>
      </c>
      <c r="S91" s="611">
        <v>0</v>
      </c>
      <c r="T91" s="611">
        <v>0</v>
      </c>
      <c r="U91" s="613">
        <v>0</v>
      </c>
      <c r="V91" s="51"/>
    </row>
    <row r="92" spans="3:22" x14ac:dyDescent="0.25">
      <c r="C92" s="614" t="s">
        <v>65</v>
      </c>
      <c r="D92" s="615">
        <v>1.6567330370836562</v>
      </c>
      <c r="E92" s="615">
        <v>156.10342406212303</v>
      </c>
      <c r="F92" s="615">
        <v>-70.32778067892373</v>
      </c>
      <c r="G92" s="615">
        <v>-28.160937400927875</v>
      </c>
      <c r="H92" s="615">
        <v>54.539197305320002</v>
      </c>
      <c r="I92" s="615">
        <v>-4.025065184691706</v>
      </c>
      <c r="J92" s="615">
        <v>971.10439999999994</v>
      </c>
      <c r="K92" s="615">
        <v>503.30122823446823</v>
      </c>
      <c r="L92" s="615">
        <v>459.9540816757742</v>
      </c>
      <c r="M92" s="615">
        <v>20.793873035909879</v>
      </c>
      <c r="N92" s="615">
        <v>-9.166556715145358</v>
      </c>
      <c r="O92" s="615">
        <v>-2.5127223357984141</v>
      </c>
      <c r="P92" s="615">
        <v>171.08209770143009</v>
      </c>
      <c r="Q92" s="615">
        <v>25.726769025027945</v>
      </c>
      <c r="R92" s="615">
        <v>12.737834844238364</v>
      </c>
      <c r="S92" s="615">
        <v>0</v>
      </c>
      <c r="T92" s="615">
        <v>-6.9687839751394112</v>
      </c>
      <c r="U92" s="615">
        <v>2255.8377926307489</v>
      </c>
      <c r="V92" s="51"/>
    </row>
    <row r="93" spans="3:22" x14ac:dyDescent="0.25">
      <c r="C93" s="616"/>
      <c r="D93" s="617"/>
      <c r="E93" s="617"/>
      <c r="F93" s="617"/>
      <c r="G93" s="617"/>
      <c r="H93" s="623"/>
      <c r="I93" s="617"/>
      <c r="J93" s="617"/>
      <c r="K93" s="617"/>
      <c r="L93" s="617"/>
      <c r="M93" s="617"/>
      <c r="N93" s="617"/>
      <c r="O93" s="617"/>
      <c r="P93" s="617"/>
      <c r="Q93" s="617"/>
      <c r="R93" s="617"/>
      <c r="S93" s="617"/>
      <c r="T93" s="617"/>
      <c r="U93" s="617"/>
      <c r="V93" s="51"/>
    </row>
    <row r="94" spans="3:22" x14ac:dyDescent="0.25">
      <c r="C94" s="618" t="s">
        <v>67</v>
      </c>
      <c r="D94" s="611">
        <v>0</v>
      </c>
      <c r="E94" s="611">
        <v>0</v>
      </c>
      <c r="F94" s="611">
        <v>0</v>
      </c>
      <c r="G94" s="611">
        <v>0</v>
      </c>
      <c r="H94" s="611">
        <v>0</v>
      </c>
      <c r="I94" s="611">
        <v>0</v>
      </c>
      <c r="J94" s="611">
        <v>0</v>
      </c>
      <c r="K94" s="611">
        <v>0</v>
      </c>
      <c r="L94" s="611">
        <v>0</v>
      </c>
      <c r="M94" s="611">
        <v>0</v>
      </c>
      <c r="N94" s="611">
        <v>0</v>
      </c>
      <c r="O94" s="611">
        <v>0</v>
      </c>
      <c r="P94" s="611">
        <v>0</v>
      </c>
      <c r="Q94" s="611">
        <v>0</v>
      </c>
      <c r="R94" s="611">
        <v>0</v>
      </c>
      <c r="S94" s="611">
        <v>0</v>
      </c>
      <c r="T94" s="611">
        <v>0</v>
      </c>
      <c r="U94" s="619">
        <v>0</v>
      </c>
      <c r="V94" s="51"/>
    </row>
    <row r="95" spans="3:22" x14ac:dyDescent="0.25">
      <c r="C95" s="618" t="s">
        <v>347</v>
      </c>
      <c r="D95" s="611">
        <v>0</v>
      </c>
      <c r="E95" s="611">
        <v>0</v>
      </c>
      <c r="F95" s="611">
        <v>0</v>
      </c>
      <c r="G95" s="611">
        <v>0</v>
      </c>
      <c r="H95" s="611">
        <v>0.44776646808510651</v>
      </c>
      <c r="I95" s="611">
        <v>0</v>
      </c>
      <c r="J95" s="611">
        <v>971.10439999999994</v>
      </c>
      <c r="K95" s="611">
        <v>503.30122823446823</v>
      </c>
      <c r="L95" s="611">
        <v>22.611661930027488</v>
      </c>
      <c r="M95" s="611">
        <v>0.61851517484510588</v>
      </c>
      <c r="N95" s="611">
        <v>6.3451610040287907</v>
      </c>
      <c r="O95" s="611">
        <v>1.1589812304406033</v>
      </c>
      <c r="P95" s="611">
        <v>0</v>
      </c>
      <c r="Q95" s="611">
        <v>6.4766550958451852</v>
      </c>
      <c r="R95" s="611">
        <v>-877.28387729883798</v>
      </c>
      <c r="S95" s="611">
        <v>0</v>
      </c>
      <c r="T95" s="611">
        <v>5.1921899999999992</v>
      </c>
      <c r="U95" s="619">
        <v>639.97268183890242</v>
      </c>
      <c r="V95" s="51"/>
    </row>
    <row r="96" spans="3:22" x14ac:dyDescent="0.25">
      <c r="C96" s="618" t="s">
        <v>348</v>
      </c>
      <c r="D96" s="611">
        <v>0</v>
      </c>
      <c r="E96" s="611">
        <v>0</v>
      </c>
      <c r="F96" s="611">
        <v>0</v>
      </c>
      <c r="G96" s="611">
        <v>0</v>
      </c>
      <c r="H96" s="611">
        <v>3.2640954387883037</v>
      </c>
      <c r="I96" s="611">
        <v>0</v>
      </c>
      <c r="J96" s="611">
        <v>0</v>
      </c>
      <c r="K96" s="611">
        <v>0</v>
      </c>
      <c r="L96" s="611">
        <v>34.874750545465744</v>
      </c>
      <c r="M96" s="611">
        <v>14.450307287843678</v>
      </c>
      <c r="N96" s="611">
        <v>0</v>
      </c>
      <c r="O96" s="611">
        <v>7.6313341325616637</v>
      </c>
      <c r="P96" s="611">
        <v>0</v>
      </c>
      <c r="Q96" s="611">
        <v>11.247880766628024</v>
      </c>
      <c r="R96" s="611">
        <v>0</v>
      </c>
      <c r="S96" s="611">
        <v>-67.335306808549447</v>
      </c>
      <c r="T96" s="611">
        <v>0</v>
      </c>
      <c r="U96" s="619">
        <v>4.133061362737962</v>
      </c>
      <c r="V96" s="51"/>
    </row>
    <row r="97" spans="3:22" x14ac:dyDescent="0.25">
      <c r="C97" s="618" t="s">
        <v>349</v>
      </c>
      <c r="D97" s="611">
        <v>0</v>
      </c>
      <c r="E97" s="611">
        <v>0</v>
      </c>
      <c r="F97" s="611">
        <v>0</v>
      </c>
      <c r="G97" s="611">
        <v>0</v>
      </c>
      <c r="H97" s="611">
        <v>0</v>
      </c>
      <c r="I97" s="611">
        <v>0</v>
      </c>
      <c r="J97" s="611">
        <v>0</v>
      </c>
      <c r="K97" s="611">
        <v>0</v>
      </c>
      <c r="L97" s="611">
        <v>99.886824202456438</v>
      </c>
      <c r="M97" s="611">
        <v>0</v>
      </c>
      <c r="N97" s="611">
        <v>0</v>
      </c>
      <c r="O97" s="611">
        <v>-91.582944375151399</v>
      </c>
      <c r="P97" s="611">
        <v>0</v>
      </c>
      <c r="Q97" s="611">
        <v>0</v>
      </c>
      <c r="R97" s="611">
        <v>0</v>
      </c>
      <c r="S97" s="611">
        <v>0</v>
      </c>
      <c r="T97" s="611">
        <v>0</v>
      </c>
      <c r="U97" s="619">
        <v>8.3038798273050389</v>
      </c>
      <c r="V97" s="51"/>
    </row>
    <row r="98" spans="3:22" x14ac:dyDescent="0.25">
      <c r="C98" s="618" t="s">
        <v>350</v>
      </c>
      <c r="D98" s="611">
        <v>0</v>
      </c>
      <c r="E98" s="611">
        <v>0</v>
      </c>
      <c r="F98" s="611">
        <v>0</v>
      </c>
      <c r="G98" s="611">
        <v>0</v>
      </c>
      <c r="H98" s="611">
        <v>0</v>
      </c>
      <c r="I98" s="611">
        <v>-5.1740904166094976</v>
      </c>
      <c r="J98" s="611">
        <v>0</v>
      </c>
      <c r="K98" s="611">
        <v>0</v>
      </c>
      <c r="L98" s="611">
        <v>0</v>
      </c>
      <c r="M98" s="611">
        <v>0</v>
      </c>
      <c r="N98" s="611">
        <v>0</v>
      </c>
      <c r="O98" s="611">
        <v>0</v>
      </c>
      <c r="P98" s="611">
        <v>0</v>
      </c>
      <c r="Q98" s="611">
        <v>0</v>
      </c>
      <c r="R98" s="611">
        <v>0</v>
      </c>
      <c r="S98" s="611">
        <v>0</v>
      </c>
      <c r="T98" s="611">
        <v>7.1912846116196816</v>
      </c>
      <c r="U98" s="619">
        <v>2.0171941950101839</v>
      </c>
      <c r="V98" s="51"/>
    </row>
    <row r="99" spans="3:22" x14ac:dyDescent="0.25">
      <c r="C99" s="618" t="s">
        <v>72</v>
      </c>
      <c r="D99" s="611">
        <v>0</v>
      </c>
      <c r="E99" s="611">
        <v>161.75289728424144</v>
      </c>
      <c r="F99" s="611">
        <v>-160.13983967974238</v>
      </c>
      <c r="G99" s="611">
        <v>0</v>
      </c>
      <c r="H99" s="611">
        <v>0</v>
      </c>
      <c r="I99" s="611">
        <v>0</v>
      </c>
      <c r="J99" s="611">
        <v>0</v>
      </c>
      <c r="K99" s="611">
        <v>0</v>
      </c>
      <c r="L99" s="611">
        <v>0</v>
      </c>
      <c r="M99" s="611">
        <v>0</v>
      </c>
      <c r="N99" s="611">
        <v>0</v>
      </c>
      <c r="O99" s="611">
        <v>0</v>
      </c>
      <c r="P99" s="611">
        <v>0</v>
      </c>
      <c r="Q99" s="611">
        <v>0</v>
      </c>
      <c r="R99" s="611">
        <v>0</v>
      </c>
      <c r="S99" s="611">
        <v>0</v>
      </c>
      <c r="T99" s="611">
        <v>0</v>
      </c>
      <c r="U99" s="619">
        <v>1.6130576044990619</v>
      </c>
      <c r="V99" s="51"/>
    </row>
    <row r="100" spans="3:22" x14ac:dyDescent="0.25">
      <c r="C100" s="618" t="s">
        <v>351</v>
      </c>
      <c r="D100" s="611">
        <v>0</v>
      </c>
      <c r="E100" s="611">
        <v>0</v>
      </c>
      <c r="F100" s="611">
        <v>0</v>
      </c>
      <c r="G100" s="611">
        <v>0</v>
      </c>
      <c r="H100" s="611">
        <v>0</v>
      </c>
      <c r="I100" s="611">
        <v>0</v>
      </c>
      <c r="J100" s="611">
        <v>0</v>
      </c>
      <c r="K100" s="611">
        <v>0</v>
      </c>
      <c r="L100" s="611">
        <v>239.29378044744664</v>
      </c>
      <c r="M100" s="611">
        <v>0</v>
      </c>
      <c r="N100" s="611">
        <v>-131.61157924609566</v>
      </c>
      <c r="O100" s="611">
        <v>0</v>
      </c>
      <c r="P100" s="611">
        <v>0</v>
      </c>
      <c r="Q100" s="611">
        <v>0</v>
      </c>
      <c r="R100" s="611">
        <v>0</v>
      </c>
      <c r="S100" s="611">
        <v>0</v>
      </c>
      <c r="T100" s="611">
        <v>0</v>
      </c>
      <c r="U100" s="619">
        <v>107.68220120135098</v>
      </c>
      <c r="V100" s="51"/>
    </row>
    <row r="101" spans="3:22" x14ac:dyDescent="0.25">
      <c r="C101" s="618" t="s">
        <v>352</v>
      </c>
      <c r="D101" s="611">
        <v>0</v>
      </c>
      <c r="E101" s="611">
        <v>0</v>
      </c>
      <c r="F101" s="611">
        <v>0</v>
      </c>
      <c r="G101" s="611">
        <v>-33.473815441656178</v>
      </c>
      <c r="H101" s="611">
        <v>0</v>
      </c>
      <c r="I101" s="611">
        <v>0</v>
      </c>
      <c r="J101" s="611">
        <v>0</v>
      </c>
      <c r="K101" s="611">
        <v>0</v>
      </c>
      <c r="L101" s="611">
        <v>0</v>
      </c>
      <c r="M101" s="611">
        <v>0</v>
      </c>
      <c r="N101" s="611">
        <v>0</v>
      </c>
      <c r="O101" s="611">
        <v>0</v>
      </c>
      <c r="P101" s="611">
        <v>0</v>
      </c>
      <c r="Q101" s="611">
        <v>0</v>
      </c>
      <c r="R101" s="611">
        <v>0</v>
      </c>
      <c r="S101" s="611">
        <v>0</v>
      </c>
      <c r="T101" s="611">
        <v>43.527837875314049</v>
      </c>
      <c r="U101" s="619">
        <v>10.05402243365787</v>
      </c>
      <c r="V101" s="51"/>
    </row>
    <row r="102" spans="3:22" x14ac:dyDescent="0.25">
      <c r="C102" s="618" t="s">
        <v>73</v>
      </c>
      <c r="D102" s="611">
        <v>0</v>
      </c>
      <c r="E102" s="611">
        <v>0</v>
      </c>
      <c r="F102" s="611">
        <v>0</v>
      </c>
      <c r="G102" s="611">
        <v>0</v>
      </c>
      <c r="H102" s="611">
        <v>0</v>
      </c>
      <c r="I102" s="611">
        <v>0</v>
      </c>
      <c r="J102" s="611">
        <v>0</v>
      </c>
      <c r="K102" s="611">
        <v>0</v>
      </c>
      <c r="L102" s="611">
        <v>0</v>
      </c>
      <c r="M102" s="611">
        <v>0</v>
      </c>
      <c r="N102" s="611">
        <v>0</v>
      </c>
      <c r="O102" s="611">
        <v>0</v>
      </c>
      <c r="P102" s="611">
        <v>0</v>
      </c>
      <c r="Q102" s="611">
        <v>0</v>
      </c>
      <c r="R102" s="611">
        <v>186.09171546114462</v>
      </c>
      <c r="S102" s="611">
        <v>0</v>
      </c>
      <c r="T102" s="611">
        <v>-130.72943011145409</v>
      </c>
      <c r="U102" s="619">
        <v>55.362285349690524</v>
      </c>
      <c r="V102" s="51"/>
    </row>
    <row r="103" spans="3:22" x14ac:dyDescent="0.25">
      <c r="C103" s="618" t="s">
        <v>353</v>
      </c>
      <c r="D103" s="611">
        <v>0</v>
      </c>
      <c r="E103" s="611">
        <v>-5.6494732221184147</v>
      </c>
      <c r="F103" s="611">
        <v>7.3669989850431641</v>
      </c>
      <c r="G103" s="611">
        <v>0</v>
      </c>
      <c r="H103" s="611">
        <v>0</v>
      </c>
      <c r="I103" s="611">
        <v>0</v>
      </c>
      <c r="J103" s="611">
        <v>0</v>
      </c>
      <c r="K103" s="611">
        <v>0</v>
      </c>
      <c r="L103" s="611">
        <v>0</v>
      </c>
      <c r="M103" s="611">
        <v>0</v>
      </c>
      <c r="N103" s="611">
        <v>0</v>
      </c>
      <c r="O103" s="611">
        <v>0</v>
      </c>
      <c r="P103" s="611">
        <v>0</v>
      </c>
      <c r="Q103" s="611">
        <v>0</v>
      </c>
      <c r="R103" s="611">
        <v>0</v>
      </c>
      <c r="S103" s="611">
        <v>0</v>
      </c>
      <c r="T103" s="611">
        <v>0</v>
      </c>
      <c r="U103" s="619">
        <v>1.7175257629247493</v>
      </c>
      <c r="V103" s="51"/>
    </row>
    <row r="104" spans="3:22" x14ac:dyDescent="0.25">
      <c r="C104" s="618" t="s">
        <v>75</v>
      </c>
      <c r="D104" s="611">
        <v>0</v>
      </c>
      <c r="E104" s="611">
        <v>0</v>
      </c>
      <c r="F104" s="611">
        <v>5.5408288295361077</v>
      </c>
      <c r="G104" s="611">
        <v>0</v>
      </c>
      <c r="H104" s="611">
        <v>1.9377811160090992</v>
      </c>
      <c r="I104" s="611">
        <v>4.9686695282284594E-2</v>
      </c>
      <c r="J104" s="611">
        <v>0</v>
      </c>
      <c r="K104" s="611">
        <v>0</v>
      </c>
      <c r="L104" s="611">
        <v>0</v>
      </c>
      <c r="M104" s="611">
        <v>0</v>
      </c>
      <c r="N104" s="611">
        <v>0</v>
      </c>
      <c r="O104" s="611">
        <v>2.9812017169370755</v>
      </c>
      <c r="P104" s="611">
        <v>0</v>
      </c>
      <c r="Q104" s="611">
        <v>0</v>
      </c>
      <c r="R104" s="611">
        <v>65.428671005307493</v>
      </c>
      <c r="S104" s="611">
        <v>0</v>
      </c>
      <c r="T104" s="611">
        <v>0</v>
      </c>
      <c r="U104" s="619">
        <v>75.938169363072063</v>
      </c>
      <c r="V104" s="51"/>
    </row>
    <row r="105" spans="3:22" x14ac:dyDescent="0.25">
      <c r="C105" s="618" t="s">
        <v>76</v>
      </c>
      <c r="D105" s="611">
        <v>0</v>
      </c>
      <c r="E105" s="611">
        <v>0</v>
      </c>
      <c r="F105" s="611">
        <v>0</v>
      </c>
      <c r="G105" s="611">
        <v>0</v>
      </c>
      <c r="H105" s="611">
        <v>0.58858582439204721</v>
      </c>
      <c r="I105" s="611">
        <v>1.5091944215180697E-2</v>
      </c>
      <c r="J105" s="611">
        <v>0</v>
      </c>
      <c r="K105" s="611">
        <v>0</v>
      </c>
      <c r="L105" s="611">
        <v>0</v>
      </c>
      <c r="M105" s="611">
        <v>0</v>
      </c>
      <c r="N105" s="611">
        <v>0</v>
      </c>
      <c r="O105" s="611">
        <v>0.90551665291084182</v>
      </c>
      <c r="P105" s="611">
        <v>0</v>
      </c>
      <c r="Q105" s="611">
        <v>0</v>
      </c>
      <c r="R105" s="611">
        <v>68.128345316060717</v>
      </c>
      <c r="S105" s="611">
        <v>5.2226705636158801</v>
      </c>
      <c r="T105" s="611">
        <v>0</v>
      </c>
      <c r="U105" s="619">
        <v>74.86021030119467</v>
      </c>
      <c r="V105" s="51"/>
    </row>
    <row r="106" spans="3:22" x14ac:dyDescent="0.25">
      <c r="C106" s="614" t="s">
        <v>77</v>
      </c>
      <c r="D106" s="615">
        <v>0</v>
      </c>
      <c r="E106" s="615">
        <v>156.10342406212303</v>
      </c>
      <c r="F106" s="615">
        <v>-147.23201186516312</v>
      </c>
      <c r="G106" s="615">
        <v>-33.473815441656178</v>
      </c>
      <c r="H106" s="615">
        <v>6.2382288472745566</v>
      </c>
      <c r="I106" s="615">
        <v>-5.1093117771120324</v>
      </c>
      <c r="J106" s="615">
        <v>971.10439999999994</v>
      </c>
      <c r="K106" s="615">
        <v>503.30122823446823</v>
      </c>
      <c r="L106" s="615">
        <v>396.66701712539634</v>
      </c>
      <c r="M106" s="615">
        <v>15.068822462688784</v>
      </c>
      <c r="N106" s="615">
        <v>-125.26641824206686</v>
      </c>
      <c r="O106" s="615">
        <v>-78.905910642301208</v>
      </c>
      <c r="P106" s="615">
        <v>0</v>
      </c>
      <c r="Q106" s="615">
        <v>17.724535862473211</v>
      </c>
      <c r="R106" s="615">
        <v>-557.63514551632511</v>
      </c>
      <c r="S106" s="615">
        <v>-62.112636244933569</v>
      </c>
      <c r="T106" s="615">
        <v>-74.818117624520369</v>
      </c>
      <c r="U106" s="615">
        <v>981.65428924034563</v>
      </c>
      <c r="V106" s="51"/>
    </row>
    <row r="107" spans="3:22" x14ac:dyDescent="0.25">
      <c r="C107" s="616"/>
      <c r="D107" s="617"/>
      <c r="E107" s="617"/>
      <c r="F107" s="617"/>
      <c r="G107" s="617"/>
      <c r="H107" s="623"/>
      <c r="I107" s="617"/>
      <c r="J107" s="617"/>
      <c r="K107" s="617"/>
      <c r="L107" s="617"/>
      <c r="M107" s="617"/>
      <c r="N107" s="617"/>
      <c r="O107" s="617"/>
      <c r="P107" s="617"/>
      <c r="Q107" s="617"/>
      <c r="R107" s="617"/>
      <c r="S107" s="617"/>
      <c r="T107" s="617"/>
      <c r="U107" s="617"/>
      <c r="V107" s="51"/>
    </row>
    <row r="108" spans="3:22" x14ac:dyDescent="0.25">
      <c r="C108" s="618" t="s">
        <v>78</v>
      </c>
      <c r="D108" s="611">
        <v>1.6567330370836562</v>
      </c>
      <c r="E108" s="611">
        <v>0</v>
      </c>
      <c r="F108" s="611">
        <v>2.8599897491525303</v>
      </c>
      <c r="G108" s="611">
        <v>0</v>
      </c>
      <c r="H108" s="611">
        <v>23.2042782425182</v>
      </c>
      <c r="I108" s="611">
        <v>0.59498149339790252</v>
      </c>
      <c r="J108" s="611">
        <v>0</v>
      </c>
      <c r="K108" s="611">
        <v>0</v>
      </c>
      <c r="L108" s="611">
        <v>22.611451120736024</v>
      </c>
      <c r="M108" s="611">
        <v>5.7247037459588501</v>
      </c>
      <c r="N108" s="611">
        <v>2.4891014214733991</v>
      </c>
      <c r="O108" s="611">
        <v>35.740239810905898</v>
      </c>
      <c r="P108" s="611">
        <v>17.613589843749999</v>
      </c>
      <c r="Q108" s="611">
        <v>8.4299170840015686E-4</v>
      </c>
      <c r="R108" s="611">
        <v>187.94943106568476</v>
      </c>
      <c r="S108" s="611">
        <v>21.3497147946984</v>
      </c>
      <c r="T108" s="611">
        <v>13.7914765625</v>
      </c>
      <c r="U108" s="619">
        <v>335.58653387956804</v>
      </c>
      <c r="V108" s="51"/>
    </row>
    <row r="109" spans="3:22" x14ac:dyDescent="0.25">
      <c r="C109" s="618" t="s">
        <v>79</v>
      </c>
      <c r="D109" s="611">
        <v>0</v>
      </c>
      <c r="E109" s="611">
        <v>0</v>
      </c>
      <c r="F109" s="611">
        <v>7.0212023016086675</v>
      </c>
      <c r="G109" s="611">
        <v>2.7990026147409606</v>
      </c>
      <c r="H109" s="611">
        <v>3.0363171620819989</v>
      </c>
      <c r="I109" s="611">
        <v>7.7854286207230741E-2</v>
      </c>
      <c r="J109" s="611">
        <v>0</v>
      </c>
      <c r="K109" s="611">
        <v>0</v>
      </c>
      <c r="L109" s="611">
        <v>0</v>
      </c>
      <c r="M109" s="611">
        <v>0</v>
      </c>
      <c r="N109" s="611">
        <v>56.581202021290558</v>
      </c>
      <c r="O109" s="611">
        <v>4.6712571724338439</v>
      </c>
      <c r="P109" s="611">
        <v>0</v>
      </c>
      <c r="Q109" s="611">
        <v>0</v>
      </c>
      <c r="R109" s="611">
        <v>112.24073946586431</v>
      </c>
      <c r="S109" s="611">
        <v>0</v>
      </c>
      <c r="T109" s="611">
        <v>6.497399181335763</v>
      </c>
      <c r="U109" s="619">
        <v>192.92497420556333</v>
      </c>
      <c r="V109" s="51"/>
    </row>
    <row r="110" spans="3:22" x14ac:dyDescent="0.25">
      <c r="C110" s="618" t="s">
        <v>80</v>
      </c>
      <c r="D110" s="611">
        <v>0</v>
      </c>
      <c r="E110" s="611">
        <v>0</v>
      </c>
      <c r="F110" s="611">
        <v>0.52818257625892373</v>
      </c>
      <c r="G110" s="611">
        <v>0</v>
      </c>
      <c r="H110" s="611">
        <v>9.9272307301662774</v>
      </c>
      <c r="I110" s="611">
        <v>0.25454437769657123</v>
      </c>
      <c r="J110" s="611">
        <v>0</v>
      </c>
      <c r="K110" s="611">
        <v>0</v>
      </c>
      <c r="L110" s="611">
        <v>36.145280389625334</v>
      </c>
      <c r="M110" s="611">
        <v>0</v>
      </c>
      <c r="N110" s="611">
        <v>0</v>
      </c>
      <c r="O110" s="611">
        <v>15.272662661794273</v>
      </c>
      <c r="P110" s="611">
        <v>102.98149571768585</v>
      </c>
      <c r="Q110" s="611">
        <v>2.9888036499995505</v>
      </c>
      <c r="R110" s="611">
        <v>143.51715895688449</v>
      </c>
      <c r="S110" s="611">
        <v>22.181895321077057</v>
      </c>
      <c r="T110" s="611">
        <v>0</v>
      </c>
      <c r="U110" s="619">
        <v>333.79725438118828</v>
      </c>
      <c r="V110" s="51"/>
    </row>
    <row r="111" spans="3:22" x14ac:dyDescent="0.25">
      <c r="C111" s="618" t="s">
        <v>81</v>
      </c>
      <c r="D111" s="611">
        <v>0</v>
      </c>
      <c r="E111" s="611">
        <v>0</v>
      </c>
      <c r="F111" s="611">
        <v>0.4043921899752152</v>
      </c>
      <c r="G111" s="611">
        <v>0</v>
      </c>
      <c r="H111" s="611">
        <v>5.5758605918279338</v>
      </c>
      <c r="I111" s="611">
        <v>0.14297078440584446</v>
      </c>
      <c r="J111" s="611">
        <v>0</v>
      </c>
      <c r="K111" s="611">
        <v>0</v>
      </c>
      <c r="L111" s="611">
        <v>0.49596954229928064</v>
      </c>
      <c r="M111" s="611">
        <v>0</v>
      </c>
      <c r="N111" s="611">
        <v>0</v>
      </c>
      <c r="O111" s="611">
        <v>8.5782470643506681</v>
      </c>
      <c r="P111" s="611">
        <v>49.237012139994242</v>
      </c>
      <c r="Q111" s="611">
        <v>3.2685728275989634</v>
      </c>
      <c r="R111" s="611">
        <v>113.98538483583862</v>
      </c>
      <c r="S111" s="611">
        <v>18.581026129158101</v>
      </c>
      <c r="T111" s="611">
        <v>0</v>
      </c>
      <c r="U111" s="619">
        <v>200.26943610544885</v>
      </c>
      <c r="V111" s="51"/>
    </row>
    <row r="112" spans="3:22" x14ac:dyDescent="0.25">
      <c r="C112" s="618" t="s">
        <v>82</v>
      </c>
      <c r="D112" s="611">
        <v>0</v>
      </c>
      <c r="E112" s="611">
        <v>0</v>
      </c>
      <c r="F112" s="611">
        <v>3.6463721740036745</v>
      </c>
      <c r="G112" s="611">
        <v>0</v>
      </c>
      <c r="H112" s="611">
        <v>0.54193037779832631</v>
      </c>
      <c r="I112" s="611">
        <v>1.3895650712777598E-2</v>
      </c>
      <c r="J112" s="611">
        <v>0</v>
      </c>
      <c r="K112" s="611">
        <v>0</v>
      </c>
      <c r="L112" s="611">
        <v>3.5613676310951794</v>
      </c>
      <c r="M112" s="611">
        <v>0</v>
      </c>
      <c r="N112" s="611">
        <v>18.734510808369581</v>
      </c>
      <c r="O112" s="611">
        <v>0.83373904276665589</v>
      </c>
      <c r="P112" s="611">
        <v>1.25</v>
      </c>
      <c r="Q112" s="611">
        <v>1.7440136932478227</v>
      </c>
      <c r="R112" s="611">
        <v>6.9126660362912906</v>
      </c>
      <c r="S112" s="611">
        <v>0</v>
      </c>
      <c r="T112" s="611">
        <v>0.67126612024062504</v>
      </c>
      <c r="U112" s="619">
        <v>37.909761534525927</v>
      </c>
      <c r="V112" s="51"/>
    </row>
    <row r="113" spans="3:22" x14ac:dyDescent="0.25">
      <c r="C113" s="618" t="s">
        <v>354</v>
      </c>
      <c r="D113" s="611">
        <v>0</v>
      </c>
      <c r="E113" s="611">
        <v>0</v>
      </c>
      <c r="F113" s="611">
        <v>0</v>
      </c>
      <c r="G113" s="611">
        <v>0</v>
      </c>
      <c r="H113" s="611">
        <v>0</v>
      </c>
      <c r="I113" s="611">
        <v>0</v>
      </c>
      <c r="J113" s="611">
        <v>0</v>
      </c>
      <c r="K113" s="611">
        <v>0</v>
      </c>
      <c r="L113" s="611">
        <v>0</v>
      </c>
      <c r="M113" s="611">
        <v>0</v>
      </c>
      <c r="N113" s="611">
        <v>0</v>
      </c>
      <c r="O113" s="611">
        <v>0</v>
      </c>
      <c r="P113" s="611">
        <v>0</v>
      </c>
      <c r="Q113" s="611">
        <v>0</v>
      </c>
      <c r="R113" s="611">
        <v>5.7675999999999998</v>
      </c>
      <c r="S113" s="611">
        <v>0</v>
      </c>
      <c r="T113" s="611">
        <v>0</v>
      </c>
      <c r="U113" s="619">
        <v>5.7675999999999998</v>
      </c>
      <c r="V113" s="51"/>
    </row>
    <row r="114" spans="3:22" x14ac:dyDescent="0.25">
      <c r="C114" s="614" t="s">
        <v>83</v>
      </c>
      <c r="D114" s="615">
        <v>1.6567330370836562</v>
      </c>
      <c r="E114" s="615">
        <v>0</v>
      </c>
      <c r="F114" s="615">
        <v>14.460138990999013</v>
      </c>
      <c r="G114" s="615">
        <v>2.7990026147409606</v>
      </c>
      <c r="H114" s="615">
        <v>42.285617104392735</v>
      </c>
      <c r="I114" s="615">
        <v>1.0842465924203266</v>
      </c>
      <c r="J114" s="615">
        <v>0</v>
      </c>
      <c r="K114" s="615">
        <v>0</v>
      </c>
      <c r="L114" s="615">
        <v>62.814068683755821</v>
      </c>
      <c r="M114" s="615">
        <v>5.7247037459588501</v>
      </c>
      <c r="N114" s="615">
        <v>77.804814251133536</v>
      </c>
      <c r="O114" s="615">
        <v>65.096145752251331</v>
      </c>
      <c r="P114" s="615">
        <v>171.08209770143009</v>
      </c>
      <c r="Q114" s="615">
        <v>8.0022331625547363</v>
      </c>
      <c r="R114" s="615">
        <v>570.37298036056347</v>
      </c>
      <c r="S114" s="615">
        <v>62.112636244933555</v>
      </c>
      <c r="T114" s="615">
        <v>20.960141864076387</v>
      </c>
      <c r="U114" s="615">
        <v>1106.2555601062943</v>
      </c>
      <c r="V114" s="51"/>
    </row>
    <row r="115" spans="3:22" x14ac:dyDescent="0.25">
      <c r="C115" s="610" t="s">
        <v>84</v>
      </c>
      <c r="D115" s="611">
        <v>0</v>
      </c>
      <c r="E115" s="611">
        <v>0</v>
      </c>
      <c r="F115" s="611">
        <v>62.444092195240373</v>
      </c>
      <c r="G115" s="611">
        <v>2.5138754259873437</v>
      </c>
      <c r="H115" s="611">
        <v>6.0153513536527026</v>
      </c>
      <c r="I115" s="611">
        <v>0</v>
      </c>
      <c r="J115" s="611">
        <v>0</v>
      </c>
      <c r="K115" s="611">
        <v>0</v>
      </c>
      <c r="L115" s="611">
        <v>0.4729958666220917</v>
      </c>
      <c r="M115" s="611">
        <v>0</v>
      </c>
      <c r="N115" s="611">
        <v>38.295047275787958</v>
      </c>
      <c r="O115" s="611">
        <v>11.297042554251473</v>
      </c>
      <c r="P115" s="611">
        <v>0</v>
      </c>
      <c r="Q115" s="611">
        <v>0</v>
      </c>
      <c r="R115" s="611">
        <v>0</v>
      </c>
      <c r="S115" s="611">
        <v>0</v>
      </c>
      <c r="T115" s="611">
        <v>46.889191785304561</v>
      </c>
      <c r="U115" s="619">
        <v>167.92759645684652</v>
      </c>
      <c r="V115" s="51"/>
    </row>
    <row r="116" spans="3:22" x14ac:dyDescent="0.25">
      <c r="C116" s="614" t="s">
        <v>85</v>
      </c>
      <c r="D116" s="615">
        <v>1.6567330370836562</v>
      </c>
      <c r="E116" s="615">
        <v>0</v>
      </c>
      <c r="F116" s="615">
        <v>76.904231186239386</v>
      </c>
      <c r="G116" s="615">
        <v>5.3128780407283038</v>
      </c>
      <c r="H116" s="615">
        <v>48.300968458045439</v>
      </c>
      <c r="I116" s="615">
        <v>1.0842465924203266</v>
      </c>
      <c r="J116" s="615">
        <v>0</v>
      </c>
      <c r="K116" s="615">
        <v>0</v>
      </c>
      <c r="L116" s="615">
        <v>63.287064550377913</v>
      </c>
      <c r="M116" s="615">
        <v>5.7247037459588501</v>
      </c>
      <c r="N116" s="615">
        <v>116.0998615269215</v>
      </c>
      <c r="O116" s="615">
        <v>76.393188306502807</v>
      </c>
      <c r="P116" s="615">
        <v>171.08209770143009</v>
      </c>
      <c r="Q116" s="615">
        <v>8.0022331625547363</v>
      </c>
      <c r="R116" s="615">
        <v>570.37298036056347</v>
      </c>
      <c r="S116" s="615">
        <v>62.112636244933555</v>
      </c>
      <c r="T116" s="615">
        <v>67.849333649380952</v>
      </c>
      <c r="U116" s="615">
        <v>1274.1831565631408</v>
      </c>
      <c r="V116" s="51"/>
    </row>
    <row r="117" spans="3:22" x14ac:dyDescent="0.25">
      <c r="C117" s="51"/>
      <c r="D117" s="67">
        <v>0</v>
      </c>
      <c r="E117" s="67">
        <v>0</v>
      </c>
      <c r="F117" s="67">
        <v>0</v>
      </c>
      <c r="G117" s="67">
        <v>0</v>
      </c>
      <c r="H117" s="67">
        <v>0</v>
      </c>
      <c r="I117" s="67">
        <v>0</v>
      </c>
      <c r="J117" s="67">
        <v>0</v>
      </c>
      <c r="K117" s="67">
        <v>0</v>
      </c>
      <c r="L117" s="67">
        <v>0</v>
      </c>
      <c r="M117" s="67">
        <v>-3.4682726224488647E-4</v>
      </c>
      <c r="N117" s="67">
        <v>0</v>
      </c>
      <c r="O117" s="67">
        <v>1.3322676295501878E-14</v>
      </c>
      <c r="P117" s="67">
        <v>0</v>
      </c>
      <c r="Q117" s="67">
        <v>0</v>
      </c>
      <c r="R117" s="67">
        <v>0</v>
      </c>
      <c r="S117" s="67">
        <v>-1.4210854715202004E-14</v>
      </c>
      <c r="T117" s="67">
        <v>0</v>
      </c>
      <c r="U117" s="67">
        <v>-3.4682726254686713E-4</v>
      </c>
      <c r="V117" s="51"/>
    </row>
    <row r="118" spans="3:22" x14ac:dyDescent="0.25">
      <c r="C118" s="51"/>
      <c r="D118" s="51"/>
      <c r="E118" s="51"/>
      <c r="F118" s="51"/>
      <c r="G118" s="67"/>
      <c r="H118" s="51"/>
      <c r="I118" s="51"/>
      <c r="J118" s="51"/>
      <c r="K118" s="51"/>
      <c r="L118" s="51"/>
      <c r="M118" s="51"/>
      <c r="N118" s="51"/>
      <c r="O118" s="51"/>
      <c r="P118" s="51"/>
      <c r="Q118" s="51"/>
      <c r="R118" s="51"/>
      <c r="S118" s="51"/>
      <c r="T118" s="51"/>
      <c r="U118" s="51"/>
      <c r="V118" s="51"/>
    </row>
    <row r="119" spans="3:22" x14ac:dyDescent="0.25">
      <c r="C119" s="607" t="s">
        <v>89</v>
      </c>
      <c r="D119" s="606"/>
      <c r="E119" s="606"/>
      <c r="F119" s="606"/>
      <c r="G119" s="682"/>
      <c r="H119" s="606"/>
      <c r="I119" s="606"/>
      <c r="J119" s="606"/>
      <c r="K119" s="606"/>
      <c r="L119" s="606"/>
      <c r="M119" s="606"/>
      <c r="N119" s="606"/>
      <c r="O119" s="606"/>
      <c r="P119" s="606"/>
      <c r="Q119" s="606"/>
      <c r="R119" s="606"/>
      <c r="S119" s="606"/>
      <c r="T119" s="606"/>
      <c r="U119" s="606"/>
      <c r="V119" s="606"/>
    </row>
    <row r="120" spans="3:22" x14ac:dyDescent="0.25">
      <c r="C120" s="51"/>
      <c r="D120" s="51"/>
      <c r="E120" s="51"/>
      <c r="F120" s="51"/>
      <c r="G120" s="67"/>
      <c r="H120" s="51"/>
      <c r="I120" s="51"/>
      <c r="J120" s="51"/>
      <c r="K120" s="51"/>
      <c r="L120" s="51"/>
      <c r="M120" s="51"/>
      <c r="N120" s="51"/>
      <c r="O120" s="51"/>
      <c r="P120" s="51"/>
      <c r="Q120" s="51"/>
      <c r="R120" s="51"/>
      <c r="S120" s="51"/>
      <c r="T120" s="51"/>
      <c r="U120" s="51"/>
      <c r="V120" s="51"/>
    </row>
    <row r="121" spans="3:22" x14ac:dyDescent="0.25">
      <c r="C121" s="764" t="s">
        <v>128</v>
      </c>
      <c r="D121" s="753" t="s">
        <v>42</v>
      </c>
      <c r="E121" s="753" t="s">
        <v>52</v>
      </c>
      <c r="F121" s="753" t="s">
        <v>53</v>
      </c>
      <c r="G121" s="766" t="s">
        <v>482</v>
      </c>
      <c r="H121" s="753" t="s">
        <v>32</v>
      </c>
      <c r="I121" s="753" t="s">
        <v>483</v>
      </c>
      <c r="J121" s="753" t="s">
        <v>20</v>
      </c>
      <c r="K121" s="753" t="s">
        <v>55</v>
      </c>
      <c r="L121" s="761" t="s">
        <v>56</v>
      </c>
      <c r="M121" s="762"/>
      <c r="N121" s="762"/>
      <c r="O121" s="762"/>
      <c r="P121" s="762"/>
      <c r="Q121" s="763"/>
      <c r="R121" s="753" t="s">
        <v>57</v>
      </c>
      <c r="S121" s="753" t="s">
        <v>58</v>
      </c>
      <c r="T121" s="753" t="s">
        <v>31</v>
      </c>
      <c r="U121" s="753" t="s">
        <v>10</v>
      </c>
      <c r="V121" s="51"/>
    </row>
    <row r="122" spans="3:22" ht="36" x14ac:dyDescent="0.25">
      <c r="C122" s="765"/>
      <c r="D122" s="754"/>
      <c r="E122" s="754"/>
      <c r="F122" s="754"/>
      <c r="G122" s="767"/>
      <c r="H122" s="754"/>
      <c r="I122" s="754"/>
      <c r="J122" s="754"/>
      <c r="K122" s="754"/>
      <c r="L122" s="608" t="s">
        <v>335</v>
      </c>
      <c r="M122" s="608" t="s">
        <v>40</v>
      </c>
      <c r="N122" s="608" t="s">
        <v>343</v>
      </c>
      <c r="O122" s="608" t="s">
        <v>344</v>
      </c>
      <c r="P122" s="609" t="s">
        <v>345</v>
      </c>
      <c r="Q122" s="608" t="s">
        <v>346</v>
      </c>
      <c r="R122" s="754"/>
      <c r="S122" s="754"/>
      <c r="T122" s="754"/>
      <c r="U122" s="754"/>
      <c r="V122" s="51"/>
    </row>
    <row r="123" spans="3:22" x14ac:dyDescent="0.25">
      <c r="C123" s="610" t="s">
        <v>59</v>
      </c>
      <c r="D123" s="611">
        <v>0</v>
      </c>
      <c r="E123" s="611">
        <v>0</v>
      </c>
      <c r="F123" s="611">
        <v>0</v>
      </c>
      <c r="G123" s="611">
        <v>0</v>
      </c>
      <c r="H123" s="611">
        <v>0</v>
      </c>
      <c r="I123" s="611">
        <v>0</v>
      </c>
      <c r="J123" s="612">
        <v>759.92203636363649</v>
      </c>
      <c r="K123" s="612">
        <v>585.27007132862354</v>
      </c>
      <c r="L123" s="612">
        <v>421.01958402132601</v>
      </c>
      <c r="M123" s="612">
        <v>20.686642208021134</v>
      </c>
      <c r="N123" s="611">
        <v>1.5563580670349855</v>
      </c>
      <c r="O123" s="611">
        <v>0.17110271620039663</v>
      </c>
      <c r="P123" s="612">
        <v>181.20215447851419</v>
      </c>
      <c r="Q123" s="612">
        <v>27.103716579638188</v>
      </c>
      <c r="R123" s="611">
        <v>0</v>
      </c>
      <c r="S123" s="611">
        <v>0</v>
      </c>
      <c r="T123" s="611">
        <v>0</v>
      </c>
      <c r="U123" s="613">
        <v>1996.9316657629947</v>
      </c>
      <c r="V123" s="51"/>
    </row>
    <row r="124" spans="3:22" x14ac:dyDescent="0.25">
      <c r="C124" s="610" t="s">
        <v>60</v>
      </c>
      <c r="D124" s="611">
        <v>0.64129319091675452</v>
      </c>
      <c r="E124" s="611">
        <v>72.7588411322387</v>
      </c>
      <c r="F124" s="611">
        <v>1.9517818504706483</v>
      </c>
      <c r="G124" s="611">
        <v>0</v>
      </c>
      <c r="H124" s="611">
        <v>3.2223770587889593</v>
      </c>
      <c r="I124" s="611">
        <v>0</v>
      </c>
      <c r="J124" s="611">
        <v>0</v>
      </c>
      <c r="K124" s="611">
        <v>0</v>
      </c>
      <c r="L124" s="611">
        <v>5.2309321400654634</v>
      </c>
      <c r="M124" s="611">
        <v>0</v>
      </c>
      <c r="N124" s="611">
        <v>6.8353402019644598</v>
      </c>
      <c r="O124" s="611">
        <v>0</v>
      </c>
      <c r="P124" s="611">
        <v>0</v>
      </c>
      <c r="Q124" s="611">
        <v>0</v>
      </c>
      <c r="R124" s="611">
        <v>86.758204068598843</v>
      </c>
      <c r="S124" s="611">
        <v>0</v>
      </c>
      <c r="T124" s="611">
        <v>0</v>
      </c>
      <c r="U124" s="613">
        <v>177.39876964304383</v>
      </c>
      <c r="V124" s="51"/>
    </row>
    <row r="125" spans="3:22" x14ac:dyDescent="0.25">
      <c r="C125" s="610" t="s">
        <v>61</v>
      </c>
      <c r="D125" s="611">
        <v>0</v>
      </c>
      <c r="E125" s="611">
        <v>0</v>
      </c>
      <c r="F125" s="611">
        <v>-14.049213431109226</v>
      </c>
      <c r="G125" s="611">
        <v>-15.061852283906475</v>
      </c>
      <c r="H125" s="611">
        <v>0</v>
      </c>
      <c r="I125" s="611">
        <v>0</v>
      </c>
      <c r="J125" s="611">
        <v>0</v>
      </c>
      <c r="K125" s="611">
        <v>0</v>
      </c>
      <c r="L125" s="611">
        <v>0</v>
      </c>
      <c r="M125" s="611">
        <v>0</v>
      </c>
      <c r="N125" s="611">
        <v>0</v>
      </c>
      <c r="O125" s="611">
        <v>0</v>
      </c>
      <c r="P125" s="611">
        <v>0</v>
      </c>
      <c r="Q125" s="611">
        <v>0</v>
      </c>
      <c r="R125" s="611">
        <v>0</v>
      </c>
      <c r="S125" s="611">
        <v>0</v>
      </c>
      <c r="T125" s="611">
        <v>0</v>
      </c>
      <c r="U125" s="613">
        <v>-29.111065715015702</v>
      </c>
      <c r="V125" s="51"/>
    </row>
    <row r="126" spans="3:22" x14ac:dyDescent="0.25">
      <c r="C126" s="610" t="s">
        <v>62</v>
      </c>
      <c r="D126" s="611">
        <v>0</v>
      </c>
      <c r="E126" s="611">
        <v>0</v>
      </c>
      <c r="F126" s="611">
        <v>0</v>
      </c>
      <c r="G126" s="611">
        <v>-6.1101617494546652</v>
      </c>
      <c r="H126" s="611">
        <v>0</v>
      </c>
      <c r="I126" s="611">
        <v>-4.4416564350684116</v>
      </c>
      <c r="J126" s="611">
        <v>0</v>
      </c>
      <c r="K126" s="611">
        <v>0</v>
      </c>
      <c r="L126" s="611">
        <v>0</v>
      </c>
      <c r="M126" s="611">
        <v>0</v>
      </c>
      <c r="N126" s="611">
        <v>-1.5423967884416028</v>
      </c>
      <c r="O126" s="611">
        <v>-2.9611042900456073</v>
      </c>
      <c r="P126" s="611">
        <v>0</v>
      </c>
      <c r="Q126" s="611">
        <v>0</v>
      </c>
      <c r="R126" s="611">
        <v>0</v>
      </c>
      <c r="S126" s="611">
        <v>0</v>
      </c>
      <c r="T126" s="611">
        <v>-2.4482488705422272</v>
      </c>
      <c r="U126" s="613">
        <v>-17.503568133552513</v>
      </c>
      <c r="V126" s="51"/>
    </row>
    <row r="127" spans="3:22" x14ac:dyDescent="0.25">
      <c r="C127" s="610" t="s">
        <v>63</v>
      </c>
      <c r="D127" s="611">
        <v>0</v>
      </c>
      <c r="E127" s="611">
        <v>0</v>
      </c>
      <c r="F127" s="611">
        <v>-7.3240777097484635</v>
      </c>
      <c r="G127" s="611">
        <v>-24.912603262820603</v>
      </c>
      <c r="H127" s="611">
        <v>0</v>
      </c>
      <c r="I127" s="611">
        <v>0</v>
      </c>
      <c r="J127" s="611">
        <v>0</v>
      </c>
      <c r="K127" s="611">
        <v>0</v>
      </c>
      <c r="L127" s="611">
        <v>0</v>
      </c>
      <c r="M127" s="611">
        <v>0</v>
      </c>
      <c r="N127" s="611">
        <v>-17.438822283974417</v>
      </c>
      <c r="O127" s="611">
        <v>0</v>
      </c>
      <c r="P127" s="611">
        <v>0</v>
      </c>
      <c r="Q127" s="611">
        <v>0</v>
      </c>
      <c r="R127" s="611">
        <v>0</v>
      </c>
      <c r="S127" s="611">
        <v>0</v>
      </c>
      <c r="T127" s="611">
        <v>-7.5807767073973409</v>
      </c>
      <c r="U127" s="613">
        <v>-57.256279963940827</v>
      </c>
      <c r="V127" s="51"/>
    </row>
    <row r="128" spans="3:22" x14ac:dyDescent="0.25">
      <c r="C128" s="610" t="s">
        <v>64</v>
      </c>
      <c r="D128" s="611">
        <v>0</v>
      </c>
      <c r="E128" s="611">
        <v>0</v>
      </c>
      <c r="F128" s="611">
        <v>0</v>
      </c>
      <c r="G128" s="611">
        <v>0</v>
      </c>
      <c r="H128" s="611">
        <v>0</v>
      </c>
      <c r="I128" s="611">
        <v>0</v>
      </c>
      <c r="J128" s="611">
        <v>0</v>
      </c>
      <c r="K128" s="611">
        <v>0</v>
      </c>
      <c r="L128" s="611">
        <v>0</v>
      </c>
      <c r="M128" s="611">
        <v>0</v>
      </c>
      <c r="N128" s="611">
        <v>0</v>
      </c>
      <c r="O128" s="611">
        <v>0</v>
      </c>
      <c r="P128" s="611">
        <v>0</v>
      </c>
      <c r="Q128" s="611">
        <v>0</v>
      </c>
      <c r="R128" s="611">
        <v>0</v>
      </c>
      <c r="S128" s="611">
        <v>0</v>
      </c>
      <c r="T128" s="611">
        <v>0</v>
      </c>
      <c r="U128" s="613">
        <v>0</v>
      </c>
      <c r="V128" s="51"/>
    </row>
    <row r="129" spans="3:22" x14ac:dyDescent="0.25">
      <c r="C129" s="614" t="s">
        <v>65</v>
      </c>
      <c r="D129" s="615">
        <v>0.64129319091675452</v>
      </c>
      <c r="E129" s="615">
        <v>72.7588411322387</v>
      </c>
      <c r="F129" s="615">
        <v>-19.421509290387043</v>
      </c>
      <c r="G129" s="615">
        <v>-46.084617296181747</v>
      </c>
      <c r="H129" s="615">
        <v>3.2223770587889593</v>
      </c>
      <c r="I129" s="615">
        <v>-4.4416564350684116</v>
      </c>
      <c r="J129" s="615">
        <v>759.92203636363649</v>
      </c>
      <c r="K129" s="615">
        <v>585.27007132862354</v>
      </c>
      <c r="L129" s="615">
        <v>426.25051616139149</v>
      </c>
      <c r="M129" s="615">
        <v>20.686642208021134</v>
      </c>
      <c r="N129" s="615">
        <v>-10.589520803416576</v>
      </c>
      <c r="O129" s="615">
        <v>-2.7900015738452106</v>
      </c>
      <c r="P129" s="615">
        <v>181.20215447851419</v>
      </c>
      <c r="Q129" s="615">
        <v>27.103716579638188</v>
      </c>
      <c r="R129" s="615">
        <v>86.758204068598843</v>
      </c>
      <c r="S129" s="615">
        <v>0</v>
      </c>
      <c r="T129" s="615">
        <v>-10.029025577939567</v>
      </c>
      <c r="U129" s="615">
        <v>2070.4595215935296</v>
      </c>
      <c r="V129" s="51"/>
    </row>
    <row r="130" spans="3:22" x14ac:dyDescent="0.25">
      <c r="C130" s="616"/>
      <c r="D130" s="617"/>
      <c r="E130" s="617"/>
      <c r="F130" s="617"/>
      <c r="G130" s="617"/>
      <c r="H130" s="623"/>
      <c r="I130" s="617"/>
      <c r="J130" s="617"/>
      <c r="K130" s="617"/>
      <c r="L130" s="617"/>
      <c r="M130" s="617"/>
      <c r="N130" s="617"/>
      <c r="O130" s="617"/>
      <c r="P130" s="617"/>
      <c r="Q130" s="617"/>
      <c r="R130" s="617"/>
      <c r="S130" s="617"/>
      <c r="T130" s="617"/>
      <c r="U130" s="617"/>
      <c r="V130" s="51"/>
    </row>
    <row r="131" spans="3:22" x14ac:dyDescent="0.25">
      <c r="C131" s="618" t="s">
        <v>67</v>
      </c>
      <c r="D131" s="611">
        <v>0</v>
      </c>
      <c r="E131" s="611">
        <v>0</v>
      </c>
      <c r="F131" s="611">
        <v>0</v>
      </c>
      <c r="G131" s="611">
        <v>0</v>
      </c>
      <c r="H131" s="611">
        <v>0</v>
      </c>
      <c r="I131" s="611">
        <v>0</v>
      </c>
      <c r="J131" s="611">
        <v>0</v>
      </c>
      <c r="K131" s="611">
        <v>0</v>
      </c>
      <c r="L131" s="611">
        <v>0</v>
      </c>
      <c r="M131" s="611">
        <v>0</v>
      </c>
      <c r="N131" s="611">
        <v>0</v>
      </c>
      <c r="O131" s="611">
        <v>0</v>
      </c>
      <c r="P131" s="611">
        <v>0</v>
      </c>
      <c r="Q131" s="611">
        <v>0</v>
      </c>
      <c r="R131" s="611">
        <v>0</v>
      </c>
      <c r="S131" s="611">
        <v>0</v>
      </c>
      <c r="T131" s="611">
        <v>0</v>
      </c>
      <c r="U131" s="619">
        <v>0</v>
      </c>
      <c r="V131" s="51"/>
    </row>
    <row r="132" spans="3:22" x14ac:dyDescent="0.25">
      <c r="C132" s="618" t="s">
        <v>347</v>
      </c>
      <c r="D132" s="611">
        <v>0</v>
      </c>
      <c r="E132" s="611">
        <v>0</v>
      </c>
      <c r="F132" s="611">
        <v>0</v>
      </c>
      <c r="G132" s="611">
        <v>0</v>
      </c>
      <c r="H132" s="611">
        <v>0</v>
      </c>
      <c r="I132" s="611">
        <v>0</v>
      </c>
      <c r="J132" s="611">
        <v>759.92203636363649</v>
      </c>
      <c r="K132" s="611">
        <v>585.27007132862354</v>
      </c>
      <c r="L132" s="611">
        <v>21.935641645543306</v>
      </c>
      <c r="M132" s="611">
        <v>0.61628865372008657</v>
      </c>
      <c r="N132" s="611">
        <v>6.5561937148871507</v>
      </c>
      <c r="O132" s="611">
        <v>1.5747281082088551</v>
      </c>
      <c r="P132" s="611">
        <v>0</v>
      </c>
      <c r="Q132" s="611">
        <v>6.7631767445353068</v>
      </c>
      <c r="R132" s="611">
        <v>-895.33632983844416</v>
      </c>
      <c r="S132" s="611">
        <v>0</v>
      </c>
      <c r="T132" s="611">
        <v>6.4421899999999992</v>
      </c>
      <c r="U132" s="619">
        <v>493.74399672071024</v>
      </c>
      <c r="V132" s="51"/>
    </row>
    <row r="133" spans="3:22" x14ac:dyDescent="0.25">
      <c r="C133" s="618" t="s">
        <v>348</v>
      </c>
      <c r="D133" s="611">
        <v>0</v>
      </c>
      <c r="E133" s="611">
        <v>0</v>
      </c>
      <c r="F133" s="611">
        <v>0</v>
      </c>
      <c r="G133" s="611">
        <v>0</v>
      </c>
      <c r="H133" s="611">
        <v>0</v>
      </c>
      <c r="I133" s="611">
        <v>0</v>
      </c>
      <c r="J133" s="611">
        <v>0</v>
      </c>
      <c r="K133" s="611">
        <v>0</v>
      </c>
      <c r="L133" s="611">
        <v>34.859137423321251</v>
      </c>
      <c r="M133" s="611">
        <v>14.707872710950403</v>
      </c>
      <c r="N133" s="611">
        <v>0</v>
      </c>
      <c r="O133" s="611">
        <v>8.3969630288089814</v>
      </c>
      <c r="P133" s="611">
        <v>0</v>
      </c>
      <c r="Q133" s="611">
        <v>11.678038971322861</v>
      </c>
      <c r="R133" s="611">
        <v>0</v>
      </c>
      <c r="S133" s="611">
        <v>-66.565624993763251</v>
      </c>
      <c r="T133" s="611">
        <v>0</v>
      </c>
      <c r="U133" s="619">
        <v>3.0763871406402501</v>
      </c>
      <c r="V133" s="51"/>
    </row>
    <row r="134" spans="3:22" x14ac:dyDescent="0.25">
      <c r="C134" s="618" t="s">
        <v>349</v>
      </c>
      <c r="D134" s="611">
        <v>0</v>
      </c>
      <c r="E134" s="611">
        <v>0</v>
      </c>
      <c r="F134" s="611">
        <v>0</v>
      </c>
      <c r="G134" s="611">
        <v>0</v>
      </c>
      <c r="H134" s="611">
        <v>0</v>
      </c>
      <c r="I134" s="611">
        <v>0</v>
      </c>
      <c r="J134" s="611">
        <v>0</v>
      </c>
      <c r="K134" s="611">
        <v>0</v>
      </c>
      <c r="L134" s="611">
        <v>116.09247876238595</v>
      </c>
      <c r="M134" s="611">
        <v>0</v>
      </c>
      <c r="N134" s="611">
        <v>0</v>
      </c>
      <c r="O134" s="611">
        <v>-107.1437165457632</v>
      </c>
      <c r="P134" s="611">
        <v>0</v>
      </c>
      <c r="Q134" s="611">
        <v>0</v>
      </c>
      <c r="R134" s="611">
        <v>0</v>
      </c>
      <c r="S134" s="611">
        <v>0</v>
      </c>
      <c r="T134" s="611">
        <v>0</v>
      </c>
      <c r="U134" s="619">
        <v>8.9487622166227538</v>
      </c>
      <c r="V134" s="51"/>
    </row>
    <row r="135" spans="3:22" x14ac:dyDescent="0.25">
      <c r="C135" s="618" t="s">
        <v>350</v>
      </c>
      <c r="D135" s="611">
        <v>0</v>
      </c>
      <c r="E135" s="611">
        <v>0</v>
      </c>
      <c r="F135" s="611">
        <v>0</v>
      </c>
      <c r="G135" s="611">
        <v>0</v>
      </c>
      <c r="H135" s="611">
        <v>0</v>
      </c>
      <c r="I135" s="611">
        <v>-8.6805438008370892</v>
      </c>
      <c r="J135" s="611">
        <v>0</v>
      </c>
      <c r="K135" s="611">
        <v>0</v>
      </c>
      <c r="L135" s="611">
        <v>0</v>
      </c>
      <c r="M135" s="611">
        <v>0</v>
      </c>
      <c r="N135" s="611">
        <v>0</v>
      </c>
      <c r="O135" s="611">
        <v>0</v>
      </c>
      <c r="P135" s="611">
        <v>0</v>
      </c>
      <c r="Q135" s="611">
        <v>0</v>
      </c>
      <c r="R135" s="611">
        <v>0</v>
      </c>
      <c r="S135" s="611">
        <v>0</v>
      </c>
      <c r="T135" s="611">
        <v>12.086503242074816</v>
      </c>
      <c r="U135" s="619">
        <v>3.4059594412377265</v>
      </c>
      <c r="V135" s="51"/>
    </row>
    <row r="136" spans="3:22" x14ac:dyDescent="0.25">
      <c r="C136" s="618" t="s">
        <v>72</v>
      </c>
      <c r="D136" s="611">
        <v>0</v>
      </c>
      <c r="E136" s="611">
        <v>75.393588190645644</v>
      </c>
      <c r="F136" s="611">
        <v>-74.641887149518311</v>
      </c>
      <c r="G136" s="611">
        <v>0</v>
      </c>
      <c r="H136" s="611">
        <v>0</v>
      </c>
      <c r="I136" s="611">
        <v>0</v>
      </c>
      <c r="J136" s="611">
        <v>0</v>
      </c>
      <c r="K136" s="611">
        <v>0</v>
      </c>
      <c r="L136" s="611">
        <v>0</v>
      </c>
      <c r="M136" s="611">
        <v>0</v>
      </c>
      <c r="N136" s="611">
        <v>0</v>
      </c>
      <c r="O136" s="611">
        <v>0</v>
      </c>
      <c r="P136" s="611">
        <v>0</v>
      </c>
      <c r="Q136" s="611">
        <v>0</v>
      </c>
      <c r="R136" s="611">
        <v>0</v>
      </c>
      <c r="S136" s="611">
        <v>0</v>
      </c>
      <c r="T136" s="611">
        <v>0</v>
      </c>
      <c r="U136" s="619">
        <v>0.75170104112733327</v>
      </c>
      <c r="V136" s="51"/>
    </row>
    <row r="137" spans="3:22" x14ac:dyDescent="0.25">
      <c r="C137" s="618" t="s">
        <v>351</v>
      </c>
      <c r="D137" s="611">
        <v>0</v>
      </c>
      <c r="E137" s="611">
        <v>0</v>
      </c>
      <c r="F137" s="611">
        <v>0</v>
      </c>
      <c r="G137" s="611">
        <v>0</v>
      </c>
      <c r="H137" s="611">
        <v>0</v>
      </c>
      <c r="I137" s="611">
        <v>0</v>
      </c>
      <c r="J137" s="611">
        <v>0</v>
      </c>
      <c r="K137" s="611">
        <v>0</v>
      </c>
      <c r="L137" s="611">
        <v>194.54575293909065</v>
      </c>
      <c r="M137" s="611">
        <v>0</v>
      </c>
      <c r="N137" s="611">
        <v>-107.00016411649986</v>
      </c>
      <c r="O137" s="611">
        <v>0</v>
      </c>
      <c r="P137" s="611">
        <v>0</v>
      </c>
      <c r="Q137" s="611">
        <v>0</v>
      </c>
      <c r="R137" s="611">
        <v>0</v>
      </c>
      <c r="S137" s="611">
        <v>0</v>
      </c>
      <c r="T137" s="611">
        <v>0</v>
      </c>
      <c r="U137" s="619">
        <v>87.545588822590787</v>
      </c>
      <c r="V137" s="51"/>
    </row>
    <row r="138" spans="3:22" x14ac:dyDescent="0.25">
      <c r="C138" s="618" t="s">
        <v>352</v>
      </c>
      <c r="D138" s="611">
        <v>0</v>
      </c>
      <c r="E138" s="611">
        <v>0</v>
      </c>
      <c r="F138" s="611">
        <v>0</v>
      </c>
      <c r="G138" s="611">
        <v>-53.670926604582093</v>
      </c>
      <c r="H138" s="611">
        <v>0</v>
      </c>
      <c r="I138" s="611">
        <v>0</v>
      </c>
      <c r="J138" s="611">
        <v>0</v>
      </c>
      <c r="K138" s="611">
        <v>0</v>
      </c>
      <c r="L138" s="611">
        <v>0</v>
      </c>
      <c r="M138" s="611">
        <v>0</v>
      </c>
      <c r="N138" s="611">
        <v>0</v>
      </c>
      <c r="O138" s="611">
        <v>0</v>
      </c>
      <c r="P138" s="611">
        <v>0</v>
      </c>
      <c r="Q138" s="611">
        <v>0</v>
      </c>
      <c r="R138" s="611">
        <v>0</v>
      </c>
      <c r="S138" s="611">
        <v>0</v>
      </c>
      <c r="T138" s="611">
        <v>69.588751075413697</v>
      </c>
      <c r="U138" s="619">
        <v>15.917824470831604</v>
      </c>
      <c r="V138" s="51"/>
    </row>
    <row r="139" spans="3:22" x14ac:dyDescent="0.25">
      <c r="C139" s="618" t="s">
        <v>73</v>
      </c>
      <c r="D139" s="611">
        <v>0</v>
      </c>
      <c r="E139" s="611">
        <v>0</v>
      </c>
      <c r="F139" s="611">
        <v>0</v>
      </c>
      <c r="G139" s="611">
        <v>0</v>
      </c>
      <c r="H139" s="611">
        <v>0</v>
      </c>
      <c r="I139" s="611">
        <v>0</v>
      </c>
      <c r="J139" s="611">
        <v>0</v>
      </c>
      <c r="K139" s="611">
        <v>0</v>
      </c>
      <c r="L139" s="611">
        <v>0</v>
      </c>
      <c r="M139" s="611">
        <v>0</v>
      </c>
      <c r="N139" s="611">
        <v>0</v>
      </c>
      <c r="O139" s="611">
        <v>0</v>
      </c>
      <c r="P139" s="611">
        <v>0</v>
      </c>
      <c r="Q139" s="611">
        <v>0</v>
      </c>
      <c r="R139" s="611">
        <v>258.03000874169254</v>
      </c>
      <c r="S139" s="611">
        <v>0</v>
      </c>
      <c r="T139" s="611">
        <v>-185.78160629401862</v>
      </c>
      <c r="U139" s="619">
        <v>72.248402447673925</v>
      </c>
      <c r="V139" s="51"/>
    </row>
    <row r="140" spans="3:22" x14ac:dyDescent="0.25">
      <c r="C140" s="618" t="s">
        <v>353</v>
      </c>
      <c r="D140" s="611">
        <v>0</v>
      </c>
      <c r="E140" s="611">
        <v>-2.634747058406945</v>
      </c>
      <c r="F140" s="611">
        <v>3.435008562710407</v>
      </c>
      <c r="G140" s="611">
        <v>0</v>
      </c>
      <c r="H140" s="611">
        <v>0</v>
      </c>
      <c r="I140" s="611">
        <v>0</v>
      </c>
      <c r="J140" s="611">
        <v>0</v>
      </c>
      <c r="K140" s="611">
        <v>0</v>
      </c>
      <c r="L140" s="611">
        <v>0</v>
      </c>
      <c r="M140" s="611">
        <v>0</v>
      </c>
      <c r="N140" s="611">
        <v>0</v>
      </c>
      <c r="O140" s="611">
        <v>0</v>
      </c>
      <c r="P140" s="611">
        <v>0</v>
      </c>
      <c r="Q140" s="611">
        <v>0</v>
      </c>
      <c r="R140" s="611">
        <v>0</v>
      </c>
      <c r="S140" s="611">
        <v>0</v>
      </c>
      <c r="T140" s="611">
        <v>0</v>
      </c>
      <c r="U140" s="619">
        <v>0.80026150430346199</v>
      </c>
      <c r="V140" s="51"/>
    </row>
    <row r="141" spans="3:22" x14ac:dyDescent="0.25">
      <c r="C141" s="618" t="s">
        <v>75</v>
      </c>
      <c r="D141" s="611">
        <v>0</v>
      </c>
      <c r="E141" s="611">
        <v>0</v>
      </c>
      <c r="F141" s="611">
        <v>2.5839893825265019</v>
      </c>
      <c r="G141" s="611">
        <v>0</v>
      </c>
      <c r="H141" s="611">
        <v>0</v>
      </c>
      <c r="I141" s="611">
        <v>0.23833359000000001</v>
      </c>
      <c r="J141" s="611">
        <v>0</v>
      </c>
      <c r="K141" s="611">
        <v>0</v>
      </c>
      <c r="L141" s="611">
        <v>0</v>
      </c>
      <c r="M141" s="611">
        <v>0</v>
      </c>
      <c r="N141" s="611">
        <v>0</v>
      </c>
      <c r="O141" s="611">
        <v>4.5283382100000003</v>
      </c>
      <c r="P141" s="611">
        <v>0</v>
      </c>
      <c r="Q141" s="611">
        <v>0</v>
      </c>
      <c r="R141" s="611">
        <v>65.365492404188032</v>
      </c>
      <c r="S141" s="611">
        <v>0</v>
      </c>
      <c r="T141" s="611">
        <v>0</v>
      </c>
      <c r="U141" s="619">
        <v>72.71615358671454</v>
      </c>
      <c r="V141" s="51"/>
    </row>
    <row r="142" spans="3:22" x14ac:dyDescent="0.25">
      <c r="C142" s="618" t="s">
        <v>76</v>
      </c>
      <c r="D142" s="611">
        <v>0</v>
      </c>
      <c r="E142" s="611">
        <v>0</v>
      </c>
      <c r="F142" s="611">
        <v>0</v>
      </c>
      <c r="G142" s="611">
        <v>0</v>
      </c>
      <c r="H142" s="611">
        <v>0</v>
      </c>
      <c r="I142" s="611">
        <v>5.609909084131174E-2</v>
      </c>
      <c r="J142" s="611">
        <v>0</v>
      </c>
      <c r="K142" s="611">
        <v>0</v>
      </c>
      <c r="L142" s="611">
        <v>0</v>
      </c>
      <c r="M142" s="611">
        <v>0</v>
      </c>
      <c r="N142" s="611">
        <v>0</v>
      </c>
      <c r="O142" s="611">
        <v>1.0658827259849231</v>
      </c>
      <c r="P142" s="611">
        <v>0</v>
      </c>
      <c r="Q142" s="611">
        <v>0</v>
      </c>
      <c r="R142" s="611">
        <v>75.163138458273835</v>
      </c>
      <c r="S142" s="611">
        <v>5.1631708880095033</v>
      </c>
      <c r="T142" s="611">
        <v>0</v>
      </c>
      <c r="U142" s="619">
        <v>81.448291163109573</v>
      </c>
      <c r="V142" s="51"/>
    </row>
    <row r="143" spans="3:22" x14ac:dyDescent="0.25">
      <c r="C143" s="614" t="s">
        <v>77</v>
      </c>
      <c r="D143" s="615">
        <v>0</v>
      </c>
      <c r="E143" s="615">
        <v>72.7588411322387</v>
      </c>
      <c r="F143" s="615">
        <v>-68.622889204281407</v>
      </c>
      <c r="G143" s="615">
        <v>-53.670926604582093</v>
      </c>
      <c r="H143" s="615">
        <v>0</v>
      </c>
      <c r="I143" s="615">
        <v>-8.3861111199957783</v>
      </c>
      <c r="J143" s="615">
        <v>759.92203636363649</v>
      </c>
      <c r="K143" s="615">
        <v>585.27007132862354</v>
      </c>
      <c r="L143" s="615">
        <v>367.43301077034118</v>
      </c>
      <c r="M143" s="615">
        <v>15.32416136467049</v>
      </c>
      <c r="N143" s="615">
        <v>-100.44397040161272</v>
      </c>
      <c r="O143" s="615">
        <v>-91.577804472760434</v>
      </c>
      <c r="P143" s="615">
        <v>0</v>
      </c>
      <c r="Q143" s="615">
        <v>18.441215715858167</v>
      </c>
      <c r="R143" s="615">
        <v>-496.77769023428982</v>
      </c>
      <c r="S143" s="615">
        <v>-61.402454105753748</v>
      </c>
      <c r="T143" s="615">
        <v>-97.664161976530096</v>
      </c>
      <c r="U143" s="615">
        <v>840.60332855556226</v>
      </c>
      <c r="V143" s="51"/>
    </row>
    <row r="144" spans="3:22" x14ac:dyDescent="0.25">
      <c r="C144" s="616"/>
      <c r="D144" s="617"/>
      <c r="E144" s="617"/>
      <c r="F144" s="617"/>
      <c r="G144" s="617"/>
      <c r="H144" s="623"/>
      <c r="I144" s="617"/>
      <c r="J144" s="617"/>
      <c r="K144" s="617"/>
      <c r="L144" s="617"/>
      <c r="M144" s="617"/>
      <c r="N144" s="617"/>
      <c r="O144" s="617"/>
      <c r="P144" s="617"/>
      <c r="Q144" s="617"/>
      <c r="R144" s="617"/>
      <c r="S144" s="617"/>
      <c r="T144" s="617"/>
      <c r="U144" s="617"/>
      <c r="V144" s="51"/>
    </row>
    <row r="145" spans="3:22" x14ac:dyDescent="0.25">
      <c r="C145" s="618" t="s">
        <v>78</v>
      </c>
      <c r="D145" s="611">
        <v>0.64129319091675452</v>
      </c>
      <c r="E145" s="611">
        <v>0</v>
      </c>
      <c r="F145" s="611">
        <v>1.525731430410463</v>
      </c>
      <c r="G145" s="611">
        <v>0</v>
      </c>
      <c r="H145" s="611">
        <v>0</v>
      </c>
      <c r="I145" s="611">
        <v>2.2603973079733568</v>
      </c>
      <c r="J145" s="611">
        <v>0</v>
      </c>
      <c r="K145" s="611">
        <v>0</v>
      </c>
      <c r="L145" s="611">
        <v>23.360019261656848</v>
      </c>
      <c r="M145" s="611">
        <v>5.362188402201145</v>
      </c>
      <c r="N145" s="611">
        <v>1.3034813300305972</v>
      </c>
      <c r="O145" s="611">
        <v>42.989679667648574</v>
      </c>
      <c r="P145" s="611">
        <v>22.01365625</v>
      </c>
      <c r="Q145" s="611">
        <v>8.5890570413253253E-4</v>
      </c>
      <c r="R145" s="611">
        <v>202.024278119439</v>
      </c>
      <c r="S145" s="611">
        <v>22.25756234266839</v>
      </c>
      <c r="T145" s="611">
        <v>16.001347656250001</v>
      </c>
      <c r="U145" s="619">
        <v>339.74049386489929</v>
      </c>
      <c r="V145" s="51"/>
    </row>
    <row r="146" spans="3:22" x14ac:dyDescent="0.25">
      <c r="C146" s="618" t="s">
        <v>79</v>
      </c>
      <c r="D146" s="611">
        <v>0</v>
      </c>
      <c r="E146" s="611">
        <v>0</v>
      </c>
      <c r="F146" s="611">
        <v>2.548518600222561</v>
      </c>
      <c r="G146" s="611">
        <v>4.6064063696995508</v>
      </c>
      <c r="H146" s="611">
        <v>0</v>
      </c>
      <c r="I146" s="611">
        <v>0.39196782379108752</v>
      </c>
      <c r="J146" s="611">
        <v>0</v>
      </c>
      <c r="K146" s="611">
        <v>0</v>
      </c>
      <c r="L146" s="611">
        <v>0</v>
      </c>
      <c r="M146" s="611">
        <v>0</v>
      </c>
      <c r="N146" s="611">
        <v>19.508637074329002</v>
      </c>
      <c r="O146" s="611">
        <v>7.4473886520306625</v>
      </c>
      <c r="P146" s="611">
        <v>0</v>
      </c>
      <c r="Q146" s="611">
        <v>0</v>
      </c>
      <c r="R146" s="611">
        <v>117.90461095014412</v>
      </c>
      <c r="S146" s="611">
        <v>0</v>
      </c>
      <c r="T146" s="611">
        <v>6.9740998058852091</v>
      </c>
      <c r="U146" s="619">
        <v>159.38162927610219</v>
      </c>
      <c r="V146" s="51"/>
    </row>
    <row r="147" spans="3:22" x14ac:dyDescent="0.25">
      <c r="C147" s="618" t="s">
        <v>80</v>
      </c>
      <c r="D147" s="611">
        <v>0</v>
      </c>
      <c r="E147" s="611">
        <v>0</v>
      </c>
      <c r="F147" s="611">
        <v>0.35613019618188829</v>
      </c>
      <c r="G147" s="611">
        <v>0</v>
      </c>
      <c r="H147" s="611">
        <v>0</v>
      </c>
      <c r="I147" s="611">
        <v>0.92121942110506694</v>
      </c>
      <c r="J147" s="611">
        <v>0</v>
      </c>
      <c r="K147" s="611">
        <v>0</v>
      </c>
      <c r="L147" s="611">
        <v>30.406752837013876</v>
      </c>
      <c r="M147" s="611">
        <v>0</v>
      </c>
      <c r="N147" s="611">
        <v>0</v>
      </c>
      <c r="O147" s="611">
        <v>17.503169000996269</v>
      </c>
      <c r="P147" s="611">
        <v>105.40020235475453</v>
      </c>
      <c r="Q147" s="611">
        <v>3.1166998128913419</v>
      </c>
      <c r="R147" s="611">
        <v>133.64902180729109</v>
      </c>
      <c r="S147" s="611">
        <v>20.977029614075306</v>
      </c>
      <c r="T147" s="611">
        <v>0</v>
      </c>
      <c r="U147" s="619">
        <v>312.33022504430937</v>
      </c>
      <c r="V147" s="51"/>
    </row>
    <row r="148" spans="3:22" x14ac:dyDescent="0.25">
      <c r="C148" s="618" t="s">
        <v>81</v>
      </c>
      <c r="D148" s="611">
        <v>0</v>
      </c>
      <c r="E148" s="611">
        <v>0</v>
      </c>
      <c r="F148" s="611">
        <v>6.5854952123934399E-2</v>
      </c>
      <c r="G148" s="611">
        <v>0</v>
      </c>
      <c r="H148" s="611">
        <v>0</v>
      </c>
      <c r="I148" s="611">
        <v>0.31585874142938569</v>
      </c>
      <c r="J148" s="611">
        <v>0</v>
      </c>
      <c r="K148" s="611">
        <v>0</v>
      </c>
      <c r="L148" s="611">
        <v>0.45236993281073634</v>
      </c>
      <c r="M148" s="611">
        <v>0</v>
      </c>
      <c r="N148" s="611">
        <v>0</v>
      </c>
      <c r="O148" s="611">
        <v>6.0013160871583278</v>
      </c>
      <c r="P148" s="611">
        <v>52.288295873759658</v>
      </c>
      <c r="Q148" s="611">
        <v>3.3575351400940563</v>
      </c>
      <c r="R148" s="611">
        <v>111.32761597349254</v>
      </c>
      <c r="S148" s="611">
        <v>18.167862149010045</v>
      </c>
      <c r="T148" s="611">
        <v>0</v>
      </c>
      <c r="U148" s="619">
        <v>191.97670884987866</v>
      </c>
      <c r="V148" s="51"/>
    </row>
    <row r="149" spans="3:22" x14ac:dyDescent="0.25">
      <c r="C149" s="618" t="s">
        <v>82</v>
      </c>
      <c r="D149" s="611">
        <v>0</v>
      </c>
      <c r="E149" s="611">
        <v>0</v>
      </c>
      <c r="F149" s="611">
        <v>0.14607036001340537</v>
      </c>
      <c r="G149" s="611">
        <v>0</v>
      </c>
      <c r="H149" s="611">
        <v>0</v>
      </c>
      <c r="I149" s="611">
        <v>5.5011390628469027E-2</v>
      </c>
      <c r="J149" s="611">
        <v>0</v>
      </c>
      <c r="K149" s="611">
        <v>0</v>
      </c>
      <c r="L149" s="611">
        <v>3.9918011059239289</v>
      </c>
      <c r="M149" s="611">
        <v>0</v>
      </c>
      <c r="N149" s="611">
        <v>18.700816435906518</v>
      </c>
      <c r="O149" s="611">
        <v>1.0452164219409115</v>
      </c>
      <c r="P149" s="611">
        <v>1.5</v>
      </c>
      <c r="Q149" s="611">
        <v>2.1874070050904897</v>
      </c>
      <c r="R149" s="611">
        <v>6.9303674525217573</v>
      </c>
      <c r="S149" s="611">
        <v>0</v>
      </c>
      <c r="T149" s="611">
        <v>0.82604920070086296</v>
      </c>
      <c r="U149" s="619">
        <v>35.382739372726341</v>
      </c>
      <c r="V149" s="51"/>
    </row>
    <row r="150" spans="3:22" x14ac:dyDescent="0.25">
      <c r="C150" s="618" t="s">
        <v>354</v>
      </c>
      <c r="D150" s="611">
        <v>0</v>
      </c>
      <c r="E150" s="611">
        <v>0</v>
      </c>
      <c r="F150" s="611">
        <v>0</v>
      </c>
      <c r="G150" s="611">
        <v>0</v>
      </c>
      <c r="H150" s="611">
        <v>0</v>
      </c>
      <c r="I150" s="611">
        <v>0</v>
      </c>
      <c r="J150" s="611">
        <v>0</v>
      </c>
      <c r="K150" s="611">
        <v>0</v>
      </c>
      <c r="L150" s="611">
        <v>0</v>
      </c>
      <c r="M150" s="611">
        <v>0</v>
      </c>
      <c r="N150" s="611">
        <v>0</v>
      </c>
      <c r="O150" s="611">
        <v>0</v>
      </c>
      <c r="P150" s="611">
        <v>0</v>
      </c>
      <c r="Q150" s="611">
        <v>0</v>
      </c>
      <c r="R150" s="611">
        <v>11.7</v>
      </c>
      <c r="S150" s="611">
        <v>0</v>
      </c>
      <c r="T150" s="611">
        <v>0</v>
      </c>
      <c r="U150" s="619">
        <v>11.7</v>
      </c>
      <c r="V150" s="51"/>
    </row>
    <row r="151" spans="3:22" x14ac:dyDescent="0.25">
      <c r="C151" s="614" t="s">
        <v>83</v>
      </c>
      <c r="D151" s="615">
        <v>0.64129319091675452</v>
      </c>
      <c r="E151" s="615">
        <v>0</v>
      </c>
      <c r="F151" s="615">
        <v>4.6423055389522521</v>
      </c>
      <c r="G151" s="615">
        <v>4.6064063696995508</v>
      </c>
      <c r="H151" s="615">
        <v>0</v>
      </c>
      <c r="I151" s="615">
        <v>3.9444546849273663</v>
      </c>
      <c r="J151" s="615">
        <v>0</v>
      </c>
      <c r="K151" s="615">
        <v>0</v>
      </c>
      <c r="L151" s="615">
        <v>58.210943137405394</v>
      </c>
      <c r="M151" s="615">
        <v>5.362188402201145</v>
      </c>
      <c r="N151" s="615">
        <v>39.512934840266112</v>
      </c>
      <c r="O151" s="615">
        <v>74.986769829774744</v>
      </c>
      <c r="P151" s="615">
        <v>181.20215447851419</v>
      </c>
      <c r="Q151" s="615">
        <v>8.6625008637800214</v>
      </c>
      <c r="R151" s="615">
        <v>583.53589430288855</v>
      </c>
      <c r="S151" s="615">
        <v>61.402454105753748</v>
      </c>
      <c r="T151" s="615">
        <v>23.801496662836072</v>
      </c>
      <c r="U151" s="615">
        <v>1050.5117964079159</v>
      </c>
      <c r="V151" s="51"/>
    </row>
    <row r="152" spans="3:22" x14ac:dyDescent="0.25">
      <c r="C152" s="610" t="s">
        <v>84</v>
      </c>
      <c r="D152" s="611">
        <v>0</v>
      </c>
      <c r="E152" s="611">
        <v>0</v>
      </c>
      <c r="F152" s="611">
        <v>44.559074374942114</v>
      </c>
      <c r="G152" s="611">
        <v>2.9799029387007945</v>
      </c>
      <c r="H152" s="611">
        <v>3.2223770587889593</v>
      </c>
      <c r="I152" s="611">
        <v>0</v>
      </c>
      <c r="J152" s="611">
        <v>0</v>
      </c>
      <c r="K152" s="611">
        <v>0</v>
      </c>
      <c r="L152" s="611">
        <v>0.60656225364490568</v>
      </c>
      <c r="M152" s="611">
        <v>0</v>
      </c>
      <c r="N152" s="611">
        <v>50.341514757930035</v>
      </c>
      <c r="O152" s="611">
        <v>13.801033069140475</v>
      </c>
      <c r="P152" s="611">
        <v>0</v>
      </c>
      <c r="Q152" s="611">
        <v>0</v>
      </c>
      <c r="R152" s="611">
        <v>0</v>
      </c>
      <c r="S152" s="611">
        <v>0</v>
      </c>
      <c r="T152" s="611">
        <v>63.833639735754474</v>
      </c>
      <c r="U152" s="619">
        <v>179.34410418890175</v>
      </c>
      <c r="V152" s="51"/>
    </row>
    <row r="153" spans="3:22" x14ac:dyDescent="0.25">
      <c r="C153" s="614" t="s">
        <v>85</v>
      </c>
      <c r="D153" s="615">
        <v>0.64129319091675452</v>
      </c>
      <c r="E153" s="615">
        <v>0</v>
      </c>
      <c r="F153" s="615">
        <v>49.201379913894364</v>
      </c>
      <c r="G153" s="615">
        <v>7.5863093084003452</v>
      </c>
      <c r="H153" s="615">
        <v>3.2223770587889593</v>
      </c>
      <c r="I153" s="615">
        <v>3.9444546849273663</v>
      </c>
      <c r="J153" s="615">
        <v>0</v>
      </c>
      <c r="K153" s="615">
        <v>0</v>
      </c>
      <c r="L153" s="615">
        <v>58.817505391050297</v>
      </c>
      <c r="M153" s="615">
        <v>5.362188402201145</v>
      </c>
      <c r="N153" s="615">
        <v>89.85444959819614</v>
      </c>
      <c r="O153" s="615">
        <v>88.787802898915217</v>
      </c>
      <c r="P153" s="615">
        <v>181.20215447851419</v>
      </c>
      <c r="Q153" s="615">
        <v>8.6625008637800214</v>
      </c>
      <c r="R153" s="615">
        <v>583.53589430288855</v>
      </c>
      <c r="S153" s="615">
        <v>61.402454105753748</v>
      </c>
      <c r="T153" s="615">
        <v>87.635136398590546</v>
      </c>
      <c r="U153" s="615">
        <v>1229.8559005968177</v>
      </c>
      <c r="V153" s="51"/>
    </row>
    <row r="154" spans="3:22" x14ac:dyDescent="0.25">
      <c r="C154" s="51"/>
      <c r="D154" s="67">
        <v>0</v>
      </c>
      <c r="E154" s="67">
        <v>0</v>
      </c>
      <c r="F154" s="67">
        <v>0</v>
      </c>
      <c r="G154" s="67">
        <v>0</v>
      </c>
      <c r="H154" s="67">
        <v>0</v>
      </c>
      <c r="I154" s="67">
        <v>0</v>
      </c>
      <c r="J154" s="67">
        <v>0</v>
      </c>
      <c r="K154" s="67">
        <v>0</v>
      </c>
      <c r="L154" s="67">
        <v>0</v>
      </c>
      <c r="M154" s="67">
        <v>-2.9244114949733557E-4</v>
      </c>
      <c r="N154" s="67">
        <v>0</v>
      </c>
      <c r="O154" s="67">
        <v>-6.2172489379008766E-15</v>
      </c>
      <c r="P154" s="67">
        <v>0</v>
      </c>
      <c r="Q154" s="67">
        <v>0</v>
      </c>
      <c r="R154" s="67">
        <v>-1.1368683772161603E-13</v>
      </c>
      <c r="S154" s="67">
        <v>0</v>
      </c>
      <c r="T154" s="67">
        <v>1.7763568394002505E-14</v>
      </c>
      <c r="U154" s="67">
        <v>-2.9244114966786583E-4</v>
      </c>
      <c r="V154" s="51"/>
    </row>
    <row r="155" spans="3:22" x14ac:dyDescent="0.25">
      <c r="C155" s="51"/>
      <c r="D155" s="51"/>
      <c r="E155" s="51"/>
      <c r="F155" s="51"/>
      <c r="G155" s="51"/>
      <c r="H155" s="51"/>
      <c r="I155" s="51"/>
      <c r="J155" s="51"/>
      <c r="K155" s="51"/>
      <c r="L155" s="51"/>
      <c r="M155" s="51"/>
      <c r="N155" s="51"/>
      <c r="O155" s="51"/>
      <c r="P155" s="51"/>
      <c r="Q155" s="51"/>
      <c r="R155" s="51"/>
      <c r="S155" s="51"/>
      <c r="T155" s="51"/>
      <c r="U155" s="51"/>
      <c r="V155" s="51"/>
    </row>
  </sheetData>
  <mergeCells count="56">
    <mergeCell ref="T121:T122"/>
    <mergeCell ref="U121:U122"/>
    <mergeCell ref="I121:I122"/>
    <mergeCell ref="J121:J122"/>
    <mergeCell ref="K121:K122"/>
    <mergeCell ref="L121:Q121"/>
    <mergeCell ref="R121:R122"/>
    <mergeCell ref="S121:S122"/>
    <mergeCell ref="C121:C122"/>
    <mergeCell ref="D121:D122"/>
    <mergeCell ref="E121:E122"/>
    <mergeCell ref="F121:F122"/>
    <mergeCell ref="G121:G122"/>
    <mergeCell ref="H121:H122"/>
    <mergeCell ref="K84:K85"/>
    <mergeCell ref="L84:Q84"/>
    <mergeCell ref="R84:R85"/>
    <mergeCell ref="S84:S85"/>
    <mergeCell ref="T84:T85"/>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S47:S48"/>
    <mergeCell ref="C47:C48"/>
    <mergeCell ref="D47:D48"/>
    <mergeCell ref="E47:E48"/>
    <mergeCell ref="F47:F48"/>
    <mergeCell ref="G47:G48"/>
    <mergeCell ref="H47:H48"/>
    <mergeCell ref="U10:U11"/>
    <mergeCell ref="C10:C11"/>
    <mergeCell ref="D10:D11"/>
    <mergeCell ref="E10:E11"/>
    <mergeCell ref="F10:F11"/>
    <mergeCell ref="G10:G11"/>
    <mergeCell ref="H10:H11"/>
    <mergeCell ref="I10:I11"/>
    <mergeCell ref="J10:J11"/>
    <mergeCell ref="K10:K11"/>
    <mergeCell ref="L10:Q10"/>
    <mergeCell ref="R10:R11"/>
    <mergeCell ref="S10:S11"/>
    <mergeCell ref="T10:T11"/>
  </mergeCells>
  <conditionalFormatting sqref="D12:U18">
    <cfRule type="containsBlanks" dxfId="607" priority="7">
      <formula>LEN(TRIM(D12))=0</formula>
    </cfRule>
  </conditionalFormatting>
  <conditionalFormatting sqref="D12:U42">
    <cfRule type="cellIs" dxfId="606" priority="8" operator="equal">
      <formula>0</formula>
    </cfRule>
  </conditionalFormatting>
  <conditionalFormatting sqref="D20:U32">
    <cfRule type="containsBlanks" dxfId="605" priority="17">
      <formula>LEN(TRIM(D20))=0</formula>
    </cfRule>
  </conditionalFormatting>
  <conditionalFormatting sqref="D34:U42">
    <cfRule type="containsBlanks" dxfId="604" priority="18">
      <formula>LEN(TRIM(D34))=0</formula>
    </cfRule>
  </conditionalFormatting>
  <conditionalFormatting sqref="D49:U55">
    <cfRule type="containsBlanks" dxfId="603" priority="5">
      <formula>LEN(TRIM(D49))=0</formula>
    </cfRule>
  </conditionalFormatting>
  <conditionalFormatting sqref="D49:U79">
    <cfRule type="cellIs" dxfId="602" priority="6" operator="equal">
      <formula>0</formula>
    </cfRule>
  </conditionalFormatting>
  <conditionalFormatting sqref="D57:U69">
    <cfRule type="containsBlanks" dxfId="601" priority="23">
      <formula>LEN(TRIM(D57))=0</formula>
    </cfRule>
  </conditionalFormatting>
  <conditionalFormatting sqref="D71:U79">
    <cfRule type="containsBlanks" dxfId="600" priority="24">
      <formula>LEN(TRIM(D71))=0</formula>
    </cfRule>
  </conditionalFormatting>
  <conditionalFormatting sqref="D86:U92">
    <cfRule type="containsBlanks" dxfId="599" priority="3">
      <formula>LEN(TRIM(D86))=0</formula>
    </cfRule>
  </conditionalFormatting>
  <conditionalFormatting sqref="D86:U116">
    <cfRule type="cellIs" dxfId="598" priority="4" operator="equal">
      <formula>0</formula>
    </cfRule>
  </conditionalFormatting>
  <conditionalFormatting sqref="D94:U106">
    <cfRule type="containsBlanks" dxfId="597" priority="29">
      <formula>LEN(TRIM(D94))=0</formula>
    </cfRule>
  </conditionalFormatting>
  <conditionalFormatting sqref="D108:U116">
    <cfRule type="containsBlanks" dxfId="596" priority="30">
      <formula>LEN(TRIM(D108))=0</formula>
    </cfRule>
  </conditionalFormatting>
  <conditionalFormatting sqref="D123:U129">
    <cfRule type="containsBlanks" dxfId="595" priority="1">
      <formula>LEN(TRIM(D123))=0</formula>
    </cfRule>
  </conditionalFormatting>
  <conditionalFormatting sqref="D123:U153">
    <cfRule type="cellIs" dxfId="594" priority="2" operator="equal">
      <formula>0</formula>
    </cfRule>
  </conditionalFormatting>
  <conditionalFormatting sqref="D131:U143">
    <cfRule type="containsBlanks" dxfId="593" priority="35">
      <formula>LEN(TRIM(D131))=0</formula>
    </cfRule>
  </conditionalFormatting>
  <conditionalFormatting sqref="D145:U153">
    <cfRule type="containsBlanks" dxfId="592" priority="36">
      <formula>LEN(TRIM(D145))=0</formula>
    </cfRule>
  </conditionalFormatting>
  <conditionalFormatting sqref="F13:F14">
    <cfRule type="cellIs" dxfId="591" priority="21" operator="equal">
      <formula>0</formula>
    </cfRule>
  </conditionalFormatting>
  <conditionalFormatting sqref="F50:F51">
    <cfRule type="cellIs" dxfId="590" priority="27" operator="equal">
      <formula>0</formula>
    </cfRule>
  </conditionalFormatting>
  <conditionalFormatting sqref="F87:F88">
    <cfRule type="cellIs" dxfId="589" priority="33" operator="equal">
      <formula>0</formula>
    </cfRule>
  </conditionalFormatting>
  <conditionalFormatting sqref="F124:F125">
    <cfRule type="cellIs" dxfId="588" priority="39" operator="equal">
      <formula>0</formula>
    </cfRule>
  </conditionalFormatting>
  <conditionalFormatting sqref="L13:L17">
    <cfRule type="cellIs" dxfId="587" priority="20" operator="equal">
      <formula>0</formula>
    </cfRule>
  </conditionalFormatting>
  <conditionalFormatting sqref="L50:L54">
    <cfRule type="cellIs" dxfId="586" priority="26" operator="equal">
      <formula>0</formula>
    </cfRule>
  </conditionalFormatting>
  <conditionalFormatting sqref="L87:L91">
    <cfRule type="cellIs" dxfId="585" priority="32" operator="equal">
      <formula>0</formula>
    </cfRule>
  </conditionalFormatting>
  <conditionalFormatting sqref="L124:L128">
    <cfRule type="cellIs" dxfId="584" priority="38" operator="equal">
      <formula>0</formula>
    </cfRule>
  </conditionalFormatting>
  <conditionalFormatting sqref="L11:Q11">
    <cfRule type="cellIs" dxfId="583" priority="44" operator="equal">
      <formula>0</formula>
    </cfRule>
  </conditionalFormatting>
  <conditionalFormatting sqref="L48:Q48">
    <cfRule type="cellIs" dxfId="582" priority="43" operator="equal">
      <formula>0</formula>
    </cfRule>
  </conditionalFormatting>
  <conditionalFormatting sqref="L85:Q85">
    <cfRule type="cellIs" dxfId="581" priority="42" operator="equal">
      <formula>0</formula>
    </cfRule>
  </conditionalFormatting>
  <conditionalFormatting sqref="L122:Q122">
    <cfRule type="cellIs" dxfId="580" priority="41" operator="equal">
      <formula>0</formula>
    </cfRule>
  </conditionalFormatting>
  <conditionalFormatting sqref="P13:Q17">
    <cfRule type="cellIs" dxfId="579" priority="19" operator="equal">
      <formula>0</formula>
    </cfRule>
  </conditionalFormatting>
  <conditionalFormatting sqref="P50:Q54">
    <cfRule type="cellIs" dxfId="578" priority="25" operator="equal">
      <formula>0</formula>
    </cfRule>
  </conditionalFormatting>
  <conditionalFormatting sqref="P87:Q91">
    <cfRule type="cellIs" dxfId="577" priority="31" operator="equal">
      <formula>0</formula>
    </cfRule>
  </conditionalFormatting>
  <conditionalFormatting sqref="P124:Q128">
    <cfRule type="cellIs" dxfId="576" priority="37" operator="equal">
      <formula>0</formula>
    </cfRule>
  </conditionalFormatting>
  <conditionalFormatting sqref="R12:R14">
    <cfRule type="cellIs" dxfId="575" priority="22" operator="equal">
      <formula>0</formula>
    </cfRule>
  </conditionalFormatting>
  <conditionalFormatting sqref="R49:R51">
    <cfRule type="cellIs" dxfId="574" priority="28" operator="equal">
      <formula>0</formula>
    </cfRule>
  </conditionalFormatting>
  <conditionalFormatting sqref="R86:R88">
    <cfRule type="cellIs" dxfId="573" priority="34" operator="equal">
      <formula>0</formula>
    </cfRule>
  </conditionalFormatting>
  <conditionalFormatting sqref="R123:R125">
    <cfRule type="cellIs" dxfId="572" priority="40" operator="equal">
      <formula>0</formula>
    </cfRule>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038EC-C02F-4F15-A244-C95D7C7816AD}">
  <dimension ref="C2:V118"/>
  <sheetViews>
    <sheetView workbookViewId="0"/>
  </sheetViews>
  <sheetFormatPr baseColWidth="10" defaultRowHeight="15" x14ac:dyDescent="0.25"/>
  <sheetData>
    <row r="2" spans="3:22" ht="18.75" x14ac:dyDescent="0.3">
      <c r="C2" s="600" t="s">
        <v>406</v>
      </c>
      <c r="D2" s="599"/>
      <c r="E2" s="599"/>
      <c r="F2" s="599"/>
      <c r="G2" s="599"/>
      <c r="H2" s="599"/>
      <c r="I2" s="599"/>
      <c r="J2" s="599"/>
      <c r="K2" s="599"/>
      <c r="L2" s="599"/>
      <c r="M2" s="599"/>
      <c r="N2" s="599"/>
      <c r="O2" s="599"/>
      <c r="P2" s="599"/>
      <c r="Q2" s="599"/>
      <c r="R2" s="599"/>
      <c r="S2" s="599"/>
      <c r="T2" s="599"/>
      <c r="U2" s="599"/>
      <c r="V2" s="599"/>
    </row>
    <row r="3" spans="3:22" x14ac:dyDescent="0.25">
      <c r="C3" s="51"/>
      <c r="D3" s="51"/>
      <c r="E3" s="51"/>
      <c r="F3" s="51"/>
      <c r="G3" s="51"/>
      <c r="H3" s="51"/>
      <c r="I3" s="51"/>
      <c r="J3" s="51"/>
      <c r="K3" s="51"/>
      <c r="L3" s="51"/>
      <c r="M3" s="51"/>
      <c r="N3" s="51"/>
      <c r="O3" s="51"/>
      <c r="P3" s="51"/>
      <c r="Q3" s="51"/>
      <c r="R3" s="51"/>
      <c r="S3" s="51"/>
      <c r="T3" s="51"/>
      <c r="U3" s="51"/>
      <c r="V3" s="51"/>
    </row>
    <row r="4" spans="3:22" ht="15.75" x14ac:dyDescent="0.25">
      <c r="C4" s="603" t="s">
        <v>338</v>
      </c>
      <c r="D4" s="602" t="s">
        <v>481</v>
      </c>
      <c r="E4" s="602"/>
      <c r="F4" s="602"/>
      <c r="G4" s="602"/>
      <c r="H4" s="602"/>
      <c r="I4" s="602"/>
      <c r="J4" s="602"/>
      <c r="K4" s="604"/>
      <c r="L4" s="604"/>
      <c r="M4" s="604"/>
      <c r="N4" s="604"/>
      <c r="O4" s="604"/>
      <c r="P4" s="604"/>
      <c r="Q4" s="604"/>
      <c r="R4" s="602"/>
      <c r="S4" s="602"/>
      <c r="T4" s="602"/>
      <c r="U4" s="602"/>
      <c r="V4" s="602"/>
    </row>
    <row r="5" spans="3:22" ht="15.75" x14ac:dyDescent="0.25">
      <c r="C5" s="603" t="s">
        <v>341</v>
      </c>
      <c r="D5" s="602" t="s">
        <v>342</v>
      </c>
      <c r="E5" s="602"/>
      <c r="F5" s="602"/>
      <c r="G5" s="602"/>
      <c r="H5" s="602"/>
      <c r="I5" s="602"/>
      <c r="J5" s="602"/>
      <c r="K5" s="602"/>
      <c r="L5" s="602"/>
      <c r="M5" s="602"/>
      <c r="N5" s="602"/>
      <c r="O5" s="602"/>
      <c r="P5" s="602"/>
      <c r="Q5" s="602"/>
      <c r="R5" s="602"/>
      <c r="S5" s="602"/>
      <c r="T5" s="602"/>
      <c r="U5" s="602"/>
      <c r="V5" s="602"/>
    </row>
    <row r="6" spans="3:22" x14ac:dyDescent="0.25">
      <c r="C6" s="51"/>
      <c r="D6" s="51"/>
      <c r="E6" s="51"/>
      <c r="F6" s="51"/>
      <c r="G6" s="51"/>
      <c r="H6" s="51"/>
      <c r="I6" s="51"/>
      <c r="J6" s="51"/>
      <c r="K6" s="51"/>
      <c r="L6" s="51"/>
      <c r="M6" s="51"/>
      <c r="N6" s="51"/>
      <c r="O6" s="51"/>
      <c r="P6" s="51"/>
      <c r="Q6" s="51"/>
      <c r="R6" s="51"/>
      <c r="S6" s="51"/>
      <c r="T6" s="51"/>
      <c r="U6" s="51"/>
      <c r="V6" s="51"/>
    </row>
    <row r="7" spans="3:22" x14ac:dyDescent="0.25">
      <c r="C7" s="51"/>
      <c r="D7" s="51"/>
      <c r="E7" s="51"/>
      <c r="F7" s="51"/>
      <c r="G7" s="51"/>
      <c r="H7" s="51"/>
      <c r="I7" s="51"/>
      <c r="J7" s="51"/>
      <c r="K7" s="51"/>
      <c r="L7" s="51"/>
      <c r="M7" s="51"/>
      <c r="N7" s="51"/>
      <c r="O7" s="51"/>
      <c r="P7" s="51"/>
      <c r="Q7" s="51"/>
      <c r="R7" s="51"/>
      <c r="S7" s="51"/>
      <c r="T7" s="51"/>
      <c r="U7" s="51"/>
      <c r="V7" s="51"/>
    </row>
    <row r="8" spans="3:22" x14ac:dyDescent="0.25">
      <c r="C8" s="607" t="s">
        <v>518</v>
      </c>
      <c r="D8" s="606"/>
      <c r="E8" s="606"/>
      <c r="F8" s="606"/>
      <c r="G8" s="682"/>
      <c r="H8" s="606"/>
      <c r="I8" s="606"/>
      <c r="J8" s="606"/>
      <c r="K8" s="606"/>
      <c r="L8" s="606"/>
      <c r="M8" s="606"/>
      <c r="N8" s="606"/>
      <c r="O8" s="606"/>
      <c r="P8" s="606"/>
      <c r="Q8" s="606"/>
      <c r="R8" s="606"/>
      <c r="S8" s="606"/>
      <c r="T8" s="606"/>
      <c r="U8" s="606"/>
      <c r="V8" s="606"/>
    </row>
    <row r="9" spans="3:22" x14ac:dyDescent="0.25">
      <c r="C9" s="51"/>
      <c r="D9" s="51"/>
      <c r="E9" s="51"/>
      <c r="F9" s="51"/>
      <c r="G9" s="67"/>
      <c r="H9" s="51"/>
      <c r="I9" s="51"/>
      <c r="J9" s="51"/>
      <c r="K9" s="51"/>
      <c r="L9" s="51"/>
      <c r="M9" s="51"/>
      <c r="N9" s="51"/>
      <c r="O9" s="51"/>
      <c r="P9" s="51"/>
      <c r="Q9" s="51"/>
      <c r="R9" s="51"/>
      <c r="S9" s="51"/>
      <c r="T9" s="51"/>
      <c r="U9" s="51"/>
      <c r="V9" s="51"/>
    </row>
    <row r="10" spans="3:22" x14ac:dyDescent="0.25">
      <c r="C10" s="764" t="s">
        <v>128</v>
      </c>
      <c r="D10" s="753" t="s">
        <v>42</v>
      </c>
      <c r="E10" s="753" t="s">
        <v>52</v>
      </c>
      <c r="F10" s="753" t="s">
        <v>53</v>
      </c>
      <c r="G10" s="766" t="s">
        <v>482</v>
      </c>
      <c r="H10" s="753" t="s">
        <v>32</v>
      </c>
      <c r="I10" s="753" t="s">
        <v>483</v>
      </c>
      <c r="J10" s="753" t="s">
        <v>20</v>
      </c>
      <c r="K10" s="753" t="s">
        <v>55</v>
      </c>
      <c r="L10" s="761" t="s">
        <v>56</v>
      </c>
      <c r="M10" s="762"/>
      <c r="N10" s="762"/>
      <c r="O10" s="762"/>
      <c r="P10" s="762"/>
      <c r="Q10" s="763"/>
      <c r="R10" s="753" t="s">
        <v>57</v>
      </c>
      <c r="S10" s="753" t="s">
        <v>58</v>
      </c>
      <c r="T10" s="753" t="s">
        <v>31</v>
      </c>
      <c r="U10" s="753" t="s">
        <v>10</v>
      </c>
      <c r="V10" s="51"/>
    </row>
    <row r="11" spans="3:22" ht="36" x14ac:dyDescent="0.25">
      <c r="C11" s="765"/>
      <c r="D11" s="754"/>
      <c r="E11" s="754"/>
      <c r="F11" s="754"/>
      <c r="G11" s="767"/>
      <c r="H11" s="754"/>
      <c r="I11" s="754"/>
      <c r="J11" s="754"/>
      <c r="K11" s="754"/>
      <c r="L11" s="608" t="s">
        <v>335</v>
      </c>
      <c r="M11" s="608" t="s">
        <v>40</v>
      </c>
      <c r="N11" s="608" t="s">
        <v>343</v>
      </c>
      <c r="O11" s="608" t="s">
        <v>344</v>
      </c>
      <c r="P11" s="609" t="s">
        <v>345</v>
      </c>
      <c r="Q11" s="608" t="s">
        <v>346</v>
      </c>
      <c r="R11" s="754"/>
      <c r="S11" s="754"/>
      <c r="T11" s="754"/>
      <c r="U11" s="754"/>
      <c r="V11" s="51"/>
    </row>
    <row r="12" spans="3:22" x14ac:dyDescent="0.25">
      <c r="C12" s="610" t="s">
        <v>59</v>
      </c>
      <c r="D12" s="611">
        <v>0</v>
      </c>
      <c r="E12" s="611">
        <v>0</v>
      </c>
      <c r="F12" s="611">
        <v>0</v>
      </c>
      <c r="G12" s="611">
        <v>0</v>
      </c>
      <c r="H12" s="611">
        <v>0</v>
      </c>
      <c r="I12" s="611">
        <v>0</v>
      </c>
      <c r="J12" s="612">
        <v>1052.7157454545454</v>
      </c>
      <c r="K12" s="612">
        <v>465.75813055383361</v>
      </c>
      <c r="L12" s="612">
        <v>552.21249104185301</v>
      </c>
      <c r="M12" s="612">
        <v>22.906604502368204</v>
      </c>
      <c r="N12" s="611">
        <v>1.638642873490971</v>
      </c>
      <c r="O12" s="611">
        <v>0.1692153726460352</v>
      </c>
      <c r="P12" s="612">
        <v>155.57132536542554</v>
      </c>
      <c r="Q12" s="612">
        <v>27.190760719848203</v>
      </c>
      <c r="R12" s="611">
        <v>0</v>
      </c>
      <c r="S12" s="611">
        <v>0</v>
      </c>
      <c r="T12" s="611">
        <v>0</v>
      </c>
      <c r="U12" s="613">
        <v>2202.4167747530264</v>
      </c>
      <c r="V12" s="51"/>
    </row>
    <row r="13" spans="3:22" x14ac:dyDescent="0.25">
      <c r="C13" s="610" t="s">
        <v>60</v>
      </c>
      <c r="D13" s="611">
        <v>6.0767583671953336</v>
      </c>
      <c r="E13" s="611">
        <v>189.53853209341332</v>
      </c>
      <c r="F13" s="611">
        <v>3.6404081450569747</v>
      </c>
      <c r="G13" s="611">
        <v>0</v>
      </c>
      <c r="H13" s="611">
        <v>83.57515838234103</v>
      </c>
      <c r="I13" s="611">
        <v>0</v>
      </c>
      <c r="J13" s="611">
        <v>0</v>
      </c>
      <c r="K13" s="611">
        <v>0</v>
      </c>
      <c r="L13" s="611">
        <v>4.5400000946661896</v>
      </c>
      <c r="M13" s="611">
        <v>0</v>
      </c>
      <c r="N13" s="611">
        <v>5.9261248972986582</v>
      </c>
      <c r="O13" s="611">
        <v>0</v>
      </c>
      <c r="P13" s="611">
        <v>0</v>
      </c>
      <c r="Q13" s="611">
        <v>0</v>
      </c>
      <c r="R13" s="611">
        <v>0</v>
      </c>
      <c r="S13" s="611">
        <v>0</v>
      </c>
      <c r="T13" s="611">
        <v>0</v>
      </c>
      <c r="U13" s="613">
        <v>293.29698197997152</v>
      </c>
      <c r="V13" s="51"/>
    </row>
    <row r="14" spans="3:22" x14ac:dyDescent="0.25">
      <c r="C14" s="610" t="s">
        <v>61</v>
      </c>
      <c r="D14" s="611">
        <v>0</v>
      </c>
      <c r="E14" s="611">
        <v>0</v>
      </c>
      <c r="F14" s="611">
        <v>-34.781622639841267</v>
      </c>
      <c r="G14" s="611">
        <v>-5.1567908130260314</v>
      </c>
      <c r="H14" s="611">
        <v>0</v>
      </c>
      <c r="I14" s="611">
        <v>0</v>
      </c>
      <c r="J14" s="611">
        <v>0</v>
      </c>
      <c r="K14" s="611">
        <v>0</v>
      </c>
      <c r="L14" s="611">
        <v>0</v>
      </c>
      <c r="M14" s="611">
        <v>0</v>
      </c>
      <c r="N14" s="611">
        <v>0</v>
      </c>
      <c r="O14" s="611">
        <v>0</v>
      </c>
      <c r="P14" s="611">
        <v>0</v>
      </c>
      <c r="Q14" s="611">
        <v>0</v>
      </c>
      <c r="R14" s="611">
        <v>-24.094141618363551</v>
      </c>
      <c r="S14" s="611">
        <v>0</v>
      </c>
      <c r="T14" s="611">
        <v>0</v>
      </c>
      <c r="U14" s="613">
        <v>-64.032555071230846</v>
      </c>
      <c r="V14" s="51"/>
    </row>
    <row r="15" spans="3:22" x14ac:dyDescent="0.25">
      <c r="C15" s="610" t="s">
        <v>62</v>
      </c>
      <c r="D15" s="611">
        <v>0</v>
      </c>
      <c r="E15" s="611">
        <v>0</v>
      </c>
      <c r="F15" s="611">
        <v>-3.5615694502361057</v>
      </c>
      <c r="G15" s="611">
        <v>-4.706211381166379</v>
      </c>
      <c r="H15" s="611">
        <v>0</v>
      </c>
      <c r="I15" s="611">
        <v>-3.8584286845410238</v>
      </c>
      <c r="J15" s="611">
        <v>0</v>
      </c>
      <c r="K15" s="611">
        <v>0</v>
      </c>
      <c r="L15" s="611">
        <v>0</v>
      </c>
      <c r="M15" s="611">
        <v>0</v>
      </c>
      <c r="N15" s="611">
        <v>-1.4330438936791221</v>
      </c>
      <c r="O15" s="611">
        <v>-2.5722857896940159</v>
      </c>
      <c r="P15" s="611">
        <v>0</v>
      </c>
      <c r="Q15" s="611">
        <v>0</v>
      </c>
      <c r="R15" s="611">
        <v>0</v>
      </c>
      <c r="S15" s="611">
        <v>0</v>
      </c>
      <c r="T15" s="611">
        <v>-1.5542726935255338</v>
      </c>
      <c r="U15" s="613">
        <v>-17.685811892842178</v>
      </c>
      <c r="V15" s="51"/>
    </row>
    <row r="16" spans="3:22" x14ac:dyDescent="0.25">
      <c r="C16" s="610" t="s">
        <v>63</v>
      </c>
      <c r="D16" s="611">
        <v>0</v>
      </c>
      <c r="E16" s="611">
        <v>0</v>
      </c>
      <c r="F16" s="611">
        <v>-31.271549575274978</v>
      </c>
      <c r="G16" s="611">
        <v>-12.658057837302275</v>
      </c>
      <c r="H16" s="611">
        <v>0</v>
      </c>
      <c r="I16" s="611">
        <v>0</v>
      </c>
      <c r="J16" s="611">
        <v>0</v>
      </c>
      <c r="K16" s="611">
        <v>0</v>
      </c>
      <c r="L16" s="611">
        <v>0</v>
      </c>
      <c r="M16" s="611">
        <v>0</v>
      </c>
      <c r="N16" s="611">
        <v>-15.442835023025614</v>
      </c>
      <c r="O16" s="611">
        <v>0</v>
      </c>
      <c r="P16" s="611">
        <v>0</v>
      </c>
      <c r="Q16" s="611">
        <v>0</v>
      </c>
      <c r="R16" s="611">
        <v>0</v>
      </c>
      <c r="S16" s="611">
        <v>0</v>
      </c>
      <c r="T16" s="611">
        <v>-4.141098204696295</v>
      </c>
      <c r="U16" s="613">
        <v>-63.513540640299169</v>
      </c>
      <c r="V16" s="51"/>
    </row>
    <row r="17" spans="3:22" x14ac:dyDescent="0.25">
      <c r="C17" s="610" t="s">
        <v>64</v>
      </c>
      <c r="D17" s="611">
        <v>0</v>
      </c>
      <c r="E17" s="611">
        <v>0</v>
      </c>
      <c r="F17" s="611">
        <v>0</v>
      </c>
      <c r="G17" s="611">
        <v>0</v>
      </c>
      <c r="H17" s="611">
        <v>0</v>
      </c>
      <c r="I17" s="611">
        <v>0</v>
      </c>
      <c r="J17" s="611">
        <v>0</v>
      </c>
      <c r="K17" s="611">
        <v>0</v>
      </c>
      <c r="L17" s="611">
        <v>0</v>
      </c>
      <c r="M17" s="611">
        <v>0</v>
      </c>
      <c r="N17" s="611">
        <v>0</v>
      </c>
      <c r="O17" s="611">
        <v>0</v>
      </c>
      <c r="P17" s="611">
        <v>0</v>
      </c>
      <c r="Q17" s="611">
        <v>0</v>
      </c>
      <c r="R17" s="611">
        <v>0</v>
      </c>
      <c r="S17" s="611">
        <v>0</v>
      </c>
      <c r="T17" s="611">
        <v>0</v>
      </c>
      <c r="U17" s="613">
        <v>0</v>
      </c>
      <c r="V17" s="51"/>
    </row>
    <row r="18" spans="3:22" x14ac:dyDescent="0.25">
      <c r="C18" s="614" t="s">
        <v>65</v>
      </c>
      <c r="D18" s="615">
        <v>6.0767583671953336</v>
      </c>
      <c r="E18" s="615">
        <v>189.53853209341332</v>
      </c>
      <c r="F18" s="615">
        <v>-65.974333520295374</v>
      </c>
      <c r="G18" s="615">
        <v>-22.521060031494684</v>
      </c>
      <c r="H18" s="615">
        <v>83.57515838234103</v>
      </c>
      <c r="I18" s="615">
        <v>-3.8584286845410238</v>
      </c>
      <c r="J18" s="615">
        <v>1052.7157454545454</v>
      </c>
      <c r="K18" s="615">
        <v>465.75813055383361</v>
      </c>
      <c r="L18" s="615">
        <v>556.75249113651921</v>
      </c>
      <c r="M18" s="615">
        <v>22.906604502368204</v>
      </c>
      <c r="N18" s="615">
        <v>-9.3111111459151061</v>
      </c>
      <c r="O18" s="615">
        <v>-2.4030704170479806</v>
      </c>
      <c r="P18" s="615">
        <v>155.57132536542554</v>
      </c>
      <c r="Q18" s="615">
        <v>27.190760719848203</v>
      </c>
      <c r="R18" s="615">
        <v>-24.094141618363551</v>
      </c>
      <c r="S18" s="615">
        <v>0</v>
      </c>
      <c r="T18" s="615">
        <v>-5.695370898221829</v>
      </c>
      <c r="U18" s="615">
        <v>2350.4818491286255</v>
      </c>
      <c r="V18" s="51"/>
    </row>
    <row r="19" spans="3:22" x14ac:dyDescent="0.25">
      <c r="C19" s="616"/>
      <c r="D19" s="617"/>
      <c r="E19" s="617"/>
      <c r="F19" s="617"/>
      <c r="G19" s="617"/>
      <c r="H19" s="623"/>
      <c r="I19" s="617"/>
      <c r="J19" s="617"/>
      <c r="K19" s="617"/>
      <c r="L19" s="617"/>
      <c r="M19" s="617"/>
      <c r="N19" s="617"/>
      <c r="O19" s="617"/>
      <c r="P19" s="617"/>
      <c r="Q19" s="617"/>
      <c r="R19" s="617"/>
      <c r="S19" s="617"/>
      <c r="T19" s="617"/>
      <c r="U19" s="617"/>
      <c r="V19" s="51"/>
    </row>
    <row r="20" spans="3:22" x14ac:dyDescent="0.25">
      <c r="C20" s="618" t="s">
        <v>67</v>
      </c>
      <c r="D20" s="611">
        <v>0</v>
      </c>
      <c r="E20" s="611">
        <v>0</v>
      </c>
      <c r="F20" s="611">
        <v>0</v>
      </c>
      <c r="G20" s="611">
        <v>0</v>
      </c>
      <c r="H20" s="611">
        <v>0</v>
      </c>
      <c r="I20" s="611">
        <v>0</v>
      </c>
      <c r="J20" s="611">
        <v>0</v>
      </c>
      <c r="K20" s="611">
        <v>0</v>
      </c>
      <c r="L20" s="611">
        <v>0</v>
      </c>
      <c r="M20" s="611">
        <v>0</v>
      </c>
      <c r="N20" s="611">
        <v>0</v>
      </c>
      <c r="O20" s="611">
        <v>0</v>
      </c>
      <c r="P20" s="611">
        <v>0</v>
      </c>
      <c r="Q20" s="611">
        <v>0</v>
      </c>
      <c r="R20" s="611">
        <v>0</v>
      </c>
      <c r="S20" s="611">
        <v>0</v>
      </c>
      <c r="T20" s="611">
        <v>0</v>
      </c>
      <c r="U20" s="619">
        <v>0</v>
      </c>
      <c r="V20" s="51"/>
    </row>
    <row r="21" spans="3:22" x14ac:dyDescent="0.25">
      <c r="C21" s="618" t="s">
        <v>347</v>
      </c>
      <c r="D21" s="611">
        <v>0</v>
      </c>
      <c r="E21" s="611">
        <v>0</v>
      </c>
      <c r="F21" s="611">
        <v>2.6460781360013397E-2</v>
      </c>
      <c r="G21" s="611">
        <v>0</v>
      </c>
      <c r="H21" s="611">
        <v>0.60214660944206022</v>
      </c>
      <c r="I21" s="611">
        <v>0</v>
      </c>
      <c r="J21" s="611">
        <v>1052.7157454545454</v>
      </c>
      <c r="K21" s="611">
        <v>465.75813055383361</v>
      </c>
      <c r="L21" s="611">
        <v>22.008134094799175</v>
      </c>
      <c r="M21" s="611">
        <v>0.79645795310786494</v>
      </c>
      <c r="N21" s="611">
        <v>6.0578717375904887</v>
      </c>
      <c r="O21" s="611">
        <v>1.0172956568090692</v>
      </c>
      <c r="P21" s="611">
        <v>0</v>
      </c>
      <c r="Q21" s="611">
        <v>6.4590957564387725</v>
      </c>
      <c r="R21" s="611">
        <v>-864.28749241822948</v>
      </c>
      <c r="S21" s="611">
        <v>0</v>
      </c>
      <c r="T21" s="611">
        <v>4.5921899999999996</v>
      </c>
      <c r="U21" s="619">
        <v>695.74603617969649</v>
      </c>
      <c r="V21" s="51"/>
    </row>
    <row r="22" spans="3:22" x14ac:dyDescent="0.25">
      <c r="C22" s="618" t="s">
        <v>348</v>
      </c>
      <c r="D22" s="611">
        <v>0</v>
      </c>
      <c r="E22" s="611">
        <v>0</v>
      </c>
      <c r="F22" s="611">
        <v>0</v>
      </c>
      <c r="G22" s="611">
        <v>0</v>
      </c>
      <c r="H22" s="611">
        <v>5.3370744167585134</v>
      </c>
      <c r="I22" s="611">
        <v>0</v>
      </c>
      <c r="J22" s="611">
        <v>0</v>
      </c>
      <c r="K22" s="611">
        <v>0</v>
      </c>
      <c r="L22" s="611">
        <v>40.001584612072278</v>
      </c>
      <c r="M22" s="611">
        <v>15.829824348668678</v>
      </c>
      <c r="N22" s="611">
        <v>0</v>
      </c>
      <c r="O22" s="611">
        <v>8.0204760078855504</v>
      </c>
      <c r="P22" s="611">
        <v>0</v>
      </c>
      <c r="Q22" s="611">
        <v>12.692069895401717</v>
      </c>
      <c r="R22" s="611">
        <v>0</v>
      </c>
      <c r="S22" s="611">
        <v>-76.859211816778</v>
      </c>
      <c r="T22" s="611">
        <v>0</v>
      </c>
      <c r="U22" s="619">
        <v>5.0218174640087341</v>
      </c>
      <c r="V22" s="51"/>
    </row>
    <row r="23" spans="3:22" x14ac:dyDescent="0.25">
      <c r="C23" s="618" t="s">
        <v>349</v>
      </c>
      <c r="D23" s="611">
        <v>0</v>
      </c>
      <c r="E23" s="611">
        <v>0</v>
      </c>
      <c r="F23" s="611">
        <v>0</v>
      </c>
      <c r="G23" s="611">
        <v>0</v>
      </c>
      <c r="H23" s="611">
        <v>0</v>
      </c>
      <c r="I23" s="611">
        <v>0</v>
      </c>
      <c r="J23" s="611">
        <v>0</v>
      </c>
      <c r="K23" s="611">
        <v>0</v>
      </c>
      <c r="L23" s="611">
        <v>191.45873819345061</v>
      </c>
      <c r="M23" s="611">
        <v>0</v>
      </c>
      <c r="N23" s="611">
        <v>0</v>
      </c>
      <c r="O23" s="611">
        <v>-105.30230600639786</v>
      </c>
      <c r="P23" s="611">
        <v>0</v>
      </c>
      <c r="Q23" s="611">
        <v>0</v>
      </c>
      <c r="R23" s="611">
        <v>0</v>
      </c>
      <c r="S23" s="611">
        <v>0</v>
      </c>
      <c r="T23" s="611">
        <v>0</v>
      </c>
      <c r="U23" s="619">
        <v>86.156432187052758</v>
      </c>
      <c r="V23" s="51"/>
    </row>
    <row r="24" spans="3:22" x14ac:dyDescent="0.25">
      <c r="C24" s="618" t="s">
        <v>350</v>
      </c>
      <c r="D24" s="611">
        <v>0</v>
      </c>
      <c r="E24" s="611">
        <v>0</v>
      </c>
      <c r="F24" s="611">
        <v>0</v>
      </c>
      <c r="G24" s="611">
        <v>0</v>
      </c>
      <c r="H24" s="611">
        <v>0</v>
      </c>
      <c r="I24" s="611">
        <v>-4.7895452148952451</v>
      </c>
      <c r="J24" s="611">
        <v>0</v>
      </c>
      <c r="K24" s="611">
        <v>0</v>
      </c>
      <c r="L24" s="611">
        <v>0</v>
      </c>
      <c r="M24" s="611">
        <v>0</v>
      </c>
      <c r="N24" s="611">
        <v>0</v>
      </c>
      <c r="O24" s="611">
        <v>0</v>
      </c>
      <c r="P24" s="611">
        <v>0</v>
      </c>
      <c r="Q24" s="611">
        <v>0</v>
      </c>
      <c r="R24" s="611">
        <v>0</v>
      </c>
      <c r="S24" s="611">
        <v>0</v>
      </c>
      <c r="T24" s="611">
        <v>6.4247824825814277</v>
      </c>
      <c r="U24" s="619">
        <v>1.6352372676861826</v>
      </c>
      <c r="V24" s="51"/>
    </row>
    <row r="25" spans="3:22" x14ac:dyDescent="0.25">
      <c r="C25" s="618" t="s">
        <v>72</v>
      </c>
      <c r="D25" s="611">
        <v>0</v>
      </c>
      <c r="E25" s="611">
        <v>196.4036879947414</v>
      </c>
      <c r="F25" s="611">
        <v>-194.44562503379805</v>
      </c>
      <c r="G25" s="611">
        <v>0</v>
      </c>
      <c r="H25" s="611">
        <v>0</v>
      </c>
      <c r="I25" s="611">
        <v>0</v>
      </c>
      <c r="J25" s="611">
        <v>0</v>
      </c>
      <c r="K25" s="611">
        <v>0</v>
      </c>
      <c r="L25" s="611">
        <v>0</v>
      </c>
      <c r="M25" s="611">
        <v>0</v>
      </c>
      <c r="N25" s="611">
        <v>0</v>
      </c>
      <c r="O25" s="611">
        <v>0</v>
      </c>
      <c r="P25" s="611">
        <v>0</v>
      </c>
      <c r="Q25" s="611">
        <v>0</v>
      </c>
      <c r="R25" s="611">
        <v>0</v>
      </c>
      <c r="S25" s="611">
        <v>0</v>
      </c>
      <c r="T25" s="611">
        <v>0</v>
      </c>
      <c r="U25" s="619">
        <v>1.9580629609433515</v>
      </c>
      <c r="V25" s="51"/>
    </row>
    <row r="26" spans="3:22" x14ac:dyDescent="0.25">
      <c r="C26" s="618" t="s">
        <v>351</v>
      </c>
      <c r="D26" s="611">
        <v>0</v>
      </c>
      <c r="E26" s="611">
        <v>0</v>
      </c>
      <c r="F26" s="611">
        <v>0</v>
      </c>
      <c r="G26" s="611">
        <v>0</v>
      </c>
      <c r="H26" s="611">
        <v>0</v>
      </c>
      <c r="I26" s="611">
        <v>0</v>
      </c>
      <c r="J26" s="611">
        <v>0</v>
      </c>
      <c r="K26" s="611">
        <v>0</v>
      </c>
      <c r="L26" s="611">
        <v>241.59832086320486</v>
      </c>
      <c r="M26" s="611">
        <v>0</v>
      </c>
      <c r="N26" s="611">
        <v>-132.87907647476266</v>
      </c>
      <c r="O26" s="611">
        <v>0</v>
      </c>
      <c r="P26" s="611">
        <v>0</v>
      </c>
      <c r="Q26" s="611">
        <v>0</v>
      </c>
      <c r="R26" s="611">
        <v>0</v>
      </c>
      <c r="S26" s="611">
        <v>0</v>
      </c>
      <c r="T26" s="611">
        <v>0</v>
      </c>
      <c r="U26" s="619">
        <v>108.71924438844221</v>
      </c>
      <c r="V26" s="51"/>
    </row>
    <row r="27" spans="3:22" x14ac:dyDescent="0.25">
      <c r="C27" s="618" t="s">
        <v>352</v>
      </c>
      <c r="D27" s="611">
        <v>0</v>
      </c>
      <c r="E27" s="611">
        <v>0</v>
      </c>
      <c r="F27" s="611">
        <v>0</v>
      </c>
      <c r="G27" s="611">
        <v>-27.150443830477386</v>
      </c>
      <c r="H27" s="611">
        <v>0</v>
      </c>
      <c r="I27" s="611">
        <v>0</v>
      </c>
      <c r="J27" s="611">
        <v>0</v>
      </c>
      <c r="K27" s="611">
        <v>0</v>
      </c>
      <c r="L27" s="611">
        <v>0</v>
      </c>
      <c r="M27" s="611">
        <v>0</v>
      </c>
      <c r="N27" s="611">
        <v>0</v>
      </c>
      <c r="O27" s="611">
        <v>0</v>
      </c>
      <c r="P27" s="611">
        <v>0</v>
      </c>
      <c r="Q27" s="611">
        <v>0</v>
      </c>
      <c r="R27" s="611">
        <v>0</v>
      </c>
      <c r="S27" s="611">
        <v>0</v>
      </c>
      <c r="T27" s="611">
        <v>35.330371623276704</v>
      </c>
      <c r="U27" s="619">
        <v>8.1799277927993188</v>
      </c>
      <c r="V27" s="51"/>
    </row>
    <row r="28" spans="3:22" x14ac:dyDescent="0.25">
      <c r="C28" s="618" t="s">
        <v>73</v>
      </c>
      <c r="D28" s="611">
        <v>0</v>
      </c>
      <c r="E28" s="611">
        <v>0</v>
      </c>
      <c r="F28" s="611">
        <v>0</v>
      </c>
      <c r="G28" s="611">
        <v>0</v>
      </c>
      <c r="H28" s="611">
        <v>0</v>
      </c>
      <c r="I28" s="611">
        <v>0</v>
      </c>
      <c r="J28" s="611">
        <v>0</v>
      </c>
      <c r="K28" s="611">
        <v>0</v>
      </c>
      <c r="L28" s="611">
        <v>0</v>
      </c>
      <c r="M28" s="611">
        <v>0</v>
      </c>
      <c r="N28" s="611">
        <v>0</v>
      </c>
      <c r="O28" s="611">
        <v>0</v>
      </c>
      <c r="P28" s="611">
        <v>0</v>
      </c>
      <c r="Q28" s="611">
        <v>0</v>
      </c>
      <c r="R28" s="611">
        <v>159.36955270130963</v>
      </c>
      <c r="S28" s="611">
        <v>0</v>
      </c>
      <c r="T28" s="611">
        <v>-110.84152390376084</v>
      </c>
      <c r="U28" s="619">
        <v>48.528028797548785</v>
      </c>
      <c r="V28" s="51"/>
    </row>
    <row r="29" spans="3:22" x14ac:dyDescent="0.25">
      <c r="C29" s="618" t="s">
        <v>353</v>
      </c>
      <c r="D29" s="611">
        <v>2.8675768359375002</v>
      </c>
      <c r="E29" s="611">
        <v>-6.865155901328059</v>
      </c>
      <c r="F29" s="611">
        <v>8.9495873677013247</v>
      </c>
      <c r="G29" s="611">
        <v>0</v>
      </c>
      <c r="H29" s="611">
        <v>0</v>
      </c>
      <c r="I29" s="611">
        <v>0</v>
      </c>
      <c r="J29" s="611">
        <v>0</v>
      </c>
      <c r="K29" s="611">
        <v>0</v>
      </c>
      <c r="L29" s="611">
        <v>0</v>
      </c>
      <c r="M29" s="611">
        <v>0</v>
      </c>
      <c r="N29" s="611">
        <v>0</v>
      </c>
      <c r="O29" s="611">
        <v>0</v>
      </c>
      <c r="P29" s="611">
        <v>0</v>
      </c>
      <c r="Q29" s="611">
        <v>0</v>
      </c>
      <c r="R29" s="611">
        <v>0</v>
      </c>
      <c r="S29" s="611">
        <v>0</v>
      </c>
      <c r="T29" s="611">
        <v>0</v>
      </c>
      <c r="U29" s="619">
        <v>4.9520083023107659</v>
      </c>
      <c r="V29" s="51"/>
    </row>
    <row r="30" spans="3:22" x14ac:dyDescent="0.25">
      <c r="C30" s="618" t="s">
        <v>75</v>
      </c>
      <c r="D30" s="611">
        <v>1.1151687695312502</v>
      </c>
      <c r="E30" s="611">
        <v>0</v>
      </c>
      <c r="F30" s="611">
        <v>6.7328106776803835</v>
      </c>
      <c r="G30" s="611">
        <v>0</v>
      </c>
      <c r="H30" s="611">
        <v>2.2924587532620087</v>
      </c>
      <c r="I30" s="611">
        <v>3.0296811717119062E-2</v>
      </c>
      <c r="J30" s="611">
        <v>0</v>
      </c>
      <c r="K30" s="611">
        <v>0</v>
      </c>
      <c r="L30" s="611">
        <v>0</v>
      </c>
      <c r="M30" s="611">
        <v>0</v>
      </c>
      <c r="N30" s="611">
        <v>0</v>
      </c>
      <c r="O30" s="611">
        <v>2.7267130545407157</v>
      </c>
      <c r="P30" s="611">
        <v>0</v>
      </c>
      <c r="Q30" s="611">
        <v>0</v>
      </c>
      <c r="R30" s="611">
        <v>65.383687298326777</v>
      </c>
      <c r="S30" s="611">
        <v>0</v>
      </c>
      <c r="T30" s="611">
        <v>0</v>
      </c>
      <c r="U30" s="619">
        <v>78.281135365058248</v>
      </c>
      <c r="V30" s="51"/>
    </row>
    <row r="31" spans="3:22" x14ac:dyDescent="0.25">
      <c r="C31" s="618" t="s">
        <v>76</v>
      </c>
      <c r="D31" s="611">
        <v>0</v>
      </c>
      <c r="E31" s="611">
        <v>0</v>
      </c>
      <c r="F31" s="611">
        <v>0</v>
      </c>
      <c r="G31" s="611">
        <v>0</v>
      </c>
      <c r="H31" s="611">
        <v>0.91536166001826569</v>
      </c>
      <c r="I31" s="611">
        <v>1.2097290661034349E-2</v>
      </c>
      <c r="J31" s="611">
        <v>0</v>
      </c>
      <c r="K31" s="611">
        <v>0</v>
      </c>
      <c r="L31" s="611">
        <v>0</v>
      </c>
      <c r="M31" s="611">
        <v>0</v>
      </c>
      <c r="N31" s="611">
        <v>0</v>
      </c>
      <c r="O31" s="611">
        <v>1.0887561594930915</v>
      </c>
      <c r="P31" s="611">
        <v>0</v>
      </c>
      <c r="Q31" s="611">
        <v>0</v>
      </c>
      <c r="R31" s="611">
        <v>64.317484130562704</v>
      </c>
      <c r="S31" s="611">
        <v>5.9606242061833807</v>
      </c>
      <c r="T31" s="611">
        <v>0</v>
      </c>
      <c r="U31" s="619">
        <v>72.294323446918483</v>
      </c>
      <c r="V31" s="51"/>
    </row>
    <row r="32" spans="3:22" x14ac:dyDescent="0.25">
      <c r="C32" s="614" t="s">
        <v>77</v>
      </c>
      <c r="D32" s="615">
        <v>3.9827456054687502</v>
      </c>
      <c r="E32" s="615">
        <v>189.53853209341335</v>
      </c>
      <c r="F32" s="615">
        <v>-178.73676620705632</v>
      </c>
      <c r="G32" s="615">
        <v>-27.150443830477386</v>
      </c>
      <c r="H32" s="615">
        <v>9.1470414394808479</v>
      </c>
      <c r="I32" s="615">
        <v>-4.7471511125170913</v>
      </c>
      <c r="J32" s="615">
        <v>1052.7157454545454</v>
      </c>
      <c r="K32" s="615">
        <v>465.75813055383361</v>
      </c>
      <c r="L32" s="615">
        <v>495.06677776352694</v>
      </c>
      <c r="M32" s="615">
        <v>16.626282301776545</v>
      </c>
      <c r="N32" s="615">
        <v>-126.82120473717217</v>
      </c>
      <c r="O32" s="615">
        <v>-92.449065127669442</v>
      </c>
      <c r="P32" s="615">
        <v>0</v>
      </c>
      <c r="Q32" s="615">
        <v>19.15116565184049</v>
      </c>
      <c r="R32" s="615">
        <v>-575.21676828803038</v>
      </c>
      <c r="S32" s="615">
        <v>-70.898587610594618</v>
      </c>
      <c r="T32" s="615">
        <v>-64.494179797902717</v>
      </c>
      <c r="U32" s="615">
        <v>1035.7261130214808</v>
      </c>
      <c r="V32" s="51"/>
    </row>
    <row r="33" spans="3:22" x14ac:dyDescent="0.25">
      <c r="C33" s="616"/>
      <c r="D33" s="617"/>
      <c r="E33" s="617"/>
      <c r="F33" s="617"/>
      <c r="G33" s="617"/>
      <c r="H33" s="623"/>
      <c r="I33" s="617"/>
      <c r="J33" s="617"/>
      <c r="K33" s="617"/>
      <c r="L33" s="617"/>
      <c r="M33" s="617"/>
      <c r="N33" s="617"/>
      <c r="O33" s="617"/>
      <c r="P33" s="617"/>
      <c r="Q33" s="617"/>
      <c r="R33" s="617"/>
      <c r="S33" s="617"/>
      <c r="T33" s="617"/>
      <c r="U33" s="617"/>
      <c r="V33" s="51"/>
    </row>
    <row r="34" spans="3:22" x14ac:dyDescent="0.25">
      <c r="C34" s="618" t="s">
        <v>78</v>
      </c>
      <c r="D34" s="611">
        <v>2.0940127617265829</v>
      </c>
      <c r="E34" s="611">
        <v>0</v>
      </c>
      <c r="F34" s="611">
        <v>3.9559881090060012</v>
      </c>
      <c r="G34" s="611">
        <v>0</v>
      </c>
      <c r="H34" s="611">
        <v>29.330369351366478</v>
      </c>
      <c r="I34" s="611">
        <v>0.38762602667004159</v>
      </c>
      <c r="J34" s="611">
        <v>0</v>
      </c>
      <c r="K34" s="611">
        <v>0</v>
      </c>
      <c r="L34" s="611">
        <v>22.502553570699096</v>
      </c>
      <c r="M34" s="611">
        <v>6.2799536188843161</v>
      </c>
      <c r="N34" s="611">
        <v>2.4575263222437633</v>
      </c>
      <c r="O34" s="611">
        <v>34.926617647556021</v>
      </c>
      <c r="P34" s="611">
        <v>15.884769531250001</v>
      </c>
      <c r="Q34" s="611">
        <v>8.2107689234467234E-4</v>
      </c>
      <c r="R34" s="611">
        <v>182.47691843600197</v>
      </c>
      <c r="S34" s="611">
        <v>21.072717059029664</v>
      </c>
      <c r="T34" s="611">
        <v>11.809244140624999</v>
      </c>
      <c r="U34" s="619">
        <v>333.17911765195134</v>
      </c>
      <c r="V34" s="51"/>
    </row>
    <row r="35" spans="3:22" x14ac:dyDescent="0.25">
      <c r="C35" s="618" t="s">
        <v>79</v>
      </c>
      <c r="D35" s="611">
        <v>0</v>
      </c>
      <c r="E35" s="611">
        <v>0</v>
      </c>
      <c r="F35" s="611">
        <v>30.895911025222354</v>
      </c>
      <c r="G35" s="611">
        <v>2.274686269460287</v>
      </c>
      <c r="H35" s="611">
        <v>3.5299320203269446</v>
      </c>
      <c r="I35" s="611">
        <v>4.665108396907857E-2</v>
      </c>
      <c r="J35" s="611">
        <v>0</v>
      </c>
      <c r="K35" s="611">
        <v>0</v>
      </c>
      <c r="L35" s="611">
        <v>0</v>
      </c>
      <c r="M35" s="611">
        <v>0</v>
      </c>
      <c r="N35" s="611">
        <v>63.386114552424544</v>
      </c>
      <c r="O35" s="611">
        <v>4.1985975572170711</v>
      </c>
      <c r="P35" s="611">
        <v>0</v>
      </c>
      <c r="Q35" s="611">
        <v>0</v>
      </c>
      <c r="R35" s="611">
        <v>104.74847060439184</v>
      </c>
      <c r="S35" s="611">
        <v>0</v>
      </c>
      <c r="T35" s="611">
        <v>5.8458763044597228</v>
      </c>
      <c r="U35" s="619">
        <v>214.92623941747186</v>
      </c>
      <c r="V35" s="51"/>
    </row>
    <row r="36" spans="3:22" x14ac:dyDescent="0.25">
      <c r="C36" s="618" t="s">
        <v>80</v>
      </c>
      <c r="D36" s="611">
        <v>0</v>
      </c>
      <c r="E36" s="611">
        <v>0</v>
      </c>
      <c r="F36" s="611">
        <v>0.59201883962556068</v>
      </c>
      <c r="G36" s="611">
        <v>0</v>
      </c>
      <c r="H36" s="611">
        <v>22.382154385721119</v>
      </c>
      <c r="I36" s="611">
        <v>0.29579939716812054</v>
      </c>
      <c r="J36" s="611">
        <v>0</v>
      </c>
      <c r="K36" s="611">
        <v>0</v>
      </c>
      <c r="L36" s="611">
        <v>34.946060817665668</v>
      </c>
      <c r="M36" s="611">
        <v>0</v>
      </c>
      <c r="N36" s="611">
        <v>0</v>
      </c>
      <c r="O36" s="611">
        <v>26.621945745130851</v>
      </c>
      <c r="P36" s="611">
        <v>88.854082911840962</v>
      </c>
      <c r="Q36" s="611">
        <v>2.8827394727298632</v>
      </c>
      <c r="R36" s="611">
        <v>141.78538761833326</v>
      </c>
      <c r="S36" s="611">
        <v>31.439973902026821</v>
      </c>
      <c r="T36" s="611">
        <v>0</v>
      </c>
      <c r="U36" s="619">
        <v>349.80016309024222</v>
      </c>
      <c r="V36" s="51"/>
    </row>
    <row r="37" spans="3:22" x14ac:dyDescent="0.25">
      <c r="C37" s="618" t="s">
        <v>81</v>
      </c>
      <c r="D37" s="611">
        <v>0</v>
      </c>
      <c r="E37" s="611">
        <v>0</v>
      </c>
      <c r="F37" s="611">
        <v>0.50163969931792984</v>
      </c>
      <c r="G37" s="611">
        <v>0</v>
      </c>
      <c r="H37" s="611">
        <v>11.328071812522083</v>
      </c>
      <c r="I37" s="611">
        <v>0.14971020016549011</v>
      </c>
      <c r="J37" s="611">
        <v>0</v>
      </c>
      <c r="K37" s="611">
        <v>0</v>
      </c>
      <c r="L37" s="611">
        <v>0.51600000000000001</v>
      </c>
      <c r="M37" s="611">
        <v>0</v>
      </c>
      <c r="N37" s="611">
        <v>0</v>
      </c>
      <c r="O37" s="611">
        <v>13.47391801489411</v>
      </c>
      <c r="P37" s="611">
        <v>49.682472922334576</v>
      </c>
      <c r="Q37" s="611">
        <v>3.5893781498747486</v>
      </c>
      <c r="R37" s="611">
        <v>110.38577748795484</v>
      </c>
      <c r="S37" s="611">
        <v>18.385896649538125</v>
      </c>
      <c r="T37" s="611">
        <v>0</v>
      </c>
      <c r="U37" s="619">
        <v>208.01286493660191</v>
      </c>
      <c r="V37" s="51"/>
    </row>
    <row r="38" spans="3:22" x14ac:dyDescent="0.25">
      <c r="C38" s="618" t="s">
        <v>82</v>
      </c>
      <c r="D38" s="611">
        <v>0</v>
      </c>
      <c r="E38" s="611">
        <v>0</v>
      </c>
      <c r="F38" s="611">
        <v>6.290689981784416</v>
      </c>
      <c r="G38" s="611">
        <v>0</v>
      </c>
      <c r="H38" s="611">
        <v>0.67613614691918322</v>
      </c>
      <c r="I38" s="611">
        <v>8.935720003337224E-3</v>
      </c>
      <c r="J38" s="611">
        <v>0</v>
      </c>
      <c r="K38" s="611">
        <v>0</v>
      </c>
      <c r="L38" s="611">
        <v>3.3</v>
      </c>
      <c r="M38" s="611">
        <v>0</v>
      </c>
      <c r="N38" s="611">
        <v>17.770228080870815</v>
      </c>
      <c r="O38" s="611">
        <v>0.8042148003003502</v>
      </c>
      <c r="P38" s="611">
        <v>1.1499999999999999</v>
      </c>
      <c r="Q38" s="611">
        <v>1.5666563685107562</v>
      </c>
      <c r="R38" s="611">
        <v>6.9620725229849114</v>
      </c>
      <c r="S38" s="611">
        <v>0</v>
      </c>
      <c r="T38" s="611">
        <v>0.62062656029870245</v>
      </c>
      <c r="U38" s="619">
        <v>39.14956018167247</v>
      </c>
      <c r="V38" s="51"/>
    </row>
    <row r="39" spans="3:22" x14ac:dyDescent="0.25">
      <c r="C39" s="618" t="s">
        <v>354</v>
      </c>
      <c r="D39" s="611">
        <v>0</v>
      </c>
      <c r="E39" s="611">
        <v>0</v>
      </c>
      <c r="F39" s="611">
        <v>0</v>
      </c>
      <c r="G39" s="611">
        <v>0</v>
      </c>
      <c r="H39" s="611">
        <v>0</v>
      </c>
      <c r="I39" s="611">
        <v>0</v>
      </c>
      <c r="J39" s="611">
        <v>0</v>
      </c>
      <c r="K39" s="611">
        <v>0</v>
      </c>
      <c r="L39" s="611">
        <v>0</v>
      </c>
      <c r="M39" s="611">
        <v>0</v>
      </c>
      <c r="N39" s="611">
        <v>0</v>
      </c>
      <c r="O39" s="611">
        <v>0</v>
      </c>
      <c r="P39" s="611">
        <v>0</v>
      </c>
      <c r="Q39" s="611">
        <v>0</v>
      </c>
      <c r="R39" s="611">
        <v>4.7640000000000002</v>
      </c>
      <c r="S39" s="611">
        <v>0</v>
      </c>
      <c r="T39" s="611">
        <v>0</v>
      </c>
      <c r="U39" s="619">
        <v>4.7640000000000002</v>
      </c>
      <c r="V39" s="51"/>
    </row>
    <row r="40" spans="3:22" x14ac:dyDescent="0.25">
      <c r="C40" s="614" t="s">
        <v>83</v>
      </c>
      <c r="D40" s="615">
        <v>2.0940127617265829</v>
      </c>
      <c r="E40" s="615">
        <v>0</v>
      </c>
      <c r="F40" s="615">
        <v>42.236247654956259</v>
      </c>
      <c r="G40" s="615">
        <v>2.274686269460287</v>
      </c>
      <c r="H40" s="615">
        <v>67.246663716855807</v>
      </c>
      <c r="I40" s="615">
        <v>0.88872242797606793</v>
      </c>
      <c r="J40" s="615">
        <v>0</v>
      </c>
      <c r="K40" s="615">
        <v>0</v>
      </c>
      <c r="L40" s="615">
        <v>61.264614388364755</v>
      </c>
      <c r="M40" s="615">
        <v>6.2799536188843161</v>
      </c>
      <c r="N40" s="615">
        <v>83.613868955539118</v>
      </c>
      <c r="O40" s="615">
        <v>80.025293765098397</v>
      </c>
      <c r="P40" s="615">
        <v>155.57132536542554</v>
      </c>
      <c r="Q40" s="615">
        <v>8.0395950680077135</v>
      </c>
      <c r="R40" s="615">
        <v>551.12262666966683</v>
      </c>
      <c r="S40" s="615">
        <v>70.898587610594603</v>
      </c>
      <c r="T40" s="615">
        <v>18.275747005383426</v>
      </c>
      <c r="U40" s="615">
        <v>1149.8319452779399</v>
      </c>
      <c r="V40" s="51"/>
    </row>
    <row r="41" spans="3:22" x14ac:dyDescent="0.25">
      <c r="C41" s="610" t="s">
        <v>84</v>
      </c>
      <c r="D41" s="611">
        <v>0</v>
      </c>
      <c r="E41" s="611">
        <v>0</v>
      </c>
      <c r="F41" s="611">
        <v>70.526185031804687</v>
      </c>
      <c r="G41" s="611">
        <v>2.3546975295224146</v>
      </c>
      <c r="H41" s="611">
        <v>7.1814532260043631</v>
      </c>
      <c r="I41" s="611">
        <v>0</v>
      </c>
      <c r="J41" s="611">
        <v>0</v>
      </c>
      <c r="K41" s="611">
        <v>0</v>
      </c>
      <c r="L41" s="611">
        <v>0.42109898462761541</v>
      </c>
      <c r="M41" s="611">
        <v>0</v>
      </c>
      <c r="N41" s="611">
        <v>33.896224635717942</v>
      </c>
      <c r="O41" s="611">
        <v>10.020700945523032</v>
      </c>
      <c r="P41" s="611">
        <v>0</v>
      </c>
      <c r="Q41" s="611">
        <v>0</v>
      </c>
      <c r="R41" s="611">
        <v>0</v>
      </c>
      <c r="S41" s="611">
        <v>0</v>
      </c>
      <c r="T41" s="611">
        <v>40.523061894297456</v>
      </c>
      <c r="U41" s="619">
        <v>164.92342224749751</v>
      </c>
      <c r="V41" s="51"/>
    </row>
    <row r="42" spans="3:22" x14ac:dyDescent="0.25">
      <c r="C42" s="614" t="s">
        <v>85</v>
      </c>
      <c r="D42" s="615">
        <v>2.0940127617265829</v>
      </c>
      <c r="E42" s="615">
        <v>0</v>
      </c>
      <c r="F42" s="615">
        <v>112.76243268676095</v>
      </c>
      <c r="G42" s="615">
        <v>4.6293837989827011</v>
      </c>
      <c r="H42" s="615">
        <v>74.428116942860171</v>
      </c>
      <c r="I42" s="615">
        <v>0.88872242797606793</v>
      </c>
      <c r="J42" s="615">
        <v>0</v>
      </c>
      <c r="K42" s="615">
        <v>0</v>
      </c>
      <c r="L42" s="615">
        <v>61.685713372992367</v>
      </c>
      <c r="M42" s="615">
        <v>6.2799536188843161</v>
      </c>
      <c r="N42" s="615">
        <v>117.51009359125706</v>
      </c>
      <c r="O42" s="615">
        <v>90.045994710621429</v>
      </c>
      <c r="P42" s="615">
        <v>155.57132536542554</v>
      </c>
      <c r="Q42" s="615">
        <v>8.0395950680077135</v>
      </c>
      <c r="R42" s="615">
        <v>551.12262666966683</v>
      </c>
      <c r="S42" s="615">
        <v>70.898587610594603</v>
      </c>
      <c r="T42" s="615">
        <v>58.798808899680878</v>
      </c>
      <c r="U42" s="615">
        <v>1314.7553675254374</v>
      </c>
      <c r="V42" s="51"/>
    </row>
    <row r="43" spans="3:22" x14ac:dyDescent="0.25">
      <c r="C43" s="51"/>
      <c r="D43" s="67">
        <v>0</v>
      </c>
      <c r="E43" s="67">
        <v>0</v>
      </c>
      <c r="F43" s="67">
        <v>0</v>
      </c>
      <c r="G43" s="67">
        <v>0</v>
      </c>
      <c r="H43" s="67">
        <v>0</v>
      </c>
      <c r="I43" s="67">
        <v>0</v>
      </c>
      <c r="J43" s="67">
        <v>0</v>
      </c>
      <c r="K43" s="67">
        <v>0</v>
      </c>
      <c r="L43" s="67">
        <v>0</v>
      </c>
      <c r="M43" s="67">
        <v>-3.685817073417752E-4</v>
      </c>
      <c r="N43" s="67">
        <v>0</v>
      </c>
      <c r="O43" s="67">
        <v>-3.2862601528904634E-14</v>
      </c>
      <c r="P43" s="67">
        <v>0</v>
      </c>
      <c r="Q43" s="67">
        <v>0</v>
      </c>
      <c r="R43" s="67">
        <v>0</v>
      </c>
      <c r="S43" s="67">
        <v>-1.4210854715202004E-14</v>
      </c>
      <c r="T43" s="67">
        <v>-9.7699626167013776E-15</v>
      </c>
      <c r="U43" s="67">
        <v>-3.6858170733466977E-4</v>
      </c>
      <c r="V43" s="51"/>
    </row>
    <row r="44" spans="3:22" x14ac:dyDescent="0.25">
      <c r="C44" s="51"/>
      <c r="D44" s="51"/>
      <c r="E44" s="51"/>
      <c r="F44" s="51"/>
      <c r="G44" s="67"/>
      <c r="H44" s="51"/>
      <c r="I44" s="51"/>
      <c r="J44" s="51"/>
      <c r="K44" s="51"/>
      <c r="L44" s="51"/>
      <c r="M44" s="51"/>
      <c r="N44" s="51"/>
      <c r="O44" s="51"/>
      <c r="P44" s="51"/>
      <c r="Q44" s="51"/>
      <c r="R44" s="51"/>
      <c r="S44" s="51"/>
      <c r="T44" s="51"/>
      <c r="U44" s="51"/>
      <c r="V44" s="51"/>
    </row>
    <row r="45" spans="3:22" x14ac:dyDescent="0.25">
      <c r="C45" s="607" t="s">
        <v>361</v>
      </c>
      <c r="D45" s="606"/>
      <c r="E45" s="606"/>
      <c r="F45" s="606"/>
      <c r="G45" s="682"/>
      <c r="H45" s="606"/>
      <c r="I45" s="606"/>
      <c r="J45" s="606"/>
      <c r="K45" s="606"/>
      <c r="L45" s="606"/>
      <c r="M45" s="606"/>
      <c r="N45" s="606"/>
      <c r="O45" s="606"/>
      <c r="P45" s="606"/>
      <c r="Q45" s="606"/>
      <c r="R45" s="606"/>
      <c r="S45" s="606"/>
      <c r="T45" s="606"/>
      <c r="U45" s="606"/>
      <c r="V45" s="606"/>
    </row>
    <row r="46" spans="3:22" x14ac:dyDescent="0.25">
      <c r="C46" s="51"/>
      <c r="D46" s="51"/>
      <c r="E46" s="51"/>
      <c r="F46" s="51"/>
      <c r="G46" s="67"/>
      <c r="H46" s="51"/>
      <c r="I46" s="51"/>
      <c r="J46" s="51"/>
      <c r="K46" s="51"/>
      <c r="L46" s="51"/>
      <c r="M46" s="51"/>
      <c r="N46" s="51"/>
      <c r="O46" s="51"/>
      <c r="P46" s="51"/>
      <c r="Q46" s="51"/>
      <c r="R46" s="51"/>
      <c r="S46" s="51"/>
      <c r="T46" s="51"/>
      <c r="U46" s="51"/>
      <c r="V46" s="51"/>
    </row>
    <row r="47" spans="3:22" x14ac:dyDescent="0.25">
      <c r="C47" s="764" t="s">
        <v>128</v>
      </c>
      <c r="D47" s="753" t="s">
        <v>42</v>
      </c>
      <c r="E47" s="753" t="s">
        <v>52</v>
      </c>
      <c r="F47" s="753" t="s">
        <v>53</v>
      </c>
      <c r="G47" s="766" t="s">
        <v>482</v>
      </c>
      <c r="H47" s="753" t="s">
        <v>32</v>
      </c>
      <c r="I47" s="753" t="s">
        <v>483</v>
      </c>
      <c r="J47" s="753" t="s">
        <v>20</v>
      </c>
      <c r="K47" s="753" t="s">
        <v>55</v>
      </c>
      <c r="L47" s="761" t="s">
        <v>56</v>
      </c>
      <c r="M47" s="762"/>
      <c r="N47" s="762"/>
      <c r="O47" s="762"/>
      <c r="P47" s="762"/>
      <c r="Q47" s="763"/>
      <c r="R47" s="753" t="s">
        <v>57</v>
      </c>
      <c r="S47" s="753" t="s">
        <v>58</v>
      </c>
      <c r="T47" s="753" t="s">
        <v>31</v>
      </c>
      <c r="U47" s="753" t="s">
        <v>10</v>
      </c>
      <c r="V47" s="51"/>
    </row>
    <row r="48" spans="3:22" ht="36" x14ac:dyDescent="0.25">
      <c r="C48" s="765"/>
      <c r="D48" s="754"/>
      <c r="E48" s="754"/>
      <c r="F48" s="754"/>
      <c r="G48" s="767"/>
      <c r="H48" s="754"/>
      <c r="I48" s="754"/>
      <c r="J48" s="754"/>
      <c r="K48" s="754"/>
      <c r="L48" s="608" t="s">
        <v>335</v>
      </c>
      <c r="M48" s="608" t="s">
        <v>40</v>
      </c>
      <c r="N48" s="608" t="s">
        <v>343</v>
      </c>
      <c r="O48" s="608" t="s">
        <v>344</v>
      </c>
      <c r="P48" s="609" t="s">
        <v>345</v>
      </c>
      <c r="Q48" s="608" t="s">
        <v>346</v>
      </c>
      <c r="R48" s="754"/>
      <c r="S48" s="754"/>
      <c r="T48" s="754"/>
      <c r="U48" s="754"/>
      <c r="V48" s="51"/>
    </row>
    <row r="49" spans="3:22" x14ac:dyDescent="0.25">
      <c r="C49" s="610" t="s">
        <v>59</v>
      </c>
      <c r="D49" s="611">
        <v>0</v>
      </c>
      <c r="E49" s="611">
        <v>0</v>
      </c>
      <c r="F49" s="611">
        <v>0</v>
      </c>
      <c r="G49" s="611">
        <v>0</v>
      </c>
      <c r="H49" s="611">
        <v>0</v>
      </c>
      <c r="I49" s="611">
        <v>0</v>
      </c>
      <c r="J49" s="612">
        <v>971.10439999999994</v>
      </c>
      <c r="K49" s="612">
        <v>503.30122823446823</v>
      </c>
      <c r="L49" s="612">
        <v>455.14148237245831</v>
      </c>
      <c r="M49" s="612">
        <v>20.793873035909879</v>
      </c>
      <c r="N49" s="611">
        <v>1.6797912871987437</v>
      </c>
      <c r="O49" s="611">
        <v>0.17065445399605614</v>
      </c>
      <c r="P49" s="612">
        <v>171.08209770143009</v>
      </c>
      <c r="Q49" s="612">
        <v>25.726769025027945</v>
      </c>
      <c r="R49" s="611">
        <v>0</v>
      </c>
      <c r="S49" s="611">
        <v>0</v>
      </c>
      <c r="T49" s="611">
        <v>0</v>
      </c>
      <c r="U49" s="613">
        <v>2149.0002961104892</v>
      </c>
      <c r="V49" s="51"/>
    </row>
    <row r="50" spans="3:22" x14ac:dyDescent="0.25">
      <c r="C50" s="610" t="s">
        <v>60</v>
      </c>
      <c r="D50" s="611">
        <v>1.6567330370836562</v>
      </c>
      <c r="E50" s="611">
        <v>156.10342406212303</v>
      </c>
      <c r="F50" s="611">
        <v>2.9590354993625017</v>
      </c>
      <c r="G50" s="611">
        <v>0</v>
      </c>
      <c r="H50" s="611">
        <v>54.539197305320002</v>
      </c>
      <c r="I50" s="611">
        <v>0</v>
      </c>
      <c r="J50" s="611">
        <v>0</v>
      </c>
      <c r="K50" s="611">
        <v>0</v>
      </c>
      <c r="L50" s="611">
        <v>4.8125993033158778</v>
      </c>
      <c r="M50" s="611">
        <v>0</v>
      </c>
      <c r="N50" s="611">
        <v>6.2295354537228107</v>
      </c>
      <c r="O50" s="611">
        <v>0</v>
      </c>
      <c r="P50" s="611">
        <v>0</v>
      </c>
      <c r="Q50" s="611">
        <v>0</v>
      </c>
      <c r="R50" s="611">
        <v>12.737834844238364</v>
      </c>
      <c r="S50" s="611">
        <v>0</v>
      </c>
      <c r="T50" s="611">
        <v>0</v>
      </c>
      <c r="U50" s="613">
        <v>239.03835950516623</v>
      </c>
      <c r="V50" s="51"/>
    </row>
    <row r="51" spans="3:22" x14ac:dyDescent="0.25">
      <c r="C51" s="610" t="s">
        <v>61</v>
      </c>
      <c r="D51" s="611">
        <v>0</v>
      </c>
      <c r="E51" s="611">
        <v>0</v>
      </c>
      <c r="F51" s="611">
        <v>-44.676300971263089</v>
      </c>
      <c r="G51" s="611">
        <v>-7.4420014649377606</v>
      </c>
      <c r="H51" s="611">
        <v>0</v>
      </c>
      <c r="I51" s="611">
        <v>0</v>
      </c>
      <c r="J51" s="611">
        <v>0</v>
      </c>
      <c r="K51" s="611">
        <v>0</v>
      </c>
      <c r="L51" s="611">
        <v>0</v>
      </c>
      <c r="M51" s="611">
        <v>0</v>
      </c>
      <c r="N51" s="611">
        <v>0</v>
      </c>
      <c r="O51" s="611">
        <v>0</v>
      </c>
      <c r="P51" s="611">
        <v>0</v>
      </c>
      <c r="Q51" s="611">
        <v>0</v>
      </c>
      <c r="R51" s="611">
        <v>0</v>
      </c>
      <c r="S51" s="611">
        <v>0</v>
      </c>
      <c r="T51" s="611">
        <v>0</v>
      </c>
      <c r="U51" s="613">
        <v>-52.11830243620085</v>
      </c>
      <c r="V51" s="51"/>
    </row>
    <row r="52" spans="3:22" x14ac:dyDescent="0.25">
      <c r="C52" s="610" t="s">
        <v>62</v>
      </c>
      <c r="D52" s="611">
        <v>0</v>
      </c>
      <c r="E52" s="611">
        <v>0</v>
      </c>
      <c r="F52" s="611">
        <v>-2.5439781787400757</v>
      </c>
      <c r="G52" s="611">
        <v>-5.1073400578201751</v>
      </c>
      <c r="H52" s="611">
        <v>0</v>
      </c>
      <c r="I52" s="611">
        <v>-4.025065184691706</v>
      </c>
      <c r="J52" s="611">
        <v>0</v>
      </c>
      <c r="K52" s="611">
        <v>0</v>
      </c>
      <c r="L52" s="611">
        <v>0</v>
      </c>
      <c r="M52" s="611">
        <v>0</v>
      </c>
      <c r="N52" s="611">
        <v>-1.4642875778969737</v>
      </c>
      <c r="O52" s="611">
        <v>-2.6833767897944703</v>
      </c>
      <c r="P52" s="611">
        <v>0</v>
      </c>
      <c r="Q52" s="611">
        <v>0</v>
      </c>
      <c r="R52" s="611">
        <v>0</v>
      </c>
      <c r="S52" s="611">
        <v>0</v>
      </c>
      <c r="T52" s="611">
        <v>-1.8096944583874461</v>
      </c>
      <c r="U52" s="613">
        <v>-17.633742247330847</v>
      </c>
      <c r="V52" s="51"/>
    </row>
    <row r="53" spans="3:22" x14ac:dyDescent="0.25">
      <c r="C53" s="610" t="s">
        <v>63</v>
      </c>
      <c r="D53" s="611">
        <v>0</v>
      </c>
      <c r="E53" s="611">
        <v>0</v>
      </c>
      <c r="F53" s="611">
        <v>-26.066537028283065</v>
      </c>
      <c r="G53" s="611">
        <v>-15.61159587816994</v>
      </c>
      <c r="H53" s="611">
        <v>0</v>
      </c>
      <c r="I53" s="611">
        <v>0</v>
      </c>
      <c r="J53" s="611">
        <v>0</v>
      </c>
      <c r="K53" s="611">
        <v>0</v>
      </c>
      <c r="L53" s="611">
        <v>0</v>
      </c>
      <c r="M53" s="611">
        <v>0</v>
      </c>
      <c r="N53" s="611">
        <v>-15.61159587816994</v>
      </c>
      <c r="O53" s="611">
        <v>0</v>
      </c>
      <c r="P53" s="611">
        <v>0</v>
      </c>
      <c r="Q53" s="611">
        <v>0</v>
      </c>
      <c r="R53" s="611">
        <v>0</v>
      </c>
      <c r="S53" s="611">
        <v>0</v>
      </c>
      <c r="T53" s="611">
        <v>-5.1590895167519655</v>
      </c>
      <c r="U53" s="613">
        <v>-62.448818301374899</v>
      </c>
      <c r="V53" s="51"/>
    </row>
    <row r="54" spans="3:22" x14ac:dyDescent="0.25">
      <c r="C54" s="610" t="s">
        <v>64</v>
      </c>
      <c r="D54" s="611">
        <v>0</v>
      </c>
      <c r="E54" s="611">
        <v>0</v>
      </c>
      <c r="F54" s="611">
        <v>0</v>
      </c>
      <c r="G54" s="611">
        <v>0</v>
      </c>
      <c r="H54" s="611">
        <v>0</v>
      </c>
      <c r="I54" s="611">
        <v>0</v>
      </c>
      <c r="J54" s="611">
        <v>0</v>
      </c>
      <c r="K54" s="611">
        <v>0</v>
      </c>
      <c r="L54" s="611">
        <v>0</v>
      </c>
      <c r="M54" s="611">
        <v>0</v>
      </c>
      <c r="N54" s="611">
        <v>0</v>
      </c>
      <c r="O54" s="611">
        <v>0</v>
      </c>
      <c r="P54" s="611">
        <v>0</v>
      </c>
      <c r="Q54" s="611">
        <v>0</v>
      </c>
      <c r="R54" s="611">
        <v>0</v>
      </c>
      <c r="S54" s="611">
        <v>0</v>
      </c>
      <c r="T54" s="611">
        <v>0</v>
      </c>
      <c r="U54" s="613">
        <v>0</v>
      </c>
      <c r="V54" s="51"/>
    </row>
    <row r="55" spans="3:22" x14ac:dyDescent="0.25">
      <c r="C55" s="614" t="s">
        <v>65</v>
      </c>
      <c r="D55" s="615">
        <v>1.6567330370836562</v>
      </c>
      <c r="E55" s="615">
        <v>156.10342406212303</v>
      </c>
      <c r="F55" s="615">
        <v>-70.32778067892373</v>
      </c>
      <c r="G55" s="615">
        <v>-28.160937400927875</v>
      </c>
      <c r="H55" s="615">
        <v>54.539197305320002</v>
      </c>
      <c r="I55" s="615">
        <v>-4.025065184691706</v>
      </c>
      <c r="J55" s="615">
        <v>971.10439999999994</v>
      </c>
      <c r="K55" s="615">
        <v>503.30122823446823</v>
      </c>
      <c r="L55" s="615">
        <v>459.9540816757742</v>
      </c>
      <c r="M55" s="615">
        <v>20.793873035909879</v>
      </c>
      <c r="N55" s="615">
        <v>-9.166556715145358</v>
      </c>
      <c r="O55" s="615">
        <v>-2.5127223357984141</v>
      </c>
      <c r="P55" s="615">
        <v>171.08209770143009</v>
      </c>
      <c r="Q55" s="615">
        <v>25.726769025027945</v>
      </c>
      <c r="R55" s="615">
        <v>12.737834844238364</v>
      </c>
      <c r="S55" s="615">
        <v>0</v>
      </c>
      <c r="T55" s="615">
        <v>-6.9687839751394112</v>
      </c>
      <c r="U55" s="615">
        <v>2255.8377926307489</v>
      </c>
      <c r="V55" s="51"/>
    </row>
    <row r="56" spans="3:22" x14ac:dyDescent="0.25">
      <c r="C56" s="616"/>
      <c r="D56" s="617"/>
      <c r="E56" s="617"/>
      <c r="F56" s="617"/>
      <c r="G56" s="617"/>
      <c r="H56" s="623"/>
      <c r="I56" s="617"/>
      <c r="J56" s="617"/>
      <c r="K56" s="617"/>
      <c r="L56" s="617"/>
      <c r="M56" s="617"/>
      <c r="N56" s="617"/>
      <c r="O56" s="617"/>
      <c r="P56" s="617"/>
      <c r="Q56" s="617"/>
      <c r="R56" s="617"/>
      <c r="S56" s="617"/>
      <c r="T56" s="617"/>
      <c r="U56" s="617"/>
      <c r="V56" s="51"/>
    </row>
    <row r="57" spans="3:22" x14ac:dyDescent="0.25">
      <c r="C57" s="618" t="s">
        <v>67</v>
      </c>
      <c r="D57" s="611">
        <v>0</v>
      </c>
      <c r="E57" s="611">
        <v>0</v>
      </c>
      <c r="F57" s="611">
        <v>0</v>
      </c>
      <c r="G57" s="611">
        <v>0</v>
      </c>
      <c r="H57" s="611">
        <v>0</v>
      </c>
      <c r="I57" s="611">
        <v>0</v>
      </c>
      <c r="J57" s="611">
        <v>0</v>
      </c>
      <c r="K57" s="611">
        <v>0</v>
      </c>
      <c r="L57" s="611">
        <v>0</v>
      </c>
      <c r="M57" s="611">
        <v>0</v>
      </c>
      <c r="N57" s="611">
        <v>0</v>
      </c>
      <c r="O57" s="611">
        <v>0</v>
      </c>
      <c r="P57" s="611">
        <v>0</v>
      </c>
      <c r="Q57" s="611">
        <v>0</v>
      </c>
      <c r="R57" s="611">
        <v>0</v>
      </c>
      <c r="S57" s="611">
        <v>0</v>
      </c>
      <c r="T57" s="611">
        <v>0</v>
      </c>
      <c r="U57" s="619">
        <v>0</v>
      </c>
      <c r="V57" s="51"/>
    </row>
    <row r="58" spans="3:22" x14ac:dyDescent="0.25">
      <c r="C58" s="618" t="s">
        <v>347</v>
      </c>
      <c r="D58" s="611">
        <v>0</v>
      </c>
      <c r="E58" s="611">
        <v>0</v>
      </c>
      <c r="F58" s="611">
        <v>0</v>
      </c>
      <c r="G58" s="611">
        <v>0</v>
      </c>
      <c r="H58" s="611">
        <v>0.44776646808510651</v>
      </c>
      <c r="I58" s="611">
        <v>0</v>
      </c>
      <c r="J58" s="611">
        <v>971.10439999999994</v>
      </c>
      <c r="K58" s="611">
        <v>503.30122823446823</v>
      </c>
      <c r="L58" s="611">
        <v>22.611661930027488</v>
      </c>
      <c r="M58" s="611">
        <v>0.61851517484510588</v>
      </c>
      <c r="N58" s="611">
        <v>6.3451610040287907</v>
      </c>
      <c r="O58" s="611">
        <v>1.1589812304406033</v>
      </c>
      <c r="P58" s="611">
        <v>0</v>
      </c>
      <c r="Q58" s="611">
        <v>6.4766550958451852</v>
      </c>
      <c r="R58" s="611">
        <v>-877.28387729883798</v>
      </c>
      <c r="S58" s="611">
        <v>0</v>
      </c>
      <c r="T58" s="611">
        <v>5.1921899999999992</v>
      </c>
      <c r="U58" s="619">
        <v>639.97268183890242</v>
      </c>
      <c r="V58" s="51"/>
    </row>
    <row r="59" spans="3:22" x14ac:dyDescent="0.25">
      <c r="C59" s="618" t="s">
        <v>348</v>
      </c>
      <c r="D59" s="611">
        <v>0</v>
      </c>
      <c r="E59" s="611">
        <v>0</v>
      </c>
      <c r="F59" s="611">
        <v>0</v>
      </c>
      <c r="G59" s="611">
        <v>0</v>
      </c>
      <c r="H59" s="611">
        <v>3.2640954387883037</v>
      </c>
      <c r="I59" s="611">
        <v>0</v>
      </c>
      <c r="J59" s="611">
        <v>0</v>
      </c>
      <c r="K59" s="611">
        <v>0</v>
      </c>
      <c r="L59" s="611">
        <v>34.874750545465744</v>
      </c>
      <c r="M59" s="611">
        <v>14.450307287843678</v>
      </c>
      <c r="N59" s="611">
        <v>0</v>
      </c>
      <c r="O59" s="611">
        <v>7.6313341325616637</v>
      </c>
      <c r="P59" s="611">
        <v>0</v>
      </c>
      <c r="Q59" s="611">
        <v>11.247880766628024</v>
      </c>
      <c r="R59" s="611">
        <v>0</v>
      </c>
      <c r="S59" s="611">
        <v>-67.335306808549447</v>
      </c>
      <c r="T59" s="611">
        <v>0</v>
      </c>
      <c r="U59" s="619">
        <v>4.133061362737962</v>
      </c>
      <c r="V59" s="51"/>
    </row>
    <row r="60" spans="3:22" x14ac:dyDescent="0.25">
      <c r="C60" s="618" t="s">
        <v>349</v>
      </c>
      <c r="D60" s="611">
        <v>0</v>
      </c>
      <c r="E60" s="611">
        <v>0</v>
      </c>
      <c r="F60" s="611">
        <v>0</v>
      </c>
      <c r="G60" s="611">
        <v>0</v>
      </c>
      <c r="H60" s="611">
        <v>0</v>
      </c>
      <c r="I60" s="611">
        <v>0</v>
      </c>
      <c r="J60" s="611">
        <v>0</v>
      </c>
      <c r="K60" s="611">
        <v>0</v>
      </c>
      <c r="L60" s="611">
        <v>99.886824202456438</v>
      </c>
      <c r="M60" s="611">
        <v>0</v>
      </c>
      <c r="N60" s="611">
        <v>0</v>
      </c>
      <c r="O60" s="611">
        <v>-91.582944375151399</v>
      </c>
      <c r="P60" s="611">
        <v>0</v>
      </c>
      <c r="Q60" s="611">
        <v>0</v>
      </c>
      <c r="R60" s="611">
        <v>0</v>
      </c>
      <c r="S60" s="611">
        <v>0</v>
      </c>
      <c r="T60" s="611">
        <v>0</v>
      </c>
      <c r="U60" s="619">
        <v>8.3038798273050389</v>
      </c>
      <c r="V60" s="51"/>
    </row>
    <row r="61" spans="3:22" x14ac:dyDescent="0.25">
      <c r="C61" s="618" t="s">
        <v>350</v>
      </c>
      <c r="D61" s="611">
        <v>0</v>
      </c>
      <c r="E61" s="611">
        <v>0</v>
      </c>
      <c r="F61" s="611">
        <v>0</v>
      </c>
      <c r="G61" s="611">
        <v>0</v>
      </c>
      <c r="H61" s="611">
        <v>0</v>
      </c>
      <c r="I61" s="611">
        <v>-5.1740904166094976</v>
      </c>
      <c r="J61" s="611">
        <v>0</v>
      </c>
      <c r="K61" s="611">
        <v>0</v>
      </c>
      <c r="L61" s="611">
        <v>0</v>
      </c>
      <c r="M61" s="611">
        <v>0</v>
      </c>
      <c r="N61" s="611">
        <v>0</v>
      </c>
      <c r="O61" s="611">
        <v>0</v>
      </c>
      <c r="P61" s="611">
        <v>0</v>
      </c>
      <c r="Q61" s="611">
        <v>0</v>
      </c>
      <c r="R61" s="611">
        <v>0</v>
      </c>
      <c r="S61" s="611">
        <v>0</v>
      </c>
      <c r="T61" s="611">
        <v>7.1912846116196816</v>
      </c>
      <c r="U61" s="619">
        <v>2.0171941950101839</v>
      </c>
      <c r="V61" s="51"/>
    </row>
    <row r="62" spans="3:22" x14ac:dyDescent="0.25">
      <c r="C62" s="618" t="s">
        <v>72</v>
      </c>
      <c r="D62" s="611">
        <v>0</v>
      </c>
      <c r="E62" s="611">
        <v>161.75289728424144</v>
      </c>
      <c r="F62" s="611">
        <v>-160.13983967974238</v>
      </c>
      <c r="G62" s="611">
        <v>0</v>
      </c>
      <c r="H62" s="611">
        <v>0</v>
      </c>
      <c r="I62" s="611">
        <v>0</v>
      </c>
      <c r="J62" s="611">
        <v>0</v>
      </c>
      <c r="K62" s="611">
        <v>0</v>
      </c>
      <c r="L62" s="611">
        <v>0</v>
      </c>
      <c r="M62" s="611">
        <v>0</v>
      </c>
      <c r="N62" s="611">
        <v>0</v>
      </c>
      <c r="O62" s="611">
        <v>0</v>
      </c>
      <c r="P62" s="611">
        <v>0</v>
      </c>
      <c r="Q62" s="611">
        <v>0</v>
      </c>
      <c r="R62" s="611">
        <v>0</v>
      </c>
      <c r="S62" s="611">
        <v>0</v>
      </c>
      <c r="T62" s="611">
        <v>0</v>
      </c>
      <c r="U62" s="619">
        <v>1.6130576044990619</v>
      </c>
      <c r="V62" s="51"/>
    </row>
    <row r="63" spans="3:22" x14ac:dyDescent="0.25">
      <c r="C63" s="618" t="s">
        <v>351</v>
      </c>
      <c r="D63" s="611">
        <v>0</v>
      </c>
      <c r="E63" s="611">
        <v>0</v>
      </c>
      <c r="F63" s="611">
        <v>0</v>
      </c>
      <c r="G63" s="611">
        <v>0</v>
      </c>
      <c r="H63" s="611">
        <v>0</v>
      </c>
      <c r="I63" s="611">
        <v>0</v>
      </c>
      <c r="J63" s="611">
        <v>0</v>
      </c>
      <c r="K63" s="611">
        <v>0</v>
      </c>
      <c r="L63" s="611">
        <v>239.29378044744664</v>
      </c>
      <c r="M63" s="611">
        <v>0</v>
      </c>
      <c r="N63" s="611">
        <v>-131.61157924609566</v>
      </c>
      <c r="O63" s="611">
        <v>0</v>
      </c>
      <c r="P63" s="611">
        <v>0</v>
      </c>
      <c r="Q63" s="611">
        <v>0</v>
      </c>
      <c r="R63" s="611">
        <v>0</v>
      </c>
      <c r="S63" s="611">
        <v>0</v>
      </c>
      <c r="T63" s="611">
        <v>0</v>
      </c>
      <c r="U63" s="619">
        <v>107.68220120135098</v>
      </c>
      <c r="V63" s="51"/>
    </row>
    <row r="64" spans="3:22" x14ac:dyDescent="0.25">
      <c r="C64" s="618" t="s">
        <v>352</v>
      </c>
      <c r="D64" s="611">
        <v>0</v>
      </c>
      <c r="E64" s="611">
        <v>0</v>
      </c>
      <c r="F64" s="611">
        <v>0</v>
      </c>
      <c r="G64" s="611">
        <v>-33.473815441656178</v>
      </c>
      <c r="H64" s="611">
        <v>0</v>
      </c>
      <c r="I64" s="611">
        <v>0</v>
      </c>
      <c r="J64" s="611">
        <v>0</v>
      </c>
      <c r="K64" s="611">
        <v>0</v>
      </c>
      <c r="L64" s="611">
        <v>0</v>
      </c>
      <c r="M64" s="611">
        <v>0</v>
      </c>
      <c r="N64" s="611">
        <v>0</v>
      </c>
      <c r="O64" s="611">
        <v>0</v>
      </c>
      <c r="P64" s="611">
        <v>0</v>
      </c>
      <c r="Q64" s="611">
        <v>0</v>
      </c>
      <c r="R64" s="611">
        <v>0</v>
      </c>
      <c r="S64" s="611">
        <v>0</v>
      </c>
      <c r="T64" s="611">
        <v>43.527837875314049</v>
      </c>
      <c r="U64" s="619">
        <v>10.05402243365787</v>
      </c>
      <c r="V64" s="51"/>
    </row>
    <row r="65" spans="3:22" x14ac:dyDescent="0.25">
      <c r="C65" s="618" t="s">
        <v>73</v>
      </c>
      <c r="D65" s="611">
        <v>0</v>
      </c>
      <c r="E65" s="611">
        <v>0</v>
      </c>
      <c r="F65" s="611">
        <v>0</v>
      </c>
      <c r="G65" s="611">
        <v>0</v>
      </c>
      <c r="H65" s="611">
        <v>0</v>
      </c>
      <c r="I65" s="611">
        <v>0</v>
      </c>
      <c r="J65" s="611">
        <v>0</v>
      </c>
      <c r="K65" s="611">
        <v>0</v>
      </c>
      <c r="L65" s="611">
        <v>0</v>
      </c>
      <c r="M65" s="611">
        <v>0</v>
      </c>
      <c r="N65" s="611">
        <v>0</v>
      </c>
      <c r="O65" s="611">
        <v>0</v>
      </c>
      <c r="P65" s="611">
        <v>0</v>
      </c>
      <c r="Q65" s="611">
        <v>0</v>
      </c>
      <c r="R65" s="611">
        <v>186.09171546114462</v>
      </c>
      <c r="S65" s="611">
        <v>0</v>
      </c>
      <c r="T65" s="611">
        <v>-130.72943011145409</v>
      </c>
      <c r="U65" s="619">
        <v>55.362285349690524</v>
      </c>
      <c r="V65" s="51"/>
    </row>
    <row r="66" spans="3:22" x14ac:dyDescent="0.25">
      <c r="C66" s="618" t="s">
        <v>353</v>
      </c>
      <c r="D66" s="611">
        <v>0</v>
      </c>
      <c r="E66" s="611">
        <v>-5.6494732221184147</v>
      </c>
      <c r="F66" s="611">
        <v>7.3669989850431641</v>
      </c>
      <c r="G66" s="611">
        <v>0</v>
      </c>
      <c r="H66" s="611">
        <v>0</v>
      </c>
      <c r="I66" s="611">
        <v>0</v>
      </c>
      <c r="J66" s="611">
        <v>0</v>
      </c>
      <c r="K66" s="611">
        <v>0</v>
      </c>
      <c r="L66" s="611">
        <v>0</v>
      </c>
      <c r="M66" s="611">
        <v>0</v>
      </c>
      <c r="N66" s="611">
        <v>0</v>
      </c>
      <c r="O66" s="611">
        <v>0</v>
      </c>
      <c r="P66" s="611">
        <v>0</v>
      </c>
      <c r="Q66" s="611">
        <v>0</v>
      </c>
      <c r="R66" s="611">
        <v>0</v>
      </c>
      <c r="S66" s="611">
        <v>0</v>
      </c>
      <c r="T66" s="611">
        <v>0</v>
      </c>
      <c r="U66" s="619">
        <v>1.7175257629247493</v>
      </c>
      <c r="V66" s="51"/>
    </row>
    <row r="67" spans="3:22" x14ac:dyDescent="0.25">
      <c r="C67" s="618" t="s">
        <v>75</v>
      </c>
      <c r="D67" s="611">
        <v>0</v>
      </c>
      <c r="E67" s="611">
        <v>0</v>
      </c>
      <c r="F67" s="611">
        <v>5.5408288295361077</v>
      </c>
      <c r="G67" s="611">
        <v>0</v>
      </c>
      <c r="H67" s="611">
        <v>1.9377811160090992</v>
      </c>
      <c r="I67" s="611">
        <v>4.9686695282284594E-2</v>
      </c>
      <c r="J67" s="611">
        <v>0</v>
      </c>
      <c r="K67" s="611">
        <v>0</v>
      </c>
      <c r="L67" s="611">
        <v>0</v>
      </c>
      <c r="M67" s="611">
        <v>0</v>
      </c>
      <c r="N67" s="611">
        <v>0</v>
      </c>
      <c r="O67" s="611">
        <v>2.9812017169370755</v>
      </c>
      <c r="P67" s="611">
        <v>0</v>
      </c>
      <c r="Q67" s="611">
        <v>0</v>
      </c>
      <c r="R67" s="611">
        <v>65.428671005307493</v>
      </c>
      <c r="S67" s="611">
        <v>0</v>
      </c>
      <c r="T67" s="611">
        <v>0</v>
      </c>
      <c r="U67" s="619">
        <v>75.938169363072063</v>
      </c>
      <c r="V67" s="51"/>
    </row>
    <row r="68" spans="3:22" x14ac:dyDescent="0.25">
      <c r="C68" s="618" t="s">
        <v>76</v>
      </c>
      <c r="D68" s="611">
        <v>0</v>
      </c>
      <c r="E68" s="611">
        <v>0</v>
      </c>
      <c r="F68" s="611">
        <v>0</v>
      </c>
      <c r="G68" s="611">
        <v>0</v>
      </c>
      <c r="H68" s="611">
        <v>0.58858582439204721</v>
      </c>
      <c r="I68" s="611">
        <v>1.5091944215180697E-2</v>
      </c>
      <c r="J68" s="611">
        <v>0</v>
      </c>
      <c r="K68" s="611">
        <v>0</v>
      </c>
      <c r="L68" s="611">
        <v>0</v>
      </c>
      <c r="M68" s="611">
        <v>0</v>
      </c>
      <c r="N68" s="611">
        <v>0</v>
      </c>
      <c r="O68" s="611">
        <v>0.90551665291084182</v>
      </c>
      <c r="P68" s="611">
        <v>0</v>
      </c>
      <c r="Q68" s="611">
        <v>0</v>
      </c>
      <c r="R68" s="611">
        <v>68.128345316060717</v>
      </c>
      <c r="S68" s="611">
        <v>5.2226705636158801</v>
      </c>
      <c r="T68" s="611">
        <v>0</v>
      </c>
      <c r="U68" s="619">
        <v>74.86021030119467</v>
      </c>
      <c r="V68" s="51"/>
    </row>
    <row r="69" spans="3:22" x14ac:dyDescent="0.25">
      <c r="C69" s="614" t="s">
        <v>77</v>
      </c>
      <c r="D69" s="615">
        <v>0</v>
      </c>
      <c r="E69" s="615">
        <v>156.10342406212303</v>
      </c>
      <c r="F69" s="615">
        <v>-147.23201186516312</v>
      </c>
      <c r="G69" s="615">
        <v>-33.473815441656178</v>
      </c>
      <c r="H69" s="615">
        <v>6.2382288472745566</v>
      </c>
      <c r="I69" s="615">
        <v>-5.1093117771120324</v>
      </c>
      <c r="J69" s="615">
        <v>971.10439999999994</v>
      </c>
      <c r="K69" s="615">
        <v>503.30122823446823</v>
      </c>
      <c r="L69" s="615">
        <v>396.66701712539634</v>
      </c>
      <c r="M69" s="615">
        <v>15.068822462688784</v>
      </c>
      <c r="N69" s="615">
        <v>-125.26641824206686</v>
      </c>
      <c r="O69" s="615">
        <v>-78.905910642301208</v>
      </c>
      <c r="P69" s="615">
        <v>0</v>
      </c>
      <c r="Q69" s="615">
        <v>17.724535862473211</v>
      </c>
      <c r="R69" s="615">
        <v>-557.63514551632511</v>
      </c>
      <c r="S69" s="615">
        <v>-62.112636244933569</v>
      </c>
      <c r="T69" s="615">
        <v>-74.818117624520369</v>
      </c>
      <c r="U69" s="615">
        <v>981.65428924034563</v>
      </c>
      <c r="V69" s="51"/>
    </row>
    <row r="70" spans="3:22" x14ac:dyDescent="0.25">
      <c r="C70" s="616"/>
      <c r="D70" s="617"/>
      <c r="E70" s="617"/>
      <c r="F70" s="617"/>
      <c r="G70" s="617"/>
      <c r="H70" s="623"/>
      <c r="I70" s="617"/>
      <c r="J70" s="617"/>
      <c r="K70" s="617"/>
      <c r="L70" s="617"/>
      <c r="M70" s="617"/>
      <c r="N70" s="617"/>
      <c r="O70" s="617"/>
      <c r="P70" s="617"/>
      <c r="Q70" s="617"/>
      <c r="R70" s="617"/>
      <c r="S70" s="617"/>
      <c r="T70" s="617"/>
      <c r="U70" s="617"/>
      <c r="V70" s="51"/>
    </row>
    <row r="71" spans="3:22" x14ac:dyDescent="0.25">
      <c r="C71" s="618" t="s">
        <v>78</v>
      </c>
      <c r="D71" s="611">
        <v>1.6567330370836562</v>
      </c>
      <c r="E71" s="611">
        <v>0</v>
      </c>
      <c r="F71" s="611">
        <v>2.8599897491525303</v>
      </c>
      <c r="G71" s="611">
        <v>0</v>
      </c>
      <c r="H71" s="611">
        <v>23.2042782425182</v>
      </c>
      <c r="I71" s="611">
        <v>0.59498149339790252</v>
      </c>
      <c r="J71" s="611">
        <v>0</v>
      </c>
      <c r="K71" s="611">
        <v>0</v>
      </c>
      <c r="L71" s="611">
        <v>22.611451120736024</v>
      </c>
      <c r="M71" s="611">
        <v>5.7247037459588501</v>
      </c>
      <c r="N71" s="611">
        <v>2.4891014214733991</v>
      </c>
      <c r="O71" s="611">
        <v>35.740239810905898</v>
      </c>
      <c r="P71" s="611">
        <v>17.613589843749999</v>
      </c>
      <c r="Q71" s="611">
        <v>8.4299170840015686E-4</v>
      </c>
      <c r="R71" s="611">
        <v>187.94943106568476</v>
      </c>
      <c r="S71" s="611">
        <v>21.3497147946984</v>
      </c>
      <c r="T71" s="611">
        <v>13.7914765625</v>
      </c>
      <c r="U71" s="619">
        <v>335.58653387956804</v>
      </c>
      <c r="V71" s="51"/>
    </row>
    <row r="72" spans="3:22" x14ac:dyDescent="0.25">
      <c r="C72" s="618" t="s">
        <v>79</v>
      </c>
      <c r="D72" s="611">
        <v>0</v>
      </c>
      <c r="E72" s="611">
        <v>0</v>
      </c>
      <c r="F72" s="611">
        <v>7.0212023016086675</v>
      </c>
      <c r="G72" s="611">
        <v>2.7990026147409606</v>
      </c>
      <c r="H72" s="611">
        <v>3.0363171620819989</v>
      </c>
      <c r="I72" s="611">
        <v>7.7854286207230741E-2</v>
      </c>
      <c r="J72" s="611">
        <v>0</v>
      </c>
      <c r="K72" s="611">
        <v>0</v>
      </c>
      <c r="L72" s="611">
        <v>0</v>
      </c>
      <c r="M72" s="611">
        <v>0</v>
      </c>
      <c r="N72" s="611">
        <v>56.581202021290558</v>
      </c>
      <c r="O72" s="611">
        <v>4.6712571724338439</v>
      </c>
      <c r="P72" s="611">
        <v>0</v>
      </c>
      <c r="Q72" s="611">
        <v>0</v>
      </c>
      <c r="R72" s="611">
        <v>112.24073946586431</v>
      </c>
      <c r="S72" s="611">
        <v>0</v>
      </c>
      <c r="T72" s="611">
        <v>6.497399181335763</v>
      </c>
      <c r="U72" s="619">
        <v>192.92497420556333</v>
      </c>
      <c r="V72" s="51"/>
    </row>
    <row r="73" spans="3:22" x14ac:dyDescent="0.25">
      <c r="C73" s="618" t="s">
        <v>80</v>
      </c>
      <c r="D73" s="611">
        <v>0</v>
      </c>
      <c r="E73" s="611">
        <v>0</v>
      </c>
      <c r="F73" s="611">
        <v>0.52818257625892373</v>
      </c>
      <c r="G73" s="611">
        <v>0</v>
      </c>
      <c r="H73" s="611">
        <v>9.9272307301662774</v>
      </c>
      <c r="I73" s="611">
        <v>0.25454437769657123</v>
      </c>
      <c r="J73" s="611">
        <v>0</v>
      </c>
      <c r="K73" s="611">
        <v>0</v>
      </c>
      <c r="L73" s="611">
        <v>36.145280389625334</v>
      </c>
      <c r="M73" s="611">
        <v>0</v>
      </c>
      <c r="N73" s="611">
        <v>0</v>
      </c>
      <c r="O73" s="611">
        <v>15.272662661794273</v>
      </c>
      <c r="P73" s="611">
        <v>102.98149571768585</v>
      </c>
      <c r="Q73" s="611">
        <v>2.9888036499995505</v>
      </c>
      <c r="R73" s="611">
        <v>143.51715895688449</v>
      </c>
      <c r="S73" s="611">
        <v>22.181895321077057</v>
      </c>
      <c r="T73" s="611">
        <v>0</v>
      </c>
      <c r="U73" s="619">
        <v>333.79725438118828</v>
      </c>
      <c r="V73" s="51"/>
    </row>
    <row r="74" spans="3:22" x14ac:dyDescent="0.25">
      <c r="C74" s="618" t="s">
        <v>81</v>
      </c>
      <c r="D74" s="611">
        <v>0</v>
      </c>
      <c r="E74" s="611">
        <v>0</v>
      </c>
      <c r="F74" s="611">
        <v>0.4043921899752152</v>
      </c>
      <c r="G74" s="611">
        <v>0</v>
      </c>
      <c r="H74" s="611">
        <v>5.5758605918279338</v>
      </c>
      <c r="I74" s="611">
        <v>0.14297078440584446</v>
      </c>
      <c r="J74" s="611">
        <v>0</v>
      </c>
      <c r="K74" s="611">
        <v>0</v>
      </c>
      <c r="L74" s="611">
        <v>0.49596954229928064</v>
      </c>
      <c r="M74" s="611">
        <v>0</v>
      </c>
      <c r="N74" s="611">
        <v>0</v>
      </c>
      <c r="O74" s="611">
        <v>8.5782470643506681</v>
      </c>
      <c r="P74" s="611">
        <v>49.237012139994242</v>
      </c>
      <c r="Q74" s="611">
        <v>3.2685728275989634</v>
      </c>
      <c r="R74" s="611">
        <v>113.98538483583862</v>
      </c>
      <c r="S74" s="611">
        <v>18.581026129158101</v>
      </c>
      <c r="T74" s="611">
        <v>0</v>
      </c>
      <c r="U74" s="619">
        <v>200.26943610544885</v>
      </c>
      <c r="V74" s="51"/>
    </row>
    <row r="75" spans="3:22" x14ac:dyDescent="0.25">
      <c r="C75" s="618" t="s">
        <v>82</v>
      </c>
      <c r="D75" s="611">
        <v>0</v>
      </c>
      <c r="E75" s="611">
        <v>0</v>
      </c>
      <c r="F75" s="611">
        <v>3.6463721740036745</v>
      </c>
      <c r="G75" s="611">
        <v>0</v>
      </c>
      <c r="H75" s="611">
        <v>0.54193037779832631</v>
      </c>
      <c r="I75" s="611">
        <v>1.3895650712777598E-2</v>
      </c>
      <c r="J75" s="611">
        <v>0</v>
      </c>
      <c r="K75" s="611">
        <v>0</v>
      </c>
      <c r="L75" s="611">
        <v>3.5613676310951794</v>
      </c>
      <c r="M75" s="611">
        <v>0</v>
      </c>
      <c r="N75" s="611">
        <v>18.734510808369581</v>
      </c>
      <c r="O75" s="611">
        <v>0.83373904276665589</v>
      </c>
      <c r="P75" s="611">
        <v>1.25</v>
      </c>
      <c r="Q75" s="611">
        <v>1.7440136932478227</v>
      </c>
      <c r="R75" s="611">
        <v>6.9126660362912906</v>
      </c>
      <c r="S75" s="611">
        <v>0</v>
      </c>
      <c r="T75" s="611">
        <v>0.67126612024062504</v>
      </c>
      <c r="U75" s="619">
        <v>37.909761534525927</v>
      </c>
      <c r="V75" s="51"/>
    </row>
    <row r="76" spans="3:22" x14ac:dyDescent="0.25">
      <c r="C76" s="618" t="s">
        <v>354</v>
      </c>
      <c r="D76" s="611">
        <v>0</v>
      </c>
      <c r="E76" s="611">
        <v>0</v>
      </c>
      <c r="F76" s="611">
        <v>0</v>
      </c>
      <c r="G76" s="611">
        <v>0</v>
      </c>
      <c r="H76" s="611">
        <v>0</v>
      </c>
      <c r="I76" s="611">
        <v>0</v>
      </c>
      <c r="J76" s="611">
        <v>0</v>
      </c>
      <c r="K76" s="611">
        <v>0</v>
      </c>
      <c r="L76" s="611">
        <v>0</v>
      </c>
      <c r="M76" s="611">
        <v>0</v>
      </c>
      <c r="N76" s="611">
        <v>0</v>
      </c>
      <c r="O76" s="611">
        <v>0</v>
      </c>
      <c r="P76" s="611">
        <v>0</v>
      </c>
      <c r="Q76" s="611">
        <v>0</v>
      </c>
      <c r="R76" s="611">
        <v>5.7675999999999998</v>
      </c>
      <c r="S76" s="611">
        <v>0</v>
      </c>
      <c r="T76" s="611">
        <v>0</v>
      </c>
      <c r="U76" s="619">
        <v>5.7675999999999998</v>
      </c>
      <c r="V76" s="51"/>
    </row>
    <row r="77" spans="3:22" x14ac:dyDescent="0.25">
      <c r="C77" s="614" t="s">
        <v>83</v>
      </c>
      <c r="D77" s="615">
        <v>1.6567330370836562</v>
      </c>
      <c r="E77" s="615">
        <v>0</v>
      </c>
      <c r="F77" s="615">
        <v>14.460138990999013</v>
      </c>
      <c r="G77" s="615">
        <v>2.7990026147409606</v>
      </c>
      <c r="H77" s="615">
        <v>42.285617104392735</v>
      </c>
      <c r="I77" s="615">
        <v>1.0842465924203266</v>
      </c>
      <c r="J77" s="615">
        <v>0</v>
      </c>
      <c r="K77" s="615">
        <v>0</v>
      </c>
      <c r="L77" s="615">
        <v>62.814068683755821</v>
      </c>
      <c r="M77" s="615">
        <v>5.7247037459588501</v>
      </c>
      <c r="N77" s="615">
        <v>77.804814251133536</v>
      </c>
      <c r="O77" s="615">
        <v>65.096145752251331</v>
      </c>
      <c r="P77" s="615">
        <v>171.08209770143009</v>
      </c>
      <c r="Q77" s="615">
        <v>8.0022331625547363</v>
      </c>
      <c r="R77" s="615">
        <v>570.37298036056347</v>
      </c>
      <c r="S77" s="615">
        <v>62.112636244933555</v>
      </c>
      <c r="T77" s="615">
        <v>20.960141864076387</v>
      </c>
      <c r="U77" s="615">
        <v>1106.2555601062943</v>
      </c>
      <c r="V77" s="51"/>
    </row>
    <row r="78" spans="3:22" x14ac:dyDescent="0.25">
      <c r="C78" s="610" t="s">
        <v>84</v>
      </c>
      <c r="D78" s="611">
        <v>0</v>
      </c>
      <c r="E78" s="611">
        <v>0</v>
      </c>
      <c r="F78" s="611">
        <v>62.444092195240373</v>
      </c>
      <c r="G78" s="611">
        <v>2.5138754259873437</v>
      </c>
      <c r="H78" s="611">
        <v>6.0153513536527026</v>
      </c>
      <c r="I78" s="611">
        <v>0</v>
      </c>
      <c r="J78" s="611">
        <v>0</v>
      </c>
      <c r="K78" s="611">
        <v>0</v>
      </c>
      <c r="L78" s="611">
        <v>0.4729958666220917</v>
      </c>
      <c r="M78" s="611">
        <v>0</v>
      </c>
      <c r="N78" s="611">
        <v>38.295047275787958</v>
      </c>
      <c r="O78" s="611">
        <v>11.297042554251473</v>
      </c>
      <c r="P78" s="611">
        <v>0</v>
      </c>
      <c r="Q78" s="611">
        <v>0</v>
      </c>
      <c r="R78" s="611">
        <v>0</v>
      </c>
      <c r="S78" s="611">
        <v>0</v>
      </c>
      <c r="T78" s="611">
        <v>46.889191785304561</v>
      </c>
      <c r="U78" s="619">
        <v>167.92759645684652</v>
      </c>
      <c r="V78" s="51"/>
    </row>
    <row r="79" spans="3:22" x14ac:dyDescent="0.25">
      <c r="C79" s="614" t="s">
        <v>85</v>
      </c>
      <c r="D79" s="615">
        <v>1.6567330370836562</v>
      </c>
      <c r="E79" s="615">
        <v>0</v>
      </c>
      <c r="F79" s="615">
        <v>76.904231186239386</v>
      </c>
      <c r="G79" s="615">
        <v>5.3128780407283038</v>
      </c>
      <c r="H79" s="615">
        <v>48.300968458045439</v>
      </c>
      <c r="I79" s="615">
        <v>1.0842465924203266</v>
      </c>
      <c r="J79" s="615">
        <v>0</v>
      </c>
      <c r="K79" s="615">
        <v>0</v>
      </c>
      <c r="L79" s="615">
        <v>63.287064550377913</v>
      </c>
      <c r="M79" s="615">
        <v>5.7247037459588501</v>
      </c>
      <c r="N79" s="615">
        <v>116.0998615269215</v>
      </c>
      <c r="O79" s="615">
        <v>76.393188306502807</v>
      </c>
      <c r="P79" s="615">
        <v>171.08209770143009</v>
      </c>
      <c r="Q79" s="615">
        <v>8.0022331625547363</v>
      </c>
      <c r="R79" s="615">
        <v>570.37298036056347</v>
      </c>
      <c r="S79" s="615">
        <v>62.112636244933555</v>
      </c>
      <c r="T79" s="615">
        <v>67.849333649380952</v>
      </c>
      <c r="U79" s="615">
        <v>1274.1831565631408</v>
      </c>
      <c r="V79" s="51"/>
    </row>
    <row r="80" spans="3:22" x14ac:dyDescent="0.25">
      <c r="C80" s="51"/>
      <c r="D80" s="67">
        <v>0</v>
      </c>
      <c r="E80" s="67">
        <v>0</v>
      </c>
      <c r="F80" s="67">
        <v>0</v>
      </c>
      <c r="G80" s="67">
        <v>0</v>
      </c>
      <c r="H80" s="67">
        <v>0</v>
      </c>
      <c r="I80" s="67">
        <v>0</v>
      </c>
      <c r="J80" s="67">
        <v>0</v>
      </c>
      <c r="K80" s="67">
        <v>0</v>
      </c>
      <c r="L80" s="67">
        <v>0</v>
      </c>
      <c r="M80" s="67">
        <v>-3.4682726224488647E-4</v>
      </c>
      <c r="N80" s="67">
        <v>0</v>
      </c>
      <c r="O80" s="67">
        <v>1.3322676295501878E-14</v>
      </c>
      <c r="P80" s="67">
        <v>0</v>
      </c>
      <c r="Q80" s="67">
        <v>0</v>
      </c>
      <c r="R80" s="67">
        <v>0</v>
      </c>
      <c r="S80" s="67">
        <v>-1.4210854715202004E-14</v>
      </c>
      <c r="T80" s="67">
        <v>0</v>
      </c>
      <c r="U80" s="67">
        <v>-3.4682726254686713E-4</v>
      </c>
      <c r="V80" s="51"/>
    </row>
    <row r="81" spans="3:22" x14ac:dyDescent="0.25">
      <c r="C81" s="51"/>
      <c r="D81" s="51"/>
      <c r="E81" s="51"/>
      <c r="F81" s="51"/>
      <c r="G81" s="67"/>
      <c r="H81" s="51"/>
      <c r="I81" s="51"/>
      <c r="J81" s="51"/>
      <c r="K81" s="51"/>
      <c r="L81" s="51"/>
      <c r="M81" s="51"/>
      <c r="N81" s="51"/>
      <c r="O81" s="51"/>
      <c r="P81" s="51"/>
      <c r="Q81" s="51"/>
      <c r="R81" s="51"/>
      <c r="S81" s="51"/>
      <c r="T81" s="51"/>
      <c r="U81" s="51"/>
      <c r="V81" s="51"/>
    </row>
    <row r="82" spans="3:22" x14ac:dyDescent="0.25">
      <c r="C82" s="607" t="s">
        <v>89</v>
      </c>
      <c r="D82" s="606"/>
      <c r="E82" s="606"/>
      <c r="F82" s="606"/>
      <c r="G82" s="682"/>
      <c r="H82" s="606"/>
      <c r="I82" s="606"/>
      <c r="J82" s="606"/>
      <c r="K82" s="606"/>
      <c r="L82" s="606"/>
      <c r="M82" s="606"/>
      <c r="N82" s="606"/>
      <c r="O82" s="606"/>
      <c r="P82" s="606"/>
      <c r="Q82" s="606"/>
      <c r="R82" s="606"/>
      <c r="S82" s="606"/>
      <c r="T82" s="606"/>
      <c r="U82" s="606"/>
      <c r="V82" s="606"/>
    </row>
    <row r="83" spans="3:22" x14ac:dyDescent="0.25">
      <c r="C83" s="51"/>
      <c r="D83" s="51"/>
      <c r="E83" s="51"/>
      <c r="F83" s="51"/>
      <c r="G83" s="67"/>
      <c r="H83" s="51"/>
      <c r="I83" s="51"/>
      <c r="J83" s="51"/>
      <c r="K83" s="51"/>
      <c r="L83" s="51"/>
      <c r="M83" s="51"/>
      <c r="N83" s="51"/>
      <c r="O83" s="51"/>
      <c r="P83" s="51"/>
      <c r="Q83" s="51"/>
      <c r="R83" s="51"/>
      <c r="S83" s="51"/>
      <c r="T83" s="51"/>
      <c r="U83" s="51"/>
      <c r="V83" s="51"/>
    </row>
    <row r="84" spans="3:22" x14ac:dyDescent="0.25">
      <c r="C84" s="764" t="s">
        <v>128</v>
      </c>
      <c r="D84" s="753" t="s">
        <v>42</v>
      </c>
      <c r="E84" s="753" t="s">
        <v>52</v>
      </c>
      <c r="F84" s="753" t="s">
        <v>53</v>
      </c>
      <c r="G84" s="766" t="s">
        <v>482</v>
      </c>
      <c r="H84" s="753" t="s">
        <v>32</v>
      </c>
      <c r="I84" s="753" t="s">
        <v>483</v>
      </c>
      <c r="J84" s="753" t="s">
        <v>20</v>
      </c>
      <c r="K84" s="753" t="s">
        <v>55</v>
      </c>
      <c r="L84" s="761" t="s">
        <v>56</v>
      </c>
      <c r="M84" s="762"/>
      <c r="N84" s="762"/>
      <c r="O84" s="762"/>
      <c r="P84" s="762"/>
      <c r="Q84" s="763"/>
      <c r="R84" s="753" t="s">
        <v>57</v>
      </c>
      <c r="S84" s="753" t="s">
        <v>58</v>
      </c>
      <c r="T84" s="753" t="s">
        <v>31</v>
      </c>
      <c r="U84" s="753" t="s">
        <v>10</v>
      </c>
      <c r="V84" s="51"/>
    </row>
    <row r="85" spans="3:22" ht="36" x14ac:dyDescent="0.25">
      <c r="C85" s="765"/>
      <c r="D85" s="754"/>
      <c r="E85" s="754"/>
      <c r="F85" s="754"/>
      <c r="G85" s="767"/>
      <c r="H85" s="754"/>
      <c r="I85" s="754"/>
      <c r="J85" s="754"/>
      <c r="K85" s="754"/>
      <c r="L85" s="608" t="s">
        <v>335</v>
      </c>
      <c r="M85" s="608" t="s">
        <v>40</v>
      </c>
      <c r="N85" s="608" t="s">
        <v>343</v>
      </c>
      <c r="O85" s="608" t="s">
        <v>344</v>
      </c>
      <c r="P85" s="609" t="s">
        <v>345</v>
      </c>
      <c r="Q85" s="608" t="s">
        <v>346</v>
      </c>
      <c r="R85" s="754"/>
      <c r="S85" s="754"/>
      <c r="T85" s="754"/>
      <c r="U85" s="754"/>
      <c r="V85" s="51"/>
    </row>
    <row r="86" spans="3:22" x14ac:dyDescent="0.25">
      <c r="C86" s="610" t="s">
        <v>59</v>
      </c>
      <c r="D86" s="611">
        <v>0</v>
      </c>
      <c r="E86" s="611">
        <v>0</v>
      </c>
      <c r="F86" s="611">
        <v>0</v>
      </c>
      <c r="G86" s="611">
        <v>0</v>
      </c>
      <c r="H86" s="611">
        <v>0</v>
      </c>
      <c r="I86" s="611">
        <v>0</v>
      </c>
      <c r="J86" s="612">
        <v>759.92203636363649</v>
      </c>
      <c r="K86" s="612">
        <v>585.27007132862354</v>
      </c>
      <c r="L86" s="612">
        <v>421.01958402132601</v>
      </c>
      <c r="M86" s="612">
        <v>20.686642208021134</v>
      </c>
      <c r="N86" s="611">
        <v>1.5563580670349855</v>
      </c>
      <c r="O86" s="611">
        <v>0.17110271620039663</v>
      </c>
      <c r="P86" s="612">
        <v>181.20215447851419</v>
      </c>
      <c r="Q86" s="612">
        <v>27.103716579638188</v>
      </c>
      <c r="R86" s="611">
        <v>0</v>
      </c>
      <c r="S86" s="611">
        <v>0</v>
      </c>
      <c r="T86" s="611">
        <v>0</v>
      </c>
      <c r="U86" s="613">
        <v>1996.9316657629947</v>
      </c>
      <c r="V86" s="51"/>
    </row>
    <row r="87" spans="3:22" x14ac:dyDescent="0.25">
      <c r="C87" s="610" t="s">
        <v>60</v>
      </c>
      <c r="D87" s="611">
        <v>0.64129319091675452</v>
      </c>
      <c r="E87" s="611">
        <v>72.7588411322387</v>
      </c>
      <c r="F87" s="611">
        <v>1.9517818504706483</v>
      </c>
      <c r="G87" s="611">
        <v>0</v>
      </c>
      <c r="H87" s="611">
        <v>3.2223770587889593</v>
      </c>
      <c r="I87" s="611">
        <v>0</v>
      </c>
      <c r="J87" s="611">
        <v>0</v>
      </c>
      <c r="K87" s="611">
        <v>0</v>
      </c>
      <c r="L87" s="611">
        <v>5.2309321400654634</v>
      </c>
      <c r="M87" s="611">
        <v>0</v>
      </c>
      <c r="N87" s="611">
        <v>6.8353402019644598</v>
      </c>
      <c r="O87" s="611">
        <v>0</v>
      </c>
      <c r="P87" s="611">
        <v>0</v>
      </c>
      <c r="Q87" s="611">
        <v>0</v>
      </c>
      <c r="R87" s="611">
        <v>86.758204068598843</v>
      </c>
      <c r="S87" s="611">
        <v>0</v>
      </c>
      <c r="T87" s="611">
        <v>0</v>
      </c>
      <c r="U87" s="613">
        <v>177.39876964304383</v>
      </c>
      <c r="V87" s="51"/>
    </row>
    <row r="88" spans="3:22" x14ac:dyDescent="0.25">
      <c r="C88" s="610" t="s">
        <v>61</v>
      </c>
      <c r="D88" s="611">
        <v>0</v>
      </c>
      <c r="E88" s="611">
        <v>0</v>
      </c>
      <c r="F88" s="611">
        <v>-14.049213431109226</v>
      </c>
      <c r="G88" s="611">
        <v>-15.061852283906475</v>
      </c>
      <c r="H88" s="611">
        <v>0</v>
      </c>
      <c r="I88" s="611">
        <v>0</v>
      </c>
      <c r="J88" s="611">
        <v>0</v>
      </c>
      <c r="K88" s="611">
        <v>0</v>
      </c>
      <c r="L88" s="611">
        <v>0</v>
      </c>
      <c r="M88" s="611">
        <v>0</v>
      </c>
      <c r="N88" s="611">
        <v>0</v>
      </c>
      <c r="O88" s="611">
        <v>0</v>
      </c>
      <c r="P88" s="611">
        <v>0</v>
      </c>
      <c r="Q88" s="611">
        <v>0</v>
      </c>
      <c r="R88" s="611">
        <v>0</v>
      </c>
      <c r="S88" s="611">
        <v>0</v>
      </c>
      <c r="T88" s="611">
        <v>0</v>
      </c>
      <c r="U88" s="613">
        <v>-29.111065715015702</v>
      </c>
      <c r="V88" s="51"/>
    </row>
    <row r="89" spans="3:22" x14ac:dyDescent="0.25">
      <c r="C89" s="610" t="s">
        <v>62</v>
      </c>
      <c r="D89" s="611">
        <v>0</v>
      </c>
      <c r="E89" s="611">
        <v>0</v>
      </c>
      <c r="F89" s="611">
        <v>0</v>
      </c>
      <c r="G89" s="611">
        <v>-6.1101617494546652</v>
      </c>
      <c r="H89" s="611">
        <v>0</v>
      </c>
      <c r="I89" s="611">
        <v>-4.4416564350684116</v>
      </c>
      <c r="J89" s="611">
        <v>0</v>
      </c>
      <c r="K89" s="611">
        <v>0</v>
      </c>
      <c r="L89" s="611">
        <v>0</v>
      </c>
      <c r="M89" s="611">
        <v>0</v>
      </c>
      <c r="N89" s="611">
        <v>-1.5423967884416028</v>
      </c>
      <c r="O89" s="611">
        <v>-2.9611042900456073</v>
      </c>
      <c r="P89" s="611">
        <v>0</v>
      </c>
      <c r="Q89" s="611">
        <v>0</v>
      </c>
      <c r="R89" s="611">
        <v>0</v>
      </c>
      <c r="S89" s="611">
        <v>0</v>
      </c>
      <c r="T89" s="611">
        <v>-2.4482488705422272</v>
      </c>
      <c r="U89" s="613">
        <v>-17.503568133552513</v>
      </c>
      <c r="V89" s="51"/>
    </row>
    <row r="90" spans="3:22" x14ac:dyDescent="0.25">
      <c r="C90" s="610" t="s">
        <v>63</v>
      </c>
      <c r="D90" s="611">
        <v>0</v>
      </c>
      <c r="E90" s="611">
        <v>0</v>
      </c>
      <c r="F90" s="611">
        <v>-7.3240777097484635</v>
      </c>
      <c r="G90" s="611">
        <v>-24.912603262820603</v>
      </c>
      <c r="H90" s="611">
        <v>0</v>
      </c>
      <c r="I90" s="611">
        <v>0</v>
      </c>
      <c r="J90" s="611">
        <v>0</v>
      </c>
      <c r="K90" s="611">
        <v>0</v>
      </c>
      <c r="L90" s="611">
        <v>0</v>
      </c>
      <c r="M90" s="611">
        <v>0</v>
      </c>
      <c r="N90" s="611">
        <v>-17.438822283974417</v>
      </c>
      <c r="O90" s="611">
        <v>0</v>
      </c>
      <c r="P90" s="611">
        <v>0</v>
      </c>
      <c r="Q90" s="611">
        <v>0</v>
      </c>
      <c r="R90" s="611">
        <v>0</v>
      </c>
      <c r="S90" s="611">
        <v>0</v>
      </c>
      <c r="T90" s="611">
        <v>-7.5807767073973409</v>
      </c>
      <c r="U90" s="613">
        <v>-57.256279963940827</v>
      </c>
      <c r="V90" s="51"/>
    </row>
    <row r="91" spans="3:22" x14ac:dyDescent="0.25">
      <c r="C91" s="610" t="s">
        <v>64</v>
      </c>
      <c r="D91" s="611">
        <v>0</v>
      </c>
      <c r="E91" s="611">
        <v>0</v>
      </c>
      <c r="F91" s="611">
        <v>0</v>
      </c>
      <c r="G91" s="611">
        <v>0</v>
      </c>
      <c r="H91" s="611">
        <v>0</v>
      </c>
      <c r="I91" s="611">
        <v>0</v>
      </c>
      <c r="J91" s="611">
        <v>0</v>
      </c>
      <c r="K91" s="611">
        <v>0</v>
      </c>
      <c r="L91" s="611">
        <v>0</v>
      </c>
      <c r="M91" s="611">
        <v>0</v>
      </c>
      <c r="N91" s="611">
        <v>0</v>
      </c>
      <c r="O91" s="611">
        <v>0</v>
      </c>
      <c r="P91" s="611">
        <v>0</v>
      </c>
      <c r="Q91" s="611">
        <v>0</v>
      </c>
      <c r="R91" s="611">
        <v>0</v>
      </c>
      <c r="S91" s="611">
        <v>0</v>
      </c>
      <c r="T91" s="611">
        <v>0</v>
      </c>
      <c r="U91" s="613">
        <v>0</v>
      </c>
      <c r="V91" s="51"/>
    </row>
    <row r="92" spans="3:22" x14ac:dyDescent="0.25">
      <c r="C92" s="614" t="s">
        <v>65</v>
      </c>
      <c r="D92" s="615">
        <v>0.64129319091675452</v>
      </c>
      <c r="E92" s="615">
        <v>72.7588411322387</v>
      </c>
      <c r="F92" s="615">
        <v>-19.421509290387043</v>
      </c>
      <c r="G92" s="615">
        <v>-46.084617296181747</v>
      </c>
      <c r="H92" s="615">
        <v>3.2223770587889593</v>
      </c>
      <c r="I92" s="615">
        <v>-4.4416564350684116</v>
      </c>
      <c r="J92" s="615">
        <v>759.92203636363649</v>
      </c>
      <c r="K92" s="615">
        <v>585.27007132862354</v>
      </c>
      <c r="L92" s="615">
        <v>426.25051616139149</v>
      </c>
      <c r="M92" s="615">
        <v>20.686642208021134</v>
      </c>
      <c r="N92" s="615">
        <v>-10.589520803416576</v>
      </c>
      <c r="O92" s="615">
        <v>-2.7900015738452106</v>
      </c>
      <c r="P92" s="615">
        <v>181.20215447851419</v>
      </c>
      <c r="Q92" s="615">
        <v>27.103716579638188</v>
      </c>
      <c r="R92" s="615">
        <v>86.758204068598843</v>
      </c>
      <c r="S92" s="615">
        <v>0</v>
      </c>
      <c r="T92" s="615">
        <v>-10.029025577939567</v>
      </c>
      <c r="U92" s="615">
        <v>2070.4595215935296</v>
      </c>
      <c r="V92" s="51"/>
    </row>
    <row r="93" spans="3:22" x14ac:dyDescent="0.25">
      <c r="C93" s="616"/>
      <c r="D93" s="617"/>
      <c r="E93" s="617"/>
      <c r="F93" s="617"/>
      <c r="G93" s="617"/>
      <c r="H93" s="623"/>
      <c r="I93" s="617"/>
      <c r="J93" s="617"/>
      <c r="K93" s="617"/>
      <c r="L93" s="617"/>
      <c r="M93" s="617"/>
      <c r="N93" s="617"/>
      <c r="O93" s="617"/>
      <c r="P93" s="617"/>
      <c r="Q93" s="617"/>
      <c r="R93" s="617"/>
      <c r="S93" s="617"/>
      <c r="T93" s="617"/>
      <c r="U93" s="617"/>
      <c r="V93" s="51"/>
    </row>
    <row r="94" spans="3:22" x14ac:dyDescent="0.25">
      <c r="C94" s="618" t="s">
        <v>67</v>
      </c>
      <c r="D94" s="611">
        <v>0</v>
      </c>
      <c r="E94" s="611">
        <v>0</v>
      </c>
      <c r="F94" s="611">
        <v>0</v>
      </c>
      <c r="G94" s="611">
        <v>0</v>
      </c>
      <c r="H94" s="611">
        <v>0</v>
      </c>
      <c r="I94" s="611">
        <v>0</v>
      </c>
      <c r="J94" s="611">
        <v>0</v>
      </c>
      <c r="K94" s="611">
        <v>0</v>
      </c>
      <c r="L94" s="611">
        <v>0</v>
      </c>
      <c r="M94" s="611">
        <v>0</v>
      </c>
      <c r="N94" s="611">
        <v>0</v>
      </c>
      <c r="O94" s="611">
        <v>0</v>
      </c>
      <c r="P94" s="611">
        <v>0</v>
      </c>
      <c r="Q94" s="611">
        <v>0</v>
      </c>
      <c r="R94" s="611">
        <v>0</v>
      </c>
      <c r="S94" s="611">
        <v>0</v>
      </c>
      <c r="T94" s="611">
        <v>0</v>
      </c>
      <c r="U94" s="619">
        <v>0</v>
      </c>
      <c r="V94" s="51"/>
    </row>
    <row r="95" spans="3:22" x14ac:dyDescent="0.25">
      <c r="C95" s="618" t="s">
        <v>347</v>
      </c>
      <c r="D95" s="611">
        <v>0</v>
      </c>
      <c r="E95" s="611">
        <v>0</v>
      </c>
      <c r="F95" s="611">
        <v>0</v>
      </c>
      <c r="G95" s="611">
        <v>0</v>
      </c>
      <c r="H95" s="611">
        <v>0</v>
      </c>
      <c r="I95" s="611">
        <v>0</v>
      </c>
      <c r="J95" s="611">
        <v>759.92203636363649</v>
      </c>
      <c r="K95" s="611">
        <v>585.27007132862354</v>
      </c>
      <c r="L95" s="611">
        <v>21.935641645543306</v>
      </c>
      <c r="M95" s="611">
        <v>0.61628865372008657</v>
      </c>
      <c r="N95" s="611">
        <v>6.5561937148871507</v>
      </c>
      <c r="O95" s="611">
        <v>1.5747281082088551</v>
      </c>
      <c r="P95" s="611">
        <v>0</v>
      </c>
      <c r="Q95" s="611">
        <v>6.7631767445353068</v>
      </c>
      <c r="R95" s="611">
        <v>-895.33632983844416</v>
      </c>
      <c r="S95" s="611">
        <v>0</v>
      </c>
      <c r="T95" s="611">
        <v>6.4421899999999992</v>
      </c>
      <c r="U95" s="619">
        <v>493.74399672071024</v>
      </c>
      <c r="V95" s="51"/>
    </row>
    <row r="96" spans="3:22" x14ac:dyDescent="0.25">
      <c r="C96" s="618" t="s">
        <v>348</v>
      </c>
      <c r="D96" s="611">
        <v>0</v>
      </c>
      <c r="E96" s="611">
        <v>0</v>
      </c>
      <c r="F96" s="611">
        <v>0</v>
      </c>
      <c r="G96" s="611">
        <v>0</v>
      </c>
      <c r="H96" s="611">
        <v>0</v>
      </c>
      <c r="I96" s="611">
        <v>0</v>
      </c>
      <c r="J96" s="611">
        <v>0</v>
      </c>
      <c r="K96" s="611">
        <v>0</v>
      </c>
      <c r="L96" s="611">
        <v>34.859137423321251</v>
      </c>
      <c r="M96" s="611">
        <v>14.707872710950403</v>
      </c>
      <c r="N96" s="611">
        <v>0</v>
      </c>
      <c r="O96" s="611">
        <v>8.3969630288089814</v>
      </c>
      <c r="P96" s="611">
        <v>0</v>
      </c>
      <c r="Q96" s="611">
        <v>11.678038971322861</v>
      </c>
      <c r="R96" s="611">
        <v>0</v>
      </c>
      <c r="S96" s="611">
        <v>-66.565624993763251</v>
      </c>
      <c r="T96" s="611">
        <v>0</v>
      </c>
      <c r="U96" s="619">
        <v>3.0763871406402501</v>
      </c>
      <c r="V96" s="51"/>
    </row>
    <row r="97" spans="3:22" x14ac:dyDescent="0.25">
      <c r="C97" s="618" t="s">
        <v>349</v>
      </c>
      <c r="D97" s="611">
        <v>0</v>
      </c>
      <c r="E97" s="611">
        <v>0</v>
      </c>
      <c r="F97" s="611">
        <v>0</v>
      </c>
      <c r="G97" s="611">
        <v>0</v>
      </c>
      <c r="H97" s="611">
        <v>0</v>
      </c>
      <c r="I97" s="611">
        <v>0</v>
      </c>
      <c r="J97" s="611">
        <v>0</v>
      </c>
      <c r="K97" s="611">
        <v>0</v>
      </c>
      <c r="L97" s="611">
        <v>116.09247876238595</v>
      </c>
      <c r="M97" s="611">
        <v>0</v>
      </c>
      <c r="N97" s="611">
        <v>0</v>
      </c>
      <c r="O97" s="611">
        <v>-107.1437165457632</v>
      </c>
      <c r="P97" s="611">
        <v>0</v>
      </c>
      <c r="Q97" s="611">
        <v>0</v>
      </c>
      <c r="R97" s="611">
        <v>0</v>
      </c>
      <c r="S97" s="611">
        <v>0</v>
      </c>
      <c r="T97" s="611">
        <v>0</v>
      </c>
      <c r="U97" s="619">
        <v>8.9487622166227538</v>
      </c>
      <c r="V97" s="51"/>
    </row>
    <row r="98" spans="3:22" x14ac:dyDescent="0.25">
      <c r="C98" s="618" t="s">
        <v>350</v>
      </c>
      <c r="D98" s="611">
        <v>0</v>
      </c>
      <c r="E98" s="611">
        <v>0</v>
      </c>
      <c r="F98" s="611">
        <v>0</v>
      </c>
      <c r="G98" s="611">
        <v>0</v>
      </c>
      <c r="H98" s="611">
        <v>0</v>
      </c>
      <c r="I98" s="611">
        <v>-8.6805438008370892</v>
      </c>
      <c r="J98" s="611">
        <v>0</v>
      </c>
      <c r="K98" s="611">
        <v>0</v>
      </c>
      <c r="L98" s="611">
        <v>0</v>
      </c>
      <c r="M98" s="611">
        <v>0</v>
      </c>
      <c r="N98" s="611">
        <v>0</v>
      </c>
      <c r="O98" s="611">
        <v>0</v>
      </c>
      <c r="P98" s="611">
        <v>0</v>
      </c>
      <c r="Q98" s="611">
        <v>0</v>
      </c>
      <c r="R98" s="611">
        <v>0</v>
      </c>
      <c r="S98" s="611">
        <v>0</v>
      </c>
      <c r="T98" s="611">
        <v>12.086503242074816</v>
      </c>
      <c r="U98" s="619">
        <v>3.4059594412377265</v>
      </c>
      <c r="V98" s="51"/>
    </row>
    <row r="99" spans="3:22" x14ac:dyDescent="0.25">
      <c r="C99" s="618" t="s">
        <v>72</v>
      </c>
      <c r="D99" s="611">
        <v>0</v>
      </c>
      <c r="E99" s="611">
        <v>75.393588190645644</v>
      </c>
      <c r="F99" s="611">
        <v>-74.641887149518311</v>
      </c>
      <c r="G99" s="611">
        <v>0</v>
      </c>
      <c r="H99" s="611">
        <v>0</v>
      </c>
      <c r="I99" s="611">
        <v>0</v>
      </c>
      <c r="J99" s="611">
        <v>0</v>
      </c>
      <c r="K99" s="611">
        <v>0</v>
      </c>
      <c r="L99" s="611">
        <v>0</v>
      </c>
      <c r="M99" s="611">
        <v>0</v>
      </c>
      <c r="N99" s="611">
        <v>0</v>
      </c>
      <c r="O99" s="611">
        <v>0</v>
      </c>
      <c r="P99" s="611">
        <v>0</v>
      </c>
      <c r="Q99" s="611">
        <v>0</v>
      </c>
      <c r="R99" s="611">
        <v>0</v>
      </c>
      <c r="S99" s="611">
        <v>0</v>
      </c>
      <c r="T99" s="611">
        <v>0</v>
      </c>
      <c r="U99" s="619">
        <v>0.75170104112733327</v>
      </c>
      <c r="V99" s="51"/>
    </row>
    <row r="100" spans="3:22" x14ac:dyDescent="0.25">
      <c r="C100" s="618" t="s">
        <v>351</v>
      </c>
      <c r="D100" s="611">
        <v>0</v>
      </c>
      <c r="E100" s="611">
        <v>0</v>
      </c>
      <c r="F100" s="611">
        <v>0</v>
      </c>
      <c r="G100" s="611">
        <v>0</v>
      </c>
      <c r="H100" s="611">
        <v>0</v>
      </c>
      <c r="I100" s="611">
        <v>0</v>
      </c>
      <c r="J100" s="611">
        <v>0</v>
      </c>
      <c r="K100" s="611">
        <v>0</v>
      </c>
      <c r="L100" s="611">
        <v>194.54575293909065</v>
      </c>
      <c r="M100" s="611">
        <v>0</v>
      </c>
      <c r="N100" s="611">
        <v>-107.00016411649986</v>
      </c>
      <c r="O100" s="611">
        <v>0</v>
      </c>
      <c r="P100" s="611">
        <v>0</v>
      </c>
      <c r="Q100" s="611">
        <v>0</v>
      </c>
      <c r="R100" s="611">
        <v>0</v>
      </c>
      <c r="S100" s="611">
        <v>0</v>
      </c>
      <c r="T100" s="611">
        <v>0</v>
      </c>
      <c r="U100" s="619">
        <v>87.545588822590787</v>
      </c>
      <c r="V100" s="51"/>
    </row>
    <row r="101" spans="3:22" x14ac:dyDescent="0.25">
      <c r="C101" s="618" t="s">
        <v>352</v>
      </c>
      <c r="D101" s="611">
        <v>0</v>
      </c>
      <c r="E101" s="611">
        <v>0</v>
      </c>
      <c r="F101" s="611">
        <v>0</v>
      </c>
      <c r="G101" s="611">
        <v>-53.670926604582093</v>
      </c>
      <c r="H101" s="611">
        <v>0</v>
      </c>
      <c r="I101" s="611">
        <v>0</v>
      </c>
      <c r="J101" s="611">
        <v>0</v>
      </c>
      <c r="K101" s="611">
        <v>0</v>
      </c>
      <c r="L101" s="611">
        <v>0</v>
      </c>
      <c r="M101" s="611">
        <v>0</v>
      </c>
      <c r="N101" s="611">
        <v>0</v>
      </c>
      <c r="O101" s="611">
        <v>0</v>
      </c>
      <c r="P101" s="611">
        <v>0</v>
      </c>
      <c r="Q101" s="611">
        <v>0</v>
      </c>
      <c r="R101" s="611">
        <v>0</v>
      </c>
      <c r="S101" s="611">
        <v>0</v>
      </c>
      <c r="T101" s="611">
        <v>69.588751075413697</v>
      </c>
      <c r="U101" s="619">
        <v>15.917824470831604</v>
      </c>
      <c r="V101" s="51"/>
    </row>
    <row r="102" spans="3:22" x14ac:dyDescent="0.25">
      <c r="C102" s="618" t="s">
        <v>73</v>
      </c>
      <c r="D102" s="611">
        <v>0</v>
      </c>
      <c r="E102" s="611">
        <v>0</v>
      </c>
      <c r="F102" s="611">
        <v>0</v>
      </c>
      <c r="G102" s="611">
        <v>0</v>
      </c>
      <c r="H102" s="611">
        <v>0</v>
      </c>
      <c r="I102" s="611">
        <v>0</v>
      </c>
      <c r="J102" s="611">
        <v>0</v>
      </c>
      <c r="K102" s="611">
        <v>0</v>
      </c>
      <c r="L102" s="611">
        <v>0</v>
      </c>
      <c r="M102" s="611">
        <v>0</v>
      </c>
      <c r="N102" s="611">
        <v>0</v>
      </c>
      <c r="O102" s="611">
        <v>0</v>
      </c>
      <c r="P102" s="611">
        <v>0</v>
      </c>
      <c r="Q102" s="611">
        <v>0</v>
      </c>
      <c r="R102" s="611">
        <v>258.03000874169254</v>
      </c>
      <c r="S102" s="611">
        <v>0</v>
      </c>
      <c r="T102" s="611">
        <v>-185.78160629401862</v>
      </c>
      <c r="U102" s="619">
        <v>72.248402447673925</v>
      </c>
      <c r="V102" s="51"/>
    </row>
    <row r="103" spans="3:22" x14ac:dyDescent="0.25">
      <c r="C103" s="618" t="s">
        <v>353</v>
      </c>
      <c r="D103" s="611">
        <v>0</v>
      </c>
      <c r="E103" s="611">
        <v>-2.634747058406945</v>
      </c>
      <c r="F103" s="611">
        <v>3.435008562710407</v>
      </c>
      <c r="G103" s="611">
        <v>0</v>
      </c>
      <c r="H103" s="611">
        <v>0</v>
      </c>
      <c r="I103" s="611">
        <v>0</v>
      </c>
      <c r="J103" s="611">
        <v>0</v>
      </c>
      <c r="K103" s="611">
        <v>0</v>
      </c>
      <c r="L103" s="611">
        <v>0</v>
      </c>
      <c r="M103" s="611">
        <v>0</v>
      </c>
      <c r="N103" s="611">
        <v>0</v>
      </c>
      <c r="O103" s="611">
        <v>0</v>
      </c>
      <c r="P103" s="611">
        <v>0</v>
      </c>
      <c r="Q103" s="611">
        <v>0</v>
      </c>
      <c r="R103" s="611">
        <v>0</v>
      </c>
      <c r="S103" s="611">
        <v>0</v>
      </c>
      <c r="T103" s="611">
        <v>0</v>
      </c>
      <c r="U103" s="619">
        <v>0.80026150430346199</v>
      </c>
      <c r="V103" s="51"/>
    </row>
    <row r="104" spans="3:22" x14ac:dyDescent="0.25">
      <c r="C104" s="618" t="s">
        <v>75</v>
      </c>
      <c r="D104" s="611">
        <v>0</v>
      </c>
      <c r="E104" s="611">
        <v>0</v>
      </c>
      <c r="F104" s="611">
        <v>2.5839893825265019</v>
      </c>
      <c r="G104" s="611">
        <v>0</v>
      </c>
      <c r="H104" s="611">
        <v>0</v>
      </c>
      <c r="I104" s="611">
        <v>0.23833359000000001</v>
      </c>
      <c r="J104" s="611">
        <v>0</v>
      </c>
      <c r="K104" s="611">
        <v>0</v>
      </c>
      <c r="L104" s="611">
        <v>0</v>
      </c>
      <c r="M104" s="611">
        <v>0</v>
      </c>
      <c r="N104" s="611">
        <v>0</v>
      </c>
      <c r="O104" s="611">
        <v>4.5283382100000003</v>
      </c>
      <c r="P104" s="611">
        <v>0</v>
      </c>
      <c r="Q104" s="611">
        <v>0</v>
      </c>
      <c r="R104" s="611">
        <v>65.365492404188032</v>
      </c>
      <c r="S104" s="611">
        <v>0</v>
      </c>
      <c r="T104" s="611">
        <v>0</v>
      </c>
      <c r="U104" s="619">
        <v>72.71615358671454</v>
      </c>
      <c r="V104" s="51"/>
    </row>
    <row r="105" spans="3:22" x14ac:dyDescent="0.25">
      <c r="C105" s="618" t="s">
        <v>76</v>
      </c>
      <c r="D105" s="611">
        <v>0</v>
      </c>
      <c r="E105" s="611">
        <v>0</v>
      </c>
      <c r="F105" s="611">
        <v>0</v>
      </c>
      <c r="G105" s="611">
        <v>0</v>
      </c>
      <c r="H105" s="611">
        <v>0</v>
      </c>
      <c r="I105" s="611">
        <v>5.609909084131174E-2</v>
      </c>
      <c r="J105" s="611">
        <v>0</v>
      </c>
      <c r="K105" s="611">
        <v>0</v>
      </c>
      <c r="L105" s="611">
        <v>0</v>
      </c>
      <c r="M105" s="611">
        <v>0</v>
      </c>
      <c r="N105" s="611">
        <v>0</v>
      </c>
      <c r="O105" s="611">
        <v>1.0658827259849231</v>
      </c>
      <c r="P105" s="611">
        <v>0</v>
      </c>
      <c r="Q105" s="611">
        <v>0</v>
      </c>
      <c r="R105" s="611">
        <v>75.163138458273835</v>
      </c>
      <c r="S105" s="611">
        <v>5.1631708880095033</v>
      </c>
      <c r="T105" s="611">
        <v>0</v>
      </c>
      <c r="U105" s="619">
        <v>81.448291163109573</v>
      </c>
      <c r="V105" s="51"/>
    </row>
    <row r="106" spans="3:22" x14ac:dyDescent="0.25">
      <c r="C106" s="614" t="s">
        <v>77</v>
      </c>
      <c r="D106" s="615">
        <v>0</v>
      </c>
      <c r="E106" s="615">
        <v>72.7588411322387</v>
      </c>
      <c r="F106" s="615">
        <v>-68.622889204281407</v>
      </c>
      <c r="G106" s="615">
        <v>-53.670926604582093</v>
      </c>
      <c r="H106" s="615">
        <v>0</v>
      </c>
      <c r="I106" s="615">
        <v>-8.3861111199957783</v>
      </c>
      <c r="J106" s="615">
        <v>759.92203636363649</v>
      </c>
      <c r="K106" s="615">
        <v>585.27007132862354</v>
      </c>
      <c r="L106" s="615">
        <v>367.43301077034118</v>
      </c>
      <c r="M106" s="615">
        <v>15.32416136467049</v>
      </c>
      <c r="N106" s="615">
        <v>-100.44397040161272</v>
      </c>
      <c r="O106" s="615">
        <v>-91.577804472760434</v>
      </c>
      <c r="P106" s="615">
        <v>0</v>
      </c>
      <c r="Q106" s="615">
        <v>18.441215715858167</v>
      </c>
      <c r="R106" s="615">
        <v>-496.77769023428982</v>
      </c>
      <c r="S106" s="615">
        <v>-61.402454105753748</v>
      </c>
      <c r="T106" s="615">
        <v>-97.664161976530096</v>
      </c>
      <c r="U106" s="615">
        <v>840.60332855556226</v>
      </c>
      <c r="V106" s="51"/>
    </row>
    <row r="107" spans="3:22" x14ac:dyDescent="0.25">
      <c r="C107" s="616"/>
      <c r="D107" s="617"/>
      <c r="E107" s="617"/>
      <c r="F107" s="617"/>
      <c r="G107" s="617"/>
      <c r="H107" s="623"/>
      <c r="I107" s="617"/>
      <c r="J107" s="617"/>
      <c r="K107" s="617"/>
      <c r="L107" s="617"/>
      <c r="M107" s="617"/>
      <c r="N107" s="617"/>
      <c r="O107" s="617"/>
      <c r="P107" s="617"/>
      <c r="Q107" s="617"/>
      <c r="R107" s="617"/>
      <c r="S107" s="617"/>
      <c r="T107" s="617"/>
      <c r="U107" s="617"/>
      <c r="V107" s="51"/>
    </row>
    <row r="108" spans="3:22" x14ac:dyDescent="0.25">
      <c r="C108" s="618" t="s">
        <v>78</v>
      </c>
      <c r="D108" s="611">
        <v>0.64129319091675452</v>
      </c>
      <c r="E108" s="611">
        <v>0</v>
      </c>
      <c r="F108" s="611">
        <v>1.525731430410463</v>
      </c>
      <c r="G108" s="611">
        <v>0</v>
      </c>
      <c r="H108" s="611">
        <v>0</v>
      </c>
      <c r="I108" s="611">
        <v>2.2603973079733568</v>
      </c>
      <c r="J108" s="611">
        <v>0</v>
      </c>
      <c r="K108" s="611">
        <v>0</v>
      </c>
      <c r="L108" s="611">
        <v>23.360019261656848</v>
      </c>
      <c r="M108" s="611">
        <v>5.362188402201145</v>
      </c>
      <c r="N108" s="611">
        <v>1.3034813300305972</v>
      </c>
      <c r="O108" s="611">
        <v>42.989679667648574</v>
      </c>
      <c r="P108" s="611">
        <v>22.01365625</v>
      </c>
      <c r="Q108" s="611">
        <v>8.5890570413253253E-4</v>
      </c>
      <c r="R108" s="611">
        <v>202.024278119439</v>
      </c>
      <c r="S108" s="611">
        <v>22.25756234266839</v>
      </c>
      <c r="T108" s="611">
        <v>16.001347656250001</v>
      </c>
      <c r="U108" s="619">
        <v>339.74049386489929</v>
      </c>
      <c r="V108" s="51"/>
    </row>
    <row r="109" spans="3:22" x14ac:dyDescent="0.25">
      <c r="C109" s="618" t="s">
        <v>79</v>
      </c>
      <c r="D109" s="611">
        <v>0</v>
      </c>
      <c r="E109" s="611">
        <v>0</v>
      </c>
      <c r="F109" s="611">
        <v>2.548518600222561</v>
      </c>
      <c r="G109" s="611">
        <v>4.6064063696995508</v>
      </c>
      <c r="H109" s="611">
        <v>0</v>
      </c>
      <c r="I109" s="611">
        <v>0.39196782379108752</v>
      </c>
      <c r="J109" s="611">
        <v>0</v>
      </c>
      <c r="K109" s="611">
        <v>0</v>
      </c>
      <c r="L109" s="611">
        <v>0</v>
      </c>
      <c r="M109" s="611">
        <v>0</v>
      </c>
      <c r="N109" s="611">
        <v>19.508637074329002</v>
      </c>
      <c r="O109" s="611">
        <v>7.4473886520306625</v>
      </c>
      <c r="P109" s="611">
        <v>0</v>
      </c>
      <c r="Q109" s="611">
        <v>0</v>
      </c>
      <c r="R109" s="611">
        <v>117.90461095014412</v>
      </c>
      <c r="S109" s="611">
        <v>0</v>
      </c>
      <c r="T109" s="611">
        <v>6.9740998058852091</v>
      </c>
      <c r="U109" s="619">
        <v>159.38162927610219</v>
      </c>
      <c r="V109" s="51"/>
    </row>
    <row r="110" spans="3:22" x14ac:dyDescent="0.25">
      <c r="C110" s="618" t="s">
        <v>80</v>
      </c>
      <c r="D110" s="611">
        <v>0</v>
      </c>
      <c r="E110" s="611">
        <v>0</v>
      </c>
      <c r="F110" s="611">
        <v>0.35613019618188829</v>
      </c>
      <c r="G110" s="611">
        <v>0</v>
      </c>
      <c r="H110" s="611">
        <v>0</v>
      </c>
      <c r="I110" s="611">
        <v>0.92121942110506694</v>
      </c>
      <c r="J110" s="611">
        <v>0</v>
      </c>
      <c r="K110" s="611">
        <v>0</v>
      </c>
      <c r="L110" s="611">
        <v>30.406752837013876</v>
      </c>
      <c r="M110" s="611">
        <v>0</v>
      </c>
      <c r="N110" s="611">
        <v>0</v>
      </c>
      <c r="O110" s="611">
        <v>17.503169000996269</v>
      </c>
      <c r="P110" s="611">
        <v>105.40020235475453</v>
      </c>
      <c r="Q110" s="611">
        <v>3.1166998128913419</v>
      </c>
      <c r="R110" s="611">
        <v>133.64902180729109</v>
      </c>
      <c r="S110" s="611">
        <v>20.977029614075306</v>
      </c>
      <c r="T110" s="611">
        <v>0</v>
      </c>
      <c r="U110" s="619">
        <v>312.33022504430937</v>
      </c>
      <c r="V110" s="51"/>
    </row>
    <row r="111" spans="3:22" x14ac:dyDescent="0.25">
      <c r="C111" s="618" t="s">
        <v>81</v>
      </c>
      <c r="D111" s="611">
        <v>0</v>
      </c>
      <c r="E111" s="611">
        <v>0</v>
      </c>
      <c r="F111" s="611">
        <v>6.5854952123934399E-2</v>
      </c>
      <c r="G111" s="611">
        <v>0</v>
      </c>
      <c r="H111" s="611">
        <v>0</v>
      </c>
      <c r="I111" s="611">
        <v>0.31585874142938569</v>
      </c>
      <c r="J111" s="611">
        <v>0</v>
      </c>
      <c r="K111" s="611">
        <v>0</v>
      </c>
      <c r="L111" s="611">
        <v>0.45236993281073634</v>
      </c>
      <c r="M111" s="611">
        <v>0</v>
      </c>
      <c r="N111" s="611">
        <v>0</v>
      </c>
      <c r="O111" s="611">
        <v>6.0013160871583278</v>
      </c>
      <c r="P111" s="611">
        <v>52.288295873759658</v>
      </c>
      <c r="Q111" s="611">
        <v>3.3575351400940563</v>
      </c>
      <c r="R111" s="611">
        <v>111.32761597349254</v>
      </c>
      <c r="S111" s="611">
        <v>18.167862149010045</v>
      </c>
      <c r="T111" s="611">
        <v>0</v>
      </c>
      <c r="U111" s="619">
        <v>191.97670884987866</v>
      </c>
      <c r="V111" s="51"/>
    </row>
    <row r="112" spans="3:22" x14ac:dyDescent="0.25">
      <c r="C112" s="618" t="s">
        <v>82</v>
      </c>
      <c r="D112" s="611">
        <v>0</v>
      </c>
      <c r="E112" s="611">
        <v>0</v>
      </c>
      <c r="F112" s="611">
        <v>0.14607036001340537</v>
      </c>
      <c r="G112" s="611">
        <v>0</v>
      </c>
      <c r="H112" s="611">
        <v>0</v>
      </c>
      <c r="I112" s="611">
        <v>5.5011390628469027E-2</v>
      </c>
      <c r="J112" s="611">
        <v>0</v>
      </c>
      <c r="K112" s="611">
        <v>0</v>
      </c>
      <c r="L112" s="611">
        <v>3.9918011059239289</v>
      </c>
      <c r="M112" s="611">
        <v>0</v>
      </c>
      <c r="N112" s="611">
        <v>18.700816435906518</v>
      </c>
      <c r="O112" s="611">
        <v>1.0452164219409115</v>
      </c>
      <c r="P112" s="611">
        <v>1.5</v>
      </c>
      <c r="Q112" s="611">
        <v>2.1874070050904897</v>
      </c>
      <c r="R112" s="611">
        <v>6.9303674525217573</v>
      </c>
      <c r="S112" s="611">
        <v>0</v>
      </c>
      <c r="T112" s="611">
        <v>0.82604920070086296</v>
      </c>
      <c r="U112" s="619">
        <v>35.382739372726341</v>
      </c>
      <c r="V112" s="51"/>
    </row>
    <row r="113" spans="3:22" x14ac:dyDescent="0.25">
      <c r="C113" s="618" t="s">
        <v>354</v>
      </c>
      <c r="D113" s="611">
        <v>0</v>
      </c>
      <c r="E113" s="611">
        <v>0</v>
      </c>
      <c r="F113" s="611">
        <v>0</v>
      </c>
      <c r="G113" s="611">
        <v>0</v>
      </c>
      <c r="H113" s="611">
        <v>0</v>
      </c>
      <c r="I113" s="611">
        <v>0</v>
      </c>
      <c r="J113" s="611">
        <v>0</v>
      </c>
      <c r="K113" s="611">
        <v>0</v>
      </c>
      <c r="L113" s="611">
        <v>0</v>
      </c>
      <c r="M113" s="611">
        <v>0</v>
      </c>
      <c r="N113" s="611">
        <v>0</v>
      </c>
      <c r="O113" s="611">
        <v>0</v>
      </c>
      <c r="P113" s="611">
        <v>0</v>
      </c>
      <c r="Q113" s="611">
        <v>0</v>
      </c>
      <c r="R113" s="611">
        <v>11.7</v>
      </c>
      <c r="S113" s="611">
        <v>0</v>
      </c>
      <c r="T113" s="611">
        <v>0</v>
      </c>
      <c r="U113" s="619">
        <v>11.7</v>
      </c>
      <c r="V113" s="51"/>
    </row>
    <row r="114" spans="3:22" x14ac:dyDescent="0.25">
      <c r="C114" s="614" t="s">
        <v>83</v>
      </c>
      <c r="D114" s="615">
        <v>0.64129319091675452</v>
      </c>
      <c r="E114" s="615">
        <v>0</v>
      </c>
      <c r="F114" s="615">
        <v>4.6423055389522521</v>
      </c>
      <c r="G114" s="615">
        <v>4.6064063696995508</v>
      </c>
      <c r="H114" s="615">
        <v>0</v>
      </c>
      <c r="I114" s="615">
        <v>3.9444546849273663</v>
      </c>
      <c r="J114" s="615">
        <v>0</v>
      </c>
      <c r="K114" s="615">
        <v>0</v>
      </c>
      <c r="L114" s="615">
        <v>58.210943137405394</v>
      </c>
      <c r="M114" s="615">
        <v>5.362188402201145</v>
      </c>
      <c r="N114" s="615">
        <v>39.512934840266112</v>
      </c>
      <c r="O114" s="615">
        <v>74.986769829774744</v>
      </c>
      <c r="P114" s="615">
        <v>181.20215447851419</v>
      </c>
      <c r="Q114" s="615">
        <v>8.6625008637800214</v>
      </c>
      <c r="R114" s="615">
        <v>583.53589430288855</v>
      </c>
      <c r="S114" s="615">
        <v>61.402454105753748</v>
      </c>
      <c r="T114" s="615">
        <v>23.801496662836072</v>
      </c>
      <c r="U114" s="615">
        <v>1050.5117964079159</v>
      </c>
      <c r="V114" s="51"/>
    </row>
    <row r="115" spans="3:22" x14ac:dyDescent="0.25">
      <c r="C115" s="610" t="s">
        <v>84</v>
      </c>
      <c r="D115" s="611">
        <v>0</v>
      </c>
      <c r="E115" s="611">
        <v>0</v>
      </c>
      <c r="F115" s="611">
        <v>44.559074374942114</v>
      </c>
      <c r="G115" s="611">
        <v>2.9799029387007945</v>
      </c>
      <c r="H115" s="611">
        <v>3.2223770587889593</v>
      </c>
      <c r="I115" s="611">
        <v>0</v>
      </c>
      <c r="J115" s="611">
        <v>0</v>
      </c>
      <c r="K115" s="611">
        <v>0</v>
      </c>
      <c r="L115" s="611">
        <v>0.60656225364490568</v>
      </c>
      <c r="M115" s="611">
        <v>0</v>
      </c>
      <c r="N115" s="611">
        <v>50.341514757930035</v>
      </c>
      <c r="O115" s="611">
        <v>13.801033069140475</v>
      </c>
      <c r="P115" s="611">
        <v>0</v>
      </c>
      <c r="Q115" s="611">
        <v>0</v>
      </c>
      <c r="R115" s="611">
        <v>0</v>
      </c>
      <c r="S115" s="611">
        <v>0</v>
      </c>
      <c r="T115" s="611">
        <v>63.833639735754474</v>
      </c>
      <c r="U115" s="619">
        <v>179.34410418890175</v>
      </c>
      <c r="V115" s="51"/>
    </row>
    <row r="116" spans="3:22" x14ac:dyDescent="0.25">
      <c r="C116" s="614" t="s">
        <v>85</v>
      </c>
      <c r="D116" s="615">
        <v>0.64129319091675452</v>
      </c>
      <c r="E116" s="615">
        <v>0</v>
      </c>
      <c r="F116" s="615">
        <v>49.201379913894364</v>
      </c>
      <c r="G116" s="615">
        <v>7.5863093084003452</v>
      </c>
      <c r="H116" s="615">
        <v>3.2223770587889593</v>
      </c>
      <c r="I116" s="615">
        <v>3.9444546849273663</v>
      </c>
      <c r="J116" s="615">
        <v>0</v>
      </c>
      <c r="K116" s="615">
        <v>0</v>
      </c>
      <c r="L116" s="615">
        <v>58.817505391050297</v>
      </c>
      <c r="M116" s="615">
        <v>5.362188402201145</v>
      </c>
      <c r="N116" s="615">
        <v>89.85444959819614</v>
      </c>
      <c r="O116" s="615">
        <v>88.787802898915217</v>
      </c>
      <c r="P116" s="615">
        <v>181.20215447851419</v>
      </c>
      <c r="Q116" s="615">
        <v>8.6625008637800214</v>
      </c>
      <c r="R116" s="615">
        <v>583.53589430288855</v>
      </c>
      <c r="S116" s="615">
        <v>61.402454105753748</v>
      </c>
      <c r="T116" s="615">
        <v>87.635136398590546</v>
      </c>
      <c r="U116" s="615">
        <v>1229.8559005968177</v>
      </c>
      <c r="V116" s="51"/>
    </row>
    <row r="117" spans="3:22" x14ac:dyDescent="0.25">
      <c r="C117" s="51"/>
      <c r="D117" s="67">
        <v>0</v>
      </c>
      <c r="E117" s="67">
        <v>0</v>
      </c>
      <c r="F117" s="67">
        <v>0</v>
      </c>
      <c r="G117" s="67">
        <v>0</v>
      </c>
      <c r="H117" s="67">
        <v>0</v>
      </c>
      <c r="I117" s="67">
        <v>0</v>
      </c>
      <c r="J117" s="67">
        <v>0</v>
      </c>
      <c r="K117" s="67">
        <v>0</v>
      </c>
      <c r="L117" s="67">
        <v>0</v>
      </c>
      <c r="M117" s="67">
        <v>-2.9244114949733557E-4</v>
      </c>
      <c r="N117" s="67">
        <v>0</v>
      </c>
      <c r="O117" s="67">
        <v>-6.2172489379008766E-15</v>
      </c>
      <c r="P117" s="67">
        <v>0</v>
      </c>
      <c r="Q117" s="67">
        <v>0</v>
      </c>
      <c r="R117" s="67">
        <v>-1.1368683772161603E-13</v>
      </c>
      <c r="S117" s="67">
        <v>0</v>
      </c>
      <c r="T117" s="67">
        <v>1.7763568394002505E-14</v>
      </c>
      <c r="U117" s="67">
        <v>-2.9244114966786583E-4</v>
      </c>
      <c r="V117" s="51"/>
    </row>
    <row r="118" spans="3:22" x14ac:dyDescent="0.25">
      <c r="C118" s="51"/>
      <c r="D118" s="51"/>
      <c r="E118" s="51"/>
      <c r="F118" s="51"/>
      <c r="G118" s="51"/>
      <c r="H118" s="51"/>
      <c r="I118" s="51"/>
      <c r="J118" s="51"/>
      <c r="K118" s="51"/>
      <c r="L118" s="51"/>
      <c r="M118" s="51"/>
      <c r="N118" s="51"/>
      <c r="O118" s="51"/>
      <c r="P118" s="51"/>
      <c r="Q118" s="51"/>
      <c r="R118" s="51"/>
      <c r="S118" s="51"/>
      <c r="T118" s="51"/>
      <c r="U118" s="51"/>
      <c r="V118" s="51"/>
    </row>
  </sheetData>
  <mergeCells count="42">
    <mergeCell ref="K84:K85"/>
    <mergeCell ref="L84:Q84"/>
    <mergeCell ref="R84:R85"/>
    <mergeCell ref="S84:S85"/>
    <mergeCell ref="T84:T85"/>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S47:S48"/>
    <mergeCell ref="C47:C48"/>
    <mergeCell ref="D47:D48"/>
    <mergeCell ref="E47:E48"/>
    <mergeCell ref="F47:F48"/>
    <mergeCell ref="G47:G48"/>
    <mergeCell ref="H47:H48"/>
    <mergeCell ref="U10:U11"/>
    <mergeCell ref="C10:C11"/>
    <mergeCell ref="D10:D11"/>
    <mergeCell ref="E10:E11"/>
    <mergeCell ref="F10:F11"/>
    <mergeCell ref="G10:G11"/>
    <mergeCell ref="H10:H11"/>
    <mergeCell ref="I10:I11"/>
    <mergeCell ref="J10:J11"/>
    <mergeCell ref="K10:K11"/>
    <mergeCell ref="L10:Q10"/>
    <mergeCell ref="R10:R11"/>
    <mergeCell ref="S10:S11"/>
    <mergeCell ref="T10:T11"/>
  </mergeCells>
  <conditionalFormatting sqref="D12:U18">
    <cfRule type="containsBlanks" dxfId="571" priority="5">
      <formula>LEN(TRIM(D12))=0</formula>
    </cfRule>
  </conditionalFormatting>
  <conditionalFormatting sqref="D12:U42">
    <cfRule type="cellIs" dxfId="570" priority="6" operator="equal">
      <formula>0</formula>
    </cfRule>
  </conditionalFormatting>
  <conditionalFormatting sqref="D20:U32">
    <cfRule type="containsBlanks" dxfId="569" priority="15">
      <formula>LEN(TRIM(D20))=0</formula>
    </cfRule>
  </conditionalFormatting>
  <conditionalFormatting sqref="D34:U42">
    <cfRule type="containsBlanks" dxfId="568" priority="16">
      <formula>LEN(TRIM(D34))=0</formula>
    </cfRule>
  </conditionalFormatting>
  <conditionalFormatting sqref="D49:U55">
    <cfRule type="containsBlanks" dxfId="567" priority="3">
      <formula>LEN(TRIM(D49))=0</formula>
    </cfRule>
  </conditionalFormatting>
  <conditionalFormatting sqref="D49:U79">
    <cfRule type="cellIs" dxfId="566" priority="4" operator="equal">
      <formula>0</formula>
    </cfRule>
  </conditionalFormatting>
  <conditionalFormatting sqref="D57:U69">
    <cfRule type="containsBlanks" dxfId="565" priority="21">
      <formula>LEN(TRIM(D57))=0</formula>
    </cfRule>
  </conditionalFormatting>
  <conditionalFormatting sqref="D71:U79">
    <cfRule type="containsBlanks" dxfId="564" priority="22">
      <formula>LEN(TRIM(D71))=0</formula>
    </cfRule>
  </conditionalFormatting>
  <conditionalFormatting sqref="D86:U92">
    <cfRule type="containsBlanks" dxfId="563" priority="1">
      <formula>LEN(TRIM(D86))=0</formula>
    </cfRule>
  </conditionalFormatting>
  <conditionalFormatting sqref="D86:U116">
    <cfRule type="cellIs" dxfId="562" priority="2" operator="equal">
      <formula>0</formula>
    </cfRule>
  </conditionalFormatting>
  <conditionalFormatting sqref="D94:U106">
    <cfRule type="containsBlanks" dxfId="561" priority="27">
      <formula>LEN(TRIM(D94))=0</formula>
    </cfRule>
  </conditionalFormatting>
  <conditionalFormatting sqref="D108:U116">
    <cfRule type="containsBlanks" dxfId="560" priority="28">
      <formula>LEN(TRIM(D108))=0</formula>
    </cfRule>
  </conditionalFormatting>
  <conditionalFormatting sqref="F13:F14">
    <cfRule type="cellIs" dxfId="559" priority="19" operator="equal">
      <formula>0</formula>
    </cfRule>
  </conditionalFormatting>
  <conditionalFormatting sqref="F50:F51">
    <cfRule type="cellIs" dxfId="558" priority="25" operator="equal">
      <formula>0</formula>
    </cfRule>
  </conditionalFormatting>
  <conditionalFormatting sqref="F87:F88">
    <cfRule type="cellIs" dxfId="557" priority="31" operator="equal">
      <formula>0</formula>
    </cfRule>
  </conditionalFormatting>
  <conditionalFormatting sqref="L13:L17">
    <cfRule type="cellIs" dxfId="556" priority="18" operator="equal">
      <formula>0</formula>
    </cfRule>
  </conditionalFormatting>
  <conditionalFormatting sqref="L50:L54">
    <cfRule type="cellIs" dxfId="555" priority="24" operator="equal">
      <formula>0</formula>
    </cfRule>
  </conditionalFormatting>
  <conditionalFormatting sqref="L87:L91">
    <cfRule type="cellIs" dxfId="554" priority="30" operator="equal">
      <formula>0</formula>
    </cfRule>
  </conditionalFormatting>
  <conditionalFormatting sqref="L11:Q11">
    <cfRule type="cellIs" dxfId="553" priority="35" operator="equal">
      <formula>0</formula>
    </cfRule>
  </conditionalFormatting>
  <conditionalFormatting sqref="L48:Q48">
    <cfRule type="cellIs" dxfId="552" priority="34" operator="equal">
      <formula>0</formula>
    </cfRule>
  </conditionalFormatting>
  <conditionalFormatting sqref="L85:Q85">
    <cfRule type="cellIs" dxfId="551" priority="33" operator="equal">
      <formula>0</formula>
    </cfRule>
  </conditionalFormatting>
  <conditionalFormatting sqref="P13:Q17">
    <cfRule type="cellIs" dxfId="550" priority="17" operator="equal">
      <formula>0</formula>
    </cfRule>
  </conditionalFormatting>
  <conditionalFormatting sqref="P50:Q54">
    <cfRule type="cellIs" dxfId="549" priority="23" operator="equal">
      <formula>0</formula>
    </cfRule>
  </conditionalFormatting>
  <conditionalFormatting sqref="P87:Q91">
    <cfRule type="cellIs" dxfId="548" priority="29" operator="equal">
      <formula>0</formula>
    </cfRule>
  </conditionalFormatting>
  <conditionalFormatting sqref="R12:R14">
    <cfRule type="cellIs" dxfId="547" priority="20" operator="equal">
      <formula>0</formula>
    </cfRule>
  </conditionalFormatting>
  <conditionalFormatting sqref="R49:R51">
    <cfRule type="cellIs" dxfId="546" priority="26" operator="equal">
      <formula>0</formula>
    </cfRule>
  </conditionalFormatting>
  <conditionalFormatting sqref="R86:R88">
    <cfRule type="cellIs" dxfId="545" priority="32" operator="equal">
      <formula>0</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FAD0A-9E31-406E-AFA8-88E3F08E0B6F}">
  <dimension ref="C2:V81"/>
  <sheetViews>
    <sheetView workbookViewId="0"/>
  </sheetViews>
  <sheetFormatPr baseColWidth="10" defaultRowHeight="15" x14ac:dyDescent="0.25"/>
  <sheetData>
    <row r="2" spans="3:22" ht="18.75" x14ac:dyDescent="0.3">
      <c r="C2" s="600" t="s">
        <v>406</v>
      </c>
      <c r="D2" s="599"/>
      <c r="E2" s="599"/>
      <c r="F2" s="599"/>
      <c r="G2" s="599"/>
      <c r="H2" s="599"/>
      <c r="I2" s="599"/>
      <c r="J2" s="599"/>
      <c r="K2" s="599"/>
      <c r="L2" s="599"/>
      <c r="M2" s="599"/>
      <c r="N2" s="599"/>
      <c r="O2" s="599"/>
      <c r="P2" s="599"/>
      <c r="Q2" s="599"/>
      <c r="R2" s="599"/>
      <c r="S2" s="599"/>
      <c r="T2" s="599"/>
      <c r="U2" s="599"/>
      <c r="V2" s="599"/>
    </row>
    <row r="3" spans="3:22" x14ac:dyDescent="0.25">
      <c r="C3" s="51"/>
      <c r="D3" s="51"/>
      <c r="E3" s="51"/>
      <c r="F3" s="51"/>
      <c r="G3" s="51"/>
      <c r="H3" s="51"/>
      <c r="I3" s="51"/>
      <c r="J3" s="51"/>
      <c r="K3" s="51"/>
      <c r="L3" s="51"/>
      <c r="M3" s="51"/>
      <c r="N3" s="51"/>
      <c r="O3" s="51"/>
      <c r="P3" s="51"/>
      <c r="Q3" s="51"/>
      <c r="R3" s="51"/>
      <c r="S3" s="51"/>
      <c r="T3" s="51"/>
      <c r="U3" s="51"/>
      <c r="V3" s="51"/>
    </row>
    <row r="4" spans="3:22" ht="15.75" x14ac:dyDescent="0.25">
      <c r="C4" s="603" t="s">
        <v>338</v>
      </c>
      <c r="D4" s="602" t="s">
        <v>481</v>
      </c>
      <c r="E4" s="602"/>
      <c r="F4" s="602"/>
      <c r="G4" s="602"/>
      <c r="H4" s="602"/>
      <c r="I4" s="602"/>
      <c r="J4" s="602"/>
      <c r="K4" s="604"/>
      <c r="L4" s="604"/>
      <c r="M4" s="604"/>
      <c r="N4" s="604"/>
      <c r="O4" s="604"/>
      <c r="P4" s="604"/>
      <c r="Q4" s="604"/>
      <c r="R4" s="602"/>
      <c r="S4" s="602"/>
      <c r="T4" s="602"/>
      <c r="U4" s="602"/>
      <c r="V4" s="602"/>
    </row>
    <row r="5" spans="3:22" ht="15.75" x14ac:dyDescent="0.25">
      <c r="C5" s="603" t="s">
        <v>341</v>
      </c>
      <c r="D5" s="602" t="s">
        <v>342</v>
      </c>
      <c r="E5" s="602"/>
      <c r="F5" s="602"/>
      <c r="G5" s="602"/>
      <c r="H5" s="602"/>
      <c r="I5" s="602"/>
      <c r="J5" s="602"/>
      <c r="K5" s="602"/>
      <c r="L5" s="602"/>
      <c r="M5" s="602"/>
      <c r="N5" s="602"/>
      <c r="O5" s="602"/>
      <c r="P5" s="602"/>
      <c r="Q5" s="602"/>
      <c r="R5" s="602"/>
      <c r="S5" s="602"/>
      <c r="T5" s="602"/>
      <c r="U5" s="602"/>
      <c r="V5" s="602"/>
    </row>
    <row r="6" spans="3:22" x14ac:dyDescent="0.25">
      <c r="C6" s="51"/>
      <c r="D6" s="51"/>
      <c r="E6" s="51"/>
      <c r="F6" s="51"/>
      <c r="G6" s="51"/>
      <c r="H6" s="51"/>
      <c r="I6" s="51"/>
      <c r="J6" s="51"/>
      <c r="K6" s="51"/>
      <c r="L6" s="51"/>
      <c r="M6" s="51"/>
      <c r="N6" s="51"/>
      <c r="O6" s="51"/>
      <c r="P6" s="51"/>
      <c r="Q6" s="51"/>
      <c r="R6" s="51"/>
      <c r="S6" s="51"/>
      <c r="T6" s="51"/>
      <c r="U6" s="51"/>
      <c r="V6" s="51"/>
    </row>
    <row r="7" spans="3:22" x14ac:dyDescent="0.25">
      <c r="C7" s="51"/>
      <c r="D7" s="51"/>
      <c r="E7" s="51"/>
      <c r="F7" s="51"/>
      <c r="G7" s="51"/>
      <c r="H7" s="51"/>
      <c r="I7" s="51"/>
      <c r="J7" s="51"/>
      <c r="K7" s="51"/>
      <c r="L7" s="51"/>
      <c r="M7" s="51"/>
      <c r="N7" s="51"/>
      <c r="O7" s="51"/>
      <c r="P7" s="51"/>
      <c r="Q7" s="51"/>
      <c r="R7" s="51"/>
      <c r="S7" s="51"/>
      <c r="T7" s="51"/>
      <c r="U7" s="51"/>
      <c r="V7" s="51"/>
    </row>
    <row r="8" spans="3:22" x14ac:dyDescent="0.25">
      <c r="C8" s="607" t="s">
        <v>361</v>
      </c>
      <c r="D8" s="606"/>
      <c r="E8" s="606"/>
      <c r="F8" s="606"/>
      <c r="G8" s="682"/>
      <c r="H8" s="606"/>
      <c r="I8" s="606"/>
      <c r="J8" s="606"/>
      <c r="K8" s="606"/>
      <c r="L8" s="606"/>
      <c r="M8" s="606"/>
      <c r="N8" s="606"/>
      <c r="O8" s="606"/>
      <c r="P8" s="606"/>
      <c r="Q8" s="606"/>
      <c r="R8" s="606"/>
      <c r="S8" s="606"/>
      <c r="T8" s="606"/>
      <c r="U8" s="606"/>
      <c r="V8" s="606"/>
    </row>
    <row r="9" spans="3:22" x14ac:dyDescent="0.25">
      <c r="C9" s="51"/>
      <c r="D9" s="51"/>
      <c r="E9" s="51"/>
      <c r="F9" s="51"/>
      <c r="G9" s="67"/>
      <c r="H9" s="51"/>
      <c r="I9" s="51"/>
      <c r="J9" s="51"/>
      <c r="K9" s="51"/>
      <c r="L9" s="51"/>
      <c r="M9" s="51"/>
      <c r="N9" s="51"/>
      <c r="O9" s="51"/>
      <c r="P9" s="51"/>
      <c r="Q9" s="51"/>
      <c r="R9" s="51"/>
      <c r="S9" s="51"/>
      <c r="T9" s="51"/>
      <c r="U9" s="51"/>
      <c r="V9" s="51"/>
    </row>
    <row r="10" spans="3:22" x14ac:dyDescent="0.25">
      <c r="C10" s="764" t="s">
        <v>128</v>
      </c>
      <c r="D10" s="753" t="s">
        <v>42</v>
      </c>
      <c r="E10" s="753" t="s">
        <v>52</v>
      </c>
      <c r="F10" s="753" t="s">
        <v>53</v>
      </c>
      <c r="G10" s="766" t="s">
        <v>482</v>
      </c>
      <c r="H10" s="753" t="s">
        <v>32</v>
      </c>
      <c r="I10" s="753" t="s">
        <v>483</v>
      </c>
      <c r="J10" s="753" t="s">
        <v>20</v>
      </c>
      <c r="K10" s="753" t="s">
        <v>55</v>
      </c>
      <c r="L10" s="761" t="s">
        <v>56</v>
      </c>
      <c r="M10" s="762"/>
      <c r="N10" s="762"/>
      <c r="O10" s="762"/>
      <c r="P10" s="762"/>
      <c r="Q10" s="763"/>
      <c r="R10" s="753" t="s">
        <v>57</v>
      </c>
      <c r="S10" s="753" t="s">
        <v>58</v>
      </c>
      <c r="T10" s="753" t="s">
        <v>31</v>
      </c>
      <c r="U10" s="753" t="s">
        <v>10</v>
      </c>
      <c r="V10" s="51"/>
    </row>
    <row r="11" spans="3:22" ht="36" x14ac:dyDescent="0.25">
      <c r="C11" s="765"/>
      <c r="D11" s="754"/>
      <c r="E11" s="754"/>
      <c r="F11" s="754"/>
      <c r="G11" s="767"/>
      <c r="H11" s="754"/>
      <c r="I11" s="754"/>
      <c r="J11" s="754"/>
      <c r="K11" s="754"/>
      <c r="L11" s="608" t="s">
        <v>335</v>
      </c>
      <c r="M11" s="608" t="s">
        <v>40</v>
      </c>
      <c r="N11" s="608" t="s">
        <v>343</v>
      </c>
      <c r="O11" s="608" t="s">
        <v>344</v>
      </c>
      <c r="P11" s="609" t="s">
        <v>345</v>
      </c>
      <c r="Q11" s="608" t="s">
        <v>346</v>
      </c>
      <c r="R11" s="754"/>
      <c r="S11" s="754"/>
      <c r="T11" s="754"/>
      <c r="U11" s="754"/>
      <c r="V11" s="51"/>
    </row>
    <row r="12" spans="3:22" x14ac:dyDescent="0.25">
      <c r="C12" s="610" t="s">
        <v>59</v>
      </c>
      <c r="D12" s="611">
        <v>0</v>
      </c>
      <c r="E12" s="611">
        <v>0</v>
      </c>
      <c r="F12" s="611">
        <v>0</v>
      </c>
      <c r="G12" s="611">
        <v>0</v>
      </c>
      <c r="H12" s="611">
        <v>0</v>
      </c>
      <c r="I12" s="611">
        <v>0</v>
      </c>
      <c r="J12" s="612">
        <v>971.10439999999994</v>
      </c>
      <c r="K12" s="612">
        <v>503.30122823446823</v>
      </c>
      <c r="L12" s="612">
        <v>553.7386987974063</v>
      </c>
      <c r="M12" s="612">
        <v>22.517285388994253</v>
      </c>
      <c r="N12" s="611">
        <v>1.6797912871987437</v>
      </c>
      <c r="O12" s="611">
        <v>0.17065445399605614</v>
      </c>
      <c r="P12" s="612">
        <v>160.35247642536672</v>
      </c>
      <c r="Q12" s="612">
        <v>27.882172545404352</v>
      </c>
      <c r="R12" s="611">
        <v>0</v>
      </c>
      <c r="S12" s="611">
        <v>0</v>
      </c>
      <c r="T12" s="611">
        <v>0</v>
      </c>
      <c r="U12" s="613">
        <v>2162.1116664730239</v>
      </c>
      <c r="V12" s="51"/>
    </row>
    <row r="13" spans="3:22" x14ac:dyDescent="0.25">
      <c r="C13" s="610" t="s">
        <v>60</v>
      </c>
      <c r="D13" s="611">
        <v>1.6567330370836562</v>
      </c>
      <c r="E13" s="611">
        <v>156.10342406212303</v>
      </c>
      <c r="F13" s="611">
        <v>2.9590354993625017</v>
      </c>
      <c r="G13" s="611">
        <v>0</v>
      </c>
      <c r="H13" s="611">
        <v>65.398571921383947</v>
      </c>
      <c r="I13" s="611">
        <v>0</v>
      </c>
      <c r="J13" s="611">
        <v>0</v>
      </c>
      <c r="K13" s="611">
        <v>0</v>
      </c>
      <c r="L13" s="611">
        <v>4.8125993033158778</v>
      </c>
      <c r="M13" s="611">
        <v>0</v>
      </c>
      <c r="N13" s="611">
        <v>6.2295354537228107</v>
      </c>
      <c r="O13" s="611">
        <v>0</v>
      </c>
      <c r="P13" s="611">
        <v>0</v>
      </c>
      <c r="Q13" s="611">
        <v>0</v>
      </c>
      <c r="R13" s="611">
        <v>1.5669656114845338</v>
      </c>
      <c r="S13" s="611">
        <v>0</v>
      </c>
      <c r="T13" s="611">
        <v>0</v>
      </c>
      <c r="U13" s="613">
        <v>238.72686488847637</v>
      </c>
      <c r="V13" s="51"/>
    </row>
    <row r="14" spans="3:22" x14ac:dyDescent="0.25">
      <c r="C14" s="610" t="s">
        <v>61</v>
      </c>
      <c r="D14" s="611">
        <v>0</v>
      </c>
      <c r="E14" s="611">
        <v>0</v>
      </c>
      <c r="F14" s="611">
        <v>-44.750319921178004</v>
      </c>
      <c r="G14" s="611">
        <v>-7.4420014649377606</v>
      </c>
      <c r="H14" s="611">
        <v>0</v>
      </c>
      <c r="I14" s="611">
        <v>0</v>
      </c>
      <c r="J14" s="611">
        <v>0</v>
      </c>
      <c r="K14" s="611">
        <v>0</v>
      </c>
      <c r="L14" s="611">
        <v>0</v>
      </c>
      <c r="M14" s="611">
        <v>0</v>
      </c>
      <c r="N14" s="611">
        <v>0</v>
      </c>
      <c r="O14" s="611">
        <v>0</v>
      </c>
      <c r="P14" s="611">
        <v>0</v>
      </c>
      <c r="Q14" s="611">
        <v>0</v>
      </c>
      <c r="R14" s="611">
        <v>0</v>
      </c>
      <c r="S14" s="611">
        <v>0</v>
      </c>
      <c r="T14" s="611">
        <v>0</v>
      </c>
      <c r="U14" s="613">
        <v>-52.192321386115765</v>
      </c>
      <c r="V14" s="51"/>
    </row>
    <row r="15" spans="3:22" x14ac:dyDescent="0.25">
      <c r="C15" s="610" t="s">
        <v>62</v>
      </c>
      <c r="D15" s="611">
        <v>0</v>
      </c>
      <c r="E15" s="611">
        <v>0</v>
      </c>
      <c r="F15" s="611">
        <v>-2.5439781787400757</v>
      </c>
      <c r="G15" s="611">
        <v>-5.1073400578201751</v>
      </c>
      <c r="H15" s="611">
        <v>0</v>
      </c>
      <c r="I15" s="611">
        <v>-4.025065184691706</v>
      </c>
      <c r="J15" s="611">
        <v>0</v>
      </c>
      <c r="K15" s="611">
        <v>0</v>
      </c>
      <c r="L15" s="611">
        <v>0</v>
      </c>
      <c r="M15" s="611">
        <v>0</v>
      </c>
      <c r="N15" s="611">
        <v>-1.4642875778969737</v>
      </c>
      <c r="O15" s="611">
        <v>-2.6833767897944703</v>
      </c>
      <c r="P15" s="611">
        <v>0</v>
      </c>
      <c r="Q15" s="611">
        <v>0</v>
      </c>
      <c r="R15" s="611">
        <v>0</v>
      </c>
      <c r="S15" s="611">
        <v>0</v>
      </c>
      <c r="T15" s="611">
        <v>-1.8096944583874461</v>
      </c>
      <c r="U15" s="613">
        <v>-17.633742247330847</v>
      </c>
      <c r="V15" s="51"/>
    </row>
    <row r="16" spans="3:22" x14ac:dyDescent="0.25">
      <c r="C16" s="610" t="s">
        <v>63</v>
      </c>
      <c r="D16" s="611">
        <v>0</v>
      </c>
      <c r="E16" s="611">
        <v>0</v>
      </c>
      <c r="F16" s="611">
        <v>-26.066537028283065</v>
      </c>
      <c r="G16" s="611">
        <v>-15.61159587816994</v>
      </c>
      <c r="H16" s="611">
        <v>0</v>
      </c>
      <c r="I16" s="611">
        <v>0</v>
      </c>
      <c r="J16" s="611">
        <v>0</v>
      </c>
      <c r="K16" s="611">
        <v>0</v>
      </c>
      <c r="L16" s="611">
        <v>0</v>
      </c>
      <c r="M16" s="611">
        <v>0</v>
      </c>
      <c r="N16" s="611">
        <v>-15.61159587816994</v>
      </c>
      <c r="O16" s="611">
        <v>0</v>
      </c>
      <c r="P16" s="611">
        <v>0</v>
      </c>
      <c r="Q16" s="611">
        <v>0</v>
      </c>
      <c r="R16" s="611">
        <v>0</v>
      </c>
      <c r="S16" s="611">
        <v>0</v>
      </c>
      <c r="T16" s="611">
        <v>-5.1590895167519655</v>
      </c>
      <c r="U16" s="613">
        <v>-62.448818301374899</v>
      </c>
      <c r="V16" s="51"/>
    </row>
    <row r="17" spans="3:22" x14ac:dyDescent="0.25">
      <c r="C17" s="610" t="s">
        <v>64</v>
      </c>
      <c r="D17" s="611">
        <v>0</v>
      </c>
      <c r="E17" s="611">
        <v>0</v>
      </c>
      <c r="F17" s="611">
        <v>0</v>
      </c>
      <c r="G17" s="611">
        <v>0</v>
      </c>
      <c r="H17" s="611">
        <v>0</v>
      </c>
      <c r="I17" s="611">
        <v>0</v>
      </c>
      <c r="J17" s="611">
        <v>0</v>
      </c>
      <c r="K17" s="611">
        <v>0</v>
      </c>
      <c r="L17" s="611">
        <v>0</v>
      </c>
      <c r="M17" s="611">
        <v>0</v>
      </c>
      <c r="N17" s="611">
        <v>0</v>
      </c>
      <c r="O17" s="611">
        <v>0</v>
      </c>
      <c r="P17" s="611">
        <v>0</v>
      </c>
      <c r="Q17" s="611">
        <v>0</v>
      </c>
      <c r="R17" s="611">
        <v>0</v>
      </c>
      <c r="S17" s="611">
        <v>0</v>
      </c>
      <c r="T17" s="611">
        <v>0</v>
      </c>
      <c r="U17" s="613">
        <v>0</v>
      </c>
      <c r="V17" s="51"/>
    </row>
    <row r="18" spans="3:22" x14ac:dyDescent="0.25">
      <c r="C18" s="614" t="s">
        <v>65</v>
      </c>
      <c r="D18" s="615">
        <v>1.6567330370836562</v>
      </c>
      <c r="E18" s="615">
        <v>156.10342406212303</v>
      </c>
      <c r="F18" s="615">
        <v>-70.401799628838646</v>
      </c>
      <c r="G18" s="615">
        <v>-28.160937400927875</v>
      </c>
      <c r="H18" s="615">
        <v>65.398571921383947</v>
      </c>
      <c r="I18" s="615">
        <v>-4.025065184691706</v>
      </c>
      <c r="J18" s="615">
        <v>971.10439999999994</v>
      </c>
      <c r="K18" s="615">
        <v>503.30122823446823</v>
      </c>
      <c r="L18" s="615">
        <v>558.55129810072219</v>
      </c>
      <c r="M18" s="615">
        <v>22.517285388994253</v>
      </c>
      <c r="N18" s="615">
        <v>-9.166556715145358</v>
      </c>
      <c r="O18" s="615">
        <v>-2.5127223357984141</v>
      </c>
      <c r="P18" s="615">
        <v>160.35247642536672</v>
      </c>
      <c r="Q18" s="615">
        <v>27.882172545404352</v>
      </c>
      <c r="R18" s="615">
        <v>1.5669656114845338</v>
      </c>
      <c r="S18" s="615">
        <v>0</v>
      </c>
      <c r="T18" s="615">
        <v>-6.9687839751394112</v>
      </c>
      <c r="U18" s="615">
        <v>2268.5636494266787</v>
      </c>
      <c r="V18" s="51"/>
    </row>
    <row r="19" spans="3:22" x14ac:dyDescent="0.25">
      <c r="C19" s="616"/>
      <c r="D19" s="617"/>
      <c r="E19" s="617"/>
      <c r="F19" s="617"/>
      <c r="G19" s="617"/>
      <c r="H19" s="623"/>
      <c r="I19" s="617"/>
      <c r="J19" s="617"/>
      <c r="K19" s="617"/>
      <c r="L19" s="617"/>
      <c r="M19" s="617"/>
      <c r="N19" s="617"/>
      <c r="O19" s="617"/>
      <c r="P19" s="617"/>
      <c r="Q19" s="617"/>
      <c r="R19" s="617"/>
      <c r="S19" s="617"/>
      <c r="T19" s="617"/>
      <c r="U19" s="617"/>
      <c r="V19" s="51"/>
    </row>
    <row r="20" spans="3:22" x14ac:dyDescent="0.25">
      <c r="C20" s="618" t="s">
        <v>67</v>
      </c>
      <c r="D20" s="611">
        <v>0</v>
      </c>
      <c r="E20" s="611">
        <v>0</v>
      </c>
      <c r="F20" s="611">
        <v>0</v>
      </c>
      <c r="G20" s="611">
        <v>0</v>
      </c>
      <c r="H20" s="611">
        <v>0</v>
      </c>
      <c r="I20" s="611">
        <v>0</v>
      </c>
      <c r="J20" s="611">
        <v>0</v>
      </c>
      <c r="K20" s="611">
        <v>0</v>
      </c>
      <c r="L20" s="611">
        <v>0</v>
      </c>
      <c r="M20" s="611">
        <v>0</v>
      </c>
      <c r="N20" s="611">
        <v>0</v>
      </c>
      <c r="O20" s="611">
        <v>0</v>
      </c>
      <c r="P20" s="611">
        <v>0</v>
      </c>
      <c r="Q20" s="611">
        <v>0</v>
      </c>
      <c r="R20" s="611">
        <v>0</v>
      </c>
      <c r="S20" s="611">
        <v>0</v>
      </c>
      <c r="T20" s="611">
        <v>0</v>
      </c>
      <c r="U20" s="619">
        <v>0</v>
      </c>
      <c r="V20" s="51"/>
    </row>
    <row r="21" spans="3:22" x14ac:dyDescent="0.25">
      <c r="C21" s="618" t="s">
        <v>347</v>
      </c>
      <c r="D21" s="611">
        <v>0</v>
      </c>
      <c r="E21" s="611">
        <v>0</v>
      </c>
      <c r="F21" s="611">
        <v>0</v>
      </c>
      <c r="G21" s="611">
        <v>0</v>
      </c>
      <c r="H21" s="611">
        <v>0.44776646808510651</v>
      </c>
      <c r="I21" s="611">
        <v>0</v>
      </c>
      <c r="J21" s="611">
        <v>971.10439999999994</v>
      </c>
      <c r="K21" s="611">
        <v>503.30122823446823</v>
      </c>
      <c r="L21" s="611">
        <v>21.804355968386723</v>
      </c>
      <c r="M21" s="611">
        <v>0.79830335172961686</v>
      </c>
      <c r="N21" s="611">
        <v>6.3451610040287907</v>
      </c>
      <c r="O21" s="611">
        <v>1.1589812304406033</v>
      </c>
      <c r="P21" s="611">
        <v>0</v>
      </c>
      <c r="Q21" s="611">
        <v>6.4766550958451852</v>
      </c>
      <c r="R21" s="611">
        <v>-877.35778523876502</v>
      </c>
      <c r="S21" s="611">
        <v>0</v>
      </c>
      <c r="T21" s="611">
        <v>5.1921899999999992</v>
      </c>
      <c r="U21" s="619">
        <v>639.27125611421911</v>
      </c>
      <c r="V21" s="51"/>
    </row>
    <row r="22" spans="3:22" x14ac:dyDescent="0.25">
      <c r="C22" s="618" t="s">
        <v>348</v>
      </c>
      <c r="D22" s="611">
        <v>0</v>
      </c>
      <c r="E22" s="611">
        <v>0</v>
      </c>
      <c r="F22" s="611">
        <v>0</v>
      </c>
      <c r="G22" s="611">
        <v>0</v>
      </c>
      <c r="H22" s="611">
        <v>3.6836143722811543</v>
      </c>
      <c r="I22" s="611">
        <v>0</v>
      </c>
      <c r="J22" s="611">
        <v>0</v>
      </c>
      <c r="K22" s="611">
        <v>0</v>
      </c>
      <c r="L22" s="611">
        <v>40.200993580916169</v>
      </c>
      <c r="M22" s="611">
        <v>15.993931464043541</v>
      </c>
      <c r="N22" s="611">
        <v>0</v>
      </c>
      <c r="O22" s="611">
        <v>8.6102116440449823</v>
      </c>
      <c r="P22" s="611">
        <v>0</v>
      </c>
      <c r="Q22" s="611">
        <v>12.931404798436995</v>
      </c>
      <c r="R22" s="611">
        <v>0</v>
      </c>
      <c r="S22" s="611">
        <v>-76.852774852064456</v>
      </c>
      <c r="T22" s="611">
        <v>0</v>
      </c>
      <c r="U22" s="619">
        <v>4.5673810076583976</v>
      </c>
      <c r="V22" s="51"/>
    </row>
    <row r="23" spans="3:22" x14ac:dyDescent="0.25">
      <c r="C23" s="618" t="s">
        <v>349</v>
      </c>
      <c r="D23" s="611">
        <v>0</v>
      </c>
      <c r="E23" s="611">
        <v>0</v>
      </c>
      <c r="F23" s="611">
        <v>0</v>
      </c>
      <c r="G23" s="611">
        <v>0</v>
      </c>
      <c r="H23" s="611">
        <v>0</v>
      </c>
      <c r="I23" s="611">
        <v>0</v>
      </c>
      <c r="J23" s="611">
        <v>0</v>
      </c>
      <c r="K23" s="611">
        <v>0</v>
      </c>
      <c r="L23" s="611">
        <v>197.49661512974453</v>
      </c>
      <c r="M23" s="611">
        <v>0</v>
      </c>
      <c r="N23" s="611">
        <v>0</v>
      </c>
      <c r="O23" s="611">
        <v>-108.62313832135951</v>
      </c>
      <c r="P23" s="611">
        <v>0</v>
      </c>
      <c r="Q23" s="611">
        <v>0</v>
      </c>
      <c r="R23" s="611">
        <v>0</v>
      </c>
      <c r="S23" s="611">
        <v>0</v>
      </c>
      <c r="T23" s="611">
        <v>0</v>
      </c>
      <c r="U23" s="619">
        <v>88.873476808385021</v>
      </c>
      <c r="V23" s="51"/>
    </row>
    <row r="24" spans="3:22" x14ac:dyDescent="0.25">
      <c r="C24" s="618" t="s">
        <v>350</v>
      </c>
      <c r="D24" s="611">
        <v>0</v>
      </c>
      <c r="E24" s="611">
        <v>0</v>
      </c>
      <c r="F24" s="611">
        <v>0</v>
      </c>
      <c r="G24" s="611">
        <v>0</v>
      </c>
      <c r="H24" s="611">
        <v>0</v>
      </c>
      <c r="I24" s="611">
        <v>-5.4417790238549113</v>
      </c>
      <c r="J24" s="611">
        <v>0</v>
      </c>
      <c r="K24" s="611">
        <v>0</v>
      </c>
      <c r="L24" s="611">
        <v>0</v>
      </c>
      <c r="M24" s="611">
        <v>0</v>
      </c>
      <c r="N24" s="611">
        <v>0</v>
      </c>
      <c r="O24" s="611">
        <v>0</v>
      </c>
      <c r="P24" s="611">
        <v>0</v>
      </c>
      <c r="Q24" s="611">
        <v>0</v>
      </c>
      <c r="R24" s="611">
        <v>0</v>
      </c>
      <c r="S24" s="611">
        <v>0</v>
      </c>
      <c r="T24" s="611">
        <v>7.1912846116196816</v>
      </c>
      <c r="U24" s="619">
        <v>1.7495055877647703</v>
      </c>
      <c r="V24" s="51"/>
    </row>
    <row r="25" spans="3:22" x14ac:dyDescent="0.25">
      <c r="C25" s="618" t="s">
        <v>72</v>
      </c>
      <c r="D25" s="611">
        <v>0</v>
      </c>
      <c r="E25" s="611">
        <v>161.75289728424144</v>
      </c>
      <c r="F25" s="611">
        <v>-160.13983967974238</v>
      </c>
      <c r="G25" s="611">
        <v>0</v>
      </c>
      <c r="H25" s="611">
        <v>0</v>
      </c>
      <c r="I25" s="611">
        <v>0</v>
      </c>
      <c r="J25" s="611">
        <v>0</v>
      </c>
      <c r="K25" s="611">
        <v>0</v>
      </c>
      <c r="L25" s="611">
        <v>0</v>
      </c>
      <c r="M25" s="611">
        <v>0</v>
      </c>
      <c r="N25" s="611">
        <v>0</v>
      </c>
      <c r="O25" s="611">
        <v>0</v>
      </c>
      <c r="P25" s="611">
        <v>0</v>
      </c>
      <c r="Q25" s="611">
        <v>0</v>
      </c>
      <c r="R25" s="611">
        <v>0</v>
      </c>
      <c r="S25" s="611">
        <v>0</v>
      </c>
      <c r="T25" s="611">
        <v>0</v>
      </c>
      <c r="U25" s="619">
        <v>1.6130576044990619</v>
      </c>
      <c r="V25" s="51"/>
    </row>
    <row r="26" spans="3:22" x14ac:dyDescent="0.25">
      <c r="C26" s="618" t="s">
        <v>351</v>
      </c>
      <c r="D26" s="611">
        <v>0</v>
      </c>
      <c r="E26" s="611">
        <v>0</v>
      </c>
      <c r="F26" s="611">
        <v>0</v>
      </c>
      <c r="G26" s="611">
        <v>0</v>
      </c>
      <c r="H26" s="611">
        <v>0</v>
      </c>
      <c r="I26" s="611">
        <v>0</v>
      </c>
      <c r="J26" s="611">
        <v>0</v>
      </c>
      <c r="K26" s="611">
        <v>0</v>
      </c>
      <c r="L26" s="611">
        <v>239.48141610667173</v>
      </c>
      <c r="M26" s="611">
        <v>0</v>
      </c>
      <c r="N26" s="611">
        <v>-131.71477885866946</v>
      </c>
      <c r="O26" s="611">
        <v>0</v>
      </c>
      <c r="P26" s="611">
        <v>0</v>
      </c>
      <c r="Q26" s="611">
        <v>0</v>
      </c>
      <c r="R26" s="611">
        <v>0</v>
      </c>
      <c r="S26" s="611">
        <v>0</v>
      </c>
      <c r="T26" s="611">
        <v>0</v>
      </c>
      <c r="U26" s="619">
        <v>107.76663724800227</v>
      </c>
      <c r="V26" s="51"/>
    </row>
    <row r="27" spans="3:22" x14ac:dyDescent="0.25">
      <c r="C27" s="618" t="s">
        <v>352</v>
      </c>
      <c r="D27" s="611">
        <v>0</v>
      </c>
      <c r="E27" s="611">
        <v>0</v>
      </c>
      <c r="F27" s="611">
        <v>0</v>
      </c>
      <c r="G27" s="611">
        <v>-33.473815441656178</v>
      </c>
      <c r="H27" s="611">
        <v>0</v>
      </c>
      <c r="I27" s="611">
        <v>0</v>
      </c>
      <c r="J27" s="611">
        <v>0</v>
      </c>
      <c r="K27" s="611">
        <v>0</v>
      </c>
      <c r="L27" s="611">
        <v>0</v>
      </c>
      <c r="M27" s="611">
        <v>0</v>
      </c>
      <c r="N27" s="611">
        <v>0</v>
      </c>
      <c r="O27" s="611">
        <v>0</v>
      </c>
      <c r="P27" s="611">
        <v>0</v>
      </c>
      <c r="Q27" s="611">
        <v>0</v>
      </c>
      <c r="R27" s="611">
        <v>0</v>
      </c>
      <c r="S27" s="611">
        <v>0</v>
      </c>
      <c r="T27" s="611">
        <v>43.527837875314049</v>
      </c>
      <c r="U27" s="619">
        <v>10.05402243365787</v>
      </c>
      <c r="V27" s="51"/>
    </row>
    <row r="28" spans="3:22" x14ac:dyDescent="0.25">
      <c r="C28" s="618" t="s">
        <v>73</v>
      </c>
      <c r="D28" s="611">
        <v>0</v>
      </c>
      <c r="E28" s="611">
        <v>0</v>
      </c>
      <c r="F28" s="611">
        <v>0</v>
      </c>
      <c r="G28" s="611">
        <v>0</v>
      </c>
      <c r="H28" s="611">
        <v>0</v>
      </c>
      <c r="I28" s="611">
        <v>0</v>
      </c>
      <c r="J28" s="611">
        <v>0</v>
      </c>
      <c r="K28" s="611">
        <v>0</v>
      </c>
      <c r="L28" s="611">
        <v>0</v>
      </c>
      <c r="M28" s="611">
        <v>0</v>
      </c>
      <c r="N28" s="611">
        <v>0</v>
      </c>
      <c r="O28" s="611">
        <v>0</v>
      </c>
      <c r="P28" s="611">
        <v>0</v>
      </c>
      <c r="Q28" s="611">
        <v>0</v>
      </c>
      <c r="R28" s="611">
        <v>186.11023230577996</v>
      </c>
      <c r="S28" s="611">
        <v>0</v>
      </c>
      <c r="T28" s="611">
        <v>-130.74243819481043</v>
      </c>
      <c r="U28" s="619">
        <v>55.367794110969527</v>
      </c>
      <c r="V28" s="51"/>
    </row>
    <row r="29" spans="3:22" x14ac:dyDescent="0.25">
      <c r="C29" s="618" t="s">
        <v>353</v>
      </c>
      <c r="D29" s="611">
        <v>0</v>
      </c>
      <c r="E29" s="611">
        <v>-5.6494732221184147</v>
      </c>
      <c r="F29" s="611">
        <v>7.3669989850431641</v>
      </c>
      <c r="G29" s="611">
        <v>0</v>
      </c>
      <c r="H29" s="611">
        <v>0</v>
      </c>
      <c r="I29" s="611">
        <v>0</v>
      </c>
      <c r="J29" s="611">
        <v>0</v>
      </c>
      <c r="K29" s="611">
        <v>0</v>
      </c>
      <c r="L29" s="611">
        <v>0</v>
      </c>
      <c r="M29" s="611">
        <v>0</v>
      </c>
      <c r="N29" s="611">
        <v>0</v>
      </c>
      <c r="O29" s="611">
        <v>0</v>
      </c>
      <c r="P29" s="611">
        <v>0</v>
      </c>
      <c r="Q29" s="611">
        <v>0</v>
      </c>
      <c r="R29" s="611">
        <v>0</v>
      </c>
      <c r="S29" s="611">
        <v>0</v>
      </c>
      <c r="T29" s="611">
        <v>0</v>
      </c>
      <c r="U29" s="619">
        <v>1.7175257629247493</v>
      </c>
      <c r="V29" s="51"/>
    </row>
    <row r="30" spans="3:22" x14ac:dyDescent="0.25">
      <c r="C30" s="618" t="s">
        <v>75</v>
      </c>
      <c r="D30" s="611">
        <v>0</v>
      </c>
      <c r="E30" s="611">
        <v>0</v>
      </c>
      <c r="F30" s="611">
        <v>5.5408288295361077</v>
      </c>
      <c r="G30" s="611">
        <v>0</v>
      </c>
      <c r="H30" s="611">
        <v>1.9377811160090992</v>
      </c>
      <c r="I30" s="611">
        <v>4.9686695282284594E-2</v>
      </c>
      <c r="J30" s="611">
        <v>0</v>
      </c>
      <c r="K30" s="611">
        <v>0</v>
      </c>
      <c r="L30" s="611">
        <v>0</v>
      </c>
      <c r="M30" s="611">
        <v>0</v>
      </c>
      <c r="N30" s="611">
        <v>0</v>
      </c>
      <c r="O30" s="611">
        <v>2.9812017169370755</v>
      </c>
      <c r="P30" s="611">
        <v>0</v>
      </c>
      <c r="Q30" s="611">
        <v>0</v>
      </c>
      <c r="R30" s="611">
        <v>65.428671005307493</v>
      </c>
      <c r="S30" s="611">
        <v>0</v>
      </c>
      <c r="T30" s="611">
        <v>0</v>
      </c>
      <c r="U30" s="619">
        <v>75.938169363072063</v>
      </c>
      <c r="V30" s="51"/>
    </row>
    <row r="31" spans="3:22" x14ac:dyDescent="0.25">
      <c r="C31" s="618" t="s">
        <v>76</v>
      </c>
      <c r="D31" s="611">
        <v>0</v>
      </c>
      <c r="E31" s="611">
        <v>0</v>
      </c>
      <c r="F31" s="611">
        <v>0</v>
      </c>
      <c r="G31" s="611">
        <v>0</v>
      </c>
      <c r="H31" s="611">
        <v>0.7188454721720291</v>
      </c>
      <c r="I31" s="611">
        <v>1.8431935183898181E-2</v>
      </c>
      <c r="J31" s="611">
        <v>0</v>
      </c>
      <c r="K31" s="611">
        <v>0</v>
      </c>
      <c r="L31" s="611">
        <v>0</v>
      </c>
      <c r="M31" s="611">
        <v>0</v>
      </c>
      <c r="N31" s="611">
        <v>0</v>
      </c>
      <c r="O31" s="611">
        <v>1.1059161110338909</v>
      </c>
      <c r="P31" s="611">
        <v>0</v>
      </c>
      <c r="Q31" s="611">
        <v>0</v>
      </c>
      <c r="R31" s="611">
        <v>67.277885678660326</v>
      </c>
      <c r="S31" s="611">
        <v>5.9601865374675969</v>
      </c>
      <c r="T31" s="611">
        <v>0</v>
      </c>
      <c r="U31" s="619">
        <v>75.081265734517743</v>
      </c>
      <c r="V31" s="51"/>
    </row>
    <row r="32" spans="3:22" x14ac:dyDescent="0.25">
      <c r="C32" s="614" t="s">
        <v>77</v>
      </c>
      <c r="D32" s="615">
        <v>0</v>
      </c>
      <c r="E32" s="615">
        <v>156.10342406212303</v>
      </c>
      <c r="F32" s="615">
        <v>-147.23201186516312</v>
      </c>
      <c r="G32" s="615">
        <v>-33.473815441656178</v>
      </c>
      <c r="H32" s="615">
        <v>6.7880074285473899</v>
      </c>
      <c r="I32" s="615">
        <v>-5.3736603933887288</v>
      </c>
      <c r="J32" s="615">
        <v>971.10439999999994</v>
      </c>
      <c r="K32" s="615">
        <v>503.30122823446823</v>
      </c>
      <c r="L32" s="615">
        <v>498.98338078571919</v>
      </c>
      <c r="M32" s="615">
        <v>16.79223481577316</v>
      </c>
      <c r="N32" s="615">
        <v>-125.36961785464067</v>
      </c>
      <c r="O32" s="615">
        <v>-94.766827618902951</v>
      </c>
      <c r="P32" s="615">
        <v>0</v>
      </c>
      <c r="Q32" s="615">
        <v>19.408059894282182</v>
      </c>
      <c r="R32" s="615">
        <v>-558.54099624901721</v>
      </c>
      <c r="S32" s="615">
        <v>-70.892588314596864</v>
      </c>
      <c r="T32" s="615">
        <v>-74.831125707876708</v>
      </c>
      <c r="U32" s="615">
        <v>983.36505111586007</v>
      </c>
      <c r="V32" s="51"/>
    </row>
    <row r="33" spans="3:22" x14ac:dyDescent="0.25">
      <c r="C33" s="616"/>
      <c r="D33" s="617"/>
      <c r="E33" s="617"/>
      <c r="F33" s="617"/>
      <c r="G33" s="617"/>
      <c r="H33" s="623"/>
      <c r="I33" s="617"/>
      <c r="J33" s="617"/>
      <c r="K33" s="617"/>
      <c r="L33" s="617"/>
      <c r="M33" s="617"/>
      <c r="N33" s="617"/>
      <c r="O33" s="617"/>
      <c r="P33" s="617"/>
      <c r="Q33" s="617"/>
      <c r="R33" s="617"/>
      <c r="S33" s="617"/>
      <c r="T33" s="617"/>
      <c r="U33" s="617"/>
      <c r="V33" s="51"/>
    </row>
    <row r="34" spans="3:22" x14ac:dyDescent="0.25">
      <c r="C34" s="618" t="s">
        <v>78</v>
      </c>
      <c r="D34" s="611">
        <v>1.6567330370836562</v>
      </c>
      <c r="E34" s="611">
        <v>0</v>
      </c>
      <c r="F34" s="611">
        <v>2.8599897491525303</v>
      </c>
      <c r="G34" s="611">
        <v>0</v>
      </c>
      <c r="H34" s="611">
        <v>23.2042782425182</v>
      </c>
      <c r="I34" s="611">
        <v>0.59498149339790252</v>
      </c>
      <c r="J34" s="611">
        <v>0</v>
      </c>
      <c r="K34" s="611">
        <v>0</v>
      </c>
      <c r="L34" s="611">
        <v>22.611451120736024</v>
      </c>
      <c r="M34" s="611">
        <v>5.7247037459588501</v>
      </c>
      <c r="N34" s="611">
        <v>2.4891014214733991</v>
      </c>
      <c r="O34" s="611">
        <v>35.740239810905898</v>
      </c>
      <c r="P34" s="611">
        <v>17.613589843749999</v>
      </c>
      <c r="Q34" s="611">
        <v>8.4299170840015686E-4</v>
      </c>
      <c r="R34" s="611">
        <v>187.94943106568476</v>
      </c>
      <c r="S34" s="611">
        <v>21.3497147946984</v>
      </c>
      <c r="T34" s="611">
        <v>13.7914765625</v>
      </c>
      <c r="U34" s="619">
        <v>335.58653387956804</v>
      </c>
      <c r="V34" s="51"/>
    </row>
    <row r="35" spans="3:22" x14ac:dyDescent="0.25">
      <c r="C35" s="618" t="s">
        <v>79</v>
      </c>
      <c r="D35" s="611">
        <v>0</v>
      </c>
      <c r="E35" s="611">
        <v>0</v>
      </c>
      <c r="F35" s="611">
        <v>7.0212023016086675</v>
      </c>
      <c r="G35" s="611">
        <v>2.7990026147409606</v>
      </c>
      <c r="H35" s="611">
        <v>3.0363171620819989</v>
      </c>
      <c r="I35" s="611">
        <v>7.7854286207230741E-2</v>
      </c>
      <c r="J35" s="611">
        <v>0</v>
      </c>
      <c r="K35" s="611">
        <v>0</v>
      </c>
      <c r="L35" s="611">
        <v>0</v>
      </c>
      <c r="M35" s="611">
        <v>0</v>
      </c>
      <c r="N35" s="611">
        <v>56.581202021290558</v>
      </c>
      <c r="O35" s="611">
        <v>4.6712571724338439</v>
      </c>
      <c r="P35" s="611">
        <v>0</v>
      </c>
      <c r="Q35" s="611">
        <v>0</v>
      </c>
      <c r="R35" s="611">
        <v>112.24073946586431</v>
      </c>
      <c r="S35" s="611">
        <v>0</v>
      </c>
      <c r="T35" s="611">
        <v>6.497399181335763</v>
      </c>
      <c r="U35" s="619">
        <v>192.92497420556333</v>
      </c>
      <c r="V35" s="51"/>
    </row>
    <row r="36" spans="3:22" x14ac:dyDescent="0.25">
      <c r="C36" s="618" t="s">
        <v>80</v>
      </c>
      <c r="D36" s="611">
        <v>0</v>
      </c>
      <c r="E36" s="611">
        <v>0</v>
      </c>
      <c r="F36" s="611">
        <v>0.5196546933255638</v>
      </c>
      <c r="G36" s="611">
        <v>0</v>
      </c>
      <c r="H36" s="611">
        <v>17.665666251647078</v>
      </c>
      <c r="I36" s="611">
        <v>0.45296580132428405</v>
      </c>
      <c r="J36" s="611">
        <v>0</v>
      </c>
      <c r="K36" s="611">
        <v>0</v>
      </c>
      <c r="L36" s="611">
        <v>32.483470327644831</v>
      </c>
      <c r="M36" s="611">
        <v>0</v>
      </c>
      <c r="N36" s="611">
        <v>0</v>
      </c>
      <c r="O36" s="611">
        <v>27.177948079457042</v>
      </c>
      <c r="P36" s="611">
        <v>90.68630521236868</v>
      </c>
      <c r="Q36" s="611">
        <v>2.9879226579899409</v>
      </c>
      <c r="R36" s="611">
        <v>137.5160572196865</v>
      </c>
      <c r="S36" s="611">
        <v>31.144088053921816</v>
      </c>
      <c r="T36" s="611">
        <v>0</v>
      </c>
      <c r="U36" s="619">
        <v>340.6340782973657</v>
      </c>
      <c r="V36" s="51"/>
    </row>
    <row r="37" spans="3:22" x14ac:dyDescent="0.25">
      <c r="C37" s="618" t="s">
        <v>81</v>
      </c>
      <c r="D37" s="611">
        <v>0</v>
      </c>
      <c r="E37" s="611">
        <v>0</v>
      </c>
      <c r="F37" s="611">
        <v>0.35831407094137846</v>
      </c>
      <c r="G37" s="611">
        <v>0</v>
      </c>
      <c r="H37" s="611">
        <v>8.1489414973021788</v>
      </c>
      <c r="I37" s="611">
        <v>0.20894721787954304</v>
      </c>
      <c r="J37" s="611">
        <v>0</v>
      </c>
      <c r="K37" s="611">
        <v>0</v>
      </c>
      <c r="L37" s="611">
        <v>0.5</v>
      </c>
      <c r="M37" s="611">
        <v>0</v>
      </c>
      <c r="N37" s="611">
        <v>0</v>
      </c>
      <c r="O37" s="611">
        <v>12.536833072772582</v>
      </c>
      <c r="P37" s="611">
        <v>50.802581369248031</v>
      </c>
      <c r="Q37" s="611">
        <v>3.7413333081760056</v>
      </c>
      <c r="R37" s="611">
        <v>109.69037743929238</v>
      </c>
      <c r="S37" s="611">
        <v>18.398785465976633</v>
      </c>
      <c r="T37" s="611">
        <v>0</v>
      </c>
      <c r="U37" s="619">
        <v>204.38611344158875</v>
      </c>
      <c r="V37" s="51"/>
    </row>
    <row r="38" spans="3:22" x14ac:dyDescent="0.25">
      <c r="C38" s="618" t="s">
        <v>82</v>
      </c>
      <c r="D38" s="611">
        <v>0</v>
      </c>
      <c r="E38" s="611">
        <v>0</v>
      </c>
      <c r="F38" s="611">
        <v>3.6269592260559613</v>
      </c>
      <c r="G38" s="611">
        <v>0</v>
      </c>
      <c r="H38" s="611">
        <v>0.54000998563441127</v>
      </c>
      <c r="I38" s="611">
        <v>1.3846409888061828E-2</v>
      </c>
      <c r="J38" s="611">
        <v>0</v>
      </c>
      <c r="K38" s="611">
        <v>0</v>
      </c>
      <c r="L38" s="611">
        <v>3.5</v>
      </c>
      <c r="M38" s="611">
        <v>0</v>
      </c>
      <c r="N38" s="611">
        <v>18.837710420943388</v>
      </c>
      <c r="O38" s="611">
        <v>0.83078459328370968</v>
      </c>
      <c r="P38" s="611">
        <v>1.25</v>
      </c>
      <c r="Q38" s="611">
        <v>1.7440136932478227</v>
      </c>
      <c r="R38" s="611">
        <v>6.9437566699737134</v>
      </c>
      <c r="S38" s="611">
        <v>0</v>
      </c>
      <c r="T38" s="611">
        <v>0.68427420359697799</v>
      </c>
      <c r="U38" s="619">
        <v>37.971355202624046</v>
      </c>
      <c r="V38" s="51"/>
    </row>
    <row r="39" spans="3:22" x14ac:dyDescent="0.25">
      <c r="C39" s="618" t="s">
        <v>354</v>
      </c>
      <c r="D39" s="611">
        <v>0</v>
      </c>
      <c r="E39" s="611">
        <v>0</v>
      </c>
      <c r="F39" s="611">
        <v>0</v>
      </c>
      <c r="G39" s="611">
        <v>0</v>
      </c>
      <c r="H39" s="611">
        <v>0</v>
      </c>
      <c r="I39" s="611">
        <v>0</v>
      </c>
      <c r="J39" s="611">
        <v>0</v>
      </c>
      <c r="K39" s="611">
        <v>0</v>
      </c>
      <c r="L39" s="611">
        <v>0</v>
      </c>
      <c r="M39" s="611">
        <v>0</v>
      </c>
      <c r="N39" s="611">
        <v>0</v>
      </c>
      <c r="O39" s="611">
        <v>0</v>
      </c>
      <c r="P39" s="611">
        <v>0</v>
      </c>
      <c r="Q39" s="611">
        <v>0</v>
      </c>
      <c r="R39" s="611">
        <v>5.7675999999999998</v>
      </c>
      <c r="S39" s="611">
        <v>0</v>
      </c>
      <c r="T39" s="611">
        <v>0</v>
      </c>
      <c r="U39" s="619">
        <v>5.7675999999999998</v>
      </c>
      <c r="V39" s="51"/>
    </row>
    <row r="40" spans="3:22" x14ac:dyDescent="0.25">
      <c r="C40" s="614" t="s">
        <v>83</v>
      </c>
      <c r="D40" s="615">
        <v>1.6567330370836562</v>
      </c>
      <c r="E40" s="615">
        <v>0</v>
      </c>
      <c r="F40" s="615">
        <v>14.386120041084101</v>
      </c>
      <c r="G40" s="615">
        <v>2.7990026147409606</v>
      </c>
      <c r="H40" s="615">
        <v>52.595213139183869</v>
      </c>
      <c r="I40" s="615">
        <v>1.3485952086970221</v>
      </c>
      <c r="J40" s="615">
        <v>0</v>
      </c>
      <c r="K40" s="615">
        <v>0</v>
      </c>
      <c r="L40" s="615">
        <v>59.094921448380859</v>
      </c>
      <c r="M40" s="615">
        <v>5.7247037459588501</v>
      </c>
      <c r="N40" s="615">
        <v>77.908013863707339</v>
      </c>
      <c r="O40" s="615">
        <v>80.957062728853074</v>
      </c>
      <c r="P40" s="615">
        <v>160.35247642536672</v>
      </c>
      <c r="Q40" s="615">
        <v>8.4741126511221694</v>
      </c>
      <c r="R40" s="615">
        <v>560.10796186050163</v>
      </c>
      <c r="S40" s="615">
        <v>70.89258831459685</v>
      </c>
      <c r="T40" s="615">
        <v>20.973149947432741</v>
      </c>
      <c r="U40" s="615">
        <v>1117.2706550267096</v>
      </c>
      <c r="V40" s="51"/>
    </row>
    <row r="41" spans="3:22" x14ac:dyDescent="0.25">
      <c r="C41" s="610" t="s">
        <v>84</v>
      </c>
      <c r="D41" s="611">
        <v>0</v>
      </c>
      <c r="E41" s="611">
        <v>0</v>
      </c>
      <c r="F41" s="611">
        <v>62.444092195240373</v>
      </c>
      <c r="G41" s="611">
        <v>2.5138754259873437</v>
      </c>
      <c r="H41" s="611">
        <v>6.0153513536527026</v>
      </c>
      <c r="I41" s="611">
        <v>0</v>
      </c>
      <c r="J41" s="611">
        <v>0</v>
      </c>
      <c r="K41" s="611">
        <v>0</v>
      </c>
      <c r="L41" s="611">
        <v>0.4729958666220917</v>
      </c>
      <c r="M41" s="611">
        <v>0</v>
      </c>
      <c r="N41" s="611">
        <v>38.295047275787958</v>
      </c>
      <c r="O41" s="611">
        <v>11.297042554251473</v>
      </c>
      <c r="P41" s="611">
        <v>0</v>
      </c>
      <c r="Q41" s="611">
        <v>0</v>
      </c>
      <c r="R41" s="611">
        <v>0</v>
      </c>
      <c r="S41" s="611">
        <v>0</v>
      </c>
      <c r="T41" s="611">
        <v>46.889191785304561</v>
      </c>
      <c r="U41" s="619">
        <v>167.92759645684652</v>
      </c>
      <c r="V41" s="51"/>
    </row>
    <row r="42" spans="3:22" x14ac:dyDescent="0.25">
      <c r="C42" s="614" t="s">
        <v>85</v>
      </c>
      <c r="D42" s="615">
        <v>1.6567330370836562</v>
      </c>
      <c r="E42" s="615">
        <v>0</v>
      </c>
      <c r="F42" s="615">
        <v>76.830212236324471</v>
      </c>
      <c r="G42" s="615">
        <v>5.3128780407283038</v>
      </c>
      <c r="H42" s="615">
        <v>58.610564492836573</v>
      </c>
      <c r="I42" s="615">
        <v>1.3485952086970221</v>
      </c>
      <c r="J42" s="615">
        <v>0</v>
      </c>
      <c r="K42" s="615">
        <v>0</v>
      </c>
      <c r="L42" s="615">
        <v>59.567917315002951</v>
      </c>
      <c r="M42" s="615">
        <v>5.7247037459588501</v>
      </c>
      <c r="N42" s="615">
        <v>116.2030611394953</v>
      </c>
      <c r="O42" s="615">
        <v>92.25410528310455</v>
      </c>
      <c r="P42" s="615">
        <v>160.35247642536672</v>
      </c>
      <c r="Q42" s="615">
        <v>8.4741126511221694</v>
      </c>
      <c r="R42" s="615">
        <v>560.10796186050163</v>
      </c>
      <c r="S42" s="615">
        <v>70.89258831459685</v>
      </c>
      <c r="T42" s="615">
        <v>67.862341732737306</v>
      </c>
      <c r="U42" s="615">
        <v>1285.1982514835561</v>
      </c>
      <c r="V42" s="51"/>
    </row>
    <row r="43" spans="3:22" x14ac:dyDescent="0.25">
      <c r="C43" s="51"/>
      <c r="D43" s="67">
        <v>0</v>
      </c>
      <c r="E43" s="67">
        <v>0</v>
      </c>
      <c r="F43" s="67">
        <v>0</v>
      </c>
      <c r="G43" s="67">
        <v>0</v>
      </c>
      <c r="H43" s="67">
        <v>0</v>
      </c>
      <c r="I43" s="67">
        <v>0</v>
      </c>
      <c r="J43" s="67">
        <v>0</v>
      </c>
      <c r="K43" s="67">
        <v>0</v>
      </c>
      <c r="L43" s="67">
        <v>0</v>
      </c>
      <c r="M43" s="67">
        <v>-3.4682726224133376E-4</v>
      </c>
      <c r="N43" s="67">
        <v>0</v>
      </c>
      <c r="O43" s="67">
        <v>1.3322676295501878E-14</v>
      </c>
      <c r="P43" s="67">
        <v>0</v>
      </c>
      <c r="Q43" s="67">
        <v>0</v>
      </c>
      <c r="R43" s="67">
        <v>-1.1368683772161603E-13</v>
      </c>
      <c r="S43" s="67">
        <v>-1.4210854715202004E-14</v>
      </c>
      <c r="T43" s="67">
        <v>8.8817841970012523E-15</v>
      </c>
      <c r="U43" s="67">
        <v>-3.4682726254686713E-4</v>
      </c>
      <c r="V43" s="51"/>
    </row>
    <row r="44" spans="3:22" x14ac:dyDescent="0.25">
      <c r="C44" s="51"/>
      <c r="D44" s="51"/>
      <c r="E44" s="51"/>
      <c r="F44" s="51"/>
      <c r="G44" s="67"/>
      <c r="H44" s="51"/>
      <c r="I44" s="51"/>
      <c r="J44" s="51"/>
      <c r="K44" s="51"/>
      <c r="L44" s="51"/>
      <c r="M44" s="51"/>
      <c r="N44" s="51"/>
      <c r="O44" s="51"/>
      <c r="P44" s="51"/>
      <c r="Q44" s="51"/>
      <c r="R44" s="51"/>
      <c r="S44" s="51"/>
      <c r="T44" s="51"/>
      <c r="U44" s="51"/>
      <c r="V44" s="51"/>
    </row>
    <row r="45" spans="3:22" x14ac:dyDescent="0.25">
      <c r="C45" s="607" t="s">
        <v>89</v>
      </c>
      <c r="D45" s="606"/>
      <c r="E45" s="606"/>
      <c r="F45" s="606"/>
      <c r="G45" s="682"/>
      <c r="H45" s="606"/>
      <c r="I45" s="606"/>
      <c r="J45" s="606"/>
      <c r="K45" s="606"/>
      <c r="L45" s="606"/>
      <c r="M45" s="606"/>
      <c r="N45" s="606"/>
      <c r="O45" s="606"/>
      <c r="P45" s="606"/>
      <c r="Q45" s="606"/>
      <c r="R45" s="606"/>
      <c r="S45" s="606"/>
      <c r="T45" s="606"/>
      <c r="U45" s="606"/>
      <c r="V45" s="606"/>
    </row>
    <row r="46" spans="3:22" x14ac:dyDescent="0.25">
      <c r="C46" s="51"/>
      <c r="D46" s="51"/>
      <c r="E46" s="51"/>
      <c r="F46" s="51"/>
      <c r="G46" s="67"/>
      <c r="H46" s="51"/>
      <c r="I46" s="51"/>
      <c r="J46" s="51"/>
      <c r="K46" s="51"/>
      <c r="L46" s="51"/>
      <c r="M46" s="51"/>
      <c r="N46" s="51"/>
      <c r="O46" s="51"/>
      <c r="P46" s="51"/>
      <c r="Q46" s="51"/>
      <c r="R46" s="51"/>
      <c r="S46" s="51"/>
      <c r="T46" s="51"/>
      <c r="U46" s="51"/>
      <c r="V46" s="51"/>
    </row>
    <row r="47" spans="3:22" x14ac:dyDescent="0.25">
      <c r="C47" s="764" t="s">
        <v>128</v>
      </c>
      <c r="D47" s="753" t="s">
        <v>42</v>
      </c>
      <c r="E47" s="753" t="s">
        <v>52</v>
      </c>
      <c r="F47" s="753" t="s">
        <v>53</v>
      </c>
      <c r="G47" s="766" t="s">
        <v>482</v>
      </c>
      <c r="H47" s="753" t="s">
        <v>32</v>
      </c>
      <c r="I47" s="753" t="s">
        <v>483</v>
      </c>
      <c r="J47" s="753" t="s">
        <v>20</v>
      </c>
      <c r="K47" s="753" t="s">
        <v>55</v>
      </c>
      <c r="L47" s="761" t="s">
        <v>56</v>
      </c>
      <c r="M47" s="762"/>
      <c r="N47" s="762"/>
      <c r="O47" s="762"/>
      <c r="P47" s="762"/>
      <c r="Q47" s="763"/>
      <c r="R47" s="753" t="s">
        <v>57</v>
      </c>
      <c r="S47" s="753" t="s">
        <v>58</v>
      </c>
      <c r="T47" s="753" t="s">
        <v>31</v>
      </c>
      <c r="U47" s="753" t="s">
        <v>10</v>
      </c>
      <c r="V47" s="51"/>
    </row>
    <row r="48" spans="3:22" ht="36" x14ac:dyDescent="0.25">
      <c r="C48" s="765"/>
      <c r="D48" s="754"/>
      <c r="E48" s="754"/>
      <c r="F48" s="754"/>
      <c r="G48" s="767"/>
      <c r="H48" s="754"/>
      <c r="I48" s="754"/>
      <c r="J48" s="754"/>
      <c r="K48" s="754"/>
      <c r="L48" s="608" t="s">
        <v>335</v>
      </c>
      <c r="M48" s="608" t="s">
        <v>40</v>
      </c>
      <c r="N48" s="608" t="s">
        <v>343</v>
      </c>
      <c r="O48" s="608" t="s">
        <v>344</v>
      </c>
      <c r="P48" s="609" t="s">
        <v>345</v>
      </c>
      <c r="Q48" s="608" t="s">
        <v>346</v>
      </c>
      <c r="R48" s="754"/>
      <c r="S48" s="754"/>
      <c r="T48" s="754"/>
      <c r="U48" s="754"/>
      <c r="V48" s="51"/>
    </row>
    <row r="49" spans="3:22" x14ac:dyDescent="0.25">
      <c r="C49" s="610" t="s">
        <v>59</v>
      </c>
      <c r="D49" s="611">
        <v>0</v>
      </c>
      <c r="E49" s="611">
        <v>0</v>
      </c>
      <c r="F49" s="611">
        <v>0</v>
      </c>
      <c r="G49" s="611">
        <v>0</v>
      </c>
      <c r="H49" s="611">
        <v>0</v>
      </c>
      <c r="I49" s="611">
        <v>0</v>
      </c>
      <c r="J49" s="612">
        <v>759.92203636363649</v>
      </c>
      <c r="K49" s="612">
        <v>585.27007132862354</v>
      </c>
      <c r="L49" s="612">
        <v>421.01958402132601</v>
      </c>
      <c r="M49" s="612">
        <v>20.686642208021134</v>
      </c>
      <c r="N49" s="611">
        <v>1.5563580670349855</v>
      </c>
      <c r="O49" s="611">
        <v>0.17110271620039663</v>
      </c>
      <c r="P49" s="612">
        <v>181.20215447851419</v>
      </c>
      <c r="Q49" s="612">
        <v>27.103716579638188</v>
      </c>
      <c r="R49" s="611">
        <v>0</v>
      </c>
      <c r="S49" s="611">
        <v>0</v>
      </c>
      <c r="T49" s="611">
        <v>0</v>
      </c>
      <c r="U49" s="613">
        <v>1996.9316657629947</v>
      </c>
      <c r="V49" s="51"/>
    </row>
    <row r="50" spans="3:22" x14ac:dyDescent="0.25">
      <c r="C50" s="610" t="s">
        <v>60</v>
      </c>
      <c r="D50" s="611">
        <v>0.64129319091675452</v>
      </c>
      <c r="E50" s="611">
        <v>72.7588411322387</v>
      </c>
      <c r="F50" s="611">
        <v>1.9517818504706483</v>
      </c>
      <c r="G50" s="611">
        <v>0</v>
      </c>
      <c r="H50" s="611">
        <v>3.2223770587889593</v>
      </c>
      <c r="I50" s="611">
        <v>0</v>
      </c>
      <c r="J50" s="611">
        <v>0</v>
      </c>
      <c r="K50" s="611">
        <v>0</v>
      </c>
      <c r="L50" s="611">
        <v>5.2309321400654634</v>
      </c>
      <c r="M50" s="611">
        <v>0</v>
      </c>
      <c r="N50" s="611">
        <v>6.8353402019644598</v>
      </c>
      <c r="O50" s="611">
        <v>0</v>
      </c>
      <c r="P50" s="611">
        <v>0</v>
      </c>
      <c r="Q50" s="611">
        <v>0</v>
      </c>
      <c r="R50" s="611">
        <v>86.758204068598843</v>
      </c>
      <c r="S50" s="611">
        <v>0</v>
      </c>
      <c r="T50" s="611">
        <v>0</v>
      </c>
      <c r="U50" s="613">
        <v>177.39876964304383</v>
      </c>
      <c r="V50" s="51"/>
    </row>
    <row r="51" spans="3:22" x14ac:dyDescent="0.25">
      <c r="C51" s="610" t="s">
        <v>61</v>
      </c>
      <c r="D51" s="611">
        <v>0</v>
      </c>
      <c r="E51" s="611">
        <v>0</v>
      </c>
      <c r="F51" s="611">
        <v>-14.049213431109226</v>
      </c>
      <c r="G51" s="611">
        <v>-15.061852283906475</v>
      </c>
      <c r="H51" s="611">
        <v>0</v>
      </c>
      <c r="I51" s="611">
        <v>0</v>
      </c>
      <c r="J51" s="611">
        <v>0</v>
      </c>
      <c r="K51" s="611">
        <v>0</v>
      </c>
      <c r="L51" s="611">
        <v>0</v>
      </c>
      <c r="M51" s="611">
        <v>0</v>
      </c>
      <c r="N51" s="611">
        <v>0</v>
      </c>
      <c r="O51" s="611">
        <v>0</v>
      </c>
      <c r="P51" s="611">
        <v>0</v>
      </c>
      <c r="Q51" s="611">
        <v>0</v>
      </c>
      <c r="R51" s="611">
        <v>0</v>
      </c>
      <c r="S51" s="611">
        <v>0</v>
      </c>
      <c r="T51" s="611">
        <v>0</v>
      </c>
      <c r="U51" s="613">
        <v>-29.111065715015702</v>
      </c>
      <c r="V51" s="51"/>
    </row>
    <row r="52" spans="3:22" x14ac:dyDescent="0.25">
      <c r="C52" s="610" t="s">
        <v>62</v>
      </c>
      <c r="D52" s="611">
        <v>0</v>
      </c>
      <c r="E52" s="611">
        <v>0</v>
      </c>
      <c r="F52" s="611">
        <v>0</v>
      </c>
      <c r="G52" s="611">
        <v>-6.1101617494546652</v>
      </c>
      <c r="H52" s="611">
        <v>0</v>
      </c>
      <c r="I52" s="611">
        <v>-4.4416564350684116</v>
      </c>
      <c r="J52" s="611">
        <v>0</v>
      </c>
      <c r="K52" s="611">
        <v>0</v>
      </c>
      <c r="L52" s="611">
        <v>0</v>
      </c>
      <c r="M52" s="611">
        <v>0</v>
      </c>
      <c r="N52" s="611">
        <v>-1.5423967884416028</v>
      </c>
      <c r="O52" s="611">
        <v>-2.9611042900456073</v>
      </c>
      <c r="P52" s="611">
        <v>0</v>
      </c>
      <c r="Q52" s="611">
        <v>0</v>
      </c>
      <c r="R52" s="611">
        <v>0</v>
      </c>
      <c r="S52" s="611">
        <v>0</v>
      </c>
      <c r="T52" s="611">
        <v>-2.4482488705422272</v>
      </c>
      <c r="U52" s="613">
        <v>-17.503568133552513</v>
      </c>
      <c r="V52" s="51"/>
    </row>
    <row r="53" spans="3:22" x14ac:dyDescent="0.25">
      <c r="C53" s="610" t="s">
        <v>63</v>
      </c>
      <c r="D53" s="611">
        <v>0</v>
      </c>
      <c r="E53" s="611">
        <v>0</v>
      </c>
      <c r="F53" s="611">
        <v>-7.3240777097484635</v>
      </c>
      <c r="G53" s="611">
        <v>-24.912603262820603</v>
      </c>
      <c r="H53" s="611">
        <v>0</v>
      </c>
      <c r="I53" s="611">
        <v>0</v>
      </c>
      <c r="J53" s="611">
        <v>0</v>
      </c>
      <c r="K53" s="611">
        <v>0</v>
      </c>
      <c r="L53" s="611">
        <v>0</v>
      </c>
      <c r="M53" s="611">
        <v>0</v>
      </c>
      <c r="N53" s="611">
        <v>-17.438822283974417</v>
      </c>
      <c r="O53" s="611">
        <v>0</v>
      </c>
      <c r="P53" s="611">
        <v>0</v>
      </c>
      <c r="Q53" s="611">
        <v>0</v>
      </c>
      <c r="R53" s="611">
        <v>0</v>
      </c>
      <c r="S53" s="611">
        <v>0</v>
      </c>
      <c r="T53" s="611">
        <v>-7.5807767073973409</v>
      </c>
      <c r="U53" s="613">
        <v>-57.256279963940827</v>
      </c>
      <c r="V53" s="51"/>
    </row>
    <row r="54" spans="3:22" x14ac:dyDescent="0.25">
      <c r="C54" s="610" t="s">
        <v>64</v>
      </c>
      <c r="D54" s="611">
        <v>0</v>
      </c>
      <c r="E54" s="611">
        <v>0</v>
      </c>
      <c r="F54" s="611">
        <v>0</v>
      </c>
      <c r="G54" s="611">
        <v>0</v>
      </c>
      <c r="H54" s="611">
        <v>0</v>
      </c>
      <c r="I54" s="611">
        <v>0</v>
      </c>
      <c r="J54" s="611">
        <v>0</v>
      </c>
      <c r="K54" s="611">
        <v>0</v>
      </c>
      <c r="L54" s="611">
        <v>0</v>
      </c>
      <c r="M54" s="611">
        <v>0</v>
      </c>
      <c r="N54" s="611">
        <v>0</v>
      </c>
      <c r="O54" s="611">
        <v>0</v>
      </c>
      <c r="P54" s="611">
        <v>0</v>
      </c>
      <c r="Q54" s="611">
        <v>0</v>
      </c>
      <c r="R54" s="611">
        <v>0</v>
      </c>
      <c r="S54" s="611">
        <v>0</v>
      </c>
      <c r="T54" s="611">
        <v>0</v>
      </c>
      <c r="U54" s="613">
        <v>0</v>
      </c>
      <c r="V54" s="51"/>
    </row>
    <row r="55" spans="3:22" x14ac:dyDescent="0.25">
      <c r="C55" s="614" t="s">
        <v>65</v>
      </c>
      <c r="D55" s="615">
        <v>0.64129319091675452</v>
      </c>
      <c r="E55" s="615">
        <v>72.7588411322387</v>
      </c>
      <c r="F55" s="615">
        <v>-19.421509290387043</v>
      </c>
      <c r="G55" s="615">
        <v>-46.084617296181747</v>
      </c>
      <c r="H55" s="615">
        <v>3.2223770587889593</v>
      </c>
      <c r="I55" s="615">
        <v>-4.4416564350684116</v>
      </c>
      <c r="J55" s="615">
        <v>759.92203636363649</v>
      </c>
      <c r="K55" s="615">
        <v>585.27007132862354</v>
      </c>
      <c r="L55" s="615">
        <v>426.25051616139149</v>
      </c>
      <c r="M55" s="615">
        <v>20.686642208021134</v>
      </c>
      <c r="N55" s="615">
        <v>-10.589520803416576</v>
      </c>
      <c r="O55" s="615">
        <v>-2.7900015738452106</v>
      </c>
      <c r="P55" s="615">
        <v>181.20215447851419</v>
      </c>
      <c r="Q55" s="615">
        <v>27.103716579638188</v>
      </c>
      <c r="R55" s="615">
        <v>86.758204068598843</v>
      </c>
      <c r="S55" s="615">
        <v>0</v>
      </c>
      <c r="T55" s="615">
        <v>-10.029025577939567</v>
      </c>
      <c r="U55" s="615">
        <v>2070.4595215935296</v>
      </c>
      <c r="V55" s="51"/>
    </row>
    <row r="56" spans="3:22" x14ac:dyDescent="0.25">
      <c r="C56" s="616"/>
      <c r="D56" s="617"/>
      <c r="E56" s="617"/>
      <c r="F56" s="617"/>
      <c r="G56" s="617"/>
      <c r="H56" s="623"/>
      <c r="I56" s="617"/>
      <c r="J56" s="617"/>
      <c r="K56" s="617"/>
      <c r="L56" s="617"/>
      <c r="M56" s="617"/>
      <c r="N56" s="617"/>
      <c r="O56" s="617"/>
      <c r="P56" s="617"/>
      <c r="Q56" s="617"/>
      <c r="R56" s="617"/>
      <c r="S56" s="617"/>
      <c r="T56" s="617"/>
      <c r="U56" s="617"/>
      <c r="V56" s="51"/>
    </row>
    <row r="57" spans="3:22" x14ac:dyDescent="0.25">
      <c r="C57" s="618" t="s">
        <v>67</v>
      </c>
      <c r="D57" s="611">
        <v>0</v>
      </c>
      <c r="E57" s="611">
        <v>0</v>
      </c>
      <c r="F57" s="611">
        <v>0</v>
      </c>
      <c r="G57" s="611">
        <v>0</v>
      </c>
      <c r="H57" s="611">
        <v>0</v>
      </c>
      <c r="I57" s="611">
        <v>0</v>
      </c>
      <c r="J57" s="611">
        <v>0</v>
      </c>
      <c r="K57" s="611">
        <v>0</v>
      </c>
      <c r="L57" s="611">
        <v>0</v>
      </c>
      <c r="M57" s="611">
        <v>0</v>
      </c>
      <c r="N57" s="611">
        <v>0</v>
      </c>
      <c r="O57" s="611">
        <v>0</v>
      </c>
      <c r="P57" s="611">
        <v>0</v>
      </c>
      <c r="Q57" s="611">
        <v>0</v>
      </c>
      <c r="R57" s="611">
        <v>0</v>
      </c>
      <c r="S57" s="611">
        <v>0</v>
      </c>
      <c r="T57" s="611">
        <v>0</v>
      </c>
      <c r="U57" s="619">
        <v>0</v>
      </c>
      <c r="V57" s="51"/>
    </row>
    <row r="58" spans="3:22" x14ac:dyDescent="0.25">
      <c r="C58" s="618" t="s">
        <v>347</v>
      </c>
      <c r="D58" s="611">
        <v>0</v>
      </c>
      <c r="E58" s="611">
        <v>0</v>
      </c>
      <c r="F58" s="611">
        <v>0</v>
      </c>
      <c r="G58" s="611">
        <v>0</v>
      </c>
      <c r="H58" s="611">
        <v>0</v>
      </c>
      <c r="I58" s="611">
        <v>0</v>
      </c>
      <c r="J58" s="611">
        <v>759.92203636363649</v>
      </c>
      <c r="K58" s="611">
        <v>585.27007132862354</v>
      </c>
      <c r="L58" s="611">
        <v>21.935641645543306</v>
      </c>
      <c r="M58" s="611">
        <v>0.61628865372008657</v>
      </c>
      <c r="N58" s="611">
        <v>6.5561937148871507</v>
      </c>
      <c r="O58" s="611">
        <v>1.5747281082088551</v>
      </c>
      <c r="P58" s="611">
        <v>0</v>
      </c>
      <c r="Q58" s="611">
        <v>6.7631767445353068</v>
      </c>
      <c r="R58" s="611">
        <v>-895.33632983844416</v>
      </c>
      <c r="S58" s="611">
        <v>0</v>
      </c>
      <c r="T58" s="611">
        <v>6.4421899999999992</v>
      </c>
      <c r="U58" s="619">
        <v>493.74399672071024</v>
      </c>
      <c r="V58" s="51"/>
    </row>
    <row r="59" spans="3:22" x14ac:dyDescent="0.25">
      <c r="C59" s="618" t="s">
        <v>348</v>
      </c>
      <c r="D59" s="611">
        <v>0</v>
      </c>
      <c r="E59" s="611">
        <v>0</v>
      </c>
      <c r="F59" s="611">
        <v>0</v>
      </c>
      <c r="G59" s="611">
        <v>0</v>
      </c>
      <c r="H59" s="611">
        <v>0</v>
      </c>
      <c r="I59" s="611">
        <v>0</v>
      </c>
      <c r="J59" s="611">
        <v>0</v>
      </c>
      <c r="K59" s="611">
        <v>0</v>
      </c>
      <c r="L59" s="611">
        <v>34.859137423321251</v>
      </c>
      <c r="M59" s="611">
        <v>14.707872710950403</v>
      </c>
      <c r="N59" s="611">
        <v>0</v>
      </c>
      <c r="O59" s="611">
        <v>8.3969630288089814</v>
      </c>
      <c r="P59" s="611">
        <v>0</v>
      </c>
      <c r="Q59" s="611">
        <v>11.678038971322861</v>
      </c>
      <c r="R59" s="611">
        <v>0</v>
      </c>
      <c r="S59" s="611">
        <v>-66.565624993763251</v>
      </c>
      <c r="T59" s="611">
        <v>0</v>
      </c>
      <c r="U59" s="619">
        <v>3.0763871406402501</v>
      </c>
      <c r="V59" s="51"/>
    </row>
    <row r="60" spans="3:22" x14ac:dyDescent="0.25">
      <c r="C60" s="618" t="s">
        <v>349</v>
      </c>
      <c r="D60" s="611">
        <v>0</v>
      </c>
      <c r="E60" s="611">
        <v>0</v>
      </c>
      <c r="F60" s="611">
        <v>0</v>
      </c>
      <c r="G60" s="611">
        <v>0</v>
      </c>
      <c r="H60" s="611">
        <v>0</v>
      </c>
      <c r="I60" s="611">
        <v>0</v>
      </c>
      <c r="J60" s="611">
        <v>0</v>
      </c>
      <c r="K60" s="611">
        <v>0</v>
      </c>
      <c r="L60" s="611">
        <v>116.09247876238595</v>
      </c>
      <c r="M60" s="611">
        <v>0</v>
      </c>
      <c r="N60" s="611">
        <v>0</v>
      </c>
      <c r="O60" s="611">
        <v>-107.1437165457632</v>
      </c>
      <c r="P60" s="611">
        <v>0</v>
      </c>
      <c r="Q60" s="611">
        <v>0</v>
      </c>
      <c r="R60" s="611">
        <v>0</v>
      </c>
      <c r="S60" s="611">
        <v>0</v>
      </c>
      <c r="T60" s="611">
        <v>0</v>
      </c>
      <c r="U60" s="619">
        <v>8.9487622166227538</v>
      </c>
      <c r="V60" s="51"/>
    </row>
    <row r="61" spans="3:22" x14ac:dyDescent="0.25">
      <c r="C61" s="618" t="s">
        <v>350</v>
      </c>
      <c r="D61" s="611">
        <v>0</v>
      </c>
      <c r="E61" s="611">
        <v>0</v>
      </c>
      <c r="F61" s="611">
        <v>0</v>
      </c>
      <c r="G61" s="611">
        <v>0</v>
      </c>
      <c r="H61" s="611">
        <v>0</v>
      </c>
      <c r="I61" s="611">
        <v>-8.6805438008370892</v>
      </c>
      <c r="J61" s="611">
        <v>0</v>
      </c>
      <c r="K61" s="611">
        <v>0</v>
      </c>
      <c r="L61" s="611">
        <v>0</v>
      </c>
      <c r="M61" s="611">
        <v>0</v>
      </c>
      <c r="N61" s="611">
        <v>0</v>
      </c>
      <c r="O61" s="611">
        <v>0</v>
      </c>
      <c r="P61" s="611">
        <v>0</v>
      </c>
      <c r="Q61" s="611">
        <v>0</v>
      </c>
      <c r="R61" s="611">
        <v>0</v>
      </c>
      <c r="S61" s="611">
        <v>0</v>
      </c>
      <c r="T61" s="611">
        <v>12.086503242074816</v>
      </c>
      <c r="U61" s="619">
        <v>3.4059594412377265</v>
      </c>
      <c r="V61" s="51"/>
    </row>
    <row r="62" spans="3:22" x14ac:dyDescent="0.25">
      <c r="C62" s="618" t="s">
        <v>72</v>
      </c>
      <c r="D62" s="611">
        <v>0</v>
      </c>
      <c r="E62" s="611">
        <v>75.393588190645644</v>
      </c>
      <c r="F62" s="611">
        <v>-74.641887149518311</v>
      </c>
      <c r="G62" s="611">
        <v>0</v>
      </c>
      <c r="H62" s="611">
        <v>0</v>
      </c>
      <c r="I62" s="611">
        <v>0</v>
      </c>
      <c r="J62" s="611">
        <v>0</v>
      </c>
      <c r="K62" s="611">
        <v>0</v>
      </c>
      <c r="L62" s="611">
        <v>0</v>
      </c>
      <c r="M62" s="611">
        <v>0</v>
      </c>
      <c r="N62" s="611">
        <v>0</v>
      </c>
      <c r="O62" s="611">
        <v>0</v>
      </c>
      <c r="P62" s="611">
        <v>0</v>
      </c>
      <c r="Q62" s="611">
        <v>0</v>
      </c>
      <c r="R62" s="611">
        <v>0</v>
      </c>
      <c r="S62" s="611">
        <v>0</v>
      </c>
      <c r="T62" s="611">
        <v>0</v>
      </c>
      <c r="U62" s="619">
        <v>0.75170104112733327</v>
      </c>
      <c r="V62" s="51"/>
    </row>
    <row r="63" spans="3:22" x14ac:dyDescent="0.25">
      <c r="C63" s="618" t="s">
        <v>351</v>
      </c>
      <c r="D63" s="611">
        <v>0</v>
      </c>
      <c r="E63" s="611">
        <v>0</v>
      </c>
      <c r="F63" s="611">
        <v>0</v>
      </c>
      <c r="G63" s="611">
        <v>0</v>
      </c>
      <c r="H63" s="611">
        <v>0</v>
      </c>
      <c r="I63" s="611">
        <v>0</v>
      </c>
      <c r="J63" s="611">
        <v>0</v>
      </c>
      <c r="K63" s="611">
        <v>0</v>
      </c>
      <c r="L63" s="611">
        <v>194.54575293909065</v>
      </c>
      <c r="M63" s="611">
        <v>0</v>
      </c>
      <c r="N63" s="611">
        <v>-107.00016411649986</v>
      </c>
      <c r="O63" s="611">
        <v>0</v>
      </c>
      <c r="P63" s="611">
        <v>0</v>
      </c>
      <c r="Q63" s="611">
        <v>0</v>
      </c>
      <c r="R63" s="611">
        <v>0</v>
      </c>
      <c r="S63" s="611">
        <v>0</v>
      </c>
      <c r="T63" s="611">
        <v>0</v>
      </c>
      <c r="U63" s="619">
        <v>87.545588822590787</v>
      </c>
      <c r="V63" s="51"/>
    </row>
    <row r="64" spans="3:22" x14ac:dyDescent="0.25">
      <c r="C64" s="618" t="s">
        <v>352</v>
      </c>
      <c r="D64" s="611">
        <v>0</v>
      </c>
      <c r="E64" s="611">
        <v>0</v>
      </c>
      <c r="F64" s="611">
        <v>0</v>
      </c>
      <c r="G64" s="611">
        <v>-53.670926604582093</v>
      </c>
      <c r="H64" s="611">
        <v>0</v>
      </c>
      <c r="I64" s="611">
        <v>0</v>
      </c>
      <c r="J64" s="611">
        <v>0</v>
      </c>
      <c r="K64" s="611">
        <v>0</v>
      </c>
      <c r="L64" s="611">
        <v>0</v>
      </c>
      <c r="M64" s="611">
        <v>0</v>
      </c>
      <c r="N64" s="611">
        <v>0</v>
      </c>
      <c r="O64" s="611">
        <v>0</v>
      </c>
      <c r="P64" s="611">
        <v>0</v>
      </c>
      <c r="Q64" s="611">
        <v>0</v>
      </c>
      <c r="R64" s="611">
        <v>0</v>
      </c>
      <c r="S64" s="611">
        <v>0</v>
      </c>
      <c r="T64" s="611">
        <v>69.588751075413697</v>
      </c>
      <c r="U64" s="619">
        <v>15.917824470831604</v>
      </c>
      <c r="V64" s="51"/>
    </row>
    <row r="65" spans="3:22" x14ac:dyDescent="0.25">
      <c r="C65" s="618" t="s">
        <v>73</v>
      </c>
      <c r="D65" s="611">
        <v>0</v>
      </c>
      <c r="E65" s="611">
        <v>0</v>
      </c>
      <c r="F65" s="611">
        <v>0</v>
      </c>
      <c r="G65" s="611">
        <v>0</v>
      </c>
      <c r="H65" s="611">
        <v>0</v>
      </c>
      <c r="I65" s="611">
        <v>0</v>
      </c>
      <c r="J65" s="611">
        <v>0</v>
      </c>
      <c r="K65" s="611">
        <v>0</v>
      </c>
      <c r="L65" s="611">
        <v>0</v>
      </c>
      <c r="M65" s="611">
        <v>0</v>
      </c>
      <c r="N65" s="611">
        <v>0</v>
      </c>
      <c r="O65" s="611">
        <v>0</v>
      </c>
      <c r="P65" s="611">
        <v>0</v>
      </c>
      <c r="Q65" s="611">
        <v>0</v>
      </c>
      <c r="R65" s="611">
        <v>258.03000874169254</v>
      </c>
      <c r="S65" s="611">
        <v>0</v>
      </c>
      <c r="T65" s="611">
        <v>-185.78160629401862</v>
      </c>
      <c r="U65" s="619">
        <v>72.248402447673925</v>
      </c>
      <c r="V65" s="51"/>
    </row>
    <row r="66" spans="3:22" x14ac:dyDescent="0.25">
      <c r="C66" s="618" t="s">
        <v>353</v>
      </c>
      <c r="D66" s="611">
        <v>0</v>
      </c>
      <c r="E66" s="611">
        <v>-2.634747058406945</v>
      </c>
      <c r="F66" s="611">
        <v>3.435008562710407</v>
      </c>
      <c r="G66" s="611">
        <v>0</v>
      </c>
      <c r="H66" s="611">
        <v>0</v>
      </c>
      <c r="I66" s="611">
        <v>0</v>
      </c>
      <c r="J66" s="611">
        <v>0</v>
      </c>
      <c r="K66" s="611">
        <v>0</v>
      </c>
      <c r="L66" s="611">
        <v>0</v>
      </c>
      <c r="M66" s="611">
        <v>0</v>
      </c>
      <c r="N66" s="611">
        <v>0</v>
      </c>
      <c r="O66" s="611">
        <v>0</v>
      </c>
      <c r="P66" s="611">
        <v>0</v>
      </c>
      <c r="Q66" s="611">
        <v>0</v>
      </c>
      <c r="R66" s="611">
        <v>0</v>
      </c>
      <c r="S66" s="611">
        <v>0</v>
      </c>
      <c r="T66" s="611">
        <v>0</v>
      </c>
      <c r="U66" s="619">
        <v>0.80026150430346199</v>
      </c>
      <c r="V66" s="51"/>
    </row>
    <row r="67" spans="3:22" x14ac:dyDescent="0.25">
      <c r="C67" s="618" t="s">
        <v>75</v>
      </c>
      <c r="D67" s="611">
        <v>0</v>
      </c>
      <c r="E67" s="611">
        <v>0</v>
      </c>
      <c r="F67" s="611">
        <v>2.5839893825265019</v>
      </c>
      <c r="G67" s="611">
        <v>0</v>
      </c>
      <c r="H67" s="611">
        <v>0</v>
      </c>
      <c r="I67" s="611">
        <v>0.23833359000000001</v>
      </c>
      <c r="J67" s="611">
        <v>0</v>
      </c>
      <c r="K67" s="611">
        <v>0</v>
      </c>
      <c r="L67" s="611">
        <v>0</v>
      </c>
      <c r="M67" s="611">
        <v>0</v>
      </c>
      <c r="N67" s="611">
        <v>0</v>
      </c>
      <c r="O67" s="611">
        <v>4.5283382100000003</v>
      </c>
      <c r="P67" s="611">
        <v>0</v>
      </c>
      <c r="Q67" s="611">
        <v>0</v>
      </c>
      <c r="R67" s="611">
        <v>65.365492404188032</v>
      </c>
      <c r="S67" s="611">
        <v>0</v>
      </c>
      <c r="T67" s="611">
        <v>0</v>
      </c>
      <c r="U67" s="619">
        <v>72.71615358671454</v>
      </c>
      <c r="V67" s="51"/>
    </row>
    <row r="68" spans="3:22" x14ac:dyDescent="0.25">
      <c r="C68" s="618" t="s">
        <v>76</v>
      </c>
      <c r="D68" s="611">
        <v>0</v>
      </c>
      <c r="E68" s="611">
        <v>0</v>
      </c>
      <c r="F68" s="611">
        <v>0</v>
      </c>
      <c r="G68" s="611">
        <v>0</v>
      </c>
      <c r="H68" s="611">
        <v>0</v>
      </c>
      <c r="I68" s="611">
        <v>5.609909084131174E-2</v>
      </c>
      <c r="J68" s="611">
        <v>0</v>
      </c>
      <c r="K68" s="611">
        <v>0</v>
      </c>
      <c r="L68" s="611">
        <v>0</v>
      </c>
      <c r="M68" s="611">
        <v>0</v>
      </c>
      <c r="N68" s="611">
        <v>0</v>
      </c>
      <c r="O68" s="611">
        <v>1.0658827259849231</v>
      </c>
      <c r="P68" s="611">
        <v>0</v>
      </c>
      <c r="Q68" s="611">
        <v>0</v>
      </c>
      <c r="R68" s="611">
        <v>75.163138458273835</v>
      </c>
      <c r="S68" s="611">
        <v>5.1631708880095033</v>
      </c>
      <c r="T68" s="611">
        <v>0</v>
      </c>
      <c r="U68" s="619">
        <v>81.448291163109573</v>
      </c>
      <c r="V68" s="51"/>
    </row>
    <row r="69" spans="3:22" x14ac:dyDescent="0.25">
      <c r="C69" s="614" t="s">
        <v>77</v>
      </c>
      <c r="D69" s="615">
        <v>0</v>
      </c>
      <c r="E69" s="615">
        <v>72.7588411322387</v>
      </c>
      <c r="F69" s="615">
        <v>-68.622889204281407</v>
      </c>
      <c r="G69" s="615">
        <v>-53.670926604582093</v>
      </c>
      <c r="H69" s="615">
        <v>0</v>
      </c>
      <c r="I69" s="615">
        <v>-8.3861111199957783</v>
      </c>
      <c r="J69" s="615">
        <v>759.92203636363649</v>
      </c>
      <c r="K69" s="615">
        <v>585.27007132862354</v>
      </c>
      <c r="L69" s="615">
        <v>367.43301077034118</v>
      </c>
      <c r="M69" s="615">
        <v>15.32416136467049</v>
      </c>
      <c r="N69" s="615">
        <v>-100.44397040161272</v>
      </c>
      <c r="O69" s="615">
        <v>-91.577804472760434</v>
      </c>
      <c r="P69" s="615">
        <v>0</v>
      </c>
      <c r="Q69" s="615">
        <v>18.441215715858167</v>
      </c>
      <c r="R69" s="615">
        <v>-496.77769023428982</v>
      </c>
      <c r="S69" s="615">
        <v>-61.402454105753748</v>
      </c>
      <c r="T69" s="615">
        <v>-97.664161976530096</v>
      </c>
      <c r="U69" s="615">
        <v>840.60332855556226</v>
      </c>
      <c r="V69" s="51"/>
    </row>
    <row r="70" spans="3:22" x14ac:dyDescent="0.25">
      <c r="C70" s="616"/>
      <c r="D70" s="617"/>
      <c r="E70" s="617"/>
      <c r="F70" s="617"/>
      <c r="G70" s="617"/>
      <c r="H70" s="623"/>
      <c r="I70" s="617"/>
      <c r="J70" s="617"/>
      <c r="K70" s="617"/>
      <c r="L70" s="617"/>
      <c r="M70" s="617"/>
      <c r="N70" s="617"/>
      <c r="O70" s="617"/>
      <c r="P70" s="617"/>
      <c r="Q70" s="617"/>
      <c r="R70" s="617"/>
      <c r="S70" s="617"/>
      <c r="T70" s="617"/>
      <c r="U70" s="617"/>
      <c r="V70" s="51"/>
    </row>
    <row r="71" spans="3:22" x14ac:dyDescent="0.25">
      <c r="C71" s="618" t="s">
        <v>78</v>
      </c>
      <c r="D71" s="611">
        <v>0.64129319091675452</v>
      </c>
      <c r="E71" s="611">
        <v>0</v>
      </c>
      <c r="F71" s="611">
        <v>1.525731430410463</v>
      </c>
      <c r="G71" s="611">
        <v>0</v>
      </c>
      <c r="H71" s="611">
        <v>0</v>
      </c>
      <c r="I71" s="611">
        <v>2.2603973079733568</v>
      </c>
      <c r="J71" s="611">
        <v>0</v>
      </c>
      <c r="K71" s="611">
        <v>0</v>
      </c>
      <c r="L71" s="611">
        <v>23.360019261656848</v>
      </c>
      <c r="M71" s="611">
        <v>5.362188402201145</v>
      </c>
      <c r="N71" s="611">
        <v>1.3034813300305972</v>
      </c>
      <c r="O71" s="611">
        <v>42.989679667648574</v>
      </c>
      <c r="P71" s="611">
        <v>22.01365625</v>
      </c>
      <c r="Q71" s="611">
        <v>8.5890570413253253E-4</v>
      </c>
      <c r="R71" s="611">
        <v>202.024278119439</v>
      </c>
      <c r="S71" s="611">
        <v>22.25756234266839</v>
      </c>
      <c r="T71" s="611">
        <v>16.001347656250001</v>
      </c>
      <c r="U71" s="619">
        <v>339.74049386489929</v>
      </c>
      <c r="V71" s="51"/>
    </row>
    <row r="72" spans="3:22" x14ac:dyDescent="0.25">
      <c r="C72" s="618" t="s">
        <v>79</v>
      </c>
      <c r="D72" s="611">
        <v>0</v>
      </c>
      <c r="E72" s="611">
        <v>0</v>
      </c>
      <c r="F72" s="611">
        <v>2.548518600222561</v>
      </c>
      <c r="G72" s="611">
        <v>4.6064063696995508</v>
      </c>
      <c r="H72" s="611">
        <v>0</v>
      </c>
      <c r="I72" s="611">
        <v>0.39196782379108752</v>
      </c>
      <c r="J72" s="611">
        <v>0</v>
      </c>
      <c r="K72" s="611">
        <v>0</v>
      </c>
      <c r="L72" s="611">
        <v>0</v>
      </c>
      <c r="M72" s="611">
        <v>0</v>
      </c>
      <c r="N72" s="611">
        <v>19.508637074329002</v>
      </c>
      <c r="O72" s="611">
        <v>7.4473886520306625</v>
      </c>
      <c r="P72" s="611">
        <v>0</v>
      </c>
      <c r="Q72" s="611">
        <v>0</v>
      </c>
      <c r="R72" s="611">
        <v>117.90461095014412</v>
      </c>
      <c r="S72" s="611">
        <v>0</v>
      </c>
      <c r="T72" s="611">
        <v>6.9740998058852091</v>
      </c>
      <c r="U72" s="619">
        <v>159.38162927610219</v>
      </c>
      <c r="V72" s="51"/>
    </row>
    <row r="73" spans="3:22" x14ac:dyDescent="0.25">
      <c r="C73" s="618" t="s">
        <v>80</v>
      </c>
      <c r="D73" s="611">
        <v>0</v>
      </c>
      <c r="E73" s="611">
        <v>0</v>
      </c>
      <c r="F73" s="611">
        <v>0.35613019618188829</v>
      </c>
      <c r="G73" s="611">
        <v>0</v>
      </c>
      <c r="H73" s="611">
        <v>0</v>
      </c>
      <c r="I73" s="611">
        <v>0.92121942110506694</v>
      </c>
      <c r="J73" s="611">
        <v>0</v>
      </c>
      <c r="K73" s="611">
        <v>0</v>
      </c>
      <c r="L73" s="611">
        <v>30.406752837013876</v>
      </c>
      <c r="M73" s="611">
        <v>0</v>
      </c>
      <c r="N73" s="611">
        <v>0</v>
      </c>
      <c r="O73" s="611">
        <v>17.503169000996269</v>
      </c>
      <c r="P73" s="611">
        <v>105.40020235475453</v>
      </c>
      <c r="Q73" s="611">
        <v>3.1166998128913419</v>
      </c>
      <c r="R73" s="611">
        <v>133.64902180729109</v>
      </c>
      <c r="S73" s="611">
        <v>20.977029614075306</v>
      </c>
      <c r="T73" s="611">
        <v>0</v>
      </c>
      <c r="U73" s="619">
        <v>312.33022504430937</v>
      </c>
      <c r="V73" s="51"/>
    </row>
    <row r="74" spans="3:22" x14ac:dyDescent="0.25">
      <c r="C74" s="618" t="s">
        <v>81</v>
      </c>
      <c r="D74" s="611">
        <v>0</v>
      </c>
      <c r="E74" s="611">
        <v>0</v>
      </c>
      <c r="F74" s="611">
        <v>6.5854952123934399E-2</v>
      </c>
      <c r="G74" s="611">
        <v>0</v>
      </c>
      <c r="H74" s="611">
        <v>0</v>
      </c>
      <c r="I74" s="611">
        <v>0.31585874142938569</v>
      </c>
      <c r="J74" s="611">
        <v>0</v>
      </c>
      <c r="K74" s="611">
        <v>0</v>
      </c>
      <c r="L74" s="611">
        <v>0.45236993281073634</v>
      </c>
      <c r="M74" s="611">
        <v>0</v>
      </c>
      <c r="N74" s="611">
        <v>0</v>
      </c>
      <c r="O74" s="611">
        <v>6.0013160871583278</v>
      </c>
      <c r="P74" s="611">
        <v>52.288295873759658</v>
      </c>
      <c r="Q74" s="611">
        <v>3.3575351400940563</v>
      </c>
      <c r="R74" s="611">
        <v>111.32761597349254</v>
      </c>
      <c r="S74" s="611">
        <v>18.167862149010045</v>
      </c>
      <c r="T74" s="611">
        <v>0</v>
      </c>
      <c r="U74" s="619">
        <v>191.97670884987866</v>
      </c>
      <c r="V74" s="51"/>
    </row>
    <row r="75" spans="3:22" x14ac:dyDescent="0.25">
      <c r="C75" s="618" t="s">
        <v>82</v>
      </c>
      <c r="D75" s="611">
        <v>0</v>
      </c>
      <c r="E75" s="611">
        <v>0</v>
      </c>
      <c r="F75" s="611">
        <v>0.14607036001340537</v>
      </c>
      <c r="G75" s="611">
        <v>0</v>
      </c>
      <c r="H75" s="611">
        <v>0</v>
      </c>
      <c r="I75" s="611">
        <v>5.5011390628469027E-2</v>
      </c>
      <c r="J75" s="611">
        <v>0</v>
      </c>
      <c r="K75" s="611">
        <v>0</v>
      </c>
      <c r="L75" s="611">
        <v>3.9918011059239289</v>
      </c>
      <c r="M75" s="611">
        <v>0</v>
      </c>
      <c r="N75" s="611">
        <v>18.700816435906518</v>
      </c>
      <c r="O75" s="611">
        <v>1.0452164219409115</v>
      </c>
      <c r="P75" s="611">
        <v>1.5</v>
      </c>
      <c r="Q75" s="611">
        <v>2.1874070050904897</v>
      </c>
      <c r="R75" s="611">
        <v>6.9303674525217573</v>
      </c>
      <c r="S75" s="611">
        <v>0</v>
      </c>
      <c r="T75" s="611">
        <v>0.82604920070086296</v>
      </c>
      <c r="U75" s="619">
        <v>35.382739372726341</v>
      </c>
      <c r="V75" s="51"/>
    </row>
    <row r="76" spans="3:22" x14ac:dyDescent="0.25">
      <c r="C76" s="618" t="s">
        <v>354</v>
      </c>
      <c r="D76" s="611">
        <v>0</v>
      </c>
      <c r="E76" s="611">
        <v>0</v>
      </c>
      <c r="F76" s="611">
        <v>0</v>
      </c>
      <c r="G76" s="611">
        <v>0</v>
      </c>
      <c r="H76" s="611">
        <v>0</v>
      </c>
      <c r="I76" s="611">
        <v>0</v>
      </c>
      <c r="J76" s="611">
        <v>0</v>
      </c>
      <c r="K76" s="611">
        <v>0</v>
      </c>
      <c r="L76" s="611">
        <v>0</v>
      </c>
      <c r="M76" s="611">
        <v>0</v>
      </c>
      <c r="N76" s="611">
        <v>0</v>
      </c>
      <c r="O76" s="611">
        <v>0</v>
      </c>
      <c r="P76" s="611">
        <v>0</v>
      </c>
      <c r="Q76" s="611">
        <v>0</v>
      </c>
      <c r="R76" s="611">
        <v>11.7</v>
      </c>
      <c r="S76" s="611">
        <v>0</v>
      </c>
      <c r="T76" s="611">
        <v>0</v>
      </c>
      <c r="U76" s="619">
        <v>11.7</v>
      </c>
      <c r="V76" s="51"/>
    </row>
    <row r="77" spans="3:22" x14ac:dyDescent="0.25">
      <c r="C77" s="614" t="s">
        <v>83</v>
      </c>
      <c r="D77" s="615">
        <v>0.64129319091675452</v>
      </c>
      <c r="E77" s="615">
        <v>0</v>
      </c>
      <c r="F77" s="615">
        <v>4.6423055389522521</v>
      </c>
      <c r="G77" s="615">
        <v>4.6064063696995508</v>
      </c>
      <c r="H77" s="615">
        <v>0</v>
      </c>
      <c r="I77" s="615">
        <v>3.9444546849273663</v>
      </c>
      <c r="J77" s="615">
        <v>0</v>
      </c>
      <c r="K77" s="615">
        <v>0</v>
      </c>
      <c r="L77" s="615">
        <v>58.210943137405394</v>
      </c>
      <c r="M77" s="615">
        <v>5.362188402201145</v>
      </c>
      <c r="N77" s="615">
        <v>39.512934840266112</v>
      </c>
      <c r="O77" s="615">
        <v>74.986769829774744</v>
      </c>
      <c r="P77" s="615">
        <v>181.20215447851419</v>
      </c>
      <c r="Q77" s="615">
        <v>8.6625008637800214</v>
      </c>
      <c r="R77" s="615">
        <v>583.53589430288855</v>
      </c>
      <c r="S77" s="615">
        <v>61.402454105753748</v>
      </c>
      <c r="T77" s="615">
        <v>23.801496662836072</v>
      </c>
      <c r="U77" s="615">
        <v>1050.5117964079159</v>
      </c>
      <c r="V77" s="51"/>
    </row>
    <row r="78" spans="3:22" x14ac:dyDescent="0.25">
      <c r="C78" s="610" t="s">
        <v>84</v>
      </c>
      <c r="D78" s="611">
        <v>0</v>
      </c>
      <c r="E78" s="611">
        <v>0</v>
      </c>
      <c r="F78" s="611">
        <v>44.559074374942114</v>
      </c>
      <c r="G78" s="611">
        <v>2.9799029387007945</v>
      </c>
      <c r="H78" s="611">
        <v>3.2223770587889593</v>
      </c>
      <c r="I78" s="611">
        <v>0</v>
      </c>
      <c r="J78" s="611">
        <v>0</v>
      </c>
      <c r="K78" s="611">
        <v>0</v>
      </c>
      <c r="L78" s="611">
        <v>0.60656225364490568</v>
      </c>
      <c r="M78" s="611">
        <v>0</v>
      </c>
      <c r="N78" s="611">
        <v>50.341514757930035</v>
      </c>
      <c r="O78" s="611">
        <v>13.801033069140475</v>
      </c>
      <c r="P78" s="611">
        <v>0</v>
      </c>
      <c r="Q78" s="611">
        <v>0</v>
      </c>
      <c r="R78" s="611">
        <v>0</v>
      </c>
      <c r="S78" s="611">
        <v>0</v>
      </c>
      <c r="T78" s="611">
        <v>63.833639735754474</v>
      </c>
      <c r="U78" s="619">
        <v>179.34410418890175</v>
      </c>
      <c r="V78" s="51"/>
    </row>
    <row r="79" spans="3:22" x14ac:dyDescent="0.25">
      <c r="C79" s="614" t="s">
        <v>85</v>
      </c>
      <c r="D79" s="615">
        <v>0.64129319091675452</v>
      </c>
      <c r="E79" s="615">
        <v>0</v>
      </c>
      <c r="F79" s="615">
        <v>49.201379913894364</v>
      </c>
      <c r="G79" s="615">
        <v>7.5863093084003452</v>
      </c>
      <c r="H79" s="615">
        <v>3.2223770587889593</v>
      </c>
      <c r="I79" s="615">
        <v>3.9444546849273663</v>
      </c>
      <c r="J79" s="615">
        <v>0</v>
      </c>
      <c r="K79" s="615">
        <v>0</v>
      </c>
      <c r="L79" s="615">
        <v>58.817505391050297</v>
      </c>
      <c r="M79" s="615">
        <v>5.362188402201145</v>
      </c>
      <c r="N79" s="615">
        <v>89.85444959819614</v>
      </c>
      <c r="O79" s="615">
        <v>88.787802898915217</v>
      </c>
      <c r="P79" s="615">
        <v>181.20215447851419</v>
      </c>
      <c r="Q79" s="615">
        <v>8.6625008637800214</v>
      </c>
      <c r="R79" s="615">
        <v>583.53589430288855</v>
      </c>
      <c r="S79" s="615">
        <v>61.402454105753748</v>
      </c>
      <c r="T79" s="615">
        <v>87.635136398590546</v>
      </c>
      <c r="U79" s="615">
        <v>1229.8559005968177</v>
      </c>
      <c r="V79" s="51"/>
    </row>
    <row r="80" spans="3:22" x14ac:dyDescent="0.25">
      <c r="C80" s="51"/>
      <c r="D80" s="67">
        <v>0</v>
      </c>
      <c r="E80" s="67">
        <v>0</v>
      </c>
      <c r="F80" s="67">
        <v>0</v>
      </c>
      <c r="G80" s="67">
        <v>0</v>
      </c>
      <c r="H80" s="67">
        <v>0</v>
      </c>
      <c r="I80" s="67">
        <v>0</v>
      </c>
      <c r="J80" s="67">
        <v>0</v>
      </c>
      <c r="K80" s="67">
        <v>0</v>
      </c>
      <c r="L80" s="67">
        <v>0</v>
      </c>
      <c r="M80" s="67">
        <v>-2.9244114949733557E-4</v>
      </c>
      <c r="N80" s="67">
        <v>0</v>
      </c>
      <c r="O80" s="67">
        <v>-6.2172489379008766E-15</v>
      </c>
      <c r="P80" s="67">
        <v>0</v>
      </c>
      <c r="Q80" s="67">
        <v>0</v>
      </c>
      <c r="R80" s="67">
        <v>-1.1368683772161603E-13</v>
      </c>
      <c r="S80" s="67">
        <v>0</v>
      </c>
      <c r="T80" s="67">
        <v>1.7763568394002505E-14</v>
      </c>
      <c r="U80" s="67">
        <v>-2.9244114966786583E-4</v>
      </c>
      <c r="V80" s="51"/>
    </row>
    <row r="81" spans="3:22" x14ac:dyDescent="0.25">
      <c r="C81" s="51"/>
      <c r="D81" s="51"/>
      <c r="E81" s="51"/>
      <c r="F81" s="51"/>
      <c r="G81" s="51"/>
      <c r="H81" s="51"/>
      <c r="I81" s="51"/>
      <c r="J81" s="51"/>
      <c r="K81" s="51"/>
      <c r="L81" s="51"/>
      <c r="M81" s="51"/>
      <c r="N81" s="51"/>
      <c r="O81" s="51"/>
      <c r="P81" s="51"/>
      <c r="Q81" s="51"/>
      <c r="R81" s="51"/>
      <c r="S81" s="51"/>
      <c r="T81" s="51"/>
      <c r="U81" s="51"/>
      <c r="V81" s="51"/>
    </row>
  </sheetData>
  <mergeCells count="28">
    <mergeCell ref="T47:T48"/>
    <mergeCell ref="U47:U48"/>
    <mergeCell ref="I47:I48"/>
    <mergeCell ref="J47:J48"/>
    <mergeCell ref="K47:K48"/>
    <mergeCell ref="L47:Q47"/>
    <mergeCell ref="R47:R48"/>
    <mergeCell ref="S47:S48"/>
    <mergeCell ref="C47:C48"/>
    <mergeCell ref="D47:D48"/>
    <mergeCell ref="E47:E48"/>
    <mergeCell ref="F47:F48"/>
    <mergeCell ref="G47:G48"/>
    <mergeCell ref="H47:H48"/>
    <mergeCell ref="K10:K11"/>
    <mergeCell ref="L10:Q10"/>
    <mergeCell ref="R10:R11"/>
    <mergeCell ref="S10:S11"/>
    <mergeCell ref="T10:T11"/>
    <mergeCell ref="U10:U11"/>
    <mergeCell ref="C10:C11"/>
    <mergeCell ref="D10:D11"/>
    <mergeCell ref="E10:E11"/>
    <mergeCell ref="F10:F11"/>
    <mergeCell ref="G10:G11"/>
    <mergeCell ref="H10:H11"/>
    <mergeCell ref="I10:I11"/>
    <mergeCell ref="J10:J11"/>
  </mergeCells>
  <conditionalFormatting sqref="D12:U18">
    <cfRule type="containsBlanks" dxfId="544" priority="3">
      <formula>LEN(TRIM(D12))=0</formula>
    </cfRule>
  </conditionalFormatting>
  <conditionalFormatting sqref="D12:U42">
    <cfRule type="cellIs" dxfId="543" priority="4" operator="equal">
      <formula>0</formula>
    </cfRule>
  </conditionalFormatting>
  <conditionalFormatting sqref="D20:U32">
    <cfRule type="containsBlanks" dxfId="542" priority="13">
      <formula>LEN(TRIM(D20))=0</formula>
    </cfRule>
  </conditionalFormatting>
  <conditionalFormatting sqref="D34:U42">
    <cfRule type="containsBlanks" dxfId="541" priority="14">
      <formula>LEN(TRIM(D34))=0</formula>
    </cfRule>
  </conditionalFormatting>
  <conditionalFormatting sqref="D49:U55">
    <cfRule type="containsBlanks" dxfId="540" priority="1">
      <formula>LEN(TRIM(D49))=0</formula>
    </cfRule>
  </conditionalFormatting>
  <conditionalFormatting sqref="D49:U79">
    <cfRule type="cellIs" dxfId="539" priority="2" operator="equal">
      <formula>0</formula>
    </cfRule>
  </conditionalFormatting>
  <conditionalFormatting sqref="D57:U69">
    <cfRule type="containsBlanks" dxfId="538" priority="19">
      <formula>LEN(TRIM(D57))=0</formula>
    </cfRule>
  </conditionalFormatting>
  <conditionalFormatting sqref="D71:U79">
    <cfRule type="containsBlanks" dxfId="537" priority="20">
      <formula>LEN(TRIM(D71))=0</formula>
    </cfRule>
  </conditionalFormatting>
  <conditionalFormatting sqref="F13:F14">
    <cfRule type="cellIs" dxfId="536" priority="17" operator="equal">
      <formula>0</formula>
    </cfRule>
  </conditionalFormatting>
  <conditionalFormatting sqref="F50:F51">
    <cfRule type="cellIs" dxfId="535" priority="23" operator="equal">
      <formula>0</formula>
    </cfRule>
  </conditionalFormatting>
  <conditionalFormatting sqref="L13:L17">
    <cfRule type="cellIs" dxfId="534" priority="16" operator="equal">
      <formula>0</formula>
    </cfRule>
  </conditionalFormatting>
  <conditionalFormatting sqref="L50:L54">
    <cfRule type="cellIs" dxfId="533" priority="22" operator="equal">
      <formula>0</formula>
    </cfRule>
  </conditionalFormatting>
  <conditionalFormatting sqref="L11:Q11">
    <cfRule type="cellIs" dxfId="532" priority="26" operator="equal">
      <formula>0</formula>
    </cfRule>
  </conditionalFormatting>
  <conditionalFormatting sqref="L48:Q48">
    <cfRule type="cellIs" dxfId="531" priority="25" operator="equal">
      <formula>0</formula>
    </cfRule>
  </conditionalFormatting>
  <conditionalFormatting sqref="P13:Q17">
    <cfRule type="cellIs" dxfId="530" priority="15" operator="equal">
      <formula>0</formula>
    </cfRule>
  </conditionalFormatting>
  <conditionalFormatting sqref="P50:Q54">
    <cfRule type="cellIs" dxfId="529" priority="21" operator="equal">
      <formula>0</formula>
    </cfRule>
  </conditionalFormatting>
  <conditionalFormatting sqref="R12:R14">
    <cfRule type="cellIs" dxfId="528" priority="18" operator="equal">
      <formula>0</formula>
    </cfRule>
  </conditionalFormatting>
  <conditionalFormatting sqref="R49:R51">
    <cfRule type="cellIs" dxfId="527" priority="24" operator="equal">
      <formula>0</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D695D-82F0-4011-84C2-EBE6D29C7960}">
  <dimension ref="C2:V44"/>
  <sheetViews>
    <sheetView topLeftCell="B1" zoomScale="70" zoomScaleNormal="70" workbookViewId="0">
      <selection activeCell="U42" sqref="C10:U42"/>
    </sheetView>
  </sheetViews>
  <sheetFormatPr baseColWidth="10" defaultRowHeight="15" x14ac:dyDescent="0.25"/>
  <sheetData>
    <row r="2" spans="3:22" ht="18.75" x14ac:dyDescent="0.3">
      <c r="C2" s="600" t="s">
        <v>406</v>
      </c>
      <c r="D2" s="599"/>
      <c r="E2" s="599"/>
      <c r="F2" s="599"/>
      <c r="G2" s="599"/>
      <c r="H2" s="599"/>
      <c r="I2" s="599"/>
      <c r="J2" s="599"/>
      <c r="K2" s="599"/>
      <c r="L2" s="599"/>
      <c r="M2" s="599"/>
      <c r="N2" s="599"/>
      <c r="O2" s="599"/>
      <c r="P2" s="599"/>
      <c r="Q2" s="599"/>
      <c r="R2" s="599"/>
      <c r="S2" s="599"/>
      <c r="T2" s="599"/>
      <c r="U2" s="599"/>
      <c r="V2" s="599"/>
    </row>
    <row r="3" spans="3:22" x14ac:dyDescent="0.25">
      <c r="C3" s="51"/>
      <c r="D3" s="51"/>
      <c r="E3" s="51"/>
      <c r="F3" s="51"/>
      <c r="G3" s="51"/>
      <c r="H3" s="51"/>
      <c r="I3" s="51"/>
      <c r="J3" s="51"/>
      <c r="K3" s="51"/>
      <c r="L3" s="51"/>
      <c r="M3" s="51"/>
      <c r="N3" s="51"/>
      <c r="O3" s="51"/>
      <c r="P3" s="51"/>
      <c r="Q3" s="51"/>
      <c r="R3" s="51"/>
      <c r="S3" s="51"/>
      <c r="T3" s="51"/>
      <c r="U3" s="51"/>
      <c r="V3" s="51"/>
    </row>
    <row r="4" spans="3:22" ht="15.75" x14ac:dyDescent="0.25">
      <c r="C4" s="603" t="s">
        <v>338</v>
      </c>
      <c r="D4" s="602" t="s">
        <v>481</v>
      </c>
      <c r="E4" s="602"/>
      <c r="F4" s="602"/>
      <c r="G4" s="602"/>
      <c r="H4" s="602"/>
      <c r="I4" s="602"/>
      <c r="J4" s="602"/>
      <c r="K4" s="604"/>
      <c r="L4" s="604"/>
      <c r="M4" s="604"/>
      <c r="N4" s="604"/>
      <c r="O4" s="604"/>
      <c r="P4" s="604"/>
      <c r="Q4" s="604"/>
      <c r="R4" s="602"/>
      <c r="S4" s="602"/>
      <c r="T4" s="602"/>
      <c r="U4" s="602"/>
      <c r="V4" s="602"/>
    </row>
    <row r="5" spans="3:22" ht="15.75" x14ac:dyDescent="0.25">
      <c r="C5" s="603" t="s">
        <v>341</v>
      </c>
      <c r="D5" s="602" t="s">
        <v>342</v>
      </c>
      <c r="E5" s="602"/>
      <c r="F5" s="602"/>
      <c r="G5" s="602"/>
      <c r="H5" s="602"/>
      <c r="I5" s="602"/>
      <c r="J5" s="602"/>
      <c r="K5" s="602"/>
      <c r="L5" s="602"/>
      <c r="M5" s="602"/>
      <c r="N5" s="602"/>
      <c r="O5" s="602"/>
      <c r="P5" s="602"/>
      <c r="Q5" s="602"/>
      <c r="R5" s="602"/>
      <c r="S5" s="602"/>
      <c r="T5" s="602"/>
      <c r="U5" s="602"/>
      <c r="V5" s="602"/>
    </row>
    <row r="6" spans="3:22" x14ac:dyDescent="0.25">
      <c r="C6" s="51"/>
      <c r="D6" s="51"/>
      <c r="E6" s="51"/>
      <c r="F6" s="51"/>
      <c r="G6" s="51"/>
      <c r="H6" s="51"/>
      <c r="I6" s="51"/>
      <c r="J6" s="51"/>
      <c r="K6" s="51"/>
      <c r="L6" s="51"/>
      <c r="M6" s="51"/>
      <c r="N6" s="51"/>
      <c r="O6" s="51"/>
      <c r="P6" s="51"/>
      <c r="Q6" s="51"/>
      <c r="R6" s="51"/>
      <c r="S6" s="51"/>
      <c r="T6" s="51"/>
      <c r="U6" s="51"/>
      <c r="V6" s="51"/>
    </row>
    <row r="7" spans="3:22" x14ac:dyDescent="0.25">
      <c r="C7" s="51"/>
      <c r="D7" s="51"/>
      <c r="E7" s="51"/>
      <c r="F7" s="51"/>
      <c r="G7" s="51"/>
      <c r="H7" s="51"/>
      <c r="I7" s="51"/>
      <c r="J7" s="51"/>
      <c r="K7" s="51"/>
      <c r="L7" s="51"/>
      <c r="M7" s="51"/>
      <c r="N7" s="51"/>
      <c r="O7" s="51"/>
      <c r="P7" s="51"/>
      <c r="Q7" s="51"/>
      <c r="R7" s="51"/>
      <c r="S7" s="51"/>
      <c r="T7" s="51"/>
      <c r="U7" s="51"/>
      <c r="V7" s="51"/>
    </row>
    <row r="8" spans="3:22" x14ac:dyDescent="0.25">
      <c r="C8" s="607" t="s">
        <v>89</v>
      </c>
      <c r="D8" s="606"/>
      <c r="E8" s="606"/>
      <c r="F8" s="606"/>
      <c r="G8" s="682"/>
      <c r="H8" s="606"/>
      <c r="I8" s="606"/>
      <c r="J8" s="606"/>
      <c r="K8" s="606"/>
      <c r="L8" s="606"/>
      <c r="M8" s="606"/>
      <c r="N8" s="606"/>
      <c r="O8" s="606"/>
      <c r="P8" s="606"/>
      <c r="Q8" s="606"/>
      <c r="R8" s="606"/>
      <c r="S8" s="606"/>
      <c r="T8" s="606"/>
      <c r="U8" s="606"/>
      <c r="V8" s="606"/>
    </row>
    <row r="9" spans="3:22" x14ac:dyDescent="0.25">
      <c r="C9" s="51"/>
      <c r="D9" s="51"/>
      <c r="E9" s="51"/>
      <c r="F9" s="51"/>
      <c r="G9" s="67"/>
      <c r="H9" s="51"/>
      <c r="I9" s="51"/>
      <c r="J9" s="51"/>
      <c r="K9" s="51"/>
      <c r="L9" s="51"/>
      <c r="M9" s="51"/>
      <c r="N9" s="51"/>
      <c r="O9" s="51"/>
      <c r="P9" s="51"/>
      <c r="Q9" s="51"/>
      <c r="R9" s="51"/>
      <c r="S9" s="51"/>
      <c r="T9" s="51"/>
      <c r="U9" s="51"/>
      <c r="V9" s="51"/>
    </row>
    <row r="10" spans="3:22" ht="15" customHeight="1" x14ac:dyDescent="0.25">
      <c r="C10" s="764" t="s">
        <v>128</v>
      </c>
      <c r="D10" s="753" t="s">
        <v>42</v>
      </c>
      <c r="E10" s="753" t="s">
        <v>52</v>
      </c>
      <c r="F10" s="753" t="s">
        <v>53</v>
      </c>
      <c r="G10" s="753" t="s">
        <v>482</v>
      </c>
      <c r="H10" s="753" t="s">
        <v>32</v>
      </c>
      <c r="I10" s="753" t="s">
        <v>483</v>
      </c>
      <c r="J10" s="753" t="s">
        <v>20</v>
      </c>
      <c r="K10" s="753" t="s">
        <v>55</v>
      </c>
      <c r="L10" s="761" t="s">
        <v>56</v>
      </c>
      <c r="M10" s="762"/>
      <c r="N10" s="762"/>
      <c r="O10" s="762"/>
      <c r="P10" s="762"/>
      <c r="Q10" s="763"/>
      <c r="R10" s="753" t="s">
        <v>57</v>
      </c>
      <c r="S10" s="753" t="s">
        <v>58</v>
      </c>
      <c r="T10" s="753" t="s">
        <v>31</v>
      </c>
      <c r="U10" s="753" t="s">
        <v>10</v>
      </c>
      <c r="V10" s="51"/>
    </row>
    <row r="11" spans="3:22" ht="36" x14ac:dyDescent="0.25">
      <c r="C11" s="765"/>
      <c r="D11" s="754"/>
      <c r="E11" s="754"/>
      <c r="F11" s="754"/>
      <c r="G11" s="754"/>
      <c r="H11" s="754"/>
      <c r="I11" s="754"/>
      <c r="J11" s="754"/>
      <c r="K11" s="754"/>
      <c r="L11" s="608" t="s">
        <v>335</v>
      </c>
      <c r="M11" s="608" t="s">
        <v>40</v>
      </c>
      <c r="N11" s="608" t="s">
        <v>343</v>
      </c>
      <c r="O11" s="608" t="s">
        <v>344</v>
      </c>
      <c r="P11" s="609" t="s">
        <v>345</v>
      </c>
      <c r="Q11" s="608" t="s">
        <v>346</v>
      </c>
      <c r="R11" s="754"/>
      <c r="S11" s="754"/>
      <c r="T11" s="754"/>
      <c r="U11" s="754"/>
      <c r="V11" s="51"/>
    </row>
    <row r="12" spans="3:22" x14ac:dyDescent="0.25">
      <c r="C12" s="610" t="s">
        <v>59</v>
      </c>
      <c r="D12" s="421">
        <v>0</v>
      </c>
      <c r="E12" s="421">
        <v>0</v>
      </c>
      <c r="F12" s="422">
        <v>0</v>
      </c>
      <c r="G12" s="611">
        <v>0</v>
      </c>
      <c r="H12" s="421">
        <v>0</v>
      </c>
      <c r="I12" s="611">
        <v>0</v>
      </c>
      <c r="J12" s="422">
        <v>759.9</v>
      </c>
      <c r="K12" s="422">
        <v>585.29999999999995</v>
      </c>
      <c r="L12" s="422">
        <v>544.29999999999995</v>
      </c>
      <c r="M12" s="422">
        <v>22.6</v>
      </c>
      <c r="N12" s="628">
        <v>1.6</v>
      </c>
      <c r="O12" s="628">
        <v>0.2</v>
      </c>
      <c r="P12" s="432">
        <v>169.6</v>
      </c>
      <c r="Q12" s="509">
        <v>29.8</v>
      </c>
      <c r="R12" s="422">
        <v>0</v>
      </c>
      <c r="S12" s="422">
        <v>0</v>
      </c>
      <c r="T12" s="422">
        <v>0</v>
      </c>
      <c r="U12" s="423">
        <v>2017.9</v>
      </c>
      <c r="V12" s="51"/>
    </row>
    <row r="13" spans="3:22" x14ac:dyDescent="0.25">
      <c r="C13" s="610" t="s">
        <v>60</v>
      </c>
      <c r="D13" s="422">
        <v>0.6</v>
      </c>
      <c r="E13" s="422">
        <v>72.8</v>
      </c>
      <c r="F13" s="422">
        <v>2</v>
      </c>
      <c r="G13" s="624">
        <v>0</v>
      </c>
      <c r="H13" s="422">
        <v>3.2</v>
      </c>
      <c r="I13" s="624">
        <v>0</v>
      </c>
      <c r="J13" s="422">
        <v>0</v>
      </c>
      <c r="K13" s="422">
        <v>0</v>
      </c>
      <c r="L13" s="422">
        <v>5.2</v>
      </c>
      <c r="M13" s="422">
        <v>0</v>
      </c>
      <c r="N13" s="628">
        <v>6.8</v>
      </c>
      <c r="O13" s="432">
        <v>0</v>
      </c>
      <c r="P13" s="422">
        <v>0</v>
      </c>
      <c r="Q13" s="422">
        <v>0</v>
      </c>
      <c r="R13" s="432">
        <v>76.400000000000006</v>
      </c>
      <c r="S13" s="422">
        <v>0</v>
      </c>
      <c r="T13" s="432">
        <v>0</v>
      </c>
      <c r="U13" s="423">
        <v>167.1</v>
      </c>
      <c r="V13" s="51"/>
    </row>
    <row r="14" spans="3:22" x14ac:dyDescent="0.25">
      <c r="C14" s="610" t="s">
        <v>61</v>
      </c>
      <c r="D14" s="422">
        <v>0</v>
      </c>
      <c r="E14" s="422">
        <v>0</v>
      </c>
      <c r="F14" s="422">
        <v>-14.1</v>
      </c>
      <c r="G14" s="624">
        <v>-15.1</v>
      </c>
      <c r="H14" s="422">
        <v>0</v>
      </c>
      <c r="I14" s="624">
        <v>0</v>
      </c>
      <c r="J14" s="422">
        <v>0</v>
      </c>
      <c r="K14" s="422">
        <v>0</v>
      </c>
      <c r="L14" s="422">
        <v>0</v>
      </c>
      <c r="M14" s="422">
        <v>0</v>
      </c>
      <c r="N14" s="628">
        <v>0</v>
      </c>
      <c r="O14" s="432">
        <v>0</v>
      </c>
      <c r="P14" s="422">
        <v>0</v>
      </c>
      <c r="Q14" s="422">
        <v>0</v>
      </c>
      <c r="R14" s="432">
        <v>0</v>
      </c>
      <c r="S14" s="422">
        <v>0</v>
      </c>
      <c r="T14" s="432">
        <v>0</v>
      </c>
      <c r="U14" s="423">
        <v>-29.2</v>
      </c>
      <c r="V14" s="51"/>
    </row>
    <row r="15" spans="3:22" x14ac:dyDescent="0.25">
      <c r="C15" s="610" t="s">
        <v>62</v>
      </c>
      <c r="D15" s="421">
        <v>0</v>
      </c>
      <c r="E15" s="421">
        <v>0</v>
      </c>
      <c r="F15" s="421">
        <v>0</v>
      </c>
      <c r="G15" s="624">
        <v>-6.1</v>
      </c>
      <c r="H15" s="421">
        <v>0</v>
      </c>
      <c r="I15" s="624">
        <v>-4.4000000000000004</v>
      </c>
      <c r="J15" s="421">
        <v>0</v>
      </c>
      <c r="K15" s="421">
        <v>0</v>
      </c>
      <c r="L15" s="421">
        <v>0</v>
      </c>
      <c r="M15" s="421">
        <v>0</v>
      </c>
      <c r="N15" s="431">
        <v>-1.5</v>
      </c>
      <c r="O15" s="431">
        <v>-3</v>
      </c>
      <c r="P15" s="421">
        <v>0</v>
      </c>
      <c r="Q15" s="421">
        <v>0</v>
      </c>
      <c r="R15" s="422">
        <v>0</v>
      </c>
      <c r="S15" s="422">
        <v>0</v>
      </c>
      <c r="T15" s="431">
        <v>-2.4</v>
      </c>
      <c r="U15" s="423">
        <v>-17.5</v>
      </c>
      <c r="V15" s="51"/>
    </row>
    <row r="16" spans="3:22" x14ac:dyDescent="0.25">
      <c r="C16" s="610" t="s">
        <v>63</v>
      </c>
      <c r="D16" s="421">
        <v>0</v>
      </c>
      <c r="E16" s="421">
        <v>0</v>
      </c>
      <c r="F16" s="421">
        <v>-7.3</v>
      </c>
      <c r="G16" s="624">
        <v>-24.9</v>
      </c>
      <c r="H16" s="421">
        <v>0</v>
      </c>
      <c r="I16" s="624">
        <v>0</v>
      </c>
      <c r="J16" s="421">
        <v>0</v>
      </c>
      <c r="K16" s="421">
        <v>0</v>
      </c>
      <c r="L16" s="421">
        <v>0</v>
      </c>
      <c r="M16" s="421">
        <v>0</v>
      </c>
      <c r="N16" s="431">
        <v>-17.399999999999999</v>
      </c>
      <c r="O16" s="431">
        <v>0</v>
      </c>
      <c r="P16" s="421">
        <v>0</v>
      </c>
      <c r="Q16" s="421">
        <v>0</v>
      </c>
      <c r="R16" s="422">
        <v>0</v>
      </c>
      <c r="S16" s="422">
        <v>0</v>
      </c>
      <c r="T16" s="431">
        <v>-7.6</v>
      </c>
      <c r="U16" s="423">
        <v>-57.3</v>
      </c>
      <c r="V16" s="51"/>
    </row>
    <row r="17" spans="3:22" x14ac:dyDescent="0.25">
      <c r="C17" s="610" t="s">
        <v>64</v>
      </c>
      <c r="D17" s="422">
        <v>0</v>
      </c>
      <c r="E17" s="422">
        <v>0</v>
      </c>
      <c r="F17" s="422">
        <v>0</v>
      </c>
      <c r="G17" s="611">
        <v>0</v>
      </c>
      <c r="H17" s="422">
        <v>0</v>
      </c>
      <c r="I17" s="611">
        <v>0</v>
      </c>
      <c r="J17" s="422">
        <v>0</v>
      </c>
      <c r="K17" s="422">
        <v>0</v>
      </c>
      <c r="L17" s="422">
        <v>0</v>
      </c>
      <c r="M17" s="422">
        <v>0</v>
      </c>
      <c r="N17" s="422">
        <v>0</v>
      </c>
      <c r="O17" s="422">
        <v>0</v>
      </c>
      <c r="P17" s="422">
        <v>0</v>
      </c>
      <c r="Q17" s="422">
        <v>0</v>
      </c>
      <c r="R17" s="422">
        <v>0</v>
      </c>
      <c r="S17" s="422">
        <v>0</v>
      </c>
      <c r="T17" s="422">
        <v>0</v>
      </c>
      <c r="U17" s="423">
        <v>0</v>
      </c>
      <c r="V17" s="51"/>
    </row>
    <row r="18" spans="3:22" x14ac:dyDescent="0.25">
      <c r="C18" s="614" t="s">
        <v>65</v>
      </c>
      <c r="D18" s="510">
        <v>0.6</v>
      </c>
      <c r="E18" s="510">
        <v>72.8</v>
      </c>
      <c r="F18" s="510">
        <v>-19.5</v>
      </c>
      <c r="G18" s="615">
        <v>-46.1</v>
      </c>
      <c r="H18" s="510">
        <v>3.2</v>
      </c>
      <c r="I18" s="615">
        <v>-4.4000000000000004</v>
      </c>
      <c r="J18" s="425">
        <v>759.9</v>
      </c>
      <c r="K18" s="425">
        <v>585.29999999999995</v>
      </c>
      <c r="L18" s="425">
        <v>549.5</v>
      </c>
      <c r="M18" s="510">
        <v>22.6</v>
      </c>
      <c r="N18" s="425">
        <v>-10.6</v>
      </c>
      <c r="O18" s="425">
        <v>-2.8</v>
      </c>
      <c r="P18" s="425">
        <v>169.6</v>
      </c>
      <c r="Q18" s="425">
        <v>29.8</v>
      </c>
      <c r="R18" s="425">
        <v>76.400000000000006</v>
      </c>
      <c r="S18" s="425">
        <v>0</v>
      </c>
      <c r="T18" s="425">
        <v>-10</v>
      </c>
      <c r="U18" s="425">
        <v>2081.1</v>
      </c>
      <c r="V18" s="51"/>
    </row>
    <row r="19" spans="3:22" x14ac:dyDescent="0.25">
      <c r="C19" s="616"/>
      <c r="D19" s="427"/>
      <c r="E19" s="492"/>
      <c r="F19" s="492"/>
      <c r="G19" s="617"/>
      <c r="H19" s="492"/>
      <c r="I19" s="617"/>
      <c r="J19" s="427"/>
      <c r="K19" s="427"/>
      <c r="L19" s="427"/>
      <c r="M19" s="492"/>
      <c r="N19" s="427"/>
      <c r="O19" s="427"/>
      <c r="P19" s="427"/>
      <c r="Q19" s="427"/>
      <c r="R19" s="492"/>
      <c r="S19" s="492"/>
      <c r="T19" s="427"/>
      <c r="U19" s="427"/>
      <c r="V19" s="51"/>
    </row>
    <row r="20" spans="3:22" x14ac:dyDescent="0.25">
      <c r="C20" s="618" t="s">
        <v>67</v>
      </c>
      <c r="D20" s="421">
        <v>0</v>
      </c>
      <c r="E20" s="431">
        <v>0</v>
      </c>
      <c r="F20" s="431">
        <v>0</v>
      </c>
      <c r="G20" s="611">
        <v>0</v>
      </c>
      <c r="H20" s="431">
        <v>0</v>
      </c>
      <c r="I20" s="611">
        <v>0</v>
      </c>
      <c r="J20" s="421">
        <v>0</v>
      </c>
      <c r="K20" s="421">
        <v>0</v>
      </c>
      <c r="L20" s="421">
        <v>0</v>
      </c>
      <c r="M20" s="431">
        <v>0</v>
      </c>
      <c r="N20" s="421">
        <v>0</v>
      </c>
      <c r="O20" s="421">
        <v>0</v>
      </c>
      <c r="P20" s="421">
        <v>0</v>
      </c>
      <c r="Q20" s="421">
        <v>0</v>
      </c>
      <c r="R20" s="431">
        <v>0</v>
      </c>
      <c r="S20" s="431">
        <v>0</v>
      </c>
      <c r="T20" s="422">
        <v>0</v>
      </c>
      <c r="U20" s="423">
        <v>0</v>
      </c>
      <c r="V20" s="51"/>
    </row>
    <row r="21" spans="3:22" x14ac:dyDescent="0.25">
      <c r="C21" s="618" t="s">
        <v>347</v>
      </c>
      <c r="D21" s="431">
        <v>0</v>
      </c>
      <c r="E21" s="421">
        <v>0</v>
      </c>
      <c r="F21" s="431">
        <v>0</v>
      </c>
      <c r="G21" s="611">
        <v>0</v>
      </c>
      <c r="H21" s="431">
        <v>0</v>
      </c>
      <c r="I21" s="611">
        <v>0</v>
      </c>
      <c r="J21" s="431">
        <v>759.9</v>
      </c>
      <c r="K21" s="431">
        <v>585.29999999999995</v>
      </c>
      <c r="L21" s="431">
        <v>21.1</v>
      </c>
      <c r="M21" s="431">
        <v>0.8</v>
      </c>
      <c r="N21" s="625">
        <v>6.6</v>
      </c>
      <c r="O21" s="431">
        <v>1.6</v>
      </c>
      <c r="P21" s="421">
        <v>0</v>
      </c>
      <c r="Q21" s="625">
        <v>6.8</v>
      </c>
      <c r="R21" s="421">
        <v>-895.4</v>
      </c>
      <c r="S21" s="421">
        <v>0</v>
      </c>
      <c r="T21" s="432">
        <v>6.4</v>
      </c>
      <c r="U21" s="491">
        <v>493</v>
      </c>
      <c r="V21" s="51"/>
    </row>
    <row r="22" spans="3:22" x14ac:dyDescent="0.25">
      <c r="C22" s="618" t="s">
        <v>348</v>
      </c>
      <c r="D22" s="431">
        <v>0</v>
      </c>
      <c r="E22" s="421">
        <v>0</v>
      </c>
      <c r="F22" s="431">
        <v>0</v>
      </c>
      <c r="G22" s="611">
        <v>0</v>
      </c>
      <c r="H22" s="431">
        <v>0</v>
      </c>
      <c r="I22" s="611">
        <v>0</v>
      </c>
      <c r="J22" s="421">
        <v>0</v>
      </c>
      <c r="K22" s="421">
        <v>0</v>
      </c>
      <c r="L22" s="431">
        <v>40.9</v>
      </c>
      <c r="M22" s="431">
        <v>16.5</v>
      </c>
      <c r="N22" s="421">
        <v>0</v>
      </c>
      <c r="O22" s="431">
        <v>9.5</v>
      </c>
      <c r="P22" s="421">
        <v>0</v>
      </c>
      <c r="Q22" s="431">
        <v>13.6</v>
      </c>
      <c r="R22" s="421">
        <v>0</v>
      </c>
      <c r="S22" s="421">
        <v>-77.099999999999994</v>
      </c>
      <c r="T22" s="432">
        <v>0</v>
      </c>
      <c r="U22" s="491">
        <v>3.4</v>
      </c>
      <c r="V22" s="51"/>
    </row>
    <row r="23" spans="3:22" x14ac:dyDescent="0.25">
      <c r="C23" s="618" t="s">
        <v>349</v>
      </c>
      <c r="D23" s="421">
        <v>0</v>
      </c>
      <c r="E23" s="421">
        <v>0</v>
      </c>
      <c r="F23" s="421">
        <v>0</v>
      </c>
      <c r="G23" s="611">
        <v>0</v>
      </c>
      <c r="H23" s="421">
        <v>0</v>
      </c>
      <c r="I23" s="611">
        <v>0</v>
      </c>
      <c r="J23" s="421">
        <v>0</v>
      </c>
      <c r="K23" s="421">
        <v>0</v>
      </c>
      <c r="L23" s="431">
        <v>237.2</v>
      </c>
      <c r="M23" s="421">
        <v>0</v>
      </c>
      <c r="N23" s="421">
        <v>0</v>
      </c>
      <c r="O23" s="421">
        <v>-130.5</v>
      </c>
      <c r="P23" s="421">
        <v>0</v>
      </c>
      <c r="Q23" s="421">
        <v>0</v>
      </c>
      <c r="R23" s="421">
        <v>0</v>
      </c>
      <c r="S23" s="421">
        <v>0</v>
      </c>
      <c r="T23" s="422">
        <v>0</v>
      </c>
      <c r="U23" s="491">
        <v>106.7</v>
      </c>
      <c r="V23" s="51"/>
    </row>
    <row r="24" spans="3:22" x14ac:dyDescent="0.25">
      <c r="C24" s="618" t="s">
        <v>350</v>
      </c>
      <c r="D24" s="421">
        <v>0</v>
      </c>
      <c r="E24" s="421">
        <v>0</v>
      </c>
      <c r="F24" s="421">
        <v>0</v>
      </c>
      <c r="G24" s="611">
        <v>0</v>
      </c>
      <c r="H24" s="421">
        <v>0</v>
      </c>
      <c r="I24" s="611">
        <v>-9.8000000000000007</v>
      </c>
      <c r="J24" s="421">
        <v>0</v>
      </c>
      <c r="K24" s="421">
        <v>0</v>
      </c>
      <c r="L24" s="421">
        <v>0</v>
      </c>
      <c r="M24" s="421">
        <v>0</v>
      </c>
      <c r="N24" s="421">
        <v>0</v>
      </c>
      <c r="O24" s="421">
        <v>0</v>
      </c>
      <c r="P24" s="421">
        <v>0</v>
      </c>
      <c r="Q24" s="421">
        <v>0</v>
      </c>
      <c r="R24" s="421">
        <v>0</v>
      </c>
      <c r="S24" s="421">
        <v>0</v>
      </c>
      <c r="T24" s="628">
        <v>12.1</v>
      </c>
      <c r="U24" s="629">
        <v>2.2000000000000002</v>
      </c>
      <c r="V24" s="51"/>
    </row>
    <row r="25" spans="3:22" x14ac:dyDescent="0.25">
      <c r="C25" s="618" t="s">
        <v>72</v>
      </c>
      <c r="D25" s="421">
        <v>0</v>
      </c>
      <c r="E25" s="431">
        <v>75.400000000000006</v>
      </c>
      <c r="F25" s="421">
        <v>-74.599999999999994</v>
      </c>
      <c r="G25" s="611">
        <v>0</v>
      </c>
      <c r="H25" s="431">
        <v>0</v>
      </c>
      <c r="I25" s="611">
        <v>0</v>
      </c>
      <c r="J25" s="421">
        <v>0</v>
      </c>
      <c r="K25" s="421">
        <v>0</v>
      </c>
      <c r="L25" s="421">
        <v>0</v>
      </c>
      <c r="M25" s="421">
        <v>0</v>
      </c>
      <c r="N25" s="421">
        <v>0</v>
      </c>
      <c r="O25" s="421">
        <v>0</v>
      </c>
      <c r="P25" s="421">
        <v>0</v>
      </c>
      <c r="Q25" s="421">
        <v>0</v>
      </c>
      <c r="R25" s="421">
        <v>0</v>
      </c>
      <c r="S25" s="421">
        <v>0</v>
      </c>
      <c r="T25" s="422">
        <v>0</v>
      </c>
      <c r="U25" s="491">
        <v>0.8</v>
      </c>
      <c r="V25" s="51"/>
    </row>
    <row r="26" spans="3:22" x14ac:dyDescent="0.25">
      <c r="C26" s="618" t="s">
        <v>351</v>
      </c>
      <c r="D26" s="421">
        <v>0</v>
      </c>
      <c r="E26" s="421">
        <v>0</v>
      </c>
      <c r="F26" s="421">
        <v>0</v>
      </c>
      <c r="G26" s="611">
        <v>0</v>
      </c>
      <c r="H26" s="421">
        <v>0</v>
      </c>
      <c r="I26" s="611">
        <v>0</v>
      </c>
      <c r="J26" s="421">
        <v>0</v>
      </c>
      <c r="K26" s="421">
        <v>0</v>
      </c>
      <c r="L26" s="625">
        <v>194.7</v>
      </c>
      <c r="M26" s="421">
        <v>0</v>
      </c>
      <c r="N26" s="421">
        <v>-107.1</v>
      </c>
      <c r="O26" s="421">
        <v>0</v>
      </c>
      <c r="P26" s="421">
        <v>0</v>
      </c>
      <c r="Q26" s="421">
        <v>0</v>
      </c>
      <c r="R26" s="421">
        <v>0</v>
      </c>
      <c r="S26" s="421">
        <v>0</v>
      </c>
      <c r="T26" s="422">
        <v>0</v>
      </c>
      <c r="U26" s="683">
        <v>87.6</v>
      </c>
      <c r="V26" s="51"/>
    </row>
    <row r="27" spans="3:22" x14ac:dyDescent="0.25">
      <c r="C27" s="618" t="s">
        <v>352</v>
      </c>
      <c r="D27" s="421">
        <v>0</v>
      </c>
      <c r="E27" s="421">
        <v>0</v>
      </c>
      <c r="F27" s="421">
        <v>0</v>
      </c>
      <c r="G27" s="611">
        <v>-53.7</v>
      </c>
      <c r="H27" s="421">
        <v>0</v>
      </c>
      <c r="I27" s="611">
        <v>0</v>
      </c>
      <c r="J27" s="421">
        <v>0</v>
      </c>
      <c r="K27" s="421">
        <v>0</v>
      </c>
      <c r="L27" s="421">
        <v>0</v>
      </c>
      <c r="M27" s="421">
        <v>0</v>
      </c>
      <c r="N27" s="421">
        <v>0</v>
      </c>
      <c r="O27" s="421">
        <v>0</v>
      </c>
      <c r="P27" s="421">
        <v>0</v>
      </c>
      <c r="Q27" s="421">
        <v>0</v>
      </c>
      <c r="R27" s="421">
        <v>0</v>
      </c>
      <c r="S27" s="421">
        <v>0</v>
      </c>
      <c r="T27" s="627">
        <v>69.599999999999994</v>
      </c>
      <c r="U27" s="629">
        <v>15.9</v>
      </c>
      <c r="V27" s="51"/>
    </row>
    <row r="28" spans="3:22" x14ac:dyDescent="0.25">
      <c r="C28" s="618" t="s">
        <v>73</v>
      </c>
      <c r="D28" s="421">
        <v>0</v>
      </c>
      <c r="E28" s="421">
        <v>0</v>
      </c>
      <c r="F28" s="421">
        <v>0</v>
      </c>
      <c r="G28" s="611">
        <v>0</v>
      </c>
      <c r="H28" s="431">
        <v>0</v>
      </c>
      <c r="I28" s="611">
        <v>0</v>
      </c>
      <c r="J28" s="421">
        <v>0</v>
      </c>
      <c r="K28" s="421">
        <v>0</v>
      </c>
      <c r="L28" s="421">
        <v>0</v>
      </c>
      <c r="M28" s="431">
        <v>0</v>
      </c>
      <c r="N28" s="421">
        <v>0</v>
      </c>
      <c r="O28" s="431">
        <v>0</v>
      </c>
      <c r="P28" s="421">
        <v>0</v>
      </c>
      <c r="Q28" s="421">
        <v>0</v>
      </c>
      <c r="R28" s="431">
        <v>258.10000000000002</v>
      </c>
      <c r="S28" s="421">
        <v>0</v>
      </c>
      <c r="T28" s="509">
        <v>-185.8</v>
      </c>
      <c r="U28" s="491">
        <v>72.3</v>
      </c>
      <c r="V28" s="51"/>
    </row>
    <row r="29" spans="3:22" x14ac:dyDescent="0.25">
      <c r="C29" s="618" t="s">
        <v>353</v>
      </c>
      <c r="D29" s="431">
        <v>0</v>
      </c>
      <c r="E29" s="431">
        <v>-2.6</v>
      </c>
      <c r="F29" s="431">
        <v>3.4</v>
      </c>
      <c r="G29" s="611">
        <v>0</v>
      </c>
      <c r="H29" s="431">
        <v>0</v>
      </c>
      <c r="I29" s="611">
        <v>0</v>
      </c>
      <c r="J29" s="421">
        <v>0</v>
      </c>
      <c r="K29" s="421">
        <v>0</v>
      </c>
      <c r="L29" s="421">
        <v>0</v>
      </c>
      <c r="M29" s="421">
        <v>0</v>
      </c>
      <c r="N29" s="431">
        <v>0</v>
      </c>
      <c r="O29" s="431">
        <v>0</v>
      </c>
      <c r="P29" s="421">
        <v>0</v>
      </c>
      <c r="Q29" s="421">
        <v>0</v>
      </c>
      <c r="R29" s="421">
        <v>0</v>
      </c>
      <c r="S29" s="421">
        <v>0</v>
      </c>
      <c r="T29" s="422">
        <v>0</v>
      </c>
      <c r="U29" s="423">
        <v>0.8</v>
      </c>
      <c r="V29" s="51"/>
    </row>
    <row r="30" spans="3:22" x14ac:dyDescent="0.25">
      <c r="C30" s="618" t="s">
        <v>75</v>
      </c>
      <c r="D30" s="431">
        <v>0</v>
      </c>
      <c r="E30" s="421">
        <v>0</v>
      </c>
      <c r="F30" s="431">
        <v>2.6</v>
      </c>
      <c r="G30" s="611">
        <v>0</v>
      </c>
      <c r="H30" s="431">
        <v>0</v>
      </c>
      <c r="I30" s="624">
        <v>0.2</v>
      </c>
      <c r="J30" s="421">
        <v>0</v>
      </c>
      <c r="K30" s="421">
        <v>0</v>
      </c>
      <c r="L30" s="421">
        <v>0</v>
      </c>
      <c r="M30" s="421">
        <v>0</v>
      </c>
      <c r="N30" s="421">
        <v>0</v>
      </c>
      <c r="O30" s="431">
        <v>4.5</v>
      </c>
      <c r="P30" s="421">
        <v>0</v>
      </c>
      <c r="Q30" s="421">
        <v>0</v>
      </c>
      <c r="R30" s="431">
        <v>65.400000000000006</v>
      </c>
      <c r="S30" s="421">
        <v>0</v>
      </c>
      <c r="T30" s="422">
        <v>0</v>
      </c>
      <c r="U30" s="423">
        <v>72.7</v>
      </c>
      <c r="V30" s="51"/>
    </row>
    <row r="31" spans="3:22" x14ac:dyDescent="0.25">
      <c r="C31" s="618" t="s">
        <v>76</v>
      </c>
      <c r="D31" s="421">
        <v>0</v>
      </c>
      <c r="E31" s="421">
        <v>0</v>
      </c>
      <c r="F31" s="421">
        <v>0</v>
      </c>
      <c r="G31" s="611">
        <v>0</v>
      </c>
      <c r="H31" s="431">
        <v>0</v>
      </c>
      <c r="I31" s="624">
        <v>0.1</v>
      </c>
      <c r="J31" s="421">
        <v>0</v>
      </c>
      <c r="K31" s="421">
        <v>0</v>
      </c>
      <c r="L31" s="421">
        <v>0</v>
      </c>
      <c r="M31" s="421">
        <v>0</v>
      </c>
      <c r="N31" s="421">
        <v>0</v>
      </c>
      <c r="O31" s="431">
        <v>1.3</v>
      </c>
      <c r="P31" s="421">
        <v>0</v>
      </c>
      <c r="Q31" s="421">
        <v>0</v>
      </c>
      <c r="R31" s="431">
        <v>74.400000000000006</v>
      </c>
      <c r="S31" s="431">
        <v>6</v>
      </c>
      <c r="T31" s="432">
        <v>0</v>
      </c>
      <c r="U31" s="423">
        <v>81.8</v>
      </c>
      <c r="V31" s="51"/>
    </row>
    <row r="32" spans="3:22" x14ac:dyDescent="0.25">
      <c r="C32" s="614" t="s">
        <v>77</v>
      </c>
      <c r="D32" s="425">
        <v>0</v>
      </c>
      <c r="E32" s="425">
        <v>72.8</v>
      </c>
      <c r="F32" s="425">
        <v>-68.599999999999994</v>
      </c>
      <c r="G32" s="615">
        <v>-53.7</v>
      </c>
      <c r="H32" s="425">
        <v>0</v>
      </c>
      <c r="I32" s="615">
        <v>-9.5</v>
      </c>
      <c r="J32" s="425">
        <v>759.9</v>
      </c>
      <c r="K32" s="425">
        <v>585.29999999999995</v>
      </c>
      <c r="L32" s="425">
        <v>493.8</v>
      </c>
      <c r="M32" s="425">
        <v>17.3</v>
      </c>
      <c r="N32" s="425">
        <v>-100.5</v>
      </c>
      <c r="O32" s="425">
        <v>-113.5</v>
      </c>
      <c r="P32" s="425">
        <v>0</v>
      </c>
      <c r="Q32" s="425">
        <v>20.3</v>
      </c>
      <c r="R32" s="425">
        <v>-497.6</v>
      </c>
      <c r="S32" s="425">
        <v>-71.099999999999994</v>
      </c>
      <c r="T32" s="425">
        <v>-97.7</v>
      </c>
      <c r="U32" s="425">
        <v>841.8</v>
      </c>
      <c r="V32" s="51"/>
    </row>
    <row r="33" spans="3:22" x14ac:dyDescent="0.25">
      <c r="C33" s="616"/>
      <c r="D33" s="427"/>
      <c r="E33" s="427"/>
      <c r="F33" s="427"/>
      <c r="G33" s="617"/>
      <c r="H33" s="427"/>
      <c r="I33" s="617"/>
      <c r="J33" s="427"/>
      <c r="K33" s="427"/>
      <c r="L33" s="427"/>
      <c r="M33" s="427"/>
      <c r="N33" s="427">
        <v>194.3</v>
      </c>
      <c r="O33" s="427"/>
      <c r="P33" s="427"/>
      <c r="Q33" s="427"/>
      <c r="R33" s="427"/>
      <c r="S33" s="427"/>
      <c r="T33" s="427"/>
      <c r="U33" s="427"/>
      <c r="V33" s="51"/>
    </row>
    <row r="34" spans="3:22" x14ac:dyDescent="0.25">
      <c r="C34" s="618" t="s">
        <v>78</v>
      </c>
      <c r="D34" s="431">
        <v>0.6</v>
      </c>
      <c r="E34" s="421">
        <v>0</v>
      </c>
      <c r="F34" s="431">
        <v>1.5</v>
      </c>
      <c r="G34" s="624">
        <v>0</v>
      </c>
      <c r="H34" s="431">
        <v>0</v>
      </c>
      <c r="I34" s="624">
        <v>2.2999999999999998</v>
      </c>
      <c r="J34" s="421">
        <v>0</v>
      </c>
      <c r="K34" s="421">
        <v>0</v>
      </c>
      <c r="L34" s="431">
        <v>23.4</v>
      </c>
      <c r="M34" s="431">
        <v>5.4</v>
      </c>
      <c r="N34" s="431">
        <v>1.3</v>
      </c>
      <c r="O34" s="431">
        <v>43</v>
      </c>
      <c r="P34" s="431">
        <v>22</v>
      </c>
      <c r="Q34" s="431">
        <v>0</v>
      </c>
      <c r="R34" s="431">
        <v>202</v>
      </c>
      <c r="S34" s="431">
        <v>22.3</v>
      </c>
      <c r="T34" s="431">
        <v>16</v>
      </c>
      <c r="U34" s="429">
        <v>339.7</v>
      </c>
      <c r="V34" s="51"/>
    </row>
    <row r="35" spans="3:22" x14ac:dyDescent="0.25">
      <c r="C35" s="618" t="s">
        <v>79</v>
      </c>
      <c r="D35" s="431">
        <v>0</v>
      </c>
      <c r="E35" s="421">
        <v>0</v>
      </c>
      <c r="F35" s="431">
        <v>2.5</v>
      </c>
      <c r="G35" s="624">
        <v>4.5999999999999996</v>
      </c>
      <c r="H35" s="431">
        <v>0</v>
      </c>
      <c r="I35" s="624">
        <v>0.4</v>
      </c>
      <c r="J35" s="421">
        <v>0</v>
      </c>
      <c r="K35" s="421">
        <v>0</v>
      </c>
      <c r="L35" s="431">
        <v>0</v>
      </c>
      <c r="M35" s="431">
        <v>0</v>
      </c>
      <c r="N35" s="431">
        <v>19.5</v>
      </c>
      <c r="O35" s="431">
        <v>7.4</v>
      </c>
      <c r="P35" s="431">
        <v>0</v>
      </c>
      <c r="Q35" s="431">
        <v>0</v>
      </c>
      <c r="R35" s="431">
        <v>117.9</v>
      </c>
      <c r="S35" s="431">
        <v>0</v>
      </c>
      <c r="T35" s="431">
        <v>7</v>
      </c>
      <c r="U35" s="429">
        <v>159.4</v>
      </c>
      <c r="V35" s="51"/>
    </row>
    <row r="36" spans="3:22" x14ac:dyDescent="0.25">
      <c r="C36" s="618" t="s">
        <v>80</v>
      </c>
      <c r="D36" s="431">
        <v>0</v>
      </c>
      <c r="E36" s="421">
        <v>0</v>
      </c>
      <c r="F36" s="431">
        <v>0.3</v>
      </c>
      <c r="G36" s="624">
        <v>0</v>
      </c>
      <c r="H36" s="431">
        <v>0</v>
      </c>
      <c r="I36" s="624">
        <v>1.9</v>
      </c>
      <c r="J36" s="421">
        <v>0</v>
      </c>
      <c r="K36" s="421">
        <v>0</v>
      </c>
      <c r="L36" s="431">
        <v>27.3</v>
      </c>
      <c r="M36" s="431">
        <v>0</v>
      </c>
      <c r="N36" s="431">
        <v>0</v>
      </c>
      <c r="O36" s="431">
        <v>35.6</v>
      </c>
      <c r="P36" s="431">
        <v>92.7</v>
      </c>
      <c r="Q36" s="431">
        <v>3.1</v>
      </c>
      <c r="R36" s="431">
        <v>127.5</v>
      </c>
      <c r="S36" s="431">
        <v>30.4</v>
      </c>
      <c r="T36" s="431">
        <v>0</v>
      </c>
      <c r="U36" s="429">
        <v>318.8</v>
      </c>
      <c r="V36" s="51"/>
    </row>
    <row r="37" spans="3:22" x14ac:dyDescent="0.25">
      <c r="C37" s="618" t="s">
        <v>81</v>
      </c>
      <c r="D37" s="431">
        <v>0</v>
      </c>
      <c r="E37" s="421">
        <v>0</v>
      </c>
      <c r="F37" s="431">
        <v>0</v>
      </c>
      <c r="G37" s="624">
        <v>0</v>
      </c>
      <c r="H37" s="431">
        <v>0</v>
      </c>
      <c r="I37" s="624">
        <v>0.5</v>
      </c>
      <c r="J37" s="421">
        <v>0</v>
      </c>
      <c r="K37" s="421">
        <v>0</v>
      </c>
      <c r="L37" s="431">
        <v>0.5</v>
      </c>
      <c r="M37" s="431">
        <v>0</v>
      </c>
      <c r="N37" s="431">
        <v>0</v>
      </c>
      <c r="O37" s="431">
        <v>9.8000000000000007</v>
      </c>
      <c r="P37" s="431">
        <v>53.4</v>
      </c>
      <c r="Q37" s="431">
        <v>4.2</v>
      </c>
      <c r="R37" s="431">
        <v>108.1</v>
      </c>
      <c r="S37" s="431">
        <v>18.399999999999999</v>
      </c>
      <c r="T37" s="431">
        <v>0</v>
      </c>
      <c r="U37" s="429">
        <v>194.8</v>
      </c>
      <c r="V37" s="51"/>
    </row>
    <row r="38" spans="3:22" x14ac:dyDescent="0.25">
      <c r="C38" s="618" t="s">
        <v>82</v>
      </c>
      <c r="D38" s="431">
        <v>0</v>
      </c>
      <c r="E38" s="421">
        <v>0</v>
      </c>
      <c r="F38" s="431">
        <v>0.2</v>
      </c>
      <c r="G38" s="624">
        <v>0</v>
      </c>
      <c r="H38" s="431">
        <v>0</v>
      </c>
      <c r="I38" s="624">
        <v>0.1</v>
      </c>
      <c r="J38" s="421">
        <v>0</v>
      </c>
      <c r="K38" s="421">
        <v>0</v>
      </c>
      <c r="L38" s="431">
        <v>4</v>
      </c>
      <c r="M38" s="431">
        <v>0</v>
      </c>
      <c r="N38" s="431">
        <v>18.8</v>
      </c>
      <c r="O38" s="431">
        <v>1.1000000000000001</v>
      </c>
      <c r="P38" s="431">
        <v>1.5</v>
      </c>
      <c r="Q38" s="431">
        <v>2.2000000000000002</v>
      </c>
      <c r="R38" s="431">
        <v>6.9</v>
      </c>
      <c r="S38" s="431">
        <v>0</v>
      </c>
      <c r="T38" s="431">
        <v>0.8</v>
      </c>
      <c r="U38" s="429">
        <v>35.5</v>
      </c>
      <c r="V38" s="51"/>
    </row>
    <row r="39" spans="3:22" x14ac:dyDescent="0.25">
      <c r="C39" s="618" t="s">
        <v>354</v>
      </c>
      <c r="D39" s="421">
        <v>0</v>
      </c>
      <c r="E39" s="421">
        <v>0</v>
      </c>
      <c r="F39" s="421">
        <v>0</v>
      </c>
      <c r="G39" s="611">
        <v>0</v>
      </c>
      <c r="H39" s="421">
        <v>0</v>
      </c>
      <c r="I39" s="611">
        <v>0</v>
      </c>
      <c r="J39" s="421">
        <v>0</v>
      </c>
      <c r="K39" s="421">
        <v>0</v>
      </c>
      <c r="L39" s="421">
        <v>0</v>
      </c>
      <c r="M39" s="421">
        <v>0</v>
      </c>
      <c r="N39" s="421">
        <v>0</v>
      </c>
      <c r="O39" s="421">
        <v>0</v>
      </c>
      <c r="P39" s="421">
        <v>0</v>
      </c>
      <c r="Q39" s="421">
        <v>0</v>
      </c>
      <c r="R39" s="431">
        <v>11.7</v>
      </c>
      <c r="S39" s="421">
        <v>0</v>
      </c>
      <c r="T39" s="421">
        <v>0</v>
      </c>
      <c r="U39" s="429">
        <v>11.7</v>
      </c>
      <c r="V39" s="51"/>
    </row>
    <row r="40" spans="3:22" x14ac:dyDescent="0.25">
      <c r="C40" s="614" t="s">
        <v>83</v>
      </c>
      <c r="D40" s="425">
        <v>0.6</v>
      </c>
      <c r="E40" s="425">
        <v>0</v>
      </c>
      <c r="F40" s="425">
        <v>4.5999999999999996</v>
      </c>
      <c r="G40" s="615">
        <v>4.5999999999999996</v>
      </c>
      <c r="H40" s="425">
        <v>0</v>
      </c>
      <c r="I40" s="615">
        <v>5.0999999999999996</v>
      </c>
      <c r="J40" s="425">
        <v>0</v>
      </c>
      <c r="K40" s="425">
        <v>0</v>
      </c>
      <c r="L40" s="425">
        <v>55.1</v>
      </c>
      <c r="M40" s="425">
        <v>5.4</v>
      </c>
      <c r="N40" s="425">
        <v>39.6</v>
      </c>
      <c r="O40" s="425">
        <v>96.9</v>
      </c>
      <c r="P40" s="425">
        <v>169.6</v>
      </c>
      <c r="Q40" s="425">
        <v>9.5</v>
      </c>
      <c r="R40" s="425">
        <v>574.1</v>
      </c>
      <c r="S40" s="425">
        <v>71.099999999999994</v>
      </c>
      <c r="T40" s="425">
        <v>23.8</v>
      </c>
      <c r="U40" s="425">
        <v>1059.9000000000001</v>
      </c>
      <c r="V40" s="51"/>
    </row>
    <row r="41" spans="3:22" x14ac:dyDescent="0.25">
      <c r="C41" s="610" t="s">
        <v>84</v>
      </c>
      <c r="D41" s="431">
        <v>0</v>
      </c>
      <c r="E41" s="421">
        <v>0</v>
      </c>
      <c r="F41" s="431">
        <v>44.6</v>
      </c>
      <c r="G41" s="624">
        <v>3</v>
      </c>
      <c r="H41" s="431">
        <v>3.2</v>
      </c>
      <c r="I41" s="611">
        <v>0</v>
      </c>
      <c r="J41" s="421">
        <v>0</v>
      </c>
      <c r="K41" s="421">
        <v>0</v>
      </c>
      <c r="L41" s="625">
        <v>0.6</v>
      </c>
      <c r="M41" s="421">
        <v>0</v>
      </c>
      <c r="N41" s="431">
        <v>50.3</v>
      </c>
      <c r="O41" s="625">
        <v>13.8</v>
      </c>
      <c r="P41" s="421">
        <v>0</v>
      </c>
      <c r="Q41" s="421">
        <v>0</v>
      </c>
      <c r="R41" s="421">
        <v>0</v>
      </c>
      <c r="S41" s="421">
        <v>0</v>
      </c>
      <c r="T41" s="431">
        <v>63.8</v>
      </c>
      <c r="U41" s="429">
        <v>179.3</v>
      </c>
      <c r="V41" s="51"/>
    </row>
    <row r="42" spans="3:22" x14ac:dyDescent="0.25">
      <c r="C42" s="614" t="s">
        <v>85</v>
      </c>
      <c r="D42" s="425">
        <v>0.6</v>
      </c>
      <c r="E42" s="425">
        <v>0</v>
      </c>
      <c r="F42" s="425">
        <v>49.1</v>
      </c>
      <c r="G42" s="615">
        <v>7.6</v>
      </c>
      <c r="H42" s="425">
        <v>3.2</v>
      </c>
      <c r="I42" s="615">
        <v>5.0999999999999996</v>
      </c>
      <c r="J42" s="425">
        <v>0</v>
      </c>
      <c r="K42" s="425">
        <v>0</v>
      </c>
      <c r="L42" s="425">
        <v>55.7</v>
      </c>
      <c r="M42" s="425">
        <v>5.4</v>
      </c>
      <c r="N42" s="425">
        <v>89.9</v>
      </c>
      <c r="O42" s="425">
        <v>110.7</v>
      </c>
      <c r="P42" s="425">
        <v>169.6</v>
      </c>
      <c r="Q42" s="425">
        <v>9.5</v>
      </c>
      <c r="R42" s="425">
        <v>574.1</v>
      </c>
      <c r="S42" s="425">
        <v>71.099999999999994</v>
      </c>
      <c r="T42" s="425">
        <v>87.7</v>
      </c>
      <c r="U42" s="425">
        <v>1239.3</v>
      </c>
      <c r="V42" s="51"/>
    </row>
    <row r="43" spans="3:22" x14ac:dyDescent="0.25">
      <c r="C43" s="51"/>
      <c r="D43" s="67">
        <v>0</v>
      </c>
      <c r="E43" s="67">
        <v>0</v>
      </c>
      <c r="F43" s="67">
        <v>0</v>
      </c>
      <c r="G43" s="67">
        <v>0</v>
      </c>
      <c r="H43" s="67">
        <v>0</v>
      </c>
      <c r="I43" s="67">
        <v>0</v>
      </c>
      <c r="J43" s="67">
        <v>0</v>
      </c>
      <c r="K43" s="67">
        <v>0</v>
      </c>
      <c r="L43" s="67">
        <v>0</v>
      </c>
      <c r="M43" s="67">
        <v>0</v>
      </c>
      <c r="N43" s="67">
        <v>0</v>
      </c>
      <c r="O43" s="67">
        <v>0</v>
      </c>
      <c r="P43" s="67">
        <v>0</v>
      </c>
      <c r="Q43" s="67">
        <v>0</v>
      </c>
      <c r="R43" s="67">
        <v>0</v>
      </c>
      <c r="S43" s="67">
        <v>0</v>
      </c>
      <c r="T43" s="67">
        <v>0</v>
      </c>
      <c r="U43" s="67">
        <v>0</v>
      </c>
      <c r="V43" s="51"/>
    </row>
    <row r="44" spans="3:22" x14ac:dyDescent="0.25">
      <c r="C44" s="51"/>
      <c r="D44" s="51"/>
      <c r="E44" s="51"/>
      <c r="F44" s="51"/>
      <c r="G44" s="51"/>
      <c r="H44" s="51"/>
      <c r="I44" s="51"/>
      <c r="J44" s="51"/>
      <c r="K44" s="51"/>
      <c r="L44" s="51"/>
      <c r="M44" s="51"/>
      <c r="N44" s="51"/>
      <c r="O44" s="51"/>
      <c r="P44" s="51"/>
      <c r="Q44" s="51"/>
      <c r="R44" s="51"/>
      <c r="S44" s="51"/>
      <c r="T44" s="51"/>
      <c r="U44" s="51"/>
      <c r="V44" s="51"/>
    </row>
  </sheetData>
  <mergeCells count="14">
    <mergeCell ref="U10:U11"/>
    <mergeCell ref="C10:C11"/>
    <mergeCell ref="D10:D11"/>
    <mergeCell ref="E10:E11"/>
    <mergeCell ref="F10:F11"/>
    <mergeCell ref="G10:G11"/>
    <mergeCell ref="H10:H11"/>
    <mergeCell ref="I10:I11"/>
    <mergeCell ref="J10:J11"/>
    <mergeCell ref="K10:K11"/>
    <mergeCell ref="L10:Q10"/>
    <mergeCell ref="R10:R11"/>
    <mergeCell ref="S10:S11"/>
    <mergeCell ref="T10:T11"/>
  </mergeCells>
  <conditionalFormatting sqref="D12:F18 H12:H18 J12:U18">
    <cfRule type="expression" dxfId="526" priority="39">
      <formula>LEN(TRIM(D12))=0</formula>
    </cfRule>
  </conditionalFormatting>
  <conditionalFormatting sqref="D20:F32 H20:H32 J20:U32">
    <cfRule type="expression" dxfId="525" priority="22">
      <formula>LEN(TRIM(D20))=0</formula>
    </cfRule>
  </conditionalFormatting>
  <conditionalFormatting sqref="D34:F42 H34:H42 J34:U42">
    <cfRule type="expression" dxfId="524" priority="69">
      <formula>LEN(TRIM(D34))=0</formula>
    </cfRule>
  </conditionalFormatting>
  <conditionalFormatting sqref="D12:I42">
    <cfRule type="cellIs" dxfId="523" priority="2" operator="equal">
      <formula>0</formula>
    </cfRule>
  </conditionalFormatting>
  <conditionalFormatting sqref="G12:G18 G34:G42">
    <cfRule type="containsBlanks" dxfId="522" priority="14">
      <formula>LEN(TRIM(G12))=0</formula>
    </cfRule>
  </conditionalFormatting>
  <conditionalFormatting sqref="G20:G32">
    <cfRule type="containsBlanks" dxfId="521" priority="11">
      <formula>LEN(TRIM(G20))=0</formula>
    </cfRule>
  </conditionalFormatting>
  <conditionalFormatting sqref="I12:I18 I34:I42">
    <cfRule type="containsBlanks" dxfId="520" priority="4">
      <formula>LEN(TRIM(I12))=0</formula>
    </cfRule>
  </conditionalFormatting>
  <conditionalFormatting sqref="I20:I32">
    <cfRule type="containsBlanks" dxfId="519" priority="1">
      <formula>LEN(TRIM(I20))=0</formula>
    </cfRule>
  </conditionalFormatting>
  <conditionalFormatting sqref="J12:K14">
    <cfRule type="cellIs" dxfId="518" priority="24" operator="equal">
      <formula>0</formula>
    </cfRule>
  </conditionalFormatting>
  <conditionalFormatting sqref="J15:Q16">
    <cfRule type="cellIs" dxfId="517" priority="51" operator="equal">
      <formula>0</formula>
    </cfRule>
  </conditionalFormatting>
  <conditionalFormatting sqref="J18:U42">
    <cfRule type="cellIs" dxfId="516" priority="21" operator="equal">
      <formula>0</formula>
    </cfRule>
  </conditionalFormatting>
  <conditionalFormatting sqref="L11:Q11">
    <cfRule type="cellIs" dxfId="515" priority="83" operator="equal">
      <formula>0</formula>
    </cfRule>
  </conditionalFormatting>
  <conditionalFormatting sqref="L12:U17 J17:K17">
    <cfRule type="cellIs" dxfId="514" priority="23" operator="equal">
      <formula>0</formula>
    </cfRule>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48D03-AADF-4381-B534-33E56188C71B}">
  <dimension ref="C3:U488"/>
  <sheetViews>
    <sheetView topLeftCell="B444" workbookViewId="0"/>
  </sheetViews>
  <sheetFormatPr baseColWidth="10" defaultColWidth="10.85546875" defaultRowHeight="12.75" x14ac:dyDescent="0.2"/>
  <cols>
    <col min="1" max="16384" width="10.85546875" style="458"/>
  </cols>
  <sheetData>
    <row r="3" spans="3:21" x14ac:dyDescent="0.2">
      <c r="C3" s="652"/>
      <c r="D3" s="652"/>
      <c r="E3" s="652"/>
      <c r="F3" s="652"/>
      <c r="G3" s="652"/>
      <c r="H3" s="652"/>
      <c r="I3" s="652"/>
      <c r="J3" s="652"/>
      <c r="K3" s="652"/>
      <c r="L3" s="652"/>
      <c r="M3" s="652"/>
      <c r="N3" s="652"/>
      <c r="O3" s="652"/>
      <c r="P3" s="652"/>
      <c r="Q3" s="652"/>
      <c r="R3" s="652"/>
      <c r="S3" s="652"/>
      <c r="T3" s="652"/>
      <c r="U3" s="652"/>
    </row>
    <row r="4" spans="3:21" ht="15.75" x14ac:dyDescent="0.25">
      <c r="C4" s="653" t="s">
        <v>338</v>
      </c>
      <c r="D4" s="654" t="s">
        <v>481</v>
      </c>
      <c r="E4" s="654"/>
      <c r="F4" s="654"/>
      <c r="G4" s="654"/>
      <c r="H4" s="654"/>
      <c r="I4" s="654"/>
      <c r="J4" s="654"/>
      <c r="K4" s="655"/>
      <c r="L4" s="655"/>
      <c r="M4" s="655"/>
      <c r="N4" s="655"/>
      <c r="O4" s="655"/>
      <c r="P4" s="655"/>
      <c r="Q4" s="655"/>
      <c r="R4" s="654"/>
      <c r="S4" s="654"/>
      <c r="T4" s="654"/>
      <c r="U4" s="654"/>
    </row>
    <row r="5" spans="3:21" ht="15.75" x14ac:dyDescent="0.25">
      <c r="C5" s="653" t="s">
        <v>341</v>
      </c>
      <c r="D5" s="654" t="s">
        <v>342</v>
      </c>
      <c r="E5" s="654"/>
      <c r="F5" s="654"/>
      <c r="G5" s="654"/>
      <c r="H5" s="654"/>
      <c r="I5" s="654"/>
      <c r="J5" s="654"/>
      <c r="K5" s="654"/>
      <c r="L5" s="654"/>
      <c r="M5" s="654"/>
      <c r="N5" s="654"/>
      <c r="O5" s="654"/>
      <c r="P5" s="654"/>
      <c r="Q5" s="654"/>
      <c r="R5" s="654"/>
      <c r="S5" s="654"/>
      <c r="T5" s="654"/>
      <c r="U5" s="654"/>
    </row>
    <row r="6" spans="3:21" x14ac:dyDescent="0.2">
      <c r="C6" s="652"/>
      <c r="D6" s="652"/>
      <c r="E6" s="652"/>
      <c r="F6" s="652"/>
      <c r="G6" s="652"/>
      <c r="H6" s="652"/>
      <c r="I6" s="652"/>
      <c r="J6" s="652"/>
      <c r="K6" s="652"/>
      <c r="L6" s="652"/>
      <c r="M6" s="652"/>
      <c r="N6" s="652"/>
      <c r="O6" s="652"/>
      <c r="P6" s="652"/>
      <c r="Q6" s="652"/>
      <c r="R6" s="652"/>
      <c r="S6" s="652"/>
      <c r="T6" s="652"/>
      <c r="U6" s="652"/>
    </row>
    <row r="7" spans="3:21" x14ac:dyDescent="0.2">
      <c r="C7" s="652"/>
      <c r="D7" s="652"/>
      <c r="E7" s="652"/>
      <c r="F7" s="652"/>
      <c r="G7" s="652"/>
      <c r="H7" s="652"/>
      <c r="I7" s="652"/>
      <c r="J7" s="652"/>
      <c r="K7" s="652"/>
      <c r="L7" s="652"/>
      <c r="M7" s="652"/>
      <c r="N7" s="652"/>
      <c r="O7" s="652"/>
      <c r="P7" s="652"/>
      <c r="Q7" s="652"/>
      <c r="R7" s="652"/>
      <c r="S7" s="652"/>
      <c r="T7" s="652"/>
      <c r="U7" s="652"/>
    </row>
    <row r="8" spans="3:21" ht="15" x14ac:dyDescent="0.25">
      <c r="C8" s="656" t="s">
        <v>407</v>
      </c>
      <c r="D8" s="657"/>
      <c r="E8" s="657"/>
      <c r="F8" s="657"/>
      <c r="G8" s="657"/>
      <c r="H8" s="657"/>
      <c r="I8" s="657"/>
      <c r="J8" s="657"/>
      <c r="K8" s="657"/>
      <c r="L8" s="657"/>
      <c r="M8" s="657"/>
      <c r="N8" s="657"/>
      <c r="O8" s="657"/>
      <c r="P8" s="657"/>
      <c r="Q8" s="657"/>
      <c r="R8" s="657"/>
      <c r="S8" s="657"/>
      <c r="T8" s="657"/>
      <c r="U8" s="657"/>
    </row>
    <row r="9" spans="3:21" x14ac:dyDescent="0.2">
      <c r="C9" s="652"/>
      <c r="D9" s="652"/>
      <c r="E9" s="652"/>
      <c r="F9" s="652"/>
      <c r="G9" s="652"/>
      <c r="H9" s="652"/>
      <c r="I9" s="652"/>
      <c r="J9" s="652"/>
      <c r="K9" s="652"/>
      <c r="L9" s="652"/>
      <c r="M9" s="652"/>
      <c r="N9" s="652"/>
      <c r="O9" s="652"/>
      <c r="P9" s="652"/>
      <c r="Q9" s="652"/>
      <c r="R9" s="652"/>
      <c r="S9" s="652"/>
      <c r="T9" s="652"/>
      <c r="U9" s="652"/>
    </row>
    <row r="10" spans="3:21" x14ac:dyDescent="0.2">
      <c r="C10" s="773" t="s">
        <v>128</v>
      </c>
      <c r="D10" s="768" t="s">
        <v>42</v>
      </c>
      <c r="E10" s="768" t="s">
        <v>52</v>
      </c>
      <c r="F10" s="768" t="s">
        <v>53</v>
      </c>
      <c r="G10" s="768" t="s">
        <v>482</v>
      </c>
      <c r="H10" s="768" t="s">
        <v>32</v>
      </c>
      <c r="I10" s="768" t="s">
        <v>483</v>
      </c>
      <c r="J10" s="768" t="s">
        <v>20</v>
      </c>
      <c r="K10" s="768" t="s">
        <v>55</v>
      </c>
      <c r="L10" s="770" t="s">
        <v>56</v>
      </c>
      <c r="M10" s="771"/>
      <c r="N10" s="771"/>
      <c r="O10" s="771"/>
      <c r="P10" s="771"/>
      <c r="Q10" s="772"/>
      <c r="R10" s="768" t="s">
        <v>57</v>
      </c>
      <c r="S10" s="768" t="s">
        <v>58</v>
      </c>
      <c r="T10" s="768" t="s">
        <v>31</v>
      </c>
      <c r="U10" s="768" t="s">
        <v>10</v>
      </c>
    </row>
    <row r="11" spans="3:21" ht="36" x14ac:dyDescent="0.2">
      <c r="C11" s="774"/>
      <c r="D11" s="769"/>
      <c r="E11" s="769"/>
      <c r="F11" s="769"/>
      <c r="G11" s="769"/>
      <c r="H11" s="769"/>
      <c r="I11" s="769"/>
      <c r="J11" s="769"/>
      <c r="K11" s="769"/>
      <c r="L11" s="658" t="s">
        <v>335</v>
      </c>
      <c r="M11" s="658" t="s">
        <v>40</v>
      </c>
      <c r="N11" s="658" t="s">
        <v>343</v>
      </c>
      <c r="O11" s="658" t="s">
        <v>344</v>
      </c>
      <c r="P11" s="659" t="s">
        <v>345</v>
      </c>
      <c r="Q11" s="658" t="s">
        <v>346</v>
      </c>
      <c r="R11" s="769"/>
      <c r="S11" s="769"/>
      <c r="T11" s="769"/>
      <c r="U11" s="769"/>
    </row>
    <row r="12" spans="3:21" x14ac:dyDescent="0.2">
      <c r="C12" s="660" t="s">
        <v>59</v>
      </c>
      <c r="D12" s="661">
        <v>0</v>
      </c>
      <c r="E12" s="661">
        <v>11.595553697293001</v>
      </c>
      <c r="F12" s="662">
        <v>0</v>
      </c>
      <c r="G12" s="661">
        <v>0</v>
      </c>
      <c r="H12" s="661">
        <v>0.16688824999999999</v>
      </c>
      <c r="I12" s="661">
        <v>0</v>
      </c>
      <c r="J12" s="662">
        <v>1209.1260212121213</v>
      </c>
      <c r="K12" s="662">
        <v>104.3311966741735</v>
      </c>
      <c r="L12" s="662">
        <v>120.67293388888889</v>
      </c>
      <c r="M12" s="662">
        <v>34.900820833333334</v>
      </c>
      <c r="N12" s="662">
        <v>0</v>
      </c>
      <c r="O12" s="662">
        <v>9.0983058888888646</v>
      </c>
      <c r="P12" s="662">
        <v>31.698274999999999</v>
      </c>
      <c r="Q12" s="662">
        <v>7.5310224999999988</v>
      </c>
      <c r="R12" s="662">
        <v>0</v>
      </c>
      <c r="S12" s="662">
        <v>0</v>
      </c>
      <c r="T12" s="662">
        <v>0</v>
      </c>
      <c r="U12" s="663">
        <v>1529.1210179446989</v>
      </c>
    </row>
    <row r="13" spans="3:21" x14ac:dyDescent="0.2">
      <c r="C13" s="660" t="s">
        <v>60</v>
      </c>
      <c r="D13" s="662">
        <v>84.727843146635564</v>
      </c>
      <c r="E13" s="662">
        <v>578.28949050727442</v>
      </c>
      <c r="F13" s="662">
        <v>535.06419481988212</v>
      </c>
      <c r="G13" s="661">
        <v>0</v>
      </c>
      <c r="H13" s="662">
        <v>568.75187100000016</v>
      </c>
      <c r="I13" s="661">
        <v>0</v>
      </c>
      <c r="J13" s="662">
        <v>0</v>
      </c>
      <c r="K13" s="662">
        <v>0</v>
      </c>
      <c r="L13" s="662">
        <v>2.7591261111111107</v>
      </c>
      <c r="M13" s="662">
        <v>0</v>
      </c>
      <c r="N13" s="662">
        <v>19.183841687689483</v>
      </c>
      <c r="O13" s="662">
        <v>0</v>
      </c>
      <c r="P13" s="662">
        <v>0</v>
      </c>
      <c r="Q13" s="662">
        <v>0</v>
      </c>
      <c r="R13" s="662">
        <v>15.63175</v>
      </c>
      <c r="S13" s="662">
        <v>0</v>
      </c>
      <c r="T13" s="662">
        <v>0</v>
      </c>
      <c r="U13" s="663">
        <v>1804.4081172725928</v>
      </c>
    </row>
    <row r="14" spans="3:21" x14ac:dyDescent="0.2">
      <c r="C14" s="660" t="s">
        <v>61</v>
      </c>
      <c r="D14" s="662">
        <v>-4.7877500119999999E-2</v>
      </c>
      <c r="E14" s="662">
        <v>-1.599063909936</v>
      </c>
      <c r="F14" s="662">
        <v>-205.43265045753787</v>
      </c>
      <c r="G14" s="661">
        <v>0</v>
      </c>
      <c r="H14" s="662">
        <v>-112.63352224999998</v>
      </c>
      <c r="I14" s="661">
        <v>0</v>
      </c>
      <c r="J14" s="662">
        <v>0</v>
      </c>
      <c r="K14" s="662">
        <v>0</v>
      </c>
      <c r="L14" s="662">
        <v>-2.3667455555555552</v>
      </c>
      <c r="M14" s="662">
        <v>0</v>
      </c>
      <c r="N14" s="662">
        <v>-8.0445142984108866</v>
      </c>
      <c r="O14" s="662">
        <v>0</v>
      </c>
      <c r="P14" s="662">
        <v>0</v>
      </c>
      <c r="Q14" s="662">
        <v>0</v>
      </c>
      <c r="R14" s="662">
        <v>-73.298799000000002</v>
      </c>
      <c r="S14" s="662">
        <v>0</v>
      </c>
      <c r="T14" s="662">
        <v>0</v>
      </c>
      <c r="U14" s="663">
        <v>-403.42317297156029</v>
      </c>
    </row>
    <row r="15" spans="3:21" x14ac:dyDescent="0.2">
      <c r="C15" s="660" t="s">
        <v>62</v>
      </c>
      <c r="D15" s="661">
        <v>0</v>
      </c>
      <c r="E15" s="661">
        <v>0</v>
      </c>
      <c r="F15" s="661">
        <v>-19.747038815182684</v>
      </c>
      <c r="G15" s="661">
        <v>0</v>
      </c>
      <c r="H15" s="661">
        <v>0</v>
      </c>
      <c r="I15" s="661">
        <v>0</v>
      </c>
      <c r="J15" s="661">
        <v>0</v>
      </c>
      <c r="K15" s="661">
        <v>0</v>
      </c>
      <c r="L15" s="661">
        <v>0</v>
      </c>
      <c r="M15" s="661">
        <v>0</v>
      </c>
      <c r="N15" s="661">
        <v>0</v>
      </c>
      <c r="O15" s="661">
        <v>0</v>
      </c>
      <c r="P15" s="661">
        <v>0</v>
      </c>
      <c r="Q15" s="661">
        <v>0</v>
      </c>
      <c r="R15" s="662">
        <v>0</v>
      </c>
      <c r="S15" s="662">
        <v>0</v>
      </c>
      <c r="T15" s="661">
        <v>0</v>
      </c>
      <c r="U15" s="663">
        <v>-19.747038815182684</v>
      </c>
    </row>
    <row r="16" spans="3:21" x14ac:dyDescent="0.2">
      <c r="C16" s="660" t="s">
        <v>63</v>
      </c>
      <c r="D16" s="661">
        <v>0</v>
      </c>
      <c r="E16" s="661">
        <v>0</v>
      </c>
      <c r="F16" s="661">
        <v>-82.452981163797972</v>
      </c>
      <c r="G16" s="661">
        <v>0</v>
      </c>
      <c r="H16" s="661">
        <v>0</v>
      </c>
      <c r="I16" s="661">
        <v>0</v>
      </c>
      <c r="J16" s="661">
        <v>0</v>
      </c>
      <c r="K16" s="661">
        <v>0</v>
      </c>
      <c r="L16" s="661">
        <v>0</v>
      </c>
      <c r="M16" s="661">
        <v>0</v>
      </c>
      <c r="N16" s="661">
        <v>0</v>
      </c>
      <c r="O16" s="661">
        <v>0</v>
      </c>
      <c r="P16" s="661">
        <v>0</v>
      </c>
      <c r="Q16" s="661">
        <v>0</v>
      </c>
      <c r="R16" s="662">
        <v>0</v>
      </c>
      <c r="S16" s="662">
        <v>0</v>
      </c>
      <c r="T16" s="661">
        <v>0</v>
      </c>
      <c r="U16" s="663">
        <v>-82.452981163797972</v>
      </c>
    </row>
    <row r="17" spans="3:21" x14ac:dyDescent="0.2">
      <c r="C17" s="660" t="s">
        <v>64</v>
      </c>
      <c r="D17" s="662">
        <v>0.41223964042222283</v>
      </c>
      <c r="E17" s="662">
        <v>1.3710702337312513</v>
      </c>
      <c r="F17" s="662">
        <v>1.3272538188370329</v>
      </c>
      <c r="G17" s="661">
        <v>0</v>
      </c>
      <c r="H17" s="662">
        <v>-19.664768250000005</v>
      </c>
      <c r="I17" s="661">
        <v>0</v>
      </c>
      <c r="J17" s="662">
        <v>0</v>
      </c>
      <c r="K17" s="662">
        <v>0</v>
      </c>
      <c r="L17" s="662">
        <v>0</v>
      </c>
      <c r="M17" s="662">
        <v>0</v>
      </c>
      <c r="N17" s="662">
        <v>0</v>
      </c>
      <c r="O17" s="662">
        <v>0</v>
      </c>
      <c r="P17" s="662">
        <v>0</v>
      </c>
      <c r="Q17" s="662">
        <v>0</v>
      </c>
      <c r="R17" s="662">
        <v>0</v>
      </c>
      <c r="S17" s="662">
        <v>0</v>
      </c>
      <c r="T17" s="662">
        <v>0</v>
      </c>
      <c r="U17" s="663">
        <v>-16.554204557009498</v>
      </c>
    </row>
    <row r="18" spans="3:21" x14ac:dyDescent="0.2">
      <c r="C18" s="664" t="s">
        <v>65</v>
      </c>
      <c r="D18" s="665">
        <v>85.092205286937784</v>
      </c>
      <c r="E18" s="665">
        <v>589.65705052836267</v>
      </c>
      <c r="F18" s="665">
        <v>228.75877820220057</v>
      </c>
      <c r="G18" s="665">
        <v>0</v>
      </c>
      <c r="H18" s="665">
        <v>436.62046875000021</v>
      </c>
      <c r="I18" s="665">
        <v>0</v>
      </c>
      <c r="J18" s="665">
        <v>1209.1260212121213</v>
      </c>
      <c r="K18" s="665">
        <v>104.3311966741735</v>
      </c>
      <c r="L18" s="665">
        <v>121.06531444444445</v>
      </c>
      <c r="M18" s="665">
        <v>34.900820833333334</v>
      </c>
      <c r="N18" s="665">
        <v>11.139327389278597</v>
      </c>
      <c r="O18" s="665">
        <v>9.0983058888888646</v>
      </c>
      <c r="P18" s="665">
        <v>31.698274999999999</v>
      </c>
      <c r="Q18" s="665">
        <v>7.5310224999999988</v>
      </c>
      <c r="R18" s="665">
        <v>-57.667049000000006</v>
      </c>
      <c r="S18" s="665">
        <v>0</v>
      </c>
      <c r="T18" s="665">
        <v>0</v>
      </c>
      <c r="U18" s="665">
        <v>2811.351737709741</v>
      </c>
    </row>
    <row r="19" spans="3:21" x14ac:dyDescent="0.2">
      <c r="C19" s="666"/>
      <c r="D19" s="667"/>
      <c r="E19" s="667"/>
      <c r="F19" s="667"/>
      <c r="G19" s="667"/>
      <c r="H19" s="667"/>
      <c r="I19" s="667"/>
      <c r="J19" s="667"/>
      <c r="K19" s="667"/>
      <c r="L19" s="667"/>
      <c r="M19" s="667"/>
      <c r="N19" s="667"/>
      <c r="O19" s="667"/>
      <c r="P19" s="667"/>
      <c r="Q19" s="667"/>
      <c r="R19" s="667"/>
      <c r="S19" s="667"/>
      <c r="T19" s="667"/>
      <c r="U19" s="667"/>
    </row>
    <row r="20" spans="3:21" x14ac:dyDescent="0.2">
      <c r="C20" s="668" t="s">
        <v>67</v>
      </c>
      <c r="D20" s="661">
        <v>3.6318872869800032</v>
      </c>
      <c r="E20" s="661">
        <v>10.787016352492323</v>
      </c>
      <c r="F20" s="661">
        <v>16.441628886851458</v>
      </c>
      <c r="G20" s="661">
        <v>0</v>
      </c>
      <c r="H20" s="661">
        <v>-1.2134132500000001</v>
      </c>
      <c r="I20" s="661">
        <v>0</v>
      </c>
      <c r="J20" s="661">
        <v>0</v>
      </c>
      <c r="K20" s="661">
        <v>0</v>
      </c>
      <c r="L20" s="661">
        <v>0</v>
      </c>
      <c r="M20" s="661">
        <v>-0.39035819434438856</v>
      </c>
      <c r="N20" s="661">
        <v>0.39056626803326822</v>
      </c>
      <c r="O20" s="661">
        <v>0</v>
      </c>
      <c r="P20" s="661">
        <v>0</v>
      </c>
      <c r="Q20" s="661">
        <v>0</v>
      </c>
      <c r="R20" s="661">
        <v>4.6315588193812136</v>
      </c>
      <c r="S20" s="661">
        <v>0</v>
      </c>
      <c r="T20" s="662">
        <v>0</v>
      </c>
      <c r="U20" s="663">
        <v>34.278886169393878</v>
      </c>
    </row>
    <row r="21" spans="3:21" x14ac:dyDescent="0.2">
      <c r="C21" s="668" t="s">
        <v>347</v>
      </c>
      <c r="D21" s="661">
        <v>17.443753714840586</v>
      </c>
      <c r="E21" s="661">
        <v>0</v>
      </c>
      <c r="F21" s="661">
        <v>13.62708829242459</v>
      </c>
      <c r="G21" s="661">
        <v>0</v>
      </c>
      <c r="H21" s="661">
        <v>62.931904980327779</v>
      </c>
      <c r="I21" s="661">
        <v>0</v>
      </c>
      <c r="J21" s="661">
        <v>1209.1260212121213</v>
      </c>
      <c r="K21" s="661">
        <v>104.3311966741735</v>
      </c>
      <c r="L21" s="661">
        <v>17.794147670554988</v>
      </c>
      <c r="M21" s="661">
        <v>12.388866225144911</v>
      </c>
      <c r="N21" s="661">
        <v>0</v>
      </c>
      <c r="O21" s="661">
        <v>4.8474406033333333</v>
      </c>
      <c r="P21" s="661">
        <v>0</v>
      </c>
      <c r="Q21" s="661">
        <v>1.1825205542668356</v>
      </c>
      <c r="R21" s="661">
        <v>-566.17178776794128</v>
      </c>
      <c r="S21" s="661">
        <v>0</v>
      </c>
      <c r="T21" s="662">
        <v>0</v>
      </c>
      <c r="U21" s="663">
        <v>877.50115215924666</v>
      </c>
    </row>
    <row r="22" spans="3:21" x14ac:dyDescent="0.2">
      <c r="C22" s="668" t="s">
        <v>348</v>
      </c>
      <c r="D22" s="661">
        <v>1.9109444951460814</v>
      </c>
      <c r="E22" s="661">
        <v>0</v>
      </c>
      <c r="F22" s="661">
        <v>0.26671791988070115</v>
      </c>
      <c r="G22" s="661">
        <v>0</v>
      </c>
      <c r="H22" s="661">
        <v>20.764778769672215</v>
      </c>
      <c r="I22" s="661">
        <v>0</v>
      </c>
      <c r="J22" s="661">
        <v>0</v>
      </c>
      <c r="K22" s="661">
        <v>0</v>
      </c>
      <c r="L22" s="661">
        <v>8.5293872999380707</v>
      </c>
      <c r="M22" s="661">
        <v>16.588146755013483</v>
      </c>
      <c r="N22" s="661">
        <v>0</v>
      </c>
      <c r="O22" s="661">
        <v>2.852532452222222</v>
      </c>
      <c r="P22" s="661">
        <v>0.25919055555555554</v>
      </c>
      <c r="Q22" s="661">
        <v>3.5768259901376065</v>
      </c>
      <c r="R22" s="661">
        <v>0</v>
      </c>
      <c r="S22" s="661">
        <v>-46.772072780777776</v>
      </c>
      <c r="T22" s="662">
        <v>0</v>
      </c>
      <c r="U22" s="663">
        <v>7.9764514567881601</v>
      </c>
    </row>
    <row r="23" spans="3:21" x14ac:dyDescent="0.2">
      <c r="C23" s="668" t="s">
        <v>349</v>
      </c>
      <c r="D23" s="661">
        <v>0</v>
      </c>
      <c r="E23" s="661">
        <v>0</v>
      </c>
      <c r="F23" s="661">
        <v>0</v>
      </c>
      <c r="G23" s="661">
        <v>0</v>
      </c>
      <c r="H23" s="661">
        <v>0</v>
      </c>
      <c r="I23" s="661">
        <v>0</v>
      </c>
      <c r="J23" s="661">
        <v>0</v>
      </c>
      <c r="K23" s="661">
        <v>0</v>
      </c>
      <c r="L23" s="661">
        <v>0</v>
      </c>
      <c r="M23" s="661">
        <v>0</v>
      </c>
      <c r="N23" s="661">
        <v>0</v>
      </c>
      <c r="O23" s="661">
        <v>-1.1106240000000001</v>
      </c>
      <c r="P23" s="661">
        <v>0</v>
      </c>
      <c r="Q23" s="661">
        <v>0</v>
      </c>
      <c r="R23" s="661">
        <v>0</v>
      </c>
      <c r="S23" s="661">
        <v>0</v>
      </c>
      <c r="T23" s="662">
        <v>0</v>
      </c>
      <c r="U23" s="663">
        <v>-1.1106240000000001</v>
      </c>
    </row>
    <row r="24" spans="3:21" x14ac:dyDescent="0.2">
      <c r="C24" s="668" t="s">
        <v>350</v>
      </c>
      <c r="D24" s="661">
        <v>0</v>
      </c>
      <c r="E24" s="661">
        <v>0</v>
      </c>
      <c r="F24" s="661">
        <v>0</v>
      </c>
      <c r="G24" s="661">
        <v>0</v>
      </c>
      <c r="H24" s="661">
        <v>0</v>
      </c>
      <c r="I24" s="661">
        <v>0</v>
      </c>
      <c r="J24" s="661">
        <v>0</v>
      </c>
      <c r="K24" s="661">
        <v>0</v>
      </c>
      <c r="L24" s="661">
        <v>0</v>
      </c>
      <c r="M24" s="661">
        <v>0</v>
      </c>
      <c r="N24" s="661">
        <v>0</v>
      </c>
      <c r="O24" s="661">
        <v>0</v>
      </c>
      <c r="P24" s="661">
        <v>0</v>
      </c>
      <c r="Q24" s="661">
        <v>0</v>
      </c>
      <c r="R24" s="661">
        <v>0</v>
      </c>
      <c r="S24" s="661">
        <v>0</v>
      </c>
      <c r="T24" s="662">
        <v>0</v>
      </c>
      <c r="U24" s="663">
        <v>0</v>
      </c>
    </row>
    <row r="25" spans="3:21" x14ac:dyDescent="0.2">
      <c r="C25" s="668" t="s">
        <v>72</v>
      </c>
      <c r="D25" s="661">
        <v>0</v>
      </c>
      <c r="E25" s="661">
        <v>607.94319903666315</v>
      </c>
      <c r="F25" s="661">
        <v>-602.93238189654937</v>
      </c>
      <c r="G25" s="661">
        <v>0</v>
      </c>
      <c r="H25" s="661">
        <v>0</v>
      </c>
      <c r="I25" s="661">
        <v>0</v>
      </c>
      <c r="J25" s="661">
        <v>0</v>
      </c>
      <c r="K25" s="661">
        <v>0</v>
      </c>
      <c r="L25" s="661">
        <v>0</v>
      </c>
      <c r="M25" s="661">
        <v>0</v>
      </c>
      <c r="N25" s="661">
        <v>0</v>
      </c>
      <c r="O25" s="661">
        <v>0</v>
      </c>
      <c r="P25" s="661">
        <v>0</v>
      </c>
      <c r="Q25" s="661">
        <v>0</v>
      </c>
      <c r="R25" s="661">
        <v>0</v>
      </c>
      <c r="S25" s="661">
        <v>0</v>
      </c>
      <c r="T25" s="662">
        <v>0</v>
      </c>
      <c r="U25" s="663">
        <v>5.0108171401137289</v>
      </c>
    </row>
    <row r="26" spans="3:21" x14ac:dyDescent="0.2">
      <c r="C26" s="668" t="s">
        <v>351</v>
      </c>
      <c r="D26" s="661">
        <v>0</v>
      </c>
      <c r="E26" s="661">
        <v>0</v>
      </c>
      <c r="F26" s="661">
        <v>0</v>
      </c>
      <c r="G26" s="661">
        <v>0</v>
      </c>
      <c r="H26" s="661">
        <v>0</v>
      </c>
      <c r="I26" s="661">
        <v>0</v>
      </c>
      <c r="J26" s="661">
        <v>0</v>
      </c>
      <c r="K26" s="661">
        <v>0</v>
      </c>
      <c r="L26" s="661">
        <v>0</v>
      </c>
      <c r="M26" s="661">
        <v>0</v>
      </c>
      <c r="N26" s="661">
        <v>-29.34529096854553</v>
      </c>
      <c r="O26" s="661">
        <v>0</v>
      </c>
      <c r="P26" s="661">
        <v>0</v>
      </c>
      <c r="Q26" s="661">
        <v>0</v>
      </c>
      <c r="R26" s="661">
        <v>0</v>
      </c>
      <c r="S26" s="661">
        <v>0</v>
      </c>
      <c r="T26" s="662">
        <v>0</v>
      </c>
      <c r="U26" s="663">
        <v>-29.34529096854553</v>
      </c>
    </row>
    <row r="27" spans="3:21" x14ac:dyDescent="0.2">
      <c r="C27" s="668" t="s">
        <v>352</v>
      </c>
      <c r="D27" s="661">
        <v>0</v>
      </c>
      <c r="E27" s="661">
        <v>0</v>
      </c>
      <c r="F27" s="661">
        <v>0</v>
      </c>
      <c r="G27" s="661">
        <v>0</v>
      </c>
      <c r="H27" s="661">
        <v>0</v>
      </c>
      <c r="I27" s="661">
        <v>0</v>
      </c>
      <c r="J27" s="661">
        <v>0</v>
      </c>
      <c r="K27" s="661">
        <v>0</v>
      </c>
      <c r="L27" s="661">
        <v>0</v>
      </c>
      <c r="M27" s="661">
        <v>0</v>
      </c>
      <c r="N27" s="661">
        <v>0</v>
      </c>
      <c r="O27" s="661">
        <v>0</v>
      </c>
      <c r="P27" s="661">
        <v>0</v>
      </c>
      <c r="Q27" s="661">
        <v>0</v>
      </c>
      <c r="R27" s="661">
        <v>0</v>
      </c>
      <c r="S27" s="661">
        <v>0</v>
      </c>
      <c r="T27" s="662">
        <v>0</v>
      </c>
      <c r="U27" s="663">
        <v>0</v>
      </c>
    </row>
    <row r="28" spans="3:21" x14ac:dyDescent="0.2">
      <c r="C28" s="668" t="s">
        <v>73</v>
      </c>
      <c r="D28" s="661">
        <v>0</v>
      </c>
      <c r="E28" s="661">
        <v>0</v>
      </c>
      <c r="F28" s="661">
        <v>0</v>
      </c>
      <c r="G28" s="661">
        <v>0</v>
      </c>
      <c r="H28" s="661">
        <v>0</v>
      </c>
      <c r="I28" s="661">
        <v>0</v>
      </c>
      <c r="J28" s="661">
        <v>0</v>
      </c>
      <c r="K28" s="661">
        <v>0</v>
      </c>
      <c r="L28" s="661">
        <v>0</v>
      </c>
      <c r="M28" s="661">
        <v>0</v>
      </c>
      <c r="N28" s="661">
        <v>0</v>
      </c>
      <c r="O28" s="661">
        <v>0</v>
      </c>
      <c r="P28" s="661">
        <v>0</v>
      </c>
      <c r="Q28" s="661">
        <v>0</v>
      </c>
      <c r="R28" s="661">
        <v>0</v>
      </c>
      <c r="S28" s="661">
        <v>0</v>
      </c>
      <c r="T28" s="662">
        <v>0</v>
      </c>
      <c r="U28" s="663">
        <v>0</v>
      </c>
    </row>
    <row r="29" spans="3:21" x14ac:dyDescent="0.2">
      <c r="C29" s="668" t="s">
        <v>353</v>
      </c>
      <c r="D29" s="661">
        <v>32.750811529533344</v>
      </c>
      <c r="E29" s="661">
        <v>-29.152970396099011</v>
      </c>
      <c r="F29" s="661">
        <v>28.064488458099014</v>
      </c>
      <c r="G29" s="661">
        <v>0</v>
      </c>
      <c r="H29" s="661">
        <v>0</v>
      </c>
      <c r="I29" s="661">
        <v>0</v>
      </c>
      <c r="J29" s="661">
        <v>0</v>
      </c>
      <c r="K29" s="661">
        <v>0</v>
      </c>
      <c r="L29" s="661">
        <v>0</v>
      </c>
      <c r="M29" s="661">
        <v>0</v>
      </c>
      <c r="N29" s="661">
        <v>0</v>
      </c>
      <c r="O29" s="661">
        <v>0</v>
      </c>
      <c r="P29" s="661">
        <v>0</v>
      </c>
      <c r="Q29" s="661">
        <v>0</v>
      </c>
      <c r="R29" s="661">
        <v>0</v>
      </c>
      <c r="S29" s="661">
        <v>0</v>
      </c>
      <c r="T29" s="662">
        <v>0</v>
      </c>
      <c r="U29" s="663">
        <v>31.662329591533346</v>
      </c>
    </row>
    <row r="30" spans="3:21" x14ac:dyDescent="0.2">
      <c r="C30" s="668" t="s">
        <v>75</v>
      </c>
      <c r="D30" s="661">
        <v>15.211467777777777</v>
      </c>
      <c r="E30" s="661">
        <v>0</v>
      </c>
      <c r="F30" s="661">
        <v>17.163531653267256</v>
      </c>
      <c r="G30" s="661">
        <v>0</v>
      </c>
      <c r="H30" s="661">
        <v>6.4721602499999999</v>
      </c>
      <c r="I30" s="661">
        <v>0</v>
      </c>
      <c r="J30" s="661">
        <v>0</v>
      </c>
      <c r="K30" s="661">
        <v>0</v>
      </c>
      <c r="L30" s="661">
        <v>0</v>
      </c>
      <c r="M30" s="661">
        <v>0</v>
      </c>
      <c r="N30" s="661">
        <v>0</v>
      </c>
      <c r="O30" s="661">
        <v>0</v>
      </c>
      <c r="P30" s="661">
        <v>0</v>
      </c>
      <c r="Q30" s="661">
        <v>0</v>
      </c>
      <c r="R30" s="661">
        <v>34.075655948560012</v>
      </c>
      <c r="S30" s="661">
        <v>0</v>
      </c>
      <c r="T30" s="662">
        <v>0</v>
      </c>
      <c r="U30" s="663">
        <v>72.922815629605054</v>
      </c>
    </row>
    <row r="31" spans="3:21" x14ac:dyDescent="0.2">
      <c r="C31" s="668" t="s">
        <v>76</v>
      </c>
      <c r="D31" s="661">
        <v>0</v>
      </c>
      <c r="E31" s="661">
        <v>0</v>
      </c>
      <c r="F31" s="661">
        <v>0</v>
      </c>
      <c r="G31" s="661">
        <v>0</v>
      </c>
      <c r="H31" s="661">
        <v>4.9770604999999994</v>
      </c>
      <c r="I31" s="661">
        <v>0</v>
      </c>
      <c r="J31" s="661">
        <v>0</v>
      </c>
      <c r="K31" s="661">
        <v>0</v>
      </c>
      <c r="L31" s="661">
        <v>0</v>
      </c>
      <c r="M31" s="661">
        <v>0</v>
      </c>
      <c r="N31" s="661">
        <v>0</v>
      </c>
      <c r="O31" s="661">
        <v>0</v>
      </c>
      <c r="P31" s="661">
        <v>0</v>
      </c>
      <c r="Q31" s="661">
        <v>0</v>
      </c>
      <c r="R31" s="661">
        <v>38.092724000000004</v>
      </c>
      <c r="S31" s="661">
        <v>3.667636947251947</v>
      </c>
      <c r="T31" s="662">
        <v>0</v>
      </c>
      <c r="U31" s="663">
        <v>46.737421447251954</v>
      </c>
    </row>
    <row r="32" spans="3:21" x14ac:dyDescent="0.2">
      <c r="C32" s="664" t="s">
        <v>77</v>
      </c>
      <c r="D32" s="665">
        <v>70.94886480427779</v>
      </c>
      <c r="E32" s="665">
        <v>589.57724499305652</v>
      </c>
      <c r="F32" s="665">
        <v>-527.3689266860265</v>
      </c>
      <c r="G32" s="665">
        <v>0</v>
      </c>
      <c r="H32" s="665">
        <v>93.932491249999984</v>
      </c>
      <c r="I32" s="665">
        <v>0</v>
      </c>
      <c r="J32" s="665">
        <v>1209.1260212121213</v>
      </c>
      <c r="K32" s="665">
        <v>104.3311966741735</v>
      </c>
      <c r="L32" s="665">
        <v>26.323534970493061</v>
      </c>
      <c r="M32" s="665">
        <v>28.586654785814009</v>
      </c>
      <c r="N32" s="665">
        <v>-28.954724700512262</v>
      </c>
      <c r="O32" s="665">
        <v>6.5893490555555561</v>
      </c>
      <c r="P32" s="665">
        <v>0.25919055555555554</v>
      </c>
      <c r="Q32" s="665">
        <v>4.7593465444044423</v>
      </c>
      <c r="R32" s="665">
        <v>-489.37184900000005</v>
      </c>
      <c r="S32" s="665">
        <v>-43.104435833525834</v>
      </c>
      <c r="T32" s="665">
        <v>0</v>
      </c>
      <c r="U32" s="665">
        <v>1045.6339586253871</v>
      </c>
    </row>
    <row r="33" spans="3:21" x14ac:dyDescent="0.2">
      <c r="C33" s="666"/>
      <c r="D33" s="667">
        <v>0</v>
      </c>
      <c r="E33" s="667">
        <v>0</v>
      </c>
      <c r="F33" s="667">
        <v>0</v>
      </c>
      <c r="G33" s="667"/>
      <c r="H33" s="667">
        <v>0</v>
      </c>
      <c r="I33" s="667"/>
      <c r="J33" s="667">
        <v>0</v>
      </c>
      <c r="K33" s="667">
        <v>0</v>
      </c>
      <c r="L33" s="667">
        <v>0</v>
      </c>
      <c r="M33" s="667">
        <v>0</v>
      </c>
      <c r="N33" s="667">
        <v>0</v>
      </c>
      <c r="O33" s="667">
        <v>0</v>
      </c>
      <c r="P33" s="667">
        <v>0</v>
      </c>
      <c r="Q33" s="667">
        <v>0</v>
      </c>
      <c r="R33" s="667">
        <v>0</v>
      </c>
      <c r="S33" s="667">
        <v>0</v>
      </c>
      <c r="T33" s="667">
        <v>0</v>
      </c>
      <c r="U33" s="667">
        <v>0</v>
      </c>
    </row>
    <row r="34" spans="3:21" x14ac:dyDescent="0.2">
      <c r="C34" s="668" t="s">
        <v>78</v>
      </c>
      <c r="D34" s="661">
        <v>10.318644626420003</v>
      </c>
      <c r="E34" s="661">
        <v>0</v>
      </c>
      <c r="F34" s="661">
        <v>31.798889573736361</v>
      </c>
      <c r="G34" s="661">
        <v>0</v>
      </c>
      <c r="H34" s="661">
        <v>122.13725650000002</v>
      </c>
      <c r="I34" s="661">
        <v>0</v>
      </c>
      <c r="J34" s="661">
        <v>0</v>
      </c>
      <c r="K34" s="661">
        <v>0</v>
      </c>
      <c r="L34" s="661">
        <v>15.07633527777778</v>
      </c>
      <c r="M34" s="661">
        <v>4.5361330555555552</v>
      </c>
      <c r="N34" s="661">
        <v>1.0714586421915442</v>
      </c>
      <c r="O34" s="661">
        <v>0.59537055555555551</v>
      </c>
      <c r="P34" s="661">
        <v>0</v>
      </c>
      <c r="Q34" s="661">
        <v>1.4743611111111112E-2</v>
      </c>
      <c r="R34" s="661">
        <v>115.65608999999999</v>
      </c>
      <c r="S34" s="661">
        <v>18.599047500192498</v>
      </c>
      <c r="T34" s="661">
        <v>0</v>
      </c>
      <c r="U34" s="669">
        <v>319.80396934254043</v>
      </c>
    </row>
    <row r="35" spans="3:21" x14ac:dyDescent="0.2">
      <c r="C35" s="668" t="s">
        <v>79</v>
      </c>
      <c r="D35" s="661">
        <v>0</v>
      </c>
      <c r="E35" s="661">
        <v>0</v>
      </c>
      <c r="F35" s="661">
        <v>465.47698922226442</v>
      </c>
      <c r="G35" s="661">
        <v>0</v>
      </c>
      <c r="H35" s="661">
        <v>1.8942870000000003</v>
      </c>
      <c r="I35" s="661">
        <v>0</v>
      </c>
      <c r="J35" s="661">
        <v>0</v>
      </c>
      <c r="K35" s="661">
        <v>0</v>
      </c>
      <c r="L35" s="661">
        <v>0</v>
      </c>
      <c r="M35" s="661">
        <v>0</v>
      </c>
      <c r="N35" s="661">
        <v>37.188256545358975</v>
      </c>
      <c r="O35" s="661">
        <v>0</v>
      </c>
      <c r="P35" s="661">
        <v>0</v>
      </c>
      <c r="Q35" s="661">
        <v>0</v>
      </c>
      <c r="R35" s="661">
        <v>10.07993007</v>
      </c>
      <c r="S35" s="661">
        <v>0</v>
      </c>
      <c r="T35" s="661">
        <v>0</v>
      </c>
      <c r="U35" s="669">
        <v>514.63946283762346</v>
      </c>
    </row>
    <row r="36" spans="3:21" x14ac:dyDescent="0.2">
      <c r="C36" s="668" t="s">
        <v>80</v>
      </c>
      <c r="D36" s="661">
        <v>0.28361423905000005</v>
      </c>
      <c r="E36" s="661">
        <v>0</v>
      </c>
      <c r="F36" s="661">
        <v>50.740146891881786</v>
      </c>
      <c r="G36" s="661">
        <v>0</v>
      </c>
      <c r="H36" s="661">
        <v>132.15121725</v>
      </c>
      <c r="I36" s="661">
        <v>0</v>
      </c>
      <c r="J36" s="661">
        <v>0</v>
      </c>
      <c r="K36" s="661">
        <v>0</v>
      </c>
      <c r="L36" s="661">
        <v>74.953719722222218</v>
      </c>
      <c r="M36" s="661">
        <v>0</v>
      </c>
      <c r="N36" s="661">
        <v>0</v>
      </c>
      <c r="O36" s="661">
        <v>0</v>
      </c>
      <c r="P36" s="661">
        <v>26.665051666666663</v>
      </c>
      <c r="Q36" s="661">
        <v>1.98639250004</v>
      </c>
      <c r="R36" s="661">
        <v>159.72207699999998</v>
      </c>
      <c r="S36" s="661">
        <v>14.980747222222222</v>
      </c>
      <c r="T36" s="661">
        <v>0</v>
      </c>
      <c r="U36" s="669">
        <v>461.48296649208288</v>
      </c>
    </row>
    <row r="37" spans="3:21" x14ac:dyDescent="0.2">
      <c r="C37" s="668" t="s">
        <v>81</v>
      </c>
      <c r="D37" s="661">
        <v>0.40432760307999993</v>
      </c>
      <c r="E37" s="661">
        <v>0</v>
      </c>
      <c r="F37" s="661">
        <v>33.030604242320379</v>
      </c>
      <c r="G37" s="661">
        <v>0</v>
      </c>
      <c r="H37" s="661">
        <v>70.504948999999996</v>
      </c>
      <c r="I37" s="661">
        <v>0</v>
      </c>
      <c r="J37" s="661">
        <v>0</v>
      </c>
      <c r="K37" s="661">
        <v>0</v>
      </c>
      <c r="L37" s="661">
        <v>3.0152302777777784</v>
      </c>
      <c r="M37" s="661">
        <v>1.7780329919637734</v>
      </c>
      <c r="N37" s="661">
        <v>0</v>
      </c>
      <c r="O37" s="661">
        <v>1.4820169444444444</v>
      </c>
      <c r="P37" s="661">
        <v>4.7740327777777782</v>
      </c>
      <c r="Q37" s="661">
        <v>0.35231138888888891</v>
      </c>
      <c r="R37" s="661">
        <v>137.76728493000002</v>
      </c>
      <c r="S37" s="661">
        <v>9.3080608333333341</v>
      </c>
      <c r="T37" s="661">
        <v>0</v>
      </c>
      <c r="U37" s="669">
        <v>262.41685098958635</v>
      </c>
    </row>
    <row r="38" spans="3:21" x14ac:dyDescent="0.2">
      <c r="C38" s="668" t="s">
        <v>82</v>
      </c>
      <c r="D38" s="661">
        <v>1.6738093710000002E-2</v>
      </c>
      <c r="E38" s="661">
        <v>0</v>
      </c>
      <c r="F38" s="661">
        <v>35.508479849329859</v>
      </c>
      <c r="G38" s="661">
        <v>0</v>
      </c>
      <c r="H38" s="661">
        <v>2.1960534999999997</v>
      </c>
      <c r="I38" s="661">
        <v>0</v>
      </c>
      <c r="J38" s="661">
        <v>0</v>
      </c>
      <c r="K38" s="661">
        <v>0</v>
      </c>
      <c r="L38" s="661">
        <v>1.6964935406677779</v>
      </c>
      <c r="M38" s="661">
        <v>0</v>
      </c>
      <c r="N38" s="661">
        <v>1.834336902240338</v>
      </c>
      <c r="O38" s="661">
        <v>0.43157000000000006</v>
      </c>
      <c r="P38" s="661">
        <v>0</v>
      </c>
      <c r="Q38" s="661">
        <v>0.29222750000000003</v>
      </c>
      <c r="R38" s="661">
        <v>8.4794180000000026</v>
      </c>
      <c r="S38" s="661">
        <v>0.21658055555555558</v>
      </c>
      <c r="T38" s="661">
        <v>0</v>
      </c>
      <c r="U38" s="669">
        <v>50.671897941503538</v>
      </c>
    </row>
    <row r="39" spans="3:21" x14ac:dyDescent="0.2">
      <c r="C39" s="668" t="s">
        <v>354</v>
      </c>
      <c r="D39" s="661">
        <v>0</v>
      </c>
      <c r="E39" s="661">
        <v>0</v>
      </c>
      <c r="F39" s="661">
        <v>0</v>
      </c>
      <c r="G39" s="661">
        <v>0</v>
      </c>
      <c r="H39" s="661">
        <v>0</v>
      </c>
      <c r="I39" s="661">
        <v>0</v>
      </c>
      <c r="J39" s="661">
        <v>0</v>
      </c>
      <c r="K39" s="661">
        <v>0</v>
      </c>
      <c r="L39" s="661">
        <v>0</v>
      </c>
      <c r="M39" s="661">
        <v>0</v>
      </c>
      <c r="N39" s="661">
        <v>0</v>
      </c>
      <c r="O39" s="661">
        <v>0</v>
      </c>
      <c r="P39" s="661">
        <v>0</v>
      </c>
      <c r="Q39" s="661">
        <v>0</v>
      </c>
      <c r="R39" s="661">
        <v>0</v>
      </c>
      <c r="S39" s="661">
        <v>0</v>
      </c>
      <c r="T39" s="661">
        <v>0</v>
      </c>
      <c r="U39" s="669">
        <v>0</v>
      </c>
    </row>
    <row r="40" spans="3:21" x14ac:dyDescent="0.2">
      <c r="C40" s="664" t="s">
        <v>83</v>
      </c>
      <c r="D40" s="665">
        <v>11.023324562260003</v>
      </c>
      <c r="E40" s="665">
        <v>0</v>
      </c>
      <c r="F40" s="665">
        <v>616.5551097795327</v>
      </c>
      <c r="G40" s="665">
        <v>0</v>
      </c>
      <c r="H40" s="665">
        <v>328.88376325000007</v>
      </c>
      <c r="I40" s="665">
        <v>0</v>
      </c>
      <c r="J40" s="665">
        <v>0</v>
      </c>
      <c r="K40" s="665">
        <v>0</v>
      </c>
      <c r="L40" s="665">
        <v>94.741778818445539</v>
      </c>
      <c r="M40" s="665">
        <v>6.3141660475193291</v>
      </c>
      <c r="N40" s="665">
        <v>40.094052089790857</v>
      </c>
      <c r="O40" s="665">
        <v>2.5089575000000002</v>
      </c>
      <c r="P40" s="665">
        <v>31.43908444444444</v>
      </c>
      <c r="Q40" s="665">
        <v>2.6456750000400002</v>
      </c>
      <c r="R40" s="665">
        <v>431.70479999999998</v>
      </c>
      <c r="S40" s="665">
        <v>43.104436111303606</v>
      </c>
      <c r="T40" s="665">
        <v>0</v>
      </c>
      <c r="U40" s="665">
        <v>1609.0151476033366</v>
      </c>
    </row>
    <row r="41" spans="3:21" x14ac:dyDescent="0.2">
      <c r="C41" s="660" t="s">
        <v>84</v>
      </c>
      <c r="D41" s="661">
        <v>3.1200159203999993</v>
      </c>
      <c r="E41" s="661">
        <v>0</v>
      </c>
      <c r="F41" s="661">
        <v>139.5725242203051</v>
      </c>
      <c r="G41" s="661">
        <v>0</v>
      </c>
      <c r="H41" s="661">
        <v>13.804214250000001</v>
      </c>
      <c r="I41" s="661">
        <v>0</v>
      </c>
      <c r="J41" s="661">
        <v>0</v>
      </c>
      <c r="K41" s="661">
        <v>0</v>
      </c>
      <c r="L41" s="661">
        <v>0</v>
      </c>
      <c r="M41" s="661">
        <v>0</v>
      </c>
      <c r="N41" s="661">
        <v>0</v>
      </c>
      <c r="O41" s="661">
        <v>0</v>
      </c>
      <c r="P41" s="661">
        <v>0</v>
      </c>
      <c r="Q41" s="661">
        <v>0</v>
      </c>
      <c r="R41" s="661">
        <v>0</v>
      </c>
      <c r="S41" s="661">
        <v>0</v>
      </c>
      <c r="T41" s="661">
        <v>0</v>
      </c>
      <c r="U41" s="669">
        <v>156.49675439070509</v>
      </c>
    </row>
    <row r="42" spans="3:21" x14ac:dyDescent="0.2">
      <c r="C42" s="664" t="s">
        <v>85</v>
      </c>
      <c r="D42" s="665">
        <v>14.143340482660001</v>
      </c>
      <c r="E42" s="665">
        <v>0</v>
      </c>
      <c r="F42" s="665">
        <v>756.12763399983783</v>
      </c>
      <c r="G42" s="665">
        <v>0</v>
      </c>
      <c r="H42" s="665">
        <v>342.6879775000001</v>
      </c>
      <c r="I42" s="665">
        <v>0</v>
      </c>
      <c r="J42" s="665">
        <v>0</v>
      </c>
      <c r="K42" s="665">
        <v>0</v>
      </c>
      <c r="L42" s="665">
        <v>94.741778818445539</v>
      </c>
      <c r="M42" s="665">
        <v>6.3141660475193291</v>
      </c>
      <c r="N42" s="665">
        <v>40.094052089790857</v>
      </c>
      <c r="O42" s="665">
        <v>2.5089575000000002</v>
      </c>
      <c r="P42" s="665">
        <v>31.43908444444444</v>
      </c>
      <c r="Q42" s="665">
        <v>2.6456750000400002</v>
      </c>
      <c r="R42" s="665">
        <v>431.70479999999998</v>
      </c>
      <c r="S42" s="665">
        <v>43.104436111303606</v>
      </c>
      <c r="T42" s="665">
        <v>0</v>
      </c>
      <c r="U42" s="665">
        <v>1765.5119019940419</v>
      </c>
    </row>
    <row r="43" spans="3:21" x14ac:dyDescent="0.2">
      <c r="C43" s="652"/>
      <c r="D43" s="670">
        <v>0</v>
      </c>
      <c r="E43" s="670">
        <v>-7.9805535306149977E-2</v>
      </c>
      <c r="F43" s="670">
        <v>-7.0888389245737926E-5</v>
      </c>
      <c r="G43" s="670">
        <v>0</v>
      </c>
      <c r="H43" s="670">
        <v>0</v>
      </c>
      <c r="I43" s="652"/>
      <c r="J43" s="670">
        <v>0</v>
      </c>
      <c r="K43" s="670">
        <v>0</v>
      </c>
      <c r="L43" s="670">
        <v>-6.5550585759410751E-7</v>
      </c>
      <c r="M43" s="670">
        <v>0</v>
      </c>
      <c r="N43" s="670">
        <v>0</v>
      </c>
      <c r="O43" s="670">
        <v>6.6666669162884773E-7</v>
      </c>
      <c r="P43" s="670">
        <v>0</v>
      </c>
      <c r="Q43" s="670">
        <v>-0.1260009555555559</v>
      </c>
      <c r="R43" s="670">
        <v>-7.1054273576010019E-14</v>
      </c>
      <c r="S43" s="670">
        <v>2.7777777233950474E-7</v>
      </c>
      <c r="T43" s="670">
        <v>0</v>
      </c>
      <c r="U43" s="670">
        <v>-0.20587709031178747</v>
      </c>
    </row>
    <row r="44" spans="3:21" x14ac:dyDescent="0.2">
      <c r="C44" s="652"/>
      <c r="D44" s="652"/>
      <c r="E44" s="652"/>
      <c r="F44" s="652"/>
      <c r="G44" s="652"/>
      <c r="H44" s="652"/>
      <c r="I44" s="652"/>
      <c r="J44" s="652"/>
      <c r="K44" s="652"/>
      <c r="L44" s="652"/>
      <c r="M44" s="652"/>
      <c r="N44" s="652"/>
      <c r="O44" s="652"/>
      <c r="P44" s="652"/>
      <c r="Q44" s="652"/>
      <c r="R44" s="652"/>
      <c r="S44" s="652"/>
      <c r="T44" s="652"/>
      <c r="U44" s="652"/>
    </row>
    <row r="45" spans="3:21" ht="15" x14ac:dyDescent="0.25">
      <c r="C45" s="656" t="s">
        <v>86</v>
      </c>
      <c r="D45" s="657"/>
      <c r="E45" s="657"/>
      <c r="F45" s="657"/>
      <c r="G45" s="657"/>
      <c r="H45" s="657"/>
      <c r="I45" s="657"/>
      <c r="J45" s="657"/>
      <c r="K45" s="657"/>
      <c r="L45" s="657"/>
      <c r="M45" s="657"/>
      <c r="N45" s="657"/>
      <c r="O45" s="657"/>
      <c r="P45" s="657"/>
      <c r="Q45" s="657"/>
      <c r="R45" s="657"/>
      <c r="S45" s="657"/>
      <c r="T45" s="657"/>
      <c r="U45" s="657"/>
    </row>
    <row r="46" spans="3:21" x14ac:dyDescent="0.2">
      <c r="C46" s="652"/>
      <c r="D46" s="652"/>
      <c r="E46" s="652"/>
      <c r="F46" s="652"/>
      <c r="G46" s="652"/>
      <c r="H46" s="652"/>
      <c r="I46" s="652"/>
      <c r="J46" s="652"/>
      <c r="K46" s="652"/>
      <c r="L46" s="652"/>
      <c r="M46" s="652"/>
      <c r="N46" s="652"/>
      <c r="O46" s="652"/>
      <c r="P46" s="652"/>
      <c r="Q46" s="652"/>
      <c r="R46" s="652"/>
      <c r="S46" s="652"/>
      <c r="T46" s="652"/>
      <c r="U46" s="652"/>
    </row>
    <row r="47" spans="3:21" x14ac:dyDescent="0.2">
      <c r="C47" s="773" t="s">
        <v>128</v>
      </c>
      <c r="D47" s="768" t="s">
        <v>42</v>
      </c>
      <c r="E47" s="768" t="s">
        <v>52</v>
      </c>
      <c r="F47" s="768" t="s">
        <v>53</v>
      </c>
      <c r="G47" s="768" t="s">
        <v>482</v>
      </c>
      <c r="H47" s="768" t="s">
        <v>32</v>
      </c>
      <c r="I47" s="768" t="s">
        <v>483</v>
      </c>
      <c r="J47" s="768" t="s">
        <v>20</v>
      </c>
      <c r="K47" s="768" t="s">
        <v>55</v>
      </c>
      <c r="L47" s="770" t="s">
        <v>56</v>
      </c>
      <c r="M47" s="771"/>
      <c r="N47" s="771"/>
      <c r="O47" s="771"/>
      <c r="P47" s="771"/>
      <c r="Q47" s="772"/>
      <c r="R47" s="768" t="s">
        <v>57</v>
      </c>
      <c r="S47" s="768" t="s">
        <v>58</v>
      </c>
      <c r="T47" s="768" t="s">
        <v>31</v>
      </c>
      <c r="U47" s="768" t="s">
        <v>10</v>
      </c>
    </row>
    <row r="48" spans="3:21" ht="36" x14ac:dyDescent="0.2">
      <c r="C48" s="774"/>
      <c r="D48" s="769"/>
      <c r="E48" s="769"/>
      <c r="F48" s="769"/>
      <c r="G48" s="769"/>
      <c r="H48" s="769"/>
      <c r="I48" s="769"/>
      <c r="J48" s="769"/>
      <c r="K48" s="769"/>
      <c r="L48" s="658" t="s">
        <v>335</v>
      </c>
      <c r="M48" s="658" t="s">
        <v>40</v>
      </c>
      <c r="N48" s="658" t="s">
        <v>343</v>
      </c>
      <c r="O48" s="658" t="s">
        <v>344</v>
      </c>
      <c r="P48" s="659" t="s">
        <v>345</v>
      </c>
      <c r="Q48" s="658" t="s">
        <v>346</v>
      </c>
      <c r="R48" s="769"/>
      <c r="S48" s="769"/>
      <c r="T48" s="769"/>
      <c r="U48" s="769"/>
    </row>
    <row r="49" spans="3:21" x14ac:dyDescent="0.2">
      <c r="C49" s="660" t="s">
        <v>59</v>
      </c>
      <c r="D49" s="661">
        <v>0</v>
      </c>
      <c r="E49" s="661">
        <v>9.7977867342210008</v>
      </c>
      <c r="F49" s="671">
        <v>0</v>
      </c>
      <c r="G49" s="661">
        <v>0</v>
      </c>
      <c r="H49" s="661">
        <v>0.18111850000000002</v>
      </c>
      <c r="I49" s="661">
        <v>0</v>
      </c>
      <c r="J49" s="671">
        <v>1072.2208090909091</v>
      </c>
      <c r="K49" s="671">
        <v>115.72304451809002</v>
      </c>
      <c r="L49" s="671">
        <v>114.24305924309452</v>
      </c>
      <c r="M49" s="671">
        <v>33.631608055405756</v>
      </c>
      <c r="N49" s="671">
        <v>0</v>
      </c>
      <c r="O49" s="671">
        <v>9.2815441223735728</v>
      </c>
      <c r="P49" s="671">
        <v>32.908596666666668</v>
      </c>
      <c r="Q49" s="671">
        <v>8.1133079726239394</v>
      </c>
      <c r="R49" s="671">
        <v>0</v>
      </c>
      <c r="S49" s="671">
        <v>0</v>
      </c>
      <c r="T49" s="671">
        <v>0</v>
      </c>
      <c r="U49" s="672">
        <v>1396.1008749033845</v>
      </c>
    </row>
    <row r="50" spans="3:21" x14ac:dyDescent="0.2">
      <c r="C50" s="660" t="s">
        <v>60</v>
      </c>
      <c r="D50" s="671">
        <v>59.346560356893349</v>
      </c>
      <c r="E50" s="671">
        <v>394.73997109464659</v>
      </c>
      <c r="F50" s="671">
        <v>515.26337584814883</v>
      </c>
      <c r="G50" s="661">
        <v>0</v>
      </c>
      <c r="H50" s="671">
        <v>479.42224425000006</v>
      </c>
      <c r="I50" s="661">
        <v>0</v>
      </c>
      <c r="J50" s="671">
        <v>0</v>
      </c>
      <c r="K50" s="671">
        <v>0</v>
      </c>
      <c r="L50" s="671">
        <v>2.6631252777777781</v>
      </c>
      <c r="M50" s="671">
        <v>0</v>
      </c>
      <c r="N50" s="671">
        <v>13.962014778928699</v>
      </c>
      <c r="O50" s="671">
        <v>0</v>
      </c>
      <c r="P50" s="671">
        <v>0</v>
      </c>
      <c r="Q50" s="671">
        <v>0</v>
      </c>
      <c r="R50" s="671">
        <v>19.536102</v>
      </c>
      <c r="S50" s="671">
        <v>0</v>
      </c>
      <c r="T50" s="671">
        <v>0</v>
      </c>
      <c r="U50" s="672">
        <v>1484.9333936063952</v>
      </c>
    </row>
    <row r="51" spans="3:21" x14ac:dyDescent="0.2">
      <c r="C51" s="660" t="s">
        <v>61</v>
      </c>
      <c r="D51" s="671">
        <v>-9.6972882210000014E-2</v>
      </c>
      <c r="E51" s="671">
        <v>-1.4488664385590002</v>
      </c>
      <c r="F51" s="671">
        <v>-154.00833143808623</v>
      </c>
      <c r="G51" s="661">
        <v>0</v>
      </c>
      <c r="H51" s="671">
        <v>-95.022441999999998</v>
      </c>
      <c r="I51" s="661">
        <v>0</v>
      </c>
      <c r="J51" s="671">
        <v>0</v>
      </c>
      <c r="K51" s="671">
        <v>0</v>
      </c>
      <c r="L51" s="671">
        <v>-2.0287163888888888</v>
      </c>
      <c r="M51" s="671">
        <v>0</v>
      </c>
      <c r="N51" s="671">
        <v>-7.1333416709442901</v>
      </c>
      <c r="O51" s="671">
        <v>0</v>
      </c>
      <c r="P51" s="671">
        <v>0</v>
      </c>
      <c r="Q51" s="671">
        <v>0</v>
      </c>
      <c r="R51" s="671">
        <v>-64.575296000000009</v>
      </c>
      <c r="S51" s="671">
        <v>0</v>
      </c>
      <c r="T51" s="671">
        <v>0</v>
      </c>
      <c r="U51" s="672">
        <v>-324.31396681868836</v>
      </c>
    </row>
    <row r="52" spans="3:21" x14ac:dyDescent="0.2">
      <c r="C52" s="660" t="s">
        <v>62</v>
      </c>
      <c r="D52" s="661">
        <v>0</v>
      </c>
      <c r="E52" s="661">
        <v>0</v>
      </c>
      <c r="F52" s="661">
        <v>-11.254966292131096</v>
      </c>
      <c r="G52" s="661">
        <v>0</v>
      </c>
      <c r="H52" s="661">
        <v>0</v>
      </c>
      <c r="I52" s="661">
        <v>0</v>
      </c>
      <c r="J52" s="661">
        <v>0</v>
      </c>
      <c r="K52" s="661">
        <v>0</v>
      </c>
      <c r="L52" s="661">
        <v>0</v>
      </c>
      <c r="M52" s="661">
        <v>0</v>
      </c>
      <c r="N52" s="661">
        <v>0</v>
      </c>
      <c r="O52" s="661">
        <v>0</v>
      </c>
      <c r="P52" s="661">
        <v>0</v>
      </c>
      <c r="Q52" s="661">
        <v>0</v>
      </c>
      <c r="R52" s="671">
        <v>0</v>
      </c>
      <c r="S52" s="671">
        <v>0</v>
      </c>
      <c r="T52" s="661">
        <v>0</v>
      </c>
      <c r="U52" s="672">
        <v>-11.254966292131096</v>
      </c>
    </row>
    <row r="53" spans="3:21" x14ac:dyDescent="0.2">
      <c r="C53" s="660" t="s">
        <v>63</v>
      </c>
      <c r="D53" s="661">
        <v>0</v>
      </c>
      <c r="E53" s="661">
        <v>0</v>
      </c>
      <c r="F53" s="661">
        <v>-37.45524104092592</v>
      </c>
      <c r="G53" s="661">
        <v>0</v>
      </c>
      <c r="H53" s="661">
        <v>0</v>
      </c>
      <c r="I53" s="661">
        <v>0</v>
      </c>
      <c r="J53" s="661">
        <v>0</v>
      </c>
      <c r="K53" s="661">
        <v>0</v>
      </c>
      <c r="L53" s="661">
        <v>0</v>
      </c>
      <c r="M53" s="661">
        <v>0</v>
      </c>
      <c r="N53" s="661">
        <v>0</v>
      </c>
      <c r="O53" s="661">
        <v>0</v>
      </c>
      <c r="P53" s="661">
        <v>0</v>
      </c>
      <c r="Q53" s="661">
        <v>0</v>
      </c>
      <c r="R53" s="671">
        <v>0</v>
      </c>
      <c r="S53" s="671">
        <v>0</v>
      </c>
      <c r="T53" s="661">
        <v>0</v>
      </c>
      <c r="U53" s="672">
        <v>-37.45524104092592</v>
      </c>
    </row>
    <row r="54" spans="3:21" x14ac:dyDescent="0.2">
      <c r="C54" s="660" t="s">
        <v>64</v>
      </c>
      <c r="D54" s="671">
        <v>2.2754338241033341</v>
      </c>
      <c r="E54" s="671">
        <v>1.7895047303380001</v>
      </c>
      <c r="F54" s="671">
        <v>-1.4741451662241043</v>
      </c>
      <c r="G54" s="661">
        <v>0</v>
      </c>
      <c r="H54" s="671">
        <v>21.247482000000002</v>
      </c>
      <c r="I54" s="661">
        <v>0</v>
      </c>
      <c r="J54" s="671">
        <v>0</v>
      </c>
      <c r="K54" s="671">
        <v>0</v>
      </c>
      <c r="L54" s="671">
        <v>0</v>
      </c>
      <c r="M54" s="671">
        <v>0</v>
      </c>
      <c r="N54" s="671">
        <v>0</v>
      </c>
      <c r="O54" s="671">
        <v>0</v>
      </c>
      <c r="P54" s="671">
        <v>0</v>
      </c>
      <c r="Q54" s="671">
        <v>0</v>
      </c>
      <c r="R54" s="671">
        <v>0</v>
      </c>
      <c r="S54" s="671">
        <v>0</v>
      </c>
      <c r="T54" s="671">
        <v>0</v>
      </c>
      <c r="U54" s="672">
        <v>23.838275388217234</v>
      </c>
    </row>
    <row r="55" spans="3:21" x14ac:dyDescent="0.2">
      <c r="C55" s="664" t="s">
        <v>65</v>
      </c>
      <c r="D55" s="673">
        <v>61.52502129878669</v>
      </c>
      <c r="E55" s="673">
        <v>404.87839612064664</v>
      </c>
      <c r="F55" s="673">
        <v>311.07069191078136</v>
      </c>
      <c r="G55" s="665">
        <v>0</v>
      </c>
      <c r="H55" s="673">
        <v>405.82840275000007</v>
      </c>
      <c r="I55" s="665">
        <v>0</v>
      </c>
      <c r="J55" s="673">
        <v>1072.2208090909091</v>
      </c>
      <c r="K55" s="673">
        <v>115.72304451809002</v>
      </c>
      <c r="L55" s="673">
        <v>114.87746813198341</v>
      </c>
      <c r="M55" s="673">
        <v>33.631608055405756</v>
      </c>
      <c r="N55" s="673">
        <v>6.8286731079844092</v>
      </c>
      <c r="O55" s="673">
        <v>9.2815441223735728</v>
      </c>
      <c r="P55" s="673">
        <v>32.908596666666668</v>
      </c>
      <c r="Q55" s="673">
        <v>8.1133079726239394</v>
      </c>
      <c r="R55" s="673">
        <v>-45.039194000000009</v>
      </c>
      <c r="S55" s="673">
        <v>0</v>
      </c>
      <c r="T55" s="673">
        <v>0</v>
      </c>
      <c r="U55" s="673">
        <v>2531.8483697462511</v>
      </c>
    </row>
    <row r="56" spans="3:21" x14ac:dyDescent="0.2">
      <c r="C56" s="666"/>
      <c r="D56" s="674"/>
      <c r="E56" s="674"/>
      <c r="F56" s="674"/>
      <c r="G56" s="667"/>
      <c r="H56" s="674"/>
      <c r="I56" s="667"/>
      <c r="J56" s="674"/>
      <c r="K56" s="674"/>
      <c r="L56" s="674"/>
      <c r="M56" s="674"/>
      <c r="N56" s="674"/>
      <c r="O56" s="674"/>
      <c r="P56" s="674"/>
      <c r="Q56" s="674"/>
      <c r="R56" s="674"/>
      <c r="S56" s="674"/>
      <c r="T56" s="674"/>
      <c r="U56" s="674"/>
    </row>
    <row r="57" spans="3:21" x14ac:dyDescent="0.2">
      <c r="C57" s="668" t="s">
        <v>67</v>
      </c>
      <c r="D57" s="661">
        <v>-3.1696853392377875</v>
      </c>
      <c r="E57" s="661">
        <v>7.594656734105321</v>
      </c>
      <c r="F57" s="661">
        <v>3.8234994290490683</v>
      </c>
      <c r="G57" s="661">
        <v>0</v>
      </c>
      <c r="H57" s="661">
        <v>-0.68950250000000013</v>
      </c>
      <c r="I57" s="661">
        <v>0</v>
      </c>
      <c r="J57" s="661">
        <v>0</v>
      </c>
      <c r="K57" s="661">
        <v>0</v>
      </c>
      <c r="L57" s="661">
        <v>0</v>
      </c>
      <c r="M57" s="661">
        <v>0</v>
      </c>
      <c r="N57" s="661">
        <v>0</v>
      </c>
      <c r="O57" s="661">
        <v>0</v>
      </c>
      <c r="P57" s="661">
        <v>0</v>
      </c>
      <c r="Q57" s="661">
        <v>0</v>
      </c>
      <c r="R57" s="661">
        <v>2.0843062301020092</v>
      </c>
      <c r="S57" s="661">
        <v>0</v>
      </c>
      <c r="T57" s="671">
        <v>0</v>
      </c>
      <c r="U57" s="672">
        <v>9.6432745540186122</v>
      </c>
    </row>
    <row r="58" spans="3:21" x14ac:dyDescent="0.2">
      <c r="C58" s="668" t="s">
        <v>347</v>
      </c>
      <c r="D58" s="661">
        <v>14.864431241687887</v>
      </c>
      <c r="E58" s="661">
        <v>0</v>
      </c>
      <c r="F58" s="661">
        <v>13.418152502737103</v>
      </c>
      <c r="G58" s="661">
        <v>0</v>
      </c>
      <c r="H58" s="661">
        <v>55.436136268601025</v>
      </c>
      <c r="I58" s="661">
        <v>0</v>
      </c>
      <c r="J58" s="661">
        <v>1072.2208090909091</v>
      </c>
      <c r="K58" s="661">
        <v>115.67142051809002</v>
      </c>
      <c r="L58" s="661">
        <v>17.347825951117827</v>
      </c>
      <c r="M58" s="661">
        <v>11.678824122543197</v>
      </c>
      <c r="N58" s="661">
        <v>0</v>
      </c>
      <c r="O58" s="661">
        <v>5.2886919634287652</v>
      </c>
      <c r="P58" s="661">
        <v>0</v>
      </c>
      <c r="Q58" s="661">
        <v>1.3922112325408571</v>
      </c>
      <c r="R58" s="661">
        <v>-527.28039181222232</v>
      </c>
      <c r="S58" s="661">
        <v>0</v>
      </c>
      <c r="T58" s="671">
        <v>0</v>
      </c>
      <c r="U58" s="672">
        <v>780.03811107943307</v>
      </c>
    </row>
    <row r="59" spans="3:21" x14ac:dyDescent="0.2">
      <c r="C59" s="668" t="s">
        <v>348</v>
      </c>
      <c r="D59" s="661">
        <v>1.5729367626898902</v>
      </c>
      <c r="E59" s="661">
        <v>0</v>
      </c>
      <c r="F59" s="661">
        <v>0.20358189452574635</v>
      </c>
      <c r="G59" s="661">
        <v>0</v>
      </c>
      <c r="H59" s="661">
        <v>21.08911448139898</v>
      </c>
      <c r="I59" s="661">
        <v>0</v>
      </c>
      <c r="J59" s="661">
        <v>0</v>
      </c>
      <c r="K59" s="661">
        <v>0</v>
      </c>
      <c r="L59" s="661">
        <v>7.8982729217883261</v>
      </c>
      <c r="M59" s="661">
        <v>16.49482411485047</v>
      </c>
      <c r="N59" s="661">
        <v>0</v>
      </c>
      <c r="O59" s="661">
        <v>3.0673174902469076</v>
      </c>
      <c r="P59" s="661">
        <v>0.25705111111111106</v>
      </c>
      <c r="Q59" s="661">
        <v>3.9939867016268904</v>
      </c>
      <c r="R59" s="661">
        <v>0</v>
      </c>
      <c r="S59" s="661">
        <v>-45.831488617908406</v>
      </c>
      <c r="T59" s="671">
        <v>0</v>
      </c>
      <c r="U59" s="672">
        <v>8.7455968603299254</v>
      </c>
    </row>
    <row r="60" spans="3:21" x14ac:dyDescent="0.2">
      <c r="C60" s="668" t="s">
        <v>349</v>
      </c>
      <c r="D60" s="661">
        <v>0</v>
      </c>
      <c r="E60" s="661">
        <v>0</v>
      </c>
      <c r="F60" s="661">
        <v>0</v>
      </c>
      <c r="G60" s="661">
        <v>0</v>
      </c>
      <c r="H60" s="661">
        <v>0</v>
      </c>
      <c r="I60" s="661">
        <v>0</v>
      </c>
      <c r="J60" s="661">
        <v>0</v>
      </c>
      <c r="K60" s="661">
        <v>0</v>
      </c>
      <c r="L60" s="661">
        <v>0</v>
      </c>
      <c r="M60" s="661">
        <v>0</v>
      </c>
      <c r="N60" s="661">
        <v>0</v>
      </c>
      <c r="O60" s="661">
        <v>-1.9873640000000001</v>
      </c>
      <c r="P60" s="661">
        <v>0</v>
      </c>
      <c r="Q60" s="661">
        <v>0</v>
      </c>
      <c r="R60" s="661">
        <v>0</v>
      </c>
      <c r="S60" s="661">
        <v>0</v>
      </c>
      <c r="T60" s="671">
        <v>0</v>
      </c>
      <c r="U60" s="672">
        <v>-1.9873640000000001</v>
      </c>
    </row>
    <row r="61" spans="3:21" x14ac:dyDescent="0.2">
      <c r="C61" s="668" t="s">
        <v>350</v>
      </c>
      <c r="D61" s="661">
        <v>0</v>
      </c>
      <c r="E61" s="661">
        <v>0</v>
      </c>
      <c r="F61" s="661">
        <v>0</v>
      </c>
      <c r="G61" s="661">
        <v>0</v>
      </c>
      <c r="H61" s="661">
        <v>0</v>
      </c>
      <c r="I61" s="661">
        <v>0</v>
      </c>
      <c r="J61" s="661">
        <v>0</v>
      </c>
      <c r="K61" s="661">
        <v>0</v>
      </c>
      <c r="L61" s="661">
        <v>0</v>
      </c>
      <c r="M61" s="661">
        <v>0</v>
      </c>
      <c r="N61" s="661">
        <v>0</v>
      </c>
      <c r="O61" s="661">
        <v>0</v>
      </c>
      <c r="P61" s="661">
        <v>0</v>
      </c>
      <c r="Q61" s="661">
        <v>0</v>
      </c>
      <c r="R61" s="661">
        <v>0</v>
      </c>
      <c r="S61" s="661">
        <v>0</v>
      </c>
      <c r="T61" s="671">
        <v>0</v>
      </c>
      <c r="U61" s="672">
        <v>0</v>
      </c>
    </row>
    <row r="62" spans="3:21" x14ac:dyDescent="0.2">
      <c r="C62" s="668" t="s">
        <v>72</v>
      </c>
      <c r="D62" s="661">
        <v>0</v>
      </c>
      <c r="E62" s="661">
        <v>440.59076600316865</v>
      </c>
      <c r="F62" s="661">
        <v>-437.66600779015403</v>
      </c>
      <c r="G62" s="661">
        <v>0</v>
      </c>
      <c r="H62" s="661">
        <v>0</v>
      </c>
      <c r="I62" s="661">
        <v>0</v>
      </c>
      <c r="J62" s="661">
        <v>0</v>
      </c>
      <c r="K62" s="661">
        <v>0</v>
      </c>
      <c r="L62" s="661">
        <v>0</v>
      </c>
      <c r="M62" s="661">
        <v>0</v>
      </c>
      <c r="N62" s="661">
        <v>0</v>
      </c>
      <c r="O62" s="661">
        <v>0</v>
      </c>
      <c r="P62" s="661">
        <v>0</v>
      </c>
      <c r="Q62" s="661">
        <v>0</v>
      </c>
      <c r="R62" s="661">
        <v>0</v>
      </c>
      <c r="S62" s="661">
        <v>0</v>
      </c>
      <c r="T62" s="671">
        <v>0</v>
      </c>
      <c r="U62" s="672">
        <v>2.9247582130146133</v>
      </c>
    </row>
    <row r="63" spans="3:21" x14ac:dyDescent="0.2">
      <c r="C63" s="668" t="s">
        <v>351</v>
      </c>
      <c r="D63" s="661">
        <v>0</v>
      </c>
      <c r="E63" s="661">
        <v>0</v>
      </c>
      <c r="F63" s="661">
        <v>0</v>
      </c>
      <c r="G63" s="661">
        <v>0</v>
      </c>
      <c r="H63" s="661">
        <v>0</v>
      </c>
      <c r="I63" s="661">
        <v>0</v>
      </c>
      <c r="J63" s="661">
        <v>0</v>
      </c>
      <c r="K63" s="661">
        <v>0</v>
      </c>
      <c r="L63" s="661">
        <v>0</v>
      </c>
      <c r="M63" s="661">
        <v>0</v>
      </c>
      <c r="N63" s="661">
        <v>-27.31624937979873</v>
      </c>
      <c r="O63" s="661">
        <v>0</v>
      </c>
      <c r="P63" s="661">
        <v>0</v>
      </c>
      <c r="Q63" s="661">
        <v>0</v>
      </c>
      <c r="R63" s="661">
        <v>0</v>
      </c>
      <c r="S63" s="661">
        <v>0</v>
      </c>
      <c r="T63" s="671">
        <v>0</v>
      </c>
      <c r="U63" s="672">
        <v>-27.31624937979873</v>
      </c>
    </row>
    <row r="64" spans="3:21" x14ac:dyDescent="0.2">
      <c r="C64" s="668" t="s">
        <v>352</v>
      </c>
      <c r="D64" s="661">
        <v>0</v>
      </c>
      <c r="E64" s="661">
        <v>0</v>
      </c>
      <c r="F64" s="661">
        <v>0</v>
      </c>
      <c r="G64" s="661">
        <v>0</v>
      </c>
      <c r="H64" s="661">
        <v>0</v>
      </c>
      <c r="I64" s="661">
        <v>0</v>
      </c>
      <c r="J64" s="661">
        <v>0</v>
      </c>
      <c r="K64" s="661">
        <v>0</v>
      </c>
      <c r="L64" s="661">
        <v>0</v>
      </c>
      <c r="M64" s="661">
        <v>0</v>
      </c>
      <c r="N64" s="661">
        <v>0</v>
      </c>
      <c r="O64" s="661">
        <v>0</v>
      </c>
      <c r="P64" s="661">
        <v>0</v>
      </c>
      <c r="Q64" s="661">
        <v>0</v>
      </c>
      <c r="R64" s="661">
        <v>0</v>
      </c>
      <c r="S64" s="661">
        <v>0</v>
      </c>
      <c r="T64" s="671">
        <v>0</v>
      </c>
      <c r="U64" s="672">
        <v>0</v>
      </c>
    </row>
    <row r="65" spans="3:21" x14ac:dyDescent="0.2">
      <c r="C65" s="668" t="s">
        <v>73</v>
      </c>
      <c r="D65" s="661">
        <v>0</v>
      </c>
      <c r="E65" s="661">
        <v>0</v>
      </c>
      <c r="F65" s="661">
        <v>0</v>
      </c>
      <c r="G65" s="661">
        <v>0</v>
      </c>
      <c r="H65" s="661">
        <v>0</v>
      </c>
      <c r="I65" s="661">
        <v>0</v>
      </c>
      <c r="J65" s="661">
        <v>0</v>
      </c>
      <c r="K65" s="661">
        <v>0</v>
      </c>
      <c r="L65" s="661">
        <v>0</v>
      </c>
      <c r="M65" s="661">
        <v>0</v>
      </c>
      <c r="N65" s="661">
        <v>0</v>
      </c>
      <c r="O65" s="661">
        <v>0</v>
      </c>
      <c r="P65" s="661">
        <v>0</v>
      </c>
      <c r="Q65" s="661">
        <v>0</v>
      </c>
      <c r="R65" s="661">
        <v>0</v>
      </c>
      <c r="S65" s="661">
        <v>0</v>
      </c>
      <c r="T65" s="671">
        <v>0</v>
      </c>
      <c r="U65" s="672">
        <v>0</v>
      </c>
    </row>
    <row r="66" spans="3:21" x14ac:dyDescent="0.2">
      <c r="C66" s="668" t="s">
        <v>353</v>
      </c>
      <c r="D66" s="661">
        <v>24.856875540426671</v>
      </c>
      <c r="E66" s="661">
        <v>-42.586921310488997</v>
      </c>
      <c r="F66" s="661">
        <v>41.670112128488995</v>
      </c>
      <c r="G66" s="661">
        <v>0</v>
      </c>
      <c r="H66" s="661">
        <v>0</v>
      </c>
      <c r="I66" s="661">
        <v>0</v>
      </c>
      <c r="J66" s="661">
        <v>0</v>
      </c>
      <c r="K66" s="661">
        <v>0</v>
      </c>
      <c r="L66" s="661">
        <v>0</v>
      </c>
      <c r="M66" s="661">
        <v>0</v>
      </c>
      <c r="N66" s="661">
        <v>0</v>
      </c>
      <c r="O66" s="661">
        <v>0</v>
      </c>
      <c r="P66" s="661">
        <v>0</v>
      </c>
      <c r="Q66" s="661">
        <v>0</v>
      </c>
      <c r="R66" s="661">
        <v>0</v>
      </c>
      <c r="S66" s="661">
        <v>0</v>
      </c>
      <c r="T66" s="671">
        <v>0</v>
      </c>
      <c r="U66" s="672">
        <v>23.94006635842667</v>
      </c>
    </row>
    <row r="67" spans="3:21" x14ac:dyDescent="0.2">
      <c r="C67" s="668" t="s">
        <v>75</v>
      </c>
      <c r="D67" s="661">
        <v>10.864485000000002</v>
      </c>
      <c r="E67" s="661">
        <v>0</v>
      </c>
      <c r="F67" s="661">
        <v>12.156002809978</v>
      </c>
      <c r="G67" s="661">
        <v>0</v>
      </c>
      <c r="H67" s="661">
        <v>6.2612449999999988</v>
      </c>
      <c r="I67" s="661">
        <v>0</v>
      </c>
      <c r="J67" s="661">
        <v>0</v>
      </c>
      <c r="K67" s="661">
        <v>0</v>
      </c>
      <c r="L67" s="661">
        <v>0</v>
      </c>
      <c r="M67" s="661">
        <v>0</v>
      </c>
      <c r="N67" s="661">
        <v>0</v>
      </c>
      <c r="O67" s="661">
        <v>0</v>
      </c>
      <c r="P67" s="661">
        <v>0</v>
      </c>
      <c r="Q67" s="661">
        <v>0</v>
      </c>
      <c r="R67" s="661">
        <v>32.903944582120353</v>
      </c>
      <c r="S67" s="661">
        <v>0</v>
      </c>
      <c r="T67" s="671">
        <v>0</v>
      </c>
      <c r="U67" s="672">
        <v>62.185677392098349</v>
      </c>
    </row>
    <row r="68" spans="3:21" x14ac:dyDescent="0.2">
      <c r="C68" s="668" t="s">
        <v>76</v>
      </c>
      <c r="D68" s="661">
        <v>0</v>
      </c>
      <c r="E68" s="661">
        <v>0</v>
      </c>
      <c r="F68" s="661">
        <v>0</v>
      </c>
      <c r="G68" s="661">
        <v>0</v>
      </c>
      <c r="H68" s="661">
        <v>3.9080132499999998</v>
      </c>
      <c r="I68" s="661">
        <v>0</v>
      </c>
      <c r="J68" s="661">
        <v>0</v>
      </c>
      <c r="K68" s="661">
        <v>0</v>
      </c>
      <c r="L68" s="661">
        <v>0</v>
      </c>
      <c r="M68" s="661">
        <v>0</v>
      </c>
      <c r="N68" s="661">
        <v>0</v>
      </c>
      <c r="O68" s="661">
        <v>0</v>
      </c>
      <c r="P68" s="661">
        <v>0</v>
      </c>
      <c r="Q68" s="661">
        <v>0</v>
      </c>
      <c r="R68" s="661">
        <v>35.893531999999993</v>
      </c>
      <c r="S68" s="661">
        <v>4.1669160064579911</v>
      </c>
      <c r="T68" s="671">
        <v>0</v>
      </c>
      <c r="U68" s="672">
        <v>43.968461256457985</v>
      </c>
    </row>
    <row r="69" spans="3:21" x14ac:dyDescent="0.2">
      <c r="C69" s="664" t="s">
        <v>77</v>
      </c>
      <c r="D69" s="673">
        <v>48.989043205566666</v>
      </c>
      <c r="E69" s="673">
        <v>405.59850142678499</v>
      </c>
      <c r="F69" s="673">
        <v>-366.39465902537506</v>
      </c>
      <c r="G69" s="665">
        <v>0</v>
      </c>
      <c r="H69" s="673">
        <v>86.005006499999993</v>
      </c>
      <c r="I69" s="665">
        <v>0</v>
      </c>
      <c r="J69" s="673">
        <v>1072.2208090909091</v>
      </c>
      <c r="K69" s="673">
        <v>115.67142051809002</v>
      </c>
      <c r="L69" s="673">
        <v>25.246098872906153</v>
      </c>
      <c r="M69" s="673">
        <v>28.173648237393667</v>
      </c>
      <c r="N69" s="673">
        <v>-27.31624937979873</v>
      </c>
      <c r="O69" s="673">
        <v>6.3686454536756729</v>
      </c>
      <c r="P69" s="673">
        <v>0.25705111111111106</v>
      </c>
      <c r="Q69" s="673">
        <v>5.3861979341677468</v>
      </c>
      <c r="R69" s="673">
        <v>-456.39860899999991</v>
      </c>
      <c r="S69" s="673">
        <v>-41.66457261145041</v>
      </c>
      <c r="T69" s="673">
        <v>0</v>
      </c>
      <c r="U69" s="673">
        <v>902.14233233398068</v>
      </c>
    </row>
    <row r="70" spans="3:21" x14ac:dyDescent="0.2">
      <c r="C70" s="666"/>
      <c r="D70" s="674">
        <v>0</v>
      </c>
      <c r="E70" s="674">
        <v>0</v>
      </c>
      <c r="F70" s="674">
        <v>0</v>
      </c>
      <c r="G70" s="667"/>
      <c r="H70" s="674">
        <v>0</v>
      </c>
      <c r="I70" s="667"/>
      <c r="J70" s="674">
        <v>0</v>
      </c>
      <c r="K70" s="674">
        <v>0</v>
      </c>
      <c r="L70" s="674">
        <v>0</v>
      </c>
      <c r="M70" s="674">
        <v>0</v>
      </c>
      <c r="N70" s="674">
        <v>0</v>
      </c>
      <c r="O70" s="674">
        <v>0</v>
      </c>
      <c r="P70" s="674">
        <v>0</v>
      </c>
      <c r="Q70" s="674">
        <v>0</v>
      </c>
      <c r="R70" s="674">
        <v>0</v>
      </c>
      <c r="S70" s="674">
        <v>0</v>
      </c>
      <c r="T70" s="674">
        <v>0</v>
      </c>
      <c r="U70" s="674">
        <v>0</v>
      </c>
    </row>
    <row r="71" spans="3:21" x14ac:dyDescent="0.2">
      <c r="C71" s="668" t="s">
        <v>78</v>
      </c>
      <c r="D71" s="661">
        <v>9.103168484740003</v>
      </c>
      <c r="E71" s="661">
        <v>0</v>
      </c>
      <c r="F71" s="661">
        <v>30.742620872292591</v>
      </c>
      <c r="G71" s="661">
        <v>0</v>
      </c>
      <c r="H71" s="661">
        <v>115.67477925</v>
      </c>
      <c r="I71" s="661">
        <v>0</v>
      </c>
      <c r="J71" s="661">
        <v>0</v>
      </c>
      <c r="K71" s="661">
        <v>0</v>
      </c>
      <c r="L71" s="661">
        <v>15.652087601653344</v>
      </c>
      <c r="M71" s="661">
        <v>3.5686448746488644</v>
      </c>
      <c r="N71" s="661">
        <v>1.0751813257923004</v>
      </c>
      <c r="O71" s="661">
        <v>0.92719655758676645</v>
      </c>
      <c r="P71" s="661">
        <v>0</v>
      </c>
      <c r="Q71" s="661">
        <v>1.540935583552362E-2</v>
      </c>
      <c r="R71" s="661">
        <v>105.80333299999998</v>
      </c>
      <c r="S71" s="661">
        <v>17.474535389228187</v>
      </c>
      <c r="T71" s="661">
        <v>0</v>
      </c>
      <c r="U71" s="669">
        <v>300.03695671177758</v>
      </c>
    </row>
    <row r="72" spans="3:21" x14ac:dyDescent="0.2">
      <c r="C72" s="668" t="s">
        <v>79</v>
      </c>
      <c r="D72" s="661">
        <v>0</v>
      </c>
      <c r="E72" s="661">
        <v>0</v>
      </c>
      <c r="F72" s="661">
        <v>396.20072754031048</v>
      </c>
      <c r="G72" s="661">
        <v>0</v>
      </c>
      <c r="H72" s="661">
        <v>2.2477145000000003</v>
      </c>
      <c r="I72" s="661">
        <v>0</v>
      </c>
      <c r="J72" s="661">
        <v>0</v>
      </c>
      <c r="K72" s="661">
        <v>0</v>
      </c>
      <c r="L72" s="661">
        <v>0</v>
      </c>
      <c r="M72" s="661">
        <v>0</v>
      </c>
      <c r="N72" s="661">
        <v>30.751352031352695</v>
      </c>
      <c r="O72" s="661">
        <v>0</v>
      </c>
      <c r="P72" s="661">
        <v>0</v>
      </c>
      <c r="Q72" s="661">
        <v>0</v>
      </c>
      <c r="R72" s="661">
        <v>8.3371990700000005</v>
      </c>
      <c r="S72" s="661">
        <v>0</v>
      </c>
      <c r="T72" s="661">
        <v>0</v>
      </c>
      <c r="U72" s="669">
        <v>437.53699314166312</v>
      </c>
    </row>
    <row r="73" spans="3:21" x14ac:dyDescent="0.2">
      <c r="C73" s="668" t="s">
        <v>80</v>
      </c>
      <c r="D73" s="661">
        <v>0.24074954804999998</v>
      </c>
      <c r="E73" s="661">
        <v>0</v>
      </c>
      <c r="F73" s="661">
        <v>50.312051197940285</v>
      </c>
      <c r="G73" s="661">
        <v>0</v>
      </c>
      <c r="H73" s="661">
        <v>125.05981225000002</v>
      </c>
      <c r="I73" s="661">
        <v>0</v>
      </c>
      <c r="J73" s="661">
        <v>0</v>
      </c>
      <c r="K73" s="661">
        <v>0</v>
      </c>
      <c r="L73" s="661">
        <v>69.406708888888886</v>
      </c>
      <c r="M73" s="661">
        <v>0</v>
      </c>
      <c r="N73" s="661">
        <v>0</v>
      </c>
      <c r="O73" s="661">
        <v>0</v>
      </c>
      <c r="P73" s="661">
        <v>28.099863055555552</v>
      </c>
      <c r="Q73" s="661">
        <v>2.0645206826866662</v>
      </c>
      <c r="R73" s="661">
        <v>161.49853200000001</v>
      </c>
      <c r="S73" s="661">
        <v>14.411899999999999</v>
      </c>
      <c r="T73" s="661">
        <v>0</v>
      </c>
      <c r="U73" s="669">
        <v>451.09413762312141</v>
      </c>
    </row>
    <row r="74" spans="3:21" x14ac:dyDescent="0.2">
      <c r="C74" s="668" t="s">
        <v>81</v>
      </c>
      <c r="D74" s="661">
        <v>0.35525487623000002</v>
      </c>
      <c r="E74" s="661">
        <v>0</v>
      </c>
      <c r="F74" s="661">
        <v>31.907501208676987</v>
      </c>
      <c r="G74" s="661">
        <v>0</v>
      </c>
      <c r="H74" s="661">
        <v>62.61667825</v>
      </c>
      <c r="I74" s="661">
        <v>0</v>
      </c>
      <c r="J74" s="661">
        <v>0</v>
      </c>
      <c r="K74" s="661">
        <v>0</v>
      </c>
      <c r="L74" s="661">
        <v>2.8232277777777779</v>
      </c>
      <c r="M74" s="661">
        <v>2.2859468815788357</v>
      </c>
      <c r="N74" s="661">
        <v>0</v>
      </c>
      <c r="O74" s="661">
        <v>1.4745088888888889</v>
      </c>
      <c r="P74" s="661">
        <v>4.5516825000000001</v>
      </c>
      <c r="Q74" s="661">
        <v>0.35485889253622721</v>
      </c>
      <c r="R74" s="661">
        <v>127.64086592999999</v>
      </c>
      <c r="S74" s="661">
        <v>9.5887644444444451</v>
      </c>
      <c r="T74" s="661">
        <v>0</v>
      </c>
      <c r="U74" s="669">
        <v>243.59928965013316</v>
      </c>
    </row>
    <row r="75" spans="3:21" x14ac:dyDescent="0.2">
      <c r="C75" s="668" t="s">
        <v>82</v>
      </c>
      <c r="D75" s="661">
        <v>1.5371382629999998E-2</v>
      </c>
      <c r="E75" s="661">
        <v>0</v>
      </c>
      <c r="F75" s="661">
        <v>37.352212663167997</v>
      </c>
      <c r="G75" s="661">
        <v>0</v>
      </c>
      <c r="H75" s="661">
        <v>2.1964755</v>
      </c>
      <c r="I75" s="661">
        <v>0</v>
      </c>
      <c r="J75" s="661">
        <v>0</v>
      </c>
      <c r="K75" s="661">
        <v>0</v>
      </c>
      <c r="L75" s="661">
        <v>1.7493453935920653</v>
      </c>
      <c r="M75" s="661">
        <v>0</v>
      </c>
      <c r="N75" s="661">
        <v>1.9048961095281811</v>
      </c>
      <c r="O75" s="661">
        <v>0.51119305555555561</v>
      </c>
      <c r="P75" s="661">
        <v>0</v>
      </c>
      <c r="Q75" s="661">
        <v>0.29232166666666665</v>
      </c>
      <c r="R75" s="661">
        <v>8.079485</v>
      </c>
      <c r="S75" s="661">
        <v>0.18937333333333334</v>
      </c>
      <c r="T75" s="661">
        <v>0</v>
      </c>
      <c r="U75" s="669">
        <v>52.290674104473801</v>
      </c>
    </row>
    <row r="76" spans="3:21" x14ac:dyDescent="0.2">
      <c r="C76" s="668" t="s">
        <v>354</v>
      </c>
      <c r="D76" s="661">
        <v>0</v>
      </c>
      <c r="E76" s="661">
        <v>0</v>
      </c>
      <c r="F76" s="661">
        <v>0</v>
      </c>
      <c r="G76" s="661">
        <v>0</v>
      </c>
      <c r="H76" s="661">
        <v>0</v>
      </c>
      <c r="I76" s="661">
        <v>0</v>
      </c>
      <c r="J76" s="661">
        <v>0</v>
      </c>
      <c r="K76" s="661">
        <v>0</v>
      </c>
      <c r="L76" s="661">
        <v>0</v>
      </c>
      <c r="M76" s="661">
        <v>0</v>
      </c>
      <c r="N76" s="661">
        <v>0</v>
      </c>
      <c r="O76" s="661">
        <v>0</v>
      </c>
      <c r="P76" s="661">
        <v>0</v>
      </c>
      <c r="Q76" s="661">
        <v>0</v>
      </c>
      <c r="R76" s="661">
        <v>0</v>
      </c>
      <c r="S76" s="661">
        <v>0</v>
      </c>
      <c r="T76" s="661">
        <v>0</v>
      </c>
      <c r="U76" s="669">
        <v>0</v>
      </c>
    </row>
    <row r="77" spans="3:21" x14ac:dyDescent="0.2">
      <c r="C77" s="664" t="s">
        <v>83</v>
      </c>
      <c r="D77" s="673">
        <v>9.714544291650002</v>
      </c>
      <c r="E77" s="673">
        <v>0</v>
      </c>
      <c r="F77" s="673">
        <v>546.5151134823883</v>
      </c>
      <c r="G77" s="665">
        <v>0</v>
      </c>
      <c r="H77" s="673">
        <v>307.79545975000002</v>
      </c>
      <c r="I77" s="665">
        <v>0</v>
      </c>
      <c r="J77" s="673">
        <v>0</v>
      </c>
      <c r="K77" s="673">
        <v>0</v>
      </c>
      <c r="L77" s="673">
        <v>89.631369661912075</v>
      </c>
      <c r="M77" s="673">
        <v>5.8545917562277001</v>
      </c>
      <c r="N77" s="673">
        <v>33.731429466673177</v>
      </c>
      <c r="O77" s="673">
        <v>2.9128985020312106</v>
      </c>
      <c r="P77" s="673">
        <v>32.65154555555555</v>
      </c>
      <c r="Q77" s="673">
        <v>2.7271105977250834</v>
      </c>
      <c r="R77" s="673">
        <v>411.35941499999996</v>
      </c>
      <c r="S77" s="673">
        <v>41.664573167005962</v>
      </c>
      <c r="T77" s="673">
        <v>0</v>
      </c>
      <c r="U77" s="673">
        <v>1484.5580512311692</v>
      </c>
    </row>
    <row r="78" spans="3:21" x14ac:dyDescent="0.2">
      <c r="C78" s="660" t="s">
        <v>84</v>
      </c>
      <c r="D78" s="661">
        <v>2.8214338015700005</v>
      </c>
      <c r="E78" s="661">
        <v>0</v>
      </c>
      <c r="F78" s="661">
        <v>130.9502374537683</v>
      </c>
      <c r="G78" s="661">
        <v>0</v>
      </c>
      <c r="H78" s="661">
        <v>12.027936500000001</v>
      </c>
      <c r="I78" s="661">
        <v>0</v>
      </c>
      <c r="J78" s="661">
        <v>0</v>
      </c>
      <c r="K78" s="661">
        <v>0</v>
      </c>
      <c r="L78" s="661">
        <v>0</v>
      </c>
      <c r="M78" s="661">
        <v>0</v>
      </c>
      <c r="N78" s="661">
        <v>0</v>
      </c>
      <c r="O78" s="661">
        <v>0</v>
      </c>
      <c r="P78" s="661">
        <v>0</v>
      </c>
      <c r="Q78" s="661">
        <v>0</v>
      </c>
      <c r="R78" s="661">
        <v>0</v>
      </c>
      <c r="S78" s="661">
        <v>0</v>
      </c>
      <c r="T78" s="661">
        <v>0</v>
      </c>
      <c r="U78" s="669">
        <v>145.79960775533831</v>
      </c>
    </row>
    <row r="79" spans="3:21" x14ac:dyDescent="0.2">
      <c r="C79" s="664" t="s">
        <v>85</v>
      </c>
      <c r="D79" s="673">
        <v>12.535978093220002</v>
      </c>
      <c r="E79" s="673">
        <v>0</v>
      </c>
      <c r="F79" s="673">
        <v>677.4653509361566</v>
      </c>
      <c r="G79" s="665">
        <v>0</v>
      </c>
      <c r="H79" s="673">
        <v>319.82339625000003</v>
      </c>
      <c r="I79" s="665">
        <v>0</v>
      </c>
      <c r="J79" s="673">
        <v>0</v>
      </c>
      <c r="K79" s="673">
        <v>0</v>
      </c>
      <c r="L79" s="673">
        <v>89.631369661912075</v>
      </c>
      <c r="M79" s="673">
        <v>5.8545917562277001</v>
      </c>
      <c r="N79" s="673">
        <v>33.731429466673177</v>
      </c>
      <c r="O79" s="673">
        <v>2.9128985020312106</v>
      </c>
      <c r="P79" s="673">
        <v>32.65154555555555</v>
      </c>
      <c r="Q79" s="673">
        <v>2.7271105977250834</v>
      </c>
      <c r="R79" s="673">
        <v>411.35941499999996</v>
      </c>
      <c r="S79" s="673">
        <v>41.664573167005962</v>
      </c>
      <c r="T79" s="673">
        <v>0</v>
      </c>
      <c r="U79" s="673">
        <v>1630.3576589865074</v>
      </c>
    </row>
    <row r="80" spans="3:21" x14ac:dyDescent="0.2">
      <c r="C80" s="652"/>
      <c r="D80" s="652"/>
      <c r="E80" s="652"/>
      <c r="F80" s="652"/>
      <c r="G80" s="670">
        <v>0</v>
      </c>
      <c r="H80" s="652"/>
      <c r="I80" s="652"/>
      <c r="J80" s="652"/>
      <c r="K80" s="652"/>
      <c r="L80" s="652"/>
      <c r="M80" s="652"/>
      <c r="N80" s="652"/>
      <c r="O80" s="652"/>
      <c r="P80" s="652"/>
      <c r="Q80" s="652"/>
      <c r="R80" s="652"/>
      <c r="S80" s="652"/>
      <c r="T80" s="652"/>
      <c r="U80" s="652"/>
    </row>
    <row r="81" spans="3:21" x14ac:dyDescent="0.2">
      <c r="C81" s="652"/>
      <c r="D81" s="652"/>
      <c r="E81" s="652"/>
      <c r="F81" s="652"/>
      <c r="G81" s="652"/>
      <c r="H81" s="652"/>
      <c r="I81" s="652"/>
      <c r="J81" s="652"/>
      <c r="K81" s="652"/>
      <c r="L81" s="652"/>
      <c r="M81" s="652"/>
      <c r="N81" s="652"/>
      <c r="O81" s="652"/>
      <c r="P81" s="652"/>
      <c r="Q81" s="652"/>
      <c r="R81" s="652"/>
      <c r="S81" s="652"/>
      <c r="T81" s="652"/>
      <c r="U81" s="652"/>
    </row>
    <row r="82" spans="3:21" ht="15" x14ac:dyDescent="0.25">
      <c r="C82" s="656" t="s">
        <v>355</v>
      </c>
      <c r="D82" s="657"/>
      <c r="E82" s="657"/>
      <c r="F82" s="657"/>
      <c r="G82" s="657"/>
      <c r="H82" s="657"/>
      <c r="I82" s="657"/>
      <c r="J82" s="657"/>
      <c r="K82" s="657"/>
      <c r="L82" s="657"/>
      <c r="M82" s="657"/>
      <c r="N82" s="657"/>
      <c r="O82" s="657"/>
      <c r="P82" s="657"/>
      <c r="Q82" s="657"/>
      <c r="R82" s="657"/>
      <c r="S82" s="657"/>
      <c r="T82" s="657"/>
      <c r="U82" s="657"/>
    </row>
    <row r="83" spans="3:21" x14ac:dyDescent="0.2">
      <c r="C83" s="652"/>
      <c r="D83" s="652"/>
      <c r="E83" s="652"/>
      <c r="F83" s="652"/>
      <c r="G83" s="652"/>
      <c r="H83" s="652"/>
      <c r="I83" s="652"/>
      <c r="J83" s="652"/>
      <c r="K83" s="652"/>
      <c r="L83" s="652"/>
      <c r="M83" s="652"/>
      <c r="N83" s="652"/>
      <c r="O83" s="652"/>
      <c r="P83" s="652"/>
      <c r="Q83" s="652"/>
      <c r="R83" s="652"/>
      <c r="S83" s="652"/>
      <c r="T83" s="652"/>
      <c r="U83" s="652"/>
    </row>
    <row r="84" spans="3:21" x14ac:dyDescent="0.2">
      <c r="C84" s="773" t="s">
        <v>128</v>
      </c>
      <c r="D84" s="768" t="s">
        <v>42</v>
      </c>
      <c r="E84" s="768" t="s">
        <v>52</v>
      </c>
      <c r="F84" s="768" t="s">
        <v>53</v>
      </c>
      <c r="G84" s="768" t="s">
        <v>482</v>
      </c>
      <c r="H84" s="768" t="s">
        <v>32</v>
      </c>
      <c r="I84" s="768" t="s">
        <v>483</v>
      </c>
      <c r="J84" s="768" t="s">
        <v>20</v>
      </c>
      <c r="K84" s="768" t="s">
        <v>55</v>
      </c>
      <c r="L84" s="770" t="s">
        <v>56</v>
      </c>
      <c r="M84" s="771"/>
      <c r="N84" s="771"/>
      <c r="O84" s="771"/>
      <c r="P84" s="771"/>
      <c r="Q84" s="772"/>
      <c r="R84" s="768" t="s">
        <v>57</v>
      </c>
      <c r="S84" s="768" t="s">
        <v>58</v>
      </c>
      <c r="T84" s="768" t="s">
        <v>31</v>
      </c>
      <c r="U84" s="768" t="s">
        <v>10</v>
      </c>
    </row>
    <row r="85" spans="3:21" ht="36" x14ac:dyDescent="0.2">
      <c r="C85" s="774"/>
      <c r="D85" s="769"/>
      <c r="E85" s="769"/>
      <c r="F85" s="769"/>
      <c r="G85" s="769"/>
      <c r="H85" s="769"/>
      <c r="I85" s="769"/>
      <c r="J85" s="769"/>
      <c r="K85" s="769"/>
      <c r="L85" s="658" t="s">
        <v>335</v>
      </c>
      <c r="M85" s="658" t="s">
        <v>40</v>
      </c>
      <c r="N85" s="658" t="s">
        <v>343</v>
      </c>
      <c r="O85" s="658" t="s">
        <v>344</v>
      </c>
      <c r="P85" s="659" t="s">
        <v>345</v>
      </c>
      <c r="Q85" s="658" t="s">
        <v>346</v>
      </c>
      <c r="R85" s="769"/>
      <c r="S85" s="769"/>
      <c r="T85" s="769"/>
      <c r="U85" s="769"/>
    </row>
    <row r="86" spans="3:21" x14ac:dyDescent="0.2">
      <c r="C86" s="660" t="s">
        <v>59</v>
      </c>
      <c r="D86" s="661">
        <v>0</v>
      </c>
      <c r="E86" s="661">
        <v>9.7691999999999997</v>
      </c>
      <c r="F86" s="661">
        <v>0</v>
      </c>
      <c r="G86" s="661">
        <v>0</v>
      </c>
      <c r="H86" s="661">
        <v>0.18608000000000002</v>
      </c>
      <c r="I86" s="661">
        <v>0</v>
      </c>
      <c r="J86" s="671">
        <v>1043.3129387318213</v>
      </c>
      <c r="K86" s="671">
        <v>139.46802163523503</v>
      </c>
      <c r="L86" s="671">
        <v>211.06866225537212</v>
      </c>
      <c r="M86" s="671">
        <v>28.736127787765195</v>
      </c>
      <c r="N86" s="661">
        <v>1.2541050018668516</v>
      </c>
      <c r="O86" s="661">
        <v>0.16066538698047411</v>
      </c>
      <c r="P86" s="671">
        <v>51.691578550496644</v>
      </c>
      <c r="Q86" s="671">
        <v>7.2966333603269149</v>
      </c>
      <c r="R86" s="661">
        <v>0</v>
      </c>
      <c r="S86" s="661">
        <v>0</v>
      </c>
      <c r="T86" s="661">
        <v>0</v>
      </c>
      <c r="U86" s="672">
        <v>1492.9440127098642</v>
      </c>
    </row>
    <row r="87" spans="3:21" x14ac:dyDescent="0.2">
      <c r="C87" s="660" t="s">
        <v>60</v>
      </c>
      <c r="D87" s="661">
        <v>55.333246493755105</v>
      </c>
      <c r="E87" s="661">
        <v>462.05884439413359</v>
      </c>
      <c r="F87" s="661">
        <v>258.72843400634088</v>
      </c>
      <c r="G87" s="661">
        <v>0.4821984357974316</v>
      </c>
      <c r="H87" s="661">
        <v>373.06013444321923</v>
      </c>
      <c r="I87" s="661">
        <v>0</v>
      </c>
      <c r="J87" s="661">
        <v>0</v>
      </c>
      <c r="K87" s="661">
        <v>0</v>
      </c>
      <c r="L87" s="661">
        <v>1.7064184013992112</v>
      </c>
      <c r="M87" s="661">
        <v>0</v>
      </c>
      <c r="N87" s="661">
        <v>2.499440757084872</v>
      </c>
      <c r="O87" s="661">
        <v>0</v>
      </c>
      <c r="P87" s="661">
        <v>0</v>
      </c>
      <c r="Q87" s="661">
        <v>0</v>
      </c>
      <c r="R87" s="661">
        <v>0</v>
      </c>
      <c r="S87" s="661">
        <v>0</v>
      </c>
      <c r="T87" s="661">
        <v>0</v>
      </c>
      <c r="U87" s="672">
        <v>1153.8687169317302</v>
      </c>
    </row>
    <row r="88" spans="3:21" x14ac:dyDescent="0.2">
      <c r="C88" s="660" t="s">
        <v>61</v>
      </c>
      <c r="D88" s="661">
        <v>0</v>
      </c>
      <c r="E88" s="661">
        <v>0</v>
      </c>
      <c r="F88" s="661">
        <v>-1.2209185925395749</v>
      </c>
      <c r="G88" s="661">
        <v>0</v>
      </c>
      <c r="H88" s="661">
        <v>0</v>
      </c>
      <c r="I88" s="661">
        <v>0</v>
      </c>
      <c r="J88" s="661">
        <v>0</v>
      </c>
      <c r="K88" s="661">
        <v>0</v>
      </c>
      <c r="L88" s="661">
        <v>0</v>
      </c>
      <c r="M88" s="661">
        <v>0</v>
      </c>
      <c r="N88" s="661">
        <v>0</v>
      </c>
      <c r="O88" s="661">
        <v>0</v>
      </c>
      <c r="P88" s="661">
        <v>0</v>
      </c>
      <c r="Q88" s="661">
        <v>0</v>
      </c>
      <c r="R88" s="661">
        <v>-40.000047900912989</v>
      </c>
      <c r="S88" s="661">
        <v>0</v>
      </c>
      <c r="T88" s="661">
        <v>0</v>
      </c>
      <c r="U88" s="672">
        <v>-41.220966493452565</v>
      </c>
    </row>
    <row r="89" spans="3:21" x14ac:dyDescent="0.2">
      <c r="C89" s="660" t="s">
        <v>62</v>
      </c>
      <c r="D89" s="661">
        <v>0</v>
      </c>
      <c r="E89" s="661">
        <v>0</v>
      </c>
      <c r="F89" s="661">
        <v>-18.690118059591438</v>
      </c>
      <c r="G89" s="661">
        <v>0</v>
      </c>
      <c r="H89" s="661">
        <v>-0.63746853416095417</v>
      </c>
      <c r="I89" s="661">
        <v>0</v>
      </c>
      <c r="J89" s="661">
        <v>0</v>
      </c>
      <c r="K89" s="661">
        <v>0</v>
      </c>
      <c r="L89" s="661">
        <v>0</v>
      </c>
      <c r="M89" s="661">
        <v>0</v>
      </c>
      <c r="N89" s="661">
        <v>-0.21915172379020703</v>
      </c>
      <c r="O89" s="661">
        <v>-1.9986637209666883E-2</v>
      </c>
      <c r="P89" s="661">
        <v>0</v>
      </c>
      <c r="Q89" s="661">
        <v>0</v>
      </c>
      <c r="R89" s="661">
        <v>0</v>
      </c>
      <c r="S89" s="661">
        <v>0</v>
      </c>
      <c r="T89" s="661">
        <v>0</v>
      </c>
      <c r="U89" s="672">
        <v>-19.566724954752267</v>
      </c>
    </row>
    <row r="90" spans="3:21" x14ac:dyDescent="0.2">
      <c r="C90" s="660" t="s">
        <v>63</v>
      </c>
      <c r="D90" s="661">
        <v>0</v>
      </c>
      <c r="E90" s="661">
        <v>0</v>
      </c>
      <c r="F90" s="661">
        <v>-61.207306845856941</v>
      </c>
      <c r="G90" s="661">
        <v>-2.3572892961241775E-2</v>
      </c>
      <c r="H90" s="661">
        <v>0</v>
      </c>
      <c r="I90" s="661">
        <v>0</v>
      </c>
      <c r="J90" s="661">
        <v>0</v>
      </c>
      <c r="K90" s="661">
        <v>0</v>
      </c>
      <c r="L90" s="661">
        <v>0</v>
      </c>
      <c r="M90" s="661">
        <v>0</v>
      </c>
      <c r="N90" s="661">
        <v>-0.99044454483745525</v>
      </c>
      <c r="O90" s="661">
        <v>0</v>
      </c>
      <c r="P90" s="661">
        <v>0</v>
      </c>
      <c r="Q90" s="661">
        <v>0</v>
      </c>
      <c r="R90" s="661">
        <v>0</v>
      </c>
      <c r="S90" s="661">
        <v>0</v>
      </c>
      <c r="T90" s="661">
        <v>0</v>
      </c>
      <c r="U90" s="672">
        <v>-62.221324283655633</v>
      </c>
    </row>
    <row r="91" spans="3:21" x14ac:dyDescent="0.2">
      <c r="C91" s="660" t="s">
        <v>64</v>
      </c>
      <c r="D91" s="661">
        <v>9.7684723496666986E-2</v>
      </c>
      <c r="E91" s="661">
        <v>-5.9567697000000003E-2</v>
      </c>
      <c r="F91" s="661">
        <v>3.8766666666666671E-2</v>
      </c>
      <c r="G91" s="661">
        <v>0</v>
      </c>
      <c r="H91" s="661">
        <v>0</v>
      </c>
      <c r="I91" s="661">
        <v>0</v>
      </c>
      <c r="J91" s="661">
        <v>0</v>
      </c>
      <c r="K91" s="661">
        <v>0</v>
      </c>
      <c r="L91" s="661">
        <v>0</v>
      </c>
      <c r="M91" s="661">
        <v>0</v>
      </c>
      <c r="N91" s="661">
        <v>0</v>
      </c>
      <c r="O91" s="661">
        <v>0</v>
      </c>
      <c r="P91" s="661">
        <v>0</v>
      </c>
      <c r="Q91" s="661">
        <v>0</v>
      </c>
      <c r="R91" s="661">
        <v>0</v>
      </c>
      <c r="S91" s="661">
        <v>0</v>
      </c>
      <c r="T91" s="661">
        <v>0</v>
      </c>
      <c r="U91" s="672">
        <v>7.6883693163333655E-2</v>
      </c>
    </row>
    <row r="92" spans="3:21" x14ac:dyDescent="0.2">
      <c r="C92" s="664" t="s">
        <v>65</v>
      </c>
      <c r="D92" s="673">
        <v>55.430931217251775</v>
      </c>
      <c r="E92" s="673">
        <v>471.76847669713356</v>
      </c>
      <c r="F92" s="673">
        <v>177.64885717501963</v>
      </c>
      <c r="G92" s="665">
        <v>0.45862554283618984</v>
      </c>
      <c r="H92" s="673">
        <v>372.60874590905826</v>
      </c>
      <c r="I92" s="665">
        <v>0</v>
      </c>
      <c r="J92" s="673">
        <v>1043.3129387318213</v>
      </c>
      <c r="K92" s="673">
        <v>139.46802163523503</v>
      </c>
      <c r="L92" s="673">
        <v>212.77508065677134</v>
      </c>
      <c r="M92" s="673">
        <v>28.736127787765195</v>
      </c>
      <c r="N92" s="673">
        <v>2.5439494903240614</v>
      </c>
      <c r="O92" s="673">
        <v>0.14067874977080724</v>
      </c>
      <c r="P92" s="673">
        <v>51.691578550496644</v>
      </c>
      <c r="Q92" s="673">
        <v>7.2966333603269149</v>
      </c>
      <c r="R92" s="673">
        <v>-40.000047900912989</v>
      </c>
      <c r="S92" s="673">
        <v>0</v>
      </c>
      <c r="T92" s="673">
        <v>0</v>
      </c>
      <c r="U92" s="673">
        <v>2523.8805976028971</v>
      </c>
    </row>
    <row r="93" spans="3:21" x14ac:dyDescent="0.2">
      <c r="C93" s="666"/>
      <c r="D93" s="674">
        <v>0</v>
      </c>
      <c r="E93" s="674">
        <v>0</v>
      </c>
      <c r="F93" s="674">
        <v>0</v>
      </c>
      <c r="G93" s="667">
        <v>0</v>
      </c>
      <c r="H93" s="674">
        <v>0</v>
      </c>
      <c r="I93" s="667">
        <v>0</v>
      </c>
      <c r="J93" s="674">
        <v>0</v>
      </c>
      <c r="K93" s="674">
        <v>0</v>
      </c>
      <c r="L93" s="674">
        <v>0</v>
      </c>
      <c r="M93" s="674">
        <v>0</v>
      </c>
      <c r="N93" s="674">
        <v>0</v>
      </c>
      <c r="O93" s="674">
        <v>0</v>
      </c>
      <c r="P93" s="674">
        <v>0</v>
      </c>
      <c r="Q93" s="674">
        <v>0</v>
      </c>
      <c r="R93" s="674">
        <v>0</v>
      </c>
      <c r="S93" s="674">
        <v>0</v>
      </c>
      <c r="T93" s="674">
        <v>0</v>
      </c>
      <c r="U93" s="674">
        <v>0</v>
      </c>
    </row>
    <row r="94" spans="3:21" x14ac:dyDescent="0.2">
      <c r="C94" s="668" t="s">
        <v>67</v>
      </c>
      <c r="D94" s="661">
        <v>0</v>
      </c>
      <c r="E94" s="661">
        <v>4.3623690669338813E-2</v>
      </c>
      <c r="F94" s="661">
        <v>-0.43976848620269193</v>
      </c>
      <c r="G94" s="661">
        <v>0</v>
      </c>
      <c r="H94" s="661">
        <v>0</v>
      </c>
      <c r="I94" s="661">
        <v>0</v>
      </c>
      <c r="J94" s="661">
        <v>0</v>
      </c>
      <c r="K94" s="661">
        <v>0</v>
      </c>
      <c r="L94" s="661">
        <v>0</v>
      </c>
      <c r="M94" s="661">
        <v>0</v>
      </c>
      <c r="N94" s="661">
        <v>0</v>
      </c>
      <c r="O94" s="661">
        <v>0</v>
      </c>
      <c r="P94" s="661">
        <v>0</v>
      </c>
      <c r="Q94" s="661">
        <v>0</v>
      </c>
      <c r="R94" s="661">
        <v>0.19176325930063415</v>
      </c>
      <c r="S94" s="661">
        <v>0</v>
      </c>
      <c r="T94" s="661">
        <v>0</v>
      </c>
      <c r="U94" s="669">
        <v>-0.20438153623271899</v>
      </c>
    </row>
    <row r="95" spans="3:21" x14ac:dyDescent="0.2">
      <c r="C95" s="668" t="s">
        <v>347</v>
      </c>
      <c r="D95" s="661">
        <v>6.8358128316613413</v>
      </c>
      <c r="E95" s="661">
        <v>0</v>
      </c>
      <c r="F95" s="661">
        <v>8.9139035435547633</v>
      </c>
      <c r="G95" s="661">
        <v>0</v>
      </c>
      <c r="H95" s="661">
        <v>46.194007450119869</v>
      </c>
      <c r="I95" s="661">
        <v>0</v>
      </c>
      <c r="J95" s="661">
        <v>1043.3129387318213</v>
      </c>
      <c r="K95" s="661">
        <v>139.46802163523503</v>
      </c>
      <c r="L95" s="661">
        <v>35.526476644989941</v>
      </c>
      <c r="M95" s="661">
        <v>11.593699313859108</v>
      </c>
      <c r="N95" s="661">
        <v>3.7008210788065874</v>
      </c>
      <c r="O95" s="661">
        <v>5.9385856639344583</v>
      </c>
      <c r="P95" s="661">
        <v>0</v>
      </c>
      <c r="Q95" s="661">
        <v>0.58332819125492874</v>
      </c>
      <c r="R95" s="661">
        <v>-531.7873108565858</v>
      </c>
      <c r="S95" s="661">
        <v>0</v>
      </c>
      <c r="T95" s="661">
        <v>0</v>
      </c>
      <c r="U95" s="669">
        <v>770.28028422865157</v>
      </c>
    </row>
    <row r="96" spans="3:21" x14ac:dyDescent="0.2">
      <c r="C96" s="668" t="s">
        <v>348</v>
      </c>
      <c r="D96" s="661">
        <v>0.51386910718324508</v>
      </c>
      <c r="E96" s="661">
        <v>0</v>
      </c>
      <c r="F96" s="661">
        <v>7.6404494382022473E-2</v>
      </c>
      <c r="G96" s="661">
        <v>0</v>
      </c>
      <c r="H96" s="661">
        <v>18.437939298309416</v>
      </c>
      <c r="I96" s="661">
        <v>0</v>
      </c>
      <c r="J96" s="661">
        <v>0</v>
      </c>
      <c r="K96" s="661">
        <v>0</v>
      </c>
      <c r="L96" s="661">
        <v>21.79805888469869</v>
      </c>
      <c r="M96" s="661">
        <v>14.969732959042592</v>
      </c>
      <c r="N96" s="661">
        <v>0</v>
      </c>
      <c r="O96" s="661">
        <v>3.0216984697001137</v>
      </c>
      <c r="P96" s="661">
        <v>0</v>
      </c>
      <c r="Q96" s="661">
        <v>4.3023879699163166</v>
      </c>
      <c r="R96" s="661">
        <v>0</v>
      </c>
      <c r="S96" s="661">
        <v>-56.500241406713869</v>
      </c>
      <c r="T96" s="661">
        <v>0</v>
      </c>
      <c r="U96" s="669">
        <v>6.61984977651852</v>
      </c>
    </row>
    <row r="97" spans="3:21" x14ac:dyDescent="0.2">
      <c r="C97" s="668" t="s">
        <v>349</v>
      </c>
      <c r="D97" s="661">
        <v>0</v>
      </c>
      <c r="E97" s="661">
        <v>0</v>
      </c>
      <c r="F97" s="661">
        <v>0</v>
      </c>
      <c r="G97" s="661">
        <v>0</v>
      </c>
      <c r="H97" s="661">
        <v>0</v>
      </c>
      <c r="I97" s="661">
        <v>0</v>
      </c>
      <c r="J97" s="661">
        <v>0</v>
      </c>
      <c r="K97" s="661">
        <v>0</v>
      </c>
      <c r="L97" s="661">
        <v>19.833176023115492</v>
      </c>
      <c r="M97" s="661">
        <v>0</v>
      </c>
      <c r="N97" s="661">
        <v>0</v>
      </c>
      <c r="O97" s="661">
        <v>-18.442786110782258</v>
      </c>
      <c r="P97" s="661">
        <v>0</v>
      </c>
      <c r="Q97" s="661">
        <v>0</v>
      </c>
      <c r="R97" s="661">
        <v>0</v>
      </c>
      <c r="S97" s="661">
        <v>0</v>
      </c>
      <c r="T97" s="661">
        <v>0</v>
      </c>
      <c r="U97" s="669">
        <v>1.3903899123332337</v>
      </c>
    </row>
    <row r="98" spans="3:21" x14ac:dyDescent="0.2">
      <c r="C98" s="668" t="s">
        <v>350</v>
      </c>
      <c r="D98" s="661">
        <v>0</v>
      </c>
      <c r="E98" s="661">
        <v>0</v>
      </c>
      <c r="F98" s="661">
        <v>0</v>
      </c>
      <c r="G98" s="661">
        <v>0</v>
      </c>
      <c r="H98" s="661">
        <v>0</v>
      </c>
      <c r="I98" s="661">
        <v>0</v>
      </c>
      <c r="J98" s="661">
        <v>0</v>
      </c>
      <c r="K98" s="661">
        <v>0</v>
      </c>
      <c r="L98" s="661">
        <v>0</v>
      </c>
      <c r="M98" s="661">
        <v>0</v>
      </c>
      <c r="N98" s="661">
        <v>0</v>
      </c>
      <c r="O98" s="661">
        <v>0</v>
      </c>
      <c r="P98" s="661">
        <v>0</v>
      </c>
      <c r="Q98" s="661">
        <v>0</v>
      </c>
      <c r="R98" s="661">
        <v>0</v>
      </c>
      <c r="S98" s="661">
        <v>0</v>
      </c>
      <c r="T98" s="661">
        <v>0</v>
      </c>
      <c r="U98" s="669">
        <v>0</v>
      </c>
    </row>
    <row r="99" spans="3:21" x14ac:dyDescent="0.2">
      <c r="C99" s="668" t="s">
        <v>72</v>
      </c>
      <c r="D99" s="661">
        <v>0</v>
      </c>
      <c r="E99" s="661">
        <v>488.94348991796431</v>
      </c>
      <c r="F99" s="661">
        <v>-484.0817118369651</v>
      </c>
      <c r="G99" s="661">
        <v>0</v>
      </c>
      <c r="H99" s="661">
        <v>0</v>
      </c>
      <c r="I99" s="661">
        <v>0</v>
      </c>
      <c r="J99" s="661">
        <v>0</v>
      </c>
      <c r="K99" s="661">
        <v>0</v>
      </c>
      <c r="L99" s="661">
        <v>0</v>
      </c>
      <c r="M99" s="661">
        <v>0</v>
      </c>
      <c r="N99" s="661">
        <v>0</v>
      </c>
      <c r="O99" s="661">
        <v>0</v>
      </c>
      <c r="P99" s="661">
        <v>0</v>
      </c>
      <c r="Q99" s="661">
        <v>0</v>
      </c>
      <c r="R99" s="661">
        <v>0</v>
      </c>
      <c r="S99" s="661">
        <v>0</v>
      </c>
      <c r="T99" s="661">
        <v>0</v>
      </c>
      <c r="U99" s="669">
        <v>4.8617780809992377</v>
      </c>
    </row>
    <row r="100" spans="3:21" x14ac:dyDescent="0.2">
      <c r="C100" s="668" t="s">
        <v>351</v>
      </c>
      <c r="D100" s="661">
        <v>0</v>
      </c>
      <c r="E100" s="661">
        <v>0</v>
      </c>
      <c r="F100" s="661">
        <v>0</v>
      </c>
      <c r="G100" s="661">
        <v>0</v>
      </c>
      <c r="H100" s="661">
        <v>0</v>
      </c>
      <c r="I100" s="661">
        <v>0</v>
      </c>
      <c r="J100" s="661">
        <v>0</v>
      </c>
      <c r="K100" s="661">
        <v>0</v>
      </c>
      <c r="L100" s="661">
        <v>46.704417237442101</v>
      </c>
      <c r="M100" s="661">
        <v>0</v>
      </c>
      <c r="N100" s="661">
        <v>-46.704417237442101</v>
      </c>
      <c r="O100" s="661">
        <v>0</v>
      </c>
      <c r="P100" s="661">
        <v>0</v>
      </c>
      <c r="Q100" s="661">
        <v>0</v>
      </c>
      <c r="R100" s="661">
        <v>0</v>
      </c>
      <c r="S100" s="661">
        <v>0</v>
      </c>
      <c r="T100" s="661">
        <v>0</v>
      </c>
      <c r="U100" s="669">
        <v>0</v>
      </c>
    </row>
    <row r="101" spans="3:21" x14ac:dyDescent="0.2">
      <c r="C101" s="668" t="s">
        <v>352</v>
      </c>
      <c r="D101" s="661">
        <v>0</v>
      </c>
      <c r="E101" s="661">
        <v>0</v>
      </c>
      <c r="F101" s="661">
        <v>0</v>
      </c>
      <c r="G101" s="661">
        <v>-4.2859805384075952E-2</v>
      </c>
      <c r="H101" s="661">
        <v>0</v>
      </c>
      <c r="I101" s="661">
        <v>0</v>
      </c>
      <c r="J101" s="661">
        <v>0</v>
      </c>
      <c r="K101" s="661">
        <v>0</v>
      </c>
      <c r="L101" s="661">
        <v>0</v>
      </c>
      <c r="M101" s="661">
        <v>0</v>
      </c>
      <c r="N101" s="661">
        <v>0</v>
      </c>
      <c r="O101" s="661">
        <v>0</v>
      </c>
      <c r="P101" s="661">
        <v>0</v>
      </c>
      <c r="Q101" s="661">
        <v>0</v>
      </c>
      <c r="R101" s="661">
        <v>0</v>
      </c>
      <c r="S101" s="661">
        <v>0</v>
      </c>
      <c r="T101" s="661">
        <v>5.969332226194423E-2</v>
      </c>
      <c r="U101" s="669">
        <v>1.6833516877868278E-2</v>
      </c>
    </row>
    <row r="102" spans="3:21" x14ac:dyDescent="0.2">
      <c r="C102" s="668" t="s">
        <v>73</v>
      </c>
      <c r="D102" s="661">
        <v>0</v>
      </c>
      <c r="E102" s="661">
        <v>0</v>
      </c>
      <c r="F102" s="661">
        <v>0</v>
      </c>
      <c r="G102" s="661">
        <v>0</v>
      </c>
      <c r="H102" s="661">
        <v>0</v>
      </c>
      <c r="I102" s="661">
        <v>0</v>
      </c>
      <c r="J102" s="661">
        <v>0</v>
      </c>
      <c r="K102" s="661">
        <v>0</v>
      </c>
      <c r="L102" s="661">
        <v>0</v>
      </c>
      <c r="M102" s="661">
        <v>0</v>
      </c>
      <c r="N102" s="661">
        <v>0</v>
      </c>
      <c r="O102" s="661">
        <v>0</v>
      </c>
      <c r="P102" s="661">
        <v>0</v>
      </c>
      <c r="Q102" s="661">
        <v>0</v>
      </c>
      <c r="R102" s="661">
        <v>3.2419807733491699</v>
      </c>
      <c r="S102" s="661">
        <v>0</v>
      </c>
      <c r="T102" s="661">
        <v>-2.1072875026769604</v>
      </c>
      <c r="U102" s="669">
        <v>1.1346932706722095</v>
      </c>
    </row>
    <row r="103" spans="3:21" x14ac:dyDescent="0.2">
      <c r="C103" s="668" t="s">
        <v>353</v>
      </c>
      <c r="D103" s="661">
        <v>29.6567859375</v>
      </c>
      <c r="E103" s="661">
        <v>-17.218594005820741</v>
      </c>
      <c r="F103" s="661">
        <v>22.383724171942411</v>
      </c>
      <c r="G103" s="661">
        <v>0</v>
      </c>
      <c r="H103" s="661">
        <v>0</v>
      </c>
      <c r="I103" s="661">
        <v>0</v>
      </c>
      <c r="J103" s="661">
        <v>0</v>
      </c>
      <c r="K103" s="661">
        <v>0</v>
      </c>
      <c r="L103" s="661">
        <v>0</v>
      </c>
      <c r="M103" s="661">
        <v>0</v>
      </c>
      <c r="N103" s="661">
        <v>0</v>
      </c>
      <c r="O103" s="661">
        <v>0</v>
      </c>
      <c r="P103" s="661">
        <v>0</v>
      </c>
      <c r="Q103" s="661">
        <v>0</v>
      </c>
      <c r="R103" s="661">
        <v>0</v>
      </c>
      <c r="S103" s="661">
        <v>0</v>
      </c>
      <c r="T103" s="661">
        <v>0</v>
      </c>
      <c r="U103" s="669">
        <v>34.821916103621675</v>
      </c>
    </row>
    <row r="104" spans="3:21" x14ac:dyDescent="0.2">
      <c r="C104" s="668" t="s">
        <v>75</v>
      </c>
      <c r="D104" s="661">
        <v>11.533194531250002</v>
      </c>
      <c r="E104" s="661">
        <v>0</v>
      </c>
      <c r="F104" s="661">
        <v>18.315545038272333</v>
      </c>
      <c r="G104" s="661">
        <v>0</v>
      </c>
      <c r="H104" s="661">
        <v>5.0521769918695103</v>
      </c>
      <c r="I104" s="661">
        <v>0</v>
      </c>
      <c r="J104" s="661">
        <v>0</v>
      </c>
      <c r="K104" s="661">
        <v>0</v>
      </c>
      <c r="L104" s="661">
        <v>0</v>
      </c>
      <c r="M104" s="661">
        <v>0</v>
      </c>
      <c r="N104" s="661">
        <v>0</v>
      </c>
      <c r="O104" s="661">
        <v>0.15840158885399455</v>
      </c>
      <c r="P104" s="661">
        <v>0</v>
      </c>
      <c r="Q104" s="661">
        <v>0</v>
      </c>
      <c r="R104" s="661">
        <v>27.195483907152681</v>
      </c>
      <c r="S104" s="661">
        <v>0</v>
      </c>
      <c r="T104" s="661">
        <v>0</v>
      </c>
      <c r="U104" s="669">
        <v>62.254802057398521</v>
      </c>
    </row>
    <row r="105" spans="3:21" x14ac:dyDescent="0.2">
      <c r="C105" s="668" t="s">
        <v>76</v>
      </c>
      <c r="D105" s="661">
        <v>0</v>
      </c>
      <c r="E105" s="661">
        <v>0</v>
      </c>
      <c r="F105" s="661">
        <v>0</v>
      </c>
      <c r="G105" s="661">
        <v>0</v>
      </c>
      <c r="H105" s="661">
        <v>4.3636192718547369</v>
      </c>
      <c r="I105" s="661">
        <v>0</v>
      </c>
      <c r="J105" s="661">
        <v>0</v>
      </c>
      <c r="K105" s="661">
        <v>0</v>
      </c>
      <c r="L105" s="661">
        <v>0</v>
      </c>
      <c r="M105" s="661">
        <v>0</v>
      </c>
      <c r="N105" s="661">
        <v>0</v>
      </c>
      <c r="O105" s="661">
        <v>0.13681314548719473</v>
      </c>
      <c r="P105" s="661">
        <v>0</v>
      </c>
      <c r="Q105" s="661">
        <v>0</v>
      </c>
      <c r="R105" s="661">
        <v>37.672439817680754</v>
      </c>
      <c r="S105" s="661">
        <v>4.3810396487584971</v>
      </c>
      <c r="T105" s="661">
        <v>0</v>
      </c>
      <c r="U105" s="669">
        <v>46.553911883781183</v>
      </c>
    </row>
    <row r="106" spans="3:21" x14ac:dyDescent="0.2">
      <c r="C106" s="664" t="s">
        <v>77</v>
      </c>
      <c r="D106" s="673">
        <v>48.539662407594591</v>
      </c>
      <c r="E106" s="673">
        <v>471.76851960281289</v>
      </c>
      <c r="F106" s="673">
        <v>-434.83190307501627</v>
      </c>
      <c r="G106" s="665">
        <v>-4.2859805384075952E-2</v>
      </c>
      <c r="H106" s="673">
        <v>74.047743012153532</v>
      </c>
      <c r="I106" s="665">
        <v>0</v>
      </c>
      <c r="J106" s="673">
        <v>1043.3129387318213</v>
      </c>
      <c r="K106" s="673">
        <v>139.46802163523503</v>
      </c>
      <c r="L106" s="673">
        <v>123.86212879024622</v>
      </c>
      <c r="M106" s="673">
        <v>26.5634322729017</v>
      </c>
      <c r="N106" s="673">
        <v>-43.003596158635517</v>
      </c>
      <c r="O106" s="673">
        <v>-9.187287242806498</v>
      </c>
      <c r="P106" s="673">
        <v>0</v>
      </c>
      <c r="Q106" s="673">
        <v>4.8857161611712456</v>
      </c>
      <c r="R106" s="673">
        <v>-463.48564309910262</v>
      </c>
      <c r="S106" s="673">
        <v>-52.119201757955373</v>
      </c>
      <c r="T106" s="673">
        <v>-2.0475941804150164</v>
      </c>
      <c r="U106" s="673">
        <v>927.7300772946212</v>
      </c>
    </row>
    <row r="107" spans="3:21" x14ac:dyDescent="0.2">
      <c r="C107" s="666"/>
      <c r="D107" s="674">
        <v>0</v>
      </c>
      <c r="E107" s="674">
        <v>0</v>
      </c>
      <c r="F107" s="674">
        <v>0</v>
      </c>
      <c r="G107" s="667">
        <v>0</v>
      </c>
      <c r="H107" s="674">
        <v>0</v>
      </c>
      <c r="I107" s="667">
        <v>0</v>
      </c>
      <c r="J107" s="674">
        <v>0</v>
      </c>
      <c r="K107" s="674">
        <v>0</v>
      </c>
      <c r="L107" s="674">
        <v>0</v>
      </c>
      <c r="M107" s="674">
        <v>0</v>
      </c>
      <c r="N107" s="674">
        <v>0</v>
      </c>
      <c r="O107" s="674">
        <v>0</v>
      </c>
      <c r="P107" s="674">
        <v>0</v>
      </c>
      <c r="Q107" s="674">
        <v>0</v>
      </c>
      <c r="R107" s="674">
        <v>0</v>
      </c>
      <c r="S107" s="674">
        <v>0</v>
      </c>
      <c r="T107" s="674">
        <v>0</v>
      </c>
      <c r="U107" s="674">
        <v>0</v>
      </c>
    </row>
    <row r="108" spans="3:21" x14ac:dyDescent="0.2">
      <c r="C108" s="668" t="s">
        <v>78</v>
      </c>
      <c r="D108" s="661">
        <v>6.8912688096571859</v>
      </c>
      <c r="E108" s="661">
        <v>0</v>
      </c>
      <c r="F108" s="661">
        <v>23.50730673118812</v>
      </c>
      <c r="G108" s="661">
        <v>0</v>
      </c>
      <c r="H108" s="661">
        <v>103.6322985075271</v>
      </c>
      <c r="I108" s="661">
        <v>0</v>
      </c>
      <c r="J108" s="661">
        <v>0</v>
      </c>
      <c r="K108" s="661">
        <v>0</v>
      </c>
      <c r="L108" s="661">
        <v>17.934528794531492</v>
      </c>
      <c r="M108" s="661">
        <v>2.162623383313536</v>
      </c>
      <c r="N108" s="661">
        <v>0.76389416015625011</v>
      </c>
      <c r="O108" s="661">
        <v>3.2712996519108821</v>
      </c>
      <c r="P108" s="661">
        <v>1.2785699462890625</v>
      </c>
      <c r="Q108" s="661">
        <v>4.5058902280570805E-4</v>
      </c>
      <c r="R108" s="661">
        <v>115.58056111877757</v>
      </c>
      <c r="S108" s="661">
        <v>17.85711360509158</v>
      </c>
      <c r="T108" s="661">
        <v>0.15803289794921874</v>
      </c>
      <c r="U108" s="669">
        <v>293.03794819541474</v>
      </c>
    </row>
    <row r="109" spans="3:21" x14ac:dyDescent="0.2">
      <c r="C109" s="668" t="s">
        <v>79</v>
      </c>
      <c r="D109" s="661">
        <v>0</v>
      </c>
      <c r="E109" s="661">
        <v>0</v>
      </c>
      <c r="F109" s="661">
        <v>390.39286283251352</v>
      </c>
      <c r="G109" s="661">
        <v>0</v>
      </c>
      <c r="H109" s="661">
        <v>3.1281168846544798</v>
      </c>
      <c r="I109" s="661">
        <v>0</v>
      </c>
      <c r="J109" s="661">
        <v>0</v>
      </c>
      <c r="K109" s="661">
        <v>0</v>
      </c>
      <c r="L109" s="661">
        <v>0</v>
      </c>
      <c r="M109" s="661">
        <v>0</v>
      </c>
      <c r="N109" s="661">
        <v>38.392031856976942</v>
      </c>
      <c r="O109" s="661">
        <v>9.8076271961114056E-2</v>
      </c>
      <c r="P109" s="661">
        <v>0</v>
      </c>
      <c r="Q109" s="661">
        <v>0</v>
      </c>
      <c r="R109" s="661">
        <v>12.839790522362275</v>
      </c>
      <c r="S109" s="661">
        <v>0</v>
      </c>
      <c r="T109" s="661">
        <v>1.404547929789267E-5</v>
      </c>
      <c r="U109" s="669">
        <v>444.85089241394763</v>
      </c>
    </row>
    <row r="110" spans="3:21" x14ac:dyDescent="0.2">
      <c r="C110" s="668" t="s">
        <v>80</v>
      </c>
      <c r="D110" s="661">
        <v>0</v>
      </c>
      <c r="E110" s="661">
        <v>0</v>
      </c>
      <c r="F110" s="661">
        <v>18.209722356615</v>
      </c>
      <c r="G110" s="661">
        <v>0</v>
      </c>
      <c r="H110" s="661">
        <v>121.89469525503438</v>
      </c>
      <c r="I110" s="661">
        <v>0</v>
      </c>
      <c r="J110" s="661">
        <v>0</v>
      </c>
      <c r="K110" s="661">
        <v>0</v>
      </c>
      <c r="L110" s="661">
        <v>69.673112957297619</v>
      </c>
      <c r="M110" s="661">
        <v>0</v>
      </c>
      <c r="N110" s="661">
        <v>0</v>
      </c>
      <c r="O110" s="661">
        <v>3.8217808743327613</v>
      </c>
      <c r="P110" s="661">
        <v>41.524804077007047</v>
      </c>
      <c r="Q110" s="661">
        <v>1.3186709338752973</v>
      </c>
      <c r="R110" s="661">
        <v>166.70645822540385</v>
      </c>
      <c r="S110" s="661">
        <v>23.041532520535192</v>
      </c>
      <c r="T110" s="661">
        <v>0</v>
      </c>
      <c r="U110" s="669">
        <v>446.19077720010119</v>
      </c>
    </row>
    <row r="111" spans="3:21" x14ac:dyDescent="0.2">
      <c r="C111" s="668" t="s">
        <v>81</v>
      </c>
      <c r="D111" s="661">
        <v>0</v>
      </c>
      <c r="E111" s="661">
        <v>0</v>
      </c>
      <c r="F111" s="661">
        <v>22.047417711617395</v>
      </c>
      <c r="G111" s="661">
        <v>0</v>
      </c>
      <c r="H111" s="661">
        <v>55.474573851605541</v>
      </c>
      <c r="I111" s="661">
        <v>0</v>
      </c>
      <c r="J111" s="661">
        <v>0</v>
      </c>
      <c r="K111" s="661">
        <v>0</v>
      </c>
      <c r="L111" s="661">
        <v>0.2600018184764662</v>
      </c>
      <c r="M111" s="661">
        <v>1.0072131549959035E-2</v>
      </c>
      <c r="N111" s="661">
        <v>0</v>
      </c>
      <c r="O111" s="661">
        <v>1.7393018204298767</v>
      </c>
      <c r="P111" s="661">
        <v>8.7382045272005371</v>
      </c>
      <c r="Q111" s="661">
        <v>0.83694366645922857</v>
      </c>
      <c r="R111" s="661">
        <v>120.24688741623336</v>
      </c>
      <c r="S111" s="661">
        <v>11.220555632328594</v>
      </c>
      <c r="T111" s="661">
        <v>0</v>
      </c>
      <c r="U111" s="669">
        <v>220.57395857590095</v>
      </c>
    </row>
    <row r="112" spans="3:21" x14ac:dyDescent="0.2">
      <c r="C112" s="668" t="s">
        <v>82</v>
      </c>
      <c r="D112" s="661">
        <v>0</v>
      </c>
      <c r="E112" s="661">
        <v>0</v>
      </c>
      <c r="F112" s="661">
        <v>32.350878858910924</v>
      </c>
      <c r="G112" s="661">
        <v>0</v>
      </c>
      <c r="H112" s="661">
        <v>2.5949331244793301</v>
      </c>
      <c r="I112" s="661">
        <v>0</v>
      </c>
      <c r="J112" s="661">
        <v>0</v>
      </c>
      <c r="K112" s="661">
        <v>0</v>
      </c>
      <c r="L112" s="661">
        <v>1.0052852655560149</v>
      </c>
      <c r="M112" s="661">
        <v>0</v>
      </c>
      <c r="N112" s="661">
        <v>2.4838975032538144</v>
      </c>
      <c r="O112" s="661">
        <v>8.1359289381365135E-2</v>
      </c>
      <c r="P112" s="661">
        <v>0.15</v>
      </c>
      <c r="Q112" s="661">
        <v>0.25485200979833694</v>
      </c>
      <c r="R112" s="661">
        <v>8.1118979154125785</v>
      </c>
      <c r="S112" s="661">
        <v>0</v>
      </c>
      <c r="T112" s="661">
        <v>5.2098714141513347E-2</v>
      </c>
      <c r="U112" s="669">
        <v>47.085202680933875</v>
      </c>
    </row>
    <row r="113" spans="3:21" x14ac:dyDescent="0.2">
      <c r="C113" s="668" t="s">
        <v>354</v>
      </c>
      <c r="D113" s="661">
        <v>0</v>
      </c>
      <c r="E113" s="661">
        <v>0</v>
      </c>
      <c r="F113" s="661">
        <v>0</v>
      </c>
      <c r="G113" s="661">
        <v>0</v>
      </c>
      <c r="H113" s="661">
        <v>0</v>
      </c>
      <c r="I113" s="661">
        <v>0</v>
      </c>
      <c r="J113" s="661">
        <v>0</v>
      </c>
      <c r="K113" s="661">
        <v>0</v>
      </c>
      <c r="L113" s="661">
        <v>0</v>
      </c>
      <c r="M113" s="661">
        <v>0</v>
      </c>
      <c r="N113" s="661">
        <v>0</v>
      </c>
      <c r="O113" s="661">
        <v>0</v>
      </c>
      <c r="P113" s="661">
        <v>0</v>
      </c>
      <c r="Q113" s="661">
        <v>0</v>
      </c>
      <c r="R113" s="661">
        <v>0</v>
      </c>
      <c r="S113" s="661">
        <v>0</v>
      </c>
      <c r="T113" s="661">
        <v>0</v>
      </c>
      <c r="U113" s="669">
        <v>0</v>
      </c>
    </row>
    <row r="114" spans="3:21" x14ac:dyDescent="0.2">
      <c r="C114" s="664" t="s">
        <v>83</v>
      </c>
      <c r="D114" s="673">
        <v>6.8912688096571859</v>
      </c>
      <c r="E114" s="673">
        <v>0</v>
      </c>
      <c r="F114" s="673">
        <v>486.50818849084493</v>
      </c>
      <c r="G114" s="665">
        <v>0</v>
      </c>
      <c r="H114" s="673">
        <v>286.72461762330084</v>
      </c>
      <c r="I114" s="665">
        <v>0</v>
      </c>
      <c r="J114" s="673">
        <v>0</v>
      </c>
      <c r="K114" s="673">
        <v>0</v>
      </c>
      <c r="L114" s="673">
        <v>88.872928835861586</v>
      </c>
      <c r="M114" s="673">
        <v>2.172695514863495</v>
      </c>
      <c r="N114" s="673">
        <v>41.639823520387004</v>
      </c>
      <c r="O114" s="673">
        <v>9.0118179080160008</v>
      </c>
      <c r="P114" s="673">
        <v>51.691578550496644</v>
      </c>
      <c r="Q114" s="673">
        <v>2.4109171991556684</v>
      </c>
      <c r="R114" s="673">
        <v>423.48559519818957</v>
      </c>
      <c r="S114" s="673">
        <v>52.119201757955373</v>
      </c>
      <c r="T114" s="673">
        <v>0.21014565757002998</v>
      </c>
      <c r="U114" s="673">
        <v>1451.7387790662985</v>
      </c>
    </row>
    <row r="115" spans="3:21" x14ac:dyDescent="0.2">
      <c r="C115" s="660" t="s">
        <v>84</v>
      </c>
      <c r="D115" s="661">
        <v>0</v>
      </c>
      <c r="E115" s="661">
        <v>0</v>
      </c>
      <c r="F115" s="661">
        <v>125.97254812972785</v>
      </c>
      <c r="G115" s="661">
        <v>0.5014853482202658</v>
      </c>
      <c r="H115" s="661">
        <v>11.836385273603906</v>
      </c>
      <c r="I115" s="661">
        <v>0</v>
      </c>
      <c r="J115" s="661">
        <v>0</v>
      </c>
      <c r="K115" s="661">
        <v>0</v>
      </c>
      <c r="L115" s="661">
        <v>4.0023030663522148E-2</v>
      </c>
      <c r="M115" s="661">
        <v>0</v>
      </c>
      <c r="N115" s="661">
        <v>3.907722128572543</v>
      </c>
      <c r="O115" s="661">
        <v>0.3161480845613035</v>
      </c>
      <c r="P115" s="661">
        <v>0</v>
      </c>
      <c r="Q115" s="661">
        <v>0</v>
      </c>
      <c r="R115" s="661">
        <v>0</v>
      </c>
      <c r="S115" s="661">
        <v>0</v>
      </c>
      <c r="T115" s="661">
        <v>1.8374485228449866</v>
      </c>
      <c r="U115" s="669">
        <v>144.41176051819437</v>
      </c>
    </row>
    <row r="116" spans="3:21" x14ac:dyDescent="0.2">
      <c r="C116" s="664" t="s">
        <v>85</v>
      </c>
      <c r="D116" s="673">
        <v>6.8912688096571859</v>
      </c>
      <c r="E116" s="673">
        <v>0</v>
      </c>
      <c r="F116" s="673">
        <v>612.48073662057277</v>
      </c>
      <c r="G116" s="665">
        <v>0.5014853482202658</v>
      </c>
      <c r="H116" s="673">
        <v>298.56100289690477</v>
      </c>
      <c r="I116" s="665">
        <v>0</v>
      </c>
      <c r="J116" s="673">
        <v>0</v>
      </c>
      <c r="K116" s="673">
        <v>0</v>
      </c>
      <c r="L116" s="673">
        <v>88.912951866525106</v>
      </c>
      <c r="M116" s="673">
        <v>2.172695514863495</v>
      </c>
      <c r="N116" s="673">
        <v>45.547545648959549</v>
      </c>
      <c r="O116" s="673">
        <v>9.3279659925773046</v>
      </c>
      <c r="P116" s="673">
        <v>51.691578550496644</v>
      </c>
      <c r="Q116" s="673">
        <v>2.4109171991556684</v>
      </c>
      <c r="R116" s="673">
        <v>423.48559519818957</v>
      </c>
      <c r="S116" s="673">
        <v>52.119201757955373</v>
      </c>
      <c r="T116" s="673">
        <v>2.0475941804150164</v>
      </c>
      <c r="U116" s="673">
        <v>1596.1505395844929</v>
      </c>
    </row>
    <row r="117" spans="3:21" x14ac:dyDescent="0.2">
      <c r="C117" s="652"/>
      <c r="D117" s="670">
        <v>0</v>
      </c>
      <c r="E117" s="670">
        <v>4.2905679322302603E-5</v>
      </c>
      <c r="F117" s="670">
        <v>-2.3629463129282158E-5</v>
      </c>
      <c r="G117" s="670">
        <v>0</v>
      </c>
      <c r="H117" s="670">
        <v>0</v>
      </c>
      <c r="I117" s="670">
        <v>0</v>
      </c>
      <c r="J117" s="670">
        <v>0</v>
      </c>
      <c r="K117" s="670">
        <v>0</v>
      </c>
      <c r="L117" s="670">
        <v>0</v>
      </c>
      <c r="M117" s="670">
        <v>0</v>
      </c>
      <c r="N117" s="670">
        <v>-2.9753977059954195E-14</v>
      </c>
      <c r="O117" s="670">
        <v>-6.106226635438361E-16</v>
      </c>
      <c r="P117" s="670">
        <v>0</v>
      </c>
      <c r="Q117" s="670">
        <v>0</v>
      </c>
      <c r="R117" s="670">
        <v>-5.6843418860808015E-14</v>
      </c>
      <c r="S117" s="670">
        <v>0</v>
      </c>
      <c r="T117" s="670">
        <v>0</v>
      </c>
      <c r="U117" s="670">
        <v>1.9276217244623695E-5</v>
      </c>
    </row>
    <row r="118" spans="3:21" x14ac:dyDescent="0.2">
      <c r="C118" s="652"/>
      <c r="D118" s="652"/>
      <c r="E118" s="652"/>
      <c r="F118" s="652"/>
      <c r="G118" s="652"/>
      <c r="H118" s="652"/>
      <c r="I118" s="652"/>
      <c r="J118" s="652"/>
      <c r="K118" s="652"/>
      <c r="L118" s="652"/>
      <c r="M118" s="652"/>
      <c r="N118" s="652"/>
      <c r="O118" s="652"/>
      <c r="P118" s="652"/>
      <c r="Q118" s="652"/>
      <c r="R118" s="652"/>
      <c r="S118" s="652"/>
      <c r="T118" s="652"/>
      <c r="U118" s="652"/>
    </row>
    <row r="119" spans="3:21" ht="15" x14ac:dyDescent="0.25">
      <c r="C119" s="656" t="s">
        <v>87</v>
      </c>
      <c r="D119" s="657"/>
      <c r="E119" s="657"/>
      <c r="F119" s="657"/>
      <c r="G119" s="657"/>
      <c r="H119" s="657"/>
      <c r="I119" s="657"/>
      <c r="J119" s="657"/>
      <c r="K119" s="657"/>
      <c r="L119" s="657"/>
      <c r="M119" s="657"/>
      <c r="N119" s="657"/>
      <c r="O119" s="657"/>
      <c r="P119" s="657"/>
      <c r="Q119" s="657"/>
      <c r="R119" s="657"/>
      <c r="S119" s="657"/>
      <c r="T119" s="657"/>
      <c r="U119" s="657"/>
    </row>
    <row r="120" spans="3:21" x14ac:dyDescent="0.2">
      <c r="C120" s="652"/>
      <c r="D120" s="652"/>
      <c r="E120" s="652"/>
      <c r="F120" s="652"/>
      <c r="G120" s="652"/>
      <c r="H120" s="652"/>
      <c r="I120" s="652"/>
      <c r="J120" s="652"/>
      <c r="K120" s="652"/>
      <c r="L120" s="652"/>
      <c r="M120" s="652"/>
      <c r="N120" s="652"/>
      <c r="O120" s="652"/>
      <c r="P120" s="652"/>
      <c r="Q120" s="652"/>
      <c r="R120" s="652"/>
      <c r="S120" s="652"/>
      <c r="T120" s="652"/>
      <c r="U120" s="652"/>
    </row>
    <row r="121" spans="3:21" x14ac:dyDescent="0.2">
      <c r="C121" s="773" t="s">
        <v>128</v>
      </c>
      <c r="D121" s="768" t="s">
        <v>42</v>
      </c>
      <c r="E121" s="768" t="s">
        <v>52</v>
      </c>
      <c r="F121" s="768" t="s">
        <v>53</v>
      </c>
      <c r="G121" s="768" t="s">
        <v>482</v>
      </c>
      <c r="H121" s="768" t="s">
        <v>32</v>
      </c>
      <c r="I121" s="768" t="s">
        <v>483</v>
      </c>
      <c r="J121" s="768" t="s">
        <v>20</v>
      </c>
      <c r="K121" s="768" t="s">
        <v>55</v>
      </c>
      <c r="L121" s="770" t="s">
        <v>56</v>
      </c>
      <c r="M121" s="771"/>
      <c r="N121" s="771"/>
      <c r="O121" s="771"/>
      <c r="P121" s="771"/>
      <c r="Q121" s="772"/>
      <c r="R121" s="768" t="s">
        <v>57</v>
      </c>
      <c r="S121" s="768" t="s">
        <v>58</v>
      </c>
      <c r="T121" s="768" t="s">
        <v>31</v>
      </c>
      <c r="U121" s="768" t="s">
        <v>10</v>
      </c>
    </row>
    <row r="122" spans="3:21" ht="36" x14ac:dyDescent="0.2">
      <c r="C122" s="774"/>
      <c r="D122" s="769"/>
      <c r="E122" s="769"/>
      <c r="F122" s="769"/>
      <c r="G122" s="769"/>
      <c r="H122" s="769"/>
      <c r="I122" s="769"/>
      <c r="J122" s="769"/>
      <c r="K122" s="769"/>
      <c r="L122" s="658" t="s">
        <v>335</v>
      </c>
      <c r="M122" s="658" t="s">
        <v>40</v>
      </c>
      <c r="N122" s="658" t="s">
        <v>343</v>
      </c>
      <c r="O122" s="658" t="s">
        <v>344</v>
      </c>
      <c r="P122" s="659" t="s">
        <v>345</v>
      </c>
      <c r="Q122" s="658" t="s">
        <v>346</v>
      </c>
      <c r="R122" s="769"/>
      <c r="S122" s="769"/>
      <c r="T122" s="769"/>
      <c r="U122" s="769"/>
    </row>
    <row r="123" spans="3:21" x14ac:dyDescent="0.2">
      <c r="C123" s="660" t="s">
        <v>59</v>
      </c>
      <c r="D123" s="661">
        <v>0</v>
      </c>
      <c r="E123" s="661">
        <v>9.7691999999999997</v>
      </c>
      <c r="F123" s="661">
        <v>0</v>
      </c>
      <c r="G123" s="661">
        <v>0</v>
      </c>
      <c r="H123" s="661">
        <v>0.18608000000000002</v>
      </c>
      <c r="I123" s="661">
        <v>0</v>
      </c>
      <c r="J123" s="662">
        <v>1045.9432149078937</v>
      </c>
      <c r="K123" s="662">
        <v>154.12496669137167</v>
      </c>
      <c r="L123" s="662">
        <v>214.5568610857004</v>
      </c>
      <c r="M123" s="662">
        <v>29.323685862819339</v>
      </c>
      <c r="N123" s="661">
        <v>1.8811575028002774</v>
      </c>
      <c r="O123" s="661">
        <v>0.15242099713737783</v>
      </c>
      <c r="P123" s="662">
        <v>63.09733962798451</v>
      </c>
      <c r="Q123" s="662">
        <v>8.6306065878365068</v>
      </c>
      <c r="R123" s="661">
        <v>0</v>
      </c>
      <c r="S123" s="661">
        <v>0</v>
      </c>
      <c r="T123" s="661">
        <v>0</v>
      </c>
      <c r="U123" s="663">
        <v>1527.6655332635435</v>
      </c>
    </row>
    <row r="124" spans="3:21" x14ac:dyDescent="0.2">
      <c r="C124" s="660" t="s">
        <v>60</v>
      </c>
      <c r="D124" s="661">
        <v>41.794821737140659</v>
      </c>
      <c r="E124" s="661">
        <v>489.64185318884552</v>
      </c>
      <c r="F124" s="661">
        <v>215.33790751920756</v>
      </c>
      <c r="G124" s="661">
        <v>0.69497003447287165</v>
      </c>
      <c r="H124" s="661">
        <v>334.03152596143553</v>
      </c>
      <c r="I124" s="661">
        <v>0</v>
      </c>
      <c r="J124" s="661">
        <v>0</v>
      </c>
      <c r="K124" s="661">
        <v>0</v>
      </c>
      <c r="L124" s="661">
        <v>2.5596276020988169</v>
      </c>
      <c r="M124" s="661">
        <v>0</v>
      </c>
      <c r="N124" s="661">
        <v>3.749161135627308</v>
      </c>
      <c r="O124" s="661">
        <v>0</v>
      </c>
      <c r="P124" s="661">
        <v>0</v>
      </c>
      <c r="Q124" s="661">
        <v>0</v>
      </c>
      <c r="R124" s="661">
        <v>0</v>
      </c>
      <c r="S124" s="661">
        <v>0</v>
      </c>
      <c r="T124" s="661">
        <v>0</v>
      </c>
      <c r="U124" s="663">
        <v>1087.8098671788284</v>
      </c>
    </row>
    <row r="125" spans="3:21" x14ac:dyDescent="0.2">
      <c r="C125" s="660" t="s">
        <v>61</v>
      </c>
      <c r="D125" s="661">
        <v>0</v>
      </c>
      <c r="E125" s="661">
        <v>0</v>
      </c>
      <c r="F125" s="661">
        <v>-8.3753888093619933E-3</v>
      </c>
      <c r="G125" s="661">
        <v>0</v>
      </c>
      <c r="H125" s="661">
        <v>0</v>
      </c>
      <c r="I125" s="661">
        <v>0</v>
      </c>
      <c r="J125" s="661">
        <v>0</v>
      </c>
      <c r="K125" s="661">
        <v>0</v>
      </c>
      <c r="L125" s="661">
        <v>0</v>
      </c>
      <c r="M125" s="661">
        <v>0</v>
      </c>
      <c r="N125" s="661">
        <v>0</v>
      </c>
      <c r="O125" s="661">
        <v>0</v>
      </c>
      <c r="P125" s="661">
        <v>0</v>
      </c>
      <c r="Q125" s="661">
        <v>0</v>
      </c>
      <c r="R125" s="661">
        <v>-40.000032758951647</v>
      </c>
      <c r="S125" s="661">
        <v>0</v>
      </c>
      <c r="T125" s="661">
        <v>0</v>
      </c>
      <c r="U125" s="663">
        <v>-40.00840814776101</v>
      </c>
    </row>
    <row r="126" spans="3:21" x14ac:dyDescent="0.2">
      <c r="C126" s="660" t="s">
        <v>62</v>
      </c>
      <c r="D126" s="661">
        <v>0</v>
      </c>
      <c r="E126" s="661">
        <v>0</v>
      </c>
      <c r="F126" s="661">
        <v>-17.986125581751292</v>
      </c>
      <c r="G126" s="661">
        <v>0</v>
      </c>
      <c r="H126" s="661">
        <v>-0.52048534400174162</v>
      </c>
      <c r="I126" s="661">
        <v>0</v>
      </c>
      <c r="J126" s="661">
        <v>0</v>
      </c>
      <c r="K126" s="661">
        <v>0</v>
      </c>
      <c r="L126" s="661">
        <v>0</v>
      </c>
      <c r="M126" s="661">
        <v>0</v>
      </c>
      <c r="N126" s="661">
        <v>-0.36525287298367837</v>
      </c>
      <c r="O126" s="661">
        <v>-2.7393965473775879E-2</v>
      </c>
      <c r="P126" s="661">
        <v>0</v>
      </c>
      <c r="Q126" s="661">
        <v>0</v>
      </c>
      <c r="R126" s="661">
        <v>0</v>
      </c>
      <c r="S126" s="661">
        <v>0</v>
      </c>
      <c r="T126" s="661">
        <v>0</v>
      </c>
      <c r="U126" s="663">
        <v>-18.899257764210489</v>
      </c>
    </row>
    <row r="127" spans="3:21" x14ac:dyDescent="0.2">
      <c r="C127" s="660" t="s">
        <v>63</v>
      </c>
      <c r="D127" s="661">
        <v>0</v>
      </c>
      <c r="E127" s="661">
        <v>0</v>
      </c>
      <c r="F127" s="661">
        <v>-76.912420126613313</v>
      </c>
      <c r="G127" s="661">
        <v>-3.9288154935402962E-2</v>
      </c>
      <c r="H127" s="661">
        <v>0</v>
      </c>
      <c r="I127" s="661">
        <v>0</v>
      </c>
      <c r="J127" s="661">
        <v>0</v>
      </c>
      <c r="K127" s="661">
        <v>0</v>
      </c>
      <c r="L127" s="661">
        <v>0</v>
      </c>
      <c r="M127" s="661">
        <v>0</v>
      </c>
      <c r="N127" s="661">
        <v>-1.6507409080624253</v>
      </c>
      <c r="O127" s="661">
        <v>0</v>
      </c>
      <c r="P127" s="661">
        <v>0</v>
      </c>
      <c r="Q127" s="661">
        <v>0</v>
      </c>
      <c r="R127" s="661">
        <v>0</v>
      </c>
      <c r="S127" s="661">
        <v>0</v>
      </c>
      <c r="T127" s="661">
        <v>0</v>
      </c>
      <c r="U127" s="663">
        <v>-78.60244918961115</v>
      </c>
    </row>
    <row r="128" spans="3:21" x14ac:dyDescent="0.2">
      <c r="C128" s="660" t="s">
        <v>64</v>
      </c>
      <c r="D128" s="661">
        <v>0</v>
      </c>
      <c r="E128" s="661">
        <v>0</v>
      </c>
      <c r="F128" s="661">
        <v>0</v>
      </c>
      <c r="G128" s="661">
        <v>0</v>
      </c>
      <c r="H128" s="661">
        <v>0</v>
      </c>
      <c r="I128" s="661">
        <v>0</v>
      </c>
      <c r="J128" s="661">
        <v>0</v>
      </c>
      <c r="K128" s="661">
        <v>0</v>
      </c>
      <c r="L128" s="661">
        <v>0</v>
      </c>
      <c r="M128" s="661">
        <v>0</v>
      </c>
      <c r="N128" s="661">
        <v>0</v>
      </c>
      <c r="O128" s="661">
        <v>0</v>
      </c>
      <c r="P128" s="661">
        <v>0</v>
      </c>
      <c r="Q128" s="661">
        <v>0</v>
      </c>
      <c r="R128" s="661">
        <v>0</v>
      </c>
      <c r="S128" s="661">
        <v>0</v>
      </c>
      <c r="T128" s="661">
        <v>0</v>
      </c>
      <c r="U128" s="663">
        <v>0</v>
      </c>
    </row>
    <row r="129" spans="3:21" x14ac:dyDescent="0.2">
      <c r="C129" s="664" t="s">
        <v>65</v>
      </c>
      <c r="D129" s="665">
        <v>41.794821737140659</v>
      </c>
      <c r="E129" s="665">
        <v>499.41105318884553</v>
      </c>
      <c r="F129" s="665">
        <v>120.43098642203361</v>
      </c>
      <c r="G129" s="665">
        <v>0.6556818795374687</v>
      </c>
      <c r="H129" s="673">
        <v>333.69712061743382</v>
      </c>
      <c r="I129" s="665">
        <v>0</v>
      </c>
      <c r="J129" s="665">
        <v>1045.9432149078937</v>
      </c>
      <c r="K129" s="665">
        <v>154.12496669137167</v>
      </c>
      <c r="L129" s="665">
        <v>217.11648868779923</v>
      </c>
      <c r="M129" s="665">
        <v>29.323685862819339</v>
      </c>
      <c r="N129" s="665">
        <v>3.6143248573814817</v>
      </c>
      <c r="O129" s="665">
        <v>0.12502703166360196</v>
      </c>
      <c r="P129" s="665">
        <v>63.09733962798451</v>
      </c>
      <c r="Q129" s="665">
        <v>8.6306065878365068</v>
      </c>
      <c r="R129" s="665">
        <v>-40.000032758951647</v>
      </c>
      <c r="S129" s="665">
        <v>0</v>
      </c>
      <c r="T129" s="665">
        <v>0</v>
      </c>
      <c r="U129" s="665">
        <v>2477.9652853407893</v>
      </c>
    </row>
    <row r="130" spans="3:21" x14ac:dyDescent="0.2">
      <c r="C130" s="666"/>
      <c r="D130" s="667">
        <v>0</v>
      </c>
      <c r="E130" s="667">
        <v>0</v>
      </c>
      <c r="F130" s="667">
        <v>0</v>
      </c>
      <c r="G130" s="667">
        <v>0</v>
      </c>
      <c r="H130" s="674">
        <v>0</v>
      </c>
      <c r="I130" s="667">
        <v>0</v>
      </c>
      <c r="J130" s="667">
        <v>0</v>
      </c>
      <c r="K130" s="667">
        <v>0</v>
      </c>
      <c r="L130" s="667">
        <v>0</v>
      </c>
      <c r="M130" s="667">
        <v>0</v>
      </c>
      <c r="N130" s="667">
        <v>0</v>
      </c>
      <c r="O130" s="667">
        <v>0</v>
      </c>
      <c r="P130" s="667">
        <v>0</v>
      </c>
      <c r="Q130" s="667">
        <v>0</v>
      </c>
      <c r="R130" s="667">
        <v>0</v>
      </c>
      <c r="S130" s="667">
        <v>0</v>
      </c>
      <c r="T130" s="667">
        <v>0</v>
      </c>
      <c r="U130" s="667">
        <v>0</v>
      </c>
    </row>
    <row r="131" spans="3:21" x14ac:dyDescent="0.2">
      <c r="C131" s="668" t="s">
        <v>67</v>
      </c>
      <c r="D131" s="661">
        <v>0</v>
      </c>
      <c r="E131" s="661">
        <v>0</v>
      </c>
      <c r="F131" s="661">
        <v>0</v>
      </c>
      <c r="G131" s="661">
        <v>0</v>
      </c>
      <c r="H131" s="661">
        <v>0</v>
      </c>
      <c r="I131" s="661">
        <v>0</v>
      </c>
      <c r="J131" s="661">
        <v>0</v>
      </c>
      <c r="K131" s="661">
        <v>0</v>
      </c>
      <c r="L131" s="661">
        <v>0</v>
      </c>
      <c r="M131" s="661">
        <v>0</v>
      </c>
      <c r="N131" s="661">
        <v>0</v>
      </c>
      <c r="O131" s="661">
        <v>0</v>
      </c>
      <c r="P131" s="661">
        <v>0</v>
      </c>
      <c r="Q131" s="661">
        <v>0</v>
      </c>
      <c r="R131" s="661">
        <v>0</v>
      </c>
      <c r="S131" s="661">
        <v>0</v>
      </c>
      <c r="T131" s="661">
        <v>0</v>
      </c>
      <c r="U131" s="669">
        <v>0</v>
      </c>
    </row>
    <row r="132" spans="3:21" x14ac:dyDescent="0.2">
      <c r="C132" s="668" t="s">
        <v>347</v>
      </c>
      <c r="D132" s="661">
        <v>5.0316185079798812</v>
      </c>
      <c r="E132" s="661">
        <v>0</v>
      </c>
      <c r="F132" s="661">
        <v>4.8858805193656316</v>
      </c>
      <c r="G132" s="661">
        <v>0</v>
      </c>
      <c r="H132" s="661">
        <v>36.507135945544903</v>
      </c>
      <c r="I132" s="661">
        <v>0</v>
      </c>
      <c r="J132" s="661">
        <v>1045.9432149078937</v>
      </c>
      <c r="K132" s="661">
        <v>154.12496669137167</v>
      </c>
      <c r="L132" s="661">
        <v>33.862945169490679</v>
      </c>
      <c r="M132" s="661">
        <v>11.203844266499178</v>
      </c>
      <c r="N132" s="661">
        <v>5.5512316182098811</v>
      </c>
      <c r="O132" s="661">
        <v>5.5714952585660997</v>
      </c>
      <c r="P132" s="661">
        <v>0</v>
      </c>
      <c r="Q132" s="661">
        <v>0.31861460974897526</v>
      </c>
      <c r="R132" s="661">
        <v>-540.51911883021592</v>
      </c>
      <c r="S132" s="661">
        <v>0</v>
      </c>
      <c r="T132" s="661">
        <v>0</v>
      </c>
      <c r="U132" s="669">
        <v>762.48182866445461</v>
      </c>
    </row>
    <row r="133" spans="3:21" x14ac:dyDescent="0.2">
      <c r="C133" s="668" t="s">
        <v>348</v>
      </c>
      <c r="D133" s="661">
        <v>0.1931818181818182</v>
      </c>
      <c r="E133" s="661">
        <v>0</v>
      </c>
      <c r="F133" s="661">
        <v>0</v>
      </c>
      <c r="G133" s="661">
        <v>0</v>
      </c>
      <c r="H133" s="661">
        <v>18.699747563200777</v>
      </c>
      <c r="I133" s="661">
        <v>0</v>
      </c>
      <c r="J133" s="661">
        <v>0</v>
      </c>
      <c r="K133" s="661">
        <v>0</v>
      </c>
      <c r="L133" s="661">
        <v>26.355115374306525</v>
      </c>
      <c r="M133" s="661">
        <v>15.857266887266444</v>
      </c>
      <c r="N133" s="661">
        <v>0</v>
      </c>
      <c r="O133" s="661">
        <v>3.312429986969792</v>
      </c>
      <c r="P133" s="661">
        <v>0</v>
      </c>
      <c r="Q133" s="661">
        <v>5.6407627218251397</v>
      </c>
      <c r="R133" s="661">
        <v>0</v>
      </c>
      <c r="S133" s="661">
        <v>-63.097173845556554</v>
      </c>
      <c r="T133" s="661">
        <v>0</v>
      </c>
      <c r="U133" s="669">
        <v>6.961330506193935</v>
      </c>
    </row>
    <row r="134" spans="3:21" x14ac:dyDescent="0.2">
      <c r="C134" s="668" t="s">
        <v>349</v>
      </c>
      <c r="D134" s="661">
        <v>0</v>
      </c>
      <c r="E134" s="661">
        <v>0</v>
      </c>
      <c r="F134" s="661">
        <v>0</v>
      </c>
      <c r="G134" s="661">
        <v>0</v>
      </c>
      <c r="H134" s="661">
        <v>0</v>
      </c>
      <c r="I134" s="661">
        <v>0</v>
      </c>
      <c r="J134" s="661">
        <v>0</v>
      </c>
      <c r="K134" s="661">
        <v>0</v>
      </c>
      <c r="L134" s="661">
        <v>25.173696816351729</v>
      </c>
      <c r="M134" s="661">
        <v>0</v>
      </c>
      <c r="N134" s="661">
        <v>0</v>
      </c>
      <c r="O134" s="661">
        <v>-23.311148277971796</v>
      </c>
      <c r="P134" s="661">
        <v>0</v>
      </c>
      <c r="Q134" s="661">
        <v>0</v>
      </c>
      <c r="R134" s="661">
        <v>0</v>
      </c>
      <c r="S134" s="661">
        <v>0</v>
      </c>
      <c r="T134" s="661">
        <v>0</v>
      </c>
      <c r="U134" s="669">
        <v>1.8625485383799329</v>
      </c>
    </row>
    <row r="135" spans="3:21" x14ac:dyDescent="0.2">
      <c r="C135" s="668" t="s">
        <v>350</v>
      </c>
      <c r="D135" s="661">
        <v>0</v>
      </c>
      <c r="E135" s="661">
        <v>0</v>
      </c>
      <c r="F135" s="661">
        <v>0</v>
      </c>
      <c r="G135" s="661">
        <v>0</v>
      </c>
      <c r="H135" s="661">
        <v>0</v>
      </c>
      <c r="I135" s="661">
        <v>0</v>
      </c>
      <c r="J135" s="661">
        <v>0</v>
      </c>
      <c r="K135" s="661">
        <v>0</v>
      </c>
      <c r="L135" s="661">
        <v>0</v>
      </c>
      <c r="M135" s="661">
        <v>0</v>
      </c>
      <c r="N135" s="661">
        <v>0</v>
      </c>
      <c r="O135" s="661">
        <v>0</v>
      </c>
      <c r="P135" s="661">
        <v>0</v>
      </c>
      <c r="Q135" s="661">
        <v>0</v>
      </c>
      <c r="R135" s="661">
        <v>0</v>
      </c>
      <c r="S135" s="661">
        <v>0</v>
      </c>
      <c r="T135" s="661">
        <v>0</v>
      </c>
      <c r="U135" s="669">
        <v>0</v>
      </c>
    </row>
    <row r="136" spans="3:21" x14ac:dyDescent="0.2">
      <c r="C136" s="668" t="s">
        <v>72</v>
      </c>
      <c r="D136" s="661">
        <v>0</v>
      </c>
      <c r="E136" s="661">
        <v>517.60249070017358</v>
      </c>
      <c r="F136" s="661">
        <v>-512.45210450124512</v>
      </c>
      <c r="G136" s="661">
        <v>0</v>
      </c>
      <c r="H136" s="661">
        <v>0</v>
      </c>
      <c r="I136" s="661">
        <v>0</v>
      </c>
      <c r="J136" s="661">
        <v>0</v>
      </c>
      <c r="K136" s="661">
        <v>0</v>
      </c>
      <c r="L136" s="661">
        <v>0</v>
      </c>
      <c r="M136" s="661">
        <v>0</v>
      </c>
      <c r="N136" s="661">
        <v>0</v>
      </c>
      <c r="O136" s="661">
        <v>0</v>
      </c>
      <c r="P136" s="661">
        <v>0</v>
      </c>
      <c r="Q136" s="661">
        <v>0</v>
      </c>
      <c r="R136" s="661">
        <v>0</v>
      </c>
      <c r="S136" s="661">
        <v>0</v>
      </c>
      <c r="T136" s="661">
        <v>0</v>
      </c>
      <c r="U136" s="669">
        <v>5.1503861989284561</v>
      </c>
    </row>
    <row r="137" spans="3:21" x14ac:dyDescent="0.2">
      <c r="C137" s="668" t="s">
        <v>351</v>
      </c>
      <c r="D137" s="661">
        <v>0</v>
      </c>
      <c r="E137" s="661">
        <v>0</v>
      </c>
      <c r="F137" s="661">
        <v>0</v>
      </c>
      <c r="G137" s="661">
        <v>0</v>
      </c>
      <c r="H137" s="661">
        <v>0</v>
      </c>
      <c r="I137" s="661">
        <v>0</v>
      </c>
      <c r="J137" s="661">
        <v>0</v>
      </c>
      <c r="K137" s="661">
        <v>0</v>
      </c>
      <c r="L137" s="661">
        <v>52.070159971858487</v>
      </c>
      <c r="M137" s="661">
        <v>0</v>
      </c>
      <c r="N137" s="661">
        <v>-52.070159971858487</v>
      </c>
      <c r="O137" s="661">
        <v>0</v>
      </c>
      <c r="P137" s="661">
        <v>0</v>
      </c>
      <c r="Q137" s="661">
        <v>0</v>
      </c>
      <c r="R137" s="661">
        <v>0</v>
      </c>
      <c r="S137" s="661">
        <v>0</v>
      </c>
      <c r="T137" s="661">
        <v>0</v>
      </c>
      <c r="U137" s="669">
        <v>0</v>
      </c>
    </row>
    <row r="138" spans="3:21" x14ac:dyDescent="0.2">
      <c r="C138" s="668" t="s">
        <v>352</v>
      </c>
      <c r="D138" s="661">
        <v>0</v>
      </c>
      <c r="E138" s="661">
        <v>0</v>
      </c>
      <c r="F138" s="661">
        <v>0</v>
      </c>
      <c r="G138" s="661">
        <v>-7.143300897345993E-2</v>
      </c>
      <c r="H138" s="661">
        <v>0</v>
      </c>
      <c r="I138" s="661">
        <v>0</v>
      </c>
      <c r="J138" s="661">
        <v>0</v>
      </c>
      <c r="K138" s="661">
        <v>0</v>
      </c>
      <c r="L138" s="661">
        <v>0</v>
      </c>
      <c r="M138" s="661">
        <v>0</v>
      </c>
      <c r="N138" s="661">
        <v>0</v>
      </c>
      <c r="O138" s="661">
        <v>0</v>
      </c>
      <c r="P138" s="661">
        <v>0</v>
      </c>
      <c r="Q138" s="661">
        <v>0</v>
      </c>
      <c r="R138" s="661">
        <v>0</v>
      </c>
      <c r="S138" s="661">
        <v>0</v>
      </c>
      <c r="T138" s="661">
        <v>9.9488870436573729E-2</v>
      </c>
      <c r="U138" s="669">
        <v>2.8055861463113799E-2</v>
      </c>
    </row>
    <row r="139" spans="3:21" x14ac:dyDescent="0.2">
      <c r="C139" s="668" t="s">
        <v>73</v>
      </c>
      <c r="D139" s="661">
        <v>0</v>
      </c>
      <c r="E139" s="661">
        <v>0</v>
      </c>
      <c r="F139" s="661">
        <v>0</v>
      </c>
      <c r="G139" s="661">
        <v>0</v>
      </c>
      <c r="H139" s="661">
        <v>0</v>
      </c>
      <c r="I139" s="661">
        <v>0</v>
      </c>
      <c r="J139" s="661">
        <v>0</v>
      </c>
      <c r="K139" s="661">
        <v>0</v>
      </c>
      <c r="L139" s="661">
        <v>0</v>
      </c>
      <c r="M139" s="661">
        <v>0</v>
      </c>
      <c r="N139" s="661">
        <v>0</v>
      </c>
      <c r="O139" s="661">
        <v>0</v>
      </c>
      <c r="P139" s="661">
        <v>0</v>
      </c>
      <c r="Q139" s="661">
        <v>0</v>
      </c>
      <c r="R139" s="661">
        <v>7.9634516882678241</v>
      </c>
      <c r="S139" s="661">
        <v>0</v>
      </c>
      <c r="T139" s="661">
        <v>-5.1762435973740857</v>
      </c>
      <c r="U139" s="669">
        <v>2.7872080908937384</v>
      </c>
    </row>
    <row r="140" spans="3:21" x14ac:dyDescent="0.2">
      <c r="C140" s="668" t="s">
        <v>353</v>
      </c>
      <c r="D140" s="661">
        <v>22.178927109375</v>
      </c>
      <c r="E140" s="661">
        <v>-18.191437511328061</v>
      </c>
      <c r="F140" s="661">
        <v>23.666155984350404</v>
      </c>
      <c r="G140" s="661">
        <v>0</v>
      </c>
      <c r="H140" s="661">
        <v>0</v>
      </c>
      <c r="I140" s="661">
        <v>0</v>
      </c>
      <c r="J140" s="661">
        <v>0</v>
      </c>
      <c r="K140" s="661">
        <v>0</v>
      </c>
      <c r="L140" s="661">
        <v>0</v>
      </c>
      <c r="M140" s="661">
        <v>0</v>
      </c>
      <c r="N140" s="661">
        <v>0</v>
      </c>
      <c r="O140" s="661">
        <v>0</v>
      </c>
      <c r="P140" s="661">
        <v>0</v>
      </c>
      <c r="Q140" s="661">
        <v>0</v>
      </c>
      <c r="R140" s="661">
        <v>0</v>
      </c>
      <c r="S140" s="661">
        <v>0</v>
      </c>
      <c r="T140" s="661">
        <v>0</v>
      </c>
      <c r="U140" s="669">
        <v>27.653645582397342</v>
      </c>
    </row>
    <row r="141" spans="3:21" x14ac:dyDescent="0.2">
      <c r="C141" s="668" t="s">
        <v>75</v>
      </c>
      <c r="D141" s="661">
        <v>8.6251383203125016</v>
      </c>
      <c r="E141" s="661">
        <v>0</v>
      </c>
      <c r="F141" s="661">
        <v>20.228971403017535</v>
      </c>
      <c r="G141" s="661">
        <v>0</v>
      </c>
      <c r="H141" s="661">
        <v>5.487827419085181</v>
      </c>
      <c r="I141" s="661">
        <v>0</v>
      </c>
      <c r="J141" s="661">
        <v>0</v>
      </c>
      <c r="K141" s="661">
        <v>0</v>
      </c>
      <c r="L141" s="661">
        <v>0</v>
      </c>
      <c r="M141" s="661">
        <v>0</v>
      </c>
      <c r="N141" s="661">
        <v>0</v>
      </c>
      <c r="O141" s="661">
        <v>0.28883302205711481</v>
      </c>
      <c r="P141" s="661">
        <v>0</v>
      </c>
      <c r="Q141" s="661">
        <v>0</v>
      </c>
      <c r="R141" s="661">
        <v>26.979234587968005</v>
      </c>
      <c r="S141" s="661">
        <v>0</v>
      </c>
      <c r="T141" s="661">
        <v>0</v>
      </c>
      <c r="U141" s="669">
        <v>61.610004752440332</v>
      </c>
    </row>
    <row r="142" spans="3:21" x14ac:dyDescent="0.2">
      <c r="C142" s="668" t="s">
        <v>76</v>
      </c>
      <c r="D142" s="661">
        <v>0</v>
      </c>
      <c r="E142" s="661">
        <v>0</v>
      </c>
      <c r="F142" s="661">
        <v>0</v>
      </c>
      <c r="G142" s="661">
        <v>0</v>
      </c>
      <c r="H142" s="661">
        <v>3.8797902193423388</v>
      </c>
      <c r="I142" s="661">
        <v>0</v>
      </c>
      <c r="J142" s="661">
        <v>0</v>
      </c>
      <c r="K142" s="661">
        <v>0</v>
      </c>
      <c r="L142" s="661">
        <v>0</v>
      </c>
      <c r="M142" s="661">
        <v>0</v>
      </c>
      <c r="N142" s="661">
        <v>0</v>
      </c>
      <c r="O142" s="661">
        <v>0.20419948522854417</v>
      </c>
      <c r="P142" s="661">
        <v>0</v>
      </c>
      <c r="Q142" s="661">
        <v>0</v>
      </c>
      <c r="R142" s="661">
        <v>38.339806710254912</v>
      </c>
      <c r="S142" s="661">
        <v>4.8935866171781743</v>
      </c>
      <c r="T142" s="661">
        <v>0</v>
      </c>
      <c r="U142" s="669">
        <v>47.317383032003967</v>
      </c>
    </row>
    <row r="143" spans="3:21" x14ac:dyDescent="0.2">
      <c r="C143" s="664" t="s">
        <v>77</v>
      </c>
      <c r="D143" s="665">
        <v>36.028865755849196</v>
      </c>
      <c r="E143" s="665">
        <v>499.41105318884553</v>
      </c>
      <c r="F143" s="665">
        <v>-463.6710965945116</v>
      </c>
      <c r="G143" s="665">
        <v>-7.143300897345993E-2</v>
      </c>
      <c r="H143" s="673">
        <v>64.574501147173194</v>
      </c>
      <c r="I143" s="665">
        <v>0</v>
      </c>
      <c r="J143" s="665">
        <v>1045.9432149078937</v>
      </c>
      <c r="K143" s="665">
        <v>154.12496669137167</v>
      </c>
      <c r="L143" s="665">
        <v>137.46191733200743</v>
      </c>
      <c r="M143" s="665">
        <v>27.061111153765623</v>
      </c>
      <c r="N143" s="665">
        <v>-46.518928353648604</v>
      </c>
      <c r="O143" s="665">
        <v>-13.934190525150244</v>
      </c>
      <c r="P143" s="665">
        <v>0</v>
      </c>
      <c r="Q143" s="665">
        <v>5.9593773315741148</v>
      </c>
      <c r="R143" s="665">
        <v>-467.23662584372522</v>
      </c>
      <c r="S143" s="665">
        <v>-58.203587228378382</v>
      </c>
      <c r="T143" s="665">
        <v>-5.0767547269375122</v>
      </c>
      <c r="U143" s="665">
        <v>915.85239122715518</v>
      </c>
    </row>
    <row r="144" spans="3:21" x14ac:dyDescent="0.2">
      <c r="C144" s="666"/>
      <c r="D144" s="667">
        <v>0</v>
      </c>
      <c r="E144" s="667">
        <v>0</v>
      </c>
      <c r="F144" s="667">
        <v>0</v>
      </c>
      <c r="G144" s="667">
        <v>0</v>
      </c>
      <c r="H144" s="674">
        <v>0</v>
      </c>
      <c r="I144" s="667">
        <v>0</v>
      </c>
      <c r="J144" s="667">
        <v>0</v>
      </c>
      <c r="K144" s="667">
        <v>0</v>
      </c>
      <c r="L144" s="667">
        <v>0</v>
      </c>
      <c r="M144" s="667">
        <v>0</v>
      </c>
      <c r="N144" s="667">
        <v>0</v>
      </c>
      <c r="O144" s="667">
        <v>0</v>
      </c>
      <c r="P144" s="667">
        <v>0</v>
      </c>
      <c r="Q144" s="667">
        <v>0</v>
      </c>
      <c r="R144" s="667">
        <v>0</v>
      </c>
      <c r="S144" s="667">
        <v>0</v>
      </c>
      <c r="T144" s="667">
        <v>0</v>
      </c>
      <c r="U144" s="667">
        <v>0</v>
      </c>
    </row>
    <row r="145" spans="3:21" x14ac:dyDescent="0.2">
      <c r="C145" s="668" t="s">
        <v>78</v>
      </c>
      <c r="D145" s="661">
        <v>5.7659559812914596</v>
      </c>
      <c r="E145" s="661">
        <v>0</v>
      </c>
      <c r="F145" s="661">
        <v>20.140625662246215</v>
      </c>
      <c r="G145" s="661">
        <v>0</v>
      </c>
      <c r="H145" s="661">
        <v>96.219207826214614</v>
      </c>
      <c r="I145" s="661">
        <v>0</v>
      </c>
      <c r="J145" s="661">
        <v>0</v>
      </c>
      <c r="K145" s="661">
        <v>0</v>
      </c>
      <c r="L145" s="661">
        <v>18.774389983885822</v>
      </c>
      <c r="M145" s="661">
        <v>2.2619594529052449</v>
      </c>
      <c r="N145" s="661">
        <v>0.75934024169921888</v>
      </c>
      <c r="O145" s="661">
        <v>5.087709316109053</v>
      </c>
      <c r="P145" s="661">
        <v>1.955318115234375</v>
      </c>
      <c r="Q145" s="661">
        <v>4.7991131198633983E-4</v>
      </c>
      <c r="R145" s="661">
        <v>121.32585979507003</v>
      </c>
      <c r="S145" s="661">
        <v>18.196197954086337</v>
      </c>
      <c r="T145" s="661">
        <v>0.58506469726562504</v>
      </c>
      <c r="U145" s="669">
        <v>291.07210893731997</v>
      </c>
    </row>
    <row r="146" spans="3:21" x14ac:dyDescent="0.2">
      <c r="C146" s="668" t="s">
        <v>79</v>
      </c>
      <c r="D146" s="661">
        <v>0</v>
      </c>
      <c r="E146" s="661">
        <v>0</v>
      </c>
      <c r="F146" s="661">
        <v>390.32849052575307</v>
      </c>
      <c r="G146" s="661">
        <v>0</v>
      </c>
      <c r="H146" s="661">
        <v>3.80545856067917</v>
      </c>
      <c r="I146" s="661">
        <v>0</v>
      </c>
      <c r="J146" s="661">
        <v>0</v>
      </c>
      <c r="K146" s="661">
        <v>0</v>
      </c>
      <c r="L146" s="661">
        <v>0</v>
      </c>
      <c r="M146" s="661">
        <v>0</v>
      </c>
      <c r="N146" s="661">
        <v>41.205948968253495</v>
      </c>
      <c r="O146" s="661">
        <v>0.20028729266732476</v>
      </c>
      <c r="P146" s="661">
        <v>0</v>
      </c>
      <c r="Q146" s="661">
        <v>0</v>
      </c>
      <c r="R146" s="661">
        <v>15.644073294761139</v>
      </c>
      <c r="S146" s="661">
        <v>0</v>
      </c>
      <c r="T146" s="661">
        <v>0</v>
      </c>
      <c r="U146" s="669">
        <v>451.18425864211417</v>
      </c>
    </row>
    <row r="147" spans="3:21" x14ac:dyDescent="0.2">
      <c r="C147" s="668" t="s">
        <v>80</v>
      </c>
      <c r="D147" s="661">
        <v>0</v>
      </c>
      <c r="E147" s="661">
        <v>0</v>
      </c>
      <c r="F147" s="661">
        <v>12.124097766198929</v>
      </c>
      <c r="G147" s="661">
        <v>0</v>
      </c>
      <c r="H147" s="661">
        <v>106.96046467685454</v>
      </c>
      <c r="I147" s="661">
        <v>0</v>
      </c>
      <c r="J147" s="661">
        <v>0</v>
      </c>
      <c r="K147" s="661">
        <v>0</v>
      </c>
      <c r="L147" s="661">
        <v>59.150287479050967</v>
      </c>
      <c r="M147" s="661">
        <v>0</v>
      </c>
      <c r="N147" s="661">
        <v>0</v>
      </c>
      <c r="O147" s="661">
        <v>5.6294981408870823</v>
      </c>
      <c r="P147" s="661">
        <v>50.263804232391934</v>
      </c>
      <c r="Q147" s="661">
        <v>1.4653773673998376</v>
      </c>
      <c r="R147" s="661">
        <v>167.05352361968622</v>
      </c>
      <c r="S147" s="661">
        <v>26.615725966388851</v>
      </c>
      <c r="T147" s="661">
        <v>0</v>
      </c>
      <c r="U147" s="669">
        <v>429.26277924885835</v>
      </c>
    </row>
    <row r="148" spans="3:21" x14ac:dyDescent="0.2">
      <c r="C148" s="668" t="s">
        <v>81</v>
      </c>
      <c r="D148" s="661">
        <v>0</v>
      </c>
      <c r="E148" s="661">
        <v>0</v>
      </c>
      <c r="F148" s="661">
        <v>17.266825593867647</v>
      </c>
      <c r="G148" s="661">
        <v>0</v>
      </c>
      <c r="H148" s="661">
        <v>47.207135385758583</v>
      </c>
      <c r="I148" s="661">
        <v>0</v>
      </c>
      <c r="J148" s="661">
        <v>0</v>
      </c>
      <c r="K148" s="661">
        <v>0</v>
      </c>
      <c r="L148" s="661">
        <v>0.34286013585192066</v>
      </c>
      <c r="M148" s="661">
        <v>6.152561484679505E-4</v>
      </c>
      <c r="N148" s="661">
        <v>0</v>
      </c>
      <c r="O148" s="661">
        <v>2.4845860729346625</v>
      </c>
      <c r="P148" s="661">
        <v>10.628217280358204</v>
      </c>
      <c r="Q148" s="661">
        <v>0.84471066492371039</v>
      </c>
      <c r="R148" s="661">
        <v>115.22915089485383</v>
      </c>
      <c r="S148" s="661">
        <v>13.391663307903183</v>
      </c>
      <c r="T148" s="661">
        <v>0</v>
      </c>
      <c r="U148" s="669">
        <v>207.39576459260022</v>
      </c>
    </row>
    <row r="149" spans="3:21" x14ac:dyDescent="0.2">
      <c r="C149" s="668" t="s">
        <v>82</v>
      </c>
      <c r="D149" s="661">
        <v>0</v>
      </c>
      <c r="E149" s="661">
        <v>0</v>
      </c>
      <c r="F149" s="661">
        <v>31.022615677081973</v>
      </c>
      <c r="G149" s="661">
        <v>0</v>
      </c>
      <c r="H149" s="661">
        <v>2.3514405709880259</v>
      </c>
      <c r="I149" s="661">
        <v>0</v>
      </c>
      <c r="J149" s="661">
        <v>0</v>
      </c>
      <c r="K149" s="661">
        <v>0</v>
      </c>
      <c r="L149" s="661">
        <v>1.325152202471839</v>
      </c>
      <c r="M149" s="661">
        <v>0</v>
      </c>
      <c r="N149" s="661">
        <v>2.8798420607810633</v>
      </c>
      <c r="O149" s="661">
        <v>0.12376003005200138</v>
      </c>
      <c r="P149" s="661">
        <v>0.25</v>
      </c>
      <c r="Q149" s="661">
        <v>0.36066131262685786</v>
      </c>
      <c r="R149" s="661">
        <v>7.9839854804023167</v>
      </c>
      <c r="S149" s="661">
        <v>0</v>
      </c>
      <c r="T149" s="661">
        <v>8.6831190235855574E-2</v>
      </c>
      <c r="U149" s="669">
        <v>46.384288524639942</v>
      </c>
    </row>
    <row r="150" spans="3:21" x14ac:dyDescent="0.2">
      <c r="C150" s="668" t="s">
        <v>354</v>
      </c>
      <c r="D150" s="661">
        <v>0</v>
      </c>
      <c r="E150" s="661">
        <v>0</v>
      </c>
      <c r="F150" s="661">
        <v>0</v>
      </c>
      <c r="G150" s="661">
        <v>0</v>
      </c>
      <c r="H150" s="661">
        <v>0</v>
      </c>
      <c r="I150" s="661">
        <v>0</v>
      </c>
      <c r="J150" s="661">
        <v>0</v>
      </c>
      <c r="K150" s="661">
        <v>0</v>
      </c>
      <c r="L150" s="661">
        <v>0</v>
      </c>
      <c r="M150" s="661">
        <v>0</v>
      </c>
      <c r="N150" s="661">
        <v>0</v>
      </c>
      <c r="O150" s="661">
        <v>0</v>
      </c>
      <c r="P150" s="661">
        <v>0</v>
      </c>
      <c r="Q150" s="661">
        <v>0</v>
      </c>
      <c r="R150" s="661">
        <v>0</v>
      </c>
      <c r="S150" s="661">
        <v>0</v>
      </c>
      <c r="T150" s="661">
        <v>0</v>
      </c>
      <c r="U150" s="669">
        <v>0</v>
      </c>
    </row>
    <row r="151" spans="3:21" x14ac:dyDescent="0.2">
      <c r="C151" s="664" t="s">
        <v>83</v>
      </c>
      <c r="D151" s="665">
        <v>5.7659559812914596</v>
      </c>
      <c r="E151" s="665">
        <v>0</v>
      </c>
      <c r="F151" s="665">
        <v>470.88265522514774</v>
      </c>
      <c r="G151" s="665">
        <v>0</v>
      </c>
      <c r="H151" s="673">
        <v>256.54370702049494</v>
      </c>
      <c r="I151" s="665">
        <v>0</v>
      </c>
      <c r="J151" s="665">
        <v>0</v>
      </c>
      <c r="K151" s="665">
        <v>0</v>
      </c>
      <c r="L151" s="665">
        <v>79.592689801260548</v>
      </c>
      <c r="M151" s="665">
        <v>2.2625747090537129</v>
      </c>
      <c r="N151" s="665">
        <v>44.845131270733781</v>
      </c>
      <c r="O151" s="665">
        <v>13.525840852650123</v>
      </c>
      <c r="P151" s="665">
        <v>63.09733962798451</v>
      </c>
      <c r="Q151" s="665">
        <v>2.671229256262392</v>
      </c>
      <c r="R151" s="665">
        <v>427.23659308477357</v>
      </c>
      <c r="S151" s="665">
        <v>58.203587228378382</v>
      </c>
      <c r="T151" s="665">
        <v>0.67189588750148066</v>
      </c>
      <c r="U151" s="665">
        <v>1425.2991999455328</v>
      </c>
    </row>
    <row r="152" spans="3:21" x14ac:dyDescent="0.2">
      <c r="C152" s="660" t="s">
        <v>84</v>
      </c>
      <c r="D152" s="661">
        <v>0</v>
      </c>
      <c r="E152" s="661">
        <v>0</v>
      </c>
      <c r="F152" s="661">
        <v>113.21942779139728</v>
      </c>
      <c r="G152" s="661">
        <v>0.72711488851092865</v>
      </c>
      <c r="H152" s="661">
        <v>12.578912449765744</v>
      </c>
      <c r="I152" s="661">
        <v>0</v>
      </c>
      <c r="J152" s="661">
        <v>0</v>
      </c>
      <c r="K152" s="661">
        <v>0</v>
      </c>
      <c r="L152" s="661">
        <v>6.1881554531238177E-2</v>
      </c>
      <c r="M152" s="661">
        <v>0</v>
      </c>
      <c r="N152" s="661">
        <v>5.2881219402962731</v>
      </c>
      <c r="O152" s="661">
        <v>0.53337670416372851</v>
      </c>
      <c r="P152" s="661">
        <v>0</v>
      </c>
      <c r="Q152" s="661">
        <v>0</v>
      </c>
      <c r="R152" s="661">
        <v>0</v>
      </c>
      <c r="S152" s="661">
        <v>0</v>
      </c>
      <c r="T152" s="661">
        <v>4.4048588394360317</v>
      </c>
      <c r="U152" s="669">
        <v>136.81369416810119</v>
      </c>
    </row>
    <row r="153" spans="3:21" x14ac:dyDescent="0.2">
      <c r="C153" s="664" t="s">
        <v>85</v>
      </c>
      <c r="D153" s="665">
        <v>5.7659559812914596</v>
      </c>
      <c r="E153" s="665">
        <v>0</v>
      </c>
      <c r="F153" s="665">
        <v>584.10208301654495</v>
      </c>
      <c r="G153" s="665">
        <v>0.72711488851092865</v>
      </c>
      <c r="H153" s="673">
        <v>269.1226194702607</v>
      </c>
      <c r="I153" s="665">
        <v>0</v>
      </c>
      <c r="J153" s="665">
        <v>0</v>
      </c>
      <c r="K153" s="665">
        <v>0</v>
      </c>
      <c r="L153" s="665">
        <v>79.654571355791788</v>
      </c>
      <c r="M153" s="665">
        <v>2.2625747090537129</v>
      </c>
      <c r="N153" s="665">
        <v>50.133253211030052</v>
      </c>
      <c r="O153" s="665">
        <v>14.059217556813852</v>
      </c>
      <c r="P153" s="665">
        <v>63.09733962798451</v>
      </c>
      <c r="Q153" s="665">
        <v>2.671229256262392</v>
      </c>
      <c r="R153" s="665">
        <v>427.23659308477357</v>
      </c>
      <c r="S153" s="665">
        <v>58.203587228378382</v>
      </c>
      <c r="T153" s="665">
        <v>5.0767547269375122</v>
      </c>
      <c r="U153" s="665">
        <v>1562.1128941136342</v>
      </c>
    </row>
    <row r="154" spans="3:21" x14ac:dyDescent="0.2">
      <c r="C154" s="652"/>
      <c r="D154" s="670">
        <v>0</v>
      </c>
      <c r="E154" s="670">
        <v>0</v>
      </c>
      <c r="F154" s="670">
        <v>-2.5579538487363607E-13</v>
      </c>
      <c r="G154" s="670">
        <v>0</v>
      </c>
      <c r="H154" s="670">
        <v>0</v>
      </c>
      <c r="I154" s="670">
        <v>0</v>
      </c>
      <c r="J154" s="670">
        <v>0</v>
      </c>
      <c r="K154" s="670">
        <v>0</v>
      </c>
      <c r="L154" s="670">
        <v>0</v>
      </c>
      <c r="M154" s="670">
        <v>0</v>
      </c>
      <c r="N154" s="670">
        <v>-3.4194869158454821E-14</v>
      </c>
      <c r="O154" s="670">
        <v>5.9952043329758453E-15</v>
      </c>
      <c r="P154" s="670">
        <v>0</v>
      </c>
      <c r="Q154" s="670">
        <v>0</v>
      </c>
      <c r="R154" s="670">
        <v>0</v>
      </c>
      <c r="S154" s="670">
        <v>0</v>
      </c>
      <c r="T154" s="670">
        <v>0</v>
      </c>
      <c r="U154" s="670">
        <v>0</v>
      </c>
    </row>
    <row r="155" spans="3:21" x14ac:dyDescent="0.2">
      <c r="C155" s="652"/>
      <c r="D155" s="652"/>
      <c r="E155" s="652"/>
      <c r="F155" s="652"/>
      <c r="G155" s="652"/>
      <c r="H155" s="652"/>
      <c r="I155" s="652"/>
      <c r="J155" s="652"/>
      <c r="K155" s="652"/>
      <c r="L155" s="652"/>
      <c r="M155" s="652"/>
      <c r="N155" s="652"/>
      <c r="O155" s="652"/>
      <c r="P155" s="652"/>
      <c r="Q155" s="652"/>
      <c r="R155" s="652"/>
      <c r="S155" s="652"/>
      <c r="T155" s="652"/>
      <c r="U155" s="652"/>
    </row>
    <row r="156" spans="3:21" ht="15" x14ac:dyDescent="0.25">
      <c r="C156" s="656" t="s">
        <v>356</v>
      </c>
      <c r="D156" s="657"/>
      <c r="E156" s="657"/>
      <c r="F156" s="657"/>
      <c r="G156" s="657"/>
      <c r="H156" s="657"/>
      <c r="I156" s="657"/>
      <c r="J156" s="657"/>
      <c r="K156" s="657"/>
      <c r="L156" s="657"/>
      <c r="M156" s="657"/>
      <c r="N156" s="657"/>
      <c r="O156" s="657"/>
      <c r="P156" s="657"/>
      <c r="Q156" s="657"/>
      <c r="R156" s="657"/>
      <c r="S156" s="657"/>
      <c r="T156" s="657"/>
      <c r="U156" s="657"/>
    </row>
    <row r="157" spans="3:21" x14ac:dyDescent="0.2">
      <c r="C157" s="652"/>
      <c r="D157" s="652"/>
      <c r="E157" s="652"/>
      <c r="F157" s="652"/>
      <c r="G157" s="652"/>
      <c r="H157" s="652"/>
      <c r="I157" s="652"/>
      <c r="J157" s="652"/>
      <c r="K157" s="652"/>
      <c r="L157" s="652"/>
      <c r="M157" s="652"/>
      <c r="N157" s="652"/>
      <c r="O157" s="652"/>
      <c r="P157" s="652"/>
      <c r="Q157" s="652"/>
      <c r="R157" s="652"/>
      <c r="S157" s="652"/>
      <c r="T157" s="652"/>
      <c r="U157" s="652"/>
    </row>
    <row r="158" spans="3:21" x14ac:dyDescent="0.2">
      <c r="C158" s="773" t="s">
        <v>128</v>
      </c>
      <c r="D158" s="768" t="s">
        <v>42</v>
      </c>
      <c r="E158" s="768" t="s">
        <v>52</v>
      </c>
      <c r="F158" s="768" t="s">
        <v>53</v>
      </c>
      <c r="G158" s="768" t="s">
        <v>482</v>
      </c>
      <c r="H158" s="768" t="s">
        <v>32</v>
      </c>
      <c r="I158" s="768" t="s">
        <v>483</v>
      </c>
      <c r="J158" s="768" t="s">
        <v>20</v>
      </c>
      <c r="K158" s="768" t="s">
        <v>55</v>
      </c>
      <c r="L158" s="770" t="s">
        <v>56</v>
      </c>
      <c r="M158" s="771"/>
      <c r="N158" s="771"/>
      <c r="O158" s="771"/>
      <c r="P158" s="771"/>
      <c r="Q158" s="772"/>
      <c r="R158" s="768" t="s">
        <v>57</v>
      </c>
      <c r="S158" s="768" t="s">
        <v>58</v>
      </c>
      <c r="T158" s="768" t="s">
        <v>31</v>
      </c>
      <c r="U158" s="768" t="s">
        <v>10</v>
      </c>
    </row>
    <row r="159" spans="3:21" ht="36" x14ac:dyDescent="0.2">
      <c r="C159" s="774"/>
      <c r="D159" s="769"/>
      <c r="E159" s="769"/>
      <c r="F159" s="769"/>
      <c r="G159" s="769"/>
      <c r="H159" s="769"/>
      <c r="I159" s="769"/>
      <c r="J159" s="769"/>
      <c r="K159" s="769"/>
      <c r="L159" s="658" t="s">
        <v>335</v>
      </c>
      <c r="M159" s="658" t="s">
        <v>40</v>
      </c>
      <c r="N159" s="658" t="s">
        <v>343</v>
      </c>
      <c r="O159" s="658" t="s">
        <v>344</v>
      </c>
      <c r="P159" s="659" t="s">
        <v>345</v>
      </c>
      <c r="Q159" s="658" t="s">
        <v>346</v>
      </c>
      <c r="R159" s="769"/>
      <c r="S159" s="769"/>
      <c r="T159" s="769"/>
      <c r="U159" s="769"/>
    </row>
    <row r="160" spans="3:21" x14ac:dyDescent="0.2">
      <c r="C160" s="660" t="s">
        <v>59</v>
      </c>
      <c r="D160" s="661">
        <v>0</v>
      </c>
      <c r="E160" s="661">
        <v>9.7691999999999997</v>
      </c>
      <c r="F160" s="661">
        <v>0</v>
      </c>
      <c r="G160" s="661">
        <v>0</v>
      </c>
      <c r="H160" s="661">
        <v>0.18608000000000002</v>
      </c>
      <c r="I160" s="661">
        <v>0</v>
      </c>
      <c r="J160" s="662">
        <v>1009.7815647558707</v>
      </c>
      <c r="K160" s="662">
        <v>178.80025978042428</v>
      </c>
      <c r="L160" s="662">
        <v>222.2578455105637</v>
      </c>
      <c r="M160" s="662">
        <v>28.55331569033283</v>
      </c>
      <c r="N160" s="661">
        <v>1.6018700034195554</v>
      </c>
      <c r="O160" s="661">
        <v>0.1425306035599459</v>
      </c>
      <c r="P160" s="662">
        <v>79.93802880459161</v>
      </c>
      <c r="Q160" s="662">
        <v>9.9179265849836327</v>
      </c>
      <c r="R160" s="661">
        <v>0</v>
      </c>
      <c r="S160" s="661">
        <v>0</v>
      </c>
      <c r="T160" s="661">
        <v>0</v>
      </c>
      <c r="U160" s="663">
        <v>1540.9486217337462</v>
      </c>
    </row>
    <row r="161" spans="3:21" x14ac:dyDescent="0.2">
      <c r="C161" s="660" t="s">
        <v>60</v>
      </c>
      <c r="D161" s="661">
        <v>27.889416993257086</v>
      </c>
      <c r="E161" s="661">
        <v>443.26764285453919</v>
      </c>
      <c r="F161" s="661">
        <v>170.80725067581974</v>
      </c>
      <c r="G161" s="661">
        <v>0.96874110820809101</v>
      </c>
      <c r="H161" s="661">
        <v>278.87550827932449</v>
      </c>
      <c r="I161" s="661">
        <v>0</v>
      </c>
      <c r="J161" s="661">
        <v>0</v>
      </c>
      <c r="K161" s="661">
        <v>0</v>
      </c>
      <c r="L161" s="661">
        <v>2.543202703318971</v>
      </c>
      <c r="M161" s="661">
        <v>0</v>
      </c>
      <c r="N161" s="661">
        <v>3.3840076567254442</v>
      </c>
      <c r="O161" s="661">
        <v>0</v>
      </c>
      <c r="P161" s="661">
        <v>0</v>
      </c>
      <c r="Q161" s="661">
        <v>0</v>
      </c>
      <c r="R161" s="661">
        <v>0</v>
      </c>
      <c r="S161" s="661">
        <v>0</v>
      </c>
      <c r="T161" s="661">
        <v>0</v>
      </c>
      <c r="U161" s="663">
        <v>927.73577027119291</v>
      </c>
    </row>
    <row r="162" spans="3:21" x14ac:dyDescent="0.2">
      <c r="C162" s="660" t="s">
        <v>61</v>
      </c>
      <c r="D162" s="661">
        <v>0</v>
      </c>
      <c r="E162" s="661">
        <v>0</v>
      </c>
      <c r="F162" s="661">
        <v>-8.238229290577169E-2</v>
      </c>
      <c r="G162" s="661">
        <v>0</v>
      </c>
      <c r="H162" s="661">
        <v>0</v>
      </c>
      <c r="I162" s="661">
        <v>0</v>
      </c>
      <c r="J162" s="661">
        <v>0</v>
      </c>
      <c r="K162" s="661">
        <v>0</v>
      </c>
      <c r="L162" s="661">
        <v>0</v>
      </c>
      <c r="M162" s="661">
        <v>0</v>
      </c>
      <c r="N162" s="661">
        <v>0</v>
      </c>
      <c r="O162" s="661">
        <v>0</v>
      </c>
      <c r="P162" s="661">
        <v>0</v>
      </c>
      <c r="Q162" s="661">
        <v>0</v>
      </c>
      <c r="R162" s="661">
        <v>-39.63136742270666</v>
      </c>
      <c r="S162" s="661">
        <v>0</v>
      </c>
      <c r="T162" s="661">
        <v>0</v>
      </c>
      <c r="U162" s="663">
        <v>-39.71374971561243</v>
      </c>
    </row>
    <row r="163" spans="3:21" x14ac:dyDescent="0.2">
      <c r="C163" s="660" t="s">
        <v>62</v>
      </c>
      <c r="D163" s="661">
        <v>0</v>
      </c>
      <c r="E163" s="661">
        <v>0</v>
      </c>
      <c r="F163" s="661">
        <v>-16.913982362364816</v>
      </c>
      <c r="G163" s="661">
        <v>-0.21068566030958977</v>
      </c>
      <c r="H163" s="661">
        <v>-1.5457950077696609</v>
      </c>
      <c r="I163" s="661">
        <v>0</v>
      </c>
      <c r="J163" s="661">
        <v>0</v>
      </c>
      <c r="K163" s="661">
        <v>0</v>
      </c>
      <c r="L163" s="661">
        <v>0</v>
      </c>
      <c r="M163" s="661">
        <v>0</v>
      </c>
      <c r="N163" s="661">
        <v>-0.46212963965785603</v>
      </c>
      <c r="O163" s="661">
        <v>-0.15662240166829164</v>
      </c>
      <c r="P163" s="661">
        <v>0</v>
      </c>
      <c r="Q163" s="661">
        <v>0</v>
      </c>
      <c r="R163" s="661">
        <v>0</v>
      </c>
      <c r="S163" s="661">
        <v>0</v>
      </c>
      <c r="T163" s="661">
        <v>0</v>
      </c>
      <c r="U163" s="663">
        <v>-19.289215071770215</v>
      </c>
    </row>
    <row r="164" spans="3:21" x14ac:dyDescent="0.2">
      <c r="C164" s="660" t="s">
        <v>63</v>
      </c>
      <c r="D164" s="661">
        <v>0</v>
      </c>
      <c r="E164" s="661">
        <v>0</v>
      </c>
      <c r="F164" s="661">
        <v>-74.821470237515427</v>
      </c>
      <c r="G164" s="661">
        <v>-0.43381751781743938</v>
      </c>
      <c r="H164" s="661">
        <v>0</v>
      </c>
      <c r="I164" s="661">
        <v>0</v>
      </c>
      <c r="J164" s="661">
        <v>0</v>
      </c>
      <c r="K164" s="661">
        <v>0</v>
      </c>
      <c r="L164" s="661">
        <v>0</v>
      </c>
      <c r="M164" s="661">
        <v>0</v>
      </c>
      <c r="N164" s="661">
        <v>-2.9848679697644429</v>
      </c>
      <c r="O164" s="661">
        <v>0</v>
      </c>
      <c r="P164" s="661">
        <v>0</v>
      </c>
      <c r="Q164" s="661">
        <v>0</v>
      </c>
      <c r="R164" s="661">
        <v>0</v>
      </c>
      <c r="S164" s="661">
        <v>0</v>
      </c>
      <c r="T164" s="661">
        <v>0</v>
      </c>
      <c r="U164" s="663">
        <v>-78.24015572509731</v>
      </c>
    </row>
    <row r="165" spans="3:21" x14ac:dyDescent="0.2">
      <c r="C165" s="660" t="s">
        <v>64</v>
      </c>
      <c r="D165" s="661">
        <v>0</v>
      </c>
      <c r="E165" s="661">
        <v>0</v>
      </c>
      <c r="F165" s="661">
        <v>0</v>
      </c>
      <c r="G165" s="661">
        <v>0</v>
      </c>
      <c r="H165" s="661">
        <v>0</v>
      </c>
      <c r="I165" s="661">
        <v>0</v>
      </c>
      <c r="J165" s="661">
        <v>0</v>
      </c>
      <c r="K165" s="661">
        <v>0</v>
      </c>
      <c r="L165" s="661">
        <v>0</v>
      </c>
      <c r="M165" s="661">
        <v>0</v>
      </c>
      <c r="N165" s="661">
        <v>0</v>
      </c>
      <c r="O165" s="661">
        <v>0</v>
      </c>
      <c r="P165" s="661">
        <v>0</v>
      </c>
      <c r="Q165" s="661">
        <v>0</v>
      </c>
      <c r="R165" s="661">
        <v>0</v>
      </c>
      <c r="S165" s="661">
        <v>0</v>
      </c>
      <c r="T165" s="661">
        <v>0</v>
      </c>
      <c r="U165" s="663">
        <v>0</v>
      </c>
    </row>
    <row r="166" spans="3:21" x14ac:dyDescent="0.2">
      <c r="C166" s="664" t="s">
        <v>65</v>
      </c>
      <c r="D166" s="665">
        <v>27.889416993257086</v>
      </c>
      <c r="E166" s="665">
        <v>453.03684285453915</v>
      </c>
      <c r="F166" s="665">
        <v>78.989415783033735</v>
      </c>
      <c r="G166" s="665">
        <v>0.32423793008106183</v>
      </c>
      <c r="H166" s="673">
        <v>277.51579327155486</v>
      </c>
      <c r="I166" s="665">
        <v>0</v>
      </c>
      <c r="J166" s="665">
        <v>1009.7815647558707</v>
      </c>
      <c r="K166" s="665">
        <v>178.80025978042428</v>
      </c>
      <c r="L166" s="665">
        <v>224.80104821388267</v>
      </c>
      <c r="M166" s="665">
        <v>28.55331569033283</v>
      </c>
      <c r="N166" s="665">
        <v>1.5388800507227005</v>
      </c>
      <c r="O166" s="665">
        <v>-1.4091798108345738E-2</v>
      </c>
      <c r="P166" s="665">
        <v>79.93802880459161</v>
      </c>
      <c r="Q166" s="665">
        <v>9.9179265849836327</v>
      </c>
      <c r="R166" s="665">
        <v>-39.63136742270666</v>
      </c>
      <c r="S166" s="665">
        <v>0</v>
      </c>
      <c r="T166" s="665">
        <v>0</v>
      </c>
      <c r="U166" s="665">
        <v>2331.4412714924588</v>
      </c>
    </row>
    <row r="167" spans="3:21" x14ac:dyDescent="0.2">
      <c r="C167" s="666"/>
      <c r="D167" s="667">
        <v>0</v>
      </c>
      <c r="E167" s="667">
        <v>0</v>
      </c>
      <c r="F167" s="667">
        <v>0</v>
      </c>
      <c r="G167" s="667">
        <v>0</v>
      </c>
      <c r="H167" s="674">
        <v>0</v>
      </c>
      <c r="I167" s="667">
        <v>0</v>
      </c>
      <c r="J167" s="667">
        <v>0</v>
      </c>
      <c r="K167" s="667">
        <v>0</v>
      </c>
      <c r="L167" s="667">
        <v>0</v>
      </c>
      <c r="M167" s="667">
        <v>0</v>
      </c>
      <c r="N167" s="667">
        <v>0</v>
      </c>
      <c r="O167" s="667">
        <v>0</v>
      </c>
      <c r="P167" s="667">
        <v>0</v>
      </c>
      <c r="Q167" s="667">
        <v>0</v>
      </c>
      <c r="R167" s="667">
        <v>0</v>
      </c>
      <c r="S167" s="667">
        <v>0</v>
      </c>
      <c r="T167" s="667">
        <v>0</v>
      </c>
      <c r="U167" s="667">
        <v>0</v>
      </c>
    </row>
    <row r="168" spans="3:21" x14ac:dyDescent="0.2">
      <c r="C168" s="668" t="s">
        <v>67</v>
      </c>
      <c r="D168" s="661">
        <v>0</v>
      </c>
      <c r="E168" s="661">
        <v>0</v>
      </c>
      <c r="F168" s="661">
        <v>0</v>
      </c>
      <c r="G168" s="661">
        <v>0</v>
      </c>
      <c r="H168" s="661">
        <v>0</v>
      </c>
      <c r="I168" s="661">
        <v>0</v>
      </c>
      <c r="J168" s="661">
        <v>0</v>
      </c>
      <c r="K168" s="661">
        <v>0</v>
      </c>
      <c r="L168" s="661">
        <v>0</v>
      </c>
      <c r="M168" s="661">
        <v>0</v>
      </c>
      <c r="N168" s="661">
        <v>0</v>
      </c>
      <c r="O168" s="661">
        <v>0</v>
      </c>
      <c r="P168" s="661">
        <v>0</v>
      </c>
      <c r="Q168" s="661">
        <v>0</v>
      </c>
      <c r="R168" s="661">
        <v>0</v>
      </c>
      <c r="S168" s="661">
        <v>0</v>
      </c>
      <c r="T168" s="661">
        <v>0</v>
      </c>
      <c r="U168" s="669">
        <v>0</v>
      </c>
    </row>
    <row r="169" spans="3:21" x14ac:dyDescent="0.2">
      <c r="C169" s="668" t="s">
        <v>347</v>
      </c>
      <c r="D169" s="661">
        <v>2.0126474031919526</v>
      </c>
      <c r="E169" s="661">
        <v>0</v>
      </c>
      <c r="F169" s="661">
        <v>2.4215350266049294</v>
      </c>
      <c r="G169" s="661">
        <v>0</v>
      </c>
      <c r="H169" s="661">
        <v>35.249779280676243</v>
      </c>
      <c r="I169" s="661">
        <v>0</v>
      </c>
      <c r="J169" s="661">
        <v>1009.7815647558707</v>
      </c>
      <c r="K169" s="661">
        <v>178.80025978042428</v>
      </c>
      <c r="L169" s="661">
        <v>29.565327526851199</v>
      </c>
      <c r="M169" s="661">
        <v>10.280381489535124</v>
      </c>
      <c r="N169" s="661">
        <v>4.867247129818443</v>
      </c>
      <c r="O169" s="661">
        <v>5.9376906009360688</v>
      </c>
      <c r="P169" s="661">
        <v>0</v>
      </c>
      <c r="Q169" s="661">
        <v>0.1274458438995901</v>
      </c>
      <c r="R169" s="661">
        <v>-552.22120311009314</v>
      </c>
      <c r="S169" s="661">
        <v>0</v>
      </c>
      <c r="T169" s="661">
        <v>0</v>
      </c>
      <c r="U169" s="669">
        <v>726.82267572771525</v>
      </c>
    </row>
    <row r="170" spans="3:21" x14ac:dyDescent="0.2">
      <c r="C170" s="668" t="s">
        <v>348</v>
      </c>
      <c r="D170" s="661">
        <v>7.7272727272727285E-2</v>
      </c>
      <c r="E170" s="661">
        <v>0</v>
      </c>
      <c r="F170" s="661">
        <v>0</v>
      </c>
      <c r="G170" s="661">
        <v>0</v>
      </c>
      <c r="H170" s="661">
        <v>17.872657477712522</v>
      </c>
      <c r="I170" s="661">
        <v>0</v>
      </c>
      <c r="J170" s="661">
        <v>0</v>
      </c>
      <c r="K170" s="661">
        <v>0</v>
      </c>
      <c r="L170" s="661">
        <v>30.795424710415574</v>
      </c>
      <c r="M170" s="661">
        <v>15.788091398661473</v>
      </c>
      <c r="N170" s="661">
        <v>0</v>
      </c>
      <c r="O170" s="661">
        <v>3.9361494776423425</v>
      </c>
      <c r="P170" s="661">
        <v>0</v>
      </c>
      <c r="Q170" s="661">
        <v>6.7289973607209745</v>
      </c>
      <c r="R170" s="661">
        <v>0</v>
      </c>
      <c r="S170" s="661">
        <v>-68.166941269573059</v>
      </c>
      <c r="T170" s="661">
        <v>0</v>
      </c>
      <c r="U170" s="669">
        <v>7.0316518828525636</v>
      </c>
    </row>
    <row r="171" spans="3:21" x14ac:dyDescent="0.2">
      <c r="C171" s="668" t="s">
        <v>349</v>
      </c>
      <c r="D171" s="661">
        <v>0</v>
      </c>
      <c r="E171" s="661">
        <v>0</v>
      </c>
      <c r="F171" s="661">
        <v>0</v>
      </c>
      <c r="G171" s="661">
        <v>0</v>
      </c>
      <c r="H171" s="661">
        <v>0</v>
      </c>
      <c r="I171" s="661">
        <v>0</v>
      </c>
      <c r="J171" s="661">
        <v>0</v>
      </c>
      <c r="K171" s="661">
        <v>0</v>
      </c>
      <c r="L171" s="661">
        <v>34.96891347313359</v>
      </c>
      <c r="M171" s="661">
        <v>0</v>
      </c>
      <c r="N171" s="661">
        <v>0</v>
      </c>
      <c r="O171" s="661">
        <v>-32.314513431056241</v>
      </c>
      <c r="P171" s="661">
        <v>0</v>
      </c>
      <c r="Q171" s="661">
        <v>0</v>
      </c>
      <c r="R171" s="661">
        <v>0</v>
      </c>
      <c r="S171" s="661">
        <v>0</v>
      </c>
      <c r="T171" s="661">
        <v>0</v>
      </c>
      <c r="U171" s="669">
        <v>2.6544000420773486</v>
      </c>
    </row>
    <row r="172" spans="3:21" x14ac:dyDescent="0.2">
      <c r="C172" s="668" t="s">
        <v>350</v>
      </c>
      <c r="D172" s="661">
        <v>0</v>
      </c>
      <c r="E172" s="661">
        <v>0</v>
      </c>
      <c r="F172" s="661">
        <v>0</v>
      </c>
      <c r="G172" s="661">
        <v>0</v>
      </c>
      <c r="H172" s="661">
        <v>0</v>
      </c>
      <c r="I172" s="661">
        <v>0</v>
      </c>
      <c r="J172" s="661">
        <v>0</v>
      </c>
      <c r="K172" s="661">
        <v>0</v>
      </c>
      <c r="L172" s="661">
        <v>0</v>
      </c>
      <c r="M172" s="661">
        <v>0</v>
      </c>
      <c r="N172" s="661">
        <v>0</v>
      </c>
      <c r="O172" s="661">
        <v>0</v>
      </c>
      <c r="P172" s="661">
        <v>0</v>
      </c>
      <c r="Q172" s="661">
        <v>0</v>
      </c>
      <c r="R172" s="661">
        <v>0</v>
      </c>
      <c r="S172" s="661">
        <v>0</v>
      </c>
      <c r="T172" s="661">
        <v>0</v>
      </c>
      <c r="U172" s="669">
        <v>0</v>
      </c>
    </row>
    <row r="173" spans="3:21" x14ac:dyDescent="0.2">
      <c r="C173" s="668" t="s">
        <v>72</v>
      </c>
      <c r="D173" s="661">
        <v>0</v>
      </c>
      <c r="E173" s="661">
        <v>469.52687715624688</v>
      </c>
      <c r="F173" s="661">
        <v>-464.85369049462497</v>
      </c>
      <c r="G173" s="661">
        <v>0</v>
      </c>
      <c r="H173" s="661">
        <v>0</v>
      </c>
      <c r="I173" s="661">
        <v>0</v>
      </c>
      <c r="J173" s="661">
        <v>0</v>
      </c>
      <c r="K173" s="661">
        <v>0</v>
      </c>
      <c r="L173" s="661">
        <v>0</v>
      </c>
      <c r="M173" s="661">
        <v>0</v>
      </c>
      <c r="N173" s="661">
        <v>0</v>
      </c>
      <c r="O173" s="661">
        <v>0</v>
      </c>
      <c r="P173" s="661">
        <v>0</v>
      </c>
      <c r="Q173" s="661">
        <v>0</v>
      </c>
      <c r="R173" s="661">
        <v>0</v>
      </c>
      <c r="S173" s="661">
        <v>0</v>
      </c>
      <c r="T173" s="661">
        <v>0</v>
      </c>
      <c r="U173" s="669">
        <v>4.6731866616218856</v>
      </c>
    </row>
    <row r="174" spans="3:21" x14ac:dyDescent="0.2">
      <c r="C174" s="668" t="s">
        <v>351</v>
      </c>
      <c r="D174" s="661">
        <v>0</v>
      </c>
      <c r="E174" s="661">
        <v>0</v>
      </c>
      <c r="F174" s="661">
        <v>0</v>
      </c>
      <c r="G174" s="661">
        <v>0</v>
      </c>
      <c r="H174" s="661">
        <v>0</v>
      </c>
      <c r="I174" s="661">
        <v>0</v>
      </c>
      <c r="J174" s="661">
        <v>0</v>
      </c>
      <c r="K174" s="661">
        <v>0</v>
      </c>
      <c r="L174" s="661">
        <v>56.146757475987663</v>
      </c>
      <c r="M174" s="661">
        <v>0</v>
      </c>
      <c r="N174" s="661">
        <v>-56.146757475987663</v>
      </c>
      <c r="O174" s="661">
        <v>0</v>
      </c>
      <c r="P174" s="661">
        <v>0</v>
      </c>
      <c r="Q174" s="661">
        <v>0</v>
      </c>
      <c r="R174" s="661">
        <v>0</v>
      </c>
      <c r="S174" s="661">
        <v>0</v>
      </c>
      <c r="T174" s="661">
        <v>0</v>
      </c>
      <c r="U174" s="669">
        <v>0</v>
      </c>
    </row>
    <row r="175" spans="3:21" x14ac:dyDescent="0.2">
      <c r="C175" s="668" t="s">
        <v>352</v>
      </c>
      <c r="D175" s="661">
        <v>0</v>
      </c>
      <c r="E175" s="661">
        <v>0</v>
      </c>
      <c r="F175" s="661">
        <v>0</v>
      </c>
      <c r="G175" s="661">
        <v>-0.9610704740785061</v>
      </c>
      <c r="H175" s="661">
        <v>0</v>
      </c>
      <c r="I175" s="661">
        <v>0</v>
      </c>
      <c r="J175" s="661">
        <v>0</v>
      </c>
      <c r="K175" s="661">
        <v>0</v>
      </c>
      <c r="L175" s="661">
        <v>0</v>
      </c>
      <c r="M175" s="661">
        <v>0</v>
      </c>
      <c r="N175" s="661">
        <v>0</v>
      </c>
      <c r="O175" s="661">
        <v>0</v>
      </c>
      <c r="P175" s="661">
        <v>0</v>
      </c>
      <c r="Q175" s="661">
        <v>0</v>
      </c>
      <c r="R175" s="661">
        <v>0</v>
      </c>
      <c r="S175" s="661">
        <v>0</v>
      </c>
      <c r="T175" s="661">
        <v>1.3385382647332955</v>
      </c>
      <c r="U175" s="669">
        <v>0.37746779065478941</v>
      </c>
    </row>
    <row r="176" spans="3:21" x14ac:dyDescent="0.2">
      <c r="C176" s="668" t="s">
        <v>73</v>
      </c>
      <c r="D176" s="661">
        <v>0</v>
      </c>
      <c r="E176" s="661">
        <v>0</v>
      </c>
      <c r="F176" s="661">
        <v>0</v>
      </c>
      <c r="G176" s="661">
        <v>0</v>
      </c>
      <c r="H176" s="661">
        <v>0</v>
      </c>
      <c r="I176" s="661">
        <v>0</v>
      </c>
      <c r="J176" s="661">
        <v>0</v>
      </c>
      <c r="K176" s="661">
        <v>0</v>
      </c>
      <c r="L176" s="661">
        <v>0</v>
      </c>
      <c r="M176" s="661">
        <v>0</v>
      </c>
      <c r="N176" s="661">
        <v>0</v>
      </c>
      <c r="O176" s="661">
        <v>0</v>
      </c>
      <c r="P176" s="661">
        <v>0</v>
      </c>
      <c r="Q176" s="661">
        <v>0</v>
      </c>
      <c r="R176" s="661">
        <v>16.613212092757209</v>
      </c>
      <c r="S176" s="661">
        <v>0</v>
      </c>
      <c r="T176" s="661">
        <v>-10.798587860292187</v>
      </c>
      <c r="U176" s="669">
        <v>5.8146242324650217</v>
      </c>
    </row>
    <row r="177" spans="3:21" x14ac:dyDescent="0.2">
      <c r="C177" s="668" t="s">
        <v>353</v>
      </c>
      <c r="D177" s="661">
        <v>15.474789843749999</v>
      </c>
      <c r="E177" s="661">
        <v>-16.490034301707698</v>
      </c>
      <c r="F177" s="661">
        <v>21.458462057363484</v>
      </c>
      <c r="G177" s="661">
        <v>0</v>
      </c>
      <c r="H177" s="661">
        <v>0</v>
      </c>
      <c r="I177" s="661">
        <v>0</v>
      </c>
      <c r="J177" s="661">
        <v>0</v>
      </c>
      <c r="K177" s="661">
        <v>0</v>
      </c>
      <c r="L177" s="661">
        <v>0</v>
      </c>
      <c r="M177" s="661">
        <v>0</v>
      </c>
      <c r="N177" s="661">
        <v>0</v>
      </c>
      <c r="O177" s="661">
        <v>0</v>
      </c>
      <c r="P177" s="661">
        <v>0</v>
      </c>
      <c r="Q177" s="661">
        <v>0</v>
      </c>
      <c r="R177" s="661">
        <v>0</v>
      </c>
      <c r="S177" s="661">
        <v>0</v>
      </c>
      <c r="T177" s="661">
        <v>0</v>
      </c>
      <c r="U177" s="669">
        <v>20.443217599405784</v>
      </c>
    </row>
    <row r="178" spans="3:21" x14ac:dyDescent="0.2">
      <c r="C178" s="668" t="s">
        <v>75</v>
      </c>
      <c r="D178" s="661">
        <v>6.017973828125001</v>
      </c>
      <c r="E178" s="661">
        <v>0</v>
      </c>
      <c r="F178" s="661">
        <v>19.75864185375092</v>
      </c>
      <c r="G178" s="661">
        <v>0</v>
      </c>
      <c r="H178" s="661">
        <v>5.1351593182183395</v>
      </c>
      <c r="I178" s="661">
        <v>0</v>
      </c>
      <c r="J178" s="661">
        <v>0</v>
      </c>
      <c r="K178" s="661">
        <v>0</v>
      </c>
      <c r="L178" s="661">
        <v>0</v>
      </c>
      <c r="M178" s="661">
        <v>0</v>
      </c>
      <c r="N178" s="661">
        <v>0</v>
      </c>
      <c r="O178" s="661">
        <v>0.52030248598688023</v>
      </c>
      <c r="P178" s="661">
        <v>0</v>
      </c>
      <c r="Q178" s="661">
        <v>0</v>
      </c>
      <c r="R178" s="661">
        <v>26.004010207915542</v>
      </c>
      <c r="S178" s="661">
        <v>0</v>
      </c>
      <c r="T178" s="661">
        <v>0</v>
      </c>
      <c r="U178" s="669">
        <v>57.436087693996683</v>
      </c>
    </row>
    <row r="179" spans="3:21" x14ac:dyDescent="0.2">
      <c r="C179" s="668" t="s">
        <v>76</v>
      </c>
      <c r="D179" s="661">
        <v>0</v>
      </c>
      <c r="E179" s="661">
        <v>0</v>
      </c>
      <c r="F179" s="661">
        <v>0</v>
      </c>
      <c r="G179" s="661">
        <v>0</v>
      </c>
      <c r="H179" s="661">
        <v>3.2228770072600459</v>
      </c>
      <c r="I179" s="661">
        <v>0</v>
      </c>
      <c r="J179" s="661">
        <v>0</v>
      </c>
      <c r="K179" s="661">
        <v>0</v>
      </c>
      <c r="L179" s="661">
        <v>0</v>
      </c>
      <c r="M179" s="661">
        <v>0</v>
      </c>
      <c r="N179" s="661">
        <v>0</v>
      </c>
      <c r="O179" s="661">
        <v>0.32654700954617205</v>
      </c>
      <c r="P179" s="661">
        <v>0</v>
      </c>
      <c r="Q179" s="661">
        <v>0</v>
      </c>
      <c r="R179" s="661">
        <v>39.257968517902221</v>
      </c>
      <c r="S179" s="661">
        <v>5.2865527205622431</v>
      </c>
      <c r="T179" s="661">
        <v>0</v>
      </c>
      <c r="U179" s="669">
        <v>48.093945255270683</v>
      </c>
    </row>
    <row r="180" spans="3:21" x14ac:dyDescent="0.2">
      <c r="C180" s="664" t="s">
        <v>77</v>
      </c>
      <c r="D180" s="665">
        <v>23.58268380233968</v>
      </c>
      <c r="E180" s="665">
        <v>453.03684285453915</v>
      </c>
      <c r="F180" s="665">
        <v>-421.21505155690562</v>
      </c>
      <c r="G180" s="665">
        <v>-0.9610704740785061</v>
      </c>
      <c r="H180" s="673">
        <v>61.480473083867153</v>
      </c>
      <c r="I180" s="665">
        <v>0</v>
      </c>
      <c r="J180" s="665">
        <v>1009.7815647558707</v>
      </c>
      <c r="K180" s="665">
        <v>178.80025978042428</v>
      </c>
      <c r="L180" s="665">
        <v>151.47642318638805</v>
      </c>
      <c r="M180" s="665">
        <v>26.068472888196599</v>
      </c>
      <c r="N180" s="665">
        <v>-51.279510346169218</v>
      </c>
      <c r="O180" s="665">
        <v>-21.593823856944777</v>
      </c>
      <c r="P180" s="665">
        <v>0</v>
      </c>
      <c r="Q180" s="665">
        <v>6.8564432046205646</v>
      </c>
      <c r="R180" s="665">
        <v>-470.34601229151815</v>
      </c>
      <c r="S180" s="665">
        <v>-62.88038854901081</v>
      </c>
      <c r="T180" s="665">
        <v>-9.4600495955588926</v>
      </c>
      <c r="U180" s="665">
        <v>873.34725688605999</v>
      </c>
    </row>
    <row r="181" spans="3:21" x14ac:dyDescent="0.2">
      <c r="C181" s="666"/>
      <c r="D181" s="667">
        <v>0</v>
      </c>
      <c r="E181" s="667">
        <v>0</v>
      </c>
      <c r="F181" s="667">
        <v>0</v>
      </c>
      <c r="G181" s="667">
        <v>0</v>
      </c>
      <c r="H181" s="674">
        <v>0</v>
      </c>
      <c r="I181" s="667">
        <v>0</v>
      </c>
      <c r="J181" s="667">
        <v>0</v>
      </c>
      <c r="K181" s="667">
        <v>0</v>
      </c>
      <c r="L181" s="667">
        <v>0</v>
      </c>
      <c r="M181" s="667">
        <v>0</v>
      </c>
      <c r="N181" s="667">
        <v>0</v>
      </c>
      <c r="O181" s="667">
        <v>0</v>
      </c>
      <c r="P181" s="667">
        <v>0</v>
      </c>
      <c r="Q181" s="667">
        <v>0</v>
      </c>
      <c r="R181" s="667">
        <v>0</v>
      </c>
      <c r="S181" s="667">
        <v>0</v>
      </c>
      <c r="T181" s="667">
        <v>0</v>
      </c>
      <c r="U181" s="667">
        <v>0</v>
      </c>
    </row>
    <row r="182" spans="3:21" x14ac:dyDescent="0.2">
      <c r="C182" s="668" t="s">
        <v>78</v>
      </c>
      <c r="D182" s="661">
        <v>4.3067331909174058</v>
      </c>
      <c r="E182" s="661">
        <v>0</v>
      </c>
      <c r="F182" s="661">
        <v>15.285550941396558</v>
      </c>
      <c r="G182" s="661">
        <v>0</v>
      </c>
      <c r="H182" s="661">
        <v>81.99673295835025</v>
      </c>
      <c r="I182" s="661">
        <v>0</v>
      </c>
      <c r="J182" s="661">
        <v>0</v>
      </c>
      <c r="K182" s="661">
        <v>0</v>
      </c>
      <c r="L182" s="661">
        <v>19.904086757615648</v>
      </c>
      <c r="M182" s="661">
        <v>2.4842759722515511</v>
      </c>
      <c r="N182" s="661">
        <v>0.94250728115234383</v>
      </c>
      <c r="O182" s="661">
        <v>8.3338753773994174</v>
      </c>
      <c r="P182" s="661">
        <v>2.8483193359375001</v>
      </c>
      <c r="Q182" s="661">
        <v>5.2671642446208732E-4</v>
      </c>
      <c r="R182" s="661">
        <v>124.0609713055903</v>
      </c>
      <c r="S182" s="661">
        <v>18.086756081914288</v>
      </c>
      <c r="T182" s="661">
        <v>1.3772960205078124</v>
      </c>
      <c r="U182" s="669">
        <v>279.62763193945756</v>
      </c>
    </row>
    <row r="183" spans="3:21" x14ac:dyDescent="0.2">
      <c r="C183" s="668" t="s">
        <v>79</v>
      </c>
      <c r="D183" s="661">
        <v>0</v>
      </c>
      <c r="E183" s="661">
        <v>0</v>
      </c>
      <c r="F183" s="661">
        <v>335.93998919996596</v>
      </c>
      <c r="G183" s="661">
        <v>9.4771242925738991E-2</v>
      </c>
      <c r="H183" s="661">
        <v>4.5339029695199544</v>
      </c>
      <c r="I183" s="661">
        <v>0</v>
      </c>
      <c r="J183" s="661">
        <v>0</v>
      </c>
      <c r="K183" s="661">
        <v>0</v>
      </c>
      <c r="L183" s="661">
        <v>0</v>
      </c>
      <c r="M183" s="661">
        <v>0</v>
      </c>
      <c r="N183" s="661">
        <v>38.371773390829333</v>
      </c>
      <c r="O183" s="661">
        <v>0.45938223920246229</v>
      </c>
      <c r="P183" s="661">
        <v>0</v>
      </c>
      <c r="Q183" s="661">
        <v>0</v>
      </c>
      <c r="R183" s="661">
        <v>24.830612613321723</v>
      </c>
      <c r="S183" s="661">
        <v>0</v>
      </c>
      <c r="T183" s="661">
        <v>0.39090580497267069</v>
      </c>
      <c r="U183" s="669">
        <v>404.62133746073778</v>
      </c>
    </row>
    <row r="184" spans="3:21" x14ac:dyDescent="0.2">
      <c r="C184" s="668" t="s">
        <v>80</v>
      </c>
      <c r="D184" s="661">
        <v>0</v>
      </c>
      <c r="E184" s="661">
        <v>0</v>
      </c>
      <c r="F184" s="661">
        <v>7.6204805429044127</v>
      </c>
      <c r="G184" s="661">
        <v>0</v>
      </c>
      <c r="H184" s="661">
        <v>80.929799495030636</v>
      </c>
      <c r="I184" s="661">
        <v>0</v>
      </c>
      <c r="J184" s="661">
        <v>0</v>
      </c>
      <c r="K184" s="661">
        <v>0</v>
      </c>
      <c r="L184" s="661">
        <v>51.076854442173044</v>
      </c>
      <c r="M184" s="661">
        <v>0</v>
      </c>
      <c r="N184" s="661">
        <v>0</v>
      </c>
      <c r="O184" s="661">
        <v>8.1999356316550855</v>
      </c>
      <c r="P184" s="661">
        <v>62.835725387811195</v>
      </c>
      <c r="Q184" s="661">
        <v>1.6849133946274748</v>
      </c>
      <c r="R184" s="661">
        <v>167.36963395676293</v>
      </c>
      <c r="S184" s="661">
        <v>28.222608960163477</v>
      </c>
      <c r="T184" s="661">
        <v>0</v>
      </c>
      <c r="U184" s="669">
        <v>407.93995181112825</v>
      </c>
    </row>
    <row r="185" spans="3:21" x14ac:dyDescent="0.2">
      <c r="C185" s="668" t="s">
        <v>81</v>
      </c>
      <c r="D185" s="661">
        <v>0</v>
      </c>
      <c r="E185" s="661">
        <v>0</v>
      </c>
      <c r="F185" s="661">
        <v>10.491369546862531</v>
      </c>
      <c r="G185" s="661">
        <v>0</v>
      </c>
      <c r="H185" s="661">
        <v>35.36343810232146</v>
      </c>
      <c r="I185" s="661">
        <v>0</v>
      </c>
      <c r="J185" s="661">
        <v>0</v>
      </c>
      <c r="K185" s="661">
        <v>0</v>
      </c>
      <c r="L185" s="661">
        <v>0.41502991649093068</v>
      </c>
      <c r="M185" s="661">
        <v>5.6682988468104167E-4</v>
      </c>
      <c r="N185" s="661">
        <v>0</v>
      </c>
      <c r="O185" s="661">
        <v>3.5830796315127467</v>
      </c>
      <c r="P185" s="661">
        <v>13.853984080842906</v>
      </c>
      <c r="Q185" s="661">
        <v>0.85666800244149366</v>
      </c>
      <c r="R185" s="661">
        <v>106.66141597563889</v>
      </c>
      <c r="S185" s="661">
        <v>16.571023506933056</v>
      </c>
      <c r="T185" s="661">
        <v>0</v>
      </c>
      <c r="U185" s="669">
        <v>187.79657559292866</v>
      </c>
    </row>
    <row r="186" spans="3:21" x14ac:dyDescent="0.2">
      <c r="C186" s="668" t="s">
        <v>82</v>
      </c>
      <c r="D186" s="661">
        <v>0</v>
      </c>
      <c r="E186" s="661">
        <v>0</v>
      </c>
      <c r="F186" s="661">
        <v>28.598972580821304</v>
      </c>
      <c r="G186" s="661">
        <v>0</v>
      </c>
      <c r="H186" s="661">
        <v>1.9735950966825975</v>
      </c>
      <c r="I186" s="661">
        <v>0</v>
      </c>
      <c r="J186" s="661">
        <v>0</v>
      </c>
      <c r="K186" s="661">
        <v>0</v>
      </c>
      <c r="L186" s="661">
        <v>1.8335004892905753</v>
      </c>
      <c r="M186" s="661">
        <v>0</v>
      </c>
      <c r="N186" s="661">
        <v>3.9645164071396528</v>
      </c>
      <c r="O186" s="661">
        <v>0.19996778512643057</v>
      </c>
      <c r="P186" s="661">
        <v>0.4</v>
      </c>
      <c r="Q186" s="661">
        <v>0.5193752668696392</v>
      </c>
      <c r="R186" s="661">
        <v>7.7920110174976385</v>
      </c>
      <c r="S186" s="661">
        <v>0</v>
      </c>
      <c r="T186" s="661">
        <v>0.13892990437736891</v>
      </c>
      <c r="U186" s="669">
        <v>45.420868547805206</v>
      </c>
    </row>
    <row r="187" spans="3:21" x14ac:dyDescent="0.2">
      <c r="C187" s="668" t="s">
        <v>354</v>
      </c>
      <c r="D187" s="661">
        <v>0</v>
      </c>
      <c r="E187" s="661">
        <v>0</v>
      </c>
      <c r="F187" s="661">
        <v>0</v>
      </c>
      <c r="G187" s="661">
        <v>0</v>
      </c>
      <c r="H187" s="661">
        <v>0</v>
      </c>
      <c r="I187" s="661">
        <v>0</v>
      </c>
      <c r="J187" s="661">
        <v>0</v>
      </c>
      <c r="K187" s="661">
        <v>0</v>
      </c>
      <c r="L187" s="661">
        <v>0</v>
      </c>
      <c r="M187" s="661">
        <v>0</v>
      </c>
      <c r="N187" s="661">
        <v>0</v>
      </c>
      <c r="O187" s="661">
        <v>0</v>
      </c>
      <c r="P187" s="661">
        <v>0</v>
      </c>
      <c r="Q187" s="661">
        <v>0</v>
      </c>
      <c r="R187" s="661">
        <v>0</v>
      </c>
      <c r="S187" s="661">
        <v>0</v>
      </c>
      <c r="T187" s="661">
        <v>0</v>
      </c>
      <c r="U187" s="669">
        <v>0</v>
      </c>
    </row>
    <row r="188" spans="3:21" x14ac:dyDescent="0.2">
      <c r="C188" s="664" t="s">
        <v>83</v>
      </c>
      <c r="D188" s="665">
        <v>4.3067331909174058</v>
      </c>
      <c r="E188" s="665">
        <v>0</v>
      </c>
      <c r="F188" s="665">
        <v>397.93636281195074</v>
      </c>
      <c r="G188" s="665">
        <v>9.4771242925738991E-2</v>
      </c>
      <c r="H188" s="673">
        <v>204.7974686219049</v>
      </c>
      <c r="I188" s="665">
        <v>0</v>
      </c>
      <c r="J188" s="665">
        <v>0</v>
      </c>
      <c r="K188" s="665">
        <v>0</v>
      </c>
      <c r="L188" s="665">
        <v>73.229471605570197</v>
      </c>
      <c r="M188" s="665">
        <v>2.4848428021362321</v>
      </c>
      <c r="N188" s="665">
        <v>43.278797079121333</v>
      </c>
      <c r="O188" s="665">
        <v>20.776240664896143</v>
      </c>
      <c r="P188" s="665">
        <v>79.93802880459161</v>
      </c>
      <c r="Q188" s="665">
        <v>3.0614833803630699</v>
      </c>
      <c r="R188" s="665">
        <v>430.71464486881149</v>
      </c>
      <c r="S188" s="665">
        <v>62.880388549010817</v>
      </c>
      <c r="T188" s="665">
        <v>1.9071317298578518</v>
      </c>
      <c r="U188" s="665">
        <v>1325.4063653520575</v>
      </c>
    </row>
    <row r="189" spans="3:21" x14ac:dyDescent="0.2">
      <c r="C189" s="660" t="s">
        <v>84</v>
      </c>
      <c r="D189" s="661">
        <v>0</v>
      </c>
      <c r="E189" s="661">
        <v>0</v>
      </c>
      <c r="F189" s="661">
        <v>102.26810452798878</v>
      </c>
      <c r="G189" s="661">
        <v>1.1905371612338289</v>
      </c>
      <c r="H189" s="661">
        <v>11.237851565782758</v>
      </c>
      <c r="I189" s="661">
        <v>0</v>
      </c>
      <c r="J189" s="661">
        <v>0</v>
      </c>
      <c r="K189" s="661">
        <v>0</v>
      </c>
      <c r="L189" s="661">
        <v>9.5153421924450407E-2</v>
      </c>
      <c r="M189" s="661">
        <v>0</v>
      </c>
      <c r="N189" s="661">
        <v>7.1193346713498897</v>
      </c>
      <c r="O189" s="661">
        <v>0.80349139394028601</v>
      </c>
      <c r="P189" s="661">
        <v>0</v>
      </c>
      <c r="Q189" s="661">
        <v>0</v>
      </c>
      <c r="R189" s="661">
        <v>0</v>
      </c>
      <c r="S189" s="661">
        <v>0</v>
      </c>
      <c r="T189" s="661">
        <v>7.5529178657010396</v>
      </c>
      <c r="U189" s="669">
        <v>130.26739060792104</v>
      </c>
    </row>
    <row r="190" spans="3:21" x14ac:dyDescent="0.2">
      <c r="C190" s="664" t="s">
        <v>85</v>
      </c>
      <c r="D190" s="665">
        <v>4.3067331909174058</v>
      </c>
      <c r="E190" s="665">
        <v>0</v>
      </c>
      <c r="F190" s="665">
        <v>500.20446733993958</v>
      </c>
      <c r="G190" s="665">
        <v>1.2853084041595679</v>
      </c>
      <c r="H190" s="673">
        <v>216.03532018768766</v>
      </c>
      <c r="I190" s="665">
        <v>0</v>
      </c>
      <c r="J190" s="665">
        <v>0</v>
      </c>
      <c r="K190" s="665">
        <v>0</v>
      </c>
      <c r="L190" s="665">
        <v>73.324625027494648</v>
      </c>
      <c r="M190" s="665">
        <v>2.4848428021362321</v>
      </c>
      <c r="N190" s="665">
        <v>50.398131750471222</v>
      </c>
      <c r="O190" s="665">
        <v>21.579732058836431</v>
      </c>
      <c r="P190" s="665">
        <v>79.93802880459161</v>
      </c>
      <c r="Q190" s="665">
        <v>3.0614833803630699</v>
      </c>
      <c r="R190" s="665">
        <v>430.71464486881149</v>
      </c>
      <c r="S190" s="665">
        <v>62.880388549010817</v>
      </c>
      <c r="T190" s="665">
        <v>9.4600495955588908</v>
      </c>
      <c r="U190" s="665">
        <v>1455.6737559599785</v>
      </c>
    </row>
    <row r="191" spans="3:21" x14ac:dyDescent="0.2">
      <c r="C191" s="652"/>
      <c r="D191" s="670">
        <v>0</v>
      </c>
      <c r="E191" s="670">
        <v>0</v>
      </c>
      <c r="F191" s="670">
        <v>2.2737367544323206E-13</v>
      </c>
      <c r="G191" s="670">
        <v>0</v>
      </c>
      <c r="H191" s="670">
        <v>0</v>
      </c>
      <c r="I191" s="670">
        <v>0</v>
      </c>
      <c r="J191" s="670">
        <v>0</v>
      </c>
      <c r="K191" s="670">
        <v>0</v>
      </c>
      <c r="L191" s="670">
        <v>0</v>
      </c>
      <c r="M191" s="670">
        <v>0</v>
      </c>
      <c r="N191" s="670">
        <v>-2.4202586464206961</v>
      </c>
      <c r="O191" s="670">
        <v>-4.163336342344337E-16</v>
      </c>
      <c r="P191" s="670">
        <v>0</v>
      </c>
      <c r="Q191" s="670">
        <v>0</v>
      </c>
      <c r="R191" s="670">
        <v>0</v>
      </c>
      <c r="S191" s="670">
        <v>7.1054273576010019E-15</v>
      </c>
      <c r="T191" s="670">
        <v>-1.7763568394002505E-15</v>
      </c>
      <c r="U191" s="670">
        <v>-2.4202586464202795</v>
      </c>
    </row>
    <row r="192" spans="3:21" x14ac:dyDescent="0.2">
      <c r="C192" s="652"/>
      <c r="D192" s="652"/>
      <c r="E192" s="652"/>
      <c r="F192" s="652"/>
      <c r="G192" s="652"/>
      <c r="H192" s="652"/>
      <c r="I192" s="652"/>
      <c r="J192" s="652"/>
      <c r="K192" s="652"/>
      <c r="L192" s="652"/>
      <c r="M192" s="652"/>
      <c r="N192" s="652"/>
      <c r="O192" s="652"/>
      <c r="P192" s="652"/>
      <c r="Q192" s="652"/>
      <c r="R192" s="652"/>
      <c r="S192" s="652"/>
      <c r="T192" s="652"/>
      <c r="U192" s="652"/>
    </row>
    <row r="193" spans="3:21" ht="15" x14ac:dyDescent="0.25">
      <c r="C193" s="656" t="s">
        <v>88</v>
      </c>
      <c r="D193" s="657"/>
      <c r="E193" s="657"/>
      <c r="F193" s="657"/>
      <c r="G193" s="657"/>
      <c r="H193" s="657"/>
      <c r="I193" s="657"/>
      <c r="J193" s="657"/>
      <c r="K193" s="657"/>
      <c r="L193" s="657"/>
      <c r="M193" s="657"/>
      <c r="N193" s="657"/>
      <c r="O193" s="657"/>
      <c r="P193" s="657"/>
      <c r="Q193" s="657"/>
      <c r="R193" s="657"/>
      <c r="S193" s="657"/>
      <c r="T193" s="657"/>
      <c r="U193" s="657"/>
    </row>
    <row r="194" spans="3:21" x14ac:dyDescent="0.2">
      <c r="C194" s="652"/>
      <c r="D194" s="652"/>
      <c r="E194" s="652"/>
      <c r="F194" s="652"/>
      <c r="G194" s="652"/>
      <c r="H194" s="652"/>
      <c r="I194" s="652"/>
      <c r="J194" s="652"/>
      <c r="K194" s="652"/>
      <c r="L194" s="652"/>
      <c r="M194" s="652"/>
      <c r="N194" s="652"/>
      <c r="O194" s="652"/>
      <c r="P194" s="652"/>
      <c r="Q194" s="652"/>
      <c r="R194" s="652"/>
      <c r="S194" s="652"/>
      <c r="T194" s="652"/>
      <c r="U194" s="652"/>
    </row>
    <row r="195" spans="3:21" x14ac:dyDescent="0.2">
      <c r="C195" s="773" t="s">
        <v>128</v>
      </c>
      <c r="D195" s="768" t="s">
        <v>42</v>
      </c>
      <c r="E195" s="768" t="s">
        <v>52</v>
      </c>
      <c r="F195" s="768" t="s">
        <v>53</v>
      </c>
      <c r="G195" s="768" t="s">
        <v>482</v>
      </c>
      <c r="H195" s="768" t="s">
        <v>32</v>
      </c>
      <c r="I195" s="768" t="s">
        <v>483</v>
      </c>
      <c r="J195" s="768" t="s">
        <v>20</v>
      </c>
      <c r="K195" s="768" t="s">
        <v>55</v>
      </c>
      <c r="L195" s="770" t="s">
        <v>56</v>
      </c>
      <c r="M195" s="771"/>
      <c r="N195" s="771"/>
      <c r="O195" s="771"/>
      <c r="P195" s="771"/>
      <c r="Q195" s="772"/>
      <c r="R195" s="768" t="s">
        <v>57</v>
      </c>
      <c r="S195" s="768" t="s">
        <v>58</v>
      </c>
      <c r="T195" s="768" t="s">
        <v>31</v>
      </c>
      <c r="U195" s="768" t="s">
        <v>10</v>
      </c>
    </row>
    <row r="196" spans="3:21" ht="36" x14ac:dyDescent="0.2">
      <c r="C196" s="774"/>
      <c r="D196" s="769"/>
      <c r="E196" s="769"/>
      <c r="F196" s="769"/>
      <c r="G196" s="769"/>
      <c r="H196" s="769"/>
      <c r="I196" s="769"/>
      <c r="J196" s="769"/>
      <c r="K196" s="769"/>
      <c r="L196" s="658" t="s">
        <v>335</v>
      </c>
      <c r="M196" s="658" t="s">
        <v>40</v>
      </c>
      <c r="N196" s="658" t="s">
        <v>343</v>
      </c>
      <c r="O196" s="658" t="s">
        <v>344</v>
      </c>
      <c r="P196" s="659" t="s">
        <v>345</v>
      </c>
      <c r="Q196" s="658" t="s">
        <v>346</v>
      </c>
      <c r="R196" s="769"/>
      <c r="S196" s="769"/>
      <c r="T196" s="769"/>
      <c r="U196" s="769"/>
    </row>
    <row r="197" spans="3:21" x14ac:dyDescent="0.2">
      <c r="C197" s="660" t="s">
        <v>59</v>
      </c>
      <c r="D197" s="661">
        <v>0</v>
      </c>
      <c r="E197" s="661">
        <v>9.7691999999999997</v>
      </c>
      <c r="F197" s="661">
        <v>0</v>
      </c>
      <c r="G197" s="661">
        <v>0</v>
      </c>
      <c r="H197" s="661">
        <v>0.18608000000000002</v>
      </c>
      <c r="I197" s="661">
        <v>0</v>
      </c>
      <c r="J197" s="662">
        <v>985.67379798785544</v>
      </c>
      <c r="K197" s="662">
        <v>195.250455173126</v>
      </c>
      <c r="L197" s="662">
        <v>225.73082873869848</v>
      </c>
      <c r="M197" s="662">
        <v>27.969740685177928</v>
      </c>
      <c r="N197" s="661">
        <v>1.4156783371657409</v>
      </c>
      <c r="O197" s="661">
        <v>0.13593700784165794</v>
      </c>
      <c r="P197" s="662">
        <v>91.581907146552624</v>
      </c>
      <c r="Q197" s="662">
        <v>10.82319895117076</v>
      </c>
      <c r="R197" s="661">
        <v>0</v>
      </c>
      <c r="S197" s="661">
        <v>0</v>
      </c>
      <c r="T197" s="661">
        <v>0</v>
      </c>
      <c r="U197" s="663">
        <v>1548.5368240275886</v>
      </c>
    </row>
    <row r="198" spans="3:21" x14ac:dyDescent="0.2">
      <c r="C198" s="660" t="s">
        <v>60</v>
      </c>
      <c r="D198" s="661">
        <v>19.500894978355525</v>
      </c>
      <c r="E198" s="661">
        <v>412.35150263166827</v>
      </c>
      <c r="F198" s="661">
        <v>141.77751506797006</v>
      </c>
      <c r="G198" s="661">
        <v>1.1566580598777236</v>
      </c>
      <c r="H198" s="661">
        <v>243.17374959353992</v>
      </c>
      <c r="I198" s="661">
        <v>0</v>
      </c>
      <c r="J198" s="661">
        <v>0</v>
      </c>
      <c r="K198" s="661">
        <v>0</v>
      </c>
      <c r="L198" s="661">
        <v>2.5322527707990741</v>
      </c>
      <c r="M198" s="661">
        <v>0</v>
      </c>
      <c r="N198" s="661">
        <v>3.140572004124202</v>
      </c>
      <c r="O198" s="661">
        <v>0</v>
      </c>
      <c r="P198" s="661">
        <v>0</v>
      </c>
      <c r="Q198" s="661">
        <v>0</v>
      </c>
      <c r="R198" s="661">
        <v>0</v>
      </c>
      <c r="S198" s="661">
        <v>0</v>
      </c>
      <c r="T198" s="661">
        <v>0</v>
      </c>
      <c r="U198" s="663">
        <v>823.63314510633472</v>
      </c>
    </row>
    <row r="199" spans="3:21" x14ac:dyDescent="0.2">
      <c r="C199" s="660" t="s">
        <v>61</v>
      </c>
      <c r="D199" s="661">
        <v>0</v>
      </c>
      <c r="E199" s="661">
        <v>0</v>
      </c>
      <c r="F199" s="661">
        <v>-0.13172022897004482</v>
      </c>
      <c r="G199" s="661">
        <v>0</v>
      </c>
      <c r="H199" s="661">
        <v>0</v>
      </c>
      <c r="I199" s="661">
        <v>0</v>
      </c>
      <c r="J199" s="661">
        <v>0</v>
      </c>
      <c r="K199" s="661">
        <v>0</v>
      </c>
      <c r="L199" s="661">
        <v>0</v>
      </c>
      <c r="M199" s="661">
        <v>0</v>
      </c>
      <c r="N199" s="661">
        <v>0</v>
      </c>
      <c r="O199" s="661">
        <v>0</v>
      </c>
      <c r="P199" s="661">
        <v>0</v>
      </c>
      <c r="Q199" s="661">
        <v>0</v>
      </c>
      <c r="R199" s="661">
        <v>-40.000168370113556</v>
      </c>
      <c r="S199" s="661">
        <v>0</v>
      </c>
      <c r="T199" s="661">
        <v>0</v>
      </c>
      <c r="U199" s="663">
        <v>-40.131888599083602</v>
      </c>
    </row>
    <row r="200" spans="3:21" x14ac:dyDescent="0.2">
      <c r="C200" s="660" t="s">
        <v>62</v>
      </c>
      <c r="D200" s="661">
        <v>0</v>
      </c>
      <c r="E200" s="661">
        <v>0</v>
      </c>
      <c r="F200" s="661">
        <v>-16.199220216107165</v>
      </c>
      <c r="G200" s="661">
        <v>-0.35114276718264964</v>
      </c>
      <c r="H200" s="661">
        <v>-0.92701690536219505</v>
      </c>
      <c r="I200" s="661">
        <v>0</v>
      </c>
      <c r="J200" s="661">
        <v>0</v>
      </c>
      <c r="K200" s="661">
        <v>0</v>
      </c>
      <c r="L200" s="661">
        <v>0</v>
      </c>
      <c r="M200" s="661">
        <v>0</v>
      </c>
      <c r="N200" s="661">
        <v>-0.52671415077397443</v>
      </c>
      <c r="O200" s="661">
        <v>-0.12641139618575387</v>
      </c>
      <c r="P200" s="661">
        <v>0</v>
      </c>
      <c r="Q200" s="661">
        <v>0</v>
      </c>
      <c r="R200" s="661">
        <v>0</v>
      </c>
      <c r="S200" s="661">
        <v>0</v>
      </c>
      <c r="T200" s="661">
        <v>0</v>
      </c>
      <c r="U200" s="663">
        <v>-18.130505435611738</v>
      </c>
    </row>
    <row r="201" spans="3:21" x14ac:dyDescent="0.2">
      <c r="C201" s="660" t="s">
        <v>63</v>
      </c>
      <c r="D201" s="661">
        <v>0</v>
      </c>
      <c r="E201" s="661">
        <v>0</v>
      </c>
      <c r="F201" s="661">
        <v>-73.427503644783499</v>
      </c>
      <c r="G201" s="661">
        <v>-0.69683709307213026</v>
      </c>
      <c r="H201" s="661">
        <v>0</v>
      </c>
      <c r="I201" s="661">
        <v>0</v>
      </c>
      <c r="J201" s="661">
        <v>0</v>
      </c>
      <c r="K201" s="661">
        <v>0</v>
      </c>
      <c r="L201" s="661">
        <v>0</v>
      </c>
      <c r="M201" s="661">
        <v>0</v>
      </c>
      <c r="N201" s="661">
        <v>-3.8742860108991213</v>
      </c>
      <c r="O201" s="661">
        <v>0</v>
      </c>
      <c r="P201" s="661">
        <v>0</v>
      </c>
      <c r="Q201" s="661">
        <v>0</v>
      </c>
      <c r="R201" s="661">
        <v>0</v>
      </c>
      <c r="S201" s="661">
        <v>0</v>
      </c>
      <c r="T201" s="661">
        <v>0</v>
      </c>
      <c r="U201" s="663">
        <v>-77.998626748754759</v>
      </c>
    </row>
    <row r="202" spans="3:21" x14ac:dyDescent="0.2">
      <c r="C202" s="660" t="s">
        <v>64</v>
      </c>
      <c r="D202" s="661">
        <v>0</v>
      </c>
      <c r="E202" s="661">
        <v>0</v>
      </c>
      <c r="F202" s="661">
        <v>0</v>
      </c>
      <c r="G202" s="661">
        <v>0</v>
      </c>
      <c r="H202" s="661">
        <v>0</v>
      </c>
      <c r="I202" s="661">
        <v>0</v>
      </c>
      <c r="J202" s="661">
        <v>0</v>
      </c>
      <c r="K202" s="661">
        <v>0</v>
      </c>
      <c r="L202" s="661">
        <v>0</v>
      </c>
      <c r="M202" s="661">
        <v>0</v>
      </c>
      <c r="N202" s="661">
        <v>0</v>
      </c>
      <c r="O202" s="661">
        <v>0</v>
      </c>
      <c r="P202" s="661">
        <v>0</v>
      </c>
      <c r="Q202" s="661">
        <v>0</v>
      </c>
      <c r="R202" s="661">
        <v>0</v>
      </c>
      <c r="S202" s="661">
        <v>0</v>
      </c>
      <c r="T202" s="661">
        <v>0</v>
      </c>
      <c r="U202" s="663">
        <v>0</v>
      </c>
    </row>
    <row r="203" spans="3:21" x14ac:dyDescent="0.2">
      <c r="C203" s="664" t="s">
        <v>65</v>
      </c>
      <c r="D203" s="665">
        <v>19.500894978355525</v>
      </c>
      <c r="E203" s="665">
        <v>422.12070263166828</v>
      </c>
      <c r="F203" s="665">
        <v>52.019070978109362</v>
      </c>
      <c r="G203" s="665">
        <v>0.10867819962294367</v>
      </c>
      <c r="H203" s="673">
        <v>242.43281268817773</v>
      </c>
      <c r="I203" s="665">
        <v>0</v>
      </c>
      <c r="J203" s="665">
        <v>985.67379798785544</v>
      </c>
      <c r="K203" s="665">
        <v>195.250455173126</v>
      </c>
      <c r="L203" s="665">
        <v>228.26308150949754</v>
      </c>
      <c r="M203" s="665">
        <v>27.969740685177928</v>
      </c>
      <c r="N203" s="665">
        <v>0.15525017961684728</v>
      </c>
      <c r="O203" s="665">
        <v>9.5256116559040704E-3</v>
      </c>
      <c r="P203" s="665">
        <v>91.581907146552624</v>
      </c>
      <c r="Q203" s="665">
        <v>10.82319895117076</v>
      </c>
      <c r="R203" s="665">
        <v>-40.000168370113556</v>
      </c>
      <c r="S203" s="665">
        <v>0</v>
      </c>
      <c r="T203" s="665">
        <v>0</v>
      </c>
      <c r="U203" s="665">
        <v>2235.9089483504736</v>
      </c>
    </row>
    <row r="204" spans="3:21" x14ac:dyDescent="0.2">
      <c r="C204" s="666"/>
      <c r="D204" s="667">
        <v>0</v>
      </c>
      <c r="E204" s="667">
        <v>0</v>
      </c>
      <c r="F204" s="667">
        <v>0</v>
      </c>
      <c r="G204" s="667">
        <v>0</v>
      </c>
      <c r="H204" s="674">
        <v>0</v>
      </c>
      <c r="I204" s="667">
        <v>0</v>
      </c>
      <c r="J204" s="667">
        <v>0</v>
      </c>
      <c r="K204" s="667">
        <v>0</v>
      </c>
      <c r="L204" s="667">
        <v>0</v>
      </c>
      <c r="M204" s="667">
        <v>0</v>
      </c>
      <c r="N204" s="667">
        <v>0</v>
      </c>
      <c r="O204" s="667">
        <v>0</v>
      </c>
      <c r="P204" s="667">
        <v>0</v>
      </c>
      <c r="Q204" s="667">
        <v>0</v>
      </c>
      <c r="R204" s="667">
        <v>0</v>
      </c>
      <c r="S204" s="667">
        <v>0</v>
      </c>
      <c r="T204" s="667">
        <v>0</v>
      </c>
      <c r="U204" s="667">
        <v>0</v>
      </c>
    </row>
    <row r="205" spans="3:21" x14ac:dyDescent="0.2">
      <c r="C205" s="668" t="s">
        <v>67</v>
      </c>
      <c r="D205" s="661">
        <v>0</v>
      </c>
      <c r="E205" s="661">
        <v>0</v>
      </c>
      <c r="F205" s="661">
        <v>0</v>
      </c>
      <c r="G205" s="661">
        <v>0</v>
      </c>
      <c r="H205" s="661">
        <v>0</v>
      </c>
      <c r="I205" s="661">
        <v>0</v>
      </c>
      <c r="J205" s="661">
        <v>0</v>
      </c>
      <c r="K205" s="661">
        <v>0</v>
      </c>
      <c r="L205" s="661">
        <v>0</v>
      </c>
      <c r="M205" s="661">
        <v>0</v>
      </c>
      <c r="N205" s="661">
        <v>0</v>
      </c>
      <c r="O205" s="661">
        <v>0</v>
      </c>
      <c r="P205" s="661">
        <v>0</v>
      </c>
      <c r="Q205" s="661">
        <v>0</v>
      </c>
      <c r="R205" s="661">
        <v>0</v>
      </c>
      <c r="S205" s="661">
        <v>0</v>
      </c>
      <c r="T205" s="661">
        <v>0</v>
      </c>
      <c r="U205" s="669">
        <v>0</v>
      </c>
    </row>
    <row r="206" spans="3:21" x14ac:dyDescent="0.2">
      <c r="C206" s="668" t="s">
        <v>347</v>
      </c>
      <c r="D206" s="661">
        <v>0</v>
      </c>
      <c r="E206" s="661">
        <v>0</v>
      </c>
      <c r="F206" s="661">
        <v>0.77863803143112786</v>
      </c>
      <c r="G206" s="661">
        <v>0</v>
      </c>
      <c r="H206" s="661">
        <v>34.441359514891516</v>
      </c>
      <c r="I206" s="661">
        <v>0</v>
      </c>
      <c r="J206" s="661">
        <v>985.67379798785544</v>
      </c>
      <c r="K206" s="661">
        <v>195.250455173126</v>
      </c>
      <c r="L206" s="661">
        <v>27.099203250664136</v>
      </c>
      <c r="M206" s="661">
        <v>9.7713809684984927</v>
      </c>
      <c r="N206" s="661">
        <v>4.4112574708908179</v>
      </c>
      <c r="O206" s="661">
        <v>6.1733013975271804</v>
      </c>
      <c r="P206" s="661">
        <v>0</v>
      </c>
      <c r="Q206" s="661">
        <v>0</v>
      </c>
      <c r="R206" s="661">
        <v>-560.02259263001122</v>
      </c>
      <c r="S206" s="661">
        <v>0</v>
      </c>
      <c r="T206" s="661">
        <v>0</v>
      </c>
      <c r="U206" s="669">
        <v>703.57680116487347</v>
      </c>
    </row>
    <row r="207" spans="3:21" x14ac:dyDescent="0.2">
      <c r="C207" s="668" t="s">
        <v>348</v>
      </c>
      <c r="D207" s="661">
        <v>0</v>
      </c>
      <c r="E207" s="661">
        <v>0</v>
      </c>
      <c r="F207" s="661">
        <v>0</v>
      </c>
      <c r="G207" s="661">
        <v>0</v>
      </c>
      <c r="H207" s="661">
        <v>17.169661952341983</v>
      </c>
      <c r="I207" s="661">
        <v>0</v>
      </c>
      <c r="J207" s="661">
        <v>0</v>
      </c>
      <c r="K207" s="661">
        <v>0</v>
      </c>
      <c r="L207" s="661">
        <v>33.995499480106155</v>
      </c>
      <c r="M207" s="661">
        <v>15.594965202678805</v>
      </c>
      <c r="N207" s="661">
        <v>0</v>
      </c>
      <c r="O207" s="661">
        <v>4.3055711350701857</v>
      </c>
      <c r="P207" s="661">
        <v>0</v>
      </c>
      <c r="Q207" s="661">
        <v>7.5015461547405717</v>
      </c>
      <c r="R207" s="661">
        <v>0</v>
      </c>
      <c r="S207" s="661">
        <v>-71.517574001012974</v>
      </c>
      <c r="T207" s="661">
        <v>0</v>
      </c>
      <c r="U207" s="669">
        <v>7.0496699239247187</v>
      </c>
    </row>
    <row r="208" spans="3:21" x14ac:dyDescent="0.2">
      <c r="C208" s="668" t="s">
        <v>349</v>
      </c>
      <c r="D208" s="661">
        <v>0</v>
      </c>
      <c r="E208" s="661">
        <v>0</v>
      </c>
      <c r="F208" s="661">
        <v>0</v>
      </c>
      <c r="G208" s="661">
        <v>0</v>
      </c>
      <c r="H208" s="661">
        <v>0</v>
      </c>
      <c r="I208" s="661">
        <v>0</v>
      </c>
      <c r="J208" s="661">
        <v>0</v>
      </c>
      <c r="K208" s="661">
        <v>0</v>
      </c>
      <c r="L208" s="661">
        <v>39.786073128569313</v>
      </c>
      <c r="M208" s="661">
        <v>0</v>
      </c>
      <c r="N208" s="661">
        <v>0</v>
      </c>
      <c r="O208" s="661">
        <v>-36.089986767130839</v>
      </c>
      <c r="P208" s="661">
        <v>0</v>
      </c>
      <c r="Q208" s="661">
        <v>0</v>
      </c>
      <c r="R208" s="661">
        <v>0</v>
      </c>
      <c r="S208" s="661">
        <v>0</v>
      </c>
      <c r="T208" s="661">
        <v>0</v>
      </c>
      <c r="U208" s="669">
        <v>3.6960863614384749</v>
      </c>
    </row>
    <row r="209" spans="3:21" x14ac:dyDescent="0.2">
      <c r="C209" s="668" t="s">
        <v>350</v>
      </c>
      <c r="D209" s="661">
        <v>0</v>
      </c>
      <c r="E209" s="661">
        <v>0</v>
      </c>
      <c r="F209" s="661">
        <v>0</v>
      </c>
      <c r="G209" s="661">
        <v>0</v>
      </c>
      <c r="H209" s="661">
        <v>0</v>
      </c>
      <c r="I209" s="661">
        <v>0</v>
      </c>
      <c r="J209" s="661">
        <v>0</v>
      </c>
      <c r="K209" s="661">
        <v>0</v>
      </c>
      <c r="L209" s="661">
        <v>0</v>
      </c>
      <c r="M209" s="661">
        <v>0</v>
      </c>
      <c r="N209" s="661">
        <v>0</v>
      </c>
      <c r="O209" s="661">
        <v>0</v>
      </c>
      <c r="P209" s="661">
        <v>0</v>
      </c>
      <c r="Q209" s="661">
        <v>0</v>
      </c>
      <c r="R209" s="661">
        <v>0</v>
      </c>
      <c r="S209" s="661">
        <v>0</v>
      </c>
      <c r="T209" s="661">
        <v>0</v>
      </c>
      <c r="U209" s="669">
        <v>0</v>
      </c>
    </row>
    <row r="210" spans="3:21" x14ac:dyDescent="0.2">
      <c r="C210" s="668" t="s">
        <v>72</v>
      </c>
      <c r="D210" s="661">
        <v>0</v>
      </c>
      <c r="E210" s="661">
        <v>437.4764681269624</v>
      </c>
      <c r="F210" s="661">
        <v>-433.12141449021158</v>
      </c>
      <c r="G210" s="661">
        <v>0</v>
      </c>
      <c r="H210" s="661">
        <v>0</v>
      </c>
      <c r="I210" s="661">
        <v>0</v>
      </c>
      <c r="J210" s="661">
        <v>0</v>
      </c>
      <c r="K210" s="661">
        <v>0</v>
      </c>
      <c r="L210" s="661">
        <v>0</v>
      </c>
      <c r="M210" s="661">
        <v>0</v>
      </c>
      <c r="N210" s="661">
        <v>0</v>
      </c>
      <c r="O210" s="661">
        <v>0</v>
      </c>
      <c r="P210" s="661">
        <v>0</v>
      </c>
      <c r="Q210" s="661">
        <v>0</v>
      </c>
      <c r="R210" s="661">
        <v>0</v>
      </c>
      <c r="S210" s="661">
        <v>0</v>
      </c>
      <c r="T210" s="661">
        <v>0</v>
      </c>
      <c r="U210" s="669">
        <v>4.3550536367508395</v>
      </c>
    </row>
    <row r="211" spans="3:21" x14ac:dyDescent="0.2">
      <c r="C211" s="668" t="s">
        <v>351</v>
      </c>
      <c r="D211" s="661">
        <v>0</v>
      </c>
      <c r="E211" s="661">
        <v>0</v>
      </c>
      <c r="F211" s="661">
        <v>0</v>
      </c>
      <c r="G211" s="661">
        <v>0</v>
      </c>
      <c r="H211" s="661">
        <v>0</v>
      </c>
      <c r="I211" s="661">
        <v>0</v>
      </c>
      <c r="J211" s="661">
        <v>0</v>
      </c>
      <c r="K211" s="661">
        <v>0</v>
      </c>
      <c r="L211" s="661">
        <v>58.51202627390122</v>
      </c>
      <c r="M211" s="661">
        <v>0</v>
      </c>
      <c r="N211" s="661">
        <v>-58.51202627390122</v>
      </c>
      <c r="O211" s="661">
        <v>0</v>
      </c>
      <c r="P211" s="661">
        <v>0</v>
      </c>
      <c r="Q211" s="661">
        <v>0</v>
      </c>
      <c r="R211" s="661">
        <v>0</v>
      </c>
      <c r="S211" s="661">
        <v>0</v>
      </c>
      <c r="T211" s="661">
        <v>0</v>
      </c>
      <c r="U211" s="669">
        <v>0</v>
      </c>
    </row>
    <row r="212" spans="3:21" x14ac:dyDescent="0.2">
      <c r="C212" s="668" t="s">
        <v>352</v>
      </c>
      <c r="D212" s="661">
        <v>0</v>
      </c>
      <c r="E212" s="661">
        <v>0</v>
      </c>
      <c r="F212" s="661">
        <v>0</v>
      </c>
      <c r="G212" s="661">
        <v>-1.5541621174818701</v>
      </c>
      <c r="H212" s="661">
        <v>0</v>
      </c>
      <c r="I212" s="661">
        <v>0</v>
      </c>
      <c r="J212" s="661">
        <v>0</v>
      </c>
      <c r="K212" s="661">
        <v>0</v>
      </c>
      <c r="L212" s="661">
        <v>0</v>
      </c>
      <c r="M212" s="661">
        <v>0</v>
      </c>
      <c r="N212" s="661">
        <v>0</v>
      </c>
      <c r="O212" s="661">
        <v>0</v>
      </c>
      <c r="P212" s="661">
        <v>0</v>
      </c>
      <c r="Q212" s="661">
        <v>0</v>
      </c>
      <c r="R212" s="661">
        <v>0</v>
      </c>
      <c r="S212" s="661">
        <v>0</v>
      </c>
      <c r="T212" s="661">
        <v>2.1645711942644428</v>
      </c>
      <c r="U212" s="669">
        <v>0.61040907678257272</v>
      </c>
    </row>
    <row r="213" spans="3:21" x14ac:dyDescent="0.2">
      <c r="C213" s="668" t="s">
        <v>73</v>
      </c>
      <c r="D213" s="661">
        <v>0</v>
      </c>
      <c r="E213" s="661">
        <v>0</v>
      </c>
      <c r="F213" s="661">
        <v>0</v>
      </c>
      <c r="G213" s="661">
        <v>0</v>
      </c>
      <c r="H213" s="661">
        <v>0</v>
      </c>
      <c r="I213" s="661">
        <v>0</v>
      </c>
      <c r="J213" s="661">
        <v>0</v>
      </c>
      <c r="K213" s="661">
        <v>0</v>
      </c>
      <c r="L213" s="661">
        <v>0</v>
      </c>
      <c r="M213" s="661">
        <v>0</v>
      </c>
      <c r="N213" s="661">
        <v>0</v>
      </c>
      <c r="O213" s="661">
        <v>0</v>
      </c>
      <c r="P213" s="661">
        <v>0</v>
      </c>
      <c r="Q213" s="661">
        <v>0</v>
      </c>
      <c r="R213" s="661">
        <v>22.347786362655235</v>
      </c>
      <c r="S213" s="661">
        <v>0</v>
      </c>
      <c r="T213" s="661">
        <v>-14.526061135725904</v>
      </c>
      <c r="U213" s="669">
        <v>7.8217252269293311</v>
      </c>
    </row>
    <row r="214" spans="3:21" x14ac:dyDescent="0.2">
      <c r="C214" s="668" t="s">
        <v>353</v>
      </c>
      <c r="D214" s="661">
        <v>11.574443320312499</v>
      </c>
      <c r="E214" s="661">
        <v>-15.355765495294122</v>
      </c>
      <c r="F214" s="661">
        <v>19.986666106038875</v>
      </c>
      <c r="G214" s="661">
        <v>0</v>
      </c>
      <c r="H214" s="661">
        <v>0</v>
      </c>
      <c r="I214" s="661">
        <v>0</v>
      </c>
      <c r="J214" s="661">
        <v>0</v>
      </c>
      <c r="K214" s="661">
        <v>0</v>
      </c>
      <c r="L214" s="661">
        <v>0</v>
      </c>
      <c r="M214" s="661">
        <v>0</v>
      </c>
      <c r="N214" s="661">
        <v>0</v>
      </c>
      <c r="O214" s="661">
        <v>0</v>
      </c>
      <c r="P214" s="661">
        <v>0</v>
      </c>
      <c r="Q214" s="661">
        <v>0</v>
      </c>
      <c r="R214" s="661">
        <v>0</v>
      </c>
      <c r="S214" s="661">
        <v>0</v>
      </c>
      <c r="T214" s="661">
        <v>0</v>
      </c>
      <c r="U214" s="669">
        <v>16.20534393105725</v>
      </c>
    </row>
    <row r="215" spans="3:21" x14ac:dyDescent="0.2">
      <c r="C215" s="668" t="s">
        <v>75</v>
      </c>
      <c r="D215" s="661">
        <v>4.5011724023437498</v>
      </c>
      <c r="E215" s="661">
        <v>0</v>
      </c>
      <c r="F215" s="661">
        <v>19.445088820906506</v>
      </c>
      <c r="G215" s="661">
        <v>0</v>
      </c>
      <c r="H215" s="661">
        <v>4.9057031873641765</v>
      </c>
      <c r="I215" s="661">
        <v>0</v>
      </c>
      <c r="J215" s="661">
        <v>0</v>
      </c>
      <c r="K215" s="661">
        <v>0</v>
      </c>
      <c r="L215" s="661">
        <v>0</v>
      </c>
      <c r="M215" s="661">
        <v>0</v>
      </c>
      <c r="N215" s="661">
        <v>0</v>
      </c>
      <c r="O215" s="661">
        <v>0.66895952554966043</v>
      </c>
      <c r="P215" s="661">
        <v>0</v>
      </c>
      <c r="Q215" s="661">
        <v>0</v>
      </c>
      <c r="R215" s="661">
        <v>25.353860621213894</v>
      </c>
      <c r="S215" s="661">
        <v>0</v>
      </c>
      <c r="T215" s="661">
        <v>0</v>
      </c>
      <c r="U215" s="669">
        <v>54.874784557377978</v>
      </c>
    </row>
    <row r="216" spans="3:21" x14ac:dyDescent="0.2">
      <c r="C216" s="668" t="s">
        <v>76</v>
      </c>
      <c r="D216" s="661">
        <v>0</v>
      </c>
      <c r="E216" s="661">
        <v>0</v>
      </c>
      <c r="F216" s="661">
        <v>0</v>
      </c>
      <c r="G216" s="661">
        <v>0</v>
      </c>
      <c r="H216" s="661">
        <v>2.7976613964793451</v>
      </c>
      <c r="I216" s="661">
        <v>0</v>
      </c>
      <c r="J216" s="661">
        <v>0</v>
      </c>
      <c r="K216" s="661">
        <v>0</v>
      </c>
      <c r="L216" s="661">
        <v>0</v>
      </c>
      <c r="M216" s="661">
        <v>0</v>
      </c>
      <c r="N216" s="661">
        <v>0</v>
      </c>
      <c r="O216" s="661">
        <v>0.38149928133809252</v>
      </c>
      <c r="P216" s="661">
        <v>0</v>
      </c>
      <c r="Q216" s="661">
        <v>0</v>
      </c>
      <c r="R216" s="661">
        <v>39.822975779719108</v>
      </c>
      <c r="S216" s="661">
        <v>5.5462664454161024</v>
      </c>
      <c r="T216" s="661">
        <v>0</v>
      </c>
      <c r="U216" s="669">
        <v>48.548402902952645</v>
      </c>
    </row>
    <row r="217" spans="3:21" x14ac:dyDescent="0.2">
      <c r="C217" s="664" t="s">
        <v>77</v>
      </c>
      <c r="D217" s="665">
        <v>16.075615722656249</v>
      </c>
      <c r="E217" s="665">
        <v>422.12070263166828</v>
      </c>
      <c r="F217" s="665">
        <v>-392.9110215318351</v>
      </c>
      <c r="G217" s="665">
        <v>-1.5541621174818701</v>
      </c>
      <c r="H217" s="673">
        <v>59.314386051077022</v>
      </c>
      <c r="I217" s="665">
        <v>0</v>
      </c>
      <c r="J217" s="665">
        <v>985.67379798785544</v>
      </c>
      <c r="K217" s="665">
        <v>195.250455173126</v>
      </c>
      <c r="L217" s="665">
        <v>159.39280213324082</v>
      </c>
      <c r="M217" s="665">
        <v>25.366346171177295</v>
      </c>
      <c r="N217" s="665">
        <v>-54.100768803010403</v>
      </c>
      <c r="O217" s="665">
        <v>-24.56065542764572</v>
      </c>
      <c r="P217" s="665">
        <v>0</v>
      </c>
      <c r="Q217" s="665">
        <v>7.5015461547405717</v>
      </c>
      <c r="R217" s="665">
        <v>-472.49796986642292</v>
      </c>
      <c r="S217" s="665">
        <v>-65.971307555596866</v>
      </c>
      <c r="T217" s="665">
        <v>-12.361489941461461</v>
      </c>
      <c r="U217" s="665">
        <v>846.73827678208715</v>
      </c>
    </row>
    <row r="218" spans="3:21" x14ac:dyDescent="0.2">
      <c r="C218" s="666"/>
      <c r="D218" s="667">
        <v>0</v>
      </c>
      <c r="E218" s="667">
        <v>0</v>
      </c>
      <c r="F218" s="667">
        <v>0</v>
      </c>
      <c r="G218" s="667">
        <v>0</v>
      </c>
      <c r="H218" s="674">
        <v>0</v>
      </c>
      <c r="I218" s="667">
        <v>0</v>
      </c>
      <c r="J218" s="667">
        <v>0</v>
      </c>
      <c r="K218" s="667">
        <v>0</v>
      </c>
      <c r="L218" s="667">
        <v>0</v>
      </c>
      <c r="M218" s="667">
        <v>0</v>
      </c>
      <c r="N218" s="667">
        <v>0</v>
      </c>
      <c r="O218" s="667">
        <v>0</v>
      </c>
      <c r="P218" s="667">
        <v>0</v>
      </c>
      <c r="Q218" s="667">
        <v>0</v>
      </c>
      <c r="R218" s="667">
        <v>0</v>
      </c>
      <c r="S218" s="667">
        <v>0</v>
      </c>
      <c r="T218" s="667">
        <v>0</v>
      </c>
      <c r="U218" s="667">
        <v>0</v>
      </c>
    </row>
    <row r="219" spans="3:21" x14ac:dyDescent="0.2">
      <c r="C219" s="668" t="s">
        <v>78</v>
      </c>
      <c r="D219" s="661">
        <v>3.4252792556992748</v>
      </c>
      <c r="E219" s="661">
        <v>0</v>
      </c>
      <c r="F219" s="661">
        <v>12.308271650577865</v>
      </c>
      <c r="G219" s="661">
        <v>0</v>
      </c>
      <c r="H219" s="661">
        <v>73.413026523981316</v>
      </c>
      <c r="I219" s="661">
        <v>0</v>
      </c>
      <c r="J219" s="661">
        <v>0</v>
      </c>
      <c r="K219" s="661">
        <v>0</v>
      </c>
      <c r="L219" s="661">
        <v>20.422417009283894</v>
      </c>
      <c r="M219" s="661">
        <v>2.602859968291809</v>
      </c>
      <c r="N219" s="661">
        <v>1.0285361411132812</v>
      </c>
      <c r="O219" s="661">
        <v>10.038234189816116</v>
      </c>
      <c r="P219" s="661">
        <v>3.4088933105468748</v>
      </c>
      <c r="Q219" s="661">
        <v>5.5791983277925228E-4</v>
      </c>
      <c r="R219" s="661">
        <v>125.34883441740973</v>
      </c>
      <c r="S219" s="661">
        <v>17.986846293297361</v>
      </c>
      <c r="T219" s="661">
        <v>2.0558867187500001</v>
      </c>
      <c r="U219" s="669">
        <v>272.03964339860033</v>
      </c>
    </row>
    <row r="220" spans="3:21" x14ac:dyDescent="0.2">
      <c r="C220" s="668" t="s">
        <v>79</v>
      </c>
      <c r="D220" s="661">
        <v>0</v>
      </c>
      <c r="E220" s="661">
        <v>0</v>
      </c>
      <c r="F220" s="661">
        <v>299.68098831610791</v>
      </c>
      <c r="G220" s="661">
        <v>0.15795207154289831</v>
      </c>
      <c r="H220" s="661">
        <v>4.9734474054962678</v>
      </c>
      <c r="I220" s="661">
        <v>0</v>
      </c>
      <c r="J220" s="661">
        <v>0</v>
      </c>
      <c r="K220" s="661">
        <v>0</v>
      </c>
      <c r="L220" s="661">
        <v>0</v>
      </c>
      <c r="M220" s="661">
        <v>0</v>
      </c>
      <c r="N220" s="661">
        <v>36.482323005879891</v>
      </c>
      <c r="O220" s="661">
        <v>0.67819737347676379</v>
      </c>
      <c r="P220" s="661">
        <v>0</v>
      </c>
      <c r="Q220" s="661">
        <v>0</v>
      </c>
      <c r="R220" s="661">
        <v>30.954972159028785</v>
      </c>
      <c r="S220" s="661">
        <v>0</v>
      </c>
      <c r="T220" s="661">
        <v>0.65150967495445122</v>
      </c>
      <c r="U220" s="669">
        <v>373.57939000648707</v>
      </c>
    </row>
    <row r="221" spans="3:21" x14ac:dyDescent="0.2">
      <c r="C221" s="668" t="s">
        <v>80</v>
      </c>
      <c r="D221" s="661">
        <v>0</v>
      </c>
      <c r="E221" s="661">
        <v>0</v>
      </c>
      <c r="F221" s="661">
        <v>4.6180690607080663</v>
      </c>
      <c r="G221" s="661">
        <v>0</v>
      </c>
      <c r="H221" s="661">
        <v>64.670833332730624</v>
      </c>
      <c r="I221" s="661">
        <v>0</v>
      </c>
      <c r="J221" s="661">
        <v>0</v>
      </c>
      <c r="K221" s="661">
        <v>0</v>
      </c>
      <c r="L221" s="661">
        <v>45.694565750921086</v>
      </c>
      <c r="M221" s="661">
        <v>0</v>
      </c>
      <c r="N221" s="661">
        <v>0</v>
      </c>
      <c r="O221" s="661">
        <v>8.8187499999178112</v>
      </c>
      <c r="P221" s="661">
        <v>71.668518554839707</v>
      </c>
      <c r="Q221" s="661">
        <v>1.8312707461125663</v>
      </c>
      <c r="R221" s="661">
        <v>167.58037418148072</v>
      </c>
      <c r="S221" s="661">
        <v>29.293864289346555</v>
      </c>
      <c r="T221" s="661">
        <v>0</v>
      </c>
      <c r="U221" s="669">
        <v>394.17624591605716</v>
      </c>
    </row>
    <row r="222" spans="3:21" x14ac:dyDescent="0.2">
      <c r="C222" s="668" t="s">
        <v>81</v>
      </c>
      <c r="D222" s="661">
        <v>0</v>
      </c>
      <c r="E222" s="661">
        <v>0</v>
      </c>
      <c r="F222" s="661">
        <v>5.9743988488591224</v>
      </c>
      <c r="G222" s="661">
        <v>0</v>
      </c>
      <c r="H222" s="661">
        <v>27.969082753856803</v>
      </c>
      <c r="I222" s="661">
        <v>0</v>
      </c>
      <c r="J222" s="661">
        <v>0</v>
      </c>
      <c r="K222" s="661">
        <v>0</v>
      </c>
      <c r="L222" s="661">
        <v>0.46314310358360405</v>
      </c>
      <c r="M222" s="661">
        <v>5.3454570882310241E-4</v>
      </c>
      <c r="N222" s="661">
        <v>0</v>
      </c>
      <c r="O222" s="661">
        <v>3.8139658300713819</v>
      </c>
      <c r="P222" s="661">
        <v>16.00449528116604</v>
      </c>
      <c r="Q222" s="661">
        <v>0.86463956078668247</v>
      </c>
      <c r="R222" s="661">
        <v>100.94959269616226</v>
      </c>
      <c r="S222" s="661">
        <v>18.690596972952971</v>
      </c>
      <c r="T222" s="661">
        <v>0</v>
      </c>
      <c r="U222" s="669">
        <v>174.73044959314768</v>
      </c>
    </row>
    <row r="223" spans="3:21" x14ac:dyDescent="0.2">
      <c r="C223" s="668" t="s">
        <v>82</v>
      </c>
      <c r="D223" s="661">
        <v>0</v>
      </c>
      <c r="E223" s="661">
        <v>0</v>
      </c>
      <c r="F223" s="661">
        <v>27.024104246708042</v>
      </c>
      <c r="G223" s="661">
        <v>0</v>
      </c>
      <c r="H223" s="661">
        <v>1.735774540709758</v>
      </c>
      <c r="I223" s="661">
        <v>0</v>
      </c>
      <c r="J223" s="661">
        <v>0</v>
      </c>
      <c r="K223" s="661">
        <v>0</v>
      </c>
      <c r="L223" s="661">
        <v>2.1723993471697325</v>
      </c>
      <c r="M223" s="661">
        <v>0</v>
      </c>
      <c r="N223" s="661">
        <v>4.6410977021219679</v>
      </c>
      <c r="O223" s="661">
        <v>0.23669652827860335</v>
      </c>
      <c r="P223" s="661">
        <v>0.5</v>
      </c>
      <c r="Q223" s="661">
        <v>0.62518456969816016</v>
      </c>
      <c r="R223" s="661">
        <v>7.6640280422278524</v>
      </c>
      <c r="S223" s="661">
        <v>0</v>
      </c>
      <c r="T223" s="661">
        <v>0.17366238047171115</v>
      </c>
      <c r="U223" s="669">
        <v>44.772947357385839</v>
      </c>
    </row>
    <row r="224" spans="3:21" x14ac:dyDescent="0.2">
      <c r="C224" s="668" t="s">
        <v>354</v>
      </c>
      <c r="D224" s="661">
        <v>0</v>
      </c>
      <c r="E224" s="661">
        <v>0</v>
      </c>
      <c r="F224" s="661">
        <v>0</v>
      </c>
      <c r="G224" s="661">
        <v>0</v>
      </c>
      <c r="H224" s="661">
        <v>0</v>
      </c>
      <c r="I224" s="661">
        <v>0</v>
      </c>
      <c r="J224" s="661">
        <v>0</v>
      </c>
      <c r="K224" s="661">
        <v>0</v>
      </c>
      <c r="L224" s="661">
        <v>0</v>
      </c>
      <c r="M224" s="661">
        <v>0</v>
      </c>
      <c r="N224" s="661">
        <v>0</v>
      </c>
      <c r="O224" s="661">
        <v>0</v>
      </c>
      <c r="P224" s="661">
        <v>0</v>
      </c>
      <c r="Q224" s="661">
        <v>0</v>
      </c>
      <c r="R224" s="661">
        <v>0</v>
      </c>
      <c r="S224" s="661">
        <v>0</v>
      </c>
      <c r="T224" s="661">
        <v>0</v>
      </c>
      <c r="U224" s="669">
        <v>0</v>
      </c>
    </row>
    <row r="225" spans="3:21" x14ac:dyDescent="0.2">
      <c r="C225" s="664" t="s">
        <v>83</v>
      </c>
      <c r="D225" s="665">
        <v>3.4252792556992748</v>
      </c>
      <c r="E225" s="665">
        <v>0</v>
      </c>
      <c r="F225" s="665">
        <v>349.60583212296103</v>
      </c>
      <c r="G225" s="665">
        <v>0.15795207154289831</v>
      </c>
      <c r="H225" s="673">
        <v>172.76216455677479</v>
      </c>
      <c r="I225" s="665">
        <v>0</v>
      </c>
      <c r="J225" s="665">
        <v>0</v>
      </c>
      <c r="K225" s="665">
        <v>0</v>
      </c>
      <c r="L225" s="665">
        <v>68.752525210958311</v>
      </c>
      <c r="M225" s="665">
        <v>2.603394514000632</v>
      </c>
      <c r="N225" s="665">
        <v>42.151956849115138</v>
      </c>
      <c r="O225" s="665">
        <v>23.585843921560677</v>
      </c>
      <c r="P225" s="665">
        <v>91.581907146552624</v>
      </c>
      <c r="Q225" s="665">
        <v>3.3216527964301883</v>
      </c>
      <c r="R225" s="665">
        <v>432.49780149630931</v>
      </c>
      <c r="S225" s="665">
        <v>65.97130755559688</v>
      </c>
      <c r="T225" s="665">
        <v>2.8810587741761626</v>
      </c>
      <c r="U225" s="665">
        <v>1259.2986762716782</v>
      </c>
    </row>
    <row r="226" spans="3:21" x14ac:dyDescent="0.2">
      <c r="C226" s="660" t="s">
        <v>84</v>
      </c>
      <c r="D226" s="661">
        <v>0</v>
      </c>
      <c r="E226" s="661">
        <v>0</v>
      </c>
      <c r="F226" s="661">
        <v>95.324260386983326</v>
      </c>
      <c r="G226" s="661">
        <v>1.5048882455619152</v>
      </c>
      <c r="H226" s="661">
        <v>10.356262080325934</v>
      </c>
      <c r="I226" s="661">
        <v>0</v>
      </c>
      <c r="J226" s="661">
        <v>0</v>
      </c>
      <c r="K226" s="661">
        <v>0</v>
      </c>
      <c r="L226" s="661">
        <v>0.11775416529838639</v>
      </c>
      <c r="M226" s="661">
        <v>0</v>
      </c>
      <c r="N226" s="661">
        <v>8.0702977228109543</v>
      </c>
      <c r="O226" s="661">
        <v>0.98433711774094745</v>
      </c>
      <c r="P226" s="661">
        <v>0</v>
      </c>
      <c r="Q226" s="661">
        <v>0</v>
      </c>
      <c r="R226" s="661">
        <v>0</v>
      </c>
      <c r="S226" s="661">
        <v>0</v>
      </c>
      <c r="T226" s="661">
        <v>9.4804311672852979</v>
      </c>
      <c r="U226" s="669">
        <v>125.83823088600677</v>
      </c>
    </row>
    <row r="227" spans="3:21" x14ac:dyDescent="0.2">
      <c r="C227" s="664" t="s">
        <v>85</v>
      </c>
      <c r="D227" s="665">
        <v>3.4252792556992748</v>
      </c>
      <c r="E227" s="665">
        <v>0</v>
      </c>
      <c r="F227" s="665">
        <v>444.9300925099443</v>
      </c>
      <c r="G227" s="665">
        <v>1.6628403171048136</v>
      </c>
      <c r="H227" s="673">
        <v>183.11842663710073</v>
      </c>
      <c r="I227" s="665">
        <v>0</v>
      </c>
      <c r="J227" s="665">
        <v>0</v>
      </c>
      <c r="K227" s="665">
        <v>0</v>
      </c>
      <c r="L227" s="665">
        <v>68.870279376256704</v>
      </c>
      <c r="M227" s="665">
        <v>2.603394514000632</v>
      </c>
      <c r="N227" s="665">
        <v>50.222254571926094</v>
      </c>
      <c r="O227" s="665">
        <v>24.570181039301623</v>
      </c>
      <c r="P227" s="665">
        <v>91.581907146552624</v>
      </c>
      <c r="Q227" s="665">
        <v>3.3216527964301883</v>
      </c>
      <c r="R227" s="665">
        <v>432.49780149630931</v>
      </c>
      <c r="S227" s="665">
        <v>65.97130755559688</v>
      </c>
      <c r="T227" s="665">
        <v>12.361489941461461</v>
      </c>
      <c r="U227" s="665">
        <v>1385.1369071576848</v>
      </c>
    </row>
    <row r="228" spans="3:21" x14ac:dyDescent="0.2">
      <c r="C228" s="652"/>
      <c r="D228" s="670">
        <v>0</v>
      </c>
      <c r="E228" s="670">
        <v>0</v>
      </c>
      <c r="F228" s="670">
        <v>-1.6342482922482304E-13</v>
      </c>
      <c r="G228" s="670">
        <v>-1.1102230246251565E-16</v>
      </c>
      <c r="H228" s="670">
        <v>0</v>
      </c>
      <c r="I228" s="670">
        <v>0</v>
      </c>
      <c r="J228" s="670">
        <v>0</v>
      </c>
      <c r="K228" s="670">
        <v>0</v>
      </c>
      <c r="L228" s="670">
        <v>0</v>
      </c>
      <c r="M228" s="670">
        <v>0</v>
      </c>
      <c r="N228" s="670">
        <v>-4.0337644107011572</v>
      </c>
      <c r="O228" s="670">
        <v>-1.2490009027033011E-15</v>
      </c>
      <c r="P228" s="670">
        <v>0</v>
      </c>
      <c r="Q228" s="670">
        <v>0</v>
      </c>
      <c r="R228" s="670">
        <v>-5.6843418860808015E-14</v>
      </c>
      <c r="S228" s="670">
        <v>1.4210854715202004E-14</v>
      </c>
      <c r="T228" s="670">
        <v>0</v>
      </c>
      <c r="U228" s="670">
        <v>-4.0337644107016786</v>
      </c>
    </row>
    <row r="229" spans="3:21" x14ac:dyDescent="0.2">
      <c r="C229" s="652"/>
      <c r="D229" s="652"/>
      <c r="E229" s="652"/>
      <c r="F229" s="652"/>
      <c r="G229" s="652"/>
      <c r="H229" s="652"/>
      <c r="I229" s="652"/>
      <c r="J229" s="652"/>
      <c r="K229" s="652"/>
      <c r="L229" s="652"/>
      <c r="M229" s="652"/>
      <c r="N229" s="652"/>
      <c r="O229" s="652"/>
      <c r="P229" s="652"/>
      <c r="Q229" s="652"/>
      <c r="R229" s="652"/>
      <c r="S229" s="652"/>
      <c r="T229" s="652"/>
      <c r="U229" s="652"/>
    </row>
    <row r="230" spans="3:21" ht="15" x14ac:dyDescent="0.25">
      <c r="C230" s="656" t="s">
        <v>357</v>
      </c>
      <c r="D230" s="657"/>
      <c r="E230" s="657"/>
      <c r="F230" s="657"/>
      <c r="G230" s="657"/>
      <c r="H230" s="657"/>
      <c r="I230" s="657"/>
      <c r="J230" s="657"/>
      <c r="K230" s="657"/>
      <c r="L230" s="657"/>
      <c r="M230" s="657"/>
      <c r="N230" s="657"/>
      <c r="O230" s="657"/>
      <c r="P230" s="657"/>
      <c r="Q230" s="657"/>
      <c r="R230" s="657"/>
      <c r="S230" s="657"/>
      <c r="T230" s="657"/>
      <c r="U230" s="657"/>
    </row>
    <row r="231" spans="3:21" x14ac:dyDescent="0.2">
      <c r="C231" s="652"/>
      <c r="D231" s="652"/>
      <c r="E231" s="652"/>
      <c r="F231" s="652"/>
      <c r="G231" s="652"/>
      <c r="H231" s="652"/>
      <c r="I231" s="652"/>
      <c r="J231" s="652"/>
      <c r="K231" s="652"/>
      <c r="L231" s="652"/>
      <c r="M231" s="652"/>
      <c r="N231" s="652"/>
      <c r="O231" s="652"/>
      <c r="P231" s="652"/>
      <c r="Q231" s="652"/>
      <c r="R231" s="652"/>
      <c r="S231" s="652"/>
      <c r="T231" s="652"/>
      <c r="U231" s="652"/>
    </row>
    <row r="232" spans="3:21" x14ac:dyDescent="0.2">
      <c r="C232" s="773" t="s">
        <v>128</v>
      </c>
      <c r="D232" s="768" t="s">
        <v>42</v>
      </c>
      <c r="E232" s="768" t="s">
        <v>52</v>
      </c>
      <c r="F232" s="768" t="s">
        <v>53</v>
      </c>
      <c r="G232" s="768" t="s">
        <v>482</v>
      </c>
      <c r="H232" s="768" t="s">
        <v>32</v>
      </c>
      <c r="I232" s="768" t="s">
        <v>483</v>
      </c>
      <c r="J232" s="768" t="s">
        <v>20</v>
      </c>
      <c r="K232" s="768" t="s">
        <v>55</v>
      </c>
      <c r="L232" s="770" t="s">
        <v>56</v>
      </c>
      <c r="M232" s="771"/>
      <c r="N232" s="771"/>
      <c r="O232" s="771"/>
      <c r="P232" s="771"/>
      <c r="Q232" s="772"/>
      <c r="R232" s="768" t="s">
        <v>57</v>
      </c>
      <c r="S232" s="768" t="s">
        <v>58</v>
      </c>
      <c r="T232" s="768" t="s">
        <v>31</v>
      </c>
      <c r="U232" s="768" t="s">
        <v>10</v>
      </c>
    </row>
    <row r="233" spans="3:21" ht="36" x14ac:dyDescent="0.2">
      <c r="C233" s="774"/>
      <c r="D233" s="769"/>
      <c r="E233" s="769"/>
      <c r="F233" s="769"/>
      <c r="G233" s="769"/>
      <c r="H233" s="769"/>
      <c r="I233" s="769"/>
      <c r="J233" s="769"/>
      <c r="K233" s="769"/>
      <c r="L233" s="658" t="s">
        <v>335</v>
      </c>
      <c r="M233" s="658" t="s">
        <v>40</v>
      </c>
      <c r="N233" s="658" t="s">
        <v>343</v>
      </c>
      <c r="O233" s="658" t="s">
        <v>344</v>
      </c>
      <c r="P233" s="659" t="s">
        <v>345</v>
      </c>
      <c r="Q233" s="658" t="s">
        <v>346</v>
      </c>
      <c r="R233" s="769"/>
      <c r="S233" s="769"/>
      <c r="T233" s="769"/>
      <c r="U233" s="769"/>
    </row>
    <row r="234" spans="3:21" x14ac:dyDescent="0.2">
      <c r="C234" s="660" t="s">
        <v>59</v>
      </c>
      <c r="D234" s="661">
        <v>0</v>
      </c>
      <c r="E234" s="661">
        <v>7.3966799999999999</v>
      </c>
      <c r="F234" s="661">
        <v>0</v>
      </c>
      <c r="G234" s="661">
        <v>0</v>
      </c>
      <c r="H234" s="661">
        <v>0.13025600000000001</v>
      </c>
      <c r="I234" s="661">
        <v>0</v>
      </c>
      <c r="J234" s="662">
        <v>971.7407012865051</v>
      </c>
      <c r="K234" s="662">
        <v>238.60019675974834</v>
      </c>
      <c r="L234" s="662">
        <v>253.57041800278802</v>
      </c>
      <c r="M234" s="662">
        <v>27.222029344024044</v>
      </c>
      <c r="N234" s="661">
        <v>1.4753548538560814</v>
      </c>
      <c r="O234" s="661">
        <v>0.15089220372740705</v>
      </c>
      <c r="P234" s="662">
        <v>105.39487042391544</v>
      </c>
      <c r="Q234" s="662">
        <v>15.052128201204939</v>
      </c>
      <c r="R234" s="661">
        <v>0</v>
      </c>
      <c r="S234" s="661">
        <v>0</v>
      </c>
      <c r="T234" s="661">
        <v>0</v>
      </c>
      <c r="U234" s="663">
        <v>1620.7335270757692</v>
      </c>
    </row>
    <row r="235" spans="3:21" x14ac:dyDescent="0.2">
      <c r="C235" s="660" t="s">
        <v>60</v>
      </c>
      <c r="D235" s="661">
        <v>17.481730816264069</v>
      </c>
      <c r="E235" s="661">
        <v>368.30859161745235</v>
      </c>
      <c r="F235" s="661">
        <v>88.290951016716463</v>
      </c>
      <c r="G235" s="661">
        <v>0.96271456308499825</v>
      </c>
      <c r="H235" s="661">
        <v>189.89235302255372</v>
      </c>
      <c r="I235" s="661">
        <v>0</v>
      </c>
      <c r="J235" s="661">
        <v>0</v>
      </c>
      <c r="K235" s="661">
        <v>0</v>
      </c>
      <c r="L235" s="661">
        <v>3.0227324829465219</v>
      </c>
      <c r="M235" s="661">
        <v>0</v>
      </c>
      <c r="N235" s="661">
        <v>3.4911647532197585</v>
      </c>
      <c r="O235" s="661">
        <v>0</v>
      </c>
      <c r="P235" s="661">
        <v>0</v>
      </c>
      <c r="Q235" s="661">
        <v>0</v>
      </c>
      <c r="R235" s="661">
        <v>0</v>
      </c>
      <c r="S235" s="661">
        <v>0</v>
      </c>
      <c r="T235" s="661">
        <v>0</v>
      </c>
      <c r="U235" s="663">
        <v>671.45023827223793</v>
      </c>
    </row>
    <row r="236" spans="3:21" x14ac:dyDescent="0.2">
      <c r="C236" s="660" t="s">
        <v>61</v>
      </c>
      <c r="D236" s="661">
        <v>0</v>
      </c>
      <c r="E236" s="661">
        <v>0</v>
      </c>
      <c r="F236" s="661">
        <v>-0.25412033446216642</v>
      </c>
      <c r="G236" s="661">
        <v>0</v>
      </c>
      <c r="H236" s="661">
        <v>0</v>
      </c>
      <c r="I236" s="661">
        <v>0</v>
      </c>
      <c r="J236" s="661">
        <v>0</v>
      </c>
      <c r="K236" s="661">
        <v>0</v>
      </c>
      <c r="L236" s="661">
        <v>0</v>
      </c>
      <c r="M236" s="661">
        <v>0</v>
      </c>
      <c r="N236" s="661">
        <v>0</v>
      </c>
      <c r="O236" s="661">
        <v>0</v>
      </c>
      <c r="P236" s="661">
        <v>0</v>
      </c>
      <c r="Q236" s="661">
        <v>0</v>
      </c>
      <c r="R236" s="661">
        <v>-39.430412100204194</v>
      </c>
      <c r="S236" s="661">
        <v>0</v>
      </c>
      <c r="T236" s="661">
        <v>0</v>
      </c>
      <c r="U236" s="663">
        <v>-39.684532434666359</v>
      </c>
    </row>
    <row r="237" spans="3:21" x14ac:dyDescent="0.2">
      <c r="C237" s="660" t="s">
        <v>62</v>
      </c>
      <c r="D237" s="661">
        <v>0</v>
      </c>
      <c r="E237" s="661">
        <v>0</v>
      </c>
      <c r="F237" s="661">
        <v>-14.25530176013427</v>
      </c>
      <c r="G237" s="661">
        <v>-0.84519248028876315</v>
      </c>
      <c r="H237" s="661">
        <v>-3.1313337287141003</v>
      </c>
      <c r="I237" s="661">
        <v>0</v>
      </c>
      <c r="J237" s="661">
        <v>0</v>
      </c>
      <c r="K237" s="661">
        <v>0</v>
      </c>
      <c r="L237" s="661">
        <v>0</v>
      </c>
      <c r="M237" s="661">
        <v>0</v>
      </c>
      <c r="N237" s="661">
        <v>-0.51271510605917692</v>
      </c>
      <c r="O237" s="661">
        <v>-0.83237985193665964</v>
      </c>
      <c r="P237" s="661">
        <v>0</v>
      </c>
      <c r="Q237" s="661">
        <v>0</v>
      </c>
      <c r="R237" s="661">
        <v>0</v>
      </c>
      <c r="S237" s="661">
        <v>0</v>
      </c>
      <c r="T237" s="661">
        <v>0</v>
      </c>
      <c r="U237" s="663">
        <v>-19.576922927132969</v>
      </c>
    </row>
    <row r="238" spans="3:21" x14ac:dyDescent="0.2">
      <c r="C238" s="660" t="s">
        <v>63</v>
      </c>
      <c r="D238" s="661">
        <v>0</v>
      </c>
      <c r="E238" s="661">
        <v>0</v>
      </c>
      <c r="F238" s="661">
        <v>-65.50346802559632</v>
      </c>
      <c r="G238" s="661">
        <v>-2.6636790811189917</v>
      </c>
      <c r="H238" s="661">
        <v>0</v>
      </c>
      <c r="I238" s="661">
        <v>0</v>
      </c>
      <c r="J238" s="661">
        <v>0</v>
      </c>
      <c r="K238" s="661">
        <v>0</v>
      </c>
      <c r="L238" s="661">
        <v>0</v>
      </c>
      <c r="M238" s="661">
        <v>0</v>
      </c>
      <c r="N238" s="661">
        <v>-8.704547136030067</v>
      </c>
      <c r="O238" s="661">
        <v>0</v>
      </c>
      <c r="P238" s="661">
        <v>0</v>
      </c>
      <c r="Q238" s="661">
        <v>0</v>
      </c>
      <c r="R238" s="661">
        <v>0</v>
      </c>
      <c r="S238" s="661">
        <v>0</v>
      </c>
      <c r="T238" s="661">
        <v>-8.5933245803094055E-2</v>
      </c>
      <c r="U238" s="663">
        <v>-76.957627488548468</v>
      </c>
    </row>
    <row r="239" spans="3:21" x14ac:dyDescent="0.2">
      <c r="C239" s="660" t="s">
        <v>64</v>
      </c>
      <c r="D239" s="661">
        <v>0</v>
      </c>
      <c r="E239" s="661">
        <v>0</v>
      </c>
      <c r="F239" s="661">
        <v>0</v>
      </c>
      <c r="G239" s="661">
        <v>0</v>
      </c>
      <c r="H239" s="661">
        <v>0</v>
      </c>
      <c r="I239" s="661">
        <v>0</v>
      </c>
      <c r="J239" s="661">
        <v>0</v>
      </c>
      <c r="K239" s="661">
        <v>0</v>
      </c>
      <c r="L239" s="661">
        <v>0</v>
      </c>
      <c r="M239" s="661">
        <v>0</v>
      </c>
      <c r="N239" s="661">
        <v>0</v>
      </c>
      <c r="O239" s="661">
        <v>0</v>
      </c>
      <c r="P239" s="661">
        <v>0</v>
      </c>
      <c r="Q239" s="661">
        <v>0</v>
      </c>
      <c r="R239" s="661">
        <v>0</v>
      </c>
      <c r="S239" s="661">
        <v>0</v>
      </c>
      <c r="T239" s="661">
        <v>0</v>
      </c>
      <c r="U239" s="663">
        <v>0</v>
      </c>
    </row>
    <row r="240" spans="3:21" x14ac:dyDescent="0.2">
      <c r="C240" s="664" t="s">
        <v>65</v>
      </c>
      <c r="D240" s="665">
        <v>17.481730816264069</v>
      </c>
      <c r="E240" s="665">
        <v>375.70527161745235</v>
      </c>
      <c r="F240" s="665">
        <v>8.2780608965236979</v>
      </c>
      <c r="G240" s="665">
        <v>-2.5461569983227568</v>
      </c>
      <c r="H240" s="673">
        <v>186.89127529383961</v>
      </c>
      <c r="I240" s="665">
        <v>0</v>
      </c>
      <c r="J240" s="665">
        <v>971.7407012865051</v>
      </c>
      <c r="K240" s="665">
        <v>238.60019675974834</v>
      </c>
      <c r="L240" s="665">
        <v>256.59315048573455</v>
      </c>
      <c r="M240" s="665">
        <v>27.222029344024044</v>
      </c>
      <c r="N240" s="665">
        <v>-4.2507426350134043</v>
      </c>
      <c r="O240" s="665">
        <v>-0.68148764820925256</v>
      </c>
      <c r="P240" s="665">
        <v>105.39487042391544</v>
      </c>
      <c r="Q240" s="665">
        <v>15.052128201204939</v>
      </c>
      <c r="R240" s="665">
        <v>-39.430412100204194</v>
      </c>
      <c r="S240" s="665">
        <v>0</v>
      </c>
      <c r="T240" s="665">
        <v>-8.5933245803094055E-2</v>
      </c>
      <c r="U240" s="665">
        <v>2155.9646824976594</v>
      </c>
    </row>
    <row r="241" spans="3:21" x14ac:dyDescent="0.2">
      <c r="C241" s="666"/>
      <c r="D241" s="667">
        <v>0</v>
      </c>
      <c r="E241" s="667">
        <v>0</v>
      </c>
      <c r="F241" s="667">
        <v>0</v>
      </c>
      <c r="G241" s="667">
        <v>0</v>
      </c>
      <c r="H241" s="674">
        <v>0</v>
      </c>
      <c r="I241" s="667">
        <v>0</v>
      </c>
      <c r="J241" s="667">
        <v>0</v>
      </c>
      <c r="K241" s="667">
        <v>0</v>
      </c>
      <c r="L241" s="667">
        <v>0</v>
      </c>
      <c r="M241" s="667">
        <v>0</v>
      </c>
      <c r="N241" s="667">
        <v>0</v>
      </c>
      <c r="O241" s="667">
        <v>0</v>
      </c>
      <c r="P241" s="667">
        <v>0</v>
      </c>
      <c r="Q241" s="667">
        <v>0</v>
      </c>
      <c r="R241" s="667">
        <v>0</v>
      </c>
      <c r="S241" s="667">
        <v>0</v>
      </c>
      <c r="T241" s="667">
        <v>0</v>
      </c>
      <c r="U241" s="667">
        <v>0</v>
      </c>
    </row>
    <row r="242" spans="3:21" x14ac:dyDescent="0.2">
      <c r="C242" s="668" t="s">
        <v>67</v>
      </c>
      <c r="D242" s="661">
        <v>0</v>
      </c>
      <c r="E242" s="661">
        <v>0</v>
      </c>
      <c r="F242" s="661">
        <v>0</v>
      </c>
      <c r="G242" s="661">
        <v>0</v>
      </c>
      <c r="H242" s="661">
        <v>0</v>
      </c>
      <c r="I242" s="661">
        <v>0</v>
      </c>
      <c r="J242" s="661">
        <v>0</v>
      </c>
      <c r="K242" s="661">
        <v>0</v>
      </c>
      <c r="L242" s="661">
        <v>0</v>
      </c>
      <c r="M242" s="661">
        <v>0</v>
      </c>
      <c r="N242" s="661">
        <v>0</v>
      </c>
      <c r="O242" s="661">
        <v>0</v>
      </c>
      <c r="P242" s="661">
        <v>0</v>
      </c>
      <c r="Q242" s="661">
        <v>0</v>
      </c>
      <c r="R242" s="661">
        <v>0</v>
      </c>
      <c r="S242" s="661">
        <v>0</v>
      </c>
      <c r="T242" s="661">
        <v>0</v>
      </c>
      <c r="U242" s="669">
        <v>0</v>
      </c>
    </row>
    <row r="243" spans="3:21" x14ac:dyDescent="0.2">
      <c r="C243" s="668" t="s">
        <v>347</v>
      </c>
      <c r="D243" s="661">
        <v>0</v>
      </c>
      <c r="E243" s="661">
        <v>0</v>
      </c>
      <c r="F243" s="661">
        <v>0.79278558393774012</v>
      </c>
      <c r="G243" s="661">
        <v>0</v>
      </c>
      <c r="H243" s="661">
        <v>19.865967473344622</v>
      </c>
      <c r="I243" s="661">
        <v>0</v>
      </c>
      <c r="J243" s="661">
        <v>971.7407012865051</v>
      </c>
      <c r="K243" s="661">
        <v>238.60019675974834</v>
      </c>
      <c r="L243" s="661">
        <v>26.063195396520957</v>
      </c>
      <c r="M243" s="661">
        <v>9.83092180533645</v>
      </c>
      <c r="N243" s="661">
        <v>4.7819832265678626</v>
      </c>
      <c r="O243" s="661">
        <v>4.4668310287108053</v>
      </c>
      <c r="P243" s="661">
        <v>0</v>
      </c>
      <c r="Q243" s="661">
        <v>1.6766395861963883</v>
      </c>
      <c r="R243" s="661">
        <v>-590.46816243021931</v>
      </c>
      <c r="S243" s="661">
        <v>0</v>
      </c>
      <c r="T243" s="661">
        <v>0</v>
      </c>
      <c r="U243" s="669">
        <v>687.35105971664882</v>
      </c>
    </row>
    <row r="244" spans="3:21" x14ac:dyDescent="0.2">
      <c r="C244" s="668" t="s">
        <v>348</v>
      </c>
      <c r="D244" s="661">
        <v>0</v>
      </c>
      <c r="E244" s="661">
        <v>0</v>
      </c>
      <c r="F244" s="661">
        <v>0</v>
      </c>
      <c r="G244" s="661">
        <v>0</v>
      </c>
      <c r="H244" s="661">
        <v>14.235464329282825</v>
      </c>
      <c r="I244" s="661">
        <v>0</v>
      </c>
      <c r="J244" s="661">
        <v>0</v>
      </c>
      <c r="K244" s="661">
        <v>0</v>
      </c>
      <c r="L244" s="661">
        <v>35.236777417757288</v>
      </c>
      <c r="M244" s="661">
        <v>14.842062220534972</v>
      </c>
      <c r="N244" s="661">
        <v>0</v>
      </c>
      <c r="O244" s="661">
        <v>4.2657087375224645</v>
      </c>
      <c r="P244" s="661">
        <v>0</v>
      </c>
      <c r="Q244" s="661">
        <v>9.4996550719303219</v>
      </c>
      <c r="R244" s="661">
        <v>0</v>
      </c>
      <c r="S244" s="661">
        <v>-71.457959708478597</v>
      </c>
      <c r="T244" s="661">
        <v>0</v>
      </c>
      <c r="U244" s="669">
        <v>6.6217080685492906</v>
      </c>
    </row>
    <row r="245" spans="3:21" x14ac:dyDescent="0.2">
      <c r="C245" s="668" t="s">
        <v>349</v>
      </c>
      <c r="D245" s="661">
        <v>0</v>
      </c>
      <c r="E245" s="661">
        <v>0</v>
      </c>
      <c r="F245" s="661">
        <v>0</v>
      </c>
      <c r="G245" s="661">
        <v>0</v>
      </c>
      <c r="H245" s="661">
        <v>0</v>
      </c>
      <c r="I245" s="661">
        <v>0</v>
      </c>
      <c r="J245" s="661">
        <v>0</v>
      </c>
      <c r="K245" s="661">
        <v>0</v>
      </c>
      <c r="L245" s="661">
        <v>54.240393023043787</v>
      </c>
      <c r="M245" s="661">
        <v>0</v>
      </c>
      <c r="N245" s="661">
        <v>0</v>
      </c>
      <c r="O245" s="661">
        <v>-49.062756106209015</v>
      </c>
      <c r="P245" s="661">
        <v>0</v>
      </c>
      <c r="Q245" s="661">
        <v>0</v>
      </c>
      <c r="R245" s="661">
        <v>0</v>
      </c>
      <c r="S245" s="661">
        <v>0</v>
      </c>
      <c r="T245" s="661">
        <v>0</v>
      </c>
      <c r="U245" s="669">
        <v>5.1776369168347713</v>
      </c>
    </row>
    <row r="246" spans="3:21" x14ac:dyDescent="0.2">
      <c r="C246" s="668" t="s">
        <v>350</v>
      </c>
      <c r="D246" s="661">
        <v>0</v>
      </c>
      <c r="E246" s="661">
        <v>0</v>
      </c>
      <c r="F246" s="661">
        <v>0</v>
      </c>
      <c r="G246" s="661">
        <v>0</v>
      </c>
      <c r="H246" s="661">
        <v>0</v>
      </c>
      <c r="I246" s="661">
        <v>0</v>
      </c>
      <c r="J246" s="661">
        <v>0</v>
      </c>
      <c r="K246" s="661">
        <v>0</v>
      </c>
      <c r="L246" s="661">
        <v>0</v>
      </c>
      <c r="M246" s="661">
        <v>0</v>
      </c>
      <c r="N246" s="661">
        <v>0</v>
      </c>
      <c r="O246" s="661">
        <v>0</v>
      </c>
      <c r="P246" s="661">
        <v>0</v>
      </c>
      <c r="Q246" s="661">
        <v>0</v>
      </c>
      <c r="R246" s="661">
        <v>0</v>
      </c>
      <c r="S246" s="661">
        <v>0</v>
      </c>
      <c r="T246" s="661">
        <v>0</v>
      </c>
      <c r="U246" s="669">
        <v>0</v>
      </c>
    </row>
    <row r="247" spans="3:21" x14ac:dyDescent="0.2">
      <c r="C247" s="668" t="s">
        <v>72</v>
      </c>
      <c r="D247" s="661">
        <v>0</v>
      </c>
      <c r="E247" s="661">
        <v>389.35548440642862</v>
      </c>
      <c r="F247" s="661">
        <v>-385.47782639146612</v>
      </c>
      <c r="G247" s="661">
        <v>0</v>
      </c>
      <c r="H247" s="661">
        <v>0</v>
      </c>
      <c r="I247" s="661">
        <v>0</v>
      </c>
      <c r="J247" s="661">
        <v>0</v>
      </c>
      <c r="K247" s="661">
        <v>0</v>
      </c>
      <c r="L247" s="661">
        <v>0</v>
      </c>
      <c r="M247" s="661">
        <v>0</v>
      </c>
      <c r="N247" s="661">
        <v>0</v>
      </c>
      <c r="O247" s="661">
        <v>0</v>
      </c>
      <c r="P247" s="661">
        <v>0</v>
      </c>
      <c r="Q247" s="661">
        <v>0</v>
      </c>
      <c r="R247" s="661">
        <v>0</v>
      </c>
      <c r="S247" s="661">
        <v>0</v>
      </c>
      <c r="T247" s="661">
        <v>0</v>
      </c>
      <c r="U247" s="669">
        <v>3.8776580149625208</v>
      </c>
    </row>
    <row r="248" spans="3:21" x14ac:dyDescent="0.2">
      <c r="C248" s="668" t="s">
        <v>351</v>
      </c>
      <c r="D248" s="661">
        <v>0</v>
      </c>
      <c r="E248" s="661">
        <v>0</v>
      </c>
      <c r="F248" s="661">
        <v>0</v>
      </c>
      <c r="G248" s="661">
        <v>0</v>
      </c>
      <c r="H248" s="661">
        <v>0</v>
      </c>
      <c r="I248" s="661">
        <v>0</v>
      </c>
      <c r="J248" s="661">
        <v>0</v>
      </c>
      <c r="K248" s="661">
        <v>0</v>
      </c>
      <c r="L248" s="661">
        <v>76.110674115305528</v>
      </c>
      <c r="M248" s="661">
        <v>0</v>
      </c>
      <c r="N248" s="661">
        <v>-76.110674115305528</v>
      </c>
      <c r="O248" s="661">
        <v>0</v>
      </c>
      <c r="P248" s="661">
        <v>0</v>
      </c>
      <c r="Q248" s="661">
        <v>0</v>
      </c>
      <c r="R248" s="661">
        <v>0</v>
      </c>
      <c r="S248" s="661">
        <v>0</v>
      </c>
      <c r="T248" s="661">
        <v>0</v>
      </c>
      <c r="U248" s="669">
        <v>0</v>
      </c>
    </row>
    <row r="249" spans="3:21" x14ac:dyDescent="0.2">
      <c r="C249" s="668" t="s">
        <v>352</v>
      </c>
      <c r="D249" s="661">
        <v>0</v>
      </c>
      <c r="E249" s="661">
        <v>0</v>
      </c>
      <c r="F249" s="661">
        <v>0</v>
      </c>
      <c r="G249" s="661">
        <v>-5.3679652793818873</v>
      </c>
      <c r="H249" s="661">
        <v>0</v>
      </c>
      <c r="I249" s="661">
        <v>0</v>
      </c>
      <c r="J249" s="661">
        <v>0</v>
      </c>
      <c r="K249" s="661">
        <v>0</v>
      </c>
      <c r="L249" s="661">
        <v>0</v>
      </c>
      <c r="M249" s="661">
        <v>0</v>
      </c>
      <c r="N249" s="661">
        <v>0</v>
      </c>
      <c r="O249" s="661">
        <v>0</v>
      </c>
      <c r="P249" s="661">
        <v>0</v>
      </c>
      <c r="Q249" s="661">
        <v>0</v>
      </c>
      <c r="R249" s="661">
        <v>0</v>
      </c>
      <c r="S249" s="661">
        <v>0</v>
      </c>
      <c r="T249" s="661">
        <v>7.4762747623703172</v>
      </c>
      <c r="U249" s="669">
        <v>2.1083094829884299</v>
      </c>
    </row>
    <row r="250" spans="3:21" x14ac:dyDescent="0.2">
      <c r="C250" s="668" t="s">
        <v>73</v>
      </c>
      <c r="D250" s="661">
        <v>0</v>
      </c>
      <c r="E250" s="661">
        <v>0</v>
      </c>
      <c r="F250" s="661">
        <v>0</v>
      </c>
      <c r="G250" s="661">
        <v>0</v>
      </c>
      <c r="H250" s="661">
        <v>0</v>
      </c>
      <c r="I250" s="661">
        <v>0</v>
      </c>
      <c r="J250" s="661">
        <v>0</v>
      </c>
      <c r="K250" s="661">
        <v>0</v>
      </c>
      <c r="L250" s="661">
        <v>0</v>
      </c>
      <c r="M250" s="661">
        <v>0</v>
      </c>
      <c r="N250" s="661">
        <v>0</v>
      </c>
      <c r="O250" s="661">
        <v>0</v>
      </c>
      <c r="P250" s="661">
        <v>0</v>
      </c>
      <c r="Q250" s="661">
        <v>0</v>
      </c>
      <c r="R250" s="661">
        <v>40.318919655124205</v>
      </c>
      <c r="S250" s="661">
        <v>0</v>
      </c>
      <c r="T250" s="661">
        <v>-26.630646432209534</v>
      </c>
      <c r="U250" s="669">
        <v>13.68827322291467</v>
      </c>
    </row>
    <row r="251" spans="3:21" x14ac:dyDescent="0.2">
      <c r="C251" s="668" t="s">
        <v>353</v>
      </c>
      <c r="D251" s="661">
        <v>10.05823125</v>
      </c>
      <c r="E251" s="661">
        <v>-13.65021278897626</v>
      </c>
      <c r="F251" s="661">
        <v>17.774822682354454</v>
      </c>
      <c r="G251" s="661">
        <v>0</v>
      </c>
      <c r="H251" s="661">
        <v>0</v>
      </c>
      <c r="I251" s="661">
        <v>0</v>
      </c>
      <c r="J251" s="661">
        <v>0</v>
      </c>
      <c r="K251" s="661">
        <v>0</v>
      </c>
      <c r="L251" s="661">
        <v>0</v>
      </c>
      <c r="M251" s="661">
        <v>0</v>
      </c>
      <c r="N251" s="661">
        <v>0</v>
      </c>
      <c r="O251" s="661">
        <v>0</v>
      </c>
      <c r="P251" s="661">
        <v>0</v>
      </c>
      <c r="Q251" s="661">
        <v>0</v>
      </c>
      <c r="R251" s="661">
        <v>0</v>
      </c>
      <c r="S251" s="661">
        <v>0</v>
      </c>
      <c r="T251" s="661">
        <v>0</v>
      </c>
      <c r="U251" s="669">
        <v>14.182841143378196</v>
      </c>
    </row>
    <row r="252" spans="3:21" x14ac:dyDescent="0.2">
      <c r="C252" s="668" t="s">
        <v>75</v>
      </c>
      <c r="D252" s="661">
        <v>3.9115343750000005</v>
      </c>
      <c r="E252" s="661">
        <v>0</v>
      </c>
      <c r="F252" s="661">
        <v>18.970841206198273</v>
      </c>
      <c r="G252" s="661">
        <v>0</v>
      </c>
      <c r="H252" s="661">
        <v>4.3082366200216411</v>
      </c>
      <c r="I252" s="661">
        <v>0</v>
      </c>
      <c r="J252" s="661">
        <v>0</v>
      </c>
      <c r="K252" s="661">
        <v>0</v>
      </c>
      <c r="L252" s="661">
        <v>0</v>
      </c>
      <c r="M252" s="661">
        <v>0</v>
      </c>
      <c r="N252" s="661">
        <v>0</v>
      </c>
      <c r="O252" s="661">
        <v>1.1452274559551199</v>
      </c>
      <c r="P252" s="661">
        <v>0</v>
      </c>
      <c r="Q252" s="661">
        <v>0</v>
      </c>
      <c r="R252" s="661">
        <v>24.58367294682958</v>
      </c>
      <c r="S252" s="661">
        <v>0</v>
      </c>
      <c r="T252" s="661">
        <v>0</v>
      </c>
      <c r="U252" s="669">
        <v>52.919512604004616</v>
      </c>
    </row>
    <row r="253" spans="3:21" x14ac:dyDescent="0.2">
      <c r="C253" s="668" t="s">
        <v>76</v>
      </c>
      <c r="D253" s="661">
        <v>0</v>
      </c>
      <c r="E253" s="661">
        <v>0</v>
      </c>
      <c r="F253" s="661">
        <v>0</v>
      </c>
      <c r="G253" s="661">
        <v>0</v>
      </c>
      <c r="H253" s="661">
        <v>2.138992514097271</v>
      </c>
      <c r="I253" s="661">
        <v>0</v>
      </c>
      <c r="J253" s="661">
        <v>0</v>
      </c>
      <c r="K253" s="661">
        <v>0</v>
      </c>
      <c r="L253" s="661">
        <v>0</v>
      </c>
      <c r="M253" s="661">
        <v>0</v>
      </c>
      <c r="N253" s="661">
        <v>0</v>
      </c>
      <c r="O253" s="661">
        <v>0.56859294678535055</v>
      </c>
      <c r="P253" s="661">
        <v>0</v>
      </c>
      <c r="Q253" s="661">
        <v>0</v>
      </c>
      <c r="R253" s="661">
        <v>42.191455549105193</v>
      </c>
      <c r="S253" s="661">
        <v>5.5417484036628721</v>
      </c>
      <c r="T253" s="661">
        <v>0</v>
      </c>
      <c r="U253" s="669">
        <v>50.440789413650684</v>
      </c>
    </row>
    <row r="254" spans="3:21" x14ac:dyDescent="0.2">
      <c r="C254" s="664" t="s">
        <v>77</v>
      </c>
      <c r="D254" s="665">
        <v>13.969765625000001</v>
      </c>
      <c r="E254" s="665">
        <v>375.70527161745235</v>
      </c>
      <c r="F254" s="665">
        <v>-347.93937691897565</v>
      </c>
      <c r="G254" s="665">
        <v>-5.3679652793818873</v>
      </c>
      <c r="H254" s="673">
        <v>40.548660936746352</v>
      </c>
      <c r="I254" s="665">
        <v>0</v>
      </c>
      <c r="J254" s="665">
        <v>971.7407012865051</v>
      </c>
      <c r="K254" s="665">
        <v>238.60019675974834</v>
      </c>
      <c r="L254" s="665">
        <v>191.65103995262757</v>
      </c>
      <c r="M254" s="665">
        <v>24.672984025871422</v>
      </c>
      <c r="N254" s="665">
        <v>-71.328690888737668</v>
      </c>
      <c r="O254" s="665">
        <v>-38.616395937235275</v>
      </c>
      <c r="P254" s="665">
        <v>0</v>
      </c>
      <c r="Q254" s="665">
        <v>11.176294658126709</v>
      </c>
      <c r="R254" s="665">
        <v>-483.37411427916032</v>
      </c>
      <c r="S254" s="665">
        <v>-65.916211304815732</v>
      </c>
      <c r="T254" s="665">
        <v>-19.154371669839218</v>
      </c>
      <c r="U254" s="665">
        <v>836.36778858393188</v>
      </c>
    </row>
    <row r="255" spans="3:21" x14ac:dyDescent="0.2">
      <c r="C255" s="666"/>
      <c r="D255" s="667">
        <v>0</v>
      </c>
      <c r="E255" s="667">
        <v>0</v>
      </c>
      <c r="F255" s="667">
        <v>0</v>
      </c>
      <c r="G255" s="667">
        <v>0</v>
      </c>
      <c r="H255" s="674">
        <v>0</v>
      </c>
      <c r="I255" s="667">
        <v>0</v>
      </c>
      <c r="J255" s="667">
        <v>0</v>
      </c>
      <c r="K255" s="667">
        <v>0</v>
      </c>
      <c r="L255" s="667">
        <v>0</v>
      </c>
      <c r="M255" s="667">
        <v>0</v>
      </c>
      <c r="N255" s="667">
        <v>0</v>
      </c>
      <c r="O255" s="667">
        <v>0</v>
      </c>
      <c r="P255" s="667">
        <v>0</v>
      </c>
      <c r="Q255" s="667">
        <v>0</v>
      </c>
      <c r="R255" s="667">
        <v>0</v>
      </c>
      <c r="S255" s="667">
        <v>0</v>
      </c>
      <c r="T255" s="667">
        <v>0</v>
      </c>
      <c r="U255" s="667">
        <v>0</v>
      </c>
    </row>
    <row r="256" spans="3:21" x14ac:dyDescent="0.2">
      <c r="C256" s="668" t="s">
        <v>78</v>
      </c>
      <c r="D256" s="661">
        <v>3.5119651912640659</v>
      </c>
      <c r="E256" s="661">
        <v>0</v>
      </c>
      <c r="F256" s="661">
        <v>10.329791866978772</v>
      </c>
      <c r="G256" s="661">
        <v>0</v>
      </c>
      <c r="H256" s="661">
        <v>59.22498419444846</v>
      </c>
      <c r="I256" s="661">
        <v>0</v>
      </c>
      <c r="J256" s="661">
        <v>0</v>
      </c>
      <c r="K256" s="661">
        <v>0</v>
      </c>
      <c r="L256" s="661">
        <v>20.32032070760291</v>
      </c>
      <c r="M256" s="661">
        <v>2.5485507721439489</v>
      </c>
      <c r="N256" s="661">
        <v>1.1054608081054689</v>
      </c>
      <c r="O256" s="661">
        <v>15.774676477466111</v>
      </c>
      <c r="P256" s="661">
        <v>4.7115375976562497</v>
      </c>
      <c r="Q256" s="661">
        <v>6.3863689419622622E-4</v>
      </c>
      <c r="R256" s="661">
        <v>128.13338929673023</v>
      </c>
      <c r="S256" s="661">
        <v>18.044740545750674</v>
      </c>
      <c r="T256" s="661">
        <v>2.7711535644531251</v>
      </c>
      <c r="U256" s="669">
        <v>266.47720965949424</v>
      </c>
    </row>
    <row r="257" spans="3:21" x14ac:dyDescent="0.2">
      <c r="C257" s="668" t="s">
        <v>79</v>
      </c>
      <c r="D257" s="661">
        <v>0</v>
      </c>
      <c r="E257" s="661">
        <v>0</v>
      </c>
      <c r="F257" s="661">
        <v>230.06398718142972</v>
      </c>
      <c r="G257" s="661">
        <v>0.28870182254104659</v>
      </c>
      <c r="H257" s="661">
        <v>4.7638546223905314</v>
      </c>
      <c r="I257" s="661">
        <v>0</v>
      </c>
      <c r="J257" s="661">
        <v>0</v>
      </c>
      <c r="K257" s="661">
        <v>0</v>
      </c>
      <c r="L257" s="661">
        <v>0</v>
      </c>
      <c r="M257" s="661">
        <v>0</v>
      </c>
      <c r="N257" s="661">
        <v>46.305302929407816</v>
      </c>
      <c r="O257" s="661">
        <v>1.2663411021544451</v>
      </c>
      <c r="P257" s="661">
        <v>0</v>
      </c>
      <c r="Q257" s="661">
        <v>0</v>
      </c>
      <c r="R257" s="661">
        <v>46.787013172975605</v>
      </c>
      <c r="S257" s="661">
        <v>0</v>
      </c>
      <c r="T257" s="661">
        <v>1.4725342358360081</v>
      </c>
      <c r="U257" s="669">
        <v>330.94773506673516</v>
      </c>
    </row>
    <row r="258" spans="3:21" x14ac:dyDescent="0.2">
      <c r="C258" s="668" t="s">
        <v>80</v>
      </c>
      <c r="D258" s="661">
        <v>0</v>
      </c>
      <c r="E258" s="661">
        <v>0</v>
      </c>
      <c r="F258" s="661">
        <v>3.8037297943831954</v>
      </c>
      <c r="G258" s="661">
        <v>0</v>
      </c>
      <c r="H258" s="661">
        <v>48.749434252341672</v>
      </c>
      <c r="I258" s="661">
        <v>0</v>
      </c>
      <c r="J258" s="661">
        <v>0</v>
      </c>
      <c r="K258" s="661">
        <v>0</v>
      </c>
      <c r="L258" s="661">
        <v>41.434907608340509</v>
      </c>
      <c r="M258" s="661">
        <v>0</v>
      </c>
      <c r="N258" s="661">
        <v>0</v>
      </c>
      <c r="O258" s="661">
        <v>12.958710370875634</v>
      </c>
      <c r="P258" s="661">
        <v>81.342309221763003</v>
      </c>
      <c r="Q258" s="661">
        <v>2.1381357466702497</v>
      </c>
      <c r="R258" s="661">
        <v>162.42127689265124</v>
      </c>
      <c r="S258" s="661">
        <v>29.067896346898497</v>
      </c>
      <c r="T258" s="661">
        <v>0</v>
      </c>
      <c r="U258" s="669">
        <v>381.91640023392404</v>
      </c>
    </row>
    <row r="259" spans="3:21" x14ac:dyDescent="0.2">
      <c r="C259" s="668" t="s">
        <v>81</v>
      </c>
      <c r="D259" s="661">
        <v>0</v>
      </c>
      <c r="E259" s="661">
        <v>0</v>
      </c>
      <c r="F259" s="661">
        <v>4.4549193893901853</v>
      </c>
      <c r="G259" s="661">
        <v>0</v>
      </c>
      <c r="H259" s="661">
        <v>22.809891612288435</v>
      </c>
      <c r="I259" s="661">
        <v>0</v>
      </c>
      <c r="J259" s="661">
        <v>0</v>
      </c>
      <c r="K259" s="661">
        <v>0</v>
      </c>
      <c r="L259" s="661">
        <v>0.44569918061681485</v>
      </c>
      <c r="M259" s="661">
        <v>4.9454600867274027E-4</v>
      </c>
      <c r="N259" s="661">
        <v>0</v>
      </c>
      <c r="O259" s="661">
        <v>6.0633889095956608</v>
      </c>
      <c r="P259" s="661">
        <v>18.691023604496184</v>
      </c>
      <c r="Q259" s="661">
        <v>0.90924384630352406</v>
      </c>
      <c r="R259" s="661">
        <v>98.49757027134045</v>
      </c>
      <c r="S259" s="661">
        <v>18.80357441216654</v>
      </c>
      <c r="T259" s="661">
        <v>0</v>
      </c>
      <c r="U259" s="669">
        <v>170.67580577220647</v>
      </c>
    </row>
    <row r="260" spans="3:21" x14ac:dyDescent="0.2">
      <c r="C260" s="668" t="s">
        <v>82</v>
      </c>
      <c r="D260" s="661">
        <v>0</v>
      </c>
      <c r="E260" s="661">
        <v>0</v>
      </c>
      <c r="F260" s="661">
        <v>22.663704600568668</v>
      </c>
      <c r="G260" s="661">
        <v>0</v>
      </c>
      <c r="H260" s="661">
        <v>1.5172607097483775</v>
      </c>
      <c r="I260" s="661">
        <v>0</v>
      </c>
      <c r="J260" s="661">
        <v>0</v>
      </c>
      <c r="K260" s="661">
        <v>0</v>
      </c>
      <c r="L260" s="661">
        <v>2.5327781893790755</v>
      </c>
      <c r="M260" s="661">
        <v>0</v>
      </c>
      <c r="N260" s="661">
        <v>6.9172702223723741</v>
      </c>
      <c r="O260" s="661">
        <v>0.40332246714830289</v>
      </c>
      <c r="P260" s="661">
        <v>0.65</v>
      </c>
      <c r="Q260" s="661">
        <v>0.82781531321025892</v>
      </c>
      <c r="R260" s="661">
        <v>7.6931885452586402</v>
      </c>
      <c r="S260" s="661">
        <v>0</v>
      </c>
      <c r="T260" s="661">
        <v>0.21911019493558448</v>
      </c>
      <c r="U260" s="669">
        <v>43.424450242621276</v>
      </c>
    </row>
    <row r="261" spans="3:21" x14ac:dyDescent="0.2">
      <c r="C261" s="668" t="s">
        <v>354</v>
      </c>
      <c r="D261" s="661">
        <v>0</v>
      </c>
      <c r="E261" s="661">
        <v>0</v>
      </c>
      <c r="F261" s="661">
        <v>0</v>
      </c>
      <c r="G261" s="661">
        <v>0</v>
      </c>
      <c r="H261" s="661">
        <v>0</v>
      </c>
      <c r="I261" s="661">
        <v>0</v>
      </c>
      <c r="J261" s="661">
        <v>0</v>
      </c>
      <c r="K261" s="661">
        <v>0</v>
      </c>
      <c r="L261" s="661">
        <v>0</v>
      </c>
      <c r="M261" s="661">
        <v>0</v>
      </c>
      <c r="N261" s="661">
        <v>0</v>
      </c>
      <c r="O261" s="661">
        <v>0</v>
      </c>
      <c r="P261" s="661">
        <v>0</v>
      </c>
      <c r="Q261" s="661">
        <v>0</v>
      </c>
      <c r="R261" s="661">
        <v>0.41126400000000007</v>
      </c>
      <c r="S261" s="661">
        <v>0</v>
      </c>
      <c r="T261" s="661">
        <v>0</v>
      </c>
      <c r="U261" s="669">
        <v>0.41126400000000007</v>
      </c>
    </row>
    <row r="262" spans="3:21" x14ac:dyDescent="0.2">
      <c r="C262" s="664" t="s">
        <v>83</v>
      </c>
      <c r="D262" s="665">
        <v>3.5119651912640659</v>
      </c>
      <c r="E262" s="665">
        <v>0</v>
      </c>
      <c r="F262" s="665">
        <v>271.3161328327505</v>
      </c>
      <c r="G262" s="665">
        <v>0.28870182254104659</v>
      </c>
      <c r="H262" s="673">
        <v>137.06542539121747</v>
      </c>
      <c r="I262" s="665">
        <v>0</v>
      </c>
      <c r="J262" s="665">
        <v>0</v>
      </c>
      <c r="K262" s="665">
        <v>0</v>
      </c>
      <c r="L262" s="665">
        <v>64.733705685939313</v>
      </c>
      <c r="M262" s="665">
        <v>2.5490453181526216</v>
      </c>
      <c r="N262" s="665">
        <v>54.328033959885659</v>
      </c>
      <c r="O262" s="665">
        <v>36.466439327240145</v>
      </c>
      <c r="P262" s="665">
        <v>105.39487042391544</v>
      </c>
      <c r="Q262" s="665">
        <v>3.8758335430782287</v>
      </c>
      <c r="R262" s="665">
        <v>443.94370217895619</v>
      </c>
      <c r="S262" s="665">
        <v>65.916211304815718</v>
      </c>
      <c r="T262" s="665">
        <v>4.4627979952247179</v>
      </c>
      <c r="U262" s="665">
        <v>1193.8528649749812</v>
      </c>
    </row>
    <row r="263" spans="3:21" x14ac:dyDescent="0.2">
      <c r="C263" s="660" t="s">
        <v>84</v>
      </c>
      <c r="D263" s="661">
        <v>0</v>
      </c>
      <c r="E263" s="661">
        <v>0</v>
      </c>
      <c r="F263" s="661">
        <v>84.901304982748769</v>
      </c>
      <c r="G263" s="661">
        <v>2.533106458518084</v>
      </c>
      <c r="H263" s="661">
        <v>9.2771889658758084</v>
      </c>
      <c r="I263" s="661">
        <v>0</v>
      </c>
      <c r="J263" s="661">
        <v>0</v>
      </c>
      <c r="K263" s="661">
        <v>0</v>
      </c>
      <c r="L263" s="661">
        <v>0.20840484716769062</v>
      </c>
      <c r="M263" s="661">
        <v>0</v>
      </c>
      <c r="N263" s="661">
        <v>11.136408529558132</v>
      </c>
      <c r="O263" s="661">
        <v>1.4684689617858735</v>
      </c>
      <c r="P263" s="661">
        <v>0</v>
      </c>
      <c r="Q263" s="661">
        <v>0</v>
      </c>
      <c r="R263" s="661">
        <v>0</v>
      </c>
      <c r="S263" s="661">
        <v>0</v>
      </c>
      <c r="T263" s="661">
        <v>14.605640428811407</v>
      </c>
      <c r="U263" s="669">
        <v>124.13052317446576</v>
      </c>
    </row>
    <row r="264" spans="3:21" x14ac:dyDescent="0.2">
      <c r="C264" s="664" t="s">
        <v>85</v>
      </c>
      <c r="D264" s="665">
        <v>3.5119651912640659</v>
      </c>
      <c r="E264" s="665">
        <v>0</v>
      </c>
      <c r="F264" s="665">
        <v>356.2174378154993</v>
      </c>
      <c r="G264" s="665">
        <v>2.8218082810591305</v>
      </c>
      <c r="H264" s="673">
        <v>146.34261435709328</v>
      </c>
      <c r="I264" s="665">
        <v>0</v>
      </c>
      <c r="J264" s="665">
        <v>0</v>
      </c>
      <c r="K264" s="665">
        <v>0</v>
      </c>
      <c r="L264" s="665">
        <v>64.942110533106998</v>
      </c>
      <c r="M264" s="665">
        <v>2.5490453181526216</v>
      </c>
      <c r="N264" s="665">
        <v>65.464442489443798</v>
      </c>
      <c r="O264" s="665">
        <v>37.934908289026019</v>
      </c>
      <c r="P264" s="665">
        <v>105.39487042391544</v>
      </c>
      <c r="Q264" s="665">
        <v>3.8758335430782287</v>
      </c>
      <c r="R264" s="665">
        <v>443.94370217895619</v>
      </c>
      <c r="S264" s="665">
        <v>65.916211304815718</v>
      </c>
      <c r="T264" s="665">
        <v>19.068438424036124</v>
      </c>
      <c r="U264" s="665">
        <v>1317.9833881494469</v>
      </c>
    </row>
    <row r="265" spans="3:21" x14ac:dyDescent="0.2">
      <c r="C265" s="652"/>
      <c r="D265" s="670">
        <v>0</v>
      </c>
      <c r="E265" s="670">
        <v>0</v>
      </c>
      <c r="F265" s="670">
        <v>-5.6843418860808015E-14</v>
      </c>
      <c r="G265" s="670">
        <v>0</v>
      </c>
      <c r="H265" s="670">
        <v>0</v>
      </c>
      <c r="I265" s="670">
        <v>0</v>
      </c>
      <c r="J265" s="670">
        <v>0</v>
      </c>
      <c r="K265" s="670">
        <v>0</v>
      </c>
      <c r="L265" s="670">
        <v>0</v>
      </c>
      <c r="M265" s="670">
        <v>0</v>
      </c>
      <c r="N265" s="670">
        <v>-1.6135057642804664</v>
      </c>
      <c r="O265" s="670">
        <v>-3.219646771412954E-15</v>
      </c>
      <c r="P265" s="670">
        <v>0</v>
      </c>
      <c r="Q265" s="670">
        <v>0</v>
      </c>
      <c r="R265" s="670">
        <v>5.6843418860808015E-14</v>
      </c>
      <c r="S265" s="670">
        <v>-1.4210854715202004E-14</v>
      </c>
      <c r="T265" s="670">
        <v>0</v>
      </c>
      <c r="U265" s="670">
        <v>-1.6135057642804895</v>
      </c>
    </row>
    <row r="266" spans="3:21" x14ac:dyDescent="0.2">
      <c r="C266" s="652"/>
      <c r="D266" s="652"/>
      <c r="E266" s="652"/>
      <c r="F266" s="652"/>
      <c r="G266" s="652"/>
      <c r="H266" s="652"/>
      <c r="I266" s="652"/>
      <c r="J266" s="652"/>
      <c r="K266" s="652"/>
      <c r="L266" s="652"/>
      <c r="M266" s="652"/>
      <c r="N266" s="652"/>
      <c r="O266" s="652"/>
      <c r="P266" s="652"/>
      <c r="Q266" s="652"/>
      <c r="R266" s="652"/>
      <c r="S266" s="652"/>
      <c r="T266" s="652"/>
      <c r="U266" s="652"/>
    </row>
    <row r="267" spans="3:21" ht="15" x14ac:dyDescent="0.25">
      <c r="C267" s="656" t="s">
        <v>358</v>
      </c>
      <c r="D267" s="657"/>
      <c r="E267" s="657"/>
      <c r="F267" s="657"/>
      <c r="G267" s="657"/>
      <c r="H267" s="657"/>
      <c r="I267" s="657"/>
      <c r="J267" s="657"/>
      <c r="K267" s="657"/>
      <c r="L267" s="657"/>
      <c r="M267" s="657"/>
      <c r="N267" s="657"/>
      <c r="O267" s="657"/>
      <c r="P267" s="657"/>
      <c r="Q267" s="657"/>
      <c r="R267" s="657"/>
      <c r="S267" s="657"/>
      <c r="T267" s="657"/>
      <c r="U267" s="657"/>
    </row>
    <row r="268" spans="3:21" x14ac:dyDescent="0.2">
      <c r="C268" s="652"/>
      <c r="D268" s="652"/>
      <c r="E268" s="652"/>
      <c r="F268" s="652"/>
      <c r="G268" s="652"/>
      <c r="H268" s="652"/>
      <c r="I268" s="652"/>
      <c r="J268" s="652"/>
      <c r="K268" s="652"/>
      <c r="L268" s="652"/>
      <c r="M268" s="652"/>
      <c r="N268" s="652"/>
      <c r="O268" s="652"/>
      <c r="P268" s="652"/>
      <c r="Q268" s="652"/>
      <c r="R268" s="652"/>
      <c r="S268" s="652"/>
      <c r="T268" s="652"/>
      <c r="U268" s="652"/>
    </row>
    <row r="269" spans="3:21" x14ac:dyDescent="0.2">
      <c r="C269" s="773" t="s">
        <v>128</v>
      </c>
      <c r="D269" s="768" t="s">
        <v>42</v>
      </c>
      <c r="E269" s="768" t="s">
        <v>52</v>
      </c>
      <c r="F269" s="768" t="s">
        <v>53</v>
      </c>
      <c r="G269" s="768" t="s">
        <v>482</v>
      </c>
      <c r="H269" s="768" t="s">
        <v>32</v>
      </c>
      <c r="I269" s="768" t="s">
        <v>483</v>
      </c>
      <c r="J269" s="768" t="s">
        <v>20</v>
      </c>
      <c r="K269" s="768" t="s">
        <v>55</v>
      </c>
      <c r="L269" s="770" t="s">
        <v>56</v>
      </c>
      <c r="M269" s="771"/>
      <c r="N269" s="771"/>
      <c r="O269" s="771"/>
      <c r="P269" s="771"/>
      <c r="Q269" s="772"/>
      <c r="R269" s="768" t="s">
        <v>57</v>
      </c>
      <c r="S269" s="768" t="s">
        <v>58</v>
      </c>
      <c r="T269" s="768" t="s">
        <v>31</v>
      </c>
      <c r="U269" s="768" t="s">
        <v>10</v>
      </c>
    </row>
    <row r="270" spans="3:21" ht="36" x14ac:dyDescent="0.2">
      <c r="C270" s="774"/>
      <c r="D270" s="769"/>
      <c r="E270" s="769"/>
      <c r="F270" s="769"/>
      <c r="G270" s="769"/>
      <c r="H270" s="769"/>
      <c r="I270" s="769"/>
      <c r="J270" s="769"/>
      <c r="K270" s="769"/>
      <c r="L270" s="658" t="s">
        <v>335</v>
      </c>
      <c r="M270" s="658" t="s">
        <v>40</v>
      </c>
      <c r="N270" s="658" t="s">
        <v>343</v>
      </c>
      <c r="O270" s="658" t="s">
        <v>344</v>
      </c>
      <c r="P270" s="659" t="s">
        <v>345</v>
      </c>
      <c r="Q270" s="658" t="s">
        <v>346</v>
      </c>
      <c r="R270" s="769"/>
      <c r="S270" s="769"/>
      <c r="T270" s="769"/>
      <c r="U270" s="769"/>
    </row>
    <row r="271" spans="3:21" x14ac:dyDescent="0.2">
      <c r="C271" s="660" t="s">
        <v>59</v>
      </c>
      <c r="D271" s="661">
        <v>0</v>
      </c>
      <c r="E271" s="661">
        <v>5.8150000000000004</v>
      </c>
      <c r="F271" s="661">
        <v>0</v>
      </c>
      <c r="G271" s="661">
        <v>0</v>
      </c>
      <c r="H271" s="661">
        <v>9.3040000000000012E-2</v>
      </c>
      <c r="I271" s="661">
        <v>0</v>
      </c>
      <c r="J271" s="662">
        <v>962.45197015227166</v>
      </c>
      <c r="K271" s="662">
        <v>267.5000244841633</v>
      </c>
      <c r="L271" s="662">
        <v>267.72778932192256</v>
      </c>
      <c r="M271" s="662">
        <v>26.714360415666448</v>
      </c>
      <c r="N271" s="661">
        <v>1.5151391983163085</v>
      </c>
      <c r="O271" s="661">
        <v>0.16086233431790645</v>
      </c>
      <c r="P271" s="662">
        <v>114.79412791174752</v>
      </c>
      <c r="Q271" s="662">
        <v>17.865639972874789</v>
      </c>
      <c r="R271" s="661">
        <v>0</v>
      </c>
      <c r="S271" s="661">
        <v>0</v>
      </c>
      <c r="T271" s="661">
        <v>0</v>
      </c>
      <c r="U271" s="663">
        <v>1664.6379537912806</v>
      </c>
    </row>
    <row r="272" spans="3:21" x14ac:dyDescent="0.2">
      <c r="C272" s="660" t="s">
        <v>60</v>
      </c>
      <c r="D272" s="661">
        <v>16.178882267256224</v>
      </c>
      <c r="E272" s="661">
        <v>338.94665094130841</v>
      </c>
      <c r="F272" s="661">
        <v>53.154703213153105</v>
      </c>
      <c r="G272" s="661">
        <v>0.84709048921241781</v>
      </c>
      <c r="H272" s="661">
        <v>154.95460842815714</v>
      </c>
      <c r="I272" s="661">
        <v>0</v>
      </c>
      <c r="J272" s="661">
        <v>0</v>
      </c>
      <c r="K272" s="661">
        <v>0</v>
      </c>
      <c r="L272" s="661">
        <v>3.3497189577114872</v>
      </c>
      <c r="M272" s="661">
        <v>0</v>
      </c>
      <c r="N272" s="661">
        <v>3.7248932526167962</v>
      </c>
      <c r="O272" s="661">
        <v>0</v>
      </c>
      <c r="P272" s="661">
        <v>0</v>
      </c>
      <c r="Q272" s="661">
        <v>0</v>
      </c>
      <c r="R272" s="661">
        <v>0</v>
      </c>
      <c r="S272" s="661">
        <v>0</v>
      </c>
      <c r="T272" s="661">
        <v>0</v>
      </c>
      <c r="U272" s="663">
        <v>571.15654754941545</v>
      </c>
    </row>
    <row r="273" spans="3:21" x14ac:dyDescent="0.2">
      <c r="C273" s="660" t="s">
        <v>61</v>
      </c>
      <c r="D273" s="661">
        <v>0</v>
      </c>
      <c r="E273" s="661">
        <v>0</v>
      </c>
      <c r="F273" s="661">
        <v>-0.33572040479024756</v>
      </c>
      <c r="G273" s="661">
        <v>0</v>
      </c>
      <c r="H273" s="661">
        <v>0</v>
      </c>
      <c r="I273" s="661">
        <v>0</v>
      </c>
      <c r="J273" s="661">
        <v>0</v>
      </c>
      <c r="K273" s="661">
        <v>0</v>
      </c>
      <c r="L273" s="661">
        <v>0</v>
      </c>
      <c r="M273" s="661">
        <v>0</v>
      </c>
      <c r="N273" s="661">
        <v>0</v>
      </c>
      <c r="O273" s="661">
        <v>0</v>
      </c>
      <c r="P273" s="661">
        <v>0</v>
      </c>
      <c r="Q273" s="661">
        <v>0</v>
      </c>
      <c r="R273" s="661">
        <v>-40.000125067890167</v>
      </c>
      <c r="S273" s="661">
        <v>0</v>
      </c>
      <c r="T273" s="661">
        <v>0</v>
      </c>
      <c r="U273" s="663">
        <v>-40.335845472680411</v>
      </c>
    </row>
    <row r="274" spans="3:21" x14ac:dyDescent="0.2">
      <c r="C274" s="660" t="s">
        <v>62</v>
      </c>
      <c r="D274" s="661">
        <v>0</v>
      </c>
      <c r="E274" s="661">
        <v>0</v>
      </c>
      <c r="F274" s="661">
        <v>-12.959356122819004</v>
      </c>
      <c r="G274" s="661">
        <v>-1.1745589556928391</v>
      </c>
      <c r="H274" s="661">
        <v>-1.8985906548092106</v>
      </c>
      <c r="I274" s="661">
        <v>0</v>
      </c>
      <c r="J274" s="661">
        <v>0</v>
      </c>
      <c r="K274" s="661">
        <v>0</v>
      </c>
      <c r="L274" s="661">
        <v>0</v>
      </c>
      <c r="M274" s="661">
        <v>0</v>
      </c>
      <c r="N274" s="661">
        <v>-0.50338240958264524</v>
      </c>
      <c r="O274" s="661">
        <v>-0.70221846136779031</v>
      </c>
      <c r="P274" s="661">
        <v>0</v>
      </c>
      <c r="Q274" s="661">
        <v>0</v>
      </c>
      <c r="R274" s="661">
        <v>0</v>
      </c>
      <c r="S274" s="661">
        <v>0</v>
      </c>
      <c r="T274" s="661">
        <v>0</v>
      </c>
      <c r="U274" s="663">
        <v>-17.23810660427149</v>
      </c>
    </row>
    <row r="275" spans="3:21" x14ac:dyDescent="0.2">
      <c r="C275" s="660" t="s">
        <v>63</v>
      </c>
      <c r="D275" s="661">
        <v>0</v>
      </c>
      <c r="E275" s="661">
        <v>0</v>
      </c>
      <c r="F275" s="661">
        <v>-60.220777612804881</v>
      </c>
      <c r="G275" s="661">
        <v>-3.9749070731502325</v>
      </c>
      <c r="H275" s="661">
        <v>0</v>
      </c>
      <c r="I275" s="661">
        <v>0</v>
      </c>
      <c r="J275" s="661">
        <v>0</v>
      </c>
      <c r="K275" s="661">
        <v>0</v>
      </c>
      <c r="L275" s="661">
        <v>0</v>
      </c>
      <c r="M275" s="661">
        <v>0</v>
      </c>
      <c r="N275" s="661">
        <v>-11.924721219450698</v>
      </c>
      <c r="O275" s="661">
        <v>0</v>
      </c>
      <c r="P275" s="661">
        <v>0</v>
      </c>
      <c r="Q275" s="661">
        <v>0</v>
      </c>
      <c r="R275" s="661">
        <v>0</v>
      </c>
      <c r="S275" s="661">
        <v>0</v>
      </c>
      <c r="T275" s="661">
        <v>-0.14322207633849007</v>
      </c>
      <c r="U275" s="663">
        <v>-76.263627981744307</v>
      </c>
    </row>
    <row r="276" spans="3:21" x14ac:dyDescent="0.2">
      <c r="C276" s="660" t="s">
        <v>64</v>
      </c>
      <c r="D276" s="661">
        <v>0</v>
      </c>
      <c r="E276" s="661">
        <v>0</v>
      </c>
      <c r="F276" s="661">
        <v>0</v>
      </c>
      <c r="G276" s="661">
        <v>0</v>
      </c>
      <c r="H276" s="661">
        <v>0</v>
      </c>
      <c r="I276" s="661">
        <v>0</v>
      </c>
      <c r="J276" s="661">
        <v>0</v>
      </c>
      <c r="K276" s="661">
        <v>0</v>
      </c>
      <c r="L276" s="661">
        <v>0</v>
      </c>
      <c r="M276" s="661">
        <v>0</v>
      </c>
      <c r="N276" s="661">
        <v>0</v>
      </c>
      <c r="O276" s="661">
        <v>0</v>
      </c>
      <c r="P276" s="661">
        <v>0</v>
      </c>
      <c r="Q276" s="661">
        <v>0</v>
      </c>
      <c r="R276" s="661">
        <v>0</v>
      </c>
      <c r="S276" s="661">
        <v>0</v>
      </c>
      <c r="T276" s="661">
        <v>0</v>
      </c>
      <c r="U276" s="663">
        <v>0</v>
      </c>
    </row>
    <row r="277" spans="3:21" x14ac:dyDescent="0.2">
      <c r="C277" s="664" t="s">
        <v>65</v>
      </c>
      <c r="D277" s="665">
        <v>16.178882267256224</v>
      </c>
      <c r="E277" s="665">
        <v>344.7616509413084</v>
      </c>
      <c r="F277" s="665">
        <v>-20.361150927261026</v>
      </c>
      <c r="G277" s="665">
        <v>-4.3023755396306536</v>
      </c>
      <c r="H277" s="673">
        <v>153.14905777334795</v>
      </c>
      <c r="I277" s="665">
        <v>0</v>
      </c>
      <c r="J277" s="665">
        <v>962.45197015227166</v>
      </c>
      <c r="K277" s="665">
        <v>267.5000244841633</v>
      </c>
      <c r="L277" s="665">
        <v>271.07750827963406</v>
      </c>
      <c r="M277" s="665">
        <v>26.714360415666448</v>
      </c>
      <c r="N277" s="665">
        <v>-7.1880711781002375</v>
      </c>
      <c r="O277" s="665">
        <v>-0.5413561270498839</v>
      </c>
      <c r="P277" s="665">
        <v>114.79412791174752</v>
      </c>
      <c r="Q277" s="665">
        <v>17.865639972874789</v>
      </c>
      <c r="R277" s="665">
        <v>-40.000125067890167</v>
      </c>
      <c r="S277" s="665">
        <v>0</v>
      </c>
      <c r="T277" s="665">
        <v>-0.14322207633849007</v>
      </c>
      <c r="U277" s="665">
        <v>2101.9569212819993</v>
      </c>
    </row>
    <row r="278" spans="3:21" x14ac:dyDescent="0.2">
      <c r="C278" s="666"/>
      <c r="D278" s="667">
        <v>0</v>
      </c>
      <c r="E278" s="667">
        <v>0</v>
      </c>
      <c r="F278" s="667">
        <v>0</v>
      </c>
      <c r="G278" s="667">
        <v>0</v>
      </c>
      <c r="H278" s="674">
        <v>0</v>
      </c>
      <c r="I278" s="667">
        <v>0</v>
      </c>
      <c r="J278" s="667">
        <v>0</v>
      </c>
      <c r="K278" s="667">
        <v>0</v>
      </c>
      <c r="L278" s="667">
        <v>0</v>
      </c>
      <c r="M278" s="667">
        <v>0</v>
      </c>
      <c r="N278" s="667">
        <v>0</v>
      </c>
      <c r="O278" s="667">
        <v>0</v>
      </c>
      <c r="P278" s="667">
        <v>0</v>
      </c>
      <c r="Q278" s="667">
        <v>0</v>
      </c>
      <c r="R278" s="667">
        <v>0</v>
      </c>
      <c r="S278" s="667">
        <v>0</v>
      </c>
      <c r="T278" s="667">
        <v>0</v>
      </c>
      <c r="U278" s="667">
        <v>0</v>
      </c>
    </row>
    <row r="279" spans="3:21" x14ac:dyDescent="0.2">
      <c r="C279" s="668" t="s">
        <v>67</v>
      </c>
      <c r="D279" s="661">
        <v>0</v>
      </c>
      <c r="E279" s="661">
        <v>0</v>
      </c>
      <c r="F279" s="661">
        <v>0</v>
      </c>
      <c r="G279" s="661">
        <v>0</v>
      </c>
      <c r="H279" s="661">
        <v>0</v>
      </c>
      <c r="I279" s="661">
        <v>0</v>
      </c>
      <c r="J279" s="661">
        <v>0</v>
      </c>
      <c r="K279" s="661">
        <v>0</v>
      </c>
      <c r="L279" s="661">
        <v>0</v>
      </c>
      <c r="M279" s="661">
        <v>0</v>
      </c>
      <c r="N279" s="661">
        <v>0</v>
      </c>
      <c r="O279" s="661">
        <v>0</v>
      </c>
      <c r="P279" s="661">
        <v>0</v>
      </c>
      <c r="Q279" s="661">
        <v>0</v>
      </c>
      <c r="R279" s="661">
        <v>0</v>
      </c>
      <c r="S279" s="661">
        <v>0</v>
      </c>
      <c r="T279" s="661">
        <v>0</v>
      </c>
      <c r="U279" s="669">
        <v>0</v>
      </c>
    </row>
    <row r="280" spans="3:21" x14ac:dyDescent="0.2">
      <c r="C280" s="668" t="s">
        <v>347</v>
      </c>
      <c r="D280" s="661">
        <v>0</v>
      </c>
      <c r="E280" s="661">
        <v>0</v>
      </c>
      <c r="F280" s="661">
        <v>0.802217285608815</v>
      </c>
      <c r="G280" s="661">
        <v>0</v>
      </c>
      <c r="H280" s="661">
        <v>10.885217127183394</v>
      </c>
      <c r="I280" s="661">
        <v>0</v>
      </c>
      <c r="J280" s="661">
        <v>962.45197015227166</v>
      </c>
      <c r="K280" s="661">
        <v>267.5000244841633</v>
      </c>
      <c r="L280" s="661">
        <v>25.455194099059376</v>
      </c>
      <c r="M280" s="661">
        <v>9.8679572117025351</v>
      </c>
      <c r="N280" s="661">
        <v>5.0291337303525587</v>
      </c>
      <c r="O280" s="661">
        <v>2.8343761662812361</v>
      </c>
      <c r="P280" s="661">
        <v>0</v>
      </c>
      <c r="Q280" s="661">
        <v>2.7943993103273139</v>
      </c>
      <c r="R280" s="661">
        <v>-610.76520896369152</v>
      </c>
      <c r="S280" s="661">
        <v>0</v>
      </c>
      <c r="T280" s="661">
        <v>0</v>
      </c>
      <c r="U280" s="669">
        <v>676.85528060325873</v>
      </c>
    </row>
    <row r="281" spans="3:21" x14ac:dyDescent="0.2">
      <c r="C281" s="668" t="s">
        <v>348</v>
      </c>
      <c r="D281" s="661">
        <v>0</v>
      </c>
      <c r="E281" s="661">
        <v>0</v>
      </c>
      <c r="F281" s="661">
        <v>0</v>
      </c>
      <c r="G281" s="661">
        <v>0</v>
      </c>
      <c r="H281" s="661">
        <v>12.378684044888715</v>
      </c>
      <c r="I281" s="661">
        <v>0</v>
      </c>
      <c r="J281" s="661">
        <v>0</v>
      </c>
      <c r="K281" s="661">
        <v>0</v>
      </c>
      <c r="L281" s="661">
        <v>36.0447949504767</v>
      </c>
      <c r="M281" s="661">
        <v>14.339300216640275</v>
      </c>
      <c r="N281" s="661">
        <v>0</v>
      </c>
      <c r="O281" s="661">
        <v>4.1400526748892315</v>
      </c>
      <c r="P281" s="661">
        <v>0</v>
      </c>
      <c r="Q281" s="661">
        <v>10.825953288370551</v>
      </c>
      <c r="R281" s="661">
        <v>0</v>
      </c>
      <c r="S281" s="661">
        <v>-71.400838762535344</v>
      </c>
      <c r="T281" s="661">
        <v>0</v>
      </c>
      <c r="U281" s="669">
        <v>6.3279464127301193</v>
      </c>
    </row>
    <row r="282" spans="3:21" x14ac:dyDescent="0.2">
      <c r="C282" s="668" t="s">
        <v>349</v>
      </c>
      <c r="D282" s="661">
        <v>0</v>
      </c>
      <c r="E282" s="661">
        <v>0</v>
      </c>
      <c r="F282" s="661">
        <v>0</v>
      </c>
      <c r="G282" s="661">
        <v>0</v>
      </c>
      <c r="H282" s="661">
        <v>0</v>
      </c>
      <c r="I282" s="661">
        <v>0</v>
      </c>
      <c r="J282" s="661">
        <v>0</v>
      </c>
      <c r="K282" s="661">
        <v>0</v>
      </c>
      <c r="L282" s="661">
        <v>59.794350125101182</v>
      </c>
      <c r="M282" s="661">
        <v>0</v>
      </c>
      <c r="N282" s="661">
        <v>0</v>
      </c>
      <c r="O282" s="661">
        <v>-54.232182762859196</v>
      </c>
      <c r="P282" s="661">
        <v>0</v>
      </c>
      <c r="Q282" s="661">
        <v>0</v>
      </c>
      <c r="R282" s="661">
        <v>0</v>
      </c>
      <c r="S282" s="661">
        <v>0</v>
      </c>
      <c r="T282" s="661">
        <v>0</v>
      </c>
      <c r="U282" s="669">
        <v>5.5621673622419863</v>
      </c>
    </row>
    <row r="283" spans="3:21" x14ac:dyDescent="0.2">
      <c r="C283" s="668" t="s">
        <v>350</v>
      </c>
      <c r="D283" s="661">
        <v>0</v>
      </c>
      <c r="E283" s="661">
        <v>0</v>
      </c>
      <c r="F283" s="661">
        <v>0</v>
      </c>
      <c r="G283" s="661">
        <v>0</v>
      </c>
      <c r="H283" s="661">
        <v>0</v>
      </c>
      <c r="I283" s="661">
        <v>0</v>
      </c>
      <c r="J283" s="661">
        <v>0</v>
      </c>
      <c r="K283" s="661">
        <v>0</v>
      </c>
      <c r="L283" s="661">
        <v>0</v>
      </c>
      <c r="M283" s="661">
        <v>0</v>
      </c>
      <c r="N283" s="661">
        <v>0</v>
      </c>
      <c r="O283" s="661">
        <v>0</v>
      </c>
      <c r="P283" s="661">
        <v>0</v>
      </c>
      <c r="Q283" s="661">
        <v>0</v>
      </c>
      <c r="R283" s="661">
        <v>0</v>
      </c>
      <c r="S283" s="661">
        <v>0</v>
      </c>
      <c r="T283" s="661">
        <v>0</v>
      </c>
      <c r="U283" s="669">
        <v>0</v>
      </c>
    </row>
    <row r="284" spans="3:21" x14ac:dyDescent="0.2">
      <c r="C284" s="668" t="s">
        <v>72</v>
      </c>
      <c r="D284" s="661">
        <v>0</v>
      </c>
      <c r="E284" s="661">
        <v>357.27482859273942</v>
      </c>
      <c r="F284" s="661">
        <v>-353.71543432563573</v>
      </c>
      <c r="G284" s="661">
        <v>0</v>
      </c>
      <c r="H284" s="661">
        <v>0</v>
      </c>
      <c r="I284" s="661">
        <v>0</v>
      </c>
      <c r="J284" s="661">
        <v>0</v>
      </c>
      <c r="K284" s="661">
        <v>0</v>
      </c>
      <c r="L284" s="661">
        <v>0</v>
      </c>
      <c r="M284" s="661">
        <v>0</v>
      </c>
      <c r="N284" s="661">
        <v>0</v>
      </c>
      <c r="O284" s="661">
        <v>0</v>
      </c>
      <c r="P284" s="661">
        <v>0</v>
      </c>
      <c r="Q284" s="661">
        <v>0</v>
      </c>
      <c r="R284" s="661">
        <v>0</v>
      </c>
      <c r="S284" s="661">
        <v>0</v>
      </c>
      <c r="T284" s="661">
        <v>0</v>
      </c>
      <c r="U284" s="669">
        <v>3.5593942671036793</v>
      </c>
    </row>
    <row r="285" spans="3:21" x14ac:dyDescent="0.2">
      <c r="C285" s="668" t="s">
        <v>351</v>
      </c>
      <c r="D285" s="661">
        <v>0</v>
      </c>
      <c r="E285" s="661">
        <v>0</v>
      </c>
      <c r="F285" s="661">
        <v>0</v>
      </c>
      <c r="G285" s="661">
        <v>0</v>
      </c>
      <c r="H285" s="661">
        <v>0</v>
      </c>
      <c r="I285" s="661">
        <v>0</v>
      </c>
      <c r="J285" s="661">
        <v>0</v>
      </c>
      <c r="K285" s="661">
        <v>0</v>
      </c>
      <c r="L285" s="661">
        <v>87.509483344344957</v>
      </c>
      <c r="M285" s="661">
        <v>0</v>
      </c>
      <c r="N285" s="661">
        <v>-87.509483344344957</v>
      </c>
      <c r="O285" s="661">
        <v>0</v>
      </c>
      <c r="P285" s="661">
        <v>0</v>
      </c>
      <c r="Q285" s="661">
        <v>0</v>
      </c>
      <c r="R285" s="661">
        <v>0</v>
      </c>
      <c r="S285" s="661">
        <v>0</v>
      </c>
      <c r="T285" s="661">
        <v>0</v>
      </c>
      <c r="U285" s="669">
        <v>0</v>
      </c>
    </row>
    <row r="286" spans="3:21" x14ac:dyDescent="0.2">
      <c r="C286" s="668" t="s">
        <v>352</v>
      </c>
      <c r="D286" s="661">
        <v>0</v>
      </c>
      <c r="E286" s="661">
        <v>0</v>
      </c>
      <c r="F286" s="661">
        <v>0</v>
      </c>
      <c r="G286" s="661">
        <v>-7.9105007206485656</v>
      </c>
      <c r="H286" s="661">
        <v>0</v>
      </c>
      <c r="I286" s="661">
        <v>0</v>
      </c>
      <c r="J286" s="661">
        <v>0</v>
      </c>
      <c r="K286" s="661">
        <v>0</v>
      </c>
      <c r="L286" s="661">
        <v>0</v>
      </c>
      <c r="M286" s="661">
        <v>0</v>
      </c>
      <c r="N286" s="661">
        <v>0</v>
      </c>
      <c r="O286" s="661">
        <v>0</v>
      </c>
      <c r="P286" s="661">
        <v>0</v>
      </c>
      <c r="Q286" s="661">
        <v>0</v>
      </c>
      <c r="R286" s="661">
        <v>0</v>
      </c>
      <c r="S286" s="661">
        <v>0</v>
      </c>
      <c r="T286" s="661">
        <v>11.017410474440901</v>
      </c>
      <c r="U286" s="669">
        <v>3.1069097537923351</v>
      </c>
    </row>
    <row r="287" spans="3:21" x14ac:dyDescent="0.2">
      <c r="C287" s="668" t="s">
        <v>73</v>
      </c>
      <c r="D287" s="661">
        <v>0</v>
      </c>
      <c r="E287" s="661">
        <v>0</v>
      </c>
      <c r="F287" s="661">
        <v>0</v>
      </c>
      <c r="G287" s="661">
        <v>0</v>
      </c>
      <c r="H287" s="661">
        <v>0</v>
      </c>
      <c r="I287" s="661">
        <v>0</v>
      </c>
      <c r="J287" s="661">
        <v>0</v>
      </c>
      <c r="K287" s="661">
        <v>0</v>
      </c>
      <c r="L287" s="661">
        <v>0</v>
      </c>
      <c r="M287" s="661">
        <v>0</v>
      </c>
      <c r="N287" s="661">
        <v>0</v>
      </c>
      <c r="O287" s="661">
        <v>0</v>
      </c>
      <c r="P287" s="661">
        <v>0</v>
      </c>
      <c r="Q287" s="661">
        <v>0</v>
      </c>
      <c r="R287" s="661">
        <v>51.730551312429718</v>
      </c>
      <c r="S287" s="661">
        <v>0</v>
      </c>
      <c r="T287" s="661">
        <v>-34.530143001046838</v>
      </c>
      <c r="U287" s="669">
        <v>17.20040831138288</v>
      </c>
    </row>
    <row r="288" spans="3:21" x14ac:dyDescent="0.2">
      <c r="C288" s="668" t="s">
        <v>353</v>
      </c>
      <c r="D288" s="661">
        <v>9.1080551953124989</v>
      </c>
      <c r="E288" s="661">
        <v>-12.513177651431018</v>
      </c>
      <c r="F288" s="661">
        <v>16.300260399898175</v>
      </c>
      <c r="G288" s="661">
        <v>0</v>
      </c>
      <c r="H288" s="661">
        <v>0</v>
      </c>
      <c r="I288" s="661">
        <v>0</v>
      </c>
      <c r="J288" s="661">
        <v>0</v>
      </c>
      <c r="K288" s="661">
        <v>0</v>
      </c>
      <c r="L288" s="661">
        <v>0</v>
      </c>
      <c r="M288" s="661">
        <v>0</v>
      </c>
      <c r="N288" s="661">
        <v>0</v>
      </c>
      <c r="O288" s="661">
        <v>0</v>
      </c>
      <c r="P288" s="661">
        <v>0</v>
      </c>
      <c r="Q288" s="661">
        <v>0</v>
      </c>
      <c r="R288" s="661">
        <v>0</v>
      </c>
      <c r="S288" s="661">
        <v>0</v>
      </c>
      <c r="T288" s="661">
        <v>0</v>
      </c>
      <c r="U288" s="669">
        <v>12.895137943779657</v>
      </c>
    </row>
    <row r="289" spans="3:21" x14ac:dyDescent="0.2">
      <c r="C289" s="668" t="s">
        <v>75</v>
      </c>
      <c r="D289" s="661">
        <v>3.5420214648437502</v>
      </c>
      <c r="E289" s="661">
        <v>0</v>
      </c>
      <c r="F289" s="661">
        <v>18.654676129726123</v>
      </c>
      <c r="G289" s="661">
        <v>0</v>
      </c>
      <c r="H289" s="661">
        <v>3.9220454388203256</v>
      </c>
      <c r="I289" s="661">
        <v>0</v>
      </c>
      <c r="J289" s="661">
        <v>0</v>
      </c>
      <c r="K289" s="661">
        <v>0</v>
      </c>
      <c r="L289" s="661">
        <v>0</v>
      </c>
      <c r="M289" s="661">
        <v>0</v>
      </c>
      <c r="N289" s="661">
        <v>0</v>
      </c>
      <c r="O289" s="661">
        <v>1.4506195458650522</v>
      </c>
      <c r="P289" s="661">
        <v>0</v>
      </c>
      <c r="Q289" s="661">
        <v>0</v>
      </c>
      <c r="R289" s="661">
        <v>24.070214497240038</v>
      </c>
      <c r="S289" s="661">
        <v>0</v>
      </c>
      <c r="T289" s="661">
        <v>0</v>
      </c>
      <c r="U289" s="669">
        <v>51.639577076495286</v>
      </c>
    </row>
    <row r="290" spans="3:21" x14ac:dyDescent="0.2">
      <c r="C290" s="668" t="s">
        <v>76</v>
      </c>
      <c r="D290" s="661">
        <v>0</v>
      </c>
      <c r="E290" s="661">
        <v>0</v>
      </c>
      <c r="F290" s="661">
        <v>0</v>
      </c>
      <c r="G290" s="661">
        <v>0</v>
      </c>
      <c r="H290" s="661">
        <v>1.7220653905707752</v>
      </c>
      <c r="I290" s="661">
        <v>0</v>
      </c>
      <c r="J290" s="661">
        <v>0</v>
      </c>
      <c r="K290" s="661">
        <v>0</v>
      </c>
      <c r="L290" s="661">
        <v>0</v>
      </c>
      <c r="M290" s="661">
        <v>0</v>
      </c>
      <c r="N290" s="661">
        <v>0</v>
      </c>
      <c r="O290" s="661">
        <v>0.63692829514261562</v>
      </c>
      <c r="P290" s="661">
        <v>0</v>
      </c>
      <c r="Q290" s="661">
        <v>0</v>
      </c>
      <c r="R290" s="661">
        <v>43.697669495159822</v>
      </c>
      <c r="S290" s="661">
        <v>5.5373897346121579</v>
      </c>
      <c r="T290" s="661">
        <v>0</v>
      </c>
      <c r="U290" s="669">
        <v>51.594052915485378</v>
      </c>
    </row>
    <row r="291" spans="3:21" x14ac:dyDescent="0.2">
      <c r="C291" s="664" t="s">
        <v>77</v>
      </c>
      <c r="D291" s="665">
        <v>12.650076660156248</v>
      </c>
      <c r="E291" s="665">
        <v>344.7616509413084</v>
      </c>
      <c r="F291" s="665">
        <v>-317.95828051040263</v>
      </c>
      <c r="G291" s="665">
        <v>-7.9105007206485656</v>
      </c>
      <c r="H291" s="673">
        <v>28.908012001463213</v>
      </c>
      <c r="I291" s="665">
        <v>0</v>
      </c>
      <c r="J291" s="665">
        <v>962.45197015227166</v>
      </c>
      <c r="K291" s="665">
        <v>267.5000244841633</v>
      </c>
      <c r="L291" s="665">
        <v>208.80382251898223</v>
      </c>
      <c r="M291" s="665">
        <v>24.207257428342814</v>
      </c>
      <c r="N291" s="665">
        <v>-82.480349613992402</v>
      </c>
      <c r="O291" s="665">
        <v>-45.170206080681055</v>
      </c>
      <c r="P291" s="665">
        <v>0</v>
      </c>
      <c r="Q291" s="665">
        <v>13.620352598697865</v>
      </c>
      <c r="R291" s="665">
        <v>-491.26677365886189</v>
      </c>
      <c r="S291" s="665">
        <v>-65.863449027923181</v>
      </c>
      <c r="T291" s="665">
        <v>-23.512732526605937</v>
      </c>
      <c r="U291" s="665">
        <v>828.74087464627007</v>
      </c>
    </row>
    <row r="292" spans="3:21" x14ac:dyDescent="0.2">
      <c r="C292" s="666"/>
      <c r="D292" s="667">
        <v>0</v>
      </c>
      <c r="E292" s="667">
        <v>0</v>
      </c>
      <c r="F292" s="667">
        <v>0</v>
      </c>
      <c r="G292" s="667">
        <v>0</v>
      </c>
      <c r="H292" s="674">
        <v>0</v>
      </c>
      <c r="I292" s="667">
        <v>0</v>
      </c>
      <c r="J292" s="667">
        <v>0</v>
      </c>
      <c r="K292" s="667">
        <v>0</v>
      </c>
      <c r="L292" s="667">
        <v>0</v>
      </c>
      <c r="M292" s="667">
        <v>0</v>
      </c>
      <c r="N292" s="667">
        <v>0</v>
      </c>
      <c r="O292" s="667">
        <v>0</v>
      </c>
      <c r="P292" s="667">
        <v>0</v>
      </c>
      <c r="Q292" s="667">
        <v>0</v>
      </c>
      <c r="R292" s="667">
        <v>0</v>
      </c>
      <c r="S292" s="667">
        <v>0</v>
      </c>
      <c r="T292" s="667">
        <v>0</v>
      </c>
      <c r="U292" s="667">
        <v>0</v>
      </c>
    </row>
    <row r="293" spans="3:21" x14ac:dyDescent="0.2">
      <c r="C293" s="668" t="s">
        <v>78</v>
      </c>
      <c r="D293" s="661">
        <v>3.5288056070999749</v>
      </c>
      <c r="E293" s="661">
        <v>0</v>
      </c>
      <c r="F293" s="661">
        <v>9.0742751543652709</v>
      </c>
      <c r="G293" s="661">
        <v>0</v>
      </c>
      <c r="H293" s="661">
        <v>50.765702343803007</v>
      </c>
      <c r="I293" s="661">
        <v>0</v>
      </c>
      <c r="J293" s="661">
        <v>0</v>
      </c>
      <c r="K293" s="661">
        <v>0</v>
      </c>
      <c r="L293" s="661">
        <v>20.203559685037114</v>
      </c>
      <c r="M293" s="661">
        <v>2.5066351077817299</v>
      </c>
      <c r="N293" s="661">
        <v>1.1254933974609376</v>
      </c>
      <c r="O293" s="661">
        <v>18.810321451312785</v>
      </c>
      <c r="P293" s="661">
        <v>5.5404179687499999</v>
      </c>
      <c r="Q293" s="661">
        <v>6.9244826847420892E-4</v>
      </c>
      <c r="R293" s="661">
        <v>129.68210517319469</v>
      </c>
      <c r="S293" s="661">
        <v>18.067305271014469</v>
      </c>
      <c r="T293" s="661">
        <v>3.2886369628906249</v>
      </c>
      <c r="U293" s="669">
        <v>262.59395057097908</v>
      </c>
    </row>
    <row r="294" spans="3:21" x14ac:dyDescent="0.2">
      <c r="C294" s="668" t="s">
        <v>79</v>
      </c>
      <c r="D294" s="661">
        <v>0</v>
      </c>
      <c r="E294" s="661">
        <v>0</v>
      </c>
      <c r="F294" s="661">
        <v>183.65265309164423</v>
      </c>
      <c r="G294" s="661">
        <v>0.37586832320647884</v>
      </c>
      <c r="H294" s="661">
        <v>4.5862710057628444</v>
      </c>
      <c r="I294" s="661">
        <v>0</v>
      </c>
      <c r="J294" s="661">
        <v>0</v>
      </c>
      <c r="K294" s="661">
        <v>0</v>
      </c>
      <c r="L294" s="661">
        <v>0</v>
      </c>
      <c r="M294" s="661">
        <v>0</v>
      </c>
      <c r="N294" s="661">
        <v>52.853956211759765</v>
      </c>
      <c r="O294" s="661">
        <v>1.6962920158300934</v>
      </c>
      <c r="P294" s="661">
        <v>0</v>
      </c>
      <c r="Q294" s="661">
        <v>0</v>
      </c>
      <c r="R294" s="661">
        <v>57.341707182273488</v>
      </c>
      <c r="S294" s="661">
        <v>0</v>
      </c>
      <c r="T294" s="661">
        <v>2.0198839430903792</v>
      </c>
      <c r="U294" s="669">
        <v>302.52663177356732</v>
      </c>
    </row>
    <row r="295" spans="3:21" x14ac:dyDescent="0.2">
      <c r="C295" s="668" t="s">
        <v>80</v>
      </c>
      <c r="D295" s="661">
        <v>0</v>
      </c>
      <c r="E295" s="661">
        <v>0</v>
      </c>
      <c r="F295" s="661">
        <v>3.260836950166615</v>
      </c>
      <c r="G295" s="661">
        <v>0</v>
      </c>
      <c r="H295" s="661">
        <v>39.313312069692138</v>
      </c>
      <c r="I295" s="661">
        <v>0</v>
      </c>
      <c r="J295" s="661">
        <v>0</v>
      </c>
      <c r="K295" s="661">
        <v>0</v>
      </c>
      <c r="L295" s="661">
        <v>38.595135513286785</v>
      </c>
      <c r="M295" s="661">
        <v>0</v>
      </c>
      <c r="N295" s="661">
        <v>0</v>
      </c>
      <c r="O295" s="661">
        <v>14.540540080571066</v>
      </c>
      <c r="P295" s="661">
        <v>88.021667456281236</v>
      </c>
      <c r="Q295" s="661">
        <v>2.3427124137087052</v>
      </c>
      <c r="R295" s="661">
        <v>158.98187870009832</v>
      </c>
      <c r="S295" s="661">
        <v>28.917251051933125</v>
      </c>
      <c r="T295" s="661">
        <v>0</v>
      </c>
      <c r="U295" s="669">
        <v>373.97333423573804</v>
      </c>
    </row>
    <row r="296" spans="3:21" x14ac:dyDescent="0.2">
      <c r="C296" s="668" t="s">
        <v>81</v>
      </c>
      <c r="D296" s="661">
        <v>0</v>
      </c>
      <c r="E296" s="661">
        <v>0</v>
      </c>
      <c r="F296" s="661">
        <v>3.4419330830775619</v>
      </c>
      <c r="G296" s="661">
        <v>0</v>
      </c>
      <c r="H296" s="661">
        <v>19.661407657447267</v>
      </c>
      <c r="I296" s="661">
        <v>0</v>
      </c>
      <c r="J296" s="661">
        <v>0</v>
      </c>
      <c r="K296" s="661">
        <v>0</v>
      </c>
      <c r="L296" s="661">
        <v>0.43406989863895534</v>
      </c>
      <c r="M296" s="661">
        <v>4.6787954190583215E-4</v>
      </c>
      <c r="N296" s="661">
        <v>0</v>
      </c>
      <c r="O296" s="661">
        <v>7.2720274897407702</v>
      </c>
      <c r="P296" s="661">
        <v>20.482042486716281</v>
      </c>
      <c r="Q296" s="661">
        <v>0.93898003664808516</v>
      </c>
      <c r="R296" s="661">
        <v>96.862888654792613</v>
      </c>
      <c r="S296" s="661">
        <v>18.878892704975588</v>
      </c>
      <c r="T296" s="661">
        <v>0</v>
      </c>
      <c r="U296" s="669">
        <v>167.97270989157903</v>
      </c>
    </row>
    <row r="297" spans="3:21" x14ac:dyDescent="0.2">
      <c r="C297" s="668" t="s">
        <v>82</v>
      </c>
      <c r="D297" s="661">
        <v>0</v>
      </c>
      <c r="E297" s="661">
        <v>0</v>
      </c>
      <c r="F297" s="661">
        <v>19.85629550078999</v>
      </c>
      <c r="G297" s="661">
        <v>0</v>
      </c>
      <c r="H297" s="661">
        <v>1.376773611649958</v>
      </c>
      <c r="I297" s="661">
        <v>0</v>
      </c>
      <c r="J297" s="661">
        <v>0</v>
      </c>
      <c r="K297" s="661">
        <v>0</v>
      </c>
      <c r="L297" s="661">
        <v>2.7730307508519707</v>
      </c>
      <c r="M297" s="661">
        <v>0</v>
      </c>
      <c r="N297" s="661">
        <v>8.3214654409998232</v>
      </c>
      <c r="O297" s="661">
        <v>0.50921763718560098</v>
      </c>
      <c r="P297" s="661">
        <v>0.75</v>
      </c>
      <c r="Q297" s="661">
        <v>0.96290247555165809</v>
      </c>
      <c r="R297" s="661">
        <v>7.7126288806125016</v>
      </c>
      <c r="S297" s="661">
        <v>0</v>
      </c>
      <c r="T297" s="661">
        <v>0.24940873791150003</v>
      </c>
      <c r="U297" s="669">
        <v>42.511723035553004</v>
      </c>
    </row>
    <row r="298" spans="3:21" x14ac:dyDescent="0.2">
      <c r="C298" s="668" t="s">
        <v>354</v>
      </c>
      <c r="D298" s="661">
        <v>0</v>
      </c>
      <c r="E298" s="661">
        <v>0</v>
      </c>
      <c r="F298" s="661">
        <v>0</v>
      </c>
      <c r="G298" s="661">
        <v>0</v>
      </c>
      <c r="H298" s="661">
        <v>0</v>
      </c>
      <c r="I298" s="661">
        <v>0</v>
      </c>
      <c r="J298" s="661">
        <v>0</v>
      </c>
      <c r="K298" s="661">
        <v>0</v>
      </c>
      <c r="L298" s="661">
        <v>0</v>
      </c>
      <c r="M298" s="661">
        <v>0</v>
      </c>
      <c r="N298" s="661">
        <v>0</v>
      </c>
      <c r="O298" s="661">
        <v>0</v>
      </c>
      <c r="P298" s="661">
        <v>0</v>
      </c>
      <c r="Q298" s="661">
        <v>0</v>
      </c>
      <c r="R298" s="661">
        <v>0.68544000000000005</v>
      </c>
      <c r="S298" s="661">
        <v>0</v>
      </c>
      <c r="T298" s="661">
        <v>0</v>
      </c>
      <c r="U298" s="669">
        <v>0.68544000000000005</v>
      </c>
    </row>
    <row r="299" spans="3:21" x14ac:dyDescent="0.2">
      <c r="C299" s="664" t="s">
        <v>83</v>
      </c>
      <c r="D299" s="665">
        <v>3.5288056070999749</v>
      </c>
      <c r="E299" s="665">
        <v>0</v>
      </c>
      <c r="F299" s="665">
        <v>219.2859937800437</v>
      </c>
      <c r="G299" s="665">
        <v>0.37586832320647884</v>
      </c>
      <c r="H299" s="673">
        <v>115.70346668835522</v>
      </c>
      <c r="I299" s="665">
        <v>0</v>
      </c>
      <c r="J299" s="665">
        <v>0</v>
      </c>
      <c r="K299" s="665">
        <v>0</v>
      </c>
      <c r="L299" s="665">
        <v>62.005795847814824</v>
      </c>
      <c r="M299" s="665">
        <v>2.5071029873236355</v>
      </c>
      <c r="N299" s="665">
        <v>62.300915050220524</v>
      </c>
      <c r="O299" s="665">
        <v>42.828398674640319</v>
      </c>
      <c r="P299" s="665">
        <v>114.79412791174752</v>
      </c>
      <c r="Q299" s="665">
        <v>4.2452873741769226</v>
      </c>
      <c r="R299" s="665">
        <v>451.26664859097167</v>
      </c>
      <c r="S299" s="665">
        <v>65.863449027923181</v>
      </c>
      <c r="T299" s="665">
        <v>5.5579296438925034</v>
      </c>
      <c r="U299" s="665">
        <v>1150.2637895074163</v>
      </c>
    </row>
    <row r="300" spans="3:21" x14ac:dyDescent="0.2">
      <c r="C300" s="660" t="s">
        <v>84</v>
      </c>
      <c r="D300" s="661">
        <v>0</v>
      </c>
      <c r="E300" s="661">
        <v>0</v>
      </c>
      <c r="F300" s="661">
        <v>78.311135803097855</v>
      </c>
      <c r="G300" s="661">
        <v>3.2322568578114335</v>
      </c>
      <c r="H300" s="661">
        <v>8.5375790835295255</v>
      </c>
      <c r="I300" s="661">
        <v>0</v>
      </c>
      <c r="J300" s="661">
        <v>0</v>
      </c>
      <c r="K300" s="661">
        <v>0</v>
      </c>
      <c r="L300" s="661">
        <v>0.26788991283700125</v>
      </c>
      <c r="M300" s="661">
        <v>0</v>
      </c>
      <c r="N300" s="661">
        <v>12.991363385671615</v>
      </c>
      <c r="O300" s="661">
        <v>1.800451278990862</v>
      </c>
      <c r="P300" s="661">
        <v>0</v>
      </c>
      <c r="Q300" s="661">
        <v>0</v>
      </c>
      <c r="R300" s="661">
        <v>0</v>
      </c>
      <c r="S300" s="661">
        <v>0</v>
      </c>
      <c r="T300" s="661">
        <v>17.811580806374948</v>
      </c>
      <c r="U300" s="669">
        <v>122.95225712831325</v>
      </c>
    </row>
    <row r="301" spans="3:21" x14ac:dyDescent="0.2">
      <c r="C301" s="664" t="s">
        <v>85</v>
      </c>
      <c r="D301" s="665">
        <v>3.5288056070999749</v>
      </c>
      <c r="E301" s="665">
        <v>0</v>
      </c>
      <c r="F301" s="665">
        <v>297.59712958314151</v>
      </c>
      <c r="G301" s="665">
        <v>3.6081251810179125</v>
      </c>
      <c r="H301" s="673">
        <v>124.24104577188474</v>
      </c>
      <c r="I301" s="665">
        <v>0</v>
      </c>
      <c r="J301" s="665">
        <v>0</v>
      </c>
      <c r="K301" s="665">
        <v>0</v>
      </c>
      <c r="L301" s="665">
        <v>62.273685760651823</v>
      </c>
      <c r="M301" s="665">
        <v>2.5071029873236355</v>
      </c>
      <c r="N301" s="665">
        <v>75.292278435892143</v>
      </c>
      <c r="O301" s="665">
        <v>44.628849953631182</v>
      </c>
      <c r="P301" s="665">
        <v>114.79412791174752</v>
      </c>
      <c r="Q301" s="665">
        <v>4.2452873741769226</v>
      </c>
      <c r="R301" s="665">
        <v>451.26664859097167</v>
      </c>
      <c r="S301" s="665">
        <v>65.863449027923181</v>
      </c>
      <c r="T301" s="665">
        <v>23.369510450267452</v>
      </c>
      <c r="U301" s="665">
        <v>1273.2160466357295</v>
      </c>
    </row>
    <row r="302" spans="3:21" x14ac:dyDescent="0.2">
      <c r="C302" s="652"/>
      <c r="D302" s="670">
        <v>0</v>
      </c>
      <c r="E302" s="670">
        <v>0</v>
      </c>
      <c r="F302" s="670">
        <v>-9.5923269327613525E-14</v>
      </c>
      <c r="G302" s="670">
        <v>0</v>
      </c>
      <c r="H302" s="670">
        <v>0</v>
      </c>
      <c r="I302" s="670">
        <v>0</v>
      </c>
      <c r="J302" s="670">
        <v>0</v>
      </c>
      <c r="K302" s="670">
        <v>0</v>
      </c>
      <c r="L302" s="670">
        <v>0</v>
      </c>
      <c r="M302" s="670">
        <v>0</v>
      </c>
      <c r="N302" s="670">
        <v>-2.1316282072803006E-14</v>
      </c>
      <c r="O302" s="670">
        <v>1.0658141036401503E-14</v>
      </c>
      <c r="P302" s="670">
        <v>0</v>
      </c>
      <c r="Q302" s="670">
        <v>0</v>
      </c>
      <c r="R302" s="670">
        <v>-5.6843418860808015E-14</v>
      </c>
      <c r="S302" s="670">
        <v>0</v>
      </c>
      <c r="T302" s="670">
        <v>4.5796699765787707E-15</v>
      </c>
      <c r="U302" s="670">
        <v>0</v>
      </c>
    </row>
    <row r="303" spans="3:21" x14ac:dyDescent="0.2">
      <c r="C303" s="652"/>
      <c r="D303" s="652"/>
      <c r="E303" s="652"/>
      <c r="F303" s="652"/>
      <c r="G303" s="652"/>
      <c r="H303" s="652"/>
      <c r="I303" s="652"/>
      <c r="J303" s="652"/>
      <c r="K303" s="652"/>
      <c r="L303" s="652"/>
      <c r="M303" s="652"/>
      <c r="N303" s="652"/>
      <c r="O303" s="652"/>
      <c r="P303" s="652"/>
      <c r="Q303" s="652"/>
      <c r="R303" s="652"/>
      <c r="S303" s="652"/>
      <c r="T303" s="652"/>
      <c r="U303" s="652"/>
    </row>
    <row r="304" spans="3:21" ht="15" x14ac:dyDescent="0.25">
      <c r="C304" s="656" t="s">
        <v>359</v>
      </c>
      <c r="D304" s="657"/>
      <c r="E304" s="657"/>
      <c r="F304" s="657"/>
      <c r="G304" s="657"/>
      <c r="H304" s="657"/>
      <c r="I304" s="657"/>
      <c r="J304" s="657"/>
      <c r="K304" s="657"/>
      <c r="L304" s="657"/>
      <c r="M304" s="657"/>
      <c r="N304" s="657"/>
      <c r="O304" s="657"/>
      <c r="P304" s="657"/>
      <c r="Q304" s="657"/>
      <c r="R304" s="657"/>
      <c r="S304" s="657"/>
      <c r="T304" s="657"/>
      <c r="U304" s="657"/>
    </row>
    <row r="305" spans="3:21" x14ac:dyDescent="0.2">
      <c r="C305" s="652"/>
      <c r="D305" s="652"/>
      <c r="E305" s="652"/>
      <c r="F305" s="652"/>
      <c r="G305" s="652"/>
      <c r="H305" s="652"/>
      <c r="I305" s="652"/>
      <c r="J305" s="652"/>
      <c r="K305" s="652"/>
      <c r="L305" s="652"/>
      <c r="M305" s="652"/>
      <c r="N305" s="652"/>
      <c r="O305" s="652"/>
      <c r="P305" s="652"/>
      <c r="Q305" s="652"/>
      <c r="R305" s="652"/>
      <c r="S305" s="652"/>
      <c r="T305" s="652"/>
      <c r="U305" s="652"/>
    </row>
    <row r="306" spans="3:21" x14ac:dyDescent="0.2">
      <c r="C306" s="773" t="s">
        <v>128</v>
      </c>
      <c r="D306" s="768" t="s">
        <v>42</v>
      </c>
      <c r="E306" s="768" t="s">
        <v>52</v>
      </c>
      <c r="F306" s="768" t="s">
        <v>53</v>
      </c>
      <c r="G306" s="768" t="s">
        <v>482</v>
      </c>
      <c r="H306" s="768" t="s">
        <v>32</v>
      </c>
      <c r="I306" s="768" t="s">
        <v>483</v>
      </c>
      <c r="J306" s="768" t="s">
        <v>20</v>
      </c>
      <c r="K306" s="768" t="s">
        <v>55</v>
      </c>
      <c r="L306" s="770" t="s">
        <v>56</v>
      </c>
      <c r="M306" s="771"/>
      <c r="N306" s="771"/>
      <c r="O306" s="771"/>
      <c r="P306" s="771"/>
      <c r="Q306" s="772"/>
      <c r="R306" s="768" t="s">
        <v>57</v>
      </c>
      <c r="S306" s="768" t="s">
        <v>58</v>
      </c>
      <c r="T306" s="768" t="s">
        <v>31</v>
      </c>
      <c r="U306" s="768" t="s">
        <v>10</v>
      </c>
    </row>
    <row r="307" spans="3:21" ht="36" x14ac:dyDescent="0.2">
      <c r="C307" s="774"/>
      <c r="D307" s="769"/>
      <c r="E307" s="769"/>
      <c r="F307" s="769"/>
      <c r="G307" s="769"/>
      <c r="H307" s="769"/>
      <c r="I307" s="769"/>
      <c r="J307" s="769"/>
      <c r="K307" s="769"/>
      <c r="L307" s="658" t="s">
        <v>335</v>
      </c>
      <c r="M307" s="658" t="s">
        <v>40</v>
      </c>
      <c r="N307" s="658" t="s">
        <v>343</v>
      </c>
      <c r="O307" s="658" t="s">
        <v>344</v>
      </c>
      <c r="P307" s="659" t="s">
        <v>345</v>
      </c>
      <c r="Q307" s="658" t="s">
        <v>346</v>
      </c>
      <c r="R307" s="769"/>
      <c r="S307" s="769"/>
      <c r="T307" s="769"/>
      <c r="U307" s="769"/>
    </row>
    <row r="308" spans="3:21" x14ac:dyDescent="0.2">
      <c r="C308" s="660" t="s">
        <v>59</v>
      </c>
      <c r="D308" s="661">
        <v>0</v>
      </c>
      <c r="E308" s="661">
        <v>2.3260000000000005</v>
      </c>
      <c r="F308" s="661">
        <v>0</v>
      </c>
      <c r="G308" s="661">
        <v>0</v>
      </c>
      <c r="H308" s="661">
        <v>3.7216000000000006E-2</v>
      </c>
      <c r="I308" s="661">
        <v>0</v>
      </c>
      <c r="J308" s="662">
        <v>964.52942056246673</v>
      </c>
      <c r="K308" s="662">
        <v>311.46236031836668</v>
      </c>
      <c r="L308" s="662">
        <v>294.50335183866372</v>
      </c>
      <c r="M308" s="662">
        <v>26.897654847027933</v>
      </c>
      <c r="N308" s="661">
        <v>1.5522078310841105</v>
      </c>
      <c r="O308" s="661">
        <v>0.16457898409976487</v>
      </c>
      <c r="P308" s="662">
        <v>128.43983591306872</v>
      </c>
      <c r="Q308" s="662">
        <v>20.654107927982594</v>
      </c>
      <c r="R308" s="661">
        <v>0</v>
      </c>
      <c r="S308" s="661">
        <v>0</v>
      </c>
      <c r="T308" s="661">
        <v>0</v>
      </c>
      <c r="U308" s="663">
        <v>1750.5667342227598</v>
      </c>
    </row>
    <row r="309" spans="3:21" x14ac:dyDescent="0.2">
      <c r="C309" s="660" t="s">
        <v>60</v>
      </c>
      <c r="D309" s="661">
        <v>13.859177019435306</v>
      </c>
      <c r="E309" s="661">
        <v>296.13837759387053</v>
      </c>
      <c r="F309" s="661">
        <v>5.829718761745502</v>
      </c>
      <c r="G309" s="661">
        <v>0.35872125556105416</v>
      </c>
      <c r="H309" s="661">
        <v>120.63288166670617</v>
      </c>
      <c r="I309" s="661">
        <v>0</v>
      </c>
      <c r="J309" s="661">
        <v>0</v>
      </c>
      <c r="K309" s="661">
        <v>0</v>
      </c>
      <c r="L309" s="661">
        <v>3.8185483520995893</v>
      </c>
      <c r="M309" s="661">
        <v>0</v>
      </c>
      <c r="N309" s="661">
        <v>4.0860505945061325</v>
      </c>
      <c r="O309" s="661">
        <v>0</v>
      </c>
      <c r="P309" s="661">
        <v>0</v>
      </c>
      <c r="Q309" s="661">
        <v>0</v>
      </c>
      <c r="R309" s="661">
        <v>0</v>
      </c>
      <c r="S309" s="661">
        <v>0</v>
      </c>
      <c r="T309" s="661">
        <v>0</v>
      </c>
      <c r="U309" s="663">
        <v>444.72347524392433</v>
      </c>
    </row>
    <row r="310" spans="3:21" x14ac:dyDescent="0.2">
      <c r="C310" s="660" t="s">
        <v>61</v>
      </c>
      <c r="D310" s="661">
        <v>0</v>
      </c>
      <c r="E310" s="661">
        <v>0</v>
      </c>
      <c r="F310" s="661">
        <v>-11.930293865877704</v>
      </c>
      <c r="G310" s="661">
        <v>0</v>
      </c>
      <c r="H310" s="661">
        <v>0</v>
      </c>
      <c r="I310" s="661">
        <v>0</v>
      </c>
      <c r="J310" s="661">
        <v>0</v>
      </c>
      <c r="K310" s="661">
        <v>0</v>
      </c>
      <c r="L310" s="661">
        <v>0</v>
      </c>
      <c r="M310" s="661">
        <v>0</v>
      </c>
      <c r="N310" s="661">
        <v>0</v>
      </c>
      <c r="O310" s="661">
        <v>0</v>
      </c>
      <c r="P310" s="661">
        <v>0</v>
      </c>
      <c r="Q310" s="661">
        <v>0</v>
      </c>
      <c r="R310" s="661">
        <v>-39.267637363013023</v>
      </c>
      <c r="S310" s="661">
        <v>0</v>
      </c>
      <c r="T310" s="661">
        <v>0</v>
      </c>
      <c r="U310" s="663">
        <v>-51.197931228890724</v>
      </c>
    </row>
    <row r="311" spans="3:21" x14ac:dyDescent="0.2">
      <c r="C311" s="660" t="s">
        <v>62</v>
      </c>
      <c r="D311" s="661">
        <v>0</v>
      </c>
      <c r="E311" s="661">
        <v>0</v>
      </c>
      <c r="F311" s="661">
        <v>-10.650864702914385</v>
      </c>
      <c r="G311" s="661">
        <v>-1.9080821969915447</v>
      </c>
      <c r="H311" s="661">
        <v>-4.5147113062781807</v>
      </c>
      <c r="I311" s="661">
        <v>0</v>
      </c>
      <c r="J311" s="661">
        <v>0</v>
      </c>
      <c r="K311" s="661">
        <v>0</v>
      </c>
      <c r="L311" s="661">
        <v>0</v>
      </c>
      <c r="M311" s="661">
        <v>0</v>
      </c>
      <c r="N311" s="661">
        <v>-0.48900468677593995</v>
      </c>
      <c r="O311" s="661">
        <v>-2.7436669996352929</v>
      </c>
      <c r="P311" s="661">
        <v>0</v>
      </c>
      <c r="Q311" s="661">
        <v>0</v>
      </c>
      <c r="R311" s="661">
        <v>0</v>
      </c>
      <c r="S311" s="661">
        <v>0</v>
      </c>
      <c r="T311" s="661">
        <v>0</v>
      </c>
      <c r="U311" s="663">
        <v>-20.306329892595343</v>
      </c>
    </row>
    <row r="312" spans="3:21" x14ac:dyDescent="0.2">
      <c r="C312" s="660" t="s">
        <v>63</v>
      </c>
      <c r="D312" s="661">
        <v>0</v>
      </c>
      <c r="E312" s="661">
        <v>0</v>
      </c>
      <c r="F312" s="661">
        <v>-52.2656340821949</v>
      </c>
      <c r="G312" s="661">
        <v>-8.2703034572776399</v>
      </c>
      <c r="H312" s="661">
        <v>0</v>
      </c>
      <c r="I312" s="661">
        <v>0</v>
      </c>
      <c r="J312" s="661">
        <v>0</v>
      </c>
      <c r="K312" s="661">
        <v>0</v>
      </c>
      <c r="L312" s="661">
        <v>0</v>
      </c>
      <c r="M312" s="661">
        <v>0</v>
      </c>
      <c r="N312" s="661">
        <v>-13.213101981709578</v>
      </c>
      <c r="O312" s="661">
        <v>0</v>
      </c>
      <c r="P312" s="661">
        <v>0</v>
      </c>
      <c r="Q312" s="661">
        <v>0</v>
      </c>
      <c r="R312" s="661">
        <v>0</v>
      </c>
      <c r="S312" s="661">
        <v>0</v>
      </c>
      <c r="T312" s="661">
        <v>-0.45605370393256905</v>
      </c>
      <c r="U312" s="663">
        <v>-74.20509322511468</v>
      </c>
    </row>
    <row r="313" spans="3:21" x14ac:dyDescent="0.2">
      <c r="C313" s="660" t="s">
        <v>64</v>
      </c>
      <c r="D313" s="661">
        <v>0</v>
      </c>
      <c r="E313" s="661">
        <v>0</v>
      </c>
      <c r="F313" s="661">
        <v>0</v>
      </c>
      <c r="G313" s="661">
        <v>0</v>
      </c>
      <c r="H313" s="661">
        <v>0</v>
      </c>
      <c r="I313" s="661">
        <v>0</v>
      </c>
      <c r="J313" s="661">
        <v>0</v>
      </c>
      <c r="K313" s="661">
        <v>0</v>
      </c>
      <c r="L313" s="661">
        <v>0</v>
      </c>
      <c r="M313" s="661">
        <v>0</v>
      </c>
      <c r="N313" s="661">
        <v>0</v>
      </c>
      <c r="O313" s="661">
        <v>0</v>
      </c>
      <c r="P313" s="661">
        <v>0</v>
      </c>
      <c r="Q313" s="661">
        <v>0</v>
      </c>
      <c r="R313" s="661">
        <v>0</v>
      </c>
      <c r="S313" s="661">
        <v>0</v>
      </c>
      <c r="T313" s="661">
        <v>0</v>
      </c>
      <c r="U313" s="663">
        <v>0</v>
      </c>
    </row>
    <row r="314" spans="3:21" x14ac:dyDescent="0.2">
      <c r="C314" s="664" t="s">
        <v>65</v>
      </c>
      <c r="D314" s="665">
        <v>13.859177019435306</v>
      </c>
      <c r="E314" s="665">
        <v>298.46437759387055</v>
      </c>
      <c r="F314" s="665">
        <v>-69.017073889241487</v>
      </c>
      <c r="G314" s="665">
        <v>-9.8196643987081309</v>
      </c>
      <c r="H314" s="673">
        <v>116.15538636042798</v>
      </c>
      <c r="I314" s="665">
        <v>0</v>
      </c>
      <c r="J314" s="665">
        <v>964.52942056246673</v>
      </c>
      <c r="K314" s="665">
        <v>311.46236031836668</v>
      </c>
      <c r="L314" s="665">
        <v>298.3219001907633</v>
      </c>
      <c r="M314" s="665">
        <v>26.897654847027933</v>
      </c>
      <c r="N314" s="665">
        <v>-8.0638482428952756</v>
      </c>
      <c r="O314" s="665">
        <v>-2.579088015535528</v>
      </c>
      <c r="P314" s="665">
        <v>128.43983591306872</v>
      </c>
      <c r="Q314" s="665">
        <v>20.654107927982594</v>
      </c>
      <c r="R314" s="665">
        <v>-39.267637363013023</v>
      </c>
      <c r="S314" s="665">
        <v>0</v>
      </c>
      <c r="T314" s="665">
        <v>-0.45605370393256905</v>
      </c>
      <c r="U314" s="665">
        <v>2049.5808551200835</v>
      </c>
    </row>
    <row r="315" spans="3:21" x14ac:dyDescent="0.2">
      <c r="C315" s="666"/>
      <c r="D315" s="667">
        <v>0</v>
      </c>
      <c r="E315" s="667">
        <v>0</v>
      </c>
      <c r="F315" s="667">
        <v>0</v>
      </c>
      <c r="G315" s="667">
        <v>0</v>
      </c>
      <c r="H315" s="674">
        <v>0</v>
      </c>
      <c r="I315" s="667">
        <v>0</v>
      </c>
      <c r="J315" s="667">
        <v>0</v>
      </c>
      <c r="K315" s="667">
        <v>0</v>
      </c>
      <c r="L315" s="667">
        <v>0</v>
      </c>
      <c r="M315" s="667">
        <v>0</v>
      </c>
      <c r="N315" s="667">
        <v>0</v>
      </c>
      <c r="O315" s="667">
        <v>0</v>
      </c>
      <c r="P315" s="667">
        <v>0</v>
      </c>
      <c r="Q315" s="667">
        <v>0</v>
      </c>
      <c r="R315" s="667">
        <v>0</v>
      </c>
      <c r="S315" s="667">
        <v>0</v>
      </c>
      <c r="T315" s="667">
        <v>0</v>
      </c>
      <c r="U315" s="667">
        <v>0</v>
      </c>
    </row>
    <row r="316" spans="3:21" x14ac:dyDescent="0.2">
      <c r="C316" s="668" t="s">
        <v>67</v>
      </c>
      <c r="D316" s="661">
        <v>0</v>
      </c>
      <c r="E316" s="661">
        <v>0</v>
      </c>
      <c r="F316" s="661">
        <v>0</v>
      </c>
      <c r="G316" s="661">
        <v>0</v>
      </c>
      <c r="H316" s="661">
        <v>0</v>
      </c>
      <c r="I316" s="661">
        <v>0</v>
      </c>
      <c r="J316" s="661">
        <v>0</v>
      </c>
      <c r="K316" s="661">
        <v>0</v>
      </c>
      <c r="L316" s="661">
        <v>0</v>
      </c>
      <c r="M316" s="661">
        <v>0</v>
      </c>
      <c r="N316" s="661">
        <v>0</v>
      </c>
      <c r="O316" s="661">
        <v>0</v>
      </c>
      <c r="P316" s="661">
        <v>0</v>
      </c>
      <c r="Q316" s="661">
        <v>0</v>
      </c>
      <c r="R316" s="661">
        <v>0</v>
      </c>
      <c r="S316" s="661">
        <v>0</v>
      </c>
      <c r="T316" s="661">
        <v>0</v>
      </c>
      <c r="U316" s="669">
        <v>0</v>
      </c>
    </row>
    <row r="317" spans="3:21" x14ac:dyDescent="0.2">
      <c r="C317" s="668" t="s">
        <v>347</v>
      </c>
      <c r="D317" s="661">
        <v>0</v>
      </c>
      <c r="E317" s="661">
        <v>0</v>
      </c>
      <c r="F317" s="661">
        <v>0.36057808628354604</v>
      </c>
      <c r="G317" s="661">
        <v>0</v>
      </c>
      <c r="H317" s="661">
        <v>7.5839969390793698</v>
      </c>
      <c r="I317" s="661">
        <v>0</v>
      </c>
      <c r="J317" s="661">
        <v>964.52942056246673</v>
      </c>
      <c r="K317" s="661">
        <v>311.46236031836668</v>
      </c>
      <c r="L317" s="661">
        <v>22.176349392164049</v>
      </c>
      <c r="M317" s="661">
        <v>10.089931127123995</v>
      </c>
      <c r="N317" s="661">
        <v>5.3878161949008447</v>
      </c>
      <c r="O317" s="661">
        <v>2.0095680781151462</v>
      </c>
      <c r="P317" s="661">
        <v>0</v>
      </c>
      <c r="Q317" s="661">
        <v>4.9774137725284184</v>
      </c>
      <c r="R317" s="661">
        <v>-653.56257887708989</v>
      </c>
      <c r="S317" s="661">
        <v>0</v>
      </c>
      <c r="T317" s="661">
        <v>1.9189703578470259</v>
      </c>
      <c r="U317" s="669">
        <v>676.93382595178593</v>
      </c>
    </row>
    <row r="318" spans="3:21" x14ac:dyDescent="0.2">
      <c r="C318" s="668" t="s">
        <v>348</v>
      </c>
      <c r="D318" s="661">
        <v>0</v>
      </c>
      <c r="E318" s="661">
        <v>0</v>
      </c>
      <c r="F318" s="661">
        <v>0</v>
      </c>
      <c r="G318" s="661">
        <v>0</v>
      </c>
      <c r="H318" s="661">
        <v>9.2764090353058375</v>
      </c>
      <c r="I318" s="661">
        <v>0</v>
      </c>
      <c r="J318" s="661">
        <v>0</v>
      </c>
      <c r="K318" s="661">
        <v>0</v>
      </c>
      <c r="L318" s="661">
        <v>35.764224717869801</v>
      </c>
      <c r="M318" s="661">
        <v>14.37233701187753</v>
      </c>
      <c r="N318" s="661">
        <v>0</v>
      </c>
      <c r="O318" s="661">
        <v>5.4622758911360467</v>
      </c>
      <c r="P318" s="661">
        <v>0</v>
      </c>
      <c r="Q318" s="661">
        <v>10.952590418500169</v>
      </c>
      <c r="R318" s="661">
        <v>0</v>
      </c>
      <c r="S318" s="661">
        <v>-70.157887736076944</v>
      </c>
      <c r="T318" s="661">
        <v>0</v>
      </c>
      <c r="U318" s="669">
        <v>5.6699493386124447</v>
      </c>
    </row>
    <row r="319" spans="3:21" x14ac:dyDescent="0.2">
      <c r="C319" s="668" t="s">
        <v>349</v>
      </c>
      <c r="D319" s="661">
        <v>0</v>
      </c>
      <c r="E319" s="661">
        <v>0</v>
      </c>
      <c r="F319" s="661">
        <v>0</v>
      </c>
      <c r="G319" s="661">
        <v>0</v>
      </c>
      <c r="H319" s="661">
        <v>0</v>
      </c>
      <c r="I319" s="661">
        <v>0</v>
      </c>
      <c r="J319" s="661">
        <v>0</v>
      </c>
      <c r="K319" s="661">
        <v>0</v>
      </c>
      <c r="L319" s="661">
        <v>74.445335403224831</v>
      </c>
      <c r="M319" s="661">
        <v>0</v>
      </c>
      <c r="N319" s="661">
        <v>0</v>
      </c>
      <c r="O319" s="661">
        <v>-68.22829141881553</v>
      </c>
      <c r="P319" s="661">
        <v>0</v>
      </c>
      <c r="Q319" s="661">
        <v>0</v>
      </c>
      <c r="R319" s="661">
        <v>0</v>
      </c>
      <c r="S319" s="661">
        <v>0</v>
      </c>
      <c r="T319" s="661">
        <v>0</v>
      </c>
      <c r="U319" s="669">
        <v>6.2170439844093011</v>
      </c>
    </row>
    <row r="320" spans="3:21" x14ac:dyDescent="0.2">
      <c r="C320" s="668" t="s">
        <v>350</v>
      </c>
      <c r="D320" s="661">
        <v>0</v>
      </c>
      <c r="E320" s="661">
        <v>0</v>
      </c>
      <c r="F320" s="661">
        <v>0</v>
      </c>
      <c r="G320" s="661">
        <v>0</v>
      </c>
      <c r="H320" s="661">
        <v>0</v>
      </c>
      <c r="I320" s="661">
        <v>0</v>
      </c>
      <c r="J320" s="661">
        <v>0</v>
      </c>
      <c r="K320" s="661">
        <v>0</v>
      </c>
      <c r="L320" s="661">
        <v>0</v>
      </c>
      <c r="M320" s="661">
        <v>0</v>
      </c>
      <c r="N320" s="661">
        <v>0</v>
      </c>
      <c r="O320" s="661">
        <v>0</v>
      </c>
      <c r="P320" s="661">
        <v>0</v>
      </c>
      <c r="Q320" s="661">
        <v>0</v>
      </c>
      <c r="R320" s="661">
        <v>0</v>
      </c>
      <c r="S320" s="661">
        <v>0</v>
      </c>
      <c r="T320" s="661">
        <v>0</v>
      </c>
      <c r="U320" s="669">
        <v>0</v>
      </c>
    </row>
    <row r="321" spans="3:21" x14ac:dyDescent="0.2">
      <c r="C321" s="668" t="s">
        <v>72</v>
      </c>
      <c r="D321" s="661">
        <v>0</v>
      </c>
      <c r="E321" s="661">
        <v>309.28389692910912</v>
      </c>
      <c r="F321" s="661">
        <v>-306.20133621434456</v>
      </c>
      <c r="G321" s="661">
        <v>0</v>
      </c>
      <c r="H321" s="661">
        <v>0</v>
      </c>
      <c r="I321" s="661">
        <v>0</v>
      </c>
      <c r="J321" s="661">
        <v>0</v>
      </c>
      <c r="K321" s="661">
        <v>0</v>
      </c>
      <c r="L321" s="661">
        <v>0</v>
      </c>
      <c r="M321" s="661">
        <v>0</v>
      </c>
      <c r="N321" s="661">
        <v>0</v>
      </c>
      <c r="O321" s="661">
        <v>0</v>
      </c>
      <c r="P321" s="661">
        <v>0</v>
      </c>
      <c r="Q321" s="661">
        <v>0</v>
      </c>
      <c r="R321" s="661">
        <v>0</v>
      </c>
      <c r="S321" s="661">
        <v>0</v>
      </c>
      <c r="T321" s="661">
        <v>0</v>
      </c>
      <c r="U321" s="669">
        <v>3.0825607147645133</v>
      </c>
    </row>
    <row r="322" spans="3:21" x14ac:dyDescent="0.2">
      <c r="C322" s="668" t="s">
        <v>351</v>
      </c>
      <c r="D322" s="661">
        <v>0</v>
      </c>
      <c r="E322" s="661">
        <v>0</v>
      </c>
      <c r="F322" s="661">
        <v>0</v>
      </c>
      <c r="G322" s="661">
        <v>0</v>
      </c>
      <c r="H322" s="661">
        <v>0</v>
      </c>
      <c r="I322" s="661">
        <v>0</v>
      </c>
      <c r="J322" s="661">
        <v>0</v>
      </c>
      <c r="K322" s="661">
        <v>0</v>
      </c>
      <c r="L322" s="661">
        <v>106.10331078427467</v>
      </c>
      <c r="M322" s="661">
        <v>0</v>
      </c>
      <c r="N322" s="661">
        <v>-106.10331078427467</v>
      </c>
      <c r="O322" s="661">
        <v>0</v>
      </c>
      <c r="P322" s="661">
        <v>0</v>
      </c>
      <c r="Q322" s="661">
        <v>0</v>
      </c>
      <c r="R322" s="661">
        <v>0</v>
      </c>
      <c r="S322" s="661">
        <v>0</v>
      </c>
      <c r="T322" s="661">
        <v>0</v>
      </c>
      <c r="U322" s="669">
        <v>0</v>
      </c>
    </row>
    <row r="323" spans="3:21" x14ac:dyDescent="0.2">
      <c r="C323" s="668" t="s">
        <v>352</v>
      </c>
      <c r="D323" s="661">
        <v>0</v>
      </c>
      <c r="E323" s="661">
        <v>0</v>
      </c>
      <c r="F323" s="661">
        <v>0</v>
      </c>
      <c r="G323" s="661">
        <v>-16.310777823492739</v>
      </c>
      <c r="H323" s="661">
        <v>0</v>
      </c>
      <c r="I323" s="661">
        <v>0</v>
      </c>
      <c r="J323" s="661">
        <v>0</v>
      </c>
      <c r="K323" s="661">
        <v>0</v>
      </c>
      <c r="L323" s="661">
        <v>0</v>
      </c>
      <c r="M323" s="661">
        <v>0</v>
      </c>
      <c r="N323" s="661">
        <v>0</v>
      </c>
      <c r="O323" s="661">
        <v>0</v>
      </c>
      <c r="P323" s="661">
        <v>0</v>
      </c>
      <c r="Q323" s="661">
        <v>0</v>
      </c>
      <c r="R323" s="661">
        <v>0</v>
      </c>
      <c r="S323" s="661">
        <v>0</v>
      </c>
      <c r="T323" s="661">
        <v>22.716960756953675</v>
      </c>
      <c r="U323" s="669">
        <v>6.4061829334609364</v>
      </c>
    </row>
    <row r="324" spans="3:21" x14ac:dyDescent="0.2">
      <c r="C324" s="668" t="s">
        <v>73</v>
      </c>
      <c r="D324" s="661">
        <v>0</v>
      </c>
      <c r="E324" s="661">
        <v>0</v>
      </c>
      <c r="F324" s="661">
        <v>0</v>
      </c>
      <c r="G324" s="661">
        <v>0</v>
      </c>
      <c r="H324" s="661">
        <v>0</v>
      </c>
      <c r="I324" s="661">
        <v>0</v>
      </c>
      <c r="J324" s="661">
        <v>0</v>
      </c>
      <c r="K324" s="661">
        <v>0</v>
      </c>
      <c r="L324" s="661">
        <v>0</v>
      </c>
      <c r="M324" s="661">
        <v>0</v>
      </c>
      <c r="N324" s="661">
        <v>0</v>
      </c>
      <c r="O324" s="661">
        <v>0</v>
      </c>
      <c r="P324" s="661">
        <v>0</v>
      </c>
      <c r="Q324" s="661">
        <v>0</v>
      </c>
      <c r="R324" s="661">
        <v>80.747003520407887</v>
      </c>
      <c r="S324" s="661">
        <v>0</v>
      </c>
      <c r="T324" s="661">
        <v>-54.746468386836547</v>
      </c>
      <c r="U324" s="669">
        <v>26.00053513357134</v>
      </c>
    </row>
    <row r="325" spans="3:21" x14ac:dyDescent="0.2">
      <c r="C325" s="668" t="s">
        <v>353</v>
      </c>
      <c r="D325" s="661">
        <v>7.7637663281249996</v>
      </c>
      <c r="E325" s="661">
        <v>-10.819519335238569</v>
      </c>
      <c r="F325" s="661">
        <v>14.100311366339174</v>
      </c>
      <c r="G325" s="661">
        <v>0</v>
      </c>
      <c r="H325" s="661">
        <v>0</v>
      </c>
      <c r="I325" s="661">
        <v>0</v>
      </c>
      <c r="J325" s="661">
        <v>0</v>
      </c>
      <c r="K325" s="661">
        <v>0</v>
      </c>
      <c r="L325" s="661">
        <v>0</v>
      </c>
      <c r="M325" s="661">
        <v>0</v>
      </c>
      <c r="N325" s="661">
        <v>0</v>
      </c>
      <c r="O325" s="661">
        <v>0</v>
      </c>
      <c r="P325" s="661">
        <v>0</v>
      </c>
      <c r="Q325" s="661">
        <v>0</v>
      </c>
      <c r="R325" s="661">
        <v>0</v>
      </c>
      <c r="S325" s="661">
        <v>0</v>
      </c>
      <c r="T325" s="661">
        <v>0</v>
      </c>
      <c r="U325" s="669">
        <v>11.044558359225604</v>
      </c>
    </row>
    <row r="326" spans="3:21" x14ac:dyDescent="0.2">
      <c r="C326" s="668" t="s">
        <v>75</v>
      </c>
      <c r="D326" s="661">
        <v>3.0192424609374999</v>
      </c>
      <c r="E326" s="661">
        <v>0</v>
      </c>
      <c r="F326" s="661">
        <v>18.191659515376916</v>
      </c>
      <c r="G326" s="661">
        <v>0</v>
      </c>
      <c r="H326" s="661">
        <v>3.2664120682994437</v>
      </c>
      <c r="I326" s="661">
        <v>0</v>
      </c>
      <c r="J326" s="661">
        <v>0</v>
      </c>
      <c r="K326" s="661">
        <v>0</v>
      </c>
      <c r="L326" s="661">
        <v>0</v>
      </c>
      <c r="M326" s="661">
        <v>0</v>
      </c>
      <c r="N326" s="661">
        <v>0</v>
      </c>
      <c r="O326" s="661">
        <v>1.9850542794488581</v>
      </c>
      <c r="P326" s="661">
        <v>0</v>
      </c>
      <c r="Q326" s="661">
        <v>0</v>
      </c>
      <c r="R326" s="661">
        <v>23.96590055491529</v>
      </c>
      <c r="S326" s="661">
        <v>0</v>
      </c>
      <c r="T326" s="661">
        <v>0</v>
      </c>
      <c r="U326" s="669">
        <v>50.42826887897801</v>
      </c>
    </row>
    <row r="327" spans="3:21" x14ac:dyDescent="0.2">
      <c r="C327" s="668" t="s">
        <v>76</v>
      </c>
      <c r="D327" s="661">
        <v>0</v>
      </c>
      <c r="E327" s="661">
        <v>0</v>
      </c>
      <c r="F327" s="661">
        <v>0</v>
      </c>
      <c r="G327" s="661">
        <v>0</v>
      </c>
      <c r="H327" s="661">
        <v>1.3208205478094497</v>
      </c>
      <c r="I327" s="661">
        <v>0</v>
      </c>
      <c r="J327" s="661">
        <v>0</v>
      </c>
      <c r="K327" s="661">
        <v>0</v>
      </c>
      <c r="L327" s="661">
        <v>0</v>
      </c>
      <c r="M327" s="661">
        <v>0</v>
      </c>
      <c r="N327" s="661">
        <v>0</v>
      </c>
      <c r="O327" s="661">
        <v>0.80268515606426361</v>
      </c>
      <c r="P327" s="661">
        <v>0</v>
      </c>
      <c r="Q327" s="661">
        <v>0</v>
      </c>
      <c r="R327" s="661">
        <v>47.023558909206123</v>
      </c>
      <c r="S327" s="661">
        <v>5.4411740217158124</v>
      </c>
      <c r="T327" s="661">
        <v>0</v>
      </c>
      <c r="U327" s="669">
        <v>54.588238634795651</v>
      </c>
    </row>
    <row r="328" spans="3:21" x14ac:dyDescent="0.2">
      <c r="C328" s="664" t="s">
        <v>77</v>
      </c>
      <c r="D328" s="665">
        <v>10.783008789062499</v>
      </c>
      <c r="E328" s="665">
        <v>298.46437759387055</v>
      </c>
      <c r="F328" s="665">
        <v>-273.54878724634494</v>
      </c>
      <c r="G328" s="665">
        <v>-16.310777823492739</v>
      </c>
      <c r="H328" s="673">
        <v>21.447638590494105</v>
      </c>
      <c r="I328" s="665">
        <v>0</v>
      </c>
      <c r="J328" s="665">
        <v>964.52942056246673</v>
      </c>
      <c r="K328" s="665">
        <v>311.46236031836668</v>
      </c>
      <c r="L328" s="665">
        <v>238.48922029753334</v>
      </c>
      <c r="M328" s="665">
        <v>24.462268139001523</v>
      </c>
      <c r="N328" s="665">
        <v>-100.71549458937382</v>
      </c>
      <c r="O328" s="665">
        <v>-57.968708014051209</v>
      </c>
      <c r="P328" s="665">
        <v>0</v>
      </c>
      <c r="Q328" s="665">
        <v>15.930004191028587</v>
      </c>
      <c r="R328" s="665">
        <v>-501.82611589256055</v>
      </c>
      <c r="S328" s="665">
        <v>-64.71671371436112</v>
      </c>
      <c r="T328" s="665">
        <v>-30.110537272035845</v>
      </c>
      <c r="U328" s="665">
        <v>840.37116392960388</v>
      </c>
    </row>
    <row r="329" spans="3:21" x14ac:dyDescent="0.2">
      <c r="C329" s="666"/>
      <c r="D329" s="667">
        <v>0</v>
      </c>
      <c r="E329" s="667">
        <v>0</v>
      </c>
      <c r="F329" s="667">
        <v>0</v>
      </c>
      <c r="G329" s="667">
        <v>0</v>
      </c>
      <c r="H329" s="674">
        <v>0</v>
      </c>
      <c r="I329" s="667">
        <v>0</v>
      </c>
      <c r="J329" s="667">
        <v>0</v>
      </c>
      <c r="K329" s="667">
        <v>0</v>
      </c>
      <c r="L329" s="667">
        <v>0</v>
      </c>
      <c r="M329" s="667">
        <v>0</v>
      </c>
      <c r="N329" s="667">
        <v>0</v>
      </c>
      <c r="O329" s="667">
        <v>0</v>
      </c>
      <c r="P329" s="667">
        <v>0</v>
      </c>
      <c r="Q329" s="667">
        <v>0</v>
      </c>
      <c r="R329" s="667">
        <v>0</v>
      </c>
      <c r="S329" s="667">
        <v>0</v>
      </c>
      <c r="T329" s="667">
        <v>0</v>
      </c>
      <c r="U329" s="667">
        <v>0</v>
      </c>
    </row>
    <row r="330" spans="3:21" x14ac:dyDescent="0.2">
      <c r="C330" s="668" t="s">
        <v>78</v>
      </c>
      <c r="D330" s="661">
        <v>3.0761682303728053</v>
      </c>
      <c r="E330" s="661">
        <v>0</v>
      </c>
      <c r="F330" s="661">
        <v>6.6351508306047968</v>
      </c>
      <c r="G330" s="661">
        <v>0</v>
      </c>
      <c r="H330" s="661">
        <v>38.528321178569939</v>
      </c>
      <c r="I330" s="661">
        <v>0</v>
      </c>
      <c r="J330" s="661">
        <v>0</v>
      </c>
      <c r="K330" s="661">
        <v>0</v>
      </c>
      <c r="L330" s="661">
        <v>20.031105646676835</v>
      </c>
      <c r="M330" s="661">
        <v>2.4349588281846541</v>
      </c>
      <c r="N330" s="661">
        <v>1.8349433718750003</v>
      </c>
      <c r="O330" s="661">
        <v>23.451101372697913</v>
      </c>
      <c r="P330" s="661">
        <v>6.8164926757812498</v>
      </c>
      <c r="Q330" s="661">
        <v>7.4990210834655101E-4</v>
      </c>
      <c r="R330" s="661">
        <v>132.01210341841889</v>
      </c>
      <c r="S330" s="661">
        <v>18.207144124668375</v>
      </c>
      <c r="T330" s="661">
        <v>4.1350366210937501</v>
      </c>
      <c r="U330" s="669">
        <v>257.16327620105255</v>
      </c>
    </row>
    <row r="331" spans="3:21" x14ac:dyDescent="0.2">
      <c r="C331" s="668" t="s">
        <v>79</v>
      </c>
      <c r="D331" s="661">
        <v>0</v>
      </c>
      <c r="E331" s="661">
        <v>0</v>
      </c>
      <c r="F331" s="661">
        <v>110.91379205811297</v>
      </c>
      <c r="G331" s="661">
        <v>0.7006243456433674</v>
      </c>
      <c r="H331" s="661">
        <v>3.7872267703464977</v>
      </c>
      <c r="I331" s="661">
        <v>0</v>
      </c>
      <c r="J331" s="661">
        <v>0</v>
      </c>
      <c r="K331" s="661">
        <v>0</v>
      </c>
      <c r="L331" s="661">
        <v>0</v>
      </c>
      <c r="M331" s="661">
        <v>0</v>
      </c>
      <c r="N331" s="661">
        <v>63.547118628094331</v>
      </c>
      <c r="O331" s="661">
        <v>2.3015622495031773</v>
      </c>
      <c r="P331" s="661">
        <v>0</v>
      </c>
      <c r="Q331" s="661">
        <v>0</v>
      </c>
      <c r="R331" s="661">
        <v>74.297767208409297</v>
      </c>
      <c r="S331" s="661">
        <v>0</v>
      </c>
      <c r="T331" s="661">
        <v>2.9567259991236208</v>
      </c>
      <c r="U331" s="669">
        <v>258.50481725923328</v>
      </c>
    </row>
    <row r="332" spans="3:21" x14ac:dyDescent="0.2">
      <c r="C332" s="668" t="s">
        <v>80</v>
      </c>
      <c r="D332" s="661">
        <v>0</v>
      </c>
      <c r="E332" s="661">
        <v>0</v>
      </c>
      <c r="F332" s="661">
        <v>2.6564398035767778</v>
      </c>
      <c r="G332" s="661">
        <v>0</v>
      </c>
      <c r="H332" s="661">
        <v>28.69836522821614</v>
      </c>
      <c r="I332" s="661">
        <v>0</v>
      </c>
      <c r="J332" s="661">
        <v>0</v>
      </c>
      <c r="K332" s="661">
        <v>0</v>
      </c>
      <c r="L332" s="661">
        <v>35.896639108009097</v>
      </c>
      <c r="M332" s="661">
        <v>0</v>
      </c>
      <c r="N332" s="661">
        <v>0</v>
      </c>
      <c r="O332" s="661">
        <v>17.440485621005948</v>
      </c>
      <c r="P332" s="661">
        <v>97.288022909546527</v>
      </c>
      <c r="Q332" s="661">
        <v>2.574236293616976</v>
      </c>
      <c r="R332" s="661">
        <v>153.30644884049457</v>
      </c>
      <c r="S332" s="661">
        <v>27.523160685886953</v>
      </c>
      <c r="T332" s="661">
        <v>0</v>
      </c>
      <c r="U332" s="669">
        <v>365.383798490353</v>
      </c>
    </row>
    <row r="333" spans="3:21" x14ac:dyDescent="0.2">
      <c r="C333" s="668" t="s">
        <v>81</v>
      </c>
      <c r="D333" s="661">
        <v>0</v>
      </c>
      <c r="E333" s="661">
        <v>0</v>
      </c>
      <c r="F333" s="661">
        <v>2.1807410006338563</v>
      </c>
      <c r="G333" s="661">
        <v>0</v>
      </c>
      <c r="H333" s="661">
        <v>15.077359159365459</v>
      </c>
      <c r="I333" s="661">
        <v>0</v>
      </c>
      <c r="J333" s="661">
        <v>0</v>
      </c>
      <c r="K333" s="661">
        <v>0</v>
      </c>
      <c r="L333" s="661">
        <v>0.41672235765550286</v>
      </c>
      <c r="M333" s="661">
        <v>4.2787984175547016E-4</v>
      </c>
      <c r="N333" s="661">
        <v>0</v>
      </c>
      <c r="O333" s="661">
        <v>9.1627681064954078</v>
      </c>
      <c r="P333" s="661">
        <v>23.435320327740932</v>
      </c>
      <c r="Q333" s="661">
        <v>0.98358432216492664</v>
      </c>
      <c r="R333" s="661">
        <v>94.082065678581444</v>
      </c>
      <c r="S333" s="661">
        <v>18.986408903805792</v>
      </c>
      <c r="T333" s="661">
        <v>0</v>
      </c>
      <c r="U333" s="669">
        <v>164.32539773628508</v>
      </c>
    </row>
    <row r="334" spans="3:21" x14ac:dyDescent="0.2">
      <c r="C334" s="668" t="s">
        <v>82</v>
      </c>
      <c r="D334" s="661">
        <v>0</v>
      </c>
      <c r="E334" s="661">
        <v>0</v>
      </c>
      <c r="F334" s="661">
        <v>12.977219358559188</v>
      </c>
      <c r="G334" s="661">
        <v>1</v>
      </c>
      <c r="H334" s="661">
        <v>1.1408122878946925</v>
      </c>
      <c r="I334" s="661">
        <v>0</v>
      </c>
      <c r="J334" s="661">
        <v>0</v>
      </c>
      <c r="K334" s="661">
        <v>0</v>
      </c>
      <c r="L334" s="661">
        <v>3.1334095930613137</v>
      </c>
      <c r="M334" s="661">
        <v>0</v>
      </c>
      <c r="N334" s="661">
        <v>12.27694106679661</v>
      </c>
      <c r="O334" s="661">
        <v>0.69329106884918612</v>
      </c>
      <c r="P334" s="661">
        <v>0.9</v>
      </c>
      <c r="Q334" s="661">
        <v>1.1655332190637568</v>
      </c>
      <c r="R334" s="661">
        <v>7.7417893836432903</v>
      </c>
      <c r="S334" s="661">
        <v>0</v>
      </c>
      <c r="T334" s="661">
        <v>0.29485655237537339</v>
      </c>
      <c r="U334" s="669">
        <v>41.3238525302434</v>
      </c>
    </row>
    <row r="335" spans="3:21" x14ac:dyDescent="0.2">
      <c r="C335" s="668" t="s">
        <v>354</v>
      </c>
      <c r="D335" s="661">
        <v>0</v>
      </c>
      <c r="E335" s="661">
        <v>0</v>
      </c>
      <c r="F335" s="661">
        <v>0</v>
      </c>
      <c r="G335" s="661">
        <v>0</v>
      </c>
      <c r="H335" s="661">
        <v>0</v>
      </c>
      <c r="I335" s="661">
        <v>0</v>
      </c>
      <c r="J335" s="661">
        <v>0</v>
      </c>
      <c r="K335" s="661">
        <v>0</v>
      </c>
      <c r="L335" s="661">
        <v>0</v>
      </c>
      <c r="M335" s="661">
        <v>0</v>
      </c>
      <c r="N335" s="661">
        <v>0</v>
      </c>
      <c r="O335" s="661">
        <v>0</v>
      </c>
      <c r="P335" s="661">
        <v>0</v>
      </c>
      <c r="Q335" s="661">
        <v>0</v>
      </c>
      <c r="R335" s="661">
        <v>1.118304</v>
      </c>
      <c r="S335" s="661">
        <v>0</v>
      </c>
      <c r="T335" s="661">
        <v>0</v>
      </c>
      <c r="U335" s="669">
        <v>1.118304</v>
      </c>
    </row>
    <row r="336" spans="3:21" x14ac:dyDescent="0.2">
      <c r="C336" s="664" t="s">
        <v>83</v>
      </c>
      <c r="D336" s="665">
        <v>3.0761682303728053</v>
      </c>
      <c r="E336" s="665">
        <v>0</v>
      </c>
      <c r="F336" s="665">
        <v>135.36334305148762</v>
      </c>
      <c r="G336" s="665">
        <v>1.7006243456433674</v>
      </c>
      <c r="H336" s="673">
        <v>87.232084624392726</v>
      </c>
      <c r="I336" s="665">
        <v>0</v>
      </c>
      <c r="J336" s="665">
        <v>0</v>
      </c>
      <c r="K336" s="665">
        <v>0</v>
      </c>
      <c r="L336" s="665">
        <v>59.47787670540275</v>
      </c>
      <c r="M336" s="665">
        <v>2.4353867080264098</v>
      </c>
      <c r="N336" s="665">
        <v>77.659003066765948</v>
      </c>
      <c r="O336" s="665">
        <v>53.049208418551629</v>
      </c>
      <c r="P336" s="665">
        <v>128.43983591306872</v>
      </c>
      <c r="Q336" s="665">
        <v>4.7241037369540066</v>
      </c>
      <c r="R336" s="665">
        <v>462.55847852954759</v>
      </c>
      <c r="S336" s="665">
        <v>64.71671371436112</v>
      </c>
      <c r="T336" s="665">
        <v>7.3866191725927441</v>
      </c>
      <c r="U336" s="665">
        <v>1087.8194462171675</v>
      </c>
    </row>
    <row r="337" spans="3:21" x14ac:dyDescent="0.2">
      <c r="C337" s="660" t="s">
        <v>84</v>
      </c>
      <c r="D337" s="661">
        <v>0</v>
      </c>
      <c r="E337" s="661">
        <v>0</v>
      </c>
      <c r="F337" s="661">
        <v>69.168370305615824</v>
      </c>
      <c r="G337" s="661">
        <v>4.7904890791412402</v>
      </c>
      <c r="H337" s="661">
        <v>7.4756631455411453</v>
      </c>
      <c r="I337" s="661">
        <v>0</v>
      </c>
      <c r="J337" s="661">
        <v>0</v>
      </c>
      <c r="K337" s="661">
        <v>0</v>
      </c>
      <c r="L337" s="661">
        <v>0.35480318782723769</v>
      </c>
      <c r="M337" s="661">
        <v>0</v>
      </c>
      <c r="N337" s="661">
        <v>14.992643279712595</v>
      </c>
      <c r="O337" s="661">
        <v>2.3404115799640408</v>
      </c>
      <c r="P337" s="661">
        <v>0</v>
      </c>
      <c r="Q337" s="661">
        <v>0</v>
      </c>
      <c r="R337" s="661">
        <v>0</v>
      </c>
      <c r="S337" s="661">
        <v>0</v>
      </c>
      <c r="T337" s="661">
        <v>22.267864395510532</v>
      </c>
      <c r="U337" s="669">
        <v>121.39024497331262</v>
      </c>
    </row>
    <row r="338" spans="3:21" x14ac:dyDescent="0.2">
      <c r="C338" s="664" t="s">
        <v>85</v>
      </c>
      <c r="D338" s="665">
        <v>3.0761682303728053</v>
      </c>
      <c r="E338" s="665">
        <v>0</v>
      </c>
      <c r="F338" s="665">
        <v>204.53171335710346</v>
      </c>
      <c r="G338" s="665">
        <v>6.4911134247846078</v>
      </c>
      <c r="H338" s="673">
        <v>94.707747769933874</v>
      </c>
      <c r="I338" s="665">
        <v>0</v>
      </c>
      <c r="J338" s="665">
        <v>0</v>
      </c>
      <c r="K338" s="665">
        <v>0</v>
      </c>
      <c r="L338" s="665">
        <v>59.832679893229987</v>
      </c>
      <c r="M338" s="665">
        <v>2.4353867080264098</v>
      </c>
      <c r="N338" s="665">
        <v>92.651646346478543</v>
      </c>
      <c r="O338" s="665">
        <v>55.38961999851567</v>
      </c>
      <c r="P338" s="665">
        <v>128.43983591306872</v>
      </c>
      <c r="Q338" s="665">
        <v>4.7241037369540066</v>
      </c>
      <c r="R338" s="665">
        <v>462.55847852954759</v>
      </c>
      <c r="S338" s="665">
        <v>64.71671371436112</v>
      </c>
      <c r="T338" s="665">
        <v>29.654483568103277</v>
      </c>
      <c r="U338" s="665">
        <v>1209.20969119048</v>
      </c>
    </row>
    <row r="339" spans="3:21" x14ac:dyDescent="0.2">
      <c r="C339" s="652"/>
      <c r="D339" s="670">
        <v>0</v>
      </c>
      <c r="E339" s="670">
        <v>0</v>
      </c>
      <c r="F339" s="670">
        <v>0</v>
      </c>
      <c r="G339" s="670">
        <v>0</v>
      </c>
      <c r="H339" s="670">
        <v>0</v>
      </c>
      <c r="I339" s="670">
        <v>0</v>
      </c>
      <c r="J339" s="670">
        <v>0</v>
      </c>
      <c r="K339" s="670">
        <v>0</v>
      </c>
      <c r="L339" s="670">
        <v>0</v>
      </c>
      <c r="M339" s="670">
        <v>0</v>
      </c>
      <c r="N339" s="670">
        <v>0</v>
      </c>
      <c r="O339" s="670">
        <v>-1.1546319456101628E-14</v>
      </c>
      <c r="P339" s="670">
        <v>0</v>
      </c>
      <c r="Q339" s="670">
        <v>0</v>
      </c>
      <c r="R339" s="670">
        <v>5.6843418860808015E-14</v>
      </c>
      <c r="S339" s="670">
        <v>0</v>
      </c>
      <c r="T339" s="670">
        <v>9.9920072216264089E-16</v>
      </c>
      <c r="U339" s="670">
        <v>0</v>
      </c>
    </row>
    <row r="340" spans="3:21" x14ac:dyDescent="0.2">
      <c r="C340" s="652"/>
      <c r="D340" s="652"/>
      <c r="E340" s="652"/>
      <c r="F340" s="652"/>
      <c r="G340" s="652"/>
      <c r="H340" s="652"/>
      <c r="I340" s="652"/>
      <c r="J340" s="652"/>
      <c r="K340" s="652"/>
      <c r="L340" s="652"/>
      <c r="M340" s="652"/>
      <c r="N340" s="652"/>
      <c r="O340" s="652"/>
      <c r="P340" s="652"/>
      <c r="Q340" s="652"/>
      <c r="R340" s="652"/>
      <c r="S340" s="652"/>
      <c r="T340" s="652"/>
      <c r="U340" s="652"/>
    </row>
    <row r="341" spans="3:21" ht="15" x14ac:dyDescent="0.25">
      <c r="C341" s="656" t="s">
        <v>360</v>
      </c>
      <c r="D341" s="657"/>
      <c r="E341" s="657"/>
      <c r="F341" s="657"/>
      <c r="G341" s="657"/>
      <c r="H341" s="657"/>
      <c r="I341" s="657"/>
      <c r="J341" s="657"/>
      <c r="K341" s="657"/>
      <c r="L341" s="657"/>
      <c r="M341" s="657"/>
      <c r="N341" s="657"/>
      <c r="O341" s="657"/>
      <c r="P341" s="657"/>
      <c r="Q341" s="657"/>
      <c r="R341" s="657"/>
      <c r="S341" s="657"/>
      <c r="T341" s="657"/>
      <c r="U341" s="657"/>
    </row>
    <row r="342" spans="3:21" x14ac:dyDescent="0.2">
      <c r="C342" s="652"/>
      <c r="D342" s="652"/>
      <c r="E342" s="652"/>
      <c r="F342" s="652"/>
      <c r="G342" s="652"/>
      <c r="H342" s="652"/>
      <c r="I342" s="652"/>
      <c r="J342" s="652"/>
      <c r="K342" s="652"/>
      <c r="L342" s="652"/>
      <c r="M342" s="652"/>
      <c r="N342" s="652"/>
      <c r="O342" s="652"/>
      <c r="P342" s="652"/>
      <c r="Q342" s="652"/>
      <c r="R342" s="652"/>
      <c r="S342" s="652"/>
      <c r="T342" s="652"/>
      <c r="U342" s="652"/>
    </row>
    <row r="343" spans="3:21" x14ac:dyDescent="0.2">
      <c r="C343" s="773" t="s">
        <v>128</v>
      </c>
      <c r="D343" s="768" t="s">
        <v>42</v>
      </c>
      <c r="E343" s="768" t="s">
        <v>52</v>
      </c>
      <c r="F343" s="768" t="s">
        <v>53</v>
      </c>
      <c r="G343" s="768" t="s">
        <v>482</v>
      </c>
      <c r="H343" s="768" t="s">
        <v>32</v>
      </c>
      <c r="I343" s="768" t="s">
        <v>483</v>
      </c>
      <c r="J343" s="768" t="s">
        <v>20</v>
      </c>
      <c r="K343" s="768" t="s">
        <v>55</v>
      </c>
      <c r="L343" s="770" t="s">
        <v>56</v>
      </c>
      <c r="M343" s="771"/>
      <c r="N343" s="771"/>
      <c r="O343" s="771"/>
      <c r="P343" s="771"/>
      <c r="Q343" s="772"/>
      <c r="R343" s="768" t="s">
        <v>57</v>
      </c>
      <c r="S343" s="768" t="s">
        <v>58</v>
      </c>
      <c r="T343" s="768" t="s">
        <v>31</v>
      </c>
      <c r="U343" s="768" t="s">
        <v>10</v>
      </c>
    </row>
    <row r="344" spans="3:21" ht="36" x14ac:dyDescent="0.2">
      <c r="C344" s="774"/>
      <c r="D344" s="769"/>
      <c r="E344" s="769"/>
      <c r="F344" s="769"/>
      <c r="G344" s="769"/>
      <c r="H344" s="769"/>
      <c r="I344" s="769"/>
      <c r="J344" s="769"/>
      <c r="K344" s="769"/>
      <c r="L344" s="658" t="s">
        <v>335</v>
      </c>
      <c r="M344" s="658" t="s">
        <v>40</v>
      </c>
      <c r="N344" s="658" t="s">
        <v>343</v>
      </c>
      <c r="O344" s="658" t="s">
        <v>344</v>
      </c>
      <c r="P344" s="659" t="s">
        <v>345</v>
      </c>
      <c r="Q344" s="658" t="s">
        <v>346</v>
      </c>
      <c r="R344" s="769"/>
      <c r="S344" s="769"/>
      <c r="T344" s="769"/>
      <c r="U344" s="769"/>
    </row>
    <row r="345" spans="3:21" x14ac:dyDescent="0.2">
      <c r="C345" s="660" t="s">
        <v>59</v>
      </c>
      <c r="D345" s="661">
        <v>0</v>
      </c>
      <c r="E345" s="661">
        <v>0</v>
      </c>
      <c r="F345" s="661">
        <v>0</v>
      </c>
      <c r="G345" s="661">
        <v>0</v>
      </c>
      <c r="H345" s="661">
        <v>0</v>
      </c>
      <c r="I345" s="661">
        <v>0</v>
      </c>
      <c r="J345" s="662">
        <v>965.91438750259681</v>
      </c>
      <c r="K345" s="662">
        <v>340.77058420783555</v>
      </c>
      <c r="L345" s="662">
        <v>306.24907142960961</v>
      </c>
      <c r="M345" s="662">
        <v>26.996685887157991</v>
      </c>
      <c r="N345" s="661">
        <v>1.5769202529293118</v>
      </c>
      <c r="O345" s="661">
        <v>0.16705675062100381</v>
      </c>
      <c r="P345" s="662">
        <v>137.63232647396575</v>
      </c>
      <c r="Q345" s="662">
        <v>22.505061443653027</v>
      </c>
      <c r="R345" s="661">
        <v>0</v>
      </c>
      <c r="S345" s="661">
        <v>0</v>
      </c>
      <c r="T345" s="661">
        <v>0</v>
      </c>
      <c r="U345" s="663">
        <v>1801.812093948369</v>
      </c>
    </row>
    <row r="346" spans="3:21" x14ac:dyDescent="0.2">
      <c r="C346" s="660" t="s">
        <v>60</v>
      </c>
      <c r="D346" s="661">
        <v>12.402103294712147</v>
      </c>
      <c r="E346" s="661">
        <v>267.59952869557856</v>
      </c>
      <c r="F346" s="661">
        <v>4.6624671135986846</v>
      </c>
      <c r="G346" s="661">
        <v>0</v>
      </c>
      <c r="H346" s="661">
        <v>96.376212667923994</v>
      </c>
      <c r="I346" s="661">
        <v>0</v>
      </c>
      <c r="J346" s="661">
        <v>0</v>
      </c>
      <c r="K346" s="661">
        <v>0</v>
      </c>
      <c r="L346" s="661">
        <v>4.1311012816916577</v>
      </c>
      <c r="M346" s="661">
        <v>0</v>
      </c>
      <c r="N346" s="661">
        <v>4.3268221557656901</v>
      </c>
      <c r="O346" s="661">
        <v>0</v>
      </c>
      <c r="P346" s="661">
        <v>0</v>
      </c>
      <c r="Q346" s="661">
        <v>0</v>
      </c>
      <c r="R346" s="661">
        <v>0</v>
      </c>
      <c r="S346" s="661">
        <v>0</v>
      </c>
      <c r="T346" s="661">
        <v>0</v>
      </c>
      <c r="U346" s="663">
        <v>389.49823520927077</v>
      </c>
    </row>
    <row r="347" spans="3:21" x14ac:dyDescent="0.2">
      <c r="C347" s="660" t="s">
        <v>61</v>
      </c>
      <c r="D347" s="661">
        <v>0</v>
      </c>
      <c r="E347" s="661">
        <v>0</v>
      </c>
      <c r="F347" s="661">
        <v>-48.857560720144178</v>
      </c>
      <c r="G347" s="661">
        <v>-1.2901681691857902E-2</v>
      </c>
      <c r="H347" s="661">
        <v>0</v>
      </c>
      <c r="I347" s="661">
        <v>0</v>
      </c>
      <c r="J347" s="661">
        <v>0</v>
      </c>
      <c r="K347" s="661">
        <v>0</v>
      </c>
      <c r="L347" s="661">
        <v>0</v>
      </c>
      <c r="M347" s="661">
        <v>0</v>
      </c>
      <c r="N347" s="661">
        <v>0</v>
      </c>
      <c r="O347" s="661">
        <v>0</v>
      </c>
      <c r="P347" s="661">
        <v>0</v>
      </c>
      <c r="Q347" s="661">
        <v>0</v>
      </c>
      <c r="R347" s="661">
        <v>-40.000273468658179</v>
      </c>
      <c r="S347" s="661">
        <v>0</v>
      </c>
      <c r="T347" s="661">
        <v>0</v>
      </c>
      <c r="U347" s="663">
        <v>-88.870735870494215</v>
      </c>
    </row>
    <row r="348" spans="3:21" x14ac:dyDescent="0.2">
      <c r="C348" s="660" t="s">
        <v>62</v>
      </c>
      <c r="D348" s="661">
        <v>0</v>
      </c>
      <c r="E348" s="661">
        <v>0</v>
      </c>
      <c r="F348" s="661">
        <v>-9.1118704229779723</v>
      </c>
      <c r="G348" s="661">
        <v>-2.3970976911906821</v>
      </c>
      <c r="H348" s="661">
        <v>-2.3731267142787753</v>
      </c>
      <c r="I348" s="661">
        <v>0</v>
      </c>
      <c r="J348" s="661">
        <v>0</v>
      </c>
      <c r="K348" s="661">
        <v>0</v>
      </c>
      <c r="L348" s="661">
        <v>0</v>
      </c>
      <c r="M348" s="661">
        <v>0</v>
      </c>
      <c r="N348" s="661">
        <v>-0.47941953823813638</v>
      </c>
      <c r="O348" s="661">
        <v>-1.9416491298644523</v>
      </c>
      <c r="P348" s="661">
        <v>0</v>
      </c>
      <c r="Q348" s="661">
        <v>0</v>
      </c>
      <c r="R348" s="661">
        <v>0</v>
      </c>
      <c r="S348" s="661">
        <v>0</v>
      </c>
      <c r="T348" s="661">
        <v>0</v>
      </c>
      <c r="U348" s="663">
        <v>-16.30316349655002</v>
      </c>
    </row>
    <row r="349" spans="3:21" x14ac:dyDescent="0.2">
      <c r="C349" s="660" t="s">
        <v>63</v>
      </c>
      <c r="D349" s="661">
        <v>0</v>
      </c>
      <c r="E349" s="661">
        <v>0</v>
      </c>
      <c r="F349" s="661">
        <v>-46.962205061788246</v>
      </c>
      <c r="G349" s="661">
        <v>-11.133901046695911</v>
      </c>
      <c r="H349" s="661">
        <v>0</v>
      </c>
      <c r="I349" s="661">
        <v>0</v>
      </c>
      <c r="J349" s="661">
        <v>0</v>
      </c>
      <c r="K349" s="661">
        <v>0</v>
      </c>
      <c r="L349" s="661">
        <v>0</v>
      </c>
      <c r="M349" s="661">
        <v>0</v>
      </c>
      <c r="N349" s="661">
        <v>-14.072022489882162</v>
      </c>
      <c r="O349" s="661">
        <v>0</v>
      </c>
      <c r="P349" s="661">
        <v>0</v>
      </c>
      <c r="Q349" s="661">
        <v>0</v>
      </c>
      <c r="R349" s="661">
        <v>0</v>
      </c>
      <c r="S349" s="661">
        <v>0</v>
      </c>
      <c r="T349" s="661">
        <v>-0.66460812232862176</v>
      </c>
      <c r="U349" s="663">
        <v>-72.832736720694939</v>
      </c>
    </row>
    <row r="350" spans="3:21" x14ac:dyDescent="0.2">
      <c r="C350" s="660" t="s">
        <v>64</v>
      </c>
      <c r="D350" s="661">
        <v>0</v>
      </c>
      <c r="E350" s="661">
        <v>0</v>
      </c>
      <c r="F350" s="661">
        <v>0</v>
      </c>
      <c r="G350" s="661">
        <v>0</v>
      </c>
      <c r="H350" s="661">
        <v>0</v>
      </c>
      <c r="I350" s="661">
        <v>0</v>
      </c>
      <c r="J350" s="661">
        <v>0</v>
      </c>
      <c r="K350" s="661">
        <v>0</v>
      </c>
      <c r="L350" s="661">
        <v>0</v>
      </c>
      <c r="M350" s="661">
        <v>0</v>
      </c>
      <c r="N350" s="661">
        <v>0</v>
      </c>
      <c r="O350" s="661">
        <v>0</v>
      </c>
      <c r="P350" s="661">
        <v>0</v>
      </c>
      <c r="Q350" s="661">
        <v>0</v>
      </c>
      <c r="R350" s="661">
        <v>0</v>
      </c>
      <c r="S350" s="661">
        <v>0</v>
      </c>
      <c r="T350" s="661">
        <v>0</v>
      </c>
      <c r="U350" s="663">
        <v>0</v>
      </c>
    </row>
    <row r="351" spans="3:21" x14ac:dyDescent="0.2">
      <c r="C351" s="664" t="s">
        <v>65</v>
      </c>
      <c r="D351" s="665">
        <v>12.402103294712147</v>
      </c>
      <c r="E351" s="665">
        <v>267.59952869557856</v>
      </c>
      <c r="F351" s="665">
        <v>-100.26916909131171</v>
      </c>
      <c r="G351" s="665">
        <v>-13.543900419578451</v>
      </c>
      <c r="H351" s="673">
        <v>94.003085953645225</v>
      </c>
      <c r="I351" s="665">
        <v>0</v>
      </c>
      <c r="J351" s="665">
        <v>965.91438750259681</v>
      </c>
      <c r="K351" s="665">
        <v>340.77058420783555</v>
      </c>
      <c r="L351" s="665">
        <v>310.38017271130127</v>
      </c>
      <c r="M351" s="665">
        <v>26.996685887157991</v>
      </c>
      <c r="N351" s="665">
        <v>-8.647699619425298</v>
      </c>
      <c r="O351" s="665">
        <v>-1.7745923792434484</v>
      </c>
      <c r="P351" s="665">
        <v>137.63232647396575</v>
      </c>
      <c r="Q351" s="665">
        <v>22.505061443653027</v>
      </c>
      <c r="R351" s="665">
        <v>-40.000273468658179</v>
      </c>
      <c r="S351" s="665">
        <v>0</v>
      </c>
      <c r="T351" s="665">
        <v>-0.66460812232862176</v>
      </c>
      <c r="U351" s="665">
        <v>2013.3036930699004</v>
      </c>
    </row>
    <row r="352" spans="3:21" x14ac:dyDescent="0.2">
      <c r="C352" s="666"/>
      <c r="D352" s="667">
        <v>0</v>
      </c>
      <c r="E352" s="667">
        <v>0</v>
      </c>
      <c r="F352" s="667">
        <v>0</v>
      </c>
      <c r="G352" s="667">
        <v>0</v>
      </c>
      <c r="H352" s="674">
        <v>0</v>
      </c>
      <c r="I352" s="667">
        <v>0</v>
      </c>
      <c r="J352" s="667">
        <v>0</v>
      </c>
      <c r="K352" s="667">
        <v>0</v>
      </c>
      <c r="L352" s="667">
        <v>0</v>
      </c>
      <c r="M352" s="667">
        <v>0</v>
      </c>
      <c r="N352" s="667">
        <v>0</v>
      </c>
      <c r="O352" s="667">
        <v>0</v>
      </c>
      <c r="P352" s="667">
        <v>0</v>
      </c>
      <c r="Q352" s="667">
        <v>0</v>
      </c>
      <c r="R352" s="667">
        <v>0</v>
      </c>
      <c r="S352" s="667">
        <v>0</v>
      </c>
      <c r="T352" s="667">
        <v>0</v>
      </c>
      <c r="U352" s="667">
        <v>0</v>
      </c>
    </row>
    <row r="353" spans="3:21" x14ac:dyDescent="0.2">
      <c r="C353" s="668" t="s">
        <v>67</v>
      </c>
      <c r="D353" s="661">
        <v>0</v>
      </c>
      <c r="E353" s="661">
        <v>0</v>
      </c>
      <c r="F353" s="661">
        <v>0</v>
      </c>
      <c r="G353" s="661">
        <v>0</v>
      </c>
      <c r="H353" s="661">
        <v>0</v>
      </c>
      <c r="I353" s="661">
        <v>0</v>
      </c>
      <c r="J353" s="661">
        <v>0</v>
      </c>
      <c r="K353" s="661">
        <v>0</v>
      </c>
      <c r="L353" s="661">
        <v>0</v>
      </c>
      <c r="M353" s="661">
        <v>0</v>
      </c>
      <c r="N353" s="661">
        <v>0</v>
      </c>
      <c r="O353" s="661">
        <v>0</v>
      </c>
      <c r="P353" s="661">
        <v>0</v>
      </c>
      <c r="Q353" s="661">
        <v>0</v>
      </c>
      <c r="R353" s="661">
        <v>0</v>
      </c>
      <c r="S353" s="661">
        <v>0</v>
      </c>
      <c r="T353" s="661">
        <v>0</v>
      </c>
      <c r="U353" s="669">
        <v>0</v>
      </c>
    </row>
    <row r="354" spans="3:21" x14ac:dyDescent="0.2">
      <c r="C354" s="668" t="s">
        <v>347</v>
      </c>
      <c r="D354" s="661">
        <v>0</v>
      </c>
      <c r="E354" s="661">
        <v>0</v>
      </c>
      <c r="F354" s="661">
        <v>6.6151953400033478E-2</v>
      </c>
      <c r="G354" s="661">
        <v>0</v>
      </c>
      <c r="H354" s="661">
        <v>5.4310272511854434</v>
      </c>
      <c r="I354" s="661">
        <v>0</v>
      </c>
      <c r="J354" s="661">
        <v>965.91438750259681</v>
      </c>
      <c r="K354" s="661">
        <v>340.77058420783555</v>
      </c>
      <c r="L354" s="661">
        <v>20.176267010584041</v>
      </c>
      <c r="M354" s="661">
        <v>10.227645630646329</v>
      </c>
      <c r="N354" s="661">
        <v>5.6269378379330357</v>
      </c>
      <c r="O354" s="661">
        <v>1.4716569620482758</v>
      </c>
      <c r="P354" s="661">
        <v>0</v>
      </c>
      <c r="Q354" s="661">
        <v>6.4327567473291545</v>
      </c>
      <c r="R354" s="661">
        <v>-682.09415881935547</v>
      </c>
      <c r="S354" s="661">
        <v>0</v>
      </c>
      <c r="T354" s="661">
        <v>3.1982839297450432</v>
      </c>
      <c r="U354" s="669">
        <v>677.22154021394851</v>
      </c>
    </row>
    <row r="355" spans="3:21" x14ac:dyDescent="0.2">
      <c r="C355" s="668" t="s">
        <v>348</v>
      </c>
      <c r="D355" s="661">
        <v>0</v>
      </c>
      <c r="E355" s="661">
        <v>0</v>
      </c>
      <c r="F355" s="661">
        <v>0</v>
      </c>
      <c r="G355" s="661">
        <v>0</v>
      </c>
      <c r="H355" s="661">
        <v>7.4585129183309293</v>
      </c>
      <c r="I355" s="661">
        <v>0</v>
      </c>
      <c r="J355" s="661">
        <v>0</v>
      </c>
      <c r="K355" s="661">
        <v>0</v>
      </c>
      <c r="L355" s="661">
        <v>35.547730315639996</v>
      </c>
      <c r="M355" s="661">
        <v>14.387113593265058</v>
      </c>
      <c r="N355" s="661">
        <v>0</v>
      </c>
      <c r="O355" s="661">
        <v>6.1169134542385972</v>
      </c>
      <c r="P355" s="661">
        <v>0</v>
      </c>
      <c r="Q355" s="661">
        <v>11.02899005085181</v>
      </c>
      <c r="R355" s="661">
        <v>0</v>
      </c>
      <c r="S355" s="661">
        <v>-69.303608577230833</v>
      </c>
      <c r="T355" s="661">
        <v>0</v>
      </c>
      <c r="U355" s="669">
        <v>5.235651755095569</v>
      </c>
    </row>
    <row r="356" spans="3:21" x14ac:dyDescent="0.2">
      <c r="C356" s="668" t="s">
        <v>349</v>
      </c>
      <c r="D356" s="661">
        <v>0</v>
      </c>
      <c r="E356" s="661">
        <v>0</v>
      </c>
      <c r="F356" s="661">
        <v>0</v>
      </c>
      <c r="G356" s="661">
        <v>0</v>
      </c>
      <c r="H356" s="661">
        <v>0</v>
      </c>
      <c r="I356" s="661">
        <v>0</v>
      </c>
      <c r="J356" s="661">
        <v>0</v>
      </c>
      <c r="K356" s="661">
        <v>0</v>
      </c>
      <c r="L356" s="661">
        <v>78.995354979464977</v>
      </c>
      <c r="M356" s="661">
        <v>0</v>
      </c>
      <c r="N356" s="661">
        <v>0</v>
      </c>
      <c r="O356" s="661">
        <v>-72.973515141642281</v>
      </c>
      <c r="P356" s="661">
        <v>0</v>
      </c>
      <c r="Q356" s="661">
        <v>0</v>
      </c>
      <c r="R356" s="661">
        <v>0</v>
      </c>
      <c r="S356" s="661">
        <v>0</v>
      </c>
      <c r="T356" s="661">
        <v>0</v>
      </c>
      <c r="U356" s="669">
        <v>6.0218398378226965</v>
      </c>
    </row>
    <row r="357" spans="3:21" x14ac:dyDescent="0.2">
      <c r="C357" s="668" t="s">
        <v>350</v>
      </c>
      <c r="D357" s="661">
        <v>0</v>
      </c>
      <c r="E357" s="661">
        <v>0</v>
      </c>
      <c r="F357" s="661">
        <v>0</v>
      </c>
      <c r="G357" s="661">
        <v>0</v>
      </c>
      <c r="H357" s="661">
        <v>0</v>
      </c>
      <c r="I357" s="661">
        <v>0</v>
      </c>
      <c r="J357" s="661">
        <v>0</v>
      </c>
      <c r="K357" s="661">
        <v>0</v>
      </c>
      <c r="L357" s="661">
        <v>0</v>
      </c>
      <c r="M357" s="661">
        <v>0</v>
      </c>
      <c r="N357" s="661">
        <v>0</v>
      </c>
      <c r="O357" s="661">
        <v>0</v>
      </c>
      <c r="P357" s="661">
        <v>0</v>
      </c>
      <c r="Q357" s="661">
        <v>0</v>
      </c>
      <c r="R357" s="661">
        <v>0</v>
      </c>
      <c r="S357" s="661">
        <v>0</v>
      </c>
      <c r="T357" s="661">
        <v>0</v>
      </c>
      <c r="U357" s="669">
        <v>0</v>
      </c>
    </row>
    <row r="358" spans="3:21" x14ac:dyDescent="0.2">
      <c r="C358" s="668" t="s">
        <v>72</v>
      </c>
      <c r="D358" s="661">
        <v>0</v>
      </c>
      <c r="E358" s="661">
        <v>277.28994248668886</v>
      </c>
      <c r="F358" s="661">
        <v>-274.5252708068171</v>
      </c>
      <c r="G358" s="661">
        <v>0</v>
      </c>
      <c r="H358" s="661">
        <v>0</v>
      </c>
      <c r="I358" s="661">
        <v>0</v>
      </c>
      <c r="J358" s="661">
        <v>0</v>
      </c>
      <c r="K358" s="661">
        <v>0</v>
      </c>
      <c r="L358" s="661">
        <v>0</v>
      </c>
      <c r="M358" s="661">
        <v>0</v>
      </c>
      <c r="N358" s="661">
        <v>0</v>
      </c>
      <c r="O358" s="661">
        <v>0</v>
      </c>
      <c r="P358" s="661">
        <v>0</v>
      </c>
      <c r="Q358" s="661">
        <v>0</v>
      </c>
      <c r="R358" s="661">
        <v>0</v>
      </c>
      <c r="S358" s="661">
        <v>0</v>
      </c>
      <c r="T358" s="661">
        <v>0</v>
      </c>
      <c r="U358" s="669">
        <v>2.7646716798717357</v>
      </c>
    </row>
    <row r="359" spans="3:21" x14ac:dyDescent="0.2">
      <c r="C359" s="668" t="s">
        <v>351</v>
      </c>
      <c r="D359" s="661">
        <v>0</v>
      </c>
      <c r="E359" s="661">
        <v>0</v>
      </c>
      <c r="F359" s="661">
        <v>0</v>
      </c>
      <c r="G359" s="661">
        <v>0</v>
      </c>
      <c r="H359" s="661">
        <v>0</v>
      </c>
      <c r="I359" s="661">
        <v>0</v>
      </c>
      <c r="J359" s="661">
        <v>0</v>
      </c>
      <c r="K359" s="661">
        <v>0</v>
      </c>
      <c r="L359" s="661">
        <v>117.50933865541684</v>
      </c>
      <c r="M359" s="661">
        <v>0</v>
      </c>
      <c r="N359" s="661">
        <v>-117.50933865541684</v>
      </c>
      <c r="O359" s="661">
        <v>0</v>
      </c>
      <c r="P359" s="661">
        <v>0</v>
      </c>
      <c r="Q359" s="661">
        <v>0</v>
      </c>
      <c r="R359" s="661">
        <v>0</v>
      </c>
      <c r="S359" s="661">
        <v>0</v>
      </c>
      <c r="T359" s="661">
        <v>0</v>
      </c>
      <c r="U359" s="669">
        <v>0</v>
      </c>
    </row>
    <row r="360" spans="3:21" x14ac:dyDescent="0.2">
      <c r="C360" s="668" t="s">
        <v>352</v>
      </c>
      <c r="D360" s="661">
        <v>0</v>
      </c>
      <c r="E360" s="661">
        <v>0</v>
      </c>
      <c r="F360" s="661">
        <v>0</v>
      </c>
      <c r="G360" s="661">
        <v>-21.910962558722186</v>
      </c>
      <c r="H360" s="661">
        <v>0</v>
      </c>
      <c r="I360" s="661">
        <v>0</v>
      </c>
      <c r="J360" s="661">
        <v>0</v>
      </c>
      <c r="K360" s="661">
        <v>0</v>
      </c>
      <c r="L360" s="661">
        <v>0</v>
      </c>
      <c r="M360" s="661">
        <v>0</v>
      </c>
      <c r="N360" s="661">
        <v>0</v>
      </c>
      <c r="O360" s="661">
        <v>0</v>
      </c>
      <c r="P360" s="661">
        <v>0</v>
      </c>
      <c r="Q360" s="661">
        <v>0</v>
      </c>
      <c r="R360" s="661">
        <v>0</v>
      </c>
      <c r="S360" s="661">
        <v>0</v>
      </c>
      <c r="T360" s="661">
        <v>30.516660945295527</v>
      </c>
      <c r="U360" s="669">
        <v>8.6056983865733407</v>
      </c>
    </row>
    <row r="361" spans="3:21" x14ac:dyDescent="0.2">
      <c r="C361" s="668" t="s">
        <v>73</v>
      </c>
      <c r="D361" s="661">
        <v>0</v>
      </c>
      <c r="E361" s="661">
        <v>0</v>
      </c>
      <c r="F361" s="661">
        <v>0</v>
      </c>
      <c r="G361" s="661">
        <v>0</v>
      </c>
      <c r="H361" s="661">
        <v>0</v>
      </c>
      <c r="I361" s="661">
        <v>0</v>
      </c>
      <c r="J361" s="661">
        <v>0</v>
      </c>
      <c r="K361" s="661">
        <v>0</v>
      </c>
      <c r="L361" s="661">
        <v>0</v>
      </c>
      <c r="M361" s="661">
        <v>0</v>
      </c>
      <c r="N361" s="661">
        <v>0</v>
      </c>
      <c r="O361" s="661">
        <v>0</v>
      </c>
      <c r="P361" s="661">
        <v>0</v>
      </c>
      <c r="Q361" s="661">
        <v>0</v>
      </c>
      <c r="R361" s="661">
        <v>99.340394157506324</v>
      </c>
      <c r="S361" s="661">
        <v>0</v>
      </c>
      <c r="T361" s="661">
        <v>-68.048169997891833</v>
      </c>
      <c r="U361" s="669">
        <v>31.292224159614491</v>
      </c>
    </row>
    <row r="362" spans="3:21" x14ac:dyDescent="0.2">
      <c r="C362" s="668" t="s">
        <v>353</v>
      </c>
      <c r="D362" s="661">
        <v>6.9248988281249995</v>
      </c>
      <c r="E362" s="661">
        <v>-9.6904137911102683</v>
      </c>
      <c r="F362" s="661">
        <v>12.633678677299837</v>
      </c>
      <c r="G362" s="661">
        <v>0</v>
      </c>
      <c r="H362" s="661">
        <v>0</v>
      </c>
      <c r="I362" s="661">
        <v>0</v>
      </c>
      <c r="J362" s="661">
        <v>0</v>
      </c>
      <c r="K362" s="661">
        <v>0</v>
      </c>
      <c r="L362" s="661">
        <v>0</v>
      </c>
      <c r="M362" s="661">
        <v>0</v>
      </c>
      <c r="N362" s="661">
        <v>0</v>
      </c>
      <c r="O362" s="661">
        <v>0</v>
      </c>
      <c r="P362" s="661">
        <v>0</v>
      </c>
      <c r="Q362" s="661">
        <v>0</v>
      </c>
      <c r="R362" s="661">
        <v>0</v>
      </c>
      <c r="S362" s="661">
        <v>0</v>
      </c>
      <c r="T362" s="661">
        <v>0</v>
      </c>
      <c r="U362" s="669">
        <v>9.8681637143145693</v>
      </c>
    </row>
    <row r="363" spans="3:21" x14ac:dyDescent="0.2">
      <c r="C363" s="668" t="s">
        <v>75</v>
      </c>
      <c r="D363" s="661">
        <v>2.6930162109375</v>
      </c>
      <c r="E363" s="661">
        <v>0</v>
      </c>
      <c r="F363" s="661">
        <v>17.882981772477446</v>
      </c>
      <c r="G363" s="661">
        <v>0</v>
      </c>
      <c r="H363" s="661">
        <v>2.8438669910513061</v>
      </c>
      <c r="I363" s="661">
        <v>0</v>
      </c>
      <c r="J363" s="661">
        <v>0</v>
      </c>
      <c r="K363" s="661">
        <v>0</v>
      </c>
      <c r="L363" s="661">
        <v>0</v>
      </c>
      <c r="M363" s="661">
        <v>0</v>
      </c>
      <c r="N363" s="661">
        <v>0</v>
      </c>
      <c r="O363" s="661">
        <v>2.3268002654056139</v>
      </c>
      <c r="P363" s="661">
        <v>0</v>
      </c>
      <c r="Q363" s="661">
        <v>0</v>
      </c>
      <c r="R363" s="661">
        <v>23.896357926698794</v>
      </c>
      <c r="S363" s="661">
        <v>0</v>
      </c>
      <c r="T363" s="661">
        <v>0</v>
      </c>
      <c r="U363" s="669">
        <v>49.643023166570657</v>
      </c>
    </row>
    <row r="364" spans="3:21" x14ac:dyDescent="0.2">
      <c r="C364" s="668" t="s">
        <v>76</v>
      </c>
      <c r="D364" s="661">
        <v>0</v>
      </c>
      <c r="E364" s="661">
        <v>0</v>
      </c>
      <c r="F364" s="661">
        <v>0</v>
      </c>
      <c r="G364" s="661">
        <v>0</v>
      </c>
      <c r="H364" s="661">
        <v>1.042848686512976</v>
      </c>
      <c r="I364" s="661">
        <v>0</v>
      </c>
      <c r="J364" s="661">
        <v>0</v>
      </c>
      <c r="K364" s="661">
        <v>0</v>
      </c>
      <c r="L364" s="661">
        <v>0</v>
      </c>
      <c r="M364" s="661">
        <v>0</v>
      </c>
      <c r="N364" s="661">
        <v>0</v>
      </c>
      <c r="O364" s="661">
        <v>0.85323983441970752</v>
      </c>
      <c r="P364" s="661">
        <v>0</v>
      </c>
      <c r="Q364" s="661">
        <v>0</v>
      </c>
      <c r="R364" s="661">
        <v>49.147245311640418</v>
      </c>
      <c r="S364" s="661">
        <v>5.3750429512534854</v>
      </c>
      <c r="T364" s="661">
        <v>0</v>
      </c>
      <c r="U364" s="669">
        <v>56.418376783826595</v>
      </c>
    </row>
    <row r="365" spans="3:21" x14ac:dyDescent="0.2">
      <c r="C365" s="664" t="s">
        <v>77</v>
      </c>
      <c r="D365" s="665">
        <v>9.617915039062499</v>
      </c>
      <c r="E365" s="665">
        <v>267.59952869557856</v>
      </c>
      <c r="F365" s="665">
        <v>-243.94245840363976</v>
      </c>
      <c r="G365" s="665">
        <v>-21.910962558722186</v>
      </c>
      <c r="H365" s="673">
        <v>16.776255847080655</v>
      </c>
      <c r="I365" s="665">
        <v>0</v>
      </c>
      <c r="J365" s="665">
        <v>965.91438750259681</v>
      </c>
      <c r="K365" s="665">
        <v>340.77058420783555</v>
      </c>
      <c r="L365" s="665">
        <v>252.22869096110585</v>
      </c>
      <c r="M365" s="665">
        <v>24.614759223911388</v>
      </c>
      <c r="N365" s="665">
        <v>-111.8824008174838</v>
      </c>
      <c r="O365" s="665">
        <v>-62.204904625530084</v>
      </c>
      <c r="P365" s="665">
        <v>0</v>
      </c>
      <c r="Q365" s="665">
        <v>17.461746798180965</v>
      </c>
      <c r="R365" s="665">
        <v>-509.71016142350987</v>
      </c>
      <c r="S365" s="665">
        <v>-63.928565625977342</v>
      </c>
      <c r="T365" s="665">
        <v>-34.33322512285126</v>
      </c>
      <c r="U365" s="665">
        <v>847.07118969763815</v>
      </c>
    </row>
    <row r="366" spans="3:21" x14ac:dyDescent="0.2">
      <c r="C366" s="666"/>
      <c r="D366" s="667">
        <v>0</v>
      </c>
      <c r="E366" s="667">
        <v>0</v>
      </c>
      <c r="F366" s="667">
        <v>0</v>
      </c>
      <c r="G366" s="667">
        <v>0</v>
      </c>
      <c r="H366" s="674">
        <v>0</v>
      </c>
      <c r="I366" s="667">
        <v>0</v>
      </c>
      <c r="J366" s="667">
        <v>0</v>
      </c>
      <c r="K366" s="667">
        <v>0</v>
      </c>
      <c r="L366" s="667">
        <v>0</v>
      </c>
      <c r="M366" s="667">
        <v>0</v>
      </c>
      <c r="N366" s="667">
        <v>0</v>
      </c>
      <c r="O366" s="667">
        <v>0</v>
      </c>
      <c r="P366" s="667">
        <v>0</v>
      </c>
      <c r="Q366" s="667">
        <v>0</v>
      </c>
      <c r="R366" s="667">
        <v>0</v>
      </c>
      <c r="S366" s="667">
        <v>0</v>
      </c>
      <c r="T366" s="667">
        <v>0</v>
      </c>
      <c r="U366" s="667">
        <v>0</v>
      </c>
    </row>
    <row r="367" spans="3:21" x14ac:dyDescent="0.2">
      <c r="C367" s="668" t="s">
        <v>78</v>
      </c>
      <c r="D367" s="661">
        <v>2.7841882556496467</v>
      </c>
      <c r="E367" s="661">
        <v>0</v>
      </c>
      <c r="F367" s="661">
        <v>5.1952563518908157</v>
      </c>
      <c r="G367" s="661">
        <v>0</v>
      </c>
      <c r="H367" s="661">
        <v>31.335146641416099</v>
      </c>
      <c r="I367" s="661">
        <v>0</v>
      </c>
      <c r="J367" s="661">
        <v>0</v>
      </c>
      <c r="K367" s="661">
        <v>0</v>
      </c>
      <c r="L367" s="661">
        <v>19.866368456853682</v>
      </c>
      <c r="M367" s="661">
        <v>2.3815254498716123</v>
      </c>
      <c r="N367" s="661">
        <v>2.1415231567382813</v>
      </c>
      <c r="O367" s="661">
        <v>25.676510059650784</v>
      </c>
      <c r="P367" s="661">
        <v>7.6335380859375004</v>
      </c>
      <c r="Q367" s="661">
        <v>7.8820466826144567E-4</v>
      </c>
      <c r="R367" s="661">
        <v>133.1889583814887</v>
      </c>
      <c r="S367" s="661">
        <v>18.276712147761906</v>
      </c>
      <c r="T367" s="661">
        <v>4.7382089843750004</v>
      </c>
      <c r="U367" s="669">
        <v>253.21872417630229</v>
      </c>
    </row>
    <row r="368" spans="3:21" x14ac:dyDescent="0.2">
      <c r="C368" s="668" t="s">
        <v>79</v>
      </c>
      <c r="D368" s="661">
        <v>0</v>
      </c>
      <c r="E368" s="661">
        <v>0</v>
      </c>
      <c r="F368" s="661">
        <v>62.42121803575882</v>
      </c>
      <c r="G368" s="661">
        <v>0.9171283606012931</v>
      </c>
      <c r="H368" s="661">
        <v>3.2777834936114583</v>
      </c>
      <c r="I368" s="661">
        <v>0</v>
      </c>
      <c r="J368" s="661">
        <v>0</v>
      </c>
      <c r="K368" s="661">
        <v>0</v>
      </c>
      <c r="L368" s="661">
        <v>0</v>
      </c>
      <c r="M368" s="661">
        <v>0</v>
      </c>
      <c r="N368" s="661">
        <v>70.675893572317364</v>
      </c>
      <c r="O368" s="661">
        <v>2.6818228584093751</v>
      </c>
      <c r="P368" s="661">
        <v>0</v>
      </c>
      <c r="Q368" s="661">
        <v>0</v>
      </c>
      <c r="R368" s="661">
        <v>85.601807225833156</v>
      </c>
      <c r="S368" s="661">
        <v>0</v>
      </c>
      <c r="T368" s="661">
        <v>3.5812873698124483</v>
      </c>
      <c r="U368" s="669">
        <v>229.15694091634393</v>
      </c>
    </row>
    <row r="369" spans="3:21" x14ac:dyDescent="0.2">
      <c r="C369" s="668" t="s">
        <v>80</v>
      </c>
      <c r="D369" s="661">
        <v>0</v>
      </c>
      <c r="E369" s="661">
        <v>0</v>
      </c>
      <c r="F369" s="661">
        <v>2.2535083725168867</v>
      </c>
      <c r="G369" s="661">
        <v>0</v>
      </c>
      <c r="H369" s="661">
        <v>22.547534156690407</v>
      </c>
      <c r="I369" s="661">
        <v>0</v>
      </c>
      <c r="J369" s="661">
        <v>0</v>
      </c>
      <c r="K369" s="661">
        <v>0</v>
      </c>
      <c r="L369" s="661">
        <v>34.097641504490639</v>
      </c>
      <c r="M369" s="661">
        <v>0</v>
      </c>
      <c r="N369" s="661">
        <v>0</v>
      </c>
      <c r="O369" s="661">
        <v>18.447982491837607</v>
      </c>
      <c r="P369" s="661">
        <v>103.59461616627088</v>
      </c>
      <c r="Q369" s="661">
        <v>2.7285855468891569</v>
      </c>
      <c r="R369" s="661">
        <v>149.5228289340921</v>
      </c>
      <c r="S369" s="661">
        <v>26.593767108522837</v>
      </c>
      <c r="T369" s="661">
        <v>0</v>
      </c>
      <c r="U369" s="669">
        <v>359.78646428131054</v>
      </c>
    </row>
    <row r="370" spans="3:21" x14ac:dyDescent="0.2">
      <c r="C370" s="668" t="s">
        <v>81</v>
      </c>
      <c r="D370" s="661">
        <v>0</v>
      </c>
      <c r="E370" s="661">
        <v>0</v>
      </c>
      <c r="F370" s="661">
        <v>1.3399462790047187</v>
      </c>
      <c r="G370" s="661">
        <v>0</v>
      </c>
      <c r="H370" s="661">
        <v>12.344523773070179</v>
      </c>
      <c r="I370" s="661">
        <v>0</v>
      </c>
      <c r="J370" s="661">
        <v>0</v>
      </c>
      <c r="K370" s="661">
        <v>0</v>
      </c>
      <c r="L370" s="661">
        <v>0.40515733033320123</v>
      </c>
      <c r="M370" s="661">
        <v>4.0121337498856221E-4</v>
      </c>
      <c r="N370" s="661">
        <v>0</v>
      </c>
      <c r="O370" s="661">
        <v>10.100064905239238</v>
      </c>
      <c r="P370" s="661">
        <v>25.404172221757367</v>
      </c>
      <c r="Q370" s="661">
        <v>1.0133205125094877</v>
      </c>
      <c r="R370" s="661">
        <v>92.228183694440688</v>
      </c>
      <c r="S370" s="661">
        <v>19.0580863696926</v>
      </c>
      <c r="T370" s="661">
        <v>0</v>
      </c>
      <c r="U370" s="669">
        <v>161.89385629942248</v>
      </c>
    </row>
    <row r="371" spans="3:21" x14ac:dyDescent="0.2">
      <c r="C371" s="668" t="s">
        <v>82</v>
      </c>
      <c r="D371" s="661">
        <v>0</v>
      </c>
      <c r="E371" s="661">
        <v>0</v>
      </c>
      <c r="F371" s="661">
        <v>9.0097391312566604</v>
      </c>
      <c r="G371" s="661">
        <v>1.6</v>
      </c>
      <c r="H371" s="661">
        <v>0.98973128577551672</v>
      </c>
      <c r="I371" s="661">
        <v>0</v>
      </c>
      <c r="J371" s="661">
        <v>0</v>
      </c>
      <c r="K371" s="661">
        <v>0</v>
      </c>
      <c r="L371" s="661">
        <v>3.3736621545342089</v>
      </c>
      <c r="M371" s="661">
        <v>0</v>
      </c>
      <c r="N371" s="661">
        <v>14.289145060057182</v>
      </c>
      <c r="O371" s="661">
        <v>0.80978014290724099</v>
      </c>
      <c r="P371" s="661">
        <v>1</v>
      </c>
      <c r="Q371" s="661">
        <v>1.300620381405156</v>
      </c>
      <c r="R371" s="661">
        <v>7.76122971899715</v>
      </c>
      <c r="S371" s="661">
        <v>0</v>
      </c>
      <c r="T371" s="661">
        <v>0.325155095351289</v>
      </c>
      <c r="U371" s="669">
        <v>40.459062970284407</v>
      </c>
    </row>
    <row r="372" spans="3:21" x14ac:dyDescent="0.2">
      <c r="C372" s="668" t="s">
        <v>354</v>
      </c>
      <c r="D372" s="661">
        <v>0</v>
      </c>
      <c r="E372" s="661">
        <v>0</v>
      </c>
      <c r="F372" s="661">
        <v>0</v>
      </c>
      <c r="G372" s="661">
        <v>0</v>
      </c>
      <c r="H372" s="661">
        <v>0</v>
      </c>
      <c r="I372" s="661">
        <v>0</v>
      </c>
      <c r="J372" s="661">
        <v>0</v>
      </c>
      <c r="K372" s="661">
        <v>0</v>
      </c>
      <c r="L372" s="661">
        <v>0</v>
      </c>
      <c r="M372" s="661">
        <v>0</v>
      </c>
      <c r="N372" s="661">
        <v>0</v>
      </c>
      <c r="O372" s="661">
        <v>0</v>
      </c>
      <c r="P372" s="661">
        <v>0</v>
      </c>
      <c r="Q372" s="661">
        <v>0</v>
      </c>
      <c r="R372" s="661">
        <v>1.4068800000000001</v>
      </c>
      <c r="S372" s="661">
        <v>0</v>
      </c>
      <c r="T372" s="661">
        <v>0</v>
      </c>
      <c r="U372" s="669">
        <v>1.4068800000000001</v>
      </c>
    </row>
    <row r="373" spans="3:21" x14ac:dyDescent="0.2">
      <c r="C373" s="664" t="s">
        <v>83</v>
      </c>
      <c r="D373" s="665">
        <v>2.7841882556496467</v>
      </c>
      <c r="E373" s="665">
        <v>0</v>
      </c>
      <c r="F373" s="665">
        <v>80.219668170427894</v>
      </c>
      <c r="G373" s="665">
        <v>2.5171283606012933</v>
      </c>
      <c r="H373" s="673">
        <v>70.494719350563656</v>
      </c>
      <c r="I373" s="665">
        <v>0</v>
      </c>
      <c r="J373" s="665">
        <v>0</v>
      </c>
      <c r="K373" s="665">
        <v>0</v>
      </c>
      <c r="L373" s="665">
        <v>57.742829446211736</v>
      </c>
      <c r="M373" s="665">
        <v>2.3819266632466007</v>
      </c>
      <c r="N373" s="665">
        <v>87.106561789112831</v>
      </c>
      <c r="O373" s="665">
        <v>57.71616045804425</v>
      </c>
      <c r="P373" s="665">
        <v>137.63232647396575</v>
      </c>
      <c r="Q373" s="665">
        <v>5.0433146454720621</v>
      </c>
      <c r="R373" s="665">
        <v>469.70988795485181</v>
      </c>
      <c r="S373" s="665">
        <v>63.928565625977342</v>
      </c>
      <c r="T373" s="665">
        <v>8.6446514495387365</v>
      </c>
      <c r="U373" s="665">
        <v>1045.9219286436637</v>
      </c>
    </row>
    <row r="374" spans="3:21" x14ac:dyDescent="0.2">
      <c r="C374" s="660" t="s">
        <v>84</v>
      </c>
      <c r="D374" s="661">
        <v>0</v>
      </c>
      <c r="E374" s="661">
        <v>0</v>
      </c>
      <c r="F374" s="661">
        <v>63.453621141900157</v>
      </c>
      <c r="G374" s="661">
        <v>5.849933778542443</v>
      </c>
      <c r="H374" s="661">
        <v>6.7321107560009157</v>
      </c>
      <c r="I374" s="661">
        <v>0</v>
      </c>
      <c r="J374" s="661">
        <v>0</v>
      </c>
      <c r="K374" s="661">
        <v>0</v>
      </c>
      <c r="L374" s="661">
        <v>0.4086523039836884</v>
      </c>
      <c r="M374" s="661">
        <v>0</v>
      </c>
      <c r="N374" s="661">
        <v>16.128139408945682</v>
      </c>
      <c r="O374" s="661">
        <v>2.7141517882424018</v>
      </c>
      <c r="P374" s="661">
        <v>0</v>
      </c>
      <c r="Q374" s="661">
        <v>0</v>
      </c>
      <c r="R374" s="661">
        <v>0</v>
      </c>
      <c r="S374" s="661">
        <v>0</v>
      </c>
      <c r="T374" s="661">
        <v>25.023965550983899</v>
      </c>
      <c r="U374" s="669">
        <v>120.31057472859921</v>
      </c>
    </row>
    <row r="375" spans="3:21" x14ac:dyDescent="0.2">
      <c r="C375" s="664" t="s">
        <v>85</v>
      </c>
      <c r="D375" s="665">
        <v>2.7841882556496467</v>
      </c>
      <c r="E375" s="665">
        <v>0</v>
      </c>
      <c r="F375" s="665">
        <v>143.67328931232805</v>
      </c>
      <c r="G375" s="665">
        <v>8.3670621391437372</v>
      </c>
      <c r="H375" s="673">
        <v>77.226830106564577</v>
      </c>
      <c r="I375" s="665">
        <v>0</v>
      </c>
      <c r="J375" s="665">
        <v>0</v>
      </c>
      <c r="K375" s="665">
        <v>0</v>
      </c>
      <c r="L375" s="665">
        <v>58.151481750195423</v>
      </c>
      <c r="M375" s="665">
        <v>2.3819266632466007</v>
      </c>
      <c r="N375" s="665">
        <v>103.23470119805852</v>
      </c>
      <c r="O375" s="665">
        <v>60.430312246286654</v>
      </c>
      <c r="P375" s="665">
        <v>137.63232647396575</v>
      </c>
      <c r="Q375" s="665">
        <v>5.0433146454720621</v>
      </c>
      <c r="R375" s="665">
        <v>469.70988795485181</v>
      </c>
      <c r="S375" s="665">
        <v>63.928565625977342</v>
      </c>
      <c r="T375" s="665">
        <v>33.668617000522637</v>
      </c>
      <c r="U375" s="665">
        <v>1166.2325033722627</v>
      </c>
    </row>
    <row r="376" spans="3:21" x14ac:dyDescent="0.2">
      <c r="C376" s="652"/>
      <c r="D376" s="670">
        <v>0</v>
      </c>
      <c r="E376" s="670">
        <v>0</v>
      </c>
      <c r="F376" s="670">
        <v>0</v>
      </c>
      <c r="G376" s="670">
        <v>0</v>
      </c>
      <c r="H376" s="670">
        <v>0</v>
      </c>
      <c r="I376" s="670">
        <v>0</v>
      </c>
      <c r="J376" s="670">
        <v>0</v>
      </c>
      <c r="K376" s="670">
        <v>0</v>
      </c>
      <c r="L376" s="670">
        <v>0</v>
      </c>
      <c r="M376" s="670">
        <v>0</v>
      </c>
      <c r="N376" s="670">
        <v>1.5987211554602254E-14</v>
      </c>
      <c r="O376" s="670">
        <v>1.865174681370263E-14</v>
      </c>
      <c r="P376" s="670">
        <v>0</v>
      </c>
      <c r="Q376" s="670">
        <v>0</v>
      </c>
      <c r="R376" s="670">
        <v>1.1368683772161603E-13</v>
      </c>
      <c r="S376" s="670">
        <v>0</v>
      </c>
      <c r="T376" s="670">
        <v>-1.3322676295501878E-15</v>
      </c>
      <c r="U376" s="670">
        <v>0</v>
      </c>
    </row>
    <row r="377" spans="3:21" x14ac:dyDescent="0.2">
      <c r="C377" s="652"/>
      <c r="D377" s="652"/>
      <c r="E377" s="652"/>
      <c r="F377" s="652"/>
      <c r="G377" s="652"/>
      <c r="H377" s="652"/>
      <c r="I377" s="652"/>
      <c r="J377" s="652"/>
      <c r="K377" s="652"/>
      <c r="L377" s="652"/>
      <c r="M377" s="652"/>
      <c r="N377" s="652"/>
      <c r="O377" s="652"/>
      <c r="P377" s="652"/>
      <c r="Q377" s="652"/>
      <c r="R377" s="652"/>
      <c r="S377" s="652"/>
      <c r="T377" s="652"/>
      <c r="U377" s="652"/>
    </row>
    <row r="378" spans="3:21" ht="15" x14ac:dyDescent="0.25">
      <c r="C378" s="656" t="s">
        <v>518</v>
      </c>
      <c r="D378" s="657"/>
      <c r="E378" s="657"/>
      <c r="F378" s="657"/>
      <c r="G378" s="657"/>
      <c r="H378" s="657"/>
      <c r="I378" s="657"/>
      <c r="J378" s="657"/>
      <c r="K378" s="657"/>
      <c r="L378" s="657"/>
      <c r="M378" s="657"/>
      <c r="N378" s="657"/>
      <c r="O378" s="657"/>
      <c r="P378" s="657"/>
      <c r="Q378" s="657"/>
      <c r="R378" s="657"/>
      <c r="S378" s="657"/>
      <c r="T378" s="657"/>
      <c r="U378" s="657"/>
    </row>
    <row r="379" spans="3:21" x14ac:dyDescent="0.2">
      <c r="C379" s="652"/>
      <c r="D379" s="652"/>
      <c r="E379" s="652"/>
      <c r="F379" s="652"/>
      <c r="G379" s="652"/>
      <c r="H379" s="652"/>
      <c r="I379" s="652"/>
      <c r="J379" s="652"/>
      <c r="K379" s="652"/>
      <c r="L379" s="652"/>
      <c r="M379" s="652"/>
      <c r="N379" s="652"/>
      <c r="O379" s="652"/>
      <c r="P379" s="652"/>
      <c r="Q379" s="652"/>
      <c r="R379" s="652"/>
      <c r="S379" s="652"/>
      <c r="T379" s="652"/>
      <c r="U379" s="652"/>
    </row>
    <row r="380" spans="3:21" x14ac:dyDescent="0.2">
      <c r="C380" s="773" t="s">
        <v>128</v>
      </c>
      <c r="D380" s="768" t="s">
        <v>42</v>
      </c>
      <c r="E380" s="768" t="s">
        <v>52</v>
      </c>
      <c r="F380" s="768" t="s">
        <v>53</v>
      </c>
      <c r="G380" s="768" t="s">
        <v>482</v>
      </c>
      <c r="H380" s="768" t="s">
        <v>32</v>
      </c>
      <c r="I380" s="768" t="s">
        <v>483</v>
      </c>
      <c r="J380" s="768" t="s">
        <v>20</v>
      </c>
      <c r="K380" s="768" t="s">
        <v>55</v>
      </c>
      <c r="L380" s="770" t="s">
        <v>56</v>
      </c>
      <c r="M380" s="771"/>
      <c r="N380" s="771"/>
      <c r="O380" s="771"/>
      <c r="P380" s="771"/>
      <c r="Q380" s="772"/>
      <c r="R380" s="768" t="s">
        <v>57</v>
      </c>
      <c r="S380" s="768" t="s">
        <v>58</v>
      </c>
      <c r="T380" s="768" t="s">
        <v>31</v>
      </c>
      <c r="U380" s="768" t="s">
        <v>10</v>
      </c>
    </row>
    <row r="381" spans="3:21" ht="36" x14ac:dyDescent="0.2">
      <c r="C381" s="774"/>
      <c r="D381" s="769"/>
      <c r="E381" s="769"/>
      <c r="F381" s="769"/>
      <c r="G381" s="769"/>
      <c r="H381" s="769"/>
      <c r="I381" s="769"/>
      <c r="J381" s="769"/>
      <c r="K381" s="769"/>
      <c r="L381" s="658" t="s">
        <v>335</v>
      </c>
      <c r="M381" s="658" t="s">
        <v>40</v>
      </c>
      <c r="N381" s="658" t="s">
        <v>343</v>
      </c>
      <c r="O381" s="658" t="s">
        <v>344</v>
      </c>
      <c r="P381" s="659" t="s">
        <v>345</v>
      </c>
      <c r="Q381" s="658" t="s">
        <v>346</v>
      </c>
      <c r="R381" s="769"/>
      <c r="S381" s="769"/>
      <c r="T381" s="769"/>
      <c r="U381" s="769"/>
    </row>
    <row r="382" spans="3:21" x14ac:dyDescent="0.2">
      <c r="C382" s="660" t="s">
        <v>59</v>
      </c>
      <c r="D382" s="661">
        <v>0</v>
      </c>
      <c r="E382" s="661">
        <v>0</v>
      </c>
      <c r="F382" s="661">
        <v>0</v>
      </c>
      <c r="G382" s="661">
        <v>0</v>
      </c>
      <c r="H382" s="661">
        <v>0</v>
      </c>
      <c r="I382" s="661">
        <v>0</v>
      </c>
      <c r="J382" s="662">
        <v>887.88984586571985</v>
      </c>
      <c r="K382" s="662">
        <v>396.24410449971316</v>
      </c>
      <c r="L382" s="662">
        <v>299.20080257603973</v>
      </c>
      <c r="M382" s="662">
        <v>23.973968003405336</v>
      </c>
      <c r="N382" s="661">
        <v>1.638642873490971</v>
      </c>
      <c r="O382" s="661">
        <v>0.1692153726460352</v>
      </c>
      <c r="P382" s="662">
        <v>148.52009865212395</v>
      </c>
      <c r="Q382" s="662">
        <v>23.099478079825218</v>
      </c>
      <c r="R382" s="661">
        <v>0</v>
      </c>
      <c r="S382" s="661">
        <v>0</v>
      </c>
      <c r="T382" s="661">
        <v>0</v>
      </c>
      <c r="U382" s="663">
        <v>1780.7361559229641</v>
      </c>
    </row>
    <row r="383" spans="3:21" x14ac:dyDescent="0.2">
      <c r="C383" s="660" t="s">
        <v>60</v>
      </c>
      <c r="D383" s="661">
        <v>10.379280707598515</v>
      </c>
      <c r="E383" s="661">
        <v>221.43377158510449</v>
      </c>
      <c r="F383" s="661">
        <v>3.6404081450569747</v>
      </c>
      <c r="G383" s="661">
        <v>0</v>
      </c>
      <c r="H383" s="661">
        <v>71.351673113669463</v>
      </c>
      <c r="I383" s="661">
        <v>0</v>
      </c>
      <c r="J383" s="661">
        <v>0</v>
      </c>
      <c r="K383" s="661">
        <v>0</v>
      </c>
      <c r="L383" s="661">
        <v>4.5400000946661896</v>
      </c>
      <c r="M383" s="661">
        <v>0</v>
      </c>
      <c r="N383" s="661">
        <v>4.7355769449703358</v>
      </c>
      <c r="O383" s="661">
        <v>0</v>
      </c>
      <c r="P383" s="661">
        <v>0</v>
      </c>
      <c r="Q383" s="661">
        <v>0</v>
      </c>
      <c r="R383" s="661">
        <v>0</v>
      </c>
      <c r="S383" s="661">
        <v>0</v>
      </c>
      <c r="T383" s="661">
        <v>0</v>
      </c>
      <c r="U383" s="663">
        <v>316.08071059106601</v>
      </c>
    </row>
    <row r="384" spans="3:21" x14ac:dyDescent="0.2">
      <c r="C384" s="660" t="s">
        <v>61</v>
      </c>
      <c r="D384" s="661">
        <v>0</v>
      </c>
      <c r="E384" s="661">
        <v>0</v>
      </c>
      <c r="F384" s="661">
        <v>-61.117649142160822</v>
      </c>
      <c r="G384" s="661">
        <v>0</v>
      </c>
      <c r="H384" s="661">
        <v>0</v>
      </c>
      <c r="I384" s="661">
        <v>0</v>
      </c>
      <c r="J384" s="661">
        <v>0</v>
      </c>
      <c r="K384" s="661">
        <v>0</v>
      </c>
      <c r="L384" s="661">
        <v>0</v>
      </c>
      <c r="M384" s="661">
        <v>0</v>
      </c>
      <c r="N384" s="661">
        <v>0</v>
      </c>
      <c r="O384" s="661">
        <v>0</v>
      </c>
      <c r="P384" s="661">
        <v>0</v>
      </c>
      <c r="Q384" s="661">
        <v>0</v>
      </c>
      <c r="R384" s="661">
        <v>-39.114049370458702</v>
      </c>
      <c r="S384" s="661">
        <v>0</v>
      </c>
      <c r="T384" s="661">
        <v>0</v>
      </c>
      <c r="U384" s="663">
        <v>-100.23169851261953</v>
      </c>
    </row>
    <row r="385" spans="3:21" x14ac:dyDescent="0.2">
      <c r="C385" s="660" t="s">
        <v>62</v>
      </c>
      <c r="D385" s="661">
        <v>0</v>
      </c>
      <c r="E385" s="661">
        <v>0</v>
      </c>
      <c r="F385" s="661">
        <v>-6.8572519407668047</v>
      </c>
      <c r="G385" s="661">
        <v>-2.9115063458369059</v>
      </c>
      <c r="H385" s="661">
        <v>-4.556210213526227</v>
      </c>
      <c r="I385" s="661">
        <v>-6.0214231896822394E-2</v>
      </c>
      <c r="J385" s="661">
        <v>0</v>
      </c>
      <c r="K385" s="661">
        <v>0</v>
      </c>
      <c r="L385" s="661">
        <v>0</v>
      </c>
      <c r="M385" s="661">
        <v>0</v>
      </c>
      <c r="N385" s="661">
        <v>-0.36156496915270087</v>
      </c>
      <c r="O385" s="661">
        <v>-5.4192808707140152</v>
      </c>
      <c r="P385" s="661">
        <v>0</v>
      </c>
      <c r="Q385" s="661">
        <v>0</v>
      </c>
      <c r="R385" s="661">
        <v>0</v>
      </c>
      <c r="S385" s="661">
        <v>0</v>
      </c>
      <c r="T385" s="661">
        <v>0</v>
      </c>
      <c r="U385" s="663">
        <v>-20.166028571893477</v>
      </c>
    </row>
    <row r="386" spans="3:21" x14ac:dyDescent="0.2">
      <c r="C386" s="660" t="s">
        <v>63</v>
      </c>
      <c r="D386" s="661">
        <v>0</v>
      </c>
      <c r="E386" s="661">
        <v>0</v>
      </c>
      <c r="F386" s="661">
        <v>-41.932075648688581</v>
      </c>
      <c r="G386" s="661">
        <v>-12.789597363010756</v>
      </c>
      <c r="H386" s="661">
        <v>0</v>
      </c>
      <c r="I386" s="661">
        <v>0</v>
      </c>
      <c r="J386" s="661">
        <v>0</v>
      </c>
      <c r="K386" s="661">
        <v>0</v>
      </c>
      <c r="L386" s="661">
        <v>0</v>
      </c>
      <c r="M386" s="661">
        <v>0</v>
      </c>
      <c r="N386" s="661">
        <v>-13.964845940285258</v>
      </c>
      <c r="O386" s="661">
        <v>0</v>
      </c>
      <c r="P386" s="661">
        <v>0</v>
      </c>
      <c r="Q386" s="661">
        <v>0</v>
      </c>
      <c r="R386" s="661">
        <v>0</v>
      </c>
      <c r="S386" s="661">
        <v>0</v>
      </c>
      <c r="T386" s="661">
        <v>-1.1030439884832439</v>
      </c>
      <c r="U386" s="663">
        <v>-69.789562940467846</v>
      </c>
    </row>
    <row r="387" spans="3:21" x14ac:dyDescent="0.2">
      <c r="C387" s="660" t="s">
        <v>64</v>
      </c>
      <c r="D387" s="661">
        <v>0</v>
      </c>
      <c r="E387" s="661">
        <v>0</v>
      </c>
      <c r="F387" s="661">
        <v>0</v>
      </c>
      <c r="G387" s="661">
        <v>0</v>
      </c>
      <c r="H387" s="661">
        <v>0</v>
      </c>
      <c r="I387" s="661">
        <v>0</v>
      </c>
      <c r="J387" s="661">
        <v>0</v>
      </c>
      <c r="K387" s="661">
        <v>0</v>
      </c>
      <c r="L387" s="661">
        <v>0</v>
      </c>
      <c r="M387" s="661">
        <v>0</v>
      </c>
      <c r="N387" s="661">
        <v>0</v>
      </c>
      <c r="O387" s="661">
        <v>0</v>
      </c>
      <c r="P387" s="661">
        <v>0</v>
      </c>
      <c r="Q387" s="661">
        <v>0</v>
      </c>
      <c r="R387" s="661">
        <v>0</v>
      </c>
      <c r="S387" s="661">
        <v>0</v>
      </c>
      <c r="T387" s="661">
        <v>0</v>
      </c>
      <c r="U387" s="663">
        <v>0</v>
      </c>
    </row>
    <row r="388" spans="3:21" x14ac:dyDescent="0.2">
      <c r="C388" s="664" t="s">
        <v>65</v>
      </c>
      <c r="D388" s="665">
        <v>10.379280707598515</v>
      </c>
      <c r="E388" s="665">
        <v>221.43377158510449</v>
      </c>
      <c r="F388" s="665">
        <v>-106.26656858655923</v>
      </c>
      <c r="G388" s="665">
        <v>-15.701103708847661</v>
      </c>
      <c r="H388" s="673">
        <v>66.795462900143235</v>
      </c>
      <c r="I388" s="665">
        <v>-6.0214231896822394E-2</v>
      </c>
      <c r="J388" s="665">
        <v>887.88984586571985</v>
      </c>
      <c r="K388" s="665">
        <v>396.24410449971316</v>
      </c>
      <c r="L388" s="665">
        <v>303.74080267070593</v>
      </c>
      <c r="M388" s="665">
        <v>23.973968003405336</v>
      </c>
      <c r="N388" s="665">
        <v>-7.952191090976652</v>
      </c>
      <c r="O388" s="665">
        <v>-5.25006549806798</v>
      </c>
      <c r="P388" s="665">
        <v>148.52009865212395</v>
      </c>
      <c r="Q388" s="665">
        <v>23.099478079825218</v>
      </c>
      <c r="R388" s="665">
        <v>-39.114049370458702</v>
      </c>
      <c r="S388" s="665">
        <v>0</v>
      </c>
      <c r="T388" s="665">
        <v>-1.1030439884832439</v>
      </c>
      <c r="U388" s="665">
        <v>1906.629576489049</v>
      </c>
    </row>
    <row r="389" spans="3:21" x14ac:dyDescent="0.2">
      <c r="C389" s="666"/>
      <c r="D389" s="667">
        <v>0</v>
      </c>
      <c r="E389" s="667">
        <v>0</v>
      </c>
      <c r="F389" s="667">
        <v>0</v>
      </c>
      <c r="G389" s="667">
        <v>0</v>
      </c>
      <c r="H389" s="674">
        <v>0</v>
      </c>
      <c r="I389" s="667">
        <v>0</v>
      </c>
      <c r="J389" s="667">
        <v>0</v>
      </c>
      <c r="K389" s="667">
        <v>0</v>
      </c>
      <c r="L389" s="667">
        <v>0</v>
      </c>
      <c r="M389" s="667">
        <v>0</v>
      </c>
      <c r="N389" s="667">
        <v>0</v>
      </c>
      <c r="O389" s="667">
        <v>0</v>
      </c>
      <c r="P389" s="667">
        <v>0</v>
      </c>
      <c r="Q389" s="667">
        <v>0</v>
      </c>
      <c r="R389" s="667">
        <v>0</v>
      </c>
      <c r="S389" s="667">
        <v>0</v>
      </c>
      <c r="T389" s="667">
        <v>0</v>
      </c>
      <c r="U389" s="667">
        <v>0</v>
      </c>
    </row>
    <row r="390" spans="3:21" x14ac:dyDescent="0.2">
      <c r="C390" s="668" t="s">
        <v>67</v>
      </c>
      <c r="D390" s="661">
        <v>0</v>
      </c>
      <c r="E390" s="661">
        <v>0</v>
      </c>
      <c r="F390" s="661">
        <v>0</v>
      </c>
      <c r="G390" s="661">
        <v>0</v>
      </c>
      <c r="H390" s="661">
        <v>0</v>
      </c>
      <c r="I390" s="661">
        <v>0</v>
      </c>
      <c r="J390" s="661">
        <v>0</v>
      </c>
      <c r="K390" s="661">
        <v>0</v>
      </c>
      <c r="L390" s="661">
        <v>0</v>
      </c>
      <c r="M390" s="661">
        <v>0</v>
      </c>
      <c r="N390" s="661">
        <v>0</v>
      </c>
      <c r="O390" s="661">
        <v>0</v>
      </c>
      <c r="P390" s="661">
        <v>0</v>
      </c>
      <c r="Q390" s="661">
        <v>0</v>
      </c>
      <c r="R390" s="661">
        <v>0</v>
      </c>
      <c r="S390" s="661">
        <v>0</v>
      </c>
      <c r="T390" s="661">
        <v>0</v>
      </c>
      <c r="U390" s="669">
        <v>0</v>
      </c>
    </row>
    <row r="391" spans="3:21" x14ac:dyDescent="0.2">
      <c r="C391" s="668" t="s">
        <v>347</v>
      </c>
      <c r="D391" s="661">
        <v>0</v>
      </c>
      <c r="E391" s="661">
        <v>0</v>
      </c>
      <c r="F391" s="661">
        <v>2.6460781360013397E-2</v>
      </c>
      <c r="G391" s="661">
        <v>0</v>
      </c>
      <c r="H391" s="661">
        <v>2.1444399446740805</v>
      </c>
      <c r="I391" s="661">
        <v>0</v>
      </c>
      <c r="J391" s="661">
        <v>887.88984586571985</v>
      </c>
      <c r="K391" s="661">
        <v>396.24410449971316</v>
      </c>
      <c r="L391" s="661">
        <v>15.085804984191999</v>
      </c>
      <c r="M391" s="661">
        <v>7.2357180176402842</v>
      </c>
      <c r="N391" s="661">
        <v>6.0578717375904887</v>
      </c>
      <c r="O391" s="661">
        <v>0.6501857288144991</v>
      </c>
      <c r="P391" s="661">
        <v>0</v>
      </c>
      <c r="Q391" s="661">
        <v>6.4590957564387725</v>
      </c>
      <c r="R391" s="661">
        <v>-708.99943776638747</v>
      </c>
      <c r="S391" s="661">
        <v>0</v>
      </c>
      <c r="T391" s="661">
        <v>8.0586922417708831</v>
      </c>
      <c r="U391" s="669">
        <v>620.85278179152624</v>
      </c>
    </row>
    <row r="392" spans="3:21" x14ac:dyDescent="0.2">
      <c r="C392" s="668" t="s">
        <v>348</v>
      </c>
      <c r="D392" s="661">
        <v>0</v>
      </c>
      <c r="E392" s="661">
        <v>0</v>
      </c>
      <c r="F392" s="661">
        <v>0</v>
      </c>
      <c r="G392" s="661">
        <v>0</v>
      </c>
      <c r="H392" s="661">
        <v>4.7815870319860325</v>
      </c>
      <c r="I392" s="661">
        <v>0</v>
      </c>
      <c r="J392" s="661">
        <v>0</v>
      </c>
      <c r="K392" s="661">
        <v>0</v>
      </c>
      <c r="L392" s="661">
        <v>35.214664152844563</v>
      </c>
      <c r="M392" s="661">
        <v>14.445160723039894</v>
      </c>
      <c r="N392" s="661">
        <v>0</v>
      </c>
      <c r="O392" s="661">
        <v>7.1872449307268287</v>
      </c>
      <c r="P392" s="661">
        <v>0</v>
      </c>
      <c r="Q392" s="661">
        <v>11.182341089352812</v>
      </c>
      <c r="R392" s="661">
        <v>0</v>
      </c>
      <c r="S392" s="661">
        <v>-68.236033723831326</v>
      </c>
      <c r="T392" s="661">
        <v>0</v>
      </c>
      <c r="U392" s="669">
        <v>4.574964204118805</v>
      </c>
    </row>
    <row r="393" spans="3:21" x14ac:dyDescent="0.2">
      <c r="C393" s="668" t="s">
        <v>349</v>
      </c>
      <c r="D393" s="661">
        <v>0</v>
      </c>
      <c r="E393" s="661">
        <v>0</v>
      </c>
      <c r="F393" s="661">
        <v>0</v>
      </c>
      <c r="G393" s="661">
        <v>0</v>
      </c>
      <c r="H393" s="661">
        <v>0</v>
      </c>
      <c r="I393" s="661">
        <v>0</v>
      </c>
      <c r="J393" s="661">
        <v>0</v>
      </c>
      <c r="K393" s="661">
        <v>0</v>
      </c>
      <c r="L393" s="661">
        <v>86.658949605448655</v>
      </c>
      <c r="M393" s="661">
        <v>0</v>
      </c>
      <c r="N393" s="661">
        <v>0</v>
      </c>
      <c r="O393" s="661">
        <v>-81.004566256753222</v>
      </c>
      <c r="P393" s="661">
        <v>0</v>
      </c>
      <c r="Q393" s="661">
        <v>0</v>
      </c>
      <c r="R393" s="661">
        <v>0</v>
      </c>
      <c r="S393" s="661">
        <v>0</v>
      </c>
      <c r="T393" s="661">
        <v>0</v>
      </c>
      <c r="U393" s="669">
        <v>5.6543833486954327</v>
      </c>
    </row>
    <row r="394" spans="3:21" x14ac:dyDescent="0.2">
      <c r="C394" s="668" t="s">
        <v>350</v>
      </c>
      <c r="D394" s="661">
        <v>0</v>
      </c>
      <c r="E394" s="661">
        <v>0</v>
      </c>
      <c r="F394" s="661">
        <v>0</v>
      </c>
      <c r="G394" s="661">
        <v>0</v>
      </c>
      <c r="H394" s="661">
        <v>0</v>
      </c>
      <c r="I394" s="661">
        <v>-0.77766156720631052</v>
      </c>
      <c r="J394" s="661">
        <v>0</v>
      </c>
      <c r="K394" s="661">
        <v>0</v>
      </c>
      <c r="L394" s="661">
        <v>0</v>
      </c>
      <c r="M394" s="661">
        <v>0</v>
      </c>
      <c r="N394" s="661">
        <v>0</v>
      </c>
      <c r="O394" s="661">
        <v>0</v>
      </c>
      <c r="P394" s="661">
        <v>0</v>
      </c>
      <c r="Q394" s="661">
        <v>0</v>
      </c>
      <c r="R394" s="661">
        <v>0</v>
      </c>
      <c r="S394" s="661">
        <v>0</v>
      </c>
      <c r="T394" s="661">
        <v>1.0822986785331616</v>
      </c>
      <c r="U394" s="669">
        <v>0.30463711132685112</v>
      </c>
    </row>
    <row r="395" spans="3:21" x14ac:dyDescent="0.2">
      <c r="C395" s="668" t="s">
        <v>72</v>
      </c>
      <c r="D395" s="661">
        <v>0</v>
      </c>
      <c r="E395" s="661">
        <v>229.44376619610998</v>
      </c>
      <c r="F395" s="661">
        <v>-227.15530245315296</v>
      </c>
      <c r="G395" s="661">
        <v>0</v>
      </c>
      <c r="H395" s="661">
        <v>0</v>
      </c>
      <c r="I395" s="661">
        <v>0</v>
      </c>
      <c r="J395" s="661">
        <v>0</v>
      </c>
      <c r="K395" s="661">
        <v>0</v>
      </c>
      <c r="L395" s="661">
        <v>0</v>
      </c>
      <c r="M395" s="661">
        <v>0</v>
      </c>
      <c r="N395" s="661">
        <v>0</v>
      </c>
      <c r="O395" s="661">
        <v>0</v>
      </c>
      <c r="P395" s="661">
        <v>0</v>
      </c>
      <c r="Q395" s="661">
        <v>0</v>
      </c>
      <c r="R395" s="661">
        <v>0</v>
      </c>
      <c r="S395" s="661">
        <v>0</v>
      </c>
      <c r="T395" s="661">
        <v>0</v>
      </c>
      <c r="U395" s="669">
        <v>2.2884637429570258</v>
      </c>
    </row>
    <row r="396" spans="3:21" x14ac:dyDescent="0.2">
      <c r="C396" s="668" t="s">
        <v>351</v>
      </c>
      <c r="D396" s="661">
        <v>0</v>
      </c>
      <c r="E396" s="661">
        <v>0</v>
      </c>
      <c r="F396" s="661">
        <v>0</v>
      </c>
      <c r="G396" s="661">
        <v>0</v>
      </c>
      <c r="H396" s="661">
        <v>0</v>
      </c>
      <c r="I396" s="661">
        <v>0</v>
      </c>
      <c r="J396" s="661">
        <v>0</v>
      </c>
      <c r="K396" s="661">
        <v>0</v>
      </c>
      <c r="L396" s="661">
        <v>110.37341937246062</v>
      </c>
      <c r="M396" s="661">
        <v>0</v>
      </c>
      <c r="N396" s="661">
        <v>-110.37341937246062</v>
      </c>
      <c r="O396" s="661">
        <v>0</v>
      </c>
      <c r="P396" s="661">
        <v>0</v>
      </c>
      <c r="Q396" s="661">
        <v>0</v>
      </c>
      <c r="R396" s="661">
        <v>0</v>
      </c>
      <c r="S396" s="661">
        <v>0</v>
      </c>
      <c r="T396" s="661">
        <v>0</v>
      </c>
      <c r="U396" s="669">
        <v>0</v>
      </c>
    </row>
    <row r="397" spans="3:21" x14ac:dyDescent="0.2">
      <c r="C397" s="668" t="s">
        <v>352</v>
      </c>
      <c r="D397" s="661">
        <v>0</v>
      </c>
      <c r="E397" s="661">
        <v>0</v>
      </c>
      <c r="F397" s="661">
        <v>0</v>
      </c>
      <c r="G397" s="661">
        <v>-25.838308158403624</v>
      </c>
      <c r="H397" s="661">
        <v>0</v>
      </c>
      <c r="I397" s="661">
        <v>0</v>
      </c>
      <c r="J397" s="661">
        <v>0</v>
      </c>
      <c r="K397" s="661">
        <v>0</v>
      </c>
      <c r="L397" s="661">
        <v>0</v>
      </c>
      <c r="M397" s="661">
        <v>0</v>
      </c>
      <c r="N397" s="661">
        <v>0</v>
      </c>
      <c r="O397" s="661">
        <v>0</v>
      </c>
      <c r="P397" s="661">
        <v>0</v>
      </c>
      <c r="Q397" s="661">
        <v>0</v>
      </c>
      <c r="R397" s="661">
        <v>0</v>
      </c>
      <c r="S397" s="661">
        <v>0</v>
      </c>
      <c r="T397" s="661">
        <v>35.986501613375523</v>
      </c>
      <c r="U397" s="669">
        <v>10.148193454971899</v>
      </c>
    </row>
    <row r="398" spans="3:21" x14ac:dyDescent="0.2">
      <c r="C398" s="668" t="s">
        <v>73</v>
      </c>
      <c r="D398" s="661">
        <v>0</v>
      </c>
      <c r="E398" s="661">
        <v>0</v>
      </c>
      <c r="F398" s="661">
        <v>0</v>
      </c>
      <c r="G398" s="661">
        <v>0</v>
      </c>
      <c r="H398" s="661">
        <v>0</v>
      </c>
      <c r="I398" s="661">
        <v>0</v>
      </c>
      <c r="J398" s="661">
        <v>0</v>
      </c>
      <c r="K398" s="661">
        <v>0</v>
      </c>
      <c r="L398" s="661">
        <v>0</v>
      </c>
      <c r="M398" s="661">
        <v>0</v>
      </c>
      <c r="N398" s="661">
        <v>0</v>
      </c>
      <c r="O398" s="661">
        <v>0</v>
      </c>
      <c r="P398" s="661">
        <v>0</v>
      </c>
      <c r="Q398" s="661">
        <v>0</v>
      </c>
      <c r="R398" s="661">
        <v>122.6947271556845</v>
      </c>
      <c r="S398" s="661">
        <v>0</v>
      </c>
      <c r="T398" s="661">
        <v>-85.334182736778573</v>
      </c>
      <c r="U398" s="669">
        <v>37.360544418905931</v>
      </c>
    </row>
    <row r="399" spans="3:21" x14ac:dyDescent="0.2">
      <c r="C399" s="668" t="s">
        <v>353</v>
      </c>
      <c r="D399" s="661">
        <v>5.7430949414062491</v>
      </c>
      <c r="E399" s="661">
        <v>-8.0099946110054798</v>
      </c>
      <c r="F399" s="661">
        <v>10.446968779828495</v>
      </c>
      <c r="G399" s="661">
        <v>0</v>
      </c>
      <c r="H399" s="661">
        <v>0</v>
      </c>
      <c r="I399" s="661">
        <v>0</v>
      </c>
      <c r="J399" s="661">
        <v>0</v>
      </c>
      <c r="K399" s="661">
        <v>0</v>
      </c>
      <c r="L399" s="661">
        <v>0</v>
      </c>
      <c r="M399" s="661">
        <v>0</v>
      </c>
      <c r="N399" s="661">
        <v>0</v>
      </c>
      <c r="O399" s="661">
        <v>0</v>
      </c>
      <c r="P399" s="661">
        <v>0</v>
      </c>
      <c r="Q399" s="661">
        <v>0</v>
      </c>
      <c r="R399" s="661">
        <v>0</v>
      </c>
      <c r="S399" s="661">
        <v>0</v>
      </c>
      <c r="T399" s="661">
        <v>0</v>
      </c>
      <c r="U399" s="669">
        <v>8.1800691102292635</v>
      </c>
    </row>
    <row r="400" spans="3:21" x14ac:dyDescent="0.2">
      <c r="C400" s="668" t="s">
        <v>75</v>
      </c>
      <c r="D400" s="661">
        <v>2.2334258105468749</v>
      </c>
      <c r="E400" s="661">
        <v>0</v>
      </c>
      <c r="F400" s="661">
        <v>17.43246590348684</v>
      </c>
      <c r="G400" s="661">
        <v>0</v>
      </c>
      <c r="H400" s="661">
        <v>2.2924587532620087</v>
      </c>
      <c r="I400" s="661">
        <v>3.0296811717119062E-2</v>
      </c>
      <c r="J400" s="661">
        <v>0</v>
      </c>
      <c r="K400" s="661">
        <v>0</v>
      </c>
      <c r="L400" s="661">
        <v>0</v>
      </c>
      <c r="M400" s="661">
        <v>0</v>
      </c>
      <c r="N400" s="661">
        <v>0</v>
      </c>
      <c r="O400" s="661">
        <v>2.7267130545407157</v>
      </c>
      <c r="P400" s="661">
        <v>0</v>
      </c>
      <c r="Q400" s="661">
        <v>0</v>
      </c>
      <c r="R400" s="661">
        <v>21.822235808041572</v>
      </c>
      <c r="S400" s="661">
        <v>0</v>
      </c>
      <c r="T400" s="661">
        <v>0</v>
      </c>
      <c r="U400" s="669">
        <v>46.537596141595124</v>
      </c>
    </row>
    <row r="401" spans="3:21" x14ac:dyDescent="0.2">
      <c r="C401" s="668" t="s">
        <v>76</v>
      </c>
      <c r="D401" s="661">
        <v>0</v>
      </c>
      <c r="E401" s="661">
        <v>0</v>
      </c>
      <c r="F401" s="661">
        <v>0</v>
      </c>
      <c r="G401" s="661">
        <v>0</v>
      </c>
      <c r="H401" s="661">
        <v>0.77652722768993077</v>
      </c>
      <c r="I401" s="661">
        <v>1.0262474374756796E-2</v>
      </c>
      <c r="J401" s="661">
        <v>0</v>
      </c>
      <c r="K401" s="661">
        <v>0</v>
      </c>
      <c r="L401" s="661">
        <v>0</v>
      </c>
      <c r="M401" s="661">
        <v>0</v>
      </c>
      <c r="N401" s="661">
        <v>0</v>
      </c>
      <c r="O401" s="661">
        <v>0.92362269372811168</v>
      </c>
      <c r="P401" s="661">
        <v>0</v>
      </c>
      <c r="Q401" s="661">
        <v>0</v>
      </c>
      <c r="R401" s="661">
        <v>51.265258018349606</v>
      </c>
      <c r="S401" s="661">
        <v>5.2924074535934169</v>
      </c>
      <c r="T401" s="661">
        <v>0</v>
      </c>
      <c r="U401" s="669">
        <v>58.268077867735826</v>
      </c>
    </row>
    <row r="402" spans="3:21" x14ac:dyDescent="0.2">
      <c r="C402" s="664" t="s">
        <v>77</v>
      </c>
      <c r="D402" s="665">
        <v>7.9765207519531245</v>
      </c>
      <c r="E402" s="665">
        <v>221.43377158510449</v>
      </c>
      <c r="F402" s="665">
        <v>-199.24940698847763</v>
      </c>
      <c r="G402" s="665">
        <v>-25.838308158403624</v>
      </c>
      <c r="H402" s="673">
        <v>9.9950129576120528</v>
      </c>
      <c r="I402" s="665">
        <v>-0.73710228111443465</v>
      </c>
      <c r="J402" s="665">
        <v>887.88984586571985</v>
      </c>
      <c r="K402" s="665">
        <v>396.24410449971316</v>
      </c>
      <c r="L402" s="665">
        <v>247.33283811494582</v>
      </c>
      <c r="M402" s="665">
        <v>21.680878740680178</v>
      </c>
      <c r="N402" s="665">
        <v>-104.31554763487013</v>
      </c>
      <c r="O402" s="665">
        <v>-69.51679984894308</v>
      </c>
      <c r="P402" s="665">
        <v>0</v>
      </c>
      <c r="Q402" s="665">
        <v>17.641436845791585</v>
      </c>
      <c r="R402" s="665">
        <v>-513.21721678431186</v>
      </c>
      <c r="S402" s="665">
        <v>-62.943626270237907</v>
      </c>
      <c r="T402" s="665">
        <v>-40.206690203099001</v>
      </c>
      <c r="U402" s="665">
        <v>794.16971119206255</v>
      </c>
    </row>
    <row r="403" spans="3:21" x14ac:dyDescent="0.2">
      <c r="C403" s="666"/>
      <c r="D403" s="667">
        <v>0</v>
      </c>
      <c r="E403" s="667">
        <v>0</v>
      </c>
      <c r="F403" s="667">
        <v>0</v>
      </c>
      <c r="G403" s="667">
        <v>0</v>
      </c>
      <c r="H403" s="674">
        <v>0</v>
      </c>
      <c r="I403" s="667">
        <v>0</v>
      </c>
      <c r="J403" s="667">
        <v>0</v>
      </c>
      <c r="K403" s="667">
        <v>0</v>
      </c>
      <c r="L403" s="667">
        <v>0</v>
      </c>
      <c r="M403" s="667">
        <v>0</v>
      </c>
      <c r="N403" s="667">
        <v>0</v>
      </c>
      <c r="O403" s="667">
        <v>0</v>
      </c>
      <c r="P403" s="667">
        <v>0</v>
      </c>
      <c r="Q403" s="667">
        <v>0</v>
      </c>
      <c r="R403" s="667">
        <v>0</v>
      </c>
      <c r="S403" s="667">
        <v>0</v>
      </c>
      <c r="T403" s="667">
        <v>0</v>
      </c>
      <c r="U403" s="667">
        <v>0</v>
      </c>
    </row>
    <row r="404" spans="3:21" x14ac:dyDescent="0.2">
      <c r="C404" s="668" t="s">
        <v>78</v>
      </c>
      <c r="D404" s="661">
        <v>2.4027599556453909</v>
      </c>
      <c r="E404" s="661">
        <v>0</v>
      </c>
      <c r="F404" s="661">
        <v>3.114463113040443</v>
      </c>
      <c r="G404" s="661">
        <v>0</v>
      </c>
      <c r="H404" s="661">
        <v>22.626318476237717</v>
      </c>
      <c r="I404" s="661">
        <v>0.29902623536878048</v>
      </c>
      <c r="J404" s="661">
        <v>0</v>
      </c>
      <c r="K404" s="661">
        <v>0</v>
      </c>
      <c r="L404" s="661">
        <v>19.572699923725285</v>
      </c>
      <c r="M404" s="661">
        <v>2.2927206810178133</v>
      </c>
      <c r="N404" s="661">
        <v>2.5907279394531253</v>
      </c>
      <c r="O404" s="661">
        <v>26.952636430442517</v>
      </c>
      <c r="P404" s="661">
        <v>8.8445146484374995</v>
      </c>
      <c r="Q404" s="661">
        <v>8.2107689234467234E-4</v>
      </c>
      <c r="R404" s="661">
        <v>134.99858174444151</v>
      </c>
      <c r="S404" s="661">
        <v>18.388872155735818</v>
      </c>
      <c r="T404" s="661">
        <v>5.7096738281250001</v>
      </c>
      <c r="U404" s="669">
        <v>247.79381620856324</v>
      </c>
    </row>
    <row r="405" spans="3:21" x14ac:dyDescent="0.2">
      <c r="C405" s="668" t="s">
        <v>79</v>
      </c>
      <c r="D405" s="661">
        <v>0</v>
      </c>
      <c r="E405" s="661">
        <v>0</v>
      </c>
      <c r="F405" s="661">
        <v>28.084568019979141</v>
      </c>
      <c r="G405" s="661">
        <v>1.421472124111238</v>
      </c>
      <c r="H405" s="661">
        <v>2.5860362638913656</v>
      </c>
      <c r="I405" s="661">
        <v>3.4176690712220695E-2</v>
      </c>
      <c r="J405" s="661">
        <v>0</v>
      </c>
      <c r="K405" s="661">
        <v>0</v>
      </c>
      <c r="L405" s="661">
        <v>0</v>
      </c>
      <c r="M405" s="661">
        <v>0</v>
      </c>
      <c r="N405" s="661">
        <v>58.95620249302754</v>
      </c>
      <c r="O405" s="661">
        <v>3.0759021640998623</v>
      </c>
      <c r="P405" s="661">
        <v>0</v>
      </c>
      <c r="Q405" s="661">
        <v>0</v>
      </c>
      <c r="R405" s="661">
        <v>96.758599927458889</v>
      </c>
      <c r="S405" s="661">
        <v>0</v>
      </c>
      <c r="T405" s="661">
        <v>4.2910115463144054</v>
      </c>
      <c r="U405" s="669">
        <v>195.20796922959462</v>
      </c>
    </row>
    <row r="406" spans="3:21" x14ac:dyDescent="0.2">
      <c r="C406" s="668" t="s">
        <v>80</v>
      </c>
      <c r="D406" s="661">
        <v>0</v>
      </c>
      <c r="E406" s="661">
        <v>0</v>
      </c>
      <c r="F406" s="661">
        <v>1.0938828648554826</v>
      </c>
      <c r="G406" s="661">
        <v>0</v>
      </c>
      <c r="H406" s="661">
        <v>16.315204996757775</v>
      </c>
      <c r="I406" s="661">
        <v>0.21561944929635826</v>
      </c>
      <c r="J406" s="661">
        <v>0</v>
      </c>
      <c r="K406" s="661">
        <v>0</v>
      </c>
      <c r="L406" s="661">
        <v>32.232635043857968</v>
      </c>
      <c r="M406" s="661">
        <v>0</v>
      </c>
      <c r="N406" s="661">
        <v>0</v>
      </c>
      <c r="O406" s="661">
        <v>19.405750436672243</v>
      </c>
      <c r="P406" s="661">
        <v>111.91504706113531</v>
      </c>
      <c r="Q406" s="661">
        <v>2.8847164087553931</v>
      </c>
      <c r="R406" s="661">
        <v>143.6282802083233</v>
      </c>
      <c r="S406" s="661">
        <v>25.545428952203935</v>
      </c>
      <c r="T406" s="661">
        <v>0</v>
      </c>
      <c r="U406" s="669">
        <v>353.23656542185773</v>
      </c>
    </row>
    <row r="407" spans="3:21" x14ac:dyDescent="0.2">
      <c r="C407" s="668" t="s">
        <v>81</v>
      </c>
      <c r="D407" s="661">
        <v>0</v>
      </c>
      <c r="E407" s="661">
        <v>0</v>
      </c>
      <c r="F407" s="661">
        <v>0.97723127965383472</v>
      </c>
      <c r="G407" s="661">
        <v>0</v>
      </c>
      <c r="H407" s="661">
        <v>8.896881568300115</v>
      </c>
      <c r="I407" s="661">
        <v>0.11757993262070637</v>
      </c>
      <c r="J407" s="661">
        <v>0</v>
      </c>
      <c r="K407" s="661">
        <v>0</v>
      </c>
      <c r="L407" s="661">
        <v>0.3860243395319729</v>
      </c>
      <c r="M407" s="661">
        <v>3.6858170734169985E-4</v>
      </c>
      <c r="N407" s="661">
        <v>0</v>
      </c>
      <c r="O407" s="661">
        <v>10.582193935863573</v>
      </c>
      <c r="P407" s="661">
        <v>26.610536942551132</v>
      </c>
      <c r="Q407" s="661">
        <v>1.0058473798751368</v>
      </c>
      <c r="R407" s="661">
        <v>89.039868511744515</v>
      </c>
      <c r="S407" s="661">
        <v>19.009325162298154</v>
      </c>
      <c r="T407" s="661">
        <v>0</v>
      </c>
      <c r="U407" s="669">
        <v>156.62585763414648</v>
      </c>
    </row>
    <row r="408" spans="3:21" x14ac:dyDescent="0.2">
      <c r="C408" s="668" t="s">
        <v>82</v>
      </c>
      <c r="D408" s="661">
        <v>0</v>
      </c>
      <c r="E408" s="661">
        <v>0</v>
      </c>
      <c r="F408" s="661">
        <v>4.1945740406306502</v>
      </c>
      <c r="G408" s="661">
        <v>1.6667279106947781</v>
      </c>
      <c r="H408" s="661">
        <v>0.79342108561234903</v>
      </c>
      <c r="I408" s="661">
        <v>1.0485741219546464E-2</v>
      </c>
      <c r="J408" s="661">
        <v>0</v>
      </c>
      <c r="K408" s="661">
        <v>0</v>
      </c>
      <c r="L408" s="661">
        <v>3.7340409967435519</v>
      </c>
      <c r="M408" s="661">
        <v>0</v>
      </c>
      <c r="N408" s="661">
        <v>16.919952753679041</v>
      </c>
      <c r="O408" s="661">
        <v>0.94371670975918176</v>
      </c>
      <c r="P408" s="661">
        <v>1.1499999999999999</v>
      </c>
      <c r="Q408" s="661">
        <v>1.5666563685107562</v>
      </c>
      <c r="R408" s="661">
        <v>7.7866370218848946</v>
      </c>
      <c r="S408" s="661">
        <v>0</v>
      </c>
      <c r="T408" s="661">
        <v>0.36062656029870238</v>
      </c>
      <c r="U408" s="669">
        <v>39.126839189033454</v>
      </c>
    </row>
    <row r="409" spans="3:21" x14ac:dyDescent="0.2">
      <c r="C409" s="668" t="s">
        <v>354</v>
      </c>
      <c r="D409" s="661">
        <v>0</v>
      </c>
      <c r="E409" s="661">
        <v>0</v>
      </c>
      <c r="F409" s="661">
        <v>0</v>
      </c>
      <c r="G409" s="661">
        <v>0</v>
      </c>
      <c r="H409" s="661">
        <v>0</v>
      </c>
      <c r="I409" s="661">
        <v>0</v>
      </c>
      <c r="J409" s="661">
        <v>0</v>
      </c>
      <c r="K409" s="661">
        <v>0</v>
      </c>
      <c r="L409" s="661">
        <v>0</v>
      </c>
      <c r="M409" s="661">
        <v>0</v>
      </c>
      <c r="N409" s="661">
        <v>0</v>
      </c>
      <c r="O409" s="661">
        <v>0</v>
      </c>
      <c r="P409" s="661">
        <v>0</v>
      </c>
      <c r="Q409" s="661">
        <v>0</v>
      </c>
      <c r="R409" s="661">
        <v>1.8912</v>
      </c>
      <c r="S409" s="661">
        <v>0</v>
      </c>
      <c r="T409" s="661">
        <v>0</v>
      </c>
      <c r="U409" s="669">
        <v>1.8912</v>
      </c>
    </row>
    <row r="410" spans="3:21" x14ac:dyDescent="0.2">
      <c r="C410" s="664" t="s">
        <v>83</v>
      </c>
      <c r="D410" s="665">
        <v>2.4027599556453909</v>
      </c>
      <c r="E410" s="665">
        <v>0</v>
      </c>
      <c r="F410" s="665">
        <v>37.464719318159553</v>
      </c>
      <c r="G410" s="665">
        <v>3.0882000348060163</v>
      </c>
      <c r="H410" s="673">
        <v>51.217862390799326</v>
      </c>
      <c r="I410" s="665">
        <v>0.67688804921761236</v>
      </c>
      <c r="J410" s="665">
        <v>0</v>
      </c>
      <c r="K410" s="665">
        <v>0</v>
      </c>
      <c r="L410" s="665">
        <v>55.925400303858773</v>
      </c>
      <c r="M410" s="665">
        <v>2.2930892627251551</v>
      </c>
      <c r="N410" s="665">
        <v>78.46688318615972</v>
      </c>
      <c r="O410" s="665">
        <v>60.960199676837377</v>
      </c>
      <c r="P410" s="665">
        <v>148.52009865212395</v>
      </c>
      <c r="Q410" s="665">
        <v>5.4580412340336313</v>
      </c>
      <c r="R410" s="665">
        <v>474.10316741385316</v>
      </c>
      <c r="S410" s="665">
        <v>62.943626270237907</v>
      </c>
      <c r="T410" s="665">
        <v>10.361311934738108</v>
      </c>
      <c r="U410" s="665">
        <v>993.8822476831956</v>
      </c>
    </row>
    <row r="411" spans="3:21" x14ac:dyDescent="0.2">
      <c r="C411" s="660" t="s">
        <v>84</v>
      </c>
      <c r="D411" s="661">
        <v>0</v>
      </c>
      <c r="E411" s="661">
        <v>0</v>
      </c>
      <c r="F411" s="661">
        <v>55.51811908375884</v>
      </c>
      <c r="G411" s="661">
        <v>7.0490044147499464</v>
      </c>
      <c r="H411" s="661">
        <v>5.5825875517318595</v>
      </c>
      <c r="I411" s="661">
        <v>0</v>
      </c>
      <c r="J411" s="661">
        <v>0</v>
      </c>
      <c r="K411" s="661">
        <v>0</v>
      </c>
      <c r="L411" s="661">
        <v>0.48256425190137814</v>
      </c>
      <c r="M411" s="661">
        <v>0</v>
      </c>
      <c r="N411" s="661">
        <v>17.896473357733768</v>
      </c>
      <c r="O411" s="661">
        <v>3.3065346740377066</v>
      </c>
      <c r="P411" s="661">
        <v>0</v>
      </c>
      <c r="Q411" s="661">
        <v>0</v>
      </c>
      <c r="R411" s="661">
        <v>0</v>
      </c>
      <c r="S411" s="661">
        <v>0</v>
      </c>
      <c r="T411" s="661">
        <v>28.74233427987765</v>
      </c>
      <c r="U411" s="669">
        <v>118.57761761379115</v>
      </c>
    </row>
    <row r="412" spans="3:21" x14ac:dyDescent="0.2">
      <c r="C412" s="664" t="s">
        <v>85</v>
      </c>
      <c r="D412" s="665">
        <v>2.4027599556453909</v>
      </c>
      <c r="E412" s="665">
        <v>0</v>
      </c>
      <c r="F412" s="665">
        <v>92.9828384019184</v>
      </c>
      <c r="G412" s="665">
        <v>10.137204449555963</v>
      </c>
      <c r="H412" s="673">
        <v>56.800449942531188</v>
      </c>
      <c r="I412" s="665">
        <v>0.67688804921761236</v>
      </c>
      <c r="J412" s="665">
        <v>0</v>
      </c>
      <c r="K412" s="665">
        <v>0</v>
      </c>
      <c r="L412" s="665">
        <v>56.407964555760152</v>
      </c>
      <c r="M412" s="665">
        <v>2.2930892627251551</v>
      </c>
      <c r="N412" s="665">
        <v>96.363356543893488</v>
      </c>
      <c r="O412" s="665">
        <v>64.266734350875069</v>
      </c>
      <c r="P412" s="665">
        <v>148.52009865212395</v>
      </c>
      <c r="Q412" s="665">
        <v>5.4580412340336313</v>
      </c>
      <c r="R412" s="665">
        <v>474.10316741385316</v>
      </c>
      <c r="S412" s="665">
        <v>62.943626270237907</v>
      </c>
      <c r="T412" s="665">
        <v>39.103646214615758</v>
      </c>
      <c r="U412" s="665">
        <v>1112.4598652969867</v>
      </c>
    </row>
    <row r="413" spans="3:21" x14ac:dyDescent="0.2">
      <c r="C413" s="652"/>
      <c r="D413" s="670">
        <v>0</v>
      </c>
      <c r="E413" s="670">
        <v>0</v>
      </c>
      <c r="F413" s="670">
        <v>0</v>
      </c>
      <c r="G413" s="670">
        <v>0</v>
      </c>
      <c r="H413" s="670">
        <v>0</v>
      </c>
      <c r="I413" s="670">
        <v>1.0408340855860843E-16</v>
      </c>
      <c r="J413" s="670">
        <v>0</v>
      </c>
      <c r="K413" s="670">
        <v>0</v>
      </c>
      <c r="L413" s="670">
        <v>0</v>
      </c>
      <c r="M413" s="670">
        <v>0</v>
      </c>
      <c r="N413" s="670">
        <v>1.1546319456101628E-14</v>
      </c>
      <c r="O413" s="670">
        <v>-3.1086244689504383E-14</v>
      </c>
      <c r="P413" s="670">
        <v>0</v>
      </c>
      <c r="Q413" s="670">
        <v>0</v>
      </c>
      <c r="R413" s="670">
        <v>0</v>
      </c>
      <c r="S413" s="670">
        <v>0</v>
      </c>
      <c r="T413" s="670">
        <v>0</v>
      </c>
      <c r="U413" s="670">
        <v>0</v>
      </c>
    </row>
    <row r="414" spans="3:21" x14ac:dyDescent="0.2">
      <c r="C414" s="652"/>
      <c r="D414" s="652"/>
      <c r="E414" s="652"/>
      <c r="F414" s="652"/>
      <c r="G414" s="652"/>
      <c r="H414" s="652"/>
      <c r="I414" s="652"/>
      <c r="J414" s="652"/>
      <c r="K414" s="652"/>
      <c r="L414" s="652"/>
      <c r="M414" s="652"/>
      <c r="N414" s="652"/>
      <c r="O414" s="652"/>
      <c r="P414" s="652"/>
      <c r="Q414" s="652"/>
      <c r="R414" s="652"/>
      <c r="S414" s="652"/>
      <c r="T414" s="652"/>
      <c r="U414" s="652"/>
    </row>
    <row r="415" spans="3:21" ht="15" x14ac:dyDescent="0.25">
      <c r="C415" s="656" t="s">
        <v>361</v>
      </c>
      <c r="D415" s="657"/>
      <c r="E415" s="657"/>
      <c r="F415" s="657"/>
      <c r="G415" s="657"/>
      <c r="H415" s="657"/>
      <c r="I415" s="657"/>
      <c r="J415" s="657"/>
      <c r="K415" s="657"/>
      <c r="L415" s="657"/>
      <c r="M415" s="657"/>
      <c r="N415" s="657"/>
      <c r="O415" s="657"/>
      <c r="P415" s="657"/>
      <c r="Q415" s="657"/>
      <c r="R415" s="657"/>
      <c r="S415" s="657"/>
      <c r="T415" s="657"/>
      <c r="U415" s="657"/>
    </row>
    <row r="416" spans="3:21" x14ac:dyDescent="0.2">
      <c r="C416" s="652"/>
      <c r="D416" s="652"/>
      <c r="E416" s="652"/>
      <c r="F416" s="652"/>
      <c r="G416" s="652"/>
      <c r="H416" s="652"/>
      <c r="I416" s="652"/>
      <c r="J416" s="652"/>
      <c r="K416" s="652"/>
      <c r="L416" s="652"/>
      <c r="M416" s="652"/>
      <c r="N416" s="652"/>
      <c r="O416" s="652"/>
      <c r="P416" s="652"/>
      <c r="Q416" s="652"/>
      <c r="R416" s="652"/>
      <c r="S416" s="652"/>
      <c r="T416" s="652"/>
      <c r="U416" s="652"/>
    </row>
    <row r="417" spans="3:21" x14ac:dyDescent="0.2">
      <c r="C417" s="773" t="s">
        <v>128</v>
      </c>
      <c r="D417" s="768" t="s">
        <v>42</v>
      </c>
      <c r="E417" s="768" t="s">
        <v>52</v>
      </c>
      <c r="F417" s="768" t="s">
        <v>53</v>
      </c>
      <c r="G417" s="768" t="s">
        <v>482</v>
      </c>
      <c r="H417" s="768" t="s">
        <v>32</v>
      </c>
      <c r="I417" s="768" t="s">
        <v>483</v>
      </c>
      <c r="J417" s="768" t="s">
        <v>20</v>
      </c>
      <c r="K417" s="768" t="s">
        <v>55</v>
      </c>
      <c r="L417" s="770" t="s">
        <v>56</v>
      </c>
      <c r="M417" s="771"/>
      <c r="N417" s="771"/>
      <c r="O417" s="771"/>
      <c r="P417" s="771"/>
      <c r="Q417" s="772"/>
      <c r="R417" s="768" t="s">
        <v>57</v>
      </c>
      <c r="S417" s="768" t="s">
        <v>58</v>
      </c>
      <c r="T417" s="768" t="s">
        <v>31</v>
      </c>
      <c r="U417" s="768" t="s">
        <v>10</v>
      </c>
    </row>
    <row r="418" spans="3:21" ht="36" x14ac:dyDescent="0.2">
      <c r="C418" s="774"/>
      <c r="D418" s="769"/>
      <c r="E418" s="769"/>
      <c r="F418" s="769"/>
      <c r="G418" s="769"/>
      <c r="H418" s="769"/>
      <c r="I418" s="769"/>
      <c r="J418" s="769"/>
      <c r="K418" s="769"/>
      <c r="L418" s="658" t="s">
        <v>335</v>
      </c>
      <c r="M418" s="658" t="s">
        <v>40</v>
      </c>
      <c r="N418" s="658" t="s">
        <v>343</v>
      </c>
      <c r="O418" s="658" t="s">
        <v>344</v>
      </c>
      <c r="P418" s="659" t="s">
        <v>345</v>
      </c>
      <c r="Q418" s="658" t="s">
        <v>346</v>
      </c>
      <c r="R418" s="769"/>
      <c r="S418" s="769"/>
      <c r="T418" s="769"/>
      <c r="U418" s="769"/>
    </row>
    <row r="419" spans="3:21" x14ac:dyDescent="0.2">
      <c r="C419" s="660" t="s">
        <v>59</v>
      </c>
      <c r="D419" s="661">
        <v>0</v>
      </c>
      <c r="E419" s="661">
        <v>0</v>
      </c>
      <c r="F419" s="661">
        <v>0</v>
      </c>
      <c r="G419" s="661">
        <v>0</v>
      </c>
      <c r="H419" s="661">
        <v>0</v>
      </c>
      <c r="I419" s="661">
        <v>0</v>
      </c>
      <c r="J419" s="662">
        <v>835.87348477446847</v>
      </c>
      <c r="K419" s="662">
        <v>433.2264513609648</v>
      </c>
      <c r="L419" s="662">
        <v>288.88340552324502</v>
      </c>
      <c r="M419" s="662">
        <v>22.07866786794175</v>
      </c>
      <c r="N419" s="661">
        <v>1.6797912871987437</v>
      </c>
      <c r="O419" s="661">
        <v>0.17065445399605614</v>
      </c>
      <c r="P419" s="662">
        <v>155.82057805919561</v>
      </c>
      <c r="Q419" s="662">
        <v>23.487215011212861</v>
      </c>
      <c r="R419" s="661">
        <v>0</v>
      </c>
      <c r="S419" s="661">
        <v>0</v>
      </c>
      <c r="T419" s="661">
        <v>0</v>
      </c>
      <c r="U419" s="663">
        <v>1761.2202483382232</v>
      </c>
    </row>
    <row r="420" spans="3:21" x14ac:dyDescent="0.2">
      <c r="C420" s="660" t="s">
        <v>60</v>
      </c>
      <c r="D420" s="661">
        <v>9.1088960408946864</v>
      </c>
      <c r="E420" s="661">
        <v>190.65660017812178</v>
      </c>
      <c r="F420" s="661">
        <v>2.9590354993625017</v>
      </c>
      <c r="G420" s="661">
        <v>0</v>
      </c>
      <c r="H420" s="661">
        <v>52.772371882452688</v>
      </c>
      <c r="I420" s="661">
        <v>0</v>
      </c>
      <c r="J420" s="661">
        <v>0</v>
      </c>
      <c r="K420" s="661">
        <v>0</v>
      </c>
      <c r="L420" s="661">
        <v>4.8125993033158778</v>
      </c>
      <c r="M420" s="661">
        <v>0</v>
      </c>
      <c r="N420" s="661">
        <v>5.0080801377734332</v>
      </c>
      <c r="O420" s="661">
        <v>0</v>
      </c>
      <c r="P420" s="661">
        <v>0</v>
      </c>
      <c r="Q420" s="661">
        <v>0</v>
      </c>
      <c r="R420" s="661">
        <v>0</v>
      </c>
      <c r="S420" s="661">
        <v>0</v>
      </c>
      <c r="T420" s="661">
        <v>0</v>
      </c>
      <c r="U420" s="663">
        <v>265.31758304192095</v>
      </c>
    </row>
    <row r="421" spans="3:21" x14ac:dyDescent="0.2">
      <c r="C421" s="660" t="s">
        <v>61</v>
      </c>
      <c r="D421" s="661">
        <v>0</v>
      </c>
      <c r="E421" s="661">
        <v>0</v>
      </c>
      <c r="F421" s="661">
        <v>-67.846394386464354</v>
      </c>
      <c r="G421" s="661">
        <v>-3.5527136788005009E-15</v>
      </c>
      <c r="H421" s="661">
        <v>0</v>
      </c>
      <c r="I421" s="661">
        <v>0</v>
      </c>
      <c r="J421" s="661">
        <v>0</v>
      </c>
      <c r="K421" s="661">
        <v>0</v>
      </c>
      <c r="L421" s="661">
        <v>0</v>
      </c>
      <c r="M421" s="661">
        <v>0</v>
      </c>
      <c r="N421" s="661">
        <v>0</v>
      </c>
      <c r="O421" s="661">
        <v>0</v>
      </c>
      <c r="P421" s="661">
        <v>0</v>
      </c>
      <c r="Q421" s="661">
        <v>0</v>
      </c>
      <c r="R421" s="661">
        <v>-40.00031821738844</v>
      </c>
      <c r="S421" s="661">
        <v>0</v>
      </c>
      <c r="T421" s="661">
        <v>0</v>
      </c>
      <c r="U421" s="663">
        <v>-107.84671260385279</v>
      </c>
    </row>
    <row r="422" spans="3:21" x14ac:dyDescent="0.2">
      <c r="C422" s="660" t="s">
        <v>62</v>
      </c>
      <c r="D422" s="661">
        <v>0</v>
      </c>
      <c r="E422" s="661">
        <v>0</v>
      </c>
      <c r="F422" s="661">
        <v>-5.3541729526260253</v>
      </c>
      <c r="G422" s="661">
        <v>-3.2544454489343884</v>
      </c>
      <c r="H422" s="661">
        <v>-2.154938128893316</v>
      </c>
      <c r="I422" s="661">
        <v>-5.5254823817777333E-2</v>
      </c>
      <c r="J422" s="661">
        <v>0</v>
      </c>
      <c r="K422" s="661">
        <v>0</v>
      </c>
      <c r="L422" s="661">
        <v>0</v>
      </c>
      <c r="M422" s="661">
        <v>0</v>
      </c>
      <c r="N422" s="661">
        <v>-0.28299525642907725</v>
      </c>
      <c r="O422" s="661">
        <v>-3.3152894290666399</v>
      </c>
      <c r="P422" s="661">
        <v>0</v>
      </c>
      <c r="Q422" s="661">
        <v>0</v>
      </c>
      <c r="R422" s="661">
        <v>0</v>
      </c>
      <c r="S422" s="661">
        <v>0</v>
      </c>
      <c r="T422" s="661">
        <v>0</v>
      </c>
      <c r="U422" s="663">
        <v>-14.417096039767225</v>
      </c>
    </row>
    <row r="423" spans="3:21" x14ac:dyDescent="0.2">
      <c r="C423" s="660" t="s">
        <v>63</v>
      </c>
      <c r="D423" s="661">
        <v>0</v>
      </c>
      <c r="E423" s="661">
        <v>0</v>
      </c>
      <c r="F423" s="661">
        <v>-38.578656039955483</v>
      </c>
      <c r="G423" s="661">
        <v>-13.893394907220655</v>
      </c>
      <c r="H423" s="661">
        <v>0</v>
      </c>
      <c r="I423" s="661">
        <v>0</v>
      </c>
      <c r="J423" s="661">
        <v>0</v>
      </c>
      <c r="K423" s="661">
        <v>0</v>
      </c>
      <c r="L423" s="661">
        <v>0</v>
      </c>
      <c r="M423" s="661">
        <v>0</v>
      </c>
      <c r="N423" s="661">
        <v>-13.893394907220655</v>
      </c>
      <c r="O423" s="661">
        <v>0</v>
      </c>
      <c r="P423" s="661">
        <v>0</v>
      </c>
      <c r="Q423" s="661">
        <v>0</v>
      </c>
      <c r="R423" s="661">
        <v>0</v>
      </c>
      <c r="S423" s="661">
        <v>0</v>
      </c>
      <c r="T423" s="661">
        <v>-1.3953345659196588</v>
      </c>
      <c r="U423" s="663">
        <v>-67.760780420316451</v>
      </c>
    </row>
    <row r="424" spans="3:21" x14ac:dyDescent="0.2">
      <c r="C424" s="660" t="s">
        <v>64</v>
      </c>
      <c r="D424" s="661">
        <v>0</v>
      </c>
      <c r="E424" s="661">
        <v>0</v>
      </c>
      <c r="F424" s="661">
        <v>0</v>
      </c>
      <c r="G424" s="661">
        <v>0</v>
      </c>
      <c r="H424" s="661">
        <v>0</v>
      </c>
      <c r="I424" s="661">
        <v>0</v>
      </c>
      <c r="J424" s="661">
        <v>0</v>
      </c>
      <c r="K424" s="661">
        <v>0</v>
      </c>
      <c r="L424" s="661">
        <v>0</v>
      </c>
      <c r="M424" s="661">
        <v>0</v>
      </c>
      <c r="N424" s="661">
        <v>0</v>
      </c>
      <c r="O424" s="661">
        <v>0</v>
      </c>
      <c r="P424" s="661">
        <v>0</v>
      </c>
      <c r="Q424" s="661">
        <v>0</v>
      </c>
      <c r="R424" s="661">
        <v>0</v>
      </c>
      <c r="S424" s="661">
        <v>0</v>
      </c>
      <c r="T424" s="661">
        <v>0</v>
      </c>
      <c r="U424" s="663">
        <v>0</v>
      </c>
    </row>
    <row r="425" spans="3:21" x14ac:dyDescent="0.2">
      <c r="C425" s="664" t="s">
        <v>65</v>
      </c>
      <c r="D425" s="665">
        <v>9.1088960408946864</v>
      </c>
      <c r="E425" s="665">
        <v>190.65660017812178</v>
      </c>
      <c r="F425" s="665">
        <v>-108.82018787968336</v>
      </c>
      <c r="G425" s="665">
        <v>-17.147840356155047</v>
      </c>
      <c r="H425" s="673">
        <v>50.617433753559375</v>
      </c>
      <c r="I425" s="665">
        <v>-5.5254823817777333E-2</v>
      </c>
      <c r="J425" s="665">
        <v>835.87348477446847</v>
      </c>
      <c r="K425" s="665">
        <v>433.2264513609648</v>
      </c>
      <c r="L425" s="665">
        <v>293.69600482656091</v>
      </c>
      <c r="M425" s="665">
        <v>22.07866786794175</v>
      </c>
      <c r="N425" s="665">
        <v>-7.4885187386775538</v>
      </c>
      <c r="O425" s="665">
        <v>-3.1446349750705838</v>
      </c>
      <c r="P425" s="665">
        <v>155.82057805919561</v>
      </c>
      <c r="Q425" s="665">
        <v>23.487215011212861</v>
      </c>
      <c r="R425" s="665">
        <v>-40.00031821738844</v>
      </c>
      <c r="S425" s="665">
        <v>0</v>
      </c>
      <c r="T425" s="665">
        <v>-1.3953345659196588</v>
      </c>
      <c r="U425" s="665">
        <v>1836.5132423162074</v>
      </c>
    </row>
    <row r="426" spans="3:21" x14ac:dyDescent="0.2">
      <c r="C426" s="666"/>
      <c r="D426" s="667">
        <v>0</v>
      </c>
      <c r="E426" s="667">
        <v>0</v>
      </c>
      <c r="F426" s="667">
        <v>0</v>
      </c>
      <c r="G426" s="667">
        <v>0</v>
      </c>
      <c r="H426" s="674">
        <v>0</v>
      </c>
      <c r="I426" s="667">
        <v>0</v>
      </c>
      <c r="J426" s="667">
        <v>0</v>
      </c>
      <c r="K426" s="667">
        <v>0</v>
      </c>
      <c r="L426" s="667">
        <v>0</v>
      </c>
      <c r="M426" s="667">
        <v>0</v>
      </c>
      <c r="N426" s="667">
        <v>0</v>
      </c>
      <c r="O426" s="667">
        <v>0</v>
      </c>
      <c r="P426" s="667">
        <v>0</v>
      </c>
      <c r="Q426" s="667">
        <v>0</v>
      </c>
      <c r="R426" s="667">
        <v>0</v>
      </c>
      <c r="S426" s="667">
        <v>0</v>
      </c>
      <c r="T426" s="667">
        <v>0</v>
      </c>
      <c r="U426" s="667">
        <v>0</v>
      </c>
    </row>
    <row r="427" spans="3:21" x14ac:dyDescent="0.2">
      <c r="C427" s="668" t="s">
        <v>67</v>
      </c>
      <c r="D427" s="661">
        <v>0</v>
      </c>
      <c r="E427" s="661">
        <v>0</v>
      </c>
      <c r="F427" s="661">
        <v>0</v>
      </c>
      <c r="G427" s="661">
        <v>0</v>
      </c>
      <c r="H427" s="661">
        <v>0</v>
      </c>
      <c r="I427" s="661">
        <v>0</v>
      </c>
      <c r="J427" s="661">
        <v>0</v>
      </c>
      <c r="K427" s="661">
        <v>0</v>
      </c>
      <c r="L427" s="661">
        <v>0</v>
      </c>
      <c r="M427" s="661">
        <v>0</v>
      </c>
      <c r="N427" s="661">
        <v>0</v>
      </c>
      <c r="O427" s="661">
        <v>0</v>
      </c>
      <c r="P427" s="661">
        <v>0</v>
      </c>
      <c r="Q427" s="661">
        <v>0</v>
      </c>
      <c r="R427" s="661">
        <v>0</v>
      </c>
      <c r="S427" s="661">
        <v>0</v>
      </c>
      <c r="T427" s="661">
        <v>0</v>
      </c>
      <c r="U427" s="669">
        <v>0</v>
      </c>
    </row>
    <row r="428" spans="3:21" x14ac:dyDescent="0.2">
      <c r="C428" s="668" t="s">
        <v>347</v>
      </c>
      <c r="D428" s="661">
        <v>0</v>
      </c>
      <c r="E428" s="661">
        <v>0</v>
      </c>
      <c r="F428" s="661">
        <v>0</v>
      </c>
      <c r="G428" s="661">
        <v>0</v>
      </c>
      <c r="H428" s="661">
        <v>0</v>
      </c>
      <c r="I428" s="661">
        <v>0</v>
      </c>
      <c r="J428" s="661">
        <v>835.87348477446847</v>
      </c>
      <c r="K428" s="661">
        <v>433.2264513609648</v>
      </c>
      <c r="L428" s="661">
        <v>14.188154051569427</v>
      </c>
      <c r="M428" s="661">
        <v>5.3742483693021068</v>
      </c>
      <c r="N428" s="661">
        <v>6.3451610040287907</v>
      </c>
      <c r="O428" s="661">
        <v>0.11419280490868838</v>
      </c>
      <c r="P428" s="661">
        <v>0</v>
      </c>
      <c r="Q428" s="661">
        <v>6.4766550958451852</v>
      </c>
      <c r="R428" s="661">
        <v>-726.93629039774203</v>
      </c>
      <c r="S428" s="661">
        <v>0</v>
      </c>
      <c r="T428" s="661">
        <v>11.298964449788109</v>
      </c>
      <c r="U428" s="669">
        <v>585.96102151313323</v>
      </c>
    </row>
    <row r="429" spans="3:21" x14ac:dyDescent="0.2">
      <c r="C429" s="668" t="s">
        <v>348</v>
      </c>
      <c r="D429" s="661">
        <v>0</v>
      </c>
      <c r="E429" s="661">
        <v>0</v>
      </c>
      <c r="F429" s="661">
        <v>0</v>
      </c>
      <c r="G429" s="661">
        <v>0</v>
      </c>
      <c r="H429" s="661">
        <v>3.2711110414405256</v>
      </c>
      <c r="I429" s="661">
        <v>0</v>
      </c>
      <c r="J429" s="661">
        <v>0</v>
      </c>
      <c r="K429" s="661">
        <v>0</v>
      </c>
      <c r="L429" s="661">
        <v>34.963821149394811</v>
      </c>
      <c r="M429" s="661">
        <v>14.476121269049287</v>
      </c>
      <c r="N429" s="661">
        <v>0</v>
      </c>
      <c r="O429" s="661">
        <v>7.6477038720835147</v>
      </c>
      <c r="P429" s="661">
        <v>0</v>
      </c>
      <c r="Q429" s="661">
        <v>11.276034288959668</v>
      </c>
      <c r="R429" s="661">
        <v>0</v>
      </c>
      <c r="S429" s="661">
        <v>-67.494467143680438</v>
      </c>
      <c r="T429" s="661">
        <v>0</v>
      </c>
      <c r="U429" s="669">
        <v>4.1403244772473649</v>
      </c>
    </row>
    <row r="430" spans="3:21" x14ac:dyDescent="0.2">
      <c r="C430" s="668" t="s">
        <v>349</v>
      </c>
      <c r="D430" s="661">
        <v>0</v>
      </c>
      <c r="E430" s="661">
        <v>0</v>
      </c>
      <c r="F430" s="661">
        <v>0</v>
      </c>
      <c r="G430" s="661">
        <v>0</v>
      </c>
      <c r="H430" s="661">
        <v>0</v>
      </c>
      <c r="I430" s="661">
        <v>0</v>
      </c>
      <c r="J430" s="661">
        <v>0</v>
      </c>
      <c r="K430" s="661">
        <v>0</v>
      </c>
      <c r="L430" s="661">
        <v>85.030807044207506</v>
      </c>
      <c r="M430" s="661">
        <v>0</v>
      </c>
      <c r="N430" s="661">
        <v>0</v>
      </c>
      <c r="O430" s="661">
        <v>-80.149276434896436</v>
      </c>
      <c r="P430" s="661">
        <v>0</v>
      </c>
      <c r="Q430" s="661">
        <v>0</v>
      </c>
      <c r="R430" s="661">
        <v>0</v>
      </c>
      <c r="S430" s="661">
        <v>0</v>
      </c>
      <c r="T430" s="661">
        <v>0</v>
      </c>
      <c r="U430" s="669">
        <v>4.8815306093110706</v>
      </c>
    </row>
    <row r="431" spans="3:21" x14ac:dyDescent="0.2">
      <c r="C431" s="668" t="s">
        <v>350</v>
      </c>
      <c r="D431" s="661">
        <v>0</v>
      </c>
      <c r="E431" s="661">
        <v>0</v>
      </c>
      <c r="F431" s="661">
        <v>0</v>
      </c>
      <c r="G431" s="661">
        <v>0</v>
      </c>
      <c r="H431" s="661">
        <v>0</v>
      </c>
      <c r="I431" s="661">
        <v>-1.1466991714325052</v>
      </c>
      <c r="J431" s="661">
        <v>0</v>
      </c>
      <c r="K431" s="661">
        <v>0</v>
      </c>
      <c r="L431" s="661">
        <v>0</v>
      </c>
      <c r="M431" s="661">
        <v>0</v>
      </c>
      <c r="N431" s="661">
        <v>0</v>
      </c>
      <c r="O431" s="661">
        <v>0</v>
      </c>
      <c r="P431" s="661">
        <v>0</v>
      </c>
      <c r="Q431" s="661">
        <v>0</v>
      </c>
      <c r="R431" s="661">
        <v>0</v>
      </c>
      <c r="S431" s="661">
        <v>0</v>
      </c>
      <c r="T431" s="661">
        <v>1.5966000387788533</v>
      </c>
      <c r="U431" s="669">
        <v>0.44990086734634804</v>
      </c>
    </row>
    <row r="432" spans="3:21" x14ac:dyDescent="0.2">
      <c r="C432" s="668" t="s">
        <v>72</v>
      </c>
      <c r="D432" s="661">
        <v>0</v>
      </c>
      <c r="E432" s="661">
        <v>197.54631533572405</v>
      </c>
      <c r="F432" s="661">
        <v>-195.57532355071015</v>
      </c>
      <c r="G432" s="661">
        <v>0</v>
      </c>
      <c r="H432" s="661">
        <v>0</v>
      </c>
      <c r="I432" s="661">
        <v>0</v>
      </c>
      <c r="J432" s="661">
        <v>0</v>
      </c>
      <c r="K432" s="661">
        <v>0</v>
      </c>
      <c r="L432" s="661">
        <v>0</v>
      </c>
      <c r="M432" s="661">
        <v>0</v>
      </c>
      <c r="N432" s="661">
        <v>0</v>
      </c>
      <c r="O432" s="661">
        <v>0</v>
      </c>
      <c r="P432" s="661">
        <v>0</v>
      </c>
      <c r="Q432" s="661">
        <v>0</v>
      </c>
      <c r="R432" s="661">
        <v>0</v>
      </c>
      <c r="S432" s="661">
        <v>0</v>
      </c>
      <c r="T432" s="661">
        <v>0</v>
      </c>
      <c r="U432" s="669">
        <v>1.9709917850139052</v>
      </c>
    </row>
    <row r="433" spans="3:21" x14ac:dyDescent="0.2">
      <c r="C433" s="668" t="s">
        <v>351</v>
      </c>
      <c r="D433" s="661">
        <v>0</v>
      </c>
      <c r="E433" s="661">
        <v>0</v>
      </c>
      <c r="F433" s="661">
        <v>0</v>
      </c>
      <c r="G433" s="661">
        <v>0</v>
      </c>
      <c r="H433" s="661">
        <v>0</v>
      </c>
      <c r="I433" s="661">
        <v>0</v>
      </c>
      <c r="J433" s="661">
        <v>0</v>
      </c>
      <c r="K433" s="661">
        <v>0</v>
      </c>
      <c r="L433" s="661">
        <v>104.32434467350188</v>
      </c>
      <c r="M433" s="661">
        <v>0</v>
      </c>
      <c r="N433" s="661">
        <v>-104.32434467350188</v>
      </c>
      <c r="O433" s="661">
        <v>0</v>
      </c>
      <c r="P433" s="661">
        <v>0</v>
      </c>
      <c r="Q433" s="661">
        <v>0</v>
      </c>
      <c r="R433" s="661">
        <v>0</v>
      </c>
      <c r="S433" s="661">
        <v>0</v>
      </c>
      <c r="T433" s="661">
        <v>0</v>
      </c>
      <c r="U433" s="669">
        <v>0</v>
      </c>
    </row>
    <row r="434" spans="3:21" x14ac:dyDescent="0.2">
      <c r="C434" s="668" t="s">
        <v>352</v>
      </c>
      <c r="D434" s="661">
        <v>0</v>
      </c>
      <c r="E434" s="661">
        <v>0</v>
      </c>
      <c r="F434" s="661">
        <v>0</v>
      </c>
      <c r="G434" s="661">
        <v>-28.456538558191252</v>
      </c>
      <c r="H434" s="661">
        <v>0</v>
      </c>
      <c r="I434" s="661">
        <v>0</v>
      </c>
      <c r="J434" s="661">
        <v>0</v>
      </c>
      <c r="K434" s="661">
        <v>0</v>
      </c>
      <c r="L434" s="661">
        <v>0</v>
      </c>
      <c r="M434" s="661">
        <v>0</v>
      </c>
      <c r="N434" s="661">
        <v>0</v>
      </c>
      <c r="O434" s="661">
        <v>0</v>
      </c>
      <c r="P434" s="661">
        <v>0</v>
      </c>
      <c r="Q434" s="661">
        <v>0</v>
      </c>
      <c r="R434" s="661">
        <v>0</v>
      </c>
      <c r="S434" s="661">
        <v>0</v>
      </c>
      <c r="T434" s="661">
        <v>39.633062058762192</v>
      </c>
      <c r="U434" s="669">
        <v>11.176523500570941</v>
      </c>
    </row>
    <row r="435" spans="3:21" x14ac:dyDescent="0.2">
      <c r="C435" s="668" t="s">
        <v>73</v>
      </c>
      <c r="D435" s="661">
        <v>0</v>
      </c>
      <c r="E435" s="661">
        <v>0</v>
      </c>
      <c r="F435" s="661">
        <v>0</v>
      </c>
      <c r="G435" s="661">
        <v>0</v>
      </c>
      <c r="H435" s="661">
        <v>0</v>
      </c>
      <c r="I435" s="661">
        <v>0</v>
      </c>
      <c r="J435" s="661">
        <v>0</v>
      </c>
      <c r="K435" s="661">
        <v>0</v>
      </c>
      <c r="L435" s="661">
        <v>0</v>
      </c>
      <c r="M435" s="661">
        <v>0</v>
      </c>
      <c r="N435" s="661">
        <v>0</v>
      </c>
      <c r="O435" s="661">
        <v>0</v>
      </c>
      <c r="P435" s="661">
        <v>0</v>
      </c>
      <c r="Q435" s="661">
        <v>0</v>
      </c>
      <c r="R435" s="661">
        <v>137.29765828865015</v>
      </c>
      <c r="S435" s="661">
        <v>0</v>
      </c>
      <c r="T435" s="661">
        <v>-96.451604947776744</v>
      </c>
      <c r="U435" s="669">
        <v>40.846053340873411</v>
      </c>
    </row>
    <row r="436" spans="3:21" x14ac:dyDescent="0.2">
      <c r="C436" s="668" t="s">
        <v>353</v>
      </c>
      <c r="D436" s="661">
        <v>5.0092797656249992</v>
      </c>
      <c r="E436" s="661">
        <v>-6.8897151576022866</v>
      </c>
      <c r="F436" s="661">
        <v>8.9891621815142653</v>
      </c>
      <c r="G436" s="661">
        <v>0</v>
      </c>
      <c r="H436" s="661">
        <v>0</v>
      </c>
      <c r="I436" s="661">
        <v>0</v>
      </c>
      <c r="J436" s="661">
        <v>0</v>
      </c>
      <c r="K436" s="661">
        <v>0</v>
      </c>
      <c r="L436" s="661">
        <v>0</v>
      </c>
      <c r="M436" s="661">
        <v>0</v>
      </c>
      <c r="N436" s="661">
        <v>0</v>
      </c>
      <c r="O436" s="661">
        <v>0</v>
      </c>
      <c r="P436" s="661">
        <v>0</v>
      </c>
      <c r="Q436" s="661">
        <v>0</v>
      </c>
      <c r="R436" s="661">
        <v>0</v>
      </c>
      <c r="S436" s="661">
        <v>0</v>
      </c>
      <c r="T436" s="661">
        <v>0</v>
      </c>
      <c r="U436" s="669">
        <v>7.1087267895369788</v>
      </c>
    </row>
    <row r="437" spans="3:21" x14ac:dyDescent="0.2">
      <c r="C437" s="668" t="s">
        <v>75</v>
      </c>
      <c r="D437" s="661">
        <v>1.9480532421875001</v>
      </c>
      <c r="E437" s="661">
        <v>0</v>
      </c>
      <c r="F437" s="661">
        <v>17.132121990826434</v>
      </c>
      <c r="G437" s="661">
        <v>0</v>
      </c>
      <c r="H437" s="661">
        <v>1.9377811160090992</v>
      </c>
      <c r="I437" s="661">
        <v>4.9686695282284594E-2</v>
      </c>
      <c r="J437" s="661">
        <v>0</v>
      </c>
      <c r="K437" s="661">
        <v>0</v>
      </c>
      <c r="L437" s="661">
        <v>0</v>
      </c>
      <c r="M437" s="661">
        <v>0</v>
      </c>
      <c r="N437" s="661">
        <v>0</v>
      </c>
      <c r="O437" s="661">
        <v>2.9812017169370755</v>
      </c>
      <c r="P437" s="661">
        <v>0</v>
      </c>
      <c r="Q437" s="661">
        <v>0</v>
      </c>
      <c r="R437" s="661">
        <v>20.439487728936754</v>
      </c>
      <c r="S437" s="661">
        <v>0</v>
      </c>
      <c r="T437" s="661">
        <v>0</v>
      </c>
      <c r="U437" s="669">
        <v>44.488332490179147</v>
      </c>
    </row>
    <row r="438" spans="3:21" x14ac:dyDescent="0.2">
      <c r="C438" s="668" t="s">
        <v>76</v>
      </c>
      <c r="D438" s="661">
        <v>0</v>
      </c>
      <c r="E438" s="661">
        <v>0</v>
      </c>
      <c r="F438" s="661">
        <v>0</v>
      </c>
      <c r="G438" s="661">
        <v>0</v>
      </c>
      <c r="H438" s="661">
        <v>0.58071595304039991</v>
      </c>
      <c r="I438" s="661">
        <v>1.4890152642061536E-2</v>
      </c>
      <c r="J438" s="661">
        <v>0</v>
      </c>
      <c r="K438" s="661">
        <v>0</v>
      </c>
      <c r="L438" s="661">
        <v>0</v>
      </c>
      <c r="M438" s="661">
        <v>0</v>
      </c>
      <c r="N438" s="661">
        <v>0</v>
      </c>
      <c r="O438" s="661">
        <v>0.89340915852369218</v>
      </c>
      <c r="P438" s="661">
        <v>0</v>
      </c>
      <c r="Q438" s="661">
        <v>0</v>
      </c>
      <c r="R438" s="661">
        <v>52.564064229351587</v>
      </c>
      <c r="S438" s="661">
        <v>5.2350040213197584</v>
      </c>
      <c r="T438" s="661">
        <v>0</v>
      </c>
      <c r="U438" s="669">
        <v>59.288083514877499</v>
      </c>
    </row>
    <row r="439" spans="3:21" x14ac:dyDescent="0.2">
      <c r="C439" s="664" t="s">
        <v>77</v>
      </c>
      <c r="D439" s="665">
        <v>6.9573330078124993</v>
      </c>
      <c r="E439" s="665">
        <v>190.65660017812178</v>
      </c>
      <c r="F439" s="665">
        <v>-169.45403937836946</v>
      </c>
      <c r="G439" s="665">
        <v>-28.456538558191252</v>
      </c>
      <c r="H439" s="673">
        <v>5.7896081104900246</v>
      </c>
      <c r="I439" s="665">
        <v>-1.0821223235081592</v>
      </c>
      <c r="J439" s="665">
        <v>835.87348477446847</v>
      </c>
      <c r="K439" s="665">
        <v>433.2264513609648</v>
      </c>
      <c r="L439" s="665">
        <v>238.50712691867363</v>
      </c>
      <c r="M439" s="665">
        <v>19.850369638351395</v>
      </c>
      <c r="N439" s="665">
        <v>-97.979183669473088</v>
      </c>
      <c r="O439" s="665">
        <v>-68.512768882443467</v>
      </c>
      <c r="P439" s="665">
        <v>0</v>
      </c>
      <c r="Q439" s="665">
        <v>17.752689384804853</v>
      </c>
      <c r="R439" s="665">
        <v>-516.63508015080356</v>
      </c>
      <c r="S439" s="665">
        <v>-62.259463122360671</v>
      </c>
      <c r="T439" s="665">
        <v>-43.92297840044759</v>
      </c>
      <c r="U439" s="665">
        <v>760.31148888809003</v>
      </c>
    </row>
    <row r="440" spans="3:21" x14ac:dyDescent="0.2">
      <c r="C440" s="666"/>
      <c r="D440" s="667">
        <v>0</v>
      </c>
      <c r="E440" s="667">
        <v>0</v>
      </c>
      <c r="F440" s="667">
        <v>0</v>
      </c>
      <c r="G440" s="667">
        <v>0</v>
      </c>
      <c r="H440" s="674">
        <v>0</v>
      </c>
      <c r="I440" s="667">
        <v>0</v>
      </c>
      <c r="J440" s="667">
        <v>0</v>
      </c>
      <c r="K440" s="667">
        <v>0</v>
      </c>
      <c r="L440" s="667">
        <v>0</v>
      </c>
      <c r="M440" s="667">
        <v>0</v>
      </c>
      <c r="N440" s="667">
        <v>0</v>
      </c>
      <c r="O440" s="667">
        <v>0</v>
      </c>
      <c r="P440" s="667">
        <v>0</v>
      </c>
      <c r="Q440" s="667">
        <v>0</v>
      </c>
      <c r="R440" s="667">
        <v>0</v>
      </c>
      <c r="S440" s="667">
        <v>0</v>
      </c>
      <c r="T440" s="667">
        <v>0</v>
      </c>
      <c r="U440" s="667">
        <v>0</v>
      </c>
    </row>
    <row r="441" spans="3:21" x14ac:dyDescent="0.2">
      <c r="C441" s="668" t="s">
        <v>78</v>
      </c>
      <c r="D441" s="661">
        <v>2.1515630330821871</v>
      </c>
      <c r="E441" s="661">
        <v>0</v>
      </c>
      <c r="F441" s="661">
        <v>1.9729303012498745</v>
      </c>
      <c r="G441" s="661">
        <v>0</v>
      </c>
      <c r="H441" s="661">
        <v>17.624600662262115</v>
      </c>
      <c r="I441" s="661">
        <v>0.45191283749390032</v>
      </c>
      <c r="J441" s="661">
        <v>0</v>
      </c>
      <c r="K441" s="661">
        <v>0</v>
      </c>
      <c r="L441" s="661">
        <v>19.327819378703428</v>
      </c>
      <c r="M441" s="661">
        <v>2.2279514023281117</v>
      </c>
      <c r="N441" s="661">
        <v>2.6644658203125</v>
      </c>
      <c r="O441" s="661">
        <v>27.156120456665761</v>
      </c>
      <c r="P441" s="661">
        <v>9.6085478515625002</v>
      </c>
      <c r="Q441" s="661">
        <v>8.4299170840015686E-4</v>
      </c>
      <c r="R441" s="661">
        <v>135.80773886663795</v>
      </c>
      <c r="S441" s="661">
        <v>18.436108583667494</v>
      </c>
      <c r="T441" s="661">
        <v>6.3938178710937503</v>
      </c>
      <c r="U441" s="669">
        <v>243.82442005676796</v>
      </c>
    </row>
    <row r="442" spans="3:21" x14ac:dyDescent="0.2">
      <c r="C442" s="668" t="s">
        <v>79</v>
      </c>
      <c r="D442" s="661">
        <v>0</v>
      </c>
      <c r="E442" s="661">
        <v>0</v>
      </c>
      <c r="F442" s="661">
        <v>5.1934680094593588</v>
      </c>
      <c r="G442" s="661">
        <v>1.7577012997845347</v>
      </c>
      <c r="H442" s="661">
        <v>2.152977175631825</v>
      </c>
      <c r="I442" s="661">
        <v>5.5204542964918585E-2</v>
      </c>
      <c r="J442" s="661">
        <v>0</v>
      </c>
      <c r="K442" s="661">
        <v>0</v>
      </c>
      <c r="L442" s="661">
        <v>0</v>
      </c>
      <c r="M442" s="661">
        <v>0</v>
      </c>
      <c r="N442" s="661">
        <v>51.143075106834317</v>
      </c>
      <c r="O442" s="661">
        <v>3.312272577895115</v>
      </c>
      <c r="P442" s="661">
        <v>0</v>
      </c>
      <c r="Q442" s="661">
        <v>0</v>
      </c>
      <c r="R442" s="661">
        <v>104.19646172854269</v>
      </c>
      <c r="S442" s="661">
        <v>0</v>
      </c>
      <c r="T442" s="661">
        <v>4.7641609973157095</v>
      </c>
      <c r="U442" s="669">
        <v>172.57532143842849</v>
      </c>
    </row>
    <row r="443" spans="3:21" x14ac:dyDescent="0.2">
      <c r="C443" s="668" t="s">
        <v>80</v>
      </c>
      <c r="D443" s="661">
        <v>0</v>
      </c>
      <c r="E443" s="661">
        <v>0</v>
      </c>
      <c r="F443" s="661">
        <v>0.32079919308121357</v>
      </c>
      <c r="G443" s="661">
        <v>0</v>
      </c>
      <c r="H443" s="661">
        <v>12.69993934515486</v>
      </c>
      <c r="I443" s="661">
        <v>0.32563947038858615</v>
      </c>
      <c r="J443" s="661">
        <v>0</v>
      </c>
      <c r="K443" s="661">
        <v>0</v>
      </c>
      <c r="L443" s="661">
        <v>30.989297403436193</v>
      </c>
      <c r="M443" s="661">
        <v>0</v>
      </c>
      <c r="N443" s="661">
        <v>0</v>
      </c>
      <c r="O443" s="661">
        <v>19.538368223315167</v>
      </c>
      <c r="P443" s="661">
        <v>117.54725011788614</v>
      </c>
      <c r="Q443" s="661">
        <v>2.9888036499995505</v>
      </c>
      <c r="R443" s="661">
        <v>139.69858105781077</v>
      </c>
      <c r="S443" s="661">
        <v>24.846536847991327</v>
      </c>
      <c r="T443" s="661">
        <v>0</v>
      </c>
      <c r="U443" s="669">
        <v>348.95521530906382</v>
      </c>
    </row>
    <row r="444" spans="3:21" x14ac:dyDescent="0.2">
      <c r="C444" s="668" t="s">
        <v>81</v>
      </c>
      <c r="D444" s="661">
        <v>0</v>
      </c>
      <c r="E444" s="661">
        <v>0</v>
      </c>
      <c r="F444" s="661">
        <v>0.73542128008657859</v>
      </c>
      <c r="G444" s="661">
        <v>0</v>
      </c>
      <c r="H444" s="661">
        <v>6.9022329775494073</v>
      </c>
      <c r="I444" s="661">
        <v>0.17698033275767711</v>
      </c>
      <c r="J444" s="661">
        <v>0</v>
      </c>
      <c r="K444" s="661">
        <v>0</v>
      </c>
      <c r="L444" s="661">
        <v>0.37326901233115406</v>
      </c>
      <c r="M444" s="661">
        <v>3.4682726224379159E-4</v>
      </c>
      <c r="N444" s="661">
        <v>0</v>
      </c>
      <c r="O444" s="661">
        <v>10.618819965460625</v>
      </c>
      <c r="P444" s="661">
        <v>27.414780089746973</v>
      </c>
      <c r="Q444" s="661">
        <v>1.0008652914522365</v>
      </c>
      <c r="R444" s="661">
        <v>86.91432505661372</v>
      </c>
      <c r="S444" s="661">
        <v>18.976817690701857</v>
      </c>
      <c r="T444" s="661">
        <v>0</v>
      </c>
      <c r="U444" s="669">
        <v>153.11385852396248</v>
      </c>
    </row>
    <row r="445" spans="3:21" x14ac:dyDescent="0.2">
      <c r="C445" s="668" t="s">
        <v>82</v>
      </c>
      <c r="D445" s="661">
        <v>0</v>
      </c>
      <c r="E445" s="661">
        <v>0</v>
      </c>
      <c r="F445" s="661">
        <v>1.7660543125979742</v>
      </c>
      <c r="G445" s="661">
        <v>1.6775006918768405</v>
      </c>
      <c r="H445" s="661">
        <v>0.66808232732668293</v>
      </c>
      <c r="I445" s="661">
        <v>1.7130316085299562E-2</v>
      </c>
      <c r="J445" s="661">
        <v>0</v>
      </c>
      <c r="K445" s="661">
        <v>0</v>
      </c>
      <c r="L445" s="661">
        <v>3.9742935582164471</v>
      </c>
      <c r="M445" s="661">
        <v>0</v>
      </c>
      <c r="N445" s="661">
        <v>17.824426087880788</v>
      </c>
      <c r="O445" s="661">
        <v>1.0278189651179737</v>
      </c>
      <c r="P445" s="661">
        <v>1.25</v>
      </c>
      <c r="Q445" s="661">
        <v>1.7440136932478227</v>
      </c>
      <c r="R445" s="661">
        <v>7.8035752238100597</v>
      </c>
      <c r="S445" s="661">
        <v>0</v>
      </c>
      <c r="T445" s="661">
        <v>0.38427420359697795</v>
      </c>
      <c r="U445" s="669">
        <v>38.13716937975687</v>
      </c>
    </row>
    <row r="446" spans="3:21" x14ac:dyDescent="0.2">
      <c r="C446" s="668" t="s">
        <v>354</v>
      </c>
      <c r="D446" s="661">
        <v>0</v>
      </c>
      <c r="E446" s="661">
        <v>0</v>
      </c>
      <c r="F446" s="661">
        <v>0</v>
      </c>
      <c r="G446" s="661">
        <v>0</v>
      </c>
      <c r="H446" s="661">
        <v>0</v>
      </c>
      <c r="I446" s="661">
        <v>0</v>
      </c>
      <c r="J446" s="661">
        <v>0</v>
      </c>
      <c r="K446" s="661">
        <v>0</v>
      </c>
      <c r="L446" s="661">
        <v>0</v>
      </c>
      <c r="M446" s="661">
        <v>0</v>
      </c>
      <c r="N446" s="661">
        <v>0</v>
      </c>
      <c r="O446" s="661">
        <v>0</v>
      </c>
      <c r="P446" s="661">
        <v>0</v>
      </c>
      <c r="Q446" s="661">
        <v>0</v>
      </c>
      <c r="R446" s="661">
        <v>2.21408</v>
      </c>
      <c r="S446" s="661">
        <v>0</v>
      </c>
      <c r="T446" s="661">
        <v>0</v>
      </c>
      <c r="U446" s="669">
        <v>2.21408</v>
      </c>
    </row>
    <row r="447" spans="3:21" x14ac:dyDescent="0.2">
      <c r="C447" s="664" t="s">
        <v>83</v>
      </c>
      <c r="D447" s="665">
        <v>2.1515630330821871</v>
      </c>
      <c r="E447" s="665">
        <v>0</v>
      </c>
      <c r="F447" s="665">
        <v>9.9886730964750008</v>
      </c>
      <c r="G447" s="665">
        <v>3.4352019916613754</v>
      </c>
      <c r="H447" s="673">
        <v>40.047832487924893</v>
      </c>
      <c r="I447" s="665">
        <v>1.0268674996903817</v>
      </c>
      <c r="J447" s="665">
        <v>0</v>
      </c>
      <c r="K447" s="665">
        <v>0</v>
      </c>
      <c r="L447" s="665">
        <v>54.664679352687223</v>
      </c>
      <c r="M447" s="665">
        <v>2.2282982295903557</v>
      </c>
      <c r="N447" s="665">
        <v>71.631967015027612</v>
      </c>
      <c r="O447" s="665">
        <v>61.65340018845464</v>
      </c>
      <c r="P447" s="665">
        <v>155.82057805919561</v>
      </c>
      <c r="Q447" s="665">
        <v>5.7345256264080096</v>
      </c>
      <c r="R447" s="665">
        <v>476.63476193341518</v>
      </c>
      <c r="S447" s="665">
        <v>62.259463122360671</v>
      </c>
      <c r="T447" s="665">
        <v>11.542253072006439</v>
      </c>
      <c r="U447" s="665">
        <v>958.82006470797955</v>
      </c>
    </row>
    <row r="448" spans="3:21" x14ac:dyDescent="0.2">
      <c r="C448" s="660" t="s">
        <v>84</v>
      </c>
      <c r="D448" s="661">
        <v>0</v>
      </c>
      <c r="E448" s="661">
        <v>0</v>
      </c>
      <c r="F448" s="661">
        <v>50.64517840221108</v>
      </c>
      <c r="G448" s="661">
        <v>7.8734962103748298</v>
      </c>
      <c r="H448" s="661">
        <v>4.7799931551444459</v>
      </c>
      <c r="I448" s="661">
        <v>0</v>
      </c>
      <c r="J448" s="661">
        <v>0</v>
      </c>
      <c r="K448" s="661">
        <v>0</v>
      </c>
      <c r="L448" s="661">
        <v>0.52419855520004055</v>
      </c>
      <c r="M448" s="661">
        <v>0</v>
      </c>
      <c r="N448" s="661">
        <v>18.858697915767927</v>
      </c>
      <c r="O448" s="661">
        <v>3.7147337189182332</v>
      </c>
      <c r="P448" s="661">
        <v>0</v>
      </c>
      <c r="Q448" s="661">
        <v>0</v>
      </c>
      <c r="R448" s="661">
        <v>0</v>
      </c>
      <c r="S448" s="661">
        <v>0</v>
      </c>
      <c r="T448" s="661">
        <v>30.985390762521494</v>
      </c>
      <c r="U448" s="669">
        <v>117.38168872013804</v>
      </c>
    </row>
    <row r="449" spans="3:21" x14ac:dyDescent="0.2">
      <c r="C449" s="664" t="s">
        <v>85</v>
      </c>
      <c r="D449" s="665">
        <v>2.1515630330821871</v>
      </c>
      <c r="E449" s="665">
        <v>0</v>
      </c>
      <c r="F449" s="665">
        <v>60.633851498686084</v>
      </c>
      <c r="G449" s="665">
        <v>11.308698202036204</v>
      </c>
      <c r="H449" s="673">
        <v>44.827825643069339</v>
      </c>
      <c r="I449" s="665">
        <v>1.0268674996903817</v>
      </c>
      <c r="J449" s="665">
        <v>0</v>
      </c>
      <c r="K449" s="665">
        <v>0</v>
      </c>
      <c r="L449" s="665">
        <v>55.18887790788726</v>
      </c>
      <c r="M449" s="665">
        <v>2.2282982295903557</v>
      </c>
      <c r="N449" s="665">
        <v>90.490664930795546</v>
      </c>
      <c r="O449" s="665">
        <v>65.368133907372865</v>
      </c>
      <c r="P449" s="665">
        <v>155.82057805919561</v>
      </c>
      <c r="Q449" s="665">
        <v>5.7345256264080096</v>
      </c>
      <c r="R449" s="665">
        <v>476.63476193341518</v>
      </c>
      <c r="S449" s="665">
        <v>62.259463122360671</v>
      </c>
      <c r="T449" s="665">
        <v>42.527643834527936</v>
      </c>
      <c r="U449" s="665">
        <v>1076.2017534281176</v>
      </c>
    </row>
    <row r="450" spans="3:21" x14ac:dyDescent="0.2">
      <c r="C450" s="652"/>
      <c r="D450" s="670">
        <v>0</v>
      </c>
      <c r="E450" s="670">
        <v>0</v>
      </c>
      <c r="F450" s="670">
        <v>0</v>
      </c>
      <c r="G450" s="670">
        <v>0</v>
      </c>
      <c r="H450" s="670">
        <v>0</v>
      </c>
      <c r="I450" s="670">
        <v>-1.3183898417423734E-16</v>
      </c>
      <c r="J450" s="670">
        <v>0</v>
      </c>
      <c r="K450" s="670">
        <v>0</v>
      </c>
      <c r="L450" s="670">
        <v>0</v>
      </c>
      <c r="M450" s="670">
        <v>0</v>
      </c>
      <c r="N450" s="670">
        <v>1.2434497875801753E-14</v>
      </c>
      <c r="O450" s="670">
        <v>-1.8207657603852567E-14</v>
      </c>
      <c r="P450" s="670">
        <v>0</v>
      </c>
      <c r="Q450" s="670">
        <v>0</v>
      </c>
      <c r="R450" s="670">
        <v>5.6843418860808015E-14</v>
      </c>
      <c r="S450" s="670">
        <v>0</v>
      </c>
      <c r="T450" s="670">
        <v>4.4408920985006262E-15</v>
      </c>
      <c r="U450" s="670">
        <v>0</v>
      </c>
    </row>
    <row r="451" spans="3:21" x14ac:dyDescent="0.2">
      <c r="C451" s="652"/>
      <c r="D451" s="652"/>
      <c r="E451" s="652"/>
      <c r="F451" s="652"/>
      <c r="G451" s="652"/>
      <c r="H451" s="652"/>
      <c r="I451" s="652"/>
      <c r="J451" s="652"/>
      <c r="K451" s="652"/>
      <c r="L451" s="652"/>
      <c r="M451" s="652"/>
      <c r="N451" s="652"/>
      <c r="O451" s="652"/>
      <c r="P451" s="652"/>
      <c r="Q451" s="652"/>
      <c r="R451" s="652"/>
      <c r="S451" s="652"/>
      <c r="T451" s="652"/>
      <c r="U451" s="652"/>
    </row>
    <row r="452" spans="3:21" ht="15" x14ac:dyDescent="0.25">
      <c r="C452" s="656" t="s">
        <v>89</v>
      </c>
      <c r="D452" s="657"/>
      <c r="E452" s="657"/>
      <c r="F452" s="657"/>
      <c r="G452" s="657"/>
      <c r="H452" s="657"/>
      <c r="I452" s="657"/>
      <c r="J452" s="657"/>
      <c r="K452" s="657"/>
      <c r="L452" s="657"/>
      <c r="M452" s="657"/>
      <c r="N452" s="657"/>
      <c r="O452" s="657"/>
      <c r="P452" s="657"/>
      <c r="Q452" s="657"/>
      <c r="R452" s="657"/>
      <c r="S452" s="657"/>
      <c r="T452" s="657"/>
      <c r="U452" s="657"/>
    </row>
    <row r="453" spans="3:21" x14ac:dyDescent="0.2">
      <c r="C453" s="652"/>
      <c r="D453" s="652"/>
      <c r="E453" s="652"/>
      <c r="F453" s="652"/>
      <c r="G453" s="652"/>
      <c r="H453" s="652"/>
      <c r="I453" s="652"/>
      <c r="J453" s="652"/>
      <c r="K453" s="652"/>
      <c r="L453" s="652"/>
      <c r="M453" s="652"/>
      <c r="N453" s="652"/>
      <c r="O453" s="652"/>
      <c r="P453" s="652"/>
      <c r="Q453" s="652"/>
      <c r="R453" s="652"/>
      <c r="S453" s="652"/>
      <c r="T453" s="652"/>
      <c r="U453" s="652"/>
    </row>
    <row r="454" spans="3:21" x14ac:dyDescent="0.2">
      <c r="C454" s="773" t="s">
        <v>128</v>
      </c>
      <c r="D454" s="768" t="s">
        <v>42</v>
      </c>
      <c r="E454" s="768" t="s">
        <v>52</v>
      </c>
      <c r="F454" s="768" t="s">
        <v>53</v>
      </c>
      <c r="G454" s="768" t="s">
        <v>482</v>
      </c>
      <c r="H454" s="768" t="s">
        <v>32</v>
      </c>
      <c r="I454" s="768" t="s">
        <v>483</v>
      </c>
      <c r="J454" s="768" t="s">
        <v>20</v>
      </c>
      <c r="K454" s="768" t="s">
        <v>55</v>
      </c>
      <c r="L454" s="770" t="s">
        <v>56</v>
      </c>
      <c r="M454" s="771"/>
      <c r="N454" s="771"/>
      <c r="O454" s="771"/>
      <c r="P454" s="771"/>
      <c r="Q454" s="772"/>
      <c r="R454" s="768" t="s">
        <v>57</v>
      </c>
      <c r="S454" s="768" t="s">
        <v>58</v>
      </c>
      <c r="T454" s="768" t="s">
        <v>31</v>
      </c>
      <c r="U454" s="768" t="s">
        <v>10</v>
      </c>
    </row>
    <row r="455" spans="3:21" ht="36" x14ac:dyDescent="0.2">
      <c r="C455" s="774"/>
      <c r="D455" s="769"/>
      <c r="E455" s="769"/>
      <c r="F455" s="769"/>
      <c r="G455" s="769"/>
      <c r="H455" s="769"/>
      <c r="I455" s="769"/>
      <c r="J455" s="769"/>
      <c r="K455" s="769"/>
      <c r="L455" s="658" t="s">
        <v>335</v>
      </c>
      <c r="M455" s="658" t="s">
        <v>40</v>
      </c>
      <c r="N455" s="658" t="s">
        <v>343</v>
      </c>
      <c r="O455" s="658" t="s">
        <v>344</v>
      </c>
      <c r="P455" s="659" t="s">
        <v>345</v>
      </c>
      <c r="Q455" s="658" t="s">
        <v>346</v>
      </c>
      <c r="R455" s="769"/>
      <c r="S455" s="769"/>
      <c r="T455" s="769"/>
      <c r="U455" s="769"/>
    </row>
    <row r="456" spans="3:21" x14ac:dyDescent="0.2">
      <c r="C456" s="660" t="s">
        <v>59</v>
      </c>
      <c r="D456" s="661">
        <v>0</v>
      </c>
      <c r="E456" s="661">
        <v>0</v>
      </c>
      <c r="F456" s="661">
        <v>0</v>
      </c>
      <c r="G456" s="661">
        <v>0</v>
      </c>
      <c r="H456" s="661">
        <v>0</v>
      </c>
      <c r="I456" s="661">
        <v>0</v>
      </c>
      <c r="J456" s="662">
        <v>712.60987447127138</v>
      </c>
      <c r="K456" s="662">
        <v>556.92135057124881</v>
      </c>
      <c r="L456" s="662">
        <v>261.57522104592402</v>
      </c>
      <c r="M456" s="662">
        <v>19.228684940511499</v>
      </c>
      <c r="N456" s="661">
        <v>1.5563580670349855</v>
      </c>
      <c r="O456" s="661">
        <v>0.17110271620039663</v>
      </c>
      <c r="P456" s="662">
        <v>167.23788927594987</v>
      </c>
      <c r="Q456" s="662">
        <v>24.373068583718577</v>
      </c>
      <c r="R456" s="661">
        <v>0</v>
      </c>
      <c r="S456" s="661">
        <v>0</v>
      </c>
      <c r="T456" s="661">
        <v>0</v>
      </c>
      <c r="U456" s="663">
        <v>1743.6735496718593</v>
      </c>
    </row>
    <row r="457" spans="3:21" x14ac:dyDescent="0.2">
      <c r="C457" s="660" t="s">
        <v>60</v>
      </c>
      <c r="D457" s="661">
        <v>5.9311888025037742</v>
      </c>
      <c r="E457" s="661">
        <v>113.95685880900638</v>
      </c>
      <c r="F457" s="661">
        <v>1.9517818504706483</v>
      </c>
      <c r="G457" s="661">
        <v>0</v>
      </c>
      <c r="H457" s="661">
        <v>2.6585092475046008</v>
      </c>
      <c r="I457" s="661">
        <v>0</v>
      </c>
      <c r="J457" s="661">
        <v>0</v>
      </c>
      <c r="K457" s="661">
        <v>0</v>
      </c>
      <c r="L457" s="661">
        <v>5.2309321400654634</v>
      </c>
      <c r="M457" s="661">
        <v>0</v>
      </c>
      <c r="N457" s="661">
        <v>5.4084519189769722</v>
      </c>
      <c r="O457" s="661">
        <v>0</v>
      </c>
      <c r="P457" s="661">
        <v>0</v>
      </c>
      <c r="Q457" s="661">
        <v>0</v>
      </c>
      <c r="R457" s="661">
        <v>0</v>
      </c>
      <c r="S457" s="661">
        <v>0</v>
      </c>
      <c r="T457" s="661">
        <v>0</v>
      </c>
      <c r="U457" s="663">
        <v>135.13772276852782</v>
      </c>
    </row>
    <row r="458" spans="3:21" x14ac:dyDescent="0.2">
      <c r="C458" s="660" t="s">
        <v>61</v>
      </c>
      <c r="D458" s="661">
        <v>0</v>
      </c>
      <c r="E458" s="661">
        <v>0</v>
      </c>
      <c r="F458" s="661">
        <v>-33.824093823668861</v>
      </c>
      <c r="G458" s="661">
        <v>-8.545793370460693</v>
      </c>
      <c r="H458" s="661">
        <v>0</v>
      </c>
      <c r="I458" s="661">
        <v>0</v>
      </c>
      <c r="J458" s="661">
        <v>0</v>
      </c>
      <c r="K458" s="661">
        <v>0</v>
      </c>
      <c r="L458" s="661">
        <v>0</v>
      </c>
      <c r="M458" s="661">
        <v>0</v>
      </c>
      <c r="N458" s="661">
        <v>0</v>
      </c>
      <c r="O458" s="661">
        <v>0</v>
      </c>
      <c r="P458" s="661">
        <v>0</v>
      </c>
      <c r="Q458" s="661">
        <v>0</v>
      </c>
      <c r="R458" s="661">
        <v>-40.000075434727478</v>
      </c>
      <c r="S458" s="661">
        <v>0</v>
      </c>
      <c r="T458" s="661">
        <v>0</v>
      </c>
      <c r="U458" s="663">
        <v>-82.369962628857039</v>
      </c>
    </row>
    <row r="459" spans="3:21" x14ac:dyDescent="0.2">
      <c r="C459" s="660" t="s">
        <v>62</v>
      </c>
      <c r="D459" s="661">
        <v>0</v>
      </c>
      <c r="E459" s="661">
        <v>0</v>
      </c>
      <c r="F459" s="661">
        <v>-1.6540275032482068</v>
      </c>
      <c r="G459" s="661">
        <v>-4.2955328800984329</v>
      </c>
      <c r="H459" s="661">
        <v>0</v>
      </c>
      <c r="I459" s="661">
        <v>-0.31877375583888373</v>
      </c>
      <c r="J459" s="661">
        <v>0</v>
      </c>
      <c r="K459" s="661">
        <v>0</v>
      </c>
      <c r="L459" s="661">
        <v>0</v>
      </c>
      <c r="M459" s="661">
        <v>0</v>
      </c>
      <c r="N459" s="661">
        <v>-0.24545902171991044</v>
      </c>
      <c r="O459" s="661">
        <v>-6.0567013609387903</v>
      </c>
      <c r="P459" s="661">
        <v>0</v>
      </c>
      <c r="Q459" s="661">
        <v>0</v>
      </c>
      <c r="R459" s="661">
        <v>0</v>
      </c>
      <c r="S459" s="661">
        <v>0</v>
      </c>
      <c r="T459" s="661">
        <v>0</v>
      </c>
      <c r="U459" s="663">
        <v>-12.570494521844225</v>
      </c>
    </row>
    <row r="460" spans="3:21" x14ac:dyDescent="0.2">
      <c r="C460" s="660" t="s">
        <v>63</v>
      </c>
      <c r="D460" s="661">
        <v>0</v>
      </c>
      <c r="E460" s="661">
        <v>0</v>
      </c>
      <c r="F460" s="661">
        <v>-18.714774559646315</v>
      </c>
      <c r="G460" s="661">
        <v>-28.257765893495769</v>
      </c>
      <c r="H460" s="661">
        <v>0</v>
      </c>
      <c r="I460" s="661">
        <v>0</v>
      </c>
      <c r="J460" s="661">
        <v>0</v>
      </c>
      <c r="K460" s="661">
        <v>0</v>
      </c>
      <c r="L460" s="661">
        <v>0</v>
      </c>
      <c r="M460" s="661">
        <v>0</v>
      </c>
      <c r="N460" s="661">
        <v>-13.972472121868162</v>
      </c>
      <c r="O460" s="661">
        <v>0</v>
      </c>
      <c r="P460" s="661">
        <v>0</v>
      </c>
      <c r="Q460" s="661">
        <v>0</v>
      </c>
      <c r="R460" s="661">
        <v>0</v>
      </c>
      <c r="S460" s="661">
        <v>0</v>
      </c>
      <c r="T460" s="661">
        <v>-2.6159745910871801</v>
      </c>
      <c r="U460" s="663">
        <v>-63.560987166097433</v>
      </c>
    </row>
    <row r="461" spans="3:21" x14ac:dyDescent="0.2">
      <c r="C461" s="660" t="s">
        <v>64</v>
      </c>
      <c r="D461" s="661">
        <v>0</v>
      </c>
      <c r="E461" s="661">
        <v>0</v>
      </c>
      <c r="F461" s="661">
        <v>0</v>
      </c>
      <c r="G461" s="661">
        <v>0</v>
      </c>
      <c r="H461" s="661">
        <v>0</v>
      </c>
      <c r="I461" s="661">
        <v>0</v>
      </c>
      <c r="J461" s="661">
        <v>0</v>
      </c>
      <c r="K461" s="661">
        <v>0</v>
      </c>
      <c r="L461" s="661">
        <v>0</v>
      </c>
      <c r="M461" s="661">
        <v>0</v>
      </c>
      <c r="N461" s="661">
        <v>0</v>
      </c>
      <c r="O461" s="661">
        <v>0</v>
      </c>
      <c r="P461" s="661">
        <v>0</v>
      </c>
      <c r="Q461" s="661">
        <v>0</v>
      </c>
      <c r="R461" s="661">
        <v>0</v>
      </c>
      <c r="S461" s="661">
        <v>0</v>
      </c>
      <c r="T461" s="661">
        <v>0</v>
      </c>
      <c r="U461" s="663">
        <v>0</v>
      </c>
    </row>
    <row r="462" spans="3:21" x14ac:dyDescent="0.2">
      <c r="C462" s="664" t="s">
        <v>65</v>
      </c>
      <c r="D462" s="665">
        <v>5.9311888025037742</v>
      </c>
      <c r="E462" s="665">
        <v>113.95685880900638</v>
      </c>
      <c r="F462" s="665">
        <v>-52.241114036092739</v>
      </c>
      <c r="G462" s="665">
        <v>-41.099092144054893</v>
      </c>
      <c r="H462" s="673">
        <v>2.6585092475046008</v>
      </c>
      <c r="I462" s="665">
        <v>-0.31877375583888373</v>
      </c>
      <c r="J462" s="665">
        <v>712.60987447127138</v>
      </c>
      <c r="K462" s="665">
        <v>556.92135057124881</v>
      </c>
      <c r="L462" s="665">
        <v>266.80615318598944</v>
      </c>
      <c r="M462" s="665">
        <v>19.228684940511499</v>
      </c>
      <c r="N462" s="665">
        <v>-7.2531211575761132</v>
      </c>
      <c r="O462" s="665">
        <v>-5.8855986447383941</v>
      </c>
      <c r="P462" s="665">
        <v>167.23788927594987</v>
      </c>
      <c r="Q462" s="665">
        <v>24.373068583718577</v>
      </c>
      <c r="R462" s="665">
        <v>-40.000075434727478</v>
      </c>
      <c r="S462" s="665">
        <v>0</v>
      </c>
      <c r="T462" s="665">
        <v>-2.6159745910871801</v>
      </c>
      <c r="U462" s="665">
        <v>1720.3098281235887</v>
      </c>
    </row>
    <row r="463" spans="3:21" x14ac:dyDescent="0.2">
      <c r="C463" s="666"/>
      <c r="D463" s="667">
        <v>0</v>
      </c>
      <c r="E463" s="667">
        <v>0</v>
      </c>
      <c r="F463" s="667">
        <v>0</v>
      </c>
      <c r="G463" s="667">
        <v>0</v>
      </c>
      <c r="H463" s="674">
        <v>0</v>
      </c>
      <c r="I463" s="667">
        <v>0</v>
      </c>
      <c r="J463" s="667">
        <v>0</v>
      </c>
      <c r="K463" s="667">
        <v>0</v>
      </c>
      <c r="L463" s="667">
        <v>0</v>
      </c>
      <c r="M463" s="667">
        <v>0</v>
      </c>
      <c r="N463" s="667">
        <v>0</v>
      </c>
      <c r="O463" s="667">
        <v>0</v>
      </c>
      <c r="P463" s="667">
        <v>0</v>
      </c>
      <c r="Q463" s="667">
        <v>0</v>
      </c>
      <c r="R463" s="667">
        <v>0</v>
      </c>
      <c r="S463" s="667">
        <v>0</v>
      </c>
      <c r="T463" s="667">
        <v>0</v>
      </c>
      <c r="U463" s="667">
        <v>0</v>
      </c>
    </row>
    <row r="464" spans="3:21" x14ac:dyDescent="0.2">
      <c r="C464" s="668" t="s">
        <v>67</v>
      </c>
      <c r="D464" s="661">
        <v>0</v>
      </c>
      <c r="E464" s="661">
        <v>0</v>
      </c>
      <c r="F464" s="661">
        <v>0</v>
      </c>
      <c r="G464" s="661">
        <v>0</v>
      </c>
      <c r="H464" s="661">
        <v>0</v>
      </c>
      <c r="I464" s="661">
        <v>0</v>
      </c>
      <c r="J464" s="661">
        <v>0</v>
      </c>
      <c r="K464" s="661">
        <v>0</v>
      </c>
      <c r="L464" s="661">
        <v>0</v>
      </c>
      <c r="M464" s="661">
        <v>0</v>
      </c>
      <c r="N464" s="661">
        <v>0</v>
      </c>
      <c r="O464" s="661">
        <v>0</v>
      </c>
      <c r="P464" s="661">
        <v>0</v>
      </c>
      <c r="Q464" s="661">
        <v>0</v>
      </c>
      <c r="R464" s="661">
        <v>0</v>
      </c>
      <c r="S464" s="661">
        <v>0</v>
      </c>
      <c r="T464" s="661">
        <v>0</v>
      </c>
      <c r="U464" s="669">
        <v>0</v>
      </c>
    </row>
    <row r="465" spans="3:21" x14ac:dyDescent="0.2">
      <c r="C465" s="668" t="s">
        <v>347</v>
      </c>
      <c r="D465" s="661">
        <v>0</v>
      </c>
      <c r="E465" s="661">
        <v>0</v>
      </c>
      <c r="F465" s="661">
        <v>0</v>
      </c>
      <c r="G465" s="661">
        <v>0</v>
      </c>
      <c r="H465" s="661">
        <v>0</v>
      </c>
      <c r="I465" s="661">
        <v>0</v>
      </c>
      <c r="J465" s="661">
        <v>712.60987447127138</v>
      </c>
      <c r="K465" s="661">
        <v>556.92135057124881</v>
      </c>
      <c r="L465" s="661">
        <v>14.491283228737107</v>
      </c>
      <c r="M465" s="661">
        <v>2.8053264742296591</v>
      </c>
      <c r="N465" s="661">
        <v>6.5561937148871507</v>
      </c>
      <c r="O465" s="661">
        <v>0.11326810820885491</v>
      </c>
      <c r="P465" s="661">
        <v>0</v>
      </c>
      <c r="Q465" s="661">
        <v>6.7631767445353068</v>
      </c>
      <c r="R465" s="661">
        <v>-809.85847053245573</v>
      </c>
      <c r="S465" s="661">
        <v>0</v>
      </c>
      <c r="T465" s="661">
        <v>25.915656492161155</v>
      </c>
      <c r="U465" s="669">
        <v>516.31765927282356</v>
      </c>
    </row>
    <row r="466" spans="3:21" x14ac:dyDescent="0.2">
      <c r="C466" s="668" t="s">
        <v>348</v>
      </c>
      <c r="D466" s="661">
        <v>0</v>
      </c>
      <c r="E466" s="661">
        <v>0</v>
      </c>
      <c r="F466" s="661">
        <v>0</v>
      </c>
      <c r="G466" s="661">
        <v>0</v>
      </c>
      <c r="H466" s="661">
        <v>0</v>
      </c>
      <c r="I466" s="661">
        <v>0</v>
      </c>
      <c r="J466" s="661">
        <v>0</v>
      </c>
      <c r="K466" s="661">
        <v>0</v>
      </c>
      <c r="L466" s="661">
        <v>33.721862056250039</v>
      </c>
      <c r="M466" s="661">
        <v>14.376617363231052</v>
      </c>
      <c r="N466" s="661">
        <v>0</v>
      </c>
      <c r="O466" s="661">
        <v>8.1785673020738106</v>
      </c>
      <c r="P466" s="661">
        <v>0</v>
      </c>
      <c r="Q466" s="661">
        <v>11.316516045102318</v>
      </c>
      <c r="R466" s="661">
        <v>0</v>
      </c>
      <c r="S466" s="661">
        <v>-64.575476384232388</v>
      </c>
      <c r="T466" s="661">
        <v>0</v>
      </c>
      <c r="U466" s="669">
        <v>3.0180863824248352</v>
      </c>
    </row>
    <row r="467" spans="3:21" x14ac:dyDescent="0.2">
      <c r="C467" s="668" t="s">
        <v>349</v>
      </c>
      <c r="D467" s="661">
        <v>0</v>
      </c>
      <c r="E467" s="661">
        <v>0</v>
      </c>
      <c r="F467" s="661">
        <v>0</v>
      </c>
      <c r="G467" s="661">
        <v>0</v>
      </c>
      <c r="H467" s="661">
        <v>0</v>
      </c>
      <c r="I467" s="661">
        <v>0</v>
      </c>
      <c r="J467" s="661">
        <v>0</v>
      </c>
      <c r="K467" s="661">
        <v>0</v>
      </c>
      <c r="L467" s="661">
        <v>104.38683240846164</v>
      </c>
      <c r="M467" s="661">
        <v>0</v>
      </c>
      <c r="N467" s="661">
        <v>0</v>
      </c>
      <c r="O467" s="661">
        <v>-100.27188716566127</v>
      </c>
      <c r="P467" s="661">
        <v>0</v>
      </c>
      <c r="Q467" s="661">
        <v>0</v>
      </c>
      <c r="R467" s="661">
        <v>0</v>
      </c>
      <c r="S467" s="661">
        <v>0</v>
      </c>
      <c r="T467" s="661">
        <v>0</v>
      </c>
      <c r="U467" s="669">
        <v>4.1149452428003741</v>
      </c>
    </row>
    <row r="468" spans="3:21" x14ac:dyDescent="0.2">
      <c r="C468" s="668" t="s">
        <v>350</v>
      </c>
      <c r="D468" s="661">
        <v>0</v>
      </c>
      <c r="E468" s="661">
        <v>0</v>
      </c>
      <c r="F468" s="661">
        <v>0</v>
      </c>
      <c r="G468" s="661">
        <v>0</v>
      </c>
      <c r="H468" s="661">
        <v>0</v>
      </c>
      <c r="I468" s="661">
        <v>-4.5962253881571415</v>
      </c>
      <c r="J468" s="661">
        <v>0</v>
      </c>
      <c r="K468" s="661">
        <v>0</v>
      </c>
      <c r="L468" s="661">
        <v>0</v>
      </c>
      <c r="M468" s="661">
        <v>0</v>
      </c>
      <c r="N468" s="661">
        <v>0</v>
      </c>
      <c r="O468" s="661">
        <v>0</v>
      </c>
      <c r="P468" s="661">
        <v>0</v>
      </c>
      <c r="Q468" s="661">
        <v>0</v>
      </c>
      <c r="R468" s="661">
        <v>0</v>
      </c>
      <c r="S468" s="661">
        <v>0</v>
      </c>
      <c r="T468" s="661">
        <v>6.4074201765093832</v>
      </c>
      <c r="U468" s="669">
        <v>1.8111947883522417</v>
      </c>
    </row>
    <row r="469" spans="3:21" x14ac:dyDescent="0.2">
      <c r="C469" s="668" t="s">
        <v>72</v>
      </c>
      <c r="D469" s="661">
        <v>0</v>
      </c>
      <c r="E469" s="661">
        <v>118.07035586741333</v>
      </c>
      <c r="F469" s="661">
        <v>-116.89188714951831</v>
      </c>
      <c r="G469" s="661">
        <v>0</v>
      </c>
      <c r="H469" s="661">
        <v>0</v>
      </c>
      <c r="I469" s="661">
        <v>0</v>
      </c>
      <c r="J469" s="661">
        <v>0</v>
      </c>
      <c r="K469" s="661">
        <v>0</v>
      </c>
      <c r="L469" s="661">
        <v>0</v>
      </c>
      <c r="M469" s="661">
        <v>0</v>
      </c>
      <c r="N469" s="661">
        <v>0</v>
      </c>
      <c r="O469" s="661">
        <v>0</v>
      </c>
      <c r="P469" s="661">
        <v>0</v>
      </c>
      <c r="Q469" s="661">
        <v>0</v>
      </c>
      <c r="R469" s="661">
        <v>0</v>
      </c>
      <c r="S469" s="661">
        <v>0</v>
      </c>
      <c r="T469" s="661">
        <v>0</v>
      </c>
      <c r="U469" s="669">
        <v>1.1784687178950146</v>
      </c>
    </row>
    <row r="470" spans="3:21" x14ac:dyDescent="0.2">
      <c r="C470" s="668" t="s">
        <v>351</v>
      </c>
      <c r="D470" s="661">
        <v>0</v>
      </c>
      <c r="E470" s="661">
        <v>0</v>
      </c>
      <c r="F470" s="661">
        <v>0</v>
      </c>
      <c r="G470" s="661">
        <v>0</v>
      </c>
      <c r="H470" s="661">
        <v>0</v>
      </c>
      <c r="I470" s="661">
        <v>0</v>
      </c>
      <c r="J470" s="661">
        <v>0</v>
      </c>
      <c r="K470" s="661">
        <v>0</v>
      </c>
      <c r="L470" s="661">
        <v>61.244429678974598</v>
      </c>
      <c r="M470" s="661">
        <v>0</v>
      </c>
      <c r="N470" s="661">
        <v>-61.244429678974598</v>
      </c>
      <c r="O470" s="661">
        <v>0</v>
      </c>
      <c r="P470" s="661">
        <v>0</v>
      </c>
      <c r="Q470" s="661">
        <v>0</v>
      </c>
      <c r="R470" s="661">
        <v>0</v>
      </c>
      <c r="S470" s="661">
        <v>0</v>
      </c>
      <c r="T470" s="661">
        <v>0</v>
      </c>
      <c r="U470" s="669">
        <v>0</v>
      </c>
    </row>
    <row r="471" spans="3:21" x14ac:dyDescent="0.2">
      <c r="C471" s="668" t="s">
        <v>352</v>
      </c>
      <c r="D471" s="661">
        <v>0</v>
      </c>
      <c r="E471" s="661">
        <v>0</v>
      </c>
      <c r="F471" s="661">
        <v>0</v>
      </c>
      <c r="G471" s="661">
        <v>-56.725829149009897</v>
      </c>
      <c r="H471" s="661">
        <v>0</v>
      </c>
      <c r="I471" s="661">
        <v>0</v>
      </c>
      <c r="J471" s="661">
        <v>0</v>
      </c>
      <c r="K471" s="661">
        <v>0</v>
      </c>
      <c r="L471" s="661">
        <v>0</v>
      </c>
      <c r="M471" s="661">
        <v>0</v>
      </c>
      <c r="N471" s="661">
        <v>0</v>
      </c>
      <c r="O471" s="661">
        <v>0</v>
      </c>
      <c r="P471" s="661">
        <v>0</v>
      </c>
      <c r="Q471" s="661">
        <v>0</v>
      </c>
      <c r="R471" s="661">
        <v>0</v>
      </c>
      <c r="S471" s="661">
        <v>0</v>
      </c>
      <c r="T471" s="661">
        <v>79.005333076615457</v>
      </c>
      <c r="U471" s="669">
        <v>22.27950392760556</v>
      </c>
    </row>
    <row r="472" spans="3:21" x14ac:dyDescent="0.2">
      <c r="C472" s="668" t="s">
        <v>73</v>
      </c>
      <c r="D472" s="661">
        <v>0</v>
      </c>
      <c r="E472" s="661">
        <v>0</v>
      </c>
      <c r="F472" s="661">
        <v>0</v>
      </c>
      <c r="G472" s="661">
        <v>0</v>
      </c>
      <c r="H472" s="661">
        <v>0</v>
      </c>
      <c r="I472" s="661">
        <v>0</v>
      </c>
      <c r="J472" s="661">
        <v>0</v>
      </c>
      <c r="K472" s="661">
        <v>0</v>
      </c>
      <c r="L472" s="661">
        <v>0</v>
      </c>
      <c r="M472" s="661">
        <v>0</v>
      </c>
      <c r="N472" s="661">
        <v>0</v>
      </c>
      <c r="O472" s="661">
        <v>0</v>
      </c>
      <c r="P472" s="661">
        <v>0</v>
      </c>
      <c r="Q472" s="661">
        <v>0</v>
      </c>
      <c r="R472" s="661">
        <v>227.10664749932533</v>
      </c>
      <c r="S472" s="661">
        <v>0</v>
      </c>
      <c r="T472" s="661">
        <v>-163.51678619951423</v>
      </c>
      <c r="U472" s="669">
        <v>63.589861299811105</v>
      </c>
    </row>
    <row r="473" spans="3:21" x14ac:dyDescent="0.2">
      <c r="C473" s="668" t="s">
        <v>353</v>
      </c>
      <c r="D473" s="661">
        <v>3.3456624609374996</v>
      </c>
      <c r="E473" s="661">
        <v>-4.1134970584069457</v>
      </c>
      <c r="F473" s="661">
        <v>5.3691262200413341</v>
      </c>
      <c r="G473" s="661">
        <v>0</v>
      </c>
      <c r="H473" s="661">
        <v>0</v>
      </c>
      <c r="I473" s="661">
        <v>0</v>
      </c>
      <c r="J473" s="661">
        <v>0</v>
      </c>
      <c r="K473" s="661">
        <v>0</v>
      </c>
      <c r="L473" s="661">
        <v>0</v>
      </c>
      <c r="M473" s="661">
        <v>0</v>
      </c>
      <c r="N473" s="661">
        <v>0</v>
      </c>
      <c r="O473" s="661">
        <v>0</v>
      </c>
      <c r="P473" s="661">
        <v>0</v>
      </c>
      <c r="Q473" s="661">
        <v>0</v>
      </c>
      <c r="R473" s="661">
        <v>0</v>
      </c>
      <c r="S473" s="661">
        <v>0</v>
      </c>
      <c r="T473" s="661">
        <v>0</v>
      </c>
      <c r="U473" s="669">
        <v>4.6012916225718881</v>
      </c>
    </row>
    <row r="474" spans="3:21" x14ac:dyDescent="0.2">
      <c r="C474" s="668" t="s">
        <v>75</v>
      </c>
      <c r="D474" s="661">
        <v>1.3010909570312501</v>
      </c>
      <c r="E474" s="661">
        <v>0</v>
      </c>
      <c r="F474" s="661">
        <v>16.404377382526505</v>
      </c>
      <c r="G474" s="661">
        <v>0</v>
      </c>
      <c r="H474" s="661">
        <v>0</v>
      </c>
      <c r="I474" s="661">
        <v>0.23833359000000001</v>
      </c>
      <c r="J474" s="661">
        <v>0</v>
      </c>
      <c r="K474" s="661">
        <v>0</v>
      </c>
      <c r="L474" s="661">
        <v>0</v>
      </c>
      <c r="M474" s="661">
        <v>0</v>
      </c>
      <c r="N474" s="661">
        <v>0</v>
      </c>
      <c r="O474" s="661">
        <v>4.5283382100000003</v>
      </c>
      <c r="P474" s="661">
        <v>0</v>
      </c>
      <c r="Q474" s="661">
        <v>0</v>
      </c>
      <c r="R474" s="661">
        <v>17.221013858771279</v>
      </c>
      <c r="S474" s="661">
        <v>0</v>
      </c>
      <c r="T474" s="661">
        <v>0</v>
      </c>
      <c r="U474" s="669">
        <v>39.693153998329031</v>
      </c>
    </row>
    <row r="475" spans="3:21" x14ac:dyDescent="0.2">
      <c r="C475" s="668" t="s">
        <v>76</v>
      </c>
      <c r="D475" s="661">
        <v>0</v>
      </c>
      <c r="E475" s="661">
        <v>0</v>
      </c>
      <c r="F475" s="661">
        <v>0</v>
      </c>
      <c r="G475" s="661">
        <v>0</v>
      </c>
      <c r="H475" s="661">
        <v>0</v>
      </c>
      <c r="I475" s="661">
        <v>5.9340338699632358E-2</v>
      </c>
      <c r="J475" s="661">
        <v>0</v>
      </c>
      <c r="K475" s="661">
        <v>0</v>
      </c>
      <c r="L475" s="661">
        <v>0</v>
      </c>
      <c r="M475" s="661">
        <v>0</v>
      </c>
      <c r="N475" s="661">
        <v>0</v>
      </c>
      <c r="O475" s="661">
        <v>1.1274664352930146</v>
      </c>
      <c r="P475" s="661">
        <v>0</v>
      </c>
      <c r="Q475" s="661">
        <v>0</v>
      </c>
      <c r="R475" s="661">
        <v>58.897580266978245</v>
      </c>
      <c r="S475" s="661">
        <v>5.0089527300753778</v>
      </c>
      <c r="T475" s="661">
        <v>0</v>
      </c>
      <c r="U475" s="669">
        <v>65.093339771046274</v>
      </c>
    </row>
    <row r="476" spans="3:21" x14ac:dyDescent="0.2">
      <c r="C476" s="664" t="s">
        <v>77</v>
      </c>
      <c r="D476" s="665">
        <v>4.6467534179687497</v>
      </c>
      <c r="E476" s="665">
        <v>113.95685880900638</v>
      </c>
      <c r="F476" s="665">
        <v>-95.118383546950469</v>
      </c>
      <c r="G476" s="665">
        <v>-56.725829149009897</v>
      </c>
      <c r="H476" s="673">
        <v>0</v>
      </c>
      <c r="I476" s="665">
        <v>-4.2985514594575092</v>
      </c>
      <c r="J476" s="665">
        <v>712.60987447127138</v>
      </c>
      <c r="K476" s="665">
        <v>556.92135057124881</v>
      </c>
      <c r="L476" s="665">
        <v>213.8444073724234</v>
      </c>
      <c r="M476" s="665">
        <v>17.181943837460711</v>
      </c>
      <c r="N476" s="665">
        <v>-54.688235964087447</v>
      </c>
      <c r="O476" s="665">
        <v>-86.324247110085594</v>
      </c>
      <c r="P476" s="665">
        <v>0</v>
      </c>
      <c r="Q476" s="665">
        <v>18.079692789637626</v>
      </c>
      <c r="R476" s="665">
        <v>-506.63322890738101</v>
      </c>
      <c r="S476" s="665">
        <v>-59.56652365415701</v>
      </c>
      <c r="T476" s="665">
        <v>-52.188376454228234</v>
      </c>
      <c r="U476" s="665">
        <v>721.69750502365991</v>
      </c>
    </row>
    <row r="477" spans="3:21" x14ac:dyDescent="0.2">
      <c r="C477" s="666"/>
      <c r="D477" s="667">
        <v>0</v>
      </c>
      <c r="E477" s="667">
        <v>0</v>
      </c>
      <c r="F477" s="667">
        <v>0</v>
      </c>
      <c r="G477" s="667">
        <v>0</v>
      </c>
      <c r="H477" s="674">
        <v>0</v>
      </c>
      <c r="I477" s="667">
        <v>0</v>
      </c>
      <c r="J477" s="667">
        <v>0</v>
      </c>
      <c r="K477" s="667">
        <v>0</v>
      </c>
      <c r="L477" s="667">
        <v>0</v>
      </c>
      <c r="M477" s="667">
        <v>0</v>
      </c>
      <c r="N477" s="667">
        <v>0</v>
      </c>
      <c r="O477" s="667">
        <v>0</v>
      </c>
      <c r="P477" s="667">
        <v>0</v>
      </c>
      <c r="Q477" s="667">
        <v>0</v>
      </c>
      <c r="R477" s="667">
        <v>0</v>
      </c>
      <c r="S477" s="667">
        <v>0</v>
      </c>
      <c r="T477" s="667">
        <v>0</v>
      </c>
      <c r="U477" s="667">
        <v>0</v>
      </c>
    </row>
    <row r="478" spans="3:21" x14ac:dyDescent="0.2">
      <c r="C478" s="668" t="s">
        <v>78</v>
      </c>
      <c r="D478" s="661">
        <v>1.2844353845350245</v>
      </c>
      <c r="E478" s="661">
        <v>0</v>
      </c>
      <c r="F478" s="661">
        <v>0.671413025716175</v>
      </c>
      <c r="G478" s="661">
        <v>0</v>
      </c>
      <c r="H478" s="661">
        <v>0</v>
      </c>
      <c r="I478" s="661">
        <v>1.6768235413433659</v>
      </c>
      <c r="J478" s="661">
        <v>0</v>
      </c>
      <c r="K478" s="661">
        <v>0</v>
      </c>
      <c r="L478" s="661">
        <v>18.511250218523632</v>
      </c>
      <c r="M478" s="661">
        <v>2.0464486619012869</v>
      </c>
      <c r="N478" s="661">
        <v>1.4169866943359375</v>
      </c>
      <c r="O478" s="661">
        <v>31.901778101678747</v>
      </c>
      <c r="P478" s="661">
        <v>11.306912109375</v>
      </c>
      <c r="Q478" s="661">
        <v>8.5890570413253253E-4</v>
      </c>
      <c r="R478" s="661">
        <v>135.19292998685364</v>
      </c>
      <c r="S478" s="661">
        <v>18.430317312360387</v>
      </c>
      <c r="T478" s="661">
        <v>8.2355947265624998</v>
      </c>
      <c r="U478" s="669">
        <v>230.67574866888981</v>
      </c>
    </row>
    <row r="479" spans="3:21" x14ac:dyDescent="0.2">
      <c r="C479" s="668" t="s">
        <v>79</v>
      </c>
      <c r="D479" s="661">
        <v>0</v>
      </c>
      <c r="E479" s="661">
        <v>0</v>
      </c>
      <c r="F479" s="661">
        <v>2.0327553633446804</v>
      </c>
      <c r="G479" s="661">
        <v>2.9414401384596758</v>
      </c>
      <c r="H479" s="661">
        <v>0</v>
      </c>
      <c r="I479" s="661">
        <v>0.25814381907328782</v>
      </c>
      <c r="J479" s="661">
        <v>0</v>
      </c>
      <c r="K479" s="661">
        <v>0</v>
      </c>
      <c r="L479" s="661">
        <v>0</v>
      </c>
      <c r="M479" s="661">
        <v>0</v>
      </c>
      <c r="N479" s="661">
        <v>11.290866079539722</v>
      </c>
      <c r="O479" s="661">
        <v>4.9047325623924678</v>
      </c>
      <c r="P479" s="661">
        <v>0</v>
      </c>
      <c r="Q479" s="661">
        <v>0</v>
      </c>
      <c r="R479" s="661">
        <v>110.4417553978261</v>
      </c>
      <c r="S479" s="661">
        <v>0</v>
      </c>
      <c r="T479" s="661">
        <v>5.3966998641798476</v>
      </c>
      <c r="U479" s="669">
        <v>137.26639322481577</v>
      </c>
    </row>
    <row r="480" spans="3:21" x14ac:dyDescent="0.2">
      <c r="C480" s="668" t="s">
        <v>80</v>
      </c>
      <c r="D480" s="661">
        <v>0</v>
      </c>
      <c r="E480" s="661">
        <v>0</v>
      </c>
      <c r="F480" s="661">
        <v>0.19325490667833059</v>
      </c>
      <c r="G480" s="661">
        <v>0</v>
      </c>
      <c r="H480" s="661">
        <v>0</v>
      </c>
      <c r="I480" s="661">
        <v>1.3094987150488224</v>
      </c>
      <c r="J480" s="661">
        <v>0</v>
      </c>
      <c r="K480" s="661">
        <v>0</v>
      </c>
      <c r="L480" s="661">
        <v>28.937300829462252</v>
      </c>
      <c r="M480" s="661">
        <v>0</v>
      </c>
      <c r="N480" s="661">
        <v>0</v>
      </c>
      <c r="O480" s="661">
        <v>24.88047558592762</v>
      </c>
      <c r="P480" s="661">
        <v>124.95584249070536</v>
      </c>
      <c r="Q480" s="661">
        <v>3.1166998128913419</v>
      </c>
      <c r="R480" s="661">
        <v>129.06523934568938</v>
      </c>
      <c r="S480" s="661">
        <v>22.248806062911136</v>
      </c>
      <c r="T480" s="661">
        <v>0</v>
      </c>
      <c r="U480" s="669">
        <v>334.70711774931425</v>
      </c>
    </row>
    <row r="481" spans="3:21" x14ac:dyDescent="0.2">
      <c r="C481" s="668" t="s">
        <v>81</v>
      </c>
      <c r="D481" s="661">
        <v>0</v>
      </c>
      <c r="E481" s="661">
        <v>0</v>
      </c>
      <c r="F481" s="661">
        <v>0.13103912510682203</v>
      </c>
      <c r="G481" s="661">
        <v>0</v>
      </c>
      <c r="H481" s="661">
        <v>0</v>
      </c>
      <c r="I481" s="661">
        <v>0.65398403873429223</v>
      </c>
      <c r="J481" s="661">
        <v>0</v>
      </c>
      <c r="K481" s="661">
        <v>0</v>
      </c>
      <c r="L481" s="661">
        <v>0.34200087095620557</v>
      </c>
      <c r="M481" s="661">
        <v>2.9244114949902102E-4</v>
      </c>
      <c r="N481" s="661">
        <v>0</v>
      </c>
      <c r="O481" s="661">
        <v>12.425696735951551</v>
      </c>
      <c r="P481" s="661">
        <v>29.475134675869491</v>
      </c>
      <c r="Q481" s="661">
        <v>0.98841007039498519</v>
      </c>
      <c r="R481" s="661">
        <v>81.567308013661545</v>
      </c>
      <c r="S481" s="661">
        <v>18.887400278885494</v>
      </c>
      <c r="T481" s="661">
        <v>0</v>
      </c>
      <c r="U481" s="669">
        <v>144.4712662507099</v>
      </c>
    </row>
    <row r="482" spans="3:21" x14ac:dyDescent="0.2">
      <c r="C482" s="668" t="s">
        <v>82</v>
      </c>
      <c r="D482" s="661">
        <v>0</v>
      </c>
      <c r="E482" s="661">
        <v>0</v>
      </c>
      <c r="F482" s="661">
        <v>0</v>
      </c>
      <c r="G482" s="661">
        <v>0.49546247522038722</v>
      </c>
      <c r="H482" s="661">
        <v>0</v>
      </c>
      <c r="I482" s="661">
        <v>8.1327589418857746E-2</v>
      </c>
      <c r="J482" s="661">
        <v>0</v>
      </c>
      <c r="K482" s="661">
        <v>0</v>
      </c>
      <c r="L482" s="661">
        <v>4.5749249618986854</v>
      </c>
      <c r="M482" s="661">
        <v>0</v>
      </c>
      <c r="N482" s="661">
        <v>16.621294257606131</v>
      </c>
      <c r="O482" s="661">
        <v>1.5452241989582969</v>
      </c>
      <c r="P482" s="661">
        <v>1.5</v>
      </c>
      <c r="Q482" s="661">
        <v>2.1874070050904897</v>
      </c>
      <c r="R482" s="661">
        <v>7.8459207286229669</v>
      </c>
      <c r="S482" s="661">
        <v>0</v>
      </c>
      <c r="T482" s="661">
        <v>0.44339331184266689</v>
      </c>
      <c r="U482" s="669">
        <v>35.294954528658486</v>
      </c>
    </row>
    <row r="483" spans="3:21" x14ac:dyDescent="0.2">
      <c r="C483" s="668" t="s">
        <v>354</v>
      </c>
      <c r="D483" s="661">
        <v>0</v>
      </c>
      <c r="E483" s="661">
        <v>0</v>
      </c>
      <c r="F483" s="661">
        <v>0</v>
      </c>
      <c r="G483" s="661">
        <v>0</v>
      </c>
      <c r="H483" s="661">
        <v>0</v>
      </c>
      <c r="I483" s="661">
        <v>0</v>
      </c>
      <c r="J483" s="661">
        <v>0</v>
      </c>
      <c r="K483" s="661">
        <v>0</v>
      </c>
      <c r="L483" s="661">
        <v>0</v>
      </c>
      <c r="M483" s="661">
        <v>0</v>
      </c>
      <c r="N483" s="661">
        <v>0</v>
      </c>
      <c r="O483" s="661">
        <v>0</v>
      </c>
      <c r="P483" s="661">
        <v>0</v>
      </c>
      <c r="Q483" s="661">
        <v>0</v>
      </c>
      <c r="R483" s="661">
        <v>2.5199999999999996</v>
      </c>
      <c r="S483" s="661">
        <v>0</v>
      </c>
      <c r="T483" s="661">
        <v>0</v>
      </c>
      <c r="U483" s="669">
        <v>2.5199999999999996</v>
      </c>
    </row>
    <row r="484" spans="3:21" x14ac:dyDescent="0.2">
      <c r="C484" s="664" t="s">
        <v>83</v>
      </c>
      <c r="D484" s="665">
        <v>1.2844353845350245</v>
      </c>
      <c r="E484" s="665">
        <v>0</v>
      </c>
      <c r="F484" s="665">
        <v>3.028462420846008</v>
      </c>
      <c r="G484" s="665">
        <v>3.4369026136800631</v>
      </c>
      <c r="H484" s="673">
        <v>0</v>
      </c>
      <c r="I484" s="665">
        <v>3.9797777036186259</v>
      </c>
      <c r="J484" s="665">
        <v>0</v>
      </c>
      <c r="K484" s="665">
        <v>0</v>
      </c>
      <c r="L484" s="665">
        <v>52.365476880840774</v>
      </c>
      <c r="M484" s="665">
        <v>2.0467411030507856</v>
      </c>
      <c r="N484" s="665">
        <v>29.329147031481789</v>
      </c>
      <c r="O484" s="665">
        <v>75.65790718490868</v>
      </c>
      <c r="P484" s="665">
        <v>167.23788927594987</v>
      </c>
      <c r="Q484" s="665">
        <v>6.2933757940809487</v>
      </c>
      <c r="R484" s="665">
        <v>466.63315347265359</v>
      </c>
      <c r="S484" s="665">
        <v>59.566523654157017</v>
      </c>
      <c r="T484" s="665">
        <v>14.075687902585015</v>
      </c>
      <c r="U484" s="665">
        <v>884.93548042238808</v>
      </c>
    </row>
    <row r="485" spans="3:21" x14ac:dyDescent="0.2">
      <c r="C485" s="660" t="s">
        <v>84</v>
      </c>
      <c r="D485" s="661">
        <v>0</v>
      </c>
      <c r="E485" s="661">
        <v>0</v>
      </c>
      <c r="F485" s="661">
        <v>39.848807090011732</v>
      </c>
      <c r="G485" s="661">
        <v>12.189834391274943</v>
      </c>
      <c r="H485" s="661">
        <v>2.6585092475046008</v>
      </c>
      <c r="I485" s="661">
        <v>0</v>
      </c>
      <c r="J485" s="661">
        <v>0</v>
      </c>
      <c r="K485" s="661">
        <v>0</v>
      </c>
      <c r="L485" s="661">
        <v>0.5962689327253029</v>
      </c>
      <c r="M485" s="661">
        <v>0</v>
      </c>
      <c r="N485" s="661">
        <v>18.105967775029544</v>
      </c>
      <c r="O485" s="661">
        <v>4.780741280438523</v>
      </c>
      <c r="P485" s="661">
        <v>0</v>
      </c>
      <c r="Q485" s="661">
        <v>0</v>
      </c>
      <c r="R485" s="661">
        <v>0</v>
      </c>
      <c r="S485" s="661">
        <v>0</v>
      </c>
      <c r="T485" s="661">
        <v>35.496713960556022</v>
      </c>
      <c r="U485" s="669">
        <v>113.67684267754068</v>
      </c>
    </row>
    <row r="486" spans="3:21" x14ac:dyDescent="0.2">
      <c r="C486" s="664" t="s">
        <v>85</v>
      </c>
      <c r="D486" s="665">
        <v>1.2844353845350245</v>
      </c>
      <c r="E486" s="665">
        <v>0</v>
      </c>
      <c r="F486" s="665">
        <v>42.877269510857737</v>
      </c>
      <c r="G486" s="665">
        <v>15.626737004955006</v>
      </c>
      <c r="H486" s="673">
        <v>2.6585092475046008</v>
      </c>
      <c r="I486" s="665">
        <v>3.9797777036186259</v>
      </c>
      <c r="J486" s="665">
        <v>0</v>
      </c>
      <c r="K486" s="665">
        <v>0</v>
      </c>
      <c r="L486" s="665">
        <v>52.961745813566075</v>
      </c>
      <c r="M486" s="665">
        <v>2.0467411030507856</v>
      </c>
      <c r="N486" s="665">
        <v>47.435114806511329</v>
      </c>
      <c r="O486" s="665">
        <v>80.4386484653472</v>
      </c>
      <c r="P486" s="665">
        <v>167.23788927594987</v>
      </c>
      <c r="Q486" s="665">
        <v>6.2933757940809487</v>
      </c>
      <c r="R486" s="665">
        <v>466.63315347265359</v>
      </c>
      <c r="S486" s="665">
        <v>59.566523654157017</v>
      </c>
      <c r="T486" s="665">
        <v>49.572401863141039</v>
      </c>
      <c r="U486" s="665">
        <v>998.61232309992874</v>
      </c>
    </row>
    <row r="487" spans="3:21" x14ac:dyDescent="0.2">
      <c r="C487" s="652"/>
      <c r="D487" s="670">
        <v>0</v>
      </c>
      <c r="E487" s="670">
        <v>0</v>
      </c>
      <c r="F487" s="670">
        <v>0</v>
      </c>
      <c r="G487" s="670">
        <v>0</v>
      </c>
      <c r="H487" s="670">
        <v>0</v>
      </c>
      <c r="I487" s="670">
        <v>4.9960036108132044E-16</v>
      </c>
      <c r="J487" s="670">
        <v>0</v>
      </c>
      <c r="K487" s="670">
        <v>0</v>
      </c>
      <c r="L487" s="670">
        <v>0</v>
      </c>
      <c r="M487" s="670">
        <v>0</v>
      </c>
      <c r="N487" s="670">
        <v>0</v>
      </c>
      <c r="O487" s="670">
        <v>0</v>
      </c>
      <c r="P487" s="670">
        <v>0</v>
      </c>
      <c r="Q487" s="670">
        <v>0</v>
      </c>
      <c r="R487" s="670">
        <v>5.6843418860808015E-14</v>
      </c>
      <c r="S487" s="670">
        <v>7.1054273576010019E-15</v>
      </c>
      <c r="T487" s="670">
        <v>-1.4654943925052066E-14</v>
      </c>
      <c r="U487" s="670">
        <v>0</v>
      </c>
    </row>
    <row r="488" spans="3:21" x14ac:dyDescent="0.2">
      <c r="C488" s="652"/>
      <c r="D488" s="652"/>
      <c r="E488" s="652"/>
      <c r="F488" s="652"/>
      <c r="G488" s="652"/>
      <c r="H488" s="652"/>
      <c r="I488" s="652"/>
      <c r="J488" s="652"/>
      <c r="K488" s="652"/>
      <c r="L488" s="652"/>
      <c r="M488" s="652"/>
      <c r="N488" s="652"/>
      <c r="O488" s="652"/>
      <c r="P488" s="652"/>
      <c r="Q488" s="652"/>
      <c r="R488" s="652"/>
      <c r="S488" s="652"/>
      <c r="T488" s="652"/>
      <c r="U488" s="652"/>
    </row>
  </sheetData>
  <mergeCells count="182">
    <mergeCell ref="U47:U48"/>
    <mergeCell ref="T10:T11"/>
    <mergeCell ref="U10:U11"/>
    <mergeCell ref="C47:C48"/>
    <mergeCell ref="D47:D48"/>
    <mergeCell ref="E47:E48"/>
    <mergeCell ref="F47:F48"/>
    <mergeCell ref="G47:G48"/>
    <mergeCell ref="H47:H48"/>
    <mergeCell ref="I47:I48"/>
    <mergeCell ref="J47:J48"/>
    <mergeCell ref="I10:I11"/>
    <mergeCell ref="J10:J11"/>
    <mergeCell ref="K10:K11"/>
    <mergeCell ref="L10:Q10"/>
    <mergeCell ref="R10:R11"/>
    <mergeCell ref="S10:S11"/>
    <mergeCell ref="C10:C11"/>
    <mergeCell ref="D10:D11"/>
    <mergeCell ref="E10:E11"/>
    <mergeCell ref="F10:F11"/>
    <mergeCell ref="G10:G11"/>
    <mergeCell ref="H10:H11"/>
    <mergeCell ref="E84:E85"/>
    <mergeCell ref="F84:F85"/>
    <mergeCell ref="G84:G85"/>
    <mergeCell ref="H84:H85"/>
    <mergeCell ref="K47:K48"/>
    <mergeCell ref="L47:Q47"/>
    <mergeCell ref="R47:R48"/>
    <mergeCell ref="S47:S48"/>
    <mergeCell ref="T47:T48"/>
    <mergeCell ref="K121:K122"/>
    <mergeCell ref="L121:Q121"/>
    <mergeCell ref="R121:R122"/>
    <mergeCell ref="S121:S122"/>
    <mergeCell ref="T121:T122"/>
    <mergeCell ref="U121:U122"/>
    <mergeCell ref="T84:T85"/>
    <mergeCell ref="U84:U85"/>
    <mergeCell ref="C121:C122"/>
    <mergeCell ref="D121:D122"/>
    <mergeCell ref="E121:E122"/>
    <mergeCell ref="F121:F122"/>
    <mergeCell ref="G121:G122"/>
    <mergeCell ref="H121:H122"/>
    <mergeCell ref="I121:I122"/>
    <mergeCell ref="J121:J122"/>
    <mergeCell ref="I84:I85"/>
    <mergeCell ref="J84:J85"/>
    <mergeCell ref="K84:K85"/>
    <mergeCell ref="L84:Q84"/>
    <mergeCell ref="R84:R85"/>
    <mergeCell ref="S84:S85"/>
    <mergeCell ref="C84:C85"/>
    <mergeCell ref="D84:D85"/>
    <mergeCell ref="U195:U196"/>
    <mergeCell ref="T158:T159"/>
    <mergeCell ref="U158:U159"/>
    <mergeCell ref="C195:C196"/>
    <mergeCell ref="D195:D196"/>
    <mergeCell ref="E195:E196"/>
    <mergeCell ref="F195:F196"/>
    <mergeCell ref="G195:G196"/>
    <mergeCell ref="H195:H196"/>
    <mergeCell ref="I195:I196"/>
    <mergeCell ref="J195:J196"/>
    <mergeCell ref="I158:I159"/>
    <mergeCell ref="J158:J159"/>
    <mergeCell ref="K158:K159"/>
    <mergeCell ref="L158:Q158"/>
    <mergeCell ref="R158:R159"/>
    <mergeCell ref="S158:S159"/>
    <mergeCell ref="C158:C159"/>
    <mergeCell ref="D158:D159"/>
    <mergeCell ref="E158:E159"/>
    <mergeCell ref="F158:F159"/>
    <mergeCell ref="G158:G159"/>
    <mergeCell ref="H158:H159"/>
    <mergeCell ref="E232:E233"/>
    <mergeCell ref="F232:F233"/>
    <mergeCell ref="G232:G233"/>
    <mergeCell ref="H232:H233"/>
    <mergeCell ref="K195:K196"/>
    <mergeCell ref="L195:Q195"/>
    <mergeCell ref="R195:R196"/>
    <mergeCell ref="S195:S196"/>
    <mergeCell ref="T195:T196"/>
    <mergeCell ref="K269:K270"/>
    <mergeCell ref="L269:Q269"/>
    <mergeCell ref="R269:R270"/>
    <mergeCell ref="S269:S270"/>
    <mergeCell ref="T269:T270"/>
    <mergeCell ref="U269:U270"/>
    <mergeCell ref="T232:T233"/>
    <mergeCell ref="U232:U233"/>
    <mergeCell ref="C269:C270"/>
    <mergeCell ref="D269:D270"/>
    <mergeCell ref="E269:E270"/>
    <mergeCell ref="F269:F270"/>
    <mergeCell ref="G269:G270"/>
    <mergeCell ref="H269:H270"/>
    <mergeCell ref="I269:I270"/>
    <mergeCell ref="J269:J270"/>
    <mergeCell ref="I232:I233"/>
    <mergeCell ref="J232:J233"/>
    <mergeCell ref="K232:K233"/>
    <mergeCell ref="L232:Q232"/>
    <mergeCell ref="R232:R233"/>
    <mergeCell ref="S232:S233"/>
    <mergeCell ref="C232:C233"/>
    <mergeCell ref="D232:D233"/>
    <mergeCell ref="U343:U344"/>
    <mergeCell ref="T306:T307"/>
    <mergeCell ref="U306:U307"/>
    <mergeCell ref="C343:C344"/>
    <mergeCell ref="D343:D344"/>
    <mergeCell ref="E343:E344"/>
    <mergeCell ref="F343:F344"/>
    <mergeCell ref="G343:G344"/>
    <mergeCell ref="H343:H344"/>
    <mergeCell ref="I343:I344"/>
    <mergeCell ref="J343:J344"/>
    <mergeCell ref="I306:I307"/>
    <mergeCell ref="J306:J307"/>
    <mergeCell ref="K306:K307"/>
    <mergeCell ref="L306:Q306"/>
    <mergeCell ref="R306:R307"/>
    <mergeCell ref="S306:S307"/>
    <mergeCell ref="C306:C307"/>
    <mergeCell ref="D306:D307"/>
    <mergeCell ref="E306:E307"/>
    <mergeCell ref="F306:F307"/>
    <mergeCell ref="G306:G307"/>
    <mergeCell ref="H306:H307"/>
    <mergeCell ref="E380:E381"/>
    <mergeCell ref="F380:F381"/>
    <mergeCell ref="G380:G381"/>
    <mergeCell ref="H380:H381"/>
    <mergeCell ref="K343:K344"/>
    <mergeCell ref="L343:Q343"/>
    <mergeCell ref="R343:R344"/>
    <mergeCell ref="S343:S344"/>
    <mergeCell ref="T343:T344"/>
    <mergeCell ref="K417:K418"/>
    <mergeCell ref="L417:Q417"/>
    <mergeCell ref="R417:R418"/>
    <mergeCell ref="S417:S418"/>
    <mergeCell ref="T417:T418"/>
    <mergeCell ref="U417:U418"/>
    <mergeCell ref="T380:T381"/>
    <mergeCell ref="U380:U381"/>
    <mergeCell ref="C417:C418"/>
    <mergeCell ref="D417:D418"/>
    <mergeCell ref="E417:E418"/>
    <mergeCell ref="F417:F418"/>
    <mergeCell ref="G417:G418"/>
    <mergeCell ref="H417:H418"/>
    <mergeCell ref="I417:I418"/>
    <mergeCell ref="J417:J418"/>
    <mergeCell ref="I380:I381"/>
    <mergeCell ref="J380:J381"/>
    <mergeCell ref="K380:K381"/>
    <mergeCell ref="L380:Q380"/>
    <mergeCell ref="R380:R381"/>
    <mergeCell ref="S380:S381"/>
    <mergeCell ref="C380:C381"/>
    <mergeCell ref="D380:D381"/>
    <mergeCell ref="T454:T455"/>
    <mergeCell ref="U454:U455"/>
    <mergeCell ref="I454:I455"/>
    <mergeCell ref="J454:J455"/>
    <mergeCell ref="K454:K455"/>
    <mergeCell ref="L454:Q454"/>
    <mergeCell ref="R454:R455"/>
    <mergeCell ref="S454:S455"/>
    <mergeCell ref="C454:C455"/>
    <mergeCell ref="D454:D455"/>
    <mergeCell ref="E454:E455"/>
    <mergeCell ref="F454:F455"/>
    <mergeCell ref="G454:G455"/>
    <mergeCell ref="H454:H455"/>
  </mergeCells>
  <conditionalFormatting sqref="D12:I42">
    <cfRule type="cellIs" dxfId="513" priority="274" operator="equal">
      <formula>0</formula>
    </cfRule>
  </conditionalFormatting>
  <conditionalFormatting sqref="D49:I79">
    <cfRule type="cellIs" dxfId="512" priority="261" operator="equal">
      <formula>0</formula>
    </cfRule>
  </conditionalFormatting>
  <conditionalFormatting sqref="D12:U18 D34:U42">
    <cfRule type="containsBlanks" dxfId="511" priority="282">
      <formula>LEN(TRIM(D12))=0</formula>
    </cfRule>
  </conditionalFormatting>
  <conditionalFormatting sqref="D20:U32">
    <cfRule type="containsBlanks" dxfId="510" priority="278">
      <formula>LEN(TRIM(D20))=0</formula>
    </cfRule>
  </conditionalFormatting>
  <conditionalFormatting sqref="D49:U55 D71:U79">
    <cfRule type="containsBlanks" dxfId="509" priority="269">
      <formula>LEN(TRIM(D49))=0</formula>
    </cfRule>
  </conditionalFormatting>
  <conditionalFormatting sqref="D57:U69">
    <cfRule type="containsBlanks" dxfId="508" priority="265">
      <formula>LEN(TRIM(D57))=0</formula>
    </cfRule>
  </conditionalFormatting>
  <conditionalFormatting sqref="D86:U92 D108:U116">
    <cfRule type="containsBlanks" dxfId="507" priority="254">
      <formula>LEN(TRIM(D86))=0</formula>
    </cfRule>
  </conditionalFormatting>
  <conditionalFormatting sqref="D86:U116">
    <cfRule type="cellIs" dxfId="506" priority="252" operator="equal">
      <formula>0</formula>
    </cfRule>
  </conditionalFormatting>
  <conditionalFormatting sqref="D94:U106">
    <cfRule type="containsBlanks" dxfId="505" priority="251">
      <formula>LEN(TRIM(D94))=0</formula>
    </cfRule>
  </conditionalFormatting>
  <conditionalFormatting sqref="D123:U129 D145:U153">
    <cfRule type="containsBlanks" dxfId="504" priority="229">
      <formula>LEN(TRIM(D123))=0</formula>
    </cfRule>
  </conditionalFormatting>
  <conditionalFormatting sqref="D123:U153">
    <cfRule type="cellIs" dxfId="503" priority="227" operator="equal">
      <formula>0</formula>
    </cfRule>
  </conditionalFormatting>
  <conditionalFormatting sqref="D131:U143">
    <cfRule type="containsBlanks" dxfId="502" priority="226">
      <formula>LEN(TRIM(D131))=0</formula>
    </cfRule>
  </conditionalFormatting>
  <conditionalFormatting sqref="D160:U166 D182:U190">
    <cfRule type="containsBlanks" dxfId="501" priority="204">
      <formula>LEN(TRIM(D160))=0</formula>
    </cfRule>
  </conditionalFormatting>
  <conditionalFormatting sqref="D160:U190">
    <cfRule type="cellIs" dxfId="500" priority="202" operator="equal">
      <formula>0</formula>
    </cfRule>
  </conditionalFormatting>
  <conditionalFormatting sqref="D168:U180">
    <cfRule type="containsBlanks" dxfId="499" priority="201">
      <formula>LEN(TRIM(D168))=0</formula>
    </cfRule>
  </conditionalFormatting>
  <conditionalFormatting sqref="D197:U203 D219:U227">
    <cfRule type="containsBlanks" dxfId="498" priority="179">
      <formula>LEN(TRIM(D197))=0</formula>
    </cfRule>
  </conditionalFormatting>
  <conditionalFormatting sqref="D197:U227">
    <cfRule type="cellIs" dxfId="497" priority="177" operator="equal">
      <formula>0</formula>
    </cfRule>
  </conditionalFormatting>
  <conditionalFormatting sqref="D205:U217">
    <cfRule type="containsBlanks" dxfId="496" priority="176">
      <formula>LEN(TRIM(D205))=0</formula>
    </cfRule>
  </conditionalFormatting>
  <conditionalFormatting sqref="D234:U240 D256:U264">
    <cfRule type="containsBlanks" dxfId="495" priority="154">
      <formula>LEN(TRIM(D234))=0</formula>
    </cfRule>
  </conditionalFormatting>
  <conditionalFormatting sqref="D234:U264">
    <cfRule type="cellIs" dxfId="494" priority="152" operator="equal">
      <formula>0</formula>
    </cfRule>
  </conditionalFormatting>
  <conditionalFormatting sqref="D242:U254">
    <cfRule type="containsBlanks" dxfId="493" priority="151">
      <formula>LEN(TRIM(D242))=0</formula>
    </cfRule>
  </conditionalFormatting>
  <conditionalFormatting sqref="D271:U277 D293:U301">
    <cfRule type="containsBlanks" dxfId="492" priority="129">
      <formula>LEN(TRIM(D271))=0</formula>
    </cfRule>
  </conditionalFormatting>
  <conditionalFormatting sqref="D271:U301">
    <cfRule type="cellIs" dxfId="491" priority="127" operator="equal">
      <formula>0</formula>
    </cfRule>
  </conditionalFormatting>
  <conditionalFormatting sqref="D279:U291">
    <cfRule type="containsBlanks" dxfId="490" priority="126">
      <formula>LEN(TRIM(D279))=0</formula>
    </cfRule>
  </conditionalFormatting>
  <conditionalFormatting sqref="D308:U314 D330:U338">
    <cfRule type="containsBlanks" dxfId="489" priority="104">
      <formula>LEN(TRIM(D308))=0</formula>
    </cfRule>
  </conditionalFormatting>
  <conditionalFormatting sqref="D308:U338">
    <cfRule type="cellIs" dxfId="488" priority="102" operator="equal">
      <formula>0</formula>
    </cfRule>
  </conditionalFormatting>
  <conditionalFormatting sqref="D316:U328">
    <cfRule type="containsBlanks" dxfId="487" priority="101">
      <formula>LEN(TRIM(D316))=0</formula>
    </cfRule>
  </conditionalFormatting>
  <conditionalFormatting sqref="D345:U351 D367:U375">
    <cfRule type="containsBlanks" dxfId="486" priority="79">
      <formula>LEN(TRIM(D345))=0</formula>
    </cfRule>
  </conditionalFormatting>
  <conditionalFormatting sqref="D345:U375">
    <cfRule type="cellIs" dxfId="485" priority="77" operator="equal">
      <formula>0</formula>
    </cfRule>
  </conditionalFormatting>
  <conditionalFormatting sqref="D353:U365">
    <cfRule type="containsBlanks" dxfId="484" priority="76">
      <formula>LEN(TRIM(D353))=0</formula>
    </cfRule>
  </conditionalFormatting>
  <conditionalFormatting sqref="D382:U388 D404:U412">
    <cfRule type="containsBlanks" dxfId="483" priority="54">
      <formula>LEN(TRIM(D382))=0</formula>
    </cfRule>
  </conditionalFormatting>
  <conditionalFormatting sqref="D382:U412">
    <cfRule type="cellIs" dxfId="482" priority="52" operator="equal">
      <formula>0</formula>
    </cfRule>
  </conditionalFormatting>
  <conditionalFormatting sqref="D390:U402">
    <cfRule type="containsBlanks" dxfId="481" priority="51">
      <formula>LEN(TRIM(D390))=0</formula>
    </cfRule>
  </conditionalFormatting>
  <conditionalFormatting sqref="D419:U425 D441:U449">
    <cfRule type="containsBlanks" dxfId="480" priority="29">
      <formula>LEN(TRIM(D419))=0</formula>
    </cfRule>
  </conditionalFormatting>
  <conditionalFormatting sqref="D419:U449">
    <cfRule type="cellIs" dxfId="479" priority="27" operator="equal">
      <formula>0</formula>
    </cfRule>
  </conditionalFormatting>
  <conditionalFormatting sqref="D427:U439">
    <cfRule type="containsBlanks" dxfId="478" priority="26">
      <formula>LEN(TRIM(D427))=0</formula>
    </cfRule>
  </conditionalFormatting>
  <conditionalFormatting sqref="D456:U462 D478:U486">
    <cfRule type="containsBlanks" dxfId="477" priority="4">
      <formula>LEN(TRIM(D456))=0</formula>
    </cfRule>
  </conditionalFormatting>
  <conditionalFormatting sqref="D456:U486">
    <cfRule type="cellIs" dxfId="476" priority="2" operator="equal">
      <formula>0</formula>
    </cfRule>
  </conditionalFormatting>
  <conditionalFormatting sqref="D464:U476">
    <cfRule type="containsBlanks" dxfId="475" priority="1">
      <formula>LEN(TRIM(D464))=0</formula>
    </cfRule>
  </conditionalFormatting>
  <conditionalFormatting sqref="F87:F88">
    <cfRule type="cellIs" dxfId="474" priority="882" operator="equal">
      <formula>0</formula>
    </cfRule>
  </conditionalFormatting>
  <conditionalFormatting sqref="F124:F125">
    <cfRule type="cellIs" dxfId="473" priority="733" operator="equal">
      <formula>0</formula>
    </cfRule>
  </conditionalFormatting>
  <conditionalFormatting sqref="F161:F162">
    <cfRule type="cellIs" dxfId="472" priority="699" operator="equal">
      <formula>0</formula>
    </cfRule>
  </conditionalFormatting>
  <conditionalFormatting sqref="F198:F199">
    <cfRule type="cellIs" dxfId="471" priority="665" operator="equal">
      <formula>0</formula>
    </cfRule>
  </conditionalFormatting>
  <conditionalFormatting sqref="F235:F236">
    <cfRule type="cellIs" dxfId="470" priority="631" operator="equal">
      <formula>0</formula>
    </cfRule>
  </conditionalFormatting>
  <conditionalFormatting sqref="F272:F273">
    <cfRule type="cellIs" dxfId="469" priority="597" operator="equal">
      <formula>0</formula>
    </cfRule>
  </conditionalFormatting>
  <conditionalFormatting sqref="F309:F310">
    <cfRule type="cellIs" dxfId="468" priority="563" operator="equal">
      <formula>0</formula>
    </cfRule>
  </conditionalFormatting>
  <conditionalFormatting sqref="F346:F347">
    <cfRule type="cellIs" dxfId="467" priority="529" operator="equal">
      <formula>0</formula>
    </cfRule>
  </conditionalFormatting>
  <conditionalFormatting sqref="F383:F384">
    <cfRule type="cellIs" dxfId="466" priority="495" operator="equal">
      <formula>0</formula>
    </cfRule>
  </conditionalFormatting>
  <conditionalFormatting sqref="F420:F421">
    <cfRule type="cellIs" dxfId="465" priority="461" operator="equal">
      <formula>0</formula>
    </cfRule>
  </conditionalFormatting>
  <conditionalFormatting sqref="F457:F458">
    <cfRule type="cellIs" dxfId="464" priority="427" operator="equal">
      <formula>0</formula>
    </cfRule>
  </conditionalFormatting>
  <conditionalFormatting sqref="J12:K14">
    <cfRule type="cellIs" dxfId="463" priority="370" operator="equal">
      <formula>0</formula>
    </cfRule>
  </conditionalFormatting>
  <conditionalFormatting sqref="J17:K17">
    <cfRule type="cellIs" dxfId="462" priority="388" operator="equal">
      <formula>0</formula>
    </cfRule>
  </conditionalFormatting>
  <conditionalFormatting sqref="J49:K51">
    <cfRule type="cellIs" dxfId="461" priority="806" operator="equal">
      <formula>0</formula>
    </cfRule>
  </conditionalFormatting>
  <conditionalFormatting sqref="J54:K54">
    <cfRule type="cellIs" dxfId="460" priority="826" operator="equal">
      <formula>0</formula>
    </cfRule>
  </conditionalFormatting>
  <conditionalFormatting sqref="J15:Q16">
    <cfRule type="cellIs" dxfId="459" priority="352" operator="equal">
      <formula>0</formula>
    </cfRule>
  </conditionalFormatting>
  <conditionalFormatting sqref="J52:Q53">
    <cfRule type="cellIs" dxfId="458" priority="786" operator="equal">
      <formula>0</formula>
    </cfRule>
  </conditionalFormatting>
  <conditionalFormatting sqref="J87:T88">
    <cfRule type="cellIs" dxfId="457" priority="883" operator="equal">
      <formula>0</formula>
    </cfRule>
  </conditionalFormatting>
  <conditionalFormatting sqref="J115:T115">
    <cfRule type="cellIs" dxfId="456" priority="855" operator="equal">
      <formula>0</formula>
    </cfRule>
  </conditionalFormatting>
  <conditionalFormatting sqref="J18:U42">
    <cfRule type="cellIs" dxfId="455" priority="324" operator="equal">
      <formula>0</formula>
    </cfRule>
  </conditionalFormatting>
  <conditionalFormatting sqref="J55:U79">
    <cfRule type="cellIs" dxfId="454" priority="322" operator="equal">
      <formula>0</formula>
    </cfRule>
  </conditionalFormatting>
  <conditionalFormatting sqref="L87:L91">
    <cfRule type="cellIs" dxfId="453" priority="878" operator="equal">
      <formula>0</formula>
    </cfRule>
  </conditionalFormatting>
  <conditionalFormatting sqref="L124:L128">
    <cfRule type="cellIs" dxfId="452" priority="730" operator="equal">
      <formula>0</formula>
    </cfRule>
  </conditionalFormatting>
  <conditionalFormatting sqref="L161:L165">
    <cfRule type="cellIs" dxfId="451" priority="696" operator="equal">
      <formula>0</formula>
    </cfRule>
  </conditionalFormatting>
  <conditionalFormatting sqref="L198:L202">
    <cfRule type="cellIs" dxfId="450" priority="662" operator="equal">
      <formula>0</formula>
    </cfRule>
  </conditionalFormatting>
  <conditionalFormatting sqref="L235:L239">
    <cfRule type="cellIs" dxfId="449" priority="628" operator="equal">
      <formula>0</formula>
    </cfRule>
  </conditionalFormatting>
  <conditionalFormatting sqref="L272:L276">
    <cfRule type="cellIs" dxfId="448" priority="594" operator="equal">
      <formula>0</formula>
    </cfRule>
  </conditionalFormatting>
  <conditionalFormatting sqref="L309:L313">
    <cfRule type="cellIs" dxfId="447" priority="560" operator="equal">
      <formula>0</formula>
    </cfRule>
  </conditionalFormatting>
  <conditionalFormatting sqref="L346:L350">
    <cfRule type="cellIs" dxfId="446" priority="526" operator="equal">
      <formula>0</formula>
    </cfRule>
  </conditionalFormatting>
  <conditionalFormatting sqref="L383:L387">
    <cfRule type="cellIs" dxfId="445" priority="492" operator="equal">
      <formula>0</formula>
    </cfRule>
  </conditionalFormatting>
  <conditionalFormatting sqref="L420:L424">
    <cfRule type="cellIs" dxfId="444" priority="458" operator="equal">
      <formula>0</formula>
    </cfRule>
  </conditionalFormatting>
  <conditionalFormatting sqref="L457:L461">
    <cfRule type="cellIs" dxfId="443" priority="424" operator="equal">
      <formula>0</formula>
    </cfRule>
  </conditionalFormatting>
  <conditionalFormatting sqref="L11:Q11">
    <cfRule type="cellIs" dxfId="442" priority="834" operator="equal">
      <formula>0</formula>
    </cfRule>
  </conditionalFormatting>
  <conditionalFormatting sqref="L48:Q48">
    <cfRule type="cellIs" dxfId="441" priority="822" operator="equal">
      <formula>0</formula>
    </cfRule>
  </conditionalFormatting>
  <conditionalFormatting sqref="L85:Q85">
    <cfRule type="cellIs" dxfId="440" priority="881" operator="equal">
      <formula>0</formula>
    </cfRule>
  </conditionalFormatting>
  <conditionalFormatting sqref="L122:Q122">
    <cfRule type="cellIs" dxfId="439" priority="864" operator="equal">
      <formula>0</formula>
    </cfRule>
  </conditionalFormatting>
  <conditionalFormatting sqref="L159:Q159">
    <cfRule type="cellIs" dxfId="438" priority="862" operator="equal">
      <formula>0</formula>
    </cfRule>
  </conditionalFormatting>
  <conditionalFormatting sqref="L196:Q196">
    <cfRule type="cellIs" dxfId="437" priority="860" operator="equal">
      <formula>0</formula>
    </cfRule>
  </conditionalFormatting>
  <conditionalFormatting sqref="L233:Q233">
    <cfRule type="cellIs" dxfId="436" priority="858" operator="equal">
      <formula>0</formula>
    </cfRule>
  </conditionalFormatting>
  <conditionalFormatting sqref="L270:Q270">
    <cfRule type="cellIs" dxfId="435" priority="856" operator="equal">
      <formula>0</formula>
    </cfRule>
  </conditionalFormatting>
  <conditionalFormatting sqref="L307:Q307">
    <cfRule type="cellIs" dxfId="434" priority="853" operator="equal">
      <formula>0</formula>
    </cfRule>
  </conditionalFormatting>
  <conditionalFormatting sqref="L344:Q344">
    <cfRule type="cellIs" dxfId="433" priority="851" operator="equal">
      <formula>0</formula>
    </cfRule>
  </conditionalFormatting>
  <conditionalFormatting sqref="L381:Q381">
    <cfRule type="cellIs" dxfId="432" priority="849" operator="equal">
      <formula>0</formula>
    </cfRule>
  </conditionalFormatting>
  <conditionalFormatting sqref="L418:Q418">
    <cfRule type="cellIs" dxfId="431" priority="847" operator="equal">
      <formula>0</formula>
    </cfRule>
  </conditionalFormatting>
  <conditionalFormatting sqref="L455:Q455">
    <cfRule type="cellIs" dxfId="430" priority="845" operator="equal">
      <formula>0</formula>
    </cfRule>
  </conditionalFormatting>
  <conditionalFormatting sqref="L12:U17">
    <cfRule type="cellIs" dxfId="429" priority="354" operator="equal">
      <formula>0</formula>
    </cfRule>
  </conditionalFormatting>
  <conditionalFormatting sqref="L49:U54">
    <cfRule type="cellIs" dxfId="428" priority="788" operator="equal">
      <formula>0</formula>
    </cfRule>
  </conditionalFormatting>
  <conditionalFormatting sqref="M86:O91">
    <cfRule type="cellIs" dxfId="427" priority="741" operator="equal">
      <formula>0</formula>
    </cfRule>
  </conditionalFormatting>
  <conditionalFormatting sqref="M123:O128">
    <cfRule type="cellIs" dxfId="426" priority="707" operator="equal">
      <formula>0</formula>
    </cfRule>
  </conditionalFormatting>
  <conditionalFormatting sqref="M160:O165">
    <cfRule type="cellIs" dxfId="425" priority="673" operator="equal">
      <formula>0</formula>
    </cfRule>
  </conditionalFormatting>
  <conditionalFormatting sqref="M197:O202">
    <cfRule type="cellIs" dxfId="424" priority="639" operator="equal">
      <formula>0</formula>
    </cfRule>
  </conditionalFormatting>
  <conditionalFormatting sqref="M234:O239">
    <cfRule type="cellIs" dxfId="423" priority="605" operator="equal">
      <formula>0</formula>
    </cfRule>
  </conditionalFormatting>
  <conditionalFormatting sqref="M271:O276">
    <cfRule type="cellIs" dxfId="422" priority="571" operator="equal">
      <formula>0</formula>
    </cfRule>
  </conditionalFormatting>
  <conditionalFormatting sqref="M308:O313">
    <cfRule type="cellIs" dxfId="421" priority="537" operator="equal">
      <formula>0</formula>
    </cfRule>
  </conditionalFormatting>
  <conditionalFormatting sqref="M345:O350">
    <cfRule type="cellIs" dxfId="420" priority="503" operator="equal">
      <formula>0</formula>
    </cfRule>
  </conditionalFormatting>
  <conditionalFormatting sqref="M382:O387">
    <cfRule type="cellIs" dxfId="419" priority="469" operator="equal">
      <formula>0</formula>
    </cfRule>
  </conditionalFormatting>
  <conditionalFormatting sqref="M419:O424">
    <cfRule type="cellIs" dxfId="418" priority="435" operator="equal">
      <formula>0</formula>
    </cfRule>
  </conditionalFormatting>
  <conditionalFormatting sqref="M456:O461">
    <cfRule type="cellIs" dxfId="417" priority="401" operator="equal">
      <formula>0</formula>
    </cfRule>
  </conditionalFormatting>
  <conditionalFormatting sqref="P87:Q91">
    <cfRule type="cellIs" dxfId="416" priority="836" operator="equal">
      <formula>0</formula>
    </cfRule>
  </conditionalFormatting>
  <conditionalFormatting sqref="P124:Q128">
    <cfRule type="cellIs" dxfId="415" priority="713" operator="equal">
      <formula>0</formula>
    </cfRule>
  </conditionalFormatting>
  <conditionalFormatting sqref="P161:Q165">
    <cfRule type="cellIs" dxfId="414" priority="679" operator="equal">
      <formula>0</formula>
    </cfRule>
  </conditionalFormatting>
  <conditionalFormatting sqref="P198:Q202">
    <cfRule type="cellIs" dxfId="413" priority="645" operator="equal">
      <formula>0</formula>
    </cfRule>
  </conditionalFormatting>
  <conditionalFormatting sqref="P235:Q239">
    <cfRule type="cellIs" dxfId="412" priority="611" operator="equal">
      <formula>0</formula>
    </cfRule>
  </conditionalFormatting>
  <conditionalFormatting sqref="P272:Q276">
    <cfRule type="cellIs" dxfId="411" priority="577" operator="equal">
      <formula>0</formula>
    </cfRule>
  </conditionalFormatting>
  <conditionalFormatting sqref="P309:Q313">
    <cfRule type="cellIs" dxfId="410" priority="543" operator="equal">
      <formula>0</formula>
    </cfRule>
  </conditionalFormatting>
  <conditionalFormatting sqref="P346:Q350">
    <cfRule type="cellIs" dxfId="409" priority="509" operator="equal">
      <formula>0</formula>
    </cfRule>
  </conditionalFormatting>
  <conditionalFormatting sqref="P383:Q387">
    <cfRule type="cellIs" dxfId="408" priority="475" operator="equal">
      <formula>0</formula>
    </cfRule>
  </conditionalFormatting>
  <conditionalFormatting sqref="P420:Q424">
    <cfRule type="cellIs" dxfId="407" priority="441" operator="equal">
      <formula>0</formula>
    </cfRule>
  </conditionalFormatting>
  <conditionalFormatting sqref="P457:Q461">
    <cfRule type="cellIs" dxfId="406" priority="407" operator="equal">
      <formula>0</formula>
    </cfRule>
  </conditionalFormatting>
  <conditionalFormatting sqref="R86:R88">
    <cfRule type="cellIs" dxfId="405" priority="884" operator="equal">
      <formula>0</formula>
    </cfRule>
  </conditionalFormatting>
  <conditionalFormatting sqref="R123:R125">
    <cfRule type="cellIs" dxfId="404" priority="735" operator="equal">
      <formula>0</formula>
    </cfRule>
  </conditionalFormatting>
  <conditionalFormatting sqref="R160:R162">
    <cfRule type="cellIs" dxfId="403" priority="701" operator="equal">
      <formula>0</formula>
    </cfRule>
  </conditionalFormatting>
  <conditionalFormatting sqref="R197:R199">
    <cfRule type="cellIs" dxfId="402" priority="667" operator="equal">
      <formula>0</formula>
    </cfRule>
  </conditionalFormatting>
  <conditionalFormatting sqref="R234:R236">
    <cfRule type="cellIs" dxfId="401" priority="633" operator="equal">
      <formula>0</formula>
    </cfRule>
  </conditionalFormatting>
  <conditionalFormatting sqref="R271:R273">
    <cfRule type="cellIs" dxfId="400" priority="599" operator="equal">
      <formula>0</formula>
    </cfRule>
  </conditionalFormatting>
  <conditionalFormatting sqref="R308:R310">
    <cfRule type="cellIs" dxfId="399" priority="565" operator="equal">
      <formula>0</formula>
    </cfRule>
  </conditionalFormatting>
  <conditionalFormatting sqref="R345:R347">
    <cfRule type="cellIs" dxfId="398" priority="531" operator="equal">
      <formula>0</formula>
    </cfRule>
  </conditionalFormatting>
  <conditionalFormatting sqref="R382:R384">
    <cfRule type="cellIs" dxfId="397" priority="497" operator="equal">
      <formula>0</formula>
    </cfRule>
  </conditionalFormatting>
  <conditionalFormatting sqref="R419:R421">
    <cfRule type="cellIs" dxfId="396" priority="463" operator="equal">
      <formula>0</formula>
    </cfRule>
  </conditionalFormatting>
  <conditionalFormatting sqref="R456:R458">
    <cfRule type="cellIs" dxfId="395" priority="429" operator="equal">
      <formula>0</formula>
    </cfRule>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21F43-CD0F-429B-8F41-6BF509C18184}">
  <sheetPr>
    <tabColor theme="1" tint="0.249977111117893"/>
  </sheetPr>
  <dimension ref="A1:W414"/>
  <sheetViews>
    <sheetView topLeftCell="A6" zoomScale="85" zoomScaleNormal="85" workbookViewId="0">
      <selection activeCell="I23" sqref="I23"/>
    </sheetView>
  </sheetViews>
  <sheetFormatPr baseColWidth="10" defaultRowHeight="15" x14ac:dyDescent="0.25"/>
  <cols>
    <col min="3" max="3" width="24.28515625" customWidth="1"/>
    <col min="4" max="21" width="12.5703125" customWidth="1"/>
  </cols>
  <sheetData>
    <row r="1" spans="1:23" ht="15.75" x14ac:dyDescent="0.25">
      <c r="A1" s="700"/>
      <c r="B1" s="700"/>
      <c r="C1" s="700"/>
      <c r="D1" s="598" t="s">
        <v>527</v>
      </c>
      <c r="E1" s="598" t="s">
        <v>528</v>
      </c>
      <c r="F1" s="598" t="s">
        <v>529</v>
      </c>
      <c r="G1" s="598" t="s">
        <v>530</v>
      </c>
      <c r="H1" s="598" t="s">
        <v>531</v>
      </c>
      <c r="I1" s="598" t="s">
        <v>532</v>
      </c>
      <c r="J1" s="598" t="s">
        <v>533</v>
      </c>
      <c r="K1" s="598" t="s">
        <v>534</v>
      </c>
      <c r="L1" s="598" t="s">
        <v>535</v>
      </c>
      <c r="M1" s="598" t="s">
        <v>536</v>
      </c>
      <c r="N1" s="598" t="s">
        <v>537</v>
      </c>
      <c r="O1" s="598" t="s">
        <v>538</v>
      </c>
      <c r="P1" s="598" t="s">
        <v>539</v>
      </c>
      <c r="Q1" s="598" t="s">
        <v>541</v>
      </c>
      <c r="R1" s="598" t="s">
        <v>542</v>
      </c>
      <c r="S1" s="598" t="s">
        <v>543</v>
      </c>
      <c r="T1" s="598" t="s">
        <v>606</v>
      </c>
      <c r="U1" s="598" t="s">
        <v>607</v>
      </c>
      <c r="V1" s="700"/>
      <c r="W1" s="700"/>
    </row>
    <row r="2" spans="1:23" x14ac:dyDescent="0.25">
      <c r="A2" s="700"/>
      <c r="B2" s="700"/>
      <c r="C2" s="700"/>
      <c r="D2" s="700" t="s">
        <v>545</v>
      </c>
      <c r="E2" s="701" t="s">
        <v>546</v>
      </c>
      <c r="F2" s="701" t="s">
        <v>547</v>
      </c>
      <c r="G2" s="701" t="s">
        <v>548</v>
      </c>
      <c r="H2" s="701" t="s">
        <v>549</v>
      </c>
      <c r="I2" s="701" t="s">
        <v>550</v>
      </c>
      <c r="J2" s="701" t="s">
        <v>551</v>
      </c>
      <c r="K2" s="701" t="s">
        <v>552</v>
      </c>
      <c r="L2" s="701" t="s">
        <v>553</v>
      </c>
      <c r="M2" s="701" t="s">
        <v>554</v>
      </c>
      <c r="N2" s="701" t="s">
        <v>555</v>
      </c>
      <c r="O2" s="701" t="s">
        <v>556</v>
      </c>
      <c r="P2" s="701" t="s">
        <v>557</v>
      </c>
      <c r="Q2" s="701" t="s">
        <v>558</v>
      </c>
      <c r="R2" s="701" t="s">
        <v>559</v>
      </c>
      <c r="S2" s="701" t="s">
        <v>560</v>
      </c>
      <c r="T2" s="701" t="s">
        <v>561</v>
      </c>
      <c r="U2" s="701" t="s">
        <v>562</v>
      </c>
      <c r="V2" s="700"/>
      <c r="W2" s="700"/>
    </row>
    <row r="3" spans="1:23" ht="18" x14ac:dyDescent="0.25">
      <c r="A3" s="702"/>
      <c r="B3" s="702"/>
      <c r="C3" s="703" t="s">
        <v>406</v>
      </c>
      <c r="D3" s="702"/>
      <c r="E3" s="702"/>
      <c r="F3" s="702"/>
      <c r="G3" s="702"/>
      <c r="H3" s="702"/>
      <c r="I3" s="702"/>
      <c r="J3" s="702"/>
      <c r="K3" s="702"/>
      <c r="L3" s="702"/>
      <c r="M3" s="702"/>
      <c r="N3" s="702"/>
      <c r="O3" s="702"/>
      <c r="P3" s="702"/>
      <c r="Q3" s="702"/>
      <c r="R3" s="702"/>
      <c r="S3" s="702"/>
      <c r="T3" s="702"/>
      <c r="U3" s="702"/>
      <c r="V3" s="702"/>
      <c r="W3" s="702"/>
    </row>
    <row r="4" spans="1:23" x14ac:dyDescent="0.25">
      <c r="A4" s="701"/>
      <c r="B4" s="701"/>
      <c r="C4" s="701"/>
      <c r="D4" s="701"/>
      <c r="E4" s="701"/>
      <c r="F4" s="701"/>
      <c r="G4" s="701"/>
      <c r="H4" s="701"/>
      <c r="I4" s="701"/>
      <c r="J4" s="701"/>
      <c r="K4" s="701"/>
      <c r="L4" s="701"/>
      <c r="M4" s="701"/>
      <c r="N4" s="701"/>
      <c r="O4" s="701"/>
      <c r="P4" s="701"/>
      <c r="Q4" s="701"/>
      <c r="R4" s="701"/>
      <c r="S4" s="701"/>
      <c r="T4" s="701"/>
      <c r="U4" s="701"/>
      <c r="V4" s="701"/>
      <c r="W4" s="701"/>
    </row>
    <row r="5" spans="1:23" ht="15.75" x14ac:dyDescent="0.25">
      <c r="A5" s="704"/>
      <c r="B5" s="701"/>
      <c r="C5" s="705" t="s">
        <v>338</v>
      </c>
      <c r="D5" s="704" t="s">
        <v>481</v>
      </c>
      <c r="E5" s="704"/>
      <c r="F5" s="704"/>
      <c r="G5" s="704"/>
      <c r="H5" s="704"/>
      <c r="I5" s="704"/>
      <c r="J5" s="704"/>
      <c r="K5" s="706"/>
      <c r="L5" s="706"/>
      <c r="M5" s="706"/>
      <c r="N5" s="706"/>
      <c r="O5" s="706"/>
      <c r="P5" s="706"/>
      <c r="Q5" s="706"/>
      <c r="R5" s="704"/>
      <c r="S5" s="704"/>
      <c r="T5" s="704"/>
      <c r="U5" s="704"/>
      <c r="V5" s="704"/>
      <c r="W5" s="704"/>
    </row>
    <row r="6" spans="1:23" ht="15.75" x14ac:dyDescent="0.25">
      <c r="A6" s="704"/>
      <c r="B6" s="701"/>
      <c r="C6" s="705" t="s">
        <v>341</v>
      </c>
      <c r="D6" s="704" t="s">
        <v>342</v>
      </c>
      <c r="E6" s="704"/>
      <c r="F6" s="704"/>
      <c r="G6" s="704"/>
      <c r="H6" s="704"/>
      <c r="I6" s="704"/>
      <c r="J6" s="704"/>
      <c r="K6" s="704"/>
      <c r="L6" s="704"/>
      <c r="M6" s="704"/>
      <c r="N6" s="704"/>
      <c r="O6" s="704"/>
      <c r="P6" s="704"/>
      <c r="Q6" s="704"/>
      <c r="R6" s="704"/>
      <c r="S6" s="704"/>
      <c r="T6" s="704"/>
      <c r="U6" s="704"/>
      <c r="V6" s="704"/>
      <c r="W6" s="704"/>
    </row>
    <row r="7" spans="1:23" x14ac:dyDescent="0.25">
      <c r="A7" s="701"/>
      <c r="B7" s="701"/>
      <c r="C7" s="701"/>
      <c r="D7" s="701"/>
      <c r="E7" s="701"/>
      <c r="F7" s="701"/>
      <c r="G7" s="701"/>
      <c r="H7" s="701"/>
      <c r="I7" s="701"/>
      <c r="J7" s="701"/>
      <c r="K7" s="701"/>
      <c r="L7" s="701"/>
      <c r="M7" s="701"/>
      <c r="N7" s="701"/>
      <c r="O7" s="701"/>
      <c r="P7" s="701"/>
      <c r="Q7" s="701"/>
      <c r="R7" s="701"/>
      <c r="S7" s="701"/>
      <c r="T7" s="701"/>
      <c r="U7" s="701"/>
      <c r="V7" s="701"/>
      <c r="W7" s="701"/>
    </row>
    <row r="8" spans="1:23" x14ac:dyDescent="0.25">
      <c r="A8" s="707"/>
      <c r="B8" s="707"/>
      <c r="C8" s="708" t="s">
        <v>355</v>
      </c>
      <c r="D8" s="707"/>
      <c r="E8" s="707"/>
      <c r="F8" s="707"/>
      <c r="G8" s="707"/>
      <c r="H8" s="707"/>
      <c r="I8" s="707"/>
      <c r="J8" s="707"/>
      <c r="K8" s="707"/>
      <c r="L8" s="707"/>
      <c r="M8" s="707"/>
      <c r="N8" s="707"/>
      <c r="O8" s="707"/>
      <c r="P8" s="707"/>
      <c r="Q8" s="707"/>
      <c r="R8" s="707"/>
      <c r="S8" s="707"/>
      <c r="T8" s="707"/>
      <c r="U8" s="707"/>
      <c r="V8" s="707"/>
      <c r="W8" s="707"/>
    </row>
    <row r="9" spans="1:23" x14ac:dyDescent="0.25">
      <c r="A9" s="701"/>
      <c r="B9" s="701"/>
      <c r="C9" s="701"/>
      <c r="D9" s="701"/>
      <c r="E9" s="701"/>
      <c r="F9" s="701"/>
      <c r="G9" s="701"/>
      <c r="H9" s="701"/>
      <c r="I9" s="701"/>
      <c r="J9" s="701"/>
      <c r="K9" s="701"/>
      <c r="L9" s="701"/>
      <c r="M9" s="701"/>
      <c r="N9" s="701"/>
      <c r="O9" s="701"/>
      <c r="P9" s="701"/>
      <c r="Q9" s="701"/>
      <c r="R9" s="701"/>
      <c r="S9" s="701"/>
      <c r="T9" s="701"/>
      <c r="U9" s="701"/>
      <c r="V9" s="701"/>
      <c r="W9" s="701"/>
    </row>
    <row r="10" spans="1:23" x14ac:dyDescent="0.25">
      <c r="A10" s="701"/>
      <c r="B10" s="701"/>
      <c r="C10" s="780" t="s">
        <v>128</v>
      </c>
      <c r="D10" s="775" t="s">
        <v>42</v>
      </c>
      <c r="E10" s="775" t="s">
        <v>52</v>
      </c>
      <c r="F10" s="775" t="s">
        <v>53</v>
      </c>
      <c r="G10" s="775" t="s">
        <v>482</v>
      </c>
      <c r="H10" s="775" t="s">
        <v>32</v>
      </c>
      <c r="I10" s="775" t="s">
        <v>483</v>
      </c>
      <c r="J10" s="775" t="s">
        <v>20</v>
      </c>
      <c r="K10" s="775" t="s">
        <v>55</v>
      </c>
      <c r="L10" s="777" t="s">
        <v>56</v>
      </c>
      <c r="M10" s="778"/>
      <c r="N10" s="778"/>
      <c r="O10" s="778"/>
      <c r="P10" s="778"/>
      <c r="Q10" s="779"/>
      <c r="R10" s="775" t="s">
        <v>57</v>
      </c>
      <c r="S10" s="775" t="s">
        <v>58</v>
      </c>
      <c r="T10" s="775" t="s">
        <v>31</v>
      </c>
      <c r="U10" s="775" t="s">
        <v>10</v>
      </c>
      <c r="V10" s="701"/>
      <c r="W10" s="701"/>
    </row>
    <row r="11" spans="1:23" ht="67.5" x14ac:dyDescent="0.25">
      <c r="A11" s="701" t="s">
        <v>486</v>
      </c>
      <c r="B11" s="701"/>
      <c r="C11" s="781"/>
      <c r="D11" s="776"/>
      <c r="E11" s="776"/>
      <c r="F11" s="776"/>
      <c r="G11" s="776"/>
      <c r="H11" s="776"/>
      <c r="I11" s="776"/>
      <c r="J11" s="776"/>
      <c r="K11" s="776"/>
      <c r="L11" s="709" t="s">
        <v>335</v>
      </c>
      <c r="M11" s="709" t="s">
        <v>40</v>
      </c>
      <c r="N11" s="709" t="s">
        <v>343</v>
      </c>
      <c r="O11" s="709" t="s">
        <v>344</v>
      </c>
      <c r="P11" s="719" t="s">
        <v>610</v>
      </c>
      <c r="Q11" s="709" t="s">
        <v>346</v>
      </c>
      <c r="R11" s="776"/>
      <c r="S11" s="776"/>
      <c r="T11" s="776"/>
      <c r="U11" s="776"/>
      <c r="V11" s="701"/>
      <c r="W11" s="701"/>
    </row>
    <row r="12" spans="1:23" x14ac:dyDescent="0.25">
      <c r="A12" s="701" t="s">
        <v>487</v>
      </c>
      <c r="B12" s="701"/>
      <c r="C12" s="710" t="s">
        <v>59</v>
      </c>
      <c r="D12" s="711">
        <f>Bilans_E_AMS_Kyoto_run3_MTE!H162</f>
        <v>0</v>
      </c>
      <c r="E12" s="711">
        <f>Bilans_E_AMS_Kyoto_run3_MTE!I162</f>
        <v>9.6296400000000002</v>
      </c>
      <c r="F12" s="711">
        <f>Bilans_E_AMS_Kyoto_run3_MTE!J162</f>
        <v>0</v>
      </c>
      <c r="G12" s="711">
        <f>Bilans_E_AMS_Kyoto_run3_MTE!K162</f>
        <v>0</v>
      </c>
      <c r="H12" s="711">
        <f>Bilans_E_AMS_Kyoto_run3_MTE!L162</f>
        <v>0.19305800000000004</v>
      </c>
      <c r="I12" s="711">
        <f>Bilans_E_AMS_Kyoto_run3_MTE!M162</f>
        <v>0</v>
      </c>
      <c r="J12" s="711">
        <f>Bilans_E_AMS_Kyoto_run3_MTE!N162</f>
        <v>1140.3030303030305</v>
      </c>
      <c r="K12" s="711">
        <f>Bilans_E_AMS_Kyoto_run3_MTE!O162</f>
        <v>130.20616810165527</v>
      </c>
      <c r="L12" s="711">
        <f>Bilans_E_AMS_Kyoto_run3_MTE!P162</f>
        <v>231.77157453342517</v>
      </c>
      <c r="M12" s="711">
        <f>Bilans_E_AMS_Kyoto_run3_MTE!Q162</f>
        <v>37.305059000918774</v>
      </c>
      <c r="N12" s="711">
        <f>Bilans_E_AMS_Kyoto_run3_MTE!R162</f>
        <v>1.2541050018668516</v>
      </c>
      <c r="O12" s="711">
        <f>Bilans_E_AMS_Kyoto_run3_MTE!S162</f>
        <v>0.16066538698047411</v>
      </c>
      <c r="P12" s="711">
        <f>Bilans_E_AMS_Kyoto_run3_MTE!T162+Bilans_E_AMS_Kyoto_run3_MTE!U162</f>
        <v>67.494138588067926</v>
      </c>
      <c r="Q12" s="711">
        <f>Bilans_E_AMS_Kyoto_run3_MTE!V162</f>
        <v>9.7029989112058512</v>
      </c>
      <c r="R12" s="711">
        <f>Bilans_E_AMS_Kyoto_run3_MTE!W162</f>
        <v>0</v>
      </c>
      <c r="S12" s="711">
        <f>Bilans_E_AMS_Kyoto_run3_MTE!X162</f>
        <v>0</v>
      </c>
      <c r="T12" s="711">
        <f>Bilans_E_AMS_Kyoto_run3_MTE!Y162</f>
        <v>0</v>
      </c>
      <c r="U12" s="711">
        <f>Bilans_E_AMS_Kyoto_run3_MTE!Z162</f>
        <v>1628.020437827151</v>
      </c>
      <c r="V12" s="701"/>
      <c r="W12" s="701"/>
    </row>
    <row r="13" spans="1:23" x14ac:dyDescent="0.25">
      <c r="A13" s="701" t="s">
        <v>488</v>
      </c>
      <c r="B13" s="701"/>
      <c r="C13" s="710" t="s">
        <v>60</v>
      </c>
      <c r="D13" s="712">
        <f>Bilans_E_AMS_Kyoto_run3_MTE!H163</f>
        <v>47.160350476489363</v>
      </c>
      <c r="E13" s="712">
        <f>Bilans_E_AMS_Kyoto_run3_MTE!I163</f>
        <v>451.87886928996238</v>
      </c>
      <c r="F13" s="712">
        <f>Bilans_E_AMS_Kyoto_run3_MTE!J163</f>
        <v>331.32526443206382</v>
      </c>
      <c r="G13" s="712">
        <f>Bilans_E_AMS_Kyoto_run3_MTE!K163</f>
        <v>0</v>
      </c>
      <c r="H13" s="712">
        <f>Bilans_E_AMS_Kyoto_run3_MTE!L163</f>
        <v>378.98816878459513</v>
      </c>
      <c r="I13" s="712">
        <f>Bilans_E_AMS_Kyoto_run3_MTE!M163</f>
        <v>0</v>
      </c>
      <c r="J13" s="712">
        <f>Bilans_E_AMS_Kyoto_run3_MTE!N163</f>
        <v>0</v>
      </c>
      <c r="K13" s="712">
        <f>Bilans_E_AMS_Kyoto_run3_MTE!O163</f>
        <v>0</v>
      </c>
      <c r="L13" s="712">
        <f>Bilans_E_AMS_Kyoto_run3_MTE!P163</f>
        <v>1.7064184013992112</v>
      </c>
      <c r="M13" s="712">
        <f>Bilans_E_AMS_Kyoto_run3_MTE!Q163</f>
        <v>0</v>
      </c>
      <c r="N13" s="712">
        <f>Bilans_E_AMS_Kyoto_run3_MTE!R163</f>
        <v>4.468802584504088</v>
      </c>
      <c r="O13" s="712">
        <f>Bilans_E_AMS_Kyoto_run3_MTE!S163</f>
        <v>0</v>
      </c>
      <c r="P13" s="712">
        <f>Bilans_E_AMS_Kyoto_run3_MTE!T163+Bilans_E_AMS_Kyoto_run3_MTE!U163</f>
        <v>0</v>
      </c>
      <c r="Q13" s="712">
        <f>Bilans_E_AMS_Kyoto_run3_MTE!V163</f>
        <v>0</v>
      </c>
      <c r="R13" s="712">
        <f>Bilans_E_AMS_Kyoto_run3_MTE!W163</f>
        <v>0</v>
      </c>
      <c r="S13" s="712">
        <f>Bilans_E_AMS_Kyoto_run3_MTE!X163</f>
        <v>0</v>
      </c>
      <c r="T13" s="712">
        <f>Bilans_E_AMS_Kyoto_run3_MTE!Y163</f>
        <v>0</v>
      </c>
      <c r="U13" s="712">
        <f>Bilans_E_AMS_Kyoto_run3_MTE!Z163</f>
        <v>1215.5278739690139</v>
      </c>
      <c r="V13" s="701"/>
      <c r="W13" s="701"/>
    </row>
    <row r="14" spans="1:23" x14ac:dyDescent="0.25">
      <c r="A14" s="701" t="s">
        <v>489</v>
      </c>
      <c r="B14" s="701"/>
      <c r="C14" s="710" t="s">
        <v>61</v>
      </c>
      <c r="D14" s="712">
        <f>Bilans_E_AMS_Kyoto_run3_MTE!H164</f>
        <v>0</v>
      </c>
      <c r="E14" s="712">
        <f>Bilans_E_AMS_Kyoto_run3_MTE!I164</f>
        <v>0</v>
      </c>
      <c r="F14" s="712">
        <f>Bilans_E_AMS_Kyoto_run3_MTE!J164</f>
        <v>3.2427923384532278</v>
      </c>
      <c r="G14" s="712">
        <f>Bilans_E_AMS_Kyoto_run3_MTE!K164</f>
        <v>0</v>
      </c>
      <c r="H14" s="712">
        <f>Bilans_E_AMS_Kyoto_run3_MTE!L164</f>
        <v>0</v>
      </c>
      <c r="I14" s="712">
        <f>Bilans_E_AMS_Kyoto_run3_MTE!M164</f>
        <v>0</v>
      </c>
      <c r="J14" s="712">
        <f>Bilans_E_AMS_Kyoto_run3_MTE!N164</f>
        <v>0</v>
      </c>
      <c r="K14" s="712">
        <f>Bilans_E_AMS_Kyoto_run3_MTE!O164</f>
        <v>0</v>
      </c>
      <c r="L14" s="712">
        <f>Bilans_E_AMS_Kyoto_run3_MTE!P164</f>
        <v>-12.38137239347526</v>
      </c>
      <c r="M14" s="712">
        <f>Bilans_E_AMS_Kyoto_run3_MTE!Q164</f>
        <v>0</v>
      </c>
      <c r="N14" s="712">
        <f>Bilans_E_AMS_Kyoto_run3_MTE!R164</f>
        <v>0</v>
      </c>
      <c r="O14" s="712">
        <f>Bilans_E_AMS_Kyoto_run3_MTE!S164</f>
        <v>-0.8245514716811293</v>
      </c>
      <c r="P14" s="712">
        <f>Bilans_E_AMS_Kyoto_run3_MTE!T164+Bilans_E_AMS_Kyoto_run3_MTE!U164</f>
        <v>0</v>
      </c>
      <c r="Q14" s="712">
        <f>Bilans_E_AMS_Kyoto_run3_MTE!V164</f>
        <v>0</v>
      </c>
      <c r="R14" s="712">
        <f>Bilans_E_AMS_Kyoto_run3_MTE!W164</f>
        <v>-75.129808237977386</v>
      </c>
      <c r="S14" s="712">
        <f>Bilans_E_AMS_Kyoto_run3_MTE!X164</f>
        <v>0</v>
      </c>
      <c r="T14" s="712">
        <f>Bilans_E_AMS_Kyoto_run3_MTE!Y164</f>
        <v>0</v>
      </c>
      <c r="U14" s="712">
        <f>Bilans_E_AMS_Kyoto_run3_MTE!Z164</f>
        <v>-85.092939764680551</v>
      </c>
      <c r="V14" s="701"/>
      <c r="W14" s="701"/>
    </row>
    <row r="15" spans="1:23" x14ac:dyDescent="0.25">
      <c r="A15" s="701" t="s">
        <v>490</v>
      </c>
      <c r="B15" s="701"/>
      <c r="C15" s="710" t="s">
        <v>62</v>
      </c>
      <c r="D15" s="711">
        <f>Bilans_E_AMS_Kyoto_run3_MTE!H165</f>
        <v>0</v>
      </c>
      <c r="E15" s="711">
        <f>Bilans_E_AMS_Kyoto_run3_MTE!I165</f>
        <v>0</v>
      </c>
      <c r="F15" s="711">
        <f>Bilans_E_AMS_Kyoto_run3_MTE!J165</f>
        <v>-12.596352093479073</v>
      </c>
      <c r="G15" s="711">
        <f>Bilans_E_AMS_Kyoto_run3_MTE!K165</f>
        <v>0</v>
      </c>
      <c r="H15" s="711">
        <f>Bilans_E_AMS_Kyoto_run3_MTE!L165</f>
        <v>-1.0737730085364068</v>
      </c>
      <c r="I15" s="711">
        <f>Bilans_E_AMS_Kyoto_run3_MTE!M165</f>
        <v>0</v>
      </c>
      <c r="J15" s="711">
        <f>Bilans_E_AMS_Kyoto_run3_MTE!N165</f>
        <v>0</v>
      </c>
      <c r="K15" s="711">
        <f>Bilans_E_AMS_Kyoto_run3_MTE!O165</f>
        <v>0</v>
      </c>
      <c r="L15" s="711">
        <f>Bilans_E_AMS_Kyoto_run3_MTE!P165</f>
        <v>0</v>
      </c>
      <c r="M15" s="711">
        <f>Bilans_E_AMS_Kyoto_run3_MTE!Q165</f>
        <v>0</v>
      </c>
      <c r="N15" s="711">
        <f>Bilans_E_AMS_Kyoto_run3_MTE!R165</f>
        <v>0</v>
      </c>
      <c r="O15" s="711">
        <f>Bilans_E_AMS_Kyoto_run3_MTE!S165</f>
        <v>0</v>
      </c>
      <c r="P15" s="711">
        <f>Bilans_E_AMS_Kyoto_run3_MTE!T165+Bilans_E_AMS_Kyoto_run3_MTE!U165</f>
        <v>0</v>
      </c>
      <c r="Q15" s="711">
        <f>Bilans_E_AMS_Kyoto_run3_MTE!V165</f>
        <v>0</v>
      </c>
      <c r="R15" s="711">
        <f>Bilans_E_AMS_Kyoto_run3_MTE!W165</f>
        <v>0</v>
      </c>
      <c r="S15" s="711">
        <f>Bilans_E_AMS_Kyoto_run3_MTE!X165</f>
        <v>0</v>
      </c>
      <c r="T15" s="711">
        <f>Bilans_E_AMS_Kyoto_run3_MTE!Y165</f>
        <v>0</v>
      </c>
      <c r="U15" s="711">
        <f>Bilans_E_AMS_Kyoto_run3_MTE!Z165</f>
        <v>-13.670125102015479</v>
      </c>
      <c r="V15" s="701"/>
      <c r="W15" s="701"/>
    </row>
    <row r="16" spans="1:23" x14ac:dyDescent="0.25">
      <c r="A16" s="701" t="s">
        <v>491</v>
      </c>
      <c r="B16" s="701"/>
      <c r="C16" s="710" t="s">
        <v>63</v>
      </c>
      <c r="D16" s="711">
        <f>Bilans_E_AMS_Kyoto_run3_MTE!H166</f>
        <v>0</v>
      </c>
      <c r="E16" s="711">
        <f>Bilans_E_AMS_Kyoto_run3_MTE!I166</f>
        <v>0</v>
      </c>
      <c r="F16" s="711">
        <f>Bilans_E_AMS_Kyoto_run3_MTE!J166</f>
        <v>-62.400561722234599</v>
      </c>
      <c r="G16" s="711">
        <f>Bilans_E_AMS_Kyoto_run3_MTE!K166</f>
        <v>0</v>
      </c>
      <c r="H16" s="711">
        <f>Bilans_E_AMS_Kyoto_run3_MTE!L166</f>
        <v>0</v>
      </c>
      <c r="I16" s="711">
        <f>Bilans_E_AMS_Kyoto_run3_MTE!M166</f>
        <v>0</v>
      </c>
      <c r="J16" s="711">
        <f>Bilans_E_AMS_Kyoto_run3_MTE!N166</f>
        <v>0</v>
      </c>
      <c r="K16" s="711">
        <f>Bilans_E_AMS_Kyoto_run3_MTE!O166</f>
        <v>0</v>
      </c>
      <c r="L16" s="711">
        <f>Bilans_E_AMS_Kyoto_run3_MTE!P166</f>
        <v>0</v>
      </c>
      <c r="M16" s="711">
        <f>Bilans_E_AMS_Kyoto_run3_MTE!Q166</f>
        <v>0</v>
      </c>
      <c r="N16" s="711">
        <f>Bilans_E_AMS_Kyoto_run3_MTE!R166</f>
        <v>-0.63296548425477106</v>
      </c>
      <c r="O16" s="711">
        <f>Bilans_E_AMS_Kyoto_run3_MTE!S166</f>
        <v>0</v>
      </c>
      <c r="P16" s="711">
        <f>Bilans_E_AMS_Kyoto_run3_MTE!T166+Bilans_E_AMS_Kyoto_run3_MTE!U166</f>
        <v>0</v>
      </c>
      <c r="Q16" s="711">
        <f>Bilans_E_AMS_Kyoto_run3_MTE!V166</f>
        <v>0</v>
      </c>
      <c r="R16" s="711">
        <f>Bilans_E_AMS_Kyoto_run3_MTE!W166</f>
        <v>0</v>
      </c>
      <c r="S16" s="711">
        <f>Bilans_E_AMS_Kyoto_run3_MTE!X166</f>
        <v>0</v>
      </c>
      <c r="T16" s="711">
        <f>Bilans_E_AMS_Kyoto_run3_MTE!Y166</f>
        <v>0</v>
      </c>
      <c r="U16" s="711">
        <f>Bilans_E_AMS_Kyoto_run3_MTE!Z166</f>
        <v>-63.033527206489367</v>
      </c>
      <c r="V16" s="701"/>
      <c r="W16" s="701"/>
    </row>
    <row r="17" spans="1:23" x14ac:dyDescent="0.25">
      <c r="A17" s="701" t="s">
        <v>492</v>
      </c>
      <c r="B17" s="701"/>
      <c r="C17" s="710" t="s">
        <v>64</v>
      </c>
      <c r="D17" s="712">
        <f>Bilans_E_AMS_Kyoto_run3_MTE!H167</f>
        <v>9.7684723496666986E-2</v>
      </c>
      <c r="E17" s="712">
        <f>Bilans_E_AMS_Kyoto_run3_MTE!I167</f>
        <v>-5.9567697000000003E-2</v>
      </c>
      <c r="F17" s="712">
        <f>Bilans_E_AMS_Kyoto_run3_MTE!J167</f>
        <v>3.8766666666666671E-2</v>
      </c>
      <c r="G17" s="712">
        <f>Bilans_E_AMS_Kyoto_run3_MTE!K167</f>
        <v>0</v>
      </c>
      <c r="H17" s="712">
        <f>Bilans_E_AMS_Kyoto_run3_MTE!L167</f>
        <v>0</v>
      </c>
      <c r="I17" s="712">
        <f>Bilans_E_AMS_Kyoto_run3_MTE!M167</f>
        <v>0</v>
      </c>
      <c r="J17" s="712">
        <f>Bilans_E_AMS_Kyoto_run3_MTE!N167</f>
        <v>0</v>
      </c>
      <c r="K17" s="712">
        <f>Bilans_E_AMS_Kyoto_run3_MTE!O167</f>
        <v>0</v>
      </c>
      <c r="L17" s="712">
        <f>Bilans_E_AMS_Kyoto_run3_MTE!P167</f>
        <v>0</v>
      </c>
      <c r="M17" s="712">
        <f>Bilans_E_AMS_Kyoto_run3_MTE!Q167</f>
        <v>0</v>
      </c>
      <c r="N17" s="712">
        <f>Bilans_E_AMS_Kyoto_run3_MTE!R167</f>
        <v>0</v>
      </c>
      <c r="O17" s="712">
        <f>Bilans_E_AMS_Kyoto_run3_MTE!S167</f>
        <v>0</v>
      </c>
      <c r="P17" s="712">
        <f>Bilans_E_AMS_Kyoto_run3_MTE!T167+Bilans_E_AMS_Kyoto_run3_MTE!U167</f>
        <v>0</v>
      </c>
      <c r="Q17" s="712">
        <f>Bilans_E_AMS_Kyoto_run3_MTE!V167</f>
        <v>0</v>
      </c>
      <c r="R17" s="712">
        <f>Bilans_E_AMS_Kyoto_run3_MTE!W167</f>
        <v>0</v>
      </c>
      <c r="S17" s="712">
        <f>Bilans_E_AMS_Kyoto_run3_MTE!X167</f>
        <v>0</v>
      </c>
      <c r="T17" s="712">
        <f>Bilans_E_AMS_Kyoto_run3_MTE!Y167</f>
        <v>0</v>
      </c>
      <c r="U17" s="712">
        <f>Bilans_E_AMS_Kyoto_run3_MTE!Z167</f>
        <v>7.6883693163333655E-2</v>
      </c>
      <c r="V17" s="701"/>
      <c r="W17" s="701"/>
    </row>
    <row r="18" spans="1:23" x14ac:dyDescent="0.25">
      <c r="A18" s="701" t="s">
        <v>493</v>
      </c>
      <c r="B18" s="701"/>
      <c r="C18" s="713" t="s">
        <v>65</v>
      </c>
      <c r="D18" s="714">
        <f>Bilans_E_AMS_Kyoto_run3_MTE!H168</f>
        <v>47.258035199986033</v>
      </c>
      <c r="E18" s="714">
        <f>Bilans_E_AMS_Kyoto_run3_MTE!I168</f>
        <v>461.4489415929624</v>
      </c>
      <c r="F18" s="714">
        <f>Bilans_E_AMS_Kyoto_run3_MTE!J168</f>
        <v>259.60990962147002</v>
      </c>
      <c r="G18" s="714">
        <f>Bilans_E_AMS_Kyoto_run3_MTE!K168</f>
        <v>0</v>
      </c>
      <c r="H18" s="714">
        <f>Bilans_E_AMS_Kyoto_run3_MTE!L168</f>
        <v>378.10745377605872</v>
      </c>
      <c r="I18" s="714">
        <f>Bilans_E_AMS_Kyoto_run3_MTE!M168</f>
        <v>0</v>
      </c>
      <c r="J18" s="714">
        <f>Bilans_E_AMS_Kyoto_run3_MTE!N168</f>
        <v>1140.3030303030305</v>
      </c>
      <c r="K18" s="714">
        <f>Bilans_E_AMS_Kyoto_run3_MTE!O168</f>
        <v>130.20616810165527</v>
      </c>
      <c r="L18" s="714">
        <f>Bilans_E_AMS_Kyoto_run3_MTE!P168</f>
        <v>221.09662054134913</v>
      </c>
      <c r="M18" s="714">
        <f>Bilans_E_AMS_Kyoto_run3_MTE!Q168</f>
        <v>37.305059000918774</v>
      </c>
      <c r="N18" s="714">
        <f>Bilans_E_AMS_Kyoto_run3_MTE!R168</f>
        <v>5.0899421021161686</v>
      </c>
      <c r="O18" s="714">
        <f>Bilans_E_AMS_Kyoto_run3_MTE!S168</f>
        <v>-0.66388608470065513</v>
      </c>
      <c r="P18" s="714">
        <f>Bilans_E_AMS_Kyoto_run3_MTE!T168+Bilans_E_AMS_Kyoto_run3_MTE!U168</f>
        <v>67.494138588067926</v>
      </c>
      <c r="Q18" s="714">
        <f>Bilans_E_AMS_Kyoto_run3_MTE!V168</f>
        <v>9.7029989112058512</v>
      </c>
      <c r="R18" s="714">
        <f>Bilans_E_AMS_Kyoto_run3_MTE!W168</f>
        <v>-75.129808237977386</v>
      </c>
      <c r="S18" s="714">
        <f>Bilans_E_AMS_Kyoto_run3_MTE!X168</f>
        <v>0</v>
      </c>
      <c r="T18" s="714">
        <f>Bilans_E_AMS_Kyoto_run3_MTE!Y168</f>
        <v>0</v>
      </c>
      <c r="U18" s="714">
        <f>Bilans_E_AMS_Kyoto_run3_MTE!Z168</f>
        <v>2681.8286034161429</v>
      </c>
      <c r="V18" s="701"/>
      <c r="W18" s="701"/>
    </row>
    <row r="19" spans="1:23" x14ac:dyDescent="0.25">
      <c r="A19" s="701"/>
      <c r="B19" s="701"/>
      <c r="C19" s="715"/>
      <c r="D19" s="716"/>
      <c r="E19" s="716"/>
      <c r="F19" s="716"/>
      <c r="G19" s="716"/>
      <c r="H19" s="716"/>
      <c r="I19" s="716"/>
      <c r="J19" s="716"/>
      <c r="K19" s="716"/>
      <c r="L19" s="716"/>
      <c r="M19" s="716"/>
      <c r="N19" s="716"/>
      <c r="O19" s="716"/>
      <c r="P19" s="716">
        <f>Bilans_E_AMS_Kyoto_run3_MTE!T169+Bilans_E_AMS_Kyoto_run3_MTE!U169</f>
        <v>0</v>
      </c>
      <c r="Q19" s="716"/>
      <c r="R19" s="716"/>
      <c r="S19" s="716"/>
      <c r="T19" s="716"/>
      <c r="U19" s="716"/>
      <c r="V19" s="701"/>
      <c r="W19" s="701"/>
    </row>
    <row r="20" spans="1:23" x14ac:dyDescent="0.25">
      <c r="A20" s="701" t="s">
        <v>494</v>
      </c>
      <c r="B20" s="701"/>
      <c r="C20" s="717" t="s">
        <v>67</v>
      </c>
      <c r="D20" s="711">
        <f>Bilans_E_AMS_Kyoto_run3_MTE!H170</f>
        <v>0</v>
      </c>
      <c r="E20" s="711">
        <f>Bilans_E_AMS_Kyoto_run3_MTE!I170</f>
        <v>4.3623690669338813E-2</v>
      </c>
      <c r="F20" s="711">
        <f>Bilans_E_AMS_Kyoto_run3_MTE!J170</f>
        <v>-0.43976848620269193</v>
      </c>
      <c r="G20" s="711">
        <f>Bilans_E_AMS_Kyoto_run3_MTE!K170</f>
        <v>0</v>
      </c>
      <c r="H20" s="711">
        <f>Bilans_E_AMS_Kyoto_run3_MTE!L170</f>
        <v>0</v>
      </c>
      <c r="I20" s="711">
        <f>Bilans_E_AMS_Kyoto_run3_MTE!M170</f>
        <v>0</v>
      </c>
      <c r="J20" s="711">
        <f>Bilans_E_AMS_Kyoto_run3_MTE!N170</f>
        <v>0</v>
      </c>
      <c r="K20" s="711">
        <f>Bilans_E_AMS_Kyoto_run3_MTE!O170</f>
        <v>0</v>
      </c>
      <c r="L20" s="711">
        <f>Bilans_E_AMS_Kyoto_run3_MTE!P170</f>
        <v>0</v>
      </c>
      <c r="M20" s="711">
        <f>Bilans_E_AMS_Kyoto_run3_MTE!Q170</f>
        <v>0</v>
      </c>
      <c r="N20" s="711">
        <f>Bilans_E_AMS_Kyoto_run3_MTE!R170</f>
        <v>0</v>
      </c>
      <c r="O20" s="711">
        <f>Bilans_E_AMS_Kyoto_run3_MTE!S170</f>
        <v>0</v>
      </c>
      <c r="P20" s="711">
        <f>Bilans_E_AMS_Kyoto_run3_MTE!T170+Bilans_E_AMS_Kyoto_run3_MTE!U170</f>
        <v>0</v>
      </c>
      <c r="Q20" s="711">
        <f>Bilans_E_AMS_Kyoto_run3_MTE!V170</f>
        <v>0</v>
      </c>
      <c r="R20" s="711">
        <f>Bilans_E_AMS_Kyoto_run3_MTE!W170</f>
        <v>0.19176325930063415</v>
      </c>
      <c r="S20" s="711">
        <f>Bilans_E_AMS_Kyoto_run3_MTE!X170</f>
        <v>0</v>
      </c>
      <c r="T20" s="711">
        <f>Bilans_E_AMS_Kyoto_run3_MTE!Y170</f>
        <v>0</v>
      </c>
      <c r="U20" s="711">
        <f>Bilans_E_AMS_Kyoto_run3_MTE!Z170</f>
        <v>-0.20438153623271899</v>
      </c>
      <c r="V20" s="701"/>
      <c r="W20" s="701"/>
    </row>
    <row r="21" spans="1:23" x14ac:dyDescent="0.25">
      <c r="A21" s="701" t="s">
        <v>495</v>
      </c>
      <c r="B21" s="701"/>
      <c r="C21" s="717" t="s">
        <v>347</v>
      </c>
      <c r="D21" s="711">
        <f>Bilans_E_AMS_Kyoto_run3_MTE!H171</f>
        <v>9.5913599017962916</v>
      </c>
      <c r="E21" s="711">
        <f>Bilans_E_AMS_Kyoto_run3_MTE!I171</f>
        <v>0</v>
      </c>
      <c r="F21" s="711">
        <f>Bilans_E_AMS_Kyoto_run3_MTE!J171</f>
        <v>8.1133049525470469</v>
      </c>
      <c r="G21" s="711">
        <f>Bilans_E_AMS_Kyoto_run3_MTE!K171</f>
        <v>0</v>
      </c>
      <c r="H21" s="711">
        <f>Bilans_E_AMS_Kyoto_run3_MTE!L171</f>
        <v>56.544852595880776</v>
      </c>
      <c r="I21" s="711">
        <f>Bilans_E_AMS_Kyoto_run3_MTE!M171</f>
        <v>0</v>
      </c>
      <c r="J21" s="711">
        <f>Bilans_E_AMS_Kyoto_run3_MTE!N171</f>
        <v>1140.3030303030305</v>
      </c>
      <c r="K21" s="711">
        <f>Bilans_E_AMS_Kyoto_run3_MTE!O171</f>
        <v>130.20616810165527</v>
      </c>
      <c r="L21" s="711">
        <f>Bilans_E_AMS_Kyoto_run3_MTE!P171</f>
        <v>11.146900070965362</v>
      </c>
      <c r="M21" s="711">
        <f>Bilans_E_AMS_Kyoto_run3_MTE!Q171</f>
        <v>7.9664341186397536</v>
      </c>
      <c r="N21" s="711">
        <f>Bilans_E_AMS_Kyoto_run3_MTE!R171</f>
        <v>3.7008210788065874</v>
      </c>
      <c r="O21" s="711">
        <f>Bilans_E_AMS_Kyoto_run3_MTE!S171</f>
        <v>7.539554687040062</v>
      </c>
      <c r="P21" s="711">
        <f>Bilans_E_AMS_Kyoto_run3_MTE!T171+Bilans_E_AMS_Kyoto_run3_MTE!U171</f>
        <v>0</v>
      </c>
      <c r="Q21" s="711">
        <f>Bilans_E_AMS_Kyoto_run3_MTE!V171</f>
        <v>0.58332819125492874</v>
      </c>
      <c r="R21" s="711">
        <f>Bilans_E_AMS_Kyoto_run3_MTE!W171</f>
        <v>-555.63067239728423</v>
      </c>
      <c r="S21" s="711">
        <f>Bilans_E_AMS_Kyoto_run3_MTE!X171</f>
        <v>0</v>
      </c>
      <c r="T21" s="711">
        <f>Bilans_E_AMS_Kyoto_run3_MTE!Y171</f>
        <v>0</v>
      </c>
      <c r="U21" s="711">
        <f>Bilans_E_AMS_Kyoto_run3_MTE!Z171</f>
        <v>820.06508160433202</v>
      </c>
      <c r="V21" s="701"/>
      <c r="W21" s="701"/>
    </row>
    <row r="22" spans="1:23" x14ac:dyDescent="0.25">
      <c r="A22" s="701" t="s">
        <v>496</v>
      </c>
      <c r="B22" s="701"/>
      <c r="C22" s="717" t="s">
        <v>348</v>
      </c>
      <c r="D22" s="711">
        <f>Bilans_E_AMS_Kyoto_run3_MTE!H172</f>
        <v>0.67844189975224567</v>
      </c>
      <c r="E22" s="711">
        <f>Bilans_E_AMS_Kyoto_run3_MTE!I172</f>
        <v>0</v>
      </c>
      <c r="F22" s="711">
        <f>Bilans_E_AMS_Kyoto_run3_MTE!J172</f>
        <v>2.658988310925126</v>
      </c>
      <c r="G22" s="711">
        <f>Bilans_E_AMS_Kyoto_run3_MTE!K172</f>
        <v>0</v>
      </c>
      <c r="H22" s="711">
        <f>Bilans_E_AMS_Kyoto_run3_MTE!L172</f>
        <v>19.429894179428665</v>
      </c>
      <c r="I22" s="711">
        <f>Bilans_E_AMS_Kyoto_run3_MTE!M172</f>
        <v>0</v>
      </c>
      <c r="J22" s="711">
        <f>Bilans_E_AMS_Kyoto_run3_MTE!N172</f>
        <v>0</v>
      </c>
      <c r="K22" s="711">
        <f>Bilans_E_AMS_Kyoto_run3_MTE!O172</f>
        <v>0</v>
      </c>
      <c r="L22" s="711">
        <f>Bilans_E_AMS_Kyoto_run3_MTE!P172</f>
        <v>18.808573921863989</v>
      </c>
      <c r="M22" s="711">
        <f>Bilans_E_AMS_Kyoto_run3_MTE!Q172</f>
        <v>10.482739098537605</v>
      </c>
      <c r="N22" s="711">
        <f>Bilans_E_AMS_Kyoto_run3_MTE!R172</f>
        <v>0</v>
      </c>
      <c r="O22" s="711">
        <f>Bilans_E_AMS_Kyoto_run3_MTE!S172</f>
        <v>2.9558578730887866</v>
      </c>
      <c r="P22" s="711">
        <f>Bilans_E_AMS_Kyoto_run3_MTE!T172+Bilans_E_AMS_Kyoto_run3_MTE!U172</f>
        <v>1.2517894765449027</v>
      </c>
      <c r="Q22" s="711">
        <f>Bilans_E_AMS_Kyoto_run3_MTE!V172</f>
        <v>3.3768189784020444</v>
      </c>
      <c r="R22" s="711">
        <f>Bilans_E_AMS_Kyoto_run3_MTE!W172</f>
        <v>0</v>
      </c>
      <c r="S22" s="711">
        <f>Bilans_E_AMS_Kyoto_run3_MTE!X172</f>
        <v>-51.828891247443657</v>
      </c>
      <c r="T22" s="711">
        <f>Bilans_E_AMS_Kyoto_run3_MTE!Y172</f>
        <v>0</v>
      </c>
      <c r="U22" s="711">
        <f>Bilans_E_AMS_Kyoto_run3_MTE!Z172</f>
        <v>7.8142124910997097</v>
      </c>
      <c r="V22" s="701"/>
      <c r="W22" s="701"/>
    </row>
    <row r="23" spans="1:23" x14ac:dyDescent="0.25">
      <c r="A23" s="701" t="s">
        <v>497</v>
      </c>
      <c r="B23" s="701"/>
      <c r="C23" s="717" t="s">
        <v>349</v>
      </c>
      <c r="D23" s="711">
        <f>Bilans_E_AMS_Kyoto_run3_MTE!H173</f>
        <v>0</v>
      </c>
      <c r="E23" s="711">
        <f>Bilans_E_AMS_Kyoto_run3_MTE!I173</f>
        <v>0</v>
      </c>
      <c r="F23" s="711">
        <f>Bilans_E_AMS_Kyoto_run3_MTE!J173</f>
        <v>0</v>
      </c>
      <c r="G23" s="711">
        <f>Bilans_E_AMS_Kyoto_run3_MTE!K173</f>
        <v>0</v>
      </c>
      <c r="H23" s="711">
        <f>Bilans_E_AMS_Kyoto_run3_MTE!L173</f>
        <v>0</v>
      </c>
      <c r="I23" s="711">
        <f>Bilans_E_AMS_Kyoto_run3_MTE!M173</f>
        <v>0</v>
      </c>
      <c r="J23" s="711">
        <f>Bilans_E_AMS_Kyoto_run3_MTE!N173</f>
        <v>0</v>
      </c>
      <c r="K23" s="711">
        <f>Bilans_E_AMS_Kyoto_run3_MTE!O173</f>
        <v>0</v>
      </c>
      <c r="L23" s="711">
        <f>Bilans_E_AMS_Kyoto_run3_MTE!P173</f>
        <v>32.511400855810329</v>
      </c>
      <c r="M23" s="711">
        <f>Bilans_E_AMS_Kyoto_run3_MTE!Q173</f>
        <v>7.330340261763121</v>
      </c>
      <c r="N23" s="711">
        <f>Bilans_E_AMS_Kyoto_run3_MTE!R173</f>
        <v>0</v>
      </c>
      <c r="O23" s="711">
        <f>Bilans_E_AMS_Kyoto_run3_MTE!S173</f>
        <v>-19.920870558786724</v>
      </c>
      <c r="P23" s="711">
        <f>Bilans_E_AMS_Kyoto_run3_MTE!T173+Bilans_E_AMS_Kyoto_run3_MTE!U173</f>
        <v>0</v>
      </c>
      <c r="Q23" s="711">
        <f>Bilans_E_AMS_Kyoto_run3_MTE!V173</f>
        <v>0</v>
      </c>
      <c r="R23" s="711">
        <f>Bilans_E_AMS_Kyoto_run3_MTE!W173</f>
        <v>0</v>
      </c>
      <c r="S23" s="711">
        <f>Bilans_E_AMS_Kyoto_run3_MTE!X173</f>
        <v>0</v>
      </c>
      <c r="T23" s="711">
        <f>Bilans_E_AMS_Kyoto_run3_MTE!Y173</f>
        <v>0</v>
      </c>
      <c r="U23" s="711">
        <f>Bilans_E_AMS_Kyoto_run3_MTE!Z173</f>
        <v>19.920870558786724</v>
      </c>
      <c r="V23" s="701"/>
      <c r="W23" s="701"/>
    </row>
    <row r="24" spans="1:23" x14ac:dyDescent="0.25">
      <c r="A24" s="701" t="s">
        <v>498</v>
      </c>
      <c r="B24" s="701"/>
      <c r="C24" s="717" t="s">
        <v>350</v>
      </c>
      <c r="D24" s="711">
        <f>Bilans_E_AMS_Kyoto_run3_MTE!H174</f>
        <v>0</v>
      </c>
      <c r="E24" s="711">
        <f>Bilans_E_AMS_Kyoto_run3_MTE!I174</f>
        <v>0</v>
      </c>
      <c r="F24" s="711">
        <f>Bilans_E_AMS_Kyoto_run3_MTE!J174</f>
        <v>0</v>
      </c>
      <c r="G24" s="711">
        <f>Bilans_E_AMS_Kyoto_run3_MTE!K174</f>
        <v>0</v>
      </c>
      <c r="H24" s="711">
        <f>Bilans_E_AMS_Kyoto_run3_MTE!L174</f>
        <v>0</v>
      </c>
      <c r="I24" s="711">
        <f>Bilans_E_AMS_Kyoto_run3_MTE!M174</f>
        <v>0</v>
      </c>
      <c r="J24" s="711">
        <f>Bilans_E_AMS_Kyoto_run3_MTE!N174</f>
        <v>0</v>
      </c>
      <c r="K24" s="711">
        <f>Bilans_E_AMS_Kyoto_run3_MTE!O174</f>
        <v>0</v>
      </c>
      <c r="L24" s="711">
        <f>Bilans_E_AMS_Kyoto_run3_MTE!P174</f>
        <v>0</v>
      </c>
      <c r="M24" s="711">
        <f>Bilans_E_AMS_Kyoto_run3_MTE!Q174</f>
        <v>0</v>
      </c>
      <c r="N24" s="711">
        <f>Bilans_E_AMS_Kyoto_run3_MTE!R174</f>
        <v>0</v>
      </c>
      <c r="O24" s="711">
        <f>Bilans_E_AMS_Kyoto_run3_MTE!S174</f>
        <v>0</v>
      </c>
      <c r="P24" s="711">
        <f>Bilans_E_AMS_Kyoto_run3_MTE!T174+Bilans_E_AMS_Kyoto_run3_MTE!U174</f>
        <v>0</v>
      </c>
      <c r="Q24" s="711">
        <f>Bilans_E_AMS_Kyoto_run3_MTE!V174</f>
        <v>0</v>
      </c>
      <c r="R24" s="711">
        <f>Bilans_E_AMS_Kyoto_run3_MTE!W174</f>
        <v>0</v>
      </c>
      <c r="S24" s="711">
        <f>Bilans_E_AMS_Kyoto_run3_MTE!X174</f>
        <v>0</v>
      </c>
      <c r="T24" s="711">
        <f>Bilans_E_AMS_Kyoto_run3_MTE!Y174</f>
        <v>0</v>
      </c>
      <c r="U24" s="711">
        <f>Bilans_E_AMS_Kyoto_run3_MTE!Z174</f>
        <v>0</v>
      </c>
      <c r="V24" s="701"/>
      <c r="W24" s="701"/>
    </row>
    <row r="25" spans="1:23" x14ac:dyDescent="0.25">
      <c r="A25" s="701" t="s">
        <v>499</v>
      </c>
      <c r="B25" s="701"/>
      <c r="C25" s="717" t="s">
        <v>72</v>
      </c>
      <c r="D25" s="711">
        <f>Bilans_E_AMS_Kyoto_run3_MTE!H175</f>
        <v>0</v>
      </c>
      <c r="E25" s="711">
        <f>Bilans_E_AMS_Kyoto_run3_MTE!I175</f>
        <v>478.25354833804903</v>
      </c>
      <c r="F25" s="711">
        <f>Bilans_E_AMS_Kyoto_run3_MTE!J175</f>
        <v>-473.49866967284896</v>
      </c>
      <c r="G25" s="711">
        <f>Bilans_E_AMS_Kyoto_run3_MTE!K175</f>
        <v>0</v>
      </c>
      <c r="H25" s="711">
        <f>Bilans_E_AMS_Kyoto_run3_MTE!L175</f>
        <v>0</v>
      </c>
      <c r="I25" s="711">
        <f>Bilans_E_AMS_Kyoto_run3_MTE!M175</f>
        <v>0</v>
      </c>
      <c r="J25" s="711">
        <f>Bilans_E_AMS_Kyoto_run3_MTE!N175</f>
        <v>0</v>
      </c>
      <c r="K25" s="711">
        <f>Bilans_E_AMS_Kyoto_run3_MTE!O175</f>
        <v>0</v>
      </c>
      <c r="L25" s="711">
        <f>Bilans_E_AMS_Kyoto_run3_MTE!P175</f>
        <v>0</v>
      </c>
      <c r="M25" s="711">
        <f>Bilans_E_AMS_Kyoto_run3_MTE!Q175</f>
        <v>0</v>
      </c>
      <c r="N25" s="711">
        <f>Bilans_E_AMS_Kyoto_run3_MTE!R175</f>
        <v>0</v>
      </c>
      <c r="O25" s="711">
        <f>Bilans_E_AMS_Kyoto_run3_MTE!S175</f>
        <v>0</v>
      </c>
      <c r="P25" s="711">
        <f>Bilans_E_AMS_Kyoto_run3_MTE!T175+Bilans_E_AMS_Kyoto_run3_MTE!U175</f>
        <v>0</v>
      </c>
      <c r="Q25" s="711">
        <f>Bilans_E_AMS_Kyoto_run3_MTE!V175</f>
        <v>0</v>
      </c>
      <c r="R25" s="711">
        <f>Bilans_E_AMS_Kyoto_run3_MTE!W175</f>
        <v>0</v>
      </c>
      <c r="S25" s="711">
        <f>Bilans_E_AMS_Kyoto_run3_MTE!X175</f>
        <v>0</v>
      </c>
      <c r="T25" s="711">
        <f>Bilans_E_AMS_Kyoto_run3_MTE!Y175</f>
        <v>0</v>
      </c>
      <c r="U25" s="711">
        <f>Bilans_E_AMS_Kyoto_run3_MTE!Z175</f>
        <v>4.7548786652000672</v>
      </c>
      <c r="V25" s="701"/>
      <c r="W25" s="701"/>
    </row>
    <row r="26" spans="1:23" x14ac:dyDescent="0.25">
      <c r="A26" s="701" t="s">
        <v>500</v>
      </c>
      <c r="B26" s="701"/>
      <c r="C26" s="717" t="s">
        <v>351</v>
      </c>
      <c r="D26" s="711">
        <f>Bilans_E_AMS_Kyoto_run3_MTE!H176</f>
        <v>0</v>
      </c>
      <c r="E26" s="711">
        <f>Bilans_E_AMS_Kyoto_run3_MTE!I176</f>
        <v>0</v>
      </c>
      <c r="F26" s="711">
        <f>Bilans_E_AMS_Kyoto_run3_MTE!J176</f>
        <v>0</v>
      </c>
      <c r="G26" s="711">
        <f>Bilans_E_AMS_Kyoto_run3_MTE!K176</f>
        <v>0</v>
      </c>
      <c r="H26" s="711">
        <f>Bilans_E_AMS_Kyoto_run3_MTE!L176</f>
        <v>0</v>
      </c>
      <c r="I26" s="711">
        <f>Bilans_E_AMS_Kyoto_run3_MTE!M176</f>
        <v>0</v>
      </c>
      <c r="J26" s="711">
        <f>Bilans_E_AMS_Kyoto_run3_MTE!N176</f>
        <v>0</v>
      </c>
      <c r="K26" s="711">
        <f>Bilans_E_AMS_Kyoto_run3_MTE!O176</f>
        <v>0</v>
      </c>
      <c r="L26" s="711">
        <f>Bilans_E_AMS_Kyoto_run3_MTE!P176</f>
        <v>58.184329601780206</v>
      </c>
      <c r="M26" s="711">
        <f>Bilans_E_AMS_Kyoto_run3_MTE!Q176</f>
        <v>7.2727272727272725</v>
      </c>
      <c r="N26" s="711">
        <f>Bilans_E_AMS_Kyoto_run3_MTE!R176</f>
        <v>-38.183199462797297</v>
      </c>
      <c r="O26" s="711">
        <f>Bilans_E_AMS_Kyoto_run3_MTE!S176</f>
        <v>0</v>
      </c>
      <c r="P26" s="711">
        <f>Bilans_E_AMS_Kyoto_run3_MTE!T176+Bilans_E_AMS_Kyoto_run3_MTE!U176</f>
        <v>0</v>
      </c>
      <c r="Q26" s="711">
        <f>Bilans_E_AMS_Kyoto_run3_MTE!V176</f>
        <v>0</v>
      </c>
      <c r="R26" s="711">
        <f>Bilans_E_AMS_Kyoto_run3_MTE!W176</f>
        <v>0</v>
      </c>
      <c r="S26" s="711">
        <f>Bilans_E_AMS_Kyoto_run3_MTE!X176</f>
        <v>0</v>
      </c>
      <c r="T26" s="711">
        <f>Bilans_E_AMS_Kyoto_run3_MTE!Y176</f>
        <v>0</v>
      </c>
      <c r="U26" s="711">
        <f>Bilans_E_AMS_Kyoto_run3_MTE!Z176</f>
        <v>27.273857411710175</v>
      </c>
      <c r="V26" s="701"/>
      <c r="W26" s="701"/>
    </row>
    <row r="27" spans="1:23" x14ac:dyDescent="0.25">
      <c r="A27" s="701" t="s">
        <v>501</v>
      </c>
      <c r="B27" s="701"/>
      <c r="C27" s="717" t="s">
        <v>352</v>
      </c>
      <c r="D27" s="711">
        <f>Bilans_E_AMS_Kyoto_run3_MTE!H177</f>
        <v>0</v>
      </c>
      <c r="E27" s="711">
        <f>Bilans_E_AMS_Kyoto_run3_MTE!I177</f>
        <v>0</v>
      </c>
      <c r="F27" s="711">
        <f>Bilans_E_AMS_Kyoto_run3_MTE!J177</f>
        <v>0</v>
      </c>
      <c r="G27" s="711">
        <f>Bilans_E_AMS_Kyoto_run3_MTE!K177</f>
        <v>0</v>
      </c>
      <c r="H27" s="711">
        <f>Bilans_E_AMS_Kyoto_run3_MTE!L177</f>
        <v>0</v>
      </c>
      <c r="I27" s="711">
        <f>Bilans_E_AMS_Kyoto_run3_MTE!M177</f>
        <v>0</v>
      </c>
      <c r="J27" s="711">
        <f>Bilans_E_AMS_Kyoto_run3_MTE!N177</f>
        <v>0</v>
      </c>
      <c r="K27" s="711">
        <f>Bilans_E_AMS_Kyoto_run3_MTE!O177</f>
        <v>0</v>
      </c>
      <c r="L27" s="711">
        <f>Bilans_E_AMS_Kyoto_run3_MTE!P177</f>
        <v>0</v>
      </c>
      <c r="M27" s="711">
        <f>Bilans_E_AMS_Kyoto_run3_MTE!Q177</f>
        <v>0</v>
      </c>
      <c r="N27" s="711">
        <f>Bilans_E_AMS_Kyoto_run3_MTE!R177</f>
        <v>0</v>
      </c>
      <c r="O27" s="711">
        <f>Bilans_E_AMS_Kyoto_run3_MTE!S177</f>
        <v>0</v>
      </c>
      <c r="P27" s="711">
        <f>Bilans_E_AMS_Kyoto_run3_MTE!T177+Bilans_E_AMS_Kyoto_run3_MTE!U177</f>
        <v>0</v>
      </c>
      <c r="Q27" s="711">
        <f>Bilans_E_AMS_Kyoto_run3_MTE!V177</f>
        <v>0</v>
      </c>
      <c r="R27" s="711">
        <f>Bilans_E_AMS_Kyoto_run3_MTE!W177</f>
        <v>0</v>
      </c>
      <c r="S27" s="711">
        <f>Bilans_E_AMS_Kyoto_run3_MTE!X177</f>
        <v>0</v>
      </c>
      <c r="T27" s="711">
        <f>Bilans_E_AMS_Kyoto_run3_MTE!Y177</f>
        <v>0</v>
      </c>
      <c r="U27" s="711">
        <f>Bilans_E_AMS_Kyoto_run3_MTE!Z177</f>
        <v>0</v>
      </c>
      <c r="V27" s="701"/>
      <c r="W27" s="701"/>
    </row>
    <row r="28" spans="1:23" x14ac:dyDescent="0.25">
      <c r="A28" s="701" t="s">
        <v>502</v>
      </c>
      <c r="B28" s="701"/>
      <c r="C28" s="717" t="s">
        <v>73</v>
      </c>
      <c r="D28" s="711">
        <f>Bilans_E_AMS_Kyoto_run3_MTE!H178</f>
        <v>0</v>
      </c>
      <c r="E28" s="711">
        <f>Bilans_E_AMS_Kyoto_run3_MTE!I178</f>
        <v>0</v>
      </c>
      <c r="F28" s="711">
        <f>Bilans_E_AMS_Kyoto_run3_MTE!J178</f>
        <v>0</v>
      </c>
      <c r="G28" s="711">
        <f>Bilans_E_AMS_Kyoto_run3_MTE!K178</f>
        <v>0</v>
      </c>
      <c r="H28" s="711">
        <f>Bilans_E_AMS_Kyoto_run3_MTE!L178</f>
        <v>0</v>
      </c>
      <c r="I28" s="711">
        <f>Bilans_E_AMS_Kyoto_run3_MTE!M178</f>
        <v>0</v>
      </c>
      <c r="J28" s="711">
        <f>Bilans_E_AMS_Kyoto_run3_MTE!N178</f>
        <v>0</v>
      </c>
      <c r="K28" s="711">
        <f>Bilans_E_AMS_Kyoto_run3_MTE!O178</f>
        <v>0</v>
      </c>
      <c r="L28" s="711">
        <f>Bilans_E_AMS_Kyoto_run3_MTE!P178</f>
        <v>0</v>
      </c>
      <c r="M28" s="711">
        <f>Bilans_E_AMS_Kyoto_run3_MTE!Q178</f>
        <v>0</v>
      </c>
      <c r="N28" s="711">
        <f>Bilans_E_AMS_Kyoto_run3_MTE!R178</f>
        <v>0</v>
      </c>
      <c r="O28" s="711">
        <f>Bilans_E_AMS_Kyoto_run3_MTE!S178</f>
        <v>0</v>
      </c>
      <c r="P28" s="711">
        <f>Bilans_E_AMS_Kyoto_run3_MTE!T178+Bilans_E_AMS_Kyoto_run3_MTE!U178</f>
        <v>0</v>
      </c>
      <c r="Q28" s="711">
        <f>Bilans_E_AMS_Kyoto_run3_MTE!V178</f>
        <v>0</v>
      </c>
      <c r="R28" s="711">
        <f>Bilans_E_AMS_Kyoto_run3_MTE!W178</f>
        <v>0.6333169666013263</v>
      </c>
      <c r="S28" s="711">
        <f>Bilans_E_AMS_Kyoto_run3_MTE!X178</f>
        <v>0</v>
      </c>
      <c r="T28" s="711">
        <f>Bilans_E_AMS_Kyoto_run3_MTE!Y178</f>
        <v>-0.41165602829086212</v>
      </c>
      <c r="U28" s="711">
        <f>Bilans_E_AMS_Kyoto_run3_MTE!Z178</f>
        <v>0.22166093831046418</v>
      </c>
      <c r="V28" s="701"/>
      <c r="W28" s="701"/>
    </row>
    <row r="29" spans="1:23" x14ac:dyDescent="0.25">
      <c r="A29" s="701" t="s">
        <v>503</v>
      </c>
      <c r="B29" s="701"/>
      <c r="C29" s="717" t="s">
        <v>353</v>
      </c>
      <c r="D29" s="711">
        <f>Bilans_E_AMS_Kyoto_run3_MTE!H179</f>
        <v>22.186039218749997</v>
      </c>
      <c r="E29" s="711">
        <f>Bilans_E_AMS_Kyoto_run3_MTE!I179</f>
        <v>-16.848187530076672</v>
      </c>
      <c r="F29" s="711">
        <f>Bilans_E_AMS_Kyoto_run3_MTE!J179</f>
        <v>22.099560730399304</v>
      </c>
      <c r="G29" s="711">
        <f>Bilans_E_AMS_Kyoto_run3_MTE!K179</f>
        <v>0</v>
      </c>
      <c r="H29" s="711">
        <f>Bilans_E_AMS_Kyoto_run3_MTE!L179</f>
        <v>0</v>
      </c>
      <c r="I29" s="711">
        <f>Bilans_E_AMS_Kyoto_run3_MTE!M179</f>
        <v>0</v>
      </c>
      <c r="J29" s="711">
        <f>Bilans_E_AMS_Kyoto_run3_MTE!N179</f>
        <v>0</v>
      </c>
      <c r="K29" s="711">
        <f>Bilans_E_AMS_Kyoto_run3_MTE!O179</f>
        <v>0</v>
      </c>
      <c r="L29" s="711">
        <f>Bilans_E_AMS_Kyoto_run3_MTE!P179</f>
        <v>0</v>
      </c>
      <c r="M29" s="711">
        <f>Bilans_E_AMS_Kyoto_run3_MTE!Q179</f>
        <v>0</v>
      </c>
      <c r="N29" s="711">
        <f>Bilans_E_AMS_Kyoto_run3_MTE!R179</f>
        <v>0</v>
      </c>
      <c r="O29" s="711">
        <f>Bilans_E_AMS_Kyoto_run3_MTE!S179</f>
        <v>0</v>
      </c>
      <c r="P29" s="711">
        <f>Bilans_E_AMS_Kyoto_run3_MTE!T179+Bilans_E_AMS_Kyoto_run3_MTE!U179</f>
        <v>0</v>
      </c>
      <c r="Q29" s="711">
        <f>Bilans_E_AMS_Kyoto_run3_MTE!V179</f>
        <v>0</v>
      </c>
      <c r="R29" s="711">
        <f>Bilans_E_AMS_Kyoto_run3_MTE!W179</f>
        <v>0</v>
      </c>
      <c r="S29" s="711">
        <f>Bilans_E_AMS_Kyoto_run3_MTE!X179</f>
        <v>0</v>
      </c>
      <c r="T29" s="711">
        <f>Bilans_E_AMS_Kyoto_run3_MTE!Y179</f>
        <v>0</v>
      </c>
      <c r="U29" s="711">
        <f>Bilans_E_AMS_Kyoto_run3_MTE!Z179</f>
        <v>27.437412419072629</v>
      </c>
      <c r="V29" s="701"/>
      <c r="W29" s="701"/>
    </row>
    <row r="30" spans="1:23" x14ac:dyDescent="0.25">
      <c r="A30" s="701" t="s">
        <v>504</v>
      </c>
      <c r="B30" s="701"/>
      <c r="C30" s="717" t="s">
        <v>75</v>
      </c>
      <c r="D30" s="711">
        <f>Bilans_E_AMS_Kyoto_run3_MTE!H180</f>
        <v>8.6279041406250006</v>
      </c>
      <c r="E30" s="711">
        <f>Bilans_E_AMS_Kyoto_run3_MTE!I180</f>
        <v>0</v>
      </c>
      <c r="F30" s="711">
        <f>Bilans_E_AMS_Kyoto_run3_MTE!J180</f>
        <v>16.515643139511226</v>
      </c>
      <c r="G30" s="711">
        <f>Bilans_E_AMS_Kyoto_run3_MTE!K180</f>
        <v>0</v>
      </c>
      <c r="H30" s="711">
        <f>Bilans_E_AMS_Kyoto_run3_MTE!L180</f>
        <v>4.2276573347989057</v>
      </c>
      <c r="I30" s="711">
        <f>Bilans_E_AMS_Kyoto_run3_MTE!M180</f>
        <v>0</v>
      </c>
      <c r="J30" s="711">
        <f>Bilans_E_AMS_Kyoto_run3_MTE!N180</f>
        <v>0</v>
      </c>
      <c r="K30" s="711">
        <f>Bilans_E_AMS_Kyoto_run3_MTE!O180</f>
        <v>0</v>
      </c>
      <c r="L30" s="711">
        <f>Bilans_E_AMS_Kyoto_run3_MTE!P180</f>
        <v>0</v>
      </c>
      <c r="M30" s="711">
        <f>Bilans_E_AMS_Kyoto_run3_MTE!Q180</f>
        <v>0</v>
      </c>
      <c r="N30" s="711">
        <f>Bilans_E_AMS_Kyoto_run3_MTE!R180</f>
        <v>0</v>
      </c>
      <c r="O30" s="711">
        <f>Bilans_E_AMS_Kyoto_run3_MTE!S180</f>
        <v>0.12549883030494347</v>
      </c>
      <c r="P30" s="711">
        <f>Bilans_E_AMS_Kyoto_run3_MTE!T180+Bilans_E_AMS_Kyoto_run3_MTE!U180</f>
        <v>0</v>
      </c>
      <c r="Q30" s="711">
        <f>Bilans_E_AMS_Kyoto_run3_MTE!V180</f>
        <v>0</v>
      </c>
      <c r="R30" s="711">
        <f>Bilans_E_AMS_Kyoto_run3_MTE!W180</f>
        <v>33.231447681695045</v>
      </c>
      <c r="S30" s="711">
        <f>Bilans_E_AMS_Kyoto_run3_MTE!X180</f>
        <v>0</v>
      </c>
      <c r="T30" s="711">
        <f>Bilans_E_AMS_Kyoto_run3_MTE!Y180</f>
        <v>0.33333333333333331</v>
      </c>
      <c r="U30" s="711">
        <f>Bilans_E_AMS_Kyoto_run3_MTE!Z180</f>
        <v>63.061484460268453</v>
      </c>
      <c r="V30" s="701"/>
      <c r="W30" s="701"/>
    </row>
    <row r="31" spans="1:23" x14ac:dyDescent="0.25">
      <c r="A31" s="701" t="s">
        <v>505</v>
      </c>
      <c r="B31" s="701"/>
      <c r="C31" s="717" t="s">
        <v>76</v>
      </c>
      <c r="D31" s="711">
        <f>Bilans_E_AMS_Kyoto_run3_MTE!H181</f>
        <v>0</v>
      </c>
      <c r="E31" s="711">
        <f>Bilans_E_AMS_Kyoto_run3_MTE!I181</f>
        <v>0</v>
      </c>
      <c r="F31" s="711">
        <f>Bilans_E_AMS_Kyoto_run3_MTE!J181</f>
        <v>0</v>
      </c>
      <c r="G31" s="711">
        <f>Bilans_E_AMS_Kyoto_run3_MTE!K181</f>
        <v>0</v>
      </c>
      <c r="H31" s="711">
        <f>Bilans_E_AMS_Kyoto_run3_MTE!L181</f>
        <v>4.4532768259942888</v>
      </c>
      <c r="I31" s="711">
        <f>Bilans_E_AMS_Kyoto_run3_MTE!M181</f>
        <v>0</v>
      </c>
      <c r="J31" s="711">
        <f>Bilans_E_AMS_Kyoto_run3_MTE!N181</f>
        <v>0</v>
      </c>
      <c r="K31" s="711">
        <f>Bilans_E_AMS_Kyoto_run3_MTE!O181</f>
        <v>0</v>
      </c>
      <c r="L31" s="711">
        <f>Bilans_E_AMS_Kyoto_run3_MTE!P181</f>
        <v>0</v>
      </c>
      <c r="M31" s="711">
        <f>Bilans_E_AMS_Kyoto_run3_MTE!Q181</f>
        <v>0</v>
      </c>
      <c r="N31" s="711">
        <f>Bilans_E_AMS_Kyoto_run3_MTE!R181</f>
        <v>0</v>
      </c>
      <c r="O31" s="711">
        <f>Bilans_E_AMS_Kyoto_run3_MTE!S181</f>
        <v>0.13219638878631548</v>
      </c>
      <c r="P31" s="711">
        <f>Bilans_E_AMS_Kyoto_run3_MTE!T181+Bilans_E_AMS_Kyoto_run3_MTE!U181</f>
        <v>0</v>
      </c>
      <c r="Q31" s="711">
        <f>Bilans_E_AMS_Kyoto_run3_MTE!V181</f>
        <v>0</v>
      </c>
      <c r="R31" s="711">
        <f>Bilans_E_AMS_Kyoto_run3_MTE!W181</f>
        <v>39.294538086384733</v>
      </c>
      <c r="S31" s="711">
        <f>Bilans_E_AMS_Kyoto_run3_MTE!X181</f>
        <v>4.0190531050512117</v>
      </c>
      <c r="T31" s="711">
        <f>Bilans_E_AMS_Kyoto_run3_MTE!Y181</f>
        <v>0</v>
      </c>
      <c r="U31" s="711">
        <f>Bilans_E_AMS_Kyoto_run3_MTE!Z181</f>
        <v>47.899064406216553</v>
      </c>
      <c r="V31" s="701"/>
      <c r="W31" s="701"/>
    </row>
    <row r="32" spans="1:23" x14ac:dyDescent="0.25">
      <c r="A32" s="701" t="s">
        <v>506</v>
      </c>
      <c r="B32" s="701"/>
      <c r="C32" s="713" t="s">
        <v>77</v>
      </c>
      <c r="D32" s="714">
        <f>Bilans_E_AMS_Kyoto_run3_MTE!H182</f>
        <v>41.083745160923534</v>
      </c>
      <c r="E32" s="714">
        <f>Bilans_E_AMS_Kyoto_run3_MTE!I182</f>
        <v>461.44898449864172</v>
      </c>
      <c r="F32" s="714">
        <f>Bilans_E_AMS_Kyoto_run3_MTE!J182</f>
        <v>-424.55094102566898</v>
      </c>
      <c r="G32" s="714">
        <f>Bilans_E_AMS_Kyoto_run3_MTE!K182</f>
        <v>0</v>
      </c>
      <c r="H32" s="714">
        <f>Bilans_E_AMS_Kyoto_run3_MTE!L182</f>
        <v>84.655680936102641</v>
      </c>
      <c r="I32" s="714">
        <f>Bilans_E_AMS_Kyoto_run3_MTE!M182</f>
        <v>0</v>
      </c>
      <c r="J32" s="714">
        <f>Bilans_E_AMS_Kyoto_run3_MTE!N182</f>
        <v>1140.3030303030305</v>
      </c>
      <c r="K32" s="714">
        <f>Bilans_E_AMS_Kyoto_run3_MTE!O182</f>
        <v>130.20616810165527</v>
      </c>
      <c r="L32" s="714">
        <f>Bilans_E_AMS_Kyoto_run3_MTE!P182</f>
        <v>120.65120445041988</v>
      </c>
      <c r="M32" s="714">
        <f>Bilans_E_AMS_Kyoto_run3_MTE!Q182</f>
        <v>33.052240751667753</v>
      </c>
      <c r="N32" s="714">
        <f>Bilans_E_AMS_Kyoto_run3_MTE!R182</f>
        <v>-34.482378383990707</v>
      </c>
      <c r="O32" s="714">
        <f>Bilans_E_AMS_Kyoto_run3_MTE!S182</f>
        <v>-9.1677627795666172</v>
      </c>
      <c r="P32" s="714">
        <f>Bilans_E_AMS_Kyoto_run3_MTE!T182+Bilans_E_AMS_Kyoto_run3_MTE!U182</f>
        <v>1.2517894765449027</v>
      </c>
      <c r="Q32" s="714">
        <f>Bilans_E_AMS_Kyoto_run3_MTE!V182</f>
        <v>3.960147169656973</v>
      </c>
      <c r="R32" s="714">
        <f>Bilans_E_AMS_Kyoto_run3_MTE!W182</f>
        <v>-482.27960640330252</v>
      </c>
      <c r="S32" s="714">
        <f>Bilans_E_AMS_Kyoto_run3_MTE!X182</f>
        <v>-47.809838142392444</v>
      </c>
      <c r="T32" s="714">
        <f>Bilans_E_AMS_Kyoto_run3_MTE!Y182</f>
        <v>-7.8322694957528805E-2</v>
      </c>
      <c r="U32" s="714">
        <f>Bilans_E_AMS_Kyoto_run3_MTE!Z182</f>
        <v>1018.2441414187642</v>
      </c>
      <c r="V32" s="701"/>
      <c r="W32" s="701"/>
    </row>
    <row r="33" spans="1:23" x14ac:dyDescent="0.25">
      <c r="A33" s="701"/>
      <c r="B33" s="701"/>
      <c r="C33" s="715"/>
      <c r="D33" s="716"/>
      <c r="E33" s="716"/>
      <c r="F33" s="716"/>
      <c r="G33" s="716"/>
      <c r="H33" s="716"/>
      <c r="I33" s="716"/>
      <c r="J33" s="716"/>
      <c r="K33" s="716"/>
      <c r="L33" s="716"/>
      <c r="M33" s="716"/>
      <c r="N33" s="716"/>
      <c r="O33" s="716"/>
      <c r="P33" s="716">
        <f>Bilans_E_AMS_Kyoto_run3_MTE!T183+Bilans_E_AMS_Kyoto_run3_MTE!U183</f>
        <v>0</v>
      </c>
      <c r="Q33" s="716"/>
      <c r="R33" s="716"/>
      <c r="S33" s="716"/>
      <c r="T33" s="716"/>
      <c r="U33" s="716"/>
      <c r="V33" s="701"/>
      <c r="W33" s="701"/>
    </row>
    <row r="34" spans="1:23" x14ac:dyDescent="0.25">
      <c r="A34" s="701" t="s">
        <v>507</v>
      </c>
      <c r="B34" s="701"/>
      <c r="C34" s="717" t="s">
        <v>78</v>
      </c>
      <c r="D34" s="711">
        <f>Bilans_E_AMS_Kyoto_run3_MTE!H184</f>
        <v>6.1742900390625</v>
      </c>
      <c r="E34" s="711">
        <f>Bilans_E_AMS_Kyoto_run3_MTE!I184</f>
        <v>0</v>
      </c>
      <c r="F34" s="711">
        <f>Bilans_E_AMS_Kyoto_run3_MTE!J184</f>
        <v>28.594443446449898</v>
      </c>
      <c r="G34" s="711">
        <f>Bilans_E_AMS_Kyoto_run3_MTE!K184</f>
        <v>0</v>
      </c>
      <c r="H34" s="711">
        <f>Bilans_E_AMS_Kyoto_run3_MTE!L184</f>
        <v>99.987618923412043</v>
      </c>
      <c r="I34" s="711">
        <f>Bilans_E_AMS_Kyoto_run3_MTE!M184</f>
        <v>0</v>
      </c>
      <c r="J34" s="711">
        <f>Bilans_E_AMS_Kyoto_run3_MTE!N184</f>
        <v>0</v>
      </c>
      <c r="K34" s="711">
        <f>Bilans_E_AMS_Kyoto_run3_MTE!O184</f>
        <v>0</v>
      </c>
      <c r="L34" s="711">
        <f>Bilans_E_AMS_Kyoto_run3_MTE!P184</f>
        <v>20.013743119160708</v>
      </c>
      <c r="M34" s="711">
        <f>Bilans_E_AMS_Kyoto_run3_MTE!Q184</f>
        <v>4.2427461177010644</v>
      </c>
      <c r="N34" s="711">
        <f>Bilans_E_AMS_Kyoto_run3_MTE!R184</f>
        <v>0.93084916373849025</v>
      </c>
      <c r="O34" s="711">
        <f>Bilans_E_AMS_Kyoto_run3_MTE!S184</f>
        <v>2.990254090280855</v>
      </c>
      <c r="P34" s="711">
        <f>Bilans_E_AMS_Kyoto_run3_MTE!T184+Bilans_E_AMS_Kyoto_run3_MTE!U184</f>
        <v>0</v>
      </c>
      <c r="Q34" s="711">
        <f>Bilans_E_AMS_Kyoto_run3_MTE!V184</f>
        <v>4.5058902280570805E-4</v>
      </c>
      <c r="R34" s="711">
        <f>Bilans_E_AMS_Kyoto_run3_MTE!W184</f>
        <v>103.00128036008387</v>
      </c>
      <c r="S34" s="711">
        <f>Bilans_E_AMS_Kyoto_run3_MTE!X184</f>
        <v>17.635997064742035</v>
      </c>
      <c r="T34" s="711">
        <f>Bilans_E_AMS_Kyoto_run3_MTE!Y184</f>
        <v>0</v>
      </c>
      <c r="U34" s="711">
        <f>Bilans_E_AMS_Kyoto_run3_MTE!Z184</f>
        <v>283.57167291365425</v>
      </c>
      <c r="V34" s="701"/>
      <c r="W34" s="701"/>
    </row>
    <row r="35" spans="1:23" x14ac:dyDescent="0.25">
      <c r="A35" s="701" t="s">
        <v>508</v>
      </c>
      <c r="B35" s="701"/>
      <c r="C35" s="717" t="s">
        <v>79</v>
      </c>
      <c r="D35" s="711">
        <f>Bilans_E_AMS_Kyoto_run3_MTE!H185</f>
        <v>0</v>
      </c>
      <c r="E35" s="711">
        <f>Bilans_E_AMS_Kyoto_run3_MTE!I185</f>
        <v>0</v>
      </c>
      <c r="F35" s="711">
        <f>Bilans_E_AMS_Kyoto_run3_MTE!J185</f>
        <v>450.58645617012593</v>
      </c>
      <c r="G35" s="711">
        <f>Bilans_E_AMS_Kyoto_run3_MTE!K185</f>
        <v>0</v>
      </c>
      <c r="H35" s="711">
        <f>Bilans_E_AMS_Kyoto_run3_MTE!L185</f>
        <v>3.5908114194330008</v>
      </c>
      <c r="I35" s="711">
        <f>Bilans_E_AMS_Kyoto_run3_MTE!M185</f>
        <v>0</v>
      </c>
      <c r="J35" s="711">
        <f>Bilans_E_AMS_Kyoto_run3_MTE!N185</f>
        <v>0</v>
      </c>
      <c r="K35" s="711">
        <f>Bilans_E_AMS_Kyoto_run3_MTE!O185</f>
        <v>0</v>
      </c>
      <c r="L35" s="711">
        <f>Bilans_E_AMS_Kyoto_run3_MTE!P185</f>
        <v>0</v>
      </c>
      <c r="M35" s="711">
        <f>Bilans_E_AMS_Kyoto_run3_MTE!Q185</f>
        <v>0</v>
      </c>
      <c r="N35" s="711">
        <f>Bilans_E_AMS_Kyoto_run3_MTE!R185</f>
        <v>36.211175075619899</v>
      </c>
      <c r="O35" s="711">
        <f>Bilans_E_AMS_Kyoto_run3_MTE!S185</f>
        <v>0.10659393543443622</v>
      </c>
      <c r="P35" s="711">
        <f>Bilans_E_AMS_Kyoto_run3_MTE!T185+Bilans_E_AMS_Kyoto_run3_MTE!U185</f>
        <v>0</v>
      </c>
      <c r="Q35" s="711">
        <f>Bilans_E_AMS_Kyoto_run3_MTE!V185</f>
        <v>0</v>
      </c>
      <c r="R35" s="711">
        <f>Bilans_E_AMS_Kyoto_run3_MTE!W185</f>
        <v>13.447110558006974</v>
      </c>
      <c r="S35" s="711">
        <f>Bilans_E_AMS_Kyoto_run3_MTE!X185</f>
        <v>0</v>
      </c>
      <c r="T35" s="711">
        <f>Bilans_E_AMS_Kyoto_run3_MTE!Y185</f>
        <v>0</v>
      </c>
      <c r="U35" s="711">
        <f>Bilans_E_AMS_Kyoto_run3_MTE!Z185</f>
        <v>503.94214715862023</v>
      </c>
      <c r="V35" s="701"/>
      <c r="W35" s="701"/>
    </row>
    <row r="36" spans="1:23" x14ac:dyDescent="0.25">
      <c r="A36" s="701" t="s">
        <v>509</v>
      </c>
      <c r="B36" s="701"/>
      <c r="C36" s="717" t="s">
        <v>80</v>
      </c>
      <c r="D36" s="711">
        <f>Bilans_E_AMS_Kyoto_run3_MTE!H186</f>
        <v>0</v>
      </c>
      <c r="E36" s="711">
        <f>Bilans_E_AMS_Kyoto_run3_MTE!I186</f>
        <v>0</v>
      </c>
      <c r="F36" s="711">
        <f>Bilans_E_AMS_Kyoto_run3_MTE!J186</f>
        <v>37.989040848618878</v>
      </c>
      <c r="G36" s="711">
        <f>Bilans_E_AMS_Kyoto_run3_MTE!K186</f>
        <v>0</v>
      </c>
      <c r="H36" s="711">
        <f>Bilans_E_AMS_Kyoto_run3_MTE!L186</f>
        <v>110.53870949254768</v>
      </c>
      <c r="I36" s="711">
        <f>Bilans_E_AMS_Kyoto_run3_MTE!M186</f>
        <v>0</v>
      </c>
      <c r="J36" s="711">
        <f>Bilans_E_AMS_Kyoto_run3_MTE!N186</f>
        <v>0</v>
      </c>
      <c r="K36" s="711">
        <f>Bilans_E_AMS_Kyoto_run3_MTE!O186</f>
        <v>0</v>
      </c>
      <c r="L36" s="711">
        <f>Bilans_E_AMS_Kyoto_run3_MTE!P186</f>
        <v>77.649161359941488</v>
      </c>
      <c r="M36" s="711">
        <f>Bilans_E_AMS_Kyoto_run3_MTE!Q186</f>
        <v>0</v>
      </c>
      <c r="N36" s="711">
        <f>Bilans_E_AMS_Kyoto_run3_MTE!R186</f>
        <v>0</v>
      </c>
      <c r="O36" s="711">
        <f>Bilans_E_AMS_Kyoto_run3_MTE!S186</f>
        <v>3.2813630921656869</v>
      </c>
      <c r="P36" s="711">
        <f>Bilans_E_AMS_Kyoto_run3_MTE!T186+Bilans_E_AMS_Kyoto_run3_MTE!U186</f>
        <v>49.821924717249296</v>
      </c>
      <c r="Q36" s="711">
        <f>Bilans_E_AMS_Kyoto_run3_MTE!V186</f>
        <v>2.8618874630600963</v>
      </c>
      <c r="R36" s="711">
        <f>Bilans_E_AMS_Kyoto_run3_MTE!W186</f>
        <v>154.83297768687936</v>
      </c>
      <c r="S36" s="711">
        <f>Bilans_E_AMS_Kyoto_run3_MTE!X186</f>
        <v>16.208688156863516</v>
      </c>
      <c r="T36" s="711">
        <f>Bilans_E_AMS_Kyoto_run3_MTE!Y186</f>
        <v>0</v>
      </c>
      <c r="U36" s="711">
        <f>Bilans_E_AMS_Kyoto_run3_MTE!Z186</f>
        <v>453.18375281732602</v>
      </c>
      <c r="V36" s="701"/>
      <c r="W36" s="701"/>
    </row>
    <row r="37" spans="1:23" x14ac:dyDescent="0.25">
      <c r="A37" s="701" t="s">
        <v>510</v>
      </c>
      <c r="B37" s="701"/>
      <c r="C37" s="717" t="s">
        <v>81</v>
      </c>
      <c r="D37" s="711">
        <f>Bilans_E_AMS_Kyoto_run3_MTE!H187</f>
        <v>0</v>
      </c>
      <c r="E37" s="711">
        <f>Bilans_E_AMS_Kyoto_run3_MTE!I187</f>
        <v>0</v>
      </c>
      <c r="F37" s="711">
        <f>Bilans_E_AMS_Kyoto_run3_MTE!J187</f>
        <v>24.438455541959776</v>
      </c>
      <c r="G37" s="711">
        <f>Bilans_E_AMS_Kyoto_run3_MTE!K187</f>
        <v>0</v>
      </c>
      <c r="H37" s="711">
        <f>Bilans_E_AMS_Kyoto_run3_MTE!L187</f>
        <v>66.269472745102405</v>
      </c>
      <c r="I37" s="711">
        <f>Bilans_E_AMS_Kyoto_run3_MTE!M187</f>
        <v>0</v>
      </c>
      <c r="J37" s="711">
        <f>Bilans_E_AMS_Kyoto_run3_MTE!N187</f>
        <v>0</v>
      </c>
      <c r="K37" s="711">
        <f>Bilans_E_AMS_Kyoto_run3_MTE!O187</f>
        <v>0</v>
      </c>
      <c r="L37" s="711">
        <f>Bilans_E_AMS_Kyoto_run3_MTE!P187</f>
        <v>0.36773887950875994</v>
      </c>
      <c r="M37" s="711">
        <f>Bilans_E_AMS_Kyoto_run3_MTE!Q187</f>
        <v>0</v>
      </c>
      <c r="N37" s="711">
        <f>Bilans_E_AMS_Kyoto_run3_MTE!R187</f>
        <v>0</v>
      </c>
      <c r="O37" s="711">
        <f>Bilans_E_AMS_Kyoto_run3_MTE!S187</f>
        <v>1.9672221885105263</v>
      </c>
      <c r="P37" s="711">
        <f>Bilans_E_AMS_Kyoto_run3_MTE!T187+Bilans_E_AMS_Kyoto_run3_MTE!U187</f>
        <v>16.270424394273732</v>
      </c>
      <c r="Q37" s="711">
        <f>Bilans_E_AMS_Kyoto_run3_MTE!V187</f>
        <v>2.6256616796676382</v>
      </c>
      <c r="R37" s="711">
        <f>Bilans_E_AMS_Kyoto_run3_MTE!W187</f>
        <v>127.47303589741009</v>
      </c>
      <c r="S37" s="711">
        <f>Bilans_E_AMS_Kyoto_run3_MTE!X187</f>
        <v>13.96515292078689</v>
      </c>
      <c r="T37" s="711">
        <f>Bilans_E_AMS_Kyoto_run3_MTE!Y187</f>
        <v>0</v>
      </c>
      <c r="U37" s="711">
        <f>Bilans_E_AMS_Kyoto_run3_MTE!Z187</f>
        <v>253.37716424721984</v>
      </c>
      <c r="V37" s="701"/>
      <c r="W37" s="701"/>
    </row>
    <row r="38" spans="1:23" x14ac:dyDescent="0.25">
      <c r="A38" s="701" t="s">
        <v>511</v>
      </c>
      <c r="B38" s="701"/>
      <c r="C38" s="717" t="s">
        <v>82</v>
      </c>
      <c r="D38" s="711">
        <f>Bilans_E_AMS_Kyoto_run3_MTE!H188</f>
        <v>0</v>
      </c>
      <c r="E38" s="711">
        <f>Bilans_E_AMS_Kyoto_run3_MTE!I188</f>
        <v>0</v>
      </c>
      <c r="F38" s="711">
        <f>Bilans_E_AMS_Kyoto_run3_MTE!J188</f>
        <v>36.976399437991013</v>
      </c>
      <c r="G38" s="711">
        <f>Bilans_E_AMS_Kyoto_run3_MTE!K188</f>
        <v>0</v>
      </c>
      <c r="H38" s="711">
        <f>Bilans_E_AMS_Kyoto_run3_MTE!L188</f>
        <v>2.5696285094610212</v>
      </c>
      <c r="I38" s="711">
        <f>Bilans_E_AMS_Kyoto_run3_MTE!M188</f>
        <v>0</v>
      </c>
      <c r="J38" s="711">
        <f>Bilans_E_AMS_Kyoto_run3_MTE!N188</f>
        <v>0</v>
      </c>
      <c r="K38" s="711">
        <f>Bilans_E_AMS_Kyoto_run3_MTE!O188</f>
        <v>0</v>
      </c>
      <c r="L38" s="711">
        <f>Bilans_E_AMS_Kyoto_run3_MTE!P188</f>
        <v>2.3925466209960313</v>
      </c>
      <c r="M38" s="711">
        <f>Bilans_E_AMS_Kyoto_run3_MTE!Q188</f>
        <v>0</v>
      </c>
      <c r="N38" s="711">
        <f>Bilans_E_AMS_Kyoto_run3_MTE!R188</f>
        <v>2.3864124631637864</v>
      </c>
      <c r="O38" s="711">
        <f>Bilans_E_AMS_Kyoto_run3_MTE!S188</f>
        <v>7.6279922121676155E-2</v>
      </c>
      <c r="P38" s="711">
        <f>Bilans_E_AMS_Kyoto_run3_MTE!T188+Bilans_E_AMS_Kyoto_run3_MTE!U188</f>
        <v>0.15</v>
      </c>
      <c r="Q38" s="711">
        <f>Bilans_E_AMS_Kyoto_run3_MTE!V188</f>
        <v>0.25485200979833694</v>
      </c>
      <c r="R38" s="711">
        <f>Bilans_E_AMS_Kyoto_run3_MTE!W188</f>
        <v>8.3953936629447945</v>
      </c>
      <c r="S38" s="711">
        <f>Bilans_E_AMS_Kyoto_run3_MTE!X188</f>
        <v>0</v>
      </c>
      <c r="T38" s="711">
        <f>Bilans_E_AMS_Kyoto_run3_MTE!Y188</f>
        <v>7.2251431107793529E-2</v>
      </c>
      <c r="U38" s="711">
        <f>Bilans_E_AMS_Kyoto_run3_MTE!Z188</f>
        <v>53.273764057584451</v>
      </c>
      <c r="V38" s="701"/>
      <c r="W38" s="701"/>
    </row>
    <row r="39" spans="1:23" x14ac:dyDescent="0.25">
      <c r="A39" s="701" t="s">
        <v>512</v>
      </c>
      <c r="B39" s="701"/>
      <c r="C39" s="717" t="s">
        <v>354</v>
      </c>
      <c r="D39" s="711">
        <f>Bilans_E_AMS_Kyoto_run3_MTE!H189</f>
        <v>0</v>
      </c>
      <c r="E39" s="711">
        <f>Bilans_E_AMS_Kyoto_run3_MTE!I189</f>
        <v>0</v>
      </c>
      <c r="F39" s="711">
        <f>Bilans_E_AMS_Kyoto_run3_MTE!J189</f>
        <v>0</v>
      </c>
      <c r="G39" s="711">
        <f>Bilans_E_AMS_Kyoto_run3_MTE!K189</f>
        <v>0</v>
      </c>
      <c r="H39" s="711">
        <f>Bilans_E_AMS_Kyoto_run3_MTE!L189</f>
        <v>0</v>
      </c>
      <c r="I39" s="711">
        <f>Bilans_E_AMS_Kyoto_run3_MTE!M189</f>
        <v>0</v>
      </c>
      <c r="J39" s="711">
        <f>Bilans_E_AMS_Kyoto_run3_MTE!N189</f>
        <v>0</v>
      </c>
      <c r="K39" s="711">
        <f>Bilans_E_AMS_Kyoto_run3_MTE!O189</f>
        <v>0</v>
      </c>
      <c r="L39" s="711">
        <f>Bilans_E_AMS_Kyoto_run3_MTE!P189</f>
        <v>0</v>
      </c>
      <c r="M39" s="711">
        <f>Bilans_E_AMS_Kyoto_run3_MTE!Q189</f>
        <v>0</v>
      </c>
      <c r="N39" s="711">
        <f>Bilans_E_AMS_Kyoto_run3_MTE!R189</f>
        <v>0</v>
      </c>
      <c r="O39" s="711">
        <f>Bilans_E_AMS_Kyoto_run3_MTE!S189</f>
        <v>0</v>
      </c>
      <c r="P39" s="711">
        <f>Bilans_E_AMS_Kyoto_run3_MTE!T189+Bilans_E_AMS_Kyoto_run3_MTE!U189</f>
        <v>0</v>
      </c>
      <c r="Q39" s="711">
        <f>Bilans_E_AMS_Kyoto_run3_MTE!V189</f>
        <v>0</v>
      </c>
      <c r="R39" s="711">
        <f>Bilans_E_AMS_Kyoto_run3_MTE!W189</f>
        <v>0</v>
      </c>
      <c r="S39" s="711">
        <f>Bilans_E_AMS_Kyoto_run3_MTE!X189</f>
        <v>0</v>
      </c>
      <c r="T39" s="711">
        <f>Bilans_E_AMS_Kyoto_run3_MTE!Y189</f>
        <v>0</v>
      </c>
      <c r="U39" s="711">
        <f>Bilans_E_AMS_Kyoto_run3_MTE!Z189</f>
        <v>0</v>
      </c>
      <c r="V39" s="701"/>
      <c r="W39" s="701"/>
    </row>
    <row r="40" spans="1:23" x14ac:dyDescent="0.25">
      <c r="A40" s="701" t="s">
        <v>513</v>
      </c>
      <c r="B40" s="701"/>
      <c r="C40" s="713" t="s">
        <v>83</v>
      </c>
      <c r="D40" s="714">
        <f>Bilans_E_AMS_Kyoto_run3_MTE!H190</f>
        <v>6.1742900390625</v>
      </c>
      <c r="E40" s="714">
        <f>Bilans_E_AMS_Kyoto_run3_MTE!I190</f>
        <v>0</v>
      </c>
      <c r="F40" s="714">
        <f>Bilans_E_AMS_Kyoto_run3_MTE!J190</f>
        <v>578.58479544514557</v>
      </c>
      <c r="G40" s="714">
        <f>Bilans_E_AMS_Kyoto_run3_MTE!K190</f>
        <v>0</v>
      </c>
      <c r="H40" s="714">
        <f>Bilans_E_AMS_Kyoto_run3_MTE!L190</f>
        <v>282.95624108995617</v>
      </c>
      <c r="I40" s="714">
        <f>Bilans_E_AMS_Kyoto_run3_MTE!M190</f>
        <v>0</v>
      </c>
      <c r="J40" s="714">
        <f>Bilans_E_AMS_Kyoto_run3_MTE!N190</f>
        <v>0</v>
      </c>
      <c r="K40" s="714">
        <f>Bilans_E_AMS_Kyoto_run3_MTE!O190</f>
        <v>0</v>
      </c>
      <c r="L40" s="714">
        <f>Bilans_E_AMS_Kyoto_run3_MTE!P190</f>
        <v>100.42318997960699</v>
      </c>
      <c r="M40" s="714">
        <f>Bilans_E_AMS_Kyoto_run3_MTE!Q190</f>
        <v>4.2427461177010644</v>
      </c>
      <c r="N40" s="714">
        <f>Bilans_E_AMS_Kyoto_run3_MTE!R190</f>
        <v>39.528436702522178</v>
      </c>
      <c r="O40" s="714">
        <f>Bilans_E_AMS_Kyoto_run3_MTE!S190</f>
        <v>8.4217132285131804</v>
      </c>
      <c r="P40" s="714">
        <f>Bilans_E_AMS_Kyoto_run3_MTE!T190+Bilans_E_AMS_Kyoto_run3_MTE!U190</f>
        <v>66.242349111523026</v>
      </c>
      <c r="Q40" s="714">
        <f>Bilans_E_AMS_Kyoto_run3_MTE!V190</f>
        <v>5.7428517415488773</v>
      </c>
      <c r="R40" s="714">
        <f>Bilans_E_AMS_Kyoto_run3_MTE!W190</f>
        <v>407.14979816532514</v>
      </c>
      <c r="S40" s="714">
        <f>Bilans_E_AMS_Kyoto_run3_MTE!X190</f>
        <v>47.809838142392444</v>
      </c>
      <c r="T40" s="714">
        <f>Bilans_E_AMS_Kyoto_run3_MTE!Y190</f>
        <v>7.2251431107793529E-2</v>
      </c>
      <c r="U40" s="714">
        <f>Bilans_E_AMS_Kyoto_run3_MTE!Z190</f>
        <v>1547.3485011944047</v>
      </c>
      <c r="V40" s="701"/>
      <c r="W40" s="701"/>
    </row>
    <row r="41" spans="1:23" x14ac:dyDescent="0.25">
      <c r="A41" s="701" t="s">
        <v>514</v>
      </c>
      <c r="B41" s="701"/>
      <c r="C41" s="710" t="s">
        <v>84</v>
      </c>
      <c r="D41" s="711">
        <f>Bilans_E_AMS_Kyoto_run3_MTE!H191</f>
        <v>0</v>
      </c>
      <c r="E41" s="711">
        <f>Bilans_E_AMS_Kyoto_run3_MTE!I191</f>
        <v>0</v>
      </c>
      <c r="F41" s="711">
        <f>Bilans_E_AMS_Kyoto_run3_MTE!J191</f>
        <v>105.53728853532679</v>
      </c>
      <c r="G41" s="711">
        <f>Bilans_E_AMS_Kyoto_run3_MTE!K191</f>
        <v>0</v>
      </c>
      <c r="H41" s="711">
        <f>Bilans_E_AMS_Kyoto_run3_MTE!L191</f>
        <v>10.495531750000001</v>
      </c>
      <c r="I41" s="711">
        <f>Bilans_E_AMS_Kyoto_run3_MTE!M191</f>
        <v>0</v>
      </c>
      <c r="J41" s="711">
        <f>Bilans_E_AMS_Kyoto_run3_MTE!N191</f>
        <v>0</v>
      </c>
      <c r="K41" s="711">
        <f>Bilans_E_AMS_Kyoto_run3_MTE!O191</f>
        <v>0</v>
      </c>
      <c r="L41" s="711">
        <f>Bilans_E_AMS_Kyoto_run3_MTE!P191</f>
        <v>2.2226111322227553E-2</v>
      </c>
      <c r="M41" s="711">
        <f>Bilans_E_AMS_Kyoto_run3_MTE!Q191</f>
        <v>0</v>
      </c>
      <c r="N41" s="711">
        <f>Bilans_E_AMS_Kyoto_run3_MTE!R191</f>
        <v>4.3883783584696544E-2</v>
      </c>
      <c r="O41" s="711">
        <f>Bilans_E_AMS_Kyoto_run3_MTE!S191</f>
        <v>0</v>
      </c>
      <c r="P41" s="711">
        <f>Bilans_E_AMS_Kyoto_run3_MTE!T191+Bilans_E_AMS_Kyoto_run3_MTE!U191</f>
        <v>0</v>
      </c>
      <c r="Q41" s="711">
        <f>Bilans_E_AMS_Kyoto_run3_MTE!V191</f>
        <v>0</v>
      </c>
      <c r="R41" s="711">
        <f>Bilans_E_AMS_Kyoto_run3_MTE!W191</f>
        <v>0</v>
      </c>
      <c r="S41" s="711">
        <f>Bilans_E_AMS_Kyoto_run3_MTE!X191</f>
        <v>0</v>
      </c>
      <c r="T41" s="711">
        <f>Bilans_E_AMS_Kyoto_run3_MTE!Y191</f>
        <v>6.0712638497352599E-3</v>
      </c>
      <c r="U41" s="711">
        <f>Bilans_E_AMS_Kyoto_run3_MTE!Z191</f>
        <v>116.10500144408344</v>
      </c>
      <c r="V41" s="701"/>
      <c r="W41" s="701"/>
    </row>
    <row r="42" spans="1:23" x14ac:dyDescent="0.25">
      <c r="A42" s="701" t="s">
        <v>515</v>
      </c>
      <c r="B42" s="701"/>
      <c r="C42" s="713" t="s">
        <v>85</v>
      </c>
      <c r="D42" s="714">
        <f>Bilans_E_AMS_Kyoto_run3_MTE!H192</f>
        <v>6.1742900390625</v>
      </c>
      <c r="E42" s="714">
        <f>Bilans_E_AMS_Kyoto_run3_MTE!I192</f>
        <v>0</v>
      </c>
      <c r="F42" s="714">
        <f>Bilans_E_AMS_Kyoto_run3_MTE!J192</f>
        <v>684.12208398047233</v>
      </c>
      <c r="G42" s="714">
        <f>Bilans_E_AMS_Kyoto_run3_MTE!K192</f>
        <v>0</v>
      </c>
      <c r="H42" s="714">
        <f>Bilans_E_AMS_Kyoto_run3_MTE!L192</f>
        <v>293.45177283995616</v>
      </c>
      <c r="I42" s="714">
        <f>Bilans_E_AMS_Kyoto_run3_MTE!M192</f>
        <v>0</v>
      </c>
      <c r="J42" s="714">
        <f>Bilans_E_AMS_Kyoto_run3_MTE!N192</f>
        <v>0</v>
      </c>
      <c r="K42" s="714">
        <f>Bilans_E_AMS_Kyoto_run3_MTE!O192</f>
        <v>0</v>
      </c>
      <c r="L42" s="714">
        <f>Bilans_E_AMS_Kyoto_run3_MTE!P192</f>
        <v>100.44541609092921</v>
      </c>
      <c r="M42" s="714">
        <f>Bilans_E_AMS_Kyoto_run3_MTE!Q192</f>
        <v>4.2427461177010644</v>
      </c>
      <c r="N42" s="714">
        <f>Bilans_E_AMS_Kyoto_run3_MTE!R192</f>
        <v>39.572320486106875</v>
      </c>
      <c r="O42" s="714">
        <f>Bilans_E_AMS_Kyoto_run3_MTE!S192</f>
        <v>8.4217132285131804</v>
      </c>
      <c r="P42" s="714">
        <f>Bilans_E_AMS_Kyoto_run3_MTE!T192+Bilans_E_AMS_Kyoto_run3_MTE!U192</f>
        <v>66.242349111523026</v>
      </c>
      <c r="Q42" s="714">
        <f>Bilans_E_AMS_Kyoto_run3_MTE!V192</f>
        <v>5.7428517415488773</v>
      </c>
      <c r="R42" s="714">
        <f>Bilans_E_AMS_Kyoto_run3_MTE!W192</f>
        <v>407.14979816532514</v>
      </c>
      <c r="S42" s="714">
        <f>Bilans_E_AMS_Kyoto_run3_MTE!X192</f>
        <v>47.809838142392444</v>
      </c>
      <c r="T42" s="714">
        <f>Bilans_E_AMS_Kyoto_run3_MTE!Y192</f>
        <v>7.8322694957528791E-2</v>
      </c>
      <c r="U42" s="714">
        <f>Bilans_E_AMS_Kyoto_run3_MTE!Z192</f>
        <v>1663.4535026384881</v>
      </c>
      <c r="V42" s="701"/>
      <c r="W42" s="701"/>
    </row>
    <row r="43" spans="1:23" x14ac:dyDescent="0.25">
      <c r="A43" s="701"/>
      <c r="B43" s="701"/>
      <c r="C43" s="701"/>
      <c r="D43" s="701">
        <f>Bilans_E_AMS_Kyoto_run3_MTE!H193</f>
        <v>0</v>
      </c>
      <c r="E43" s="701">
        <f>Bilans_E_AMS_Kyoto_run3_MTE!I193</f>
        <v>4.2905679322302603E-5</v>
      </c>
      <c r="F43" s="701">
        <f>Bilans_E_AMS_Kyoto_run3_MTE!J193</f>
        <v>-3.876666666667461E-2</v>
      </c>
      <c r="G43" s="701">
        <f>Bilans_E_AMS_Kyoto_run3_MTE!K193</f>
        <v>0</v>
      </c>
      <c r="H43" s="701">
        <f>Bilans_E_AMS_Kyoto_run3_MTE!L193</f>
        <v>0</v>
      </c>
      <c r="I43" s="701">
        <f>Bilans_E_AMS_Kyoto_run3_MTE!M193</f>
        <v>0</v>
      </c>
      <c r="J43" s="701">
        <f>Bilans_E_AMS_Kyoto_run3_MTE!N193</f>
        <v>0</v>
      </c>
      <c r="K43" s="701">
        <f>Bilans_E_AMS_Kyoto_run3_MTE!O193</f>
        <v>0</v>
      </c>
      <c r="L43" s="701">
        <f>Bilans_E_AMS_Kyoto_run3_MTE!P193</f>
        <v>0</v>
      </c>
      <c r="M43" s="701">
        <f>Bilans_E_AMS_Kyoto_run3_MTE!Q193</f>
        <v>-1.0072131549954122E-2</v>
      </c>
      <c r="N43" s="701">
        <f>Bilans_E_AMS_Kyoto_run3_MTE!R193</f>
        <v>0</v>
      </c>
      <c r="O43" s="701">
        <f>Bilans_E_AMS_Kyoto_run3_MTE!S193</f>
        <v>-8.2163466352781711E-2</v>
      </c>
      <c r="P43" s="701">
        <f>Bilans_E_AMS_Kyoto_run3_MTE!T193+Bilans_E_AMS_Kyoto_run3_MTE!U193</f>
        <v>0</v>
      </c>
      <c r="Q43" s="701">
        <f>Bilans_E_AMS_Kyoto_run3_MTE!V193</f>
        <v>0</v>
      </c>
      <c r="R43" s="701">
        <f>Bilans_E_AMS_Kyoto_run3_MTE!W193</f>
        <v>0</v>
      </c>
      <c r="S43" s="701">
        <f>Bilans_E_AMS_Kyoto_run3_MTE!X193</f>
        <v>0</v>
      </c>
      <c r="T43" s="701">
        <f>Bilans_E_AMS_Kyoto_run3_MTE!Y193</f>
        <v>-1.3877787807814457E-17</v>
      </c>
      <c r="U43" s="701">
        <f>Bilans_E_AMS_Kyoto_run3_MTE!Z193</f>
        <v>-0.13095935889032262</v>
      </c>
      <c r="V43" s="701"/>
      <c r="W43" s="701"/>
    </row>
    <row r="44" spans="1:23" x14ac:dyDescent="0.25">
      <c r="A44" s="701"/>
      <c r="B44" s="701"/>
      <c r="C44" s="701"/>
      <c r="D44" s="701"/>
      <c r="E44" s="701"/>
      <c r="F44" s="701"/>
      <c r="G44" s="701"/>
      <c r="H44" s="701"/>
      <c r="I44" s="701"/>
      <c r="J44" s="701"/>
      <c r="K44" s="701"/>
      <c r="L44" s="701"/>
      <c r="M44" s="701"/>
      <c r="N44" s="701"/>
      <c r="O44" s="701"/>
      <c r="P44" s="701"/>
      <c r="Q44" s="701"/>
      <c r="R44" s="701"/>
      <c r="S44" s="701"/>
      <c r="T44" s="701"/>
      <c r="U44" s="701"/>
      <c r="V44" s="701"/>
      <c r="W44" s="701"/>
    </row>
    <row r="45" spans="1:23" x14ac:dyDescent="0.25">
      <c r="A45" s="707"/>
      <c r="B45" s="707"/>
      <c r="C45" s="708" t="s">
        <v>87</v>
      </c>
      <c r="D45" s="707"/>
      <c r="E45" s="707"/>
      <c r="F45" s="707"/>
      <c r="G45" s="707"/>
      <c r="H45" s="707"/>
      <c r="I45" s="707"/>
      <c r="J45" s="707"/>
      <c r="K45" s="707"/>
      <c r="L45" s="707"/>
      <c r="M45" s="707"/>
      <c r="N45" s="707"/>
      <c r="O45" s="707"/>
      <c r="P45" s="707"/>
      <c r="Q45" s="707"/>
      <c r="R45" s="707"/>
      <c r="S45" s="707"/>
      <c r="T45" s="707"/>
      <c r="U45" s="707"/>
      <c r="V45" s="707"/>
      <c r="W45" s="707"/>
    </row>
    <row r="46" spans="1:23" x14ac:dyDescent="0.25">
      <c r="A46" s="701"/>
      <c r="B46" s="701"/>
      <c r="C46" s="701"/>
      <c r="D46" s="701"/>
      <c r="E46" s="701"/>
      <c r="F46" s="701"/>
      <c r="G46" s="701"/>
      <c r="H46" s="701"/>
      <c r="I46" s="701"/>
      <c r="J46" s="701"/>
      <c r="K46" s="701"/>
      <c r="L46" s="701"/>
      <c r="M46" s="701"/>
      <c r="N46" s="701"/>
      <c r="O46" s="701"/>
      <c r="P46" s="701"/>
      <c r="Q46" s="701"/>
      <c r="R46" s="701"/>
      <c r="S46" s="701"/>
      <c r="T46" s="701"/>
      <c r="U46" s="701"/>
      <c r="V46" s="701"/>
      <c r="W46" s="701"/>
    </row>
    <row r="47" spans="1:23" x14ac:dyDescent="0.25">
      <c r="A47" s="701"/>
      <c r="B47" s="701"/>
      <c r="C47" s="780" t="s">
        <v>128</v>
      </c>
      <c r="D47" s="775" t="s">
        <v>42</v>
      </c>
      <c r="E47" s="775" t="s">
        <v>52</v>
      </c>
      <c r="F47" s="775" t="s">
        <v>53</v>
      </c>
      <c r="G47" s="775" t="s">
        <v>482</v>
      </c>
      <c r="H47" s="775" t="s">
        <v>32</v>
      </c>
      <c r="I47" s="775" t="s">
        <v>483</v>
      </c>
      <c r="J47" s="775" t="s">
        <v>20</v>
      </c>
      <c r="K47" s="775" t="s">
        <v>55</v>
      </c>
      <c r="L47" s="777" t="s">
        <v>56</v>
      </c>
      <c r="M47" s="778"/>
      <c r="N47" s="778"/>
      <c r="O47" s="778"/>
      <c r="P47" s="778"/>
      <c r="Q47" s="779"/>
      <c r="R47" s="775" t="s">
        <v>57</v>
      </c>
      <c r="S47" s="775" t="s">
        <v>58</v>
      </c>
      <c r="T47" s="775" t="s">
        <v>31</v>
      </c>
      <c r="U47" s="775" t="s">
        <v>10</v>
      </c>
      <c r="V47" s="701"/>
      <c r="W47" s="701"/>
    </row>
    <row r="48" spans="1:23" ht="67.5" x14ac:dyDescent="0.25">
      <c r="A48" s="701" t="s">
        <v>486</v>
      </c>
      <c r="B48" s="701"/>
      <c r="C48" s="781"/>
      <c r="D48" s="776"/>
      <c r="E48" s="776"/>
      <c r="F48" s="776"/>
      <c r="G48" s="776"/>
      <c r="H48" s="776"/>
      <c r="I48" s="776"/>
      <c r="J48" s="776"/>
      <c r="K48" s="776"/>
      <c r="L48" s="709" t="s">
        <v>335</v>
      </c>
      <c r="M48" s="709" t="s">
        <v>40</v>
      </c>
      <c r="N48" s="709" t="s">
        <v>343</v>
      </c>
      <c r="O48" s="709" t="s">
        <v>344</v>
      </c>
      <c r="P48" s="719" t="s">
        <v>610</v>
      </c>
      <c r="Q48" s="709" t="s">
        <v>346</v>
      </c>
      <c r="R48" s="776"/>
      <c r="S48" s="776"/>
      <c r="T48" s="776"/>
      <c r="U48" s="776"/>
      <c r="V48" s="701"/>
      <c r="W48" s="701"/>
    </row>
    <row r="49" spans="1:23" x14ac:dyDescent="0.25">
      <c r="A49" s="701" t="s">
        <v>487</v>
      </c>
      <c r="B49" s="701"/>
      <c r="C49" s="710" t="s">
        <v>59</v>
      </c>
      <c r="D49" s="711">
        <f>Bilans_E_AMS_Kyoto_run3_MTE!H199</f>
        <v>0</v>
      </c>
      <c r="E49" s="711">
        <f>Bilans_E_AMS_Kyoto_run3_MTE!I199</f>
        <v>9.5366</v>
      </c>
      <c r="F49" s="711">
        <f>Bilans_E_AMS_Kyoto_run3_MTE!J199</f>
        <v>0</v>
      </c>
      <c r="G49" s="711">
        <f>Bilans_E_AMS_Kyoto_run3_MTE!K199</f>
        <v>0</v>
      </c>
      <c r="H49" s="711">
        <f>Bilans_E_AMS_Kyoto_run3_MTE!L199</f>
        <v>0.19771000000000002</v>
      </c>
      <c r="I49" s="711">
        <f>Bilans_E_AMS_Kyoto_run3_MTE!M199</f>
        <v>0</v>
      </c>
      <c r="J49" s="711">
        <f>Bilans_E_AMS_Kyoto_run3_MTE!N199</f>
        <v>1181.6974545454545</v>
      </c>
      <c r="K49" s="711">
        <f>Bilans_E_AMS_Kyoto_run3_MTE!O199</f>
        <v>152.67647201623672</v>
      </c>
      <c r="L49" s="711">
        <f>Bilans_E_AMS_Kyoto_run3_MTE!P199</f>
        <v>240.45551837402905</v>
      </c>
      <c r="M49" s="711">
        <f>Bilans_E_AMS_Kyoto_run3_MTE!Q199</f>
        <v>40.848850213190957</v>
      </c>
      <c r="N49" s="711">
        <f>Bilans_E_AMS_Kyoto_run3_MTE!R199</f>
        <v>0</v>
      </c>
      <c r="O49" s="711">
        <f>Bilans_E_AMS_Kyoto_run3_MTE!S199</f>
        <v>0</v>
      </c>
      <c r="P49" s="711">
        <f>Bilans_E_AMS_Kyoto_run3_MTE!T199+Bilans_E_AMS_Kyoto_run3_MTE!U199</f>
        <v>84.272548180504785</v>
      </c>
      <c r="Q49" s="711">
        <f>Bilans_E_AMS_Kyoto_run3_MTE!V199</f>
        <v>13.904545403817705</v>
      </c>
      <c r="R49" s="711">
        <f>Bilans_E_AMS_Kyoto_run3_MTE!W199</f>
        <v>0</v>
      </c>
      <c r="S49" s="711">
        <f>Bilans_E_AMS_Kyoto_run3_MTE!X199</f>
        <v>0</v>
      </c>
      <c r="T49" s="711">
        <f>Bilans_E_AMS_Kyoto_run3_MTE!Y199</f>
        <v>0</v>
      </c>
      <c r="U49" s="711">
        <f>Bilans_E_AMS_Kyoto_run3_MTE!Z199</f>
        <v>1723.5896987332337</v>
      </c>
      <c r="V49" s="701"/>
      <c r="W49" s="701"/>
    </row>
    <row r="50" spans="1:23" x14ac:dyDescent="0.25">
      <c r="A50" s="701" t="s">
        <v>488</v>
      </c>
      <c r="B50" s="701"/>
      <c r="C50" s="710" t="s">
        <v>60</v>
      </c>
      <c r="D50" s="712">
        <f>Bilans_E_AMS_Kyoto_run3_MTE!H200</f>
        <v>46.39845744407102</v>
      </c>
      <c r="E50" s="712">
        <f>Bilans_E_AMS_Kyoto_run3_MTE!I200</f>
        <v>474.83289369848728</v>
      </c>
      <c r="F50" s="712">
        <f>Bilans_E_AMS_Kyoto_run3_MTE!J200</f>
        <v>270.74194246183629</v>
      </c>
      <c r="G50" s="712">
        <f>Bilans_E_AMS_Kyoto_run3_MTE!K200</f>
        <v>0</v>
      </c>
      <c r="H50" s="712">
        <f>Bilans_E_AMS_Kyoto_run3_MTE!L200</f>
        <v>368.94829767408402</v>
      </c>
      <c r="I50" s="712">
        <f>Bilans_E_AMS_Kyoto_run3_MTE!M200</f>
        <v>0</v>
      </c>
      <c r="J50" s="712">
        <f>Bilans_E_AMS_Kyoto_run3_MTE!N200</f>
        <v>0</v>
      </c>
      <c r="K50" s="712">
        <f>Bilans_E_AMS_Kyoto_run3_MTE!O200</f>
        <v>0</v>
      </c>
      <c r="L50" s="712">
        <f>Bilans_E_AMS_Kyoto_run3_MTE!P200</f>
        <v>0</v>
      </c>
      <c r="M50" s="712">
        <f>Bilans_E_AMS_Kyoto_run3_MTE!Q200</f>
        <v>0</v>
      </c>
      <c r="N50" s="712">
        <f>Bilans_E_AMS_Kyoto_run3_MTE!R200</f>
        <v>7.0928336129737843</v>
      </c>
      <c r="O50" s="712">
        <f>Bilans_E_AMS_Kyoto_run3_MTE!S200</f>
        <v>0.66678198444484238</v>
      </c>
      <c r="P50" s="712">
        <f>Bilans_E_AMS_Kyoto_run3_MTE!T200+Bilans_E_AMS_Kyoto_run3_MTE!U200</f>
        <v>0</v>
      </c>
      <c r="Q50" s="712">
        <f>Bilans_E_AMS_Kyoto_run3_MTE!V200</f>
        <v>0</v>
      </c>
      <c r="R50" s="712">
        <f>Bilans_E_AMS_Kyoto_run3_MTE!W200</f>
        <v>0</v>
      </c>
      <c r="S50" s="712">
        <f>Bilans_E_AMS_Kyoto_run3_MTE!X200</f>
        <v>0</v>
      </c>
      <c r="T50" s="712">
        <f>Bilans_E_AMS_Kyoto_run3_MTE!Y200</f>
        <v>0</v>
      </c>
      <c r="U50" s="712">
        <f>Bilans_E_AMS_Kyoto_run3_MTE!Z200</f>
        <v>1168.6812068758975</v>
      </c>
      <c r="V50" s="701"/>
      <c r="W50" s="701"/>
    </row>
    <row r="51" spans="1:23" x14ac:dyDescent="0.25">
      <c r="A51" s="701" t="s">
        <v>489</v>
      </c>
      <c r="B51" s="701"/>
      <c r="C51" s="710" t="s">
        <v>61</v>
      </c>
      <c r="D51" s="712">
        <f>Bilans_E_AMS_Kyoto_run3_MTE!H201</f>
        <v>0</v>
      </c>
      <c r="E51" s="712">
        <f>Bilans_E_AMS_Kyoto_run3_MTE!I201</f>
        <v>0</v>
      </c>
      <c r="F51" s="712">
        <f>Bilans_E_AMS_Kyoto_run3_MTE!J201</f>
        <v>0</v>
      </c>
      <c r="G51" s="712">
        <f>Bilans_E_AMS_Kyoto_run3_MTE!K201</f>
        <v>0</v>
      </c>
      <c r="H51" s="712">
        <f>Bilans_E_AMS_Kyoto_run3_MTE!L201</f>
        <v>0</v>
      </c>
      <c r="I51" s="712">
        <f>Bilans_E_AMS_Kyoto_run3_MTE!M201</f>
        <v>0</v>
      </c>
      <c r="J51" s="712">
        <f>Bilans_E_AMS_Kyoto_run3_MTE!N201</f>
        <v>0</v>
      </c>
      <c r="K51" s="712">
        <f>Bilans_E_AMS_Kyoto_run3_MTE!O201</f>
        <v>0</v>
      </c>
      <c r="L51" s="712">
        <f>Bilans_E_AMS_Kyoto_run3_MTE!P201</f>
        <v>-0.66130930084236184</v>
      </c>
      <c r="M51" s="712">
        <f>Bilans_E_AMS_Kyoto_run3_MTE!Q201</f>
        <v>0</v>
      </c>
      <c r="N51" s="712">
        <f>Bilans_E_AMS_Kyoto_run3_MTE!R201</f>
        <v>0</v>
      </c>
      <c r="O51" s="712">
        <f>Bilans_E_AMS_Kyoto_run3_MTE!S201</f>
        <v>0</v>
      </c>
      <c r="P51" s="712">
        <f>Bilans_E_AMS_Kyoto_run3_MTE!T201+Bilans_E_AMS_Kyoto_run3_MTE!U201</f>
        <v>0</v>
      </c>
      <c r="Q51" s="712">
        <f>Bilans_E_AMS_Kyoto_run3_MTE!V201</f>
        <v>0</v>
      </c>
      <c r="R51" s="712">
        <f>Bilans_E_AMS_Kyoto_run3_MTE!W201</f>
        <v>-86.192023090421856</v>
      </c>
      <c r="S51" s="712">
        <f>Bilans_E_AMS_Kyoto_run3_MTE!X201</f>
        <v>0</v>
      </c>
      <c r="T51" s="712">
        <f>Bilans_E_AMS_Kyoto_run3_MTE!Y201</f>
        <v>0</v>
      </c>
      <c r="U51" s="712">
        <f>Bilans_E_AMS_Kyoto_run3_MTE!Z201</f>
        <v>-86.853332391264217</v>
      </c>
      <c r="V51" s="701"/>
      <c r="W51" s="701"/>
    </row>
    <row r="52" spans="1:23" x14ac:dyDescent="0.25">
      <c r="A52" s="701" t="s">
        <v>490</v>
      </c>
      <c r="B52" s="701"/>
      <c r="C52" s="710" t="s">
        <v>62</v>
      </c>
      <c r="D52" s="711">
        <f>Bilans_E_AMS_Kyoto_run3_MTE!H202</f>
        <v>0</v>
      </c>
      <c r="E52" s="711">
        <f>Bilans_E_AMS_Kyoto_run3_MTE!I202</f>
        <v>0</v>
      </c>
      <c r="F52" s="711">
        <f>Bilans_E_AMS_Kyoto_run3_MTE!J202</f>
        <v>-10.653162793901119</v>
      </c>
      <c r="G52" s="711">
        <f>Bilans_E_AMS_Kyoto_run3_MTE!K202</f>
        <v>0</v>
      </c>
      <c r="H52" s="711">
        <f>Bilans_E_AMS_Kyoto_run3_MTE!L202</f>
        <v>-1.6855739087490105</v>
      </c>
      <c r="I52" s="711">
        <f>Bilans_E_AMS_Kyoto_run3_MTE!M202</f>
        <v>0</v>
      </c>
      <c r="J52" s="711">
        <f>Bilans_E_AMS_Kyoto_run3_MTE!N202</f>
        <v>0</v>
      </c>
      <c r="K52" s="711">
        <f>Bilans_E_AMS_Kyoto_run3_MTE!O202</f>
        <v>0</v>
      </c>
      <c r="L52" s="711">
        <f>Bilans_E_AMS_Kyoto_run3_MTE!P202</f>
        <v>0</v>
      </c>
      <c r="M52" s="711">
        <f>Bilans_E_AMS_Kyoto_run3_MTE!Q202</f>
        <v>0</v>
      </c>
      <c r="N52" s="711">
        <f>Bilans_E_AMS_Kyoto_run3_MTE!R202</f>
        <v>0</v>
      </c>
      <c r="O52" s="711">
        <f>Bilans_E_AMS_Kyoto_run3_MTE!S202</f>
        <v>-0.18728598986100117</v>
      </c>
      <c r="P52" s="711">
        <f>Bilans_E_AMS_Kyoto_run3_MTE!T202+Bilans_E_AMS_Kyoto_run3_MTE!U202</f>
        <v>0</v>
      </c>
      <c r="Q52" s="711">
        <f>Bilans_E_AMS_Kyoto_run3_MTE!V202</f>
        <v>0</v>
      </c>
      <c r="R52" s="711">
        <f>Bilans_E_AMS_Kyoto_run3_MTE!W202</f>
        <v>0</v>
      </c>
      <c r="S52" s="711">
        <f>Bilans_E_AMS_Kyoto_run3_MTE!X202</f>
        <v>0</v>
      </c>
      <c r="T52" s="711">
        <f>Bilans_E_AMS_Kyoto_run3_MTE!Y202</f>
        <v>0</v>
      </c>
      <c r="U52" s="711">
        <f>Bilans_E_AMS_Kyoto_run3_MTE!Z202</f>
        <v>-12.52602269251113</v>
      </c>
      <c r="V52" s="701"/>
      <c r="W52" s="701"/>
    </row>
    <row r="53" spans="1:23" x14ac:dyDescent="0.25">
      <c r="A53" s="701" t="s">
        <v>491</v>
      </c>
      <c r="B53" s="701"/>
      <c r="C53" s="710" t="s">
        <v>63</v>
      </c>
      <c r="D53" s="711">
        <f>Bilans_E_AMS_Kyoto_run3_MTE!H203</f>
        <v>0</v>
      </c>
      <c r="E53" s="711">
        <f>Bilans_E_AMS_Kyoto_run3_MTE!I203</f>
        <v>0</v>
      </c>
      <c r="F53" s="711">
        <f>Bilans_E_AMS_Kyoto_run3_MTE!J203</f>
        <v>-70</v>
      </c>
      <c r="G53" s="711">
        <f>Bilans_E_AMS_Kyoto_run3_MTE!K203</f>
        <v>0</v>
      </c>
      <c r="H53" s="711">
        <f>Bilans_E_AMS_Kyoto_run3_MTE!L203</f>
        <v>0</v>
      </c>
      <c r="I53" s="711">
        <f>Bilans_E_AMS_Kyoto_run3_MTE!M203</f>
        <v>0</v>
      </c>
      <c r="J53" s="711">
        <f>Bilans_E_AMS_Kyoto_run3_MTE!N203</f>
        <v>0</v>
      </c>
      <c r="K53" s="711">
        <f>Bilans_E_AMS_Kyoto_run3_MTE!O203</f>
        <v>0</v>
      </c>
      <c r="L53" s="711">
        <f>Bilans_E_AMS_Kyoto_run3_MTE!P203</f>
        <v>0</v>
      </c>
      <c r="M53" s="711">
        <f>Bilans_E_AMS_Kyoto_run3_MTE!Q203</f>
        <v>0</v>
      </c>
      <c r="N53" s="711">
        <f>Bilans_E_AMS_Kyoto_run3_MTE!R203</f>
        <v>-1</v>
      </c>
      <c r="O53" s="711">
        <f>Bilans_E_AMS_Kyoto_run3_MTE!S203</f>
        <v>0</v>
      </c>
      <c r="P53" s="711">
        <f>Bilans_E_AMS_Kyoto_run3_MTE!T203+Bilans_E_AMS_Kyoto_run3_MTE!U203</f>
        <v>0</v>
      </c>
      <c r="Q53" s="711">
        <f>Bilans_E_AMS_Kyoto_run3_MTE!V203</f>
        <v>0</v>
      </c>
      <c r="R53" s="711">
        <f>Bilans_E_AMS_Kyoto_run3_MTE!W203</f>
        <v>0</v>
      </c>
      <c r="S53" s="711">
        <f>Bilans_E_AMS_Kyoto_run3_MTE!X203</f>
        <v>0</v>
      </c>
      <c r="T53" s="711">
        <f>Bilans_E_AMS_Kyoto_run3_MTE!Y203</f>
        <v>0</v>
      </c>
      <c r="U53" s="711">
        <f>Bilans_E_AMS_Kyoto_run3_MTE!Z203</f>
        <v>-71</v>
      </c>
      <c r="V53" s="701"/>
      <c r="W53" s="701"/>
    </row>
    <row r="54" spans="1:23" x14ac:dyDescent="0.25">
      <c r="A54" s="701" t="s">
        <v>492</v>
      </c>
      <c r="B54" s="701"/>
      <c r="C54" s="710" t="s">
        <v>64</v>
      </c>
      <c r="D54" s="712">
        <f>Bilans_E_AMS_Kyoto_run3_MTE!H204</f>
        <v>0</v>
      </c>
      <c r="E54" s="712">
        <f>Bilans_E_AMS_Kyoto_run3_MTE!I204</f>
        <v>0</v>
      </c>
      <c r="F54" s="712">
        <f>Bilans_E_AMS_Kyoto_run3_MTE!J204</f>
        <v>0</v>
      </c>
      <c r="G54" s="712">
        <f>Bilans_E_AMS_Kyoto_run3_MTE!K204</f>
        <v>0</v>
      </c>
      <c r="H54" s="712">
        <f>Bilans_E_AMS_Kyoto_run3_MTE!L204</f>
        <v>0</v>
      </c>
      <c r="I54" s="712">
        <f>Bilans_E_AMS_Kyoto_run3_MTE!M204</f>
        <v>0</v>
      </c>
      <c r="J54" s="712">
        <f>Bilans_E_AMS_Kyoto_run3_MTE!N204</f>
        <v>0</v>
      </c>
      <c r="K54" s="712">
        <f>Bilans_E_AMS_Kyoto_run3_MTE!O204</f>
        <v>0</v>
      </c>
      <c r="L54" s="712">
        <f>Bilans_E_AMS_Kyoto_run3_MTE!P204</f>
        <v>0</v>
      </c>
      <c r="M54" s="712">
        <f>Bilans_E_AMS_Kyoto_run3_MTE!Q204</f>
        <v>0</v>
      </c>
      <c r="N54" s="712">
        <f>Bilans_E_AMS_Kyoto_run3_MTE!R204</f>
        <v>0</v>
      </c>
      <c r="O54" s="712">
        <f>Bilans_E_AMS_Kyoto_run3_MTE!S204</f>
        <v>0</v>
      </c>
      <c r="P54" s="712">
        <f>Bilans_E_AMS_Kyoto_run3_MTE!T204+Bilans_E_AMS_Kyoto_run3_MTE!U204</f>
        <v>0</v>
      </c>
      <c r="Q54" s="712">
        <f>Bilans_E_AMS_Kyoto_run3_MTE!V204</f>
        <v>0</v>
      </c>
      <c r="R54" s="712">
        <f>Bilans_E_AMS_Kyoto_run3_MTE!W204</f>
        <v>0</v>
      </c>
      <c r="S54" s="712">
        <f>Bilans_E_AMS_Kyoto_run3_MTE!X204</f>
        <v>0</v>
      </c>
      <c r="T54" s="712">
        <f>Bilans_E_AMS_Kyoto_run3_MTE!Y204</f>
        <v>0</v>
      </c>
      <c r="U54" s="712">
        <f>Bilans_E_AMS_Kyoto_run3_MTE!Z204</f>
        <v>0</v>
      </c>
      <c r="V54" s="701"/>
      <c r="W54" s="701"/>
    </row>
    <row r="55" spans="1:23" x14ac:dyDescent="0.25">
      <c r="A55" s="701" t="s">
        <v>493</v>
      </c>
      <c r="B55" s="701"/>
      <c r="C55" s="713" t="s">
        <v>65</v>
      </c>
      <c r="D55" s="714">
        <f>Bilans_E_AMS_Kyoto_run3_MTE!H205</f>
        <v>46.39845744407102</v>
      </c>
      <c r="E55" s="714">
        <f>Bilans_E_AMS_Kyoto_run3_MTE!I205</f>
        <v>484.3694936984873</v>
      </c>
      <c r="F55" s="714">
        <f>Bilans_E_AMS_Kyoto_run3_MTE!J205</f>
        <v>190.08877966793517</v>
      </c>
      <c r="G55" s="714">
        <f>Bilans_E_AMS_Kyoto_run3_MTE!K205</f>
        <v>0</v>
      </c>
      <c r="H55" s="714">
        <f>Bilans_E_AMS_Kyoto_run3_MTE!L205</f>
        <v>367.46043376533498</v>
      </c>
      <c r="I55" s="714">
        <f>Bilans_E_AMS_Kyoto_run3_MTE!M205</f>
        <v>0</v>
      </c>
      <c r="J55" s="714">
        <f>Bilans_E_AMS_Kyoto_run3_MTE!N205</f>
        <v>1181.6974545454545</v>
      </c>
      <c r="K55" s="714">
        <f>Bilans_E_AMS_Kyoto_run3_MTE!O205</f>
        <v>152.67647201623672</v>
      </c>
      <c r="L55" s="714">
        <f>Bilans_E_AMS_Kyoto_run3_MTE!P205</f>
        <v>239.79420907318669</v>
      </c>
      <c r="M55" s="714">
        <f>Bilans_E_AMS_Kyoto_run3_MTE!Q205</f>
        <v>40.848850213190957</v>
      </c>
      <c r="N55" s="714">
        <f>Bilans_E_AMS_Kyoto_run3_MTE!R205</f>
        <v>6.0928336129737843</v>
      </c>
      <c r="O55" s="714">
        <f>Bilans_E_AMS_Kyoto_run3_MTE!S205</f>
        <v>0.47949599458384118</v>
      </c>
      <c r="P55" s="714">
        <f>Bilans_E_AMS_Kyoto_run3_MTE!T205+Bilans_E_AMS_Kyoto_run3_MTE!U205</f>
        <v>84.272548180504785</v>
      </c>
      <c r="Q55" s="714">
        <f>Bilans_E_AMS_Kyoto_run3_MTE!V205</f>
        <v>13.904545403817705</v>
      </c>
      <c r="R55" s="714">
        <f>Bilans_E_AMS_Kyoto_run3_MTE!W205</f>
        <v>-86.192023090421856</v>
      </c>
      <c r="S55" s="714">
        <f>Bilans_E_AMS_Kyoto_run3_MTE!X205</f>
        <v>0</v>
      </c>
      <c r="T55" s="714">
        <f>Bilans_E_AMS_Kyoto_run3_MTE!Y205</f>
        <v>0</v>
      </c>
      <c r="U55" s="714">
        <f>Bilans_E_AMS_Kyoto_run3_MTE!Z205</f>
        <v>2721.8915505253558</v>
      </c>
      <c r="V55" s="701"/>
      <c r="W55" s="701"/>
    </row>
    <row r="56" spans="1:23" x14ac:dyDescent="0.25">
      <c r="A56" s="701"/>
      <c r="B56" s="701"/>
      <c r="C56" s="715"/>
      <c r="D56" s="716"/>
      <c r="E56" s="716"/>
      <c r="F56" s="716"/>
      <c r="G56" s="716"/>
      <c r="H56" s="716"/>
      <c r="I56" s="716"/>
      <c r="J56" s="716"/>
      <c r="K56" s="716"/>
      <c r="L56" s="716"/>
      <c r="M56" s="716"/>
      <c r="N56" s="716"/>
      <c r="O56" s="716"/>
      <c r="P56" s="716">
        <f>Bilans_E_AMS_Kyoto_run3_MTE!T206+Bilans_E_AMS_Kyoto_run3_MTE!U206</f>
        <v>0</v>
      </c>
      <c r="Q56" s="716"/>
      <c r="R56" s="716"/>
      <c r="S56" s="716"/>
      <c r="T56" s="716"/>
      <c r="U56" s="716"/>
      <c r="V56" s="701"/>
      <c r="W56" s="701"/>
    </row>
    <row r="57" spans="1:23" x14ac:dyDescent="0.25">
      <c r="A57" s="701" t="s">
        <v>494</v>
      </c>
      <c r="B57" s="701"/>
      <c r="C57" s="717" t="s">
        <v>67</v>
      </c>
      <c r="D57" s="711">
        <f>Bilans_E_AMS_Kyoto_run3_MTE!H207</f>
        <v>0</v>
      </c>
      <c r="E57" s="711">
        <f>Bilans_E_AMS_Kyoto_run3_MTE!I207</f>
        <v>0</v>
      </c>
      <c r="F57" s="711">
        <f>Bilans_E_AMS_Kyoto_run3_MTE!J207</f>
        <v>0</v>
      </c>
      <c r="G57" s="711">
        <f>Bilans_E_AMS_Kyoto_run3_MTE!K207</f>
        <v>0</v>
      </c>
      <c r="H57" s="711">
        <f>Bilans_E_AMS_Kyoto_run3_MTE!L207</f>
        <v>0</v>
      </c>
      <c r="I57" s="711">
        <f>Bilans_E_AMS_Kyoto_run3_MTE!M207</f>
        <v>0</v>
      </c>
      <c r="J57" s="711">
        <f>Bilans_E_AMS_Kyoto_run3_MTE!N207</f>
        <v>0</v>
      </c>
      <c r="K57" s="711">
        <f>Bilans_E_AMS_Kyoto_run3_MTE!O207</f>
        <v>0</v>
      </c>
      <c r="L57" s="711">
        <f>Bilans_E_AMS_Kyoto_run3_MTE!P207</f>
        <v>0</v>
      </c>
      <c r="M57" s="711">
        <f>Bilans_E_AMS_Kyoto_run3_MTE!Q207</f>
        <v>0</v>
      </c>
      <c r="N57" s="711">
        <f>Bilans_E_AMS_Kyoto_run3_MTE!R207</f>
        <v>0</v>
      </c>
      <c r="O57" s="711">
        <f>Bilans_E_AMS_Kyoto_run3_MTE!S207</f>
        <v>0</v>
      </c>
      <c r="P57" s="711">
        <f>Bilans_E_AMS_Kyoto_run3_MTE!T207+Bilans_E_AMS_Kyoto_run3_MTE!U207</f>
        <v>0</v>
      </c>
      <c r="Q57" s="711">
        <f>Bilans_E_AMS_Kyoto_run3_MTE!V207</f>
        <v>0</v>
      </c>
      <c r="R57" s="711">
        <f>Bilans_E_AMS_Kyoto_run3_MTE!W207</f>
        <v>0</v>
      </c>
      <c r="S57" s="711">
        <f>Bilans_E_AMS_Kyoto_run3_MTE!X207</f>
        <v>0</v>
      </c>
      <c r="T57" s="711">
        <f>Bilans_E_AMS_Kyoto_run3_MTE!Y207</f>
        <v>0</v>
      </c>
      <c r="U57" s="711">
        <f>Bilans_E_AMS_Kyoto_run3_MTE!Z207</f>
        <v>0</v>
      </c>
      <c r="V57" s="701"/>
      <c r="W57" s="701"/>
    </row>
    <row r="58" spans="1:23" x14ac:dyDescent="0.25">
      <c r="A58" s="701" t="s">
        <v>495</v>
      </c>
      <c r="B58" s="701"/>
      <c r="C58" s="717" t="s">
        <v>347</v>
      </c>
      <c r="D58" s="711">
        <f>Bilans_E_AMS_Kyoto_run3_MTE!H208</f>
        <v>0</v>
      </c>
      <c r="E58" s="711">
        <f>Bilans_E_AMS_Kyoto_run3_MTE!I208</f>
        <v>0</v>
      </c>
      <c r="F58" s="711">
        <f>Bilans_E_AMS_Kyoto_run3_MTE!J208</f>
        <v>2.9245488391069152</v>
      </c>
      <c r="G58" s="711">
        <f>Bilans_E_AMS_Kyoto_run3_MTE!K208</f>
        <v>0</v>
      </c>
      <c r="H58" s="711">
        <f>Bilans_E_AMS_Kyoto_run3_MTE!L208</f>
        <v>56.866475004905659</v>
      </c>
      <c r="I58" s="711">
        <f>Bilans_E_AMS_Kyoto_run3_MTE!M208</f>
        <v>0</v>
      </c>
      <c r="J58" s="711">
        <f>Bilans_E_AMS_Kyoto_run3_MTE!N208</f>
        <v>1181.6974545454545</v>
      </c>
      <c r="K58" s="711">
        <f>Bilans_E_AMS_Kyoto_run3_MTE!O208</f>
        <v>152.67647201623672</v>
      </c>
      <c r="L58" s="711">
        <f>Bilans_E_AMS_Kyoto_run3_MTE!P208</f>
        <v>13.326474331194433</v>
      </c>
      <c r="M58" s="711">
        <f>Bilans_E_AMS_Kyoto_run3_MTE!Q208</f>
        <v>7.616750828340038</v>
      </c>
      <c r="N58" s="711">
        <f>Bilans_E_AMS_Kyoto_run3_MTE!R208</f>
        <v>5.5512316182098811</v>
      </c>
      <c r="O58" s="711">
        <f>Bilans_E_AMS_Kyoto_run3_MTE!S208</f>
        <v>8.2002577205628917</v>
      </c>
      <c r="P58" s="711">
        <f>Bilans_E_AMS_Kyoto_run3_MTE!T208+Bilans_E_AMS_Kyoto_run3_MTE!U208</f>
        <v>0</v>
      </c>
      <c r="Q58" s="711">
        <f>Bilans_E_AMS_Kyoto_run3_MTE!V208</f>
        <v>0.31861460974897526</v>
      </c>
      <c r="R58" s="711">
        <f>Bilans_E_AMS_Kyoto_run3_MTE!W208</f>
        <v>-590.93772044979494</v>
      </c>
      <c r="S58" s="711">
        <f>Bilans_E_AMS_Kyoto_run3_MTE!X208</f>
        <v>0</v>
      </c>
      <c r="T58" s="711">
        <f>Bilans_E_AMS_Kyoto_run3_MTE!Y208</f>
        <v>0</v>
      </c>
      <c r="U58" s="711">
        <f>Bilans_E_AMS_Kyoto_run3_MTE!Z208</f>
        <v>838.24055906396495</v>
      </c>
      <c r="V58" s="701"/>
      <c r="W58" s="701"/>
    </row>
    <row r="59" spans="1:23" x14ac:dyDescent="0.25">
      <c r="A59" s="701" t="s">
        <v>496</v>
      </c>
      <c r="B59" s="701"/>
      <c r="C59" s="717" t="s">
        <v>348</v>
      </c>
      <c r="D59" s="711">
        <f>Bilans_E_AMS_Kyoto_run3_MTE!H209</f>
        <v>0.30889396750851739</v>
      </c>
      <c r="E59" s="711">
        <f>Bilans_E_AMS_Kyoto_run3_MTE!I209</f>
        <v>0</v>
      </c>
      <c r="F59" s="711">
        <f>Bilans_E_AMS_Kyoto_run3_MTE!J209</f>
        <v>1.3037931857947018</v>
      </c>
      <c r="G59" s="711">
        <f>Bilans_E_AMS_Kyoto_run3_MTE!K209</f>
        <v>0</v>
      </c>
      <c r="H59" s="711">
        <f>Bilans_E_AMS_Kyoto_run3_MTE!L209</f>
        <v>19.006397060702763</v>
      </c>
      <c r="I59" s="711">
        <f>Bilans_E_AMS_Kyoto_run3_MTE!M209</f>
        <v>0</v>
      </c>
      <c r="J59" s="711">
        <f>Bilans_E_AMS_Kyoto_run3_MTE!N209</f>
        <v>0</v>
      </c>
      <c r="K59" s="711">
        <f>Bilans_E_AMS_Kyoto_run3_MTE!O209</f>
        <v>0</v>
      </c>
      <c r="L59" s="711">
        <f>Bilans_E_AMS_Kyoto_run3_MTE!P209</f>
        <v>19.963453378354124</v>
      </c>
      <c r="M59" s="711">
        <f>Bilans_E_AMS_Kyoto_run3_MTE!Q209</f>
        <v>11.85327321743026</v>
      </c>
      <c r="N59" s="711">
        <f>Bilans_E_AMS_Kyoto_run3_MTE!R209</f>
        <v>0</v>
      </c>
      <c r="O59" s="711">
        <f>Bilans_E_AMS_Kyoto_run3_MTE!S209</f>
        <v>3.1139937286877846</v>
      </c>
      <c r="P59" s="711">
        <f>Bilans_E_AMS_Kyoto_run3_MTE!T209+Bilans_E_AMS_Kyoto_run3_MTE!U209</f>
        <v>2.9294344243040014</v>
      </c>
      <c r="Q59" s="711">
        <f>Bilans_E_AMS_Kyoto_run3_MTE!V209</f>
        <v>6.057358935027354</v>
      </c>
      <c r="R59" s="711">
        <f>Bilans_E_AMS_Kyoto_run3_MTE!W209</f>
        <v>0</v>
      </c>
      <c r="S59" s="711">
        <f>Bilans_E_AMS_Kyoto_run3_MTE!X209</f>
        <v>-56.820162173543274</v>
      </c>
      <c r="T59" s="711">
        <f>Bilans_E_AMS_Kyoto_run3_MTE!Y209</f>
        <v>0</v>
      </c>
      <c r="U59" s="711">
        <f>Bilans_E_AMS_Kyoto_run3_MTE!Z209</f>
        <v>7.7164357242662405</v>
      </c>
      <c r="V59" s="701"/>
      <c r="W59" s="701"/>
    </row>
    <row r="60" spans="1:23" x14ac:dyDescent="0.25">
      <c r="A60" s="701" t="s">
        <v>497</v>
      </c>
      <c r="B60" s="701"/>
      <c r="C60" s="717" t="s">
        <v>349</v>
      </c>
      <c r="D60" s="711">
        <f>Bilans_E_AMS_Kyoto_run3_MTE!H210</f>
        <v>0</v>
      </c>
      <c r="E60" s="711">
        <f>Bilans_E_AMS_Kyoto_run3_MTE!I210</f>
        <v>0</v>
      </c>
      <c r="F60" s="711">
        <f>Bilans_E_AMS_Kyoto_run3_MTE!J210</f>
        <v>0</v>
      </c>
      <c r="G60" s="711">
        <f>Bilans_E_AMS_Kyoto_run3_MTE!K210</f>
        <v>0</v>
      </c>
      <c r="H60" s="711">
        <f>Bilans_E_AMS_Kyoto_run3_MTE!L210</f>
        <v>0</v>
      </c>
      <c r="I60" s="711">
        <f>Bilans_E_AMS_Kyoto_run3_MTE!M210</f>
        <v>0</v>
      </c>
      <c r="J60" s="711">
        <f>Bilans_E_AMS_Kyoto_run3_MTE!N210</f>
        <v>0</v>
      </c>
      <c r="K60" s="711">
        <f>Bilans_E_AMS_Kyoto_run3_MTE!O210</f>
        <v>0</v>
      </c>
      <c r="L60" s="711">
        <f>Bilans_E_AMS_Kyoto_run3_MTE!P210</f>
        <v>42.951158190071588</v>
      </c>
      <c r="M60" s="711">
        <f>Bilans_E_AMS_Kyoto_run3_MTE!Q210</f>
        <v>7.9775918284298335</v>
      </c>
      <c r="N60" s="711">
        <f>Bilans_E_AMS_Kyoto_run3_MTE!R210</f>
        <v>0</v>
      </c>
      <c r="O60" s="711">
        <f>Bilans_E_AMS_Kyoto_run3_MTE!S210</f>
        <v>-25.540585507819397</v>
      </c>
      <c r="P60" s="711">
        <f>Bilans_E_AMS_Kyoto_run3_MTE!T210+Bilans_E_AMS_Kyoto_run3_MTE!U210</f>
        <v>0</v>
      </c>
      <c r="Q60" s="711">
        <f>Bilans_E_AMS_Kyoto_run3_MTE!V210</f>
        <v>0</v>
      </c>
      <c r="R60" s="711">
        <f>Bilans_E_AMS_Kyoto_run3_MTE!W210</f>
        <v>0</v>
      </c>
      <c r="S60" s="711">
        <f>Bilans_E_AMS_Kyoto_run3_MTE!X210</f>
        <v>0</v>
      </c>
      <c r="T60" s="711">
        <f>Bilans_E_AMS_Kyoto_run3_MTE!Y210</f>
        <v>0</v>
      </c>
      <c r="U60" s="711">
        <f>Bilans_E_AMS_Kyoto_run3_MTE!Z210</f>
        <v>25.388164510682021</v>
      </c>
      <c r="V60" s="701"/>
      <c r="W60" s="701"/>
    </row>
    <row r="61" spans="1:23" x14ac:dyDescent="0.25">
      <c r="A61" s="701" t="s">
        <v>498</v>
      </c>
      <c r="B61" s="701"/>
      <c r="C61" s="717" t="s">
        <v>350</v>
      </c>
      <c r="D61" s="711">
        <f>Bilans_E_AMS_Kyoto_run3_MTE!H211</f>
        <v>0</v>
      </c>
      <c r="E61" s="711">
        <f>Bilans_E_AMS_Kyoto_run3_MTE!I211</f>
        <v>0</v>
      </c>
      <c r="F61" s="711">
        <f>Bilans_E_AMS_Kyoto_run3_MTE!J211</f>
        <v>0</v>
      </c>
      <c r="G61" s="711">
        <f>Bilans_E_AMS_Kyoto_run3_MTE!K211</f>
        <v>0</v>
      </c>
      <c r="H61" s="711">
        <f>Bilans_E_AMS_Kyoto_run3_MTE!L211</f>
        <v>0</v>
      </c>
      <c r="I61" s="711">
        <f>Bilans_E_AMS_Kyoto_run3_MTE!M211</f>
        <v>0</v>
      </c>
      <c r="J61" s="711">
        <f>Bilans_E_AMS_Kyoto_run3_MTE!N211</f>
        <v>0</v>
      </c>
      <c r="K61" s="711">
        <f>Bilans_E_AMS_Kyoto_run3_MTE!O211</f>
        <v>0</v>
      </c>
      <c r="L61" s="711">
        <f>Bilans_E_AMS_Kyoto_run3_MTE!P211</f>
        <v>0</v>
      </c>
      <c r="M61" s="711">
        <f>Bilans_E_AMS_Kyoto_run3_MTE!Q211</f>
        <v>0</v>
      </c>
      <c r="N61" s="711">
        <f>Bilans_E_AMS_Kyoto_run3_MTE!R211</f>
        <v>0</v>
      </c>
      <c r="O61" s="711">
        <f>Bilans_E_AMS_Kyoto_run3_MTE!S211</f>
        <v>0</v>
      </c>
      <c r="P61" s="711">
        <f>Bilans_E_AMS_Kyoto_run3_MTE!T211+Bilans_E_AMS_Kyoto_run3_MTE!U211</f>
        <v>0</v>
      </c>
      <c r="Q61" s="711">
        <f>Bilans_E_AMS_Kyoto_run3_MTE!V211</f>
        <v>0</v>
      </c>
      <c r="R61" s="711">
        <f>Bilans_E_AMS_Kyoto_run3_MTE!W211</f>
        <v>0</v>
      </c>
      <c r="S61" s="711">
        <f>Bilans_E_AMS_Kyoto_run3_MTE!X211</f>
        <v>0</v>
      </c>
      <c r="T61" s="711">
        <f>Bilans_E_AMS_Kyoto_run3_MTE!Y211</f>
        <v>0</v>
      </c>
      <c r="U61" s="711">
        <f>Bilans_E_AMS_Kyoto_run3_MTE!Z211</f>
        <v>0</v>
      </c>
      <c r="V61" s="701"/>
      <c r="W61" s="701"/>
    </row>
    <row r="62" spans="1:23" x14ac:dyDescent="0.25">
      <c r="A62" s="701" t="s">
        <v>499</v>
      </c>
      <c r="B62" s="701"/>
      <c r="C62" s="717" t="s">
        <v>72</v>
      </c>
      <c r="D62" s="711">
        <f>Bilans_E_AMS_Kyoto_run3_MTE!H212</f>
        <v>0</v>
      </c>
      <c r="E62" s="711">
        <f>Bilans_E_AMS_Kyoto_run3_MTE!I212</f>
        <v>502.02103372564807</v>
      </c>
      <c r="F62" s="711">
        <f>Bilans_E_AMS_Kyoto_run3_MTE!J212</f>
        <v>-497.00082338839161</v>
      </c>
      <c r="G62" s="711">
        <f>Bilans_E_AMS_Kyoto_run3_MTE!K212</f>
        <v>0</v>
      </c>
      <c r="H62" s="711">
        <f>Bilans_E_AMS_Kyoto_run3_MTE!L212</f>
        <v>0</v>
      </c>
      <c r="I62" s="711">
        <f>Bilans_E_AMS_Kyoto_run3_MTE!M212</f>
        <v>0</v>
      </c>
      <c r="J62" s="711">
        <f>Bilans_E_AMS_Kyoto_run3_MTE!N212</f>
        <v>0</v>
      </c>
      <c r="K62" s="711">
        <f>Bilans_E_AMS_Kyoto_run3_MTE!O212</f>
        <v>0</v>
      </c>
      <c r="L62" s="711">
        <f>Bilans_E_AMS_Kyoto_run3_MTE!P212</f>
        <v>0</v>
      </c>
      <c r="M62" s="711">
        <f>Bilans_E_AMS_Kyoto_run3_MTE!Q212</f>
        <v>0</v>
      </c>
      <c r="N62" s="711">
        <f>Bilans_E_AMS_Kyoto_run3_MTE!R212</f>
        <v>0</v>
      </c>
      <c r="O62" s="711">
        <f>Bilans_E_AMS_Kyoto_run3_MTE!S212</f>
        <v>0</v>
      </c>
      <c r="P62" s="711">
        <f>Bilans_E_AMS_Kyoto_run3_MTE!T212+Bilans_E_AMS_Kyoto_run3_MTE!U212</f>
        <v>0</v>
      </c>
      <c r="Q62" s="711">
        <f>Bilans_E_AMS_Kyoto_run3_MTE!V212</f>
        <v>0</v>
      </c>
      <c r="R62" s="711">
        <f>Bilans_E_AMS_Kyoto_run3_MTE!W212</f>
        <v>0</v>
      </c>
      <c r="S62" s="711">
        <f>Bilans_E_AMS_Kyoto_run3_MTE!X212</f>
        <v>0</v>
      </c>
      <c r="T62" s="711">
        <f>Bilans_E_AMS_Kyoto_run3_MTE!Y212</f>
        <v>0</v>
      </c>
      <c r="U62" s="711">
        <f>Bilans_E_AMS_Kyoto_run3_MTE!Z212</f>
        <v>5.0202103372564579</v>
      </c>
      <c r="V62" s="701"/>
      <c r="W62" s="701"/>
    </row>
    <row r="63" spans="1:23" x14ac:dyDescent="0.25">
      <c r="A63" s="701" t="s">
        <v>500</v>
      </c>
      <c r="B63" s="701"/>
      <c r="C63" s="717" t="s">
        <v>351</v>
      </c>
      <c r="D63" s="711">
        <f>Bilans_E_AMS_Kyoto_run3_MTE!H213</f>
        <v>0</v>
      </c>
      <c r="E63" s="711">
        <f>Bilans_E_AMS_Kyoto_run3_MTE!I213</f>
        <v>0</v>
      </c>
      <c r="F63" s="711">
        <f>Bilans_E_AMS_Kyoto_run3_MTE!J213</f>
        <v>0</v>
      </c>
      <c r="G63" s="711">
        <f>Bilans_E_AMS_Kyoto_run3_MTE!K213</f>
        <v>0</v>
      </c>
      <c r="H63" s="711">
        <f>Bilans_E_AMS_Kyoto_run3_MTE!L213</f>
        <v>0</v>
      </c>
      <c r="I63" s="711">
        <f>Bilans_E_AMS_Kyoto_run3_MTE!M213</f>
        <v>0</v>
      </c>
      <c r="J63" s="711">
        <f>Bilans_E_AMS_Kyoto_run3_MTE!N213</f>
        <v>0</v>
      </c>
      <c r="K63" s="711">
        <f>Bilans_E_AMS_Kyoto_run3_MTE!O213</f>
        <v>0</v>
      </c>
      <c r="L63" s="711">
        <f>Bilans_E_AMS_Kyoto_run3_MTE!P213</f>
        <v>57.841115986080837</v>
      </c>
      <c r="M63" s="711">
        <f>Bilans_E_AMS_Kyoto_run3_MTE!Q213</f>
        <v>7.2727272727272725</v>
      </c>
      <c r="N63" s="711">
        <f>Bilans_E_AMS_Kyoto_run3_MTE!R213</f>
        <v>-39.93186194133186</v>
      </c>
      <c r="O63" s="711">
        <f>Bilans_E_AMS_Kyoto_run3_MTE!S213</f>
        <v>0</v>
      </c>
      <c r="P63" s="711">
        <f>Bilans_E_AMS_Kyoto_run3_MTE!T213+Bilans_E_AMS_Kyoto_run3_MTE!U213</f>
        <v>0</v>
      </c>
      <c r="Q63" s="711">
        <f>Bilans_E_AMS_Kyoto_run3_MTE!V213</f>
        <v>0</v>
      </c>
      <c r="R63" s="711">
        <f>Bilans_E_AMS_Kyoto_run3_MTE!W213</f>
        <v>0</v>
      </c>
      <c r="S63" s="711">
        <f>Bilans_E_AMS_Kyoto_run3_MTE!X213</f>
        <v>0</v>
      </c>
      <c r="T63" s="711">
        <f>Bilans_E_AMS_Kyoto_run3_MTE!Y213</f>
        <v>0</v>
      </c>
      <c r="U63" s="711">
        <f>Bilans_E_AMS_Kyoto_run3_MTE!Z213</f>
        <v>25.181981317476243</v>
      </c>
      <c r="V63" s="701"/>
      <c r="W63" s="701"/>
    </row>
    <row r="64" spans="1:23" x14ac:dyDescent="0.25">
      <c r="A64" s="701" t="s">
        <v>501</v>
      </c>
      <c r="B64" s="701"/>
      <c r="C64" s="717" t="s">
        <v>352</v>
      </c>
      <c r="D64" s="711">
        <f>Bilans_E_AMS_Kyoto_run3_MTE!H214</f>
        <v>0</v>
      </c>
      <c r="E64" s="711">
        <f>Bilans_E_AMS_Kyoto_run3_MTE!I214</f>
        <v>0</v>
      </c>
      <c r="F64" s="711">
        <f>Bilans_E_AMS_Kyoto_run3_MTE!J214</f>
        <v>0</v>
      </c>
      <c r="G64" s="711">
        <f>Bilans_E_AMS_Kyoto_run3_MTE!K214</f>
        <v>0</v>
      </c>
      <c r="H64" s="711">
        <f>Bilans_E_AMS_Kyoto_run3_MTE!L214</f>
        <v>0</v>
      </c>
      <c r="I64" s="711">
        <f>Bilans_E_AMS_Kyoto_run3_MTE!M214</f>
        <v>0</v>
      </c>
      <c r="J64" s="711">
        <f>Bilans_E_AMS_Kyoto_run3_MTE!N214</f>
        <v>0</v>
      </c>
      <c r="K64" s="711">
        <f>Bilans_E_AMS_Kyoto_run3_MTE!O214</f>
        <v>0</v>
      </c>
      <c r="L64" s="711">
        <f>Bilans_E_AMS_Kyoto_run3_MTE!P214</f>
        <v>0</v>
      </c>
      <c r="M64" s="711">
        <f>Bilans_E_AMS_Kyoto_run3_MTE!Q214</f>
        <v>0</v>
      </c>
      <c r="N64" s="711">
        <f>Bilans_E_AMS_Kyoto_run3_MTE!R214</f>
        <v>0</v>
      </c>
      <c r="O64" s="711">
        <f>Bilans_E_AMS_Kyoto_run3_MTE!S214</f>
        <v>0</v>
      </c>
      <c r="P64" s="711">
        <f>Bilans_E_AMS_Kyoto_run3_MTE!T214+Bilans_E_AMS_Kyoto_run3_MTE!U214</f>
        <v>0</v>
      </c>
      <c r="Q64" s="711">
        <f>Bilans_E_AMS_Kyoto_run3_MTE!V214</f>
        <v>0</v>
      </c>
      <c r="R64" s="711">
        <f>Bilans_E_AMS_Kyoto_run3_MTE!W214</f>
        <v>0</v>
      </c>
      <c r="S64" s="711">
        <f>Bilans_E_AMS_Kyoto_run3_MTE!X214</f>
        <v>0</v>
      </c>
      <c r="T64" s="711">
        <f>Bilans_E_AMS_Kyoto_run3_MTE!Y214</f>
        <v>0</v>
      </c>
      <c r="U64" s="711">
        <f>Bilans_E_AMS_Kyoto_run3_MTE!Z214</f>
        <v>0</v>
      </c>
      <c r="V64" s="701"/>
      <c r="W64" s="701"/>
    </row>
    <row r="65" spans="1:23" x14ac:dyDescent="0.25">
      <c r="A65" s="701" t="s">
        <v>502</v>
      </c>
      <c r="B65" s="701"/>
      <c r="C65" s="717" t="s">
        <v>73</v>
      </c>
      <c r="D65" s="711">
        <f>Bilans_E_AMS_Kyoto_run3_MTE!H215</f>
        <v>0</v>
      </c>
      <c r="E65" s="711">
        <f>Bilans_E_AMS_Kyoto_run3_MTE!I215</f>
        <v>0</v>
      </c>
      <c r="F65" s="711">
        <f>Bilans_E_AMS_Kyoto_run3_MTE!J215</f>
        <v>0</v>
      </c>
      <c r="G65" s="711">
        <f>Bilans_E_AMS_Kyoto_run3_MTE!K215</f>
        <v>0</v>
      </c>
      <c r="H65" s="711">
        <f>Bilans_E_AMS_Kyoto_run3_MTE!L215</f>
        <v>0</v>
      </c>
      <c r="I65" s="711">
        <f>Bilans_E_AMS_Kyoto_run3_MTE!M215</f>
        <v>0</v>
      </c>
      <c r="J65" s="711">
        <f>Bilans_E_AMS_Kyoto_run3_MTE!N215</f>
        <v>0</v>
      </c>
      <c r="K65" s="711">
        <f>Bilans_E_AMS_Kyoto_run3_MTE!O215</f>
        <v>0</v>
      </c>
      <c r="L65" s="711">
        <f>Bilans_E_AMS_Kyoto_run3_MTE!P215</f>
        <v>0</v>
      </c>
      <c r="M65" s="711">
        <f>Bilans_E_AMS_Kyoto_run3_MTE!Q215</f>
        <v>0</v>
      </c>
      <c r="N65" s="711">
        <f>Bilans_E_AMS_Kyoto_run3_MTE!R215</f>
        <v>0</v>
      </c>
      <c r="O65" s="711">
        <f>Bilans_E_AMS_Kyoto_run3_MTE!S215</f>
        <v>0</v>
      </c>
      <c r="P65" s="711">
        <f>Bilans_E_AMS_Kyoto_run3_MTE!T215+Bilans_E_AMS_Kyoto_run3_MTE!U215</f>
        <v>0</v>
      </c>
      <c r="Q65" s="711">
        <f>Bilans_E_AMS_Kyoto_run3_MTE!V215</f>
        <v>0</v>
      </c>
      <c r="R65" s="711">
        <f>Bilans_E_AMS_Kyoto_run3_MTE!W215</f>
        <v>1.9046603946177385</v>
      </c>
      <c r="S65" s="711">
        <f>Bilans_E_AMS_Kyoto_run3_MTE!X215</f>
        <v>0</v>
      </c>
      <c r="T65" s="711">
        <f>Bilans_E_AMS_Kyoto_run3_MTE!Y215</f>
        <v>-1.2380292565015301</v>
      </c>
      <c r="U65" s="711">
        <f>Bilans_E_AMS_Kyoto_run3_MTE!Z215</f>
        <v>0.66663113811620844</v>
      </c>
      <c r="V65" s="701"/>
      <c r="W65" s="701"/>
    </row>
    <row r="66" spans="1:23" x14ac:dyDescent="0.25">
      <c r="A66" s="701" t="s">
        <v>503</v>
      </c>
      <c r="B66" s="701"/>
      <c r="C66" s="717" t="s">
        <v>353</v>
      </c>
      <c r="D66" s="711">
        <f>Bilans_E_AMS_Kyoto_run3_MTE!H216</f>
        <v>29.661880078125002</v>
      </c>
      <c r="E66" s="711">
        <f>Bilans_E_AMS_Kyoto_run3_MTE!I216</f>
        <v>-17.651540027160753</v>
      </c>
      <c r="F66" s="711">
        <f>Bilans_E_AMS_Kyoto_run3_MTE!J216</f>
        <v>23.197502909780482</v>
      </c>
      <c r="G66" s="711">
        <f>Bilans_E_AMS_Kyoto_run3_MTE!K216</f>
        <v>0</v>
      </c>
      <c r="H66" s="711">
        <f>Bilans_E_AMS_Kyoto_run3_MTE!L216</f>
        <v>0</v>
      </c>
      <c r="I66" s="711">
        <f>Bilans_E_AMS_Kyoto_run3_MTE!M216</f>
        <v>0</v>
      </c>
      <c r="J66" s="711">
        <f>Bilans_E_AMS_Kyoto_run3_MTE!N216</f>
        <v>0</v>
      </c>
      <c r="K66" s="711">
        <f>Bilans_E_AMS_Kyoto_run3_MTE!O216</f>
        <v>0</v>
      </c>
      <c r="L66" s="711">
        <f>Bilans_E_AMS_Kyoto_run3_MTE!P216</f>
        <v>0</v>
      </c>
      <c r="M66" s="711">
        <f>Bilans_E_AMS_Kyoto_run3_MTE!Q216</f>
        <v>0</v>
      </c>
      <c r="N66" s="711">
        <f>Bilans_E_AMS_Kyoto_run3_MTE!R216</f>
        <v>0</v>
      </c>
      <c r="O66" s="711">
        <f>Bilans_E_AMS_Kyoto_run3_MTE!S216</f>
        <v>0</v>
      </c>
      <c r="P66" s="711">
        <f>Bilans_E_AMS_Kyoto_run3_MTE!T216+Bilans_E_AMS_Kyoto_run3_MTE!U216</f>
        <v>0</v>
      </c>
      <c r="Q66" s="711">
        <f>Bilans_E_AMS_Kyoto_run3_MTE!V216</f>
        <v>0</v>
      </c>
      <c r="R66" s="711">
        <f>Bilans_E_AMS_Kyoto_run3_MTE!W216</f>
        <v>0</v>
      </c>
      <c r="S66" s="711">
        <f>Bilans_E_AMS_Kyoto_run3_MTE!X216</f>
        <v>0</v>
      </c>
      <c r="T66" s="711">
        <f>Bilans_E_AMS_Kyoto_run3_MTE!Y216</f>
        <v>0</v>
      </c>
      <c r="U66" s="711">
        <f>Bilans_E_AMS_Kyoto_run3_MTE!Z216</f>
        <v>35.207842960744728</v>
      </c>
      <c r="V66" s="701"/>
      <c r="W66" s="701"/>
    </row>
    <row r="67" spans="1:23" x14ac:dyDescent="0.25">
      <c r="A67" s="701" t="s">
        <v>504</v>
      </c>
      <c r="B67" s="701"/>
      <c r="C67" s="717" t="s">
        <v>75</v>
      </c>
      <c r="D67" s="711">
        <f>Bilans_E_AMS_Kyoto_run3_MTE!H217</f>
        <v>11.535175585937502</v>
      </c>
      <c r="E67" s="711">
        <f>Bilans_E_AMS_Kyoto_run3_MTE!I217</f>
        <v>0</v>
      </c>
      <c r="F67" s="711">
        <f>Bilans_E_AMS_Kyoto_run3_MTE!J217</f>
        <v>17.330610826083333</v>
      </c>
      <c r="G67" s="711">
        <f>Bilans_E_AMS_Kyoto_run3_MTE!K217</f>
        <v>0</v>
      </c>
      <c r="H67" s="711">
        <f>Bilans_E_AMS_Kyoto_run3_MTE!L217</f>
        <v>3.72904093688493</v>
      </c>
      <c r="I67" s="711">
        <f>Bilans_E_AMS_Kyoto_run3_MTE!M217</f>
        <v>0</v>
      </c>
      <c r="J67" s="711">
        <f>Bilans_E_AMS_Kyoto_run3_MTE!N217</f>
        <v>0</v>
      </c>
      <c r="K67" s="711">
        <f>Bilans_E_AMS_Kyoto_run3_MTE!O217</f>
        <v>0</v>
      </c>
      <c r="L67" s="711">
        <f>Bilans_E_AMS_Kyoto_run3_MTE!P217</f>
        <v>0</v>
      </c>
      <c r="M67" s="711">
        <f>Bilans_E_AMS_Kyoto_run3_MTE!Q217</f>
        <v>0</v>
      </c>
      <c r="N67" s="711">
        <f>Bilans_E_AMS_Kyoto_run3_MTE!R217</f>
        <v>0</v>
      </c>
      <c r="O67" s="711">
        <f>Bilans_E_AMS_Kyoto_run3_MTE!S217</f>
        <v>0.19626531246762791</v>
      </c>
      <c r="P67" s="711">
        <f>Bilans_E_AMS_Kyoto_run3_MTE!T217+Bilans_E_AMS_Kyoto_run3_MTE!U217</f>
        <v>0</v>
      </c>
      <c r="Q67" s="711">
        <f>Bilans_E_AMS_Kyoto_run3_MTE!V217</f>
        <v>0</v>
      </c>
      <c r="R67" s="711">
        <f>Bilans_E_AMS_Kyoto_run3_MTE!W217</f>
        <v>34.180514899221805</v>
      </c>
      <c r="S67" s="711">
        <f>Bilans_E_AMS_Kyoto_run3_MTE!X217</f>
        <v>0</v>
      </c>
      <c r="T67" s="711">
        <f>Bilans_E_AMS_Kyoto_run3_MTE!Y217</f>
        <v>1</v>
      </c>
      <c r="U67" s="711">
        <f>Bilans_E_AMS_Kyoto_run3_MTE!Z217</f>
        <v>67.971607560595203</v>
      </c>
      <c r="V67" s="701"/>
      <c r="W67" s="701"/>
    </row>
    <row r="68" spans="1:23" x14ac:dyDescent="0.25">
      <c r="A68" s="701" t="s">
        <v>505</v>
      </c>
      <c r="B68" s="701"/>
      <c r="C68" s="717" t="s">
        <v>76</v>
      </c>
      <c r="D68" s="711">
        <f>Bilans_E_AMS_Kyoto_run3_MTE!H218</f>
        <v>0</v>
      </c>
      <c r="E68" s="711">
        <f>Bilans_E_AMS_Kyoto_run3_MTE!I218</f>
        <v>0</v>
      </c>
      <c r="F68" s="711">
        <f>Bilans_E_AMS_Kyoto_run3_MTE!J218</f>
        <v>0</v>
      </c>
      <c r="G68" s="711">
        <f>Bilans_E_AMS_Kyoto_run3_MTE!K218</f>
        <v>0</v>
      </c>
      <c r="H68" s="711">
        <f>Bilans_E_AMS_Kyoto_run3_MTE!L218</f>
        <v>4.280937627144942</v>
      </c>
      <c r="I68" s="711">
        <f>Bilans_E_AMS_Kyoto_run3_MTE!M218</f>
        <v>0</v>
      </c>
      <c r="J68" s="711">
        <f>Bilans_E_AMS_Kyoto_run3_MTE!N218</f>
        <v>0</v>
      </c>
      <c r="K68" s="711">
        <f>Bilans_E_AMS_Kyoto_run3_MTE!O218</f>
        <v>0</v>
      </c>
      <c r="L68" s="711">
        <f>Bilans_E_AMS_Kyoto_run3_MTE!P218</f>
        <v>0</v>
      </c>
      <c r="M68" s="711">
        <f>Bilans_E_AMS_Kyoto_run3_MTE!Q218</f>
        <v>0</v>
      </c>
      <c r="N68" s="711">
        <f>Bilans_E_AMS_Kyoto_run3_MTE!R218</f>
        <v>0</v>
      </c>
      <c r="O68" s="711">
        <f>Bilans_E_AMS_Kyoto_run3_MTE!S218</f>
        <v>0.22531250669183908</v>
      </c>
      <c r="P68" s="711">
        <f>Bilans_E_AMS_Kyoto_run3_MTE!T218+Bilans_E_AMS_Kyoto_run3_MTE!U218</f>
        <v>0</v>
      </c>
      <c r="Q68" s="711">
        <f>Bilans_E_AMS_Kyoto_run3_MTE!V218</f>
        <v>0</v>
      </c>
      <c r="R68" s="711">
        <f>Bilans_E_AMS_Kyoto_run3_MTE!W218</f>
        <v>41.266202819137604</v>
      </c>
      <c r="S68" s="711">
        <f>Bilans_E_AMS_Kyoto_run3_MTE!X218</f>
        <v>4.4071739193324495</v>
      </c>
      <c r="T68" s="711">
        <f>Bilans_E_AMS_Kyoto_run3_MTE!Y218</f>
        <v>0</v>
      </c>
      <c r="U68" s="711">
        <f>Bilans_E_AMS_Kyoto_run3_MTE!Z218</f>
        <v>50.179626872306834</v>
      </c>
      <c r="V68" s="701"/>
      <c r="W68" s="701"/>
    </row>
    <row r="69" spans="1:23" x14ac:dyDescent="0.25">
      <c r="A69" s="701" t="s">
        <v>506</v>
      </c>
      <c r="B69" s="701"/>
      <c r="C69" s="713" t="s">
        <v>77</v>
      </c>
      <c r="D69" s="714">
        <f>Bilans_E_AMS_Kyoto_run3_MTE!H219</f>
        <v>41.505949631571021</v>
      </c>
      <c r="E69" s="714">
        <f>Bilans_E_AMS_Kyoto_run3_MTE!I219</f>
        <v>484.3694936984873</v>
      </c>
      <c r="F69" s="714">
        <f>Bilans_E_AMS_Kyoto_run3_MTE!J219</f>
        <v>-452.24436762762616</v>
      </c>
      <c r="G69" s="714">
        <f>Bilans_E_AMS_Kyoto_run3_MTE!K219</f>
        <v>0</v>
      </c>
      <c r="H69" s="714">
        <f>Bilans_E_AMS_Kyoto_run3_MTE!L219</f>
        <v>83.882850629638284</v>
      </c>
      <c r="I69" s="714">
        <f>Bilans_E_AMS_Kyoto_run3_MTE!M219</f>
        <v>0</v>
      </c>
      <c r="J69" s="714">
        <f>Bilans_E_AMS_Kyoto_run3_MTE!N219</f>
        <v>1181.6974545454545</v>
      </c>
      <c r="K69" s="714">
        <f>Bilans_E_AMS_Kyoto_run3_MTE!O219</f>
        <v>152.67647201623672</v>
      </c>
      <c r="L69" s="714">
        <f>Bilans_E_AMS_Kyoto_run3_MTE!P219</f>
        <v>134.08220188570098</v>
      </c>
      <c r="M69" s="714">
        <f>Bilans_E_AMS_Kyoto_run3_MTE!Q219</f>
        <v>34.720343146927405</v>
      </c>
      <c r="N69" s="714">
        <f>Bilans_E_AMS_Kyoto_run3_MTE!R219</f>
        <v>-34.380630323121977</v>
      </c>
      <c r="O69" s="714">
        <f>Bilans_E_AMS_Kyoto_run3_MTE!S219</f>
        <v>-13.804756239409254</v>
      </c>
      <c r="P69" s="714">
        <f>Bilans_E_AMS_Kyoto_run3_MTE!T219+Bilans_E_AMS_Kyoto_run3_MTE!U219</f>
        <v>2.9294344243040014</v>
      </c>
      <c r="Q69" s="714">
        <f>Bilans_E_AMS_Kyoto_run3_MTE!V219</f>
        <v>6.375973544776329</v>
      </c>
      <c r="R69" s="714">
        <f>Bilans_E_AMS_Kyoto_run3_MTE!W219</f>
        <v>-513.58634233681778</v>
      </c>
      <c r="S69" s="714">
        <f>Bilans_E_AMS_Kyoto_run3_MTE!X219</f>
        <v>-52.412988254210823</v>
      </c>
      <c r="T69" s="714">
        <f>Bilans_E_AMS_Kyoto_run3_MTE!Y219</f>
        <v>-0.23802925650153006</v>
      </c>
      <c r="U69" s="714">
        <f>Bilans_E_AMS_Kyoto_run3_MTE!Z219</f>
        <v>1055.573059485409</v>
      </c>
      <c r="V69" s="701"/>
      <c r="W69" s="701"/>
    </row>
    <row r="70" spans="1:23" x14ac:dyDescent="0.25">
      <c r="A70" s="701"/>
      <c r="B70" s="701"/>
      <c r="C70" s="715"/>
      <c r="D70" s="716"/>
      <c r="E70" s="716"/>
      <c r="F70" s="716"/>
      <c r="G70" s="716"/>
      <c r="H70" s="716"/>
      <c r="I70" s="716"/>
      <c r="J70" s="716"/>
      <c r="K70" s="716"/>
      <c r="L70" s="716"/>
      <c r="M70" s="716"/>
      <c r="N70" s="716"/>
      <c r="O70" s="716"/>
      <c r="P70" s="716">
        <f>Bilans_E_AMS_Kyoto_run3_MTE!T220+Bilans_E_AMS_Kyoto_run3_MTE!U220</f>
        <v>0</v>
      </c>
      <c r="Q70" s="716"/>
      <c r="R70" s="716"/>
      <c r="S70" s="716"/>
      <c r="T70" s="716"/>
      <c r="U70" s="716"/>
      <c r="V70" s="701"/>
      <c r="W70" s="701"/>
    </row>
    <row r="71" spans="1:23" x14ac:dyDescent="0.25">
      <c r="A71" s="701" t="s">
        <v>507</v>
      </c>
      <c r="B71" s="701"/>
      <c r="C71" s="717" t="s">
        <v>78</v>
      </c>
      <c r="D71" s="711">
        <f>Bilans_E_AMS_Kyoto_run3_MTE!H221</f>
        <v>4.8925078124999999</v>
      </c>
      <c r="E71" s="711">
        <f>Bilans_E_AMS_Kyoto_run3_MTE!I221</f>
        <v>0</v>
      </c>
      <c r="F71" s="711">
        <f>Bilans_E_AMS_Kyoto_run3_MTE!J221</f>
        <v>24.165235131191906</v>
      </c>
      <c r="G71" s="711">
        <f>Bilans_E_AMS_Kyoto_run3_MTE!K221</f>
        <v>0</v>
      </c>
      <c r="H71" s="711">
        <f>Bilans_E_AMS_Kyoto_run3_MTE!L221</f>
        <v>94.084094813654275</v>
      </c>
      <c r="I71" s="711">
        <f>Bilans_E_AMS_Kyoto_run3_MTE!M221</f>
        <v>0</v>
      </c>
      <c r="J71" s="711">
        <f>Bilans_E_AMS_Kyoto_run3_MTE!N221</f>
        <v>0</v>
      </c>
      <c r="K71" s="711">
        <f>Bilans_E_AMS_Kyoto_run3_MTE!O221</f>
        <v>0</v>
      </c>
      <c r="L71" s="711">
        <f>Bilans_E_AMS_Kyoto_run3_MTE!P221</f>
        <v>26.937463537570867</v>
      </c>
      <c r="M71" s="711">
        <f>Bilans_E_AMS_Kyoto_run3_MTE!Q221</f>
        <v>6.1285070662635537</v>
      </c>
      <c r="N71" s="711">
        <f>Bilans_E_AMS_Kyoto_run3_MTE!R221</f>
        <v>0.93174084898654219</v>
      </c>
      <c r="O71" s="711">
        <f>Bilans_E_AMS_Kyoto_run3_MTE!S221</f>
        <v>4.9753349470269299</v>
      </c>
      <c r="P71" s="711">
        <f>Bilans_E_AMS_Kyoto_run3_MTE!T221+Bilans_E_AMS_Kyoto_run3_MTE!U221</f>
        <v>1.390278564453125</v>
      </c>
      <c r="Q71" s="711">
        <f>Bilans_E_AMS_Kyoto_run3_MTE!V221</f>
        <v>4.7991131198633983E-4</v>
      </c>
      <c r="R71" s="711">
        <f>Bilans_E_AMS_Kyoto_run3_MTE!W221</f>
        <v>120.70181135843518</v>
      </c>
      <c r="S71" s="711">
        <f>Bilans_E_AMS_Kyoto_run3_MTE!X221</f>
        <v>18.813292152120741</v>
      </c>
      <c r="T71" s="711">
        <f>Bilans_E_AMS_Kyoto_run3_MTE!Y221</f>
        <v>0.1368032684326172</v>
      </c>
      <c r="U71" s="711">
        <f>Bilans_E_AMS_Kyoto_run3_MTE!Z221</f>
        <v>303.1575494119478</v>
      </c>
      <c r="V71" s="701"/>
      <c r="W71" s="701"/>
    </row>
    <row r="72" spans="1:23" x14ac:dyDescent="0.25">
      <c r="A72" s="701" t="s">
        <v>508</v>
      </c>
      <c r="B72" s="701"/>
      <c r="C72" s="717" t="s">
        <v>79</v>
      </c>
      <c r="D72" s="711">
        <f>Bilans_E_AMS_Kyoto_run3_MTE!H222</f>
        <v>0</v>
      </c>
      <c r="E72" s="711">
        <f>Bilans_E_AMS_Kyoto_run3_MTE!I222</f>
        <v>0</v>
      </c>
      <c r="F72" s="711">
        <f>Bilans_E_AMS_Kyoto_run3_MTE!J222</f>
        <v>419.79556605067489</v>
      </c>
      <c r="G72" s="711">
        <f>Bilans_E_AMS_Kyoto_run3_MTE!K222</f>
        <v>0</v>
      </c>
      <c r="H72" s="711">
        <f>Bilans_E_AMS_Kyoto_run3_MTE!L222</f>
        <v>4.0169244395410075</v>
      </c>
      <c r="I72" s="711">
        <f>Bilans_E_AMS_Kyoto_run3_MTE!M222</f>
        <v>0</v>
      </c>
      <c r="J72" s="711">
        <f>Bilans_E_AMS_Kyoto_run3_MTE!N222</f>
        <v>0</v>
      </c>
      <c r="K72" s="711">
        <f>Bilans_E_AMS_Kyoto_run3_MTE!O222</f>
        <v>0</v>
      </c>
      <c r="L72" s="711">
        <f>Bilans_E_AMS_Kyoto_run3_MTE!P222</f>
        <v>0</v>
      </c>
      <c r="M72" s="711">
        <f>Bilans_E_AMS_Kyoto_run3_MTE!Q222</f>
        <v>0</v>
      </c>
      <c r="N72" s="711">
        <f>Bilans_E_AMS_Kyoto_run3_MTE!R222</f>
        <v>36.659680118734968</v>
      </c>
      <c r="O72" s="711">
        <f>Bilans_E_AMS_Kyoto_run3_MTE!S222</f>
        <v>0.21141707576531621</v>
      </c>
      <c r="P72" s="711">
        <f>Bilans_E_AMS_Kyoto_run3_MTE!T222+Bilans_E_AMS_Kyoto_run3_MTE!U222</f>
        <v>0</v>
      </c>
      <c r="Q72" s="711">
        <f>Bilans_E_AMS_Kyoto_run3_MTE!V222</f>
        <v>0</v>
      </c>
      <c r="R72" s="711">
        <f>Bilans_E_AMS_Kyoto_run3_MTE!W222</f>
        <v>16.904139208606786</v>
      </c>
      <c r="S72" s="711">
        <f>Bilans_E_AMS_Kyoto_run3_MTE!X222</f>
        <v>0</v>
      </c>
      <c r="T72" s="711">
        <f>Bilans_E_AMS_Kyoto_run3_MTE!Y222</f>
        <v>0</v>
      </c>
      <c r="U72" s="711">
        <f>Bilans_E_AMS_Kyoto_run3_MTE!Z222</f>
        <v>477.58772689332301</v>
      </c>
      <c r="V72" s="701"/>
      <c r="W72" s="701"/>
    </row>
    <row r="73" spans="1:23" x14ac:dyDescent="0.25">
      <c r="A73" s="701" t="s">
        <v>509</v>
      </c>
      <c r="B73" s="701"/>
      <c r="C73" s="717" t="s">
        <v>80</v>
      </c>
      <c r="D73" s="711">
        <f>Bilans_E_AMS_Kyoto_run3_MTE!H223</f>
        <v>0</v>
      </c>
      <c r="E73" s="711">
        <f>Bilans_E_AMS_Kyoto_run3_MTE!I223</f>
        <v>0</v>
      </c>
      <c r="F73" s="711">
        <f>Bilans_E_AMS_Kyoto_run3_MTE!J223</f>
        <v>30.264105073000309</v>
      </c>
      <c r="G73" s="711">
        <f>Bilans_E_AMS_Kyoto_run3_MTE!K223</f>
        <v>0</v>
      </c>
      <c r="H73" s="711">
        <f>Bilans_E_AMS_Kyoto_run3_MTE!L223</f>
        <v>109.4222854593897</v>
      </c>
      <c r="I73" s="711">
        <f>Bilans_E_AMS_Kyoto_run3_MTE!M223</f>
        <v>0</v>
      </c>
      <c r="J73" s="711">
        <f>Bilans_E_AMS_Kyoto_run3_MTE!N223</f>
        <v>0</v>
      </c>
      <c r="K73" s="711">
        <f>Bilans_E_AMS_Kyoto_run3_MTE!O223</f>
        <v>0</v>
      </c>
      <c r="L73" s="711">
        <f>Bilans_E_AMS_Kyoto_run3_MTE!P223</f>
        <v>73.413726167362853</v>
      </c>
      <c r="M73" s="711">
        <f>Bilans_E_AMS_Kyoto_run3_MTE!Q223</f>
        <v>0</v>
      </c>
      <c r="N73" s="711">
        <f>Bilans_E_AMS_Kyoto_run3_MTE!R223</f>
        <v>0</v>
      </c>
      <c r="O73" s="711">
        <f>Bilans_E_AMS_Kyoto_run3_MTE!S223</f>
        <v>5.7590676557573532</v>
      </c>
      <c r="P73" s="711">
        <f>Bilans_E_AMS_Kyoto_run3_MTE!T223+Bilans_E_AMS_Kyoto_run3_MTE!U223</f>
        <v>58.81291503857112</v>
      </c>
      <c r="Q73" s="711">
        <f>Bilans_E_AMS_Kyoto_run3_MTE!V223</f>
        <v>3.6562035035050702</v>
      </c>
      <c r="R73" s="711">
        <f>Bilans_E_AMS_Kyoto_run3_MTE!W223</f>
        <v>155.95540999328384</v>
      </c>
      <c r="S73" s="711">
        <f>Bilans_E_AMS_Kyoto_run3_MTE!X223</f>
        <v>17.330040012113464</v>
      </c>
      <c r="T73" s="711">
        <f>Bilans_E_AMS_Kyoto_run3_MTE!Y223</f>
        <v>0</v>
      </c>
      <c r="U73" s="711">
        <f>Bilans_E_AMS_Kyoto_run3_MTE!Z223</f>
        <v>454.61375290298366</v>
      </c>
      <c r="V73" s="701"/>
      <c r="W73" s="701"/>
    </row>
    <row r="74" spans="1:23" x14ac:dyDescent="0.25">
      <c r="A74" s="701" t="s">
        <v>510</v>
      </c>
      <c r="B74" s="701"/>
      <c r="C74" s="717" t="s">
        <v>81</v>
      </c>
      <c r="D74" s="711">
        <f>Bilans_E_AMS_Kyoto_run3_MTE!H224</f>
        <v>0</v>
      </c>
      <c r="E74" s="711">
        <f>Bilans_E_AMS_Kyoto_run3_MTE!I224</f>
        <v>0</v>
      </c>
      <c r="F74" s="711">
        <f>Bilans_E_AMS_Kyoto_run3_MTE!J224</f>
        <v>18.302012365463629</v>
      </c>
      <c r="G74" s="711">
        <f>Bilans_E_AMS_Kyoto_run3_MTE!K224</f>
        <v>0</v>
      </c>
      <c r="H74" s="711">
        <f>Bilans_E_AMS_Kyoto_run3_MTE!L224</f>
        <v>60.4894671340926</v>
      </c>
      <c r="I74" s="711">
        <f>Bilans_E_AMS_Kyoto_run3_MTE!M224</f>
        <v>0</v>
      </c>
      <c r="J74" s="711">
        <f>Bilans_E_AMS_Kyoto_run3_MTE!N224</f>
        <v>0</v>
      </c>
      <c r="K74" s="711">
        <f>Bilans_E_AMS_Kyoto_run3_MTE!O224</f>
        <v>0</v>
      </c>
      <c r="L74" s="711">
        <f>Bilans_E_AMS_Kyoto_run3_MTE!P224</f>
        <v>0.46982123257429881</v>
      </c>
      <c r="M74" s="711">
        <f>Bilans_E_AMS_Kyoto_run3_MTE!Q224</f>
        <v>0</v>
      </c>
      <c r="N74" s="711">
        <f>Bilans_E_AMS_Kyoto_run3_MTE!R224</f>
        <v>0</v>
      </c>
      <c r="O74" s="711">
        <f>Bilans_E_AMS_Kyoto_run3_MTE!S224</f>
        <v>3.1836561649522426</v>
      </c>
      <c r="P74" s="711">
        <f>Bilans_E_AMS_Kyoto_run3_MTE!T224+Bilans_E_AMS_Kyoto_run3_MTE!U224</f>
        <v>20.889920153176526</v>
      </c>
      <c r="Q74" s="711">
        <f>Bilans_E_AMS_Kyoto_run3_MTE!V224</f>
        <v>3.5112271315974612</v>
      </c>
      <c r="R74" s="711">
        <f>Bilans_E_AMS_Kyoto_run3_MTE!W224</f>
        <v>125.61536332451628</v>
      </c>
      <c r="S74" s="711">
        <f>Bilans_E_AMS_Kyoto_run3_MTE!X224</f>
        <v>16.26962770883793</v>
      </c>
      <c r="T74" s="711">
        <f>Bilans_E_AMS_Kyoto_run3_MTE!Y224</f>
        <v>0</v>
      </c>
      <c r="U74" s="711">
        <f>Bilans_E_AMS_Kyoto_run3_MTE!Z224</f>
        <v>248.73109521521098</v>
      </c>
      <c r="V74" s="701"/>
      <c r="W74" s="701"/>
    </row>
    <row r="75" spans="1:23" x14ac:dyDescent="0.25">
      <c r="A75" s="701" t="s">
        <v>511</v>
      </c>
      <c r="B75" s="701"/>
      <c r="C75" s="717" t="s">
        <v>82</v>
      </c>
      <c r="D75" s="711">
        <f>Bilans_E_AMS_Kyoto_run3_MTE!H225</f>
        <v>0</v>
      </c>
      <c r="E75" s="711">
        <f>Bilans_E_AMS_Kyoto_run3_MTE!I225</f>
        <v>0</v>
      </c>
      <c r="F75" s="711">
        <f>Bilans_E_AMS_Kyoto_run3_MTE!J225</f>
        <v>35.262359218486715</v>
      </c>
      <c r="G75" s="711">
        <f>Bilans_E_AMS_Kyoto_run3_MTE!K225</f>
        <v>0</v>
      </c>
      <c r="H75" s="711">
        <f>Bilans_E_AMS_Kyoto_run3_MTE!L225</f>
        <v>2.2638116386535292</v>
      </c>
      <c r="I75" s="711">
        <f>Bilans_E_AMS_Kyoto_run3_MTE!M225</f>
        <v>0</v>
      </c>
      <c r="J75" s="711">
        <f>Bilans_E_AMS_Kyoto_run3_MTE!N225</f>
        <v>0</v>
      </c>
      <c r="K75" s="711">
        <f>Bilans_E_AMS_Kyoto_run3_MTE!O225</f>
        <v>0</v>
      </c>
      <c r="L75" s="711">
        <f>Bilans_E_AMS_Kyoto_run3_MTE!P225</f>
        <v>4.8413821640415255</v>
      </c>
      <c r="M75" s="711">
        <f>Bilans_E_AMS_Kyoto_run3_MTE!Q225</f>
        <v>0</v>
      </c>
      <c r="N75" s="711">
        <f>Bilans_E_AMS_Kyoto_run3_MTE!R225</f>
        <v>2.7934691016396722</v>
      </c>
      <c r="O75" s="711">
        <f>Bilans_E_AMS_Kyoto_run3_MTE!S225</f>
        <v>0.1191479809817647</v>
      </c>
      <c r="P75" s="711">
        <f>Bilans_E_AMS_Kyoto_run3_MTE!T225+Bilans_E_AMS_Kyoto_run3_MTE!U225</f>
        <v>0.25</v>
      </c>
      <c r="Q75" s="711">
        <f>Bilans_E_AMS_Kyoto_run3_MTE!V225</f>
        <v>0.36066131262685786</v>
      </c>
      <c r="R75" s="711">
        <f>Bilans_E_AMS_Kyoto_run3_MTE!W225</f>
        <v>8.2175953615538209</v>
      </c>
      <c r="S75" s="711">
        <f>Bilans_E_AMS_Kyoto_run3_MTE!X225</f>
        <v>0</v>
      </c>
      <c r="T75" s="711">
        <f>Bilans_E_AMS_Kyoto_run3_MTE!Y225</f>
        <v>0.10122598806891285</v>
      </c>
      <c r="U75" s="711">
        <f>Bilans_E_AMS_Kyoto_run3_MTE!Z225</f>
        <v>54.209652766052798</v>
      </c>
      <c r="V75" s="701"/>
      <c r="W75" s="701"/>
    </row>
    <row r="76" spans="1:23" x14ac:dyDescent="0.25">
      <c r="A76" s="701" t="s">
        <v>512</v>
      </c>
      <c r="B76" s="701"/>
      <c r="C76" s="717" t="s">
        <v>354</v>
      </c>
      <c r="D76" s="711">
        <f>Bilans_E_AMS_Kyoto_run3_MTE!H226</f>
        <v>0</v>
      </c>
      <c r="E76" s="711">
        <f>Bilans_E_AMS_Kyoto_run3_MTE!I226</f>
        <v>0</v>
      </c>
      <c r="F76" s="711">
        <f>Bilans_E_AMS_Kyoto_run3_MTE!J226</f>
        <v>0</v>
      </c>
      <c r="G76" s="711">
        <f>Bilans_E_AMS_Kyoto_run3_MTE!K226</f>
        <v>0</v>
      </c>
      <c r="H76" s="711">
        <f>Bilans_E_AMS_Kyoto_run3_MTE!L226</f>
        <v>0</v>
      </c>
      <c r="I76" s="711">
        <f>Bilans_E_AMS_Kyoto_run3_MTE!M226</f>
        <v>0</v>
      </c>
      <c r="J76" s="711">
        <f>Bilans_E_AMS_Kyoto_run3_MTE!N226</f>
        <v>0</v>
      </c>
      <c r="K76" s="711">
        <f>Bilans_E_AMS_Kyoto_run3_MTE!O226</f>
        <v>0</v>
      </c>
      <c r="L76" s="711">
        <f>Bilans_E_AMS_Kyoto_run3_MTE!P226</f>
        <v>0</v>
      </c>
      <c r="M76" s="711">
        <f>Bilans_E_AMS_Kyoto_run3_MTE!Q226</f>
        <v>0</v>
      </c>
      <c r="N76" s="711">
        <f>Bilans_E_AMS_Kyoto_run3_MTE!R226</f>
        <v>0</v>
      </c>
      <c r="O76" s="711">
        <f>Bilans_E_AMS_Kyoto_run3_MTE!S226</f>
        <v>0</v>
      </c>
      <c r="P76" s="711">
        <f>Bilans_E_AMS_Kyoto_run3_MTE!T226+Bilans_E_AMS_Kyoto_run3_MTE!U226</f>
        <v>0</v>
      </c>
      <c r="Q76" s="711">
        <f>Bilans_E_AMS_Kyoto_run3_MTE!V226</f>
        <v>0</v>
      </c>
      <c r="R76" s="711">
        <f>Bilans_E_AMS_Kyoto_run3_MTE!W226</f>
        <v>0</v>
      </c>
      <c r="S76" s="711">
        <f>Bilans_E_AMS_Kyoto_run3_MTE!X226</f>
        <v>0</v>
      </c>
      <c r="T76" s="711">
        <f>Bilans_E_AMS_Kyoto_run3_MTE!Y226</f>
        <v>0</v>
      </c>
      <c r="U76" s="711">
        <f>Bilans_E_AMS_Kyoto_run3_MTE!Z226</f>
        <v>0</v>
      </c>
      <c r="V76" s="701"/>
      <c r="W76" s="701"/>
    </row>
    <row r="77" spans="1:23" x14ac:dyDescent="0.25">
      <c r="A77" s="701" t="s">
        <v>513</v>
      </c>
      <c r="B77" s="701"/>
      <c r="C77" s="713" t="s">
        <v>83</v>
      </c>
      <c r="D77" s="714">
        <f>Bilans_E_AMS_Kyoto_run3_MTE!H227</f>
        <v>4.8925078124999999</v>
      </c>
      <c r="E77" s="714">
        <f>Bilans_E_AMS_Kyoto_run3_MTE!I227</f>
        <v>0</v>
      </c>
      <c r="F77" s="714">
        <f>Bilans_E_AMS_Kyoto_run3_MTE!J227</f>
        <v>527.7892778388175</v>
      </c>
      <c r="G77" s="714">
        <f>Bilans_E_AMS_Kyoto_run3_MTE!K227</f>
        <v>0</v>
      </c>
      <c r="H77" s="714">
        <f>Bilans_E_AMS_Kyoto_run3_MTE!L227</f>
        <v>270.27658348533112</v>
      </c>
      <c r="I77" s="714">
        <f>Bilans_E_AMS_Kyoto_run3_MTE!M227</f>
        <v>0</v>
      </c>
      <c r="J77" s="714">
        <f>Bilans_E_AMS_Kyoto_run3_MTE!N227</f>
        <v>0</v>
      </c>
      <c r="K77" s="714">
        <f>Bilans_E_AMS_Kyoto_run3_MTE!O227</f>
        <v>0</v>
      </c>
      <c r="L77" s="714">
        <f>Bilans_E_AMS_Kyoto_run3_MTE!P227</f>
        <v>105.66239310154954</v>
      </c>
      <c r="M77" s="714">
        <f>Bilans_E_AMS_Kyoto_run3_MTE!Q227</f>
        <v>6.1285070662635537</v>
      </c>
      <c r="N77" s="714">
        <f>Bilans_E_AMS_Kyoto_run3_MTE!R227</f>
        <v>40.384890069361184</v>
      </c>
      <c r="O77" s="714">
        <f>Bilans_E_AMS_Kyoto_run3_MTE!S227</f>
        <v>14.248623824483609</v>
      </c>
      <c r="P77" s="714">
        <f>Bilans_E_AMS_Kyoto_run3_MTE!T227+Bilans_E_AMS_Kyoto_run3_MTE!U227</f>
        <v>81.343113756200779</v>
      </c>
      <c r="Q77" s="714">
        <f>Bilans_E_AMS_Kyoto_run3_MTE!V227</f>
        <v>7.5285718590413762</v>
      </c>
      <c r="R77" s="714">
        <f>Bilans_E_AMS_Kyoto_run3_MTE!W227</f>
        <v>427.39431924639592</v>
      </c>
      <c r="S77" s="714">
        <f>Bilans_E_AMS_Kyoto_run3_MTE!X227</f>
        <v>52.41295987307214</v>
      </c>
      <c r="T77" s="714">
        <f>Bilans_E_AMS_Kyoto_run3_MTE!Y227</f>
        <v>0.23802925650153006</v>
      </c>
      <c r="U77" s="714">
        <f>Bilans_E_AMS_Kyoto_run3_MTE!Z227</f>
        <v>1538.2997771895184</v>
      </c>
      <c r="V77" s="701"/>
      <c r="W77" s="701"/>
    </row>
    <row r="78" spans="1:23" x14ac:dyDescent="0.25">
      <c r="A78" s="701" t="s">
        <v>514</v>
      </c>
      <c r="B78" s="701"/>
      <c r="C78" s="710" t="s">
        <v>84</v>
      </c>
      <c r="D78" s="711">
        <f>Bilans_E_AMS_Kyoto_run3_MTE!H228</f>
        <v>0</v>
      </c>
      <c r="E78" s="711">
        <f>Bilans_E_AMS_Kyoto_run3_MTE!I228</f>
        <v>0</v>
      </c>
      <c r="F78" s="711">
        <f>Bilans_E_AMS_Kyoto_run3_MTE!J228</f>
        <v>114.54386945674393</v>
      </c>
      <c r="G78" s="711">
        <f>Bilans_E_AMS_Kyoto_run3_MTE!K228</f>
        <v>0</v>
      </c>
      <c r="H78" s="711">
        <f>Bilans_E_AMS_Kyoto_run3_MTE!L228</f>
        <v>13.300999650365602</v>
      </c>
      <c r="I78" s="711">
        <f>Bilans_E_AMS_Kyoto_run3_MTE!M228</f>
        <v>0</v>
      </c>
      <c r="J78" s="711">
        <f>Bilans_E_AMS_Kyoto_run3_MTE!N228</f>
        <v>0</v>
      </c>
      <c r="K78" s="711">
        <f>Bilans_E_AMS_Kyoto_run3_MTE!O228</f>
        <v>0</v>
      </c>
      <c r="L78" s="711">
        <f>Bilans_E_AMS_Kyoto_run3_MTE!P228</f>
        <v>4.9614085936159999E-2</v>
      </c>
      <c r="M78" s="711">
        <f>Bilans_E_AMS_Kyoto_run3_MTE!Q228</f>
        <v>0</v>
      </c>
      <c r="N78" s="711">
        <f>Bilans_E_AMS_Kyoto_run3_MTE!R228</f>
        <v>8.8573866734579565E-2</v>
      </c>
      <c r="O78" s="711">
        <f>Bilans_E_AMS_Kyoto_run3_MTE!S228</f>
        <v>0</v>
      </c>
      <c r="P78" s="711">
        <f>Bilans_E_AMS_Kyoto_run3_MTE!T228+Bilans_E_AMS_Kyoto_run3_MTE!U228</f>
        <v>0</v>
      </c>
      <c r="Q78" s="711">
        <f>Bilans_E_AMS_Kyoto_run3_MTE!V228</f>
        <v>0</v>
      </c>
      <c r="R78" s="711">
        <f>Bilans_E_AMS_Kyoto_run3_MTE!W228</f>
        <v>0</v>
      </c>
      <c r="S78" s="711">
        <f>Bilans_E_AMS_Kyoto_run3_MTE!X228</f>
        <v>0</v>
      </c>
      <c r="T78" s="711">
        <f>Bilans_E_AMS_Kyoto_run3_MTE!Y228</f>
        <v>0</v>
      </c>
      <c r="U78" s="711">
        <f>Bilans_E_AMS_Kyoto_run3_MTE!Z228</f>
        <v>127.98305705978026</v>
      </c>
      <c r="V78" s="701"/>
      <c r="W78" s="701"/>
    </row>
    <row r="79" spans="1:23" x14ac:dyDescent="0.25">
      <c r="A79" s="701" t="s">
        <v>515</v>
      </c>
      <c r="B79" s="701"/>
      <c r="C79" s="713" t="s">
        <v>85</v>
      </c>
      <c r="D79" s="714">
        <f>Bilans_E_AMS_Kyoto_run3_MTE!H229</f>
        <v>4.8925078124999999</v>
      </c>
      <c r="E79" s="714">
        <f>Bilans_E_AMS_Kyoto_run3_MTE!I229</f>
        <v>0</v>
      </c>
      <c r="F79" s="714">
        <f>Bilans_E_AMS_Kyoto_run3_MTE!J229</f>
        <v>642.33314729556139</v>
      </c>
      <c r="G79" s="714">
        <f>Bilans_E_AMS_Kyoto_run3_MTE!K229</f>
        <v>0</v>
      </c>
      <c r="H79" s="714">
        <f>Bilans_E_AMS_Kyoto_run3_MTE!L229</f>
        <v>283.57758313569673</v>
      </c>
      <c r="I79" s="714">
        <f>Bilans_E_AMS_Kyoto_run3_MTE!M229</f>
        <v>0</v>
      </c>
      <c r="J79" s="714">
        <f>Bilans_E_AMS_Kyoto_run3_MTE!N229</f>
        <v>0</v>
      </c>
      <c r="K79" s="714">
        <f>Bilans_E_AMS_Kyoto_run3_MTE!O229</f>
        <v>0</v>
      </c>
      <c r="L79" s="714">
        <f>Bilans_E_AMS_Kyoto_run3_MTE!P229</f>
        <v>105.7120071874857</v>
      </c>
      <c r="M79" s="714">
        <f>Bilans_E_AMS_Kyoto_run3_MTE!Q229</f>
        <v>6.1285070662635537</v>
      </c>
      <c r="N79" s="714">
        <f>Bilans_E_AMS_Kyoto_run3_MTE!R229</f>
        <v>40.473463936095762</v>
      </c>
      <c r="O79" s="714">
        <f>Bilans_E_AMS_Kyoto_run3_MTE!S229</f>
        <v>14.248623824483609</v>
      </c>
      <c r="P79" s="714">
        <f>Bilans_E_AMS_Kyoto_run3_MTE!T229+Bilans_E_AMS_Kyoto_run3_MTE!U229</f>
        <v>81.343113756200779</v>
      </c>
      <c r="Q79" s="714">
        <f>Bilans_E_AMS_Kyoto_run3_MTE!V229</f>
        <v>7.5285718590413762</v>
      </c>
      <c r="R79" s="714">
        <f>Bilans_E_AMS_Kyoto_run3_MTE!W229</f>
        <v>427.39431924639592</v>
      </c>
      <c r="S79" s="714">
        <f>Bilans_E_AMS_Kyoto_run3_MTE!X229</f>
        <v>52.41295987307214</v>
      </c>
      <c r="T79" s="714">
        <f>Bilans_E_AMS_Kyoto_run3_MTE!Y229</f>
        <v>0.23802925650153006</v>
      </c>
      <c r="U79" s="714">
        <f>Bilans_E_AMS_Kyoto_run3_MTE!Z229</f>
        <v>1666.2828342492987</v>
      </c>
      <c r="V79" s="701"/>
      <c r="W79" s="701"/>
    </row>
    <row r="80" spans="1:23" x14ac:dyDescent="0.25">
      <c r="A80" s="701"/>
      <c r="B80" s="701"/>
      <c r="C80" s="701"/>
      <c r="D80" s="701">
        <f>Bilans_E_AMS_Kyoto_run3_MTE!H230</f>
        <v>0</v>
      </c>
      <c r="E80" s="701">
        <f>Bilans_E_AMS_Kyoto_run3_MTE!I230</f>
        <v>0</v>
      </c>
      <c r="F80" s="701">
        <f>Bilans_E_AMS_Kyoto_run3_MTE!J230</f>
        <v>0</v>
      </c>
      <c r="G80" s="701">
        <f>Bilans_E_AMS_Kyoto_run3_MTE!K230</f>
        <v>0</v>
      </c>
      <c r="H80" s="701">
        <f>Bilans_E_AMS_Kyoto_run3_MTE!L230</f>
        <v>0</v>
      </c>
      <c r="I80" s="701">
        <f>Bilans_E_AMS_Kyoto_run3_MTE!M230</f>
        <v>0</v>
      </c>
      <c r="J80" s="701">
        <f>Bilans_E_AMS_Kyoto_run3_MTE!N230</f>
        <v>0</v>
      </c>
      <c r="K80" s="701">
        <f>Bilans_E_AMS_Kyoto_run3_MTE!O230</f>
        <v>0</v>
      </c>
      <c r="L80" s="701">
        <f>Bilans_E_AMS_Kyoto_run3_MTE!P230</f>
        <v>0</v>
      </c>
      <c r="M80" s="701">
        <f>Bilans_E_AMS_Kyoto_run3_MTE!Q230</f>
        <v>0</v>
      </c>
      <c r="N80" s="701">
        <f>Bilans_E_AMS_Kyoto_run3_MTE!R230</f>
        <v>0</v>
      </c>
      <c r="O80" s="701">
        <f>Bilans_E_AMS_Kyoto_run3_MTE!S230</f>
        <v>-3.5628409509486869E-2</v>
      </c>
      <c r="P80" s="701">
        <f>Bilans_E_AMS_Kyoto_run3_MTE!T230+Bilans_E_AMS_Kyoto_run3_MTE!U230</f>
        <v>0</v>
      </c>
      <c r="Q80" s="701">
        <f>Bilans_E_AMS_Kyoto_run3_MTE!V230</f>
        <v>0</v>
      </c>
      <c r="R80" s="701">
        <f>Bilans_E_AMS_Kyoto_run3_MTE!W230</f>
        <v>0</v>
      </c>
      <c r="S80" s="701">
        <f>Bilans_E_AMS_Kyoto_run3_MTE!X230</f>
        <v>-2.8381138683641893E-5</v>
      </c>
      <c r="T80" s="701">
        <f>Bilans_E_AMS_Kyoto_run3_MTE!Y230</f>
        <v>0</v>
      </c>
      <c r="U80" s="701">
        <f>Bilans_E_AMS_Kyoto_run3_MTE!Z230</f>
        <v>-3.565679064786309E-2</v>
      </c>
      <c r="V80" s="701"/>
      <c r="W80" s="701"/>
    </row>
    <row r="81" spans="1:23" x14ac:dyDescent="0.25">
      <c r="A81" s="701"/>
      <c r="B81" s="701"/>
      <c r="C81" s="701"/>
      <c r="D81" s="701"/>
      <c r="E81" s="701"/>
      <c r="F81" s="701"/>
      <c r="G81" s="701"/>
      <c r="H81" s="701"/>
      <c r="I81" s="701"/>
      <c r="J81" s="701"/>
      <c r="K81" s="701"/>
      <c r="L81" s="701"/>
      <c r="M81" s="701"/>
      <c r="N81" s="701"/>
      <c r="O81" s="701"/>
      <c r="P81" s="701"/>
      <c r="Q81" s="701"/>
      <c r="R81" s="701"/>
      <c r="S81" s="701"/>
      <c r="T81" s="701"/>
      <c r="U81" s="701"/>
      <c r="V81" s="701"/>
      <c r="W81" s="701"/>
    </row>
    <row r="82" spans="1:23" x14ac:dyDescent="0.25">
      <c r="A82" s="707"/>
      <c r="B82" s="707"/>
      <c r="C82" s="708" t="s">
        <v>356</v>
      </c>
      <c r="D82" s="707"/>
      <c r="E82" s="707"/>
      <c r="F82" s="707"/>
      <c r="G82" s="707"/>
      <c r="H82" s="707"/>
      <c r="I82" s="707"/>
      <c r="J82" s="707"/>
      <c r="K82" s="707"/>
      <c r="L82" s="707"/>
      <c r="M82" s="707"/>
      <c r="N82" s="707"/>
      <c r="O82" s="707"/>
      <c r="P82" s="707"/>
      <c r="Q82" s="707"/>
      <c r="R82" s="707"/>
      <c r="S82" s="707"/>
      <c r="T82" s="707"/>
      <c r="U82" s="707"/>
      <c r="V82" s="707"/>
      <c r="W82" s="707"/>
    </row>
    <row r="83" spans="1:23" x14ac:dyDescent="0.25">
      <c r="A83" s="701"/>
      <c r="B83" s="701"/>
      <c r="C83" s="701"/>
      <c r="D83" s="701"/>
      <c r="E83" s="701"/>
      <c r="F83" s="701"/>
      <c r="G83" s="701"/>
      <c r="H83" s="701"/>
      <c r="I83" s="701"/>
      <c r="J83" s="701"/>
      <c r="K83" s="701"/>
      <c r="L83" s="701"/>
      <c r="M83" s="701"/>
      <c r="N83" s="701"/>
      <c r="O83" s="701"/>
      <c r="P83" s="701"/>
      <c r="Q83" s="701"/>
      <c r="R83" s="701"/>
      <c r="S83" s="701"/>
      <c r="T83" s="701"/>
      <c r="U83" s="701"/>
      <c r="V83" s="701"/>
      <c r="W83" s="701"/>
    </row>
    <row r="84" spans="1:23" x14ac:dyDescent="0.25">
      <c r="A84" s="701"/>
      <c r="B84" s="701"/>
      <c r="C84" s="780" t="s">
        <v>128</v>
      </c>
      <c r="D84" s="775" t="s">
        <v>42</v>
      </c>
      <c r="E84" s="775" t="s">
        <v>52</v>
      </c>
      <c r="F84" s="775" t="s">
        <v>53</v>
      </c>
      <c r="G84" s="775" t="s">
        <v>482</v>
      </c>
      <c r="H84" s="775" t="s">
        <v>32</v>
      </c>
      <c r="I84" s="775" t="s">
        <v>483</v>
      </c>
      <c r="J84" s="775" t="s">
        <v>20</v>
      </c>
      <c r="K84" s="775" t="s">
        <v>55</v>
      </c>
      <c r="L84" s="777" t="s">
        <v>56</v>
      </c>
      <c r="M84" s="778"/>
      <c r="N84" s="778"/>
      <c r="O84" s="778"/>
      <c r="P84" s="778"/>
      <c r="Q84" s="779"/>
      <c r="R84" s="775" t="s">
        <v>57</v>
      </c>
      <c r="S84" s="775" t="s">
        <v>58</v>
      </c>
      <c r="T84" s="775" t="s">
        <v>31</v>
      </c>
      <c r="U84" s="775" t="s">
        <v>10</v>
      </c>
      <c r="V84" s="701"/>
      <c r="W84" s="701"/>
    </row>
    <row r="85" spans="1:23" ht="67.5" x14ac:dyDescent="0.25">
      <c r="A85" s="701" t="s">
        <v>486</v>
      </c>
      <c r="B85" s="701"/>
      <c r="C85" s="781"/>
      <c r="D85" s="776"/>
      <c r="E85" s="776"/>
      <c r="F85" s="776"/>
      <c r="G85" s="776"/>
      <c r="H85" s="776"/>
      <c r="I85" s="776"/>
      <c r="J85" s="776"/>
      <c r="K85" s="776"/>
      <c r="L85" s="709" t="s">
        <v>335</v>
      </c>
      <c r="M85" s="709" t="s">
        <v>40</v>
      </c>
      <c r="N85" s="709" t="s">
        <v>343</v>
      </c>
      <c r="O85" s="709" t="s">
        <v>344</v>
      </c>
      <c r="P85" s="719" t="s">
        <v>610</v>
      </c>
      <c r="Q85" s="709" t="s">
        <v>346</v>
      </c>
      <c r="R85" s="776"/>
      <c r="S85" s="776"/>
      <c r="T85" s="776"/>
      <c r="U85" s="776"/>
      <c r="V85" s="701"/>
      <c r="W85" s="701"/>
    </row>
    <row r="86" spans="1:23" x14ac:dyDescent="0.25">
      <c r="A86" s="701" t="s">
        <v>487</v>
      </c>
      <c r="B86" s="701"/>
      <c r="C86" s="710" t="s">
        <v>59</v>
      </c>
      <c r="D86" s="711">
        <f>Bilans_E_AMS_Kyoto_run3_MTE!H236</f>
        <v>0</v>
      </c>
      <c r="E86" s="711">
        <f>Bilans_E_AMS_Kyoto_run3_MTE!I236</f>
        <v>9.5366</v>
      </c>
      <c r="F86" s="711">
        <f>Bilans_E_AMS_Kyoto_run3_MTE!J236</f>
        <v>0</v>
      </c>
      <c r="G86" s="711">
        <f>Bilans_E_AMS_Kyoto_run3_MTE!K236</f>
        <v>0</v>
      </c>
      <c r="H86" s="711">
        <f>Bilans_E_AMS_Kyoto_run3_MTE!L236</f>
        <v>0.19771000000000002</v>
      </c>
      <c r="I86" s="711">
        <f>Bilans_E_AMS_Kyoto_run3_MTE!M236</f>
        <v>0</v>
      </c>
      <c r="J86" s="711">
        <f>Bilans_E_AMS_Kyoto_run3_MTE!N236</f>
        <v>1175.008</v>
      </c>
      <c r="K86" s="711">
        <f>Bilans_E_AMS_Kyoto_run3_MTE!O236</f>
        <v>187.71649074759767</v>
      </c>
      <c r="L86" s="711">
        <f>Bilans_E_AMS_Kyoto_run3_MTE!P236</f>
        <v>270.72826025037881</v>
      </c>
      <c r="M86" s="711">
        <f>Bilans_E_AMS_Kyoto_run3_MTE!Q236</f>
        <v>45.897084258145583</v>
      </c>
      <c r="N86" s="711">
        <f>Bilans_E_AMS_Kyoto_run3_MTE!R236</f>
        <v>0</v>
      </c>
      <c r="O86" s="711">
        <f>Bilans_E_AMS_Kyoto_run3_MTE!S236</f>
        <v>0</v>
      </c>
      <c r="P86" s="711">
        <f>Bilans_E_AMS_Kyoto_run3_MTE!T236+Bilans_E_AMS_Kyoto_run3_MTE!U236</f>
        <v>112.54177827352326</v>
      </c>
      <c r="Q86" s="711">
        <f>Bilans_E_AMS_Kyoto_run3_MTE!V236</f>
        <v>18.694423964001231</v>
      </c>
      <c r="R86" s="711">
        <f>Bilans_E_AMS_Kyoto_run3_MTE!W236</f>
        <v>0</v>
      </c>
      <c r="S86" s="711">
        <f>Bilans_E_AMS_Kyoto_run3_MTE!X236</f>
        <v>0</v>
      </c>
      <c r="T86" s="711">
        <f>Bilans_E_AMS_Kyoto_run3_MTE!Y236</f>
        <v>0</v>
      </c>
      <c r="U86" s="711">
        <f>Bilans_E_AMS_Kyoto_run3_MTE!Z236</f>
        <v>1820.3203474936468</v>
      </c>
      <c r="V86" s="701"/>
      <c r="W86" s="701"/>
    </row>
    <row r="87" spans="1:23" x14ac:dyDescent="0.25">
      <c r="A87" s="701" t="s">
        <v>488</v>
      </c>
      <c r="B87" s="701"/>
      <c r="C87" s="710" t="s">
        <v>60</v>
      </c>
      <c r="D87" s="712">
        <f>Bilans_E_AMS_Kyoto_run3_MTE!H237</f>
        <v>31.56033221100661</v>
      </c>
      <c r="E87" s="712">
        <f>Bilans_E_AMS_Kyoto_run3_MTE!I237</f>
        <v>423.65248565453913</v>
      </c>
      <c r="F87" s="712">
        <f>Bilans_E_AMS_Kyoto_run3_MTE!J237</f>
        <v>228.49107773749739</v>
      </c>
      <c r="G87" s="712">
        <f>Bilans_E_AMS_Kyoto_run3_MTE!K237</f>
        <v>0</v>
      </c>
      <c r="H87" s="712">
        <f>Bilans_E_AMS_Kyoto_run3_MTE!L237</f>
        <v>310.81966457442218</v>
      </c>
      <c r="I87" s="712">
        <f>Bilans_E_AMS_Kyoto_run3_MTE!M237</f>
        <v>0</v>
      </c>
      <c r="J87" s="712">
        <f>Bilans_E_AMS_Kyoto_run3_MTE!N237</f>
        <v>0</v>
      </c>
      <c r="K87" s="712">
        <f>Bilans_E_AMS_Kyoto_run3_MTE!O237</f>
        <v>0</v>
      </c>
      <c r="L87" s="712">
        <f>Bilans_E_AMS_Kyoto_run3_MTE!P237</f>
        <v>0</v>
      </c>
      <c r="M87" s="712">
        <f>Bilans_E_AMS_Kyoto_run3_MTE!Q237</f>
        <v>0</v>
      </c>
      <c r="N87" s="712">
        <f>Bilans_E_AMS_Kyoto_run3_MTE!R237</f>
        <v>5.9340151643868637</v>
      </c>
      <c r="O87" s="712">
        <f>Bilans_E_AMS_Kyoto_run3_MTE!S237</f>
        <v>10.245803282523816</v>
      </c>
      <c r="P87" s="712">
        <f>Bilans_E_AMS_Kyoto_run3_MTE!T237+Bilans_E_AMS_Kyoto_run3_MTE!U237</f>
        <v>0</v>
      </c>
      <c r="Q87" s="712">
        <f>Bilans_E_AMS_Kyoto_run3_MTE!V237</f>
        <v>0</v>
      </c>
      <c r="R87" s="712">
        <f>Bilans_E_AMS_Kyoto_run3_MTE!W237</f>
        <v>0</v>
      </c>
      <c r="S87" s="712">
        <f>Bilans_E_AMS_Kyoto_run3_MTE!X237</f>
        <v>0</v>
      </c>
      <c r="T87" s="712">
        <f>Bilans_E_AMS_Kyoto_run3_MTE!Y237</f>
        <v>0</v>
      </c>
      <c r="U87" s="712">
        <f>Bilans_E_AMS_Kyoto_run3_MTE!Z237</f>
        <v>1010.703378624376</v>
      </c>
      <c r="V87" s="701"/>
      <c r="W87" s="701"/>
    </row>
    <row r="88" spans="1:23" x14ac:dyDescent="0.25">
      <c r="A88" s="701" t="s">
        <v>489</v>
      </c>
      <c r="B88" s="701"/>
      <c r="C88" s="710" t="s">
        <v>61</v>
      </c>
      <c r="D88" s="712">
        <f>Bilans_E_AMS_Kyoto_run3_MTE!H238</f>
        <v>0</v>
      </c>
      <c r="E88" s="712">
        <f>Bilans_E_AMS_Kyoto_run3_MTE!I238</f>
        <v>0</v>
      </c>
      <c r="F88" s="712">
        <f>Bilans_E_AMS_Kyoto_run3_MTE!J238</f>
        <v>0</v>
      </c>
      <c r="G88" s="712">
        <f>Bilans_E_AMS_Kyoto_run3_MTE!K238</f>
        <v>-0.15000000000000002</v>
      </c>
      <c r="H88" s="712">
        <f>Bilans_E_AMS_Kyoto_run3_MTE!L238</f>
        <v>0</v>
      </c>
      <c r="I88" s="712">
        <f>Bilans_E_AMS_Kyoto_run3_MTE!M238</f>
        <v>0</v>
      </c>
      <c r="J88" s="712">
        <f>Bilans_E_AMS_Kyoto_run3_MTE!N238</f>
        <v>0</v>
      </c>
      <c r="K88" s="712">
        <f>Bilans_E_AMS_Kyoto_run3_MTE!O238</f>
        <v>0</v>
      </c>
      <c r="L88" s="712">
        <f>Bilans_E_AMS_Kyoto_run3_MTE!P238</f>
        <v>-1.1067692486901137</v>
      </c>
      <c r="M88" s="712">
        <f>Bilans_E_AMS_Kyoto_run3_MTE!Q238</f>
        <v>0</v>
      </c>
      <c r="N88" s="712">
        <f>Bilans_E_AMS_Kyoto_run3_MTE!R238</f>
        <v>0</v>
      </c>
      <c r="O88" s="712">
        <f>Bilans_E_AMS_Kyoto_run3_MTE!S238</f>
        <v>0</v>
      </c>
      <c r="P88" s="712">
        <f>Bilans_E_AMS_Kyoto_run3_MTE!T238+Bilans_E_AMS_Kyoto_run3_MTE!U238</f>
        <v>0</v>
      </c>
      <c r="Q88" s="712">
        <f>Bilans_E_AMS_Kyoto_run3_MTE!V238</f>
        <v>0</v>
      </c>
      <c r="R88" s="712">
        <f>Bilans_E_AMS_Kyoto_run3_MTE!W238</f>
        <v>-74.597074661503257</v>
      </c>
      <c r="S88" s="712">
        <f>Bilans_E_AMS_Kyoto_run3_MTE!X238</f>
        <v>0</v>
      </c>
      <c r="T88" s="712">
        <f>Bilans_E_AMS_Kyoto_run3_MTE!Y238</f>
        <v>0</v>
      </c>
      <c r="U88" s="712">
        <f>Bilans_E_AMS_Kyoto_run3_MTE!Z238</f>
        <v>-75.853843910193376</v>
      </c>
      <c r="V88" s="701"/>
      <c r="W88" s="701"/>
    </row>
    <row r="89" spans="1:23" x14ac:dyDescent="0.25">
      <c r="A89" s="701" t="s">
        <v>490</v>
      </c>
      <c r="B89" s="701"/>
      <c r="C89" s="710" t="s">
        <v>62</v>
      </c>
      <c r="D89" s="711">
        <f>Bilans_E_AMS_Kyoto_run3_MTE!H239</f>
        <v>0</v>
      </c>
      <c r="E89" s="711">
        <f>Bilans_E_AMS_Kyoto_run3_MTE!I239</f>
        <v>0</v>
      </c>
      <c r="F89" s="711">
        <f>Bilans_E_AMS_Kyoto_run3_MTE!J239</f>
        <v>-9.5738305718287435</v>
      </c>
      <c r="G89" s="711">
        <f>Bilans_E_AMS_Kyoto_run3_MTE!K239</f>
        <v>-0.13812944417760184</v>
      </c>
      <c r="H89" s="711">
        <f>Bilans_E_AMS_Kyoto_run3_MTE!L239</f>
        <v>-1.5870151763057716</v>
      </c>
      <c r="I89" s="711">
        <f>Bilans_E_AMS_Kyoto_run3_MTE!M239</f>
        <v>-0.12645508616383627</v>
      </c>
      <c r="J89" s="711">
        <f>Bilans_E_AMS_Kyoto_run3_MTE!N239</f>
        <v>0</v>
      </c>
      <c r="K89" s="711">
        <f>Bilans_E_AMS_Kyoto_run3_MTE!O239</f>
        <v>0</v>
      </c>
      <c r="L89" s="711">
        <f>Bilans_E_AMS_Kyoto_run3_MTE!P239</f>
        <v>0</v>
      </c>
      <c r="M89" s="711">
        <f>Bilans_E_AMS_Kyoto_run3_MTE!Q239</f>
        <v>0</v>
      </c>
      <c r="N89" s="711">
        <f>Bilans_E_AMS_Kyoto_run3_MTE!R239</f>
        <v>0</v>
      </c>
      <c r="O89" s="711">
        <f>Bilans_E_AMS_Kyoto_run3_MTE!S239</f>
        <v>-0.4604322926990882</v>
      </c>
      <c r="P89" s="711">
        <f>Bilans_E_AMS_Kyoto_run3_MTE!T239+Bilans_E_AMS_Kyoto_run3_MTE!U239</f>
        <v>0</v>
      </c>
      <c r="Q89" s="711">
        <f>Bilans_E_AMS_Kyoto_run3_MTE!V239</f>
        <v>0</v>
      </c>
      <c r="R89" s="711">
        <f>Bilans_E_AMS_Kyoto_run3_MTE!W239</f>
        <v>0</v>
      </c>
      <c r="S89" s="711">
        <f>Bilans_E_AMS_Kyoto_run3_MTE!X239</f>
        <v>0</v>
      </c>
      <c r="T89" s="711">
        <f>Bilans_E_AMS_Kyoto_run3_MTE!Y239</f>
        <v>-5.1110724267898235E-2</v>
      </c>
      <c r="U89" s="711">
        <f>Bilans_E_AMS_Kyoto_run3_MTE!Z239</f>
        <v>-11.936973295442941</v>
      </c>
      <c r="V89" s="701"/>
      <c r="W89" s="701"/>
    </row>
    <row r="90" spans="1:23" x14ac:dyDescent="0.25">
      <c r="A90" s="701" t="s">
        <v>491</v>
      </c>
      <c r="B90" s="701"/>
      <c r="C90" s="710" t="s">
        <v>63</v>
      </c>
      <c r="D90" s="711">
        <f>Bilans_E_AMS_Kyoto_run3_MTE!H240</f>
        <v>0</v>
      </c>
      <c r="E90" s="711">
        <f>Bilans_E_AMS_Kyoto_run3_MTE!I240</f>
        <v>0</v>
      </c>
      <c r="F90" s="711">
        <f>Bilans_E_AMS_Kyoto_run3_MTE!J240</f>
        <v>-70</v>
      </c>
      <c r="G90" s="711">
        <f>Bilans_E_AMS_Kyoto_run3_MTE!K240</f>
        <v>-0.6</v>
      </c>
      <c r="H90" s="711">
        <f>Bilans_E_AMS_Kyoto_run3_MTE!L240</f>
        <v>0</v>
      </c>
      <c r="I90" s="711">
        <f>Bilans_E_AMS_Kyoto_run3_MTE!M240</f>
        <v>0</v>
      </c>
      <c r="J90" s="711">
        <f>Bilans_E_AMS_Kyoto_run3_MTE!N240</f>
        <v>0</v>
      </c>
      <c r="K90" s="711">
        <f>Bilans_E_AMS_Kyoto_run3_MTE!O240</f>
        <v>0</v>
      </c>
      <c r="L90" s="711">
        <f>Bilans_E_AMS_Kyoto_run3_MTE!P240</f>
        <v>0</v>
      </c>
      <c r="M90" s="711">
        <f>Bilans_E_AMS_Kyoto_run3_MTE!Q240</f>
        <v>0</v>
      </c>
      <c r="N90" s="711">
        <f>Bilans_E_AMS_Kyoto_run3_MTE!R240</f>
        <v>-2.8</v>
      </c>
      <c r="O90" s="711">
        <f>Bilans_E_AMS_Kyoto_run3_MTE!S240</f>
        <v>0</v>
      </c>
      <c r="P90" s="711">
        <f>Bilans_E_AMS_Kyoto_run3_MTE!T240+Bilans_E_AMS_Kyoto_run3_MTE!U240</f>
        <v>0</v>
      </c>
      <c r="Q90" s="711">
        <f>Bilans_E_AMS_Kyoto_run3_MTE!V240</f>
        <v>0</v>
      </c>
      <c r="R90" s="711">
        <f>Bilans_E_AMS_Kyoto_run3_MTE!W240</f>
        <v>0</v>
      </c>
      <c r="S90" s="711">
        <f>Bilans_E_AMS_Kyoto_run3_MTE!X240</f>
        <v>0</v>
      </c>
      <c r="T90" s="711">
        <f>Bilans_E_AMS_Kyoto_run3_MTE!Y240</f>
        <v>0</v>
      </c>
      <c r="U90" s="711">
        <f>Bilans_E_AMS_Kyoto_run3_MTE!Z240</f>
        <v>-73.399999999999991</v>
      </c>
      <c r="V90" s="701"/>
      <c r="W90" s="701"/>
    </row>
    <row r="91" spans="1:23" x14ac:dyDescent="0.25">
      <c r="A91" s="701" t="s">
        <v>492</v>
      </c>
      <c r="B91" s="701"/>
      <c r="C91" s="710" t="s">
        <v>64</v>
      </c>
      <c r="D91" s="712">
        <f>Bilans_E_AMS_Kyoto_run3_MTE!H241</f>
        <v>0</v>
      </c>
      <c r="E91" s="712">
        <f>Bilans_E_AMS_Kyoto_run3_MTE!I241</f>
        <v>0</v>
      </c>
      <c r="F91" s="712">
        <f>Bilans_E_AMS_Kyoto_run3_MTE!J241</f>
        <v>0</v>
      </c>
      <c r="G91" s="712">
        <f>Bilans_E_AMS_Kyoto_run3_MTE!K241</f>
        <v>0</v>
      </c>
      <c r="H91" s="712">
        <f>Bilans_E_AMS_Kyoto_run3_MTE!L241</f>
        <v>0</v>
      </c>
      <c r="I91" s="712">
        <f>Bilans_E_AMS_Kyoto_run3_MTE!M241</f>
        <v>0</v>
      </c>
      <c r="J91" s="712">
        <f>Bilans_E_AMS_Kyoto_run3_MTE!N241</f>
        <v>0</v>
      </c>
      <c r="K91" s="712">
        <f>Bilans_E_AMS_Kyoto_run3_MTE!O241</f>
        <v>0</v>
      </c>
      <c r="L91" s="712">
        <f>Bilans_E_AMS_Kyoto_run3_MTE!P241</f>
        <v>0</v>
      </c>
      <c r="M91" s="712">
        <f>Bilans_E_AMS_Kyoto_run3_MTE!Q241</f>
        <v>0</v>
      </c>
      <c r="N91" s="712">
        <f>Bilans_E_AMS_Kyoto_run3_MTE!R241</f>
        <v>0</v>
      </c>
      <c r="O91" s="712">
        <f>Bilans_E_AMS_Kyoto_run3_MTE!S241</f>
        <v>0</v>
      </c>
      <c r="P91" s="712">
        <f>Bilans_E_AMS_Kyoto_run3_MTE!T241+Bilans_E_AMS_Kyoto_run3_MTE!U241</f>
        <v>0</v>
      </c>
      <c r="Q91" s="712">
        <f>Bilans_E_AMS_Kyoto_run3_MTE!V241</f>
        <v>0</v>
      </c>
      <c r="R91" s="712">
        <f>Bilans_E_AMS_Kyoto_run3_MTE!W241</f>
        <v>0</v>
      </c>
      <c r="S91" s="712">
        <f>Bilans_E_AMS_Kyoto_run3_MTE!X241</f>
        <v>0</v>
      </c>
      <c r="T91" s="712">
        <f>Bilans_E_AMS_Kyoto_run3_MTE!Y241</f>
        <v>0</v>
      </c>
      <c r="U91" s="712">
        <f>Bilans_E_AMS_Kyoto_run3_MTE!Z241</f>
        <v>0</v>
      </c>
      <c r="V91" s="701"/>
      <c r="W91" s="701"/>
    </row>
    <row r="92" spans="1:23" x14ac:dyDescent="0.25">
      <c r="A92" s="701" t="s">
        <v>493</v>
      </c>
      <c r="B92" s="701"/>
      <c r="C92" s="713" t="s">
        <v>65</v>
      </c>
      <c r="D92" s="714">
        <f>Bilans_E_AMS_Kyoto_run3_MTE!H242</f>
        <v>31.56033221100661</v>
      </c>
      <c r="E92" s="714">
        <f>Bilans_E_AMS_Kyoto_run3_MTE!I242</f>
        <v>433.18908565453916</v>
      </c>
      <c r="F92" s="714">
        <f>Bilans_E_AMS_Kyoto_run3_MTE!J242</f>
        <v>148.91724716566864</v>
      </c>
      <c r="G92" s="714">
        <f>Bilans_E_AMS_Kyoto_run3_MTE!K242</f>
        <v>-0.88812944417760187</v>
      </c>
      <c r="H92" s="714">
        <f>Bilans_E_AMS_Kyoto_run3_MTE!L242</f>
        <v>309.43035939811637</v>
      </c>
      <c r="I92" s="714">
        <f>Bilans_E_AMS_Kyoto_run3_MTE!M242</f>
        <v>-0.12645508616383627</v>
      </c>
      <c r="J92" s="714">
        <f>Bilans_E_AMS_Kyoto_run3_MTE!N242</f>
        <v>1175.008</v>
      </c>
      <c r="K92" s="714">
        <f>Bilans_E_AMS_Kyoto_run3_MTE!O242</f>
        <v>187.71649074759767</v>
      </c>
      <c r="L92" s="714">
        <f>Bilans_E_AMS_Kyoto_run3_MTE!P242</f>
        <v>269.6214910016887</v>
      </c>
      <c r="M92" s="714">
        <f>Bilans_E_AMS_Kyoto_run3_MTE!Q242</f>
        <v>45.897084258145583</v>
      </c>
      <c r="N92" s="714">
        <f>Bilans_E_AMS_Kyoto_run3_MTE!R242</f>
        <v>3.1340151643868639</v>
      </c>
      <c r="O92" s="714">
        <f>Bilans_E_AMS_Kyoto_run3_MTE!S242</f>
        <v>9.7853709898247274</v>
      </c>
      <c r="P92" s="714">
        <f>Bilans_E_AMS_Kyoto_run3_MTE!T242+Bilans_E_AMS_Kyoto_run3_MTE!U242</f>
        <v>112.54177827352326</v>
      </c>
      <c r="Q92" s="714">
        <f>Bilans_E_AMS_Kyoto_run3_MTE!V242</f>
        <v>18.694423964001231</v>
      </c>
      <c r="R92" s="714">
        <f>Bilans_E_AMS_Kyoto_run3_MTE!W242</f>
        <v>-74.597074661503257</v>
      </c>
      <c r="S92" s="714">
        <f>Bilans_E_AMS_Kyoto_run3_MTE!X242</f>
        <v>0</v>
      </c>
      <c r="T92" s="714">
        <f>Bilans_E_AMS_Kyoto_run3_MTE!Y242</f>
        <v>-5.1110724267898235E-2</v>
      </c>
      <c r="U92" s="714">
        <f>Bilans_E_AMS_Kyoto_run3_MTE!Z242</f>
        <v>2669.8329089123863</v>
      </c>
      <c r="V92" s="701"/>
      <c r="W92" s="701"/>
    </row>
    <row r="93" spans="1:23" x14ac:dyDescent="0.25">
      <c r="A93" s="701"/>
      <c r="B93" s="701"/>
      <c r="C93" s="715"/>
      <c r="D93" s="716"/>
      <c r="E93" s="716"/>
      <c r="F93" s="716"/>
      <c r="G93" s="716"/>
      <c r="H93" s="716"/>
      <c r="I93" s="716"/>
      <c r="J93" s="716"/>
      <c r="K93" s="716"/>
      <c r="L93" s="716"/>
      <c r="M93" s="716"/>
      <c r="N93" s="716"/>
      <c r="O93" s="716"/>
      <c r="P93" s="716">
        <f>Bilans_E_AMS_Kyoto_run3_MTE!T243+Bilans_E_AMS_Kyoto_run3_MTE!U243</f>
        <v>0</v>
      </c>
      <c r="Q93" s="716"/>
      <c r="R93" s="716"/>
      <c r="S93" s="716"/>
      <c r="T93" s="716"/>
      <c r="U93" s="716"/>
      <c r="V93" s="701"/>
      <c r="W93" s="701"/>
    </row>
    <row r="94" spans="1:23" x14ac:dyDescent="0.25">
      <c r="A94" s="701" t="s">
        <v>494</v>
      </c>
      <c r="B94" s="701"/>
      <c r="C94" s="717" t="s">
        <v>67</v>
      </c>
      <c r="D94" s="711">
        <f>Bilans_E_AMS_Kyoto_run3_MTE!H244</f>
        <v>0</v>
      </c>
      <c r="E94" s="711">
        <f>Bilans_E_AMS_Kyoto_run3_MTE!I244</f>
        <v>0</v>
      </c>
      <c r="F94" s="711">
        <f>Bilans_E_AMS_Kyoto_run3_MTE!J244</f>
        <v>0</v>
      </c>
      <c r="G94" s="711">
        <f>Bilans_E_AMS_Kyoto_run3_MTE!K244</f>
        <v>0</v>
      </c>
      <c r="H94" s="711">
        <f>Bilans_E_AMS_Kyoto_run3_MTE!L244</f>
        <v>0</v>
      </c>
      <c r="I94" s="711">
        <f>Bilans_E_AMS_Kyoto_run3_MTE!M244</f>
        <v>0</v>
      </c>
      <c r="J94" s="711">
        <f>Bilans_E_AMS_Kyoto_run3_MTE!N244</f>
        <v>0</v>
      </c>
      <c r="K94" s="711">
        <f>Bilans_E_AMS_Kyoto_run3_MTE!O244</f>
        <v>0</v>
      </c>
      <c r="L94" s="711">
        <f>Bilans_E_AMS_Kyoto_run3_MTE!P244</f>
        <v>0</v>
      </c>
      <c r="M94" s="711">
        <f>Bilans_E_AMS_Kyoto_run3_MTE!Q244</f>
        <v>0</v>
      </c>
      <c r="N94" s="711">
        <f>Bilans_E_AMS_Kyoto_run3_MTE!R244</f>
        <v>0</v>
      </c>
      <c r="O94" s="711">
        <f>Bilans_E_AMS_Kyoto_run3_MTE!S244</f>
        <v>0</v>
      </c>
      <c r="P94" s="711">
        <f>Bilans_E_AMS_Kyoto_run3_MTE!T244+Bilans_E_AMS_Kyoto_run3_MTE!U244</f>
        <v>0</v>
      </c>
      <c r="Q94" s="711">
        <f>Bilans_E_AMS_Kyoto_run3_MTE!V244</f>
        <v>0</v>
      </c>
      <c r="R94" s="711">
        <f>Bilans_E_AMS_Kyoto_run3_MTE!W244</f>
        <v>0</v>
      </c>
      <c r="S94" s="711">
        <f>Bilans_E_AMS_Kyoto_run3_MTE!X244</f>
        <v>0</v>
      </c>
      <c r="T94" s="711">
        <f>Bilans_E_AMS_Kyoto_run3_MTE!Y244</f>
        <v>0</v>
      </c>
      <c r="U94" s="711">
        <f>Bilans_E_AMS_Kyoto_run3_MTE!Z244</f>
        <v>0</v>
      </c>
      <c r="V94" s="701"/>
      <c r="W94" s="701"/>
    </row>
    <row r="95" spans="1:23" x14ac:dyDescent="0.25">
      <c r="A95" s="701" t="s">
        <v>495</v>
      </c>
      <c r="B95" s="701"/>
      <c r="C95" s="717" t="s">
        <v>347</v>
      </c>
      <c r="D95" s="711">
        <f>Bilans_E_AMS_Kyoto_run3_MTE!H245</f>
        <v>0</v>
      </c>
      <c r="E95" s="711">
        <f>Bilans_E_AMS_Kyoto_run3_MTE!I245</f>
        <v>0</v>
      </c>
      <c r="F95" s="711">
        <f>Bilans_E_AMS_Kyoto_run3_MTE!J245</f>
        <v>1.6370023545014427</v>
      </c>
      <c r="G95" s="711">
        <f>Bilans_E_AMS_Kyoto_run3_MTE!K245</f>
        <v>0</v>
      </c>
      <c r="H95" s="711">
        <f>Bilans_E_AMS_Kyoto_run3_MTE!L245</f>
        <v>52.55573442014758</v>
      </c>
      <c r="I95" s="711">
        <f>Bilans_E_AMS_Kyoto_run3_MTE!M245</f>
        <v>0</v>
      </c>
      <c r="J95" s="711">
        <f>Bilans_E_AMS_Kyoto_run3_MTE!N245</f>
        <v>1175.008</v>
      </c>
      <c r="K95" s="711">
        <f>Bilans_E_AMS_Kyoto_run3_MTE!O245</f>
        <v>187.71649074759767</v>
      </c>
      <c r="L95" s="711">
        <f>Bilans_E_AMS_Kyoto_run3_MTE!P245</f>
        <v>13.303812367551458</v>
      </c>
      <c r="M95" s="711">
        <f>Bilans_E_AMS_Kyoto_run3_MTE!Q245</f>
        <v>6.8324809145411169</v>
      </c>
      <c r="N95" s="711">
        <f>Bilans_E_AMS_Kyoto_run3_MTE!R245</f>
        <v>4.867247129818443</v>
      </c>
      <c r="O95" s="711">
        <f>Bilans_E_AMS_Kyoto_run3_MTE!S245</f>
        <v>11.312131727734517</v>
      </c>
      <c r="P95" s="711">
        <f>Bilans_E_AMS_Kyoto_run3_MTE!T245+Bilans_E_AMS_Kyoto_run3_MTE!U245</f>
        <v>0</v>
      </c>
      <c r="Q95" s="711">
        <f>Bilans_E_AMS_Kyoto_run3_MTE!V245</f>
        <v>0.1274458438995901</v>
      </c>
      <c r="R95" s="711">
        <f>Bilans_E_AMS_Kyoto_run3_MTE!W245</f>
        <v>-623.12460271743248</v>
      </c>
      <c r="S95" s="711">
        <f>Bilans_E_AMS_Kyoto_run3_MTE!X245</f>
        <v>0</v>
      </c>
      <c r="T95" s="711">
        <f>Bilans_E_AMS_Kyoto_run3_MTE!Y245</f>
        <v>0</v>
      </c>
      <c r="U95" s="711">
        <f>Bilans_E_AMS_Kyoto_run3_MTE!Z245</f>
        <v>830.2357427883594</v>
      </c>
      <c r="V95" s="701"/>
      <c r="W95" s="701"/>
    </row>
    <row r="96" spans="1:23" x14ac:dyDescent="0.25">
      <c r="A96" s="701" t="s">
        <v>496</v>
      </c>
      <c r="B96" s="701"/>
      <c r="C96" s="717" t="s">
        <v>348</v>
      </c>
      <c r="D96" s="711">
        <f>Bilans_E_AMS_Kyoto_run3_MTE!H246</f>
        <v>0.13467107819411372</v>
      </c>
      <c r="E96" s="711">
        <f>Bilans_E_AMS_Kyoto_run3_MTE!I246</f>
        <v>0</v>
      </c>
      <c r="F96" s="711">
        <f>Bilans_E_AMS_Kyoto_run3_MTE!J246</f>
        <v>0.52506612841034428</v>
      </c>
      <c r="G96" s="711">
        <f>Bilans_E_AMS_Kyoto_run3_MTE!K246</f>
        <v>0</v>
      </c>
      <c r="H96" s="711">
        <f>Bilans_E_AMS_Kyoto_run3_MTE!L246</f>
        <v>19.432145084898821</v>
      </c>
      <c r="I96" s="711">
        <f>Bilans_E_AMS_Kyoto_run3_MTE!M246</f>
        <v>0</v>
      </c>
      <c r="J96" s="711">
        <f>Bilans_E_AMS_Kyoto_run3_MTE!N246</f>
        <v>0</v>
      </c>
      <c r="K96" s="711">
        <f>Bilans_E_AMS_Kyoto_run3_MTE!O246</f>
        <v>0</v>
      </c>
      <c r="L96" s="711">
        <f>Bilans_E_AMS_Kyoto_run3_MTE!P246</f>
        <v>22.121134883246068</v>
      </c>
      <c r="M96" s="711">
        <f>Bilans_E_AMS_Kyoto_run3_MTE!Q246</f>
        <v>14.207576096436197</v>
      </c>
      <c r="N96" s="711">
        <f>Bilans_E_AMS_Kyoto_run3_MTE!R246</f>
        <v>0</v>
      </c>
      <c r="O96" s="711">
        <f>Bilans_E_AMS_Kyoto_run3_MTE!S246</f>
        <v>4.3596905995520387</v>
      </c>
      <c r="P96" s="711">
        <f>Bilans_E_AMS_Kyoto_run3_MTE!T246+Bilans_E_AMS_Kyoto_run3_MTE!U246</f>
        <v>4.1667830272384689</v>
      </c>
      <c r="Q96" s="711">
        <f>Bilans_E_AMS_Kyoto_run3_MTE!V246</f>
        <v>8.0512503201458188</v>
      </c>
      <c r="R96" s="711">
        <f>Bilans_E_AMS_Kyoto_run3_MTE!W246</f>
        <v>0</v>
      </c>
      <c r="S96" s="711">
        <f>Bilans_E_AMS_Kyoto_run3_MTE!X246</f>
        <v>-64.903157384138837</v>
      </c>
      <c r="T96" s="711">
        <f>Bilans_E_AMS_Kyoto_run3_MTE!Y246</f>
        <v>0</v>
      </c>
      <c r="U96" s="711">
        <f>Bilans_E_AMS_Kyoto_run3_MTE!Z246</f>
        <v>8.0951598339830468</v>
      </c>
      <c r="V96" s="701"/>
      <c r="W96" s="701"/>
    </row>
    <row r="97" spans="1:23" x14ac:dyDescent="0.25">
      <c r="A97" s="701" t="s">
        <v>497</v>
      </c>
      <c r="B97" s="701"/>
      <c r="C97" s="717" t="s">
        <v>349</v>
      </c>
      <c r="D97" s="711">
        <f>Bilans_E_AMS_Kyoto_run3_MTE!H247</f>
        <v>0</v>
      </c>
      <c r="E97" s="711">
        <f>Bilans_E_AMS_Kyoto_run3_MTE!I247</f>
        <v>0</v>
      </c>
      <c r="F97" s="711">
        <f>Bilans_E_AMS_Kyoto_run3_MTE!J247</f>
        <v>0</v>
      </c>
      <c r="G97" s="711">
        <f>Bilans_E_AMS_Kyoto_run3_MTE!K247</f>
        <v>0</v>
      </c>
      <c r="H97" s="711">
        <f>Bilans_E_AMS_Kyoto_run3_MTE!L247</f>
        <v>0</v>
      </c>
      <c r="I97" s="711">
        <f>Bilans_E_AMS_Kyoto_run3_MTE!M247</f>
        <v>0</v>
      </c>
      <c r="J97" s="711">
        <f>Bilans_E_AMS_Kyoto_run3_MTE!N247</f>
        <v>0</v>
      </c>
      <c r="K97" s="711">
        <f>Bilans_E_AMS_Kyoto_run3_MTE!O247</f>
        <v>0</v>
      </c>
      <c r="L97" s="711">
        <f>Bilans_E_AMS_Kyoto_run3_MTE!P247</f>
        <v>58.507459847608104</v>
      </c>
      <c r="M97" s="711">
        <f>Bilans_E_AMS_Kyoto_run3_MTE!Q247</f>
        <v>8.987596372567852</v>
      </c>
      <c r="N97" s="711">
        <f>Bilans_E_AMS_Kyoto_run3_MTE!R247</f>
        <v>0</v>
      </c>
      <c r="O97" s="711">
        <f>Bilans_E_AMS_Kyoto_run3_MTE!S247</f>
        <v>-33.609138102748922</v>
      </c>
      <c r="P97" s="711">
        <f>Bilans_E_AMS_Kyoto_run3_MTE!T247+Bilans_E_AMS_Kyoto_run3_MTE!U247</f>
        <v>0</v>
      </c>
      <c r="Q97" s="711">
        <f>Bilans_E_AMS_Kyoto_run3_MTE!V247</f>
        <v>0</v>
      </c>
      <c r="R97" s="711">
        <f>Bilans_E_AMS_Kyoto_run3_MTE!W247</f>
        <v>0</v>
      </c>
      <c r="S97" s="711">
        <f>Bilans_E_AMS_Kyoto_run3_MTE!X247</f>
        <v>0</v>
      </c>
      <c r="T97" s="711">
        <f>Bilans_E_AMS_Kyoto_run3_MTE!Y247</f>
        <v>0</v>
      </c>
      <c r="U97" s="711">
        <f>Bilans_E_AMS_Kyoto_run3_MTE!Z247</f>
        <v>33.885918117427032</v>
      </c>
      <c r="V97" s="701"/>
      <c r="W97" s="701"/>
    </row>
    <row r="98" spans="1:23" x14ac:dyDescent="0.25">
      <c r="A98" s="701" t="s">
        <v>498</v>
      </c>
      <c r="B98" s="701"/>
      <c r="C98" s="717" t="s">
        <v>350</v>
      </c>
      <c r="D98" s="711">
        <f>Bilans_E_AMS_Kyoto_run3_MTE!H248</f>
        <v>0</v>
      </c>
      <c r="E98" s="711">
        <f>Bilans_E_AMS_Kyoto_run3_MTE!I248</f>
        <v>0</v>
      </c>
      <c r="F98" s="711">
        <f>Bilans_E_AMS_Kyoto_run3_MTE!J248</f>
        <v>0</v>
      </c>
      <c r="G98" s="711">
        <f>Bilans_E_AMS_Kyoto_run3_MTE!K248</f>
        <v>0</v>
      </c>
      <c r="H98" s="711">
        <f>Bilans_E_AMS_Kyoto_run3_MTE!L248</f>
        <v>0</v>
      </c>
      <c r="I98" s="711">
        <f>Bilans_E_AMS_Kyoto_run3_MTE!M248</f>
        <v>-0.12645508616383627</v>
      </c>
      <c r="J98" s="711">
        <f>Bilans_E_AMS_Kyoto_run3_MTE!N248</f>
        <v>0</v>
      </c>
      <c r="K98" s="711">
        <f>Bilans_E_AMS_Kyoto_run3_MTE!O248</f>
        <v>0</v>
      </c>
      <c r="L98" s="711">
        <f>Bilans_E_AMS_Kyoto_run3_MTE!P248</f>
        <v>0</v>
      </c>
      <c r="M98" s="711">
        <f>Bilans_E_AMS_Kyoto_run3_MTE!Q248</f>
        <v>0</v>
      </c>
      <c r="N98" s="711">
        <f>Bilans_E_AMS_Kyoto_run3_MTE!R248</f>
        <v>0</v>
      </c>
      <c r="O98" s="711">
        <f>Bilans_E_AMS_Kyoto_run3_MTE!S248</f>
        <v>0</v>
      </c>
      <c r="P98" s="711">
        <f>Bilans_E_AMS_Kyoto_run3_MTE!T248+Bilans_E_AMS_Kyoto_run3_MTE!U248</f>
        <v>0</v>
      </c>
      <c r="Q98" s="711">
        <f>Bilans_E_AMS_Kyoto_run3_MTE!V248</f>
        <v>0</v>
      </c>
      <c r="R98" s="711">
        <f>Bilans_E_AMS_Kyoto_run3_MTE!W248</f>
        <v>0</v>
      </c>
      <c r="S98" s="711">
        <f>Bilans_E_AMS_Kyoto_run3_MTE!X248</f>
        <v>0</v>
      </c>
      <c r="T98" s="711">
        <f>Bilans_E_AMS_Kyoto_run3_MTE!Y248</f>
        <v>0.17563206411643928</v>
      </c>
      <c r="U98" s="711">
        <f>Bilans_E_AMS_Kyoto_run3_MTE!Z248</f>
        <v>4.9176977952603007E-2</v>
      </c>
      <c r="V98" s="701"/>
      <c r="W98" s="701"/>
    </row>
    <row r="99" spans="1:23" x14ac:dyDescent="0.25">
      <c r="A99" s="701" t="s">
        <v>499</v>
      </c>
      <c r="B99" s="701"/>
      <c r="C99" s="717" t="s">
        <v>72</v>
      </c>
      <c r="D99" s="711">
        <f>Bilans_E_AMS_Kyoto_run3_MTE!H249</f>
        <v>0</v>
      </c>
      <c r="E99" s="711">
        <f>Bilans_E_AMS_Kyoto_run3_MTE!I249</f>
        <v>448.96671017017962</v>
      </c>
      <c r="F99" s="711">
        <f>Bilans_E_AMS_Kyoto_run3_MTE!J249</f>
        <v>-444.47704306847783</v>
      </c>
      <c r="G99" s="711">
        <f>Bilans_E_AMS_Kyoto_run3_MTE!K249</f>
        <v>0</v>
      </c>
      <c r="H99" s="711">
        <f>Bilans_E_AMS_Kyoto_run3_MTE!L249</f>
        <v>0</v>
      </c>
      <c r="I99" s="711">
        <f>Bilans_E_AMS_Kyoto_run3_MTE!M249</f>
        <v>0</v>
      </c>
      <c r="J99" s="711">
        <f>Bilans_E_AMS_Kyoto_run3_MTE!N249</f>
        <v>0</v>
      </c>
      <c r="K99" s="711">
        <f>Bilans_E_AMS_Kyoto_run3_MTE!O249</f>
        <v>0</v>
      </c>
      <c r="L99" s="711">
        <f>Bilans_E_AMS_Kyoto_run3_MTE!P249</f>
        <v>0</v>
      </c>
      <c r="M99" s="711">
        <f>Bilans_E_AMS_Kyoto_run3_MTE!Q249</f>
        <v>0</v>
      </c>
      <c r="N99" s="711">
        <f>Bilans_E_AMS_Kyoto_run3_MTE!R249</f>
        <v>0</v>
      </c>
      <c r="O99" s="711">
        <f>Bilans_E_AMS_Kyoto_run3_MTE!S249</f>
        <v>0</v>
      </c>
      <c r="P99" s="711">
        <f>Bilans_E_AMS_Kyoto_run3_MTE!T249+Bilans_E_AMS_Kyoto_run3_MTE!U249</f>
        <v>0</v>
      </c>
      <c r="Q99" s="711">
        <f>Bilans_E_AMS_Kyoto_run3_MTE!V249</f>
        <v>0</v>
      </c>
      <c r="R99" s="711">
        <f>Bilans_E_AMS_Kyoto_run3_MTE!W249</f>
        <v>0</v>
      </c>
      <c r="S99" s="711">
        <f>Bilans_E_AMS_Kyoto_run3_MTE!X249</f>
        <v>0</v>
      </c>
      <c r="T99" s="711">
        <f>Bilans_E_AMS_Kyoto_run3_MTE!Y249</f>
        <v>0</v>
      </c>
      <c r="U99" s="711">
        <f>Bilans_E_AMS_Kyoto_run3_MTE!Z249</f>
        <v>4.4896671017017979</v>
      </c>
      <c r="V99" s="701"/>
      <c r="W99" s="701"/>
    </row>
    <row r="100" spans="1:23" x14ac:dyDescent="0.25">
      <c r="A100" s="701" t="s">
        <v>500</v>
      </c>
      <c r="B100" s="701"/>
      <c r="C100" s="717" t="s">
        <v>351</v>
      </c>
      <c r="D100" s="711">
        <f>Bilans_E_AMS_Kyoto_run3_MTE!H250</f>
        <v>0</v>
      </c>
      <c r="E100" s="711">
        <f>Bilans_E_AMS_Kyoto_run3_MTE!I250</f>
        <v>0</v>
      </c>
      <c r="F100" s="711">
        <f>Bilans_E_AMS_Kyoto_run3_MTE!J250</f>
        <v>0</v>
      </c>
      <c r="G100" s="711">
        <f>Bilans_E_AMS_Kyoto_run3_MTE!K250</f>
        <v>0</v>
      </c>
      <c r="H100" s="711">
        <f>Bilans_E_AMS_Kyoto_run3_MTE!L250</f>
        <v>0</v>
      </c>
      <c r="I100" s="711">
        <f>Bilans_E_AMS_Kyoto_run3_MTE!M250</f>
        <v>0</v>
      </c>
      <c r="J100" s="711">
        <f>Bilans_E_AMS_Kyoto_run3_MTE!N250</f>
        <v>0</v>
      </c>
      <c r="K100" s="711">
        <f>Bilans_E_AMS_Kyoto_run3_MTE!O250</f>
        <v>0</v>
      </c>
      <c r="L100" s="711">
        <f>Bilans_E_AMS_Kyoto_run3_MTE!P250</f>
        <v>67.718596792248618</v>
      </c>
      <c r="M100" s="711">
        <f>Bilans_E_AMS_Kyoto_run3_MTE!Q250</f>
        <v>7.2727272727272725</v>
      </c>
      <c r="N100" s="711">
        <f>Bilans_E_AMS_Kyoto_run3_MTE!R250</f>
        <v>-43.275160646366466</v>
      </c>
      <c r="O100" s="711">
        <f>Bilans_E_AMS_Kyoto_run3_MTE!S250</f>
        <v>0</v>
      </c>
      <c r="P100" s="711">
        <f>Bilans_E_AMS_Kyoto_run3_MTE!T250+Bilans_E_AMS_Kyoto_run3_MTE!U250</f>
        <v>0</v>
      </c>
      <c r="Q100" s="711">
        <f>Bilans_E_AMS_Kyoto_run3_MTE!V250</f>
        <v>0</v>
      </c>
      <c r="R100" s="711">
        <f>Bilans_E_AMS_Kyoto_run3_MTE!W250</f>
        <v>0</v>
      </c>
      <c r="S100" s="711">
        <f>Bilans_E_AMS_Kyoto_run3_MTE!X250</f>
        <v>0</v>
      </c>
      <c r="T100" s="711">
        <f>Bilans_E_AMS_Kyoto_run3_MTE!Y250</f>
        <v>0</v>
      </c>
      <c r="U100" s="711">
        <f>Bilans_E_AMS_Kyoto_run3_MTE!Z250</f>
        <v>31.716163418609419</v>
      </c>
      <c r="V100" s="701"/>
      <c r="W100" s="701"/>
    </row>
    <row r="101" spans="1:23" x14ac:dyDescent="0.25">
      <c r="A101" s="701" t="s">
        <v>501</v>
      </c>
      <c r="B101" s="701"/>
      <c r="C101" s="717" t="s">
        <v>352</v>
      </c>
      <c r="D101" s="711">
        <f>Bilans_E_AMS_Kyoto_run3_MTE!H251</f>
        <v>0</v>
      </c>
      <c r="E101" s="711">
        <f>Bilans_E_AMS_Kyoto_run3_MTE!I251</f>
        <v>0</v>
      </c>
      <c r="F101" s="711">
        <f>Bilans_E_AMS_Kyoto_run3_MTE!J251</f>
        <v>0</v>
      </c>
      <c r="G101" s="711">
        <f>Bilans_E_AMS_Kyoto_run3_MTE!K251</f>
        <v>-0.88812944417760187</v>
      </c>
      <c r="H101" s="711">
        <f>Bilans_E_AMS_Kyoto_run3_MTE!L251</f>
        <v>0</v>
      </c>
      <c r="I101" s="711">
        <f>Bilans_E_AMS_Kyoto_run3_MTE!M251</f>
        <v>0</v>
      </c>
      <c r="J101" s="711">
        <f>Bilans_E_AMS_Kyoto_run3_MTE!N251</f>
        <v>0</v>
      </c>
      <c r="K101" s="711">
        <f>Bilans_E_AMS_Kyoto_run3_MTE!O251</f>
        <v>0</v>
      </c>
      <c r="L101" s="711">
        <f>Bilans_E_AMS_Kyoto_run3_MTE!P251</f>
        <v>0</v>
      </c>
      <c r="M101" s="711">
        <f>Bilans_E_AMS_Kyoto_run3_MTE!Q251</f>
        <v>0</v>
      </c>
      <c r="N101" s="711">
        <f>Bilans_E_AMS_Kyoto_run3_MTE!R251</f>
        <v>0</v>
      </c>
      <c r="O101" s="711">
        <f>Bilans_E_AMS_Kyoto_run3_MTE!S251</f>
        <v>0</v>
      </c>
      <c r="P101" s="711">
        <f>Bilans_E_AMS_Kyoto_run3_MTE!T251+Bilans_E_AMS_Kyoto_run3_MTE!U251</f>
        <v>0</v>
      </c>
      <c r="Q101" s="711">
        <f>Bilans_E_AMS_Kyoto_run3_MTE!V251</f>
        <v>0</v>
      </c>
      <c r="R101" s="711">
        <f>Bilans_E_AMS_Kyoto_run3_MTE!W251</f>
        <v>0</v>
      </c>
      <c r="S101" s="711">
        <f>Bilans_E_AMS_Kyoto_run3_MTE!X251</f>
        <v>0</v>
      </c>
      <c r="T101" s="711">
        <f>Bilans_E_AMS_Kyoto_run3_MTE!Y251</f>
        <v>1.471942388595362</v>
      </c>
      <c r="U101" s="711">
        <f>Bilans_E_AMS_Kyoto_run3_MTE!Z251</f>
        <v>0.5838129444177601</v>
      </c>
      <c r="V101" s="701"/>
      <c r="W101" s="701"/>
    </row>
    <row r="102" spans="1:23" x14ac:dyDescent="0.25">
      <c r="A102" s="701" t="s">
        <v>502</v>
      </c>
      <c r="B102" s="701"/>
      <c r="C102" s="717" t="s">
        <v>73</v>
      </c>
      <c r="D102" s="711">
        <f>Bilans_E_AMS_Kyoto_run3_MTE!H252</f>
        <v>0</v>
      </c>
      <c r="E102" s="711">
        <f>Bilans_E_AMS_Kyoto_run3_MTE!I252</f>
        <v>0</v>
      </c>
      <c r="F102" s="711">
        <f>Bilans_E_AMS_Kyoto_run3_MTE!J252</f>
        <v>0</v>
      </c>
      <c r="G102" s="711">
        <f>Bilans_E_AMS_Kyoto_run3_MTE!K252</f>
        <v>0</v>
      </c>
      <c r="H102" s="711">
        <f>Bilans_E_AMS_Kyoto_run3_MTE!L252</f>
        <v>0</v>
      </c>
      <c r="I102" s="711">
        <f>Bilans_E_AMS_Kyoto_run3_MTE!M252</f>
        <v>0</v>
      </c>
      <c r="J102" s="711">
        <f>Bilans_E_AMS_Kyoto_run3_MTE!N252</f>
        <v>0</v>
      </c>
      <c r="K102" s="711">
        <f>Bilans_E_AMS_Kyoto_run3_MTE!O252</f>
        <v>0</v>
      </c>
      <c r="L102" s="711">
        <f>Bilans_E_AMS_Kyoto_run3_MTE!P252</f>
        <v>0</v>
      </c>
      <c r="M102" s="711">
        <f>Bilans_E_AMS_Kyoto_run3_MTE!Q252</f>
        <v>0</v>
      </c>
      <c r="N102" s="711">
        <f>Bilans_E_AMS_Kyoto_run3_MTE!R252</f>
        <v>0</v>
      </c>
      <c r="O102" s="711">
        <f>Bilans_E_AMS_Kyoto_run3_MTE!S252</f>
        <v>0</v>
      </c>
      <c r="P102" s="711">
        <f>Bilans_E_AMS_Kyoto_run3_MTE!T252+Bilans_E_AMS_Kyoto_run3_MTE!U252</f>
        <v>0</v>
      </c>
      <c r="Q102" s="711">
        <f>Bilans_E_AMS_Kyoto_run3_MTE!V252</f>
        <v>0</v>
      </c>
      <c r="R102" s="711">
        <f>Bilans_E_AMS_Kyoto_run3_MTE!W252</f>
        <v>10.660292909136944</v>
      </c>
      <c r="S102" s="711">
        <f>Bilans_E_AMS_Kyoto_run3_MTE!X252</f>
        <v>0</v>
      </c>
      <c r="T102" s="711">
        <f>Bilans_E_AMS_Kyoto_run3_MTE!Y252</f>
        <v>-6.9291903909390138</v>
      </c>
      <c r="U102" s="711">
        <f>Bilans_E_AMS_Kyoto_run3_MTE!Z252</f>
        <v>3.7311025181979298</v>
      </c>
      <c r="V102" s="701"/>
      <c r="W102" s="701"/>
    </row>
    <row r="103" spans="1:23" x14ac:dyDescent="0.25">
      <c r="A103" s="701" t="s">
        <v>503</v>
      </c>
      <c r="B103" s="701"/>
      <c r="C103" s="717" t="s">
        <v>353</v>
      </c>
      <c r="D103" s="711">
        <f>Bilans_E_AMS_Kyoto_run3_MTE!H253</f>
        <v>20.799923203124997</v>
      </c>
      <c r="E103" s="711">
        <f>Bilans_E_AMS_Kyoto_run3_MTE!I253</f>
        <v>-15.77762451564047</v>
      </c>
      <c r="F103" s="711">
        <f>Bilans_E_AMS_Kyoto_run3_MTE!J253</f>
        <v>20.75596720074418</v>
      </c>
      <c r="G103" s="711">
        <f>Bilans_E_AMS_Kyoto_run3_MTE!K253</f>
        <v>0</v>
      </c>
      <c r="H103" s="711">
        <f>Bilans_E_AMS_Kyoto_run3_MTE!L253</f>
        <v>0</v>
      </c>
      <c r="I103" s="711">
        <f>Bilans_E_AMS_Kyoto_run3_MTE!M253</f>
        <v>0</v>
      </c>
      <c r="J103" s="711">
        <f>Bilans_E_AMS_Kyoto_run3_MTE!N253</f>
        <v>0</v>
      </c>
      <c r="K103" s="711">
        <f>Bilans_E_AMS_Kyoto_run3_MTE!O253</f>
        <v>0</v>
      </c>
      <c r="L103" s="711">
        <f>Bilans_E_AMS_Kyoto_run3_MTE!P253</f>
        <v>0</v>
      </c>
      <c r="M103" s="711">
        <f>Bilans_E_AMS_Kyoto_run3_MTE!Q253</f>
        <v>0</v>
      </c>
      <c r="N103" s="711">
        <f>Bilans_E_AMS_Kyoto_run3_MTE!R253</f>
        <v>0</v>
      </c>
      <c r="O103" s="711">
        <f>Bilans_E_AMS_Kyoto_run3_MTE!S253</f>
        <v>0</v>
      </c>
      <c r="P103" s="711">
        <f>Bilans_E_AMS_Kyoto_run3_MTE!T253+Bilans_E_AMS_Kyoto_run3_MTE!U253</f>
        <v>0</v>
      </c>
      <c r="Q103" s="711">
        <f>Bilans_E_AMS_Kyoto_run3_MTE!V253</f>
        <v>0</v>
      </c>
      <c r="R103" s="711">
        <f>Bilans_E_AMS_Kyoto_run3_MTE!W253</f>
        <v>0</v>
      </c>
      <c r="S103" s="711">
        <f>Bilans_E_AMS_Kyoto_run3_MTE!X253</f>
        <v>0</v>
      </c>
      <c r="T103" s="711">
        <f>Bilans_E_AMS_Kyoto_run3_MTE!Y253</f>
        <v>0</v>
      </c>
      <c r="U103" s="711">
        <f>Bilans_E_AMS_Kyoto_run3_MTE!Z253</f>
        <v>25.778265888228709</v>
      </c>
      <c r="V103" s="701"/>
      <c r="W103" s="701"/>
    </row>
    <row r="104" spans="1:23" x14ac:dyDescent="0.25">
      <c r="A104" s="701" t="s">
        <v>504</v>
      </c>
      <c r="B104" s="701"/>
      <c r="C104" s="717" t="s">
        <v>75</v>
      </c>
      <c r="D104" s="711">
        <f>Bilans_E_AMS_Kyoto_run3_MTE!H254</f>
        <v>8.0888590234375002</v>
      </c>
      <c r="E104" s="711">
        <f>Bilans_E_AMS_Kyoto_run3_MTE!I254</f>
        <v>0</v>
      </c>
      <c r="F104" s="711">
        <f>Bilans_E_AMS_Kyoto_run3_MTE!J254</f>
        <v>15.507167335345123</v>
      </c>
      <c r="G104" s="711">
        <f>Bilans_E_AMS_Kyoto_run3_MTE!K254</f>
        <v>0</v>
      </c>
      <c r="H104" s="711">
        <f>Bilans_E_AMS_Kyoto_run3_MTE!L254</f>
        <v>1.8033798544929234</v>
      </c>
      <c r="I104" s="711">
        <f>Bilans_E_AMS_Kyoto_run3_MTE!M254</f>
        <v>0</v>
      </c>
      <c r="J104" s="711">
        <f>Bilans_E_AMS_Kyoto_run3_MTE!N254</f>
        <v>0</v>
      </c>
      <c r="K104" s="711">
        <f>Bilans_E_AMS_Kyoto_run3_MTE!O254</f>
        <v>0</v>
      </c>
      <c r="L104" s="711">
        <f>Bilans_E_AMS_Kyoto_run3_MTE!P254</f>
        <v>0</v>
      </c>
      <c r="M104" s="711">
        <f>Bilans_E_AMS_Kyoto_run3_MTE!Q254</f>
        <v>0</v>
      </c>
      <c r="N104" s="711">
        <f>Bilans_E_AMS_Kyoto_run3_MTE!R254</f>
        <v>0</v>
      </c>
      <c r="O104" s="711">
        <f>Bilans_E_AMS_Kyoto_run3_MTE!S254</f>
        <v>0.2228896449373276</v>
      </c>
      <c r="P104" s="711">
        <f>Bilans_E_AMS_Kyoto_run3_MTE!T254+Bilans_E_AMS_Kyoto_run3_MTE!U254</f>
        <v>0</v>
      </c>
      <c r="Q104" s="711">
        <f>Bilans_E_AMS_Kyoto_run3_MTE!V254</f>
        <v>0</v>
      </c>
      <c r="R104" s="711">
        <f>Bilans_E_AMS_Kyoto_run3_MTE!W254</f>
        <v>33.838220662100142</v>
      </c>
      <c r="S104" s="711">
        <f>Bilans_E_AMS_Kyoto_run3_MTE!X254</f>
        <v>0</v>
      </c>
      <c r="T104" s="711">
        <f>Bilans_E_AMS_Kyoto_run3_MTE!Y254</f>
        <v>2.38</v>
      </c>
      <c r="U104" s="711">
        <f>Bilans_E_AMS_Kyoto_run3_MTE!Z254</f>
        <v>61.840516520313024</v>
      </c>
      <c r="V104" s="701"/>
      <c r="W104" s="701"/>
    </row>
    <row r="105" spans="1:23" x14ac:dyDescent="0.25">
      <c r="A105" s="701" t="s">
        <v>505</v>
      </c>
      <c r="B105" s="701"/>
      <c r="C105" s="717" t="s">
        <v>76</v>
      </c>
      <c r="D105" s="711">
        <f>Bilans_E_AMS_Kyoto_run3_MTE!H255</f>
        <v>0</v>
      </c>
      <c r="E105" s="711">
        <f>Bilans_E_AMS_Kyoto_run3_MTE!I255</f>
        <v>0</v>
      </c>
      <c r="F105" s="711">
        <f>Bilans_E_AMS_Kyoto_run3_MTE!J255</f>
        <v>0</v>
      </c>
      <c r="G105" s="711">
        <f>Bilans_E_AMS_Kyoto_run3_MTE!K255</f>
        <v>0</v>
      </c>
      <c r="H105" s="711">
        <f>Bilans_E_AMS_Kyoto_run3_MTE!L255</f>
        <v>3.5796312708000495</v>
      </c>
      <c r="I105" s="711">
        <f>Bilans_E_AMS_Kyoto_run3_MTE!M255</f>
        <v>0</v>
      </c>
      <c r="J105" s="711">
        <f>Bilans_E_AMS_Kyoto_run3_MTE!N255</f>
        <v>0</v>
      </c>
      <c r="K105" s="711">
        <f>Bilans_E_AMS_Kyoto_run3_MTE!O255</f>
        <v>0</v>
      </c>
      <c r="L105" s="711">
        <f>Bilans_E_AMS_Kyoto_run3_MTE!P255</f>
        <v>0</v>
      </c>
      <c r="M105" s="711">
        <f>Bilans_E_AMS_Kyoto_run3_MTE!Q255</f>
        <v>0</v>
      </c>
      <c r="N105" s="711">
        <f>Bilans_E_AMS_Kyoto_run3_MTE!R255</f>
        <v>0</v>
      </c>
      <c r="O105" s="711">
        <f>Bilans_E_AMS_Kyoto_run3_MTE!S255</f>
        <v>0.44242633684045557</v>
      </c>
      <c r="P105" s="711">
        <f>Bilans_E_AMS_Kyoto_run3_MTE!T255+Bilans_E_AMS_Kyoto_run3_MTE!U255</f>
        <v>0</v>
      </c>
      <c r="Q105" s="711">
        <f>Bilans_E_AMS_Kyoto_run3_MTE!V255</f>
        <v>0</v>
      </c>
      <c r="R105" s="711">
        <f>Bilans_E_AMS_Kyoto_run3_MTE!W255</f>
        <v>44.846872959494924</v>
      </c>
      <c r="S105" s="711">
        <f>Bilans_E_AMS_Kyoto_run3_MTE!X255</f>
        <v>5.0336373229827123</v>
      </c>
      <c r="T105" s="711">
        <f>Bilans_E_AMS_Kyoto_run3_MTE!Y255</f>
        <v>0</v>
      </c>
      <c r="U105" s="711">
        <f>Bilans_E_AMS_Kyoto_run3_MTE!Z255</f>
        <v>53.902567890118142</v>
      </c>
      <c r="V105" s="701"/>
      <c r="W105" s="701"/>
    </row>
    <row r="106" spans="1:23" x14ac:dyDescent="0.25">
      <c r="A106" s="701" t="s">
        <v>506</v>
      </c>
      <c r="B106" s="701"/>
      <c r="C106" s="713" t="s">
        <v>77</v>
      </c>
      <c r="D106" s="714">
        <f>Bilans_E_AMS_Kyoto_run3_MTE!H256</f>
        <v>29.023453304756611</v>
      </c>
      <c r="E106" s="714">
        <f>Bilans_E_AMS_Kyoto_run3_MTE!I256</f>
        <v>433.18908565453916</v>
      </c>
      <c r="F106" s="714">
        <f>Bilans_E_AMS_Kyoto_run3_MTE!J256</f>
        <v>-406.05184004947677</v>
      </c>
      <c r="G106" s="714">
        <f>Bilans_E_AMS_Kyoto_run3_MTE!K256</f>
        <v>-0.88812944417760187</v>
      </c>
      <c r="H106" s="714">
        <f>Bilans_E_AMS_Kyoto_run3_MTE!L256</f>
        <v>77.370890630339375</v>
      </c>
      <c r="I106" s="714">
        <f>Bilans_E_AMS_Kyoto_run3_MTE!M256</f>
        <v>-0.12645508616383627</v>
      </c>
      <c r="J106" s="714">
        <f>Bilans_E_AMS_Kyoto_run3_MTE!N256</f>
        <v>1175.008</v>
      </c>
      <c r="K106" s="714">
        <f>Bilans_E_AMS_Kyoto_run3_MTE!O256</f>
        <v>187.71649074759767</v>
      </c>
      <c r="L106" s="714">
        <f>Bilans_E_AMS_Kyoto_run3_MTE!P256</f>
        <v>161.65100389065424</v>
      </c>
      <c r="M106" s="714">
        <f>Bilans_E_AMS_Kyoto_run3_MTE!Q256</f>
        <v>37.300380656272438</v>
      </c>
      <c r="N106" s="714">
        <f>Bilans_E_AMS_Kyoto_run3_MTE!R256</f>
        <v>-38.407913516548021</v>
      </c>
      <c r="O106" s="714">
        <f>Bilans_E_AMS_Kyoto_run3_MTE!S256</f>
        <v>-17.271999793684582</v>
      </c>
      <c r="P106" s="714">
        <f>Bilans_E_AMS_Kyoto_run3_MTE!T256+Bilans_E_AMS_Kyoto_run3_MTE!U256</f>
        <v>4.1667830272384689</v>
      </c>
      <c r="Q106" s="714">
        <f>Bilans_E_AMS_Kyoto_run3_MTE!V256</f>
        <v>8.1786961640454088</v>
      </c>
      <c r="R106" s="714">
        <f>Bilans_E_AMS_Kyoto_run3_MTE!W256</f>
        <v>-533.77921618670041</v>
      </c>
      <c r="S106" s="714">
        <f>Bilans_E_AMS_Kyoto_run3_MTE!X256</f>
        <v>-59.869520061156123</v>
      </c>
      <c r="T106" s="714">
        <f>Bilans_E_AMS_Kyoto_run3_MTE!Y256</f>
        <v>-2.9016159382272129</v>
      </c>
      <c r="U106" s="714">
        <f>Bilans_E_AMS_Kyoto_run3_MTE!Z256</f>
        <v>1054.308093999309</v>
      </c>
      <c r="V106" s="701"/>
      <c r="W106" s="701"/>
    </row>
    <row r="107" spans="1:23" x14ac:dyDescent="0.25">
      <c r="A107" s="701"/>
      <c r="B107" s="701"/>
      <c r="C107" s="715"/>
      <c r="D107" s="716"/>
      <c r="E107" s="716"/>
      <c r="F107" s="716"/>
      <c r="G107" s="716"/>
      <c r="H107" s="716"/>
      <c r="I107" s="716"/>
      <c r="J107" s="716"/>
      <c r="K107" s="716"/>
      <c r="L107" s="716"/>
      <c r="M107" s="716"/>
      <c r="N107" s="716"/>
      <c r="O107" s="716"/>
      <c r="P107" s="716">
        <f>Bilans_E_AMS_Kyoto_run3_MTE!T257+Bilans_E_AMS_Kyoto_run3_MTE!U257</f>
        <v>0</v>
      </c>
      <c r="Q107" s="716"/>
      <c r="R107" s="716"/>
      <c r="S107" s="716"/>
      <c r="T107" s="716"/>
      <c r="U107" s="716"/>
      <c r="V107" s="701"/>
      <c r="W107" s="701"/>
    </row>
    <row r="108" spans="1:23" x14ac:dyDescent="0.25">
      <c r="A108" s="701" t="s">
        <v>507</v>
      </c>
      <c r="B108" s="701"/>
      <c r="C108" s="717" t="s">
        <v>78</v>
      </c>
      <c r="D108" s="711">
        <f>Bilans_E_AMS_Kyoto_run3_MTE!H258</f>
        <v>2.5368789062500001</v>
      </c>
      <c r="E108" s="711">
        <f>Bilans_E_AMS_Kyoto_run3_MTE!I258</f>
        <v>0</v>
      </c>
      <c r="F108" s="711">
        <f>Bilans_E_AMS_Kyoto_run3_MTE!J258</f>
        <v>16.464256134501195</v>
      </c>
      <c r="G108" s="711">
        <f>Bilans_E_AMS_Kyoto_run3_MTE!K258</f>
        <v>0</v>
      </c>
      <c r="H108" s="711">
        <f>Bilans_E_AMS_Kyoto_run3_MTE!L258</f>
        <v>76.25556175347657</v>
      </c>
      <c r="I108" s="711">
        <f>Bilans_E_AMS_Kyoto_run3_MTE!M258</f>
        <v>0</v>
      </c>
      <c r="J108" s="711">
        <f>Bilans_E_AMS_Kyoto_run3_MTE!N258</f>
        <v>0</v>
      </c>
      <c r="K108" s="711">
        <f>Bilans_E_AMS_Kyoto_run3_MTE!O258</f>
        <v>0</v>
      </c>
      <c r="L108" s="711">
        <f>Bilans_E_AMS_Kyoto_run3_MTE!P258</f>
        <v>35.20744335762226</v>
      </c>
      <c r="M108" s="711">
        <f>Bilans_E_AMS_Kyoto_run3_MTE!Q258</f>
        <v>8.5967036018731431</v>
      </c>
      <c r="N108" s="711">
        <f>Bilans_E_AMS_Kyoto_run3_MTE!R258</f>
        <v>0.95792109934790093</v>
      </c>
      <c r="O108" s="711">
        <f>Bilans_E_AMS_Kyoto_run3_MTE!S258</f>
        <v>9.4506810662915637</v>
      </c>
      <c r="P108" s="711">
        <f>Bilans_E_AMS_Kyoto_run3_MTE!T258+Bilans_E_AMS_Kyoto_run3_MTE!U258</f>
        <v>3.4855932617187499</v>
      </c>
      <c r="Q108" s="711">
        <f>Bilans_E_AMS_Kyoto_run3_MTE!V258</f>
        <v>5.2671642446208732E-4</v>
      </c>
      <c r="R108" s="711">
        <f>Bilans_E_AMS_Kyoto_run3_MTE!W258</f>
        <v>137.10141781088788</v>
      </c>
      <c r="S108" s="711">
        <f>Bilans_E_AMS_Kyoto_run3_MTE!X258</f>
        <v>19.328552980825005</v>
      </c>
      <c r="T108" s="711">
        <f>Bilans_E_AMS_Kyoto_run3_MTE!Y258</f>
        <v>1.4790939941406249</v>
      </c>
      <c r="U108" s="711">
        <f>Bilans_E_AMS_Kyoto_run3_MTE!Z258</f>
        <v>310.86463068335939</v>
      </c>
      <c r="V108" s="701"/>
      <c r="W108" s="701"/>
    </row>
    <row r="109" spans="1:23" x14ac:dyDescent="0.25">
      <c r="A109" s="701" t="s">
        <v>508</v>
      </c>
      <c r="B109" s="701"/>
      <c r="C109" s="717" t="s">
        <v>79</v>
      </c>
      <c r="D109" s="711">
        <f>Bilans_E_AMS_Kyoto_run3_MTE!H259</f>
        <v>0</v>
      </c>
      <c r="E109" s="711">
        <f>Bilans_E_AMS_Kyoto_run3_MTE!I259</f>
        <v>0</v>
      </c>
      <c r="F109" s="711">
        <f>Bilans_E_AMS_Kyoto_run3_MTE!J259</f>
        <v>364.30566934999553</v>
      </c>
      <c r="G109" s="711">
        <f>Bilans_E_AMS_Kyoto_run3_MTE!K259</f>
        <v>0</v>
      </c>
      <c r="H109" s="711">
        <f>Bilans_E_AMS_Kyoto_run3_MTE!L259</f>
        <v>4.9934721794589949</v>
      </c>
      <c r="I109" s="711">
        <f>Bilans_E_AMS_Kyoto_run3_MTE!M259</f>
        <v>0</v>
      </c>
      <c r="J109" s="711">
        <f>Bilans_E_AMS_Kyoto_run3_MTE!N259</f>
        <v>0</v>
      </c>
      <c r="K109" s="711">
        <f>Bilans_E_AMS_Kyoto_run3_MTE!O259</f>
        <v>0</v>
      </c>
      <c r="L109" s="711">
        <f>Bilans_E_AMS_Kyoto_run3_MTE!P259</f>
        <v>0</v>
      </c>
      <c r="M109" s="711">
        <f>Bilans_E_AMS_Kyoto_run3_MTE!Q259</f>
        <v>0</v>
      </c>
      <c r="N109" s="711">
        <f>Bilans_E_AMS_Kyoto_run3_MTE!R259</f>
        <v>36.866001172977988</v>
      </c>
      <c r="O109" s="711">
        <f>Bilans_E_AMS_Kyoto_run3_MTE!S259</f>
        <v>0.61717071880953867</v>
      </c>
      <c r="P109" s="711">
        <f>Bilans_E_AMS_Kyoto_run3_MTE!T259+Bilans_E_AMS_Kyoto_run3_MTE!U259</f>
        <v>0</v>
      </c>
      <c r="Q109" s="711">
        <f>Bilans_E_AMS_Kyoto_run3_MTE!V259</f>
        <v>0</v>
      </c>
      <c r="R109" s="711">
        <f>Bilans_E_AMS_Kyoto_run3_MTE!W259</f>
        <v>27.389081420893032</v>
      </c>
      <c r="S109" s="711">
        <f>Bilans_E_AMS_Kyoto_run3_MTE!X259</f>
        <v>0</v>
      </c>
      <c r="T109" s="711">
        <f>Bilans_E_AMS_Kyoto_run3_MTE!Y259</f>
        <v>0.58290015650478255</v>
      </c>
      <c r="U109" s="711">
        <f>Bilans_E_AMS_Kyoto_run3_MTE!Z259</f>
        <v>434.75429499863981</v>
      </c>
      <c r="V109" s="701"/>
      <c r="W109" s="701"/>
    </row>
    <row r="110" spans="1:23" x14ac:dyDescent="0.25">
      <c r="A110" s="701" t="s">
        <v>509</v>
      </c>
      <c r="B110" s="701"/>
      <c r="C110" s="717" t="s">
        <v>80</v>
      </c>
      <c r="D110" s="711">
        <f>Bilans_E_AMS_Kyoto_run3_MTE!H260</f>
        <v>0</v>
      </c>
      <c r="E110" s="711">
        <f>Bilans_E_AMS_Kyoto_run3_MTE!I260</f>
        <v>0</v>
      </c>
      <c r="F110" s="711">
        <f>Bilans_E_AMS_Kyoto_run3_MTE!J260</f>
        <v>17.201623841536829</v>
      </c>
      <c r="G110" s="711">
        <f>Bilans_E_AMS_Kyoto_run3_MTE!K260</f>
        <v>0</v>
      </c>
      <c r="H110" s="711">
        <f>Bilans_E_AMS_Kyoto_run3_MTE!L260</f>
        <v>84.721695827213523</v>
      </c>
      <c r="I110" s="711">
        <f>Bilans_E_AMS_Kyoto_run3_MTE!M260</f>
        <v>0</v>
      </c>
      <c r="J110" s="711">
        <f>Bilans_E_AMS_Kyoto_run3_MTE!N260</f>
        <v>0</v>
      </c>
      <c r="K110" s="711">
        <f>Bilans_E_AMS_Kyoto_run3_MTE!O260</f>
        <v>0</v>
      </c>
      <c r="L110" s="711">
        <f>Bilans_E_AMS_Kyoto_run3_MTE!P260</f>
        <v>63.543536708801859</v>
      </c>
      <c r="M110" s="711">
        <f>Bilans_E_AMS_Kyoto_run3_MTE!Q260</f>
        <v>0</v>
      </c>
      <c r="N110" s="711">
        <f>Bilans_E_AMS_Kyoto_run3_MTE!R260</f>
        <v>0</v>
      </c>
      <c r="O110" s="711">
        <f>Bilans_E_AMS_Kyoto_run3_MTE!S260</f>
        <v>10.471220832576952</v>
      </c>
      <c r="P110" s="711">
        <f>Bilans_E_AMS_Kyoto_run3_MTE!T260+Bilans_E_AMS_Kyoto_run3_MTE!U260</f>
        <v>76.561231385743284</v>
      </c>
      <c r="Q110" s="711">
        <f>Bilans_E_AMS_Kyoto_run3_MTE!V260</f>
        <v>5.1637337172047761</v>
      </c>
      <c r="R110" s="711">
        <f>Bilans_E_AMS_Kyoto_run3_MTE!W260</f>
        <v>163.30202311057991</v>
      </c>
      <c r="S110" s="711">
        <f>Bilans_E_AMS_Kyoto_run3_MTE!X260</f>
        <v>21.019199389729597</v>
      </c>
      <c r="T110" s="711">
        <f>Bilans_E_AMS_Kyoto_run3_MTE!Y260</f>
        <v>0</v>
      </c>
      <c r="U110" s="711">
        <f>Bilans_E_AMS_Kyoto_run3_MTE!Z260</f>
        <v>441.98426481338669</v>
      </c>
      <c r="V110" s="701"/>
      <c r="W110" s="701"/>
    </row>
    <row r="111" spans="1:23" x14ac:dyDescent="0.25">
      <c r="A111" s="701" t="s">
        <v>510</v>
      </c>
      <c r="B111" s="701"/>
      <c r="C111" s="717" t="s">
        <v>81</v>
      </c>
      <c r="D111" s="711">
        <f>Bilans_E_AMS_Kyoto_run3_MTE!H261</f>
        <v>0</v>
      </c>
      <c r="E111" s="711">
        <f>Bilans_E_AMS_Kyoto_run3_MTE!I261</f>
        <v>0</v>
      </c>
      <c r="F111" s="711">
        <f>Bilans_E_AMS_Kyoto_run3_MTE!J261</f>
        <v>9.5095127655801548</v>
      </c>
      <c r="G111" s="711">
        <f>Bilans_E_AMS_Kyoto_run3_MTE!K261</f>
        <v>0</v>
      </c>
      <c r="H111" s="711">
        <f>Bilans_E_AMS_Kyoto_run3_MTE!L261</f>
        <v>50.83012863398811</v>
      </c>
      <c r="I111" s="711">
        <f>Bilans_E_AMS_Kyoto_run3_MTE!M261</f>
        <v>0</v>
      </c>
      <c r="J111" s="711">
        <f>Bilans_E_AMS_Kyoto_run3_MTE!N261</f>
        <v>0</v>
      </c>
      <c r="K111" s="711">
        <f>Bilans_E_AMS_Kyoto_run3_MTE!O261</f>
        <v>0</v>
      </c>
      <c r="L111" s="711">
        <f>Bilans_E_AMS_Kyoto_run3_MTE!P261</f>
        <v>0.5857399217546202</v>
      </c>
      <c r="M111" s="711">
        <f>Bilans_E_AMS_Kyoto_run3_MTE!Q261</f>
        <v>0</v>
      </c>
      <c r="N111" s="711">
        <f>Bilans_E_AMS_Kyoto_run3_MTE!R261</f>
        <v>0</v>
      </c>
      <c r="O111" s="711">
        <f>Bilans_E_AMS_Kyoto_run3_MTE!S261</f>
        <v>6.282375449144598</v>
      </c>
      <c r="P111" s="711">
        <f>Bilans_E_AMS_Kyoto_run3_MTE!T261+Bilans_E_AMS_Kyoto_run3_MTE!U261</f>
        <v>27.92817059882276</v>
      </c>
      <c r="Q111" s="711">
        <f>Bilans_E_AMS_Kyoto_run3_MTE!V261</f>
        <v>4.8320920994569443</v>
      </c>
      <c r="R111" s="711">
        <f>Bilans_E_AMS_Kyoto_run3_MTE!W261</f>
        <v>123.43882708375831</v>
      </c>
      <c r="S111" s="711">
        <f>Bilans_E_AMS_Kyoto_run3_MTE!X261</f>
        <v>19.521738588223698</v>
      </c>
      <c r="T111" s="711">
        <f>Bilans_E_AMS_Kyoto_run3_MTE!Y261</f>
        <v>0</v>
      </c>
      <c r="U111" s="711">
        <f>Bilans_E_AMS_Kyoto_run3_MTE!Z261</f>
        <v>242.92858514072918</v>
      </c>
      <c r="V111" s="701"/>
      <c r="W111" s="701"/>
    </row>
    <row r="112" spans="1:23" x14ac:dyDescent="0.25">
      <c r="A112" s="701" t="s">
        <v>511</v>
      </c>
      <c r="B112" s="701"/>
      <c r="C112" s="717" t="s">
        <v>82</v>
      </c>
      <c r="D112" s="711">
        <f>Bilans_E_AMS_Kyoto_run3_MTE!H262</f>
        <v>0</v>
      </c>
      <c r="E112" s="711">
        <f>Bilans_E_AMS_Kyoto_run3_MTE!I262</f>
        <v>0</v>
      </c>
      <c r="F112" s="711">
        <f>Bilans_E_AMS_Kyoto_run3_MTE!J262</f>
        <v>32.521780239930585</v>
      </c>
      <c r="G112" s="711">
        <f>Bilans_E_AMS_Kyoto_run3_MTE!K262</f>
        <v>0</v>
      </c>
      <c r="H112" s="711">
        <f>Bilans_E_AMS_Kyoto_run3_MTE!L262</f>
        <v>1.7697973975256258</v>
      </c>
      <c r="I112" s="711">
        <f>Bilans_E_AMS_Kyoto_run3_MTE!M262</f>
        <v>0</v>
      </c>
      <c r="J112" s="711">
        <f>Bilans_E_AMS_Kyoto_run3_MTE!N262</f>
        <v>0</v>
      </c>
      <c r="K112" s="711">
        <f>Bilans_E_AMS_Kyoto_run3_MTE!O262</f>
        <v>0</v>
      </c>
      <c r="L112" s="711">
        <f>Bilans_E_AMS_Kyoto_run3_MTE!P262</f>
        <v>8.5431833600547655</v>
      </c>
      <c r="M112" s="711">
        <f>Bilans_E_AMS_Kyoto_run3_MTE!Q262</f>
        <v>0</v>
      </c>
      <c r="N112" s="711">
        <f>Bilans_E_AMS_Kyoto_run3_MTE!R262</f>
        <v>3.5579100416915854</v>
      </c>
      <c r="O112" s="711">
        <f>Bilans_E_AMS_Kyoto_run3_MTE!S262</f>
        <v>0.21873900418856049</v>
      </c>
      <c r="P112" s="711">
        <f>Bilans_E_AMS_Kyoto_run3_MTE!T262+Bilans_E_AMS_Kyoto_run3_MTE!U262</f>
        <v>0.4</v>
      </c>
      <c r="Q112" s="711">
        <f>Bilans_E_AMS_Kyoto_run3_MTE!V262</f>
        <v>0.5193752668696392</v>
      </c>
      <c r="R112" s="711">
        <f>Bilans_E_AMS_Kyoto_run3_MTE!W262</f>
        <v>7.9507920990780674</v>
      </c>
      <c r="S112" s="711">
        <f>Bilans_E_AMS_Kyoto_run3_MTE!X262</f>
        <v>0</v>
      </c>
      <c r="T112" s="711">
        <f>Bilans_E_AMS_Kyoto_run3_MTE!Y262</f>
        <v>0.14468782351059181</v>
      </c>
      <c r="U112" s="711">
        <f>Bilans_E_AMS_Kyoto_run3_MTE!Z262</f>
        <v>55.626265232849427</v>
      </c>
      <c r="V112" s="701"/>
      <c r="W112" s="701"/>
    </row>
    <row r="113" spans="1:23" x14ac:dyDescent="0.25">
      <c r="A113" s="701" t="s">
        <v>512</v>
      </c>
      <c r="B113" s="701"/>
      <c r="C113" s="717" t="s">
        <v>354</v>
      </c>
      <c r="D113" s="711">
        <f>Bilans_E_AMS_Kyoto_run3_MTE!H263</f>
        <v>0</v>
      </c>
      <c r="E113" s="711">
        <f>Bilans_E_AMS_Kyoto_run3_MTE!I263</f>
        <v>0</v>
      </c>
      <c r="F113" s="711">
        <f>Bilans_E_AMS_Kyoto_run3_MTE!J263</f>
        <v>0</v>
      </c>
      <c r="G113" s="711">
        <f>Bilans_E_AMS_Kyoto_run3_MTE!K263</f>
        <v>0</v>
      </c>
      <c r="H113" s="711">
        <f>Bilans_E_AMS_Kyoto_run3_MTE!L263</f>
        <v>0</v>
      </c>
      <c r="I113" s="711">
        <f>Bilans_E_AMS_Kyoto_run3_MTE!M263</f>
        <v>0</v>
      </c>
      <c r="J113" s="711">
        <f>Bilans_E_AMS_Kyoto_run3_MTE!N263</f>
        <v>0</v>
      </c>
      <c r="K113" s="711">
        <f>Bilans_E_AMS_Kyoto_run3_MTE!O263</f>
        <v>0</v>
      </c>
      <c r="L113" s="711">
        <f>Bilans_E_AMS_Kyoto_run3_MTE!P263</f>
        <v>0</v>
      </c>
      <c r="M113" s="711">
        <f>Bilans_E_AMS_Kyoto_run3_MTE!Q263</f>
        <v>0</v>
      </c>
      <c r="N113" s="711">
        <f>Bilans_E_AMS_Kyoto_run3_MTE!R263</f>
        <v>0</v>
      </c>
      <c r="O113" s="711">
        <f>Bilans_E_AMS_Kyoto_run3_MTE!S263</f>
        <v>0</v>
      </c>
      <c r="P113" s="711">
        <f>Bilans_E_AMS_Kyoto_run3_MTE!T263+Bilans_E_AMS_Kyoto_run3_MTE!U263</f>
        <v>0</v>
      </c>
      <c r="Q113" s="711">
        <f>Bilans_E_AMS_Kyoto_run3_MTE!V263</f>
        <v>0</v>
      </c>
      <c r="R113" s="711">
        <f>Bilans_E_AMS_Kyoto_run3_MTE!W263</f>
        <v>0</v>
      </c>
      <c r="S113" s="711">
        <f>Bilans_E_AMS_Kyoto_run3_MTE!X263</f>
        <v>0</v>
      </c>
      <c r="T113" s="711">
        <f>Bilans_E_AMS_Kyoto_run3_MTE!Y263</f>
        <v>0</v>
      </c>
      <c r="U113" s="711">
        <f>Bilans_E_AMS_Kyoto_run3_MTE!Z263</f>
        <v>0</v>
      </c>
      <c r="V113" s="701"/>
      <c r="W113" s="701"/>
    </row>
    <row r="114" spans="1:23" x14ac:dyDescent="0.25">
      <c r="A114" s="701" t="s">
        <v>513</v>
      </c>
      <c r="B114" s="701"/>
      <c r="C114" s="713" t="s">
        <v>83</v>
      </c>
      <c r="D114" s="714">
        <f>Bilans_E_AMS_Kyoto_run3_MTE!H264</f>
        <v>2.5368789062500001</v>
      </c>
      <c r="E114" s="714">
        <f>Bilans_E_AMS_Kyoto_run3_MTE!I264</f>
        <v>0</v>
      </c>
      <c r="F114" s="714">
        <f>Bilans_E_AMS_Kyoto_run3_MTE!J264</f>
        <v>440.00284233154429</v>
      </c>
      <c r="G114" s="714">
        <f>Bilans_E_AMS_Kyoto_run3_MTE!K264</f>
        <v>0</v>
      </c>
      <c r="H114" s="714">
        <f>Bilans_E_AMS_Kyoto_run3_MTE!L264</f>
        <v>218.57065579166283</v>
      </c>
      <c r="I114" s="714">
        <f>Bilans_E_AMS_Kyoto_run3_MTE!M264</f>
        <v>0</v>
      </c>
      <c r="J114" s="714">
        <f>Bilans_E_AMS_Kyoto_run3_MTE!N264</f>
        <v>0</v>
      </c>
      <c r="K114" s="714">
        <f>Bilans_E_AMS_Kyoto_run3_MTE!O264</f>
        <v>0</v>
      </c>
      <c r="L114" s="714">
        <f>Bilans_E_AMS_Kyoto_run3_MTE!P264</f>
        <v>107.87990334823351</v>
      </c>
      <c r="M114" s="714">
        <f>Bilans_E_AMS_Kyoto_run3_MTE!Q264</f>
        <v>8.5967036018731431</v>
      </c>
      <c r="N114" s="714">
        <f>Bilans_E_AMS_Kyoto_run3_MTE!R264</f>
        <v>41.381832314017473</v>
      </c>
      <c r="O114" s="714">
        <f>Bilans_E_AMS_Kyoto_run3_MTE!S264</f>
        <v>27.040187071011211</v>
      </c>
      <c r="P114" s="714">
        <f>Bilans_E_AMS_Kyoto_run3_MTE!T264+Bilans_E_AMS_Kyoto_run3_MTE!U264</f>
        <v>108.3749952462848</v>
      </c>
      <c r="Q114" s="714">
        <f>Bilans_E_AMS_Kyoto_run3_MTE!V264</f>
        <v>10.515727799955821</v>
      </c>
      <c r="R114" s="714">
        <f>Bilans_E_AMS_Kyoto_run3_MTE!W264</f>
        <v>459.18214152519721</v>
      </c>
      <c r="S114" s="714">
        <f>Bilans_E_AMS_Kyoto_run3_MTE!X264</f>
        <v>59.8694909587783</v>
      </c>
      <c r="T114" s="714">
        <f>Bilans_E_AMS_Kyoto_run3_MTE!Y264</f>
        <v>2.2066819741559995</v>
      </c>
      <c r="U114" s="714">
        <f>Bilans_E_AMS_Kyoto_run3_MTE!Z264</f>
        <v>1486.1580408689645</v>
      </c>
      <c r="V114" s="701"/>
      <c r="W114" s="701"/>
    </row>
    <row r="115" spans="1:23" x14ac:dyDescent="0.25">
      <c r="A115" s="701" t="s">
        <v>514</v>
      </c>
      <c r="B115" s="701"/>
      <c r="C115" s="710" t="s">
        <v>84</v>
      </c>
      <c r="D115" s="711">
        <f>Bilans_E_AMS_Kyoto_run3_MTE!H265</f>
        <v>0</v>
      </c>
      <c r="E115" s="711">
        <f>Bilans_E_AMS_Kyoto_run3_MTE!I265</f>
        <v>0</v>
      </c>
      <c r="F115" s="711">
        <f>Bilans_E_AMS_Kyoto_run3_MTE!J265</f>
        <v>114.96624488360118</v>
      </c>
      <c r="G115" s="711">
        <f>Bilans_E_AMS_Kyoto_run3_MTE!K265</f>
        <v>0</v>
      </c>
      <c r="H115" s="711">
        <f>Bilans_E_AMS_Kyoto_run3_MTE!L265</f>
        <v>13.488812976114151</v>
      </c>
      <c r="I115" s="711">
        <f>Bilans_E_AMS_Kyoto_run3_MTE!M265</f>
        <v>0</v>
      </c>
      <c r="J115" s="711">
        <f>Bilans_E_AMS_Kyoto_run3_MTE!N265</f>
        <v>0</v>
      </c>
      <c r="K115" s="711">
        <f>Bilans_E_AMS_Kyoto_run3_MTE!O265</f>
        <v>0</v>
      </c>
      <c r="L115" s="711">
        <f>Bilans_E_AMS_Kyoto_run3_MTE!P265</f>
        <v>9.0583762800977241E-2</v>
      </c>
      <c r="M115" s="711">
        <f>Bilans_E_AMS_Kyoto_run3_MTE!Q265</f>
        <v>0</v>
      </c>
      <c r="N115" s="711">
        <f>Bilans_E_AMS_Kyoto_run3_MTE!R265</f>
        <v>0.16009636691741183</v>
      </c>
      <c r="O115" s="711">
        <f>Bilans_E_AMS_Kyoto_run3_MTE!S265</f>
        <v>0</v>
      </c>
      <c r="P115" s="711">
        <f>Bilans_E_AMS_Kyoto_run3_MTE!T265+Bilans_E_AMS_Kyoto_run3_MTE!U265</f>
        <v>0</v>
      </c>
      <c r="Q115" s="711">
        <f>Bilans_E_AMS_Kyoto_run3_MTE!V265</f>
        <v>0</v>
      </c>
      <c r="R115" s="711">
        <f>Bilans_E_AMS_Kyoto_run3_MTE!W265</f>
        <v>0</v>
      </c>
      <c r="S115" s="711">
        <f>Bilans_E_AMS_Kyoto_run3_MTE!X265</f>
        <v>0</v>
      </c>
      <c r="T115" s="711">
        <f>Bilans_E_AMS_Kyoto_run3_MTE!Y265</f>
        <v>0.64382323980331424</v>
      </c>
      <c r="U115" s="711">
        <f>Bilans_E_AMS_Kyoto_run3_MTE!Z265</f>
        <v>129.34956122923703</v>
      </c>
      <c r="V115" s="701"/>
      <c r="W115" s="701"/>
    </row>
    <row r="116" spans="1:23" x14ac:dyDescent="0.25">
      <c r="A116" s="701" t="s">
        <v>515</v>
      </c>
      <c r="B116" s="701"/>
      <c r="C116" s="713" t="s">
        <v>85</v>
      </c>
      <c r="D116" s="714">
        <f>Bilans_E_AMS_Kyoto_run3_MTE!H266</f>
        <v>2.5368789062500001</v>
      </c>
      <c r="E116" s="714">
        <f>Bilans_E_AMS_Kyoto_run3_MTE!I266</f>
        <v>0</v>
      </c>
      <c r="F116" s="714">
        <f>Bilans_E_AMS_Kyoto_run3_MTE!J266</f>
        <v>554.96908721514546</v>
      </c>
      <c r="G116" s="714">
        <f>Bilans_E_AMS_Kyoto_run3_MTE!K266</f>
        <v>0</v>
      </c>
      <c r="H116" s="714">
        <f>Bilans_E_AMS_Kyoto_run3_MTE!L266</f>
        <v>232.05946876777699</v>
      </c>
      <c r="I116" s="714">
        <f>Bilans_E_AMS_Kyoto_run3_MTE!M266</f>
        <v>0</v>
      </c>
      <c r="J116" s="714">
        <f>Bilans_E_AMS_Kyoto_run3_MTE!N266</f>
        <v>0</v>
      </c>
      <c r="K116" s="714">
        <f>Bilans_E_AMS_Kyoto_run3_MTE!O266</f>
        <v>0</v>
      </c>
      <c r="L116" s="714">
        <f>Bilans_E_AMS_Kyoto_run3_MTE!P266</f>
        <v>107.97048711103449</v>
      </c>
      <c r="M116" s="714">
        <f>Bilans_E_AMS_Kyoto_run3_MTE!Q266</f>
        <v>8.5967036018731431</v>
      </c>
      <c r="N116" s="714">
        <f>Bilans_E_AMS_Kyoto_run3_MTE!R266</f>
        <v>41.541928680934888</v>
      </c>
      <c r="O116" s="714">
        <f>Bilans_E_AMS_Kyoto_run3_MTE!S266</f>
        <v>27.040187071011211</v>
      </c>
      <c r="P116" s="714">
        <f>Bilans_E_AMS_Kyoto_run3_MTE!T266+Bilans_E_AMS_Kyoto_run3_MTE!U266</f>
        <v>108.3749952462848</v>
      </c>
      <c r="Q116" s="714">
        <f>Bilans_E_AMS_Kyoto_run3_MTE!V266</f>
        <v>10.515727799955821</v>
      </c>
      <c r="R116" s="714">
        <f>Bilans_E_AMS_Kyoto_run3_MTE!W266</f>
        <v>459.18214152519721</v>
      </c>
      <c r="S116" s="714">
        <f>Bilans_E_AMS_Kyoto_run3_MTE!X266</f>
        <v>59.8694909587783</v>
      </c>
      <c r="T116" s="714">
        <f>Bilans_E_AMS_Kyoto_run3_MTE!Y266</f>
        <v>2.8505052139593139</v>
      </c>
      <c r="U116" s="714">
        <f>Bilans_E_AMS_Kyoto_run3_MTE!Z266</f>
        <v>1615.5076020982015</v>
      </c>
      <c r="V116" s="701"/>
      <c r="W116" s="701"/>
    </row>
    <row r="117" spans="1:23" x14ac:dyDescent="0.25">
      <c r="A117" s="701"/>
      <c r="B117" s="701"/>
      <c r="C117" s="701"/>
      <c r="D117" s="701">
        <f>Bilans_E_AMS_Kyoto_run3_MTE!H267</f>
        <v>0</v>
      </c>
      <c r="E117" s="701">
        <f>Bilans_E_AMS_Kyoto_run3_MTE!I267</f>
        <v>0</v>
      </c>
      <c r="F117" s="701">
        <f>Bilans_E_AMS_Kyoto_run3_MTE!J267</f>
        <v>0</v>
      </c>
      <c r="G117" s="701">
        <f>Bilans_E_AMS_Kyoto_run3_MTE!K267</f>
        <v>0</v>
      </c>
      <c r="H117" s="701">
        <f>Bilans_E_AMS_Kyoto_run3_MTE!L267</f>
        <v>0</v>
      </c>
      <c r="I117" s="701">
        <f>Bilans_E_AMS_Kyoto_run3_MTE!M267</f>
        <v>0</v>
      </c>
      <c r="J117" s="701">
        <f>Bilans_E_AMS_Kyoto_run3_MTE!N267</f>
        <v>0</v>
      </c>
      <c r="K117" s="701">
        <f>Bilans_E_AMS_Kyoto_run3_MTE!O267</f>
        <v>0</v>
      </c>
      <c r="L117" s="701">
        <f>Bilans_E_AMS_Kyoto_run3_MTE!P267</f>
        <v>0</v>
      </c>
      <c r="M117" s="701">
        <f>Bilans_E_AMS_Kyoto_run3_MTE!Q267</f>
        <v>0</v>
      </c>
      <c r="N117" s="701">
        <f>Bilans_E_AMS_Kyoto_run3_MTE!R267</f>
        <v>0</v>
      </c>
      <c r="O117" s="701">
        <f>Bilans_E_AMS_Kyoto_run3_MTE!S267</f>
        <v>-1.7183712498098913E-2</v>
      </c>
      <c r="P117" s="701">
        <f>Bilans_E_AMS_Kyoto_run3_MTE!T267+Bilans_E_AMS_Kyoto_run3_MTE!U267</f>
        <v>0</v>
      </c>
      <c r="Q117" s="701">
        <f>Bilans_E_AMS_Kyoto_run3_MTE!V267</f>
        <v>0</v>
      </c>
      <c r="R117" s="701">
        <f>Bilans_E_AMS_Kyoto_run3_MTE!W267</f>
        <v>0</v>
      </c>
      <c r="S117" s="701">
        <f>Bilans_E_AMS_Kyoto_run3_MTE!X267</f>
        <v>-2.9102377823164716E-5</v>
      </c>
      <c r="T117" s="701">
        <f>Bilans_E_AMS_Kyoto_run3_MTE!Y267</f>
        <v>-7.4246164771807344E-16</v>
      </c>
      <c r="U117" s="701">
        <f>Bilans_E_AMS_Kyoto_run3_MTE!Z267</f>
        <v>-1.7212814876074845E-2</v>
      </c>
      <c r="V117" s="701"/>
      <c r="W117" s="701"/>
    </row>
    <row r="118" spans="1:23" x14ac:dyDescent="0.25">
      <c r="A118" s="701"/>
      <c r="B118" s="701"/>
      <c r="C118" s="701"/>
      <c r="D118" s="701"/>
      <c r="E118" s="701"/>
      <c r="F118" s="701"/>
      <c r="G118" s="701"/>
      <c r="H118" s="701"/>
      <c r="I118" s="701"/>
      <c r="J118" s="701"/>
      <c r="K118" s="701"/>
      <c r="L118" s="701"/>
      <c r="M118" s="701"/>
      <c r="N118" s="701"/>
      <c r="O118" s="701"/>
      <c r="P118" s="701"/>
      <c r="Q118" s="701"/>
      <c r="R118" s="701"/>
      <c r="S118" s="701"/>
      <c r="T118" s="701"/>
      <c r="U118" s="701"/>
      <c r="V118" s="701"/>
      <c r="W118" s="701"/>
    </row>
    <row r="119" spans="1:23" x14ac:dyDescent="0.25">
      <c r="A119" s="707"/>
      <c r="B119" s="707"/>
      <c r="C119" s="708" t="s">
        <v>88</v>
      </c>
      <c r="D119" s="707"/>
      <c r="E119" s="707"/>
      <c r="F119" s="707"/>
      <c r="G119" s="707"/>
      <c r="H119" s="707"/>
      <c r="I119" s="707"/>
      <c r="J119" s="707"/>
      <c r="K119" s="707"/>
      <c r="L119" s="707"/>
      <c r="M119" s="707"/>
      <c r="N119" s="707"/>
      <c r="O119" s="707"/>
      <c r="P119" s="707"/>
      <c r="Q119" s="707"/>
      <c r="R119" s="707"/>
      <c r="S119" s="707"/>
      <c r="T119" s="707"/>
      <c r="U119" s="707"/>
      <c r="V119" s="707"/>
      <c r="W119" s="707"/>
    </row>
    <row r="120" spans="1:23" x14ac:dyDescent="0.25">
      <c r="A120" s="701"/>
      <c r="B120" s="701"/>
      <c r="C120" s="701"/>
      <c r="D120" s="701"/>
      <c r="E120" s="701"/>
      <c r="F120" s="701"/>
      <c r="G120" s="701"/>
      <c r="H120" s="701"/>
      <c r="I120" s="701"/>
      <c r="J120" s="701"/>
      <c r="K120" s="701"/>
      <c r="L120" s="701"/>
      <c r="M120" s="701"/>
      <c r="N120" s="701"/>
      <c r="O120" s="701"/>
      <c r="P120" s="701"/>
      <c r="Q120" s="701"/>
      <c r="R120" s="701"/>
      <c r="S120" s="701"/>
      <c r="T120" s="701"/>
      <c r="U120" s="701"/>
      <c r="V120" s="701"/>
      <c r="W120" s="701"/>
    </row>
    <row r="121" spans="1:23" x14ac:dyDescent="0.25">
      <c r="A121" s="701"/>
      <c r="B121" s="701"/>
      <c r="C121" s="780" t="s">
        <v>128</v>
      </c>
      <c r="D121" s="775" t="s">
        <v>42</v>
      </c>
      <c r="E121" s="775" t="s">
        <v>52</v>
      </c>
      <c r="F121" s="775" t="s">
        <v>53</v>
      </c>
      <c r="G121" s="775" t="s">
        <v>482</v>
      </c>
      <c r="H121" s="775" t="s">
        <v>32</v>
      </c>
      <c r="I121" s="775" t="s">
        <v>483</v>
      </c>
      <c r="J121" s="775" t="s">
        <v>20</v>
      </c>
      <c r="K121" s="775" t="s">
        <v>55</v>
      </c>
      <c r="L121" s="777" t="s">
        <v>56</v>
      </c>
      <c r="M121" s="778"/>
      <c r="N121" s="778"/>
      <c r="O121" s="778"/>
      <c r="P121" s="778"/>
      <c r="Q121" s="779"/>
      <c r="R121" s="775" t="s">
        <v>57</v>
      </c>
      <c r="S121" s="775" t="s">
        <v>58</v>
      </c>
      <c r="T121" s="775" t="s">
        <v>31</v>
      </c>
      <c r="U121" s="775" t="s">
        <v>10</v>
      </c>
      <c r="V121" s="701"/>
      <c r="W121" s="701"/>
    </row>
    <row r="122" spans="1:23" ht="67.5" x14ac:dyDescent="0.25">
      <c r="A122" s="701" t="s">
        <v>486</v>
      </c>
      <c r="B122" s="701"/>
      <c r="C122" s="781"/>
      <c r="D122" s="776"/>
      <c r="E122" s="776"/>
      <c r="F122" s="776"/>
      <c r="G122" s="776"/>
      <c r="H122" s="776"/>
      <c r="I122" s="776"/>
      <c r="J122" s="776"/>
      <c r="K122" s="776"/>
      <c r="L122" s="709" t="s">
        <v>335</v>
      </c>
      <c r="M122" s="709" t="s">
        <v>40</v>
      </c>
      <c r="N122" s="709" t="s">
        <v>343</v>
      </c>
      <c r="O122" s="709" t="s">
        <v>344</v>
      </c>
      <c r="P122" s="719" t="s">
        <v>610</v>
      </c>
      <c r="Q122" s="709" t="s">
        <v>346</v>
      </c>
      <c r="R122" s="776"/>
      <c r="S122" s="776"/>
      <c r="T122" s="776"/>
      <c r="U122" s="776"/>
      <c r="V122" s="701"/>
      <c r="W122" s="701"/>
    </row>
    <row r="123" spans="1:23" x14ac:dyDescent="0.25">
      <c r="A123" s="701" t="s">
        <v>487</v>
      </c>
      <c r="B123" s="701"/>
      <c r="C123" s="710" t="s">
        <v>59</v>
      </c>
      <c r="D123" s="711">
        <f>Bilans_E_AMS_Kyoto_run3_MTE!H273</f>
        <v>0</v>
      </c>
      <c r="E123" s="711">
        <f>Bilans_E_AMS_Kyoto_run3_MTE!I273</f>
        <v>9.5366</v>
      </c>
      <c r="F123" s="711">
        <f>Bilans_E_AMS_Kyoto_run3_MTE!J273</f>
        <v>0</v>
      </c>
      <c r="G123" s="711">
        <f>Bilans_E_AMS_Kyoto_run3_MTE!K273</f>
        <v>0</v>
      </c>
      <c r="H123" s="711">
        <f>Bilans_E_AMS_Kyoto_run3_MTE!L273</f>
        <v>0.19771000000000002</v>
      </c>
      <c r="I123" s="711">
        <f>Bilans_E_AMS_Kyoto_run3_MTE!M273</f>
        <v>0</v>
      </c>
      <c r="J123" s="711">
        <f>Bilans_E_AMS_Kyoto_run3_MTE!N273</f>
        <v>1170.5483636363635</v>
      </c>
      <c r="K123" s="711">
        <f>Bilans_E_AMS_Kyoto_run3_MTE!O273</f>
        <v>211.05320151197157</v>
      </c>
      <c r="L123" s="711">
        <f>Bilans_E_AMS_Kyoto_run3_MTE!P273</f>
        <v>290.91008816794533</v>
      </c>
      <c r="M123" s="711">
        <f>Bilans_E_AMS_Kyoto_run3_MTE!Q273</f>
        <v>51.094236462375186</v>
      </c>
      <c r="N123" s="711">
        <f>Bilans_E_AMS_Kyoto_run3_MTE!R273</f>
        <v>0</v>
      </c>
      <c r="O123" s="711">
        <f>Bilans_E_AMS_Kyoto_run3_MTE!S273</f>
        <v>0</v>
      </c>
      <c r="P123" s="711">
        <f>Bilans_E_AMS_Kyoto_run3_MTE!T273+Bilans_E_AMS_Kyoto_run3_MTE!U273</f>
        <v>129.75938144805454</v>
      </c>
      <c r="Q123" s="711">
        <f>Bilans_E_AMS_Kyoto_run3_MTE!V273</f>
        <v>22.58468388139195</v>
      </c>
      <c r="R123" s="711">
        <f>Bilans_E_AMS_Kyoto_run3_MTE!W273</f>
        <v>0</v>
      </c>
      <c r="S123" s="711">
        <f>Bilans_E_AMS_Kyoto_run3_MTE!X273</f>
        <v>0</v>
      </c>
      <c r="T123" s="711">
        <f>Bilans_E_AMS_Kyoto_run3_MTE!Y273</f>
        <v>0</v>
      </c>
      <c r="U123" s="711">
        <f>Bilans_E_AMS_Kyoto_run3_MTE!Z273</f>
        <v>1885.6842651081022</v>
      </c>
      <c r="V123" s="701"/>
      <c r="W123" s="701"/>
    </row>
    <row r="124" spans="1:23" x14ac:dyDescent="0.25">
      <c r="A124" s="701" t="s">
        <v>488</v>
      </c>
      <c r="B124" s="701"/>
      <c r="C124" s="710" t="s">
        <v>60</v>
      </c>
      <c r="D124" s="712">
        <f>Bilans_E_AMS_Kyoto_run3_MTE!H274</f>
        <v>22.464942871093751</v>
      </c>
      <c r="E124" s="712">
        <f>Bilans_E_AMS_Kyoto_run3_MTE!I274</f>
        <v>389.53221362524027</v>
      </c>
      <c r="F124" s="712">
        <f>Bilans_E_AMS_Kyoto_run3_MTE!J274</f>
        <v>202.97851930888072</v>
      </c>
      <c r="G124" s="712">
        <f>Bilans_E_AMS_Kyoto_run3_MTE!K274</f>
        <v>0</v>
      </c>
      <c r="H124" s="712">
        <f>Bilans_E_AMS_Kyoto_run3_MTE!L274</f>
        <v>267.33328549941001</v>
      </c>
      <c r="I124" s="712">
        <f>Bilans_E_AMS_Kyoto_run3_MTE!M274</f>
        <v>0</v>
      </c>
      <c r="J124" s="712">
        <f>Bilans_E_AMS_Kyoto_run3_MTE!N274</f>
        <v>0</v>
      </c>
      <c r="K124" s="712">
        <f>Bilans_E_AMS_Kyoto_run3_MTE!O274</f>
        <v>0</v>
      </c>
      <c r="L124" s="712">
        <f>Bilans_E_AMS_Kyoto_run3_MTE!P274</f>
        <v>4.0538456241052359</v>
      </c>
      <c r="M124" s="712">
        <f>Bilans_E_AMS_Kyoto_run3_MTE!Q274</f>
        <v>0</v>
      </c>
      <c r="N124" s="712">
        <f>Bilans_E_AMS_Kyoto_run3_MTE!R274</f>
        <v>5.1043186047972853</v>
      </c>
      <c r="O124" s="712">
        <f>Bilans_E_AMS_Kyoto_run3_MTE!S274</f>
        <v>12.337837782216525</v>
      </c>
      <c r="P124" s="712">
        <f>Bilans_E_AMS_Kyoto_run3_MTE!T274+Bilans_E_AMS_Kyoto_run3_MTE!U274</f>
        <v>0</v>
      </c>
      <c r="Q124" s="712">
        <f>Bilans_E_AMS_Kyoto_run3_MTE!V274</f>
        <v>0</v>
      </c>
      <c r="R124" s="712">
        <f>Bilans_E_AMS_Kyoto_run3_MTE!W274</f>
        <v>0</v>
      </c>
      <c r="S124" s="712">
        <f>Bilans_E_AMS_Kyoto_run3_MTE!X274</f>
        <v>0</v>
      </c>
      <c r="T124" s="712">
        <f>Bilans_E_AMS_Kyoto_run3_MTE!Y274</f>
        <v>0</v>
      </c>
      <c r="U124" s="712">
        <f>Bilans_E_AMS_Kyoto_run3_MTE!Z274</f>
        <v>903.80496331574375</v>
      </c>
      <c r="V124" s="701"/>
      <c r="W124" s="701"/>
    </row>
    <row r="125" spans="1:23" x14ac:dyDescent="0.25">
      <c r="A125" s="701" t="s">
        <v>489</v>
      </c>
      <c r="B125" s="701"/>
      <c r="C125" s="710" t="s">
        <v>61</v>
      </c>
      <c r="D125" s="712">
        <f>Bilans_E_AMS_Kyoto_run3_MTE!H275</f>
        <v>0</v>
      </c>
      <c r="E125" s="712">
        <f>Bilans_E_AMS_Kyoto_run3_MTE!I275</f>
        <v>0</v>
      </c>
      <c r="F125" s="712">
        <f>Bilans_E_AMS_Kyoto_run3_MTE!J275</f>
        <v>0</v>
      </c>
      <c r="G125" s="712">
        <f>Bilans_E_AMS_Kyoto_run3_MTE!K275</f>
        <v>-0.25</v>
      </c>
      <c r="H125" s="712">
        <f>Bilans_E_AMS_Kyoto_run3_MTE!L275</f>
        <v>0</v>
      </c>
      <c r="I125" s="712">
        <f>Bilans_E_AMS_Kyoto_run3_MTE!M275</f>
        <v>0</v>
      </c>
      <c r="J125" s="712">
        <f>Bilans_E_AMS_Kyoto_run3_MTE!N275</f>
        <v>0</v>
      </c>
      <c r="K125" s="712">
        <f>Bilans_E_AMS_Kyoto_run3_MTE!O275</f>
        <v>0</v>
      </c>
      <c r="L125" s="712">
        <f>Bilans_E_AMS_Kyoto_run3_MTE!P275</f>
        <v>0</v>
      </c>
      <c r="M125" s="712">
        <f>Bilans_E_AMS_Kyoto_run3_MTE!Q275</f>
        <v>0</v>
      </c>
      <c r="N125" s="712">
        <f>Bilans_E_AMS_Kyoto_run3_MTE!R275</f>
        <v>0</v>
      </c>
      <c r="O125" s="712">
        <f>Bilans_E_AMS_Kyoto_run3_MTE!S275</f>
        <v>0</v>
      </c>
      <c r="P125" s="712">
        <f>Bilans_E_AMS_Kyoto_run3_MTE!T275+Bilans_E_AMS_Kyoto_run3_MTE!U275</f>
        <v>0</v>
      </c>
      <c r="Q125" s="712">
        <f>Bilans_E_AMS_Kyoto_run3_MTE!V275</f>
        <v>0</v>
      </c>
      <c r="R125" s="712">
        <f>Bilans_E_AMS_Kyoto_run3_MTE!W275</f>
        <v>-57.004792385507699</v>
      </c>
      <c r="S125" s="712">
        <f>Bilans_E_AMS_Kyoto_run3_MTE!X275</f>
        <v>0</v>
      </c>
      <c r="T125" s="712">
        <f>Bilans_E_AMS_Kyoto_run3_MTE!Y275</f>
        <v>0</v>
      </c>
      <c r="U125" s="712">
        <f>Bilans_E_AMS_Kyoto_run3_MTE!Z275</f>
        <v>-57.254792385507699</v>
      </c>
      <c r="V125" s="701"/>
      <c r="W125" s="701"/>
    </row>
    <row r="126" spans="1:23" x14ac:dyDescent="0.25">
      <c r="A126" s="701" t="s">
        <v>490</v>
      </c>
      <c r="B126" s="701"/>
      <c r="C126" s="710" t="s">
        <v>62</v>
      </c>
      <c r="D126" s="711">
        <f>Bilans_E_AMS_Kyoto_run3_MTE!H276</f>
        <v>0</v>
      </c>
      <c r="E126" s="711">
        <f>Bilans_E_AMS_Kyoto_run3_MTE!I276</f>
        <v>0</v>
      </c>
      <c r="F126" s="711">
        <f>Bilans_E_AMS_Kyoto_run3_MTE!J276</f>
        <v>-8.8542757571138289</v>
      </c>
      <c r="G126" s="711">
        <f>Bilans_E_AMS_Kyoto_run3_MTE!K276</f>
        <v>-0.23021574029600306</v>
      </c>
      <c r="H126" s="711">
        <f>Bilans_E_AMS_Kyoto_run3_MTE!L276</f>
        <v>-1.4644559448503458</v>
      </c>
      <c r="I126" s="711">
        <f>Bilans_E_AMS_Kyoto_run3_MTE!M276</f>
        <v>-0.23021574029600303</v>
      </c>
      <c r="J126" s="711">
        <f>Bilans_E_AMS_Kyoto_run3_MTE!N276</f>
        <v>0</v>
      </c>
      <c r="K126" s="711">
        <f>Bilans_E_AMS_Kyoto_run3_MTE!O276</f>
        <v>0</v>
      </c>
      <c r="L126" s="711">
        <f>Bilans_E_AMS_Kyoto_run3_MTE!P276</f>
        <v>0</v>
      </c>
      <c r="M126" s="711">
        <f>Bilans_E_AMS_Kyoto_run3_MTE!Q276</f>
        <v>0</v>
      </c>
      <c r="N126" s="711">
        <f>Bilans_E_AMS_Kyoto_run3_MTE!R276</f>
        <v>0</v>
      </c>
      <c r="O126" s="711">
        <f>Bilans_E_AMS_Kyoto_run3_MTE!S276</f>
        <v>-0.67992597439480318</v>
      </c>
      <c r="P126" s="711">
        <f>Bilans_E_AMS_Kyoto_run3_MTE!T276+Bilans_E_AMS_Kyoto_run3_MTE!U276</f>
        <v>0</v>
      </c>
      <c r="Q126" s="711">
        <f>Bilans_E_AMS_Kyoto_run3_MTE!V276</f>
        <v>0</v>
      </c>
      <c r="R126" s="711">
        <f>Bilans_E_AMS_Kyoto_run3_MTE!W276</f>
        <v>0</v>
      </c>
      <c r="S126" s="711">
        <f>Bilans_E_AMS_Kyoto_run3_MTE!X276</f>
        <v>0</v>
      </c>
      <c r="T126" s="711">
        <f>Bilans_E_AMS_Kyoto_run3_MTE!Y276</f>
        <v>-8.5184540446497051E-2</v>
      </c>
      <c r="U126" s="711">
        <f>Bilans_E_AMS_Kyoto_run3_MTE!Z276</f>
        <v>-11.544273697397482</v>
      </c>
      <c r="V126" s="701"/>
      <c r="W126" s="701"/>
    </row>
    <row r="127" spans="1:23" x14ac:dyDescent="0.25">
      <c r="A127" s="701" t="s">
        <v>491</v>
      </c>
      <c r="B127" s="701"/>
      <c r="C127" s="710" t="s">
        <v>63</v>
      </c>
      <c r="D127" s="711">
        <f>Bilans_E_AMS_Kyoto_run3_MTE!H277</f>
        <v>0</v>
      </c>
      <c r="E127" s="711">
        <f>Bilans_E_AMS_Kyoto_run3_MTE!I277</f>
        <v>0</v>
      </c>
      <c r="F127" s="711">
        <f>Bilans_E_AMS_Kyoto_run3_MTE!J277</f>
        <v>-70</v>
      </c>
      <c r="G127" s="711">
        <f>Bilans_E_AMS_Kyoto_run3_MTE!K277</f>
        <v>-1</v>
      </c>
      <c r="H127" s="711">
        <f>Bilans_E_AMS_Kyoto_run3_MTE!L277</f>
        <v>0</v>
      </c>
      <c r="I127" s="711">
        <f>Bilans_E_AMS_Kyoto_run3_MTE!M277</f>
        <v>0</v>
      </c>
      <c r="J127" s="711">
        <f>Bilans_E_AMS_Kyoto_run3_MTE!N277</f>
        <v>0</v>
      </c>
      <c r="K127" s="711">
        <f>Bilans_E_AMS_Kyoto_run3_MTE!O277</f>
        <v>0</v>
      </c>
      <c r="L127" s="711">
        <f>Bilans_E_AMS_Kyoto_run3_MTE!P277</f>
        <v>0</v>
      </c>
      <c r="M127" s="711">
        <f>Bilans_E_AMS_Kyoto_run3_MTE!Q277</f>
        <v>0</v>
      </c>
      <c r="N127" s="711">
        <f>Bilans_E_AMS_Kyoto_run3_MTE!R277</f>
        <v>-4</v>
      </c>
      <c r="O127" s="711">
        <f>Bilans_E_AMS_Kyoto_run3_MTE!S277</f>
        <v>0</v>
      </c>
      <c r="P127" s="711">
        <f>Bilans_E_AMS_Kyoto_run3_MTE!T277+Bilans_E_AMS_Kyoto_run3_MTE!U277</f>
        <v>0</v>
      </c>
      <c r="Q127" s="711">
        <f>Bilans_E_AMS_Kyoto_run3_MTE!V277</f>
        <v>0</v>
      </c>
      <c r="R127" s="711">
        <f>Bilans_E_AMS_Kyoto_run3_MTE!W277</f>
        <v>0</v>
      </c>
      <c r="S127" s="711">
        <f>Bilans_E_AMS_Kyoto_run3_MTE!X277</f>
        <v>0</v>
      </c>
      <c r="T127" s="711">
        <f>Bilans_E_AMS_Kyoto_run3_MTE!Y277</f>
        <v>0</v>
      </c>
      <c r="U127" s="711">
        <f>Bilans_E_AMS_Kyoto_run3_MTE!Z277</f>
        <v>-75</v>
      </c>
      <c r="V127" s="701"/>
      <c r="W127" s="701"/>
    </row>
    <row r="128" spans="1:23" x14ac:dyDescent="0.25">
      <c r="A128" s="701" t="s">
        <v>492</v>
      </c>
      <c r="B128" s="701"/>
      <c r="C128" s="710" t="s">
        <v>64</v>
      </c>
      <c r="D128" s="712">
        <f>Bilans_E_AMS_Kyoto_run3_MTE!H278</f>
        <v>0</v>
      </c>
      <c r="E128" s="712">
        <f>Bilans_E_AMS_Kyoto_run3_MTE!I278</f>
        <v>0</v>
      </c>
      <c r="F128" s="712">
        <f>Bilans_E_AMS_Kyoto_run3_MTE!J278</f>
        <v>0</v>
      </c>
      <c r="G128" s="712">
        <f>Bilans_E_AMS_Kyoto_run3_MTE!K278</f>
        <v>0</v>
      </c>
      <c r="H128" s="712">
        <f>Bilans_E_AMS_Kyoto_run3_MTE!L278</f>
        <v>0</v>
      </c>
      <c r="I128" s="712">
        <f>Bilans_E_AMS_Kyoto_run3_MTE!M278</f>
        <v>0</v>
      </c>
      <c r="J128" s="712">
        <f>Bilans_E_AMS_Kyoto_run3_MTE!N278</f>
        <v>0</v>
      </c>
      <c r="K128" s="712">
        <f>Bilans_E_AMS_Kyoto_run3_MTE!O278</f>
        <v>0</v>
      </c>
      <c r="L128" s="712">
        <f>Bilans_E_AMS_Kyoto_run3_MTE!P278</f>
        <v>0</v>
      </c>
      <c r="M128" s="712">
        <f>Bilans_E_AMS_Kyoto_run3_MTE!Q278</f>
        <v>0</v>
      </c>
      <c r="N128" s="712">
        <f>Bilans_E_AMS_Kyoto_run3_MTE!R278</f>
        <v>0</v>
      </c>
      <c r="O128" s="712">
        <f>Bilans_E_AMS_Kyoto_run3_MTE!S278</f>
        <v>0</v>
      </c>
      <c r="P128" s="712">
        <f>Bilans_E_AMS_Kyoto_run3_MTE!T278+Bilans_E_AMS_Kyoto_run3_MTE!U278</f>
        <v>0</v>
      </c>
      <c r="Q128" s="712">
        <f>Bilans_E_AMS_Kyoto_run3_MTE!V278</f>
        <v>0</v>
      </c>
      <c r="R128" s="712">
        <f>Bilans_E_AMS_Kyoto_run3_MTE!W278</f>
        <v>0</v>
      </c>
      <c r="S128" s="712">
        <f>Bilans_E_AMS_Kyoto_run3_MTE!X278</f>
        <v>0</v>
      </c>
      <c r="T128" s="712">
        <f>Bilans_E_AMS_Kyoto_run3_MTE!Y278</f>
        <v>0</v>
      </c>
      <c r="U128" s="712">
        <f>Bilans_E_AMS_Kyoto_run3_MTE!Z278</f>
        <v>0</v>
      </c>
      <c r="V128" s="701"/>
      <c r="W128" s="701"/>
    </row>
    <row r="129" spans="1:23" x14ac:dyDescent="0.25">
      <c r="A129" s="701" t="s">
        <v>493</v>
      </c>
      <c r="B129" s="701"/>
      <c r="C129" s="713" t="s">
        <v>65</v>
      </c>
      <c r="D129" s="714">
        <f>Bilans_E_AMS_Kyoto_run3_MTE!H279</f>
        <v>22.464942871093751</v>
      </c>
      <c r="E129" s="714">
        <f>Bilans_E_AMS_Kyoto_run3_MTE!I279</f>
        <v>399.0688136252403</v>
      </c>
      <c r="F129" s="714">
        <f>Bilans_E_AMS_Kyoto_run3_MTE!J279</f>
        <v>124.12424355176688</v>
      </c>
      <c r="G129" s="714">
        <f>Bilans_E_AMS_Kyoto_run3_MTE!K279</f>
        <v>-1.480215740296003</v>
      </c>
      <c r="H129" s="714">
        <f>Bilans_E_AMS_Kyoto_run3_MTE!L279</f>
        <v>266.06653955455965</v>
      </c>
      <c r="I129" s="714">
        <f>Bilans_E_AMS_Kyoto_run3_MTE!M279</f>
        <v>-0.23021574029600303</v>
      </c>
      <c r="J129" s="714">
        <f>Bilans_E_AMS_Kyoto_run3_MTE!N279</f>
        <v>1170.5483636363635</v>
      </c>
      <c r="K129" s="714">
        <f>Bilans_E_AMS_Kyoto_run3_MTE!O279</f>
        <v>211.05320151197157</v>
      </c>
      <c r="L129" s="714">
        <f>Bilans_E_AMS_Kyoto_run3_MTE!P279</f>
        <v>294.96393379205057</v>
      </c>
      <c r="M129" s="714">
        <f>Bilans_E_AMS_Kyoto_run3_MTE!Q279</f>
        <v>51.094236462375186</v>
      </c>
      <c r="N129" s="714">
        <f>Bilans_E_AMS_Kyoto_run3_MTE!R279</f>
        <v>1.1043186047972853</v>
      </c>
      <c r="O129" s="714">
        <f>Bilans_E_AMS_Kyoto_run3_MTE!S279</f>
        <v>11.657911807821721</v>
      </c>
      <c r="P129" s="714">
        <f>Bilans_E_AMS_Kyoto_run3_MTE!T279+Bilans_E_AMS_Kyoto_run3_MTE!U279</f>
        <v>129.75938144805454</v>
      </c>
      <c r="Q129" s="714">
        <f>Bilans_E_AMS_Kyoto_run3_MTE!V279</f>
        <v>22.58468388139195</v>
      </c>
      <c r="R129" s="714">
        <f>Bilans_E_AMS_Kyoto_run3_MTE!W279</f>
        <v>-57.004792385507699</v>
      </c>
      <c r="S129" s="714">
        <f>Bilans_E_AMS_Kyoto_run3_MTE!X279</f>
        <v>0</v>
      </c>
      <c r="T129" s="714">
        <f>Bilans_E_AMS_Kyoto_run3_MTE!Y279</f>
        <v>-8.5184540446497051E-2</v>
      </c>
      <c r="U129" s="714">
        <f>Bilans_E_AMS_Kyoto_run3_MTE!Z279</f>
        <v>2645.6901623409408</v>
      </c>
      <c r="V129" s="701"/>
      <c r="W129" s="701"/>
    </row>
    <row r="130" spans="1:23" x14ac:dyDescent="0.25">
      <c r="A130" s="701"/>
      <c r="B130" s="701"/>
      <c r="C130" s="715"/>
      <c r="D130" s="716"/>
      <c r="E130" s="716"/>
      <c r="F130" s="716"/>
      <c r="G130" s="716"/>
      <c r="H130" s="716"/>
      <c r="I130" s="716"/>
      <c r="J130" s="716"/>
      <c r="K130" s="716"/>
      <c r="L130" s="716"/>
      <c r="M130" s="716"/>
      <c r="N130" s="716"/>
      <c r="O130" s="716"/>
      <c r="P130" s="716">
        <f>Bilans_E_AMS_Kyoto_run3_MTE!T280+Bilans_E_AMS_Kyoto_run3_MTE!U280</f>
        <v>0</v>
      </c>
      <c r="Q130" s="716"/>
      <c r="R130" s="716"/>
      <c r="S130" s="716"/>
      <c r="T130" s="716"/>
      <c r="U130" s="716"/>
      <c r="V130" s="701"/>
      <c r="W130" s="701"/>
    </row>
    <row r="131" spans="1:23" x14ac:dyDescent="0.25">
      <c r="A131" s="701" t="s">
        <v>494</v>
      </c>
      <c r="B131" s="701"/>
      <c r="C131" s="717" t="s">
        <v>67</v>
      </c>
      <c r="D131" s="711">
        <f>Bilans_E_AMS_Kyoto_run3_MTE!H281</f>
        <v>0</v>
      </c>
      <c r="E131" s="711">
        <f>Bilans_E_AMS_Kyoto_run3_MTE!I281</f>
        <v>0</v>
      </c>
      <c r="F131" s="711">
        <f>Bilans_E_AMS_Kyoto_run3_MTE!J281</f>
        <v>0</v>
      </c>
      <c r="G131" s="711">
        <f>Bilans_E_AMS_Kyoto_run3_MTE!K281</f>
        <v>0</v>
      </c>
      <c r="H131" s="711">
        <f>Bilans_E_AMS_Kyoto_run3_MTE!L281</f>
        <v>0</v>
      </c>
      <c r="I131" s="711">
        <f>Bilans_E_AMS_Kyoto_run3_MTE!M281</f>
        <v>0</v>
      </c>
      <c r="J131" s="711">
        <f>Bilans_E_AMS_Kyoto_run3_MTE!N281</f>
        <v>0</v>
      </c>
      <c r="K131" s="711">
        <f>Bilans_E_AMS_Kyoto_run3_MTE!O281</f>
        <v>0</v>
      </c>
      <c r="L131" s="711">
        <f>Bilans_E_AMS_Kyoto_run3_MTE!P281</f>
        <v>0</v>
      </c>
      <c r="M131" s="711">
        <f>Bilans_E_AMS_Kyoto_run3_MTE!Q281</f>
        <v>0</v>
      </c>
      <c r="N131" s="711">
        <f>Bilans_E_AMS_Kyoto_run3_MTE!R281</f>
        <v>0</v>
      </c>
      <c r="O131" s="711">
        <f>Bilans_E_AMS_Kyoto_run3_MTE!S281</f>
        <v>0</v>
      </c>
      <c r="P131" s="711">
        <f>Bilans_E_AMS_Kyoto_run3_MTE!T281+Bilans_E_AMS_Kyoto_run3_MTE!U281</f>
        <v>0</v>
      </c>
      <c r="Q131" s="711">
        <f>Bilans_E_AMS_Kyoto_run3_MTE!V281</f>
        <v>0</v>
      </c>
      <c r="R131" s="711">
        <f>Bilans_E_AMS_Kyoto_run3_MTE!W281</f>
        <v>0</v>
      </c>
      <c r="S131" s="711">
        <f>Bilans_E_AMS_Kyoto_run3_MTE!X281</f>
        <v>0</v>
      </c>
      <c r="T131" s="711">
        <f>Bilans_E_AMS_Kyoto_run3_MTE!Y281</f>
        <v>0</v>
      </c>
      <c r="U131" s="711">
        <f>Bilans_E_AMS_Kyoto_run3_MTE!Z281</f>
        <v>0</v>
      </c>
      <c r="V131" s="701"/>
      <c r="W131" s="701"/>
    </row>
    <row r="132" spans="1:23" x14ac:dyDescent="0.25">
      <c r="A132" s="701" t="s">
        <v>495</v>
      </c>
      <c r="B132" s="701"/>
      <c r="C132" s="717" t="s">
        <v>347</v>
      </c>
      <c r="D132" s="711">
        <f>Bilans_E_AMS_Kyoto_run3_MTE!H282</f>
        <v>0</v>
      </c>
      <c r="E132" s="711">
        <f>Bilans_E_AMS_Kyoto_run3_MTE!I282</f>
        <v>0</v>
      </c>
      <c r="F132" s="711">
        <f>Bilans_E_AMS_Kyoto_run3_MTE!J282</f>
        <v>0.77863803143112786</v>
      </c>
      <c r="G132" s="711">
        <f>Bilans_E_AMS_Kyoto_run3_MTE!K282</f>
        <v>0</v>
      </c>
      <c r="H132" s="711">
        <f>Bilans_E_AMS_Kyoto_run3_MTE!L282</f>
        <v>37.284874621454541</v>
      </c>
      <c r="I132" s="711">
        <f>Bilans_E_AMS_Kyoto_run3_MTE!M282</f>
        <v>0</v>
      </c>
      <c r="J132" s="711">
        <f>Bilans_E_AMS_Kyoto_run3_MTE!N282</f>
        <v>1170.5483636363635</v>
      </c>
      <c r="K132" s="711">
        <f>Bilans_E_AMS_Kyoto_run3_MTE!O282</f>
        <v>211.05320151197157</v>
      </c>
      <c r="L132" s="711">
        <f>Bilans_E_AMS_Kyoto_run3_MTE!P282</f>
        <v>13.643826551456822</v>
      </c>
      <c r="M132" s="711">
        <f>Bilans_E_AMS_Kyoto_run3_MTE!Q282</f>
        <v>6.3714737362755738</v>
      </c>
      <c r="N132" s="711">
        <f>Bilans_E_AMS_Kyoto_run3_MTE!R282</f>
        <v>4.4112574708908179</v>
      </c>
      <c r="O132" s="711">
        <f>Bilans_E_AMS_Kyoto_run3_MTE!S282</f>
        <v>11.131476471231387</v>
      </c>
      <c r="P132" s="711">
        <f>Bilans_E_AMS_Kyoto_run3_MTE!T282+Bilans_E_AMS_Kyoto_run3_MTE!U282</f>
        <v>0</v>
      </c>
      <c r="Q132" s="711">
        <f>Bilans_E_AMS_Kyoto_run3_MTE!V282</f>
        <v>0</v>
      </c>
      <c r="R132" s="711">
        <f>Bilans_E_AMS_Kyoto_run3_MTE!W282</f>
        <v>-636.49198102617061</v>
      </c>
      <c r="S132" s="711">
        <f>Bilans_E_AMS_Kyoto_run3_MTE!X282</f>
        <v>0</v>
      </c>
      <c r="T132" s="711">
        <f>Bilans_E_AMS_Kyoto_run3_MTE!Y282</f>
        <v>0</v>
      </c>
      <c r="U132" s="711">
        <f>Bilans_E_AMS_Kyoto_run3_MTE!Z282</f>
        <v>818.73113100490491</v>
      </c>
      <c r="V132" s="701"/>
      <c r="W132" s="701"/>
    </row>
    <row r="133" spans="1:23" x14ac:dyDescent="0.25">
      <c r="A133" s="701" t="s">
        <v>496</v>
      </c>
      <c r="B133" s="701"/>
      <c r="C133" s="717" t="s">
        <v>348</v>
      </c>
      <c r="D133" s="711">
        <f>Bilans_E_AMS_Kyoto_run3_MTE!H283</f>
        <v>0</v>
      </c>
      <c r="E133" s="711">
        <f>Bilans_E_AMS_Kyoto_run3_MTE!I283</f>
        <v>0</v>
      </c>
      <c r="F133" s="711">
        <f>Bilans_E_AMS_Kyoto_run3_MTE!J283</f>
        <v>0</v>
      </c>
      <c r="G133" s="711">
        <f>Bilans_E_AMS_Kyoto_run3_MTE!K283</f>
        <v>0</v>
      </c>
      <c r="H133" s="711">
        <f>Bilans_E_AMS_Kyoto_run3_MTE!L283</f>
        <v>21.01937665904569</v>
      </c>
      <c r="I133" s="711">
        <f>Bilans_E_AMS_Kyoto_run3_MTE!M283</f>
        <v>0</v>
      </c>
      <c r="J133" s="711">
        <f>Bilans_E_AMS_Kyoto_run3_MTE!N283</f>
        <v>0</v>
      </c>
      <c r="K133" s="711">
        <f>Bilans_E_AMS_Kyoto_run3_MTE!O283</f>
        <v>0</v>
      </c>
      <c r="L133" s="711">
        <f>Bilans_E_AMS_Kyoto_run3_MTE!P283</f>
        <v>25.438759695297328</v>
      </c>
      <c r="M133" s="711">
        <f>Bilans_E_AMS_Kyoto_run3_MTE!Q283</f>
        <v>17.519848610972289</v>
      </c>
      <c r="N133" s="711">
        <f>Bilans_E_AMS_Kyoto_run3_MTE!R283</f>
        <v>0</v>
      </c>
      <c r="O133" s="711">
        <f>Bilans_E_AMS_Kyoto_run3_MTE!S283</f>
        <v>5.5617593110833985</v>
      </c>
      <c r="P133" s="711">
        <f>Bilans_E_AMS_Kyoto_run3_MTE!T283+Bilans_E_AMS_Kyoto_run3_MTE!U283</f>
        <v>5.5922659753689832</v>
      </c>
      <c r="Q133" s="711">
        <f>Bilans_E_AMS_Kyoto_run3_MTE!V283</f>
        <v>10.223550533524911</v>
      </c>
      <c r="R133" s="711">
        <f>Bilans_E_AMS_Kyoto_run3_MTE!W283</f>
        <v>0</v>
      </c>
      <c r="S133" s="711">
        <f>Bilans_E_AMS_Kyoto_run3_MTE!X283</f>
        <v>-76.161434631032037</v>
      </c>
      <c r="T133" s="711">
        <f>Bilans_E_AMS_Kyoto_run3_MTE!Y283</f>
        <v>0</v>
      </c>
      <c r="U133" s="711">
        <f>Bilans_E_AMS_Kyoto_run3_MTE!Z283</f>
        <v>9.194126154260573</v>
      </c>
      <c r="V133" s="701"/>
      <c r="W133" s="701"/>
    </row>
    <row r="134" spans="1:23" x14ac:dyDescent="0.25">
      <c r="A134" s="701" t="s">
        <v>497</v>
      </c>
      <c r="B134" s="701"/>
      <c r="C134" s="717" t="s">
        <v>349</v>
      </c>
      <c r="D134" s="711">
        <f>Bilans_E_AMS_Kyoto_run3_MTE!H284</f>
        <v>0</v>
      </c>
      <c r="E134" s="711">
        <f>Bilans_E_AMS_Kyoto_run3_MTE!I284</f>
        <v>0</v>
      </c>
      <c r="F134" s="711">
        <f>Bilans_E_AMS_Kyoto_run3_MTE!J284</f>
        <v>0</v>
      </c>
      <c r="G134" s="711">
        <f>Bilans_E_AMS_Kyoto_run3_MTE!K284</f>
        <v>0</v>
      </c>
      <c r="H134" s="711">
        <f>Bilans_E_AMS_Kyoto_run3_MTE!L284</f>
        <v>0</v>
      </c>
      <c r="I134" s="711">
        <f>Bilans_E_AMS_Kyoto_run3_MTE!M284</f>
        <v>0</v>
      </c>
      <c r="J134" s="711">
        <f>Bilans_E_AMS_Kyoto_run3_MTE!N284</f>
        <v>0</v>
      </c>
      <c r="K134" s="711">
        <f>Bilans_E_AMS_Kyoto_run3_MTE!O284</f>
        <v>0</v>
      </c>
      <c r="L134" s="711">
        <f>Bilans_E_AMS_Kyoto_run3_MTE!P284</f>
        <v>68.878327619299128</v>
      </c>
      <c r="M134" s="711">
        <f>Bilans_E_AMS_Kyoto_run3_MTE!Q284</f>
        <v>9.6609327353265275</v>
      </c>
      <c r="N134" s="711">
        <f>Bilans_E_AMS_Kyoto_run3_MTE!R284</f>
        <v>0</v>
      </c>
      <c r="O134" s="711">
        <f>Bilans_E_AMS_Kyoto_run3_MTE!S284</f>
        <v>-39.337598681233651</v>
      </c>
      <c r="P134" s="711">
        <f>Bilans_E_AMS_Kyoto_run3_MTE!T284+Bilans_E_AMS_Kyoto_run3_MTE!U284</f>
        <v>0</v>
      </c>
      <c r="Q134" s="711">
        <f>Bilans_E_AMS_Kyoto_run3_MTE!V284</f>
        <v>0</v>
      </c>
      <c r="R134" s="711">
        <f>Bilans_E_AMS_Kyoto_run3_MTE!W284</f>
        <v>0</v>
      </c>
      <c r="S134" s="711">
        <f>Bilans_E_AMS_Kyoto_run3_MTE!X284</f>
        <v>0</v>
      </c>
      <c r="T134" s="711">
        <f>Bilans_E_AMS_Kyoto_run3_MTE!Y284</f>
        <v>0</v>
      </c>
      <c r="U134" s="711">
        <f>Bilans_E_AMS_Kyoto_run3_MTE!Z284</f>
        <v>39.201661673392003</v>
      </c>
      <c r="V134" s="701"/>
      <c r="W134" s="701"/>
    </row>
    <row r="135" spans="1:23" x14ac:dyDescent="0.25">
      <c r="A135" s="701" t="s">
        <v>498</v>
      </c>
      <c r="B135" s="701"/>
      <c r="C135" s="717" t="s">
        <v>350</v>
      </c>
      <c r="D135" s="711">
        <f>Bilans_E_AMS_Kyoto_run3_MTE!H285</f>
        <v>0</v>
      </c>
      <c r="E135" s="711">
        <f>Bilans_E_AMS_Kyoto_run3_MTE!I285</f>
        <v>0</v>
      </c>
      <c r="F135" s="711">
        <f>Bilans_E_AMS_Kyoto_run3_MTE!J285</f>
        <v>0</v>
      </c>
      <c r="G135" s="711">
        <f>Bilans_E_AMS_Kyoto_run3_MTE!K285</f>
        <v>0</v>
      </c>
      <c r="H135" s="711">
        <f>Bilans_E_AMS_Kyoto_run3_MTE!L285</f>
        <v>0</v>
      </c>
      <c r="I135" s="711">
        <f>Bilans_E_AMS_Kyoto_run3_MTE!M285</f>
        <v>-0.23021574029600303</v>
      </c>
      <c r="J135" s="711">
        <f>Bilans_E_AMS_Kyoto_run3_MTE!N285</f>
        <v>0</v>
      </c>
      <c r="K135" s="711">
        <f>Bilans_E_AMS_Kyoto_run3_MTE!O285</f>
        <v>0</v>
      </c>
      <c r="L135" s="711">
        <f>Bilans_E_AMS_Kyoto_run3_MTE!P285</f>
        <v>0</v>
      </c>
      <c r="M135" s="711">
        <f>Bilans_E_AMS_Kyoto_run3_MTE!Q285</f>
        <v>0</v>
      </c>
      <c r="N135" s="711">
        <f>Bilans_E_AMS_Kyoto_run3_MTE!R285</f>
        <v>0</v>
      </c>
      <c r="O135" s="711">
        <f>Bilans_E_AMS_Kyoto_run3_MTE!S285</f>
        <v>0</v>
      </c>
      <c r="P135" s="711">
        <f>Bilans_E_AMS_Kyoto_run3_MTE!T285+Bilans_E_AMS_Kyoto_run3_MTE!U285</f>
        <v>0</v>
      </c>
      <c r="Q135" s="711">
        <f>Bilans_E_AMS_Kyoto_run3_MTE!V285</f>
        <v>0</v>
      </c>
      <c r="R135" s="711">
        <f>Bilans_E_AMS_Kyoto_run3_MTE!W285</f>
        <v>0</v>
      </c>
      <c r="S135" s="711">
        <f>Bilans_E_AMS_Kyoto_run3_MTE!X285</f>
        <v>0</v>
      </c>
      <c r="T135" s="711">
        <f>Bilans_E_AMS_Kyoto_run3_MTE!Y285</f>
        <v>0.31974408374444868</v>
      </c>
      <c r="U135" s="711">
        <f>Bilans_E_AMS_Kyoto_run3_MTE!Z285</f>
        <v>8.9528343448445652E-2</v>
      </c>
      <c r="V135" s="701"/>
      <c r="W135" s="701"/>
    </row>
    <row r="136" spans="1:23" x14ac:dyDescent="0.25">
      <c r="A136" s="701" t="s">
        <v>499</v>
      </c>
      <c r="B136" s="701"/>
      <c r="C136" s="717" t="s">
        <v>72</v>
      </c>
      <c r="D136" s="711">
        <f>Bilans_E_AMS_Kyoto_run3_MTE!H286</f>
        <v>0</v>
      </c>
      <c r="E136" s="711">
        <f>Bilans_E_AMS_Kyoto_run3_MTE!I286</f>
        <v>413.59716113320059</v>
      </c>
      <c r="F136" s="711">
        <f>Bilans_E_AMS_Kyoto_run3_MTE!J286</f>
        <v>-409.46118952186856</v>
      </c>
      <c r="G136" s="711">
        <f>Bilans_E_AMS_Kyoto_run3_MTE!K286</f>
        <v>0</v>
      </c>
      <c r="H136" s="711">
        <f>Bilans_E_AMS_Kyoto_run3_MTE!L286</f>
        <v>0</v>
      </c>
      <c r="I136" s="711">
        <f>Bilans_E_AMS_Kyoto_run3_MTE!M286</f>
        <v>0</v>
      </c>
      <c r="J136" s="711">
        <f>Bilans_E_AMS_Kyoto_run3_MTE!N286</f>
        <v>0</v>
      </c>
      <c r="K136" s="711">
        <f>Bilans_E_AMS_Kyoto_run3_MTE!O286</f>
        <v>0</v>
      </c>
      <c r="L136" s="711">
        <f>Bilans_E_AMS_Kyoto_run3_MTE!P286</f>
        <v>0</v>
      </c>
      <c r="M136" s="711">
        <f>Bilans_E_AMS_Kyoto_run3_MTE!Q286</f>
        <v>0</v>
      </c>
      <c r="N136" s="711">
        <f>Bilans_E_AMS_Kyoto_run3_MTE!R286</f>
        <v>0</v>
      </c>
      <c r="O136" s="711">
        <f>Bilans_E_AMS_Kyoto_run3_MTE!S286</f>
        <v>0</v>
      </c>
      <c r="P136" s="711">
        <f>Bilans_E_AMS_Kyoto_run3_MTE!T286+Bilans_E_AMS_Kyoto_run3_MTE!U286</f>
        <v>0</v>
      </c>
      <c r="Q136" s="711">
        <f>Bilans_E_AMS_Kyoto_run3_MTE!V286</f>
        <v>0</v>
      </c>
      <c r="R136" s="711">
        <f>Bilans_E_AMS_Kyoto_run3_MTE!W286</f>
        <v>0</v>
      </c>
      <c r="S136" s="711">
        <f>Bilans_E_AMS_Kyoto_run3_MTE!X286</f>
        <v>0</v>
      </c>
      <c r="T136" s="711">
        <f>Bilans_E_AMS_Kyoto_run3_MTE!Y286</f>
        <v>0</v>
      </c>
      <c r="U136" s="711">
        <f>Bilans_E_AMS_Kyoto_run3_MTE!Z286</f>
        <v>4.1359716113320246</v>
      </c>
      <c r="V136" s="701"/>
      <c r="W136" s="701"/>
    </row>
    <row r="137" spans="1:23" x14ac:dyDescent="0.25">
      <c r="A137" s="701" t="s">
        <v>500</v>
      </c>
      <c r="B137" s="701"/>
      <c r="C137" s="717" t="s">
        <v>351</v>
      </c>
      <c r="D137" s="711">
        <f>Bilans_E_AMS_Kyoto_run3_MTE!H287</f>
        <v>0</v>
      </c>
      <c r="E137" s="711">
        <f>Bilans_E_AMS_Kyoto_run3_MTE!I287</f>
        <v>0</v>
      </c>
      <c r="F137" s="711">
        <f>Bilans_E_AMS_Kyoto_run3_MTE!J287</f>
        <v>0</v>
      </c>
      <c r="G137" s="711">
        <f>Bilans_E_AMS_Kyoto_run3_MTE!K287</f>
        <v>0</v>
      </c>
      <c r="H137" s="711">
        <f>Bilans_E_AMS_Kyoto_run3_MTE!L287</f>
        <v>0</v>
      </c>
      <c r="I137" s="711">
        <f>Bilans_E_AMS_Kyoto_run3_MTE!M287</f>
        <v>0</v>
      </c>
      <c r="J137" s="711">
        <f>Bilans_E_AMS_Kyoto_run3_MTE!N287</f>
        <v>0</v>
      </c>
      <c r="K137" s="711">
        <f>Bilans_E_AMS_Kyoto_run3_MTE!O287</f>
        <v>0</v>
      </c>
      <c r="L137" s="711">
        <f>Bilans_E_AMS_Kyoto_run3_MTE!P287</f>
        <v>74.303583996360487</v>
      </c>
      <c r="M137" s="711">
        <f>Bilans_E_AMS_Kyoto_run3_MTE!Q287</f>
        <v>7.2727272727272725</v>
      </c>
      <c r="N137" s="711">
        <f>Bilans_E_AMS_Kyoto_run3_MTE!R287</f>
        <v>-45.504026449722858</v>
      </c>
      <c r="O137" s="711">
        <f>Bilans_E_AMS_Kyoto_run3_MTE!S287</f>
        <v>0</v>
      </c>
      <c r="P137" s="711">
        <f>Bilans_E_AMS_Kyoto_run3_MTE!T287+Bilans_E_AMS_Kyoto_run3_MTE!U287</f>
        <v>0</v>
      </c>
      <c r="Q137" s="711">
        <f>Bilans_E_AMS_Kyoto_run3_MTE!V287</f>
        <v>0</v>
      </c>
      <c r="R137" s="711">
        <f>Bilans_E_AMS_Kyoto_run3_MTE!W287</f>
        <v>0</v>
      </c>
      <c r="S137" s="711">
        <f>Bilans_E_AMS_Kyoto_run3_MTE!X287</f>
        <v>0</v>
      </c>
      <c r="T137" s="711">
        <f>Bilans_E_AMS_Kyoto_run3_MTE!Y287</f>
        <v>0</v>
      </c>
      <c r="U137" s="711">
        <f>Bilans_E_AMS_Kyoto_run3_MTE!Z287</f>
        <v>36.072284819364896</v>
      </c>
      <c r="V137" s="701"/>
      <c r="W137" s="701"/>
    </row>
    <row r="138" spans="1:23" x14ac:dyDescent="0.25">
      <c r="A138" s="701" t="s">
        <v>501</v>
      </c>
      <c r="B138" s="701"/>
      <c r="C138" s="717" t="s">
        <v>352</v>
      </c>
      <c r="D138" s="711">
        <f>Bilans_E_AMS_Kyoto_run3_MTE!H288</f>
        <v>0</v>
      </c>
      <c r="E138" s="711">
        <f>Bilans_E_AMS_Kyoto_run3_MTE!I288</f>
        <v>0</v>
      </c>
      <c r="F138" s="711">
        <f>Bilans_E_AMS_Kyoto_run3_MTE!J288</f>
        <v>0</v>
      </c>
      <c r="G138" s="711">
        <f>Bilans_E_AMS_Kyoto_run3_MTE!K288</f>
        <v>-1.480215740296003</v>
      </c>
      <c r="H138" s="711">
        <f>Bilans_E_AMS_Kyoto_run3_MTE!L288</f>
        <v>0</v>
      </c>
      <c r="I138" s="711">
        <f>Bilans_E_AMS_Kyoto_run3_MTE!M288</f>
        <v>0</v>
      </c>
      <c r="J138" s="711">
        <f>Bilans_E_AMS_Kyoto_run3_MTE!N288</f>
        <v>0</v>
      </c>
      <c r="K138" s="711">
        <f>Bilans_E_AMS_Kyoto_run3_MTE!O288</f>
        <v>0</v>
      </c>
      <c r="L138" s="711">
        <f>Bilans_E_AMS_Kyoto_run3_MTE!P288</f>
        <v>0</v>
      </c>
      <c r="M138" s="711">
        <f>Bilans_E_AMS_Kyoto_run3_MTE!Q288</f>
        <v>0</v>
      </c>
      <c r="N138" s="711">
        <f>Bilans_E_AMS_Kyoto_run3_MTE!R288</f>
        <v>0</v>
      </c>
      <c r="O138" s="711">
        <f>Bilans_E_AMS_Kyoto_run3_MTE!S288</f>
        <v>0</v>
      </c>
      <c r="P138" s="711">
        <f>Bilans_E_AMS_Kyoto_run3_MTE!T288+Bilans_E_AMS_Kyoto_run3_MTE!U288</f>
        <v>0</v>
      </c>
      <c r="Q138" s="711">
        <f>Bilans_E_AMS_Kyoto_run3_MTE!V288</f>
        <v>0</v>
      </c>
      <c r="R138" s="711">
        <f>Bilans_E_AMS_Kyoto_run3_MTE!W288</f>
        <v>0</v>
      </c>
      <c r="S138" s="711">
        <f>Bilans_E_AMS_Kyoto_run3_MTE!X288</f>
        <v>0</v>
      </c>
      <c r="T138" s="711">
        <f>Bilans_E_AMS_Kyoto_run3_MTE!Y288</f>
        <v>2.4532373143256034</v>
      </c>
      <c r="U138" s="711">
        <f>Bilans_E_AMS_Kyoto_run3_MTE!Z288</f>
        <v>0.97302157402960043</v>
      </c>
      <c r="V138" s="701"/>
      <c r="W138" s="701"/>
    </row>
    <row r="139" spans="1:23" x14ac:dyDescent="0.25">
      <c r="A139" s="701" t="s">
        <v>502</v>
      </c>
      <c r="B139" s="701"/>
      <c r="C139" s="717" t="s">
        <v>73</v>
      </c>
      <c r="D139" s="711">
        <f>Bilans_E_AMS_Kyoto_run3_MTE!H289</f>
        <v>0</v>
      </c>
      <c r="E139" s="711">
        <f>Bilans_E_AMS_Kyoto_run3_MTE!I289</f>
        <v>0</v>
      </c>
      <c r="F139" s="711">
        <f>Bilans_E_AMS_Kyoto_run3_MTE!J289</f>
        <v>0</v>
      </c>
      <c r="G139" s="711">
        <f>Bilans_E_AMS_Kyoto_run3_MTE!K289</f>
        <v>0</v>
      </c>
      <c r="H139" s="711">
        <f>Bilans_E_AMS_Kyoto_run3_MTE!L289</f>
        <v>0</v>
      </c>
      <c r="I139" s="711">
        <f>Bilans_E_AMS_Kyoto_run3_MTE!M289</f>
        <v>0</v>
      </c>
      <c r="J139" s="711">
        <f>Bilans_E_AMS_Kyoto_run3_MTE!N289</f>
        <v>0</v>
      </c>
      <c r="K139" s="711">
        <f>Bilans_E_AMS_Kyoto_run3_MTE!O289</f>
        <v>0</v>
      </c>
      <c r="L139" s="711">
        <f>Bilans_E_AMS_Kyoto_run3_MTE!P289</f>
        <v>0</v>
      </c>
      <c r="M139" s="711">
        <f>Bilans_E_AMS_Kyoto_run3_MTE!Q289</f>
        <v>0</v>
      </c>
      <c r="N139" s="711">
        <f>Bilans_E_AMS_Kyoto_run3_MTE!R289</f>
        <v>0</v>
      </c>
      <c r="O139" s="711">
        <f>Bilans_E_AMS_Kyoto_run3_MTE!S289</f>
        <v>0</v>
      </c>
      <c r="P139" s="711">
        <f>Bilans_E_AMS_Kyoto_run3_MTE!T289+Bilans_E_AMS_Kyoto_run3_MTE!U289</f>
        <v>0</v>
      </c>
      <c r="Q139" s="711">
        <f>Bilans_E_AMS_Kyoto_run3_MTE!V289</f>
        <v>0</v>
      </c>
      <c r="R139" s="711">
        <f>Bilans_E_AMS_Kyoto_run3_MTE!W289</f>
        <v>18.526359506641338</v>
      </c>
      <c r="S139" s="711">
        <f>Bilans_E_AMS_Kyoto_run3_MTE!X289</f>
        <v>0</v>
      </c>
      <c r="T139" s="711">
        <f>Bilans_E_AMS_Kyoto_run3_MTE!Y289</f>
        <v>-12.042133679316869</v>
      </c>
      <c r="U139" s="711">
        <f>Bilans_E_AMS_Kyoto_run3_MTE!Z289</f>
        <v>6.4842258273244688</v>
      </c>
      <c r="V139" s="701"/>
      <c r="W139" s="701"/>
    </row>
    <row r="140" spans="1:23" x14ac:dyDescent="0.25">
      <c r="A140" s="701" t="s">
        <v>503</v>
      </c>
      <c r="B140" s="701"/>
      <c r="C140" s="717" t="s">
        <v>353</v>
      </c>
      <c r="D140" s="711">
        <f>Bilans_E_AMS_Kyoto_run3_MTE!H290</f>
        <v>15.5082364453125</v>
      </c>
      <c r="E140" s="711">
        <f>Bilans_E_AMS_Kyoto_run3_MTE!I290</f>
        <v>-14.528347507960277</v>
      </c>
      <c r="F140" s="711">
        <f>Bilans_E_AMS_Kyoto_run3_MTE!J290</f>
        <v>19.128276728053308</v>
      </c>
      <c r="G140" s="711">
        <f>Bilans_E_AMS_Kyoto_run3_MTE!K290</f>
        <v>0</v>
      </c>
      <c r="H140" s="711">
        <f>Bilans_E_AMS_Kyoto_run3_MTE!L290</f>
        <v>0</v>
      </c>
      <c r="I140" s="711">
        <f>Bilans_E_AMS_Kyoto_run3_MTE!M290</f>
        <v>0</v>
      </c>
      <c r="J140" s="711">
        <f>Bilans_E_AMS_Kyoto_run3_MTE!N290</f>
        <v>0</v>
      </c>
      <c r="K140" s="711">
        <f>Bilans_E_AMS_Kyoto_run3_MTE!O290</f>
        <v>0</v>
      </c>
      <c r="L140" s="711">
        <f>Bilans_E_AMS_Kyoto_run3_MTE!P290</f>
        <v>0</v>
      </c>
      <c r="M140" s="711">
        <f>Bilans_E_AMS_Kyoto_run3_MTE!Q290</f>
        <v>0</v>
      </c>
      <c r="N140" s="711">
        <f>Bilans_E_AMS_Kyoto_run3_MTE!R290</f>
        <v>0</v>
      </c>
      <c r="O140" s="711">
        <f>Bilans_E_AMS_Kyoto_run3_MTE!S290</f>
        <v>0</v>
      </c>
      <c r="P140" s="711">
        <f>Bilans_E_AMS_Kyoto_run3_MTE!T290+Bilans_E_AMS_Kyoto_run3_MTE!U290</f>
        <v>0</v>
      </c>
      <c r="Q140" s="711">
        <f>Bilans_E_AMS_Kyoto_run3_MTE!V290</f>
        <v>0</v>
      </c>
      <c r="R140" s="711">
        <f>Bilans_E_AMS_Kyoto_run3_MTE!W290</f>
        <v>0</v>
      </c>
      <c r="S140" s="711">
        <f>Bilans_E_AMS_Kyoto_run3_MTE!X290</f>
        <v>0</v>
      </c>
      <c r="T140" s="711">
        <f>Bilans_E_AMS_Kyoto_run3_MTE!Y290</f>
        <v>0</v>
      </c>
      <c r="U140" s="711">
        <f>Bilans_E_AMS_Kyoto_run3_MTE!Z290</f>
        <v>20.108165665405529</v>
      </c>
      <c r="V140" s="701"/>
      <c r="W140" s="701"/>
    </row>
    <row r="141" spans="1:23" x14ac:dyDescent="0.25">
      <c r="A141" s="701" t="s">
        <v>504</v>
      </c>
      <c r="B141" s="701"/>
      <c r="C141" s="717" t="s">
        <v>75</v>
      </c>
      <c r="D141" s="711">
        <f>Bilans_E_AMS_Kyoto_run3_MTE!H291</f>
        <v>6.0309808398437506</v>
      </c>
      <c r="E141" s="711">
        <f>Bilans_E_AMS_Kyoto_run3_MTE!I291</f>
        <v>0</v>
      </c>
      <c r="F141" s="711">
        <f>Bilans_E_AMS_Kyoto_run3_MTE!J291</f>
        <v>14.291538341519651</v>
      </c>
      <c r="G141" s="711">
        <f>Bilans_E_AMS_Kyoto_run3_MTE!K291</f>
        <v>0</v>
      </c>
      <c r="H141" s="711">
        <f>Bilans_E_AMS_Kyoto_run3_MTE!L291</f>
        <v>0.64620824955973954</v>
      </c>
      <c r="I141" s="711">
        <f>Bilans_E_AMS_Kyoto_run3_MTE!M291</f>
        <v>0</v>
      </c>
      <c r="J141" s="711">
        <f>Bilans_E_AMS_Kyoto_run3_MTE!N291</f>
        <v>0</v>
      </c>
      <c r="K141" s="711">
        <f>Bilans_E_AMS_Kyoto_run3_MTE!O291</f>
        <v>0</v>
      </c>
      <c r="L141" s="711">
        <f>Bilans_E_AMS_Kyoto_run3_MTE!P291</f>
        <v>0</v>
      </c>
      <c r="M141" s="711">
        <f>Bilans_E_AMS_Kyoto_run3_MTE!Q291</f>
        <v>0</v>
      </c>
      <c r="N141" s="711">
        <f>Bilans_E_AMS_Kyoto_run3_MTE!R291</f>
        <v>0</v>
      </c>
      <c r="O141" s="711">
        <f>Bilans_E_AMS_Kyoto_run3_MTE!S291</f>
        <v>0.11403674992230699</v>
      </c>
      <c r="P141" s="711">
        <f>Bilans_E_AMS_Kyoto_run3_MTE!T291+Bilans_E_AMS_Kyoto_run3_MTE!U291</f>
        <v>0</v>
      </c>
      <c r="Q141" s="711">
        <f>Bilans_E_AMS_Kyoto_run3_MTE!V291</f>
        <v>0</v>
      </c>
      <c r="R141" s="711">
        <f>Bilans_E_AMS_Kyoto_run3_MTE!W291</f>
        <v>33.092757599701173</v>
      </c>
      <c r="S141" s="711">
        <f>Bilans_E_AMS_Kyoto_run3_MTE!X291</f>
        <v>0</v>
      </c>
      <c r="T141" s="711">
        <f>Bilans_E_AMS_Kyoto_run3_MTE!Y291</f>
        <v>3.3</v>
      </c>
      <c r="U141" s="711">
        <f>Bilans_E_AMS_Kyoto_run3_MTE!Z291</f>
        <v>57.475521780546615</v>
      </c>
      <c r="V141" s="701"/>
      <c r="W141" s="701"/>
    </row>
    <row r="142" spans="1:23" x14ac:dyDescent="0.25">
      <c r="A142" s="701" t="s">
        <v>505</v>
      </c>
      <c r="B142" s="701"/>
      <c r="C142" s="717" t="s">
        <v>76</v>
      </c>
      <c r="D142" s="711">
        <f>Bilans_E_AMS_Kyoto_run3_MTE!H292</f>
        <v>0</v>
      </c>
      <c r="E142" s="711">
        <f>Bilans_E_AMS_Kyoto_run3_MTE!I292</f>
        <v>0</v>
      </c>
      <c r="F142" s="711">
        <f>Bilans_E_AMS_Kyoto_run3_MTE!J292</f>
        <v>0</v>
      </c>
      <c r="G142" s="711">
        <f>Bilans_E_AMS_Kyoto_run3_MTE!K292</f>
        <v>0</v>
      </c>
      <c r="H142" s="711">
        <f>Bilans_E_AMS_Kyoto_run3_MTE!L292</f>
        <v>3.0578662862517128</v>
      </c>
      <c r="I142" s="711">
        <f>Bilans_E_AMS_Kyoto_run3_MTE!M292</f>
        <v>0</v>
      </c>
      <c r="J142" s="711">
        <f>Bilans_E_AMS_Kyoto_run3_MTE!N292</f>
        <v>0</v>
      </c>
      <c r="K142" s="711">
        <f>Bilans_E_AMS_Kyoto_run3_MTE!O292</f>
        <v>0</v>
      </c>
      <c r="L142" s="711">
        <f>Bilans_E_AMS_Kyoto_run3_MTE!P292</f>
        <v>0</v>
      </c>
      <c r="M142" s="711">
        <f>Bilans_E_AMS_Kyoto_run3_MTE!Q292</f>
        <v>0</v>
      </c>
      <c r="N142" s="711">
        <f>Bilans_E_AMS_Kyoto_run3_MTE!R292</f>
        <v>0</v>
      </c>
      <c r="O142" s="711">
        <f>Bilans_E_AMS_Kyoto_run3_MTE!S292</f>
        <v>0.53962346227971403</v>
      </c>
      <c r="P142" s="711">
        <f>Bilans_E_AMS_Kyoto_run3_MTE!T292+Bilans_E_AMS_Kyoto_run3_MTE!U292</f>
        <v>0</v>
      </c>
      <c r="Q142" s="711">
        <f>Bilans_E_AMS_Kyoto_run3_MTE!V292</f>
        <v>0</v>
      </c>
      <c r="R142" s="711">
        <f>Bilans_E_AMS_Kyoto_run3_MTE!W292</f>
        <v>47.37908571808331</v>
      </c>
      <c r="S142" s="711">
        <f>Bilans_E_AMS_Kyoto_run3_MTE!X292</f>
        <v>5.9061205117744695</v>
      </c>
      <c r="T142" s="711">
        <f>Bilans_E_AMS_Kyoto_run3_MTE!Y292</f>
        <v>0</v>
      </c>
      <c r="U142" s="711">
        <f>Bilans_E_AMS_Kyoto_run3_MTE!Z292</f>
        <v>56.882695978389201</v>
      </c>
      <c r="V142" s="701"/>
      <c r="W142" s="701"/>
    </row>
    <row r="143" spans="1:23" x14ac:dyDescent="0.25">
      <c r="A143" s="701" t="s">
        <v>506</v>
      </c>
      <c r="B143" s="701"/>
      <c r="C143" s="713" t="s">
        <v>77</v>
      </c>
      <c r="D143" s="714">
        <f>Bilans_E_AMS_Kyoto_run3_MTE!H293</f>
        <v>21.539217285156251</v>
      </c>
      <c r="E143" s="714">
        <f>Bilans_E_AMS_Kyoto_run3_MTE!I293</f>
        <v>399.0688136252403</v>
      </c>
      <c r="F143" s="714">
        <f>Bilans_E_AMS_Kyoto_run3_MTE!J293</f>
        <v>-375.26273642086448</v>
      </c>
      <c r="G143" s="714">
        <f>Bilans_E_AMS_Kyoto_run3_MTE!K293</f>
        <v>-1.480215740296003</v>
      </c>
      <c r="H143" s="714">
        <f>Bilans_E_AMS_Kyoto_run3_MTE!L293</f>
        <v>62.008325816311682</v>
      </c>
      <c r="I143" s="714">
        <f>Bilans_E_AMS_Kyoto_run3_MTE!M293</f>
        <v>-0.23021574029600303</v>
      </c>
      <c r="J143" s="714">
        <f>Bilans_E_AMS_Kyoto_run3_MTE!N293</f>
        <v>1170.5483636363635</v>
      </c>
      <c r="K143" s="714">
        <f>Bilans_E_AMS_Kyoto_run3_MTE!O293</f>
        <v>211.05320151197157</v>
      </c>
      <c r="L143" s="714">
        <f>Bilans_E_AMS_Kyoto_run3_MTE!P293</f>
        <v>182.26449786241375</v>
      </c>
      <c r="M143" s="714">
        <f>Bilans_E_AMS_Kyoto_run3_MTE!Q293</f>
        <v>40.824982355301664</v>
      </c>
      <c r="N143" s="714">
        <f>Bilans_E_AMS_Kyoto_run3_MTE!R293</f>
        <v>-41.092768978832041</v>
      </c>
      <c r="O143" s="714">
        <f>Bilans_E_AMS_Kyoto_run3_MTE!S293</f>
        <v>-21.990702686716844</v>
      </c>
      <c r="P143" s="714">
        <f>Bilans_E_AMS_Kyoto_run3_MTE!T293+Bilans_E_AMS_Kyoto_run3_MTE!U293</f>
        <v>5.5922659753689832</v>
      </c>
      <c r="Q143" s="714">
        <f>Bilans_E_AMS_Kyoto_run3_MTE!V293</f>
        <v>10.223550533524911</v>
      </c>
      <c r="R143" s="714">
        <f>Bilans_E_AMS_Kyoto_run3_MTE!W293</f>
        <v>-537.49377820174482</v>
      </c>
      <c r="S143" s="714">
        <f>Bilans_E_AMS_Kyoto_run3_MTE!X293</f>
        <v>-70.255314119257562</v>
      </c>
      <c r="T143" s="714">
        <f>Bilans_E_AMS_Kyoto_run3_MTE!Y293</f>
        <v>-5.9691522812468181</v>
      </c>
      <c r="U143" s="714">
        <f>Bilans_E_AMS_Kyoto_run3_MTE!Z293</f>
        <v>1049.3483344323984</v>
      </c>
      <c r="V143" s="701"/>
      <c r="W143" s="701"/>
    </row>
    <row r="144" spans="1:23" x14ac:dyDescent="0.25">
      <c r="A144" s="701"/>
      <c r="B144" s="701"/>
      <c r="C144" s="715"/>
      <c r="D144" s="716"/>
      <c r="E144" s="716"/>
      <c r="F144" s="716"/>
      <c r="G144" s="716"/>
      <c r="H144" s="716"/>
      <c r="I144" s="716"/>
      <c r="J144" s="716"/>
      <c r="K144" s="716"/>
      <c r="L144" s="716"/>
      <c r="M144" s="716"/>
      <c r="N144" s="716"/>
      <c r="O144" s="716"/>
      <c r="P144" s="716">
        <f>Bilans_E_AMS_Kyoto_run3_MTE!T294+Bilans_E_AMS_Kyoto_run3_MTE!U294</f>
        <v>0</v>
      </c>
      <c r="Q144" s="716"/>
      <c r="R144" s="716"/>
      <c r="S144" s="716"/>
      <c r="T144" s="716"/>
      <c r="U144" s="716"/>
      <c r="V144" s="701"/>
      <c r="W144" s="701"/>
    </row>
    <row r="145" spans="1:23" x14ac:dyDescent="0.25">
      <c r="A145" s="701" t="s">
        <v>507</v>
      </c>
      <c r="B145" s="701"/>
      <c r="C145" s="717" t="s">
        <v>78</v>
      </c>
      <c r="D145" s="711">
        <f>Bilans_E_AMS_Kyoto_run3_MTE!H295</f>
        <v>0.92572558593749998</v>
      </c>
      <c r="E145" s="711">
        <f>Bilans_E_AMS_Kyoto_run3_MTE!I295</f>
        <v>0</v>
      </c>
      <c r="F145" s="711">
        <f>Bilans_E_AMS_Kyoto_run3_MTE!J295</f>
        <v>11.411404613984462</v>
      </c>
      <c r="G145" s="711">
        <f>Bilans_E_AMS_Kyoto_run3_MTE!K295</f>
        <v>0</v>
      </c>
      <c r="H145" s="711">
        <f>Bilans_E_AMS_Kyoto_run3_MTE!L295</f>
        <v>66.339251368389611</v>
      </c>
      <c r="I145" s="711">
        <f>Bilans_E_AMS_Kyoto_run3_MTE!M295</f>
        <v>0</v>
      </c>
      <c r="J145" s="711">
        <f>Bilans_E_AMS_Kyoto_run3_MTE!N295</f>
        <v>0</v>
      </c>
      <c r="K145" s="711">
        <f>Bilans_E_AMS_Kyoto_run3_MTE!O295</f>
        <v>0</v>
      </c>
      <c r="L145" s="711">
        <f>Bilans_E_AMS_Kyoto_run3_MTE!P295</f>
        <v>40.443549417210768</v>
      </c>
      <c r="M145" s="711">
        <f>Bilans_E_AMS_Kyoto_run3_MTE!Q295</f>
        <v>10.269254107073522</v>
      </c>
      <c r="N145" s="711">
        <f>Bilans_E_AMS_Kyoto_run3_MTE!R295</f>
        <v>0.94472173154286976</v>
      </c>
      <c r="O145" s="711">
        <f>Bilans_E_AMS_Kyoto_run3_MTE!S295</f>
        <v>11.734293648614692</v>
      </c>
      <c r="P145" s="711">
        <f>Bilans_E_AMS_Kyoto_run3_MTE!T295+Bilans_E_AMS_Kyoto_run3_MTE!U295</f>
        <v>4.88145654296875</v>
      </c>
      <c r="Q145" s="711">
        <f>Bilans_E_AMS_Kyoto_run3_MTE!V295</f>
        <v>5.5791983277925228E-4</v>
      </c>
      <c r="R145" s="711">
        <f>Bilans_E_AMS_Kyoto_run3_MTE!W295</f>
        <v>149.97591807761651</v>
      </c>
      <c r="S145" s="711">
        <f>Bilans_E_AMS_Kyoto_run3_MTE!X295</f>
        <v>19.64973892074547</v>
      </c>
      <c r="T145" s="711">
        <f>Bilans_E_AMS_Kyoto_run3_MTE!Y295</f>
        <v>3.6016970214843749</v>
      </c>
      <c r="U145" s="711">
        <f>Bilans_E_AMS_Kyoto_run3_MTE!Z295</f>
        <v>320.17756895540128</v>
      </c>
      <c r="V145" s="701"/>
      <c r="W145" s="701"/>
    </row>
    <row r="146" spans="1:23" x14ac:dyDescent="0.25">
      <c r="A146" s="701" t="s">
        <v>508</v>
      </c>
      <c r="B146" s="701"/>
      <c r="C146" s="717" t="s">
        <v>79</v>
      </c>
      <c r="D146" s="711">
        <f>Bilans_E_AMS_Kyoto_run3_MTE!H296</f>
        <v>0</v>
      </c>
      <c r="E146" s="711">
        <f>Bilans_E_AMS_Kyoto_run3_MTE!I296</f>
        <v>0</v>
      </c>
      <c r="F146" s="711">
        <f>Bilans_E_AMS_Kyoto_run3_MTE!J296</f>
        <v>327.31240488287597</v>
      </c>
      <c r="G146" s="711">
        <f>Bilans_E_AMS_Kyoto_run3_MTE!K296</f>
        <v>0</v>
      </c>
      <c r="H146" s="711">
        <f>Bilans_E_AMS_Kyoto_run3_MTE!L296</f>
        <v>5.5523505805401721</v>
      </c>
      <c r="I146" s="711">
        <f>Bilans_E_AMS_Kyoto_run3_MTE!M296</f>
        <v>0</v>
      </c>
      <c r="J146" s="711">
        <f>Bilans_E_AMS_Kyoto_run3_MTE!N296</f>
        <v>0</v>
      </c>
      <c r="K146" s="711">
        <f>Bilans_E_AMS_Kyoto_run3_MTE!O296</f>
        <v>0</v>
      </c>
      <c r="L146" s="711">
        <f>Bilans_E_AMS_Kyoto_run3_MTE!P296</f>
        <v>0</v>
      </c>
      <c r="M146" s="711">
        <f>Bilans_E_AMS_Kyoto_run3_MTE!Q296</f>
        <v>0</v>
      </c>
      <c r="N146" s="711">
        <f>Bilans_E_AMS_Kyoto_run3_MTE!R296</f>
        <v>37.003548542473339</v>
      </c>
      <c r="O146" s="711">
        <f>Bilans_E_AMS_Kyoto_run3_MTE!S296</f>
        <v>0.97982657303650089</v>
      </c>
      <c r="P146" s="711">
        <f>Bilans_E_AMS_Kyoto_run3_MTE!T296+Bilans_E_AMS_Kyoto_run3_MTE!U296</f>
        <v>0</v>
      </c>
      <c r="Q146" s="711">
        <f>Bilans_E_AMS_Kyoto_run3_MTE!V296</f>
        <v>0</v>
      </c>
      <c r="R146" s="711">
        <f>Bilans_E_AMS_Kyoto_run3_MTE!W296</f>
        <v>34.37904289575053</v>
      </c>
      <c r="S146" s="711">
        <f>Bilans_E_AMS_Kyoto_run3_MTE!X296</f>
        <v>0</v>
      </c>
      <c r="T146" s="711">
        <f>Bilans_E_AMS_Kyoto_run3_MTE!Y296</f>
        <v>0.97150026084130414</v>
      </c>
      <c r="U146" s="711">
        <f>Bilans_E_AMS_Kyoto_run3_MTE!Z296</f>
        <v>406.19867373551784</v>
      </c>
      <c r="V146" s="701"/>
      <c r="W146" s="701"/>
    </row>
    <row r="147" spans="1:23" x14ac:dyDescent="0.25">
      <c r="A147" s="701" t="s">
        <v>509</v>
      </c>
      <c r="B147" s="701"/>
      <c r="C147" s="717" t="s">
        <v>80</v>
      </c>
      <c r="D147" s="711">
        <f>Bilans_E_AMS_Kyoto_run3_MTE!H297</f>
        <v>0</v>
      </c>
      <c r="E147" s="711">
        <f>Bilans_E_AMS_Kyoto_run3_MTE!I297</f>
        <v>0</v>
      </c>
      <c r="F147" s="711">
        <f>Bilans_E_AMS_Kyoto_run3_MTE!J297</f>
        <v>11.051911751931332</v>
      </c>
      <c r="G147" s="711">
        <f>Bilans_E_AMS_Kyoto_run3_MTE!K297</f>
        <v>0</v>
      </c>
      <c r="H147" s="711">
        <f>Bilans_E_AMS_Kyoto_run3_MTE!L297</f>
        <v>72.334107180080835</v>
      </c>
      <c r="I147" s="711">
        <f>Bilans_E_AMS_Kyoto_run3_MTE!M297</f>
        <v>0</v>
      </c>
      <c r="J147" s="711">
        <f>Bilans_E_AMS_Kyoto_run3_MTE!N297</f>
        <v>0</v>
      </c>
      <c r="K147" s="711">
        <f>Bilans_E_AMS_Kyoto_run3_MTE!O297</f>
        <v>0</v>
      </c>
      <c r="L147" s="711">
        <f>Bilans_E_AMS_Kyoto_run3_MTE!P297</f>
        <v>60.462677002926597</v>
      </c>
      <c r="M147" s="711">
        <f>Bilans_E_AMS_Kyoto_run3_MTE!Q297</f>
        <v>0</v>
      </c>
      <c r="N147" s="711">
        <f>Bilans_E_AMS_Kyoto_run3_MTE!R297</f>
        <v>0</v>
      </c>
      <c r="O147" s="711">
        <f>Bilans_E_AMS_Kyoto_run3_MTE!S297</f>
        <v>12.764842443543676</v>
      </c>
      <c r="P147" s="711">
        <f>Bilans_E_AMS_Kyoto_run3_MTE!T297+Bilans_E_AMS_Kyoto_run3_MTE!U297</f>
        <v>86.174932209680449</v>
      </c>
      <c r="Q147" s="711">
        <f>Bilans_E_AMS_Kyoto_run3_MTE!V297</f>
        <v>6.0227221136395004</v>
      </c>
      <c r="R147" s="711">
        <f>Bilans_E_AMS_Kyoto_run3_MTE!W297</f>
        <v>166.37329866218946</v>
      </c>
      <c r="S147" s="711">
        <f>Bilans_E_AMS_Kyoto_run3_MTE!X297</f>
        <v>28.91573310749396</v>
      </c>
      <c r="T147" s="711">
        <f>Bilans_E_AMS_Kyoto_run3_MTE!Y297</f>
        <v>0</v>
      </c>
      <c r="U147" s="711">
        <f>Bilans_E_AMS_Kyoto_run3_MTE!Z297</f>
        <v>444.10022447148577</v>
      </c>
      <c r="V147" s="701"/>
      <c r="W147" s="701"/>
    </row>
    <row r="148" spans="1:23" x14ac:dyDescent="0.25">
      <c r="A148" s="701" t="s">
        <v>510</v>
      </c>
      <c r="B148" s="701"/>
      <c r="C148" s="717" t="s">
        <v>81</v>
      </c>
      <c r="D148" s="711">
        <f>Bilans_E_AMS_Kyoto_run3_MTE!H298</f>
        <v>0</v>
      </c>
      <c r="E148" s="711">
        <f>Bilans_E_AMS_Kyoto_run3_MTE!I298</f>
        <v>0</v>
      </c>
      <c r="F148" s="711">
        <f>Bilans_E_AMS_Kyoto_run3_MTE!J298</f>
        <v>3.647846365657839</v>
      </c>
      <c r="G148" s="711">
        <f>Bilans_E_AMS_Kyoto_run3_MTE!K298</f>
        <v>0</v>
      </c>
      <c r="H148" s="711">
        <f>Bilans_E_AMS_Kyoto_run3_MTE!L298</f>
        <v>44.827944248312576</v>
      </c>
      <c r="I148" s="711">
        <f>Bilans_E_AMS_Kyoto_run3_MTE!M298</f>
        <v>0</v>
      </c>
      <c r="J148" s="711">
        <f>Bilans_E_AMS_Kyoto_run3_MTE!N298</f>
        <v>0</v>
      </c>
      <c r="K148" s="711">
        <f>Bilans_E_AMS_Kyoto_run3_MTE!O298</f>
        <v>0</v>
      </c>
      <c r="L148" s="711">
        <f>Bilans_E_AMS_Kyoto_run3_MTE!P298</f>
        <v>0.66301904787483434</v>
      </c>
      <c r="M148" s="711">
        <f>Bilans_E_AMS_Kyoto_run3_MTE!Q298</f>
        <v>0</v>
      </c>
      <c r="N148" s="711">
        <f>Bilans_E_AMS_Kyoto_run3_MTE!R298</f>
        <v>0</v>
      </c>
      <c r="O148" s="711">
        <f>Bilans_E_AMS_Kyoto_run3_MTE!S298</f>
        <v>7.9108136908786895</v>
      </c>
      <c r="P148" s="711">
        <f>Bilans_E_AMS_Kyoto_run3_MTE!T298+Bilans_E_AMS_Kyoto_run3_MTE!U298</f>
        <v>32.610726720036368</v>
      </c>
      <c r="Q148" s="711">
        <f>Bilans_E_AMS_Kyoto_run3_MTE!V298</f>
        <v>5.7126687446965985</v>
      </c>
      <c r="R148" s="711">
        <f>Bilans_E_AMS_Kyoto_run3_MTE!W298</f>
        <v>121.98780292325297</v>
      </c>
      <c r="S148" s="711">
        <f>Bilans_E_AMS_Kyoto_run3_MTE!X298</f>
        <v>21.68981250781421</v>
      </c>
      <c r="T148" s="711">
        <f>Bilans_E_AMS_Kyoto_run3_MTE!Y298</f>
        <v>0</v>
      </c>
      <c r="U148" s="711">
        <f>Bilans_E_AMS_Kyoto_run3_MTE!Z298</f>
        <v>239.05063424852409</v>
      </c>
      <c r="V148" s="701"/>
      <c r="W148" s="701"/>
    </row>
    <row r="149" spans="1:23" x14ac:dyDescent="0.25">
      <c r="A149" s="701" t="s">
        <v>511</v>
      </c>
      <c r="B149" s="701"/>
      <c r="C149" s="717" t="s">
        <v>82</v>
      </c>
      <c r="D149" s="711">
        <f>Bilans_E_AMS_Kyoto_run3_MTE!H299</f>
        <v>0</v>
      </c>
      <c r="E149" s="711">
        <f>Bilans_E_AMS_Kyoto_run3_MTE!I299</f>
        <v>0</v>
      </c>
      <c r="F149" s="711">
        <f>Bilans_E_AMS_Kyoto_run3_MTE!J299</f>
        <v>30.726482620518151</v>
      </c>
      <c r="G149" s="711">
        <f>Bilans_E_AMS_Kyoto_run3_MTE!K299</f>
        <v>0</v>
      </c>
      <c r="H149" s="711">
        <f>Bilans_E_AMS_Kyoto_run3_MTE!L299</f>
        <v>1.4667494513017647</v>
      </c>
      <c r="I149" s="711">
        <f>Bilans_E_AMS_Kyoto_run3_MTE!M299</f>
        <v>0</v>
      </c>
      <c r="J149" s="711">
        <f>Bilans_E_AMS_Kyoto_run3_MTE!N299</f>
        <v>0</v>
      </c>
      <c r="K149" s="711">
        <f>Bilans_E_AMS_Kyoto_run3_MTE!O299</f>
        <v>0</v>
      </c>
      <c r="L149" s="711">
        <f>Bilans_E_AMS_Kyoto_run3_MTE!P299</f>
        <v>11.011050824063592</v>
      </c>
      <c r="M149" s="711">
        <f>Bilans_E_AMS_Kyoto_run3_MTE!Q299</f>
        <v>0</v>
      </c>
      <c r="N149" s="711">
        <f>Bilans_E_AMS_Kyoto_run3_MTE!R299</f>
        <v>4.0387192002052101</v>
      </c>
      <c r="O149" s="711">
        <f>Bilans_E_AMS_Kyoto_run3_MTE!S299</f>
        <v>0.2588381384650173</v>
      </c>
      <c r="P149" s="711">
        <f>Bilans_E_AMS_Kyoto_run3_MTE!T299+Bilans_E_AMS_Kyoto_run3_MTE!U299</f>
        <v>0.5</v>
      </c>
      <c r="Q149" s="711">
        <f>Bilans_E_AMS_Kyoto_run3_MTE!V299</f>
        <v>0.62518456969816016</v>
      </c>
      <c r="R149" s="711">
        <f>Bilans_E_AMS_Kyoto_run3_MTE!W299</f>
        <v>7.7729232574275695</v>
      </c>
      <c r="S149" s="711">
        <f>Bilans_E_AMS_Kyoto_run3_MTE!X299</f>
        <v>0</v>
      </c>
      <c r="T149" s="711">
        <f>Bilans_E_AMS_Kyoto_run3_MTE!Y299</f>
        <v>0.17366238047171115</v>
      </c>
      <c r="U149" s="711">
        <f>Bilans_E_AMS_Kyoto_run3_MTE!Z299</f>
        <v>56.573610442151178</v>
      </c>
      <c r="V149" s="701"/>
      <c r="W149" s="701"/>
    </row>
    <row r="150" spans="1:23" x14ac:dyDescent="0.25">
      <c r="A150" s="701" t="s">
        <v>512</v>
      </c>
      <c r="B150" s="701"/>
      <c r="C150" s="717" t="s">
        <v>354</v>
      </c>
      <c r="D150" s="711">
        <f>Bilans_E_AMS_Kyoto_run3_MTE!H300</f>
        <v>0</v>
      </c>
      <c r="E150" s="711">
        <f>Bilans_E_AMS_Kyoto_run3_MTE!I300</f>
        <v>0</v>
      </c>
      <c r="F150" s="711">
        <f>Bilans_E_AMS_Kyoto_run3_MTE!J300</f>
        <v>0</v>
      </c>
      <c r="G150" s="711">
        <f>Bilans_E_AMS_Kyoto_run3_MTE!K300</f>
        <v>0</v>
      </c>
      <c r="H150" s="711">
        <f>Bilans_E_AMS_Kyoto_run3_MTE!L300</f>
        <v>0</v>
      </c>
      <c r="I150" s="711">
        <f>Bilans_E_AMS_Kyoto_run3_MTE!M300</f>
        <v>0</v>
      </c>
      <c r="J150" s="711">
        <f>Bilans_E_AMS_Kyoto_run3_MTE!N300</f>
        <v>0</v>
      </c>
      <c r="K150" s="711">
        <f>Bilans_E_AMS_Kyoto_run3_MTE!O300</f>
        <v>0</v>
      </c>
      <c r="L150" s="711">
        <f>Bilans_E_AMS_Kyoto_run3_MTE!P300</f>
        <v>0</v>
      </c>
      <c r="M150" s="711">
        <f>Bilans_E_AMS_Kyoto_run3_MTE!Q300</f>
        <v>0</v>
      </c>
      <c r="N150" s="711">
        <f>Bilans_E_AMS_Kyoto_run3_MTE!R300</f>
        <v>0</v>
      </c>
      <c r="O150" s="711">
        <f>Bilans_E_AMS_Kyoto_run3_MTE!S300</f>
        <v>0</v>
      </c>
      <c r="P150" s="711">
        <f>Bilans_E_AMS_Kyoto_run3_MTE!T300+Bilans_E_AMS_Kyoto_run3_MTE!U300</f>
        <v>0</v>
      </c>
      <c r="Q150" s="711">
        <f>Bilans_E_AMS_Kyoto_run3_MTE!V300</f>
        <v>0</v>
      </c>
      <c r="R150" s="711">
        <f>Bilans_E_AMS_Kyoto_run3_MTE!W300</f>
        <v>0</v>
      </c>
      <c r="S150" s="711">
        <f>Bilans_E_AMS_Kyoto_run3_MTE!X300</f>
        <v>0</v>
      </c>
      <c r="T150" s="711">
        <f>Bilans_E_AMS_Kyoto_run3_MTE!Y300</f>
        <v>0</v>
      </c>
      <c r="U150" s="711">
        <f>Bilans_E_AMS_Kyoto_run3_MTE!Z300</f>
        <v>0</v>
      </c>
      <c r="V150" s="701"/>
      <c r="W150" s="701"/>
    </row>
    <row r="151" spans="1:23" x14ac:dyDescent="0.25">
      <c r="A151" s="701" t="s">
        <v>513</v>
      </c>
      <c r="B151" s="701"/>
      <c r="C151" s="713" t="s">
        <v>83</v>
      </c>
      <c r="D151" s="714">
        <f>Bilans_E_AMS_Kyoto_run3_MTE!H301</f>
        <v>0.92572558593749998</v>
      </c>
      <c r="E151" s="714">
        <f>Bilans_E_AMS_Kyoto_run3_MTE!I301</f>
        <v>0</v>
      </c>
      <c r="F151" s="714">
        <f>Bilans_E_AMS_Kyoto_run3_MTE!J301</f>
        <v>384.15005023496775</v>
      </c>
      <c r="G151" s="714">
        <f>Bilans_E_AMS_Kyoto_run3_MTE!K301</f>
        <v>0</v>
      </c>
      <c r="H151" s="714">
        <f>Bilans_E_AMS_Kyoto_run3_MTE!L301</f>
        <v>190.52040282862495</v>
      </c>
      <c r="I151" s="714">
        <f>Bilans_E_AMS_Kyoto_run3_MTE!M301</f>
        <v>0</v>
      </c>
      <c r="J151" s="714">
        <f>Bilans_E_AMS_Kyoto_run3_MTE!N301</f>
        <v>0</v>
      </c>
      <c r="K151" s="714">
        <f>Bilans_E_AMS_Kyoto_run3_MTE!O301</f>
        <v>0</v>
      </c>
      <c r="L151" s="714">
        <f>Bilans_E_AMS_Kyoto_run3_MTE!P301</f>
        <v>112.58029629207579</v>
      </c>
      <c r="M151" s="714">
        <f>Bilans_E_AMS_Kyoto_run3_MTE!Q301</f>
        <v>10.269254107073522</v>
      </c>
      <c r="N151" s="714">
        <f>Bilans_E_AMS_Kyoto_run3_MTE!R301</f>
        <v>41.986989474221417</v>
      </c>
      <c r="O151" s="714">
        <f>Bilans_E_AMS_Kyoto_run3_MTE!S301</f>
        <v>33.648614494538577</v>
      </c>
      <c r="P151" s="714">
        <f>Bilans_E_AMS_Kyoto_run3_MTE!T301+Bilans_E_AMS_Kyoto_run3_MTE!U301</f>
        <v>124.16711547268557</v>
      </c>
      <c r="Q151" s="714">
        <f>Bilans_E_AMS_Kyoto_run3_MTE!V301</f>
        <v>12.361133347867039</v>
      </c>
      <c r="R151" s="714">
        <f>Bilans_E_AMS_Kyoto_run3_MTE!W301</f>
        <v>480.488985816237</v>
      </c>
      <c r="S151" s="714">
        <f>Bilans_E_AMS_Kyoto_run3_MTE!X301</f>
        <v>70.255284536053637</v>
      </c>
      <c r="T151" s="714">
        <f>Bilans_E_AMS_Kyoto_run3_MTE!Y301</f>
        <v>4.74685966279739</v>
      </c>
      <c r="U151" s="714">
        <f>Bilans_E_AMS_Kyoto_run3_MTE!Z301</f>
        <v>1466.1007118530802</v>
      </c>
      <c r="V151" s="701"/>
      <c r="W151" s="701"/>
    </row>
    <row r="152" spans="1:23" x14ac:dyDescent="0.25">
      <c r="A152" s="701" t="s">
        <v>514</v>
      </c>
      <c r="B152" s="701"/>
      <c r="C152" s="710" t="s">
        <v>84</v>
      </c>
      <c r="D152" s="711">
        <f>Bilans_E_AMS_Kyoto_run3_MTE!H302</f>
        <v>0</v>
      </c>
      <c r="E152" s="711">
        <f>Bilans_E_AMS_Kyoto_run3_MTE!I302</f>
        <v>0</v>
      </c>
      <c r="F152" s="711">
        <f>Bilans_E_AMS_Kyoto_run3_MTE!J302</f>
        <v>115.2369297376637</v>
      </c>
      <c r="G152" s="711">
        <f>Bilans_E_AMS_Kyoto_run3_MTE!K302</f>
        <v>0</v>
      </c>
      <c r="H152" s="711">
        <f>Bilans_E_AMS_Kyoto_run3_MTE!L302</f>
        <v>13.537810909623058</v>
      </c>
      <c r="I152" s="711">
        <f>Bilans_E_AMS_Kyoto_run3_MTE!M302</f>
        <v>0</v>
      </c>
      <c r="J152" s="711">
        <f>Bilans_E_AMS_Kyoto_run3_MTE!N302</f>
        <v>0</v>
      </c>
      <c r="K152" s="711">
        <f>Bilans_E_AMS_Kyoto_run3_MTE!O302</f>
        <v>0</v>
      </c>
      <c r="L152" s="711">
        <f>Bilans_E_AMS_Kyoto_run3_MTE!P302</f>
        <v>0.11913963756098579</v>
      </c>
      <c r="M152" s="711">
        <f>Bilans_E_AMS_Kyoto_run3_MTE!Q302</f>
        <v>0</v>
      </c>
      <c r="N152" s="711">
        <f>Bilans_E_AMS_Kyoto_run3_MTE!R302</f>
        <v>0.21009810940790719</v>
      </c>
      <c r="O152" s="711">
        <f>Bilans_E_AMS_Kyoto_run3_MTE!S302</f>
        <v>0</v>
      </c>
      <c r="P152" s="711">
        <f>Bilans_E_AMS_Kyoto_run3_MTE!T302+Bilans_E_AMS_Kyoto_run3_MTE!U302</f>
        <v>0</v>
      </c>
      <c r="Q152" s="711">
        <f>Bilans_E_AMS_Kyoto_run3_MTE!V302</f>
        <v>0</v>
      </c>
      <c r="R152" s="711">
        <f>Bilans_E_AMS_Kyoto_run3_MTE!W302</f>
        <v>0</v>
      </c>
      <c r="S152" s="711">
        <f>Bilans_E_AMS_Kyoto_run3_MTE!X302</f>
        <v>0</v>
      </c>
      <c r="T152" s="711">
        <f>Bilans_E_AMS_Kyoto_run3_MTE!Y302</f>
        <v>1.1371080780029297</v>
      </c>
      <c r="U152" s="711">
        <f>Bilans_E_AMS_Kyoto_run3_MTE!Z302</f>
        <v>130.24108647225859</v>
      </c>
      <c r="V152" s="701"/>
      <c r="W152" s="701"/>
    </row>
    <row r="153" spans="1:23" x14ac:dyDescent="0.25">
      <c r="A153" s="701" t="s">
        <v>515</v>
      </c>
      <c r="B153" s="701"/>
      <c r="C153" s="713" t="s">
        <v>85</v>
      </c>
      <c r="D153" s="714">
        <f>Bilans_E_AMS_Kyoto_run3_MTE!H303</f>
        <v>0.92572558593749998</v>
      </c>
      <c r="E153" s="714">
        <f>Bilans_E_AMS_Kyoto_run3_MTE!I303</f>
        <v>0</v>
      </c>
      <c r="F153" s="714">
        <f>Bilans_E_AMS_Kyoto_run3_MTE!J303</f>
        <v>499.38697997263148</v>
      </c>
      <c r="G153" s="714">
        <f>Bilans_E_AMS_Kyoto_run3_MTE!K303</f>
        <v>0</v>
      </c>
      <c r="H153" s="714">
        <f>Bilans_E_AMS_Kyoto_run3_MTE!L303</f>
        <v>204.05821373824801</v>
      </c>
      <c r="I153" s="714">
        <f>Bilans_E_AMS_Kyoto_run3_MTE!M303</f>
        <v>0</v>
      </c>
      <c r="J153" s="714">
        <f>Bilans_E_AMS_Kyoto_run3_MTE!N303</f>
        <v>0</v>
      </c>
      <c r="K153" s="714">
        <f>Bilans_E_AMS_Kyoto_run3_MTE!O303</f>
        <v>0</v>
      </c>
      <c r="L153" s="714">
        <f>Bilans_E_AMS_Kyoto_run3_MTE!P303</f>
        <v>112.69943592963678</v>
      </c>
      <c r="M153" s="714">
        <f>Bilans_E_AMS_Kyoto_run3_MTE!Q303</f>
        <v>10.269254107073522</v>
      </c>
      <c r="N153" s="714">
        <f>Bilans_E_AMS_Kyoto_run3_MTE!R303</f>
        <v>42.197087583629326</v>
      </c>
      <c r="O153" s="714">
        <f>Bilans_E_AMS_Kyoto_run3_MTE!S303</f>
        <v>33.648614494538577</v>
      </c>
      <c r="P153" s="714">
        <f>Bilans_E_AMS_Kyoto_run3_MTE!T303+Bilans_E_AMS_Kyoto_run3_MTE!U303</f>
        <v>124.16711547268557</v>
      </c>
      <c r="Q153" s="714">
        <f>Bilans_E_AMS_Kyoto_run3_MTE!V303</f>
        <v>12.361133347867039</v>
      </c>
      <c r="R153" s="714">
        <f>Bilans_E_AMS_Kyoto_run3_MTE!W303</f>
        <v>480.488985816237</v>
      </c>
      <c r="S153" s="714">
        <f>Bilans_E_AMS_Kyoto_run3_MTE!X303</f>
        <v>70.255284536053637</v>
      </c>
      <c r="T153" s="714">
        <f>Bilans_E_AMS_Kyoto_run3_MTE!Y303</f>
        <v>5.8839677408003199</v>
      </c>
      <c r="U153" s="714">
        <f>Bilans_E_AMS_Kyoto_run3_MTE!Z303</f>
        <v>1596.3417983253387</v>
      </c>
      <c r="V153" s="701"/>
      <c r="W153" s="701"/>
    </row>
    <row r="154" spans="1:23" x14ac:dyDescent="0.25">
      <c r="A154" s="701"/>
      <c r="B154" s="701"/>
      <c r="C154" s="701"/>
      <c r="D154" s="701">
        <f>Bilans_E_AMS_Kyoto_run3_MTE!H304</f>
        <v>0</v>
      </c>
      <c r="E154" s="701">
        <f>Bilans_E_AMS_Kyoto_run3_MTE!I304</f>
        <v>0</v>
      </c>
      <c r="F154" s="701">
        <f>Bilans_E_AMS_Kyoto_run3_MTE!J304</f>
        <v>1.1368683772161603E-13</v>
      </c>
      <c r="G154" s="701">
        <f>Bilans_E_AMS_Kyoto_run3_MTE!K304</f>
        <v>0</v>
      </c>
      <c r="H154" s="701">
        <f>Bilans_E_AMS_Kyoto_run3_MTE!L304</f>
        <v>0</v>
      </c>
      <c r="I154" s="701">
        <f>Bilans_E_AMS_Kyoto_run3_MTE!M304</f>
        <v>0</v>
      </c>
      <c r="J154" s="701">
        <f>Bilans_E_AMS_Kyoto_run3_MTE!N304</f>
        <v>0</v>
      </c>
      <c r="K154" s="701">
        <f>Bilans_E_AMS_Kyoto_run3_MTE!O304</f>
        <v>0</v>
      </c>
      <c r="L154" s="701">
        <f>Bilans_E_AMS_Kyoto_run3_MTE!P304</f>
        <v>0</v>
      </c>
      <c r="M154" s="701">
        <f>Bilans_E_AMS_Kyoto_run3_MTE!Q304</f>
        <v>0</v>
      </c>
      <c r="N154" s="701">
        <f>Bilans_E_AMS_Kyoto_run3_MTE!R304</f>
        <v>0</v>
      </c>
      <c r="O154" s="701">
        <f>Bilans_E_AMS_Kyoto_run3_MTE!S304</f>
        <v>0</v>
      </c>
      <c r="P154" s="701">
        <f>Bilans_E_AMS_Kyoto_run3_MTE!T304+Bilans_E_AMS_Kyoto_run3_MTE!U304</f>
        <v>0</v>
      </c>
      <c r="Q154" s="701">
        <f>Bilans_E_AMS_Kyoto_run3_MTE!V304</f>
        <v>0</v>
      </c>
      <c r="R154" s="701">
        <f>Bilans_E_AMS_Kyoto_run3_MTE!W304</f>
        <v>-1.1368683772161603E-13</v>
      </c>
      <c r="S154" s="701">
        <f>Bilans_E_AMS_Kyoto_run3_MTE!X304</f>
        <v>-2.9583203925653834E-5</v>
      </c>
      <c r="T154" s="701">
        <f>Bilans_E_AMS_Kyoto_run3_MTE!Y304</f>
        <v>-1.0963452368173421E-15</v>
      </c>
      <c r="U154" s="701">
        <f>Bilans_E_AMS_Kyoto_run3_MTE!Z304</f>
        <v>-2.9583203740912722E-5</v>
      </c>
      <c r="V154" s="701"/>
      <c r="W154" s="701"/>
    </row>
    <row r="155" spans="1:23" x14ac:dyDescent="0.25">
      <c r="A155" s="701"/>
      <c r="B155" s="701"/>
      <c r="C155" s="701"/>
      <c r="D155" s="701"/>
      <c r="E155" s="701"/>
      <c r="F155" s="701"/>
      <c r="G155" s="701"/>
      <c r="H155" s="701"/>
      <c r="I155" s="701"/>
      <c r="J155" s="701"/>
      <c r="K155" s="701"/>
      <c r="L155" s="701"/>
      <c r="M155" s="701"/>
      <c r="N155" s="701"/>
      <c r="O155" s="701"/>
      <c r="P155" s="701"/>
      <c r="Q155" s="701"/>
      <c r="R155" s="701"/>
      <c r="S155" s="701"/>
      <c r="T155" s="701"/>
      <c r="U155" s="701"/>
      <c r="V155" s="701"/>
      <c r="W155" s="701"/>
    </row>
    <row r="156" spans="1:23" x14ac:dyDescent="0.25">
      <c r="A156" s="707"/>
      <c r="B156" s="707"/>
      <c r="C156" s="708" t="s">
        <v>357</v>
      </c>
      <c r="D156" s="707"/>
      <c r="E156" s="707"/>
      <c r="F156" s="707"/>
      <c r="G156" s="707"/>
      <c r="H156" s="707"/>
      <c r="I156" s="707"/>
      <c r="J156" s="707"/>
      <c r="K156" s="707"/>
      <c r="L156" s="707"/>
      <c r="M156" s="707"/>
      <c r="N156" s="707"/>
      <c r="O156" s="707"/>
      <c r="P156" s="707"/>
      <c r="Q156" s="707"/>
      <c r="R156" s="707"/>
      <c r="S156" s="707"/>
      <c r="T156" s="707"/>
      <c r="U156" s="707"/>
      <c r="V156" s="707"/>
      <c r="W156" s="707"/>
    </row>
    <row r="157" spans="1:23" x14ac:dyDescent="0.25">
      <c r="A157" s="701"/>
      <c r="B157" s="701"/>
      <c r="C157" s="701"/>
      <c r="D157" s="701"/>
      <c r="E157" s="701"/>
      <c r="F157" s="701"/>
      <c r="G157" s="701"/>
      <c r="H157" s="701"/>
      <c r="I157" s="701"/>
      <c r="J157" s="701"/>
      <c r="K157" s="701"/>
      <c r="L157" s="701"/>
      <c r="M157" s="701"/>
      <c r="N157" s="701"/>
      <c r="O157" s="701"/>
      <c r="P157" s="701"/>
      <c r="Q157" s="701"/>
      <c r="R157" s="701"/>
      <c r="S157" s="701"/>
      <c r="T157" s="701"/>
      <c r="U157" s="701"/>
      <c r="V157" s="701"/>
      <c r="W157" s="701"/>
    </row>
    <row r="158" spans="1:23" x14ac:dyDescent="0.25">
      <c r="A158" s="701"/>
      <c r="B158" s="701"/>
      <c r="C158" s="780" t="s">
        <v>128</v>
      </c>
      <c r="D158" s="775" t="s">
        <v>42</v>
      </c>
      <c r="E158" s="775" t="s">
        <v>52</v>
      </c>
      <c r="F158" s="775" t="s">
        <v>53</v>
      </c>
      <c r="G158" s="775" t="s">
        <v>482</v>
      </c>
      <c r="H158" s="775" t="s">
        <v>32</v>
      </c>
      <c r="I158" s="775" t="s">
        <v>483</v>
      </c>
      <c r="J158" s="775" t="s">
        <v>20</v>
      </c>
      <c r="K158" s="775" t="s">
        <v>55</v>
      </c>
      <c r="L158" s="777" t="s">
        <v>56</v>
      </c>
      <c r="M158" s="778"/>
      <c r="N158" s="778"/>
      <c r="O158" s="778"/>
      <c r="P158" s="778"/>
      <c r="Q158" s="779"/>
      <c r="R158" s="775" t="s">
        <v>57</v>
      </c>
      <c r="S158" s="775" t="s">
        <v>58</v>
      </c>
      <c r="T158" s="775" t="s">
        <v>31</v>
      </c>
      <c r="U158" s="775" t="s">
        <v>10</v>
      </c>
      <c r="V158" s="701"/>
      <c r="W158" s="701"/>
    </row>
    <row r="159" spans="1:23" ht="67.5" x14ac:dyDescent="0.25">
      <c r="A159" s="701" t="s">
        <v>486</v>
      </c>
      <c r="B159" s="701"/>
      <c r="C159" s="781"/>
      <c r="D159" s="776"/>
      <c r="E159" s="776"/>
      <c r="F159" s="776"/>
      <c r="G159" s="776"/>
      <c r="H159" s="776"/>
      <c r="I159" s="776"/>
      <c r="J159" s="776"/>
      <c r="K159" s="776"/>
      <c r="L159" s="709" t="s">
        <v>335</v>
      </c>
      <c r="M159" s="709" t="s">
        <v>40</v>
      </c>
      <c r="N159" s="709" t="s">
        <v>343</v>
      </c>
      <c r="O159" s="709" t="s">
        <v>344</v>
      </c>
      <c r="P159" s="719" t="s">
        <v>610</v>
      </c>
      <c r="Q159" s="709" t="s">
        <v>346</v>
      </c>
      <c r="R159" s="776"/>
      <c r="S159" s="776"/>
      <c r="T159" s="776"/>
      <c r="U159" s="776"/>
      <c r="V159" s="701"/>
      <c r="W159" s="701"/>
    </row>
    <row r="160" spans="1:23" x14ac:dyDescent="0.25">
      <c r="A160" s="701" t="s">
        <v>487</v>
      </c>
      <c r="B160" s="701"/>
      <c r="C160" s="710" t="s">
        <v>59</v>
      </c>
      <c r="D160" s="711">
        <f>Bilans_E_AMS_Kyoto_run3_MTE!H310</f>
        <v>0</v>
      </c>
      <c r="E160" s="711">
        <f>Bilans_E_AMS_Kyoto_run3_MTE!I310</f>
        <v>6.6756200000000003</v>
      </c>
      <c r="F160" s="711">
        <f>Bilans_E_AMS_Kyoto_run3_MTE!J310</f>
        <v>0</v>
      </c>
      <c r="G160" s="711">
        <f>Bilans_E_AMS_Kyoto_run3_MTE!K310</f>
        <v>0</v>
      </c>
      <c r="H160" s="711">
        <f>Bilans_E_AMS_Kyoto_run3_MTE!L310</f>
        <v>0.13839700000000002</v>
      </c>
      <c r="I160" s="711">
        <f>Bilans_E_AMS_Kyoto_run3_MTE!M310</f>
        <v>0</v>
      </c>
      <c r="J160" s="711">
        <f>Bilans_E_AMS_Kyoto_run3_MTE!N310</f>
        <v>1165.8657454545453</v>
      </c>
      <c r="K160" s="711">
        <f>Bilans_E_AMS_Kyoto_run3_MTE!O310</f>
        <v>264.18035739757391</v>
      </c>
      <c r="L160" s="711">
        <f>Bilans_E_AMS_Kyoto_run3_MTE!P310</f>
        <v>307.7744422597346</v>
      </c>
      <c r="M160" s="711">
        <f>Bilans_E_AMS_Kyoto_run3_MTE!Q310</f>
        <v>51.405271738220549</v>
      </c>
      <c r="N160" s="711">
        <f>Bilans_E_AMS_Kyoto_run3_MTE!R310</f>
        <v>0</v>
      </c>
      <c r="O160" s="711">
        <f>Bilans_E_AMS_Kyoto_run3_MTE!S310</f>
        <v>0</v>
      </c>
      <c r="P160" s="711">
        <f>Bilans_E_AMS_Kyoto_run3_MTE!T310+Bilans_E_AMS_Kyoto_run3_MTE!U310</f>
        <v>151.46298386421165</v>
      </c>
      <c r="Q160" s="711">
        <f>Bilans_E_AMS_Kyoto_run3_MTE!V310</f>
        <v>29.323733806781338</v>
      </c>
      <c r="R160" s="711">
        <f>Bilans_E_AMS_Kyoto_run3_MTE!W310</f>
        <v>0</v>
      </c>
      <c r="S160" s="711">
        <f>Bilans_E_AMS_Kyoto_run3_MTE!X310</f>
        <v>0</v>
      </c>
      <c r="T160" s="711">
        <f>Bilans_E_AMS_Kyoto_run3_MTE!Y310</f>
        <v>0</v>
      </c>
      <c r="U160" s="711">
        <f>Bilans_E_AMS_Kyoto_run3_MTE!Z310</f>
        <v>1976.8265515210674</v>
      </c>
      <c r="V160" s="701"/>
      <c r="W160" s="701"/>
    </row>
    <row r="161" spans="1:23" x14ac:dyDescent="0.25">
      <c r="A161" s="701" t="s">
        <v>488</v>
      </c>
      <c r="B161" s="701"/>
      <c r="C161" s="710" t="s">
        <v>60</v>
      </c>
      <c r="D161" s="712">
        <f>Bilans_E_AMS_Kyoto_run3_MTE!H311</f>
        <v>16.733972167968751</v>
      </c>
      <c r="E161" s="712">
        <f>Bilans_E_AMS_Kyoto_run3_MTE!I311</f>
        <v>341.17156490138257</v>
      </c>
      <c r="F161" s="712">
        <f>Bilans_E_AMS_Kyoto_run3_MTE!J311</f>
        <v>153.01857569335476</v>
      </c>
      <c r="G161" s="712">
        <f>Bilans_E_AMS_Kyoto_run3_MTE!K311</f>
        <v>1.5907003975249192</v>
      </c>
      <c r="H161" s="712">
        <f>Bilans_E_AMS_Kyoto_run3_MTE!L311</f>
        <v>229.24655706350896</v>
      </c>
      <c r="I161" s="712">
        <f>Bilans_E_AMS_Kyoto_run3_MTE!M311</f>
        <v>0</v>
      </c>
      <c r="J161" s="712">
        <f>Bilans_E_AMS_Kyoto_run3_MTE!N311</f>
        <v>0</v>
      </c>
      <c r="K161" s="712">
        <f>Bilans_E_AMS_Kyoto_run3_MTE!O311</f>
        <v>0</v>
      </c>
      <c r="L161" s="712">
        <f>Bilans_E_AMS_Kyoto_run3_MTE!P311</f>
        <v>2.5625656464325743</v>
      </c>
      <c r="M161" s="712">
        <f>Bilans_E_AMS_Kyoto_run3_MTE!Q311</f>
        <v>0</v>
      </c>
      <c r="N161" s="712">
        <f>Bilans_E_AMS_Kyoto_run3_MTE!R311</f>
        <v>11.177777544289128</v>
      </c>
      <c r="O161" s="712">
        <f>Bilans_E_AMS_Kyoto_run3_MTE!S311</f>
        <v>5.1524616534363687</v>
      </c>
      <c r="P161" s="712">
        <f>Bilans_E_AMS_Kyoto_run3_MTE!T311+Bilans_E_AMS_Kyoto_run3_MTE!U311</f>
        <v>0</v>
      </c>
      <c r="Q161" s="712">
        <f>Bilans_E_AMS_Kyoto_run3_MTE!V311</f>
        <v>0</v>
      </c>
      <c r="R161" s="712">
        <f>Bilans_E_AMS_Kyoto_run3_MTE!W311</f>
        <v>0</v>
      </c>
      <c r="S161" s="712">
        <f>Bilans_E_AMS_Kyoto_run3_MTE!X311</f>
        <v>0</v>
      </c>
      <c r="T161" s="712">
        <f>Bilans_E_AMS_Kyoto_run3_MTE!Y311</f>
        <v>0</v>
      </c>
      <c r="U161" s="712">
        <f>Bilans_E_AMS_Kyoto_run3_MTE!Z311</f>
        <v>760.65417506789811</v>
      </c>
      <c r="V161" s="701"/>
      <c r="W161" s="701"/>
    </row>
    <row r="162" spans="1:23" x14ac:dyDescent="0.25">
      <c r="A162" s="701" t="s">
        <v>489</v>
      </c>
      <c r="B162" s="701"/>
      <c r="C162" s="710" t="s">
        <v>61</v>
      </c>
      <c r="D162" s="712">
        <f>Bilans_E_AMS_Kyoto_run3_MTE!H312</f>
        <v>0</v>
      </c>
      <c r="E162" s="712">
        <f>Bilans_E_AMS_Kyoto_run3_MTE!I312</f>
        <v>0</v>
      </c>
      <c r="F162" s="712">
        <f>Bilans_E_AMS_Kyoto_run3_MTE!J312</f>
        <v>0</v>
      </c>
      <c r="G162" s="712">
        <f>Bilans_E_AMS_Kyoto_run3_MTE!K312</f>
        <v>0</v>
      </c>
      <c r="H162" s="712">
        <f>Bilans_E_AMS_Kyoto_run3_MTE!L312</f>
        <v>0</v>
      </c>
      <c r="I162" s="712">
        <f>Bilans_E_AMS_Kyoto_run3_MTE!M312</f>
        <v>0</v>
      </c>
      <c r="J162" s="712">
        <f>Bilans_E_AMS_Kyoto_run3_MTE!N312</f>
        <v>0</v>
      </c>
      <c r="K162" s="712">
        <f>Bilans_E_AMS_Kyoto_run3_MTE!O312</f>
        <v>0</v>
      </c>
      <c r="L162" s="712">
        <f>Bilans_E_AMS_Kyoto_run3_MTE!P312</f>
        <v>0</v>
      </c>
      <c r="M162" s="712">
        <f>Bilans_E_AMS_Kyoto_run3_MTE!Q312</f>
        <v>0</v>
      </c>
      <c r="N162" s="712">
        <f>Bilans_E_AMS_Kyoto_run3_MTE!R312</f>
        <v>0</v>
      </c>
      <c r="O162" s="712">
        <f>Bilans_E_AMS_Kyoto_run3_MTE!S312</f>
        <v>0</v>
      </c>
      <c r="P162" s="712">
        <f>Bilans_E_AMS_Kyoto_run3_MTE!T312+Bilans_E_AMS_Kyoto_run3_MTE!U312</f>
        <v>0</v>
      </c>
      <c r="Q162" s="712">
        <f>Bilans_E_AMS_Kyoto_run3_MTE!V312</f>
        <v>0</v>
      </c>
      <c r="R162" s="712">
        <f>Bilans_E_AMS_Kyoto_run3_MTE!W312</f>
        <v>-83.337259091529631</v>
      </c>
      <c r="S162" s="712">
        <f>Bilans_E_AMS_Kyoto_run3_MTE!X312</f>
        <v>0</v>
      </c>
      <c r="T162" s="712">
        <f>Bilans_E_AMS_Kyoto_run3_MTE!Y312</f>
        <v>0</v>
      </c>
      <c r="U162" s="712">
        <f>Bilans_E_AMS_Kyoto_run3_MTE!Z312</f>
        <v>-83.337259091529631</v>
      </c>
      <c r="V162" s="701"/>
      <c r="W162" s="701"/>
    </row>
    <row r="163" spans="1:23" x14ac:dyDescent="0.25">
      <c r="A163" s="701" t="s">
        <v>490</v>
      </c>
      <c r="B163" s="701"/>
      <c r="C163" s="710" t="s">
        <v>62</v>
      </c>
      <c r="D163" s="711">
        <f>Bilans_E_AMS_Kyoto_run3_MTE!H313</f>
        <v>0</v>
      </c>
      <c r="E163" s="711">
        <f>Bilans_E_AMS_Kyoto_run3_MTE!I313</f>
        <v>0</v>
      </c>
      <c r="F163" s="711">
        <f>Bilans_E_AMS_Kyoto_run3_MTE!J313</f>
        <v>-7.8555551160476131</v>
      </c>
      <c r="G163" s="711">
        <f>Bilans_E_AMS_Kyoto_run3_MTE!K313</f>
        <v>-0.3373161064337088</v>
      </c>
      <c r="H163" s="711">
        <f>Bilans_E_AMS_Kyoto_run3_MTE!L313</f>
        <v>-0.96725165809085023</v>
      </c>
      <c r="I163" s="711">
        <f>Bilans_E_AMS_Kyoto_run3_MTE!M313</f>
        <v>-0.4644109471147348</v>
      </c>
      <c r="J163" s="711">
        <f>Bilans_E_AMS_Kyoto_run3_MTE!N313</f>
        <v>0</v>
      </c>
      <c r="K163" s="711">
        <f>Bilans_E_AMS_Kyoto_run3_MTE!O313</f>
        <v>0</v>
      </c>
      <c r="L163" s="711">
        <f>Bilans_E_AMS_Kyoto_run3_MTE!P313</f>
        <v>0</v>
      </c>
      <c r="M163" s="711">
        <f>Bilans_E_AMS_Kyoto_run3_MTE!Q313</f>
        <v>0</v>
      </c>
      <c r="N163" s="711">
        <f>Bilans_E_AMS_Kyoto_run3_MTE!R313</f>
        <v>0</v>
      </c>
      <c r="O163" s="711">
        <f>Bilans_E_AMS_Kyoto_run3_MTE!S313</f>
        <v>-0.87837701634115894</v>
      </c>
      <c r="P163" s="711">
        <f>Bilans_E_AMS_Kyoto_run3_MTE!T313+Bilans_E_AMS_Kyoto_run3_MTE!U313</f>
        <v>0</v>
      </c>
      <c r="Q163" s="711">
        <f>Bilans_E_AMS_Kyoto_run3_MTE!V313</f>
        <v>0</v>
      </c>
      <c r="R163" s="711">
        <f>Bilans_E_AMS_Kyoto_run3_MTE!W313</f>
        <v>0</v>
      </c>
      <c r="S163" s="711">
        <f>Bilans_E_AMS_Kyoto_run3_MTE!X313</f>
        <v>0</v>
      </c>
      <c r="T163" s="711">
        <f>Bilans_E_AMS_Kyoto_run3_MTE!Y313</f>
        <v>-0.26185876214866849</v>
      </c>
      <c r="U163" s="711">
        <f>Bilans_E_AMS_Kyoto_run3_MTE!Z313</f>
        <v>-10.764769606176733</v>
      </c>
      <c r="V163" s="701"/>
      <c r="W163" s="701"/>
    </row>
    <row r="164" spans="1:23" x14ac:dyDescent="0.25">
      <c r="A164" s="701" t="s">
        <v>491</v>
      </c>
      <c r="B164" s="701"/>
      <c r="C164" s="710" t="s">
        <v>63</v>
      </c>
      <c r="D164" s="711">
        <f>Bilans_E_AMS_Kyoto_run3_MTE!H314</f>
        <v>0</v>
      </c>
      <c r="E164" s="711">
        <f>Bilans_E_AMS_Kyoto_run3_MTE!I314</f>
        <v>0</v>
      </c>
      <c r="F164" s="711">
        <f>Bilans_E_AMS_Kyoto_run3_MTE!J314</f>
        <v>-61.6</v>
      </c>
      <c r="G164" s="711">
        <f>Bilans_E_AMS_Kyoto_run3_MTE!K314</f>
        <v>-2.8</v>
      </c>
      <c r="H164" s="711">
        <f>Bilans_E_AMS_Kyoto_run3_MTE!L314</f>
        <v>0</v>
      </c>
      <c r="I164" s="711">
        <f>Bilans_E_AMS_Kyoto_run3_MTE!M314</f>
        <v>0</v>
      </c>
      <c r="J164" s="711">
        <f>Bilans_E_AMS_Kyoto_run3_MTE!N314</f>
        <v>0</v>
      </c>
      <c r="K164" s="711">
        <f>Bilans_E_AMS_Kyoto_run3_MTE!O314</f>
        <v>0</v>
      </c>
      <c r="L164" s="711">
        <f>Bilans_E_AMS_Kyoto_run3_MTE!P314</f>
        <v>0</v>
      </c>
      <c r="M164" s="711">
        <f>Bilans_E_AMS_Kyoto_run3_MTE!Q314</f>
        <v>0</v>
      </c>
      <c r="N164" s="711">
        <f>Bilans_E_AMS_Kyoto_run3_MTE!R314</f>
        <v>-8.1999999999999993</v>
      </c>
      <c r="O164" s="711">
        <f>Bilans_E_AMS_Kyoto_run3_MTE!S314</f>
        <v>0</v>
      </c>
      <c r="P164" s="711">
        <f>Bilans_E_AMS_Kyoto_run3_MTE!T314+Bilans_E_AMS_Kyoto_run3_MTE!U314</f>
        <v>0</v>
      </c>
      <c r="Q164" s="711">
        <f>Bilans_E_AMS_Kyoto_run3_MTE!V314</f>
        <v>0</v>
      </c>
      <c r="R164" s="711">
        <f>Bilans_E_AMS_Kyoto_run3_MTE!W314</f>
        <v>0</v>
      </c>
      <c r="S164" s="711">
        <f>Bilans_E_AMS_Kyoto_run3_MTE!X314</f>
        <v>0</v>
      </c>
      <c r="T164" s="711">
        <f>Bilans_E_AMS_Kyoto_run3_MTE!Y314</f>
        <v>-0.6</v>
      </c>
      <c r="U164" s="711">
        <f>Bilans_E_AMS_Kyoto_run3_MTE!Z314</f>
        <v>-73.2</v>
      </c>
      <c r="V164" s="701"/>
      <c r="W164" s="701"/>
    </row>
    <row r="165" spans="1:23" x14ac:dyDescent="0.25">
      <c r="A165" s="701" t="s">
        <v>492</v>
      </c>
      <c r="B165" s="701"/>
      <c r="C165" s="710" t="s">
        <v>64</v>
      </c>
      <c r="D165" s="712">
        <f>Bilans_E_AMS_Kyoto_run3_MTE!H315</f>
        <v>0</v>
      </c>
      <c r="E165" s="712">
        <f>Bilans_E_AMS_Kyoto_run3_MTE!I315</f>
        <v>0</v>
      </c>
      <c r="F165" s="712">
        <f>Bilans_E_AMS_Kyoto_run3_MTE!J315</f>
        <v>0</v>
      </c>
      <c r="G165" s="712">
        <f>Bilans_E_AMS_Kyoto_run3_MTE!K315</f>
        <v>0</v>
      </c>
      <c r="H165" s="712">
        <f>Bilans_E_AMS_Kyoto_run3_MTE!L315</f>
        <v>0</v>
      </c>
      <c r="I165" s="712">
        <f>Bilans_E_AMS_Kyoto_run3_MTE!M315</f>
        <v>0</v>
      </c>
      <c r="J165" s="712">
        <f>Bilans_E_AMS_Kyoto_run3_MTE!N315</f>
        <v>0</v>
      </c>
      <c r="K165" s="712">
        <f>Bilans_E_AMS_Kyoto_run3_MTE!O315</f>
        <v>0</v>
      </c>
      <c r="L165" s="712">
        <f>Bilans_E_AMS_Kyoto_run3_MTE!P315</f>
        <v>0</v>
      </c>
      <c r="M165" s="712">
        <f>Bilans_E_AMS_Kyoto_run3_MTE!Q315</f>
        <v>0</v>
      </c>
      <c r="N165" s="712">
        <f>Bilans_E_AMS_Kyoto_run3_MTE!R315</f>
        <v>0</v>
      </c>
      <c r="O165" s="712">
        <f>Bilans_E_AMS_Kyoto_run3_MTE!S315</f>
        <v>0</v>
      </c>
      <c r="P165" s="712">
        <f>Bilans_E_AMS_Kyoto_run3_MTE!T315+Bilans_E_AMS_Kyoto_run3_MTE!U315</f>
        <v>0</v>
      </c>
      <c r="Q165" s="712">
        <f>Bilans_E_AMS_Kyoto_run3_MTE!V315</f>
        <v>0</v>
      </c>
      <c r="R165" s="712">
        <f>Bilans_E_AMS_Kyoto_run3_MTE!W315</f>
        <v>0</v>
      </c>
      <c r="S165" s="712">
        <f>Bilans_E_AMS_Kyoto_run3_MTE!X315</f>
        <v>0</v>
      </c>
      <c r="T165" s="712">
        <f>Bilans_E_AMS_Kyoto_run3_MTE!Y315</f>
        <v>0</v>
      </c>
      <c r="U165" s="712">
        <f>Bilans_E_AMS_Kyoto_run3_MTE!Z315</f>
        <v>0</v>
      </c>
      <c r="V165" s="701"/>
      <c r="W165" s="701"/>
    </row>
    <row r="166" spans="1:23" x14ac:dyDescent="0.25">
      <c r="A166" s="701" t="s">
        <v>493</v>
      </c>
      <c r="B166" s="701"/>
      <c r="C166" s="713" t="s">
        <v>65</v>
      </c>
      <c r="D166" s="714">
        <f>Bilans_E_AMS_Kyoto_run3_MTE!H316</f>
        <v>16.733972167968751</v>
      </c>
      <c r="E166" s="714">
        <f>Bilans_E_AMS_Kyoto_run3_MTE!I316</f>
        <v>347.84718490138255</v>
      </c>
      <c r="F166" s="714">
        <f>Bilans_E_AMS_Kyoto_run3_MTE!J316</f>
        <v>83.563020577307157</v>
      </c>
      <c r="G166" s="714">
        <f>Bilans_E_AMS_Kyoto_run3_MTE!K316</f>
        <v>-1.5466157089087895</v>
      </c>
      <c r="H166" s="714">
        <f>Bilans_E_AMS_Kyoto_run3_MTE!L316</f>
        <v>228.41770240541811</v>
      </c>
      <c r="I166" s="714">
        <f>Bilans_E_AMS_Kyoto_run3_MTE!M316</f>
        <v>-0.4644109471147348</v>
      </c>
      <c r="J166" s="714">
        <f>Bilans_E_AMS_Kyoto_run3_MTE!N316</f>
        <v>1165.8657454545453</v>
      </c>
      <c r="K166" s="714">
        <f>Bilans_E_AMS_Kyoto_run3_MTE!O316</f>
        <v>264.18035739757391</v>
      </c>
      <c r="L166" s="714">
        <f>Bilans_E_AMS_Kyoto_run3_MTE!P316</f>
        <v>310.33700790616717</v>
      </c>
      <c r="M166" s="714">
        <f>Bilans_E_AMS_Kyoto_run3_MTE!Q316</f>
        <v>51.405271738220549</v>
      </c>
      <c r="N166" s="714">
        <f>Bilans_E_AMS_Kyoto_run3_MTE!R316</f>
        <v>2.977777544289129</v>
      </c>
      <c r="O166" s="714">
        <f>Bilans_E_AMS_Kyoto_run3_MTE!S316</f>
        <v>4.2740846370952097</v>
      </c>
      <c r="P166" s="714">
        <f>Bilans_E_AMS_Kyoto_run3_MTE!T316+Bilans_E_AMS_Kyoto_run3_MTE!U316</f>
        <v>151.46298386421165</v>
      </c>
      <c r="Q166" s="714">
        <f>Bilans_E_AMS_Kyoto_run3_MTE!V316</f>
        <v>29.323733806781338</v>
      </c>
      <c r="R166" s="714">
        <f>Bilans_E_AMS_Kyoto_run3_MTE!W316</f>
        <v>-83.337259091529631</v>
      </c>
      <c r="S166" s="714">
        <f>Bilans_E_AMS_Kyoto_run3_MTE!X316</f>
        <v>0</v>
      </c>
      <c r="T166" s="714">
        <f>Bilans_E_AMS_Kyoto_run3_MTE!Y316</f>
        <v>-0.86185876214866841</v>
      </c>
      <c r="U166" s="714">
        <f>Bilans_E_AMS_Kyoto_run3_MTE!Z316</f>
        <v>2570.1786978912592</v>
      </c>
      <c r="V166" s="701"/>
      <c r="W166" s="701"/>
    </row>
    <row r="167" spans="1:23" x14ac:dyDescent="0.25">
      <c r="A167" s="701"/>
      <c r="B167" s="701"/>
      <c r="C167" s="715"/>
      <c r="D167" s="716"/>
      <c r="E167" s="716"/>
      <c r="F167" s="716"/>
      <c r="G167" s="716"/>
      <c r="H167" s="716"/>
      <c r="I167" s="716"/>
      <c r="J167" s="716"/>
      <c r="K167" s="716"/>
      <c r="L167" s="716"/>
      <c r="M167" s="716"/>
      <c r="N167" s="716"/>
      <c r="O167" s="716"/>
      <c r="P167" s="716">
        <f>Bilans_E_AMS_Kyoto_run3_MTE!T317+Bilans_E_AMS_Kyoto_run3_MTE!U317</f>
        <v>0</v>
      </c>
      <c r="Q167" s="716"/>
      <c r="R167" s="716"/>
      <c r="S167" s="716"/>
      <c r="T167" s="716"/>
      <c r="U167" s="716"/>
      <c r="V167" s="701"/>
      <c r="W167" s="701"/>
    </row>
    <row r="168" spans="1:23" x14ac:dyDescent="0.25">
      <c r="A168" s="701" t="s">
        <v>494</v>
      </c>
      <c r="B168" s="701"/>
      <c r="C168" s="717" t="s">
        <v>67</v>
      </c>
      <c r="D168" s="711">
        <f>Bilans_E_AMS_Kyoto_run3_MTE!H318</f>
        <v>0</v>
      </c>
      <c r="E168" s="711">
        <f>Bilans_E_AMS_Kyoto_run3_MTE!I318</f>
        <v>0</v>
      </c>
      <c r="F168" s="711">
        <f>Bilans_E_AMS_Kyoto_run3_MTE!J318</f>
        <v>0</v>
      </c>
      <c r="G168" s="711">
        <f>Bilans_E_AMS_Kyoto_run3_MTE!K318</f>
        <v>0</v>
      </c>
      <c r="H168" s="711">
        <f>Bilans_E_AMS_Kyoto_run3_MTE!L318</f>
        <v>0</v>
      </c>
      <c r="I168" s="711">
        <f>Bilans_E_AMS_Kyoto_run3_MTE!M318</f>
        <v>0</v>
      </c>
      <c r="J168" s="711">
        <f>Bilans_E_AMS_Kyoto_run3_MTE!N318</f>
        <v>0</v>
      </c>
      <c r="K168" s="711">
        <f>Bilans_E_AMS_Kyoto_run3_MTE!O318</f>
        <v>0</v>
      </c>
      <c r="L168" s="711">
        <f>Bilans_E_AMS_Kyoto_run3_MTE!P318</f>
        <v>0</v>
      </c>
      <c r="M168" s="711">
        <f>Bilans_E_AMS_Kyoto_run3_MTE!Q318</f>
        <v>0</v>
      </c>
      <c r="N168" s="711">
        <f>Bilans_E_AMS_Kyoto_run3_MTE!R318</f>
        <v>0</v>
      </c>
      <c r="O168" s="711">
        <f>Bilans_E_AMS_Kyoto_run3_MTE!S318</f>
        <v>0</v>
      </c>
      <c r="P168" s="711">
        <f>Bilans_E_AMS_Kyoto_run3_MTE!T318+Bilans_E_AMS_Kyoto_run3_MTE!U318</f>
        <v>0</v>
      </c>
      <c r="Q168" s="711">
        <f>Bilans_E_AMS_Kyoto_run3_MTE!V318</f>
        <v>0</v>
      </c>
      <c r="R168" s="711">
        <f>Bilans_E_AMS_Kyoto_run3_MTE!W318</f>
        <v>0</v>
      </c>
      <c r="S168" s="711">
        <f>Bilans_E_AMS_Kyoto_run3_MTE!X318</f>
        <v>0</v>
      </c>
      <c r="T168" s="711">
        <f>Bilans_E_AMS_Kyoto_run3_MTE!Y318</f>
        <v>0</v>
      </c>
      <c r="U168" s="711">
        <f>Bilans_E_AMS_Kyoto_run3_MTE!Z318</f>
        <v>0</v>
      </c>
      <c r="V168" s="701"/>
      <c r="W168" s="701"/>
    </row>
    <row r="169" spans="1:23" x14ac:dyDescent="0.25">
      <c r="A169" s="701" t="s">
        <v>495</v>
      </c>
      <c r="B169" s="701"/>
      <c r="C169" s="717" t="s">
        <v>347</v>
      </c>
      <c r="D169" s="711">
        <f>Bilans_E_AMS_Kyoto_run3_MTE!H319</f>
        <v>0</v>
      </c>
      <c r="E169" s="711">
        <f>Bilans_E_AMS_Kyoto_run3_MTE!I319</f>
        <v>0</v>
      </c>
      <c r="F169" s="711">
        <f>Bilans_E_AMS_Kyoto_run3_MTE!J319</f>
        <v>0.79278558393774012</v>
      </c>
      <c r="G169" s="711">
        <f>Bilans_E_AMS_Kyoto_run3_MTE!K319</f>
        <v>0</v>
      </c>
      <c r="H169" s="711">
        <f>Bilans_E_AMS_Kyoto_run3_MTE!L319</f>
        <v>30.18998354898655</v>
      </c>
      <c r="I169" s="711">
        <f>Bilans_E_AMS_Kyoto_run3_MTE!M319</f>
        <v>0</v>
      </c>
      <c r="J169" s="711">
        <f>Bilans_E_AMS_Kyoto_run3_MTE!N319</f>
        <v>1165.8657454545453</v>
      </c>
      <c r="K169" s="711">
        <f>Bilans_E_AMS_Kyoto_run3_MTE!O319</f>
        <v>264.18035739757391</v>
      </c>
      <c r="L169" s="711">
        <f>Bilans_E_AMS_Kyoto_run3_MTE!P319</f>
        <v>15.154623225490525</v>
      </c>
      <c r="M169" s="711">
        <f>Bilans_E_AMS_Kyoto_run3_MTE!Q319</f>
        <v>6.1000995181555853</v>
      </c>
      <c r="N169" s="711">
        <f>Bilans_E_AMS_Kyoto_run3_MTE!R319</f>
        <v>4.7819832265678626</v>
      </c>
      <c r="O169" s="711">
        <f>Bilans_E_AMS_Kyoto_run3_MTE!S319</f>
        <v>9.8298837124563363</v>
      </c>
      <c r="P169" s="711">
        <f>Bilans_E_AMS_Kyoto_run3_MTE!T319+Bilans_E_AMS_Kyoto_run3_MTE!U319</f>
        <v>0</v>
      </c>
      <c r="Q169" s="711">
        <f>Bilans_E_AMS_Kyoto_run3_MTE!V319</f>
        <v>1.6766395861963883</v>
      </c>
      <c r="R169" s="711">
        <f>Bilans_E_AMS_Kyoto_run3_MTE!W319</f>
        <v>-685.02208017428939</v>
      </c>
      <c r="S169" s="711">
        <f>Bilans_E_AMS_Kyoto_run3_MTE!X319</f>
        <v>0</v>
      </c>
      <c r="T169" s="711">
        <f>Bilans_E_AMS_Kyoto_run3_MTE!Y319</f>
        <v>0</v>
      </c>
      <c r="U169" s="711">
        <f>Bilans_E_AMS_Kyoto_run3_MTE!Z319</f>
        <v>813.55002107962082</v>
      </c>
      <c r="V169" s="701"/>
      <c r="W169" s="701"/>
    </row>
    <row r="170" spans="1:23" x14ac:dyDescent="0.25">
      <c r="A170" s="701" t="s">
        <v>496</v>
      </c>
      <c r="B170" s="701"/>
      <c r="C170" s="717" t="s">
        <v>348</v>
      </c>
      <c r="D170" s="711">
        <f>Bilans_E_AMS_Kyoto_run3_MTE!H320</f>
        <v>0</v>
      </c>
      <c r="E170" s="711">
        <f>Bilans_E_AMS_Kyoto_run3_MTE!I320</f>
        <v>0</v>
      </c>
      <c r="F170" s="711">
        <f>Bilans_E_AMS_Kyoto_run3_MTE!J320</f>
        <v>0</v>
      </c>
      <c r="G170" s="711">
        <f>Bilans_E_AMS_Kyoto_run3_MTE!K320</f>
        <v>0</v>
      </c>
      <c r="H170" s="711">
        <f>Bilans_E_AMS_Kyoto_run3_MTE!L320</f>
        <v>21.478521490079181</v>
      </c>
      <c r="I170" s="711">
        <f>Bilans_E_AMS_Kyoto_run3_MTE!M320</f>
        <v>0</v>
      </c>
      <c r="J170" s="711">
        <f>Bilans_E_AMS_Kyoto_run3_MTE!N320</f>
        <v>0</v>
      </c>
      <c r="K170" s="711">
        <f>Bilans_E_AMS_Kyoto_run3_MTE!O320</f>
        <v>0</v>
      </c>
      <c r="L170" s="711">
        <f>Bilans_E_AMS_Kyoto_run3_MTE!P320</f>
        <v>25.278971287489433</v>
      </c>
      <c r="M170" s="711">
        <f>Bilans_E_AMS_Kyoto_run3_MTE!Q320</f>
        <v>17.945678264512264</v>
      </c>
      <c r="N170" s="711">
        <f>Bilans_E_AMS_Kyoto_run3_MTE!R320</f>
        <v>0</v>
      </c>
      <c r="O170" s="711">
        <f>Bilans_E_AMS_Kyoto_run3_MTE!S320</f>
        <v>6.0065134029812235</v>
      </c>
      <c r="P170" s="711">
        <f>Bilans_E_AMS_Kyoto_run3_MTE!T320+Bilans_E_AMS_Kyoto_run3_MTE!U320</f>
        <v>10.417559156149544</v>
      </c>
      <c r="Q170" s="711">
        <f>Bilans_E_AMS_Kyoto_run3_MTE!V320</f>
        <v>12.465752150616991</v>
      </c>
      <c r="R170" s="711">
        <f>Bilans_E_AMS_Kyoto_run3_MTE!W320</f>
        <v>0</v>
      </c>
      <c r="S170" s="711">
        <f>Bilans_E_AMS_Kyoto_run3_MTE!X320</f>
        <v>-84.590071614239946</v>
      </c>
      <c r="T170" s="711">
        <f>Bilans_E_AMS_Kyoto_run3_MTE!Y320</f>
        <v>0</v>
      </c>
      <c r="U170" s="711">
        <f>Bilans_E_AMS_Kyoto_run3_MTE!Z320</f>
        <v>9.0029241375887068</v>
      </c>
      <c r="V170" s="701"/>
      <c r="W170" s="701"/>
    </row>
    <row r="171" spans="1:23" x14ac:dyDescent="0.25">
      <c r="A171" s="701" t="s">
        <v>497</v>
      </c>
      <c r="B171" s="701"/>
      <c r="C171" s="717" t="s">
        <v>349</v>
      </c>
      <c r="D171" s="711">
        <f>Bilans_E_AMS_Kyoto_run3_MTE!H321</f>
        <v>0</v>
      </c>
      <c r="E171" s="711">
        <f>Bilans_E_AMS_Kyoto_run3_MTE!I321</f>
        <v>0</v>
      </c>
      <c r="F171" s="711">
        <f>Bilans_E_AMS_Kyoto_run3_MTE!J321</f>
        <v>0</v>
      </c>
      <c r="G171" s="711">
        <f>Bilans_E_AMS_Kyoto_run3_MTE!K321</f>
        <v>0</v>
      </c>
      <c r="H171" s="711">
        <f>Bilans_E_AMS_Kyoto_run3_MTE!L321</f>
        <v>0</v>
      </c>
      <c r="I171" s="711">
        <f>Bilans_E_AMS_Kyoto_run3_MTE!M321</f>
        <v>0</v>
      </c>
      <c r="J171" s="711">
        <f>Bilans_E_AMS_Kyoto_run3_MTE!N321</f>
        <v>0</v>
      </c>
      <c r="K171" s="711">
        <f>Bilans_E_AMS_Kyoto_run3_MTE!O321</f>
        <v>0</v>
      </c>
      <c r="L171" s="711">
        <f>Bilans_E_AMS_Kyoto_run3_MTE!P321</f>
        <v>84.566495903586969</v>
      </c>
      <c r="M171" s="711">
        <f>Bilans_E_AMS_Kyoto_run3_MTE!Q321</f>
        <v>10.27121917361311</v>
      </c>
      <c r="N171" s="711">
        <f>Bilans_E_AMS_Kyoto_run3_MTE!R321</f>
        <v>0</v>
      </c>
      <c r="O171" s="711">
        <f>Bilans_E_AMS_Kyoto_run3_MTE!S321</f>
        <v>-47.494303640463748</v>
      </c>
      <c r="P171" s="711">
        <f>Bilans_E_AMS_Kyoto_run3_MTE!T321+Bilans_E_AMS_Kyoto_run3_MTE!U321</f>
        <v>0</v>
      </c>
      <c r="Q171" s="711">
        <f>Bilans_E_AMS_Kyoto_run3_MTE!V321</f>
        <v>0</v>
      </c>
      <c r="R171" s="711">
        <f>Bilans_E_AMS_Kyoto_run3_MTE!W321</f>
        <v>0</v>
      </c>
      <c r="S171" s="711">
        <f>Bilans_E_AMS_Kyoto_run3_MTE!X321</f>
        <v>0</v>
      </c>
      <c r="T171" s="711">
        <f>Bilans_E_AMS_Kyoto_run3_MTE!Y321</f>
        <v>0</v>
      </c>
      <c r="U171" s="711">
        <f>Bilans_E_AMS_Kyoto_run3_MTE!Z321</f>
        <v>47.343411436736325</v>
      </c>
      <c r="V171" s="701"/>
      <c r="W171" s="701"/>
    </row>
    <row r="172" spans="1:23" x14ac:dyDescent="0.25">
      <c r="A172" s="701" t="s">
        <v>498</v>
      </c>
      <c r="B172" s="701"/>
      <c r="C172" s="717" t="s">
        <v>350</v>
      </c>
      <c r="D172" s="711">
        <f>Bilans_E_AMS_Kyoto_run3_MTE!H322</f>
        <v>0</v>
      </c>
      <c r="E172" s="711">
        <f>Bilans_E_AMS_Kyoto_run3_MTE!I322</f>
        <v>0</v>
      </c>
      <c r="F172" s="711">
        <f>Bilans_E_AMS_Kyoto_run3_MTE!J322</f>
        <v>0</v>
      </c>
      <c r="G172" s="711">
        <f>Bilans_E_AMS_Kyoto_run3_MTE!K322</f>
        <v>0</v>
      </c>
      <c r="H172" s="711">
        <f>Bilans_E_AMS_Kyoto_run3_MTE!L322</f>
        <v>0</v>
      </c>
      <c r="I172" s="711">
        <f>Bilans_E_AMS_Kyoto_run3_MTE!M322</f>
        <v>-0.4644109471147348</v>
      </c>
      <c r="J172" s="711">
        <f>Bilans_E_AMS_Kyoto_run3_MTE!N322</f>
        <v>0</v>
      </c>
      <c r="K172" s="711">
        <f>Bilans_E_AMS_Kyoto_run3_MTE!O322</f>
        <v>0</v>
      </c>
      <c r="L172" s="711">
        <f>Bilans_E_AMS_Kyoto_run3_MTE!P322</f>
        <v>0</v>
      </c>
      <c r="M172" s="711">
        <f>Bilans_E_AMS_Kyoto_run3_MTE!Q322</f>
        <v>0</v>
      </c>
      <c r="N172" s="711">
        <f>Bilans_E_AMS_Kyoto_run3_MTE!R322</f>
        <v>0</v>
      </c>
      <c r="O172" s="711">
        <f>Bilans_E_AMS_Kyoto_run3_MTE!S322</f>
        <v>0</v>
      </c>
      <c r="P172" s="711">
        <f>Bilans_E_AMS_Kyoto_run3_MTE!T322+Bilans_E_AMS_Kyoto_run3_MTE!U322</f>
        <v>0</v>
      </c>
      <c r="Q172" s="711">
        <f>Bilans_E_AMS_Kyoto_run3_MTE!V322</f>
        <v>0</v>
      </c>
      <c r="R172" s="711">
        <f>Bilans_E_AMS_Kyoto_run3_MTE!W322</f>
        <v>0</v>
      </c>
      <c r="S172" s="711">
        <f>Bilans_E_AMS_Kyoto_run3_MTE!X322</f>
        <v>0</v>
      </c>
      <c r="T172" s="711">
        <f>Bilans_E_AMS_Kyoto_run3_MTE!Y322</f>
        <v>0.64501520432602055</v>
      </c>
      <c r="U172" s="711">
        <f>Bilans_E_AMS_Kyoto_run3_MTE!Z322</f>
        <v>0.18060425721128576</v>
      </c>
      <c r="V172" s="701"/>
      <c r="W172" s="701"/>
    </row>
    <row r="173" spans="1:23" x14ac:dyDescent="0.25">
      <c r="A173" s="701" t="s">
        <v>499</v>
      </c>
      <c r="B173" s="701"/>
      <c r="C173" s="717" t="s">
        <v>72</v>
      </c>
      <c r="D173" s="711">
        <f>Bilans_E_AMS_Kyoto_run3_MTE!H323</f>
        <v>0</v>
      </c>
      <c r="E173" s="711">
        <f>Bilans_E_AMS_Kyoto_run3_MTE!I323</f>
        <v>360.49746740112505</v>
      </c>
      <c r="F173" s="711">
        <f>Bilans_E_AMS_Kyoto_run3_MTE!J323</f>
        <v>-356.89249272711379</v>
      </c>
      <c r="G173" s="711">
        <f>Bilans_E_AMS_Kyoto_run3_MTE!K323</f>
        <v>0</v>
      </c>
      <c r="H173" s="711">
        <f>Bilans_E_AMS_Kyoto_run3_MTE!L323</f>
        <v>0</v>
      </c>
      <c r="I173" s="711">
        <f>Bilans_E_AMS_Kyoto_run3_MTE!M323</f>
        <v>0</v>
      </c>
      <c r="J173" s="711">
        <f>Bilans_E_AMS_Kyoto_run3_MTE!N323</f>
        <v>0</v>
      </c>
      <c r="K173" s="711">
        <f>Bilans_E_AMS_Kyoto_run3_MTE!O323</f>
        <v>0</v>
      </c>
      <c r="L173" s="711">
        <f>Bilans_E_AMS_Kyoto_run3_MTE!P323</f>
        <v>0</v>
      </c>
      <c r="M173" s="711">
        <f>Bilans_E_AMS_Kyoto_run3_MTE!Q323</f>
        <v>0</v>
      </c>
      <c r="N173" s="711">
        <f>Bilans_E_AMS_Kyoto_run3_MTE!R323</f>
        <v>0</v>
      </c>
      <c r="O173" s="711">
        <f>Bilans_E_AMS_Kyoto_run3_MTE!S323</f>
        <v>0</v>
      </c>
      <c r="P173" s="711">
        <f>Bilans_E_AMS_Kyoto_run3_MTE!T323+Bilans_E_AMS_Kyoto_run3_MTE!U323</f>
        <v>0</v>
      </c>
      <c r="Q173" s="711">
        <f>Bilans_E_AMS_Kyoto_run3_MTE!V323</f>
        <v>0</v>
      </c>
      <c r="R173" s="711">
        <f>Bilans_E_AMS_Kyoto_run3_MTE!W323</f>
        <v>0</v>
      </c>
      <c r="S173" s="711">
        <f>Bilans_E_AMS_Kyoto_run3_MTE!X323</f>
        <v>0</v>
      </c>
      <c r="T173" s="711">
        <f>Bilans_E_AMS_Kyoto_run3_MTE!Y323</f>
        <v>0</v>
      </c>
      <c r="U173" s="711">
        <f>Bilans_E_AMS_Kyoto_run3_MTE!Z323</f>
        <v>3.6049746740112596</v>
      </c>
      <c r="V173" s="701"/>
      <c r="W173" s="701"/>
    </row>
    <row r="174" spans="1:23" x14ac:dyDescent="0.25">
      <c r="A174" s="701" t="s">
        <v>500</v>
      </c>
      <c r="B174" s="701"/>
      <c r="C174" s="717" t="s">
        <v>351</v>
      </c>
      <c r="D174" s="711">
        <f>Bilans_E_AMS_Kyoto_run3_MTE!H324</f>
        <v>0</v>
      </c>
      <c r="E174" s="711">
        <f>Bilans_E_AMS_Kyoto_run3_MTE!I324</f>
        <v>0</v>
      </c>
      <c r="F174" s="711">
        <f>Bilans_E_AMS_Kyoto_run3_MTE!J324</f>
        <v>0</v>
      </c>
      <c r="G174" s="711">
        <f>Bilans_E_AMS_Kyoto_run3_MTE!K324</f>
        <v>0</v>
      </c>
      <c r="H174" s="711">
        <f>Bilans_E_AMS_Kyoto_run3_MTE!L324</f>
        <v>0</v>
      </c>
      <c r="I174" s="711">
        <f>Bilans_E_AMS_Kyoto_run3_MTE!M324</f>
        <v>0</v>
      </c>
      <c r="J174" s="711">
        <f>Bilans_E_AMS_Kyoto_run3_MTE!N324</f>
        <v>0</v>
      </c>
      <c r="K174" s="711">
        <f>Bilans_E_AMS_Kyoto_run3_MTE!O324</f>
        <v>0</v>
      </c>
      <c r="L174" s="711">
        <f>Bilans_E_AMS_Kyoto_run3_MTE!P324</f>
        <v>79.688188573831496</v>
      </c>
      <c r="M174" s="711">
        <f>Bilans_E_AMS_Kyoto_run3_MTE!Q324</f>
        <v>7.2727272727272725</v>
      </c>
      <c r="N174" s="711">
        <f>Bilans_E_AMS_Kyoto_run3_MTE!R324</f>
        <v>-48.502301880066618</v>
      </c>
      <c r="O174" s="711">
        <f>Bilans_E_AMS_Kyoto_run3_MTE!S324</f>
        <v>0</v>
      </c>
      <c r="P174" s="711">
        <f>Bilans_E_AMS_Kyoto_run3_MTE!T324+Bilans_E_AMS_Kyoto_run3_MTE!U324</f>
        <v>0</v>
      </c>
      <c r="Q174" s="711">
        <f>Bilans_E_AMS_Kyoto_run3_MTE!V324</f>
        <v>0</v>
      </c>
      <c r="R174" s="711">
        <f>Bilans_E_AMS_Kyoto_run3_MTE!W324</f>
        <v>0</v>
      </c>
      <c r="S174" s="711">
        <f>Bilans_E_AMS_Kyoto_run3_MTE!X324</f>
        <v>0</v>
      </c>
      <c r="T174" s="711">
        <f>Bilans_E_AMS_Kyoto_run3_MTE!Y324</f>
        <v>0</v>
      </c>
      <c r="U174" s="711">
        <f>Bilans_E_AMS_Kyoto_run3_MTE!Z324</f>
        <v>38.458613966492145</v>
      </c>
      <c r="V174" s="701"/>
      <c r="W174" s="701"/>
    </row>
    <row r="175" spans="1:23" x14ac:dyDescent="0.25">
      <c r="A175" s="701" t="s">
        <v>501</v>
      </c>
      <c r="B175" s="701"/>
      <c r="C175" s="717" t="s">
        <v>352</v>
      </c>
      <c r="D175" s="711">
        <f>Bilans_E_AMS_Kyoto_run3_MTE!H325</f>
        <v>0</v>
      </c>
      <c r="E175" s="711">
        <f>Bilans_E_AMS_Kyoto_run3_MTE!I325</f>
        <v>0</v>
      </c>
      <c r="F175" s="711">
        <f>Bilans_E_AMS_Kyoto_run3_MTE!J325</f>
        <v>0</v>
      </c>
      <c r="G175" s="711">
        <f>Bilans_E_AMS_Kyoto_run3_MTE!K325</f>
        <v>-2.3373161064337085</v>
      </c>
      <c r="H175" s="711">
        <f>Bilans_E_AMS_Kyoto_run3_MTE!L325</f>
        <v>0</v>
      </c>
      <c r="I175" s="711">
        <f>Bilans_E_AMS_Kyoto_run3_MTE!M325</f>
        <v>0</v>
      </c>
      <c r="J175" s="711">
        <f>Bilans_E_AMS_Kyoto_run3_MTE!N325</f>
        <v>0</v>
      </c>
      <c r="K175" s="711">
        <f>Bilans_E_AMS_Kyoto_run3_MTE!O325</f>
        <v>0</v>
      </c>
      <c r="L175" s="711">
        <f>Bilans_E_AMS_Kyoto_run3_MTE!P325</f>
        <v>0</v>
      </c>
      <c r="M175" s="711">
        <f>Bilans_E_AMS_Kyoto_run3_MTE!Q325</f>
        <v>0</v>
      </c>
      <c r="N175" s="711">
        <f>Bilans_E_AMS_Kyoto_run3_MTE!R325</f>
        <v>0</v>
      </c>
      <c r="O175" s="711">
        <f>Bilans_E_AMS_Kyoto_run3_MTE!S325</f>
        <v>0</v>
      </c>
      <c r="P175" s="711">
        <f>Bilans_E_AMS_Kyoto_run3_MTE!T325+Bilans_E_AMS_Kyoto_run3_MTE!U325</f>
        <v>0</v>
      </c>
      <c r="Q175" s="711">
        <f>Bilans_E_AMS_Kyoto_run3_MTE!V325</f>
        <v>0</v>
      </c>
      <c r="R175" s="711">
        <f>Bilans_E_AMS_Kyoto_run3_MTE!W325</f>
        <v>0</v>
      </c>
      <c r="S175" s="711">
        <f>Bilans_E_AMS_Kyoto_run3_MTE!X325</f>
        <v>0</v>
      </c>
      <c r="T175" s="711">
        <f>Bilans_E_AMS_Kyoto_run3_MTE!Y325</f>
        <v>3.8910477170770799</v>
      </c>
      <c r="U175" s="711">
        <f>Bilans_E_AMS_Kyoto_run3_MTE!Z325</f>
        <v>1.5537316106433714</v>
      </c>
      <c r="V175" s="701"/>
      <c r="W175" s="701"/>
    </row>
    <row r="176" spans="1:23" x14ac:dyDescent="0.25">
      <c r="A176" s="701" t="s">
        <v>502</v>
      </c>
      <c r="B176" s="701"/>
      <c r="C176" s="717" t="s">
        <v>73</v>
      </c>
      <c r="D176" s="711">
        <f>Bilans_E_AMS_Kyoto_run3_MTE!H326</f>
        <v>0</v>
      </c>
      <c r="E176" s="711">
        <f>Bilans_E_AMS_Kyoto_run3_MTE!I326</f>
        <v>0</v>
      </c>
      <c r="F176" s="711">
        <f>Bilans_E_AMS_Kyoto_run3_MTE!J326</f>
        <v>0</v>
      </c>
      <c r="G176" s="711">
        <f>Bilans_E_AMS_Kyoto_run3_MTE!K326</f>
        <v>0</v>
      </c>
      <c r="H176" s="711">
        <f>Bilans_E_AMS_Kyoto_run3_MTE!L326</f>
        <v>0</v>
      </c>
      <c r="I176" s="711">
        <f>Bilans_E_AMS_Kyoto_run3_MTE!M326</f>
        <v>0</v>
      </c>
      <c r="J176" s="711">
        <f>Bilans_E_AMS_Kyoto_run3_MTE!N326</f>
        <v>0</v>
      </c>
      <c r="K176" s="711">
        <f>Bilans_E_AMS_Kyoto_run3_MTE!O326</f>
        <v>0</v>
      </c>
      <c r="L176" s="711">
        <f>Bilans_E_AMS_Kyoto_run3_MTE!P326</f>
        <v>0</v>
      </c>
      <c r="M176" s="711">
        <f>Bilans_E_AMS_Kyoto_run3_MTE!Q326</f>
        <v>0</v>
      </c>
      <c r="N176" s="711">
        <f>Bilans_E_AMS_Kyoto_run3_MTE!R326</f>
        <v>0</v>
      </c>
      <c r="O176" s="711">
        <f>Bilans_E_AMS_Kyoto_run3_MTE!S326</f>
        <v>0</v>
      </c>
      <c r="P176" s="711">
        <f>Bilans_E_AMS_Kyoto_run3_MTE!T326+Bilans_E_AMS_Kyoto_run3_MTE!U326</f>
        <v>0</v>
      </c>
      <c r="Q176" s="711">
        <f>Bilans_E_AMS_Kyoto_run3_MTE!V326</f>
        <v>0</v>
      </c>
      <c r="R176" s="711">
        <f>Bilans_E_AMS_Kyoto_run3_MTE!W326</f>
        <v>26.742532147251133</v>
      </c>
      <c r="S176" s="711">
        <f>Bilans_E_AMS_Kyoto_run3_MTE!X326</f>
        <v>0</v>
      </c>
      <c r="T176" s="711">
        <f>Bilans_E_AMS_Kyoto_run3_MTE!Y326</f>
        <v>-17.663442483259374</v>
      </c>
      <c r="U176" s="711">
        <f>Bilans_E_AMS_Kyoto_run3_MTE!Z326</f>
        <v>9.0790896639917591</v>
      </c>
      <c r="V176" s="701"/>
      <c r="W176" s="701"/>
    </row>
    <row r="177" spans="1:23" x14ac:dyDescent="0.25">
      <c r="A177" s="701" t="s">
        <v>503</v>
      </c>
      <c r="B177" s="701"/>
      <c r="C177" s="717" t="s">
        <v>353</v>
      </c>
      <c r="D177" s="711">
        <f>Bilans_E_AMS_Kyoto_run3_MTE!H327</f>
        <v>11.528678671874999</v>
      </c>
      <c r="E177" s="711">
        <f>Bilans_E_AMS_Kyoto_run3_MTE!I327</f>
        <v>-12.650282499742492</v>
      </c>
      <c r="F177" s="711">
        <f>Bilans_E_AMS_Kyoto_run3_MTE!J327</f>
        <v>16.688969946378961</v>
      </c>
      <c r="G177" s="711">
        <f>Bilans_E_AMS_Kyoto_run3_MTE!K327</f>
        <v>0</v>
      </c>
      <c r="H177" s="711">
        <f>Bilans_E_AMS_Kyoto_run3_MTE!L327</f>
        <v>0</v>
      </c>
      <c r="I177" s="711">
        <f>Bilans_E_AMS_Kyoto_run3_MTE!M327</f>
        <v>0</v>
      </c>
      <c r="J177" s="711">
        <f>Bilans_E_AMS_Kyoto_run3_MTE!N327</f>
        <v>0</v>
      </c>
      <c r="K177" s="711">
        <f>Bilans_E_AMS_Kyoto_run3_MTE!O327</f>
        <v>0</v>
      </c>
      <c r="L177" s="711">
        <f>Bilans_E_AMS_Kyoto_run3_MTE!P327</f>
        <v>0</v>
      </c>
      <c r="M177" s="711">
        <f>Bilans_E_AMS_Kyoto_run3_MTE!Q327</f>
        <v>0</v>
      </c>
      <c r="N177" s="711">
        <f>Bilans_E_AMS_Kyoto_run3_MTE!R327</f>
        <v>0</v>
      </c>
      <c r="O177" s="711">
        <f>Bilans_E_AMS_Kyoto_run3_MTE!S327</f>
        <v>0</v>
      </c>
      <c r="P177" s="711">
        <f>Bilans_E_AMS_Kyoto_run3_MTE!T327+Bilans_E_AMS_Kyoto_run3_MTE!U327</f>
        <v>0</v>
      </c>
      <c r="Q177" s="711">
        <f>Bilans_E_AMS_Kyoto_run3_MTE!V327</f>
        <v>0</v>
      </c>
      <c r="R177" s="711">
        <f>Bilans_E_AMS_Kyoto_run3_MTE!W327</f>
        <v>0</v>
      </c>
      <c r="S177" s="711">
        <f>Bilans_E_AMS_Kyoto_run3_MTE!X327</f>
        <v>0</v>
      </c>
      <c r="T177" s="711">
        <f>Bilans_E_AMS_Kyoto_run3_MTE!Y327</f>
        <v>0</v>
      </c>
      <c r="U177" s="711">
        <f>Bilans_E_AMS_Kyoto_run3_MTE!Z327</f>
        <v>15.567366118511469</v>
      </c>
      <c r="V177" s="701"/>
      <c r="W177" s="701"/>
    </row>
    <row r="178" spans="1:23" x14ac:dyDescent="0.25">
      <c r="A178" s="701" t="s">
        <v>504</v>
      </c>
      <c r="B178" s="701"/>
      <c r="C178" s="717" t="s">
        <v>75</v>
      </c>
      <c r="D178" s="711">
        <f>Bilans_E_AMS_Kyoto_run3_MTE!H328</f>
        <v>4.4833750390625005</v>
      </c>
      <c r="E178" s="711">
        <f>Bilans_E_AMS_Kyoto_run3_MTE!I328</f>
        <v>0</v>
      </c>
      <c r="F178" s="711">
        <f>Bilans_E_AMS_Kyoto_run3_MTE!J328</f>
        <v>12.470199463438197</v>
      </c>
      <c r="G178" s="711">
        <f>Bilans_E_AMS_Kyoto_run3_MTE!K328</f>
        <v>0</v>
      </c>
      <c r="H178" s="711">
        <f>Bilans_E_AMS_Kyoto_run3_MTE!L328</f>
        <v>0.24936035983011146</v>
      </c>
      <c r="I178" s="711">
        <f>Bilans_E_AMS_Kyoto_run3_MTE!M328</f>
        <v>0</v>
      </c>
      <c r="J178" s="711">
        <f>Bilans_E_AMS_Kyoto_run3_MTE!N328</f>
        <v>0</v>
      </c>
      <c r="K178" s="711">
        <f>Bilans_E_AMS_Kyoto_run3_MTE!O328</f>
        <v>0</v>
      </c>
      <c r="L178" s="711">
        <f>Bilans_E_AMS_Kyoto_run3_MTE!P328</f>
        <v>0</v>
      </c>
      <c r="M178" s="711">
        <f>Bilans_E_AMS_Kyoto_run3_MTE!Q328</f>
        <v>0</v>
      </c>
      <c r="N178" s="711">
        <f>Bilans_E_AMS_Kyoto_run3_MTE!R328</f>
        <v>0</v>
      </c>
      <c r="O178" s="711">
        <f>Bilans_E_AMS_Kyoto_run3_MTE!S328</f>
        <v>5.4737639962707384E-2</v>
      </c>
      <c r="P178" s="711">
        <f>Bilans_E_AMS_Kyoto_run3_MTE!T328+Bilans_E_AMS_Kyoto_run3_MTE!U328</f>
        <v>0</v>
      </c>
      <c r="Q178" s="711">
        <f>Bilans_E_AMS_Kyoto_run3_MTE!V328</f>
        <v>0</v>
      </c>
      <c r="R178" s="711">
        <f>Bilans_E_AMS_Kyoto_run3_MTE!W328</f>
        <v>34.269297847213949</v>
      </c>
      <c r="S178" s="711">
        <f>Bilans_E_AMS_Kyoto_run3_MTE!X328</f>
        <v>0</v>
      </c>
      <c r="T178" s="711">
        <f>Bilans_E_AMS_Kyoto_run3_MTE!Y328</f>
        <v>3.2371102497669209</v>
      </c>
      <c r="U178" s="711">
        <f>Bilans_E_AMS_Kyoto_run3_MTE!Z328</f>
        <v>54.764080599274386</v>
      </c>
      <c r="V178" s="701"/>
      <c r="W178" s="701"/>
    </row>
    <row r="179" spans="1:23" x14ac:dyDescent="0.25">
      <c r="A179" s="701" t="s">
        <v>505</v>
      </c>
      <c r="B179" s="701"/>
      <c r="C179" s="717" t="s">
        <v>76</v>
      </c>
      <c r="D179" s="711">
        <f>Bilans_E_AMS_Kyoto_run3_MTE!H329</f>
        <v>0</v>
      </c>
      <c r="E179" s="711">
        <f>Bilans_E_AMS_Kyoto_run3_MTE!I329</f>
        <v>0</v>
      </c>
      <c r="F179" s="711">
        <f>Bilans_E_AMS_Kyoto_run3_MTE!J329</f>
        <v>0</v>
      </c>
      <c r="G179" s="711">
        <f>Bilans_E_AMS_Kyoto_run3_MTE!K329</f>
        <v>0</v>
      </c>
      <c r="H179" s="711">
        <f>Bilans_E_AMS_Kyoto_run3_MTE!L329</f>
        <v>2.5945073025125769</v>
      </c>
      <c r="I179" s="711">
        <f>Bilans_E_AMS_Kyoto_run3_MTE!M329</f>
        <v>0</v>
      </c>
      <c r="J179" s="711">
        <f>Bilans_E_AMS_Kyoto_run3_MTE!N329</f>
        <v>0</v>
      </c>
      <c r="K179" s="711">
        <f>Bilans_E_AMS_Kyoto_run3_MTE!O329</f>
        <v>0</v>
      </c>
      <c r="L179" s="711">
        <f>Bilans_E_AMS_Kyoto_run3_MTE!P329</f>
        <v>0</v>
      </c>
      <c r="M179" s="711">
        <f>Bilans_E_AMS_Kyoto_run3_MTE!Q329</f>
        <v>0</v>
      </c>
      <c r="N179" s="711">
        <f>Bilans_E_AMS_Kyoto_run3_MTE!R329</f>
        <v>0</v>
      </c>
      <c r="O179" s="711">
        <f>Bilans_E_AMS_Kyoto_run3_MTE!S329</f>
        <v>0.56952599323446806</v>
      </c>
      <c r="P179" s="711">
        <f>Bilans_E_AMS_Kyoto_run3_MTE!T329+Bilans_E_AMS_Kyoto_run3_MTE!U329</f>
        <v>0</v>
      </c>
      <c r="Q179" s="711">
        <f>Bilans_E_AMS_Kyoto_run3_MTE!V329</f>
        <v>0</v>
      </c>
      <c r="R179" s="711">
        <f>Bilans_E_AMS_Kyoto_run3_MTE!W329</f>
        <v>49.185048043405324</v>
      </c>
      <c r="S179" s="711">
        <f>Bilans_E_AMS_Kyoto_run3_MTE!X329</f>
        <v>6.5593635854558805</v>
      </c>
      <c r="T179" s="711">
        <f>Bilans_E_AMS_Kyoto_run3_MTE!Y329</f>
        <v>0</v>
      </c>
      <c r="U179" s="711">
        <f>Bilans_E_AMS_Kyoto_run3_MTE!Z329</f>
        <v>58.908444924608247</v>
      </c>
      <c r="V179" s="701"/>
      <c r="W179" s="701"/>
    </row>
    <row r="180" spans="1:23" x14ac:dyDescent="0.25">
      <c r="A180" s="701" t="s">
        <v>506</v>
      </c>
      <c r="B180" s="701"/>
      <c r="C180" s="713" t="s">
        <v>77</v>
      </c>
      <c r="D180" s="714">
        <f>Bilans_E_AMS_Kyoto_run3_MTE!H330</f>
        <v>16.012053710937501</v>
      </c>
      <c r="E180" s="714">
        <f>Bilans_E_AMS_Kyoto_run3_MTE!I330</f>
        <v>347.84718490138255</v>
      </c>
      <c r="F180" s="714">
        <f>Bilans_E_AMS_Kyoto_run3_MTE!J330</f>
        <v>-326.94053773335889</v>
      </c>
      <c r="G180" s="714">
        <f>Bilans_E_AMS_Kyoto_run3_MTE!K330</f>
        <v>-2.3373161064337085</v>
      </c>
      <c r="H180" s="714">
        <f>Bilans_E_AMS_Kyoto_run3_MTE!L330</f>
        <v>54.512372701408424</v>
      </c>
      <c r="I180" s="714">
        <f>Bilans_E_AMS_Kyoto_run3_MTE!M330</f>
        <v>-0.4644109471147348</v>
      </c>
      <c r="J180" s="714">
        <f>Bilans_E_AMS_Kyoto_run3_MTE!N330</f>
        <v>1165.8657454545453</v>
      </c>
      <c r="K180" s="714">
        <f>Bilans_E_AMS_Kyoto_run3_MTE!O330</f>
        <v>264.18035739757391</v>
      </c>
      <c r="L180" s="714">
        <f>Bilans_E_AMS_Kyoto_run3_MTE!P330</f>
        <v>204.68827899039843</v>
      </c>
      <c r="M180" s="714">
        <f>Bilans_E_AMS_Kyoto_run3_MTE!Q330</f>
        <v>41.589724229008233</v>
      </c>
      <c r="N180" s="714">
        <f>Bilans_E_AMS_Kyoto_run3_MTE!R330</f>
        <v>-43.720318653498758</v>
      </c>
      <c r="O180" s="714">
        <f>Bilans_E_AMS_Kyoto_run3_MTE!S330</f>
        <v>-31.033642891829015</v>
      </c>
      <c r="P180" s="714">
        <f>Bilans_E_AMS_Kyoto_run3_MTE!T330+Bilans_E_AMS_Kyoto_run3_MTE!U330</f>
        <v>10.417559156149544</v>
      </c>
      <c r="Q180" s="714">
        <f>Bilans_E_AMS_Kyoto_run3_MTE!V330</f>
        <v>14.14239173681338</v>
      </c>
      <c r="R180" s="714">
        <f>Bilans_E_AMS_Kyoto_run3_MTE!W330</f>
        <v>-574.82520213641897</v>
      </c>
      <c r="S180" s="714">
        <f>Bilans_E_AMS_Kyoto_run3_MTE!X330</f>
        <v>-78.030708028784062</v>
      </c>
      <c r="T180" s="714">
        <f>Bilans_E_AMS_Kyoto_run3_MTE!Y330</f>
        <v>-9.8902693120893517</v>
      </c>
      <c r="U180" s="714">
        <f>Bilans_E_AMS_Kyoto_run3_MTE!Z330</f>
        <v>1052.0132624686898</v>
      </c>
      <c r="V180" s="701"/>
      <c r="W180" s="701"/>
    </row>
    <row r="181" spans="1:23" x14ac:dyDescent="0.25">
      <c r="A181" s="701"/>
      <c r="B181" s="701"/>
      <c r="C181" s="715"/>
      <c r="D181" s="716"/>
      <c r="E181" s="716"/>
      <c r="F181" s="716"/>
      <c r="G181" s="716"/>
      <c r="H181" s="716"/>
      <c r="I181" s="716"/>
      <c r="J181" s="716"/>
      <c r="K181" s="716"/>
      <c r="L181" s="716"/>
      <c r="M181" s="716"/>
      <c r="N181" s="716"/>
      <c r="O181" s="716"/>
      <c r="P181" s="716">
        <f>Bilans_E_AMS_Kyoto_run3_MTE!T331+Bilans_E_AMS_Kyoto_run3_MTE!U331</f>
        <v>0</v>
      </c>
      <c r="Q181" s="716"/>
      <c r="R181" s="716"/>
      <c r="S181" s="716"/>
      <c r="T181" s="716"/>
      <c r="U181" s="716"/>
      <c r="V181" s="701"/>
      <c r="W181" s="701"/>
    </row>
    <row r="182" spans="1:23" x14ac:dyDescent="0.25">
      <c r="A182" s="701" t="s">
        <v>507</v>
      </c>
      <c r="B182" s="701"/>
      <c r="C182" s="717" t="s">
        <v>78</v>
      </c>
      <c r="D182" s="711">
        <f>Bilans_E_AMS_Kyoto_run3_MTE!H332</f>
        <v>0.72191845703125002</v>
      </c>
      <c r="E182" s="711">
        <f>Bilans_E_AMS_Kyoto_run3_MTE!I332</f>
        <v>0</v>
      </c>
      <c r="F182" s="711">
        <f>Bilans_E_AMS_Kyoto_run3_MTE!J332</f>
        <v>8.6275641405514261</v>
      </c>
      <c r="G182" s="711">
        <f>Bilans_E_AMS_Kyoto_run3_MTE!K332</f>
        <v>0</v>
      </c>
      <c r="H182" s="711">
        <f>Bilans_E_AMS_Kyoto_run3_MTE!L332</f>
        <v>60.118843099403179</v>
      </c>
      <c r="I182" s="711">
        <f>Bilans_E_AMS_Kyoto_run3_MTE!M332</f>
        <v>0</v>
      </c>
      <c r="J182" s="711">
        <f>Bilans_E_AMS_Kyoto_run3_MTE!N332</f>
        <v>0</v>
      </c>
      <c r="K182" s="711">
        <f>Bilans_E_AMS_Kyoto_run3_MTE!O332</f>
        <v>0</v>
      </c>
      <c r="L182" s="711">
        <f>Bilans_E_AMS_Kyoto_run3_MTE!P332</f>
        <v>39.297286819626784</v>
      </c>
      <c r="M182" s="711">
        <f>Bilans_E_AMS_Kyoto_run3_MTE!Q332</f>
        <v>9.815547509212319</v>
      </c>
      <c r="N182" s="711">
        <f>Bilans_E_AMS_Kyoto_run3_MTE!R332</f>
        <v>0.93232860735581835</v>
      </c>
      <c r="O182" s="711">
        <f>Bilans_E_AMS_Kyoto_run3_MTE!S332</f>
        <v>13.22814546550425</v>
      </c>
      <c r="P182" s="711">
        <f>Bilans_E_AMS_Kyoto_run3_MTE!T332+Bilans_E_AMS_Kyoto_run3_MTE!U332</f>
        <v>6.7746367187500001</v>
      </c>
      <c r="Q182" s="711">
        <f>Bilans_E_AMS_Kyoto_run3_MTE!V332</f>
        <v>6.3863689419622622E-4</v>
      </c>
      <c r="R182" s="711">
        <f>Bilans_E_AMS_Kyoto_run3_MTE!W332</f>
        <v>152.36640904233067</v>
      </c>
      <c r="S182" s="711">
        <f>Bilans_E_AMS_Kyoto_run3_MTE!X332</f>
        <v>19.594153264133379</v>
      </c>
      <c r="T182" s="711">
        <f>Bilans_E_AMS_Kyoto_run3_MTE!Y332</f>
        <v>5.5380712890624997</v>
      </c>
      <c r="U182" s="711">
        <f>Bilans_E_AMS_Kyoto_run3_MTE!Z332</f>
        <v>317.01554304985569</v>
      </c>
      <c r="V182" s="701"/>
      <c r="W182" s="701"/>
    </row>
    <row r="183" spans="1:23" x14ac:dyDescent="0.25">
      <c r="A183" s="701" t="s">
        <v>508</v>
      </c>
      <c r="B183" s="701"/>
      <c r="C183" s="717" t="s">
        <v>79</v>
      </c>
      <c r="D183" s="711">
        <f>Bilans_E_AMS_Kyoto_run3_MTE!H333</f>
        <v>0</v>
      </c>
      <c r="E183" s="711">
        <f>Bilans_E_AMS_Kyoto_run3_MTE!I333</f>
        <v>0</v>
      </c>
      <c r="F183" s="711">
        <f>Bilans_E_AMS_Kyoto_run3_MTE!J333</f>
        <v>257.95105394329198</v>
      </c>
      <c r="G183" s="711">
        <f>Bilans_E_AMS_Kyoto_run3_MTE!K333</f>
        <v>0</v>
      </c>
      <c r="H183" s="711">
        <f>Bilans_E_AMS_Kyoto_run3_MTE!L333</f>
        <v>5.8847606933541083</v>
      </c>
      <c r="I183" s="711">
        <f>Bilans_E_AMS_Kyoto_run3_MTE!M333</f>
        <v>0</v>
      </c>
      <c r="J183" s="711">
        <f>Bilans_E_AMS_Kyoto_run3_MTE!N333</f>
        <v>0</v>
      </c>
      <c r="K183" s="711">
        <f>Bilans_E_AMS_Kyoto_run3_MTE!O333</f>
        <v>0</v>
      </c>
      <c r="L183" s="711">
        <f>Bilans_E_AMS_Kyoto_run3_MTE!P333</f>
        <v>0</v>
      </c>
      <c r="M183" s="711">
        <f>Bilans_E_AMS_Kyoto_run3_MTE!Q333</f>
        <v>0</v>
      </c>
      <c r="N183" s="711">
        <f>Bilans_E_AMS_Kyoto_run3_MTE!R333</f>
        <v>39.412078743974838</v>
      </c>
      <c r="O183" s="711">
        <f>Bilans_E_AMS_Kyoto_run3_MTE!S333</f>
        <v>1.2917767375655358</v>
      </c>
      <c r="P183" s="711">
        <f>Bilans_E_AMS_Kyoto_run3_MTE!T333+Bilans_E_AMS_Kyoto_run3_MTE!U333</f>
        <v>0</v>
      </c>
      <c r="Q183" s="711">
        <f>Bilans_E_AMS_Kyoto_run3_MTE!V333</f>
        <v>0</v>
      </c>
      <c r="R183" s="711">
        <f>Bilans_E_AMS_Kyoto_run3_MTE!W333</f>
        <v>52.662599620962098</v>
      </c>
      <c r="S183" s="711">
        <f>Bilans_E_AMS_Kyoto_run3_MTE!X333</f>
        <v>0</v>
      </c>
      <c r="T183" s="711">
        <f>Bilans_E_AMS_Kyoto_run3_MTE!Y333</f>
        <v>1.8899673831959209</v>
      </c>
      <c r="U183" s="711">
        <f>Bilans_E_AMS_Kyoto_run3_MTE!Z333</f>
        <v>359.09223712234456</v>
      </c>
      <c r="V183" s="701"/>
      <c r="W183" s="701"/>
    </row>
    <row r="184" spans="1:23" x14ac:dyDescent="0.25">
      <c r="A184" s="701" t="s">
        <v>509</v>
      </c>
      <c r="B184" s="701"/>
      <c r="C184" s="717" t="s">
        <v>80</v>
      </c>
      <c r="D184" s="711">
        <f>Bilans_E_AMS_Kyoto_run3_MTE!H334</f>
        <v>0</v>
      </c>
      <c r="E184" s="711">
        <f>Bilans_E_AMS_Kyoto_run3_MTE!I334</f>
        <v>0</v>
      </c>
      <c r="F184" s="711">
        <f>Bilans_E_AMS_Kyoto_run3_MTE!J334</f>
        <v>4.4871361996085151</v>
      </c>
      <c r="G184" s="711">
        <f>Bilans_E_AMS_Kyoto_run3_MTE!K334</f>
        <v>0</v>
      </c>
      <c r="H184" s="711">
        <f>Bilans_E_AMS_Kyoto_run3_MTE!L334</f>
        <v>56.445665913049908</v>
      </c>
      <c r="I184" s="711">
        <f>Bilans_E_AMS_Kyoto_run3_MTE!M334</f>
        <v>0</v>
      </c>
      <c r="J184" s="711">
        <f>Bilans_E_AMS_Kyoto_run3_MTE!N334</f>
        <v>0</v>
      </c>
      <c r="K184" s="711">
        <f>Bilans_E_AMS_Kyoto_run3_MTE!O334</f>
        <v>0</v>
      </c>
      <c r="L184" s="711">
        <f>Bilans_E_AMS_Kyoto_run3_MTE!P334</f>
        <v>53.14163083232755</v>
      </c>
      <c r="M184" s="711">
        <f>Bilans_E_AMS_Kyoto_run3_MTE!Q334</f>
        <v>0</v>
      </c>
      <c r="N184" s="711">
        <f>Bilans_E_AMS_Kyoto_run3_MTE!R334</f>
        <v>0</v>
      </c>
      <c r="O184" s="711">
        <f>Bilans_E_AMS_Kyoto_run3_MTE!S334</f>
        <v>12.390512029693882</v>
      </c>
      <c r="P184" s="711">
        <f>Bilans_E_AMS_Kyoto_run3_MTE!T334+Bilans_E_AMS_Kyoto_run3_MTE!U334</f>
        <v>95.189251128952151</v>
      </c>
      <c r="Q184" s="711">
        <f>Bilans_E_AMS_Kyoto_run3_MTE!V334</f>
        <v>7.3206839966503274</v>
      </c>
      <c r="R184" s="711">
        <f>Bilans_E_AMS_Kyoto_run3_MTE!W334</f>
        <v>156.27303977046446</v>
      </c>
      <c r="S184" s="711">
        <f>Bilans_E_AMS_Kyoto_run3_MTE!X334</f>
        <v>35.751867080837265</v>
      </c>
      <c r="T184" s="711">
        <f>Bilans_E_AMS_Kyoto_run3_MTE!Y334</f>
        <v>0</v>
      </c>
      <c r="U184" s="711">
        <f>Bilans_E_AMS_Kyoto_run3_MTE!Z334</f>
        <v>420.99978695158404</v>
      </c>
      <c r="V184" s="701"/>
      <c r="W184" s="701"/>
    </row>
    <row r="185" spans="1:23" x14ac:dyDescent="0.25">
      <c r="A185" s="701" t="s">
        <v>510</v>
      </c>
      <c r="B185" s="701"/>
      <c r="C185" s="717" t="s">
        <v>81</v>
      </c>
      <c r="D185" s="711">
        <f>Bilans_E_AMS_Kyoto_run3_MTE!H335</f>
        <v>0</v>
      </c>
      <c r="E185" s="711">
        <f>Bilans_E_AMS_Kyoto_run3_MTE!I335</f>
        <v>0</v>
      </c>
      <c r="F185" s="711">
        <f>Bilans_E_AMS_Kyoto_run3_MTE!J335</f>
        <v>2.7608540872674436</v>
      </c>
      <c r="G185" s="711">
        <f>Bilans_E_AMS_Kyoto_run3_MTE!K335</f>
        <v>0</v>
      </c>
      <c r="H185" s="711">
        <f>Bilans_E_AMS_Kyoto_run3_MTE!L335</f>
        <v>36.954753731916043</v>
      </c>
      <c r="I185" s="711">
        <f>Bilans_E_AMS_Kyoto_run3_MTE!M335</f>
        <v>0</v>
      </c>
      <c r="J185" s="711">
        <f>Bilans_E_AMS_Kyoto_run3_MTE!N335</f>
        <v>0</v>
      </c>
      <c r="K185" s="711">
        <f>Bilans_E_AMS_Kyoto_run3_MTE!O335</f>
        <v>0</v>
      </c>
      <c r="L185" s="711">
        <f>Bilans_E_AMS_Kyoto_run3_MTE!P335</f>
        <v>0.62415819926103555</v>
      </c>
      <c r="M185" s="711">
        <f>Bilans_E_AMS_Kyoto_run3_MTE!Q335</f>
        <v>0</v>
      </c>
      <c r="N185" s="711">
        <f>Bilans_E_AMS_Kyoto_run3_MTE!R335</f>
        <v>0</v>
      </c>
      <c r="O185" s="711">
        <f>Bilans_E_AMS_Kyoto_run3_MTE!S335</f>
        <v>8.1120191118840097</v>
      </c>
      <c r="P185" s="711">
        <f>Bilans_E_AMS_Kyoto_run3_MTE!T335+Bilans_E_AMS_Kyoto_run3_MTE!U335</f>
        <v>38.431536860359955</v>
      </c>
      <c r="Q185" s="711">
        <f>Bilans_E_AMS_Kyoto_run3_MTE!V335</f>
        <v>7.0322041232131749</v>
      </c>
      <c r="R185" s="711">
        <f>Bilans_E_AMS_Kyoto_run3_MTE!W335</f>
        <v>121.89305236123509</v>
      </c>
      <c r="S185" s="711">
        <f>Bilans_E_AMS_Kyoto_run3_MTE!X335</f>
        <v>22.684657409761833</v>
      </c>
      <c r="T185" s="711">
        <f>Bilans_E_AMS_Kyoto_run3_MTE!Y335</f>
        <v>0</v>
      </c>
      <c r="U185" s="711">
        <f>Bilans_E_AMS_Kyoto_run3_MTE!Z335</f>
        <v>238.49323588489858</v>
      </c>
      <c r="V185" s="701"/>
      <c r="W185" s="701"/>
    </row>
    <row r="186" spans="1:23" x14ac:dyDescent="0.25">
      <c r="A186" s="701" t="s">
        <v>511</v>
      </c>
      <c r="B186" s="701"/>
      <c r="C186" s="717" t="s">
        <v>82</v>
      </c>
      <c r="D186" s="711">
        <f>Bilans_E_AMS_Kyoto_run3_MTE!H336</f>
        <v>0</v>
      </c>
      <c r="E186" s="711">
        <f>Bilans_E_AMS_Kyoto_run3_MTE!I336</f>
        <v>0</v>
      </c>
      <c r="F186" s="711">
        <f>Bilans_E_AMS_Kyoto_run3_MTE!J336</f>
        <v>25.562238728089401</v>
      </c>
      <c r="G186" s="711">
        <f>Bilans_E_AMS_Kyoto_run3_MTE!K336</f>
        <v>0</v>
      </c>
      <c r="H186" s="711">
        <f>Bilans_E_AMS_Kyoto_run3_MTE!L336</f>
        <v>1.2995823950376393</v>
      </c>
      <c r="I186" s="711">
        <f>Bilans_E_AMS_Kyoto_run3_MTE!M336</f>
        <v>0</v>
      </c>
      <c r="J186" s="711">
        <f>Bilans_E_AMS_Kyoto_run3_MTE!N336</f>
        <v>0</v>
      </c>
      <c r="K186" s="711">
        <f>Bilans_E_AMS_Kyoto_run3_MTE!O336</f>
        <v>0</v>
      </c>
      <c r="L186" s="711">
        <f>Bilans_E_AMS_Kyoto_run3_MTE!P336</f>
        <v>12.365635061857649</v>
      </c>
      <c r="M186" s="711">
        <f>Bilans_E_AMS_Kyoto_run3_MTE!Q336</f>
        <v>0</v>
      </c>
      <c r="N186" s="711">
        <f>Bilans_E_AMS_Kyoto_run3_MTE!R336</f>
        <v>5.004323315399402</v>
      </c>
      <c r="O186" s="711">
        <f>Bilans_E_AMS_Kyoto_run3_MTE!S336</f>
        <v>0.28527418427655493</v>
      </c>
      <c r="P186" s="711">
        <f>Bilans_E_AMS_Kyoto_run3_MTE!T336+Bilans_E_AMS_Kyoto_run3_MTE!U336</f>
        <v>0.65</v>
      </c>
      <c r="Q186" s="711">
        <f>Bilans_E_AMS_Kyoto_run3_MTE!V336</f>
        <v>0.82781531321025892</v>
      </c>
      <c r="R186" s="711">
        <f>Bilans_E_AMS_Kyoto_run3_MTE!W336</f>
        <v>8.2928422498969727</v>
      </c>
      <c r="S186" s="711">
        <f>Bilans_E_AMS_Kyoto_run3_MTE!X336</f>
        <v>0</v>
      </c>
      <c r="T186" s="711">
        <f>Bilans_E_AMS_Kyoto_run3_MTE!Y336</f>
        <v>0.25343345849890081</v>
      </c>
      <c r="U186" s="711">
        <f>Bilans_E_AMS_Kyoto_run3_MTE!Z336</f>
        <v>54.541144706266778</v>
      </c>
      <c r="V186" s="701"/>
      <c r="W186" s="701"/>
    </row>
    <row r="187" spans="1:23" x14ac:dyDescent="0.25">
      <c r="A187" s="701" t="s">
        <v>512</v>
      </c>
      <c r="B187" s="701"/>
      <c r="C187" s="717" t="s">
        <v>354</v>
      </c>
      <c r="D187" s="711">
        <f>Bilans_E_AMS_Kyoto_run3_MTE!H337</f>
        <v>0</v>
      </c>
      <c r="E187" s="711">
        <f>Bilans_E_AMS_Kyoto_run3_MTE!I337</f>
        <v>0</v>
      </c>
      <c r="F187" s="711">
        <f>Bilans_E_AMS_Kyoto_run3_MTE!J337</f>
        <v>0</v>
      </c>
      <c r="G187" s="711">
        <f>Bilans_E_AMS_Kyoto_run3_MTE!K337</f>
        <v>0</v>
      </c>
      <c r="H187" s="711">
        <f>Bilans_E_AMS_Kyoto_run3_MTE!L337</f>
        <v>0</v>
      </c>
      <c r="I187" s="711">
        <f>Bilans_E_AMS_Kyoto_run3_MTE!M337</f>
        <v>0</v>
      </c>
      <c r="J187" s="711">
        <f>Bilans_E_AMS_Kyoto_run3_MTE!N337</f>
        <v>0</v>
      </c>
      <c r="K187" s="711">
        <f>Bilans_E_AMS_Kyoto_run3_MTE!O337</f>
        <v>0</v>
      </c>
      <c r="L187" s="711">
        <f>Bilans_E_AMS_Kyoto_run3_MTE!P337</f>
        <v>0</v>
      </c>
      <c r="M187" s="711">
        <f>Bilans_E_AMS_Kyoto_run3_MTE!Q337</f>
        <v>0</v>
      </c>
      <c r="N187" s="711">
        <f>Bilans_E_AMS_Kyoto_run3_MTE!R337</f>
        <v>0</v>
      </c>
      <c r="O187" s="711">
        <f>Bilans_E_AMS_Kyoto_run3_MTE!S337</f>
        <v>0</v>
      </c>
      <c r="P187" s="711">
        <f>Bilans_E_AMS_Kyoto_run3_MTE!T337+Bilans_E_AMS_Kyoto_run3_MTE!U337</f>
        <v>0</v>
      </c>
      <c r="Q187" s="711">
        <f>Bilans_E_AMS_Kyoto_run3_MTE!V337</f>
        <v>0</v>
      </c>
      <c r="R187" s="711">
        <f>Bilans_E_AMS_Kyoto_run3_MTE!W337</f>
        <v>0</v>
      </c>
      <c r="S187" s="711">
        <f>Bilans_E_AMS_Kyoto_run3_MTE!X337</f>
        <v>0</v>
      </c>
      <c r="T187" s="711">
        <f>Bilans_E_AMS_Kyoto_run3_MTE!Y337</f>
        <v>0</v>
      </c>
      <c r="U187" s="711">
        <f>Bilans_E_AMS_Kyoto_run3_MTE!Z337</f>
        <v>0</v>
      </c>
      <c r="V187" s="701"/>
      <c r="W187" s="701"/>
    </row>
    <row r="188" spans="1:23" x14ac:dyDescent="0.25">
      <c r="A188" s="701" t="s">
        <v>513</v>
      </c>
      <c r="B188" s="701"/>
      <c r="C188" s="713" t="s">
        <v>83</v>
      </c>
      <c r="D188" s="714">
        <f>Bilans_E_AMS_Kyoto_run3_MTE!H338</f>
        <v>0.72191845703125002</v>
      </c>
      <c r="E188" s="714">
        <f>Bilans_E_AMS_Kyoto_run3_MTE!I338</f>
        <v>0</v>
      </c>
      <c r="F188" s="714">
        <f>Bilans_E_AMS_Kyoto_run3_MTE!J338</f>
        <v>299.38884709880881</v>
      </c>
      <c r="G188" s="714">
        <f>Bilans_E_AMS_Kyoto_run3_MTE!K338</f>
        <v>0</v>
      </c>
      <c r="H188" s="714">
        <f>Bilans_E_AMS_Kyoto_run3_MTE!L338</f>
        <v>160.7036058327609</v>
      </c>
      <c r="I188" s="714">
        <f>Bilans_E_AMS_Kyoto_run3_MTE!M338</f>
        <v>0</v>
      </c>
      <c r="J188" s="714">
        <f>Bilans_E_AMS_Kyoto_run3_MTE!N338</f>
        <v>0</v>
      </c>
      <c r="K188" s="714">
        <f>Bilans_E_AMS_Kyoto_run3_MTE!O338</f>
        <v>0</v>
      </c>
      <c r="L188" s="714">
        <f>Bilans_E_AMS_Kyoto_run3_MTE!P338</f>
        <v>105.42871091307302</v>
      </c>
      <c r="M188" s="714">
        <f>Bilans_E_AMS_Kyoto_run3_MTE!Q338</f>
        <v>9.815547509212319</v>
      </c>
      <c r="N188" s="714">
        <f>Bilans_E_AMS_Kyoto_run3_MTE!R338</f>
        <v>45.348730666730063</v>
      </c>
      <c r="O188" s="714">
        <f>Bilans_E_AMS_Kyoto_run3_MTE!S338</f>
        <v>35.307727528924232</v>
      </c>
      <c r="P188" s="714">
        <f>Bilans_E_AMS_Kyoto_run3_MTE!T338+Bilans_E_AMS_Kyoto_run3_MTE!U338</f>
        <v>141.04542470806211</v>
      </c>
      <c r="Q188" s="714">
        <f>Bilans_E_AMS_Kyoto_run3_MTE!V338</f>
        <v>15.181342069967958</v>
      </c>
      <c r="R188" s="714">
        <f>Bilans_E_AMS_Kyoto_run3_MTE!W338</f>
        <v>491.48794304488933</v>
      </c>
      <c r="S188" s="714">
        <f>Bilans_E_AMS_Kyoto_run3_MTE!X338</f>
        <v>78.030677754732466</v>
      </c>
      <c r="T188" s="714">
        <f>Bilans_E_AMS_Kyoto_run3_MTE!Y338</f>
        <v>7.6814721307573208</v>
      </c>
      <c r="U188" s="714">
        <f>Bilans_E_AMS_Kyoto_run3_MTE!Z338</f>
        <v>1390.1419477149495</v>
      </c>
      <c r="V188" s="701"/>
      <c r="W188" s="701"/>
    </row>
    <row r="189" spans="1:23" x14ac:dyDescent="0.25">
      <c r="A189" s="701" t="s">
        <v>514</v>
      </c>
      <c r="B189" s="701"/>
      <c r="C189" s="710" t="s">
        <v>84</v>
      </c>
      <c r="D189" s="711">
        <f>Bilans_E_AMS_Kyoto_run3_MTE!H339</f>
        <v>0</v>
      </c>
      <c r="E189" s="711">
        <f>Bilans_E_AMS_Kyoto_run3_MTE!I339</f>
        <v>0</v>
      </c>
      <c r="F189" s="711">
        <f>Bilans_E_AMS_Kyoto_run3_MTE!J339</f>
        <v>111.11471121185716</v>
      </c>
      <c r="G189" s="711">
        <f>Bilans_E_AMS_Kyoto_run3_MTE!K339</f>
        <v>0.79070039752491883</v>
      </c>
      <c r="H189" s="711">
        <f>Bilans_E_AMS_Kyoto_run3_MTE!L339</f>
        <v>13.201723871248829</v>
      </c>
      <c r="I189" s="711">
        <f>Bilans_E_AMS_Kyoto_run3_MTE!M339</f>
        <v>0</v>
      </c>
      <c r="J189" s="711">
        <f>Bilans_E_AMS_Kyoto_run3_MTE!N339</f>
        <v>0</v>
      </c>
      <c r="K189" s="711">
        <f>Bilans_E_AMS_Kyoto_run3_MTE!O339</f>
        <v>0</v>
      </c>
      <c r="L189" s="711">
        <f>Bilans_E_AMS_Kyoto_run3_MTE!P339</f>
        <v>0.22001800269575944</v>
      </c>
      <c r="M189" s="711">
        <f>Bilans_E_AMS_Kyoto_run3_MTE!Q339</f>
        <v>0</v>
      </c>
      <c r="N189" s="711">
        <f>Bilans_E_AMS_Kyoto_run3_MTE!R339</f>
        <v>1.3493655310578188</v>
      </c>
      <c r="O189" s="711">
        <f>Bilans_E_AMS_Kyoto_run3_MTE!S339</f>
        <v>0</v>
      </c>
      <c r="P189" s="711">
        <f>Bilans_E_AMS_Kyoto_run3_MTE!T339+Bilans_E_AMS_Kyoto_run3_MTE!U339</f>
        <v>0</v>
      </c>
      <c r="Q189" s="711">
        <f>Bilans_E_AMS_Kyoto_run3_MTE!V339</f>
        <v>0</v>
      </c>
      <c r="R189" s="711">
        <f>Bilans_E_AMS_Kyoto_run3_MTE!W339</f>
        <v>0</v>
      </c>
      <c r="S189" s="711">
        <f>Bilans_E_AMS_Kyoto_run3_MTE!X339</f>
        <v>0</v>
      </c>
      <c r="T189" s="711">
        <f>Bilans_E_AMS_Kyoto_run3_MTE!Y339</f>
        <v>1.3469384191833629</v>
      </c>
      <c r="U189" s="711">
        <f>Bilans_E_AMS_Kyoto_run3_MTE!Z339</f>
        <v>128.02345743356784</v>
      </c>
      <c r="V189" s="701"/>
      <c r="W189" s="701"/>
    </row>
    <row r="190" spans="1:23" x14ac:dyDescent="0.25">
      <c r="A190" s="701" t="s">
        <v>515</v>
      </c>
      <c r="B190" s="701"/>
      <c r="C190" s="713" t="s">
        <v>85</v>
      </c>
      <c r="D190" s="714">
        <f>Bilans_E_AMS_Kyoto_run3_MTE!H340</f>
        <v>0.72191845703125002</v>
      </c>
      <c r="E190" s="714">
        <f>Bilans_E_AMS_Kyoto_run3_MTE!I340</f>
        <v>0</v>
      </c>
      <c r="F190" s="714">
        <f>Bilans_E_AMS_Kyoto_run3_MTE!J340</f>
        <v>410.50355831066599</v>
      </c>
      <c r="G190" s="714">
        <f>Bilans_E_AMS_Kyoto_run3_MTE!K340</f>
        <v>0.79070039752491883</v>
      </c>
      <c r="H190" s="714">
        <f>Bilans_E_AMS_Kyoto_run3_MTE!L340</f>
        <v>173.90532970400972</v>
      </c>
      <c r="I190" s="714">
        <f>Bilans_E_AMS_Kyoto_run3_MTE!M340</f>
        <v>0</v>
      </c>
      <c r="J190" s="714">
        <f>Bilans_E_AMS_Kyoto_run3_MTE!N340</f>
        <v>0</v>
      </c>
      <c r="K190" s="714">
        <f>Bilans_E_AMS_Kyoto_run3_MTE!O340</f>
        <v>0</v>
      </c>
      <c r="L190" s="714">
        <f>Bilans_E_AMS_Kyoto_run3_MTE!P340</f>
        <v>105.64872891576877</v>
      </c>
      <c r="M190" s="714">
        <f>Bilans_E_AMS_Kyoto_run3_MTE!Q340</f>
        <v>9.815547509212319</v>
      </c>
      <c r="N190" s="714">
        <f>Bilans_E_AMS_Kyoto_run3_MTE!R340</f>
        <v>46.698096197787883</v>
      </c>
      <c r="O190" s="714">
        <f>Bilans_E_AMS_Kyoto_run3_MTE!S340</f>
        <v>35.307727528924232</v>
      </c>
      <c r="P190" s="714">
        <f>Bilans_E_AMS_Kyoto_run3_MTE!T340+Bilans_E_AMS_Kyoto_run3_MTE!U340</f>
        <v>141.04542470806211</v>
      </c>
      <c r="Q190" s="714">
        <f>Bilans_E_AMS_Kyoto_run3_MTE!V340</f>
        <v>15.181342069967958</v>
      </c>
      <c r="R190" s="714">
        <f>Bilans_E_AMS_Kyoto_run3_MTE!W340</f>
        <v>491.48794304488933</v>
      </c>
      <c r="S190" s="714">
        <f>Bilans_E_AMS_Kyoto_run3_MTE!X340</f>
        <v>78.030677754732466</v>
      </c>
      <c r="T190" s="714">
        <f>Bilans_E_AMS_Kyoto_run3_MTE!Y340</f>
        <v>9.0284105499406841</v>
      </c>
      <c r="U190" s="714">
        <f>Bilans_E_AMS_Kyoto_run3_MTE!Z340</f>
        <v>1518.1654051485175</v>
      </c>
      <c r="V190" s="701"/>
      <c r="W190" s="701"/>
    </row>
    <row r="191" spans="1:23" x14ac:dyDescent="0.25">
      <c r="A191" s="701"/>
      <c r="B191" s="701"/>
      <c r="C191" s="701"/>
      <c r="D191" s="701">
        <f>Bilans_E_AMS_Kyoto_run3_MTE!H341</f>
        <v>0</v>
      </c>
      <c r="E191" s="701">
        <f>Bilans_E_AMS_Kyoto_run3_MTE!I341</f>
        <v>0</v>
      </c>
      <c r="F191" s="701">
        <f>Bilans_E_AMS_Kyoto_run3_MTE!J341</f>
        <v>0</v>
      </c>
      <c r="G191" s="701">
        <f>Bilans_E_AMS_Kyoto_run3_MTE!K341</f>
        <v>0</v>
      </c>
      <c r="H191" s="701">
        <f>Bilans_E_AMS_Kyoto_run3_MTE!L341</f>
        <v>0</v>
      </c>
      <c r="I191" s="701">
        <f>Bilans_E_AMS_Kyoto_run3_MTE!M341</f>
        <v>0</v>
      </c>
      <c r="J191" s="701">
        <f>Bilans_E_AMS_Kyoto_run3_MTE!N341</f>
        <v>0</v>
      </c>
      <c r="K191" s="701">
        <f>Bilans_E_AMS_Kyoto_run3_MTE!O341</f>
        <v>0</v>
      </c>
      <c r="L191" s="701">
        <f>Bilans_E_AMS_Kyoto_run3_MTE!P341</f>
        <v>0</v>
      </c>
      <c r="M191" s="701">
        <f>Bilans_E_AMS_Kyoto_run3_MTE!Q341</f>
        <v>0</v>
      </c>
      <c r="N191" s="701">
        <f>Bilans_E_AMS_Kyoto_run3_MTE!R341</f>
        <v>-3.5527136788005009E-15</v>
      </c>
      <c r="O191" s="701">
        <f>Bilans_E_AMS_Kyoto_run3_MTE!S341</f>
        <v>7.9936057773011271E-15</v>
      </c>
      <c r="P191" s="701">
        <f>Bilans_E_AMS_Kyoto_run3_MTE!T341+Bilans_E_AMS_Kyoto_run3_MTE!U341</f>
        <v>0</v>
      </c>
      <c r="Q191" s="701">
        <f>Bilans_E_AMS_Kyoto_run3_MTE!V341</f>
        <v>0</v>
      </c>
      <c r="R191" s="701">
        <f>Bilans_E_AMS_Kyoto_run3_MTE!W341</f>
        <v>0</v>
      </c>
      <c r="S191" s="701">
        <f>Bilans_E_AMS_Kyoto_run3_MTE!X341</f>
        <v>-3.0274051596279605E-5</v>
      </c>
      <c r="T191" s="701">
        <f>Bilans_E_AMS_Kyoto_run3_MTE!Y341</f>
        <v>8.8817841970012523E-16</v>
      </c>
      <c r="U191" s="701">
        <f>Bilans_E_AMS_Kyoto_run3_MTE!Z341</f>
        <v>-3.0274051823653281E-5</v>
      </c>
      <c r="V191" s="701"/>
      <c r="W191" s="701"/>
    </row>
    <row r="192" spans="1:23" x14ac:dyDescent="0.25">
      <c r="A192" s="701"/>
      <c r="B192" s="701"/>
      <c r="C192" s="701"/>
      <c r="D192" s="701"/>
      <c r="E192" s="701"/>
      <c r="F192" s="701"/>
      <c r="G192" s="701"/>
      <c r="H192" s="701"/>
      <c r="I192" s="701"/>
      <c r="J192" s="701"/>
      <c r="K192" s="701"/>
      <c r="L192" s="701"/>
      <c r="M192" s="701"/>
      <c r="N192" s="701"/>
      <c r="O192" s="701"/>
      <c r="P192" s="701"/>
      <c r="Q192" s="701"/>
      <c r="R192" s="701"/>
      <c r="S192" s="701"/>
      <c r="T192" s="701"/>
      <c r="U192" s="701"/>
      <c r="V192" s="701"/>
      <c r="W192" s="701"/>
    </row>
    <row r="193" spans="1:23" x14ac:dyDescent="0.25">
      <c r="A193" s="707"/>
      <c r="B193" s="707"/>
      <c r="C193" s="708" t="s">
        <v>358</v>
      </c>
      <c r="D193" s="707"/>
      <c r="E193" s="707"/>
      <c r="F193" s="707"/>
      <c r="G193" s="707"/>
      <c r="H193" s="707"/>
      <c r="I193" s="707"/>
      <c r="J193" s="707"/>
      <c r="K193" s="707"/>
      <c r="L193" s="707"/>
      <c r="M193" s="707"/>
      <c r="N193" s="707"/>
      <c r="O193" s="707"/>
      <c r="P193" s="707"/>
      <c r="Q193" s="707"/>
      <c r="R193" s="707"/>
      <c r="S193" s="707"/>
      <c r="T193" s="707"/>
      <c r="U193" s="707"/>
      <c r="V193" s="707"/>
      <c r="W193" s="707"/>
    </row>
    <row r="194" spans="1:23" x14ac:dyDescent="0.25">
      <c r="A194" s="701"/>
      <c r="B194" s="701"/>
      <c r="C194" s="701"/>
      <c r="D194" s="701"/>
      <c r="E194" s="701"/>
      <c r="F194" s="701"/>
      <c r="G194" s="701"/>
      <c r="H194" s="701"/>
      <c r="I194" s="701"/>
      <c r="J194" s="701"/>
      <c r="K194" s="701"/>
      <c r="L194" s="701"/>
      <c r="M194" s="701"/>
      <c r="N194" s="701"/>
      <c r="O194" s="701"/>
      <c r="P194" s="701"/>
      <c r="Q194" s="701"/>
      <c r="R194" s="701"/>
      <c r="S194" s="701"/>
      <c r="T194" s="701"/>
      <c r="U194" s="701"/>
      <c r="V194" s="701"/>
      <c r="W194" s="701"/>
    </row>
    <row r="195" spans="1:23" x14ac:dyDescent="0.25">
      <c r="A195" s="701"/>
      <c r="B195" s="701"/>
      <c r="C195" s="780" t="s">
        <v>128</v>
      </c>
      <c r="D195" s="775" t="s">
        <v>42</v>
      </c>
      <c r="E195" s="775" t="s">
        <v>52</v>
      </c>
      <c r="F195" s="775" t="s">
        <v>53</v>
      </c>
      <c r="G195" s="775" t="s">
        <v>482</v>
      </c>
      <c r="H195" s="775" t="s">
        <v>32</v>
      </c>
      <c r="I195" s="775" t="s">
        <v>483</v>
      </c>
      <c r="J195" s="775" t="s">
        <v>20</v>
      </c>
      <c r="K195" s="775" t="s">
        <v>55</v>
      </c>
      <c r="L195" s="777" t="s">
        <v>56</v>
      </c>
      <c r="M195" s="778"/>
      <c r="N195" s="778"/>
      <c r="O195" s="778"/>
      <c r="P195" s="778"/>
      <c r="Q195" s="779"/>
      <c r="R195" s="775" t="s">
        <v>57</v>
      </c>
      <c r="S195" s="775" t="s">
        <v>58</v>
      </c>
      <c r="T195" s="775" t="s">
        <v>31</v>
      </c>
      <c r="U195" s="775" t="s">
        <v>10</v>
      </c>
      <c r="V195" s="701"/>
      <c r="W195" s="701"/>
    </row>
    <row r="196" spans="1:23" ht="67.5" x14ac:dyDescent="0.25">
      <c r="A196" s="701" t="s">
        <v>486</v>
      </c>
      <c r="B196" s="701"/>
      <c r="C196" s="781"/>
      <c r="D196" s="776"/>
      <c r="E196" s="776"/>
      <c r="F196" s="776"/>
      <c r="G196" s="776"/>
      <c r="H196" s="776"/>
      <c r="I196" s="776"/>
      <c r="J196" s="776"/>
      <c r="K196" s="776"/>
      <c r="L196" s="709" t="s">
        <v>335</v>
      </c>
      <c r="M196" s="709" t="s">
        <v>40</v>
      </c>
      <c r="N196" s="709" t="s">
        <v>343</v>
      </c>
      <c r="O196" s="709" t="s">
        <v>344</v>
      </c>
      <c r="P196" s="719" t="s">
        <v>610</v>
      </c>
      <c r="Q196" s="709" t="s">
        <v>346</v>
      </c>
      <c r="R196" s="776"/>
      <c r="S196" s="776"/>
      <c r="T196" s="776"/>
      <c r="U196" s="776"/>
      <c r="V196" s="701"/>
      <c r="W196" s="701"/>
    </row>
    <row r="197" spans="1:23" x14ac:dyDescent="0.25">
      <c r="A197" s="701" t="s">
        <v>487</v>
      </c>
      <c r="B197" s="701"/>
      <c r="C197" s="710" t="s">
        <v>59</v>
      </c>
      <c r="D197" s="711">
        <f>Bilans_E_AMS_Kyoto_run3_MTE!H347</f>
        <v>0</v>
      </c>
      <c r="E197" s="711">
        <f>Bilans_E_AMS_Kyoto_run3_MTE!I347</f>
        <v>4.7683</v>
      </c>
      <c r="F197" s="711">
        <f>Bilans_E_AMS_Kyoto_run3_MTE!J347</f>
        <v>0</v>
      </c>
      <c r="G197" s="711">
        <f>Bilans_E_AMS_Kyoto_run3_MTE!K347</f>
        <v>0</v>
      </c>
      <c r="H197" s="711">
        <f>Bilans_E_AMS_Kyoto_run3_MTE!L347</f>
        <v>9.8855000000000012E-2</v>
      </c>
      <c r="I197" s="711">
        <f>Bilans_E_AMS_Kyoto_run3_MTE!M347</f>
        <v>0</v>
      </c>
      <c r="J197" s="711">
        <f>Bilans_E_AMS_Kyoto_run3_MTE!N347</f>
        <v>1162.7439999999999</v>
      </c>
      <c r="K197" s="711">
        <f>Bilans_E_AMS_Kyoto_run3_MTE!O347</f>
        <v>299.59846132130883</v>
      </c>
      <c r="L197" s="711">
        <f>Bilans_E_AMS_Kyoto_run3_MTE!P347</f>
        <v>319.01734498759413</v>
      </c>
      <c r="M197" s="711">
        <f>Bilans_E_AMS_Kyoto_run3_MTE!Q347</f>
        <v>51.348490193266947</v>
      </c>
      <c r="N197" s="711">
        <f>Bilans_E_AMS_Kyoto_run3_MTE!R347</f>
        <v>0</v>
      </c>
      <c r="O197" s="711">
        <f>Bilans_E_AMS_Kyoto_run3_MTE!S347</f>
        <v>0</v>
      </c>
      <c r="P197" s="711">
        <f>Bilans_E_AMS_Kyoto_run3_MTE!T347+Bilans_E_AMS_Kyoto_run3_MTE!U347</f>
        <v>171.39585425670967</v>
      </c>
      <c r="Q197" s="711">
        <f>Bilans_E_AMS_Kyoto_run3_MTE!V347</f>
        <v>34.299691863986411</v>
      </c>
      <c r="R197" s="711">
        <f>Bilans_E_AMS_Kyoto_run3_MTE!W347</f>
        <v>0</v>
      </c>
      <c r="S197" s="711">
        <f>Bilans_E_AMS_Kyoto_run3_MTE!X347</f>
        <v>0</v>
      </c>
      <c r="T197" s="711">
        <f>Bilans_E_AMS_Kyoto_run3_MTE!Y347</f>
        <v>0</v>
      </c>
      <c r="U197" s="711">
        <f>Bilans_E_AMS_Kyoto_run3_MTE!Z347</f>
        <v>2043.2709976228659</v>
      </c>
      <c r="V197" s="701"/>
      <c r="W197" s="701"/>
    </row>
    <row r="198" spans="1:23" x14ac:dyDescent="0.25">
      <c r="A198" s="701" t="s">
        <v>488</v>
      </c>
      <c r="B198" s="701"/>
      <c r="C198" s="710" t="s">
        <v>60</v>
      </c>
      <c r="D198" s="712">
        <f>Bilans_E_AMS_Kyoto_run3_MTE!H348</f>
        <v>13.10897607421875</v>
      </c>
      <c r="E198" s="712">
        <f>Bilans_E_AMS_Kyoto_run3_MTE!I348</f>
        <v>308.93113241881071</v>
      </c>
      <c r="F198" s="712">
        <f>Bilans_E_AMS_Kyoto_run3_MTE!J348</f>
        <v>121.08575062075425</v>
      </c>
      <c r="G198" s="712">
        <f>Bilans_E_AMS_Kyoto_run3_MTE!K348</f>
        <v>2.7939885995123079</v>
      </c>
      <c r="H198" s="712">
        <f>Bilans_E_AMS_Kyoto_run3_MTE!L348</f>
        <v>208.53518235241728</v>
      </c>
      <c r="I198" s="712">
        <f>Bilans_E_AMS_Kyoto_run3_MTE!M348</f>
        <v>0</v>
      </c>
      <c r="J198" s="712">
        <f>Bilans_E_AMS_Kyoto_run3_MTE!N348</f>
        <v>0</v>
      </c>
      <c r="K198" s="712">
        <f>Bilans_E_AMS_Kyoto_run3_MTE!O348</f>
        <v>0</v>
      </c>
      <c r="L198" s="712">
        <f>Bilans_E_AMS_Kyoto_run3_MTE!P348</f>
        <v>3.9620965723904646</v>
      </c>
      <c r="M198" s="712">
        <f>Bilans_E_AMS_Kyoto_run3_MTE!Q348</f>
        <v>0</v>
      </c>
      <c r="N198" s="712">
        <f>Bilans_E_AMS_Kyoto_run3_MTE!R348</f>
        <v>15.040491481755694</v>
      </c>
      <c r="O198" s="712">
        <f>Bilans_E_AMS_Kyoto_run3_MTE!S348</f>
        <v>7.9892327206458447E-2</v>
      </c>
      <c r="P198" s="712">
        <f>Bilans_E_AMS_Kyoto_run3_MTE!T348+Bilans_E_AMS_Kyoto_run3_MTE!U348</f>
        <v>0</v>
      </c>
      <c r="Q198" s="712">
        <f>Bilans_E_AMS_Kyoto_run3_MTE!V348</f>
        <v>0</v>
      </c>
      <c r="R198" s="712">
        <f>Bilans_E_AMS_Kyoto_run3_MTE!W348</f>
        <v>0</v>
      </c>
      <c r="S198" s="712">
        <f>Bilans_E_AMS_Kyoto_run3_MTE!X348</f>
        <v>0</v>
      </c>
      <c r="T198" s="712">
        <f>Bilans_E_AMS_Kyoto_run3_MTE!Y348</f>
        <v>0</v>
      </c>
      <c r="U198" s="712">
        <f>Bilans_E_AMS_Kyoto_run3_MTE!Z348</f>
        <v>673.53751044706598</v>
      </c>
      <c r="V198" s="701"/>
      <c r="W198" s="701"/>
    </row>
    <row r="199" spans="1:23" x14ac:dyDescent="0.25">
      <c r="A199" s="701" t="s">
        <v>489</v>
      </c>
      <c r="B199" s="701"/>
      <c r="C199" s="710" t="s">
        <v>61</v>
      </c>
      <c r="D199" s="712">
        <f>Bilans_E_AMS_Kyoto_run3_MTE!H349</f>
        <v>0</v>
      </c>
      <c r="E199" s="712">
        <f>Bilans_E_AMS_Kyoto_run3_MTE!I349</f>
        <v>0</v>
      </c>
      <c r="F199" s="712">
        <f>Bilans_E_AMS_Kyoto_run3_MTE!J349</f>
        <v>0</v>
      </c>
      <c r="G199" s="712">
        <f>Bilans_E_AMS_Kyoto_run3_MTE!K349</f>
        <v>0</v>
      </c>
      <c r="H199" s="712">
        <f>Bilans_E_AMS_Kyoto_run3_MTE!L349</f>
        <v>0</v>
      </c>
      <c r="I199" s="712">
        <f>Bilans_E_AMS_Kyoto_run3_MTE!M349</f>
        <v>0</v>
      </c>
      <c r="J199" s="712">
        <f>Bilans_E_AMS_Kyoto_run3_MTE!N349</f>
        <v>0</v>
      </c>
      <c r="K199" s="712">
        <f>Bilans_E_AMS_Kyoto_run3_MTE!O349</f>
        <v>0</v>
      </c>
      <c r="L199" s="712">
        <f>Bilans_E_AMS_Kyoto_run3_MTE!P349</f>
        <v>0</v>
      </c>
      <c r="M199" s="712">
        <f>Bilans_E_AMS_Kyoto_run3_MTE!Q349</f>
        <v>0</v>
      </c>
      <c r="N199" s="712">
        <f>Bilans_E_AMS_Kyoto_run3_MTE!R349</f>
        <v>0</v>
      </c>
      <c r="O199" s="712">
        <f>Bilans_E_AMS_Kyoto_run3_MTE!S349</f>
        <v>0</v>
      </c>
      <c r="P199" s="712">
        <f>Bilans_E_AMS_Kyoto_run3_MTE!T349+Bilans_E_AMS_Kyoto_run3_MTE!U349</f>
        <v>0</v>
      </c>
      <c r="Q199" s="712">
        <f>Bilans_E_AMS_Kyoto_run3_MTE!V349</f>
        <v>0</v>
      </c>
      <c r="R199" s="712">
        <f>Bilans_E_AMS_Kyoto_run3_MTE!W349</f>
        <v>-95.466033511784872</v>
      </c>
      <c r="S199" s="712">
        <f>Bilans_E_AMS_Kyoto_run3_MTE!X349</f>
        <v>0</v>
      </c>
      <c r="T199" s="712">
        <f>Bilans_E_AMS_Kyoto_run3_MTE!Y349</f>
        <v>0</v>
      </c>
      <c r="U199" s="712">
        <f>Bilans_E_AMS_Kyoto_run3_MTE!Z349</f>
        <v>-95.466033511784872</v>
      </c>
      <c r="V199" s="701"/>
      <c r="W199" s="701"/>
    </row>
    <row r="200" spans="1:23" x14ac:dyDescent="0.25">
      <c r="A200" s="701" t="s">
        <v>490</v>
      </c>
      <c r="B200" s="701"/>
      <c r="C200" s="710" t="s">
        <v>62</v>
      </c>
      <c r="D200" s="711">
        <f>Bilans_E_AMS_Kyoto_run3_MTE!H350</f>
        <v>0</v>
      </c>
      <c r="E200" s="711">
        <f>Bilans_E_AMS_Kyoto_run3_MTE!I350</f>
        <v>0</v>
      </c>
      <c r="F200" s="711">
        <f>Bilans_E_AMS_Kyoto_run3_MTE!J350</f>
        <v>-7.1897413553368033</v>
      </c>
      <c r="G200" s="711">
        <f>Bilans_E_AMS_Kyoto_run3_MTE!K350</f>
        <v>-0.40871635052551269</v>
      </c>
      <c r="H200" s="711">
        <f>Bilans_E_AMS_Kyoto_run3_MTE!L350</f>
        <v>-0.64998497552234569</v>
      </c>
      <c r="I200" s="711">
        <f>Bilans_E_AMS_Kyoto_run3_MTE!M350</f>
        <v>-0.61307452578826904</v>
      </c>
      <c r="J200" s="711">
        <f>Bilans_E_AMS_Kyoto_run3_MTE!N350</f>
        <v>0</v>
      </c>
      <c r="K200" s="711">
        <f>Bilans_E_AMS_Kyoto_run3_MTE!O350</f>
        <v>0</v>
      </c>
      <c r="L200" s="711">
        <f>Bilans_E_AMS_Kyoto_run3_MTE!P350</f>
        <v>0</v>
      </c>
      <c r="M200" s="711">
        <f>Bilans_E_AMS_Kyoto_run3_MTE!Q350</f>
        <v>0</v>
      </c>
      <c r="N200" s="711">
        <f>Bilans_E_AMS_Kyoto_run3_MTE!R350</f>
        <v>0</v>
      </c>
      <c r="O200" s="711">
        <f>Bilans_E_AMS_Kyoto_run3_MTE!S350</f>
        <v>-1.0039414282398573</v>
      </c>
      <c r="P200" s="711">
        <f>Bilans_E_AMS_Kyoto_run3_MTE!T350+Bilans_E_AMS_Kyoto_run3_MTE!U350</f>
        <v>0</v>
      </c>
      <c r="Q200" s="711">
        <f>Bilans_E_AMS_Kyoto_run3_MTE!V350</f>
        <v>0</v>
      </c>
      <c r="R200" s="711">
        <f>Bilans_E_AMS_Kyoto_run3_MTE!W350</f>
        <v>0</v>
      </c>
      <c r="S200" s="711">
        <f>Bilans_E_AMS_Kyoto_run3_MTE!X350</f>
        <v>0</v>
      </c>
      <c r="T200" s="711">
        <f>Bilans_E_AMS_Kyoto_run3_MTE!Y350</f>
        <v>-0.37964157661678277</v>
      </c>
      <c r="U200" s="711">
        <f>Bilans_E_AMS_Kyoto_run3_MTE!Z350</f>
        <v>-10.24510021202957</v>
      </c>
      <c r="V200" s="701"/>
      <c r="W200" s="701"/>
    </row>
    <row r="201" spans="1:23" x14ac:dyDescent="0.25">
      <c r="A201" s="701" t="s">
        <v>491</v>
      </c>
      <c r="B201" s="701"/>
      <c r="C201" s="710" t="s">
        <v>63</v>
      </c>
      <c r="D201" s="711">
        <f>Bilans_E_AMS_Kyoto_run3_MTE!H351</f>
        <v>0</v>
      </c>
      <c r="E201" s="711">
        <f>Bilans_E_AMS_Kyoto_run3_MTE!I351</f>
        <v>0</v>
      </c>
      <c r="F201" s="711">
        <f>Bilans_E_AMS_Kyoto_run3_MTE!J351</f>
        <v>-56</v>
      </c>
      <c r="G201" s="711">
        <f>Bilans_E_AMS_Kyoto_run3_MTE!K351</f>
        <v>-4</v>
      </c>
      <c r="H201" s="711">
        <f>Bilans_E_AMS_Kyoto_run3_MTE!L351</f>
        <v>0</v>
      </c>
      <c r="I201" s="711">
        <f>Bilans_E_AMS_Kyoto_run3_MTE!M351</f>
        <v>0</v>
      </c>
      <c r="J201" s="711">
        <f>Bilans_E_AMS_Kyoto_run3_MTE!N351</f>
        <v>0</v>
      </c>
      <c r="K201" s="711">
        <f>Bilans_E_AMS_Kyoto_run3_MTE!O351</f>
        <v>0</v>
      </c>
      <c r="L201" s="711">
        <f>Bilans_E_AMS_Kyoto_run3_MTE!P351</f>
        <v>0</v>
      </c>
      <c r="M201" s="711">
        <f>Bilans_E_AMS_Kyoto_run3_MTE!Q351</f>
        <v>0</v>
      </c>
      <c r="N201" s="711">
        <f>Bilans_E_AMS_Kyoto_run3_MTE!R351</f>
        <v>-11</v>
      </c>
      <c r="O201" s="711">
        <f>Bilans_E_AMS_Kyoto_run3_MTE!S351</f>
        <v>0</v>
      </c>
      <c r="P201" s="711">
        <f>Bilans_E_AMS_Kyoto_run3_MTE!T351+Bilans_E_AMS_Kyoto_run3_MTE!U351</f>
        <v>0</v>
      </c>
      <c r="Q201" s="711">
        <f>Bilans_E_AMS_Kyoto_run3_MTE!V351</f>
        <v>0</v>
      </c>
      <c r="R201" s="711">
        <f>Bilans_E_AMS_Kyoto_run3_MTE!W351</f>
        <v>0</v>
      </c>
      <c r="S201" s="711">
        <f>Bilans_E_AMS_Kyoto_run3_MTE!X351</f>
        <v>0</v>
      </c>
      <c r="T201" s="711">
        <f>Bilans_E_AMS_Kyoto_run3_MTE!Y351</f>
        <v>-1</v>
      </c>
      <c r="U201" s="711">
        <f>Bilans_E_AMS_Kyoto_run3_MTE!Z351</f>
        <v>-72</v>
      </c>
      <c r="V201" s="701"/>
      <c r="W201" s="701"/>
    </row>
    <row r="202" spans="1:23" x14ac:dyDescent="0.25">
      <c r="A202" s="701" t="s">
        <v>492</v>
      </c>
      <c r="B202" s="701"/>
      <c r="C202" s="710" t="s">
        <v>64</v>
      </c>
      <c r="D202" s="712">
        <f>Bilans_E_AMS_Kyoto_run3_MTE!H352</f>
        <v>0</v>
      </c>
      <c r="E202" s="712">
        <f>Bilans_E_AMS_Kyoto_run3_MTE!I352</f>
        <v>0</v>
      </c>
      <c r="F202" s="712">
        <f>Bilans_E_AMS_Kyoto_run3_MTE!J352</f>
        <v>0</v>
      </c>
      <c r="G202" s="712">
        <f>Bilans_E_AMS_Kyoto_run3_MTE!K352</f>
        <v>0</v>
      </c>
      <c r="H202" s="712">
        <f>Bilans_E_AMS_Kyoto_run3_MTE!L352</f>
        <v>0</v>
      </c>
      <c r="I202" s="712">
        <f>Bilans_E_AMS_Kyoto_run3_MTE!M352</f>
        <v>0</v>
      </c>
      <c r="J202" s="712">
        <f>Bilans_E_AMS_Kyoto_run3_MTE!N352</f>
        <v>0</v>
      </c>
      <c r="K202" s="712">
        <f>Bilans_E_AMS_Kyoto_run3_MTE!O352</f>
        <v>0</v>
      </c>
      <c r="L202" s="712">
        <f>Bilans_E_AMS_Kyoto_run3_MTE!P352</f>
        <v>0</v>
      </c>
      <c r="M202" s="712">
        <f>Bilans_E_AMS_Kyoto_run3_MTE!Q352</f>
        <v>0</v>
      </c>
      <c r="N202" s="712">
        <f>Bilans_E_AMS_Kyoto_run3_MTE!R352</f>
        <v>0</v>
      </c>
      <c r="O202" s="712">
        <f>Bilans_E_AMS_Kyoto_run3_MTE!S352</f>
        <v>0</v>
      </c>
      <c r="P202" s="712">
        <f>Bilans_E_AMS_Kyoto_run3_MTE!T352+Bilans_E_AMS_Kyoto_run3_MTE!U352</f>
        <v>0</v>
      </c>
      <c r="Q202" s="712">
        <f>Bilans_E_AMS_Kyoto_run3_MTE!V352</f>
        <v>0</v>
      </c>
      <c r="R202" s="712">
        <f>Bilans_E_AMS_Kyoto_run3_MTE!W352</f>
        <v>0</v>
      </c>
      <c r="S202" s="712">
        <f>Bilans_E_AMS_Kyoto_run3_MTE!X352</f>
        <v>0</v>
      </c>
      <c r="T202" s="712">
        <f>Bilans_E_AMS_Kyoto_run3_MTE!Y352</f>
        <v>0</v>
      </c>
      <c r="U202" s="712">
        <f>Bilans_E_AMS_Kyoto_run3_MTE!Z352</f>
        <v>0</v>
      </c>
      <c r="V202" s="701"/>
      <c r="W202" s="701"/>
    </row>
    <row r="203" spans="1:23" x14ac:dyDescent="0.25">
      <c r="A203" s="701" t="s">
        <v>493</v>
      </c>
      <c r="B203" s="701"/>
      <c r="C203" s="713" t="s">
        <v>65</v>
      </c>
      <c r="D203" s="714">
        <f>Bilans_E_AMS_Kyoto_run3_MTE!H353</f>
        <v>13.10897607421875</v>
      </c>
      <c r="E203" s="714">
        <f>Bilans_E_AMS_Kyoto_run3_MTE!I353</f>
        <v>313.69943241881072</v>
      </c>
      <c r="F203" s="714">
        <f>Bilans_E_AMS_Kyoto_run3_MTE!J353</f>
        <v>57.896009265417447</v>
      </c>
      <c r="G203" s="714">
        <f>Bilans_E_AMS_Kyoto_run3_MTE!K353</f>
        <v>-1.6147277510132048</v>
      </c>
      <c r="H203" s="714">
        <f>Bilans_E_AMS_Kyoto_run3_MTE!L353</f>
        <v>207.98405237689491</v>
      </c>
      <c r="I203" s="714">
        <f>Bilans_E_AMS_Kyoto_run3_MTE!M353</f>
        <v>-0.61307452578826904</v>
      </c>
      <c r="J203" s="714">
        <f>Bilans_E_AMS_Kyoto_run3_MTE!N353</f>
        <v>1162.7439999999999</v>
      </c>
      <c r="K203" s="714">
        <f>Bilans_E_AMS_Kyoto_run3_MTE!O353</f>
        <v>299.59846132130883</v>
      </c>
      <c r="L203" s="714">
        <f>Bilans_E_AMS_Kyoto_run3_MTE!P353</f>
        <v>322.97944155998459</v>
      </c>
      <c r="M203" s="714">
        <f>Bilans_E_AMS_Kyoto_run3_MTE!Q353</f>
        <v>51.348490193266947</v>
      </c>
      <c r="N203" s="714">
        <f>Bilans_E_AMS_Kyoto_run3_MTE!R353</f>
        <v>4.0404914817556943</v>
      </c>
      <c r="O203" s="714">
        <f>Bilans_E_AMS_Kyoto_run3_MTE!S353</f>
        <v>-0.92404910103339888</v>
      </c>
      <c r="P203" s="714">
        <f>Bilans_E_AMS_Kyoto_run3_MTE!T353+Bilans_E_AMS_Kyoto_run3_MTE!U353</f>
        <v>171.39585425670967</v>
      </c>
      <c r="Q203" s="714">
        <f>Bilans_E_AMS_Kyoto_run3_MTE!V353</f>
        <v>34.299691863986411</v>
      </c>
      <c r="R203" s="714">
        <f>Bilans_E_AMS_Kyoto_run3_MTE!W353</f>
        <v>-95.466033511784872</v>
      </c>
      <c r="S203" s="714">
        <f>Bilans_E_AMS_Kyoto_run3_MTE!X353</f>
        <v>0</v>
      </c>
      <c r="T203" s="714">
        <f>Bilans_E_AMS_Kyoto_run3_MTE!Y353</f>
        <v>-1.3796415766167827</v>
      </c>
      <c r="U203" s="714">
        <f>Bilans_E_AMS_Kyoto_run3_MTE!Z353</f>
        <v>2539.0973743461172</v>
      </c>
      <c r="V203" s="701"/>
      <c r="W203" s="701"/>
    </row>
    <row r="204" spans="1:23" x14ac:dyDescent="0.25">
      <c r="A204" s="701"/>
      <c r="B204" s="701"/>
      <c r="C204" s="715"/>
      <c r="D204" s="716"/>
      <c r="E204" s="716"/>
      <c r="F204" s="716"/>
      <c r="G204" s="716"/>
      <c r="H204" s="716"/>
      <c r="I204" s="716"/>
      <c r="J204" s="716"/>
      <c r="K204" s="716"/>
      <c r="L204" s="716"/>
      <c r="M204" s="716"/>
      <c r="N204" s="716"/>
      <c r="O204" s="716"/>
      <c r="P204" s="716">
        <f>Bilans_E_AMS_Kyoto_run3_MTE!T354+Bilans_E_AMS_Kyoto_run3_MTE!U354</f>
        <v>0</v>
      </c>
      <c r="Q204" s="716"/>
      <c r="R204" s="716"/>
      <c r="S204" s="716"/>
      <c r="T204" s="716"/>
      <c r="U204" s="716"/>
      <c r="V204" s="701"/>
      <c r="W204" s="701"/>
    </row>
    <row r="205" spans="1:23" x14ac:dyDescent="0.25">
      <c r="A205" s="701" t="s">
        <v>494</v>
      </c>
      <c r="B205" s="701"/>
      <c r="C205" s="717" t="s">
        <v>67</v>
      </c>
      <c r="D205" s="711">
        <f>Bilans_E_AMS_Kyoto_run3_MTE!H355</f>
        <v>0</v>
      </c>
      <c r="E205" s="711">
        <f>Bilans_E_AMS_Kyoto_run3_MTE!I355</f>
        <v>0</v>
      </c>
      <c r="F205" s="711">
        <f>Bilans_E_AMS_Kyoto_run3_MTE!J355</f>
        <v>0</v>
      </c>
      <c r="G205" s="711">
        <f>Bilans_E_AMS_Kyoto_run3_MTE!K355</f>
        <v>0</v>
      </c>
      <c r="H205" s="711">
        <f>Bilans_E_AMS_Kyoto_run3_MTE!L355</f>
        <v>0</v>
      </c>
      <c r="I205" s="711">
        <f>Bilans_E_AMS_Kyoto_run3_MTE!M355</f>
        <v>0</v>
      </c>
      <c r="J205" s="711">
        <f>Bilans_E_AMS_Kyoto_run3_MTE!N355</f>
        <v>0</v>
      </c>
      <c r="K205" s="711">
        <f>Bilans_E_AMS_Kyoto_run3_MTE!O355</f>
        <v>0</v>
      </c>
      <c r="L205" s="711">
        <f>Bilans_E_AMS_Kyoto_run3_MTE!P355</f>
        <v>0</v>
      </c>
      <c r="M205" s="711">
        <f>Bilans_E_AMS_Kyoto_run3_MTE!Q355</f>
        <v>0</v>
      </c>
      <c r="N205" s="711">
        <f>Bilans_E_AMS_Kyoto_run3_MTE!R355</f>
        <v>0</v>
      </c>
      <c r="O205" s="711">
        <f>Bilans_E_AMS_Kyoto_run3_MTE!S355</f>
        <v>0</v>
      </c>
      <c r="P205" s="711">
        <f>Bilans_E_AMS_Kyoto_run3_MTE!T355+Bilans_E_AMS_Kyoto_run3_MTE!U355</f>
        <v>0</v>
      </c>
      <c r="Q205" s="711">
        <f>Bilans_E_AMS_Kyoto_run3_MTE!V355</f>
        <v>0</v>
      </c>
      <c r="R205" s="711">
        <f>Bilans_E_AMS_Kyoto_run3_MTE!W355</f>
        <v>0</v>
      </c>
      <c r="S205" s="711">
        <f>Bilans_E_AMS_Kyoto_run3_MTE!X355</f>
        <v>0</v>
      </c>
      <c r="T205" s="711">
        <f>Bilans_E_AMS_Kyoto_run3_MTE!Y355</f>
        <v>0</v>
      </c>
      <c r="U205" s="711">
        <f>Bilans_E_AMS_Kyoto_run3_MTE!Z355</f>
        <v>0</v>
      </c>
      <c r="V205" s="701"/>
      <c r="W205" s="701"/>
    </row>
    <row r="206" spans="1:23" x14ac:dyDescent="0.25">
      <c r="A206" s="701" t="s">
        <v>495</v>
      </c>
      <c r="B206" s="701"/>
      <c r="C206" s="717" t="s">
        <v>347</v>
      </c>
      <c r="D206" s="711">
        <f>Bilans_E_AMS_Kyoto_run3_MTE!H356</f>
        <v>0</v>
      </c>
      <c r="E206" s="711">
        <f>Bilans_E_AMS_Kyoto_run3_MTE!I356</f>
        <v>0</v>
      </c>
      <c r="F206" s="711">
        <f>Bilans_E_AMS_Kyoto_run3_MTE!J356</f>
        <v>0.802217285608815</v>
      </c>
      <c r="G206" s="711">
        <f>Bilans_E_AMS_Kyoto_run3_MTE!K356</f>
        <v>0</v>
      </c>
      <c r="H206" s="711">
        <f>Bilans_E_AMS_Kyoto_run3_MTE!L356</f>
        <v>25.778498998044444</v>
      </c>
      <c r="I206" s="711">
        <f>Bilans_E_AMS_Kyoto_run3_MTE!M356</f>
        <v>0</v>
      </c>
      <c r="J206" s="711">
        <f>Bilans_E_AMS_Kyoto_run3_MTE!N356</f>
        <v>1162.7439999999999</v>
      </c>
      <c r="K206" s="711">
        <f>Bilans_E_AMS_Kyoto_run3_MTE!O356</f>
        <v>299.59846132130883</v>
      </c>
      <c r="L206" s="711">
        <f>Bilans_E_AMS_Kyoto_run3_MTE!P356</f>
        <v>15.921747993621487</v>
      </c>
      <c r="M206" s="711">
        <f>Bilans_E_AMS_Kyoto_run3_MTE!Q356</f>
        <v>5.93692826914703</v>
      </c>
      <c r="N206" s="711">
        <f>Bilans_E_AMS_Kyoto_run3_MTE!R356</f>
        <v>5.0291337303525587</v>
      </c>
      <c r="O206" s="711">
        <f>Bilans_E_AMS_Kyoto_run3_MTE!S356</f>
        <v>8.748119861379541</v>
      </c>
      <c r="P206" s="711">
        <f>Bilans_E_AMS_Kyoto_run3_MTE!T356+Bilans_E_AMS_Kyoto_run3_MTE!U356</f>
        <v>0</v>
      </c>
      <c r="Q206" s="711">
        <f>Bilans_E_AMS_Kyoto_run3_MTE!V356</f>
        <v>2.7943993103273139</v>
      </c>
      <c r="R206" s="711">
        <f>Bilans_E_AMS_Kyoto_run3_MTE!W356</f>
        <v>-717.37547960636846</v>
      </c>
      <c r="S206" s="711">
        <f>Bilans_E_AMS_Kyoto_run3_MTE!X356</f>
        <v>0</v>
      </c>
      <c r="T206" s="711">
        <f>Bilans_E_AMS_Kyoto_run3_MTE!Y356</f>
        <v>0</v>
      </c>
      <c r="U206" s="711">
        <f>Bilans_E_AMS_Kyoto_run3_MTE!Z356</f>
        <v>809.97802716342164</v>
      </c>
      <c r="V206" s="701"/>
      <c r="W206" s="701"/>
    </row>
    <row r="207" spans="1:23" x14ac:dyDescent="0.25">
      <c r="A207" s="701" t="s">
        <v>496</v>
      </c>
      <c r="B207" s="701"/>
      <c r="C207" s="717" t="s">
        <v>348</v>
      </c>
      <c r="D207" s="711">
        <f>Bilans_E_AMS_Kyoto_run3_MTE!H357</f>
        <v>0</v>
      </c>
      <c r="E207" s="711">
        <f>Bilans_E_AMS_Kyoto_run3_MTE!I357</f>
        <v>0</v>
      </c>
      <c r="F207" s="711">
        <f>Bilans_E_AMS_Kyoto_run3_MTE!J357</f>
        <v>0</v>
      </c>
      <c r="G207" s="711">
        <f>Bilans_E_AMS_Kyoto_run3_MTE!K357</f>
        <v>0</v>
      </c>
      <c r="H207" s="711">
        <f>Bilans_E_AMS_Kyoto_run3_MTE!L357</f>
        <v>21.610761712544495</v>
      </c>
      <c r="I207" s="711">
        <f>Bilans_E_AMS_Kyoto_run3_MTE!M357</f>
        <v>0</v>
      </c>
      <c r="J207" s="711">
        <f>Bilans_E_AMS_Kyoto_run3_MTE!N357</f>
        <v>0</v>
      </c>
      <c r="K207" s="711">
        <f>Bilans_E_AMS_Kyoto_run3_MTE!O357</f>
        <v>0</v>
      </c>
      <c r="L207" s="711">
        <f>Bilans_E_AMS_Kyoto_run3_MTE!P357</f>
        <v>24.785104378649287</v>
      </c>
      <c r="M207" s="711">
        <f>Bilans_E_AMS_Kyoto_run3_MTE!Q357</f>
        <v>17.95996245859666</v>
      </c>
      <c r="N207" s="711">
        <f>Bilans_E_AMS_Kyoto_run3_MTE!R357</f>
        <v>0</v>
      </c>
      <c r="O207" s="711">
        <f>Bilans_E_AMS_Kyoto_run3_MTE!S357</f>
        <v>6.3205787341877624</v>
      </c>
      <c r="P207" s="711">
        <f>Bilans_E_AMS_Kyoto_run3_MTE!T357+Bilans_E_AMS_Kyoto_run3_MTE!U357</f>
        <v>14.160487242314748</v>
      </c>
      <c r="Q207" s="711">
        <f>Bilans_E_AMS_Kyoto_run3_MTE!V357</f>
        <v>14.189843081655606</v>
      </c>
      <c r="R207" s="711">
        <f>Bilans_E_AMS_Kyoto_run3_MTE!W357</f>
        <v>0</v>
      </c>
      <c r="S207" s="711">
        <f>Bilans_E_AMS_Kyoto_run3_MTE!X357</f>
        <v>-90.295152964101419</v>
      </c>
      <c r="T207" s="711">
        <f>Bilans_E_AMS_Kyoto_run3_MTE!Y357</f>
        <v>0</v>
      </c>
      <c r="U207" s="711">
        <f>Bilans_E_AMS_Kyoto_run3_MTE!Z357</f>
        <v>8.7315846438471425</v>
      </c>
      <c r="V207" s="701"/>
      <c r="W207" s="701"/>
    </row>
    <row r="208" spans="1:23" x14ac:dyDescent="0.25">
      <c r="A208" s="701" t="s">
        <v>497</v>
      </c>
      <c r="B208" s="701"/>
      <c r="C208" s="717" t="s">
        <v>349</v>
      </c>
      <c r="D208" s="711">
        <f>Bilans_E_AMS_Kyoto_run3_MTE!H358</f>
        <v>0</v>
      </c>
      <c r="E208" s="711">
        <f>Bilans_E_AMS_Kyoto_run3_MTE!I358</f>
        <v>0</v>
      </c>
      <c r="F208" s="711">
        <f>Bilans_E_AMS_Kyoto_run3_MTE!J358</f>
        <v>0</v>
      </c>
      <c r="G208" s="711">
        <f>Bilans_E_AMS_Kyoto_run3_MTE!K358</f>
        <v>0</v>
      </c>
      <c r="H208" s="711">
        <f>Bilans_E_AMS_Kyoto_run3_MTE!L358</f>
        <v>0</v>
      </c>
      <c r="I208" s="711">
        <f>Bilans_E_AMS_Kyoto_run3_MTE!M358</f>
        <v>0</v>
      </c>
      <c r="J208" s="711">
        <f>Bilans_E_AMS_Kyoto_run3_MTE!N358</f>
        <v>0</v>
      </c>
      <c r="K208" s="711">
        <f>Bilans_E_AMS_Kyoto_run3_MTE!O358</f>
        <v>0</v>
      </c>
      <c r="L208" s="711">
        <f>Bilans_E_AMS_Kyoto_run3_MTE!P358</f>
        <v>95.025274759778867</v>
      </c>
      <c r="M208" s="711">
        <f>Bilans_E_AMS_Kyoto_run3_MTE!Q358</f>
        <v>10.678076799137498</v>
      </c>
      <c r="N208" s="711">
        <f>Bilans_E_AMS_Kyoto_run3_MTE!R358</f>
        <v>0</v>
      </c>
      <c r="O208" s="711">
        <f>Bilans_E_AMS_Kyoto_run3_MTE!S358</f>
        <v>-52.932106946617139</v>
      </c>
      <c r="P208" s="711">
        <f>Bilans_E_AMS_Kyoto_run3_MTE!T358+Bilans_E_AMS_Kyoto_run3_MTE!U358</f>
        <v>0</v>
      </c>
      <c r="Q208" s="711">
        <f>Bilans_E_AMS_Kyoto_run3_MTE!V358</f>
        <v>0</v>
      </c>
      <c r="R208" s="711">
        <f>Bilans_E_AMS_Kyoto_run3_MTE!W358</f>
        <v>0</v>
      </c>
      <c r="S208" s="711">
        <f>Bilans_E_AMS_Kyoto_run3_MTE!X358</f>
        <v>0</v>
      </c>
      <c r="T208" s="711">
        <f>Bilans_E_AMS_Kyoto_run3_MTE!Y358</f>
        <v>0</v>
      </c>
      <c r="U208" s="711">
        <f>Bilans_E_AMS_Kyoto_run3_MTE!Z358</f>
        <v>52.771244612299228</v>
      </c>
      <c r="V208" s="701"/>
      <c r="W208" s="701"/>
    </row>
    <row r="209" spans="1:23" x14ac:dyDescent="0.25">
      <c r="A209" s="701" t="s">
        <v>498</v>
      </c>
      <c r="B209" s="701"/>
      <c r="C209" s="717" t="s">
        <v>350</v>
      </c>
      <c r="D209" s="711">
        <f>Bilans_E_AMS_Kyoto_run3_MTE!H359</f>
        <v>0</v>
      </c>
      <c r="E209" s="711">
        <f>Bilans_E_AMS_Kyoto_run3_MTE!I359</f>
        <v>0</v>
      </c>
      <c r="F209" s="711">
        <f>Bilans_E_AMS_Kyoto_run3_MTE!J359</f>
        <v>0</v>
      </c>
      <c r="G209" s="711">
        <f>Bilans_E_AMS_Kyoto_run3_MTE!K359</f>
        <v>0</v>
      </c>
      <c r="H209" s="711">
        <f>Bilans_E_AMS_Kyoto_run3_MTE!L359</f>
        <v>0</v>
      </c>
      <c r="I209" s="711">
        <f>Bilans_E_AMS_Kyoto_run3_MTE!M359</f>
        <v>-0.61307452578826904</v>
      </c>
      <c r="J209" s="711">
        <f>Bilans_E_AMS_Kyoto_run3_MTE!N359</f>
        <v>0</v>
      </c>
      <c r="K209" s="711">
        <f>Bilans_E_AMS_Kyoto_run3_MTE!O359</f>
        <v>0</v>
      </c>
      <c r="L209" s="711">
        <f>Bilans_E_AMS_Kyoto_run3_MTE!P359</f>
        <v>0</v>
      </c>
      <c r="M209" s="711">
        <f>Bilans_E_AMS_Kyoto_run3_MTE!Q359</f>
        <v>0</v>
      </c>
      <c r="N209" s="711">
        <f>Bilans_E_AMS_Kyoto_run3_MTE!R359</f>
        <v>0</v>
      </c>
      <c r="O209" s="711">
        <f>Bilans_E_AMS_Kyoto_run3_MTE!S359</f>
        <v>0</v>
      </c>
      <c r="P209" s="711">
        <f>Bilans_E_AMS_Kyoto_run3_MTE!T359+Bilans_E_AMS_Kyoto_run3_MTE!U359</f>
        <v>0</v>
      </c>
      <c r="Q209" s="711">
        <f>Bilans_E_AMS_Kyoto_run3_MTE!V359</f>
        <v>0</v>
      </c>
      <c r="R209" s="711">
        <f>Bilans_E_AMS_Kyoto_run3_MTE!W359</f>
        <v>0</v>
      </c>
      <c r="S209" s="711">
        <f>Bilans_E_AMS_Kyoto_run3_MTE!X359</f>
        <v>0</v>
      </c>
      <c r="T209" s="711">
        <f>Bilans_E_AMS_Kyoto_run3_MTE!Y359</f>
        <v>0.85149239692815148</v>
      </c>
      <c r="U209" s="711">
        <f>Bilans_E_AMS_Kyoto_run3_MTE!Z359</f>
        <v>0.23841787113988244</v>
      </c>
      <c r="V209" s="701"/>
      <c r="W209" s="701"/>
    </row>
    <row r="210" spans="1:23" x14ac:dyDescent="0.25">
      <c r="A210" s="701" t="s">
        <v>499</v>
      </c>
      <c r="B210" s="701"/>
      <c r="C210" s="717" t="s">
        <v>72</v>
      </c>
      <c r="D210" s="711">
        <f>Bilans_E_AMS_Kyoto_run3_MTE!H360</f>
        <v>0</v>
      </c>
      <c r="E210" s="711">
        <f>Bilans_E_AMS_Kyoto_run3_MTE!I360</f>
        <v>325.09767157974136</v>
      </c>
      <c r="F210" s="711">
        <f>Bilans_E_AMS_Kyoto_run3_MTE!J360</f>
        <v>-321.84669486394392</v>
      </c>
      <c r="G210" s="711">
        <f>Bilans_E_AMS_Kyoto_run3_MTE!K360</f>
        <v>0</v>
      </c>
      <c r="H210" s="711">
        <f>Bilans_E_AMS_Kyoto_run3_MTE!L360</f>
        <v>0</v>
      </c>
      <c r="I210" s="711">
        <f>Bilans_E_AMS_Kyoto_run3_MTE!M360</f>
        <v>0</v>
      </c>
      <c r="J210" s="711">
        <f>Bilans_E_AMS_Kyoto_run3_MTE!N360</f>
        <v>0</v>
      </c>
      <c r="K210" s="711">
        <f>Bilans_E_AMS_Kyoto_run3_MTE!O360</f>
        <v>0</v>
      </c>
      <c r="L210" s="711">
        <f>Bilans_E_AMS_Kyoto_run3_MTE!P360</f>
        <v>0</v>
      </c>
      <c r="M210" s="711">
        <f>Bilans_E_AMS_Kyoto_run3_MTE!Q360</f>
        <v>0</v>
      </c>
      <c r="N210" s="711">
        <f>Bilans_E_AMS_Kyoto_run3_MTE!R360</f>
        <v>0</v>
      </c>
      <c r="O210" s="711">
        <f>Bilans_E_AMS_Kyoto_run3_MTE!S360</f>
        <v>0</v>
      </c>
      <c r="P210" s="711">
        <f>Bilans_E_AMS_Kyoto_run3_MTE!T360+Bilans_E_AMS_Kyoto_run3_MTE!U360</f>
        <v>0</v>
      </c>
      <c r="Q210" s="711">
        <f>Bilans_E_AMS_Kyoto_run3_MTE!V360</f>
        <v>0</v>
      </c>
      <c r="R210" s="711">
        <f>Bilans_E_AMS_Kyoto_run3_MTE!W360</f>
        <v>0</v>
      </c>
      <c r="S210" s="711">
        <f>Bilans_E_AMS_Kyoto_run3_MTE!X360</f>
        <v>0</v>
      </c>
      <c r="T210" s="711">
        <f>Bilans_E_AMS_Kyoto_run3_MTE!Y360</f>
        <v>0</v>
      </c>
      <c r="U210" s="711">
        <f>Bilans_E_AMS_Kyoto_run3_MTE!Z360</f>
        <v>3.2509767157974352</v>
      </c>
      <c r="V210" s="701"/>
      <c r="W210" s="701"/>
    </row>
    <row r="211" spans="1:23" x14ac:dyDescent="0.25">
      <c r="A211" s="701" t="s">
        <v>500</v>
      </c>
      <c r="B211" s="701"/>
      <c r="C211" s="717" t="s">
        <v>351</v>
      </c>
      <c r="D211" s="711">
        <f>Bilans_E_AMS_Kyoto_run3_MTE!H361</f>
        <v>0</v>
      </c>
      <c r="E211" s="711">
        <f>Bilans_E_AMS_Kyoto_run3_MTE!I361</f>
        <v>0</v>
      </c>
      <c r="F211" s="711">
        <f>Bilans_E_AMS_Kyoto_run3_MTE!J361</f>
        <v>0</v>
      </c>
      <c r="G211" s="711">
        <f>Bilans_E_AMS_Kyoto_run3_MTE!K361</f>
        <v>0</v>
      </c>
      <c r="H211" s="711">
        <f>Bilans_E_AMS_Kyoto_run3_MTE!L361</f>
        <v>0</v>
      </c>
      <c r="I211" s="711">
        <f>Bilans_E_AMS_Kyoto_run3_MTE!M361</f>
        <v>0</v>
      </c>
      <c r="J211" s="711">
        <f>Bilans_E_AMS_Kyoto_run3_MTE!N361</f>
        <v>0</v>
      </c>
      <c r="K211" s="711">
        <f>Bilans_E_AMS_Kyoto_run3_MTE!O361</f>
        <v>0</v>
      </c>
      <c r="L211" s="711">
        <f>Bilans_E_AMS_Kyoto_run3_MTE!P361</f>
        <v>83.277924958812179</v>
      </c>
      <c r="M211" s="711">
        <f>Bilans_E_AMS_Kyoto_run3_MTE!Q361</f>
        <v>7.2727272727272725</v>
      </c>
      <c r="N211" s="711">
        <f>Bilans_E_AMS_Kyoto_run3_MTE!R361</f>
        <v>-50.501152166962441</v>
      </c>
      <c r="O211" s="711">
        <f>Bilans_E_AMS_Kyoto_run3_MTE!S361</f>
        <v>0</v>
      </c>
      <c r="P211" s="711">
        <f>Bilans_E_AMS_Kyoto_run3_MTE!T361+Bilans_E_AMS_Kyoto_run3_MTE!U361</f>
        <v>0</v>
      </c>
      <c r="Q211" s="711">
        <f>Bilans_E_AMS_Kyoto_run3_MTE!V361</f>
        <v>0</v>
      </c>
      <c r="R211" s="711">
        <f>Bilans_E_AMS_Kyoto_run3_MTE!W361</f>
        <v>0</v>
      </c>
      <c r="S211" s="711">
        <f>Bilans_E_AMS_Kyoto_run3_MTE!X361</f>
        <v>0</v>
      </c>
      <c r="T211" s="711">
        <f>Bilans_E_AMS_Kyoto_run3_MTE!Y361</f>
        <v>0</v>
      </c>
      <c r="U211" s="711">
        <f>Bilans_E_AMS_Kyoto_run3_MTE!Z361</f>
        <v>40.049500064577003</v>
      </c>
      <c r="V211" s="701"/>
      <c r="W211" s="701"/>
    </row>
    <row r="212" spans="1:23" x14ac:dyDescent="0.25">
      <c r="A212" s="701" t="s">
        <v>501</v>
      </c>
      <c r="B212" s="701"/>
      <c r="C212" s="717" t="s">
        <v>352</v>
      </c>
      <c r="D212" s="711">
        <f>Bilans_E_AMS_Kyoto_run3_MTE!H362</f>
        <v>0</v>
      </c>
      <c r="E212" s="711">
        <f>Bilans_E_AMS_Kyoto_run3_MTE!I362</f>
        <v>0</v>
      </c>
      <c r="F212" s="711">
        <f>Bilans_E_AMS_Kyoto_run3_MTE!J362</f>
        <v>0</v>
      </c>
      <c r="G212" s="711">
        <f>Bilans_E_AMS_Kyoto_run3_MTE!K362</f>
        <v>-2.9087163505255127</v>
      </c>
      <c r="H212" s="711">
        <f>Bilans_E_AMS_Kyoto_run3_MTE!L362</f>
        <v>0</v>
      </c>
      <c r="I212" s="711">
        <f>Bilans_E_AMS_Kyoto_run3_MTE!M362</f>
        <v>0</v>
      </c>
      <c r="J212" s="711">
        <f>Bilans_E_AMS_Kyoto_run3_MTE!N362</f>
        <v>0</v>
      </c>
      <c r="K212" s="711">
        <f>Bilans_E_AMS_Kyoto_run3_MTE!O362</f>
        <v>0</v>
      </c>
      <c r="L212" s="711">
        <f>Bilans_E_AMS_Kyoto_run3_MTE!P362</f>
        <v>0</v>
      </c>
      <c r="M212" s="711">
        <f>Bilans_E_AMS_Kyoto_run3_MTE!Q362</f>
        <v>0</v>
      </c>
      <c r="N212" s="711">
        <f>Bilans_E_AMS_Kyoto_run3_MTE!R362</f>
        <v>0</v>
      </c>
      <c r="O212" s="711">
        <f>Bilans_E_AMS_Kyoto_run3_MTE!S362</f>
        <v>0</v>
      </c>
      <c r="P212" s="711">
        <f>Bilans_E_AMS_Kyoto_run3_MTE!T362+Bilans_E_AMS_Kyoto_run3_MTE!U362</f>
        <v>0</v>
      </c>
      <c r="Q212" s="711">
        <f>Bilans_E_AMS_Kyoto_run3_MTE!V362</f>
        <v>0</v>
      </c>
      <c r="R212" s="711">
        <f>Bilans_E_AMS_Kyoto_run3_MTE!W362</f>
        <v>0</v>
      </c>
      <c r="S212" s="711">
        <f>Bilans_E_AMS_Kyoto_run3_MTE!X362</f>
        <v>0</v>
      </c>
      <c r="T212" s="711">
        <f>Bilans_E_AMS_Kyoto_run3_MTE!Y362</f>
        <v>4.8495879855780641</v>
      </c>
      <c r="U212" s="711">
        <f>Bilans_E_AMS_Kyoto_run3_MTE!Z362</f>
        <v>1.9408716350525514</v>
      </c>
      <c r="V212" s="701"/>
      <c r="W212" s="701"/>
    </row>
    <row r="213" spans="1:23" x14ac:dyDescent="0.25">
      <c r="A213" s="701" t="s">
        <v>502</v>
      </c>
      <c r="B213" s="701"/>
      <c r="C213" s="717" t="s">
        <v>73</v>
      </c>
      <c r="D213" s="711">
        <f>Bilans_E_AMS_Kyoto_run3_MTE!H363</f>
        <v>0</v>
      </c>
      <c r="E213" s="711">
        <f>Bilans_E_AMS_Kyoto_run3_MTE!I363</f>
        <v>0</v>
      </c>
      <c r="F213" s="711">
        <f>Bilans_E_AMS_Kyoto_run3_MTE!J363</f>
        <v>0</v>
      </c>
      <c r="G213" s="711">
        <f>Bilans_E_AMS_Kyoto_run3_MTE!K363</f>
        <v>0</v>
      </c>
      <c r="H213" s="711">
        <f>Bilans_E_AMS_Kyoto_run3_MTE!L363</f>
        <v>0</v>
      </c>
      <c r="I213" s="711">
        <f>Bilans_E_AMS_Kyoto_run3_MTE!M363</f>
        <v>0</v>
      </c>
      <c r="J213" s="711">
        <f>Bilans_E_AMS_Kyoto_run3_MTE!N363</f>
        <v>0</v>
      </c>
      <c r="K213" s="711">
        <f>Bilans_E_AMS_Kyoto_run3_MTE!O363</f>
        <v>0</v>
      </c>
      <c r="L213" s="711">
        <f>Bilans_E_AMS_Kyoto_run3_MTE!P363</f>
        <v>0</v>
      </c>
      <c r="M213" s="711">
        <f>Bilans_E_AMS_Kyoto_run3_MTE!Q363</f>
        <v>0</v>
      </c>
      <c r="N213" s="711">
        <f>Bilans_E_AMS_Kyoto_run3_MTE!R363</f>
        <v>0</v>
      </c>
      <c r="O213" s="711">
        <f>Bilans_E_AMS_Kyoto_run3_MTE!S363</f>
        <v>0</v>
      </c>
      <c r="P213" s="711">
        <f>Bilans_E_AMS_Kyoto_run3_MTE!T363+Bilans_E_AMS_Kyoto_run3_MTE!U363</f>
        <v>0</v>
      </c>
      <c r="Q213" s="711">
        <f>Bilans_E_AMS_Kyoto_run3_MTE!V363</f>
        <v>0</v>
      </c>
      <c r="R213" s="711">
        <f>Bilans_E_AMS_Kyoto_run3_MTE!W363</f>
        <v>32.352563963788228</v>
      </c>
      <c r="S213" s="711">
        <f>Bilans_E_AMS_Kyoto_run3_MTE!X363</f>
        <v>0</v>
      </c>
      <c r="T213" s="711">
        <f>Bilans_E_AMS_Kyoto_run3_MTE!Y363</f>
        <v>-21.595336445828643</v>
      </c>
      <c r="U213" s="711">
        <f>Bilans_E_AMS_Kyoto_run3_MTE!Z363</f>
        <v>10.757227517959585</v>
      </c>
      <c r="V213" s="701"/>
      <c r="W213" s="701"/>
    </row>
    <row r="214" spans="1:23" x14ac:dyDescent="0.25">
      <c r="A214" s="701" t="s">
        <v>503</v>
      </c>
      <c r="B214" s="701"/>
      <c r="C214" s="717" t="s">
        <v>353</v>
      </c>
      <c r="D214" s="711">
        <f>Bilans_E_AMS_Kyoto_run3_MTE!H364</f>
        <v>9.0096813281249997</v>
      </c>
      <c r="E214" s="711">
        <f>Bilans_E_AMS_Kyoto_run3_MTE!I364</f>
        <v>-11.398239160930634</v>
      </c>
      <c r="F214" s="711">
        <f>Bilans_E_AMS_Kyoto_run3_MTE!J364</f>
        <v>15.062765425262727</v>
      </c>
      <c r="G214" s="711">
        <f>Bilans_E_AMS_Kyoto_run3_MTE!K364</f>
        <v>0</v>
      </c>
      <c r="H214" s="711">
        <f>Bilans_E_AMS_Kyoto_run3_MTE!L364</f>
        <v>0</v>
      </c>
      <c r="I214" s="711">
        <f>Bilans_E_AMS_Kyoto_run3_MTE!M364</f>
        <v>0</v>
      </c>
      <c r="J214" s="711">
        <f>Bilans_E_AMS_Kyoto_run3_MTE!N364</f>
        <v>0</v>
      </c>
      <c r="K214" s="711">
        <f>Bilans_E_AMS_Kyoto_run3_MTE!O364</f>
        <v>0</v>
      </c>
      <c r="L214" s="711">
        <f>Bilans_E_AMS_Kyoto_run3_MTE!P364</f>
        <v>0</v>
      </c>
      <c r="M214" s="711">
        <f>Bilans_E_AMS_Kyoto_run3_MTE!Q364</f>
        <v>0</v>
      </c>
      <c r="N214" s="711">
        <f>Bilans_E_AMS_Kyoto_run3_MTE!R364</f>
        <v>0</v>
      </c>
      <c r="O214" s="711">
        <f>Bilans_E_AMS_Kyoto_run3_MTE!S364</f>
        <v>0</v>
      </c>
      <c r="P214" s="711">
        <f>Bilans_E_AMS_Kyoto_run3_MTE!T364+Bilans_E_AMS_Kyoto_run3_MTE!U364</f>
        <v>0</v>
      </c>
      <c r="Q214" s="711">
        <f>Bilans_E_AMS_Kyoto_run3_MTE!V364</f>
        <v>0</v>
      </c>
      <c r="R214" s="711">
        <f>Bilans_E_AMS_Kyoto_run3_MTE!W364</f>
        <v>0</v>
      </c>
      <c r="S214" s="711">
        <f>Bilans_E_AMS_Kyoto_run3_MTE!X364</f>
        <v>0</v>
      </c>
      <c r="T214" s="711">
        <f>Bilans_E_AMS_Kyoto_run3_MTE!Y364</f>
        <v>0</v>
      </c>
      <c r="U214" s="711">
        <f>Bilans_E_AMS_Kyoto_run3_MTE!Z364</f>
        <v>12.674207592457092</v>
      </c>
      <c r="V214" s="701"/>
      <c r="W214" s="701"/>
    </row>
    <row r="215" spans="1:23" x14ac:dyDescent="0.25">
      <c r="A215" s="701" t="s">
        <v>504</v>
      </c>
      <c r="B215" s="701"/>
      <c r="C215" s="717" t="s">
        <v>75</v>
      </c>
      <c r="D215" s="711">
        <f>Bilans_E_AMS_Kyoto_run3_MTE!H365</f>
        <v>3.5037649609375006</v>
      </c>
      <c r="E215" s="711">
        <f>Bilans_E_AMS_Kyoto_run3_MTE!I365</f>
        <v>0</v>
      </c>
      <c r="F215" s="711">
        <f>Bilans_E_AMS_Kyoto_run3_MTE!J365</f>
        <v>11.25597354471723</v>
      </c>
      <c r="G215" s="711">
        <f>Bilans_E_AMS_Kyoto_run3_MTE!K365</f>
        <v>0</v>
      </c>
      <c r="H215" s="711">
        <f>Bilans_E_AMS_Kyoto_run3_MTE!L365</f>
        <v>0</v>
      </c>
      <c r="I215" s="711">
        <f>Bilans_E_AMS_Kyoto_run3_MTE!M365</f>
        <v>0</v>
      </c>
      <c r="J215" s="711">
        <f>Bilans_E_AMS_Kyoto_run3_MTE!N365</f>
        <v>0</v>
      </c>
      <c r="K215" s="711">
        <f>Bilans_E_AMS_Kyoto_run3_MTE!O365</f>
        <v>0</v>
      </c>
      <c r="L215" s="711">
        <f>Bilans_E_AMS_Kyoto_run3_MTE!P365</f>
        <v>0</v>
      </c>
      <c r="M215" s="711">
        <f>Bilans_E_AMS_Kyoto_run3_MTE!Q365</f>
        <v>0</v>
      </c>
      <c r="N215" s="711">
        <f>Bilans_E_AMS_Kyoto_run3_MTE!R365</f>
        <v>0</v>
      </c>
      <c r="O215" s="711">
        <f>Bilans_E_AMS_Kyoto_run3_MTE!S365</f>
        <v>0</v>
      </c>
      <c r="P215" s="711">
        <f>Bilans_E_AMS_Kyoto_run3_MTE!T365+Bilans_E_AMS_Kyoto_run3_MTE!U365</f>
        <v>0</v>
      </c>
      <c r="Q215" s="711">
        <f>Bilans_E_AMS_Kyoto_run3_MTE!V365</f>
        <v>0</v>
      </c>
      <c r="R215" s="711">
        <f>Bilans_E_AMS_Kyoto_run3_MTE!W365</f>
        <v>35.053658012222463</v>
      </c>
      <c r="S215" s="711">
        <f>Bilans_E_AMS_Kyoto_run3_MTE!X365</f>
        <v>0</v>
      </c>
      <c r="T215" s="711">
        <f>Bilans_E_AMS_Kyoto_run3_MTE!Y365</f>
        <v>3.1951837496115347</v>
      </c>
      <c r="U215" s="711">
        <f>Bilans_E_AMS_Kyoto_run3_MTE!Z365</f>
        <v>53.008580267488732</v>
      </c>
      <c r="V215" s="701"/>
      <c r="W215" s="701"/>
    </row>
    <row r="216" spans="1:23" x14ac:dyDescent="0.25">
      <c r="A216" s="701" t="s">
        <v>505</v>
      </c>
      <c r="B216" s="701"/>
      <c r="C216" s="717" t="s">
        <v>76</v>
      </c>
      <c r="D216" s="711">
        <f>Bilans_E_AMS_Kyoto_run3_MTE!H366</f>
        <v>0</v>
      </c>
      <c r="E216" s="711">
        <f>Bilans_E_AMS_Kyoto_run3_MTE!I366</f>
        <v>0</v>
      </c>
      <c r="F216" s="711">
        <f>Bilans_E_AMS_Kyoto_run3_MTE!J366</f>
        <v>0</v>
      </c>
      <c r="G216" s="711">
        <f>Bilans_E_AMS_Kyoto_run3_MTE!K366</f>
        <v>0</v>
      </c>
      <c r="H216" s="711">
        <f>Bilans_E_AMS_Kyoto_run3_MTE!L366</f>
        <v>2.3417362535553745</v>
      </c>
      <c r="I216" s="711">
        <f>Bilans_E_AMS_Kyoto_run3_MTE!M366</f>
        <v>0</v>
      </c>
      <c r="J216" s="711">
        <f>Bilans_E_AMS_Kyoto_run3_MTE!N366</f>
        <v>0</v>
      </c>
      <c r="K216" s="711">
        <f>Bilans_E_AMS_Kyoto_run3_MTE!O366</f>
        <v>0</v>
      </c>
      <c r="L216" s="711">
        <f>Bilans_E_AMS_Kyoto_run3_MTE!P366</f>
        <v>0</v>
      </c>
      <c r="M216" s="711">
        <f>Bilans_E_AMS_Kyoto_run3_MTE!Q366</f>
        <v>0</v>
      </c>
      <c r="N216" s="711">
        <f>Bilans_E_AMS_Kyoto_run3_MTE!R366</f>
        <v>0</v>
      </c>
      <c r="O216" s="711">
        <f>Bilans_E_AMS_Kyoto_run3_MTE!S366</f>
        <v>0.58543406338884363</v>
      </c>
      <c r="P216" s="711">
        <f>Bilans_E_AMS_Kyoto_run3_MTE!T366+Bilans_E_AMS_Kyoto_run3_MTE!U366</f>
        <v>0</v>
      </c>
      <c r="Q216" s="711">
        <f>Bilans_E_AMS_Kyoto_run3_MTE!V366</f>
        <v>0</v>
      </c>
      <c r="R216" s="711">
        <f>Bilans_E_AMS_Kyoto_run3_MTE!W366</f>
        <v>50.833401683684251</v>
      </c>
      <c r="S216" s="711">
        <f>Bilans_E_AMS_Kyoto_run3_MTE!X366</f>
        <v>7.00152240179274</v>
      </c>
      <c r="T216" s="711">
        <f>Bilans_E_AMS_Kyoto_run3_MTE!Y366</f>
        <v>0</v>
      </c>
      <c r="U216" s="711">
        <f>Bilans_E_AMS_Kyoto_run3_MTE!Z366</f>
        <v>60.762094402421212</v>
      </c>
      <c r="V216" s="701"/>
      <c r="W216" s="701"/>
    </row>
    <row r="217" spans="1:23" x14ac:dyDescent="0.25">
      <c r="A217" s="701" t="s">
        <v>506</v>
      </c>
      <c r="B217" s="701"/>
      <c r="C217" s="713" t="s">
        <v>77</v>
      </c>
      <c r="D217" s="714">
        <f>Bilans_E_AMS_Kyoto_run3_MTE!H367</f>
        <v>12.5134462890625</v>
      </c>
      <c r="E217" s="714">
        <f>Bilans_E_AMS_Kyoto_run3_MTE!I367</f>
        <v>313.69943241881072</v>
      </c>
      <c r="F217" s="714">
        <f>Bilans_E_AMS_Kyoto_run3_MTE!J367</f>
        <v>-294.72573860835513</v>
      </c>
      <c r="G217" s="714">
        <f>Bilans_E_AMS_Kyoto_run3_MTE!K367</f>
        <v>-2.9087163505255127</v>
      </c>
      <c r="H217" s="714">
        <f>Bilans_E_AMS_Kyoto_run3_MTE!L367</f>
        <v>49.730996964144317</v>
      </c>
      <c r="I217" s="714">
        <f>Bilans_E_AMS_Kyoto_run3_MTE!M367</f>
        <v>-0.61307452578826904</v>
      </c>
      <c r="J217" s="714">
        <f>Bilans_E_AMS_Kyoto_run3_MTE!N367</f>
        <v>1162.7439999999999</v>
      </c>
      <c r="K217" s="714">
        <f>Bilans_E_AMS_Kyoto_run3_MTE!O367</f>
        <v>299.59846132130883</v>
      </c>
      <c r="L217" s="714">
        <f>Bilans_E_AMS_Kyoto_run3_MTE!P367</f>
        <v>219.01005209086182</v>
      </c>
      <c r="M217" s="714">
        <f>Bilans_E_AMS_Kyoto_run3_MTE!Q367</f>
        <v>41.847694799608462</v>
      </c>
      <c r="N217" s="714">
        <f>Bilans_E_AMS_Kyoto_run3_MTE!R367</f>
        <v>-45.472018436609886</v>
      </c>
      <c r="O217" s="714">
        <f>Bilans_E_AMS_Kyoto_run3_MTE!S367</f>
        <v>-37.277974287660989</v>
      </c>
      <c r="P217" s="714">
        <f>Bilans_E_AMS_Kyoto_run3_MTE!T367+Bilans_E_AMS_Kyoto_run3_MTE!U367</f>
        <v>14.160487242314748</v>
      </c>
      <c r="Q217" s="714">
        <f>Bilans_E_AMS_Kyoto_run3_MTE!V367</f>
        <v>16.984242391982921</v>
      </c>
      <c r="R217" s="714">
        <f>Bilans_E_AMS_Kyoto_run3_MTE!W367</f>
        <v>-599.13585594667347</v>
      </c>
      <c r="S217" s="714">
        <f>Bilans_E_AMS_Kyoto_run3_MTE!X367</f>
        <v>-83.293630562308678</v>
      </c>
      <c r="T217" s="714">
        <f>Bilans_E_AMS_Kyoto_run3_MTE!Y367</f>
        <v>-12.699072313710893</v>
      </c>
      <c r="U217" s="714">
        <f>Bilans_E_AMS_Kyoto_run3_MTE!Z367</f>
        <v>1054.1627324864614</v>
      </c>
      <c r="V217" s="701"/>
      <c r="W217" s="701"/>
    </row>
    <row r="218" spans="1:23" x14ac:dyDescent="0.25">
      <c r="A218" s="701"/>
      <c r="B218" s="701"/>
      <c r="C218" s="715"/>
      <c r="D218" s="716"/>
      <c r="E218" s="716"/>
      <c r="F218" s="716"/>
      <c r="G218" s="716"/>
      <c r="H218" s="716"/>
      <c r="I218" s="716"/>
      <c r="J218" s="716"/>
      <c r="K218" s="716"/>
      <c r="L218" s="716"/>
      <c r="M218" s="716"/>
      <c r="N218" s="716"/>
      <c r="O218" s="716"/>
      <c r="P218" s="716">
        <f>Bilans_E_AMS_Kyoto_run3_MTE!T368+Bilans_E_AMS_Kyoto_run3_MTE!U368</f>
        <v>0</v>
      </c>
      <c r="Q218" s="716"/>
      <c r="R218" s="716"/>
      <c r="S218" s="716"/>
      <c r="T218" s="716"/>
      <c r="U218" s="716"/>
      <c r="V218" s="701"/>
      <c r="W218" s="701"/>
    </row>
    <row r="219" spans="1:23" x14ac:dyDescent="0.25">
      <c r="A219" s="701" t="s">
        <v>507</v>
      </c>
      <c r="B219" s="701"/>
      <c r="C219" s="717" t="s">
        <v>78</v>
      </c>
      <c r="D219" s="711">
        <f>Bilans_E_AMS_Kyoto_run3_MTE!H369</f>
        <v>0.59552978515624999</v>
      </c>
      <c r="E219" s="711">
        <f>Bilans_E_AMS_Kyoto_run3_MTE!I369</f>
        <v>0</v>
      </c>
      <c r="F219" s="711">
        <f>Bilans_E_AMS_Kyoto_run3_MTE!J369</f>
        <v>6.9248578185022795</v>
      </c>
      <c r="G219" s="711">
        <f>Bilans_E_AMS_Kyoto_run3_MTE!K369</f>
        <v>0</v>
      </c>
      <c r="H219" s="711">
        <f>Bilans_E_AMS_Kyoto_run3_MTE!L369</f>
        <v>56.056015641570937</v>
      </c>
      <c r="I219" s="711">
        <f>Bilans_E_AMS_Kyoto_run3_MTE!M369</f>
        <v>0</v>
      </c>
      <c r="J219" s="711">
        <f>Bilans_E_AMS_Kyoto_run3_MTE!N369</f>
        <v>0</v>
      </c>
      <c r="K219" s="711">
        <f>Bilans_E_AMS_Kyoto_run3_MTE!O369</f>
        <v>0</v>
      </c>
      <c r="L219" s="711">
        <f>Bilans_E_AMS_Kyoto_run3_MTE!P369</f>
        <v>38.482812658254467</v>
      </c>
      <c r="M219" s="711">
        <f>Bilans_E_AMS_Kyoto_run3_MTE!Q369</f>
        <v>9.5007953936584837</v>
      </c>
      <c r="N219" s="711">
        <f>Bilans_E_AMS_Kyoto_run3_MTE!R369</f>
        <v>0.86864625843500676</v>
      </c>
      <c r="O219" s="711">
        <f>Bilans_E_AMS_Kyoto_run3_MTE!S369</f>
        <v>14.047969700298927</v>
      </c>
      <c r="P219" s="711">
        <f>Bilans_E_AMS_Kyoto_run3_MTE!T369+Bilans_E_AMS_Kyoto_run3_MTE!U369</f>
        <v>7.96939501953125</v>
      </c>
      <c r="Q219" s="711">
        <f>Bilans_E_AMS_Kyoto_run3_MTE!V369</f>
        <v>6.9244826847420892E-4</v>
      </c>
      <c r="R219" s="711">
        <f>Bilans_E_AMS_Kyoto_run3_MTE!W369</f>
        <v>153.63376409766943</v>
      </c>
      <c r="S219" s="711">
        <f>Bilans_E_AMS_Kyoto_run3_MTE!X369</f>
        <v>19.531581585374159</v>
      </c>
      <c r="T219" s="711">
        <f>Bilans_E_AMS_Kyoto_run3_MTE!Y369</f>
        <v>7.0234057617187498</v>
      </c>
      <c r="U219" s="711">
        <f>Bilans_E_AMS_Kyoto_run3_MTE!Z369</f>
        <v>314.63546616843843</v>
      </c>
      <c r="V219" s="701"/>
      <c r="W219" s="701"/>
    </row>
    <row r="220" spans="1:23" x14ac:dyDescent="0.25">
      <c r="A220" s="701" t="s">
        <v>508</v>
      </c>
      <c r="B220" s="701"/>
      <c r="C220" s="717" t="s">
        <v>79</v>
      </c>
      <c r="D220" s="711">
        <f>Bilans_E_AMS_Kyoto_run3_MTE!H370</f>
        <v>0</v>
      </c>
      <c r="E220" s="711">
        <f>Bilans_E_AMS_Kyoto_run3_MTE!I370</f>
        <v>0</v>
      </c>
      <c r="F220" s="711">
        <f>Bilans_E_AMS_Kyoto_run3_MTE!J370</f>
        <v>211.71015331690265</v>
      </c>
      <c r="G220" s="711">
        <f>Bilans_E_AMS_Kyoto_run3_MTE!K370</f>
        <v>0</v>
      </c>
      <c r="H220" s="711">
        <f>Bilans_E_AMS_Kyoto_run3_MTE!L370</f>
        <v>6.084888759318634</v>
      </c>
      <c r="I220" s="711">
        <f>Bilans_E_AMS_Kyoto_run3_MTE!M370</f>
        <v>0</v>
      </c>
      <c r="J220" s="711">
        <f>Bilans_E_AMS_Kyoto_run3_MTE!N370</f>
        <v>0</v>
      </c>
      <c r="K220" s="711">
        <f>Bilans_E_AMS_Kyoto_run3_MTE!O370</f>
        <v>0</v>
      </c>
      <c r="L220" s="711">
        <f>Bilans_E_AMS_Kyoto_run3_MTE!P370</f>
        <v>0</v>
      </c>
      <c r="M220" s="711">
        <f>Bilans_E_AMS_Kyoto_run3_MTE!Q370</f>
        <v>0</v>
      </c>
      <c r="N220" s="711">
        <f>Bilans_E_AMS_Kyoto_run3_MTE!R370</f>
        <v>41.017765544975838</v>
      </c>
      <c r="O220" s="711">
        <f>Bilans_E_AMS_Kyoto_run3_MTE!S370</f>
        <v>1.5212221898296585</v>
      </c>
      <c r="P220" s="711">
        <f>Bilans_E_AMS_Kyoto_run3_MTE!T370+Bilans_E_AMS_Kyoto_run3_MTE!U370</f>
        <v>0</v>
      </c>
      <c r="Q220" s="711">
        <f>Bilans_E_AMS_Kyoto_run3_MTE!V370</f>
        <v>0</v>
      </c>
      <c r="R220" s="711">
        <f>Bilans_E_AMS_Kyoto_run3_MTE!W370</f>
        <v>64.85163743776981</v>
      </c>
      <c r="S220" s="711">
        <f>Bilans_E_AMS_Kyoto_run3_MTE!X370</f>
        <v>0</v>
      </c>
      <c r="T220" s="711">
        <f>Bilans_E_AMS_Kyoto_run3_MTE!Y370</f>
        <v>2.5022787980989989</v>
      </c>
      <c r="U220" s="711">
        <f>Bilans_E_AMS_Kyoto_run3_MTE!Z370</f>
        <v>327.68794604689555</v>
      </c>
      <c r="V220" s="701"/>
      <c r="W220" s="701"/>
    </row>
    <row r="221" spans="1:23" x14ac:dyDescent="0.25">
      <c r="A221" s="701" t="s">
        <v>509</v>
      </c>
      <c r="B221" s="701"/>
      <c r="C221" s="717" t="s">
        <v>80</v>
      </c>
      <c r="D221" s="711">
        <f>Bilans_E_AMS_Kyoto_run3_MTE!H371</f>
        <v>0</v>
      </c>
      <c r="E221" s="711">
        <f>Bilans_E_AMS_Kyoto_run3_MTE!I371</f>
        <v>0</v>
      </c>
      <c r="F221" s="711">
        <f>Bilans_E_AMS_Kyoto_run3_MTE!J371</f>
        <v>1.1922779453513948</v>
      </c>
      <c r="G221" s="711">
        <f>Bilans_E_AMS_Kyoto_run3_MTE!K371</f>
        <v>0</v>
      </c>
      <c r="H221" s="711">
        <f>Bilans_E_AMS_Kyoto_run3_MTE!L371</f>
        <v>49.984411570621333</v>
      </c>
      <c r="I221" s="711">
        <f>Bilans_E_AMS_Kyoto_run3_MTE!M371</f>
        <v>0</v>
      </c>
      <c r="J221" s="711">
        <f>Bilans_E_AMS_Kyoto_run3_MTE!N371</f>
        <v>0</v>
      </c>
      <c r="K221" s="711">
        <f>Bilans_E_AMS_Kyoto_run3_MTE!O371</f>
        <v>0</v>
      </c>
      <c r="L221" s="711">
        <f>Bilans_E_AMS_Kyoto_run3_MTE!P371</f>
        <v>51.327953484818188</v>
      </c>
      <c r="M221" s="711">
        <f>Bilans_E_AMS_Kyoto_run3_MTE!Q371</f>
        <v>0</v>
      </c>
      <c r="N221" s="711">
        <f>Bilans_E_AMS_Kyoto_run3_MTE!R371</f>
        <v>0</v>
      </c>
      <c r="O221" s="711">
        <f>Bilans_E_AMS_Kyoto_run3_MTE!S371</f>
        <v>12.496102892655333</v>
      </c>
      <c r="P221" s="711">
        <f>Bilans_E_AMS_Kyoto_run3_MTE!T371+Bilans_E_AMS_Kyoto_run3_MTE!U371</f>
        <v>106.12788282579821</v>
      </c>
      <c r="Q221" s="711">
        <f>Bilans_E_AMS_Kyoto_run3_MTE!V371</f>
        <v>8.4399601726258009</v>
      </c>
      <c r="R221" s="711">
        <f>Bilans_E_AMS_Kyoto_run3_MTE!W371</f>
        <v>154.71508066801636</v>
      </c>
      <c r="S221" s="711">
        <f>Bilans_E_AMS_Kyoto_run3_MTE!X371</f>
        <v>40.414130897924252</v>
      </c>
      <c r="T221" s="711">
        <f>Bilans_E_AMS_Kyoto_run3_MTE!Y371</f>
        <v>0</v>
      </c>
      <c r="U221" s="711">
        <f>Bilans_E_AMS_Kyoto_run3_MTE!Z371</f>
        <v>424.69780045781079</v>
      </c>
      <c r="V221" s="701"/>
      <c r="W221" s="701"/>
    </row>
    <row r="222" spans="1:23" x14ac:dyDescent="0.25">
      <c r="A222" s="701" t="s">
        <v>510</v>
      </c>
      <c r="B222" s="701"/>
      <c r="C222" s="717" t="s">
        <v>81</v>
      </c>
      <c r="D222" s="711">
        <f>Bilans_E_AMS_Kyoto_run3_MTE!H372</f>
        <v>0</v>
      </c>
      <c r="E222" s="711">
        <f>Bilans_E_AMS_Kyoto_run3_MTE!I372</f>
        <v>0</v>
      </c>
      <c r="F222" s="711">
        <f>Bilans_E_AMS_Kyoto_run3_MTE!J372</f>
        <v>2.1695259016738468</v>
      </c>
      <c r="G222" s="711">
        <f>Bilans_E_AMS_Kyoto_run3_MTE!K372</f>
        <v>0</v>
      </c>
      <c r="H222" s="711">
        <f>Bilans_E_AMS_Kyoto_run3_MTE!L372</f>
        <v>31.961692890831412</v>
      </c>
      <c r="I222" s="711">
        <f>Bilans_E_AMS_Kyoto_run3_MTE!M372</f>
        <v>0</v>
      </c>
      <c r="J222" s="711">
        <f>Bilans_E_AMS_Kyoto_run3_MTE!N372</f>
        <v>0</v>
      </c>
      <c r="K222" s="711">
        <f>Bilans_E_AMS_Kyoto_run3_MTE!O372</f>
        <v>0</v>
      </c>
      <c r="L222" s="711">
        <f>Bilans_E_AMS_Kyoto_run3_MTE!P372</f>
        <v>0.59825096685183632</v>
      </c>
      <c r="M222" s="711">
        <f>Bilans_E_AMS_Kyoto_run3_MTE!Q372</f>
        <v>0</v>
      </c>
      <c r="N222" s="711">
        <f>Bilans_E_AMS_Kyoto_run3_MTE!R372</f>
        <v>0</v>
      </c>
      <c r="O222" s="711">
        <f>Bilans_E_AMS_Kyoto_run3_MTE!S372</f>
        <v>7.9904232227078529</v>
      </c>
      <c r="P222" s="711">
        <f>Bilans_E_AMS_Kyoto_run3_MTE!T372+Bilans_E_AMS_Kyoto_run3_MTE!U372</f>
        <v>42.388089169065466</v>
      </c>
      <c r="Q222" s="711">
        <f>Bilans_E_AMS_Kyoto_run3_MTE!V372</f>
        <v>7.9118943755575595</v>
      </c>
      <c r="R222" s="711">
        <f>Bilans_E_AMS_Kyoto_run3_MTE!W372</f>
        <v>121.82988531988985</v>
      </c>
      <c r="S222" s="711">
        <f>Bilans_E_AMS_Kyoto_run3_MTE!X372</f>
        <v>23.34788734439358</v>
      </c>
      <c r="T222" s="711">
        <f>Bilans_E_AMS_Kyoto_run3_MTE!Y372</f>
        <v>0</v>
      </c>
      <c r="U222" s="711">
        <f>Bilans_E_AMS_Kyoto_run3_MTE!Z372</f>
        <v>238.19764919097142</v>
      </c>
      <c r="V222" s="701"/>
      <c r="W222" s="701"/>
    </row>
    <row r="223" spans="1:23" x14ac:dyDescent="0.25">
      <c r="A223" s="701" t="s">
        <v>511</v>
      </c>
      <c r="B223" s="701"/>
      <c r="C223" s="717" t="s">
        <v>82</v>
      </c>
      <c r="D223" s="711">
        <f>Bilans_E_AMS_Kyoto_run3_MTE!H373</f>
        <v>0</v>
      </c>
      <c r="E223" s="711">
        <f>Bilans_E_AMS_Kyoto_run3_MTE!I373</f>
        <v>0</v>
      </c>
      <c r="F223" s="711">
        <f>Bilans_E_AMS_Kyoto_run3_MTE!J373</f>
        <v>22.236615834161011</v>
      </c>
      <c r="G223" s="711">
        <f>Bilans_E_AMS_Kyoto_run3_MTE!K373</f>
        <v>0</v>
      </c>
      <c r="H223" s="711">
        <f>Bilans_E_AMS_Kyoto_run3_MTE!L373</f>
        <v>1.1928287245433082</v>
      </c>
      <c r="I223" s="711">
        <f>Bilans_E_AMS_Kyoto_run3_MTE!M373</f>
        <v>0</v>
      </c>
      <c r="J223" s="711">
        <f>Bilans_E_AMS_Kyoto_run3_MTE!N373</f>
        <v>0</v>
      </c>
      <c r="K223" s="711">
        <f>Bilans_E_AMS_Kyoto_run3_MTE!O373</f>
        <v>0</v>
      </c>
      <c r="L223" s="711">
        <f>Bilans_E_AMS_Kyoto_run3_MTE!P373</f>
        <v>13.268691220387016</v>
      </c>
      <c r="M223" s="711">
        <f>Bilans_E_AMS_Kyoto_run3_MTE!Q373</f>
        <v>0</v>
      </c>
      <c r="N223" s="711">
        <f>Bilans_E_AMS_Kyoto_run3_MTE!R373</f>
        <v>5.5416929804733215</v>
      </c>
      <c r="O223" s="711">
        <f>Bilans_E_AMS_Kyoto_run3_MTE!S373</f>
        <v>0.29820718113582706</v>
      </c>
      <c r="P223" s="711">
        <f>Bilans_E_AMS_Kyoto_run3_MTE!T373+Bilans_E_AMS_Kyoto_run3_MTE!U373</f>
        <v>0.75</v>
      </c>
      <c r="Q223" s="711">
        <f>Bilans_E_AMS_Kyoto_run3_MTE!V373</f>
        <v>0.96290247555165809</v>
      </c>
      <c r="R223" s="711">
        <f>Bilans_E_AMS_Kyoto_run3_MTE!W373</f>
        <v>8.6394549115432451</v>
      </c>
      <c r="S223" s="711">
        <f>Bilans_E_AMS_Kyoto_run3_MTE!X373</f>
        <v>0</v>
      </c>
      <c r="T223" s="711">
        <f>Bilans_E_AMS_Kyoto_run3_MTE!Y373</f>
        <v>0.30661417718369394</v>
      </c>
      <c r="U223" s="711">
        <f>Bilans_E_AMS_Kyoto_run3_MTE!Z373</f>
        <v>53.197007504979084</v>
      </c>
      <c r="V223" s="701"/>
      <c r="W223" s="701"/>
    </row>
    <row r="224" spans="1:23" x14ac:dyDescent="0.25">
      <c r="A224" s="701" t="s">
        <v>512</v>
      </c>
      <c r="B224" s="701"/>
      <c r="C224" s="717" t="s">
        <v>354</v>
      </c>
      <c r="D224" s="711">
        <f>Bilans_E_AMS_Kyoto_run3_MTE!H374</f>
        <v>0</v>
      </c>
      <c r="E224" s="711">
        <f>Bilans_E_AMS_Kyoto_run3_MTE!I374</f>
        <v>0</v>
      </c>
      <c r="F224" s="711">
        <f>Bilans_E_AMS_Kyoto_run3_MTE!J374</f>
        <v>0</v>
      </c>
      <c r="G224" s="711">
        <f>Bilans_E_AMS_Kyoto_run3_MTE!K374</f>
        <v>0</v>
      </c>
      <c r="H224" s="711">
        <f>Bilans_E_AMS_Kyoto_run3_MTE!L374</f>
        <v>0</v>
      </c>
      <c r="I224" s="711">
        <f>Bilans_E_AMS_Kyoto_run3_MTE!M374</f>
        <v>0</v>
      </c>
      <c r="J224" s="711">
        <f>Bilans_E_AMS_Kyoto_run3_MTE!N374</f>
        <v>0</v>
      </c>
      <c r="K224" s="711">
        <f>Bilans_E_AMS_Kyoto_run3_MTE!O374</f>
        <v>0</v>
      </c>
      <c r="L224" s="711">
        <f>Bilans_E_AMS_Kyoto_run3_MTE!P374</f>
        <v>0</v>
      </c>
      <c r="M224" s="711">
        <f>Bilans_E_AMS_Kyoto_run3_MTE!Q374</f>
        <v>0</v>
      </c>
      <c r="N224" s="711">
        <f>Bilans_E_AMS_Kyoto_run3_MTE!R374</f>
        <v>0</v>
      </c>
      <c r="O224" s="711">
        <f>Bilans_E_AMS_Kyoto_run3_MTE!S374</f>
        <v>0</v>
      </c>
      <c r="P224" s="711">
        <f>Bilans_E_AMS_Kyoto_run3_MTE!T374+Bilans_E_AMS_Kyoto_run3_MTE!U374</f>
        <v>0</v>
      </c>
      <c r="Q224" s="711">
        <f>Bilans_E_AMS_Kyoto_run3_MTE!V374</f>
        <v>0</v>
      </c>
      <c r="R224" s="711">
        <f>Bilans_E_AMS_Kyoto_run3_MTE!W374</f>
        <v>0</v>
      </c>
      <c r="S224" s="711">
        <f>Bilans_E_AMS_Kyoto_run3_MTE!X374</f>
        <v>0</v>
      </c>
      <c r="T224" s="711">
        <f>Bilans_E_AMS_Kyoto_run3_MTE!Y374</f>
        <v>0</v>
      </c>
      <c r="U224" s="711">
        <f>Bilans_E_AMS_Kyoto_run3_MTE!Z374</f>
        <v>0</v>
      </c>
      <c r="V224" s="701"/>
      <c r="W224" s="701"/>
    </row>
    <row r="225" spans="1:23" x14ac:dyDescent="0.25">
      <c r="A225" s="701" t="s">
        <v>513</v>
      </c>
      <c r="B225" s="701"/>
      <c r="C225" s="713" t="s">
        <v>83</v>
      </c>
      <c r="D225" s="714">
        <f>Bilans_E_AMS_Kyoto_run3_MTE!H375</f>
        <v>0.59552978515624999</v>
      </c>
      <c r="E225" s="714">
        <f>Bilans_E_AMS_Kyoto_run3_MTE!I375</f>
        <v>0</v>
      </c>
      <c r="F225" s="714">
        <f>Bilans_E_AMS_Kyoto_run3_MTE!J375</f>
        <v>244.23343081659118</v>
      </c>
      <c r="G225" s="714">
        <f>Bilans_E_AMS_Kyoto_run3_MTE!K375</f>
        <v>0</v>
      </c>
      <c r="H225" s="714">
        <f>Bilans_E_AMS_Kyoto_run3_MTE!L375</f>
        <v>145.27983758688563</v>
      </c>
      <c r="I225" s="714">
        <f>Bilans_E_AMS_Kyoto_run3_MTE!M375</f>
        <v>0</v>
      </c>
      <c r="J225" s="714">
        <f>Bilans_E_AMS_Kyoto_run3_MTE!N375</f>
        <v>0</v>
      </c>
      <c r="K225" s="714">
        <f>Bilans_E_AMS_Kyoto_run3_MTE!O375</f>
        <v>0</v>
      </c>
      <c r="L225" s="714">
        <f>Bilans_E_AMS_Kyoto_run3_MTE!P375</f>
        <v>103.6777083303115</v>
      </c>
      <c r="M225" s="714">
        <f>Bilans_E_AMS_Kyoto_run3_MTE!Q375</f>
        <v>9.5007953936584837</v>
      </c>
      <c r="N225" s="714">
        <f>Bilans_E_AMS_Kyoto_run3_MTE!R375</f>
        <v>47.428104783884166</v>
      </c>
      <c r="O225" s="714">
        <f>Bilans_E_AMS_Kyoto_run3_MTE!S375</f>
        <v>36.353925186627599</v>
      </c>
      <c r="P225" s="714">
        <f>Bilans_E_AMS_Kyoto_run3_MTE!T375+Bilans_E_AMS_Kyoto_run3_MTE!U375</f>
        <v>157.23536701439491</v>
      </c>
      <c r="Q225" s="714">
        <f>Bilans_E_AMS_Kyoto_run3_MTE!V375</f>
        <v>17.315449472003493</v>
      </c>
      <c r="R225" s="714">
        <f>Bilans_E_AMS_Kyoto_run3_MTE!W375</f>
        <v>503.66982243488866</v>
      </c>
      <c r="S225" s="714">
        <f>Bilans_E_AMS_Kyoto_run3_MTE!X375</f>
        <v>83.293599827691992</v>
      </c>
      <c r="T225" s="714">
        <f>Bilans_E_AMS_Kyoto_run3_MTE!Y375</f>
        <v>9.832298737001441</v>
      </c>
      <c r="U225" s="714">
        <f>Bilans_E_AMS_Kyoto_run3_MTE!Z375</f>
        <v>1358.4158693690954</v>
      </c>
      <c r="V225" s="701"/>
      <c r="W225" s="701"/>
    </row>
    <row r="226" spans="1:23" x14ac:dyDescent="0.25">
      <c r="A226" s="701" t="s">
        <v>514</v>
      </c>
      <c r="B226" s="701"/>
      <c r="C226" s="710" t="s">
        <v>84</v>
      </c>
      <c r="D226" s="711">
        <f>Bilans_E_AMS_Kyoto_run3_MTE!H376</f>
        <v>0</v>
      </c>
      <c r="E226" s="711">
        <f>Bilans_E_AMS_Kyoto_run3_MTE!I376</f>
        <v>0</v>
      </c>
      <c r="F226" s="711">
        <f>Bilans_E_AMS_Kyoto_run3_MTE!J376</f>
        <v>108.38831705718137</v>
      </c>
      <c r="G226" s="711">
        <f>Bilans_E_AMS_Kyoto_run3_MTE!K376</f>
        <v>1.2939885995123082</v>
      </c>
      <c r="H226" s="711">
        <f>Bilans_E_AMS_Kyoto_run3_MTE!L376</f>
        <v>12.973217825865042</v>
      </c>
      <c r="I226" s="711">
        <f>Bilans_E_AMS_Kyoto_run3_MTE!M376</f>
        <v>0</v>
      </c>
      <c r="J226" s="711">
        <f>Bilans_E_AMS_Kyoto_run3_MTE!N376</f>
        <v>0</v>
      </c>
      <c r="K226" s="711">
        <f>Bilans_E_AMS_Kyoto_run3_MTE!O376</f>
        <v>0</v>
      </c>
      <c r="L226" s="711">
        <f>Bilans_E_AMS_Kyoto_run3_MTE!P376</f>
        <v>0.29168113881125463</v>
      </c>
      <c r="M226" s="711">
        <f>Bilans_E_AMS_Kyoto_run3_MTE!Q376</f>
        <v>0</v>
      </c>
      <c r="N226" s="711">
        <f>Bilans_E_AMS_Kyoto_run3_MTE!R376</f>
        <v>2.0844051344814138</v>
      </c>
      <c r="O226" s="711">
        <f>Bilans_E_AMS_Kyoto_run3_MTE!S376</f>
        <v>0</v>
      </c>
      <c r="P226" s="711">
        <f>Bilans_E_AMS_Kyoto_run3_MTE!T376+Bilans_E_AMS_Kyoto_run3_MTE!U376</f>
        <v>0</v>
      </c>
      <c r="Q226" s="711">
        <f>Bilans_E_AMS_Kyoto_run3_MTE!V376</f>
        <v>0</v>
      </c>
      <c r="R226" s="711">
        <f>Bilans_E_AMS_Kyoto_run3_MTE!W376</f>
        <v>0</v>
      </c>
      <c r="S226" s="711">
        <f>Bilans_E_AMS_Kyoto_run3_MTE!X376</f>
        <v>0</v>
      </c>
      <c r="T226" s="711">
        <f>Bilans_E_AMS_Kyoto_run3_MTE!Y376</f>
        <v>1.487132000092672</v>
      </c>
      <c r="U226" s="711">
        <f>Bilans_E_AMS_Kyoto_run3_MTE!Z376</f>
        <v>126.51874175594406</v>
      </c>
      <c r="V226" s="701"/>
      <c r="W226" s="701"/>
    </row>
    <row r="227" spans="1:23" x14ac:dyDescent="0.25">
      <c r="A227" s="701" t="s">
        <v>515</v>
      </c>
      <c r="B227" s="701"/>
      <c r="C227" s="713" t="s">
        <v>85</v>
      </c>
      <c r="D227" s="714">
        <f>Bilans_E_AMS_Kyoto_run3_MTE!H377</f>
        <v>0.59552978515624999</v>
      </c>
      <c r="E227" s="714">
        <f>Bilans_E_AMS_Kyoto_run3_MTE!I377</f>
        <v>0</v>
      </c>
      <c r="F227" s="714">
        <f>Bilans_E_AMS_Kyoto_run3_MTE!J377</f>
        <v>352.62174787377256</v>
      </c>
      <c r="G227" s="714">
        <f>Bilans_E_AMS_Kyoto_run3_MTE!K377</f>
        <v>1.2939885995123082</v>
      </c>
      <c r="H227" s="714">
        <f>Bilans_E_AMS_Kyoto_run3_MTE!L377</f>
        <v>158.25305541275068</v>
      </c>
      <c r="I227" s="714">
        <f>Bilans_E_AMS_Kyoto_run3_MTE!M377</f>
        <v>0</v>
      </c>
      <c r="J227" s="714">
        <f>Bilans_E_AMS_Kyoto_run3_MTE!N377</f>
        <v>0</v>
      </c>
      <c r="K227" s="714">
        <f>Bilans_E_AMS_Kyoto_run3_MTE!O377</f>
        <v>0</v>
      </c>
      <c r="L227" s="714">
        <f>Bilans_E_AMS_Kyoto_run3_MTE!P377</f>
        <v>103.96938946912276</v>
      </c>
      <c r="M227" s="714">
        <f>Bilans_E_AMS_Kyoto_run3_MTE!Q377</f>
        <v>9.5007953936584837</v>
      </c>
      <c r="N227" s="714">
        <f>Bilans_E_AMS_Kyoto_run3_MTE!R377</f>
        <v>49.512509918365581</v>
      </c>
      <c r="O227" s="714">
        <f>Bilans_E_AMS_Kyoto_run3_MTE!S377</f>
        <v>36.353925186627599</v>
      </c>
      <c r="P227" s="714">
        <f>Bilans_E_AMS_Kyoto_run3_MTE!T377+Bilans_E_AMS_Kyoto_run3_MTE!U377</f>
        <v>157.23536701439491</v>
      </c>
      <c r="Q227" s="714">
        <f>Bilans_E_AMS_Kyoto_run3_MTE!V377</f>
        <v>17.315449472003493</v>
      </c>
      <c r="R227" s="714">
        <f>Bilans_E_AMS_Kyoto_run3_MTE!W377</f>
        <v>503.66982243488866</v>
      </c>
      <c r="S227" s="714">
        <f>Bilans_E_AMS_Kyoto_run3_MTE!X377</f>
        <v>83.293599827691992</v>
      </c>
      <c r="T227" s="714">
        <f>Bilans_E_AMS_Kyoto_run3_MTE!Y377</f>
        <v>11.319430737094113</v>
      </c>
      <c r="U227" s="714">
        <f>Bilans_E_AMS_Kyoto_run3_MTE!Z377</f>
        <v>1484.9346111250395</v>
      </c>
      <c r="V227" s="701"/>
      <c r="W227" s="701"/>
    </row>
    <row r="228" spans="1:23" x14ac:dyDescent="0.25">
      <c r="A228" s="701"/>
      <c r="B228" s="701"/>
      <c r="C228" s="701"/>
      <c r="D228" s="701">
        <f>Bilans_E_AMS_Kyoto_run3_MTE!H378</f>
        <v>0</v>
      </c>
      <c r="E228" s="701">
        <f>Bilans_E_AMS_Kyoto_run3_MTE!I378</f>
        <v>0</v>
      </c>
      <c r="F228" s="701">
        <f>Bilans_E_AMS_Kyoto_run3_MTE!J378</f>
        <v>0</v>
      </c>
      <c r="G228" s="701">
        <f>Bilans_E_AMS_Kyoto_run3_MTE!K378</f>
        <v>0</v>
      </c>
      <c r="H228" s="701">
        <f>Bilans_E_AMS_Kyoto_run3_MTE!L378</f>
        <v>0</v>
      </c>
      <c r="I228" s="701">
        <f>Bilans_E_AMS_Kyoto_run3_MTE!M378</f>
        <v>0</v>
      </c>
      <c r="J228" s="701">
        <f>Bilans_E_AMS_Kyoto_run3_MTE!N378</f>
        <v>0</v>
      </c>
      <c r="K228" s="701">
        <f>Bilans_E_AMS_Kyoto_run3_MTE!O378</f>
        <v>0</v>
      </c>
      <c r="L228" s="701">
        <f>Bilans_E_AMS_Kyoto_run3_MTE!P378</f>
        <v>0</v>
      </c>
      <c r="M228" s="701">
        <f>Bilans_E_AMS_Kyoto_run3_MTE!Q378</f>
        <v>0</v>
      </c>
      <c r="N228" s="701">
        <f>Bilans_E_AMS_Kyoto_run3_MTE!R378</f>
        <v>0</v>
      </c>
      <c r="O228" s="701">
        <f>Bilans_E_AMS_Kyoto_run3_MTE!S378</f>
        <v>9.1038288019262836E-15</v>
      </c>
      <c r="P228" s="701">
        <f>Bilans_E_AMS_Kyoto_run3_MTE!T378+Bilans_E_AMS_Kyoto_run3_MTE!U378</f>
        <v>0</v>
      </c>
      <c r="Q228" s="701">
        <f>Bilans_E_AMS_Kyoto_run3_MTE!V378</f>
        <v>0</v>
      </c>
      <c r="R228" s="701">
        <f>Bilans_E_AMS_Kyoto_run3_MTE!W378</f>
        <v>0</v>
      </c>
      <c r="S228" s="701">
        <f>Bilans_E_AMS_Kyoto_run3_MTE!X378</f>
        <v>-3.0734616686345362E-5</v>
      </c>
      <c r="T228" s="701">
        <f>Bilans_E_AMS_Kyoto_run3_MTE!Y378</f>
        <v>2.2204460492503131E-15</v>
      </c>
      <c r="U228" s="701">
        <f>Bilans_E_AMS_Kyoto_run3_MTE!Z378</f>
        <v>-3.0734616302652285E-5</v>
      </c>
      <c r="V228" s="701"/>
      <c r="W228" s="701"/>
    </row>
    <row r="229" spans="1:23" x14ac:dyDescent="0.25">
      <c r="A229" s="701"/>
      <c r="B229" s="701"/>
      <c r="C229" s="701"/>
      <c r="D229" s="701"/>
      <c r="E229" s="701"/>
      <c r="F229" s="701"/>
      <c r="G229" s="701"/>
      <c r="H229" s="701"/>
      <c r="I229" s="701"/>
      <c r="J229" s="701"/>
      <c r="K229" s="701"/>
      <c r="L229" s="701"/>
      <c r="M229" s="701"/>
      <c r="N229" s="701"/>
      <c r="O229" s="701"/>
      <c r="P229" s="701"/>
      <c r="Q229" s="701"/>
      <c r="R229" s="701"/>
      <c r="S229" s="701"/>
      <c r="T229" s="701"/>
      <c r="U229" s="701"/>
      <c r="V229" s="701"/>
      <c r="W229" s="701"/>
    </row>
    <row r="230" spans="1:23" x14ac:dyDescent="0.25">
      <c r="A230" s="707"/>
      <c r="B230" s="707"/>
      <c r="C230" s="708" t="s">
        <v>359</v>
      </c>
      <c r="D230" s="707"/>
      <c r="E230" s="707"/>
      <c r="F230" s="707"/>
      <c r="G230" s="707"/>
      <c r="H230" s="707"/>
      <c r="I230" s="707"/>
      <c r="J230" s="707"/>
      <c r="K230" s="707"/>
      <c r="L230" s="707"/>
      <c r="M230" s="707"/>
      <c r="N230" s="707"/>
      <c r="O230" s="707"/>
      <c r="P230" s="707"/>
      <c r="Q230" s="707"/>
      <c r="R230" s="707"/>
      <c r="S230" s="707"/>
      <c r="T230" s="707"/>
      <c r="U230" s="707"/>
      <c r="V230" s="707"/>
      <c r="W230" s="707"/>
    </row>
    <row r="231" spans="1:23" x14ac:dyDescent="0.25">
      <c r="A231" s="701"/>
      <c r="B231" s="701"/>
      <c r="C231" s="701"/>
      <c r="D231" s="701"/>
      <c r="E231" s="701"/>
      <c r="F231" s="701"/>
      <c r="G231" s="701"/>
      <c r="H231" s="701"/>
      <c r="I231" s="701"/>
      <c r="J231" s="701"/>
      <c r="K231" s="701"/>
      <c r="L231" s="701"/>
      <c r="M231" s="701"/>
      <c r="N231" s="701"/>
      <c r="O231" s="701"/>
      <c r="P231" s="701"/>
      <c r="Q231" s="701"/>
      <c r="R231" s="701"/>
      <c r="S231" s="701"/>
      <c r="T231" s="701"/>
      <c r="U231" s="701"/>
      <c r="V231" s="701"/>
      <c r="W231" s="701"/>
    </row>
    <row r="232" spans="1:23" x14ac:dyDescent="0.25">
      <c r="A232" s="701"/>
      <c r="B232" s="701"/>
      <c r="C232" s="780" t="s">
        <v>128</v>
      </c>
      <c r="D232" s="775" t="s">
        <v>42</v>
      </c>
      <c r="E232" s="775" t="s">
        <v>52</v>
      </c>
      <c r="F232" s="775" t="s">
        <v>53</v>
      </c>
      <c r="G232" s="775" t="s">
        <v>482</v>
      </c>
      <c r="H232" s="775" t="s">
        <v>32</v>
      </c>
      <c r="I232" s="775" t="s">
        <v>483</v>
      </c>
      <c r="J232" s="775" t="s">
        <v>20</v>
      </c>
      <c r="K232" s="775" t="s">
        <v>55</v>
      </c>
      <c r="L232" s="777" t="s">
        <v>56</v>
      </c>
      <c r="M232" s="778"/>
      <c r="N232" s="778"/>
      <c r="O232" s="778"/>
      <c r="P232" s="778"/>
      <c r="Q232" s="779"/>
      <c r="R232" s="775" t="s">
        <v>57</v>
      </c>
      <c r="S232" s="775" t="s">
        <v>58</v>
      </c>
      <c r="T232" s="775" t="s">
        <v>31</v>
      </c>
      <c r="U232" s="775" t="s">
        <v>10</v>
      </c>
      <c r="V232" s="701"/>
      <c r="W232" s="701"/>
    </row>
    <row r="233" spans="1:23" ht="67.5" x14ac:dyDescent="0.25">
      <c r="A233" s="701" t="s">
        <v>486</v>
      </c>
      <c r="B233" s="701"/>
      <c r="C233" s="781"/>
      <c r="D233" s="776"/>
      <c r="E233" s="776"/>
      <c r="F233" s="776"/>
      <c r="G233" s="776"/>
      <c r="H233" s="776"/>
      <c r="I233" s="776"/>
      <c r="J233" s="776"/>
      <c r="K233" s="776"/>
      <c r="L233" s="709" t="s">
        <v>335</v>
      </c>
      <c r="M233" s="709" t="s">
        <v>40</v>
      </c>
      <c r="N233" s="709" t="s">
        <v>343</v>
      </c>
      <c r="O233" s="709" t="s">
        <v>344</v>
      </c>
      <c r="P233" s="719" t="s">
        <v>610</v>
      </c>
      <c r="Q233" s="709" t="s">
        <v>346</v>
      </c>
      <c r="R233" s="776"/>
      <c r="S233" s="776"/>
      <c r="T233" s="776"/>
      <c r="U233" s="776"/>
      <c r="V233" s="701"/>
      <c r="W233" s="701"/>
    </row>
    <row r="234" spans="1:23" x14ac:dyDescent="0.25">
      <c r="A234" s="701" t="s">
        <v>487</v>
      </c>
      <c r="B234" s="701"/>
      <c r="C234" s="710" t="s">
        <v>59</v>
      </c>
      <c r="D234" s="711">
        <f>Bilans_E_AMS_Kyoto_run3_MTE!H384</f>
        <v>0</v>
      </c>
      <c r="E234" s="711">
        <f>Bilans_E_AMS_Kyoto_run3_MTE!I384</f>
        <v>1.9073199999999999</v>
      </c>
      <c r="F234" s="711">
        <f>Bilans_E_AMS_Kyoto_run3_MTE!J384</f>
        <v>0</v>
      </c>
      <c r="G234" s="711">
        <f>Bilans_E_AMS_Kyoto_run3_MTE!K384</f>
        <v>0</v>
      </c>
      <c r="H234" s="711">
        <f>Bilans_E_AMS_Kyoto_run3_MTE!L384</f>
        <v>3.9542000000000008E-2</v>
      </c>
      <c r="I234" s="711">
        <f>Bilans_E_AMS_Kyoto_run3_MTE!M384</f>
        <v>0</v>
      </c>
      <c r="J234" s="711">
        <f>Bilans_E_AMS_Kyoto_run3_MTE!N384</f>
        <v>1195.4990290598246</v>
      </c>
      <c r="K234" s="711">
        <f>Bilans_E_AMS_Kyoto_run3_MTE!O384</f>
        <v>352.81639892204078</v>
      </c>
      <c r="L234" s="711">
        <f>Bilans_E_AMS_Kyoto_run3_MTE!P384</f>
        <v>334.74141553105153</v>
      </c>
      <c r="M234" s="711">
        <f>Bilans_E_AMS_Kyoto_run3_MTE!Q384</f>
        <v>49.102811616128875</v>
      </c>
      <c r="N234" s="711">
        <f>Bilans_E_AMS_Kyoto_run3_MTE!R384</f>
        <v>0</v>
      </c>
      <c r="O234" s="711">
        <f>Bilans_E_AMS_Kyoto_run3_MTE!S384</f>
        <v>0</v>
      </c>
      <c r="P234" s="711">
        <f>Bilans_E_AMS_Kyoto_run3_MTE!T384+Bilans_E_AMS_Kyoto_run3_MTE!U384</f>
        <v>200.79978234592807</v>
      </c>
      <c r="Q234" s="711">
        <f>Bilans_E_AMS_Kyoto_run3_MTE!V384</f>
        <v>40.778741630012433</v>
      </c>
      <c r="R234" s="711">
        <f>Bilans_E_AMS_Kyoto_run3_MTE!W384</f>
        <v>0</v>
      </c>
      <c r="S234" s="711">
        <f>Bilans_E_AMS_Kyoto_run3_MTE!X384</f>
        <v>0</v>
      </c>
      <c r="T234" s="711">
        <f>Bilans_E_AMS_Kyoto_run3_MTE!Y384</f>
        <v>0</v>
      </c>
      <c r="U234" s="711">
        <f>Bilans_E_AMS_Kyoto_run3_MTE!Z384</f>
        <v>2175.6850411049863</v>
      </c>
      <c r="V234" s="701"/>
      <c r="W234" s="701"/>
    </row>
    <row r="235" spans="1:23" x14ac:dyDescent="0.25">
      <c r="A235" s="701" t="s">
        <v>488</v>
      </c>
      <c r="B235" s="701"/>
      <c r="C235" s="710" t="s">
        <v>60</v>
      </c>
      <c r="D235" s="712">
        <f>Bilans_E_AMS_Kyoto_run3_MTE!H385</f>
        <v>12.531065673828124</v>
      </c>
      <c r="E235" s="712">
        <f>Bilans_E_AMS_Kyoto_run3_MTE!I385</f>
        <v>260.68864136173096</v>
      </c>
      <c r="F235" s="712">
        <f>Bilans_E_AMS_Kyoto_run3_MTE!J385</f>
        <v>79.769139628982202</v>
      </c>
      <c r="G235" s="712">
        <f>Bilans_E_AMS_Kyoto_run3_MTE!K385</f>
        <v>5.3845155133024489</v>
      </c>
      <c r="H235" s="712">
        <f>Bilans_E_AMS_Kyoto_run3_MTE!L385</f>
        <v>146.10919430668767</v>
      </c>
      <c r="I235" s="712">
        <f>Bilans_E_AMS_Kyoto_run3_MTE!M385</f>
        <v>0</v>
      </c>
      <c r="J235" s="712">
        <f>Bilans_E_AMS_Kyoto_run3_MTE!N385</f>
        <v>0</v>
      </c>
      <c r="K235" s="712">
        <f>Bilans_E_AMS_Kyoto_run3_MTE!O385</f>
        <v>0</v>
      </c>
      <c r="L235" s="712">
        <f>Bilans_E_AMS_Kyoto_run3_MTE!P385</f>
        <v>6.5955281469378519</v>
      </c>
      <c r="M235" s="712">
        <f>Bilans_E_AMS_Kyoto_run3_MTE!Q385</f>
        <v>0</v>
      </c>
      <c r="N235" s="712">
        <f>Bilans_E_AMS_Kyoto_run3_MTE!R385</f>
        <v>13.786836239318319</v>
      </c>
      <c r="O235" s="712">
        <f>Bilans_E_AMS_Kyoto_run3_MTE!S385</f>
        <v>4.2024164944931641</v>
      </c>
      <c r="P235" s="712">
        <f>Bilans_E_AMS_Kyoto_run3_MTE!T385+Bilans_E_AMS_Kyoto_run3_MTE!U385</f>
        <v>0</v>
      </c>
      <c r="Q235" s="712">
        <f>Bilans_E_AMS_Kyoto_run3_MTE!V385</f>
        <v>0</v>
      </c>
      <c r="R235" s="712">
        <f>Bilans_E_AMS_Kyoto_run3_MTE!W385</f>
        <v>0</v>
      </c>
      <c r="S235" s="712">
        <f>Bilans_E_AMS_Kyoto_run3_MTE!X385</f>
        <v>0</v>
      </c>
      <c r="T235" s="712">
        <f>Bilans_E_AMS_Kyoto_run3_MTE!Y385</f>
        <v>0</v>
      </c>
      <c r="U235" s="712">
        <f>Bilans_E_AMS_Kyoto_run3_MTE!Z385</f>
        <v>529.06733736528076</v>
      </c>
      <c r="V235" s="701"/>
      <c r="W235" s="701"/>
    </row>
    <row r="236" spans="1:23" x14ac:dyDescent="0.25">
      <c r="A236" s="701" t="s">
        <v>489</v>
      </c>
      <c r="B236" s="701"/>
      <c r="C236" s="710" t="s">
        <v>61</v>
      </c>
      <c r="D236" s="712">
        <f>Bilans_E_AMS_Kyoto_run3_MTE!H386</f>
        <v>0</v>
      </c>
      <c r="E236" s="712">
        <f>Bilans_E_AMS_Kyoto_run3_MTE!I386</f>
        <v>0</v>
      </c>
      <c r="F236" s="712">
        <f>Bilans_E_AMS_Kyoto_run3_MTE!J386</f>
        <v>0</v>
      </c>
      <c r="G236" s="712">
        <f>Bilans_E_AMS_Kyoto_run3_MTE!K386</f>
        <v>0</v>
      </c>
      <c r="H236" s="712">
        <f>Bilans_E_AMS_Kyoto_run3_MTE!L386</f>
        <v>0</v>
      </c>
      <c r="I236" s="712">
        <f>Bilans_E_AMS_Kyoto_run3_MTE!M386</f>
        <v>0</v>
      </c>
      <c r="J236" s="712">
        <f>Bilans_E_AMS_Kyoto_run3_MTE!N386</f>
        <v>0</v>
      </c>
      <c r="K236" s="712">
        <f>Bilans_E_AMS_Kyoto_run3_MTE!O386</f>
        <v>0</v>
      </c>
      <c r="L236" s="712">
        <f>Bilans_E_AMS_Kyoto_run3_MTE!P386</f>
        <v>0</v>
      </c>
      <c r="M236" s="712">
        <f>Bilans_E_AMS_Kyoto_run3_MTE!Q386</f>
        <v>0</v>
      </c>
      <c r="N236" s="712">
        <f>Bilans_E_AMS_Kyoto_run3_MTE!R386</f>
        <v>0</v>
      </c>
      <c r="O236" s="712">
        <f>Bilans_E_AMS_Kyoto_run3_MTE!S386</f>
        <v>0</v>
      </c>
      <c r="P236" s="712">
        <f>Bilans_E_AMS_Kyoto_run3_MTE!T386+Bilans_E_AMS_Kyoto_run3_MTE!U386</f>
        <v>0</v>
      </c>
      <c r="Q236" s="712">
        <f>Bilans_E_AMS_Kyoto_run3_MTE!V386</f>
        <v>0</v>
      </c>
      <c r="R236" s="712">
        <f>Bilans_E_AMS_Kyoto_run3_MTE!W386</f>
        <v>-112.47635741768158</v>
      </c>
      <c r="S236" s="712">
        <f>Bilans_E_AMS_Kyoto_run3_MTE!X386</f>
        <v>0</v>
      </c>
      <c r="T236" s="712">
        <f>Bilans_E_AMS_Kyoto_run3_MTE!Y386</f>
        <v>0</v>
      </c>
      <c r="U236" s="712">
        <f>Bilans_E_AMS_Kyoto_run3_MTE!Z386</f>
        <v>-112.47635741768158</v>
      </c>
      <c r="V236" s="701"/>
      <c r="W236" s="701"/>
    </row>
    <row r="237" spans="1:23" x14ac:dyDescent="0.25">
      <c r="A237" s="701" t="s">
        <v>490</v>
      </c>
      <c r="B237" s="701"/>
      <c r="C237" s="710" t="s">
        <v>62</v>
      </c>
      <c r="D237" s="711">
        <f>Bilans_E_AMS_Kyoto_run3_MTE!H387</f>
        <v>0</v>
      </c>
      <c r="E237" s="711">
        <f>Bilans_E_AMS_Kyoto_run3_MTE!I387</f>
        <v>0</v>
      </c>
      <c r="F237" s="711">
        <f>Bilans_E_AMS_Kyoto_run3_MTE!J387</f>
        <v>-6.4368278477343406</v>
      </c>
      <c r="G237" s="711">
        <f>Bilans_E_AMS_Kyoto_run3_MTE!K387</f>
        <v>-0.75904465097595197</v>
      </c>
      <c r="H237" s="711">
        <f>Bilans_E_AMS_Kyoto_run3_MTE!L387</f>
        <v>-0.26617313205703391</v>
      </c>
      <c r="I237" s="711">
        <f>Bilans_E_AMS_Kyoto_run3_MTE!M387</f>
        <v>-0.83753949174200382</v>
      </c>
      <c r="J237" s="711">
        <f>Bilans_E_AMS_Kyoto_run3_MTE!N387</f>
        <v>0</v>
      </c>
      <c r="K237" s="711">
        <f>Bilans_E_AMS_Kyoto_run3_MTE!O387</f>
        <v>0</v>
      </c>
      <c r="L237" s="711">
        <f>Bilans_E_AMS_Kyoto_run3_MTE!P387</f>
        <v>0</v>
      </c>
      <c r="M237" s="711">
        <f>Bilans_E_AMS_Kyoto_run3_MTE!Q387</f>
        <v>0</v>
      </c>
      <c r="N237" s="711">
        <f>Bilans_E_AMS_Kyoto_run3_MTE!R387</f>
        <v>0</v>
      </c>
      <c r="O237" s="711">
        <f>Bilans_E_AMS_Kyoto_run3_MTE!S387</f>
        <v>-1.2171669369544087</v>
      </c>
      <c r="P237" s="711">
        <f>Bilans_E_AMS_Kyoto_run3_MTE!T387+Bilans_E_AMS_Kyoto_run3_MTE!U387</f>
        <v>0</v>
      </c>
      <c r="Q237" s="711">
        <f>Bilans_E_AMS_Kyoto_run3_MTE!V387</f>
        <v>0</v>
      </c>
      <c r="R237" s="711">
        <f>Bilans_E_AMS_Kyoto_run3_MTE!W387</f>
        <v>0</v>
      </c>
      <c r="S237" s="711">
        <f>Bilans_E_AMS_Kyoto_run3_MTE!X387</f>
        <v>0</v>
      </c>
      <c r="T237" s="711">
        <f>Bilans_E_AMS_Kyoto_run3_MTE!Y387</f>
        <v>-0.55033649946810814</v>
      </c>
      <c r="U237" s="711">
        <f>Bilans_E_AMS_Kyoto_run3_MTE!Z387</f>
        <v>-10.067088558931845</v>
      </c>
      <c r="V237" s="701"/>
      <c r="W237" s="701"/>
    </row>
    <row r="238" spans="1:23" x14ac:dyDescent="0.25">
      <c r="A238" s="701" t="s">
        <v>491</v>
      </c>
      <c r="B238" s="701"/>
      <c r="C238" s="710" t="s">
        <v>63</v>
      </c>
      <c r="D238" s="711">
        <f>Bilans_E_AMS_Kyoto_run3_MTE!H388</f>
        <v>0</v>
      </c>
      <c r="E238" s="711">
        <f>Bilans_E_AMS_Kyoto_run3_MTE!I388</f>
        <v>0</v>
      </c>
      <c r="F238" s="711">
        <f>Bilans_E_AMS_Kyoto_run3_MTE!J388</f>
        <v>-46.4</v>
      </c>
      <c r="G238" s="711">
        <f>Bilans_E_AMS_Kyoto_run3_MTE!K388</f>
        <v>-6.4</v>
      </c>
      <c r="H238" s="711">
        <f>Bilans_E_AMS_Kyoto_run3_MTE!L388</f>
        <v>0</v>
      </c>
      <c r="I238" s="711">
        <f>Bilans_E_AMS_Kyoto_run3_MTE!M388</f>
        <v>0</v>
      </c>
      <c r="J238" s="711">
        <f>Bilans_E_AMS_Kyoto_run3_MTE!N388</f>
        <v>0</v>
      </c>
      <c r="K238" s="711">
        <f>Bilans_E_AMS_Kyoto_run3_MTE!O388</f>
        <v>0</v>
      </c>
      <c r="L238" s="711">
        <f>Bilans_E_AMS_Kyoto_run3_MTE!P388</f>
        <v>0</v>
      </c>
      <c r="M238" s="711">
        <f>Bilans_E_AMS_Kyoto_run3_MTE!Q388</f>
        <v>0</v>
      </c>
      <c r="N238" s="711">
        <f>Bilans_E_AMS_Kyoto_run3_MTE!R388</f>
        <v>-13.4</v>
      </c>
      <c r="O238" s="711">
        <f>Bilans_E_AMS_Kyoto_run3_MTE!S388</f>
        <v>0</v>
      </c>
      <c r="P238" s="711">
        <f>Bilans_E_AMS_Kyoto_run3_MTE!T388+Bilans_E_AMS_Kyoto_run3_MTE!U388</f>
        <v>0</v>
      </c>
      <c r="Q238" s="711">
        <f>Bilans_E_AMS_Kyoto_run3_MTE!V388</f>
        <v>0</v>
      </c>
      <c r="R238" s="711">
        <f>Bilans_E_AMS_Kyoto_run3_MTE!W388</f>
        <v>0</v>
      </c>
      <c r="S238" s="711">
        <f>Bilans_E_AMS_Kyoto_run3_MTE!X388</f>
        <v>0</v>
      </c>
      <c r="T238" s="711">
        <f>Bilans_E_AMS_Kyoto_run3_MTE!Y388</f>
        <v>-2.2000000000000002</v>
      </c>
      <c r="U238" s="711">
        <f>Bilans_E_AMS_Kyoto_run3_MTE!Z388</f>
        <v>-68.400000000000006</v>
      </c>
      <c r="V238" s="701"/>
      <c r="W238" s="701"/>
    </row>
    <row r="239" spans="1:23" x14ac:dyDescent="0.25">
      <c r="A239" s="701" t="s">
        <v>492</v>
      </c>
      <c r="B239" s="701"/>
      <c r="C239" s="710" t="s">
        <v>64</v>
      </c>
      <c r="D239" s="712">
        <f>Bilans_E_AMS_Kyoto_run3_MTE!H389</f>
        <v>0</v>
      </c>
      <c r="E239" s="712">
        <f>Bilans_E_AMS_Kyoto_run3_MTE!I389</f>
        <v>0</v>
      </c>
      <c r="F239" s="712">
        <f>Bilans_E_AMS_Kyoto_run3_MTE!J389</f>
        <v>0</v>
      </c>
      <c r="G239" s="712">
        <f>Bilans_E_AMS_Kyoto_run3_MTE!K389</f>
        <v>0</v>
      </c>
      <c r="H239" s="712">
        <f>Bilans_E_AMS_Kyoto_run3_MTE!L389</f>
        <v>0</v>
      </c>
      <c r="I239" s="712">
        <f>Bilans_E_AMS_Kyoto_run3_MTE!M389</f>
        <v>0</v>
      </c>
      <c r="J239" s="712">
        <f>Bilans_E_AMS_Kyoto_run3_MTE!N389</f>
        <v>0</v>
      </c>
      <c r="K239" s="712">
        <f>Bilans_E_AMS_Kyoto_run3_MTE!O389</f>
        <v>0</v>
      </c>
      <c r="L239" s="712">
        <f>Bilans_E_AMS_Kyoto_run3_MTE!P389</f>
        <v>0</v>
      </c>
      <c r="M239" s="712">
        <f>Bilans_E_AMS_Kyoto_run3_MTE!Q389</f>
        <v>0</v>
      </c>
      <c r="N239" s="712">
        <f>Bilans_E_AMS_Kyoto_run3_MTE!R389</f>
        <v>0</v>
      </c>
      <c r="O239" s="712">
        <f>Bilans_E_AMS_Kyoto_run3_MTE!S389</f>
        <v>0</v>
      </c>
      <c r="P239" s="712">
        <f>Bilans_E_AMS_Kyoto_run3_MTE!T389+Bilans_E_AMS_Kyoto_run3_MTE!U389</f>
        <v>0</v>
      </c>
      <c r="Q239" s="712">
        <f>Bilans_E_AMS_Kyoto_run3_MTE!V389</f>
        <v>0</v>
      </c>
      <c r="R239" s="712">
        <f>Bilans_E_AMS_Kyoto_run3_MTE!W389</f>
        <v>0</v>
      </c>
      <c r="S239" s="712">
        <f>Bilans_E_AMS_Kyoto_run3_MTE!X389</f>
        <v>0</v>
      </c>
      <c r="T239" s="712">
        <f>Bilans_E_AMS_Kyoto_run3_MTE!Y389</f>
        <v>0</v>
      </c>
      <c r="U239" s="712">
        <f>Bilans_E_AMS_Kyoto_run3_MTE!Z389</f>
        <v>0</v>
      </c>
      <c r="V239" s="701"/>
      <c r="W239" s="701"/>
    </row>
    <row r="240" spans="1:23" x14ac:dyDescent="0.25">
      <c r="A240" s="701" t="s">
        <v>493</v>
      </c>
      <c r="B240" s="701"/>
      <c r="C240" s="713" t="s">
        <v>65</v>
      </c>
      <c r="D240" s="714">
        <f>Bilans_E_AMS_Kyoto_run3_MTE!H390</f>
        <v>12.531065673828124</v>
      </c>
      <c r="E240" s="714">
        <f>Bilans_E_AMS_Kyoto_run3_MTE!I390</f>
        <v>262.59596136173099</v>
      </c>
      <c r="F240" s="714">
        <f>Bilans_E_AMS_Kyoto_run3_MTE!J390</f>
        <v>26.932311781247869</v>
      </c>
      <c r="G240" s="714">
        <f>Bilans_E_AMS_Kyoto_run3_MTE!K390</f>
        <v>-1.7745291376735031</v>
      </c>
      <c r="H240" s="714">
        <f>Bilans_E_AMS_Kyoto_run3_MTE!L390</f>
        <v>145.88256317463066</v>
      </c>
      <c r="I240" s="714">
        <f>Bilans_E_AMS_Kyoto_run3_MTE!M390</f>
        <v>-0.83753949174200382</v>
      </c>
      <c r="J240" s="714">
        <f>Bilans_E_AMS_Kyoto_run3_MTE!N390</f>
        <v>1195.4990290598246</v>
      </c>
      <c r="K240" s="714">
        <f>Bilans_E_AMS_Kyoto_run3_MTE!O390</f>
        <v>352.81639892204078</v>
      </c>
      <c r="L240" s="714">
        <f>Bilans_E_AMS_Kyoto_run3_MTE!P390</f>
        <v>341.33694367798938</v>
      </c>
      <c r="M240" s="714">
        <f>Bilans_E_AMS_Kyoto_run3_MTE!Q390</f>
        <v>49.102811616128875</v>
      </c>
      <c r="N240" s="714">
        <f>Bilans_E_AMS_Kyoto_run3_MTE!R390</f>
        <v>0.38683623931831868</v>
      </c>
      <c r="O240" s="714">
        <f>Bilans_E_AMS_Kyoto_run3_MTE!S390</f>
        <v>2.9852495575387552</v>
      </c>
      <c r="P240" s="714">
        <f>Bilans_E_AMS_Kyoto_run3_MTE!T390+Bilans_E_AMS_Kyoto_run3_MTE!U390</f>
        <v>200.79978234592807</v>
      </c>
      <c r="Q240" s="714">
        <f>Bilans_E_AMS_Kyoto_run3_MTE!V390</f>
        <v>40.778741630012433</v>
      </c>
      <c r="R240" s="714">
        <f>Bilans_E_AMS_Kyoto_run3_MTE!W390</f>
        <v>-112.47635741768158</v>
      </c>
      <c r="S240" s="714">
        <f>Bilans_E_AMS_Kyoto_run3_MTE!X390</f>
        <v>0</v>
      </c>
      <c r="T240" s="714">
        <f>Bilans_E_AMS_Kyoto_run3_MTE!Y390</f>
        <v>-2.7503364994681085</v>
      </c>
      <c r="U240" s="714">
        <f>Bilans_E_AMS_Kyoto_run3_MTE!Z390</f>
        <v>2513.8089324936536</v>
      </c>
      <c r="V240" s="701"/>
      <c r="W240" s="701"/>
    </row>
    <row r="241" spans="1:23" x14ac:dyDescent="0.25">
      <c r="A241" s="701"/>
      <c r="B241" s="701"/>
      <c r="C241" s="715"/>
      <c r="D241" s="716"/>
      <c r="E241" s="716"/>
      <c r="F241" s="716"/>
      <c r="G241" s="716"/>
      <c r="H241" s="716"/>
      <c r="I241" s="716"/>
      <c r="J241" s="716"/>
      <c r="K241" s="716"/>
      <c r="L241" s="716"/>
      <c r="M241" s="716"/>
      <c r="N241" s="716"/>
      <c r="O241" s="716"/>
      <c r="P241" s="716">
        <f>Bilans_E_AMS_Kyoto_run3_MTE!T391+Bilans_E_AMS_Kyoto_run3_MTE!U391</f>
        <v>0</v>
      </c>
      <c r="Q241" s="716"/>
      <c r="R241" s="716"/>
      <c r="S241" s="716"/>
      <c r="T241" s="716"/>
      <c r="U241" s="716"/>
      <c r="V241" s="701"/>
      <c r="W241" s="701"/>
    </row>
    <row r="242" spans="1:23" x14ac:dyDescent="0.25">
      <c r="A242" s="701" t="s">
        <v>494</v>
      </c>
      <c r="B242" s="701"/>
      <c r="C242" s="717" t="s">
        <v>67</v>
      </c>
      <c r="D242" s="711">
        <f>Bilans_E_AMS_Kyoto_run3_MTE!H392</f>
        <v>0</v>
      </c>
      <c r="E242" s="711">
        <f>Bilans_E_AMS_Kyoto_run3_MTE!I392</f>
        <v>0</v>
      </c>
      <c r="F242" s="711">
        <f>Bilans_E_AMS_Kyoto_run3_MTE!J392</f>
        <v>0</v>
      </c>
      <c r="G242" s="711">
        <f>Bilans_E_AMS_Kyoto_run3_MTE!K392</f>
        <v>0</v>
      </c>
      <c r="H242" s="711">
        <f>Bilans_E_AMS_Kyoto_run3_MTE!L392</f>
        <v>0</v>
      </c>
      <c r="I242" s="711">
        <f>Bilans_E_AMS_Kyoto_run3_MTE!M392</f>
        <v>0</v>
      </c>
      <c r="J242" s="711">
        <f>Bilans_E_AMS_Kyoto_run3_MTE!N392</f>
        <v>0</v>
      </c>
      <c r="K242" s="711">
        <f>Bilans_E_AMS_Kyoto_run3_MTE!O392</f>
        <v>0</v>
      </c>
      <c r="L242" s="711">
        <f>Bilans_E_AMS_Kyoto_run3_MTE!P392</f>
        <v>0</v>
      </c>
      <c r="M242" s="711">
        <f>Bilans_E_AMS_Kyoto_run3_MTE!Q392</f>
        <v>0</v>
      </c>
      <c r="N242" s="711">
        <f>Bilans_E_AMS_Kyoto_run3_MTE!R392</f>
        <v>0</v>
      </c>
      <c r="O242" s="711">
        <f>Bilans_E_AMS_Kyoto_run3_MTE!S392</f>
        <v>0</v>
      </c>
      <c r="P242" s="711">
        <f>Bilans_E_AMS_Kyoto_run3_MTE!T392+Bilans_E_AMS_Kyoto_run3_MTE!U392</f>
        <v>0</v>
      </c>
      <c r="Q242" s="711">
        <f>Bilans_E_AMS_Kyoto_run3_MTE!V392</f>
        <v>0</v>
      </c>
      <c r="R242" s="711">
        <f>Bilans_E_AMS_Kyoto_run3_MTE!W392</f>
        <v>0</v>
      </c>
      <c r="S242" s="711">
        <f>Bilans_E_AMS_Kyoto_run3_MTE!X392</f>
        <v>0</v>
      </c>
      <c r="T242" s="711">
        <f>Bilans_E_AMS_Kyoto_run3_MTE!Y392</f>
        <v>0</v>
      </c>
      <c r="U242" s="711">
        <f>Bilans_E_AMS_Kyoto_run3_MTE!Z392</f>
        <v>0</v>
      </c>
      <c r="V242" s="701"/>
      <c r="W242" s="701"/>
    </row>
    <row r="243" spans="1:23" x14ac:dyDescent="0.25">
      <c r="A243" s="701" t="s">
        <v>495</v>
      </c>
      <c r="B243" s="701"/>
      <c r="C243" s="717" t="s">
        <v>347</v>
      </c>
      <c r="D243" s="711">
        <f>Bilans_E_AMS_Kyoto_run3_MTE!H393</f>
        <v>0</v>
      </c>
      <c r="E243" s="711">
        <f>Bilans_E_AMS_Kyoto_run3_MTE!I393</f>
        <v>0</v>
      </c>
      <c r="F243" s="711">
        <f>Bilans_E_AMS_Kyoto_run3_MTE!J393</f>
        <v>0.36057808628354604</v>
      </c>
      <c r="G243" s="711">
        <f>Bilans_E_AMS_Kyoto_run3_MTE!K393</f>
        <v>0</v>
      </c>
      <c r="H243" s="711">
        <f>Bilans_E_AMS_Kyoto_run3_MTE!L393</f>
        <v>8.6510705990175421</v>
      </c>
      <c r="I243" s="711">
        <f>Bilans_E_AMS_Kyoto_run3_MTE!M393</f>
        <v>0</v>
      </c>
      <c r="J243" s="711">
        <f>Bilans_E_AMS_Kyoto_run3_MTE!N393</f>
        <v>1193.4597454545453</v>
      </c>
      <c r="K243" s="711">
        <f>Bilans_E_AMS_Kyoto_run3_MTE!O393</f>
        <v>352.81639892204078</v>
      </c>
      <c r="L243" s="711">
        <f>Bilans_E_AMS_Kyoto_run3_MTE!P393</f>
        <v>17.169316423280179</v>
      </c>
      <c r="M243" s="711">
        <f>Bilans_E_AMS_Kyoto_run3_MTE!Q393</f>
        <v>5.7366833077088035</v>
      </c>
      <c r="N243" s="711">
        <f>Bilans_E_AMS_Kyoto_run3_MTE!R393</f>
        <v>5.3878161949008447</v>
      </c>
      <c r="O243" s="711">
        <f>Bilans_E_AMS_Kyoto_run3_MTE!S393</f>
        <v>5.0608301808950129</v>
      </c>
      <c r="P243" s="711">
        <f>Bilans_E_AMS_Kyoto_run3_MTE!T393+Bilans_E_AMS_Kyoto_run3_MTE!U393</f>
        <v>0</v>
      </c>
      <c r="Q243" s="711">
        <f>Bilans_E_AMS_Kyoto_run3_MTE!V393</f>
        <v>4.9774137725284184</v>
      </c>
      <c r="R243" s="711">
        <f>Bilans_E_AMS_Kyoto_run3_MTE!W393</f>
        <v>-770.22733582540855</v>
      </c>
      <c r="S243" s="711">
        <f>Bilans_E_AMS_Kyoto_run3_MTE!X393</f>
        <v>0</v>
      </c>
      <c r="T243" s="711">
        <f>Bilans_E_AMS_Kyoto_run3_MTE!Y393</f>
        <v>0</v>
      </c>
      <c r="U243" s="711">
        <f>Bilans_E_AMS_Kyoto_run3_MTE!Z393</f>
        <v>823.39251711579163</v>
      </c>
      <c r="V243" s="701"/>
      <c r="W243" s="701"/>
    </row>
    <row r="244" spans="1:23" x14ac:dyDescent="0.25">
      <c r="A244" s="701" t="s">
        <v>496</v>
      </c>
      <c r="B244" s="701"/>
      <c r="C244" s="717" t="s">
        <v>348</v>
      </c>
      <c r="D244" s="711">
        <f>Bilans_E_AMS_Kyoto_run3_MTE!H394</f>
        <v>0</v>
      </c>
      <c r="E244" s="711">
        <f>Bilans_E_AMS_Kyoto_run3_MTE!I394</f>
        <v>0</v>
      </c>
      <c r="F244" s="711">
        <f>Bilans_E_AMS_Kyoto_run3_MTE!J394</f>
        <v>0</v>
      </c>
      <c r="G244" s="711">
        <f>Bilans_E_AMS_Kyoto_run3_MTE!K394</f>
        <v>0</v>
      </c>
      <c r="H244" s="711">
        <f>Bilans_E_AMS_Kyoto_run3_MTE!L394</f>
        <v>16.741941849061199</v>
      </c>
      <c r="I244" s="711">
        <f>Bilans_E_AMS_Kyoto_run3_MTE!M394</f>
        <v>0</v>
      </c>
      <c r="J244" s="711">
        <f>Bilans_E_AMS_Kyoto_run3_MTE!N394</f>
        <v>2.0392836052791781</v>
      </c>
      <c r="K244" s="711">
        <f>Bilans_E_AMS_Kyoto_run3_MTE!O394</f>
        <v>0</v>
      </c>
      <c r="L244" s="711">
        <f>Bilans_E_AMS_Kyoto_run3_MTE!P394</f>
        <v>24.508111114586647</v>
      </c>
      <c r="M244" s="711">
        <f>Bilans_E_AMS_Kyoto_run3_MTE!Q394</f>
        <v>15.713393249215271</v>
      </c>
      <c r="N244" s="711">
        <f>Bilans_E_AMS_Kyoto_run3_MTE!R394</f>
        <v>0</v>
      </c>
      <c r="O244" s="711">
        <f>Bilans_E_AMS_Kyoto_run3_MTE!S394</f>
        <v>8.2544124688387157</v>
      </c>
      <c r="P244" s="711">
        <f>Bilans_E_AMS_Kyoto_run3_MTE!T394+Bilans_E_AMS_Kyoto_run3_MTE!U394</f>
        <v>15.880539172662751</v>
      </c>
      <c r="Q244" s="711">
        <f>Bilans_E_AMS_Kyoto_run3_MTE!V394</f>
        <v>15.123327125815617</v>
      </c>
      <c r="R244" s="711">
        <f>Bilans_E_AMS_Kyoto_run3_MTE!W394</f>
        <v>0</v>
      </c>
      <c r="S244" s="711">
        <f>Bilans_E_AMS_Kyoto_run3_MTE!X394</f>
        <v>-90.455475584151912</v>
      </c>
      <c r="T244" s="711">
        <f>Bilans_E_AMS_Kyoto_run3_MTE!Y394</f>
        <v>0</v>
      </c>
      <c r="U244" s="711">
        <f>Bilans_E_AMS_Kyoto_run3_MTE!Z394</f>
        <v>7.8055330013074666</v>
      </c>
      <c r="V244" s="701"/>
      <c r="W244" s="701"/>
    </row>
    <row r="245" spans="1:23" x14ac:dyDescent="0.25">
      <c r="A245" s="701" t="s">
        <v>497</v>
      </c>
      <c r="B245" s="701"/>
      <c r="C245" s="717" t="s">
        <v>349</v>
      </c>
      <c r="D245" s="711">
        <f>Bilans_E_AMS_Kyoto_run3_MTE!H395</f>
        <v>0</v>
      </c>
      <c r="E245" s="711">
        <f>Bilans_E_AMS_Kyoto_run3_MTE!I395</f>
        <v>0</v>
      </c>
      <c r="F245" s="711">
        <f>Bilans_E_AMS_Kyoto_run3_MTE!J395</f>
        <v>0</v>
      </c>
      <c r="G245" s="711">
        <f>Bilans_E_AMS_Kyoto_run3_MTE!K395</f>
        <v>0</v>
      </c>
      <c r="H245" s="711">
        <f>Bilans_E_AMS_Kyoto_run3_MTE!L395</f>
        <v>0</v>
      </c>
      <c r="I245" s="711">
        <f>Bilans_E_AMS_Kyoto_run3_MTE!M395</f>
        <v>0</v>
      </c>
      <c r="J245" s="711">
        <f>Bilans_E_AMS_Kyoto_run3_MTE!N395</f>
        <v>0</v>
      </c>
      <c r="K245" s="711">
        <f>Bilans_E_AMS_Kyoto_run3_MTE!O395</f>
        <v>0</v>
      </c>
      <c r="L245" s="711">
        <f>Bilans_E_AMS_Kyoto_run3_MTE!P395</f>
        <v>110.70220449796281</v>
      </c>
      <c r="M245" s="711">
        <f>Bilans_E_AMS_Kyoto_run3_MTE!Q395</f>
        <v>11.288363237424081</v>
      </c>
      <c r="N245" s="711">
        <f>Bilans_E_AMS_Kyoto_run3_MTE!R395</f>
        <v>0</v>
      </c>
      <c r="O245" s="711">
        <f>Bilans_E_AMS_Kyoto_run3_MTE!S395</f>
        <v>-61.07757335974334</v>
      </c>
      <c r="P245" s="711">
        <f>Bilans_E_AMS_Kyoto_run3_MTE!T395+Bilans_E_AMS_Kyoto_run3_MTE!U395</f>
        <v>0</v>
      </c>
      <c r="Q245" s="711">
        <f>Bilans_E_AMS_Kyoto_run3_MTE!V395</f>
        <v>0</v>
      </c>
      <c r="R245" s="711">
        <f>Bilans_E_AMS_Kyoto_run3_MTE!W395</f>
        <v>0</v>
      </c>
      <c r="S245" s="711">
        <f>Bilans_E_AMS_Kyoto_run3_MTE!X395</f>
        <v>0</v>
      </c>
      <c r="T245" s="711">
        <f>Bilans_E_AMS_Kyoto_run3_MTE!Y395</f>
        <v>0</v>
      </c>
      <c r="U245" s="711">
        <f>Bilans_E_AMS_Kyoto_run3_MTE!Z395</f>
        <v>60.912994375643549</v>
      </c>
      <c r="V245" s="701"/>
      <c r="W245" s="701"/>
    </row>
    <row r="246" spans="1:23" x14ac:dyDescent="0.25">
      <c r="A246" s="701" t="s">
        <v>498</v>
      </c>
      <c r="B246" s="701"/>
      <c r="C246" s="717" t="s">
        <v>350</v>
      </c>
      <c r="D246" s="711">
        <f>Bilans_E_AMS_Kyoto_run3_MTE!H396</f>
        <v>0</v>
      </c>
      <c r="E246" s="711">
        <f>Bilans_E_AMS_Kyoto_run3_MTE!I396</f>
        <v>0</v>
      </c>
      <c r="F246" s="711">
        <f>Bilans_E_AMS_Kyoto_run3_MTE!J396</f>
        <v>0</v>
      </c>
      <c r="G246" s="711">
        <f>Bilans_E_AMS_Kyoto_run3_MTE!K396</f>
        <v>0</v>
      </c>
      <c r="H246" s="711">
        <f>Bilans_E_AMS_Kyoto_run3_MTE!L396</f>
        <v>0</v>
      </c>
      <c r="I246" s="711">
        <f>Bilans_E_AMS_Kyoto_run3_MTE!M396</f>
        <v>-0.83753949174200382</v>
      </c>
      <c r="J246" s="711">
        <f>Bilans_E_AMS_Kyoto_run3_MTE!N396</f>
        <v>0</v>
      </c>
      <c r="K246" s="711">
        <f>Bilans_E_AMS_Kyoto_run3_MTE!O396</f>
        <v>0</v>
      </c>
      <c r="L246" s="711">
        <f>Bilans_E_AMS_Kyoto_run3_MTE!P396</f>
        <v>0</v>
      </c>
      <c r="M246" s="711">
        <f>Bilans_E_AMS_Kyoto_run3_MTE!Q396</f>
        <v>0</v>
      </c>
      <c r="N246" s="711">
        <f>Bilans_E_AMS_Kyoto_run3_MTE!R396</f>
        <v>0</v>
      </c>
      <c r="O246" s="711">
        <f>Bilans_E_AMS_Kyoto_run3_MTE!S396</f>
        <v>0</v>
      </c>
      <c r="P246" s="711">
        <f>Bilans_E_AMS_Kyoto_run3_MTE!T396+Bilans_E_AMS_Kyoto_run3_MTE!U396</f>
        <v>0</v>
      </c>
      <c r="Q246" s="711">
        <f>Bilans_E_AMS_Kyoto_run3_MTE!V396</f>
        <v>0</v>
      </c>
      <c r="R246" s="711">
        <f>Bilans_E_AMS_Kyoto_run3_MTE!W396</f>
        <v>0</v>
      </c>
      <c r="S246" s="711">
        <f>Bilans_E_AMS_Kyoto_run3_MTE!X396</f>
        <v>0</v>
      </c>
      <c r="T246" s="711">
        <f>Bilans_E_AMS_Kyoto_run3_MTE!Y396</f>
        <v>1.1632492940861165</v>
      </c>
      <c r="U246" s="711">
        <f>Bilans_E_AMS_Kyoto_run3_MTE!Z396</f>
        <v>0.32570980234411273</v>
      </c>
      <c r="V246" s="701"/>
      <c r="W246" s="701"/>
    </row>
    <row r="247" spans="1:23" x14ac:dyDescent="0.25">
      <c r="A247" s="701" t="s">
        <v>499</v>
      </c>
      <c r="B247" s="701"/>
      <c r="C247" s="717" t="s">
        <v>72</v>
      </c>
      <c r="D247" s="711">
        <f>Bilans_E_AMS_Kyoto_run3_MTE!H397</f>
        <v>0</v>
      </c>
      <c r="E247" s="711">
        <f>Bilans_E_AMS_Kyoto_run3_MTE!I397</f>
        <v>272.12802990456925</v>
      </c>
      <c r="F247" s="711">
        <f>Bilans_E_AMS_Kyoto_run3_MTE!J397</f>
        <v>-269.40674960552354</v>
      </c>
      <c r="G247" s="711">
        <f>Bilans_E_AMS_Kyoto_run3_MTE!K397</f>
        <v>0</v>
      </c>
      <c r="H247" s="711">
        <f>Bilans_E_AMS_Kyoto_run3_MTE!L397</f>
        <v>0</v>
      </c>
      <c r="I247" s="711">
        <f>Bilans_E_AMS_Kyoto_run3_MTE!M397</f>
        <v>0</v>
      </c>
      <c r="J247" s="711">
        <f>Bilans_E_AMS_Kyoto_run3_MTE!N397</f>
        <v>0</v>
      </c>
      <c r="K247" s="711">
        <f>Bilans_E_AMS_Kyoto_run3_MTE!O397</f>
        <v>0</v>
      </c>
      <c r="L247" s="711">
        <f>Bilans_E_AMS_Kyoto_run3_MTE!P397</f>
        <v>0</v>
      </c>
      <c r="M247" s="711">
        <f>Bilans_E_AMS_Kyoto_run3_MTE!Q397</f>
        <v>0</v>
      </c>
      <c r="N247" s="711">
        <f>Bilans_E_AMS_Kyoto_run3_MTE!R397</f>
        <v>0</v>
      </c>
      <c r="O247" s="711">
        <f>Bilans_E_AMS_Kyoto_run3_MTE!S397</f>
        <v>0</v>
      </c>
      <c r="P247" s="711">
        <f>Bilans_E_AMS_Kyoto_run3_MTE!T397+Bilans_E_AMS_Kyoto_run3_MTE!U397</f>
        <v>0</v>
      </c>
      <c r="Q247" s="711">
        <f>Bilans_E_AMS_Kyoto_run3_MTE!V397</f>
        <v>0</v>
      </c>
      <c r="R247" s="711">
        <f>Bilans_E_AMS_Kyoto_run3_MTE!W397</f>
        <v>0</v>
      </c>
      <c r="S247" s="711">
        <f>Bilans_E_AMS_Kyoto_run3_MTE!X397</f>
        <v>0</v>
      </c>
      <c r="T247" s="711">
        <f>Bilans_E_AMS_Kyoto_run3_MTE!Y397</f>
        <v>0</v>
      </c>
      <c r="U247" s="711">
        <f>Bilans_E_AMS_Kyoto_run3_MTE!Z397</f>
        <v>2.7212802990457021</v>
      </c>
      <c r="V247" s="701"/>
      <c r="W247" s="701"/>
    </row>
    <row r="248" spans="1:23" x14ac:dyDescent="0.25">
      <c r="A248" s="701" t="s">
        <v>500</v>
      </c>
      <c r="B248" s="701"/>
      <c r="C248" s="717" t="s">
        <v>351</v>
      </c>
      <c r="D248" s="711">
        <f>Bilans_E_AMS_Kyoto_run3_MTE!H398</f>
        <v>0</v>
      </c>
      <c r="E248" s="711">
        <f>Bilans_E_AMS_Kyoto_run3_MTE!I398</f>
        <v>0</v>
      </c>
      <c r="F248" s="711">
        <f>Bilans_E_AMS_Kyoto_run3_MTE!J398</f>
        <v>0</v>
      </c>
      <c r="G248" s="711">
        <f>Bilans_E_AMS_Kyoto_run3_MTE!K398</f>
        <v>0</v>
      </c>
      <c r="H248" s="711">
        <f>Bilans_E_AMS_Kyoto_run3_MTE!L398</f>
        <v>0</v>
      </c>
      <c r="I248" s="711">
        <f>Bilans_E_AMS_Kyoto_run3_MTE!M398</f>
        <v>0</v>
      </c>
      <c r="J248" s="711">
        <f>Bilans_E_AMS_Kyoto_run3_MTE!N398</f>
        <v>0</v>
      </c>
      <c r="K248" s="711">
        <f>Bilans_E_AMS_Kyoto_run3_MTE!O398</f>
        <v>0</v>
      </c>
      <c r="L248" s="711">
        <f>Bilans_E_AMS_Kyoto_run3_MTE!P398</f>
        <v>88.639921652360655</v>
      </c>
      <c r="M248" s="711">
        <f>Bilans_E_AMS_Kyoto_run3_MTE!Q398</f>
        <v>7.2727272727272725</v>
      </c>
      <c r="N248" s="711">
        <f>Bilans_E_AMS_Kyoto_run3_MTE!R398</f>
        <v>-53.457042752935592</v>
      </c>
      <c r="O248" s="711">
        <f>Bilans_E_AMS_Kyoto_run3_MTE!S398</f>
        <v>0</v>
      </c>
      <c r="P248" s="711">
        <f>Bilans_E_AMS_Kyoto_run3_MTE!T398+Bilans_E_AMS_Kyoto_run3_MTE!U398</f>
        <v>0</v>
      </c>
      <c r="Q248" s="711">
        <f>Bilans_E_AMS_Kyoto_run3_MTE!V398</f>
        <v>0</v>
      </c>
      <c r="R248" s="711">
        <f>Bilans_E_AMS_Kyoto_run3_MTE!W398</f>
        <v>0</v>
      </c>
      <c r="S248" s="711">
        <f>Bilans_E_AMS_Kyoto_run3_MTE!X398</f>
        <v>0</v>
      </c>
      <c r="T248" s="711">
        <f>Bilans_E_AMS_Kyoto_run3_MTE!Y398</f>
        <v>0</v>
      </c>
      <c r="U248" s="711">
        <f>Bilans_E_AMS_Kyoto_run3_MTE!Z398</f>
        <v>42.455606172152329</v>
      </c>
      <c r="V248" s="701"/>
      <c r="W248" s="701"/>
    </row>
    <row r="249" spans="1:23" x14ac:dyDescent="0.25">
      <c r="A249" s="701" t="s">
        <v>501</v>
      </c>
      <c r="B249" s="701"/>
      <c r="C249" s="717" t="s">
        <v>352</v>
      </c>
      <c r="D249" s="711">
        <f>Bilans_E_AMS_Kyoto_run3_MTE!H399</f>
        <v>0</v>
      </c>
      <c r="E249" s="711">
        <f>Bilans_E_AMS_Kyoto_run3_MTE!I399</f>
        <v>0</v>
      </c>
      <c r="F249" s="711">
        <f>Bilans_E_AMS_Kyoto_run3_MTE!J399</f>
        <v>0</v>
      </c>
      <c r="G249" s="711">
        <f>Bilans_E_AMS_Kyoto_run3_MTE!K399</f>
        <v>-4.3840446509759525</v>
      </c>
      <c r="H249" s="711">
        <f>Bilans_E_AMS_Kyoto_run3_MTE!L399</f>
        <v>0</v>
      </c>
      <c r="I249" s="711">
        <f>Bilans_E_AMS_Kyoto_run3_MTE!M399</f>
        <v>0</v>
      </c>
      <c r="J249" s="711">
        <f>Bilans_E_AMS_Kyoto_run3_MTE!N399</f>
        <v>0</v>
      </c>
      <c r="K249" s="711">
        <f>Bilans_E_AMS_Kyoto_run3_MTE!O399</f>
        <v>0</v>
      </c>
      <c r="L249" s="711">
        <f>Bilans_E_AMS_Kyoto_run3_MTE!P399</f>
        <v>0</v>
      </c>
      <c r="M249" s="711">
        <f>Bilans_E_AMS_Kyoto_run3_MTE!Q399</f>
        <v>0</v>
      </c>
      <c r="N249" s="711">
        <f>Bilans_E_AMS_Kyoto_run3_MTE!R399</f>
        <v>0</v>
      </c>
      <c r="O249" s="711">
        <f>Bilans_E_AMS_Kyoto_run3_MTE!S399</f>
        <v>0</v>
      </c>
      <c r="P249" s="711">
        <f>Bilans_E_AMS_Kyoto_run3_MTE!T399+Bilans_E_AMS_Kyoto_run3_MTE!U399</f>
        <v>0</v>
      </c>
      <c r="Q249" s="711">
        <f>Bilans_E_AMS_Kyoto_run3_MTE!V399</f>
        <v>0</v>
      </c>
      <c r="R249" s="711">
        <f>Bilans_E_AMS_Kyoto_run3_MTE!W399</f>
        <v>0</v>
      </c>
      <c r="S249" s="711">
        <f>Bilans_E_AMS_Kyoto_run3_MTE!X399</f>
        <v>0</v>
      </c>
      <c r="T249" s="711">
        <f>Bilans_E_AMS_Kyoto_run3_MTE!Y399</f>
        <v>7.2149491160735479</v>
      </c>
      <c r="U249" s="711">
        <f>Bilans_E_AMS_Kyoto_run3_MTE!Z399</f>
        <v>2.8309044650975954</v>
      </c>
      <c r="V249" s="701"/>
      <c r="W249" s="701"/>
    </row>
    <row r="250" spans="1:23" x14ac:dyDescent="0.25">
      <c r="A250" s="701" t="s">
        <v>502</v>
      </c>
      <c r="B250" s="701"/>
      <c r="C250" s="717" t="s">
        <v>73</v>
      </c>
      <c r="D250" s="711">
        <f>Bilans_E_AMS_Kyoto_run3_MTE!H400</f>
        <v>0</v>
      </c>
      <c r="E250" s="711">
        <f>Bilans_E_AMS_Kyoto_run3_MTE!I400</f>
        <v>0</v>
      </c>
      <c r="F250" s="711">
        <f>Bilans_E_AMS_Kyoto_run3_MTE!J400</f>
        <v>0</v>
      </c>
      <c r="G250" s="711">
        <f>Bilans_E_AMS_Kyoto_run3_MTE!K400</f>
        <v>0</v>
      </c>
      <c r="H250" s="711">
        <f>Bilans_E_AMS_Kyoto_run3_MTE!L400</f>
        <v>0</v>
      </c>
      <c r="I250" s="711">
        <f>Bilans_E_AMS_Kyoto_run3_MTE!M400</f>
        <v>0</v>
      </c>
      <c r="J250" s="711">
        <f>Bilans_E_AMS_Kyoto_run3_MTE!N400</f>
        <v>0</v>
      </c>
      <c r="K250" s="711">
        <f>Bilans_E_AMS_Kyoto_run3_MTE!O400</f>
        <v>0</v>
      </c>
      <c r="L250" s="711">
        <f>Bilans_E_AMS_Kyoto_run3_MTE!P400</f>
        <v>0</v>
      </c>
      <c r="M250" s="711">
        <f>Bilans_E_AMS_Kyoto_run3_MTE!Q400</f>
        <v>0</v>
      </c>
      <c r="N250" s="711">
        <f>Bilans_E_AMS_Kyoto_run3_MTE!R400</f>
        <v>0</v>
      </c>
      <c r="O250" s="711">
        <f>Bilans_E_AMS_Kyoto_run3_MTE!S400</f>
        <v>0</v>
      </c>
      <c r="P250" s="711">
        <f>Bilans_E_AMS_Kyoto_run3_MTE!T400+Bilans_E_AMS_Kyoto_run3_MTE!U400</f>
        <v>0</v>
      </c>
      <c r="Q250" s="711">
        <f>Bilans_E_AMS_Kyoto_run3_MTE!V400</f>
        <v>0</v>
      </c>
      <c r="R250" s="711">
        <f>Bilans_E_AMS_Kyoto_run3_MTE!W400</f>
        <v>40.8329668197633</v>
      </c>
      <c r="S250" s="711">
        <f>Bilans_E_AMS_Kyoto_run3_MTE!X400</f>
        <v>0</v>
      </c>
      <c r="T250" s="711">
        <f>Bilans_E_AMS_Kyoto_run3_MTE!Y400</f>
        <v>-27.684751503799522</v>
      </c>
      <c r="U250" s="711">
        <f>Bilans_E_AMS_Kyoto_run3_MTE!Z400</f>
        <v>13.148215315963778</v>
      </c>
      <c r="V250" s="701"/>
      <c r="W250" s="701"/>
    </row>
    <row r="251" spans="1:23" x14ac:dyDescent="0.25">
      <c r="A251" s="701" t="s">
        <v>503</v>
      </c>
      <c r="B251" s="701"/>
      <c r="C251" s="717" t="s">
        <v>353</v>
      </c>
      <c r="D251" s="711">
        <f>Bilans_E_AMS_Kyoto_run3_MTE!H401</f>
        <v>8.7196264453124996</v>
      </c>
      <c r="E251" s="711">
        <f>Bilans_E_AMS_Kyoto_run3_MTE!I401</f>
        <v>-9.5320685428382639</v>
      </c>
      <c r="F251" s="711">
        <f>Bilans_E_AMS_Kyoto_run3_MTE!J401</f>
        <v>12.621512149777095</v>
      </c>
      <c r="G251" s="711">
        <f>Bilans_E_AMS_Kyoto_run3_MTE!K401</f>
        <v>0</v>
      </c>
      <c r="H251" s="711">
        <f>Bilans_E_AMS_Kyoto_run3_MTE!L401</f>
        <v>0</v>
      </c>
      <c r="I251" s="711">
        <f>Bilans_E_AMS_Kyoto_run3_MTE!M401</f>
        <v>0</v>
      </c>
      <c r="J251" s="711">
        <f>Bilans_E_AMS_Kyoto_run3_MTE!N401</f>
        <v>0</v>
      </c>
      <c r="K251" s="711">
        <f>Bilans_E_AMS_Kyoto_run3_MTE!O401</f>
        <v>0</v>
      </c>
      <c r="L251" s="711">
        <f>Bilans_E_AMS_Kyoto_run3_MTE!P401</f>
        <v>0</v>
      </c>
      <c r="M251" s="711">
        <f>Bilans_E_AMS_Kyoto_run3_MTE!Q401</f>
        <v>0</v>
      </c>
      <c r="N251" s="711">
        <f>Bilans_E_AMS_Kyoto_run3_MTE!R401</f>
        <v>0</v>
      </c>
      <c r="O251" s="711">
        <f>Bilans_E_AMS_Kyoto_run3_MTE!S401</f>
        <v>0</v>
      </c>
      <c r="P251" s="711">
        <f>Bilans_E_AMS_Kyoto_run3_MTE!T401+Bilans_E_AMS_Kyoto_run3_MTE!U401</f>
        <v>0</v>
      </c>
      <c r="Q251" s="711">
        <f>Bilans_E_AMS_Kyoto_run3_MTE!V401</f>
        <v>0</v>
      </c>
      <c r="R251" s="711">
        <f>Bilans_E_AMS_Kyoto_run3_MTE!W401</f>
        <v>0</v>
      </c>
      <c r="S251" s="711">
        <f>Bilans_E_AMS_Kyoto_run3_MTE!X401</f>
        <v>0</v>
      </c>
      <c r="T251" s="711">
        <f>Bilans_E_AMS_Kyoto_run3_MTE!Y401</f>
        <v>0</v>
      </c>
      <c r="U251" s="711">
        <f>Bilans_E_AMS_Kyoto_run3_MTE!Z401</f>
        <v>11.809070052251331</v>
      </c>
      <c r="V251" s="701"/>
      <c r="W251" s="701"/>
    </row>
    <row r="252" spans="1:23" x14ac:dyDescent="0.25">
      <c r="A252" s="701" t="s">
        <v>504</v>
      </c>
      <c r="B252" s="701"/>
      <c r="C252" s="717" t="s">
        <v>75</v>
      </c>
      <c r="D252" s="711">
        <f>Bilans_E_AMS_Kyoto_run3_MTE!H402</f>
        <v>3.3909658398437501</v>
      </c>
      <c r="E252" s="711">
        <f>Bilans_E_AMS_Kyoto_run3_MTE!I402</f>
        <v>0</v>
      </c>
      <c r="F252" s="711">
        <f>Bilans_E_AMS_Kyoto_run3_MTE!J402</f>
        <v>9.432796735269573</v>
      </c>
      <c r="G252" s="711">
        <f>Bilans_E_AMS_Kyoto_run3_MTE!K402</f>
        <v>0</v>
      </c>
      <c r="H252" s="711">
        <f>Bilans_E_AMS_Kyoto_run3_MTE!L402</f>
        <v>0</v>
      </c>
      <c r="I252" s="711">
        <f>Bilans_E_AMS_Kyoto_run3_MTE!M402</f>
        <v>0</v>
      </c>
      <c r="J252" s="711">
        <f>Bilans_E_AMS_Kyoto_run3_MTE!N402</f>
        <v>0</v>
      </c>
      <c r="K252" s="711">
        <f>Bilans_E_AMS_Kyoto_run3_MTE!O402</f>
        <v>0</v>
      </c>
      <c r="L252" s="711">
        <f>Bilans_E_AMS_Kyoto_run3_MTE!P402</f>
        <v>0</v>
      </c>
      <c r="M252" s="711">
        <f>Bilans_E_AMS_Kyoto_run3_MTE!Q402</f>
        <v>0</v>
      </c>
      <c r="N252" s="711">
        <f>Bilans_E_AMS_Kyoto_run3_MTE!R402</f>
        <v>0</v>
      </c>
      <c r="O252" s="711">
        <f>Bilans_E_AMS_Kyoto_run3_MTE!S402</f>
        <v>0</v>
      </c>
      <c r="P252" s="711">
        <f>Bilans_E_AMS_Kyoto_run3_MTE!T402+Bilans_E_AMS_Kyoto_run3_MTE!U402</f>
        <v>0</v>
      </c>
      <c r="Q252" s="711">
        <f>Bilans_E_AMS_Kyoto_run3_MTE!V402</f>
        <v>0</v>
      </c>
      <c r="R252" s="711">
        <f>Bilans_E_AMS_Kyoto_run3_MTE!W402</f>
        <v>37.320812200670765</v>
      </c>
      <c r="S252" s="711">
        <f>Bilans_E_AMS_Kyoto_run3_MTE!X402</f>
        <v>0</v>
      </c>
      <c r="T252" s="711">
        <f>Bilans_E_AMS_Kyoto_run3_MTE!Y402</f>
        <v>2.676146999689228</v>
      </c>
      <c r="U252" s="711">
        <f>Bilans_E_AMS_Kyoto_run3_MTE!Z402</f>
        <v>52.820721775473316</v>
      </c>
      <c r="V252" s="701"/>
      <c r="W252" s="701"/>
    </row>
    <row r="253" spans="1:23" x14ac:dyDescent="0.25">
      <c r="A253" s="701" t="s">
        <v>505</v>
      </c>
      <c r="B253" s="701"/>
      <c r="C253" s="717" t="s">
        <v>76</v>
      </c>
      <c r="D253" s="711">
        <f>Bilans_E_AMS_Kyoto_run3_MTE!H403</f>
        <v>0</v>
      </c>
      <c r="E253" s="711">
        <f>Bilans_E_AMS_Kyoto_run3_MTE!I403</f>
        <v>0</v>
      </c>
      <c r="F253" s="711">
        <f>Bilans_E_AMS_Kyoto_run3_MTE!J403</f>
        <v>0</v>
      </c>
      <c r="G253" s="711">
        <f>Bilans_E_AMS_Kyoto_run3_MTE!K403</f>
        <v>0</v>
      </c>
      <c r="H253" s="711">
        <f>Bilans_E_AMS_Kyoto_run3_MTE!L403</f>
        <v>1.5888753550805288</v>
      </c>
      <c r="I253" s="711">
        <f>Bilans_E_AMS_Kyoto_run3_MTE!M403</f>
        <v>0</v>
      </c>
      <c r="J253" s="711">
        <f>Bilans_E_AMS_Kyoto_run3_MTE!N403</f>
        <v>0</v>
      </c>
      <c r="K253" s="711">
        <f>Bilans_E_AMS_Kyoto_run3_MTE!O403</f>
        <v>0</v>
      </c>
      <c r="L253" s="711">
        <f>Bilans_E_AMS_Kyoto_run3_MTE!P403</f>
        <v>0</v>
      </c>
      <c r="M253" s="711">
        <f>Bilans_E_AMS_Kyoto_run3_MTE!Q403</f>
        <v>0</v>
      </c>
      <c r="N253" s="711">
        <f>Bilans_E_AMS_Kyoto_run3_MTE!R403</f>
        <v>0</v>
      </c>
      <c r="O253" s="711">
        <f>Bilans_E_AMS_Kyoto_run3_MTE!S403</f>
        <v>0.74770604944966079</v>
      </c>
      <c r="P253" s="711">
        <f>Bilans_E_AMS_Kyoto_run3_MTE!T403+Bilans_E_AMS_Kyoto_run3_MTE!U403</f>
        <v>0</v>
      </c>
      <c r="Q253" s="711">
        <f>Bilans_E_AMS_Kyoto_run3_MTE!V403</f>
        <v>0</v>
      </c>
      <c r="R253" s="711">
        <f>Bilans_E_AMS_Kyoto_run3_MTE!W403</f>
        <v>53.75602745291291</v>
      </c>
      <c r="S253" s="711">
        <f>Bilans_E_AMS_Kyoto_run3_MTE!X403</f>
        <v>7.0140473976328979</v>
      </c>
      <c r="T253" s="711">
        <f>Bilans_E_AMS_Kyoto_run3_MTE!Y403</f>
        <v>0</v>
      </c>
      <c r="U253" s="711">
        <f>Bilans_E_AMS_Kyoto_run3_MTE!Z403</f>
        <v>63.106656255075997</v>
      </c>
      <c r="V253" s="701"/>
      <c r="W253" s="701"/>
    </row>
    <row r="254" spans="1:23" x14ac:dyDescent="0.25">
      <c r="A254" s="701" t="s">
        <v>506</v>
      </c>
      <c r="B254" s="701"/>
      <c r="C254" s="713" t="s">
        <v>77</v>
      </c>
      <c r="D254" s="714">
        <f>Bilans_E_AMS_Kyoto_run3_MTE!H404</f>
        <v>12.110592285156249</v>
      </c>
      <c r="E254" s="714">
        <f>Bilans_E_AMS_Kyoto_run3_MTE!I404</f>
        <v>262.59596136173099</v>
      </c>
      <c r="F254" s="714">
        <f>Bilans_E_AMS_Kyoto_run3_MTE!J404</f>
        <v>-246.9918626341933</v>
      </c>
      <c r="G254" s="714">
        <f>Bilans_E_AMS_Kyoto_run3_MTE!K404</f>
        <v>-4.3840446509759525</v>
      </c>
      <c r="H254" s="714">
        <f>Bilans_E_AMS_Kyoto_run3_MTE!L404</f>
        <v>26.981887803159271</v>
      </c>
      <c r="I254" s="714">
        <f>Bilans_E_AMS_Kyoto_run3_MTE!M404</f>
        <v>-0.83753949174200382</v>
      </c>
      <c r="J254" s="714">
        <f>Bilans_E_AMS_Kyoto_run3_MTE!N404</f>
        <v>1195.4990290598246</v>
      </c>
      <c r="K254" s="714">
        <f>Bilans_E_AMS_Kyoto_run3_MTE!O404</f>
        <v>352.81639892204078</v>
      </c>
      <c r="L254" s="714">
        <f>Bilans_E_AMS_Kyoto_run3_MTE!P404</f>
        <v>241.01955368819029</v>
      </c>
      <c r="M254" s="714">
        <f>Bilans_E_AMS_Kyoto_run3_MTE!Q404</f>
        <v>40.011167067075426</v>
      </c>
      <c r="N254" s="714">
        <f>Bilans_E_AMS_Kyoto_run3_MTE!R404</f>
        <v>-48.06922655803475</v>
      </c>
      <c r="O254" s="714">
        <f>Bilans_E_AMS_Kyoto_run3_MTE!S404</f>
        <v>-47.014624660559946</v>
      </c>
      <c r="P254" s="714">
        <f>Bilans_E_AMS_Kyoto_run3_MTE!T404+Bilans_E_AMS_Kyoto_run3_MTE!U404</f>
        <v>15.880539172662751</v>
      </c>
      <c r="Q254" s="714">
        <f>Bilans_E_AMS_Kyoto_run3_MTE!V404</f>
        <v>20.100740898344036</v>
      </c>
      <c r="R254" s="714">
        <f>Bilans_E_AMS_Kyoto_run3_MTE!W404</f>
        <v>-638.31752935206157</v>
      </c>
      <c r="S254" s="714">
        <f>Bilans_E_AMS_Kyoto_run3_MTE!X404</f>
        <v>-83.441428186519019</v>
      </c>
      <c r="T254" s="714">
        <f>Bilans_E_AMS_Kyoto_run3_MTE!Y404</f>
        <v>-16.630406093950629</v>
      </c>
      <c r="U254" s="714">
        <f>Bilans_E_AMS_Kyoto_run3_MTE!Z404</f>
        <v>1081.3292086301467</v>
      </c>
      <c r="V254" s="701"/>
      <c r="W254" s="701"/>
    </row>
    <row r="255" spans="1:23" x14ac:dyDescent="0.25">
      <c r="A255" s="701"/>
      <c r="B255" s="701"/>
      <c r="C255" s="715"/>
      <c r="D255" s="716"/>
      <c r="E255" s="716"/>
      <c r="F255" s="716"/>
      <c r="G255" s="716"/>
      <c r="H255" s="716"/>
      <c r="I255" s="716"/>
      <c r="J255" s="716"/>
      <c r="K255" s="716"/>
      <c r="L255" s="716"/>
      <c r="M255" s="716"/>
      <c r="N255" s="716"/>
      <c r="O255" s="716"/>
      <c r="P255" s="716">
        <f>Bilans_E_AMS_Kyoto_run3_MTE!T405+Bilans_E_AMS_Kyoto_run3_MTE!U405</f>
        <v>0</v>
      </c>
      <c r="Q255" s="716"/>
      <c r="R255" s="716"/>
      <c r="S255" s="716"/>
      <c r="T255" s="716"/>
      <c r="U255" s="716"/>
      <c r="V255" s="701"/>
      <c r="W255" s="701"/>
    </row>
    <row r="256" spans="1:23" x14ac:dyDescent="0.25">
      <c r="A256" s="701" t="s">
        <v>507</v>
      </c>
      <c r="B256" s="701"/>
      <c r="C256" s="717" t="s">
        <v>78</v>
      </c>
      <c r="D256" s="711">
        <f>Bilans_E_AMS_Kyoto_run3_MTE!H406</f>
        <v>0.420473388671875</v>
      </c>
      <c r="E256" s="711">
        <f>Bilans_E_AMS_Kyoto_run3_MTE!I406</f>
        <v>0</v>
      </c>
      <c r="F256" s="711">
        <f>Bilans_E_AMS_Kyoto_run3_MTE!J406</f>
        <v>4.5652166127933009</v>
      </c>
      <c r="G256" s="711">
        <f>Bilans_E_AMS_Kyoto_run3_MTE!K406</f>
        <v>0</v>
      </c>
      <c r="H256" s="711">
        <f>Bilans_E_AMS_Kyoto_run3_MTE!L406</f>
        <v>44.193879337952673</v>
      </c>
      <c r="I256" s="711">
        <f>Bilans_E_AMS_Kyoto_run3_MTE!M406</f>
        <v>0</v>
      </c>
      <c r="J256" s="711">
        <f>Bilans_E_AMS_Kyoto_run3_MTE!N406</f>
        <v>0</v>
      </c>
      <c r="K256" s="711">
        <f>Bilans_E_AMS_Kyoto_run3_MTE!O406</f>
        <v>0</v>
      </c>
      <c r="L256" s="711">
        <f>Bilans_E_AMS_Kyoto_run3_MTE!P406</f>
        <v>37.859111409249969</v>
      </c>
      <c r="M256" s="711">
        <f>Bilans_E_AMS_Kyoto_run3_MTE!Q406</f>
        <v>9.091644549053445</v>
      </c>
      <c r="N256" s="711">
        <f>Bilans_E_AMS_Kyoto_run3_MTE!R406</f>
        <v>0.79775456348402363</v>
      </c>
      <c r="O256" s="711">
        <f>Bilans_E_AMS_Kyoto_run3_MTE!S406</f>
        <v>20.833903688960643</v>
      </c>
      <c r="P256" s="711">
        <f>Bilans_E_AMS_Kyoto_run3_MTE!T406+Bilans_E_AMS_Kyoto_run3_MTE!U406</f>
        <v>9.7897363281250005</v>
      </c>
      <c r="Q256" s="711">
        <f>Bilans_E_AMS_Kyoto_run3_MTE!V406</f>
        <v>7.4990210834655101E-4</v>
      </c>
      <c r="R256" s="711">
        <f>Bilans_E_AMS_Kyoto_run3_MTE!W406</f>
        <v>154.61632550799115</v>
      </c>
      <c r="S256" s="711">
        <f>Bilans_E_AMS_Kyoto_run3_MTE!X406</f>
        <v>19.58585971983296</v>
      </c>
      <c r="T256" s="711">
        <f>Bilans_E_AMS_Kyoto_run3_MTE!Y406</f>
        <v>8.1097109374999992</v>
      </c>
      <c r="U256" s="711">
        <f>Bilans_E_AMS_Kyoto_run3_MTE!Z406</f>
        <v>309.86436594572336</v>
      </c>
      <c r="V256" s="701"/>
      <c r="W256" s="701"/>
    </row>
    <row r="257" spans="1:23" x14ac:dyDescent="0.25">
      <c r="A257" s="701" t="s">
        <v>508</v>
      </c>
      <c r="B257" s="701"/>
      <c r="C257" s="717" t="s">
        <v>79</v>
      </c>
      <c r="D257" s="711">
        <f>Bilans_E_AMS_Kyoto_run3_MTE!H407</f>
        <v>0</v>
      </c>
      <c r="E257" s="711">
        <f>Bilans_E_AMS_Kyoto_run3_MTE!I407</f>
        <v>0</v>
      </c>
      <c r="F257" s="711">
        <f>Bilans_E_AMS_Kyoto_run3_MTE!J407</f>
        <v>145.74847122117117</v>
      </c>
      <c r="G257" s="711">
        <f>Bilans_E_AMS_Kyoto_run3_MTE!K407</f>
        <v>0.6</v>
      </c>
      <c r="H257" s="711">
        <f>Bilans_E_AMS_Kyoto_run3_MTE!L407</f>
        <v>5.158710288451207</v>
      </c>
      <c r="I257" s="711">
        <f>Bilans_E_AMS_Kyoto_run3_MTE!M407</f>
        <v>0</v>
      </c>
      <c r="J257" s="711">
        <f>Bilans_E_AMS_Kyoto_run3_MTE!N407</f>
        <v>0</v>
      </c>
      <c r="K257" s="711">
        <f>Bilans_E_AMS_Kyoto_run3_MTE!O407</f>
        <v>0</v>
      </c>
      <c r="L257" s="711">
        <f>Bilans_E_AMS_Kyoto_run3_MTE!P407</f>
        <v>0</v>
      </c>
      <c r="M257" s="711">
        <f>Bilans_E_AMS_Kyoto_run3_MTE!Q407</f>
        <v>0</v>
      </c>
      <c r="N257" s="711">
        <f>Bilans_E_AMS_Kyoto_run3_MTE!R407</f>
        <v>37.983450784080269</v>
      </c>
      <c r="O257" s="711">
        <f>Bilans_E_AMS_Kyoto_run3_MTE!S407</f>
        <v>2.4276283710358628</v>
      </c>
      <c r="P257" s="711">
        <f>Bilans_E_AMS_Kyoto_run3_MTE!T407+Bilans_E_AMS_Kyoto_run3_MTE!U407</f>
        <v>0</v>
      </c>
      <c r="Q257" s="711">
        <f>Bilans_E_AMS_Kyoto_run3_MTE!V407</f>
        <v>0</v>
      </c>
      <c r="R257" s="711">
        <f>Bilans_E_AMS_Kyoto_run3_MTE!W407</f>
        <v>85.093782574296696</v>
      </c>
      <c r="S257" s="711">
        <f>Bilans_E_AMS_Kyoto_run3_MTE!X407</f>
        <v>0</v>
      </c>
      <c r="T257" s="711">
        <f>Bilans_E_AMS_Kyoto_run3_MTE!Y407</f>
        <v>3.6734052555319421</v>
      </c>
      <c r="U257" s="711">
        <f>Bilans_E_AMS_Kyoto_run3_MTE!Z407</f>
        <v>280.68544849456714</v>
      </c>
      <c r="V257" s="701"/>
      <c r="W257" s="701"/>
    </row>
    <row r="258" spans="1:23" x14ac:dyDescent="0.25">
      <c r="A258" s="701" t="s">
        <v>509</v>
      </c>
      <c r="B258" s="701"/>
      <c r="C258" s="717" t="s">
        <v>80</v>
      </c>
      <c r="D258" s="711">
        <f>Bilans_E_AMS_Kyoto_run3_MTE!H408</f>
        <v>0</v>
      </c>
      <c r="E258" s="711">
        <f>Bilans_E_AMS_Kyoto_run3_MTE!I408</f>
        <v>0</v>
      </c>
      <c r="F258" s="711">
        <f>Bilans_E_AMS_Kyoto_run3_MTE!J408</f>
        <v>0.67200053608066723</v>
      </c>
      <c r="G258" s="711">
        <f>Bilans_E_AMS_Kyoto_run3_MTE!K408</f>
        <v>0</v>
      </c>
      <c r="H258" s="711">
        <f>Bilans_E_AMS_Kyoto_run3_MTE!L408</f>
        <v>33.793440313703563</v>
      </c>
      <c r="I258" s="711">
        <f>Bilans_E_AMS_Kyoto_run3_MTE!M408</f>
        <v>0</v>
      </c>
      <c r="J258" s="711">
        <f>Bilans_E_AMS_Kyoto_run3_MTE!N408</f>
        <v>0</v>
      </c>
      <c r="K258" s="711">
        <f>Bilans_E_AMS_Kyoto_run3_MTE!O408</f>
        <v>0</v>
      </c>
      <c r="L258" s="711">
        <f>Bilans_E_AMS_Kyoto_run3_MTE!P408</f>
        <v>46.869025063770188</v>
      </c>
      <c r="M258" s="711">
        <f>Bilans_E_AMS_Kyoto_run3_MTE!Q408</f>
        <v>0</v>
      </c>
      <c r="N258" s="711">
        <f>Bilans_E_AMS_Kyoto_run3_MTE!R408</f>
        <v>0</v>
      </c>
      <c r="O258" s="711">
        <f>Bilans_E_AMS_Kyoto_run3_MTE!S408</f>
        <v>15.902795441742857</v>
      </c>
      <c r="P258" s="711">
        <f>Bilans_E_AMS_Kyoto_run3_MTE!T408+Bilans_E_AMS_Kyoto_run3_MTE!U408</f>
        <v>126.0368711002035</v>
      </c>
      <c r="Q258" s="711">
        <f>Bilans_E_AMS_Kyoto_run3_MTE!V408</f>
        <v>10.28748002838279</v>
      </c>
      <c r="R258" s="711">
        <f>Bilans_E_AMS_Kyoto_run3_MTE!W408</f>
        <v>153.25630739971572</v>
      </c>
      <c r="S258" s="711">
        <f>Bilans_E_AMS_Kyoto_run3_MTE!X408</f>
        <v>40.560183148779373</v>
      </c>
      <c r="T258" s="711">
        <f>Bilans_E_AMS_Kyoto_run3_MTE!Y408</f>
        <v>0</v>
      </c>
      <c r="U258" s="711">
        <f>Bilans_E_AMS_Kyoto_run3_MTE!Z408</f>
        <v>427.3781030323787</v>
      </c>
      <c r="V258" s="701"/>
      <c r="W258" s="701"/>
    </row>
    <row r="259" spans="1:23" x14ac:dyDescent="0.25">
      <c r="A259" s="701" t="s">
        <v>510</v>
      </c>
      <c r="B259" s="701"/>
      <c r="C259" s="717" t="s">
        <v>81</v>
      </c>
      <c r="D259" s="711">
        <f>Bilans_E_AMS_Kyoto_run3_MTE!H409</f>
        <v>0</v>
      </c>
      <c r="E259" s="711">
        <f>Bilans_E_AMS_Kyoto_run3_MTE!I409</f>
        <v>0</v>
      </c>
      <c r="F259" s="711">
        <f>Bilans_E_AMS_Kyoto_run3_MTE!J409</f>
        <v>1.3024591903190665</v>
      </c>
      <c r="G259" s="711">
        <f>Bilans_E_AMS_Kyoto_run3_MTE!K409</f>
        <v>0</v>
      </c>
      <c r="H259" s="711">
        <f>Bilans_E_AMS_Kyoto_run3_MTE!L409</f>
        <v>22.107329443509556</v>
      </c>
      <c r="I259" s="711">
        <f>Bilans_E_AMS_Kyoto_run3_MTE!M409</f>
        <v>0</v>
      </c>
      <c r="J259" s="711">
        <f>Bilans_E_AMS_Kyoto_run3_MTE!N409</f>
        <v>0</v>
      </c>
      <c r="K259" s="711">
        <f>Bilans_E_AMS_Kyoto_run3_MTE!O409</f>
        <v>0</v>
      </c>
      <c r="L259" s="711">
        <f>Bilans_E_AMS_Kyoto_run3_MTE!P409</f>
        <v>0.55939285776182701</v>
      </c>
      <c r="M259" s="711">
        <f>Bilans_E_AMS_Kyoto_run3_MTE!Q409</f>
        <v>0</v>
      </c>
      <c r="N259" s="711">
        <f>Bilans_E_AMS_Kyoto_run3_MTE!R409</f>
        <v>0</v>
      </c>
      <c r="O259" s="711">
        <f>Bilans_E_AMS_Kyoto_run3_MTE!S409</f>
        <v>10.403449149886853</v>
      </c>
      <c r="P259" s="711">
        <f>Bilans_E_AMS_Kyoto_run3_MTE!T409+Bilans_E_AMS_Kyoto_run3_MTE!U409</f>
        <v>48.192635744936815</v>
      </c>
      <c r="Q259" s="711">
        <f>Bilans_E_AMS_Kyoto_run3_MTE!V409</f>
        <v>9.224237582113501</v>
      </c>
      <c r="R259" s="711">
        <f>Bilans_E_AMS_Kyoto_run3_MTE!W409</f>
        <v>121.55538254836378</v>
      </c>
      <c r="S259" s="711">
        <f>Bilans_E_AMS_Kyoto_run3_MTE!X409</f>
        <v>23.29535389238076</v>
      </c>
      <c r="T259" s="711">
        <f>Bilans_E_AMS_Kyoto_run3_MTE!Y409</f>
        <v>0</v>
      </c>
      <c r="U259" s="711">
        <f>Bilans_E_AMS_Kyoto_run3_MTE!Z409</f>
        <v>236.64024040927217</v>
      </c>
      <c r="V259" s="701"/>
      <c r="W259" s="701"/>
    </row>
    <row r="260" spans="1:23" x14ac:dyDescent="0.25">
      <c r="A260" s="701" t="s">
        <v>511</v>
      </c>
      <c r="B260" s="701"/>
      <c r="C260" s="717" t="s">
        <v>82</v>
      </c>
      <c r="D260" s="711">
        <f>Bilans_E_AMS_Kyoto_run3_MTE!H410</f>
        <v>0</v>
      </c>
      <c r="E260" s="711">
        <f>Bilans_E_AMS_Kyoto_run3_MTE!I410</f>
        <v>0</v>
      </c>
      <c r="F260" s="711">
        <f>Bilans_E_AMS_Kyoto_run3_MTE!J410</f>
        <v>17.072371941732264</v>
      </c>
      <c r="G260" s="711">
        <f>Bilans_E_AMS_Kyoto_run3_MTE!K410</f>
        <v>0</v>
      </c>
      <c r="H260" s="711">
        <f>Bilans_E_AMS_Kyoto_run3_MTE!L410</f>
        <v>0.9182073287540522</v>
      </c>
      <c r="I260" s="711">
        <f>Bilans_E_AMS_Kyoto_run3_MTE!M410</f>
        <v>0</v>
      </c>
      <c r="J260" s="711">
        <f>Bilans_E_AMS_Kyoto_run3_MTE!N410</f>
        <v>0</v>
      </c>
      <c r="K260" s="711">
        <f>Bilans_E_AMS_Kyoto_run3_MTE!O410</f>
        <v>0</v>
      </c>
      <c r="L260" s="711">
        <f>Bilans_E_AMS_Kyoto_run3_MTE!P410</f>
        <v>14.623275458181073</v>
      </c>
      <c r="M260" s="711">
        <f>Bilans_E_AMS_Kyoto_run3_MTE!Q410</f>
        <v>0</v>
      </c>
      <c r="N260" s="711">
        <f>Bilans_E_AMS_Kyoto_run3_MTE!R410</f>
        <v>6.5072970956675134</v>
      </c>
      <c r="O260" s="711">
        <f>Bilans_E_AMS_Kyoto_run3_MTE!S410</f>
        <v>0.43209756647249531</v>
      </c>
      <c r="P260" s="711">
        <f>Bilans_E_AMS_Kyoto_run3_MTE!T410+Bilans_E_AMS_Kyoto_run3_MTE!U410</f>
        <v>0.9</v>
      </c>
      <c r="Q260" s="711">
        <f>Bilans_E_AMS_Kyoto_run3_MTE!V410</f>
        <v>1.1655332190637568</v>
      </c>
      <c r="R260" s="711">
        <f>Bilans_E_AMS_Kyoto_run3_MTE!W410</f>
        <v>9.1593739040126536</v>
      </c>
      <c r="S260" s="711">
        <f>Bilans_E_AMS_Kyoto_run3_MTE!X410</f>
        <v>0</v>
      </c>
      <c r="T260" s="711">
        <f>Bilans_E_AMS_Kyoto_run3_MTE!Y410</f>
        <v>0.38638525521088363</v>
      </c>
      <c r="U260" s="711">
        <f>Bilans_E_AMS_Kyoto_run3_MTE!Z410</f>
        <v>51.164541769094683</v>
      </c>
      <c r="V260" s="701"/>
      <c r="W260" s="701"/>
    </row>
    <row r="261" spans="1:23" x14ac:dyDescent="0.25">
      <c r="A261" s="701" t="s">
        <v>512</v>
      </c>
      <c r="B261" s="701"/>
      <c r="C261" s="717" t="s">
        <v>354</v>
      </c>
      <c r="D261" s="711">
        <f>Bilans_E_AMS_Kyoto_run3_MTE!H411</f>
        <v>0</v>
      </c>
      <c r="E261" s="711">
        <f>Bilans_E_AMS_Kyoto_run3_MTE!I411</f>
        <v>0</v>
      </c>
      <c r="F261" s="711">
        <f>Bilans_E_AMS_Kyoto_run3_MTE!J411</f>
        <v>0</v>
      </c>
      <c r="G261" s="711">
        <f>Bilans_E_AMS_Kyoto_run3_MTE!K411</f>
        <v>0</v>
      </c>
      <c r="H261" s="711">
        <f>Bilans_E_AMS_Kyoto_run3_MTE!L411</f>
        <v>0</v>
      </c>
      <c r="I261" s="711">
        <f>Bilans_E_AMS_Kyoto_run3_MTE!M411</f>
        <v>0</v>
      </c>
      <c r="J261" s="711">
        <f>Bilans_E_AMS_Kyoto_run3_MTE!N411</f>
        <v>0</v>
      </c>
      <c r="K261" s="711">
        <f>Bilans_E_AMS_Kyoto_run3_MTE!O411</f>
        <v>0</v>
      </c>
      <c r="L261" s="711">
        <f>Bilans_E_AMS_Kyoto_run3_MTE!P411</f>
        <v>0</v>
      </c>
      <c r="M261" s="711">
        <f>Bilans_E_AMS_Kyoto_run3_MTE!Q411</f>
        <v>0</v>
      </c>
      <c r="N261" s="711">
        <f>Bilans_E_AMS_Kyoto_run3_MTE!R411</f>
        <v>0</v>
      </c>
      <c r="O261" s="711">
        <f>Bilans_E_AMS_Kyoto_run3_MTE!S411</f>
        <v>0</v>
      </c>
      <c r="P261" s="711">
        <f>Bilans_E_AMS_Kyoto_run3_MTE!T411+Bilans_E_AMS_Kyoto_run3_MTE!U411</f>
        <v>0</v>
      </c>
      <c r="Q261" s="711">
        <f>Bilans_E_AMS_Kyoto_run3_MTE!V411</f>
        <v>0</v>
      </c>
      <c r="R261" s="711">
        <f>Bilans_E_AMS_Kyoto_run3_MTE!W411</f>
        <v>2.16</v>
      </c>
      <c r="S261" s="711">
        <f>Bilans_E_AMS_Kyoto_run3_MTE!X411</f>
        <v>0</v>
      </c>
      <c r="T261" s="711">
        <f>Bilans_E_AMS_Kyoto_run3_MTE!Y411</f>
        <v>0</v>
      </c>
      <c r="U261" s="711">
        <f>Bilans_E_AMS_Kyoto_run3_MTE!Z411</f>
        <v>2.16</v>
      </c>
      <c r="V261" s="701"/>
      <c r="W261" s="701"/>
    </row>
    <row r="262" spans="1:23" x14ac:dyDescent="0.25">
      <c r="A262" s="701" t="s">
        <v>513</v>
      </c>
      <c r="B262" s="701"/>
      <c r="C262" s="713" t="s">
        <v>83</v>
      </c>
      <c r="D262" s="714">
        <f>Bilans_E_AMS_Kyoto_run3_MTE!H412</f>
        <v>0.420473388671875</v>
      </c>
      <c r="E262" s="714">
        <f>Bilans_E_AMS_Kyoto_run3_MTE!I412</f>
        <v>0</v>
      </c>
      <c r="F262" s="714">
        <f>Bilans_E_AMS_Kyoto_run3_MTE!J412</f>
        <v>169.36051950209648</v>
      </c>
      <c r="G262" s="714">
        <f>Bilans_E_AMS_Kyoto_run3_MTE!K412</f>
        <v>0.6</v>
      </c>
      <c r="H262" s="714">
        <f>Bilans_E_AMS_Kyoto_run3_MTE!L412</f>
        <v>106.17156671237105</v>
      </c>
      <c r="I262" s="714">
        <f>Bilans_E_AMS_Kyoto_run3_MTE!M412</f>
        <v>0</v>
      </c>
      <c r="J262" s="714">
        <f>Bilans_E_AMS_Kyoto_run3_MTE!N412</f>
        <v>0</v>
      </c>
      <c r="K262" s="714">
        <f>Bilans_E_AMS_Kyoto_run3_MTE!O412</f>
        <v>0</v>
      </c>
      <c r="L262" s="714">
        <f>Bilans_E_AMS_Kyoto_run3_MTE!P412</f>
        <v>99.910804788963048</v>
      </c>
      <c r="M262" s="714">
        <f>Bilans_E_AMS_Kyoto_run3_MTE!Q412</f>
        <v>9.091644549053445</v>
      </c>
      <c r="N262" s="714">
        <f>Bilans_E_AMS_Kyoto_run3_MTE!R412</f>
        <v>45.288502443231806</v>
      </c>
      <c r="O262" s="714">
        <f>Bilans_E_AMS_Kyoto_run3_MTE!S412</f>
        <v>49.999874218098711</v>
      </c>
      <c r="P262" s="714">
        <f>Bilans_E_AMS_Kyoto_run3_MTE!T412+Bilans_E_AMS_Kyoto_run3_MTE!U412</f>
        <v>184.9192431732653</v>
      </c>
      <c r="Q262" s="714">
        <f>Bilans_E_AMS_Kyoto_run3_MTE!V412</f>
        <v>20.678000731668394</v>
      </c>
      <c r="R262" s="714">
        <f>Bilans_E_AMS_Kyoto_run3_MTE!W412</f>
        <v>525.84117193437999</v>
      </c>
      <c r="S262" s="714">
        <f>Bilans_E_AMS_Kyoto_run3_MTE!X412</f>
        <v>83.441396760993086</v>
      </c>
      <c r="T262" s="714">
        <f>Bilans_E_AMS_Kyoto_run3_MTE!Y412</f>
        <v>12.169501448242825</v>
      </c>
      <c r="U262" s="714">
        <f>Bilans_E_AMS_Kyoto_run3_MTE!Z412</f>
        <v>1307.8926996510361</v>
      </c>
      <c r="V262" s="701"/>
      <c r="W262" s="701"/>
    </row>
    <row r="263" spans="1:23" x14ac:dyDescent="0.25">
      <c r="A263" s="701" t="s">
        <v>514</v>
      </c>
      <c r="B263" s="701"/>
      <c r="C263" s="710" t="s">
        <v>84</v>
      </c>
      <c r="D263" s="711">
        <f>Bilans_E_AMS_Kyoto_run3_MTE!H413</f>
        <v>0</v>
      </c>
      <c r="E263" s="711">
        <f>Bilans_E_AMS_Kyoto_run3_MTE!I413</f>
        <v>0</v>
      </c>
      <c r="F263" s="711">
        <f>Bilans_E_AMS_Kyoto_run3_MTE!J413</f>
        <v>104.56365491334468</v>
      </c>
      <c r="G263" s="711">
        <f>Bilans_E_AMS_Kyoto_run3_MTE!K413</f>
        <v>2.0095155133024498</v>
      </c>
      <c r="H263" s="711">
        <f>Bilans_E_AMS_Kyoto_run3_MTE!L413</f>
        <v>12.7291086591003</v>
      </c>
      <c r="I263" s="711">
        <f>Bilans_E_AMS_Kyoto_run3_MTE!M413</f>
        <v>0</v>
      </c>
      <c r="J263" s="711">
        <f>Bilans_E_AMS_Kyoto_run3_MTE!N413</f>
        <v>0</v>
      </c>
      <c r="K263" s="711">
        <f>Bilans_E_AMS_Kyoto_run3_MTE!O413</f>
        <v>0</v>
      </c>
      <c r="L263" s="711">
        <f>Bilans_E_AMS_Kyoto_run3_MTE!P413</f>
        <v>0.40658520083603628</v>
      </c>
      <c r="M263" s="711">
        <f>Bilans_E_AMS_Kyoto_run3_MTE!Q413</f>
        <v>0</v>
      </c>
      <c r="N263" s="711">
        <f>Bilans_E_AMS_Kyoto_run3_MTE!R413</f>
        <v>3.1675603541212554</v>
      </c>
      <c r="O263" s="711">
        <f>Bilans_E_AMS_Kyoto_run3_MTE!S413</f>
        <v>0</v>
      </c>
      <c r="P263" s="711">
        <f>Bilans_E_AMS_Kyoto_run3_MTE!T413+Bilans_E_AMS_Kyoto_run3_MTE!U413</f>
        <v>0</v>
      </c>
      <c r="Q263" s="711">
        <f>Bilans_E_AMS_Kyoto_run3_MTE!V413</f>
        <v>0</v>
      </c>
      <c r="R263" s="711">
        <f>Bilans_E_AMS_Kyoto_run3_MTE!W413</f>
        <v>0</v>
      </c>
      <c r="S263" s="711">
        <f>Bilans_E_AMS_Kyoto_run3_MTE!X413</f>
        <v>0</v>
      </c>
      <c r="T263" s="711">
        <f>Bilans_E_AMS_Kyoto_run3_MTE!Y413</f>
        <v>1.710568146239696</v>
      </c>
      <c r="U263" s="711">
        <f>Bilans_E_AMS_Kyoto_run3_MTE!Z413</f>
        <v>124.58699278694441</v>
      </c>
      <c r="V263" s="701"/>
      <c r="W263" s="701"/>
    </row>
    <row r="264" spans="1:23" x14ac:dyDescent="0.25">
      <c r="A264" s="701" t="s">
        <v>515</v>
      </c>
      <c r="B264" s="701"/>
      <c r="C264" s="713" t="s">
        <v>85</v>
      </c>
      <c r="D264" s="714">
        <f>Bilans_E_AMS_Kyoto_run3_MTE!H414</f>
        <v>0.420473388671875</v>
      </c>
      <c r="E264" s="714">
        <f>Bilans_E_AMS_Kyoto_run3_MTE!I414</f>
        <v>0</v>
      </c>
      <c r="F264" s="714">
        <f>Bilans_E_AMS_Kyoto_run3_MTE!J414</f>
        <v>273.92417441544114</v>
      </c>
      <c r="G264" s="714">
        <f>Bilans_E_AMS_Kyoto_run3_MTE!K414</f>
        <v>2.6095155133024499</v>
      </c>
      <c r="H264" s="714">
        <f>Bilans_E_AMS_Kyoto_run3_MTE!L414</f>
        <v>118.90067537147135</v>
      </c>
      <c r="I264" s="714">
        <f>Bilans_E_AMS_Kyoto_run3_MTE!M414</f>
        <v>0</v>
      </c>
      <c r="J264" s="714">
        <f>Bilans_E_AMS_Kyoto_run3_MTE!N414</f>
        <v>0</v>
      </c>
      <c r="K264" s="714">
        <f>Bilans_E_AMS_Kyoto_run3_MTE!O414</f>
        <v>0</v>
      </c>
      <c r="L264" s="714">
        <f>Bilans_E_AMS_Kyoto_run3_MTE!P414</f>
        <v>100.31738998979908</v>
      </c>
      <c r="M264" s="714">
        <f>Bilans_E_AMS_Kyoto_run3_MTE!Q414</f>
        <v>9.091644549053445</v>
      </c>
      <c r="N264" s="714">
        <f>Bilans_E_AMS_Kyoto_run3_MTE!R414</f>
        <v>48.456062797353063</v>
      </c>
      <c r="O264" s="714">
        <f>Bilans_E_AMS_Kyoto_run3_MTE!S414</f>
        <v>49.999874218098711</v>
      </c>
      <c r="P264" s="714">
        <f>Bilans_E_AMS_Kyoto_run3_MTE!T414+Bilans_E_AMS_Kyoto_run3_MTE!U414</f>
        <v>184.9192431732653</v>
      </c>
      <c r="Q264" s="714">
        <f>Bilans_E_AMS_Kyoto_run3_MTE!V414</f>
        <v>20.678000731668394</v>
      </c>
      <c r="R264" s="714">
        <f>Bilans_E_AMS_Kyoto_run3_MTE!W414</f>
        <v>525.84117193437999</v>
      </c>
      <c r="S264" s="714">
        <f>Bilans_E_AMS_Kyoto_run3_MTE!X414</f>
        <v>83.441396760993086</v>
      </c>
      <c r="T264" s="714">
        <f>Bilans_E_AMS_Kyoto_run3_MTE!Y414</f>
        <v>13.880069594482521</v>
      </c>
      <c r="U264" s="714">
        <f>Bilans_E_AMS_Kyoto_run3_MTE!Z414</f>
        <v>1432.4796924379805</v>
      </c>
      <c r="V264" s="701"/>
      <c r="W264" s="701"/>
    </row>
    <row r="265" spans="1:23" x14ac:dyDescent="0.25">
      <c r="A265" s="701"/>
      <c r="B265" s="701"/>
      <c r="C265" s="701"/>
      <c r="D265" s="701">
        <f>Bilans_E_AMS_Kyoto_run3_MTE!H415</f>
        <v>0</v>
      </c>
      <c r="E265" s="701">
        <f>Bilans_E_AMS_Kyoto_run3_MTE!I415</f>
        <v>0</v>
      </c>
      <c r="F265" s="701">
        <f>Bilans_E_AMS_Kyoto_run3_MTE!J415</f>
        <v>0</v>
      </c>
      <c r="G265" s="701">
        <f>Bilans_E_AMS_Kyoto_run3_MTE!K415</f>
        <v>0</v>
      </c>
      <c r="H265" s="701">
        <f>Bilans_E_AMS_Kyoto_run3_MTE!L415</f>
        <v>0</v>
      </c>
      <c r="I265" s="701">
        <f>Bilans_E_AMS_Kyoto_run3_MTE!M415</f>
        <v>0</v>
      </c>
      <c r="J265" s="701">
        <f>Bilans_E_AMS_Kyoto_run3_MTE!N415</f>
        <v>0</v>
      </c>
      <c r="K265" s="701">
        <f>Bilans_E_AMS_Kyoto_run3_MTE!O415</f>
        <v>0</v>
      </c>
      <c r="L265" s="701">
        <f>Bilans_E_AMS_Kyoto_run3_MTE!P415</f>
        <v>0</v>
      </c>
      <c r="M265" s="701">
        <f>Bilans_E_AMS_Kyoto_run3_MTE!Q415</f>
        <v>0</v>
      </c>
      <c r="N265" s="701">
        <f>Bilans_E_AMS_Kyoto_run3_MTE!R415</f>
        <v>-5.3290705182007514E-15</v>
      </c>
      <c r="O265" s="701">
        <f>Bilans_E_AMS_Kyoto_run3_MTE!S415</f>
        <v>9.7699626167013776E-15</v>
      </c>
      <c r="P265" s="701">
        <f>Bilans_E_AMS_Kyoto_run3_MTE!T415+Bilans_E_AMS_Kyoto_run3_MTE!U415</f>
        <v>0</v>
      </c>
      <c r="Q265" s="701">
        <f>Bilans_E_AMS_Kyoto_run3_MTE!V415</f>
        <v>0</v>
      </c>
      <c r="R265" s="701">
        <f>Bilans_E_AMS_Kyoto_run3_MTE!W415</f>
        <v>0</v>
      </c>
      <c r="S265" s="701">
        <f>Bilans_E_AMS_Kyoto_run3_MTE!X415</f>
        <v>-3.1425525932604614E-5</v>
      </c>
      <c r="T265" s="701">
        <f>Bilans_E_AMS_Kyoto_run3_MTE!Y415</f>
        <v>0</v>
      </c>
      <c r="U265" s="701">
        <f>Bilans_E_AMS_Kyoto_run3_MTE!Z415</f>
        <v>-3.1425526685779914E-5</v>
      </c>
      <c r="V265" s="701"/>
      <c r="W265" s="701"/>
    </row>
    <row r="266" spans="1:23" x14ac:dyDescent="0.25">
      <c r="A266" s="701"/>
      <c r="B266" s="701"/>
      <c r="C266" s="701"/>
      <c r="D266" s="701"/>
      <c r="E266" s="701"/>
      <c r="F266" s="701"/>
      <c r="G266" s="701"/>
      <c r="H266" s="701"/>
      <c r="I266" s="701"/>
      <c r="J266" s="701"/>
      <c r="K266" s="701"/>
      <c r="L266" s="701"/>
      <c r="M266" s="701"/>
      <c r="N266" s="701"/>
      <c r="O266" s="701"/>
      <c r="P266" s="701"/>
      <c r="Q266" s="701"/>
      <c r="R266" s="701"/>
      <c r="S266" s="701"/>
      <c r="T266" s="701"/>
      <c r="U266" s="701"/>
      <c r="V266" s="701"/>
      <c r="W266" s="701"/>
    </row>
    <row r="267" spans="1:23" x14ac:dyDescent="0.25">
      <c r="A267" s="707"/>
      <c r="B267" s="707"/>
      <c r="C267" s="708" t="s">
        <v>360</v>
      </c>
      <c r="D267" s="707"/>
      <c r="E267" s="707"/>
      <c r="F267" s="707"/>
      <c r="G267" s="707"/>
      <c r="H267" s="707"/>
      <c r="I267" s="707"/>
      <c r="J267" s="707"/>
      <c r="K267" s="707"/>
      <c r="L267" s="707"/>
      <c r="M267" s="707"/>
      <c r="N267" s="707"/>
      <c r="O267" s="707"/>
      <c r="P267" s="707"/>
      <c r="Q267" s="707"/>
      <c r="R267" s="707"/>
      <c r="S267" s="707"/>
      <c r="T267" s="707"/>
      <c r="U267" s="707"/>
      <c r="V267" s="707"/>
      <c r="W267" s="707"/>
    </row>
    <row r="268" spans="1:23" x14ac:dyDescent="0.25">
      <c r="A268" s="701"/>
      <c r="B268" s="701"/>
      <c r="C268" s="701"/>
      <c r="D268" s="701"/>
      <c r="E268" s="701"/>
      <c r="F268" s="701"/>
      <c r="G268" s="701"/>
      <c r="H268" s="701"/>
      <c r="I268" s="701"/>
      <c r="J268" s="701"/>
      <c r="K268" s="701"/>
      <c r="L268" s="701"/>
      <c r="M268" s="701"/>
      <c r="N268" s="701"/>
      <c r="O268" s="701"/>
      <c r="P268" s="701"/>
      <c r="Q268" s="701"/>
      <c r="R268" s="701"/>
      <c r="S268" s="701"/>
      <c r="T268" s="701"/>
      <c r="U268" s="701"/>
      <c r="V268" s="701"/>
      <c r="W268" s="701"/>
    </row>
    <row r="269" spans="1:23" x14ac:dyDescent="0.25">
      <c r="A269" s="701"/>
      <c r="B269" s="701"/>
      <c r="C269" s="780" t="s">
        <v>128</v>
      </c>
      <c r="D269" s="775" t="s">
        <v>42</v>
      </c>
      <c r="E269" s="775" t="s">
        <v>52</v>
      </c>
      <c r="F269" s="775" t="s">
        <v>53</v>
      </c>
      <c r="G269" s="775" t="s">
        <v>482</v>
      </c>
      <c r="H269" s="775" t="s">
        <v>32</v>
      </c>
      <c r="I269" s="775" t="s">
        <v>483</v>
      </c>
      <c r="J269" s="775" t="s">
        <v>20</v>
      </c>
      <c r="K269" s="775" t="s">
        <v>55</v>
      </c>
      <c r="L269" s="777" t="s">
        <v>56</v>
      </c>
      <c r="M269" s="778"/>
      <c r="N269" s="778"/>
      <c r="O269" s="778"/>
      <c r="P269" s="778"/>
      <c r="Q269" s="779"/>
      <c r="R269" s="775" t="s">
        <v>57</v>
      </c>
      <c r="S269" s="775" t="s">
        <v>58</v>
      </c>
      <c r="T269" s="775" t="s">
        <v>31</v>
      </c>
      <c r="U269" s="775" t="s">
        <v>10</v>
      </c>
      <c r="V269" s="701"/>
      <c r="W269" s="701"/>
    </row>
    <row r="270" spans="1:23" ht="67.5" x14ac:dyDescent="0.25">
      <c r="A270" s="701" t="s">
        <v>486</v>
      </c>
      <c r="B270" s="701"/>
      <c r="C270" s="781"/>
      <c r="D270" s="776"/>
      <c r="E270" s="776"/>
      <c r="F270" s="776"/>
      <c r="G270" s="776"/>
      <c r="H270" s="776"/>
      <c r="I270" s="776"/>
      <c r="J270" s="776"/>
      <c r="K270" s="776"/>
      <c r="L270" s="709" t="s">
        <v>335</v>
      </c>
      <c r="M270" s="709" t="s">
        <v>40</v>
      </c>
      <c r="N270" s="709" t="s">
        <v>343</v>
      </c>
      <c r="O270" s="709" t="s">
        <v>344</v>
      </c>
      <c r="P270" s="719" t="s">
        <v>610</v>
      </c>
      <c r="Q270" s="709" t="s">
        <v>346</v>
      </c>
      <c r="R270" s="776"/>
      <c r="S270" s="776"/>
      <c r="T270" s="776"/>
      <c r="U270" s="776"/>
      <c r="V270" s="701"/>
      <c r="W270" s="701"/>
    </row>
    <row r="271" spans="1:23" x14ac:dyDescent="0.25">
      <c r="A271" s="701" t="s">
        <v>487</v>
      </c>
      <c r="B271" s="701"/>
      <c r="C271" s="710" t="s">
        <v>59</v>
      </c>
      <c r="D271" s="711">
        <f>Bilans_E_AMS_Kyoto_run3_MTE!H421</f>
        <v>0</v>
      </c>
      <c r="E271" s="711">
        <f>Bilans_E_AMS_Kyoto_run3_MTE!I421</f>
        <v>0</v>
      </c>
      <c r="F271" s="711">
        <f>Bilans_E_AMS_Kyoto_run3_MTE!J421</f>
        <v>0</v>
      </c>
      <c r="G271" s="711">
        <f>Bilans_E_AMS_Kyoto_run3_MTE!K421</f>
        <v>0</v>
      </c>
      <c r="H271" s="711">
        <f>Bilans_E_AMS_Kyoto_run3_MTE!L421</f>
        <v>0</v>
      </c>
      <c r="I271" s="711">
        <f>Bilans_E_AMS_Kyoto_run3_MTE!M421</f>
        <v>0</v>
      </c>
      <c r="J271" s="711">
        <f>Bilans_E_AMS_Kyoto_run3_MTE!N421</f>
        <v>1217.3350254612858</v>
      </c>
      <c r="K271" s="711">
        <f>Bilans_E_AMS_Kyoto_run3_MTE!O421</f>
        <v>388.29502398919544</v>
      </c>
      <c r="L271" s="711">
        <f>Bilans_E_AMS_Kyoto_run3_MTE!P421</f>
        <v>345.22412922668985</v>
      </c>
      <c r="M271" s="711">
        <f>Bilans_E_AMS_Kyoto_run3_MTE!Q421</f>
        <v>47.572914538902204</v>
      </c>
      <c r="N271" s="711">
        <f>Bilans_E_AMS_Kyoto_run3_MTE!R421</f>
        <v>0</v>
      </c>
      <c r="O271" s="711">
        <f>Bilans_E_AMS_Kyoto_run3_MTE!S421</f>
        <v>0</v>
      </c>
      <c r="P271" s="711">
        <f>Bilans_E_AMS_Kyoto_run3_MTE!T421+Bilans_E_AMS_Kyoto_run3_MTE!U421</f>
        <v>217.97798120035498</v>
      </c>
      <c r="Q271" s="711">
        <f>Bilans_E_AMS_Kyoto_run3_MTE!V421</f>
        <v>44.670610017190697</v>
      </c>
      <c r="R271" s="711">
        <f>Bilans_E_AMS_Kyoto_run3_MTE!W421</f>
        <v>0</v>
      </c>
      <c r="S271" s="711">
        <f>Bilans_E_AMS_Kyoto_run3_MTE!X421</f>
        <v>0</v>
      </c>
      <c r="T271" s="711">
        <f>Bilans_E_AMS_Kyoto_run3_MTE!Y421</f>
        <v>0</v>
      </c>
      <c r="U271" s="711">
        <f>Bilans_E_AMS_Kyoto_run3_MTE!Z421</f>
        <v>2261.0756844336188</v>
      </c>
      <c r="V271" s="701"/>
      <c r="W271" s="701"/>
    </row>
    <row r="272" spans="1:23" x14ac:dyDescent="0.25">
      <c r="A272" s="701" t="s">
        <v>488</v>
      </c>
      <c r="B272" s="701"/>
      <c r="C272" s="710" t="s">
        <v>60</v>
      </c>
      <c r="D272" s="712">
        <f>Bilans_E_AMS_Kyoto_run3_MTE!H422</f>
        <v>12.152793945312501</v>
      </c>
      <c r="E272" s="712">
        <f>Bilans_E_AMS_Kyoto_run3_MTE!I422</f>
        <v>228.52698065701114</v>
      </c>
      <c r="F272" s="712">
        <f>Bilans_E_AMS_Kyoto_run3_MTE!J422</f>
        <v>52.757657499876444</v>
      </c>
      <c r="G272" s="712">
        <f>Bilans_E_AMS_Kyoto_run3_MTE!K422</f>
        <v>7.0861725721851325</v>
      </c>
      <c r="H272" s="712">
        <f>Bilans_E_AMS_Kyoto_run3_MTE!L422</f>
        <v>109.90340859679944</v>
      </c>
      <c r="I272" s="712">
        <f>Bilans_E_AMS_Kyoto_run3_MTE!M422</f>
        <v>0</v>
      </c>
      <c r="J272" s="712">
        <f>Bilans_E_AMS_Kyoto_run3_MTE!N422</f>
        <v>0</v>
      </c>
      <c r="K272" s="712">
        <f>Bilans_E_AMS_Kyoto_run3_MTE!O422</f>
        <v>0</v>
      </c>
      <c r="L272" s="712">
        <f>Bilans_E_AMS_Kyoto_run3_MTE!P422</f>
        <v>8.3609545225008901</v>
      </c>
      <c r="M272" s="712">
        <f>Bilans_E_AMS_Kyoto_run3_MTE!Q422</f>
        <v>0</v>
      </c>
      <c r="N272" s="712">
        <f>Bilans_E_AMS_Kyoto_run3_MTE!R422</f>
        <v>12.640823760452299</v>
      </c>
      <c r="O272" s="712">
        <f>Bilans_E_AMS_Kyoto_run3_MTE!S422</f>
        <v>0</v>
      </c>
      <c r="P272" s="712">
        <f>Bilans_E_AMS_Kyoto_run3_MTE!T422+Bilans_E_AMS_Kyoto_run3_MTE!U422</f>
        <v>0</v>
      </c>
      <c r="Q272" s="712">
        <f>Bilans_E_AMS_Kyoto_run3_MTE!V422</f>
        <v>0</v>
      </c>
      <c r="R272" s="712">
        <f>Bilans_E_AMS_Kyoto_run3_MTE!W422</f>
        <v>0</v>
      </c>
      <c r="S272" s="712">
        <f>Bilans_E_AMS_Kyoto_run3_MTE!X422</f>
        <v>0</v>
      </c>
      <c r="T272" s="712">
        <f>Bilans_E_AMS_Kyoto_run3_MTE!Y422</f>
        <v>0</v>
      </c>
      <c r="U272" s="712">
        <f>Bilans_E_AMS_Kyoto_run3_MTE!Z422</f>
        <v>431.42879155413789</v>
      </c>
      <c r="V272" s="701"/>
      <c r="W272" s="701"/>
    </row>
    <row r="273" spans="1:23" x14ac:dyDescent="0.25">
      <c r="A273" s="701" t="s">
        <v>489</v>
      </c>
      <c r="B273" s="701"/>
      <c r="C273" s="710" t="s">
        <v>61</v>
      </c>
      <c r="D273" s="712">
        <f>Bilans_E_AMS_Kyoto_run3_MTE!H423</f>
        <v>0</v>
      </c>
      <c r="E273" s="712">
        <f>Bilans_E_AMS_Kyoto_run3_MTE!I423</f>
        <v>0</v>
      </c>
      <c r="F273" s="712">
        <f>Bilans_E_AMS_Kyoto_run3_MTE!J423</f>
        <v>0</v>
      </c>
      <c r="G273" s="712">
        <f>Bilans_E_AMS_Kyoto_run3_MTE!K423</f>
        <v>0</v>
      </c>
      <c r="H273" s="712">
        <f>Bilans_E_AMS_Kyoto_run3_MTE!L423</f>
        <v>0</v>
      </c>
      <c r="I273" s="712">
        <f>Bilans_E_AMS_Kyoto_run3_MTE!M423</f>
        <v>0</v>
      </c>
      <c r="J273" s="712">
        <f>Bilans_E_AMS_Kyoto_run3_MTE!N423</f>
        <v>0</v>
      </c>
      <c r="K273" s="712">
        <f>Bilans_E_AMS_Kyoto_run3_MTE!O423</f>
        <v>0</v>
      </c>
      <c r="L273" s="712">
        <f>Bilans_E_AMS_Kyoto_run3_MTE!P423</f>
        <v>0</v>
      </c>
      <c r="M273" s="712">
        <f>Bilans_E_AMS_Kyoto_run3_MTE!Q423</f>
        <v>0</v>
      </c>
      <c r="N273" s="712">
        <f>Bilans_E_AMS_Kyoto_run3_MTE!R423</f>
        <v>0</v>
      </c>
      <c r="O273" s="712">
        <f>Bilans_E_AMS_Kyoto_run3_MTE!S423</f>
        <v>-7.7990691835452708E-2</v>
      </c>
      <c r="P273" s="712">
        <f>Bilans_E_AMS_Kyoto_run3_MTE!T423+Bilans_E_AMS_Kyoto_run3_MTE!U423</f>
        <v>0</v>
      </c>
      <c r="Q273" s="712">
        <f>Bilans_E_AMS_Kyoto_run3_MTE!V423</f>
        <v>0</v>
      </c>
      <c r="R273" s="712">
        <f>Bilans_E_AMS_Kyoto_run3_MTE!W423</f>
        <v>-125.47851234932489</v>
      </c>
      <c r="S273" s="712">
        <f>Bilans_E_AMS_Kyoto_run3_MTE!X423</f>
        <v>0</v>
      </c>
      <c r="T273" s="712">
        <f>Bilans_E_AMS_Kyoto_run3_MTE!Y423</f>
        <v>0</v>
      </c>
      <c r="U273" s="712">
        <f>Bilans_E_AMS_Kyoto_run3_MTE!Z423</f>
        <v>-125.55650304116034</v>
      </c>
      <c r="V273" s="701"/>
      <c r="W273" s="701"/>
    </row>
    <row r="274" spans="1:23" x14ac:dyDescent="0.25">
      <c r="A274" s="701" t="s">
        <v>490</v>
      </c>
      <c r="B274" s="701"/>
      <c r="C274" s="710" t="s">
        <v>62</v>
      </c>
      <c r="D274" s="711">
        <f>Bilans_E_AMS_Kyoto_run3_MTE!H424</f>
        <v>0</v>
      </c>
      <c r="E274" s="711">
        <f>Bilans_E_AMS_Kyoto_run3_MTE!I424</f>
        <v>0</v>
      </c>
      <c r="F274" s="711">
        <f>Bilans_E_AMS_Kyoto_run3_MTE!J424</f>
        <v>-5.9348855093326982</v>
      </c>
      <c r="G274" s="711">
        <f>Bilans_E_AMS_Kyoto_run3_MTE!K424</f>
        <v>-0.99259685127624486</v>
      </c>
      <c r="H274" s="711">
        <f>Bilans_E_AMS_Kyoto_run3_MTE!L424</f>
        <v>0</v>
      </c>
      <c r="I274" s="711">
        <f>Bilans_E_AMS_Kyoto_run3_MTE!M424</f>
        <v>-0.99259685127624475</v>
      </c>
      <c r="J274" s="711">
        <f>Bilans_E_AMS_Kyoto_run3_MTE!N424</f>
        <v>0</v>
      </c>
      <c r="K274" s="711">
        <f>Bilans_E_AMS_Kyoto_run3_MTE!O424</f>
        <v>0</v>
      </c>
      <c r="L274" s="711">
        <f>Bilans_E_AMS_Kyoto_run3_MTE!P424</f>
        <v>0</v>
      </c>
      <c r="M274" s="711">
        <f>Bilans_E_AMS_Kyoto_run3_MTE!Q424</f>
        <v>0</v>
      </c>
      <c r="N274" s="711">
        <f>Bilans_E_AMS_Kyoto_run3_MTE!R424</f>
        <v>0</v>
      </c>
      <c r="O274" s="711">
        <f>Bilans_E_AMS_Kyoto_run3_MTE!S424</f>
        <v>-1.3642017969458513</v>
      </c>
      <c r="P274" s="711">
        <f>Bilans_E_AMS_Kyoto_run3_MTE!T424+Bilans_E_AMS_Kyoto_run3_MTE!U424</f>
        <v>0</v>
      </c>
      <c r="Q274" s="711">
        <f>Bilans_E_AMS_Kyoto_run3_MTE!V424</f>
        <v>0</v>
      </c>
      <c r="R274" s="711">
        <f>Bilans_E_AMS_Kyoto_run3_MTE!W424</f>
        <v>0</v>
      </c>
      <c r="S274" s="711">
        <f>Bilans_E_AMS_Kyoto_run3_MTE!X424</f>
        <v>0</v>
      </c>
      <c r="T274" s="711">
        <f>Bilans_E_AMS_Kyoto_run3_MTE!Y424</f>
        <v>-0.66413311470232494</v>
      </c>
      <c r="U274" s="711">
        <f>Bilans_E_AMS_Kyoto_run3_MTE!Z424</f>
        <v>-9.9484141235333645</v>
      </c>
      <c r="V274" s="701"/>
      <c r="W274" s="701"/>
    </row>
    <row r="275" spans="1:23" x14ac:dyDescent="0.25">
      <c r="A275" s="701" t="s">
        <v>491</v>
      </c>
      <c r="B275" s="701"/>
      <c r="C275" s="710" t="s">
        <v>63</v>
      </c>
      <c r="D275" s="711">
        <f>Bilans_E_AMS_Kyoto_run3_MTE!H425</f>
        <v>0</v>
      </c>
      <c r="E275" s="711">
        <f>Bilans_E_AMS_Kyoto_run3_MTE!I425</f>
        <v>0</v>
      </c>
      <c r="F275" s="711">
        <f>Bilans_E_AMS_Kyoto_run3_MTE!J425</f>
        <v>-40</v>
      </c>
      <c r="G275" s="711">
        <f>Bilans_E_AMS_Kyoto_run3_MTE!K425</f>
        <v>-8</v>
      </c>
      <c r="H275" s="711">
        <f>Bilans_E_AMS_Kyoto_run3_MTE!L425</f>
        <v>0</v>
      </c>
      <c r="I275" s="711">
        <f>Bilans_E_AMS_Kyoto_run3_MTE!M425</f>
        <v>0</v>
      </c>
      <c r="J275" s="711">
        <f>Bilans_E_AMS_Kyoto_run3_MTE!N425</f>
        <v>0</v>
      </c>
      <c r="K275" s="711">
        <f>Bilans_E_AMS_Kyoto_run3_MTE!O425</f>
        <v>0</v>
      </c>
      <c r="L275" s="711">
        <f>Bilans_E_AMS_Kyoto_run3_MTE!P425</f>
        <v>0</v>
      </c>
      <c r="M275" s="711">
        <f>Bilans_E_AMS_Kyoto_run3_MTE!Q425</f>
        <v>0</v>
      </c>
      <c r="N275" s="711">
        <f>Bilans_E_AMS_Kyoto_run3_MTE!R425</f>
        <v>-15</v>
      </c>
      <c r="O275" s="711">
        <f>Bilans_E_AMS_Kyoto_run3_MTE!S425</f>
        <v>0</v>
      </c>
      <c r="P275" s="711">
        <f>Bilans_E_AMS_Kyoto_run3_MTE!T425+Bilans_E_AMS_Kyoto_run3_MTE!U425</f>
        <v>0</v>
      </c>
      <c r="Q275" s="711">
        <f>Bilans_E_AMS_Kyoto_run3_MTE!V425</f>
        <v>0</v>
      </c>
      <c r="R275" s="711">
        <f>Bilans_E_AMS_Kyoto_run3_MTE!W425</f>
        <v>0</v>
      </c>
      <c r="S275" s="711">
        <f>Bilans_E_AMS_Kyoto_run3_MTE!X425</f>
        <v>0</v>
      </c>
      <c r="T275" s="711">
        <f>Bilans_E_AMS_Kyoto_run3_MTE!Y425</f>
        <v>-3.0000000000000004</v>
      </c>
      <c r="U275" s="711">
        <f>Bilans_E_AMS_Kyoto_run3_MTE!Z425</f>
        <v>-66</v>
      </c>
      <c r="V275" s="701"/>
      <c r="W275" s="701"/>
    </row>
    <row r="276" spans="1:23" x14ac:dyDescent="0.25">
      <c r="A276" s="701" t="s">
        <v>492</v>
      </c>
      <c r="B276" s="701"/>
      <c r="C276" s="710" t="s">
        <v>64</v>
      </c>
      <c r="D276" s="712">
        <f>Bilans_E_AMS_Kyoto_run3_MTE!H426</f>
        <v>0</v>
      </c>
      <c r="E276" s="712">
        <f>Bilans_E_AMS_Kyoto_run3_MTE!I426</f>
        <v>0</v>
      </c>
      <c r="F276" s="712">
        <f>Bilans_E_AMS_Kyoto_run3_MTE!J426</f>
        <v>0</v>
      </c>
      <c r="G276" s="712">
        <f>Bilans_E_AMS_Kyoto_run3_MTE!K426</f>
        <v>0</v>
      </c>
      <c r="H276" s="712">
        <f>Bilans_E_AMS_Kyoto_run3_MTE!L426</f>
        <v>0</v>
      </c>
      <c r="I276" s="712">
        <f>Bilans_E_AMS_Kyoto_run3_MTE!M426</f>
        <v>0</v>
      </c>
      <c r="J276" s="712">
        <f>Bilans_E_AMS_Kyoto_run3_MTE!N426</f>
        <v>0</v>
      </c>
      <c r="K276" s="712">
        <f>Bilans_E_AMS_Kyoto_run3_MTE!O426</f>
        <v>0</v>
      </c>
      <c r="L276" s="712">
        <f>Bilans_E_AMS_Kyoto_run3_MTE!P426</f>
        <v>0</v>
      </c>
      <c r="M276" s="712">
        <f>Bilans_E_AMS_Kyoto_run3_MTE!Q426</f>
        <v>0</v>
      </c>
      <c r="N276" s="712">
        <f>Bilans_E_AMS_Kyoto_run3_MTE!R426</f>
        <v>0</v>
      </c>
      <c r="O276" s="712">
        <f>Bilans_E_AMS_Kyoto_run3_MTE!S426</f>
        <v>0</v>
      </c>
      <c r="P276" s="712">
        <f>Bilans_E_AMS_Kyoto_run3_MTE!T426+Bilans_E_AMS_Kyoto_run3_MTE!U426</f>
        <v>0</v>
      </c>
      <c r="Q276" s="712">
        <f>Bilans_E_AMS_Kyoto_run3_MTE!V426</f>
        <v>0</v>
      </c>
      <c r="R276" s="712">
        <f>Bilans_E_AMS_Kyoto_run3_MTE!W426</f>
        <v>0</v>
      </c>
      <c r="S276" s="712">
        <f>Bilans_E_AMS_Kyoto_run3_MTE!X426</f>
        <v>0</v>
      </c>
      <c r="T276" s="712">
        <f>Bilans_E_AMS_Kyoto_run3_MTE!Y426</f>
        <v>0</v>
      </c>
      <c r="U276" s="712">
        <f>Bilans_E_AMS_Kyoto_run3_MTE!Z426</f>
        <v>0</v>
      </c>
      <c r="V276" s="701"/>
      <c r="W276" s="701"/>
    </row>
    <row r="277" spans="1:23" x14ac:dyDescent="0.25">
      <c r="A277" s="701" t="s">
        <v>493</v>
      </c>
      <c r="B277" s="701"/>
      <c r="C277" s="713" t="s">
        <v>65</v>
      </c>
      <c r="D277" s="714">
        <f>Bilans_E_AMS_Kyoto_run3_MTE!H427</f>
        <v>12.152793945312501</v>
      </c>
      <c r="E277" s="714">
        <f>Bilans_E_AMS_Kyoto_run3_MTE!I427</f>
        <v>228.52698065701114</v>
      </c>
      <c r="F277" s="714">
        <f>Bilans_E_AMS_Kyoto_run3_MTE!J427</f>
        <v>6.8227719905437425</v>
      </c>
      <c r="G277" s="714">
        <f>Bilans_E_AMS_Kyoto_run3_MTE!K427</f>
        <v>-1.9064242790911123</v>
      </c>
      <c r="H277" s="714">
        <f>Bilans_E_AMS_Kyoto_run3_MTE!L427</f>
        <v>109.90340859679944</v>
      </c>
      <c r="I277" s="714">
        <f>Bilans_E_AMS_Kyoto_run3_MTE!M427</f>
        <v>-0.99259685127624475</v>
      </c>
      <c r="J277" s="714">
        <f>Bilans_E_AMS_Kyoto_run3_MTE!N427</f>
        <v>1217.3350254612858</v>
      </c>
      <c r="K277" s="714">
        <f>Bilans_E_AMS_Kyoto_run3_MTE!O427</f>
        <v>388.29502398919544</v>
      </c>
      <c r="L277" s="714">
        <f>Bilans_E_AMS_Kyoto_run3_MTE!P427</f>
        <v>353.58508374919074</v>
      </c>
      <c r="M277" s="714">
        <f>Bilans_E_AMS_Kyoto_run3_MTE!Q427</f>
        <v>47.572914538902204</v>
      </c>
      <c r="N277" s="714">
        <f>Bilans_E_AMS_Kyoto_run3_MTE!R427</f>
        <v>-2.3591762395477005</v>
      </c>
      <c r="O277" s="714">
        <f>Bilans_E_AMS_Kyoto_run3_MTE!S427</f>
        <v>-1.442192488781304</v>
      </c>
      <c r="P277" s="714">
        <f>Bilans_E_AMS_Kyoto_run3_MTE!T427+Bilans_E_AMS_Kyoto_run3_MTE!U427</f>
        <v>217.97798120035498</v>
      </c>
      <c r="Q277" s="714">
        <f>Bilans_E_AMS_Kyoto_run3_MTE!V427</f>
        <v>44.670610017190697</v>
      </c>
      <c r="R277" s="714">
        <f>Bilans_E_AMS_Kyoto_run3_MTE!W427</f>
        <v>-125.47851234932489</v>
      </c>
      <c r="S277" s="714">
        <f>Bilans_E_AMS_Kyoto_run3_MTE!X427</f>
        <v>0</v>
      </c>
      <c r="T277" s="714">
        <f>Bilans_E_AMS_Kyoto_run3_MTE!Y427</f>
        <v>-3.6641331147023255</v>
      </c>
      <c r="U277" s="714">
        <f>Bilans_E_AMS_Kyoto_run3_MTE!Z427</f>
        <v>2490.9995588230627</v>
      </c>
      <c r="V277" s="701"/>
      <c r="W277" s="701"/>
    </row>
    <row r="278" spans="1:23" x14ac:dyDescent="0.25">
      <c r="A278" s="701"/>
      <c r="B278" s="701"/>
      <c r="C278" s="715"/>
      <c r="D278" s="716"/>
      <c r="E278" s="716"/>
      <c r="F278" s="716"/>
      <c r="G278" s="716"/>
      <c r="H278" s="716"/>
      <c r="I278" s="716"/>
      <c r="J278" s="716"/>
      <c r="K278" s="716"/>
      <c r="L278" s="716"/>
      <c r="M278" s="716"/>
      <c r="N278" s="716"/>
      <c r="O278" s="716"/>
      <c r="P278" s="716">
        <f>Bilans_E_AMS_Kyoto_run3_MTE!T428+Bilans_E_AMS_Kyoto_run3_MTE!U428</f>
        <v>0</v>
      </c>
      <c r="Q278" s="716"/>
      <c r="R278" s="716"/>
      <c r="S278" s="716"/>
      <c r="T278" s="716"/>
      <c r="U278" s="716"/>
      <c r="V278" s="701"/>
      <c r="W278" s="701"/>
    </row>
    <row r="279" spans="1:23" x14ac:dyDescent="0.25">
      <c r="A279" s="701" t="s">
        <v>494</v>
      </c>
      <c r="B279" s="701"/>
      <c r="C279" s="717" t="s">
        <v>67</v>
      </c>
      <c r="D279" s="711">
        <f>Bilans_E_AMS_Kyoto_run3_MTE!H429</f>
        <v>0</v>
      </c>
      <c r="E279" s="711">
        <f>Bilans_E_AMS_Kyoto_run3_MTE!I429</f>
        <v>0</v>
      </c>
      <c r="F279" s="711">
        <f>Bilans_E_AMS_Kyoto_run3_MTE!J429</f>
        <v>0</v>
      </c>
      <c r="G279" s="711">
        <f>Bilans_E_AMS_Kyoto_run3_MTE!K429</f>
        <v>0</v>
      </c>
      <c r="H279" s="711">
        <f>Bilans_E_AMS_Kyoto_run3_MTE!L429</f>
        <v>0</v>
      </c>
      <c r="I279" s="711">
        <f>Bilans_E_AMS_Kyoto_run3_MTE!M429</f>
        <v>0</v>
      </c>
      <c r="J279" s="711">
        <f>Bilans_E_AMS_Kyoto_run3_MTE!N429</f>
        <v>0</v>
      </c>
      <c r="K279" s="711">
        <f>Bilans_E_AMS_Kyoto_run3_MTE!O429</f>
        <v>0</v>
      </c>
      <c r="L279" s="711">
        <f>Bilans_E_AMS_Kyoto_run3_MTE!P429</f>
        <v>0</v>
      </c>
      <c r="M279" s="711">
        <f>Bilans_E_AMS_Kyoto_run3_MTE!Q429</f>
        <v>0</v>
      </c>
      <c r="N279" s="711">
        <f>Bilans_E_AMS_Kyoto_run3_MTE!R429</f>
        <v>0</v>
      </c>
      <c r="O279" s="711">
        <f>Bilans_E_AMS_Kyoto_run3_MTE!S429</f>
        <v>0</v>
      </c>
      <c r="P279" s="711">
        <f>Bilans_E_AMS_Kyoto_run3_MTE!T429+Bilans_E_AMS_Kyoto_run3_MTE!U429</f>
        <v>0</v>
      </c>
      <c r="Q279" s="711">
        <f>Bilans_E_AMS_Kyoto_run3_MTE!V429</f>
        <v>0</v>
      </c>
      <c r="R279" s="711">
        <f>Bilans_E_AMS_Kyoto_run3_MTE!W429</f>
        <v>0</v>
      </c>
      <c r="S279" s="711">
        <f>Bilans_E_AMS_Kyoto_run3_MTE!X429</f>
        <v>0</v>
      </c>
      <c r="T279" s="711">
        <f>Bilans_E_AMS_Kyoto_run3_MTE!Y429</f>
        <v>0</v>
      </c>
      <c r="U279" s="711">
        <f>Bilans_E_AMS_Kyoto_run3_MTE!Z429</f>
        <v>0</v>
      </c>
      <c r="V279" s="701"/>
      <c r="W279" s="701"/>
    </row>
    <row r="280" spans="1:23" x14ac:dyDescent="0.25">
      <c r="A280" s="701" t="s">
        <v>495</v>
      </c>
      <c r="B280" s="701"/>
      <c r="C280" s="717" t="s">
        <v>347</v>
      </c>
      <c r="D280" s="711">
        <f>Bilans_E_AMS_Kyoto_run3_MTE!H430</f>
        <v>0</v>
      </c>
      <c r="E280" s="711">
        <f>Bilans_E_AMS_Kyoto_run3_MTE!I430</f>
        <v>0</v>
      </c>
      <c r="F280" s="711">
        <f>Bilans_E_AMS_Kyoto_run3_MTE!J430</f>
        <v>6.6151953400033478E-2</v>
      </c>
      <c r="G280" s="711">
        <f>Bilans_E_AMS_Kyoto_run3_MTE!K430</f>
        <v>0</v>
      </c>
      <c r="H280" s="711">
        <f>Bilans_E_AMS_Kyoto_run3_MTE!L430</f>
        <v>2.4867213913043404E-3</v>
      </c>
      <c r="I280" s="711">
        <f>Bilans_E_AMS_Kyoto_run3_MTE!M430</f>
        <v>0</v>
      </c>
      <c r="J280" s="711">
        <f>Bilans_E_AMS_Kyoto_run3_MTE!N430</f>
        <v>1213.9369090909088</v>
      </c>
      <c r="K280" s="711">
        <f>Bilans_E_AMS_Kyoto_run3_MTE!O430</f>
        <v>388.29502398919544</v>
      </c>
      <c r="L280" s="711">
        <f>Bilans_E_AMS_Kyoto_run3_MTE!P430</f>
        <v>17.586826213678588</v>
      </c>
      <c r="M280" s="711">
        <f>Bilans_E_AMS_Kyoto_run3_MTE!Q430</f>
        <v>5.6133813254305416</v>
      </c>
      <c r="N280" s="711">
        <f>Bilans_E_AMS_Kyoto_run3_MTE!R430</f>
        <v>5.6269378379330357</v>
      </c>
      <c r="O280" s="711">
        <f>Bilans_E_AMS_Kyoto_run3_MTE!S430</f>
        <v>0.11555796351278441</v>
      </c>
      <c r="P280" s="711">
        <f>Bilans_E_AMS_Kyoto_run3_MTE!T430+Bilans_E_AMS_Kyoto_run3_MTE!U430</f>
        <v>0</v>
      </c>
      <c r="Q280" s="711">
        <f>Bilans_E_AMS_Kyoto_run3_MTE!V430</f>
        <v>6.4327567473291545</v>
      </c>
      <c r="R280" s="711">
        <f>Bilans_E_AMS_Kyoto_run3_MTE!W430</f>
        <v>-805.46190663810182</v>
      </c>
      <c r="S280" s="711">
        <f>Bilans_E_AMS_Kyoto_run3_MTE!X430</f>
        <v>0</v>
      </c>
      <c r="T280" s="711">
        <f>Bilans_E_AMS_Kyoto_run3_MTE!Y430</f>
        <v>0</v>
      </c>
      <c r="U280" s="711">
        <f>Bilans_E_AMS_Kyoto_run3_MTE!Z430</f>
        <v>832.21412520467777</v>
      </c>
      <c r="V280" s="701"/>
      <c r="W280" s="701"/>
    </row>
    <row r="281" spans="1:23" x14ac:dyDescent="0.25">
      <c r="A281" s="701" t="s">
        <v>496</v>
      </c>
      <c r="B281" s="701"/>
      <c r="C281" s="717" t="s">
        <v>348</v>
      </c>
      <c r="D281" s="711">
        <f>Bilans_E_AMS_Kyoto_run3_MTE!H431</f>
        <v>0</v>
      </c>
      <c r="E281" s="711">
        <f>Bilans_E_AMS_Kyoto_run3_MTE!I431</f>
        <v>0</v>
      </c>
      <c r="F281" s="711">
        <f>Bilans_E_AMS_Kyoto_run3_MTE!J431</f>
        <v>0</v>
      </c>
      <c r="G281" s="711">
        <f>Bilans_E_AMS_Kyoto_run3_MTE!K431</f>
        <v>0</v>
      </c>
      <c r="H281" s="711">
        <f>Bilans_E_AMS_Kyoto_run3_MTE!L431</f>
        <v>13.794883526882547</v>
      </c>
      <c r="I281" s="711">
        <f>Bilans_E_AMS_Kyoto_run3_MTE!M431</f>
        <v>0</v>
      </c>
      <c r="J281" s="711">
        <f>Bilans_E_AMS_Kyoto_run3_MTE!N431</f>
        <v>3.3981163703769028</v>
      </c>
      <c r="K281" s="711">
        <f>Bilans_E_AMS_Kyoto_run3_MTE!O431</f>
        <v>0</v>
      </c>
      <c r="L281" s="711">
        <f>Bilans_E_AMS_Kyoto_run3_MTE!P431</f>
        <v>24.198351271875673</v>
      </c>
      <c r="M281" s="711">
        <f>Bilans_E_AMS_Kyoto_run3_MTE!Q431</f>
        <v>14.187375488735356</v>
      </c>
      <c r="N281" s="711">
        <f>Bilans_E_AMS_Kyoto_run3_MTE!R431</f>
        <v>0</v>
      </c>
      <c r="O281" s="711">
        <f>Bilans_E_AMS_Kyoto_run3_MTE!S431</f>
        <v>9.211082811707719</v>
      </c>
      <c r="P281" s="711">
        <f>Bilans_E_AMS_Kyoto_run3_MTE!T431+Bilans_E_AMS_Kyoto_run3_MTE!U431</f>
        <v>17.004200785241363</v>
      </c>
      <c r="Q281" s="711">
        <f>Bilans_E_AMS_Kyoto_run3_MTE!V431</f>
        <v>15.724500904765749</v>
      </c>
      <c r="R281" s="711">
        <f>Bilans_E_AMS_Kyoto_run3_MTE!W431</f>
        <v>0</v>
      </c>
      <c r="S281" s="711">
        <f>Bilans_E_AMS_Kyoto_run3_MTE!X431</f>
        <v>-90.436442741744855</v>
      </c>
      <c r="T281" s="711">
        <f>Bilans_E_AMS_Kyoto_run3_MTE!Y431</f>
        <v>0</v>
      </c>
      <c r="U281" s="711">
        <f>Bilans_E_AMS_Kyoto_run3_MTE!Z431</f>
        <v>7.0820684178404321</v>
      </c>
      <c r="V281" s="701"/>
      <c r="W281" s="701"/>
    </row>
    <row r="282" spans="1:23" x14ac:dyDescent="0.25">
      <c r="A282" s="701" t="s">
        <v>497</v>
      </c>
      <c r="B282" s="701"/>
      <c r="C282" s="717" t="s">
        <v>349</v>
      </c>
      <c r="D282" s="711">
        <f>Bilans_E_AMS_Kyoto_run3_MTE!H432</f>
        <v>0</v>
      </c>
      <c r="E282" s="711">
        <f>Bilans_E_AMS_Kyoto_run3_MTE!I432</f>
        <v>0</v>
      </c>
      <c r="F282" s="711">
        <f>Bilans_E_AMS_Kyoto_run3_MTE!J432</f>
        <v>0</v>
      </c>
      <c r="G282" s="711">
        <f>Bilans_E_AMS_Kyoto_run3_MTE!K432</f>
        <v>0</v>
      </c>
      <c r="H282" s="711">
        <f>Bilans_E_AMS_Kyoto_run3_MTE!L432</f>
        <v>0</v>
      </c>
      <c r="I282" s="711">
        <f>Bilans_E_AMS_Kyoto_run3_MTE!M432</f>
        <v>0</v>
      </c>
      <c r="J282" s="711">
        <f>Bilans_E_AMS_Kyoto_run3_MTE!N432</f>
        <v>0</v>
      </c>
      <c r="K282" s="711">
        <f>Bilans_E_AMS_Kyoto_run3_MTE!O432</f>
        <v>0</v>
      </c>
      <c r="L282" s="711">
        <f>Bilans_E_AMS_Kyoto_run3_MTE!P432</f>
        <v>121.15349099008552</v>
      </c>
      <c r="M282" s="711">
        <f>Bilans_E_AMS_Kyoto_run3_MTE!Q432</f>
        <v>11.695220862948467</v>
      </c>
      <c r="N282" s="711">
        <f>Bilans_E_AMS_Kyoto_run3_MTE!R432</f>
        <v>0</v>
      </c>
      <c r="O282" s="711">
        <f>Bilans_E_AMS_Kyoto_run3_MTE!S432</f>
        <v>-66.507884301827488</v>
      </c>
      <c r="P282" s="711">
        <f>Bilans_E_AMS_Kyoto_run3_MTE!T432+Bilans_E_AMS_Kyoto_run3_MTE!U432</f>
        <v>0</v>
      </c>
      <c r="Q282" s="711">
        <f>Bilans_E_AMS_Kyoto_run3_MTE!V432</f>
        <v>0</v>
      </c>
      <c r="R282" s="711">
        <f>Bilans_E_AMS_Kyoto_run3_MTE!W432</f>
        <v>0</v>
      </c>
      <c r="S282" s="711">
        <f>Bilans_E_AMS_Kyoto_run3_MTE!X432</f>
        <v>0</v>
      </c>
      <c r="T282" s="711">
        <f>Bilans_E_AMS_Kyoto_run3_MTE!Y432</f>
        <v>0</v>
      </c>
      <c r="U282" s="711">
        <f>Bilans_E_AMS_Kyoto_run3_MTE!Z432</f>
        <v>66.340827551206502</v>
      </c>
      <c r="V282" s="701"/>
      <c r="W282" s="701"/>
    </row>
    <row r="283" spans="1:23" x14ac:dyDescent="0.25">
      <c r="A283" s="701" t="s">
        <v>498</v>
      </c>
      <c r="B283" s="701"/>
      <c r="C283" s="717" t="s">
        <v>350</v>
      </c>
      <c r="D283" s="711">
        <f>Bilans_E_AMS_Kyoto_run3_MTE!H433</f>
        <v>0</v>
      </c>
      <c r="E283" s="711">
        <f>Bilans_E_AMS_Kyoto_run3_MTE!I433</f>
        <v>0</v>
      </c>
      <c r="F283" s="711">
        <f>Bilans_E_AMS_Kyoto_run3_MTE!J433</f>
        <v>0</v>
      </c>
      <c r="G283" s="711">
        <f>Bilans_E_AMS_Kyoto_run3_MTE!K433</f>
        <v>0</v>
      </c>
      <c r="H283" s="711">
        <f>Bilans_E_AMS_Kyoto_run3_MTE!L433</f>
        <v>0</v>
      </c>
      <c r="I283" s="711">
        <f>Bilans_E_AMS_Kyoto_run3_MTE!M433</f>
        <v>-0.99259685127624475</v>
      </c>
      <c r="J283" s="711">
        <f>Bilans_E_AMS_Kyoto_run3_MTE!N433</f>
        <v>0</v>
      </c>
      <c r="K283" s="711">
        <f>Bilans_E_AMS_Kyoto_run3_MTE!O433</f>
        <v>0</v>
      </c>
      <c r="L283" s="711">
        <f>Bilans_E_AMS_Kyoto_run3_MTE!P433</f>
        <v>0</v>
      </c>
      <c r="M283" s="711">
        <f>Bilans_E_AMS_Kyoto_run3_MTE!Q433</f>
        <v>0</v>
      </c>
      <c r="N283" s="711">
        <f>Bilans_E_AMS_Kyoto_run3_MTE!R433</f>
        <v>0</v>
      </c>
      <c r="O283" s="711">
        <f>Bilans_E_AMS_Kyoto_run3_MTE!S433</f>
        <v>0</v>
      </c>
      <c r="P283" s="711">
        <f>Bilans_E_AMS_Kyoto_run3_MTE!T433+Bilans_E_AMS_Kyoto_run3_MTE!U433</f>
        <v>0</v>
      </c>
      <c r="Q283" s="711">
        <f>Bilans_E_AMS_Kyoto_run3_MTE!V433</f>
        <v>0</v>
      </c>
      <c r="R283" s="711">
        <f>Bilans_E_AMS_Kyoto_run3_MTE!W433</f>
        <v>0</v>
      </c>
      <c r="S283" s="711">
        <f>Bilans_E_AMS_Kyoto_run3_MTE!X433</f>
        <v>0</v>
      </c>
      <c r="T283" s="711">
        <f>Bilans_E_AMS_Kyoto_run3_MTE!Y433</f>
        <v>1.3786067378836733</v>
      </c>
      <c r="U283" s="711">
        <f>Bilans_E_AMS_Kyoto_run3_MTE!Z433</f>
        <v>0.38600988660742852</v>
      </c>
      <c r="V283" s="701"/>
      <c r="W283" s="701"/>
    </row>
    <row r="284" spans="1:23" x14ac:dyDescent="0.25">
      <c r="A284" s="701" t="s">
        <v>499</v>
      </c>
      <c r="B284" s="701"/>
      <c r="C284" s="717" t="s">
        <v>72</v>
      </c>
      <c r="D284" s="711">
        <f>Bilans_E_AMS_Kyoto_run3_MTE!H434</f>
        <v>0</v>
      </c>
      <c r="E284" s="711">
        <f>Bilans_E_AMS_Kyoto_run3_MTE!I434</f>
        <v>236.81493545445448</v>
      </c>
      <c r="F284" s="711">
        <f>Bilans_E_AMS_Kyoto_run3_MTE!J434</f>
        <v>-234.44678609990993</v>
      </c>
      <c r="G284" s="711">
        <f>Bilans_E_AMS_Kyoto_run3_MTE!K434</f>
        <v>0</v>
      </c>
      <c r="H284" s="711">
        <f>Bilans_E_AMS_Kyoto_run3_MTE!L434</f>
        <v>0</v>
      </c>
      <c r="I284" s="711">
        <f>Bilans_E_AMS_Kyoto_run3_MTE!M434</f>
        <v>0</v>
      </c>
      <c r="J284" s="711">
        <f>Bilans_E_AMS_Kyoto_run3_MTE!N434</f>
        <v>0</v>
      </c>
      <c r="K284" s="711">
        <f>Bilans_E_AMS_Kyoto_run3_MTE!O434</f>
        <v>0</v>
      </c>
      <c r="L284" s="711">
        <f>Bilans_E_AMS_Kyoto_run3_MTE!P434</f>
        <v>0</v>
      </c>
      <c r="M284" s="711">
        <f>Bilans_E_AMS_Kyoto_run3_MTE!Q434</f>
        <v>0</v>
      </c>
      <c r="N284" s="711">
        <f>Bilans_E_AMS_Kyoto_run3_MTE!R434</f>
        <v>0</v>
      </c>
      <c r="O284" s="711">
        <f>Bilans_E_AMS_Kyoto_run3_MTE!S434</f>
        <v>0</v>
      </c>
      <c r="P284" s="711">
        <f>Bilans_E_AMS_Kyoto_run3_MTE!T434+Bilans_E_AMS_Kyoto_run3_MTE!U434</f>
        <v>0</v>
      </c>
      <c r="Q284" s="711">
        <f>Bilans_E_AMS_Kyoto_run3_MTE!V434</f>
        <v>0</v>
      </c>
      <c r="R284" s="711">
        <f>Bilans_E_AMS_Kyoto_run3_MTE!W434</f>
        <v>0</v>
      </c>
      <c r="S284" s="711">
        <f>Bilans_E_AMS_Kyoto_run3_MTE!X434</f>
        <v>0</v>
      </c>
      <c r="T284" s="711">
        <f>Bilans_E_AMS_Kyoto_run3_MTE!Y434</f>
        <v>0</v>
      </c>
      <c r="U284" s="711">
        <f>Bilans_E_AMS_Kyoto_run3_MTE!Z434</f>
        <v>2.3681493545445562</v>
      </c>
      <c r="V284" s="701"/>
      <c r="W284" s="701"/>
    </row>
    <row r="285" spans="1:23" x14ac:dyDescent="0.25">
      <c r="A285" s="701" t="s">
        <v>500</v>
      </c>
      <c r="B285" s="701"/>
      <c r="C285" s="717" t="s">
        <v>351</v>
      </c>
      <c r="D285" s="711">
        <f>Bilans_E_AMS_Kyoto_run3_MTE!H435</f>
        <v>0</v>
      </c>
      <c r="E285" s="711">
        <f>Bilans_E_AMS_Kyoto_run3_MTE!I435</f>
        <v>0</v>
      </c>
      <c r="F285" s="711">
        <f>Bilans_E_AMS_Kyoto_run3_MTE!J435</f>
        <v>0</v>
      </c>
      <c r="G285" s="711">
        <f>Bilans_E_AMS_Kyoto_run3_MTE!K435</f>
        <v>0</v>
      </c>
      <c r="H285" s="711">
        <f>Bilans_E_AMS_Kyoto_run3_MTE!L435</f>
        <v>0</v>
      </c>
      <c r="I285" s="711">
        <f>Bilans_E_AMS_Kyoto_run3_MTE!M435</f>
        <v>0</v>
      </c>
      <c r="J285" s="711">
        <f>Bilans_E_AMS_Kyoto_run3_MTE!N435</f>
        <v>0</v>
      </c>
      <c r="K285" s="711">
        <f>Bilans_E_AMS_Kyoto_run3_MTE!O435</f>
        <v>0</v>
      </c>
      <c r="L285" s="711">
        <f>Bilans_E_AMS_Kyoto_run3_MTE!P435</f>
        <v>92.214586114726359</v>
      </c>
      <c r="M285" s="711">
        <f>Bilans_E_AMS_Kyoto_run3_MTE!Q435</f>
        <v>7.2727272727272725</v>
      </c>
      <c r="N285" s="711">
        <f>Bilans_E_AMS_Kyoto_run3_MTE!R435</f>
        <v>-55.427636476917691</v>
      </c>
      <c r="O285" s="711">
        <f>Bilans_E_AMS_Kyoto_run3_MTE!S435</f>
        <v>0</v>
      </c>
      <c r="P285" s="711">
        <f>Bilans_E_AMS_Kyoto_run3_MTE!T435+Bilans_E_AMS_Kyoto_run3_MTE!U435</f>
        <v>0</v>
      </c>
      <c r="Q285" s="711">
        <f>Bilans_E_AMS_Kyoto_run3_MTE!V435</f>
        <v>0</v>
      </c>
      <c r="R285" s="711">
        <f>Bilans_E_AMS_Kyoto_run3_MTE!W435</f>
        <v>0</v>
      </c>
      <c r="S285" s="711">
        <f>Bilans_E_AMS_Kyoto_run3_MTE!X435</f>
        <v>0</v>
      </c>
      <c r="T285" s="711">
        <f>Bilans_E_AMS_Kyoto_run3_MTE!Y435</f>
        <v>0</v>
      </c>
      <c r="U285" s="711">
        <f>Bilans_E_AMS_Kyoto_run3_MTE!Z435</f>
        <v>44.059676910535934</v>
      </c>
      <c r="V285" s="701"/>
      <c r="W285" s="701"/>
    </row>
    <row r="286" spans="1:23" x14ac:dyDescent="0.25">
      <c r="A286" s="701" t="s">
        <v>501</v>
      </c>
      <c r="B286" s="701"/>
      <c r="C286" s="717" t="s">
        <v>352</v>
      </c>
      <c r="D286" s="711">
        <f>Bilans_E_AMS_Kyoto_run3_MTE!H436</f>
        <v>0</v>
      </c>
      <c r="E286" s="711">
        <f>Bilans_E_AMS_Kyoto_run3_MTE!I436</f>
        <v>0</v>
      </c>
      <c r="F286" s="711">
        <f>Bilans_E_AMS_Kyoto_run3_MTE!J436</f>
        <v>0</v>
      </c>
      <c r="G286" s="711">
        <f>Bilans_E_AMS_Kyoto_run3_MTE!K436</f>
        <v>-5.3675968512762449</v>
      </c>
      <c r="H286" s="711">
        <f>Bilans_E_AMS_Kyoto_run3_MTE!L436</f>
        <v>0</v>
      </c>
      <c r="I286" s="711">
        <f>Bilans_E_AMS_Kyoto_run3_MTE!M436</f>
        <v>0</v>
      </c>
      <c r="J286" s="711">
        <f>Bilans_E_AMS_Kyoto_run3_MTE!N436</f>
        <v>0</v>
      </c>
      <c r="K286" s="711">
        <f>Bilans_E_AMS_Kyoto_run3_MTE!O436</f>
        <v>0</v>
      </c>
      <c r="L286" s="711">
        <f>Bilans_E_AMS_Kyoto_run3_MTE!P436</f>
        <v>0</v>
      </c>
      <c r="M286" s="711">
        <f>Bilans_E_AMS_Kyoto_run3_MTE!Q436</f>
        <v>0</v>
      </c>
      <c r="N286" s="711">
        <f>Bilans_E_AMS_Kyoto_run3_MTE!R436</f>
        <v>0</v>
      </c>
      <c r="O286" s="711">
        <f>Bilans_E_AMS_Kyoto_run3_MTE!S436</f>
        <v>0</v>
      </c>
      <c r="P286" s="711">
        <f>Bilans_E_AMS_Kyoto_run3_MTE!T436+Bilans_E_AMS_Kyoto_run3_MTE!U436</f>
        <v>0</v>
      </c>
      <c r="Q286" s="711">
        <f>Bilans_E_AMS_Kyoto_run3_MTE!V436</f>
        <v>0</v>
      </c>
      <c r="R286" s="711">
        <f>Bilans_E_AMS_Kyoto_run3_MTE!W436</f>
        <v>0</v>
      </c>
      <c r="S286" s="711">
        <f>Bilans_E_AMS_Kyoto_run3_MTE!X436</f>
        <v>0</v>
      </c>
      <c r="T286" s="711">
        <f>Bilans_E_AMS_Kyoto_run3_MTE!Y436</f>
        <v>8.7918565364038699</v>
      </c>
      <c r="U286" s="711">
        <f>Bilans_E_AMS_Kyoto_run3_MTE!Z436</f>
        <v>3.424259685127625</v>
      </c>
      <c r="V286" s="701"/>
      <c r="W286" s="701"/>
    </row>
    <row r="287" spans="1:23" x14ac:dyDescent="0.25">
      <c r="A287" s="701" t="s">
        <v>502</v>
      </c>
      <c r="B287" s="701"/>
      <c r="C287" s="717" t="s">
        <v>73</v>
      </c>
      <c r="D287" s="711">
        <f>Bilans_E_AMS_Kyoto_run3_MTE!H437</f>
        <v>0</v>
      </c>
      <c r="E287" s="711">
        <f>Bilans_E_AMS_Kyoto_run3_MTE!I437</f>
        <v>0</v>
      </c>
      <c r="F287" s="711">
        <f>Bilans_E_AMS_Kyoto_run3_MTE!J437</f>
        <v>0</v>
      </c>
      <c r="G287" s="711">
        <f>Bilans_E_AMS_Kyoto_run3_MTE!K437</f>
        <v>0</v>
      </c>
      <c r="H287" s="711">
        <f>Bilans_E_AMS_Kyoto_run3_MTE!L437</f>
        <v>0</v>
      </c>
      <c r="I287" s="711">
        <f>Bilans_E_AMS_Kyoto_run3_MTE!M437</f>
        <v>0</v>
      </c>
      <c r="J287" s="711">
        <f>Bilans_E_AMS_Kyoto_run3_MTE!N437</f>
        <v>0</v>
      </c>
      <c r="K287" s="711">
        <f>Bilans_E_AMS_Kyoto_run3_MTE!O437</f>
        <v>0</v>
      </c>
      <c r="L287" s="711">
        <f>Bilans_E_AMS_Kyoto_run3_MTE!P437</f>
        <v>0</v>
      </c>
      <c r="M287" s="711">
        <f>Bilans_E_AMS_Kyoto_run3_MTE!Q437</f>
        <v>0</v>
      </c>
      <c r="N287" s="711">
        <f>Bilans_E_AMS_Kyoto_run3_MTE!R437</f>
        <v>0</v>
      </c>
      <c r="O287" s="711">
        <f>Bilans_E_AMS_Kyoto_run3_MTE!S437</f>
        <v>0</v>
      </c>
      <c r="P287" s="711">
        <f>Bilans_E_AMS_Kyoto_run3_MTE!T437+Bilans_E_AMS_Kyoto_run3_MTE!U437</f>
        <v>0</v>
      </c>
      <c r="Q287" s="711">
        <f>Bilans_E_AMS_Kyoto_run3_MTE!V437</f>
        <v>0</v>
      </c>
      <c r="R287" s="711">
        <f>Bilans_E_AMS_Kyoto_run3_MTE!W437</f>
        <v>46.345987464156821</v>
      </c>
      <c r="S287" s="711">
        <f>Bilans_E_AMS_Kyoto_run3_MTE!X437</f>
        <v>0</v>
      </c>
      <c r="T287" s="711">
        <f>Bilans_E_AMS_Kyoto_run3_MTE!Y437</f>
        <v>-31.747001412947427</v>
      </c>
      <c r="U287" s="711">
        <f>Bilans_E_AMS_Kyoto_run3_MTE!Z437</f>
        <v>14.598986051209394</v>
      </c>
      <c r="V287" s="701"/>
      <c r="W287" s="701"/>
    </row>
    <row r="288" spans="1:23" x14ac:dyDescent="0.25">
      <c r="A288" s="701" t="s">
        <v>503</v>
      </c>
      <c r="B288" s="701"/>
      <c r="C288" s="717" t="s">
        <v>353</v>
      </c>
      <c r="D288" s="711">
        <f>Bilans_E_AMS_Kyoto_run3_MTE!H438</f>
        <v>8.5250206054687503</v>
      </c>
      <c r="E288" s="711">
        <f>Bilans_E_AMS_Kyoto_run3_MTE!I438</f>
        <v>-8.2879547974433478</v>
      </c>
      <c r="F288" s="711">
        <f>Bilans_E_AMS_Kyoto_run3_MTE!J438</f>
        <v>10.994009966120005</v>
      </c>
      <c r="G288" s="711">
        <f>Bilans_E_AMS_Kyoto_run3_MTE!K438</f>
        <v>0</v>
      </c>
      <c r="H288" s="711">
        <f>Bilans_E_AMS_Kyoto_run3_MTE!L438</f>
        <v>0</v>
      </c>
      <c r="I288" s="711">
        <f>Bilans_E_AMS_Kyoto_run3_MTE!M438</f>
        <v>0</v>
      </c>
      <c r="J288" s="711">
        <f>Bilans_E_AMS_Kyoto_run3_MTE!N438</f>
        <v>0</v>
      </c>
      <c r="K288" s="711">
        <f>Bilans_E_AMS_Kyoto_run3_MTE!O438</f>
        <v>0</v>
      </c>
      <c r="L288" s="711">
        <f>Bilans_E_AMS_Kyoto_run3_MTE!P438</f>
        <v>0</v>
      </c>
      <c r="M288" s="711">
        <f>Bilans_E_AMS_Kyoto_run3_MTE!Q438</f>
        <v>0</v>
      </c>
      <c r="N288" s="711">
        <f>Bilans_E_AMS_Kyoto_run3_MTE!R438</f>
        <v>0</v>
      </c>
      <c r="O288" s="711">
        <f>Bilans_E_AMS_Kyoto_run3_MTE!S438</f>
        <v>0</v>
      </c>
      <c r="P288" s="711">
        <f>Bilans_E_AMS_Kyoto_run3_MTE!T438+Bilans_E_AMS_Kyoto_run3_MTE!U438</f>
        <v>0</v>
      </c>
      <c r="Q288" s="711">
        <f>Bilans_E_AMS_Kyoto_run3_MTE!V438</f>
        <v>0</v>
      </c>
      <c r="R288" s="711">
        <f>Bilans_E_AMS_Kyoto_run3_MTE!W438</f>
        <v>0</v>
      </c>
      <c r="S288" s="711">
        <f>Bilans_E_AMS_Kyoto_run3_MTE!X438</f>
        <v>0</v>
      </c>
      <c r="T288" s="711">
        <f>Bilans_E_AMS_Kyoto_run3_MTE!Y438</f>
        <v>0</v>
      </c>
      <c r="U288" s="711">
        <f>Bilans_E_AMS_Kyoto_run3_MTE!Z438</f>
        <v>11.231075774145408</v>
      </c>
      <c r="V288" s="701"/>
      <c r="W288" s="701"/>
    </row>
    <row r="289" spans="1:23" x14ac:dyDescent="0.25">
      <c r="A289" s="701" t="s">
        <v>504</v>
      </c>
      <c r="B289" s="701"/>
      <c r="C289" s="717" t="s">
        <v>75</v>
      </c>
      <c r="D289" s="711">
        <f>Bilans_E_AMS_Kyoto_run3_MTE!H439</f>
        <v>3.3152857910156257</v>
      </c>
      <c r="E289" s="711">
        <f>Bilans_E_AMS_Kyoto_run3_MTE!I439</f>
        <v>0</v>
      </c>
      <c r="F289" s="711">
        <f>Bilans_E_AMS_Kyoto_run3_MTE!J439</f>
        <v>8.217345528971137</v>
      </c>
      <c r="G289" s="711">
        <f>Bilans_E_AMS_Kyoto_run3_MTE!K439</f>
        <v>0</v>
      </c>
      <c r="H289" s="711">
        <f>Bilans_E_AMS_Kyoto_run3_MTE!L439</f>
        <v>0</v>
      </c>
      <c r="I289" s="711">
        <f>Bilans_E_AMS_Kyoto_run3_MTE!M439</f>
        <v>0</v>
      </c>
      <c r="J289" s="711">
        <f>Bilans_E_AMS_Kyoto_run3_MTE!N439</f>
        <v>0</v>
      </c>
      <c r="K289" s="711">
        <f>Bilans_E_AMS_Kyoto_run3_MTE!O439</f>
        <v>0</v>
      </c>
      <c r="L289" s="711">
        <f>Bilans_E_AMS_Kyoto_run3_MTE!P439</f>
        <v>0</v>
      </c>
      <c r="M289" s="711">
        <f>Bilans_E_AMS_Kyoto_run3_MTE!Q439</f>
        <v>0</v>
      </c>
      <c r="N289" s="711">
        <f>Bilans_E_AMS_Kyoto_run3_MTE!R439</f>
        <v>0</v>
      </c>
      <c r="O289" s="711">
        <f>Bilans_E_AMS_Kyoto_run3_MTE!S439</f>
        <v>0</v>
      </c>
      <c r="P289" s="711">
        <f>Bilans_E_AMS_Kyoto_run3_MTE!T439+Bilans_E_AMS_Kyoto_run3_MTE!U439</f>
        <v>0</v>
      </c>
      <c r="Q289" s="711">
        <f>Bilans_E_AMS_Kyoto_run3_MTE!V439</f>
        <v>0</v>
      </c>
      <c r="R289" s="711">
        <f>Bilans_E_AMS_Kyoto_run3_MTE!W439</f>
        <v>38.800105175182054</v>
      </c>
      <c r="S289" s="711">
        <f>Bilans_E_AMS_Kyoto_run3_MTE!X439</f>
        <v>0</v>
      </c>
      <c r="T289" s="711">
        <f>Bilans_E_AMS_Kyoto_run3_MTE!Y439</f>
        <v>2.3301224997410235</v>
      </c>
      <c r="U289" s="711">
        <f>Bilans_E_AMS_Kyoto_run3_MTE!Z439</f>
        <v>52.66285899490984</v>
      </c>
      <c r="V289" s="701"/>
      <c r="W289" s="701"/>
    </row>
    <row r="290" spans="1:23" x14ac:dyDescent="0.25">
      <c r="A290" s="701" t="s">
        <v>505</v>
      </c>
      <c r="B290" s="701"/>
      <c r="C290" s="717" t="s">
        <v>76</v>
      </c>
      <c r="D290" s="711">
        <f>Bilans_E_AMS_Kyoto_run3_MTE!H440</f>
        <v>0</v>
      </c>
      <c r="E290" s="711">
        <f>Bilans_E_AMS_Kyoto_run3_MTE!I440</f>
        <v>0</v>
      </c>
      <c r="F290" s="711">
        <f>Bilans_E_AMS_Kyoto_run3_MTE!J440</f>
        <v>0</v>
      </c>
      <c r="G290" s="711">
        <f>Bilans_E_AMS_Kyoto_run3_MTE!K440</f>
        <v>0</v>
      </c>
      <c r="H290" s="711">
        <f>Bilans_E_AMS_Kyoto_run3_MTE!L440</f>
        <v>1.1543235485411594</v>
      </c>
      <c r="I290" s="711">
        <f>Bilans_E_AMS_Kyoto_run3_MTE!M440</f>
        <v>0</v>
      </c>
      <c r="J290" s="711">
        <f>Bilans_E_AMS_Kyoto_run3_MTE!N440</f>
        <v>0</v>
      </c>
      <c r="K290" s="711">
        <f>Bilans_E_AMS_Kyoto_run3_MTE!O440</f>
        <v>0</v>
      </c>
      <c r="L290" s="711">
        <f>Bilans_E_AMS_Kyoto_run3_MTE!P440</f>
        <v>0</v>
      </c>
      <c r="M290" s="711">
        <f>Bilans_E_AMS_Kyoto_run3_MTE!Q440</f>
        <v>0</v>
      </c>
      <c r="N290" s="711">
        <f>Bilans_E_AMS_Kyoto_run3_MTE!R440</f>
        <v>0</v>
      </c>
      <c r="O290" s="711">
        <f>Bilans_E_AMS_Kyoto_run3_MTE!S440</f>
        <v>0.76954903236077299</v>
      </c>
      <c r="P290" s="711">
        <f>Bilans_E_AMS_Kyoto_run3_MTE!T440+Bilans_E_AMS_Kyoto_run3_MTE!U440</f>
        <v>0</v>
      </c>
      <c r="Q290" s="711">
        <f>Bilans_E_AMS_Kyoto_run3_MTE!V440</f>
        <v>0</v>
      </c>
      <c r="R290" s="711">
        <f>Bilans_E_AMS_Kyoto_run3_MTE!W440</f>
        <v>55.568340190332414</v>
      </c>
      <c r="S290" s="711">
        <f>Bilans_E_AMS_Kyoto_run3_MTE!X440</f>
        <v>7.0126401757775509</v>
      </c>
      <c r="T290" s="711">
        <f>Bilans_E_AMS_Kyoto_run3_MTE!Y440</f>
        <v>0</v>
      </c>
      <c r="U290" s="711">
        <f>Bilans_E_AMS_Kyoto_run3_MTE!Z440</f>
        <v>64.504852947011898</v>
      </c>
      <c r="V290" s="701"/>
      <c r="W290" s="701"/>
    </row>
    <row r="291" spans="1:23" x14ac:dyDescent="0.25">
      <c r="A291" s="701" t="s">
        <v>506</v>
      </c>
      <c r="B291" s="701"/>
      <c r="C291" s="713" t="s">
        <v>77</v>
      </c>
      <c r="D291" s="714">
        <f>Bilans_E_AMS_Kyoto_run3_MTE!H441</f>
        <v>11.840306396484376</v>
      </c>
      <c r="E291" s="714">
        <f>Bilans_E_AMS_Kyoto_run3_MTE!I441</f>
        <v>228.52698065701114</v>
      </c>
      <c r="F291" s="714">
        <f>Bilans_E_AMS_Kyoto_run3_MTE!J441</f>
        <v>-215.16927865141872</v>
      </c>
      <c r="G291" s="714">
        <f>Bilans_E_AMS_Kyoto_run3_MTE!K441</f>
        <v>-5.3675968512762449</v>
      </c>
      <c r="H291" s="714">
        <f>Bilans_E_AMS_Kyoto_run3_MTE!L441</f>
        <v>14.951693796815011</v>
      </c>
      <c r="I291" s="714">
        <f>Bilans_E_AMS_Kyoto_run3_MTE!M441</f>
        <v>-0.99259685127624475</v>
      </c>
      <c r="J291" s="714">
        <f>Bilans_E_AMS_Kyoto_run3_MTE!N441</f>
        <v>1217.3350254612858</v>
      </c>
      <c r="K291" s="714">
        <f>Bilans_E_AMS_Kyoto_run3_MTE!O441</f>
        <v>388.29502398919544</v>
      </c>
      <c r="L291" s="714">
        <f>Bilans_E_AMS_Kyoto_run3_MTE!P441</f>
        <v>255.15325459036612</v>
      </c>
      <c r="M291" s="714">
        <f>Bilans_E_AMS_Kyoto_run3_MTE!Q441</f>
        <v>38.768704949841634</v>
      </c>
      <c r="N291" s="714">
        <f>Bilans_E_AMS_Kyoto_run3_MTE!R441</f>
        <v>-49.800698638984656</v>
      </c>
      <c r="O291" s="714">
        <f>Bilans_E_AMS_Kyoto_run3_MTE!S441</f>
        <v>-56.411694494246213</v>
      </c>
      <c r="P291" s="714">
        <f>Bilans_E_AMS_Kyoto_run3_MTE!T441+Bilans_E_AMS_Kyoto_run3_MTE!U441</f>
        <v>17.004200785241363</v>
      </c>
      <c r="Q291" s="714">
        <f>Bilans_E_AMS_Kyoto_run3_MTE!V441</f>
        <v>22.157257652094906</v>
      </c>
      <c r="R291" s="714">
        <f>Bilans_E_AMS_Kyoto_run3_MTE!W441</f>
        <v>-664.74747380843064</v>
      </c>
      <c r="S291" s="714">
        <f>Bilans_E_AMS_Kyoto_run3_MTE!X441</f>
        <v>-83.423802565967307</v>
      </c>
      <c r="T291" s="714">
        <f>Bilans_E_AMS_Kyoto_run3_MTE!Y441</f>
        <v>-19.246415638918862</v>
      </c>
      <c r="U291" s="714">
        <f>Bilans_E_AMS_Kyoto_run3_MTE!Z441</f>
        <v>1098.8728907778168</v>
      </c>
      <c r="V291" s="701"/>
      <c r="W291" s="701"/>
    </row>
    <row r="292" spans="1:23" x14ac:dyDescent="0.25">
      <c r="A292" s="701"/>
      <c r="B292" s="701"/>
      <c r="C292" s="715"/>
      <c r="D292" s="716"/>
      <c r="E292" s="716"/>
      <c r="F292" s="716"/>
      <c r="G292" s="716"/>
      <c r="H292" s="716"/>
      <c r="I292" s="716"/>
      <c r="J292" s="716"/>
      <c r="K292" s="716"/>
      <c r="L292" s="716"/>
      <c r="M292" s="716"/>
      <c r="N292" s="716"/>
      <c r="O292" s="716"/>
      <c r="P292" s="716">
        <f>Bilans_E_AMS_Kyoto_run3_MTE!T442+Bilans_E_AMS_Kyoto_run3_MTE!U442</f>
        <v>0</v>
      </c>
      <c r="Q292" s="716"/>
      <c r="R292" s="716"/>
      <c r="S292" s="716"/>
      <c r="T292" s="716"/>
      <c r="U292" s="716"/>
      <c r="V292" s="701"/>
      <c r="W292" s="701"/>
    </row>
    <row r="293" spans="1:23" x14ac:dyDescent="0.25">
      <c r="A293" s="701" t="s">
        <v>507</v>
      </c>
      <c r="B293" s="701"/>
      <c r="C293" s="717" t="s">
        <v>78</v>
      </c>
      <c r="D293" s="711">
        <f>Bilans_E_AMS_Kyoto_run3_MTE!H443</f>
        <v>0.31248754882812502</v>
      </c>
      <c r="E293" s="711">
        <f>Bilans_E_AMS_Kyoto_run3_MTE!I443</f>
        <v>0</v>
      </c>
      <c r="F293" s="711">
        <f>Bilans_E_AMS_Kyoto_run3_MTE!J443</f>
        <v>3.1554639427466697</v>
      </c>
      <c r="G293" s="711">
        <f>Bilans_E_AMS_Kyoto_run3_MTE!K443</f>
        <v>0</v>
      </c>
      <c r="H293" s="711">
        <f>Bilans_E_AMS_Kyoto_run3_MTE!L443</f>
        <v>37.01033714688981</v>
      </c>
      <c r="I293" s="711">
        <f>Bilans_E_AMS_Kyoto_run3_MTE!M443</f>
        <v>0</v>
      </c>
      <c r="J293" s="711">
        <f>Bilans_E_AMS_Kyoto_run3_MTE!N443</f>
        <v>0</v>
      </c>
      <c r="K293" s="711">
        <f>Bilans_E_AMS_Kyoto_run3_MTE!O443</f>
        <v>0</v>
      </c>
      <c r="L293" s="711">
        <f>Bilans_E_AMS_Kyoto_run3_MTE!P443</f>
        <v>37.391289864504934</v>
      </c>
      <c r="M293" s="711">
        <f>Bilans_E_AMS_Kyoto_run3_MTE!Q443</f>
        <v>8.8042095890605694</v>
      </c>
      <c r="N293" s="711">
        <f>Bilans_E_AMS_Kyoto_run3_MTE!R443</f>
        <v>0.65571165030445222</v>
      </c>
      <c r="O293" s="711">
        <f>Bilans_E_AMS_Kyoto_run3_MTE!S443</f>
        <v>24.712220905509611</v>
      </c>
      <c r="P293" s="711">
        <f>Bilans_E_AMS_Kyoto_run3_MTE!T443+Bilans_E_AMS_Kyoto_run3_MTE!U443</f>
        <v>10.938740234375</v>
      </c>
      <c r="Q293" s="711">
        <f>Bilans_E_AMS_Kyoto_run3_MTE!V443</f>
        <v>7.8820466826144567E-4</v>
      </c>
      <c r="R293" s="711">
        <f>Bilans_E_AMS_Kyoto_run3_MTE!W443</f>
        <v>154.95335920514725</v>
      </c>
      <c r="S293" s="711">
        <f>Bilans_E_AMS_Kyoto_run3_MTE!X443</f>
        <v>19.589550837757145</v>
      </c>
      <c r="T293" s="711">
        <f>Bilans_E_AMS_Kyoto_run3_MTE!Y443</f>
        <v>8.8214501953125009</v>
      </c>
      <c r="U293" s="711">
        <f>Bilans_E_AMS_Kyoto_run3_MTE!Z443</f>
        <v>306.34560932510431</v>
      </c>
      <c r="V293" s="701"/>
      <c r="W293" s="701"/>
    </row>
    <row r="294" spans="1:23" x14ac:dyDescent="0.25">
      <c r="A294" s="701" t="s">
        <v>508</v>
      </c>
      <c r="B294" s="701"/>
      <c r="C294" s="717" t="s">
        <v>79</v>
      </c>
      <c r="D294" s="711">
        <f>Bilans_E_AMS_Kyoto_run3_MTE!H444</f>
        <v>0</v>
      </c>
      <c r="E294" s="711">
        <f>Bilans_E_AMS_Kyoto_run3_MTE!I444</f>
        <v>0</v>
      </c>
      <c r="F294" s="711">
        <f>Bilans_E_AMS_Kyoto_run3_MTE!J444</f>
        <v>101.77401649068347</v>
      </c>
      <c r="G294" s="711">
        <f>Bilans_E_AMS_Kyoto_run3_MTE!K444</f>
        <v>1</v>
      </c>
      <c r="H294" s="711">
        <f>Bilans_E_AMS_Kyoto_run3_MTE!L444</f>
        <v>4.5438942798277537</v>
      </c>
      <c r="I294" s="711">
        <f>Bilans_E_AMS_Kyoto_run3_MTE!M444</f>
        <v>0</v>
      </c>
      <c r="J294" s="711">
        <f>Bilans_E_AMS_Kyoto_run3_MTE!N444</f>
        <v>0</v>
      </c>
      <c r="K294" s="711">
        <f>Bilans_E_AMS_Kyoto_run3_MTE!O444</f>
        <v>0</v>
      </c>
      <c r="L294" s="711">
        <f>Bilans_E_AMS_Kyoto_run3_MTE!P444</f>
        <v>0</v>
      </c>
      <c r="M294" s="711">
        <f>Bilans_E_AMS_Kyoto_run3_MTE!Q444</f>
        <v>0</v>
      </c>
      <c r="N294" s="711">
        <f>Bilans_E_AMS_Kyoto_run3_MTE!R444</f>
        <v>35.960574276816558</v>
      </c>
      <c r="O294" s="711">
        <f>Bilans_E_AMS_Kyoto_run3_MTE!S444</f>
        <v>3.0292628532185026</v>
      </c>
      <c r="P294" s="711">
        <f>Bilans_E_AMS_Kyoto_run3_MTE!T444+Bilans_E_AMS_Kyoto_run3_MTE!U444</f>
        <v>0</v>
      </c>
      <c r="Q294" s="711">
        <f>Bilans_E_AMS_Kyoto_run3_MTE!V444</f>
        <v>0</v>
      </c>
      <c r="R294" s="711">
        <f>Bilans_E_AMS_Kyoto_run3_MTE!W444</f>
        <v>98.588545998647945</v>
      </c>
      <c r="S294" s="711">
        <f>Bilans_E_AMS_Kyoto_run3_MTE!X444</f>
        <v>0</v>
      </c>
      <c r="T294" s="711">
        <f>Bilans_E_AMS_Kyoto_run3_MTE!Y444</f>
        <v>4.4541562271539039</v>
      </c>
      <c r="U294" s="711">
        <f>Bilans_E_AMS_Kyoto_run3_MTE!Z444</f>
        <v>249.35045012634814</v>
      </c>
      <c r="V294" s="701"/>
      <c r="W294" s="701"/>
    </row>
    <row r="295" spans="1:23" x14ac:dyDescent="0.25">
      <c r="A295" s="701" t="s">
        <v>509</v>
      </c>
      <c r="B295" s="701"/>
      <c r="C295" s="717" t="s">
        <v>80</v>
      </c>
      <c r="D295" s="711">
        <f>Bilans_E_AMS_Kyoto_run3_MTE!H445</f>
        <v>0</v>
      </c>
      <c r="E295" s="711">
        <f>Bilans_E_AMS_Kyoto_run3_MTE!I445</f>
        <v>0</v>
      </c>
      <c r="F295" s="711">
        <f>Bilans_E_AMS_Kyoto_run3_MTE!J445</f>
        <v>0.45829125770018231</v>
      </c>
      <c r="G295" s="711">
        <f>Bilans_E_AMS_Kyoto_run3_MTE!K445</f>
        <v>0</v>
      </c>
      <c r="H295" s="711">
        <f>Bilans_E_AMS_Kyoto_run3_MTE!L445</f>
        <v>23.558204689169596</v>
      </c>
      <c r="I295" s="711">
        <f>Bilans_E_AMS_Kyoto_run3_MTE!M445</f>
        <v>0</v>
      </c>
      <c r="J295" s="711">
        <f>Bilans_E_AMS_Kyoto_run3_MTE!N445</f>
        <v>0</v>
      </c>
      <c r="K295" s="711">
        <f>Bilans_E_AMS_Kyoto_run3_MTE!O445</f>
        <v>0</v>
      </c>
      <c r="L295" s="711">
        <f>Bilans_E_AMS_Kyoto_run3_MTE!P445</f>
        <v>44.494417008077924</v>
      </c>
      <c r="M295" s="711">
        <f>Bilans_E_AMS_Kyoto_run3_MTE!Q445</f>
        <v>0</v>
      </c>
      <c r="N295" s="711">
        <f>Bilans_E_AMS_Kyoto_run3_MTE!R445</f>
        <v>0</v>
      </c>
      <c r="O295" s="711">
        <f>Bilans_E_AMS_Kyoto_run3_MTE!S445</f>
        <v>15.705469792779732</v>
      </c>
      <c r="P295" s="711">
        <f>Bilans_E_AMS_Kyoto_run3_MTE!T445+Bilans_E_AMS_Kyoto_run3_MTE!U445</f>
        <v>136.92844956569715</v>
      </c>
      <c r="Q295" s="711">
        <f>Bilans_E_AMS_Kyoto_run3_MTE!V445</f>
        <v>11.112810725871574</v>
      </c>
      <c r="R295" s="711">
        <f>Bilans_E_AMS_Kyoto_run3_MTE!W445</f>
        <v>151.24868898897191</v>
      </c>
      <c r="S295" s="711">
        <f>Bilans_E_AMS_Kyoto_run3_MTE!X445</f>
        <v>40.573888251039236</v>
      </c>
      <c r="T295" s="711">
        <f>Bilans_E_AMS_Kyoto_run3_MTE!Y445</f>
        <v>0</v>
      </c>
      <c r="U295" s="711">
        <f>Bilans_E_AMS_Kyoto_run3_MTE!Z445</f>
        <v>424.0802202793073</v>
      </c>
      <c r="V295" s="701"/>
      <c r="W295" s="701"/>
    </row>
    <row r="296" spans="1:23" x14ac:dyDescent="0.25">
      <c r="A296" s="701" t="s">
        <v>510</v>
      </c>
      <c r="B296" s="701"/>
      <c r="C296" s="717" t="s">
        <v>81</v>
      </c>
      <c r="D296" s="711">
        <f>Bilans_E_AMS_Kyoto_run3_MTE!H446</f>
        <v>0</v>
      </c>
      <c r="E296" s="711">
        <f>Bilans_E_AMS_Kyoto_run3_MTE!I446</f>
        <v>0</v>
      </c>
      <c r="F296" s="711">
        <f>Bilans_E_AMS_Kyoto_run3_MTE!J446</f>
        <v>0.72441471608254671</v>
      </c>
      <c r="G296" s="711">
        <f>Bilans_E_AMS_Kyoto_run3_MTE!K446</f>
        <v>0</v>
      </c>
      <c r="H296" s="711">
        <f>Bilans_E_AMS_Kyoto_run3_MTE!L446</f>
        <v>16.529932147980702</v>
      </c>
      <c r="I296" s="711">
        <f>Bilans_E_AMS_Kyoto_run3_MTE!M446</f>
        <v>0</v>
      </c>
      <c r="J296" s="711">
        <f>Bilans_E_AMS_Kyoto_run3_MTE!N446</f>
        <v>0</v>
      </c>
      <c r="K296" s="711">
        <f>Bilans_E_AMS_Kyoto_run3_MTE!O446</f>
        <v>0</v>
      </c>
      <c r="L296" s="711">
        <f>Bilans_E_AMS_Kyoto_run3_MTE!P446</f>
        <v>0.53348745170182088</v>
      </c>
      <c r="M296" s="711">
        <f>Bilans_E_AMS_Kyoto_run3_MTE!Q446</f>
        <v>0</v>
      </c>
      <c r="N296" s="711">
        <f>Bilans_E_AMS_Kyoto_run3_MTE!R446</f>
        <v>0</v>
      </c>
      <c r="O296" s="711">
        <f>Bilans_E_AMS_Kyoto_run3_MTE!S446</f>
        <v>11.019954765320469</v>
      </c>
      <c r="P296" s="711">
        <f>Bilans_E_AMS_Kyoto_run3_MTE!T446+Bilans_E_AMS_Kyoto_run3_MTE!U446</f>
        <v>52.106590615041483</v>
      </c>
      <c r="Q296" s="711">
        <f>Bilans_E_AMS_Kyoto_run3_MTE!V446</f>
        <v>10.099133053150796</v>
      </c>
      <c r="R296" s="711">
        <f>Bilans_E_AMS_Kyoto_run3_MTE!W446</f>
        <v>121.37238070067973</v>
      </c>
      <c r="S296" s="711">
        <f>Bilans_E_AMS_Kyoto_run3_MTE!X446</f>
        <v>23.260331591038877</v>
      </c>
      <c r="T296" s="711">
        <f>Bilans_E_AMS_Kyoto_run3_MTE!Y446</f>
        <v>0</v>
      </c>
      <c r="U296" s="711">
        <f>Bilans_E_AMS_Kyoto_run3_MTE!Z446</f>
        <v>235.6462250409964</v>
      </c>
      <c r="V296" s="701"/>
      <c r="W296" s="701"/>
    </row>
    <row r="297" spans="1:23" x14ac:dyDescent="0.25">
      <c r="A297" s="701" t="s">
        <v>511</v>
      </c>
      <c r="B297" s="701"/>
      <c r="C297" s="717" t="s">
        <v>82</v>
      </c>
      <c r="D297" s="711">
        <f>Bilans_E_AMS_Kyoto_run3_MTE!H447</f>
        <v>0</v>
      </c>
      <c r="E297" s="711">
        <f>Bilans_E_AMS_Kyoto_run3_MTE!I447</f>
        <v>0</v>
      </c>
      <c r="F297" s="711">
        <f>Bilans_E_AMS_Kyoto_run3_MTE!J447</f>
        <v>13.844421020879521</v>
      </c>
      <c r="G297" s="711">
        <f>Bilans_E_AMS_Kyoto_run3_MTE!K447</f>
        <v>0</v>
      </c>
      <c r="H297" s="711">
        <f>Bilans_E_AMS_Kyoto_run3_MTE!L447</f>
        <v>0.75389053295489317</v>
      </c>
      <c r="I297" s="711">
        <f>Bilans_E_AMS_Kyoto_run3_MTE!M447</f>
        <v>0</v>
      </c>
      <c r="J297" s="711">
        <f>Bilans_E_AMS_Kyoto_run3_MTE!N447</f>
        <v>0</v>
      </c>
      <c r="K297" s="711">
        <f>Bilans_E_AMS_Kyoto_run3_MTE!O447</f>
        <v>0</v>
      </c>
      <c r="L297" s="711">
        <f>Bilans_E_AMS_Kyoto_run3_MTE!P447</f>
        <v>15.52633161671044</v>
      </c>
      <c r="M297" s="711">
        <f>Bilans_E_AMS_Kyoto_run3_MTE!Q447</f>
        <v>0</v>
      </c>
      <c r="N297" s="711">
        <f>Bilans_E_AMS_Kyoto_run3_MTE!R447</f>
        <v>6.9560280843062596</v>
      </c>
      <c r="O297" s="711">
        <f>Bilans_E_AMS_Kyoto_run3_MTE!S447</f>
        <v>0.50259368863659548</v>
      </c>
      <c r="P297" s="711">
        <f>Bilans_E_AMS_Kyoto_run3_MTE!T447+Bilans_E_AMS_Kyoto_run3_MTE!U447</f>
        <v>1</v>
      </c>
      <c r="Q297" s="711">
        <f>Bilans_E_AMS_Kyoto_run3_MTE!V447</f>
        <v>1.300620381405156</v>
      </c>
      <c r="R297" s="711">
        <f>Bilans_E_AMS_Kyoto_run3_MTE!W447</f>
        <v>9.5059865656589242</v>
      </c>
      <c r="S297" s="711">
        <f>Bilans_E_AMS_Kyoto_run3_MTE!X447</f>
        <v>0</v>
      </c>
      <c r="T297" s="711">
        <f>Bilans_E_AMS_Kyoto_run3_MTE!Y447</f>
        <v>0.43956597389567681</v>
      </c>
      <c r="U297" s="711">
        <f>Bilans_E_AMS_Kyoto_run3_MTE!Z447</f>
        <v>49.829437864447456</v>
      </c>
      <c r="V297" s="701"/>
      <c r="W297" s="701"/>
    </row>
    <row r="298" spans="1:23" x14ac:dyDescent="0.25">
      <c r="A298" s="701" t="s">
        <v>512</v>
      </c>
      <c r="B298" s="701"/>
      <c r="C298" s="717" t="s">
        <v>354</v>
      </c>
      <c r="D298" s="711">
        <f>Bilans_E_AMS_Kyoto_run3_MTE!H448</f>
        <v>0</v>
      </c>
      <c r="E298" s="711">
        <f>Bilans_E_AMS_Kyoto_run3_MTE!I448</f>
        <v>0</v>
      </c>
      <c r="F298" s="711">
        <f>Bilans_E_AMS_Kyoto_run3_MTE!J448</f>
        <v>0</v>
      </c>
      <c r="G298" s="711">
        <f>Bilans_E_AMS_Kyoto_run3_MTE!K448</f>
        <v>0</v>
      </c>
      <c r="H298" s="711">
        <f>Bilans_E_AMS_Kyoto_run3_MTE!L448</f>
        <v>0</v>
      </c>
      <c r="I298" s="711">
        <f>Bilans_E_AMS_Kyoto_run3_MTE!M448</f>
        <v>0</v>
      </c>
      <c r="J298" s="711">
        <f>Bilans_E_AMS_Kyoto_run3_MTE!N448</f>
        <v>0</v>
      </c>
      <c r="K298" s="711">
        <f>Bilans_E_AMS_Kyoto_run3_MTE!O448</f>
        <v>0</v>
      </c>
      <c r="L298" s="711">
        <f>Bilans_E_AMS_Kyoto_run3_MTE!P448</f>
        <v>0</v>
      </c>
      <c r="M298" s="711">
        <f>Bilans_E_AMS_Kyoto_run3_MTE!Q448</f>
        <v>0</v>
      </c>
      <c r="N298" s="711">
        <f>Bilans_E_AMS_Kyoto_run3_MTE!R448</f>
        <v>0</v>
      </c>
      <c r="O298" s="711">
        <f>Bilans_E_AMS_Kyoto_run3_MTE!S448</f>
        <v>0</v>
      </c>
      <c r="P298" s="711">
        <f>Bilans_E_AMS_Kyoto_run3_MTE!T448+Bilans_E_AMS_Kyoto_run3_MTE!U448</f>
        <v>0</v>
      </c>
      <c r="Q298" s="711">
        <f>Bilans_E_AMS_Kyoto_run3_MTE!V448</f>
        <v>0</v>
      </c>
      <c r="R298" s="711">
        <f>Bilans_E_AMS_Kyoto_run3_MTE!W448</f>
        <v>3.6</v>
      </c>
      <c r="S298" s="711">
        <f>Bilans_E_AMS_Kyoto_run3_MTE!X448</f>
        <v>0</v>
      </c>
      <c r="T298" s="711">
        <f>Bilans_E_AMS_Kyoto_run3_MTE!Y448</f>
        <v>0</v>
      </c>
      <c r="U298" s="711">
        <f>Bilans_E_AMS_Kyoto_run3_MTE!Z448</f>
        <v>3.6</v>
      </c>
      <c r="V298" s="701"/>
      <c r="W298" s="701"/>
    </row>
    <row r="299" spans="1:23" x14ac:dyDescent="0.25">
      <c r="A299" s="701" t="s">
        <v>513</v>
      </c>
      <c r="B299" s="701"/>
      <c r="C299" s="713" t="s">
        <v>83</v>
      </c>
      <c r="D299" s="714">
        <f>Bilans_E_AMS_Kyoto_run3_MTE!H449</f>
        <v>0.31248754882812502</v>
      </c>
      <c r="E299" s="714">
        <f>Bilans_E_AMS_Kyoto_run3_MTE!I449</f>
        <v>0</v>
      </c>
      <c r="F299" s="714">
        <f>Bilans_E_AMS_Kyoto_run3_MTE!J449</f>
        <v>119.95660742809238</v>
      </c>
      <c r="G299" s="714">
        <f>Bilans_E_AMS_Kyoto_run3_MTE!K449</f>
        <v>1</v>
      </c>
      <c r="H299" s="714">
        <f>Bilans_E_AMS_Kyoto_run3_MTE!L449</f>
        <v>82.396258796822764</v>
      </c>
      <c r="I299" s="714">
        <f>Bilans_E_AMS_Kyoto_run3_MTE!M449</f>
        <v>0</v>
      </c>
      <c r="J299" s="714">
        <f>Bilans_E_AMS_Kyoto_run3_MTE!N449</f>
        <v>0</v>
      </c>
      <c r="K299" s="714">
        <f>Bilans_E_AMS_Kyoto_run3_MTE!O449</f>
        <v>0</v>
      </c>
      <c r="L299" s="714">
        <f>Bilans_E_AMS_Kyoto_run3_MTE!P449</f>
        <v>97.945525940995111</v>
      </c>
      <c r="M299" s="714">
        <f>Bilans_E_AMS_Kyoto_run3_MTE!Q449</f>
        <v>8.8042095890605694</v>
      </c>
      <c r="N299" s="714">
        <f>Bilans_E_AMS_Kyoto_run3_MTE!R449</f>
        <v>43.572314011427274</v>
      </c>
      <c r="O299" s="714">
        <f>Bilans_E_AMS_Kyoto_run3_MTE!S449</f>
        <v>54.969502005464911</v>
      </c>
      <c r="P299" s="714">
        <f>Bilans_E_AMS_Kyoto_run3_MTE!T449+Bilans_E_AMS_Kyoto_run3_MTE!U449</f>
        <v>200.97378041511362</v>
      </c>
      <c r="Q299" s="714">
        <f>Bilans_E_AMS_Kyoto_run3_MTE!V449</f>
        <v>22.513352365095788</v>
      </c>
      <c r="R299" s="714">
        <f>Bilans_E_AMS_Kyoto_run3_MTE!W449</f>
        <v>539.26896145910575</v>
      </c>
      <c r="S299" s="714">
        <f>Bilans_E_AMS_Kyoto_run3_MTE!X449</f>
        <v>83.423770679835258</v>
      </c>
      <c r="T299" s="714">
        <f>Bilans_E_AMS_Kyoto_run3_MTE!Y449</f>
        <v>13.715172396362082</v>
      </c>
      <c r="U299" s="714">
        <f>Bilans_E_AMS_Kyoto_run3_MTE!Z449</f>
        <v>1268.8519426362036</v>
      </c>
      <c r="V299" s="701"/>
      <c r="W299" s="701"/>
    </row>
    <row r="300" spans="1:23" x14ac:dyDescent="0.25">
      <c r="A300" s="701" t="s">
        <v>514</v>
      </c>
      <c r="B300" s="701"/>
      <c r="C300" s="710" t="s">
        <v>84</v>
      </c>
      <c r="D300" s="711">
        <f>Bilans_E_AMS_Kyoto_run3_MTE!H450</f>
        <v>0</v>
      </c>
      <c r="E300" s="711">
        <f>Bilans_E_AMS_Kyoto_run3_MTE!I450</f>
        <v>0</v>
      </c>
      <c r="F300" s="711">
        <f>Bilans_E_AMS_Kyoto_run3_MTE!J450</f>
        <v>102.03544321387012</v>
      </c>
      <c r="G300" s="711">
        <f>Bilans_E_AMS_Kyoto_run3_MTE!K450</f>
        <v>2.4611725721851321</v>
      </c>
      <c r="H300" s="711">
        <f>Bilans_E_AMS_Kyoto_run3_MTE!L450</f>
        <v>12.555456003161671</v>
      </c>
      <c r="I300" s="711">
        <f>Bilans_E_AMS_Kyoto_run3_MTE!M450</f>
        <v>0</v>
      </c>
      <c r="J300" s="711">
        <f>Bilans_E_AMS_Kyoto_run3_MTE!N450</f>
        <v>0</v>
      </c>
      <c r="K300" s="711">
        <f>Bilans_E_AMS_Kyoto_run3_MTE!O450</f>
        <v>0</v>
      </c>
      <c r="L300" s="711">
        <f>Bilans_E_AMS_Kyoto_run3_MTE!P450</f>
        <v>0.48630321782953712</v>
      </c>
      <c r="M300" s="711">
        <f>Bilans_E_AMS_Kyoto_run3_MTE!Q450</f>
        <v>0</v>
      </c>
      <c r="N300" s="711">
        <f>Bilans_E_AMS_Kyoto_run3_MTE!R450</f>
        <v>3.8692083880096835</v>
      </c>
      <c r="O300" s="711">
        <f>Bilans_E_AMS_Kyoto_run3_MTE!S450</f>
        <v>0</v>
      </c>
      <c r="P300" s="711">
        <f>Bilans_E_AMS_Kyoto_run3_MTE!T450+Bilans_E_AMS_Kyoto_run3_MTE!U450</f>
        <v>0</v>
      </c>
      <c r="Q300" s="711">
        <f>Bilans_E_AMS_Kyoto_run3_MTE!V450</f>
        <v>0</v>
      </c>
      <c r="R300" s="711">
        <f>Bilans_E_AMS_Kyoto_run3_MTE!W450</f>
        <v>0</v>
      </c>
      <c r="S300" s="711">
        <f>Bilans_E_AMS_Kyoto_run3_MTE!X450</f>
        <v>0</v>
      </c>
      <c r="T300" s="711">
        <f>Bilans_E_AMS_Kyoto_run3_MTE!Y450</f>
        <v>1.8671101278544562</v>
      </c>
      <c r="U300" s="711">
        <f>Bilans_E_AMS_Kyoto_run3_MTE!Z450</f>
        <v>123.27469352291061</v>
      </c>
      <c r="V300" s="701"/>
      <c r="W300" s="701"/>
    </row>
    <row r="301" spans="1:23" x14ac:dyDescent="0.25">
      <c r="A301" s="701" t="s">
        <v>515</v>
      </c>
      <c r="B301" s="701"/>
      <c r="C301" s="713" t="s">
        <v>85</v>
      </c>
      <c r="D301" s="714">
        <f>Bilans_E_AMS_Kyoto_run3_MTE!H451</f>
        <v>0.31248754882812502</v>
      </c>
      <c r="E301" s="714">
        <f>Bilans_E_AMS_Kyoto_run3_MTE!I451</f>
        <v>0</v>
      </c>
      <c r="F301" s="714">
        <f>Bilans_E_AMS_Kyoto_run3_MTE!J451</f>
        <v>221.99205064196252</v>
      </c>
      <c r="G301" s="714">
        <f>Bilans_E_AMS_Kyoto_run3_MTE!K451</f>
        <v>3.4611725721851321</v>
      </c>
      <c r="H301" s="714">
        <f>Bilans_E_AMS_Kyoto_run3_MTE!L451</f>
        <v>94.95171479998443</v>
      </c>
      <c r="I301" s="714">
        <f>Bilans_E_AMS_Kyoto_run3_MTE!M451</f>
        <v>0</v>
      </c>
      <c r="J301" s="714">
        <f>Bilans_E_AMS_Kyoto_run3_MTE!N451</f>
        <v>0</v>
      </c>
      <c r="K301" s="714">
        <f>Bilans_E_AMS_Kyoto_run3_MTE!O451</f>
        <v>0</v>
      </c>
      <c r="L301" s="714">
        <f>Bilans_E_AMS_Kyoto_run3_MTE!P451</f>
        <v>98.431829158824655</v>
      </c>
      <c r="M301" s="714">
        <f>Bilans_E_AMS_Kyoto_run3_MTE!Q451</f>
        <v>8.8042095890605694</v>
      </c>
      <c r="N301" s="714">
        <f>Bilans_E_AMS_Kyoto_run3_MTE!R451</f>
        <v>47.441522399436955</v>
      </c>
      <c r="O301" s="714">
        <f>Bilans_E_AMS_Kyoto_run3_MTE!S451</f>
        <v>54.969502005464911</v>
      </c>
      <c r="P301" s="714">
        <f>Bilans_E_AMS_Kyoto_run3_MTE!T451+Bilans_E_AMS_Kyoto_run3_MTE!U451</f>
        <v>200.97378041511362</v>
      </c>
      <c r="Q301" s="714">
        <f>Bilans_E_AMS_Kyoto_run3_MTE!V451</f>
        <v>22.513352365095788</v>
      </c>
      <c r="R301" s="714">
        <f>Bilans_E_AMS_Kyoto_run3_MTE!W451</f>
        <v>539.26896145910575</v>
      </c>
      <c r="S301" s="714">
        <f>Bilans_E_AMS_Kyoto_run3_MTE!X451</f>
        <v>83.423770679835258</v>
      </c>
      <c r="T301" s="714">
        <f>Bilans_E_AMS_Kyoto_run3_MTE!Y451</f>
        <v>15.582282524216538</v>
      </c>
      <c r="U301" s="714">
        <f>Bilans_E_AMS_Kyoto_run3_MTE!Z451</f>
        <v>1392.1266361591142</v>
      </c>
      <c r="V301" s="701"/>
      <c r="W301" s="701"/>
    </row>
    <row r="302" spans="1:23" x14ac:dyDescent="0.25">
      <c r="A302" s="701"/>
      <c r="B302" s="701"/>
      <c r="C302" s="701"/>
      <c r="D302" s="701">
        <f>Bilans_E_AMS_Kyoto_run3_MTE!H452</f>
        <v>0</v>
      </c>
      <c r="E302" s="701">
        <f>Bilans_E_AMS_Kyoto_run3_MTE!I452</f>
        <v>0</v>
      </c>
      <c r="F302" s="701">
        <f>Bilans_E_AMS_Kyoto_run3_MTE!J452</f>
        <v>5.6843418860808015E-14</v>
      </c>
      <c r="G302" s="701">
        <f>Bilans_E_AMS_Kyoto_run3_MTE!K452</f>
        <v>0</v>
      </c>
      <c r="H302" s="701">
        <f>Bilans_E_AMS_Kyoto_run3_MTE!L452</f>
        <v>0</v>
      </c>
      <c r="I302" s="701">
        <f>Bilans_E_AMS_Kyoto_run3_MTE!M452</f>
        <v>0</v>
      </c>
      <c r="J302" s="701">
        <f>Bilans_E_AMS_Kyoto_run3_MTE!N452</f>
        <v>0</v>
      </c>
      <c r="K302" s="701">
        <f>Bilans_E_AMS_Kyoto_run3_MTE!O452</f>
        <v>0</v>
      </c>
      <c r="L302" s="701">
        <f>Bilans_E_AMS_Kyoto_run3_MTE!P452</f>
        <v>0</v>
      </c>
      <c r="M302" s="701">
        <f>Bilans_E_AMS_Kyoto_run3_MTE!Q452</f>
        <v>0</v>
      </c>
      <c r="N302" s="701">
        <f>Bilans_E_AMS_Kyoto_run3_MTE!R452</f>
        <v>0</v>
      </c>
      <c r="O302" s="701">
        <f>Bilans_E_AMS_Kyoto_run3_MTE!S452</f>
        <v>1.9984014443252818E-15</v>
      </c>
      <c r="P302" s="701">
        <f>Bilans_E_AMS_Kyoto_run3_MTE!T452+Bilans_E_AMS_Kyoto_run3_MTE!U452</f>
        <v>0</v>
      </c>
      <c r="Q302" s="701">
        <f>Bilans_E_AMS_Kyoto_run3_MTE!V452</f>
        <v>0</v>
      </c>
      <c r="R302" s="701">
        <f>Bilans_E_AMS_Kyoto_run3_MTE!W452</f>
        <v>0</v>
      </c>
      <c r="S302" s="701">
        <f>Bilans_E_AMS_Kyoto_run3_MTE!X452</f>
        <v>-3.1886132049407934E-5</v>
      </c>
      <c r="T302" s="701">
        <f>Bilans_E_AMS_Kyoto_run3_MTE!Y452</f>
        <v>0</v>
      </c>
      <c r="U302" s="701">
        <f>Bilans_E_AMS_Kyoto_run3_MTE!Z452</f>
        <v>-3.1886131637293147E-5</v>
      </c>
      <c r="V302" s="701"/>
      <c r="W302" s="701"/>
    </row>
    <row r="303" spans="1:23" x14ac:dyDescent="0.25">
      <c r="A303" s="701"/>
      <c r="B303" s="701"/>
      <c r="C303" s="701"/>
      <c r="D303" s="701"/>
      <c r="E303" s="701"/>
      <c r="F303" s="701"/>
      <c r="G303" s="701"/>
      <c r="H303" s="701"/>
      <c r="I303" s="701"/>
      <c r="J303" s="701"/>
      <c r="K303" s="701"/>
      <c r="L303" s="701"/>
      <c r="M303" s="701"/>
      <c r="N303" s="701"/>
      <c r="O303" s="701"/>
      <c r="P303" s="701"/>
      <c r="Q303" s="701"/>
      <c r="R303" s="701"/>
      <c r="S303" s="701"/>
      <c r="T303" s="701"/>
      <c r="U303" s="701"/>
      <c r="V303" s="701"/>
      <c r="W303" s="701"/>
    </row>
    <row r="304" spans="1:23" x14ac:dyDescent="0.25">
      <c r="A304" s="707"/>
      <c r="B304" s="707"/>
      <c r="C304" s="708" t="s">
        <v>518</v>
      </c>
      <c r="D304" s="707"/>
      <c r="E304" s="707"/>
      <c r="F304" s="707"/>
      <c r="G304" s="707"/>
      <c r="H304" s="707"/>
      <c r="I304" s="707"/>
      <c r="J304" s="707"/>
      <c r="K304" s="707"/>
      <c r="L304" s="707"/>
      <c r="M304" s="707"/>
      <c r="N304" s="707"/>
      <c r="O304" s="707"/>
      <c r="P304" s="707"/>
      <c r="Q304" s="707"/>
      <c r="R304" s="707"/>
      <c r="S304" s="707"/>
      <c r="T304" s="707"/>
      <c r="U304" s="707"/>
      <c r="V304" s="707"/>
      <c r="W304" s="707"/>
    </row>
    <row r="305" spans="1:23" x14ac:dyDescent="0.25">
      <c r="A305" s="701"/>
      <c r="B305" s="701"/>
      <c r="C305" s="701"/>
      <c r="D305" s="701"/>
      <c r="E305" s="701"/>
      <c r="F305" s="701"/>
      <c r="G305" s="701"/>
      <c r="H305" s="701"/>
      <c r="I305" s="701"/>
      <c r="J305" s="701"/>
      <c r="K305" s="701"/>
      <c r="L305" s="701"/>
      <c r="M305" s="701"/>
      <c r="N305" s="701"/>
      <c r="O305" s="701"/>
      <c r="P305" s="701"/>
      <c r="Q305" s="701"/>
      <c r="R305" s="701"/>
      <c r="S305" s="701"/>
      <c r="T305" s="701"/>
      <c r="U305" s="701"/>
      <c r="V305" s="701"/>
      <c r="W305" s="701"/>
    </row>
    <row r="306" spans="1:23" x14ac:dyDescent="0.25">
      <c r="A306" s="701"/>
      <c r="B306" s="701"/>
      <c r="C306" s="780" t="s">
        <v>128</v>
      </c>
      <c r="D306" s="775" t="s">
        <v>42</v>
      </c>
      <c r="E306" s="775" t="s">
        <v>52</v>
      </c>
      <c r="F306" s="775" t="s">
        <v>53</v>
      </c>
      <c r="G306" s="775" t="s">
        <v>482</v>
      </c>
      <c r="H306" s="775" t="s">
        <v>32</v>
      </c>
      <c r="I306" s="775" t="s">
        <v>483</v>
      </c>
      <c r="J306" s="775" t="s">
        <v>20</v>
      </c>
      <c r="K306" s="775" t="s">
        <v>55</v>
      </c>
      <c r="L306" s="777" t="s">
        <v>56</v>
      </c>
      <c r="M306" s="778"/>
      <c r="N306" s="778"/>
      <c r="O306" s="778"/>
      <c r="P306" s="778"/>
      <c r="Q306" s="779"/>
      <c r="R306" s="775" t="s">
        <v>57</v>
      </c>
      <c r="S306" s="775" t="s">
        <v>58</v>
      </c>
      <c r="T306" s="775" t="s">
        <v>31</v>
      </c>
      <c r="U306" s="775" t="s">
        <v>10</v>
      </c>
      <c r="V306" s="701"/>
      <c r="W306" s="701"/>
    </row>
    <row r="307" spans="1:23" ht="67.5" x14ac:dyDescent="0.25">
      <c r="A307" s="701" t="s">
        <v>486</v>
      </c>
      <c r="B307" s="701"/>
      <c r="C307" s="781"/>
      <c r="D307" s="776"/>
      <c r="E307" s="776"/>
      <c r="F307" s="776"/>
      <c r="G307" s="776"/>
      <c r="H307" s="776"/>
      <c r="I307" s="776"/>
      <c r="J307" s="776"/>
      <c r="K307" s="776"/>
      <c r="L307" s="709" t="s">
        <v>335</v>
      </c>
      <c r="M307" s="709" t="s">
        <v>40</v>
      </c>
      <c r="N307" s="709" t="s">
        <v>343</v>
      </c>
      <c r="O307" s="709" t="s">
        <v>344</v>
      </c>
      <c r="P307" s="719" t="s">
        <v>610</v>
      </c>
      <c r="Q307" s="709" t="s">
        <v>346</v>
      </c>
      <c r="R307" s="776"/>
      <c r="S307" s="776"/>
      <c r="T307" s="776"/>
      <c r="U307" s="776"/>
      <c r="V307" s="701"/>
      <c r="W307" s="701"/>
    </row>
    <row r="308" spans="1:23" x14ac:dyDescent="0.25">
      <c r="A308" s="701" t="s">
        <v>487</v>
      </c>
      <c r="B308" s="701"/>
      <c r="C308" s="710" t="s">
        <v>59</v>
      </c>
      <c r="D308" s="711">
        <f>Bilans_E_AMS_Kyoto_run3_MTE!H458</f>
        <v>0</v>
      </c>
      <c r="E308" s="711">
        <f>Bilans_E_AMS_Kyoto_run3_MTE!I458</f>
        <v>0</v>
      </c>
      <c r="F308" s="711">
        <f>Bilans_E_AMS_Kyoto_run3_MTE!J458</f>
        <v>0</v>
      </c>
      <c r="G308" s="711">
        <f>Bilans_E_AMS_Kyoto_run3_MTE!K458</f>
        <v>0</v>
      </c>
      <c r="H308" s="711">
        <f>Bilans_E_AMS_Kyoto_run3_MTE!L458</f>
        <v>0</v>
      </c>
      <c r="I308" s="711">
        <f>Bilans_E_AMS_Kyoto_run3_MTE!M458</f>
        <v>0</v>
      </c>
      <c r="J308" s="711">
        <f>Bilans_E_AMS_Kyoto_run3_MTE!N458</f>
        <v>1099.5846392966657</v>
      </c>
      <c r="K308" s="711">
        <f>Bilans_E_AMS_Kyoto_run3_MTE!O458</f>
        <v>432.558137271254</v>
      </c>
      <c r="L308" s="711">
        <f>Bilans_E_AMS_Kyoto_run3_MTE!P458</f>
        <v>366.60157244104857</v>
      </c>
      <c r="M308" s="711">
        <f>Bilans_E_AMS_Kyoto_run3_MTE!Q458</f>
        <v>46.101085198672763</v>
      </c>
      <c r="N308" s="711">
        <f>Bilans_E_AMS_Kyoto_run3_MTE!R458</f>
        <v>0</v>
      </c>
      <c r="O308" s="711">
        <f>Bilans_E_AMS_Kyoto_run3_MTE!S458</f>
        <v>0</v>
      </c>
      <c r="P308" s="711">
        <f>Bilans_E_AMS_Kyoto_run3_MTE!T458+Bilans_E_AMS_Kyoto_run3_MTE!U458</f>
        <v>228.80859050100952</v>
      </c>
      <c r="Q308" s="711">
        <f>Bilans_E_AMS_Kyoto_run3_MTE!V458</f>
        <v>44.117114546253134</v>
      </c>
      <c r="R308" s="711">
        <f>Bilans_E_AMS_Kyoto_run3_MTE!W458</f>
        <v>0</v>
      </c>
      <c r="S308" s="711">
        <f>Bilans_E_AMS_Kyoto_run3_MTE!X458</f>
        <v>0</v>
      </c>
      <c r="T308" s="711">
        <f>Bilans_E_AMS_Kyoto_run3_MTE!Y458</f>
        <v>0</v>
      </c>
      <c r="U308" s="711">
        <f>Bilans_E_AMS_Kyoto_run3_MTE!Z458</f>
        <v>2217.7711392549036</v>
      </c>
      <c r="V308" s="701"/>
      <c r="W308" s="701"/>
    </row>
    <row r="309" spans="1:23" x14ac:dyDescent="0.25">
      <c r="A309" s="701" t="s">
        <v>488</v>
      </c>
      <c r="B309" s="701"/>
      <c r="C309" s="710" t="s">
        <v>60</v>
      </c>
      <c r="D309" s="712">
        <f>Bilans_E_AMS_Kyoto_run3_MTE!H459</f>
        <v>4.7190318603515626</v>
      </c>
      <c r="E309" s="712">
        <f>Bilans_E_AMS_Kyoto_run3_MTE!I459</f>
        <v>177.55502583689511</v>
      </c>
      <c r="F309" s="712">
        <f>Bilans_E_AMS_Kyoto_run3_MTE!J459</f>
        <v>35.526382887078427</v>
      </c>
      <c r="G309" s="712">
        <f>Bilans_E_AMS_Kyoto_run3_MTE!K459</f>
        <v>8.2447057853181924</v>
      </c>
      <c r="H309" s="712">
        <f>Bilans_E_AMS_Kyoto_run3_MTE!L459</f>
        <v>93.790704319687649</v>
      </c>
      <c r="I309" s="712">
        <f>Bilans_E_AMS_Kyoto_run3_MTE!M459</f>
        <v>0</v>
      </c>
      <c r="J309" s="712">
        <f>Bilans_E_AMS_Kyoto_run3_MTE!N459</f>
        <v>0</v>
      </c>
      <c r="K309" s="712">
        <f>Bilans_E_AMS_Kyoto_run3_MTE!O459</f>
        <v>0</v>
      </c>
      <c r="L309" s="712">
        <f>Bilans_E_AMS_Kyoto_run3_MTE!P459</f>
        <v>7.7767614364420297</v>
      </c>
      <c r="M309" s="712">
        <f>Bilans_E_AMS_Kyoto_run3_MTE!Q459</f>
        <v>0</v>
      </c>
      <c r="N309" s="712">
        <f>Bilans_E_AMS_Kyoto_run3_MTE!R459</f>
        <v>7.7564977806323299</v>
      </c>
      <c r="O309" s="712">
        <f>Bilans_E_AMS_Kyoto_run3_MTE!S459</f>
        <v>0</v>
      </c>
      <c r="P309" s="712">
        <f>Bilans_E_AMS_Kyoto_run3_MTE!T459+Bilans_E_AMS_Kyoto_run3_MTE!U459</f>
        <v>0</v>
      </c>
      <c r="Q309" s="712">
        <f>Bilans_E_AMS_Kyoto_run3_MTE!V459</f>
        <v>0</v>
      </c>
      <c r="R309" s="712">
        <f>Bilans_E_AMS_Kyoto_run3_MTE!W459</f>
        <v>0</v>
      </c>
      <c r="S309" s="712">
        <f>Bilans_E_AMS_Kyoto_run3_MTE!X459</f>
        <v>0</v>
      </c>
      <c r="T309" s="712">
        <f>Bilans_E_AMS_Kyoto_run3_MTE!Y459</f>
        <v>0</v>
      </c>
      <c r="U309" s="712">
        <f>Bilans_E_AMS_Kyoto_run3_MTE!Z459</f>
        <v>335.3691099064053</v>
      </c>
      <c r="V309" s="701"/>
      <c r="W309" s="701"/>
    </row>
    <row r="310" spans="1:23" x14ac:dyDescent="0.25">
      <c r="A310" s="701" t="s">
        <v>489</v>
      </c>
      <c r="B310" s="701"/>
      <c r="C310" s="710" t="s">
        <v>61</v>
      </c>
      <c r="D310" s="712">
        <f>Bilans_E_AMS_Kyoto_run3_MTE!H460</f>
        <v>0</v>
      </c>
      <c r="E310" s="712">
        <f>Bilans_E_AMS_Kyoto_run3_MTE!I460</f>
        <v>0</v>
      </c>
      <c r="F310" s="712">
        <f>Bilans_E_AMS_Kyoto_run3_MTE!J460</f>
        <v>0</v>
      </c>
      <c r="G310" s="712">
        <f>Bilans_E_AMS_Kyoto_run3_MTE!K460</f>
        <v>0</v>
      </c>
      <c r="H310" s="712">
        <f>Bilans_E_AMS_Kyoto_run3_MTE!L460</f>
        <v>0</v>
      </c>
      <c r="I310" s="712">
        <f>Bilans_E_AMS_Kyoto_run3_MTE!M460</f>
        <v>0</v>
      </c>
      <c r="J310" s="712">
        <f>Bilans_E_AMS_Kyoto_run3_MTE!N460</f>
        <v>0</v>
      </c>
      <c r="K310" s="712">
        <f>Bilans_E_AMS_Kyoto_run3_MTE!O460</f>
        <v>0</v>
      </c>
      <c r="L310" s="712">
        <f>Bilans_E_AMS_Kyoto_run3_MTE!P460</f>
        <v>0</v>
      </c>
      <c r="M310" s="712">
        <f>Bilans_E_AMS_Kyoto_run3_MTE!Q460</f>
        <v>0</v>
      </c>
      <c r="N310" s="712">
        <f>Bilans_E_AMS_Kyoto_run3_MTE!R460</f>
        <v>0</v>
      </c>
      <c r="O310" s="712">
        <f>Bilans_E_AMS_Kyoto_run3_MTE!S460</f>
        <v>-11.927582935629047</v>
      </c>
      <c r="P310" s="712">
        <f>Bilans_E_AMS_Kyoto_run3_MTE!T460+Bilans_E_AMS_Kyoto_run3_MTE!U460</f>
        <v>0</v>
      </c>
      <c r="Q310" s="712">
        <f>Bilans_E_AMS_Kyoto_run3_MTE!V460</f>
        <v>0</v>
      </c>
      <c r="R310" s="712">
        <f>Bilans_E_AMS_Kyoto_run3_MTE!W460</f>
        <v>-91.926243378286927</v>
      </c>
      <c r="S310" s="712">
        <f>Bilans_E_AMS_Kyoto_run3_MTE!X460</f>
        <v>0</v>
      </c>
      <c r="T310" s="712">
        <f>Bilans_E_AMS_Kyoto_run3_MTE!Y460</f>
        <v>0</v>
      </c>
      <c r="U310" s="712">
        <f>Bilans_E_AMS_Kyoto_run3_MTE!Z460</f>
        <v>-103.85382631391597</v>
      </c>
      <c r="V310" s="701"/>
      <c r="W310" s="701"/>
    </row>
    <row r="311" spans="1:23" x14ac:dyDescent="0.25">
      <c r="A311" s="701" t="s">
        <v>490</v>
      </c>
      <c r="B311" s="701"/>
      <c r="C311" s="710" t="s">
        <v>62</v>
      </c>
      <c r="D311" s="711">
        <f>Bilans_E_AMS_Kyoto_run3_MTE!H461</f>
        <v>0</v>
      </c>
      <c r="E311" s="711">
        <f>Bilans_E_AMS_Kyoto_run3_MTE!I461</f>
        <v>0</v>
      </c>
      <c r="F311" s="711">
        <f>Bilans_E_AMS_Kyoto_run3_MTE!J461</f>
        <v>-3.9597709546196729</v>
      </c>
      <c r="G311" s="711">
        <f>Bilans_E_AMS_Kyoto_run3_MTE!K461</f>
        <v>-1.6687304711455928</v>
      </c>
      <c r="H311" s="711">
        <f>Bilans_E_AMS_Kyoto_run3_MTE!L461</f>
        <v>0</v>
      </c>
      <c r="I311" s="711">
        <f>Bilans_E_AMS_Kyoto_run3_MTE!M461</f>
        <v>-1.7692389987108714</v>
      </c>
      <c r="J311" s="711">
        <f>Bilans_E_AMS_Kyoto_run3_MTE!N461</f>
        <v>0</v>
      </c>
      <c r="K311" s="711">
        <f>Bilans_E_AMS_Kyoto_run3_MTE!O461</f>
        <v>0</v>
      </c>
      <c r="L311" s="711">
        <f>Bilans_E_AMS_Kyoto_run3_MTE!P461</f>
        <v>0</v>
      </c>
      <c r="M311" s="711">
        <f>Bilans_E_AMS_Kyoto_run3_MTE!Q461</f>
        <v>0</v>
      </c>
      <c r="N311" s="711">
        <f>Bilans_E_AMS_Kyoto_run3_MTE!R461</f>
        <v>0</v>
      </c>
      <c r="O311" s="711">
        <f>Bilans_E_AMS_Kyoto_run3_MTE!S461</f>
        <v>-1.504748971161108</v>
      </c>
      <c r="P311" s="711">
        <f>Bilans_E_AMS_Kyoto_run3_MTE!T461+Bilans_E_AMS_Kyoto_run3_MTE!U461</f>
        <v>0</v>
      </c>
      <c r="Q311" s="711">
        <f>Bilans_E_AMS_Kyoto_run3_MTE!V461</f>
        <v>0</v>
      </c>
      <c r="R311" s="711">
        <f>Bilans_E_AMS_Kyoto_run3_MTE!W461</f>
        <v>0</v>
      </c>
      <c r="S311" s="711">
        <f>Bilans_E_AMS_Kyoto_run3_MTE!X461</f>
        <v>0</v>
      </c>
      <c r="T311" s="711">
        <f>Bilans_E_AMS_Kyoto_run3_MTE!Y461</f>
        <v>-0.86329073643245491</v>
      </c>
      <c r="U311" s="711">
        <f>Bilans_E_AMS_Kyoto_run3_MTE!Z461</f>
        <v>-9.7657801320697004</v>
      </c>
      <c r="V311" s="701"/>
      <c r="W311" s="701"/>
    </row>
    <row r="312" spans="1:23" x14ac:dyDescent="0.25">
      <c r="A312" s="701" t="s">
        <v>491</v>
      </c>
      <c r="B312" s="701"/>
      <c r="C312" s="710" t="s">
        <v>63</v>
      </c>
      <c r="D312" s="711">
        <f>Bilans_E_AMS_Kyoto_run3_MTE!H462</f>
        <v>0</v>
      </c>
      <c r="E312" s="711">
        <f>Bilans_E_AMS_Kyoto_run3_MTE!I462</f>
        <v>0</v>
      </c>
      <c r="F312" s="711">
        <f>Bilans_E_AMS_Kyoto_run3_MTE!J462</f>
        <v>-32.199999999999996</v>
      </c>
      <c r="G312" s="711">
        <f>Bilans_E_AMS_Kyoto_run3_MTE!K462</f>
        <v>-12.8</v>
      </c>
      <c r="H312" s="711">
        <f>Bilans_E_AMS_Kyoto_run3_MTE!L462</f>
        <v>0</v>
      </c>
      <c r="I312" s="711">
        <f>Bilans_E_AMS_Kyoto_run3_MTE!M462</f>
        <v>0</v>
      </c>
      <c r="J312" s="711">
        <f>Bilans_E_AMS_Kyoto_run3_MTE!N462</f>
        <v>0</v>
      </c>
      <c r="K312" s="711">
        <f>Bilans_E_AMS_Kyoto_run3_MTE!O462</f>
        <v>0</v>
      </c>
      <c r="L312" s="711">
        <f>Bilans_E_AMS_Kyoto_run3_MTE!P462</f>
        <v>0</v>
      </c>
      <c r="M312" s="711">
        <f>Bilans_E_AMS_Kyoto_run3_MTE!Q462</f>
        <v>0</v>
      </c>
      <c r="N312" s="711">
        <f>Bilans_E_AMS_Kyoto_run3_MTE!R462</f>
        <v>-15.600000000000001</v>
      </c>
      <c r="O312" s="711">
        <f>Bilans_E_AMS_Kyoto_run3_MTE!S462</f>
        <v>0</v>
      </c>
      <c r="P312" s="711">
        <f>Bilans_E_AMS_Kyoto_run3_MTE!T462+Bilans_E_AMS_Kyoto_run3_MTE!U462</f>
        <v>0</v>
      </c>
      <c r="Q312" s="711">
        <f>Bilans_E_AMS_Kyoto_run3_MTE!V462</f>
        <v>0</v>
      </c>
      <c r="R312" s="711">
        <f>Bilans_E_AMS_Kyoto_run3_MTE!W462</f>
        <v>0</v>
      </c>
      <c r="S312" s="711">
        <f>Bilans_E_AMS_Kyoto_run3_MTE!X462</f>
        <v>0</v>
      </c>
      <c r="T312" s="711">
        <f>Bilans_E_AMS_Kyoto_run3_MTE!Y462</f>
        <v>-4.2</v>
      </c>
      <c r="U312" s="711">
        <f>Bilans_E_AMS_Kyoto_run3_MTE!Z462</f>
        <v>-64.8</v>
      </c>
      <c r="V312" s="701"/>
      <c r="W312" s="701"/>
    </row>
    <row r="313" spans="1:23" x14ac:dyDescent="0.25">
      <c r="A313" s="701" t="s">
        <v>492</v>
      </c>
      <c r="B313" s="701"/>
      <c r="C313" s="710" t="s">
        <v>64</v>
      </c>
      <c r="D313" s="712">
        <f>Bilans_E_AMS_Kyoto_run3_MTE!H463</f>
        <v>0</v>
      </c>
      <c r="E313" s="712">
        <f>Bilans_E_AMS_Kyoto_run3_MTE!I463</f>
        <v>0</v>
      </c>
      <c r="F313" s="712">
        <f>Bilans_E_AMS_Kyoto_run3_MTE!J463</f>
        <v>0</v>
      </c>
      <c r="G313" s="712">
        <f>Bilans_E_AMS_Kyoto_run3_MTE!K463</f>
        <v>0</v>
      </c>
      <c r="H313" s="712">
        <f>Bilans_E_AMS_Kyoto_run3_MTE!L463</f>
        <v>0</v>
      </c>
      <c r="I313" s="712">
        <f>Bilans_E_AMS_Kyoto_run3_MTE!M463</f>
        <v>0</v>
      </c>
      <c r="J313" s="712">
        <f>Bilans_E_AMS_Kyoto_run3_MTE!N463</f>
        <v>0</v>
      </c>
      <c r="K313" s="712">
        <f>Bilans_E_AMS_Kyoto_run3_MTE!O463</f>
        <v>0</v>
      </c>
      <c r="L313" s="712">
        <f>Bilans_E_AMS_Kyoto_run3_MTE!P463</f>
        <v>0</v>
      </c>
      <c r="M313" s="712">
        <f>Bilans_E_AMS_Kyoto_run3_MTE!Q463</f>
        <v>0</v>
      </c>
      <c r="N313" s="712">
        <f>Bilans_E_AMS_Kyoto_run3_MTE!R463</f>
        <v>0</v>
      </c>
      <c r="O313" s="712">
        <f>Bilans_E_AMS_Kyoto_run3_MTE!S463</f>
        <v>0</v>
      </c>
      <c r="P313" s="712">
        <f>Bilans_E_AMS_Kyoto_run3_MTE!T463+Bilans_E_AMS_Kyoto_run3_MTE!U463</f>
        <v>0</v>
      </c>
      <c r="Q313" s="712">
        <f>Bilans_E_AMS_Kyoto_run3_MTE!V463</f>
        <v>0</v>
      </c>
      <c r="R313" s="712">
        <f>Bilans_E_AMS_Kyoto_run3_MTE!W463</f>
        <v>0</v>
      </c>
      <c r="S313" s="712">
        <f>Bilans_E_AMS_Kyoto_run3_MTE!X463</f>
        <v>0</v>
      </c>
      <c r="T313" s="712">
        <f>Bilans_E_AMS_Kyoto_run3_MTE!Y463</f>
        <v>0</v>
      </c>
      <c r="U313" s="712">
        <f>Bilans_E_AMS_Kyoto_run3_MTE!Z463</f>
        <v>0</v>
      </c>
      <c r="V313" s="701"/>
      <c r="W313" s="701"/>
    </row>
    <row r="314" spans="1:23" x14ac:dyDescent="0.25">
      <c r="A314" s="701" t="s">
        <v>493</v>
      </c>
      <c r="B314" s="701"/>
      <c r="C314" s="713" t="s">
        <v>65</v>
      </c>
      <c r="D314" s="714">
        <f>Bilans_E_AMS_Kyoto_run3_MTE!H464</f>
        <v>4.7190318603515626</v>
      </c>
      <c r="E314" s="714">
        <f>Bilans_E_AMS_Kyoto_run3_MTE!I464</f>
        <v>177.55502583689511</v>
      </c>
      <c r="F314" s="714">
        <f>Bilans_E_AMS_Kyoto_run3_MTE!J464</f>
        <v>-0.63338806754124022</v>
      </c>
      <c r="G314" s="714">
        <f>Bilans_E_AMS_Kyoto_run3_MTE!K464</f>
        <v>-6.2240246858274011</v>
      </c>
      <c r="H314" s="714">
        <f>Bilans_E_AMS_Kyoto_run3_MTE!L464</f>
        <v>93.790704319687649</v>
      </c>
      <c r="I314" s="714">
        <f>Bilans_E_AMS_Kyoto_run3_MTE!M464</f>
        <v>-1.7692389987108714</v>
      </c>
      <c r="J314" s="714">
        <f>Bilans_E_AMS_Kyoto_run3_MTE!N464</f>
        <v>1099.5846392966657</v>
      </c>
      <c r="K314" s="714">
        <f>Bilans_E_AMS_Kyoto_run3_MTE!O464</f>
        <v>432.558137271254</v>
      </c>
      <c r="L314" s="714">
        <f>Bilans_E_AMS_Kyoto_run3_MTE!P464</f>
        <v>374.3783338774906</v>
      </c>
      <c r="M314" s="714">
        <f>Bilans_E_AMS_Kyoto_run3_MTE!Q464</f>
        <v>46.101085198672763</v>
      </c>
      <c r="N314" s="714">
        <f>Bilans_E_AMS_Kyoto_run3_MTE!R464</f>
        <v>-7.8435022193676716</v>
      </c>
      <c r="O314" s="714">
        <f>Bilans_E_AMS_Kyoto_run3_MTE!S464</f>
        <v>-13.432331906790155</v>
      </c>
      <c r="P314" s="714">
        <f>Bilans_E_AMS_Kyoto_run3_MTE!T464+Bilans_E_AMS_Kyoto_run3_MTE!U464</f>
        <v>228.80859050100952</v>
      </c>
      <c r="Q314" s="714">
        <f>Bilans_E_AMS_Kyoto_run3_MTE!V464</f>
        <v>44.117114546253134</v>
      </c>
      <c r="R314" s="714">
        <f>Bilans_E_AMS_Kyoto_run3_MTE!W464</f>
        <v>-91.926243378286927</v>
      </c>
      <c r="S314" s="714">
        <f>Bilans_E_AMS_Kyoto_run3_MTE!X464</f>
        <v>0</v>
      </c>
      <c r="T314" s="714">
        <f>Bilans_E_AMS_Kyoto_run3_MTE!Y464</f>
        <v>-5.0632907364324549</v>
      </c>
      <c r="U314" s="714">
        <f>Bilans_E_AMS_Kyoto_run3_MTE!Z464</f>
        <v>2374.7206427153233</v>
      </c>
      <c r="V314" s="701"/>
      <c r="W314" s="701"/>
    </row>
    <row r="315" spans="1:23" x14ac:dyDescent="0.25">
      <c r="A315" s="701"/>
      <c r="B315" s="701"/>
      <c r="C315" s="715"/>
      <c r="D315" s="716"/>
      <c r="E315" s="716"/>
      <c r="F315" s="716"/>
      <c r="G315" s="716"/>
      <c r="H315" s="716"/>
      <c r="I315" s="716"/>
      <c r="J315" s="716"/>
      <c r="K315" s="716"/>
      <c r="L315" s="716"/>
      <c r="M315" s="716"/>
      <c r="N315" s="716"/>
      <c r="O315" s="716"/>
      <c r="P315" s="716">
        <f>Bilans_E_AMS_Kyoto_run3_MTE!T465+Bilans_E_AMS_Kyoto_run3_MTE!U465</f>
        <v>0</v>
      </c>
      <c r="Q315" s="716"/>
      <c r="R315" s="716"/>
      <c r="S315" s="716"/>
      <c r="T315" s="716"/>
      <c r="U315" s="716"/>
      <c r="V315" s="701"/>
      <c r="W315" s="701"/>
    </row>
    <row r="316" spans="1:23" x14ac:dyDescent="0.25">
      <c r="A316" s="701" t="s">
        <v>494</v>
      </c>
      <c r="B316" s="701"/>
      <c r="C316" s="717" t="s">
        <v>67</v>
      </c>
      <c r="D316" s="711">
        <f>Bilans_E_AMS_Kyoto_run3_MTE!H466</f>
        <v>0</v>
      </c>
      <c r="E316" s="711">
        <f>Bilans_E_AMS_Kyoto_run3_MTE!I466</f>
        <v>0</v>
      </c>
      <c r="F316" s="711">
        <f>Bilans_E_AMS_Kyoto_run3_MTE!J466</f>
        <v>0</v>
      </c>
      <c r="G316" s="711">
        <f>Bilans_E_AMS_Kyoto_run3_MTE!K466</f>
        <v>0</v>
      </c>
      <c r="H316" s="711">
        <f>Bilans_E_AMS_Kyoto_run3_MTE!L466</f>
        <v>0</v>
      </c>
      <c r="I316" s="711">
        <f>Bilans_E_AMS_Kyoto_run3_MTE!M466</f>
        <v>0</v>
      </c>
      <c r="J316" s="711">
        <f>Bilans_E_AMS_Kyoto_run3_MTE!N466</f>
        <v>0</v>
      </c>
      <c r="K316" s="711">
        <f>Bilans_E_AMS_Kyoto_run3_MTE!O466</f>
        <v>0</v>
      </c>
      <c r="L316" s="711">
        <f>Bilans_E_AMS_Kyoto_run3_MTE!P466</f>
        <v>0</v>
      </c>
      <c r="M316" s="711">
        <f>Bilans_E_AMS_Kyoto_run3_MTE!Q466</f>
        <v>0</v>
      </c>
      <c r="N316" s="711">
        <f>Bilans_E_AMS_Kyoto_run3_MTE!R466</f>
        <v>0</v>
      </c>
      <c r="O316" s="711">
        <f>Bilans_E_AMS_Kyoto_run3_MTE!S466</f>
        <v>0</v>
      </c>
      <c r="P316" s="711">
        <f>Bilans_E_AMS_Kyoto_run3_MTE!T466+Bilans_E_AMS_Kyoto_run3_MTE!U466</f>
        <v>0</v>
      </c>
      <c r="Q316" s="711">
        <f>Bilans_E_AMS_Kyoto_run3_MTE!V466</f>
        <v>0</v>
      </c>
      <c r="R316" s="711">
        <f>Bilans_E_AMS_Kyoto_run3_MTE!W466</f>
        <v>0</v>
      </c>
      <c r="S316" s="711">
        <f>Bilans_E_AMS_Kyoto_run3_MTE!X466</f>
        <v>0</v>
      </c>
      <c r="T316" s="711">
        <f>Bilans_E_AMS_Kyoto_run3_MTE!Y466</f>
        <v>0</v>
      </c>
      <c r="U316" s="711">
        <f>Bilans_E_AMS_Kyoto_run3_MTE!Z466</f>
        <v>0</v>
      </c>
      <c r="V316" s="701"/>
      <c r="W316" s="701"/>
    </row>
    <row r="317" spans="1:23" x14ac:dyDescent="0.25">
      <c r="A317" s="701" t="s">
        <v>495</v>
      </c>
      <c r="B317" s="701"/>
      <c r="C317" s="717" t="s">
        <v>347</v>
      </c>
      <c r="D317" s="711">
        <f>Bilans_E_AMS_Kyoto_run3_MTE!H467</f>
        <v>0</v>
      </c>
      <c r="E317" s="711">
        <f>Bilans_E_AMS_Kyoto_run3_MTE!I467</f>
        <v>0</v>
      </c>
      <c r="F317" s="711">
        <f>Bilans_E_AMS_Kyoto_run3_MTE!J467</f>
        <v>2.6460781360013397E-2</v>
      </c>
      <c r="G317" s="711">
        <f>Bilans_E_AMS_Kyoto_run3_MTE!K467</f>
        <v>0</v>
      </c>
      <c r="H317" s="711">
        <f>Bilans_E_AMS_Kyoto_run3_MTE!L467</f>
        <v>2.3319683433476327E-3</v>
      </c>
      <c r="I317" s="711">
        <f>Bilans_E_AMS_Kyoto_run3_MTE!M467</f>
        <v>0</v>
      </c>
      <c r="J317" s="711">
        <f>Bilans_E_AMS_Kyoto_run3_MTE!N467</f>
        <v>1094.3390181818181</v>
      </c>
      <c r="K317" s="711">
        <f>Bilans_E_AMS_Kyoto_run3_MTE!O467</f>
        <v>432.558137271254</v>
      </c>
      <c r="L317" s="711">
        <f>Bilans_E_AMS_Kyoto_run3_MTE!P467</f>
        <v>17.878777557508954</v>
      </c>
      <c r="M317" s="711">
        <f>Bilans_E_AMS_Kyoto_run3_MTE!Q467</f>
        <v>5.4304217786079292</v>
      </c>
      <c r="N317" s="711">
        <f>Bilans_E_AMS_Kyoto_run3_MTE!R467</f>
        <v>6.0578717375904887</v>
      </c>
      <c r="O317" s="711">
        <f>Bilans_E_AMS_Kyoto_run3_MTE!S467</f>
        <v>0.11581039979962704</v>
      </c>
      <c r="P317" s="711">
        <f>Bilans_E_AMS_Kyoto_run3_MTE!T467+Bilans_E_AMS_Kyoto_run3_MTE!U467</f>
        <v>0</v>
      </c>
      <c r="Q317" s="711">
        <f>Bilans_E_AMS_Kyoto_run3_MTE!V467</f>
        <v>6.4590957564387725</v>
      </c>
      <c r="R317" s="711">
        <f>Bilans_E_AMS_Kyoto_run3_MTE!W467</f>
        <v>-810.5836017522513</v>
      </c>
      <c r="S317" s="711">
        <f>Bilans_E_AMS_Kyoto_run3_MTE!X467</f>
        <v>0</v>
      </c>
      <c r="T317" s="711">
        <f>Bilans_E_AMS_Kyoto_run3_MTE!Y467</f>
        <v>0</v>
      </c>
      <c r="U317" s="711">
        <f>Bilans_E_AMS_Kyoto_run3_MTE!Z467</f>
        <v>752.28432368046992</v>
      </c>
      <c r="V317" s="701"/>
      <c r="W317" s="701"/>
    </row>
    <row r="318" spans="1:23" x14ac:dyDescent="0.25">
      <c r="A318" s="701" t="s">
        <v>496</v>
      </c>
      <c r="B318" s="701"/>
      <c r="C318" s="717" t="s">
        <v>348</v>
      </c>
      <c r="D318" s="711">
        <f>Bilans_E_AMS_Kyoto_run3_MTE!H468</f>
        <v>0</v>
      </c>
      <c r="E318" s="711">
        <f>Bilans_E_AMS_Kyoto_run3_MTE!I468</f>
        <v>0</v>
      </c>
      <c r="F318" s="711">
        <f>Bilans_E_AMS_Kyoto_run3_MTE!J468</f>
        <v>0</v>
      </c>
      <c r="G318" s="711">
        <f>Bilans_E_AMS_Kyoto_run3_MTE!K468</f>
        <v>0</v>
      </c>
      <c r="H318" s="711">
        <f>Bilans_E_AMS_Kyoto_run3_MTE!L468</f>
        <v>11.361302050509126</v>
      </c>
      <c r="I318" s="711">
        <f>Bilans_E_AMS_Kyoto_run3_MTE!M468</f>
        <v>0.11959265316325396</v>
      </c>
      <c r="J318" s="711">
        <f>Bilans_E_AMS_Kyoto_run3_MTE!N468</f>
        <v>5.2456211148474967</v>
      </c>
      <c r="K318" s="711">
        <f>Bilans_E_AMS_Kyoto_run3_MTE!O468</f>
        <v>0</v>
      </c>
      <c r="L318" s="711">
        <f>Bilans_E_AMS_Kyoto_run3_MTE!P468</f>
        <v>23.710249533581198</v>
      </c>
      <c r="M318" s="711">
        <f>Bilans_E_AMS_Kyoto_run3_MTE!Q468</f>
        <v>12.653124911951959</v>
      </c>
      <c r="N318" s="711">
        <f>Bilans_E_AMS_Kyoto_run3_MTE!R468</f>
        <v>0</v>
      </c>
      <c r="O318" s="711">
        <f>Bilans_E_AMS_Kyoto_run3_MTE!S468</f>
        <v>8.4660785396177261</v>
      </c>
      <c r="P318" s="711">
        <f>Bilans_E_AMS_Kyoto_run3_MTE!T468+Bilans_E_AMS_Kyoto_run3_MTE!U468</f>
        <v>18.404716933116433</v>
      </c>
      <c r="Q318" s="711">
        <f>Bilans_E_AMS_Kyoto_run3_MTE!V468</f>
        <v>13.404801159439005</v>
      </c>
      <c r="R318" s="711">
        <f>Bilans_E_AMS_Kyoto_run3_MTE!W468</f>
        <v>0</v>
      </c>
      <c r="S318" s="711">
        <f>Bilans_E_AMS_Kyoto_run3_MTE!X468</f>
        <v>-86.867525789433259</v>
      </c>
      <c r="T318" s="711">
        <f>Bilans_E_AMS_Kyoto_run3_MTE!Y468</f>
        <v>0</v>
      </c>
      <c r="U318" s="711">
        <f>Bilans_E_AMS_Kyoto_run3_MTE!Z468</f>
        <v>6.4979611067929426</v>
      </c>
      <c r="V318" s="701"/>
      <c r="W318" s="701"/>
    </row>
    <row r="319" spans="1:23" x14ac:dyDescent="0.25">
      <c r="A319" s="701" t="s">
        <v>497</v>
      </c>
      <c r="B319" s="701"/>
      <c r="C319" s="717" t="s">
        <v>349</v>
      </c>
      <c r="D319" s="711">
        <f>Bilans_E_AMS_Kyoto_run3_MTE!H469</f>
        <v>0</v>
      </c>
      <c r="E319" s="711">
        <f>Bilans_E_AMS_Kyoto_run3_MTE!I469</f>
        <v>0</v>
      </c>
      <c r="F319" s="711">
        <f>Bilans_E_AMS_Kyoto_run3_MTE!J469</f>
        <v>0</v>
      </c>
      <c r="G319" s="711">
        <f>Bilans_E_AMS_Kyoto_run3_MTE!K469</f>
        <v>0</v>
      </c>
      <c r="H319" s="711">
        <f>Bilans_E_AMS_Kyoto_run3_MTE!L469</f>
        <v>0</v>
      </c>
      <c r="I319" s="711">
        <f>Bilans_E_AMS_Kyoto_run3_MTE!M469</f>
        <v>0</v>
      </c>
      <c r="J319" s="711">
        <f>Bilans_E_AMS_Kyoto_run3_MTE!N469</f>
        <v>0</v>
      </c>
      <c r="K319" s="711">
        <f>Bilans_E_AMS_Kyoto_run3_MTE!O469</f>
        <v>0</v>
      </c>
      <c r="L319" s="711">
        <f>Bilans_E_AMS_Kyoto_run3_MTE!P469</f>
        <v>138.07928558547806</v>
      </c>
      <c r="M319" s="711">
        <f>Bilans_E_AMS_Kyoto_run3_MTE!Q469</f>
        <v>12.388866886032204</v>
      </c>
      <c r="N319" s="711">
        <f>Bilans_E_AMS_Kyoto_run3_MTE!R469</f>
        <v>0</v>
      </c>
      <c r="O319" s="711">
        <f>Bilans_E_AMS_Kyoto_run3_MTE!S469</f>
        <v>-75.318683922078151</v>
      </c>
      <c r="P319" s="711">
        <f>Bilans_E_AMS_Kyoto_run3_MTE!T469+Bilans_E_AMS_Kyoto_run3_MTE!U469</f>
        <v>0</v>
      </c>
      <c r="Q319" s="711">
        <f>Bilans_E_AMS_Kyoto_run3_MTE!V469</f>
        <v>0</v>
      </c>
      <c r="R319" s="711">
        <f>Bilans_E_AMS_Kyoto_run3_MTE!W469</f>
        <v>0</v>
      </c>
      <c r="S319" s="711">
        <f>Bilans_E_AMS_Kyoto_run3_MTE!X469</f>
        <v>0</v>
      </c>
      <c r="T319" s="711">
        <f>Bilans_E_AMS_Kyoto_run3_MTE!Y469</f>
        <v>0</v>
      </c>
      <c r="U319" s="711">
        <f>Bilans_E_AMS_Kyoto_run3_MTE!Z469</f>
        <v>75.149468549432129</v>
      </c>
      <c r="V319" s="701"/>
      <c r="W319" s="701"/>
    </row>
    <row r="320" spans="1:23" x14ac:dyDescent="0.25">
      <c r="A320" s="701" t="s">
        <v>498</v>
      </c>
      <c r="B320" s="701"/>
      <c r="C320" s="717" t="s">
        <v>350</v>
      </c>
      <c r="D320" s="711">
        <f>Bilans_E_AMS_Kyoto_run3_MTE!H470</f>
        <v>0</v>
      </c>
      <c r="E320" s="711">
        <f>Bilans_E_AMS_Kyoto_run3_MTE!I470</f>
        <v>0</v>
      </c>
      <c r="F320" s="711">
        <f>Bilans_E_AMS_Kyoto_run3_MTE!J470</f>
        <v>0</v>
      </c>
      <c r="G320" s="711">
        <f>Bilans_E_AMS_Kyoto_run3_MTE!K470</f>
        <v>0</v>
      </c>
      <c r="H320" s="711">
        <f>Bilans_E_AMS_Kyoto_run3_MTE!L470</f>
        <v>0</v>
      </c>
      <c r="I320" s="711">
        <f>Bilans_E_AMS_Kyoto_run3_MTE!M470</f>
        <v>-2.6425947059180688</v>
      </c>
      <c r="J320" s="711">
        <f>Bilans_E_AMS_Kyoto_run3_MTE!N470</f>
        <v>0</v>
      </c>
      <c r="K320" s="711">
        <f>Bilans_E_AMS_Kyoto_run3_MTE!O470</f>
        <v>0</v>
      </c>
      <c r="L320" s="711">
        <f>Bilans_E_AMS_Kyoto_run3_MTE!P470</f>
        <v>0</v>
      </c>
      <c r="M320" s="711">
        <f>Bilans_E_AMS_Kyoto_run3_MTE!Q470</f>
        <v>0</v>
      </c>
      <c r="N320" s="711">
        <f>Bilans_E_AMS_Kyoto_run3_MTE!R470</f>
        <v>0</v>
      </c>
      <c r="O320" s="711">
        <f>Bilans_E_AMS_Kyoto_run3_MTE!S470</f>
        <v>0</v>
      </c>
      <c r="P320" s="711">
        <f>Bilans_E_AMS_Kyoto_run3_MTE!T470+Bilans_E_AMS_Kyoto_run3_MTE!U470</f>
        <v>0</v>
      </c>
      <c r="Q320" s="711">
        <f>Bilans_E_AMS_Kyoto_run3_MTE!V470</f>
        <v>0</v>
      </c>
      <c r="R320" s="711">
        <f>Bilans_E_AMS_Kyoto_run3_MTE!W470</f>
        <v>0</v>
      </c>
      <c r="S320" s="711">
        <f>Bilans_E_AMS_Kyoto_run3_MTE!X470</f>
        <v>0</v>
      </c>
      <c r="T320" s="711">
        <f>Bilans_E_AMS_Kyoto_run3_MTE!Y470</f>
        <v>3.6634319020026336</v>
      </c>
      <c r="U320" s="711">
        <f>Bilans_E_AMS_Kyoto_run3_MTE!Z470</f>
        <v>1.0208371960845648</v>
      </c>
      <c r="V320" s="701"/>
      <c r="W320" s="701"/>
    </row>
    <row r="321" spans="1:23" x14ac:dyDescent="0.25">
      <c r="A321" s="701" t="s">
        <v>499</v>
      </c>
      <c r="B321" s="701"/>
      <c r="C321" s="717" t="s">
        <v>72</v>
      </c>
      <c r="D321" s="711">
        <f>Bilans_E_AMS_Kyoto_run3_MTE!H471</f>
        <v>0</v>
      </c>
      <c r="E321" s="711">
        <f>Bilans_E_AMS_Kyoto_run3_MTE!I471</f>
        <v>183.99004915233374</v>
      </c>
      <c r="F321" s="711">
        <f>Bilans_E_AMS_Kyoto_run3_MTE!J471</f>
        <v>-182.1501486608104</v>
      </c>
      <c r="G321" s="711">
        <f>Bilans_E_AMS_Kyoto_run3_MTE!K471</f>
        <v>0</v>
      </c>
      <c r="H321" s="711">
        <f>Bilans_E_AMS_Kyoto_run3_MTE!L471</f>
        <v>0</v>
      </c>
      <c r="I321" s="711">
        <f>Bilans_E_AMS_Kyoto_run3_MTE!M471</f>
        <v>0</v>
      </c>
      <c r="J321" s="711">
        <f>Bilans_E_AMS_Kyoto_run3_MTE!N471</f>
        <v>0</v>
      </c>
      <c r="K321" s="711">
        <f>Bilans_E_AMS_Kyoto_run3_MTE!O471</f>
        <v>0</v>
      </c>
      <c r="L321" s="711">
        <f>Bilans_E_AMS_Kyoto_run3_MTE!P471</f>
        <v>0</v>
      </c>
      <c r="M321" s="711">
        <f>Bilans_E_AMS_Kyoto_run3_MTE!Q471</f>
        <v>0</v>
      </c>
      <c r="N321" s="711">
        <f>Bilans_E_AMS_Kyoto_run3_MTE!R471</f>
        <v>0</v>
      </c>
      <c r="O321" s="711">
        <f>Bilans_E_AMS_Kyoto_run3_MTE!S471</f>
        <v>0</v>
      </c>
      <c r="P321" s="711">
        <f>Bilans_E_AMS_Kyoto_run3_MTE!T471+Bilans_E_AMS_Kyoto_run3_MTE!U471</f>
        <v>0</v>
      </c>
      <c r="Q321" s="711">
        <f>Bilans_E_AMS_Kyoto_run3_MTE!V471</f>
        <v>0</v>
      </c>
      <c r="R321" s="711">
        <f>Bilans_E_AMS_Kyoto_run3_MTE!W471</f>
        <v>0</v>
      </c>
      <c r="S321" s="711">
        <f>Bilans_E_AMS_Kyoto_run3_MTE!X471</f>
        <v>0</v>
      </c>
      <c r="T321" s="711">
        <f>Bilans_E_AMS_Kyoto_run3_MTE!Y471</f>
        <v>0</v>
      </c>
      <c r="U321" s="711">
        <f>Bilans_E_AMS_Kyoto_run3_MTE!Z471</f>
        <v>1.8399004915233377</v>
      </c>
      <c r="V321" s="701"/>
      <c r="W321" s="701"/>
    </row>
    <row r="322" spans="1:23" x14ac:dyDescent="0.25">
      <c r="A322" s="701" t="s">
        <v>500</v>
      </c>
      <c r="B322" s="701"/>
      <c r="C322" s="717" t="s">
        <v>351</v>
      </c>
      <c r="D322" s="711">
        <f>Bilans_E_AMS_Kyoto_run3_MTE!H472</f>
        <v>0</v>
      </c>
      <c r="E322" s="711">
        <f>Bilans_E_AMS_Kyoto_run3_MTE!I472</f>
        <v>0</v>
      </c>
      <c r="F322" s="711">
        <f>Bilans_E_AMS_Kyoto_run3_MTE!J472</f>
        <v>0</v>
      </c>
      <c r="G322" s="711">
        <f>Bilans_E_AMS_Kyoto_run3_MTE!K472</f>
        <v>0</v>
      </c>
      <c r="H322" s="711">
        <f>Bilans_E_AMS_Kyoto_run3_MTE!L472</f>
        <v>0</v>
      </c>
      <c r="I322" s="711">
        <f>Bilans_E_AMS_Kyoto_run3_MTE!M472</f>
        <v>0</v>
      </c>
      <c r="J322" s="711">
        <f>Bilans_E_AMS_Kyoto_run3_MTE!N472</f>
        <v>0</v>
      </c>
      <c r="K322" s="711">
        <f>Bilans_E_AMS_Kyoto_run3_MTE!O472</f>
        <v>0</v>
      </c>
      <c r="L322" s="711">
        <f>Bilans_E_AMS_Kyoto_run3_MTE!P472</f>
        <v>98.264059426631164</v>
      </c>
      <c r="M322" s="711">
        <f>Bilans_E_AMS_Kyoto_run3_MTE!Q472</f>
        <v>7.2727272727272725</v>
      </c>
      <c r="N322" s="711">
        <f>Bilans_E_AMS_Kyoto_run3_MTE!R472</f>
        <v>-58.881352983692381</v>
      </c>
      <c r="O322" s="711">
        <f>Bilans_E_AMS_Kyoto_run3_MTE!S472</f>
        <v>0</v>
      </c>
      <c r="P322" s="711">
        <f>Bilans_E_AMS_Kyoto_run3_MTE!T472+Bilans_E_AMS_Kyoto_run3_MTE!U472</f>
        <v>0</v>
      </c>
      <c r="Q322" s="711">
        <f>Bilans_E_AMS_Kyoto_run3_MTE!V472</f>
        <v>0</v>
      </c>
      <c r="R322" s="711">
        <f>Bilans_E_AMS_Kyoto_run3_MTE!W472</f>
        <v>0</v>
      </c>
      <c r="S322" s="711">
        <f>Bilans_E_AMS_Kyoto_run3_MTE!X472</f>
        <v>0</v>
      </c>
      <c r="T322" s="711">
        <f>Bilans_E_AMS_Kyoto_run3_MTE!Y472</f>
        <v>0</v>
      </c>
      <c r="U322" s="711">
        <f>Bilans_E_AMS_Kyoto_run3_MTE!Z472</f>
        <v>46.655433715666049</v>
      </c>
      <c r="V322" s="701"/>
      <c r="W322" s="701"/>
    </row>
    <row r="323" spans="1:23" x14ac:dyDescent="0.25">
      <c r="A323" s="701" t="s">
        <v>501</v>
      </c>
      <c r="B323" s="701"/>
      <c r="C323" s="717" t="s">
        <v>352</v>
      </c>
      <c r="D323" s="711">
        <f>Bilans_E_AMS_Kyoto_run3_MTE!H473</f>
        <v>0</v>
      </c>
      <c r="E323" s="711">
        <f>Bilans_E_AMS_Kyoto_run3_MTE!I473</f>
        <v>0</v>
      </c>
      <c r="F323" s="711">
        <f>Bilans_E_AMS_Kyoto_run3_MTE!J473</f>
        <v>0</v>
      </c>
      <c r="G323" s="711">
        <f>Bilans_E_AMS_Kyoto_run3_MTE!K473</f>
        <v>-10.918730471145594</v>
      </c>
      <c r="H323" s="711">
        <f>Bilans_E_AMS_Kyoto_run3_MTE!L473</f>
        <v>0</v>
      </c>
      <c r="I323" s="711">
        <f>Bilans_E_AMS_Kyoto_run3_MTE!M473</f>
        <v>0</v>
      </c>
      <c r="J323" s="711">
        <f>Bilans_E_AMS_Kyoto_run3_MTE!N473</f>
        <v>0</v>
      </c>
      <c r="K323" s="711">
        <f>Bilans_E_AMS_Kyoto_run3_MTE!O473</f>
        <v>0</v>
      </c>
      <c r="L323" s="711">
        <f>Bilans_E_AMS_Kyoto_run3_MTE!P473</f>
        <v>0</v>
      </c>
      <c r="M323" s="711">
        <f>Bilans_E_AMS_Kyoto_run3_MTE!Q473</f>
        <v>0</v>
      </c>
      <c r="N323" s="711">
        <f>Bilans_E_AMS_Kyoto_run3_MTE!R473</f>
        <v>0</v>
      </c>
      <c r="O323" s="711">
        <f>Bilans_E_AMS_Kyoto_run3_MTE!S473</f>
        <v>0</v>
      </c>
      <c r="P323" s="711">
        <f>Bilans_E_AMS_Kyoto_run3_MTE!T473+Bilans_E_AMS_Kyoto_run3_MTE!U473</f>
        <v>0</v>
      </c>
      <c r="Q323" s="711">
        <f>Bilans_E_AMS_Kyoto_run3_MTE!V473</f>
        <v>0</v>
      </c>
      <c r="R323" s="711">
        <f>Bilans_E_AMS_Kyoto_run3_MTE!W473</f>
        <v>0</v>
      </c>
      <c r="S323" s="711">
        <f>Bilans_E_AMS_Kyoto_run3_MTE!X473</f>
        <v>0</v>
      </c>
      <c r="T323" s="711">
        <f>Bilans_E_AMS_Kyoto_run3_MTE!Y473</f>
        <v>18.115603518260158</v>
      </c>
      <c r="U323" s="711">
        <f>Bilans_E_AMS_Kyoto_run3_MTE!Z473</f>
        <v>7.1968730471145648</v>
      </c>
      <c r="V323" s="701"/>
      <c r="W323" s="701"/>
    </row>
    <row r="324" spans="1:23" x14ac:dyDescent="0.25">
      <c r="A324" s="701" t="s">
        <v>502</v>
      </c>
      <c r="B324" s="701"/>
      <c r="C324" s="717" t="s">
        <v>73</v>
      </c>
      <c r="D324" s="711">
        <f>Bilans_E_AMS_Kyoto_run3_MTE!H474</f>
        <v>0</v>
      </c>
      <c r="E324" s="711">
        <f>Bilans_E_AMS_Kyoto_run3_MTE!I474</f>
        <v>0</v>
      </c>
      <c r="F324" s="711">
        <f>Bilans_E_AMS_Kyoto_run3_MTE!J474</f>
        <v>0</v>
      </c>
      <c r="G324" s="711">
        <f>Bilans_E_AMS_Kyoto_run3_MTE!K474</f>
        <v>0</v>
      </c>
      <c r="H324" s="711">
        <f>Bilans_E_AMS_Kyoto_run3_MTE!L474</f>
        <v>0</v>
      </c>
      <c r="I324" s="711">
        <f>Bilans_E_AMS_Kyoto_run3_MTE!M474</f>
        <v>0</v>
      </c>
      <c r="J324" s="711">
        <f>Bilans_E_AMS_Kyoto_run3_MTE!N474</f>
        <v>0</v>
      </c>
      <c r="K324" s="711">
        <f>Bilans_E_AMS_Kyoto_run3_MTE!O474</f>
        <v>0</v>
      </c>
      <c r="L324" s="711">
        <f>Bilans_E_AMS_Kyoto_run3_MTE!P474</f>
        <v>0</v>
      </c>
      <c r="M324" s="711">
        <f>Bilans_E_AMS_Kyoto_run3_MTE!Q474</f>
        <v>0</v>
      </c>
      <c r="N324" s="711">
        <f>Bilans_E_AMS_Kyoto_run3_MTE!R474</f>
        <v>0</v>
      </c>
      <c r="O324" s="711">
        <f>Bilans_E_AMS_Kyoto_run3_MTE!S474</f>
        <v>0</v>
      </c>
      <c r="P324" s="711">
        <f>Bilans_E_AMS_Kyoto_run3_MTE!T474+Bilans_E_AMS_Kyoto_run3_MTE!U474</f>
        <v>0</v>
      </c>
      <c r="Q324" s="711">
        <f>Bilans_E_AMS_Kyoto_run3_MTE!V474</f>
        <v>0</v>
      </c>
      <c r="R324" s="711">
        <f>Bilans_E_AMS_Kyoto_run3_MTE!W474</f>
        <v>71.82433773705074</v>
      </c>
      <c r="S324" s="711">
        <f>Bilans_E_AMS_Kyoto_run3_MTE!X474</f>
        <v>0</v>
      </c>
      <c r="T324" s="711">
        <f>Bilans_E_AMS_Kyoto_run3_MTE!Y474</f>
        <v>-49.953826896118791</v>
      </c>
      <c r="U324" s="711">
        <f>Bilans_E_AMS_Kyoto_run3_MTE!Z474</f>
        <v>21.870510840931949</v>
      </c>
      <c r="V324" s="701"/>
      <c r="W324" s="701"/>
    </row>
    <row r="325" spans="1:23" x14ac:dyDescent="0.25">
      <c r="A325" s="701" t="s">
        <v>503</v>
      </c>
      <c r="B325" s="701"/>
      <c r="C325" s="717" t="s">
        <v>353</v>
      </c>
      <c r="D325" s="711">
        <f>Bilans_E_AMS_Kyoto_run3_MTE!H475</f>
        <v>3.2800345312500001</v>
      </c>
      <c r="E325" s="711">
        <f>Bilans_E_AMS_Kyoto_run3_MTE!I475</f>
        <v>-6.4350233154386336</v>
      </c>
      <c r="F325" s="711">
        <f>Bilans_E_AMS_Kyoto_run3_MTE!J475</f>
        <v>8.5665829244642584</v>
      </c>
      <c r="G325" s="711">
        <f>Bilans_E_AMS_Kyoto_run3_MTE!K475</f>
        <v>0</v>
      </c>
      <c r="H325" s="711">
        <f>Bilans_E_AMS_Kyoto_run3_MTE!L475</f>
        <v>0</v>
      </c>
      <c r="I325" s="711">
        <f>Bilans_E_AMS_Kyoto_run3_MTE!M475</f>
        <v>0</v>
      </c>
      <c r="J325" s="711">
        <f>Bilans_E_AMS_Kyoto_run3_MTE!N475</f>
        <v>0</v>
      </c>
      <c r="K325" s="711">
        <f>Bilans_E_AMS_Kyoto_run3_MTE!O475</f>
        <v>0</v>
      </c>
      <c r="L325" s="711">
        <f>Bilans_E_AMS_Kyoto_run3_MTE!P475</f>
        <v>0</v>
      </c>
      <c r="M325" s="711">
        <f>Bilans_E_AMS_Kyoto_run3_MTE!Q475</f>
        <v>0</v>
      </c>
      <c r="N325" s="711">
        <f>Bilans_E_AMS_Kyoto_run3_MTE!R475</f>
        <v>0</v>
      </c>
      <c r="O325" s="711">
        <f>Bilans_E_AMS_Kyoto_run3_MTE!S475</f>
        <v>0</v>
      </c>
      <c r="P325" s="711">
        <f>Bilans_E_AMS_Kyoto_run3_MTE!T475+Bilans_E_AMS_Kyoto_run3_MTE!U475</f>
        <v>0</v>
      </c>
      <c r="Q325" s="711">
        <f>Bilans_E_AMS_Kyoto_run3_MTE!V475</f>
        <v>0</v>
      </c>
      <c r="R325" s="711">
        <f>Bilans_E_AMS_Kyoto_run3_MTE!W475</f>
        <v>0</v>
      </c>
      <c r="S325" s="711">
        <f>Bilans_E_AMS_Kyoto_run3_MTE!X475</f>
        <v>0</v>
      </c>
      <c r="T325" s="711">
        <f>Bilans_E_AMS_Kyoto_run3_MTE!Y475</f>
        <v>0</v>
      </c>
      <c r="U325" s="711">
        <f>Bilans_E_AMS_Kyoto_run3_MTE!Z475</f>
        <v>5.4115941402756249</v>
      </c>
      <c r="V325" s="701"/>
      <c r="W325" s="701"/>
    </row>
    <row r="326" spans="1:23" x14ac:dyDescent="0.25">
      <c r="A326" s="701" t="s">
        <v>504</v>
      </c>
      <c r="B326" s="701"/>
      <c r="C326" s="717" t="s">
        <v>75</v>
      </c>
      <c r="D326" s="711">
        <f>Bilans_E_AMS_Kyoto_run3_MTE!H476</f>
        <v>1.2755689843750002</v>
      </c>
      <c r="E326" s="711">
        <f>Bilans_E_AMS_Kyoto_run3_MTE!I476</f>
        <v>0</v>
      </c>
      <c r="F326" s="711">
        <f>Bilans_E_AMS_Kyoto_run3_MTE!J476</f>
        <v>6.4072238182271617</v>
      </c>
      <c r="G326" s="711">
        <f>Bilans_E_AMS_Kyoto_run3_MTE!K476</f>
        <v>0</v>
      </c>
      <c r="H326" s="711">
        <f>Bilans_E_AMS_Kyoto_run3_MTE!L476</f>
        <v>0</v>
      </c>
      <c r="I326" s="711">
        <f>Bilans_E_AMS_Kyoto_run3_MTE!M476</f>
        <v>0</v>
      </c>
      <c r="J326" s="711">
        <f>Bilans_E_AMS_Kyoto_run3_MTE!N476</f>
        <v>0</v>
      </c>
      <c r="K326" s="711">
        <f>Bilans_E_AMS_Kyoto_run3_MTE!O476</f>
        <v>0</v>
      </c>
      <c r="L326" s="711">
        <f>Bilans_E_AMS_Kyoto_run3_MTE!P476</f>
        <v>0</v>
      </c>
      <c r="M326" s="711">
        <f>Bilans_E_AMS_Kyoto_run3_MTE!Q476</f>
        <v>0</v>
      </c>
      <c r="N326" s="711">
        <f>Bilans_E_AMS_Kyoto_run3_MTE!R476</f>
        <v>0</v>
      </c>
      <c r="O326" s="711">
        <f>Bilans_E_AMS_Kyoto_run3_MTE!S476</f>
        <v>0</v>
      </c>
      <c r="P326" s="711">
        <f>Bilans_E_AMS_Kyoto_run3_MTE!T476+Bilans_E_AMS_Kyoto_run3_MTE!U476</f>
        <v>0</v>
      </c>
      <c r="Q326" s="711">
        <f>Bilans_E_AMS_Kyoto_run3_MTE!V476</f>
        <v>0</v>
      </c>
      <c r="R326" s="711">
        <f>Bilans_E_AMS_Kyoto_run3_MTE!W476</f>
        <v>38.57687969589584</v>
      </c>
      <c r="S326" s="711">
        <f>Bilans_E_AMS_Kyoto_run3_MTE!X476</f>
        <v>0</v>
      </c>
      <c r="T326" s="711">
        <f>Bilans_E_AMS_Kyoto_run3_MTE!Y476</f>
        <v>1.8110857498187163</v>
      </c>
      <c r="U326" s="711">
        <f>Bilans_E_AMS_Kyoto_run3_MTE!Z476</f>
        <v>48.070758248316722</v>
      </c>
      <c r="V326" s="701"/>
      <c r="W326" s="701"/>
    </row>
    <row r="327" spans="1:23" x14ac:dyDescent="0.25">
      <c r="A327" s="701" t="s">
        <v>505</v>
      </c>
      <c r="B327" s="701"/>
      <c r="C327" s="717" t="s">
        <v>76</v>
      </c>
      <c r="D327" s="711">
        <f>Bilans_E_AMS_Kyoto_run3_MTE!H477</f>
        <v>0</v>
      </c>
      <c r="E327" s="711">
        <f>Bilans_E_AMS_Kyoto_run3_MTE!I477</f>
        <v>0</v>
      </c>
      <c r="F327" s="711">
        <f>Bilans_E_AMS_Kyoto_run3_MTE!J477</f>
        <v>0</v>
      </c>
      <c r="G327" s="711">
        <f>Bilans_E_AMS_Kyoto_run3_MTE!K477</f>
        <v>0</v>
      </c>
      <c r="H327" s="711">
        <f>Bilans_E_AMS_Kyoto_run3_MTE!L477</f>
        <v>0.98381967017411598</v>
      </c>
      <c r="I327" s="711">
        <f>Bilans_E_AMS_Kyoto_run3_MTE!M477</f>
        <v>1.0355996528148588E-2</v>
      </c>
      <c r="J327" s="711">
        <f>Bilans_E_AMS_Kyoto_run3_MTE!N477</f>
        <v>0</v>
      </c>
      <c r="K327" s="711">
        <f>Bilans_E_AMS_Kyoto_run3_MTE!O477</f>
        <v>0</v>
      </c>
      <c r="L327" s="711">
        <f>Bilans_E_AMS_Kyoto_run3_MTE!P477</f>
        <v>0</v>
      </c>
      <c r="M327" s="711">
        <f>Bilans_E_AMS_Kyoto_run3_MTE!Q477</f>
        <v>0</v>
      </c>
      <c r="N327" s="711">
        <f>Bilans_E_AMS_Kyoto_run3_MTE!R477</f>
        <v>0</v>
      </c>
      <c r="O327" s="711">
        <f>Bilans_E_AMS_Kyoto_run3_MTE!S477</f>
        <v>0.73182375465583349</v>
      </c>
      <c r="P327" s="711">
        <f>Bilans_E_AMS_Kyoto_run3_MTE!T477+Bilans_E_AMS_Kyoto_run3_MTE!U477</f>
        <v>0</v>
      </c>
      <c r="Q327" s="711">
        <f>Bilans_E_AMS_Kyoto_run3_MTE!V477</f>
        <v>0</v>
      </c>
      <c r="R327" s="711">
        <f>Bilans_E_AMS_Kyoto_run3_MTE!W477</f>
        <v>58.720759743857542</v>
      </c>
      <c r="S327" s="711">
        <f>Bilans_E_AMS_Kyoto_run3_MTE!X477</f>
        <v>6.7361736922382924</v>
      </c>
      <c r="T327" s="711">
        <f>Bilans_E_AMS_Kyoto_run3_MTE!Y477</f>
        <v>0</v>
      </c>
      <c r="U327" s="711">
        <f>Bilans_E_AMS_Kyoto_run3_MTE!Z477</f>
        <v>67.182932857453935</v>
      </c>
      <c r="V327" s="701"/>
      <c r="W327" s="701"/>
    </row>
    <row r="328" spans="1:23" x14ac:dyDescent="0.25">
      <c r="A328" s="701" t="s">
        <v>506</v>
      </c>
      <c r="B328" s="701"/>
      <c r="C328" s="713" t="s">
        <v>77</v>
      </c>
      <c r="D328" s="714">
        <f>Bilans_E_AMS_Kyoto_run3_MTE!H478</f>
        <v>4.5556035156250001</v>
      </c>
      <c r="E328" s="714">
        <f>Bilans_E_AMS_Kyoto_run3_MTE!I478</f>
        <v>177.55502583689511</v>
      </c>
      <c r="F328" s="714">
        <f>Bilans_E_AMS_Kyoto_run3_MTE!J478</f>
        <v>-167.14988113675898</v>
      </c>
      <c r="G328" s="714">
        <f>Bilans_E_AMS_Kyoto_run3_MTE!K478</f>
        <v>-10.918730471145594</v>
      </c>
      <c r="H328" s="714">
        <f>Bilans_E_AMS_Kyoto_run3_MTE!L478</f>
        <v>12.34745368902659</v>
      </c>
      <c r="I328" s="714">
        <f>Bilans_E_AMS_Kyoto_run3_MTE!M478</f>
        <v>-2.5126460562266661</v>
      </c>
      <c r="J328" s="714">
        <f>Bilans_E_AMS_Kyoto_run3_MTE!N478</f>
        <v>1099.5846392966657</v>
      </c>
      <c r="K328" s="714">
        <f>Bilans_E_AMS_Kyoto_run3_MTE!O478</f>
        <v>432.558137271254</v>
      </c>
      <c r="L328" s="714">
        <f>Bilans_E_AMS_Kyoto_run3_MTE!P478</f>
        <v>277.93237210319938</v>
      </c>
      <c r="M328" s="714">
        <f>Bilans_E_AMS_Kyoto_run3_MTE!Q478</f>
        <v>37.745140849319363</v>
      </c>
      <c r="N328" s="714">
        <f>Bilans_E_AMS_Kyoto_run3_MTE!R478</f>
        <v>-52.823481246101892</v>
      </c>
      <c r="O328" s="714">
        <f>Bilans_E_AMS_Kyoto_run3_MTE!S478</f>
        <v>-66.004971228004962</v>
      </c>
      <c r="P328" s="714">
        <f>Bilans_E_AMS_Kyoto_run3_MTE!T478+Bilans_E_AMS_Kyoto_run3_MTE!U478</f>
        <v>18.404716933116433</v>
      </c>
      <c r="Q328" s="714">
        <f>Bilans_E_AMS_Kyoto_run3_MTE!V478</f>
        <v>19.863896915877778</v>
      </c>
      <c r="R328" s="714">
        <f>Bilans_E_AMS_Kyoto_run3_MTE!W478</f>
        <v>-641.4616245754471</v>
      </c>
      <c r="S328" s="714">
        <f>Bilans_E_AMS_Kyoto_run3_MTE!X478</f>
        <v>-80.131352097194963</v>
      </c>
      <c r="T328" s="714">
        <f>Bilans_E_AMS_Kyoto_run3_MTE!Y478</f>
        <v>-26.363705726037281</v>
      </c>
      <c r="U328" s="714">
        <f>Bilans_E_AMS_Kyoto_run3_MTE!Z478</f>
        <v>1033.1805938740617</v>
      </c>
      <c r="V328" s="701"/>
      <c r="W328" s="701"/>
    </row>
    <row r="329" spans="1:23" x14ac:dyDescent="0.25">
      <c r="A329" s="701"/>
      <c r="B329" s="701"/>
      <c r="C329" s="715"/>
      <c r="D329" s="716"/>
      <c r="E329" s="716"/>
      <c r="F329" s="716"/>
      <c r="G329" s="716"/>
      <c r="H329" s="716"/>
      <c r="I329" s="716"/>
      <c r="J329" s="716"/>
      <c r="K329" s="716"/>
      <c r="L329" s="716"/>
      <c r="M329" s="716"/>
      <c r="N329" s="716"/>
      <c r="O329" s="716"/>
      <c r="P329" s="716">
        <f>Bilans_E_AMS_Kyoto_run3_MTE!T479+Bilans_E_AMS_Kyoto_run3_MTE!U479</f>
        <v>0</v>
      </c>
      <c r="Q329" s="716"/>
      <c r="R329" s="716"/>
      <c r="S329" s="716"/>
      <c r="T329" s="716"/>
      <c r="U329" s="716"/>
      <c r="V329" s="701"/>
      <c r="W329" s="701"/>
    </row>
    <row r="330" spans="1:23" x14ac:dyDescent="0.25">
      <c r="A330" s="701" t="s">
        <v>507</v>
      </c>
      <c r="B330" s="701"/>
      <c r="C330" s="717" t="s">
        <v>78</v>
      </c>
      <c r="D330" s="711">
        <f>Bilans_E_AMS_Kyoto_run3_MTE!H480</f>
        <v>0.16342834472656248</v>
      </c>
      <c r="E330" s="711">
        <f>Bilans_E_AMS_Kyoto_run3_MTE!I480</f>
        <v>0</v>
      </c>
      <c r="F330" s="711">
        <f>Bilans_E_AMS_Kyoto_run3_MTE!J480</f>
        <v>1.192335444968337</v>
      </c>
      <c r="G330" s="711">
        <f>Bilans_E_AMS_Kyoto_run3_MTE!K480</f>
        <v>0</v>
      </c>
      <c r="H330" s="711">
        <f>Bilans_E_AMS_Kyoto_run3_MTE!L480</f>
        <v>32.001904580711056</v>
      </c>
      <c r="I330" s="711">
        <f>Bilans_E_AMS_Kyoto_run3_MTE!M480</f>
        <v>0.33686215348116894</v>
      </c>
      <c r="J330" s="711">
        <f>Bilans_E_AMS_Kyoto_run3_MTE!N480</f>
        <v>0</v>
      </c>
      <c r="K330" s="711">
        <f>Bilans_E_AMS_Kyoto_run3_MTE!O480</f>
        <v>0</v>
      </c>
      <c r="L330" s="711">
        <f>Bilans_E_AMS_Kyoto_run3_MTE!P480</f>
        <v>35.925037819448683</v>
      </c>
      <c r="M330" s="711">
        <f>Bilans_E_AMS_Kyoto_run3_MTE!Q480</f>
        <v>8.355944349353404</v>
      </c>
      <c r="N330" s="711">
        <f>Bilans_E_AMS_Kyoto_run3_MTE!R480</f>
        <v>0.41126405446607639</v>
      </c>
      <c r="O330" s="711">
        <f>Bilans_E_AMS_Kyoto_run3_MTE!S480</f>
        <v>23.845200759921546</v>
      </c>
      <c r="P330" s="711">
        <f>Bilans_E_AMS_Kyoto_run3_MTE!T480+Bilans_E_AMS_Kyoto_run3_MTE!U480</f>
        <v>12.595482421874999</v>
      </c>
      <c r="Q330" s="711">
        <f>Bilans_E_AMS_Kyoto_run3_MTE!V480</f>
        <v>8.2107689234467234E-4</v>
      </c>
      <c r="R330" s="711">
        <f>Bilans_E_AMS_Kyoto_run3_MTE!W480</f>
        <v>157.38101577829286</v>
      </c>
      <c r="S330" s="711">
        <f>Bilans_E_AMS_Kyoto_run3_MTE!X480</f>
        <v>19.581895205138572</v>
      </c>
      <c r="T330" s="711">
        <f>Bilans_E_AMS_Kyoto_run3_MTE!Y480</f>
        <v>11.602856445312501</v>
      </c>
      <c r="U330" s="711">
        <f>Bilans_E_AMS_Kyoto_run3_MTE!Z480</f>
        <v>303.39404843458811</v>
      </c>
      <c r="V330" s="701"/>
      <c r="W330" s="701"/>
    </row>
    <row r="331" spans="1:23" x14ac:dyDescent="0.25">
      <c r="A331" s="701" t="s">
        <v>508</v>
      </c>
      <c r="B331" s="701"/>
      <c r="C331" s="717" t="s">
        <v>79</v>
      </c>
      <c r="D331" s="711">
        <f>Bilans_E_AMS_Kyoto_run3_MTE!H481</f>
        <v>0</v>
      </c>
      <c r="E331" s="711">
        <f>Bilans_E_AMS_Kyoto_run3_MTE!I481</f>
        <v>0</v>
      </c>
      <c r="F331" s="711">
        <f>Bilans_E_AMS_Kyoto_run3_MTE!J481</f>
        <v>57.415221307039587</v>
      </c>
      <c r="G331" s="711">
        <f>Bilans_E_AMS_Kyoto_run3_MTE!K481</f>
        <v>1.6</v>
      </c>
      <c r="H331" s="711">
        <f>Bilans_E_AMS_Kyoto_run3_MTE!L481</f>
        <v>4.3056781164291928</v>
      </c>
      <c r="I331" s="711">
        <f>Bilans_E_AMS_Kyoto_run3_MTE!M481</f>
        <v>4.5322927541359921E-2</v>
      </c>
      <c r="J331" s="711">
        <f>Bilans_E_AMS_Kyoto_run3_MTE!N481</f>
        <v>0</v>
      </c>
      <c r="K331" s="711">
        <f>Bilans_E_AMS_Kyoto_run3_MTE!O481</f>
        <v>0</v>
      </c>
      <c r="L331" s="711">
        <f>Bilans_E_AMS_Kyoto_run3_MTE!P481</f>
        <v>0</v>
      </c>
      <c r="M331" s="711">
        <f>Bilans_E_AMS_Kyoto_run3_MTE!Q481</f>
        <v>0</v>
      </c>
      <c r="N331" s="711">
        <f>Bilans_E_AMS_Kyoto_run3_MTE!R481</f>
        <v>31.800952318042711</v>
      </c>
      <c r="O331" s="711">
        <f>Bilans_E_AMS_Kyoto_run3_MTE!S481</f>
        <v>3.2028202129227674</v>
      </c>
      <c r="P331" s="711">
        <f>Bilans_E_AMS_Kyoto_run3_MTE!T481+Bilans_E_AMS_Kyoto_run3_MTE!U481</f>
        <v>0</v>
      </c>
      <c r="Q331" s="711">
        <f>Bilans_E_AMS_Kyoto_run3_MTE!V481</f>
        <v>0</v>
      </c>
      <c r="R331" s="711">
        <f>Bilans_E_AMS_Kyoto_run3_MTE!W481</f>
        <v>112.28525884459542</v>
      </c>
      <c r="S331" s="711">
        <f>Bilans_E_AMS_Kyoto_run3_MTE!X481</f>
        <v>0</v>
      </c>
      <c r="T331" s="711">
        <f>Bilans_E_AMS_Kyoto_run3_MTE!Y481</f>
        <v>5.8069925085288689</v>
      </c>
      <c r="U331" s="711">
        <f>Bilans_E_AMS_Kyoto_run3_MTE!Z481</f>
        <v>216.46224623509994</v>
      </c>
      <c r="V331" s="701"/>
      <c r="W331" s="701"/>
    </row>
    <row r="332" spans="1:23" x14ac:dyDescent="0.25">
      <c r="A332" s="701" t="s">
        <v>509</v>
      </c>
      <c r="B332" s="701"/>
      <c r="C332" s="717" t="s">
        <v>80</v>
      </c>
      <c r="D332" s="711">
        <f>Bilans_E_AMS_Kyoto_run3_MTE!H482</f>
        <v>0</v>
      </c>
      <c r="E332" s="711">
        <f>Bilans_E_AMS_Kyoto_run3_MTE!I482</f>
        <v>0</v>
      </c>
      <c r="F332" s="711">
        <f>Bilans_E_AMS_Kyoto_run3_MTE!J482</f>
        <v>0.29271355474186761</v>
      </c>
      <c r="G332" s="711">
        <f>Bilans_E_AMS_Kyoto_run3_MTE!K482</f>
        <v>0</v>
      </c>
      <c r="H332" s="711">
        <f>Bilans_E_AMS_Kyoto_run3_MTE!L482</f>
        <v>21.230302820629564</v>
      </c>
      <c r="I332" s="711">
        <f>Bilans_E_AMS_Kyoto_run3_MTE!M482</f>
        <v>0.22347687179610068</v>
      </c>
      <c r="J332" s="711">
        <f>Bilans_E_AMS_Kyoto_run3_MTE!N482</f>
        <v>0</v>
      </c>
      <c r="K332" s="711">
        <f>Bilans_E_AMS_Kyoto_run3_MTE!O482</f>
        <v>0</v>
      </c>
      <c r="L332" s="711">
        <f>Bilans_E_AMS_Kyoto_run3_MTE!P482</f>
        <v>42.610592667556531</v>
      </c>
      <c r="M332" s="711">
        <f>Bilans_E_AMS_Kyoto_run3_MTE!Q482</f>
        <v>0</v>
      </c>
      <c r="N332" s="711">
        <f>Bilans_E_AMS_Kyoto_run3_MTE!R482</f>
        <v>0</v>
      </c>
      <c r="O332" s="711">
        <f>Bilans_E_AMS_Kyoto_run3_MTE!S482</f>
        <v>15.792365606924447</v>
      </c>
      <c r="P332" s="711">
        <f>Bilans_E_AMS_Kyoto_run3_MTE!T482+Bilans_E_AMS_Kyoto_run3_MTE!U482</f>
        <v>140.68580630413436</v>
      </c>
      <c r="Q332" s="711">
        <f>Bilans_E_AMS_Kyoto_run3_MTE!V482</f>
        <v>11.422179608472932</v>
      </c>
      <c r="R332" s="711">
        <f>Bilans_E_AMS_Kyoto_run3_MTE!W482</f>
        <v>140.84431405230941</v>
      </c>
      <c r="S332" s="711">
        <f>Bilans_E_AMS_Kyoto_run3_MTE!X482</f>
        <v>37.657555904845751</v>
      </c>
      <c r="T332" s="711">
        <f>Bilans_E_AMS_Kyoto_run3_MTE!Y482</f>
        <v>0</v>
      </c>
      <c r="U332" s="711">
        <f>Bilans_E_AMS_Kyoto_run3_MTE!Z482</f>
        <v>410.75930739141103</v>
      </c>
      <c r="V332" s="701"/>
      <c r="W332" s="701"/>
    </row>
    <row r="333" spans="1:23" x14ac:dyDescent="0.25">
      <c r="A333" s="701" t="s">
        <v>510</v>
      </c>
      <c r="B333" s="701"/>
      <c r="C333" s="717" t="s">
        <v>81</v>
      </c>
      <c r="D333" s="711">
        <f>Bilans_E_AMS_Kyoto_run3_MTE!H483</f>
        <v>0</v>
      </c>
      <c r="E333" s="711">
        <f>Bilans_E_AMS_Kyoto_run3_MTE!I483</f>
        <v>0</v>
      </c>
      <c r="F333" s="711">
        <f>Bilans_E_AMS_Kyoto_run3_MTE!J483</f>
        <v>0.52496175669255951</v>
      </c>
      <c r="G333" s="711">
        <f>Bilans_E_AMS_Kyoto_run3_MTE!K483</f>
        <v>0</v>
      </c>
      <c r="H333" s="711">
        <f>Bilans_E_AMS_Kyoto_run3_MTE!L483</f>
        <v>12.447473647538219</v>
      </c>
      <c r="I333" s="711">
        <f>Bilans_E_AMS_Kyoto_run3_MTE!M483</f>
        <v>0.13102603839513913</v>
      </c>
      <c r="J333" s="711">
        <f>Bilans_E_AMS_Kyoto_run3_MTE!N483</f>
        <v>0</v>
      </c>
      <c r="K333" s="711">
        <f>Bilans_E_AMS_Kyoto_run3_MTE!O483</f>
        <v>0</v>
      </c>
      <c r="L333" s="711">
        <f>Bilans_E_AMS_Kyoto_run3_MTE!P483</f>
        <v>0.50385641884580723</v>
      </c>
      <c r="M333" s="711">
        <f>Bilans_E_AMS_Kyoto_run3_MTE!Q483</f>
        <v>0</v>
      </c>
      <c r="N333" s="711">
        <f>Bilans_E_AMS_Kyoto_run3_MTE!R483</f>
        <v>0</v>
      </c>
      <c r="O333" s="711">
        <f>Bilans_E_AMS_Kyoto_run3_MTE!S483</f>
        <v>9.2591733799231637</v>
      </c>
      <c r="P333" s="711">
        <f>Bilans_E_AMS_Kyoto_run3_MTE!T483+Bilans_E_AMS_Kyoto_run3_MTE!U483</f>
        <v>55.972584841883723</v>
      </c>
      <c r="Q333" s="711">
        <f>Bilans_E_AMS_Kyoto_run3_MTE!V483</f>
        <v>11.263560576499328</v>
      </c>
      <c r="R333" s="711">
        <f>Bilans_E_AMS_Kyoto_run3_MTE!W483</f>
        <v>122.13846664869735</v>
      </c>
      <c r="S333" s="711">
        <f>Bilans_E_AMS_Kyoto_run3_MTE!X483</f>
        <v>22.891868477454477</v>
      </c>
      <c r="T333" s="711">
        <f>Bilans_E_AMS_Kyoto_run3_MTE!Y483</f>
        <v>0</v>
      </c>
      <c r="U333" s="711">
        <f>Bilans_E_AMS_Kyoto_run3_MTE!Z483</f>
        <v>235.13297178592975</v>
      </c>
      <c r="V333" s="701"/>
      <c r="W333" s="701"/>
    </row>
    <row r="334" spans="1:23" x14ac:dyDescent="0.25">
      <c r="A334" s="701" t="s">
        <v>511</v>
      </c>
      <c r="B334" s="701"/>
      <c r="C334" s="717" t="s">
        <v>82</v>
      </c>
      <c r="D334" s="711">
        <f>Bilans_E_AMS_Kyoto_run3_MTE!H484</f>
        <v>0</v>
      </c>
      <c r="E334" s="711">
        <f>Bilans_E_AMS_Kyoto_run3_MTE!I484</f>
        <v>0</v>
      </c>
      <c r="F334" s="711">
        <f>Bilans_E_AMS_Kyoto_run3_MTE!J484</f>
        <v>8.4604278538625355</v>
      </c>
      <c r="G334" s="711">
        <f>Bilans_E_AMS_Kyoto_run3_MTE!K484</f>
        <v>0</v>
      </c>
      <c r="H334" s="711">
        <f>Bilans_E_AMS_Kyoto_run3_MTE!L484</f>
        <v>0.63597933034917353</v>
      </c>
      <c r="I334" s="711">
        <f>Bilans_E_AMS_Kyoto_run3_MTE!M484</f>
        <v>6.6945192668334047E-3</v>
      </c>
      <c r="J334" s="711">
        <f>Bilans_E_AMS_Kyoto_run3_MTE!N484</f>
        <v>0</v>
      </c>
      <c r="K334" s="711">
        <f>Bilans_E_AMS_Kyoto_run3_MTE!O484</f>
        <v>0</v>
      </c>
      <c r="L334" s="711">
        <f>Bilans_E_AMS_Kyoto_run3_MTE!P484</f>
        <v>16.880915854504494</v>
      </c>
      <c r="M334" s="711">
        <f>Bilans_E_AMS_Kyoto_run3_MTE!Q484</f>
        <v>0</v>
      </c>
      <c r="N334" s="711">
        <f>Bilans_E_AMS_Kyoto_run3_MTE!R484</f>
        <v>8.0439535729809908</v>
      </c>
      <c r="O334" s="711">
        <f>Bilans_E_AMS_Kyoto_run3_MTE!S484</f>
        <v>0.47307936152289393</v>
      </c>
      <c r="P334" s="711">
        <f>Bilans_E_AMS_Kyoto_run3_MTE!T484+Bilans_E_AMS_Kyoto_run3_MTE!U484</f>
        <v>1.1499999999999999</v>
      </c>
      <c r="Q334" s="711">
        <f>Bilans_E_AMS_Kyoto_run3_MTE!V484</f>
        <v>1.5666563685107562</v>
      </c>
      <c r="R334" s="711">
        <f>Bilans_E_AMS_Kyoto_run3_MTE!W484</f>
        <v>10.022325873265157</v>
      </c>
      <c r="S334" s="711">
        <f>Bilans_E_AMS_Kyoto_run3_MTE!X484</f>
        <v>0</v>
      </c>
      <c r="T334" s="711">
        <f>Bilans_E_AMS_Kyoto_run3_MTE!Y484</f>
        <v>0.50936070240640652</v>
      </c>
      <c r="U334" s="711">
        <f>Bilans_E_AMS_Kyoto_run3_MTE!Z484</f>
        <v>47.74939343666923</v>
      </c>
      <c r="V334" s="701"/>
      <c r="W334" s="701"/>
    </row>
    <row r="335" spans="1:23" x14ac:dyDescent="0.25">
      <c r="A335" s="701" t="s">
        <v>512</v>
      </c>
      <c r="B335" s="701"/>
      <c r="C335" s="717" t="s">
        <v>354</v>
      </c>
      <c r="D335" s="711">
        <f>Bilans_E_AMS_Kyoto_run3_MTE!H485</f>
        <v>0</v>
      </c>
      <c r="E335" s="711">
        <f>Bilans_E_AMS_Kyoto_run3_MTE!I485</f>
        <v>0</v>
      </c>
      <c r="F335" s="711">
        <f>Bilans_E_AMS_Kyoto_run3_MTE!J485</f>
        <v>0</v>
      </c>
      <c r="G335" s="711">
        <f>Bilans_E_AMS_Kyoto_run3_MTE!K485</f>
        <v>0</v>
      </c>
      <c r="H335" s="711">
        <f>Bilans_E_AMS_Kyoto_run3_MTE!L485</f>
        <v>0</v>
      </c>
      <c r="I335" s="711">
        <f>Bilans_E_AMS_Kyoto_run3_MTE!M485</f>
        <v>0</v>
      </c>
      <c r="J335" s="711">
        <f>Bilans_E_AMS_Kyoto_run3_MTE!N485</f>
        <v>0</v>
      </c>
      <c r="K335" s="711">
        <f>Bilans_E_AMS_Kyoto_run3_MTE!O485</f>
        <v>0</v>
      </c>
      <c r="L335" s="711">
        <f>Bilans_E_AMS_Kyoto_run3_MTE!P485</f>
        <v>0</v>
      </c>
      <c r="M335" s="711">
        <f>Bilans_E_AMS_Kyoto_run3_MTE!Q485</f>
        <v>0</v>
      </c>
      <c r="N335" s="711">
        <f>Bilans_E_AMS_Kyoto_run3_MTE!R485</f>
        <v>0</v>
      </c>
      <c r="O335" s="711">
        <f>Bilans_E_AMS_Kyoto_run3_MTE!S485</f>
        <v>0</v>
      </c>
      <c r="P335" s="711">
        <f>Bilans_E_AMS_Kyoto_run3_MTE!T485+Bilans_E_AMS_Kyoto_run3_MTE!U485</f>
        <v>0</v>
      </c>
      <c r="Q335" s="711">
        <f>Bilans_E_AMS_Kyoto_run3_MTE!V485</f>
        <v>0</v>
      </c>
      <c r="R335" s="711">
        <f>Bilans_E_AMS_Kyoto_run3_MTE!W485</f>
        <v>6.8640000000000008</v>
      </c>
      <c r="S335" s="711">
        <f>Bilans_E_AMS_Kyoto_run3_MTE!X485</f>
        <v>0</v>
      </c>
      <c r="T335" s="711">
        <f>Bilans_E_AMS_Kyoto_run3_MTE!Y485</f>
        <v>0</v>
      </c>
      <c r="U335" s="711">
        <f>Bilans_E_AMS_Kyoto_run3_MTE!Z485</f>
        <v>6.8640000000000008</v>
      </c>
      <c r="V335" s="701"/>
      <c r="W335" s="701"/>
    </row>
    <row r="336" spans="1:23" x14ac:dyDescent="0.25">
      <c r="A336" s="701" t="s">
        <v>513</v>
      </c>
      <c r="B336" s="701"/>
      <c r="C336" s="713" t="s">
        <v>83</v>
      </c>
      <c r="D336" s="714">
        <f>Bilans_E_AMS_Kyoto_run3_MTE!H486</f>
        <v>0.16342834472656248</v>
      </c>
      <c r="E336" s="714">
        <f>Bilans_E_AMS_Kyoto_run3_MTE!I486</f>
        <v>0</v>
      </c>
      <c r="F336" s="714">
        <f>Bilans_E_AMS_Kyoto_run3_MTE!J486</f>
        <v>67.885659917304892</v>
      </c>
      <c r="G336" s="714">
        <f>Bilans_E_AMS_Kyoto_run3_MTE!K486</f>
        <v>1.6</v>
      </c>
      <c r="H336" s="714">
        <f>Bilans_E_AMS_Kyoto_run3_MTE!L486</f>
        <v>70.621338495657199</v>
      </c>
      <c r="I336" s="714">
        <f>Bilans_E_AMS_Kyoto_run3_MTE!M486</f>
        <v>0.74338251048060211</v>
      </c>
      <c r="J336" s="714">
        <f>Bilans_E_AMS_Kyoto_run3_MTE!N486</f>
        <v>0</v>
      </c>
      <c r="K336" s="714">
        <f>Bilans_E_AMS_Kyoto_run3_MTE!O486</f>
        <v>0</v>
      </c>
      <c r="L336" s="714">
        <f>Bilans_E_AMS_Kyoto_run3_MTE!P486</f>
        <v>95.920402760355529</v>
      </c>
      <c r="M336" s="714">
        <f>Bilans_E_AMS_Kyoto_run3_MTE!Q486</f>
        <v>8.355944349353404</v>
      </c>
      <c r="N336" s="714">
        <f>Bilans_E_AMS_Kyoto_run3_MTE!R486</f>
        <v>40.256169945489773</v>
      </c>
      <c r="O336" s="714">
        <f>Bilans_E_AMS_Kyoto_run3_MTE!S486</f>
        <v>52.572639321214815</v>
      </c>
      <c r="P336" s="714">
        <f>Bilans_E_AMS_Kyoto_run3_MTE!T486+Bilans_E_AMS_Kyoto_run3_MTE!U486</f>
        <v>210.4038735678931</v>
      </c>
      <c r="Q336" s="714">
        <f>Bilans_E_AMS_Kyoto_run3_MTE!V486</f>
        <v>24.25321763037536</v>
      </c>
      <c r="R336" s="714">
        <f>Bilans_E_AMS_Kyoto_run3_MTE!W486</f>
        <v>549.53538119716018</v>
      </c>
      <c r="S336" s="714">
        <f>Bilans_E_AMS_Kyoto_run3_MTE!X486</f>
        <v>80.131319587438796</v>
      </c>
      <c r="T336" s="714">
        <f>Bilans_E_AMS_Kyoto_run3_MTE!Y486</f>
        <v>17.919209656247777</v>
      </c>
      <c r="U336" s="714">
        <f>Bilans_E_AMS_Kyoto_run3_MTE!Z486</f>
        <v>1220.361967283698</v>
      </c>
      <c r="V336" s="701"/>
      <c r="W336" s="701"/>
    </row>
    <row r="337" spans="1:23" x14ac:dyDescent="0.25">
      <c r="A337" s="701" t="s">
        <v>514</v>
      </c>
      <c r="B337" s="701"/>
      <c r="C337" s="710" t="s">
        <v>84</v>
      </c>
      <c r="D337" s="711">
        <f>Bilans_E_AMS_Kyoto_run3_MTE!H487</f>
        <v>0</v>
      </c>
      <c r="E337" s="711">
        <f>Bilans_E_AMS_Kyoto_run3_MTE!I487</f>
        <v>0</v>
      </c>
      <c r="F337" s="711">
        <f>Bilans_E_AMS_Kyoto_run3_MTE!J487</f>
        <v>98.630833151912839</v>
      </c>
      <c r="G337" s="711">
        <f>Bilans_E_AMS_Kyoto_run3_MTE!K487</f>
        <v>3.094705785318189</v>
      </c>
      <c r="H337" s="711">
        <f>Bilans_E_AMS_Kyoto_run3_MTE!L487</f>
        <v>10.821936682039073</v>
      </c>
      <c r="I337" s="711">
        <f>Bilans_E_AMS_Kyoto_run3_MTE!M487</f>
        <v>0</v>
      </c>
      <c r="J337" s="711">
        <f>Bilans_E_AMS_Kyoto_run3_MTE!N487</f>
        <v>0</v>
      </c>
      <c r="K337" s="711">
        <f>Bilans_E_AMS_Kyoto_run3_MTE!O487</f>
        <v>0</v>
      </c>
      <c r="L337" s="711">
        <f>Bilans_E_AMS_Kyoto_run3_MTE!P487</f>
        <v>0.52555901393570603</v>
      </c>
      <c r="M337" s="711">
        <f>Bilans_E_AMS_Kyoto_run3_MTE!Q487</f>
        <v>0</v>
      </c>
      <c r="N337" s="711">
        <f>Bilans_E_AMS_Kyoto_run3_MTE!R487</f>
        <v>4.7238090812444442</v>
      </c>
      <c r="O337" s="711">
        <f>Bilans_E_AMS_Kyoto_run3_MTE!S487</f>
        <v>0</v>
      </c>
      <c r="P337" s="711">
        <f>Bilans_E_AMS_Kyoto_run3_MTE!T487+Bilans_E_AMS_Kyoto_run3_MTE!U487</f>
        <v>0</v>
      </c>
      <c r="Q337" s="711">
        <f>Bilans_E_AMS_Kyoto_run3_MTE!V487</f>
        <v>0</v>
      </c>
      <c r="R337" s="711">
        <f>Bilans_E_AMS_Kyoto_run3_MTE!W487</f>
        <v>0</v>
      </c>
      <c r="S337" s="711">
        <f>Bilans_E_AMS_Kyoto_run3_MTE!X487</f>
        <v>0</v>
      </c>
      <c r="T337" s="711">
        <f>Bilans_E_AMS_Kyoto_run3_MTE!Y487</f>
        <v>3.3812053333570531</v>
      </c>
      <c r="U337" s="711">
        <f>Bilans_E_AMS_Kyoto_run3_MTE!Z487</f>
        <v>121.17804904780731</v>
      </c>
      <c r="V337" s="701"/>
      <c r="W337" s="701"/>
    </row>
    <row r="338" spans="1:23" x14ac:dyDescent="0.25">
      <c r="A338" s="701" t="s">
        <v>515</v>
      </c>
      <c r="B338" s="701"/>
      <c r="C338" s="713" t="s">
        <v>85</v>
      </c>
      <c r="D338" s="714">
        <f>Bilans_E_AMS_Kyoto_run3_MTE!H488</f>
        <v>0.16342834472656248</v>
      </c>
      <c r="E338" s="714">
        <f>Bilans_E_AMS_Kyoto_run3_MTE!I488</f>
        <v>0</v>
      </c>
      <c r="F338" s="714">
        <f>Bilans_E_AMS_Kyoto_run3_MTE!J488</f>
        <v>166.51649306921774</v>
      </c>
      <c r="G338" s="714">
        <f>Bilans_E_AMS_Kyoto_run3_MTE!K488</f>
        <v>4.6947057853181891</v>
      </c>
      <c r="H338" s="714">
        <f>Bilans_E_AMS_Kyoto_run3_MTE!L488</f>
        <v>81.443275177696279</v>
      </c>
      <c r="I338" s="714">
        <f>Bilans_E_AMS_Kyoto_run3_MTE!M488</f>
        <v>0.74338251048060211</v>
      </c>
      <c r="J338" s="714">
        <f>Bilans_E_AMS_Kyoto_run3_MTE!N488</f>
        <v>0</v>
      </c>
      <c r="K338" s="714">
        <f>Bilans_E_AMS_Kyoto_run3_MTE!O488</f>
        <v>0</v>
      </c>
      <c r="L338" s="714">
        <f>Bilans_E_AMS_Kyoto_run3_MTE!P488</f>
        <v>96.445961774291234</v>
      </c>
      <c r="M338" s="714">
        <f>Bilans_E_AMS_Kyoto_run3_MTE!Q488</f>
        <v>8.355944349353404</v>
      </c>
      <c r="N338" s="714">
        <f>Bilans_E_AMS_Kyoto_run3_MTE!R488</f>
        <v>44.97997902673422</v>
      </c>
      <c r="O338" s="714">
        <f>Bilans_E_AMS_Kyoto_run3_MTE!S488</f>
        <v>52.572639321214815</v>
      </c>
      <c r="P338" s="714">
        <f>Bilans_E_AMS_Kyoto_run3_MTE!T488+Bilans_E_AMS_Kyoto_run3_MTE!U488</f>
        <v>210.4038735678931</v>
      </c>
      <c r="Q338" s="714">
        <f>Bilans_E_AMS_Kyoto_run3_MTE!V488</f>
        <v>24.25321763037536</v>
      </c>
      <c r="R338" s="714">
        <f>Bilans_E_AMS_Kyoto_run3_MTE!W488</f>
        <v>549.53538119716018</v>
      </c>
      <c r="S338" s="714">
        <f>Bilans_E_AMS_Kyoto_run3_MTE!X488</f>
        <v>80.131319587438796</v>
      </c>
      <c r="T338" s="714">
        <f>Bilans_E_AMS_Kyoto_run3_MTE!Y488</f>
        <v>21.300414989604828</v>
      </c>
      <c r="U338" s="714">
        <f>Bilans_E_AMS_Kyoto_run3_MTE!Z488</f>
        <v>1341.5400163315053</v>
      </c>
      <c r="V338" s="701"/>
      <c r="W338" s="701"/>
    </row>
    <row r="339" spans="1:23" x14ac:dyDescent="0.25">
      <c r="A339" s="701"/>
      <c r="B339" s="701"/>
      <c r="C339" s="701"/>
      <c r="D339" s="701">
        <f>Bilans_E_AMS_Kyoto_run3_MTE!H489</f>
        <v>0</v>
      </c>
      <c r="E339" s="701">
        <f>Bilans_E_AMS_Kyoto_run3_MTE!I489</f>
        <v>0</v>
      </c>
      <c r="F339" s="701">
        <f>Bilans_E_AMS_Kyoto_run3_MTE!J489</f>
        <v>7.1054273576010019E-15</v>
      </c>
      <c r="G339" s="701">
        <f>Bilans_E_AMS_Kyoto_run3_MTE!K489</f>
        <v>0</v>
      </c>
      <c r="H339" s="701">
        <f>Bilans_E_AMS_Kyoto_run3_MTE!L489</f>
        <v>2.4547035224031788E-5</v>
      </c>
      <c r="I339" s="701">
        <f>Bilans_E_AMS_Kyoto_run3_MTE!M489</f>
        <v>-2.4547035192501454E-5</v>
      </c>
      <c r="J339" s="701">
        <f>Bilans_E_AMS_Kyoto_run3_MTE!N489</f>
        <v>0</v>
      </c>
      <c r="K339" s="701">
        <f>Bilans_E_AMS_Kyoto_run3_MTE!O489</f>
        <v>0</v>
      </c>
      <c r="L339" s="701">
        <f>Bilans_E_AMS_Kyoto_run3_MTE!P489</f>
        <v>0</v>
      </c>
      <c r="M339" s="701">
        <f>Bilans_E_AMS_Kyoto_run3_MTE!Q489</f>
        <v>0</v>
      </c>
      <c r="N339" s="701">
        <f>Bilans_E_AMS_Kyoto_run3_MTE!R489</f>
        <v>0</v>
      </c>
      <c r="O339" s="701">
        <f>Bilans_E_AMS_Kyoto_run3_MTE!S489</f>
        <v>0</v>
      </c>
      <c r="P339" s="701">
        <f>Bilans_E_AMS_Kyoto_run3_MTE!T489+Bilans_E_AMS_Kyoto_run3_MTE!U489</f>
        <v>0</v>
      </c>
      <c r="Q339" s="701">
        <f>Bilans_E_AMS_Kyoto_run3_MTE!V489</f>
        <v>0</v>
      </c>
      <c r="R339" s="701">
        <f>Bilans_E_AMS_Kyoto_run3_MTE!W489</f>
        <v>0</v>
      </c>
      <c r="S339" s="701">
        <f>Bilans_E_AMS_Kyoto_run3_MTE!X489</f>
        <v>-3.2509756167087289E-5</v>
      </c>
      <c r="T339" s="701">
        <f>Bilans_E_AMS_Kyoto_run3_MTE!Y489</f>
        <v>0</v>
      </c>
      <c r="U339" s="701">
        <f>Bilans_E_AMS_Kyoto_run3_MTE!Z489</f>
        <v>-3.2509756238141563E-5</v>
      </c>
      <c r="V339" s="701"/>
      <c r="W339" s="701"/>
    </row>
    <row r="340" spans="1:23" x14ac:dyDescent="0.25">
      <c r="A340" s="701"/>
      <c r="B340" s="701"/>
      <c r="C340" s="701"/>
      <c r="D340" s="701"/>
      <c r="E340" s="701"/>
      <c r="F340" s="701"/>
      <c r="G340" s="701"/>
      <c r="H340" s="701"/>
      <c r="I340" s="701"/>
      <c r="J340" s="701"/>
      <c r="K340" s="701"/>
      <c r="L340" s="701"/>
      <c r="M340" s="701"/>
      <c r="N340" s="701"/>
      <c r="O340" s="701"/>
      <c r="P340" s="701"/>
      <c r="Q340" s="701"/>
      <c r="R340" s="701"/>
      <c r="S340" s="701"/>
      <c r="T340" s="701"/>
      <c r="U340" s="701"/>
      <c r="V340" s="701"/>
      <c r="W340" s="701"/>
    </row>
    <row r="341" spans="1:23" x14ac:dyDescent="0.25">
      <c r="A341" s="707"/>
      <c r="B341" s="707"/>
      <c r="C341" s="708" t="s">
        <v>361</v>
      </c>
      <c r="D341" s="707"/>
      <c r="E341" s="707"/>
      <c r="F341" s="707"/>
      <c r="G341" s="707"/>
      <c r="H341" s="707"/>
      <c r="I341" s="707"/>
      <c r="J341" s="707"/>
      <c r="K341" s="707"/>
      <c r="L341" s="707"/>
      <c r="M341" s="707"/>
      <c r="N341" s="707"/>
      <c r="O341" s="707"/>
      <c r="P341" s="707"/>
      <c r="Q341" s="707"/>
      <c r="R341" s="707"/>
      <c r="S341" s="707"/>
      <c r="T341" s="707"/>
      <c r="U341" s="707"/>
      <c r="V341" s="707"/>
      <c r="W341" s="707"/>
    </row>
    <row r="342" spans="1:23" x14ac:dyDescent="0.25">
      <c r="A342" s="701"/>
      <c r="B342" s="701"/>
      <c r="C342" s="701"/>
      <c r="D342" s="701"/>
      <c r="E342" s="701"/>
      <c r="F342" s="701"/>
      <c r="G342" s="701"/>
      <c r="H342" s="701"/>
      <c r="I342" s="701"/>
      <c r="J342" s="701"/>
      <c r="K342" s="701"/>
      <c r="L342" s="701"/>
      <c r="M342" s="701"/>
      <c r="N342" s="701"/>
      <c r="O342" s="701"/>
      <c r="P342" s="701"/>
      <c r="Q342" s="701"/>
      <c r="R342" s="701"/>
      <c r="S342" s="701"/>
      <c r="T342" s="701"/>
      <c r="U342" s="701"/>
      <c r="V342" s="701"/>
      <c r="W342" s="701"/>
    </row>
    <row r="343" spans="1:23" x14ac:dyDescent="0.25">
      <c r="A343" s="701"/>
      <c r="B343" s="701"/>
      <c r="C343" s="780" t="s">
        <v>128</v>
      </c>
      <c r="D343" s="775" t="s">
        <v>42</v>
      </c>
      <c r="E343" s="775" t="s">
        <v>52</v>
      </c>
      <c r="F343" s="775" t="s">
        <v>53</v>
      </c>
      <c r="G343" s="775" t="s">
        <v>482</v>
      </c>
      <c r="H343" s="775" t="s">
        <v>32</v>
      </c>
      <c r="I343" s="775" t="s">
        <v>483</v>
      </c>
      <c r="J343" s="775" t="s">
        <v>20</v>
      </c>
      <c r="K343" s="775" t="s">
        <v>55</v>
      </c>
      <c r="L343" s="777" t="s">
        <v>56</v>
      </c>
      <c r="M343" s="778"/>
      <c r="N343" s="778"/>
      <c r="O343" s="778"/>
      <c r="P343" s="778"/>
      <c r="Q343" s="779"/>
      <c r="R343" s="775" t="s">
        <v>57</v>
      </c>
      <c r="S343" s="775" t="s">
        <v>58</v>
      </c>
      <c r="T343" s="775" t="s">
        <v>31</v>
      </c>
      <c r="U343" s="775" t="s">
        <v>10</v>
      </c>
      <c r="V343" s="701"/>
      <c r="W343" s="701"/>
    </row>
    <row r="344" spans="1:23" ht="67.5" x14ac:dyDescent="0.25">
      <c r="A344" s="701" t="s">
        <v>486</v>
      </c>
      <c r="B344" s="701"/>
      <c r="C344" s="781"/>
      <c r="D344" s="776"/>
      <c r="E344" s="776"/>
      <c r="F344" s="776"/>
      <c r="G344" s="776"/>
      <c r="H344" s="776"/>
      <c r="I344" s="776"/>
      <c r="J344" s="776"/>
      <c r="K344" s="776"/>
      <c r="L344" s="709" t="s">
        <v>335</v>
      </c>
      <c r="M344" s="709" t="s">
        <v>40</v>
      </c>
      <c r="N344" s="709" t="s">
        <v>343</v>
      </c>
      <c r="O344" s="709" t="s">
        <v>344</v>
      </c>
      <c r="P344" s="719" t="s">
        <v>610</v>
      </c>
      <c r="Q344" s="709" t="s">
        <v>346</v>
      </c>
      <c r="R344" s="776"/>
      <c r="S344" s="776"/>
      <c r="T344" s="776"/>
      <c r="U344" s="776"/>
      <c r="V344" s="701"/>
      <c r="W344" s="701"/>
    </row>
    <row r="345" spans="1:23" x14ac:dyDescent="0.25">
      <c r="A345" s="701" t="s">
        <v>487</v>
      </c>
      <c r="B345" s="701"/>
      <c r="C345" s="710" t="s">
        <v>59</v>
      </c>
      <c r="D345" s="711">
        <f>Bilans_E_AMS_Kyoto_run3_MTE!H495</f>
        <v>0</v>
      </c>
      <c r="E345" s="711">
        <f>Bilans_E_AMS_Kyoto_run3_MTE!I495</f>
        <v>0</v>
      </c>
      <c r="F345" s="711">
        <f>Bilans_E_AMS_Kyoto_run3_MTE!J495</f>
        <v>0</v>
      </c>
      <c r="G345" s="711">
        <f>Bilans_E_AMS_Kyoto_run3_MTE!K495</f>
        <v>0</v>
      </c>
      <c r="H345" s="711">
        <f>Bilans_E_AMS_Kyoto_run3_MTE!L495</f>
        <v>0</v>
      </c>
      <c r="I345" s="711">
        <f>Bilans_E_AMS_Kyoto_run3_MTE!M495</f>
        <v>0</v>
      </c>
      <c r="J345" s="711">
        <f>Bilans_E_AMS_Kyoto_run3_MTE!N495</f>
        <v>1021.1177956869142</v>
      </c>
      <c r="K345" s="711">
        <f>Bilans_E_AMS_Kyoto_run3_MTE!O495</f>
        <v>462.06687945929309</v>
      </c>
      <c r="L345" s="711">
        <f>Bilans_E_AMS_Kyoto_run3_MTE!P495</f>
        <v>380.853201250621</v>
      </c>
      <c r="M345" s="711">
        <f>Bilans_E_AMS_Kyoto_run3_MTE!Q495</f>
        <v>45.488439305040814</v>
      </c>
      <c r="N345" s="711">
        <f>Bilans_E_AMS_Kyoto_run3_MTE!R495</f>
        <v>0</v>
      </c>
      <c r="O345" s="711">
        <f>Bilans_E_AMS_Kyoto_run3_MTE!S495</f>
        <v>0</v>
      </c>
      <c r="P345" s="711">
        <f>Bilans_E_AMS_Kyoto_run3_MTE!T495+Bilans_E_AMS_Kyoto_run3_MTE!U495</f>
        <v>241.4786584909825</v>
      </c>
      <c r="Q345" s="711">
        <f>Bilans_E_AMS_Kyoto_run3_MTE!V495</f>
        <v>44.619368166332919</v>
      </c>
      <c r="R345" s="711">
        <f>Bilans_E_AMS_Kyoto_run3_MTE!W495</f>
        <v>0</v>
      </c>
      <c r="S345" s="711">
        <f>Bilans_E_AMS_Kyoto_run3_MTE!X495</f>
        <v>0</v>
      </c>
      <c r="T345" s="711">
        <f>Bilans_E_AMS_Kyoto_run3_MTE!Y495</f>
        <v>0</v>
      </c>
      <c r="U345" s="711">
        <f>Bilans_E_AMS_Kyoto_run3_MTE!Z495</f>
        <v>2195.6243423591845</v>
      </c>
      <c r="V345" s="701"/>
      <c r="W345" s="701"/>
    </row>
    <row r="346" spans="1:23" x14ac:dyDescent="0.25">
      <c r="A346" s="701" t="s">
        <v>488</v>
      </c>
      <c r="B346" s="701"/>
      <c r="C346" s="710" t="s">
        <v>60</v>
      </c>
      <c r="D346" s="712">
        <f>Bilans_E_AMS_Kyoto_run3_MTE!H496</f>
        <v>7.2040588378906256E-2</v>
      </c>
      <c r="E346" s="712">
        <f>Bilans_E_AMS_Kyoto_run3_MTE!I496</f>
        <v>143.57372262348443</v>
      </c>
      <c r="F346" s="712">
        <f>Bilans_E_AMS_Kyoto_run3_MTE!J496</f>
        <v>24.964838256255007</v>
      </c>
      <c r="G346" s="712">
        <f>Bilans_E_AMS_Kyoto_run3_MTE!K496</f>
        <v>8.9901848637372375</v>
      </c>
      <c r="H346" s="712">
        <f>Bilans_E_AMS_Kyoto_run3_MTE!L496</f>
        <v>83.302522482755748</v>
      </c>
      <c r="I346" s="712">
        <f>Bilans_E_AMS_Kyoto_run3_MTE!M496</f>
        <v>0</v>
      </c>
      <c r="J346" s="712">
        <f>Bilans_E_AMS_Kyoto_run3_MTE!N496</f>
        <v>0</v>
      </c>
      <c r="K346" s="712">
        <f>Bilans_E_AMS_Kyoto_run3_MTE!O496</f>
        <v>0</v>
      </c>
      <c r="L346" s="712">
        <f>Bilans_E_AMS_Kyoto_run3_MTE!P496</f>
        <v>8.1136608848584615</v>
      </c>
      <c r="M346" s="712">
        <f>Bilans_E_AMS_Kyoto_run3_MTE!Q496</f>
        <v>0</v>
      </c>
      <c r="N346" s="712">
        <f>Bilans_E_AMS_Kyoto_run3_MTE!R496</f>
        <v>3.6899916266640176</v>
      </c>
      <c r="O346" s="712">
        <f>Bilans_E_AMS_Kyoto_run3_MTE!S496</f>
        <v>0</v>
      </c>
      <c r="P346" s="712">
        <f>Bilans_E_AMS_Kyoto_run3_MTE!T496+Bilans_E_AMS_Kyoto_run3_MTE!U496</f>
        <v>0</v>
      </c>
      <c r="Q346" s="712">
        <f>Bilans_E_AMS_Kyoto_run3_MTE!V496</f>
        <v>0</v>
      </c>
      <c r="R346" s="712">
        <f>Bilans_E_AMS_Kyoto_run3_MTE!W496</f>
        <v>0</v>
      </c>
      <c r="S346" s="712">
        <f>Bilans_E_AMS_Kyoto_run3_MTE!X496</f>
        <v>0</v>
      </c>
      <c r="T346" s="712">
        <f>Bilans_E_AMS_Kyoto_run3_MTE!Y496</f>
        <v>0</v>
      </c>
      <c r="U346" s="712">
        <f>Bilans_E_AMS_Kyoto_run3_MTE!Z496</f>
        <v>272.70696132613381</v>
      </c>
      <c r="V346" s="701"/>
      <c r="W346" s="701"/>
    </row>
    <row r="347" spans="1:23" x14ac:dyDescent="0.25">
      <c r="A347" s="701" t="s">
        <v>489</v>
      </c>
      <c r="B347" s="701"/>
      <c r="C347" s="710" t="s">
        <v>61</v>
      </c>
      <c r="D347" s="712">
        <f>Bilans_E_AMS_Kyoto_run3_MTE!H497</f>
        <v>0</v>
      </c>
      <c r="E347" s="712">
        <f>Bilans_E_AMS_Kyoto_run3_MTE!I497</f>
        <v>0</v>
      </c>
      <c r="F347" s="712">
        <f>Bilans_E_AMS_Kyoto_run3_MTE!J497</f>
        <v>0</v>
      </c>
      <c r="G347" s="712">
        <f>Bilans_E_AMS_Kyoto_run3_MTE!K497</f>
        <v>0</v>
      </c>
      <c r="H347" s="712">
        <f>Bilans_E_AMS_Kyoto_run3_MTE!L497</f>
        <v>0</v>
      </c>
      <c r="I347" s="712">
        <f>Bilans_E_AMS_Kyoto_run3_MTE!M497</f>
        <v>0</v>
      </c>
      <c r="J347" s="712">
        <f>Bilans_E_AMS_Kyoto_run3_MTE!N497</f>
        <v>0</v>
      </c>
      <c r="K347" s="712">
        <f>Bilans_E_AMS_Kyoto_run3_MTE!O497</f>
        <v>0</v>
      </c>
      <c r="L347" s="712">
        <f>Bilans_E_AMS_Kyoto_run3_MTE!P497</f>
        <v>0</v>
      </c>
      <c r="M347" s="712">
        <f>Bilans_E_AMS_Kyoto_run3_MTE!Q497</f>
        <v>0</v>
      </c>
      <c r="N347" s="712">
        <f>Bilans_E_AMS_Kyoto_run3_MTE!R497</f>
        <v>0</v>
      </c>
      <c r="O347" s="712">
        <f>Bilans_E_AMS_Kyoto_run3_MTE!S497</f>
        <v>-20.664907066692336</v>
      </c>
      <c r="P347" s="712">
        <f>Bilans_E_AMS_Kyoto_run3_MTE!T497+Bilans_E_AMS_Kyoto_run3_MTE!U497</f>
        <v>0</v>
      </c>
      <c r="Q347" s="712">
        <f>Bilans_E_AMS_Kyoto_run3_MTE!V497</f>
        <v>0</v>
      </c>
      <c r="R347" s="712">
        <f>Bilans_E_AMS_Kyoto_run3_MTE!W497</f>
        <v>-64.652591069811592</v>
      </c>
      <c r="S347" s="712">
        <f>Bilans_E_AMS_Kyoto_run3_MTE!X497</f>
        <v>0</v>
      </c>
      <c r="T347" s="712">
        <f>Bilans_E_AMS_Kyoto_run3_MTE!Y497</f>
        <v>0</v>
      </c>
      <c r="U347" s="712">
        <f>Bilans_E_AMS_Kyoto_run3_MTE!Z497</f>
        <v>-85.317498136503929</v>
      </c>
      <c r="V347" s="701"/>
      <c r="W347" s="701"/>
    </row>
    <row r="348" spans="1:23" x14ac:dyDescent="0.25">
      <c r="A348" s="701" t="s">
        <v>490</v>
      </c>
      <c r="B348" s="701"/>
      <c r="C348" s="710" t="s">
        <v>62</v>
      </c>
      <c r="D348" s="711">
        <f>Bilans_E_AMS_Kyoto_run3_MTE!H498</f>
        <v>0</v>
      </c>
      <c r="E348" s="711">
        <f>Bilans_E_AMS_Kyoto_run3_MTE!I498</f>
        <v>0</v>
      </c>
      <c r="F348" s="711">
        <f>Bilans_E_AMS_Kyoto_run3_MTE!J498</f>
        <v>-2.6430279181443233</v>
      </c>
      <c r="G348" s="711">
        <f>Bilans_E_AMS_Kyoto_run3_MTE!K498</f>
        <v>-2.1194862177251581</v>
      </c>
      <c r="H348" s="711">
        <f>Bilans_E_AMS_Kyoto_run3_MTE!L498</f>
        <v>0</v>
      </c>
      <c r="I348" s="711">
        <f>Bilans_E_AMS_Kyoto_run3_MTE!M498</f>
        <v>-2.4085070655967704</v>
      </c>
      <c r="J348" s="711">
        <f>Bilans_E_AMS_Kyoto_run3_MTE!N498</f>
        <v>0</v>
      </c>
      <c r="K348" s="711">
        <f>Bilans_E_AMS_Kyoto_run3_MTE!O498</f>
        <v>0</v>
      </c>
      <c r="L348" s="711">
        <f>Bilans_E_AMS_Kyoto_run3_MTE!P498</f>
        <v>0</v>
      </c>
      <c r="M348" s="711">
        <f>Bilans_E_AMS_Kyoto_run3_MTE!Q498</f>
        <v>0</v>
      </c>
      <c r="N348" s="711">
        <f>Bilans_E_AMS_Kyoto_run3_MTE!R498</f>
        <v>0</v>
      </c>
      <c r="O348" s="711">
        <f>Bilans_E_AMS_Kyoto_run3_MTE!S498</f>
        <v>-1.4769404520417975</v>
      </c>
      <c r="P348" s="711">
        <f>Bilans_E_AMS_Kyoto_run3_MTE!T498+Bilans_E_AMS_Kyoto_run3_MTE!U498</f>
        <v>0</v>
      </c>
      <c r="Q348" s="711">
        <f>Bilans_E_AMS_Kyoto_run3_MTE!V498</f>
        <v>0</v>
      </c>
      <c r="R348" s="711">
        <f>Bilans_E_AMS_Kyoto_run3_MTE!W498</f>
        <v>0</v>
      </c>
      <c r="S348" s="711">
        <f>Bilans_E_AMS_Kyoto_run3_MTE!X498</f>
        <v>0</v>
      </c>
      <c r="T348" s="711">
        <f>Bilans_E_AMS_Kyoto_run3_MTE!Y498</f>
        <v>-0.99606248425254151</v>
      </c>
      <c r="U348" s="711">
        <f>Bilans_E_AMS_Kyoto_run3_MTE!Z498</f>
        <v>-9.6440241377605904</v>
      </c>
      <c r="V348" s="701"/>
      <c r="W348" s="701"/>
    </row>
    <row r="349" spans="1:23" x14ac:dyDescent="0.25">
      <c r="A349" s="701" t="s">
        <v>491</v>
      </c>
      <c r="B349" s="701"/>
      <c r="C349" s="710" t="s">
        <v>63</v>
      </c>
      <c r="D349" s="711">
        <f>Bilans_E_AMS_Kyoto_run3_MTE!H499</f>
        <v>0</v>
      </c>
      <c r="E349" s="711">
        <f>Bilans_E_AMS_Kyoto_run3_MTE!I499</f>
        <v>0</v>
      </c>
      <c r="F349" s="711">
        <f>Bilans_E_AMS_Kyoto_run3_MTE!J499</f>
        <v>-26.999999999999996</v>
      </c>
      <c r="G349" s="711">
        <f>Bilans_E_AMS_Kyoto_run3_MTE!K499</f>
        <v>-16</v>
      </c>
      <c r="H349" s="711">
        <f>Bilans_E_AMS_Kyoto_run3_MTE!L499</f>
        <v>0</v>
      </c>
      <c r="I349" s="711">
        <f>Bilans_E_AMS_Kyoto_run3_MTE!M499</f>
        <v>0</v>
      </c>
      <c r="J349" s="711">
        <f>Bilans_E_AMS_Kyoto_run3_MTE!N499</f>
        <v>0</v>
      </c>
      <c r="K349" s="711">
        <f>Bilans_E_AMS_Kyoto_run3_MTE!O499</f>
        <v>0</v>
      </c>
      <c r="L349" s="711">
        <f>Bilans_E_AMS_Kyoto_run3_MTE!P499</f>
        <v>0</v>
      </c>
      <c r="M349" s="711">
        <f>Bilans_E_AMS_Kyoto_run3_MTE!Q499</f>
        <v>0</v>
      </c>
      <c r="N349" s="711">
        <f>Bilans_E_AMS_Kyoto_run3_MTE!R499</f>
        <v>-16</v>
      </c>
      <c r="O349" s="711">
        <f>Bilans_E_AMS_Kyoto_run3_MTE!S499</f>
        <v>0</v>
      </c>
      <c r="P349" s="711">
        <f>Bilans_E_AMS_Kyoto_run3_MTE!T499+Bilans_E_AMS_Kyoto_run3_MTE!U499</f>
        <v>0</v>
      </c>
      <c r="Q349" s="711">
        <f>Bilans_E_AMS_Kyoto_run3_MTE!V499</f>
        <v>0</v>
      </c>
      <c r="R349" s="711">
        <f>Bilans_E_AMS_Kyoto_run3_MTE!W499</f>
        <v>0</v>
      </c>
      <c r="S349" s="711">
        <f>Bilans_E_AMS_Kyoto_run3_MTE!X499</f>
        <v>0</v>
      </c>
      <c r="T349" s="711">
        <f>Bilans_E_AMS_Kyoto_run3_MTE!Y499</f>
        <v>-5</v>
      </c>
      <c r="U349" s="711">
        <f>Bilans_E_AMS_Kyoto_run3_MTE!Z499</f>
        <v>-64</v>
      </c>
      <c r="V349" s="701"/>
      <c r="W349" s="701"/>
    </row>
    <row r="350" spans="1:23" x14ac:dyDescent="0.25">
      <c r="A350" s="701" t="s">
        <v>492</v>
      </c>
      <c r="B350" s="701"/>
      <c r="C350" s="710" t="s">
        <v>64</v>
      </c>
      <c r="D350" s="712">
        <f>Bilans_E_AMS_Kyoto_run3_MTE!H500</f>
        <v>0</v>
      </c>
      <c r="E350" s="712">
        <f>Bilans_E_AMS_Kyoto_run3_MTE!I500</f>
        <v>0</v>
      </c>
      <c r="F350" s="712">
        <f>Bilans_E_AMS_Kyoto_run3_MTE!J500</f>
        <v>0</v>
      </c>
      <c r="G350" s="712">
        <f>Bilans_E_AMS_Kyoto_run3_MTE!K500</f>
        <v>0</v>
      </c>
      <c r="H350" s="712">
        <f>Bilans_E_AMS_Kyoto_run3_MTE!L500</f>
        <v>0</v>
      </c>
      <c r="I350" s="712">
        <f>Bilans_E_AMS_Kyoto_run3_MTE!M500</f>
        <v>0</v>
      </c>
      <c r="J350" s="712">
        <f>Bilans_E_AMS_Kyoto_run3_MTE!N500</f>
        <v>0</v>
      </c>
      <c r="K350" s="712">
        <f>Bilans_E_AMS_Kyoto_run3_MTE!O500</f>
        <v>0</v>
      </c>
      <c r="L350" s="712">
        <f>Bilans_E_AMS_Kyoto_run3_MTE!P500</f>
        <v>0</v>
      </c>
      <c r="M350" s="712">
        <f>Bilans_E_AMS_Kyoto_run3_MTE!Q500</f>
        <v>0</v>
      </c>
      <c r="N350" s="712">
        <f>Bilans_E_AMS_Kyoto_run3_MTE!R500</f>
        <v>0</v>
      </c>
      <c r="O350" s="712">
        <f>Bilans_E_AMS_Kyoto_run3_MTE!S500</f>
        <v>0</v>
      </c>
      <c r="P350" s="712">
        <f>Bilans_E_AMS_Kyoto_run3_MTE!T500+Bilans_E_AMS_Kyoto_run3_MTE!U500</f>
        <v>0</v>
      </c>
      <c r="Q350" s="712">
        <f>Bilans_E_AMS_Kyoto_run3_MTE!V500</f>
        <v>0</v>
      </c>
      <c r="R350" s="712">
        <f>Bilans_E_AMS_Kyoto_run3_MTE!W500</f>
        <v>0</v>
      </c>
      <c r="S350" s="712">
        <f>Bilans_E_AMS_Kyoto_run3_MTE!X500</f>
        <v>0</v>
      </c>
      <c r="T350" s="712">
        <f>Bilans_E_AMS_Kyoto_run3_MTE!Y500</f>
        <v>0</v>
      </c>
      <c r="U350" s="712">
        <f>Bilans_E_AMS_Kyoto_run3_MTE!Z500</f>
        <v>0</v>
      </c>
      <c r="V350" s="701"/>
      <c r="W350" s="701"/>
    </row>
    <row r="351" spans="1:23" x14ac:dyDescent="0.25">
      <c r="A351" s="701" t="s">
        <v>493</v>
      </c>
      <c r="B351" s="701"/>
      <c r="C351" s="713" t="s">
        <v>65</v>
      </c>
      <c r="D351" s="714">
        <f>Bilans_E_AMS_Kyoto_run3_MTE!H501</f>
        <v>7.2040588378906256E-2</v>
      </c>
      <c r="E351" s="714">
        <f>Bilans_E_AMS_Kyoto_run3_MTE!I501</f>
        <v>143.57372262348443</v>
      </c>
      <c r="F351" s="714">
        <f>Bilans_E_AMS_Kyoto_run3_MTE!J501</f>
        <v>-4.6781896618893128</v>
      </c>
      <c r="G351" s="714">
        <f>Bilans_E_AMS_Kyoto_run3_MTE!K501</f>
        <v>-9.1293013539879198</v>
      </c>
      <c r="H351" s="714">
        <f>Bilans_E_AMS_Kyoto_run3_MTE!L501</f>
        <v>83.302522482755748</v>
      </c>
      <c r="I351" s="714">
        <f>Bilans_E_AMS_Kyoto_run3_MTE!M501</f>
        <v>-2.4085070655967704</v>
      </c>
      <c r="J351" s="714">
        <f>Bilans_E_AMS_Kyoto_run3_MTE!N501</f>
        <v>1021.1177956869142</v>
      </c>
      <c r="K351" s="714">
        <f>Bilans_E_AMS_Kyoto_run3_MTE!O501</f>
        <v>462.06687945929309</v>
      </c>
      <c r="L351" s="714">
        <f>Bilans_E_AMS_Kyoto_run3_MTE!P501</f>
        <v>388.96686213547946</v>
      </c>
      <c r="M351" s="714">
        <f>Bilans_E_AMS_Kyoto_run3_MTE!Q501</f>
        <v>45.488439305040814</v>
      </c>
      <c r="N351" s="714">
        <f>Bilans_E_AMS_Kyoto_run3_MTE!R501</f>
        <v>-12.310008373335982</v>
      </c>
      <c r="O351" s="714">
        <f>Bilans_E_AMS_Kyoto_run3_MTE!S501</f>
        <v>-22.141847518734135</v>
      </c>
      <c r="P351" s="714">
        <f>Bilans_E_AMS_Kyoto_run3_MTE!T501+Bilans_E_AMS_Kyoto_run3_MTE!U501</f>
        <v>241.4786584909825</v>
      </c>
      <c r="Q351" s="714">
        <f>Bilans_E_AMS_Kyoto_run3_MTE!V501</f>
        <v>44.619368166332919</v>
      </c>
      <c r="R351" s="714">
        <f>Bilans_E_AMS_Kyoto_run3_MTE!W501</f>
        <v>-64.652591069811592</v>
      </c>
      <c r="S351" s="714">
        <f>Bilans_E_AMS_Kyoto_run3_MTE!X501</f>
        <v>0</v>
      </c>
      <c r="T351" s="714">
        <f>Bilans_E_AMS_Kyoto_run3_MTE!Y501</f>
        <v>-5.9960624842525414</v>
      </c>
      <c r="U351" s="714">
        <f>Bilans_E_AMS_Kyoto_run3_MTE!Z501</f>
        <v>2309.3697814110537</v>
      </c>
      <c r="V351" s="701"/>
      <c r="W351" s="701"/>
    </row>
    <row r="352" spans="1:23" x14ac:dyDescent="0.25">
      <c r="A352" s="701"/>
      <c r="B352" s="701"/>
      <c r="C352" s="715"/>
      <c r="D352" s="716"/>
      <c r="E352" s="716"/>
      <c r="F352" s="716"/>
      <c r="G352" s="716"/>
      <c r="H352" s="716"/>
      <c r="I352" s="716"/>
      <c r="J352" s="716"/>
      <c r="K352" s="716"/>
      <c r="L352" s="716"/>
      <c r="M352" s="716"/>
      <c r="N352" s="716"/>
      <c r="O352" s="716"/>
      <c r="P352" s="716">
        <f>Bilans_E_AMS_Kyoto_run3_MTE!T502+Bilans_E_AMS_Kyoto_run3_MTE!U502</f>
        <v>0</v>
      </c>
      <c r="Q352" s="716"/>
      <c r="R352" s="716"/>
      <c r="S352" s="716"/>
      <c r="T352" s="716"/>
      <c r="U352" s="716"/>
      <c r="V352" s="701"/>
      <c r="W352" s="701"/>
    </row>
    <row r="353" spans="1:23" x14ac:dyDescent="0.25">
      <c r="A353" s="701" t="s">
        <v>494</v>
      </c>
      <c r="B353" s="701"/>
      <c r="C353" s="717" t="s">
        <v>67</v>
      </c>
      <c r="D353" s="711">
        <f>Bilans_E_AMS_Kyoto_run3_MTE!H503</f>
        <v>0</v>
      </c>
      <c r="E353" s="711">
        <f>Bilans_E_AMS_Kyoto_run3_MTE!I503</f>
        <v>0</v>
      </c>
      <c r="F353" s="711">
        <f>Bilans_E_AMS_Kyoto_run3_MTE!J503</f>
        <v>0</v>
      </c>
      <c r="G353" s="711">
        <f>Bilans_E_AMS_Kyoto_run3_MTE!K503</f>
        <v>0</v>
      </c>
      <c r="H353" s="711">
        <f>Bilans_E_AMS_Kyoto_run3_MTE!L503</f>
        <v>0</v>
      </c>
      <c r="I353" s="711">
        <f>Bilans_E_AMS_Kyoto_run3_MTE!M503</f>
        <v>0</v>
      </c>
      <c r="J353" s="711">
        <f>Bilans_E_AMS_Kyoto_run3_MTE!N503</f>
        <v>0</v>
      </c>
      <c r="K353" s="711">
        <f>Bilans_E_AMS_Kyoto_run3_MTE!O503</f>
        <v>0</v>
      </c>
      <c r="L353" s="711">
        <f>Bilans_E_AMS_Kyoto_run3_MTE!P503</f>
        <v>0</v>
      </c>
      <c r="M353" s="711">
        <f>Bilans_E_AMS_Kyoto_run3_MTE!Q503</f>
        <v>0</v>
      </c>
      <c r="N353" s="711">
        <f>Bilans_E_AMS_Kyoto_run3_MTE!R503</f>
        <v>0</v>
      </c>
      <c r="O353" s="711">
        <f>Bilans_E_AMS_Kyoto_run3_MTE!S503</f>
        <v>0</v>
      </c>
      <c r="P353" s="711">
        <f>Bilans_E_AMS_Kyoto_run3_MTE!T503+Bilans_E_AMS_Kyoto_run3_MTE!U503</f>
        <v>0</v>
      </c>
      <c r="Q353" s="711">
        <f>Bilans_E_AMS_Kyoto_run3_MTE!V503</f>
        <v>0</v>
      </c>
      <c r="R353" s="711">
        <f>Bilans_E_AMS_Kyoto_run3_MTE!W503</f>
        <v>0</v>
      </c>
      <c r="S353" s="711">
        <f>Bilans_E_AMS_Kyoto_run3_MTE!X503</f>
        <v>0</v>
      </c>
      <c r="T353" s="711">
        <f>Bilans_E_AMS_Kyoto_run3_MTE!Y503</f>
        <v>0</v>
      </c>
      <c r="U353" s="711">
        <f>Bilans_E_AMS_Kyoto_run3_MTE!Z503</f>
        <v>0</v>
      </c>
      <c r="V353" s="701"/>
      <c r="W353" s="701"/>
    </row>
    <row r="354" spans="1:23" x14ac:dyDescent="0.25">
      <c r="A354" s="701" t="s">
        <v>495</v>
      </c>
      <c r="B354" s="701"/>
      <c r="C354" s="717" t="s">
        <v>347</v>
      </c>
      <c r="D354" s="711">
        <f>Bilans_E_AMS_Kyoto_run3_MTE!H504</f>
        <v>0</v>
      </c>
      <c r="E354" s="711">
        <f>Bilans_E_AMS_Kyoto_run3_MTE!I504</f>
        <v>0</v>
      </c>
      <c r="F354" s="711">
        <f>Bilans_E_AMS_Kyoto_run3_MTE!J504</f>
        <v>0</v>
      </c>
      <c r="G354" s="711">
        <f>Bilans_E_AMS_Kyoto_run3_MTE!K504</f>
        <v>0</v>
      </c>
      <c r="H354" s="711">
        <f>Bilans_E_AMS_Kyoto_run3_MTE!L504</f>
        <v>2.2309947234042489E-3</v>
      </c>
      <c r="I354" s="711">
        <f>Bilans_E_AMS_Kyoto_run3_MTE!M504</f>
        <v>0</v>
      </c>
      <c r="J354" s="711">
        <f>Bilans_E_AMS_Kyoto_run3_MTE!N504</f>
        <v>1014.6070909090909</v>
      </c>
      <c r="K354" s="711">
        <f>Bilans_E_AMS_Kyoto_run3_MTE!O504</f>
        <v>462.06687945929309</v>
      </c>
      <c r="L354" s="711">
        <f>Bilans_E_AMS_Kyoto_run3_MTE!P504</f>
        <v>17.968425297338086</v>
      </c>
      <c r="M354" s="711">
        <f>Bilans_E_AMS_Kyoto_run3_MTE!Q504</f>
        <v>5.3124785537967538</v>
      </c>
      <c r="N354" s="711">
        <f>Bilans_E_AMS_Kyoto_run3_MTE!R504</f>
        <v>6.3451610040287907</v>
      </c>
      <c r="O354" s="711">
        <f>Bilans_E_AMS_Kyoto_run3_MTE!S504</f>
        <v>0.11597760068741178</v>
      </c>
      <c r="P354" s="711">
        <f>Bilans_E_AMS_Kyoto_run3_MTE!T504+Bilans_E_AMS_Kyoto_run3_MTE!U504</f>
        <v>0</v>
      </c>
      <c r="Q354" s="711">
        <f>Bilans_E_AMS_Kyoto_run3_MTE!V504</f>
        <v>6.4766550958451852</v>
      </c>
      <c r="R354" s="711">
        <f>Bilans_E_AMS_Kyoto_run3_MTE!W504</f>
        <v>-813.99806516168439</v>
      </c>
      <c r="S354" s="711">
        <f>Bilans_E_AMS_Kyoto_run3_MTE!X504</f>
        <v>0</v>
      </c>
      <c r="T354" s="711">
        <f>Bilans_E_AMS_Kyoto_run3_MTE!Y504</f>
        <v>0</v>
      </c>
      <c r="U354" s="711">
        <f>Bilans_E_AMS_Kyoto_run3_MTE!Z504</f>
        <v>698.89683375311927</v>
      </c>
      <c r="V354" s="701"/>
      <c r="W354" s="701"/>
    </row>
    <row r="355" spans="1:23" x14ac:dyDescent="0.25">
      <c r="A355" s="701" t="s">
        <v>496</v>
      </c>
      <c r="B355" s="701"/>
      <c r="C355" s="717" t="s">
        <v>348</v>
      </c>
      <c r="D355" s="711">
        <f>Bilans_E_AMS_Kyoto_run3_MTE!H505</f>
        <v>0</v>
      </c>
      <c r="E355" s="711">
        <f>Bilans_E_AMS_Kyoto_run3_MTE!I505</f>
        <v>0</v>
      </c>
      <c r="F355" s="711">
        <f>Bilans_E_AMS_Kyoto_run3_MTE!J505</f>
        <v>0</v>
      </c>
      <c r="G355" s="711">
        <f>Bilans_E_AMS_Kyoto_run3_MTE!K505</f>
        <v>0</v>
      </c>
      <c r="H355" s="711">
        <f>Bilans_E_AMS_Kyoto_run3_MTE!L505</f>
        <v>10.095185583157674</v>
      </c>
      <c r="I355" s="711">
        <f>Bilans_E_AMS_Kyoto_run3_MTE!M505</f>
        <v>0.18354882878468498</v>
      </c>
      <c r="J355" s="711">
        <f>Bilans_E_AMS_Kyoto_run3_MTE!N505</f>
        <v>6.5107047778232934</v>
      </c>
      <c r="K355" s="711">
        <f>Bilans_E_AMS_Kyoto_run3_MTE!O505</f>
        <v>0</v>
      </c>
      <c r="L355" s="711">
        <f>Bilans_E_AMS_Kyoto_run3_MTE!P505</f>
        <v>23.787457206103085</v>
      </c>
      <c r="M355" s="711">
        <f>Bilans_E_AMS_Kyoto_run3_MTE!Q505</f>
        <v>12.007971884882547</v>
      </c>
      <c r="N355" s="711">
        <f>Bilans_E_AMS_Kyoto_run3_MTE!R505</f>
        <v>0</v>
      </c>
      <c r="O355" s="711">
        <f>Bilans_E_AMS_Kyoto_run3_MTE!S505</f>
        <v>8.0912599085817618</v>
      </c>
      <c r="P355" s="711">
        <f>Bilans_E_AMS_Kyoto_run3_MTE!T505+Bilans_E_AMS_Kyoto_run3_MTE!U505</f>
        <v>19.703135322463453</v>
      </c>
      <c r="Q355" s="711">
        <f>Bilans_E_AMS_Kyoto_run3_MTE!V505</f>
        <v>12.221648755322821</v>
      </c>
      <c r="R355" s="711">
        <f>Bilans_E_AMS_Kyoto_run3_MTE!W505</f>
        <v>0</v>
      </c>
      <c r="S355" s="711">
        <f>Bilans_E_AMS_Kyoto_run3_MTE!X505</f>
        <v>-86.369990218724851</v>
      </c>
      <c r="T355" s="711">
        <f>Bilans_E_AMS_Kyoto_run3_MTE!Y505</f>
        <v>0</v>
      </c>
      <c r="U355" s="711">
        <f>Bilans_E_AMS_Kyoto_run3_MTE!Z505</f>
        <v>6.2309220483944614</v>
      </c>
      <c r="V355" s="701"/>
      <c r="W355" s="701"/>
    </row>
    <row r="356" spans="1:23" x14ac:dyDescent="0.25">
      <c r="A356" s="701" t="s">
        <v>497</v>
      </c>
      <c r="B356" s="701"/>
      <c r="C356" s="717" t="s">
        <v>349</v>
      </c>
      <c r="D356" s="711">
        <f>Bilans_E_AMS_Kyoto_run3_MTE!H506</f>
        <v>0</v>
      </c>
      <c r="E356" s="711">
        <f>Bilans_E_AMS_Kyoto_run3_MTE!I506</f>
        <v>0</v>
      </c>
      <c r="F356" s="711">
        <f>Bilans_E_AMS_Kyoto_run3_MTE!J506</f>
        <v>0</v>
      </c>
      <c r="G356" s="711">
        <f>Bilans_E_AMS_Kyoto_run3_MTE!K506</f>
        <v>0</v>
      </c>
      <c r="H356" s="711">
        <f>Bilans_E_AMS_Kyoto_run3_MTE!L506</f>
        <v>0</v>
      </c>
      <c r="I356" s="711">
        <f>Bilans_E_AMS_Kyoto_run3_MTE!M506</f>
        <v>0</v>
      </c>
      <c r="J356" s="711">
        <f>Bilans_E_AMS_Kyoto_run3_MTE!N506</f>
        <v>0</v>
      </c>
      <c r="K356" s="711">
        <f>Bilans_E_AMS_Kyoto_run3_MTE!O506</f>
        <v>0</v>
      </c>
      <c r="L356" s="711">
        <f>Bilans_E_AMS_Kyoto_run3_MTE!P506</f>
        <v>149.36314864907311</v>
      </c>
      <c r="M356" s="711">
        <f>Bilans_E_AMS_Kyoto_run3_MTE!Q506</f>
        <v>12.851297568088029</v>
      </c>
      <c r="N356" s="711">
        <f>Bilans_E_AMS_Kyoto_run3_MTE!R506</f>
        <v>0</v>
      </c>
      <c r="O356" s="711">
        <f>Bilans_E_AMS_Kyoto_run3_MTE!S506</f>
        <v>-81.192550335578574</v>
      </c>
      <c r="P356" s="711">
        <f>Bilans_E_AMS_Kyoto_run3_MTE!T506+Bilans_E_AMS_Kyoto_run3_MTE!U506</f>
        <v>0</v>
      </c>
      <c r="Q356" s="711">
        <f>Bilans_E_AMS_Kyoto_run3_MTE!V506</f>
        <v>0</v>
      </c>
      <c r="R356" s="711">
        <f>Bilans_E_AMS_Kyoto_run3_MTE!W506</f>
        <v>0</v>
      </c>
      <c r="S356" s="711">
        <f>Bilans_E_AMS_Kyoto_run3_MTE!X506</f>
        <v>0</v>
      </c>
      <c r="T356" s="711">
        <f>Bilans_E_AMS_Kyoto_run3_MTE!Y506</f>
        <v>0</v>
      </c>
      <c r="U356" s="711">
        <f>Bilans_E_AMS_Kyoto_run3_MTE!Z506</f>
        <v>81.021895881582566</v>
      </c>
      <c r="V356" s="701"/>
      <c r="W356" s="701"/>
    </row>
    <row r="357" spans="1:23" x14ac:dyDescent="0.25">
      <c r="A357" s="701" t="s">
        <v>498</v>
      </c>
      <c r="B357" s="701"/>
      <c r="C357" s="717" t="s">
        <v>350</v>
      </c>
      <c r="D357" s="711">
        <f>Bilans_E_AMS_Kyoto_run3_MTE!H507</f>
        <v>0</v>
      </c>
      <c r="E357" s="711">
        <f>Bilans_E_AMS_Kyoto_run3_MTE!I507</f>
        <v>0</v>
      </c>
      <c r="F357" s="711">
        <f>Bilans_E_AMS_Kyoto_run3_MTE!J507</f>
        <v>0</v>
      </c>
      <c r="G357" s="711">
        <f>Bilans_E_AMS_Kyoto_run3_MTE!K507</f>
        <v>0</v>
      </c>
      <c r="H357" s="711">
        <f>Bilans_E_AMS_Kyoto_run3_MTE!L507</f>
        <v>0</v>
      </c>
      <c r="I357" s="711">
        <f>Bilans_E_AMS_Kyoto_run3_MTE!M507</f>
        <v>-3.7466899829342335</v>
      </c>
      <c r="J357" s="711">
        <f>Bilans_E_AMS_Kyoto_run3_MTE!N507</f>
        <v>0</v>
      </c>
      <c r="K357" s="711">
        <f>Bilans_E_AMS_Kyoto_run3_MTE!O507</f>
        <v>0</v>
      </c>
      <c r="L357" s="711">
        <f>Bilans_E_AMS_Kyoto_run3_MTE!P507</f>
        <v>0</v>
      </c>
      <c r="M357" s="711">
        <f>Bilans_E_AMS_Kyoto_run3_MTE!Q507</f>
        <v>0</v>
      </c>
      <c r="N357" s="711">
        <f>Bilans_E_AMS_Kyoto_run3_MTE!R507</f>
        <v>0</v>
      </c>
      <c r="O357" s="711">
        <f>Bilans_E_AMS_Kyoto_run3_MTE!S507</f>
        <v>0</v>
      </c>
      <c r="P357" s="711">
        <f>Bilans_E_AMS_Kyoto_run3_MTE!T507+Bilans_E_AMS_Kyoto_run3_MTE!U507</f>
        <v>0</v>
      </c>
      <c r="Q357" s="711">
        <f>Bilans_E_AMS_Kyoto_run3_MTE!V507</f>
        <v>0</v>
      </c>
      <c r="R357" s="711">
        <f>Bilans_E_AMS_Kyoto_run3_MTE!W507</f>
        <v>0</v>
      </c>
      <c r="S357" s="711">
        <f>Bilans_E_AMS_Kyoto_run3_MTE!X507</f>
        <v>0</v>
      </c>
      <c r="T357" s="711">
        <f>Bilans_E_AMS_Kyoto_run3_MTE!Y507</f>
        <v>5.1930977473126321</v>
      </c>
      <c r="U357" s="711">
        <f>Bilans_E_AMS_Kyoto_run3_MTE!Z507</f>
        <v>1.4464077643783986</v>
      </c>
      <c r="V357" s="701"/>
      <c r="W357" s="701"/>
    </row>
    <row r="358" spans="1:23" x14ac:dyDescent="0.25">
      <c r="A358" s="701" t="s">
        <v>499</v>
      </c>
      <c r="B358" s="701"/>
      <c r="C358" s="717" t="s">
        <v>72</v>
      </c>
      <c r="D358" s="711">
        <f>Bilans_E_AMS_Kyoto_run3_MTE!H508</f>
        <v>0</v>
      </c>
      <c r="E358" s="711">
        <f>Bilans_E_AMS_Kyoto_run3_MTE!I508</f>
        <v>148.77345828425325</v>
      </c>
      <c r="F358" s="711">
        <f>Bilans_E_AMS_Kyoto_run3_MTE!J508</f>
        <v>-147.28572370141072</v>
      </c>
      <c r="G358" s="711">
        <f>Bilans_E_AMS_Kyoto_run3_MTE!K508</f>
        <v>0</v>
      </c>
      <c r="H358" s="711">
        <f>Bilans_E_AMS_Kyoto_run3_MTE!L508</f>
        <v>0</v>
      </c>
      <c r="I358" s="711">
        <f>Bilans_E_AMS_Kyoto_run3_MTE!M508</f>
        <v>0</v>
      </c>
      <c r="J358" s="711">
        <f>Bilans_E_AMS_Kyoto_run3_MTE!N508</f>
        <v>0</v>
      </c>
      <c r="K358" s="711">
        <f>Bilans_E_AMS_Kyoto_run3_MTE!O508</f>
        <v>0</v>
      </c>
      <c r="L358" s="711">
        <f>Bilans_E_AMS_Kyoto_run3_MTE!P508</f>
        <v>0</v>
      </c>
      <c r="M358" s="711">
        <f>Bilans_E_AMS_Kyoto_run3_MTE!Q508</f>
        <v>0</v>
      </c>
      <c r="N358" s="711">
        <f>Bilans_E_AMS_Kyoto_run3_MTE!R508</f>
        <v>0</v>
      </c>
      <c r="O358" s="711">
        <f>Bilans_E_AMS_Kyoto_run3_MTE!S508</f>
        <v>0</v>
      </c>
      <c r="P358" s="711">
        <f>Bilans_E_AMS_Kyoto_run3_MTE!T508+Bilans_E_AMS_Kyoto_run3_MTE!U508</f>
        <v>0</v>
      </c>
      <c r="Q358" s="711">
        <f>Bilans_E_AMS_Kyoto_run3_MTE!V508</f>
        <v>0</v>
      </c>
      <c r="R358" s="711">
        <f>Bilans_E_AMS_Kyoto_run3_MTE!W508</f>
        <v>0</v>
      </c>
      <c r="S358" s="711">
        <f>Bilans_E_AMS_Kyoto_run3_MTE!X508</f>
        <v>0</v>
      </c>
      <c r="T358" s="711">
        <f>Bilans_E_AMS_Kyoto_run3_MTE!Y508</f>
        <v>0</v>
      </c>
      <c r="U358" s="711">
        <f>Bilans_E_AMS_Kyoto_run3_MTE!Z508</f>
        <v>1.4877345828425348</v>
      </c>
      <c r="V358" s="701"/>
      <c r="W358" s="701"/>
    </row>
    <row r="359" spans="1:23" x14ac:dyDescent="0.25">
      <c r="A359" s="701" t="s">
        <v>500</v>
      </c>
      <c r="B359" s="701"/>
      <c r="C359" s="717" t="s">
        <v>351</v>
      </c>
      <c r="D359" s="711">
        <f>Bilans_E_AMS_Kyoto_run3_MTE!H509</f>
        <v>0</v>
      </c>
      <c r="E359" s="711">
        <f>Bilans_E_AMS_Kyoto_run3_MTE!I509</f>
        <v>0</v>
      </c>
      <c r="F359" s="711">
        <f>Bilans_E_AMS_Kyoto_run3_MTE!J509</f>
        <v>0</v>
      </c>
      <c r="G359" s="711">
        <f>Bilans_E_AMS_Kyoto_run3_MTE!K509</f>
        <v>0</v>
      </c>
      <c r="H359" s="711">
        <f>Bilans_E_AMS_Kyoto_run3_MTE!L509</f>
        <v>0</v>
      </c>
      <c r="I359" s="711">
        <f>Bilans_E_AMS_Kyoto_run3_MTE!M509</f>
        <v>0</v>
      </c>
      <c r="J359" s="711">
        <f>Bilans_E_AMS_Kyoto_run3_MTE!N509</f>
        <v>0</v>
      </c>
      <c r="K359" s="711">
        <f>Bilans_E_AMS_Kyoto_run3_MTE!O509</f>
        <v>0</v>
      </c>
      <c r="L359" s="711">
        <f>Bilans_E_AMS_Kyoto_run3_MTE!P509</f>
        <v>102.29704163456771</v>
      </c>
      <c r="M359" s="711">
        <f>Bilans_E_AMS_Kyoto_run3_MTE!Q509</f>
        <v>7.2727272727272725</v>
      </c>
      <c r="N359" s="711">
        <f>Bilans_E_AMS_Kyoto_run3_MTE!R509</f>
        <v>-61.183830654875514</v>
      </c>
      <c r="O359" s="711">
        <f>Bilans_E_AMS_Kyoto_run3_MTE!S509</f>
        <v>0</v>
      </c>
      <c r="P359" s="711">
        <f>Bilans_E_AMS_Kyoto_run3_MTE!T509+Bilans_E_AMS_Kyoto_run3_MTE!U509</f>
        <v>0</v>
      </c>
      <c r="Q359" s="711">
        <f>Bilans_E_AMS_Kyoto_run3_MTE!V509</f>
        <v>0</v>
      </c>
      <c r="R359" s="711">
        <f>Bilans_E_AMS_Kyoto_run3_MTE!W509</f>
        <v>0</v>
      </c>
      <c r="S359" s="711">
        <f>Bilans_E_AMS_Kyoto_run3_MTE!X509</f>
        <v>0</v>
      </c>
      <c r="T359" s="711">
        <f>Bilans_E_AMS_Kyoto_run3_MTE!Y509</f>
        <v>0</v>
      </c>
      <c r="U359" s="711">
        <f>Bilans_E_AMS_Kyoto_run3_MTE!Z509</f>
        <v>48.385938252419457</v>
      </c>
      <c r="V359" s="701"/>
      <c r="W359" s="701"/>
    </row>
    <row r="360" spans="1:23" x14ac:dyDescent="0.25">
      <c r="A360" s="701" t="s">
        <v>501</v>
      </c>
      <c r="B360" s="701"/>
      <c r="C360" s="717" t="s">
        <v>352</v>
      </c>
      <c r="D360" s="711">
        <f>Bilans_E_AMS_Kyoto_run3_MTE!H510</f>
        <v>0</v>
      </c>
      <c r="E360" s="711">
        <f>Bilans_E_AMS_Kyoto_run3_MTE!I510</f>
        <v>0</v>
      </c>
      <c r="F360" s="711">
        <f>Bilans_E_AMS_Kyoto_run3_MTE!J510</f>
        <v>0</v>
      </c>
      <c r="G360" s="711">
        <f>Bilans_E_AMS_Kyoto_run3_MTE!K510</f>
        <v>-14.619486217725157</v>
      </c>
      <c r="H360" s="711">
        <f>Bilans_E_AMS_Kyoto_run3_MTE!L510</f>
        <v>0</v>
      </c>
      <c r="I360" s="711">
        <f>Bilans_E_AMS_Kyoto_run3_MTE!M510</f>
        <v>0</v>
      </c>
      <c r="J360" s="711">
        <f>Bilans_E_AMS_Kyoto_run3_MTE!N510</f>
        <v>0</v>
      </c>
      <c r="K360" s="711">
        <f>Bilans_E_AMS_Kyoto_run3_MTE!O510</f>
        <v>0</v>
      </c>
      <c r="L360" s="711">
        <f>Bilans_E_AMS_Kyoto_run3_MTE!P510</f>
        <v>0</v>
      </c>
      <c r="M360" s="711">
        <f>Bilans_E_AMS_Kyoto_run3_MTE!Q510</f>
        <v>0</v>
      </c>
      <c r="N360" s="711">
        <f>Bilans_E_AMS_Kyoto_run3_MTE!R510</f>
        <v>0</v>
      </c>
      <c r="O360" s="711">
        <f>Bilans_E_AMS_Kyoto_run3_MTE!S510</f>
        <v>0</v>
      </c>
      <c r="P360" s="711">
        <f>Bilans_E_AMS_Kyoto_run3_MTE!T510+Bilans_E_AMS_Kyoto_run3_MTE!U510</f>
        <v>0</v>
      </c>
      <c r="Q360" s="711">
        <f>Bilans_E_AMS_Kyoto_run3_MTE!V510</f>
        <v>0</v>
      </c>
      <c r="R360" s="711">
        <f>Bilans_E_AMS_Kyoto_run3_MTE!W510</f>
        <v>0</v>
      </c>
      <c r="S360" s="711">
        <f>Bilans_E_AMS_Kyoto_run3_MTE!X510</f>
        <v>0</v>
      </c>
      <c r="T360" s="711">
        <f>Bilans_E_AMS_Kyoto_run3_MTE!Y510</f>
        <v>24.331434839497675</v>
      </c>
      <c r="U360" s="711">
        <f>Bilans_E_AMS_Kyoto_run3_MTE!Z510</f>
        <v>9.7119486217725175</v>
      </c>
      <c r="V360" s="701"/>
      <c r="W360" s="701"/>
    </row>
    <row r="361" spans="1:23" x14ac:dyDescent="0.25">
      <c r="A361" s="701" t="s">
        <v>502</v>
      </c>
      <c r="B361" s="701"/>
      <c r="C361" s="717" t="s">
        <v>73</v>
      </c>
      <c r="D361" s="711">
        <f>Bilans_E_AMS_Kyoto_run3_MTE!H511</f>
        <v>0</v>
      </c>
      <c r="E361" s="711">
        <f>Bilans_E_AMS_Kyoto_run3_MTE!I511</f>
        <v>0</v>
      </c>
      <c r="F361" s="711">
        <f>Bilans_E_AMS_Kyoto_run3_MTE!J511</f>
        <v>0</v>
      </c>
      <c r="G361" s="711">
        <f>Bilans_E_AMS_Kyoto_run3_MTE!K511</f>
        <v>0</v>
      </c>
      <c r="H361" s="711">
        <f>Bilans_E_AMS_Kyoto_run3_MTE!L511</f>
        <v>0</v>
      </c>
      <c r="I361" s="711">
        <f>Bilans_E_AMS_Kyoto_run3_MTE!M511</f>
        <v>0</v>
      </c>
      <c r="J361" s="711">
        <f>Bilans_E_AMS_Kyoto_run3_MTE!N511</f>
        <v>0</v>
      </c>
      <c r="K361" s="711">
        <f>Bilans_E_AMS_Kyoto_run3_MTE!O511</f>
        <v>0</v>
      </c>
      <c r="L361" s="711">
        <f>Bilans_E_AMS_Kyoto_run3_MTE!P511</f>
        <v>0</v>
      </c>
      <c r="M361" s="711">
        <f>Bilans_E_AMS_Kyoto_run3_MTE!Q511</f>
        <v>0</v>
      </c>
      <c r="N361" s="711">
        <f>Bilans_E_AMS_Kyoto_run3_MTE!R511</f>
        <v>0</v>
      </c>
      <c r="O361" s="711">
        <f>Bilans_E_AMS_Kyoto_run3_MTE!S511</f>
        <v>0</v>
      </c>
      <c r="P361" s="711">
        <f>Bilans_E_AMS_Kyoto_run3_MTE!T511+Bilans_E_AMS_Kyoto_run3_MTE!U511</f>
        <v>0</v>
      </c>
      <c r="Q361" s="711">
        <f>Bilans_E_AMS_Kyoto_run3_MTE!V511</f>
        <v>0</v>
      </c>
      <c r="R361" s="711">
        <f>Bilans_E_AMS_Kyoto_run3_MTE!W511</f>
        <v>88.6114421596901</v>
      </c>
      <c r="S361" s="711">
        <f>Bilans_E_AMS_Kyoto_run3_MTE!X511</f>
        <v>0</v>
      </c>
      <c r="T361" s="711">
        <f>Bilans_E_AMS_Kyoto_run3_MTE!Y511</f>
        <v>-62.249538117182297</v>
      </c>
      <c r="U361" s="711">
        <f>Bilans_E_AMS_Kyoto_run3_MTE!Z511</f>
        <v>26.361904042507803</v>
      </c>
      <c r="V361" s="701"/>
      <c r="W361" s="701"/>
    </row>
    <row r="362" spans="1:23" x14ac:dyDescent="0.25">
      <c r="A362" s="701" t="s">
        <v>503</v>
      </c>
      <c r="B362" s="701"/>
      <c r="C362" s="717" t="s">
        <v>353</v>
      </c>
      <c r="D362" s="711">
        <f>Bilans_E_AMS_Kyoto_run3_MTE!H512</f>
        <v>0</v>
      </c>
      <c r="E362" s="711">
        <f>Bilans_E_AMS_Kyoto_run3_MTE!I512</f>
        <v>-5.1997356607688232</v>
      </c>
      <c r="F362" s="711">
        <f>Bilans_E_AMS_Kyoto_run3_MTE!J512</f>
        <v>6.948298230027091</v>
      </c>
      <c r="G362" s="711">
        <f>Bilans_E_AMS_Kyoto_run3_MTE!K512</f>
        <v>0</v>
      </c>
      <c r="H362" s="711">
        <f>Bilans_E_AMS_Kyoto_run3_MTE!L512</f>
        <v>0</v>
      </c>
      <c r="I362" s="711">
        <f>Bilans_E_AMS_Kyoto_run3_MTE!M512</f>
        <v>0</v>
      </c>
      <c r="J362" s="711">
        <f>Bilans_E_AMS_Kyoto_run3_MTE!N512</f>
        <v>0</v>
      </c>
      <c r="K362" s="711">
        <f>Bilans_E_AMS_Kyoto_run3_MTE!O512</f>
        <v>0</v>
      </c>
      <c r="L362" s="711">
        <f>Bilans_E_AMS_Kyoto_run3_MTE!P512</f>
        <v>0</v>
      </c>
      <c r="M362" s="711">
        <f>Bilans_E_AMS_Kyoto_run3_MTE!Q512</f>
        <v>0</v>
      </c>
      <c r="N362" s="711">
        <f>Bilans_E_AMS_Kyoto_run3_MTE!R512</f>
        <v>0</v>
      </c>
      <c r="O362" s="711">
        <f>Bilans_E_AMS_Kyoto_run3_MTE!S512</f>
        <v>0</v>
      </c>
      <c r="P362" s="711">
        <f>Bilans_E_AMS_Kyoto_run3_MTE!T512+Bilans_E_AMS_Kyoto_run3_MTE!U512</f>
        <v>0</v>
      </c>
      <c r="Q362" s="711">
        <f>Bilans_E_AMS_Kyoto_run3_MTE!V512</f>
        <v>0</v>
      </c>
      <c r="R362" s="711">
        <f>Bilans_E_AMS_Kyoto_run3_MTE!W512</f>
        <v>0</v>
      </c>
      <c r="S362" s="711">
        <f>Bilans_E_AMS_Kyoto_run3_MTE!X512</f>
        <v>0</v>
      </c>
      <c r="T362" s="711">
        <f>Bilans_E_AMS_Kyoto_run3_MTE!Y512</f>
        <v>0</v>
      </c>
      <c r="U362" s="711">
        <f>Bilans_E_AMS_Kyoto_run3_MTE!Z512</f>
        <v>1.7485625692582678</v>
      </c>
      <c r="V362" s="701"/>
      <c r="W362" s="701"/>
    </row>
    <row r="363" spans="1:23" x14ac:dyDescent="0.25">
      <c r="A363" s="701" t="s">
        <v>504</v>
      </c>
      <c r="B363" s="701"/>
      <c r="C363" s="717" t="s">
        <v>75</v>
      </c>
      <c r="D363" s="711">
        <f>Bilans_E_AMS_Kyoto_run3_MTE!H513</f>
        <v>0</v>
      </c>
      <c r="E363" s="711">
        <f>Bilans_E_AMS_Kyoto_run3_MTE!I513</f>
        <v>0</v>
      </c>
      <c r="F363" s="711">
        <f>Bilans_E_AMS_Kyoto_run3_MTE!J513</f>
        <v>5.2004760110645112</v>
      </c>
      <c r="G363" s="711">
        <f>Bilans_E_AMS_Kyoto_run3_MTE!K513</f>
        <v>0</v>
      </c>
      <c r="H363" s="711">
        <f>Bilans_E_AMS_Kyoto_run3_MTE!L513</f>
        <v>0</v>
      </c>
      <c r="I363" s="711">
        <f>Bilans_E_AMS_Kyoto_run3_MTE!M513</f>
        <v>0</v>
      </c>
      <c r="J363" s="711">
        <f>Bilans_E_AMS_Kyoto_run3_MTE!N513</f>
        <v>0</v>
      </c>
      <c r="K363" s="711">
        <f>Bilans_E_AMS_Kyoto_run3_MTE!O513</f>
        <v>0</v>
      </c>
      <c r="L363" s="711">
        <f>Bilans_E_AMS_Kyoto_run3_MTE!P513</f>
        <v>0</v>
      </c>
      <c r="M363" s="711">
        <f>Bilans_E_AMS_Kyoto_run3_MTE!Q513</f>
        <v>0</v>
      </c>
      <c r="N363" s="711">
        <f>Bilans_E_AMS_Kyoto_run3_MTE!R513</f>
        <v>0</v>
      </c>
      <c r="O363" s="711">
        <f>Bilans_E_AMS_Kyoto_run3_MTE!S513</f>
        <v>0</v>
      </c>
      <c r="P363" s="711">
        <f>Bilans_E_AMS_Kyoto_run3_MTE!T513+Bilans_E_AMS_Kyoto_run3_MTE!U513</f>
        <v>0</v>
      </c>
      <c r="Q363" s="711">
        <f>Bilans_E_AMS_Kyoto_run3_MTE!V513</f>
        <v>0</v>
      </c>
      <c r="R363" s="711">
        <f>Bilans_E_AMS_Kyoto_run3_MTE!W513</f>
        <v>38.430337038531441</v>
      </c>
      <c r="S363" s="711">
        <f>Bilans_E_AMS_Kyoto_run3_MTE!X513</f>
        <v>0</v>
      </c>
      <c r="T363" s="711">
        <f>Bilans_E_AMS_Kyoto_run3_MTE!Y513</f>
        <v>1.4650612498705113</v>
      </c>
      <c r="U363" s="711">
        <f>Bilans_E_AMS_Kyoto_run3_MTE!Z513</f>
        <v>45.095874299466459</v>
      </c>
      <c r="V363" s="701"/>
      <c r="W363" s="701"/>
    </row>
    <row r="364" spans="1:23" x14ac:dyDescent="0.25">
      <c r="A364" s="701" t="s">
        <v>505</v>
      </c>
      <c r="B364" s="701"/>
      <c r="C364" s="717" t="s">
        <v>76</v>
      </c>
      <c r="D364" s="711">
        <f>Bilans_E_AMS_Kyoto_run3_MTE!H514</f>
        <v>0</v>
      </c>
      <c r="E364" s="711">
        <f>Bilans_E_AMS_Kyoto_run3_MTE!I514</f>
        <v>0</v>
      </c>
      <c r="F364" s="711">
        <f>Bilans_E_AMS_Kyoto_run3_MTE!J514</f>
        <v>0</v>
      </c>
      <c r="G364" s="711">
        <f>Bilans_E_AMS_Kyoto_run3_MTE!K514</f>
        <v>0</v>
      </c>
      <c r="H364" s="711">
        <f>Bilans_E_AMS_Kyoto_run3_MTE!L514</f>
        <v>0.87272798956791087</v>
      </c>
      <c r="I364" s="711">
        <f>Bilans_E_AMS_Kyoto_run3_MTE!M514</f>
        <v>1.5867781628507469E-2</v>
      </c>
      <c r="J364" s="711">
        <f>Bilans_E_AMS_Kyoto_run3_MTE!N514</f>
        <v>0</v>
      </c>
      <c r="K364" s="711">
        <f>Bilans_E_AMS_Kyoto_run3_MTE!O514</f>
        <v>0</v>
      </c>
      <c r="L364" s="711">
        <f>Bilans_E_AMS_Kyoto_run3_MTE!P514</f>
        <v>0</v>
      </c>
      <c r="M364" s="711">
        <f>Bilans_E_AMS_Kyoto_run3_MTE!Q514</f>
        <v>0</v>
      </c>
      <c r="N364" s="711">
        <f>Bilans_E_AMS_Kyoto_run3_MTE!R514</f>
        <v>0</v>
      </c>
      <c r="O364" s="711">
        <f>Bilans_E_AMS_Kyoto_run3_MTE!S514</f>
        <v>0.6981823916543286</v>
      </c>
      <c r="P364" s="711">
        <f>Bilans_E_AMS_Kyoto_run3_MTE!T514+Bilans_E_AMS_Kyoto_run3_MTE!U514</f>
        <v>0</v>
      </c>
      <c r="Q364" s="711">
        <f>Bilans_E_AMS_Kyoto_run3_MTE!V514</f>
        <v>0</v>
      </c>
      <c r="R364" s="711">
        <f>Bilans_E_AMS_Kyoto_run3_MTE!W514</f>
        <v>61.224106337294323</v>
      </c>
      <c r="S364" s="711">
        <f>Bilans_E_AMS_Kyoto_run3_MTE!X514</f>
        <v>6.697680379771108</v>
      </c>
      <c r="T364" s="711">
        <f>Bilans_E_AMS_Kyoto_run3_MTE!Y514</f>
        <v>0</v>
      </c>
      <c r="U364" s="711">
        <f>Bilans_E_AMS_Kyoto_run3_MTE!Z514</f>
        <v>69.508564879916179</v>
      </c>
      <c r="V364" s="701"/>
      <c r="W364" s="701"/>
    </row>
    <row r="365" spans="1:23" x14ac:dyDescent="0.25">
      <c r="A365" s="701" t="s">
        <v>506</v>
      </c>
      <c r="B365" s="701"/>
      <c r="C365" s="713" t="s">
        <v>77</v>
      </c>
      <c r="D365" s="714">
        <f>Bilans_E_AMS_Kyoto_run3_MTE!H515</f>
        <v>0</v>
      </c>
      <c r="E365" s="714">
        <f>Bilans_E_AMS_Kyoto_run3_MTE!I515</f>
        <v>143.57372262348443</v>
      </c>
      <c r="F365" s="714">
        <f>Bilans_E_AMS_Kyoto_run3_MTE!J515</f>
        <v>-135.1369494603191</v>
      </c>
      <c r="G365" s="714">
        <f>Bilans_E_AMS_Kyoto_run3_MTE!K515</f>
        <v>-14.619486217725157</v>
      </c>
      <c r="H365" s="714">
        <f>Bilans_E_AMS_Kyoto_run3_MTE!L515</f>
        <v>10.97014456744899</v>
      </c>
      <c r="I365" s="714">
        <f>Bilans_E_AMS_Kyoto_run3_MTE!M515</f>
        <v>-3.5472733725210412</v>
      </c>
      <c r="J365" s="714">
        <f>Bilans_E_AMS_Kyoto_run3_MTE!N515</f>
        <v>1021.1177956869142</v>
      </c>
      <c r="K365" s="714">
        <f>Bilans_E_AMS_Kyoto_run3_MTE!O515</f>
        <v>462.06687945929309</v>
      </c>
      <c r="L365" s="714">
        <f>Bilans_E_AMS_Kyoto_run3_MTE!P515</f>
        <v>293.41607278708199</v>
      </c>
      <c r="M365" s="714">
        <f>Bilans_E_AMS_Kyoto_run3_MTE!Q515</f>
        <v>37.444475279494604</v>
      </c>
      <c r="N365" s="714">
        <f>Bilans_E_AMS_Kyoto_run3_MTE!R515</f>
        <v>-54.838669650846725</v>
      </c>
      <c r="O365" s="714">
        <f>Bilans_E_AMS_Kyoto_run3_MTE!S515</f>
        <v>-72.287130434655069</v>
      </c>
      <c r="P365" s="714">
        <f>Bilans_E_AMS_Kyoto_run3_MTE!T515+Bilans_E_AMS_Kyoto_run3_MTE!U515</f>
        <v>19.703135322463453</v>
      </c>
      <c r="Q365" s="714">
        <f>Bilans_E_AMS_Kyoto_run3_MTE!V515</f>
        <v>18.698303851168006</v>
      </c>
      <c r="R365" s="714">
        <f>Bilans_E_AMS_Kyoto_run3_MTE!W515</f>
        <v>-625.73217962616854</v>
      </c>
      <c r="S365" s="714">
        <f>Bilans_E_AMS_Kyoto_run3_MTE!X515</f>
        <v>-79.672309838953737</v>
      </c>
      <c r="T365" s="714">
        <f>Bilans_E_AMS_Kyoto_run3_MTE!Y515</f>
        <v>-31.259944280501475</v>
      </c>
      <c r="U365" s="714">
        <f>Bilans_E_AMS_Kyoto_run3_MTE!Z515</f>
        <v>989.89658669565813</v>
      </c>
      <c r="V365" s="701"/>
      <c r="W365" s="701"/>
    </row>
    <row r="366" spans="1:23" x14ac:dyDescent="0.25">
      <c r="A366" s="701"/>
      <c r="B366" s="701"/>
      <c r="C366" s="715"/>
      <c r="D366" s="716"/>
      <c r="E366" s="716"/>
      <c r="F366" s="716"/>
      <c r="G366" s="716"/>
      <c r="H366" s="716"/>
      <c r="I366" s="716"/>
      <c r="J366" s="716"/>
      <c r="K366" s="716"/>
      <c r="L366" s="716"/>
      <c r="M366" s="716"/>
      <c r="N366" s="716"/>
      <c r="O366" s="716"/>
      <c r="P366" s="716">
        <f>Bilans_E_AMS_Kyoto_run3_MTE!T516+Bilans_E_AMS_Kyoto_run3_MTE!U516</f>
        <v>0</v>
      </c>
      <c r="Q366" s="716"/>
      <c r="R366" s="716"/>
      <c r="S366" s="716"/>
      <c r="T366" s="716"/>
      <c r="U366" s="716"/>
      <c r="V366" s="701"/>
      <c r="W366" s="701"/>
    </row>
    <row r="367" spans="1:23" x14ac:dyDescent="0.25">
      <c r="A367" s="701" t="s">
        <v>507</v>
      </c>
      <c r="B367" s="701"/>
      <c r="C367" s="717" t="s">
        <v>78</v>
      </c>
      <c r="D367" s="711">
        <f>Bilans_E_AMS_Kyoto_run3_MTE!H517</f>
        <v>7.2040588378906256E-2</v>
      </c>
      <c r="E367" s="711">
        <f>Bilans_E_AMS_Kyoto_run3_MTE!I517</f>
        <v>0</v>
      </c>
      <c r="F367" s="711">
        <f>Bilans_E_AMS_Kyoto_run3_MTE!J517</f>
        <v>0.19057103431692568</v>
      </c>
      <c r="G367" s="711">
        <f>Bilans_E_AMS_Kyoto_run3_MTE!K517</f>
        <v>0</v>
      </c>
      <c r="H367" s="711">
        <f>Bilans_E_AMS_Kyoto_run3_MTE!L517</f>
        <v>28.795611186743677</v>
      </c>
      <c r="I367" s="711">
        <f>Bilans_E_AMS_Kyoto_run3_MTE!M517</f>
        <v>0.52355656703170317</v>
      </c>
      <c r="J367" s="711">
        <f>Bilans_E_AMS_Kyoto_run3_MTE!N517</f>
        <v>0</v>
      </c>
      <c r="K367" s="711">
        <f>Bilans_E_AMS_Kyoto_run3_MTE!O517</f>
        <v>0</v>
      </c>
      <c r="L367" s="711">
        <f>Bilans_E_AMS_Kyoto_run3_MTE!P517</f>
        <v>34.871553027324289</v>
      </c>
      <c r="M367" s="711">
        <f>Bilans_E_AMS_Kyoto_run3_MTE!Q517</f>
        <v>8.043964025546213</v>
      </c>
      <c r="N367" s="711">
        <f>Bilans_E_AMS_Kyoto_run3_MTE!R517</f>
        <v>0</v>
      </c>
      <c r="O367" s="711">
        <f>Bilans_E_AMS_Kyoto_run3_MTE!S517</f>
        <v>23.077839156426684</v>
      </c>
      <c r="P367" s="711">
        <f>Bilans_E_AMS_Kyoto_run3_MTE!T517+Bilans_E_AMS_Kyoto_run3_MTE!U517</f>
        <v>13.633620117187499</v>
      </c>
      <c r="Q367" s="711">
        <f>Bilans_E_AMS_Kyoto_run3_MTE!V517</f>
        <v>8.4299170840015686E-4</v>
      </c>
      <c r="R367" s="711">
        <f>Bilans_E_AMS_Kyoto_run3_MTE!W517</f>
        <v>158.64644753930071</v>
      </c>
      <c r="S367" s="711">
        <f>Bilans_E_AMS_Kyoto_run3_MTE!X517</f>
        <v>19.544256457993722</v>
      </c>
      <c r="T367" s="711">
        <f>Bilans_E_AMS_Kyoto_run3_MTE!Y517</f>
        <v>13.641840820312501</v>
      </c>
      <c r="U367" s="711">
        <f>Bilans_E_AMS_Kyoto_run3_MTE!Z517</f>
        <v>301.0421435122712</v>
      </c>
      <c r="V367" s="701"/>
      <c r="W367" s="701"/>
    </row>
    <row r="368" spans="1:23" x14ac:dyDescent="0.25">
      <c r="A368" s="701" t="s">
        <v>508</v>
      </c>
      <c r="B368" s="701"/>
      <c r="C368" s="717" t="s">
        <v>79</v>
      </c>
      <c r="D368" s="711">
        <f>Bilans_E_AMS_Kyoto_run3_MTE!H518</f>
        <v>0</v>
      </c>
      <c r="E368" s="711">
        <f>Bilans_E_AMS_Kyoto_run3_MTE!I518</f>
        <v>0</v>
      </c>
      <c r="F368" s="711">
        <f>Bilans_E_AMS_Kyoto_run3_MTE!J518</f>
        <v>27.842691184610331</v>
      </c>
      <c r="G368" s="711">
        <f>Bilans_E_AMS_Kyoto_run3_MTE!K518</f>
        <v>2</v>
      </c>
      <c r="H368" s="711">
        <f>Bilans_E_AMS_Kyoto_run3_MTE!L518</f>
        <v>4.1475118700352498</v>
      </c>
      <c r="I368" s="711">
        <f>Bilans_E_AMS_Kyoto_run3_MTE!M518</f>
        <v>7.5409306727913641E-2</v>
      </c>
      <c r="J368" s="711">
        <f>Bilans_E_AMS_Kyoto_run3_MTE!N518</f>
        <v>0</v>
      </c>
      <c r="K368" s="711">
        <f>Bilans_E_AMS_Kyoto_run3_MTE!O518</f>
        <v>0</v>
      </c>
      <c r="L368" s="711">
        <f>Bilans_E_AMS_Kyoto_run3_MTE!P518</f>
        <v>0</v>
      </c>
      <c r="M368" s="711">
        <f>Bilans_E_AMS_Kyoto_run3_MTE!Q518</f>
        <v>0</v>
      </c>
      <c r="N368" s="711">
        <f>Bilans_E_AMS_Kyoto_run3_MTE!R518</f>
        <v>29.027871012193479</v>
      </c>
      <c r="O368" s="711">
        <f>Bilans_E_AMS_Kyoto_run3_MTE!S518</f>
        <v>3.3180094960281998</v>
      </c>
      <c r="P368" s="711">
        <f>Bilans_E_AMS_Kyoto_run3_MTE!T518+Bilans_E_AMS_Kyoto_run3_MTE!U518</f>
        <v>0</v>
      </c>
      <c r="Q368" s="711">
        <f>Bilans_E_AMS_Kyoto_run3_MTE!V518</f>
        <v>0</v>
      </c>
      <c r="R368" s="711">
        <f>Bilans_E_AMS_Kyoto_run3_MTE!W518</f>
        <v>121.41640074189371</v>
      </c>
      <c r="S368" s="711">
        <f>Bilans_E_AMS_Kyoto_run3_MTE!X518</f>
        <v>0</v>
      </c>
      <c r="T368" s="711">
        <f>Bilans_E_AMS_Kyoto_run3_MTE!Y518</f>
        <v>6.7088833627788453</v>
      </c>
      <c r="U368" s="711">
        <f>Bilans_E_AMS_Kyoto_run3_MTE!Z518</f>
        <v>194.53677697426772</v>
      </c>
      <c r="V368" s="701"/>
      <c r="W368" s="701"/>
    </row>
    <row r="369" spans="1:23" x14ac:dyDescent="0.25">
      <c r="A369" s="701" t="s">
        <v>509</v>
      </c>
      <c r="B369" s="701"/>
      <c r="C369" s="717" t="s">
        <v>80</v>
      </c>
      <c r="D369" s="711">
        <f>Bilans_E_AMS_Kyoto_run3_MTE!H519</f>
        <v>0</v>
      </c>
      <c r="E369" s="711">
        <f>Bilans_E_AMS_Kyoto_run3_MTE!I519</f>
        <v>0</v>
      </c>
      <c r="F369" s="711">
        <f>Bilans_E_AMS_Kyoto_run3_MTE!J519</f>
        <v>0.1823284194363245</v>
      </c>
      <c r="G369" s="711">
        <f>Bilans_E_AMS_Kyoto_run3_MTE!K519</f>
        <v>0</v>
      </c>
      <c r="H369" s="711">
        <f>Bilans_E_AMS_Kyoto_run3_MTE!L519</f>
        <v>19.208488158214077</v>
      </c>
      <c r="I369" s="711">
        <f>Bilans_E_AMS_Kyoto_run3_MTE!M519</f>
        <v>0.34924523924025591</v>
      </c>
      <c r="J369" s="711">
        <f>Bilans_E_AMS_Kyoto_run3_MTE!N519</f>
        <v>0</v>
      </c>
      <c r="K369" s="711">
        <f>Bilans_E_AMS_Kyoto_run3_MTE!O519</f>
        <v>0</v>
      </c>
      <c r="L369" s="711">
        <f>Bilans_E_AMS_Kyoto_run3_MTE!P519</f>
        <v>41.860643688874312</v>
      </c>
      <c r="M369" s="711">
        <f>Bilans_E_AMS_Kyoto_run3_MTE!Q519</f>
        <v>0</v>
      </c>
      <c r="N369" s="711">
        <f>Bilans_E_AMS_Kyoto_run3_MTE!R519</f>
        <v>0</v>
      </c>
      <c r="O369" s="711">
        <f>Bilans_E_AMS_Kyoto_run3_MTE!S519</f>
        <v>15.366790526571261</v>
      </c>
      <c r="P369" s="711">
        <f>Bilans_E_AMS_Kyoto_run3_MTE!T519+Bilans_E_AMS_Kyoto_run3_MTE!U519</f>
        <v>148.3231165331799</v>
      </c>
      <c r="Q369" s="711">
        <f>Bilans_E_AMS_Kyoto_run3_MTE!V519</f>
        <v>12.136362038143677</v>
      </c>
      <c r="R369" s="711">
        <f>Bilans_E_AMS_Kyoto_run3_MTE!W519</f>
        <v>138.96099758278416</v>
      </c>
      <c r="S369" s="711">
        <f>Bilans_E_AMS_Kyoto_run3_MTE!X519</f>
        <v>37.481794053722915</v>
      </c>
      <c r="T369" s="711">
        <f>Bilans_E_AMS_Kyoto_run3_MTE!Y519</f>
        <v>0</v>
      </c>
      <c r="U369" s="711">
        <f>Bilans_E_AMS_Kyoto_run3_MTE!Z519</f>
        <v>413.86976624016694</v>
      </c>
      <c r="V369" s="701"/>
      <c r="W369" s="701"/>
    </row>
    <row r="370" spans="1:23" x14ac:dyDescent="0.25">
      <c r="A370" s="701" t="s">
        <v>510</v>
      </c>
      <c r="B370" s="701"/>
      <c r="C370" s="717" t="s">
        <v>81</v>
      </c>
      <c r="D370" s="711">
        <f>Bilans_E_AMS_Kyoto_run3_MTE!H520</f>
        <v>0</v>
      </c>
      <c r="E370" s="711">
        <f>Bilans_E_AMS_Kyoto_run3_MTE!I520</f>
        <v>0</v>
      </c>
      <c r="F370" s="711">
        <f>Bilans_E_AMS_Kyoto_run3_MTE!J520</f>
        <v>0.39199311709923457</v>
      </c>
      <c r="G370" s="711">
        <f>Bilans_E_AMS_Kyoto_run3_MTE!K520</f>
        <v>0</v>
      </c>
      <c r="H370" s="711">
        <f>Bilans_E_AMS_Kyoto_run3_MTE!L520</f>
        <v>9.9162417754913825</v>
      </c>
      <c r="I370" s="711">
        <f>Bilans_E_AMS_Kyoto_run3_MTE!M520</f>
        <v>0.18029530500893423</v>
      </c>
      <c r="J370" s="711">
        <f>Bilans_E_AMS_Kyoto_run3_MTE!N520</f>
        <v>0</v>
      </c>
      <c r="K370" s="711">
        <f>Bilans_E_AMS_Kyoto_run3_MTE!O520</f>
        <v>0</v>
      </c>
      <c r="L370" s="711">
        <f>Bilans_E_AMS_Kyoto_run3_MTE!P520</f>
        <v>0.48410239694179807</v>
      </c>
      <c r="M370" s="711">
        <f>Bilans_E_AMS_Kyoto_run3_MTE!Q520</f>
        <v>0</v>
      </c>
      <c r="N370" s="711">
        <f>Bilans_E_AMS_Kyoto_run3_MTE!R520</f>
        <v>0</v>
      </c>
      <c r="O370" s="711">
        <f>Bilans_E_AMS_Kyoto_run3_MTE!S520</f>
        <v>7.9329934203931058</v>
      </c>
      <c r="P370" s="711">
        <f>Bilans_E_AMS_Kyoto_run3_MTE!T520+Bilans_E_AMS_Kyoto_run3_MTE!U520</f>
        <v>58.56878651815164</v>
      </c>
      <c r="Q370" s="711">
        <f>Bilans_E_AMS_Kyoto_run3_MTE!V520</f>
        <v>12.039845592065015</v>
      </c>
      <c r="R370" s="711">
        <f>Bilans_E_AMS_Kyoto_run3_MTE!W520</f>
        <v>122.64919061404242</v>
      </c>
      <c r="S370" s="711">
        <f>Bilans_E_AMS_Kyoto_run3_MTE!X520</f>
        <v>22.646226401731536</v>
      </c>
      <c r="T370" s="711">
        <f>Bilans_E_AMS_Kyoto_run3_MTE!Y520</f>
        <v>0</v>
      </c>
      <c r="U370" s="711">
        <f>Bilans_E_AMS_Kyoto_run3_MTE!Z520</f>
        <v>234.80967514092507</v>
      </c>
      <c r="V370" s="701"/>
      <c r="W370" s="701"/>
    </row>
    <row r="371" spans="1:23" x14ac:dyDescent="0.25">
      <c r="A371" s="701" t="s">
        <v>511</v>
      </c>
      <c r="B371" s="701"/>
      <c r="C371" s="717" t="s">
        <v>82</v>
      </c>
      <c r="D371" s="711">
        <f>Bilans_E_AMS_Kyoto_run3_MTE!H521</f>
        <v>0</v>
      </c>
      <c r="E371" s="711">
        <f>Bilans_E_AMS_Kyoto_run3_MTE!I521</f>
        <v>0</v>
      </c>
      <c r="F371" s="711">
        <f>Bilans_E_AMS_Kyoto_run3_MTE!J521</f>
        <v>5.4571309143050808</v>
      </c>
      <c r="G371" s="711">
        <f>Bilans_E_AMS_Kyoto_run3_MTE!K521</f>
        <v>0</v>
      </c>
      <c r="H371" s="711">
        <f>Bilans_E_AMS_Kyoto_run3_MTE!L521</f>
        <v>0.56206289562711365</v>
      </c>
      <c r="I371" s="711">
        <f>Bilans_E_AMS_Kyoto_run3_MTE!M521</f>
        <v>1.0219325375038429E-2</v>
      </c>
      <c r="J371" s="711">
        <f>Bilans_E_AMS_Kyoto_run3_MTE!N521</f>
        <v>0</v>
      </c>
      <c r="K371" s="711">
        <f>Bilans_E_AMS_Kyoto_run3_MTE!O521</f>
        <v>0</v>
      </c>
      <c r="L371" s="711">
        <f>Bilans_E_AMS_Kyoto_run3_MTE!P521</f>
        <v>17.783972013033864</v>
      </c>
      <c r="M371" s="711">
        <f>Bilans_E_AMS_Kyoto_run3_MTE!Q521</f>
        <v>0</v>
      </c>
      <c r="N371" s="711">
        <f>Bilans_E_AMS_Kyoto_run3_MTE!R521</f>
        <v>8.2374051734864402</v>
      </c>
      <c r="O371" s="711">
        <f>Bilans_E_AMS_Kyoto_run3_MTE!S521</f>
        <v>0.44965031650169085</v>
      </c>
      <c r="P371" s="711">
        <f>Bilans_E_AMS_Kyoto_run3_MTE!T521+Bilans_E_AMS_Kyoto_run3_MTE!U521</f>
        <v>1.25</v>
      </c>
      <c r="Q371" s="711">
        <f>Bilans_E_AMS_Kyoto_run3_MTE!V521</f>
        <v>1.7440136932478227</v>
      </c>
      <c r="R371" s="711">
        <f>Bilans_E_AMS_Kyoto_run3_MTE!W521</f>
        <v>10.36655207833598</v>
      </c>
      <c r="S371" s="711">
        <f>Bilans_E_AMS_Kyoto_run3_MTE!X521</f>
        <v>0</v>
      </c>
      <c r="T371" s="711">
        <f>Bilans_E_AMS_Kyoto_run3_MTE!Y521</f>
        <v>0.55589052141355966</v>
      </c>
      <c r="U371" s="711">
        <f>Bilans_E_AMS_Kyoto_run3_MTE!Z521</f>
        <v>46.416896931326583</v>
      </c>
      <c r="V371" s="701"/>
      <c r="W371" s="701"/>
    </row>
    <row r="372" spans="1:23" x14ac:dyDescent="0.25">
      <c r="A372" s="701" t="s">
        <v>512</v>
      </c>
      <c r="B372" s="701"/>
      <c r="C372" s="717" t="s">
        <v>354</v>
      </c>
      <c r="D372" s="711">
        <f>Bilans_E_AMS_Kyoto_run3_MTE!H522</f>
        <v>0</v>
      </c>
      <c r="E372" s="711">
        <f>Bilans_E_AMS_Kyoto_run3_MTE!I522</f>
        <v>0</v>
      </c>
      <c r="F372" s="711">
        <f>Bilans_E_AMS_Kyoto_run3_MTE!J522</f>
        <v>0</v>
      </c>
      <c r="G372" s="711">
        <f>Bilans_E_AMS_Kyoto_run3_MTE!K522</f>
        <v>0</v>
      </c>
      <c r="H372" s="711">
        <f>Bilans_E_AMS_Kyoto_run3_MTE!L522</f>
        <v>0</v>
      </c>
      <c r="I372" s="711">
        <f>Bilans_E_AMS_Kyoto_run3_MTE!M522</f>
        <v>0</v>
      </c>
      <c r="J372" s="711">
        <f>Bilans_E_AMS_Kyoto_run3_MTE!N522</f>
        <v>0</v>
      </c>
      <c r="K372" s="711">
        <f>Bilans_E_AMS_Kyoto_run3_MTE!O522</f>
        <v>0</v>
      </c>
      <c r="L372" s="711">
        <f>Bilans_E_AMS_Kyoto_run3_MTE!P522</f>
        <v>0</v>
      </c>
      <c r="M372" s="711">
        <f>Bilans_E_AMS_Kyoto_run3_MTE!Q522</f>
        <v>0</v>
      </c>
      <c r="N372" s="711">
        <f>Bilans_E_AMS_Kyoto_run3_MTE!R522</f>
        <v>0</v>
      </c>
      <c r="O372" s="711">
        <f>Bilans_E_AMS_Kyoto_run3_MTE!S522</f>
        <v>0</v>
      </c>
      <c r="P372" s="711">
        <f>Bilans_E_AMS_Kyoto_run3_MTE!T522+Bilans_E_AMS_Kyoto_run3_MTE!U522</f>
        <v>0</v>
      </c>
      <c r="Q372" s="711">
        <f>Bilans_E_AMS_Kyoto_run3_MTE!V522</f>
        <v>0</v>
      </c>
      <c r="R372" s="711">
        <f>Bilans_E_AMS_Kyoto_run3_MTE!W522</f>
        <v>9.0399999999999991</v>
      </c>
      <c r="S372" s="711">
        <f>Bilans_E_AMS_Kyoto_run3_MTE!X522</f>
        <v>0</v>
      </c>
      <c r="T372" s="711">
        <f>Bilans_E_AMS_Kyoto_run3_MTE!Y522</f>
        <v>0</v>
      </c>
      <c r="U372" s="711">
        <f>Bilans_E_AMS_Kyoto_run3_MTE!Z522</f>
        <v>9.0399999999999991</v>
      </c>
      <c r="V372" s="701"/>
      <c r="W372" s="701"/>
    </row>
    <row r="373" spans="1:23" x14ac:dyDescent="0.25">
      <c r="A373" s="701" t="s">
        <v>513</v>
      </c>
      <c r="B373" s="701"/>
      <c r="C373" s="713" t="s">
        <v>83</v>
      </c>
      <c r="D373" s="714">
        <f>Bilans_E_AMS_Kyoto_run3_MTE!H523</f>
        <v>7.2040588378906256E-2</v>
      </c>
      <c r="E373" s="714">
        <f>Bilans_E_AMS_Kyoto_run3_MTE!I523</f>
        <v>0</v>
      </c>
      <c r="F373" s="714">
        <f>Bilans_E_AMS_Kyoto_run3_MTE!J523</f>
        <v>34.064714669767895</v>
      </c>
      <c r="G373" s="714">
        <f>Bilans_E_AMS_Kyoto_run3_MTE!K523</f>
        <v>2</v>
      </c>
      <c r="H373" s="714">
        <f>Bilans_E_AMS_Kyoto_run3_MTE!L523</f>
        <v>62.629915886111512</v>
      </c>
      <c r="I373" s="714">
        <f>Bilans_E_AMS_Kyoto_run3_MTE!M523</f>
        <v>1.1387257433838454</v>
      </c>
      <c r="J373" s="714">
        <f>Bilans_E_AMS_Kyoto_run3_MTE!N523</f>
        <v>0</v>
      </c>
      <c r="K373" s="714">
        <f>Bilans_E_AMS_Kyoto_run3_MTE!O523</f>
        <v>0</v>
      </c>
      <c r="L373" s="714">
        <f>Bilans_E_AMS_Kyoto_run3_MTE!P523</f>
        <v>95.000271126174255</v>
      </c>
      <c r="M373" s="714">
        <f>Bilans_E_AMS_Kyoto_run3_MTE!Q523</f>
        <v>8.043964025546213</v>
      </c>
      <c r="N373" s="714">
        <f>Bilans_E_AMS_Kyoto_run3_MTE!R523</f>
        <v>37.265276185679923</v>
      </c>
      <c r="O373" s="714">
        <f>Bilans_E_AMS_Kyoto_run3_MTE!S523</f>
        <v>50.145282915920937</v>
      </c>
      <c r="P373" s="714">
        <f>Bilans_E_AMS_Kyoto_run3_MTE!T523+Bilans_E_AMS_Kyoto_run3_MTE!U523</f>
        <v>221.77552316851904</v>
      </c>
      <c r="Q373" s="714">
        <f>Bilans_E_AMS_Kyoto_run3_MTE!V523</f>
        <v>25.921064315164912</v>
      </c>
      <c r="R373" s="714">
        <f>Bilans_E_AMS_Kyoto_run3_MTE!W523</f>
        <v>561.07958855635695</v>
      </c>
      <c r="S373" s="714">
        <f>Bilans_E_AMS_Kyoto_run3_MTE!X523</f>
        <v>79.672276913448172</v>
      </c>
      <c r="T373" s="714">
        <f>Bilans_E_AMS_Kyoto_run3_MTE!Y523</f>
        <v>20.906614704504904</v>
      </c>
      <c r="U373" s="714">
        <f>Bilans_E_AMS_Kyoto_run3_MTE!Z523</f>
        <v>1199.7152587989574</v>
      </c>
      <c r="V373" s="701"/>
      <c r="W373" s="701"/>
    </row>
    <row r="374" spans="1:23" x14ac:dyDescent="0.25">
      <c r="A374" s="701" t="s">
        <v>514</v>
      </c>
      <c r="B374" s="701"/>
      <c r="C374" s="710" t="s">
        <v>84</v>
      </c>
      <c r="D374" s="711">
        <f>Bilans_E_AMS_Kyoto_run3_MTE!H524</f>
        <v>0</v>
      </c>
      <c r="E374" s="711">
        <f>Bilans_E_AMS_Kyoto_run3_MTE!I524</f>
        <v>0</v>
      </c>
      <c r="F374" s="711">
        <f>Bilans_E_AMS_Kyoto_run3_MTE!J524</f>
        <v>96.394045128661887</v>
      </c>
      <c r="G374" s="711">
        <f>Bilans_E_AMS_Kyoto_run3_MTE!K524</f>
        <v>3.4901848637372384</v>
      </c>
      <c r="H374" s="711">
        <f>Bilans_E_AMS_Kyoto_run3_MTE!L524</f>
        <v>9.7025025927356783</v>
      </c>
      <c r="I374" s="711">
        <f>Bilans_E_AMS_Kyoto_run3_MTE!M524</f>
        <v>0</v>
      </c>
      <c r="J374" s="711">
        <f>Bilans_E_AMS_Kyoto_run3_MTE!N524</f>
        <v>0</v>
      </c>
      <c r="K374" s="711">
        <f>Bilans_E_AMS_Kyoto_run3_MTE!O524</f>
        <v>0</v>
      </c>
      <c r="L374" s="711">
        <f>Bilans_E_AMS_Kyoto_run3_MTE!P524</f>
        <v>0.55051822222324442</v>
      </c>
      <c r="M374" s="711">
        <f>Bilans_E_AMS_Kyoto_run3_MTE!Q524</f>
        <v>0</v>
      </c>
      <c r="N374" s="711">
        <f>Bilans_E_AMS_Kyoto_run3_MTE!R524</f>
        <v>5.2633850918308207</v>
      </c>
      <c r="O374" s="711">
        <f>Bilans_E_AMS_Kyoto_run3_MTE!S524</f>
        <v>0</v>
      </c>
      <c r="P374" s="711">
        <f>Bilans_E_AMS_Kyoto_run3_MTE!T524+Bilans_E_AMS_Kyoto_run3_MTE!U524</f>
        <v>0</v>
      </c>
      <c r="Q374" s="711">
        <f>Bilans_E_AMS_Kyoto_run3_MTE!V524</f>
        <v>0</v>
      </c>
      <c r="R374" s="711">
        <f>Bilans_E_AMS_Kyoto_run3_MTE!W524</f>
        <v>0</v>
      </c>
      <c r="S374" s="711">
        <f>Bilans_E_AMS_Kyoto_run3_MTE!X524</f>
        <v>0</v>
      </c>
      <c r="T374" s="711">
        <f>Bilans_E_AMS_Kyoto_run3_MTE!Y524</f>
        <v>4.3572670917440366</v>
      </c>
      <c r="U374" s="711">
        <f>Bilans_E_AMS_Kyoto_run3_MTE!Z524</f>
        <v>119.75790299093292</v>
      </c>
      <c r="V374" s="701"/>
      <c r="W374" s="701"/>
    </row>
    <row r="375" spans="1:23" x14ac:dyDescent="0.25">
      <c r="A375" s="701" t="s">
        <v>515</v>
      </c>
      <c r="B375" s="701"/>
      <c r="C375" s="713" t="s">
        <v>85</v>
      </c>
      <c r="D375" s="714">
        <f>Bilans_E_AMS_Kyoto_run3_MTE!H525</f>
        <v>7.2040588378906256E-2</v>
      </c>
      <c r="E375" s="714">
        <f>Bilans_E_AMS_Kyoto_run3_MTE!I525</f>
        <v>0</v>
      </c>
      <c r="F375" s="714">
        <f>Bilans_E_AMS_Kyoto_run3_MTE!J525</f>
        <v>130.45875979842978</v>
      </c>
      <c r="G375" s="714">
        <f>Bilans_E_AMS_Kyoto_run3_MTE!K525</f>
        <v>5.4901848637372384</v>
      </c>
      <c r="H375" s="714">
        <f>Bilans_E_AMS_Kyoto_run3_MTE!L525</f>
        <v>72.332418478847188</v>
      </c>
      <c r="I375" s="714">
        <f>Bilans_E_AMS_Kyoto_run3_MTE!M525</f>
        <v>1.1387257433838454</v>
      </c>
      <c r="J375" s="714">
        <f>Bilans_E_AMS_Kyoto_run3_MTE!N525</f>
        <v>0</v>
      </c>
      <c r="K375" s="714">
        <f>Bilans_E_AMS_Kyoto_run3_MTE!O525</f>
        <v>0</v>
      </c>
      <c r="L375" s="714">
        <f>Bilans_E_AMS_Kyoto_run3_MTE!P525</f>
        <v>95.550789348397501</v>
      </c>
      <c r="M375" s="714">
        <f>Bilans_E_AMS_Kyoto_run3_MTE!Q525</f>
        <v>8.043964025546213</v>
      </c>
      <c r="N375" s="714">
        <f>Bilans_E_AMS_Kyoto_run3_MTE!R525</f>
        <v>42.528661277510743</v>
      </c>
      <c r="O375" s="714">
        <f>Bilans_E_AMS_Kyoto_run3_MTE!S525</f>
        <v>50.145282915920937</v>
      </c>
      <c r="P375" s="714">
        <f>Bilans_E_AMS_Kyoto_run3_MTE!T525+Bilans_E_AMS_Kyoto_run3_MTE!U525</f>
        <v>221.77552316851904</v>
      </c>
      <c r="Q375" s="714">
        <f>Bilans_E_AMS_Kyoto_run3_MTE!V525</f>
        <v>25.921064315164912</v>
      </c>
      <c r="R375" s="714">
        <f>Bilans_E_AMS_Kyoto_run3_MTE!W525</f>
        <v>561.07958855635695</v>
      </c>
      <c r="S375" s="714">
        <f>Bilans_E_AMS_Kyoto_run3_MTE!X525</f>
        <v>79.672276913448172</v>
      </c>
      <c r="T375" s="714">
        <f>Bilans_E_AMS_Kyoto_run3_MTE!Y525</f>
        <v>25.263881796248938</v>
      </c>
      <c r="U375" s="714">
        <f>Bilans_E_AMS_Kyoto_run3_MTE!Z525</f>
        <v>1319.4731617898904</v>
      </c>
      <c r="V375" s="701"/>
      <c r="W375" s="701"/>
    </row>
    <row r="376" spans="1:23" x14ac:dyDescent="0.25">
      <c r="A376" s="701"/>
      <c r="B376" s="701"/>
      <c r="C376" s="701"/>
      <c r="D376" s="701">
        <f>Bilans_E_AMS_Kyoto_run3_MTE!H526</f>
        <v>0</v>
      </c>
      <c r="E376" s="701">
        <f>Bilans_E_AMS_Kyoto_run3_MTE!I526</f>
        <v>0</v>
      </c>
      <c r="F376" s="701">
        <f>Bilans_E_AMS_Kyoto_run3_MTE!J526</f>
        <v>-7.1054273576010019E-15</v>
      </c>
      <c r="G376" s="701">
        <f>Bilans_E_AMS_Kyoto_run3_MTE!K526</f>
        <v>0</v>
      </c>
      <c r="H376" s="701">
        <f>Bilans_E_AMS_Kyoto_run3_MTE!L526</f>
        <v>4.0563540423477207E-5</v>
      </c>
      <c r="I376" s="701">
        <f>Bilans_E_AMS_Kyoto_run3_MTE!M526</f>
        <v>-4.0563540425697653E-5</v>
      </c>
      <c r="J376" s="701">
        <f>Bilans_E_AMS_Kyoto_run3_MTE!N526</f>
        <v>0</v>
      </c>
      <c r="K376" s="701">
        <f>Bilans_E_AMS_Kyoto_run3_MTE!O526</f>
        <v>0</v>
      </c>
      <c r="L376" s="701">
        <f>Bilans_E_AMS_Kyoto_run3_MTE!P526</f>
        <v>0</v>
      </c>
      <c r="M376" s="701">
        <f>Bilans_E_AMS_Kyoto_run3_MTE!Q526</f>
        <v>0</v>
      </c>
      <c r="N376" s="701">
        <f>Bilans_E_AMS_Kyoto_run3_MTE!R526</f>
        <v>0</v>
      </c>
      <c r="O376" s="701">
        <f>Bilans_E_AMS_Kyoto_run3_MTE!S526</f>
        <v>0</v>
      </c>
      <c r="P376" s="701">
        <f>Bilans_E_AMS_Kyoto_run3_MTE!T526+Bilans_E_AMS_Kyoto_run3_MTE!U526</f>
        <v>0</v>
      </c>
      <c r="Q376" s="701">
        <f>Bilans_E_AMS_Kyoto_run3_MTE!V526</f>
        <v>0</v>
      </c>
      <c r="R376" s="701">
        <f>Bilans_E_AMS_Kyoto_run3_MTE!W526</f>
        <v>0</v>
      </c>
      <c r="S376" s="701">
        <f>Bilans_E_AMS_Kyoto_run3_MTE!X526</f>
        <v>-3.2925505564662672E-5</v>
      </c>
      <c r="T376" s="701">
        <f>Bilans_E_AMS_Kyoto_run3_MTE!Y526</f>
        <v>0</v>
      </c>
      <c r="U376" s="701">
        <f>Bilans_E_AMS_Kyoto_run3_MTE!Z526</f>
        <v>-3.2925505365710706E-5</v>
      </c>
      <c r="V376" s="701"/>
      <c r="W376" s="701"/>
    </row>
    <row r="377" spans="1:23" x14ac:dyDescent="0.25">
      <c r="A377" s="701"/>
      <c r="B377" s="701"/>
      <c r="C377" s="701"/>
      <c r="D377" s="701"/>
      <c r="E377" s="701"/>
      <c r="F377" s="701"/>
      <c r="G377" s="701"/>
      <c r="H377" s="701"/>
      <c r="I377" s="701"/>
      <c r="J377" s="701"/>
      <c r="K377" s="701"/>
      <c r="L377" s="701"/>
      <c r="M377" s="701"/>
      <c r="N377" s="701"/>
      <c r="O377" s="701"/>
      <c r="P377" s="701"/>
      <c r="Q377" s="701"/>
      <c r="R377" s="701"/>
      <c r="S377" s="701"/>
      <c r="T377" s="701"/>
      <c r="U377" s="701"/>
      <c r="V377" s="701"/>
      <c r="W377" s="701"/>
    </row>
    <row r="378" spans="1:23" x14ac:dyDescent="0.25">
      <c r="A378" s="707"/>
      <c r="B378" s="707"/>
      <c r="C378" s="708" t="s">
        <v>89</v>
      </c>
      <c r="D378" s="707"/>
      <c r="E378" s="707"/>
      <c r="F378" s="707"/>
      <c r="G378" s="707"/>
      <c r="H378" s="707"/>
      <c r="I378" s="707"/>
      <c r="J378" s="707"/>
      <c r="K378" s="707"/>
      <c r="L378" s="707"/>
      <c r="M378" s="707"/>
      <c r="N378" s="707"/>
      <c r="O378" s="707"/>
      <c r="P378" s="707"/>
      <c r="Q378" s="707"/>
      <c r="R378" s="707"/>
      <c r="S378" s="707"/>
      <c r="T378" s="707"/>
      <c r="U378" s="707"/>
      <c r="V378" s="707"/>
      <c r="W378" s="707"/>
    </row>
    <row r="379" spans="1:23" x14ac:dyDescent="0.25">
      <c r="A379" s="701"/>
      <c r="B379" s="701"/>
      <c r="C379" s="701"/>
      <c r="D379" s="701"/>
      <c r="E379" s="701"/>
      <c r="F379" s="701"/>
      <c r="G379" s="701"/>
      <c r="H379" s="701"/>
      <c r="I379" s="701"/>
      <c r="J379" s="701"/>
      <c r="K379" s="701"/>
      <c r="L379" s="701"/>
      <c r="M379" s="701"/>
      <c r="N379" s="701"/>
      <c r="O379" s="701"/>
      <c r="P379" s="701"/>
      <c r="Q379" s="701"/>
      <c r="R379" s="701"/>
      <c r="S379" s="701"/>
      <c r="T379" s="701"/>
      <c r="U379" s="701"/>
      <c r="V379" s="701"/>
      <c r="W379" s="701"/>
    </row>
    <row r="380" spans="1:23" x14ac:dyDescent="0.25">
      <c r="A380" s="701"/>
      <c r="B380" s="701"/>
      <c r="C380" s="780" t="s">
        <v>128</v>
      </c>
      <c r="D380" s="775" t="s">
        <v>42</v>
      </c>
      <c r="E380" s="775" t="s">
        <v>52</v>
      </c>
      <c r="F380" s="775" t="s">
        <v>53</v>
      </c>
      <c r="G380" s="775" t="s">
        <v>482</v>
      </c>
      <c r="H380" s="775" t="s">
        <v>32</v>
      </c>
      <c r="I380" s="775" t="s">
        <v>483</v>
      </c>
      <c r="J380" s="775" t="s">
        <v>20</v>
      </c>
      <c r="K380" s="775" t="s">
        <v>55</v>
      </c>
      <c r="L380" s="777" t="s">
        <v>56</v>
      </c>
      <c r="M380" s="778"/>
      <c r="N380" s="778"/>
      <c r="O380" s="778"/>
      <c r="P380" s="778"/>
      <c r="Q380" s="779"/>
      <c r="R380" s="775" t="s">
        <v>57</v>
      </c>
      <c r="S380" s="775" t="s">
        <v>58</v>
      </c>
      <c r="T380" s="775" t="s">
        <v>31</v>
      </c>
      <c r="U380" s="775" t="s">
        <v>10</v>
      </c>
      <c r="V380" s="701"/>
      <c r="W380" s="701"/>
    </row>
    <row r="381" spans="1:23" ht="67.5" x14ac:dyDescent="0.25">
      <c r="A381" s="701" t="s">
        <v>486</v>
      </c>
      <c r="B381" s="701"/>
      <c r="C381" s="781"/>
      <c r="D381" s="776"/>
      <c r="E381" s="776"/>
      <c r="F381" s="776"/>
      <c r="G381" s="776"/>
      <c r="H381" s="776"/>
      <c r="I381" s="776"/>
      <c r="J381" s="776"/>
      <c r="K381" s="776"/>
      <c r="L381" s="709" t="s">
        <v>335</v>
      </c>
      <c r="M381" s="709" t="s">
        <v>40</v>
      </c>
      <c r="N381" s="709" t="s">
        <v>343</v>
      </c>
      <c r="O381" s="709" t="s">
        <v>344</v>
      </c>
      <c r="P381" s="719" t="s">
        <v>610</v>
      </c>
      <c r="Q381" s="709" t="s">
        <v>346</v>
      </c>
      <c r="R381" s="776"/>
      <c r="S381" s="776"/>
      <c r="T381" s="776"/>
      <c r="U381" s="776"/>
      <c r="V381" s="701"/>
      <c r="W381" s="701"/>
    </row>
    <row r="382" spans="1:23" x14ac:dyDescent="0.25">
      <c r="A382" s="701" t="s">
        <v>487</v>
      </c>
      <c r="B382" s="701"/>
      <c r="C382" s="710" t="s">
        <v>59</v>
      </c>
      <c r="D382" s="711">
        <f>Bilans_E_AMS_Kyoto_run3_MTE!H532</f>
        <v>0</v>
      </c>
      <c r="E382" s="711">
        <f>Bilans_E_AMS_Kyoto_run3_MTE!I532</f>
        <v>0</v>
      </c>
      <c r="F382" s="711">
        <f>Bilans_E_AMS_Kyoto_run3_MTE!J532</f>
        <v>0</v>
      </c>
      <c r="G382" s="711">
        <f>Bilans_E_AMS_Kyoto_run3_MTE!K532</f>
        <v>0</v>
      </c>
      <c r="H382" s="711">
        <f>Bilans_E_AMS_Kyoto_run3_MTE!L532</f>
        <v>0</v>
      </c>
      <c r="I382" s="711">
        <f>Bilans_E_AMS_Kyoto_run3_MTE!M532</f>
        <v>0</v>
      </c>
      <c r="J382" s="711">
        <f>Bilans_E_AMS_Kyoto_run3_MTE!N532</f>
        <v>807.37795933495636</v>
      </c>
      <c r="K382" s="711">
        <f>Bilans_E_AMS_Kyoto_run3_MTE!O532</f>
        <v>553.99388589395949</v>
      </c>
      <c r="L382" s="711">
        <f>Bilans_E_AMS_Kyoto_run3_MTE!P532</f>
        <v>401.60616442653316</v>
      </c>
      <c r="M382" s="711">
        <f>Bilans_E_AMS_Kyoto_run3_MTE!Q532</f>
        <v>43.888349788112322</v>
      </c>
      <c r="N382" s="711">
        <f>Bilans_E_AMS_Kyoto_run3_MTE!R532</f>
        <v>0</v>
      </c>
      <c r="O382" s="711">
        <f>Bilans_E_AMS_Kyoto_run3_MTE!S532</f>
        <v>0</v>
      </c>
      <c r="P382" s="711">
        <f>Bilans_E_AMS_Kyoto_run3_MTE!T532+Bilans_E_AMS_Kyoto_run3_MTE!U532</f>
        <v>274.41854375041947</v>
      </c>
      <c r="Q382" s="711">
        <f>Bilans_E_AMS_Kyoto_run3_MTE!V532</f>
        <v>50.723080686002739</v>
      </c>
      <c r="R382" s="711">
        <f>Bilans_E_AMS_Kyoto_run3_MTE!W532</f>
        <v>0</v>
      </c>
      <c r="S382" s="711">
        <f>Bilans_E_AMS_Kyoto_run3_MTE!X532</f>
        <v>0</v>
      </c>
      <c r="T382" s="711">
        <f>Bilans_E_AMS_Kyoto_run3_MTE!Y532</f>
        <v>0</v>
      </c>
      <c r="U382" s="711">
        <f>Bilans_E_AMS_Kyoto_run3_MTE!Z532</f>
        <v>2132.0079838799838</v>
      </c>
      <c r="V382" s="701"/>
      <c r="W382" s="701"/>
    </row>
    <row r="383" spans="1:23" x14ac:dyDescent="0.25">
      <c r="A383" s="701" t="s">
        <v>488</v>
      </c>
      <c r="B383" s="701"/>
      <c r="C383" s="710" t="s">
        <v>60</v>
      </c>
      <c r="D383" s="712">
        <f>Bilans_E_AMS_Kyoto_run3_MTE!H533</f>
        <v>0</v>
      </c>
      <c r="E383" s="712">
        <f>Bilans_E_AMS_Kyoto_run3_MTE!I533</f>
        <v>58.863651738299311</v>
      </c>
      <c r="F383" s="712">
        <f>Bilans_E_AMS_Kyoto_run3_MTE!J533</f>
        <v>45.756672067678878</v>
      </c>
      <c r="G383" s="712">
        <f>Bilans_E_AMS_Kyoto_run3_MTE!K533</f>
        <v>12.032159045744653</v>
      </c>
      <c r="H383" s="712">
        <f>Bilans_E_AMS_Kyoto_run3_MTE!L533</f>
        <v>7.019987079045241</v>
      </c>
      <c r="I383" s="712">
        <f>Bilans_E_AMS_Kyoto_run3_MTE!M533</f>
        <v>0</v>
      </c>
      <c r="J383" s="712">
        <f>Bilans_E_AMS_Kyoto_run3_MTE!N533</f>
        <v>0</v>
      </c>
      <c r="K383" s="712">
        <f>Bilans_E_AMS_Kyoto_run3_MTE!O533</f>
        <v>0</v>
      </c>
      <c r="L383" s="712">
        <f>Bilans_E_AMS_Kyoto_run3_MTE!P533</f>
        <v>22.470468893714155</v>
      </c>
      <c r="M383" s="712">
        <f>Bilans_E_AMS_Kyoto_run3_MTE!Q533</f>
        <v>0</v>
      </c>
      <c r="N383" s="712">
        <f>Bilans_E_AMS_Kyoto_run3_MTE!R533</f>
        <v>0</v>
      </c>
      <c r="O383" s="712">
        <f>Bilans_E_AMS_Kyoto_run3_MTE!S533</f>
        <v>0</v>
      </c>
      <c r="P383" s="712">
        <f>Bilans_E_AMS_Kyoto_run3_MTE!T533+Bilans_E_AMS_Kyoto_run3_MTE!U533</f>
        <v>0</v>
      </c>
      <c r="Q383" s="712">
        <f>Bilans_E_AMS_Kyoto_run3_MTE!V533</f>
        <v>0</v>
      </c>
      <c r="R383" s="712">
        <f>Bilans_E_AMS_Kyoto_run3_MTE!W533</f>
        <v>0</v>
      </c>
      <c r="S383" s="712">
        <f>Bilans_E_AMS_Kyoto_run3_MTE!X533</f>
        <v>0</v>
      </c>
      <c r="T383" s="712">
        <f>Bilans_E_AMS_Kyoto_run3_MTE!Y533</f>
        <v>0</v>
      </c>
      <c r="U383" s="712">
        <f>Bilans_E_AMS_Kyoto_run3_MTE!Z533</f>
        <v>146.14293882448223</v>
      </c>
      <c r="V383" s="701"/>
      <c r="W383" s="701"/>
    </row>
    <row r="384" spans="1:23" x14ac:dyDescent="0.25">
      <c r="A384" s="701" t="s">
        <v>489</v>
      </c>
      <c r="B384" s="701"/>
      <c r="C384" s="710" t="s">
        <v>61</v>
      </c>
      <c r="D384" s="712">
        <f>Bilans_E_AMS_Kyoto_run3_MTE!H534</f>
        <v>0</v>
      </c>
      <c r="E384" s="712">
        <f>Bilans_E_AMS_Kyoto_run3_MTE!I534</f>
        <v>0</v>
      </c>
      <c r="F384" s="712">
        <f>Bilans_E_AMS_Kyoto_run3_MTE!J534</f>
        <v>0</v>
      </c>
      <c r="G384" s="712">
        <f>Bilans_E_AMS_Kyoto_run3_MTE!K534</f>
        <v>0</v>
      </c>
      <c r="H384" s="712">
        <f>Bilans_E_AMS_Kyoto_run3_MTE!L534</f>
        <v>0</v>
      </c>
      <c r="I384" s="712">
        <f>Bilans_E_AMS_Kyoto_run3_MTE!M534</f>
        <v>0</v>
      </c>
      <c r="J384" s="712">
        <f>Bilans_E_AMS_Kyoto_run3_MTE!N534</f>
        <v>0</v>
      </c>
      <c r="K384" s="712">
        <f>Bilans_E_AMS_Kyoto_run3_MTE!O534</f>
        <v>0</v>
      </c>
      <c r="L384" s="712">
        <f>Bilans_E_AMS_Kyoto_run3_MTE!P534</f>
        <v>0</v>
      </c>
      <c r="M384" s="712">
        <f>Bilans_E_AMS_Kyoto_run3_MTE!Q534</f>
        <v>0</v>
      </c>
      <c r="N384" s="712">
        <f>Bilans_E_AMS_Kyoto_run3_MTE!R534</f>
        <v>-12.102055378039722</v>
      </c>
      <c r="O384" s="712">
        <f>Bilans_E_AMS_Kyoto_run3_MTE!S534</f>
        <v>-3.7955214595352373</v>
      </c>
      <c r="P384" s="712">
        <f>Bilans_E_AMS_Kyoto_run3_MTE!T534+Bilans_E_AMS_Kyoto_run3_MTE!U534</f>
        <v>0</v>
      </c>
      <c r="Q384" s="712">
        <f>Bilans_E_AMS_Kyoto_run3_MTE!V534</f>
        <v>0</v>
      </c>
      <c r="R384" s="712">
        <f>Bilans_E_AMS_Kyoto_run3_MTE!W534</f>
        <v>-28.679288227585289</v>
      </c>
      <c r="S384" s="712">
        <f>Bilans_E_AMS_Kyoto_run3_MTE!X534</f>
        <v>0</v>
      </c>
      <c r="T384" s="712">
        <f>Bilans_E_AMS_Kyoto_run3_MTE!Y534</f>
        <v>0</v>
      </c>
      <c r="U384" s="712">
        <f>Bilans_E_AMS_Kyoto_run3_MTE!Z534</f>
        <v>-44.576865065160248</v>
      </c>
      <c r="V384" s="701"/>
      <c r="W384" s="701"/>
    </row>
    <row r="385" spans="1:23" x14ac:dyDescent="0.25">
      <c r="A385" s="701" t="s">
        <v>490</v>
      </c>
      <c r="B385" s="701"/>
      <c r="C385" s="710" t="s">
        <v>62</v>
      </c>
      <c r="D385" s="711">
        <f>Bilans_E_AMS_Kyoto_run3_MTE!H535</f>
        <v>0</v>
      </c>
      <c r="E385" s="711">
        <f>Bilans_E_AMS_Kyoto_run3_MTE!I535</f>
        <v>0</v>
      </c>
      <c r="F385" s="711">
        <f>Bilans_E_AMS_Kyoto_run3_MTE!J535</f>
        <v>-1.2057976620084264E-3</v>
      </c>
      <c r="G385" s="711">
        <f>Bilans_E_AMS_Kyoto_run3_MTE!K535</f>
        <v>-2.8026264036035151</v>
      </c>
      <c r="H385" s="711">
        <f>Bilans_E_AMS_Kyoto_run3_MTE!L535</f>
        <v>0</v>
      </c>
      <c r="I385" s="711">
        <f>Bilans_E_AMS_Kyoto_run3_MTE!M535</f>
        <v>-2.8026264036035156</v>
      </c>
      <c r="J385" s="711">
        <f>Bilans_E_AMS_Kyoto_run3_MTE!N535</f>
        <v>0</v>
      </c>
      <c r="K385" s="711">
        <f>Bilans_E_AMS_Kyoto_run3_MTE!O535</f>
        <v>0</v>
      </c>
      <c r="L385" s="711">
        <f>Bilans_E_AMS_Kyoto_run3_MTE!P535</f>
        <v>0</v>
      </c>
      <c r="M385" s="711">
        <f>Bilans_E_AMS_Kyoto_run3_MTE!Q535</f>
        <v>0</v>
      </c>
      <c r="N385" s="711">
        <f>Bilans_E_AMS_Kyoto_run3_MTE!R535</f>
        <v>0</v>
      </c>
      <c r="O385" s="711">
        <f>Bilans_E_AMS_Kyoto_run3_MTE!S535</f>
        <v>-2.4289428831230464</v>
      </c>
      <c r="P385" s="711">
        <f>Bilans_E_AMS_Kyoto_run3_MTE!T535+Bilans_E_AMS_Kyoto_run3_MTE!U535</f>
        <v>0</v>
      </c>
      <c r="Q385" s="711">
        <f>Bilans_E_AMS_Kyoto_run3_MTE!V535</f>
        <v>0</v>
      </c>
      <c r="R385" s="711">
        <f>Bilans_E_AMS_Kyoto_run3_MTE!W535</f>
        <v>0</v>
      </c>
      <c r="S385" s="711">
        <f>Bilans_E_AMS_Kyoto_run3_MTE!X535</f>
        <v>0</v>
      </c>
      <c r="T385" s="711">
        <f>Bilans_E_AMS_Kyoto_run3_MTE!Y535</f>
        <v>-1.3066910843207444</v>
      </c>
      <c r="U385" s="711">
        <f>Bilans_E_AMS_Kyoto_run3_MTE!Z535</f>
        <v>-9.342092572312831</v>
      </c>
      <c r="V385" s="701"/>
      <c r="W385" s="701"/>
    </row>
    <row r="386" spans="1:23" x14ac:dyDescent="0.25">
      <c r="A386" s="701" t="s">
        <v>491</v>
      </c>
      <c r="B386" s="701"/>
      <c r="C386" s="710" t="s">
        <v>63</v>
      </c>
      <c r="D386" s="711">
        <f>Bilans_E_AMS_Kyoto_run3_MTE!H536</f>
        <v>0</v>
      </c>
      <c r="E386" s="711">
        <f>Bilans_E_AMS_Kyoto_run3_MTE!I536</f>
        <v>0</v>
      </c>
      <c r="F386" s="711">
        <f>Bilans_E_AMS_Kyoto_run3_MTE!J536</f>
        <v>-7</v>
      </c>
      <c r="G386" s="711">
        <f>Bilans_E_AMS_Kyoto_run3_MTE!K536</f>
        <v>-25</v>
      </c>
      <c r="H386" s="711">
        <f>Bilans_E_AMS_Kyoto_run3_MTE!L536</f>
        <v>0</v>
      </c>
      <c r="I386" s="711">
        <f>Bilans_E_AMS_Kyoto_run3_MTE!M536</f>
        <v>0</v>
      </c>
      <c r="J386" s="711">
        <f>Bilans_E_AMS_Kyoto_run3_MTE!N536</f>
        <v>0</v>
      </c>
      <c r="K386" s="711">
        <f>Bilans_E_AMS_Kyoto_run3_MTE!O536</f>
        <v>0</v>
      </c>
      <c r="L386" s="711">
        <f>Bilans_E_AMS_Kyoto_run3_MTE!P536</f>
        <v>0</v>
      </c>
      <c r="M386" s="711">
        <f>Bilans_E_AMS_Kyoto_run3_MTE!Q536</f>
        <v>0</v>
      </c>
      <c r="N386" s="711">
        <f>Bilans_E_AMS_Kyoto_run3_MTE!R536</f>
        <v>-17</v>
      </c>
      <c r="O386" s="711">
        <f>Bilans_E_AMS_Kyoto_run3_MTE!S536</f>
        <v>0</v>
      </c>
      <c r="P386" s="711">
        <f>Bilans_E_AMS_Kyoto_run3_MTE!T536+Bilans_E_AMS_Kyoto_run3_MTE!U536</f>
        <v>0</v>
      </c>
      <c r="Q386" s="711">
        <f>Bilans_E_AMS_Kyoto_run3_MTE!V536</f>
        <v>0</v>
      </c>
      <c r="R386" s="711">
        <f>Bilans_E_AMS_Kyoto_run3_MTE!W536</f>
        <v>0</v>
      </c>
      <c r="S386" s="711">
        <f>Bilans_E_AMS_Kyoto_run3_MTE!X536</f>
        <v>0</v>
      </c>
      <c r="T386" s="711">
        <f>Bilans_E_AMS_Kyoto_run3_MTE!Y536</f>
        <v>-8</v>
      </c>
      <c r="U386" s="711">
        <f>Bilans_E_AMS_Kyoto_run3_MTE!Z536</f>
        <v>-57</v>
      </c>
      <c r="V386" s="701"/>
      <c r="W386" s="701"/>
    </row>
    <row r="387" spans="1:23" x14ac:dyDescent="0.25">
      <c r="A387" s="701" t="s">
        <v>492</v>
      </c>
      <c r="B387" s="701"/>
      <c r="C387" s="710" t="s">
        <v>64</v>
      </c>
      <c r="D387" s="712">
        <f>Bilans_E_AMS_Kyoto_run3_MTE!H537</f>
        <v>0</v>
      </c>
      <c r="E387" s="712">
        <f>Bilans_E_AMS_Kyoto_run3_MTE!I537</f>
        <v>0</v>
      </c>
      <c r="F387" s="712">
        <f>Bilans_E_AMS_Kyoto_run3_MTE!J537</f>
        <v>0</v>
      </c>
      <c r="G387" s="712">
        <f>Bilans_E_AMS_Kyoto_run3_MTE!K537</f>
        <v>0</v>
      </c>
      <c r="H387" s="712">
        <f>Bilans_E_AMS_Kyoto_run3_MTE!L537</f>
        <v>0</v>
      </c>
      <c r="I387" s="712">
        <f>Bilans_E_AMS_Kyoto_run3_MTE!M537</f>
        <v>0</v>
      </c>
      <c r="J387" s="712">
        <f>Bilans_E_AMS_Kyoto_run3_MTE!N537</f>
        <v>0</v>
      </c>
      <c r="K387" s="712">
        <f>Bilans_E_AMS_Kyoto_run3_MTE!O537</f>
        <v>0</v>
      </c>
      <c r="L387" s="712">
        <f>Bilans_E_AMS_Kyoto_run3_MTE!P537</f>
        <v>0</v>
      </c>
      <c r="M387" s="712">
        <f>Bilans_E_AMS_Kyoto_run3_MTE!Q537</f>
        <v>0</v>
      </c>
      <c r="N387" s="712">
        <f>Bilans_E_AMS_Kyoto_run3_MTE!R537</f>
        <v>0</v>
      </c>
      <c r="O387" s="712">
        <f>Bilans_E_AMS_Kyoto_run3_MTE!S537</f>
        <v>0</v>
      </c>
      <c r="P387" s="712">
        <f>Bilans_E_AMS_Kyoto_run3_MTE!T537+Bilans_E_AMS_Kyoto_run3_MTE!U537</f>
        <v>0</v>
      </c>
      <c r="Q387" s="712">
        <f>Bilans_E_AMS_Kyoto_run3_MTE!V537</f>
        <v>0</v>
      </c>
      <c r="R387" s="712">
        <f>Bilans_E_AMS_Kyoto_run3_MTE!W537</f>
        <v>0</v>
      </c>
      <c r="S387" s="712">
        <f>Bilans_E_AMS_Kyoto_run3_MTE!X537</f>
        <v>0</v>
      </c>
      <c r="T387" s="712">
        <f>Bilans_E_AMS_Kyoto_run3_MTE!Y537</f>
        <v>0</v>
      </c>
      <c r="U387" s="712">
        <f>Bilans_E_AMS_Kyoto_run3_MTE!Z537</f>
        <v>0</v>
      </c>
      <c r="V387" s="701"/>
      <c r="W387" s="701"/>
    </row>
    <row r="388" spans="1:23" x14ac:dyDescent="0.25">
      <c r="A388" s="701" t="s">
        <v>493</v>
      </c>
      <c r="B388" s="701"/>
      <c r="C388" s="713" t="s">
        <v>65</v>
      </c>
      <c r="D388" s="714">
        <f>Bilans_E_AMS_Kyoto_run3_MTE!H538</f>
        <v>0</v>
      </c>
      <c r="E388" s="714">
        <f>Bilans_E_AMS_Kyoto_run3_MTE!I538</f>
        <v>58.863651738299311</v>
      </c>
      <c r="F388" s="714">
        <f>Bilans_E_AMS_Kyoto_run3_MTE!J538</f>
        <v>38.755466270016868</v>
      </c>
      <c r="G388" s="714">
        <f>Bilans_E_AMS_Kyoto_run3_MTE!K538</f>
        <v>-15.770467357858863</v>
      </c>
      <c r="H388" s="714">
        <f>Bilans_E_AMS_Kyoto_run3_MTE!L538</f>
        <v>7.019987079045241</v>
      </c>
      <c r="I388" s="714">
        <f>Bilans_E_AMS_Kyoto_run3_MTE!M538</f>
        <v>-2.8026264036035156</v>
      </c>
      <c r="J388" s="714">
        <f>Bilans_E_AMS_Kyoto_run3_MTE!N538</f>
        <v>807.37795933495636</v>
      </c>
      <c r="K388" s="714">
        <f>Bilans_E_AMS_Kyoto_run3_MTE!O538</f>
        <v>553.99388589395949</v>
      </c>
      <c r="L388" s="714">
        <f>Bilans_E_AMS_Kyoto_run3_MTE!P538</f>
        <v>424.07663332024731</v>
      </c>
      <c r="M388" s="714">
        <f>Bilans_E_AMS_Kyoto_run3_MTE!Q538</f>
        <v>43.888349788112322</v>
      </c>
      <c r="N388" s="714">
        <f>Bilans_E_AMS_Kyoto_run3_MTE!R538</f>
        <v>-29.102055378039722</v>
      </c>
      <c r="O388" s="714">
        <f>Bilans_E_AMS_Kyoto_run3_MTE!S538</f>
        <v>-6.2244643426582833</v>
      </c>
      <c r="P388" s="714">
        <f>Bilans_E_AMS_Kyoto_run3_MTE!T538+Bilans_E_AMS_Kyoto_run3_MTE!U538</f>
        <v>274.41854375041947</v>
      </c>
      <c r="Q388" s="714">
        <f>Bilans_E_AMS_Kyoto_run3_MTE!V538</f>
        <v>50.723080686002739</v>
      </c>
      <c r="R388" s="714">
        <f>Bilans_E_AMS_Kyoto_run3_MTE!W538</f>
        <v>-28.679288227585289</v>
      </c>
      <c r="S388" s="714">
        <f>Bilans_E_AMS_Kyoto_run3_MTE!X538</f>
        <v>0</v>
      </c>
      <c r="T388" s="714">
        <f>Bilans_E_AMS_Kyoto_run3_MTE!Y538</f>
        <v>-9.3066910843207449</v>
      </c>
      <c r="U388" s="714">
        <f>Bilans_E_AMS_Kyoto_run3_MTE!Z538</f>
        <v>2167.2319650669929</v>
      </c>
      <c r="V388" s="701"/>
      <c r="W388" s="701"/>
    </row>
    <row r="389" spans="1:23" x14ac:dyDescent="0.25">
      <c r="A389" s="701"/>
      <c r="B389" s="701"/>
      <c r="C389" s="715"/>
      <c r="D389" s="716"/>
      <c r="E389" s="716"/>
      <c r="F389" s="716"/>
      <c r="G389" s="716"/>
      <c r="H389" s="716"/>
      <c r="I389" s="716"/>
      <c r="J389" s="716"/>
      <c r="K389" s="716"/>
      <c r="L389" s="716"/>
      <c r="M389" s="716"/>
      <c r="N389" s="716"/>
      <c r="O389" s="716"/>
      <c r="P389" s="716">
        <f>Bilans_E_AMS_Kyoto_run3_MTE!T539+Bilans_E_AMS_Kyoto_run3_MTE!U539</f>
        <v>0</v>
      </c>
      <c r="Q389" s="716"/>
      <c r="R389" s="716"/>
      <c r="S389" s="716"/>
      <c r="T389" s="716"/>
      <c r="U389" s="716"/>
      <c r="V389" s="701"/>
      <c r="W389" s="701"/>
    </row>
    <row r="390" spans="1:23" x14ac:dyDescent="0.25">
      <c r="A390" s="701" t="s">
        <v>494</v>
      </c>
      <c r="B390" s="701"/>
      <c r="C390" s="717" t="s">
        <v>67</v>
      </c>
      <c r="D390" s="711">
        <f>Bilans_E_AMS_Kyoto_run3_MTE!H540</f>
        <v>0</v>
      </c>
      <c r="E390" s="711">
        <f>Bilans_E_AMS_Kyoto_run3_MTE!I540</f>
        <v>0</v>
      </c>
      <c r="F390" s="711">
        <f>Bilans_E_AMS_Kyoto_run3_MTE!J540</f>
        <v>0</v>
      </c>
      <c r="G390" s="711">
        <f>Bilans_E_AMS_Kyoto_run3_MTE!K540</f>
        <v>0</v>
      </c>
      <c r="H390" s="711">
        <f>Bilans_E_AMS_Kyoto_run3_MTE!L540</f>
        <v>0</v>
      </c>
      <c r="I390" s="711">
        <f>Bilans_E_AMS_Kyoto_run3_MTE!M540</f>
        <v>0</v>
      </c>
      <c r="J390" s="711">
        <f>Bilans_E_AMS_Kyoto_run3_MTE!N540</f>
        <v>0</v>
      </c>
      <c r="K390" s="711">
        <f>Bilans_E_AMS_Kyoto_run3_MTE!O540</f>
        <v>0</v>
      </c>
      <c r="L390" s="711">
        <f>Bilans_E_AMS_Kyoto_run3_MTE!P540</f>
        <v>0</v>
      </c>
      <c r="M390" s="711">
        <f>Bilans_E_AMS_Kyoto_run3_MTE!Q540</f>
        <v>0</v>
      </c>
      <c r="N390" s="711">
        <f>Bilans_E_AMS_Kyoto_run3_MTE!R540</f>
        <v>0</v>
      </c>
      <c r="O390" s="711">
        <f>Bilans_E_AMS_Kyoto_run3_MTE!S540</f>
        <v>0</v>
      </c>
      <c r="P390" s="711">
        <f>Bilans_E_AMS_Kyoto_run3_MTE!T540+Bilans_E_AMS_Kyoto_run3_MTE!U540</f>
        <v>0</v>
      </c>
      <c r="Q390" s="711">
        <f>Bilans_E_AMS_Kyoto_run3_MTE!V540</f>
        <v>0</v>
      </c>
      <c r="R390" s="711">
        <f>Bilans_E_AMS_Kyoto_run3_MTE!W540</f>
        <v>0</v>
      </c>
      <c r="S390" s="711">
        <f>Bilans_E_AMS_Kyoto_run3_MTE!X540</f>
        <v>0</v>
      </c>
      <c r="T390" s="711">
        <f>Bilans_E_AMS_Kyoto_run3_MTE!Y540</f>
        <v>0</v>
      </c>
      <c r="U390" s="711">
        <f>Bilans_E_AMS_Kyoto_run3_MTE!Z540</f>
        <v>0</v>
      </c>
      <c r="V390" s="701"/>
      <c r="W390" s="701"/>
    </row>
    <row r="391" spans="1:23" x14ac:dyDescent="0.25">
      <c r="A391" s="701" t="s">
        <v>495</v>
      </c>
      <c r="B391" s="701"/>
      <c r="C391" s="717" t="s">
        <v>347</v>
      </c>
      <c r="D391" s="711">
        <f>Bilans_E_AMS_Kyoto_run3_MTE!H541</f>
        <v>0</v>
      </c>
      <c r="E391" s="711">
        <f>Bilans_E_AMS_Kyoto_run3_MTE!I541</f>
        <v>0</v>
      </c>
      <c r="F391" s="711">
        <f>Bilans_E_AMS_Kyoto_run3_MTE!J541</f>
        <v>0</v>
      </c>
      <c r="G391" s="711">
        <f>Bilans_E_AMS_Kyoto_run3_MTE!K541</f>
        <v>0</v>
      </c>
      <c r="H391" s="711">
        <f>Bilans_E_AMS_Kyoto_run3_MTE!L541</f>
        <v>0</v>
      </c>
      <c r="I391" s="711">
        <f>Bilans_E_AMS_Kyoto_run3_MTE!M541</f>
        <v>0</v>
      </c>
      <c r="J391" s="711">
        <f>Bilans_E_AMS_Kyoto_run3_MTE!N541</f>
        <v>797.92981818181818</v>
      </c>
      <c r="K391" s="711">
        <f>Bilans_E_AMS_Kyoto_run3_MTE!O541</f>
        <v>553.99388589395949</v>
      </c>
      <c r="L391" s="711">
        <f>Bilans_E_AMS_Kyoto_run3_MTE!P541</f>
        <v>18.017312138261726</v>
      </c>
      <c r="M391" s="711">
        <f>Bilans_E_AMS_Kyoto_run3_MTE!Q541</f>
        <v>5.0359913785352379</v>
      </c>
      <c r="N391" s="711">
        <f>Bilans_E_AMS_Kyoto_run3_MTE!R541</f>
        <v>6.5561937148871507</v>
      </c>
      <c r="O391" s="711">
        <f>Bilans_E_AMS_Kyoto_run3_MTE!S541</f>
        <v>0.11704136254218823</v>
      </c>
      <c r="P391" s="711">
        <f>Bilans_E_AMS_Kyoto_run3_MTE!T541+Bilans_E_AMS_Kyoto_run3_MTE!U541</f>
        <v>0</v>
      </c>
      <c r="Q391" s="711">
        <f>Bilans_E_AMS_Kyoto_run3_MTE!V541</f>
        <v>6.7631767445353068</v>
      </c>
      <c r="R391" s="711">
        <f>Bilans_E_AMS_Kyoto_run3_MTE!W541</f>
        <v>-834.6881786149205</v>
      </c>
      <c r="S391" s="711">
        <f>Bilans_E_AMS_Kyoto_run3_MTE!X541</f>
        <v>0</v>
      </c>
      <c r="T391" s="711">
        <f>Bilans_E_AMS_Kyoto_run3_MTE!Y541</f>
        <v>0</v>
      </c>
      <c r="U391" s="711">
        <f>Bilans_E_AMS_Kyoto_run3_MTE!Z541</f>
        <v>553.72524079961875</v>
      </c>
      <c r="V391" s="701"/>
      <c r="W391" s="701"/>
    </row>
    <row r="392" spans="1:23" x14ac:dyDescent="0.25">
      <c r="A392" s="701" t="s">
        <v>496</v>
      </c>
      <c r="B392" s="701"/>
      <c r="C392" s="717" t="s">
        <v>348</v>
      </c>
      <c r="D392" s="711">
        <f>Bilans_E_AMS_Kyoto_run3_MTE!H542</f>
        <v>0</v>
      </c>
      <c r="E392" s="711">
        <f>Bilans_E_AMS_Kyoto_run3_MTE!I542</f>
        <v>0</v>
      </c>
      <c r="F392" s="711">
        <f>Bilans_E_AMS_Kyoto_run3_MTE!J542</f>
        <v>0</v>
      </c>
      <c r="G392" s="711">
        <f>Bilans_E_AMS_Kyoto_run3_MTE!K542</f>
        <v>0</v>
      </c>
      <c r="H392" s="711">
        <f>Bilans_E_AMS_Kyoto_run3_MTE!L542</f>
        <v>0</v>
      </c>
      <c r="I392" s="711">
        <f>Bilans_E_AMS_Kyoto_run3_MTE!M542</f>
        <v>0.44183816383617902</v>
      </c>
      <c r="J392" s="711">
        <f>Bilans_E_AMS_Kyoto_run3_MTE!N542</f>
        <v>9.448141153138188</v>
      </c>
      <c r="K392" s="711">
        <f>Bilans_E_AMS_Kyoto_run3_MTE!O542</f>
        <v>0</v>
      </c>
      <c r="L392" s="711">
        <f>Bilans_E_AMS_Kyoto_run3_MTE!P542</f>
        <v>23.543561697387847</v>
      </c>
      <c r="M392" s="711">
        <f>Bilans_E_AMS_Kyoto_run3_MTE!Q542</f>
        <v>10.266401321700496</v>
      </c>
      <c r="N392" s="711">
        <f>Bilans_E_AMS_Kyoto_run3_MTE!R542</f>
        <v>0</v>
      </c>
      <c r="O392" s="711">
        <f>Bilans_E_AMS_Kyoto_run3_MTE!S542</f>
        <v>8.4106289047241454</v>
      </c>
      <c r="P392" s="711">
        <f>Bilans_E_AMS_Kyoto_run3_MTE!T542+Bilans_E_AMS_Kyoto_run3_MTE!U542</f>
        <v>22.572621073808037</v>
      </c>
      <c r="Q392" s="711">
        <f>Bilans_E_AMS_Kyoto_run3_MTE!V542</f>
        <v>12.943396433622139</v>
      </c>
      <c r="R392" s="711">
        <f>Bilans_E_AMS_Kyoto_run3_MTE!W542</f>
        <v>0</v>
      </c>
      <c r="S392" s="711">
        <f>Bilans_E_AMS_Kyoto_run3_MTE!X542</f>
        <v>-82.703064296862223</v>
      </c>
      <c r="T392" s="711">
        <f>Bilans_E_AMS_Kyoto_run3_MTE!Y542</f>
        <v>0</v>
      </c>
      <c r="U392" s="711">
        <f>Bilans_E_AMS_Kyoto_run3_MTE!Z542</f>
        <v>4.9235244513548082</v>
      </c>
      <c r="V392" s="701"/>
      <c r="W392" s="701"/>
    </row>
    <row r="393" spans="1:23" x14ac:dyDescent="0.25">
      <c r="A393" s="701" t="s">
        <v>497</v>
      </c>
      <c r="B393" s="701"/>
      <c r="C393" s="717" t="s">
        <v>349</v>
      </c>
      <c r="D393" s="711">
        <f>Bilans_E_AMS_Kyoto_run3_MTE!H543</f>
        <v>0</v>
      </c>
      <c r="E393" s="711">
        <f>Bilans_E_AMS_Kyoto_run3_MTE!I543</f>
        <v>0</v>
      </c>
      <c r="F393" s="711">
        <f>Bilans_E_AMS_Kyoto_run3_MTE!J543</f>
        <v>0</v>
      </c>
      <c r="G393" s="711">
        <f>Bilans_E_AMS_Kyoto_run3_MTE!K543</f>
        <v>0</v>
      </c>
      <c r="H393" s="711">
        <f>Bilans_E_AMS_Kyoto_run3_MTE!L543</f>
        <v>0</v>
      </c>
      <c r="I393" s="711">
        <f>Bilans_E_AMS_Kyoto_run3_MTE!M543</f>
        <v>0</v>
      </c>
      <c r="J393" s="711">
        <f>Bilans_E_AMS_Kyoto_run3_MTE!N543</f>
        <v>0</v>
      </c>
      <c r="K393" s="711">
        <f>Bilans_E_AMS_Kyoto_run3_MTE!O543</f>
        <v>0</v>
      </c>
      <c r="L393" s="711">
        <f>Bilans_E_AMS_Kyoto_run3_MTE!P543</f>
        <v>177.56965686689</v>
      </c>
      <c r="M393" s="711">
        <f>Bilans_E_AMS_Kyoto_run3_MTE!Q543</f>
        <v>14.007374273227594</v>
      </c>
      <c r="N393" s="711">
        <f>Bilans_E_AMS_Kyoto_run3_MTE!R543</f>
        <v>0</v>
      </c>
      <c r="O393" s="711">
        <f>Bilans_E_AMS_Kyoto_run3_MTE!S543</f>
        <v>-95.874066928158982</v>
      </c>
      <c r="P393" s="711">
        <f>Bilans_E_AMS_Kyoto_run3_MTE!T543+Bilans_E_AMS_Kyoto_run3_MTE!U543</f>
        <v>0</v>
      </c>
      <c r="Q393" s="711">
        <f>Bilans_E_AMS_Kyoto_run3_MTE!V543</f>
        <v>0</v>
      </c>
      <c r="R393" s="711">
        <f>Bilans_E_AMS_Kyoto_run3_MTE!W543</f>
        <v>0</v>
      </c>
      <c r="S393" s="711">
        <f>Bilans_E_AMS_Kyoto_run3_MTE!X543</f>
        <v>0</v>
      </c>
      <c r="T393" s="711">
        <f>Bilans_E_AMS_Kyoto_run3_MTE!Y543</f>
        <v>0</v>
      </c>
      <c r="U393" s="711">
        <f>Bilans_E_AMS_Kyoto_run3_MTE!Z543</f>
        <v>95.702964211958601</v>
      </c>
      <c r="V393" s="701"/>
      <c r="W393" s="701"/>
    </row>
    <row r="394" spans="1:23" x14ac:dyDescent="0.25">
      <c r="A394" s="701" t="s">
        <v>498</v>
      </c>
      <c r="B394" s="701"/>
      <c r="C394" s="717" t="s">
        <v>350</v>
      </c>
      <c r="D394" s="711">
        <f>Bilans_E_AMS_Kyoto_run3_MTE!H544</f>
        <v>0</v>
      </c>
      <c r="E394" s="711">
        <f>Bilans_E_AMS_Kyoto_run3_MTE!I544</f>
        <v>0</v>
      </c>
      <c r="F394" s="711">
        <f>Bilans_E_AMS_Kyoto_run3_MTE!J544</f>
        <v>0</v>
      </c>
      <c r="G394" s="711">
        <f>Bilans_E_AMS_Kyoto_run3_MTE!K544</f>
        <v>0</v>
      </c>
      <c r="H394" s="711">
        <f>Bilans_E_AMS_Kyoto_run3_MTE!L544</f>
        <v>0</v>
      </c>
      <c r="I394" s="711">
        <f>Bilans_E_AMS_Kyoto_run3_MTE!M544</f>
        <v>-7.5120211335666909</v>
      </c>
      <c r="J394" s="711">
        <f>Bilans_E_AMS_Kyoto_run3_MTE!N544</f>
        <v>0</v>
      </c>
      <c r="K394" s="711">
        <f>Bilans_E_AMS_Kyoto_run3_MTE!O544</f>
        <v>0</v>
      </c>
      <c r="L394" s="711">
        <f>Bilans_E_AMS_Kyoto_run3_MTE!P544</f>
        <v>0</v>
      </c>
      <c r="M394" s="711">
        <f>Bilans_E_AMS_Kyoto_run3_MTE!Q544</f>
        <v>0</v>
      </c>
      <c r="N394" s="711">
        <f>Bilans_E_AMS_Kyoto_run3_MTE!R544</f>
        <v>0</v>
      </c>
      <c r="O394" s="711">
        <f>Bilans_E_AMS_Kyoto_run3_MTE!S544</f>
        <v>0</v>
      </c>
      <c r="P394" s="711">
        <f>Bilans_E_AMS_Kyoto_run3_MTE!T544+Bilans_E_AMS_Kyoto_run3_MTE!U544</f>
        <v>0</v>
      </c>
      <c r="Q394" s="711">
        <f>Bilans_E_AMS_Kyoto_run3_MTE!V544</f>
        <v>0</v>
      </c>
      <c r="R394" s="711">
        <f>Bilans_E_AMS_Kyoto_run3_MTE!W544</f>
        <v>0</v>
      </c>
      <c r="S394" s="711">
        <f>Bilans_E_AMS_Kyoto_run3_MTE!X544</f>
        <v>0</v>
      </c>
      <c r="T394" s="711">
        <f>Bilans_E_AMS_Kyoto_run3_MTE!Y544</f>
        <v>10.395912432015363</v>
      </c>
      <c r="U394" s="711">
        <f>Bilans_E_AMS_Kyoto_run3_MTE!Z544</f>
        <v>2.8838912984486722</v>
      </c>
      <c r="V394" s="701"/>
      <c r="W394" s="701"/>
    </row>
    <row r="395" spans="1:23" x14ac:dyDescent="0.25">
      <c r="A395" s="701" t="s">
        <v>499</v>
      </c>
      <c r="B395" s="701"/>
      <c r="C395" s="717" t="s">
        <v>72</v>
      </c>
      <c r="D395" s="711">
        <f>Bilans_E_AMS_Kyoto_run3_MTE!H545</f>
        <v>0</v>
      </c>
      <c r="E395" s="711">
        <f>Bilans_E_AMS_Kyoto_run3_MTE!I545</f>
        <v>60.999648796706254</v>
      </c>
      <c r="F395" s="711">
        <f>Bilans_E_AMS_Kyoto_run3_MTE!J545</f>
        <v>-60.389652308739187</v>
      </c>
      <c r="G395" s="711">
        <f>Bilans_E_AMS_Kyoto_run3_MTE!K545</f>
        <v>0</v>
      </c>
      <c r="H395" s="711">
        <f>Bilans_E_AMS_Kyoto_run3_MTE!L545</f>
        <v>0</v>
      </c>
      <c r="I395" s="711">
        <f>Bilans_E_AMS_Kyoto_run3_MTE!M545</f>
        <v>0</v>
      </c>
      <c r="J395" s="711">
        <f>Bilans_E_AMS_Kyoto_run3_MTE!N545</f>
        <v>0</v>
      </c>
      <c r="K395" s="711">
        <f>Bilans_E_AMS_Kyoto_run3_MTE!O545</f>
        <v>0</v>
      </c>
      <c r="L395" s="711">
        <f>Bilans_E_AMS_Kyoto_run3_MTE!P545</f>
        <v>0</v>
      </c>
      <c r="M395" s="711">
        <f>Bilans_E_AMS_Kyoto_run3_MTE!Q545</f>
        <v>0</v>
      </c>
      <c r="N395" s="711">
        <f>Bilans_E_AMS_Kyoto_run3_MTE!R545</f>
        <v>0</v>
      </c>
      <c r="O395" s="711">
        <f>Bilans_E_AMS_Kyoto_run3_MTE!S545</f>
        <v>0</v>
      </c>
      <c r="P395" s="711">
        <f>Bilans_E_AMS_Kyoto_run3_MTE!T545+Bilans_E_AMS_Kyoto_run3_MTE!U545</f>
        <v>0</v>
      </c>
      <c r="Q395" s="711">
        <f>Bilans_E_AMS_Kyoto_run3_MTE!V545</f>
        <v>0</v>
      </c>
      <c r="R395" s="711">
        <f>Bilans_E_AMS_Kyoto_run3_MTE!W545</f>
        <v>0</v>
      </c>
      <c r="S395" s="711">
        <f>Bilans_E_AMS_Kyoto_run3_MTE!X545</f>
        <v>0</v>
      </c>
      <c r="T395" s="711">
        <f>Bilans_E_AMS_Kyoto_run3_MTE!Y545</f>
        <v>0</v>
      </c>
      <c r="U395" s="711">
        <f>Bilans_E_AMS_Kyoto_run3_MTE!Z545</f>
        <v>0.60999648796706651</v>
      </c>
      <c r="V395" s="701"/>
      <c r="W395" s="701"/>
    </row>
    <row r="396" spans="1:23" x14ac:dyDescent="0.25">
      <c r="A396" s="701" t="s">
        <v>500</v>
      </c>
      <c r="B396" s="701"/>
      <c r="C396" s="717" t="s">
        <v>351</v>
      </c>
      <c r="D396" s="711">
        <f>Bilans_E_AMS_Kyoto_run3_MTE!H546</f>
        <v>0</v>
      </c>
      <c r="E396" s="711">
        <f>Bilans_E_AMS_Kyoto_run3_MTE!I546</f>
        <v>0</v>
      </c>
      <c r="F396" s="711">
        <f>Bilans_E_AMS_Kyoto_run3_MTE!J546</f>
        <v>0</v>
      </c>
      <c r="G396" s="711">
        <f>Bilans_E_AMS_Kyoto_run3_MTE!K546</f>
        <v>0</v>
      </c>
      <c r="H396" s="711">
        <f>Bilans_E_AMS_Kyoto_run3_MTE!L546</f>
        <v>0</v>
      </c>
      <c r="I396" s="711">
        <f>Bilans_E_AMS_Kyoto_run3_MTE!M546</f>
        <v>0</v>
      </c>
      <c r="J396" s="711">
        <f>Bilans_E_AMS_Kyoto_run3_MTE!N546</f>
        <v>0</v>
      </c>
      <c r="K396" s="711">
        <f>Bilans_E_AMS_Kyoto_run3_MTE!O546</f>
        <v>0</v>
      </c>
      <c r="L396" s="711">
        <f>Bilans_E_AMS_Kyoto_run3_MTE!P546</f>
        <v>112.15319289997592</v>
      </c>
      <c r="M396" s="711">
        <f>Bilans_E_AMS_Kyoto_run3_MTE!Q546</f>
        <v>7.2727272727272725</v>
      </c>
      <c r="N396" s="711">
        <f>Bilans_E_AMS_Kyoto_run3_MTE!R546</f>
        <v>-66.38461722515251</v>
      </c>
      <c r="O396" s="711">
        <f>Bilans_E_AMS_Kyoto_run3_MTE!S546</f>
        <v>0</v>
      </c>
      <c r="P396" s="711">
        <f>Bilans_E_AMS_Kyoto_run3_MTE!T546+Bilans_E_AMS_Kyoto_run3_MTE!U546</f>
        <v>0</v>
      </c>
      <c r="Q396" s="711">
        <f>Bilans_E_AMS_Kyoto_run3_MTE!V546</f>
        <v>0</v>
      </c>
      <c r="R396" s="711">
        <f>Bilans_E_AMS_Kyoto_run3_MTE!W546</f>
        <v>0</v>
      </c>
      <c r="S396" s="711">
        <f>Bilans_E_AMS_Kyoto_run3_MTE!X546</f>
        <v>0</v>
      </c>
      <c r="T396" s="711">
        <f>Bilans_E_AMS_Kyoto_run3_MTE!Y546</f>
        <v>0</v>
      </c>
      <c r="U396" s="711">
        <f>Bilans_E_AMS_Kyoto_run3_MTE!Z546</f>
        <v>53.041302947550676</v>
      </c>
      <c r="V396" s="701"/>
      <c r="W396" s="701"/>
    </row>
    <row r="397" spans="1:23" x14ac:dyDescent="0.25">
      <c r="A397" s="701" t="s">
        <v>501</v>
      </c>
      <c r="B397" s="701"/>
      <c r="C397" s="717" t="s">
        <v>352</v>
      </c>
      <c r="D397" s="711">
        <f>Bilans_E_AMS_Kyoto_run3_MTE!H547</f>
        <v>0</v>
      </c>
      <c r="E397" s="711">
        <f>Bilans_E_AMS_Kyoto_run3_MTE!I547</f>
        <v>0</v>
      </c>
      <c r="F397" s="711">
        <f>Bilans_E_AMS_Kyoto_run3_MTE!J547</f>
        <v>0</v>
      </c>
      <c r="G397" s="711">
        <f>Bilans_E_AMS_Kyoto_run3_MTE!K547</f>
        <v>-24.740126403603515</v>
      </c>
      <c r="H397" s="711">
        <f>Bilans_E_AMS_Kyoto_run3_MTE!L547</f>
        <v>0</v>
      </c>
      <c r="I397" s="711">
        <f>Bilans_E_AMS_Kyoto_run3_MTE!M547</f>
        <v>0</v>
      </c>
      <c r="J397" s="711">
        <f>Bilans_E_AMS_Kyoto_run3_MTE!N547</f>
        <v>0</v>
      </c>
      <c r="K397" s="711">
        <f>Bilans_E_AMS_Kyoto_run3_MTE!O547</f>
        <v>0</v>
      </c>
      <c r="L397" s="711">
        <f>Bilans_E_AMS_Kyoto_run3_MTE!P547</f>
        <v>0</v>
      </c>
      <c r="M397" s="711">
        <f>Bilans_E_AMS_Kyoto_run3_MTE!Q547</f>
        <v>0</v>
      </c>
      <c r="N397" s="711">
        <f>Bilans_E_AMS_Kyoto_run3_MTE!R547</f>
        <v>0</v>
      </c>
      <c r="O397" s="711">
        <f>Bilans_E_AMS_Kyoto_run3_MTE!S547</f>
        <v>0</v>
      </c>
      <c r="P397" s="711">
        <f>Bilans_E_AMS_Kyoto_run3_MTE!T547+Bilans_E_AMS_Kyoto_run3_MTE!U547</f>
        <v>0</v>
      </c>
      <c r="Q397" s="711">
        <f>Bilans_E_AMS_Kyoto_run3_MTE!V547</f>
        <v>0</v>
      </c>
      <c r="R397" s="711">
        <f>Bilans_E_AMS_Kyoto_run3_MTE!W547</f>
        <v>0</v>
      </c>
      <c r="S397" s="711">
        <f>Bilans_E_AMS_Kyoto_run3_MTE!X547</f>
        <v>0</v>
      </c>
      <c r="T397" s="711">
        <f>Bilans_E_AMS_Kyoto_run3_MTE!Y547</f>
        <v>41.692889043963866</v>
      </c>
      <c r="U397" s="711">
        <f>Bilans_E_AMS_Kyoto_run3_MTE!Z547</f>
        <v>16.952762640360351</v>
      </c>
      <c r="V397" s="701"/>
      <c r="W397" s="701"/>
    </row>
    <row r="398" spans="1:23" x14ac:dyDescent="0.25">
      <c r="A398" s="701" t="s">
        <v>502</v>
      </c>
      <c r="B398" s="701"/>
      <c r="C398" s="717" t="s">
        <v>73</v>
      </c>
      <c r="D398" s="711">
        <f>Bilans_E_AMS_Kyoto_run3_MTE!H548</f>
        <v>0</v>
      </c>
      <c r="E398" s="711">
        <f>Bilans_E_AMS_Kyoto_run3_MTE!I548</f>
        <v>0</v>
      </c>
      <c r="F398" s="711">
        <f>Bilans_E_AMS_Kyoto_run3_MTE!J548</f>
        <v>0</v>
      </c>
      <c r="G398" s="711">
        <f>Bilans_E_AMS_Kyoto_run3_MTE!K548</f>
        <v>0</v>
      </c>
      <c r="H398" s="711">
        <f>Bilans_E_AMS_Kyoto_run3_MTE!L548</f>
        <v>0</v>
      </c>
      <c r="I398" s="711">
        <f>Bilans_E_AMS_Kyoto_run3_MTE!M548</f>
        <v>0</v>
      </c>
      <c r="J398" s="711">
        <f>Bilans_E_AMS_Kyoto_run3_MTE!N548</f>
        <v>0</v>
      </c>
      <c r="K398" s="711">
        <f>Bilans_E_AMS_Kyoto_run3_MTE!O548</f>
        <v>0</v>
      </c>
      <c r="L398" s="711">
        <f>Bilans_E_AMS_Kyoto_run3_MTE!P548</f>
        <v>0</v>
      </c>
      <c r="M398" s="711">
        <f>Bilans_E_AMS_Kyoto_run3_MTE!Q548</f>
        <v>0</v>
      </c>
      <c r="N398" s="711">
        <f>Bilans_E_AMS_Kyoto_run3_MTE!R548</f>
        <v>0</v>
      </c>
      <c r="O398" s="711">
        <f>Bilans_E_AMS_Kyoto_run3_MTE!S548</f>
        <v>0</v>
      </c>
      <c r="P398" s="711">
        <f>Bilans_E_AMS_Kyoto_run3_MTE!T548+Bilans_E_AMS_Kyoto_run3_MTE!U548</f>
        <v>0</v>
      </c>
      <c r="Q398" s="711">
        <f>Bilans_E_AMS_Kyoto_run3_MTE!V548</f>
        <v>0</v>
      </c>
      <c r="R398" s="711">
        <f>Bilans_E_AMS_Kyoto_run3_MTE!W548</f>
        <v>127.55076516290167</v>
      </c>
      <c r="S398" s="711">
        <f>Bilans_E_AMS_Kyoto_run3_MTE!X548</f>
        <v>0</v>
      </c>
      <c r="T398" s="711">
        <f>Bilans_E_AMS_Kyoto_run3_MTE!Y548</f>
        <v>-91.836550917289202</v>
      </c>
      <c r="U398" s="711">
        <f>Bilans_E_AMS_Kyoto_run3_MTE!Z548</f>
        <v>35.714214245612467</v>
      </c>
      <c r="V398" s="701"/>
      <c r="W398" s="701"/>
    </row>
    <row r="399" spans="1:23" x14ac:dyDescent="0.25">
      <c r="A399" s="701" t="s">
        <v>503</v>
      </c>
      <c r="B399" s="701"/>
      <c r="C399" s="717" t="s">
        <v>353</v>
      </c>
      <c r="D399" s="711">
        <f>Bilans_E_AMS_Kyoto_run3_MTE!H549</f>
        <v>0</v>
      </c>
      <c r="E399" s="711">
        <f>Bilans_E_AMS_Kyoto_run3_MTE!I549</f>
        <v>-2.1359970584069448</v>
      </c>
      <c r="F399" s="711">
        <f>Bilans_E_AMS_Kyoto_run3_MTE!J549</f>
        <v>2.9254988687511099</v>
      </c>
      <c r="G399" s="711">
        <f>Bilans_E_AMS_Kyoto_run3_MTE!K549</f>
        <v>0</v>
      </c>
      <c r="H399" s="711">
        <f>Bilans_E_AMS_Kyoto_run3_MTE!L549</f>
        <v>0</v>
      </c>
      <c r="I399" s="711">
        <f>Bilans_E_AMS_Kyoto_run3_MTE!M549</f>
        <v>0</v>
      </c>
      <c r="J399" s="711">
        <f>Bilans_E_AMS_Kyoto_run3_MTE!N549</f>
        <v>0</v>
      </c>
      <c r="K399" s="711">
        <f>Bilans_E_AMS_Kyoto_run3_MTE!O549</f>
        <v>0</v>
      </c>
      <c r="L399" s="711">
        <f>Bilans_E_AMS_Kyoto_run3_MTE!P549</f>
        <v>0</v>
      </c>
      <c r="M399" s="711">
        <f>Bilans_E_AMS_Kyoto_run3_MTE!Q549</f>
        <v>0</v>
      </c>
      <c r="N399" s="711">
        <f>Bilans_E_AMS_Kyoto_run3_MTE!R549</f>
        <v>0</v>
      </c>
      <c r="O399" s="711">
        <f>Bilans_E_AMS_Kyoto_run3_MTE!S549</f>
        <v>0</v>
      </c>
      <c r="P399" s="711">
        <f>Bilans_E_AMS_Kyoto_run3_MTE!T549+Bilans_E_AMS_Kyoto_run3_MTE!U549</f>
        <v>0</v>
      </c>
      <c r="Q399" s="711">
        <f>Bilans_E_AMS_Kyoto_run3_MTE!V549</f>
        <v>0</v>
      </c>
      <c r="R399" s="711">
        <f>Bilans_E_AMS_Kyoto_run3_MTE!W549</f>
        <v>0</v>
      </c>
      <c r="S399" s="711">
        <f>Bilans_E_AMS_Kyoto_run3_MTE!X549</f>
        <v>0</v>
      </c>
      <c r="T399" s="711">
        <f>Bilans_E_AMS_Kyoto_run3_MTE!Y549</f>
        <v>0</v>
      </c>
      <c r="U399" s="711">
        <f>Bilans_E_AMS_Kyoto_run3_MTE!Z549</f>
        <v>0.78950181034416511</v>
      </c>
      <c r="V399" s="701"/>
      <c r="W399" s="701"/>
    </row>
    <row r="400" spans="1:23" x14ac:dyDescent="0.25">
      <c r="A400" s="701" t="s">
        <v>504</v>
      </c>
      <c r="B400" s="701"/>
      <c r="C400" s="717" t="s">
        <v>75</v>
      </c>
      <c r="D400" s="711">
        <f>Bilans_E_AMS_Kyoto_run3_MTE!H550</f>
        <v>0</v>
      </c>
      <c r="E400" s="711">
        <f>Bilans_E_AMS_Kyoto_run3_MTE!I550</f>
        <v>0</v>
      </c>
      <c r="F400" s="711">
        <f>Bilans_E_AMS_Kyoto_run3_MTE!J550</f>
        <v>2.205240968493043</v>
      </c>
      <c r="G400" s="711">
        <f>Bilans_E_AMS_Kyoto_run3_MTE!K550</f>
        <v>0</v>
      </c>
      <c r="H400" s="711">
        <f>Bilans_E_AMS_Kyoto_run3_MTE!L550</f>
        <v>0</v>
      </c>
      <c r="I400" s="711">
        <f>Bilans_E_AMS_Kyoto_run3_MTE!M550</f>
        <v>0</v>
      </c>
      <c r="J400" s="711">
        <f>Bilans_E_AMS_Kyoto_run3_MTE!N550</f>
        <v>0</v>
      </c>
      <c r="K400" s="711">
        <f>Bilans_E_AMS_Kyoto_run3_MTE!O550</f>
        <v>0</v>
      </c>
      <c r="L400" s="711">
        <f>Bilans_E_AMS_Kyoto_run3_MTE!P550</f>
        <v>0</v>
      </c>
      <c r="M400" s="711">
        <f>Bilans_E_AMS_Kyoto_run3_MTE!Q550</f>
        <v>0</v>
      </c>
      <c r="N400" s="711">
        <f>Bilans_E_AMS_Kyoto_run3_MTE!R550</f>
        <v>0</v>
      </c>
      <c r="O400" s="711">
        <f>Bilans_E_AMS_Kyoto_run3_MTE!S550</f>
        <v>0</v>
      </c>
      <c r="P400" s="711">
        <f>Bilans_E_AMS_Kyoto_run3_MTE!T550+Bilans_E_AMS_Kyoto_run3_MTE!U550</f>
        <v>0</v>
      </c>
      <c r="Q400" s="711">
        <f>Bilans_E_AMS_Kyoto_run3_MTE!V550</f>
        <v>0</v>
      </c>
      <c r="R400" s="711">
        <f>Bilans_E_AMS_Kyoto_run3_MTE!W550</f>
        <v>37.68086569149628</v>
      </c>
      <c r="S400" s="711">
        <f>Bilans_E_AMS_Kyoto_run3_MTE!X550</f>
        <v>0</v>
      </c>
      <c r="T400" s="711">
        <f>Bilans_E_AMS_Kyoto_run3_MTE!Y550</f>
        <v>0.6</v>
      </c>
      <c r="U400" s="711">
        <f>Bilans_E_AMS_Kyoto_run3_MTE!Z550</f>
        <v>40.486106659989325</v>
      </c>
      <c r="V400" s="701"/>
      <c r="W400" s="701"/>
    </row>
    <row r="401" spans="1:23" x14ac:dyDescent="0.25">
      <c r="A401" s="701" t="s">
        <v>505</v>
      </c>
      <c r="B401" s="701"/>
      <c r="C401" s="717" t="s">
        <v>76</v>
      </c>
      <c r="D401" s="711">
        <f>Bilans_E_AMS_Kyoto_run3_MTE!H551</f>
        <v>0</v>
      </c>
      <c r="E401" s="711">
        <f>Bilans_E_AMS_Kyoto_run3_MTE!I551</f>
        <v>0</v>
      </c>
      <c r="F401" s="711">
        <f>Bilans_E_AMS_Kyoto_run3_MTE!J551</f>
        <v>0</v>
      </c>
      <c r="G401" s="711">
        <f>Bilans_E_AMS_Kyoto_run3_MTE!K551</f>
        <v>0</v>
      </c>
      <c r="H401" s="711">
        <f>Bilans_E_AMS_Kyoto_run3_MTE!L551</f>
        <v>0</v>
      </c>
      <c r="I401" s="711">
        <f>Bilans_E_AMS_Kyoto_run3_MTE!M551</f>
        <v>5.5842625256480344E-2</v>
      </c>
      <c r="J401" s="711">
        <f>Bilans_E_AMS_Kyoto_run3_MTE!N551</f>
        <v>0</v>
      </c>
      <c r="K401" s="711">
        <f>Bilans_E_AMS_Kyoto_run3_MTE!O551</f>
        <v>0</v>
      </c>
      <c r="L401" s="711">
        <f>Bilans_E_AMS_Kyoto_run3_MTE!P551</f>
        <v>0</v>
      </c>
      <c r="M401" s="711">
        <f>Bilans_E_AMS_Kyoto_run3_MTE!Q551</f>
        <v>0</v>
      </c>
      <c r="N401" s="711">
        <f>Bilans_E_AMS_Kyoto_run3_MTE!R551</f>
        <v>0</v>
      </c>
      <c r="O401" s="711">
        <f>Bilans_E_AMS_Kyoto_run3_MTE!S551</f>
        <v>1.0610098798731264</v>
      </c>
      <c r="P401" s="711">
        <f>Bilans_E_AMS_Kyoto_run3_MTE!T551+Bilans_E_AMS_Kyoto_run3_MTE!U551</f>
        <v>0</v>
      </c>
      <c r="Q401" s="711">
        <f>Bilans_E_AMS_Kyoto_run3_MTE!V551</f>
        <v>0</v>
      </c>
      <c r="R401" s="711">
        <f>Bilans_E_AMS_Kyoto_run3_MTE!W551</f>
        <v>65.840203439882671</v>
      </c>
      <c r="S401" s="711">
        <f>Bilans_E_AMS_Kyoto_run3_MTE!X551</f>
        <v>6.4136709376113741</v>
      </c>
      <c r="T401" s="711">
        <f>Bilans_E_AMS_Kyoto_run3_MTE!Y551</f>
        <v>0</v>
      </c>
      <c r="U401" s="711">
        <f>Bilans_E_AMS_Kyoto_run3_MTE!Z551</f>
        <v>73.370726882623643</v>
      </c>
      <c r="V401" s="701"/>
      <c r="W401" s="701"/>
    </row>
    <row r="402" spans="1:23" x14ac:dyDescent="0.25">
      <c r="A402" s="701" t="s">
        <v>506</v>
      </c>
      <c r="B402" s="701"/>
      <c r="C402" s="713" t="s">
        <v>77</v>
      </c>
      <c r="D402" s="714">
        <f>Bilans_E_AMS_Kyoto_run3_MTE!H552</f>
        <v>0</v>
      </c>
      <c r="E402" s="714">
        <f>Bilans_E_AMS_Kyoto_run3_MTE!I552</f>
        <v>58.863651738299311</v>
      </c>
      <c r="F402" s="714">
        <f>Bilans_E_AMS_Kyoto_run3_MTE!J552</f>
        <v>-55.25891247149503</v>
      </c>
      <c r="G402" s="714">
        <f>Bilans_E_AMS_Kyoto_run3_MTE!K552</f>
        <v>-24.740126403603515</v>
      </c>
      <c r="H402" s="714">
        <f>Bilans_E_AMS_Kyoto_run3_MTE!L552</f>
        <v>0</v>
      </c>
      <c r="I402" s="714">
        <f>Bilans_E_AMS_Kyoto_run3_MTE!M552</f>
        <v>-7.0143403444740313</v>
      </c>
      <c r="J402" s="714">
        <f>Bilans_E_AMS_Kyoto_run3_MTE!N552</f>
        <v>807.37795933495636</v>
      </c>
      <c r="K402" s="714">
        <f>Bilans_E_AMS_Kyoto_run3_MTE!O552</f>
        <v>553.99388589395949</v>
      </c>
      <c r="L402" s="714">
        <f>Bilans_E_AMS_Kyoto_run3_MTE!P552</f>
        <v>331.28372360251547</v>
      </c>
      <c r="M402" s="714">
        <f>Bilans_E_AMS_Kyoto_run3_MTE!Q552</f>
        <v>36.582494246190599</v>
      </c>
      <c r="N402" s="714">
        <f>Bilans_E_AMS_Kyoto_run3_MTE!R552</f>
        <v>-59.82842351026536</v>
      </c>
      <c r="O402" s="714">
        <f>Bilans_E_AMS_Kyoto_run3_MTE!S552</f>
        <v>-86.285386781019525</v>
      </c>
      <c r="P402" s="714">
        <f>Bilans_E_AMS_Kyoto_run3_MTE!T552+Bilans_E_AMS_Kyoto_run3_MTE!U552</f>
        <v>22.572621073808037</v>
      </c>
      <c r="Q402" s="714">
        <f>Bilans_E_AMS_Kyoto_run3_MTE!V552</f>
        <v>19.706573178157445</v>
      </c>
      <c r="R402" s="714">
        <f>Bilans_E_AMS_Kyoto_run3_MTE!W552</f>
        <v>-603.61634432063988</v>
      </c>
      <c r="S402" s="714">
        <f>Bilans_E_AMS_Kyoto_run3_MTE!X552</f>
        <v>-76.289393359250852</v>
      </c>
      <c r="T402" s="714">
        <f>Bilans_E_AMS_Kyoto_run3_MTE!Y552</f>
        <v>-39.147749441309969</v>
      </c>
      <c r="U402" s="714">
        <f>Bilans_E_AMS_Kyoto_run3_MTE!Z552</f>
        <v>878.20023243582853</v>
      </c>
      <c r="V402" s="701"/>
      <c r="W402" s="701"/>
    </row>
    <row r="403" spans="1:23" x14ac:dyDescent="0.25">
      <c r="A403" s="701"/>
      <c r="B403" s="701"/>
      <c r="C403" s="715"/>
      <c r="D403" s="716"/>
      <c r="E403" s="716"/>
      <c r="F403" s="716"/>
      <c r="G403" s="716"/>
      <c r="H403" s="716"/>
      <c r="I403" s="716"/>
      <c r="J403" s="716"/>
      <c r="K403" s="716"/>
      <c r="L403" s="716"/>
      <c r="M403" s="716"/>
      <c r="N403" s="716"/>
      <c r="O403" s="716"/>
      <c r="P403" s="716">
        <f>Bilans_E_AMS_Kyoto_run3_MTE!T553+Bilans_E_AMS_Kyoto_run3_MTE!U553</f>
        <v>0</v>
      </c>
      <c r="Q403" s="716"/>
      <c r="R403" s="716"/>
      <c r="S403" s="716"/>
      <c r="T403" s="716"/>
      <c r="U403" s="716"/>
      <c r="V403" s="701"/>
      <c r="W403" s="701"/>
    </row>
    <row r="404" spans="1:23" x14ac:dyDescent="0.25">
      <c r="A404" s="701" t="s">
        <v>507</v>
      </c>
      <c r="B404" s="701"/>
      <c r="C404" s="717" t="s">
        <v>78</v>
      </c>
      <c r="D404" s="711">
        <f>Bilans_E_AMS_Kyoto_run3_MTE!H554</f>
        <v>0</v>
      </c>
      <c r="E404" s="711">
        <f>Bilans_E_AMS_Kyoto_run3_MTE!I554</f>
        <v>0</v>
      </c>
      <c r="F404" s="711">
        <f>Bilans_E_AMS_Kyoto_run3_MTE!J554</f>
        <v>0</v>
      </c>
      <c r="G404" s="711">
        <f>Bilans_E_AMS_Kyoto_run3_MTE!K554</f>
        <v>0</v>
      </c>
      <c r="H404" s="711">
        <f>Bilans_E_AMS_Kyoto_run3_MTE!L554</f>
        <v>0</v>
      </c>
      <c r="I404" s="711">
        <f>Bilans_E_AMS_Kyoto_run3_MTE!M554</f>
        <v>1.991498553291184</v>
      </c>
      <c r="J404" s="711">
        <f>Bilans_E_AMS_Kyoto_run3_MTE!N554</f>
        <v>0</v>
      </c>
      <c r="K404" s="711">
        <f>Bilans_E_AMS_Kyoto_run3_MTE!O554</f>
        <v>0</v>
      </c>
      <c r="L404" s="711">
        <f>Bilans_E_AMS_Kyoto_run3_MTE!P554</f>
        <v>33.03282021908791</v>
      </c>
      <c r="M404" s="711">
        <f>Bilans_E_AMS_Kyoto_run3_MTE!Q554</f>
        <v>7.3058555419217219</v>
      </c>
      <c r="N404" s="711">
        <f>Bilans_E_AMS_Kyoto_run3_MTE!R554</f>
        <v>0</v>
      </c>
      <c r="O404" s="711">
        <f>Bilans_E_AMS_Kyoto_run3_MTE!S554</f>
        <v>37.880603328687286</v>
      </c>
      <c r="P404" s="711">
        <f>Bilans_E_AMS_Kyoto_run3_MTE!T554+Bilans_E_AMS_Kyoto_run3_MTE!U554</f>
        <v>15.325538085937501</v>
      </c>
      <c r="Q404" s="711">
        <f>Bilans_E_AMS_Kyoto_run3_MTE!V554</f>
        <v>8.5890570413253253E-4</v>
      </c>
      <c r="R404" s="711">
        <f>Bilans_E_AMS_Kyoto_run3_MTE!W554</f>
        <v>160.49759404222942</v>
      </c>
      <c r="S404" s="711">
        <f>Bilans_E_AMS_Kyoto_run3_MTE!X554</f>
        <v>19.118062217384278</v>
      </c>
      <c r="T404" s="711">
        <f>Bilans_E_AMS_Kyoto_run3_MTE!Y554</f>
        <v>15.6045791015625</v>
      </c>
      <c r="U404" s="711">
        <f>Bilans_E_AMS_Kyoto_run3_MTE!Z554</f>
        <v>290.75740999580586</v>
      </c>
      <c r="V404" s="701"/>
      <c r="W404" s="701"/>
    </row>
    <row r="405" spans="1:23" x14ac:dyDescent="0.25">
      <c r="A405" s="701" t="s">
        <v>508</v>
      </c>
      <c r="B405" s="701"/>
      <c r="C405" s="717" t="s">
        <v>79</v>
      </c>
      <c r="D405" s="711">
        <f>Bilans_E_AMS_Kyoto_run3_MTE!H555</f>
        <v>0</v>
      </c>
      <c r="E405" s="711">
        <f>Bilans_E_AMS_Kyoto_run3_MTE!I555</f>
        <v>0</v>
      </c>
      <c r="F405" s="711">
        <f>Bilans_E_AMS_Kyoto_run3_MTE!J555</f>
        <v>2.5646039905747262</v>
      </c>
      <c r="G405" s="711">
        <f>Bilans_E_AMS_Kyoto_run3_MTE!K555</f>
        <v>4.5999999999999996</v>
      </c>
      <c r="H405" s="711">
        <f>Bilans_E_AMS_Kyoto_run3_MTE!L555</f>
        <v>0</v>
      </c>
      <c r="I405" s="711">
        <f>Bilans_E_AMS_Kyoto_run3_MTE!M555</f>
        <v>0.37685077792540578</v>
      </c>
      <c r="J405" s="711">
        <f>Bilans_E_AMS_Kyoto_run3_MTE!N555</f>
        <v>0</v>
      </c>
      <c r="K405" s="711">
        <f>Bilans_E_AMS_Kyoto_run3_MTE!O555</f>
        <v>0</v>
      </c>
      <c r="L405" s="711">
        <f>Bilans_E_AMS_Kyoto_run3_MTE!P555</f>
        <v>0</v>
      </c>
      <c r="M405" s="711">
        <f>Bilans_E_AMS_Kyoto_run3_MTE!Q555</f>
        <v>0</v>
      </c>
      <c r="N405" s="711">
        <f>Bilans_E_AMS_Kyoto_run3_MTE!R555</f>
        <v>17.296930013474249</v>
      </c>
      <c r="O405" s="711">
        <f>Bilans_E_AMS_Kyoto_run3_MTE!S555</f>
        <v>7.1601647805827087</v>
      </c>
      <c r="P405" s="711">
        <f>Bilans_E_AMS_Kyoto_run3_MTE!T555+Bilans_E_AMS_Kyoto_run3_MTE!U555</f>
        <v>0</v>
      </c>
      <c r="Q405" s="711">
        <f>Bilans_E_AMS_Kyoto_run3_MTE!V555</f>
        <v>0</v>
      </c>
      <c r="R405" s="711">
        <f>Bilans_E_AMS_Kyoto_run3_MTE!W555</f>
        <v>129.21827578196925</v>
      </c>
      <c r="S405" s="711">
        <f>Bilans_E_AMS_Kyoto_run3_MTE!X555</f>
        <v>0</v>
      </c>
      <c r="T405" s="711">
        <f>Bilans_E_AMS_Kyoto_run3_MTE!Y555</f>
        <v>6.9357151187722215</v>
      </c>
      <c r="U405" s="711">
        <f>Bilans_E_AMS_Kyoto_run3_MTE!Z555</f>
        <v>168.15254046329855</v>
      </c>
      <c r="V405" s="701"/>
      <c r="W405" s="701"/>
    </row>
    <row r="406" spans="1:23" x14ac:dyDescent="0.25">
      <c r="A406" s="701" t="s">
        <v>509</v>
      </c>
      <c r="B406" s="701"/>
      <c r="C406" s="717" t="s">
        <v>80</v>
      </c>
      <c r="D406" s="711">
        <f>Bilans_E_AMS_Kyoto_run3_MTE!H556</f>
        <v>0</v>
      </c>
      <c r="E406" s="711">
        <f>Bilans_E_AMS_Kyoto_run3_MTE!I556</f>
        <v>0</v>
      </c>
      <c r="F406" s="711">
        <f>Bilans_E_AMS_Kyoto_run3_MTE!J556</f>
        <v>1.33686813190731E-2</v>
      </c>
      <c r="G406" s="711">
        <f>Bilans_E_AMS_Kyoto_run3_MTE!K556</f>
        <v>0</v>
      </c>
      <c r="H406" s="711">
        <f>Bilans_E_AMS_Kyoto_run3_MTE!L556</f>
        <v>0</v>
      </c>
      <c r="I406" s="711">
        <f>Bilans_E_AMS_Kyoto_run3_MTE!M556</f>
        <v>1.363415994018579</v>
      </c>
      <c r="J406" s="711">
        <f>Bilans_E_AMS_Kyoto_run3_MTE!N556</f>
        <v>0</v>
      </c>
      <c r="K406" s="711">
        <f>Bilans_E_AMS_Kyoto_run3_MTE!O556</f>
        <v>0</v>
      </c>
      <c r="L406" s="711">
        <f>Bilans_E_AMS_Kyoto_run3_MTE!P556</f>
        <v>38.670548162755892</v>
      </c>
      <c r="M406" s="711">
        <f>Bilans_E_AMS_Kyoto_run3_MTE!Q556</f>
        <v>0</v>
      </c>
      <c r="N406" s="711">
        <f>Bilans_E_AMS_Kyoto_run3_MTE!R556</f>
        <v>0</v>
      </c>
      <c r="O406" s="711">
        <f>Bilans_E_AMS_Kyoto_run3_MTE!S556</f>
        <v>25.904903886352997</v>
      </c>
      <c r="P406" s="711">
        <f>Bilans_E_AMS_Kyoto_run3_MTE!T556+Bilans_E_AMS_Kyoto_run3_MTE!U556</f>
        <v>170.26801174847219</v>
      </c>
      <c r="Q406" s="711">
        <f>Bilans_E_AMS_Kyoto_run3_MTE!V556</f>
        <v>14.856183742724458</v>
      </c>
      <c r="R406" s="711">
        <f>Bilans_E_AMS_Kyoto_run3_MTE!W556</f>
        <v>135.77624988749807</v>
      </c>
      <c r="S406" s="711">
        <f>Bilans_E_AMS_Kyoto_run3_MTE!X556</f>
        <v>35.160977387086433</v>
      </c>
      <c r="T406" s="711">
        <f>Bilans_E_AMS_Kyoto_run3_MTE!Y556</f>
        <v>0</v>
      </c>
      <c r="U406" s="711">
        <f>Bilans_E_AMS_Kyoto_run3_MTE!Z556</f>
        <v>422.01365949022772</v>
      </c>
      <c r="V406" s="701"/>
      <c r="W406" s="701"/>
    </row>
    <row r="407" spans="1:23" x14ac:dyDescent="0.25">
      <c r="A407" s="701" t="s">
        <v>510</v>
      </c>
      <c r="B407" s="701"/>
      <c r="C407" s="717" t="s">
        <v>81</v>
      </c>
      <c r="D407" s="711">
        <f>Bilans_E_AMS_Kyoto_run3_MTE!H557</f>
        <v>0</v>
      </c>
      <c r="E407" s="711">
        <f>Bilans_E_AMS_Kyoto_run3_MTE!I557</f>
        <v>0</v>
      </c>
      <c r="F407" s="711">
        <f>Bilans_E_AMS_Kyoto_run3_MTE!J557</f>
        <v>5.9571518115922428E-2</v>
      </c>
      <c r="G407" s="711">
        <f>Bilans_E_AMS_Kyoto_run3_MTE!K557</f>
        <v>0</v>
      </c>
      <c r="H407" s="711">
        <f>Bilans_E_AMS_Kyoto_run3_MTE!L557</f>
        <v>0</v>
      </c>
      <c r="I407" s="711">
        <f>Bilans_E_AMS_Kyoto_run3_MTE!M557</f>
        <v>0.44038098063120357</v>
      </c>
      <c r="J407" s="711">
        <f>Bilans_E_AMS_Kyoto_run3_MTE!N557</f>
        <v>0</v>
      </c>
      <c r="K407" s="711">
        <f>Bilans_E_AMS_Kyoto_run3_MTE!O557</f>
        <v>0</v>
      </c>
      <c r="L407" s="711">
        <f>Bilans_E_AMS_Kyoto_run3_MTE!P557</f>
        <v>0.43608334641640845</v>
      </c>
      <c r="M407" s="711">
        <f>Bilans_E_AMS_Kyoto_run3_MTE!Q557</f>
        <v>0</v>
      </c>
      <c r="N407" s="711">
        <f>Bilans_E_AMS_Kyoto_run3_MTE!R557</f>
        <v>0</v>
      </c>
      <c r="O407" s="711">
        <f>Bilans_E_AMS_Kyoto_run3_MTE!S557</f>
        <v>8.3672386319928673</v>
      </c>
      <c r="P407" s="711">
        <f>Bilans_E_AMS_Kyoto_run3_MTE!T557+Bilans_E_AMS_Kyoto_run3_MTE!U557</f>
        <v>64.752372842201794</v>
      </c>
      <c r="Q407" s="711">
        <f>Bilans_E_AMS_Kyoto_run3_MTE!V557</f>
        <v>13.972057854326216</v>
      </c>
      <c r="R407" s="711">
        <f>Bilans_E_AMS_Kyoto_run3_MTE!W557</f>
        <v>123.17781879034489</v>
      </c>
      <c r="S407" s="711">
        <f>Bilans_E_AMS_Kyoto_run3_MTE!X557</f>
        <v>22.010319853686262</v>
      </c>
      <c r="T407" s="711">
        <f>Bilans_E_AMS_Kyoto_run3_MTE!Y557</f>
        <v>0</v>
      </c>
      <c r="U407" s="711">
        <f>Bilans_E_AMS_Kyoto_run3_MTE!Z557</f>
        <v>233.21584381771555</v>
      </c>
      <c r="V407" s="701"/>
      <c r="W407" s="701"/>
    </row>
    <row r="408" spans="1:23" x14ac:dyDescent="0.25">
      <c r="A408" s="701" t="s">
        <v>511</v>
      </c>
      <c r="B408" s="701"/>
      <c r="C408" s="717" t="s">
        <v>82</v>
      </c>
      <c r="D408" s="711">
        <f>Bilans_E_AMS_Kyoto_run3_MTE!H558</f>
        <v>0</v>
      </c>
      <c r="E408" s="711">
        <f>Bilans_E_AMS_Kyoto_run3_MTE!I558</f>
        <v>0</v>
      </c>
      <c r="F408" s="711">
        <f>Bilans_E_AMS_Kyoto_run3_MTE!J558</f>
        <v>0</v>
      </c>
      <c r="G408" s="711">
        <f>Bilans_E_AMS_Kyoto_run3_MTE!K558</f>
        <v>0</v>
      </c>
      <c r="H408" s="711">
        <f>Bilans_E_AMS_Kyoto_run3_MTE!L558</f>
        <v>0</v>
      </c>
      <c r="I408" s="711">
        <f>Bilans_E_AMS_Kyoto_run3_MTE!M558</f>
        <v>3.936904267080979E-2</v>
      </c>
      <c r="J408" s="711">
        <f>Bilans_E_AMS_Kyoto_run3_MTE!N558</f>
        <v>0</v>
      </c>
      <c r="K408" s="711">
        <f>Bilans_E_AMS_Kyoto_run3_MTE!O558</f>
        <v>0</v>
      </c>
      <c r="L408" s="711">
        <f>Bilans_E_AMS_Kyoto_run3_MTE!P558</f>
        <v>20.041612409357288</v>
      </c>
      <c r="M408" s="711">
        <f>Bilans_E_AMS_Kyoto_run3_MTE!Q558</f>
        <v>0</v>
      </c>
      <c r="N408" s="711">
        <f>Bilans_E_AMS_Kyoto_run3_MTE!R558</f>
        <v>6.8596219696114309</v>
      </c>
      <c r="O408" s="711">
        <f>Bilans_E_AMS_Kyoto_run3_MTE!S558</f>
        <v>0.74801181074538581</v>
      </c>
      <c r="P408" s="711">
        <f>Bilans_E_AMS_Kyoto_run3_MTE!T558+Bilans_E_AMS_Kyoto_run3_MTE!U558</f>
        <v>1.5</v>
      </c>
      <c r="Q408" s="711">
        <f>Bilans_E_AMS_Kyoto_run3_MTE!V558</f>
        <v>2.1874070050904897</v>
      </c>
      <c r="R408" s="711">
        <f>Bilans_E_AMS_Kyoto_run3_MTE!W558</f>
        <v>11.227117591013034</v>
      </c>
      <c r="S408" s="711">
        <f>Bilans_E_AMS_Kyoto_run3_MTE!X558</f>
        <v>0</v>
      </c>
      <c r="T408" s="711">
        <f>Bilans_E_AMS_Kyoto_run3_MTE!Y558</f>
        <v>0.67221506893144256</v>
      </c>
      <c r="U408" s="711">
        <f>Bilans_E_AMS_Kyoto_run3_MTE!Z558</f>
        <v>43.275354897419881</v>
      </c>
      <c r="V408" s="701"/>
      <c r="W408" s="701"/>
    </row>
    <row r="409" spans="1:23" x14ac:dyDescent="0.25">
      <c r="A409" s="701" t="s">
        <v>512</v>
      </c>
      <c r="B409" s="701"/>
      <c r="C409" s="717" t="s">
        <v>354</v>
      </c>
      <c r="D409" s="711">
        <f>Bilans_E_AMS_Kyoto_run3_MTE!H559</f>
        <v>0</v>
      </c>
      <c r="E409" s="711">
        <f>Bilans_E_AMS_Kyoto_run3_MTE!I559</f>
        <v>0</v>
      </c>
      <c r="F409" s="711">
        <f>Bilans_E_AMS_Kyoto_run3_MTE!J559</f>
        <v>0</v>
      </c>
      <c r="G409" s="711">
        <f>Bilans_E_AMS_Kyoto_run3_MTE!K559</f>
        <v>0</v>
      </c>
      <c r="H409" s="711">
        <f>Bilans_E_AMS_Kyoto_run3_MTE!L559</f>
        <v>0</v>
      </c>
      <c r="I409" s="711">
        <f>Bilans_E_AMS_Kyoto_run3_MTE!M559</f>
        <v>0</v>
      </c>
      <c r="J409" s="711">
        <f>Bilans_E_AMS_Kyoto_run3_MTE!N559</f>
        <v>0</v>
      </c>
      <c r="K409" s="711">
        <f>Bilans_E_AMS_Kyoto_run3_MTE!O559</f>
        <v>0</v>
      </c>
      <c r="L409" s="711">
        <f>Bilans_E_AMS_Kyoto_run3_MTE!P559</f>
        <v>0</v>
      </c>
      <c r="M409" s="711">
        <f>Bilans_E_AMS_Kyoto_run3_MTE!Q559</f>
        <v>0</v>
      </c>
      <c r="N409" s="711">
        <f>Bilans_E_AMS_Kyoto_run3_MTE!R559</f>
        <v>0</v>
      </c>
      <c r="O409" s="711">
        <f>Bilans_E_AMS_Kyoto_run3_MTE!S559</f>
        <v>0</v>
      </c>
      <c r="P409" s="711">
        <f>Bilans_E_AMS_Kyoto_run3_MTE!T559+Bilans_E_AMS_Kyoto_run3_MTE!U559</f>
        <v>0</v>
      </c>
      <c r="Q409" s="711">
        <f>Bilans_E_AMS_Kyoto_run3_MTE!V559</f>
        <v>0</v>
      </c>
      <c r="R409" s="711">
        <f>Bilans_E_AMS_Kyoto_run3_MTE!W559</f>
        <v>15.04</v>
      </c>
      <c r="S409" s="711">
        <f>Bilans_E_AMS_Kyoto_run3_MTE!X559</f>
        <v>0</v>
      </c>
      <c r="T409" s="711">
        <f>Bilans_E_AMS_Kyoto_run3_MTE!Y559</f>
        <v>0</v>
      </c>
      <c r="U409" s="711">
        <f>Bilans_E_AMS_Kyoto_run3_MTE!Z559</f>
        <v>15.04</v>
      </c>
      <c r="V409" s="701"/>
      <c r="W409" s="701"/>
    </row>
    <row r="410" spans="1:23" x14ac:dyDescent="0.25">
      <c r="A410" s="701" t="s">
        <v>513</v>
      </c>
      <c r="B410" s="701"/>
      <c r="C410" s="713" t="s">
        <v>83</v>
      </c>
      <c r="D410" s="714">
        <f>Bilans_E_AMS_Kyoto_run3_MTE!H560</f>
        <v>0</v>
      </c>
      <c r="E410" s="714">
        <f>Bilans_E_AMS_Kyoto_run3_MTE!I560</f>
        <v>0</v>
      </c>
      <c r="F410" s="714">
        <f>Bilans_E_AMS_Kyoto_run3_MTE!J560</f>
        <v>2.6375441900097218</v>
      </c>
      <c r="G410" s="714">
        <f>Bilans_E_AMS_Kyoto_run3_MTE!K560</f>
        <v>4.5999999999999996</v>
      </c>
      <c r="H410" s="714">
        <f>Bilans_E_AMS_Kyoto_run3_MTE!L560</f>
        <v>0</v>
      </c>
      <c r="I410" s="714">
        <f>Bilans_E_AMS_Kyoto_run3_MTE!M560</f>
        <v>4.2115153485371817</v>
      </c>
      <c r="J410" s="714">
        <f>Bilans_E_AMS_Kyoto_run3_MTE!N560</f>
        <v>0</v>
      </c>
      <c r="K410" s="714">
        <f>Bilans_E_AMS_Kyoto_run3_MTE!O560</f>
        <v>0</v>
      </c>
      <c r="L410" s="714">
        <f>Bilans_E_AMS_Kyoto_run3_MTE!P560</f>
        <v>92.181064137617497</v>
      </c>
      <c r="M410" s="714">
        <f>Bilans_E_AMS_Kyoto_run3_MTE!Q560</f>
        <v>7.3058555419217219</v>
      </c>
      <c r="N410" s="714">
        <f>Bilans_E_AMS_Kyoto_run3_MTE!R560</f>
        <v>24.156551983085681</v>
      </c>
      <c r="O410" s="714">
        <f>Bilans_E_AMS_Kyoto_run3_MTE!S560</f>
        <v>80.060922438361246</v>
      </c>
      <c r="P410" s="714">
        <f>Bilans_E_AMS_Kyoto_run3_MTE!T560+Bilans_E_AMS_Kyoto_run3_MTE!U560</f>
        <v>251.84592267661148</v>
      </c>
      <c r="Q410" s="714">
        <f>Bilans_E_AMS_Kyoto_run3_MTE!V560</f>
        <v>31.016507507845294</v>
      </c>
      <c r="R410" s="714">
        <f>Bilans_E_AMS_Kyoto_run3_MTE!W560</f>
        <v>574.93705609305459</v>
      </c>
      <c r="S410" s="714">
        <f>Bilans_E_AMS_Kyoto_run3_MTE!X560</f>
        <v>76.28935945815698</v>
      </c>
      <c r="T410" s="714">
        <f>Bilans_E_AMS_Kyoto_run3_MTE!Y560</f>
        <v>23.212509289266166</v>
      </c>
      <c r="U410" s="714">
        <f>Bilans_E_AMS_Kyoto_run3_MTE!Z560</f>
        <v>1172.4548086644675</v>
      </c>
      <c r="V410" s="701"/>
      <c r="W410" s="701"/>
    </row>
    <row r="411" spans="1:23" x14ac:dyDescent="0.25">
      <c r="A411" s="701" t="s">
        <v>514</v>
      </c>
      <c r="B411" s="701"/>
      <c r="C411" s="710" t="s">
        <v>84</v>
      </c>
      <c r="D411" s="711">
        <f>Bilans_E_AMS_Kyoto_run3_MTE!H561</f>
        <v>0</v>
      </c>
      <c r="E411" s="711">
        <f>Bilans_E_AMS_Kyoto_run3_MTE!I561</f>
        <v>0</v>
      </c>
      <c r="F411" s="711">
        <f>Bilans_E_AMS_Kyoto_run3_MTE!J561</f>
        <v>91.376834551502185</v>
      </c>
      <c r="G411" s="711">
        <f>Bilans_E_AMS_Kyoto_run3_MTE!K561</f>
        <v>4.3696590457446538</v>
      </c>
      <c r="H411" s="711">
        <f>Bilans_E_AMS_Kyoto_run3_MTE!L561</f>
        <v>7.019987079045241</v>
      </c>
      <c r="I411" s="711">
        <f>Bilans_E_AMS_Kyoto_run3_MTE!M561</f>
        <v>0</v>
      </c>
      <c r="J411" s="711">
        <f>Bilans_E_AMS_Kyoto_run3_MTE!N561</f>
        <v>0</v>
      </c>
      <c r="K411" s="711">
        <f>Bilans_E_AMS_Kyoto_run3_MTE!O561</f>
        <v>0</v>
      </c>
      <c r="L411" s="711">
        <f>Bilans_E_AMS_Kyoto_run3_MTE!P561</f>
        <v>0.61184558011433365</v>
      </c>
      <c r="M411" s="711">
        <f>Bilans_E_AMS_Kyoto_run3_MTE!Q561</f>
        <v>0</v>
      </c>
      <c r="N411" s="711">
        <f>Bilans_E_AMS_Kyoto_run3_MTE!R561</f>
        <v>6.5698161491399585</v>
      </c>
      <c r="O411" s="711">
        <f>Bilans_E_AMS_Kyoto_run3_MTE!S561</f>
        <v>0</v>
      </c>
      <c r="P411" s="711">
        <f>Bilans_E_AMS_Kyoto_run3_MTE!T561+Bilans_E_AMS_Kyoto_run3_MTE!U561</f>
        <v>0</v>
      </c>
      <c r="Q411" s="711">
        <f>Bilans_E_AMS_Kyoto_run3_MTE!V561</f>
        <v>0</v>
      </c>
      <c r="R411" s="711">
        <f>Bilans_E_AMS_Kyoto_run3_MTE!W561</f>
        <v>0</v>
      </c>
      <c r="S411" s="711">
        <f>Bilans_E_AMS_Kyoto_run3_MTE!X561</f>
        <v>0</v>
      </c>
      <c r="T411" s="711">
        <f>Bilans_E_AMS_Kyoto_run3_MTE!Y561</f>
        <v>6.6285490677230623</v>
      </c>
      <c r="U411" s="711">
        <f>Bilans_E_AMS_Kyoto_run3_MTE!Z561</f>
        <v>116.57669147326942</v>
      </c>
      <c r="V411" s="701"/>
      <c r="W411" s="701"/>
    </row>
    <row r="412" spans="1:23" x14ac:dyDescent="0.25">
      <c r="A412" s="701" t="s">
        <v>515</v>
      </c>
      <c r="B412" s="701"/>
      <c r="C412" s="713" t="s">
        <v>85</v>
      </c>
      <c r="D412" s="714">
        <f>Bilans_E_AMS_Kyoto_run3_MTE!H562</f>
        <v>0</v>
      </c>
      <c r="E412" s="714">
        <f>Bilans_E_AMS_Kyoto_run3_MTE!I562</f>
        <v>0</v>
      </c>
      <c r="F412" s="714">
        <f>Bilans_E_AMS_Kyoto_run3_MTE!J562</f>
        <v>94.014378741511905</v>
      </c>
      <c r="G412" s="714">
        <f>Bilans_E_AMS_Kyoto_run3_MTE!K562</f>
        <v>8.9696590457446526</v>
      </c>
      <c r="H412" s="714">
        <f>Bilans_E_AMS_Kyoto_run3_MTE!L562</f>
        <v>7.019987079045241</v>
      </c>
      <c r="I412" s="714">
        <f>Bilans_E_AMS_Kyoto_run3_MTE!M562</f>
        <v>4.2115153485371817</v>
      </c>
      <c r="J412" s="714">
        <f>Bilans_E_AMS_Kyoto_run3_MTE!N562</f>
        <v>0</v>
      </c>
      <c r="K412" s="714">
        <f>Bilans_E_AMS_Kyoto_run3_MTE!O562</f>
        <v>0</v>
      </c>
      <c r="L412" s="714">
        <f>Bilans_E_AMS_Kyoto_run3_MTE!P562</f>
        <v>92.792909717731831</v>
      </c>
      <c r="M412" s="714">
        <f>Bilans_E_AMS_Kyoto_run3_MTE!Q562</f>
        <v>7.3058555419217219</v>
      </c>
      <c r="N412" s="714">
        <f>Bilans_E_AMS_Kyoto_run3_MTE!R562</f>
        <v>30.726368132225637</v>
      </c>
      <c r="O412" s="714">
        <f>Bilans_E_AMS_Kyoto_run3_MTE!S562</f>
        <v>80.060922438361246</v>
      </c>
      <c r="P412" s="714">
        <f>Bilans_E_AMS_Kyoto_run3_MTE!T562+Bilans_E_AMS_Kyoto_run3_MTE!U562</f>
        <v>251.84592267661148</v>
      </c>
      <c r="Q412" s="714">
        <f>Bilans_E_AMS_Kyoto_run3_MTE!V562</f>
        <v>31.016507507845294</v>
      </c>
      <c r="R412" s="714">
        <f>Bilans_E_AMS_Kyoto_run3_MTE!W562</f>
        <v>574.93705609305459</v>
      </c>
      <c r="S412" s="714">
        <f>Bilans_E_AMS_Kyoto_run3_MTE!X562</f>
        <v>76.28935945815698</v>
      </c>
      <c r="T412" s="714">
        <f>Bilans_E_AMS_Kyoto_run3_MTE!Y562</f>
        <v>29.84105835698923</v>
      </c>
      <c r="U412" s="714">
        <f>Bilans_E_AMS_Kyoto_run3_MTE!Z562</f>
        <v>1289.0315001377369</v>
      </c>
      <c r="V412" s="701"/>
      <c r="W412" s="701"/>
    </row>
    <row r="413" spans="1:23" x14ac:dyDescent="0.25">
      <c r="A413" s="701"/>
      <c r="B413" s="701"/>
      <c r="C413" s="701"/>
      <c r="D413" s="701">
        <f>Bilans_E_AMS_Kyoto_run3_MTE!H563</f>
        <v>0</v>
      </c>
      <c r="E413" s="701">
        <f>Bilans_E_AMS_Kyoto_run3_MTE!I563</f>
        <v>0</v>
      </c>
      <c r="F413" s="701">
        <f>Bilans_E_AMS_Kyoto_run3_MTE!J563</f>
        <v>0</v>
      </c>
      <c r="G413" s="701">
        <f>Bilans_E_AMS_Kyoto_run3_MTE!K563</f>
        <v>0</v>
      </c>
      <c r="H413" s="701">
        <f>Bilans_E_AMS_Kyoto_run3_MTE!L563</f>
        <v>0</v>
      </c>
      <c r="I413" s="701">
        <f>Bilans_E_AMS_Kyoto_run3_MTE!M563</f>
        <v>-1.9859233333408E-4</v>
      </c>
      <c r="J413" s="701">
        <f>Bilans_E_AMS_Kyoto_run3_MTE!N563</f>
        <v>0</v>
      </c>
      <c r="K413" s="701">
        <f>Bilans_E_AMS_Kyoto_run3_MTE!O563</f>
        <v>0</v>
      </c>
      <c r="L413" s="701">
        <f>Bilans_E_AMS_Kyoto_run3_MTE!P563</f>
        <v>0</v>
      </c>
      <c r="M413" s="701">
        <f>Bilans_E_AMS_Kyoto_run3_MTE!Q563</f>
        <v>0</v>
      </c>
      <c r="N413" s="701">
        <f>Bilans_E_AMS_Kyoto_run3_MTE!R563</f>
        <v>0</v>
      </c>
      <c r="O413" s="701">
        <f>Bilans_E_AMS_Kyoto_run3_MTE!S563</f>
        <v>0</v>
      </c>
      <c r="P413" s="701">
        <f>Bilans_E_AMS_Kyoto_run3_MTE!T563+Bilans_E_AMS_Kyoto_run3_MTE!U563</f>
        <v>0</v>
      </c>
      <c r="Q413" s="701">
        <f>Bilans_E_AMS_Kyoto_run3_MTE!V563</f>
        <v>0</v>
      </c>
      <c r="R413" s="701">
        <f>Bilans_E_AMS_Kyoto_run3_MTE!W563</f>
        <v>0</v>
      </c>
      <c r="S413" s="701">
        <f>Bilans_E_AMS_Kyoto_run3_MTE!X563</f>
        <v>-3.3901093871691046E-5</v>
      </c>
      <c r="T413" s="701">
        <f>Bilans_E_AMS_Kyoto_run3_MTE!Y563</f>
        <v>0</v>
      </c>
      <c r="U413" s="701">
        <f>Bilans_E_AMS_Kyoto_run3_MTE!Z563</f>
        <v>-2.3249342757480917E-4</v>
      </c>
      <c r="V413" s="701"/>
      <c r="W413" s="701"/>
    </row>
    <row r="414" spans="1:23" x14ac:dyDescent="0.25">
      <c r="A414" s="51"/>
      <c r="B414" s="51"/>
      <c r="C414" s="51"/>
      <c r="D414" s="51"/>
      <c r="E414" s="51"/>
      <c r="F414" s="51"/>
      <c r="G414" s="67"/>
      <c r="H414" s="51"/>
      <c r="I414" s="51"/>
      <c r="J414" s="51"/>
      <c r="K414" s="51"/>
      <c r="L414" s="51"/>
      <c r="M414" s="51"/>
      <c r="N414" s="51"/>
      <c r="O414" s="51"/>
      <c r="P414" s="51"/>
      <c r="Q414" s="51"/>
      <c r="R414" s="51"/>
      <c r="S414" s="51"/>
      <c r="T414" s="51"/>
      <c r="U414" s="51"/>
    </row>
  </sheetData>
  <mergeCells count="154">
    <mergeCell ref="U10:U11"/>
    <mergeCell ref="C10:C11"/>
    <mergeCell ref="D10:D11"/>
    <mergeCell ref="E10:E11"/>
    <mergeCell ref="F10:F11"/>
    <mergeCell ref="G10:G11"/>
    <mergeCell ref="H10:H11"/>
    <mergeCell ref="I10:I11"/>
    <mergeCell ref="J10:J11"/>
    <mergeCell ref="E47:E48"/>
    <mergeCell ref="F47:F48"/>
    <mergeCell ref="G47:G48"/>
    <mergeCell ref="H47:H48"/>
    <mergeCell ref="K10:K11"/>
    <mergeCell ref="L10:Q10"/>
    <mergeCell ref="R10:R11"/>
    <mergeCell ref="S10:S11"/>
    <mergeCell ref="T10:T11"/>
    <mergeCell ref="K84:K85"/>
    <mergeCell ref="L84:Q84"/>
    <mergeCell ref="R84:R85"/>
    <mergeCell ref="S84:S85"/>
    <mergeCell ref="T84:T85"/>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S47:S48"/>
    <mergeCell ref="C47:C48"/>
    <mergeCell ref="D47:D48"/>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R121:R122"/>
    <mergeCell ref="S121:S122"/>
    <mergeCell ref="C121:C122"/>
    <mergeCell ref="D121:D122"/>
    <mergeCell ref="E121:E122"/>
    <mergeCell ref="F121:F122"/>
    <mergeCell ref="G121:G122"/>
    <mergeCell ref="H121:H122"/>
    <mergeCell ref="E195:E196"/>
    <mergeCell ref="F195:F196"/>
    <mergeCell ref="G195:G196"/>
    <mergeCell ref="H195:H196"/>
    <mergeCell ref="K158:K159"/>
    <mergeCell ref="L158:Q158"/>
    <mergeCell ref="R158:R159"/>
    <mergeCell ref="S158:S159"/>
    <mergeCell ref="T158:T159"/>
    <mergeCell ref="K232:K233"/>
    <mergeCell ref="L232:Q232"/>
    <mergeCell ref="R232:R233"/>
    <mergeCell ref="S232:S233"/>
    <mergeCell ref="T232:T233"/>
    <mergeCell ref="U232:U233"/>
    <mergeCell ref="T195:T196"/>
    <mergeCell ref="U195:U196"/>
    <mergeCell ref="C232:C233"/>
    <mergeCell ref="D232:D233"/>
    <mergeCell ref="E232:E233"/>
    <mergeCell ref="F232:F233"/>
    <mergeCell ref="G232:G233"/>
    <mergeCell ref="H232:H233"/>
    <mergeCell ref="I232:I233"/>
    <mergeCell ref="J232:J233"/>
    <mergeCell ref="I195:I196"/>
    <mergeCell ref="J195:J196"/>
    <mergeCell ref="K195:K196"/>
    <mergeCell ref="L195:Q195"/>
    <mergeCell ref="R195:R196"/>
    <mergeCell ref="S195:S196"/>
    <mergeCell ref="C195:C196"/>
    <mergeCell ref="D195:D196"/>
    <mergeCell ref="U306:U307"/>
    <mergeCell ref="T269:T270"/>
    <mergeCell ref="U269:U270"/>
    <mergeCell ref="C306:C307"/>
    <mergeCell ref="D306:D307"/>
    <mergeCell ref="E306:E307"/>
    <mergeCell ref="F306:F307"/>
    <mergeCell ref="G306:G307"/>
    <mergeCell ref="H306:H307"/>
    <mergeCell ref="I306:I307"/>
    <mergeCell ref="J306:J307"/>
    <mergeCell ref="I269:I270"/>
    <mergeCell ref="J269:J270"/>
    <mergeCell ref="K269:K270"/>
    <mergeCell ref="L269:Q269"/>
    <mergeCell ref="R269:R270"/>
    <mergeCell ref="S269:S270"/>
    <mergeCell ref="C269:C270"/>
    <mergeCell ref="D269:D270"/>
    <mergeCell ref="E269:E270"/>
    <mergeCell ref="F269:F270"/>
    <mergeCell ref="G269:G270"/>
    <mergeCell ref="H269:H270"/>
    <mergeCell ref="E343:E344"/>
    <mergeCell ref="F343:F344"/>
    <mergeCell ref="G343:G344"/>
    <mergeCell ref="H343:H344"/>
    <mergeCell ref="K306:K307"/>
    <mergeCell ref="L306:Q306"/>
    <mergeCell ref="R306:R307"/>
    <mergeCell ref="S306:S307"/>
    <mergeCell ref="T306:T307"/>
    <mergeCell ref="K380:K381"/>
    <mergeCell ref="L380:Q380"/>
    <mergeCell ref="R380:R381"/>
    <mergeCell ref="S380:S381"/>
    <mergeCell ref="T380:T381"/>
    <mergeCell ref="U380:U381"/>
    <mergeCell ref="T343:T344"/>
    <mergeCell ref="U343:U344"/>
    <mergeCell ref="C380:C381"/>
    <mergeCell ref="D380:D381"/>
    <mergeCell ref="E380:E381"/>
    <mergeCell ref="F380:F381"/>
    <mergeCell ref="G380:G381"/>
    <mergeCell ref="H380:H381"/>
    <mergeCell ref="I380:I381"/>
    <mergeCell ref="J380:J381"/>
    <mergeCell ref="I343:I344"/>
    <mergeCell ref="J343:J344"/>
    <mergeCell ref="K343:K344"/>
    <mergeCell ref="L343:Q343"/>
    <mergeCell ref="R343:R344"/>
    <mergeCell ref="S343:S344"/>
    <mergeCell ref="C343:C344"/>
    <mergeCell ref="D343:D344"/>
  </mergeCells>
  <pageMargins left="0.7" right="0.7" top="0.75" bottom="0.75" header="0.3" footer="0.3"/>
  <legacy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65321-4245-4A4D-9650-CAEF48C60483}">
  <sheetPr>
    <tabColor theme="1" tint="0.249977111117893"/>
  </sheetPr>
  <dimension ref="A1:W377"/>
  <sheetViews>
    <sheetView topLeftCell="A3" zoomScale="85" zoomScaleNormal="85" workbookViewId="0">
      <selection activeCell="J38" sqref="J38"/>
    </sheetView>
  </sheetViews>
  <sheetFormatPr baseColWidth="10" defaultRowHeight="15" x14ac:dyDescent="0.25"/>
  <cols>
    <col min="3" max="3" width="24.28515625" customWidth="1"/>
    <col min="4" max="21" width="12.5703125" customWidth="1"/>
  </cols>
  <sheetData>
    <row r="1" spans="1:23" ht="15.75" x14ac:dyDescent="0.25">
      <c r="A1" s="700"/>
      <c r="B1" s="700"/>
      <c r="C1" s="700"/>
      <c r="D1" s="598" t="s">
        <v>527</v>
      </c>
      <c r="E1" s="598" t="s">
        <v>528</v>
      </c>
      <c r="F1" s="598" t="s">
        <v>529</v>
      </c>
      <c r="G1" s="598" t="s">
        <v>530</v>
      </c>
      <c r="H1" s="598" t="s">
        <v>531</v>
      </c>
      <c r="I1" s="598" t="s">
        <v>532</v>
      </c>
      <c r="J1" s="598" t="s">
        <v>533</v>
      </c>
      <c r="K1" s="598" t="s">
        <v>534</v>
      </c>
      <c r="L1" s="598" t="s">
        <v>535</v>
      </c>
      <c r="M1" s="598" t="s">
        <v>536</v>
      </c>
      <c r="N1" s="598" t="s">
        <v>537</v>
      </c>
      <c r="O1" s="598" t="s">
        <v>538</v>
      </c>
      <c r="P1" s="598" t="s">
        <v>539</v>
      </c>
      <c r="Q1" s="598" t="s">
        <v>541</v>
      </c>
      <c r="R1" s="598" t="s">
        <v>542</v>
      </c>
      <c r="S1" s="598" t="s">
        <v>543</v>
      </c>
      <c r="T1" s="598" t="s">
        <v>606</v>
      </c>
      <c r="U1" s="598" t="s">
        <v>607</v>
      </c>
      <c r="V1" s="700"/>
      <c r="W1" s="700"/>
    </row>
    <row r="2" spans="1:23" x14ac:dyDescent="0.25">
      <c r="A2" s="700"/>
      <c r="B2" s="700"/>
      <c r="C2" s="700"/>
      <c r="D2" s="700" t="s">
        <v>545</v>
      </c>
      <c r="E2" s="701" t="s">
        <v>546</v>
      </c>
      <c r="F2" s="701" t="s">
        <v>547</v>
      </c>
      <c r="G2" s="701" t="s">
        <v>548</v>
      </c>
      <c r="H2" s="701" t="s">
        <v>549</v>
      </c>
      <c r="I2" s="701" t="s">
        <v>550</v>
      </c>
      <c r="J2" s="701" t="s">
        <v>551</v>
      </c>
      <c r="K2" s="701" t="s">
        <v>552</v>
      </c>
      <c r="L2" s="701" t="s">
        <v>553</v>
      </c>
      <c r="M2" s="701" t="s">
        <v>554</v>
      </c>
      <c r="N2" s="701" t="s">
        <v>555</v>
      </c>
      <c r="O2" s="701" t="s">
        <v>556</v>
      </c>
      <c r="P2" s="701" t="s">
        <v>557</v>
      </c>
      <c r="Q2" s="701" t="s">
        <v>558</v>
      </c>
      <c r="R2" s="701" t="s">
        <v>559</v>
      </c>
      <c r="S2" s="701" t="s">
        <v>560</v>
      </c>
      <c r="T2" s="701" t="s">
        <v>561</v>
      </c>
      <c r="U2" s="701" t="s">
        <v>562</v>
      </c>
      <c r="V2" s="700"/>
      <c r="W2" s="700"/>
    </row>
    <row r="3" spans="1:23" ht="18" x14ac:dyDescent="0.25">
      <c r="A3" s="702"/>
      <c r="B3" s="702"/>
      <c r="C3" s="703" t="s">
        <v>406</v>
      </c>
      <c r="D3" s="702"/>
      <c r="E3" s="702"/>
      <c r="F3" s="702"/>
      <c r="G3" s="702"/>
      <c r="H3" s="702"/>
      <c r="I3" s="702"/>
      <c r="J3" s="702"/>
      <c r="K3" s="702"/>
      <c r="L3" s="702"/>
      <c r="M3" s="702"/>
      <c r="N3" s="702"/>
      <c r="O3" s="702"/>
      <c r="P3" s="702"/>
      <c r="Q3" s="702"/>
      <c r="R3" s="702"/>
      <c r="S3" s="702"/>
      <c r="T3" s="702"/>
      <c r="U3" s="702"/>
      <c r="V3" s="702"/>
      <c r="W3" s="702"/>
    </row>
    <row r="4" spans="1:23" x14ac:dyDescent="0.25">
      <c r="A4" s="701"/>
      <c r="B4" s="701"/>
      <c r="C4" s="701"/>
      <c r="D4" s="701"/>
      <c r="E4" s="701"/>
      <c r="F4" s="701"/>
      <c r="G4" s="701"/>
      <c r="H4" s="701"/>
      <c r="I4" s="701"/>
      <c r="J4" s="701"/>
      <c r="K4" s="701"/>
      <c r="L4" s="701"/>
      <c r="M4" s="701"/>
      <c r="N4" s="701"/>
      <c r="O4" s="701"/>
      <c r="P4" s="701"/>
      <c r="Q4" s="701"/>
      <c r="R4" s="701"/>
      <c r="S4" s="701"/>
      <c r="T4" s="701"/>
      <c r="U4" s="701"/>
      <c r="V4" s="701"/>
      <c r="W4" s="701"/>
    </row>
    <row r="5" spans="1:23" ht="15.75" x14ac:dyDescent="0.25">
      <c r="A5" s="704"/>
      <c r="B5" s="701"/>
      <c r="C5" s="705" t="s">
        <v>338</v>
      </c>
      <c r="D5" s="704" t="s">
        <v>481</v>
      </c>
      <c r="E5" s="704"/>
      <c r="F5" s="704"/>
      <c r="G5" s="704"/>
      <c r="H5" s="704"/>
      <c r="I5" s="704"/>
      <c r="J5" s="704"/>
      <c r="K5" s="706"/>
      <c r="L5" s="706"/>
      <c r="M5" s="706"/>
      <c r="N5" s="706"/>
      <c r="O5" s="706"/>
      <c r="P5" s="706"/>
      <c r="Q5" s="706"/>
      <c r="R5" s="704"/>
      <c r="S5" s="704"/>
      <c r="T5" s="704"/>
      <c r="U5" s="704"/>
      <c r="V5" s="704"/>
      <c r="W5" s="704"/>
    </row>
    <row r="6" spans="1:23" ht="15.75" x14ac:dyDescent="0.25">
      <c r="A6" s="704"/>
      <c r="B6" s="701"/>
      <c r="C6" s="705" t="s">
        <v>341</v>
      </c>
      <c r="D6" s="704" t="s">
        <v>342</v>
      </c>
      <c r="E6" s="704"/>
      <c r="F6" s="704"/>
      <c r="G6" s="704"/>
      <c r="H6" s="704"/>
      <c r="I6" s="704"/>
      <c r="J6" s="704"/>
      <c r="K6" s="704"/>
      <c r="L6" s="704"/>
      <c r="M6" s="704"/>
      <c r="N6" s="704"/>
      <c r="O6" s="704"/>
      <c r="P6" s="704"/>
      <c r="Q6" s="704"/>
      <c r="R6" s="704"/>
      <c r="S6" s="704"/>
      <c r="T6" s="704"/>
      <c r="U6" s="704"/>
      <c r="V6" s="704"/>
      <c r="W6" s="704"/>
    </row>
    <row r="7" spans="1:23" x14ac:dyDescent="0.25">
      <c r="A7" s="701"/>
      <c r="B7" s="701"/>
      <c r="C7" s="701"/>
      <c r="D7" s="701"/>
      <c r="E7" s="701"/>
      <c r="F7" s="701"/>
      <c r="G7" s="701"/>
      <c r="H7" s="701"/>
      <c r="I7" s="701"/>
      <c r="J7" s="701"/>
      <c r="K7" s="701"/>
      <c r="L7" s="701"/>
      <c r="M7" s="701"/>
      <c r="N7" s="701"/>
      <c r="O7" s="701"/>
      <c r="P7" s="701"/>
      <c r="Q7" s="701"/>
      <c r="R7" s="701"/>
      <c r="S7" s="701"/>
      <c r="T7" s="701"/>
      <c r="U7" s="701"/>
      <c r="V7" s="701"/>
      <c r="W7" s="701"/>
    </row>
    <row r="8" spans="1:23" x14ac:dyDescent="0.25">
      <c r="A8" s="707"/>
      <c r="B8" s="707"/>
      <c r="C8" s="708" t="s">
        <v>87</v>
      </c>
      <c r="D8" s="707"/>
      <c r="E8" s="707"/>
      <c r="F8" s="707"/>
      <c r="G8" s="707"/>
      <c r="H8" s="707"/>
      <c r="I8" s="707"/>
      <c r="J8" s="707"/>
      <c r="K8" s="707"/>
      <c r="L8" s="707"/>
      <c r="M8" s="707"/>
      <c r="N8" s="707"/>
      <c r="O8" s="707"/>
      <c r="P8" s="707"/>
      <c r="Q8" s="707"/>
      <c r="R8" s="707"/>
      <c r="S8" s="707"/>
      <c r="T8" s="707"/>
      <c r="U8" s="707"/>
      <c r="V8" s="707"/>
      <c r="W8" s="707"/>
    </row>
    <row r="9" spans="1:23" x14ac:dyDescent="0.25">
      <c r="A9" s="701"/>
      <c r="B9" s="701"/>
      <c r="C9" s="701"/>
      <c r="D9" s="701"/>
      <c r="E9" s="701"/>
      <c r="F9" s="701"/>
      <c r="G9" s="701"/>
      <c r="H9" s="701"/>
      <c r="I9" s="701"/>
      <c r="J9" s="701"/>
      <c r="K9" s="701"/>
      <c r="L9" s="701"/>
      <c r="M9" s="701"/>
      <c r="N9" s="701"/>
      <c r="O9" s="701"/>
      <c r="P9" s="701"/>
      <c r="Q9" s="701"/>
      <c r="R9" s="701"/>
      <c r="S9" s="701"/>
      <c r="T9" s="701"/>
      <c r="U9" s="701"/>
      <c r="V9" s="701"/>
      <c r="W9" s="701"/>
    </row>
    <row r="10" spans="1:23" x14ac:dyDescent="0.25">
      <c r="A10" s="701"/>
      <c r="B10" s="701"/>
      <c r="C10" s="780" t="s">
        <v>128</v>
      </c>
      <c r="D10" s="775" t="s">
        <v>42</v>
      </c>
      <c r="E10" s="775" t="s">
        <v>52</v>
      </c>
      <c r="F10" s="775" t="s">
        <v>53</v>
      </c>
      <c r="G10" s="775" t="s">
        <v>482</v>
      </c>
      <c r="H10" s="775" t="s">
        <v>32</v>
      </c>
      <c r="I10" s="775" t="s">
        <v>483</v>
      </c>
      <c r="J10" s="775" t="s">
        <v>20</v>
      </c>
      <c r="K10" s="775" t="s">
        <v>55</v>
      </c>
      <c r="L10" s="777" t="s">
        <v>56</v>
      </c>
      <c r="M10" s="778"/>
      <c r="N10" s="778"/>
      <c r="O10" s="778"/>
      <c r="P10" s="778"/>
      <c r="Q10" s="779"/>
      <c r="R10" s="775" t="s">
        <v>57</v>
      </c>
      <c r="S10" s="775" t="s">
        <v>58</v>
      </c>
      <c r="T10" s="775" t="s">
        <v>31</v>
      </c>
      <c r="U10" s="775" t="s">
        <v>10</v>
      </c>
      <c r="V10" s="701"/>
      <c r="W10" s="701"/>
    </row>
    <row r="11" spans="1:23" ht="67.5" x14ac:dyDescent="0.25">
      <c r="A11" s="701" t="s">
        <v>486</v>
      </c>
      <c r="B11" s="701"/>
      <c r="C11" s="781"/>
      <c r="D11" s="776"/>
      <c r="E11" s="776"/>
      <c r="F11" s="776"/>
      <c r="G11" s="776"/>
      <c r="H11" s="776"/>
      <c r="I11" s="776"/>
      <c r="J11" s="776"/>
      <c r="K11" s="776"/>
      <c r="L11" s="709" t="s">
        <v>335</v>
      </c>
      <c r="M11" s="709" t="s">
        <v>40</v>
      </c>
      <c r="N11" s="709" t="s">
        <v>343</v>
      </c>
      <c r="O11" s="709" t="s">
        <v>344</v>
      </c>
      <c r="P11" s="719" t="s">
        <v>610</v>
      </c>
      <c r="Q11" s="709" t="s">
        <v>346</v>
      </c>
      <c r="R11" s="776"/>
      <c r="S11" s="776"/>
      <c r="T11" s="776"/>
      <c r="U11" s="776"/>
      <c r="V11" s="701"/>
      <c r="W11" s="701"/>
    </row>
    <row r="12" spans="1:23" x14ac:dyDescent="0.25">
      <c r="A12" s="701" t="s">
        <v>487</v>
      </c>
      <c r="B12" s="701"/>
      <c r="C12" s="710" t="s">
        <v>59</v>
      </c>
      <c r="D12" s="711">
        <f>Bilans_E_AMS_Kyoto_run3_MTE!H199</f>
        <v>0</v>
      </c>
      <c r="E12" s="711">
        <f>Bilans_E_AMS_Kyoto_run3_MTE!I199</f>
        <v>9.5366</v>
      </c>
      <c r="F12" s="711">
        <f>Bilans_E_AMS_Kyoto_run3_MTE!J199</f>
        <v>0</v>
      </c>
      <c r="G12" s="711">
        <f>Bilans_E_AMS_Kyoto_run3_MTE!K199</f>
        <v>0</v>
      </c>
      <c r="H12" s="711">
        <f>Bilans_E_AMS_Kyoto_run3_MTE!L199</f>
        <v>0.19771000000000002</v>
      </c>
      <c r="I12" s="711">
        <f>Bilans_E_AMS_Kyoto_run3_MTE!M199</f>
        <v>0</v>
      </c>
      <c r="J12" s="711">
        <f>Bilans_E_AMS_Kyoto_run3_MTE!N199</f>
        <v>1181.6974545454545</v>
      </c>
      <c r="K12" s="711">
        <f>Bilans_E_AMS_Kyoto_run3_MTE!O199</f>
        <v>152.67647201623672</v>
      </c>
      <c r="L12" s="711">
        <f>Bilans_E_AMS_Kyoto_run3_MTE!P199</f>
        <v>240.45551837402905</v>
      </c>
      <c r="M12" s="711">
        <f>Bilans_E_AMS_Kyoto_run3_MTE!Q199</f>
        <v>40.848850213190957</v>
      </c>
      <c r="N12" s="711">
        <f>Bilans_E_AMS_Kyoto_run3_MTE!R199</f>
        <v>0</v>
      </c>
      <c r="O12" s="711">
        <f>Bilans_E_AMS_Kyoto_run3_MTE!S199</f>
        <v>0</v>
      </c>
      <c r="P12" s="711">
        <f>Bilans_E_AMS_Kyoto_run3_MTE!T199+Bilans_E_AMS_Kyoto_run3_MTE!U199</f>
        <v>84.272548180504785</v>
      </c>
      <c r="Q12" s="711">
        <f>Bilans_E_AMS_Kyoto_run3_MTE!V199</f>
        <v>13.904545403817705</v>
      </c>
      <c r="R12" s="711">
        <f>Bilans_E_AMS_Kyoto_run3_MTE!W199</f>
        <v>0</v>
      </c>
      <c r="S12" s="711">
        <f>Bilans_E_AMS_Kyoto_run3_MTE!X199</f>
        <v>0</v>
      </c>
      <c r="T12" s="711">
        <f>Bilans_E_AMS_Kyoto_run3_MTE!Y199</f>
        <v>0</v>
      </c>
      <c r="U12" s="711">
        <f>Bilans_E_AMS_Kyoto_run3_MTE!Z199</f>
        <v>1723.5896987332337</v>
      </c>
      <c r="V12" s="701"/>
      <c r="W12" s="701"/>
    </row>
    <row r="13" spans="1:23" x14ac:dyDescent="0.25">
      <c r="A13" s="701" t="s">
        <v>488</v>
      </c>
      <c r="B13" s="701"/>
      <c r="C13" s="710" t="s">
        <v>60</v>
      </c>
      <c r="D13" s="712">
        <f>Bilans_E_AMS_Kyoto_run3_MTE!H200</f>
        <v>46.39845744407102</v>
      </c>
      <c r="E13" s="712">
        <f>Bilans_E_AMS_Kyoto_run3_MTE!I200</f>
        <v>474.83289369848728</v>
      </c>
      <c r="F13" s="712">
        <f>Bilans_E_AMS_Kyoto_run3_MTE!J200</f>
        <v>270.74194246183629</v>
      </c>
      <c r="G13" s="712">
        <f>Bilans_E_AMS_Kyoto_run3_MTE!K200</f>
        <v>0</v>
      </c>
      <c r="H13" s="712">
        <f>Bilans_E_AMS_Kyoto_run3_MTE!L200</f>
        <v>368.94829767408402</v>
      </c>
      <c r="I13" s="712">
        <f>Bilans_E_AMS_Kyoto_run3_MTE!M200</f>
        <v>0</v>
      </c>
      <c r="J13" s="712">
        <f>Bilans_E_AMS_Kyoto_run3_MTE!N200</f>
        <v>0</v>
      </c>
      <c r="K13" s="712">
        <f>Bilans_E_AMS_Kyoto_run3_MTE!O200</f>
        <v>0</v>
      </c>
      <c r="L13" s="712">
        <f>Bilans_E_AMS_Kyoto_run3_MTE!P200</f>
        <v>0</v>
      </c>
      <c r="M13" s="712">
        <f>Bilans_E_AMS_Kyoto_run3_MTE!Q200</f>
        <v>0</v>
      </c>
      <c r="N13" s="712">
        <f>Bilans_E_AMS_Kyoto_run3_MTE!R200</f>
        <v>7.0928336129737843</v>
      </c>
      <c r="O13" s="712">
        <f>Bilans_E_AMS_Kyoto_run3_MTE!S200</f>
        <v>0.66678198444484238</v>
      </c>
      <c r="P13" s="712">
        <f>Bilans_E_AMS_Kyoto_run3_MTE!T200+Bilans_E_AMS_Kyoto_run3_MTE!U200</f>
        <v>0</v>
      </c>
      <c r="Q13" s="712">
        <f>Bilans_E_AMS_Kyoto_run3_MTE!V200</f>
        <v>0</v>
      </c>
      <c r="R13" s="712">
        <f>Bilans_E_AMS_Kyoto_run3_MTE!W200</f>
        <v>0</v>
      </c>
      <c r="S13" s="712">
        <f>Bilans_E_AMS_Kyoto_run3_MTE!X200</f>
        <v>0</v>
      </c>
      <c r="T13" s="712">
        <f>Bilans_E_AMS_Kyoto_run3_MTE!Y200</f>
        <v>0</v>
      </c>
      <c r="U13" s="712">
        <f>Bilans_E_AMS_Kyoto_run3_MTE!Z200</f>
        <v>1168.6812068758975</v>
      </c>
      <c r="V13" s="701"/>
      <c r="W13" s="701"/>
    </row>
    <row r="14" spans="1:23" x14ac:dyDescent="0.25">
      <c r="A14" s="701" t="s">
        <v>489</v>
      </c>
      <c r="B14" s="701"/>
      <c r="C14" s="710" t="s">
        <v>61</v>
      </c>
      <c r="D14" s="712">
        <f>Bilans_E_AMS_Kyoto_run3_MTE!H201</f>
        <v>0</v>
      </c>
      <c r="E14" s="712">
        <f>Bilans_E_AMS_Kyoto_run3_MTE!I201</f>
        <v>0</v>
      </c>
      <c r="F14" s="712">
        <f>Bilans_E_AMS_Kyoto_run3_MTE!J201</f>
        <v>0</v>
      </c>
      <c r="G14" s="712">
        <f>Bilans_E_AMS_Kyoto_run3_MTE!K201</f>
        <v>0</v>
      </c>
      <c r="H14" s="712">
        <f>Bilans_E_AMS_Kyoto_run3_MTE!L201</f>
        <v>0</v>
      </c>
      <c r="I14" s="712">
        <f>Bilans_E_AMS_Kyoto_run3_MTE!M201</f>
        <v>0</v>
      </c>
      <c r="J14" s="712">
        <f>Bilans_E_AMS_Kyoto_run3_MTE!N201</f>
        <v>0</v>
      </c>
      <c r="K14" s="712">
        <f>Bilans_E_AMS_Kyoto_run3_MTE!O201</f>
        <v>0</v>
      </c>
      <c r="L14" s="712">
        <f>Bilans_E_AMS_Kyoto_run3_MTE!P201</f>
        <v>-0.66130930084236184</v>
      </c>
      <c r="M14" s="712">
        <f>Bilans_E_AMS_Kyoto_run3_MTE!Q201</f>
        <v>0</v>
      </c>
      <c r="N14" s="712">
        <f>Bilans_E_AMS_Kyoto_run3_MTE!R201</f>
        <v>0</v>
      </c>
      <c r="O14" s="712">
        <f>Bilans_E_AMS_Kyoto_run3_MTE!S201</f>
        <v>0</v>
      </c>
      <c r="P14" s="712">
        <f>Bilans_E_AMS_Kyoto_run3_MTE!T201+Bilans_E_AMS_Kyoto_run3_MTE!U201</f>
        <v>0</v>
      </c>
      <c r="Q14" s="712">
        <f>Bilans_E_AMS_Kyoto_run3_MTE!V201</f>
        <v>0</v>
      </c>
      <c r="R14" s="712">
        <f>Bilans_E_AMS_Kyoto_run3_MTE!W201</f>
        <v>-86.192023090421856</v>
      </c>
      <c r="S14" s="712">
        <f>Bilans_E_AMS_Kyoto_run3_MTE!X201</f>
        <v>0</v>
      </c>
      <c r="T14" s="712">
        <f>Bilans_E_AMS_Kyoto_run3_MTE!Y201</f>
        <v>0</v>
      </c>
      <c r="U14" s="712">
        <f>Bilans_E_AMS_Kyoto_run3_MTE!Z201</f>
        <v>-86.853332391264217</v>
      </c>
      <c r="V14" s="701"/>
      <c r="W14" s="701"/>
    </row>
    <row r="15" spans="1:23" x14ac:dyDescent="0.25">
      <c r="A15" s="701" t="s">
        <v>490</v>
      </c>
      <c r="B15" s="701"/>
      <c r="C15" s="710" t="s">
        <v>62</v>
      </c>
      <c r="D15" s="711">
        <f>Bilans_E_AMS_Kyoto_run3_MTE!H202</f>
        <v>0</v>
      </c>
      <c r="E15" s="711">
        <f>Bilans_E_AMS_Kyoto_run3_MTE!I202</f>
        <v>0</v>
      </c>
      <c r="F15" s="711">
        <f>Bilans_E_AMS_Kyoto_run3_MTE!J202</f>
        <v>-10.653162793901119</v>
      </c>
      <c r="G15" s="711">
        <f>Bilans_E_AMS_Kyoto_run3_MTE!K202</f>
        <v>0</v>
      </c>
      <c r="H15" s="711">
        <f>Bilans_E_AMS_Kyoto_run3_MTE!L202</f>
        <v>-1.6855739087490105</v>
      </c>
      <c r="I15" s="711">
        <f>Bilans_E_AMS_Kyoto_run3_MTE!M202</f>
        <v>0</v>
      </c>
      <c r="J15" s="711">
        <f>Bilans_E_AMS_Kyoto_run3_MTE!N202</f>
        <v>0</v>
      </c>
      <c r="K15" s="711">
        <f>Bilans_E_AMS_Kyoto_run3_MTE!O202</f>
        <v>0</v>
      </c>
      <c r="L15" s="711">
        <f>Bilans_E_AMS_Kyoto_run3_MTE!P202</f>
        <v>0</v>
      </c>
      <c r="M15" s="711">
        <f>Bilans_E_AMS_Kyoto_run3_MTE!Q202</f>
        <v>0</v>
      </c>
      <c r="N15" s="711">
        <f>Bilans_E_AMS_Kyoto_run3_MTE!R202</f>
        <v>0</v>
      </c>
      <c r="O15" s="711">
        <f>Bilans_E_AMS_Kyoto_run3_MTE!S202</f>
        <v>-0.18728598986100117</v>
      </c>
      <c r="P15" s="711">
        <f>Bilans_E_AMS_Kyoto_run3_MTE!T202+Bilans_E_AMS_Kyoto_run3_MTE!U202</f>
        <v>0</v>
      </c>
      <c r="Q15" s="711">
        <f>Bilans_E_AMS_Kyoto_run3_MTE!V202</f>
        <v>0</v>
      </c>
      <c r="R15" s="711">
        <f>Bilans_E_AMS_Kyoto_run3_MTE!W202</f>
        <v>0</v>
      </c>
      <c r="S15" s="711">
        <f>Bilans_E_AMS_Kyoto_run3_MTE!X202</f>
        <v>0</v>
      </c>
      <c r="T15" s="711">
        <f>Bilans_E_AMS_Kyoto_run3_MTE!Y202</f>
        <v>0</v>
      </c>
      <c r="U15" s="711">
        <f>Bilans_E_AMS_Kyoto_run3_MTE!Z202</f>
        <v>-12.52602269251113</v>
      </c>
      <c r="V15" s="701"/>
      <c r="W15" s="701"/>
    </row>
    <row r="16" spans="1:23" x14ac:dyDescent="0.25">
      <c r="A16" s="701" t="s">
        <v>491</v>
      </c>
      <c r="B16" s="701"/>
      <c r="C16" s="710" t="s">
        <v>63</v>
      </c>
      <c r="D16" s="711">
        <f>Bilans_E_AMS_Kyoto_run3_MTE!H203</f>
        <v>0</v>
      </c>
      <c r="E16" s="711">
        <f>Bilans_E_AMS_Kyoto_run3_MTE!I203</f>
        <v>0</v>
      </c>
      <c r="F16" s="711">
        <f>Bilans_E_AMS_Kyoto_run3_MTE!J203</f>
        <v>-70</v>
      </c>
      <c r="G16" s="711">
        <f>Bilans_E_AMS_Kyoto_run3_MTE!K203</f>
        <v>0</v>
      </c>
      <c r="H16" s="711">
        <f>Bilans_E_AMS_Kyoto_run3_MTE!L203</f>
        <v>0</v>
      </c>
      <c r="I16" s="711">
        <f>Bilans_E_AMS_Kyoto_run3_MTE!M203</f>
        <v>0</v>
      </c>
      <c r="J16" s="711">
        <f>Bilans_E_AMS_Kyoto_run3_MTE!N203</f>
        <v>0</v>
      </c>
      <c r="K16" s="711">
        <f>Bilans_E_AMS_Kyoto_run3_MTE!O203</f>
        <v>0</v>
      </c>
      <c r="L16" s="711">
        <f>Bilans_E_AMS_Kyoto_run3_MTE!P203</f>
        <v>0</v>
      </c>
      <c r="M16" s="711">
        <f>Bilans_E_AMS_Kyoto_run3_MTE!Q203</f>
        <v>0</v>
      </c>
      <c r="N16" s="711">
        <f>Bilans_E_AMS_Kyoto_run3_MTE!R203</f>
        <v>-1</v>
      </c>
      <c r="O16" s="711">
        <f>Bilans_E_AMS_Kyoto_run3_MTE!S203</f>
        <v>0</v>
      </c>
      <c r="P16" s="711">
        <f>Bilans_E_AMS_Kyoto_run3_MTE!T203+Bilans_E_AMS_Kyoto_run3_MTE!U203</f>
        <v>0</v>
      </c>
      <c r="Q16" s="711">
        <f>Bilans_E_AMS_Kyoto_run3_MTE!V203</f>
        <v>0</v>
      </c>
      <c r="R16" s="711">
        <f>Bilans_E_AMS_Kyoto_run3_MTE!W203</f>
        <v>0</v>
      </c>
      <c r="S16" s="711">
        <f>Bilans_E_AMS_Kyoto_run3_MTE!X203</f>
        <v>0</v>
      </c>
      <c r="T16" s="711">
        <f>Bilans_E_AMS_Kyoto_run3_MTE!Y203</f>
        <v>0</v>
      </c>
      <c r="U16" s="711">
        <f>Bilans_E_AMS_Kyoto_run3_MTE!Z203</f>
        <v>-71</v>
      </c>
      <c r="V16" s="701"/>
      <c r="W16" s="701"/>
    </row>
    <row r="17" spans="1:23" x14ac:dyDescent="0.25">
      <c r="A17" s="701" t="s">
        <v>492</v>
      </c>
      <c r="B17" s="701"/>
      <c r="C17" s="710" t="s">
        <v>64</v>
      </c>
      <c r="D17" s="712">
        <f>Bilans_E_AMS_Kyoto_run3_MTE!H204</f>
        <v>0</v>
      </c>
      <c r="E17" s="712">
        <f>Bilans_E_AMS_Kyoto_run3_MTE!I204</f>
        <v>0</v>
      </c>
      <c r="F17" s="712">
        <f>Bilans_E_AMS_Kyoto_run3_MTE!J204</f>
        <v>0</v>
      </c>
      <c r="G17" s="712">
        <f>Bilans_E_AMS_Kyoto_run3_MTE!K204</f>
        <v>0</v>
      </c>
      <c r="H17" s="712">
        <f>Bilans_E_AMS_Kyoto_run3_MTE!L204</f>
        <v>0</v>
      </c>
      <c r="I17" s="712">
        <f>Bilans_E_AMS_Kyoto_run3_MTE!M204</f>
        <v>0</v>
      </c>
      <c r="J17" s="712">
        <f>Bilans_E_AMS_Kyoto_run3_MTE!N204</f>
        <v>0</v>
      </c>
      <c r="K17" s="712">
        <f>Bilans_E_AMS_Kyoto_run3_MTE!O204</f>
        <v>0</v>
      </c>
      <c r="L17" s="712">
        <f>Bilans_E_AMS_Kyoto_run3_MTE!P204</f>
        <v>0</v>
      </c>
      <c r="M17" s="712">
        <f>Bilans_E_AMS_Kyoto_run3_MTE!Q204</f>
        <v>0</v>
      </c>
      <c r="N17" s="712">
        <f>Bilans_E_AMS_Kyoto_run3_MTE!R204</f>
        <v>0</v>
      </c>
      <c r="O17" s="712">
        <f>Bilans_E_AMS_Kyoto_run3_MTE!S204</f>
        <v>0</v>
      </c>
      <c r="P17" s="712">
        <f>Bilans_E_AMS_Kyoto_run3_MTE!T204+Bilans_E_AMS_Kyoto_run3_MTE!U204</f>
        <v>0</v>
      </c>
      <c r="Q17" s="712">
        <f>Bilans_E_AMS_Kyoto_run3_MTE!V204</f>
        <v>0</v>
      </c>
      <c r="R17" s="712">
        <f>Bilans_E_AMS_Kyoto_run3_MTE!W204</f>
        <v>0</v>
      </c>
      <c r="S17" s="712">
        <f>Bilans_E_AMS_Kyoto_run3_MTE!X204</f>
        <v>0</v>
      </c>
      <c r="T17" s="712">
        <f>Bilans_E_AMS_Kyoto_run3_MTE!Y204</f>
        <v>0</v>
      </c>
      <c r="U17" s="712">
        <f>Bilans_E_AMS_Kyoto_run3_MTE!Z204</f>
        <v>0</v>
      </c>
      <c r="V17" s="701"/>
      <c r="W17" s="701"/>
    </row>
    <row r="18" spans="1:23" x14ac:dyDescent="0.25">
      <c r="A18" s="701" t="s">
        <v>493</v>
      </c>
      <c r="B18" s="701"/>
      <c r="C18" s="713" t="s">
        <v>65</v>
      </c>
      <c r="D18" s="714">
        <f>Bilans_E_AMS_Kyoto_run3_MTE!H205</f>
        <v>46.39845744407102</v>
      </c>
      <c r="E18" s="714">
        <f>Bilans_E_AMS_Kyoto_run3_MTE!I205</f>
        <v>484.3694936984873</v>
      </c>
      <c r="F18" s="714">
        <f>Bilans_E_AMS_Kyoto_run3_MTE!J205</f>
        <v>190.08877966793517</v>
      </c>
      <c r="G18" s="714">
        <f>Bilans_E_AMS_Kyoto_run3_MTE!K205</f>
        <v>0</v>
      </c>
      <c r="H18" s="714">
        <f>Bilans_E_AMS_Kyoto_run3_MTE!L205</f>
        <v>367.46043376533498</v>
      </c>
      <c r="I18" s="714">
        <f>Bilans_E_AMS_Kyoto_run3_MTE!M205</f>
        <v>0</v>
      </c>
      <c r="J18" s="714">
        <f>Bilans_E_AMS_Kyoto_run3_MTE!N205</f>
        <v>1181.6974545454545</v>
      </c>
      <c r="K18" s="714">
        <f>Bilans_E_AMS_Kyoto_run3_MTE!O205</f>
        <v>152.67647201623672</v>
      </c>
      <c r="L18" s="714">
        <f>Bilans_E_AMS_Kyoto_run3_MTE!P205</f>
        <v>239.79420907318669</v>
      </c>
      <c r="M18" s="714">
        <f>Bilans_E_AMS_Kyoto_run3_MTE!Q205</f>
        <v>40.848850213190957</v>
      </c>
      <c r="N18" s="714">
        <f>Bilans_E_AMS_Kyoto_run3_MTE!R205</f>
        <v>6.0928336129737843</v>
      </c>
      <c r="O18" s="714">
        <f>Bilans_E_AMS_Kyoto_run3_MTE!S205</f>
        <v>0.47949599458384118</v>
      </c>
      <c r="P18" s="714">
        <f>Bilans_E_AMS_Kyoto_run3_MTE!T205+Bilans_E_AMS_Kyoto_run3_MTE!U205</f>
        <v>84.272548180504785</v>
      </c>
      <c r="Q18" s="714">
        <f>Bilans_E_AMS_Kyoto_run3_MTE!V205</f>
        <v>13.904545403817705</v>
      </c>
      <c r="R18" s="714">
        <f>Bilans_E_AMS_Kyoto_run3_MTE!W205</f>
        <v>-86.192023090421856</v>
      </c>
      <c r="S18" s="714">
        <f>Bilans_E_AMS_Kyoto_run3_MTE!X205</f>
        <v>0</v>
      </c>
      <c r="T18" s="714">
        <f>Bilans_E_AMS_Kyoto_run3_MTE!Y205</f>
        <v>0</v>
      </c>
      <c r="U18" s="714">
        <f>Bilans_E_AMS_Kyoto_run3_MTE!Z205</f>
        <v>2721.8915505253558</v>
      </c>
      <c r="V18" s="701"/>
      <c r="W18" s="701"/>
    </row>
    <row r="19" spans="1:23" x14ac:dyDescent="0.25">
      <c r="A19" s="701"/>
      <c r="B19" s="701"/>
      <c r="C19" s="715"/>
      <c r="D19" s="716"/>
      <c r="E19" s="716"/>
      <c r="F19" s="716"/>
      <c r="G19" s="716"/>
      <c r="H19" s="716"/>
      <c r="I19" s="716"/>
      <c r="J19" s="716"/>
      <c r="K19" s="716"/>
      <c r="L19" s="716"/>
      <c r="M19" s="716"/>
      <c r="N19" s="716"/>
      <c r="O19" s="716"/>
      <c r="P19" s="716">
        <f>Bilans_E_AMS_Kyoto_run3_MTE!T206+Bilans_E_AMS_Kyoto_run3_MTE!U206</f>
        <v>0</v>
      </c>
      <c r="Q19" s="716"/>
      <c r="R19" s="716"/>
      <c r="S19" s="716"/>
      <c r="T19" s="716"/>
      <c r="U19" s="716"/>
      <c r="V19" s="701"/>
      <c r="W19" s="701"/>
    </row>
    <row r="20" spans="1:23" x14ac:dyDescent="0.25">
      <c r="A20" s="701" t="s">
        <v>494</v>
      </c>
      <c r="B20" s="701"/>
      <c r="C20" s="717" t="s">
        <v>67</v>
      </c>
      <c r="D20" s="711">
        <f>Bilans_E_AMS_Kyoto_run3_MTE!H207</f>
        <v>0</v>
      </c>
      <c r="E20" s="711">
        <f>Bilans_E_AMS_Kyoto_run3_MTE!I207</f>
        <v>0</v>
      </c>
      <c r="F20" s="711">
        <f>Bilans_E_AMS_Kyoto_run3_MTE!J207</f>
        <v>0</v>
      </c>
      <c r="G20" s="711">
        <f>Bilans_E_AMS_Kyoto_run3_MTE!K207</f>
        <v>0</v>
      </c>
      <c r="H20" s="711">
        <f>Bilans_E_AMS_Kyoto_run3_MTE!L207</f>
        <v>0</v>
      </c>
      <c r="I20" s="711">
        <f>Bilans_E_AMS_Kyoto_run3_MTE!M207</f>
        <v>0</v>
      </c>
      <c r="J20" s="711">
        <f>Bilans_E_AMS_Kyoto_run3_MTE!N207</f>
        <v>0</v>
      </c>
      <c r="K20" s="711">
        <f>Bilans_E_AMS_Kyoto_run3_MTE!O207</f>
        <v>0</v>
      </c>
      <c r="L20" s="711">
        <f>Bilans_E_AMS_Kyoto_run3_MTE!P207</f>
        <v>0</v>
      </c>
      <c r="M20" s="711">
        <f>Bilans_E_AMS_Kyoto_run3_MTE!Q207</f>
        <v>0</v>
      </c>
      <c r="N20" s="711">
        <f>Bilans_E_AMS_Kyoto_run3_MTE!R207</f>
        <v>0</v>
      </c>
      <c r="O20" s="711">
        <f>Bilans_E_AMS_Kyoto_run3_MTE!S207</f>
        <v>0</v>
      </c>
      <c r="P20" s="711">
        <f>Bilans_E_AMS_Kyoto_run3_MTE!T207+Bilans_E_AMS_Kyoto_run3_MTE!U207</f>
        <v>0</v>
      </c>
      <c r="Q20" s="711">
        <f>Bilans_E_AMS_Kyoto_run3_MTE!V207</f>
        <v>0</v>
      </c>
      <c r="R20" s="711">
        <f>Bilans_E_AMS_Kyoto_run3_MTE!W207</f>
        <v>0</v>
      </c>
      <c r="S20" s="711">
        <f>Bilans_E_AMS_Kyoto_run3_MTE!X207</f>
        <v>0</v>
      </c>
      <c r="T20" s="711">
        <f>Bilans_E_AMS_Kyoto_run3_MTE!Y207</f>
        <v>0</v>
      </c>
      <c r="U20" s="711">
        <f>Bilans_E_AMS_Kyoto_run3_MTE!Z207</f>
        <v>0</v>
      </c>
      <c r="V20" s="701"/>
      <c r="W20" s="701"/>
    </row>
    <row r="21" spans="1:23" x14ac:dyDescent="0.25">
      <c r="A21" s="701" t="s">
        <v>495</v>
      </c>
      <c r="B21" s="701"/>
      <c r="C21" s="717" t="s">
        <v>347</v>
      </c>
      <c r="D21" s="711">
        <f>Bilans_E_AMS_Kyoto_run3_MTE!H208</f>
        <v>0</v>
      </c>
      <c r="E21" s="711">
        <f>Bilans_E_AMS_Kyoto_run3_MTE!I208</f>
        <v>0</v>
      </c>
      <c r="F21" s="711">
        <f>Bilans_E_AMS_Kyoto_run3_MTE!J208</f>
        <v>2.9245488391069152</v>
      </c>
      <c r="G21" s="711">
        <f>Bilans_E_AMS_Kyoto_run3_MTE!K208</f>
        <v>0</v>
      </c>
      <c r="H21" s="711">
        <f>Bilans_E_AMS_Kyoto_run3_MTE!L208</f>
        <v>56.866475004905659</v>
      </c>
      <c r="I21" s="711">
        <f>Bilans_E_AMS_Kyoto_run3_MTE!M208</f>
        <v>0</v>
      </c>
      <c r="J21" s="711">
        <f>Bilans_E_AMS_Kyoto_run3_MTE!N208</f>
        <v>1181.6974545454545</v>
      </c>
      <c r="K21" s="711">
        <f>Bilans_E_AMS_Kyoto_run3_MTE!O208</f>
        <v>152.67647201623672</v>
      </c>
      <c r="L21" s="711">
        <f>Bilans_E_AMS_Kyoto_run3_MTE!P208</f>
        <v>13.326474331194433</v>
      </c>
      <c r="M21" s="711">
        <f>Bilans_E_AMS_Kyoto_run3_MTE!Q208</f>
        <v>7.616750828340038</v>
      </c>
      <c r="N21" s="711">
        <f>Bilans_E_AMS_Kyoto_run3_MTE!R208</f>
        <v>5.5512316182098811</v>
      </c>
      <c r="O21" s="711">
        <f>Bilans_E_AMS_Kyoto_run3_MTE!S208</f>
        <v>8.2002577205628917</v>
      </c>
      <c r="P21" s="711">
        <f>Bilans_E_AMS_Kyoto_run3_MTE!T208+Bilans_E_AMS_Kyoto_run3_MTE!U208</f>
        <v>0</v>
      </c>
      <c r="Q21" s="711">
        <f>Bilans_E_AMS_Kyoto_run3_MTE!V208</f>
        <v>0.31861460974897526</v>
      </c>
      <c r="R21" s="711">
        <f>Bilans_E_AMS_Kyoto_run3_MTE!W208</f>
        <v>-590.93772044979494</v>
      </c>
      <c r="S21" s="711">
        <f>Bilans_E_AMS_Kyoto_run3_MTE!X208</f>
        <v>0</v>
      </c>
      <c r="T21" s="711">
        <f>Bilans_E_AMS_Kyoto_run3_MTE!Y208</f>
        <v>0</v>
      </c>
      <c r="U21" s="711">
        <f>Bilans_E_AMS_Kyoto_run3_MTE!Z208</f>
        <v>838.24055906396495</v>
      </c>
      <c r="V21" s="701"/>
      <c r="W21" s="701"/>
    </row>
    <row r="22" spans="1:23" x14ac:dyDescent="0.25">
      <c r="A22" s="701" t="s">
        <v>496</v>
      </c>
      <c r="B22" s="701"/>
      <c r="C22" s="717" t="s">
        <v>348</v>
      </c>
      <c r="D22" s="711">
        <f>Bilans_E_AMS_Kyoto_run3_MTE!H209</f>
        <v>0.30889396750851739</v>
      </c>
      <c r="E22" s="711">
        <f>Bilans_E_AMS_Kyoto_run3_MTE!I209</f>
        <v>0</v>
      </c>
      <c r="F22" s="711">
        <f>Bilans_E_AMS_Kyoto_run3_MTE!J209</f>
        <v>1.3037931857947018</v>
      </c>
      <c r="G22" s="711">
        <f>Bilans_E_AMS_Kyoto_run3_MTE!K209</f>
        <v>0</v>
      </c>
      <c r="H22" s="711">
        <f>Bilans_E_AMS_Kyoto_run3_MTE!L209</f>
        <v>19.006397060702763</v>
      </c>
      <c r="I22" s="711">
        <f>Bilans_E_AMS_Kyoto_run3_MTE!M209</f>
        <v>0</v>
      </c>
      <c r="J22" s="711">
        <f>Bilans_E_AMS_Kyoto_run3_MTE!N209</f>
        <v>0</v>
      </c>
      <c r="K22" s="711">
        <f>Bilans_E_AMS_Kyoto_run3_MTE!O209</f>
        <v>0</v>
      </c>
      <c r="L22" s="711">
        <f>Bilans_E_AMS_Kyoto_run3_MTE!P209</f>
        <v>19.963453378354124</v>
      </c>
      <c r="M22" s="711">
        <f>Bilans_E_AMS_Kyoto_run3_MTE!Q209</f>
        <v>11.85327321743026</v>
      </c>
      <c r="N22" s="711">
        <f>Bilans_E_AMS_Kyoto_run3_MTE!R209</f>
        <v>0</v>
      </c>
      <c r="O22" s="711">
        <f>Bilans_E_AMS_Kyoto_run3_MTE!S209</f>
        <v>3.1139937286877846</v>
      </c>
      <c r="P22" s="711">
        <f>Bilans_E_AMS_Kyoto_run3_MTE!T209+Bilans_E_AMS_Kyoto_run3_MTE!U209</f>
        <v>2.9294344243040014</v>
      </c>
      <c r="Q22" s="711">
        <f>Bilans_E_AMS_Kyoto_run3_MTE!V209</f>
        <v>6.057358935027354</v>
      </c>
      <c r="R22" s="711">
        <f>Bilans_E_AMS_Kyoto_run3_MTE!W209</f>
        <v>0</v>
      </c>
      <c r="S22" s="711">
        <f>Bilans_E_AMS_Kyoto_run3_MTE!X209</f>
        <v>-56.820162173543274</v>
      </c>
      <c r="T22" s="711">
        <f>Bilans_E_AMS_Kyoto_run3_MTE!Y209</f>
        <v>0</v>
      </c>
      <c r="U22" s="711">
        <f>Bilans_E_AMS_Kyoto_run3_MTE!Z209</f>
        <v>7.7164357242662405</v>
      </c>
      <c r="V22" s="701"/>
      <c r="W22" s="701"/>
    </row>
    <row r="23" spans="1:23" x14ac:dyDescent="0.25">
      <c r="A23" s="701" t="s">
        <v>497</v>
      </c>
      <c r="B23" s="701"/>
      <c r="C23" s="717" t="s">
        <v>349</v>
      </c>
      <c r="D23" s="711">
        <f>Bilans_E_AMS_Kyoto_run3_MTE!H210</f>
        <v>0</v>
      </c>
      <c r="E23" s="711">
        <f>Bilans_E_AMS_Kyoto_run3_MTE!I210</f>
        <v>0</v>
      </c>
      <c r="F23" s="711">
        <f>Bilans_E_AMS_Kyoto_run3_MTE!J210</f>
        <v>0</v>
      </c>
      <c r="G23" s="711">
        <f>Bilans_E_AMS_Kyoto_run3_MTE!K210</f>
        <v>0</v>
      </c>
      <c r="H23" s="711">
        <f>Bilans_E_AMS_Kyoto_run3_MTE!L210</f>
        <v>0</v>
      </c>
      <c r="I23" s="711">
        <f>Bilans_E_AMS_Kyoto_run3_MTE!M210</f>
        <v>0</v>
      </c>
      <c r="J23" s="711">
        <f>Bilans_E_AMS_Kyoto_run3_MTE!N210</f>
        <v>0</v>
      </c>
      <c r="K23" s="711">
        <f>Bilans_E_AMS_Kyoto_run3_MTE!O210</f>
        <v>0</v>
      </c>
      <c r="L23" s="711">
        <f>Bilans_E_AMS_Kyoto_run3_MTE!P210</f>
        <v>42.951158190071588</v>
      </c>
      <c r="M23" s="711">
        <f>Bilans_E_AMS_Kyoto_run3_MTE!Q210</f>
        <v>7.9775918284298335</v>
      </c>
      <c r="N23" s="711">
        <f>Bilans_E_AMS_Kyoto_run3_MTE!R210</f>
        <v>0</v>
      </c>
      <c r="O23" s="711">
        <f>Bilans_E_AMS_Kyoto_run3_MTE!S210</f>
        <v>-25.540585507819397</v>
      </c>
      <c r="P23" s="711">
        <f>Bilans_E_AMS_Kyoto_run3_MTE!T210+Bilans_E_AMS_Kyoto_run3_MTE!U210</f>
        <v>0</v>
      </c>
      <c r="Q23" s="711">
        <f>Bilans_E_AMS_Kyoto_run3_MTE!V210</f>
        <v>0</v>
      </c>
      <c r="R23" s="711">
        <f>Bilans_E_AMS_Kyoto_run3_MTE!W210</f>
        <v>0</v>
      </c>
      <c r="S23" s="711">
        <f>Bilans_E_AMS_Kyoto_run3_MTE!X210</f>
        <v>0</v>
      </c>
      <c r="T23" s="711">
        <f>Bilans_E_AMS_Kyoto_run3_MTE!Y210</f>
        <v>0</v>
      </c>
      <c r="U23" s="711">
        <f>Bilans_E_AMS_Kyoto_run3_MTE!Z210</f>
        <v>25.388164510682021</v>
      </c>
      <c r="V23" s="701"/>
      <c r="W23" s="701"/>
    </row>
    <row r="24" spans="1:23" x14ac:dyDescent="0.25">
      <c r="A24" s="701" t="s">
        <v>498</v>
      </c>
      <c r="B24" s="701"/>
      <c r="C24" s="717" t="s">
        <v>350</v>
      </c>
      <c r="D24" s="711">
        <f>Bilans_E_AMS_Kyoto_run3_MTE!H211</f>
        <v>0</v>
      </c>
      <c r="E24" s="711">
        <f>Bilans_E_AMS_Kyoto_run3_MTE!I211</f>
        <v>0</v>
      </c>
      <c r="F24" s="711">
        <f>Bilans_E_AMS_Kyoto_run3_MTE!J211</f>
        <v>0</v>
      </c>
      <c r="G24" s="711">
        <f>Bilans_E_AMS_Kyoto_run3_MTE!K211</f>
        <v>0</v>
      </c>
      <c r="H24" s="711">
        <f>Bilans_E_AMS_Kyoto_run3_MTE!L211</f>
        <v>0</v>
      </c>
      <c r="I24" s="711">
        <f>Bilans_E_AMS_Kyoto_run3_MTE!M211</f>
        <v>0</v>
      </c>
      <c r="J24" s="711">
        <f>Bilans_E_AMS_Kyoto_run3_MTE!N211</f>
        <v>0</v>
      </c>
      <c r="K24" s="711">
        <f>Bilans_E_AMS_Kyoto_run3_MTE!O211</f>
        <v>0</v>
      </c>
      <c r="L24" s="711">
        <f>Bilans_E_AMS_Kyoto_run3_MTE!P211</f>
        <v>0</v>
      </c>
      <c r="M24" s="711">
        <f>Bilans_E_AMS_Kyoto_run3_MTE!Q211</f>
        <v>0</v>
      </c>
      <c r="N24" s="711">
        <f>Bilans_E_AMS_Kyoto_run3_MTE!R211</f>
        <v>0</v>
      </c>
      <c r="O24" s="711">
        <f>Bilans_E_AMS_Kyoto_run3_MTE!S211</f>
        <v>0</v>
      </c>
      <c r="P24" s="711">
        <f>Bilans_E_AMS_Kyoto_run3_MTE!T211+Bilans_E_AMS_Kyoto_run3_MTE!U211</f>
        <v>0</v>
      </c>
      <c r="Q24" s="711">
        <f>Bilans_E_AMS_Kyoto_run3_MTE!V211</f>
        <v>0</v>
      </c>
      <c r="R24" s="711">
        <f>Bilans_E_AMS_Kyoto_run3_MTE!W211</f>
        <v>0</v>
      </c>
      <c r="S24" s="711">
        <f>Bilans_E_AMS_Kyoto_run3_MTE!X211</f>
        <v>0</v>
      </c>
      <c r="T24" s="711">
        <f>Bilans_E_AMS_Kyoto_run3_MTE!Y211</f>
        <v>0</v>
      </c>
      <c r="U24" s="711">
        <f>Bilans_E_AMS_Kyoto_run3_MTE!Z211</f>
        <v>0</v>
      </c>
      <c r="V24" s="701"/>
      <c r="W24" s="701"/>
    </row>
    <row r="25" spans="1:23" x14ac:dyDescent="0.25">
      <c r="A25" s="701" t="s">
        <v>499</v>
      </c>
      <c r="B25" s="701"/>
      <c r="C25" s="717" t="s">
        <v>72</v>
      </c>
      <c r="D25" s="711">
        <f>Bilans_E_AMS_Kyoto_run3_MTE!H212</f>
        <v>0</v>
      </c>
      <c r="E25" s="711">
        <f>Bilans_E_AMS_Kyoto_run3_MTE!I212</f>
        <v>502.02103372564807</v>
      </c>
      <c r="F25" s="711">
        <f>Bilans_E_AMS_Kyoto_run3_MTE!J212</f>
        <v>-497.00082338839161</v>
      </c>
      <c r="G25" s="711">
        <f>Bilans_E_AMS_Kyoto_run3_MTE!K212</f>
        <v>0</v>
      </c>
      <c r="H25" s="711">
        <f>Bilans_E_AMS_Kyoto_run3_MTE!L212</f>
        <v>0</v>
      </c>
      <c r="I25" s="711">
        <f>Bilans_E_AMS_Kyoto_run3_MTE!M212</f>
        <v>0</v>
      </c>
      <c r="J25" s="711">
        <f>Bilans_E_AMS_Kyoto_run3_MTE!N212</f>
        <v>0</v>
      </c>
      <c r="K25" s="711">
        <f>Bilans_E_AMS_Kyoto_run3_MTE!O212</f>
        <v>0</v>
      </c>
      <c r="L25" s="711">
        <f>Bilans_E_AMS_Kyoto_run3_MTE!P212</f>
        <v>0</v>
      </c>
      <c r="M25" s="711">
        <f>Bilans_E_AMS_Kyoto_run3_MTE!Q212</f>
        <v>0</v>
      </c>
      <c r="N25" s="711">
        <f>Bilans_E_AMS_Kyoto_run3_MTE!R212</f>
        <v>0</v>
      </c>
      <c r="O25" s="711">
        <f>Bilans_E_AMS_Kyoto_run3_MTE!S212</f>
        <v>0</v>
      </c>
      <c r="P25" s="711">
        <f>Bilans_E_AMS_Kyoto_run3_MTE!T212+Bilans_E_AMS_Kyoto_run3_MTE!U212</f>
        <v>0</v>
      </c>
      <c r="Q25" s="711">
        <f>Bilans_E_AMS_Kyoto_run3_MTE!V212</f>
        <v>0</v>
      </c>
      <c r="R25" s="711">
        <f>Bilans_E_AMS_Kyoto_run3_MTE!W212</f>
        <v>0</v>
      </c>
      <c r="S25" s="711">
        <f>Bilans_E_AMS_Kyoto_run3_MTE!X212</f>
        <v>0</v>
      </c>
      <c r="T25" s="711">
        <f>Bilans_E_AMS_Kyoto_run3_MTE!Y212</f>
        <v>0</v>
      </c>
      <c r="U25" s="711">
        <f>Bilans_E_AMS_Kyoto_run3_MTE!Z212</f>
        <v>5.0202103372564579</v>
      </c>
      <c r="V25" s="701"/>
      <c r="W25" s="701"/>
    </row>
    <row r="26" spans="1:23" x14ac:dyDescent="0.25">
      <c r="A26" s="701" t="s">
        <v>500</v>
      </c>
      <c r="B26" s="701"/>
      <c r="C26" s="717" t="s">
        <v>351</v>
      </c>
      <c r="D26" s="711">
        <f>Bilans_E_AMS_Kyoto_run3_MTE!H213</f>
        <v>0</v>
      </c>
      <c r="E26" s="711">
        <f>Bilans_E_AMS_Kyoto_run3_MTE!I213</f>
        <v>0</v>
      </c>
      <c r="F26" s="711">
        <f>Bilans_E_AMS_Kyoto_run3_MTE!J213</f>
        <v>0</v>
      </c>
      <c r="G26" s="711">
        <f>Bilans_E_AMS_Kyoto_run3_MTE!K213</f>
        <v>0</v>
      </c>
      <c r="H26" s="711">
        <f>Bilans_E_AMS_Kyoto_run3_MTE!L213</f>
        <v>0</v>
      </c>
      <c r="I26" s="711">
        <f>Bilans_E_AMS_Kyoto_run3_MTE!M213</f>
        <v>0</v>
      </c>
      <c r="J26" s="711">
        <f>Bilans_E_AMS_Kyoto_run3_MTE!N213</f>
        <v>0</v>
      </c>
      <c r="K26" s="711">
        <f>Bilans_E_AMS_Kyoto_run3_MTE!O213</f>
        <v>0</v>
      </c>
      <c r="L26" s="711">
        <f>Bilans_E_AMS_Kyoto_run3_MTE!P213</f>
        <v>57.841115986080837</v>
      </c>
      <c r="M26" s="711">
        <f>Bilans_E_AMS_Kyoto_run3_MTE!Q213</f>
        <v>7.2727272727272725</v>
      </c>
      <c r="N26" s="711">
        <f>Bilans_E_AMS_Kyoto_run3_MTE!R213</f>
        <v>-39.93186194133186</v>
      </c>
      <c r="O26" s="711">
        <f>Bilans_E_AMS_Kyoto_run3_MTE!S213</f>
        <v>0</v>
      </c>
      <c r="P26" s="711">
        <f>Bilans_E_AMS_Kyoto_run3_MTE!T213+Bilans_E_AMS_Kyoto_run3_MTE!U213</f>
        <v>0</v>
      </c>
      <c r="Q26" s="711">
        <f>Bilans_E_AMS_Kyoto_run3_MTE!V213</f>
        <v>0</v>
      </c>
      <c r="R26" s="711">
        <f>Bilans_E_AMS_Kyoto_run3_MTE!W213</f>
        <v>0</v>
      </c>
      <c r="S26" s="711">
        <f>Bilans_E_AMS_Kyoto_run3_MTE!X213</f>
        <v>0</v>
      </c>
      <c r="T26" s="711">
        <f>Bilans_E_AMS_Kyoto_run3_MTE!Y213</f>
        <v>0</v>
      </c>
      <c r="U26" s="711">
        <f>Bilans_E_AMS_Kyoto_run3_MTE!Z213</f>
        <v>25.181981317476243</v>
      </c>
      <c r="V26" s="701"/>
      <c r="W26" s="701"/>
    </row>
    <row r="27" spans="1:23" x14ac:dyDescent="0.25">
      <c r="A27" s="701" t="s">
        <v>501</v>
      </c>
      <c r="B27" s="701"/>
      <c r="C27" s="717" t="s">
        <v>352</v>
      </c>
      <c r="D27" s="711">
        <f>Bilans_E_AMS_Kyoto_run3_MTE!H214</f>
        <v>0</v>
      </c>
      <c r="E27" s="711">
        <f>Bilans_E_AMS_Kyoto_run3_MTE!I214</f>
        <v>0</v>
      </c>
      <c r="F27" s="711">
        <f>Bilans_E_AMS_Kyoto_run3_MTE!J214</f>
        <v>0</v>
      </c>
      <c r="G27" s="711">
        <f>Bilans_E_AMS_Kyoto_run3_MTE!K214</f>
        <v>0</v>
      </c>
      <c r="H27" s="711">
        <f>Bilans_E_AMS_Kyoto_run3_MTE!L214</f>
        <v>0</v>
      </c>
      <c r="I27" s="711">
        <f>Bilans_E_AMS_Kyoto_run3_MTE!M214</f>
        <v>0</v>
      </c>
      <c r="J27" s="711">
        <f>Bilans_E_AMS_Kyoto_run3_MTE!N214</f>
        <v>0</v>
      </c>
      <c r="K27" s="711">
        <f>Bilans_E_AMS_Kyoto_run3_MTE!O214</f>
        <v>0</v>
      </c>
      <c r="L27" s="711">
        <f>Bilans_E_AMS_Kyoto_run3_MTE!P214</f>
        <v>0</v>
      </c>
      <c r="M27" s="711">
        <f>Bilans_E_AMS_Kyoto_run3_MTE!Q214</f>
        <v>0</v>
      </c>
      <c r="N27" s="711">
        <f>Bilans_E_AMS_Kyoto_run3_MTE!R214</f>
        <v>0</v>
      </c>
      <c r="O27" s="711">
        <f>Bilans_E_AMS_Kyoto_run3_MTE!S214</f>
        <v>0</v>
      </c>
      <c r="P27" s="711">
        <f>Bilans_E_AMS_Kyoto_run3_MTE!T214+Bilans_E_AMS_Kyoto_run3_MTE!U214</f>
        <v>0</v>
      </c>
      <c r="Q27" s="711">
        <f>Bilans_E_AMS_Kyoto_run3_MTE!V214</f>
        <v>0</v>
      </c>
      <c r="R27" s="711">
        <f>Bilans_E_AMS_Kyoto_run3_MTE!W214</f>
        <v>0</v>
      </c>
      <c r="S27" s="711">
        <f>Bilans_E_AMS_Kyoto_run3_MTE!X214</f>
        <v>0</v>
      </c>
      <c r="T27" s="711">
        <f>Bilans_E_AMS_Kyoto_run3_MTE!Y214</f>
        <v>0</v>
      </c>
      <c r="U27" s="711">
        <f>Bilans_E_AMS_Kyoto_run3_MTE!Z214</f>
        <v>0</v>
      </c>
      <c r="V27" s="701"/>
      <c r="W27" s="701"/>
    </row>
    <row r="28" spans="1:23" x14ac:dyDescent="0.25">
      <c r="A28" s="701" t="s">
        <v>502</v>
      </c>
      <c r="B28" s="701"/>
      <c r="C28" s="717" t="s">
        <v>73</v>
      </c>
      <c r="D28" s="711">
        <f>Bilans_E_AMS_Kyoto_run3_MTE!H215</f>
        <v>0</v>
      </c>
      <c r="E28" s="711">
        <f>Bilans_E_AMS_Kyoto_run3_MTE!I215</f>
        <v>0</v>
      </c>
      <c r="F28" s="711">
        <f>Bilans_E_AMS_Kyoto_run3_MTE!J215</f>
        <v>0</v>
      </c>
      <c r="G28" s="711">
        <f>Bilans_E_AMS_Kyoto_run3_MTE!K215</f>
        <v>0</v>
      </c>
      <c r="H28" s="711">
        <f>Bilans_E_AMS_Kyoto_run3_MTE!L215</f>
        <v>0</v>
      </c>
      <c r="I28" s="711">
        <f>Bilans_E_AMS_Kyoto_run3_MTE!M215</f>
        <v>0</v>
      </c>
      <c r="J28" s="711">
        <f>Bilans_E_AMS_Kyoto_run3_MTE!N215</f>
        <v>0</v>
      </c>
      <c r="K28" s="711">
        <f>Bilans_E_AMS_Kyoto_run3_MTE!O215</f>
        <v>0</v>
      </c>
      <c r="L28" s="711">
        <f>Bilans_E_AMS_Kyoto_run3_MTE!P215</f>
        <v>0</v>
      </c>
      <c r="M28" s="711">
        <f>Bilans_E_AMS_Kyoto_run3_MTE!Q215</f>
        <v>0</v>
      </c>
      <c r="N28" s="711">
        <f>Bilans_E_AMS_Kyoto_run3_MTE!R215</f>
        <v>0</v>
      </c>
      <c r="O28" s="711">
        <f>Bilans_E_AMS_Kyoto_run3_MTE!S215</f>
        <v>0</v>
      </c>
      <c r="P28" s="711">
        <f>Bilans_E_AMS_Kyoto_run3_MTE!T215+Bilans_E_AMS_Kyoto_run3_MTE!U215</f>
        <v>0</v>
      </c>
      <c r="Q28" s="711">
        <f>Bilans_E_AMS_Kyoto_run3_MTE!V215</f>
        <v>0</v>
      </c>
      <c r="R28" s="711">
        <f>Bilans_E_AMS_Kyoto_run3_MTE!W215</f>
        <v>1.9046603946177385</v>
      </c>
      <c r="S28" s="711">
        <f>Bilans_E_AMS_Kyoto_run3_MTE!X215</f>
        <v>0</v>
      </c>
      <c r="T28" s="711">
        <f>Bilans_E_AMS_Kyoto_run3_MTE!Y215</f>
        <v>-1.2380292565015301</v>
      </c>
      <c r="U28" s="711">
        <f>Bilans_E_AMS_Kyoto_run3_MTE!Z215</f>
        <v>0.66663113811620844</v>
      </c>
      <c r="V28" s="701"/>
      <c r="W28" s="701"/>
    </row>
    <row r="29" spans="1:23" x14ac:dyDescent="0.25">
      <c r="A29" s="701" t="s">
        <v>503</v>
      </c>
      <c r="B29" s="701"/>
      <c r="C29" s="717" t="s">
        <v>353</v>
      </c>
      <c r="D29" s="711">
        <f>Bilans_E_AMS_Kyoto_run3_MTE!H216</f>
        <v>29.661880078125002</v>
      </c>
      <c r="E29" s="711">
        <f>Bilans_E_AMS_Kyoto_run3_MTE!I216</f>
        <v>-17.651540027160753</v>
      </c>
      <c r="F29" s="711">
        <f>Bilans_E_AMS_Kyoto_run3_MTE!J216</f>
        <v>23.197502909780482</v>
      </c>
      <c r="G29" s="711">
        <f>Bilans_E_AMS_Kyoto_run3_MTE!K216</f>
        <v>0</v>
      </c>
      <c r="H29" s="711">
        <f>Bilans_E_AMS_Kyoto_run3_MTE!L216</f>
        <v>0</v>
      </c>
      <c r="I29" s="711">
        <f>Bilans_E_AMS_Kyoto_run3_MTE!M216</f>
        <v>0</v>
      </c>
      <c r="J29" s="711">
        <f>Bilans_E_AMS_Kyoto_run3_MTE!N216</f>
        <v>0</v>
      </c>
      <c r="K29" s="711">
        <f>Bilans_E_AMS_Kyoto_run3_MTE!O216</f>
        <v>0</v>
      </c>
      <c r="L29" s="711">
        <f>Bilans_E_AMS_Kyoto_run3_MTE!P216</f>
        <v>0</v>
      </c>
      <c r="M29" s="711">
        <f>Bilans_E_AMS_Kyoto_run3_MTE!Q216</f>
        <v>0</v>
      </c>
      <c r="N29" s="711">
        <f>Bilans_E_AMS_Kyoto_run3_MTE!R216</f>
        <v>0</v>
      </c>
      <c r="O29" s="711">
        <f>Bilans_E_AMS_Kyoto_run3_MTE!S216</f>
        <v>0</v>
      </c>
      <c r="P29" s="711">
        <f>Bilans_E_AMS_Kyoto_run3_MTE!T216+Bilans_E_AMS_Kyoto_run3_MTE!U216</f>
        <v>0</v>
      </c>
      <c r="Q29" s="711">
        <f>Bilans_E_AMS_Kyoto_run3_MTE!V216</f>
        <v>0</v>
      </c>
      <c r="R29" s="711">
        <f>Bilans_E_AMS_Kyoto_run3_MTE!W216</f>
        <v>0</v>
      </c>
      <c r="S29" s="711">
        <f>Bilans_E_AMS_Kyoto_run3_MTE!X216</f>
        <v>0</v>
      </c>
      <c r="T29" s="711">
        <f>Bilans_E_AMS_Kyoto_run3_MTE!Y216</f>
        <v>0</v>
      </c>
      <c r="U29" s="711">
        <f>Bilans_E_AMS_Kyoto_run3_MTE!Z216</f>
        <v>35.207842960744728</v>
      </c>
      <c r="V29" s="701"/>
      <c r="W29" s="701"/>
    </row>
    <row r="30" spans="1:23" x14ac:dyDescent="0.25">
      <c r="A30" s="701" t="s">
        <v>504</v>
      </c>
      <c r="B30" s="701"/>
      <c r="C30" s="717" t="s">
        <v>75</v>
      </c>
      <c r="D30" s="711">
        <f>Bilans_E_AMS_Kyoto_run3_MTE!H217</f>
        <v>11.535175585937502</v>
      </c>
      <c r="E30" s="711">
        <f>Bilans_E_AMS_Kyoto_run3_MTE!I217</f>
        <v>0</v>
      </c>
      <c r="F30" s="711">
        <f>Bilans_E_AMS_Kyoto_run3_MTE!J217</f>
        <v>17.330610826083333</v>
      </c>
      <c r="G30" s="711">
        <f>Bilans_E_AMS_Kyoto_run3_MTE!K217</f>
        <v>0</v>
      </c>
      <c r="H30" s="711">
        <f>Bilans_E_AMS_Kyoto_run3_MTE!L217</f>
        <v>3.72904093688493</v>
      </c>
      <c r="I30" s="711">
        <f>Bilans_E_AMS_Kyoto_run3_MTE!M217</f>
        <v>0</v>
      </c>
      <c r="J30" s="711">
        <f>Bilans_E_AMS_Kyoto_run3_MTE!N217</f>
        <v>0</v>
      </c>
      <c r="K30" s="711">
        <f>Bilans_E_AMS_Kyoto_run3_MTE!O217</f>
        <v>0</v>
      </c>
      <c r="L30" s="711">
        <f>Bilans_E_AMS_Kyoto_run3_MTE!P217</f>
        <v>0</v>
      </c>
      <c r="M30" s="711">
        <f>Bilans_E_AMS_Kyoto_run3_MTE!Q217</f>
        <v>0</v>
      </c>
      <c r="N30" s="711">
        <f>Bilans_E_AMS_Kyoto_run3_MTE!R217</f>
        <v>0</v>
      </c>
      <c r="O30" s="711">
        <f>Bilans_E_AMS_Kyoto_run3_MTE!S217</f>
        <v>0.19626531246762791</v>
      </c>
      <c r="P30" s="711">
        <f>Bilans_E_AMS_Kyoto_run3_MTE!T217+Bilans_E_AMS_Kyoto_run3_MTE!U217</f>
        <v>0</v>
      </c>
      <c r="Q30" s="711">
        <f>Bilans_E_AMS_Kyoto_run3_MTE!V217</f>
        <v>0</v>
      </c>
      <c r="R30" s="711">
        <f>Bilans_E_AMS_Kyoto_run3_MTE!W217</f>
        <v>34.180514899221805</v>
      </c>
      <c r="S30" s="711">
        <f>Bilans_E_AMS_Kyoto_run3_MTE!X217</f>
        <v>0</v>
      </c>
      <c r="T30" s="711">
        <f>Bilans_E_AMS_Kyoto_run3_MTE!Y217</f>
        <v>1</v>
      </c>
      <c r="U30" s="711">
        <f>Bilans_E_AMS_Kyoto_run3_MTE!Z217</f>
        <v>67.971607560595203</v>
      </c>
      <c r="V30" s="701"/>
      <c r="W30" s="701"/>
    </row>
    <row r="31" spans="1:23" x14ac:dyDescent="0.25">
      <c r="A31" s="701" t="s">
        <v>505</v>
      </c>
      <c r="B31" s="701"/>
      <c r="C31" s="717" t="s">
        <v>76</v>
      </c>
      <c r="D31" s="711">
        <f>Bilans_E_AMS_Kyoto_run3_MTE!H218</f>
        <v>0</v>
      </c>
      <c r="E31" s="711">
        <f>Bilans_E_AMS_Kyoto_run3_MTE!I218</f>
        <v>0</v>
      </c>
      <c r="F31" s="711">
        <f>Bilans_E_AMS_Kyoto_run3_MTE!J218</f>
        <v>0</v>
      </c>
      <c r="G31" s="711">
        <f>Bilans_E_AMS_Kyoto_run3_MTE!K218</f>
        <v>0</v>
      </c>
      <c r="H31" s="711">
        <f>Bilans_E_AMS_Kyoto_run3_MTE!L218</f>
        <v>4.280937627144942</v>
      </c>
      <c r="I31" s="711">
        <f>Bilans_E_AMS_Kyoto_run3_MTE!M218</f>
        <v>0</v>
      </c>
      <c r="J31" s="711">
        <f>Bilans_E_AMS_Kyoto_run3_MTE!N218</f>
        <v>0</v>
      </c>
      <c r="K31" s="711">
        <f>Bilans_E_AMS_Kyoto_run3_MTE!O218</f>
        <v>0</v>
      </c>
      <c r="L31" s="711">
        <f>Bilans_E_AMS_Kyoto_run3_MTE!P218</f>
        <v>0</v>
      </c>
      <c r="M31" s="711">
        <f>Bilans_E_AMS_Kyoto_run3_MTE!Q218</f>
        <v>0</v>
      </c>
      <c r="N31" s="711">
        <f>Bilans_E_AMS_Kyoto_run3_MTE!R218</f>
        <v>0</v>
      </c>
      <c r="O31" s="711">
        <f>Bilans_E_AMS_Kyoto_run3_MTE!S218</f>
        <v>0.22531250669183908</v>
      </c>
      <c r="P31" s="711">
        <f>Bilans_E_AMS_Kyoto_run3_MTE!T218+Bilans_E_AMS_Kyoto_run3_MTE!U218</f>
        <v>0</v>
      </c>
      <c r="Q31" s="711">
        <f>Bilans_E_AMS_Kyoto_run3_MTE!V218</f>
        <v>0</v>
      </c>
      <c r="R31" s="711">
        <f>Bilans_E_AMS_Kyoto_run3_MTE!W218</f>
        <v>41.266202819137604</v>
      </c>
      <c r="S31" s="711">
        <f>Bilans_E_AMS_Kyoto_run3_MTE!X218</f>
        <v>4.4071739193324495</v>
      </c>
      <c r="T31" s="711">
        <f>Bilans_E_AMS_Kyoto_run3_MTE!Y218</f>
        <v>0</v>
      </c>
      <c r="U31" s="711">
        <f>Bilans_E_AMS_Kyoto_run3_MTE!Z218</f>
        <v>50.179626872306834</v>
      </c>
      <c r="V31" s="701"/>
      <c r="W31" s="701"/>
    </row>
    <row r="32" spans="1:23" x14ac:dyDescent="0.25">
      <c r="A32" s="701" t="s">
        <v>506</v>
      </c>
      <c r="B32" s="701"/>
      <c r="C32" s="713" t="s">
        <v>77</v>
      </c>
      <c r="D32" s="714">
        <f>Bilans_E_AMS_Kyoto_run3_MTE!H219</f>
        <v>41.505949631571021</v>
      </c>
      <c r="E32" s="714">
        <f>Bilans_E_AMS_Kyoto_run3_MTE!I219</f>
        <v>484.3694936984873</v>
      </c>
      <c r="F32" s="714">
        <f>Bilans_E_AMS_Kyoto_run3_MTE!J219</f>
        <v>-452.24436762762616</v>
      </c>
      <c r="G32" s="714">
        <f>Bilans_E_AMS_Kyoto_run3_MTE!K219</f>
        <v>0</v>
      </c>
      <c r="H32" s="714">
        <f>Bilans_E_AMS_Kyoto_run3_MTE!L219</f>
        <v>83.882850629638284</v>
      </c>
      <c r="I32" s="714">
        <f>Bilans_E_AMS_Kyoto_run3_MTE!M219</f>
        <v>0</v>
      </c>
      <c r="J32" s="714">
        <f>Bilans_E_AMS_Kyoto_run3_MTE!N219</f>
        <v>1181.6974545454545</v>
      </c>
      <c r="K32" s="714">
        <f>Bilans_E_AMS_Kyoto_run3_MTE!O219</f>
        <v>152.67647201623672</v>
      </c>
      <c r="L32" s="714">
        <f>Bilans_E_AMS_Kyoto_run3_MTE!P219</f>
        <v>134.08220188570098</v>
      </c>
      <c r="M32" s="714">
        <f>Bilans_E_AMS_Kyoto_run3_MTE!Q219</f>
        <v>34.720343146927405</v>
      </c>
      <c r="N32" s="714">
        <f>Bilans_E_AMS_Kyoto_run3_MTE!R219</f>
        <v>-34.380630323121977</v>
      </c>
      <c r="O32" s="714">
        <f>Bilans_E_AMS_Kyoto_run3_MTE!S219</f>
        <v>-13.804756239409254</v>
      </c>
      <c r="P32" s="714">
        <f>Bilans_E_AMS_Kyoto_run3_MTE!T219+Bilans_E_AMS_Kyoto_run3_MTE!U219</f>
        <v>2.9294344243040014</v>
      </c>
      <c r="Q32" s="714">
        <f>Bilans_E_AMS_Kyoto_run3_MTE!V219</f>
        <v>6.375973544776329</v>
      </c>
      <c r="R32" s="714">
        <f>Bilans_E_AMS_Kyoto_run3_MTE!W219</f>
        <v>-513.58634233681778</v>
      </c>
      <c r="S32" s="714">
        <f>Bilans_E_AMS_Kyoto_run3_MTE!X219</f>
        <v>-52.412988254210823</v>
      </c>
      <c r="T32" s="714">
        <f>Bilans_E_AMS_Kyoto_run3_MTE!Y219</f>
        <v>-0.23802925650153006</v>
      </c>
      <c r="U32" s="714">
        <f>Bilans_E_AMS_Kyoto_run3_MTE!Z219</f>
        <v>1055.573059485409</v>
      </c>
      <c r="V32" s="701"/>
      <c r="W32" s="701"/>
    </row>
    <row r="33" spans="1:23" x14ac:dyDescent="0.25">
      <c r="A33" s="701"/>
      <c r="B33" s="701"/>
      <c r="C33" s="715"/>
      <c r="D33" s="716"/>
      <c r="E33" s="716"/>
      <c r="F33" s="716"/>
      <c r="G33" s="716"/>
      <c r="H33" s="716"/>
      <c r="I33" s="716"/>
      <c r="J33" s="716"/>
      <c r="K33" s="716"/>
      <c r="L33" s="716"/>
      <c r="M33" s="716"/>
      <c r="N33" s="716"/>
      <c r="O33" s="716"/>
      <c r="P33" s="716">
        <f>Bilans_E_AMS_Kyoto_run3_MTE!T220+Bilans_E_AMS_Kyoto_run3_MTE!U220</f>
        <v>0</v>
      </c>
      <c r="Q33" s="716"/>
      <c r="R33" s="716"/>
      <c r="S33" s="716"/>
      <c r="T33" s="716"/>
      <c r="U33" s="716"/>
      <c r="V33" s="701"/>
      <c r="W33" s="701"/>
    </row>
    <row r="34" spans="1:23" x14ac:dyDescent="0.25">
      <c r="A34" s="701" t="s">
        <v>507</v>
      </c>
      <c r="B34" s="701"/>
      <c r="C34" s="717" t="s">
        <v>78</v>
      </c>
      <c r="D34" s="711">
        <f>Bilans_E_AMS_Kyoto_run3_MTE!H221</f>
        <v>4.8925078124999999</v>
      </c>
      <c r="E34" s="711">
        <f>Bilans_E_AMS_Kyoto_run3_MTE!I221</f>
        <v>0</v>
      </c>
      <c r="F34" s="711">
        <f>Bilans_E_AMS_Kyoto_run3_MTE!J221</f>
        <v>24.165235131191906</v>
      </c>
      <c r="G34" s="711">
        <f>Bilans_E_AMS_Kyoto_run3_MTE!K221</f>
        <v>0</v>
      </c>
      <c r="H34" s="711">
        <f>Bilans_E_AMS_Kyoto_run3_MTE!L221</f>
        <v>94.084094813654275</v>
      </c>
      <c r="I34" s="711">
        <f>Bilans_E_AMS_Kyoto_run3_MTE!M221</f>
        <v>0</v>
      </c>
      <c r="J34" s="711">
        <f>Bilans_E_AMS_Kyoto_run3_MTE!N221</f>
        <v>0</v>
      </c>
      <c r="K34" s="711">
        <f>Bilans_E_AMS_Kyoto_run3_MTE!O221</f>
        <v>0</v>
      </c>
      <c r="L34" s="711">
        <f>Bilans_E_AMS_Kyoto_run3_MTE!P221</f>
        <v>26.937463537570867</v>
      </c>
      <c r="M34" s="711">
        <f>Bilans_E_AMS_Kyoto_run3_MTE!Q221</f>
        <v>6.1285070662635537</v>
      </c>
      <c r="N34" s="711">
        <f>Bilans_E_AMS_Kyoto_run3_MTE!R221</f>
        <v>0.93174084898654219</v>
      </c>
      <c r="O34" s="711">
        <f>Bilans_E_AMS_Kyoto_run3_MTE!S221</f>
        <v>4.9753349470269299</v>
      </c>
      <c r="P34" s="711">
        <f>Bilans_E_AMS_Kyoto_run3_MTE!T221+Bilans_E_AMS_Kyoto_run3_MTE!U221</f>
        <v>1.390278564453125</v>
      </c>
      <c r="Q34" s="711">
        <f>Bilans_E_AMS_Kyoto_run3_MTE!V221</f>
        <v>4.7991131198633983E-4</v>
      </c>
      <c r="R34" s="711">
        <f>Bilans_E_AMS_Kyoto_run3_MTE!W221</f>
        <v>120.70181135843518</v>
      </c>
      <c r="S34" s="711">
        <f>Bilans_E_AMS_Kyoto_run3_MTE!X221</f>
        <v>18.813292152120741</v>
      </c>
      <c r="T34" s="711">
        <f>Bilans_E_AMS_Kyoto_run3_MTE!Y221</f>
        <v>0.1368032684326172</v>
      </c>
      <c r="U34" s="711">
        <f>Bilans_E_AMS_Kyoto_run3_MTE!Z221</f>
        <v>303.1575494119478</v>
      </c>
      <c r="V34" s="701"/>
      <c r="W34" s="701"/>
    </row>
    <row r="35" spans="1:23" x14ac:dyDescent="0.25">
      <c r="A35" s="701" t="s">
        <v>508</v>
      </c>
      <c r="B35" s="701"/>
      <c r="C35" s="717" t="s">
        <v>79</v>
      </c>
      <c r="D35" s="711">
        <f>Bilans_E_AMS_Kyoto_run3_MTE!H222</f>
        <v>0</v>
      </c>
      <c r="E35" s="711">
        <f>Bilans_E_AMS_Kyoto_run3_MTE!I222</f>
        <v>0</v>
      </c>
      <c r="F35" s="711">
        <f>Bilans_E_AMS_Kyoto_run3_MTE!J222</f>
        <v>419.79556605067489</v>
      </c>
      <c r="G35" s="711">
        <f>Bilans_E_AMS_Kyoto_run3_MTE!K222</f>
        <v>0</v>
      </c>
      <c r="H35" s="711">
        <f>Bilans_E_AMS_Kyoto_run3_MTE!L222</f>
        <v>4.0169244395410075</v>
      </c>
      <c r="I35" s="711">
        <f>Bilans_E_AMS_Kyoto_run3_MTE!M222</f>
        <v>0</v>
      </c>
      <c r="J35" s="711">
        <f>Bilans_E_AMS_Kyoto_run3_MTE!N222</f>
        <v>0</v>
      </c>
      <c r="K35" s="711">
        <f>Bilans_E_AMS_Kyoto_run3_MTE!O222</f>
        <v>0</v>
      </c>
      <c r="L35" s="711">
        <f>Bilans_E_AMS_Kyoto_run3_MTE!P222</f>
        <v>0</v>
      </c>
      <c r="M35" s="711">
        <f>Bilans_E_AMS_Kyoto_run3_MTE!Q222</f>
        <v>0</v>
      </c>
      <c r="N35" s="711">
        <f>Bilans_E_AMS_Kyoto_run3_MTE!R222</f>
        <v>36.659680118734968</v>
      </c>
      <c r="O35" s="711">
        <f>Bilans_E_AMS_Kyoto_run3_MTE!S222</f>
        <v>0.21141707576531621</v>
      </c>
      <c r="P35" s="711">
        <f>Bilans_E_AMS_Kyoto_run3_MTE!T222+Bilans_E_AMS_Kyoto_run3_MTE!U222</f>
        <v>0</v>
      </c>
      <c r="Q35" s="711">
        <f>Bilans_E_AMS_Kyoto_run3_MTE!V222</f>
        <v>0</v>
      </c>
      <c r="R35" s="711">
        <f>Bilans_E_AMS_Kyoto_run3_MTE!W222</f>
        <v>16.904139208606786</v>
      </c>
      <c r="S35" s="711">
        <f>Bilans_E_AMS_Kyoto_run3_MTE!X222</f>
        <v>0</v>
      </c>
      <c r="T35" s="711">
        <f>Bilans_E_AMS_Kyoto_run3_MTE!Y222</f>
        <v>0</v>
      </c>
      <c r="U35" s="711">
        <f>Bilans_E_AMS_Kyoto_run3_MTE!Z222</f>
        <v>477.58772689332301</v>
      </c>
      <c r="V35" s="701"/>
      <c r="W35" s="701"/>
    </row>
    <row r="36" spans="1:23" x14ac:dyDescent="0.25">
      <c r="A36" s="701" t="s">
        <v>509</v>
      </c>
      <c r="B36" s="701"/>
      <c r="C36" s="717" t="s">
        <v>80</v>
      </c>
      <c r="D36" s="711">
        <f>Bilans_E_AMS_Kyoto_run3_MTE!H223</f>
        <v>0</v>
      </c>
      <c r="E36" s="711">
        <f>Bilans_E_AMS_Kyoto_run3_MTE!I223</f>
        <v>0</v>
      </c>
      <c r="F36" s="711">
        <f>Bilans_E_AMS_Kyoto_run3_MTE!J223</f>
        <v>30.264105073000309</v>
      </c>
      <c r="G36" s="711">
        <f>Bilans_E_AMS_Kyoto_run3_MTE!K223</f>
        <v>0</v>
      </c>
      <c r="H36" s="711">
        <f>Bilans_E_AMS_Kyoto_run3_MTE!L223</f>
        <v>109.4222854593897</v>
      </c>
      <c r="I36" s="711">
        <f>Bilans_E_AMS_Kyoto_run3_MTE!M223</f>
        <v>0</v>
      </c>
      <c r="J36" s="711">
        <f>Bilans_E_AMS_Kyoto_run3_MTE!N223</f>
        <v>0</v>
      </c>
      <c r="K36" s="711">
        <f>Bilans_E_AMS_Kyoto_run3_MTE!O223</f>
        <v>0</v>
      </c>
      <c r="L36" s="711">
        <f>Bilans_E_AMS_Kyoto_run3_MTE!P223</f>
        <v>73.413726167362853</v>
      </c>
      <c r="M36" s="711">
        <f>Bilans_E_AMS_Kyoto_run3_MTE!Q223</f>
        <v>0</v>
      </c>
      <c r="N36" s="711">
        <f>Bilans_E_AMS_Kyoto_run3_MTE!R223</f>
        <v>0</v>
      </c>
      <c r="O36" s="711">
        <f>Bilans_E_AMS_Kyoto_run3_MTE!S223</f>
        <v>5.7590676557573532</v>
      </c>
      <c r="P36" s="711">
        <f>Bilans_E_AMS_Kyoto_run3_MTE!T223+Bilans_E_AMS_Kyoto_run3_MTE!U223</f>
        <v>58.81291503857112</v>
      </c>
      <c r="Q36" s="711">
        <f>Bilans_E_AMS_Kyoto_run3_MTE!V223</f>
        <v>3.6562035035050702</v>
      </c>
      <c r="R36" s="711">
        <f>Bilans_E_AMS_Kyoto_run3_MTE!W223</f>
        <v>155.95540999328384</v>
      </c>
      <c r="S36" s="711">
        <f>Bilans_E_AMS_Kyoto_run3_MTE!X223</f>
        <v>17.330040012113464</v>
      </c>
      <c r="T36" s="711">
        <f>Bilans_E_AMS_Kyoto_run3_MTE!Y223</f>
        <v>0</v>
      </c>
      <c r="U36" s="711">
        <f>Bilans_E_AMS_Kyoto_run3_MTE!Z223</f>
        <v>454.61375290298366</v>
      </c>
      <c r="V36" s="701"/>
      <c r="W36" s="701"/>
    </row>
    <row r="37" spans="1:23" x14ac:dyDescent="0.25">
      <c r="A37" s="701" t="s">
        <v>510</v>
      </c>
      <c r="B37" s="701"/>
      <c r="C37" s="717" t="s">
        <v>81</v>
      </c>
      <c r="D37" s="711">
        <f>Bilans_E_AMS_Kyoto_run3_MTE!H224</f>
        <v>0</v>
      </c>
      <c r="E37" s="711">
        <f>Bilans_E_AMS_Kyoto_run3_MTE!I224</f>
        <v>0</v>
      </c>
      <c r="F37" s="711">
        <f>Bilans_E_AMS_Kyoto_run3_MTE!J224</f>
        <v>18.302012365463629</v>
      </c>
      <c r="G37" s="711">
        <f>Bilans_E_AMS_Kyoto_run3_MTE!K224</f>
        <v>0</v>
      </c>
      <c r="H37" s="711">
        <f>Bilans_E_AMS_Kyoto_run3_MTE!L224</f>
        <v>60.4894671340926</v>
      </c>
      <c r="I37" s="711">
        <f>Bilans_E_AMS_Kyoto_run3_MTE!M224</f>
        <v>0</v>
      </c>
      <c r="J37" s="711">
        <f>Bilans_E_AMS_Kyoto_run3_MTE!N224</f>
        <v>0</v>
      </c>
      <c r="K37" s="711">
        <f>Bilans_E_AMS_Kyoto_run3_MTE!O224</f>
        <v>0</v>
      </c>
      <c r="L37" s="711">
        <f>Bilans_E_AMS_Kyoto_run3_MTE!P224</f>
        <v>0.46982123257429881</v>
      </c>
      <c r="M37" s="711">
        <f>Bilans_E_AMS_Kyoto_run3_MTE!Q224</f>
        <v>0</v>
      </c>
      <c r="N37" s="711">
        <f>Bilans_E_AMS_Kyoto_run3_MTE!R224</f>
        <v>0</v>
      </c>
      <c r="O37" s="711">
        <f>Bilans_E_AMS_Kyoto_run3_MTE!S224</f>
        <v>3.1836561649522426</v>
      </c>
      <c r="P37" s="711">
        <f>Bilans_E_AMS_Kyoto_run3_MTE!T224+Bilans_E_AMS_Kyoto_run3_MTE!U224</f>
        <v>20.889920153176526</v>
      </c>
      <c r="Q37" s="711">
        <f>Bilans_E_AMS_Kyoto_run3_MTE!V224</f>
        <v>3.5112271315974612</v>
      </c>
      <c r="R37" s="711">
        <f>Bilans_E_AMS_Kyoto_run3_MTE!W224</f>
        <v>125.61536332451628</v>
      </c>
      <c r="S37" s="711">
        <f>Bilans_E_AMS_Kyoto_run3_MTE!X224</f>
        <v>16.26962770883793</v>
      </c>
      <c r="T37" s="711">
        <f>Bilans_E_AMS_Kyoto_run3_MTE!Y224</f>
        <v>0</v>
      </c>
      <c r="U37" s="711">
        <f>Bilans_E_AMS_Kyoto_run3_MTE!Z224</f>
        <v>248.73109521521098</v>
      </c>
      <c r="V37" s="701"/>
      <c r="W37" s="701"/>
    </row>
    <row r="38" spans="1:23" x14ac:dyDescent="0.25">
      <c r="A38" s="701" t="s">
        <v>511</v>
      </c>
      <c r="B38" s="701"/>
      <c r="C38" s="717" t="s">
        <v>82</v>
      </c>
      <c r="D38" s="711">
        <f>Bilans_E_AMS_Kyoto_run3_MTE!H225</f>
        <v>0</v>
      </c>
      <c r="E38" s="711">
        <f>Bilans_E_AMS_Kyoto_run3_MTE!I225</f>
        <v>0</v>
      </c>
      <c r="F38" s="711">
        <f>Bilans_E_AMS_Kyoto_run3_MTE!J225</f>
        <v>35.262359218486715</v>
      </c>
      <c r="G38" s="711">
        <f>Bilans_E_AMS_Kyoto_run3_MTE!K225</f>
        <v>0</v>
      </c>
      <c r="H38" s="711">
        <f>Bilans_E_AMS_Kyoto_run3_MTE!L225</f>
        <v>2.2638116386535292</v>
      </c>
      <c r="I38" s="711">
        <f>Bilans_E_AMS_Kyoto_run3_MTE!M225</f>
        <v>0</v>
      </c>
      <c r="J38" s="711">
        <f>Bilans_E_AMS_Kyoto_run3_MTE!N225</f>
        <v>0</v>
      </c>
      <c r="K38" s="711">
        <f>Bilans_E_AMS_Kyoto_run3_MTE!O225</f>
        <v>0</v>
      </c>
      <c r="L38" s="711">
        <f>Bilans_E_AMS_Kyoto_run3_MTE!P225</f>
        <v>4.8413821640415255</v>
      </c>
      <c r="M38" s="711">
        <f>Bilans_E_AMS_Kyoto_run3_MTE!Q225</f>
        <v>0</v>
      </c>
      <c r="N38" s="711">
        <f>Bilans_E_AMS_Kyoto_run3_MTE!R225</f>
        <v>2.7934691016396722</v>
      </c>
      <c r="O38" s="711">
        <f>Bilans_E_AMS_Kyoto_run3_MTE!S225</f>
        <v>0.1191479809817647</v>
      </c>
      <c r="P38" s="711">
        <f>Bilans_E_AMS_Kyoto_run3_MTE!T225+Bilans_E_AMS_Kyoto_run3_MTE!U225</f>
        <v>0.25</v>
      </c>
      <c r="Q38" s="711">
        <f>Bilans_E_AMS_Kyoto_run3_MTE!V225</f>
        <v>0.36066131262685786</v>
      </c>
      <c r="R38" s="711">
        <f>Bilans_E_AMS_Kyoto_run3_MTE!W225</f>
        <v>8.2175953615538209</v>
      </c>
      <c r="S38" s="711">
        <f>Bilans_E_AMS_Kyoto_run3_MTE!X225</f>
        <v>0</v>
      </c>
      <c r="T38" s="711">
        <f>Bilans_E_AMS_Kyoto_run3_MTE!Y225</f>
        <v>0.10122598806891285</v>
      </c>
      <c r="U38" s="711">
        <f>Bilans_E_AMS_Kyoto_run3_MTE!Z225</f>
        <v>54.209652766052798</v>
      </c>
      <c r="V38" s="701"/>
      <c r="W38" s="701"/>
    </row>
    <row r="39" spans="1:23" x14ac:dyDescent="0.25">
      <c r="A39" s="701" t="s">
        <v>512</v>
      </c>
      <c r="B39" s="701"/>
      <c r="C39" s="717" t="s">
        <v>354</v>
      </c>
      <c r="D39" s="711">
        <f>Bilans_E_AMS_Kyoto_run3_MTE!H226</f>
        <v>0</v>
      </c>
      <c r="E39" s="711">
        <f>Bilans_E_AMS_Kyoto_run3_MTE!I226</f>
        <v>0</v>
      </c>
      <c r="F39" s="711">
        <f>Bilans_E_AMS_Kyoto_run3_MTE!J226</f>
        <v>0</v>
      </c>
      <c r="G39" s="711">
        <f>Bilans_E_AMS_Kyoto_run3_MTE!K226</f>
        <v>0</v>
      </c>
      <c r="H39" s="711">
        <f>Bilans_E_AMS_Kyoto_run3_MTE!L226</f>
        <v>0</v>
      </c>
      <c r="I39" s="711">
        <f>Bilans_E_AMS_Kyoto_run3_MTE!M226</f>
        <v>0</v>
      </c>
      <c r="J39" s="711">
        <f>Bilans_E_AMS_Kyoto_run3_MTE!N226</f>
        <v>0</v>
      </c>
      <c r="K39" s="711">
        <f>Bilans_E_AMS_Kyoto_run3_MTE!O226</f>
        <v>0</v>
      </c>
      <c r="L39" s="711">
        <f>Bilans_E_AMS_Kyoto_run3_MTE!P226</f>
        <v>0</v>
      </c>
      <c r="M39" s="711">
        <f>Bilans_E_AMS_Kyoto_run3_MTE!Q226</f>
        <v>0</v>
      </c>
      <c r="N39" s="711">
        <f>Bilans_E_AMS_Kyoto_run3_MTE!R226</f>
        <v>0</v>
      </c>
      <c r="O39" s="711">
        <f>Bilans_E_AMS_Kyoto_run3_MTE!S226</f>
        <v>0</v>
      </c>
      <c r="P39" s="711">
        <f>Bilans_E_AMS_Kyoto_run3_MTE!T226+Bilans_E_AMS_Kyoto_run3_MTE!U226</f>
        <v>0</v>
      </c>
      <c r="Q39" s="711">
        <f>Bilans_E_AMS_Kyoto_run3_MTE!V226</f>
        <v>0</v>
      </c>
      <c r="R39" s="711">
        <f>Bilans_E_AMS_Kyoto_run3_MTE!W226</f>
        <v>0</v>
      </c>
      <c r="S39" s="711">
        <f>Bilans_E_AMS_Kyoto_run3_MTE!X226</f>
        <v>0</v>
      </c>
      <c r="T39" s="711">
        <f>Bilans_E_AMS_Kyoto_run3_MTE!Y226</f>
        <v>0</v>
      </c>
      <c r="U39" s="711">
        <f>Bilans_E_AMS_Kyoto_run3_MTE!Z226</f>
        <v>0</v>
      </c>
      <c r="V39" s="701"/>
      <c r="W39" s="701"/>
    </row>
    <row r="40" spans="1:23" x14ac:dyDescent="0.25">
      <c r="A40" s="701" t="s">
        <v>513</v>
      </c>
      <c r="B40" s="701"/>
      <c r="C40" s="713" t="s">
        <v>83</v>
      </c>
      <c r="D40" s="714">
        <f>Bilans_E_AMS_Kyoto_run3_MTE!H227</f>
        <v>4.8925078124999999</v>
      </c>
      <c r="E40" s="714">
        <f>Bilans_E_AMS_Kyoto_run3_MTE!I227</f>
        <v>0</v>
      </c>
      <c r="F40" s="714">
        <f>Bilans_E_AMS_Kyoto_run3_MTE!J227</f>
        <v>527.7892778388175</v>
      </c>
      <c r="G40" s="714">
        <f>Bilans_E_AMS_Kyoto_run3_MTE!K227</f>
        <v>0</v>
      </c>
      <c r="H40" s="714">
        <f>Bilans_E_AMS_Kyoto_run3_MTE!L227</f>
        <v>270.27658348533112</v>
      </c>
      <c r="I40" s="714">
        <f>Bilans_E_AMS_Kyoto_run3_MTE!M227</f>
        <v>0</v>
      </c>
      <c r="J40" s="714">
        <f>Bilans_E_AMS_Kyoto_run3_MTE!N227</f>
        <v>0</v>
      </c>
      <c r="K40" s="714">
        <f>Bilans_E_AMS_Kyoto_run3_MTE!O227</f>
        <v>0</v>
      </c>
      <c r="L40" s="714">
        <f>Bilans_E_AMS_Kyoto_run3_MTE!P227</f>
        <v>105.66239310154954</v>
      </c>
      <c r="M40" s="714">
        <f>Bilans_E_AMS_Kyoto_run3_MTE!Q227</f>
        <v>6.1285070662635537</v>
      </c>
      <c r="N40" s="714">
        <f>Bilans_E_AMS_Kyoto_run3_MTE!R227</f>
        <v>40.384890069361184</v>
      </c>
      <c r="O40" s="714">
        <f>Bilans_E_AMS_Kyoto_run3_MTE!S227</f>
        <v>14.248623824483609</v>
      </c>
      <c r="P40" s="714">
        <f>Bilans_E_AMS_Kyoto_run3_MTE!T227+Bilans_E_AMS_Kyoto_run3_MTE!U227</f>
        <v>81.343113756200779</v>
      </c>
      <c r="Q40" s="714">
        <f>Bilans_E_AMS_Kyoto_run3_MTE!V227</f>
        <v>7.5285718590413762</v>
      </c>
      <c r="R40" s="714">
        <f>Bilans_E_AMS_Kyoto_run3_MTE!W227</f>
        <v>427.39431924639592</v>
      </c>
      <c r="S40" s="714">
        <f>Bilans_E_AMS_Kyoto_run3_MTE!X227</f>
        <v>52.41295987307214</v>
      </c>
      <c r="T40" s="714">
        <f>Bilans_E_AMS_Kyoto_run3_MTE!Y227</f>
        <v>0.23802925650153006</v>
      </c>
      <c r="U40" s="714">
        <f>Bilans_E_AMS_Kyoto_run3_MTE!Z227</f>
        <v>1538.2997771895184</v>
      </c>
      <c r="V40" s="701"/>
      <c r="W40" s="701"/>
    </row>
    <row r="41" spans="1:23" x14ac:dyDescent="0.25">
      <c r="A41" s="701" t="s">
        <v>514</v>
      </c>
      <c r="B41" s="701"/>
      <c r="C41" s="710" t="s">
        <v>84</v>
      </c>
      <c r="D41" s="711">
        <f>Bilans_E_AMS_Kyoto_run3_MTE!H228</f>
        <v>0</v>
      </c>
      <c r="E41" s="711">
        <f>Bilans_E_AMS_Kyoto_run3_MTE!I228</f>
        <v>0</v>
      </c>
      <c r="F41" s="711">
        <f>Bilans_E_AMS_Kyoto_run3_MTE!J228</f>
        <v>114.54386945674393</v>
      </c>
      <c r="G41" s="711">
        <f>Bilans_E_AMS_Kyoto_run3_MTE!K228</f>
        <v>0</v>
      </c>
      <c r="H41" s="711">
        <f>Bilans_E_AMS_Kyoto_run3_MTE!L228</f>
        <v>13.300999650365602</v>
      </c>
      <c r="I41" s="711">
        <f>Bilans_E_AMS_Kyoto_run3_MTE!M228</f>
        <v>0</v>
      </c>
      <c r="J41" s="711">
        <f>Bilans_E_AMS_Kyoto_run3_MTE!N228</f>
        <v>0</v>
      </c>
      <c r="K41" s="711">
        <f>Bilans_E_AMS_Kyoto_run3_MTE!O228</f>
        <v>0</v>
      </c>
      <c r="L41" s="711">
        <f>Bilans_E_AMS_Kyoto_run3_MTE!P228</f>
        <v>4.9614085936159999E-2</v>
      </c>
      <c r="M41" s="711">
        <f>Bilans_E_AMS_Kyoto_run3_MTE!Q228</f>
        <v>0</v>
      </c>
      <c r="N41" s="711">
        <f>Bilans_E_AMS_Kyoto_run3_MTE!R228</f>
        <v>8.8573866734579565E-2</v>
      </c>
      <c r="O41" s="711">
        <f>Bilans_E_AMS_Kyoto_run3_MTE!S228</f>
        <v>0</v>
      </c>
      <c r="P41" s="711">
        <f>Bilans_E_AMS_Kyoto_run3_MTE!T228+Bilans_E_AMS_Kyoto_run3_MTE!U228</f>
        <v>0</v>
      </c>
      <c r="Q41" s="711">
        <f>Bilans_E_AMS_Kyoto_run3_MTE!V228</f>
        <v>0</v>
      </c>
      <c r="R41" s="711">
        <f>Bilans_E_AMS_Kyoto_run3_MTE!W228</f>
        <v>0</v>
      </c>
      <c r="S41" s="711">
        <f>Bilans_E_AMS_Kyoto_run3_MTE!X228</f>
        <v>0</v>
      </c>
      <c r="T41" s="711">
        <f>Bilans_E_AMS_Kyoto_run3_MTE!Y228</f>
        <v>0</v>
      </c>
      <c r="U41" s="711">
        <f>Bilans_E_AMS_Kyoto_run3_MTE!Z228</f>
        <v>127.98305705978026</v>
      </c>
      <c r="V41" s="701"/>
      <c r="W41" s="701"/>
    </row>
    <row r="42" spans="1:23" x14ac:dyDescent="0.25">
      <c r="A42" s="701" t="s">
        <v>515</v>
      </c>
      <c r="B42" s="701"/>
      <c r="C42" s="713" t="s">
        <v>85</v>
      </c>
      <c r="D42" s="714">
        <f>Bilans_E_AMS_Kyoto_run3_MTE!H229</f>
        <v>4.8925078124999999</v>
      </c>
      <c r="E42" s="714">
        <f>Bilans_E_AMS_Kyoto_run3_MTE!I229</f>
        <v>0</v>
      </c>
      <c r="F42" s="714">
        <f>Bilans_E_AMS_Kyoto_run3_MTE!J229</f>
        <v>642.33314729556139</v>
      </c>
      <c r="G42" s="714">
        <f>Bilans_E_AMS_Kyoto_run3_MTE!K229</f>
        <v>0</v>
      </c>
      <c r="H42" s="714">
        <f>Bilans_E_AMS_Kyoto_run3_MTE!L229</f>
        <v>283.57758313569673</v>
      </c>
      <c r="I42" s="714">
        <f>Bilans_E_AMS_Kyoto_run3_MTE!M229</f>
        <v>0</v>
      </c>
      <c r="J42" s="714">
        <f>Bilans_E_AMS_Kyoto_run3_MTE!N229</f>
        <v>0</v>
      </c>
      <c r="K42" s="714">
        <f>Bilans_E_AMS_Kyoto_run3_MTE!O229</f>
        <v>0</v>
      </c>
      <c r="L42" s="714">
        <f>Bilans_E_AMS_Kyoto_run3_MTE!P229</f>
        <v>105.7120071874857</v>
      </c>
      <c r="M42" s="714">
        <f>Bilans_E_AMS_Kyoto_run3_MTE!Q229</f>
        <v>6.1285070662635537</v>
      </c>
      <c r="N42" s="714">
        <f>Bilans_E_AMS_Kyoto_run3_MTE!R229</f>
        <v>40.473463936095762</v>
      </c>
      <c r="O42" s="714">
        <f>Bilans_E_AMS_Kyoto_run3_MTE!S229</f>
        <v>14.248623824483609</v>
      </c>
      <c r="P42" s="714">
        <f>Bilans_E_AMS_Kyoto_run3_MTE!T229+Bilans_E_AMS_Kyoto_run3_MTE!U229</f>
        <v>81.343113756200779</v>
      </c>
      <c r="Q42" s="714">
        <f>Bilans_E_AMS_Kyoto_run3_MTE!V229</f>
        <v>7.5285718590413762</v>
      </c>
      <c r="R42" s="714">
        <f>Bilans_E_AMS_Kyoto_run3_MTE!W229</f>
        <v>427.39431924639592</v>
      </c>
      <c r="S42" s="714">
        <f>Bilans_E_AMS_Kyoto_run3_MTE!X229</f>
        <v>52.41295987307214</v>
      </c>
      <c r="T42" s="714">
        <f>Bilans_E_AMS_Kyoto_run3_MTE!Y229</f>
        <v>0.23802925650153006</v>
      </c>
      <c r="U42" s="714">
        <f>Bilans_E_AMS_Kyoto_run3_MTE!Z229</f>
        <v>1666.2828342492987</v>
      </c>
      <c r="V42" s="701"/>
      <c r="W42" s="701"/>
    </row>
    <row r="43" spans="1:23" x14ac:dyDescent="0.25">
      <c r="A43" s="701"/>
      <c r="B43" s="701"/>
      <c r="C43" s="701"/>
      <c r="D43" s="701">
        <f>Bilans_E_AMS_Kyoto_run3_MTE!H230</f>
        <v>0</v>
      </c>
      <c r="E43" s="701">
        <f>Bilans_E_AMS_Kyoto_run3_MTE!I230</f>
        <v>0</v>
      </c>
      <c r="F43" s="701">
        <f>Bilans_E_AMS_Kyoto_run3_MTE!J230</f>
        <v>0</v>
      </c>
      <c r="G43" s="701">
        <f>Bilans_E_AMS_Kyoto_run3_MTE!K230</f>
        <v>0</v>
      </c>
      <c r="H43" s="701">
        <f>Bilans_E_AMS_Kyoto_run3_MTE!L230</f>
        <v>0</v>
      </c>
      <c r="I43" s="701">
        <f>Bilans_E_AMS_Kyoto_run3_MTE!M230</f>
        <v>0</v>
      </c>
      <c r="J43" s="701">
        <f>Bilans_E_AMS_Kyoto_run3_MTE!N230</f>
        <v>0</v>
      </c>
      <c r="K43" s="701">
        <f>Bilans_E_AMS_Kyoto_run3_MTE!O230</f>
        <v>0</v>
      </c>
      <c r="L43" s="701">
        <f>Bilans_E_AMS_Kyoto_run3_MTE!P230</f>
        <v>0</v>
      </c>
      <c r="M43" s="701">
        <f>Bilans_E_AMS_Kyoto_run3_MTE!Q230</f>
        <v>0</v>
      </c>
      <c r="N43" s="701">
        <f>Bilans_E_AMS_Kyoto_run3_MTE!R230</f>
        <v>0</v>
      </c>
      <c r="O43" s="701">
        <f>Bilans_E_AMS_Kyoto_run3_MTE!S230</f>
        <v>-3.5628409509486869E-2</v>
      </c>
      <c r="P43" s="701">
        <f>Bilans_E_AMS_Kyoto_run3_MTE!T230+Bilans_E_AMS_Kyoto_run3_MTE!U230</f>
        <v>0</v>
      </c>
      <c r="Q43" s="701">
        <f>Bilans_E_AMS_Kyoto_run3_MTE!V230</f>
        <v>0</v>
      </c>
      <c r="R43" s="701">
        <f>Bilans_E_AMS_Kyoto_run3_MTE!W230</f>
        <v>0</v>
      </c>
      <c r="S43" s="701">
        <f>Bilans_E_AMS_Kyoto_run3_MTE!X230</f>
        <v>-2.8381138683641893E-5</v>
      </c>
      <c r="T43" s="701">
        <f>Bilans_E_AMS_Kyoto_run3_MTE!Y230</f>
        <v>0</v>
      </c>
      <c r="U43" s="701">
        <f>Bilans_E_AMS_Kyoto_run3_MTE!Z230</f>
        <v>-3.565679064786309E-2</v>
      </c>
      <c r="V43" s="701"/>
      <c r="W43" s="701"/>
    </row>
    <row r="44" spans="1:23" x14ac:dyDescent="0.25">
      <c r="A44" s="701"/>
      <c r="B44" s="701"/>
      <c r="C44" s="701"/>
      <c r="D44" s="701"/>
      <c r="E44" s="701"/>
      <c r="F44" s="701"/>
      <c r="G44" s="701"/>
      <c r="H44" s="701"/>
      <c r="I44" s="701"/>
      <c r="J44" s="701"/>
      <c r="K44" s="701"/>
      <c r="L44" s="701"/>
      <c r="M44" s="701"/>
      <c r="N44" s="701"/>
      <c r="O44" s="701"/>
      <c r="P44" s="701"/>
      <c r="Q44" s="701"/>
      <c r="R44" s="701"/>
      <c r="S44" s="701"/>
      <c r="T44" s="701"/>
      <c r="U44" s="701"/>
      <c r="V44" s="701"/>
      <c r="W44" s="701"/>
    </row>
    <row r="45" spans="1:23" x14ac:dyDescent="0.25">
      <c r="A45" s="707"/>
      <c r="B45" s="707"/>
      <c r="C45" s="708" t="s">
        <v>356</v>
      </c>
      <c r="D45" s="707"/>
      <c r="E45" s="707"/>
      <c r="F45" s="707"/>
      <c r="G45" s="707"/>
      <c r="H45" s="707"/>
      <c r="I45" s="707"/>
      <c r="J45" s="707"/>
      <c r="K45" s="707"/>
      <c r="L45" s="707"/>
      <c r="M45" s="707"/>
      <c r="N45" s="707"/>
      <c r="O45" s="707"/>
      <c r="P45" s="707"/>
      <c r="Q45" s="707"/>
      <c r="R45" s="707"/>
      <c r="S45" s="707"/>
      <c r="T45" s="707"/>
      <c r="U45" s="707"/>
      <c r="V45" s="707"/>
      <c r="W45" s="707"/>
    </row>
    <row r="46" spans="1:23" x14ac:dyDescent="0.25">
      <c r="A46" s="701"/>
      <c r="B46" s="701"/>
      <c r="C46" s="701"/>
      <c r="D46" s="701"/>
      <c r="E46" s="701"/>
      <c r="F46" s="701"/>
      <c r="G46" s="701"/>
      <c r="H46" s="701"/>
      <c r="I46" s="701"/>
      <c r="J46" s="701"/>
      <c r="K46" s="701"/>
      <c r="L46" s="701"/>
      <c r="M46" s="701"/>
      <c r="N46" s="701"/>
      <c r="O46" s="701"/>
      <c r="P46" s="701"/>
      <c r="Q46" s="701"/>
      <c r="R46" s="701"/>
      <c r="S46" s="701"/>
      <c r="T46" s="701"/>
      <c r="U46" s="701"/>
      <c r="V46" s="701"/>
      <c r="W46" s="701"/>
    </row>
    <row r="47" spans="1:23" x14ac:dyDescent="0.25">
      <c r="A47" s="701"/>
      <c r="B47" s="701"/>
      <c r="C47" s="780" t="s">
        <v>128</v>
      </c>
      <c r="D47" s="775" t="s">
        <v>42</v>
      </c>
      <c r="E47" s="775" t="s">
        <v>52</v>
      </c>
      <c r="F47" s="775" t="s">
        <v>53</v>
      </c>
      <c r="G47" s="775" t="s">
        <v>482</v>
      </c>
      <c r="H47" s="775" t="s">
        <v>32</v>
      </c>
      <c r="I47" s="775" t="s">
        <v>483</v>
      </c>
      <c r="J47" s="775" t="s">
        <v>20</v>
      </c>
      <c r="K47" s="775" t="s">
        <v>55</v>
      </c>
      <c r="L47" s="777" t="s">
        <v>56</v>
      </c>
      <c r="M47" s="778"/>
      <c r="N47" s="778"/>
      <c r="O47" s="778"/>
      <c r="P47" s="778"/>
      <c r="Q47" s="779"/>
      <c r="R47" s="775" t="s">
        <v>57</v>
      </c>
      <c r="S47" s="775" t="s">
        <v>58</v>
      </c>
      <c r="T47" s="775" t="s">
        <v>31</v>
      </c>
      <c r="U47" s="775" t="s">
        <v>10</v>
      </c>
      <c r="V47" s="701"/>
      <c r="W47" s="701"/>
    </row>
    <row r="48" spans="1:23" ht="67.5" x14ac:dyDescent="0.25">
      <c r="A48" s="701" t="s">
        <v>486</v>
      </c>
      <c r="B48" s="701"/>
      <c r="C48" s="781"/>
      <c r="D48" s="776"/>
      <c r="E48" s="776"/>
      <c r="F48" s="776"/>
      <c r="G48" s="776"/>
      <c r="H48" s="776"/>
      <c r="I48" s="776"/>
      <c r="J48" s="776"/>
      <c r="K48" s="776"/>
      <c r="L48" s="709" t="s">
        <v>335</v>
      </c>
      <c r="M48" s="709" t="s">
        <v>40</v>
      </c>
      <c r="N48" s="709" t="s">
        <v>343</v>
      </c>
      <c r="O48" s="709" t="s">
        <v>344</v>
      </c>
      <c r="P48" s="719" t="s">
        <v>610</v>
      </c>
      <c r="Q48" s="709" t="s">
        <v>346</v>
      </c>
      <c r="R48" s="776"/>
      <c r="S48" s="776"/>
      <c r="T48" s="776"/>
      <c r="U48" s="776"/>
      <c r="V48" s="701"/>
      <c r="W48" s="701"/>
    </row>
    <row r="49" spans="1:23" x14ac:dyDescent="0.25">
      <c r="A49" s="701" t="s">
        <v>487</v>
      </c>
      <c r="B49" s="701"/>
      <c r="C49" s="710" t="s">
        <v>59</v>
      </c>
      <c r="D49" s="711">
        <f>Bilans_E_AMS_Kyoto_run3_MTE!H236</f>
        <v>0</v>
      </c>
      <c r="E49" s="711">
        <f>Bilans_E_AMS_Kyoto_run3_MTE!I236</f>
        <v>9.5366</v>
      </c>
      <c r="F49" s="711">
        <f>Bilans_E_AMS_Kyoto_run3_MTE!J236</f>
        <v>0</v>
      </c>
      <c r="G49" s="711">
        <f>Bilans_E_AMS_Kyoto_run3_MTE!K236</f>
        <v>0</v>
      </c>
      <c r="H49" s="711">
        <f>Bilans_E_AMS_Kyoto_run3_MTE!L236</f>
        <v>0.19771000000000002</v>
      </c>
      <c r="I49" s="711">
        <f>Bilans_E_AMS_Kyoto_run3_MTE!M236</f>
        <v>0</v>
      </c>
      <c r="J49" s="711">
        <f>Bilans_E_AMS_Kyoto_run3_MTE!N236</f>
        <v>1175.008</v>
      </c>
      <c r="K49" s="711">
        <f>Bilans_E_AMS_Kyoto_run3_MTE!O236</f>
        <v>187.71649074759767</v>
      </c>
      <c r="L49" s="711">
        <f>Bilans_E_AMS_Kyoto_run3_MTE!P236</f>
        <v>270.72826025037881</v>
      </c>
      <c r="M49" s="711">
        <f>Bilans_E_AMS_Kyoto_run3_MTE!Q236</f>
        <v>45.897084258145583</v>
      </c>
      <c r="N49" s="711">
        <f>Bilans_E_AMS_Kyoto_run3_MTE!R236</f>
        <v>0</v>
      </c>
      <c r="O49" s="711">
        <f>Bilans_E_AMS_Kyoto_run3_MTE!S236</f>
        <v>0</v>
      </c>
      <c r="P49" s="711">
        <f>Bilans_E_AMS_Kyoto_run3_MTE!T236+Bilans_E_AMS_Kyoto_run3_MTE!U236</f>
        <v>112.54177827352326</v>
      </c>
      <c r="Q49" s="711">
        <f>Bilans_E_AMS_Kyoto_run3_MTE!V236</f>
        <v>18.694423964001231</v>
      </c>
      <c r="R49" s="711">
        <f>Bilans_E_AMS_Kyoto_run3_MTE!W236</f>
        <v>0</v>
      </c>
      <c r="S49" s="711">
        <f>Bilans_E_AMS_Kyoto_run3_MTE!X236</f>
        <v>0</v>
      </c>
      <c r="T49" s="711">
        <f>Bilans_E_AMS_Kyoto_run3_MTE!Y236</f>
        <v>0</v>
      </c>
      <c r="U49" s="711">
        <f>Bilans_E_AMS_Kyoto_run3_MTE!Z236</f>
        <v>1820.3203474936468</v>
      </c>
      <c r="V49" s="701"/>
      <c r="W49" s="701"/>
    </row>
    <row r="50" spans="1:23" x14ac:dyDescent="0.25">
      <c r="A50" s="701" t="s">
        <v>488</v>
      </c>
      <c r="B50" s="701"/>
      <c r="C50" s="710" t="s">
        <v>60</v>
      </c>
      <c r="D50" s="712">
        <f>Bilans_E_AMS_Kyoto_run3_MTE!H237</f>
        <v>31.56033221100661</v>
      </c>
      <c r="E50" s="712">
        <f>Bilans_E_AMS_Kyoto_run3_MTE!I237</f>
        <v>423.65248565453913</v>
      </c>
      <c r="F50" s="712">
        <f>Bilans_E_AMS_Kyoto_run3_MTE!J237</f>
        <v>228.49107773749739</v>
      </c>
      <c r="G50" s="712">
        <f>Bilans_E_AMS_Kyoto_run3_MTE!K237</f>
        <v>0</v>
      </c>
      <c r="H50" s="712">
        <f>Bilans_E_AMS_Kyoto_run3_MTE!L237</f>
        <v>310.81966457442218</v>
      </c>
      <c r="I50" s="712">
        <f>Bilans_E_AMS_Kyoto_run3_MTE!M237</f>
        <v>0</v>
      </c>
      <c r="J50" s="712">
        <f>Bilans_E_AMS_Kyoto_run3_MTE!N237</f>
        <v>0</v>
      </c>
      <c r="K50" s="712">
        <f>Bilans_E_AMS_Kyoto_run3_MTE!O237</f>
        <v>0</v>
      </c>
      <c r="L50" s="712">
        <f>Bilans_E_AMS_Kyoto_run3_MTE!P237</f>
        <v>0</v>
      </c>
      <c r="M50" s="712">
        <f>Bilans_E_AMS_Kyoto_run3_MTE!Q237</f>
        <v>0</v>
      </c>
      <c r="N50" s="712">
        <f>Bilans_E_AMS_Kyoto_run3_MTE!R237</f>
        <v>5.9340151643868637</v>
      </c>
      <c r="O50" s="712">
        <f>Bilans_E_AMS_Kyoto_run3_MTE!S237</f>
        <v>10.245803282523816</v>
      </c>
      <c r="P50" s="712">
        <f>Bilans_E_AMS_Kyoto_run3_MTE!T237+Bilans_E_AMS_Kyoto_run3_MTE!U237</f>
        <v>0</v>
      </c>
      <c r="Q50" s="712">
        <f>Bilans_E_AMS_Kyoto_run3_MTE!V237</f>
        <v>0</v>
      </c>
      <c r="R50" s="712">
        <f>Bilans_E_AMS_Kyoto_run3_MTE!W237</f>
        <v>0</v>
      </c>
      <c r="S50" s="712">
        <f>Bilans_E_AMS_Kyoto_run3_MTE!X237</f>
        <v>0</v>
      </c>
      <c r="T50" s="712">
        <f>Bilans_E_AMS_Kyoto_run3_MTE!Y237</f>
        <v>0</v>
      </c>
      <c r="U50" s="712">
        <f>Bilans_E_AMS_Kyoto_run3_MTE!Z237</f>
        <v>1010.703378624376</v>
      </c>
      <c r="V50" s="701"/>
      <c r="W50" s="701"/>
    </row>
    <row r="51" spans="1:23" x14ac:dyDescent="0.25">
      <c r="A51" s="701" t="s">
        <v>489</v>
      </c>
      <c r="B51" s="701"/>
      <c r="C51" s="710" t="s">
        <v>61</v>
      </c>
      <c r="D51" s="712">
        <f>Bilans_E_AMS_Kyoto_run3_MTE!H238</f>
        <v>0</v>
      </c>
      <c r="E51" s="712">
        <f>Bilans_E_AMS_Kyoto_run3_MTE!I238</f>
        <v>0</v>
      </c>
      <c r="F51" s="712">
        <f>Bilans_E_AMS_Kyoto_run3_MTE!J238</f>
        <v>0</v>
      </c>
      <c r="G51" s="712">
        <f>Bilans_E_AMS_Kyoto_run3_MTE!K238</f>
        <v>-0.15000000000000002</v>
      </c>
      <c r="H51" s="712">
        <f>Bilans_E_AMS_Kyoto_run3_MTE!L238</f>
        <v>0</v>
      </c>
      <c r="I51" s="712">
        <f>Bilans_E_AMS_Kyoto_run3_MTE!M238</f>
        <v>0</v>
      </c>
      <c r="J51" s="712">
        <f>Bilans_E_AMS_Kyoto_run3_MTE!N238</f>
        <v>0</v>
      </c>
      <c r="K51" s="712">
        <f>Bilans_E_AMS_Kyoto_run3_MTE!O238</f>
        <v>0</v>
      </c>
      <c r="L51" s="712">
        <f>Bilans_E_AMS_Kyoto_run3_MTE!P238</f>
        <v>-1.1067692486901137</v>
      </c>
      <c r="M51" s="712">
        <f>Bilans_E_AMS_Kyoto_run3_MTE!Q238</f>
        <v>0</v>
      </c>
      <c r="N51" s="712">
        <f>Bilans_E_AMS_Kyoto_run3_MTE!R238</f>
        <v>0</v>
      </c>
      <c r="O51" s="712">
        <f>Bilans_E_AMS_Kyoto_run3_MTE!S238</f>
        <v>0</v>
      </c>
      <c r="P51" s="712">
        <f>Bilans_E_AMS_Kyoto_run3_MTE!T238+Bilans_E_AMS_Kyoto_run3_MTE!U238</f>
        <v>0</v>
      </c>
      <c r="Q51" s="712">
        <f>Bilans_E_AMS_Kyoto_run3_MTE!V238</f>
        <v>0</v>
      </c>
      <c r="R51" s="712">
        <f>Bilans_E_AMS_Kyoto_run3_MTE!W238</f>
        <v>-74.597074661503257</v>
      </c>
      <c r="S51" s="712">
        <f>Bilans_E_AMS_Kyoto_run3_MTE!X238</f>
        <v>0</v>
      </c>
      <c r="T51" s="712">
        <f>Bilans_E_AMS_Kyoto_run3_MTE!Y238</f>
        <v>0</v>
      </c>
      <c r="U51" s="712">
        <f>Bilans_E_AMS_Kyoto_run3_MTE!Z238</f>
        <v>-75.853843910193376</v>
      </c>
      <c r="V51" s="701"/>
      <c r="W51" s="701"/>
    </row>
    <row r="52" spans="1:23" x14ac:dyDescent="0.25">
      <c r="A52" s="701" t="s">
        <v>490</v>
      </c>
      <c r="B52" s="701"/>
      <c r="C52" s="710" t="s">
        <v>62</v>
      </c>
      <c r="D52" s="711">
        <f>Bilans_E_AMS_Kyoto_run3_MTE!H239</f>
        <v>0</v>
      </c>
      <c r="E52" s="711">
        <f>Bilans_E_AMS_Kyoto_run3_MTE!I239</f>
        <v>0</v>
      </c>
      <c r="F52" s="711">
        <f>Bilans_E_AMS_Kyoto_run3_MTE!J239</f>
        <v>-9.5738305718287435</v>
      </c>
      <c r="G52" s="711">
        <f>Bilans_E_AMS_Kyoto_run3_MTE!K239</f>
        <v>-0.13812944417760184</v>
      </c>
      <c r="H52" s="711">
        <f>Bilans_E_AMS_Kyoto_run3_MTE!L239</f>
        <v>-1.5870151763057716</v>
      </c>
      <c r="I52" s="711">
        <f>Bilans_E_AMS_Kyoto_run3_MTE!M239</f>
        <v>-0.12645508616383627</v>
      </c>
      <c r="J52" s="711">
        <f>Bilans_E_AMS_Kyoto_run3_MTE!N239</f>
        <v>0</v>
      </c>
      <c r="K52" s="711">
        <f>Bilans_E_AMS_Kyoto_run3_MTE!O239</f>
        <v>0</v>
      </c>
      <c r="L52" s="711">
        <f>Bilans_E_AMS_Kyoto_run3_MTE!P239</f>
        <v>0</v>
      </c>
      <c r="M52" s="711">
        <f>Bilans_E_AMS_Kyoto_run3_MTE!Q239</f>
        <v>0</v>
      </c>
      <c r="N52" s="711">
        <f>Bilans_E_AMS_Kyoto_run3_MTE!R239</f>
        <v>0</v>
      </c>
      <c r="O52" s="711">
        <f>Bilans_E_AMS_Kyoto_run3_MTE!S239</f>
        <v>-0.4604322926990882</v>
      </c>
      <c r="P52" s="711">
        <f>Bilans_E_AMS_Kyoto_run3_MTE!T239+Bilans_E_AMS_Kyoto_run3_MTE!U239</f>
        <v>0</v>
      </c>
      <c r="Q52" s="711">
        <f>Bilans_E_AMS_Kyoto_run3_MTE!V239</f>
        <v>0</v>
      </c>
      <c r="R52" s="711">
        <f>Bilans_E_AMS_Kyoto_run3_MTE!W239</f>
        <v>0</v>
      </c>
      <c r="S52" s="711">
        <f>Bilans_E_AMS_Kyoto_run3_MTE!X239</f>
        <v>0</v>
      </c>
      <c r="T52" s="711">
        <f>Bilans_E_AMS_Kyoto_run3_MTE!Y239</f>
        <v>-5.1110724267898235E-2</v>
      </c>
      <c r="U52" s="711">
        <f>Bilans_E_AMS_Kyoto_run3_MTE!Z239</f>
        <v>-11.936973295442941</v>
      </c>
      <c r="V52" s="701"/>
      <c r="W52" s="701"/>
    </row>
    <row r="53" spans="1:23" x14ac:dyDescent="0.25">
      <c r="A53" s="701" t="s">
        <v>491</v>
      </c>
      <c r="B53" s="701"/>
      <c r="C53" s="710" t="s">
        <v>63</v>
      </c>
      <c r="D53" s="711">
        <f>Bilans_E_AMS_Kyoto_run3_MTE!H240</f>
        <v>0</v>
      </c>
      <c r="E53" s="711">
        <f>Bilans_E_AMS_Kyoto_run3_MTE!I240</f>
        <v>0</v>
      </c>
      <c r="F53" s="711">
        <f>Bilans_E_AMS_Kyoto_run3_MTE!J240</f>
        <v>-70</v>
      </c>
      <c r="G53" s="711">
        <f>Bilans_E_AMS_Kyoto_run3_MTE!K240</f>
        <v>-0.6</v>
      </c>
      <c r="H53" s="711">
        <f>Bilans_E_AMS_Kyoto_run3_MTE!L240</f>
        <v>0</v>
      </c>
      <c r="I53" s="711">
        <f>Bilans_E_AMS_Kyoto_run3_MTE!M240</f>
        <v>0</v>
      </c>
      <c r="J53" s="711">
        <f>Bilans_E_AMS_Kyoto_run3_MTE!N240</f>
        <v>0</v>
      </c>
      <c r="K53" s="711">
        <f>Bilans_E_AMS_Kyoto_run3_MTE!O240</f>
        <v>0</v>
      </c>
      <c r="L53" s="711">
        <f>Bilans_E_AMS_Kyoto_run3_MTE!P240</f>
        <v>0</v>
      </c>
      <c r="M53" s="711">
        <f>Bilans_E_AMS_Kyoto_run3_MTE!Q240</f>
        <v>0</v>
      </c>
      <c r="N53" s="711">
        <f>Bilans_E_AMS_Kyoto_run3_MTE!R240</f>
        <v>-2.8</v>
      </c>
      <c r="O53" s="711">
        <f>Bilans_E_AMS_Kyoto_run3_MTE!S240</f>
        <v>0</v>
      </c>
      <c r="P53" s="711">
        <f>Bilans_E_AMS_Kyoto_run3_MTE!T240+Bilans_E_AMS_Kyoto_run3_MTE!U240</f>
        <v>0</v>
      </c>
      <c r="Q53" s="711">
        <f>Bilans_E_AMS_Kyoto_run3_MTE!V240</f>
        <v>0</v>
      </c>
      <c r="R53" s="711">
        <f>Bilans_E_AMS_Kyoto_run3_MTE!W240</f>
        <v>0</v>
      </c>
      <c r="S53" s="711">
        <f>Bilans_E_AMS_Kyoto_run3_MTE!X240</f>
        <v>0</v>
      </c>
      <c r="T53" s="711">
        <f>Bilans_E_AMS_Kyoto_run3_MTE!Y240</f>
        <v>0</v>
      </c>
      <c r="U53" s="711">
        <f>Bilans_E_AMS_Kyoto_run3_MTE!Z240</f>
        <v>-73.399999999999991</v>
      </c>
      <c r="V53" s="701"/>
      <c r="W53" s="701"/>
    </row>
    <row r="54" spans="1:23" x14ac:dyDescent="0.25">
      <c r="A54" s="701" t="s">
        <v>492</v>
      </c>
      <c r="B54" s="701"/>
      <c r="C54" s="710" t="s">
        <v>64</v>
      </c>
      <c r="D54" s="712">
        <f>Bilans_E_AMS_Kyoto_run3_MTE!H241</f>
        <v>0</v>
      </c>
      <c r="E54" s="712">
        <f>Bilans_E_AMS_Kyoto_run3_MTE!I241</f>
        <v>0</v>
      </c>
      <c r="F54" s="712">
        <f>Bilans_E_AMS_Kyoto_run3_MTE!J241</f>
        <v>0</v>
      </c>
      <c r="G54" s="712">
        <f>Bilans_E_AMS_Kyoto_run3_MTE!K241</f>
        <v>0</v>
      </c>
      <c r="H54" s="712">
        <f>Bilans_E_AMS_Kyoto_run3_MTE!L241</f>
        <v>0</v>
      </c>
      <c r="I54" s="712">
        <f>Bilans_E_AMS_Kyoto_run3_MTE!M241</f>
        <v>0</v>
      </c>
      <c r="J54" s="712">
        <f>Bilans_E_AMS_Kyoto_run3_MTE!N241</f>
        <v>0</v>
      </c>
      <c r="K54" s="712">
        <f>Bilans_E_AMS_Kyoto_run3_MTE!O241</f>
        <v>0</v>
      </c>
      <c r="L54" s="712">
        <f>Bilans_E_AMS_Kyoto_run3_MTE!P241</f>
        <v>0</v>
      </c>
      <c r="M54" s="712">
        <f>Bilans_E_AMS_Kyoto_run3_MTE!Q241</f>
        <v>0</v>
      </c>
      <c r="N54" s="712">
        <f>Bilans_E_AMS_Kyoto_run3_MTE!R241</f>
        <v>0</v>
      </c>
      <c r="O54" s="712">
        <f>Bilans_E_AMS_Kyoto_run3_MTE!S241</f>
        <v>0</v>
      </c>
      <c r="P54" s="712">
        <f>Bilans_E_AMS_Kyoto_run3_MTE!T241+Bilans_E_AMS_Kyoto_run3_MTE!U241</f>
        <v>0</v>
      </c>
      <c r="Q54" s="712">
        <f>Bilans_E_AMS_Kyoto_run3_MTE!V241</f>
        <v>0</v>
      </c>
      <c r="R54" s="712">
        <f>Bilans_E_AMS_Kyoto_run3_MTE!W241</f>
        <v>0</v>
      </c>
      <c r="S54" s="712">
        <f>Bilans_E_AMS_Kyoto_run3_MTE!X241</f>
        <v>0</v>
      </c>
      <c r="T54" s="712">
        <f>Bilans_E_AMS_Kyoto_run3_MTE!Y241</f>
        <v>0</v>
      </c>
      <c r="U54" s="712">
        <f>Bilans_E_AMS_Kyoto_run3_MTE!Z241</f>
        <v>0</v>
      </c>
      <c r="V54" s="701"/>
      <c r="W54" s="701"/>
    </row>
    <row r="55" spans="1:23" x14ac:dyDescent="0.25">
      <c r="A55" s="701" t="s">
        <v>493</v>
      </c>
      <c r="B55" s="701"/>
      <c r="C55" s="713" t="s">
        <v>65</v>
      </c>
      <c r="D55" s="714">
        <f>Bilans_E_AMS_Kyoto_run3_MTE!H242</f>
        <v>31.56033221100661</v>
      </c>
      <c r="E55" s="714">
        <f>Bilans_E_AMS_Kyoto_run3_MTE!I242</f>
        <v>433.18908565453916</v>
      </c>
      <c r="F55" s="714">
        <f>Bilans_E_AMS_Kyoto_run3_MTE!J242</f>
        <v>148.91724716566864</v>
      </c>
      <c r="G55" s="714">
        <f>Bilans_E_AMS_Kyoto_run3_MTE!K242</f>
        <v>-0.88812944417760187</v>
      </c>
      <c r="H55" s="714">
        <f>Bilans_E_AMS_Kyoto_run3_MTE!L242</f>
        <v>309.43035939811637</v>
      </c>
      <c r="I55" s="714">
        <f>Bilans_E_AMS_Kyoto_run3_MTE!M242</f>
        <v>-0.12645508616383627</v>
      </c>
      <c r="J55" s="714">
        <f>Bilans_E_AMS_Kyoto_run3_MTE!N242</f>
        <v>1175.008</v>
      </c>
      <c r="K55" s="714">
        <f>Bilans_E_AMS_Kyoto_run3_MTE!O242</f>
        <v>187.71649074759767</v>
      </c>
      <c r="L55" s="714">
        <f>Bilans_E_AMS_Kyoto_run3_MTE!P242</f>
        <v>269.6214910016887</v>
      </c>
      <c r="M55" s="714">
        <f>Bilans_E_AMS_Kyoto_run3_MTE!Q242</f>
        <v>45.897084258145583</v>
      </c>
      <c r="N55" s="714">
        <f>Bilans_E_AMS_Kyoto_run3_MTE!R242</f>
        <v>3.1340151643868639</v>
      </c>
      <c r="O55" s="714">
        <f>Bilans_E_AMS_Kyoto_run3_MTE!S242</f>
        <v>9.7853709898247274</v>
      </c>
      <c r="P55" s="714">
        <f>Bilans_E_AMS_Kyoto_run3_MTE!T242+Bilans_E_AMS_Kyoto_run3_MTE!U242</f>
        <v>112.54177827352326</v>
      </c>
      <c r="Q55" s="714">
        <f>Bilans_E_AMS_Kyoto_run3_MTE!V242</f>
        <v>18.694423964001231</v>
      </c>
      <c r="R55" s="714">
        <f>Bilans_E_AMS_Kyoto_run3_MTE!W242</f>
        <v>-74.597074661503257</v>
      </c>
      <c r="S55" s="714">
        <f>Bilans_E_AMS_Kyoto_run3_MTE!X242</f>
        <v>0</v>
      </c>
      <c r="T55" s="714">
        <f>Bilans_E_AMS_Kyoto_run3_MTE!Y242</f>
        <v>-5.1110724267898235E-2</v>
      </c>
      <c r="U55" s="714">
        <f>Bilans_E_AMS_Kyoto_run3_MTE!Z242</f>
        <v>2669.8329089123863</v>
      </c>
      <c r="V55" s="701"/>
      <c r="W55" s="701"/>
    </row>
    <row r="56" spans="1:23" x14ac:dyDescent="0.25">
      <c r="A56" s="701"/>
      <c r="B56" s="701"/>
      <c r="C56" s="715"/>
      <c r="D56" s="716"/>
      <c r="E56" s="716"/>
      <c r="F56" s="716"/>
      <c r="G56" s="716"/>
      <c r="H56" s="716"/>
      <c r="I56" s="716"/>
      <c r="J56" s="716"/>
      <c r="K56" s="716"/>
      <c r="L56" s="716"/>
      <c r="M56" s="716"/>
      <c r="N56" s="716"/>
      <c r="O56" s="716"/>
      <c r="P56" s="716">
        <f>Bilans_E_AMS_Kyoto_run3_MTE!T243+Bilans_E_AMS_Kyoto_run3_MTE!U243</f>
        <v>0</v>
      </c>
      <c r="Q56" s="716"/>
      <c r="R56" s="716"/>
      <c r="S56" s="716"/>
      <c r="T56" s="716"/>
      <c r="U56" s="716"/>
      <c r="V56" s="701"/>
      <c r="W56" s="701"/>
    </row>
    <row r="57" spans="1:23" x14ac:dyDescent="0.25">
      <c r="A57" s="701" t="s">
        <v>494</v>
      </c>
      <c r="B57" s="701"/>
      <c r="C57" s="717" t="s">
        <v>67</v>
      </c>
      <c r="D57" s="711">
        <f>Bilans_E_AMS_Kyoto_run3_MTE!H244</f>
        <v>0</v>
      </c>
      <c r="E57" s="711">
        <f>Bilans_E_AMS_Kyoto_run3_MTE!I244</f>
        <v>0</v>
      </c>
      <c r="F57" s="711">
        <f>Bilans_E_AMS_Kyoto_run3_MTE!J244</f>
        <v>0</v>
      </c>
      <c r="G57" s="711">
        <f>Bilans_E_AMS_Kyoto_run3_MTE!K244</f>
        <v>0</v>
      </c>
      <c r="H57" s="711">
        <f>Bilans_E_AMS_Kyoto_run3_MTE!L244</f>
        <v>0</v>
      </c>
      <c r="I57" s="711">
        <f>Bilans_E_AMS_Kyoto_run3_MTE!M244</f>
        <v>0</v>
      </c>
      <c r="J57" s="711">
        <f>Bilans_E_AMS_Kyoto_run3_MTE!N244</f>
        <v>0</v>
      </c>
      <c r="K57" s="711">
        <f>Bilans_E_AMS_Kyoto_run3_MTE!O244</f>
        <v>0</v>
      </c>
      <c r="L57" s="711">
        <f>Bilans_E_AMS_Kyoto_run3_MTE!P244</f>
        <v>0</v>
      </c>
      <c r="M57" s="711">
        <f>Bilans_E_AMS_Kyoto_run3_MTE!Q244</f>
        <v>0</v>
      </c>
      <c r="N57" s="711">
        <f>Bilans_E_AMS_Kyoto_run3_MTE!R244</f>
        <v>0</v>
      </c>
      <c r="O57" s="711">
        <f>Bilans_E_AMS_Kyoto_run3_MTE!S244</f>
        <v>0</v>
      </c>
      <c r="P57" s="711">
        <f>Bilans_E_AMS_Kyoto_run3_MTE!T244+Bilans_E_AMS_Kyoto_run3_MTE!U244</f>
        <v>0</v>
      </c>
      <c r="Q57" s="711">
        <f>Bilans_E_AMS_Kyoto_run3_MTE!V244</f>
        <v>0</v>
      </c>
      <c r="R57" s="711">
        <f>Bilans_E_AMS_Kyoto_run3_MTE!W244</f>
        <v>0</v>
      </c>
      <c r="S57" s="711">
        <f>Bilans_E_AMS_Kyoto_run3_MTE!X244</f>
        <v>0</v>
      </c>
      <c r="T57" s="711">
        <f>Bilans_E_AMS_Kyoto_run3_MTE!Y244</f>
        <v>0</v>
      </c>
      <c r="U57" s="711">
        <f>Bilans_E_AMS_Kyoto_run3_MTE!Z244</f>
        <v>0</v>
      </c>
      <c r="V57" s="701"/>
      <c r="W57" s="701"/>
    </row>
    <row r="58" spans="1:23" x14ac:dyDescent="0.25">
      <c r="A58" s="701" t="s">
        <v>495</v>
      </c>
      <c r="B58" s="701"/>
      <c r="C58" s="717" t="s">
        <v>347</v>
      </c>
      <c r="D58" s="711">
        <f>Bilans_E_AMS_Kyoto_run3_MTE!H245</f>
        <v>0</v>
      </c>
      <c r="E58" s="711">
        <f>Bilans_E_AMS_Kyoto_run3_MTE!I245</f>
        <v>0</v>
      </c>
      <c r="F58" s="711">
        <f>Bilans_E_AMS_Kyoto_run3_MTE!J245</f>
        <v>1.6370023545014427</v>
      </c>
      <c r="G58" s="711">
        <f>Bilans_E_AMS_Kyoto_run3_MTE!K245</f>
        <v>0</v>
      </c>
      <c r="H58" s="711">
        <f>Bilans_E_AMS_Kyoto_run3_MTE!L245</f>
        <v>52.55573442014758</v>
      </c>
      <c r="I58" s="711">
        <f>Bilans_E_AMS_Kyoto_run3_MTE!M245</f>
        <v>0</v>
      </c>
      <c r="J58" s="711">
        <f>Bilans_E_AMS_Kyoto_run3_MTE!N245</f>
        <v>1175.008</v>
      </c>
      <c r="K58" s="711">
        <f>Bilans_E_AMS_Kyoto_run3_MTE!O245</f>
        <v>187.71649074759767</v>
      </c>
      <c r="L58" s="711">
        <f>Bilans_E_AMS_Kyoto_run3_MTE!P245</f>
        <v>13.303812367551458</v>
      </c>
      <c r="M58" s="711">
        <f>Bilans_E_AMS_Kyoto_run3_MTE!Q245</f>
        <v>6.8324809145411169</v>
      </c>
      <c r="N58" s="711">
        <f>Bilans_E_AMS_Kyoto_run3_MTE!R245</f>
        <v>4.867247129818443</v>
      </c>
      <c r="O58" s="711">
        <f>Bilans_E_AMS_Kyoto_run3_MTE!S245</f>
        <v>11.312131727734517</v>
      </c>
      <c r="P58" s="711">
        <f>Bilans_E_AMS_Kyoto_run3_MTE!T245+Bilans_E_AMS_Kyoto_run3_MTE!U245</f>
        <v>0</v>
      </c>
      <c r="Q58" s="711">
        <f>Bilans_E_AMS_Kyoto_run3_MTE!V245</f>
        <v>0.1274458438995901</v>
      </c>
      <c r="R58" s="711">
        <f>Bilans_E_AMS_Kyoto_run3_MTE!W245</f>
        <v>-623.12460271743248</v>
      </c>
      <c r="S58" s="711">
        <f>Bilans_E_AMS_Kyoto_run3_MTE!X245</f>
        <v>0</v>
      </c>
      <c r="T58" s="711">
        <f>Bilans_E_AMS_Kyoto_run3_MTE!Y245</f>
        <v>0</v>
      </c>
      <c r="U58" s="711">
        <f>Bilans_E_AMS_Kyoto_run3_MTE!Z245</f>
        <v>830.2357427883594</v>
      </c>
      <c r="V58" s="701"/>
      <c r="W58" s="701"/>
    </row>
    <row r="59" spans="1:23" x14ac:dyDescent="0.25">
      <c r="A59" s="701" t="s">
        <v>496</v>
      </c>
      <c r="B59" s="701"/>
      <c r="C59" s="717" t="s">
        <v>348</v>
      </c>
      <c r="D59" s="711">
        <f>Bilans_E_AMS_Kyoto_run3_MTE!H246</f>
        <v>0.13467107819411372</v>
      </c>
      <c r="E59" s="711">
        <f>Bilans_E_AMS_Kyoto_run3_MTE!I246</f>
        <v>0</v>
      </c>
      <c r="F59" s="711">
        <f>Bilans_E_AMS_Kyoto_run3_MTE!J246</f>
        <v>0.52506612841034428</v>
      </c>
      <c r="G59" s="711">
        <f>Bilans_E_AMS_Kyoto_run3_MTE!K246</f>
        <v>0</v>
      </c>
      <c r="H59" s="711">
        <f>Bilans_E_AMS_Kyoto_run3_MTE!L246</f>
        <v>19.432145084898821</v>
      </c>
      <c r="I59" s="711">
        <f>Bilans_E_AMS_Kyoto_run3_MTE!M246</f>
        <v>0</v>
      </c>
      <c r="J59" s="711">
        <f>Bilans_E_AMS_Kyoto_run3_MTE!N246</f>
        <v>0</v>
      </c>
      <c r="K59" s="711">
        <f>Bilans_E_AMS_Kyoto_run3_MTE!O246</f>
        <v>0</v>
      </c>
      <c r="L59" s="711">
        <f>Bilans_E_AMS_Kyoto_run3_MTE!P246</f>
        <v>22.121134883246068</v>
      </c>
      <c r="M59" s="711">
        <f>Bilans_E_AMS_Kyoto_run3_MTE!Q246</f>
        <v>14.207576096436197</v>
      </c>
      <c r="N59" s="711">
        <f>Bilans_E_AMS_Kyoto_run3_MTE!R246</f>
        <v>0</v>
      </c>
      <c r="O59" s="711">
        <f>Bilans_E_AMS_Kyoto_run3_MTE!S246</f>
        <v>4.3596905995520387</v>
      </c>
      <c r="P59" s="711">
        <f>Bilans_E_AMS_Kyoto_run3_MTE!T246+Bilans_E_AMS_Kyoto_run3_MTE!U246</f>
        <v>4.1667830272384689</v>
      </c>
      <c r="Q59" s="711">
        <f>Bilans_E_AMS_Kyoto_run3_MTE!V246</f>
        <v>8.0512503201458188</v>
      </c>
      <c r="R59" s="711">
        <f>Bilans_E_AMS_Kyoto_run3_MTE!W246</f>
        <v>0</v>
      </c>
      <c r="S59" s="711">
        <f>Bilans_E_AMS_Kyoto_run3_MTE!X246</f>
        <v>-64.903157384138837</v>
      </c>
      <c r="T59" s="711">
        <f>Bilans_E_AMS_Kyoto_run3_MTE!Y246</f>
        <v>0</v>
      </c>
      <c r="U59" s="711">
        <f>Bilans_E_AMS_Kyoto_run3_MTE!Z246</f>
        <v>8.0951598339830468</v>
      </c>
      <c r="V59" s="701"/>
      <c r="W59" s="701"/>
    </row>
    <row r="60" spans="1:23" x14ac:dyDescent="0.25">
      <c r="A60" s="701" t="s">
        <v>497</v>
      </c>
      <c r="B60" s="701"/>
      <c r="C60" s="717" t="s">
        <v>349</v>
      </c>
      <c r="D60" s="711">
        <f>Bilans_E_AMS_Kyoto_run3_MTE!H247</f>
        <v>0</v>
      </c>
      <c r="E60" s="711">
        <f>Bilans_E_AMS_Kyoto_run3_MTE!I247</f>
        <v>0</v>
      </c>
      <c r="F60" s="711">
        <f>Bilans_E_AMS_Kyoto_run3_MTE!J247</f>
        <v>0</v>
      </c>
      <c r="G60" s="711">
        <f>Bilans_E_AMS_Kyoto_run3_MTE!K247</f>
        <v>0</v>
      </c>
      <c r="H60" s="711">
        <f>Bilans_E_AMS_Kyoto_run3_MTE!L247</f>
        <v>0</v>
      </c>
      <c r="I60" s="711">
        <f>Bilans_E_AMS_Kyoto_run3_MTE!M247</f>
        <v>0</v>
      </c>
      <c r="J60" s="711">
        <f>Bilans_E_AMS_Kyoto_run3_MTE!N247</f>
        <v>0</v>
      </c>
      <c r="K60" s="711">
        <f>Bilans_E_AMS_Kyoto_run3_MTE!O247</f>
        <v>0</v>
      </c>
      <c r="L60" s="711">
        <f>Bilans_E_AMS_Kyoto_run3_MTE!P247</f>
        <v>58.507459847608104</v>
      </c>
      <c r="M60" s="711">
        <f>Bilans_E_AMS_Kyoto_run3_MTE!Q247</f>
        <v>8.987596372567852</v>
      </c>
      <c r="N60" s="711">
        <f>Bilans_E_AMS_Kyoto_run3_MTE!R247</f>
        <v>0</v>
      </c>
      <c r="O60" s="711">
        <f>Bilans_E_AMS_Kyoto_run3_MTE!S247</f>
        <v>-33.609138102748922</v>
      </c>
      <c r="P60" s="711">
        <f>Bilans_E_AMS_Kyoto_run3_MTE!T247+Bilans_E_AMS_Kyoto_run3_MTE!U247</f>
        <v>0</v>
      </c>
      <c r="Q60" s="711">
        <f>Bilans_E_AMS_Kyoto_run3_MTE!V247</f>
        <v>0</v>
      </c>
      <c r="R60" s="711">
        <f>Bilans_E_AMS_Kyoto_run3_MTE!W247</f>
        <v>0</v>
      </c>
      <c r="S60" s="711">
        <f>Bilans_E_AMS_Kyoto_run3_MTE!X247</f>
        <v>0</v>
      </c>
      <c r="T60" s="711">
        <f>Bilans_E_AMS_Kyoto_run3_MTE!Y247</f>
        <v>0</v>
      </c>
      <c r="U60" s="711">
        <f>Bilans_E_AMS_Kyoto_run3_MTE!Z247</f>
        <v>33.885918117427032</v>
      </c>
      <c r="V60" s="701"/>
      <c r="W60" s="701"/>
    </row>
    <row r="61" spans="1:23" x14ac:dyDescent="0.25">
      <c r="A61" s="701" t="s">
        <v>498</v>
      </c>
      <c r="B61" s="701"/>
      <c r="C61" s="717" t="s">
        <v>350</v>
      </c>
      <c r="D61" s="711">
        <f>Bilans_E_AMS_Kyoto_run3_MTE!H248</f>
        <v>0</v>
      </c>
      <c r="E61" s="711">
        <f>Bilans_E_AMS_Kyoto_run3_MTE!I248</f>
        <v>0</v>
      </c>
      <c r="F61" s="711">
        <f>Bilans_E_AMS_Kyoto_run3_MTE!J248</f>
        <v>0</v>
      </c>
      <c r="G61" s="711">
        <f>Bilans_E_AMS_Kyoto_run3_MTE!K248</f>
        <v>0</v>
      </c>
      <c r="H61" s="711">
        <f>Bilans_E_AMS_Kyoto_run3_MTE!L248</f>
        <v>0</v>
      </c>
      <c r="I61" s="711">
        <f>Bilans_E_AMS_Kyoto_run3_MTE!M248</f>
        <v>-0.12645508616383627</v>
      </c>
      <c r="J61" s="711">
        <f>Bilans_E_AMS_Kyoto_run3_MTE!N248</f>
        <v>0</v>
      </c>
      <c r="K61" s="711">
        <f>Bilans_E_AMS_Kyoto_run3_MTE!O248</f>
        <v>0</v>
      </c>
      <c r="L61" s="711">
        <f>Bilans_E_AMS_Kyoto_run3_MTE!P248</f>
        <v>0</v>
      </c>
      <c r="M61" s="711">
        <f>Bilans_E_AMS_Kyoto_run3_MTE!Q248</f>
        <v>0</v>
      </c>
      <c r="N61" s="711">
        <f>Bilans_E_AMS_Kyoto_run3_MTE!R248</f>
        <v>0</v>
      </c>
      <c r="O61" s="711">
        <f>Bilans_E_AMS_Kyoto_run3_MTE!S248</f>
        <v>0</v>
      </c>
      <c r="P61" s="711">
        <f>Bilans_E_AMS_Kyoto_run3_MTE!T248+Bilans_E_AMS_Kyoto_run3_MTE!U248</f>
        <v>0</v>
      </c>
      <c r="Q61" s="711">
        <f>Bilans_E_AMS_Kyoto_run3_MTE!V248</f>
        <v>0</v>
      </c>
      <c r="R61" s="711">
        <f>Bilans_E_AMS_Kyoto_run3_MTE!W248</f>
        <v>0</v>
      </c>
      <c r="S61" s="711">
        <f>Bilans_E_AMS_Kyoto_run3_MTE!X248</f>
        <v>0</v>
      </c>
      <c r="T61" s="711">
        <f>Bilans_E_AMS_Kyoto_run3_MTE!Y248</f>
        <v>0.17563206411643928</v>
      </c>
      <c r="U61" s="711">
        <f>Bilans_E_AMS_Kyoto_run3_MTE!Z248</f>
        <v>4.9176977952603007E-2</v>
      </c>
      <c r="V61" s="701"/>
      <c r="W61" s="701"/>
    </row>
    <row r="62" spans="1:23" x14ac:dyDescent="0.25">
      <c r="A62" s="701" t="s">
        <v>499</v>
      </c>
      <c r="B62" s="701"/>
      <c r="C62" s="717" t="s">
        <v>72</v>
      </c>
      <c r="D62" s="711">
        <f>Bilans_E_AMS_Kyoto_run3_MTE!H249</f>
        <v>0</v>
      </c>
      <c r="E62" s="711">
        <f>Bilans_E_AMS_Kyoto_run3_MTE!I249</f>
        <v>448.96671017017962</v>
      </c>
      <c r="F62" s="711">
        <f>Bilans_E_AMS_Kyoto_run3_MTE!J249</f>
        <v>-444.47704306847783</v>
      </c>
      <c r="G62" s="711">
        <f>Bilans_E_AMS_Kyoto_run3_MTE!K249</f>
        <v>0</v>
      </c>
      <c r="H62" s="711">
        <f>Bilans_E_AMS_Kyoto_run3_MTE!L249</f>
        <v>0</v>
      </c>
      <c r="I62" s="711">
        <f>Bilans_E_AMS_Kyoto_run3_MTE!M249</f>
        <v>0</v>
      </c>
      <c r="J62" s="711">
        <f>Bilans_E_AMS_Kyoto_run3_MTE!N249</f>
        <v>0</v>
      </c>
      <c r="K62" s="711">
        <f>Bilans_E_AMS_Kyoto_run3_MTE!O249</f>
        <v>0</v>
      </c>
      <c r="L62" s="711">
        <f>Bilans_E_AMS_Kyoto_run3_MTE!P249</f>
        <v>0</v>
      </c>
      <c r="M62" s="711">
        <f>Bilans_E_AMS_Kyoto_run3_MTE!Q249</f>
        <v>0</v>
      </c>
      <c r="N62" s="711">
        <f>Bilans_E_AMS_Kyoto_run3_MTE!R249</f>
        <v>0</v>
      </c>
      <c r="O62" s="711">
        <f>Bilans_E_AMS_Kyoto_run3_MTE!S249</f>
        <v>0</v>
      </c>
      <c r="P62" s="711">
        <f>Bilans_E_AMS_Kyoto_run3_MTE!T249+Bilans_E_AMS_Kyoto_run3_MTE!U249</f>
        <v>0</v>
      </c>
      <c r="Q62" s="711">
        <f>Bilans_E_AMS_Kyoto_run3_MTE!V249</f>
        <v>0</v>
      </c>
      <c r="R62" s="711">
        <f>Bilans_E_AMS_Kyoto_run3_MTE!W249</f>
        <v>0</v>
      </c>
      <c r="S62" s="711">
        <f>Bilans_E_AMS_Kyoto_run3_MTE!X249</f>
        <v>0</v>
      </c>
      <c r="T62" s="711">
        <f>Bilans_E_AMS_Kyoto_run3_MTE!Y249</f>
        <v>0</v>
      </c>
      <c r="U62" s="711">
        <f>Bilans_E_AMS_Kyoto_run3_MTE!Z249</f>
        <v>4.4896671017017979</v>
      </c>
      <c r="V62" s="701"/>
      <c r="W62" s="701"/>
    </row>
    <row r="63" spans="1:23" x14ac:dyDescent="0.25">
      <c r="A63" s="701" t="s">
        <v>500</v>
      </c>
      <c r="B63" s="701"/>
      <c r="C63" s="717" t="s">
        <v>351</v>
      </c>
      <c r="D63" s="711">
        <f>Bilans_E_AMS_Kyoto_run3_MTE!H250</f>
        <v>0</v>
      </c>
      <c r="E63" s="711">
        <f>Bilans_E_AMS_Kyoto_run3_MTE!I250</f>
        <v>0</v>
      </c>
      <c r="F63" s="711">
        <f>Bilans_E_AMS_Kyoto_run3_MTE!J250</f>
        <v>0</v>
      </c>
      <c r="G63" s="711">
        <f>Bilans_E_AMS_Kyoto_run3_MTE!K250</f>
        <v>0</v>
      </c>
      <c r="H63" s="711">
        <f>Bilans_E_AMS_Kyoto_run3_MTE!L250</f>
        <v>0</v>
      </c>
      <c r="I63" s="711">
        <f>Bilans_E_AMS_Kyoto_run3_MTE!M250</f>
        <v>0</v>
      </c>
      <c r="J63" s="711">
        <f>Bilans_E_AMS_Kyoto_run3_MTE!N250</f>
        <v>0</v>
      </c>
      <c r="K63" s="711">
        <f>Bilans_E_AMS_Kyoto_run3_MTE!O250</f>
        <v>0</v>
      </c>
      <c r="L63" s="711">
        <f>Bilans_E_AMS_Kyoto_run3_MTE!P250</f>
        <v>67.718596792248618</v>
      </c>
      <c r="M63" s="711">
        <f>Bilans_E_AMS_Kyoto_run3_MTE!Q250</f>
        <v>7.2727272727272725</v>
      </c>
      <c r="N63" s="711">
        <f>Bilans_E_AMS_Kyoto_run3_MTE!R250</f>
        <v>-43.275160646366466</v>
      </c>
      <c r="O63" s="711">
        <f>Bilans_E_AMS_Kyoto_run3_MTE!S250</f>
        <v>0</v>
      </c>
      <c r="P63" s="711">
        <f>Bilans_E_AMS_Kyoto_run3_MTE!T250+Bilans_E_AMS_Kyoto_run3_MTE!U250</f>
        <v>0</v>
      </c>
      <c r="Q63" s="711">
        <f>Bilans_E_AMS_Kyoto_run3_MTE!V250</f>
        <v>0</v>
      </c>
      <c r="R63" s="711">
        <f>Bilans_E_AMS_Kyoto_run3_MTE!W250</f>
        <v>0</v>
      </c>
      <c r="S63" s="711">
        <f>Bilans_E_AMS_Kyoto_run3_MTE!X250</f>
        <v>0</v>
      </c>
      <c r="T63" s="711">
        <f>Bilans_E_AMS_Kyoto_run3_MTE!Y250</f>
        <v>0</v>
      </c>
      <c r="U63" s="711">
        <f>Bilans_E_AMS_Kyoto_run3_MTE!Z250</f>
        <v>31.716163418609419</v>
      </c>
      <c r="V63" s="701"/>
      <c r="W63" s="701"/>
    </row>
    <row r="64" spans="1:23" x14ac:dyDescent="0.25">
      <c r="A64" s="701" t="s">
        <v>501</v>
      </c>
      <c r="B64" s="701"/>
      <c r="C64" s="717" t="s">
        <v>352</v>
      </c>
      <c r="D64" s="711">
        <f>Bilans_E_AMS_Kyoto_run3_MTE!H251</f>
        <v>0</v>
      </c>
      <c r="E64" s="711">
        <f>Bilans_E_AMS_Kyoto_run3_MTE!I251</f>
        <v>0</v>
      </c>
      <c r="F64" s="711">
        <f>Bilans_E_AMS_Kyoto_run3_MTE!J251</f>
        <v>0</v>
      </c>
      <c r="G64" s="711">
        <f>Bilans_E_AMS_Kyoto_run3_MTE!K251</f>
        <v>-0.88812944417760187</v>
      </c>
      <c r="H64" s="711">
        <f>Bilans_E_AMS_Kyoto_run3_MTE!L251</f>
        <v>0</v>
      </c>
      <c r="I64" s="711">
        <f>Bilans_E_AMS_Kyoto_run3_MTE!M251</f>
        <v>0</v>
      </c>
      <c r="J64" s="711">
        <f>Bilans_E_AMS_Kyoto_run3_MTE!N251</f>
        <v>0</v>
      </c>
      <c r="K64" s="711">
        <f>Bilans_E_AMS_Kyoto_run3_MTE!O251</f>
        <v>0</v>
      </c>
      <c r="L64" s="711">
        <f>Bilans_E_AMS_Kyoto_run3_MTE!P251</f>
        <v>0</v>
      </c>
      <c r="M64" s="711">
        <f>Bilans_E_AMS_Kyoto_run3_MTE!Q251</f>
        <v>0</v>
      </c>
      <c r="N64" s="711">
        <f>Bilans_E_AMS_Kyoto_run3_MTE!R251</f>
        <v>0</v>
      </c>
      <c r="O64" s="711">
        <f>Bilans_E_AMS_Kyoto_run3_MTE!S251</f>
        <v>0</v>
      </c>
      <c r="P64" s="711">
        <f>Bilans_E_AMS_Kyoto_run3_MTE!T251+Bilans_E_AMS_Kyoto_run3_MTE!U251</f>
        <v>0</v>
      </c>
      <c r="Q64" s="711">
        <f>Bilans_E_AMS_Kyoto_run3_MTE!V251</f>
        <v>0</v>
      </c>
      <c r="R64" s="711">
        <f>Bilans_E_AMS_Kyoto_run3_MTE!W251</f>
        <v>0</v>
      </c>
      <c r="S64" s="711">
        <f>Bilans_E_AMS_Kyoto_run3_MTE!X251</f>
        <v>0</v>
      </c>
      <c r="T64" s="711">
        <f>Bilans_E_AMS_Kyoto_run3_MTE!Y251</f>
        <v>1.471942388595362</v>
      </c>
      <c r="U64" s="711">
        <f>Bilans_E_AMS_Kyoto_run3_MTE!Z251</f>
        <v>0.5838129444177601</v>
      </c>
      <c r="V64" s="701"/>
      <c r="W64" s="701"/>
    </row>
    <row r="65" spans="1:23" x14ac:dyDescent="0.25">
      <c r="A65" s="701" t="s">
        <v>502</v>
      </c>
      <c r="B65" s="701"/>
      <c r="C65" s="717" t="s">
        <v>73</v>
      </c>
      <c r="D65" s="711">
        <f>Bilans_E_AMS_Kyoto_run3_MTE!H252</f>
        <v>0</v>
      </c>
      <c r="E65" s="711">
        <f>Bilans_E_AMS_Kyoto_run3_MTE!I252</f>
        <v>0</v>
      </c>
      <c r="F65" s="711">
        <f>Bilans_E_AMS_Kyoto_run3_MTE!J252</f>
        <v>0</v>
      </c>
      <c r="G65" s="711">
        <f>Bilans_E_AMS_Kyoto_run3_MTE!K252</f>
        <v>0</v>
      </c>
      <c r="H65" s="711">
        <f>Bilans_E_AMS_Kyoto_run3_MTE!L252</f>
        <v>0</v>
      </c>
      <c r="I65" s="711">
        <f>Bilans_E_AMS_Kyoto_run3_MTE!M252</f>
        <v>0</v>
      </c>
      <c r="J65" s="711">
        <f>Bilans_E_AMS_Kyoto_run3_MTE!N252</f>
        <v>0</v>
      </c>
      <c r="K65" s="711">
        <f>Bilans_E_AMS_Kyoto_run3_MTE!O252</f>
        <v>0</v>
      </c>
      <c r="L65" s="711">
        <f>Bilans_E_AMS_Kyoto_run3_MTE!P252</f>
        <v>0</v>
      </c>
      <c r="M65" s="711">
        <f>Bilans_E_AMS_Kyoto_run3_MTE!Q252</f>
        <v>0</v>
      </c>
      <c r="N65" s="711">
        <f>Bilans_E_AMS_Kyoto_run3_MTE!R252</f>
        <v>0</v>
      </c>
      <c r="O65" s="711">
        <f>Bilans_E_AMS_Kyoto_run3_MTE!S252</f>
        <v>0</v>
      </c>
      <c r="P65" s="711">
        <f>Bilans_E_AMS_Kyoto_run3_MTE!T252+Bilans_E_AMS_Kyoto_run3_MTE!U252</f>
        <v>0</v>
      </c>
      <c r="Q65" s="711">
        <f>Bilans_E_AMS_Kyoto_run3_MTE!V252</f>
        <v>0</v>
      </c>
      <c r="R65" s="711">
        <f>Bilans_E_AMS_Kyoto_run3_MTE!W252</f>
        <v>10.660292909136944</v>
      </c>
      <c r="S65" s="711">
        <f>Bilans_E_AMS_Kyoto_run3_MTE!X252</f>
        <v>0</v>
      </c>
      <c r="T65" s="711">
        <f>Bilans_E_AMS_Kyoto_run3_MTE!Y252</f>
        <v>-6.9291903909390138</v>
      </c>
      <c r="U65" s="711">
        <f>Bilans_E_AMS_Kyoto_run3_MTE!Z252</f>
        <v>3.7311025181979298</v>
      </c>
      <c r="V65" s="701"/>
      <c r="W65" s="701"/>
    </row>
    <row r="66" spans="1:23" x14ac:dyDescent="0.25">
      <c r="A66" s="701" t="s">
        <v>503</v>
      </c>
      <c r="B66" s="701"/>
      <c r="C66" s="717" t="s">
        <v>353</v>
      </c>
      <c r="D66" s="711">
        <f>Bilans_E_AMS_Kyoto_run3_MTE!H253</f>
        <v>20.799923203124997</v>
      </c>
      <c r="E66" s="711">
        <f>Bilans_E_AMS_Kyoto_run3_MTE!I253</f>
        <v>-15.77762451564047</v>
      </c>
      <c r="F66" s="711">
        <f>Bilans_E_AMS_Kyoto_run3_MTE!J253</f>
        <v>20.75596720074418</v>
      </c>
      <c r="G66" s="711">
        <f>Bilans_E_AMS_Kyoto_run3_MTE!K253</f>
        <v>0</v>
      </c>
      <c r="H66" s="711">
        <f>Bilans_E_AMS_Kyoto_run3_MTE!L253</f>
        <v>0</v>
      </c>
      <c r="I66" s="711">
        <f>Bilans_E_AMS_Kyoto_run3_MTE!M253</f>
        <v>0</v>
      </c>
      <c r="J66" s="711">
        <f>Bilans_E_AMS_Kyoto_run3_MTE!N253</f>
        <v>0</v>
      </c>
      <c r="K66" s="711">
        <f>Bilans_E_AMS_Kyoto_run3_MTE!O253</f>
        <v>0</v>
      </c>
      <c r="L66" s="711">
        <f>Bilans_E_AMS_Kyoto_run3_MTE!P253</f>
        <v>0</v>
      </c>
      <c r="M66" s="711">
        <f>Bilans_E_AMS_Kyoto_run3_MTE!Q253</f>
        <v>0</v>
      </c>
      <c r="N66" s="711">
        <f>Bilans_E_AMS_Kyoto_run3_MTE!R253</f>
        <v>0</v>
      </c>
      <c r="O66" s="711">
        <f>Bilans_E_AMS_Kyoto_run3_MTE!S253</f>
        <v>0</v>
      </c>
      <c r="P66" s="711">
        <f>Bilans_E_AMS_Kyoto_run3_MTE!T253+Bilans_E_AMS_Kyoto_run3_MTE!U253</f>
        <v>0</v>
      </c>
      <c r="Q66" s="711">
        <f>Bilans_E_AMS_Kyoto_run3_MTE!V253</f>
        <v>0</v>
      </c>
      <c r="R66" s="711">
        <f>Bilans_E_AMS_Kyoto_run3_MTE!W253</f>
        <v>0</v>
      </c>
      <c r="S66" s="711">
        <f>Bilans_E_AMS_Kyoto_run3_MTE!X253</f>
        <v>0</v>
      </c>
      <c r="T66" s="711">
        <f>Bilans_E_AMS_Kyoto_run3_MTE!Y253</f>
        <v>0</v>
      </c>
      <c r="U66" s="711">
        <f>Bilans_E_AMS_Kyoto_run3_MTE!Z253</f>
        <v>25.778265888228709</v>
      </c>
      <c r="V66" s="701"/>
      <c r="W66" s="701"/>
    </row>
    <row r="67" spans="1:23" x14ac:dyDescent="0.25">
      <c r="A67" s="701" t="s">
        <v>504</v>
      </c>
      <c r="B67" s="701"/>
      <c r="C67" s="717" t="s">
        <v>75</v>
      </c>
      <c r="D67" s="711">
        <f>Bilans_E_AMS_Kyoto_run3_MTE!H254</f>
        <v>8.0888590234375002</v>
      </c>
      <c r="E67" s="711">
        <f>Bilans_E_AMS_Kyoto_run3_MTE!I254</f>
        <v>0</v>
      </c>
      <c r="F67" s="711">
        <f>Bilans_E_AMS_Kyoto_run3_MTE!J254</f>
        <v>15.507167335345123</v>
      </c>
      <c r="G67" s="711">
        <f>Bilans_E_AMS_Kyoto_run3_MTE!K254</f>
        <v>0</v>
      </c>
      <c r="H67" s="711">
        <f>Bilans_E_AMS_Kyoto_run3_MTE!L254</f>
        <v>1.8033798544929234</v>
      </c>
      <c r="I67" s="711">
        <f>Bilans_E_AMS_Kyoto_run3_MTE!M254</f>
        <v>0</v>
      </c>
      <c r="J67" s="711">
        <f>Bilans_E_AMS_Kyoto_run3_MTE!N254</f>
        <v>0</v>
      </c>
      <c r="K67" s="711">
        <f>Bilans_E_AMS_Kyoto_run3_MTE!O254</f>
        <v>0</v>
      </c>
      <c r="L67" s="711">
        <f>Bilans_E_AMS_Kyoto_run3_MTE!P254</f>
        <v>0</v>
      </c>
      <c r="M67" s="711">
        <f>Bilans_E_AMS_Kyoto_run3_MTE!Q254</f>
        <v>0</v>
      </c>
      <c r="N67" s="711">
        <f>Bilans_E_AMS_Kyoto_run3_MTE!R254</f>
        <v>0</v>
      </c>
      <c r="O67" s="711">
        <f>Bilans_E_AMS_Kyoto_run3_MTE!S254</f>
        <v>0.2228896449373276</v>
      </c>
      <c r="P67" s="711">
        <f>Bilans_E_AMS_Kyoto_run3_MTE!T254+Bilans_E_AMS_Kyoto_run3_MTE!U254</f>
        <v>0</v>
      </c>
      <c r="Q67" s="711">
        <f>Bilans_E_AMS_Kyoto_run3_MTE!V254</f>
        <v>0</v>
      </c>
      <c r="R67" s="711">
        <f>Bilans_E_AMS_Kyoto_run3_MTE!W254</f>
        <v>33.838220662100142</v>
      </c>
      <c r="S67" s="711">
        <f>Bilans_E_AMS_Kyoto_run3_MTE!X254</f>
        <v>0</v>
      </c>
      <c r="T67" s="711">
        <f>Bilans_E_AMS_Kyoto_run3_MTE!Y254</f>
        <v>2.38</v>
      </c>
      <c r="U67" s="711">
        <f>Bilans_E_AMS_Kyoto_run3_MTE!Z254</f>
        <v>61.840516520313024</v>
      </c>
      <c r="V67" s="701"/>
      <c r="W67" s="701"/>
    </row>
    <row r="68" spans="1:23" x14ac:dyDescent="0.25">
      <c r="A68" s="701" t="s">
        <v>505</v>
      </c>
      <c r="B68" s="701"/>
      <c r="C68" s="717" t="s">
        <v>76</v>
      </c>
      <c r="D68" s="711">
        <f>Bilans_E_AMS_Kyoto_run3_MTE!H255</f>
        <v>0</v>
      </c>
      <c r="E68" s="711">
        <f>Bilans_E_AMS_Kyoto_run3_MTE!I255</f>
        <v>0</v>
      </c>
      <c r="F68" s="711">
        <f>Bilans_E_AMS_Kyoto_run3_MTE!J255</f>
        <v>0</v>
      </c>
      <c r="G68" s="711">
        <f>Bilans_E_AMS_Kyoto_run3_MTE!K255</f>
        <v>0</v>
      </c>
      <c r="H68" s="711">
        <f>Bilans_E_AMS_Kyoto_run3_MTE!L255</f>
        <v>3.5796312708000495</v>
      </c>
      <c r="I68" s="711">
        <f>Bilans_E_AMS_Kyoto_run3_MTE!M255</f>
        <v>0</v>
      </c>
      <c r="J68" s="711">
        <f>Bilans_E_AMS_Kyoto_run3_MTE!N255</f>
        <v>0</v>
      </c>
      <c r="K68" s="711">
        <f>Bilans_E_AMS_Kyoto_run3_MTE!O255</f>
        <v>0</v>
      </c>
      <c r="L68" s="711">
        <f>Bilans_E_AMS_Kyoto_run3_MTE!P255</f>
        <v>0</v>
      </c>
      <c r="M68" s="711">
        <f>Bilans_E_AMS_Kyoto_run3_MTE!Q255</f>
        <v>0</v>
      </c>
      <c r="N68" s="711">
        <f>Bilans_E_AMS_Kyoto_run3_MTE!R255</f>
        <v>0</v>
      </c>
      <c r="O68" s="711">
        <f>Bilans_E_AMS_Kyoto_run3_MTE!S255</f>
        <v>0.44242633684045557</v>
      </c>
      <c r="P68" s="711">
        <f>Bilans_E_AMS_Kyoto_run3_MTE!T255+Bilans_E_AMS_Kyoto_run3_MTE!U255</f>
        <v>0</v>
      </c>
      <c r="Q68" s="711">
        <f>Bilans_E_AMS_Kyoto_run3_MTE!V255</f>
        <v>0</v>
      </c>
      <c r="R68" s="711">
        <f>Bilans_E_AMS_Kyoto_run3_MTE!W255</f>
        <v>44.846872959494924</v>
      </c>
      <c r="S68" s="711">
        <f>Bilans_E_AMS_Kyoto_run3_MTE!X255</f>
        <v>5.0336373229827123</v>
      </c>
      <c r="T68" s="711">
        <f>Bilans_E_AMS_Kyoto_run3_MTE!Y255</f>
        <v>0</v>
      </c>
      <c r="U68" s="711">
        <f>Bilans_E_AMS_Kyoto_run3_MTE!Z255</f>
        <v>53.902567890118142</v>
      </c>
      <c r="V68" s="701"/>
      <c r="W68" s="701"/>
    </row>
    <row r="69" spans="1:23" x14ac:dyDescent="0.25">
      <c r="A69" s="701" t="s">
        <v>506</v>
      </c>
      <c r="B69" s="701"/>
      <c r="C69" s="713" t="s">
        <v>77</v>
      </c>
      <c r="D69" s="714">
        <f>Bilans_E_AMS_Kyoto_run3_MTE!H256</f>
        <v>29.023453304756611</v>
      </c>
      <c r="E69" s="714">
        <f>Bilans_E_AMS_Kyoto_run3_MTE!I256</f>
        <v>433.18908565453916</v>
      </c>
      <c r="F69" s="714">
        <f>Bilans_E_AMS_Kyoto_run3_MTE!J256</f>
        <v>-406.05184004947677</v>
      </c>
      <c r="G69" s="714">
        <f>Bilans_E_AMS_Kyoto_run3_MTE!K256</f>
        <v>-0.88812944417760187</v>
      </c>
      <c r="H69" s="714">
        <f>Bilans_E_AMS_Kyoto_run3_MTE!L256</f>
        <v>77.370890630339375</v>
      </c>
      <c r="I69" s="714">
        <f>Bilans_E_AMS_Kyoto_run3_MTE!M256</f>
        <v>-0.12645508616383627</v>
      </c>
      <c r="J69" s="714">
        <f>Bilans_E_AMS_Kyoto_run3_MTE!N256</f>
        <v>1175.008</v>
      </c>
      <c r="K69" s="714">
        <f>Bilans_E_AMS_Kyoto_run3_MTE!O256</f>
        <v>187.71649074759767</v>
      </c>
      <c r="L69" s="714">
        <f>Bilans_E_AMS_Kyoto_run3_MTE!P256</f>
        <v>161.65100389065424</v>
      </c>
      <c r="M69" s="714">
        <f>Bilans_E_AMS_Kyoto_run3_MTE!Q256</f>
        <v>37.300380656272438</v>
      </c>
      <c r="N69" s="714">
        <f>Bilans_E_AMS_Kyoto_run3_MTE!R256</f>
        <v>-38.407913516548021</v>
      </c>
      <c r="O69" s="714">
        <f>Bilans_E_AMS_Kyoto_run3_MTE!S256</f>
        <v>-17.271999793684582</v>
      </c>
      <c r="P69" s="714">
        <f>Bilans_E_AMS_Kyoto_run3_MTE!T256+Bilans_E_AMS_Kyoto_run3_MTE!U256</f>
        <v>4.1667830272384689</v>
      </c>
      <c r="Q69" s="714">
        <f>Bilans_E_AMS_Kyoto_run3_MTE!V256</f>
        <v>8.1786961640454088</v>
      </c>
      <c r="R69" s="714">
        <f>Bilans_E_AMS_Kyoto_run3_MTE!W256</f>
        <v>-533.77921618670041</v>
      </c>
      <c r="S69" s="714">
        <f>Bilans_E_AMS_Kyoto_run3_MTE!X256</f>
        <v>-59.869520061156123</v>
      </c>
      <c r="T69" s="714">
        <f>Bilans_E_AMS_Kyoto_run3_MTE!Y256</f>
        <v>-2.9016159382272129</v>
      </c>
      <c r="U69" s="714">
        <f>Bilans_E_AMS_Kyoto_run3_MTE!Z256</f>
        <v>1054.308093999309</v>
      </c>
      <c r="V69" s="701"/>
      <c r="W69" s="701"/>
    </row>
    <row r="70" spans="1:23" x14ac:dyDescent="0.25">
      <c r="A70" s="701"/>
      <c r="B70" s="701"/>
      <c r="C70" s="715"/>
      <c r="D70" s="716"/>
      <c r="E70" s="716"/>
      <c r="F70" s="716"/>
      <c r="G70" s="716"/>
      <c r="H70" s="716"/>
      <c r="I70" s="716"/>
      <c r="J70" s="716"/>
      <c r="K70" s="716"/>
      <c r="L70" s="716"/>
      <c r="M70" s="716"/>
      <c r="N70" s="716"/>
      <c r="O70" s="716"/>
      <c r="P70" s="716">
        <f>Bilans_E_AMS_Kyoto_run3_MTE!T257+Bilans_E_AMS_Kyoto_run3_MTE!U257</f>
        <v>0</v>
      </c>
      <c r="Q70" s="716"/>
      <c r="R70" s="716"/>
      <c r="S70" s="716"/>
      <c r="T70" s="716"/>
      <c r="U70" s="716"/>
      <c r="V70" s="701"/>
      <c r="W70" s="701"/>
    </row>
    <row r="71" spans="1:23" x14ac:dyDescent="0.25">
      <c r="A71" s="701" t="s">
        <v>507</v>
      </c>
      <c r="B71" s="701"/>
      <c r="C71" s="717" t="s">
        <v>78</v>
      </c>
      <c r="D71" s="711">
        <f>Bilans_E_AMS_Kyoto_run3_MTE!H258</f>
        <v>2.5368789062500001</v>
      </c>
      <c r="E71" s="711">
        <f>Bilans_E_AMS_Kyoto_run3_MTE!I258</f>
        <v>0</v>
      </c>
      <c r="F71" s="711">
        <f>Bilans_E_AMS_Kyoto_run3_MTE!J258</f>
        <v>16.464256134501195</v>
      </c>
      <c r="G71" s="711">
        <f>Bilans_E_AMS_Kyoto_run3_MTE!K258</f>
        <v>0</v>
      </c>
      <c r="H71" s="711">
        <f>Bilans_E_AMS_Kyoto_run3_MTE!L258</f>
        <v>76.25556175347657</v>
      </c>
      <c r="I71" s="711">
        <f>Bilans_E_AMS_Kyoto_run3_MTE!M258</f>
        <v>0</v>
      </c>
      <c r="J71" s="711">
        <f>Bilans_E_AMS_Kyoto_run3_MTE!N258</f>
        <v>0</v>
      </c>
      <c r="K71" s="711">
        <f>Bilans_E_AMS_Kyoto_run3_MTE!O258</f>
        <v>0</v>
      </c>
      <c r="L71" s="711">
        <f>Bilans_E_AMS_Kyoto_run3_MTE!P258</f>
        <v>35.20744335762226</v>
      </c>
      <c r="M71" s="711">
        <f>Bilans_E_AMS_Kyoto_run3_MTE!Q258</f>
        <v>8.5967036018731431</v>
      </c>
      <c r="N71" s="711">
        <f>Bilans_E_AMS_Kyoto_run3_MTE!R258</f>
        <v>0.95792109934790093</v>
      </c>
      <c r="O71" s="711">
        <f>Bilans_E_AMS_Kyoto_run3_MTE!S258</f>
        <v>9.4506810662915637</v>
      </c>
      <c r="P71" s="711">
        <f>Bilans_E_AMS_Kyoto_run3_MTE!T258+Bilans_E_AMS_Kyoto_run3_MTE!U258</f>
        <v>3.4855932617187499</v>
      </c>
      <c r="Q71" s="711">
        <f>Bilans_E_AMS_Kyoto_run3_MTE!V258</f>
        <v>5.2671642446208732E-4</v>
      </c>
      <c r="R71" s="711">
        <f>Bilans_E_AMS_Kyoto_run3_MTE!W258</f>
        <v>137.10141781088788</v>
      </c>
      <c r="S71" s="711">
        <f>Bilans_E_AMS_Kyoto_run3_MTE!X258</f>
        <v>19.328552980825005</v>
      </c>
      <c r="T71" s="711">
        <f>Bilans_E_AMS_Kyoto_run3_MTE!Y258</f>
        <v>1.4790939941406249</v>
      </c>
      <c r="U71" s="711">
        <f>Bilans_E_AMS_Kyoto_run3_MTE!Z258</f>
        <v>310.86463068335939</v>
      </c>
      <c r="V71" s="701"/>
      <c r="W71" s="701"/>
    </row>
    <row r="72" spans="1:23" x14ac:dyDescent="0.25">
      <c r="A72" s="701" t="s">
        <v>508</v>
      </c>
      <c r="B72" s="701"/>
      <c r="C72" s="717" t="s">
        <v>79</v>
      </c>
      <c r="D72" s="711">
        <f>Bilans_E_AMS_Kyoto_run3_MTE!H259</f>
        <v>0</v>
      </c>
      <c r="E72" s="711">
        <f>Bilans_E_AMS_Kyoto_run3_MTE!I259</f>
        <v>0</v>
      </c>
      <c r="F72" s="711">
        <f>Bilans_E_AMS_Kyoto_run3_MTE!J259</f>
        <v>364.30566934999553</v>
      </c>
      <c r="G72" s="711">
        <f>Bilans_E_AMS_Kyoto_run3_MTE!K259</f>
        <v>0</v>
      </c>
      <c r="H72" s="711">
        <f>Bilans_E_AMS_Kyoto_run3_MTE!L259</f>
        <v>4.9934721794589949</v>
      </c>
      <c r="I72" s="711">
        <f>Bilans_E_AMS_Kyoto_run3_MTE!M259</f>
        <v>0</v>
      </c>
      <c r="J72" s="711">
        <f>Bilans_E_AMS_Kyoto_run3_MTE!N259</f>
        <v>0</v>
      </c>
      <c r="K72" s="711">
        <f>Bilans_E_AMS_Kyoto_run3_MTE!O259</f>
        <v>0</v>
      </c>
      <c r="L72" s="711">
        <f>Bilans_E_AMS_Kyoto_run3_MTE!P259</f>
        <v>0</v>
      </c>
      <c r="M72" s="711">
        <f>Bilans_E_AMS_Kyoto_run3_MTE!Q259</f>
        <v>0</v>
      </c>
      <c r="N72" s="711">
        <f>Bilans_E_AMS_Kyoto_run3_MTE!R259</f>
        <v>36.866001172977988</v>
      </c>
      <c r="O72" s="711">
        <f>Bilans_E_AMS_Kyoto_run3_MTE!S259</f>
        <v>0.61717071880953867</v>
      </c>
      <c r="P72" s="711">
        <f>Bilans_E_AMS_Kyoto_run3_MTE!T259+Bilans_E_AMS_Kyoto_run3_MTE!U259</f>
        <v>0</v>
      </c>
      <c r="Q72" s="711">
        <f>Bilans_E_AMS_Kyoto_run3_MTE!V259</f>
        <v>0</v>
      </c>
      <c r="R72" s="711">
        <f>Bilans_E_AMS_Kyoto_run3_MTE!W259</f>
        <v>27.389081420893032</v>
      </c>
      <c r="S72" s="711">
        <f>Bilans_E_AMS_Kyoto_run3_MTE!X259</f>
        <v>0</v>
      </c>
      <c r="T72" s="711">
        <f>Bilans_E_AMS_Kyoto_run3_MTE!Y259</f>
        <v>0.58290015650478255</v>
      </c>
      <c r="U72" s="711">
        <f>Bilans_E_AMS_Kyoto_run3_MTE!Z259</f>
        <v>434.75429499863981</v>
      </c>
      <c r="V72" s="701"/>
      <c r="W72" s="701"/>
    </row>
    <row r="73" spans="1:23" x14ac:dyDescent="0.25">
      <c r="A73" s="701" t="s">
        <v>509</v>
      </c>
      <c r="B73" s="701"/>
      <c r="C73" s="717" t="s">
        <v>80</v>
      </c>
      <c r="D73" s="711">
        <f>Bilans_E_AMS_Kyoto_run3_MTE!H260</f>
        <v>0</v>
      </c>
      <c r="E73" s="711">
        <f>Bilans_E_AMS_Kyoto_run3_MTE!I260</f>
        <v>0</v>
      </c>
      <c r="F73" s="711">
        <f>Bilans_E_AMS_Kyoto_run3_MTE!J260</f>
        <v>17.201623841536829</v>
      </c>
      <c r="G73" s="711">
        <f>Bilans_E_AMS_Kyoto_run3_MTE!K260</f>
        <v>0</v>
      </c>
      <c r="H73" s="711">
        <f>Bilans_E_AMS_Kyoto_run3_MTE!L260</f>
        <v>84.721695827213523</v>
      </c>
      <c r="I73" s="711">
        <f>Bilans_E_AMS_Kyoto_run3_MTE!M260</f>
        <v>0</v>
      </c>
      <c r="J73" s="711">
        <f>Bilans_E_AMS_Kyoto_run3_MTE!N260</f>
        <v>0</v>
      </c>
      <c r="K73" s="711">
        <f>Bilans_E_AMS_Kyoto_run3_MTE!O260</f>
        <v>0</v>
      </c>
      <c r="L73" s="711">
        <f>Bilans_E_AMS_Kyoto_run3_MTE!P260</f>
        <v>63.543536708801859</v>
      </c>
      <c r="M73" s="711">
        <f>Bilans_E_AMS_Kyoto_run3_MTE!Q260</f>
        <v>0</v>
      </c>
      <c r="N73" s="711">
        <f>Bilans_E_AMS_Kyoto_run3_MTE!R260</f>
        <v>0</v>
      </c>
      <c r="O73" s="711">
        <f>Bilans_E_AMS_Kyoto_run3_MTE!S260</f>
        <v>10.471220832576952</v>
      </c>
      <c r="P73" s="711">
        <f>Bilans_E_AMS_Kyoto_run3_MTE!T260+Bilans_E_AMS_Kyoto_run3_MTE!U260</f>
        <v>76.561231385743284</v>
      </c>
      <c r="Q73" s="711">
        <f>Bilans_E_AMS_Kyoto_run3_MTE!V260</f>
        <v>5.1637337172047761</v>
      </c>
      <c r="R73" s="711">
        <f>Bilans_E_AMS_Kyoto_run3_MTE!W260</f>
        <v>163.30202311057991</v>
      </c>
      <c r="S73" s="711">
        <f>Bilans_E_AMS_Kyoto_run3_MTE!X260</f>
        <v>21.019199389729597</v>
      </c>
      <c r="T73" s="711">
        <f>Bilans_E_AMS_Kyoto_run3_MTE!Y260</f>
        <v>0</v>
      </c>
      <c r="U73" s="711">
        <f>Bilans_E_AMS_Kyoto_run3_MTE!Z260</f>
        <v>441.98426481338669</v>
      </c>
      <c r="V73" s="701"/>
      <c r="W73" s="701"/>
    </row>
    <row r="74" spans="1:23" x14ac:dyDescent="0.25">
      <c r="A74" s="701" t="s">
        <v>510</v>
      </c>
      <c r="B74" s="701"/>
      <c r="C74" s="717" t="s">
        <v>81</v>
      </c>
      <c r="D74" s="711">
        <f>Bilans_E_AMS_Kyoto_run3_MTE!H261</f>
        <v>0</v>
      </c>
      <c r="E74" s="711">
        <f>Bilans_E_AMS_Kyoto_run3_MTE!I261</f>
        <v>0</v>
      </c>
      <c r="F74" s="711">
        <f>Bilans_E_AMS_Kyoto_run3_MTE!J261</f>
        <v>9.5095127655801548</v>
      </c>
      <c r="G74" s="711">
        <f>Bilans_E_AMS_Kyoto_run3_MTE!K261</f>
        <v>0</v>
      </c>
      <c r="H74" s="711">
        <f>Bilans_E_AMS_Kyoto_run3_MTE!L261</f>
        <v>50.83012863398811</v>
      </c>
      <c r="I74" s="711">
        <f>Bilans_E_AMS_Kyoto_run3_MTE!M261</f>
        <v>0</v>
      </c>
      <c r="J74" s="711">
        <f>Bilans_E_AMS_Kyoto_run3_MTE!N261</f>
        <v>0</v>
      </c>
      <c r="K74" s="711">
        <f>Bilans_E_AMS_Kyoto_run3_MTE!O261</f>
        <v>0</v>
      </c>
      <c r="L74" s="711">
        <f>Bilans_E_AMS_Kyoto_run3_MTE!P261</f>
        <v>0.5857399217546202</v>
      </c>
      <c r="M74" s="711">
        <f>Bilans_E_AMS_Kyoto_run3_MTE!Q261</f>
        <v>0</v>
      </c>
      <c r="N74" s="711">
        <f>Bilans_E_AMS_Kyoto_run3_MTE!R261</f>
        <v>0</v>
      </c>
      <c r="O74" s="711">
        <f>Bilans_E_AMS_Kyoto_run3_MTE!S261</f>
        <v>6.282375449144598</v>
      </c>
      <c r="P74" s="711">
        <f>Bilans_E_AMS_Kyoto_run3_MTE!T261+Bilans_E_AMS_Kyoto_run3_MTE!U261</f>
        <v>27.92817059882276</v>
      </c>
      <c r="Q74" s="711">
        <f>Bilans_E_AMS_Kyoto_run3_MTE!V261</f>
        <v>4.8320920994569443</v>
      </c>
      <c r="R74" s="711">
        <f>Bilans_E_AMS_Kyoto_run3_MTE!W261</f>
        <v>123.43882708375831</v>
      </c>
      <c r="S74" s="711">
        <f>Bilans_E_AMS_Kyoto_run3_MTE!X261</f>
        <v>19.521738588223698</v>
      </c>
      <c r="T74" s="711">
        <f>Bilans_E_AMS_Kyoto_run3_MTE!Y261</f>
        <v>0</v>
      </c>
      <c r="U74" s="711">
        <f>Bilans_E_AMS_Kyoto_run3_MTE!Z261</f>
        <v>242.92858514072918</v>
      </c>
      <c r="V74" s="701"/>
      <c r="W74" s="701"/>
    </row>
    <row r="75" spans="1:23" x14ac:dyDescent="0.25">
      <c r="A75" s="701" t="s">
        <v>511</v>
      </c>
      <c r="B75" s="701"/>
      <c r="C75" s="717" t="s">
        <v>82</v>
      </c>
      <c r="D75" s="711">
        <f>Bilans_E_AMS_Kyoto_run3_MTE!H262</f>
        <v>0</v>
      </c>
      <c r="E75" s="711">
        <f>Bilans_E_AMS_Kyoto_run3_MTE!I262</f>
        <v>0</v>
      </c>
      <c r="F75" s="711">
        <f>Bilans_E_AMS_Kyoto_run3_MTE!J262</f>
        <v>32.521780239930585</v>
      </c>
      <c r="G75" s="711">
        <f>Bilans_E_AMS_Kyoto_run3_MTE!K262</f>
        <v>0</v>
      </c>
      <c r="H75" s="711">
        <f>Bilans_E_AMS_Kyoto_run3_MTE!L262</f>
        <v>1.7697973975256258</v>
      </c>
      <c r="I75" s="711">
        <f>Bilans_E_AMS_Kyoto_run3_MTE!M262</f>
        <v>0</v>
      </c>
      <c r="J75" s="711">
        <f>Bilans_E_AMS_Kyoto_run3_MTE!N262</f>
        <v>0</v>
      </c>
      <c r="K75" s="711">
        <f>Bilans_E_AMS_Kyoto_run3_MTE!O262</f>
        <v>0</v>
      </c>
      <c r="L75" s="711">
        <f>Bilans_E_AMS_Kyoto_run3_MTE!P262</f>
        <v>8.5431833600547655</v>
      </c>
      <c r="M75" s="711">
        <f>Bilans_E_AMS_Kyoto_run3_MTE!Q262</f>
        <v>0</v>
      </c>
      <c r="N75" s="711">
        <f>Bilans_E_AMS_Kyoto_run3_MTE!R262</f>
        <v>3.5579100416915854</v>
      </c>
      <c r="O75" s="711">
        <f>Bilans_E_AMS_Kyoto_run3_MTE!S262</f>
        <v>0.21873900418856049</v>
      </c>
      <c r="P75" s="711">
        <f>Bilans_E_AMS_Kyoto_run3_MTE!T262+Bilans_E_AMS_Kyoto_run3_MTE!U262</f>
        <v>0.4</v>
      </c>
      <c r="Q75" s="711">
        <f>Bilans_E_AMS_Kyoto_run3_MTE!V262</f>
        <v>0.5193752668696392</v>
      </c>
      <c r="R75" s="711">
        <f>Bilans_E_AMS_Kyoto_run3_MTE!W262</f>
        <v>7.9507920990780674</v>
      </c>
      <c r="S75" s="711">
        <f>Bilans_E_AMS_Kyoto_run3_MTE!X262</f>
        <v>0</v>
      </c>
      <c r="T75" s="711">
        <f>Bilans_E_AMS_Kyoto_run3_MTE!Y262</f>
        <v>0.14468782351059181</v>
      </c>
      <c r="U75" s="711">
        <f>Bilans_E_AMS_Kyoto_run3_MTE!Z262</f>
        <v>55.626265232849427</v>
      </c>
      <c r="V75" s="701"/>
      <c r="W75" s="701"/>
    </row>
    <row r="76" spans="1:23" x14ac:dyDescent="0.25">
      <c r="A76" s="701" t="s">
        <v>512</v>
      </c>
      <c r="B76" s="701"/>
      <c r="C76" s="717" t="s">
        <v>354</v>
      </c>
      <c r="D76" s="711">
        <f>Bilans_E_AMS_Kyoto_run3_MTE!H263</f>
        <v>0</v>
      </c>
      <c r="E76" s="711">
        <f>Bilans_E_AMS_Kyoto_run3_MTE!I263</f>
        <v>0</v>
      </c>
      <c r="F76" s="711">
        <f>Bilans_E_AMS_Kyoto_run3_MTE!J263</f>
        <v>0</v>
      </c>
      <c r="G76" s="711">
        <f>Bilans_E_AMS_Kyoto_run3_MTE!K263</f>
        <v>0</v>
      </c>
      <c r="H76" s="711">
        <f>Bilans_E_AMS_Kyoto_run3_MTE!L263</f>
        <v>0</v>
      </c>
      <c r="I76" s="711">
        <f>Bilans_E_AMS_Kyoto_run3_MTE!M263</f>
        <v>0</v>
      </c>
      <c r="J76" s="711">
        <f>Bilans_E_AMS_Kyoto_run3_MTE!N263</f>
        <v>0</v>
      </c>
      <c r="K76" s="711">
        <f>Bilans_E_AMS_Kyoto_run3_MTE!O263</f>
        <v>0</v>
      </c>
      <c r="L76" s="711">
        <f>Bilans_E_AMS_Kyoto_run3_MTE!P263</f>
        <v>0</v>
      </c>
      <c r="M76" s="711">
        <f>Bilans_E_AMS_Kyoto_run3_MTE!Q263</f>
        <v>0</v>
      </c>
      <c r="N76" s="711">
        <f>Bilans_E_AMS_Kyoto_run3_MTE!R263</f>
        <v>0</v>
      </c>
      <c r="O76" s="711">
        <f>Bilans_E_AMS_Kyoto_run3_MTE!S263</f>
        <v>0</v>
      </c>
      <c r="P76" s="711">
        <f>Bilans_E_AMS_Kyoto_run3_MTE!T263+Bilans_E_AMS_Kyoto_run3_MTE!U263</f>
        <v>0</v>
      </c>
      <c r="Q76" s="711">
        <f>Bilans_E_AMS_Kyoto_run3_MTE!V263</f>
        <v>0</v>
      </c>
      <c r="R76" s="711">
        <f>Bilans_E_AMS_Kyoto_run3_MTE!W263</f>
        <v>0</v>
      </c>
      <c r="S76" s="711">
        <f>Bilans_E_AMS_Kyoto_run3_MTE!X263</f>
        <v>0</v>
      </c>
      <c r="T76" s="711">
        <f>Bilans_E_AMS_Kyoto_run3_MTE!Y263</f>
        <v>0</v>
      </c>
      <c r="U76" s="711">
        <f>Bilans_E_AMS_Kyoto_run3_MTE!Z263</f>
        <v>0</v>
      </c>
      <c r="V76" s="701"/>
      <c r="W76" s="701"/>
    </row>
    <row r="77" spans="1:23" x14ac:dyDescent="0.25">
      <c r="A77" s="701" t="s">
        <v>513</v>
      </c>
      <c r="B77" s="701"/>
      <c r="C77" s="713" t="s">
        <v>83</v>
      </c>
      <c r="D77" s="714">
        <f>Bilans_E_AMS_Kyoto_run3_MTE!H264</f>
        <v>2.5368789062500001</v>
      </c>
      <c r="E77" s="714">
        <f>Bilans_E_AMS_Kyoto_run3_MTE!I264</f>
        <v>0</v>
      </c>
      <c r="F77" s="714">
        <f>Bilans_E_AMS_Kyoto_run3_MTE!J264</f>
        <v>440.00284233154429</v>
      </c>
      <c r="G77" s="714">
        <f>Bilans_E_AMS_Kyoto_run3_MTE!K264</f>
        <v>0</v>
      </c>
      <c r="H77" s="714">
        <f>Bilans_E_AMS_Kyoto_run3_MTE!L264</f>
        <v>218.57065579166283</v>
      </c>
      <c r="I77" s="714">
        <f>Bilans_E_AMS_Kyoto_run3_MTE!M264</f>
        <v>0</v>
      </c>
      <c r="J77" s="714">
        <f>Bilans_E_AMS_Kyoto_run3_MTE!N264</f>
        <v>0</v>
      </c>
      <c r="K77" s="714">
        <f>Bilans_E_AMS_Kyoto_run3_MTE!O264</f>
        <v>0</v>
      </c>
      <c r="L77" s="714">
        <f>Bilans_E_AMS_Kyoto_run3_MTE!P264</f>
        <v>107.87990334823351</v>
      </c>
      <c r="M77" s="714">
        <f>Bilans_E_AMS_Kyoto_run3_MTE!Q264</f>
        <v>8.5967036018731431</v>
      </c>
      <c r="N77" s="714">
        <f>Bilans_E_AMS_Kyoto_run3_MTE!R264</f>
        <v>41.381832314017473</v>
      </c>
      <c r="O77" s="714">
        <f>Bilans_E_AMS_Kyoto_run3_MTE!S264</f>
        <v>27.040187071011211</v>
      </c>
      <c r="P77" s="714">
        <f>Bilans_E_AMS_Kyoto_run3_MTE!T264+Bilans_E_AMS_Kyoto_run3_MTE!U264</f>
        <v>108.3749952462848</v>
      </c>
      <c r="Q77" s="714">
        <f>Bilans_E_AMS_Kyoto_run3_MTE!V264</f>
        <v>10.515727799955821</v>
      </c>
      <c r="R77" s="714">
        <f>Bilans_E_AMS_Kyoto_run3_MTE!W264</f>
        <v>459.18214152519721</v>
      </c>
      <c r="S77" s="714">
        <f>Bilans_E_AMS_Kyoto_run3_MTE!X264</f>
        <v>59.8694909587783</v>
      </c>
      <c r="T77" s="714">
        <f>Bilans_E_AMS_Kyoto_run3_MTE!Y264</f>
        <v>2.2066819741559995</v>
      </c>
      <c r="U77" s="714">
        <f>Bilans_E_AMS_Kyoto_run3_MTE!Z264</f>
        <v>1486.1580408689645</v>
      </c>
      <c r="V77" s="701"/>
      <c r="W77" s="701"/>
    </row>
    <row r="78" spans="1:23" x14ac:dyDescent="0.25">
      <c r="A78" s="701" t="s">
        <v>514</v>
      </c>
      <c r="B78" s="701"/>
      <c r="C78" s="710" t="s">
        <v>84</v>
      </c>
      <c r="D78" s="711">
        <f>Bilans_E_AMS_Kyoto_run3_MTE!H265</f>
        <v>0</v>
      </c>
      <c r="E78" s="711">
        <f>Bilans_E_AMS_Kyoto_run3_MTE!I265</f>
        <v>0</v>
      </c>
      <c r="F78" s="711">
        <f>Bilans_E_AMS_Kyoto_run3_MTE!J265</f>
        <v>114.96624488360118</v>
      </c>
      <c r="G78" s="711">
        <f>Bilans_E_AMS_Kyoto_run3_MTE!K265</f>
        <v>0</v>
      </c>
      <c r="H78" s="711">
        <f>Bilans_E_AMS_Kyoto_run3_MTE!L265</f>
        <v>13.488812976114151</v>
      </c>
      <c r="I78" s="711">
        <f>Bilans_E_AMS_Kyoto_run3_MTE!M265</f>
        <v>0</v>
      </c>
      <c r="J78" s="711">
        <f>Bilans_E_AMS_Kyoto_run3_MTE!N265</f>
        <v>0</v>
      </c>
      <c r="K78" s="711">
        <f>Bilans_E_AMS_Kyoto_run3_MTE!O265</f>
        <v>0</v>
      </c>
      <c r="L78" s="711">
        <f>Bilans_E_AMS_Kyoto_run3_MTE!P265</f>
        <v>9.0583762800977241E-2</v>
      </c>
      <c r="M78" s="711">
        <f>Bilans_E_AMS_Kyoto_run3_MTE!Q265</f>
        <v>0</v>
      </c>
      <c r="N78" s="711">
        <f>Bilans_E_AMS_Kyoto_run3_MTE!R265</f>
        <v>0.16009636691741183</v>
      </c>
      <c r="O78" s="711">
        <f>Bilans_E_AMS_Kyoto_run3_MTE!S265</f>
        <v>0</v>
      </c>
      <c r="P78" s="711">
        <f>Bilans_E_AMS_Kyoto_run3_MTE!T265+Bilans_E_AMS_Kyoto_run3_MTE!U265</f>
        <v>0</v>
      </c>
      <c r="Q78" s="711">
        <f>Bilans_E_AMS_Kyoto_run3_MTE!V265</f>
        <v>0</v>
      </c>
      <c r="R78" s="711">
        <f>Bilans_E_AMS_Kyoto_run3_MTE!W265</f>
        <v>0</v>
      </c>
      <c r="S78" s="711">
        <f>Bilans_E_AMS_Kyoto_run3_MTE!X265</f>
        <v>0</v>
      </c>
      <c r="T78" s="711">
        <f>Bilans_E_AMS_Kyoto_run3_MTE!Y265</f>
        <v>0.64382323980331424</v>
      </c>
      <c r="U78" s="711">
        <f>Bilans_E_AMS_Kyoto_run3_MTE!Z265</f>
        <v>129.34956122923703</v>
      </c>
      <c r="V78" s="701"/>
      <c r="W78" s="701"/>
    </row>
    <row r="79" spans="1:23" x14ac:dyDescent="0.25">
      <c r="A79" s="701" t="s">
        <v>515</v>
      </c>
      <c r="B79" s="701"/>
      <c r="C79" s="713" t="s">
        <v>85</v>
      </c>
      <c r="D79" s="714">
        <f>Bilans_E_AMS_Kyoto_run3_MTE!H266</f>
        <v>2.5368789062500001</v>
      </c>
      <c r="E79" s="714">
        <f>Bilans_E_AMS_Kyoto_run3_MTE!I266</f>
        <v>0</v>
      </c>
      <c r="F79" s="714">
        <f>Bilans_E_AMS_Kyoto_run3_MTE!J266</f>
        <v>554.96908721514546</v>
      </c>
      <c r="G79" s="714">
        <f>Bilans_E_AMS_Kyoto_run3_MTE!K266</f>
        <v>0</v>
      </c>
      <c r="H79" s="714">
        <f>Bilans_E_AMS_Kyoto_run3_MTE!L266</f>
        <v>232.05946876777699</v>
      </c>
      <c r="I79" s="714">
        <f>Bilans_E_AMS_Kyoto_run3_MTE!M266</f>
        <v>0</v>
      </c>
      <c r="J79" s="714">
        <f>Bilans_E_AMS_Kyoto_run3_MTE!N266</f>
        <v>0</v>
      </c>
      <c r="K79" s="714">
        <f>Bilans_E_AMS_Kyoto_run3_MTE!O266</f>
        <v>0</v>
      </c>
      <c r="L79" s="714">
        <f>Bilans_E_AMS_Kyoto_run3_MTE!P266</f>
        <v>107.97048711103449</v>
      </c>
      <c r="M79" s="714">
        <f>Bilans_E_AMS_Kyoto_run3_MTE!Q266</f>
        <v>8.5967036018731431</v>
      </c>
      <c r="N79" s="714">
        <f>Bilans_E_AMS_Kyoto_run3_MTE!R266</f>
        <v>41.541928680934888</v>
      </c>
      <c r="O79" s="714">
        <f>Bilans_E_AMS_Kyoto_run3_MTE!S266</f>
        <v>27.040187071011211</v>
      </c>
      <c r="P79" s="714">
        <f>Bilans_E_AMS_Kyoto_run3_MTE!T266+Bilans_E_AMS_Kyoto_run3_MTE!U266</f>
        <v>108.3749952462848</v>
      </c>
      <c r="Q79" s="714">
        <f>Bilans_E_AMS_Kyoto_run3_MTE!V266</f>
        <v>10.515727799955821</v>
      </c>
      <c r="R79" s="714">
        <f>Bilans_E_AMS_Kyoto_run3_MTE!W266</f>
        <v>459.18214152519721</v>
      </c>
      <c r="S79" s="714">
        <f>Bilans_E_AMS_Kyoto_run3_MTE!X266</f>
        <v>59.8694909587783</v>
      </c>
      <c r="T79" s="714">
        <f>Bilans_E_AMS_Kyoto_run3_MTE!Y266</f>
        <v>2.8505052139593139</v>
      </c>
      <c r="U79" s="714">
        <f>Bilans_E_AMS_Kyoto_run3_MTE!Z266</f>
        <v>1615.5076020982015</v>
      </c>
      <c r="V79" s="701"/>
      <c r="W79" s="701"/>
    </row>
    <row r="80" spans="1:23" x14ac:dyDescent="0.25">
      <c r="A80" s="701"/>
      <c r="B80" s="701"/>
      <c r="C80" s="701"/>
      <c r="D80" s="701">
        <f>Bilans_E_AMS_Kyoto_run3_MTE!H267</f>
        <v>0</v>
      </c>
      <c r="E80" s="701">
        <f>Bilans_E_AMS_Kyoto_run3_MTE!I267</f>
        <v>0</v>
      </c>
      <c r="F80" s="701">
        <f>Bilans_E_AMS_Kyoto_run3_MTE!J267</f>
        <v>0</v>
      </c>
      <c r="G80" s="701">
        <f>Bilans_E_AMS_Kyoto_run3_MTE!K267</f>
        <v>0</v>
      </c>
      <c r="H80" s="701">
        <f>Bilans_E_AMS_Kyoto_run3_MTE!L267</f>
        <v>0</v>
      </c>
      <c r="I80" s="701">
        <f>Bilans_E_AMS_Kyoto_run3_MTE!M267</f>
        <v>0</v>
      </c>
      <c r="J80" s="701">
        <f>Bilans_E_AMS_Kyoto_run3_MTE!N267</f>
        <v>0</v>
      </c>
      <c r="K80" s="701">
        <f>Bilans_E_AMS_Kyoto_run3_MTE!O267</f>
        <v>0</v>
      </c>
      <c r="L80" s="701">
        <f>Bilans_E_AMS_Kyoto_run3_MTE!P267</f>
        <v>0</v>
      </c>
      <c r="M80" s="701">
        <f>Bilans_E_AMS_Kyoto_run3_MTE!Q267</f>
        <v>0</v>
      </c>
      <c r="N80" s="701">
        <f>Bilans_E_AMS_Kyoto_run3_MTE!R267</f>
        <v>0</v>
      </c>
      <c r="O80" s="701">
        <f>Bilans_E_AMS_Kyoto_run3_MTE!S267</f>
        <v>-1.7183712498098913E-2</v>
      </c>
      <c r="P80" s="701">
        <f>Bilans_E_AMS_Kyoto_run3_MTE!T267+Bilans_E_AMS_Kyoto_run3_MTE!U267</f>
        <v>0</v>
      </c>
      <c r="Q80" s="701">
        <f>Bilans_E_AMS_Kyoto_run3_MTE!V267</f>
        <v>0</v>
      </c>
      <c r="R80" s="701">
        <f>Bilans_E_AMS_Kyoto_run3_MTE!W267</f>
        <v>0</v>
      </c>
      <c r="S80" s="701">
        <f>Bilans_E_AMS_Kyoto_run3_MTE!X267</f>
        <v>-2.9102377823164716E-5</v>
      </c>
      <c r="T80" s="701">
        <f>Bilans_E_AMS_Kyoto_run3_MTE!Y267</f>
        <v>-7.4246164771807344E-16</v>
      </c>
      <c r="U80" s="701">
        <f>Bilans_E_AMS_Kyoto_run3_MTE!Z267</f>
        <v>-1.7212814876074845E-2</v>
      </c>
      <c r="V80" s="701"/>
      <c r="W80" s="701"/>
    </row>
    <row r="81" spans="1:23" x14ac:dyDescent="0.25">
      <c r="A81" s="701"/>
      <c r="B81" s="701"/>
      <c r="C81" s="701"/>
      <c r="D81" s="701"/>
      <c r="E81" s="701"/>
      <c r="F81" s="701"/>
      <c r="G81" s="701"/>
      <c r="H81" s="701"/>
      <c r="I81" s="701"/>
      <c r="J81" s="701"/>
      <c r="K81" s="701"/>
      <c r="L81" s="701"/>
      <c r="M81" s="701"/>
      <c r="N81" s="701"/>
      <c r="O81" s="701"/>
      <c r="P81" s="701"/>
      <c r="Q81" s="701"/>
      <c r="R81" s="701"/>
      <c r="S81" s="701"/>
      <c r="T81" s="701"/>
      <c r="U81" s="701"/>
      <c r="V81" s="701"/>
      <c r="W81" s="701"/>
    </row>
    <row r="82" spans="1:23" x14ac:dyDescent="0.25">
      <c r="A82" s="707"/>
      <c r="B82" s="707"/>
      <c r="C82" s="708" t="s">
        <v>88</v>
      </c>
      <c r="D82" s="707"/>
      <c r="E82" s="707"/>
      <c r="F82" s="707"/>
      <c r="G82" s="707"/>
      <c r="H82" s="707"/>
      <c r="I82" s="707"/>
      <c r="J82" s="707"/>
      <c r="K82" s="707"/>
      <c r="L82" s="707"/>
      <c r="M82" s="707"/>
      <c r="N82" s="707"/>
      <c r="O82" s="707"/>
      <c r="P82" s="707"/>
      <c r="Q82" s="707"/>
      <c r="R82" s="707"/>
      <c r="S82" s="707"/>
      <c r="T82" s="707"/>
      <c r="U82" s="707"/>
      <c r="V82" s="707"/>
      <c r="W82" s="707"/>
    </row>
    <row r="83" spans="1:23" x14ac:dyDescent="0.25">
      <c r="A83" s="701"/>
      <c r="B83" s="701"/>
      <c r="C83" s="701"/>
      <c r="D83" s="701"/>
      <c r="E83" s="701"/>
      <c r="F83" s="701"/>
      <c r="G83" s="701"/>
      <c r="H83" s="701"/>
      <c r="I83" s="701"/>
      <c r="J83" s="701"/>
      <c r="K83" s="701"/>
      <c r="L83" s="701"/>
      <c r="M83" s="701"/>
      <c r="N83" s="701"/>
      <c r="O83" s="701"/>
      <c r="P83" s="701"/>
      <c r="Q83" s="701"/>
      <c r="R83" s="701"/>
      <c r="S83" s="701"/>
      <c r="T83" s="701"/>
      <c r="U83" s="701"/>
      <c r="V83" s="701"/>
      <c r="W83" s="701"/>
    </row>
    <row r="84" spans="1:23" x14ac:dyDescent="0.25">
      <c r="A84" s="701"/>
      <c r="B84" s="701"/>
      <c r="C84" s="780" t="s">
        <v>128</v>
      </c>
      <c r="D84" s="775" t="s">
        <v>42</v>
      </c>
      <c r="E84" s="775" t="s">
        <v>52</v>
      </c>
      <c r="F84" s="775" t="s">
        <v>53</v>
      </c>
      <c r="G84" s="775" t="s">
        <v>482</v>
      </c>
      <c r="H84" s="775" t="s">
        <v>32</v>
      </c>
      <c r="I84" s="775" t="s">
        <v>483</v>
      </c>
      <c r="J84" s="775" t="s">
        <v>20</v>
      </c>
      <c r="K84" s="775" t="s">
        <v>55</v>
      </c>
      <c r="L84" s="777" t="s">
        <v>56</v>
      </c>
      <c r="M84" s="778"/>
      <c r="N84" s="778"/>
      <c r="O84" s="778"/>
      <c r="P84" s="778"/>
      <c r="Q84" s="779"/>
      <c r="R84" s="775" t="s">
        <v>57</v>
      </c>
      <c r="S84" s="775" t="s">
        <v>58</v>
      </c>
      <c r="T84" s="775" t="s">
        <v>31</v>
      </c>
      <c r="U84" s="775" t="s">
        <v>10</v>
      </c>
      <c r="V84" s="701"/>
      <c r="W84" s="701"/>
    </row>
    <row r="85" spans="1:23" ht="67.5" x14ac:dyDescent="0.25">
      <c r="A85" s="701" t="s">
        <v>486</v>
      </c>
      <c r="B85" s="701"/>
      <c r="C85" s="781"/>
      <c r="D85" s="776"/>
      <c r="E85" s="776"/>
      <c r="F85" s="776"/>
      <c r="G85" s="776"/>
      <c r="H85" s="776"/>
      <c r="I85" s="776"/>
      <c r="J85" s="776"/>
      <c r="K85" s="776"/>
      <c r="L85" s="709" t="s">
        <v>335</v>
      </c>
      <c r="M85" s="709" t="s">
        <v>40</v>
      </c>
      <c r="N85" s="709" t="s">
        <v>343</v>
      </c>
      <c r="O85" s="709" t="s">
        <v>344</v>
      </c>
      <c r="P85" s="719" t="s">
        <v>610</v>
      </c>
      <c r="Q85" s="709" t="s">
        <v>346</v>
      </c>
      <c r="R85" s="776"/>
      <c r="S85" s="776"/>
      <c r="T85" s="776"/>
      <c r="U85" s="776"/>
      <c r="V85" s="701"/>
      <c r="W85" s="701"/>
    </row>
    <row r="86" spans="1:23" x14ac:dyDescent="0.25">
      <c r="A86" s="701" t="s">
        <v>487</v>
      </c>
      <c r="B86" s="701"/>
      <c r="C86" s="710" t="s">
        <v>59</v>
      </c>
      <c r="D86" s="711">
        <f>Bilans_E_AMS_Kyoto_run3_MTE!H273</f>
        <v>0</v>
      </c>
      <c r="E86" s="711">
        <f>Bilans_E_AMS_Kyoto_run3_MTE!I273</f>
        <v>9.5366</v>
      </c>
      <c r="F86" s="711">
        <f>Bilans_E_AMS_Kyoto_run3_MTE!J273</f>
        <v>0</v>
      </c>
      <c r="G86" s="711">
        <f>Bilans_E_AMS_Kyoto_run3_MTE!K273</f>
        <v>0</v>
      </c>
      <c r="H86" s="711">
        <f>Bilans_E_AMS_Kyoto_run3_MTE!L273</f>
        <v>0.19771000000000002</v>
      </c>
      <c r="I86" s="711">
        <f>Bilans_E_AMS_Kyoto_run3_MTE!M273</f>
        <v>0</v>
      </c>
      <c r="J86" s="711">
        <f>Bilans_E_AMS_Kyoto_run3_MTE!N273</f>
        <v>1170.5483636363635</v>
      </c>
      <c r="K86" s="711">
        <f>Bilans_E_AMS_Kyoto_run3_MTE!O273</f>
        <v>211.05320151197157</v>
      </c>
      <c r="L86" s="711">
        <f>Bilans_E_AMS_Kyoto_run3_MTE!P273</f>
        <v>290.91008816794533</v>
      </c>
      <c r="M86" s="711">
        <f>Bilans_E_AMS_Kyoto_run3_MTE!Q273</f>
        <v>51.094236462375186</v>
      </c>
      <c r="N86" s="711">
        <f>Bilans_E_AMS_Kyoto_run3_MTE!R273</f>
        <v>0</v>
      </c>
      <c r="O86" s="711">
        <f>Bilans_E_AMS_Kyoto_run3_MTE!S273</f>
        <v>0</v>
      </c>
      <c r="P86" s="711">
        <f>Bilans_E_AMS_Kyoto_run3_MTE!T273+Bilans_E_AMS_Kyoto_run3_MTE!U273</f>
        <v>129.75938144805454</v>
      </c>
      <c r="Q86" s="711">
        <f>Bilans_E_AMS_Kyoto_run3_MTE!V273</f>
        <v>22.58468388139195</v>
      </c>
      <c r="R86" s="711">
        <f>Bilans_E_AMS_Kyoto_run3_MTE!W273</f>
        <v>0</v>
      </c>
      <c r="S86" s="711">
        <f>Bilans_E_AMS_Kyoto_run3_MTE!X273</f>
        <v>0</v>
      </c>
      <c r="T86" s="711">
        <f>Bilans_E_AMS_Kyoto_run3_MTE!Y273</f>
        <v>0</v>
      </c>
      <c r="U86" s="711">
        <f>Bilans_E_AMS_Kyoto_run3_MTE!Z273</f>
        <v>1885.6842651081022</v>
      </c>
      <c r="V86" s="701"/>
      <c r="W86" s="701"/>
    </row>
    <row r="87" spans="1:23" x14ac:dyDescent="0.25">
      <c r="A87" s="701" t="s">
        <v>488</v>
      </c>
      <c r="B87" s="701"/>
      <c r="C87" s="710" t="s">
        <v>60</v>
      </c>
      <c r="D87" s="712">
        <f>Bilans_E_AMS_Kyoto_run3_MTE!H274</f>
        <v>22.464942871093751</v>
      </c>
      <c r="E87" s="712">
        <f>Bilans_E_AMS_Kyoto_run3_MTE!I274</f>
        <v>389.53221362524027</v>
      </c>
      <c r="F87" s="712">
        <f>Bilans_E_AMS_Kyoto_run3_MTE!J274</f>
        <v>202.97851930888072</v>
      </c>
      <c r="G87" s="712">
        <f>Bilans_E_AMS_Kyoto_run3_MTE!K274</f>
        <v>0</v>
      </c>
      <c r="H87" s="712">
        <f>Bilans_E_AMS_Kyoto_run3_MTE!L274</f>
        <v>267.33328549941001</v>
      </c>
      <c r="I87" s="712">
        <f>Bilans_E_AMS_Kyoto_run3_MTE!M274</f>
        <v>0</v>
      </c>
      <c r="J87" s="712">
        <f>Bilans_E_AMS_Kyoto_run3_MTE!N274</f>
        <v>0</v>
      </c>
      <c r="K87" s="712">
        <f>Bilans_E_AMS_Kyoto_run3_MTE!O274</f>
        <v>0</v>
      </c>
      <c r="L87" s="712">
        <f>Bilans_E_AMS_Kyoto_run3_MTE!P274</f>
        <v>4.0538456241052359</v>
      </c>
      <c r="M87" s="712">
        <f>Bilans_E_AMS_Kyoto_run3_MTE!Q274</f>
        <v>0</v>
      </c>
      <c r="N87" s="712">
        <f>Bilans_E_AMS_Kyoto_run3_MTE!R274</f>
        <v>5.1043186047972853</v>
      </c>
      <c r="O87" s="712">
        <f>Bilans_E_AMS_Kyoto_run3_MTE!S274</f>
        <v>12.337837782216525</v>
      </c>
      <c r="P87" s="712">
        <f>Bilans_E_AMS_Kyoto_run3_MTE!T274+Bilans_E_AMS_Kyoto_run3_MTE!U274</f>
        <v>0</v>
      </c>
      <c r="Q87" s="712">
        <f>Bilans_E_AMS_Kyoto_run3_MTE!V274</f>
        <v>0</v>
      </c>
      <c r="R87" s="712">
        <f>Bilans_E_AMS_Kyoto_run3_MTE!W274</f>
        <v>0</v>
      </c>
      <c r="S87" s="712">
        <f>Bilans_E_AMS_Kyoto_run3_MTE!X274</f>
        <v>0</v>
      </c>
      <c r="T87" s="712">
        <f>Bilans_E_AMS_Kyoto_run3_MTE!Y274</f>
        <v>0</v>
      </c>
      <c r="U87" s="712">
        <f>Bilans_E_AMS_Kyoto_run3_MTE!Z274</f>
        <v>903.80496331574375</v>
      </c>
      <c r="V87" s="701"/>
      <c r="W87" s="701"/>
    </row>
    <row r="88" spans="1:23" x14ac:dyDescent="0.25">
      <c r="A88" s="701" t="s">
        <v>489</v>
      </c>
      <c r="B88" s="701"/>
      <c r="C88" s="710" t="s">
        <v>61</v>
      </c>
      <c r="D88" s="712">
        <f>Bilans_E_AMS_Kyoto_run3_MTE!H275</f>
        <v>0</v>
      </c>
      <c r="E88" s="712">
        <f>Bilans_E_AMS_Kyoto_run3_MTE!I275</f>
        <v>0</v>
      </c>
      <c r="F88" s="712">
        <f>Bilans_E_AMS_Kyoto_run3_MTE!J275</f>
        <v>0</v>
      </c>
      <c r="G88" s="712">
        <f>Bilans_E_AMS_Kyoto_run3_MTE!K275</f>
        <v>-0.25</v>
      </c>
      <c r="H88" s="712">
        <f>Bilans_E_AMS_Kyoto_run3_MTE!L275</f>
        <v>0</v>
      </c>
      <c r="I88" s="712">
        <f>Bilans_E_AMS_Kyoto_run3_MTE!M275</f>
        <v>0</v>
      </c>
      <c r="J88" s="712">
        <f>Bilans_E_AMS_Kyoto_run3_MTE!N275</f>
        <v>0</v>
      </c>
      <c r="K88" s="712">
        <f>Bilans_E_AMS_Kyoto_run3_MTE!O275</f>
        <v>0</v>
      </c>
      <c r="L88" s="712">
        <f>Bilans_E_AMS_Kyoto_run3_MTE!P275</f>
        <v>0</v>
      </c>
      <c r="M88" s="712">
        <f>Bilans_E_AMS_Kyoto_run3_MTE!Q275</f>
        <v>0</v>
      </c>
      <c r="N88" s="712">
        <f>Bilans_E_AMS_Kyoto_run3_MTE!R275</f>
        <v>0</v>
      </c>
      <c r="O88" s="712">
        <f>Bilans_E_AMS_Kyoto_run3_MTE!S275</f>
        <v>0</v>
      </c>
      <c r="P88" s="712">
        <f>Bilans_E_AMS_Kyoto_run3_MTE!T275+Bilans_E_AMS_Kyoto_run3_MTE!U275</f>
        <v>0</v>
      </c>
      <c r="Q88" s="712">
        <f>Bilans_E_AMS_Kyoto_run3_MTE!V275</f>
        <v>0</v>
      </c>
      <c r="R88" s="712">
        <f>Bilans_E_AMS_Kyoto_run3_MTE!W275</f>
        <v>-57.004792385507699</v>
      </c>
      <c r="S88" s="712">
        <f>Bilans_E_AMS_Kyoto_run3_MTE!X275</f>
        <v>0</v>
      </c>
      <c r="T88" s="712">
        <f>Bilans_E_AMS_Kyoto_run3_MTE!Y275</f>
        <v>0</v>
      </c>
      <c r="U88" s="712">
        <f>Bilans_E_AMS_Kyoto_run3_MTE!Z275</f>
        <v>-57.254792385507699</v>
      </c>
      <c r="V88" s="701"/>
      <c r="W88" s="701"/>
    </row>
    <row r="89" spans="1:23" x14ac:dyDescent="0.25">
      <c r="A89" s="701" t="s">
        <v>490</v>
      </c>
      <c r="B89" s="701"/>
      <c r="C89" s="710" t="s">
        <v>62</v>
      </c>
      <c r="D89" s="711">
        <f>Bilans_E_AMS_Kyoto_run3_MTE!H276</f>
        <v>0</v>
      </c>
      <c r="E89" s="711">
        <f>Bilans_E_AMS_Kyoto_run3_MTE!I276</f>
        <v>0</v>
      </c>
      <c r="F89" s="711">
        <f>Bilans_E_AMS_Kyoto_run3_MTE!J276</f>
        <v>-8.8542757571138289</v>
      </c>
      <c r="G89" s="711">
        <f>Bilans_E_AMS_Kyoto_run3_MTE!K276</f>
        <v>-0.23021574029600306</v>
      </c>
      <c r="H89" s="711">
        <f>Bilans_E_AMS_Kyoto_run3_MTE!L276</f>
        <v>-1.4644559448503458</v>
      </c>
      <c r="I89" s="711">
        <f>Bilans_E_AMS_Kyoto_run3_MTE!M276</f>
        <v>-0.23021574029600303</v>
      </c>
      <c r="J89" s="711">
        <f>Bilans_E_AMS_Kyoto_run3_MTE!N276</f>
        <v>0</v>
      </c>
      <c r="K89" s="711">
        <f>Bilans_E_AMS_Kyoto_run3_MTE!O276</f>
        <v>0</v>
      </c>
      <c r="L89" s="711">
        <f>Bilans_E_AMS_Kyoto_run3_MTE!P276</f>
        <v>0</v>
      </c>
      <c r="M89" s="711">
        <f>Bilans_E_AMS_Kyoto_run3_MTE!Q276</f>
        <v>0</v>
      </c>
      <c r="N89" s="711">
        <f>Bilans_E_AMS_Kyoto_run3_MTE!R276</f>
        <v>0</v>
      </c>
      <c r="O89" s="711">
        <f>Bilans_E_AMS_Kyoto_run3_MTE!S276</f>
        <v>-0.67992597439480318</v>
      </c>
      <c r="P89" s="711">
        <f>Bilans_E_AMS_Kyoto_run3_MTE!T276+Bilans_E_AMS_Kyoto_run3_MTE!U276</f>
        <v>0</v>
      </c>
      <c r="Q89" s="711">
        <f>Bilans_E_AMS_Kyoto_run3_MTE!V276</f>
        <v>0</v>
      </c>
      <c r="R89" s="711">
        <f>Bilans_E_AMS_Kyoto_run3_MTE!W276</f>
        <v>0</v>
      </c>
      <c r="S89" s="711">
        <f>Bilans_E_AMS_Kyoto_run3_MTE!X276</f>
        <v>0</v>
      </c>
      <c r="T89" s="711">
        <f>Bilans_E_AMS_Kyoto_run3_MTE!Y276</f>
        <v>-8.5184540446497051E-2</v>
      </c>
      <c r="U89" s="711">
        <f>Bilans_E_AMS_Kyoto_run3_MTE!Z276</f>
        <v>-11.544273697397482</v>
      </c>
      <c r="V89" s="701"/>
      <c r="W89" s="701"/>
    </row>
    <row r="90" spans="1:23" x14ac:dyDescent="0.25">
      <c r="A90" s="701" t="s">
        <v>491</v>
      </c>
      <c r="B90" s="701"/>
      <c r="C90" s="710" t="s">
        <v>63</v>
      </c>
      <c r="D90" s="711">
        <f>Bilans_E_AMS_Kyoto_run3_MTE!H277</f>
        <v>0</v>
      </c>
      <c r="E90" s="711">
        <f>Bilans_E_AMS_Kyoto_run3_MTE!I277</f>
        <v>0</v>
      </c>
      <c r="F90" s="711">
        <f>Bilans_E_AMS_Kyoto_run3_MTE!J277</f>
        <v>-70</v>
      </c>
      <c r="G90" s="711">
        <f>Bilans_E_AMS_Kyoto_run3_MTE!K277</f>
        <v>-1</v>
      </c>
      <c r="H90" s="711">
        <f>Bilans_E_AMS_Kyoto_run3_MTE!L277</f>
        <v>0</v>
      </c>
      <c r="I90" s="711">
        <f>Bilans_E_AMS_Kyoto_run3_MTE!M277</f>
        <v>0</v>
      </c>
      <c r="J90" s="711">
        <f>Bilans_E_AMS_Kyoto_run3_MTE!N277</f>
        <v>0</v>
      </c>
      <c r="K90" s="711">
        <f>Bilans_E_AMS_Kyoto_run3_MTE!O277</f>
        <v>0</v>
      </c>
      <c r="L90" s="711">
        <f>Bilans_E_AMS_Kyoto_run3_MTE!P277</f>
        <v>0</v>
      </c>
      <c r="M90" s="711">
        <f>Bilans_E_AMS_Kyoto_run3_MTE!Q277</f>
        <v>0</v>
      </c>
      <c r="N90" s="711">
        <f>Bilans_E_AMS_Kyoto_run3_MTE!R277</f>
        <v>-4</v>
      </c>
      <c r="O90" s="711">
        <f>Bilans_E_AMS_Kyoto_run3_MTE!S277</f>
        <v>0</v>
      </c>
      <c r="P90" s="711">
        <f>Bilans_E_AMS_Kyoto_run3_MTE!T277+Bilans_E_AMS_Kyoto_run3_MTE!U277</f>
        <v>0</v>
      </c>
      <c r="Q90" s="711">
        <f>Bilans_E_AMS_Kyoto_run3_MTE!V277</f>
        <v>0</v>
      </c>
      <c r="R90" s="711">
        <f>Bilans_E_AMS_Kyoto_run3_MTE!W277</f>
        <v>0</v>
      </c>
      <c r="S90" s="711">
        <f>Bilans_E_AMS_Kyoto_run3_MTE!X277</f>
        <v>0</v>
      </c>
      <c r="T90" s="711">
        <f>Bilans_E_AMS_Kyoto_run3_MTE!Y277</f>
        <v>0</v>
      </c>
      <c r="U90" s="711">
        <f>Bilans_E_AMS_Kyoto_run3_MTE!Z277</f>
        <v>-75</v>
      </c>
      <c r="V90" s="701"/>
      <c r="W90" s="701"/>
    </row>
    <row r="91" spans="1:23" x14ac:dyDescent="0.25">
      <c r="A91" s="701" t="s">
        <v>492</v>
      </c>
      <c r="B91" s="701"/>
      <c r="C91" s="710" t="s">
        <v>64</v>
      </c>
      <c r="D91" s="712">
        <f>Bilans_E_AMS_Kyoto_run3_MTE!H278</f>
        <v>0</v>
      </c>
      <c r="E91" s="712">
        <f>Bilans_E_AMS_Kyoto_run3_MTE!I278</f>
        <v>0</v>
      </c>
      <c r="F91" s="712">
        <f>Bilans_E_AMS_Kyoto_run3_MTE!J278</f>
        <v>0</v>
      </c>
      <c r="G91" s="712">
        <f>Bilans_E_AMS_Kyoto_run3_MTE!K278</f>
        <v>0</v>
      </c>
      <c r="H91" s="712">
        <f>Bilans_E_AMS_Kyoto_run3_MTE!L278</f>
        <v>0</v>
      </c>
      <c r="I91" s="712">
        <f>Bilans_E_AMS_Kyoto_run3_MTE!M278</f>
        <v>0</v>
      </c>
      <c r="J91" s="712">
        <f>Bilans_E_AMS_Kyoto_run3_MTE!N278</f>
        <v>0</v>
      </c>
      <c r="K91" s="712">
        <f>Bilans_E_AMS_Kyoto_run3_MTE!O278</f>
        <v>0</v>
      </c>
      <c r="L91" s="712">
        <f>Bilans_E_AMS_Kyoto_run3_MTE!P278</f>
        <v>0</v>
      </c>
      <c r="M91" s="712">
        <f>Bilans_E_AMS_Kyoto_run3_MTE!Q278</f>
        <v>0</v>
      </c>
      <c r="N91" s="712">
        <f>Bilans_E_AMS_Kyoto_run3_MTE!R278</f>
        <v>0</v>
      </c>
      <c r="O91" s="712">
        <f>Bilans_E_AMS_Kyoto_run3_MTE!S278</f>
        <v>0</v>
      </c>
      <c r="P91" s="712">
        <f>Bilans_E_AMS_Kyoto_run3_MTE!T278+Bilans_E_AMS_Kyoto_run3_MTE!U278</f>
        <v>0</v>
      </c>
      <c r="Q91" s="712">
        <f>Bilans_E_AMS_Kyoto_run3_MTE!V278</f>
        <v>0</v>
      </c>
      <c r="R91" s="712">
        <f>Bilans_E_AMS_Kyoto_run3_MTE!W278</f>
        <v>0</v>
      </c>
      <c r="S91" s="712">
        <f>Bilans_E_AMS_Kyoto_run3_MTE!X278</f>
        <v>0</v>
      </c>
      <c r="T91" s="712">
        <f>Bilans_E_AMS_Kyoto_run3_MTE!Y278</f>
        <v>0</v>
      </c>
      <c r="U91" s="712">
        <f>Bilans_E_AMS_Kyoto_run3_MTE!Z278</f>
        <v>0</v>
      </c>
      <c r="V91" s="701"/>
      <c r="W91" s="701"/>
    </row>
    <row r="92" spans="1:23" x14ac:dyDescent="0.25">
      <c r="A92" s="701" t="s">
        <v>493</v>
      </c>
      <c r="B92" s="701"/>
      <c r="C92" s="713" t="s">
        <v>65</v>
      </c>
      <c r="D92" s="714">
        <f>Bilans_E_AMS_Kyoto_run3_MTE!H279</f>
        <v>22.464942871093751</v>
      </c>
      <c r="E92" s="714">
        <f>Bilans_E_AMS_Kyoto_run3_MTE!I279</f>
        <v>399.0688136252403</v>
      </c>
      <c r="F92" s="714">
        <f>Bilans_E_AMS_Kyoto_run3_MTE!J279</f>
        <v>124.12424355176688</v>
      </c>
      <c r="G92" s="714">
        <f>Bilans_E_AMS_Kyoto_run3_MTE!K279</f>
        <v>-1.480215740296003</v>
      </c>
      <c r="H92" s="714">
        <f>Bilans_E_AMS_Kyoto_run3_MTE!L279</f>
        <v>266.06653955455965</v>
      </c>
      <c r="I92" s="714">
        <f>Bilans_E_AMS_Kyoto_run3_MTE!M279</f>
        <v>-0.23021574029600303</v>
      </c>
      <c r="J92" s="714">
        <f>Bilans_E_AMS_Kyoto_run3_MTE!N279</f>
        <v>1170.5483636363635</v>
      </c>
      <c r="K92" s="714">
        <f>Bilans_E_AMS_Kyoto_run3_MTE!O279</f>
        <v>211.05320151197157</v>
      </c>
      <c r="L92" s="714">
        <f>Bilans_E_AMS_Kyoto_run3_MTE!P279</f>
        <v>294.96393379205057</v>
      </c>
      <c r="M92" s="714">
        <f>Bilans_E_AMS_Kyoto_run3_MTE!Q279</f>
        <v>51.094236462375186</v>
      </c>
      <c r="N92" s="714">
        <f>Bilans_E_AMS_Kyoto_run3_MTE!R279</f>
        <v>1.1043186047972853</v>
      </c>
      <c r="O92" s="714">
        <f>Bilans_E_AMS_Kyoto_run3_MTE!S279</f>
        <v>11.657911807821721</v>
      </c>
      <c r="P92" s="714">
        <f>Bilans_E_AMS_Kyoto_run3_MTE!T279+Bilans_E_AMS_Kyoto_run3_MTE!U279</f>
        <v>129.75938144805454</v>
      </c>
      <c r="Q92" s="714">
        <f>Bilans_E_AMS_Kyoto_run3_MTE!V279</f>
        <v>22.58468388139195</v>
      </c>
      <c r="R92" s="714">
        <f>Bilans_E_AMS_Kyoto_run3_MTE!W279</f>
        <v>-57.004792385507699</v>
      </c>
      <c r="S92" s="714">
        <f>Bilans_E_AMS_Kyoto_run3_MTE!X279</f>
        <v>0</v>
      </c>
      <c r="T92" s="714">
        <f>Bilans_E_AMS_Kyoto_run3_MTE!Y279</f>
        <v>-8.5184540446497051E-2</v>
      </c>
      <c r="U92" s="714">
        <f>Bilans_E_AMS_Kyoto_run3_MTE!Z279</f>
        <v>2645.6901623409408</v>
      </c>
      <c r="V92" s="701"/>
      <c r="W92" s="701"/>
    </row>
    <row r="93" spans="1:23" x14ac:dyDescent="0.25">
      <c r="A93" s="701"/>
      <c r="B93" s="701"/>
      <c r="C93" s="715"/>
      <c r="D93" s="716"/>
      <c r="E93" s="716"/>
      <c r="F93" s="716"/>
      <c r="G93" s="716"/>
      <c r="H93" s="716"/>
      <c r="I93" s="716"/>
      <c r="J93" s="716"/>
      <c r="K93" s="716"/>
      <c r="L93" s="716"/>
      <c r="M93" s="716"/>
      <c r="N93" s="716"/>
      <c r="O93" s="716"/>
      <c r="P93" s="716">
        <f>Bilans_E_AMS_Kyoto_run3_MTE!T280+Bilans_E_AMS_Kyoto_run3_MTE!U280</f>
        <v>0</v>
      </c>
      <c r="Q93" s="716"/>
      <c r="R93" s="716"/>
      <c r="S93" s="716"/>
      <c r="T93" s="716"/>
      <c r="U93" s="716"/>
      <c r="V93" s="701"/>
      <c r="W93" s="701"/>
    </row>
    <row r="94" spans="1:23" x14ac:dyDescent="0.25">
      <c r="A94" s="701" t="s">
        <v>494</v>
      </c>
      <c r="B94" s="701"/>
      <c r="C94" s="717" t="s">
        <v>67</v>
      </c>
      <c r="D94" s="711">
        <f>Bilans_E_AMS_Kyoto_run3_MTE!H281</f>
        <v>0</v>
      </c>
      <c r="E94" s="711">
        <f>Bilans_E_AMS_Kyoto_run3_MTE!I281</f>
        <v>0</v>
      </c>
      <c r="F94" s="711">
        <f>Bilans_E_AMS_Kyoto_run3_MTE!J281</f>
        <v>0</v>
      </c>
      <c r="G94" s="711">
        <f>Bilans_E_AMS_Kyoto_run3_MTE!K281</f>
        <v>0</v>
      </c>
      <c r="H94" s="711">
        <f>Bilans_E_AMS_Kyoto_run3_MTE!L281</f>
        <v>0</v>
      </c>
      <c r="I94" s="711">
        <f>Bilans_E_AMS_Kyoto_run3_MTE!M281</f>
        <v>0</v>
      </c>
      <c r="J94" s="711">
        <f>Bilans_E_AMS_Kyoto_run3_MTE!N281</f>
        <v>0</v>
      </c>
      <c r="K94" s="711">
        <f>Bilans_E_AMS_Kyoto_run3_MTE!O281</f>
        <v>0</v>
      </c>
      <c r="L94" s="711">
        <f>Bilans_E_AMS_Kyoto_run3_MTE!P281</f>
        <v>0</v>
      </c>
      <c r="M94" s="711">
        <f>Bilans_E_AMS_Kyoto_run3_MTE!Q281</f>
        <v>0</v>
      </c>
      <c r="N94" s="711">
        <f>Bilans_E_AMS_Kyoto_run3_MTE!R281</f>
        <v>0</v>
      </c>
      <c r="O94" s="711">
        <f>Bilans_E_AMS_Kyoto_run3_MTE!S281</f>
        <v>0</v>
      </c>
      <c r="P94" s="711">
        <f>Bilans_E_AMS_Kyoto_run3_MTE!T281+Bilans_E_AMS_Kyoto_run3_MTE!U281</f>
        <v>0</v>
      </c>
      <c r="Q94" s="711">
        <f>Bilans_E_AMS_Kyoto_run3_MTE!V281</f>
        <v>0</v>
      </c>
      <c r="R94" s="711">
        <f>Bilans_E_AMS_Kyoto_run3_MTE!W281</f>
        <v>0</v>
      </c>
      <c r="S94" s="711">
        <f>Bilans_E_AMS_Kyoto_run3_MTE!X281</f>
        <v>0</v>
      </c>
      <c r="T94" s="711">
        <f>Bilans_E_AMS_Kyoto_run3_MTE!Y281</f>
        <v>0</v>
      </c>
      <c r="U94" s="711">
        <f>Bilans_E_AMS_Kyoto_run3_MTE!Z281</f>
        <v>0</v>
      </c>
      <c r="V94" s="701"/>
      <c r="W94" s="701"/>
    </row>
    <row r="95" spans="1:23" x14ac:dyDescent="0.25">
      <c r="A95" s="701" t="s">
        <v>495</v>
      </c>
      <c r="B95" s="701"/>
      <c r="C95" s="717" t="s">
        <v>347</v>
      </c>
      <c r="D95" s="711">
        <f>Bilans_E_AMS_Kyoto_run3_MTE!H282</f>
        <v>0</v>
      </c>
      <c r="E95" s="711">
        <f>Bilans_E_AMS_Kyoto_run3_MTE!I282</f>
        <v>0</v>
      </c>
      <c r="F95" s="711">
        <f>Bilans_E_AMS_Kyoto_run3_MTE!J282</f>
        <v>0.77863803143112786</v>
      </c>
      <c r="G95" s="711">
        <f>Bilans_E_AMS_Kyoto_run3_MTE!K282</f>
        <v>0</v>
      </c>
      <c r="H95" s="711">
        <f>Bilans_E_AMS_Kyoto_run3_MTE!L282</f>
        <v>37.284874621454541</v>
      </c>
      <c r="I95" s="711">
        <f>Bilans_E_AMS_Kyoto_run3_MTE!M282</f>
        <v>0</v>
      </c>
      <c r="J95" s="711">
        <f>Bilans_E_AMS_Kyoto_run3_MTE!N282</f>
        <v>1170.5483636363635</v>
      </c>
      <c r="K95" s="711">
        <f>Bilans_E_AMS_Kyoto_run3_MTE!O282</f>
        <v>211.05320151197157</v>
      </c>
      <c r="L95" s="711">
        <f>Bilans_E_AMS_Kyoto_run3_MTE!P282</f>
        <v>13.643826551456822</v>
      </c>
      <c r="M95" s="711">
        <f>Bilans_E_AMS_Kyoto_run3_MTE!Q282</f>
        <v>6.3714737362755738</v>
      </c>
      <c r="N95" s="711">
        <f>Bilans_E_AMS_Kyoto_run3_MTE!R282</f>
        <v>4.4112574708908179</v>
      </c>
      <c r="O95" s="711">
        <f>Bilans_E_AMS_Kyoto_run3_MTE!S282</f>
        <v>11.131476471231387</v>
      </c>
      <c r="P95" s="711">
        <f>Bilans_E_AMS_Kyoto_run3_MTE!T282+Bilans_E_AMS_Kyoto_run3_MTE!U282</f>
        <v>0</v>
      </c>
      <c r="Q95" s="711">
        <f>Bilans_E_AMS_Kyoto_run3_MTE!V282</f>
        <v>0</v>
      </c>
      <c r="R95" s="711">
        <f>Bilans_E_AMS_Kyoto_run3_MTE!W282</f>
        <v>-636.49198102617061</v>
      </c>
      <c r="S95" s="711">
        <f>Bilans_E_AMS_Kyoto_run3_MTE!X282</f>
        <v>0</v>
      </c>
      <c r="T95" s="711">
        <f>Bilans_E_AMS_Kyoto_run3_MTE!Y282</f>
        <v>0</v>
      </c>
      <c r="U95" s="711">
        <f>Bilans_E_AMS_Kyoto_run3_MTE!Z282</f>
        <v>818.73113100490491</v>
      </c>
      <c r="V95" s="701"/>
      <c r="W95" s="701"/>
    </row>
    <row r="96" spans="1:23" x14ac:dyDescent="0.25">
      <c r="A96" s="701" t="s">
        <v>496</v>
      </c>
      <c r="B96" s="701"/>
      <c r="C96" s="717" t="s">
        <v>348</v>
      </c>
      <c r="D96" s="711">
        <f>Bilans_E_AMS_Kyoto_run3_MTE!H283</f>
        <v>0</v>
      </c>
      <c r="E96" s="711">
        <f>Bilans_E_AMS_Kyoto_run3_MTE!I283</f>
        <v>0</v>
      </c>
      <c r="F96" s="711">
        <f>Bilans_E_AMS_Kyoto_run3_MTE!J283</f>
        <v>0</v>
      </c>
      <c r="G96" s="711">
        <f>Bilans_E_AMS_Kyoto_run3_MTE!K283</f>
        <v>0</v>
      </c>
      <c r="H96" s="711">
        <f>Bilans_E_AMS_Kyoto_run3_MTE!L283</f>
        <v>21.01937665904569</v>
      </c>
      <c r="I96" s="711">
        <f>Bilans_E_AMS_Kyoto_run3_MTE!M283</f>
        <v>0</v>
      </c>
      <c r="J96" s="711">
        <f>Bilans_E_AMS_Kyoto_run3_MTE!N283</f>
        <v>0</v>
      </c>
      <c r="K96" s="711">
        <f>Bilans_E_AMS_Kyoto_run3_MTE!O283</f>
        <v>0</v>
      </c>
      <c r="L96" s="711">
        <f>Bilans_E_AMS_Kyoto_run3_MTE!P283</f>
        <v>25.438759695297328</v>
      </c>
      <c r="M96" s="711">
        <f>Bilans_E_AMS_Kyoto_run3_MTE!Q283</f>
        <v>17.519848610972289</v>
      </c>
      <c r="N96" s="711">
        <f>Bilans_E_AMS_Kyoto_run3_MTE!R283</f>
        <v>0</v>
      </c>
      <c r="O96" s="711">
        <f>Bilans_E_AMS_Kyoto_run3_MTE!S283</f>
        <v>5.5617593110833985</v>
      </c>
      <c r="P96" s="711">
        <f>Bilans_E_AMS_Kyoto_run3_MTE!T283+Bilans_E_AMS_Kyoto_run3_MTE!U283</f>
        <v>5.5922659753689832</v>
      </c>
      <c r="Q96" s="711">
        <f>Bilans_E_AMS_Kyoto_run3_MTE!V283</f>
        <v>10.223550533524911</v>
      </c>
      <c r="R96" s="711">
        <f>Bilans_E_AMS_Kyoto_run3_MTE!W283</f>
        <v>0</v>
      </c>
      <c r="S96" s="711">
        <f>Bilans_E_AMS_Kyoto_run3_MTE!X283</f>
        <v>-76.161434631032037</v>
      </c>
      <c r="T96" s="711">
        <f>Bilans_E_AMS_Kyoto_run3_MTE!Y283</f>
        <v>0</v>
      </c>
      <c r="U96" s="711">
        <f>Bilans_E_AMS_Kyoto_run3_MTE!Z283</f>
        <v>9.194126154260573</v>
      </c>
      <c r="V96" s="701"/>
      <c r="W96" s="701"/>
    </row>
    <row r="97" spans="1:23" x14ac:dyDescent="0.25">
      <c r="A97" s="701" t="s">
        <v>497</v>
      </c>
      <c r="B97" s="701"/>
      <c r="C97" s="717" t="s">
        <v>349</v>
      </c>
      <c r="D97" s="711">
        <f>Bilans_E_AMS_Kyoto_run3_MTE!H284</f>
        <v>0</v>
      </c>
      <c r="E97" s="711">
        <f>Bilans_E_AMS_Kyoto_run3_MTE!I284</f>
        <v>0</v>
      </c>
      <c r="F97" s="711">
        <f>Bilans_E_AMS_Kyoto_run3_MTE!J284</f>
        <v>0</v>
      </c>
      <c r="G97" s="711">
        <f>Bilans_E_AMS_Kyoto_run3_MTE!K284</f>
        <v>0</v>
      </c>
      <c r="H97" s="711">
        <f>Bilans_E_AMS_Kyoto_run3_MTE!L284</f>
        <v>0</v>
      </c>
      <c r="I97" s="711">
        <f>Bilans_E_AMS_Kyoto_run3_MTE!M284</f>
        <v>0</v>
      </c>
      <c r="J97" s="711">
        <f>Bilans_E_AMS_Kyoto_run3_MTE!N284</f>
        <v>0</v>
      </c>
      <c r="K97" s="711">
        <f>Bilans_E_AMS_Kyoto_run3_MTE!O284</f>
        <v>0</v>
      </c>
      <c r="L97" s="711">
        <f>Bilans_E_AMS_Kyoto_run3_MTE!P284</f>
        <v>68.878327619299128</v>
      </c>
      <c r="M97" s="711">
        <f>Bilans_E_AMS_Kyoto_run3_MTE!Q284</f>
        <v>9.6609327353265275</v>
      </c>
      <c r="N97" s="711">
        <f>Bilans_E_AMS_Kyoto_run3_MTE!R284</f>
        <v>0</v>
      </c>
      <c r="O97" s="711">
        <f>Bilans_E_AMS_Kyoto_run3_MTE!S284</f>
        <v>-39.337598681233651</v>
      </c>
      <c r="P97" s="711">
        <f>Bilans_E_AMS_Kyoto_run3_MTE!T284+Bilans_E_AMS_Kyoto_run3_MTE!U284</f>
        <v>0</v>
      </c>
      <c r="Q97" s="711">
        <f>Bilans_E_AMS_Kyoto_run3_MTE!V284</f>
        <v>0</v>
      </c>
      <c r="R97" s="711">
        <f>Bilans_E_AMS_Kyoto_run3_MTE!W284</f>
        <v>0</v>
      </c>
      <c r="S97" s="711">
        <f>Bilans_E_AMS_Kyoto_run3_MTE!X284</f>
        <v>0</v>
      </c>
      <c r="T97" s="711">
        <f>Bilans_E_AMS_Kyoto_run3_MTE!Y284</f>
        <v>0</v>
      </c>
      <c r="U97" s="711">
        <f>Bilans_E_AMS_Kyoto_run3_MTE!Z284</f>
        <v>39.201661673392003</v>
      </c>
      <c r="V97" s="701"/>
      <c r="W97" s="701"/>
    </row>
    <row r="98" spans="1:23" x14ac:dyDescent="0.25">
      <c r="A98" s="701" t="s">
        <v>498</v>
      </c>
      <c r="B98" s="701"/>
      <c r="C98" s="717" t="s">
        <v>350</v>
      </c>
      <c r="D98" s="711">
        <f>Bilans_E_AMS_Kyoto_run3_MTE!H285</f>
        <v>0</v>
      </c>
      <c r="E98" s="711">
        <f>Bilans_E_AMS_Kyoto_run3_MTE!I285</f>
        <v>0</v>
      </c>
      <c r="F98" s="711">
        <f>Bilans_E_AMS_Kyoto_run3_MTE!J285</f>
        <v>0</v>
      </c>
      <c r="G98" s="711">
        <f>Bilans_E_AMS_Kyoto_run3_MTE!K285</f>
        <v>0</v>
      </c>
      <c r="H98" s="711">
        <f>Bilans_E_AMS_Kyoto_run3_MTE!L285</f>
        <v>0</v>
      </c>
      <c r="I98" s="711">
        <f>Bilans_E_AMS_Kyoto_run3_MTE!M285</f>
        <v>-0.23021574029600303</v>
      </c>
      <c r="J98" s="711">
        <f>Bilans_E_AMS_Kyoto_run3_MTE!N285</f>
        <v>0</v>
      </c>
      <c r="K98" s="711">
        <f>Bilans_E_AMS_Kyoto_run3_MTE!O285</f>
        <v>0</v>
      </c>
      <c r="L98" s="711">
        <f>Bilans_E_AMS_Kyoto_run3_MTE!P285</f>
        <v>0</v>
      </c>
      <c r="M98" s="711">
        <f>Bilans_E_AMS_Kyoto_run3_MTE!Q285</f>
        <v>0</v>
      </c>
      <c r="N98" s="711">
        <f>Bilans_E_AMS_Kyoto_run3_MTE!R285</f>
        <v>0</v>
      </c>
      <c r="O98" s="711">
        <f>Bilans_E_AMS_Kyoto_run3_MTE!S285</f>
        <v>0</v>
      </c>
      <c r="P98" s="711">
        <f>Bilans_E_AMS_Kyoto_run3_MTE!T285+Bilans_E_AMS_Kyoto_run3_MTE!U285</f>
        <v>0</v>
      </c>
      <c r="Q98" s="711">
        <f>Bilans_E_AMS_Kyoto_run3_MTE!V285</f>
        <v>0</v>
      </c>
      <c r="R98" s="711">
        <f>Bilans_E_AMS_Kyoto_run3_MTE!W285</f>
        <v>0</v>
      </c>
      <c r="S98" s="711">
        <f>Bilans_E_AMS_Kyoto_run3_MTE!X285</f>
        <v>0</v>
      </c>
      <c r="T98" s="711">
        <f>Bilans_E_AMS_Kyoto_run3_MTE!Y285</f>
        <v>0.31974408374444868</v>
      </c>
      <c r="U98" s="711">
        <f>Bilans_E_AMS_Kyoto_run3_MTE!Z285</f>
        <v>8.9528343448445652E-2</v>
      </c>
      <c r="V98" s="701"/>
      <c r="W98" s="701"/>
    </row>
    <row r="99" spans="1:23" x14ac:dyDescent="0.25">
      <c r="A99" s="701" t="s">
        <v>499</v>
      </c>
      <c r="B99" s="701"/>
      <c r="C99" s="717" t="s">
        <v>72</v>
      </c>
      <c r="D99" s="711">
        <f>Bilans_E_AMS_Kyoto_run3_MTE!H286</f>
        <v>0</v>
      </c>
      <c r="E99" s="711">
        <f>Bilans_E_AMS_Kyoto_run3_MTE!I286</f>
        <v>413.59716113320059</v>
      </c>
      <c r="F99" s="711">
        <f>Bilans_E_AMS_Kyoto_run3_MTE!J286</f>
        <v>-409.46118952186856</v>
      </c>
      <c r="G99" s="711">
        <f>Bilans_E_AMS_Kyoto_run3_MTE!K286</f>
        <v>0</v>
      </c>
      <c r="H99" s="711">
        <f>Bilans_E_AMS_Kyoto_run3_MTE!L286</f>
        <v>0</v>
      </c>
      <c r="I99" s="711">
        <f>Bilans_E_AMS_Kyoto_run3_MTE!M286</f>
        <v>0</v>
      </c>
      <c r="J99" s="711">
        <f>Bilans_E_AMS_Kyoto_run3_MTE!N286</f>
        <v>0</v>
      </c>
      <c r="K99" s="711">
        <f>Bilans_E_AMS_Kyoto_run3_MTE!O286</f>
        <v>0</v>
      </c>
      <c r="L99" s="711">
        <f>Bilans_E_AMS_Kyoto_run3_MTE!P286</f>
        <v>0</v>
      </c>
      <c r="M99" s="711">
        <f>Bilans_E_AMS_Kyoto_run3_MTE!Q286</f>
        <v>0</v>
      </c>
      <c r="N99" s="711">
        <f>Bilans_E_AMS_Kyoto_run3_MTE!R286</f>
        <v>0</v>
      </c>
      <c r="O99" s="711">
        <f>Bilans_E_AMS_Kyoto_run3_MTE!S286</f>
        <v>0</v>
      </c>
      <c r="P99" s="711">
        <f>Bilans_E_AMS_Kyoto_run3_MTE!T286+Bilans_E_AMS_Kyoto_run3_MTE!U286</f>
        <v>0</v>
      </c>
      <c r="Q99" s="711">
        <f>Bilans_E_AMS_Kyoto_run3_MTE!V286</f>
        <v>0</v>
      </c>
      <c r="R99" s="711">
        <f>Bilans_E_AMS_Kyoto_run3_MTE!W286</f>
        <v>0</v>
      </c>
      <c r="S99" s="711">
        <f>Bilans_E_AMS_Kyoto_run3_MTE!X286</f>
        <v>0</v>
      </c>
      <c r="T99" s="711">
        <f>Bilans_E_AMS_Kyoto_run3_MTE!Y286</f>
        <v>0</v>
      </c>
      <c r="U99" s="711">
        <f>Bilans_E_AMS_Kyoto_run3_MTE!Z286</f>
        <v>4.1359716113320246</v>
      </c>
      <c r="V99" s="701"/>
      <c r="W99" s="701"/>
    </row>
    <row r="100" spans="1:23" x14ac:dyDescent="0.25">
      <c r="A100" s="701" t="s">
        <v>500</v>
      </c>
      <c r="B100" s="701"/>
      <c r="C100" s="717" t="s">
        <v>351</v>
      </c>
      <c r="D100" s="711">
        <f>Bilans_E_AMS_Kyoto_run3_MTE!H287</f>
        <v>0</v>
      </c>
      <c r="E100" s="711">
        <f>Bilans_E_AMS_Kyoto_run3_MTE!I287</f>
        <v>0</v>
      </c>
      <c r="F100" s="711">
        <f>Bilans_E_AMS_Kyoto_run3_MTE!J287</f>
        <v>0</v>
      </c>
      <c r="G100" s="711">
        <f>Bilans_E_AMS_Kyoto_run3_MTE!K287</f>
        <v>0</v>
      </c>
      <c r="H100" s="711">
        <f>Bilans_E_AMS_Kyoto_run3_MTE!L287</f>
        <v>0</v>
      </c>
      <c r="I100" s="711">
        <f>Bilans_E_AMS_Kyoto_run3_MTE!M287</f>
        <v>0</v>
      </c>
      <c r="J100" s="711">
        <f>Bilans_E_AMS_Kyoto_run3_MTE!N287</f>
        <v>0</v>
      </c>
      <c r="K100" s="711">
        <f>Bilans_E_AMS_Kyoto_run3_MTE!O287</f>
        <v>0</v>
      </c>
      <c r="L100" s="711">
        <f>Bilans_E_AMS_Kyoto_run3_MTE!P287</f>
        <v>74.303583996360487</v>
      </c>
      <c r="M100" s="711">
        <f>Bilans_E_AMS_Kyoto_run3_MTE!Q287</f>
        <v>7.2727272727272725</v>
      </c>
      <c r="N100" s="711">
        <f>Bilans_E_AMS_Kyoto_run3_MTE!R287</f>
        <v>-45.504026449722858</v>
      </c>
      <c r="O100" s="711">
        <f>Bilans_E_AMS_Kyoto_run3_MTE!S287</f>
        <v>0</v>
      </c>
      <c r="P100" s="711">
        <f>Bilans_E_AMS_Kyoto_run3_MTE!T287+Bilans_E_AMS_Kyoto_run3_MTE!U287</f>
        <v>0</v>
      </c>
      <c r="Q100" s="711">
        <f>Bilans_E_AMS_Kyoto_run3_MTE!V287</f>
        <v>0</v>
      </c>
      <c r="R100" s="711">
        <f>Bilans_E_AMS_Kyoto_run3_MTE!W287</f>
        <v>0</v>
      </c>
      <c r="S100" s="711">
        <f>Bilans_E_AMS_Kyoto_run3_MTE!X287</f>
        <v>0</v>
      </c>
      <c r="T100" s="711">
        <f>Bilans_E_AMS_Kyoto_run3_MTE!Y287</f>
        <v>0</v>
      </c>
      <c r="U100" s="711">
        <f>Bilans_E_AMS_Kyoto_run3_MTE!Z287</f>
        <v>36.072284819364896</v>
      </c>
      <c r="V100" s="701"/>
      <c r="W100" s="701"/>
    </row>
    <row r="101" spans="1:23" x14ac:dyDescent="0.25">
      <c r="A101" s="701" t="s">
        <v>501</v>
      </c>
      <c r="B101" s="701"/>
      <c r="C101" s="717" t="s">
        <v>352</v>
      </c>
      <c r="D101" s="711">
        <f>Bilans_E_AMS_Kyoto_run3_MTE!H288</f>
        <v>0</v>
      </c>
      <c r="E101" s="711">
        <f>Bilans_E_AMS_Kyoto_run3_MTE!I288</f>
        <v>0</v>
      </c>
      <c r="F101" s="711">
        <f>Bilans_E_AMS_Kyoto_run3_MTE!J288</f>
        <v>0</v>
      </c>
      <c r="G101" s="711">
        <f>Bilans_E_AMS_Kyoto_run3_MTE!K288</f>
        <v>-1.480215740296003</v>
      </c>
      <c r="H101" s="711">
        <f>Bilans_E_AMS_Kyoto_run3_MTE!L288</f>
        <v>0</v>
      </c>
      <c r="I101" s="711">
        <f>Bilans_E_AMS_Kyoto_run3_MTE!M288</f>
        <v>0</v>
      </c>
      <c r="J101" s="711">
        <f>Bilans_E_AMS_Kyoto_run3_MTE!N288</f>
        <v>0</v>
      </c>
      <c r="K101" s="711">
        <f>Bilans_E_AMS_Kyoto_run3_MTE!O288</f>
        <v>0</v>
      </c>
      <c r="L101" s="711">
        <f>Bilans_E_AMS_Kyoto_run3_MTE!P288</f>
        <v>0</v>
      </c>
      <c r="M101" s="711">
        <f>Bilans_E_AMS_Kyoto_run3_MTE!Q288</f>
        <v>0</v>
      </c>
      <c r="N101" s="711">
        <f>Bilans_E_AMS_Kyoto_run3_MTE!R288</f>
        <v>0</v>
      </c>
      <c r="O101" s="711">
        <f>Bilans_E_AMS_Kyoto_run3_MTE!S288</f>
        <v>0</v>
      </c>
      <c r="P101" s="711">
        <f>Bilans_E_AMS_Kyoto_run3_MTE!T288+Bilans_E_AMS_Kyoto_run3_MTE!U288</f>
        <v>0</v>
      </c>
      <c r="Q101" s="711">
        <f>Bilans_E_AMS_Kyoto_run3_MTE!V288</f>
        <v>0</v>
      </c>
      <c r="R101" s="711">
        <f>Bilans_E_AMS_Kyoto_run3_MTE!W288</f>
        <v>0</v>
      </c>
      <c r="S101" s="711">
        <f>Bilans_E_AMS_Kyoto_run3_MTE!X288</f>
        <v>0</v>
      </c>
      <c r="T101" s="711">
        <f>Bilans_E_AMS_Kyoto_run3_MTE!Y288</f>
        <v>2.4532373143256034</v>
      </c>
      <c r="U101" s="711">
        <f>Bilans_E_AMS_Kyoto_run3_MTE!Z288</f>
        <v>0.97302157402960043</v>
      </c>
      <c r="V101" s="701"/>
      <c r="W101" s="701"/>
    </row>
    <row r="102" spans="1:23" x14ac:dyDescent="0.25">
      <c r="A102" s="701" t="s">
        <v>502</v>
      </c>
      <c r="B102" s="701"/>
      <c r="C102" s="717" t="s">
        <v>73</v>
      </c>
      <c r="D102" s="711">
        <f>Bilans_E_AMS_Kyoto_run3_MTE!H289</f>
        <v>0</v>
      </c>
      <c r="E102" s="711">
        <f>Bilans_E_AMS_Kyoto_run3_MTE!I289</f>
        <v>0</v>
      </c>
      <c r="F102" s="711">
        <f>Bilans_E_AMS_Kyoto_run3_MTE!J289</f>
        <v>0</v>
      </c>
      <c r="G102" s="711">
        <f>Bilans_E_AMS_Kyoto_run3_MTE!K289</f>
        <v>0</v>
      </c>
      <c r="H102" s="711">
        <f>Bilans_E_AMS_Kyoto_run3_MTE!L289</f>
        <v>0</v>
      </c>
      <c r="I102" s="711">
        <f>Bilans_E_AMS_Kyoto_run3_MTE!M289</f>
        <v>0</v>
      </c>
      <c r="J102" s="711">
        <f>Bilans_E_AMS_Kyoto_run3_MTE!N289</f>
        <v>0</v>
      </c>
      <c r="K102" s="711">
        <f>Bilans_E_AMS_Kyoto_run3_MTE!O289</f>
        <v>0</v>
      </c>
      <c r="L102" s="711">
        <f>Bilans_E_AMS_Kyoto_run3_MTE!P289</f>
        <v>0</v>
      </c>
      <c r="M102" s="711">
        <f>Bilans_E_AMS_Kyoto_run3_MTE!Q289</f>
        <v>0</v>
      </c>
      <c r="N102" s="711">
        <f>Bilans_E_AMS_Kyoto_run3_MTE!R289</f>
        <v>0</v>
      </c>
      <c r="O102" s="711">
        <f>Bilans_E_AMS_Kyoto_run3_MTE!S289</f>
        <v>0</v>
      </c>
      <c r="P102" s="711">
        <f>Bilans_E_AMS_Kyoto_run3_MTE!T289+Bilans_E_AMS_Kyoto_run3_MTE!U289</f>
        <v>0</v>
      </c>
      <c r="Q102" s="711">
        <f>Bilans_E_AMS_Kyoto_run3_MTE!V289</f>
        <v>0</v>
      </c>
      <c r="R102" s="711">
        <f>Bilans_E_AMS_Kyoto_run3_MTE!W289</f>
        <v>18.526359506641338</v>
      </c>
      <c r="S102" s="711">
        <f>Bilans_E_AMS_Kyoto_run3_MTE!X289</f>
        <v>0</v>
      </c>
      <c r="T102" s="711">
        <f>Bilans_E_AMS_Kyoto_run3_MTE!Y289</f>
        <v>-12.042133679316869</v>
      </c>
      <c r="U102" s="711">
        <f>Bilans_E_AMS_Kyoto_run3_MTE!Z289</f>
        <v>6.4842258273244688</v>
      </c>
      <c r="V102" s="701"/>
      <c r="W102" s="701"/>
    </row>
    <row r="103" spans="1:23" x14ac:dyDescent="0.25">
      <c r="A103" s="701" t="s">
        <v>503</v>
      </c>
      <c r="B103" s="701"/>
      <c r="C103" s="717" t="s">
        <v>353</v>
      </c>
      <c r="D103" s="711">
        <f>Bilans_E_AMS_Kyoto_run3_MTE!H290</f>
        <v>15.5082364453125</v>
      </c>
      <c r="E103" s="711">
        <f>Bilans_E_AMS_Kyoto_run3_MTE!I290</f>
        <v>-14.528347507960277</v>
      </c>
      <c r="F103" s="711">
        <f>Bilans_E_AMS_Kyoto_run3_MTE!J290</f>
        <v>19.128276728053308</v>
      </c>
      <c r="G103" s="711">
        <f>Bilans_E_AMS_Kyoto_run3_MTE!K290</f>
        <v>0</v>
      </c>
      <c r="H103" s="711">
        <f>Bilans_E_AMS_Kyoto_run3_MTE!L290</f>
        <v>0</v>
      </c>
      <c r="I103" s="711">
        <f>Bilans_E_AMS_Kyoto_run3_MTE!M290</f>
        <v>0</v>
      </c>
      <c r="J103" s="711">
        <f>Bilans_E_AMS_Kyoto_run3_MTE!N290</f>
        <v>0</v>
      </c>
      <c r="K103" s="711">
        <f>Bilans_E_AMS_Kyoto_run3_MTE!O290</f>
        <v>0</v>
      </c>
      <c r="L103" s="711">
        <f>Bilans_E_AMS_Kyoto_run3_MTE!P290</f>
        <v>0</v>
      </c>
      <c r="M103" s="711">
        <f>Bilans_E_AMS_Kyoto_run3_MTE!Q290</f>
        <v>0</v>
      </c>
      <c r="N103" s="711">
        <f>Bilans_E_AMS_Kyoto_run3_MTE!R290</f>
        <v>0</v>
      </c>
      <c r="O103" s="711">
        <f>Bilans_E_AMS_Kyoto_run3_MTE!S290</f>
        <v>0</v>
      </c>
      <c r="P103" s="711">
        <f>Bilans_E_AMS_Kyoto_run3_MTE!T290+Bilans_E_AMS_Kyoto_run3_MTE!U290</f>
        <v>0</v>
      </c>
      <c r="Q103" s="711">
        <f>Bilans_E_AMS_Kyoto_run3_MTE!V290</f>
        <v>0</v>
      </c>
      <c r="R103" s="711">
        <f>Bilans_E_AMS_Kyoto_run3_MTE!W290</f>
        <v>0</v>
      </c>
      <c r="S103" s="711">
        <f>Bilans_E_AMS_Kyoto_run3_MTE!X290</f>
        <v>0</v>
      </c>
      <c r="T103" s="711">
        <f>Bilans_E_AMS_Kyoto_run3_MTE!Y290</f>
        <v>0</v>
      </c>
      <c r="U103" s="711">
        <f>Bilans_E_AMS_Kyoto_run3_MTE!Z290</f>
        <v>20.108165665405529</v>
      </c>
      <c r="V103" s="701"/>
      <c r="W103" s="701"/>
    </row>
    <row r="104" spans="1:23" x14ac:dyDescent="0.25">
      <c r="A104" s="701" t="s">
        <v>504</v>
      </c>
      <c r="B104" s="701"/>
      <c r="C104" s="717" t="s">
        <v>75</v>
      </c>
      <c r="D104" s="711">
        <f>Bilans_E_AMS_Kyoto_run3_MTE!H291</f>
        <v>6.0309808398437506</v>
      </c>
      <c r="E104" s="711">
        <f>Bilans_E_AMS_Kyoto_run3_MTE!I291</f>
        <v>0</v>
      </c>
      <c r="F104" s="711">
        <f>Bilans_E_AMS_Kyoto_run3_MTE!J291</f>
        <v>14.291538341519651</v>
      </c>
      <c r="G104" s="711">
        <f>Bilans_E_AMS_Kyoto_run3_MTE!K291</f>
        <v>0</v>
      </c>
      <c r="H104" s="711">
        <f>Bilans_E_AMS_Kyoto_run3_MTE!L291</f>
        <v>0.64620824955973954</v>
      </c>
      <c r="I104" s="711">
        <f>Bilans_E_AMS_Kyoto_run3_MTE!M291</f>
        <v>0</v>
      </c>
      <c r="J104" s="711">
        <f>Bilans_E_AMS_Kyoto_run3_MTE!N291</f>
        <v>0</v>
      </c>
      <c r="K104" s="711">
        <f>Bilans_E_AMS_Kyoto_run3_MTE!O291</f>
        <v>0</v>
      </c>
      <c r="L104" s="711">
        <f>Bilans_E_AMS_Kyoto_run3_MTE!P291</f>
        <v>0</v>
      </c>
      <c r="M104" s="711">
        <f>Bilans_E_AMS_Kyoto_run3_MTE!Q291</f>
        <v>0</v>
      </c>
      <c r="N104" s="711">
        <f>Bilans_E_AMS_Kyoto_run3_MTE!R291</f>
        <v>0</v>
      </c>
      <c r="O104" s="711">
        <f>Bilans_E_AMS_Kyoto_run3_MTE!S291</f>
        <v>0.11403674992230699</v>
      </c>
      <c r="P104" s="711">
        <f>Bilans_E_AMS_Kyoto_run3_MTE!T291+Bilans_E_AMS_Kyoto_run3_MTE!U291</f>
        <v>0</v>
      </c>
      <c r="Q104" s="711">
        <f>Bilans_E_AMS_Kyoto_run3_MTE!V291</f>
        <v>0</v>
      </c>
      <c r="R104" s="711">
        <f>Bilans_E_AMS_Kyoto_run3_MTE!W291</f>
        <v>33.092757599701173</v>
      </c>
      <c r="S104" s="711">
        <f>Bilans_E_AMS_Kyoto_run3_MTE!X291</f>
        <v>0</v>
      </c>
      <c r="T104" s="711">
        <f>Bilans_E_AMS_Kyoto_run3_MTE!Y291</f>
        <v>3.3</v>
      </c>
      <c r="U104" s="711">
        <f>Bilans_E_AMS_Kyoto_run3_MTE!Z291</f>
        <v>57.475521780546615</v>
      </c>
      <c r="V104" s="701"/>
      <c r="W104" s="701"/>
    </row>
    <row r="105" spans="1:23" x14ac:dyDescent="0.25">
      <c r="A105" s="701" t="s">
        <v>505</v>
      </c>
      <c r="B105" s="701"/>
      <c r="C105" s="717" t="s">
        <v>76</v>
      </c>
      <c r="D105" s="711">
        <f>Bilans_E_AMS_Kyoto_run3_MTE!H292</f>
        <v>0</v>
      </c>
      <c r="E105" s="711">
        <f>Bilans_E_AMS_Kyoto_run3_MTE!I292</f>
        <v>0</v>
      </c>
      <c r="F105" s="711">
        <f>Bilans_E_AMS_Kyoto_run3_MTE!J292</f>
        <v>0</v>
      </c>
      <c r="G105" s="711">
        <f>Bilans_E_AMS_Kyoto_run3_MTE!K292</f>
        <v>0</v>
      </c>
      <c r="H105" s="711">
        <f>Bilans_E_AMS_Kyoto_run3_MTE!L292</f>
        <v>3.0578662862517128</v>
      </c>
      <c r="I105" s="711">
        <f>Bilans_E_AMS_Kyoto_run3_MTE!M292</f>
        <v>0</v>
      </c>
      <c r="J105" s="711">
        <f>Bilans_E_AMS_Kyoto_run3_MTE!N292</f>
        <v>0</v>
      </c>
      <c r="K105" s="711">
        <f>Bilans_E_AMS_Kyoto_run3_MTE!O292</f>
        <v>0</v>
      </c>
      <c r="L105" s="711">
        <f>Bilans_E_AMS_Kyoto_run3_MTE!P292</f>
        <v>0</v>
      </c>
      <c r="M105" s="711">
        <f>Bilans_E_AMS_Kyoto_run3_MTE!Q292</f>
        <v>0</v>
      </c>
      <c r="N105" s="711">
        <f>Bilans_E_AMS_Kyoto_run3_MTE!R292</f>
        <v>0</v>
      </c>
      <c r="O105" s="711">
        <f>Bilans_E_AMS_Kyoto_run3_MTE!S292</f>
        <v>0.53962346227971403</v>
      </c>
      <c r="P105" s="711">
        <f>Bilans_E_AMS_Kyoto_run3_MTE!T292+Bilans_E_AMS_Kyoto_run3_MTE!U292</f>
        <v>0</v>
      </c>
      <c r="Q105" s="711">
        <f>Bilans_E_AMS_Kyoto_run3_MTE!V292</f>
        <v>0</v>
      </c>
      <c r="R105" s="711">
        <f>Bilans_E_AMS_Kyoto_run3_MTE!W292</f>
        <v>47.37908571808331</v>
      </c>
      <c r="S105" s="711">
        <f>Bilans_E_AMS_Kyoto_run3_MTE!X292</f>
        <v>5.9061205117744695</v>
      </c>
      <c r="T105" s="711">
        <f>Bilans_E_AMS_Kyoto_run3_MTE!Y292</f>
        <v>0</v>
      </c>
      <c r="U105" s="711">
        <f>Bilans_E_AMS_Kyoto_run3_MTE!Z292</f>
        <v>56.882695978389201</v>
      </c>
      <c r="V105" s="701"/>
      <c r="W105" s="701"/>
    </row>
    <row r="106" spans="1:23" x14ac:dyDescent="0.25">
      <c r="A106" s="701" t="s">
        <v>506</v>
      </c>
      <c r="B106" s="701"/>
      <c r="C106" s="713" t="s">
        <v>77</v>
      </c>
      <c r="D106" s="714">
        <f>Bilans_E_AMS_Kyoto_run3_MTE!H293</f>
        <v>21.539217285156251</v>
      </c>
      <c r="E106" s="714">
        <f>Bilans_E_AMS_Kyoto_run3_MTE!I293</f>
        <v>399.0688136252403</v>
      </c>
      <c r="F106" s="714">
        <f>Bilans_E_AMS_Kyoto_run3_MTE!J293</f>
        <v>-375.26273642086448</v>
      </c>
      <c r="G106" s="714">
        <f>Bilans_E_AMS_Kyoto_run3_MTE!K293</f>
        <v>-1.480215740296003</v>
      </c>
      <c r="H106" s="714">
        <f>Bilans_E_AMS_Kyoto_run3_MTE!L293</f>
        <v>62.008325816311682</v>
      </c>
      <c r="I106" s="714">
        <f>Bilans_E_AMS_Kyoto_run3_MTE!M293</f>
        <v>-0.23021574029600303</v>
      </c>
      <c r="J106" s="714">
        <f>Bilans_E_AMS_Kyoto_run3_MTE!N293</f>
        <v>1170.5483636363635</v>
      </c>
      <c r="K106" s="714">
        <f>Bilans_E_AMS_Kyoto_run3_MTE!O293</f>
        <v>211.05320151197157</v>
      </c>
      <c r="L106" s="714">
        <f>Bilans_E_AMS_Kyoto_run3_MTE!P293</f>
        <v>182.26449786241375</v>
      </c>
      <c r="M106" s="714">
        <f>Bilans_E_AMS_Kyoto_run3_MTE!Q293</f>
        <v>40.824982355301664</v>
      </c>
      <c r="N106" s="714">
        <f>Bilans_E_AMS_Kyoto_run3_MTE!R293</f>
        <v>-41.092768978832041</v>
      </c>
      <c r="O106" s="714">
        <f>Bilans_E_AMS_Kyoto_run3_MTE!S293</f>
        <v>-21.990702686716844</v>
      </c>
      <c r="P106" s="714">
        <f>Bilans_E_AMS_Kyoto_run3_MTE!T293+Bilans_E_AMS_Kyoto_run3_MTE!U293</f>
        <v>5.5922659753689832</v>
      </c>
      <c r="Q106" s="714">
        <f>Bilans_E_AMS_Kyoto_run3_MTE!V293</f>
        <v>10.223550533524911</v>
      </c>
      <c r="R106" s="714">
        <f>Bilans_E_AMS_Kyoto_run3_MTE!W293</f>
        <v>-537.49377820174482</v>
      </c>
      <c r="S106" s="714">
        <f>Bilans_E_AMS_Kyoto_run3_MTE!X293</f>
        <v>-70.255314119257562</v>
      </c>
      <c r="T106" s="714">
        <f>Bilans_E_AMS_Kyoto_run3_MTE!Y293</f>
        <v>-5.9691522812468181</v>
      </c>
      <c r="U106" s="714">
        <f>Bilans_E_AMS_Kyoto_run3_MTE!Z293</f>
        <v>1049.3483344323984</v>
      </c>
      <c r="V106" s="701"/>
      <c r="W106" s="701"/>
    </row>
    <row r="107" spans="1:23" x14ac:dyDescent="0.25">
      <c r="A107" s="701"/>
      <c r="B107" s="701"/>
      <c r="C107" s="715"/>
      <c r="D107" s="716"/>
      <c r="E107" s="716"/>
      <c r="F107" s="716"/>
      <c r="G107" s="716"/>
      <c r="H107" s="716"/>
      <c r="I107" s="716"/>
      <c r="J107" s="716"/>
      <c r="K107" s="716"/>
      <c r="L107" s="716"/>
      <c r="M107" s="716"/>
      <c r="N107" s="716"/>
      <c r="O107" s="716"/>
      <c r="P107" s="716">
        <f>Bilans_E_AMS_Kyoto_run3_MTE!T294+Bilans_E_AMS_Kyoto_run3_MTE!U294</f>
        <v>0</v>
      </c>
      <c r="Q107" s="716"/>
      <c r="R107" s="716"/>
      <c r="S107" s="716"/>
      <c r="T107" s="716"/>
      <c r="U107" s="716"/>
      <c r="V107" s="701"/>
      <c r="W107" s="701"/>
    </row>
    <row r="108" spans="1:23" x14ac:dyDescent="0.25">
      <c r="A108" s="701" t="s">
        <v>507</v>
      </c>
      <c r="B108" s="701"/>
      <c r="C108" s="717" t="s">
        <v>78</v>
      </c>
      <c r="D108" s="711">
        <f>Bilans_E_AMS_Kyoto_run3_MTE!H295</f>
        <v>0.92572558593749998</v>
      </c>
      <c r="E108" s="711">
        <f>Bilans_E_AMS_Kyoto_run3_MTE!I295</f>
        <v>0</v>
      </c>
      <c r="F108" s="711">
        <f>Bilans_E_AMS_Kyoto_run3_MTE!J295</f>
        <v>11.411404613984462</v>
      </c>
      <c r="G108" s="711">
        <f>Bilans_E_AMS_Kyoto_run3_MTE!K295</f>
        <v>0</v>
      </c>
      <c r="H108" s="711">
        <f>Bilans_E_AMS_Kyoto_run3_MTE!L295</f>
        <v>66.339251368389611</v>
      </c>
      <c r="I108" s="711">
        <f>Bilans_E_AMS_Kyoto_run3_MTE!M295</f>
        <v>0</v>
      </c>
      <c r="J108" s="711">
        <f>Bilans_E_AMS_Kyoto_run3_MTE!N295</f>
        <v>0</v>
      </c>
      <c r="K108" s="711">
        <f>Bilans_E_AMS_Kyoto_run3_MTE!O295</f>
        <v>0</v>
      </c>
      <c r="L108" s="711">
        <f>Bilans_E_AMS_Kyoto_run3_MTE!P295</f>
        <v>40.443549417210768</v>
      </c>
      <c r="M108" s="711">
        <f>Bilans_E_AMS_Kyoto_run3_MTE!Q295</f>
        <v>10.269254107073522</v>
      </c>
      <c r="N108" s="711">
        <f>Bilans_E_AMS_Kyoto_run3_MTE!R295</f>
        <v>0.94472173154286976</v>
      </c>
      <c r="O108" s="711">
        <f>Bilans_E_AMS_Kyoto_run3_MTE!S295</f>
        <v>11.734293648614692</v>
      </c>
      <c r="P108" s="711">
        <f>Bilans_E_AMS_Kyoto_run3_MTE!T295+Bilans_E_AMS_Kyoto_run3_MTE!U295</f>
        <v>4.88145654296875</v>
      </c>
      <c r="Q108" s="711">
        <f>Bilans_E_AMS_Kyoto_run3_MTE!V295</f>
        <v>5.5791983277925228E-4</v>
      </c>
      <c r="R108" s="711">
        <f>Bilans_E_AMS_Kyoto_run3_MTE!W295</f>
        <v>149.97591807761651</v>
      </c>
      <c r="S108" s="711">
        <f>Bilans_E_AMS_Kyoto_run3_MTE!X295</f>
        <v>19.64973892074547</v>
      </c>
      <c r="T108" s="711">
        <f>Bilans_E_AMS_Kyoto_run3_MTE!Y295</f>
        <v>3.6016970214843749</v>
      </c>
      <c r="U108" s="711">
        <f>Bilans_E_AMS_Kyoto_run3_MTE!Z295</f>
        <v>320.17756895540128</v>
      </c>
      <c r="V108" s="701"/>
      <c r="W108" s="701"/>
    </row>
    <row r="109" spans="1:23" x14ac:dyDescent="0.25">
      <c r="A109" s="701" t="s">
        <v>508</v>
      </c>
      <c r="B109" s="701"/>
      <c r="C109" s="717" t="s">
        <v>79</v>
      </c>
      <c r="D109" s="711">
        <f>Bilans_E_AMS_Kyoto_run3_MTE!H296</f>
        <v>0</v>
      </c>
      <c r="E109" s="711">
        <f>Bilans_E_AMS_Kyoto_run3_MTE!I296</f>
        <v>0</v>
      </c>
      <c r="F109" s="711">
        <f>Bilans_E_AMS_Kyoto_run3_MTE!J296</f>
        <v>327.31240488287597</v>
      </c>
      <c r="G109" s="711">
        <f>Bilans_E_AMS_Kyoto_run3_MTE!K296</f>
        <v>0</v>
      </c>
      <c r="H109" s="711">
        <f>Bilans_E_AMS_Kyoto_run3_MTE!L296</f>
        <v>5.5523505805401721</v>
      </c>
      <c r="I109" s="711">
        <f>Bilans_E_AMS_Kyoto_run3_MTE!M296</f>
        <v>0</v>
      </c>
      <c r="J109" s="711">
        <f>Bilans_E_AMS_Kyoto_run3_MTE!N296</f>
        <v>0</v>
      </c>
      <c r="K109" s="711">
        <f>Bilans_E_AMS_Kyoto_run3_MTE!O296</f>
        <v>0</v>
      </c>
      <c r="L109" s="711">
        <f>Bilans_E_AMS_Kyoto_run3_MTE!P296</f>
        <v>0</v>
      </c>
      <c r="M109" s="711">
        <f>Bilans_E_AMS_Kyoto_run3_MTE!Q296</f>
        <v>0</v>
      </c>
      <c r="N109" s="711">
        <f>Bilans_E_AMS_Kyoto_run3_MTE!R296</f>
        <v>37.003548542473339</v>
      </c>
      <c r="O109" s="711">
        <f>Bilans_E_AMS_Kyoto_run3_MTE!S296</f>
        <v>0.97982657303650089</v>
      </c>
      <c r="P109" s="711">
        <f>Bilans_E_AMS_Kyoto_run3_MTE!T296+Bilans_E_AMS_Kyoto_run3_MTE!U296</f>
        <v>0</v>
      </c>
      <c r="Q109" s="711">
        <f>Bilans_E_AMS_Kyoto_run3_MTE!V296</f>
        <v>0</v>
      </c>
      <c r="R109" s="711">
        <f>Bilans_E_AMS_Kyoto_run3_MTE!W296</f>
        <v>34.37904289575053</v>
      </c>
      <c r="S109" s="711">
        <f>Bilans_E_AMS_Kyoto_run3_MTE!X296</f>
        <v>0</v>
      </c>
      <c r="T109" s="711">
        <f>Bilans_E_AMS_Kyoto_run3_MTE!Y296</f>
        <v>0.97150026084130414</v>
      </c>
      <c r="U109" s="711">
        <f>Bilans_E_AMS_Kyoto_run3_MTE!Z296</f>
        <v>406.19867373551784</v>
      </c>
      <c r="V109" s="701"/>
      <c r="W109" s="701"/>
    </row>
    <row r="110" spans="1:23" x14ac:dyDescent="0.25">
      <c r="A110" s="701" t="s">
        <v>509</v>
      </c>
      <c r="B110" s="701"/>
      <c r="C110" s="717" t="s">
        <v>80</v>
      </c>
      <c r="D110" s="711">
        <f>Bilans_E_AMS_Kyoto_run3_MTE!H297</f>
        <v>0</v>
      </c>
      <c r="E110" s="711">
        <f>Bilans_E_AMS_Kyoto_run3_MTE!I297</f>
        <v>0</v>
      </c>
      <c r="F110" s="711">
        <f>Bilans_E_AMS_Kyoto_run3_MTE!J297</f>
        <v>11.051911751931332</v>
      </c>
      <c r="G110" s="711">
        <f>Bilans_E_AMS_Kyoto_run3_MTE!K297</f>
        <v>0</v>
      </c>
      <c r="H110" s="711">
        <f>Bilans_E_AMS_Kyoto_run3_MTE!L297</f>
        <v>72.334107180080835</v>
      </c>
      <c r="I110" s="711">
        <f>Bilans_E_AMS_Kyoto_run3_MTE!M297</f>
        <v>0</v>
      </c>
      <c r="J110" s="711">
        <f>Bilans_E_AMS_Kyoto_run3_MTE!N297</f>
        <v>0</v>
      </c>
      <c r="K110" s="711">
        <f>Bilans_E_AMS_Kyoto_run3_MTE!O297</f>
        <v>0</v>
      </c>
      <c r="L110" s="711">
        <f>Bilans_E_AMS_Kyoto_run3_MTE!P297</f>
        <v>60.462677002926597</v>
      </c>
      <c r="M110" s="711">
        <f>Bilans_E_AMS_Kyoto_run3_MTE!Q297</f>
        <v>0</v>
      </c>
      <c r="N110" s="711">
        <f>Bilans_E_AMS_Kyoto_run3_MTE!R297</f>
        <v>0</v>
      </c>
      <c r="O110" s="711">
        <f>Bilans_E_AMS_Kyoto_run3_MTE!S297</f>
        <v>12.764842443543676</v>
      </c>
      <c r="P110" s="711">
        <f>Bilans_E_AMS_Kyoto_run3_MTE!T297+Bilans_E_AMS_Kyoto_run3_MTE!U297</f>
        <v>86.174932209680449</v>
      </c>
      <c r="Q110" s="711">
        <f>Bilans_E_AMS_Kyoto_run3_MTE!V297</f>
        <v>6.0227221136395004</v>
      </c>
      <c r="R110" s="711">
        <f>Bilans_E_AMS_Kyoto_run3_MTE!W297</f>
        <v>166.37329866218946</v>
      </c>
      <c r="S110" s="711">
        <f>Bilans_E_AMS_Kyoto_run3_MTE!X297</f>
        <v>28.91573310749396</v>
      </c>
      <c r="T110" s="711">
        <f>Bilans_E_AMS_Kyoto_run3_MTE!Y297</f>
        <v>0</v>
      </c>
      <c r="U110" s="711">
        <f>Bilans_E_AMS_Kyoto_run3_MTE!Z297</f>
        <v>444.10022447148577</v>
      </c>
      <c r="V110" s="701"/>
      <c r="W110" s="701"/>
    </row>
    <row r="111" spans="1:23" x14ac:dyDescent="0.25">
      <c r="A111" s="701" t="s">
        <v>510</v>
      </c>
      <c r="B111" s="701"/>
      <c r="C111" s="717" t="s">
        <v>81</v>
      </c>
      <c r="D111" s="711">
        <f>Bilans_E_AMS_Kyoto_run3_MTE!H298</f>
        <v>0</v>
      </c>
      <c r="E111" s="711">
        <f>Bilans_E_AMS_Kyoto_run3_MTE!I298</f>
        <v>0</v>
      </c>
      <c r="F111" s="711">
        <f>Bilans_E_AMS_Kyoto_run3_MTE!J298</f>
        <v>3.647846365657839</v>
      </c>
      <c r="G111" s="711">
        <f>Bilans_E_AMS_Kyoto_run3_MTE!K298</f>
        <v>0</v>
      </c>
      <c r="H111" s="711">
        <f>Bilans_E_AMS_Kyoto_run3_MTE!L298</f>
        <v>44.827944248312576</v>
      </c>
      <c r="I111" s="711">
        <f>Bilans_E_AMS_Kyoto_run3_MTE!M298</f>
        <v>0</v>
      </c>
      <c r="J111" s="711">
        <f>Bilans_E_AMS_Kyoto_run3_MTE!N298</f>
        <v>0</v>
      </c>
      <c r="K111" s="711">
        <f>Bilans_E_AMS_Kyoto_run3_MTE!O298</f>
        <v>0</v>
      </c>
      <c r="L111" s="711">
        <f>Bilans_E_AMS_Kyoto_run3_MTE!P298</f>
        <v>0.66301904787483434</v>
      </c>
      <c r="M111" s="711">
        <f>Bilans_E_AMS_Kyoto_run3_MTE!Q298</f>
        <v>0</v>
      </c>
      <c r="N111" s="711">
        <f>Bilans_E_AMS_Kyoto_run3_MTE!R298</f>
        <v>0</v>
      </c>
      <c r="O111" s="711">
        <f>Bilans_E_AMS_Kyoto_run3_MTE!S298</f>
        <v>7.9108136908786895</v>
      </c>
      <c r="P111" s="711">
        <f>Bilans_E_AMS_Kyoto_run3_MTE!T298+Bilans_E_AMS_Kyoto_run3_MTE!U298</f>
        <v>32.610726720036368</v>
      </c>
      <c r="Q111" s="711">
        <f>Bilans_E_AMS_Kyoto_run3_MTE!V298</f>
        <v>5.7126687446965985</v>
      </c>
      <c r="R111" s="711">
        <f>Bilans_E_AMS_Kyoto_run3_MTE!W298</f>
        <v>121.98780292325297</v>
      </c>
      <c r="S111" s="711">
        <f>Bilans_E_AMS_Kyoto_run3_MTE!X298</f>
        <v>21.68981250781421</v>
      </c>
      <c r="T111" s="711">
        <f>Bilans_E_AMS_Kyoto_run3_MTE!Y298</f>
        <v>0</v>
      </c>
      <c r="U111" s="711">
        <f>Bilans_E_AMS_Kyoto_run3_MTE!Z298</f>
        <v>239.05063424852409</v>
      </c>
      <c r="V111" s="701"/>
      <c r="W111" s="701"/>
    </row>
    <row r="112" spans="1:23" x14ac:dyDescent="0.25">
      <c r="A112" s="701" t="s">
        <v>511</v>
      </c>
      <c r="B112" s="701"/>
      <c r="C112" s="717" t="s">
        <v>82</v>
      </c>
      <c r="D112" s="711">
        <f>Bilans_E_AMS_Kyoto_run3_MTE!H299</f>
        <v>0</v>
      </c>
      <c r="E112" s="711">
        <f>Bilans_E_AMS_Kyoto_run3_MTE!I299</f>
        <v>0</v>
      </c>
      <c r="F112" s="711">
        <f>Bilans_E_AMS_Kyoto_run3_MTE!J299</f>
        <v>30.726482620518151</v>
      </c>
      <c r="G112" s="711">
        <f>Bilans_E_AMS_Kyoto_run3_MTE!K299</f>
        <v>0</v>
      </c>
      <c r="H112" s="711">
        <f>Bilans_E_AMS_Kyoto_run3_MTE!L299</f>
        <v>1.4667494513017647</v>
      </c>
      <c r="I112" s="711">
        <f>Bilans_E_AMS_Kyoto_run3_MTE!M299</f>
        <v>0</v>
      </c>
      <c r="J112" s="711">
        <f>Bilans_E_AMS_Kyoto_run3_MTE!N299</f>
        <v>0</v>
      </c>
      <c r="K112" s="711">
        <f>Bilans_E_AMS_Kyoto_run3_MTE!O299</f>
        <v>0</v>
      </c>
      <c r="L112" s="711">
        <f>Bilans_E_AMS_Kyoto_run3_MTE!P299</f>
        <v>11.011050824063592</v>
      </c>
      <c r="M112" s="711">
        <f>Bilans_E_AMS_Kyoto_run3_MTE!Q299</f>
        <v>0</v>
      </c>
      <c r="N112" s="711">
        <f>Bilans_E_AMS_Kyoto_run3_MTE!R299</f>
        <v>4.0387192002052101</v>
      </c>
      <c r="O112" s="711">
        <f>Bilans_E_AMS_Kyoto_run3_MTE!S299</f>
        <v>0.2588381384650173</v>
      </c>
      <c r="P112" s="711">
        <f>Bilans_E_AMS_Kyoto_run3_MTE!T299+Bilans_E_AMS_Kyoto_run3_MTE!U299</f>
        <v>0.5</v>
      </c>
      <c r="Q112" s="711">
        <f>Bilans_E_AMS_Kyoto_run3_MTE!V299</f>
        <v>0.62518456969816016</v>
      </c>
      <c r="R112" s="711">
        <f>Bilans_E_AMS_Kyoto_run3_MTE!W299</f>
        <v>7.7729232574275695</v>
      </c>
      <c r="S112" s="711">
        <f>Bilans_E_AMS_Kyoto_run3_MTE!X299</f>
        <v>0</v>
      </c>
      <c r="T112" s="711">
        <f>Bilans_E_AMS_Kyoto_run3_MTE!Y299</f>
        <v>0.17366238047171115</v>
      </c>
      <c r="U112" s="711">
        <f>Bilans_E_AMS_Kyoto_run3_MTE!Z299</f>
        <v>56.573610442151178</v>
      </c>
      <c r="V112" s="701"/>
      <c r="W112" s="701"/>
    </row>
    <row r="113" spans="1:23" x14ac:dyDescent="0.25">
      <c r="A113" s="701" t="s">
        <v>512</v>
      </c>
      <c r="B113" s="701"/>
      <c r="C113" s="717" t="s">
        <v>354</v>
      </c>
      <c r="D113" s="711">
        <f>Bilans_E_AMS_Kyoto_run3_MTE!H300</f>
        <v>0</v>
      </c>
      <c r="E113" s="711">
        <f>Bilans_E_AMS_Kyoto_run3_MTE!I300</f>
        <v>0</v>
      </c>
      <c r="F113" s="711">
        <f>Bilans_E_AMS_Kyoto_run3_MTE!J300</f>
        <v>0</v>
      </c>
      <c r="G113" s="711">
        <f>Bilans_E_AMS_Kyoto_run3_MTE!K300</f>
        <v>0</v>
      </c>
      <c r="H113" s="711">
        <f>Bilans_E_AMS_Kyoto_run3_MTE!L300</f>
        <v>0</v>
      </c>
      <c r="I113" s="711">
        <f>Bilans_E_AMS_Kyoto_run3_MTE!M300</f>
        <v>0</v>
      </c>
      <c r="J113" s="711">
        <f>Bilans_E_AMS_Kyoto_run3_MTE!N300</f>
        <v>0</v>
      </c>
      <c r="K113" s="711">
        <f>Bilans_E_AMS_Kyoto_run3_MTE!O300</f>
        <v>0</v>
      </c>
      <c r="L113" s="711">
        <f>Bilans_E_AMS_Kyoto_run3_MTE!P300</f>
        <v>0</v>
      </c>
      <c r="M113" s="711">
        <f>Bilans_E_AMS_Kyoto_run3_MTE!Q300</f>
        <v>0</v>
      </c>
      <c r="N113" s="711">
        <f>Bilans_E_AMS_Kyoto_run3_MTE!R300</f>
        <v>0</v>
      </c>
      <c r="O113" s="711">
        <f>Bilans_E_AMS_Kyoto_run3_MTE!S300</f>
        <v>0</v>
      </c>
      <c r="P113" s="711">
        <f>Bilans_E_AMS_Kyoto_run3_MTE!T300+Bilans_E_AMS_Kyoto_run3_MTE!U300</f>
        <v>0</v>
      </c>
      <c r="Q113" s="711">
        <f>Bilans_E_AMS_Kyoto_run3_MTE!V300</f>
        <v>0</v>
      </c>
      <c r="R113" s="711">
        <f>Bilans_E_AMS_Kyoto_run3_MTE!W300</f>
        <v>0</v>
      </c>
      <c r="S113" s="711">
        <f>Bilans_E_AMS_Kyoto_run3_MTE!X300</f>
        <v>0</v>
      </c>
      <c r="T113" s="711">
        <f>Bilans_E_AMS_Kyoto_run3_MTE!Y300</f>
        <v>0</v>
      </c>
      <c r="U113" s="711">
        <f>Bilans_E_AMS_Kyoto_run3_MTE!Z300</f>
        <v>0</v>
      </c>
      <c r="V113" s="701"/>
      <c r="W113" s="701"/>
    </row>
    <row r="114" spans="1:23" x14ac:dyDescent="0.25">
      <c r="A114" s="701" t="s">
        <v>513</v>
      </c>
      <c r="B114" s="701"/>
      <c r="C114" s="713" t="s">
        <v>83</v>
      </c>
      <c r="D114" s="714">
        <f>Bilans_E_AMS_Kyoto_run3_MTE!H301</f>
        <v>0.92572558593749998</v>
      </c>
      <c r="E114" s="714">
        <f>Bilans_E_AMS_Kyoto_run3_MTE!I301</f>
        <v>0</v>
      </c>
      <c r="F114" s="714">
        <f>Bilans_E_AMS_Kyoto_run3_MTE!J301</f>
        <v>384.15005023496775</v>
      </c>
      <c r="G114" s="714">
        <f>Bilans_E_AMS_Kyoto_run3_MTE!K301</f>
        <v>0</v>
      </c>
      <c r="H114" s="714">
        <f>Bilans_E_AMS_Kyoto_run3_MTE!L301</f>
        <v>190.52040282862495</v>
      </c>
      <c r="I114" s="714">
        <f>Bilans_E_AMS_Kyoto_run3_MTE!M301</f>
        <v>0</v>
      </c>
      <c r="J114" s="714">
        <f>Bilans_E_AMS_Kyoto_run3_MTE!N301</f>
        <v>0</v>
      </c>
      <c r="K114" s="714">
        <f>Bilans_E_AMS_Kyoto_run3_MTE!O301</f>
        <v>0</v>
      </c>
      <c r="L114" s="714">
        <f>Bilans_E_AMS_Kyoto_run3_MTE!P301</f>
        <v>112.58029629207579</v>
      </c>
      <c r="M114" s="714">
        <f>Bilans_E_AMS_Kyoto_run3_MTE!Q301</f>
        <v>10.269254107073522</v>
      </c>
      <c r="N114" s="714">
        <f>Bilans_E_AMS_Kyoto_run3_MTE!R301</f>
        <v>41.986989474221417</v>
      </c>
      <c r="O114" s="714">
        <f>Bilans_E_AMS_Kyoto_run3_MTE!S301</f>
        <v>33.648614494538577</v>
      </c>
      <c r="P114" s="714">
        <f>Bilans_E_AMS_Kyoto_run3_MTE!T301+Bilans_E_AMS_Kyoto_run3_MTE!U301</f>
        <v>124.16711547268557</v>
      </c>
      <c r="Q114" s="714">
        <f>Bilans_E_AMS_Kyoto_run3_MTE!V301</f>
        <v>12.361133347867039</v>
      </c>
      <c r="R114" s="714">
        <f>Bilans_E_AMS_Kyoto_run3_MTE!W301</f>
        <v>480.488985816237</v>
      </c>
      <c r="S114" s="714">
        <f>Bilans_E_AMS_Kyoto_run3_MTE!X301</f>
        <v>70.255284536053637</v>
      </c>
      <c r="T114" s="714">
        <f>Bilans_E_AMS_Kyoto_run3_MTE!Y301</f>
        <v>4.74685966279739</v>
      </c>
      <c r="U114" s="714">
        <f>Bilans_E_AMS_Kyoto_run3_MTE!Z301</f>
        <v>1466.1007118530802</v>
      </c>
      <c r="V114" s="701"/>
      <c r="W114" s="701"/>
    </row>
    <row r="115" spans="1:23" x14ac:dyDescent="0.25">
      <c r="A115" s="701" t="s">
        <v>514</v>
      </c>
      <c r="B115" s="701"/>
      <c r="C115" s="710" t="s">
        <v>84</v>
      </c>
      <c r="D115" s="711">
        <f>Bilans_E_AMS_Kyoto_run3_MTE!H302</f>
        <v>0</v>
      </c>
      <c r="E115" s="711">
        <f>Bilans_E_AMS_Kyoto_run3_MTE!I302</f>
        <v>0</v>
      </c>
      <c r="F115" s="711">
        <f>Bilans_E_AMS_Kyoto_run3_MTE!J302</f>
        <v>115.2369297376637</v>
      </c>
      <c r="G115" s="711">
        <f>Bilans_E_AMS_Kyoto_run3_MTE!K302</f>
        <v>0</v>
      </c>
      <c r="H115" s="711">
        <f>Bilans_E_AMS_Kyoto_run3_MTE!L302</f>
        <v>13.537810909623058</v>
      </c>
      <c r="I115" s="711">
        <f>Bilans_E_AMS_Kyoto_run3_MTE!M302</f>
        <v>0</v>
      </c>
      <c r="J115" s="711">
        <f>Bilans_E_AMS_Kyoto_run3_MTE!N302</f>
        <v>0</v>
      </c>
      <c r="K115" s="711">
        <f>Bilans_E_AMS_Kyoto_run3_MTE!O302</f>
        <v>0</v>
      </c>
      <c r="L115" s="711">
        <f>Bilans_E_AMS_Kyoto_run3_MTE!P302</f>
        <v>0.11913963756098579</v>
      </c>
      <c r="M115" s="711">
        <f>Bilans_E_AMS_Kyoto_run3_MTE!Q302</f>
        <v>0</v>
      </c>
      <c r="N115" s="711">
        <f>Bilans_E_AMS_Kyoto_run3_MTE!R302</f>
        <v>0.21009810940790719</v>
      </c>
      <c r="O115" s="711">
        <f>Bilans_E_AMS_Kyoto_run3_MTE!S302</f>
        <v>0</v>
      </c>
      <c r="P115" s="711">
        <f>Bilans_E_AMS_Kyoto_run3_MTE!T302+Bilans_E_AMS_Kyoto_run3_MTE!U302</f>
        <v>0</v>
      </c>
      <c r="Q115" s="711">
        <f>Bilans_E_AMS_Kyoto_run3_MTE!V302</f>
        <v>0</v>
      </c>
      <c r="R115" s="711">
        <f>Bilans_E_AMS_Kyoto_run3_MTE!W302</f>
        <v>0</v>
      </c>
      <c r="S115" s="711">
        <f>Bilans_E_AMS_Kyoto_run3_MTE!X302</f>
        <v>0</v>
      </c>
      <c r="T115" s="711">
        <f>Bilans_E_AMS_Kyoto_run3_MTE!Y302</f>
        <v>1.1371080780029297</v>
      </c>
      <c r="U115" s="711">
        <f>Bilans_E_AMS_Kyoto_run3_MTE!Z302</f>
        <v>130.24108647225859</v>
      </c>
      <c r="V115" s="701"/>
      <c r="W115" s="701"/>
    </row>
    <row r="116" spans="1:23" x14ac:dyDescent="0.25">
      <c r="A116" s="701" t="s">
        <v>515</v>
      </c>
      <c r="B116" s="701"/>
      <c r="C116" s="713" t="s">
        <v>85</v>
      </c>
      <c r="D116" s="714">
        <f>Bilans_E_AMS_Kyoto_run3_MTE!H303</f>
        <v>0.92572558593749998</v>
      </c>
      <c r="E116" s="714">
        <f>Bilans_E_AMS_Kyoto_run3_MTE!I303</f>
        <v>0</v>
      </c>
      <c r="F116" s="714">
        <f>Bilans_E_AMS_Kyoto_run3_MTE!J303</f>
        <v>499.38697997263148</v>
      </c>
      <c r="G116" s="714">
        <f>Bilans_E_AMS_Kyoto_run3_MTE!K303</f>
        <v>0</v>
      </c>
      <c r="H116" s="714">
        <f>Bilans_E_AMS_Kyoto_run3_MTE!L303</f>
        <v>204.05821373824801</v>
      </c>
      <c r="I116" s="714">
        <f>Bilans_E_AMS_Kyoto_run3_MTE!M303</f>
        <v>0</v>
      </c>
      <c r="J116" s="714">
        <f>Bilans_E_AMS_Kyoto_run3_MTE!N303</f>
        <v>0</v>
      </c>
      <c r="K116" s="714">
        <f>Bilans_E_AMS_Kyoto_run3_MTE!O303</f>
        <v>0</v>
      </c>
      <c r="L116" s="714">
        <f>Bilans_E_AMS_Kyoto_run3_MTE!P303</f>
        <v>112.69943592963678</v>
      </c>
      <c r="M116" s="714">
        <f>Bilans_E_AMS_Kyoto_run3_MTE!Q303</f>
        <v>10.269254107073522</v>
      </c>
      <c r="N116" s="714">
        <f>Bilans_E_AMS_Kyoto_run3_MTE!R303</f>
        <v>42.197087583629326</v>
      </c>
      <c r="O116" s="714">
        <f>Bilans_E_AMS_Kyoto_run3_MTE!S303</f>
        <v>33.648614494538577</v>
      </c>
      <c r="P116" s="714">
        <f>Bilans_E_AMS_Kyoto_run3_MTE!T303+Bilans_E_AMS_Kyoto_run3_MTE!U303</f>
        <v>124.16711547268557</v>
      </c>
      <c r="Q116" s="714">
        <f>Bilans_E_AMS_Kyoto_run3_MTE!V303</f>
        <v>12.361133347867039</v>
      </c>
      <c r="R116" s="714">
        <f>Bilans_E_AMS_Kyoto_run3_MTE!W303</f>
        <v>480.488985816237</v>
      </c>
      <c r="S116" s="714">
        <f>Bilans_E_AMS_Kyoto_run3_MTE!X303</f>
        <v>70.255284536053637</v>
      </c>
      <c r="T116" s="714">
        <f>Bilans_E_AMS_Kyoto_run3_MTE!Y303</f>
        <v>5.8839677408003199</v>
      </c>
      <c r="U116" s="714">
        <f>Bilans_E_AMS_Kyoto_run3_MTE!Z303</f>
        <v>1596.3417983253387</v>
      </c>
      <c r="V116" s="701"/>
      <c r="W116" s="701"/>
    </row>
    <row r="117" spans="1:23" x14ac:dyDescent="0.25">
      <c r="A117" s="701"/>
      <c r="B117" s="701"/>
      <c r="C117" s="701"/>
      <c r="D117" s="701">
        <f>Bilans_E_AMS_Kyoto_run3_MTE!H304</f>
        <v>0</v>
      </c>
      <c r="E117" s="701">
        <f>Bilans_E_AMS_Kyoto_run3_MTE!I304</f>
        <v>0</v>
      </c>
      <c r="F117" s="701">
        <f>Bilans_E_AMS_Kyoto_run3_MTE!J304</f>
        <v>1.1368683772161603E-13</v>
      </c>
      <c r="G117" s="701">
        <f>Bilans_E_AMS_Kyoto_run3_MTE!K304</f>
        <v>0</v>
      </c>
      <c r="H117" s="701">
        <f>Bilans_E_AMS_Kyoto_run3_MTE!L304</f>
        <v>0</v>
      </c>
      <c r="I117" s="701">
        <f>Bilans_E_AMS_Kyoto_run3_MTE!M304</f>
        <v>0</v>
      </c>
      <c r="J117" s="701">
        <f>Bilans_E_AMS_Kyoto_run3_MTE!N304</f>
        <v>0</v>
      </c>
      <c r="K117" s="701">
        <f>Bilans_E_AMS_Kyoto_run3_MTE!O304</f>
        <v>0</v>
      </c>
      <c r="L117" s="701">
        <f>Bilans_E_AMS_Kyoto_run3_MTE!P304</f>
        <v>0</v>
      </c>
      <c r="M117" s="701">
        <f>Bilans_E_AMS_Kyoto_run3_MTE!Q304</f>
        <v>0</v>
      </c>
      <c r="N117" s="701">
        <f>Bilans_E_AMS_Kyoto_run3_MTE!R304</f>
        <v>0</v>
      </c>
      <c r="O117" s="701">
        <f>Bilans_E_AMS_Kyoto_run3_MTE!S304</f>
        <v>0</v>
      </c>
      <c r="P117" s="701">
        <f>Bilans_E_AMS_Kyoto_run3_MTE!T304+Bilans_E_AMS_Kyoto_run3_MTE!U304</f>
        <v>0</v>
      </c>
      <c r="Q117" s="701">
        <f>Bilans_E_AMS_Kyoto_run3_MTE!V304</f>
        <v>0</v>
      </c>
      <c r="R117" s="701">
        <f>Bilans_E_AMS_Kyoto_run3_MTE!W304</f>
        <v>-1.1368683772161603E-13</v>
      </c>
      <c r="S117" s="701">
        <f>Bilans_E_AMS_Kyoto_run3_MTE!X304</f>
        <v>-2.9583203925653834E-5</v>
      </c>
      <c r="T117" s="701">
        <f>Bilans_E_AMS_Kyoto_run3_MTE!Y304</f>
        <v>-1.0963452368173421E-15</v>
      </c>
      <c r="U117" s="701">
        <f>Bilans_E_AMS_Kyoto_run3_MTE!Z304</f>
        <v>-2.9583203740912722E-5</v>
      </c>
      <c r="V117" s="701"/>
      <c r="W117" s="701"/>
    </row>
    <row r="118" spans="1:23" x14ac:dyDescent="0.25">
      <c r="A118" s="701"/>
      <c r="B118" s="701"/>
      <c r="C118" s="701"/>
      <c r="D118" s="701"/>
      <c r="E118" s="701"/>
      <c r="F118" s="701"/>
      <c r="G118" s="701"/>
      <c r="H118" s="701"/>
      <c r="I118" s="701"/>
      <c r="J118" s="701"/>
      <c r="K118" s="701"/>
      <c r="L118" s="701"/>
      <c r="M118" s="701"/>
      <c r="N118" s="701"/>
      <c r="O118" s="701"/>
      <c r="P118" s="701"/>
      <c r="Q118" s="701"/>
      <c r="R118" s="701"/>
      <c r="S118" s="701"/>
      <c r="T118" s="701"/>
      <c r="U118" s="701"/>
      <c r="V118" s="701"/>
      <c r="W118" s="701"/>
    </row>
    <row r="119" spans="1:23" x14ac:dyDescent="0.25">
      <c r="A119" s="707"/>
      <c r="B119" s="707"/>
      <c r="C119" s="708" t="s">
        <v>357</v>
      </c>
      <c r="D119" s="707"/>
      <c r="E119" s="707"/>
      <c r="F119" s="707"/>
      <c r="G119" s="707"/>
      <c r="H119" s="707"/>
      <c r="I119" s="707"/>
      <c r="J119" s="707"/>
      <c r="K119" s="707"/>
      <c r="L119" s="707"/>
      <c r="M119" s="707"/>
      <c r="N119" s="707"/>
      <c r="O119" s="707"/>
      <c r="P119" s="707"/>
      <c r="Q119" s="707"/>
      <c r="R119" s="707"/>
      <c r="S119" s="707"/>
      <c r="T119" s="707"/>
      <c r="U119" s="707"/>
      <c r="V119" s="707"/>
      <c r="W119" s="707"/>
    </row>
    <row r="120" spans="1:23" x14ac:dyDescent="0.25">
      <c r="A120" s="701"/>
      <c r="B120" s="701"/>
      <c r="C120" s="701"/>
      <c r="D120" s="701"/>
      <c r="E120" s="701"/>
      <c r="F120" s="701"/>
      <c r="G120" s="701"/>
      <c r="H120" s="701"/>
      <c r="I120" s="701"/>
      <c r="J120" s="701"/>
      <c r="K120" s="701"/>
      <c r="L120" s="701"/>
      <c r="M120" s="701"/>
      <c r="N120" s="701"/>
      <c r="O120" s="701"/>
      <c r="P120" s="701"/>
      <c r="Q120" s="701"/>
      <c r="R120" s="701"/>
      <c r="S120" s="701"/>
      <c r="T120" s="701"/>
      <c r="U120" s="701"/>
      <c r="V120" s="701"/>
      <c r="W120" s="701"/>
    </row>
    <row r="121" spans="1:23" x14ac:dyDescent="0.25">
      <c r="A121" s="701"/>
      <c r="B121" s="701"/>
      <c r="C121" s="780" t="s">
        <v>128</v>
      </c>
      <c r="D121" s="775" t="s">
        <v>42</v>
      </c>
      <c r="E121" s="775" t="s">
        <v>52</v>
      </c>
      <c r="F121" s="775" t="s">
        <v>53</v>
      </c>
      <c r="G121" s="775" t="s">
        <v>482</v>
      </c>
      <c r="H121" s="775" t="s">
        <v>32</v>
      </c>
      <c r="I121" s="775" t="s">
        <v>483</v>
      </c>
      <c r="J121" s="775" t="s">
        <v>20</v>
      </c>
      <c r="K121" s="775" t="s">
        <v>55</v>
      </c>
      <c r="L121" s="777" t="s">
        <v>56</v>
      </c>
      <c r="M121" s="778"/>
      <c r="N121" s="778"/>
      <c r="O121" s="778"/>
      <c r="P121" s="778"/>
      <c r="Q121" s="779"/>
      <c r="R121" s="775" t="s">
        <v>57</v>
      </c>
      <c r="S121" s="775" t="s">
        <v>58</v>
      </c>
      <c r="T121" s="775" t="s">
        <v>31</v>
      </c>
      <c r="U121" s="775" t="s">
        <v>10</v>
      </c>
      <c r="V121" s="701"/>
      <c r="W121" s="701"/>
    </row>
    <row r="122" spans="1:23" ht="67.5" x14ac:dyDescent="0.25">
      <c r="A122" s="701" t="s">
        <v>486</v>
      </c>
      <c r="B122" s="701"/>
      <c r="C122" s="781"/>
      <c r="D122" s="776"/>
      <c r="E122" s="776"/>
      <c r="F122" s="776"/>
      <c r="G122" s="776"/>
      <c r="H122" s="776"/>
      <c r="I122" s="776"/>
      <c r="J122" s="776"/>
      <c r="K122" s="776"/>
      <c r="L122" s="709" t="s">
        <v>335</v>
      </c>
      <c r="M122" s="709" t="s">
        <v>40</v>
      </c>
      <c r="N122" s="709" t="s">
        <v>343</v>
      </c>
      <c r="O122" s="709" t="s">
        <v>344</v>
      </c>
      <c r="P122" s="719" t="s">
        <v>610</v>
      </c>
      <c r="Q122" s="709" t="s">
        <v>346</v>
      </c>
      <c r="R122" s="776"/>
      <c r="S122" s="776"/>
      <c r="T122" s="776"/>
      <c r="U122" s="776"/>
      <c r="V122" s="701"/>
      <c r="W122" s="701"/>
    </row>
    <row r="123" spans="1:23" x14ac:dyDescent="0.25">
      <c r="A123" s="701" t="s">
        <v>487</v>
      </c>
      <c r="B123" s="701"/>
      <c r="C123" s="710" t="s">
        <v>59</v>
      </c>
      <c r="D123" s="711">
        <f>Bilans_E_AMS_Kyoto_run3_MTE!H310</f>
        <v>0</v>
      </c>
      <c r="E123" s="711">
        <f>Bilans_E_AMS_Kyoto_run3_MTE!I310</f>
        <v>6.6756200000000003</v>
      </c>
      <c r="F123" s="711">
        <f>Bilans_E_AMS_Kyoto_run3_MTE!J310</f>
        <v>0</v>
      </c>
      <c r="G123" s="711">
        <f>Bilans_E_AMS_Kyoto_run3_MTE!K310</f>
        <v>0</v>
      </c>
      <c r="H123" s="711">
        <f>Bilans_E_AMS_Kyoto_run3_MTE!L310</f>
        <v>0.13839700000000002</v>
      </c>
      <c r="I123" s="711">
        <f>Bilans_E_AMS_Kyoto_run3_MTE!M310</f>
        <v>0</v>
      </c>
      <c r="J123" s="711">
        <f>Bilans_E_AMS_Kyoto_run3_MTE!N310</f>
        <v>1165.8657454545453</v>
      </c>
      <c r="K123" s="711">
        <f>Bilans_E_AMS_Kyoto_run3_MTE!O310</f>
        <v>264.18035739757391</v>
      </c>
      <c r="L123" s="711">
        <f>Bilans_E_AMS_Kyoto_run3_MTE!P310</f>
        <v>307.7744422597346</v>
      </c>
      <c r="M123" s="711">
        <f>Bilans_E_AMS_Kyoto_run3_MTE!Q310</f>
        <v>51.405271738220549</v>
      </c>
      <c r="N123" s="711">
        <f>Bilans_E_AMS_Kyoto_run3_MTE!R310</f>
        <v>0</v>
      </c>
      <c r="O123" s="711">
        <f>Bilans_E_AMS_Kyoto_run3_MTE!S310</f>
        <v>0</v>
      </c>
      <c r="P123" s="711">
        <f>Bilans_E_AMS_Kyoto_run3_MTE!T310+Bilans_E_AMS_Kyoto_run3_MTE!U310</f>
        <v>151.46298386421165</v>
      </c>
      <c r="Q123" s="711">
        <f>Bilans_E_AMS_Kyoto_run3_MTE!V310</f>
        <v>29.323733806781338</v>
      </c>
      <c r="R123" s="711">
        <f>Bilans_E_AMS_Kyoto_run3_MTE!W310</f>
        <v>0</v>
      </c>
      <c r="S123" s="711">
        <f>Bilans_E_AMS_Kyoto_run3_MTE!X310</f>
        <v>0</v>
      </c>
      <c r="T123" s="711">
        <f>Bilans_E_AMS_Kyoto_run3_MTE!Y310</f>
        <v>0</v>
      </c>
      <c r="U123" s="711">
        <f>Bilans_E_AMS_Kyoto_run3_MTE!Z310</f>
        <v>1976.8265515210674</v>
      </c>
      <c r="V123" s="701"/>
      <c r="W123" s="701"/>
    </row>
    <row r="124" spans="1:23" x14ac:dyDescent="0.25">
      <c r="A124" s="701" t="s">
        <v>488</v>
      </c>
      <c r="B124" s="701"/>
      <c r="C124" s="710" t="s">
        <v>60</v>
      </c>
      <c r="D124" s="712">
        <f>Bilans_E_AMS_Kyoto_run3_MTE!H311</f>
        <v>16.733972167968751</v>
      </c>
      <c r="E124" s="712">
        <f>Bilans_E_AMS_Kyoto_run3_MTE!I311</f>
        <v>341.17156490138257</v>
      </c>
      <c r="F124" s="712">
        <f>Bilans_E_AMS_Kyoto_run3_MTE!J311</f>
        <v>153.01857569335476</v>
      </c>
      <c r="G124" s="712">
        <f>Bilans_E_AMS_Kyoto_run3_MTE!K311</f>
        <v>1.5907003975249192</v>
      </c>
      <c r="H124" s="712">
        <f>Bilans_E_AMS_Kyoto_run3_MTE!L311</f>
        <v>229.24655706350896</v>
      </c>
      <c r="I124" s="712">
        <f>Bilans_E_AMS_Kyoto_run3_MTE!M311</f>
        <v>0</v>
      </c>
      <c r="J124" s="712">
        <f>Bilans_E_AMS_Kyoto_run3_MTE!N311</f>
        <v>0</v>
      </c>
      <c r="K124" s="712">
        <f>Bilans_E_AMS_Kyoto_run3_MTE!O311</f>
        <v>0</v>
      </c>
      <c r="L124" s="712">
        <f>Bilans_E_AMS_Kyoto_run3_MTE!P311</f>
        <v>2.5625656464325743</v>
      </c>
      <c r="M124" s="712">
        <f>Bilans_E_AMS_Kyoto_run3_MTE!Q311</f>
        <v>0</v>
      </c>
      <c r="N124" s="712">
        <f>Bilans_E_AMS_Kyoto_run3_MTE!R311</f>
        <v>11.177777544289128</v>
      </c>
      <c r="O124" s="712">
        <f>Bilans_E_AMS_Kyoto_run3_MTE!S311</f>
        <v>5.1524616534363687</v>
      </c>
      <c r="P124" s="712">
        <f>Bilans_E_AMS_Kyoto_run3_MTE!T311+Bilans_E_AMS_Kyoto_run3_MTE!U311</f>
        <v>0</v>
      </c>
      <c r="Q124" s="712">
        <f>Bilans_E_AMS_Kyoto_run3_MTE!V311</f>
        <v>0</v>
      </c>
      <c r="R124" s="712">
        <f>Bilans_E_AMS_Kyoto_run3_MTE!W311</f>
        <v>0</v>
      </c>
      <c r="S124" s="712">
        <f>Bilans_E_AMS_Kyoto_run3_MTE!X311</f>
        <v>0</v>
      </c>
      <c r="T124" s="712">
        <f>Bilans_E_AMS_Kyoto_run3_MTE!Y311</f>
        <v>0</v>
      </c>
      <c r="U124" s="712">
        <f>Bilans_E_AMS_Kyoto_run3_MTE!Z311</f>
        <v>760.65417506789811</v>
      </c>
      <c r="V124" s="701"/>
      <c r="W124" s="701"/>
    </row>
    <row r="125" spans="1:23" x14ac:dyDescent="0.25">
      <c r="A125" s="701" t="s">
        <v>489</v>
      </c>
      <c r="B125" s="701"/>
      <c r="C125" s="710" t="s">
        <v>61</v>
      </c>
      <c r="D125" s="712">
        <f>Bilans_E_AMS_Kyoto_run3_MTE!H312</f>
        <v>0</v>
      </c>
      <c r="E125" s="712">
        <f>Bilans_E_AMS_Kyoto_run3_MTE!I312</f>
        <v>0</v>
      </c>
      <c r="F125" s="712">
        <f>Bilans_E_AMS_Kyoto_run3_MTE!J312</f>
        <v>0</v>
      </c>
      <c r="G125" s="712">
        <f>Bilans_E_AMS_Kyoto_run3_MTE!K312</f>
        <v>0</v>
      </c>
      <c r="H125" s="712">
        <f>Bilans_E_AMS_Kyoto_run3_MTE!L312</f>
        <v>0</v>
      </c>
      <c r="I125" s="712">
        <f>Bilans_E_AMS_Kyoto_run3_MTE!M312</f>
        <v>0</v>
      </c>
      <c r="J125" s="712">
        <f>Bilans_E_AMS_Kyoto_run3_MTE!N312</f>
        <v>0</v>
      </c>
      <c r="K125" s="712">
        <f>Bilans_E_AMS_Kyoto_run3_MTE!O312</f>
        <v>0</v>
      </c>
      <c r="L125" s="712">
        <f>Bilans_E_AMS_Kyoto_run3_MTE!P312</f>
        <v>0</v>
      </c>
      <c r="M125" s="712">
        <f>Bilans_E_AMS_Kyoto_run3_MTE!Q312</f>
        <v>0</v>
      </c>
      <c r="N125" s="712">
        <f>Bilans_E_AMS_Kyoto_run3_MTE!R312</f>
        <v>0</v>
      </c>
      <c r="O125" s="712">
        <f>Bilans_E_AMS_Kyoto_run3_MTE!S312</f>
        <v>0</v>
      </c>
      <c r="P125" s="712">
        <f>Bilans_E_AMS_Kyoto_run3_MTE!T312+Bilans_E_AMS_Kyoto_run3_MTE!U312</f>
        <v>0</v>
      </c>
      <c r="Q125" s="712">
        <f>Bilans_E_AMS_Kyoto_run3_MTE!V312</f>
        <v>0</v>
      </c>
      <c r="R125" s="712">
        <f>Bilans_E_AMS_Kyoto_run3_MTE!W312</f>
        <v>-83.337259091529631</v>
      </c>
      <c r="S125" s="712">
        <f>Bilans_E_AMS_Kyoto_run3_MTE!X312</f>
        <v>0</v>
      </c>
      <c r="T125" s="712">
        <f>Bilans_E_AMS_Kyoto_run3_MTE!Y312</f>
        <v>0</v>
      </c>
      <c r="U125" s="712">
        <f>Bilans_E_AMS_Kyoto_run3_MTE!Z312</f>
        <v>-83.337259091529631</v>
      </c>
      <c r="V125" s="701"/>
      <c r="W125" s="701"/>
    </row>
    <row r="126" spans="1:23" x14ac:dyDescent="0.25">
      <c r="A126" s="701" t="s">
        <v>490</v>
      </c>
      <c r="B126" s="701"/>
      <c r="C126" s="710" t="s">
        <v>62</v>
      </c>
      <c r="D126" s="711">
        <f>Bilans_E_AMS_Kyoto_run3_MTE!H313</f>
        <v>0</v>
      </c>
      <c r="E126" s="711">
        <f>Bilans_E_AMS_Kyoto_run3_MTE!I313</f>
        <v>0</v>
      </c>
      <c r="F126" s="711">
        <f>Bilans_E_AMS_Kyoto_run3_MTE!J313</f>
        <v>-7.8555551160476131</v>
      </c>
      <c r="G126" s="711">
        <f>Bilans_E_AMS_Kyoto_run3_MTE!K313</f>
        <v>-0.3373161064337088</v>
      </c>
      <c r="H126" s="711">
        <f>Bilans_E_AMS_Kyoto_run3_MTE!L313</f>
        <v>-0.96725165809085023</v>
      </c>
      <c r="I126" s="711">
        <f>Bilans_E_AMS_Kyoto_run3_MTE!M313</f>
        <v>-0.4644109471147348</v>
      </c>
      <c r="J126" s="711">
        <f>Bilans_E_AMS_Kyoto_run3_MTE!N313</f>
        <v>0</v>
      </c>
      <c r="K126" s="711">
        <f>Bilans_E_AMS_Kyoto_run3_MTE!O313</f>
        <v>0</v>
      </c>
      <c r="L126" s="711">
        <f>Bilans_E_AMS_Kyoto_run3_MTE!P313</f>
        <v>0</v>
      </c>
      <c r="M126" s="711">
        <f>Bilans_E_AMS_Kyoto_run3_MTE!Q313</f>
        <v>0</v>
      </c>
      <c r="N126" s="711">
        <f>Bilans_E_AMS_Kyoto_run3_MTE!R313</f>
        <v>0</v>
      </c>
      <c r="O126" s="711">
        <f>Bilans_E_AMS_Kyoto_run3_MTE!S313</f>
        <v>-0.87837701634115894</v>
      </c>
      <c r="P126" s="711">
        <f>Bilans_E_AMS_Kyoto_run3_MTE!T313+Bilans_E_AMS_Kyoto_run3_MTE!U313</f>
        <v>0</v>
      </c>
      <c r="Q126" s="711">
        <f>Bilans_E_AMS_Kyoto_run3_MTE!V313</f>
        <v>0</v>
      </c>
      <c r="R126" s="711">
        <f>Bilans_E_AMS_Kyoto_run3_MTE!W313</f>
        <v>0</v>
      </c>
      <c r="S126" s="711">
        <f>Bilans_E_AMS_Kyoto_run3_MTE!X313</f>
        <v>0</v>
      </c>
      <c r="T126" s="711">
        <f>Bilans_E_AMS_Kyoto_run3_MTE!Y313</f>
        <v>-0.26185876214866849</v>
      </c>
      <c r="U126" s="711">
        <f>Bilans_E_AMS_Kyoto_run3_MTE!Z313</f>
        <v>-10.764769606176733</v>
      </c>
      <c r="V126" s="701"/>
      <c r="W126" s="701"/>
    </row>
    <row r="127" spans="1:23" x14ac:dyDescent="0.25">
      <c r="A127" s="701" t="s">
        <v>491</v>
      </c>
      <c r="B127" s="701"/>
      <c r="C127" s="710" t="s">
        <v>63</v>
      </c>
      <c r="D127" s="711">
        <f>Bilans_E_AMS_Kyoto_run3_MTE!H314</f>
        <v>0</v>
      </c>
      <c r="E127" s="711">
        <f>Bilans_E_AMS_Kyoto_run3_MTE!I314</f>
        <v>0</v>
      </c>
      <c r="F127" s="711">
        <f>Bilans_E_AMS_Kyoto_run3_MTE!J314</f>
        <v>-61.6</v>
      </c>
      <c r="G127" s="711">
        <f>Bilans_E_AMS_Kyoto_run3_MTE!K314</f>
        <v>-2.8</v>
      </c>
      <c r="H127" s="711">
        <f>Bilans_E_AMS_Kyoto_run3_MTE!L314</f>
        <v>0</v>
      </c>
      <c r="I127" s="711">
        <f>Bilans_E_AMS_Kyoto_run3_MTE!M314</f>
        <v>0</v>
      </c>
      <c r="J127" s="711">
        <f>Bilans_E_AMS_Kyoto_run3_MTE!N314</f>
        <v>0</v>
      </c>
      <c r="K127" s="711">
        <f>Bilans_E_AMS_Kyoto_run3_MTE!O314</f>
        <v>0</v>
      </c>
      <c r="L127" s="711">
        <f>Bilans_E_AMS_Kyoto_run3_MTE!P314</f>
        <v>0</v>
      </c>
      <c r="M127" s="711">
        <f>Bilans_E_AMS_Kyoto_run3_MTE!Q314</f>
        <v>0</v>
      </c>
      <c r="N127" s="711">
        <f>Bilans_E_AMS_Kyoto_run3_MTE!R314</f>
        <v>-8.1999999999999993</v>
      </c>
      <c r="O127" s="711">
        <f>Bilans_E_AMS_Kyoto_run3_MTE!S314</f>
        <v>0</v>
      </c>
      <c r="P127" s="711">
        <f>Bilans_E_AMS_Kyoto_run3_MTE!T314+Bilans_E_AMS_Kyoto_run3_MTE!U314</f>
        <v>0</v>
      </c>
      <c r="Q127" s="711">
        <f>Bilans_E_AMS_Kyoto_run3_MTE!V314</f>
        <v>0</v>
      </c>
      <c r="R127" s="711">
        <f>Bilans_E_AMS_Kyoto_run3_MTE!W314</f>
        <v>0</v>
      </c>
      <c r="S127" s="711">
        <f>Bilans_E_AMS_Kyoto_run3_MTE!X314</f>
        <v>0</v>
      </c>
      <c r="T127" s="711">
        <f>Bilans_E_AMS_Kyoto_run3_MTE!Y314</f>
        <v>-0.6</v>
      </c>
      <c r="U127" s="711">
        <f>Bilans_E_AMS_Kyoto_run3_MTE!Z314</f>
        <v>-73.2</v>
      </c>
      <c r="V127" s="701"/>
      <c r="W127" s="701"/>
    </row>
    <row r="128" spans="1:23" x14ac:dyDescent="0.25">
      <c r="A128" s="701" t="s">
        <v>492</v>
      </c>
      <c r="B128" s="701"/>
      <c r="C128" s="710" t="s">
        <v>64</v>
      </c>
      <c r="D128" s="712">
        <f>Bilans_E_AMS_Kyoto_run3_MTE!H315</f>
        <v>0</v>
      </c>
      <c r="E128" s="712">
        <f>Bilans_E_AMS_Kyoto_run3_MTE!I315</f>
        <v>0</v>
      </c>
      <c r="F128" s="712">
        <f>Bilans_E_AMS_Kyoto_run3_MTE!J315</f>
        <v>0</v>
      </c>
      <c r="G128" s="712">
        <f>Bilans_E_AMS_Kyoto_run3_MTE!K315</f>
        <v>0</v>
      </c>
      <c r="H128" s="712">
        <f>Bilans_E_AMS_Kyoto_run3_MTE!L315</f>
        <v>0</v>
      </c>
      <c r="I128" s="712">
        <f>Bilans_E_AMS_Kyoto_run3_MTE!M315</f>
        <v>0</v>
      </c>
      <c r="J128" s="712">
        <f>Bilans_E_AMS_Kyoto_run3_MTE!N315</f>
        <v>0</v>
      </c>
      <c r="K128" s="712">
        <f>Bilans_E_AMS_Kyoto_run3_MTE!O315</f>
        <v>0</v>
      </c>
      <c r="L128" s="712">
        <f>Bilans_E_AMS_Kyoto_run3_MTE!P315</f>
        <v>0</v>
      </c>
      <c r="M128" s="712">
        <f>Bilans_E_AMS_Kyoto_run3_MTE!Q315</f>
        <v>0</v>
      </c>
      <c r="N128" s="712">
        <f>Bilans_E_AMS_Kyoto_run3_MTE!R315</f>
        <v>0</v>
      </c>
      <c r="O128" s="712">
        <f>Bilans_E_AMS_Kyoto_run3_MTE!S315</f>
        <v>0</v>
      </c>
      <c r="P128" s="712">
        <f>Bilans_E_AMS_Kyoto_run3_MTE!T315+Bilans_E_AMS_Kyoto_run3_MTE!U315</f>
        <v>0</v>
      </c>
      <c r="Q128" s="712">
        <f>Bilans_E_AMS_Kyoto_run3_MTE!V315</f>
        <v>0</v>
      </c>
      <c r="R128" s="712">
        <f>Bilans_E_AMS_Kyoto_run3_MTE!W315</f>
        <v>0</v>
      </c>
      <c r="S128" s="712">
        <f>Bilans_E_AMS_Kyoto_run3_MTE!X315</f>
        <v>0</v>
      </c>
      <c r="T128" s="712">
        <f>Bilans_E_AMS_Kyoto_run3_MTE!Y315</f>
        <v>0</v>
      </c>
      <c r="U128" s="712">
        <f>Bilans_E_AMS_Kyoto_run3_MTE!Z315</f>
        <v>0</v>
      </c>
      <c r="V128" s="701"/>
      <c r="W128" s="701"/>
    </row>
    <row r="129" spans="1:23" x14ac:dyDescent="0.25">
      <c r="A129" s="701" t="s">
        <v>493</v>
      </c>
      <c r="B129" s="701"/>
      <c r="C129" s="713" t="s">
        <v>65</v>
      </c>
      <c r="D129" s="714">
        <f>Bilans_E_AMS_Kyoto_run3_MTE!H316</f>
        <v>16.733972167968751</v>
      </c>
      <c r="E129" s="714">
        <f>Bilans_E_AMS_Kyoto_run3_MTE!I316</f>
        <v>347.84718490138255</v>
      </c>
      <c r="F129" s="714">
        <f>Bilans_E_AMS_Kyoto_run3_MTE!J316</f>
        <v>83.563020577307157</v>
      </c>
      <c r="G129" s="714">
        <f>Bilans_E_AMS_Kyoto_run3_MTE!K316</f>
        <v>-1.5466157089087895</v>
      </c>
      <c r="H129" s="714">
        <f>Bilans_E_AMS_Kyoto_run3_MTE!L316</f>
        <v>228.41770240541811</v>
      </c>
      <c r="I129" s="714">
        <f>Bilans_E_AMS_Kyoto_run3_MTE!M316</f>
        <v>-0.4644109471147348</v>
      </c>
      <c r="J129" s="714">
        <f>Bilans_E_AMS_Kyoto_run3_MTE!N316</f>
        <v>1165.8657454545453</v>
      </c>
      <c r="K129" s="714">
        <f>Bilans_E_AMS_Kyoto_run3_MTE!O316</f>
        <v>264.18035739757391</v>
      </c>
      <c r="L129" s="714">
        <f>Bilans_E_AMS_Kyoto_run3_MTE!P316</f>
        <v>310.33700790616717</v>
      </c>
      <c r="M129" s="714">
        <f>Bilans_E_AMS_Kyoto_run3_MTE!Q316</f>
        <v>51.405271738220549</v>
      </c>
      <c r="N129" s="714">
        <f>Bilans_E_AMS_Kyoto_run3_MTE!R316</f>
        <v>2.977777544289129</v>
      </c>
      <c r="O129" s="714">
        <f>Bilans_E_AMS_Kyoto_run3_MTE!S316</f>
        <v>4.2740846370952097</v>
      </c>
      <c r="P129" s="714">
        <f>Bilans_E_AMS_Kyoto_run3_MTE!T316+Bilans_E_AMS_Kyoto_run3_MTE!U316</f>
        <v>151.46298386421165</v>
      </c>
      <c r="Q129" s="714">
        <f>Bilans_E_AMS_Kyoto_run3_MTE!V316</f>
        <v>29.323733806781338</v>
      </c>
      <c r="R129" s="714">
        <f>Bilans_E_AMS_Kyoto_run3_MTE!W316</f>
        <v>-83.337259091529631</v>
      </c>
      <c r="S129" s="714">
        <f>Bilans_E_AMS_Kyoto_run3_MTE!X316</f>
        <v>0</v>
      </c>
      <c r="T129" s="714">
        <f>Bilans_E_AMS_Kyoto_run3_MTE!Y316</f>
        <v>-0.86185876214866841</v>
      </c>
      <c r="U129" s="714">
        <f>Bilans_E_AMS_Kyoto_run3_MTE!Z316</f>
        <v>2570.1786978912592</v>
      </c>
      <c r="V129" s="701"/>
      <c r="W129" s="701"/>
    </row>
    <row r="130" spans="1:23" x14ac:dyDescent="0.25">
      <c r="A130" s="701"/>
      <c r="B130" s="701"/>
      <c r="C130" s="715"/>
      <c r="D130" s="716"/>
      <c r="E130" s="716"/>
      <c r="F130" s="716"/>
      <c r="G130" s="716"/>
      <c r="H130" s="716"/>
      <c r="I130" s="716"/>
      <c r="J130" s="716"/>
      <c r="K130" s="716"/>
      <c r="L130" s="716"/>
      <c r="M130" s="716"/>
      <c r="N130" s="716"/>
      <c r="O130" s="716"/>
      <c r="P130" s="716">
        <f>Bilans_E_AMS_Kyoto_run3_MTE!T317+Bilans_E_AMS_Kyoto_run3_MTE!U317</f>
        <v>0</v>
      </c>
      <c r="Q130" s="716"/>
      <c r="R130" s="716"/>
      <c r="S130" s="716"/>
      <c r="T130" s="716"/>
      <c r="U130" s="716"/>
      <c r="V130" s="701"/>
      <c r="W130" s="701"/>
    </row>
    <row r="131" spans="1:23" x14ac:dyDescent="0.25">
      <c r="A131" s="701" t="s">
        <v>494</v>
      </c>
      <c r="B131" s="701"/>
      <c r="C131" s="717" t="s">
        <v>67</v>
      </c>
      <c r="D131" s="711">
        <f>Bilans_E_AMS_Kyoto_run3_MTE!H318</f>
        <v>0</v>
      </c>
      <c r="E131" s="711">
        <f>Bilans_E_AMS_Kyoto_run3_MTE!I318</f>
        <v>0</v>
      </c>
      <c r="F131" s="711">
        <f>Bilans_E_AMS_Kyoto_run3_MTE!J318</f>
        <v>0</v>
      </c>
      <c r="G131" s="711">
        <f>Bilans_E_AMS_Kyoto_run3_MTE!K318</f>
        <v>0</v>
      </c>
      <c r="H131" s="711">
        <f>Bilans_E_AMS_Kyoto_run3_MTE!L318</f>
        <v>0</v>
      </c>
      <c r="I131" s="711">
        <f>Bilans_E_AMS_Kyoto_run3_MTE!M318</f>
        <v>0</v>
      </c>
      <c r="J131" s="711">
        <f>Bilans_E_AMS_Kyoto_run3_MTE!N318</f>
        <v>0</v>
      </c>
      <c r="K131" s="711">
        <f>Bilans_E_AMS_Kyoto_run3_MTE!O318</f>
        <v>0</v>
      </c>
      <c r="L131" s="711">
        <f>Bilans_E_AMS_Kyoto_run3_MTE!P318</f>
        <v>0</v>
      </c>
      <c r="M131" s="711">
        <f>Bilans_E_AMS_Kyoto_run3_MTE!Q318</f>
        <v>0</v>
      </c>
      <c r="N131" s="711">
        <f>Bilans_E_AMS_Kyoto_run3_MTE!R318</f>
        <v>0</v>
      </c>
      <c r="O131" s="711">
        <f>Bilans_E_AMS_Kyoto_run3_MTE!S318</f>
        <v>0</v>
      </c>
      <c r="P131" s="711">
        <f>Bilans_E_AMS_Kyoto_run3_MTE!T318+Bilans_E_AMS_Kyoto_run3_MTE!U318</f>
        <v>0</v>
      </c>
      <c r="Q131" s="711">
        <f>Bilans_E_AMS_Kyoto_run3_MTE!V318</f>
        <v>0</v>
      </c>
      <c r="R131" s="711">
        <f>Bilans_E_AMS_Kyoto_run3_MTE!W318</f>
        <v>0</v>
      </c>
      <c r="S131" s="711">
        <f>Bilans_E_AMS_Kyoto_run3_MTE!X318</f>
        <v>0</v>
      </c>
      <c r="T131" s="711">
        <f>Bilans_E_AMS_Kyoto_run3_MTE!Y318</f>
        <v>0</v>
      </c>
      <c r="U131" s="711">
        <f>Bilans_E_AMS_Kyoto_run3_MTE!Z318</f>
        <v>0</v>
      </c>
      <c r="V131" s="701"/>
      <c r="W131" s="701"/>
    </row>
    <row r="132" spans="1:23" x14ac:dyDescent="0.25">
      <c r="A132" s="701" t="s">
        <v>495</v>
      </c>
      <c r="B132" s="701"/>
      <c r="C132" s="717" t="s">
        <v>347</v>
      </c>
      <c r="D132" s="711">
        <f>Bilans_E_AMS_Kyoto_run3_MTE!H319</f>
        <v>0</v>
      </c>
      <c r="E132" s="711">
        <f>Bilans_E_AMS_Kyoto_run3_MTE!I319</f>
        <v>0</v>
      </c>
      <c r="F132" s="711">
        <f>Bilans_E_AMS_Kyoto_run3_MTE!J319</f>
        <v>0.79278558393774012</v>
      </c>
      <c r="G132" s="711">
        <f>Bilans_E_AMS_Kyoto_run3_MTE!K319</f>
        <v>0</v>
      </c>
      <c r="H132" s="711">
        <f>Bilans_E_AMS_Kyoto_run3_MTE!L319</f>
        <v>30.18998354898655</v>
      </c>
      <c r="I132" s="711">
        <f>Bilans_E_AMS_Kyoto_run3_MTE!M319</f>
        <v>0</v>
      </c>
      <c r="J132" s="711">
        <f>Bilans_E_AMS_Kyoto_run3_MTE!N319</f>
        <v>1165.8657454545453</v>
      </c>
      <c r="K132" s="711">
        <f>Bilans_E_AMS_Kyoto_run3_MTE!O319</f>
        <v>264.18035739757391</v>
      </c>
      <c r="L132" s="711">
        <f>Bilans_E_AMS_Kyoto_run3_MTE!P319</f>
        <v>15.154623225490525</v>
      </c>
      <c r="M132" s="711">
        <f>Bilans_E_AMS_Kyoto_run3_MTE!Q319</f>
        <v>6.1000995181555853</v>
      </c>
      <c r="N132" s="711">
        <f>Bilans_E_AMS_Kyoto_run3_MTE!R319</f>
        <v>4.7819832265678626</v>
      </c>
      <c r="O132" s="711">
        <f>Bilans_E_AMS_Kyoto_run3_MTE!S319</f>
        <v>9.8298837124563363</v>
      </c>
      <c r="P132" s="711">
        <f>Bilans_E_AMS_Kyoto_run3_MTE!T319+Bilans_E_AMS_Kyoto_run3_MTE!U319</f>
        <v>0</v>
      </c>
      <c r="Q132" s="711">
        <f>Bilans_E_AMS_Kyoto_run3_MTE!V319</f>
        <v>1.6766395861963883</v>
      </c>
      <c r="R132" s="711">
        <f>Bilans_E_AMS_Kyoto_run3_MTE!W319</f>
        <v>-685.02208017428939</v>
      </c>
      <c r="S132" s="711">
        <f>Bilans_E_AMS_Kyoto_run3_MTE!X319</f>
        <v>0</v>
      </c>
      <c r="T132" s="711">
        <f>Bilans_E_AMS_Kyoto_run3_MTE!Y319</f>
        <v>0</v>
      </c>
      <c r="U132" s="711">
        <f>Bilans_E_AMS_Kyoto_run3_MTE!Z319</f>
        <v>813.55002107962082</v>
      </c>
      <c r="V132" s="701"/>
      <c r="W132" s="701"/>
    </row>
    <row r="133" spans="1:23" x14ac:dyDescent="0.25">
      <c r="A133" s="701" t="s">
        <v>496</v>
      </c>
      <c r="B133" s="701"/>
      <c r="C133" s="717" t="s">
        <v>348</v>
      </c>
      <c r="D133" s="711">
        <f>Bilans_E_AMS_Kyoto_run3_MTE!H320</f>
        <v>0</v>
      </c>
      <c r="E133" s="711">
        <f>Bilans_E_AMS_Kyoto_run3_MTE!I320</f>
        <v>0</v>
      </c>
      <c r="F133" s="711">
        <f>Bilans_E_AMS_Kyoto_run3_MTE!J320</f>
        <v>0</v>
      </c>
      <c r="G133" s="711">
        <f>Bilans_E_AMS_Kyoto_run3_MTE!K320</f>
        <v>0</v>
      </c>
      <c r="H133" s="711">
        <f>Bilans_E_AMS_Kyoto_run3_MTE!L320</f>
        <v>21.478521490079181</v>
      </c>
      <c r="I133" s="711">
        <f>Bilans_E_AMS_Kyoto_run3_MTE!M320</f>
        <v>0</v>
      </c>
      <c r="J133" s="711">
        <f>Bilans_E_AMS_Kyoto_run3_MTE!N320</f>
        <v>0</v>
      </c>
      <c r="K133" s="711">
        <f>Bilans_E_AMS_Kyoto_run3_MTE!O320</f>
        <v>0</v>
      </c>
      <c r="L133" s="711">
        <f>Bilans_E_AMS_Kyoto_run3_MTE!P320</f>
        <v>25.278971287489433</v>
      </c>
      <c r="M133" s="711">
        <f>Bilans_E_AMS_Kyoto_run3_MTE!Q320</f>
        <v>17.945678264512264</v>
      </c>
      <c r="N133" s="711">
        <f>Bilans_E_AMS_Kyoto_run3_MTE!R320</f>
        <v>0</v>
      </c>
      <c r="O133" s="711">
        <f>Bilans_E_AMS_Kyoto_run3_MTE!S320</f>
        <v>6.0065134029812235</v>
      </c>
      <c r="P133" s="711">
        <f>Bilans_E_AMS_Kyoto_run3_MTE!T320+Bilans_E_AMS_Kyoto_run3_MTE!U320</f>
        <v>10.417559156149544</v>
      </c>
      <c r="Q133" s="711">
        <f>Bilans_E_AMS_Kyoto_run3_MTE!V320</f>
        <v>12.465752150616991</v>
      </c>
      <c r="R133" s="711">
        <f>Bilans_E_AMS_Kyoto_run3_MTE!W320</f>
        <v>0</v>
      </c>
      <c r="S133" s="711">
        <f>Bilans_E_AMS_Kyoto_run3_MTE!X320</f>
        <v>-84.590071614239946</v>
      </c>
      <c r="T133" s="711">
        <f>Bilans_E_AMS_Kyoto_run3_MTE!Y320</f>
        <v>0</v>
      </c>
      <c r="U133" s="711">
        <f>Bilans_E_AMS_Kyoto_run3_MTE!Z320</f>
        <v>9.0029241375887068</v>
      </c>
      <c r="V133" s="701"/>
      <c r="W133" s="701"/>
    </row>
    <row r="134" spans="1:23" x14ac:dyDescent="0.25">
      <c r="A134" s="701" t="s">
        <v>497</v>
      </c>
      <c r="B134" s="701"/>
      <c r="C134" s="717" t="s">
        <v>349</v>
      </c>
      <c r="D134" s="711">
        <f>Bilans_E_AMS_Kyoto_run3_MTE!H321</f>
        <v>0</v>
      </c>
      <c r="E134" s="711">
        <f>Bilans_E_AMS_Kyoto_run3_MTE!I321</f>
        <v>0</v>
      </c>
      <c r="F134" s="711">
        <f>Bilans_E_AMS_Kyoto_run3_MTE!J321</f>
        <v>0</v>
      </c>
      <c r="G134" s="711">
        <f>Bilans_E_AMS_Kyoto_run3_MTE!K321</f>
        <v>0</v>
      </c>
      <c r="H134" s="711">
        <f>Bilans_E_AMS_Kyoto_run3_MTE!L321</f>
        <v>0</v>
      </c>
      <c r="I134" s="711">
        <f>Bilans_E_AMS_Kyoto_run3_MTE!M321</f>
        <v>0</v>
      </c>
      <c r="J134" s="711">
        <f>Bilans_E_AMS_Kyoto_run3_MTE!N321</f>
        <v>0</v>
      </c>
      <c r="K134" s="711">
        <f>Bilans_E_AMS_Kyoto_run3_MTE!O321</f>
        <v>0</v>
      </c>
      <c r="L134" s="711">
        <f>Bilans_E_AMS_Kyoto_run3_MTE!P321</f>
        <v>84.566495903586969</v>
      </c>
      <c r="M134" s="711">
        <f>Bilans_E_AMS_Kyoto_run3_MTE!Q321</f>
        <v>10.27121917361311</v>
      </c>
      <c r="N134" s="711">
        <f>Bilans_E_AMS_Kyoto_run3_MTE!R321</f>
        <v>0</v>
      </c>
      <c r="O134" s="711">
        <f>Bilans_E_AMS_Kyoto_run3_MTE!S321</f>
        <v>-47.494303640463748</v>
      </c>
      <c r="P134" s="711">
        <f>Bilans_E_AMS_Kyoto_run3_MTE!T321+Bilans_E_AMS_Kyoto_run3_MTE!U321</f>
        <v>0</v>
      </c>
      <c r="Q134" s="711">
        <f>Bilans_E_AMS_Kyoto_run3_MTE!V321</f>
        <v>0</v>
      </c>
      <c r="R134" s="711">
        <f>Bilans_E_AMS_Kyoto_run3_MTE!W321</f>
        <v>0</v>
      </c>
      <c r="S134" s="711">
        <f>Bilans_E_AMS_Kyoto_run3_MTE!X321</f>
        <v>0</v>
      </c>
      <c r="T134" s="711">
        <f>Bilans_E_AMS_Kyoto_run3_MTE!Y321</f>
        <v>0</v>
      </c>
      <c r="U134" s="711">
        <f>Bilans_E_AMS_Kyoto_run3_MTE!Z321</f>
        <v>47.343411436736325</v>
      </c>
      <c r="V134" s="701"/>
      <c r="W134" s="701"/>
    </row>
    <row r="135" spans="1:23" x14ac:dyDescent="0.25">
      <c r="A135" s="701" t="s">
        <v>498</v>
      </c>
      <c r="B135" s="701"/>
      <c r="C135" s="717" t="s">
        <v>350</v>
      </c>
      <c r="D135" s="711">
        <f>Bilans_E_AMS_Kyoto_run3_MTE!H322</f>
        <v>0</v>
      </c>
      <c r="E135" s="711">
        <f>Bilans_E_AMS_Kyoto_run3_MTE!I322</f>
        <v>0</v>
      </c>
      <c r="F135" s="711">
        <f>Bilans_E_AMS_Kyoto_run3_MTE!J322</f>
        <v>0</v>
      </c>
      <c r="G135" s="711">
        <f>Bilans_E_AMS_Kyoto_run3_MTE!K322</f>
        <v>0</v>
      </c>
      <c r="H135" s="711">
        <f>Bilans_E_AMS_Kyoto_run3_MTE!L322</f>
        <v>0</v>
      </c>
      <c r="I135" s="711">
        <f>Bilans_E_AMS_Kyoto_run3_MTE!M322</f>
        <v>-0.4644109471147348</v>
      </c>
      <c r="J135" s="711">
        <f>Bilans_E_AMS_Kyoto_run3_MTE!N322</f>
        <v>0</v>
      </c>
      <c r="K135" s="711">
        <f>Bilans_E_AMS_Kyoto_run3_MTE!O322</f>
        <v>0</v>
      </c>
      <c r="L135" s="711">
        <f>Bilans_E_AMS_Kyoto_run3_MTE!P322</f>
        <v>0</v>
      </c>
      <c r="M135" s="711">
        <f>Bilans_E_AMS_Kyoto_run3_MTE!Q322</f>
        <v>0</v>
      </c>
      <c r="N135" s="711">
        <f>Bilans_E_AMS_Kyoto_run3_MTE!R322</f>
        <v>0</v>
      </c>
      <c r="O135" s="711">
        <f>Bilans_E_AMS_Kyoto_run3_MTE!S322</f>
        <v>0</v>
      </c>
      <c r="P135" s="711">
        <f>Bilans_E_AMS_Kyoto_run3_MTE!T322+Bilans_E_AMS_Kyoto_run3_MTE!U322</f>
        <v>0</v>
      </c>
      <c r="Q135" s="711">
        <f>Bilans_E_AMS_Kyoto_run3_MTE!V322</f>
        <v>0</v>
      </c>
      <c r="R135" s="711">
        <f>Bilans_E_AMS_Kyoto_run3_MTE!W322</f>
        <v>0</v>
      </c>
      <c r="S135" s="711">
        <f>Bilans_E_AMS_Kyoto_run3_MTE!X322</f>
        <v>0</v>
      </c>
      <c r="T135" s="711">
        <f>Bilans_E_AMS_Kyoto_run3_MTE!Y322</f>
        <v>0.64501520432602055</v>
      </c>
      <c r="U135" s="711">
        <f>Bilans_E_AMS_Kyoto_run3_MTE!Z322</f>
        <v>0.18060425721128576</v>
      </c>
      <c r="V135" s="701"/>
      <c r="W135" s="701"/>
    </row>
    <row r="136" spans="1:23" x14ac:dyDescent="0.25">
      <c r="A136" s="701" t="s">
        <v>499</v>
      </c>
      <c r="B136" s="701"/>
      <c r="C136" s="717" t="s">
        <v>72</v>
      </c>
      <c r="D136" s="711">
        <f>Bilans_E_AMS_Kyoto_run3_MTE!H323</f>
        <v>0</v>
      </c>
      <c r="E136" s="711">
        <f>Bilans_E_AMS_Kyoto_run3_MTE!I323</f>
        <v>360.49746740112505</v>
      </c>
      <c r="F136" s="711">
        <f>Bilans_E_AMS_Kyoto_run3_MTE!J323</f>
        <v>-356.89249272711379</v>
      </c>
      <c r="G136" s="711">
        <f>Bilans_E_AMS_Kyoto_run3_MTE!K323</f>
        <v>0</v>
      </c>
      <c r="H136" s="711">
        <f>Bilans_E_AMS_Kyoto_run3_MTE!L323</f>
        <v>0</v>
      </c>
      <c r="I136" s="711">
        <f>Bilans_E_AMS_Kyoto_run3_MTE!M323</f>
        <v>0</v>
      </c>
      <c r="J136" s="711">
        <f>Bilans_E_AMS_Kyoto_run3_MTE!N323</f>
        <v>0</v>
      </c>
      <c r="K136" s="711">
        <f>Bilans_E_AMS_Kyoto_run3_MTE!O323</f>
        <v>0</v>
      </c>
      <c r="L136" s="711">
        <f>Bilans_E_AMS_Kyoto_run3_MTE!P323</f>
        <v>0</v>
      </c>
      <c r="M136" s="711">
        <f>Bilans_E_AMS_Kyoto_run3_MTE!Q323</f>
        <v>0</v>
      </c>
      <c r="N136" s="711">
        <f>Bilans_E_AMS_Kyoto_run3_MTE!R323</f>
        <v>0</v>
      </c>
      <c r="O136" s="711">
        <f>Bilans_E_AMS_Kyoto_run3_MTE!S323</f>
        <v>0</v>
      </c>
      <c r="P136" s="711">
        <f>Bilans_E_AMS_Kyoto_run3_MTE!T323+Bilans_E_AMS_Kyoto_run3_MTE!U323</f>
        <v>0</v>
      </c>
      <c r="Q136" s="711">
        <f>Bilans_E_AMS_Kyoto_run3_MTE!V323</f>
        <v>0</v>
      </c>
      <c r="R136" s="711">
        <f>Bilans_E_AMS_Kyoto_run3_MTE!W323</f>
        <v>0</v>
      </c>
      <c r="S136" s="711">
        <f>Bilans_E_AMS_Kyoto_run3_MTE!X323</f>
        <v>0</v>
      </c>
      <c r="T136" s="711">
        <f>Bilans_E_AMS_Kyoto_run3_MTE!Y323</f>
        <v>0</v>
      </c>
      <c r="U136" s="711">
        <f>Bilans_E_AMS_Kyoto_run3_MTE!Z323</f>
        <v>3.6049746740112596</v>
      </c>
      <c r="V136" s="701"/>
      <c r="W136" s="701"/>
    </row>
    <row r="137" spans="1:23" x14ac:dyDescent="0.25">
      <c r="A137" s="701" t="s">
        <v>500</v>
      </c>
      <c r="B137" s="701"/>
      <c r="C137" s="717" t="s">
        <v>351</v>
      </c>
      <c r="D137" s="711">
        <f>Bilans_E_AMS_Kyoto_run3_MTE!H324</f>
        <v>0</v>
      </c>
      <c r="E137" s="711">
        <f>Bilans_E_AMS_Kyoto_run3_MTE!I324</f>
        <v>0</v>
      </c>
      <c r="F137" s="711">
        <f>Bilans_E_AMS_Kyoto_run3_MTE!J324</f>
        <v>0</v>
      </c>
      <c r="G137" s="711">
        <f>Bilans_E_AMS_Kyoto_run3_MTE!K324</f>
        <v>0</v>
      </c>
      <c r="H137" s="711">
        <f>Bilans_E_AMS_Kyoto_run3_MTE!L324</f>
        <v>0</v>
      </c>
      <c r="I137" s="711">
        <f>Bilans_E_AMS_Kyoto_run3_MTE!M324</f>
        <v>0</v>
      </c>
      <c r="J137" s="711">
        <f>Bilans_E_AMS_Kyoto_run3_MTE!N324</f>
        <v>0</v>
      </c>
      <c r="K137" s="711">
        <f>Bilans_E_AMS_Kyoto_run3_MTE!O324</f>
        <v>0</v>
      </c>
      <c r="L137" s="711">
        <f>Bilans_E_AMS_Kyoto_run3_MTE!P324</f>
        <v>79.688188573831496</v>
      </c>
      <c r="M137" s="711">
        <f>Bilans_E_AMS_Kyoto_run3_MTE!Q324</f>
        <v>7.2727272727272725</v>
      </c>
      <c r="N137" s="711">
        <f>Bilans_E_AMS_Kyoto_run3_MTE!R324</f>
        <v>-48.502301880066618</v>
      </c>
      <c r="O137" s="711">
        <f>Bilans_E_AMS_Kyoto_run3_MTE!S324</f>
        <v>0</v>
      </c>
      <c r="P137" s="711">
        <f>Bilans_E_AMS_Kyoto_run3_MTE!T324+Bilans_E_AMS_Kyoto_run3_MTE!U324</f>
        <v>0</v>
      </c>
      <c r="Q137" s="711">
        <f>Bilans_E_AMS_Kyoto_run3_MTE!V324</f>
        <v>0</v>
      </c>
      <c r="R137" s="711">
        <f>Bilans_E_AMS_Kyoto_run3_MTE!W324</f>
        <v>0</v>
      </c>
      <c r="S137" s="711">
        <f>Bilans_E_AMS_Kyoto_run3_MTE!X324</f>
        <v>0</v>
      </c>
      <c r="T137" s="711">
        <f>Bilans_E_AMS_Kyoto_run3_MTE!Y324</f>
        <v>0</v>
      </c>
      <c r="U137" s="711">
        <f>Bilans_E_AMS_Kyoto_run3_MTE!Z324</f>
        <v>38.458613966492145</v>
      </c>
      <c r="V137" s="701"/>
      <c r="W137" s="701"/>
    </row>
    <row r="138" spans="1:23" x14ac:dyDescent="0.25">
      <c r="A138" s="701" t="s">
        <v>501</v>
      </c>
      <c r="B138" s="701"/>
      <c r="C138" s="717" t="s">
        <v>352</v>
      </c>
      <c r="D138" s="711">
        <f>Bilans_E_AMS_Kyoto_run3_MTE!H325</f>
        <v>0</v>
      </c>
      <c r="E138" s="711">
        <f>Bilans_E_AMS_Kyoto_run3_MTE!I325</f>
        <v>0</v>
      </c>
      <c r="F138" s="711">
        <f>Bilans_E_AMS_Kyoto_run3_MTE!J325</f>
        <v>0</v>
      </c>
      <c r="G138" s="711">
        <f>Bilans_E_AMS_Kyoto_run3_MTE!K325</f>
        <v>-2.3373161064337085</v>
      </c>
      <c r="H138" s="711">
        <f>Bilans_E_AMS_Kyoto_run3_MTE!L325</f>
        <v>0</v>
      </c>
      <c r="I138" s="711">
        <f>Bilans_E_AMS_Kyoto_run3_MTE!M325</f>
        <v>0</v>
      </c>
      <c r="J138" s="711">
        <f>Bilans_E_AMS_Kyoto_run3_MTE!N325</f>
        <v>0</v>
      </c>
      <c r="K138" s="711">
        <f>Bilans_E_AMS_Kyoto_run3_MTE!O325</f>
        <v>0</v>
      </c>
      <c r="L138" s="711">
        <f>Bilans_E_AMS_Kyoto_run3_MTE!P325</f>
        <v>0</v>
      </c>
      <c r="M138" s="711">
        <f>Bilans_E_AMS_Kyoto_run3_MTE!Q325</f>
        <v>0</v>
      </c>
      <c r="N138" s="711">
        <f>Bilans_E_AMS_Kyoto_run3_MTE!R325</f>
        <v>0</v>
      </c>
      <c r="O138" s="711">
        <f>Bilans_E_AMS_Kyoto_run3_MTE!S325</f>
        <v>0</v>
      </c>
      <c r="P138" s="711">
        <f>Bilans_E_AMS_Kyoto_run3_MTE!T325+Bilans_E_AMS_Kyoto_run3_MTE!U325</f>
        <v>0</v>
      </c>
      <c r="Q138" s="711">
        <f>Bilans_E_AMS_Kyoto_run3_MTE!V325</f>
        <v>0</v>
      </c>
      <c r="R138" s="711">
        <f>Bilans_E_AMS_Kyoto_run3_MTE!W325</f>
        <v>0</v>
      </c>
      <c r="S138" s="711">
        <f>Bilans_E_AMS_Kyoto_run3_MTE!X325</f>
        <v>0</v>
      </c>
      <c r="T138" s="711">
        <f>Bilans_E_AMS_Kyoto_run3_MTE!Y325</f>
        <v>3.8910477170770799</v>
      </c>
      <c r="U138" s="711">
        <f>Bilans_E_AMS_Kyoto_run3_MTE!Z325</f>
        <v>1.5537316106433714</v>
      </c>
      <c r="V138" s="701"/>
      <c r="W138" s="701"/>
    </row>
    <row r="139" spans="1:23" x14ac:dyDescent="0.25">
      <c r="A139" s="701" t="s">
        <v>502</v>
      </c>
      <c r="B139" s="701"/>
      <c r="C139" s="717" t="s">
        <v>73</v>
      </c>
      <c r="D139" s="711">
        <f>Bilans_E_AMS_Kyoto_run3_MTE!H326</f>
        <v>0</v>
      </c>
      <c r="E139" s="711">
        <f>Bilans_E_AMS_Kyoto_run3_MTE!I326</f>
        <v>0</v>
      </c>
      <c r="F139" s="711">
        <f>Bilans_E_AMS_Kyoto_run3_MTE!J326</f>
        <v>0</v>
      </c>
      <c r="G139" s="711">
        <f>Bilans_E_AMS_Kyoto_run3_MTE!K326</f>
        <v>0</v>
      </c>
      <c r="H139" s="711">
        <f>Bilans_E_AMS_Kyoto_run3_MTE!L326</f>
        <v>0</v>
      </c>
      <c r="I139" s="711">
        <f>Bilans_E_AMS_Kyoto_run3_MTE!M326</f>
        <v>0</v>
      </c>
      <c r="J139" s="711">
        <f>Bilans_E_AMS_Kyoto_run3_MTE!N326</f>
        <v>0</v>
      </c>
      <c r="K139" s="711">
        <f>Bilans_E_AMS_Kyoto_run3_MTE!O326</f>
        <v>0</v>
      </c>
      <c r="L139" s="711">
        <f>Bilans_E_AMS_Kyoto_run3_MTE!P326</f>
        <v>0</v>
      </c>
      <c r="M139" s="711">
        <f>Bilans_E_AMS_Kyoto_run3_MTE!Q326</f>
        <v>0</v>
      </c>
      <c r="N139" s="711">
        <f>Bilans_E_AMS_Kyoto_run3_MTE!R326</f>
        <v>0</v>
      </c>
      <c r="O139" s="711">
        <f>Bilans_E_AMS_Kyoto_run3_MTE!S326</f>
        <v>0</v>
      </c>
      <c r="P139" s="711">
        <f>Bilans_E_AMS_Kyoto_run3_MTE!T326+Bilans_E_AMS_Kyoto_run3_MTE!U326</f>
        <v>0</v>
      </c>
      <c r="Q139" s="711">
        <f>Bilans_E_AMS_Kyoto_run3_MTE!V326</f>
        <v>0</v>
      </c>
      <c r="R139" s="711">
        <f>Bilans_E_AMS_Kyoto_run3_MTE!W326</f>
        <v>26.742532147251133</v>
      </c>
      <c r="S139" s="711">
        <f>Bilans_E_AMS_Kyoto_run3_MTE!X326</f>
        <v>0</v>
      </c>
      <c r="T139" s="711">
        <f>Bilans_E_AMS_Kyoto_run3_MTE!Y326</f>
        <v>-17.663442483259374</v>
      </c>
      <c r="U139" s="711">
        <f>Bilans_E_AMS_Kyoto_run3_MTE!Z326</f>
        <v>9.0790896639917591</v>
      </c>
      <c r="V139" s="701"/>
      <c r="W139" s="701"/>
    </row>
    <row r="140" spans="1:23" x14ac:dyDescent="0.25">
      <c r="A140" s="701" t="s">
        <v>503</v>
      </c>
      <c r="B140" s="701"/>
      <c r="C140" s="717" t="s">
        <v>353</v>
      </c>
      <c r="D140" s="711">
        <f>Bilans_E_AMS_Kyoto_run3_MTE!H327</f>
        <v>11.528678671874999</v>
      </c>
      <c r="E140" s="711">
        <f>Bilans_E_AMS_Kyoto_run3_MTE!I327</f>
        <v>-12.650282499742492</v>
      </c>
      <c r="F140" s="711">
        <f>Bilans_E_AMS_Kyoto_run3_MTE!J327</f>
        <v>16.688969946378961</v>
      </c>
      <c r="G140" s="711">
        <f>Bilans_E_AMS_Kyoto_run3_MTE!K327</f>
        <v>0</v>
      </c>
      <c r="H140" s="711">
        <f>Bilans_E_AMS_Kyoto_run3_MTE!L327</f>
        <v>0</v>
      </c>
      <c r="I140" s="711">
        <f>Bilans_E_AMS_Kyoto_run3_MTE!M327</f>
        <v>0</v>
      </c>
      <c r="J140" s="711">
        <f>Bilans_E_AMS_Kyoto_run3_MTE!N327</f>
        <v>0</v>
      </c>
      <c r="K140" s="711">
        <f>Bilans_E_AMS_Kyoto_run3_MTE!O327</f>
        <v>0</v>
      </c>
      <c r="L140" s="711">
        <f>Bilans_E_AMS_Kyoto_run3_MTE!P327</f>
        <v>0</v>
      </c>
      <c r="M140" s="711">
        <f>Bilans_E_AMS_Kyoto_run3_MTE!Q327</f>
        <v>0</v>
      </c>
      <c r="N140" s="711">
        <f>Bilans_E_AMS_Kyoto_run3_MTE!R327</f>
        <v>0</v>
      </c>
      <c r="O140" s="711">
        <f>Bilans_E_AMS_Kyoto_run3_MTE!S327</f>
        <v>0</v>
      </c>
      <c r="P140" s="711">
        <f>Bilans_E_AMS_Kyoto_run3_MTE!T327+Bilans_E_AMS_Kyoto_run3_MTE!U327</f>
        <v>0</v>
      </c>
      <c r="Q140" s="711">
        <f>Bilans_E_AMS_Kyoto_run3_MTE!V327</f>
        <v>0</v>
      </c>
      <c r="R140" s="711">
        <f>Bilans_E_AMS_Kyoto_run3_MTE!W327</f>
        <v>0</v>
      </c>
      <c r="S140" s="711">
        <f>Bilans_E_AMS_Kyoto_run3_MTE!X327</f>
        <v>0</v>
      </c>
      <c r="T140" s="711">
        <f>Bilans_E_AMS_Kyoto_run3_MTE!Y327</f>
        <v>0</v>
      </c>
      <c r="U140" s="711">
        <f>Bilans_E_AMS_Kyoto_run3_MTE!Z327</f>
        <v>15.567366118511469</v>
      </c>
      <c r="V140" s="701"/>
      <c r="W140" s="701"/>
    </row>
    <row r="141" spans="1:23" x14ac:dyDescent="0.25">
      <c r="A141" s="701" t="s">
        <v>504</v>
      </c>
      <c r="B141" s="701"/>
      <c r="C141" s="717" t="s">
        <v>75</v>
      </c>
      <c r="D141" s="711">
        <f>Bilans_E_AMS_Kyoto_run3_MTE!H328</f>
        <v>4.4833750390625005</v>
      </c>
      <c r="E141" s="711">
        <f>Bilans_E_AMS_Kyoto_run3_MTE!I328</f>
        <v>0</v>
      </c>
      <c r="F141" s="711">
        <f>Bilans_E_AMS_Kyoto_run3_MTE!J328</f>
        <v>12.470199463438197</v>
      </c>
      <c r="G141" s="711">
        <f>Bilans_E_AMS_Kyoto_run3_MTE!K328</f>
        <v>0</v>
      </c>
      <c r="H141" s="711">
        <f>Bilans_E_AMS_Kyoto_run3_MTE!L328</f>
        <v>0.24936035983011146</v>
      </c>
      <c r="I141" s="711">
        <f>Bilans_E_AMS_Kyoto_run3_MTE!M328</f>
        <v>0</v>
      </c>
      <c r="J141" s="711">
        <f>Bilans_E_AMS_Kyoto_run3_MTE!N328</f>
        <v>0</v>
      </c>
      <c r="K141" s="711">
        <f>Bilans_E_AMS_Kyoto_run3_MTE!O328</f>
        <v>0</v>
      </c>
      <c r="L141" s="711">
        <f>Bilans_E_AMS_Kyoto_run3_MTE!P328</f>
        <v>0</v>
      </c>
      <c r="M141" s="711">
        <f>Bilans_E_AMS_Kyoto_run3_MTE!Q328</f>
        <v>0</v>
      </c>
      <c r="N141" s="711">
        <f>Bilans_E_AMS_Kyoto_run3_MTE!R328</f>
        <v>0</v>
      </c>
      <c r="O141" s="711">
        <f>Bilans_E_AMS_Kyoto_run3_MTE!S328</f>
        <v>5.4737639962707384E-2</v>
      </c>
      <c r="P141" s="711">
        <f>Bilans_E_AMS_Kyoto_run3_MTE!T328+Bilans_E_AMS_Kyoto_run3_MTE!U328</f>
        <v>0</v>
      </c>
      <c r="Q141" s="711">
        <f>Bilans_E_AMS_Kyoto_run3_MTE!V328</f>
        <v>0</v>
      </c>
      <c r="R141" s="711">
        <f>Bilans_E_AMS_Kyoto_run3_MTE!W328</f>
        <v>34.269297847213949</v>
      </c>
      <c r="S141" s="711">
        <f>Bilans_E_AMS_Kyoto_run3_MTE!X328</f>
        <v>0</v>
      </c>
      <c r="T141" s="711">
        <f>Bilans_E_AMS_Kyoto_run3_MTE!Y328</f>
        <v>3.2371102497669209</v>
      </c>
      <c r="U141" s="711">
        <f>Bilans_E_AMS_Kyoto_run3_MTE!Z328</f>
        <v>54.764080599274386</v>
      </c>
      <c r="V141" s="701"/>
      <c r="W141" s="701"/>
    </row>
    <row r="142" spans="1:23" x14ac:dyDescent="0.25">
      <c r="A142" s="701" t="s">
        <v>505</v>
      </c>
      <c r="B142" s="701"/>
      <c r="C142" s="717" t="s">
        <v>76</v>
      </c>
      <c r="D142" s="711">
        <f>Bilans_E_AMS_Kyoto_run3_MTE!H329</f>
        <v>0</v>
      </c>
      <c r="E142" s="711">
        <f>Bilans_E_AMS_Kyoto_run3_MTE!I329</f>
        <v>0</v>
      </c>
      <c r="F142" s="711">
        <f>Bilans_E_AMS_Kyoto_run3_MTE!J329</f>
        <v>0</v>
      </c>
      <c r="G142" s="711">
        <f>Bilans_E_AMS_Kyoto_run3_MTE!K329</f>
        <v>0</v>
      </c>
      <c r="H142" s="711">
        <f>Bilans_E_AMS_Kyoto_run3_MTE!L329</f>
        <v>2.5945073025125769</v>
      </c>
      <c r="I142" s="711">
        <f>Bilans_E_AMS_Kyoto_run3_MTE!M329</f>
        <v>0</v>
      </c>
      <c r="J142" s="711">
        <f>Bilans_E_AMS_Kyoto_run3_MTE!N329</f>
        <v>0</v>
      </c>
      <c r="K142" s="711">
        <f>Bilans_E_AMS_Kyoto_run3_MTE!O329</f>
        <v>0</v>
      </c>
      <c r="L142" s="711">
        <f>Bilans_E_AMS_Kyoto_run3_MTE!P329</f>
        <v>0</v>
      </c>
      <c r="M142" s="711">
        <f>Bilans_E_AMS_Kyoto_run3_MTE!Q329</f>
        <v>0</v>
      </c>
      <c r="N142" s="711">
        <f>Bilans_E_AMS_Kyoto_run3_MTE!R329</f>
        <v>0</v>
      </c>
      <c r="O142" s="711">
        <f>Bilans_E_AMS_Kyoto_run3_MTE!S329</f>
        <v>0.56952599323446806</v>
      </c>
      <c r="P142" s="711">
        <f>Bilans_E_AMS_Kyoto_run3_MTE!T329+Bilans_E_AMS_Kyoto_run3_MTE!U329</f>
        <v>0</v>
      </c>
      <c r="Q142" s="711">
        <f>Bilans_E_AMS_Kyoto_run3_MTE!V329</f>
        <v>0</v>
      </c>
      <c r="R142" s="711">
        <f>Bilans_E_AMS_Kyoto_run3_MTE!W329</f>
        <v>49.185048043405324</v>
      </c>
      <c r="S142" s="711">
        <f>Bilans_E_AMS_Kyoto_run3_MTE!X329</f>
        <v>6.5593635854558805</v>
      </c>
      <c r="T142" s="711">
        <f>Bilans_E_AMS_Kyoto_run3_MTE!Y329</f>
        <v>0</v>
      </c>
      <c r="U142" s="711">
        <f>Bilans_E_AMS_Kyoto_run3_MTE!Z329</f>
        <v>58.908444924608247</v>
      </c>
      <c r="V142" s="701"/>
      <c r="W142" s="701"/>
    </row>
    <row r="143" spans="1:23" x14ac:dyDescent="0.25">
      <c r="A143" s="701" t="s">
        <v>506</v>
      </c>
      <c r="B143" s="701"/>
      <c r="C143" s="713" t="s">
        <v>77</v>
      </c>
      <c r="D143" s="714">
        <f>Bilans_E_AMS_Kyoto_run3_MTE!H330</f>
        <v>16.012053710937501</v>
      </c>
      <c r="E143" s="714">
        <f>Bilans_E_AMS_Kyoto_run3_MTE!I330</f>
        <v>347.84718490138255</v>
      </c>
      <c r="F143" s="714">
        <f>Bilans_E_AMS_Kyoto_run3_MTE!J330</f>
        <v>-326.94053773335889</v>
      </c>
      <c r="G143" s="714">
        <f>Bilans_E_AMS_Kyoto_run3_MTE!K330</f>
        <v>-2.3373161064337085</v>
      </c>
      <c r="H143" s="714">
        <f>Bilans_E_AMS_Kyoto_run3_MTE!L330</f>
        <v>54.512372701408424</v>
      </c>
      <c r="I143" s="714">
        <f>Bilans_E_AMS_Kyoto_run3_MTE!M330</f>
        <v>-0.4644109471147348</v>
      </c>
      <c r="J143" s="714">
        <f>Bilans_E_AMS_Kyoto_run3_MTE!N330</f>
        <v>1165.8657454545453</v>
      </c>
      <c r="K143" s="714">
        <f>Bilans_E_AMS_Kyoto_run3_MTE!O330</f>
        <v>264.18035739757391</v>
      </c>
      <c r="L143" s="714">
        <f>Bilans_E_AMS_Kyoto_run3_MTE!P330</f>
        <v>204.68827899039843</v>
      </c>
      <c r="M143" s="714">
        <f>Bilans_E_AMS_Kyoto_run3_MTE!Q330</f>
        <v>41.589724229008233</v>
      </c>
      <c r="N143" s="714">
        <f>Bilans_E_AMS_Kyoto_run3_MTE!R330</f>
        <v>-43.720318653498758</v>
      </c>
      <c r="O143" s="714">
        <f>Bilans_E_AMS_Kyoto_run3_MTE!S330</f>
        <v>-31.033642891829015</v>
      </c>
      <c r="P143" s="714">
        <f>Bilans_E_AMS_Kyoto_run3_MTE!T330+Bilans_E_AMS_Kyoto_run3_MTE!U330</f>
        <v>10.417559156149544</v>
      </c>
      <c r="Q143" s="714">
        <f>Bilans_E_AMS_Kyoto_run3_MTE!V330</f>
        <v>14.14239173681338</v>
      </c>
      <c r="R143" s="714">
        <f>Bilans_E_AMS_Kyoto_run3_MTE!W330</f>
        <v>-574.82520213641897</v>
      </c>
      <c r="S143" s="714">
        <f>Bilans_E_AMS_Kyoto_run3_MTE!X330</f>
        <v>-78.030708028784062</v>
      </c>
      <c r="T143" s="714">
        <f>Bilans_E_AMS_Kyoto_run3_MTE!Y330</f>
        <v>-9.8902693120893517</v>
      </c>
      <c r="U143" s="714">
        <f>Bilans_E_AMS_Kyoto_run3_MTE!Z330</f>
        <v>1052.0132624686898</v>
      </c>
      <c r="V143" s="701"/>
      <c r="W143" s="701"/>
    </row>
    <row r="144" spans="1:23" x14ac:dyDescent="0.25">
      <c r="A144" s="701"/>
      <c r="B144" s="701"/>
      <c r="C144" s="715"/>
      <c r="D144" s="716"/>
      <c r="E144" s="716"/>
      <c r="F144" s="716"/>
      <c r="G144" s="716"/>
      <c r="H144" s="716"/>
      <c r="I144" s="716"/>
      <c r="J144" s="716"/>
      <c r="K144" s="716"/>
      <c r="L144" s="716"/>
      <c r="M144" s="716"/>
      <c r="N144" s="716"/>
      <c r="O144" s="716"/>
      <c r="P144" s="716">
        <f>Bilans_E_AMS_Kyoto_run3_MTE!T331+Bilans_E_AMS_Kyoto_run3_MTE!U331</f>
        <v>0</v>
      </c>
      <c r="Q144" s="716"/>
      <c r="R144" s="716"/>
      <c r="S144" s="716"/>
      <c r="T144" s="716"/>
      <c r="U144" s="716"/>
      <c r="V144" s="701"/>
      <c r="W144" s="701"/>
    </row>
    <row r="145" spans="1:23" x14ac:dyDescent="0.25">
      <c r="A145" s="701" t="s">
        <v>507</v>
      </c>
      <c r="B145" s="701"/>
      <c r="C145" s="717" t="s">
        <v>78</v>
      </c>
      <c r="D145" s="711">
        <f>Bilans_E_AMS_Kyoto_run3_MTE!H332</f>
        <v>0.72191845703125002</v>
      </c>
      <c r="E145" s="711">
        <f>Bilans_E_AMS_Kyoto_run3_MTE!I332</f>
        <v>0</v>
      </c>
      <c r="F145" s="711">
        <f>Bilans_E_AMS_Kyoto_run3_MTE!J332</f>
        <v>8.6275641405514261</v>
      </c>
      <c r="G145" s="711">
        <f>Bilans_E_AMS_Kyoto_run3_MTE!K332</f>
        <v>0</v>
      </c>
      <c r="H145" s="711">
        <f>Bilans_E_AMS_Kyoto_run3_MTE!L332</f>
        <v>60.118843099403179</v>
      </c>
      <c r="I145" s="711">
        <f>Bilans_E_AMS_Kyoto_run3_MTE!M332</f>
        <v>0</v>
      </c>
      <c r="J145" s="711">
        <f>Bilans_E_AMS_Kyoto_run3_MTE!N332</f>
        <v>0</v>
      </c>
      <c r="K145" s="711">
        <f>Bilans_E_AMS_Kyoto_run3_MTE!O332</f>
        <v>0</v>
      </c>
      <c r="L145" s="711">
        <f>Bilans_E_AMS_Kyoto_run3_MTE!P332</f>
        <v>39.297286819626784</v>
      </c>
      <c r="M145" s="711">
        <f>Bilans_E_AMS_Kyoto_run3_MTE!Q332</f>
        <v>9.815547509212319</v>
      </c>
      <c r="N145" s="711">
        <f>Bilans_E_AMS_Kyoto_run3_MTE!R332</f>
        <v>0.93232860735581835</v>
      </c>
      <c r="O145" s="711">
        <f>Bilans_E_AMS_Kyoto_run3_MTE!S332</f>
        <v>13.22814546550425</v>
      </c>
      <c r="P145" s="711">
        <f>Bilans_E_AMS_Kyoto_run3_MTE!T332+Bilans_E_AMS_Kyoto_run3_MTE!U332</f>
        <v>6.7746367187500001</v>
      </c>
      <c r="Q145" s="711">
        <f>Bilans_E_AMS_Kyoto_run3_MTE!V332</f>
        <v>6.3863689419622622E-4</v>
      </c>
      <c r="R145" s="711">
        <f>Bilans_E_AMS_Kyoto_run3_MTE!W332</f>
        <v>152.36640904233067</v>
      </c>
      <c r="S145" s="711">
        <f>Bilans_E_AMS_Kyoto_run3_MTE!X332</f>
        <v>19.594153264133379</v>
      </c>
      <c r="T145" s="711">
        <f>Bilans_E_AMS_Kyoto_run3_MTE!Y332</f>
        <v>5.5380712890624997</v>
      </c>
      <c r="U145" s="711">
        <f>Bilans_E_AMS_Kyoto_run3_MTE!Z332</f>
        <v>317.01554304985569</v>
      </c>
      <c r="V145" s="701"/>
      <c r="W145" s="701"/>
    </row>
    <row r="146" spans="1:23" x14ac:dyDescent="0.25">
      <c r="A146" s="701" t="s">
        <v>508</v>
      </c>
      <c r="B146" s="701"/>
      <c r="C146" s="717" t="s">
        <v>79</v>
      </c>
      <c r="D146" s="711">
        <f>Bilans_E_AMS_Kyoto_run3_MTE!H333</f>
        <v>0</v>
      </c>
      <c r="E146" s="711">
        <f>Bilans_E_AMS_Kyoto_run3_MTE!I333</f>
        <v>0</v>
      </c>
      <c r="F146" s="711">
        <f>Bilans_E_AMS_Kyoto_run3_MTE!J333</f>
        <v>257.95105394329198</v>
      </c>
      <c r="G146" s="711">
        <f>Bilans_E_AMS_Kyoto_run3_MTE!K333</f>
        <v>0</v>
      </c>
      <c r="H146" s="711">
        <f>Bilans_E_AMS_Kyoto_run3_MTE!L333</f>
        <v>5.8847606933541083</v>
      </c>
      <c r="I146" s="711">
        <f>Bilans_E_AMS_Kyoto_run3_MTE!M333</f>
        <v>0</v>
      </c>
      <c r="J146" s="711">
        <f>Bilans_E_AMS_Kyoto_run3_MTE!N333</f>
        <v>0</v>
      </c>
      <c r="K146" s="711">
        <f>Bilans_E_AMS_Kyoto_run3_MTE!O333</f>
        <v>0</v>
      </c>
      <c r="L146" s="711">
        <f>Bilans_E_AMS_Kyoto_run3_MTE!P333</f>
        <v>0</v>
      </c>
      <c r="M146" s="711">
        <f>Bilans_E_AMS_Kyoto_run3_MTE!Q333</f>
        <v>0</v>
      </c>
      <c r="N146" s="711">
        <f>Bilans_E_AMS_Kyoto_run3_MTE!R333</f>
        <v>39.412078743974838</v>
      </c>
      <c r="O146" s="711">
        <f>Bilans_E_AMS_Kyoto_run3_MTE!S333</f>
        <v>1.2917767375655358</v>
      </c>
      <c r="P146" s="711">
        <f>Bilans_E_AMS_Kyoto_run3_MTE!T333+Bilans_E_AMS_Kyoto_run3_MTE!U333</f>
        <v>0</v>
      </c>
      <c r="Q146" s="711">
        <f>Bilans_E_AMS_Kyoto_run3_MTE!V333</f>
        <v>0</v>
      </c>
      <c r="R146" s="711">
        <f>Bilans_E_AMS_Kyoto_run3_MTE!W333</f>
        <v>52.662599620962098</v>
      </c>
      <c r="S146" s="711">
        <f>Bilans_E_AMS_Kyoto_run3_MTE!X333</f>
        <v>0</v>
      </c>
      <c r="T146" s="711">
        <f>Bilans_E_AMS_Kyoto_run3_MTE!Y333</f>
        <v>1.8899673831959209</v>
      </c>
      <c r="U146" s="711">
        <f>Bilans_E_AMS_Kyoto_run3_MTE!Z333</f>
        <v>359.09223712234456</v>
      </c>
      <c r="V146" s="701"/>
      <c r="W146" s="701"/>
    </row>
    <row r="147" spans="1:23" x14ac:dyDescent="0.25">
      <c r="A147" s="701" t="s">
        <v>509</v>
      </c>
      <c r="B147" s="701"/>
      <c r="C147" s="717" t="s">
        <v>80</v>
      </c>
      <c r="D147" s="711">
        <f>Bilans_E_AMS_Kyoto_run3_MTE!H334</f>
        <v>0</v>
      </c>
      <c r="E147" s="711">
        <f>Bilans_E_AMS_Kyoto_run3_MTE!I334</f>
        <v>0</v>
      </c>
      <c r="F147" s="711">
        <f>Bilans_E_AMS_Kyoto_run3_MTE!J334</f>
        <v>4.4871361996085151</v>
      </c>
      <c r="G147" s="711">
        <f>Bilans_E_AMS_Kyoto_run3_MTE!K334</f>
        <v>0</v>
      </c>
      <c r="H147" s="711">
        <f>Bilans_E_AMS_Kyoto_run3_MTE!L334</f>
        <v>56.445665913049908</v>
      </c>
      <c r="I147" s="711">
        <f>Bilans_E_AMS_Kyoto_run3_MTE!M334</f>
        <v>0</v>
      </c>
      <c r="J147" s="711">
        <f>Bilans_E_AMS_Kyoto_run3_MTE!N334</f>
        <v>0</v>
      </c>
      <c r="K147" s="711">
        <f>Bilans_E_AMS_Kyoto_run3_MTE!O334</f>
        <v>0</v>
      </c>
      <c r="L147" s="711">
        <f>Bilans_E_AMS_Kyoto_run3_MTE!P334</f>
        <v>53.14163083232755</v>
      </c>
      <c r="M147" s="711">
        <f>Bilans_E_AMS_Kyoto_run3_MTE!Q334</f>
        <v>0</v>
      </c>
      <c r="N147" s="711">
        <f>Bilans_E_AMS_Kyoto_run3_MTE!R334</f>
        <v>0</v>
      </c>
      <c r="O147" s="711">
        <f>Bilans_E_AMS_Kyoto_run3_MTE!S334</f>
        <v>12.390512029693882</v>
      </c>
      <c r="P147" s="711">
        <f>Bilans_E_AMS_Kyoto_run3_MTE!T334+Bilans_E_AMS_Kyoto_run3_MTE!U334</f>
        <v>95.189251128952151</v>
      </c>
      <c r="Q147" s="711">
        <f>Bilans_E_AMS_Kyoto_run3_MTE!V334</f>
        <v>7.3206839966503274</v>
      </c>
      <c r="R147" s="711">
        <f>Bilans_E_AMS_Kyoto_run3_MTE!W334</f>
        <v>156.27303977046446</v>
      </c>
      <c r="S147" s="711">
        <f>Bilans_E_AMS_Kyoto_run3_MTE!X334</f>
        <v>35.751867080837265</v>
      </c>
      <c r="T147" s="711">
        <f>Bilans_E_AMS_Kyoto_run3_MTE!Y334</f>
        <v>0</v>
      </c>
      <c r="U147" s="711">
        <f>Bilans_E_AMS_Kyoto_run3_MTE!Z334</f>
        <v>420.99978695158404</v>
      </c>
      <c r="V147" s="701"/>
      <c r="W147" s="701"/>
    </row>
    <row r="148" spans="1:23" x14ac:dyDescent="0.25">
      <c r="A148" s="701" t="s">
        <v>510</v>
      </c>
      <c r="B148" s="701"/>
      <c r="C148" s="717" t="s">
        <v>81</v>
      </c>
      <c r="D148" s="711">
        <f>Bilans_E_AMS_Kyoto_run3_MTE!H335</f>
        <v>0</v>
      </c>
      <c r="E148" s="711">
        <f>Bilans_E_AMS_Kyoto_run3_MTE!I335</f>
        <v>0</v>
      </c>
      <c r="F148" s="711">
        <f>Bilans_E_AMS_Kyoto_run3_MTE!J335</f>
        <v>2.7608540872674436</v>
      </c>
      <c r="G148" s="711">
        <f>Bilans_E_AMS_Kyoto_run3_MTE!K335</f>
        <v>0</v>
      </c>
      <c r="H148" s="711">
        <f>Bilans_E_AMS_Kyoto_run3_MTE!L335</f>
        <v>36.954753731916043</v>
      </c>
      <c r="I148" s="711">
        <f>Bilans_E_AMS_Kyoto_run3_MTE!M335</f>
        <v>0</v>
      </c>
      <c r="J148" s="711">
        <f>Bilans_E_AMS_Kyoto_run3_MTE!N335</f>
        <v>0</v>
      </c>
      <c r="K148" s="711">
        <f>Bilans_E_AMS_Kyoto_run3_MTE!O335</f>
        <v>0</v>
      </c>
      <c r="L148" s="711">
        <f>Bilans_E_AMS_Kyoto_run3_MTE!P335</f>
        <v>0.62415819926103555</v>
      </c>
      <c r="M148" s="711">
        <f>Bilans_E_AMS_Kyoto_run3_MTE!Q335</f>
        <v>0</v>
      </c>
      <c r="N148" s="711">
        <f>Bilans_E_AMS_Kyoto_run3_MTE!R335</f>
        <v>0</v>
      </c>
      <c r="O148" s="711">
        <f>Bilans_E_AMS_Kyoto_run3_MTE!S335</f>
        <v>8.1120191118840097</v>
      </c>
      <c r="P148" s="711">
        <f>Bilans_E_AMS_Kyoto_run3_MTE!T335+Bilans_E_AMS_Kyoto_run3_MTE!U335</f>
        <v>38.431536860359955</v>
      </c>
      <c r="Q148" s="711">
        <f>Bilans_E_AMS_Kyoto_run3_MTE!V335</f>
        <v>7.0322041232131749</v>
      </c>
      <c r="R148" s="711">
        <f>Bilans_E_AMS_Kyoto_run3_MTE!W335</f>
        <v>121.89305236123509</v>
      </c>
      <c r="S148" s="711">
        <f>Bilans_E_AMS_Kyoto_run3_MTE!X335</f>
        <v>22.684657409761833</v>
      </c>
      <c r="T148" s="711">
        <f>Bilans_E_AMS_Kyoto_run3_MTE!Y335</f>
        <v>0</v>
      </c>
      <c r="U148" s="711">
        <f>Bilans_E_AMS_Kyoto_run3_MTE!Z335</f>
        <v>238.49323588489858</v>
      </c>
      <c r="V148" s="701"/>
      <c r="W148" s="701"/>
    </row>
    <row r="149" spans="1:23" x14ac:dyDescent="0.25">
      <c r="A149" s="701" t="s">
        <v>511</v>
      </c>
      <c r="B149" s="701"/>
      <c r="C149" s="717" t="s">
        <v>82</v>
      </c>
      <c r="D149" s="711">
        <f>Bilans_E_AMS_Kyoto_run3_MTE!H336</f>
        <v>0</v>
      </c>
      <c r="E149" s="711">
        <f>Bilans_E_AMS_Kyoto_run3_MTE!I336</f>
        <v>0</v>
      </c>
      <c r="F149" s="711">
        <f>Bilans_E_AMS_Kyoto_run3_MTE!J336</f>
        <v>25.562238728089401</v>
      </c>
      <c r="G149" s="711">
        <f>Bilans_E_AMS_Kyoto_run3_MTE!K336</f>
        <v>0</v>
      </c>
      <c r="H149" s="711">
        <f>Bilans_E_AMS_Kyoto_run3_MTE!L336</f>
        <v>1.2995823950376393</v>
      </c>
      <c r="I149" s="711">
        <f>Bilans_E_AMS_Kyoto_run3_MTE!M336</f>
        <v>0</v>
      </c>
      <c r="J149" s="711">
        <f>Bilans_E_AMS_Kyoto_run3_MTE!N336</f>
        <v>0</v>
      </c>
      <c r="K149" s="711">
        <f>Bilans_E_AMS_Kyoto_run3_MTE!O336</f>
        <v>0</v>
      </c>
      <c r="L149" s="711">
        <f>Bilans_E_AMS_Kyoto_run3_MTE!P336</f>
        <v>12.365635061857649</v>
      </c>
      <c r="M149" s="711">
        <f>Bilans_E_AMS_Kyoto_run3_MTE!Q336</f>
        <v>0</v>
      </c>
      <c r="N149" s="711">
        <f>Bilans_E_AMS_Kyoto_run3_MTE!R336</f>
        <v>5.004323315399402</v>
      </c>
      <c r="O149" s="711">
        <f>Bilans_E_AMS_Kyoto_run3_MTE!S336</f>
        <v>0.28527418427655493</v>
      </c>
      <c r="P149" s="711">
        <f>Bilans_E_AMS_Kyoto_run3_MTE!T336+Bilans_E_AMS_Kyoto_run3_MTE!U336</f>
        <v>0.65</v>
      </c>
      <c r="Q149" s="711">
        <f>Bilans_E_AMS_Kyoto_run3_MTE!V336</f>
        <v>0.82781531321025892</v>
      </c>
      <c r="R149" s="711">
        <f>Bilans_E_AMS_Kyoto_run3_MTE!W336</f>
        <v>8.2928422498969727</v>
      </c>
      <c r="S149" s="711">
        <f>Bilans_E_AMS_Kyoto_run3_MTE!X336</f>
        <v>0</v>
      </c>
      <c r="T149" s="711">
        <f>Bilans_E_AMS_Kyoto_run3_MTE!Y336</f>
        <v>0.25343345849890081</v>
      </c>
      <c r="U149" s="711">
        <f>Bilans_E_AMS_Kyoto_run3_MTE!Z336</f>
        <v>54.541144706266778</v>
      </c>
      <c r="V149" s="701"/>
      <c r="W149" s="701"/>
    </row>
    <row r="150" spans="1:23" x14ac:dyDescent="0.25">
      <c r="A150" s="701" t="s">
        <v>512</v>
      </c>
      <c r="B150" s="701"/>
      <c r="C150" s="717" t="s">
        <v>354</v>
      </c>
      <c r="D150" s="711">
        <f>Bilans_E_AMS_Kyoto_run3_MTE!H337</f>
        <v>0</v>
      </c>
      <c r="E150" s="711">
        <f>Bilans_E_AMS_Kyoto_run3_MTE!I337</f>
        <v>0</v>
      </c>
      <c r="F150" s="711">
        <f>Bilans_E_AMS_Kyoto_run3_MTE!J337</f>
        <v>0</v>
      </c>
      <c r="G150" s="711">
        <f>Bilans_E_AMS_Kyoto_run3_MTE!K337</f>
        <v>0</v>
      </c>
      <c r="H150" s="711">
        <f>Bilans_E_AMS_Kyoto_run3_MTE!L337</f>
        <v>0</v>
      </c>
      <c r="I150" s="711">
        <f>Bilans_E_AMS_Kyoto_run3_MTE!M337</f>
        <v>0</v>
      </c>
      <c r="J150" s="711">
        <f>Bilans_E_AMS_Kyoto_run3_MTE!N337</f>
        <v>0</v>
      </c>
      <c r="K150" s="711">
        <f>Bilans_E_AMS_Kyoto_run3_MTE!O337</f>
        <v>0</v>
      </c>
      <c r="L150" s="711">
        <f>Bilans_E_AMS_Kyoto_run3_MTE!P337</f>
        <v>0</v>
      </c>
      <c r="M150" s="711">
        <f>Bilans_E_AMS_Kyoto_run3_MTE!Q337</f>
        <v>0</v>
      </c>
      <c r="N150" s="711">
        <f>Bilans_E_AMS_Kyoto_run3_MTE!R337</f>
        <v>0</v>
      </c>
      <c r="O150" s="711">
        <f>Bilans_E_AMS_Kyoto_run3_MTE!S337</f>
        <v>0</v>
      </c>
      <c r="P150" s="711">
        <f>Bilans_E_AMS_Kyoto_run3_MTE!T337+Bilans_E_AMS_Kyoto_run3_MTE!U337</f>
        <v>0</v>
      </c>
      <c r="Q150" s="711">
        <f>Bilans_E_AMS_Kyoto_run3_MTE!V337</f>
        <v>0</v>
      </c>
      <c r="R150" s="711">
        <f>Bilans_E_AMS_Kyoto_run3_MTE!W337</f>
        <v>0</v>
      </c>
      <c r="S150" s="711">
        <f>Bilans_E_AMS_Kyoto_run3_MTE!X337</f>
        <v>0</v>
      </c>
      <c r="T150" s="711">
        <f>Bilans_E_AMS_Kyoto_run3_MTE!Y337</f>
        <v>0</v>
      </c>
      <c r="U150" s="711">
        <f>Bilans_E_AMS_Kyoto_run3_MTE!Z337</f>
        <v>0</v>
      </c>
      <c r="V150" s="701"/>
      <c r="W150" s="701"/>
    </row>
    <row r="151" spans="1:23" x14ac:dyDescent="0.25">
      <c r="A151" s="701" t="s">
        <v>513</v>
      </c>
      <c r="B151" s="701"/>
      <c r="C151" s="713" t="s">
        <v>83</v>
      </c>
      <c r="D151" s="714">
        <f>Bilans_E_AMS_Kyoto_run3_MTE!H338</f>
        <v>0.72191845703125002</v>
      </c>
      <c r="E151" s="714">
        <f>Bilans_E_AMS_Kyoto_run3_MTE!I338</f>
        <v>0</v>
      </c>
      <c r="F151" s="714">
        <f>Bilans_E_AMS_Kyoto_run3_MTE!J338</f>
        <v>299.38884709880881</v>
      </c>
      <c r="G151" s="714">
        <f>Bilans_E_AMS_Kyoto_run3_MTE!K338</f>
        <v>0</v>
      </c>
      <c r="H151" s="714">
        <f>Bilans_E_AMS_Kyoto_run3_MTE!L338</f>
        <v>160.7036058327609</v>
      </c>
      <c r="I151" s="714">
        <f>Bilans_E_AMS_Kyoto_run3_MTE!M338</f>
        <v>0</v>
      </c>
      <c r="J151" s="714">
        <f>Bilans_E_AMS_Kyoto_run3_MTE!N338</f>
        <v>0</v>
      </c>
      <c r="K151" s="714">
        <f>Bilans_E_AMS_Kyoto_run3_MTE!O338</f>
        <v>0</v>
      </c>
      <c r="L151" s="714">
        <f>Bilans_E_AMS_Kyoto_run3_MTE!P338</f>
        <v>105.42871091307302</v>
      </c>
      <c r="M151" s="714">
        <f>Bilans_E_AMS_Kyoto_run3_MTE!Q338</f>
        <v>9.815547509212319</v>
      </c>
      <c r="N151" s="714">
        <f>Bilans_E_AMS_Kyoto_run3_MTE!R338</f>
        <v>45.348730666730063</v>
      </c>
      <c r="O151" s="714">
        <f>Bilans_E_AMS_Kyoto_run3_MTE!S338</f>
        <v>35.307727528924232</v>
      </c>
      <c r="P151" s="714">
        <f>Bilans_E_AMS_Kyoto_run3_MTE!T338+Bilans_E_AMS_Kyoto_run3_MTE!U338</f>
        <v>141.04542470806211</v>
      </c>
      <c r="Q151" s="714">
        <f>Bilans_E_AMS_Kyoto_run3_MTE!V338</f>
        <v>15.181342069967958</v>
      </c>
      <c r="R151" s="714">
        <f>Bilans_E_AMS_Kyoto_run3_MTE!W338</f>
        <v>491.48794304488933</v>
      </c>
      <c r="S151" s="714">
        <f>Bilans_E_AMS_Kyoto_run3_MTE!X338</f>
        <v>78.030677754732466</v>
      </c>
      <c r="T151" s="714">
        <f>Bilans_E_AMS_Kyoto_run3_MTE!Y338</f>
        <v>7.6814721307573208</v>
      </c>
      <c r="U151" s="714">
        <f>Bilans_E_AMS_Kyoto_run3_MTE!Z338</f>
        <v>1390.1419477149495</v>
      </c>
      <c r="V151" s="701"/>
      <c r="W151" s="701"/>
    </row>
    <row r="152" spans="1:23" x14ac:dyDescent="0.25">
      <c r="A152" s="701" t="s">
        <v>514</v>
      </c>
      <c r="B152" s="701"/>
      <c r="C152" s="710" t="s">
        <v>84</v>
      </c>
      <c r="D152" s="711">
        <f>Bilans_E_AMS_Kyoto_run3_MTE!H339</f>
        <v>0</v>
      </c>
      <c r="E152" s="711">
        <f>Bilans_E_AMS_Kyoto_run3_MTE!I339</f>
        <v>0</v>
      </c>
      <c r="F152" s="711">
        <f>Bilans_E_AMS_Kyoto_run3_MTE!J339</f>
        <v>111.11471121185716</v>
      </c>
      <c r="G152" s="711">
        <f>Bilans_E_AMS_Kyoto_run3_MTE!K339</f>
        <v>0.79070039752491883</v>
      </c>
      <c r="H152" s="711">
        <f>Bilans_E_AMS_Kyoto_run3_MTE!L339</f>
        <v>13.201723871248829</v>
      </c>
      <c r="I152" s="711">
        <f>Bilans_E_AMS_Kyoto_run3_MTE!M339</f>
        <v>0</v>
      </c>
      <c r="J152" s="711">
        <f>Bilans_E_AMS_Kyoto_run3_MTE!N339</f>
        <v>0</v>
      </c>
      <c r="K152" s="711">
        <f>Bilans_E_AMS_Kyoto_run3_MTE!O339</f>
        <v>0</v>
      </c>
      <c r="L152" s="711">
        <f>Bilans_E_AMS_Kyoto_run3_MTE!P339</f>
        <v>0.22001800269575944</v>
      </c>
      <c r="M152" s="711">
        <f>Bilans_E_AMS_Kyoto_run3_MTE!Q339</f>
        <v>0</v>
      </c>
      <c r="N152" s="711">
        <f>Bilans_E_AMS_Kyoto_run3_MTE!R339</f>
        <v>1.3493655310578188</v>
      </c>
      <c r="O152" s="711">
        <f>Bilans_E_AMS_Kyoto_run3_MTE!S339</f>
        <v>0</v>
      </c>
      <c r="P152" s="711">
        <f>Bilans_E_AMS_Kyoto_run3_MTE!T339+Bilans_E_AMS_Kyoto_run3_MTE!U339</f>
        <v>0</v>
      </c>
      <c r="Q152" s="711">
        <f>Bilans_E_AMS_Kyoto_run3_MTE!V339</f>
        <v>0</v>
      </c>
      <c r="R152" s="711">
        <f>Bilans_E_AMS_Kyoto_run3_MTE!W339</f>
        <v>0</v>
      </c>
      <c r="S152" s="711">
        <f>Bilans_E_AMS_Kyoto_run3_MTE!X339</f>
        <v>0</v>
      </c>
      <c r="T152" s="711">
        <f>Bilans_E_AMS_Kyoto_run3_MTE!Y339</f>
        <v>1.3469384191833629</v>
      </c>
      <c r="U152" s="711">
        <f>Bilans_E_AMS_Kyoto_run3_MTE!Z339</f>
        <v>128.02345743356784</v>
      </c>
      <c r="V152" s="701"/>
      <c r="W152" s="701"/>
    </row>
    <row r="153" spans="1:23" x14ac:dyDescent="0.25">
      <c r="A153" s="701" t="s">
        <v>515</v>
      </c>
      <c r="B153" s="701"/>
      <c r="C153" s="713" t="s">
        <v>85</v>
      </c>
      <c r="D153" s="714">
        <f>Bilans_E_AMS_Kyoto_run3_MTE!H340</f>
        <v>0.72191845703125002</v>
      </c>
      <c r="E153" s="714">
        <f>Bilans_E_AMS_Kyoto_run3_MTE!I340</f>
        <v>0</v>
      </c>
      <c r="F153" s="714">
        <f>Bilans_E_AMS_Kyoto_run3_MTE!J340</f>
        <v>410.50355831066599</v>
      </c>
      <c r="G153" s="714">
        <f>Bilans_E_AMS_Kyoto_run3_MTE!K340</f>
        <v>0.79070039752491883</v>
      </c>
      <c r="H153" s="714">
        <f>Bilans_E_AMS_Kyoto_run3_MTE!L340</f>
        <v>173.90532970400972</v>
      </c>
      <c r="I153" s="714">
        <f>Bilans_E_AMS_Kyoto_run3_MTE!M340</f>
        <v>0</v>
      </c>
      <c r="J153" s="714">
        <f>Bilans_E_AMS_Kyoto_run3_MTE!N340</f>
        <v>0</v>
      </c>
      <c r="K153" s="714">
        <f>Bilans_E_AMS_Kyoto_run3_MTE!O340</f>
        <v>0</v>
      </c>
      <c r="L153" s="714">
        <f>Bilans_E_AMS_Kyoto_run3_MTE!P340</f>
        <v>105.64872891576877</v>
      </c>
      <c r="M153" s="714">
        <f>Bilans_E_AMS_Kyoto_run3_MTE!Q340</f>
        <v>9.815547509212319</v>
      </c>
      <c r="N153" s="714">
        <f>Bilans_E_AMS_Kyoto_run3_MTE!R340</f>
        <v>46.698096197787883</v>
      </c>
      <c r="O153" s="714">
        <f>Bilans_E_AMS_Kyoto_run3_MTE!S340</f>
        <v>35.307727528924232</v>
      </c>
      <c r="P153" s="714">
        <f>Bilans_E_AMS_Kyoto_run3_MTE!T340+Bilans_E_AMS_Kyoto_run3_MTE!U340</f>
        <v>141.04542470806211</v>
      </c>
      <c r="Q153" s="714">
        <f>Bilans_E_AMS_Kyoto_run3_MTE!V340</f>
        <v>15.181342069967958</v>
      </c>
      <c r="R153" s="714">
        <f>Bilans_E_AMS_Kyoto_run3_MTE!W340</f>
        <v>491.48794304488933</v>
      </c>
      <c r="S153" s="714">
        <f>Bilans_E_AMS_Kyoto_run3_MTE!X340</f>
        <v>78.030677754732466</v>
      </c>
      <c r="T153" s="714">
        <f>Bilans_E_AMS_Kyoto_run3_MTE!Y340</f>
        <v>9.0284105499406841</v>
      </c>
      <c r="U153" s="714">
        <f>Bilans_E_AMS_Kyoto_run3_MTE!Z340</f>
        <v>1518.1654051485175</v>
      </c>
      <c r="V153" s="701"/>
      <c r="W153" s="701"/>
    </row>
    <row r="154" spans="1:23" x14ac:dyDescent="0.25">
      <c r="A154" s="701"/>
      <c r="B154" s="701"/>
      <c r="C154" s="701"/>
      <c r="D154" s="701">
        <f>Bilans_E_AMS_Kyoto_run3_MTE!H341</f>
        <v>0</v>
      </c>
      <c r="E154" s="701">
        <f>Bilans_E_AMS_Kyoto_run3_MTE!I341</f>
        <v>0</v>
      </c>
      <c r="F154" s="701">
        <f>Bilans_E_AMS_Kyoto_run3_MTE!J341</f>
        <v>0</v>
      </c>
      <c r="G154" s="701">
        <f>Bilans_E_AMS_Kyoto_run3_MTE!K341</f>
        <v>0</v>
      </c>
      <c r="H154" s="701">
        <f>Bilans_E_AMS_Kyoto_run3_MTE!L341</f>
        <v>0</v>
      </c>
      <c r="I154" s="701">
        <f>Bilans_E_AMS_Kyoto_run3_MTE!M341</f>
        <v>0</v>
      </c>
      <c r="J154" s="701">
        <f>Bilans_E_AMS_Kyoto_run3_MTE!N341</f>
        <v>0</v>
      </c>
      <c r="K154" s="701">
        <f>Bilans_E_AMS_Kyoto_run3_MTE!O341</f>
        <v>0</v>
      </c>
      <c r="L154" s="701">
        <f>Bilans_E_AMS_Kyoto_run3_MTE!P341</f>
        <v>0</v>
      </c>
      <c r="M154" s="701">
        <f>Bilans_E_AMS_Kyoto_run3_MTE!Q341</f>
        <v>0</v>
      </c>
      <c r="N154" s="701">
        <f>Bilans_E_AMS_Kyoto_run3_MTE!R341</f>
        <v>-3.5527136788005009E-15</v>
      </c>
      <c r="O154" s="701">
        <f>Bilans_E_AMS_Kyoto_run3_MTE!S341</f>
        <v>7.9936057773011271E-15</v>
      </c>
      <c r="P154" s="701">
        <f>Bilans_E_AMS_Kyoto_run3_MTE!T341+Bilans_E_AMS_Kyoto_run3_MTE!U341</f>
        <v>0</v>
      </c>
      <c r="Q154" s="701">
        <f>Bilans_E_AMS_Kyoto_run3_MTE!V341</f>
        <v>0</v>
      </c>
      <c r="R154" s="701">
        <f>Bilans_E_AMS_Kyoto_run3_MTE!W341</f>
        <v>0</v>
      </c>
      <c r="S154" s="701">
        <f>Bilans_E_AMS_Kyoto_run3_MTE!X341</f>
        <v>-3.0274051596279605E-5</v>
      </c>
      <c r="T154" s="701">
        <f>Bilans_E_AMS_Kyoto_run3_MTE!Y341</f>
        <v>8.8817841970012523E-16</v>
      </c>
      <c r="U154" s="701">
        <f>Bilans_E_AMS_Kyoto_run3_MTE!Z341</f>
        <v>-3.0274051823653281E-5</v>
      </c>
      <c r="V154" s="701"/>
      <c r="W154" s="701"/>
    </row>
    <row r="155" spans="1:23" x14ac:dyDescent="0.25">
      <c r="A155" s="701"/>
      <c r="B155" s="701"/>
      <c r="C155" s="701"/>
      <c r="D155" s="701"/>
      <c r="E155" s="701"/>
      <c r="F155" s="701"/>
      <c r="G155" s="701"/>
      <c r="H155" s="701"/>
      <c r="I155" s="701"/>
      <c r="J155" s="701"/>
      <c r="K155" s="701"/>
      <c r="L155" s="701"/>
      <c r="M155" s="701"/>
      <c r="N155" s="701"/>
      <c r="O155" s="701"/>
      <c r="P155" s="701"/>
      <c r="Q155" s="701"/>
      <c r="R155" s="701"/>
      <c r="S155" s="701"/>
      <c r="T155" s="701"/>
      <c r="U155" s="701"/>
      <c r="V155" s="701"/>
      <c r="W155" s="701"/>
    </row>
    <row r="156" spans="1:23" x14ac:dyDescent="0.25">
      <c r="A156" s="707"/>
      <c r="B156" s="707"/>
      <c r="C156" s="708" t="s">
        <v>358</v>
      </c>
      <c r="D156" s="707"/>
      <c r="E156" s="707"/>
      <c r="F156" s="707"/>
      <c r="G156" s="707"/>
      <c r="H156" s="707"/>
      <c r="I156" s="707"/>
      <c r="J156" s="707"/>
      <c r="K156" s="707"/>
      <c r="L156" s="707"/>
      <c r="M156" s="707"/>
      <c r="N156" s="707"/>
      <c r="O156" s="707"/>
      <c r="P156" s="707"/>
      <c r="Q156" s="707"/>
      <c r="R156" s="707"/>
      <c r="S156" s="707"/>
      <c r="T156" s="707"/>
      <c r="U156" s="707"/>
      <c r="V156" s="707"/>
      <c r="W156" s="707"/>
    </row>
    <row r="157" spans="1:23" x14ac:dyDescent="0.25">
      <c r="A157" s="701"/>
      <c r="B157" s="701"/>
      <c r="C157" s="701"/>
      <c r="D157" s="701"/>
      <c r="E157" s="701"/>
      <c r="F157" s="701"/>
      <c r="G157" s="701"/>
      <c r="H157" s="701"/>
      <c r="I157" s="701"/>
      <c r="J157" s="701"/>
      <c r="K157" s="701"/>
      <c r="L157" s="701"/>
      <c r="M157" s="701"/>
      <c r="N157" s="701"/>
      <c r="O157" s="701"/>
      <c r="P157" s="701"/>
      <c r="Q157" s="701"/>
      <c r="R157" s="701"/>
      <c r="S157" s="701"/>
      <c r="T157" s="701"/>
      <c r="U157" s="701"/>
      <c r="V157" s="701"/>
      <c r="W157" s="701"/>
    </row>
    <row r="158" spans="1:23" x14ac:dyDescent="0.25">
      <c r="A158" s="701"/>
      <c r="B158" s="701"/>
      <c r="C158" s="780" t="s">
        <v>128</v>
      </c>
      <c r="D158" s="775" t="s">
        <v>42</v>
      </c>
      <c r="E158" s="775" t="s">
        <v>52</v>
      </c>
      <c r="F158" s="775" t="s">
        <v>53</v>
      </c>
      <c r="G158" s="775" t="s">
        <v>482</v>
      </c>
      <c r="H158" s="775" t="s">
        <v>32</v>
      </c>
      <c r="I158" s="775" t="s">
        <v>483</v>
      </c>
      <c r="J158" s="775" t="s">
        <v>20</v>
      </c>
      <c r="K158" s="775" t="s">
        <v>55</v>
      </c>
      <c r="L158" s="777" t="s">
        <v>56</v>
      </c>
      <c r="M158" s="778"/>
      <c r="N158" s="778"/>
      <c r="O158" s="778"/>
      <c r="P158" s="778"/>
      <c r="Q158" s="779"/>
      <c r="R158" s="775" t="s">
        <v>57</v>
      </c>
      <c r="S158" s="775" t="s">
        <v>58</v>
      </c>
      <c r="T158" s="775" t="s">
        <v>31</v>
      </c>
      <c r="U158" s="775" t="s">
        <v>10</v>
      </c>
      <c r="V158" s="701"/>
      <c r="W158" s="701"/>
    </row>
    <row r="159" spans="1:23" ht="67.5" x14ac:dyDescent="0.25">
      <c r="A159" s="701" t="s">
        <v>486</v>
      </c>
      <c r="B159" s="701"/>
      <c r="C159" s="781"/>
      <c r="D159" s="776"/>
      <c r="E159" s="776"/>
      <c r="F159" s="776"/>
      <c r="G159" s="776"/>
      <c r="H159" s="776"/>
      <c r="I159" s="776"/>
      <c r="J159" s="776"/>
      <c r="K159" s="776"/>
      <c r="L159" s="709" t="s">
        <v>335</v>
      </c>
      <c r="M159" s="709" t="s">
        <v>40</v>
      </c>
      <c r="N159" s="709" t="s">
        <v>343</v>
      </c>
      <c r="O159" s="709" t="s">
        <v>344</v>
      </c>
      <c r="P159" s="719" t="s">
        <v>610</v>
      </c>
      <c r="Q159" s="709" t="s">
        <v>346</v>
      </c>
      <c r="R159" s="776"/>
      <c r="S159" s="776"/>
      <c r="T159" s="776"/>
      <c r="U159" s="776"/>
      <c r="V159" s="701"/>
      <c r="W159" s="701"/>
    </row>
    <row r="160" spans="1:23" x14ac:dyDescent="0.25">
      <c r="A160" s="701" t="s">
        <v>487</v>
      </c>
      <c r="B160" s="701"/>
      <c r="C160" s="710" t="s">
        <v>59</v>
      </c>
      <c r="D160" s="711">
        <f>Bilans_E_AMS_Kyoto_run3_MTE!H347</f>
        <v>0</v>
      </c>
      <c r="E160" s="711">
        <f>Bilans_E_AMS_Kyoto_run3_MTE!I347</f>
        <v>4.7683</v>
      </c>
      <c r="F160" s="711">
        <f>Bilans_E_AMS_Kyoto_run3_MTE!J347</f>
        <v>0</v>
      </c>
      <c r="G160" s="711">
        <f>Bilans_E_AMS_Kyoto_run3_MTE!K347</f>
        <v>0</v>
      </c>
      <c r="H160" s="711">
        <f>Bilans_E_AMS_Kyoto_run3_MTE!L347</f>
        <v>9.8855000000000012E-2</v>
      </c>
      <c r="I160" s="711">
        <f>Bilans_E_AMS_Kyoto_run3_MTE!M347</f>
        <v>0</v>
      </c>
      <c r="J160" s="711">
        <f>Bilans_E_AMS_Kyoto_run3_MTE!N347</f>
        <v>1162.7439999999999</v>
      </c>
      <c r="K160" s="711">
        <f>Bilans_E_AMS_Kyoto_run3_MTE!O347</f>
        <v>299.59846132130883</v>
      </c>
      <c r="L160" s="711">
        <f>Bilans_E_AMS_Kyoto_run3_MTE!P347</f>
        <v>319.01734498759413</v>
      </c>
      <c r="M160" s="711">
        <f>Bilans_E_AMS_Kyoto_run3_MTE!Q347</f>
        <v>51.348490193266947</v>
      </c>
      <c r="N160" s="711">
        <f>Bilans_E_AMS_Kyoto_run3_MTE!R347</f>
        <v>0</v>
      </c>
      <c r="O160" s="711">
        <f>Bilans_E_AMS_Kyoto_run3_MTE!S347</f>
        <v>0</v>
      </c>
      <c r="P160" s="711">
        <f>Bilans_E_AMS_Kyoto_run3_MTE!T347+Bilans_E_AMS_Kyoto_run3_MTE!U347</f>
        <v>171.39585425670967</v>
      </c>
      <c r="Q160" s="711">
        <f>Bilans_E_AMS_Kyoto_run3_MTE!V347</f>
        <v>34.299691863986411</v>
      </c>
      <c r="R160" s="711">
        <f>Bilans_E_AMS_Kyoto_run3_MTE!W347</f>
        <v>0</v>
      </c>
      <c r="S160" s="711">
        <f>Bilans_E_AMS_Kyoto_run3_MTE!X347</f>
        <v>0</v>
      </c>
      <c r="T160" s="711">
        <f>Bilans_E_AMS_Kyoto_run3_MTE!Y347</f>
        <v>0</v>
      </c>
      <c r="U160" s="711">
        <f>Bilans_E_AMS_Kyoto_run3_MTE!Z347</f>
        <v>2043.2709976228659</v>
      </c>
      <c r="V160" s="701"/>
      <c r="W160" s="701"/>
    </row>
    <row r="161" spans="1:23" x14ac:dyDescent="0.25">
      <c r="A161" s="701" t="s">
        <v>488</v>
      </c>
      <c r="B161" s="701"/>
      <c r="C161" s="710" t="s">
        <v>60</v>
      </c>
      <c r="D161" s="712">
        <f>Bilans_E_AMS_Kyoto_run3_MTE!H348</f>
        <v>13.10897607421875</v>
      </c>
      <c r="E161" s="712">
        <f>Bilans_E_AMS_Kyoto_run3_MTE!I348</f>
        <v>308.93113241881071</v>
      </c>
      <c r="F161" s="712">
        <f>Bilans_E_AMS_Kyoto_run3_MTE!J348</f>
        <v>121.08575062075425</v>
      </c>
      <c r="G161" s="712">
        <f>Bilans_E_AMS_Kyoto_run3_MTE!K348</f>
        <v>2.7939885995123079</v>
      </c>
      <c r="H161" s="712">
        <f>Bilans_E_AMS_Kyoto_run3_MTE!L348</f>
        <v>208.53518235241728</v>
      </c>
      <c r="I161" s="712">
        <f>Bilans_E_AMS_Kyoto_run3_MTE!M348</f>
        <v>0</v>
      </c>
      <c r="J161" s="712">
        <f>Bilans_E_AMS_Kyoto_run3_MTE!N348</f>
        <v>0</v>
      </c>
      <c r="K161" s="712">
        <f>Bilans_E_AMS_Kyoto_run3_MTE!O348</f>
        <v>0</v>
      </c>
      <c r="L161" s="712">
        <f>Bilans_E_AMS_Kyoto_run3_MTE!P348</f>
        <v>3.9620965723904646</v>
      </c>
      <c r="M161" s="712">
        <f>Bilans_E_AMS_Kyoto_run3_MTE!Q348</f>
        <v>0</v>
      </c>
      <c r="N161" s="712">
        <f>Bilans_E_AMS_Kyoto_run3_MTE!R348</f>
        <v>15.040491481755694</v>
      </c>
      <c r="O161" s="712">
        <f>Bilans_E_AMS_Kyoto_run3_MTE!S348</f>
        <v>7.9892327206458447E-2</v>
      </c>
      <c r="P161" s="712">
        <f>Bilans_E_AMS_Kyoto_run3_MTE!T348+Bilans_E_AMS_Kyoto_run3_MTE!U348</f>
        <v>0</v>
      </c>
      <c r="Q161" s="712">
        <f>Bilans_E_AMS_Kyoto_run3_MTE!V348</f>
        <v>0</v>
      </c>
      <c r="R161" s="712">
        <f>Bilans_E_AMS_Kyoto_run3_MTE!W348</f>
        <v>0</v>
      </c>
      <c r="S161" s="712">
        <f>Bilans_E_AMS_Kyoto_run3_MTE!X348</f>
        <v>0</v>
      </c>
      <c r="T161" s="712">
        <f>Bilans_E_AMS_Kyoto_run3_MTE!Y348</f>
        <v>0</v>
      </c>
      <c r="U161" s="712">
        <f>Bilans_E_AMS_Kyoto_run3_MTE!Z348</f>
        <v>673.53751044706598</v>
      </c>
      <c r="V161" s="701"/>
      <c r="W161" s="701"/>
    </row>
    <row r="162" spans="1:23" x14ac:dyDescent="0.25">
      <c r="A162" s="701" t="s">
        <v>489</v>
      </c>
      <c r="B162" s="701"/>
      <c r="C162" s="710" t="s">
        <v>61</v>
      </c>
      <c r="D162" s="712">
        <f>Bilans_E_AMS_Kyoto_run3_MTE!H349</f>
        <v>0</v>
      </c>
      <c r="E162" s="712">
        <f>Bilans_E_AMS_Kyoto_run3_MTE!I349</f>
        <v>0</v>
      </c>
      <c r="F162" s="712">
        <f>Bilans_E_AMS_Kyoto_run3_MTE!J349</f>
        <v>0</v>
      </c>
      <c r="G162" s="712">
        <f>Bilans_E_AMS_Kyoto_run3_MTE!K349</f>
        <v>0</v>
      </c>
      <c r="H162" s="712">
        <f>Bilans_E_AMS_Kyoto_run3_MTE!L349</f>
        <v>0</v>
      </c>
      <c r="I162" s="712">
        <f>Bilans_E_AMS_Kyoto_run3_MTE!M349</f>
        <v>0</v>
      </c>
      <c r="J162" s="712">
        <f>Bilans_E_AMS_Kyoto_run3_MTE!N349</f>
        <v>0</v>
      </c>
      <c r="K162" s="712">
        <f>Bilans_E_AMS_Kyoto_run3_MTE!O349</f>
        <v>0</v>
      </c>
      <c r="L162" s="712">
        <f>Bilans_E_AMS_Kyoto_run3_MTE!P349</f>
        <v>0</v>
      </c>
      <c r="M162" s="712">
        <f>Bilans_E_AMS_Kyoto_run3_MTE!Q349</f>
        <v>0</v>
      </c>
      <c r="N162" s="712">
        <f>Bilans_E_AMS_Kyoto_run3_MTE!R349</f>
        <v>0</v>
      </c>
      <c r="O162" s="712">
        <f>Bilans_E_AMS_Kyoto_run3_MTE!S349</f>
        <v>0</v>
      </c>
      <c r="P162" s="712">
        <f>Bilans_E_AMS_Kyoto_run3_MTE!T349+Bilans_E_AMS_Kyoto_run3_MTE!U349</f>
        <v>0</v>
      </c>
      <c r="Q162" s="712">
        <f>Bilans_E_AMS_Kyoto_run3_MTE!V349</f>
        <v>0</v>
      </c>
      <c r="R162" s="712">
        <f>Bilans_E_AMS_Kyoto_run3_MTE!W349</f>
        <v>-95.466033511784872</v>
      </c>
      <c r="S162" s="712">
        <f>Bilans_E_AMS_Kyoto_run3_MTE!X349</f>
        <v>0</v>
      </c>
      <c r="T162" s="712">
        <f>Bilans_E_AMS_Kyoto_run3_MTE!Y349</f>
        <v>0</v>
      </c>
      <c r="U162" s="712">
        <f>Bilans_E_AMS_Kyoto_run3_MTE!Z349</f>
        <v>-95.466033511784872</v>
      </c>
      <c r="V162" s="701"/>
      <c r="W162" s="701"/>
    </row>
    <row r="163" spans="1:23" x14ac:dyDescent="0.25">
      <c r="A163" s="701" t="s">
        <v>490</v>
      </c>
      <c r="B163" s="701"/>
      <c r="C163" s="710" t="s">
        <v>62</v>
      </c>
      <c r="D163" s="711">
        <f>Bilans_E_AMS_Kyoto_run3_MTE!H350</f>
        <v>0</v>
      </c>
      <c r="E163" s="711">
        <f>Bilans_E_AMS_Kyoto_run3_MTE!I350</f>
        <v>0</v>
      </c>
      <c r="F163" s="711">
        <f>Bilans_E_AMS_Kyoto_run3_MTE!J350</f>
        <v>-7.1897413553368033</v>
      </c>
      <c r="G163" s="711">
        <f>Bilans_E_AMS_Kyoto_run3_MTE!K350</f>
        <v>-0.40871635052551269</v>
      </c>
      <c r="H163" s="711">
        <f>Bilans_E_AMS_Kyoto_run3_MTE!L350</f>
        <v>-0.64998497552234569</v>
      </c>
      <c r="I163" s="711">
        <f>Bilans_E_AMS_Kyoto_run3_MTE!M350</f>
        <v>-0.61307452578826904</v>
      </c>
      <c r="J163" s="711">
        <f>Bilans_E_AMS_Kyoto_run3_MTE!N350</f>
        <v>0</v>
      </c>
      <c r="K163" s="711">
        <f>Bilans_E_AMS_Kyoto_run3_MTE!O350</f>
        <v>0</v>
      </c>
      <c r="L163" s="711">
        <f>Bilans_E_AMS_Kyoto_run3_MTE!P350</f>
        <v>0</v>
      </c>
      <c r="M163" s="711">
        <f>Bilans_E_AMS_Kyoto_run3_MTE!Q350</f>
        <v>0</v>
      </c>
      <c r="N163" s="711">
        <f>Bilans_E_AMS_Kyoto_run3_MTE!R350</f>
        <v>0</v>
      </c>
      <c r="O163" s="711">
        <f>Bilans_E_AMS_Kyoto_run3_MTE!S350</f>
        <v>-1.0039414282398573</v>
      </c>
      <c r="P163" s="711">
        <f>Bilans_E_AMS_Kyoto_run3_MTE!T350+Bilans_E_AMS_Kyoto_run3_MTE!U350</f>
        <v>0</v>
      </c>
      <c r="Q163" s="711">
        <f>Bilans_E_AMS_Kyoto_run3_MTE!V350</f>
        <v>0</v>
      </c>
      <c r="R163" s="711">
        <f>Bilans_E_AMS_Kyoto_run3_MTE!W350</f>
        <v>0</v>
      </c>
      <c r="S163" s="711">
        <f>Bilans_E_AMS_Kyoto_run3_MTE!X350</f>
        <v>0</v>
      </c>
      <c r="T163" s="711">
        <f>Bilans_E_AMS_Kyoto_run3_MTE!Y350</f>
        <v>-0.37964157661678277</v>
      </c>
      <c r="U163" s="711">
        <f>Bilans_E_AMS_Kyoto_run3_MTE!Z350</f>
        <v>-10.24510021202957</v>
      </c>
      <c r="V163" s="701"/>
      <c r="W163" s="701"/>
    </row>
    <row r="164" spans="1:23" x14ac:dyDescent="0.25">
      <c r="A164" s="701" t="s">
        <v>491</v>
      </c>
      <c r="B164" s="701"/>
      <c r="C164" s="710" t="s">
        <v>63</v>
      </c>
      <c r="D164" s="711">
        <f>Bilans_E_AMS_Kyoto_run3_MTE!H351</f>
        <v>0</v>
      </c>
      <c r="E164" s="711">
        <f>Bilans_E_AMS_Kyoto_run3_MTE!I351</f>
        <v>0</v>
      </c>
      <c r="F164" s="711">
        <f>Bilans_E_AMS_Kyoto_run3_MTE!J351</f>
        <v>-56</v>
      </c>
      <c r="G164" s="711">
        <f>Bilans_E_AMS_Kyoto_run3_MTE!K351</f>
        <v>-4</v>
      </c>
      <c r="H164" s="711">
        <f>Bilans_E_AMS_Kyoto_run3_MTE!L351</f>
        <v>0</v>
      </c>
      <c r="I164" s="711">
        <f>Bilans_E_AMS_Kyoto_run3_MTE!M351</f>
        <v>0</v>
      </c>
      <c r="J164" s="711">
        <f>Bilans_E_AMS_Kyoto_run3_MTE!N351</f>
        <v>0</v>
      </c>
      <c r="K164" s="711">
        <f>Bilans_E_AMS_Kyoto_run3_MTE!O351</f>
        <v>0</v>
      </c>
      <c r="L164" s="711">
        <f>Bilans_E_AMS_Kyoto_run3_MTE!P351</f>
        <v>0</v>
      </c>
      <c r="M164" s="711">
        <f>Bilans_E_AMS_Kyoto_run3_MTE!Q351</f>
        <v>0</v>
      </c>
      <c r="N164" s="711">
        <f>Bilans_E_AMS_Kyoto_run3_MTE!R351</f>
        <v>-11</v>
      </c>
      <c r="O164" s="711">
        <f>Bilans_E_AMS_Kyoto_run3_MTE!S351</f>
        <v>0</v>
      </c>
      <c r="P164" s="711">
        <f>Bilans_E_AMS_Kyoto_run3_MTE!T351+Bilans_E_AMS_Kyoto_run3_MTE!U351</f>
        <v>0</v>
      </c>
      <c r="Q164" s="711">
        <f>Bilans_E_AMS_Kyoto_run3_MTE!V351</f>
        <v>0</v>
      </c>
      <c r="R164" s="711">
        <f>Bilans_E_AMS_Kyoto_run3_MTE!W351</f>
        <v>0</v>
      </c>
      <c r="S164" s="711">
        <f>Bilans_E_AMS_Kyoto_run3_MTE!X351</f>
        <v>0</v>
      </c>
      <c r="T164" s="711">
        <f>Bilans_E_AMS_Kyoto_run3_MTE!Y351</f>
        <v>-1</v>
      </c>
      <c r="U164" s="711">
        <f>Bilans_E_AMS_Kyoto_run3_MTE!Z351</f>
        <v>-72</v>
      </c>
      <c r="V164" s="701"/>
      <c r="W164" s="701"/>
    </row>
    <row r="165" spans="1:23" x14ac:dyDescent="0.25">
      <c r="A165" s="701" t="s">
        <v>492</v>
      </c>
      <c r="B165" s="701"/>
      <c r="C165" s="710" t="s">
        <v>64</v>
      </c>
      <c r="D165" s="712">
        <f>Bilans_E_AMS_Kyoto_run3_MTE!H352</f>
        <v>0</v>
      </c>
      <c r="E165" s="712">
        <f>Bilans_E_AMS_Kyoto_run3_MTE!I352</f>
        <v>0</v>
      </c>
      <c r="F165" s="712">
        <f>Bilans_E_AMS_Kyoto_run3_MTE!J352</f>
        <v>0</v>
      </c>
      <c r="G165" s="712">
        <f>Bilans_E_AMS_Kyoto_run3_MTE!K352</f>
        <v>0</v>
      </c>
      <c r="H165" s="712">
        <f>Bilans_E_AMS_Kyoto_run3_MTE!L352</f>
        <v>0</v>
      </c>
      <c r="I165" s="712">
        <f>Bilans_E_AMS_Kyoto_run3_MTE!M352</f>
        <v>0</v>
      </c>
      <c r="J165" s="712">
        <f>Bilans_E_AMS_Kyoto_run3_MTE!N352</f>
        <v>0</v>
      </c>
      <c r="K165" s="712">
        <f>Bilans_E_AMS_Kyoto_run3_MTE!O352</f>
        <v>0</v>
      </c>
      <c r="L165" s="712">
        <f>Bilans_E_AMS_Kyoto_run3_MTE!P352</f>
        <v>0</v>
      </c>
      <c r="M165" s="712">
        <f>Bilans_E_AMS_Kyoto_run3_MTE!Q352</f>
        <v>0</v>
      </c>
      <c r="N165" s="712">
        <f>Bilans_E_AMS_Kyoto_run3_MTE!R352</f>
        <v>0</v>
      </c>
      <c r="O165" s="712">
        <f>Bilans_E_AMS_Kyoto_run3_MTE!S352</f>
        <v>0</v>
      </c>
      <c r="P165" s="712">
        <f>Bilans_E_AMS_Kyoto_run3_MTE!T352+Bilans_E_AMS_Kyoto_run3_MTE!U352</f>
        <v>0</v>
      </c>
      <c r="Q165" s="712">
        <f>Bilans_E_AMS_Kyoto_run3_MTE!V352</f>
        <v>0</v>
      </c>
      <c r="R165" s="712">
        <f>Bilans_E_AMS_Kyoto_run3_MTE!W352</f>
        <v>0</v>
      </c>
      <c r="S165" s="712">
        <f>Bilans_E_AMS_Kyoto_run3_MTE!X352</f>
        <v>0</v>
      </c>
      <c r="T165" s="712">
        <f>Bilans_E_AMS_Kyoto_run3_MTE!Y352</f>
        <v>0</v>
      </c>
      <c r="U165" s="712">
        <f>Bilans_E_AMS_Kyoto_run3_MTE!Z352</f>
        <v>0</v>
      </c>
      <c r="V165" s="701"/>
      <c r="W165" s="701"/>
    </row>
    <row r="166" spans="1:23" x14ac:dyDescent="0.25">
      <c r="A166" s="701" t="s">
        <v>493</v>
      </c>
      <c r="B166" s="701"/>
      <c r="C166" s="713" t="s">
        <v>65</v>
      </c>
      <c r="D166" s="714">
        <f>Bilans_E_AMS_Kyoto_run3_MTE!H353</f>
        <v>13.10897607421875</v>
      </c>
      <c r="E166" s="714">
        <f>Bilans_E_AMS_Kyoto_run3_MTE!I353</f>
        <v>313.69943241881072</v>
      </c>
      <c r="F166" s="714">
        <f>Bilans_E_AMS_Kyoto_run3_MTE!J353</f>
        <v>57.896009265417447</v>
      </c>
      <c r="G166" s="714">
        <f>Bilans_E_AMS_Kyoto_run3_MTE!K353</f>
        <v>-1.6147277510132048</v>
      </c>
      <c r="H166" s="714">
        <f>Bilans_E_AMS_Kyoto_run3_MTE!L353</f>
        <v>207.98405237689491</v>
      </c>
      <c r="I166" s="714">
        <f>Bilans_E_AMS_Kyoto_run3_MTE!M353</f>
        <v>-0.61307452578826904</v>
      </c>
      <c r="J166" s="714">
        <f>Bilans_E_AMS_Kyoto_run3_MTE!N353</f>
        <v>1162.7439999999999</v>
      </c>
      <c r="K166" s="714">
        <f>Bilans_E_AMS_Kyoto_run3_MTE!O353</f>
        <v>299.59846132130883</v>
      </c>
      <c r="L166" s="714">
        <f>Bilans_E_AMS_Kyoto_run3_MTE!P353</f>
        <v>322.97944155998459</v>
      </c>
      <c r="M166" s="714">
        <f>Bilans_E_AMS_Kyoto_run3_MTE!Q353</f>
        <v>51.348490193266947</v>
      </c>
      <c r="N166" s="714">
        <f>Bilans_E_AMS_Kyoto_run3_MTE!R353</f>
        <v>4.0404914817556943</v>
      </c>
      <c r="O166" s="714">
        <f>Bilans_E_AMS_Kyoto_run3_MTE!S353</f>
        <v>-0.92404910103339888</v>
      </c>
      <c r="P166" s="714">
        <f>Bilans_E_AMS_Kyoto_run3_MTE!T353+Bilans_E_AMS_Kyoto_run3_MTE!U353</f>
        <v>171.39585425670967</v>
      </c>
      <c r="Q166" s="714">
        <f>Bilans_E_AMS_Kyoto_run3_MTE!V353</f>
        <v>34.299691863986411</v>
      </c>
      <c r="R166" s="714">
        <f>Bilans_E_AMS_Kyoto_run3_MTE!W353</f>
        <v>-95.466033511784872</v>
      </c>
      <c r="S166" s="714">
        <f>Bilans_E_AMS_Kyoto_run3_MTE!X353</f>
        <v>0</v>
      </c>
      <c r="T166" s="714">
        <f>Bilans_E_AMS_Kyoto_run3_MTE!Y353</f>
        <v>-1.3796415766167827</v>
      </c>
      <c r="U166" s="714">
        <f>Bilans_E_AMS_Kyoto_run3_MTE!Z353</f>
        <v>2539.0973743461172</v>
      </c>
      <c r="V166" s="701"/>
      <c r="W166" s="701"/>
    </row>
    <row r="167" spans="1:23" x14ac:dyDescent="0.25">
      <c r="A167" s="701"/>
      <c r="B167" s="701"/>
      <c r="C167" s="715"/>
      <c r="D167" s="716"/>
      <c r="E167" s="716"/>
      <c r="F167" s="716"/>
      <c r="G167" s="716"/>
      <c r="H167" s="716"/>
      <c r="I167" s="716"/>
      <c r="J167" s="716"/>
      <c r="K167" s="716"/>
      <c r="L167" s="716"/>
      <c r="M167" s="716"/>
      <c r="N167" s="716"/>
      <c r="O167" s="716"/>
      <c r="P167" s="716">
        <f>Bilans_E_AMS_Kyoto_run3_MTE!T354+Bilans_E_AMS_Kyoto_run3_MTE!U354</f>
        <v>0</v>
      </c>
      <c r="Q167" s="716"/>
      <c r="R167" s="716"/>
      <c r="S167" s="716"/>
      <c r="T167" s="716"/>
      <c r="U167" s="716"/>
      <c r="V167" s="701"/>
      <c r="W167" s="701"/>
    </row>
    <row r="168" spans="1:23" x14ac:dyDescent="0.25">
      <c r="A168" s="701" t="s">
        <v>494</v>
      </c>
      <c r="B168" s="701"/>
      <c r="C168" s="717" t="s">
        <v>67</v>
      </c>
      <c r="D168" s="711">
        <f>Bilans_E_AMS_Kyoto_run3_MTE!H355</f>
        <v>0</v>
      </c>
      <c r="E168" s="711">
        <f>Bilans_E_AMS_Kyoto_run3_MTE!I355</f>
        <v>0</v>
      </c>
      <c r="F168" s="711">
        <f>Bilans_E_AMS_Kyoto_run3_MTE!J355</f>
        <v>0</v>
      </c>
      <c r="G168" s="711">
        <f>Bilans_E_AMS_Kyoto_run3_MTE!K355</f>
        <v>0</v>
      </c>
      <c r="H168" s="711">
        <f>Bilans_E_AMS_Kyoto_run3_MTE!L355</f>
        <v>0</v>
      </c>
      <c r="I168" s="711">
        <f>Bilans_E_AMS_Kyoto_run3_MTE!M355</f>
        <v>0</v>
      </c>
      <c r="J168" s="711">
        <f>Bilans_E_AMS_Kyoto_run3_MTE!N355</f>
        <v>0</v>
      </c>
      <c r="K168" s="711">
        <f>Bilans_E_AMS_Kyoto_run3_MTE!O355</f>
        <v>0</v>
      </c>
      <c r="L168" s="711">
        <f>Bilans_E_AMS_Kyoto_run3_MTE!P355</f>
        <v>0</v>
      </c>
      <c r="M168" s="711">
        <f>Bilans_E_AMS_Kyoto_run3_MTE!Q355</f>
        <v>0</v>
      </c>
      <c r="N168" s="711">
        <f>Bilans_E_AMS_Kyoto_run3_MTE!R355</f>
        <v>0</v>
      </c>
      <c r="O168" s="711">
        <f>Bilans_E_AMS_Kyoto_run3_MTE!S355</f>
        <v>0</v>
      </c>
      <c r="P168" s="711">
        <f>Bilans_E_AMS_Kyoto_run3_MTE!T355+Bilans_E_AMS_Kyoto_run3_MTE!U355</f>
        <v>0</v>
      </c>
      <c r="Q168" s="711">
        <f>Bilans_E_AMS_Kyoto_run3_MTE!V355</f>
        <v>0</v>
      </c>
      <c r="R168" s="711">
        <f>Bilans_E_AMS_Kyoto_run3_MTE!W355</f>
        <v>0</v>
      </c>
      <c r="S168" s="711">
        <f>Bilans_E_AMS_Kyoto_run3_MTE!X355</f>
        <v>0</v>
      </c>
      <c r="T168" s="711">
        <f>Bilans_E_AMS_Kyoto_run3_MTE!Y355</f>
        <v>0</v>
      </c>
      <c r="U168" s="711">
        <f>Bilans_E_AMS_Kyoto_run3_MTE!Z355</f>
        <v>0</v>
      </c>
      <c r="V168" s="701"/>
      <c r="W168" s="701"/>
    </row>
    <row r="169" spans="1:23" x14ac:dyDescent="0.25">
      <c r="A169" s="701" t="s">
        <v>495</v>
      </c>
      <c r="B169" s="701"/>
      <c r="C169" s="717" t="s">
        <v>347</v>
      </c>
      <c r="D169" s="711">
        <f>Bilans_E_AMS_Kyoto_run3_MTE!H356</f>
        <v>0</v>
      </c>
      <c r="E169" s="711">
        <f>Bilans_E_AMS_Kyoto_run3_MTE!I356</f>
        <v>0</v>
      </c>
      <c r="F169" s="711">
        <f>Bilans_E_AMS_Kyoto_run3_MTE!J356</f>
        <v>0.802217285608815</v>
      </c>
      <c r="G169" s="711">
        <f>Bilans_E_AMS_Kyoto_run3_MTE!K356</f>
        <v>0</v>
      </c>
      <c r="H169" s="711">
        <f>Bilans_E_AMS_Kyoto_run3_MTE!L356</f>
        <v>25.778498998044444</v>
      </c>
      <c r="I169" s="711">
        <f>Bilans_E_AMS_Kyoto_run3_MTE!M356</f>
        <v>0</v>
      </c>
      <c r="J169" s="711">
        <f>Bilans_E_AMS_Kyoto_run3_MTE!N356</f>
        <v>1162.7439999999999</v>
      </c>
      <c r="K169" s="711">
        <f>Bilans_E_AMS_Kyoto_run3_MTE!O356</f>
        <v>299.59846132130883</v>
      </c>
      <c r="L169" s="711">
        <f>Bilans_E_AMS_Kyoto_run3_MTE!P356</f>
        <v>15.921747993621487</v>
      </c>
      <c r="M169" s="711">
        <f>Bilans_E_AMS_Kyoto_run3_MTE!Q356</f>
        <v>5.93692826914703</v>
      </c>
      <c r="N169" s="711">
        <f>Bilans_E_AMS_Kyoto_run3_MTE!R356</f>
        <v>5.0291337303525587</v>
      </c>
      <c r="O169" s="711">
        <f>Bilans_E_AMS_Kyoto_run3_MTE!S356</f>
        <v>8.748119861379541</v>
      </c>
      <c r="P169" s="711">
        <f>Bilans_E_AMS_Kyoto_run3_MTE!T356+Bilans_E_AMS_Kyoto_run3_MTE!U356</f>
        <v>0</v>
      </c>
      <c r="Q169" s="711">
        <f>Bilans_E_AMS_Kyoto_run3_MTE!V356</f>
        <v>2.7943993103273139</v>
      </c>
      <c r="R169" s="711">
        <f>Bilans_E_AMS_Kyoto_run3_MTE!W356</f>
        <v>-717.37547960636846</v>
      </c>
      <c r="S169" s="711">
        <f>Bilans_E_AMS_Kyoto_run3_MTE!X356</f>
        <v>0</v>
      </c>
      <c r="T169" s="711">
        <f>Bilans_E_AMS_Kyoto_run3_MTE!Y356</f>
        <v>0</v>
      </c>
      <c r="U169" s="711">
        <f>Bilans_E_AMS_Kyoto_run3_MTE!Z356</f>
        <v>809.97802716342164</v>
      </c>
      <c r="V169" s="701"/>
      <c r="W169" s="701"/>
    </row>
    <row r="170" spans="1:23" x14ac:dyDescent="0.25">
      <c r="A170" s="701" t="s">
        <v>496</v>
      </c>
      <c r="B170" s="701"/>
      <c r="C170" s="717" t="s">
        <v>348</v>
      </c>
      <c r="D170" s="711">
        <f>Bilans_E_AMS_Kyoto_run3_MTE!H357</f>
        <v>0</v>
      </c>
      <c r="E170" s="711">
        <f>Bilans_E_AMS_Kyoto_run3_MTE!I357</f>
        <v>0</v>
      </c>
      <c r="F170" s="711">
        <f>Bilans_E_AMS_Kyoto_run3_MTE!J357</f>
        <v>0</v>
      </c>
      <c r="G170" s="711">
        <f>Bilans_E_AMS_Kyoto_run3_MTE!K357</f>
        <v>0</v>
      </c>
      <c r="H170" s="711">
        <f>Bilans_E_AMS_Kyoto_run3_MTE!L357</f>
        <v>21.610761712544495</v>
      </c>
      <c r="I170" s="711">
        <f>Bilans_E_AMS_Kyoto_run3_MTE!M357</f>
        <v>0</v>
      </c>
      <c r="J170" s="711">
        <f>Bilans_E_AMS_Kyoto_run3_MTE!N357</f>
        <v>0</v>
      </c>
      <c r="K170" s="711">
        <f>Bilans_E_AMS_Kyoto_run3_MTE!O357</f>
        <v>0</v>
      </c>
      <c r="L170" s="711">
        <f>Bilans_E_AMS_Kyoto_run3_MTE!P357</f>
        <v>24.785104378649287</v>
      </c>
      <c r="M170" s="711">
        <f>Bilans_E_AMS_Kyoto_run3_MTE!Q357</f>
        <v>17.95996245859666</v>
      </c>
      <c r="N170" s="711">
        <f>Bilans_E_AMS_Kyoto_run3_MTE!R357</f>
        <v>0</v>
      </c>
      <c r="O170" s="711">
        <f>Bilans_E_AMS_Kyoto_run3_MTE!S357</f>
        <v>6.3205787341877624</v>
      </c>
      <c r="P170" s="711">
        <f>Bilans_E_AMS_Kyoto_run3_MTE!T357+Bilans_E_AMS_Kyoto_run3_MTE!U357</f>
        <v>14.160487242314748</v>
      </c>
      <c r="Q170" s="711">
        <f>Bilans_E_AMS_Kyoto_run3_MTE!V357</f>
        <v>14.189843081655606</v>
      </c>
      <c r="R170" s="711">
        <f>Bilans_E_AMS_Kyoto_run3_MTE!W357</f>
        <v>0</v>
      </c>
      <c r="S170" s="711">
        <f>Bilans_E_AMS_Kyoto_run3_MTE!X357</f>
        <v>-90.295152964101419</v>
      </c>
      <c r="T170" s="711">
        <f>Bilans_E_AMS_Kyoto_run3_MTE!Y357</f>
        <v>0</v>
      </c>
      <c r="U170" s="711">
        <f>Bilans_E_AMS_Kyoto_run3_MTE!Z357</f>
        <v>8.7315846438471425</v>
      </c>
      <c r="V170" s="701"/>
      <c r="W170" s="701"/>
    </row>
    <row r="171" spans="1:23" x14ac:dyDescent="0.25">
      <c r="A171" s="701" t="s">
        <v>497</v>
      </c>
      <c r="B171" s="701"/>
      <c r="C171" s="717" t="s">
        <v>349</v>
      </c>
      <c r="D171" s="711">
        <f>Bilans_E_AMS_Kyoto_run3_MTE!H358</f>
        <v>0</v>
      </c>
      <c r="E171" s="711">
        <f>Bilans_E_AMS_Kyoto_run3_MTE!I358</f>
        <v>0</v>
      </c>
      <c r="F171" s="711">
        <f>Bilans_E_AMS_Kyoto_run3_MTE!J358</f>
        <v>0</v>
      </c>
      <c r="G171" s="711">
        <f>Bilans_E_AMS_Kyoto_run3_MTE!K358</f>
        <v>0</v>
      </c>
      <c r="H171" s="711">
        <f>Bilans_E_AMS_Kyoto_run3_MTE!L358</f>
        <v>0</v>
      </c>
      <c r="I171" s="711">
        <f>Bilans_E_AMS_Kyoto_run3_MTE!M358</f>
        <v>0</v>
      </c>
      <c r="J171" s="711">
        <f>Bilans_E_AMS_Kyoto_run3_MTE!N358</f>
        <v>0</v>
      </c>
      <c r="K171" s="711">
        <f>Bilans_E_AMS_Kyoto_run3_MTE!O358</f>
        <v>0</v>
      </c>
      <c r="L171" s="711">
        <f>Bilans_E_AMS_Kyoto_run3_MTE!P358</f>
        <v>95.025274759778867</v>
      </c>
      <c r="M171" s="711">
        <f>Bilans_E_AMS_Kyoto_run3_MTE!Q358</f>
        <v>10.678076799137498</v>
      </c>
      <c r="N171" s="711">
        <f>Bilans_E_AMS_Kyoto_run3_MTE!R358</f>
        <v>0</v>
      </c>
      <c r="O171" s="711">
        <f>Bilans_E_AMS_Kyoto_run3_MTE!S358</f>
        <v>-52.932106946617139</v>
      </c>
      <c r="P171" s="711">
        <f>Bilans_E_AMS_Kyoto_run3_MTE!T358+Bilans_E_AMS_Kyoto_run3_MTE!U358</f>
        <v>0</v>
      </c>
      <c r="Q171" s="711">
        <f>Bilans_E_AMS_Kyoto_run3_MTE!V358</f>
        <v>0</v>
      </c>
      <c r="R171" s="711">
        <f>Bilans_E_AMS_Kyoto_run3_MTE!W358</f>
        <v>0</v>
      </c>
      <c r="S171" s="711">
        <f>Bilans_E_AMS_Kyoto_run3_MTE!X358</f>
        <v>0</v>
      </c>
      <c r="T171" s="711">
        <f>Bilans_E_AMS_Kyoto_run3_MTE!Y358</f>
        <v>0</v>
      </c>
      <c r="U171" s="711">
        <f>Bilans_E_AMS_Kyoto_run3_MTE!Z358</f>
        <v>52.771244612299228</v>
      </c>
      <c r="V171" s="701"/>
      <c r="W171" s="701"/>
    </row>
    <row r="172" spans="1:23" x14ac:dyDescent="0.25">
      <c r="A172" s="701" t="s">
        <v>498</v>
      </c>
      <c r="B172" s="701"/>
      <c r="C172" s="717" t="s">
        <v>350</v>
      </c>
      <c r="D172" s="711">
        <f>Bilans_E_AMS_Kyoto_run3_MTE!H359</f>
        <v>0</v>
      </c>
      <c r="E172" s="711">
        <f>Bilans_E_AMS_Kyoto_run3_MTE!I359</f>
        <v>0</v>
      </c>
      <c r="F172" s="711">
        <f>Bilans_E_AMS_Kyoto_run3_MTE!J359</f>
        <v>0</v>
      </c>
      <c r="G172" s="711">
        <f>Bilans_E_AMS_Kyoto_run3_MTE!K359</f>
        <v>0</v>
      </c>
      <c r="H172" s="711">
        <f>Bilans_E_AMS_Kyoto_run3_MTE!L359</f>
        <v>0</v>
      </c>
      <c r="I172" s="711">
        <f>Bilans_E_AMS_Kyoto_run3_MTE!M359</f>
        <v>-0.61307452578826904</v>
      </c>
      <c r="J172" s="711">
        <f>Bilans_E_AMS_Kyoto_run3_MTE!N359</f>
        <v>0</v>
      </c>
      <c r="K172" s="711">
        <f>Bilans_E_AMS_Kyoto_run3_MTE!O359</f>
        <v>0</v>
      </c>
      <c r="L172" s="711">
        <f>Bilans_E_AMS_Kyoto_run3_MTE!P359</f>
        <v>0</v>
      </c>
      <c r="M172" s="711">
        <f>Bilans_E_AMS_Kyoto_run3_MTE!Q359</f>
        <v>0</v>
      </c>
      <c r="N172" s="711">
        <f>Bilans_E_AMS_Kyoto_run3_MTE!R359</f>
        <v>0</v>
      </c>
      <c r="O172" s="711">
        <f>Bilans_E_AMS_Kyoto_run3_MTE!S359</f>
        <v>0</v>
      </c>
      <c r="P172" s="711">
        <f>Bilans_E_AMS_Kyoto_run3_MTE!T359+Bilans_E_AMS_Kyoto_run3_MTE!U359</f>
        <v>0</v>
      </c>
      <c r="Q172" s="711">
        <f>Bilans_E_AMS_Kyoto_run3_MTE!V359</f>
        <v>0</v>
      </c>
      <c r="R172" s="711">
        <f>Bilans_E_AMS_Kyoto_run3_MTE!W359</f>
        <v>0</v>
      </c>
      <c r="S172" s="711">
        <f>Bilans_E_AMS_Kyoto_run3_MTE!X359</f>
        <v>0</v>
      </c>
      <c r="T172" s="711">
        <f>Bilans_E_AMS_Kyoto_run3_MTE!Y359</f>
        <v>0.85149239692815148</v>
      </c>
      <c r="U172" s="711">
        <f>Bilans_E_AMS_Kyoto_run3_MTE!Z359</f>
        <v>0.23841787113988244</v>
      </c>
      <c r="V172" s="701"/>
      <c r="W172" s="701"/>
    </row>
    <row r="173" spans="1:23" x14ac:dyDescent="0.25">
      <c r="A173" s="701" t="s">
        <v>499</v>
      </c>
      <c r="B173" s="701"/>
      <c r="C173" s="717" t="s">
        <v>72</v>
      </c>
      <c r="D173" s="711">
        <f>Bilans_E_AMS_Kyoto_run3_MTE!H360</f>
        <v>0</v>
      </c>
      <c r="E173" s="711">
        <f>Bilans_E_AMS_Kyoto_run3_MTE!I360</f>
        <v>325.09767157974136</v>
      </c>
      <c r="F173" s="711">
        <f>Bilans_E_AMS_Kyoto_run3_MTE!J360</f>
        <v>-321.84669486394392</v>
      </c>
      <c r="G173" s="711">
        <f>Bilans_E_AMS_Kyoto_run3_MTE!K360</f>
        <v>0</v>
      </c>
      <c r="H173" s="711">
        <f>Bilans_E_AMS_Kyoto_run3_MTE!L360</f>
        <v>0</v>
      </c>
      <c r="I173" s="711">
        <f>Bilans_E_AMS_Kyoto_run3_MTE!M360</f>
        <v>0</v>
      </c>
      <c r="J173" s="711">
        <f>Bilans_E_AMS_Kyoto_run3_MTE!N360</f>
        <v>0</v>
      </c>
      <c r="K173" s="711">
        <f>Bilans_E_AMS_Kyoto_run3_MTE!O360</f>
        <v>0</v>
      </c>
      <c r="L173" s="711">
        <f>Bilans_E_AMS_Kyoto_run3_MTE!P360</f>
        <v>0</v>
      </c>
      <c r="M173" s="711">
        <f>Bilans_E_AMS_Kyoto_run3_MTE!Q360</f>
        <v>0</v>
      </c>
      <c r="N173" s="711">
        <f>Bilans_E_AMS_Kyoto_run3_MTE!R360</f>
        <v>0</v>
      </c>
      <c r="O173" s="711">
        <f>Bilans_E_AMS_Kyoto_run3_MTE!S360</f>
        <v>0</v>
      </c>
      <c r="P173" s="711">
        <f>Bilans_E_AMS_Kyoto_run3_MTE!T360+Bilans_E_AMS_Kyoto_run3_MTE!U360</f>
        <v>0</v>
      </c>
      <c r="Q173" s="711">
        <f>Bilans_E_AMS_Kyoto_run3_MTE!V360</f>
        <v>0</v>
      </c>
      <c r="R173" s="711">
        <f>Bilans_E_AMS_Kyoto_run3_MTE!W360</f>
        <v>0</v>
      </c>
      <c r="S173" s="711">
        <f>Bilans_E_AMS_Kyoto_run3_MTE!X360</f>
        <v>0</v>
      </c>
      <c r="T173" s="711">
        <f>Bilans_E_AMS_Kyoto_run3_MTE!Y360</f>
        <v>0</v>
      </c>
      <c r="U173" s="711">
        <f>Bilans_E_AMS_Kyoto_run3_MTE!Z360</f>
        <v>3.2509767157974352</v>
      </c>
      <c r="V173" s="701"/>
      <c r="W173" s="701"/>
    </row>
    <row r="174" spans="1:23" x14ac:dyDescent="0.25">
      <c r="A174" s="701" t="s">
        <v>500</v>
      </c>
      <c r="B174" s="701"/>
      <c r="C174" s="717" t="s">
        <v>351</v>
      </c>
      <c r="D174" s="711">
        <f>Bilans_E_AMS_Kyoto_run3_MTE!H361</f>
        <v>0</v>
      </c>
      <c r="E174" s="711">
        <f>Bilans_E_AMS_Kyoto_run3_MTE!I361</f>
        <v>0</v>
      </c>
      <c r="F174" s="711">
        <f>Bilans_E_AMS_Kyoto_run3_MTE!J361</f>
        <v>0</v>
      </c>
      <c r="G174" s="711">
        <f>Bilans_E_AMS_Kyoto_run3_MTE!K361</f>
        <v>0</v>
      </c>
      <c r="H174" s="711">
        <f>Bilans_E_AMS_Kyoto_run3_MTE!L361</f>
        <v>0</v>
      </c>
      <c r="I174" s="711">
        <f>Bilans_E_AMS_Kyoto_run3_MTE!M361</f>
        <v>0</v>
      </c>
      <c r="J174" s="711">
        <f>Bilans_E_AMS_Kyoto_run3_MTE!N361</f>
        <v>0</v>
      </c>
      <c r="K174" s="711">
        <f>Bilans_E_AMS_Kyoto_run3_MTE!O361</f>
        <v>0</v>
      </c>
      <c r="L174" s="711">
        <f>Bilans_E_AMS_Kyoto_run3_MTE!P361</f>
        <v>83.277924958812179</v>
      </c>
      <c r="M174" s="711">
        <f>Bilans_E_AMS_Kyoto_run3_MTE!Q361</f>
        <v>7.2727272727272725</v>
      </c>
      <c r="N174" s="711">
        <f>Bilans_E_AMS_Kyoto_run3_MTE!R361</f>
        <v>-50.501152166962441</v>
      </c>
      <c r="O174" s="711">
        <f>Bilans_E_AMS_Kyoto_run3_MTE!S361</f>
        <v>0</v>
      </c>
      <c r="P174" s="711">
        <f>Bilans_E_AMS_Kyoto_run3_MTE!T361+Bilans_E_AMS_Kyoto_run3_MTE!U361</f>
        <v>0</v>
      </c>
      <c r="Q174" s="711">
        <f>Bilans_E_AMS_Kyoto_run3_MTE!V361</f>
        <v>0</v>
      </c>
      <c r="R174" s="711">
        <f>Bilans_E_AMS_Kyoto_run3_MTE!W361</f>
        <v>0</v>
      </c>
      <c r="S174" s="711">
        <f>Bilans_E_AMS_Kyoto_run3_MTE!X361</f>
        <v>0</v>
      </c>
      <c r="T174" s="711">
        <f>Bilans_E_AMS_Kyoto_run3_MTE!Y361</f>
        <v>0</v>
      </c>
      <c r="U174" s="711">
        <f>Bilans_E_AMS_Kyoto_run3_MTE!Z361</f>
        <v>40.049500064577003</v>
      </c>
      <c r="V174" s="701"/>
      <c r="W174" s="701"/>
    </row>
    <row r="175" spans="1:23" x14ac:dyDescent="0.25">
      <c r="A175" s="701" t="s">
        <v>501</v>
      </c>
      <c r="B175" s="701"/>
      <c r="C175" s="717" t="s">
        <v>352</v>
      </c>
      <c r="D175" s="711">
        <f>Bilans_E_AMS_Kyoto_run3_MTE!H362</f>
        <v>0</v>
      </c>
      <c r="E175" s="711">
        <f>Bilans_E_AMS_Kyoto_run3_MTE!I362</f>
        <v>0</v>
      </c>
      <c r="F175" s="711">
        <f>Bilans_E_AMS_Kyoto_run3_MTE!J362</f>
        <v>0</v>
      </c>
      <c r="G175" s="711">
        <f>Bilans_E_AMS_Kyoto_run3_MTE!K362</f>
        <v>-2.9087163505255127</v>
      </c>
      <c r="H175" s="711">
        <f>Bilans_E_AMS_Kyoto_run3_MTE!L362</f>
        <v>0</v>
      </c>
      <c r="I175" s="711">
        <f>Bilans_E_AMS_Kyoto_run3_MTE!M362</f>
        <v>0</v>
      </c>
      <c r="J175" s="711">
        <f>Bilans_E_AMS_Kyoto_run3_MTE!N362</f>
        <v>0</v>
      </c>
      <c r="K175" s="711">
        <f>Bilans_E_AMS_Kyoto_run3_MTE!O362</f>
        <v>0</v>
      </c>
      <c r="L175" s="711">
        <f>Bilans_E_AMS_Kyoto_run3_MTE!P362</f>
        <v>0</v>
      </c>
      <c r="M175" s="711">
        <f>Bilans_E_AMS_Kyoto_run3_MTE!Q362</f>
        <v>0</v>
      </c>
      <c r="N175" s="711">
        <f>Bilans_E_AMS_Kyoto_run3_MTE!R362</f>
        <v>0</v>
      </c>
      <c r="O175" s="711">
        <f>Bilans_E_AMS_Kyoto_run3_MTE!S362</f>
        <v>0</v>
      </c>
      <c r="P175" s="711">
        <f>Bilans_E_AMS_Kyoto_run3_MTE!T362+Bilans_E_AMS_Kyoto_run3_MTE!U362</f>
        <v>0</v>
      </c>
      <c r="Q175" s="711">
        <f>Bilans_E_AMS_Kyoto_run3_MTE!V362</f>
        <v>0</v>
      </c>
      <c r="R175" s="711">
        <f>Bilans_E_AMS_Kyoto_run3_MTE!W362</f>
        <v>0</v>
      </c>
      <c r="S175" s="711">
        <f>Bilans_E_AMS_Kyoto_run3_MTE!X362</f>
        <v>0</v>
      </c>
      <c r="T175" s="711">
        <f>Bilans_E_AMS_Kyoto_run3_MTE!Y362</f>
        <v>4.8495879855780641</v>
      </c>
      <c r="U175" s="711">
        <f>Bilans_E_AMS_Kyoto_run3_MTE!Z362</f>
        <v>1.9408716350525514</v>
      </c>
      <c r="V175" s="701"/>
      <c r="W175" s="701"/>
    </row>
    <row r="176" spans="1:23" x14ac:dyDescent="0.25">
      <c r="A176" s="701" t="s">
        <v>502</v>
      </c>
      <c r="B176" s="701"/>
      <c r="C176" s="717" t="s">
        <v>73</v>
      </c>
      <c r="D176" s="711">
        <f>Bilans_E_AMS_Kyoto_run3_MTE!H363</f>
        <v>0</v>
      </c>
      <c r="E176" s="711">
        <f>Bilans_E_AMS_Kyoto_run3_MTE!I363</f>
        <v>0</v>
      </c>
      <c r="F176" s="711">
        <f>Bilans_E_AMS_Kyoto_run3_MTE!J363</f>
        <v>0</v>
      </c>
      <c r="G176" s="711">
        <f>Bilans_E_AMS_Kyoto_run3_MTE!K363</f>
        <v>0</v>
      </c>
      <c r="H176" s="711">
        <f>Bilans_E_AMS_Kyoto_run3_MTE!L363</f>
        <v>0</v>
      </c>
      <c r="I176" s="711">
        <f>Bilans_E_AMS_Kyoto_run3_MTE!M363</f>
        <v>0</v>
      </c>
      <c r="J176" s="711">
        <f>Bilans_E_AMS_Kyoto_run3_MTE!N363</f>
        <v>0</v>
      </c>
      <c r="K176" s="711">
        <f>Bilans_E_AMS_Kyoto_run3_MTE!O363</f>
        <v>0</v>
      </c>
      <c r="L176" s="711">
        <f>Bilans_E_AMS_Kyoto_run3_MTE!P363</f>
        <v>0</v>
      </c>
      <c r="M176" s="711">
        <f>Bilans_E_AMS_Kyoto_run3_MTE!Q363</f>
        <v>0</v>
      </c>
      <c r="N176" s="711">
        <f>Bilans_E_AMS_Kyoto_run3_MTE!R363</f>
        <v>0</v>
      </c>
      <c r="O176" s="711">
        <f>Bilans_E_AMS_Kyoto_run3_MTE!S363</f>
        <v>0</v>
      </c>
      <c r="P176" s="711">
        <f>Bilans_E_AMS_Kyoto_run3_MTE!T363+Bilans_E_AMS_Kyoto_run3_MTE!U363</f>
        <v>0</v>
      </c>
      <c r="Q176" s="711">
        <f>Bilans_E_AMS_Kyoto_run3_MTE!V363</f>
        <v>0</v>
      </c>
      <c r="R176" s="711">
        <f>Bilans_E_AMS_Kyoto_run3_MTE!W363</f>
        <v>32.352563963788228</v>
      </c>
      <c r="S176" s="711">
        <f>Bilans_E_AMS_Kyoto_run3_MTE!X363</f>
        <v>0</v>
      </c>
      <c r="T176" s="711">
        <f>Bilans_E_AMS_Kyoto_run3_MTE!Y363</f>
        <v>-21.595336445828643</v>
      </c>
      <c r="U176" s="711">
        <f>Bilans_E_AMS_Kyoto_run3_MTE!Z363</f>
        <v>10.757227517959585</v>
      </c>
      <c r="V176" s="701"/>
      <c r="W176" s="701"/>
    </row>
    <row r="177" spans="1:23" x14ac:dyDescent="0.25">
      <c r="A177" s="701" t="s">
        <v>503</v>
      </c>
      <c r="B177" s="701"/>
      <c r="C177" s="717" t="s">
        <v>353</v>
      </c>
      <c r="D177" s="711">
        <f>Bilans_E_AMS_Kyoto_run3_MTE!H364</f>
        <v>9.0096813281249997</v>
      </c>
      <c r="E177" s="711">
        <f>Bilans_E_AMS_Kyoto_run3_MTE!I364</f>
        <v>-11.398239160930634</v>
      </c>
      <c r="F177" s="711">
        <f>Bilans_E_AMS_Kyoto_run3_MTE!J364</f>
        <v>15.062765425262727</v>
      </c>
      <c r="G177" s="711">
        <f>Bilans_E_AMS_Kyoto_run3_MTE!K364</f>
        <v>0</v>
      </c>
      <c r="H177" s="711">
        <f>Bilans_E_AMS_Kyoto_run3_MTE!L364</f>
        <v>0</v>
      </c>
      <c r="I177" s="711">
        <f>Bilans_E_AMS_Kyoto_run3_MTE!M364</f>
        <v>0</v>
      </c>
      <c r="J177" s="711">
        <f>Bilans_E_AMS_Kyoto_run3_MTE!N364</f>
        <v>0</v>
      </c>
      <c r="K177" s="711">
        <f>Bilans_E_AMS_Kyoto_run3_MTE!O364</f>
        <v>0</v>
      </c>
      <c r="L177" s="711">
        <f>Bilans_E_AMS_Kyoto_run3_MTE!P364</f>
        <v>0</v>
      </c>
      <c r="M177" s="711">
        <f>Bilans_E_AMS_Kyoto_run3_MTE!Q364</f>
        <v>0</v>
      </c>
      <c r="N177" s="711">
        <f>Bilans_E_AMS_Kyoto_run3_MTE!R364</f>
        <v>0</v>
      </c>
      <c r="O177" s="711">
        <f>Bilans_E_AMS_Kyoto_run3_MTE!S364</f>
        <v>0</v>
      </c>
      <c r="P177" s="711">
        <f>Bilans_E_AMS_Kyoto_run3_MTE!T364+Bilans_E_AMS_Kyoto_run3_MTE!U364</f>
        <v>0</v>
      </c>
      <c r="Q177" s="711">
        <f>Bilans_E_AMS_Kyoto_run3_MTE!V364</f>
        <v>0</v>
      </c>
      <c r="R177" s="711">
        <f>Bilans_E_AMS_Kyoto_run3_MTE!W364</f>
        <v>0</v>
      </c>
      <c r="S177" s="711">
        <f>Bilans_E_AMS_Kyoto_run3_MTE!X364</f>
        <v>0</v>
      </c>
      <c r="T177" s="711">
        <f>Bilans_E_AMS_Kyoto_run3_MTE!Y364</f>
        <v>0</v>
      </c>
      <c r="U177" s="711">
        <f>Bilans_E_AMS_Kyoto_run3_MTE!Z364</f>
        <v>12.674207592457092</v>
      </c>
      <c r="V177" s="701"/>
      <c r="W177" s="701"/>
    </row>
    <row r="178" spans="1:23" x14ac:dyDescent="0.25">
      <c r="A178" s="701" t="s">
        <v>504</v>
      </c>
      <c r="B178" s="701"/>
      <c r="C178" s="717" t="s">
        <v>75</v>
      </c>
      <c r="D178" s="711">
        <f>Bilans_E_AMS_Kyoto_run3_MTE!H365</f>
        <v>3.5037649609375006</v>
      </c>
      <c r="E178" s="711">
        <f>Bilans_E_AMS_Kyoto_run3_MTE!I365</f>
        <v>0</v>
      </c>
      <c r="F178" s="711">
        <f>Bilans_E_AMS_Kyoto_run3_MTE!J365</f>
        <v>11.25597354471723</v>
      </c>
      <c r="G178" s="711">
        <f>Bilans_E_AMS_Kyoto_run3_MTE!K365</f>
        <v>0</v>
      </c>
      <c r="H178" s="711">
        <f>Bilans_E_AMS_Kyoto_run3_MTE!L365</f>
        <v>0</v>
      </c>
      <c r="I178" s="711">
        <f>Bilans_E_AMS_Kyoto_run3_MTE!M365</f>
        <v>0</v>
      </c>
      <c r="J178" s="711">
        <f>Bilans_E_AMS_Kyoto_run3_MTE!N365</f>
        <v>0</v>
      </c>
      <c r="K178" s="711">
        <f>Bilans_E_AMS_Kyoto_run3_MTE!O365</f>
        <v>0</v>
      </c>
      <c r="L178" s="711">
        <f>Bilans_E_AMS_Kyoto_run3_MTE!P365</f>
        <v>0</v>
      </c>
      <c r="M178" s="711">
        <f>Bilans_E_AMS_Kyoto_run3_MTE!Q365</f>
        <v>0</v>
      </c>
      <c r="N178" s="711">
        <f>Bilans_E_AMS_Kyoto_run3_MTE!R365</f>
        <v>0</v>
      </c>
      <c r="O178" s="711">
        <f>Bilans_E_AMS_Kyoto_run3_MTE!S365</f>
        <v>0</v>
      </c>
      <c r="P178" s="711">
        <f>Bilans_E_AMS_Kyoto_run3_MTE!T365+Bilans_E_AMS_Kyoto_run3_MTE!U365</f>
        <v>0</v>
      </c>
      <c r="Q178" s="711">
        <f>Bilans_E_AMS_Kyoto_run3_MTE!V365</f>
        <v>0</v>
      </c>
      <c r="R178" s="711">
        <f>Bilans_E_AMS_Kyoto_run3_MTE!W365</f>
        <v>35.053658012222463</v>
      </c>
      <c r="S178" s="711">
        <f>Bilans_E_AMS_Kyoto_run3_MTE!X365</f>
        <v>0</v>
      </c>
      <c r="T178" s="711">
        <f>Bilans_E_AMS_Kyoto_run3_MTE!Y365</f>
        <v>3.1951837496115347</v>
      </c>
      <c r="U178" s="711">
        <f>Bilans_E_AMS_Kyoto_run3_MTE!Z365</f>
        <v>53.008580267488732</v>
      </c>
      <c r="V178" s="701"/>
      <c r="W178" s="701"/>
    </row>
    <row r="179" spans="1:23" x14ac:dyDescent="0.25">
      <c r="A179" s="701" t="s">
        <v>505</v>
      </c>
      <c r="B179" s="701"/>
      <c r="C179" s="717" t="s">
        <v>76</v>
      </c>
      <c r="D179" s="711">
        <f>Bilans_E_AMS_Kyoto_run3_MTE!H366</f>
        <v>0</v>
      </c>
      <c r="E179" s="711">
        <f>Bilans_E_AMS_Kyoto_run3_MTE!I366</f>
        <v>0</v>
      </c>
      <c r="F179" s="711">
        <f>Bilans_E_AMS_Kyoto_run3_MTE!J366</f>
        <v>0</v>
      </c>
      <c r="G179" s="711">
        <f>Bilans_E_AMS_Kyoto_run3_MTE!K366</f>
        <v>0</v>
      </c>
      <c r="H179" s="711">
        <f>Bilans_E_AMS_Kyoto_run3_MTE!L366</f>
        <v>2.3417362535553745</v>
      </c>
      <c r="I179" s="711">
        <f>Bilans_E_AMS_Kyoto_run3_MTE!M366</f>
        <v>0</v>
      </c>
      <c r="J179" s="711">
        <f>Bilans_E_AMS_Kyoto_run3_MTE!N366</f>
        <v>0</v>
      </c>
      <c r="K179" s="711">
        <f>Bilans_E_AMS_Kyoto_run3_MTE!O366</f>
        <v>0</v>
      </c>
      <c r="L179" s="711">
        <f>Bilans_E_AMS_Kyoto_run3_MTE!P366</f>
        <v>0</v>
      </c>
      <c r="M179" s="711">
        <f>Bilans_E_AMS_Kyoto_run3_MTE!Q366</f>
        <v>0</v>
      </c>
      <c r="N179" s="711">
        <f>Bilans_E_AMS_Kyoto_run3_MTE!R366</f>
        <v>0</v>
      </c>
      <c r="O179" s="711">
        <f>Bilans_E_AMS_Kyoto_run3_MTE!S366</f>
        <v>0.58543406338884363</v>
      </c>
      <c r="P179" s="711">
        <f>Bilans_E_AMS_Kyoto_run3_MTE!T366+Bilans_E_AMS_Kyoto_run3_MTE!U366</f>
        <v>0</v>
      </c>
      <c r="Q179" s="711">
        <f>Bilans_E_AMS_Kyoto_run3_MTE!V366</f>
        <v>0</v>
      </c>
      <c r="R179" s="711">
        <f>Bilans_E_AMS_Kyoto_run3_MTE!W366</f>
        <v>50.833401683684251</v>
      </c>
      <c r="S179" s="711">
        <f>Bilans_E_AMS_Kyoto_run3_MTE!X366</f>
        <v>7.00152240179274</v>
      </c>
      <c r="T179" s="711">
        <f>Bilans_E_AMS_Kyoto_run3_MTE!Y366</f>
        <v>0</v>
      </c>
      <c r="U179" s="711">
        <f>Bilans_E_AMS_Kyoto_run3_MTE!Z366</f>
        <v>60.762094402421212</v>
      </c>
      <c r="V179" s="701"/>
      <c r="W179" s="701"/>
    </row>
    <row r="180" spans="1:23" x14ac:dyDescent="0.25">
      <c r="A180" s="701" t="s">
        <v>506</v>
      </c>
      <c r="B180" s="701"/>
      <c r="C180" s="713" t="s">
        <v>77</v>
      </c>
      <c r="D180" s="714">
        <f>Bilans_E_AMS_Kyoto_run3_MTE!H367</f>
        <v>12.5134462890625</v>
      </c>
      <c r="E180" s="714">
        <f>Bilans_E_AMS_Kyoto_run3_MTE!I367</f>
        <v>313.69943241881072</v>
      </c>
      <c r="F180" s="714">
        <f>Bilans_E_AMS_Kyoto_run3_MTE!J367</f>
        <v>-294.72573860835513</v>
      </c>
      <c r="G180" s="714">
        <f>Bilans_E_AMS_Kyoto_run3_MTE!K367</f>
        <v>-2.9087163505255127</v>
      </c>
      <c r="H180" s="714">
        <f>Bilans_E_AMS_Kyoto_run3_MTE!L367</f>
        <v>49.730996964144317</v>
      </c>
      <c r="I180" s="714">
        <f>Bilans_E_AMS_Kyoto_run3_MTE!M367</f>
        <v>-0.61307452578826904</v>
      </c>
      <c r="J180" s="714">
        <f>Bilans_E_AMS_Kyoto_run3_MTE!N367</f>
        <v>1162.7439999999999</v>
      </c>
      <c r="K180" s="714">
        <f>Bilans_E_AMS_Kyoto_run3_MTE!O367</f>
        <v>299.59846132130883</v>
      </c>
      <c r="L180" s="714">
        <f>Bilans_E_AMS_Kyoto_run3_MTE!P367</f>
        <v>219.01005209086182</v>
      </c>
      <c r="M180" s="714">
        <f>Bilans_E_AMS_Kyoto_run3_MTE!Q367</f>
        <v>41.847694799608462</v>
      </c>
      <c r="N180" s="714">
        <f>Bilans_E_AMS_Kyoto_run3_MTE!R367</f>
        <v>-45.472018436609886</v>
      </c>
      <c r="O180" s="714">
        <f>Bilans_E_AMS_Kyoto_run3_MTE!S367</f>
        <v>-37.277974287660989</v>
      </c>
      <c r="P180" s="714">
        <f>Bilans_E_AMS_Kyoto_run3_MTE!T367+Bilans_E_AMS_Kyoto_run3_MTE!U367</f>
        <v>14.160487242314748</v>
      </c>
      <c r="Q180" s="714">
        <f>Bilans_E_AMS_Kyoto_run3_MTE!V367</f>
        <v>16.984242391982921</v>
      </c>
      <c r="R180" s="714">
        <f>Bilans_E_AMS_Kyoto_run3_MTE!W367</f>
        <v>-599.13585594667347</v>
      </c>
      <c r="S180" s="714">
        <f>Bilans_E_AMS_Kyoto_run3_MTE!X367</f>
        <v>-83.293630562308678</v>
      </c>
      <c r="T180" s="714">
        <f>Bilans_E_AMS_Kyoto_run3_MTE!Y367</f>
        <v>-12.699072313710893</v>
      </c>
      <c r="U180" s="714">
        <f>Bilans_E_AMS_Kyoto_run3_MTE!Z367</f>
        <v>1054.1627324864614</v>
      </c>
      <c r="V180" s="701"/>
      <c r="W180" s="701"/>
    </row>
    <row r="181" spans="1:23" x14ac:dyDescent="0.25">
      <c r="A181" s="701"/>
      <c r="B181" s="701"/>
      <c r="C181" s="715"/>
      <c r="D181" s="716"/>
      <c r="E181" s="716"/>
      <c r="F181" s="716"/>
      <c r="G181" s="716"/>
      <c r="H181" s="716"/>
      <c r="I181" s="716"/>
      <c r="J181" s="716"/>
      <c r="K181" s="716"/>
      <c r="L181" s="716"/>
      <c r="M181" s="716"/>
      <c r="N181" s="716"/>
      <c r="O181" s="716"/>
      <c r="P181" s="716">
        <f>Bilans_E_AMS_Kyoto_run3_MTE!T368+Bilans_E_AMS_Kyoto_run3_MTE!U368</f>
        <v>0</v>
      </c>
      <c r="Q181" s="716"/>
      <c r="R181" s="716"/>
      <c r="S181" s="716"/>
      <c r="T181" s="716"/>
      <c r="U181" s="716"/>
      <c r="V181" s="701"/>
      <c r="W181" s="701"/>
    </row>
    <row r="182" spans="1:23" x14ac:dyDescent="0.25">
      <c r="A182" s="701" t="s">
        <v>507</v>
      </c>
      <c r="B182" s="701"/>
      <c r="C182" s="717" t="s">
        <v>78</v>
      </c>
      <c r="D182" s="711">
        <f>Bilans_E_AMS_Kyoto_run3_MTE!H369</f>
        <v>0.59552978515624999</v>
      </c>
      <c r="E182" s="711">
        <f>Bilans_E_AMS_Kyoto_run3_MTE!I369</f>
        <v>0</v>
      </c>
      <c r="F182" s="711">
        <f>Bilans_E_AMS_Kyoto_run3_MTE!J369</f>
        <v>6.9248578185022795</v>
      </c>
      <c r="G182" s="711">
        <f>Bilans_E_AMS_Kyoto_run3_MTE!K369</f>
        <v>0</v>
      </c>
      <c r="H182" s="711">
        <f>Bilans_E_AMS_Kyoto_run3_MTE!L369</f>
        <v>56.056015641570937</v>
      </c>
      <c r="I182" s="711">
        <f>Bilans_E_AMS_Kyoto_run3_MTE!M369</f>
        <v>0</v>
      </c>
      <c r="J182" s="711">
        <f>Bilans_E_AMS_Kyoto_run3_MTE!N369</f>
        <v>0</v>
      </c>
      <c r="K182" s="711">
        <f>Bilans_E_AMS_Kyoto_run3_MTE!O369</f>
        <v>0</v>
      </c>
      <c r="L182" s="711">
        <f>Bilans_E_AMS_Kyoto_run3_MTE!P369</f>
        <v>38.482812658254467</v>
      </c>
      <c r="M182" s="711">
        <f>Bilans_E_AMS_Kyoto_run3_MTE!Q369</f>
        <v>9.5007953936584837</v>
      </c>
      <c r="N182" s="711">
        <f>Bilans_E_AMS_Kyoto_run3_MTE!R369</f>
        <v>0.86864625843500676</v>
      </c>
      <c r="O182" s="711">
        <f>Bilans_E_AMS_Kyoto_run3_MTE!S369</f>
        <v>14.047969700298927</v>
      </c>
      <c r="P182" s="711">
        <f>Bilans_E_AMS_Kyoto_run3_MTE!T369+Bilans_E_AMS_Kyoto_run3_MTE!U369</f>
        <v>7.96939501953125</v>
      </c>
      <c r="Q182" s="711">
        <f>Bilans_E_AMS_Kyoto_run3_MTE!V369</f>
        <v>6.9244826847420892E-4</v>
      </c>
      <c r="R182" s="711">
        <f>Bilans_E_AMS_Kyoto_run3_MTE!W369</f>
        <v>153.63376409766943</v>
      </c>
      <c r="S182" s="711">
        <f>Bilans_E_AMS_Kyoto_run3_MTE!X369</f>
        <v>19.531581585374159</v>
      </c>
      <c r="T182" s="711">
        <f>Bilans_E_AMS_Kyoto_run3_MTE!Y369</f>
        <v>7.0234057617187498</v>
      </c>
      <c r="U182" s="711">
        <f>Bilans_E_AMS_Kyoto_run3_MTE!Z369</f>
        <v>314.63546616843843</v>
      </c>
      <c r="V182" s="701"/>
      <c r="W182" s="701"/>
    </row>
    <row r="183" spans="1:23" x14ac:dyDescent="0.25">
      <c r="A183" s="701" t="s">
        <v>508</v>
      </c>
      <c r="B183" s="701"/>
      <c r="C183" s="717" t="s">
        <v>79</v>
      </c>
      <c r="D183" s="711">
        <f>Bilans_E_AMS_Kyoto_run3_MTE!H370</f>
        <v>0</v>
      </c>
      <c r="E183" s="711">
        <f>Bilans_E_AMS_Kyoto_run3_MTE!I370</f>
        <v>0</v>
      </c>
      <c r="F183" s="711">
        <f>Bilans_E_AMS_Kyoto_run3_MTE!J370</f>
        <v>211.71015331690265</v>
      </c>
      <c r="G183" s="711">
        <f>Bilans_E_AMS_Kyoto_run3_MTE!K370</f>
        <v>0</v>
      </c>
      <c r="H183" s="711">
        <f>Bilans_E_AMS_Kyoto_run3_MTE!L370</f>
        <v>6.084888759318634</v>
      </c>
      <c r="I183" s="711">
        <f>Bilans_E_AMS_Kyoto_run3_MTE!M370</f>
        <v>0</v>
      </c>
      <c r="J183" s="711">
        <f>Bilans_E_AMS_Kyoto_run3_MTE!N370</f>
        <v>0</v>
      </c>
      <c r="K183" s="711">
        <f>Bilans_E_AMS_Kyoto_run3_MTE!O370</f>
        <v>0</v>
      </c>
      <c r="L183" s="711">
        <f>Bilans_E_AMS_Kyoto_run3_MTE!P370</f>
        <v>0</v>
      </c>
      <c r="M183" s="711">
        <f>Bilans_E_AMS_Kyoto_run3_MTE!Q370</f>
        <v>0</v>
      </c>
      <c r="N183" s="711">
        <f>Bilans_E_AMS_Kyoto_run3_MTE!R370</f>
        <v>41.017765544975838</v>
      </c>
      <c r="O183" s="711">
        <f>Bilans_E_AMS_Kyoto_run3_MTE!S370</f>
        <v>1.5212221898296585</v>
      </c>
      <c r="P183" s="711">
        <f>Bilans_E_AMS_Kyoto_run3_MTE!T370+Bilans_E_AMS_Kyoto_run3_MTE!U370</f>
        <v>0</v>
      </c>
      <c r="Q183" s="711">
        <f>Bilans_E_AMS_Kyoto_run3_MTE!V370</f>
        <v>0</v>
      </c>
      <c r="R183" s="711">
        <f>Bilans_E_AMS_Kyoto_run3_MTE!W370</f>
        <v>64.85163743776981</v>
      </c>
      <c r="S183" s="711">
        <f>Bilans_E_AMS_Kyoto_run3_MTE!X370</f>
        <v>0</v>
      </c>
      <c r="T183" s="711">
        <f>Bilans_E_AMS_Kyoto_run3_MTE!Y370</f>
        <v>2.5022787980989989</v>
      </c>
      <c r="U183" s="711">
        <f>Bilans_E_AMS_Kyoto_run3_MTE!Z370</f>
        <v>327.68794604689555</v>
      </c>
      <c r="V183" s="701"/>
      <c r="W183" s="701"/>
    </row>
    <row r="184" spans="1:23" x14ac:dyDescent="0.25">
      <c r="A184" s="701" t="s">
        <v>509</v>
      </c>
      <c r="B184" s="701"/>
      <c r="C184" s="717" t="s">
        <v>80</v>
      </c>
      <c r="D184" s="711">
        <f>Bilans_E_AMS_Kyoto_run3_MTE!H371</f>
        <v>0</v>
      </c>
      <c r="E184" s="711">
        <f>Bilans_E_AMS_Kyoto_run3_MTE!I371</f>
        <v>0</v>
      </c>
      <c r="F184" s="711">
        <f>Bilans_E_AMS_Kyoto_run3_MTE!J371</f>
        <v>1.1922779453513948</v>
      </c>
      <c r="G184" s="711">
        <f>Bilans_E_AMS_Kyoto_run3_MTE!K371</f>
        <v>0</v>
      </c>
      <c r="H184" s="711">
        <f>Bilans_E_AMS_Kyoto_run3_MTE!L371</f>
        <v>49.984411570621333</v>
      </c>
      <c r="I184" s="711">
        <f>Bilans_E_AMS_Kyoto_run3_MTE!M371</f>
        <v>0</v>
      </c>
      <c r="J184" s="711">
        <f>Bilans_E_AMS_Kyoto_run3_MTE!N371</f>
        <v>0</v>
      </c>
      <c r="K184" s="711">
        <f>Bilans_E_AMS_Kyoto_run3_MTE!O371</f>
        <v>0</v>
      </c>
      <c r="L184" s="711">
        <f>Bilans_E_AMS_Kyoto_run3_MTE!P371</f>
        <v>51.327953484818188</v>
      </c>
      <c r="M184" s="711">
        <f>Bilans_E_AMS_Kyoto_run3_MTE!Q371</f>
        <v>0</v>
      </c>
      <c r="N184" s="711">
        <f>Bilans_E_AMS_Kyoto_run3_MTE!R371</f>
        <v>0</v>
      </c>
      <c r="O184" s="711">
        <f>Bilans_E_AMS_Kyoto_run3_MTE!S371</f>
        <v>12.496102892655333</v>
      </c>
      <c r="P184" s="711">
        <f>Bilans_E_AMS_Kyoto_run3_MTE!T371+Bilans_E_AMS_Kyoto_run3_MTE!U371</f>
        <v>106.12788282579821</v>
      </c>
      <c r="Q184" s="711">
        <f>Bilans_E_AMS_Kyoto_run3_MTE!V371</f>
        <v>8.4399601726258009</v>
      </c>
      <c r="R184" s="711">
        <f>Bilans_E_AMS_Kyoto_run3_MTE!W371</f>
        <v>154.71508066801636</v>
      </c>
      <c r="S184" s="711">
        <f>Bilans_E_AMS_Kyoto_run3_MTE!X371</f>
        <v>40.414130897924252</v>
      </c>
      <c r="T184" s="711">
        <f>Bilans_E_AMS_Kyoto_run3_MTE!Y371</f>
        <v>0</v>
      </c>
      <c r="U184" s="711">
        <f>Bilans_E_AMS_Kyoto_run3_MTE!Z371</f>
        <v>424.69780045781079</v>
      </c>
      <c r="V184" s="701"/>
      <c r="W184" s="701"/>
    </row>
    <row r="185" spans="1:23" x14ac:dyDescent="0.25">
      <c r="A185" s="701" t="s">
        <v>510</v>
      </c>
      <c r="B185" s="701"/>
      <c r="C185" s="717" t="s">
        <v>81</v>
      </c>
      <c r="D185" s="711">
        <f>Bilans_E_AMS_Kyoto_run3_MTE!H372</f>
        <v>0</v>
      </c>
      <c r="E185" s="711">
        <f>Bilans_E_AMS_Kyoto_run3_MTE!I372</f>
        <v>0</v>
      </c>
      <c r="F185" s="711">
        <f>Bilans_E_AMS_Kyoto_run3_MTE!J372</f>
        <v>2.1695259016738468</v>
      </c>
      <c r="G185" s="711">
        <f>Bilans_E_AMS_Kyoto_run3_MTE!K372</f>
        <v>0</v>
      </c>
      <c r="H185" s="711">
        <f>Bilans_E_AMS_Kyoto_run3_MTE!L372</f>
        <v>31.961692890831412</v>
      </c>
      <c r="I185" s="711">
        <f>Bilans_E_AMS_Kyoto_run3_MTE!M372</f>
        <v>0</v>
      </c>
      <c r="J185" s="711">
        <f>Bilans_E_AMS_Kyoto_run3_MTE!N372</f>
        <v>0</v>
      </c>
      <c r="K185" s="711">
        <f>Bilans_E_AMS_Kyoto_run3_MTE!O372</f>
        <v>0</v>
      </c>
      <c r="L185" s="711">
        <f>Bilans_E_AMS_Kyoto_run3_MTE!P372</f>
        <v>0.59825096685183632</v>
      </c>
      <c r="M185" s="711">
        <f>Bilans_E_AMS_Kyoto_run3_MTE!Q372</f>
        <v>0</v>
      </c>
      <c r="N185" s="711">
        <f>Bilans_E_AMS_Kyoto_run3_MTE!R372</f>
        <v>0</v>
      </c>
      <c r="O185" s="711">
        <f>Bilans_E_AMS_Kyoto_run3_MTE!S372</f>
        <v>7.9904232227078529</v>
      </c>
      <c r="P185" s="711">
        <f>Bilans_E_AMS_Kyoto_run3_MTE!T372+Bilans_E_AMS_Kyoto_run3_MTE!U372</f>
        <v>42.388089169065466</v>
      </c>
      <c r="Q185" s="711">
        <f>Bilans_E_AMS_Kyoto_run3_MTE!V372</f>
        <v>7.9118943755575595</v>
      </c>
      <c r="R185" s="711">
        <f>Bilans_E_AMS_Kyoto_run3_MTE!W372</f>
        <v>121.82988531988985</v>
      </c>
      <c r="S185" s="711">
        <f>Bilans_E_AMS_Kyoto_run3_MTE!X372</f>
        <v>23.34788734439358</v>
      </c>
      <c r="T185" s="711">
        <f>Bilans_E_AMS_Kyoto_run3_MTE!Y372</f>
        <v>0</v>
      </c>
      <c r="U185" s="711">
        <f>Bilans_E_AMS_Kyoto_run3_MTE!Z372</f>
        <v>238.19764919097142</v>
      </c>
      <c r="V185" s="701"/>
      <c r="W185" s="701"/>
    </row>
    <row r="186" spans="1:23" x14ac:dyDescent="0.25">
      <c r="A186" s="701" t="s">
        <v>511</v>
      </c>
      <c r="B186" s="701"/>
      <c r="C186" s="717" t="s">
        <v>82</v>
      </c>
      <c r="D186" s="711">
        <f>Bilans_E_AMS_Kyoto_run3_MTE!H373</f>
        <v>0</v>
      </c>
      <c r="E186" s="711">
        <f>Bilans_E_AMS_Kyoto_run3_MTE!I373</f>
        <v>0</v>
      </c>
      <c r="F186" s="711">
        <f>Bilans_E_AMS_Kyoto_run3_MTE!J373</f>
        <v>22.236615834161011</v>
      </c>
      <c r="G186" s="711">
        <f>Bilans_E_AMS_Kyoto_run3_MTE!K373</f>
        <v>0</v>
      </c>
      <c r="H186" s="711">
        <f>Bilans_E_AMS_Kyoto_run3_MTE!L373</f>
        <v>1.1928287245433082</v>
      </c>
      <c r="I186" s="711">
        <f>Bilans_E_AMS_Kyoto_run3_MTE!M373</f>
        <v>0</v>
      </c>
      <c r="J186" s="711">
        <f>Bilans_E_AMS_Kyoto_run3_MTE!N373</f>
        <v>0</v>
      </c>
      <c r="K186" s="711">
        <f>Bilans_E_AMS_Kyoto_run3_MTE!O373</f>
        <v>0</v>
      </c>
      <c r="L186" s="711">
        <f>Bilans_E_AMS_Kyoto_run3_MTE!P373</f>
        <v>13.268691220387016</v>
      </c>
      <c r="M186" s="711">
        <f>Bilans_E_AMS_Kyoto_run3_MTE!Q373</f>
        <v>0</v>
      </c>
      <c r="N186" s="711">
        <f>Bilans_E_AMS_Kyoto_run3_MTE!R373</f>
        <v>5.5416929804733215</v>
      </c>
      <c r="O186" s="711">
        <f>Bilans_E_AMS_Kyoto_run3_MTE!S373</f>
        <v>0.29820718113582706</v>
      </c>
      <c r="P186" s="711">
        <f>Bilans_E_AMS_Kyoto_run3_MTE!T373+Bilans_E_AMS_Kyoto_run3_MTE!U373</f>
        <v>0.75</v>
      </c>
      <c r="Q186" s="711">
        <f>Bilans_E_AMS_Kyoto_run3_MTE!V373</f>
        <v>0.96290247555165809</v>
      </c>
      <c r="R186" s="711">
        <f>Bilans_E_AMS_Kyoto_run3_MTE!W373</f>
        <v>8.6394549115432451</v>
      </c>
      <c r="S186" s="711">
        <f>Bilans_E_AMS_Kyoto_run3_MTE!X373</f>
        <v>0</v>
      </c>
      <c r="T186" s="711">
        <f>Bilans_E_AMS_Kyoto_run3_MTE!Y373</f>
        <v>0.30661417718369394</v>
      </c>
      <c r="U186" s="711">
        <f>Bilans_E_AMS_Kyoto_run3_MTE!Z373</f>
        <v>53.197007504979084</v>
      </c>
      <c r="V186" s="701"/>
      <c r="W186" s="701"/>
    </row>
    <row r="187" spans="1:23" x14ac:dyDescent="0.25">
      <c r="A187" s="701" t="s">
        <v>512</v>
      </c>
      <c r="B187" s="701"/>
      <c r="C187" s="717" t="s">
        <v>354</v>
      </c>
      <c r="D187" s="711">
        <f>Bilans_E_AMS_Kyoto_run3_MTE!H374</f>
        <v>0</v>
      </c>
      <c r="E187" s="711">
        <f>Bilans_E_AMS_Kyoto_run3_MTE!I374</f>
        <v>0</v>
      </c>
      <c r="F187" s="711">
        <f>Bilans_E_AMS_Kyoto_run3_MTE!J374</f>
        <v>0</v>
      </c>
      <c r="G187" s="711">
        <f>Bilans_E_AMS_Kyoto_run3_MTE!K374</f>
        <v>0</v>
      </c>
      <c r="H187" s="711">
        <f>Bilans_E_AMS_Kyoto_run3_MTE!L374</f>
        <v>0</v>
      </c>
      <c r="I187" s="711">
        <f>Bilans_E_AMS_Kyoto_run3_MTE!M374</f>
        <v>0</v>
      </c>
      <c r="J187" s="711">
        <f>Bilans_E_AMS_Kyoto_run3_MTE!N374</f>
        <v>0</v>
      </c>
      <c r="K187" s="711">
        <f>Bilans_E_AMS_Kyoto_run3_MTE!O374</f>
        <v>0</v>
      </c>
      <c r="L187" s="711">
        <f>Bilans_E_AMS_Kyoto_run3_MTE!P374</f>
        <v>0</v>
      </c>
      <c r="M187" s="711">
        <f>Bilans_E_AMS_Kyoto_run3_MTE!Q374</f>
        <v>0</v>
      </c>
      <c r="N187" s="711">
        <f>Bilans_E_AMS_Kyoto_run3_MTE!R374</f>
        <v>0</v>
      </c>
      <c r="O187" s="711">
        <f>Bilans_E_AMS_Kyoto_run3_MTE!S374</f>
        <v>0</v>
      </c>
      <c r="P187" s="711">
        <f>Bilans_E_AMS_Kyoto_run3_MTE!T374+Bilans_E_AMS_Kyoto_run3_MTE!U374</f>
        <v>0</v>
      </c>
      <c r="Q187" s="711">
        <f>Bilans_E_AMS_Kyoto_run3_MTE!V374</f>
        <v>0</v>
      </c>
      <c r="R187" s="711">
        <f>Bilans_E_AMS_Kyoto_run3_MTE!W374</f>
        <v>0</v>
      </c>
      <c r="S187" s="711">
        <f>Bilans_E_AMS_Kyoto_run3_MTE!X374</f>
        <v>0</v>
      </c>
      <c r="T187" s="711">
        <f>Bilans_E_AMS_Kyoto_run3_MTE!Y374</f>
        <v>0</v>
      </c>
      <c r="U187" s="711">
        <f>Bilans_E_AMS_Kyoto_run3_MTE!Z374</f>
        <v>0</v>
      </c>
      <c r="V187" s="701"/>
      <c r="W187" s="701"/>
    </row>
    <row r="188" spans="1:23" x14ac:dyDescent="0.25">
      <c r="A188" s="701" t="s">
        <v>513</v>
      </c>
      <c r="B188" s="701"/>
      <c r="C188" s="713" t="s">
        <v>83</v>
      </c>
      <c r="D188" s="714">
        <f>Bilans_E_AMS_Kyoto_run3_MTE!H375</f>
        <v>0.59552978515624999</v>
      </c>
      <c r="E188" s="714">
        <f>Bilans_E_AMS_Kyoto_run3_MTE!I375</f>
        <v>0</v>
      </c>
      <c r="F188" s="714">
        <f>Bilans_E_AMS_Kyoto_run3_MTE!J375</f>
        <v>244.23343081659118</v>
      </c>
      <c r="G188" s="714">
        <f>Bilans_E_AMS_Kyoto_run3_MTE!K375</f>
        <v>0</v>
      </c>
      <c r="H188" s="714">
        <f>Bilans_E_AMS_Kyoto_run3_MTE!L375</f>
        <v>145.27983758688563</v>
      </c>
      <c r="I188" s="714">
        <f>Bilans_E_AMS_Kyoto_run3_MTE!M375</f>
        <v>0</v>
      </c>
      <c r="J188" s="714">
        <f>Bilans_E_AMS_Kyoto_run3_MTE!N375</f>
        <v>0</v>
      </c>
      <c r="K188" s="714">
        <f>Bilans_E_AMS_Kyoto_run3_MTE!O375</f>
        <v>0</v>
      </c>
      <c r="L188" s="714">
        <f>Bilans_E_AMS_Kyoto_run3_MTE!P375</f>
        <v>103.6777083303115</v>
      </c>
      <c r="M188" s="714">
        <f>Bilans_E_AMS_Kyoto_run3_MTE!Q375</f>
        <v>9.5007953936584837</v>
      </c>
      <c r="N188" s="714">
        <f>Bilans_E_AMS_Kyoto_run3_MTE!R375</f>
        <v>47.428104783884166</v>
      </c>
      <c r="O188" s="714">
        <f>Bilans_E_AMS_Kyoto_run3_MTE!S375</f>
        <v>36.353925186627599</v>
      </c>
      <c r="P188" s="714">
        <f>Bilans_E_AMS_Kyoto_run3_MTE!T375+Bilans_E_AMS_Kyoto_run3_MTE!U375</f>
        <v>157.23536701439491</v>
      </c>
      <c r="Q188" s="714">
        <f>Bilans_E_AMS_Kyoto_run3_MTE!V375</f>
        <v>17.315449472003493</v>
      </c>
      <c r="R188" s="714">
        <f>Bilans_E_AMS_Kyoto_run3_MTE!W375</f>
        <v>503.66982243488866</v>
      </c>
      <c r="S188" s="714">
        <f>Bilans_E_AMS_Kyoto_run3_MTE!X375</f>
        <v>83.293599827691992</v>
      </c>
      <c r="T188" s="714">
        <f>Bilans_E_AMS_Kyoto_run3_MTE!Y375</f>
        <v>9.832298737001441</v>
      </c>
      <c r="U188" s="714">
        <f>Bilans_E_AMS_Kyoto_run3_MTE!Z375</f>
        <v>1358.4158693690954</v>
      </c>
      <c r="V188" s="701"/>
      <c r="W188" s="701"/>
    </row>
    <row r="189" spans="1:23" x14ac:dyDescent="0.25">
      <c r="A189" s="701" t="s">
        <v>514</v>
      </c>
      <c r="B189" s="701"/>
      <c r="C189" s="710" t="s">
        <v>84</v>
      </c>
      <c r="D189" s="711">
        <f>Bilans_E_AMS_Kyoto_run3_MTE!H376</f>
        <v>0</v>
      </c>
      <c r="E189" s="711">
        <f>Bilans_E_AMS_Kyoto_run3_MTE!I376</f>
        <v>0</v>
      </c>
      <c r="F189" s="711">
        <f>Bilans_E_AMS_Kyoto_run3_MTE!J376</f>
        <v>108.38831705718137</v>
      </c>
      <c r="G189" s="711">
        <f>Bilans_E_AMS_Kyoto_run3_MTE!K376</f>
        <v>1.2939885995123082</v>
      </c>
      <c r="H189" s="711">
        <f>Bilans_E_AMS_Kyoto_run3_MTE!L376</f>
        <v>12.973217825865042</v>
      </c>
      <c r="I189" s="711">
        <f>Bilans_E_AMS_Kyoto_run3_MTE!M376</f>
        <v>0</v>
      </c>
      <c r="J189" s="711">
        <f>Bilans_E_AMS_Kyoto_run3_MTE!N376</f>
        <v>0</v>
      </c>
      <c r="K189" s="711">
        <f>Bilans_E_AMS_Kyoto_run3_MTE!O376</f>
        <v>0</v>
      </c>
      <c r="L189" s="711">
        <f>Bilans_E_AMS_Kyoto_run3_MTE!P376</f>
        <v>0.29168113881125463</v>
      </c>
      <c r="M189" s="711">
        <f>Bilans_E_AMS_Kyoto_run3_MTE!Q376</f>
        <v>0</v>
      </c>
      <c r="N189" s="711">
        <f>Bilans_E_AMS_Kyoto_run3_MTE!R376</f>
        <v>2.0844051344814138</v>
      </c>
      <c r="O189" s="711">
        <f>Bilans_E_AMS_Kyoto_run3_MTE!S376</f>
        <v>0</v>
      </c>
      <c r="P189" s="711">
        <f>Bilans_E_AMS_Kyoto_run3_MTE!T376+Bilans_E_AMS_Kyoto_run3_MTE!U376</f>
        <v>0</v>
      </c>
      <c r="Q189" s="711">
        <f>Bilans_E_AMS_Kyoto_run3_MTE!V376</f>
        <v>0</v>
      </c>
      <c r="R189" s="711">
        <f>Bilans_E_AMS_Kyoto_run3_MTE!W376</f>
        <v>0</v>
      </c>
      <c r="S189" s="711">
        <f>Bilans_E_AMS_Kyoto_run3_MTE!X376</f>
        <v>0</v>
      </c>
      <c r="T189" s="711">
        <f>Bilans_E_AMS_Kyoto_run3_MTE!Y376</f>
        <v>1.487132000092672</v>
      </c>
      <c r="U189" s="711">
        <f>Bilans_E_AMS_Kyoto_run3_MTE!Z376</f>
        <v>126.51874175594406</v>
      </c>
      <c r="V189" s="701"/>
      <c r="W189" s="701"/>
    </row>
    <row r="190" spans="1:23" x14ac:dyDescent="0.25">
      <c r="A190" s="701" t="s">
        <v>515</v>
      </c>
      <c r="B190" s="701"/>
      <c r="C190" s="713" t="s">
        <v>85</v>
      </c>
      <c r="D190" s="714">
        <f>Bilans_E_AMS_Kyoto_run3_MTE!H377</f>
        <v>0.59552978515624999</v>
      </c>
      <c r="E190" s="714">
        <f>Bilans_E_AMS_Kyoto_run3_MTE!I377</f>
        <v>0</v>
      </c>
      <c r="F190" s="714">
        <f>Bilans_E_AMS_Kyoto_run3_MTE!J377</f>
        <v>352.62174787377256</v>
      </c>
      <c r="G190" s="714">
        <f>Bilans_E_AMS_Kyoto_run3_MTE!K377</f>
        <v>1.2939885995123082</v>
      </c>
      <c r="H190" s="714">
        <f>Bilans_E_AMS_Kyoto_run3_MTE!L377</f>
        <v>158.25305541275068</v>
      </c>
      <c r="I190" s="714">
        <f>Bilans_E_AMS_Kyoto_run3_MTE!M377</f>
        <v>0</v>
      </c>
      <c r="J190" s="714">
        <f>Bilans_E_AMS_Kyoto_run3_MTE!N377</f>
        <v>0</v>
      </c>
      <c r="K190" s="714">
        <f>Bilans_E_AMS_Kyoto_run3_MTE!O377</f>
        <v>0</v>
      </c>
      <c r="L190" s="714">
        <f>Bilans_E_AMS_Kyoto_run3_MTE!P377</f>
        <v>103.96938946912276</v>
      </c>
      <c r="M190" s="714">
        <f>Bilans_E_AMS_Kyoto_run3_MTE!Q377</f>
        <v>9.5007953936584837</v>
      </c>
      <c r="N190" s="714">
        <f>Bilans_E_AMS_Kyoto_run3_MTE!R377</f>
        <v>49.512509918365581</v>
      </c>
      <c r="O190" s="714">
        <f>Bilans_E_AMS_Kyoto_run3_MTE!S377</f>
        <v>36.353925186627599</v>
      </c>
      <c r="P190" s="714">
        <f>Bilans_E_AMS_Kyoto_run3_MTE!T377+Bilans_E_AMS_Kyoto_run3_MTE!U377</f>
        <v>157.23536701439491</v>
      </c>
      <c r="Q190" s="714">
        <f>Bilans_E_AMS_Kyoto_run3_MTE!V377</f>
        <v>17.315449472003493</v>
      </c>
      <c r="R190" s="714">
        <f>Bilans_E_AMS_Kyoto_run3_MTE!W377</f>
        <v>503.66982243488866</v>
      </c>
      <c r="S190" s="714">
        <f>Bilans_E_AMS_Kyoto_run3_MTE!X377</f>
        <v>83.293599827691992</v>
      </c>
      <c r="T190" s="714">
        <f>Bilans_E_AMS_Kyoto_run3_MTE!Y377</f>
        <v>11.319430737094113</v>
      </c>
      <c r="U190" s="714">
        <f>Bilans_E_AMS_Kyoto_run3_MTE!Z377</f>
        <v>1484.9346111250395</v>
      </c>
      <c r="V190" s="701"/>
      <c r="W190" s="701"/>
    </row>
    <row r="191" spans="1:23" x14ac:dyDescent="0.25">
      <c r="A191" s="701"/>
      <c r="B191" s="701"/>
      <c r="C191" s="701"/>
      <c r="D191" s="701">
        <f>Bilans_E_AMS_Kyoto_run3_MTE!H378</f>
        <v>0</v>
      </c>
      <c r="E191" s="701">
        <f>Bilans_E_AMS_Kyoto_run3_MTE!I378</f>
        <v>0</v>
      </c>
      <c r="F191" s="701">
        <f>Bilans_E_AMS_Kyoto_run3_MTE!J378</f>
        <v>0</v>
      </c>
      <c r="G191" s="701">
        <f>Bilans_E_AMS_Kyoto_run3_MTE!K378</f>
        <v>0</v>
      </c>
      <c r="H191" s="701">
        <f>Bilans_E_AMS_Kyoto_run3_MTE!L378</f>
        <v>0</v>
      </c>
      <c r="I191" s="701">
        <f>Bilans_E_AMS_Kyoto_run3_MTE!M378</f>
        <v>0</v>
      </c>
      <c r="J191" s="701">
        <f>Bilans_E_AMS_Kyoto_run3_MTE!N378</f>
        <v>0</v>
      </c>
      <c r="K191" s="701">
        <f>Bilans_E_AMS_Kyoto_run3_MTE!O378</f>
        <v>0</v>
      </c>
      <c r="L191" s="701">
        <f>Bilans_E_AMS_Kyoto_run3_MTE!P378</f>
        <v>0</v>
      </c>
      <c r="M191" s="701">
        <f>Bilans_E_AMS_Kyoto_run3_MTE!Q378</f>
        <v>0</v>
      </c>
      <c r="N191" s="701">
        <f>Bilans_E_AMS_Kyoto_run3_MTE!R378</f>
        <v>0</v>
      </c>
      <c r="O191" s="701">
        <f>Bilans_E_AMS_Kyoto_run3_MTE!S378</f>
        <v>9.1038288019262836E-15</v>
      </c>
      <c r="P191" s="701">
        <f>Bilans_E_AMS_Kyoto_run3_MTE!T378+Bilans_E_AMS_Kyoto_run3_MTE!U378</f>
        <v>0</v>
      </c>
      <c r="Q191" s="701">
        <f>Bilans_E_AMS_Kyoto_run3_MTE!V378</f>
        <v>0</v>
      </c>
      <c r="R191" s="701">
        <f>Bilans_E_AMS_Kyoto_run3_MTE!W378</f>
        <v>0</v>
      </c>
      <c r="S191" s="701">
        <f>Bilans_E_AMS_Kyoto_run3_MTE!X378</f>
        <v>-3.0734616686345362E-5</v>
      </c>
      <c r="T191" s="701">
        <f>Bilans_E_AMS_Kyoto_run3_MTE!Y378</f>
        <v>2.2204460492503131E-15</v>
      </c>
      <c r="U191" s="701">
        <f>Bilans_E_AMS_Kyoto_run3_MTE!Z378</f>
        <v>-3.0734616302652285E-5</v>
      </c>
      <c r="V191" s="701"/>
      <c r="W191" s="701"/>
    </row>
    <row r="192" spans="1:23" x14ac:dyDescent="0.25">
      <c r="A192" s="701"/>
      <c r="B192" s="701"/>
      <c r="C192" s="701"/>
      <c r="D192" s="701"/>
      <c r="E192" s="701"/>
      <c r="F192" s="701"/>
      <c r="G192" s="701"/>
      <c r="H192" s="701"/>
      <c r="I192" s="701"/>
      <c r="J192" s="701"/>
      <c r="K192" s="701"/>
      <c r="L192" s="701"/>
      <c r="M192" s="701"/>
      <c r="N192" s="701"/>
      <c r="O192" s="701"/>
      <c r="P192" s="701"/>
      <c r="Q192" s="701"/>
      <c r="R192" s="701"/>
      <c r="S192" s="701"/>
      <c r="T192" s="701"/>
      <c r="U192" s="701"/>
      <c r="V192" s="701"/>
      <c r="W192" s="701"/>
    </row>
    <row r="193" spans="1:23" x14ac:dyDescent="0.25">
      <c r="A193" s="707"/>
      <c r="B193" s="707"/>
      <c r="C193" s="708" t="s">
        <v>359</v>
      </c>
      <c r="D193" s="707"/>
      <c r="E193" s="707"/>
      <c r="F193" s="707"/>
      <c r="G193" s="707"/>
      <c r="H193" s="707"/>
      <c r="I193" s="707"/>
      <c r="J193" s="707"/>
      <c r="K193" s="707"/>
      <c r="L193" s="707"/>
      <c r="M193" s="707"/>
      <c r="N193" s="707"/>
      <c r="O193" s="707"/>
      <c r="P193" s="707"/>
      <c r="Q193" s="707"/>
      <c r="R193" s="707"/>
      <c r="S193" s="707"/>
      <c r="T193" s="707"/>
      <c r="U193" s="707"/>
      <c r="V193" s="707"/>
      <c r="W193" s="707"/>
    </row>
    <row r="194" spans="1:23" x14ac:dyDescent="0.25">
      <c r="A194" s="701"/>
      <c r="B194" s="701"/>
      <c r="C194" s="701"/>
      <c r="D194" s="701"/>
      <c r="E194" s="701"/>
      <c r="F194" s="701"/>
      <c r="G194" s="701"/>
      <c r="H194" s="701"/>
      <c r="I194" s="701"/>
      <c r="J194" s="701"/>
      <c r="K194" s="701"/>
      <c r="L194" s="701"/>
      <c r="M194" s="701"/>
      <c r="N194" s="701"/>
      <c r="O194" s="701"/>
      <c r="P194" s="701"/>
      <c r="Q194" s="701"/>
      <c r="R194" s="701"/>
      <c r="S194" s="701"/>
      <c r="T194" s="701"/>
      <c r="U194" s="701"/>
      <c r="V194" s="701"/>
      <c r="W194" s="701"/>
    </row>
    <row r="195" spans="1:23" x14ac:dyDescent="0.25">
      <c r="A195" s="701"/>
      <c r="B195" s="701"/>
      <c r="C195" s="780" t="s">
        <v>128</v>
      </c>
      <c r="D195" s="775" t="s">
        <v>42</v>
      </c>
      <c r="E195" s="775" t="s">
        <v>52</v>
      </c>
      <c r="F195" s="775" t="s">
        <v>53</v>
      </c>
      <c r="G195" s="775" t="s">
        <v>482</v>
      </c>
      <c r="H195" s="775" t="s">
        <v>32</v>
      </c>
      <c r="I195" s="775" t="s">
        <v>483</v>
      </c>
      <c r="J195" s="775" t="s">
        <v>20</v>
      </c>
      <c r="K195" s="775" t="s">
        <v>55</v>
      </c>
      <c r="L195" s="777" t="s">
        <v>56</v>
      </c>
      <c r="M195" s="778"/>
      <c r="N195" s="778"/>
      <c r="O195" s="778"/>
      <c r="P195" s="778"/>
      <c r="Q195" s="779"/>
      <c r="R195" s="775" t="s">
        <v>57</v>
      </c>
      <c r="S195" s="775" t="s">
        <v>58</v>
      </c>
      <c r="T195" s="775" t="s">
        <v>31</v>
      </c>
      <c r="U195" s="775" t="s">
        <v>10</v>
      </c>
      <c r="V195" s="701"/>
      <c r="W195" s="701"/>
    </row>
    <row r="196" spans="1:23" ht="67.5" x14ac:dyDescent="0.25">
      <c r="A196" s="701" t="s">
        <v>486</v>
      </c>
      <c r="B196" s="701"/>
      <c r="C196" s="781"/>
      <c r="D196" s="776"/>
      <c r="E196" s="776"/>
      <c r="F196" s="776"/>
      <c r="G196" s="776"/>
      <c r="H196" s="776"/>
      <c r="I196" s="776"/>
      <c r="J196" s="776"/>
      <c r="K196" s="776"/>
      <c r="L196" s="709" t="s">
        <v>335</v>
      </c>
      <c r="M196" s="709" t="s">
        <v>40</v>
      </c>
      <c r="N196" s="709" t="s">
        <v>343</v>
      </c>
      <c r="O196" s="709" t="s">
        <v>344</v>
      </c>
      <c r="P196" s="719" t="s">
        <v>610</v>
      </c>
      <c r="Q196" s="709" t="s">
        <v>346</v>
      </c>
      <c r="R196" s="776"/>
      <c r="S196" s="776"/>
      <c r="T196" s="776"/>
      <c r="U196" s="776"/>
      <c r="V196" s="701"/>
      <c r="W196" s="701"/>
    </row>
    <row r="197" spans="1:23" x14ac:dyDescent="0.25">
      <c r="A197" s="701" t="s">
        <v>487</v>
      </c>
      <c r="B197" s="701"/>
      <c r="C197" s="710" t="s">
        <v>59</v>
      </c>
      <c r="D197" s="711">
        <f>Bilans_E_AMS_Kyoto_run3_MTE!H384</f>
        <v>0</v>
      </c>
      <c r="E197" s="711">
        <f>Bilans_E_AMS_Kyoto_run3_MTE!I384</f>
        <v>1.9073199999999999</v>
      </c>
      <c r="F197" s="711">
        <f>Bilans_E_AMS_Kyoto_run3_MTE!J384</f>
        <v>0</v>
      </c>
      <c r="G197" s="711">
        <f>Bilans_E_AMS_Kyoto_run3_MTE!K384</f>
        <v>0</v>
      </c>
      <c r="H197" s="711">
        <f>Bilans_E_AMS_Kyoto_run3_MTE!L384</f>
        <v>3.9542000000000008E-2</v>
      </c>
      <c r="I197" s="711">
        <f>Bilans_E_AMS_Kyoto_run3_MTE!M384</f>
        <v>0</v>
      </c>
      <c r="J197" s="711">
        <f>Bilans_E_AMS_Kyoto_run3_MTE!N384</f>
        <v>1195.4990290598246</v>
      </c>
      <c r="K197" s="711">
        <f>Bilans_E_AMS_Kyoto_run3_MTE!O384</f>
        <v>352.81639892204078</v>
      </c>
      <c r="L197" s="711">
        <f>Bilans_E_AMS_Kyoto_run3_MTE!P384</f>
        <v>334.74141553105153</v>
      </c>
      <c r="M197" s="711">
        <f>Bilans_E_AMS_Kyoto_run3_MTE!Q384</f>
        <v>49.102811616128875</v>
      </c>
      <c r="N197" s="711">
        <f>Bilans_E_AMS_Kyoto_run3_MTE!R384</f>
        <v>0</v>
      </c>
      <c r="O197" s="711">
        <f>Bilans_E_AMS_Kyoto_run3_MTE!S384</f>
        <v>0</v>
      </c>
      <c r="P197" s="711">
        <f>Bilans_E_AMS_Kyoto_run3_MTE!T384+Bilans_E_AMS_Kyoto_run3_MTE!U384</f>
        <v>200.79978234592807</v>
      </c>
      <c r="Q197" s="711">
        <f>Bilans_E_AMS_Kyoto_run3_MTE!V384</f>
        <v>40.778741630012433</v>
      </c>
      <c r="R197" s="711">
        <f>Bilans_E_AMS_Kyoto_run3_MTE!W384</f>
        <v>0</v>
      </c>
      <c r="S197" s="711">
        <f>Bilans_E_AMS_Kyoto_run3_MTE!X384</f>
        <v>0</v>
      </c>
      <c r="T197" s="711">
        <f>Bilans_E_AMS_Kyoto_run3_MTE!Y384</f>
        <v>0</v>
      </c>
      <c r="U197" s="711">
        <f>Bilans_E_AMS_Kyoto_run3_MTE!Z384</f>
        <v>2175.6850411049863</v>
      </c>
      <c r="V197" s="701"/>
      <c r="W197" s="701"/>
    </row>
    <row r="198" spans="1:23" x14ac:dyDescent="0.25">
      <c r="A198" s="701" t="s">
        <v>488</v>
      </c>
      <c r="B198" s="701"/>
      <c r="C198" s="710" t="s">
        <v>60</v>
      </c>
      <c r="D198" s="712">
        <f>Bilans_E_AMS_Kyoto_run3_MTE!H385</f>
        <v>12.531065673828124</v>
      </c>
      <c r="E198" s="712">
        <f>Bilans_E_AMS_Kyoto_run3_MTE!I385</f>
        <v>260.68864136173096</v>
      </c>
      <c r="F198" s="712">
        <f>Bilans_E_AMS_Kyoto_run3_MTE!J385</f>
        <v>79.769139628982202</v>
      </c>
      <c r="G198" s="712">
        <f>Bilans_E_AMS_Kyoto_run3_MTE!K385</f>
        <v>5.3845155133024489</v>
      </c>
      <c r="H198" s="712">
        <f>Bilans_E_AMS_Kyoto_run3_MTE!L385</f>
        <v>146.10919430668767</v>
      </c>
      <c r="I198" s="712">
        <f>Bilans_E_AMS_Kyoto_run3_MTE!M385</f>
        <v>0</v>
      </c>
      <c r="J198" s="712">
        <f>Bilans_E_AMS_Kyoto_run3_MTE!N385</f>
        <v>0</v>
      </c>
      <c r="K198" s="712">
        <f>Bilans_E_AMS_Kyoto_run3_MTE!O385</f>
        <v>0</v>
      </c>
      <c r="L198" s="712">
        <f>Bilans_E_AMS_Kyoto_run3_MTE!P385</f>
        <v>6.5955281469378519</v>
      </c>
      <c r="M198" s="712">
        <f>Bilans_E_AMS_Kyoto_run3_MTE!Q385</f>
        <v>0</v>
      </c>
      <c r="N198" s="712">
        <f>Bilans_E_AMS_Kyoto_run3_MTE!R385</f>
        <v>13.786836239318319</v>
      </c>
      <c r="O198" s="712">
        <f>Bilans_E_AMS_Kyoto_run3_MTE!S385</f>
        <v>4.2024164944931641</v>
      </c>
      <c r="P198" s="712">
        <f>Bilans_E_AMS_Kyoto_run3_MTE!T385+Bilans_E_AMS_Kyoto_run3_MTE!U385</f>
        <v>0</v>
      </c>
      <c r="Q198" s="712">
        <f>Bilans_E_AMS_Kyoto_run3_MTE!V385</f>
        <v>0</v>
      </c>
      <c r="R198" s="712">
        <f>Bilans_E_AMS_Kyoto_run3_MTE!W385</f>
        <v>0</v>
      </c>
      <c r="S198" s="712">
        <f>Bilans_E_AMS_Kyoto_run3_MTE!X385</f>
        <v>0</v>
      </c>
      <c r="T198" s="712">
        <f>Bilans_E_AMS_Kyoto_run3_MTE!Y385</f>
        <v>0</v>
      </c>
      <c r="U198" s="712">
        <f>Bilans_E_AMS_Kyoto_run3_MTE!Z385</f>
        <v>529.06733736528076</v>
      </c>
      <c r="V198" s="701"/>
      <c r="W198" s="701"/>
    </row>
    <row r="199" spans="1:23" x14ac:dyDescent="0.25">
      <c r="A199" s="701" t="s">
        <v>489</v>
      </c>
      <c r="B199" s="701"/>
      <c r="C199" s="710" t="s">
        <v>61</v>
      </c>
      <c r="D199" s="712">
        <f>Bilans_E_AMS_Kyoto_run3_MTE!H386</f>
        <v>0</v>
      </c>
      <c r="E199" s="712">
        <f>Bilans_E_AMS_Kyoto_run3_MTE!I386</f>
        <v>0</v>
      </c>
      <c r="F199" s="712">
        <f>Bilans_E_AMS_Kyoto_run3_MTE!J386</f>
        <v>0</v>
      </c>
      <c r="G199" s="712">
        <f>Bilans_E_AMS_Kyoto_run3_MTE!K386</f>
        <v>0</v>
      </c>
      <c r="H199" s="712">
        <f>Bilans_E_AMS_Kyoto_run3_MTE!L386</f>
        <v>0</v>
      </c>
      <c r="I199" s="712">
        <f>Bilans_E_AMS_Kyoto_run3_MTE!M386</f>
        <v>0</v>
      </c>
      <c r="J199" s="712">
        <f>Bilans_E_AMS_Kyoto_run3_MTE!N386</f>
        <v>0</v>
      </c>
      <c r="K199" s="712">
        <f>Bilans_E_AMS_Kyoto_run3_MTE!O386</f>
        <v>0</v>
      </c>
      <c r="L199" s="712">
        <f>Bilans_E_AMS_Kyoto_run3_MTE!P386</f>
        <v>0</v>
      </c>
      <c r="M199" s="712">
        <f>Bilans_E_AMS_Kyoto_run3_MTE!Q386</f>
        <v>0</v>
      </c>
      <c r="N199" s="712">
        <f>Bilans_E_AMS_Kyoto_run3_MTE!R386</f>
        <v>0</v>
      </c>
      <c r="O199" s="712">
        <f>Bilans_E_AMS_Kyoto_run3_MTE!S386</f>
        <v>0</v>
      </c>
      <c r="P199" s="712">
        <f>Bilans_E_AMS_Kyoto_run3_MTE!T386+Bilans_E_AMS_Kyoto_run3_MTE!U386</f>
        <v>0</v>
      </c>
      <c r="Q199" s="712">
        <f>Bilans_E_AMS_Kyoto_run3_MTE!V386</f>
        <v>0</v>
      </c>
      <c r="R199" s="712">
        <f>Bilans_E_AMS_Kyoto_run3_MTE!W386</f>
        <v>-112.47635741768158</v>
      </c>
      <c r="S199" s="712">
        <f>Bilans_E_AMS_Kyoto_run3_MTE!X386</f>
        <v>0</v>
      </c>
      <c r="T199" s="712">
        <f>Bilans_E_AMS_Kyoto_run3_MTE!Y386</f>
        <v>0</v>
      </c>
      <c r="U199" s="712">
        <f>Bilans_E_AMS_Kyoto_run3_MTE!Z386</f>
        <v>-112.47635741768158</v>
      </c>
      <c r="V199" s="701"/>
      <c r="W199" s="701"/>
    </row>
    <row r="200" spans="1:23" x14ac:dyDescent="0.25">
      <c r="A200" s="701" t="s">
        <v>490</v>
      </c>
      <c r="B200" s="701"/>
      <c r="C200" s="710" t="s">
        <v>62</v>
      </c>
      <c r="D200" s="711">
        <f>Bilans_E_AMS_Kyoto_run3_MTE!H387</f>
        <v>0</v>
      </c>
      <c r="E200" s="711">
        <f>Bilans_E_AMS_Kyoto_run3_MTE!I387</f>
        <v>0</v>
      </c>
      <c r="F200" s="711">
        <f>Bilans_E_AMS_Kyoto_run3_MTE!J387</f>
        <v>-6.4368278477343406</v>
      </c>
      <c r="G200" s="711">
        <f>Bilans_E_AMS_Kyoto_run3_MTE!K387</f>
        <v>-0.75904465097595197</v>
      </c>
      <c r="H200" s="711">
        <f>Bilans_E_AMS_Kyoto_run3_MTE!L387</f>
        <v>-0.26617313205703391</v>
      </c>
      <c r="I200" s="711">
        <f>Bilans_E_AMS_Kyoto_run3_MTE!M387</f>
        <v>-0.83753949174200382</v>
      </c>
      <c r="J200" s="711">
        <f>Bilans_E_AMS_Kyoto_run3_MTE!N387</f>
        <v>0</v>
      </c>
      <c r="K200" s="711">
        <f>Bilans_E_AMS_Kyoto_run3_MTE!O387</f>
        <v>0</v>
      </c>
      <c r="L200" s="711">
        <f>Bilans_E_AMS_Kyoto_run3_MTE!P387</f>
        <v>0</v>
      </c>
      <c r="M200" s="711">
        <f>Bilans_E_AMS_Kyoto_run3_MTE!Q387</f>
        <v>0</v>
      </c>
      <c r="N200" s="711">
        <f>Bilans_E_AMS_Kyoto_run3_MTE!R387</f>
        <v>0</v>
      </c>
      <c r="O200" s="711">
        <f>Bilans_E_AMS_Kyoto_run3_MTE!S387</f>
        <v>-1.2171669369544087</v>
      </c>
      <c r="P200" s="711">
        <f>Bilans_E_AMS_Kyoto_run3_MTE!T387+Bilans_E_AMS_Kyoto_run3_MTE!U387</f>
        <v>0</v>
      </c>
      <c r="Q200" s="711">
        <f>Bilans_E_AMS_Kyoto_run3_MTE!V387</f>
        <v>0</v>
      </c>
      <c r="R200" s="711">
        <f>Bilans_E_AMS_Kyoto_run3_MTE!W387</f>
        <v>0</v>
      </c>
      <c r="S200" s="711">
        <f>Bilans_E_AMS_Kyoto_run3_MTE!X387</f>
        <v>0</v>
      </c>
      <c r="T200" s="711">
        <f>Bilans_E_AMS_Kyoto_run3_MTE!Y387</f>
        <v>-0.55033649946810814</v>
      </c>
      <c r="U200" s="711">
        <f>Bilans_E_AMS_Kyoto_run3_MTE!Z387</f>
        <v>-10.067088558931845</v>
      </c>
      <c r="V200" s="701"/>
      <c r="W200" s="701"/>
    </row>
    <row r="201" spans="1:23" x14ac:dyDescent="0.25">
      <c r="A201" s="701" t="s">
        <v>491</v>
      </c>
      <c r="B201" s="701"/>
      <c r="C201" s="710" t="s">
        <v>63</v>
      </c>
      <c r="D201" s="711">
        <f>Bilans_E_AMS_Kyoto_run3_MTE!H388</f>
        <v>0</v>
      </c>
      <c r="E201" s="711">
        <f>Bilans_E_AMS_Kyoto_run3_MTE!I388</f>
        <v>0</v>
      </c>
      <c r="F201" s="711">
        <f>Bilans_E_AMS_Kyoto_run3_MTE!J388</f>
        <v>-46.4</v>
      </c>
      <c r="G201" s="711">
        <f>Bilans_E_AMS_Kyoto_run3_MTE!K388</f>
        <v>-6.4</v>
      </c>
      <c r="H201" s="711">
        <f>Bilans_E_AMS_Kyoto_run3_MTE!L388</f>
        <v>0</v>
      </c>
      <c r="I201" s="711">
        <f>Bilans_E_AMS_Kyoto_run3_MTE!M388</f>
        <v>0</v>
      </c>
      <c r="J201" s="711">
        <f>Bilans_E_AMS_Kyoto_run3_MTE!N388</f>
        <v>0</v>
      </c>
      <c r="K201" s="711">
        <f>Bilans_E_AMS_Kyoto_run3_MTE!O388</f>
        <v>0</v>
      </c>
      <c r="L201" s="711">
        <f>Bilans_E_AMS_Kyoto_run3_MTE!P388</f>
        <v>0</v>
      </c>
      <c r="M201" s="711">
        <f>Bilans_E_AMS_Kyoto_run3_MTE!Q388</f>
        <v>0</v>
      </c>
      <c r="N201" s="711">
        <f>Bilans_E_AMS_Kyoto_run3_MTE!R388</f>
        <v>-13.4</v>
      </c>
      <c r="O201" s="711">
        <f>Bilans_E_AMS_Kyoto_run3_MTE!S388</f>
        <v>0</v>
      </c>
      <c r="P201" s="711">
        <f>Bilans_E_AMS_Kyoto_run3_MTE!T388+Bilans_E_AMS_Kyoto_run3_MTE!U388</f>
        <v>0</v>
      </c>
      <c r="Q201" s="711">
        <f>Bilans_E_AMS_Kyoto_run3_MTE!V388</f>
        <v>0</v>
      </c>
      <c r="R201" s="711">
        <f>Bilans_E_AMS_Kyoto_run3_MTE!W388</f>
        <v>0</v>
      </c>
      <c r="S201" s="711">
        <f>Bilans_E_AMS_Kyoto_run3_MTE!X388</f>
        <v>0</v>
      </c>
      <c r="T201" s="711">
        <f>Bilans_E_AMS_Kyoto_run3_MTE!Y388</f>
        <v>-2.2000000000000002</v>
      </c>
      <c r="U201" s="711">
        <f>Bilans_E_AMS_Kyoto_run3_MTE!Z388</f>
        <v>-68.400000000000006</v>
      </c>
      <c r="V201" s="701"/>
      <c r="W201" s="701"/>
    </row>
    <row r="202" spans="1:23" x14ac:dyDescent="0.25">
      <c r="A202" s="701" t="s">
        <v>492</v>
      </c>
      <c r="B202" s="701"/>
      <c r="C202" s="710" t="s">
        <v>64</v>
      </c>
      <c r="D202" s="712">
        <f>Bilans_E_AMS_Kyoto_run3_MTE!H389</f>
        <v>0</v>
      </c>
      <c r="E202" s="712">
        <f>Bilans_E_AMS_Kyoto_run3_MTE!I389</f>
        <v>0</v>
      </c>
      <c r="F202" s="712">
        <f>Bilans_E_AMS_Kyoto_run3_MTE!J389</f>
        <v>0</v>
      </c>
      <c r="G202" s="712">
        <f>Bilans_E_AMS_Kyoto_run3_MTE!K389</f>
        <v>0</v>
      </c>
      <c r="H202" s="712">
        <f>Bilans_E_AMS_Kyoto_run3_MTE!L389</f>
        <v>0</v>
      </c>
      <c r="I202" s="712">
        <f>Bilans_E_AMS_Kyoto_run3_MTE!M389</f>
        <v>0</v>
      </c>
      <c r="J202" s="712">
        <f>Bilans_E_AMS_Kyoto_run3_MTE!N389</f>
        <v>0</v>
      </c>
      <c r="K202" s="712">
        <f>Bilans_E_AMS_Kyoto_run3_MTE!O389</f>
        <v>0</v>
      </c>
      <c r="L202" s="712">
        <f>Bilans_E_AMS_Kyoto_run3_MTE!P389</f>
        <v>0</v>
      </c>
      <c r="M202" s="712">
        <f>Bilans_E_AMS_Kyoto_run3_MTE!Q389</f>
        <v>0</v>
      </c>
      <c r="N202" s="712">
        <f>Bilans_E_AMS_Kyoto_run3_MTE!R389</f>
        <v>0</v>
      </c>
      <c r="O202" s="712">
        <f>Bilans_E_AMS_Kyoto_run3_MTE!S389</f>
        <v>0</v>
      </c>
      <c r="P202" s="712">
        <f>Bilans_E_AMS_Kyoto_run3_MTE!T389+Bilans_E_AMS_Kyoto_run3_MTE!U389</f>
        <v>0</v>
      </c>
      <c r="Q202" s="712">
        <f>Bilans_E_AMS_Kyoto_run3_MTE!V389</f>
        <v>0</v>
      </c>
      <c r="R202" s="712">
        <f>Bilans_E_AMS_Kyoto_run3_MTE!W389</f>
        <v>0</v>
      </c>
      <c r="S202" s="712">
        <f>Bilans_E_AMS_Kyoto_run3_MTE!X389</f>
        <v>0</v>
      </c>
      <c r="T202" s="712">
        <f>Bilans_E_AMS_Kyoto_run3_MTE!Y389</f>
        <v>0</v>
      </c>
      <c r="U202" s="712">
        <f>Bilans_E_AMS_Kyoto_run3_MTE!Z389</f>
        <v>0</v>
      </c>
      <c r="V202" s="701"/>
      <c r="W202" s="701"/>
    </row>
    <row r="203" spans="1:23" x14ac:dyDescent="0.25">
      <c r="A203" s="701" t="s">
        <v>493</v>
      </c>
      <c r="B203" s="701"/>
      <c r="C203" s="713" t="s">
        <v>65</v>
      </c>
      <c r="D203" s="714">
        <f>Bilans_E_AMS_Kyoto_run3_MTE!H390</f>
        <v>12.531065673828124</v>
      </c>
      <c r="E203" s="714">
        <f>Bilans_E_AMS_Kyoto_run3_MTE!I390</f>
        <v>262.59596136173099</v>
      </c>
      <c r="F203" s="714">
        <f>Bilans_E_AMS_Kyoto_run3_MTE!J390</f>
        <v>26.932311781247869</v>
      </c>
      <c r="G203" s="714">
        <f>Bilans_E_AMS_Kyoto_run3_MTE!K390</f>
        <v>-1.7745291376735031</v>
      </c>
      <c r="H203" s="714">
        <f>Bilans_E_AMS_Kyoto_run3_MTE!L390</f>
        <v>145.88256317463066</v>
      </c>
      <c r="I203" s="714">
        <f>Bilans_E_AMS_Kyoto_run3_MTE!M390</f>
        <v>-0.83753949174200382</v>
      </c>
      <c r="J203" s="714">
        <f>Bilans_E_AMS_Kyoto_run3_MTE!N390</f>
        <v>1195.4990290598246</v>
      </c>
      <c r="K203" s="714">
        <f>Bilans_E_AMS_Kyoto_run3_MTE!O390</f>
        <v>352.81639892204078</v>
      </c>
      <c r="L203" s="714">
        <f>Bilans_E_AMS_Kyoto_run3_MTE!P390</f>
        <v>341.33694367798938</v>
      </c>
      <c r="M203" s="714">
        <f>Bilans_E_AMS_Kyoto_run3_MTE!Q390</f>
        <v>49.102811616128875</v>
      </c>
      <c r="N203" s="714">
        <f>Bilans_E_AMS_Kyoto_run3_MTE!R390</f>
        <v>0.38683623931831868</v>
      </c>
      <c r="O203" s="714">
        <f>Bilans_E_AMS_Kyoto_run3_MTE!S390</f>
        <v>2.9852495575387552</v>
      </c>
      <c r="P203" s="714">
        <f>Bilans_E_AMS_Kyoto_run3_MTE!T390+Bilans_E_AMS_Kyoto_run3_MTE!U390</f>
        <v>200.79978234592807</v>
      </c>
      <c r="Q203" s="714">
        <f>Bilans_E_AMS_Kyoto_run3_MTE!V390</f>
        <v>40.778741630012433</v>
      </c>
      <c r="R203" s="714">
        <f>Bilans_E_AMS_Kyoto_run3_MTE!W390</f>
        <v>-112.47635741768158</v>
      </c>
      <c r="S203" s="714">
        <f>Bilans_E_AMS_Kyoto_run3_MTE!X390</f>
        <v>0</v>
      </c>
      <c r="T203" s="714">
        <f>Bilans_E_AMS_Kyoto_run3_MTE!Y390</f>
        <v>-2.7503364994681085</v>
      </c>
      <c r="U203" s="714">
        <f>Bilans_E_AMS_Kyoto_run3_MTE!Z390</f>
        <v>2513.8089324936536</v>
      </c>
      <c r="V203" s="701"/>
      <c r="W203" s="701"/>
    </row>
    <row r="204" spans="1:23" x14ac:dyDescent="0.25">
      <c r="A204" s="701"/>
      <c r="B204" s="701"/>
      <c r="C204" s="715"/>
      <c r="D204" s="716"/>
      <c r="E204" s="716"/>
      <c r="F204" s="716"/>
      <c r="G204" s="716"/>
      <c r="H204" s="716"/>
      <c r="I204" s="716"/>
      <c r="J204" s="716"/>
      <c r="K204" s="716"/>
      <c r="L204" s="716"/>
      <c r="M204" s="716"/>
      <c r="N204" s="716"/>
      <c r="O204" s="716"/>
      <c r="P204" s="716">
        <f>Bilans_E_AMS_Kyoto_run3_MTE!T391+Bilans_E_AMS_Kyoto_run3_MTE!U391</f>
        <v>0</v>
      </c>
      <c r="Q204" s="716"/>
      <c r="R204" s="716"/>
      <c r="S204" s="716"/>
      <c r="T204" s="716"/>
      <c r="U204" s="716"/>
      <c r="V204" s="701"/>
      <c r="W204" s="701"/>
    </row>
    <row r="205" spans="1:23" x14ac:dyDescent="0.25">
      <c r="A205" s="701" t="s">
        <v>494</v>
      </c>
      <c r="B205" s="701"/>
      <c r="C205" s="717" t="s">
        <v>67</v>
      </c>
      <c r="D205" s="711">
        <f>Bilans_E_AMS_Kyoto_run3_MTE!H392</f>
        <v>0</v>
      </c>
      <c r="E205" s="711">
        <f>Bilans_E_AMS_Kyoto_run3_MTE!I392</f>
        <v>0</v>
      </c>
      <c r="F205" s="711">
        <f>Bilans_E_AMS_Kyoto_run3_MTE!J392</f>
        <v>0</v>
      </c>
      <c r="G205" s="711">
        <f>Bilans_E_AMS_Kyoto_run3_MTE!K392</f>
        <v>0</v>
      </c>
      <c r="H205" s="711">
        <f>Bilans_E_AMS_Kyoto_run3_MTE!L392</f>
        <v>0</v>
      </c>
      <c r="I205" s="711">
        <f>Bilans_E_AMS_Kyoto_run3_MTE!M392</f>
        <v>0</v>
      </c>
      <c r="J205" s="711">
        <f>Bilans_E_AMS_Kyoto_run3_MTE!N392</f>
        <v>0</v>
      </c>
      <c r="K205" s="711">
        <f>Bilans_E_AMS_Kyoto_run3_MTE!O392</f>
        <v>0</v>
      </c>
      <c r="L205" s="711">
        <f>Bilans_E_AMS_Kyoto_run3_MTE!P392</f>
        <v>0</v>
      </c>
      <c r="M205" s="711">
        <f>Bilans_E_AMS_Kyoto_run3_MTE!Q392</f>
        <v>0</v>
      </c>
      <c r="N205" s="711">
        <f>Bilans_E_AMS_Kyoto_run3_MTE!R392</f>
        <v>0</v>
      </c>
      <c r="O205" s="711">
        <f>Bilans_E_AMS_Kyoto_run3_MTE!S392</f>
        <v>0</v>
      </c>
      <c r="P205" s="711">
        <f>Bilans_E_AMS_Kyoto_run3_MTE!T392+Bilans_E_AMS_Kyoto_run3_MTE!U392</f>
        <v>0</v>
      </c>
      <c r="Q205" s="711">
        <f>Bilans_E_AMS_Kyoto_run3_MTE!V392</f>
        <v>0</v>
      </c>
      <c r="R205" s="711">
        <f>Bilans_E_AMS_Kyoto_run3_MTE!W392</f>
        <v>0</v>
      </c>
      <c r="S205" s="711">
        <f>Bilans_E_AMS_Kyoto_run3_MTE!X392</f>
        <v>0</v>
      </c>
      <c r="T205" s="711">
        <f>Bilans_E_AMS_Kyoto_run3_MTE!Y392</f>
        <v>0</v>
      </c>
      <c r="U205" s="711">
        <f>Bilans_E_AMS_Kyoto_run3_MTE!Z392</f>
        <v>0</v>
      </c>
      <c r="V205" s="701"/>
      <c r="W205" s="701"/>
    </row>
    <row r="206" spans="1:23" x14ac:dyDescent="0.25">
      <c r="A206" s="701" t="s">
        <v>495</v>
      </c>
      <c r="B206" s="701"/>
      <c r="C206" s="717" t="s">
        <v>347</v>
      </c>
      <c r="D206" s="711">
        <f>Bilans_E_AMS_Kyoto_run3_MTE!H393</f>
        <v>0</v>
      </c>
      <c r="E206" s="711">
        <f>Bilans_E_AMS_Kyoto_run3_MTE!I393</f>
        <v>0</v>
      </c>
      <c r="F206" s="711">
        <f>Bilans_E_AMS_Kyoto_run3_MTE!J393</f>
        <v>0.36057808628354604</v>
      </c>
      <c r="G206" s="711">
        <f>Bilans_E_AMS_Kyoto_run3_MTE!K393</f>
        <v>0</v>
      </c>
      <c r="H206" s="711">
        <f>Bilans_E_AMS_Kyoto_run3_MTE!L393</f>
        <v>8.6510705990175421</v>
      </c>
      <c r="I206" s="711">
        <f>Bilans_E_AMS_Kyoto_run3_MTE!M393</f>
        <v>0</v>
      </c>
      <c r="J206" s="711">
        <f>Bilans_E_AMS_Kyoto_run3_MTE!N393</f>
        <v>1193.4597454545453</v>
      </c>
      <c r="K206" s="711">
        <f>Bilans_E_AMS_Kyoto_run3_MTE!O393</f>
        <v>352.81639892204078</v>
      </c>
      <c r="L206" s="711">
        <f>Bilans_E_AMS_Kyoto_run3_MTE!P393</f>
        <v>17.169316423280179</v>
      </c>
      <c r="M206" s="711">
        <f>Bilans_E_AMS_Kyoto_run3_MTE!Q393</f>
        <v>5.7366833077088035</v>
      </c>
      <c r="N206" s="711">
        <f>Bilans_E_AMS_Kyoto_run3_MTE!R393</f>
        <v>5.3878161949008447</v>
      </c>
      <c r="O206" s="711">
        <f>Bilans_E_AMS_Kyoto_run3_MTE!S393</f>
        <v>5.0608301808950129</v>
      </c>
      <c r="P206" s="711">
        <f>Bilans_E_AMS_Kyoto_run3_MTE!T393+Bilans_E_AMS_Kyoto_run3_MTE!U393</f>
        <v>0</v>
      </c>
      <c r="Q206" s="711">
        <f>Bilans_E_AMS_Kyoto_run3_MTE!V393</f>
        <v>4.9774137725284184</v>
      </c>
      <c r="R206" s="711">
        <f>Bilans_E_AMS_Kyoto_run3_MTE!W393</f>
        <v>-770.22733582540855</v>
      </c>
      <c r="S206" s="711">
        <f>Bilans_E_AMS_Kyoto_run3_MTE!X393</f>
        <v>0</v>
      </c>
      <c r="T206" s="711">
        <f>Bilans_E_AMS_Kyoto_run3_MTE!Y393</f>
        <v>0</v>
      </c>
      <c r="U206" s="711">
        <f>Bilans_E_AMS_Kyoto_run3_MTE!Z393</f>
        <v>823.39251711579163</v>
      </c>
      <c r="V206" s="701"/>
      <c r="W206" s="701"/>
    </row>
    <row r="207" spans="1:23" x14ac:dyDescent="0.25">
      <c r="A207" s="701" t="s">
        <v>496</v>
      </c>
      <c r="B207" s="701"/>
      <c r="C207" s="717" t="s">
        <v>348</v>
      </c>
      <c r="D207" s="711">
        <f>Bilans_E_AMS_Kyoto_run3_MTE!H394</f>
        <v>0</v>
      </c>
      <c r="E207" s="711">
        <f>Bilans_E_AMS_Kyoto_run3_MTE!I394</f>
        <v>0</v>
      </c>
      <c r="F207" s="711">
        <f>Bilans_E_AMS_Kyoto_run3_MTE!J394</f>
        <v>0</v>
      </c>
      <c r="G207" s="711">
        <f>Bilans_E_AMS_Kyoto_run3_MTE!K394</f>
        <v>0</v>
      </c>
      <c r="H207" s="711">
        <f>Bilans_E_AMS_Kyoto_run3_MTE!L394</f>
        <v>16.741941849061199</v>
      </c>
      <c r="I207" s="711">
        <f>Bilans_E_AMS_Kyoto_run3_MTE!M394</f>
        <v>0</v>
      </c>
      <c r="J207" s="711">
        <f>Bilans_E_AMS_Kyoto_run3_MTE!N394</f>
        <v>2.0392836052791781</v>
      </c>
      <c r="K207" s="711">
        <f>Bilans_E_AMS_Kyoto_run3_MTE!O394</f>
        <v>0</v>
      </c>
      <c r="L207" s="711">
        <f>Bilans_E_AMS_Kyoto_run3_MTE!P394</f>
        <v>24.508111114586647</v>
      </c>
      <c r="M207" s="711">
        <f>Bilans_E_AMS_Kyoto_run3_MTE!Q394</f>
        <v>15.713393249215271</v>
      </c>
      <c r="N207" s="711">
        <f>Bilans_E_AMS_Kyoto_run3_MTE!R394</f>
        <v>0</v>
      </c>
      <c r="O207" s="711">
        <f>Bilans_E_AMS_Kyoto_run3_MTE!S394</f>
        <v>8.2544124688387157</v>
      </c>
      <c r="P207" s="711">
        <f>Bilans_E_AMS_Kyoto_run3_MTE!T394+Bilans_E_AMS_Kyoto_run3_MTE!U394</f>
        <v>15.880539172662751</v>
      </c>
      <c r="Q207" s="711">
        <f>Bilans_E_AMS_Kyoto_run3_MTE!V394</f>
        <v>15.123327125815617</v>
      </c>
      <c r="R207" s="711">
        <f>Bilans_E_AMS_Kyoto_run3_MTE!W394</f>
        <v>0</v>
      </c>
      <c r="S207" s="711">
        <f>Bilans_E_AMS_Kyoto_run3_MTE!X394</f>
        <v>-90.455475584151912</v>
      </c>
      <c r="T207" s="711">
        <f>Bilans_E_AMS_Kyoto_run3_MTE!Y394</f>
        <v>0</v>
      </c>
      <c r="U207" s="711">
        <f>Bilans_E_AMS_Kyoto_run3_MTE!Z394</f>
        <v>7.8055330013074666</v>
      </c>
      <c r="V207" s="701"/>
      <c r="W207" s="701"/>
    </row>
    <row r="208" spans="1:23" x14ac:dyDescent="0.25">
      <c r="A208" s="701" t="s">
        <v>497</v>
      </c>
      <c r="B208" s="701"/>
      <c r="C208" s="717" t="s">
        <v>349</v>
      </c>
      <c r="D208" s="711">
        <f>Bilans_E_AMS_Kyoto_run3_MTE!H395</f>
        <v>0</v>
      </c>
      <c r="E208" s="711">
        <f>Bilans_E_AMS_Kyoto_run3_MTE!I395</f>
        <v>0</v>
      </c>
      <c r="F208" s="711">
        <f>Bilans_E_AMS_Kyoto_run3_MTE!J395</f>
        <v>0</v>
      </c>
      <c r="G208" s="711">
        <f>Bilans_E_AMS_Kyoto_run3_MTE!K395</f>
        <v>0</v>
      </c>
      <c r="H208" s="711">
        <f>Bilans_E_AMS_Kyoto_run3_MTE!L395</f>
        <v>0</v>
      </c>
      <c r="I208" s="711">
        <f>Bilans_E_AMS_Kyoto_run3_MTE!M395</f>
        <v>0</v>
      </c>
      <c r="J208" s="711">
        <f>Bilans_E_AMS_Kyoto_run3_MTE!N395</f>
        <v>0</v>
      </c>
      <c r="K208" s="711">
        <f>Bilans_E_AMS_Kyoto_run3_MTE!O395</f>
        <v>0</v>
      </c>
      <c r="L208" s="711">
        <f>Bilans_E_AMS_Kyoto_run3_MTE!P395</f>
        <v>110.70220449796281</v>
      </c>
      <c r="M208" s="711">
        <f>Bilans_E_AMS_Kyoto_run3_MTE!Q395</f>
        <v>11.288363237424081</v>
      </c>
      <c r="N208" s="711">
        <f>Bilans_E_AMS_Kyoto_run3_MTE!R395</f>
        <v>0</v>
      </c>
      <c r="O208" s="711">
        <f>Bilans_E_AMS_Kyoto_run3_MTE!S395</f>
        <v>-61.07757335974334</v>
      </c>
      <c r="P208" s="711">
        <f>Bilans_E_AMS_Kyoto_run3_MTE!T395+Bilans_E_AMS_Kyoto_run3_MTE!U395</f>
        <v>0</v>
      </c>
      <c r="Q208" s="711">
        <f>Bilans_E_AMS_Kyoto_run3_MTE!V395</f>
        <v>0</v>
      </c>
      <c r="R208" s="711">
        <f>Bilans_E_AMS_Kyoto_run3_MTE!W395</f>
        <v>0</v>
      </c>
      <c r="S208" s="711">
        <f>Bilans_E_AMS_Kyoto_run3_MTE!X395</f>
        <v>0</v>
      </c>
      <c r="T208" s="711">
        <f>Bilans_E_AMS_Kyoto_run3_MTE!Y395</f>
        <v>0</v>
      </c>
      <c r="U208" s="711">
        <f>Bilans_E_AMS_Kyoto_run3_MTE!Z395</f>
        <v>60.912994375643549</v>
      </c>
      <c r="V208" s="701"/>
      <c r="W208" s="701"/>
    </row>
    <row r="209" spans="1:23" x14ac:dyDescent="0.25">
      <c r="A209" s="701" t="s">
        <v>498</v>
      </c>
      <c r="B209" s="701"/>
      <c r="C209" s="717" t="s">
        <v>350</v>
      </c>
      <c r="D209" s="711">
        <f>Bilans_E_AMS_Kyoto_run3_MTE!H396</f>
        <v>0</v>
      </c>
      <c r="E209" s="711">
        <f>Bilans_E_AMS_Kyoto_run3_MTE!I396</f>
        <v>0</v>
      </c>
      <c r="F209" s="711">
        <f>Bilans_E_AMS_Kyoto_run3_MTE!J396</f>
        <v>0</v>
      </c>
      <c r="G209" s="711">
        <f>Bilans_E_AMS_Kyoto_run3_MTE!K396</f>
        <v>0</v>
      </c>
      <c r="H209" s="711">
        <f>Bilans_E_AMS_Kyoto_run3_MTE!L396</f>
        <v>0</v>
      </c>
      <c r="I209" s="711">
        <f>Bilans_E_AMS_Kyoto_run3_MTE!M396</f>
        <v>-0.83753949174200382</v>
      </c>
      <c r="J209" s="711">
        <f>Bilans_E_AMS_Kyoto_run3_MTE!N396</f>
        <v>0</v>
      </c>
      <c r="K209" s="711">
        <f>Bilans_E_AMS_Kyoto_run3_MTE!O396</f>
        <v>0</v>
      </c>
      <c r="L209" s="711">
        <f>Bilans_E_AMS_Kyoto_run3_MTE!P396</f>
        <v>0</v>
      </c>
      <c r="M209" s="711">
        <f>Bilans_E_AMS_Kyoto_run3_MTE!Q396</f>
        <v>0</v>
      </c>
      <c r="N209" s="711">
        <f>Bilans_E_AMS_Kyoto_run3_MTE!R396</f>
        <v>0</v>
      </c>
      <c r="O209" s="711">
        <f>Bilans_E_AMS_Kyoto_run3_MTE!S396</f>
        <v>0</v>
      </c>
      <c r="P209" s="711">
        <f>Bilans_E_AMS_Kyoto_run3_MTE!T396+Bilans_E_AMS_Kyoto_run3_MTE!U396</f>
        <v>0</v>
      </c>
      <c r="Q209" s="711">
        <f>Bilans_E_AMS_Kyoto_run3_MTE!V396</f>
        <v>0</v>
      </c>
      <c r="R209" s="711">
        <f>Bilans_E_AMS_Kyoto_run3_MTE!W396</f>
        <v>0</v>
      </c>
      <c r="S209" s="711">
        <f>Bilans_E_AMS_Kyoto_run3_MTE!X396</f>
        <v>0</v>
      </c>
      <c r="T209" s="711">
        <f>Bilans_E_AMS_Kyoto_run3_MTE!Y396</f>
        <v>1.1632492940861165</v>
      </c>
      <c r="U209" s="711">
        <f>Bilans_E_AMS_Kyoto_run3_MTE!Z396</f>
        <v>0.32570980234411273</v>
      </c>
      <c r="V209" s="701"/>
      <c r="W209" s="701"/>
    </row>
    <row r="210" spans="1:23" x14ac:dyDescent="0.25">
      <c r="A210" s="701" t="s">
        <v>499</v>
      </c>
      <c r="B210" s="701"/>
      <c r="C210" s="717" t="s">
        <v>72</v>
      </c>
      <c r="D210" s="711">
        <f>Bilans_E_AMS_Kyoto_run3_MTE!H397</f>
        <v>0</v>
      </c>
      <c r="E210" s="711">
        <f>Bilans_E_AMS_Kyoto_run3_MTE!I397</f>
        <v>272.12802990456925</v>
      </c>
      <c r="F210" s="711">
        <f>Bilans_E_AMS_Kyoto_run3_MTE!J397</f>
        <v>-269.40674960552354</v>
      </c>
      <c r="G210" s="711">
        <f>Bilans_E_AMS_Kyoto_run3_MTE!K397</f>
        <v>0</v>
      </c>
      <c r="H210" s="711">
        <f>Bilans_E_AMS_Kyoto_run3_MTE!L397</f>
        <v>0</v>
      </c>
      <c r="I210" s="711">
        <f>Bilans_E_AMS_Kyoto_run3_MTE!M397</f>
        <v>0</v>
      </c>
      <c r="J210" s="711">
        <f>Bilans_E_AMS_Kyoto_run3_MTE!N397</f>
        <v>0</v>
      </c>
      <c r="K210" s="711">
        <f>Bilans_E_AMS_Kyoto_run3_MTE!O397</f>
        <v>0</v>
      </c>
      <c r="L210" s="711">
        <f>Bilans_E_AMS_Kyoto_run3_MTE!P397</f>
        <v>0</v>
      </c>
      <c r="M210" s="711">
        <f>Bilans_E_AMS_Kyoto_run3_MTE!Q397</f>
        <v>0</v>
      </c>
      <c r="N210" s="711">
        <f>Bilans_E_AMS_Kyoto_run3_MTE!R397</f>
        <v>0</v>
      </c>
      <c r="O210" s="711">
        <f>Bilans_E_AMS_Kyoto_run3_MTE!S397</f>
        <v>0</v>
      </c>
      <c r="P210" s="711">
        <f>Bilans_E_AMS_Kyoto_run3_MTE!T397+Bilans_E_AMS_Kyoto_run3_MTE!U397</f>
        <v>0</v>
      </c>
      <c r="Q210" s="711">
        <f>Bilans_E_AMS_Kyoto_run3_MTE!V397</f>
        <v>0</v>
      </c>
      <c r="R210" s="711">
        <f>Bilans_E_AMS_Kyoto_run3_MTE!W397</f>
        <v>0</v>
      </c>
      <c r="S210" s="711">
        <f>Bilans_E_AMS_Kyoto_run3_MTE!X397</f>
        <v>0</v>
      </c>
      <c r="T210" s="711">
        <f>Bilans_E_AMS_Kyoto_run3_MTE!Y397</f>
        <v>0</v>
      </c>
      <c r="U210" s="711">
        <f>Bilans_E_AMS_Kyoto_run3_MTE!Z397</f>
        <v>2.7212802990457021</v>
      </c>
      <c r="V210" s="701"/>
      <c r="W210" s="701"/>
    </row>
    <row r="211" spans="1:23" x14ac:dyDescent="0.25">
      <c r="A211" s="701" t="s">
        <v>500</v>
      </c>
      <c r="B211" s="701"/>
      <c r="C211" s="717" t="s">
        <v>351</v>
      </c>
      <c r="D211" s="711">
        <f>Bilans_E_AMS_Kyoto_run3_MTE!H398</f>
        <v>0</v>
      </c>
      <c r="E211" s="711">
        <f>Bilans_E_AMS_Kyoto_run3_MTE!I398</f>
        <v>0</v>
      </c>
      <c r="F211" s="711">
        <f>Bilans_E_AMS_Kyoto_run3_MTE!J398</f>
        <v>0</v>
      </c>
      <c r="G211" s="711">
        <f>Bilans_E_AMS_Kyoto_run3_MTE!K398</f>
        <v>0</v>
      </c>
      <c r="H211" s="711">
        <f>Bilans_E_AMS_Kyoto_run3_MTE!L398</f>
        <v>0</v>
      </c>
      <c r="I211" s="711">
        <f>Bilans_E_AMS_Kyoto_run3_MTE!M398</f>
        <v>0</v>
      </c>
      <c r="J211" s="711">
        <f>Bilans_E_AMS_Kyoto_run3_MTE!N398</f>
        <v>0</v>
      </c>
      <c r="K211" s="711">
        <f>Bilans_E_AMS_Kyoto_run3_MTE!O398</f>
        <v>0</v>
      </c>
      <c r="L211" s="711">
        <f>Bilans_E_AMS_Kyoto_run3_MTE!P398</f>
        <v>88.639921652360655</v>
      </c>
      <c r="M211" s="711">
        <f>Bilans_E_AMS_Kyoto_run3_MTE!Q398</f>
        <v>7.2727272727272725</v>
      </c>
      <c r="N211" s="711">
        <f>Bilans_E_AMS_Kyoto_run3_MTE!R398</f>
        <v>-53.457042752935592</v>
      </c>
      <c r="O211" s="711">
        <f>Bilans_E_AMS_Kyoto_run3_MTE!S398</f>
        <v>0</v>
      </c>
      <c r="P211" s="711">
        <f>Bilans_E_AMS_Kyoto_run3_MTE!T398+Bilans_E_AMS_Kyoto_run3_MTE!U398</f>
        <v>0</v>
      </c>
      <c r="Q211" s="711">
        <f>Bilans_E_AMS_Kyoto_run3_MTE!V398</f>
        <v>0</v>
      </c>
      <c r="R211" s="711">
        <f>Bilans_E_AMS_Kyoto_run3_MTE!W398</f>
        <v>0</v>
      </c>
      <c r="S211" s="711">
        <f>Bilans_E_AMS_Kyoto_run3_MTE!X398</f>
        <v>0</v>
      </c>
      <c r="T211" s="711">
        <f>Bilans_E_AMS_Kyoto_run3_MTE!Y398</f>
        <v>0</v>
      </c>
      <c r="U211" s="711">
        <f>Bilans_E_AMS_Kyoto_run3_MTE!Z398</f>
        <v>42.455606172152329</v>
      </c>
      <c r="V211" s="701"/>
      <c r="W211" s="701"/>
    </row>
    <row r="212" spans="1:23" x14ac:dyDescent="0.25">
      <c r="A212" s="701" t="s">
        <v>501</v>
      </c>
      <c r="B212" s="701"/>
      <c r="C212" s="717" t="s">
        <v>352</v>
      </c>
      <c r="D212" s="711">
        <f>Bilans_E_AMS_Kyoto_run3_MTE!H399</f>
        <v>0</v>
      </c>
      <c r="E212" s="711">
        <f>Bilans_E_AMS_Kyoto_run3_MTE!I399</f>
        <v>0</v>
      </c>
      <c r="F212" s="711">
        <f>Bilans_E_AMS_Kyoto_run3_MTE!J399</f>
        <v>0</v>
      </c>
      <c r="G212" s="711">
        <f>Bilans_E_AMS_Kyoto_run3_MTE!K399</f>
        <v>-4.3840446509759525</v>
      </c>
      <c r="H212" s="711">
        <f>Bilans_E_AMS_Kyoto_run3_MTE!L399</f>
        <v>0</v>
      </c>
      <c r="I212" s="711">
        <f>Bilans_E_AMS_Kyoto_run3_MTE!M399</f>
        <v>0</v>
      </c>
      <c r="J212" s="711">
        <f>Bilans_E_AMS_Kyoto_run3_MTE!N399</f>
        <v>0</v>
      </c>
      <c r="K212" s="711">
        <f>Bilans_E_AMS_Kyoto_run3_MTE!O399</f>
        <v>0</v>
      </c>
      <c r="L212" s="711">
        <f>Bilans_E_AMS_Kyoto_run3_MTE!P399</f>
        <v>0</v>
      </c>
      <c r="M212" s="711">
        <f>Bilans_E_AMS_Kyoto_run3_MTE!Q399</f>
        <v>0</v>
      </c>
      <c r="N212" s="711">
        <f>Bilans_E_AMS_Kyoto_run3_MTE!R399</f>
        <v>0</v>
      </c>
      <c r="O212" s="711">
        <f>Bilans_E_AMS_Kyoto_run3_MTE!S399</f>
        <v>0</v>
      </c>
      <c r="P212" s="711">
        <f>Bilans_E_AMS_Kyoto_run3_MTE!T399+Bilans_E_AMS_Kyoto_run3_MTE!U399</f>
        <v>0</v>
      </c>
      <c r="Q212" s="711">
        <f>Bilans_E_AMS_Kyoto_run3_MTE!V399</f>
        <v>0</v>
      </c>
      <c r="R212" s="711">
        <f>Bilans_E_AMS_Kyoto_run3_MTE!W399</f>
        <v>0</v>
      </c>
      <c r="S212" s="711">
        <f>Bilans_E_AMS_Kyoto_run3_MTE!X399</f>
        <v>0</v>
      </c>
      <c r="T212" s="711">
        <f>Bilans_E_AMS_Kyoto_run3_MTE!Y399</f>
        <v>7.2149491160735479</v>
      </c>
      <c r="U212" s="711">
        <f>Bilans_E_AMS_Kyoto_run3_MTE!Z399</f>
        <v>2.8309044650975954</v>
      </c>
      <c r="V212" s="701"/>
      <c r="W212" s="701"/>
    </row>
    <row r="213" spans="1:23" x14ac:dyDescent="0.25">
      <c r="A213" s="701" t="s">
        <v>502</v>
      </c>
      <c r="B213" s="701"/>
      <c r="C213" s="717" t="s">
        <v>73</v>
      </c>
      <c r="D213" s="711">
        <f>Bilans_E_AMS_Kyoto_run3_MTE!H400</f>
        <v>0</v>
      </c>
      <c r="E213" s="711">
        <f>Bilans_E_AMS_Kyoto_run3_MTE!I400</f>
        <v>0</v>
      </c>
      <c r="F213" s="711">
        <f>Bilans_E_AMS_Kyoto_run3_MTE!J400</f>
        <v>0</v>
      </c>
      <c r="G213" s="711">
        <f>Bilans_E_AMS_Kyoto_run3_MTE!K400</f>
        <v>0</v>
      </c>
      <c r="H213" s="711">
        <f>Bilans_E_AMS_Kyoto_run3_MTE!L400</f>
        <v>0</v>
      </c>
      <c r="I213" s="711">
        <f>Bilans_E_AMS_Kyoto_run3_MTE!M400</f>
        <v>0</v>
      </c>
      <c r="J213" s="711">
        <f>Bilans_E_AMS_Kyoto_run3_MTE!N400</f>
        <v>0</v>
      </c>
      <c r="K213" s="711">
        <f>Bilans_E_AMS_Kyoto_run3_MTE!O400</f>
        <v>0</v>
      </c>
      <c r="L213" s="711">
        <f>Bilans_E_AMS_Kyoto_run3_MTE!P400</f>
        <v>0</v>
      </c>
      <c r="M213" s="711">
        <f>Bilans_E_AMS_Kyoto_run3_MTE!Q400</f>
        <v>0</v>
      </c>
      <c r="N213" s="711">
        <f>Bilans_E_AMS_Kyoto_run3_MTE!R400</f>
        <v>0</v>
      </c>
      <c r="O213" s="711">
        <f>Bilans_E_AMS_Kyoto_run3_MTE!S400</f>
        <v>0</v>
      </c>
      <c r="P213" s="711">
        <f>Bilans_E_AMS_Kyoto_run3_MTE!T400+Bilans_E_AMS_Kyoto_run3_MTE!U400</f>
        <v>0</v>
      </c>
      <c r="Q213" s="711">
        <f>Bilans_E_AMS_Kyoto_run3_MTE!V400</f>
        <v>0</v>
      </c>
      <c r="R213" s="711">
        <f>Bilans_E_AMS_Kyoto_run3_MTE!W400</f>
        <v>40.8329668197633</v>
      </c>
      <c r="S213" s="711">
        <f>Bilans_E_AMS_Kyoto_run3_MTE!X400</f>
        <v>0</v>
      </c>
      <c r="T213" s="711">
        <f>Bilans_E_AMS_Kyoto_run3_MTE!Y400</f>
        <v>-27.684751503799522</v>
      </c>
      <c r="U213" s="711">
        <f>Bilans_E_AMS_Kyoto_run3_MTE!Z400</f>
        <v>13.148215315963778</v>
      </c>
      <c r="V213" s="701"/>
      <c r="W213" s="701"/>
    </row>
    <row r="214" spans="1:23" x14ac:dyDescent="0.25">
      <c r="A214" s="701" t="s">
        <v>503</v>
      </c>
      <c r="B214" s="701"/>
      <c r="C214" s="717" t="s">
        <v>353</v>
      </c>
      <c r="D214" s="711">
        <f>Bilans_E_AMS_Kyoto_run3_MTE!H401</f>
        <v>8.7196264453124996</v>
      </c>
      <c r="E214" s="711">
        <f>Bilans_E_AMS_Kyoto_run3_MTE!I401</f>
        <v>-9.5320685428382639</v>
      </c>
      <c r="F214" s="711">
        <f>Bilans_E_AMS_Kyoto_run3_MTE!J401</f>
        <v>12.621512149777095</v>
      </c>
      <c r="G214" s="711">
        <f>Bilans_E_AMS_Kyoto_run3_MTE!K401</f>
        <v>0</v>
      </c>
      <c r="H214" s="711">
        <f>Bilans_E_AMS_Kyoto_run3_MTE!L401</f>
        <v>0</v>
      </c>
      <c r="I214" s="711">
        <f>Bilans_E_AMS_Kyoto_run3_MTE!M401</f>
        <v>0</v>
      </c>
      <c r="J214" s="711">
        <f>Bilans_E_AMS_Kyoto_run3_MTE!N401</f>
        <v>0</v>
      </c>
      <c r="K214" s="711">
        <f>Bilans_E_AMS_Kyoto_run3_MTE!O401</f>
        <v>0</v>
      </c>
      <c r="L214" s="711">
        <f>Bilans_E_AMS_Kyoto_run3_MTE!P401</f>
        <v>0</v>
      </c>
      <c r="M214" s="711">
        <f>Bilans_E_AMS_Kyoto_run3_MTE!Q401</f>
        <v>0</v>
      </c>
      <c r="N214" s="711">
        <f>Bilans_E_AMS_Kyoto_run3_MTE!R401</f>
        <v>0</v>
      </c>
      <c r="O214" s="711">
        <f>Bilans_E_AMS_Kyoto_run3_MTE!S401</f>
        <v>0</v>
      </c>
      <c r="P214" s="711">
        <f>Bilans_E_AMS_Kyoto_run3_MTE!T401+Bilans_E_AMS_Kyoto_run3_MTE!U401</f>
        <v>0</v>
      </c>
      <c r="Q214" s="711">
        <f>Bilans_E_AMS_Kyoto_run3_MTE!V401</f>
        <v>0</v>
      </c>
      <c r="R214" s="711">
        <f>Bilans_E_AMS_Kyoto_run3_MTE!W401</f>
        <v>0</v>
      </c>
      <c r="S214" s="711">
        <f>Bilans_E_AMS_Kyoto_run3_MTE!X401</f>
        <v>0</v>
      </c>
      <c r="T214" s="711">
        <f>Bilans_E_AMS_Kyoto_run3_MTE!Y401</f>
        <v>0</v>
      </c>
      <c r="U214" s="711">
        <f>Bilans_E_AMS_Kyoto_run3_MTE!Z401</f>
        <v>11.809070052251331</v>
      </c>
      <c r="V214" s="701"/>
      <c r="W214" s="701"/>
    </row>
    <row r="215" spans="1:23" x14ac:dyDescent="0.25">
      <c r="A215" s="701" t="s">
        <v>504</v>
      </c>
      <c r="B215" s="701"/>
      <c r="C215" s="717" t="s">
        <v>75</v>
      </c>
      <c r="D215" s="711">
        <f>Bilans_E_AMS_Kyoto_run3_MTE!H402</f>
        <v>3.3909658398437501</v>
      </c>
      <c r="E215" s="711">
        <f>Bilans_E_AMS_Kyoto_run3_MTE!I402</f>
        <v>0</v>
      </c>
      <c r="F215" s="711">
        <f>Bilans_E_AMS_Kyoto_run3_MTE!J402</f>
        <v>9.432796735269573</v>
      </c>
      <c r="G215" s="711">
        <f>Bilans_E_AMS_Kyoto_run3_MTE!K402</f>
        <v>0</v>
      </c>
      <c r="H215" s="711">
        <f>Bilans_E_AMS_Kyoto_run3_MTE!L402</f>
        <v>0</v>
      </c>
      <c r="I215" s="711">
        <f>Bilans_E_AMS_Kyoto_run3_MTE!M402</f>
        <v>0</v>
      </c>
      <c r="J215" s="711">
        <f>Bilans_E_AMS_Kyoto_run3_MTE!N402</f>
        <v>0</v>
      </c>
      <c r="K215" s="711">
        <f>Bilans_E_AMS_Kyoto_run3_MTE!O402</f>
        <v>0</v>
      </c>
      <c r="L215" s="711">
        <f>Bilans_E_AMS_Kyoto_run3_MTE!P402</f>
        <v>0</v>
      </c>
      <c r="M215" s="711">
        <f>Bilans_E_AMS_Kyoto_run3_MTE!Q402</f>
        <v>0</v>
      </c>
      <c r="N215" s="711">
        <f>Bilans_E_AMS_Kyoto_run3_MTE!R402</f>
        <v>0</v>
      </c>
      <c r="O215" s="711">
        <f>Bilans_E_AMS_Kyoto_run3_MTE!S402</f>
        <v>0</v>
      </c>
      <c r="P215" s="711">
        <f>Bilans_E_AMS_Kyoto_run3_MTE!T402+Bilans_E_AMS_Kyoto_run3_MTE!U402</f>
        <v>0</v>
      </c>
      <c r="Q215" s="711">
        <f>Bilans_E_AMS_Kyoto_run3_MTE!V402</f>
        <v>0</v>
      </c>
      <c r="R215" s="711">
        <f>Bilans_E_AMS_Kyoto_run3_MTE!W402</f>
        <v>37.320812200670765</v>
      </c>
      <c r="S215" s="711">
        <f>Bilans_E_AMS_Kyoto_run3_MTE!X402</f>
        <v>0</v>
      </c>
      <c r="T215" s="711">
        <f>Bilans_E_AMS_Kyoto_run3_MTE!Y402</f>
        <v>2.676146999689228</v>
      </c>
      <c r="U215" s="711">
        <f>Bilans_E_AMS_Kyoto_run3_MTE!Z402</f>
        <v>52.820721775473316</v>
      </c>
      <c r="V215" s="701"/>
      <c r="W215" s="701"/>
    </row>
    <row r="216" spans="1:23" x14ac:dyDescent="0.25">
      <c r="A216" s="701" t="s">
        <v>505</v>
      </c>
      <c r="B216" s="701"/>
      <c r="C216" s="717" t="s">
        <v>76</v>
      </c>
      <c r="D216" s="711">
        <f>Bilans_E_AMS_Kyoto_run3_MTE!H403</f>
        <v>0</v>
      </c>
      <c r="E216" s="711">
        <f>Bilans_E_AMS_Kyoto_run3_MTE!I403</f>
        <v>0</v>
      </c>
      <c r="F216" s="711">
        <f>Bilans_E_AMS_Kyoto_run3_MTE!J403</f>
        <v>0</v>
      </c>
      <c r="G216" s="711">
        <f>Bilans_E_AMS_Kyoto_run3_MTE!K403</f>
        <v>0</v>
      </c>
      <c r="H216" s="711">
        <f>Bilans_E_AMS_Kyoto_run3_MTE!L403</f>
        <v>1.5888753550805288</v>
      </c>
      <c r="I216" s="711">
        <f>Bilans_E_AMS_Kyoto_run3_MTE!M403</f>
        <v>0</v>
      </c>
      <c r="J216" s="711">
        <f>Bilans_E_AMS_Kyoto_run3_MTE!N403</f>
        <v>0</v>
      </c>
      <c r="K216" s="711">
        <f>Bilans_E_AMS_Kyoto_run3_MTE!O403</f>
        <v>0</v>
      </c>
      <c r="L216" s="711">
        <f>Bilans_E_AMS_Kyoto_run3_MTE!P403</f>
        <v>0</v>
      </c>
      <c r="M216" s="711">
        <f>Bilans_E_AMS_Kyoto_run3_MTE!Q403</f>
        <v>0</v>
      </c>
      <c r="N216" s="711">
        <f>Bilans_E_AMS_Kyoto_run3_MTE!R403</f>
        <v>0</v>
      </c>
      <c r="O216" s="711">
        <f>Bilans_E_AMS_Kyoto_run3_MTE!S403</f>
        <v>0.74770604944966079</v>
      </c>
      <c r="P216" s="711">
        <f>Bilans_E_AMS_Kyoto_run3_MTE!T403+Bilans_E_AMS_Kyoto_run3_MTE!U403</f>
        <v>0</v>
      </c>
      <c r="Q216" s="711">
        <f>Bilans_E_AMS_Kyoto_run3_MTE!V403</f>
        <v>0</v>
      </c>
      <c r="R216" s="711">
        <f>Bilans_E_AMS_Kyoto_run3_MTE!W403</f>
        <v>53.75602745291291</v>
      </c>
      <c r="S216" s="711">
        <f>Bilans_E_AMS_Kyoto_run3_MTE!X403</f>
        <v>7.0140473976328979</v>
      </c>
      <c r="T216" s="711">
        <f>Bilans_E_AMS_Kyoto_run3_MTE!Y403</f>
        <v>0</v>
      </c>
      <c r="U216" s="711">
        <f>Bilans_E_AMS_Kyoto_run3_MTE!Z403</f>
        <v>63.106656255075997</v>
      </c>
      <c r="V216" s="701"/>
      <c r="W216" s="701"/>
    </row>
    <row r="217" spans="1:23" x14ac:dyDescent="0.25">
      <c r="A217" s="701" t="s">
        <v>506</v>
      </c>
      <c r="B217" s="701"/>
      <c r="C217" s="713" t="s">
        <v>77</v>
      </c>
      <c r="D217" s="714">
        <f>Bilans_E_AMS_Kyoto_run3_MTE!H404</f>
        <v>12.110592285156249</v>
      </c>
      <c r="E217" s="714">
        <f>Bilans_E_AMS_Kyoto_run3_MTE!I404</f>
        <v>262.59596136173099</v>
      </c>
      <c r="F217" s="714">
        <f>Bilans_E_AMS_Kyoto_run3_MTE!J404</f>
        <v>-246.9918626341933</v>
      </c>
      <c r="G217" s="714">
        <f>Bilans_E_AMS_Kyoto_run3_MTE!K404</f>
        <v>-4.3840446509759525</v>
      </c>
      <c r="H217" s="714">
        <f>Bilans_E_AMS_Kyoto_run3_MTE!L404</f>
        <v>26.981887803159271</v>
      </c>
      <c r="I217" s="714">
        <f>Bilans_E_AMS_Kyoto_run3_MTE!M404</f>
        <v>-0.83753949174200382</v>
      </c>
      <c r="J217" s="714">
        <f>Bilans_E_AMS_Kyoto_run3_MTE!N404</f>
        <v>1195.4990290598246</v>
      </c>
      <c r="K217" s="714">
        <f>Bilans_E_AMS_Kyoto_run3_MTE!O404</f>
        <v>352.81639892204078</v>
      </c>
      <c r="L217" s="714">
        <f>Bilans_E_AMS_Kyoto_run3_MTE!P404</f>
        <v>241.01955368819029</v>
      </c>
      <c r="M217" s="714">
        <f>Bilans_E_AMS_Kyoto_run3_MTE!Q404</f>
        <v>40.011167067075426</v>
      </c>
      <c r="N217" s="714">
        <f>Bilans_E_AMS_Kyoto_run3_MTE!R404</f>
        <v>-48.06922655803475</v>
      </c>
      <c r="O217" s="714">
        <f>Bilans_E_AMS_Kyoto_run3_MTE!S404</f>
        <v>-47.014624660559946</v>
      </c>
      <c r="P217" s="714">
        <f>Bilans_E_AMS_Kyoto_run3_MTE!T404+Bilans_E_AMS_Kyoto_run3_MTE!U404</f>
        <v>15.880539172662751</v>
      </c>
      <c r="Q217" s="714">
        <f>Bilans_E_AMS_Kyoto_run3_MTE!V404</f>
        <v>20.100740898344036</v>
      </c>
      <c r="R217" s="714">
        <f>Bilans_E_AMS_Kyoto_run3_MTE!W404</f>
        <v>-638.31752935206157</v>
      </c>
      <c r="S217" s="714">
        <f>Bilans_E_AMS_Kyoto_run3_MTE!X404</f>
        <v>-83.441428186519019</v>
      </c>
      <c r="T217" s="714">
        <f>Bilans_E_AMS_Kyoto_run3_MTE!Y404</f>
        <v>-16.630406093950629</v>
      </c>
      <c r="U217" s="714">
        <f>Bilans_E_AMS_Kyoto_run3_MTE!Z404</f>
        <v>1081.3292086301467</v>
      </c>
      <c r="V217" s="701"/>
      <c r="W217" s="701"/>
    </row>
    <row r="218" spans="1:23" x14ac:dyDescent="0.25">
      <c r="A218" s="701"/>
      <c r="B218" s="701"/>
      <c r="C218" s="715"/>
      <c r="D218" s="716"/>
      <c r="E218" s="716"/>
      <c r="F218" s="716"/>
      <c r="G218" s="716"/>
      <c r="H218" s="716"/>
      <c r="I218" s="716"/>
      <c r="J218" s="716"/>
      <c r="K218" s="716"/>
      <c r="L218" s="716"/>
      <c r="M218" s="716"/>
      <c r="N218" s="716"/>
      <c r="O218" s="716"/>
      <c r="P218" s="716">
        <f>Bilans_E_AMS_Kyoto_run3_MTE!T405+Bilans_E_AMS_Kyoto_run3_MTE!U405</f>
        <v>0</v>
      </c>
      <c r="Q218" s="716"/>
      <c r="R218" s="716"/>
      <c r="S218" s="716"/>
      <c r="T218" s="716"/>
      <c r="U218" s="716"/>
      <c r="V218" s="701"/>
      <c r="W218" s="701"/>
    </row>
    <row r="219" spans="1:23" x14ac:dyDescent="0.25">
      <c r="A219" s="701" t="s">
        <v>507</v>
      </c>
      <c r="B219" s="701"/>
      <c r="C219" s="717" t="s">
        <v>78</v>
      </c>
      <c r="D219" s="711">
        <f>Bilans_E_AMS_Kyoto_run3_MTE!H406</f>
        <v>0.420473388671875</v>
      </c>
      <c r="E219" s="711">
        <f>Bilans_E_AMS_Kyoto_run3_MTE!I406</f>
        <v>0</v>
      </c>
      <c r="F219" s="711">
        <f>Bilans_E_AMS_Kyoto_run3_MTE!J406</f>
        <v>4.5652166127933009</v>
      </c>
      <c r="G219" s="711">
        <f>Bilans_E_AMS_Kyoto_run3_MTE!K406</f>
        <v>0</v>
      </c>
      <c r="H219" s="711">
        <f>Bilans_E_AMS_Kyoto_run3_MTE!L406</f>
        <v>44.193879337952673</v>
      </c>
      <c r="I219" s="711">
        <f>Bilans_E_AMS_Kyoto_run3_MTE!M406</f>
        <v>0</v>
      </c>
      <c r="J219" s="711">
        <f>Bilans_E_AMS_Kyoto_run3_MTE!N406</f>
        <v>0</v>
      </c>
      <c r="K219" s="711">
        <f>Bilans_E_AMS_Kyoto_run3_MTE!O406</f>
        <v>0</v>
      </c>
      <c r="L219" s="711">
        <f>Bilans_E_AMS_Kyoto_run3_MTE!P406</f>
        <v>37.859111409249969</v>
      </c>
      <c r="M219" s="711">
        <f>Bilans_E_AMS_Kyoto_run3_MTE!Q406</f>
        <v>9.091644549053445</v>
      </c>
      <c r="N219" s="711">
        <f>Bilans_E_AMS_Kyoto_run3_MTE!R406</f>
        <v>0.79775456348402363</v>
      </c>
      <c r="O219" s="711">
        <f>Bilans_E_AMS_Kyoto_run3_MTE!S406</f>
        <v>20.833903688960643</v>
      </c>
      <c r="P219" s="711">
        <f>Bilans_E_AMS_Kyoto_run3_MTE!T406+Bilans_E_AMS_Kyoto_run3_MTE!U406</f>
        <v>9.7897363281250005</v>
      </c>
      <c r="Q219" s="711">
        <f>Bilans_E_AMS_Kyoto_run3_MTE!V406</f>
        <v>7.4990210834655101E-4</v>
      </c>
      <c r="R219" s="711">
        <f>Bilans_E_AMS_Kyoto_run3_MTE!W406</f>
        <v>154.61632550799115</v>
      </c>
      <c r="S219" s="711">
        <f>Bilans_E_AMS_Kyoto_run3_MTE!X406</f>
        <v>19.58585971983296</v>
      </c>
      <c r="T219" s="711">
        <f>Bilans_E_AMS_Kyoto_run3_MTE!Y406</f>
        <v>8.1097109374999992</v>
      </c>
      <c r="U219" s="711">
        <f>Bilans_E_AMS_Kyoto_run3_MTE!Z406</f>
        <v>309.86436594572336</v>
      </c>
      <c r="V219" s="701"/>
      <c r="W219" s="701"/>
    </row>
    <row r="220" spans="1:23" x14ac:dyDescent="0.25">
      <c r="A220" s="701" t="s">
        <v>508</v>
      </c>
      <c r="B220" s="701"/>
      <c r="C220" s="717" t="s">
        <v>79</v>
      </c>
      <c r="D220" s="711">
        <f>Bilans_E_AMS_Kyoto_run3_MTE!H407</f>
        <v>0</v>
      </c>
      <c r="E220" s="711">
        <f>Bilans_E_AMS_Kyoto_run3_MTE!I407</f>
        <v>0</v>
      </c>
      <c r="F220" s="711">
        <f>Bilans_E_AMS_Kyoto_run3_MTE!J407</f>
        <v>145.74847122117117</v>
      </c>
      <c r="G220" s="711">
        <f>Bilans_E_AMS_Kyoto_run3_MTE!K407</f>
        <v>0.6</v>
      </c>
      <c r="H220" s="711">
        <f>Bilans_E_AMS_Kyoto_run3_MTE!L407</f>
        <v>5.158710288451207</v>
      </c>
      <c r="I220" s="711">
        <f>Bilans_E_AMS_Kyoto_run3_MTE!M407</f>
        <v>0</v>
      </c>
      <c r="J220" s="711">
        <f>Bilans_E_AMS_Kyoto_run3_MTE!N407</f>
        <v>0</v>
      </c>
      <c r="K220" s="711">
        <f>Bilans_E_AMS_Kyoto_run3_MTE!O407</f>
        <v>0</v>
      </c>
      <c r="L220" s="711">
        <f>Bilans_E_AMS_Kyoto_run3_MTE!P407</f>
        <v>0</v>
      </c>
      <c r="M220" s="711">
        <f>Bilans_E_AMS_Kyoto_run3_MTE!Q407</f>
        <v>0</v>
      </c>
      <c r="N220" s="711">
        <f>Bilans_E_AMS_Kyoto_run3_MTE!R407</f>
        <v>37.983450784080269</v>
      </c>
      <c r="O220" s="711">
        <f>Bilans_E_AMS_Kyoto_run3_MTE!S407</f>
        <v>2.4276283710358628</v>
      </c>
      <c r="P220" s="711">
        <f>Bilans_E_AMS_Kyoto_run3_MTE!T407+Bilans_E_AMS_Kyoto_run3_MTE!U407</f>
        <v>0</v>
      </c>
      <c r="Q220" s="711">
        <f>Bilans_E_AMS_Kyoto_run3_MTE!V407</f>
        <v>0</v>
      </c>
      <c r="R220" s="711">
        <f>Bilans_E_AMS_Kyoto_run3_MTE!W407</f>
        <v>85.093782574296696</v>
      </c>
      <c r="S220" s="711">
        <f>Bilans_E_AMS_Kyoto_run3_MTE!X407</f>
        <v>0</v>
      </c>
      <c r="T220" s="711">
        <f>Bilans_E_AMS_Kyoto_run3_MTE!Y407</f>
        <v>3.6734052555319421</v>
      </c>
      <c r="U220" s="711">
        <f>Bilans_E_AMS_Kyoto_run3_MTE!Z407</f>
        <v>280.68544849456714</v>
      </c>
      <c r="V220" s="701"/>
      <c r="W220" s="701"/>
    </row>
    <row r="221" spans="1:23" x14ac:dyDescent="0.25">
      <c r="A221" s="701" t="s">
        <v>509</v>
      </c>
      <c r="B221" s="701"/>
      <c r="C221" s="717" t="s">
        <v>80</v>
      </c>
      <c r="D221" s="711">
        <f>Bilans_E_AMS_Kyoto_run3_MTE!H408</f>
        <v>0</v>
      </c>
      <c r="E221" s="711">
        <f>Bilans_E_AMS_Kyoto_run3_MTE!I408</f>
        <v>0</v>
      </c>
      <c r="F221" s="711">
        <f>Bilans_E_AMS_Kyoto_run3_MTE!J408</f>
        <v>0.67200053608066723</v>
      </c>
      <c r="G221" s="711">
        <f>Bilans_E_AMS_Kyoto_run3_MTE!K408</f>
        <v>0</v>
      </c>
      <c r="H221" s="711">
        <f>Bilans_E_AMS_Kyoto_run3_MTE!L408</f>
        <v>33.793440313703563</v>
      </c>
      <c r="I221" s="711">
        <f>Bilans_E_AMS_Kyoto_run3_MTE!M408</f>
        <v>0</v>
      </c>
      <c r="J221" s="711">
        <f>Bilans_E_AMS_Kyoto_run3_MTE!N408</f>
        <v>0</v>
      </c>
      <c r="K221" s="711">
        <f>Bilans_E_AMS_Kyoto_run3_MTE!O408</f>
        <v>0</v>
      </c>
      <c r="L221" s="711">
        <f>Bilans_E_AMS_Kyoto_run3_MTE!P408</f>
        <v>46.869025063770188</v>
      </c>
      <c r="M221" s="711">
        <f>Bilans_E_AMS_Kyoto_run3_MTE!Q408</f>
        <v>0</v>
      </c>
      <c r="N221" s="711">
        <f>Bilans_E_AMS_Kyoto_run3_MTE!R408</f>
        <v>0</v>
      </c>
      <c r="O221" s="711">
        <f>Bilans_E_AMS_Kyoto_run3_MTE!S408</f>
        <v>15.902795441742857</v>
      </c>
      <c r="P221" s="711">
        <f>Bilans_E_AMS_Kyoto_run3_MTE!T408+Bilans_E_AMS_Kyoto_run3_MTE!U408</f>
        <v>126.0368711002035</v>
      </c>
      <c r="Q221" s="711">
        <f>Bilans_E_AMS_Kyoto_run3_MTE!V408</f>
        <v>10.28748002838279</v>
      </c>
      <c r="R221" s="711">
        <f>Bilans_E_AMS_Kyoto_run3_MTE!W408</f>
        <v>153.25630739971572</v>
      </c>
      <c r="S221" s="711">
        <f>Bilans_E_AMS_Kyoto_run3_MTE!X408</f>
        <v>40.560183148779373</v>
      </c>
      <c r="T221" s="711">
        <f>Bilans_E_AMS_Kyoto_run3_MTE!Y408</f>
        <v>0</v>
      </c>
      <c r="U221" s="711">
        <f>Bilans_E_AMS_Kyoto_run3_MTE!Z408</f>
        <v>427.3781030323787</v>
      </c>
      <c r="V221" s="701"/>
      <c r="W221" s="701"/>
    </row>
    <row r="222" spans="1:23" x14ac:dyDescent="0.25">
      <c r="A222" s="701" t="s">
        <v>510</v>
      </c>
      <c r="B222" s="701"/>
      <c r="C222" s="717" t="s">
        <v>81</v>
      </c>
      <c r="D222" s="711">
        <f>Bilans_E_AMS_Kyoto_run3_MTE!H409</f>
        <v>0</v>
      </c>
      <c r="E222" s="711">
        <f>Bilans_E_AMS_Kyoto_run3_MTE!I409</f>
        <v>0</v>
      </c>
      <c r="F222" s="711">
        <f>Bilans_E_AMS_Kyoto_run3_MTE!J409</f>
        <v>1.3024591903190665</v>
      </c>
      <c r="G222" s="711">
        <f>Bilans_E_AMS_Kyoto_run3_MTE!K409</f>
        <v>0</v>
      </c>
      <c r="H222" s="711">
        <f>Bilans_E_AMS_Kyoto_run3_MTE!L409</f>
        <v>22.107329443509556</v>
      </c>
      <c r="I222" s="711">
        <f>Bilans_E_AMS_Kyoto_run3_MTE!M409</f>
        <v>0</v>
      </c>
      <c r="J222" s="711">
        <f>Bilans_E_AMS_Kyoto_run3_MTE!N409</f>
        <v>0</v>
      </c>
      <c r="K222" s="711">
        <f>Bilans_E_AMS_Kyoto_run3_MTE!O409</f>
        <v>0</v>
      </c>
      <c r="L222" s="711">
        <f>Bilans_E_AMS_Kyoto_run3_MTE!P409</f>
        <v>0.55939285776182701</v>
      </c>
      <c r="M222" s="711">
        <f>Bilans_E_AMS_Kyoto_run3_MTE!Q409</f>
        <v>0</v>
      </c>
      <c r="N222" s="711">
        <f>Bilans_E_AMS_Kyoto_run3_MTE!R409</f>
        <v>0</v>
      </c>
      <c r="O222" s="711">
        <f>Bilans_E_AMS_Kyoto_run3_MTE!S409</f>
        <v>10.403449149886853</v>
      </c>
      <c r="P222" s="711">
        <f>Bilans_E_AMS_Kyoto_run3_MTE!T409+Bilans_E_AMS_Kyoto_run3_MTE!U409</f>
        <v>48.192635744936815</v>
      </c>
      <c r="Q222" s="711">
        <f>Bilans_E_AMS_Kyoto_run3_MTE!V409</f>
        <v>9.224237582113501</v>
      </c>
      <c r="R222" s="711">
        <f>Bilans_E_AMS_Kyoto_run3_MTE!W409</f>
        <v>121.55538254836378</v>
      </c>
      <c r="S222" s="711">
        <f>Bilans_E_AMS_Kyoto_run3_MTE!X409</f>
        <v>23.29535389238076</v>
      </c>
      <c r="T222" s="711">
        <f>Bilans_E_AMS_Kyoto_run3_MTE!Y409</f>
        <v>0</v>
      </c>
      <c r="U222" s="711">
        <f>Bilans_E_AMS_Kyoto_run3_MTE!Z409</f>
        <v>236.64024040927217</v>
      </c>
      <c r="V222" s="701"/>
      <c r="W222" s="701"/>
    </row>
    <row r="223" spans="1:23" x14ac:dyDescent="0.25">
      <c r="A223" s="701" t="s">
        <v>511</v>
      </c>
      <c r="B223" s="701"/>
      <c r="C223" s="717" t="s">
        <v>82</v>
      </c>
      <c r="D223" s="711">
        <f>Bilans_E_AMS_Kyoto_run3_MTE!H410</f>
        <v>0</v>
      </c>
      <c r="E223" s="711">
        <f>Bilans_E_AMS_Kyoto_run3_MTE!I410</f>
        <v>0</v>
      </c>
      <c r="F223" s="711">
        <f>Bilans_E_AMS_Kyoto_run3_MTE!J410</f>
        <v>17.072371941732264</v>
      </c>
      <c r="G223" s="711">
        <f>Bilans_E_AMS_Kyoto_run3_MTE!K410</f>
        <v>0</v>
      </c>
      <c r="H223" s="711">
        <f>Bilans_E_AMS_Kyoto_run3_MTE!L410</f>
        <v>0.9182073287540522</v>
      </c>
      <c r="I223" s="711">
        <f>Bilans_E_AMS_Kyoto_run3_MTE!M410</f>
        <v>0</v>
      </c>
      <c r="J223" s="711">
        <f>Bilans_E_AMS_Kyoto_run3_MTE!N410</f>
        <v>0</v>
      </c>
      <c r="K223" s="711">
        <f>Bilans_E_AMS_Kyoto_run3_MTE!O410</f>
        <v>0</v>
      </c>
      <c r="L223" s="711">
        <f>Bilans_E_AMS_Kyoto_run3_MTE!P410</f>
        <v>14.623275458181073</v>
      </c>
      <c r="M223" s="711">
        <f>Bilans_E_AMS_Kyoto_run3_MTE!Q410</f>
        <v>0</v>
      </c>
      <c r="N223" s="711">
        <f>Bilans_E_AMS_Kyoto_run3_MTE!R410</f>
        <v>6.5072970956675134</v>
      </c>
      <c r="O223" s="711">
        <f>Bilans_E_AMS_Kyoto_run3_MTE!S410</f>
        <v>0.43209756647249531</v>
      </c>
      <c r="P223" s="711">
        <f>Bilans_E_AMS_Kyoto_run3_MTE!T410+Bilans_E_AMS_Kyoto_run3_MTE!U410</f>
        <v>0.9</v>
      </c>
      <c r="Q223" s="711">
        <f>Bilans_E_AMS_Kyoto_run3_MTE!V410</f>
        <v>1.1655332190637568</v>
      </c>
      <c r="R223" s="711">
        <f>Bilans_E_AMS_Kyoto_run3_MTE!W410</f>
        <v>9.1593739040126536</v>
      </c>
      <c r="S223" s="711">
        <f>Bilans_E_AMS_Kyoto_run3_MTE!X410</f>
        <v>0</v>
      </c>
      <c r="T223" s="711">
        <f>Bilans_E_AMS_Kyoto_run3_MTE!Y410</f>
        <v>0.38638525521088363</v>
      </c>
      <c r="U223" s="711">
        <f>Bilans_E_AMS_Kyoto_run3_MTE!Z410</f>
        <v>51.164541769094683</v>
      </c>
      <c r="V223" s="701"/>
      <c r="W223" s="701"/>
    </row>
    <row r="224" spans="1:23" x14ac:dyDescent="0.25">
      <c r="A224" s="701" t="s">
        <v>512</v>
      </c>
      <c r="B224" s="701"/>
      <c r="C224" s="717" t="s">
        <v>354</v>
      </c>
      <c r="D224" s="711">
        <f>Bilans_E_AMS_Kyoto_run3_MTE!H411</f>
        <v>0</v>
      </c>
      <c r="E224" s="711">
        <f>Bilans_E_AMS_Kyoto_run3_MTE!I411</f>
        <v>0</v>
      </c>
      <c r="F224" s="711">
        <f>Bilans_E_AMS_Kyoto_run3_MTE!J411</f>
        <v>0</v>
      </c>
      <c r="G224" s="711">
        <f>Bilans_E_AMS_Kyoto_run3_MTE!K411</f>
        <v>0</v>
      </c>
      <c r="H224" s="711">
        <f>Bilans_E_AMS_Kyoto_run3_MTE!L411</f>
        <v>0</v>
      </c>
      <c r="I224" s="711">
        <f>Bilans_E_AMS_Kyoto_run3_MTE!M411</f>
        <v>0</v>
      </c>
      <c r="J224" s="711">
        <f>Bilans_E_AMS_Kyoto_run3_MTE!N411</f>
        <v>0</v>
      </c>
      <c r="K224" s="711">
        <f>Bilans_E_AMS_Kyoto_run3_MTE!O411</f>
        <v>0</v>
      </c>
      <c r="L224" s="711">
        <f>Bilans_E_AMS_Kyoto_run3_MTE!P411</f>
        <v>0</v>
      </c>
      <c r="M224" s="711">
        <f>Bilans_E_AMS_Kyoto_run3_MTE!Q411</f>
        <v>0</v>
      </c>
      <c r="N224" s="711">
        <f>Bilans_E_AMS_Kyoto_run3_MTE!R411</f>
        <v>0</v>
      </c>
      <c r="O224" s="711">
        <f>Bilans_E_AMS_Kyoto_run3_MTE!S411</f>
        <v>0</v>
      </c>
      <c r="P224" s="711">
        <f>Bilans_E_AMS_Kyoto_run3_MTE!T411+Bilans_E_AMS_Kyoto_run3_MTE!U411</f>
        <v>0</v>
      </c>
      <c r="Q224" s="711">
        <f>Bilans_E_AMS_Kyoto_run3_MTE!V411</f>
        <v>0</v>
      </c>
      <c r="R224" s="711">
        <f>Bilans_E_AMS_Kyoto_run3_MTE!W411</f>
        <v>2.16</v>
      </c>
      <c r="S224" s="711">
        <f>Bilans_E_AMS_Kyoto_run3_MTE!X411</f>
        <v>0</v>
      </c>
      <c r="T224" s="711">
        <f>Bilans_E_AMS_Kyoto_run3_MTE!Y411</f>
        <v>0</v>
      </c>
      <c r="U224" s="711">
        <f>Bilans_E_AMS_Kyoto_run3_MTE!Z411</f>
        <v>2.16</v>
      </c>
      <c r="V224" s="701"/>
      <c r="W224" s="701"/>
    </row>
    <row r="225" spans="1:23" x14ac:dyDescent="0.25">
      <c r="A225" s="701" t="s">
        <v>513</v>
      </c>
      <c r="B225" s="701"/>
      <c r="C225" s="713" t="s">
        <v>83</v>
      </c>
      <c r="D225" s="714">
        <f>Bilans_E_AMS_Kyoto_run3_MTE!H412</f>
        <v>0.420473388671875</v>
      </c>
      <c r="E225" s="714">
        <f>Bilans_E_AMS_Kyoto_run3_MTE!I412</f>
        <v>0</v>
      </c>
      <c r="F225" s="714">
        <f>Bilans_E_AMS_Kyoto_run3_MTE!J412</f>
        <v>169.36051950209648</v>
      </c>
      <c r="G225" s="714">
        <f>Bilans_E_AMS_Kyoto_run3_MTE!K412</f>
        <v>0.6</v>
      </c>
      <c r="H225" s="714">
        <f>Bilans_E_AMS_Kyoto_run3_MTE!L412</f>
        <v>106.17156671237105</v>
      </c>
      <c r="I225" s="714">
        <f>Bilans_E_AMS_Kyoto_run3_MTE!M412</f>
        <v>0</v>
      </c>
      <c r="J225" s="714">
        <f>Bilans_E_AMS_Kyoto_run3_MTE!N412</f>
        <v>0</v>
      </c>
      <c r="K225" s="714">
        <f>Bilans_E_AMS_Kyoto_run3_MTE!O412</f>
        <v>0</v>
      </c>
      <c r="L225" s="714">
        <f>Bilans_E_AMS_Kyoto_run3_MTE!P412</f>
        <v>99.910804788963048</v>
      </c>
      <c r="M225" s="714">
        <f>Bilans_E_AMS_Kyoto_run3_MTE!Q412</f>
        <v>9.091644549053445</v>
      </c>
      <c r="N225" s="714">
        <f>Bilans_E_AMS_Kyoto_run3_MTE!R412</f>
        <v>45.288502443231806</v>
      </c>
      <c r="O225" s="714">
        <f>Bilans_E_AMS_Kyoto_run3_MTE!S412</f>
        <v>49.999874218098711</v>
      </c>
      <c r="P225" s="714">
        <f>Bilans_E_AMS_Kyoto_run3_MTE!T412+Bilans_E_AMS_Kyoto_run3_MTE!U412</f>
        <v>184.9192431732653</v>
      </c>
      <c r="Q225" s="714">
        <f>Bilans_E_AMS_Kyoto_run3_MTE!V412</f>
        <v>20.678000731668394</v>
      </c>
      <c r="R225" s="714">
        <f>Bilans_E_AMS_Kyoto_run3_MTE!W412</f>
        <v>525.84117193437999</v>
      </c>
      <c r="S225" s="714">
        <f>Bilans_E_AMS_Kyoto_run3_MTE!X412</f>
        <v>83.441396760993086</v>
      </c>
      <c r="T225" s="714">
        <f>Bilans_E_AMS_Kyoto_run3_MTE!Y412</f>
        <v>12.169501448242825</v>
      </c>
      <c r="U225" s="714">
        <f>Bilans_E_AMS_Kyoto_run3_MTE!Z412</f>
        <v>1307.8926996510361</v>
      </c>
      <c r="V225" s="701"/>
      <c r="W225" s="701"/>
    </row>
    <row r="226" spans="1:23" x14ac:dyDescent="0.25">
      <c r="A226" s="701" t="s">
        <v>514</v>
      </c>
      <c r="B226" s="701"/>
      <c r="C226" s="710" t="s">
        <v>84</v>
      </c>
      <c r="D226" s="711">
        <f>Bilans_E_AMS_Kyoto_run3_MTE!H413</f>
        <v>0</v>
      </c>
      <c r="E226" s="711">
        <f>Bilans_E_AMS_Kyoto_run3_MTE!I413</f>
        <v>0</v>
      </c>
      <c r="F226" s="711">
        <f>Bilans_E_AMS_Kyoto_run3_MTE!J413</f>
        <v>104.56365491334468</v>
      </c>
      <c r="G226" s="711">
        <f>Bilans_E_AMS_Kyoto_run3_MTE!K413</f>
        <v>2.0095155133024498</v>
      </c>
      <c r="H226" s="711">
        <f>Bilans_E_AMS_Kyoto_run3_MTE!L413</f>
        <v>12.7291086591003</v>
      </c>
      <c r="I226" s="711">
        <f>Bilans_E_AMS_Kyoto_run3_MTE!M413</f>
        <v>0</v>
      </c>
      <c r="J226" s="711">
        <f>Bilans_E_AMS_Kyoto_run3_MTE!N413</f>
        <v>0</v>
      </c>
      <c r="K226" s="711">
        <f>Bilans_E_AMS_Kyoto_run3_MTE!O413</f>
        <v>0</v>
      </c>
      <c r="L226" s="711">
        <f>Bilans_E_AMS_Kyoto_run3_MTE!P413</f>
        <v>0.40658520083603628</v>
      </c>
      <c r="M226" s="711">
        <f>Bilans_E_AMS_Kyoto_run3_MTE!Q413</f>
        <v>0</v>
      </c>
      <c r="N226" s="711">
        <f>Bilans_E_AMS_Kyoto_run3_MTE!R413</f>
        <v>3.1675603541212554</v>
      </c>
      <c r="O226" s="711">
        <f>Bilans_E_AMS_Kyoto_run3_MTE!S413</f>
        <v>0</v>
      </c>
      <c r="P226" s="711">
        <f>Bilans_E_AMS_Kyoto_run3_MTE!T413+Bilans_E_AMS_Kyoto_run3_MTE!U413</f>
        <v>0</v>
      </c>
      <c r="Q226" s="711">
        <f>Bilans_E_AMS_Kyoto_run3_MTE!V413</f>
        <v>0</v>
      </c>
      <c r="R226" s="711">
        <f>Bilans_E_AMS_Kyoto_run3_MTE!W413</f>
        <v>0</v>
      </c>
      <c r="S226" s="711">
        <f>Bilans_E_AMS_Kyoto_run3_MTE!X413</f>
        <v>0</v>
      </c>
      <c r="T226" s="711">
        <f>Bilans_E_AMS_Kyoto_run3_MTE!Y413</f>
        <v>1.710568146239696</v>
      </c>
      <c r="U226" s="711">
        <f>Bilans_E_AMS_Kyoto_run3_MTE!Z413</f>
        <v>124.58699278694441</v>
      </c>
      <c r="V226" s="701"/>
      <c r="W226" s="701"/>
    </row>
    <row r="227" spans="1:23" x14ac:dyDescent="0.25">
      <c r="A227" s="701" t="s">
        <v>515</v>
      </c>
      <c r="B227" s="701"/>
      <c r="C227" s="713" t="s">
        <v>85</v>
      </c>
      <c r="D227" s="714">
        <f>Bilans_E_AMS_Kyoto_run3_MTE!H414</f>
        <v>0.420473388671875</v>
      </c>
      <c r="E227" s="714">
        <f>Bilans_E_AMS_Kyoto_run3_MTE!I414</f>
        <v>0</v>
      </c>
      <c r="F227" s="714">
        <f>Bilans_E_AMS_Kyoto_run3_MTE!J414</f>
        <v>273.92417441544114</v>
      </c>
      <c r="G227" s="714">
        <f>Bilans_E_AMS_Kyoto_run3_MTE!K414</f>
        <v>2.6095155133024499</v>
      </c>
      <c r="H227" s="714">
        <f>Bilans_E_AMS_Kyoto_run3_MTE!L414</f>
        <v>118.90067537147135</v>
      </c>
      <c r="I227" s="714">
        <f>Bilans_E_AMS_Kyoto_run3_MTE!M414</f>
        <v>0</v>
      </c>
      <c r="J227" s="714">
        <f>Bilans_E_AMS_Kyoto_run3_MTE!N414</f>
        <v>0</v>
      </c>
      <c r="K227" s="714">
        <f>Bilans_E_AMS_Kyoto_run3_MTE!O414</f>
        <v>0</v>
      </c>
      <c r="L227" s="714">
        <f>Bilans_E_AMS_Kyoto_run3_MTE!P414</f>
        <v>100.31738998979908</v>
      </c>
      <c r="M227" s="714">
        <f>Bilans_E_AMS_Kyoto_run3_MTE!Q414</f>
        <v>9.091644549053445</v>
      </c>
      <c r="N227" s="714">
        <f>Bilans_E_AMS_Kyoto_run3_MTE!R414</f>
        <v>48.456062797353063</v>
      </c>
      <c r="O227" s="714">
        <f>Bilans_E_AMS_Kyoto_run3_MTE!S414</f>
        <v>49.999874218098711</v>
      </c>
      <c r="P227" s="714">
        <f>Bilans_E_AMS_Kyoto_run3_MTE!T414+Bilans_E_AMS_Kyoto_run3_MTE!U414</f>
        <v>184.9192431732653</v>
      </c>
      <c r="Q227" s="714">
        <f>Bilans_E_AMS_Kyoto_run3_MTE!V414</f>
        <v>20.678000731668394</v>
      </c>
      <c r="R227" s="714">
        <f>Bilans_E_AMS_Kyoto_run3_MTE!W414</f>
        <v>525.84117193437999</v>
      </c>
      <c r="S227" s="714">
        <f>Bilans_E_AMS_Kyoto_run3_MTE!X414</f>
        <v>83.441396760993086</v>
      </c>
      <c r="T227" s="714">
        <f>Bilans_E_AMS_Kyoto_run3_MTE!Y414</f>
        <v>13.880069594482521</v>
      </c>
      <c r="U227" s="714">
        <f>Bilans_E_AMS_Kyoto_run3_MTE!Z414</f>
        <v>1432.4796924379805</v>
      </c>
      <c r="V227" s="701"/>
      <c r="W227" s="701"/>
    </row>
    <row r="228" spans="1:23" x14ac:dyDescent="0.25">
      <c r="A228" s="701"/>
      <c r="B228" s="701"/>
      <c r="C228" s="701"/>
      <c r="D228" s="701">
        <f>Bilans_E_AMS_Kyoto_run3_MTE!H415</f>
        <v>0</v>
      </c>
      <c r="E228" s="701">
        <f>Bilans_E_AMS_Kyoto_run3_MTE!I415</f>
        <v>0</v>
      </c>
      <c r="F228" s="701">
        <f>Bilans_E_AMS_Kyoto_run3_MTE!J415</f>
        <v>0</v>
      </c>
      <c r="G228" s="701">
        <f>Bilans_E_AMS_Kyoto_run3_MTE!K415</f>
        <v>0</v>
      </c>
      <c r="H228" s="701">
        <f>Bilans_E_AMS_Kyoto_run3_MTE!L415</f>
        <v>0</v>
      </c>
      <c r="I228" s="701">
        <f>Bilans_E_AMS_Kyoto_run3_MTE!M415</f>
        <v>0</v>
      </c>
      <c r="J228" s="701">
        <f>Bilans_E_AMS_Kyoto_run3_MTE!N415</f>
        <v>0</v>
      </c>
      <c r="K228" s="701">
        <f>Bilans_E_AMS_Kyoto_run3_MTE!O415</f>
        <v>0</v>
      </c>
      <c r="L228" s="701">
        <f>Bilans_E_AMS_Kyoto_run3_MTE!P415</f>
        <v>0</v>
      </c>
      <c r="M228" s="701">
        <f>Bilans_E_AMS_Kyoto_run3_MTE!Q415</f>
        <v>0</v>
      </c>
      <c r="N228" s="701">
        <f>Bilans_E_AMS_Kyoto_run3_MTE!R415</f>
        <v>-5.3290705182007514E-15</v>
      </c>
      <c r="O228" s="701">
        <f>Bilans_E_AMS_Kyoto_run3_MTE!S415</f>
        <v>9.7699626167013776E-15</v>
      </c>
      <c r="P228" s="701">
        <f>Bilans_E_AMS_Kyoto_run3_MTE!T415+Bilans_E_AMS_Kyoto_run3_MTE!U415</f>
        <v>0</v>
      </c>
      <c r="Q228" s="701">
        <f>Bilans_E_AMS_Kyoto_run3_MTE!V415</f>
        <v>0</v>
      </c>
      <c r="R228" s="701">
        <f>Bilans_E_AMS_Kyoto_run3_MTE!W415</f>
        <v>0</v>
      </c>
      <c r="S228" s="701">
        <f>Bilans_E_AMS_Kyoto_run3_MTE!X415</f>
        <v>-3.1425525932604614E-5</v>
      </c>
      <c r="T228" s="701">
        <f>Bilans_E_AMS_Kyoto_run3_MTE!Y415</f>
        <v>0</v>
      </c>
      <c r="U228" s="701">
        <f>Bilans_E_AMS_Kyoto_run3_MTE!Z415</f>
        <v>-3.1425526685779914E-5</v>
      </c>
      <c r="V228" s="701"/>
      <c r="W228" s="701"/>
    </row>
    <row r="229" spans="1:23" x14ac:dyDescent="0.25">
      <c r="A229" s="701"/>
      <c r="B229" s="701"/>
      <c r="C229" s="701"/>
      <c r="D229" s="701"/>
      <c r="E229" s="701"/>
      <c r="F229" s="701"/>
      <c r="G229" s="701"/>
      <c r="H229" s="701"/>
      <c r="I229" s="701"/>
      <c r="J229" s="701"/>
      <c r="K229" s="701"/>
      <c r="L229" s="701"/>
      <c r="M229" s="701"/>
      <c r="N229" s="701"/>
      <c r="O229" s="701"/>
      <c r="P229" s="701"/>
      <c r="Q229" s="701"/>
      <c r="R229" s="701"/>
      <c r="S229" s="701"/>
      <c r="T229" s="701"/>
      <c r="U229" s="701"/>
      <c r="V229" s="701"/>
      <c r="W229" s="701"/>
    </row>
    <row r="230" spans="1:23" x14ac:dyDescent="0.25">
      <c r="A230" s="707"/>
      <c r="B230" s="707"/>
      <c r="C230" s="708" t="s">
        <v>360</v>
      </c>
      <c r="D230" s="707"/>
      <c r="E230" s="707"/>
      <c r="F230" s="707"/>
      <c r="G230" s="707"/>
      <c r="H230" s="707"/>
      <c r="I230" s="707"/>
      <c r="J230" s="707"/>
      <c r="K230" s="707"/>
      <c r="L230" s="707"/>
      <c r="M230" s="707"/>
      <c r="N230" s="707"/>
      <c r="O230" s="707"/>
      <c r="P230" s="707"/>
      <c r="Q230" s="707"/>
      <c r="R230" s="707"/>
      <c r="S230" s="707"/>
      <c r="T230" s="707"/>
      <c r="U230" s="707"/>
      <c r="V230" s="707"/>
      <c r="W230" s="707"/>
    </row>
    <row r="231" spans="1:23" x14ac:dyDescent="0.25">
      <c r="A231" s="701"/>
      <c r="B231" s="701"/>
      <c r="C231" s="701"/>
      <c r="D231" s="701"/>
      <c r="E231" s="701"/>
      <c r="F231" s="701"/>
      <c r="G231" s="701"/>
      <c r="H231" s="701"/>
      <c r="I231" s="701"/>
      <c r="J231" s="701"/>
      <c r="K231" s="701"/>
      <c r="L231" s="701"/>
      <c r="M231" s="701"/>
      <c r="N231" s="701"/>
      <c r="O231" s="701"/>
      <c r="P231" s="701"/>
      <c r="Q231" s="701"/>
      <c r="R231" s="701"/>
      <c r="S231" s="701"/>
      <c r="T231" s="701"/>
      <c r="U231" s="701"/>
      <c r="V231" s="701"/>
      <c r="W231" s="701"/>
    </row>
    <row r="232" spans="1:23" x14ac:dyDescent="0.25">
      <c r="A232" s="701"/>
      <c r="B232" s="701"/>
      <c r="C232" s="780" t="s">
        <v>128</v>
      </c>
      <c r="D232" s="775" t="s">
        <v>42</v>
      </c>
      <c r="E232" s="775" t="s">
        <v>52</v>
      </c>
      <c r="F232" s="775" t="s">
        <v>53</v>
      </c>
      <c r="G232" s="775" t="s">
        <v>482</v>
      </c>
      <c r="H232" s="775" t="s">
        <v>32</v>
      </c>
      <c r="I232" s="775" t="s">
        <v>483</v>
      </c>
      <c r="J232" s="775" t="s">
        <v>20</v>
      </c>
      <c r="K232" s="775" t="s">
        <v>55</v>
      </c>
      <c r="L232" s="777" t="s">
        <v>56</v>
      </c>
      <c r="M232" s="778"/>
      <c r="N232" s="778"/>
      <c r="O232" s="778"/>
      <c r="P232" s="778"/>
      <c r="Q232" s="779"/>
      <c r="R232" s="775" t="s">
        <v>57</v>
      </c>
      <c r="S232" s="775" t="s">
        <v>58</v>
      </c>
      <c r="T232" s="775" t="s">
        <v>31</v>
      </c>
      <c r="U232" s="775" t="s">
        <v>10</v>
      </c>
      <c r="V232" s="701"/>
      <c r="W232" s="701"/>
    </row>
    <row r="233" spans="1:23" ht="67.5" x14ac:dyDescent="0.25">
      <c r="A233" s="701" t="s">
        <v>486</v>
      </c>
      <c r="B233" s="701"/>
      <c r="C233" s="781"/>
      <c r="D233" s="776"/>
      <c r="E233" s="776"/>
      <c r="F233" s="776"/>
      <c r="G233" s="776"/>
      <c r="H233" s="776"/>
      <c r="I233" s="776"/>
      <c r="J233" s="776"/>
      <c r="K233" s="776"/>
      <c r="L233" s="709" t="s">
        <v>335</v>
      </c>
      <c r="M233" s="709" t="s">
        <v>40</v>
      </c>
      <c r="N233" s="709" t="s">
        <v>343</v>
      </c>
      <c r="O233" s="709" t="s">
        <v>344</v>
      </c>
      <c r="P233" s="719" t="s">
        <v>610</v>
      </c>
      <c r="Q233" s="709" t="s">
        <v>346</v>
      </c>
      <c r="R233" s="776"/>
      <c r="S233" s="776"/>
      <c r="T233" s="776"/>
      <c r="U233" s="776"/>
      <c r="V233" s="701"/>
      <c r="W233" s="701"/>
    </row>
    <row r="234" spans="1:23" x14ac:dyDescent="0.25">
      <c r="A234" s="701" t="s">
        <v>487</v>
      </c>
      <c r="B234" s="701"/>
      <c r="C234" s="710" t="s">
        <v>59</v>
      </c>
      <c r="D234" s="711">
        <f>Bilans_E_AMS_Kyoto_run3_MTE!H421</f>
        <v>0</v>
      </c>
      <c r="E234" s="711">
        <f>Bilans_E_AMS_Kyoto_run3_MTE!I421</f>
        <v>0</v>
      </c>
      <c r="F234" s="711">
        <f>Bilans_E_AMS_Kyoto_run3_MTE!J421</f>
        <v>0</v>
      </c>
      <c r="G234" s="711">
        <f>Bilans_E_AMS_Kyoto_run3_MTE!K421</f>
        <v>0</v>
      </c>
      <c r="H234" s="711">
        <f>Bilans_E_AMS_Kyoto_run3_MTE!L421</f>
        <v>0</v>
      </c>
      <c r="I234" s="711">
        <f>Bilans_E_AMS_Kyoto_run3_MTE!M421</f>
        <v>0</v>
      </c>
      <c r="J234" s="711">
        <f>Bilans_E_AMS_Kyoto_run3_MTE!N421</f>
        <v>1217.3350254612858</v>
      </c>
      <c r="K234" s="711">
        <f>Bilans_E_AMS_Kyoto_run3_MTE!O421</f>
        <v>388.29502398919544</v>
      </c>
      <c r="L234" s="711">
        <f>Bilans_E_AMS_Kyoto_run3_MTE!P421</f>
        <v>345.22412922668985</v>
      </c>
      <c r="M234" s="711">
        <f>Bilans_E_AMS_Kyoto_run3_MTE!Q421</f>
        <v>47.572914538902204</v>
      </c>
      <c r="N234" s="711">
        <f>Bilans_E_AMS_Kyoto_run3_MTE!R421</f>
        <v>0</v>
      </c>
      <c r="O234" s="711">
        <f>Bilans_E_AMS_Kyoto_run3_MTE!S421</f>
        <v>0</v>
      </c>
      <c r="P234" s="711">
        <f>Bilans_E_AMS_Kyoto_run3_MTE!T421+Bilans_E_AMS_Kyoto_run3_MTE!U421</f>
        <v>217.97798120035498</v>
      </c>
      <c r="Q234" s="711">
        <f>Bilans_E_AMS_Kyoto_run3_MTE!V421</f>
        <v>44.670610017190697</v>
      </c>
      <c r="R234" s="711">
        <f>Bilans_E_AMS_Kyoto_run3_MTE!W421</f>
        <v>0</v>
      </c>
      <c r="S234" s="711">
        <f>Bilans_E_AMS_Kyoto_run3_MTE!X421</f>
        <v>0</v>
      </c>
      <c r="T234" s="711">
        <f>Bilans_E_AMS_Kyoto_run3_MTE!Y421</f>
        <v>0</v>
      </c>
      <c r="U234" s="711">
        <f>Bilans_E_AMS_Kyoto_run3_MTE!Z421</f>
        <v>2261.0756844336188</v>
      </c>
      <c r="V234" s="701"/>
      <c r="W234" s="701"/>
    </row>
    <row r="235" spans="1:23" x14ac:dyDescent="0.25">
      <c r="A235" s="701" t="s">
        <v>488</v>
      </c>
      <c r="B235" s="701"/>
      <c r="C235" s="710" t="s">
        <v>60</v>
      </c>
      <c r="D235" s="712">
        <f>Bilans_E_AMS_Kyoto_run3_MTE!H422</f>
        <v>12.152793945312501</v>
      </c>
      <c r="E235" s="712">
        <f>Bilans_E_AMS_Kyoto_run3_MTE!I422</f>
        <v>228.52698065701114</v>
      </c>
      <c r="F235" s="712">
        <f>Bilans_E_AMS_Kyoto_run3_MTE!J422</f>
        <v>52.757657499876444</v>
      </c>
      <c r="G235" s="712">
        <f>Bilans_E_AMS_Kyoto_run3_MTE!K422</f>
        <v>7.0861725721851325</v>
      </c>
      <c r="H235" s="712">
        <f>Bilans_E_AMS_Kyoto_run3_MTE!L422</f>
        <v>109.90340859679944</v>
      </c>
      <c r="I235" s="712">
        <f>Bilans_E_AMS_Kyoto_run3_MTE!M422</f>
        <v>0</v>
      </c>
      <c r="J235" s="712">
        <f>Bilans_E_AMS_Kyoto_run3_MTE!N422</f>
        <v>0</v>
      </c>
      <c r="K235" s="712">
        <f>Bilans_E_AMS_Kyoto_run3_MTE!O422</f>
        <v>0</v>
      </c>
      <c r="L235" s="712">
        <f>Bilans_E_AMS_Kyoto_run3_MTE!P422</f>
        <v>8.3609545225008901</v>
      </c>
      <c r="M235" s="712">
        <f>Bilans_E_AMS_Kyoto_run3_MTE!Q422</f>
        <v>0</v>
      </c>
      <c r="N235" s="712">
        <f>Bilans_E_AMS_Kyoto_run3_MTE!R422</f>
        <v>12.640823760452299</v>
      </c>
      <c r="O235" s="712">
        <f>Bilans_E_AMS_Kyoto_run3_MTE!S422</f>
        <v>0</v>
      </c>
      <c r="P235" s="712">
        <f>Bilans_E_AMS_Kyoto_run3_MTE!T422+Bilans_E_AMS_Kyoto_run3_MTE!U422</f>
        <v>0</v>
      </c>
      <c r="Q235" s="712">
        <f>Bilans_E_AMS_Kyoto_run3_MTE!V422</f>
        <v>0</v>
      </c>
      <c r="R235" s="712">
        <f>Bilans_E_AMS_Kyoto_run3_MTE!W422</f>
        <v>0</v>
      </c>
      <c r="S235" s="712">
        <f>Bilans_E_AMS_Kyoto_run3_MTE!X422</f>
        <v>0</v>
      </c>
      <c r="T235" s="712">
        <f>Bilans_E_AMS_Kyoto_run3_MTE!Y422</f>
        <v>0</v>
      </c>
      <c r="U235" s="712">
        <f>Bilans_E_AMS_Kyoto_run3_MTE!Z422</f>
        <v>431.42879155413789</v>
      </c>
      <c r="V235" s="701"/>
      <c r="W235" s="701"/>
    </row>
    <row r="236" spans="1:23" x14ac:dyDescent="0.25">
      <c r="A236" s="701" t="s">
        <v>489</v>
      </c>
      <c r="B236" s="701"/>
      <c r="C236" s="710" t="s">
        <v>61</v>
      </c>
      <c r="D236" s="712">
        <f>Bilans_E_AMS_Kyoto_run3_MTE!H423</f>
        <v>0</v>
      </c>
      <c r="E236" s="712">
        <f>Bilans_E_AMS_Kyoto_run3_MTE!I423</f>
        <v>0</v>
      </c>
      <c r="F236" s="712">
        <f>Bilans_E_AMS_Kyoto_run3_MTE!J423</f>
        <v>0</v>
      </c>
      <c r="G236" s="712">
        <f>Bilans_E_AMS_Kyoto_run3_MTE!K423</f>
        <v>0</v>
      </c>
      <c r="H236" s="712">
        <f>Bilans_E_AMS_Kyoto_run3_MTE!L423</f>
        <v>0</v>
      </c>
      <c r="I236" s="712">
        <f>Bilans_E_AMS_Kyoto_run3_MTE!M423</f>
        <v>0</v>
      </c>
      <c r="J236" s="712">
        <f>Bilans_E_AMS_Kyoto_run3_MTE!N423</f>
        <v>0</v>
      </c>
      <c r="K236" s="712">
        <f>Bilans_E_AMS_Kyoto_run3_MTE!O423</f>
        <v>0</v>
      </c>
      <c r="L236" s="712">
        <f>Bilans_E_AMS_Kyoto_run3_MTE!P423</f>
        <v>0</v>
      </c>
      <c r="M236" s="712">
        <f>Bilans_E_AMS_Kyoto_run3_MTE!Q423</f>
        <v>0</v>
      </c>
      <c r="N236" s="712">
        <f>Bilans_E_AMS_Kyoto_run3_MTE!R423</f>
        <v>0</v>
      </c>
      <c r="O236" s="712">
        <f>Bilans_E_AMS_Kyoto_run3_MTE!S423</f>
        <v>-7.7990691835452708E-2</v>
      </c>
      <c r="P236" s="712">
        <f>Bilans_E_AMS_Kyoto_run3_MTE!T423+Bilans_E_AMS_Kyoto_run3_MTE!U423</f>
        <v>0</v>
      </c>
      <c r="Q236" s="712">
        <f>Bilans_E_AMS_Kyoto_run3_MTE!V423</f>
        <v>0</v>
      </c>
      <c r="R236" s="712">
        <f>Bilans_E_AMS_Kyoto_run3_MTE!W423</f>
        <v>-125.47851234932489</v>
      </c>
      <c r="S236" s="712">
        <f>Bilans_E_AMS_Kyoto_run3_MTE!X423</f>
        <v>0</v>
      </c>
      <c r="T236" s="712">
        <f>Bilans_E_AMS_Kyoto_run3_MTE!Y423</f>
        <v>0</v>
      </c>
      <c r="U236" s="712">
        <f>Bilans_E_AMS_Kyoto_run3_MTE!Z423</f>
        <v>-125.55650304116034</v>
      </c>
      <c r="V236" s="701"/>
      <c r="W236" s="701"/>
    </row>
    <row r="237" spans="1:23" x14ac:dyDescent="0.25">
      <c r="A237" s="701" t="s">
        <v>490</v>
      </c>
      <c r="B237" s="701"/>
      <c r="C237" s="710" t="s">
        <v>62</v>
      </c>
      <c r="D237" s="711">
        <f>Bilans_E_AMS_Kyoto_run3_MTE!H424</f>
        <v>0</v>
      </c>
      <c r="E237" s="711">
        <f>Bilans_E_AMS_Kyoto_run3_MTE!I424</f>
        <v>0</v>
      </c>
      <c r="F237" s="711">
        <f>Bilans_E_AMS_Kyoto_run3_MTE!J424</f>
        <v>-5.9348855093326982</v>
      </c>
      <c r="G237" s="711">
        <f>Bilans_E_AMS_Kyoto_run3_MTE!K424</f>
        <v>-0.99259685127624486</v>
      </c>
      <c r="H237" s="711">
        <f>Bilans_E_AMS_Kyoto_run3_MTE!L424</f>
        <v>0</v>
      </c>
      <c r="I237" s="711">
        <f>Bilans_E_AMS_Kyoto_run3_MTE!M424</f>
        <v>-0.99259685127624475</v>
      </c>
      <c r="J237" s="711">
        <f>Bilans_E_AMS_Kyoto_run3_MTE!N424</f>
        <v>0</v>
      </c>
      <c r="K237" s="711">
        <f>Bilans_E_AMS_Kyoto_run3_MTE!O424</f>
        <v>0</v>
      </c>
      <c r="L237" s="711">
        <f>Bilans_E_AMS_Kyoto_run3_MTE!P424</f>
        <v>0</v>
      </c>
      <c r="M237" s="711">
        <f>Bilans_E_AMS_Kyoto_run3_MTE!Q424</f>
        <v>0</v>
      </c>
      <c r="N237" s="711">
        <f>Bilans_E_AMS_Kyoto_run3_MTE!R424</f>
        <v>0</v>
      </c>
      <c r="O237" s="711">
        <f>Bilans_E_AMS_Kyoto_run3_MTE!S424</f>
        <v>-1.3642017969458513</v>
      </c>
      <c r="P237" s="711">
        <f>Bilans_E_AMS_Kyoto_run3_MTE!T424+Bilans_E_AMS_Kyoto_run3_MTE!U424</f>
        <v>0</v>
      </c>
      <c r="Q237" s="711">
        <f>Bilans_E_AMS_Kyoto_run3_MTE!V424</f>
        <v>0</v>
      </c>
      <c r="R237" s="711">
        <f>Bilans_E_AMS_Kyoto_run3_MTE!W424</f>
        <v>0</v>
      </c>
      <c r="S237" s="711">
        <f>Bilans_E_AMS_Kyoto_run3_MTE!X424</f>
        <v>0</v>
      </c>
      <c r="T237" s="711">
        <f>Bilans_E_AMS_Kyoto_run3_MTE!Y424</f>
        <v>-0.66413311470232494</v>
      </c>
      <c r="U237" s="711">
        <f>Bilans_E_AMS_Kyoto_run3_MTE!Z424</f>
        <v>-9.9484141235333645</v>
      </c>
      <c r="V237" s="701"/>
      <c r="W237" s="701"/>
    </row>
    <row r="238" spans="1:23" x14ac:dyDescent="0.25">
      <c r="A238" s="701" t="s">
        <v>491</v>
      </c>
      <c r="B238" s="701"/>
      <c r="C238" s="710" t="s">
        <v>63</v>
      </c>
      <c r="D238" s="711">
        <f>Bilans_E_AMS_Kyoto_run3_MTE!H425</f>
        <v>0</v>
      </c>
      <c r="E238" s="711">
        <f>Bilans_E_AMS_Kyoto_run3_MTE!I425</f>
        <v>0</v>
      </c>
      <c r="F238" s="711">
        <f>Bilans_E_AMS_Kyoto_run3_MTE!J425</f>
        <v>-40</v>
      </c>
      <c r="G238" s="711">
        <f>Bilans_E_AMS_Kyoto_run3_MTE!K425</f>
        <v>-8</v>
      </c>
      <c r="H238" s="711">
        <f>Bilans_E_AMS_Kyoto_run3_MTE!L425</f>
        <v>0</v>
      </c>
      <c r="I238" s="711">
        <f>Bilans_E_AMS_Kyoto_run3_MTE!M425</f>
        <v>0</v>
      </c>
      <c r="J238" s="711">
        <f>Bilans_E_AMS_Kyoto_run3_MTE!N425</f>
        <v>0</v>
      </c>
      <c r="K238" s="711">
        <f>Bilans_E_AMS_Kyoto_run3_MTE!O425</f>
        <v>0</v>
      </c>
      <c r="L238" s="711">
        <f>Bilans_E_AMS_Kyoto_run3_MTE!P425</f>
        <v>0</v>
      </c>
      <c r="M238" s="711">
        <f>Bilans_E_AMS_Kyoto_run3_MTE!Q425</f>
        <v>0</v>
      </c>
      <c r="N238" s="711">
        <f>Bilans_E_AMS_Kyoto_run3_MTE!R425</f>
        <v>-15</v>
      </c>
      <c r="O238" s="711">
        <f>Bilans_E_AMS_Kyoto_run3_MTE!S425</f>
        <v>0</v>
      </c>
      <c r="P238" s="711">
        <f>Bilans_E_AMS_Kyoto_run3_MTE!T425+Bilans_E_AMS_Kyoto_run3_MTE!U425</f>
        <v>0</v>
      </c>
      <c r="Q238" s="711">
        <f>Bilans_E_AMS_Kyoto_run3_MTE!V425</f>
        <v>0</v>
      </c>
      <c r="R238" s="711">
        <f>Bilans_E_AMS_Kyoto_run3_MTE!W425</f>
        <v>0</v>
      </c>
      <c r="S238" s="711">
        <f>Bilans_E_AMS_Kyoto_run3_MTE!X425</f>
        <v>0</v>
      </c>
      <c r="T238" s="711">
        <f>Bilans_E_AMS_Kyoto_run3_MTE!Y425</f>
        <v>-3.0000000000000004</v>
      </c>
      <c r="U238" s="711">
        <f>Bilans_E_AMS_Kyoto_run3_MTE!Z425</f>
        <v>-66</v>
      </c>
      <c r="V238" s="701"/>
      <c r="W238" s="701"/>
    </row>
    <row r="239" spans="1:23" x14ac:dyDescent="0.25">
      <c r="A239" s="701" t="s">
        <v>492</v>
      </c>
      <c r="B239" s="701"/>
      <c r="C239" s="710" t="s">
        <v>64</v>
      </c>
      <c r="D239" s="712">
        <f>Bilans_E_AMS_Kyoto_run3_MTE!H426</f>
        <v>0</v>
      </c>
      <c r="E239" s="712">
        <f>Bilans_E_AMS_Kyoto_run3_MTE!I426</f>
        <v>0</v>
      </c>
      <c r="F239" s="712">
        <f>Bilans_E_AMS_Kyoto_run3_MTE!J426</f>
        <v>0</v>
      </c>
      <c r="G239" s="712">
        <f>Bilans_E_AMS_Kyoto_run3_MTE!K426</f>
        <v>0</v>
      </c>
      <c r="H239" s="712">
        <f>Bilans_E_AMS_Kyoto_run3_MTE!L426</f>
        <v>0</v>
      </c>
      <c r="I239" s="712">
        <f>Bilans_E_AMS_Kyoto_run3_MTE!M426</f>
        <v>0</v>
      </c>
      <c r="J239" s="712">
        <f>Bilans_E_AMS_Kyoto_run3_MTE!N426</f>
        <v>0</v>
      </c>
      <c r="K239" s="712">
        <f>Bilans_E_AMS_Kyoto_run3_MTE!O426</f>
        <v>0</v>
      </c>
      <c r="L239" s="712">
        <f>Bilans_E_AMS_Kyoto_run3_MTE!P426</f>
        <v>0</v>
      </c>
      <c r="M239" s="712">
        <f>Bilans_E_AMS_Kyoto_run3_MTE!Q426</f>
        <v>0</v>
      </c>
      <c r="N239" s="712">
        <f>Bilans_E_AMS_Kyoto_run3_MTE!R426</f>
        <v>0</v>
      </c>
      <c r="O239" s="712">
        <f>Bilans_E_AMS_Kyoto_run3_MTE!S426</f>
        <v>0</v>
      </c>
      <c r="P239" s="712">
        <f>Bilans_E_AMS_Kyoto_run3_MTE!T426+Bilans_E_AMS_Kyoto_run3_MTE!U426</f>
        <v>0</v>
      </c>
      <c r="Q239" s="712">
        <f>Bilans_E_AMS_Kyoto_run3_MTE!V426</f>
        <v>0</v>
      </c>
      <c r="R239" s="712">
        <f>Bilans_E_AMS_Kyoto_run3_MTE!W426</f>
        <v>0</v>
      </c>
      <c r="S239" s="712">
        <f>Bilans_E_AMS_Kyoto_run3_MTE!X426</f>
        <v>0</v>
      </c>
      <c r="T239" s="712">
        <f>Bilans_E_AMS_Kyoto_run3_MTE!Y426</f>
        <v>0</v>
      </c>
      <c r="U239" s="712">
        <f>Bilans_E_AMS_Kyoto_run3_MTE!Z426</f>
        <v>0</v>
      </c>
      <c r="V239" s="701"/>
      <c r="W239" s="701"/>
    </row>
    <row r="240" spans="1:23" x14ac:dyDescent="0.25">
      <c r="A240" s="701" t="s">
        <v>493</v>
      </c>
      <c r="B240" s="701"/>
      <c r="C240" s="713" t="s">
        <v>65</v>
      </c>
      <c r="D240" s="714">
        <f>Bilans_E_AMS_Kyoto_run3_MTE!H427</f>
        <v>12.152793945312501</v>
      </c>
      <c r="E240" s="714">
        <f>Bilans_E_AMS_Kyoto_run3_MTE!I427</f>
        <v>228.52698065701114</v>
      </c>
      <c r="F240" s="714">
        <f>Bilans_E_AMS_Kyoto_run3_MTE!J427</f>
        <v>6.8227719905437425</v>
      </c>
      <c r="G240" s="714">
        <f>Bilans_E_AMS_Kyoto_run3_MTE!K427</f>
        <v>-1.9064242790911123</v>
      </c>
      <c r="H240" s="714">
        <f>Bilans_E_AMS_Kyoto_run3_MTE!L427</f>
        <v>109.90340859679944</v>
      </c>
      <c r="I240" s="714">
        <f>Bilans_E_AMS_Kyoto_run3_MTE!M427</f>
        <v>-0.99259685127624475</v>
      </c>
      <c r="J240" s="714">
        <f>Bilans_E_AMS_Kyoto_run3_MTE!N427</f>
        <v>1217.3350254612858</v>
      </c>
      <c r="K240" s="714">
        <f>Bilans_E_AMS_Kyoto_run3_MTE!O427</f>
        <v>388.29502398919544</v>
      </c>
      <c r="L240" s="714">
        <f>Bilans_E_AMS_Kyoto_run3_MTE!P427</f>
        <v>353.58508374919074</v>
      </c>
      <c r="M240" s="714">
        <f>Bilans_E_AMS_Kyoto_run3_MTE!Q427</f>
        <v>47.572914538902204</v>
      </c>
      <c r="N240" s="714">
        <f>Bilans_E_AMS_Kyoto_run3_MTE!R427</f>
        <v>-2.3591762395477005</v>
      </c>
      <c r="O240" s="714">
        <f>Bilans_E_AMS_Kyoto_run3_MTE!S427</f>
        <v>-1.442192488781304</v>
      </c>
      <c r="P240" s="714">
        <f>Bilans_E_AMS_Kyoto_run3_MTE!T427+Bilans_E_AMS_Kyoto_run3_MTE!U427</f>
        <v>217.97798120035498</v>
      </c>
      <c r="Q240" s="714">
        <f>Bilans_E_AMS_Kyoto_run3_MTE!V427</f>
        <v>44.670610017190697</v>
      </c>
      <c r="R240" s="714">
        <f>Bilans_E_AMS_Kyoto_run3_MTE!W427</f>
        <v>-125.47851234932489</v>
      </c>
      <c r="S240" s="714">
        <f>Bilans_E_AMS_Kyoto_run3_MTE!X427</f>
        <v>0</v>
      </c>
      <c r="T240" s="714">
        <f>Bilans_E_AMS_Kyoto_run3_MTE!Y427</f>
        <v>-3.6641331147023255</v>
      </c>
      <c r="U240" s="714">
        <f>Bilans_E_AMS_Kyoto_run3_MTE!Z427</f>
        <v>2490.9995588230627</v>
      </c>
      <c r="V240" s="701"/>
      <c r="W240" s="701"/>
    </row>
    <row r="241" spans="1:23" x14ac:dyDescent="0.25">
      <c r="A241" s="701"/>
      <c r="B241" s="701"/>
      <c r="C241" s="715"/>
      <c r="D241" s="716"/>
      <c r="E241" s="716"/>
      <c r="F241" s="716"/>
      <c r="G241" s="716"/>
      <c r="H241" s="716"/>
      <c r="I241" s="716"/>
      <c r="J241" s="716"/>
      <c r="K241" s="716"/>
      <c r="L241" s="716"/>
      <c r="M241" s="716"/>
      <c r="N241" s="716"/>
      <c r="O241" s="716"/>
      <c r="P241" s="716">
        <f>Bilans_E_AMS_Kyoto_run3_MTE!T428+Bilans_E_AMS_Kyoto_run3_MTE!U428</f>
        <v>0</v>
      </c>
      <c r="Q241" s="716"/>
      <c r="R241" s="716"/>
      <c r="S241" s="716"/>
      <c r="T241" s="716"/>
      <c r="U241" s="716"/>
      <c r="V241" s="701"/>
      <c r="W241" s="701"/>
    </row>
    <row r="242" spans="1:23" x14ac:dyDescent="0.25">
      <c r="A242" s="701" t="s">
        <v>494</v>
      </c>
      <c r="B242" s="701"/>
      <c r="C242" s="717" t="s">
        <v>67</v>
      </c>
      <c r="D242" s="711">
        <f>Bilans_E_AMS_Kyoto_run3_MTE!H429</f>
        <v>0</v>
      </c>
      <c r="E242" s="711">
        <f>Bilans_E_AMS_Kyoto_run3_MTE!I429</f>
        <v>0</v>
      </c>
      <c r="F242" s="711">
        <f>Bilans_E_AMS_Kyoto_run3_MTE!J429</f>
        <v>0</v>
      </c>
      <c r="G242" s="711">
        <f>Bilans_E_AMS_Kyoto_run3_MTE!K429</f>
        <v>0</v>
      </c>
      <c r="H242" s="711">
        <f>Bilans_E_AMS_Kyoto_run3_MTE!L429</f>
        <v>0</v>
      </c>
      <c r="I242" s="711">
        <f>Bilans_E_AMS_Kyoto_run3_MTE!M429</f>
        <v>0</v>
      </c>
      <c r="J242" s="711">
        <f>Bilans_E_AMS_Kyoto_run3_MTE!N429</f>
        <v>0</v>
      </c>
      <c r="K242" s="711">
        <f>Bilans_E_AMS_Kyoto_run3_MTE!O429</f>
        <v>0</v>
      </c>
      <c r="L242" s="711">
        <f>Bilans_E_AMS_Kyoto_run3_MTE!P429</f>
        <v>0</v>
      </c>
      <c r="M242" s="711">
        <f>Bilans_E_AMS_Kyoto_run3_MTE!Q429</f>
        <v>0</v>
      </c>
      <c r="N242" s="711">
        <f>Bilans_E_AMS_Kyoto_run3_MTE!R429</f>
        <v>0</v>
      </c>
      <c r="O242" s="711">
        <f>Bilans_E_AMS_Kyoto_run3_MTE!S429</f>
        <v>0</v>
      </c>
      <c r="P242" s="711">
        <f>Bilans_E_AMS_Kyoto_run3_MTE!T429+Bilans_E_AMS_Kyoto_run3_MTE!U429</f>
        <v>0</v>
      </c>
      <c r="Q242" s="711">
        <f>Bilans_E_AMS_Kyoto_run3_MTE!V429</f>
        <v>0</v>
      </c>
      <c r="R242" s="711">
        <f>Bilans_E_AMS_Kyoto_run3_MTE!W429</f>
        <v>0</v>
      </c>
      <c r="S242" s="711">
        <f>Bilans_E_AMS_Kyoto_run3_MTE!X429</f>
        <v>0</v>
      </c>
      <c r="T242" s="711">
        <f>Bilans_E_AMS_Kyoto_run3_MTE!Y429</f>
        <v>0</v>
      </c>
      <c r="U242" s="711">
        <f>Bilans_E_AMS_Kyoto_run3_MTE!Z429</f>
        <v>0</v>
      </c>
      <c r="V242" s="701"/>
      <c r="W242" s="701"/>
    </row>
    <row r="243" spans="1:23" x14ac:dyDescent="0.25">
      <c r="A243" s="701" t="s">
        <v>495</v>
      </c>
      <c r="B243" s="701"/>
      <c r="C243" s="717" t="s">
        <v>347</v>
      </c>
      <c r="D243" s="711">
        <f>Bilans_E_AMS_Kyoto_run3_MTE!H430</f>
        <v>0</v>
      </c>
      <c r="E243" s="711">
        <f>Bilans_E_AMS_Kyoto_run3_MTE!I430</f>
        <v>0</v>
      </c>
      <c r="F243" s="711">
        <f>Bilans_E_AMS_Kyoto_run3_MTE!J430</f>
        <v>6.6151953400033478E-2</v>
      </c>
      <c r="G243" s="711">
        <f>Bilans_E_AMS_Kyoto_run3_MTE!K430</f>
        <v>0</v>
      </c>
      <c r="H243" s="711">
        <f>Bilans_E_AMS_Kyoto_run3_MTE!L430</f>
        <v>2.4867213913043404E-3</v>
      </c>
      <c r="I243" s="711">
        <f>Bilans_E_AMS_Kyoto_run3_MTE!M430</f>
        <v>0</v>
      </c>
      <c r="J243" s="711">
        <f>Bilans_E_AMS_Kyoto_run3_MTE!N430</f>
        <v>1213.9369090909088</v>
      </c>
      <c r="K243" s="711">
        <f>Bilans_E_AMS_Kyoto_run3_MTE!O430</f>
        <v>388.29502398919544</v>
      </c>
      <c r="L243" s="711">
        <f>Bilans_E_AMS_Kyoto_run3_MTE!P430</f>
        <v>17.586826213678588</v>
      </c>
      <c r="M243" s="711">
        <f>Bilans_E_AMS_Kyoto_run3_MTE!Q430</f>
        <v>5.6133813254305416</v>
      </c>
      <c r="N243" s="711">
        <f>Bilans_E_AMS_Kyoto_run3_MTE!R430</f>
        <v>5.6269378379330357</v>
      </c>
      <c r="O243" s="711">
        <f>Bilans_E_AMS_Kyoto_run3_MTE!S430</f>
        <v>0.11555796351278441</v>
      </c>
      <c r="P243" s="711">
        <f>Bilans_E_AMS_Kyoto_run3_MTE!T430+Bilans_E_AMS_Kyoto_run3_MTE!U430</f>
        <v>0</v>
      </c>
      <c r="Q243" s="711">
        <f>Bilans_E_AMS_Kyoto_run3_MTE!V430</f>
        <v>6.4327567473291545</v>
      </c>
      <c r="R243" s="711">
        <f>Bilans_E_AMS_Kyoto_run3_MTE!W430</f>
        <v>-805.46190663810182</v>
      </c>
      <c r="S243" s="711">
        <f>Bilans_E_AMS_Kyoto_run3_MTE!X430</f>
        <v>0</v>
      </c>
      <c r="T243" s="711">
        <f>Bilans_E_AMS_Kyoto_run3_MTE!Y430</f>
        <v>0</v>
      </c>
      <c r="U243" s="711">
        <f>Bilans_E_AMS_Kyoto_run3_MTE!Z430</f>
        <v>832.21412520467777</v>
      </c>
      <c r="V243" s="701"/>
      <c r="W243" s="701"/>
    </row>
    <row r="244" spans="1:23" x14ac:dyDescent="0.25">
      <c r="A244" s="701" t="s">
        <v>496</v>
      </c>
      <c r="B244" s="701"/>
      <c r="C244" s="717" t="s">
        <v>348</v>
      </c>
      <c r="D244" s="711">
        <f>Bilans_E_AMS_Kyoto_run3_MTE!H431</f>
        <v>0</v>
      </c>
      <c r="E244" s="711">
        <f>Bilans_E_AMS_Kyoto_run3_MTE!I431</f>
        <v>0</v>
      </c>
      <c r="F244" s="711">
        <f>Bilans_E_AMS_Kyoto_run3_MTE!J431</f>
        <v>0</v>
      </c>
      <c r="G244" s="711">
        <f>Bilans_E_AMS_Kyoto_run3_MTE!K431</f>
        <v>0</v>
      </c>
      <c r="H244" s="711">
        <f>Bilans_E_AMS_Kyoto_run3_MTE!L431</f>
        <v>13.794883526882547</v>
      </c>
      <c r="I244" s="711">
        <f>Bilans_E_AMS_Kyoto_run3_MTE!M431</f>
        <v>0</v>
      </c>
      <c r="J244" s="711">
        <f>Bilans_E_AMS_Kyoto_run3_MTE!N431</f>
        <v>3.3981163703769028</v>
      </c>
      <c r="K244" s="711">
        <f>Bilans_E_AMS_Kyoto_run3_MTE!O431</f>
        <v>0</v>
      </c>
      <c r="L244" s="711">
        <f>Bilans_E_AMS_Kyoto_run3_MTE!P431</f>
        <v>24.198351271875673</v>
      </c>
      <c r="M244" s="711">
        <f>Bilans_E_AMS_Kyoto_run3_MTE!Q431</f>
        <v>14.187375488735356</v>
      </c>
      <c r="N244" s="711">
        <f>Bilans_E_AMS_Kyoto_run3_MTE!R431</f>
        <v>0</v>
      </c>
      <c r="O244" s="711">
        <f>Bilans_E_AMS_Kyoto_run3_MTE!S431</f>
        <v>9.211082811707719</v>
      </c>
      <c r="P244" s="711">
        <f>Bilans_E_AMS_Kyoto_run3_MTE!T431+Bilans_E_AMS_Kyoto_run3_MTE!U431</f>
        <v>17.004200785241363</v>
      </c>
      <c r="Q244" s="711">
        <f>Bilans_E_AMS_Kyoto_run3_MTE!V431</f>
        <v>15.724500904765749</v>
      </c>
      <c r="R244" s="711">
        <f>Bilans_E_AMS_Kyoto_run3_MTE!W431</f>
        <v>0</v>
      </c>
      <c r="S244" s="711">
        <f>Bilans_E_AMS_Kyoto_run3_MTE!X431</f>
        <v>-90.436442741744855</v>
      </c>
      <c r="T244" s="711">
        <f>Bilans_E_AMS_Kyoto_run3_MTE!Y431</f>
        <v>0</v>
      </c>
      <c r="U244" s="711">
        <f>Bilans_E_AMS_Kyoto_run3_MTE!Z431</f>
        <v>7.0820684178404321</v>
      </c>
      <c r="V244" s="701"/>
      <c r="W244" s="701"/>
    </row>
    <row r="245" spans="1:23" x14ac:dyDescent="0.25">
      <c r="A245" s="701" t="s">
        <v>497</v>
      </c>
      <c r="B245" s="701"/>
      <c r="C245" s="717" t="s">
        <v>349</v>
      </c>
      <c r="D245" s="711">
        <f>Bilans_E_AMS_Kyoto_run3_MTE!H432</f>
        <v>0</v>
      </c>
      <c r="E245" s="711">
        <f>Bilans_E_AMS_Kyoto_run3_MTE!I432</f>
        <v>0</v>
      </c>
      <c r="F245" s="711">
        <f>Bilans_E_AMS_Kyoto_run3_MTE!J432</f>
        <v>0</v>
      </c>
      <c r="G245" s="711">
        <f>Bilans_E_AMS_Kyoto_run3_MTE!K432</f>
        <v>0</v>
      </c>
      <c r="H245" s="711">
        <f>Bilans_E_AMS_Kyoto_run3_MTE!L432</f>
        <v>0</v>
      </c>
      <c r="I245" s="711">
        <f>Bilans_E_AMS_Kyoto_run3_MTE!M432</f>
        <v>0</v>
      </c>
      <c r="J245" s="711">
        <f>Bilans_E_AMS_Kyoto_run3_MTE!N432</f>
        <v>0</v>
      </c>
      <c r="K245" s="711">
        <f>Bilans_E_AMS_Kyoto_run3_MTE!O432</f>
        <v>0</v>
      </c>
      <c r="L245" s="711">
        <f>Bilans_E_AMS_Kyoto_run3_MTE!P432</f>
        <v>121.15349099008552</v>
      </c>
      <c r="M245" s="711">
        <f>Bilans_E_AMS_Kyoto_run3_MTE!Q432</f>
        <v>11.695220862948467</v>
      </c>
      <c r="N245" s="711">
        <f>Bilans_E_AMS_Kyoto_run3_MTE!R432</f>
        <v>0</v>
      </c>
      <c r="O245" s="711">
        <f>Bilans_E_AMS_Kyoto_run3_MTE!S432</f>
        <v>-66.507884301827488</v>
      </c>
      <c r="P245" s="711">
        <f>Bilans_E_AMS_Kyoto_run3_MTE!T432+Bilans_E_AMS_Kyoto_run3_MTE!U432</f>
        <v>0</v>
      </c>
      <c r="Q245" s="711">
        <f>Bilans_E_AMS_Kyoto_run3_MTE!V432</f>
        <v>0</v>
      </c>
      <c r="R245" s="711">
        <f>Bilans_E_AMS_Kyoto_run3_MTE!W432</f>
        <v>0</v>
      </c>
      <c r="S245" s="711">
        <f>Bilans_E_AMS_Kyoto_run3_MTE!X432</f>
        <v>0</v>
      </c>
      <c r="T245" s="711">
        <f>Bilans_E_AMS_Kyoto_run3_MTE!Y432</f>
        <v>0</v>
      </c>
      <c r="U245" s="711">
        <f>Bilans_E_AMS_Kyoto_run3_MTE!Z432</f>
        <v>66.340827551206502</v>
      </c>
      <c r="V245" s="701"/>
      <c r="W245" s="701"/>
    </row>
    <row r="246" spans="1:23" x14ac:dyDescent="0.25">
      <c r="A246" s="701" t="s">
        <v>498</v>
      </c>
      <c r="B246" s="701"/>
      <c r="C246" s="717" t="s">
        <v>350</v>
      </c>
      <c r="D246" s="711">
        <f>Bilans_E_AMS_Kyoto_run3_MTE!H433</f>
        <v>0</v>
      </c>
      <c r="E246" s="711">
        <f>Bilans_E_AMS_Kyoto_run3_MTE!I433</f>
        <v>0</v>
      </c>
      <c r="F246" s="711">
        <f>Bilans_E_AMS_Kyoto_run3_MTE!J433</f>
        <v>0</v>
      </c>
      <c r="G246" s="711">
        <f>Bilans_E_AMS_Kyoto_run3_MTE!K433</f>
        <v>0</v>
      </c>
      <c r="H246" s="711">
        <f>Bilans_E_AMS_Kyoto_run3_MTE!L433</f>
        <v>0</v>
      </c>
      <c r="I246" s="711">
        <f>Bilans_E_AMS_Kyoto_run3_MTE!M433</f>
        <v>-0.99259685127624475</v>
      </c>
      <c r="J246" s="711">
        <f>Bilans_E_AMS_Kyoto_run3_MTE!N433</f>
        <v>0</v>
      </c>
      <c r="K246" s="711">
        <f>Bilans_E_AMS_Kyoto_run3_MTE!O433</f>
        <v>0</v>
      </c>
      <c r="L246" s="711">
        <f>Bilans_E_AMS_Kyoto_run3_MTE!P433</f>
        <v>0</v>
      </c>
      <c r="M246" s="711">
        <f>Bilans_E_AMS_Kyoto_run3_MTE!Q433</f>
        <v>0</v>
      </c>
      <c r="N246" s="711">
        <f>Bilans_E_AMS_Kyoto_run3_MTE!R433</f>
        <v>0</v>
      </c>
      <c r="O246" s="711">
        <f>Bilans_E_AMS_Kyoto_run3_MTE!S433</f>
        <v>0</v>
      </c>
      <c r="P246" s="711">
        <f>Bilans_E_AMS_Kyoto_run3_MTE!T433+Bilans_E_AMS_Kyoto_run3_MTE!U433</f>
        <v>0</v>
      </c>
      <c r="Q246" s="711">
        <f>Bilans_E_AMS_Kyoto_run3_MTE!V433</f>
        <v>0</v>
      </c>
      <c r="R246" s="711">
        <f>Bilans_E_AMS_Kyoto_run3_MTE!W433</f>
        <v>0</v>
      </c>
      <c r="S246" s="711">
        <f>Bilans_E_AMS_Kyoto_run3_MTE!X433</f>
        <v>0</v>
      </c>
      <c r="T246" s="711">
        <f>Bilans_E_AMS_Kyoto_run3_MTE!Y433</f>
        <v>1.3786067378836733</v>
      </c>
      <c r="U246" s="711">
        <f>Bilans_E_AMS_Kyoto_run3_MTE!Z433</f>
        <v>0.38600988660742852</v>
      </c>
      <c r="V246" s="701"/>
      <c r="W246" s="701"/>
    </row>
    <row r="247" spans="1:23" x14ac:dyDescent="0.25">
      <c r="A247" s="701" t="s">
        <v>499</v>
      </c>
      <c r="B247" s="701"/>
      <c r="C247" s="717" t="s">
        <v>72</v>
      </c>
      <c r="D247" s="711">
        <f>Bilans_E_AMS_Kyoto_run3_MTE!H434</f>
        <v>0</v>
      </c>
      <c r="E247" s="711">
        <f>Bilans_E_AMS_Kyoto_run3_MTE!I434</f>
        <v>236.81493545445448</v>
      </c>
      <c r="F247" s="711">
        <f>Bilans_E_AMS_Kyoto_run3_MTE!J434</f>
        <v>-234.44678609990993</v>
      </c>
      <c r="G247" s="711">
        <f>Bilans_E_AMS_Kyoto_run3_MTE!K434</f>
        <v>0</v>
      </c>
      <c r="H247" s="711">
        <f>Bilans_E_AMS_Kyoto_run3_MTE!L434</f>
        <v>0</v>
      </c>
      <c r="I247" s="711">
        <f>Bilans_E_AMS_Kyoto_run3_MTE!M434</f>
        <v>0</v>
      </c>
      <c r="J247" s="711">
        <f>Bilans_E_AMS_Kyoto_run3_MTE!N434</f>
        <v>0</v>
      </c>
      <c r="K247" s="711">
        <f>Bilans_E_AMS_Kyoto_run3_MTE!O434</f>
        <v>0</v>
      </c>
      <c r="L247" s="711">
        <f>Bilans_E_AMS_Kyoto_run3_MTE!P434</f>
        <v>0</v>
      </c>
      <c r="M247" s="711">
        <f>Bilans_E_AMS_Kyoto_run3_MTE!Q434</f>
        <v>0</v>
      </c>
      <c r="N247" s="711">
        <f>Bilans_E_AMS_Kyoto_run3_MTE!R434</f>
        <v>0</v>
      </c>
      <c r="O247" s="711">
        <f>Bilans_E_AMS_Kyoto_run3_MTE!S434</f>
        <v>0</v>
      </c>
      <c r="P247" s="711">
        <f>Bilans_E_AMS_Kyoto_run3_MTE!T434+Bilans_E_AMS_Kyoto_run3_MTE!U434</f>
        <v>0</v>
      </c>
      <c r="Q247" s="711">
        <f>Bilans_E_AMS_Kyoto_run3_MTE!V434</f>
        <v>0</v>
      </c>
      <c r="R247" s="711">
        <f>Bilans_E_AMS_Kyoto_run3_MTE!W434</f>
        <v>0</v>
      </c>
      <c r="S247" s="711">
        <f>Bilans_E_AMS_Kyoto_run3_MTE!X434</f>
        <v>0</v>
      </c>
      <c r="T247" s="711">
        <f>Bilans_E_AMS_Kyoto_run3_MTE!Y434</f>
        <v>0</v>
      </c>
      <c r="U247" s="711">
        <f>Bilans_E_AMS_Kyoto_run3_MTE!Z434</f>
        <v>2.3681493545445562</v>
      </c>
      <c r="V247" s="701"/>
      <c r="W247" s="701"/>
    </row>
    <row r="248" spans="1:23" x14ac:dyDescent="0.25">
      <c r="A248" s="701" t="s">
        <v>500</v>
      </c>
      <c r="B248" s="701"/>
      <c r="C248" s="717" t="s">
        <v>351</v>
      </c>
      <c r="D248" s="711">
        <f>Bilans_E_AMS_Kyoto_run3_MTE!H435</f>
        <v>0</v>
      </c>
      <c r="E248" s="711">
        <f>Bilans_E_AMS_Kyoto_run3_MTE!I435</f>
        <v>0</v>
      </c>
      <c r="F248" s="711">
        <f>Bilans_E_AMS_Kyoto_run3_MTE!J435</f>
        <v>0</v>
      </c>
      <c r="G248" s="711">
        <f>Bilans_E_AMS_Kyoto_run3_MTE!K435</f>
        <v>0</v>
      </c>
      <c r="H248" s="711">
        <f>Bilans_E_AMS_Kyoto_run3_MTE!L435</f>
        <v>0</v>
      </c>
      <c r="I248" s="711">
        <f>Bilans_E_AMS_Kyoto_run3_MTE!M435</f>
        <v>0</v>
      </c>
      <c r="J248" s="711">
        <f>Bilans_E_AMS_Kyoto_run3_MTE!N435</f>
        <v>0</v>
      </c>
      <c r="K248" s="711">
        <f>Bilans_E_AMS_Kyoto_run3_MTE!O435</f>
        <v>0</v>
      </c>
      <c r="L248" s="711">
        <f>Bilans_E_AMS_Kyoto_run3_MTE!P435</f>
        <v>92.214586114726359</v>
      </c>
      <c r="M248" s="711">
        <f>Bilans_E_AMS_Kyoto_run3_MTE!Q435</f>
        <v>7.2727272727272725</v>
      </c>
      <c r="N248" s="711">
        <f>Bilans_E_AMS_Kyoto_run3_MTE!R435</f>
        <v>-55.427636476917691</v>
      </c>
      <c r="O248" s="711">
        <f>Bilans_E_AMS_Kyoto_run3_MTE!S435</f>
        <v>0</v>
      </c>
      <c r="P248" s="711">
        <f>Bilans_E_AMS_Kyoto_run3_MTE!T435+Bilans_E_AMS_Kyoto_run3_MTE!U435</f>
        <v>0</v>
      </c>
      <c r="Q248" s="711">
        <f>Bilans_E_AMS_Kyoto_run3_MTE!V435</f>
        <v>0</v>
      </c>
      <c r="R248" s="711">
        <f>Bilans_E_AMS_Kyoto_run3_MTE!W435</f>
        <v>0</v>
      </c>
      <c r="S248" s="711">
        <f>Bilans_E_AMS_Kyoto_run3_MTE!X435</f>
        <v>0</v>
      </c>
      <c r="T248" s="711">
        <f>Bilans_E_AMS_Kyoto_run3_MTE!Y435</f>
        <v>0</v>
      </c>
      <c r="U248" s="711">
        <f>Bilans_E_AMS_Kyoto_run3_MTE!Z435</f>
        <v>44.059676910535934</v>
      </c>
      <c r="V248" s="701"/>
      <c r="W248" s="701"/>
    </row>
    <row r="249" spans="1:23" x14ac:dyDescent="0.25">
      <c r="A249" s="701" t="s">
        <v>501</v>
      </c>
      <c r="B249" s="701"/>
      <c r="C249" s="717" t="s">
        <v>352</v>
      </c>
      <c r="D249" s="711">
        <f>Bilans_E_AMS_Kyoto_run3_MTE!H436</f>
        <v>0</v>
      </c>
      <c r="E249" s="711">
        <f>Bilans_E_AMS_Kyoto_run3_MTE!I436</f>
        <v>0</v>
      </c>
      <c r="F249" s="711">
        <f>Bilans_E_AMS_Kyoto_run3_MTE!J436</f>
        <v>0</v>
      </c>
      <c r="G249" s="711">
        <f>Bilans_E_AMS_Kyoto_run3_MTE!K436</f>
        <v>-5.3675968512762449</v>
      </c>
      <c r="H249" s="711">
        <f>Bilans_E_AMS_Kyoto_run3_MTE!L436</f>
        <v>0</v>
      </c>
      <c r="I249" s="711">
        <f>Bilans_E_AMS_Kyoto_run3_MTE!M436</f>
        <v>0</v>
      </c>
      <c r="J249" s="711">
        <f>Bilans_E_AMS_Kyoto_run3_MTE!N436</f>
        <v>0</v>
      </c>
      <c r="K249" s="711">
        <f>Bilans_E_AMS_Kyoto_run3_MTE!O436</f>
        <v>0</v>
      </c>
      <c r="L249" s="711">
        <f>Bilans_E_AMS_Kyoto_run3_MTE!P436</f>
        <v>0</v>
      </c>
      <c r="M249" s="711">
        <f>Bilans_E_AMS_Kyoto_run3_MTE!Q436</f>
        <v>0</v>
      </c>
      <c r="N249" s="711">
        <f>Bilans_E_AMS_Kyoto_run3_MTE!R436</f>
        <v>0</v>
      </c>
      <c r="O249" s="711">
        <f>Bilans_E_AMS_Kyoto_run3_MTE!S436</f>
        <v>0</v>
      </c>
      <c r="P249" s="711">
        <f>Bilans_E_AMS_Kyoto_run3_MTE!T436+Bilans_E_AMS_Kyoto_run3_MTE!U436</f>
        <v>0</v>
      </c>
      <c r="Q249" s="711">
        <f>Bilans_E_AMS_Kyoto_run3_MTE!V436</f>
        <v>0</v>
      </c>
      <c r="R249" s="711">
        <f>Bilans_E_AMS_Kyoto_run3_MTE!W436</f>
        <v>0</v>
      </c>
      <c r="S249" s="711">
        <f>Bilans_E_AMS_Kyoto_run3_MTE!X436</f>
        <v>0</v>
      </c>
      <c r="T249" s="711">
        <f>Bilans_E_AMS_Kyoto_run3_MTE!Y436</f>
        <v>8.7918565364038699</v>
      </c>
      <c r="U249" s="711">
        <f>Bilans_E_AMS_Kyoto_run3_MTE!Z436</f>
        <v>3.424259685127625</v>
      </c>
      <c r="V249" s="701"/>
      <c r="W249" s="701"/>
    </row>
    <row r="250" spans="1:23" x14ac:dyDescent="0.25">
      <c r="A250" s="701" t="s">
        <v>502</v>
      </c>
      <c r="B250" s="701"/>
      <c r="C250" s="717" t="s">
        <v>73</v>
      </c>
      <c r="D250" s="711">
        <f>Bilans_E_AMS_Kyoto_run3_MTE!H437</f>
        <v>0</v>
      </c>
      <c r="E250" s="711">
        <f>Bilans_E_AMS_Kyoto_run3_MTE!I437</f>
        <v>0</v>
      </c>
      <c r="F250" s="711">
        <f>Bilans_E_AMS_Kyoto_run3_MTE!J437</f>
        <v>0</v>
      </c>
      <c r="G250" s="711">
        <f>Bilans_E_AMS_Kyoto_run3_MTE!K437</f>
        <v>0</v>
      </c>
      <c r="H250" s="711">
        <f>Bilans_E_AMS_Kyoto_run3_MTE!L437</f>
        <v>0</v>
      </c>
      <c r="I250" s="711">
        <f>Bilans_E_AMS_Kyoto_run3_MTE!M437</f>
        <v>0</v>
      </c>
      <c r="J250" s="711">
        <f>Bilans_E_AMS_Kyoto_run3_MTE!N437</f>
        <v>0</v>
      </c>
      <c r="K250" s="711">
        <f>Bilans_E_AMS_Kyoto_run3_MTE!O437</f>
        <v>0</v>
      </c>
      <c r="L250" s="711">
        <f>Bilans_E_AMS_Kyoto_run3_MTE!P437</f>
        <v>0</v>
      </c>
      <c r="M250" s="711">
        <f>Bilans_E_AMS_Kyoto_run3_MTE!Q437</f>
        <v>0</v>
      </c>
      <c r="N250" s="711">
        <f>Bilans_E_AMS_Kyoto_run3_MTE!R437</f>
        <v>0</v>
      </c>
      <c r="O250" s="711">
        <f>Bilans_E_AMS_Kyoto_run3_MTE!S437</f>
        <v>0</v>
      </c>
      <c r="P250" s="711">
        <f>Bilans_E_AMS_Kyoto_run3_MTE!T437+Bilans_E_AMS_Kyoto_run3_MTE!U437</f>
        <v>0</v>
      </c>
      <c r="Q250" s="711">
        <f>Bilans_E_AMS_Kyoto_run3_MTE!V437</f>
        <v>0</v>
      </c>
      <c r="R250" s="711">
        <f>Bilans_E_AMS_Kyoto_run3_MTE!W437</f>
        <v>46.345987464156821</v>
      </c>
      <c r="S250" s="711">
        <f>Bilans_E_AMS_Kyoto_run3_MTE!X437</f>
        <v>0</v>
      </c>
      <c r="T250" s="711">
        <f>Bilans_E_AMS_Kyoto_run3_MTE!Y437</f>
        <v>-31.747001412947427</v>
      </c>
      <c r="U250" s="711">
        <f>Bilans_E_AMS_Kyoto_run3_MTE!Z437</f>
        <v>14.598986051209394</v>
      </c>
      <c r="V250" s="701"/>
      <c r="W250" s="701"/>
    </row>
    <row r="251" spans="1:23" x14ac:dyDescent="0.25">
      <c r="A251" s="701" t="s">
        <v>503</v>
      </c>
      <c r="B251" s="701"/>
      <c r="C251" s="717" t="s">
        <v>353</v>
      </c>
      <c r="D251" s="711">
        <f>Bilans_E_AMS_Kyoto_run3_MTE!H438</f>
        <v>8.5250206054687503</v>
      </c>
      <c r="E251" s="711">
        <f>Bilans_E_AMS_Kyoto_run3_MTE!I438</f>
        <v>-8.2879547974433478</v>
      </c>
      <c r="F251" s="711">
        <f>Bilans_E_AMS_Kyoto_run3_MTE!J438</f>
        <v>10.994009966120005</v>
      </c>
      <c r="G251" s="711">
        <f>Bilans_E_AMS_Kyoto_run3_MTE!K438</f>
        <v>0</v>
      </c>
      <c r="H251" s="711">
        <f>Bilans_E_AMS_Kyoto_run3_MTE!L438</f>
        <v>0</v>
      </c>
      <c r="I251" s="711">
        <f>Bilans_E_AMS_Kyoto_run3_MTE!M438</f>
        <v>0</v>
      </c>
      <c r="J251" s="711">
        <f>Bilans_E_AMS_Kyoto_run3_MTE!N438</f>
        <v>0</v>
      </c>
      <c r="K251" s="711">
        <f>Bilans_E_AMS_Kyoto_run3_MTE!O438</f>
        <v>0</v>
      </c>
      <c r="L251" s="711">
        <f>Bilans_E_AMS_Kyoto_run3_MTE!P438</f>
        <v>0</v>
      </c>
      <c r="M251" s="711">
        <f>Bilans_E_AMS_Kyoto_run3_MTE!Q438</f>
        <v>0</v>
      </c>
      <c r="N251" s="711">
        <f>Bilans_E_AMS_Kyoto_run3_MTE!R438</f>
        <v>0</v>
      </c>
      <c r="O251" s="711">
        <f>Bilans_E_AMS_Kyoto_run3_MTE!S438</f>
        <v>0</v>
      </c>
      <c r="P251" s="711">
        <f>Bilans_E_AMS_Kyoto_run3_MTE!T438+Bilans_E_AMS_Kyoto_run3_MTE!U438</f>
        <v>0</v>
      </c>
      <c r="Q251" s="711">
        <f>Bilans_E_AMS_Kyoto_run3_MTE!V438</f>
        <v>0</v>
      </c>
      <c r="R251" s="711">
        <f>Bilans_E_AMS_Kyoto_run3_MTE!W438</f>
        <v>0</v>
      </c>
      <c r="S251" s="711">
        <f>Bilans_E_AMS_Kyoto_run3_MTE!X438</f>
        <v>0</v>
      </c>
      <c r="T251" s="711">
        <f>Bilans_E_AMS_Kyoto_run3_MTE!Y438</f>
        <v>0</v>
      </c>
      <c r="U251" s="711">
        <f>Bilans_E_AMS_Kyoto_run3_MTE!Z438</f>
        <v>11.231075774145408</v>
      </c>
      <c r="V251" s="701"/>
      <c r="W251" s="701"/>
    </row>
    <row r="252" spans="1:23" x14ac:dyDescent="0.25">
      <c r="A252" s="701" t="s">
        <v>504</v>
      </c>
      <c r="B252" s="701"/>
      <c r="C252" s="717" t="s">
        <v>75</v>
      </c>
      <c r="D252" s="711">
        <f>Bilans_E_AMS_Kyoto_run3_MTE!H439</f>
        <v>3.3152857910156257</v>
      </c>
      <c r="E252" s="711">
        <f>Bilans_E_AMS_Kyoto_run3_MTE!I439</f>
        <v>0</v>
      </c>
      <c r="F252" s="711">
        <f>Bilans_E_AMS_Kyoto_run3_MTE!J439</f>
        <v>8.217345528971137</v>
      </c>
      <c r="G252" s="711">
        <f>Bilans_E_AMS_Kyoto_run3_MTE!K439</f>
        <v>0</v>
      </c>
      <c r="H252" s="711">
        <f>Bilans_E_AMS_Kyoto_run3_MTE!L439</f>
        <v>0</v>
      </c>
      <c r="I252" s="711">
        <f>Bilans_E_AMS_Kyoto_run3_MTE!M439</f>
        <v>0</v>
      </c>
      <c r="J252" s="711">
        <f>Bilans_E_AMS_Kyoto_run3_MTE!N439</f>
        <v>0</v>
      </c>
      <c r="K252" s="711">
        <f>Bilans_E_AMS_Kyoto_run3_MTE!O439</f>
        <v>0</v>
      </c>
      <c r="L252" s="711">
        <f>Bilans_E_AMS_Kyoto_run3_MTE!P439</f>
        <v>0</v>
      </c>
      <c r="M252" s="711">
        <f>Bilans_E_AMS_Kyoto_run3_MTE!Q439</f>
        <v>0</v>
      </c>
      <c r="N252" s="711">
        <f>Bilans_E_AMS_Kyoto_run3_MTE!R439</f>
        <v>0</v>
      </c>
      <c r="O252" s="711">
        <f>Bilans_E_AMS_Kyoto_run3_MTE!S439</f>
        <v>0</v>
      </c>
      <c r="P252" s="711">
        <f>Bilans_E_AMS_Kyoto_run3_MTE!T439+Bilans_E_AMS_Kyoto_run3_MTE!U439</f>
        <v>0</v>
      </c>
      <c r="Q252" s="711">
        <f>Bilans_E_AMS_Kyoto_run3_MTE!V439</f>
        <v>0</v>
      </c>
      <c r="R252" s="711">
        <f>Bilans_E_AMS_Kyoto_run3_MTE!W439</f>
        <v>38.800105175182054</v>
      </c>
      <c r="S252" s="711">
        <f>Bilans_E_AMS_Kyoto_run3_MTE!X439</f>
        <v>0</v>
      </c>
      <c r="T252" s="711">
        <f>Bilans_E_AMS_Kyoto_run3_MTE!Y439</f>
        <v>2.3301224997410235</v>
      </c>
      <c r="U252" s="711">
        <f>Bilans_E_AMS_Kyoto_run3_MTE!Z439</f>
        <v>52.66285899490984</v>
      </c>
      <c r="V252" s="701"/>
      <c r="W252" s="701"/>
    </row>
    <row r="253" spans="1:23" x14ac:dyDescent="0.25">
      <c r="A253" s="701" t="s">
        <v>505</v>
      </c>
      <c r="B253" s="701"/>
      <c r="C253" s="717" t="s">
        <v>76</v>
      </c>
      <c r="D253" s="711">
        <f>Bilans_E_AMS_Kyoto_run3_MTE!H440</f>
        <v>0</v>
      </c>
      <c r="E253" s="711">
        <f>Bilans_E_AMS_Kyoto_run3_MTE!I440</f>
        <v>0</v>
      </c>
      <c r="F253" s="711">
        <f>Bilans_E_AMS_Kyoto_run3_MTE!J440</f>
        <v>0</v>
      </c>
      <c r="G253" s="711">
        <f>Bilans_E_AMS_Kyoto_run3_MTE!K440</f>
        <v>0</v>
      </c>
      <c r="H253" s="711">
        <f>Bilans_E_AMS_Kyoto_run3_MTE!L440</f>
        <v>1.1543235485411594</v>
      </c>
      <c r="I253" s="711">
        <f>Bilans_E_AMS_Kyoto_run3_MTE!M440</f>
        <v>0</v>
      </c>
      <c r="J253" s="711">
        <f>Bilans_E_AMS_Kyoto_run3_MTE!N440</f>
        <v>0</v>
      </c>
      <c r="K253" s="711">
        <f>Bilans_E_AMS_Kyoto_run3_MTE!O440</f>
        <v>0</v>
      </c>
      <c r="L253" s="711">
        <f>Bilans_E_AMS_Kyoto_run3_MTE!P440</f>
        <v>0</v>
      </c>
      <c r="M253" s="711">
        <f>Bilans_E_AMS_Kyoto_run3_MTE!Q440</f>
        <v>0</v>
      </c>
      <c r="N253" s="711">
        <f>Bilans_E_AMS_Kyoto_run3_MTE!R440</f>
        <v>0</v>
      </c>
      <c r="O253" s="711">
        <f>Bilans_E_AMS_Kyoto_run3_MTE!S440</f>
        <v>0.76954903236077299</v>
      </c>
      <c r="P253" s="711">
        <f>Bilans_E_AMS_Kyoto_run3_MTE!T440+Bilans_E_AMS_Kyoto_run3_MTE!U440</f>
        <v>0</v>
      </c>
      <c r="Q253" s="711">
        <f>Bilans_E_AMS_Kyoto_run3_MTE!V440</f>
        <v>0</v>
      </c>
      <c r="R253" s="711">
        <f>Bilans_E_AMS_Kyoto_run3_MTE!W440</f>
        <v>55.568340190332414</v>
      </c>
      <c r="S253" s="711">
        <f>Bilans_E_AMS_Kyoto_run3_MTE!X440</f>
        <v>7.0126401757775509</v>
      </c>
      <c r="T253" s="711">
        <f>Bilans_E_AMS_Kyoto_run3_MTE!Y440</f>
        <v>0</v>
      </c>
      <c r="U253" s="711">
        <f>Bilans_E_AMS_Kyoto_run3_MTE!Z440</f>
        <v>64.504852947011898</v>
      </c>
      <c r="V253" s="701"/>
      <c r="W253" s="701"/>
    </row>
    <row r="254" spans="1:23" x14ac:dyDescent="0.25">
      <c r="A254" s="701" t="s">
        <v>506</v>
      </c>
      <c r="B254" s="701"/>
      <c r="C254" s="713" t="s">
        <v>77</v>
      </c>
      <c r="D254" s="714">
        <f>Bilans_E_AMS_Kyoto_run3_MTE!H441</f>
        <v>11.840306396484376</v>
      </c>
      <c r="E254" s="714">
        <f>Bilans_E_AMS_Kyoto_run3_MTE!I441</f>
        <v>228.52698065701114</v>
      </c>
      <c r="F254" s="714">
        <f>Bilans_E_AMS_Kyoto_run3_MTE!J441</f>
        <v>-215.16927865141872</v>
      </c>
      <c r="G254" s="714">
        <f>Bilans_E_AMS_Kyoto_run3_MTE!K441</f>
        <v>-5.3675968512762449</v>
      </c>
      <c r="H254" s="714">
        <f>Bilans_E_AMS_Kyoto_run3_MTE!L441</f>
        <v>14.951693796815011</v>
      </c>
      <c r="I254" s="714">
        <f>Bilans_E_AMS_Kyoto_run3_MTE!M441</f>
        <v>-0.99259685127624475</v>
      </c>
      <c r="J254" s="714">
        <f>Bilans_E_AMS_Kyoto_run3_MTE!N441</f>
        <v>1217.3350254612858</v>
      </c>
      <c r="K254" s="714">
        <f>Bilans_E_AMS_Kyoto_run3_MTE!O441</f>
        <v>388.29502398919544</v>
      </c>
      <c r="L254" s="714">
        <f>Bilans_E_AMS_Kyoto_run3_MTE!P441</f>
        <v>255.15325459036612</v>
      </c>
      <c r="M254" s="714">
        <f>Bilans_E_AMS_Kyoto_run3_MTE!Q441</f>
        <v>38.768704949841634</v>
      </c>
      <c r="N254" s="714">
        <f>Bilans_E_AMS_Kyoto_run3_MTE!R441</f>
        <v>-49.800698638984656</v>
      </c>
      <c r="O254" s="714">
        <f>Bilans_E_AMS_Kyoto_run3_MTE!S441</f>
        <v>-56.411694494246213</v>
      </c>
      <c r="P254" s="714">
        <f>Bilans_E_AMS_Kyoto_run3_MTE!T441+Bilans_E_AMS_Kyoto_run3_MTE!U441</f>
        <v>17.004200785241363</v>
      </c>
      <c r="Q254" s="714">
        <f>Bilans_E_AMS_Kyoto_run3_MTE!V441</f>
        <v>22.157257652094906</v>
      </c>
      <c r="R254" s="714">
        <f>Bilans_E_AMS_Kyoto_run3_MTE!W441</f>
        <v>-664.74747380843064</v>
      </c>
      <c r="S254" s="714">
        <f>Bilans_E_AMS_Kyoto_run3_MTE!X441</f>
        <v>-83.423802565967307</v>
      </c>
      <c r="T254" s="714">
        <f>Bilans_E_AMS_Kyoto_run3_MTE!Y441</f>
        <v>-19.246415638918862</v>
      </c>
      <c r="U254" s="714">
        <f>Bilans_E_AMS_Kyoto_run3_MTE!Z441</f>
        <v>1098.8728907778168</v>
      </c>
      <c r="V254" s="701"/>
      <c r="W254" s="701"/>
    </row>
    <row r="255" spans="1:23" x14ac:dyDescent="0.25">
      <c r="A255" s="701"/>
      <c r="B255" s="701"/>
      <c r="C255" s="715"/>
      <c r="D255" s="716"/>
      <c r="E255" s="716"/>
      <c r="F255" s="716"/>
      <c r="G255" s="716"/>
      <c r="H255" s="716"/>
      <c r="I255" s="716"/>
      <c r="J255" s="716"/>
      <c r="K255" s="716"/>
      <c r="L255" s="716"/>
      <c r="M255" s="716"/>
      <c r="N255" s="716"/>
      <c r="O255" s="716"/>
      <c r="P255" s="716">
        <f>Bilans_E_AMS_Kyoto_run3_MTE!T442+Bilans_E_AMS_Kyoto_run3_MTE!U442</f>
        <v>0</v>
      </c>
      <c r="Q255" s="716"/>
      <c r="R255" s="716"/>
      <c r="S255" s="716"/>
      <c r="T255" s="716"/>
      <c r="U255" s="716"/>
      <c r="V255" s="701"/>
      <c r="W255" s="701"/>
    </row>
    <row r="256" spans="1:23" x14ac:dyDescent="0.25">
      <c r="A256" s="701" t="s">
        <v>507</v>
      </c>
      <c r="B256" s="701"/>
      <c r="C256" s="717" t="s">
        <v>78</v>
      </c>
      <c r="D256" s="711">
        <f>Bilans_E_AMS_Kyoto_run3_MTE!H443</f>
        <v>0.31248754882812502</v>
      </c>
      <c r="E256" s="711">
        <f>Bilans_E_AMS_Kyoto_run3_MTE!I443</f>
        <v>0</v>
      </c>
      <c r="F256" s="711">
        <f>Bilans_E_AMS_Kyoto_run3_MTE!J443</f>
        <v>3.1554639427466697</v>
      </c>
      <c r="G256" s="711">
        <f>Bilans_E_AMS_Kyoto_run3_MTE!K443</f>
        <v>0</v>
      </c>
      <c r="H256" s="711">
        <f>Bilans_E_AMS_Kyoto_run3_MTE!L443</f>
        <v>37.01033714688981</v>
      </c>
      <c r="I256" s="711">
        <f>Bilans_E_AMS_Kyoto_run3_MTE!M443</f>
        <v>0</v>
      </c>
      <c r="J256" s="711">
        <f>Bilans_E_AMS_Kyoto_run3_MTE!N443</f>
        <v>0</v>
      </c>
      <c r="K256" s="711">
        <f>Bilans_E_AMS_Kyoto_run3_MTE!O443</f>
        <v>0</v>
      </c>
      <c r="L256" s="711">
        <f>Bilans_E_AMS_Kyoto_run3_MTE!P443</f>
        <v>37.391289864504934</v>
      </c>
      <c r="M256" s="711">
        <f>Bilans_E_AMS_Kyoto_run3_MTE!Q443</f>
        <v>8.8042095890605694</v>
      </c>
      <c r="N256" s="711">
        <f>Bilans_E_AMS_Kyoto_run3_MTE!R443</f>
        <v>0.65571165030445222</v>
      </c>
      <c r="O256" s="711">
        <f>Bilans_E_AMS_Kyoto_run3_MTE!S443</f>
        <v>24.712220905509611</v>
      </c>
      <c r="P256" s="711">
        <f>Bilans_E_AMS_Kyoto_run3_MTE!T443+Bilans_E_AMS_Kyoto_run3_MTE!U443</f>
        <v>10.938740234375</v>
      </c>
      <c r="Q256" s="711">
        <f>Bilans_E_AMS_Kyoto_run3_MTE!V443</f>
        <v>7.8820466826144567E-4</v>
      </c>
      <c r="R256" s="711">
        <f>Bilans_E_AMS_Kyoto_run3_MTE!W443</f>
        <v>154.95335920514725</v>
      </c>
      <c r="S256" s="711">
        <f>Bilans_E_AMS_Kyoto_run3_MTE!X443</f>
        <v>19.589550837757145</v>
      </c>
      <c r="T256" s="711">
        <f>Bilans_E_AMS_Kyoto_run3_MTE!Y443</f>
        <v>8.8214501953125009</v>
      </c>
      <c r="U256" s="711">
        <f>Bilans_E_AMS_Kyoto_run3_MTE!Z443</f>
        <v>306.34560932510431</v>
      </c>
      <c r="V256" s="701"/>
      <c r="W256" s="701"/>
    </row>
    <row r="257" spans="1:23" x14ac:dyDescent="0.25">
      <c r="A257" s="701" t="s">
        <v>508</v>
      </c>
      <c r="B257" s="701"/>
      <c r="C257" s="717" t="s">
        <v>79</v>
      </c>
      <c r="D257" s="711">
        <f>Bilans_E_AMS_Kyoto_run3_MTE!H444</f>
        <v>0</v>
      </c>
      <c r="E257" s="711">
        <f>Bilans_E_AMS_Kyoto_run3_MTE!I444</f>
        <v>0</v>
      </c>
      <c r="F257" s="711">
        <f>Bilans_E_AMS_Kyoto_run3_MTE!J444</f>
        <v>101.77401649068347</v>
      </c>
      <c r="G257" s="711">
        <f>Bilans_E_AMS_Kyoto_run3_MTE!K444</f>
        <v>1</v>
      </c>
      <c r="H257" s="711">
        <f>Bilans_E_AMS_Kyoto_run3_MTE!L444</f>
        <v>4.5438942798277537</v>
      </c>
      <c r="I257" s="711">
        <f>Bilans_E_AMS_Kyoto_run3_MTE!M444</f>
        <v>0</v>
      </c>
      <c r="J257" s="711">
        <f>Bilans_E_AMS_Kyoto_run3_MTE!N444</f>
        <v>0</v>
      </c>
      <c r="K257" s="711">
        <f>Bilans_E_AMS_Kyoto_run3_MTE!O444</f>
        <v>0</v>
      </c>
      <c r="L257" s="711">
        <f>Bilans_E_AMS_Kyoto_run3_MTE!P444</f>
        <v>0</v>
      </c>
      <c r="M257" s="711">
        <f>Bilans_E_AMS_Kyoto_run3_MTE!Q444</f>
        <v>0</v>
      </c>
      <c r="N257" s="711">
        <f>Bilans_E_AMS_Kyoto_run3_MTE!R444</f>
        <v>35.960574276816558</v>
      </c>
      <c r="O257" s="711">
        <f>Bilans_E_AMS_Kyoto_run3_MTE!S444</f>
        <v>3.0292628532185026</v>
      </c>
      <c r="P257" s="711">
        <f>Bilans_E_AMS_Kyoto_run3_MTE!T444+Bilans_E_AMS_Kyoto_run3_MTE!U444</f>
        <v>0</v>
      </c>
      <c r="Q257" s="711">
        <f>Bilans_E_AMS_Kyoto_run3_MTE!V444</f>
        <v>0</v>
      </c>
      <c r="R257" s="711">
        <f>Bilans_E_AMS_Kyoto_run3_MTE!W444</f>
        <v>98.588545998647945</v>
      </c>
      <c r="S257" s="711">
        <f>Bilans_E_AMS_Kyoto_run3_MTE!X444</f>
        <v>0</v>
      </c>
      <c r="T257" s="711">
        <f>Bilans_E_AMS_Kyoto_run3_MTE!Y444</f>
        <v>4.4541562271539039</v>
      </c>
      <c r="U257" s="711">
        <f>Bilans_E_AMS_Kyoto_run3_MTE!Z444</f>
        <v>249.35045012634814</v>
      </c>
      <c r="V257" s="701"/>
      <c r="W257" s="701"/>
    </row>
    <row r="258" spans="1:23" x14ac:dyDescent="0.25">
      <c r="A258" s="701" t="s">
        <v>509</v>
      </c>
      <c r="B258" s="701"/>
      <c r="C258" s="717" t="s">
        <v>80</v>
      </c>
      <c r="D258" s="711">
        <f>Bilans_E_AMS_Kyoto_run3_MTE!H445</f>
        <v>0</v>
      </c>
      <c r="E258" s="711">
        <f>Bilans_E_AMS_Kyoto_run3_MTE!I445</f>
        <v>0</v>
      </c>
      <c r="F258" s="711">
        <f>Bilans_E_AMS_Kyoto_run3_MTE!J445</f>
        <v>0.45829125770018231</v>
      </c>
      <c r="G258" s="711">
        <f>Bilans_E_AMS_Kyoto_run3_MTE!K445</f>
        <v>0</v>
      </c>
      <c r="H258" s="711">
        <f>Bilans_E_AMS_Kyoto_run3_MTE!L445</f>
        <v>23.558204689169596</v>
      </c>
      <c r="I258" s="711">
        <f>Bilans_E_AMS_Kyoto_run3_MTE!M445</f>
        <v>0</v>
      </c>
      <c r="J258" s="711">
        <f>Bilans_E_AMS_Kyoto_run3_MTE!N445</f>
        <v>0</v>
      </c>
      <c r="K258" s="711">
        <f>Bilans_E_AMS_Kyoto_run3_MTE!O445</f>
        <v>0</v>
      </c>
      <c r="L258" s="711">
        <f>Bilans_E_AMS_Kyoto_run3_MTE!P445</f>
        <v>44.494417008077924</v>
      </c>
      <c r="M258" s="711">
        <f>Bilans_E_AMS_Kyoto_run3_MTE!Q445</f>
        <v>0</v>
      </c>
      <c r="N258" s="711">
        <f>Bilans_E_AMS_Kyoto_run3_MTE!R445</f>
        <v>0</v>
      </c>
      <c r="O258" s="711">
        <f>Bilans_E_AMS_Kyoto_run3_MTE!S445</f>
        <v>15.705469792779732</v>
      </c>
      <c r="P258" s="711">
        <f>Bilans_E_AMS_Kyoto_run3_MTE!T445+Bilans_E_AMS_Kyoto_run3_MTE!U445</f>
        <v>136.92844956569715</v>
      </c>
      <c r="Q258" s="711">
        <f>Bilans_E_AMS_Kyoto_run3_MTE!V445</f>
        <v>11.112810725871574</v>
      </c>
      <c r="R258" s="711">
        <f>Bilans_E_AMS_Kyoto_run3_MTE!W445</f>
        <v>151.24868898897191</v>
      </c>
      <c r="S258" s="711">
        <f>Bilans_E_AMS_Kyoto_run3_MTE!X445</f>
        <v>40.573888251039236</v>
      </c>
      <c r="T258" s="711">
        <f>Bilans_E_AMS_Kyoto_run3_MTE!Y445</f>
        <v>0</v>
      </c>
      <c r="U258" s="711">
        <f>Bilans_E_AMS_Kyoto_run3_MTE!Z445</f>
        <v>424.0802202793073</v>
      </c>
      <c r="V258" s="701"/>
      <c r="W258" s="701"/>
    </row>
    <row r="259" spans="1:23" x14ac:dyDescent="0.25">
      <c r="A259" s="701" t="s">
        <v>510</v>
      </c>
      <c r="B259" s="701"/>
      <c r="C259" s="717" t="s">
        <v>81</v>
      </c>
      <c r="D259" s="711">
        <f>Bilans_E_AMS_Kyoto_run3_MTE!H446</f>
        <v>0</v>
      </c>
      <c r="E259" s="711">
        <f>Bilans_E_AMS_Kyoto_run3_MTE!I446</f>
        <v>0</v>
      </c>
      <c r="F259" s="711">
        <f>Bilans_E_AMS_Kyoto_run3_MTE!J446</f>
        <v>0.72441471608254671</v>
      </c>
      <c r="G259" s="711">
        <f>Bilans_E_AMS_Kyoto_run3_MTE!K446</f>
        <v>0</v>
      </c>
      <c r="H259" s="711">
        <f>Bilans_E_AMS_Kyoto_run3_MTE!L446</f>
        <v>16.529932147980702</v>
      </c>
      <c r="I259" s="711">
        <f>Bilans_E_AMS_Kyoto_run3_MTE!M446</f>
        <v>0</v>
      </c>
      <c r="J259" s="711">
        <f>Bilans_E_AMS_Kyoto_run3_MTE!N446</f>
        <v>0</v>
      </c>
      <c r="K259" s="711">
        <f>Bilans_E_AMS_Kyoto_run3_MTE!O446</f>
        <v>0</v>
      </c>
      <c r="L259" s="711">
        <f>Bilans_E_AMS_Kyoto_run3_MTE!P446</f>
        <v>0.53348745170182088</v>
      </c>
      <c r="M259" s="711">
        <f>Bilans_E_AMS_Kyoto_run3_MTE!Q446</f>
        <v>0</v>
      </c>
      <c r="N259" s="711">
        <f>Bilans_E_AMS_Kyoto_run3_MTE!R446</f>
        <v>0</v>
      </c>
      <c r="O259" s="711">
        <f>Bilans_E_AMS_Kyoto_run3_MTE!S446</f>
        <v>11.019954765320469</v>
      </c>
      <c r="P259" s="711">
        <f>Bilans_E_AMS_Kyoto_run3_MTE!T446+Bilans_E_AMS_Kyoto_run3_MTE!U446</f>
        <v>52.106590615041483</v>
      </c>
      <c r="Q259" s="711">
        <f>Bilans_E_AMS_Kyoto_run3_MTE!V446</f>
        <v>10.099133053150796</v>
      </c>
      <c r="R259" s="711">
        <f>Bilans_E_AMS_Kyoto_run3_MTE!W446</f>
        <v>121.37238070067973</v>
      </c>
      <c r="S259" s="711">
        <f>Bilans_E_AMS_Kyoto_run3_MTE!X446</f>
        <v>23.260331591038877</v>
      </c>
      <c r="T259" s="711">
        <f>Bilans_E_AMS_Kyoto_run3_MTE!Y446</f>
        <v>0</v>
      </c>
      <c r="U259" s="711">
        <f>Bilans_E_AMS_Kyoto_run3_MTE!Z446</f>
        <v>235.6462250409964</v>
      </c>
      <c r="V259" s="701"/>
      <c r="W259" s="701"/>
    </row>
    <row r="260" spans="1:23" x14ac:dyDescent="0.25">
      <c r="A260" s="701" t="s">
        <v>511</v>
      </c>
      <c r="B260" s="701"/>
      <c r="C260" s="717" t="s">
        <v>82</v>
      </c>
      <c r="D260" s="711">
        <f>Bilans_E_AMS_Kyoto_run3_MTE!H447</f>
        <v>0</v>
      </c>
      <c r="E260" s="711">
        <f>Bilans_E_AMS_Kyoto_run3_MTE!I447</f>
        <v>0</v>
      </c>
      <c r="F260" s="711">
        <f>Bilans_E_AMS_Kyoto_run3_MTE!J447</f>
        <v>13.844421020879521</v>
      </c>
      <c r="G260" s="711">
        <f>Bilans_E_AMS_Kyoto_run3_MTE!K447</f>
        <v>0</v>
      </c>
      <c r="H260" s="711">
        <f>Bilans_E_AMS_Kyoto_run3_MTE!L447</f>
        <v>0.75389053295489317</v>
      </c>
      <c r="I260" s="711">
        <f>Bilans_E_AMS_Kyoto_run3_MTE!M447</f>
        <v>0</v>
      </c>
      <c r="J260" s="711">
        <f>Bilans_E_AMS_Kyoto_run3_MTE!N447</f>
        <v>0</v>
      </c>
      <c r="K260" s="711">
        <f>Bilans_E_AMS_Kyoto_run3_MTE!O447</f>
        <v>0</v>
      </c>
      <c r="L260" s="711">
        <f>Bilans_E_AMS_Kyoto_run3_MTE!P447</f>
        <v>15.52633161671044</v>
      </c>
      <c r="M260" s="711">
        <f>Bilans_E_AMS_Kyoto_run3_MTE!Q447</f>
        <v>0</v>
      </c>
      <c r="N260" s="711">
        <f>Bilans_E_AMS_Kyoto_run3_MTE!R447</f>
        <v>6.9560280843062596</v>
      </c>
      <c r="O260" s="711">
        <f>Bilans_E_AMS_Kyoto_run3_MTE!S447</f>
        <v>0.50259368863659548</v>
      </c>
      <c r="P260" s="711">
        <f>Bilans_E_AMS_Kyoto_run3_MTE!T447+Bilans_E_AMS_Kyoto_run3_MTE!U447</f>
        <v>1</v>
      </c>
      <c r="Q260" s="711">
        <f>Bilans_E_AMS_Kyoto_run3_MTE!V447</f>
        <v>1.300620381405156</v>
      </c>
      <c r="R260" s="711">
        <f>Bilans_E_AMS_Kyoto_run3_MTE!W447</f>
        <v>9.5059865656589242</v>
      </c>
      <c r="S260" s="711">
        <f>Bilans_E_AMS_Kyoto_run3_MTE!X447</f>
        <v>0</v>
      </c>
      <c r="T260" s="711">
        <f>Bilans_E_AMS_Kyoto_run3_MTE!Y447</f>
        <v>0.43956597389567681</v>
      </c>
      <c r="U260" s="711">
        <f>Bilans_E_AMS_Kyoto_run3_MTE!Z447</f>
        <v>49.829437864447456</v>
      </c>
      <c r="V260" s="701"/>
      <c r="W260" s="701"/>
    </row>
    <row r="261" spans="1:23" x14ac:dyDescent="0.25">
      <c r="A261" s="701" t="s">
        <v>512</v>
      </c>
      <c r="B261" s="701"/>
      <c r="C261" s="717" t="s">
        <v>354</v>
      </c>
      <c r="D261" s="711">
        <f>Bilans_E_AMS_Kyoto_run3_MTE!H448</f>
        <v>0</v>
      </c>
      <c r="E261" s="711">
        <f>Bilans_E_AMS_Kyoto_run3_MTE!I448</f>
        <v>0</v>
      </c>
      <c r="F261" s="711">
        <f>Bilans_E_AMS_Kyoto_run3_MTE!J448</f>
        <v>0</v>
      </c>
      <c r="G261" s="711">
        <f>Bilans_E_AMS_Kyoto_run3_MTE!K448</f>
        <v>0</v>
      </c>
      <c r="H261" s="711">
        <f>Bilans_E_AMS_Kyoto_run3_MTE!L448</f>
        <v>0</v>
      </c>
      <c r="I261" s="711">
        <f>Bilans_E_AMS_Kyoto_run3_MTE!M448</f>
        <v>0</v>
      </c>
      <c r="J261" s="711">
        <f>Bilans_E_AMS_Kyoto_run3_MTE!N448</f>
        <v>0</v>
      </c>
      <c r="K261" s="711">
        <f>Bilans_E_AMS_Kyoto_run3_MTE!O448</f>
        <v>0</v>
      </c>
      <c r="L261" s="711">
        <f>Bilans_E_AMS_Kyoto_run3_MTE!P448</f>
        <v>0</v>
      </c>
      <c r="M261" s="711">
        <f>Bilans_E_AMS_Kyoto_run3_MTE!Q448</f>
        <v>0</v>
      </c>
      <c r="N261" s="711">
        <f>Bilans_E_AMS_Kyoto_run3_MTE!R448</f>
        <v>0</v>
      </c>
      <c r="O261" s="711">
        <f>Bilans_E_AMS_Kyoto_run3_MTE!S448</f>
        <v>0</v>
      </c>
      <c r="P261" s="711">
        <f>Bilans_E_AMS_Kyoto_run3_MTE!T448+Bilans_E_AMS_Kyoto_run3_MTE!U448</f>
        <v>0</v>
      </c>
      <c r="Q261" s="711">
        <f>Bilans_E_AMS_Kyoto_run3_MTE!V448</f>
        <v>0</v>
      </c>
      <c r="R261" s="711">
        <f>Bilans_E_AMS_Kyoto_run3_MTE!W448</f>
        <v>3.6</v>
      </c>
      <c r="S261" s="711">
        <f>Bilans_E_AMS_Kyoto_run3_MTE!X448</f>
        <v>0</v>
      </c>
      <c r="T261" s="711">
        <f>Bilans_E_AMS_Kyoto_run3_MTE!Y448</f>
        <v>0</v>
      </c>
      <c r="U261" s="711">
        <f>Bilans_E_AMS_Kyoto_run3_MTE!Z448</f>
        <v>3.6</v>
      </c>
      <c r="V261" s="701"/>
      <c r="W261" s="701"/>
    </row>
    <row r="262" spans="1:23" x14ac:dyDescent="0.25">
      <c r="A262" s="701" t="s">
        <v>513</v>
      </c>
      <c r="B262" s="701"/>
      <c r="C262" s="713" t="s">
        <v>83</v>
      </c>
      <c r="D262" s="714">
        <f>Bilans_E_AMS_Kyoto_run3_MTE!H449</f>
        <v>0.31248754882812502</v>
      </c>
      <c r="E262" s="714">
        <f>Bilans_E_AMS_Kyoto_run3_MTE!I449</f>
        <v>0</v>
      </c>
      <c r="F262" s="714">
        <f>Bilans_E_AMS_Kyoto_run3_MTE!J449</f>
        <v>119.95660742809238</v>
      </c>
      <c r="G262" s="714">
        <f>Bilans_E_AMS_Kyoto_run3_MTE!K449</f>
        <v>1</v>
      </c>
      <c r="H262" s="714">
        <f>Bilans_E_AMS_Kyoto_run3_MTE!L449</f>
        <v>82.396258796822764</v>
      </c>
      <c r="I262" s="714">
        <f>Bilans_E_AMS_Kyoto_run3_MTE!M449</f>
        <v>0</v>
      </c>
      <c r="J262" s="714">
        <f>Bilans_E_AMS_Kyoto_run3_MTE!N449</f>
        <v>0</v>
      </c>
      <c r="K262" s="714">
        <f>Bilans_E_AMS_Kyoto_run3_MTE!O449</f>
        <v>0</v>
      </c>
      <c r="L262" s="714">
        <f>Bilans_E_AMS_Kyoto_run3_MTE!P449</f>
        <v>97.945525940995111</v>
      </c>
      <c r="M262" s="714">
        <f>Bilans_E_AMS_Kyoto_run3_MTE!Q449</f>
        <v>8.8042095890605694</v>
      </c>
      <c r="N262" s="714">
        <f>Bilans_E_AMS_Kyoto_run3_MTE!R449</f>
        <v>43.572314011427274</v>
      </c>
      <c r="O262" s="714">
        <f>Bilans_E_AMS_Kyoto_run3_MTE!S449</f>
        <v>54.969502005464911</v>
      </c>
      <c r="P262" s="714">
        <f>Bilans_E_AMS_Kyoto_run3_MTE!T449+Bilans_E_AMS_Kyoto_run3_MTE!U449</f>
        <v>200.97378041511362</v>
      </c>
      <c r="Q262" s="714">
        <f>Bilans_E_AMS_Kyoto_run3_MTE!V449</f>
        <v>22.513352365095788</v>
      </c>
      <c r="R262" s="714">
        <f>Bilans_E_AMS_Kyoto_run3_MTE!W449</f>
        <v>539.26896145910575</v>
      </c>
      <c r="S262" s="714">
        <f>Bilans_E_AMS_Kyoto_run3_MTE!X449</f>
        <v>83.423770679835258</v>
      </c>
      <c r="T262" s="714">
        <f>Bilans_E_AMS_Kyoto_run3_MTE!Y449</f>
        <v>13.715172396362082</v>
      </c>
      <c r="U262" s="714">
        <f>Bilans_E_AMS_Kyoto_run3_MTE!Z449</f>
        <v>1268.8519426362036</v>
      </c>
      <c r="V262" s="701"/>
      <c r="W262" s="701"/>
    </row>
    <row r="263" spans="1:23" x14ac:dyDescent="0.25">
      <c r="A263" s="701" t="s">
        <v>514</v>
      </c>
      <c r="B263" s="701"/>
      <c r="C263" s="710" t="s">
        <v>84</v>
      </c>
      <c r="D263" s="711">
        <f>Bilans_E_AMS_Kyoto_run3_MTE!H450</f>
        <v>0</v>
      </c>
      <c r="E263" s="711">
        <f>Bilans_E_AMS_Kyoto_run3_MTE!I450</f>
        <v>0</v>
      </c>
      <c r="F263" s="711">
        <f>Bilans_E_AMS_Kyoto_run3_MTE!J450</f>
        <v>102.03544321387012</v>
      </c>
      <c r="G263" s="711">
        <f>Bilans_E_AMS_Kyoto_run3_MTE!K450</f>
        <v>2.4611725721851321</v>
      </c>
      <c r="H263" s="711">
        <f>Bilans_E_AMS_Kyoto_run3_MTE!L450</f>
        <v>12.555456003161671</v>
      </c>
      <c r="I263" s="711">
        <f>Bilans_E_AMS_Kyoto_run3_MTE!M450</f>
        <v>0</v>
      </c>
      <c r="J263" s="711">
        <f>Bilans_E_AMS_Kyoto_run3_MTE!N450</f>
        <v>0</v>
      </c>
      <c r="K263" s="711">
        <f>Bilans_E_AMS_Kyoto_run3_MTE!O450</f>
        <v>0</v>
      </c>
      <c r="L263" s="711">
        <f>Bilans_E_AMS_Kyoto_run3_MTE!P450</f>
        <v>0.48630321782953712</v>
      </c>
      <c r="M263" s="711">
        <f>Bilans_E_AMS_Kyoto_run3_MTE!Q450</f>
        <v>0</v>
      </c>
      <c r="N263" s="711">
        <f>Bilans_E_AMS_Kyoto_run3_MTE!R450</f>
        <v>3.8692083880096835</v>
      </c>
      <c r="O263" s="711">
        <f>Bilans_E_AMS_Kyoto_run3_MTE!S450</f>
        <v>0</v>
      </c>
      <c r="P263" s="711">
        <f>Bilans_E_AMS_Kyoto_run3_MTE!T450+Bilans_E_AMS_Kyoto_run3_MTE!U450</f>
        <v>0</v>
      </c>
      <c r="Q263" s="711">
        <f>Bilans_E_AMS_Kyoto_run3_MTE!V450</f>
        <v>0</v>
      </c>
      <c r="R263" s="711">
        <f>Bilans_E_AMS_Kyoto_run3_MTE!W450</f>
        <v>0</v>
      </c>
      <c r="S263" s="711">
        <f>Bilans_E_AMS_Kyoto_run3_MTE!X450</f>
        <v>0</v>
      </c>
      <c r="T263" s="711">
        <f>Bilans_E_AMS_Kyoto_run3_MTE!Y450</f>
        <v>1.8671101278544562</v>
      </c>
      <c r="U263" s="711">
        <f>Bilans_E_AMS_Kyoto_run3_MTE!Z450</f>
        <v>123.27469352291061</v>
      </c>
      <c r="V263" s="701"/>
      <c r="W263" s="701"/>
    </row>
    <row r="264" spans="1:23" x14ac:dyDescent="0.25">
      <c r="A264" s="701" t="s">
        <v>515</v>
      </c>
      <c r="B264" s="701"/>
      <c r="C264" s="713" t="s">
        <v>85</v>
      </c>
      <c r="D264" s="714">
        <f>Bilans_E_AMS_Kyoto_run3_MTE!H451</f>
        <v>0.31248754882812502</v>
      </c>
      <c r="E264" s="714">
        <f>Bilans_E_AMS_Kyoto_run3_MTE!I451</f>
        <v>0</v>
      </c>
      <c r="F264" s="714">
        <f>Bilans_E_AMS_Kyoto_run3_MTE!J451</f>
        <v>221.99205064196252</v>
      </c>
      <c r="G264" s="714">
        <f>Bilans_E_AMS_Kyoto_run3_MTE!K451</f>
        <v>3.4611725721851321</v>
      </c>
      <c r="H264" s="714">
        <f>Bilans_E_AMS_Kyoto_run3_MTE!L451</f>
        <v>94.95171479998443</v>
      </c>
      <c r="I264" s="714">
        <f>Bilans_E_AMS_Kyoto_run3_MTE!M451</f>
        <v>0</v>
      </c>
      <c r="J264" s="714">
        <f>Bilans_E_AMS_Kyoto_run3_MTE!N451</f>
        <v>0</v>
      </c>
      <c r="K264" s="714">
        <f>Bilans_E_AMS_Kyoto_run3_MTE!O451</f>
        <v>0</v>
      </c>
      <c r="L264" s="714">
        <f>Bilans_E_AMS_Kyoto_run3_MTE!P451</f>
        <v>98.431829158824655</v>
      </c>
      <c r="M264" s="714">
        <f>Bilans_E_AMS_Kyoto_run3_MTE!Q451</f>
        <v>8.8042095890605694</v>
      </c>
      <c r="N264" s="714">
        <f>Bilans_E_AMS_Kyoto_run3_MTE!R451</f>
        <v>47.441522399436955</v>
      </c>
      <c r="O264" s="714">
        <f>Bilans_E_AMS_Kyoto_run3_MTE!S451</f>
        <v>54.969502005464911</v>
      </c>
      <c r="P264" s="714">
        <f>Bilans_E_AMS_Kyoto_run3_MTE!T451+Bilans_E_AMS_Kyoto_run3_MTE!U451</f>
        <v>200.97378041511362</v>
      </c>
      <c r="Q264" s="714">
        <f>Bilans_E_AMS_Kyoto_run3_MTE!V451</f>
        <v>22.513352365095788</v>
      </c>
      <c r="R264" s="714">
        <f>Bilans_E_AMS_Kyoto_run3_MTE!W451</f>
        <v>539.26896145910575</v>
      </c>
      <c r="S264" s="714">
        <f>Bilans_E_AMS_Kyoto_run3_MTE!X451</f>
        <v>83.423770679835258</v>
      </c>
      <c r="T264" s="714">
        <f>Bilans_E_AMS_Kyoto_run3_MTE!Y451</f>
        <v>15.582282524216538</v>
      </c>
      <c r="U264" s="714">
        <f>Bilans_E_AMS_Kyoto_run3_MTE!Z451</f>
        <v>1392.1266361591142</v>
      </c>
      <c r="V264" s="701"/>
      <c r="W264" s="701"/>
    </row>
    <row r="265" spans="1:23" x14ac:dyDescent="0.25">
      <c r="A265" s="701"/>
      <c r="B265" s="701"/>
      <c r="C265" s="701"/>
      <c r="D265" s="701">
        <f>Bilans_E_AMS_Kyoto_run3_MTE!H452</f>
        <v>0</v>
      </c>
      <c r="E265" s="701">
        <f>Bilans_E_AMS_Kyoto_run3_MTE!I452</f>
        <v>0</v>
      </c>
      <c r="F265" s="701">
        <f>Bilans_E_AMS_Kyoto_run3_MTE!J452</f>
        <v>5.6843418860808015E-14</v>
      </c>
      <c r="G265" s="701">
        <f>Bilans_E_AMS_Kyoto_run3_MTE!K452</f>
        <v>0</v>
      </c>
      <c r="H265" s="701">
        <f>Bilans_E_AMS_Kyoto_run3_MTE!L452</f>
        <v>0</v>
      </c>
      <c r="I265" s="701">
        <f>Bilans_E_AMS_Kyoto_run3_MTE!M452</f>
        <v>0</v>
      </c>
      <c r="J265" s="701">
        <f>Bilans_E_AMS_Kyoto_run3_MTE!N452</f>
        <v>0</v>
      </c>
      <c r="K265" s="701">
        <f>Bilans_E_AMS_Kyoto_run3_MTE!O452</f>
        <v>0</v>
      </c>
      <c r="L265" s="701">
        <f>Bilans_E_AMS_Kyoto_run3_MTE!P452</f>
        <v>0</v>
      </c>
      <c r="M265" s="701">
        <f>Bilans_E_AMS_Kyoto_run3_MTE!Q452</f>
        <v>0</v>
      </c>
      <c r="N265" s="701">
        <f>Bilans_E_AMS_Kyoto_run3_MTE!R452</f>
        <v>0</v>
      </c>
      <c r="O265" s="701">
        <f>Bilans_E_AMS_Kyoto_run3_MTE!S452</f>
        <v>1.9984014443252818E-15</v>
      </c>
      <c r="P265" s="701">
        <f>Bilans_E_AMS_Kyoto_run3_MTE!T452+Bilans_E_AMS_Kyoto_run3_MTE!U452</f>
        <v>0</v>
      </c>
      <c r="Q265" s="701">
        <f>Bilans_E_AMS_Kyoto_run3_MTE!V452</f>
        <v>0</v>
      </c>
      <c r="R265" s="701">
        <f>Bilans_E_AMS_Kyoto_run3_MTE!W452</f>
        <v>0</v>
      </c>
      <c r="S265" s="701">
        <f>Bilans_E_AMS_Kyoto_run3_MTE!X452</f>
        <v>-3.1886132049407934E-5</v>
      </c>
      <c r="T265" s="701">
        <f>Bilans_E_AMS_Kyoto_run3_MTE!Y452</f>
        <v>0</v>
      </c>
      <c r="U265" s="701">
        <f>Bilans_E_AMS_Kyoto_run3_MTE!Z452</f>
        <v>-3.1886131637293147E-5</v>
      </c>
      <c r="V265" s="701"/>
      <c r="W265" s="701"/>
    </row>
    <row r="266" spans="1:23" x14ac:dyDescent="0.25">
      <c r="A266" s="701"/>
      <c r="B266" s="701"/>
      <c r="C266" s="701"/>
      <c r="D266" s="701"/>
      <c r="E266" s="701"/>
      <c r="F266" s="701"/>
      <c r="G266" s="701"/>
      <c r="H266" s="701"/>
      <c r="I266" s="701"/>
      <c r="J266" s="701"/>
      <c r="K266" s="701"/>
      <c r="L266" s="701"/>
      <c r="M266" s="701"/>
      <c r="N266" s="701"/>
      <c r="O266" s="701"/>
      <c r="P266" s="701"/>
      <c r="Q266" s="701"/>
      <c r="R266" s="701"/>
      <c r="S266" s="701"/>
      <c r="T266" s="701"/>
      <c r="U266" s="701"/>
      <c r="V266" s="701"/>
      <c r="W266" s="701"/>
    </row>
    <row r="267" spans="1:23" x14ac:dyDescent="0.25">
      <c r="A267" s="707"/>
      <c r="B267" s="707"/>
      <c r="C267" s="708" t="s">
        <v>518</v>
      </c>
      <c r="D267" s="707"/>
      <c r="E267" s="707"/>
      <c r="F267" s="707"/>
      <c r="G267" s="707"/>
      <c r="H267" s="707"/>
      <c r="I267" s="707"/>
      <c r="J267" s="707"/>
      <c r="K267" s="707"/>
      <c r="L267" s="707"/>
      <c r="M267" s="707"/>
      <c r="N267" s="707"/>
      <c r="O267" s="707"/>
      <c r="P267" s="707"/>
      <c r="Q267" s="707"/>
      <c r="R267" s="707"/>
      <c r="S267" s="707"/>
      <c r="T267" s="707"/>
      <c r="U267" s="707"/>
      <c r="V267" s="707"/>
      <c r="W267" s="707"/>
    </row>
    <row r="268" spans="1:23" x14ac:dyDescent="0.25">
      <c r="A268" s="701"/>
      <c r="B268" s="701"/>
      <c r="C268" s="701"/>
      <c r="D268" s="701"/>
      <c r="E268" s="701"/>
      <c r="F268" s="701"/>
      <c r="G268" s="701"/>
      <c r="H268" s="701"/>
      <c r="I268" s="701"/>
      <c r="J268" s="701"/>
      <c r="K268" s="701"/>
      <c r="L268" s="701"/>
      <c r="M268" s="701"/>
      <c r="N268" s="701"/>
      <c r="O268" s="701"/>
      <c r="P268" s="701"/>
      <c r="Q268" s="701"/>
      <c r="R268" s="701"/>
      <c r="S268" s="701"/>
      <c r="T268" s="701"/>
      <c r="U268" s="701"/>
      <c r="V268" s="701"/>
      <c r="W268" s="701"/>
    </row>
    <row r="269" spans="1:23" x14ac:dyDescent="0.25">
      <c r="A269" s="701"/>
      <c r="B269" s="701"/>
      <c r="C269" s="780" t="s">
        <v>128</v>
      </c>
      <c r="D269" s="775" t="s">
        <v>42</v>
      </c>
      <c r="E269" s="775" t="s">
        <v>52</v>
      </c>
      <c r="F269" s="775" t="s">
        <v>53</v>
      </c>
      <c r="G269" s="775" t="s">
        <v>482</v>
      </c>
      <c r="H269" s="775" t="s">
        <v>32</v>
      </c>
      <c r="I269" s="775" t="s">
        <v>483</v>
      </c>
      <c r="J269" s="775" t="s">
        <v>20</v>
      </c>
      <c r="K269" s="775" t="s">
        <v>55</v>
      </c>
      <c r="L269" s="777" t="s">
        <v>56</v>
      </c>
      <c r="M269" s="778"/>
      <c r="N269" s="778"/>
      <c r="O269" s="778"/>
      <c r="P269" s="778"/>
      <c r="Q269" s="779"/>
      <c r="R269" s="775" t="s">
        <v>57</v>
      </c>
      <c r="S269" s="775" t="s">
        <v>58</v>
      </c>
      <c r="T269" s="775" t="s">
        <v>31</v>
      </c>
      <c r="U269" s="775" t="s">
        <v>10</v>
      </c>
      <c r="V269" s="701"/>
      <c r="W269" s="701"/>
    </row>
    <row r="270" spans="1:23" ht="67.5" x14ac:dyDescent="0.25">
      <c r="A270" s="701" t="s">
        <v>486</v>
      </c>
      <c r="B270" s="701"/>
      <c r="C270" s="781"/>
      <c r="D270" s="776"/>
      <c r="E270" s="776"/>
      <c r="F270" s="776"/>
      <c r="G270" s="776"/>
      <c r="H270" s="776"/>
      <c r="I270" s="776"/>
      <c r="J270" s="776"/>
      <c r="K270" s="776"/>
      <c r="L270" s="709" t="s">
        <v>335</v>
      </c>
      <c r="M270" s="709" t="s">
        <v>40</v>
      </c>
      <c r="N270" s="709" t="s">
        <v>343</v>
      </c>
      <c r="O270" s="709" t="s">
        <v>344</v>
      </c>
      <c r="P270" s="719" t="s">
        <v>610</v>
      </c>
      <c r="Q270" s="709" t="s">
        <v>346</v>
      </c>
      <c r="R270" s="776"/>
      <c r="S270" s="776"/>
      <c r="T270" s="776"/>
      <c r="U270" s="776"/>
      <c r="V270" s="701"/>
      <c r="W270" s="701"/>
    </row>
    <row r="271" spans="1:23" x14ac:dyDescent="0.25">
      <c r="A271" s="701" t="s">
        <v>487</v>
      </c>
      <c r="B271" s="701"/>
      <c r="C271" s="710" t="s">
        <v>59</v>
      </c>
      <c r="D271" s="711">
        <f>Bilans_E_AMS_Kyoto_run3_MTE!H458</f>
        <v>0</v>
      </c>
      <c r="E271" s="711">
        <f>Bilans_E_AMS_Kyoto_run3_MTE!I458</f>
        <v>0</v>
      </c>
      <c r="F271" s="711">
        <f>Bilans_E_AMS_Kyoto_run3_MTE!J458</f>
        <v>0</v>
      </c>
      <c r="G271" s="711">
        <f>Bilans_E_AMS_Kyoto_run3_MTE!K458</f>
        <v>0</v>
      </c>
      <c r="H271" s="711">
        <f>Bilans_E_AMS_Kyoto_run3_MTE!L458</f>
        <v>0</v>
      </c>
      <c r="I271" s="711">
        <f>Bilans_E_AMS_Kyoto_run3_MTE!M458</f>
        <v>0</v>
      </c>
      <c r="J271" s="711">
        <f>Bilans_E_AMS_Kyoto_run3_MTE!N458</f>
        <v>1099.5846392966657</v>
      </c>
      <c r="K271" s="711">
        <f>Bilans_E_AMS_Kyoto_run3_MTE!O458</f>
        <v>432.558137271254</v>
      </c>
      <c r="L271" s="711">
        <f>Bilans_E_AMS_Kyoto_run3_MTE!P458</f>
        <v>366.60157244104857</v>
      </c>
      <c r="M271" s="711">
        <f>Bilans_E_AMS_Kyoto_run3_MTE!Q458</f>
        <v>46.101085198672763</v>
      </c>
      <c r="N271" s="711">
        <f>Bilans_E_AMS_Kyoto_run3_MTE!R458</f>
        <v>0</v>
      </c>
      <c r="O271" s="711">
        <f>Bilans_E_AMS_Kyoto_run3_MTE!S458</f>
        <v>0</v>
      </c>
      <c r="P271" s="711">
        <f>Bilans_E_AMS_Kyoto_run3_MTE!T458+Bilans_E_AMS_Kyoto_run3_MTE!U458</f>
        <v>228.80859050100952</v>
      </c>
      <c r="Q271" s="711">
        <f>Bilans_E_AMS_Kyoto_run3_MTE!V458</f>
        <v>44.117114546253134</v>
      </c>
      <c r="R271" s="711">
        <f>Bilans_E_AMS_Kyoto_run3_MTE!W458</f>
        <v>0</v>
      </c>
      <c r="S271" s="711">
        <f>Bilans_E_AMS_Kyoto_run3_MTE!X458</f>
        <v>0</v>
      </c>
      <c r="T271" s="711">
        <f>Bilans_E_AMS_Kyoto_run3_MTE!Y458</f>
        <v>0</v>
      </c>
      <c r="U271" s="711">
        <f>Bilans_E_AMS_Kyoto_run3_MTE!Z458</f>
        <v>2217.7711392549036</v>
      </c>
      <c r="V271" s="701"/>
      <c r="W271" s="701"/>
    </row>
    <row r="272" spans="1:23" x14ac:dyDescent="0.25">
      <c r="A272" s="701" t="s">
        <v>488</v>
      </c>
      <c r="B272" s="701"/>
      <c r="C272" s="710" t="s">
        <v>60</v>
      </c>
      <c r="D272" s="712">
        <f>Bilans_E_AMS_Kyoto_run3_MTE!H459</f>
        <v>4.7190318603515626</v>
      </c>
      <c r="E272" s="712">
        <f>Bilans_E_AMS_Kyoto_run3_MTE!I459</f>
        <v>177.55502583689511</v>
      </c>
      <c r="F272" s="712">
        <f>Bilans_E_AMS_Kyoto_run3_MTE!J459</f>
        <v>35.526382887078427</v>
      </c>
      <c r="G272" s="712">
        <f>Bilans_E_AMS_Kyoto_run3_MTE!K459</f>
        <v>8.2447057853181924</v>
      </c>
      <c r="H272" s="712">
        <f>Bilans_E_AMS_Kyoto_run3_MTE!L459</f>
        <v>93.790704319687649</v>
      </c>
      <c r="I272" s="712">
        <f>Bilans_E_AMS_Kyoto_run3_MTE!M459</f>
        <v>0</v>
      </c>
      <c r="J272" s="712">
        <f>Bilans_E_AMS_Kyoto_run3_MTE!N459</f>
        <v>0</v>
      </c>
      <c r="K272" s="712">
        <f>Bilans_E_AMS_Kyoto_run3_MTE!O459</f>
        <v>0</v>
      </c>
      <c r="L272" s="712">
        <f>Bilans_E_AMS_Kyoto_run3_MTE!P459</f>
        <v>7.7767614364420297</v>
      </c>
      <c r="M272" s="712">
        <f>Bilans_E_AMS_Kyoto_run3_MTE!Q459</f>
        <v>0</v>
      </c>
      <c r="N272" s="712">
        <f>Bilans_E_AMS_Kyoto_run3_MTE!R459</f>
        <v>7.7564977806323299</v>
      </c>
      <c r="O272" s="712">
        <f>Bilans_E_AMS_Kyoto_run3_MTE!S459</f>
        <v>0</v>
      </c>
      <c r="P272" s="712">
        <f>Bilans_E_AMS_Kyoto_run3_MTE!T459+Bilans_E_AMS_Kyoto_run3_MTE!U459</f>
        <v>0</v>
      </c>
      <c r="Q272" s="712">
        <f>Bilans_E_AMS_Kyoto_run3_MTE!V459</f>
        <v>0</v>
      </c>
      <c r="R272" s="712">
        <f>Bilans_E_AMS_Kyoto_run3_MTE!W459</f>
        <v>0</v>
      </c>
      <c r="S272" s="712">
        <f>Bilans_E_AMS_Kyoto_run3_MTE!X459</f>
        <v>0</v>
      </c>
      <c r="T272" s="712">
        <f>Bilans_E_AMS_Kyoto_run3_MTE!Y459</f>
        <v>0</v>
      </c>
      <c r="U272" s="712">
        <f>Bilans_E_AMS_Kyoto_run3_MTE!Z459</f>
        <v>335.3691099064053</v>
      </c>
      <c r="V272" s="701"/>
      <c r="W272" s="701"/>
    </row>
    <row r="273" spans="1:23" x14ac:dyDescent="0.25">
      <c r="A273" s="701" t="s">
        <v>489</v>
      </c>
      <c r="B273" s="701"/>
      <c r="C273" s="710" t="s">
        <v>61</v>
      </c>
      <c r="D273" s="712">
        <f>Bilans_E_AMS_Kyoto_run3_MTE!H460</f>
        <v>0</v>
      </c>
      <c r="E273" s="712">
        <f>Bilans_E_AMS_Kyoto_run3_MTE!I460</f>
        <v>0</v>
      </c>
      <c r="F273" s="712">
        <f>Bilans_E_AMS_Kyoto_run3_MTE!J460</f>
        <v>0</v>
      </c>
      <c r="G273" s="712">
        <f>Bilans_E_AMS_Kyoto_run3_MTE!K460</f>
        <v>0</v>
      </c>
      <c r="H273" s="712">
        <f>Bilans_E_AMS_Kyoto_run3_MTE!L460</f>
        <v>0</v>
      </c>
      <c r="I273" s="712">
        <f>Bilans_E_AMS_Kyoto_run3_MTE!M460</f>
        <v>0</v>
      </c>
      <c r="J273" s="712">
        <f>Bilans_E_AMS_Kyoto_run3_MTE!N460</f>
        <v>0</v>
      </c>
      <c r="K273" s="712">
        <f>Bilans_E_AMS_Kyoto_run3_MTE!O460</f>
        <v>0</v>
      </c>
      <c r="L273" s="712">
        <f>Bilans_E_AMS_Kyoto_run3_MTE!P460</f>
        <v>0</v>
      </c>
      <c r="M273" s="712">
        <f>Bilans_E_AMS_Kyoto_run3_MTE!Q460</f>
        <v>0</v>
      </c>
      <c r="N273" s="712">
        <f>Bilans_E_AMS_Kyoto_run3_MTE!R460</f>
        <v>0</v>
      </c>
      <c r="O273" s="712">
        <f>Bilans_E_AMS_Kyoto_run3_MTE!S460</f>
        <v>-11.927582935629047</v>
      </c>
      <c r="P273" s="712">
        <f>Bilans_E_AMS_Kyoto_run3_MTE!T460+Bilans_E_AMS_Kyoto_run3_MTE!U460</f>
        <v>0</v>
      </c>
      <c r="Q273" s="712">
        <f>Bilans_E_AMS_Kyoto_run3_MTE!V460</f>
        <v>0</v>
      </c>
      <c r="R273" s="712">
        <f>Bilans_E_AMS_Kyoto_run3_MTE!W460</f>
        <v>-91.926243378286927</v>
      </c>
      <c r="S273" s="712">
        <f>Bilans_E_AMS_Kyoto_run3_MTE!X460</f>
        <v>0</v>
      </c>
      <c r="T273" s="712">
        <f>Bilans_E_AMS_Kyoto_run3_MTE!Y460</f>
        <v>0</v>
      </c>
      <c r="U273" s="712">
        <f>Bilans_E_AMS_Kyoto_run3_MTE!Z460</f>
        <v>-103.85382631391597</v>
      </c>
      <c r="V273" s="701"/>
      <c r="W273" s="701"/>
    </row>
    <row r="274" spans="1:23" x14ac:dyDescent="0.25">
      <c r="A274" s="701" t="s">
        <v>490</v>
      </c>
      <c r="B274" s="701"/>
      <c r="C274" s="710" t="s">
        <v>62</v>
      </c>
      <c r="D274" s="711">
        <f>Bilans_E_AMS_Kyoto_run3_MTE!H461</f>
        <v>0</v>
      </c>
      <c r="E274" s="711">
        <f>Bilans_E_AMS_Kyoto_run3_MTE!I461</f>
        <v>0</v>
      </c>
      <c r="F274" s="711">
        <f>Bilans_E_AMS_Kyoto_run3_MTE!J461</f>
        <v>-3.9597709546196729</v>
      </c>
      <c r="G274" s="711">
        <f>Bilans_E_AMS_Kyoto_run3_MTE!K461</f>
        <v>-1.6687304711455928</v>
      </c>
      <c r="H274" s="711">
        <f>Bilans_E_AMS_Kyoto_run3_MTE!L461</f>
        <v>0</v>
      </c>
      <c r="I274" s="711">
        <f>Bilans_E_AMS_Kyoto_run3_MTE!M461</f>
        <v>-1.7692389987108714</v>
      </c>
      <c r="J274" s="711">
        <f>Bilans_E_AMS_Kyoto_run3_MTE!N461</f>
        <v>0</v>
      </c>
      <c r="K274" s="711">
        <f>Bilans_E_AMS_Kyoto_run3_MTE!O461</f>
        <v>0</v>
      </c>
      <c r="L274" s="711">
        <f>Bilans_E_AMS_Kyoto_run3_MTE!P461</f>
        <v>0</v>
      </c>
      <c r="M274" s="711">
        <f>Bilans_E_AMS_Kyoto_run3_MTE!Q461</f>
        <v>0</v>
      </c>
      <c r="N274" s="711">
        <f>Bilans_E_AMS_Kyoto_run3_MTE!R461</f>
        <v>0</v>
      </c>
      <c r="O274" s="711">
        <f>Bilans_E_AMS_Kyoto_run3_MTE!S461</f>
        <v>-1.504748971161108</v>
      </c>
      <c r="P274" s="711">
        <f>Bilans_E_AMS_Kyoto_run3_MTE!T461+Bilans_E_AMS_Kyoto_run3_MTE!U461</f>
        <v>0</v>
      </c>
      <c r="Q274" s="711">
        <f>Bilans_E_AMS_Kyoto_run3_MTE!V461</f>
        <v>0</v>
      </c>
      <c r="R274" s="711">
        <f>Bilans_E_AMS_Kyoto_run3_MTE!W461</f>
        <v>0</v>
      </c>
      <c r="S274" s="711">
        <f>Bilans_E_AMS_Kyoto_run3_MTE!X461</f>
        <v>0</v>
      </c>
      <c r="T274" s="711">
        <f>Bilans_E_AMS_Kyoto_run3_MTE!Y461</f>
        <v>-0.86329073643245491</v>
      </c>
      <c r="U274" s="711">
        <f>Bilans_E_AMS_Kyoto_run3_MTE!Z461</f>
        <v>-9.7657801320697004</v>
      </c>
      <c r="V274" s="701"/>
      <c r="W274" s="701"/>
    </row>
    <row r="275" spans="1:23" x14ac:dyDescent="0.25">
      <c r="A275" s="701" t="s">
        <v>491</v>
      </c>
      <c r="B275" s="701"/>
      <c r="C275" s="710" t="s">
        <v>63</v>
      </c>
      <c r="D275" s="711">
        <f>Bilans_E_AMS_Kyoto_run3_MTE!H462</f>
        <v>0</v>
      </c>
      <c r="E275" s="711">
        <f>Bilans_E_AMS_Kyoto_run3_MTE!I462</f>
        <v>0</v>
      </c>
      <c r="F275" s="711">
        <f>Bilans_E_AMS_Kyoto_run3_MTE!J462</f>
        <v>-32.199999999999996</v>
      </c>
      <c r="G275" s="711">
        <f>Bilans_E_AMS_Kyoto_run3_MTE!K462</f>
        <v>-12.8</v>
      </c>
      <c r="H275" s="711">
        <f>Bilans_E_AMS_Kyoto_run3_MTE!L462</f>
        <v>0</v>
      </c>
      <c r="I275" s="711">
        <f>Bilans_E_AMS_Kyoto_run3_MTE!M462</f>
        <v>0</v>
      </c>
      <c r="J275" s="711">
        <f>Bilans_E_AMS_Kyoto_run3_MTE!N462</f>
        <v>0</v>
      </c>
      <c r="K275" s="711">
        <f>Bilans_E_AMS_Kyoto_run3_MTE!O462</f>
        <v>0</v>
      </c>
      <c r="L275" s="711">
        <f>Bilans_E_AMS_Kyoto_run3_MTE!P462</f>
        <v>0</v>
      </c>
      <c r="M275" s="711">
        <f>Bilans_E_AMS_Kyoto_run3_MTE!Q462</f>
        <v>0</v>
      </c>
      <c r="N275" s="711">
        <f>Bilans_E_AMS_Kyoto_run3_MTE!R462</f>
        <v>-15.600000000000001</v>
      </c>
      <c r="O275" s="711">
        <f>Bilans_E_AMS_Kyoto_run3_MTE!S462</f>
        <v>0</v>
      </c>
      <c r="P275" s="711">
        <f>Bilans_E_AMS_Kyoto_run3_MTE!T462+Bilans_E_AMS_Kyoto_run3_MTE!U462</f>
        <v>0</v>
      </c>
      <c r="Q275" s="711">
        <f>Bilans_E_AMS_Kyoto_run3_MTE!V462</f>
        <v>0</v>
      </c>
      <c r="R275" s="711">
        <f>Bilans_E_AMS_Kyoto_run3_MTE!W462</f>
        <v>0</v>
      </c>
      <c r="S275" s="711">
        <f>Bilans_E_AMS_Kyoto_run3_MTE!X462</f>
        <v>0</v>
      </c>
      <c r="T275" s="711">
        <f>Bilans_E_AMS_Kyoto_run3_MTE!Y462</f>
        <v>-4.2</v>
      </c>
      <c r="U275" s="711">
        <f>Bilans_E_AMS_Kyoto_run3_MTE!Z462</f>
        <v>-64.8</v>
      </c>
      <c r="V275" s="701"/>
      <c r="W275" s="701"/>
    </row>
    <row r="276" spans="1:23" x14ac:dyDescent="0.25">
      <c r="A276" s="701" t="s">
        <v>492</v>
      </c>
      <c r="B276" s="701"/>
      <c r="C276" s="710" t="s">
        <v>64</v>
      </c>
      <c r="D276" s="712">
        <f>Bilans_E_AMS_Kyoto_run3_MTE!H463</f>
        <v>0</v>
      </c>
      <c r="E276" s="712">
        <f>Bilans_E_AMS_Kyoto_run3_MTE!I463</f>
        <v>0</v>
      </c>
      <c r="F276" s="712">
        <f>Bilans_E_AMS_Kyoto_run3_MTE!J463</f>
        <v>0</v>
      </c>
      <c r="G276" s="712">
        <f>Bilans_E_AMS_Kyoto_run3_MTE!K463</f>
        <v>0</v>
      </c>
      <c r="H276" s="712">
        <f>Bilans_E_AMS_Kyoto_run3_MTE!L463</f>
        <v>0</v>
      </c>
      <c r="I276" s="712">
        <f>Bilans_E_AMS_Kyoto_run3_MTE!M463</f>
        <v>0</v>
      </c>
      <c r="J276" s="712">
        <f>Bilans_E_AMS_Kyoto_run3_MTE!N463</f>
        <v>0</v>
      </c>
      <c r="K276" s="712">
        <f>Bilans_E_AMS_Kyoto_run3_MTE!O463</f>
        <v>0</v>
      </c>
      <c r="L276" s="712">
        <f>Bilans_E_AMS_Kyoto_run3_MTE!P463</f>
        <v>0</v>
      </c>
      <c r="M276" s="712">
        <f>Bilans_E_AMS_Kyoto_run3_MTE!Q463</f>
        <v>0</v>
      </c>
      <c r="N276" s="712">
        <f>Bilans_E_AMS_Kyoto_run3_MTE!R463</f>
        <v>0</v>
      </c>
      <c r="O276" s="712">
        <f>Bilans_E_AMS_Kyoto_run3_MTE!S463</f>
        <v>0</v>
      </c>
      <c r="P276" s="712">
        <f>Bilans_E_AMS_Kyoto_run3_MTE!T463+Bilans_E_AMS_Kyoto_run3_MTE!U463</f>
        <v>0</v>
      </c>
      <c r="Q276" s="712">
        <f>Bilans_E_AMS_Kyoto_run3_MTE!V463</f>
        <v>0</v>
      </c>
      <c r="R276" s="712">
        <f>Bilans_E_AMS_Kyoto_run3_MTE!W463</f>
        <v>0</v>
      </c>
      <c r="S276" s="712">
        <f>Bilans_E_AMS_Kyoto_run3_MTE!X463</f>
        <v>0</v>
      </c>
      <c r="T276" s="712">
        <f>Bilans_E_AMS_Kyoto_run3_MTE!Y463</f>
        <v>0</v>
      </c>
      <c r="U276" s="712">
        <f>Bilans_E_AMS_Kyoto_run3_MTE!Z463</f>
        <v>0</v>
      </c>
      <c r="V276" s="701"/>
      <c r="W276" s="701"/>
    </row>
    <row r="277" spans="1:23" x14ac:dyDescent="0.25">
      <c r="A277" s="701" t="s">
        <v>493</v>
      </c>
      <c r="B277" s="701"/>
      <c r="C277" s="713" t="s">
        <v>65</v>
      </c>
      <c r="D277" s="714">
        <f>Bilans_E_AMS_Kyoto_run3_MTE!H464</f>
        <v>4.7190318603515626</v>
      </c>
      <c r="E277" s="714">
        <f>Bilans_E_AMS_Kyoto_run3_MTE!I464</f>
        <v>177.55502583689511</v>
      </c>
      <c r="F277" s="714">
        <f>Bilans_E_AMS_Kyoto_run3_MTE!J464</f>
        <v>-0.63338806754124022</v>
      </c>
      <c r="G277" s="714">
        <f>Bilans_E_AMS_Kyoto_run3_MTE!K464</f>
        <v>-6.2240246858274011</v>
      </c>
      <c r="H277" s="714">
        <f>Bilans_E_AMS_Kyoto_run3_MTE!L464</f>
        <v>93.790704319687649</v>
      </c>
      <c r="I277" s="714">
        <f>Bilans_E_AMS_Kyoto_run3_MTE!M464</f>
        <v>-1.7692389987108714</v>
      </c>
      <c r="J277" s="714">
        <f>Bilans_E_AMS_Kyoto_run3_MTE!N464</f>
        <v>1099.5846392966657</v>
      </c>
      <c r="K277" s="714">
        <f>Bilans_E_AMS_Kyoto_run3_MTE!O464</f>
        <v>432.558137271254</v>
      </c>
      <c r="L277" s="714">
        <f>Bilans_E_AMS_Kyoto_run3_MTE!P464</f>
        <v>374.3783338774906</v>
      </c>
      <c r="M277" s="714">
        <f>Bilans_E_AMS_Kyoto_run3_MTE!Q464</f>
        <v>46.101085198672763</v>
      </c>
      <c r="N277" s="714">
        <f>Bilans_E_AMS_Kyoto_run3_MTE!R464</f>
        <v>-7.8435022193676716</v>
      </c>
      <c r="O277" s="714">
        <f>Bilans_E_AMS_Kyoto_run3_MTE!S464</f>
        <v>-13.432331906790155</v>
      </c>
      <c r="P277" s="714">
        <f>Bilans_E_AMS_Kyoto_run3_MTE!T464+Bilans_E_AMS_Kyoto_run3_MTE!U464</f>
        <v>228.80859050100952</v>
      </c>
      <c r="Q277" s="714">
        <f>Bilans_E_AMS_Kyoto_run3_MTE!V464</f>
        <v>44.117114546253134</v>
      </c>
      <c r="R277" s="714">
        <f>Bilans_E_AMS_Kyoto_run3_MTE!W464</f>
        <v>-91.926243378286927</v>
      </c>
      <c r="S277" s="714">
        <f>Bilans_E_AMS_Kyoto_run3_MTE!X464</f>
        <v>0</v>
      </c>
      <c r="T277" s="714">
        <f>Bilans_E_AMS_Kyoto_run3_MTE!Y464</f>
        <v>-5.0632907364324549</v>
      </c>
      <c r="U277" s="714">
        <f>Bilans_E_AMS_Kyoto_run3_MTE!Z464</f>
        <v>2374.7206427153233</v>
      </c>
      <c r="V277" s="701"/>
      <c r="W277" s="701"/>
    </row>
    <row r="278" spans="1:23" x14ac:dyDescent="0.25">
      <c r="A278" s="701"/>
      <c r="B278" s="701"/>
      <c r="C278" s="715"/>
      <c r="D278" s="716"/>
      <c r="E278" s="716"/>
      <c r="F278" s="716"/>
      <c r="G278" s="716"/>
      <c r="H278" s="716"/>
      <c r="I278" s="716"/>
      <c r="J278" s="716"/>
      <c r="K278" s="716"/>
      <c r="L278" s="716"/>
      <c r="M278" s="716"/>
      <c r="N278" s="716"/>
      <c r="O278" s="716"/>
      <c r="P278" s="716">
        <f>Bilans_E_AMS_Kyoto_run3_MTE!T465+Bilans_E_AMS_Kyoto_run3_MTE!U465</f>
        <v>0</v>
      </c>
      <c r="Q278" s="716"/>
      <c r="R278" s="716"/>
      <c r="S278" s="716"/>
      <c r="T278" s="716"/>
      <c r="U278" s="716"/>
      <c r="V278" s="701"/>
      <c r="W278" s="701"/>
    </row>
    <row r="279" spans="1:23" x14ac:dyDescent="0.25">
      <c r="A279" s="701" t="s">
        <v>494</v>
      </c>
      <c r="B279" s="701"/>
      <c r="C279" s="717" t="s">
        <v>67</v>
      </c>
      <c r="D279" s="711">
        <f>Bilans_E_AMS_Kyoto_run3_MTE!H466</f>
        <v>0</v>
      </c>
      <c r="E279" s="711">
        <f>Bilans_E_AMS_Kyoto_run3_MTE!I466</f>
        <v>0</v>
      </c>
      <c r="F279" s="711">
        <f>Bilans_E_AMS_Kyoto_run3_MTE!J466</f>
        <v>0</v>
      </c>
      <c r="G279" s="711">
        <f>Bilans_E_AMS_Kyoto_run3_MTE!K466</f>
        <v>0</v>
      </c>
      <c r="H279" s="711">
        <f>Bilans_E_AMS_Kyoto_run3_MTE!L466</f>
        <v>0</v>
      </c>
      <c r="I279" s="711">
        <f>Bilans_E_AMS_Kyoto_run3_MTE!M466</f>
        <v>0</v>
      </c>
      <c r="J279" s="711">
        <f>Bilans_E_AMS_Kyoto_run3_MTE!N466</f>
        <v>0</v>
      </c>
      <c r="K279" s="711">
        <f>Bilans_E_AMS_Kyoto_run3_MTE!O466</f>
        <v>0</v>
      </c>
      <c r="L279" s="711">
        <f>Bilans_E_AMS_Kyoto_run3_MTE!P466</f>
        <v>0</v>
      </c>
      <c r="M279" s="711">
        <f>Bilans_E_AMS_Kyoto_run3_MTE!Q466</f>
        <v>0</v>
      </c>
      <c r="N279" s="711">
        <f>Bilans_E_AMS_Kyoto_run3_MTE!R466</f>
        <v>0</v>
      </c>
      <c r="O279" s="711">
        <f>Bilans_E_AMS_Kyoto_run3_MTE!S466</f>
        <v>0</v>
      </c>
      <c r="P279" s="711">
        <f>Bilans_E_AMS_Kyoto_run3_MTE!T466+Bilans_E_AMS_Kyoto_run3_MTE!U466</f>
        <v>0</v>
      </c>
      <c r="Q279" s="711">
        <f>Bilans_E_AMS_Kyoto_run3_MTE!V466</f>
        <v>0</v>
      </c>
      <c r="R279" s="711">
        <f>Bilans_E_AMS_Kyoto_run3_MTE!W466</f>
        <v>0</v>
      </c>
      <c r="S279" s="711">
        <f>Bilans_E_AMS_Kyoto_run3_MTE!X466</f>
        <v>0</v>
      </c>
      <c r="T279" s="711">
        <f>Bilans_E_AMS_Kyoto_run3_MTE!Y466</f>
        <v>0</v>
      </c>
      <c r="U279" s="711">
        <f>Bilans_E_AMS_Kyoto_run3_MTE!Z466</f>
        <v>0</v>
      </c>
      <c r="V279" s="701"/>
      <c r="W279" s="701"/>
    </row>
    <row r="280" spans="1:23" x14ac:dyDescent="0.25">
      <c r="A280" s="701" t="s">
        <v>495</v>
      </c>
      <c r="B280" s="701"/>
      <c r="C280" s="717" t="s">
        <v>347</v>
      </c>
      <c r="D280" s="711">
        <f>Bilans_E_AMS_Kyoto_run3_MTE!H467</f>
        <v>0</v>
      </c>
      <c r="E280" s="711">
        <f>Bilans_E_AMS_Kyoto_run3_MTE!I467</f>
        <v>0</v>
      </c>
      <c r="F280" s="711">
        <f>Bilans_E_AMS_Kyoto_run3_MTE!J467</f>
        <v>2.6460781360013397E-2</v>
      </c>
      <c r="G280" s="711">
        <f>Bilans_E_AMS_Kyoto_run3_MTE!K467</f>
        <v>0</v>
      </c>
      <c r="H280" s="711">
        <f>Bilans_E_AMS_Kyoto_run3_MTE!L467</f>
        <v>2.3319683433476327E-3</v>
      </c>
      <c r="I280" s="711">
        <f>Bilans_E_AMS_Kyoto_run3_MTE!M467</f>
        <v>0</v>
      </c>
      <c r="J280" s="711">
        <f>Bilans_E_AMS_Kyoto_run3_MTE!N467</f>
        <v>1094.3390181818181</v>
      </c>
      <c r="K280" s="711">
        <f>Bilans_E_AMS_Kyoto_run3_MTE!O467</f>
        <v>432.558137271254</v>
      </c>
      <c r="L280" s="711">
        <f>Bilans_E_AMS_Kyoto_run3_MTE!P467</f>
        <v>17.878777557508954</v>
      </c>
      <c r="M280" s="711">
        <f>Bilans_E_AMS_Kyoto_run3_MTE!Q467</f>
        <v>5.4304217786079292</v>
      </c>
      <c r="N280" s="711">
        <f>Bilans_E_AMS_Kyoto_run3_MTE!R467</f>
        <v>6.0578717375904887</v>
      </c>
      <c r="O280" s="711">
        <f>Bilans_E_AMS_Kyoto_run3_MTE!S467</f>
        <v>0.11581039979962704</v>
      </c>
      <c r="P280" s="711">
        <f>Bilans_E_AMS_Kyoto_run3_MTE!T467+Bilans_E_AMS_Kyoto_run3_MTE!U467</f>
        <v>0</v>
      </c>
      <c r="Q280" s="711">
        <f>Bilans_E_AMS_Kyoto_run3_MTE!V467</f>
        <v>6.4590957564387725</v>
      </c>
      <c r="R280" s="711">
        <f>Bilans_E_AMS_Kyoto_run3_MTE!W467</f>
        <v>-810.5836017522513</v>
      </c>
      <c r="S280" s="711">
        <f>Bilans_E_AMS_Kyoto_run3_MTE!X467</f>
        <v>0</v>
      </c>
      <c r="T280" s="711">
        <f>Bilans_E_AMS_Kyoto_run3_MTE!Y467</f>
        <v>0</v>
      </c>
      <c r="U280" s="711">
        <f>Bilans_E_AMS_Kyoto_run3_MTE!Z467</f>
        <v>752.28432368046992</v>
      </c>
      <c r="V280" s="701"/>
      <c r="W280" s="701"/>
    </row>
    <row r="281" spans="1:23" x14ac:dyDescent="0.25">
      <c r="A281" s="701" t="s">
        <v>496</v>
      </c>
      <c r="B281" s="701"/>
      <c r="C281" s="717" t="s">
        <v>348</v>
      </c>
      <c r="D281" s="711">
        <f>Bilans_E_AMS_Kyoto_run3_MTE!H468</f>
        <v>0</v>
      </c>
      <c r="E281" s="711">
        <f>Bilans_E_AMS_Kyoto_run3_MTE!I468</f>
        <v>0</v>
      </c>
      <c r="F281" s="711">
        <f>Bilans_E_AMS_Kyoto_run3_MTE!J468</f>
        <v>0</v>
      </c>
      <c r="G281" s="711">
        <f>Bilans_E_AMS_Kyoto_run3_MTE!K468</f>
        <v>0</v>
      </c>
      <c r="H281" s="711">
        <f>Bilans_E_AMS_Kyoto_run3_MTE!L468</f>
        <v>11.361302050509126</v>
      </c>
      <c r="I281" s="711">
        <f>Bilans_E_AMS_Kyoto_run3_MTE!M468</f>
        <v>0.11959265316325396</v>
      </c>
      <c r="J281" s="711">
        <f>Bilans_E_AMS_Kyoto_run3_MTE!N468</f>
        <v>5.2456211148474967</v>
      </c>
      <c r="K281" s="711">
        <f>Bilans_E_AMS_Kyoto_run3_MTE!O468</f>
        <v>0</v>
      </c>
      <c r="L281" s="711">
        <f>Bilans_E_AMS_Kyoto_run3_MTE!P468</f>
        <v>23.710249533581198</v>
      </c>
      <c r="M281" s="711">
        <f>Bilans_E_AMS_Kyoto_run3_MTE!Q468</f>
        <v>12.653124911951959</v>
      </c>
      <c r="N281" s="711">
        <f>Bilans_E_AMS_Kyoto_run3_MTE!R468</f>
        <v>0</v>
      </c>
      <c r="O281" s="711">
        <f>Bilans_E_AMS_Kyoto_run3_MTE!S468</f>
        <v>8.4660785396177261</v>
      </c>
      <c r="P281" s="711">
        <f>Bilans_E_AMS_Kyoto_run3_MTE!T468+Bilans_E_AMS_Kyoto_run3_MTE!U468</f>
        <v>18.404716933116433</v>
      </c>
      <c r="Q281" s="711">
        <f>Bilans_E_AMS_Kyoto_run3_MTE!V468</f>
        <v>13.404801159439005</v>
      </c>
      <c r="R281" s="711">
        <f>Bilans_E_AMS_Kyoto_run3_MTE!W468</f>
        <v>0</v>
      </c>
      <c r="S281" s="711">
        <f>Bilans_E_AMS_Kyoto_run3_MTE!X468</f>
        <v>-86.867525789433259</v>
      </c>
      <c r="T281" s="711">
        <f>Bilans_E_AMS_Kyoto_run3_MTE!Y468</f>
        <v>0</v>
      </c>
      <c r="U281" s="711">
        <f>Bilans_E_AMS_Kyoto_run3_MTE!Z468</f>
        <v>6.4979611067929426</v>
      </c>
      <c r="V281" s="701"/>
      <c r="W281" s="701"/>
    </row>
    <row r="282" spans="1:23" x14ac:dyDescent="0.25">
      <c r="A282" s="701" t="s">
        <v>497</v>
      </c>
      <c r="B282" s="701"/>
      <c r="C282" s="717" t="s">
        <v>349</v>
      </c>
      <c r="D282" s="711">
        <f>Bilans_E_AMS_Kyoto_run3_MTE!H469</f>
        <v>0</v>
      </c>
      <c r="E282" s="711">
        <f>Bilans_E_AMS_Kyoto_run3_MTE!I469</f>
        <v>0</v>
      </c>
      <c r="F282" s="711">
        <f>Bilans_E_AMS_Kyoto_run3_MTE!J469</f>
        <v>0</v>
      </c>
      <c r="G282" s="711">
        <f>Bilans_E_AMS_Kyoto_run3_MTE!K469</f>
        <v>0</v>
      </c>
      <c r="H282" s="711">
        <f>Bilans_E_AMS_Kyoto_run3_MTE!L469</f>
        <v>0</v>
      </c>
      <c r="I282" s="711">
        <f>Bilans_E_AMS_Kyoto_run3_MTE!M469</f>
        <v>0</v>
      </c>
      <c r="J282" s="711">
        <f>Bilans_E_AMS_Kyoto_run3_MTE!N469</f>
        <v>0</v>
      </c>
      <c r="K282" s="711">
        <f>Bilans_E_AMS_Kyoto_run3_MTE!O469</f>
        <v>0</v>
      </c>
      <c r="L282" s="711">
        <f>Bilans_E_AMS_Kyoto_run3_MTE!P469</f>
        <v>138.07928558547806</v>
      </c>
      <c r="M282" s="711">
        <f>Bilans_E_AMS_Kyoto_run3_MTE!Q469</f>
        <v>12.388866886032204</v>
      </c>
      <c r="N282" s="711">
        <f>Bilans_E_AMS_Kyoto_run3_MTE!R469</f>
        <v>0</v>
      </c>
      <c r="O282" s="711">
        <f>Bilans_E_AMS_Kyoto_run3_MTE!S469</f>
        <v>-75.318683922078151</v>
      </c>
      <c r="P282" s="711">
        <f>Bilans_E_AMS_Kyoto_run3_MTE!T469+Bilans_E_AMS_Kyoto_run3_MTE!U469</f>
        <v>0</v>
      </c>
      <c r="Q282" s="711">
        <f>Bilans_E_AMS_Kyoto_run3_MTE!V469</f>
        <v>0</v>
      </c>
      <c r="R282" s="711">
        <f>Bilans_E_AMS_Kyoto_run3_MTE!W469</f>
        <v>0</v>
      </c>
      <c r="S282" s="711">
        <f>Bilans_E_AMS_Kyoto_run3_MTE!X469</f>
        <v>0</v>
      </c>
      <c r="T282" s="711">
        <f>Bilans_E_AMS_Kyoto_run3_MTE!Y469</f>
        <v>0</v>
      </c>
      <c r="U282" s="711">
        <f>Bilans_E_AMS_Kyoto_run3_MTE!Z469</f>
        <v>75.149468549432129</v>
      </c>
      <c r="V282" s="701"/>
      <c r="W282" s="701"/>
    </row>
    <row r="283" spans="1:23" x14ac:dyDescent="0.25">
      <c r="A283" s="701" t="s">
        <v>498</v>
      </c>
      <c r="B283" s="701"/>
      <c r="C283" s="717" t="s">
        <v>350</v>
      </c>
      <c r="D283" s="711">
        <f>Bilans_E_AMS_Kyoto_run3_MTE!H470</f>
        <v>0</v>
      </c>
      <c r="E283" s="711">
        <f>Bilans_E_AMS_Kyoto_run3_MTE!I470</f>
        <v>0</v>
      </c>
      <c r="F283" s="711">
        <f>Bilans_E_AMS_Kyoto_run3_MTE!J470</f>
        <v>0</v>
      </c>
      <c r="G283" s="711">
        <f>Bilans_E_AMS_Kyoto_run3_MTE!K470</f>
        <v>0</v>
      </c>
      <c r="H283" s="711">
        <f>Bilans_E_AMS_Kyoto_run3_MTE!L470</f>
        <v>0</v>
      </c>
      <c r="I283" s="711">
        <f>Bilans_E_AMS_Kyoto_run3_MTE!M470</f>
        <v>-2.6425947059180688</v>
      </c>
      <c r="J283" s="711">
        <f>Bilans_E_AMS_Kyoto_run3_MTE!N470</f>
        <v>0</v>
      </c>
      <c r="K283" s="711">
        <f>Bilans_E_AMS_Kyoto_run3_MTE!O470</f>
        <v>0</v>
      </c>
      <c r="L283" s="711">
        <f>Bilans_E_AMS_Kyoto_run3_MTE!P470</f>
        <v>0</v>
      </c>
      <c r="M283" s="711">
        <f>Bilans_E_AMS_Kyoto_run3_MTE!Q470</f>
        <v>0</v>
      </c>
      <c r="N283" s="711">
        <f>Bilans_E_AMS_Kyoto_run3_MTE!R470</f>
        <v>0</v>
      </c>
      <c r="O283" s="711">
        <f>Bilans_E_AMS_Kyoto_run3_MTE!S470</f>
        <v>0</v>
      </c>
      <c r="P283" s="711">
        <f>Bilans_E_AMS_Kyoto_run3_MTE!T470+Bilans_E_AMS_Kyoto_run3_MTE!U470</f>
        <v>0</v>
      </c>
      <c r="Q283" s="711">
        <f>Bilans_E_AMS_Kyoto_run3_MTE!V470</f>
        <v>0</v>
      </c>
      <c r="R283" s="711">
        <f>Bilans_E_AMS_Kyoto_run3_MTE!W470</f>
        <v>0</v>
      </c>
      <c r="S283" s="711">
        <f>Bilans_E_AMS_Kyoto_run3_MTE!X470</f>
        <v>0</v>
      </c>
      <c r="T283" s="711">
        <f>Bilans_E_AMS_Kyoto_run3_MTE!Y470</f>
        <v>3.6634319020026336</v>
      </c>
      <c r="U283" s="711">
        <f>Bilans_E_AMS_Kyoto_run3_MTE!Z470</f>
        <v>1.0208371960845648</v>
      </c>
      <c r="V283" s="701"/>
      <c r="W283" s="701"/>
    </row>
    <row r="284" spans="1:23" x14ac:dyDescent="0.25">
      <c r="A284" s="701" t="s">
        <v>499</v>
      </c>
      <c r="B284" s="701"/>
      <c r="C284" s="717" t="s">
        <v>72</v>
      </c>
      <c r="D284" s="711">
        <f>Bilans_E_AMS_Kyoto_run3_MTE!H471</f>
        <v>0</v>
      </c>
      <c r="E284" s="711">
        <f>Bilans_E_AMS_Kyoto_run3_MTE!I471</f>
        <v>183.99004915233374</v>
      </c>
      <c r="F284" s="711">
        <f>Bilans_E_AMS_Kyoto_run3_MTE!J471</f>
        <v>-182.1501486608104</v>
      </c>
      <c r="G284" s="711">
        <f>Bilans_E_AMS_Kyoto_run3_MTE!K471</f>
        <v>0</v>
      </c>
      <c r="H284" s="711">
        <f>Bilans_E_AMS_Kyoto_run3_MTE!L471</f>
        <v>0</v>
      </c>
      <c r="I284" s="711">
        <f>Bilans_E_AMS_Kyoto_run3_MTE!M471</f>
        <v>0</v>
      </c>
      <c r="J284" s="711">
        <f>Bilans_E_AMS_Kyoto_run3_MTE!N471</f>
        <v>0</v>
      </c>
      <c r="K284" s="711">
        <f>Bilans_E_AMS_Kyoto_run3_MTE!O471</f>
        <v>0</v>
      </c>
      <c r="L284" s="711">
        <f>Bilans_E_AMS_Kyoto_run3_MTE!P471</f>
        <v>0</v>
      </c>
      <c r="M284" s="711">
        <f>Bilans_E_AMS_Kyoto_run3_MTE!Q471</f>
        <v>0</v>
      </c>
      <c r="N284" s="711">
        <f>Bilans_E_AMS_Kyoto_run3_MTE!R471</f>
        <v>0</v>
      </c>
      <c r="O284" s="711">
        <f>Bilans_E_AMS_Kyoto_run3_MTE!S471</f>
        <v>0</v>
      </c>
      <c r="P284" s="711">
        <f>Bilans_E_AMS_Kyoto_run3_MTE!T471+Bilans_E_AMS_Kyoto_run3_MTE!U471</f>
        <v>0</v>
      </c>
      <c r="Q284" s="711">
        <f>Bilans_E_AMS_Kyoto_run3_MTE!V471</f>
        <v>0</v>
      </c>
      <c r="R284" s="711">
        <f>Bilans_E_AMS_Kyoto_run3_MTE!W471</f>
        <v>0</v>
      </c>
      <c r="S284" s="711">
        <f>Bilans_E_AMS_Kyoto_run3_MTE!X471</f>
        <v>0</v>
      </c>
      <c r="T284" s="711">
        <f>Bilans_E_AMS_Kyoto_run3_MTE!Y471</f>
        <v>0</v>
      </c>
      <c r="U284" s="711">
        <f>Bilans_E_AMS_Kyoto_run3_MTE!Z471</f>
        <v>1.8399004915233377</v>
      </c>
      <c r="V284" s="701"/>
      <c r="W284" s="701"/>
    </row>
    <row r="285" spans="1:23" x14ac:dyDescent="0.25">
      <c r="A285" s="701" t="s">
        <v>500</v>
      </c>
      <c r="B285" s="701"/>
      <c r="C285" s="717" t="s">
        <v>351</v>
      </c>
      <c r="D285" s="711">
        <f>Bilans_E_AMS_Kyoto_run3_MTE!H472</f>
        <v>0</v>
      </c>
      <c r="E285" s="711">
        <f>Bilans_E_AMS_Kyoto_run3_MTE!I472</f>
        <v>0</v>
      </c>
      <c r="F285" s="711">
        <f>Bilans_E_AMS_Kyoto_run3_MTE!J472</f>
        <v>0</v>
      </c>
      <c r="G285" s="711">
        <f>Bilans_E_AMS_Kyoto_run3_MTE!K472</f>
        <v>0</v>
      </c>
      <c r="H285" s="711">
        <f>Bilans_E_AMS_Kyoto_run3_MTE!L472</f>
        <v>0</v>
      </c>
      <c r="I285" s="711">
        <f>Bilans_E_AMS_Kyoto_run3_MTE!M472</f>
        <v>0</v>
      </c>
      <c r="J285" s="711">
        <f>Bilans_E_AMS_Kyoto_run3_MTE!N472</f>
        <v>0</v>
      </c>
      <c r="K285" s="711">
        <f>Bilans_E_AMS_Kyoto_run3_MTE!O472</f>
        <v>0</v>
      </c>
      <c r="L285" s="711">
        <f>Bilans_E_AMS_Kyoto_run3_MTE!P472</f>
        <v>98.264059426631164</v>
      </c>
      <c r="M285" s="711">
        <f>Bilans_E_AMS_Kyoto_run3_MTE!Q472</f>
        <v>7.2727272727272725</v>
      </c>
      <c r="N285" s="711">
        <f>Bilans_E_AMS_Kyoto_run3_MTE!R472</f>
        <v>-58.881352983692381</v>
      </c>
      <c r="O285" s="711">
        <f>Bilans_E_AMS_Kyoto_run3_MTE!S472</f>
        <v>0</v>
      </c>
      <c r="P285" s="711">
        <f>Bilans_E_AMS_Kyoto_run3_MTE!T472+Bilans_E_AMS_Kyoto_run3_MTE!U472</f>
        <v>0</v>
      </c>
      <c r="Q285" s="711">
        <f>Bilans_E_AMS_Kyoto_run3_MTE!V472</f>
        <v>0</v>
      </c>
      <c r="R285" s="711">
        <f>Bilans_E_AMS_Kyoto_run3_MTE!W472</f>
        <v>0</v>
      </c>
      <c r="S285" s="711">
        <f>Bilans_E_AMS_Kyoto_run3_MTE!X472</f>
        <v>0</v>
      </c>
      <c r="T285" s="711">
        <f>Bilans_E_AMS_Kyoto_run3_MTE!Y472</f>
        <v>0</v>
      </c>
      <c r="U285" s="711">
        <f>Bilans_E_AMS_Kyoto_run3_MTE!Z472</f>
        <v>46.655433715666049</v>
      </c>
      <c r="V285" s="701"/>
      <c r="W285" s="701"/>
    </row>
    <row r="286" spans="1:23" x14ac:dyDescent="0.25">
      <c r="A286" s="701" t="s">
        <v>501</v>
      </c>
      <c r="B286" s="701"/>
      <c r="C286" s="717" t="s">
        <v>352</v>
      </c>
      <c r="D286" s="711">
        <f>Bilans_E_AMS_Kyoto_run3_MTE!H473</f>
        <v>0</v>
      </c>
      <c r="E286" s="711">
        <f>Bilans_E_AMS_Kyoto_run3_MTE!I473</f>
        <v>0</v>
      </c>
      <c r="F286" s="711">
        <f>Bilans_E_AMS_Kyoto_run3_MTE!J473</f>
        <v>0</v>
      </c>
      <c r="G286" s="711">
        <f>Bilans_E_AMS_Kyoto_run3_MTE!K473</f>
        <v>-10.918730471145594</v>
      </c>
      <c r="H286" s="711">
        <f>Bilans_E_AMS_Kyoto_run3_MTE!L473</f>
        <v>0</v>
      </c>
      <c r="I286" s="711">
        <f>Bilans_E_AMS_Kyoto_run3_MTE!M473</f>
        <v>0</v>
      </c>
      <c r="J286" s="711">
        <f>Bilans_E_AMS_Kyoto_run3_MTE!N473</f>
        <v>0</v>
      </c>
      <c r="K286" s="711">
        <f>Bilans_E_AMS_Kyoto_run3_MTE!O473</f>
        <v>0</v>
      </c>
      <c r="L286" s="711">
        <f>Bilans_E_AMS_Kyoto_run3_MTE!P473</f>
        <v>0</v>
      </c>
      <c r="M286" s="711">
        <f>Bilans_E_AMS_Kyoto_run3_MTE!Q473</f>
        <v>0</v>
      </c>
      <c r="N286" s="711">
        <f>Bilans_E_AMS_Kyoto_run3_MTE!R473</f>
        <v>0</v>
      </c>
      <c r="O286" s="711">
        <f>Bilans_E_AMS_Kyoto_run3_MTE!S473</f>
        <v>0</v>
      </c>
      <c r="P286" s="711">
        <f>Bilans_E_AMS_Kyoto_run3_MTE!T473+Bilans_E_AMS_Kyoto_run3_MTE!U473</f>
        <v>0</v>
      </c>
      <c r="Q286" s="711">
        <f>Bilans_E_AMS_Kyoto_run3_MTE!V473</f>
        <v>0</v>
      </c>
      <c r="R286" s="711">
        <f>Bilans_E_AMS_Kyoto_run3_MTE!W473</f>
        <v>0</v>
      </c>
      <c r="S286" s="711">
        <f>Bilans_E_AMS_Kyoto_run3_MTE!X473</f>
        <v>0</v>
      </c>
      <c r="T286" s="711">
        <f>Bilans_E_AMS_Kyoto_run3_MTE!Y473</f>
        <v>18.115603518260158</v>
      </c>
      <c r="U286" s="711">
        <f>Bilans_E_AMS_Kyoto_run3_MTE!Z473</f>
        <v>7.1968730471145648</v>
      </c>
      <c r="V286" s="701"/>
      <c r="W286" s="701"/>
    </row>
    <row r="287" spans="1:23" x14ac:dyDescent="0.25">
      <c r="A287" s="701" t="s">
        <v>502</v>
      </c>
      <c r="B287" s="701"/>
      <c r="C287" s="717" t="s">
        <v>73</v>
      </c>
      <c r="D287" s="711">
        <f>Bilans_E_AMS_Kyoto_run3_MTE!H474</f>
        <v>0</v>
      </c>
      <c r="E287" s="711">
        <f>Bilans_E_AMS_Kyoto_run3_MTE!I474</f>
        <v>0</v>
      </c>
      <c r="F287" s="711">
        <f>Bilans_E_AMS_Kyoto_run3_MTE!J474</f>
        <v>0</v>
      </c>
      <c r="G287" s="711">
        <f>Bilans_E_AMS_Kyoto_run3_MTE!K474</f>
        <v>0</v>
      </c>
      <c r="H287" s="711">
        <f>Bilans_E_AMS_Kyoto_run3_MTE!L474</f>
        <v>0</v>
      </c>
      <c r="I287" s="711">
        <f>Bilans_E_AMS_Kyoto_run3_MTE!M474</f>
        <v>0</v>
      </c>
      <c r="J287" s="711">
        <f>Bilans_E_AMS_Kyoto_run3_MTE!N474</f>
        <v>0</v>
      </c>
      <c r="K287" s="711">
        <f>Bilans_E_AMS_Kyoto_run3_MTE!O474</f>
        <v>0</v>
      </c>
      <c r="L287" s="711">
        <f>Bilans_E_AMS_Kyoto_run3_MTE!P474</f>
        <v>0</v>
      </c>
      <c r="M287" s="711">
        <f>Bilans_E_AMS_Kyoto_run3_MTE!Q474</f>
        <v>0</v>
      </c>
      <c r="N287" s="711">
        <f>Bilans_E_AMS_Kyoto_run3_MTE!R474</f>
        <v>0</v>
      </c>
      <c r="O287" s="711">
        <f>Bilans_E_AMS_Kyoto_run3_MTE!S474</f>
        <v>0</v>
      </c>
      <c r="P287" s="711">
        <f>Bilans_E_AMS_Kyoto_run3_MTE!T474+Bilans_E_AMS_Kyoto_run3_MTE!U474</f>
        <v>0</v>
      </c>
      <c r="Q287" s="711">
        <f>Bilans_E_AMS_Kyoto_run3_MTE!V474</f>
        <v>0</v>
      </c>
      <c r="R287" s="711">
        <f>Bilans_E_AMS_Kyoto_run3_MTE!W474</f>
        <v>71.82433773705074</v>
      </c>
      <c r="S287" s="711">
        <f>Bilans_E_AMS_Kyoto_run3_MTE!X474</f>
        <v>0</v>
      </c>
      <c r="T287" s="711">
        <f>Bilans_E_AMS_Kyoto_run3_MTE!Y474</f>
        <v>-49.953826896118791</v>
      </c>
      <c r="U287" s="711">
        <f>Bilans_E_AMS_Kyoto_run3_MTE!Z474</f>
        <v>21.870510840931949</v>
      </c>
      <c r="V287" s="701"/>
      <c r="W287" s="701"/>
    </row>
    <row r="288" spans="1:23" x14ac:dyDescent="0.25">
      <c r="A288" s="701" t="s">
        <v>503</v>
      </c>
      <c r="B288" s="701"/>
      <c r="C288" s="717" t="s">
        <v>353</v>
      </c>
      <c r="D288" s="711">
        <f>Bilans_E_AMS_Kyoto_run3_MTE!H475</f>
        <v>3.2800345312500001</v>
      </c>
      <c r="E288" s="711">
        <f>Bilans_E_AMS_Kyoto_run3_MTE!I475</f>
        <v>-6.4350233154386336</v>
      </c>
      <c r="F288" s="711">
        <f>Bilans_E_AMS_Kyoto_run3_MTE!J475</f>
        <v>8.5665829244642584</v>
      </c>
      <c r="G288" s="711">
        <f>Bilans_E_AMS_Kyoto_run3_MTE!K475</f>
        <v>0</v>
      </c>
      <c r="H288" s="711">
        <f>Bilans_E_AMS_Kyoto_run3_MTE!L475</f>
        <v>0</v>
      </c>
      <c r="I288" s="711">
        <f>Bilans_E_AMS_Kyoto_run3_MTE!M475</f>
        <v>0</v>
      </c>
      <c r="J288" s="711">
        <f>Bilans_E_AMS_Kyoto_run3_MTE!N475</f>
        <v>0</v>
      </c>
      <c r="K288" s="711">
        <f>Bilans_E_AMS_Kyoto_run3_MTE!O475</f>
        <v>0</v>
      </c>
      <c r="L288" s="711">
        <f>Bilans_E_AMS_Kyoto_run3_MTE!P475</f>
        <v>0</v>
      </c>
      <c r="M288" s="711">
        <f>Bilans_E_AMS_Kyoto_run3_MTE!Q475</f>
        <v>0</v>
      </c>
      <c r="N288" s="711">
        <f>Bilans_E_AMS_Kyoto_run3_MTE!R475</f>
        <v>0</v>
      </c>
      <c r="O288" s="711">
        <f>Bilans_E_AMS_Kyoto_run3_MTE!S475</f>
        <v>0</v>
      </c>
      <c r="P288" s="711">
        <f>Bilans_E_AMS_Kyoto_run3_MTE!T475+Bilans_E_AMS_Kyoto_run3_MTE!U475</f>
        <v>0</v>
      </c>
      <c r="Q288" s="711">
        <f>Bilans_E_AMS_Kyoto_run3_MTE!V475</f>
        <v>0</v>
      </c>
      <c r="R288" s="711">
        <f>Bilans_E_AMS_Kyoto_run3_MTE!W475</f>
        <v>0</v>
      </c>
      <c r="S288" s="711">
        <f>Bilans_E_AMS_Kyoto_run3_MTE!X475</f>
        <v>0</v>
      </c>
      <c r="T288" s="711">
        <f>Bilans_E_AMS_Kyoto_run3_MTE!Y475</f>
        <v>0</v>
      </c>
      <c r="U288" s="711">
        <f>Bilans_E_AMS_Kyoto_run3_MTE!Z475</f>
        <v>5.4115941402756249</v>
      </c>
      <c r="V288" s="701"/>
      <c r="W288" s="701"/>
    </row>
    <row r="289" spans="1:23" x14ac:dyDescent="0.25">
      <c r="A289" s="701" t="s">
        <v>504</v>
      </c>
      <c r="B289" s="701"/>
      <c r="C289" s="717" t="s">
        <v>75</v>
      </c>
      <c r="D289" s="711">
        <f>Bilans_E_AMS_Kyoto_run3_MTE!H476</f>
        <v>1.2755689843750002</v>
      </c>
      <c r="E289" s="711">
        <f>Bilans_E_AMS_Kyoto_run3_MTE!I476</f>
        <v>0</v>
      </c>
      <c r="F289" s="711">
        <f>Bilans_E_AMS_Kyoto_run3_MTE!J476</f>
        <v>6.4072238182271617</v>
      </c>
      <c r="G289" s="711">
        <f>Bilans_E_AMS_Kyoto_run3_MTE!K476</f>
        <v>0</v>
      </c>
      <c r="H289" s="711">
        <f>Bilans_E_AMS_Kyoto_run3_MTE!L476</f>
        <v>0</v>
      </c>
      <c r="I289" s="711">
        <f>Bilans_E_AMS_Kyoto_run3_MTE!M476</f>
        <v>0</v>
      </c>
      <c r="J289" s="711">
        <f>Bilans_E_AMS_Kyoto_run3_MTE!N476</f>
        <v>0</v>
      </c>
      <c r="K289" s="711">
        <f>Bilans_E_AMS_Kyoto_run3_MTE!O476</f>
        <v>0</v>
      </c>
      <c r="L289" s="711">
        <f>Bilans_E_AMS_Kyoto_run3_MTE!P476</f>
        <v>0</v>
      </c>
      <c r="M289" s="711">
        <f>Bilans_E_AMS_Kyoto_run3_MTE!Q476</f>
        <v>0</v>
      </c>
      <c r="N289" s="711">
        <f>Bilans_E_AMS_Kyoto_run3_MTE!R476</f>
        <v>0</v>
      </c>
      <c r="O289" s="711">
        <f>Bilans_E_AMS_Kyoto_run3_MTE!S476</f>
        <v>0</v>
      </c>
      <c r="P289" s="711">
        <f>Bilans_E_AMS_Kyoto_run3_MTE!T476+Bilans_E_AMS_Kyoto_run3_MTE!U476</f>
        <v>0</v>
      </c>
      <c r="Q289" s="711">
        <f>Bilans_E_AMS_Kyoto_run3_MTE!V476</f>
        <v>0</v>
      </c>
      <c r="R289" s="711">
        <f>Bilans_E_AMS_Kyoto_run3_MTE!W476</f>
        <v>38.57687969589584</v>
      </c>
      <c r="S289" s="711">
        <f>Bilans_E_AMS_Kyoto_run3_MTE!X476</f>
        <v>0</v>
      </c>
      <c r="T289" s="711">
        <f>Bilans_E_AMS_Kyoto_run3_MTE!Y476</f>
        <v>1.8110857498187163</v>
      </c>
      <c r="U289" s="711">
        <f>Bilans_E_AMS_Kyoto_run3_MTE!Z476</f>
        <v>48.070758248316722</v>
      </c>
      <c r="V289" s="701"/>
      <c r="W289" s="701"/>
    </row>
    <row r="290" spans="1:23" x14ac:dyDescent="0.25">
      <c r="A290" s="701" t="s">
        <v>505</v>
      </c>
      <c r="B290" s="701"/>
      <c r="C290" s="717" t="s">
        <v>76</v>
      </c>
      <c r="D290" s="711">
        <f>Bilans_E_AMS_Kyoto_run3_MTE!H477</f>
        <v>0</v>
      </c>
      <c r="E290" s="711">
        <f>Bilans_E_AMS_Kyoto_run3_MTE!I477</f>
        <v>0</v>
      </c>
      <c r="F290" s="711">
        <f>Bilans_E_AMS_Kyoto_run3_MTE!J477</f>
        <v>0</v>
      </c>
      <c r="G290" s="711">
        <f>Bilans_E_AMS_Kyoto_run3_MTE!K477</f>
        <v>0</v>
      </c>
      <c r="H290" s="711">
        <f>Bilans_E_AMS_Kyoto_run3_MTE!L477</f>
        <v>0.98381967017411598</v>
      </c>
      <c r="I290" s="711">
        <f>Bilans_E_AMS_Kyoto_run3_MTE!M477</f>
        <v>1.0355996528148588E-2</v>
      </c>
      <c r="J290" s="711">
        <f>Bilans_E_AMS_Kyoto_run3_MTE!N477</f>
        <v>0</v>
      </c>
      <c r="K290" s="711">
        <f>Bilans_E_AMS_Kyoto_run3_MTE!O477</f>
        <v>0</v>
      </c>
      <c r="L290" s="711">
        <f>Bilans_E_AMS_Kyoto_run3_MTE!P477</f>
        <v>0</v>
      </c>
      <c r="M290" s="711">
        <f>Bilans_E_AMS_Kyoto_run3_MTE!Q477</f>
        <v>0</v>
      </c>
      <c r="N290" s="711">
        <f>Bilans_E_AMS_Kyoto_run3_MTE!R477</f>
        <v>0</v>
      </c>
      <c r="O290" s="711">
        <f>Bilans_E_AMS_Kyoto_run3_MTE!S477</f>
        <v>0.73182375465583349</v>
      </c>
      <c r="P290" s="711">
        <f>Bilans_E_AMS_Kyoto_run3_MTE!T477+Bilans_E_AMS_Kyoto_run3_MTE!U477</f>
        <v>0</v>
      </c>
      <c r="Q290" s="711">
        <f>Bilans_E_AMS_Kyoto_run3_MTE!V477</f>
        <v>0</v>
      </c>
      <c r="R290" s="711">
        <f>Bilans_E_AMS_Kyoto_run3_MTE!W477</f>
        <v>58.720759743857542</v>
      </c>
      <c r="S290" s="711">
        <f>Bilans_E_AMS_Kyoto_run3_MTE!X477</f>
        <v>6.7361736922382924</v>
      </c>
      <c r="T290" s="711">
        <f>Bilans_E_AMS_Kyoto_run3_MTE!Y477</f>
        <v>0</v>
      </c>
      <c r="U290" s="711">
        <f>Bilans_E_AMS_Kyoto_run3_MTE!Z477</f>
        <v>67.182932857453935</v>
      </c>
      <c r="V290" s="701"/>
      <c r="W290" s="701"/>
    </row>
    <row r="291" spans="1:23" x14ac:dyDescent="0.25">
      <c r="A291" s="701" t="s">
        <v>506</v>
      </c>
      <c r="B291" s="701"/>
      <c r="C291" s="713" t="s">
        <v>77</v>
      </c>
      <c r="D291" s="714">
        <f>Bilans_E_AMS_Kyoto_run3_MTE!H478</f>
        <v>4.5556035156250001</v>
      </c>
      <c r="E291" s="714">
        <f>Bilans_E_AMS_Kyoto_run3_MTE!I478</f>
        <v>177.55502583689511</v>
      </c>
      <c r="F291" s="714">
        <f>Bilans_E_AMS_Kyoto_run3_MTE!J478</f>
        <v>-167.14988113675898</v>
      </c>
      <c r="G291" s="714">
        <f>Bilans_E_AMS_Kyoto_run3_MTE!K478</f>
        <v>-10.918730471145594</v>
      </c>
      <c r="H291" s="714">
        <f>Bilans_E_AMS_Kyoto_run3_MTE!L478</f>
        <v>12.34745368902659</v>
      </c>
      <c r="I291" s="714">
        <f>Bilans_E_AMS_Kyoto_run3_MTE!M478</f>
        <v>-2.5126460562266661</v>
      </c>
      <c r="J291" s="714">
        <f>Bilans_E_AMS_Kyoto_run3_MTE!N478</f>
        <v>1099.5846392966657</v>
      </c>
      <c r="K291" s="714">
        <f>Bilans_E_AMS_Kyoto_run3_MTE!O478</f>
        <v>432.558137271254</v>
      </c>
      <c r="L291" s="714">
        <f>Bilans_E_AMS_Kyoto_run3_MTE!P478</f>
        <v>277.93237210319938</v>
      </c>
      <c r="M291" s="714">
        <f>Bilans_E_AMS_Kyoto_run3_MTE!Q478</f>
        <v>37.745140849319363</v>
      </c>
      <c r="N291" s="714">
        <f>Bilans_E_AMS_Kyoto_run3_MTE!R478</f>
        <v>-52.823481246101892</v>
      </c>
      <c r="O291" s="714">
        <f>Bilans_E_AMS_Kyoto_run3_MTE!S478</f>
        <v>-66.004971228004962</v>
      </c>
      <c r="P291" s="714">
        <f>Bilans_E_AMS_Kyoto_run3_MTE!T478+Bilans_E_AMS_Kyoto_run3_MTE!U478</f>
        <v>18.404716933116433</v>
      </c>
      <c r="Q291" s="714">
        <f>Bilans_E_AMS_Kyoto_run3_MTE!V478</f>
        <v>19.863896915877778</v>
      </c>
      <c r="R291" s="714">
        <f>Bilans_E_AMS_Kyoto_run3_MTE!W478</f>
        <v>-641.4616245754471</v>
      </c>
      <c r="S291" s="714">
        <f>Bilans_E_AMS_Kyoto_run3_MTE!X478</f>
        <v>-80.131352097194963</v>
      </c>
      <c r="T291" s="714">
        <f>Bilans_E_AMS_Kyoto_run3_MTE!Y478</f>
        <v>-26.363705726037281</v>
      </c>
      <c r="U291" s="714">
        <f>Bilans_E_AMS_Kyoto_run3_MTE!Z478</f>
        <v>1033.1805938740617</v>
      </c>
      <c r="V291" s="701"/>
      <c r="W291" s="701"/>
    </row>
    <row r="292" spans="1:23" x14ac:dyDescent="0.25">
      <c r="A292" s="701"/>
      <c r="B292" s="701"/>
      <c r="C292" s="715"/>
      <c r="D292" s="716"/>
      <c r="E292" s="716"/>
      <c r="F292" s="716"/>
      <c r="G292" s="716"/>
      <c r="H292" s="716"/>
      <c r="I292" s="716"/>
      <c r="J292" s="716"/>
      <c r="K292" s="716"/>
      <c r="L292" s="716"/>
      <c r="M292" s="716"/>
      <c r="N292" s="716"/>
      <c r="O292" s="716"/>
      <c r="P292" s="716">
        <f>Bilans_E_AMS_Kyoto_run3_MTE!T479+Bilans_E_AMS_Kyoto_run3_MTE!U479</f>
        <v>0</v>
      </c>
      <c r="Q292" s="716"/>
      <c r="R292" s="716"/>
      <c r="S292" s="716"/>
      <c r="T292" s="716"/>
      <c r="U292" s="716"/>
      <c r="V292" s="701"/>
      <c r="W292" s="701"/>
    </row>
    <row r="293" spans="1:23" x14ac:dyDescent="0.25">
      <c r="A293" s="701" t="s">
        <v>507</v>
      </c>
      <c r="B293" s="701"/>
      <c r="C293" s="717" t="s">
        <v>78</v>
      </c>
      <c r="D293" s="711">
        <f>Bilans_E_AMS_Kyoto_run3_MTE!H480</f>
        <v>0.16342834472656248</v>
      </c>
      <c r="E293" s="711">
        <f>Bilans_E_AMS_Kyoto_run3_MTE!I480</f>
        <v>0</v>
      </c>
      <c r="F293" s="711">
        <f>Bilans_E_AMS_Kyoto_run3_MTE!J480</f>
        <v>1.192335444968337</v>
      </c>
      <c r="G293" s="711">
        <f>Bilans_E_AMS_Kyoto_run3_MTE!K480</f>
        <v>0</v>
      </c>
      <c r="H293" s="711">
        <f>Bilans_E_AMS_Kyoto_run3_MTE!L480</f>
        <v>32.001904580711056</v>
      </c>
      <c r="I293" s="711">
        <f>Bilans_E_AMS_Kyoto_run3_MTE!M480</f>
        <v>0.33686215348116894</v>
      </c>
      <c r="J293" s="711">
        <f>Bilans_E_AMS_Kyoto_run3_MTE!N480</f>
        <v>0</v>
      </c>
      <c r="K293" s="711">
        <f>Bilans_E_AMS_Kyoto_run3_MTE!O480</f>
        <v>0</v>
      </c>
      <c r="L293" s="711">
        <f>Bilans_E_AMS_Kyoto_run3_MTE!P480</f>
        <v>35.925037819448683</v>
      </c>
      <c r="M293" s="711">
        <f>Bilans_E_AMS_Kyoto_run3_MTE!Q480</f>
        <v>8.355944349353404</v>
      </c>
      <c r="N293" s="711">
        <f>Bilans_E_AMS_Kyoto_run3_MTE!R480</f>
        <v>0.41126405446607639</v>
      </c>
      <c r="O293" s="711">
        <f>Bilans_E_AMS_Kyoto_run3_MTE!S480</f>
        <v>23.845200759921546</v>
      </c>
      <c r="P293" s="711">
        <f>Bilans_E_AMS_Kyoto_run3_MTE!T480+Bilans_E_AMS_Kyoto_run3_MTE!U480</f>
        <v>12.595482421874999</v>
      </c>
      <c r="Q293" s="711">
        <f>Bilans_E_AMS_Kyoto_run3_MTE!V480</f>
        <v>8.2107689234467234E-4</v>
      </c>
      <c r="R293" s="711">
        <f>Bilans_E_AMS_Kyoto_run3_MTE!W480</f>
        <v>157.38101577829286</v>
      </c>
      <c r="S293" s="711">
        <f>Bilans_E_AMS_Kyoto_run3_MTE!X480</f>
        <v>19.581895205138572</v>
      </c>
      <c r="T293" s="711">
        <f>Bilans_E_AMS_Kyoto_run3_MTE!Y480</f>
        <v>11.602856445312501</v>
      </c>
      <c r="U293" s="711">
        <f>Bilans_E_AMS_Kyoto_run3_MTE!Z480</f>
        <v>303.39404843458811</v>
      </c>
      <c r="V293" s="701"/>
      <c r="W293" s="701"/>
    </row>
    <row r="294" spans="1:23" x14ac:dyDescent="0.25">
      <c r="A294" s="701" t="s">
        <v>508</v>
      </c>
      <c r="B294" s="701"/>
      <c r="C294" s="717" t="s">
        <v>79</v>
      </c>
      <c r="D294" s="711">
        <f>Bilans_E_AMS_Kyoto_run3_MTE!H481</f>
        <v>0</v>
      </c>
      <c r="E294" s="711">
        <f>Bilans_E_AMS_Kyoto_run3_MTE!I481</f>
        <v>0</v>
      </c>
      <c r="F294" s="711">
        <f>Bilans_E_AMS_Kyoto_run3_MTE!J481</f>
        <v>57.415221307039587</v>
      </c>
      <c r="G294" s="711">
        <f>Bilans_E_AMS_Kyoto_run3_MTE!K481</f>
        <v>1.6</v>
      </c>
      <c r="H294" s="711">
        <f>Bilans_E_AMS_Kyoto_run3_MTE!L481</f>
        <v>4.3056781164291928</v>
      </c>
      <c r="I294" s="711">
        <f>Bilans_E_AMS_Kyoto_run3_MTE!M481</f>
        <v>4.5322927541359921E-2</v>
      </c>
      <c r="J294" s="711">
        <f>Bilans_E_AMS_Kyoto_run3_MTE!N481</f>
        <v>0</v>
      </c>
      <c r="K294" s="711">
        <f>Bilans_E_AMS_Kyoto_run3_MTE!O481</f>
        <v>0</v>
      </c>
      <c r="L294" s="711">
        <f>Bilans_E_AMS_Kyoto_run3_MTE!P481</f>
        <v>0</v>
      </c>
      <c r="M294" s="711">
        <f>Bilans_E_AMS_Kyoto_run3_MTE!Q481</f>
        <v>0</v>
      </c>
      <c r="N294" s="711">
        <f>Bilans_E_AMS_Kyoto_run3_MTE!R481</f>
        <v>31.800952318042711</v>
      </c>
      <c r="O294" s="711">
        <f>Bilans_E_AMS_Kyoto_run3_MTE!S481</f>
        <v>3.2028202129227674</v>
      </c>
      <c r="P294" s="711">
        <f>Bilans_E_AMS_Kyoto_run3_MTE!T481+Bilans_E_AMS_Kyoto_run3_MTE!U481</f>
        <v>0</v>
      </c>
      <c r="Q294" s="711">
        <f>Bilans_E_AMS_Kyoto_run3_MTE!V481</f>
        <v>0</v>
      </c>
      <c r="R294" s="711">
        <f>Bilans_E_AMS_Kyoto_run3_MTE!W481</f>
        <v>112.28525884459542</v>
      </c>
      <c r="S294" s="711">
        <f>Bilans_E_AMS_Kyoto_run3_MTE!X481</f>
        <v>0</v>
      </c>
      <c r="T294" s="711">
        <f>Bilans_E_AMS_Kyoto_run3_MTE!Y481</f>
        <v>5.8069925085288689</v>
      </c>
      <c r="U294" s="711">
        <f>Bilans_E_AMS_Kyoto_run3_MTE!Z481</f>
        <v>216.46224623509994</v>
      </c>
      <c r="V294" s="701"/>
      <c r="W294" s="701"/>
    </row>
    <row r="295" spans="1:23" x14ac:dyDescent="0.25">
      <c r="A295" s="701" t="s">
        <v>509</v>
      </c>
      <c r="B295" s="701"/>
      <c r="C295" s="717" t="s">
        <v>80</v>
      </c>
      <c r="D295" s="711">
        <f>Bilans_E_AMS_Kyoto_run3_MTE!H482</f>
        <v>0</v>
      </c>
      <c r="E295" s="711">
        <f>Bilans_E_AMS_Kyoto_run3_MTE!I482</f>
        <v>0</v>
      </c>
      <c r="F295" s="711">
        <f>Bilans_E_AMS_Kyoto_run3_MTE!J482</f>
        <v>0.29271355474186761</v>
      </c>
      <c r="G295" s="711">
        <f>Bilans_E_AMS_Kyoto_run3_MTE!K482</f>
        <v>0</v>
      </c>
      <c r="H295" s="711">
        <f>Bilans_E_AMS_Kyoto_run3_MTE!L482</f>
        <v>21.230302820629564</v>
      </c>
      <c r="I295" s="711">
        <f>Bilans_E_AMS_Kyoto_run3_MTE!M482</f>
        <v>0.22347687179610068</v>
      </c>
      <c r="J295" s="711">
        <f>Bilans_E_AMS_Kyoto_run3_MTE!N482</f>
        <v>0</v>
      </c>
      <c r="K295" s="711">
        <f>Bilans_E_AMS_Kyoto_run3_MTE!O482</f>
        <v>0</v>
      </c>
      <c r="L295" s="711">
        <f>Bilans_E_AMS_Kyoto_run3_MTE!P482</f>
        <v>42.610592667556531</v>
      </c>
      <c r="M295" s="711">
        <f>Bilans_E_AMS_Kyoto_run3_MTE!Q482</f>
        <v>0</v>
      </c>
      <c r="N295" s="711">
        <f>Bilans_E_AMS_Kyoto_run3_MTE!R482</f>
        <v>0</v>
      </c>
      <c r="O295" s="711">
        <f>Bilans_E_AMS_Kyoto_run3_MTE!S482</f>
        <v>15.792365606924447</v>
      </c>
      <c r="P295" s="711">
        <f>Bilans_E_AMS_Kyoto_run3_MTE!T482+Bilans_E_AMS_Kyoto_run3_MTE!U482</f>
        <v>140.68580630413436</v>
      </c>
      <c r="Q295" s="711">
        <f>Bilans_E_AMS_Kyoto_run3_MTE!V482</f>
        <v>11.422179608472932</v>
      </c>
      <c r="R295" s="711">
        <f>Bilans_E_AMS_Kyoto_run3_MTE!W482</f>
        <v>140.84431405230941</v>
      </c>
      <c r="S295" s="711">
        <f>Bilans_E_AMS_Kyoto_run3_MTE!X482</f>
        <v>37.657555904845751</v>
      </c>
      <c r="T295" s="711">
        <f>Bilans_E_AMS_Kyoto_run3_MTE!Y482</f>
        <v>0</v>
      </c>
      <c r="U295" s="711">
        <f>Bilans_E_AMS_Kyoto_run3_MTE!Z482</f>
        <v>410.75930739141103</v>
      </c>
      <c r="V295" s="701"/>
      <c r="W295" s="701"/>
    </row>
    <row r="296" spans="1:23" x14ac:dyDescent="0.25">
      <c r="A296" s="701" t="s">
        <v>510</v>
      </c>
      <c r="B296" s="701"/>
      <c r="C296" s="717" t="s">
        <v>81</v>
      </c>
      <c r="D296" s="711">
        <f>Bilans_E_AMS_Kyoto_run3_MTE!H483</f>
        <v>0</v>
      </c>
      <c r="E296" s="711">
        <f>Bilans_E_AMS_Kyoto_run3_MTE!I483</f>
        <v>0</v>
      </c>
      <c r="F296" s="711">
        <f>Bilans_E_AMS_Kyoto_run3_MTE!J483</f>
        <v>0.52496175669255951</v>
      </c>
      <c r="G296" s="711">
        <f>Bilans_E_AMS_Kyoto_run3_MTE!K483</f>
        <v>0</v>
      </c>
      <c r="H296" s="711">
        <f>Bilans_E_AMS_Kyoto_run3_MTE!L483</f>
        <v>12.447473647538219</v>
      </c>
      <c r="I296" s="711">
        <f>Bilans_E_AMS_Kyoto_run3_MTE!M483</f>
        <v>0.13102603839513913</v>
      </c>
      <c r="J296" s="711">
        <f>Bilans_E_AMS_Kyoto_run3_MTE!N483</f>
        <v>0</v>
      </c>
      <c r="K296" s="711">
        <f>Bilans_E_AMS_Kyoto_run3_MTE!O483</f>
        <v>0</v>
      </c>
      <c r="L296" s="711">
        <f>Bilans_E_AMS_Kyoto_run3_MTE!P483</f>
        <v>0.50385641884580723</v>
      </c>
      <c r="M296" s="711">
        <f>Bilans_E_AMS_Kyoto_run3_MTE!Q483</f>
        <v>0</v>
      </c>
      <c r="N296" s="711">
        <f>Bilans_E_AMS_Kyoto_run3_MTE!R483</f>
        <v>0</v>
      </c>
      <c r="O296" s="711">
        <f>Bilans_E_AMS_Kyoto_run3_MTE!S483</f>
        <v>9.2591733799231637</v>
      </c>
      <c r="P296" s="711">
        <f>Bilans_E_AMS_Kyoto_run3_MTE!T483+Bilans_E_AMS_Kyoto_run3_MTE!U483</f>
        <v>55.972584841883723</v>
      </c>
      <c r="Q296" s="711">
        <f>Bilans_E_AMS_Kyoto_run3_MTE!V483</f>
        <v>11.263560576499328</v>
      </c>
      <c r="R296" s="711">
        <f>Bilans_E_AMS_Kyoto_run3_MTE!W483</f>
        <v>122.13846664869735</v>
      </c>
      <c r="S296" s="711">
        <f>Bilans_E_AMS_Kyoto_run3_MTE!X483</f>
        <v>22.891868477454477</v>
      </c>
      <c r="T296" s="711">
        <f>Bilans_E_AMS_Kyoto_run3_MTE!Y483</f>
        <v>0</v>
      </c>
      <c r="U296" s="711">
        <f>Bilans_E_AMS_Kyoto_run3_MTE!Z483</f>
        <v>235.13297178592975</v>
      </c>
      <c r="V296" s="701"/>
      <c r="W296" s="701"/>
    </row>
    <row r="297" spans="1:23" x14ac:dyDescent="0.25">
      <c r="A297" s="701" t="s">
        <v>511</v>
      </c>
      <c r="B297" s="701"/>
      <c r="C297" s="717" t="s">
        <v>82</v>
      </c>
      <c r="D297" s="711">
        <f>Bilans_E_AMS_Kyoto_run3_MTE!H484</f>
        <v>0</v>
      </c>
      <c r="E297" s="711">
        <f>Bilans_E_AMS_Kyoto_run3_MTE!I484</f>
        <v>0</v>
      </c>
      <c r="F297" s="711">
        <f>Bilans_E_AMS_Kyoto_run3_MTE!J484</f>
        <v>8.4604278538625355</v>
      </c>
      <c r="G297" s="711">
        <f>Bilans_E_AMS_Kyoto_run3_MTE!K484</f>
        <v>0</v>
      </c>
      <c r="H297" s="711">
        <f>Bilans_E_AMS_Kyoto_run3_MTE!L484</f>
        <v>0.63597933034917353</v>
      </c>
      <c r="I297" s="711">
        <f>Bilans_E_AMS_Kyoto_run3_MTE!M484</f>
        <v>6.6945192668334047E-3</v>
      </c>
      <c r="J297" s="711">
        <f>Bilans_E_AMS_Kyoto_run3_MTE!N484</f>
        <v>0</v>
      </c>
      <c r="K297" s="711">
        <f>Bilans_E_AMS_Kyoto_run3_MTE!O484</f>
        <v>0</v>
      </c>
      <c r="L297" s="711">
        <f>Bilans_E_AMS_Kyoto_run3_MTE!P484</f>
        <v>16.880915854504494</v>
      </c>
      <c r="M297" s="711">
        <f>Bilans_E_AMS_Kyoto_run3_MTE!Q484</f>
        <v>0</v>
      </c>
      <c r="N297" s="711">
        <f>Bilans_E_AMS_Kyoto_run3_MTE!R484</f>
        <v>8.0439535729809908</v>
      </c>
      <c r="O297" s="711">
        <f>Bilans_E_AMS_Kyoto_run3_MTE!S484</f>
        <v>0.47307936152289393</v>
      </c>
      <c r="P297" s="711">
        <f>Bilans_E_AMS_Kyoto_run3_MTE!T484+Bilans_E_AMS_Kyoto_run3_MTE!U484</f>
        <v>1.1499999999999999</v>
      </c>
      <c r="Q297" s="711">
        <f>Bilans_E_AMS_Kyoto_run3_MTE!V484</f>
        <v>1.5666563685107562</v>
      </c>
      <c r="R297" s="711">
        <f>Bilans_E_AMS_Kyoto_run3_MTE!W484</f>
        <v>10.022325873265157</v>
      </c>
      <c r="S297" s="711">
        <f>Bilans_E_AMS_Kyoto_run3_MTE!X484</f>
        <v>0</v>
      </c>
      <c r="T297" s="711">
        <f>Bilans_E_AMS_Kyoto_run3_MTE!Y484</f>
        <v>0.50936070240640652</v>
      </c>
      <c r="U297" s="711">
        <f>Bilans_E_AMS_Kyoto_run3_MTE!Z484</f>
        <v>47.74939343666923</v>
      </c>
      <c r="V297" s="701"/>
      <c r="W297" s="701"/>
    </row>
    <row r="298" spans="1:23" x14ac:dyDescent="0.25">
      <c r="A298" s="701" t="s">
        <v>512</v>
      </c>
      <c r="B298" s="701"/>
      <c r="C298" s="717" t="s">
        <v>354</v>
      </c>
      <c r="D298" s="711">
        <f>Bilans_E_AMS_Kyoto_run3_MTE!H485</f>
        <v>0</v>
      </c>
      <c r="E298" s="711">
        <f>Bilans_E_AMS_Kyoto_run3_MTE!I485</f>
        <v>0</v>
      </c>
      <c r="F298" s="711">
        <f>Bilans_E_AMS_Kyoto_run3_MTE!J485</f>
        <v>0</v>
      </c>
      <c r="G298" s="711">
        <f>Bilans_E_AMS_Kyoto_run3_MTE!K485</f>
        <v>0</v>
      </c>
      <c r="H298" s="711">
        <f>Bilans_E_AMS_Kyoto_run3_MTE!L485</f>
        <v>0</v>
      </c>
      <c r="I298" s="711">
        <f>Bilans_E_AMS_Kyoto_run3_MTE!M485</f>
        <v>0</v>
      </c>
      <c r="J298" s="711">
        <f>Bilans_E_AMS_Kyoto_run3_MTE!N485</f>
        <v>0</v>
      </c>
      <c r="K298" s="711">
        <f>Bilans_E_AMS_Kyoto_run3_MTE!O485</f>
        <v>0</v>
      </c>
      <c r="L298" s="711">
        <f>Bilans_E_AMS_Kyoto_run3_MTE!P485</f>
        <v>0</v>
      </c>
      <c r="M298" s="711">
        <f>Bilans_E_AMS_Kyoto_run3_MTE!Q485</f>
        <v>0</v>
      </c>
      <c r="N298" s="711">
        <f>Bilans_E_AMS_Kyoto_run3_MTE!R485</f>
        <v>0</v>
      </c>
      <c r="O298" s="711">
        <f>Bilans_E_AMS_Kyoto_run3_MTE!S485</f>
        <v>0</v>
      </c>
      <c r="P298" s="711">
        <f>Bilans_E_AMS_Kyoto_run3_MTE!T485+Bilans_E_AMS_Kyoto_run3_MTE!U485</f>
        <v>0</v>
      </c>
      <c r="Q298" s="711">
        <f>Bilans_E_AMS_Kyoto_run3_MTE!V485</f>
        <v>0</v>
      </c>
      <c r="R298" s="711">
        <f>Bilans_E_AMS_Kyoto_run3_MTE!W485</f>
        <v>6.8640000000000008</v>
      </c>
      <c r="S298" s="711">
        <f>Bilans_E_AMS_Kyoto_run3_MTE!X485</f>
        <v>0</v>
      </c>
      <c r="T298" s="711">
        <f>Bilans_E_AMS_Kyoto_run3_MTE!Y485</f>
        <v>0</v>
      </c>
      <c r="U298" s="711">
        <f>Bilans_E_AMS_Kyoto_run3_MTE!Z485</f>
        <v>6.8640000000000008</v>
      </c>
      <c r="V298" s="701"/>
      <c r="W298" s="701"/>
    </row>
    <row r="299" spans="1:23" x14ac:dyDescent="0.25">
      <c r="A299" s="701" t="s">
        <v>513</v>
      </c>
      <c r="B299" s="701"/>
      <c r="C299" s="713" t="s">
        <v>83</v>
      </c>
      <c r="D299" s="714">
        <f>Bilans_E_AMS_Kyoto_run3_MTE!H486</f>
        <v>0.16342834472656248</v>
      </c>
      <c r="E299" s="714">
        <f>Bilans_E_AMS_Kyoto_run3_MTE!I486</f>
        <v>0</v>
      </c>
      <c r="F299" s="714">
        <f>Bilans_E_AMS_Kyoto_run3_MTE!J486</f>
        <v>67.885659917304892</v>
      </c>
      <c r="G299" s="714">
        <f>Bilans_E_AMS_Kyoto_run3_MTE!K486</f>
        <v>1.6</v>
      </c>
      <c r="H299" s="714">
        <f>Bilans_E_AMS_Kyoto_run3_MTE!L486</f>
        <v>70.621338495657199</v>
      </c>
      <c r="I299" s="714">
        <f>Bilans_E_AMS_Kyoto_run3_MTE!M486</f>
        <v>0.74338251048060211</v>
      </c>
      <c r="J299" s="714">
        <f>Bilans_E_AMS_Kyoto_run3_MTE!N486</f>
        <v>0</v>
      </c>
      <c r="K299" s="714">
        <f>Bilans_E_AMS_Kyoto_run3_MTE!O486</f>
        <v>0</v>
      </c>
      <c r="L299" s="714">
        <f>Bilans_E_AMS_Kyoto_run3_MTE!P486</f>
        <v>95.920402760355529</v>
      </c>
      <c r="M299" s="714">
        <f>Bilans_E_AMS_Kyoto_run3_MTE!Q486</f>
        <v>8.355944349353404</v>
      </c>
      <c r="N299" s="714">
        <f>Bilans_E_AMS_Kyoto_run3_MTE!R486</f>
        <v>40.256169945489773</v>
      </c>
      <c r="O299" s="714">
        <f>Bilans_E_AMS_Kyoto_run3_MTE!S486</f>
        <v>52.572639321214815</v>
      </c>
      <c r="P299" s="714">
        <f>Bilans_E_AMS_Kyoto_run3_MTE!T486+Bilans_E_AMS_Kyoto_run3_MTE!U486</f>
        <v>210.4038735678931</v>
      </c>
      <c r="Q299" s="714">
        <f>Bilans_E_AMS_Kyoto_run3_MTE!V486</f>
        <v>24.25321763037536</v>
      </c>
      <c r="R299" s="714">
        <f>Bilans_E_AMS_Kyoto_run3_MTE!W486</f>
        <v>549.53538119716018</v>
      </c>
      <c r="S299" s="714">
        <f>Bilans_E_AMS_Kyoto_run3_MTE!X486</f>
        <v>80.131319587438796</v>
      </c>
      <c r="T299" s="714">
        <f>Bilans_E_AMS_Kyoto_run3_MTE!Y486</f>
        <v>17.919209656247777</v>
      </c>
      <c r="U299" s="714">
        <f>Bilans_E_AMS_Kyoto_run3_MTE!Z486</f>
        <v>1220.361967283698</v>
      </c>
      <c r="V299" s="701"/>
      <c r="W299" s="701"/>
    </row>
    <row r="300" spans="1:23" x14ac:dyDescent="0.25">
      <c r="A300" s="701" t="s">
        <v>514</v>
      </c>
      <c r="B300" s="701"/>
      <c r="C300" s="710" t="s">
        <v>84</v>
      </c>
      <c r="D300" s="711">
        <f>Bilans_E_AMS_Kyoto_run3_MTE!H487</f>
        <v>0</v>
      </c>
      <c r="E300" s="711">
        <f>Bilans_E_AMS_Kyoto_run3_MTE!I487</f>
        <v>0</v>
      </c>
      <c r="F300" s="711">
        <f>Bilans_E_AMS_Kyoto_run3_MTE!J487</f>
        <v>98.630833151912839</v>
      </c>
      <c r="G300" s="711">
        <f>Bilans_E_AMS_Kyoto_run3_MTE!K487</f>
        <v>3.094705785318189</v>
      </c>
      <c r="H300" s="711">
        <f>Bilans_E_AMS_Kyoto_run3_MTE!L487</f>
        <v>10.821936682039073</v>
      </c>
      <c r="I300" s="711">
        <f>Bilans_E_AMS_Kyoto_run3_MTE!M487</f>
        <v>0</v>
      </c>
      <c r="J300" s="711">
        <f>Bilans_E_AMS_Kyoto_run3_MTE!N487</f>
        <v>0</v>
      </c>
      <c r="K300" s="711">
        <f>Bilans_E_AMS_Kyoto_run3_MTE!O487</f>
        <v>0</v>
      </c>
      <c r="L300" s="711">
        <f>Bilans_E_AMS_Kyoto_run3_MTE!P487</f>
        <v>0.52555901393570603</v>
      </c>
      <c r="M300" s="711">
        <f>Bilans_E_AMS_Kyoto_run3_MTE!Q487</f>
        <v>0</v>
      </c>
      <c r="N300" s="711">
        <f>Bilans_E_AMS_Kyoto_run3_MTE!R487</f>
        <v>4.7238090812444442</v>
      </c>
      <c r="O300" s="711">
        <f>Bilans_E_AMS_Kyoto_run3_MTE!S487</f>
        <v>0</v>
      </c>
      <c r="P300" s="711">
        <f>Bilans_E_AMS_Kyoto_run3_MTE!T487+Bilans_E_AMS_Kyoto_run3_MTE!U487</f>
        <v>0</v>
      </c>
      <c r="Q300" s="711">
        <f>Bilans_E_AMS_Kyoto_run3_MTE!V487</f>
        <v>0</v>
      </c>
      <c r="R300" s="711">
        <f>Bilans_E_AMS_Kyoto_run3_MTE!W487</f>
        <v>0</v>
      </c>
      <c r="S300" s="711">
        <f>Bilans_E_AMS_Kyoto_run3_MTE!X487</f>
        <v>0</v>
      </c>
      <c r="T300" s="711">
        <f>Bilans_E_AMS_Kyoto_run3_MTE!Y487</f>
        <v>3.3812053333570531</v>
      </c>
      <c r="U300" s="711">
        <f>Bilans_E_AMS_Kyoto_run3_MTE!Z487</f>
        <v>121.17804904780731</v>
      </c>
      <c r="V300" s="701"/>
      <c r="W300" s="701"/>
    </row>
    <row r="301" spans="1:23" x14ac:dyDescent="0.25">
      <c r="A301" s="701" t="s">
        <v>515</v>
      </c>
      <c r="B301" s="701"/>
      <c r="C301" s="713" t="s">
        <v>85</v>
      </c>
      <c r="D301" s="714">
        <f>Bilans_E_AMS_Kyoto_run3_MTE!H488</f>
        <v>0.16342834472656248</v>
      </c>
      <c r="E301" s="714">
        <f>Bilans_E_AMS_Kyoto_run3_MTE!I488</f>
        <v>0</v>
      </c>
      <c r="F301" s="714">
        <f>Bilans_E_AMS_Kyoto_run3_MTE!J488</f>
        <v>166.51649306921774</v>
      </c>
      <c r="G301" s="714">
        <f>Bilans_E_AMS_Kyoto_run3_MTE!K488</f>
        <v>4.6947057853181891</v>
      </c>
      <c r="H301" s="714">
        <f>Bilans_E_AMS_Kyoto_run3_MTE!L488</f>
        <v>81.443275177696279</v>
      </c>
      <c r="I301" s="714">
        <f>Bilans_E_AMS_Kyoto_run3_MTE!M488</f>
        <v>0.74338251048060211</v>
      </c>
      <c r="J301" s="714">
        <f>Bilans_E_AMS_Kyoto_run3_MTE!N488</f>
        <v>0</v>
      </c>
      <c r="K301" s="714">
        <f>Bilans_E_AMS_Kyoto_run3_MTE!O488</f>
        <v>0</v>
      </c>
      <c r="L301" s="714">
        <f>Bilans_E_AMS_Kyoto_run3_MTE!P488</f>
        <v>96.445961774291234</v>
      </c>
      <c r="M301" s="714">
        <f>Bilans_E_AMS_Kyoto_run3_MTE!Q488</f>
        <v>8.355944349353404</v>
      </c>
      <c r="N301" s="714">
        <f>Bilans_E_AMS_Kyoto_run3_MTE!R488</f>
        <v>44.97997902673422</v>
      </c>
      <c r="O301" s="714">
        <f>Bilans_E_AMS_Kyoto_run3_MTE!S488</f>
        <v>52.572639321214815</v>
      </c>
      <c r="P301" s="714">
        <f>Bilans_E_AMS_Kyoto_run3_MTE!T488+Bilans_E_AMS_Kyoto_run3_MTE!U488</f>
        <v>210.4038735678931</v>
      </c>
      <c r="Q301" s="714">
        <f>Bilans_E_AMS_Kyoto_run3_MTE!V488</f>
        <v>24.25321763037536</v>
      </c>
      <c r="R301" s="714">
        <f>Bilans_E_AMS_Kyoto_run3_MTE!W488</f>
        <v>549.53538119716018</v>
      </c>
      <c r="S301" s="714">
        <f>Bilans_E_AMS_Kyoto_run3_MTE!X488</f>
        <v>80.131319587438796</v>
      </c>
      <c r="T301" s="714">
        <f>Bilans_E_AMS_Kyoto_run3_MTE!Y488</f>
        <v>21.300414989604828</v>
      </c>
      <c r="U301" s="714">
        <f>Bilans_E_AMS_Kyoto_run3_MTE!Z488</f>
        <v>1341.5400163315053</v>
      </c>
      <c r="V301" s="701"/>
      <c r="W301" s="701"/>
    </row>
    <row r="302" spans="1:23" x14ac:dyDescent="0.25">
      <c r="A302" s="701"/>
      <c r="B302" s="701"/>
      <c r="C302" s="701"/>
      <c r="D302" s="701">
        <f>Bilans_E_AMS_Kyoto_run3_MTE!H489</f>
        <v>0</v>
      </c>
      <c r="E302" s="701">
        <f>Bilans_E_AMS_Kyoto_run3_MTE!I489</f>
        <v>0</v>
      </c>
      <c r="F302" s="701">
        <f>Bilans_E_AMS_Kyoto_run3_MTE!J489</f>
        <v>7.1054273576010019E-15</v>
      </c>
      <c r="G302" s="701">
        <f>Bilans_E_AMS_Kyoto_run3_MTE!K489</f>
        <v>0</v>
      </c>
      <c r="H302" s="701">
        <f>Bilans_E_AMS_Kyoto_run3_MTE!L489</f>
        <v>2.4547035224031788E-5</v>
      </c>
      <c r="I302" s="701">
        <f>Bilans_E_AMS_Kyoto_run3_MTE!M489</f>
        <v>-2.4547035192501454E-5</v>
      </c>
      <c r="J302" s="701">
        <f>Bilans_E_AMS_Kyoto_run3_MTE!N489</f>
        <v>0</v>
      </c>
      <c r="K302" s="701">
        <f>Bilans_E_AMS_Kyoto_run3_MTE!O489</f>
        <v>0</v>
      </c>
      <c r="L302" s="701">
        <f>Bilans_E_AMS_Kyoto_run3_MTE!P489</f>
        <v>0</v>
      </c>
      <c r="M302" s="701">
        <f>Bilans_E_AMS_Kyoto_run3_MTE!Q489</f>
        <v>0</v>
      </c>
      <c r="N302" s="701">
        <f>Bilans_E_AMS_Kyoto_run3_MTE!R489</f>
        <v>0</v>
      </c>
      <c r="O302" s="701">
        <f>Bilans_E_AMS_Kyoto_run3_MTE!S489</f>
        <v>0</v>
      </c>
      <c r="P302" s="701">
        <f>Bilans_E_AMS_Kyoto_run3_MTE!T489+Bilans_E_AMS_Kyoto_run3_MTE!U489</f>
        <v>0</v>
      </c>
      <c r="Q302" s="701">
        <f>Bilans_E_AMS_Kyoto_run3_MTE!V489</f>
        <v>0</v>
      </c>
      <c r="R302" s="701">
        <f>Bilans_E_AMS_Kyoto_run3_MTE!W489</f>
        <v>0</v>
      </c>
      <c r="S302" s="701">
        <f>Bilans_E_AMS_Kyoto_run3_MTE!X489</f>
        <v>-3.2509756167087289E-5</v>
      </c>
      <c r="T302" s="701">
        <f>Bilans_E_AMS_Kyoto_run3_MTE!Y489</f>
        <v>0</v>
      </c>
      <c r="U302" s="701">
        <f>Bilans_E_AMS_Kyoto_run3_MTE!Z489</f>
        <v>-3.2509756238141563E-5</v>
      </c>
      <c r="V302" s="701"/>
      <c r="W302" s="701"/>
    </row>
    <row r="303" spans="1:23" x14ac:dyDescent="0.25">
      <c r="A303" s="701"/>
      <c r="B303" s="701"/>
      <c r="C303" s="701"/>
      <c r="D303" s="701"/>
      <c r="E303" s="701"/>
      <c r="F303" s="701"/>
      <c r="G303" s="701"/>
      <c r="H303" s="701"/>
      <c r="I303" s="701"/>
      <c r="J303" s="701"/>
      <c r="K303" s="701"/>
      <c r="L303" s="701"/>
      <c r="M303" s="701"/>
      <c r="N303" s="701"/>
      <c r="O303" s="701"/>
      <c r="P303" s="701"/>
      <c r="Q303" s="701"/>
      <c r="R303" s="701"/>
      <c r="S303" s="701"/>
      <c r="T303" s="701"/>
      <c r="U303" s="701"/>
      <c r="V303" s="701"/>
      <c r="W303" s="701"/>
    </row>
    <row r="304" spans="1:23" x14ac:dyDescent="0.25">
      <c r="A304" s="707"/>
      <c r="B304" s="707"/>
      <c r="C304" s="708" t="s">
        <v>361</v>
      </c>
      <c r="D304" s="707"/>
      <c r="E304" s="707"/>
      <c r="F304" s="707"/>
      <c r="G304" s="707"/>
      <c r="H304" s="707"/>
      <c r="I304" s="707"/>
      <c r="J304" s="707"/>
      <c r="K304" s="707"/>
      <c r="L304" s="707"/>
      <c r="M304" s="707"/>
      <c r="N304" s="707"/>
      <c r="O304" s="707"/>
      <c r="P304" s="707"/>
      <c r="Q304" s="707"/>
      <c r="R304" s="707"/>
      <c r="S304" s="707"/>
      <c r="T304" s="707"/>
      <c r="U304" s="707"/>
      <c r="V304" s="707"/>
      <c r="W304" s="707"/>
    </row>
    <row r="305" spans="1:23" x14ac:dyDescent="0.25">
      <c r="A305" s="701"/>
      <c r="B305" s="701"/>
      <c r="C305" s="701"/>
      <c r="D305" s="701"/>
      <c r="E305" s="701"/>
      <c r="F305" s="701"/>
      <c r="G305" s="701"/>
      <c r="H305" s="701"/>
      <c r="I305" s="701"/>
      <c r="J305" s="701"/>
      <c r="K305" s="701"/>
      <c r="L305" s="701"/>
      <c r="M305" s="701"/>
      <c r="N305" s="701"/>
      <c r="O305" s="701"/>
      <c r="P305" s="701"/>
      <c r="Q305" s="701"/>
      <c r="R305" s="701"/>
      <c r="S305" s="701"/>
      <c r="T305" s="701"/>
      <c r="U305" s="701"/>
      <c r="V305" s="701"/>
      <c r="W305" s="701"/>
    </row>
    <row r="306" spans="1:23" x14ac:dyDescent="0.25">
      <c r="A306" s="701"/>
      <c r="B306" s="701"/>
      <c r="C306" s="780" t="s">
        <v>128</v>
      </c>
      <c r="D306" s="775" t="s">
        <v>42</v>
      </c>
      <c r="E306" s="775" t="s">
        <v>52</v>
      </c>
      <c r="F306" s="775" t="s">
        <v>53</v>
      </c>
      <c r="G306" s="775" t="s">
        <v>482</v>
      </c>
      <c r="H306" s="775" t="s">
        <v>32</v>
      </c>
      <c r="I306" s="775" t="s">
        <v>483</v>
      </c>
      <c r="J306" s="775" t="s">
        <v>20</v>
      </c>
      <c r="K306" s="775" t="s">
        <v>55</v>
      </c>
      <c r="L306" s="777" t="s">
        <v>56</v>
      </c>
      <c r="M306" s="778"/>
      <c r="N306" s="778"/>
      <c r="O306" s="778"/>
      <c r="P306" s="778"/>
      <c r="Q306" s="779"/>
      <c r="R306" s="775" t="s">
        <v>57</v>
      </c>
      <c r="S306" s="775" t="s">
        <v>58</v>
      </c>
      <c r="T306" s="775" t="s">
        <v>31</v>
      </c>
      <c r="U306" s="775" t="s">
        <v>10</v>
      </c>
      <c r="V306" s="701"/>
      <c r="W306" s="701"/>
    </row>
    <row r="307" spans="1:23" ht="67.5" x14ac:dyDescent="0.25">
      <c r="A307" s="701" t="s">
        <v>486</v>
      </c>
      <c r="B307" s="701"/>
      <c r="C307" s="781"/>
      <c r="D307" s="776"/>
      <c r="E307" s="776"/>
      <c r="F307" s="776"/>
      <c r="G307" s="776"/>
      <c r="H307" s="776"/>
      <c r="I307" s="776"/>
      <c r="J307" s="776"/>
      <c r="K307" s="776"/>
      <c r="L307" s="709" t="s">
        <v>335</v>
      </c>
      <c r="M307" s="709" t="s">
        <v>40</v>
      </c>
      <c r="N307" s="709" t="s">
        <v>343</v>
      </c>
      <c r="O307" s="709" t="s">
        <v>344</v>
      </c>
      <c r="P307" s="719" t="s">
        <v>610</v>
      </c>
      <c r="Q307" s="709" t="s">
        <v>346</v>
      </c>
      <c r="R307" s="776"/>
      <c r="S307" s="776"/>
      <c r="T307" s="776"/>
      <c r="U307" s="776"/>
      <c r="V307" s="701"/>
      <c r="W307" s="701"/>
    </row>
    <row r="308" spans="1:23" x14ac:dyDescent="0.25">
      <c r="A308" s="701" t="s">
        <v>487</v>
      </c>
      <c r="B308" s="701"/>
      <c r="C308" s="710" t="s">
        <v>59</v>
      </c>
      <c r="D308" s="711">
        <f>Bilans_E_AMS_Kyoto_run3_MTE!H495</f>
        <v>0</v>
      </c>
      <c r="E308" s="711">
        <f>Bilans_E_AMS_Kyoto_run3_MTE!I495</f>
        <v>0</v>
      </c>
      <c r="F308" s="711">
        <f>Bilans_E_AMS_Kyoto_run3_MTE!J495</f>
        <v>0</v>
      </c>
      <c r="G308" s="711">
        <f>Bilans_E_AMS_Kyoto_run3_MTE!K495</f>
        <v>0</v>
      </c>
      <c r="H308" s="711">
        <f>Bilans_E_AMS_Kyoto_run3_MTE!L495</f>
        <v>0</v>
      </c>
      <c r="I308" s="711">
        <f>Bilans_E_AMS_Kyoto_run3_MTE!M495</f>
        <v>0</v>
      </c>
      <c r="J308" s="711">
        <f>Bilans_E_AMS_Kyoto_run3_MTE!N495</f>
        <v>1021.1177956869142</v>
      </c>
      <c r="K308" s="711">
        <f>Bilans_E_AMS_Kyoto_run3_MTE!O495</f>
        <v>462.06687945929309</v>
      </c>
      <c r="L308" s="711">
        <f>Bilans_E_AMS_Kyoto_run3_MTE!P495</f>
        <v>380.853201250621</v>
      </c>
      <c r="M308" s="711">
        <f>Bilans_E_AMS_Kyoto_run3_MTE!Q495</f>
        <v>45.488439305040814</v>
      </c>
      <c r="N308" s="711">
        <f>Bilans_E_AMS_Kyoto_run3_MTE!R495</f>
        <v>0</v>
      </c>
      <c r="O308" s="711">
        <f>Bilans_E_AMS_Kyoto_run3_MTE!S495</f>
        <v>0</v>
      </c>
      <c r="P308" s="711">
        <f>Bilans_E_AMS_Kyoto_run3_MTE!T495+Bilans_E_AMS_Kyoto_run3_MTE!U495</f>
        <v>241.4786584909825</v>
      </c>
      <c r="Q308" s="711">
        <f>Bilans_E_AMS_Kyoto_run3_MTE!V495</f>
        <v>44.619368166332919</v>
      </c>
      <c r="R308" s="711">
        <f>Bilans_E_AMS_Kyoto_run3_MTE!W495</f>
        <v>0</v>
      </c>
      <c r="S308" s="711">
        <f>Bilans_E_AMS_Kyoto_run3_MTE!X495</f>
        <v>0</v>
      </c>
      <c r="T308" s="711">
        <f>Bilans_E_AMS_Kyoto_run3_MTE!Y495</f>
        <v>0</v>
      </c>
      <c r="U308" s="711">
        <f>Bilans_E_AMS_Kyoto_run3_MTE!Z495</f>
        <v>2195.6243423591845</v>
      </c>
      <c r="V308" s="701"/>
      <c r="W308" s="701"/>
    </row>
    <row r="309" spans="1:23" x14ac:dyDescent="0.25">
      <c r="A309" s="701" t="s">
        <v>488</v>
      </c>
      <c r="B309" s="701"/>
      <c r="C309" s="710" t="s">
        <v>60</v>
      </c>
      <c r="D309" s="712">
        <f>Bilans_E_AMS_Kyoto_run3_MTE!H496</f>
        <v>7.2040588378906256E-2</v>
      </c>
      <c r="E309" s="712">
        <f>Bilans_E_AMS_Kyoto_run3_MTE!I496</f>
        <v>143.57372262348443</v>
      </c>
      <c r="F309" s="712">
        <f>Bilans_E_AMS_Kyoto_run3_MTE!J496</f>
        <v>24.964838256255007</v>
      </c>
      <c r="G309" s="712">
        <f>Bilans_E_AMS_Kyoto_run3_MTE!K496</f>
        <v>8.9901848637372375</v>
      </c>
      <c r="H309" s="712">
        <f>Bilans_E_AMS_Kyoto_run3_MTE!L496</f>
        <v>83.302522482755748</v>
      </c>
      <c r="I309" s="712">
        <f>Bilans_E_AMS_Kyoto_run3_MTE!M496</f>
        <v>0</v>
      </c>
      <c r="J309" s="712">
        <f>Bilans_E_AMS_Kyoto_run3_MTE!N496</f>
        <v>0</v>
      </c>
      <c r="K309" s="712">
        <f>Bilans_E_AMS_Kyoto_run3_MTE!O496</f>
        <v>0</v>
      </c>
      <c r="L309" s="712">
        <f>Bilans_E_AMS_Kyoto_run3_MTE!P496</f>
        <v>8.1136608848584615</v>
      </c>
      <c r="M309" s="712">
        <f>Bilans_E_AMS_Kyoto_run3_MTE!Q496</f>
        <v>0</v>
      </c>
      <c r="N309" s="712">
        <f>Bilans_E_AMS_Kyoto_run3_MTE!R496</f>
        <v>3.6899916266640176</v>
      </c>
      <c r="O309" s="712">
        <f>Bilans_E_AMS_Kyoto_run3_MTE!S496</f>
        <v>0</v>
      </c>
      <c r="P309" s="712">
        <f>Bilans_E_AMS_Kyoto_run3_MTE!T496+Bilans_E_AMS_Kyoto_run3_MTE!U496</f>
        <v>0</v>
      </c>
      <c r="Q309" s="712">
        <f>Bilans_E_AMS_Kyoto_run3_MTE!V496</f>
        <v>0</v>
      </c>
      <c r="R309" s="712">
        <f>Bilans_E_AMS_Kyoto_run3_MTE!W496</f>
        <v>0</v>
      </c>
      <c r="S309" s="712">
        <f>Bilans_E_AMS_Kyoto_run3_MTE!X496</f>
        <v>0</v>
      </c>
      <c r="T309" s="712">
        <f>Bilans_E_AMS_Kyoto_run3_MTE!Y496</f>
        <v>0</v>
      </c>
      <c r="U309" s="712">
        <f>Bilans_E_AMS_Kyoto_run3_MTE!Z496</f>
        <v>272.70696132613381</v>
      </c>
      <c r="V309" s="701"/>
      <c r="W309" s="701"/>
    </row>
    <row r="310" spans="1:23" x14ac:dyDescent="0.25">
      <c r="A310" s="701" t="s">
        <v>489</v>
      </c>
      <c r="B310" s="701"/>
      <c r="C310" s="710" t="s">
        <v>61</v>
      </c>
      <c r="D310" s="712">
        <f>Bilans_E_AMS_Kyoto_run3_MTE!H497</f>
        <v>0</v>
      </c>
      <c r="E310" s="712">
        <f>Bilans_E_AMS_Kyoto_run3_MTE!I497</f>
        <v>0</v>
      </c>
      <c r="F310" s="712">
        <f>Bilans_E_AMS_Kyoto_run3_MTE!J497</f>
        <v>0</v>
      </c>
      <c r="G310" s="712">
        <f>Bilans_E_AMS_Kyoto_run3_MTE!K497</f>
        <v>0</v>
      </c>
      <c r="H310" s="712">
        <f>Bilans_E_AMS_Kyoto_run3_MTE!L497</f>
        <v>0</v>
      </c>
      <c r="I310" s="712">
        <f>Bilans_E_AMS_Kyoto_run3_MTE!M497</f>
        <v>0</v>
      </c>
      <c r="J310" s="712">
        <f>Bilans_E_AMS_Kyoto_run3_MTE!N497</f>
        <v>0</v>
      </c>
      <c r="K310" s="712">
        <f>Bilans_E_AMS_Kyoto_run3_MTE!O497</f>
        <v>0</v>
      </c>
      <c r="L310" s="712">
        <f>Bilans_E_AMS_Kyoto_run3_MTE!P497</f>
        <v>0</v>
      </c>
      <c r="M310" s="712">
        <f>Bilans_E_AMS_Kyoto_run3_MTE!Q497</f>
        <v>0</v>
      </c>
      <c r="N310" s="712">
        <f>Bilans_E_AMS_Kyoto_run3_MTE!R497</f>
        <v>0</v>
      </c>
      <c r="O310" s="712">
        <f>Bilans_E_AMS_Kyoto_run3_MTE!S497</f>
        <v>-20.664907066692336</v>
      </c>
      <c r="P310" s="712">
        <f>Bilans_E_AMS_Kyoto_run3_MTE!T497+Bilans_E_AMS_Kyoto_run3_MTE!U497</f>
        <v>0</v>
      </c>
      <c r="Q310" s="712">
        <f>Bilans_E_AMS_Kyoto_run3_MTE!V497</f>
        <v>0</v>
      </c>
      <c r="R310" s="712">
        <f>Bilans_E_AMS_Kyoto_run3_MTE!W497</f>
        <v>-64.652591069811592</v>
      </c>
      <c r="S310" s="712">
        <f>Bilans_E_AMS_Kyoto_run3_MTE!X497</f>
        <v>0</v>
      </c>
      <c r="T310" s="712">
        <f>Bilans_E_AMS_Kyoto_run3_MTE!Y497</f>
        <v>0</v>
      </c>
      <c r="U310" s="712">
        <f>Bilans_E_AMS_Kyoto_run3_MTE!Z497</f>
        <v>-85.317498136503929</v>
      </c>
      <c r="V310" s="701"/>
      <c r="W310" s="701"/>
    </row>
    <row r="311" spans="1:23" x14ac:dyDescent="0.25">
      <c r="A311" s="701" t="s">
        <v>490</v>
      </c>
      <c r="B311" s="701"/>
      <c r="C311" s="710" t="s">
        <v>62</v>
      </c>
      <c r="D311" s="711">
        <f>Bilans_E_AMS_Kyoto_run3_MTE!H498</f>
        <v>0</v>
      </c>
      <c r="E311" s="711">
        <f>Bilans_E_AMS_Kyoto_run3_MTE!I498</f>
        <v>0</v>
      </c>
      <c r="F311" s="711">
        <f>Bilans_E_AMS_Kyoto_run3_MTE!J498</f>
        <v>-2.6430279181443233</v>
      </c>
      <c r="G311" s="711">
        <f>Bilans_E_AMS_Kyoto_run3_MTE!K498</f>
        <v>-2.1194862177251581</v>
      </c>
      <c r="H311" s="711">
        <f>Bilans_E_AMS_Kyoto_run3_MTE!L498</f>
        <v>0</v>
      </c>
      <c r="I311" s="711">
        <f>Bilans_E_AMS_Kyoto_run3_MTE!M498</f>
        <v>-2.4085070655967704</v>
      </c>
      <c r="J311" s="711">
        <f>Bilans_E_AMS_Kyoto_run3_MTE!N498</f>
        <v>0</v>
      </c>
      <c r="K311" s="711">
        <f>Bilans_E_AMS_Kyoto_run3_MTE!O498</f>
        <v>0</v>
      </c>
      <c r="L311" s="711">
        <f>Bilans_E_AMS_Kyoto_run3_MTE!P498</f>
        <v>0</v>
      </c>
      <c r="M311" s="711">
        <f>Bilans_E_AMS_Kyoto_run3_MTE!Q498</f>
        <v>0</v>
      </c>
      <c r="N311" s="711">
        <f>Bilans_E_AMS_Kyoto_run3_MTE!R498</f>
        <v>0</v>
      </c>
      <c r="O311" s="711">
        <f>Bilans_E_AMS_Kyoto_run3_MTE!S498</f>
        <v>-1.4769404520417975</v>
      </c>
      <c r="P311" s="711">
        <f>Bilans_E_AMS_Kyoto_run3_MTE!T498+Bilans_E_AMS_Kyoto_run3_MTE!U498</f>
        <v>0</v>
      </c>
      <c r="Q311" s="711">
        <f>Bilans_E_AMS_Kyoto_run3_MTE!V498</f>
        <v>0</v>
      </c>
      <c r="R311" s="711">
        <f>Bilans_E_AMS_Kyoto_run3_MTE!W498</f>
        <v>0</v>
      </c>
      <c r="S311" s="711">
        <f>Bilans_E_AMS_Kyoto_run3_MTE!X498</f>
        <v>0</v>
      </c>
      <c r="T311" s="711">
        <f>Bilans_E_AMS_Kyoto_run3_MTE!Y498</f>
        <v>-0.99606248425254151</v>
      </c>
      <c r="U311" s="711">
        <f>Bilans_E_AMS_Kyoto_run3_MTE!Z498</f>
        <v>-9.6440241377605904</v>
      </c>
      <c r="V311" s="701"/>
      <c r="W311" s="701"/>
    </row>
    <row r="312" spans="1:23" x14ac:dyDescent="0.25">
      <c r="A312" s="701" t="s">
        <v>491</v>
      </c>
      <c r="B312" s="701"/>
      <c r="C312" s="710" t="s">
        <v>63</v>
      </c>
      <c r="D312" s="711">
        <f>Bilans_E_AMS_Kyoto_run3_MTE!H499</f>
        <v>0</v>
      </c>
      <c r="E312" s="711">
        <f>Bilans_E_AMS_Kyoto_run3_MTE!I499</f>
        <v>0</v>
      </c>
      <c r="F312" s="711">
        <f>Bilans_E_AMS_Kyoto_run3_MTE!J499</f>
        <v>-26.999999999999996</v>
      </c>
      <c r="G312" s="711">
        <f>Bilans_E_AMS_Kyoto_run3_MTE!K499</f>
        <v>-16</v>
      </c>
      <c r="H312" s="711">
        <f>Bilans_E_AMS_Kyoto_run3_MTE!L499</f>
        <v>0</v>
      </c>
      <c r="I312" s="711">
        <f>Bilans_E_AMS_Kyoto_run3_MTE!M499</f>
        <v>0</v>
      </c>
      <c r="J312" s="711">
        <f>Bilans_E_AMS_Kyoto_run3_MTE!N499</f>
        <v>0</v>
      </c>
      <c r="K312" s="711">
        <f>Bilans_E_AMS_Kyoto_run3_MTE!O499</f>
        <v>0</v>
      </c>
      <c r="L312" s="711">
        <f>Bilans_E_AMS_Kyoto_run3_MTE!P499</f>
        <v>0</v>
      </c>
      <c r="M312" s="711">
        <f>Bilans_E_AMS_Kyoto_run3_MTE!Q499</f>
        <v>0</v>
      </c>
      <c r="N312" s="711">
        <f>Bilans_E_AMS_Kyoto_run3_MTE!R499</f>
        <v>-16</v>
      </c>
      <c r="O312" s="711">
        <f>Bilans_E_AMS_Kyoto_run3_MTE!S499</f>
        <v>0</v>
      </c>
      <c r="P312" s="711">
        <f>Bilans_E_AMS_Kyoto_run3_MTE!T499+Bilans_E_AMS_Kyoto_run3_MTE!U499</f>
        <v>0</v>
      </c>
      <c r="Q312" s="711">
        <f>Bilans_E_AMS_Kyoto_run3_MTE!V499</f>
        <v>0</v>
      </c>
      <c r="R312" s="711">
        <f>Bilans_E_AMS_Kyoto_run3_MTE!W499</f>
        <v>0</v>
      </c>
      <c r="S312" s="711">
        <f>Bilans_E_AMS_Kyoto_run3_MTE!X499</f>
        <v>0</v>
      </c>
      <c r="T312" s="711">
        <f>Bilans_E_AMS_Kyoto_run3_MTE!Y499</f>
        <v>-5</v>
      </c>
      <c r="U312" s="711">
        <f>Bilans_E_AMS_Kyoto_run3_MTE!Z499</f>
        <v>-64</v>
      </c>
      <c r="V312" s="701"/>
      <c r="W312" s="701"/>
    </row>
    <row r="313" spans="1:23" x14ac:dyDescent="0.25">
      <c r="A313" s="701" t="s">
        <v>492</v>
      </c>
      <c r="B313" s="701"/>
      <c r="C313" s="710" t="s">
        <v>64</v>
      </c>
      <c r="D313" s="712">
        <f>Bilans_E_AMS_Kyoto_run3_MTE!H500</f>
        <v>0</v>
      </c>
      <c r="E313" s="712">
        <f>Bilans_E_AMS_Kyoto_run3_MTE!I500</f>
        <v>0</v>
      </c>
      <c r="F313" s="712">
        <f>Bilans_E_AMS_Kyoto_run3_MTE!J500</f>
        <v>0</v>
      </c>
      <c r="G313" s="712">
        <f>Bilans_E_AMS_Kyoto_run3_MTE!K500</f>
        <v>0</v>
      </c>
      <c r="H313" s="712">
        <f>Bilans_E_AMS_Kyoto_run3_MTE!L500</f>
        <v>0</v>
      </c>
      <c r="I313" s="712">
        <f>Bilans_E_AMS_Kyoto_run3_MTE!M500</f>
        <v>0</v>
      </c>
      <c r="J313" s="712">
        <f>Bilans_E_AMS_Kyoto_run3_MTE!N500</f>
        <v>0</v>
      </c>
      <c r="K313" s="712">
        <f>Bilans_E_AMS_Kyoto_run3_MTE!O500</f>
        <v>0</v>
      </c>
      <c r="L313" s="712">
        <f>Bilans_E_AMS_Kyoto_run3_MTE!P500</f>
        <v>0</v>
      </c>
      <c r="M313" s="712">
        <f>Bilans_E_AMS_Kyoto_run3_MTE!Q500</f>
        <v>0</v>
      </c>
      <c r="N313" s="712">
        <f>Bilans_E_AMS_Kyoto_run3_MTE!R500</f>
        <v>0</v>
      </c>
      <c r="O313" s="712">
        <f>Bilans_E_AMS_Kyoto_run3_MTE!S500</f>
        <v>0</v>
      </c>
      <c r="P313" s="712">
        <f>Bilans_E_AMS_Kyoto_run3_MTE!T500+Bilans_E_AMS_Kyoto_run3_MTE!U500</f>
        <v>0</v>
      </c>
      <c r="Q313" s="712">
        <f>Bilans_E_AMS_Kyoto_run3_MTE!V500</f>
        <v>0</v>
      </c>
      <c r="R313" s="712">
        <f>Bilans_E_AMS_Kyoto_run3_MTE!W500</f>
        <v>0</v>
      </c>
      <c r="S313" s="712">
        <f>Bilans_E_AMS_Kyoto_run3_MTE!X500</f>
        <v>0</v>
      </c>
      <c r="T313" s="712">
        <f>Bilans_E_AMS_Kyoto_run3_MTE!Y500</f>
        <v>0</v>
      </c>
      <c r="U313" s="712">
        <f>Bilans_E_AMS_Kyoto_run3_MTE!Z500</f>
        <v>0</v>
      </c>
      <c r="V313" s="701"/>
      <c r="W313" s="701"/>
    </row>
    <row r="314" spans="1:23" x14ac:dyDescent="0.25">
      <c r="A314" s="701" t="s">
        <v>493</v>
      </c>
      <c r="B314" s="701"/>
      <c r="C314" s="713" t="s">
        <v>65</v>
      </c>
      <c r="D314" s="714">
        <f>Bilans_E_AMS_Kyoto_run3_MTE!H501</f>
        <v>7.2040588378906256E-2</v>
      </c>
      <c r="E314" s="714">
        <f>Bilans_E_AMS_Kyoto_run3_MTE!I501</f>
        <v>143.57372262348443</v>
      </c>
      <c r="F314" s="714">
        <f>Bilans_E_AMS_Kyoto_run3_MTE!J501</f>
        <v>-4.6781896618893128</v>
      </c>
      <c r="G314" s="714">
        <f>Bilans_E_AMS_Kyoto_run3_MTE!K501</f>
        <v>-9.1293013539879198</v>
      </c>
      <c r="H314" s="714">
        <f>Bilans_E_AMS_Kyoto_run3_MTE!L501</f>
        <v>83.302522482755748</v>
      </c>
      <c r="I314" s="714">
        <f>Bilans_E_AMS_Kyoto_run3_MTE!M501</f>
        <v>-2.4085070655967704</v>
      </c>
      <c r="J314" s="714">
        <f>Bilans_E_AMS_Kyoto_run3_MTE!N501</f>
        <v>1021.1177956869142</v>
      </c>
      <c r="K314" s="714">
        <f>Bilans_E_AMS_Kyoto_run3_MTE!O501</f>
        <v>462.06687945929309</v>
      </c>
      <c r="L314" s="714">
        <f>Bilans_E_AMS_Kyoto_run3_MTE!P501</f>
        <v>388.96686213547946</v>
      </c>
      <c r="M314" s="714">
        <f>Bilans_E_AMS_Kyoto_run3_MTE!Q501</f>
        <v>45.488439305040814</v>
      </c>
      <c r="N314" s="714">
        <f>Bilans_E_AMS_Kyoto_run3_MTE!R501</f>
        <v>-12.310008373335982</v>
      </c>
      <c r="O314" s="714">
        <f>Bilans_E_AMS_Kyoto_run3_MTE!S501</f>
        <v>-22.141847518734135</v>
      </c>
      <c r="P314" s="714">
        <f>Bilans_E_AMS_Kyoto_run3_MTE!T501+Bilans_E_AMS_Kyoto_run3_MTE!U501</f>
        <v>241.4786584909825</v>
      </c>
      <c r="Q314" s="714">
        <f>Bilans_E_AMS_Kyoto_run3_MTE!V501</f>
        <v>44.619368166332919</v>
      </c>
      <c r="R314" s="714">
        <f>Bilans_E_AMS_Kyoto_run3_MTE!W501</f>
        <v>-64.652591069811592</v>
      </c>
      <c r="S314" s="714">
        <f>Bilans_E_AMS_Kyoto_run3_MTE!X501</f>
        <v>0</v>
      </c>
      <c r="T314" s="714">
        <f>Bilans_E_AMS_Kyoto_run3_MTE!Y501</f>
        <v>-5.9960624842525414</v>
      </c>
      <c r="U314" s="714">
        <f>Bilans_E_AMS_Kyoto_run3_MTE!Z501</f>
        <v>2309.3697814110537</v>
      </c>
      <c r="V314" s="701"/>
      <c r="W314" s="701"/>
    </row>
    <row r="315" spans="1:23" x14ac:dyDescent="0.25">
      <c r="A315" s="701"/>
      <c r="B315" s="701"/>
      <c r="C315" s="715"/>
      <c r="D315" s="716"/>
      <c r="E315" s="716"/>
      <c r="F315" s="716"/>
      <c r="G315" s="716"/>
      <c r="H315" s="716"/>
      <c r="I315" s="716"/>
      <c r="J315" s="716"/>
      <c r="K315" s="716"/>
      <c r="L315" s="716"/>
      <c r="M315" s="716"/>
      <c r="N315" s="716"/>
      <c r="O315" s="716"/>
      <c r="P315" s="716">
        <f>Bilans_E_AMS_Kyoto_run3_MTE!T502+Bilans_E_AMS_Kyoto_run3_MTE!U502</f>
        <v>0</v>
      </c>
      <c r="Q315" s="716"/>
      <c r="R315" s="716"/>
      <c r="S315" s="716"/>
      <c r="T315" s="716"/>
      <c r="U315" s="716"/>
      <c r="V315" s="701"/>
      <c r="W315" s="701"/>
    </row>
    <row r="316" spans="1:23" x14ac:dyDescent="0.25">
      <c r="A316" s="701" t="s">
        <v>494</v>
      </c>
      <c r="B316" s="701"/>
      <c r="C316" s="717" t="s">
        <v>67</v>
      </c>
      <c r="D316" s="711">
        <f>Bilans_E_AMS_Kyoto_run3_MTE!H503</f>
        <v>0</v>
      </c>
      <c r="E316" s="711">
        <f>Bilans_E_AMS_Kyoto_run3_MTE!I503</f>
        <v>0</v>
      </c>
      <c r="F316" s="711">
        <f>Bilans_E_AMS_Kyoto_run3_MTE!J503</f>
        <v>0</v>
      </c>
      <c r="G316" s="711">
        <f>Bilans_E_AMS_Kyoto_run3_MTE!K503</f>
        <v>0</v>
      </c>
      <c r="H316" s="711">
        <f>Bilans_E_AMS_Kyoto_run3_MTE!L503</f>
        <v>0</v>
      </c>
      <c r="I316" s="711">
        <f>Bilans_E_AMS_Kyoto_run3_MTE!M503</f>
        <v>0</v>
      </c>
      <c r="J316" s="711">
        <f>Bilans_E_AMS_Kyoto_run3_MTE!N503</f>
        <v>0</v>
      </c>
      <c r="K316" s="711">
        <f>Bilans_E_AMS_Kyoto_run3_MTE!O503</f>
        <v>0</v>
      </c>
      <c r="L316" s="711">
        <f>Bilans_E_AMS_Kyoto_run3_MTE!P503</f>
        <v>0</v>
      </c>
      <c r="M316" s="711">
        <f>Bilans_E_AMS_Kyoto_run3_MTE!Q503</f>
        <v>0</v>
      </c>
      <c r="N316" s="711">
        <f>Bilans_E_AMS_Kyoto_run3_MTE!R503</f>
        <v>0</v>
      </c>
      <c r="O316" s="711">
        <f>Bilans_E_AMS_Kyoto_run3_MTE!S503</f>
        <v>0</v>
      </c>
      <c r="P316" s="711">
        <f>Bilans_E_AMS_Kyoto_run3_MTE!T503+Bilans_E_AMS_Kyoto_run3_MTE!U503</f>
        <v>0</v>
      </c>
      <c r="Q316" s="711">
        <f>Bilans_E_AMS_Kyoto_run3_MTE!V503</f>
        <v>0</v>
      </c>
      <c r="R316" s="711">
        <f>Bilans_E_AMS_Kyoto_run3_MTE!W503</f>
        <v>0</v>
      </c>
      <c r="S316" s="711">
        <f>Bilans_E_AMS_Kyoto_run3_MTE!X503</f>
        <v>0</v>
      </c>
      <c r="T316" s="711">
        <f>Bilans_E_AMS_Kyoto_run3_MTE!Y503</f>
        <v>0</v>
      </c>
      <c r="U316" s="711">
        <f>Bilans_E_AMS_Kyoto_run3_MTE!Z503</f>
        <v>0</v>
      </c>
      <c r="V316" s="701"/>
      <c r="W316" s="701"/>
    </row>
    <row r="317" spans="1:23" x14ac:dyDescent="0.25">
      <c r="A317" s="701" t="s">
        <v>495</v>
      </c>
      <c r="B317" s="701"/>
      <c r="C317" s="717" t="s">
        <v>347</v>
      </c>
      <c r="D317" s="711">
        <f>Bilans_E_AMS_Kyoto_run3_MTE!H504</f>
        <v>0</v>
      </c>
      <c r="E317" s="711">
        <f>Bilans_E_AMS_Kyoto_run3_MTE!I504</f>
        <v>0</v>
      </c>
      <c r="F317" s="711">
        <f>Bilans_E_AMS_Kyoto_run3_MTE!J504</f>
        <v>0</v>
      </c>
      <c r="G317" s="711">
        <f>Bilans_E_AMS_Kyoto_run3_MTE!K504</f>
        <v>0</v>
      </c>
      <c r="H317" s="711">
        <f>Bilans_E_AMS_Kyoto_run3_MTE!L504</f>
        <v>2.2309947234042489E-3</v>
      </c>
      <c r="I317" s="711">
        <f>Bilans_E_AMS_Kyoto_run3_MTE!M504</f>
        <v>0</v>
      </c>
      <c r="J317" s="711">
        <f>Bilans_E_AMS_Kyoto_run3_MTE!N504</f>
        <v>1014.6070909090909</v>
      </c>
      <c r="K317" s="711">
        <f>Bilans_E_AMS_Kyoto_run3_MTE!O504</f>
        <v>462.06687945929309</v>
      </c>
      <c r="L317" s="711">
        <f>Bilans_E_AMS_Kyoto_run3_MTE!P504</f>
        <v>17.968425297338086</v>
      </c>
      <c r="M317" s="711">
        <f>Bilans_E_AMS_Kyoto_run3_MTE!Q504</f>
        <v>5.3124785537967538</v>
      </c>
      <c r="N317" s="711">
        <f>Bilans_E_AMS_Kyoto_run3_MTE!R504</f>
        <v>6.3451610040287907</v>
      </c>
      <c r="O317" s="711">
        <f>Bilans_E_AMS_Kyoto_run3_MTE!S504</f>
        <v>0.11597760068741178</v>
      </c>
      <c r="P317" s="711">
        <f>Bilans_E_AMS_Kyoto_run3_MTE!T504+Bilans_E_AMS_Kyoto_run3_MTE!U504</f>
        <v>0</v>
      </c>
      <c r="Q317" s="711">
        <f>Bilans_E_AMS_Kyoto_run3_MTE!V504</f>
        <v>6.4766550958451852</v>
      </c>
      <c r="R317" s="711">
        <f>Bilans_E_AMS_Kyoto_run3_MTE!W504</f>
        <v>-813.99806516168439</v>
      </c>
      <c r="S317" s="711">
        <f>Bilans_E_AMS_Kyoto_run3_MTE!X504</f>
        <v>0</v>
      </c>
      <c r="T317" s="711">
        <f>Bilans_E_AMS_Kyoto_run3_MTE!Y504</f>
        <v>0</v>
      </c>
      <c r="U317" s="711">
        <f>Bilans_E_AMS_Kyoto_run3_MTE!Z504</f>
        <v>698.89683375311927</v>
      </c>
      <c r="V317" s="701"/>
      <c r="W317" s="701"/>
    </row>
    <row r="318" spans="1:23" x14ac:dyDescent="0.25">
      <c r="A318" s="701" t="s">
        <v>496</v>
      </c>
      <c r="B318" s="701"/>
      <c r="C318" s="717" t="s">
        <v>348</v>
      </c>
      <c r="D318" s="711">
        <f>Bilans_E_AMS_Kyoto_run3_MTE!H505</f>
        <v>0</v>
      </c>
      <c r="E318" s="711">
        <f>Bilans_E_AMS_Kyoto_run3_MTE!I505</f>
        <v>0</v>
      </c>
      <c r="F318" s="711">
        <f>Bilans_E_AMS_Kyoto_run3_MTE!J505</f>
        <v>0</v>
      </c>
      <c r="G318" s="711">
        <f>Bilans_E_AMS_Kyoto_run3_MTE!K505</f>
        <v>0</v>
      </c>
      <c r="H318" s="711">
        <f>Bilans_E_AMS_Kyoto_run3_MTE!L505</f>
        <v>10.095185583157674</v>
      </c>
      <c r="I318" s="711">
        <f>Bilans_E_AMS_Kyoto_run3_MTE!M505</f>
        <v>0.18354882878468498</v>
      </c>
      <c r="J318" s="711">
        <f>Bilans_E_AMS_Kyoto_run3_MTE!N505</f>
        <v>6.5107047778232934</v>
      </c>
      <c r="K318" s="711">
        <f>Bilans_E_AMS_Kyoto_run3_MTE!O505</f>
        <v>0</v>
      </c>
      <c r="L318" s="711">
        <f>Bilans_E_AMS_Kyoto_run3_MTE!P505</f>
        <v>23.787457206103085</v>
      </c>
      <c r="M318" s="711">
        <f>Bilans_E_AMS_Kyoto_run3_MTE!Q505</f>
        <v>12.007971884882547</v>
      </c>
      <c r="N318" s="711">
        <f>Bilans_E_AMS_Kyoto_run3_MTE!R505</f>
        <v>0</v>
      </c>
      <c r="O318" s="711">
        <f>Bilans_E_AMS_Kyoto_run3_MTE!S505</f>
        <v>8.0912599085817618</v>
      </c>
      <c r="P318" s="711">
        <f>Bilans_E_AMS_Kyoto_run3_MTE!T505+Bilans_E_AMS_Kyoto_run3_MTE!U505</f>
        <v>19.703135322463453</v>
      </c>
      <c r="Q318" s="711">
        <f>Bilans_E_AMS_Kyoto_run3_MTE!V505</f>
        <v>12.221648755322821</v>
      </c>
      <c r="R318" s="711">
        <f>Bilans_E_AMS_Kyoto_run3_MTE!W505</f>
        <v>0</v>
      </c>
      <c r="S318" s="711">
        <f>Bilans_E_AMS_Kyoto_run3_MTE!X505</f>
        <v>-86.369990218724851</v>
      </c>
      <c r="T318" s="711">
        <f>Bilans_E_AMS_Kyoto_run3_MTE!Y505</f>
        <v>0</v>
      </c>
      <c r="U318" s="711">
        <f>Bilans_E_AMS_Kyoto_run3_MTE!Z505</f>
        <v>6.2309220483944614</v>
      </c>
      <c r="V318" s="701"/>
      <c r="W318" s="701"/>
    </row>
    <row r="319" spans="1:23" x14ac:dyDescent="0.25">
      <c r="A319" s="701" t="s">
        <v>497</v>
      </c>
      <c r="B319" s="701"/>
      <c r="C319" s="717" t="s">
        <v>349</v>
      </c>
      <c r="D319" s="711">
        <f>Bilans_E_AMS_Kyoto_run3_MTE!H506</f>
        <v>0</v>
      </c>
      <c r="E319" s="711">
        <f>Bilans_E_AMS_Kyoto_run3_MTE!I506</f>
        <v>0</v>
      </c>
      <c r="F319" s="711">
        <f>Bilans_E_AMS_Kyoto_run3_MTE!J506</f>
        <v>0</v>
      </c>
      <c r="G319" s="711">
        <f>Bilans_E_AMS_Kyoto_run3_MTE!K506</f>
        <v>0</v>
      </c>
      <c r="H319" s="711">
        <f>Bilans_E_AMS_Kyoto_run3_MTE!L506</f>
        <v>0</v>
      </c>
      <c r="I319" s="711">
        <f>Bilans_E_AMS_Kyoto_run3_MTE!M506</f>
        <v>0</v>
      </c>
      <c r="J319" s="711">
        <f>Bilans_E_AMS_Kyoto_run3_MTE!N506</f>
        <v>0</v>
      </c>
      <c r="K319" s="711">
        <f>Bilans_E_AMS_Kyoto_run3_MTE!O506</f>
        <v>0</v>
      </c>
      <c r="L319" s="711">
        <f>Bilans_E_AMS_Kyoto_run3_MTE!P506</f>
        <v>149.36314864907311</v>
      </c>
      <c r="M319" s="711">
        <f>Bilans_E_AMS_Kyoto_run3_MTE!Q506</f>
        <v>12.851297568088029</v>
      </c>
      <c r="N319" s="711">
        <f>Bilans_E_AMS_Kyoto_run3_MTE!R506</f>
        <v>0</v>
      </c>
      <c r="O319" s="711">
        <f>Bilans_E_AMS_Kyoto_run3_MTE!S506</f>
        <v>-81.192550335578574</v>
      </c>
      <c r="P319" s="711">
        <f>Bilans_E_AMS_Kyoto_run3_MTE!T506+Bilans_E_AMS_Kyoto_run3_MTE!U506</f>
        <v>0</v>
      </c>
      <c r="Q319" s="711">
        <f>Bilans_E_AMS_Kyoto_run3_MTE!V506</f>
        <v>0</v>
      </c>
      <c r="R319" s="711">
        <f>Bilans_E_AMS_Kyoto_run3_MTE!W506</f>
        <v>0</v>
      </c>
      <c r="S319" s="711">
        <f>Bilans_E_AMS_Kyoto_run3_MTE!X506</f>
        <v>0</v>
      </c>
      <c r="T319" s="711">
        <f>Bilans_E_AMS_Kyoto_run3_MTE!Y506</f>
        <v>0</v>
      </c>
      <c r="U319" s="711">
        <f>Bilans_E_AMS_Kyoto_run3_MTE!Z506</f>
        <v>81.021895881582566</v>
      </c>
      <c r="V319" s="701"/>
      <c r="W319" s="701"/>
    </row>
    <row r="320" spans="1:23" x14ac:dyDescent="0.25">
      <c r="A320" s="701" t="s">
        <v>498</v>
      </c>
      <c r="B320" s="701"/>
      <c r="C320" s="717" t="s">
        <v>350</v>
      </c>
      <c r="D320" s="711">
        <f>Bilans_E_AMS_Kyoto_run3_MTE!H507</f>
        <v>0</v>
      </c>
      <c r="E320" s="711">
        <f>Bilans_E_AMS_Kyoto_run3_MTE!I507</f>
        <v>0</v>
      </c>
      <c r="F320" s="711">
        <f>Bilans_E_AMS_Kyoto_run3_MTE!J507</f>
        <v>0</v>
      </c>
      <c r="G320" s="711">
        <f>Bilans_E_AMS_Kyoto_run3_MTE!K507</f>
        <v>0</v>
      </c>
      <c r="H320" s="711">
        <f>Bilans_E_AMS_Kyoto_run3_MTE!L507</f>
        <v>0</v>
      </c>
      <c r="I320" s="711">
        <f>Bilans_E_AMS_Kyoto_run3_MTE!M507</f>
        <v>-3.7466899829342335</v>
      </c>
      <c r="J320" s="711">
        <f>Bilans_E_AMS_Kyoto_run3_MTE!N507</f>
        <v>0</v>
      </c>
      <c r="K320" s="711">
        <f>Bilans_E_AMS_Kyoto_run3_MTE!O507</f>
        <v>0</v>
      </c>
      <c r="L320" s="711">
        <f>Bilans_E_AMS_Kyoto_run3_MTE!P507</f>
        <v>0</v>
      </c>
      <c r="M320" s="711">
        <f>Bilans_E_AMS_Kyoto_run3_MTE!Q507</f>
        <v>0</v>
      </c>
      <c r="N320" s="711">
        <f>Bilans_E_AMS_Kyoto_run3_MTE!R507</f>
        <v>0</v>
      </c>
      <c r="O320" s="711">
        <f>Bilans_E_AMS_Kyoto_run3_MTE!S507</f>
        <v>0</v>
      </c>
      <c r="P320" s="711">
        <f>Bilans_E_AMS_Kyoto_run3_MTE!T507+Bilans_E_AMS_Kyoto_run3_MTE!U507</f>
        <v>0</v>
      </c>
      <c r="Q320" s="711">
        <f>Bilans_E_AMS_Kyoto_run3_MTE!V507</f>
        <v>0</v>
      </c>
      <c r="R320" s="711">
        <f>Bilans_E_AMS_Kyoto_run3_MTE!W507</f>
        <v>0</v>
      </c>
      <c r="S320" s="711">
        <f>Bilans_E_AMS_Kyoto_run3_MTE!X507</f>
        <v>0</v>
      </c>
      <c r="T320" s="711">
        <f>Bilans_E_AMS_Kyoto_run3_MTE!Y507</f>
        <v>5.1930977473126321</v>
      </c>
      <c r="U320" s="711">
        <f>Bilans_E_AMS_Kyoto_run3_MTE!Z507</f>
        <v>1.4464077643783986</v>
      </c>
      <c r="V320" s="701"/>
      <c r="W320" s="701"/>
    </row>
    <row r="321" spans="1:23" x14ac:dyDescent="0.25">
      <c r="A321" s="701" t="s">
        <v>499</v>
      </c>
      <c r="B321" s="701"/>
      <c r="C321" s="717" t="s">
        <v>72</v>
      </c>
      <c r="D321" s="711">
        <f>Bilans_E_AMS_Kyoto_run3_MTE!H508</f>
        <v>0</v>
      </c>
      <c r="E321" s="711">
        <f>Bilans_E_AMS_Kyoto_run3_MTE!I508</f>
        <v>148.77345828425325</v>
      </c>
      <c r="F321" s="711">
        <f>Bilans_E_AMS_Kyoto_run3_MTE!J508</f>
        <v>-147.28572370141072</v>
      </c>
      <c r="G321" s="711">
        <f>Bilans_E_AMS_Kyoto_run3_MTE!K508</f>
        <v>0</v>
      </c>
      <c r="H321" s="711">
        <f>Bilans_E_AMS_Kyoto_run3_MTE!L508</f>
        <v>0</v>
      </c>
      <c r="I321" s="711">
        <f>Bilans_E_AMS_Kyoto_run3_MTE!M508</f>
        <v>0</v>
      </c>
      <c r="J321" s="711">
        <f>Bilans_E_AMS_Kyoto_run3_MTE!N508</f>
        <v>0</v>
      </c>
      <c r="K321" s="711">
        <f>Bilans_E_AMS_Kyoto_run3_MTE!O508</f>
        <v>0</v>
      </c>
      <c r="L321" s="711">
        <f>Bilans_E_AMS_Kyoto_run3_MTE!P508</f>
        <v>0</v>
      </c>
      <c r="M321" s="711">
        <f>Bilans_E_AMS_Kyoto_run3_MTE!Q508</f>
        <v>0</v>
      </c>
      <c r="N321" s="711">
        <f>Bilans_E_AMS_Kyoto_run3_MTE!R508</f>
        <v>0</v>
      </c>
      <c r="O321" s="711">
        <f>Bilans_E_AMS_Kyoto_run3_MTE!S508</f>
        <v>0</v>
      </c>
      <c r="P321" s="711">
        <f>Bilans_E_AMS_Kyoto_run3_MTE!T508+Bilans_E_AMS_Kyoto_run3_MTE!U508</f>
        <v>0</v>
      </c>
      <c r="Q321" s="711">
        <f>Bilans_E_AMS_Kyoto_run3_MTE!V508</f>
        <v>0</v>
      </c>
      <c r="R321" s="711">
        <f>Bilans_E_AMS_Kyoto_run3_MTE!W508</f>
        <v>0</v>
      </c>
      <c r="S321" s="711">
        <f>Bilans_E_AMS_Kyoto_run3_MTE!X508</f>
        <v>0</v>
      </c>
      <c r="T321" s="711">
        <f>Bilans_E_AMS_Kyoto_run3_MTE!Y508</f>
        <v>0</v>
      </c>
      <c r="U321" s="711">
        <f>Bilans_E_AMS_Kyoto_run3_MTE!Z508</f>
        <v>1.4877345828425348</v>
      </c>
      <c r="V321" s="701"/>
      <c r="W321" s="701"/>
    </row>
    <row r="322" spans="1:23" x14ac:dyDescent="0.25">
      <c r="A322" s="701" t="s">
        <v>500</v>
      </c>
      <c r="B322" s="701"/>
      <c r="C322" s="717" t="s">
        <v>351</v>
      </c>
      <c r="D322" s="711">
        <f>Bilans_E_AMS_Kyoto_run3_MTE!H509</f>
        <v>0</v>
      </c>
      <c r="E322" s="711">
        <f>Bilans_E_AMS_Kyoto_run3_MTE!I509</f>
        <v>0</v>
      </c>
      <c r="F322" s="711">
        <f>Bilans_E_AMS_Kyoto_run3_MTE!J509</f>
        <v>0</v>
      </c>
      <c r="G322" s="711">
        <f>Bilans_E_AMS_Kyoto_run3_MTE!K509</f>
        <v>0</v>
      </c>
      <c r="H322" s="711">
        <f>Bilans_E_AMS_Kyoto_run3_MTE!L509</f>
        <v>0</v>
      </c>
      <c r="I322" s="711">
        <f>Bilans_E_AMS_Kyoto_run3_MTE!M509</f>
        <v>0</v>
      </c>
      <c r="J322" s="711">
        <f>Bilans_E_AMS_Kyoto_run3_MTE!N509</f>
        <v>0</v>
      </c>
      <c r="K322" s="711">
        <f>Bilans_E_AMS_Kyoto_run3_MTE!O509</f>
        <v>0</v>
      </c>
      <c r="L322" s="711">
        <f>Bilans_E_AMS_Kyoto_run3_MTE!P509</f>
        <v>102.29704163456771</v>
      </c>
      <c r="M322" s="711">
        <f>Bilans_E_AMS_Kyoto_run3_MTE!Q509</f>
        <v>7.2727272727272725</v>
      </c>
      <c r="N322" s="711">
        <f>Bilans_E_AMS_Kyoto_run3_MTE!R509</f>
        <v>-61.183830654875514</v>
      </c>
      <c r="O322" s="711">
        <f>Bilans_E_AMS_Kyoto_run3_MTE!S509</f>
        <v>0</v>
      </c>
      <c r="P322" s="711">
        <f>Bilans_E_AMS_Kyoto_run3_MTE!T509+Bilans_E_AMS_Kyoto_run3_MTE!U509</f>
        <v>0</v>
      </c>
      <c r="Q322" s="711">
        <f>Bilans_E_AMS_Kyoto_run3_MTE!V509</f>
        <v>0</v>
      </c>
      <c r="R322" s="711">
        <f>Bilans_E_AMS_Kyoto_run3_MTE!W509</f>
        <v>0</v>
      </c>
      <c r="S322" s="711">
        <f>Bilans_E_AMS_Kyoto_run3_MTE!X509</f>
        <v>0</v>
      </c>
      <c r="T322" s="711">
        <f>Bilans_E_AMS_Kyoto_run3_MTE!Y509</f>
        <v>0</v>
      </c>
      <c r="U322" s="711">
        <f>Bilans_E_AMS_Kyoto_run3_MTE!Z509</f>
        <v>48.385938252419457</v>
      </c>
      <c r="V322" s="701"/>
      <c r="W322" s="701"/>
    </row>
    <row r="323" spans="1:23" x14ac:dyDescent="0.25">
      <c r="A323" s="701" t="s">
        <v>501</v>
      </c>
      <c r="B323" s="701"/>
      <c r="C323" s="717" t="s">
        <v>352</v>
      </c>
      <c r="D323" s="711">
        <f>Bilans_E_AMS_Kyoto_run3_MTE!H510</f>
        <v>0</v>
      </c>
      <c r="E323" s="711">
        <f>Bilans_E_AMS_Kyoto_run3_MTE!I510</f>
        <v>0</v>
      </c>
      <c r="F323" s="711">
        <f>Bilans_E_AMS_Kyoto_run3_MTE!J510</f>
        <v>0</v>
      </c>
      <c r="G323" s="711">
        <f>Bilans_E_AMS_Kyoto_run3_MTE!K510</f>
        <v>-14.619486217725157</v>
      </c>
      <c r="H323" s="711">
        <f>Bilans_E_AMS_Kyoto_run3_MTE!L510</f>
        <v>0</v>
      </c>
      <c r="I323" s="711">
        <f>Bilans_E_AMS_Kyoto_run3_MTE!M510</f>
        <v>0</v>
      </c>
      <c r="J323" s="711">
        <f>Bilans_E_AMS_Kyoto_run3_MTE!N510</f>
        <v>0</v>
      </c>
      <c r="K323" s="711">
        <f>Bilans_E_AMS_Kyoto_run3_MTE!O510</f>
        <v>0</v>
      </c>
      <c r="L323" s="711">
        <f>Bilans_E_AMS_Kyoto_run3_MTE!P510</f>
        <v>0</v>
      </c>
      <c r="M323" s="711">
        <f>Bilans_E_AMS_Kyoto_run3_MTE!Q510</f>
        <v>0</v>
      </c>
      <c r="N323" s="711">
        <f>Bilans_E_AMS_Kyoto_run3_MTE!R510</f>
        <v>0</v>
      </c>
      <c r="O323" s="711">
        <f>Bilans_E_AMS_Kyoto_run3_MTE!S510</f>
        <v>0</v>
      </c>
      <c r="P323" s="711">
        <f>Bilans_E_AMS_Kyoto_run3_MTE!T510+Bilans_E_AMS_Kyoto_run3_MTE!U510</f>
        <v>0</v>
      </c>
      <c r="Q323" s="711">
        <f>Bilans_E_AMS_Kyoto_run3_MTE!V510</f>
        <v>0</v>
      </c>
      <c r="R323" s="711">
        <f>Bilans_E_AMS_Kyoto_run3_MTE!W510</f>
        <v>0</v>
      </c>
      <c r="S323" s="711">
        <f>Bilans_E_AMS_Kyoto_run3_MTE!X510</f>
        <v>0</v>
      </c>
      <c r="T323" s="711">
        <f>Bilans_E_AMS_Kyoto_run3_MTE!Y510</f>
        <v>24.331434839497675</v>
      </c>
      <c r="U323" s="711">
        <f>Bilans_E_AMS_Kyoto_run3_MTE!Z510</f>
        <v>9.7119486217725175</v>
      </c>
      <c r="V323" s="701"/>
      <c r="W323" s="701"/>
    </row>
    <row r="324" spans="1:23" x14ac:dyDescent="0.25">
      <c r="A324" s="701" t="s">
        <v>502</v>
      </c>
      <c r="B324" s="701"/>
      <c r="C324" s="717" t="s">
        <v>73</v>
      </c>
      <c r="D324" s="711">
        <f>Bilans_E_AMS_Kyoto_run3_MTE!H511</f>
        <v>0</v>
      </c>
      <c r="E324" s="711">
        <f>Bilans_E_AMS_Kyoto_run3_MTE!I511</f>
        <v>0</v>
      </c>
      <c r="F324" s="711">
        <f>Bilans_E_AMS_Kyoto_run3_MTE!J511</f>
        <v>0</v>
      </c>
      <c r="G324" s="711">
        <f>Bilans_E_AMS_Kyoto_run3_MTE!K511</f>
        <v>0</v>
      </c>
      <c r="H324" s="711">
        <f>Bilans_E_AMS_Kyoto_run3_MTE!L511</f>
        <v>0</v>
      </c>
      <c r="I324" s="711">
        <f>Bilans_E_AMS_Kyoto_run3_MTE!M511</f>
        <v>0</v>
      </c>
      <c r="J324" s="711">
        <f>Bilans_E_AMS_Kyoto_run3_MTE!N511</f>
        <v>0</v>
      </c>
      <c r="K324" s="711">
        <f>Bilans_E_AMS_Kyoto_run3_MTE!O511</f>
        <v>0</v>
      </c>
      <c r="L324" s="711">
        <f>Bilans_E_AMS_Kyoto_run3_MTE!P511</f>
        <v>0</v>
      </c>
      <c r="M324" s="711">
        <f>Bilans_E_AMS_Kyoto_run3_MTE!Q511</f>
        <v>0</v>
      </c>
      <c r="N324" s="711">
        <f>Bilans_E_AMS_Kyoto_run3_MTE!R511</f>
        <v>0</v>
      </c>
      <c r="O324" s="711">
        <f>Bilans_E_AMS_Kyoto_run3_MTE!S511</f>
        <v>0</v>
      </c>
      <c r="P324" s="711">
        <f>Bilans_E_AMS_Kyoto_run3_MTE!T511+Bilans_E_AMS_Kyoto_run3_MTE!U511</f>
        <v>0</v>
      </c>
      <c r="Q324" s="711">
        <f>Bilans_E_AMS_Kyoto_run3_MTE!V511</f>
        <v>0</v>
      </c>
      <c r="R324" s="711">
        <f>Bilans_E_AMS_Kyoto_run3_MTE!W511</f>
        <v>88.6114421596901</v>
      </c>
      <c r="S324" s="711">
        <f>Bilans_E_AMS_Kyoto_run3_MTE!X511</f>
        <v>0</v>
      </c>
      <c r="T324" s="711">
        <f>Bilans_E_AMS_Kyoto_run3_MTE!Y511</f>
        <v>-62.249538117182297</v>
      </c>
      <c r="U324" s="711">
        <f>Bilans_E_AMS_Kyoto_run3_MTE!Z511</f>
        <v>26.361904042507803</v>
      </c>
      <c r="V324" s="701"/>
      <c r="W324" s="701"/>
    </row>
    <row r="325" spans="1:23" x14ac:dyDescent="0.25">
      <c r="A325" s="701" t="s">
        <v>503</v>
      </c>
      <c r="B325" s="701"/>
      <c r="C325" s="717" t="s">
        <v>353</v>
      </c>
      <c r="D325" s="711">
        <f>Bilans_E_AMS_Kyoto_run3_MTE!H512</f>
        <v>0</v>
      </c>
      <c r="E325" s="711">
        <f>Bilans_E_AMS_Kyoto_run3_MTE!I512</f>
        <v>-5.1997356607688232</v>
      </c>
      <c r="F325" s="711">
        <f>Bilans_E_AMS_Kyoto_run3_MTE!J512</f>
        <v>6.948298230027091</v>
      </c>
      <c r="G325" s="711">
        <f>Bilans_E_AMS_Kyoto_run3_MTE!K512</f>
        <v>0</v>
      </c>
      <c r="H325" s="711">
        <f>Bilans_E_AMS_Kyoto_run3_MTE!L512</f>
        <v>0</v>
      </c>
      <c r="I325" s="711">
        <f>Bilans_E_AMS_Kyoto_run3_MTE!M512</f>
        <v>0</v>
      </c>
      <c r="J325" s="711">
        <f>Bilans_E_AMS_Kyoto_run3_MTE!N512</f>
        <v>0</v>
      </c>
      <c r="K325" s="711">
        <f>Bilans_E_AMS_Kyoto_run3_MTE!O512</f>
        <v>0</v>
      </c>
      <c r="L325" s="711">
        <f>Bilans_E_AMS_Kyoto_run3_MTE!P512</f>
        <v>0</v>
      </c>
      <c r="M325" s="711">
        <f>Bilans_E_AMS_Kyoto_run3_MTE!Q512</f>
        <v>0</v>
      </c>
      <c r="N325" s="711">
        <f>Bilans_E_AMS_Kyoto_run3_MTE!R512</f>
        <v>0</v>
      </c>
      <c r="O325" s="711">
        <f>Bilans_E_AMS_Kyoto_run3_MTE!S512</f>
        <v>0</v>
      </c>
      <c r="P325" s="711">
        <f>Bilans_E_AMS_Kyoto_run3_MTE!T512+Bilans_E_AMS_Kyoto_run3_MTE!U512</f>
        <v>0</v>
      </c>
      <c r="Q325" s="711">
        <f>Bilans_E_AMS_Kyoto_run3_MTE!V512</f>
        <v>0</v>
      </c>
      <c r="R325" s="711">
        <f>Bilans_E_AMS_Kyoto_run3_MTE!W512</f>
        <v>0</v>
      </c>
      <c r="S325" s="711">
        <f>Bilans_E_AMS_Kyoto_run3_MTE!X512</f>
        <v>0</v>
      </c>
      <c r="T325" s="711">
        <f>Bilans_E_AMS_Kyoto_run3_MTE!Y512</f>
        <v>0</v>
      </c>
      <c r="U325" s="711">
        <f>Bilans_E_AMS_Kyoto_run3_MTE!Z512</f>
        <v>1.7485625692582678</v>
      </c>
      <c r="V325" s="701"/>
      <c r="W325" s="701"/>
    </row>
    <row r="326" spans="1:23" x14ac:dyDescent="0.25">
      <c r="A326" s="701" t="s">
        <v>504</v>
      </c>
      <c r="B326" s="701"/>
      <c r="C326" s="717" t="s">
        <v>75</v>
      </c>
      <c r="D326" s="711">
        <f>Bilans_E_AMS_Kyoto_run3_MTE!H513</f>
        <v>0</v>
      </c>
      <c r="E326" s="711">
        <f>Bilans_E_AMS_Kyoto_run3_MTE!I513</f>
        <v>0</v>
      </c>
      <c r="F326" s="711">
        <f>Bilans_E_AMS_Kyoto_run3_MTE!J513</f>
        <v>5.2004760110645112</v>
      </c>
      <c r="G326" s="711">
        <f>Bilans_E_AMS_Kyoto_run3_MTE!K513</f>
        <v>0</v>
      </c>
      <c r="H326" s="711">
        <f>Bilans_E_AMS_Kyoto_run3_MTE!L513</f>
        <v>0</v>
      </c>
      <c r="I326" s="711">
        <f>Bilans_E_AMS_Kyoto_run3_MTE!M513</f>
        <v>0</v>
      </c>
      <c r="J326" s="711">
        <f>Bilans_E_AMS_Kyoto_run3_MTE!N513</f>
        <v>0</v>
      </c>
      <c r="K326" s="711">
        <f>Bilans_E_AMS_Kyoto_run3_MTE!O513</f>
        <v>0</v>
      </c>
      <c r="L326" s="711">
        <f>Bilans_E_AMS_Kyoto_run3_MTE!P513</f>
        <v>0</v>
      </c>
      <c r="M326" s="711">
        <f>Bilans_E_AMS_Kyoto_run3_MTE!Q513</f>
        <v>0</v>
      </c>
      <c r="N326" s="711">
        <f>Bilans_E_AMS_Kyoto_run3_MTE!R513</f>
        <v>0</v>
      </c>
      <c r="O326" s="711">
        <f>Bilans_E_AMS_Kyoto_run3_MTE!S513</f>
        <v>0</v>
      </c>
      <c r="P326" s="711">
        <f>Bilans_E_AMS_Kyoto_run3_MTE!T513+Bilans_E_AMS_Kyoto_run3_MTE!U513</f>
        <v>0</v>
      </c>
      <c r="Q326" s="711">
        <f>Bilans_E_AMS_Kyoto_run3_MTE!V513</f>
        <v>0</v>
      </c>
      <c r="R326" s="711">
        <f>Bilans_E_AMS_Kyoto_run3_MTE!W513</f>
        <v>38.430337038531441</v>
      </c>
      <c r="S326" s="711">
        <f>Bilans_E_AMS_Kyoto_run3_MTE!X513</f>
        <v>0</v>
      </c>
      <c r="T326" s="711">
        <f>Bilans_E_AMS_Kyoto_run3_MTE!Y513</f>
        <v>1.4650612498705113</v>
      </c>
      <c r="U326" s="711">
        <f>Bilans_E_AMS_Kyoto_run3_MTE!Z513</f>
        <v>45.095874299466459</v>
      </c>
      <c r="V326" s="701"/>
      <c r="W326" s="701"/>
    </row>
    <row r="327" spans="1:23" x14ac:dyDescent="0.25">
      <c r="A327" s="701" t="s">
        <v>505</v>
      </c>
      <c r="B327" s="701"/>
      <c r="C327" s="717" t="s">
        <v>76</v>
      </c>
      <c r="D327" s="711">
        <f>Bilans_E_AMS_Kyoto_run3_MTE!H514</f>
        <v>0</v>
      </c>
      <c r="E327" s="711">
        <f>Bilans_E_AMS_Kyoto_run3_MTE!I514</f>
        <v>0</v>
      </c>
      <c r="F327" s="711">
        <f>Bilans_E_AMS_Kyoto_run3_MTE!J514</f>
        <v>0</v>
      </c>
      <c r="G327" s="711">
        <f>Bilans_E_AMS_Kyoto_run3_MTE!K514</f>
        <v>0</v>
      </c>
      <c r="H327" s="711">
        <f>Bilans_E_AMS_Kyoto_run3_MTE!L514</f>
        <v>0.87272798956791087</v>
      </c>
      <c r="I327" s="711">
        <f>Bilans_E_AMS_Kyoto_run3_MTE!M514</f>
        <v>1.5867781628507469E-2</v>
      </c>
      <c r="J327" s="711">
        <f>Bilans_E_AMS_Kyoto_run3_MTE!N514</f>
        <v>0</v>
      </c>
      <c r="K327" s="711">
        <f>Bilans_E_AMS_Kyoto_run3_MTE!O514</f>
        <v>0</v>
      </c>
      <c r="L327" s="711">
        <f>Bilans_E_AMS_Kyoto_run3_MTE!P514</f>
        <v>0</v>
      </c>
      <c r="M327" s="711">
        <f>Bilans_E_AMS_Kyoto_run3_MTE!Q514</f>
        <v>0</v>
      </c>
      <c r="N327" s="711">
        <f>Bilans_E_AMS_Kyoto_run3_MTE!R514</f>
        <v>0</v>
      </c>
      <c r="O327" s="711">
        <f>Bilans_E_AMS_Kyoto_run3_MTE!S514</f>
        <v>0.6981823916543286</v>
      </c>
      <c r="P327" s="711">
        <f>Bilans_E_AMS_Kyoto_run3_MTE!T514+Bilans_E_AMS_Kyoto_run3_MTE!U514</f>
        <v>0</v>
      </c>
      <c r="Q327" s="711">
        <f>Bilans_E_AMS_Kyoto_run3_MTE!V514</f>
        <v>0</v>
      </c>
      <c r="R327" s="711">
        <f>Bilans_E_AMS_Kyoto_run3_MTE!W514</f>
        <v>61.224106337294323</v>
      </c>
      <c r="S327" s="711">
        <f>Bilans_E_AMS_Kyoto_run3_MTE!X514</f>
        <v>6.697680379771108</v>
      </c>
      <c r="T327" s="711">
        <f>Bilans_E_AMS_Kyoto_run3_MTE!Y514</f>
        <v>0</v>
      </c>
      <c r="U327" s="711">
        <f>Bilans_E_AMS_Kyoto_run3_MTE!Z514</f>
        <v>69.508564879916179</v>
      </c>
      <c r="V327" s="701"/>
      <c r="W327" s="701"/>
    </row>
    <row r="328" spans="1:23" x14ac:dyDescent="0.25">
      <c r="A328" s="701" t="s">
        <v>506</v>
      </c>
      <c r="B328" s="701"/>
      <c r="C328" s="713" t="s">
        <v>77</v>
      </c>
      <c r="D328" s="714">
        <f>Bilans_E_AMS_Kyoto_run3_MTE!H515</f>
        <v>0</v>
      </c>
      <c r="E328" s="714">
        <f>Bilans_E_AMS_Kyoto_run3_MTE!I515</f>
        <v>143.57372262348443</v>
      </c>
      <c r="F328" s="714">
        <f>Bilans_E_AMS_Kyoto_run3_MTE!J515</f>
        <v>-135.1369494603191</v>
      </c>
      <c r="G328" s="714">
        <f>Bilans_E_AMS_Kyoto_run3_MTE!K515</f>
        <v>-14.619486217725157</v>
      </c>
      <c r="H328" s="714">
        <f>Bilans_E_AMS_Kyoto_run3_MTE!L515</f>
        <v>10.97014456744899</v>
      </c>
      <c r="I328" s="714">
        <f>Bilans_E_AMS_Kyoto_run3_MTE!M515</f>
        <v>-3.5472733725210412</v>
      </c>
      <c r="J328" s="714">
        <f>Bilans_E_AMS_Kyoto_run3_MTE!N515</f>
        <v>1021.1177956869142</v>
      </c>
      <c r="K328" s="714">
        <f>Bilans_E_AMS_Kyoto_run3_MTE!O515</f>
        <v>462.06687945929309</v>
      </c>
      <c r="L328" s="714">
        <f>Bilans_E_AMS_Kyoto_run3_MTE!P515</f>
        <v>293.41607278708199</v>
      </c>
      <c r="M328" s="714">
        <f>Bilans_E_AMS_Kyoto_run3_MTE!Q515</f>
        <v>37.444475279494604</v>
      </c>
      <c r="N328" s="714">
        <f>Bilans_E_AMS_Kyoto_run3_MTE!R515</f>
        <v>-54.838669650846725</v>
      </c>
      <c r="O328" s="714">
        <f>Bilans_E_AMS_Kyoto_run3_MTE!S515</f>
        <v>-72.287130434655069</v>
      </c>
      <c r="P328" s="714">
        <f>Bilans_E_AMS_Kyoto_run3_MTE!T515+Bilans_E_AMS_Kyoto_run3_MTE!U515</f>
        <v>19.703135322463453</v>
      </c>
      <c r="Q328" s="714">
        <f>Bilans_E_AMS_Kyoto_run3_MTE!V515</f>
        <v>18.698303851168006</v>
      </c>
      <c r="R328" s="714">
        <f>Bilans_E_AMS_Kyoto_run3_MTE!W515</f>
        <v>-625.73217962616854</v>
      </c>
      <c r="S328" s="714">
        <f>Bilans_E_AMS_Kyoto_run3_MTE!X515</f>
        <v>-79.672309838953737</v>
      </c>
      <c r="T328" s="714">
        <f>Bilans_E_AMS_Kyoto_run3_MTE!Y515</f>
        <v>-31.259944280501475</v>
      </c>
      <c r="U328" s="714">
        <f>Bilans_E_AMS_Kyoto_run3_MTE!Z515</f>
        <v>989.89658669565813</v>
      </c>
      <c r="V328" s="701"/>
      <c r="W328" s="701"/>
    </row>
    <row r="329" spans="1:23" x14ac:dyDescent="0.25">
      <c r="A329" s="701"/>
      <c r="B329" s="701"/>
      <c r="C329" s="715"/>
      <c r="D329" s="716"/>
      <c r="E329" s="716"/>
      <c r="F329" s="716"/>
      <c r="G329" s="716"/>
      <c r="H329" s="716"/>
      <c r="I329" s="716"/>
      <c r="J329" s="716"/>
      <c r="K329" s="716"/>
      <c r="L329" s="716"/>
      <c r="M329" s="716"/>
      <c r="N329" s="716"/>
      <c r="O329" s="716"/>
      <c r="P329" s="716">
        <f>Bilans_E_AMS_Kyoto_run3_MTE!T516+Bilans_E_AMS_Kyoto_run3_MTE!U516</f>
        <v>0</v>
      </c>
      <c r="Q329" s="716"/>
      <c r="R329" s="716"/>
      <c r="S329" s="716"/>
      <c r="T329" s="716"/>
      <c r="U329" s="716"/>
      <c r="V329" s="701"/>
      <c r="W329" s="701"/>
    </row>
    <row r="330" spans="1:23" x14ac:dyDescent="0.25">
      <c r="A330" s="701" t="s">
        <v>507</v>
      </c>
      <c r="B330" s="701"/>
      <c r="C330" s="717" t="s">
        <v>78</v>
      </c>
      <c r="D330" s="711">
        <f>Bilans_E_AMS_Kyoto_run3_MTE!H517</f>
        <v>7.2040588378906256E-2</v>
      </c>
      <c r="E330" s="711">
        <f>Bilans_E_AMS_Kyoto_run3_MTE!I517</f>
        <v>0</v>
      </c>
      <c r="F330" s="711">
        <f>Bilans_E_AMS_Kyoto_run3_MTE!J517</f>
        <v>0.19057103431692568</v>
      </c>
      <c r="G330" s="711">
        <f>Bilans_E_AMS_Kyoto_run3_MTE!K517</f>
        <v>0</v>
      </c>
      <c r="H330" s="711">
        <f>Bilans_E_AMS_Kyoto_run3_MTE!L517</f>
        <v>28.795611186743677</v>
      </c>
      <c r="I330" s="711">
        <f>Bilans_E_AMS_Kyoto_run3_MTE!M517</f>
        <v>0.52355656703170317</v>
      </c>
      <c r="J330" s="711">
        <f>Bilans_E_AMS_Kyoto_run3_MTE!N517</f>
        <v>0</v>
      </c>
      <c r="K330" s="711">
        <f>Bilans_E_AMS_Kyoto_run3_MTE!O517</f>
        <v>0</v>
      </c>
      <c r="L330" s="711">
        <f>Bilans_E_AMS_Kyoto_run3_MTE!P517</f>
        <v>34.871553027324289</v>
      </c>
      <c r="M330" s="711">
        <f>Bilans_E_AMS_Kyoto_run3_MTE!Q517</f>
        <v>8.043964025546213</v>
      </c>
      <c r="N330" s="711">
        <f>Bilans_E_AMS_Kyoto_run3_MTE!R517</f>
        <v>0</v>
      </c>
      <c r="O330" s="711">
        <f>Bilans_E_AMS_Kyoto_run3_MTE!S517</f>
        <v>23.077839156426684</v>
      </c>
      <c r="P330" s="711">
        <f>Bilans_E_AMS_Kyoto_run3_MTE!T517+Bilans_E_AMS_Kyoto_run3_MTE!U517</f>
        <v>13.633620117187499</v>
      </c>
      <c r="Q330" s="711">
        <f>Bilans_E_AMS_Kyoto_run3_MTE!V517</f>
        <v>8.4299170840015686E-4</v>
      </c>
      <c r="R330" s="711">
        <f>Bilans_E_AMS_Kyoto_run3_MTE!W517</f>
        <v>158.64644753930071</v>
      </c>
      <c r="S330" s="711">
        <f>Bilans_E_AMS_Kyoto_run3_MTE!X517</f>
        <v>19.544256457993722</v>
      </c>
      <c r="T330" s="711">
        <f>Bilans_E_AMS_Kyoto_run3_MTE!Y517</f>
        <v>13.641840820312501</v>
      </c>
      <c r="U330" s="711">
        <f>Bilans_E_AMS_Kyoto_run3_MTE!Z517</f>
        <v>301.0421435122712</v>
      </c>
      <c r="V330" s="701"/>
      <c r="W330" s="701"/>
    </row>
    <row r="331" spans="1:23" x14ac:dyDescent="0.25">
      <c r="A331" s="701" t="s">
        <v>508</v>
      </c>
      <c r="B331" s="701"/>
      <c r="C331" s="717" t="s">
        <v>79</v>
      </c>
      <c r="D331" s="711">
        <f>Bilans_E_AMS_Kyoto_run3_MTE!H518</f>
        <v>0</v>
      </c>
      <c r="E331" s="711">
        <f>Bilans_E_AMS_Kyoto_run3_MTE!I518</f>
        <v>0</v>
      </c>
      <c r="F331" s="711">
        <f>Bilans_E_AMS_Kyoto_run3_MTE!J518</f>
        <v>27.842691184610331</v>
      </c>
      <c r="G331" s="711">
        <f>Bilans_E_AMS_Kyoto_run3_MTE!K518</f>
        <v>2</v>
      </c>
      <c r="H331" s="711">
        <f>Bilans_E_AMS_Kyoto_run3_MTE!L518</f>
        <v>4.1475118700352498</v>
      </c>
      <c r="I331" s="711">
        <f>Bilans_E_AMS_Kyoto_run3_MTE!M518</f>
        <v>7.5409306727913641E-2</v>
      </c>
      <c r="J331" s="711">
        <f>Bilans_E_AMS_Kyoto_run3_MTE!N518</f>
        <v>0</v>
      </c>
      <c r="K331" s="711">
        <f>Bilans_E_AMS_Kyoto_run3_MTE!O518</f>
        <v>0</v>
      </c>
      <c r="L331" s="711">
        <f>Bilans_E_AMS_Kyoto_run3_MTE!P518</f>
        <v>0</v>
      </c>
      <c r="M331" s="711">
        <f>Bilans_E_AMS_Kyoto_run3_MTE!Q518</f>
        <v>0</v>
      </c>
      <c r="N331" s="711">
        <f>Bilans_E_AMS_Kyoto_run3_MTE!R518</f>
        <v>29.027871012193479</v>
      </c>
      <c r="O331" s="711">
        <f>Bilans_E_AMS_Kyoto_run3_MTE!S518</f>
        <v>3.3180094960281998</v>
      </c>
      <c r="P331" s="711">
        <f>Bilans_E_AMS_Kyoto_run3_MTE!T518+Bilans_E_AMS_Kyoto_run3_MTE!U518</f>
        <v>0</v>
      </c>
      <c r="Q331" s="711">
        <f>Bilans_E_AMS_Kyoto_run3_MTE!V518</f>
        <v>0</v>
      </c>
      <c r="R331" s="711">
        <f>Bilans_E_AMS_Kyoto_run3_MTE!W518</f>
        <v>121.41640074189371</v>
      </c>
      <c r="S331" s="711">
        <f>Bilans_E_AMS_Kyoto_run3_MTE!X518</f>
        <v>0</v>
      </c>
      <c r="T331" s="711">
        <f>Bilans_E_AMS_Kyoto_run3_MTE!Y518</f>
        <v>6.7088833627788453</v>
      </c>
      <c r="U331" s="711">
        <f>Bilans_E_AMS_Kyoto_run3_MTE!Z518</f>
        <v>194.53677697426772</v>
      </c>
      <c r="V331" s="701"/>
      <c r="W331" s="701"/>
    </row>
    <row r="332" spans="1:23" x14ac:dyDescent="0.25">
      <c r="A332" s="701" t="s">
        <v>509</v>
      </c>
      <c r="B332" s="701"/>
      <c r="C332" s="717" t="s">
        <v>80</v>
      </c>
      <c r="D332" s="711">
        <f>Bilans_E_AMS_Kyoto_run3_MTE!H519</f>
        <v>0</v>
      </c>
      <c r="E332" s="711">
        <f>Bilans_E_AMS_Kyoto_run3_MTE!I519</f>
        <v>0</v>
      </c>
      <c r="F332" s="711">
        <f>Bilans_E_AMS_Kyoto_run3_MTE!J519</f>
        <v>0.1823284194363245</v>
      </c>
      <c r="G332" s="711">
        <f>Bilans_E_AMS_Kyoto_run3_MTE!K519</f>
        <v>0</v>
      </c>
      <c r="H332" s="711">
        <f>Bilans_E_AMS_Kyoto_run3_MTE!L519</f>
        <v>19.208488158214077</v>
      </c>
      <c r="I332" s="711">
        <f>Bilans_E_AMS_Kyoto_run3_MTE!M519</f>
        <v>0.34924523924025591</v>
      </c>
      <c r="J332" s="711">
        <f>Bilans_E_AMS_Kyoto_run3_MTE!N519</f>
        <v>0</v>
      </c>
      <c r="K332" s="711">
        <f>Bilans_E_AMS_Kyoto_run3_MTE!O519</f>
        <v>0</v>
      </c>
      <c r="L332" s="711">
        <f>Bilans_E_AMS_Kyoto_run3_MTE!P519</f>
        <v>41.860643688874312</v>
      </c>
      <c r="M332" s="711">
        <f>Bilans_E_AMS_Kyoto_run3_MTE!Q519</f>
        <v>0</v>
      </c>
      <c r="N332" s="711">
        <f>Bilans_E_AMS_Kyoto_run3_MTE!R519</f>
        <v>0</v>
      </c>
      <c r="O332" s="711">
        <f>Bilans_E_AMS_Kyoto_run3_MTE!S519</f>
        <v>15.366790526571261</v>
      </c>
      <c r="P332" s="711">
        <f>Bilans_E_AMS_Kyoto_run3_MTE!T519+Bilans_E_AMS_Kyoto_run3_MTE!U519</f>
        <v>148.3231165331799</v>
      </c>
      <c r="Q332" s="711">
        <f>Bilans_E_AMS_Kyoto_run3_MTE!V519</f>
        <v>12.136362038143677</v>
      </c>
      <c r="R332" s="711">
        <f>Bilans_E_AMS_Kyoto_run3_MTE!W519</f>
        <v>138.96099758278416</v>
      </c>
      <c r="S332" s="711">
        <f>Bilans_E_AMS_Kyoto_run3_MTE!X519</f>
        <v>37.481794053722915</v>
      </c>
      <c r="T332" s="711">
        <f>Bilans_E_AMS_Kyoto_run3_MTE!Y519</f>
        <v>0</v>
      </c>
      <c r="U332" s="711">
        <f>Bilans_E_AMS_Kyoto_run3_MTE!Z519</f>
        <v>413.86976624016694</v>
      </c>
      <c r="V332" s="701"/>
      <c r="W332" s="701"/>
    </row>
    <row r="333" spans="1:23" x14ac:dyDescent="0.25">
      <c r="A333" s="701" t="s">
        <v>510</v>
      </c>
      <c r="B333" s="701"/>
      <c r="C333" s="717" t="s">
        <v>81</v>
      </c>
      <c r="D333" s="711">
        <f>Bilans_E_AMS_Kyoto_run3_MTE!H520</f>
        <v>0</v>
      </c>
      <c r="E333" s="711">
        <f>Bilans_E_AMS_Kyoto_run3_MTE!I520</f>
        <v>0</v>
      </c>
      <c r="F333" s="711">
        <f>Bilans_E_AMS_Kyoto_run3_MTE!J520</f>
        <v>0.39199311709923457</v>
      </c>
      <c r="G333" s="711">
        <f>Bilans_E_AMS_Kyoto_run3_MTE!K520</f>
        <v>0</v>
      </c>
      <c r="H333" s="711">
        <f>Bilans_E_AMS_Kyoto_run3_MTE!L520</f>
        <v>9.9162417754913825</v>
      </c>
      <c r="I333" s="711">
        <f>Bilans_E_AMS_Kyoto_run3_MTE!M520</f>
        <v>0.18029530500893423</v>
      </c>
      <c r="J333" s="711">
        <f>Bilans_E_AMS_Kyoto_run3_MTE!N520</f>
        <v>0</v>
      </c>
      <c r="K333" s="711">
        <f>Bilans_E_AMS_Kyoto_run3_MTE!O520</f>
        <v>0</v>
      </c>
      <c r="L333" s="711">
        <f>Bilans_E_AMS_Kyoto_run3_MTE!P520</f>
        <v>0.48410239694179807</v>
      </c>
      <c r="M333" s="711">
        <f>Bilans_E_AMS_Kyoto_run3_MTE!Q520</f>
        <v>0</v>
      </c>
      <c r="N333" s="711">
        <f>Bilans_E_AMS_Kyoto_run3_MTE!R520</f>
        <v>0</v>
      </c>
      <c r="O333" s="711">
        <f>Bilans_E_AMS_Kyoto_run3_MTE!S520</f>
        <v>7.9329934203931058</v>
      </c>
      <c r="P333" s="711">
        <f>Bilans_E_AMS_Kyoto_run3_MTE!T520+Bilans_E_AMS_Kyoto_run3_MTE!U520</f>
        <v>58.56878651815164</v>
      </c>
      <c r="Q333" s="711">
        <f>Bilans_E_AMS_Kyoto_run3_MTE!V520</f>
        <v>12.039845592065015</v>
      </c>
      <c r="R333" s="711">
        <f>Bilans_E_AMS_Kyoto_run3_MTE!W520</f>
        <v>122.64919061404242</v>
      </c>
      <c r="S333" s="711">
        <f>Bilans_E_AMS_Kyoto_run3_MTE!X520</f>
        <v>22.646226401731536</v>
      </c>
      <c r="T333" s="711">
        <f>Bilans_E_AMS_Kyoto_run3_MTE!Y520</f>
        <v>0</v>
      </c>
      <c r="U333" s="711">
        <f>Bilans_E_AMS_Kyoto_run3_MTE!Z520</f>
        <v>234.80967514092507</v>
      </c>
      <c r="V333" s="701"/>
      <c r="W333" s="701"/>
    </row>
    <row r="334" spans="1:23" x14ac:dyDescent="0.25">
      <c r="A334" s="701" t="s">
        <v>511</v>
      </c>
      <c r="B334" s="701"/>
      <c r="C334" s="717" t="s">
        <v>82</v>
      </c>
      <c r="D334" s="711">
        <f>Bilans_E_AMS_Kyoto_run3_MTE!H521</f>
        <v>0</v>
      </c>
      <c r="E334" s="711">
        <f>Bilans_E_AMS_Kyoto_run3_MTE!I521</f>
        <v>0</v>
      </c>
      <c r="F334" s="711">
        <f>Bilans_E_AMS_Kyoto_run3_MTE!J521</f>
        <v>5.4571309143050808</v>
      </c>
      <c r="G334" s="711">
        <f>Bilans_E_AMS_Kyoto_run3_MTE!K521</f>
        <v>0</v>
      </c>
      <c r="H334" s="711">
        <f>Bilans_E_AMS_Kyoto_run3_MTE!L521</f>
        <v>0.56206289562711365</v>
      </c>
      <c r="I334" s="711">
        <f>Bilans_E_AMS_Kyoto_run3_MTE!M521</f>
        <v>1.0219325375038429E-2</v>
      </c>
      <c r="J334" s="711">
        <f>Bilans_E_AMS_Kyoto_run3_MTE!N521</f>
        <v>0</v>
      </c>
      <c r="K334" s="711">
        <f>Bilans_E_AMS_Kyoto_run3_MTE!O521</f>
        <v>0</v>
      </c>
      <c r="L334" s="711">
        <f>Bilans_E_AMS_Kyoto_run3_MTE!P521</f>
        <v>17.783972013033864</v>
      </c>
      <c r="M334" s="711">
        <f>Bilans_E_AMS_Kyoto_run3_MTE!Q521</f>
        <v>0</v>
      </c>
      <c r="N334" s="711">
        <f>Bilans_E_AMS_Kyoto_run3_MTE!R521</f>
        <v>8.2374051734864402</v>
      </c>
      <c r="O334" s="711">
        <f>Bilans_E_AMS_Kyoto_run3_MTE!S521</f>
        <v>0.44965031650169085</v>
      </c>
      <c r="P334" s="711">
        <f>Bilans_E_AMS_Kyoto_run3_MTE!T521+Bilans_E_AMS_Kyoto_run3_MTE!U521</f>
        <v>1.25</v>
      </c>
      <c r="Q334" s="711">
        <f>Bilans_E_AMS_Kyoto_run3_MTE!V521</f>
        <v>1.7440136932478227</v>
      </c>
      <c r="R334" s="711">
        <f>Bilans_E_AMS_Kyoto_run3_MTE!W521</f>
        <v>10.36655207833598</v>
      </c>
      <c r="S334" s="711">
        <f>Bilans_E_AMS_Kyoto_run3_MTE!X521</f>
        <v>0</v>
      </c>
      <c r="T334" s="711">
        <f>Bilans_E_AMS_Kyoto_run3_MTE!Y521</f>
        <v>0.55589052141355966</v>
      </c>
      <c r="U334" s="711">
        <f>Bilans_E_AMS_Kyoto_run3_MTE!Z521</f>
        <v>46.416896931326583</v>
      </c>
      <c r="V334" s="701"/>
      <c r="W334" s="701"/>
    </row>
    <row r="335" spans="1:23" x14ac:dyDescent="0.25">
      <c r="A335" s="701" t="s">
        <v>512</v>
      </c>
      <c r="B335" s="701"/>
      <c r="C335" s="717" t="s">
        <v>354</v>
      </c>
      <c r="D335" s="711">
        <f>Bilans_E_AMS_Kyoto_run3_MTE!H522</f>
        <v>0</v>
      </c>
      <c r="E335" s="711">
        <f>Bilans_E_AMS_Kyoto_run3_MTE!I522</f>
        <v>0</v>
      </c>
      <c r="F335" s="711">
        <f>Bilans_E_AMS_Kyoto_run3_MTE!J522</f>
        <v>0</v>
      </c>
      <c r="G335" s="711">
        <f>Bilans_E_AMS_Kyoto_run3_MTE!K522</f>
        <v>0</v>
      </c>
      <c r="H335" s="711">
        <f>Bilans_E_AMS_Kyoto_run3_MTE!L522</f>
        <v>0</v>
      </c>
      <c r="I335" s="711">
        <f>Bilans_E_AMS_Kyoto_run3_MTE!M522</f>
        <v>0</v>
      </c>
      <c r="J335" s="711">
        <f>Bilans_E_AMS_Kyoto_run3_MTE!N522</f>
        <v>0</v>
      </c>
      <c r="K335" s="711">
        <f>Bilans_E_AMS_Kyoto_run3_MTE!O522</f>
        <v>0</v>
      </c>
      <c r="L335" s="711">
        <f>Bilans_E_AMS_Kyoto_run3_MTE!P522</f>
        <v>0</v>
      </c>
      <c r="M335" s="711">
        <f>Bilans_E_AMS_Kyoto_run3_MTE!Q522</f>
        <v>0</v>
      </c>
      <c r="N335" s="711">
        <f>Bilans_E_AMS_Kyoto_run3_MTE!R522</f>
        <v>0</v>
      </c>
      <c r="O335" s="711">
        <f>Bilans_E_AMS_Kyoto_run3_MTE!S522</f>
        <v>0</v>
      </c>
      <c r="P335" s="711">
        <f>Bilans_E_AMS_Kyoto_run3_MTE!T522+Bilans_E_AMS_Kyoto_run3_MTE!U522</f>
        <v>0</v>
      </c>
      <c r="Q335" s="711">
        <f>Bilans_E_AMS_Kyoto_run3_MTE!V522</f>
        <v>0</v>
      </c>
      <c r="R335" s="711">
        <f>Bilans_E_AMS_Kyoto_run3_MTE!W522</f>
        <v>9.0399999999999991</v>
      </c>
      <c r="S335" s="711">
        <f>Bilans_E_AMS_Kyoto_run3_MTE!X522</f>
        <v>0</v>
      </c>
      <c r="T335" s="711">
        <f>Bilans_E_AMS_Kyoto_run3_MTE!Y522</f>
        <v>0</v>
      </c>
      <c r="U335" s="711">
        <f>Bilans_E_AMS_Kyoto_run3_MTE!Z522</f>
        <v>9.0399999999999991</v>
      </c>
      <c r="V335" s="701"/>
      <c r="W335" s="701"/>
    </row>
    <row r="336" spans="1:23" x14ac:dyDescent="0.25">
      <c r="A336" s="701" t="s">
        <v>513</v>
      </c>
      <c r="B336" s="701"/>
      <c r="C336" s="713" t="s">
        <v>83</v>
      </c>
      <c r="D336" s="714">
        <f>Bilans_E_AMS_Kyoto_run3_MTE!H523</f>
        <v>7.2040588378906256E-2</v>
      </c>
      <c r="E336" s="714">
        <f>Bilans_E_AMS_Kyoto_run3_MTE!I523</f>
        <v>0</v>
      </c>
      <c r="F336" s="714">
        <f>Bilans_E_AMS_Kyoto_run3_MTE!J523</f>
        <v>34.064714669767895</v>
      </c>
      <c r="G336" s="714">
        <f>Bilans_E_AMS_Kyoto_run3_MTE!K523</f>
        <v>2</v>
      </c>
      <c r="H336" s="714">
        <f>Bilans_E_AMS_Kyoto_run3_MTE!L523</f>
        <v>62.629915886111512</v>
      </c>
      <c r="I336" s="714">
        <f>Bilans_E_AMS_Kyoto_run3_MTE!M523</f>
        <v>1.1387257433838454</v>
      </c>
      <c r="J336" s="714">
        <f>Bilans_E_AMS_Kyoto_run3_MTE!N523</f>
        <v>0</v>
      </c>
      <c r="K336" s="714">
        <f>Bilans_E_AMS_Kyoto_run3_MTE!O523</f>
        <v>0</v>
      </c>
      <c r="L336" s="714">
        <f>Bilans_E_AMS_Kyoto_run3_MTE!P523</f>
        <v>95.000271126174255</v>
      </c>
      <c r="M336" s="714">
        <f>Bilans_E_AMS_Kyoto_run3_MTE!Q523</f>
        <v>8.043964025546213</v>
      </c>
      <c r="N336" s="714">
        <f>Bilans_E_AMS_Kyoto_run3_MTE!R523</f>
        <v>37.265276185679923</v>
      </c>
      <c r="O336" s="714">
        <f>Bilans_E_AMS_Kyoto_run3_MTE!S523</f>
        <v>50.145282915920937</v>
      </c>
      <c r="P336" s="714">
        <f>Bilans_E_AMS_Kyoto_run3_MTE!T523+Bilans_E_AMS_Kyoto_run3_MTE!U523</f>
        <v>221.77552316851904</v>
      </c>
      <c r="Q336" s="714">
        <f>Bilans_E_AMS_Kyoto_run3_MTE!V523</f>
        <v>25.921064315164912</v>
      </c>
      <c r="R336" s="714">
        <f>Bilans_E_AMS_Kyoto_run3_MTE!W523</f>
        <v>561.07958855635695</v>
      </c>
      <c r="S336" s="714">
        <f>Bilans_E_AMS_Kyoto_run3_MTE!X523</f>
        <v>79.672276913448172</v>
      </c>
      <c r="T336" s="714">
        <f>Bilans_E_AMS_Kyoto_run3_MTE!Y523</f>
        <v>20.906614704504904</v>
      </c>
      <c r="U336" s="714">
        <f>Bilans_E_AMS_Kyoto_run3_MTE!Z523</f>
        <v>1199.7152587989574</v>
      </c>
      <c r="V336" s="701"/>
      <c r="W336" s="701"/>
    </row>
    <row r="337" spans="1:23" x14ac:dyDescent="0.25">
      <c r="A337" s="701" t="s">
        <v>514</v>
      </c>
      <c r="B337" s="701"/>
      <c r="C337" s="710" t="s">
        <v>84</v>
      </c>
      <c r="D337" s="711">
        <f>Bilans_E_AMS_Kyoto_run3_MTE!H524</f>
        <v>0</v>
      </c>
      <c r="E337" s="711">
        <f>Bilans_E_AMS_Kyoto_run3_MTE!I524</f>
        <v>0</v>
      </c>
      <c r="F337" s="711">
        <f>Bilans_E_AMS_Kyoto_run3_MTE!J524</f>
        <v>96.394045128661887</v>
      </c>
      <c r="G337" s="711">
        <f>Bilans_E_AMS_Kyoto_run3_MTE!K524</f>
        <v>3.4901848637372384</v>
      </c>
      <c r="H337" s="711">
        <f>Bilans_E_AMS_Kyoto_run3_MTE!L524</f>
        <v>9.7025025927356783</v>
      </c>
      <c r="I337" s="711">
        <f>Bilans_E_AMS_Kyoto_run3_MTE!M524</f>
        <v>0</v>
      </c>
      <c r="J337" s="711">
        <f>Bilans_E_AMS_Kyoto_run3_MTE!N524</f>
        <v>0</v>
      </c>
      <c r="K337" s="711">
        <f>Bilans_E_AMS_Kyoto_run3_MTE!O524</f>
        <v>0</v>
      </c>
      <c r="L337" s="711">
        <f>Bilans_E_AMS_Kyoto_run3_MTE!P524</f>
        <v>0.55051822222324442</v>
      </c>
      <c r="M337" s="711">
        <f>Bilans_E_AMS_Kyoto_run3_MTE!Q524</f>
        <v>0</v>
      </c>
      <c r="N337" s="711">
        <f>Bilans_E_AMS_Kyoto_run3_MTE!R524</f>
        <v>5.2633850918308207</v>
      </c>
      <c r="O337" s="711">
        <f>Bilans_E_AMS_Kyoto_run3_MTE!S524</f>
        <v>0</v>
      </c>
      <c r="P337" s="711">
        <f>Bilans_E_AMS_Kyoto_run3_MTE!T524+Bilans_E_AMS_Kyoto_run3_MTE!U524</f>
        <v>0</v>
      </c>
      <c r="Q337" s="711">
        <f>Bilans_E_AMS_Kyoto_run3_MTE!V524</f>
        <v>0</v>
      </c>
      <c r="R337" s="711">
        <f>Bilans_E_AMS_Kyoto_run3_MTE!W524</f>
        <v>0</v>
      </c>
      <c r="S337" s="711">
        <f>Bilans_E_AMS_Kyoto_run3_MTE!X524</f>
        <v>0</v>
      </c>
      <c r="T337" s="711">
        <f>Bilans_E_AMS_Kyoto_run3_MTE!Y524</f>
        <v>4.3572670917440366</v>
      </c>
      <c r="U337" s="711">
        <f>Bilans_E_AMS_Kyoto_run3_MTE!Z524</f>
        <v>119.75790299093292</v>
      </c>
      <c r="V337" s="701"/>
      <c r="W337" s="701"/>
    </row>
    <row r="338" spans="1:23" x14ac:dyDescent="0.25">
      <c r="A338" s="701" t="s">
        <v>515</v>
      </c>
      <c r="B338" s="701"/>
      <c r="C338" s="713" t="s">
        <v>85</v>
      </c>
      <c r="D338" s="714">
        <f>Bilans_E_AMS_Kyoto_run3_MTE!H525</f>
        <v>7.2040588378906256E-2</v>
      </c>
      <c r="E338" s="714">
        <f>Bilans_E_AMS_Kyoto_run3_MTE!I525</f>
        <v>0</v>
      </c>
      <c r="F338" s="714">
        <f>Bilans_E_AMS_Kyoto_run3_MTE!J525</f>
        <v>130.45875979842978</v>
      </c>
      <c r="G338" s="714">
        <f>Bilans_E_AMS_Kyoto_run3_MTE!K525</f>
        <v>5.4901848637372384</v>
      </c>
      <c r="H338" s="714">
        <f>Bilans_E_AMS_Kyoto_run3_MTE!L525</f>
        <v>72.332418478847188</v>
      </c>
      <c r="I338" s="714">
        <f>Bilans_E_AMS_Kyoto_run3_MTE!M525</f>
        <v>1.1387257433838454</v>
      </c>
      <c r="J338" s="714">
        <f>Bilans_E_AMS_Kyoto_run3_MTE!N525</f>
        <v>0</v>
      </c>
      <c r="K338" s="714">
        <f>Bilans_E_AMS_Kyoto_run3_MTE!O525</f>
        <v>0</v>
      </c>
      <c r="L338" s="714">
        <f>Bilans_E_AMS_Kyoto_run3_MTE!P525</f>
        <v>95.550789348397501</v>
      </c>
      <c r="M338" s="714">
        <f>Bilans_E_AMS_Kyoto_run3_MTE!Q525</f>
        <v>8.043964025546213</v>
      </c>
      <c r="N338" s="714">
        <f>Bilans_E_AMS_Kyoto_run3_MTE!R525</f>
        <v>42.528661277510743</v>
      </c>
      <c r="O338" s="714">
        <f>Bilans_E_AMS_Kyoto_run3_MTE!S525</f>
        <v>50.145282915920937</v>
      </c>
      <c r="P338" s="714">
        <f>Bilans_E_AMS_Kyoto_run3_MTE!T525+Bilans_E_AMS_Kyoto_run3_MTE!U525</f>
        <v>221.77552316851904</v>
      </c>
      <c r="Q338" s="714">
        <f>Bilans_E_AMS_Kyoto_run3_MTE!V525</f>
        <v>25.921064315164912</v>
      </c>
      <c r="R338" s="714">
        <f>Bilans_E_AMS_Kyoto_run3_MTE!W525</f>
        <v>561.07958855635695</v>
      </c>
      <c r="S338" s="714">
        <f>Bilans_E_AMS_Kyoto_run3_MTE!X525</f>
        <v>79.672276913448172</v>
      </c>
      <c r="T338" s="714">
        <f>Bilans_E_AMS_Kyoto_run3_MTE!Y525</f>
        <v>25.263881796248938</v>
      </c>
      <c r="U338" s="714">
        <f>Bilans_E_AMS_Kyoto_run3_MTE!Z525</f>
        <v>1319.4731617898904</v>
      </c>
      <c r="V338" s="701"/>
      <c r="W338" s="701"/>
    </row>
    <row r="339" spans="1:23" x14ac:dyDescent="0.25">
      <c r="A339" s="701"/>
      <c r="B339" s="701"/>
      <c r="C339" s="701"/>
      <c r="D339" s="701">
        <f>Bilans_E_AMS_Kyoto_run3_MTE!H526</f>
        <v>0</v>
      </c>
      <c r="E339" s="701">
        <f>Bilans_E_AMS_Kyoto_run3_MTE!I526</f>
        <v>0</v>
      </c>
      <c r="F339" s="701">
        <f>Bilans_E_AMS_Kyoto_run3_MTE!J526</f>
        <v>-7.1054273576010019E-15</v>
      </c>
      <c r="G339" s="701">
        <f>Bilans_E_AMS_Kyoto_run3_MTE!K526</f>
        <v>0</v>
      </c>
      <c r="H339" s="701">
        <f>Bilans_E_AMS_Kyoto_run3_MTE!L526</f>
        <v>4.0563540423477207E-5</v>
      </c>
      <c r="I339" s="701">
        <f>Bilans_E_AMS_Kyoto_run3_MTE!M526</f>
        <v>-4.0563540425697653E-5</v>
      </c>
      <c r="J339" s="701">
        <f>Bilans_E_AMS_Kyoto_run3_MTE!N526</f>
        <v>0</v>
      </c>
      <c r="K339" s="701">
        <f>Bilans_E_AMS_Kyoto_run3_MTE!O526</f>
        <v>0</v>
      </c>
      <c r="L339" s="701">
        <f>Bilans_E_AMS_Kyoto_run3_MTE!P526</f>
        <v>0</v>
      </c>
      <c r="M339" s="701">
        <f>Bilans_E_AMS_Kyoto_run3_MTE!Q526</f>
        <v>0</v>
      </c>
      <c r="N339" s="701">
        <f>Bilans_E_AMS_Kyoto_run3_MTE!R526</f>
        <v>0</v>
      </c>
      <c r="O339" s="701">
        <f>Bilans_E_AMS_Kyoto_run3_MTE!S526</f>
        <v>0</v>
      </c>
      <c r="P339" s="701">
        <f>Bilans_E_AMS_Kyoto_run3_MTE!T526+Bilans_E_AMS_Kyoto_run3_MTE!U526</f>
        <v>0</v>
      </c>
      <c r="Q339" s="701">
        <f>Bilans_E_AMS_Kyoto_run3_MTE!V526</f>
        <v>0</v>
      </c>
      <c r="R339" s="701">
        <f>Bilans_E_AMS_Kyoto_run3_MTE!W526</f>
        <v>0</v>
      </c>
      <c r="S339" s="701">
        <f>Bilans_E_AMS_Kyoto_run3_MTE!X526</f>
        <v>-3.2925505564662672E-5</v>
      </c>
      <c r="T339" s="701">
        <f>Bilans_E_AMS_Kyoto_run3_MTE!Y526</f>
        <v>0</v>
      </c>
      <c r="U339" s="701">
        <f>Bilans_E_AMS_Kyoto_run3_MTE!Z526</f>
        <v>-3.2925505365710706E-5</v>
      </c>
      <c r="V339" s="701"/>
      <c r="W339" s="701"/>
    </row>
    <row r="340" spans="1:23" x14ac:dyDescent="0.25">
      <c r="A340" s="701"/>
      <c r="B340" s="701"/>
      <c r="C340" s="701"/>
      <c r="D340" s="701"/>
      <c r="E340" s="701"/>
      <c r="F340" s="701"/>
      <c r="G340" s="701"/>
      <c r="H340" s="701"/>
      <c r="I340" s="701"/>
      <c r="J340" s="701"/>
      <c r="K340" s="701"/>
      <c r="L340" s="701"/>
      <c r="M340" s="701"/>
      <c r="N340" s="701"/>
      <c r="O340" s="701"/>
      <c r="P340" s="701"/>
      <c r="Q340" s="701"/>
      <c r="R340" s="701"/>
      <c r="S340" s="701"/>
      <c r="T340" s="701"/>
      <c r="U340" s="701"/>
      <c r="V340" s="701"/>
      <c r="W340" s="701"/>
    </row>
    <row r="341" spans="1:23" x14ac:dyDescent="0.25">
      <c r="A341" s="707"/>
      <c r="B341" s="707"/>
      <c r="C341" s="708" t="s">
        <v>89</v>
      </c>
      <c r="D341" s="707"/>
      <c r="E341" s="707"/>
      <c r="F341" s="707"/>
      <c r="G341" s="707"/>
      <c r="H341" s="707"/>
      <c r="I341" s="707"/>
      <c r="J341" s="707"/>
      <c r="K341" s="707"/>
      <c r="L341" s="707"/>
      <c r="M341" s="707"/>
      <c r="N341" s="707"/>
      <c r="O341" s="707"/>
      <c r="P341" s="707"/>
      <c r="Q341" s="707"/>
      <c r="R341" s="707"/>
      <c r="S341" s="707"/>
      <c r="T341" s="707"/>
      <c r="U341" s="707"/>
      <c r="V341" s="707"/>
      <c r="W341" s="707"/>
    </row>
    <row r="342" spans="1:23" x14ac:dyDescent="0.25">
      <c r="A342" s="701"/>
      <c r="B342" s="701"/>
      <c r="C342" s="701"/>
      <c r="D342" s="701"/>
      <c r="E342" s="701"/>
      <c r="F342" s="701"/>
      <c r="G342" s="701"/>
      <c r="H342" s="701"/>
      <c r="I342" s="701"/>
      <c r="J342" s="701"/>
      <c r="K342" s="701"/>
      <c r="L342" s="701"/>
      <c r="M342" s="701"/>
      <c r="N342" s="701"/>
      <c r="O342" s="701"/>
      <c r="P342" s="701"/>
      <c r="Q342" s="701"/>
      <c r="R342" s="701"/>
      <c r="S342" s="701"/>
      <c r="T342" s="701"/>
      <c r="U342" s="701"/>
      <c r="V342" s="701"/>
      <c r="W342" s="701"/>
    </row>
    <row r="343" spans="1:23" x14ac:dyDescent="0.25">
      <c r="A343" s="701"/>
      <c r="B343" s="701"/>
      <c r="C343" s="780" t="s">
        <v>128</v>
      </c>
      <c r="D343" s="775" t="s">
        <v>42</v>
      </c>
      <c r="E343" s="775" t="s">
        <v>52</v>
      </c>
      <c r="F343" s="775" t="s">
        <v>53</v>
      </c>
      <c r="G343" s="775" t="s">
        <v>482</v>
      </c>
      <c r="H343" s="775" t="s">
        <v>32</v>
      </c>
      <c r="I343" s="775" t="s">
        <v>483</v>
      </c>
      <c r="J343" s="775" t="s">
        <v>20</v>
      </c>
      <c r="K343" s="775" t="s">
        <v>55</v>
      </c>
      <c r="L343" s="777" t="s">
        <v>56</v>
      </c>
      <c r="M343" s="778"/>
      <c r="N343" s="778"/>
      <c r="O343" s="778"/>
      <c r="P343" s="778"/>
      <c r="Q343" s="779"/>
      <c r="R343" s="775" t="s">
        <v>57</v>
      </c>
      <c r="S343" s="775" t="s">
        <v>58</v>
      </c>
      <c r="T343" s="775" t="s">
        <v>31</v>
      </c>
      <c r="U343" s="775" t="s">
        <v>10</v>
      </c>
      <c r="V343" s="701"/>
      <c r="W343" s="701"/>
    </row>
    <row r="344" spans="1:23" ht="67.5" x14ac:dyDescent="0.25">
      <c r="A344" s="701" t="s">
        <v>486</v>
      </c>
      <c r="B344" s="701"/>
      <c r="C344" s="781"/>
      <c r="D344" s="776"/>
      <c r="E344" s="776"/>
      <c r="F344" s="776"/>
      <c r="G344" s="776"/>
      <c r="H344" s="776"/>
      <c r="I344" s="776"/>
      <c r="J344" s="776"/>
      <c r="K344" s="776"/>
      <c r="L344" s="709" t="s">
        <v>335</v>
      </c>
      <c r="M344" s="709" t="s">
        <v>40</v>
      </c>
      <c r="N344" s="709" t="s">
        <v>343</v>
      </c>
      <c r="O344" s="709" t="s">
        <v>344</v>
      </c>
      <c r="P344" s="719" t="s">
        <v>610</v>
      </c>
      <c r="Q344" s="709" t="s">
        <v>346</v>
      </c>
      <c r="R344" s="776"/>
      <c r="S344" s="776"/>
      <c r="T344" s="776"/>
      <c r="U344" s="776"/>
      <c r="V344" s="701"/>
      <c r="W344" s="701"/>
    </row>
    <row r="345" spans="1:23" x14ac:dyDescent="0.25">
      <c r="A345" s="701" t="s">
        <v>487</v>
      </c>
      <c r="B345" s="701"/>
      <c r="C345" s="710" t="s">
        <v>59</v>
      </c>
      <c r="D345" s="711">
        <f>Bilans_E_AMS_Kyoto_run3_MTE!H532</f>
        <v>0</v>
      </c>
      <c r="E345" s="711">
        <f>Bilans_E_AMS_Kyoto_run3_MTE!I532</f>
        <v>0</v>
      </c>
      <c r="F345" s="711">
        <f>Bilans_E_AMS_Kyoto_run3_MTE!J532</f>
        <v>0</v>
      </c>
      <c r="G345" s="711">
        <f>Bilans_E_AMS_Kyoto_run3_MTE!K532</f>
        <v>0</v>
      </c>
      <c r="H345" s="711">
        <f>Bilans_E_AMS_Kyoto_run3_MTE!L532</f>
        <v>0</v>
      </c>
      <c r="I345" s="711">
        <f>Bilans_E_AMS_Kyoto_run3_MTE!M532</f>
        <v>0</v>
      </c>
      <c r="J345" s="711">
        <f>Bilans_E_AMS_Kyoto_run3_MTE!N532</f>
        <v>807.37795933495636</v>
      </c>
      <c r="K345" s="711">
        <f>Bilans_E_AMS_Kyoto_run3_MTE!O532</f>
        <v>553.99388589395949</v>
      </c>
      <c r="L345" s="711">
        <f>Bilans_E_AMS_Kyoto_run3_MTE!P532</f>
        <v>401.60616442653316</v>
      </c>
      <c r="M345" s="711">
        <f>Bilans_E_AMS_Kyoto_run3_MTE!Q532</f>
        <v>43.888349788112322</v>
      </c>
      <c r="N345" s="711">
        <f>Bilans_E_AMS_Kyoto_run3_MTE!R532</f>
        <v>0</v>
      </c>
      <c r="O345" s="711">
        <f>Bilans_E_AMS_Kyoto_run3_MTE!S532</f>
        <v>0</v>
      </c>
      <c r="P345" s="711">
        <f>Bilans_E_AMS_Kyoto_run3_MTE!T532+Bilans_E_AMS_Kyoto_run3_MTE!U532</f>
        <v>274.41854375041947</v>
      </c>
      <c r="Q345" s="711">
        <f>Bilans_E_AMS_Kyoto_run3_MTE!V532</f>
        <v>50.723080686002739</v>
      </c>
      <c r="R345" s="711">
        <f>Bilans_E_AMS_Kyoto_run3_MTE!W532</f>
        <v>0</v>
      </c>
      <c r="S345" s="711">
        <f>Bilans_E_AMS_Kyoto_run3_MTE!X532</f>
        <v>0</v>
      </c>
      <c r="T345" s="711">
        <f>Bilans_E_AMS_Kyoto_run3_MTE!Y532</f>
        <v>0</v>
      </c>
      <c r="U345" s="711">
        <f>Bilans_E_AMS_Kyoto_run3_MTE!Z532</f>
        <v>2132.0079838799838</v>
      </c>
      <c r="V345" s="701"/>
      <c r="W345" s="701"/>
    </row>
    <row r="346" spans="1:23" x14ac:dyDescent="0.25">
      <c r="A346" s="701" t="s">
        <v>488</v>
      </c>
      <c r="B346" s="701"/>
      <c r="C346" s="710" t="s">
        <v>60</v>
      </c>
      <c r="D346" s="712">
        <f>Bilans_E_AMS_Kyoto_run3_MTE!H533</f>
        <v>0</v>
      </c>
      <c r="E346" s="712">
        <f>Bilans_E_AMS_Kyoto_run3_MTE!I533</f>
        <v>58.863651738299311</v>
      </c>
      <c r="F346" s="712">
        <f>Bilans_E_AMS_Kyoto_run3_MTE!J533</f>
        <v>45.756672067678878</v>
      </c>
      <c r="G346" s="712">
        <f>Bilans_E_AMS_Kyoto_run3_MTE!K533</f>
        <v>12.032159045744653</v>
      </c>
      <c r="H346" s="712">
        <f>Bilans_E_AMS_Kyoto_run3_MTE!L533</f>
        <v>7.019987079045241</v>
      </c>
      <c r="I346" s="712">
        <f>Bilans_E_AMS_Kyoto_run3_MTE!M533</f>
        <v>0</v>
      </c>
      <c r="J346" s="712">
        <f>Bilans_E_AMS_Kyoto_run3_MTE!N533</f>
        <v>0</v>
      </c>
      <c r="K346" s="712">
        <f>Bilans_E_AMS_Kyoto_run3_MTE!O533</f>
        <v>0</v>
      </c>
      <c r="L346" s="712">
        <f>Bilans_E_AMS_Kyoto_run3_MTE!P533</f>
        <v>22.470468893714155</v>
      </c>
      <c r="M346" s="712">
        <f>Bilans_E_AMS_Kyoto_run3_MTE!Q533</f>
        <v>0</v>
      </c>
      <c r="N346" s="712">
        <f>Bilans_E_AMS_Kyoto_run3_MTE!R533</f>
        <v>0</v>
      </c>
      <c r="O346" s="712">
        <f>Bilans_E_AMS_Kyoto_run3_MTE!S533</f>
        <v>0</v>
      </c>
      <c r="P346" s="712">
        <f>Bilans_E_AMS_Kyoto_run3_MTE!T533+Bilans_E_AMS_Kyoto_run3_MTE!U533</f>
        <v>0</v>
      </c>
      <c r="Q346" s="712">
        <f>Bilans_E_AMS_Kyoto_run3_MTE!V533</f>
        <v>0</v>
      </c>
      <c r="R346" s="712">
        <f>Bilans_E_AMS_Kyoto_run3_MTE!W533</f>
        <v>0</v>
      </c>
      <c r="S346" s="712">
        <f>Bilans_E_AMS_Kyoto_run3_MTE!X533</f>
        <v>0</v>
      </c>
      <c r="T346" s="712">
        <f>Bilans_E_AMS_Kyoto_run3_MTE!Y533</f>
        <v>0</v>
      </c>
      <c r="U346" s="712">
        <f>Bilans_E_AMS_Kyoto_run3_MTE!Z533</f>
        <v>146.14293882448223</v>
      </c>
      <c r="V346" s="701"/>
      <c r="W346" s="701"/>
    </row>
    <row r="347" spans="1:23" x14ac:dyDescent="0.25">
      <c r="A347" s="701" t="s">
        <v>489</v>
      </c>
      <c r="B347" s="701"/>
      <c r="C347" s="710" t="s">
        <v>61</v>
      </c>
      <c r="D347" s="712">
        <f>Bilans_E_AMS_Kyoto_run3_MTE!H534</f>
        <v>0</v>
      </c>
      <c r="E347" s="712">
        <f>Bilans_E_AMS_Kyoto_run3_MTE!I534</f>
        <v>0</v>
      </c>
      <c r="F347" s="712">
        <f>Bilans_E_AMS_Kyoto_run3_MTE!J534</f>
        <v>0</v>
      </c>
      <c r="G347" s="712">
        <f>Bilans_E_AMS_Kyoto_run3_MTE!K534</f>
        <v>0</v>
      </c>
      <c r="H347" s="712">
        <f>Bilans_E_AMS_Kyoto_run3_MTE!L534</f>
        <v>0</v>
      </c>
      <c r="I347" s="712">
        <f>Bilans_E_AMS_Kyoto_run3_MTE!M534</f>
        <v>0</v>
      </c>
      <c r="J347" s="712">
        <f>Bilans_E_AMS_Kyoto_run3_MTE!N534</f>
        <v>0</v>
      </c>
      <c r="K347" s="712">
        <f>Bilans_E_AMS_Kyoto_run3_MTE!O534</f>
        <v>0</v>
      </c>
      <c r="L347" s="712">
        <f>Bilans_E_AMS_Kyoto_run3_MTE!P534</f>
        <v>0</v>
      </c>
      <c r="M347" s="712">
        <f>Bilans_E_AMS_Kyoto_run3_MTE!Q534</f>
        <v>0</v>
      </c>
      <c r="N347" s="712">
        <f>Bilans_E_AMS_Kyoto_run3_MTE!R534</f>
        <v>-12.102055378039722</v>
      </c>
      <c r="O347" s="712">
        <f>Bilans_E_AMS_Kyoto_run3_MTE!S534</f>
        <v>-3.7955214595352373</v>
      </c>
      <c r="P347" s="712">
        <f>Bilans_E_AMS_Kyoto_run3_MTE!T534+Bilans_E_AMS_Kyoto_run3_MTE!U534</f>
        <v>0</v>
      </c>
      <c r="Q347" s="712">
        <f>Bilans_E_AMS_Kyoto_run3_MTE!V534</f>
        <v>0</v>
      </c>
      <c r="R347" s="712">
        <f>Bilans_E_AMS_Kyoto_run3_MTE!W534</f>
        <v>-28.679288227585289</v>
      </c>
      <c r="S347" s="712">
        <f>Bilans_E_AMS_Kyoto_run3_MTE!X534</f>
        <v>0</v>
      </c>
      <c r="T347" s="712">
        <f>Bilans_E_AMS_Kyoto_run3_MTE!Y534</f>
        <v>0</v>
      </c>
      <c r="U347" s="712">
        <f>Bilans_E_AMS_Kyoto_run3_MTE!Z534</f>
        <v>-44.576865065160248</v>
      </c>
      <c r="V347" s="701"/>
      <c r="W347" s="701"/>
    </row>
    <row r="348" spans="1:23" x14ac:dyDescent="0.25">
      <c r="A348" s="701" t="s">
        <v>490</v>
      </c>
      <c r="B348" s="701"/>
      <c r="C348" s="710" t="s">
        <v>62</v>
      </c>
      <c r="D348" s="711">
        <f>Bilans_E_AMS_Kyoto_run3_MTE!H535</f>
        <v>0</v>
      </c>
      <c r="E348" s="711">
        <f>Bilans_E_AMS_Kyoto_run3_MTE!I535</f>
        <v>0</v>
      </c>
      <c r="F348" s="711">
        <f>Bilans_E_AMS_Kyoto_run3_MTE!J535</f>
        <v>-1.2057976620084264E-3</v>
      </c>
      <c r="G348" s="711">
        <f>Bilans_E_AMS_Kyoto_run3_MTE!K535</f>
        <v>-2.8026264036035151</v>
      </c>
      <c r="H348" s="711">
        <f>Bilans_E_AMS_Kyoto_run3_MTE!L535</f>
        <v>0</v>
      </c>
      <c r="I348" s="711">
        <f>Bilans_E_AMS_Kyoto_run3_MTE!M535</f>
        <v>-2.8026264036035156</v>
      </c>
      <c r="J348" s="711">
        <f>Bilans_E_AMS_Kyoto_run3_MTE!N535</f>
        <v>0</v>
      </c>
      <c r="K348" s="711">
        <f>Bilans_E_AMS_Kyoto_run3_MTE!O535</f>
        <v>0</v>
      </c>
      <c r="L348" s="711">
        <f>Bilans_E_AMS_Kyoto_run3_MTE!P535</f>
        <v>0</v>
      </c>
      <c r="M348" s="711">
        <f>Bilans_E_AMS_Kyoto_run3_MTE!Q535</f>
        <v>0</v>
      </c>
      <c r="N348" s="711">
        <f>Bilans_E_AMS_Kyoto_run3_MTE!R535</f>
        <v>0</v>
      </c>
      <c r="O348" s="711">
        <f>Bilans_E_AMS_Kyoto_run3_MTE!S535</f>
        <v>-2.4289428831230464</v>
      </c>
      <c r="P348" s="711">
        <f>Bilans_E_AMS_Kyoto_run3_MTE!T535+Bilans_E_AMS_Kyoto_run3_MTE!U535</f>
        <v>0</v>
      </c>
      <c r="Q348" s="711">
        <f>Bilans_E_AMS_Kyoto_run3_MTE!V535</f>
        <v>0</v>
      </c>
      <c r="R348" s="711">
        <f>Bilans_E_AMS_Kyoto_run3_MTE!W535</f>
        <v>0</v>
      </c>
      <c r="S348" s="711">
        <f>Bilans_E_AMS_Kyoto_run3_MTE!X535</f>
        <v>0</v>
      </c>
      <c r="T348" s="711">
        <f>Bilans_E_AMS_Kyoto_run3_MTE!Y535</f>
        <v>-1.3066910843207444</v>
      </c>
      <c r="U348" s="711">
        <f>Bilans_E_AMS_Kyoto_run3_MTE!Z535</f>
        <v>-9.342092572312831</v>
      </c>
      <c r="V348" s="701"/>
      <c r="W348" s="701"/>
    </row>
    <row r="349" spans="1:23" x14ac:dyDescent="0.25">
      <c r="A349" s="701" t="s">
        <v>491</v>
      </c>
      <c r="B349" s="701"/>
      <c r="C349" s="710" t="s">
        <v>63</v>
      </c>
      <c r="D349" s="711">
        <f>Bilans_E_AMS_Kyoto_run3_MTE!H536</f>
        <v>0</v>
      </c>
      <c r="E349" s="711">
        <f>Bilans_E_AMS_Kyoto_run3_MTE!I536</f>
        <v>0</v>
      </c>
      <c r="F349" s="711">
        <f>Bilans_E_AMS_Kyoto_run3_MTE!J536</f>
        <v>-7</v>
      </c>
      <c r="G349" s="711">
        <f>Bilans_E_AMS_Kyoto_run3_MTE!K536</f>
        <v>-25</v>
      </c>
      <c r="H349" s="711">
        <f>Bilans_E_AMS_Kyoto_run3_MTE!L536</f>
        <v>0</v>
      </c>
      <c r="I349" s="711">
        <f>Bilans_E_AMS_Kyoto_run3_MTE!M536</f>
        <v>0</v>
      </c>
      <c r="J349" s="711">
        <f>Bilans_E_AMS_Kyoto_run3_MTE!N536</f>
        <v>0</v>
      </c>
      <c r="K349" s="711">
        <f>Bilans_E_AMS_Kyoto_run3_MTE!O536</f>
        <v>0</v>
      </c>
      <c r="L349" s="711">
        <f>Bilans_E_AMS_Kyoto_run3_MTE!P536</f>
        <v>0</v>
      </c>
      <c r="M349" s="711">
        <f>Bilans_E_AMS_Kyoto_run3_MTE!Q536</f>
        <v>0</v>
      </c>
      <c r="N349" s="711">
        <f>Bilans_E_AMS_Kyoto_run3_MTE!R536</f>
        <v>-17</v>
      </c>
      <c r="O349" s="711">
        <f>Bilans_E_AMS_Kyoto_run3_MTE!S536</f>
        <v>0</v>
      </c>
      <c r="P349" s="711">
        <f>Bilans_E_AMS_Kyoto_run3_MTE!T536+Bilans_E_AMS_Kyoto_run3_MTE!U536</f>
        <v>0</v>
      </c>
      <c r="Q349" s="711">
        <f>Bilans_E_AMS_Kyoto_run3_MTE!V536</f>
        <v>0</v>
      </c>
      <c r="R349" s="711">
        <f>Bilans_E_AMS_Kyoto_run3_MTE!W536</f>
        <v>0</v>
      </c>
      <c r="S349" s="711">
        <f>Bilans_E_AMS_Kyoto_run3_MTE!X536</f>
        <v>0</v>
      </c>
      <c r="T349" s="711">
        <f>Bilans_E_AMS_Kyoto_run3_MTE!Y536</f>
        <v>-8</v>
      </c>
      <c r="U349" s="711">
        <f>Bilans_E_AMS_Kyoto_run3_MTE!Z536</f>
        <v>-57</v>
      </c>
      <c r="V349" s="701"/>
      <c r="W349" s="701"/>
    </row>
    <row r="350" spans="1:23" x14ac:dyDescent="0.25">
      <c r="A350" s="701" t="s">
        <v>492</v>
      </c>
      <c r="B350" s="701"/>
      <c r="C350" s="710" t="s">
        <v>64</v>
      </c>
      <c r="D350" s="712">
        <f>Bilans_E_AMS_Kyoto_run3_MTE!H537</f>
        <v>0</v>
      </c>
      <c r="E350" s="712">
        <f>Bilans_E_AMS_Kyoto_run3_MTE!I537</f>
        <v>0</v>
      </c>
      <c r="F350" s="712">
        <f>Bilans_E_AMS_Kyoto_run3_MTE!J537</f>
        <v>0</v>
      </c>
      <c r="G350" s="712">
        <f>Bilans_E_AMS_Kyoto_run3_MTE!K537</f>
        <v>0</v>
      </c>
      <c r="H350" s="712">
        <f>Bilans_E_AMS_Kyoto_run3_MTE!L537</f>
        <v>0</v>
      </c>
      <c r="I350" s="712">
        <f>Bilans_E_AMS_Kyoto_run3_MTE!M537</f>
        <v>0</v>
      </c>
      <c r="J350" s="712">
        <f>Bilans_E_AMS_Kyoto_run3_MTE!N537</f>
        <v>0</v>
      </c>
      <c r="K350" s="712">
        <f>Bilans_E_AMS_Kyoto_run3_MTE!O537</f>
        <v>0</v>
      </c>
      <c r="L350" s="712">
        <f>Bilans_E_AMS_Kyoto_run3_MTE!P537</f>
        <v>0</v>
      </c>
      <c r="M350" s="712">
        <f>Bilans_E_AMS_Kyoto_run3_MTE!Q537</f>
        <v>0</v>
      </c>
      <c r="N350" s="712">
        <f>Bilans_E_AMS_Kyoto_run3_MTE!R537</f>
        <v>0</v>
      </c>
      <c r="O350" s="712">
        <f>Bilans_E_AMS_Kyoto_run3_MTE!S537</f>
        <v>0</v>
      </c>
      <c r="P350" s="712">
        <f>Bilans_E_AMS_Kyoto_run3_MTE!T537+Bilans_E_AMS_Kyoto_run3_MTE!U537</f>
        <v>0</v>
      </c>
      <c r="Q350" s="712">
        <f>Bilans_E_AMS_Kyoto_run3_MTE!V537</f>
        <v>0</v>
      </c>
      <c r="R350" s="712">
        <f>Bilans_E_AMS_Kyoto_run3_MTE!W537</f>
        <v>0</v>
      </c>
      <c r="S350" s="712">
        <f>Bilans_E_AMS_Kyoto_run3_MTE!X537</f>
        <v>0</v>
      </c>
      <c r="T350" s="712">
        <f>Bilans_E_AMS_Kyoto_run3_MTE!Y537</f>
        <v>0</v>
      </c>
      <c r="U350" s="712">
        <f>Bilans_E_AMS_Kyoto_run3_MTE!Z537</f>
        <v>0</v>
      </c>
      <c r="V350" s="701"/>
      <c r="W350" s="701"/>
    </row>
    <row r="351" spans="1:23" x14ac:dyDescent="0.25">
      <c r="A351" s="701" t="s">
        <v>493</v>
      </c>
      <c r="B351" s="701"/>
      <c r="C351" s="713" t="s">
        <v>65</v>
      </c>
      <c r="D351" s="714">
        <f>Bilans_E_AMS_Kyoto_run3_MTE!H538</f>
        <v>0</v>
      </c>
      <c r="E351" s="714">
        <f>Bilans_E_AMS_Kyoto_run3_MTE!I538</f>
        <v>58.863651738299311</v>
      </c>
      <c r="F351" s="714">
        <f>Bilans_E_AMS_Kyoto_run3_MTE!J538</f>
        <v>38.755466270016868</v>
      </c>
      <c r="G351" s="714">
        <f>Bilans_E_AMS_Kyoto_run3_MTE!K538</f>
        <v>-15.770467357858863</v>
      </c>
      <c r="H351" s="714">
        <f>Bilans_E_AMS_Kyoto_run3_MTE!L538</f>
        <v>7.019987079045241</v>
      </c>
      <c r="I351" s="714">
        <f>Bilans_E_AMS_Kyoto_run3_MTE!M538</f>
        <v>-2.8026264036035156</v>
      </c>
      <c r="J351" s="714">
        <f>Bilans_E_AMS_Kyoto_run3_MTE!N538</f>
        <v>807.37795933495636</v>
      </c>
      <c r="K351" s="714">
        <f>Bilans_E_AMS_Kyoto_run3_MTE!O538</f>
        <v>553.99388589395949</v>
      </c>
      <c r="L351" s="714">
        <f>Bilans_E_AMS_Kyoto_run3_MTE!P538</f>
        <v>424.07663332024731</v>
      </c>
      <c r="M351" s="714">
        <f>Bilans_E_AMS_Kyoto_run3_MTE!Q538</f>
        <v>43.888349788112322</v>
      </c>
      <c r="N351" s="714">
        <f>Bilans_E_AMS_Kyoto_run3_MTE!R538</f>
        <v>-29.102055378039722</v>
      </c>
      <c r="O351" s="714">
        <f>Bilans_E_AMS_Kyoto_run3_MTE!S538</f>
        <v>-6.2244643426582833</v>
      </c>
      <c r="P351" s="714">
        <f>Bilans_E_AMS_Kyoto_run3_MTE!T538+Bilans_E_AMS_Kyoto_run3_MTE!U538</f>
        <v>274.41854375041947</v>
      </c>
      <c r="Q351" s="714">
        <f>Bilans_E_AMS_Kyoto_run3_MTE!V538</f>
        <v>50.723080686002739</v>
      </c>
      <c r="R351" s="714">
        <f>Bilans_E_AMS_Kyoto_run3_MTE!W538</f>
        <v>-28.679288227585289</v>
      </c>
      <c r="S351" s="714">
        <f>Bilans_E_AMS_Kyoto_run3_MTE!X538</f>
        <v>0</v>
      </c>
      <c r="T351" s="714">
        <f>Bilans_E_AMS_Kyoto_run3_MTE!Y538</f>
        <v>-9.3066910843207449</v>
      </c>
      <c r="U351" s="714">
        <f>Bilans_E_AMS_Kyoto_run3_MTE!Z538</f>
        <v>2167.2319650669929</v>
      </c>
      <c r="V351" s="701"/>
      <c r="W351" s="701"/>
    </row>
    <row r="352" spans="1:23" x14ac:dyDescent="0.25">
      <c r="A352" s="701"/>
      <c r="B352" s="701"/>
      <c r="C352" s="715"/>
      <c r="D352" s="716"/>
      <c r="E352" s="716"/>
      <c r="F352" s="716"/>
      <c r="G352" s="716"/>
      <c r="H352" s="716"/>
      <c r="I352" s="716"/>
      <c r="J352" s="716"/>
      <c r="K352" s="716"/>
      <c r="L352" s="716"/>
      <c r="M352" s="716"/>
      <c r="N352" s="716"/>
      <c r="O352" s="716"/>
      <c r="P352" s="716">
        <f>Bilans_E_AMS_Kyoto_run3_MTE!T539+Bilans_E_AMS_Kyoto_run3_MTE!U539</f>
        <v>0</v>
      </c>
      <c r="Q352" s="716"/>
      <c r="R352" s="716"/>
      <c r="S352" s="716"/>
      <c r="T352" s="716"/>
      <c r="U352" s="716"/>
      <c r="V352" s="701"/>
      <c r="W352" s="701"/>
    </row>
    <row r="353" spans="1:23" x14ac:dyDescent="0.25">
      <c r="A353" s="701" t="s">
        <v>494</v>
      </c>
      <c r="B353" s="701"/>
      <c r="C353" s="717" t="s">
        <v>67</v>
      </c>
      <c r="D353" s="711">
        <f>Bilans_E_AMS_Kyoto_run3_MTE!H540</f>
        <v>0</v>
      </c>
      <c r="E353" s="711">
        <f>Bilans_E_AMS_Kyoto_run3_MTE!I540</f>
        <v>0</v>
      </c>
      <c r="F353" s="711">
        <f>Bilans_E_AMS_Kyoto_run3_MTE!J540</f>
        <v>0</v>
      </c>
      <c r="G353" s="711">
        <f>Bilans_E_AMS_Kyoto_run3_MTE!K540</f>
        <v>0</v>
      </c>
      <c r="H353" s="711">
        <f>Bilans_E_AMS_Kyoto_run3_MTE!L540</f>
        <v>0</v>
      </c>
      <c r="I353" s="711">
        <f>Bilans_E_AMS_Kyoto_run3_MTE!M540</f>
        <v>0</v>
      </c>
      <c r="J353" s="711">
        <f>Bilans_E_AMS_Kyoto_run3_MTE!N540</f>
        <v>0</v>
      </c>
      <c r="K353" s="711">
        <f>Bilans_E_AMS_Kyoto_run3_MTE!O540</f>
        <v>0</v>
      </c>
      <c r="L353" s="711">
        <f>Bilans_E_AMS_Kyoto_run3_MTE!P540</f>
        <v>0</v>
      </c>
      <c r="M353" s="711">
        <f>Bilans_E_AMS_Kyoto_run3_MTE!Q540</f>
        <v>0</v>
      </c>
      <c r="N353" s="711">
        <f>Bilans_E_AMS_Kyoto_run3_MTE!R540</f>
        <v>0</v>
      </c>
      <c r="O353" s="711">
        <f>Bilans_E_AMS_Kyoto_run3_MTE!S540</f>
        <v>0</v>
      </c>
      <c r="P353" s="711">
        <f>Bilans_E_AMS_Kyoto_run3_MTE!T540+Bilans_E_AMS_Kyoto_run3_MTE!U540</f>
        <v>0</v>
      </c>
      <c r="Q353" s="711">
        <f>Bilans_E_AMS_Kyoto_run3_MTE!V540</f>
        <v>0</v>
      </c>
      <c r="R353" s="711">
        <f>Bilans_E_AMS_Kyoto_run3_MTE!W540</f>
        <v>0</v>
      </c>
      <c r="S353" s="711">
        <f>Bilans_E_AMS_Kyoto_run3_MTE!X540</f>
        <v>0</v>
      </c>
      <c r="T353" s="711">
        <f>Bilans_E_AMS_Kyoto_run3_MTE!Y540</f>
        <v>0</v>
      </c>
      <c r="U353" s="711">
        <f>Bilans_E_AMS_Kyoto_run3_MTE!Z540</f>
        <v>0</v>
      </c>
      <c r="V353" s="701"/>
      <c r="W353" s="701"/>
    </row>
    <row r="354" spans="1:23" x14ac:dyDescent="0.25">
      <c r="A354" s="701" t="s">
        <v>495</v>
      </c>
      <c r="B354" s="701"/>
      <c r="C354" s="717" t="s">
        <v>347</v>
      </c>
      <c r="D354" s="711">
        <f>Bilans_E_AMS_Kyoto_run3_MTE!H541</f>
        <v>0</v>
      </c>
      <c r="E354" s="711">
        <f>Bilans_E_AMS_Kyoto_run3_MTE!I541</f>
        <v>0</v>
      </c>
      <c r="F354" s="711">
        <f>Bilans_E_AMS_Kyoto_run3_MTE!J541</f>
        <v>0</v>
      </c>
      <c r="G354" s="711">
        <f>Bilans_E_AMS_Kyoto_run3_MTE!K541</f>
        <v>0</v>
      </c>
      <c r="H354" s="711">
        <f>Bilans_E_AMS_Kyoto_run3_MTE!L541</f>
        <v>0</v>
      </c>
      <c r="I354" s="711">
        <f>Bilans_E_AMS_Kyoto_run3_MTE!M541</f>
        <v>0</v>
      </c>
      <c r="J354" s="711">
        <f>Bilans_E_AMS_Kyoto_run3_MTE!N541</f>
        <v>797.92981818181818</v>
      </c>
      <c r="K354" s="711">
        <f>Bilans_E_AMS_Kyoto_run3_MTE!O541</f>
        <v>553.99388589395949</v>
      </c>
      <c r="L354" s="711">
        <f>Bilans_E_AMS_Kyoto_run3_MTE!P541</f>
        <v>18.017312138261726</v>
      </c>
      <c r="M354" s="711">
        <f>Bilans_E_AMS_Kyoto_run3_MTE!Q541</f>
        <v>5.0359913785352379</v>
      </c>
      <c r="N354" s="711">
        <f>Bilans_E_AMS_Kyoto_run3_MTE!R541</f>
        <v>6.5561937148871507</v>
      </c>
      <c r="O354" s="711">
        <f>Bilans_E_AMS_Kyoto_run3_MTE!S541</f>
        <v>0.11704136254218823</v>
      </c>
      <c r="P354" s="711">
        <f>Bilans_E_AMS_Kyoto_run3_MTE!T541+Bilans_E_AMS_Kyoto_run3_MTE!U541</f>
        <v>0</v>
      </c>
      <c r="Q354" s="711">
        <f>Bilans_E_AMS_Kyoto_run3_MTE!V541</f>
        <v>6.7631767445353068</v>
      </c>
      <c r="R354" s="711">
        <f>Bilans_E_AMS_Kyoto_run3_MTE!W541</f>
        <v>-834.6881786149205</v>
      </c>
      <c r="S354" s="711">
        <f>Bilans_E_AMS_Kyoto_run3_MTE!X541</f>
        <v>0</v>
      </c>
      <c r="T354" s="711">
        <f>Bilans_E_AMS_Kyoto_run3_MTE!Y541</f>
        <v>0</v>
      </c>
      <c r="U354" s="711">
        <f>Bilans_E_AMS_Kyoto_run3_MTE!Z541</f>
        <v>553.72524079961875</v>
      </c>
      <c r="V354" s="701"/>
      <c r="W354" s="701"/>
    </row>
    <row r="355" spans="1:23" x14ac:dyDescent="0.25">
      <c r="A355" s="701" t="s">
        <v>496</v>
      </c>
      <c r="B355" s="701"/>
      <c r="C355" s="717" t="s">
        <v>348</v>
      </c>
      <c r="D355" s="711">
        <f>Bilans_E_AMS_Kyoto_run3_MTE!H542</f>
        <v>0</v>
      </c>
      <c r="E355" s="711">
        <f>Bilans_E_AMS_Kyoto_run3_MTE!I542</f>
        <v>0</v>
      </c>
      <c r="F355" s="711">
        <f>Bilans_E_AMS_Kyoto_run3_MTE!J542</f>
        <v>0</v>
      </c>
      <c r="G355" s="711">
        <f>Bilans_E_AMS_Kyoto_run3_MTE!K542</f>
        <v>0</v>
      </c>
      <c r="H355" s="711">
        <f>Bilans_E_AMS_Kyoto_run3_MTE!L542</f>
        <v>0</v>
      </c>
      <c r="I355" s="711">
        <f>Bilans_E_AMS_Kyoto_run3_MTE!M542</f>
        <v>0.44183816383617902</v>
      </c>
      <c r="J355" s="711">
        <f>Bilans_E_AMS_Kyoto_run3_MTE!N542</f>
        <v>9.448141153138188</v>
      </c>
      <c r="K355" s="711">
        <f>Bilans_E_AMS_Kyoto_run3_MTE!O542</f>
        <v>0</v>
      </c>
      <c r="L355" s="711">
        <f>Bilans_E_AMS_Kyoto_run3_MTE!P542</f>
        <v>23.543561697387847</v>
      </c>
      <c r="M355" s="711">
        <f>Bilans_E_AMS_Kyoto_run3_MTE!Q542</f>
        <v>10.266401321700496</v>
      </c>
      <c r="N355" s="711">
        <f>Bilans_E_AMS_Kyoto_run3_MTE!R542</f>
        <v>0</v>
      </c>
      <c r="O355" s="711">
        <f>Bilans_E_AMS_Kyoto_run3_MTE!S542</f>
        <v>8.4106289047241454</v>
      </c>
      <c r="P355" s="711">
        <f>Bilans_E_AMS_Kyoto_run3_MTE!T542+Bilans_E_AMS_Kyoto_run3_MTE!U542</f>
        <v>22.572621073808037</v>
      </c>
      <c r="Q355" s="711">
        <f>Bilans_E_AMS_Kyoto_run3_MTE!V542</f>
        <v>12.943396433622139</v>
      </c>
      <c r="R355" s="711">
        <f>Bilans_E_AMS_Kyoto_run3_MTE!W542</f>
        <v>0</v>
      </c>
      <c r="S355" s="711">
        <f>Bilans_E_AMS_Kyoto_run3_MTE!X542</f>
        <v>-82.703064296862223</v>
      </c>
      <c r="T355" s="711">
        <f>Bilans_E_AMS_Kyoto_run3_MTE!Y542</f>
        <v>0</v>
      </c>
      <c r="U355" s="711">
        <f>Bilans_E_AMS_Kyoto_run3_MTE!Z542</f>
        <v>4.9235244513548082</v>
      </c>
      <c r="V355" s="701"/>
      <c r="W355" s="701"/>
    </row>
    <row r="356" spans="1:23" x14ac:dyDescent="0.25">
      <c r="A356" s="701" t="s">
        <v>497</v>
      </c>
      <c r="B356" s="701"/>
      <c r="C356" s="717" t="s">
        <v>349</v>
      </c>
      <c r="D356" s="711">
        <f>Bilans_E_AMS_Kyoto_run3_MTE!H543</f>
        <v>0</v>
      </c>
      <c r="E356" s="711">
        <f>Bilans_E_AMS_Kyoto_run3_MTE!I543</f>
        <v>0</v>
      </c>
      <c r="F356" s="711">
        <f>Bilans_E_AMS_Kyoto_run3_MTE!J543</f>
        <v>0</v>
      </c>
      <c r="G356" s="711">
        <f>Bilans_E_AMS_Kyoto_run3_MTE!K543</f>
        <v>0</v>
      </c>
      <c r="H356" s="711">
        <f>Bilans_E_AMS_Kyoto_run3_MTE!L543</f>
        <v>0</v>
      </c>
      <c r="I356" s="711">
        <f>Bilans_E_AMS_Kyoto_run3_MTE!M543</f>
        <v>0</v>
      </c>
      <c r="J356" s="711">
        <f>Bilans_E_AMS_Kyoto_run3_MTE!N543</f>
        <v>0</v>
      </c>
      <c r="K356" s="711">
        <f>Bilans_E_AMS_Kyoto_run3_MTE!O543</f>
        <v>0</v>
      </c>
      <c r="L356" s="711">
        <f>Bilans_E_AMS_Kyoto_run3_MTE!P543</f>
        <v>177.56965686689</v>
      </c>
      <c r="M356" s="711">
        <f>Bilans_E_AMS_Kyoto_run3_MTE!Q543</f>
        <v>14.007374273227594</v>
      </c>
      <c r="N356" s="711">
        <f>Bilans_E_AMS_Kyoto_run3_MTE!R543</f>
        <v>0</v>
      </c>
      <c r="O356" s="711">
        <f>Bilans_E_AMS_Kyoto_run3_MTE!S543</f>
        <v>-95.874066928158982</v>
      </c>
      <c r="P356" s="711">
        <f>Bilans_E_AMS_Kyoto_run3_MTE!T543+Bilans_E_AMS_Kyoto_run3_MTE!U543</f>
        <v>0</v>
      </c>
      <c r="Q356" s="711">
        <f>Bilans_E_AMS_Kyoto_run3_MTE!V543</f>
        <v>0</v>
      </c>
      <c r="R356" s="711">
        <f>Bilans_E_AMS_Kyoto_run3_MTE!W543</f>
        <v>0</v>
      </c>
      <c r="S356" s="711">
        <f>Bilans_E_AMS_Kyoto_run3_MTE!X543</f>
        <v>0</v>
      </c>
      <c r="T356" s="711">
        <f>Bilans_E_AMS_Kyoto_run3_MTE!Y543</f>
        <v>0</v>
      </c>
      <c r="U356" s="711">
        <f>Bilans_E_AMS_Kyoto_run3_MTE!Z543</f>
        <v>95.702964211958601</v>
      </c>
      <c r="V356" s="701"/>
      <c r="W356" s="701"/>
    </row>
    <row r="357" spans="1:23" x14ac:dyDescent="0.25">
      <c r="A357" s="701" t="s">
        <v>498</v>
      </c>
      <c r="B357" s="701"/>
      <c r="C357" s="717" t="s">
        <v>350</v>
      </c>
      <c r="D357" s="711">
        <f>Bilans_E_AMS_Kyoto_run3_MTE!H544</f>
        <v>0</v>
      </c>
      <c r="E357" s="711">
        <f>Bilans_E_AMS_Kyoto_run3_MTE!I544</f>
        <v>0</v>
      </c>
      <c r="F357" s="711">
        <f>Bilans_E_AMS_Kyoto_run3_MTE!J544</f>
        <v>0</v>
      </c>
      <c r="G357" s="711">
        <f>Bilans_E_AMS_Kyoto_run3_MTE!K544</f>
        <v>0</v>
      </c>
      <c r="H357" s="711">
        <f>Bilans_E_AMS_Kyoto_run3_MTE!L544</f>
        <v>0</v>
      </c>
      <c r="I357" s="711">
        <f>Bilans_E_AMS_Kyoto_run3_MTE!M544</f>
        <v>-7.5120211335666909</v>
      </c>
      <c r="J357" s="711">
        <f>Bilans_E_AMS_Kyoto_run3_MTE!N544</f>
        <v>0</v>
      </c>
      <c r="K357" s="711">
        <f>Bilans_E_AMS_Kyoto_run3_MTE!O544</f>
        <v>0</v>
      </c>
      <c r="L357" s="711">
        <f>Bilans_E_AMS_Kyoto_run3_MTE!P544</f>
        <v>0</v>
      </c>
      <c r="M357" s="711">
        <f>Bilans_E_AMS_Kyoto_run3_MTE!Q544</f>
        <v>0</v>
      </c>
      <c r="N357" s="711">
        <f>Bilans_E_AMS_Kyoto_run3_MTE!R544</f>
        <v>0</v>
      </c>
      <c r="O357" s="711">
        <f>Bilans_E_AMS_Kyoto_run3_MTE!S544</f>
        <v>0</v>
      </c>
      <c r="P357" s="711">
        <f>Bilans_E_AMS_Kyoto_run3_MTE!T544+Bilans_E_AMS_Kyoto_run3_MTE!U544</f>
        <v>0</v>
      </c>
      <c r="Q357" s="711">
        <f>Bilans_E_AMS_Kyoto_run3_MTE!V544</f>
        <v>0</v>
      </c>
      <c r="R357" s="711">
        <f>Bilans_E_AMS_Kyoto_run3_MTE!W544</f>
        <v>0</v>
      </c>
      <c r="S357" s="711">
        <f>Bilans_E_AMS_Kyoto_run3_MTE!X544</f>
        <v>0</v>
      </c>
      <c r="T357" s="711">
        <f>Bilans_E_AMS_Kyoto_run3_MTE!Y544</f>
        <v>10.395912432015363</v>
      </c>
      <c r="U357" s="711">
        <f>Bilans_E_AMS_Kyoto_run3_MTE!Z544</f>
        <v>2.8838912984486722</v>
      </c>
      <c r="V357" s="701"/>
      <c r="W357" s="701"/>
    </row>
    <row r="358" spans="1:23" x14ac:dyDescent="0.25">
      <c r="A358" s="701" t="s">
        <v>499</v>
      </c>
      <c r="B358" s="701"/>
      <c r="C358" s="717" t="s">
        <v>72</v>
      </c>
      <c r="D358" s="711">
        <f>Bilans_E_AMS_Kyoto_run3_MTE!H545</f>
        <v>0</v>
      </c>
      <c r="E358" s="711">
        <f>Bilans_E_AMS_Kyoto_run3_MTE!I545</f>
        <v>60.999648796706254</v>
      </c>
      <c r="F358" s="711">
        <f>Bilans_E_AMS_Kyoto_run3_MTE!J545</f>
        <v>-60.389652308739187</v>
      </c>
      <c r="G358" s="711">
        <f>Bilans_E_AMS_Kyoto_run3_MTE!K545</f>
        <v>0</v>
      </c>
      <c r="H358" s="711">
        <f>Bilans_E_AMS_Kyoto_run3_MTE!L545</f>
        <v>0</v>
      </c>
      <c r="I358" s="711">
        <f>Bilans_E_AMS_Kyoto_run3_MTE!M545</f>
        <v>0</v>
      </c>
      <c r="J358" s="711">
        <f>Bilans_E_AMS_Kyoto_run3_MTE!N545</f>
        <v>0</v>
      </c>
      <c r="K358" s="711">
        <f>Bilans_E_AMS_Kyoto_run3_MTE!O545</f>
        <v>0</v>
      </c>
      <c r="L358" s="711">
        <f>Bilans_E_AMS_Kyoto_run3_MTE!P545</f>
        <v>0</v>
      </c>
      <c r="M358" s="711">
        <f>Bilans_E_AMS_Kyoto_run3_MTE!Q545</f>
        <v>0</v>
      </c>
      <c r="N358" s="711">
        <f>Bilans_E_AMS_Kyoto_run3_MTE!R545</f>
        <v>0</v>
      </c>
      <c r="O358" s="711">
        <f>Bilans_E_AMS_Kyoto_run3_MTE!S545</f>
        <v>0</v>
      </c>
      <c r="P358" s="711">
        <f>Bilans_E_AMS_Kyoto_run3_MTE!T545+Bilans_E_AMS_Kyoto_run3_MTE!U545</f>
        <v>0</v>
      </c>
      <c r="Q358" s="711">
        <f>Bilans_E_AMS_Kyoto_run3_MTE!V545</f>
        <v>0</v>
      </c>
      <c r="R358" s="711">
        <f>Bilans_E_AMS_Kyoto_run3_MTE!W545</f>
        <v>0</v>
      </c>
      <c r="S358" s="711">
        <f>Bilans_E_AMS_Kyoto_run3_MTE!X545</f>
        <v>0</v>
      </c>
      <c r="T358" s="711">
        <f>Bilans_E_AMS_Kyoto_run3_MTE!Y545</f>
        <v>0</v>
      </c>
      <c r="U358" s="711">
        <f>Bilans_E_AMS_Kyoto_run3_MTE!Z545</f>
        <v>0.60999648796706651</v>
      </c>
      <c r="V358" s="701"/>
      <c r="W358" s="701"/>
    </row>
    <row r="359" spans="1:23" x14ac:dyDescent="0.25">
      <c r="A359" s="701" t="s">
        <v>500</v>
      </c>
      <c r="B359" s="701"/>
      <c r="C359" s="717" t="s">
        <v>351</v>
      </c>
      <c r="D359" s="711">
        <f>Bilans_E_AMS_Kyoto_run3_MTE!H546</f>
        <v>0</v>
      </c>
      <c r="E359" s="711">
        <f>Bilans_E_AMS_Kyoto_run3_MTE!I546</f>
        <v>0</v>
      </c>
      <c r="F359" s="711">
        <f>Bilans_E_AMS_Kyoto_run3_MTE!J546</f>
        <v>0</v>
      </c>
      <c r="G359" s="711">
        <f>Bilans_E_AMS_Kyoto_run3_MTE!K546</f>
        <v>0</v>
      </c>
      <c r="H359" s="711">
        <f>Bilans_E_AMS_Kyoto_run3_MTE!L546</f>
        <v>0</v>
      </c>
      <c r="I359" s="711">
        <f>Bilans_E_AMS_Kyoto_run3_MTE!M546</f>
        <v>0</v>
      </c>
      <c r="J359" s="711">
        <f>Bilans_E_AMS_Kyoto_run3_MTE!N546</f>
        <v>0</v>
      </c>
      <c r="K359" s="711">
        <f>Bilans_E_AMS_Kyoto_run3_MTE!O546</f>
        <v>0</v>
      </c>
      <c r="L359" s="711">
        <f>Bilans_E_AMS_Kyoto_run3_MTE!P546</f>
        <v>112.15319289997592</v>
      </c>
      <c r="M359" s="711">
        <f>Bilans_E_AMS_Kyoto_run3_MTE!Q546</f>
        <v>7.2727272727272725</v>
      </c>
      <c r="N359" s="711">
        <f>Bilans_E_AMS_Kyoto_run3_MTE!R546</f>
        <v>-66.38461722515251</v>
      </c>
      <c r="O359" s="711">
        <f>Bilans_E_AMS_Kyoto_run3_MTE!S546</f>
        <v>0</v>
      </c>
      <c r="P359" s="711">
        <f>Bilans_E_AMS_Kyoto_run3_MTE!T546+Bilans_E_AMS_Kyoto_run3_MTE!U546</f>
        <v>0</v>
      </c>
      <c r="Q359" s="711">
        <f>Bilans_E_AMS_Kyoto_run3_MTE!V546</f>
        <v>0</v>
      </c>
      <c r="R359" s="711">
        <f>Bilans_E_AMS_Kyoto_run3_MTE!W546</f>
        <v>0</v>
      </c>
      <c r="S359" s="711">
        <f>Bilans_E_AMS_Kyoto_run3_MTE!X546</f>
        <v>0</v>
      </c>
      <c r="T359" s="711">
        <f>Bilans_E_AMS_Kyoto_run3_MTE!Y546</f>
        <v>0</v>
      </c>
      <c r="U359" s="711">
        <f>Bilans_E_AMS_Kyoto_run3_MTE!Z546</f>
        <v>53.041302947550676</v>
      </c>
      <c r="V359" s="701"/>
      <c r="W359" s="701"/>
    </row>
    <row r="360" spans="1:23" x14ac:dyDescent="0.25">
      <c r="A360" s="701" t="s">
        <v>501</v>
      </c>
      <c r="B360" s="701"/>
      <c r="C360" s="717" t="s">
        <v>352</v>
      </c>
      <c r="D360" s="711">
        <f>Bilans_E_AMS_Kyoto_run3_MTE!H547</f>
        <v>0</v>
      </c>
      <c r="E360" s="711">
        <f>Bilans_E_AMS_Kyoto_run3_MTE!I547</f>
        <v>0</v>
      </c>
      <c r="F360" s="711">
        <f>Bilans_E_AMS_Kyoto_run3_MTE!J547</f>
        <v>0</v>
      </c>
      <c r="G360" s="711">
        <f>Bilans_E_AMS_Kyoto_run3_MTE!K547</f>
        <v>-24.740126403603515</v>
      </c>
      <c r="H360" s="711">
        <f>Bilans_E_AMS_Kyoto_run3_MTE!L547</f>
        <v>0</v>
      </c>
      <c r="I360" s="711">
        <f>Bilans_E_AMS_Kyoto_run3_MTE!M547</f>
        <v>0</v>
      </c>
      <c r="J360" s="711">
        <f>Bilans_E_AMS_Kyoto_run3_MTE!N547</f>
        <v>0</v>
      </c>
      <c r="K360" s="711">
        <f>Bilans_E_AMS_Kyoto_run3_MTE!O547</f>
        <v>0</v>
      </c>
      <c r="L360" s="711">
        <f>Bilans_E_AMS_Kyoto_run3_MTE!P547</f>
        <v>0</v>
      </c>
      <c r="M360" s="711">
        <f>Bilans_E_AMS_Kyoto_run3_MTE!Q547</f>
        <v>0</v>
      </c>
      <c r="N360" s="711">
        <f>Bilans_E_AMS_Kyoto_run3_MTE!R547</f>
        <v>0</v>
      </c>
      <c r="O360" s="711">
        <f>Bilans_E_AMS_Kyoto_run3_MTE!S547</f>
        <v>0</v>
      </c>
      <c r="P360" s="711">
        <f>Bilans_E_AMS_Kyoto_run3_MTE!T547+Bilans_E_AMS_Kyoto_run3_MTE!U547</f>
        <v>0</v>
      </c>
      <c r="Q360" s="711">
        <f>Bilans_E_AMS_Kyoto_run3_MTE!V547</f>
        <v>0</v>
      </c>
      <c r="R360" s="711">
        <f>Bilans_E_AMS_Kyoto_run3_MTE!W547</f>
        <v>0</v>
      </c>
      <c r="S360" s="711">
        <f>Bilans_E_AMS_Kyoto_run3_MTE!X547</f>
        <v>0</v>
      </c>
      <c r="T360" s="711">
        <f>Bilans_E_AMS_Kyoto_run3_MTE!Y547</f>
        <v>41.692889043963866</v>
      </c>
      <c r="U360" s="711">
        <f>Bilans_E_AMS_Kyoto_run3_MTE!Z547</f>
        <v>16.952762640360351</v>
      </c>
      <c r="V360" s="701"/>
      <c r="W360" s="701"/>
    </row>
    <row r="361" spans="1:23" x14ac:dyDescent="0.25">
      <c r="A361" s="701" t="s">
        <v>502</v>
      </c>
      <c r="B361" s="701"/>
      <c r="C361" s="717" t="s">
        <v>73</v>
      </c>
      <c r="D361" s="711">
        <f>Bilans_E_AMS_Kyoto_run3_MTE!H548</f>
        <v>0</v>
      </c>
      <c r="E361" s="711">
        <f>Bilans_E_AMS_Kyoto_run3_MTE!I548</f>
        <v>0</v>
      </c>
      <c r="F361" s="711">
        <f>Bilans_E_AMS_Kyoto_run3_MTE!J548</f>
        <v>0</v>
      </c>
      <c r="G361" s="711">
        <f>Bilans_E_AMS_Kyoto_run3_MTE!K548</f>
        <v>0</v>
      </c>
      <c r="H361" s="711">
        <f>Bilans_E_AMS_Kyoto_run3_MTE!L548</f>
        <v>0</v>
      </c>
      <c r="I361" s="711">
        <f>Bilans_E_AMS_Kyoto_run3_MTE!M548</f>
        <v>0</v>
      </c>
      <c r="J361" s="711">
        <f>Bilans_E_AMS_Kyoto_run3_MTE!N548</f>
        <v>0</v>
      </c>
      <c r="K361" s="711">
        <f>Bilans_E_AMS_Kyoto_run3_MTE!O548</f>
        <v>0</v>
      </c>
      <c r="L361" s="711">
        <f>Bilans_E_AMS_Kyoto_run3_MTE!P548</f>
        <v>0</v>
      </c>
      <c r="M361" s="711">
        <f>Bilans_E_AMS_Kyoto_run3_MTE!Q548</f>
        <v>0</v>
      </c>
      <c r="N361" s="711">
        <f>Bilans_E_AMS_Kyoto_run3_MTE!R548</f>
        <v>0</v>
      </c>
      <c r="O361" s="711">
        <f>Bilans_E_AMS_Kyoto_run3_MTE!S548</f>
        <v>0</v>
      </c>
      <c r="P361" s="711">
        <f>Bilans_E_AMS_Kyoto_run3_MTE!T548+Bilans_E_AMS_Kyoto_run3_MTE!U548</f>
        <v>0</v>
      </c>
      <c r="Q361" s="711">
        <f>Bilans_E_AMS_Kyoto_run3_MTE!V548</f>
        <v>0</v>
      </c>
      <c r="R361" s="711">
        <f>Bilans_E_AMS_Kyoto_run3_MTE!W548</f>
        <v>127.55076516290167</v>
      </c>
      <c r="S361" s="711">
        <f>Bilans_E_AMS_Kyoto_run3_MTE!X548</f>
        <v>0</v>
      </c>
      <c r="T361" s="711">
        <f>Bilans_E_AMS_Kyoto_run3_MTE!Y548</f>
        <v>-91.836550917289202</v>
      </c>
      <c r="U361" s="711">
        <f>Bilans_E_AMS_Kyoto_run3_MTE!Z548</f>
        <v>35.714214245612467</v>
      </c>
      <c r="V361" s="701"/>
      <c r="W361" s="701"/>
    </row>
    <row r="362" spans="1:23" x14ac:dyDescent="0.25">
      <c r="A362" s="701" t="s">
        <v>503</v>
      </c>
      <c r="B362" s="701"/>
      <c r="C362" s="717" t="s">
        <v>353</v>
      </c>
      <c r="D362" s="711">
        <f>Bilans_E_AMS_Kyoto_run3_MTE!H549</f>
        <v>0</v>
      </c>
      <c r="E362" s="711">
        <f>Bilans_E_AMS_Kyoto_run3_MTE!I549</f>
        <v>-2.1359970584069448</v>
      </c>
      <c r="F362" s="711">
        <f>Bilans_E_AMS_Kyoto_run3_MTE!J549</f>
        <v>2.9254988687511099</v>
      </c>
      <c r="G362" s="711">
        <f>Bilans_E_AMS_Kyoto_run3_MTE!K549</f>
        <v>0</v>
      </c>
      <c r="H362" s="711">
        <f>Bilans_E_AMS_Kyoto_run3_MTE!L549</f>
        <v>0</v>
      </c>
      <c r="I362" s="711">
        <f>Bilans_E_AMS_Kyoto_run3_MTE!M549</f>
        <v>0</v>
      </c>
      <c r="J362" s="711">
        <f>Bilans_E_AMS_Kyoto_run3_MTE!N549</f>
        <v>0</v>
      </c>
      <c r="K362" s="711">
        <f>Bilans_E_AMS_Kyoto_run3_MTE!O549</f>
        <v>0</v>
      </c>
      <c r="L362" s="711">
        <f>Bilans_E_AMS_Kyoto_run3_MTE!P549</f>
        <v>0</v>
      </c>
      <c r="M362" s="711">
        <f>Bilans_E_AMS_Kyoto_run3_MTE!Q549</f>
        <v>0</v>
      </c>
      <c r="N362" s="711">
        <f>Bilans_E_AMS_Kyoto_run3_MTE!R549</f>
        <v>0</v>
      </c>
      <c r="O362" s="711">
        <f>Bilans_E_AMS_Kyoto_run3_MTE!S549</f>
        <v>0</v>
      </c>
      <c r="P362" s="711">
        <f>Bilans_E_AMS_Kyoto_run3_MTE!T549+Bilans_E_AMS_Kyoto_run3_MTE!U549</f>
        <v>0</v>
      </c>
      <c r="Q362" s="711">
        <f>Bilans_E_AMS_Kyoto_run3_MTE!V549</f>
        <v>0</v>
      </c>
      <c r="R362" s="711">
        <f>Bilans_E_AMS_Kyoto_run3_MTE!W549</f>
        <v>0</v>
      </c>
      <c r="S362" s="711">
        <f>Bilans_E_AMS_Kyoto_run3_MTE!X549</f>
        <v>0</v>
      </c>
      <c r="T362" s="711">
        <f>Bilans_E_AMS_Kyoto_run3_MTE!Y549</f>
        <v>0</v>
      </c>
      <c r="U362" s="711">
        <f>Bilans_E_AMS_Kyoto_run3_MTE!Z549</f>
        <v>0.78950181034416511</v>
      </c>
      <c r="V362" s="701"/>
      <c r="W362" s="701"/>
    </row>
    <row r="363" spans="1:23" x14ac:dyDescent="0.25">
      <c r="A363" s="701" t="s">
        <v>504</v>
      </c>
      <c r="B363" s="701"/>
      <c r="C363" s="717" t="s">
        <v>75</v>
      </c>
      <c r="D363" s="711">
        <f>Bilans_E_AMS_Kyoto_run3_MTE!H550</f>
        <v>0</v>
      </c>
      <c r="E363" s="711">
        <f>Bilans_E_AMS_Kyoto_run3_MTE!I550</f>
        <v>0</v>
      </c>
      <c r="F363" s="711">
        <f>Bilans_E_AMS_Kyoto_run3_MTE!J550</f>
        <v>2.205240968493043</v>
      </c>
      <c r="G363" s="711">
        <f>Bilans_E_AMS_Kyoto_run3_MTE!K550</f>
        <v>0</v>
      </c>
      <c r="H363" s="711">
        <f>Bilans_E_AMS_Kyoto_run3_MTE!L550</f>
        <v>0</v>
      </c>
      <c r="I363" s="711">
        <f>Bilans_E_AMS_Kyoto_run3_MTE!M550</f>
        <v>0</v>
      </c>
      <c r="J363" s="711">
        <f>Bilans_E_AMS_Kyoto_run3_MTE!N550</f>
        <v>0</v>
      </c>
      <c r="K363" s="711">
        <f>Bilans_E_AMS_Kyoto_run3_MTE!O550</f>
        <v>0</v>
      </c>
      <c r="L363" s="711">
        <f>Bilans_E_AMS_Kyoto_run3_MTE!P550</f>
        <v>0</v>
      </c>
      <c r="M363" s="711">
        <f>Bilans_E_AMS_Kyoto_run3_MTE!Q550</f>
        <v>0</v>
      </c>
      <c r="N363" s="711">
        <f>Bilans_E_AMS_Kyoto_run3_MTE!R550</f>
        <v>0</v>
      </c>
      <c r="O363" s="711">
        <f>Bilans_E_AMS_Kyoto_run3_MTE!S550</f>
        <v>0</v>
      </c>
      <c r="P363" s="711">
        <f>Bilans_E_AMS_Kyoto_run3_MTE!T550+Bilans_E_AMS_Kyoto_run3_MTE!U550</f>
        <v>0</v>
      </c>
      <c r="Q363" s="711">
        <f>Bilans_E_AMS_Kyoto_run3_MTE!V550</f>
        <v>0</v>
      </c>
      <c r="R363" s="711">
        <f>Bilans_E_AMS_Kyoto_run3_MTE!W550</f>
        <v>37.68086569149628</v>
      </c>
      <c r="S363" s="711">
        <f>Bilans_E_AMS_Kyoto_run3_MTE!X550</f>
        <v>0</v>
      </c>
      <c r="T363" s="711">
        <f>Bilans_E_AMS_Kyoto_run3_MTE!Y550</f>
        <v>0.6</v>
      </c>
      <c r="U363" s="711">
        <f>Bilans_E_AMS_Kyoto_run3_MTE!Z550</f>
        <v>40.486106659989325</v>
      </c>
      <c r="V363" s="701"/>
      <c r="W363" s="701"/>
    </row>
    <row r="364" spans="1:23" x14ac:dyDescent="0.25">
      <c r="A364" s="701" t="s">
        <v>505</v>
      </c>
      <c r="B364" s="701"/>
      <c r="C364" s="717" t="s">
        <v>76</v>
      </c>
      <c r="D364" s="711">
        <f>Bilans_E_AMS_Kyoto_run3_MTE!H551</f>
        <v>0</v>
      </c>
      <c r="E364" s="711">
        <f>Bilans_E_AMS_Kyoto_run3_MTE!I551</f>
        <v>0</v>
      </c>
      <c r="F364" s="711">
        <f>Bilans_E_AMS_Kyoto_run3_MTE!J551</f>
        <v>0</v>
      </c>
      <c r="G364" s="711">
        <f>Bilans_E_AMS_Kyoto_run3_MTE!K551</f>
        <v>0</v>
      </c>
      <c r="H364" s="711">
        <f>Bilans_E_AMS_Kyoto_run3_MTE!L551</f>
        <v>0</v>
      </c>
      <c r="I364" s="711">
        <f>Bilans_E_AMS_Kyoto_run3_MTE!M551</f>
        <v>5.5842625256480344E-2</v>
      </c>
      <c r="J364" s="711">
        <f>Bilans_E_AMS_Kyoto_run3_MTE!N551</f>
        <v>0</v>
      </c>
      <c r="K364" s="711">
        <f>Bilans_E_AMS_Kyoto_run3_MTE!O551</f>
        <v>0</v>
      </c>
      <c r="L364" s="711">
        <f>Bilans_E_AMS_Kyoto_run3_MTE!P551</f>
        <v>0</v>
      </c>
      <c r="M364" s="711">
        <f>Bilans_E_AMS_Kyoto_run3_MTE!Q551</f>
        <v>0</v>
      </c>
      <c r="N364" s="711">
        <f>Bilans_E_AMS_Kyoto_run3_MTE!R551</f>
        <v>0</v>
      </c>
      <c r="O364" s="711">
        <f>Bilans_E_AMS_Kyoto_run3_MTE!S551</f>
        <v>1.0610098798731264</v>
      </c>
      <c r="P364" s="711">
        <f>Bilans_E_AMS_Kyoto_run3_MTE!T551+Bilans_E_AMS_Kyoto_run3_MTE!U551</f>
        <v>0</v>
      </c>
      <c r="Q364" s="711">
        <f>Bilans_E_AMS_Kyoto_run3_MTE!V551</f>
        <v>0</v>
      </c>
      <c r="R364" s="711">
        <f>Bilans_E_AMS_Kyoto_run3_MTE!W551</f>
        <v>65.840203439882671</v>
      </c>
      <c r="S364" s="711">
        <f>Bilans_E_AMS_Kyoto_run3_MTE!X551</f>
        <v>6.4136709376113741</v>
      </c>
      <c r="T364" s="711">
        <f>Bilans_E_AMS_Kyoto_run3_MTE!Y551</f>
        <v>0</v>
      </c>
      <c r="U364" s="711">
        <f>Bilans_E_AMS_Kyoto_run3_MTE!Z551</f>
        <v>73.370726882623643</v>
      </c>
      <c r="V364" s="701"/>
      <c r="W364" s="701"/>
    </row>
    <row r="365" spans="1:23" x14ac:dyDescent="0.25">
      <c r="A365" s="701" t="s">
        <v>506</v>
      </c>
      <c r="B365" s="701"/>
      <c r="C365" s="713" t="s">
        <v>77</v>
      </c>
      <c r="D365" s="714">
        <f>Bilans_E_AMS_Kyoto_run3_MTE!H552</f>
        <v>0</v>
      </c>
      <c r="E365" s="714">
        <f>Bilans_E_AMS_Kyoto_run3_MTE!I552</f>
        <v>58.863651738299311</v>
      </c>
      <c r="F365" s="714">
        <f>Bilans_E_AMS_Kyoto_run3_MTE!J552</f>
        <v>-55.25891247149503</v>
      </c>
      <c r="G365" s="714">
        <f>Bilans_E_AMS_Kyoto_run3_MTE!K552</f>
        <v>-24.740126403603515</v>
      </c>
      <c r="H365" s="714">
        <f>Bilans_E_AMS_Kyoto_run3_MTE!L552</f>
        <v>0</v>
      </c>
      <c r="I365" s="714">
        <f>Bilans_E_AMS_Kyoto_run3_MTE!M552</f>
        <v>-7.0143403444740313</v>
      </c>
      <c r="J365" s="714">
        <f>Bilans_E_AMS_Kyoto_run3_MTE!N552</f>
        <v>807.37795933495636</v>
      </c>
      <c r="K365" s="714">
        <f>Bilans_E_AMS_Kyoto_run3_MTE!O552</f>
        <v>553.99388589395949</v>
      </c>
      <c r="L365" s="714">
        <f>Bilans_E_AMS_Kyoto_run3_MTE!P552</f>
        <v>331.28372360251547</v>
      </c>
      <c r="M365" s="714">
        <f>Bilans_E_AMS_Kyoto_run3_MTE!Q552</f>
        <v>36.582494246190599</v>
      </c>
      <c r="N365" s="714">
        <f>Bilans_E_AMS_Kyoto_run3_MTE!R552</f>
        <v>-59.82842351026536</v>
      </c>
      <c r="O365" s="714">
        <f>Bilans_E_AMS_Kyoto_run3_MTE!S552</f>
        <v>-86.285386781019525</v>
      </c>
      <c r="P365" s="714">
        <f>Bilans_E_AMS_Kyoto_run3_MTE!T552+Bilans_E_AMS_Kyoto_run3_MTE!U552</f>
        <v>22.572621073808037</v>
      </c>
      <c r="Q365" s="714">
        <f>Bilans_E_AMS_Kyoto_run3_MTE!V552</f>
        <v>19.706573178157445</v>
      </c>
      <c r="R365" s="714">
        <f>Bilans_E_AMS_Kyoto_run3_MTE!W552</f>
        <v>-603.61634432063988</v>
      </c>
      <c r="S365" s="714">
        <f>Bilans_E_AMS_Kyoto_run3_MTE!X552</f>
        <v>-76.289393359250852</v>
      </c>
      <c r="T365" s="714">
        <f>Bilans_E_AMS_Kyoto_run3_MTE!Y552</f>
        <v>-39.147749441309969</v>
      </c>
      <c r="U365" s="714">
        <f>Bilans_E_AMS_Kyoto_run3_MTE!Z552</f>
        <v>878.20023243582853</v>
      </c>
      <c r="V365" s="701"/>
      <c r="W365" s="701"/>
    </row>
    <row r="366" spans="1:23" x14ac:dyDescent="0.25">
      <c r="A366" s="701"/>
      <c r="B366" s="701"/>
      <c r="C366" s="715"/>
      <c r="D366" s="716"/>
      <c r="E366" s="716"/>
      <c r="F366" s="716"/>
      <c r="G366" s="716"/>
      <c r="H366" s="716"/>
      <c r="I366" s="716"/>
      <c r="J366" s="716"/>
      <c r="K366" s="716"/>
      <c r="L366" s="716"/>
      <c r="M366" s="716"/>
      <c r="N366" s="716"/>
      <c r="O366" s="716"/>
      <c r="P366" s="716">
        <f>Bilans_E_AMS_Kyoto_run3_MTE!T553+Bilans_E_AMS_Kyoto_run3_MTE!U553</f>
        <v>0</v>
      </c>
      <c r="Q366" s="716"/>
      <c r="R366" s="716"/>
      <c r="S366" s="716"/>
      <c r="T366" s="716"/>
      <c r="U366" s="716"/>
      <c r="V366" s="701"/>
      <c r="W366" s="701"/>
    </row>
    <row r="367" spans="1:23" x14ac:dyDescent="0.25">
      <c r="A367" s="701" t="s">
        <v>507</v>
      </c>
      <c r="B367" s="701"/>
      <c r="C367" s="717" t="s">
        <v>78</v>
      </c>
      <c r="D367" s="711">
        <f>Bilans_E_AMS_Kyoto_run3_MTE!H554</f>
        <v>0</v>
      </c>
      <c r="E367" s="711">
        <f>Bilans_E_AMS_Kyoto_run3_MTE!I554</f>
        <v>0</v>
      </c>
      <c r="F367" s="711">
        <f>Bilans_E_AMS_Kyoto_run3_MTE!J554</f>
        <v>0</v>
      </c>
      <c r="G367" s="711">
        <f>Bilans_E_AMS_Kyoto_run3_MTE!K554</f>
        <v>0</v>
      </c>
      <c r="H367" s="711">
        <f>Bilans_E_AMS_Kyoto_run3_MTE!L554</f>
        <v>0</v>
      </c>
      <c r="I367" s="711">
        <f>Bilans_E_AMS_Kyoto_run3_MTE!M554</f>
        <v>1.991498553291184</v>
      </c>
      <c r="J367" s="711">
        <f>Bilans_E_AMS_Kyoto_run3_MTE!N554</f>
        <v>0</v>
      </c>
      <c r="K367" s="711">
        <f>Bilans_E_AMS_Kyoto_run3_MTE!O554</f>
        <v>0</v>
      </c>
      <c r="L367" s="711">
        <f>Bilans_E_AMS_Kyoto_run3_MTE!P554</f>
        <v>33.03282021908791</v>
      </c>
      <c r="M367" s="711">
        <f>Bilans_E_AMS_Kyoto_run3_MTE!Q554</f>
        <v>7.3058555419217219</v>
      </c>
      <c r="N367" s="711">
        <f>Bilans_E_AMS_Kyoto_run3_MTE!R554</f>
        <v>0</v>
      </c>
      <c r="O367" s="711">
        <f>Bilans_E_AMS_Kyoto_run3_MTE!S554</f>
        <v>37.880603328687286</v>
      </c>
      <c r="P367" s="711">
        <f>Bilans_E_AMS_Kyoto_run3_MTE!T554+Bilans_E_AMS_Kyoto_run3_MTE!U554</f>
        <v>15.325538085937501</v>
      </c>
      <c r="Q367" s="711">
        <f>Bilans_E_AMS_Kyoto_run3_MTE!V554</f>
        <v>8.5890570413253253E-4</v>
      </c>
      <c r="R367" s="711">
        <f>Bilans_E_AMS_Kyoto_run3_MTE!W554</f>
        <v>160.49759404222942</v>
      </c>
      <c r="S367" s="711">
        <f>Bilans_E_AMS_Kyoto_run3_MTE!X554</f>
        <v>19.118062217384278</v>
      </c>
      <c r="T367" s="711">
        <f>Bilans_E_AMS_Kyoto_run3_MTE!Y554</f>
        <v>15.6045791015625</v>
      </c>
      <c r="U367" s="711">
        <f>Bilans_E_AMS_Kyoto_run3_MTE!Z554</f>
        <v>290.75740999580586</v>
      </c>
      <c r="V367" s="701"/>
      <c r="W367" s="701"/>
    </row>
    <row r="368" spans="1:23" x14ac:dyDescent="0.25">
      <c r="A368" s="701" t="s">
        <v>508</v>
      </c>
      <c r="B368" s="701"/>
      <c r="C368" s="717" t="s">
        <v>79</v>
      </c>
      <c r="D368" s="711">
        <f>Bilans_E_AMS_Kyoto_run3_MTE!H555</f>
        <v>0</v>
      </c>
      <c r="E368" s="711">
        <f>Bilans_E_AMS_Kyoto_run3_MTE!I555</f>
        <v>0</v>
      </c>
      <c r="F368" s="711">
        <f>Bilans_E_AMS_Kyoto_run3_MTE!J555</f>
        <v>2.5646039905747262</v>
      </c>
      <c r="G368" s="711">
        <f>Bilans_E_AMS_Kyoto_run3_MTE!K555</f>
        <v>4.5999999999999996</v>
      </c>
      <c r="H368" s="711">
        <f>Bilans_E_AMS_Kyoto_run3_MTE!L555</f>
        <v>0</v>
      </c>
      <c r="I368" s="711">
        <f>Bilans_E_AMS_Kyoto_run3_MTE!M555</f>
        <v>0.37685077792540578</v>
      </c>
      <c r="J368" s="711">
        <f>Bilans_E_AMS_Kyoto_run3_MTE!N555</f>
        <v>0</v>
      </c>
      <c r="K368" s="711">
        <f>Bilans_E_AMS_Kyoto_run3_MTE!O555</f>
        <v>0</v>
      </c>
      <c r="L368" s="711">
        <f>Bilans_E_AMS_Kyoto_run3_MTE!P555</f>
        <v>0</v>
      </c>
      <c r="M368" s="711">
        <f>Bilans_E_AMS_Kyoto_run3_MTE!Q555</f>
        <v>0</v>
      </c>
      <c r="N368" s="711">
        <f>Bilans_E_AMS_Kyoto_run3_MTE!R555</f>
        <v>17.296930013474249</v>
      </c>
      <c r="O368" s="711">
        <f>Bilans_E_AMS_Kyoto_run3_MTE!S555</f>
        <v>7.1601647805827087</v>
      </c>
      <c r="P368" s="711">
        <f>Bilans_E_AMS_Kyoto_run3_MTE!T555+Bilans_E_AMS_Kyoto_run3_MTE!U555</f>
        <v>0</v>
      </c>
      <c r="Q368" s="711">
        <f>Bilans_E_AMS_Kyoto_run3_MTE!V555</f>
        <v>0</v>
      </c>
      <c r="R368" s="711">
        <f>Bilans_E_AMS_Kyoto_run3_MTE!W555</f>
        <v>129.21827578196925</v>
      </c>
      <c r="S368" s="711">
        <f>Bilans_E_AMS_Kyoto_run3_MTE!X555</f>
        <v>0</v>
      </c>
      <c r="T368" s="711">
        <f>Bilans_E_AMS_Kyoto_run3_MTE!Y555</f>
        <v>6.9357151187722215</v>
      </c>
      <c r="U368" s="711">
        <f>Bilans_E_AMS_Kyoto_run3_MTE!Z555</f>
        <v>168.15254046329855</v>
      </c>
      <c r="V368" s="701"/>
      <c r="W368" s="701"/>
    </row>
    <row r="369" spans="1:23" x14ac:dyDescent="0.25">
      <c r="A369" s="701" t="s">
        <v>509</v>
      </c>
      <c r="B369" s="701"/>
      <c r="C369" s="717" t="s">
        <v>80</v>
      </c>
      <c r="D369" s="711">
        <f>Bilans_E_AMS_Kyoto_run3_MTE!H556</f>
        <v>0</v>
      </c>
      <c r="E369" s="711">
        <f>Bilans_E_AMS_Kyoto_run3_MTE!I556</f>
        <v>0</v>
      </c>
      <c r="F369" s="711">
        <f>Bilans_E_AMS_Kyoto_run3_MTE!J556</f>
        <v>1.33686813190731E-2</v>
      </c>
      <c r="G369" s="711">
        <f>Bilans_E_AMS_Kyoto_run3_MTE!K556</f>
        <v>0</v>
      </c>
      <c r="H369" s="711">
        <f>Bilans_E_AMS_Kyoto_run3_MTE!L556</f>
        <v>0</v>
      </c>
      <c r="I369" s="711">
        <f>Bilans_E_AMS_Kyoto_run3_MTE!M556</f>
        <v>1.363415994018579</v>
      </c>
      <c r="J369" s="711">
        <f>Bilans_E_AMS_Kyoto_run3_MTE!N556</f>
        <v>0</v>
      </c>
      <c r="K369" s="711">
        <f>Bilans_E_AMS_Kyoto_run3_MTE!O556</f>
        <v>0</v>
      </c>
      <c r="L369" s="711">
        <f>Bilans_E_AMS_Kyoto_run3_MTE!P556</f>
        <v>38.670548162755892</v>
      </c>
      <c r="M369" s="711">
        <f>Bilans_E_AMS_Kyoto_run3_MTE!Q556</f>
        <v>0</v>
      </c>
      <c r="N369" s="711">
        <f>Bilans_E_AMS_Kyoto_run3_MTE!R556</f>
        <v>0</v>
      </c>
      <c r="O369" s="711">
        <f>Bilans_E_AMS_Kyoto_run3_MTE!S556</f>
        <v>25.904903886352997</v>
      </c>
      <c r="P369" s="711">
        <f>Bilans_E_AMS_Kyoto_run3_MTE!T556+Bilans_E_AMS_Kyoto_run3_MTE!U556</f>
        <v>170.26801174847219</v>
      </c>
      <c r="Q369" s="711">
        <f>Bilans_E_AMS_Kyoto_run3_MTE!V556</f>
        <v>14.856183742724458</v>
      </c>
      <c r="R369" s="711">
        <f>Bilans_E_AMS_Kyoto_run3_MTE!W556</f>
        <v>135.77624988749807</v>
      </c>
      <c r="S369" s="711">
        <f>Bilans_E_AMS_Kyoto_run3_MTE!X556</f>
        <v>35.160977387086433</v>
      </c>
      <c r="T369" s="711">
        <f>Bilans_E_AMS_Kyoto_run3_MTE!Y556</f>
        <v>0</v>
      </c>
      <c r="U369" s="711">
        <f>Bilans_E_AMS_Kyoto_run3_MTE!Z556</f>
        <v>422.01365949022772</v>
      </c>
      <c r="V369" s="701"/>
      <c r="W369" s="701"/>
    </row>
    <row r="370" spans="1:23" x14ac:dyDescent="0.25">
      <c r="A370" s="701" t="s">
        <v>510</v>
      </c>
      <c r="B370" s="701"/>
      <c r="C370" s="717" t="s">
        <v>81</v>
      </c>
      <c r="D370" s="711">
        <f>Bilans_E_AMS_Kyoto_run3_MTE!H557</f>
        <v>0</v>
      </c>
      <c r="E370" s="711">
        <f>Bilans_E_AMS_Kyoto_run3_MTE!I557</f>
        <v>0</v>
      </c>
      <c r="F370" s="711">
        <f>Bilans_E_AMS_Kyoto_run3_MTE!J557</f>
        <v>5.9571518115922428E-2</v>
      </c>
      <c r="G370" s="711">
        <f>Bilans_E_AMS_Kyoto_run3_MTE!K557</f>
        <v>0</v>
      </c>
      <c r="H370" s="711">
        <f>Bilans_E_AMS_Kyoto_run3_MTE!L557</f>
        <v>0</v>
      </c>
      <c r="I370" s="711">
        <f>Bilans_E_AMS_Kyoto_run3_MTE!M557</f>
        <v>0.44038098063120357</v>
      </c>
      <c r="J370" s="711">
        <f>Bilans_E_AMS_Kyoto_run3_MTE!N557</f>
        <v>0</v>
      </c>
      <c r="K370" s="711">
        <f>Bilans_E_AMS_Kyoto_run3_MTE!O557</f>
        <v>0</v>
      </c>
      <c r="L370" s="711">
        <f>Bilans_E_AMS_Kyoto_run3_MTE!P557</f>
        <v>0.43608334641640845</v>
      </c>
      <c r="M370" s="711">
        <f>Bilans_E_AMS_Kyoto_run3_MTE!Q557</f>
        <v>0</v>
      </c>
      <c r="N370" s="711">
        <f>Bilans_E_AMS_Kyoto_run3_MTE!R557</f>
        <v>0</v>
      </c>
      <c r="O370" s="711">
        <f>Bilans_E_AMS_Kyoto_run3_MTE!S557</f>
        <v>8.3672386319928673</v>
      </c>
      <c r="P370" s="711">
        <f>Bilans_E_AMS_Kyoto_run3_MTE!T557+Bilans_E_AMS_Kyoto_run3_MTE!U557</f>
        <v>64.752372842201794</v>
      </c>
      <c r="Q370" s="711">
        <f>Bilans_E_AMS_Kyoto_run3_MTE!V557</f>
        <v>13.972057854326216</v>
      </c>
      <c r="R370" s="711">
        <f>Bilans_E_AMS_Kyoto_run3_MTE!W557</f>
        <v>123.17781879034489</v>
      </c>
      <c r="S370" s="711">
        <f>Bilans_E_AMS_Kyoto_run3_MTE!X557</f>
        <v>22.010319853686262</v>
      </c>
      <c r="T370" s="711">
        <f>Bilans_E_AMS_Kyoto_run3_MTE!Y557</f>
        <v>0</v>
      </c>
      <c r="U370" s="711">
        <f>Bilans_E_AMS_Kyoto_run3_MTE!Z557</f>
        <v>233.21584381771555</v>
      </c>
      <c r="V370" s="701"/>
      <c r="W370" s="701"/>
    </row>
    <row r="371" spans="1:23" x14ac:dyDescent="0.25">
      <c r="A371" s="701" t="s">
        <v>511</v>
      </c>
      <c r="B371" s="701"/>
      <c r="C371" s="717" t="s">
        <v>82</v>
      </c>
      <c r="D371" s="711">
        <f>Bilans_E_AMS_Kyoto_run3_MTE!H558</f>
        <v>0</v>
      </c>
      <c r="E371" s="711">
        <f>Bilans_E_AMS_Kyoto_run3_MTE!I558</f>
        <v>0</v>
      </c>
      <c r="F371" s="711">
        <f>Bilans_E_AMS_Kyoto_run3_MTE!J558</f>
        <v>0</v>
      </c>
      <c r="G371" s="711">
        <f>Bilans_E_AMS_Kyoto_run3_MTE!K558</f>
        <v>0</v>
      </c>
      <c r="H371" s="711">
        <f>Bilans_E_AMS_Kyoto_run3_MTE!L558</f>
        <v>0</v>
      </c>
      <c r="I371" s="711">
        <f>Bilans_E_AMS_Kyoto_run3_MTE!M558</f>
        <v>3.936904267080979E-2</v>
      </c>
      <c r="J371" s="711">
        <f>Bilans_E_AMS_Kyoto_run3_MTE!N558</f>
        <v>0</v>
      </c>
      <c r="K371" s="711">
        <f>Bilans_E_AMS_Kyoto_run3_MTE!O558</f>
        <v>0</v>
      </c>
      <c r="L371" s="711">
        <f>Bilans_E_AMS_Kyoto_run3_MTE!P558</f>
        <v>20.041612409357288</v>
      </c>
      <c r="M371" s="711">
        <f>Bilans_E_AMS_Kyoto_run3_MTE!Q558</f>
        <v>0</v>
      </c>
      <c r="N371" s="711">
        <f>Bilans_E_AMS_Kyoto_run3_MTE!R558</f>
        <v>6.8596219696114309</v>
      </c>
      <c r="O371" s="711">
        <f>Bilans_E_AMS_Kyoto_run3_MTE!S558</f>
        <v>0.74801181074538581</v>
      </c>
      <c r="P371" s="711">
        <f>Bilans_E_AMS_Kyoto_run3_MTE!T558+Bilans_E_AMS_Kyoto_run3_MTE!U558</f>
        <v>1.5</v>
      </c>
      <c r="Q371" s="711">
        <f>Bilans_E_AMS_Kyoto_run3_MTE!V558</f>
        <v>2.1874070050904897</v>
      </c>
      <c r="R371" s="711">
        <f>Bilans_E_AMS_Kyoto_run3_MTE!W558</f>
        <v>11.227117591013034</v>
      </c>
      <c r="S371" s="711">
        <f>Bilans_E_AMS_Kyoto_run3_MTE!X558</f>
        <v>0</v>
      </c>
      <c r="T371" s="711">
        <f>Bilans_E_AMS_Kyoto_run3_MTE!Y558</f>
        <v>0.67221506893144256</v>
      </c>
      <c r="U371" s="711">
        <f>Bilans_E_AMS_Kyoto_run3_MTE!Z558</f>
        <v>43.275354897419881</v>
      </c>
      <c r="V371" s="701"/>
      <c r="W371" s="701"/>
    </row>
    <row r="372" spans="1:23" x14ac:dyDescent="0.25">
      <c r="A372" s="701" t="s">
        <v>512</v>
      </c>
      <c r="B372" s="701"/>
      <c r="C372" s="717" t="s">
        <v>354</v>
      </c>
      <c r="D372" s="711">
        <f>Bilans_E_AMS_Kyoto_run3_MTE!H559</f>
        <v>0</v>
      </c>
      <c r="E372" s="711">
        <f>Bilans_E_AMS_Kyoto_run3_MTE!I559</f>
        <v>0</v>
      </c>
      <c r="F372" s="711">
        <f>Bilans_E_AMS_Kyoto_run3_MTE!J559</f>
        <v>0</v>
      </c>
      <c r="G372" s="711">
        <f>Bilans_E_AMS_Kyoto_run3_MTE!K559</f>
        <v>0</v>
      </c>
      <c r="H372" s="711">
        <f>Bilans_E_AMS_Kyoto_run3_MTE!L559</f>
        <v>0</v>
      </c>
      <c r="I372" s="711">
        <f>Bilans_E_AMS_Kyoto_run3_MTE!M559</f>
        <v>0</v>
      </c>
      <c r="J372" s="711">
        <f>Bilans_E_AMS_Kyoto_run3_MTE!N559</f>
        <v>0</v>
      </c>
      <c r="K372" s="711">
        <f>Bilans_E_AMS_Kyoto_run3_MTE!O559</f>
        <v>0</v>
      </c>
      <c r="L372" s="711">
        <f>Bilans_E_AMS_Kyoto_run3_MTE!P559</f>
        <v>0</v>
      </c>
      <c r="M372" s="711">
        <f>Bilans_E_AMS_Kyoto_run3_MTE!Q559</f>
        <v>0</v>
      </c>
      <c r="N372" s="711">
        <f>Bilans_E_AMS_Kyoto_run3_MTE!R559</f>
        <v>0</v>
      </c>
      <c r="O372" s="711">
        <f>Bilans_E_AMS_Kyoto_run3_MTE!S559</f>
        <v>0</v>
      </c>
      <c r="P372" s="711">
        <f>Bilans_E_AMS_Kyoto_run3_MTE!T559+Bilans_E_AMS_Kyoto_run3_MTE!U559</f>
        <v>0</v>
      </c>
      <c r="Q372" s="711">
        <f>Bilans_E_AMS_Kyoto_run3_MTE!V559</f>
        <v>0</v>
      </c>
      <c r="R372" s="711">
        <f>Bilans_E_AMS_Kyoto_run3_MTE!W559</f>
        <v>15.04</v>
      </c>
      <c r="S372" s="711">
        <f>Bilans_E_AMS_Kyoto_run3_MTE!X559</f>
        <v>0</v>
      </c>
      <c r="T372" s="711">
        <f>Bilans_E_AMS_Kyoto_run3_MTE!Y559</f>
        <v>0</v>
      </c>
      <c r="U372" s="711">
        <f>Bilans_E_AMS_Kyoto_run3_MTE!Z559</f>
        <v>15.04</v>
      </c>
      <c r="V372" s="701"/>
      <c r="W372" s="701"/>
    </row>
    <row r="373" spans="1:23" x14ac:dyDescent="0.25">
      <c r="A373" s="701" t="s">
        <v>513</v>
      </c>
      <c r="B373" s="701"/>
      <c r="C373" s="713" t="s">
        <v>83</v>
      </c>
      <c r="D373" s="714">
        <f>Bilans_E_AMS_Kyoto_run3_MTE!H560</f>
        <v>0</v>
      </c>
      <c r="E373" s="714">
        <f>Bilans_E_AMS_Kyoto_run3_MTE!I560</f>
        <v>0</v>
      </c>
      <c r="F373" s="714">
        <f>Bilans_E_AMS_Kyoto_run3_MTE!J560</f>
        <v>2.6375441900097218</v>
      </c>
      <c r="G373" s="714">
        <f>Bilans_E_AMS_Kyoto_run3_MTE!K560</f>
        <v>4.5999999999999996</v>
      </c>
      <c r="H373" s="714">
        <f>Bilans_E_AMS_Kyoto_run3_MTE!L560</f>
        <v>0</v>
      </c>
      <c r="I373" s="714">
        <f>Bilans_E_AMS_Kyoto_run3_MTE!M560</f>
        <v>4.2115153485371817</v>
      </c>
      <c r="J373" s="714">
        <f>Bilans_E_AMS_Kyoto_run3_MTE!N560</f>
        <v>0</v>
      </c>
      <c r="K373" s="714">
        <f>Bilans_E_AMS_Kyoto_run3_MTE!O560</f>
        <v>0</v>
      </c>
      <c r="L373" s="714">
        <f>Bilans_E_AMS_Kyoto_run3_MTE!P560</f>
        <v>92.181064137617497</v>
      </c>
      <c r="M373" s="714">
        <f>Bilans_E_AMS_Kyoto_run3_MTE!Q560</f>
        <v>7.3058555419217219</v>
      </c>
      <c r="N373" s="714">
        <f>Bilans_E_AMS_Kyoto_run3_MTE!R560</f>
        <v>24.156551983085681</v>
      </c>
      <c r="O373" s="714">
        <f>Bilans_E_AMS_Kyoto_run3_MTE!S560</f>
        <v>80.060922438361246</v>
      </c>
      <c r="P373" s="714">
        <f>Bilans_E_AMS_Kyoto_run3_MTE!T560+Bilans_E_AMS_Kyoto_run3_MTE!U560</f>
        <v>251.84592267661148</v>
      </c>
      <c r="Q373" s="714">
        <f>Bilans_E_AMS_Kyoto_run3_MTE!V560</f>
        <v>31.016507507845294</v>
      </c>
      <c r="R373" s="714">
        <f>Bilans_E_AMS_Kyoto_run3_MTE!W560</f>
        <v>574.93705609305459</v>
      </c>
      <c r="S373" s="714">
        <f>Bilans_E_AMS_Kyoto_run3_MTE!X560</f>
        <v>76.28935945815698</v>
      </c>
      <c r="T373" s="714">
        <f>Bilans_E_AMS_Kyoto_run3_MTE!Y560</f>
        <v>23.212509289266166</v>
      </c>
      <c r="U373" s="714">
        <f>Bilans_E_AMS_Kyoto_run3_MTE!Z560</f>
        <v>1172.4548086644675</v>
      </c>
      <c r="V373" s="701"/>
      <c r="W373" s="701"/>
    </row>
    <row r="374" spans="1:23" x14ac:dyDescent="0.25">
      <c r="A374" s="701" t="s">
        <v>514</v>
      </c>
      <c r="B374" s="701"/>
      <c r="C374" s="710" t="s">
        <v>84</v>
      </c>
      <c r="D374" s="711">
        <f>Bilans_E_AMS_Kyoto_run3_MTE!H561</f>
        <v>0</v>
      </c>
      <c r="E374" s="711">
        <f>Bilans_E_AMS_Kyoto_run3_MTE!I561</f>
        <v>0</v>
      </c>
      <c r="F374" s="711">
        <f>Bilans_E_AMS_Kyoto_run3_MTE!J561</f>
        <v>91.376834551502185</v>
      </c>
      <c r="G374" s="711">
        <f>Bilans_E_AMS_Kyoto_run3_MTE!K561</f>
        <v>4.3696590457446538</v>
      </c>
      <c r="H374" s="711">
        <f>Bilans_E_AMS_Kyoto_run3_MTE!L561</f>
        <v>7.019987079045241</v>
      </c>
      <c r="I374" s="711">
        <f>Bilans_E_AMS_Kyoto_run3_MTE!M561</f>
        <v>0</v>
      </c>
      <c r="J374" s="711">
        <f>Bilans_E_AMS_Kyoto_run3_MTE!N561</f>
        <v>0</v>
      </c>
      <c r="K374" s="711">
        <f>Bilans_E_AMS_Kyoto_run3_MTE!O561</f>
        <v>0</v>
      </c>
      <c r="L374" s="711">
        <f>Bilans_E_AMS_Kyoto_run3_MTE!P561</f>
        <v>0.61184558011433365</v>
      </c>
      <c r="M374" s="711">
        <f>Bilans_E_AMS_Kyoto_run3_MTE!Q561</f>
        <v>0</v>
      </c>
      <c r="N374" s="711">
        <f>Bilans_E_AMS_Kyoto_run3_MTE!R561</f>
        <v>6.5698161491399585</v>
      </c>
      <c r="O374" s="711">
        <f>Bilans_E_AMS_Kyoto_run3_MTE!S561</f>
        <v>0</v>
      </c>
      <c r="P374" s="711">
        <f>Bilans_E_AMS_Kyoto_run3_MTE!T561+Bilans_E_AMS_Kyoto_run3_MTE!U561</f>
        <v>0</v>
      </c>
      <c r="Q374" s="711">
        <f>Bilans_E_AMS_Kyoto_run3_MTE!V561</f>
        <v>0</v>
      </c>
      <c r="R374" s="711">
        <f>Bilans_E_AMS_Kyoto_run3_MTE!W561</f>
        <v>0</v>
      </c>
      <c r="S374" s="711">
        <f>Bilans_E_AMS_Kyoto_run3_MTE!X561</f>
        <v>0</v>
      </c>
      <c r="T374" s="711">
        <f>Bilans_E_AMS_Kyoto_run3_MTE!Y561</f>
        <v>6.6285490677230623</v>
      </c>
      <c r="U374" s="711">
        <f>Bilans_E_AMS_Kyoto_run3_MTE!Z561</f>
        <v>116.57669147326942</v>
      </c>
      <c r="V374" s="701"/>
      <c r="W374" s="701"/>
    </row>
    <row r="375" spans="1:23" x14ac:dyDescent="0.25">
      <c r="A375" s="701" t="s">
        <v>515</v>
      </c>
      <c r="B375" s="701"/>
      <c r="C375" s="713" t="s">
        <v>85</v>
      </c>
      <c r="D375" s="714">
        <f>Bilans_E_AMS_Kyoto_run3_MTE!H562</f>
        <v>0</v>
      </c>
      <c r="E375" s="714">
        <f>Bilans_E_AMS_Kyoto_run3_MTE!I562</f>
        <v>0</v>
      </c>
      <c r="F375" s="714">
        <f>Bilans_E_AMS_Kyoto_run3_MTE!J562</f>
        <v>94.014378741511905</v>
      </c>
      <c r="G375" s="714">
        <f>Bilans_E_AMS_Kyoto_run3_MTE!K562</f>
        <v>8.9696590457446526</v>
      </c>
      <c r="H375" s="714">
        <f>Bilans_E_AMS_Kyoto_run3_MTE!L562</f>
        <v>7.019987079045241</v>
      </c>
      <c r="I375" s="714">
        <f>Bilans_E_AMS_Kyoto_run3_MTE!M562</f>
        <v>4.2115153485371817</v>
      </c>
      <c r="J375" s="714">
        <f>Bilans_E_AMS_Kyoto_run3_MTE!N562</f>
        <v>0</v>
      </c>
      <c r="K375" s="714">
        <f>Bilans_E_AMS_Kyoto_run3_MTE!O562</f>
        <v>0</v>
      </c>
      <c r="L375" s="714">
        <f>Bilans_E_AMS_Kyoto_run3_MTE!P562</f>
        <v>92.792909717731831</v>
      </c>
      <c r="M375" s="714">
        <f>Bilans_E_AMS_Kyoto_run3_MTE!Q562</f>
        <v>7.3058555419217219</v>
      </c>
      <c r="N375" s="714">
        <f>Bilans_E_AMS_Kyoto_run3_MTE!R562</f>
        <v>30.726368132225637</v>
      </c>
      <c r="O375" s="714">
        <f>Bilans_E_AMS_Kyoto_run3_MTE!S562</f>
        <v>80.060922438361246</v>
      </c>
      <c r="P375" s="714">
        <f>Bilans_E_AMS_Kyoto_run3_MTE!T562+Bilans_E_AMS_Kyoto_run3_MTE!U562</f>
        <v>251.84592267661148</v>
      </c>
      <c r="Q375" s="714">
        <f>Bilans_E_AMS_Kyoto_run3_MTE!V562</f>
        <v>31.016507507845294</v>
      </c>
      <c r="R375" s="714">
        <f>Bilans_E_AMS_Kyoto_run3_MTE!W562</f>
        <v>574.93705609305459</v>
      </c>
      <c r="S375" s="714">
        <f>Bilans_E_AMS_Kyoto_run3_MTE!X562</f>
        <v>76.28935945815698</v>
      </c>
      <c r="T375" s="714">
        <f>Bilans_E_AMS_Kyoto_run3_MTE!Y562</f>
        <v>29.84105835698923</v>
      </c>
      <c r="U375" s="714">
        <f>Bilans_E_AMS_Kyoto_run3_MTE!Z562</f>
        <v>1289.0315001377369</v>
      </c>
      <c r="V375" s="701"/>
      <c r="W375" s="701"/>
    </row>
    <row r="376" spans="1:23" x14ac:dyDescent="0.25">
      <c r="A376" s="701"/>
      <c r="B376" s="701"/>
      <c r="C376" s="701"/>
      <c r="D376" s="701">
        <f>Bilans_E_AMS_Kyoto_run3_MTE!H563</f>
        <v>0</v>
      </c>
      <c r="E376" s="701">
        <f>Bilans_E_AMS_Kyoto_run3_MTE!I563</f>
        <v>0</v>
      </c>
      <c r="F376" s="701">
        <f>Bilans_E_AMS_Kyoto_run3_MTE!J563</f>
        <v>0</v>
      </c>
      <c r="G376" s="701">
        <f>Bilans_E_AMS_Kyoto_run3_MTE!K563</f>
        <v>0</v>
      </c>
      <c r="H376" s="701">
        <f>Bilans_E_AMS_Kyoto_run3_MTE!L563</f>
        <v>0</v>
      </c>
      <c r="I376" s="701">
        <f>Bilans_E_AMS_Kyoto_run3_MTE!M563</f>
        <v>-1.9859233333408E-4</v>
      </c>
      <c r="J376" s="701">
        <f>Bilans_E_AMS_Kyoto_run3_MTE!N563</f>
        <v>0</v>
      </c>
      <c r="K376" s="701">
        <f>Bilans_E_AMS_Kyoto_run3_MTE!O563</f>
        <v>0</v>
      </c>
      <c r="L376" s="701">
        <f>Bilans_E_AMS_Kyoto_run3_MTE!P563</f>
        <v>0</v>
      </c>
      <c r="M376" s="701">
        <f>Bilans_E_AMS_Kyoto_run3_MTE!Q563</f>
        <v>0</v>
      </c>
      <c r="N376" s="701">
        <f>Bilans_E_AMS_Kyoto_run3_MTE!R563</f>
        <v>0</v>
      </c>
      <c r="O376" s="701">
        <f>Bilans_E_AMS_Kyoto_run3_MTE!S563</f>
        <v>0</v>
      </c>
      <c r="P376" s="701">
        <f>Bilans_E_AMS_Kyoto_run3_MTE!T563+Bilans_E_AMS_Kyoto_run3_MTE!U563</f>
        <v>0</v>
      </c>
      <c r="Q376" s="701">
        <f>Bilans_E_AMS_Kyoto_run3_MTE!V563</f>
        <v>0</v>
      </c>
      <c r="R376" s="701">
        <f>Bilans_E_AMS_Kyoto_run3_MTE!W563</f>
        <v>0</v>
      </c>
      <c r="S376" s="701">
        <f>Bilans_E_AMS_Kyoto_run3_MTE!X563</f>
        <v>-3.3901093871691046E-5</v>
      </c>
      <c r="T376" s="701">
        <f>Bilans_E_AMS_Kyoto_run3_MTE!Y563</f>
        <v>0</v>
      </c>
      <c r="U376" s="701">
        <f>Bilans_E_AMS_Kyoto_run3_MTE!Z563</f>
        <v>-2.3249342757480917E-4</v>
      </c>
      <c r="V376" s="701"/>
      <c r="W376" s="701"/>
    </row>
    <row r="377" spans="1:23" x14ac:dyDescent="0.25">
      <c r="A377" s="51"/>
      <c r="B377" s="51"/>
      <c r="C377" s="51"/>
      <c r="D377" s="51"/>
      <c r="E377" s="51"/>
      <c r="F377" s="51"/>
      <c r="G377" s="67"/>
      <c r="H377" s="51"/>
      <c r="I377" s="51"/>
      <c r="J377" s="51"/>
      <c r="K377" s="51"/>
      <c r="L377" s="51"/>
      <c r="M377" s="51"/>
      <c r="N377" s="51"/>
      <c r="O377" s="51"/>
      <c r="P377" s="51"/>
      <c r="Q377" s="51"/>
      <c r="R377" s="51"/>
      <c r="S377" s="51"/>
      <c r="T377" s="51"/>
      <c r="U377" s="51"/>
    </row>
  </sheetData>
  <mergeCells count="140">
    <mergeCell ref="K10:K11"/>
    <mergeCell ref="L10:Q10"/>
    <mergeCell ref="R10:R11"/>
    <mergeCell ref="S10:S11"/>
    <mergeCell ref="T10:T11"/>
    <mergeCell ref="U10:U11"/>
    <mergeCell ref="C10:C11"/>
    <mergeCell ref="D10:D11"/>
    <mergeCell ref="E10:E11"/>
    <mergeCell ref="F10:F11"/>
    <mergeCell ref="G10:G11"/>
    <mergeCell ref="H10:H11"/>
    <mergeCell ref="I10:I11"/>
    <mergeCell ref="J10:J11"/>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S47:S48"/>
    <mergeCell ref="C47:C48"/>
    <mergeCell ref="D47:D48"/>
    <mergeCell ref="E47:E48"/>
    <mergeCell ref="F47:F48"/>
    <mergeCell ref="G47:G48"/>
    <mergeCell ref="H47:H48"/>
    <mergeCell ref="E121:E122"/>
    <mergeCell ref="F121:F122"/>
    <mergeCell ref="G121:G122"/>
    <mergeCell ref="H121:H122"/>
    <mergeCell ref="K84:K85"/>
    <mergeCell ref="L84:Q84"/>
    <mergeCell ref="R84:R85"/>
    <mergeCell ref="S84:S85"/>
    <mergeCell ref="T84:T85"/>
    <mergeCell ref="K158:K159"/>
    <mergeCell ref="L158:Q158"/>
    <mergeCell ref="R158:R159"/>
    <mergeCell ref="S158:S159"/>
    <mergeCell ref="T158:T159"/>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R121:R122"/>
    <mergeCell ref="S121:S122"/>
    <mergeCell ref="C121:C122"/>
    <mergeCell ref="D121:D122"/>
    <mergeCell ref="U232:U233"/>
    <mergeCell ref="T195:T196"/>
    <mergeCell ref="U195:U196"/>
    <mergeCell ref="C232:C233"/>
    <mergeCell ref="D232:D233"/>
    <mergeCell ref="E232:E233"/>
    <mergeCell ref="F232:F233"/>
    <mergeCell ref="G232:G233"/>
    <mergeCell ref="H232:H233"/>
    <mergeCell ref="I232:I233"/>
    <mergeCell ref="J232:J233"/>
    <mergeCell ref="I195:I196"/>
    <mergeCell ref="J195:J196"/>
    <mergeCell ref="K195:K196"/>
    <mergeCell ref="L195:Q195"/>
    <mergeCell ref="R195:R196"/>
    <mergeCell ref="S195:S196"/>
    <mergeCell ref="C195:C196"/>
    <mergeCell ref="D195:D196"/>
    <mergeCell ref="E195:E196"/>
    <mergeCell ref="F195:F196"/>
    <mergeCell ref="G195:G196"/>
    <mergeCell ref="H195:H196"/>
    <mergeCell ref="E269:E270"/>
    <mergeCell ref="F269:F270"/>
    <mergeCell ref="G269:G270"/>
    <mergeCell ref="H269:H270"/>
    <mergeCell ref="K232:K233"/>
    <mergeCell ref="L232:Q232"/>
    <mergeCell ref="R232:R233"/>
    <mergeCell ref="S232:S233"/>
    <mergeCell ref="T232:T233"/>
    <mergeCell ref="K306:K307"/>
    <mergeCell ref="L306:Q306"/>
    <mergeCell ref="R306:R307"/>
    <mergeCell ref="S306:S307"/>
    <mergeCell ref="T306:T307"/>
    <mergeCell ref="U306:U307"/>
    <mergeCell ref="T269:T270"/>
    <mergeCell ref="U269:U270"/>
    <mergeCell ref="C306:C307"/>
    <mergeCell ref="D306:D307"/>
    <mergeCell ref="E306:E307"/>
    <mergeCell ref="F306:F307"/>
    <mergeCell ref="G306:G307"/>
    <mergeCell ref="H306:H307"/>
    <mergeCell ref="I306:I307"/>
    <mergeCell ref="J306:J307"/>
    <mergeCell ref="I269:I270"/>
    <mergeCell ref="J269:J270"/>
    <mergeCell ref="K269:K270"/>
    <mergeCell ref="L269:Q269"/>
    <mergeCell ref="R269:R270"/>
    <mergeCell ref="S269:S270"/>
    <mergeCell ref="C269:C270"/>
    <mergeCell ref="D269:D270"/>
    <mergeCell ref="T343:T344"/>
    <mergeCell ref="U343:U344"/>
    <mergeCell ref="I343:I344"/>
    <mergeCell ref="J343:J344"/>
    <mergeCell ref="K343:K344"/>
    <mergeCell ref="L343:Q343"/>
    <mergeCell ref="R343:R344"/>
    <mergeCell ref="S343:S344"/>
    <mergeCell ref="C343:C344"/>
    <mergeCell ref="D343:D344"/>
    <mergeCell ref="E343:E344"/>
    <mergeCell ref="F343:F344"/>
    <mergeCell ref="G343:G344"/>
    <mergeCell ref="H343:H344"/>
  </mergeCells>
  <pageMargins left="0.7" right="0.7" top="0.75" bottom="0.75" header="0.3" footer="0.3"/>
  <legacy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F8544-B10C-4824-83EA-353E37452BF4}">
  <sheetPr>
    <tabColor theme="1" tint="0.249977111117893"/>
  </sheetPr>
  <dimension ref="A1:W340"/>
  <sheetViews>
    <sheetView zoomScale="85" zoomScaleNormal="85" workbookViewId="0">
      <selection activeCell="A8" sqref="A8:XFD44"/>
    </sheetView>
  </sheetViews>
  <sheetFormatPr baseColWidth="10" defaultRowHeight="15" x14ac:dyDescent="0.25"/>
  <cols>
    <col min="3" max="3" width="24.28515625" customWidth="1"/>
    <col min="4" max="21" width="12.5703125" customWidth="1"/>
  </cols>
  <sheetData>
    <row r="1" spans="1:23" ht="15.75" x14ac:dyDescent="0.25">
      <c r="A1" s="700"/>
      <c r="B1" s="700"/>
      <c r="C1" s="700"/>
      <c r="D1" s="598" t="s">
        <v>527</v>
      </c>
      <c r="E1" s="598" t="s">
        <v>528</v>
      </c>
      <c r="F1" s="598" t="s">
        <v>529</v>
      </c>
      <c r="G1" s="598" t="s">
        <v>530</v>
      </c>
      <c r="H1" s="598" t="s">
        <v>531</v>
      </c>
      <c r="I1" s="598" t="s">
        <v>532</v>
      </c>
      <c r="J1" s="598" t="s">
        <v>533</v>
      </c>
      <c r="K1" s="598" t="s">
        <v>534</v>
      </c>
      <c r="L1" s="598" t="s">
        <v>535</v>
      </c>
      <c r="M1" s="598" t="s">
        <v>536</v>
      </c>
      <c r="N1" s="598" t="s">
        <v>537</v>
      </c>
      <c r="O1" s="598" t="s">
        <v>538</v>
      </c>
      <c r="P1" s="598" t="s">
        <v>539</v>
      </c>
      <c r="Q1" s="598" t="s">
        <v>541</v>
      </c>
      <c r="R1" s="598" t="s">
        <v>542</v>
      </c>
      <c r="S1" s="598" t="s">
        <v>543</v>
      </c>
      <c r="T1" s="598" t="s">
        <v>606</v>
      </c>
      <c r="U1" s="598" t="s">
        <v>607</v>
      </c>
      <c r="V1" s="700"/>
      <c r="W1" s="700"/>
    </row>
    <row r="2" spans="1:23" x14ac:dyDescent="0.25">
      <c r="A2" s="700"/>
      <c r="B2" s="700"/>
      <c r="C2" s="700"/>
      <c r="D2" s="700" t="s">
        <v>545</v>
      </c>
      <c r="E2" s="701" t="s">
        <v>546</v>
      </c>
      <c r="F2" s="701" t="s">
        <v>547</v>
      </c>
      <c r="G2" s="701" t="s">
        <v>548</v>
      </c>
      <c r="H2" s="701" t="s">
        <v>549</v>
      </c>
      <c r="I2" s="701" t="s">
        <v>550</v>
      </c>
      <c r="J2" s="701" t="s">
        <v>551</v>
      </c>
      <c r="K2" s="701" t="s">
        <v>552</v>
      </c>
      <c r="L2" s="701" t="s">
        <v>553</v>
      </c>
      <c r="M2" s="701" t="s">
        <v>554</v>
      </c>
      <c r="N2" s="701" t="s">
        <v>555</v>
      </c>
      <c r="O2" s="701" t="s">
        <v>556</v>
      </c>
      <c r="P2" s="701" t="s">
        <v>557</v>
      </c>
      <c r="Q2" s="701" t="s">
        <v>558</v>
      </c>
      <c r="R2" s="701" t="s">
        <v>559</v>
      </c>
      <c r="S2" s="701" t="s">
        <v>560</v>
      </c>
      <c r="T2" s="701" t="s">
        <v>561</v>
      </c>
      <c r="U2" s="701" t="s">
        <v>562</v>
      </c>
      <c r="V2" s="700"/>
      <c r="W2" s="700"/>
    </row>
    <row r="3" spans="1:23" ht="18" x14ac:dyDescent="0.25">
      <c r="A3" s="702"/>
      <c r="B3" s="702"/>
      <c r="C3" s="703" t="s">
        <v>406</v>
      </c>
      <c r="D3" s="702"/>
      <c r="E3" s="702"/>
      <c r="F3" s="702"/>
      <c r="G3" s="702"/>
      <c r="H3" s="702"/>
      <c r="I3" s="702"/>
      <c r="J3" s="702"/>
      <c r="K3" s="702"/>
      <c r="L3" s="702"/>
      <c r="M3" s="702"/>
      <c r="N3" s="702"/>
      <c r="O3" s="702"/>
      <c r="P3" s="702"/>
      <c r="Q3" s="702"/>
      <c r="R3" s="702"/>
      <c r="S3" s="702"/>
      <c r="T3" s="702"/>
      <c r="U3" s="702"/>
      <c r="V3" s="702"/>
      <c r="W3" s="702"/>
    </row>
    <row r="4" spans="1:23" x14ac:dyDescent="0.25">
      <c r="A4" s="701"/>
      <c r="B4" s="701"/>
      <c r="C4" s="701"/>
      <c r="D4" s="701"/>
      <c r="E4" s="701"/>
      <c r="F4" s="701"/>
      <c r="G4" s="701"/>
      <c r="H4" s="701"/>
      <c r="I4" s="701"/>
      <c r="J4" s="701"/>
      <c r="K4" s="701"/>
      <c r="L4" s="701"/>
      <c r="M4" s="701"/>
      <c r="N4" s="701"/>
      <c r="O4" s="701"/>
      <c r="P4" s="701"/>
      <c r="Q4" s="701"/>
      <c r="R4" s="701"/>
      <c r="S4" s="701"/>
      <c r="T4" s="701"/>
      <c r="U4" s="701"/>
      <c r="V4" s="701"/>
      <c r="W4" s="701"/>
    </row>
    <row r="5" spans="1:23" ht="15.75" x14ac:dyDescent="0.25">
      <c r="A5" s="704"/>
      <c r="B5" s="701"/>
      <c r="C5" s="705" t="s">
        <v>338</v>
      </c>
      <c r="D5" s="704" t="s">
        <v>481</v>
      </c>
      <c r="E5" s="704"/>
      <c r="F5" s="704"/>
      <c r="G5" s="704"/>
      <c r="H5" s="704"/>
      <c r="I5" s="704"/>
      <c r="J5" s="704"/>
      <c r="K5" s="706"/>
      <c r="L5" s="706"/>
      <c r="M5" s="706"/>
      <c r="N5" s="706"/>
      <c r="O5" s="706"/>
      <c r="P5" s="706"/>
      <c r="Q5" s="706"/>
      <c r="R5" s="704"/>
      <c r="S5" s="704"/>
      <c r="T5" s="704"/>
      <c r="U5" s="704"/>
      <c r="V5" s="704"/>
      <c r="W5" s="704"/>
    </row>
    <row r="6" spans="1:23" ht="15.75" x14ac:dyDescent="0.25">
      <c r="A6" s="704"/>
      <c r="B6" s="701"/>
      <c r="C6" s="705" t="s">
        <v>341</v>
      </c>
      <c r="D6" s="704" t="s">
        <v>342</v>
      </c>
      <c r="E6" s="704"/>
      <c r="F6" s="704"/>
      <c r="G6" s="704"/>
      <c r="H6" s="704"/>
      <c r="I6" s="704"/>
      <c r="J6" s="704"/>
      <c r="K6" s="704"/>
      <c r="L6" s="704"/>
      <c r="M6" s="704"/>
      <c r="N6" s="704"/>
      <c r="O6" s="704"/>
      <c r="P6" s="704"/>
      <c r="Q6" s="704"/>
      <c r="R6" s="704"/>
      <c r="S6" s="704"/>
      <c r="T6" s="704"/>
      <c r="U6" s="704"/>
      <c r="V6" s="704"/>
      <c r="W6" s="704"/>
    </row>
    <row r="7" spans="1:23" x14ac:dyDescent="0.25">
      <c r="A7" s="701"/>
      <c r="B7" s="701"/>
      <c r="C7" s="701"/>
      <c r="D7" s="701"/>
      <c r="E7" s="701"/>
      <c r="F7" s="701"/>
      <c r="G7" s="701"/>
      <c r="H7" s="701"/>
      <c r="I7" s="701"/>
      <c r="J7" s="701"/>
      <c r="K7" s="701"/>
      <c r="L7" s="701"/>
      <c r="M7" s="701"/>
      <c r="N7" s="701"/>
      <c r="O7" s="701"/>
      <c r="P7" s="701"/>
      <c r="Q7" s="701"/>
      <c r="R7" s="701"/>
      <c r="S7" s="701"/>
      <c r="T7" s="701"/>
      <c r="U7" s="701"/>
      <c r="V7" s="701"/>
      <c r="W7" s="701"/>
    </row>
    <row r="8" spans="1:23" x14ac:dyDescent="0.25">
      <c r="A8" s="707"/>
      <c r="B8" s="707"/>
      <c r="C8" s="708" t="s">
        <v>356</v>
      </c>
      <c r="D8" s="707"/>
      <c r="E8" s="707"/>
      <c r="F8" s="707"/>
      <c r="G8" s="707"/>
      <c r="H8" s="707"/>
      <c r="I8" s="707"/>
      <c r="J8" s="707"/>
      <c r="K8" s="707"/>
      <c r="L8" s="707"/>
      <c r="M8" s="707"/>
      <c r="N8" s="707"/>
      <c r="O8" s="707"/>
      <c r="P8" s="707"/>
      <c r="Q8" s="707"/>
      <c r="R8" s="707"/>
      <c r="S8" s="707"/>
      <c r="T8" s="707"/>
      <c r="U8" s="707"/>
      <c r="V8" s="707"/>
      <c r="W8" s="707"/>
    </row>
    <row r="9" spans="1:23" x14ac:dyDescent="0.25">
      <c r="A9" s="701"/>
      <c r="B9" s="701"/>
      <c r="C9" s="701"/>
      <c r="D9" s="701"/>
      <c r="E9" s="701"/>
      <c r="F9" s="701"/>
      <c r="G9" s="701"/>
      <c r="H9" s="701"/>
      <c r="I9" s="701"/>
      <c r="J9" s="701"/>
      <c r="K9" s="701"/>
      <c r="L9" s="701"/>
      <c r="M9" s="701"/>
      <c r="N9" s="701"/>
      <c r="O9" s="701"/>
      <c r="P9" s="701"/>
      <c r="Q9" s="701"/>
      <c r="R9" s="701"/>
      <c r="S9" s="701"/>
      <c r="T9" s="701"/>
      <c r="U9" s="701"/>
      <c r="V9" s="701"/>
      <c r="W9" s="701"/>
    </row>
    <row r="10" spans="1:23" x14ac:dyDescent="0.25">
      <c r="A10" s="701"/>
      <c r="B10" s="701"/>
      <c r="C10" s="780" t="s">
        <v>128</v>
      </c>
      <c r="D10" s="775" t="s">
        <v>42</v>
      </c>
      <c r="E10" s="775" t="s">
        <v>52</v>
      </c>
      <c r="F10" s="775" t="s">
        <v>53</v>
      </c>
      <c r="G10" s="775" t="s">
        <v>482</v>
      </c>
      <c r="H10" s="775" t="s">
        <v>32</v>
      </c>
      <c r="I10" s="775" t="s">
        <v>483</v>
      </c>
      <c r="J10" s="775" t="s">
        <v>20</v>
      </c>
      <c r="K10" s="775" t="s">
        <v>55</v>
      </c>
      <c r="L10" s="777" t="s">
        <v>56</v>
      </c>
      <c r="M10" s="778"/>
      <c r="N10" s="778"/>
      <c r="O10" s="778"/>
      <c r="P10" s="778"/>
      <c r="Q10" s="779"/>
      <c r="R10" s="775" t="s">
        <v>57</v>
      </c>
      <c r="S10" s="775" t="s">
        <v>58</v>
      </c>
      <c r="T10" s="775" t="s">
        <v>31</v>
      </c>
      <c r="U10" s="775" t="s">
        <v>10</v>
      </c>
      <c r="V10" s="701"/>
      <c r="W10" s="701"/>
    </row>
    <row r="11" spans="1:23" ht="67.5" x14ac:dyDescent="0.25">
      <c r="A11" s="701" t="s">
        <v>486</v>
      </c>
      <c r="B11" s="701"/>
      <c r="C11" s="781"/>
      <c r="D11" s="776"/>
      <c r="E11" s="776"/>
      <c r="F11" s="776"/>
      <c r="G11" s="776"/>
      <c r="H11" s="776"/>
      <c r="I11" s="776"/>
      <c r="J11" s="776"/>
      <c r="K11" s="776"/>
      <c r="L11" s="709" t="s">
        <v>335</v>
      </c>
      <c r="M11" s="709" t="s">
        <v>40</v>
      </c>
      <c r="N11" s="709" t="s">
        <v>343</v>
      </c>
      <c r="O11" s="709" t="s">
        <v>344</v>
      </c>
      <c r="P11" s="719" t="s">
        <v>610</v>
      </c>
      <c r="Q11" s="709" t="s">
        <v>346</v>
      </c>
      <c r="R11" s="776"/>
      <c r="S11" s="776"/>
      <c r="T11" s="776"/>
      <c r="U11" s="776"/>
      <c r="V11" s="701"/>
      <c r="W11" s="701"/>
    </row>
    <row r="12" spans="1:23" x14ac:dyDescent="0.25">
      <c r="A12" s="701" t="s">
        <v>487</v>
      </c>
      <c r="B12" s="701"/>
      <c r="C12" s="710" t="s">
        <v>59</v>
      </c>
      <c r="D12" s="711">
        <f>Bilans_E_AMS_Kyoto_run3_MTE!H236</f>
        <v>0</v>
      </c>
      <c r="E12" s="711">
        <f>Bilans_E_AMS_Kyoto_run3_MTE!I236</f>
        <v>9.5366</v>
      </c>
      <c r="F12" s="711">
        <f>Bilans_E_AMS_Kyoto_run3_MTE!J236</f>
        <v>0</v>
      </c>
      <c r="G12" s="711">
        <f>Bilans_E_AMS_Kyoto_run3_MTE!K236</f>
        <v>0</v>
      </c>
      <c r="H12" s="711">
        <f>Bilans_E_AMS_Kyoto_run3_MTE!L236</f>
        <v>0.19771000000000002</v>
      </c>
      <c r="I12" s="711">
        <f>Bilans_E_AMS_Kyoto_run3_MTE!M236</f>
        <v>0</v>
      </c>
      <c r="J12" s="711">
        <f>Bilans_E_AMS_Kyoto_run3_MTE!N236</f>
        <v>1175.008</v>
      </c>
      <c r="K12" s="711">
        <f>Bilans_E_AMS_Kyoto_run3_MTE!O236</f>
        <v>187.71649074759767</v>
      </c>
      <c r="L12" s="711">
        <f>Bilans_E_AMS_Kyoto_run3_MTE!P236</f>
        <v>270.72826025037881</v>
      </c>
      <c r="M12" s="711">
        <f>Bilans_E_AMS_Kyoto_run3_MTE!Q236</f>
        <v>45.897084258145583</v>
      </c>
      <c r="N12" s="711">
        <f>Bilans_E_AMS_Kyoto_run3_MTE!R236</f>
        <v>0</v>
      </c>
      <c r="O12" s="711">
        <f>Bilans_E_AMS_Kyoto_run3_MTE!S236</f>
        <v>0</v>
      </c>
      <c r="P12" s="711">
        <f>Bilans_E_AMS_Kyoto_run3_MTE!T236+Bilans_E_AMS_Kyoto_run3_MTE!U236</f>
        <v>112.54177827352326</v>
      </c>
      <c r="Q12" s="711">
        <f>Bilans_E_AMS_Kyoto_run3_MTE!V236</f>
        <v>18.694423964001231</v>
      </c>
      <c r="R12" s="711">
        <f>Bilans_E_AMS_Kyoto_run3_MTE!W236</f>
        <v>0</v>
      </c>
      <c r="S12" s="711">
        <f>Bilans_E_AMS_Kyoto_run3_MTE!X236</f>
        <v>0</v>
      </c>
      <c r="T12" s="711">
        <f>Bilans_E_AMS_Kyoto_run3_MTE!Y236</f>
        <v>0</v>
      </c>
      <c r="U12" s="711">
        <f>Bilans_E_AMS_Kyoto_run3_MTE!Z236</f>
        <v>1820.3203474936468</v>
      </c>
      <c r="V12" s="701"/>
      <c r="W12" s="701"/>
    </row>
    <row r="13" spans="1:23" x14ac:dyDescent="0.25">
      <c r="A13" s="701" t="s">
        <v>488</v>
      </c>
      <c r="B13" s="701"/>
      <c r="C13" s="710" t="s">
        <v>60</v>
      </c>
      <c r="D13" s="712">
        <f>Bilans_E_AMS_Kyoto_run3_MTE!H237</f>
        <v>31.56033221100661</v>
      </c>
      <c r="E13" s="712">
        <f>Bilans_E_AMS_Kyoto_run3_MTE!I237</f>
        <v>423.65248565453913</v>
      </c>
      <c r="F13" s="712">
        <f>Bilans_E_AMS_Kyoto_run3_MTE!J237</f>
        <v>228.49107773749739</v>
      </c>
      <c r="G13" s="712">
        <f>Bilans_E_AMS_Kyoto_run3_MTE!K237</f>
        <v>0</v>
      </c>
      <c r="H13" s="712">
        <f>Bilans_E_AMS_Kyoto_run3_MTE!L237</f>
        <v>310.81966457442218</v>
      </c>
      <c r="I13" s="712">
        <f>Bilans_E_AMS_Kyoto_run3_MTE!M237</f>
        <v>0</v>
      </c>
      <c r="J13" s="712">
        <f>Bilans_E_AMS_Kyoto_run3_MTE!N237</f>
        <v>0</v>
      </c>
      <c r="K13" s="712">
        <f>Bilans_E_AMS_Kyoto_run3_MTE!O237</f>
        <v>0</v>
      </c>
      <c r="L13" s="712">
        <f>Bilans_E_AMS_Kyoto_run3_MTE!P237</f>
        <v>0</v>
      </c>
      <c r="M13" s="712">
        <f>Bilans_E_AMS_Kyoto_run3_MTE!Q237</f>
        <v>0</v>
      </c>
      <c r="N13" s="712">
        <f>Bilans_E_AMS_Kyoto_run3_MTE!R237</f>
        <v>5.9340151643868637</v>
      </c>
      <c r="O13" s="712">
        <f>Bilans_E_AMS_Kyoto_run3_MTE!S237</f>
        <v>10.245803282523816</v>
      </c>
      <c r="P13" s="712">
        <f>Bilans_E_AMS_Kyoto_run3_MTE!T237+Bilans_E_AMS_Kyoto_run3_MTE!U237</f>
        <v>0</v>
      </c>
      <c r="Q13" s="712">
        <f>Bilans_E_AMS_Kyoto_run3_MTE!V237</f>
        <v>0</v>
      </c>
      <c r="R13" s="712">
        <f>Bilans_E_AMS_Kyoto_run3_MTE!W237</f>
        <v>0</v>
      </c>
      <c r="S13" s="712">
        <f>Bilans_E_AMS_Kyoto_run3_MTE!X237</f>
        <v>0</v>
      </c>
      <c r="T13" s="712">
        <f>Bilans_E_AMS_Kyoto_run3_MTE!Y237</f>
        <v>0</v>
      </c>
      <c r="U13" s="712">
        <f>Bilans_E_AMS_Kyoto_run3_MTE!Z237</f>
        <v>1010.703378624376</v>
      </c>
      <c r="V13" s="701"/>
      <c r="W13" s="701"/>
    </row>
    <row r="14" spans="1:23" x14ac:dyDescent="0.25">
      <c r="A14" s="701" t="s">
        <v>489</v>
      </c>
      <c r="B14" s="701"/>
      <c r="C14" s="710" t="s">
        <v>61</v>
      </c>
      <c r="D14" s="712">
        <f>Bilans_E_AMS_Kyoto_run3_MTE!H238</f>
        <v>0</v>
      </c>
      <c r="E14" s="712">
        <f>Bilans_E_AMS_Kyoto_run3_MTE!I238</f>
        <v>0</v>
      </c>
      <c r="F14" s="712">
        <f>Bilans_E_AMS_Kyoto_run3_MTE!J238</f>
        <v>0</v>
      </c>
      <c r="G14" s="712">
        <f>Bilans_E_AMS_Kyoto_run3_MTE!K238</f>
        <v>-0.15000000000000002</v>
      </c>
      <c r="H14" s="712">
        <f>Bilans_E_AMS_Kyoto_run3_MTE!L238</f>
        <v>0</v>
      </c>
      <c r="I14" s="712">
        <f>Bilans_E_AMS_Kyoto_run3_MTE!M238</f>
        <v>0</v>
      </c>
      <c r="J14" s="712">
        <f>Bilans_E_AMS_Kyoto_run3_MTE!N238</f>
        <v>0</v>
      </c>
      <c r="K14" s="712">
        <f>Bilans_E_AMS_Kyoto_run3_MTE!O238</f>
        <v>0</v>
      </c>
      <c r="L14" s="712">
        <f>Bilans_E_AMS_Kyoto_run3_MTE!P238</f>
        <v>-1.1067692486901137</v>
      </c>
      <c r="M14" s="712">
        <f>Bilans_E_AMS_Kyoto_run3_MTE!Q238</f>
        <v>0</v>
      </c>
      <c r="N14" s="712">
        <f>Bilans_E_AMS_Kyoto_run3_MTE!R238</f>
        <v>0</v>
      </c>
      <c r="O14" s="712">
        <f>Bilans_E_AMS_Kyoto_run3_MTE!S238</f>
        <v>0</v>
      </c>
      <c r="P14" s="712">
        <f>Bilans_E_AMS_Kyoto_run3_MTE!T238+Bilans_E_AMS_Kyoto_run3_MTE!U238</f>
        <v>0</v>
      </c>
      <c r="Q14" s="712">
        <f>Bilans_E_AMS_Kyoto_run3_MTE!V238</f>
        <v>0</v>
      </c>
      <c r="R14" s="712">
        <f>Bilans_E_AMS_Kyoto_run3_MTE!W238</f>
        <v>-74.597074661503257</v>
      </c>
      <c r="S14" s="712">
        <f>Bilans_E_AMS_Kyoto_run3_MTE!X238</f>
        <v>0</v>
      </c>
      <c r="T14" s="712">
        <f>Bilans_E_AMS_Kyoto_run3_MTE!Y238</f>
        <v>0</v>
      </c>
      <c r="U14" s="712">
        <f>Bilans_E_AMS_Kyoto_run3_MTE!Z238</f>
        <v>-75.853843910193376</v>
      </c>
      <c r="V14" s="701"/>
      <c r="W14" s="701"/>
    </row>
    <row r="15" spans="1:23" x14ac:dyDescent="0.25">
      <c r="A15" s="701" t="s">
        <v>490</v>
      </c>
      <c r="B15" s="701"/>
      <c r="C15" s="710" t="s">
        <v>62</v>
      </c>
      <c r="D15" s="711">
        <f>Bilans_E_AMS_Kyoto_run3_MTE!H239</f>
        <v>0</v>
      </c>
      <c r="E15" s="711">
        <f>Bilans_E_AMS_Kyoto_run3_MTE!I239</f>
        <v>0</v>
      </c>
      <c r="F15" s="711">
        <f>Bilans_E_AMS_Kyoto_run3_MTE!J239</f>
        <v>-9.5738305718287435</v>
      </c>
      <c r="G15" s="711">
        <f>Bilans_E_AMS_Kyoto_run3_MTE!K239</f>
        <v>-0.13812944417760184</v>
      </c>
      <c r="H15" s="711">
        <f>Bilans_E_AMS_Kyoto_run3_MTE!L239</f>
        <v>-1.5870151763057716</v>
      </c>
      <c r="I15" s="711">
        <f>Bilans_E_AMS_Kyoto_run3_MTE!M239</f>
        <v>-0.12645508616383627</v>
      </c>
      <c r="J15" s="711">
        <f>Bilans_E_AMS_Kyoto_run3_MTE!N239</f>
        <v>0</v>
      </c>
      <c r="K15" s="711">
        <f>Bilans_E_AMS_Kyoto_run3_MTE!O239</f>
        <v>0</v>
      </c>
      <c r="L15" s="711">
        <f>Bilans_E_AMS_Kyoto_run3_MTE!P239</f>
        <v>0</v>
      </c>
      <c r="M15" s="711">
        <f>Bilans_E_AMS_Kyoto_run3_MTE!Q239</f>
        <v>0</v>
      </c>
      <c r="N15" s="711">
        <f>Bilans_E_AMS_Kyoto_run3_MTE!R239</f>
        <v>0</v>
      </c>
      <c r="O15" s="711">
        <f>Bilans_E_AMS_Kyoto_run3_MTE!S239</f>
        <v>-0.4604322926990882</v>
      </c>
      <c r="P15" s="711">
        <f>Bilans_E_AMS_Kyoto_run3_MTE!T239+Bilans_E_AMS_Kyoto_run3_MTE!U239</f>
        <v>0</v>
      </c>
      <c r="Q15" s="711">
        <f>Bilans_E_AMS_Kyoto_run3_MTE!V239</f>
        <v>0</v>
      </c>
      <c r="R15" s="711">
        <f>Bilans_E_AMS_Kyoto_run3_MTE!W239</f>
        <v>0</v>
      </c>
      <c r="S15" s="711">
        <f>Bilans_E_AMS_Kyoto_run3_MTE!X239</f>
        <v>0</v>
      </c>
      <c r="T15" s="711">
        <f>Bilans_E_AMS_Kyoto_run3_MTE!Y239</f>
        <v>-5.1110724267898235E-2</v>
      </c>
      <c r="U15" s="711">
        <f>Bilans_E_AMS_Kyoto_run3_MTE!Z239</f>
        <v>-11.936973295442941</v>
      </c>
      <c r="V15" s="701"/>
      <c r="W15" s="701"/>
    </row>
    <row r="16" spans="1:23" x14ac:dyDescent="0.25">
      <c r="A16" s="701" t="s">
        <v>491</v>
      </c>
      <c r="B16" s="701"/>
      <c r="C16" s="710" t="s">
        <v>63</v>
      </c>
      <c r="D16" s="711">
        <f>Bilans_E_AMS_Kyoto_run3_MTE!H240</f>
        <v>0</v>
      </c>
      <c r="E16" s="711">
        <f>Bilans_E_AMS_Kyoto_run3_MTE!I240</f>
        <v>0</v>
      </c>
      <c r="F16" s="711">
        <f>Bilans_E_AMS_Kyoto_run3_MTE!J240</f>
        <v>-70</v>
      </c>
      <c r="G16" s="711">
        <f>Bilans_E_AMS_Kyoto_run3_MTE!K240</f>
        <v>-0.6</v>
      </c>
      <c r="H16" s="711">
        <f>Bilans_E_AMS_Kyoto_run3_MTE!L240</f>
        <v>0</v>
      </c>
      <c r="I16" s="711">
        <f>Bilans_E_AMS_Kyoto_run3_MTE!M240</f>
        <v>0</v>
      </c>
      <c r="J16" s="711">
        <f>Bilans_E_AMS_Kyoto_run3_MTE!N240</f>
        <v>0</v>
      </c>
      <c r="K16" s="711">
        <f>Bilans_E_AMS_Kyoto_run3_MTE!O240</f>
        <v>0</v>
      </c>
      <c r="L16" s="711">
        <f>Bilans_E_AMS_Kyoto_run3_MTE!P240</f>
        <v>0</v>
      </c>
      <c r="M16" s="711">
        <f>Bilans_E_AMS_Kyoto_run3_MTE!Q240</f>
        <v>0</v>
      </c>
      <c r="N16" s="711">
        <f>Bilans_E_AMS_Kyoto_run3_MTE!R240</f>
        <v>-2.8</v>
      </c>
      <c r="O16" s="711">
        <f>Bilans_E_AMS_Kyoto_run3_MTE!S240</f>
        <v>0</v>
      </c>
      <c r="P16" s="711">
        <f>Bilans_E_AMS_Kyoto_run3_MTE!T240+Bilans_E_AMS_Kyoto_run3_MTE!U240</f>
        <v>0</v>
      </c>
      <c r="Q16" s="711">
        <f>Bilans_E_AMS_Kyoto_run3_MTE!V240</f>
        <v>0</v>
      </c>
      <c r="R16" s="711">
        <f>Bilans_E_AMS_Kyoto_run3_MTE!W240</f>
        <v>0</v>
      </c>
      <c r="S16" s="711">
        <f>Bilans_E_AMS_Kyoto_run3_MTE!X240</f>
        <v>0</v>
      </c>
      <c r="T16" s="711">
        <f>Bilans_E_AMS_Kyoto_run3_MTE!Y240</f>
        <v>0</v>
      </c>
      <c r="U16" s="711">
        <f>Bilans_E_AMS_Kyoto_run3_MTE!Z240</f>
        <v>-73.399999999999991</v>
      </c>
      <c r="V16" s="701"/>
      <c r="W16" s="701"/>
    </row>
    <row r="17" spans="1:23" x14ac:dyDescent="0.25">
      <c r="A17" s="701" t="s">
        <v>492</v>
      </c>
      <c r="B17" s="701"/>
      <c r="C17" s="710" t="s">
        <v>64</v>
      </c>
      <c r="D17" s="712">
        <f>Bilans_E_AMS_Kyoto_run3_MTE!H241</f>
        <v>0</v>
      </c>
      <c r="E17" s="712">
        <f>Bilans_E_AMS_Kyoto_run3_MTE!I241</f>
        <v>0</v>
      </c>
      <c r="F17" s="712">
        <f>Bilans_E_AMS_Kyoto_run3_MTE!J241</f>
        <v>0</v>
      </c>
      <c r="G17" s="712">
        <f>Bilans_E_AMS_Kyoto_run3_MTE!K241</f>
        <v>0</v>
      </c>
      <c r="H17" s="712">
        <f>Bilans_E_AMS_Kyoto_run3_MTE!L241</f>
        <v>0</v>
      </c>
      <c r="I17" s="712">
        <f>Bilans_E_AMS_Kyoto_run3_MTE!M241</f>
        <v>0</v>
      </c>
      <c r="J17" s="712">
        <f>Bilans_E_AMS_Kyoto_run3_MTE!N241</f>
        <v>0</v>
      </c>
      <c r="K17" s="712">
        <f>Bilans_E_AMS_Kyoto_run3_MTE!O241</f>
        <v>0</v>
      </c>
      <c r="L17" s="712">
        <f>Bilans_E_AMS_Kyoto_run3_MTE!P241</f>
        <v>0</v>
      </c>
      <c r="M17" s="712">
        <f>Bilans_E_AMS_Kyoto_run3_MTE!Q241</f>
        <v>0</v>
      </c>
      <c r="N17" s="712">
        <f>Bilans_E_AMS_Kyoto_run3_MTE!R241</f>
        <v>0</v>
      </c>
      <c r="O17" s="712">
        <f>Bilans_E_AMS_Kyoto_run3_MTE!S241</f>
        <v>0</v>
      </c>
      <c r="P17" s="712">
        <f>Bilans_E_AMS_Kyoto_run3_MTE!T241+Bilans_E_AMS_Kyoto_run3_MTE!U241</f>
        <v>0</v>
      </c>
      <c r="Q17" s="712">
        <f>Bilans_E_AMS_Kyoto_run3_MTE!V241</f>
        <v>0</v>
      </c>
      <c r="R17" s="712">
        <f>Bilans_E_AMS_Kyoto_run3_MTE!W241</f>
        <v>0</v>
      </c>
      <c r="S17" s="712">
        <f>Bilans_E_AMS_Kyoto_run3_MTE!X241</f>
        <v>0</v>
      </c>
      <c r="T17" s="712">
        <f>Bilans_E_AMS_Kyoto_run3_MTE!Y241</f>
        <v>0</v>
      </c>
      <c r="U17" s="712">
        <f>Bilans_E_AMS_Kyoto_run3_MTE!Z241</f>
        <v>0</v>
      </c>
      <c r="V17" s="701"/>
      <c r="W17" s="701"/>
    </row>
    <row r="18" spans="1:23" x14ac:dyDescent="0.25">
      <c r="A18" s="701" t="s">
        <v>493</v>
      </c>
      <c r="B18" s="701"/>
      <c r="C18" s="713" t="s">
        <v>65</v>
      </c>
      <c r="D18" s="714">
        <f>Bilans_E_AMS_Kyoto_run3_MTE!H242</f>
        <v>31.56033221100661</v>
      </c>
      <c r="E18" s="714">
        <f>Bilans_E_AMS_Kyoto_run3_MTE!I242</f>
        <v>433.18908565453916</v>
      </c>
      <c r="F18" s="714">
        <f>Bilans_E_AMS_Kyoto_run3_MTE!J242</f>
        <v>148.91724716566864</v>
      </c>
      <c r="G18" s="714">
        <f>Bilans_E_AMS_Kyoto_run3_MTE!K242</f>
        <v>-0.88812944417760187</v>
      </c>
      <c r="H18" s="714">
        <f>Bilans_E_AMS_Kyoto_run3_MTE!L242</f>
        <v>309.43035939811637</v>
      </c>
      <c r="I18" s="714">
        <f>Bilans_E_AMS_Kyoto_run3_MTE!M242</f>
        <v>-0.12645508616383627</v>
      </c>
      <c r="J18" s="714">
        <f>Bilans_E_AMS_Kyoto_run3_MTE!N242</f>
        <v>1175.008</v>
      </c>
      <c r="K18" s="714">
        <f>Bilans_E_AMS_Kyoto_run3_MTE!O242</f>
        <v>187.71649074759767</v>
      </c>
      <c r="L18" s="714">
        <f>Bilans_E_AMS_Kyoto_run3_MTE!P242</f>
        <v>269.6214910016887</v>
      </c>
      <c r="M18" s="714">
        <f>Bilans_E_AMS_Kyoto_run3_MTE!Q242</f>
        <v>45.897084258145583</v>
      </c>
      <c r="N18" s="714">
        <f>Bilans_E_AMS_Kyoto_run3_MTE!R242</f>
        <v>3.1340151643868639</v>
      </c>
      <c r="O18" s="714">
        <f>Bilans_E_AMS_Kyoto_run3_MTE!S242</f>
        <v>9.7853709898247274</v>
      </c>
      <c r="P18" s="714">
        <f>Bilans_E_AMS_Kyoto_run3_MTE!T242+Bilans_E_AMS_Kyoto_run3_MTE!U242</f>
        <v>112.54177827352326</v>
      </c>
      <c r="Q18" s="714">
        <f>Bilans_E_AMS_Kyoto_run3_MTE!V242</f>
        <v>18.694423964001231</v>
      </c>
      <c r="R18" s="714">
        <f>Bilans_E_AMS_Kyoto_run3_MTE!W242</f>
        <v>-74.597074661503257</v>
      </c>
      <c r="S18" s="714">
        <f>Bilans_E_AMS_Kyoto_run3_MTE!X242</f>
        <v>0</v>
      </c>
      <c r="T18" s="714">
        <f>Bilans_E_AMS_Kyoto_run3_MTE!Y242</f>
        <v>-5.1110724267898235E-2</v>
      </c>
      <c r="U18" s="714">
        <f>Bilans_E_AMS_Kyoto_run3_MTE!Z242</f>
        <v>2669.8329089123863</v>
      </c>
      <c r="V18" s="701"/>
      <c r="W18" s="701"/>
    </row>
    <row r="19" spans="1:23" x14ac:dyDescent="0.25">
      <c r="A19" s="701"/>
      <c r="B19" s="701"/>
      <c r="C19" s="715"/>
      <c r="D19" s="716"/>
      <c r="E19" s="716"/>
      <c r="F19" s="716"/>
      <c r="G19" s="716"/>
      <c r="H19" s="716"/>
      <c r="I19" s="716"/>
      <c r="J19" s="716"/>
      <c r="K19" s="716"/>
      <c r="L19" s="716"/>
      <c r="M19" s="716"/>
      <c r="N19" s="716"/>
      <c r="O19" s="716"/>
      <c r="P19" s="716">
        <f>Bilans_E_AMS_Kyoto_run3_MTE!T243+Bilans_E_AMS_Kyoto_run3_MTE!U243</f>
        <v>0</v>
      </c>
      <c r="Q19" s="716"/>
      <c r="R19" s="716"/>
      <c r="S19" s="716"/>
      <c r="T19" s="716"/>
      <c r="U19" s="716"/>
      <c r="V19" s="701"/>
      <c r="W19" s="701"/>
    </row>
    <row r="20" spans="1:23" x14ac:dyDescent="0.25">
      <c r="A20" s="701" t="s">
        <v>494</v>
      </c>
      <c r="B20" s="701"/>
      <c r="C20" s="717" t="s">
        <v>67</v>
      </c>
      <c r="D20" s="711">
        <f>Bilans_E_AMS_Kyoto_run3_MTE!H244</f>
        <v>0</v>
      </c>
      <c r="E20" s="711">
        <f>Bilans_E_AMS_Kyoto_run3_MTE!I244</f>
        <v>0</v>
      </c>
      <c r="F20" s="711">
        <f>Bilans_E_AMS_Kyoto_run3_MTE!J244</f>
        <v>0</v>
      </c>
      <c r="G20" s="711">
        <f>Bilans_E_AMS_Kyoto_run3_MTE!K244</f>
        <v>0</v>
      </c>
      <c r="H20" s="711">
        <f>Bilans_E_AMS_Kyoto_run3_MTE!L244</f>
        <v>0</v>
      </c>
      <c r="I20" s="711">
        <f>Bilans_E_AMS_Kyoto_run3_MTE!M244</f>
        <v>0</v>
      </c>
      <c r="J20" s="711">
        <f>Bilans_E_AMS_Kyoto_run3_MTE!N244</f>
        <v>0</v>
      </c>
      <c r="K20" s="711">
        <f>Bilans_E_AMS_Kyoto_run3_MTE!O244</f>
        <v>0</v>
      </c>
      <c r="L20" s="711">
        <f>Bilans_E_AMS_Kyoto_run3_MTE!P244</f>
        <v>0</v>
      </c>
      <c r="M20" s="711">
        <f>Bilans_E_AMS_Kyoto_run3_MTE!Q244</f>
        <v>0</v>
      </c>
      <c r="N20" s="711">
        <f>Bilans_E_AMS_Kyoto_run3_MTE!R244</f>
        <v>0</v>
      </c>
      <c r="O20" s="711">
        <f>Bilans_E_AMS_Kyoto_run3_MTE!S244</f>
        <v>0</v>
      </c>
      <c r="P20" s="711">
        <f>Bilans_E_AMS_Kyoto_run3_MTE!T244+Bilans_E_AMS_Kyoto_run3_MTE!U244</f>
        <v>0</v>
      </c>
      <c r="Q20" s="711">
        <f>Bilans_E_AMS_Kyoto_run3_MTE!V244</f>
        <v>0</v>
      </c>
      <c r="R20" s="711">
        <f>Bilans_E_AMS_Kyoto_run3_MTE!W244</f>
        <v>0</v>
      </c>
      <c r="S20" s="711">
        <f>Bilans_E_AMS_Kyoto_run3_MTE!X244</f>
        <v>0</v>
      </c>
      <c r="T20" s="711">
        <f>Bilans_E_AMS_Kyoto_run3_MTE!Y244</f>
        <v>0</v>
      </c>
      <c r="U20" s="711">
        <f>Bilans_E_AMS_Kyoto_run3_MTE!Z244</f>
        <v>0</v>
      </c>
      <c r="V20" s="701"/>
      <c r="W20" s="701"/>
    </row>
    <row r="21" spans="1:23" x14ac:dyDescent="0.25">
      <c r="A21" s="701" t="s">
        <v>495</v>
      </c>
      <c r="B21" s="701"/>
      <c r="C21" s="717" t="s">
        <v>347</v>
      </c>
      <c r="D21" s="711">
        <f>Bilans_E_AMS_Kyoto_run3_MTE!H245</f>
        <v>0</v>
      </c>
      <c r="E21" s="711">
        <f>Bilans_E_AMS_Kyoto_run3_MTE!I245</f>
        <v>0</v>
      </c>
      <c r="F21" s="711">
        <f>Bilans_E_AMS_Kyoto_run3_MTE!J245</f>
        <v>1.6370023545014427</v>
      </c>
      <c r="G21" s="711">
        <f>Bilans_E_AMS_Kyoto_run3_MTE!K245</f>
        <v>0</v>
      </c>
      <c r="H21" s="711">
        <f>Bilans_E_AMS_Kyoto_run3_MTE!L245</f>
        <v>52.55573442014758</v>
      </c>
      <c r="I21" s="711">
        <f>Bilans_E_AMS_Kyoto_run3_MTE!M245</f>
        <v>0</v>
      </c>
      <c r="J21" s="711">
        <f>Bilans_E_AMS_Kyoto_run3_MTE!N245</f>
        <v>1175.008</v>
      </c>
      <c r="K21" s="711">
        <f>Bilans_E_AMS_Kyoto_run3_MTE!O245</f>
        <v>187.71649074759767</v>
      </c>
      <c r="L21" s="711">
        <f>Bilans_E_AMS_Kyoto_run3_MTE!P245</f>
        <v>13.303812367551458</v>
      </c>
      <c r="M21" s="711">
        <f>Bilans_E_AMS_Kyoto_run3_MTE!Q245</f>
        <v>6.8324809145411169</v>
      </c>
      <c r="N21" s="711">
        <f>Bilans_E_AMS_Kyoto_run3_MTE!R245</f>
        <v>4.867247129818443</v>
      </c>
      <c r="O21" s="711">
        <f>Bilans_E_AMS_Kyoto_run3_MTE!S245</f>
        <v>11.312131727734517</v>
      </c>
      <c r="P21" s="711">
        <f>Bilans_E_AMS_Kyoto_run3_MTE!T245+Bilans_E_AMS_Kyoto_run3_MTE!U245</f>
        <v>0</v>
      </c>
      <c r="Q21" s="711">
        <f>Bilans_E_AMS_Kyoto_run3_MTE!V245</f>
        <v>0.1274458438995901</v>
      </c>
      <c r="R21" s="711">
        <f>Bilans_E_AMS_Kyoto_run3_MTE!W245</f>
        <v>-623.12460271743248</v>
      </c>
      <c r="S21" s="711">
        <f>Bilans_E_AMS_Kyoto_run3_MTE!X245</f>
        <v>0</v>
      </c>
      <c r="T21" s="711">
        <f>Bilans_E_AMS_Kyoto_run3_MTE!Y245</f>
        <v>0</v>
      </c>
      <c r="U21" s="711">
        <f>Bilans_E_AMS_Kyoto_run3_MTE!Z245</f>
        <v>830.2357427883594</v>
      </c>
      <c r="V21" s="701"/>
      <c r="W21" s="701"/>
    </row>
    <row r="22" spans="1:23" x14ac:dyDescent="0.25">
      <c r="A22" s="701" t="s">
        <v>496</v>
      </c>
      <c r="B22" s="701"/>
      <c r="C22" s="717" t="s">
        <v>348</v>
      </c>
      <c r="D22" s="711">
        <f>Bilans_E_AMS_Kyoto_run3_MTE!H246</f>
        <v>0.13467107819411372</v>
      </c>
      <c r="E22" s="711">
        <f>Bilans_E_AMS_Kyoto_run3_MTE!I246</f>
        <v>0</v>
      </c>
      <c r="F22" s="711">
        <f>Bilans_E_AMS_Kyoto_run3_MTE!J246</f>
        <v>0.52506612841034428</v>
      </c>
      <c r="G22" s="711">
        <f>Bilans_E_AMS_Kyoto_run3_MTE!K246</f>
        <v>0</v>
      </c>
      <c r="H22" s="711">
        <f>Bilans_E_AMS_Kyoto_run3_MTE!L246</f>
        <v>19.432145084898821</v>
      </c>
      <c r="I22" s="711">
        <f>Bilans_E_AMS_Kyoto_run3_MTE!M246</f>
        <v>0</v>
      </c>
      <c r="J22" s="711">
        <f>Bilans_E_AMS_Kyoto_run3_MTE!N246</f>
        <v>0</v>
      </c>
      <c r="K22" s="711">
        <f>Bilans_E_AMS_Kyoto_run3_MTE!O246</f>
        <v>0</v>
      </c>
      <c r="L22" s="711">
        <f>Bilans_E_AMS_Kyoto_run3_MTE!P246</f>
        <v>22.121134883246068</v>
      </c>
      <c r="M22" s="711">
        <f>Bilans_E_AMS_Kyoto_run3_MTE!Q246</f>
        <v>14.207576096436197</v>
      </c>
      <c r="N22" s="711">
        <f>Bilans_E_AMS_Kyoto_run3_MTE!R246</f>
        <v>0</v>
      </c>
      <c r="O22" s="711">
        <f>Bilans_E_AMS_Kyoto_run3_MTE!S246</f>
        <v>4.3596905995520387</v>
      </c>
      <c r="P22" s="711">
        <f>Bilans_E_AMS_Kyoto_run3_MTE!T246+Bilans_E_AMS_Kyoto_run3_MTE!U246</f>
        <v>4.1667830272384689</v>
      </c>
      <c r="Q22" s="711">
        <f>Bilans_E_AMS_Kyoto_run3_MTE!V246</f>
        <v>8.0512503201458188</v>
      </c>
      <c r="R22" s="711">
        <f>Bilans_E_AMS_Kyoto_run3_MTE!W246</f>
        <v>0</v>
      </c>
      <c r="S22" s="711">
        <f>Bilans_E_AMS_Kyoto_run3_MTE!X246</f>
        <v>-64.903157384138837</v>
      </c>
      <c r="T22" s="711">
        <f>Bilans_E_AMS_Kyoto_run3_MTE!Y246</f>
        <v>0</v>
      </c>
      <c r="U22" s="711">
        <f>Bilans_E_AMS_Kyoto_run3_MTE!Z246</f>
        <v>8.0951598339830468</v>
      </c>
      <c r="V22" s="701"/>
      <c r="W22" s="701"/>
    </row>
    <row r="23" spans="1:23" x14ac:dyDescent="0.25">
      <c r="A23" s="701" t="s">
        <v>497</v>
      </c>
      <c r="B23" s="701"/>
      <c r="C23" s="717" t="s">
        <v>349</v>
      </c>
      <c r="D23" s="711">
        <f>Bilans_E_AMS_Kyoto_run3_MTE!H247</f>
        <v>0</v>
      </c>
      <c r="E23" s="711">
        <f>Bilans_E_AMS_Kyoto_run3_MTE!I247</f>
        <v>0</v>
      </c>
      <c r="F23" s="711">
        <f>Bilans_E_AMS_Kyoto_run3_MTE!J247</f>
        <v>0</v>
      </c>
      <c r="G23" s="711">
        <f>Bilans_E_AMS_Kyoto_run3_MTE!K247</f>
        <v>0</v>
      </c>
      <c r="H23" s="711">
        <f>Bilans_E_AMS_Kyoto_run3_MTE!L247</f>
        <v>0</v>
      </c>
      <c r="I23" s="711">
        <f>Bilans_E_AMS_Kyoto_run3_MTE!M247</f>
        <v>0</v>
      </c>
      <c r="J23" s="711">
        <f>Bilans_E_AMS_Kyoto_run3_MTE!N247</f>
        <v>0</v>
      </c>
      <c r="K23" s="711">
        <f>Bilans_E_AMS_Kyoto_run3_MTE!O247</f>
        <v>0</v>
      </c>
      <c r="L23" s="711">
        <f>Bilans_E_AMS_Kyoto_run3_MTE!P247</f>
        <v>58.507459847608104</v>
      </c>
      <c r="M23" s="711">
        <f>Bilans_E_AMS_Kyoto_run3_MTE!Q247</f>
        <v>8.987596372567852</v>
      </c>
      <c r="N23" s="711">
        <f>Bilans_E_AMS_Kyoto_run3_MTE!R247</f>
        <v>0</v>
      </c>
      <c r="O23" s="711">
        <f>Bilans_E_AMS_Kyoto_run3_MTE!S247</f>
        <v>-33.609138102748922</v>
      </c>
      <c r="P23" s="711">
        <f>Bilans_E_AMS_Kyoto_run3_MTE!T247+Bilans_E_AMS_Kyoto_run3_MTE!U247</f>
        <v>0</v>
      </c>
      <c r="Q23" s="711">
        <f>Bilans_E_AMS_Kyoto_run3_MTE!V247</f>
        <v>0</v>
      </c>
      <c r="R23" s="711">
        <f>Bilans_E_AMS_Kyoto_run3_MTE!W247</f>
        <v>0</v>
      </c>
      <c r="S23" s="711">
        <f>Bilans_E_AMS_Kyoto_run3_MTE!X247</f>
        <v>0</v>
      </c>
      <c r="T23" s="711">
        <f>Bilans_E_AMS_Kyoto_run3_MTE!Y247</f>
        <v>0</v>
      </c>
      <c r="U23" s="711">
        <f>Bilans_E_AMS_Kyoto_run3_MTE!Z247</f>
        <v>33.885918117427032</v>
      </c>
      <c r="V23" s="701"/>
      <c r="W23" s="701"/>
    </row>
    <row r="24" spans="1:23" x14ac:dyDescent="0.25">
      <c r="A24" s="701" t="s">
        <v>498</v>
      </c>
      <c r="B24" s="701"/>
      <c r="C24" s="717" t="s">
        <v>350</v>
      </c>
      <c r="D24" s="711">
        <f>Bilans_E_AMS_Kyoto_run3_MTE!H248</f>
        <v>0</v>
      </c>
      <c r="E24" s="711">
        <f>Bilans_E_AMS_Kyoto_run3_MTE!I248</f>
        <v>0</v>
      </c>
      <c r="F24" s="711">
        <f>Bilans_E_AMS_Kyoto_run3_MTE!J248</f>
        <v>0</v>
      </c>
      <c r="G24" s="711">
        <f>Bilans_E_AMS_Kyoto_run3_MTE!K248</f>
        <v>0</v>
      </c>
      <c r="H24" s="711">
        <f>Bilans_E_AMS_Kyoto_run3_MTE!L248</f>
        <v>0</v>
      </c>
      <c r="I24" s="711">
        <f>Bilans_E_AMS_Kyoto_run3_MTE!M248</f>
        <v>-0.12645508616383627</v>
      </c>
      <c r="J24" s="711">
        <f>Bilans_E_AMS_Kyoto_run3_MTE!N248</f>
        <v>0</v>
      </c>
      <c r="K24" s="711">
        <f>Bilans_E_AMS_Kyoto_run3_MTE!O248</f>
        <v>0</v>
      </c>
      <c r="L24" s="711">
        <f>Bilans_E_AMS_Kyoto_run3_MTE!P248</f>
        <v>0</v>
      </c>
      <c r="M24" s="711">
        <f>Bilans_E_AMS_Kyoto_run3_MTE!Q248</f>
        <v>0</v>
      </c>
      <c r="N24" s="711">
        <f>Bilans_E_AMS_Kyoto_run3_MTE!R248</f>
        <v>0</v>
      </c>
      <c r="O24" s="711">
        <f>Bilans_E_AMS_Kyoto_run3_MTE!S248</f>
        <v>0</v>
      </c>
      <c r="P24" s="711">
        <f>Bilans_E_AMS_Kyoto_run3_MTE!T248+Bilans_E_AMS_Kyoto_run3_MTE!U248</f>
        <v>0</v>
      </c>
      <c r="Q24" s="711">
        <f>Bilans_E_AMS_Kyoto_run3_MTE!V248</f>
        <v>0</v>
      </c>
      <c r="R24" s="711">
        <f>Bilans_E_AMS_Kyoto_run3_MTE!W248</f>
        <v>0</v>
      </c>
      <c r="S24" s="711">
        <f>Bilans_E_AMS_Kyoto_run3_MTE!X248</f>
        <v>0</v>
      </c>
      <c r="T24" s="711">
        <f>Bilans_E_AMS_Kyoto_run3_MTE!Y248</f>
        <v>0.17563206411643928</v>
      </c>
      <c r="U24" s="711">
        <f>Bilans_E_AMS_Kyoto_run3_MTE!Z248</f>
        <v>4.9176977952603007E-2</v>
      </c>
      <c r="V24" s="701"/>
      <c r="W24" s="701"/>
    </row>
    <row r="25" spans="1:23" x14ac:dyDescent="0.25">
      <c r="A25" s="701" t="s">
        <v>499</v>
      </c>
      <c r="B25" s="701"/>
      <c r="C25" s="717" t="s">
        <v>72</v>
      </c>
      <c r="D25" s="711">
        <f>Bilans_E_AMS_Kyoto_run3_MTE!H249</f>
        <v>0</v>
      </c>
      <c r="E25" s="711">
        <f>Bilans_E_AMS_Kyoto_run3_MTE!I249</f>
        <v>448.96671017017962</v>
      </c>
      <c r="F25" s="711">
        <f>Bilans_E_AMS_Kyoto_run3_MTE!J249</f>
        <v>-444.47704306847783</v>
      </c>
      <c r="G25" s="711">
        <f>Bilans_E_AMS_Kyoto_run3_MTE!K249</f>
        <v>0</v>
      </c>
      <c r="H25" s="711">
        <f>Bilans_E_AMS_Kyoto_run3_MTE!L249</f>
        <v>0</v>
      </c>
      <c r="I25" s="711">
        <f>Bilans_E_AMS_Kyoto_run3_MTE!M249</f>
        <v>0</v>
      </c>
      <c r="J25" s="711">
        <f>Bilans_E_AMS_Kyoto_run3_MTE!N249</f>
        <v>0</v>
      </c>
      <c r="K25" s="711">
        <f>Bilans_E_AMS_Kyoto_run3_MTE!O249</f>
        <v>0</v>
      </c>
      <c r="L25" s="711">
        <f>Bilans_E_AMS_Kyoto_run3_MTE!P249</f>
        <v>0</v>
      </c>
      <c r="M25" s="711">
        <f>Bilans_E_AMS_Kyoto_run3_MTE!Q249</f>
        <v>0</v>
      </c>
      <c r="N25" s="711">
        <f>Bilans_E_AMS_Kyoto_run3_MTE!R249</f>
        <v>0</v>
      </c>
      <c r="O25" s="711">
        <f>Bilans_E_AMS_Kyoto_run3_MTE!S249</f>
        <v>0</v>
      </c>
      <c r="P25" s="711">
        <f>Bilans_E_AMS_Kyoto_run3_MTE!T249+Bilans_E_AMS_Kyoto_run3_MTE!U249</f>
        <v>0</v>
      </c>
      <c r="Q25" s="711">
        <f>Bilans_E_AMS_Kyoto_run3_MTE!V249</f>
        <v>0</v>
      </c>
      <c r="R25" s="711">
        <f>Bilans_E_AMS_Kyoto_run3_MTE!W249</f>
        <v>0</v>
      </c>
      <c r="S25" s="711">
        <f>Bilans_E_AMS_Kyoto_run3_MTE!X249</f>
        <v>0</v>
      </c>
      <c r="T25" s="711">
        <f>Bilans_E_AMS_Kyoto_run3_MTE!Y249</f>
        <v>0</v>
      </c>
      <c r="U25" s="711">
        <f>Bilans_E_AMS_Kyoto_run3_MTE!Z249</f>
        <v>4.4896671017017979</v>
      </c>
      <c r="V25" s="701"/>
      <c r="W25" s="701"/>
    </row>
    <row r="26" spans="1:23" x14ac:dyDescent="0.25">
      <c r="A26" s="701" t="s">
        <v>500</v>
      </c>
      <c r="B26" s="701"/>
      <c r="C26" s="717" t="s">
        <v>351</v>
      </c>
      <c r="D26" s="711">
        <f>Bilans_E_AMS_Kyoto_run3_MTE!H250</f>
        <v>0</v>
      </c>
      <c r="E26" s="711">
        <f>Bilans_E_AMS_Kyoto_run3_MTE!I250</f>
        <v>0</v>
      </c>
      <c r="F26" s="711">
        <f>Bilans_E_AMS_Kyoto_run3_MTE!J250</f>
        <v>0</v>
      </c>
      <c r="G26" s="711">
        <f>Bilans_E_AMS_Kyoto_run3_MTE!K250</f>
        <v>0</v>
      </c>
      <c r="H26" s="711">
        <f>Bilans_E_AMS_Kyoto_run3_MTE!L250</f>
        <v>0</v>
      </c>
      <c r="I26" s="711">
        <f>Bilans_E_AMS_Kyoto_run3_MTE!M250</f>
        <v>0</v>
      </c>
      <c r="J26" s="711">
        <f>Bilans_E_AMS_Kyoto_run3_MTE!N250</f>
        <v>0</v>
      </c>
      <c r="K26" s="711">
        <f>Bilans_E_AMS_Kyoto_run3_MTE!O250</f>
        <v>0</v>
      </c>
      <c r="L26" s="711">
        <f>Bilans_E_AMS_Kyoto_run3_MTE!P250</f>
        <v>67.718596792248618</v>
      </c>
      <c r="M26" s="711">
        <f>Bilans_E_AMS_Kyoto_run3_MTE!Q250</f>
        <v>7.2727272727272725</v>
      </c>
      <c r="N26" s="711">
        <f>Bilans_E_AMS_Kyoto_run3_MTE!R250</f>
        <v>-43.275160646366466</v>
      </c>
      <c r="O26" s="711">
        <f>Bilans_E_AMS_Kyoto_run3_MTE!S250</f>
        <v>0</v>
      </c>
      <c r="P26" s="711">
        <f>Bilans_E_AMS_Kyoto_run3_MTE!T250+Bilans_E_AMS_Kyoto_run3_MTE!U250</f>
        <v>0</v>
      </c>
      <c r="Q26" s="711">
        <f>Bilans_E_AMS_Kyoto_run3_MTE!V250</f>
        <v>0</v>
      </c>
      <c r="R26" s="711">
        <f>Bilans_E_AMS_Kyoto_run3_MTE!W250</f>
        <v>0</v>
      </c>
      <c r="S26" s="711">
        <f>Bilans_E_AMS_Kyoto_run3_MTE!X250</f>
        <v>0</v>
      </c>
      <c r="T26" s="711">
        <f>Bilans_E_AMS_Kyoto_run3_MTE!Y250</f>
        <v>0</v>
      </c>
      <c r="U26" s="711">
        <f>Bilans_E_AMS_Kyoto_run3_MTE!Z250</f>
        <v>31.716163418609419</v>
      </c>
      <c r="V26" s="701"/>
      <c r="W26" s="701"/>
    </row>
    <row r="27" spans="1:23" x14ac:dyDescent="0.25">
      <c r="A27" s="701" t="s">
        <v>501</v>
      </c>
      <c r="B27" s="701"/>
      <c r="C27" s="717" t="s">
        <v>352</v>
      </c>
      <c r="D27" s="711">
        <f>Bilans_E_AMS_Kyoto_run3_MTE!H251</f>
        <v>0</v>
      </c>
      <c r="E27" s="711">
        <f>Bilans_E_AMS_Kyoto_run3_MTE!I251</f>
        <v>0</v>
      </c>
      <c r="F27" s="711">
        <f>Bilans_E_AMS_Kyoto_run3_MTE!J251</f>
        <v>0</v>
      </c>
      <c r="G27" s="711">
        <f>Bilans_E_AMS_Kyoto_run3_MTE!K251</f>
        <v>-0.88812944417760187</v>
      </c>
      <c r="H27" s="711">
        <f>Bilans_E_AMS_Kyoto_run3_MTE!L251</f>
        <v>0</v>
      </c>
      <c r="I27" s="711">
        <f>Bilans_E_AMS_Kyoto_run3_MTE!M251</f>
        <v>0</v>
      </c>
      <c r="J27" s="711">
        <f>Bilans_E_AMS_Kyoto_run3_MTE!N251</f>
        <v>0</v>
      </c>
      <c r="K27" s="711">
        <f>Bilans_E_AMS_Kyoto_run3_MTE!O251</f>
        <v>0</v>
      </c>
      <c r="L27" s="711">
        <f>Bilans_E_AMS_Kyoto_run3_MTE!P251</f>
        <v>0</v>
      </c>
      <c r="M27" s="711">
        <f>Bilans_E_AMS_Kyoto_run3_MTE!Q251</f>
        <v>0</v>
      </c>
      <c r="N27" s="711">
        <f>Bilans_E_AMS_Kyoto_run3_MTE!R251</f>
        <v>0</v>
      </c>
      <c r="O27" s="711">
        <f>Bilans_E_AMS_Kyoto_run3_MTE!S251</f>
        <v>0</v>
      </c>
      <c r="P27" s="711">
        <f>Bilans_E_AMS_Kyoto_run3_MTE!T251+Bilans_E_AMS_Kyoto_run3_MTE!U251</f>
        <v>0</v>
      </c>
      <c r="Q27" s="711">
        <f>Bilans_E_AMS_Kyoto_run3_MTE!V251</f>
        <v>0</v>
      </c>
      <c r="R27" s="711">
        <f>Bilans_E_AMS_Kyoto_run3_MTE!W251</f>
        <v>0</v>
      </c>
      <c r="S27" s="711">
        <f>Bilans_E_AMS_Kyoto_run3_MTE!X251</f>
        <v>0</v>
      </c>
      <c r="T27" s="711">
        <f>Bilans_E_AMS_Kyoto_run3_MTE!Y251</f>
        <v>1.471942388595362</v>
      </c>
      <c r="U27" s="711">
        <f>Bilans_E_AMS_Kyoto_run3_MTE!Z251</f>
        <v>0.5838129444177601</v>
      </c>
      <c r="V27" s="701"/>
      <c r="W27" s="701"/>
    </row>
    <row r="28" spans="1:23" x14ac:dyDescent="0.25">
      <c r="A28" s="701" t="s">
        <v>502</v>
      </c>
      <c r="B28" s="701"/>
      <c r="C28" s="717" t="s">
        <v>73</v>
      </c>
      <c r="D28" s="711">
        <f>Bilans_E_AMS_Kyoto_run3_MTE!H252</f>
        <v>0</v>
      </c>
      <c r="E28" s="711">
        <f>Bilans_E_AMS_Kyoto_run3_MTE!I252</f>
        <v>0</v>
      </c>
      <c r="F28" s="711">
        <f>Bilans_E_AMS_Kyoto_run3_MTE!J252</f>
        <v>0</v>
      </c>
      <c r="G28" s="711">
        <f>Bilans_E_AMS_Kyoto_run3_MTE!K252</f>
        <v>0</v>
      </c>
      <c r="H28" s="711">
        <f>Bilans_E_AMS_Kyoto_run3_MTE!L252</f>
        <v>0</v>
      </c>
      <c r="I28" s="711">
        <f>Bilans_E_AMS_Kyoto_run3_MTE!M252</f>
        <v>0</v>
      </c>
      <c r="J28" s="711">
        <f>Bilans_E_AMS_Kyoto_run3_MTE!N252</f>
        <v>0</v>
      </c>
      <c r="K28" s="711">
        <f>Bilans_E_AMS_Kyoto_run3_MTE!O252</f>
        <v>0</v>
      </c>
      <c r="L28" s="711">
        <f>Bilans_E_AMS_Kyoto_run3_MTE!P252</f>
        <v>0</v>
      </c>
      <c r="M28" s="711">
        <f>Bilans_E_AMS_Kyoto_run3_MTE!Q252</f>
        <v>0</v>
      </c>
      <c r="N28" s="711">
        <f>Bilans_E_AMS_Kyoto_run3_MTE!R252</f>
        <v>0</v>
      </c>
      <c r="O28" s="711">
        <f>Bilans_E_AMS_Kyoto_run3_MTE!S252</f>
        <v>0</v>
      </c>
      <c r="P28" s="711">
        <f>Bilans_E_AMS_Kyoto_run3_MTE!T252+Bilans_E_AMS_Kyoto_run3_MTE!U252</f>
        <v>0</v>
      </c>
      <c r="Q28" s="711">
        <f>Bilans_E_AMS_Kyoto_run3_MTE!V252</f>
        <v>0</v>
      </c>
      <c r="R28" s="711">
        <f>Bilans_E_AMS_Kyoto_run3_MTE!W252</f>
        <v>10.660292909136944</v>
      </c>
      <c r="S28" s="711">
        <f>Bilans_E_AMS_Kyoto_run3_MTE!X252</f>
        <v>0</v>
      </c>
      <c r="T28" s="711">
        <f>Bilans_E_AMS_Kyoto_run3_MTE!Y252</f>
        <v>-6.9291903909390138</v>
      </c>
      <c r="U28" s="711">
        <f>Bilans_E_AMS_Kyoto_run3_MTE!Z252</f>
        <v>3.7311025181979298</v>
      </c>
      <c r="V28" s="701"/>
      <c r="W28" s="701"/>
    </row>
    <row r="29" spans="1:23" x14ac:dyDescent="0.25">
      <c r="A29" s="701" t="s">
        <v>503</v>
      </c>
      <c r="B29" s="701"/>
      <c r="C29" s="717" t="s">
        <v>353</v>
      </c>
      <c r="D29" s="711">
        <f>Bilans_E_AMS_Kyoto_run3_MTE!H253</f>
        <v>20.799923203124997</v>
      </c>
      <c r="E29" s="711">
        <f>Bilans_E_AMS_Kyoto_run3_MTE!I253</f>
        <v>-15.77762451564047</v>
      </c>
      <c r="F29" s="711">
        <f>Bilans_E_AMS_Kyoto_run3_MTE!J253</f>
        <v>20.75596720074418</v>
      </c>
      <c r="G29" s="711">
        <f>Bilans_E_AMS_Kyoto_run3_MTE!K253</f>
        <v>0</v>
      </c>
      <c r="H29" s="711">
        <f>Bilans_E_AMS_Kyoto_run3_MTE!L253</f>
        <v>0</v>
      </c>
      <c r="I29" s="711">
        <f>Bilans_E_AMS_Kyoto_run3_MTE!M253</f>
        <v>0</v>
      </c>
      <c r="J29" s="711">
        <f>Bilans_E_AMS_Kyoto_run3_MTE!N253</f>
        <v>0</v>
      </c>
      <c r="K29" s="711">
        <f>Bilans_E_AMS_Kyoto_run3_MTE!O253</f>
        <v>0</v>
      </c>
      <c r="L29" s="711">
        <f>Bilans_E_AMS_Kyoto_run3_MTE!P253</f>
        <v>0</v>
      </c>
      <c r="M29" s="711">
        <f>Bilans_E_AMS_Kyoto_run3_MTE!Q253</f>
        <v>0</v>
      </c>
      <c r="N29" s="711">
        <f>Bilans_E_AMS_Kyoto_run3_MTE!R253</f>
        <v>0</v>
      </c>
      <c r="O29" s="711">
        <f>Bilans_E_AMS_Kyoto_run3_MTE!S253</f>
        <v>0</v>
      </c>
      <c r="P29" s="711">
        <f>Bilans_E_AMS_Kyoto_run3_MTE!T253+Bilans_E_AMS_Kyoto_run3_MTE!U253</f>
        <v>0</v>
      </c>
      <c r="Q29" s="711">
        <f>Bilans_E_AMS_Kyoto_run3_MTE!V253</f>
        <v>0</v>
      </c>
      <c r="R29" s="711">
        <f>Bilans_E_AMS_Kyoto_run3_MTE!W253</f>
        <v>0</v>
      </c>
      <c r="S29" s="711">
        <f>Bilans_E_AMS_Kyoto_run3_MTE!X253</f>
        <v>0</v>
      </c>
      <c r="T29" s="711">
        <f>Bilans_E_AMS_Kyoto_run3_MTE!Y253</f>
        <v>0</v>
      </c>
      <c r="U29" s="711">
        <f>Bilans_E_AMS_Kyoto_run3_MTE!Z253</f>
        <v>25.778265888228709</v>
      </c>
      <c r="V29" s="701"/>
      <c r="W29" s="701"/>
    </row>
    <row r="30" spans="1:23" x14ac:dyDescent="0.25">
      <c r="A30" s="701" t="s">
        <v>504</v>
      </c>
      <c r="B30" s="701"/>
      <c r="C30" s="717" t="s">
        <v>75</v>
      </c>
      <c r="D30" s="711">
        <f>Bilans_E_AMS_Kyoto_run3_MTE!H254</f>
        <v>8.0888590234375002</v>
      </c>
      <c r="E30" s="711">
        <f>Bilans_E_AMS_Kyoto_run3_MTE!I254</f>
        <v>0</v>
      </c>
      <c r="F30" s="711">
        <f>Bilans_E_AMS_Kyoto_run3_MTE!J254</f>
        <v>15.507167335345123</v>
      </c>
      <c r="G30" s="711">
        <f>Bilans_E_AMS_Kyoto_run3_MTE!K254</f>
        <v>0</v>
      </c>
      <c r="H30" s="711">
        <f>Bilans_E_AMS_Kyoto_run3_MTE!L254</f>
        <v>1.8033798544929234</v>
      </c>
      <c r="I30" s="711">
        <f>Bilans_E_AMS_Kyoto_run3_MTE!M254</f>
        <v>0</v>
      </c>
      <c r="J30" s="711">
        <f>Bilans_E_AMS_Kyoto_run3_MTE!N254</f>
        <v>0</v>
      </c>
      <c r="K30" s="711">
        <f>Bilans_E_AMS_Kyoto_run3_MTE!O254</f>
        <v>0</v>
      </c>
      <c r="L30" s="711">
        <f>Bilans_E_AMS_Kyoto_run3_MTE!P254</f>
        <v>0</v>
      </c>
      <c r="M30" s="711">
        <f>Bilans_E_AMS_Kyoto_run3_MTE!Q254</f>
        <v>0</v>
      </c>
      <c r="N30" s="711">
        <f>Bilans_E_AMS_Kyoto_run3_MTE!R254</f>
        <v>0</v>
      </c>
      <c r="O30" s="711">
        <f>Bilans_E_AMS_Kyoto_run3_MTE!S254</f>
        <v>0.2228896449373276</v>
      </c>
      <c r="P30" s="711">
        <f>Bilans_E_AMS_Kyoto_run3_MTE!T254+Bilans_E_AMS_Kyoto_run3_MTE!U254</f>
        <v>0</v>
      </c>
      <c r="Q30" s="711">
        <f>Bilans_E_AMS_Kyoto_run3_MTE!V254</f>
        <v>0</v>
      </c>
      <c r="R30" s="711">
        <f>Bilans_E_AMS_Kyoto_run3_MTE!W254</f>
        <v>33.838220662100142</v>
      </c>
      <c r="S30" s="711">
        <f>Bilans_E_AMS_Kyoto_run3_MTE!X254</f>
        <v>0</v>
      </c>
      <c r="T30" s="711">
        <f>Bilans_E_AMS_Kyoto_run3_MTE!Y254</f>
        <v>2.38</v>
      </c>
      <c r="U30" s="711">
        <f>Bilans_E_AMS_Kyoto_run3_MTE!Z254</f>
        <v>61.840516520313024</v>
      </c>
      <c r="V30" s="701"/>
      <c r="W30" s="701"/>
    </row>
    <row r="31" spans="1:23" x14ac:dyDescent="0.25">
      <c r="A31" s="701" t="s">
        <v>505</v>
      </c>
      <c r="B31" s="701"/>
      <c r="C31" s="717" t="s">
        <v>76</v>
      </c>
      <c r="D31" s="711">
        <f>Bilans_E_AMS_Kyoto_run3_MTE!H255</f>
        <v>0</v>
      </c>
      <c r="E31" s="711">
        <f>Bilans_E_AMS_Kyoto_run3_MTE!I255</f>
        <v>0</v>
      </c>
      <c r="F31" s="711">
        <f>Bilans_E_AMS_Kyoto_run3_MTE!J255</f>
        <v>0</v>
      </c>
      <c r="G31" s="711">
        <f>Bilans_E_AMS_Kyoto_run3_MTE!K255</f>
        <v>0</v>
      </c>
      <c r="H31" s="711">
        <f>Bilans_E_AMS_Kyoto_run3_MTE!L255</f>
        <v>3.5796312708000495</v>
      </c>
      <c r="I31" s="711">
        <f>Bilans_E_AMS_Kyoto_run3_MTE!M255</f>
        <v>0</v>
      </c>
      <c r="J31" s="711">
        <f>Bilans_E_AMS_Kyoto_run3_MTE!N255</f>
        <v>0</v>
      </c>
      <c r="K31" s="711">
        <f>Bilans_E_AMS_Kyoto_run3_MTE!O255</f>
        <v>0</v>
      </c>
      <c r="L31" s="711">
        <f>Bilans_E_AMS_Kyoto_run3_MTE!P255</f>
        <v>0</v>
      </c>
      <c r="M31" s="711">
        <f>Bilans_E_AMS_Kyoto_run3_MTE!Q255</f>
        <v>0</v>
      </c>
      <c r="N31" s="711">
        <f>Bilans_E_AMS_Kyoto_run3_MTE!R255</f>
        <v>0</v>
      </c>
      <c r="O31" s="711">
        <f>Bilans_E_AMS_Kyoto_run3_MTE!S255</f>
        <v>0.44242633684045557</v>
      </c>
      <c r="P31" s="711">
        <f>Bilans_E_AMS_Kyoto_run3_MTE!T255+Bilans_E_AMS_Kyoto_run3_MTE!U255</f>
        <v>0</v>
      </c>
      <c r="Q31" s="711">
        <f>Bilans_E_AMS_Kyoto_run3_MTE!V255</f>
        <v>0</v>
      </c>
      <c r="R31" s="711">
        <f>Bilans_E_AMS_Kyoto_run3_MTE!W255</f>
        <v>44.846872959494924</v>
      </c>
      <c r="S31" s="711">
        <f>Bilans_E_AMS_Kyoto_run3_MTE!X255</f>
        <v>5.0336373229827123</v>
      </c>
      <c r="T31" s="711">
        <f>Bilans_E_AMS_Kyoto_run3_MTE!Y255</f>
        <v>0</v>
      </c>
      <c r="U31" s="711">
        <f>Bilans_E_AMS_Kyoto_run3_MTE!Z255</f>
        <v>53.902567890118142</v>
      </c>
      <c r="V31" s="701"/>
      <c r="W31" s="701"/>
    </row>
    <row r="32" spans="1:23" x14ac:dyDescent="0.25">
      <c r="A32" s="701" t="s">
        <v>506</v>
      </c>
      <c r="B32" s="701"/>
      <c r="C32" s="713" t="s">
        <v>77</v>
      </c>
      <c r="D32" s="714">
        <f>Bilans_E_AMS_Kyoto_run3_MTE!H256</f>
        <v>29.023453304756611</v>
      </c>
      <c r="E32" s="714">
        <f>Bilans_E_AMS_Kyoto_run3_MTE!I256</f>
        <v>433.18908565453916</v>
      </c>
      <c r="F32" s="714">
        <f>Bilans_E_AMS_Kyoto_run3_MTE!J256</f>
        <v>-406.05184004947677</v>
      </c>
      <c r="G32" s="714">
        <f>Bilans_E_AMS_Kyoto_run3_MTE!K256</f>
        <v>-0.88812944417760187</v>
      </c>
      <c r="H32" s="714">
        <f>Bilans_E_AMS_Kyoto_run3_MTE!L256</f>
        <v>77.370890630339375</v>
      </c>
      <c r="I32" s="714">
        <f>Bilans_E_AMS_Kyoto_run3_MTE!M256</f>
        <v>-0.12645508616383627</v>
      </c>
      <c r="J32" s="714">
        <f>Bilans_E_AMS_Kyoto_run3_MTE!N256</f>
        <v>1175.008</v>
      </c>
      <c r="K32" s="714">
        <f>Bilans_E_AMS_Kyoto_run3_MTE!O256</f>
        <v>187.71649074759767</v>
      </c>
      <c r="L32" s="714">
        <f>Bilans_E_AMS_Kyoto_run3_MTE!P256</f>
        <v>161.65100389065424</v>
      </c>
      <c r="M32" s="714">
        <f>Bilans_E_AMS_Kyoto_run3_MTE!Q256</f>
        <v>37.300380656272438</v>
      </c>
      <c r="N32" s="714">
        <f>Bilans_E_AMS_Kyoto_run3_MTE!R256</f>
        <v>-38.407913516548021</v>
      </c>
      <c r="O32" s="714">
        <f>Bilans_E_AMS_Kyoto_run3_MTE!S256</f>
        <v>-17.271999793684582</v>
      </c>
      <c r="P32" s="714">
        <f>Bilans_E_AMS_Kyoto_run3_MTE!T256+Bilans_E_AMS_Kyoto_run3_MTE!U256</f>
        <v>4.1667830272384689</v>
      </c>
      <c r="Q32" s="714">
        <f>Bilans_E_AMS_Kyoto_run3_MTE!V256</f>
        <v>8.1786961640454088</v>
      </c>
      <c r="R32" s="714">
        <f>Bilans_E_AMS_Kyoto_run3_MTE!W256</f>
        <v>-533.77921618670041</v>
      </c>
      <c r="S32" s="714">
        <f>Bilans_E_AMS_Kyoto_run3_MTE!X256</f>
        <v>-59.869520061156123</v>
      </c>
      <c r="T32" s="714">
        <f>Bilans_E_AMS_Kyoto_run3_MTE!Y256</f>
        <v>-2.9016159382272129</v>
      </c>
      <c r="U32" s="714">
        <f>Bilans_E_AMS_Kyoto_run3_MTE!Z256</f>
        <v>1054.308093999309</v>
      </c>
      <c r="V32" s="701"/>
      <c r="W32" s="701"/>
    </row>
    <row r="33" spans="1:23" x14ac:dyDescent="0.25">
      <c r="A33" s="701"/>
      <c r="B33" s="701"/>
      <c r="C33" s="715"/>
      <c r="D33" s="716"/>
      <c r="E33" s="716"/>
      <c r="F33" s="716"/>
      <c r="G33" s="716"/>
      <c r="H33" s="716"/>
      <c r="I33" s="716"/>
      <c r="J33" s="716"/>
      <c r="K33" s="716"/>
      <c r="L33" s="716"/>
      <c r="M33" s="716"/>
      <c r="N33" s="716"/>
      <c r="O33" s="716"/>
      <c r="P33" s="716">
        <f>Bilans_E_AMS_Kyoto_run3_MTE!T257+Bilans_E_AMS_Kyoto_run3_MTE!U257</f>
        <v>0</v>
      </c>
      <c r="Q33" s="716"/>
      <c r="R33" s="716"/>
      <c r="S33" s="716"/>
      <c r="T33" s="716"/>
      <c r="U33" s="716"/>
      <c r="V33" s="701"/>
      <c r="W33" s="701"/>
    </row>
    <row r="34" spans="1:23" x14ac:dyDescent="0.25">
      <c r="A34" s="701" t="s">
        <v>507</v>
      </c>
      <c r="B34" s="701"/>
      <c r="C34" s="717" t="s">
        <v>78</v>
      </c>
      <c r="D34" s="711">
        <f>Bilans_E_AMS_Kyoto_run3_MTE!H258</f>
        <v>2.5368789062500001</v>
      </c>
      <c r="E34" s="711">
        <f>Bilans_E_AMS_Kyoto_run3_MTE!I258</f>
        <v>0</v>
      </c>
      <c r="F34" s="711">
        <f>Bilans_E_AMS_Kyoto_run3_MTE!J258</f>
        <v>16.464256134501195</v>
      </c>
      <c r="G34" s="711">
        <f>Bilans_E_AMS_Kyoto_run3_MTE!K258</f>
        <v>0</v>
      </c>
      <c r="H34" s="711">
        <f>Bilans_E_AMS_Kyoto_run3_MTE!L258</f>
        <v>76.25556175347657</v>
      </c>
      <c r="I34" s="711">
        <f>Bilans_E_AMS_Kyoto_run3_MTE!M258</f>
        <v>0</v>
      </c>
      <c r="J34" s="711">
        <f>Bilans_E_AMS_Kyoto_run3_MTE!N258</f>
        <v>0</v>
      </c>
      <c r="K34" s="711">
        <f>Bilans_E_AMS_Kyoto_run3_MTE!O258</f>
        <v>0</v>
      </c>
      <c r="L34" s="711">
        <f>Bilans_E_AMS_Kyoto_run3_MTE!P258</f>
        <v>35.20744335762226</v>
      </c>
      <c r="M34" s="711">
        <f>Bilans_E_AMS_Kyoto_run3_MTE!Q258</f>
        <v>8.5967036018731431</v>
      </c>
      <c r="N34" s="711">
        <f>Bilans_E_AMS_Kyoto_run3_MTE!R258</f>
        <v>0.95792109934790093</v>
      </c>
      <c r="O34" s="711">
        <f>Bilans_E_AMS_Kyoto_run3_MTE!S258</f>
        <v>9.4506810662915637</v>
      </c>
      <c r="P34" s="711">
        <f>Bilans_E_AMS_Kyoto_run3_MTE!T258+Bilans_E_AMS_Kyoto_run3_MTE!U258</f>
        <v>3.4855932617187499</v>
      </c>
      <c r="Q34" s="711">
        <f>Bilans_E_AMS_Kyoto_run3_MTE!V258</f>
        <v>5.2671642446208732E-4</v>
      </c>
      <c r="R34" s="711">
        <f>Bilans_E_AMS_Kyoto_run3_MTE!W258</f>
        <v>137.10141781088788</v>
      </c>
      <c r="S34" s="711">
        <f>Bilans_E_AMS_Kyoto_run3_MTE!X258</f>
        <v>19.328552980825005</v>
      </c>
      <c r="T34" s="711">
        <f>Bilans_E_AMS_Kyoto_run3_MTE!Y258</f>
        <v>1.4790939941406249</v>
      </c>
      <c r="U34" s="711">
        <f>Bilans_E_AMS_Kyoto_run3_MTE!Z258</f>
        <v>310.86463068335939</v>
      </c>
      <c r="V34" s="701"/>
      <c r="W34" s="701"/>
    </row>
    <row r="35" spans="1:23" x14ac:dyDescent="0.25">
      <c r="A35" s="701" t="s">
        <v>508</v>
      </c>
      <c r="B35" s="701"/>
      <c r="C35" s="717" t="s">
        <v>79</v>
      </c>
      <c r="D35" s="711">
        <f>Bilans_E_AMS_Kyoto_run3_MTE!H259</f>
        <v>0</v>
      </c>
      <c r="E35" s="711">
        <f>Bilans_E_AMS_Kyoto_run3_MTE!I259</f>
        <v>0</v>
      </c>
      <c r="F35" s="711">
        <f>Bilans_E_AMS_Kyoto_run3_MTE!J259</f>
        <v>364.30566934999553</v>
      </c>
      <c r="G35" s="711">
        <f>Bilans_E_AMS_Kyoto_run3_MTE!K259</f>
        <v>0</v>
      </c>
      <c r="H35" s="711">
        <f>Bilans_E_AMS_Kyoto_run3_MTE!L259</f>
        <v>4.9934721794589949</v>
      </c>
      <c r="I35" s="711">
        <f>Bilans_E_AMS_Kyoto_run3_MTE!M259</f>
        <v>0</v>
      </c>
      <c r="J35" s="711">
        <f>Bilans_E_AMS_Kyoto_run3_MTE!N259</f>
        <v>0</v>
      </c>
      <c r="K35" s="711">
        <f>Bilans_E_AMS_Kyoto_run3_MTE!O259</f>
        <v>0</v>
      </c>
      <c r="L35" s="711">
        <f>Bilans_E_AMS_Kyoto_run3_MTE!P259</f>
        <v>0</v>
      </c>
      <c r="M35" s="711">
        <f>Bilans_E_AMS_Kyoto_run3_MTE!Q259</f>
        <v>0</v>
      </c>
      <c r="N35" s="711">
        <f>Bilans_E_AMS_Kyoto_run3_MTE!R259</f>
        <v>36.866001172977988</v>
      </c>
      <c r="O35" s="711">
        <f>Bilans_E_AMS_Kyoto_run3_MTE!S259</f>
        <v>0.61717071880953867</v>
      </c>
      <c r="P35" s="711">
        <f>Bilans_E_AMS_Kyoto_run3_MTE!T259+Bilans_E_AMS_Kyoto_run3_MTE!U259</f>
        <v>0</v>
      </c>
      <c r="Q35" s="711">
        <f>Bilans_E_AMS_Kyoto_run3_MTE!V259</f>
        <v>0</v>
      </c>
      <c r="R35" s="711">
        <f>Bilans_E_AMS_Kyoto_run3_MTE!W259</f>
        <v>27.389081420893032</v>
      </c>
      <c r="S35" s="711">
        <f>Bilans_E_AMS_Kyoto_run3_MTE!X259</f>
        <v>0</v>
      </c>
      <c r="T35" s="711">
        <f>Bilans_E_AMS_Kyoto_run3_MTE!Y259</f>
        <v>0.58290015650478255</v>
      </c>
      <c r="U35" s="711">
        <f>Bilans_E_AMS_Kyoto_run3_MTE!Z259</f>
        <v>434.75429499863981</v>
      </c>
      <c r="V35" s="701"/>
      <c r="W35" s="701"/>
    </row>
    <row r="36" spans="1:23" x14ac:dyDescent="0.25">
      <c r="A36" s="701" t="s">
        <v>509</v>
      </c>
      <c r="B36" s="701"/>
      <c r="C36" s="717" t="s">
        <v>80</v>
      </c>
      <c r="D36" s="711">
        <f>Bilans_E_AMS_Kyoto_run3_MTE!H260</f>
        <v>0</v>
      </c>
      <c r="E36" s="711">
        <f>Bilans_E_AMS_Kyoto_run3_MTE!I260</f>
        <v>0</v>
      </c>
      <c r="F36" s="711">
        <f>Bilans_E_AMS_Kyoto_run3_MTE!J260</f>
        <v>17.201623841536829</v>
      </c>
      <c r="G36" s="711">
        <f>Bilans_E_AMS_Kyoto_run3_MTE!K260</f>
        <v>0</v>
      </c>
      <c r="H36" s="711">
        <f>Bilans_E_AMS_Kyoto_run3_MTE!L260</f>
        <v>84.721695827213523</v>
      </c>
      <c r="I36" s="711">
        <f>Bilans_E_AMS_Kyoto_run3_MTE!M260</f>
        <v>0</v>
      </c>
      <c r="J36" s="711">
        <f>Bilans_E_AMS_Kyoto_run3_MTE!N260</f>
        <v>0</v>
      </c>
      <c r="K36" s="711">
        <f>Bilans_E_AMS_Kyoto_run3_MTE!O260</f>
        <v>0</v>
      </c>
      <c r="L36" s="711">
        <f>Bilans_E_AMS_Kyoto_run3_MTE!P260</f>
        <v>63.543536708801859</v>
      </c>
      <c r="M36" s="711">
        <f>Bilans_E_AMS_Kyoto_run3_MTE!Q260</f>
        <v>0</v>
      </c>
      <c r="N36" s="711">
        <f>Bilans_E_AMS_Kyoto_run3_MTE!R260</f>
        <v>0</v>
      </c>
      <c r="O36" s="711">
        <f>Bilans_E_AMS_Kyoto_run3_MTE!S260</f>
        <v>10.471220832576952</v>
      </c>
      <c r="P36" s="711">
        <f>Bilans_E_AMS_Kyoto_run3_MTE!T260+Bilans_E_AMS_Kyoto_run3_MTE!U260</f>
        <v>76.561231385743284</v>
      </c>
      <c r="Q36" s="711">
        <f>Bilans_E_AMS_Kyoto_run3_MTE!V260</f>
        <v>5.1637337172047761</v>
      </c>
      <c r="R36" s="711">
        <f>Bilans_E_AMS_Kyoto_run3_MTE!W260</f>
        <v>163.30202311057991</v>
      </c>
      <c r="S36" s="711">
        <f>Bilans_E_AMS_Kyoto_run3_MTE!X260</f>
        <v>21.019199389729597</v>
      </c>
      <c r="T36" s="711">
        <f>Bilans_E_AMS_Kyoto_run3_MTE!Y260</f>
        <v>0</v>
      </c>
      <c r="U36" s="711">
        <f>Bilans_E_AMS_Kyoto_run3_MTE!Z260</f>
        <v>441.98426481338669</v>
      </c>
      <c r="V36" s="701"/>
      <c r="W36" s="701"/>
    </row>
    <row r="37" spans="1:23" x14ac:dyDescent="0.25">
      <c r="A37" s="701" t="s">
        <v>510</v>
      </c>
      <c r="B37" s="701"/>
      <c r="C37" s="717" t="s">
        <v>81</v>
      </c>
      <c r="D37" s="711">
        <f>Bilans_E_AMS_Kyoto_run3_MTE!H261</f>
        <v>0</v>
      </c>
      <c r="E37" s="711">
        <f>Bilans_E_AMS_Kyoto_run3_MTE!I261</f>
        <v>0</v>
      </c>
      <c r="F37" s="711">
        <f>Bilans_E_AMS_Kyoto_run3_MTE!J261</f>
        <v>9.5095127655801548</v>
      </c>
      <c r="G37" s="711">
        <f>Bilans_E_AMS_Kyoto_run3_MTE!K261</f>
        <v>0</v>
      </c>
      <c r="H37" s="711">
        <f>Bilans_E_AMS_Kyoto_run3_MTE!L261</f>
        <v>50.83012863398811</v>
      </c>
      <c r="I37" s="711">
        <f>Bilans_E_AMS_Kyoto_run3_MTE!M261</f>
        <v>0</v>
      </c>
      <c r="J37" s="711">
        <f>Bilans_E_AMS_Kyoto_run3_MTE!N261</f>
        <v>0</v>
      </c>
      <c r="K37" s="711">
        <f>Bilans_E_AMS_Kyoto_run3_MTE!O261</f>
        <v>0</v>
      </c>
      <c r="L37" s="711">
        <f>Bilans_E_AMS_Kyoto_run3_MTE!P261</f>
        <v>0.5857399217546202</v>
      </c>
      <c r="M37" s="711">
        <f>Bilans_E_AMS_Kyoto_run3_MTE!Q261</f>
        <v>0</v>
      </c>
      <c r="N37" s="711">
        <f>Bilans_E_AMS_Kyoto_run3_MTE!R261</f>
        <v>0</v>
      </c>
      <c r="O37" s="711">
        <f>Bilans_E_AMS_Kyoto_run3_MTE!S261</f>
        <v>6.282375449144598</v>
      </c>
      <c r="P37" s="711">
        <f>Bilans_E_AMS_Kyoto_run3_MTE!T261+Bilans_E_AMS_Kyoto_run3_MTE!U261</f>
        <v>27.92817059882276</v>
      </c>
      <c r="Q37" s="711">
        <f>Bilans_E_AMS_Kyoto_run3_MTE!V261</f>
        <v>4.8320920994569443</v>
      </c>
      <c r="R37" s="711">
        <f>Bilans_E_AMS_Kyoto_run3_MTE!W261</f>
        <v>123.43882708375831</v>
      </c>
      <c r="S37" s="711">
        <f>Bilans_E_AMS_Kyoto_run3_MTE!X261</f>
        <v>19.521738588223698</v>
      </c>
      <c r="T37" s="711">
        <f>Bilans_E_AMS_Kyoto_run3_MTE!Y261</f>
        <v>0</v>
      </c>
      <c r="U37" s="711">
        <f>Bilans_E_AMS_Kyoto_run3_MTE!Z261</f>
        <v>242.92858514072918</v>
      </c>
      <c r="V37" s="701"/>
      <c r="W37" s="701"/>
    </row>
    <row r="38" spans="1:23" x14ac:dyDescent="0.25">
      <c r="A38" s="701" t="s">
        <v>511</v>
      </c>
      <c r="B38" s="701"/>
      <c r="C38" s="717" t="s">
        <v>82</v>
      </c>
      <c r="D38" s="711">
        <f>Bilans_E_AMS_Kyoto_run3_MTE!H262</f>
        <v>0</v>
      </c>
      <c r="E38" s="711">
        <f>Bilans_E_AMS_Kyoto_run3_MTE!I262</f>
        <v>0</v>
      </c>
      <c r="F38" s="711">
        <f>Bilans_E_AMS_Kyoto_run3_MTE!J262</f>
        <v>32.521780239930585</v>
      </c>
      <c r="G38" s="711">
        <f>Bilans_E_AMS_Kyoto_run3_MTE!K262</f>
        <v>0</v>
      </c>
      <c r="H38" s="711">
        <f>Bilans_E_AMS_Kyoto_run3_MTE!L262</f>
        <v>1.7697973975256258</v>
      </c>
      <c r="I38" s="711">
        <f>Bilans_E_AMS_Kyoto_run3_MTE!M262</f>
        <v>0</v>
      </c>
      <c r="J38" s="711">
        <f>Bilans_E_AMS_Kyoto_run3_MTE!N262</f>
        <v>0</v>
      </c>
      <c r="K38" s="711">
        <f>Bilans_E_AMS_Kyoto_run3_MTE!O262</f>
        <v>0</v>
      </c>
      <c r="L38" s="711">
        <f>Bilans_E_AMS_Kyoto_run3_MTE!P262</f>
        <v>8.5431833600547655</v>
      </c>
      <c r="M38" s="711">
        <f>Bilans_E_AMS_Kyoto_run3_MTE!Q262</f>
        <v>0</v>
      </c>
      <c r="N38" s="711">
        <f>Bilans_E_AMS_Kyoto_run3_MTE!R262</f>
        <v>3.5579100416915854</v>
      </c>
      <c r="O38" s="711">
        <f>Bilans_E_AMS_Kyoto_run3_MTE!S262</f>
        <v>0.21873900418856049</v>
      </c>
      <c r="P38" s="711">
        <f>Bilans_E_AMS_Kyoto_run3_MTE!T262+Bilans_E_AMS_Kyoto_run3_MTE!U262</f>
        <v>0.4</v>
      </c>
      <c r="Q38" s="711">
        <f>Bilans_E_AMS_Kyoto_run3_MTE!V262</f>
        <v>0.5193752668696392</v>
      </c>
      <c r="R38" s="711">
        <f>Bilans_E_AMS_Kyoto_run3_MTE!W262</f>
        <v>7.9507920990780674</v>
      </c>
      <c r="S38" s="711">
        <f>Bilans_E_AMS_Kyoto_run3_MTE!X262</f>
        <v>0</v>
      </c>
      <c r="T38" s="711">
        <f>Bilans_E_AMS_Kyoto_run3_MTE!Y262</f>
        <v>0.14468782351059181</v>
      </c>
      <c r="U38" s="711">
        <f>Bilans_E_AMS_Kyoto_run3_MTE!Z262</f>
        <v>55.626265232849427</v>
      </c>
      <c r="V38" s="701"/>
      <c r="W38" s="701"/>
    </row>
    <row r="39" spans="1:23" x14ac:dyDescent="0.25">
      <c r="A39" s="701" t="s">
        <v>512</v>
      </c>
      <c r="B39" s="701"/>
      <c r="C39" s="717" t="s">
        <v>354</v>
      </c>
      <c r="D39" s="711">
        <f>Bilans_E_AMS_Kyoto_run3_MTE!H263</f>
        <v>0</v>
      </c>
      <c r="E39" s="711">
        <f>Bilans_E_AMS_Kyoto_run3_MTE!I263</f>
        <v>0</v>
      </c>
      <c r="F39" s="711">
        <f>Bilans_E_AMS_Kyoto_run3_MTE!J263</f>
        <v>0</v>
      </c>
      <c r="G39" s="711">
        <f>Bilans_E_AMS_Kyoto_run3_MTE!K263</f>
        <v>0</v>
      </c>
      <c r="H39" s="711">
        <f>Bilans_E_AMS_Kyoto_run3_MTE!L263</f>
        <v>0</v>
      </c>
      <c r="I39" s="711">
        <f>Bilans_E_AMS_Kyoto_run3_MTE!M263</f>
        <v>0</v>
      </c>
      <c r="J39" s="711">
        <f>Bilans_E_AMS_Kyoto_run3_MTE!N263</f>
        <v>0</v>
      </c>
      <c r="K39" s="711">
        <f>Bilans_E_AMS_Kyoto_run3_MTE!O263</f>
        <v>0</v>
      </c>
      <c r="L39" s="711">
        <f>Bilans_E_AMS_Kyoto_run3_MTE!P263</f>
        <v>0</v>
      </c>
      <c r="M39" s="711">
        <f>Bilans_E_AMS_Kyoto_run3_MTE!Q263</f>
        <v>0</v>
      </c>
      <c r="N39" s="711">
        <f>Bilans_E_AMS_Kyoto_run3_MTE!R263</f>
        <v>0</v>
      </c>
      <c r="O39" s="711">
        <f>Bilans_E_AMS_Kyoto_run3_MTE!S263</f>
        <v>0</v>
      </c>
      <c r="P39" s="711">
        <f>Bilans_E_AMS_Kyoto_run3_MTE!T263+Bilans_E_AMS_Kyoto_run3_MTE!U263</f>
        <v>0</v>
      </c>
      <c r="Q39" s="711">
        <f>Bilans_E_AMS_Kyoto_run3_MTE!V263</f>
        <v>0</v>
      </c>
      <c r="R39" s="711">
        <f>Bilans_E_AMS_Kyoto_run3_MTE!W263</f>
        <v>0</v>
      </c>
      <c r="S39" s="711">
        <f>Bilans_E_AMS_Kyoto_run3_MTE!X263</f>
        <v>0</v>
      </c>
      <c r="T39" s="711">
        <f>Bilans_E_AMS_Kyoto_run3_MTE!Y263</f>
        <v>0</v>
      </c>
      <c r="U39" s="711">
        <f>Bilans_E_AMS_Kyoto_run3_MTE!Z263</f>
        <v>0</v>
      </c>
      <c r="V39" s="701"/>
      <c r="W39" s="701"/>
    </row>
    <row r="40" spans="1:23" x14ac:dyDescent="0.25">
      <c r="A40" s="701" t="s">
        <v>513</v>
      </c>
      <c r="B40" s="701"/>
      <c r="C40" s="713" t="s">
        <v>83</v>
      </c>
      <c r="D40" s="714">
        <f>Bilans_E_AMS_Kyoto_run3_MTE!H264</f>
        <v>2.5368789062500001</v>
      </c>
      <c r="E40" s="714">
        <f>Bilans_E_AMS_Kyoto_run3_MTE!I264</f>
        <v>0</v>
      </c>
      <c r="F40" s="714">
        <f>Bilans_E_AMS_Kyoto_run3_MTE!J264</f>
        <v>440.00284233154429</v>
      </c>
      <c r="G40" s="714">
        <f>Bilans_E_AMS_Kyoto_run3_MTE!K264</f>
        <v>0</v>
      </c>
      <c r="H40" s="714">
        <f>Bilans_E_AMS_Kyoto_run3_MTE!L264</f>
        <v>218.57065579166283</v>
      </c>
      <c r="I40" s="714">
        <f>Bilans_E_AMS_Kyoto_run3_MTE!M264</f>
        <v>0</v>
      </c>
      <c r="J40" s="714">
        <f>Bilans_E_AMS_Kyoto_run3_MTE!N264</f>
        <v>0</v>
      </c>
      <c r="K40" s="714">
        <f>Bilans_E_AMS_Kyoto_run3_MTE!O264</f>
        <v>0</v>
      </c>
      <c r="L40" s="714">
        <f>Bilans_E_AMS_Kyoto_run3_MTE!P264</f>
        <v>107.87990334823351</v>
      </c>
      <c r="M40" s="714">
        <f>Bilans_E_AMS_Kyoto_run3_MTE!Q264</f>
        <v>8.5967036018731431</v>
      </c>
      <c r="N40" s="714">
        <f>Bilans_E_AMS_Kyoto_run3_MTE!R264</f>
        <v>41.381832314017473</v>
      </c>
      <c r="O40" s="714">
        <f>Bilans_E_AMS_Kyoto_run3_MTE!S264</f>
        <v>27.040187071011211</v>
      </c>
      <c r="P40" s="714">
        <f>Bilans_E_AMS_Kyoto_run3_MTE!T264+Bilans_E_AMS_Kyoto_run3_MTE!U264</f>
        <v>108.3749952462848</v>
      </c>
      <c r="Q40" s="714">
        <f>Bilans_E_AMS_Kyoto_run3_MTE!V264</f>
        <v>10.515727799955821</v>
      </c>
      <c r="R40" s="714">
        <f>Bilans_E_AMS_Kyoto_run3_MTE!W264</f>
        <v>459.18214152519721</v>
      </c>
      <c r="S40" s="714">
        <f>Bilans_E_AMS_Kyoto_run3_MTE!X264</f>
        <v>59.8694909587783</v>
      </c>
      <c r="T40" s="714">
        <f>Bilans_E_AMS_Kyoto_run3_MTE!Y264</f>
        <v>2.2066819741559995</v>
      </c>
      <c r="U40" s="714">
        <f>Bilans_E_AMS_Kyoto_run3_MTE!Z264</f>
        <v>1486.1580408689645</v>
      </c>
      <c r="V40" s="701"/>
      <c r="W40" s="701"/>
    </row>
    <row r="41" spans="1:23" x14ac:dyDescent="0.25">
      <c r="A41" s="701" t="s">
        <v>514</v>
      </c>
      <c r="B41" s="701"/>
      <c r="C41" s="710" t="s">
        <v>84</v>
      </c>
      <c r="D41" s="711">
        <f>Bilans_E_AMS_Kyoto_run3_MTE!H265</f>
        <v>0</v>
      </c>
      <c r="E41" s="711">
        <f>Bilans_E_AMS_Kyoto_run3_MTE!I265</f>
        <v>0</v>
      </c>
      <c r="F41" s="711">
        <f>Bilans_E_AMS_Kyoto_run3_MTE!J265</f>
        <v>114.96624488360118</v>
      </c>
      <c r="G41" s="711">
        <f>Bilans_E_AMS_Kyoto_run3_MTE!K265</f>
        <v>0</v>
      </c>
      <c r="H41" s="711">
        <f>Bilans_E_AMS_Kyoto_run3_MTE!L265</f>
        <v>13.488812976114151</v>
      </c>
      <c r="I41" s="711">
        <f>Bilans_E_AMS_Kyoto_run3_MTE!M265</f>
        <v>0</v>
      </c>
      <c r="J41" s="711">
        <f>Bilans_E_AMS_Kyoto_run3_MTE!N265</f>
        <v>0</v>
      </c>
      <c r="K41" s="711">
        <f>Bilans_E_AMS_Kyoto_run3_MTE!O265</f>
        <v>0</v>
      </c>
      <c r="L41" s="711">
        <f>Bilans_E_AMS_Kyoto_run3_MTE!P265</f>
        <v>9.0583762800977241E-2</v>
      </c>
      <c r="M41" s="711">
        <f>Bilans_E_AMS_Kyoto_run3_MTE!Q265</f>
        <v>0</v>
      </c>
      <c r="N41" s="711">
        <f>Bilans_E_AMS_Kyoto_run3_MTE!R265</f>
        <v>0.16009636691741183</v>
      </c>
      <c r="O41" s="711">
        <f>Bilans_E_AMS_Kyoto_run3_MTE!S265</f>
        <v>0</v>
      </c>
      <c r="P41" s="711">
        <f>Bilans_E_AMS_Kyoto_run3_MTE!T265+Bilans_E_AMS_Kyoto_run3_MTE!U265</f>
        <v>0</v>
      </c>
      <c r="Q41" s="711">
        <f>Bilans_E_AMS_Kyoto_run3_MTE!V265</f>
        <v>0</v>
      </c>
      <c r="R41" s="711">
        <f>Bilans_E_AMS_Kyoto_run3_MTE!W265</f>
        <v>0</v>
      </c>
      <c r="S41" s="711">
        <f>Bilans_E_AMS_Kyoto_run3_MTE!X265</f>
        <v>0</v>
      </c>
      <c r="T41" s="711">
        <f>Bilans_E_AMS_Kyoto_run3_MTE!Y265</f>
        <v>0.64382323980331424</v>
      </c>
      <c r="U41" s="711">
        <f>Bilans_E_AMS_Kyoto_run3_MTE!Z265</f>
        <v>129.34956122923703</v>
      </c>
      <c r="V41" s="701"/>
      <c r="W41" s="701"/>
    </row>
    <row r="42" spans="1:23" x14ac:dyDescent="0.25">
      <c r="A42" s="701" t="s">
        <v>515</v>
      </c>
      <c r="B42" s="701"/>
      <c r="C42" s="713" t="s">
        <v>85</v>
      </c>
      <c r="D42" s="714">
        <f>Bilans_E_AMS_Kyoto_run3_MTE!H266</f>
        <v>2.5368789062500001</v>
      </c>
      <c r="E42" s="714">
        <f>Bilans_E_AMS_Kyoto_run3_MTE!I266</f>
        <v>0</v>
      </c>
      <c r="F42" s="714">
        <f>Bilans_E_AMS_Kyoto_run3_MTE!J266</f>
        <v>554.96908721514546</v>
      </c>
      <c r="G42" s="714">
        <f>Bilans_E_AMS_Kyoto_run3_MTE!K266</f>
        <v>0</v>
      </c>
      <c r="H42" s="714">
        <f>Bilans_E_AMS_Kyoto_run3_MTE!L266</f>
        <v>232.05946876777699</v>
      </c>
      <c r="I42" s="714">
        <f>Bilans_E_AMS_Kyoto_run3_MTE!M266</f>
        <v>0</v>
      </c>
      <c r="J42" s="714">
        <f>Bilans_E_AMS_Kyoto_run3_MTE!N266</f>
        <v>0</v>
      </c>
      <c r="K42" s="714">
        <f>Bilans_E_AMS_Kyoto_run3_MTE!O266</f>
        <v>0</v>
      </c>
      <c r="L42" s="714">
        <f>Bilans_E_AMS_Kyoto_run3_MTE!P266</f>
        <v>107.97048711103449</v>
      </c>
      <c r="M42" s="714">
        <f>Bilans_E_AMS_Kyoto_run3_MTE!Q266</f>
        <v>8.5967036018731431</v>
      </c>
      <c r="N42" s="714">
        <f>Bilans_E_AMS_Kyoto_run3_MTE!R266</f>
        <v>41.541928680934888</v>
      </c>
      <c r="O42" s="714">
        <f>Bilans_E_AMS_Kyoto_run3_MTE!S266</f>
        <v>27.040187071011211</v>
      </c>
      <c r="P42" s="714">
        <f>Bilans_E_AMS_Kyoto_run3_MTE!T266+Bilans_E_AMS_Kyoto_run3_MTE!U266</f>
        <v>108.3749952462848</v>
      </c>
      <c r="Q42" s="714">
        <f>Bilans_E_AMS_Kyoto_run3_MTE!V266</f>
        <v>10.515727799955821</v>
      </c>
      <c r="R42" s="714">
        <f>Bilans_E_AMS_Kyoto_run3_MTE!W266</f>
        <v>459.18214152519721</v>
      </c>
      <c r="S42" s="714">
        <f>Bilans_E_AMS_Kyoto_run3_MTE!X266</f>
        <v>59.8694909587783</v>
      </c>
      <c r="T42" s="714">
        <f>Bilans_E_AMS_Kyoto_run3_MTE!Y266</f>
        <v>2.8505052139593139</v>
      </c>
      <c r="U42" s="714">
        <f>Bilans_E_AMS_Kyoto_run3_MTE!Z266</f>
        <v>1615.5076020982015</v>
      </c>
      <c r="V42" s="701"/>
      <c r="W42" s="701"/>
    </row>
    <row r="43" spans="1:23" x14ac:dyDescent="0.25">
      <c r="A43" s="701"/>
      <c r="B43" s="701"/>
      <c r="C43" s="701"/>
      <c r="D43" s="701">
        <f>Bilans_E_AMS_Kyoto_run3_MTE!H267</f>
        <v>0</v>
      </c>
      <c r="E43" s="701">
        <f>Bilans_E_AMS_Kyoto_run3_MTE!I267</f>
        <v>0</v>
      </c>
      <c r="F43" s="701">
        <f>Bilans_E_AMS_Kyoto_run3_MTE!J267</f>
        <v>0</v>
      </c>
      <c r="G43" s="701">
        <f>Bilans_E_AMS_Kyoto_run3_MTE!K267</f>
        <v>0</v>
      </c>
      <c r="H43" s="701">
        <f>Bilans_E_AMS_Kyoto_run3_MTE!L267</f>
        <v>0</v>
      </c>
      <c r="I43" s="701">
        <f>Bilans_E_AMS_Kyoto_run3_MTE!M267</f>
        <v>0</v>
      </c>
      <c r="J43" s="701">
        <f>Bilans_E_AMS_Kyoto_run3_MTE!N267</f>
        <v>0</v>
      </c>
      <c r="K43" s="701">
        <f>Bilans_E_AMS_Kyoto_run3_MTE!O267</f>
        <v>0</v>
      </c>
      <c r="L43" s="701">
        <f>Bilans_E_AMS_Kyoto_run3_MTE!P267</f>
        <v>0</v>
      </c>
      <c r="M43" s="701">
        <f>Bilans_E_AMS_Kyoto_run3_MTE!Q267</f>
        <v>0</v>
      </c>
      <c r="N43" s="701">
        <f>Bilans_E_AMS_Kyoto_run3_MTE!R267</f>
        <v>0</v>
      </c>
      <c r="O43" s="701">
        <f>Bilans_E_AMS_Kyoto_run3_MTE!S267</f>
        <v>-1.7183712498098913E-2</v>
      </c>
      <c r="P43" s="701">
        <f>Bilans_E_AMS_Kyoto_run3_MTE!T267+Bilans_E_AMS_Kyoto_run3_MTE!U267</f>
        <v>0</v>
      </c>
      <c r="Q43" s="701">
        <f>Bilans_E_AMS_Kyoto_run3_MTE!V267</f>
        <v>0</v>
      </c>
      <c r="R43" s="701">
        <f>Bilans_E_AMS_Kyoto_run3_MTE!W267</f>
        <v>0</v>
      </c>
      <c r="S43" s="701">
        <f>Bilans_E_AMS_Kyoto_run3_MTE!X267</f>
        <v>-2.9102377823164716E-5</v>
      </c>
      <c r="T43" s="701">
        <f>Bilans_E_AMS_Kyoto_run3_MTE!Y267</f>
        <v>-7.4246164771807344E-16</v>
      </c>
      <c r="U43" s="701">
        <f>Bilans_E_AMS_Kyoto_run3_MTE!Z267</f>
        <v>-1.7212814876074845E-2</v>
      </c>
      <c r="V43" s="701"/>
      <c r="W43" s="701"/>
    </row>
    <row r="44" spans="1:23" x14ac:dyDescent="0.25">
      <c r="A44" s="701"/>
      <c r="B44" s="701"/>
      <c r="C44" s="701"/>
      <c r="D44" s="701"/>
      <c r="E44" s="701"/>
      <c r="F44" s="701"/>
      <c r="G44" s="701"/>
      <c r="H44" s="701"/>
      <c r="I44" s="701"/>
      <c r="J44" s="701"/>
      <c r="K44" s="701"/>
      <c r="L44" s="701"/>
      <c r="M44" s="701"/>
      <c r="N44" s="701"/>
      <c r="O44" s="701"/>
      <c r="P44" s="701"/>
      <c r="Q44" s="701"/>
      <c r="R44" s="701"/>
      <c r="S44" s="701"/>
      <c r="T44" s="701"/>
      <c r="U44" s="701"/>
      <c r="V44" s="701"/>
      <c r="W44" s="701"/>
    </row>
    <row r="45" spans="1:23" x14ac:dyDescent="0.25">
      <c r="A45" s="707"/>
      <c r="B45" s="707"/>
      <c r="C45" s="708" t="s">
        <v>88</v>
      </c>
      <c r="D45" s="707"/>
      <c r="E45" s="707"/>
      <c r="F45" s="707"/>
      <c r="G45" s="707"/>
      <c r="H45" s="707"/>
      <c r="I45" s="707"/>
      <c r="J45" s="707"/>
      <c r="K45" s="707"/>
      <c r="L45" s="707"/>
      <c r="M45" s="707"/>
      <c r="N45" s="707"/>
      <c r="O45" s="707"/>
      <c r="P45" s="707"/>
      <c r="Q45" s="707"/>
      <c r="R45" s="707"/>
      <c r="S45" s="707"/>
      <c r="T45" s="707"/>
      <c r="U45" s="707"/>
      <c r="V45" s="707"/>
      <c r="W45" s="707"/>
    </row>
    <row r="46" spans="1:23" x14ac:dyDescent="0.25">
      <c r="A46" s="701"/>
      <c r="B46" s="701"/>
      <c r="C46" s="701"/>
      <c r="D46" s="701"/>
      <c r="E46" s="701"/>
      <c r="F46" s="701"/>
      <c r="G46" s="701"/>
      <c r="H46" s="701"/>
      <c r="I46" s="701"/>
      <c r="J46" s="701"/>
      <c r="K46" s="701"/>
      <c r="L46" s="701"/>
      <c r="M46" s="701"/>
      <c r="N46" s="701"/>
      <c r="O46" s="701"/>
      <c r="P46" s="701"/>
      <c r="Q46" s="701"/>
      <c r="R46" s="701"/>
      <c r="S46" s="701"/>
      <c r="T46" s="701"/>
      <c r="U46" s="701"/>
      <c r="V46" s="701"/>
      <c r="W46" s="701"/>
    </row>
    <row r="47" spans="1:23" x14ac:dyDescent="0.25">
      <c r="A47" s="701"/>
      <c r="B47" s="701"/>
      <c r="C47" s="780" t="s">
        <v>128</v>
      </c>
      <c r="D47" s="775" t="s">
        <v>42</v>
      </c>
      <c r="E47" s="775" t="s">
        <v>52</v>
      </c>
      <c r="F47" s="775" t="s">
        <v>53</v>
      </c>
      <c r="G47" s="775" t="s">
        <v>482</v>
      </c>
      <c r="H47" s="775" t="s">
        <v>32</v>
      </c>
      <c r="I47" s="775" t="s">
        <v>483</v>
      </c>
      <c r="J47" s="775" t="s">
        <v>20</v>
      </c>
      <c r="K47" s="775" t="s">
        <v>55</v>
      </c>
      <c r="L47" s="777" t="s">
        <v>56</v>
      </c>
      <c r="M47" s="778"/>
      <c r="N47" s="778"/>
      <c r="O47" s="778"/>
      <c r="P47" s="778"/>
      <c r="Q47" s="779"/>
      <c r="R47" s="775" t="s">
        <v>57</v>
      </c>
      <c r="S47" s="775" t="s">
        <v>58</v>
      </c>
      <c r="T47" s="775" t="s">
        <v>31</v>
      </c>
      <c r="U47" s="775" t="s">
        <v>10</v>
      </c>
      <c r="V47" s="701"/>
      <c r="W47" s="701"/>
    </row>
    <row r="48" spans="1:23" ht="67.5" x14ac:dyDescent="0.25">
      <c r="A48" s="701" t="s">
        <v>486</v>
      </c>
      <c r="B48" s="701"/>
      <c r="C48" s="781"/>
      <c r="D48" s="776"/>
      <c r="E48" s="776"/>
      <c r="F48" s="776"/>
      <c r="G48" s="776"/>
      <c r="H48" s="776"/>
      <c r="I48" s="776"/>
      <c r="J48" s="776"/>
      <c r="K48" s="776"/>
      <c r="L48" s="709" t="s">
        <v>335</v>
      </c>
      <c r="M48" s="709" t="s">
        <v>40</v>
      </c>
      <c r="N48" s="709" t="s">
        <v>343</v>
      </c>
      <c r="O48" s="709" t="s">
        <v>344</v>
      </c>
      <c r="P48" s="719" t="s">
        <v>610</v>
      </c>
      <c r="Q48" s="709" t="s">
        <v>346</v>
      </c>
      <c r="R48" s="776"/>
      <c r="S48" s="776"/>
      <c r="T48" s="776"/>
      <c r="U48" s="776"/>
      <c r="V48" s="701"/>
      <c r="W48" s="701"/>
    </row>
    <row r="49" spans="1:23" x14ac:dyDescent="0.25">
      <c r="A49" s="701" t="s">
        <v>487</v>
      </c>
      <c r="B49" s="701"/>
      <c r="C49" s="710" t="s">
        <v>59</v>
      </c>
      <c r="D49" s="711">
        <f>Bilans_E_AMS_Kyoto_run3_MTE!H273</f>
        <v>0</v>
      </c>
      <c r="E49" s="711">
        <f>Bilans_E_AMS_Kyoto_run3_MTE!I273</f>
        <v>9.5366</v>
      </c>
      <c r="F49" s="711">
        <f>Bilans_E_AMS_Kyoto_run3_MTE!J273</f>
        <v>0</v>
      </c>
      <c r="G49" s="711">
        <f>Bilans_E_AMS_Kyoto_run3_MTE!K273</f>
        <v>0</v>
      </c>
      <c r="H49" s="711">
        <f>Bilans_E_AMS_Kyoto_run3_MTE!L273</f>
        <v>0.19771000000000002</v>
      </c>
      <c r="I49" s="711">
        <f>Bilans_E_AMS_Kyoto_run3_MTE!M273</f>
        <v>0</v>
      </c>
      <c r="J49" s="711">
        <f>Bilans_E_AMS_Kyoto_run3_MTE!N273</f>
        <v>1170.5483636363635</v>
      </c>
      <c r="K49" s="711">
        <f>Bilans_E_AMS_Kyoto_run3_MTE!O273</f>
        <v>211.05320151197157</v>
      </c>
      <c r="L49" s="711">
        <f>Bilans_E_AMS_Kyoto_run3_MTE!P273</f>
        <v>290.91008816794533</v>
      </c>
      <c r="M49" s="711">
        <f>Bilans_E_AMS_Kyoto_run3_MTE!Q273</f>
        <v>51.094236462375186</v>
      </c>
      <c r="N49" s="711">
        <f>Bilans_E_AMS_Kyoto_run3_MTE!R273</f>
        <v>0</v>
      </c>
      <c r="O49" s="711">
        <f>Bilans_E_AMS_Kyoto_run3_MTE!S273</f>
        <v>0</v>
      </c>
      <c r="P49" s="711">
        <f>Bilans_E_AMS_Kyoto_run3_MTE!T273+Bilans_E_AMS_Kyoto_run3_MTE!U273</f>
        <v>129.75938144805454</v>
      </c>
      <c r="Q49" s="711">
        <f>Bilans_E_AMS_Kyoto_run3_MTE!V273</f>
        <v>22.58468388139195</v>
      </c>
      <c r="R49" s="711">
        <f>Bilans_E_AMS_Kyoto_run3_MTE!W273</f>
        <v>0</v>
      </c>
      <c r="S49" s="711">
        <f>Bilans_E_AMS_Kyoto_run3_MTE!X273</f>
        <v>0</v>
      </c>
      <c r="T49" s="711">
        <f>Bilans_E_AMS_Kyoto_run3_MTE!Y273</f>
        <v>0</v>
      </c>
      <c r="U49" s="711">
        <f>Bilans_E_AMS_Kyoto_run3_MTE!Z273</f>
        <v>1885.6842651081022</v>
      </c>
      <c r="V49" s="701"/>
      <c r="W49" s="701"/>
    </row>
    <row r="50" spans="1:23" x14ac:dyDescent="0.25">
      <c r="A50" s="701" t="s">
        <v>488</v>
      </c>
      <c r="B50" s="701"/>
      <c r="C50" s="710" t="s">
        <v>60</v>
      </c>
      <c r="D50" s="712">
        <f>Bilans_E_AMS_Kyoto_run3_MTE!H274</f>
        <v>22.464942871093751</v>
      </c>
      <c r="E50" s="712">
        <f>Bilans_E_AMS_Kyoto_run3_MTE!I274</f>
        <v>389.53221362524027</v>
      </c>
      <c r="F50" s="712">
        <f>Bilans_E_AMS_Kyoto_run3_MTE!J274</f>
        <v>202.97851930888072</v>
      </c>
      <c r="G50" s="712">
        <f>Bilans_E_AMS_Kyoto_run3_MTE!K274</f>
        <v>0</v>
      </c>
      <c r="H50" s="712">
        <f>Bilans_E_AMS_Kyoto_run3_MTE!L274</f>
        <v>267.33328549941001</v>
      </c>
      <c r="I50" s="712">
        <f>Bilans_E_AMS_Kyoto_run3_MTE!M274</f>
        <v>0</v>
      </c>
      <c r="J50" s="712">
        <f>Bilans_E_AMS_Kyoto_run3_MTE!N274</f>
        <v>0</v>
      </c>
      <c r="K50" s="712">
        <f>Bilans_E_AMS_Kyoto_run3_MTE!O274</f>
        <v>0</v>
      </c>
      <c r="L50" s="712">
        <f>Bilans_E_AMS_Kyoto_run3_MTE!P274</f>
        <v>4.0538456241052359</v>
      </c>
      <c r="M50" s="712">
        <f>Bilans_E_AMS_Kyoto_run3_MTE!Q274</f>
        <v>0</v>
      </c>
      <c r="N50" s="712">
        <f>Bilans_E_AMS_Kyoto_run3_MTE!R274</f>
        <v>5.1043186047972853</v>
      </c>
      <c r="O50" s="712">
        <f>Bilans_E_AMS_Kyoto_run3_MTE!S274</f>
        <v>12.337837782216525</v>
      </c>
      <c r="P50" s="712">
        <f>Bilans_E_AMS_Kyoto_run3_MTE!T274+Bilans_E_AMS_Kyoto_run3_MTE!U274</f>
        <v>0</v>
      </c>
      <c r="Q50" s="712">
        <f>Bilans_E_AMS_Kyoto_run3_MTE!V274</f>
        <v>0</v>
      </c>
      <c r="R50" s="712">
        <f>Bilans_E_AMS_Kyoto_run3_MTE!W274</f>
        <v>0</v>
      </c>
      <c r="S50" s="712">
        <f>Bilans_E_AMS_Kyoto_run3_MTE!X274</f>
        <v>0</v>
      </c>
      <c r="T50" s="712">
        <f>Bilans_E_AMS_Kyoto_run3_MTE!Y274</f>
        <v>0</v>
      </c>
      <c r="U50" s="712">
        <f>Bilans_E_AMS_Kyoto_run3_MTE!Z274</f>
        <v>903.80496331574375</v>
      </c>
      <c r="V50" s="701"/>
      <c r="W50" s="701"/>
    </row>
    <row r="51" spans="1:23" x14ac:dyDescent="0.25">
      <c r="A51" s="701" t="s">
        <v>489</v>
      </c>
      <c r="B51" s="701"/>
      <c r="C51" s="710" t="s">
        <v>61</v>
      </c>
      <c r="D51" s="712">
        <f>Bilans_E_AMS_Kyoto_run3_MTE!H275</f>
        <v>0</v>
      </c>
      <c r="E51" s="712">
        <f>Bilans_E_AMS_Kyoto_run3_MTE!I275</f>
        <v>0</v>
      </c>
      <c r="F51" s="712">
        <f>Bilans_E_AMS_Kyoto_run3_MTE!J275</f>
        <v>0</v>
      </c>
      <c r="G51" s="712">
        <f>Bilans_E_AMS_Kyoto_run3_MTE!K275</f>
        <v>-0.25</v>
      </c>
      <c r="H51" s="712">
        <f>Bilans_E_AMS_Kyoto_run3_MTE!L275</f>
        <v>0</v>
      </c>
      <c r="I51" s="712">
        <f>Bilans_E_AMS_Kyoto_run3_MTE!M275</f>
        <v>0</v>
      </c>
      <c r="J51" s="712">
        <f>Bilans_E_AMS_Kyoto_run3_MTE!N275</f>
        <v>0</v>
      </c>
      <c r="K51" s="712">
        <f>Bilans_E_AMS_Kyoto_run3_MTE!O275</f>
        <v>0</v>
      </c>
      <c r="L51" s="712">
        <f>Bilans_E_AMS_Kyoto_run3_MTE!P275</f>
        <v>0</v>
      </c>
      <c r="M51" s="712">
        <f>Bilans_E_AMS_Kyoto_run3_MTE!Q275</f>
        <v>0</v>
      </c>
      <c r="N51" s="712">
        <f>Bilans_E_AMS_Kyoto_run3_MTE!R275</f>
        <v>0</v>
      </c>
      <c r="O51" s="712">
        <f>Bilans_E_AMS_Kyoto_run3_MTE!S275</f>
        <v>0</v>
      </c>
      <c r="P51" s="712">
        <f>Bilans_E_AMS_Kyoto_run3_MTE!T275+Bilans_E_AMS_Kyoto_run3_MTE!U275</f>
        <v>0</v>
      </c>
      <c r="Q51" s="712">
        <f>Bilans_E_AMS_Kyoto_run3_MTE!V275</f>
        <v>0</v>
      </c>
      <c r="R51" s="712">
        <f>Bilans_E_AMS_Kyoto_run3_MTE!W275</f>
        <v>-57.004792385507699</v>
      </c>
      <c r="S51" s="712">
        <f>Bilans_E_AMS_Kyoto_run3_MTE!X275</f>
        <v>0</v>
      </c>
      <c r="T51" s="712">
        <f>Bilans_E_AMS_Kyoto_run3_MTE!Y275</f>
        <v>0</v>
      </c>
      <c r="U51" s="712">
        <f>Bilans_E_AMS_Kyoto_run3_MTE!Z275</f>
        <v>-57.254792385507699</v>
      </c>
      <c r="V51" s="701"/>
      <c r="W51" s="701"/>
    </row>
    <row r="52" spans="1:23" x14ac:dyDescent="0.25">
      <c r="A52" s="701" t="s">
        <v>490</v>
      </c>
      <c r="B52" s="701"/>
      <c r="C52" s="710" t="s">
        <v>62</v>
      </c>
      <c r="D52" s="711">
        <f>Bilans_E_AMS_Kyoto_run3_MTE!H276</f>
        <v>0</v>
      </c>
      <c r="E52" s="711">
        <f>Bilans_E_AMS_Kyoto_run3_MTE!I276</f>
        <v>0</v>
      </c>
      <c r="F52" s="711">
        <f>Bilans_E_AMS_Kyoto_run3_MTE!J276</f>
        <v>-8.8542757571138289</v>
      </c>
      <c r="G52" s="711">
        <f>Bilans_E_AMS_Kyoto_run3_MTE!K276</f>
        <v>-0.23021574029600306</v>
      </c>
      <c r="H52" s="711">
        <f>Bilans_E_AMS_Kyoto_run3_MTE!L276</f>
        <v>-1.4644559448503458</v>
      </c>
      <c r="I52" s="711">
        <f>Bilans_E_AMS_Kyoto_run3_MTE!M276</f>
        <v>-0.23021574029600303</v>
      </c>
      <c r="J52" s="711">
        <f>Bilans_E_AMS_Kyoto_run3_MTE!N276</f>
        <v>0</v>
      </c>
      <c r="K52" s="711">
        <f>Bilans_E_AMS_Kyoto_run3_MTE!O276</f>
        <v>0</v>
      </c>
      <c r="L52" s="711">
        <f>Bilans_E_AMS_Kyoto_run3_MTE!P276</f>
        <v>0</v>
      </c>
      <c r="M52" s="711">
        <f>Bilans_E_AMS_Kyoto_run3_MTE!Q276</f>
        <v>0</v>
      </c>
      <c r="N52" s="711">
        <f>Bilans_E_AMS_Kyoto_run3_MTE!R276</f>
        <v>0</v>
      </c>
      <c r="O52" s="711">
        <f>Bilans_E_AMS_Kyoto_run3_MTE!S276</f>
        <v>-0.67992597439480318</v>
      </c>
      <c r="P52" s="711">
        <f>Bilans_E_AMS_Kyoto_run3_MTE!T276+Bilans_E_AMS_Kyoto_run3_MTE!U276</f>
        <v>0</v>
      </c>
      <c r="Q52" s="711">
        <f>Bilans_E_AMS_Kyoto_run3_MTE!V276</f>
        <v>0</v>
      </c>
      <c r="R52" s="711">
        <f>Bilans_E_AMS_Kyoto_run3_MTE!W276</f>
        <v>0</v>
      </c>
      <c r="S52" s="711">
        <f>Bilans_E_AMS_Kyoto_run3_MTE!X276</f>
        <v>0</v>
      </c>
      <c r="T52" s="711">
        <f>Bilans_E_AMS_Kyoto_run3_MTE!Y276</f>
        <v>-8.5184540446497051E-2</v>
      </c>
      <c r="U52" s="711">
        <f>Bilans_E_AMS_Kyoto_run3_MTE!Z276</f>
        <v>-11.544273697397482</v>
      </c>
      <c r="V52" s="701"/>
      <c r="W52" s="701"/>
    </row>
    <row r="53" spans="1:23" x14ac:dyDescent="0.25">
      <c r="A53" s="701" t="s">
        <v>491</v>
      </c>
      <c r="B53" s="701"/>
      <c r="C53" s="710" t="s">
        <v>63</v>
      </c>
      <c r="D53" s="711">
        <f>Bilans_E_AMS_Kyoto_run3_MTE!H277</f>
        <v>0</v>
      </c>
      <c r="E53" s="711">
        <f>Bilans_E_AMS_Kyoto_run3_MTE!I277</f>
        <v>0</v>
      </c>
      <c r="F53" s="711">
        <f>Bilans_E_AMS_Kyoto_run3_MTE!J277</f>
        <v>-70</v>
      </c>
      <c r="G53" s="711">
        <f>Bilans_E_AMS_Kyoto_run3_MTE!K277</f>
        <v>-1</v>
      </c>
      <c r="H53" s="711">
        <f>Bilans_E_AMS_Kyoto_run3_MTE!L277</f>
        <v>0</v>
      </c>
      <c r="I53" s="711">
        <f>Bilans_E_AMS_Kyoto_run3_MTE!M277</f>
        <v>0</v>
      </c>
      <c r="J53" s="711">
        <f>Bilans_E_AMS_Kyoto_run3_MTE!N277</f>
        <v>0</v>
      </c>
      <c r="K53" s="711">
        <f>Bilans_E_AMS_Kyoto_run3_MTE!O277</f>
        <v>0</v>
      </c>
      <c r="L53" s="711">
        <f>Bilans_E_AMS_Kyoto_run3_MTE!P277</f>
        <v>0</v>
      </c>
      <c r="M53" s="711">
        <f>Bilans_E_AMS_Kyoto_run3_MTE!Q277</f>
        <v>0</v>
      </c>
      <c r="N53" s="711">
        <f>Bilans_E_AMS_Kyoto_run3_MTE!R277</f>
        <v>-4</v>
      </c>
      <c r="O53" s="711">
        <f>Bilans_E_AMS_Kyoto_run3_MTE!S277</f>
        <v>0</v>
      </c>
      <c r="P53" s="711">
        <f>Bilans_E_AMS_Kyoto_run3_MTE!T277+Bilans_E_AMS_Kyoto_run3_MTE!U277</f>
        <v>0</v>
      </c>
      <c r="Q53" s="711">
        <f>Bilans_E_AMS_Kyoto_run3_MTE!V277</f>
        <v>0</v>
      </c>
      <c r="R53" s="711">
        <f>Bilans_E_AMS_Kyoto_run3_MTE!W277</f>
        <v>0</v>
      </c>
      <c r="S53" s="711">
        <f>Bilans_E_AMS_Kyoto_run3_MTE!X277</f>
        <v>0</v>
      </c>
      <c r="T53" s="711">
        <f>Bilans_E_AMS_Kyoto_run3_MTE!Y277</f>
        <v>0</v>
      </c>
      <c r="U53" s="711">
        <f>Bilans_E_AMS_Kyoto_run3_MTE!Z277</f>
        <v>-75</v>
      </c>
      <c r="V53" s="701"/>
      <c r="W53" s="701"/>
    </row>
    <row r="54" spans="1:23" x14ac:dyDescent="0.25">
      <c r="A54" s="701" t="s">
        <v>492</v>
      </c>
      <c r="B54" s="701"/>
      <c r="C54" s="710" t="s">
        <v>64</v>
      </c>
      <c r="D54" s="712">
        <f>Bilans_E_AMS_Kyoto_run3_MTE!H278</f>
        <v>0</v>
      </c>
      <c r="E54" s="712">
        <f>Bilans_E_AMS_Kyoto_run3_MTE!I278</f>
        <v>0</v>
      </c>
      <c r="F54" s="712">
        <f>Bilans_E_AMS_Kyoto_run3_MTE!J278</f>
        <v>0</v>
      </c>
      <c r="G54" s="712">
        <f>Bilans_E_AMS_Kyoto_run3_MTE!K278</f>
        <v>0</v>
      </c>
      <c r="H54" s="712">
        <f>Bilans_E_AMS_Kyoto_run3_MTE!L278</f>
        <v>0</v>
      </c>
      <c r="I54" s="712">
        <f>Bilans_E_AMS_Kyoto_run3_MTE!M278</f>
        <v>0</v>
      </c>
      <c r="J54" s="712">
        <f>Bilans_E_AMS_Kyoto_run3_MTE!N278</f>
        <v>0</v>
      </c>
      <c r="K54" s="712">
        <f>Bilans_E_AMS_Kyoto_run3_MTE!O278</f>
        <v>0</v>
      </c>
      <c r="L54" s="712">
        <f>Bilans_E_AMS_Kyoto_run3_MTE!P278</f>
        <v>0</v>
      </c>
      <c r="M54" s="712">
        <f>Bilans_E_AMS_Kyoto_run3_MTE!Q278</f>
        <v>0</v>
      </c>
      <c r="N54" s="712">
        <f>Bilans_E_AMS_Kyoto_run3_MTE!R278</f>
        <v>0</v>
      </c>
      <c r="O54" s="712">
        <f>Bilans_E_AMS_Kyoto_run3_MTE!S278</f>
        <v>0</v>
      </c>
      <c r="P54" s="712">
        <f>Bilans_E_AMS_Kyoto_run3_MTE!T278+Bilans_E_AMS_Kyoto_run3_MTE!U278</f>
        <v>0</v>
      </c>
      <c r="Q54" s="712">
        <f>Bilans_E_AMS_Kyoto_run3_MTE!V278</f>
        <v>0</v>
      </c>
      <c r="R54" s="712">
        <f>Bilans_E_AMS_Kyoto_run3_MTE!W278</f>
        <v>0</v>
      </c>
      <c r="S54" s="712">
        <f>Bilans_E_AMS_Kyoto_run3_MTE!X278</f>
        <v>0</v>
      </c>
      <c r="T54" s="712">
        <f>Bilans_E_AMS_Kyoto_run3_MTE!Y278</f>
        <v>0</v>
      </c>
      <c r="U54" s="712">
        <f>Bilans_E_AMS_Kyoto_run3_MTE!Z278</f>
        <v>0</v>
      </c>
      <c r="V54" s="701"/>
      <c r="W54" s="701"/>
    </row>
    <row r="55" spans="1:23" x14ac:dyDescent="0.25">
      <c r="A55" s="701" t="s">
        <v>493</v>
      </c>
      <c r="B55" s="701"/>
      <c r="C55" s="713" t="s">
        <v>65</v>
      </c>
      <c r="D55" s="714">
        <f>Bilans_E_AMS_Kyoto_run3_MTE!H279</f>
        <v>22.464942871093751</v>
      </c>
      <c r="E55" s="714">
        <f>Bilans_E_AMS_Kyoto_run3_MTE!I279</f>
        <v>399.0688136252403</v>
      </c>
      <c r="F55" s="714">
        <f>Bilans_E_AMS_Kyoto_run3_MTE!J279</f>
        <v>124.12424355176688</v>
      </c>
      <c r="G55" s="714">
        <f>Bilans_E_AMS_Kyoto_run3_MTE!K279</f>
        <v>-1.480215740296003</v>
      </c>
      <c r="H55" s="714">
        <f>Bilans_E_AMS_Kyoto_run3_MTE!L279</f>
        <v>266.06653955455965</v>
      </c>
      <c r="I55" s="714">
        <f>Bilans_E_AMS_Kyoto_run3_MTE!M279</f>
        <v>-0.23021574029600303</v>
      </c>
      <c r="J55" s="714">
        <f>Bilans_E_AMS_Kyoto_run3_MTE!N279</f>
        <v>1170.5483636363635</v>
      </c>
      <c r="K55" s="714">
        <f>Bilans_E_AMS_Kyoto_run3_MTE!O279</f>
        <v>211.05320151197157</v>
      </c>
      <c r="L55" s="714">
        <f>Bilans_E_AMS_Kyoto_run3_MTE!P279</f>
        <v>294.96393379205057</v>
      </c>
      <c r="M55" s="714">
        <f>Bilans_E_AMS_Kyoto_run3_MTE!Q279</f>
        <v>51.094236462375186</v>
      </c>
      <c r="N55" s="714">
        <f>Bilans_E_AMS_Kyoto_run3_MTE!R279</f>
        <v>1.1043186047972853</v>
      </c>
      <c r="O55" s="714">
        <f>Bilans_E_AMS_Kyoto_run3_MTE!S279</f>
        <v>11.657911807821721</v>
      </c>
      <c r="P55" s="714">
        <f>Bilans_E_AMS_Kyoto_run3_MTE!T279+Bilans_E_AMS_Kyoto_run3_MTE!U279</f>
        <v>129.75938144805454</v>
      </c>
      <c r="Q55" s="714">
        <f>Bilans_E_AMS_Kyoto_run3_MTE!V279</f>
        <v>22.58468388139195</v>
      </c>
      <c r="R55" s="714">
        <f>Bilans_E_AMS_Kyoto_run3_MTE!W279</f>
        <v>-57.004792385507699</v>
      </c>
      <c r="S55" s="714">
        <f>Bilans_E_AMS_Kyoto_run3_MTE!X279</f>
        <v>0</v>
      </c>
      <c r="T55" s="714">
        <f>Bilans_E_AMS_Kyoto_run3_MTE!Y279</f>
        <v>-8.5184540446497051E-2</v>
      </c>
      <c r="U55" s="714">
        <f>Bilans_E_AMS_Kyoto_run3_MTE!Z279</f>
        <v>2645.6901623409408</v>
      </c>
      <c r="V55" s="701"/>
      <c r="W55" s="701"/>
    </row>
    <row r="56" spans="1:23" x14ac:dyDescent="0.25">
      <c r="A56" s="701"/>
      <c r="B56" s="701"/>
      <c r="C56" s="715"/>
      <c r="D56" s="716"/>
      <c r="E56" s="716"/>
      <c r="F56" s="716"/>
      <c r="G56" s="716"/>
      <c r="H56" s="716"/>
      <c r="I56" s="716"/>
      <c r="J56" s="716"/>
      <c r="K56" s="716"/>
      <c r="L56" s="716"/>
      <c r="M56" s="716"/>
      <c r="N56" s="716"/>
      <c r="O56" s="716"/>
      <c r="P56" s="716">
        <f>Bilans_E_AMS_Kyoto_run3_MTE!T280+Bilans_E_AMS_Kyoto_run3_MTE!U280</f>
        <v>0</v>
      </c>
      <c r="Q56" s="716"/>
      <c r="R56" s="716"/>
      <c r="S56" s="716"/>
      <c r="T56" s="716"/>
      <c r="U56" s="716"/>
      <c r="V56" s="701"/>
      <c r="W56" s="701"/>
    </row>
    <row r="57" spans="1:23" x14ac:dyDescent="0.25">
      <c r="A57" s="701" t="s">
        <v>494</v>
      </c>
      <c r="B57" s="701"/>
      <c r="C57" s="717" t="s">
        <v>67</v>
      </c>
      <c r="D57" s="711">
        <f>Bilans_E_AMS_Kyoto_run3_MTE!H281</f>
        <v>0</v>
      </c>
      <c r="E57" s="711">
        <f>Bilans_E_AMS_Kyoto_run3_MTE!I281</f>
        <v>0</v>
      </c>
      <c r="F57" s="711">
        <f>Bilans_E_AMS_Kyoto_run3_MTE!J281</f>
        <v>0</v>
      </c>
      <c r="G57" s="711">
        <f>Bilans_E_AMS_Kyoto_run3_MTE!K281</f>
        <v>0</v>
      </c>
      <c r="H57" s="711">
        <f>Bilans_E_AMS_Kyoto_run3_MTE!L281</f>
        <v>0</v>
      </c>
      <c r="I57" s="711">
        <f>Bilans_E_AMS_Kyoto_run3_MTE!M281</f>
        <v>0</v>
      </c>
      <c r="J57" s="711">
        <f>Bilans_E_AMS_Kyoto_run3_MTE!N281</f>
        <v>0</v>
      </c>
      <c r="K57" s="711">
        <f>Bilans_E_AMS_Kyoto_run3_MTE!O281</f>
        <v>0</v>
      </c>
      <c r="L57" s="711">
        <f>Bilans_E_AMS_Kyoto_run3_MTE!P281</f>
        <v>0</v>
      </c>
      <c r="M57" s="711">
        <f>Bilans_E_AMS_Kyoto_run3_MTE!Q281</f>
        <v>0</v>
      </c>
      <c r="N57" s="711">
        <f>Bilans_E_AMS_Kyoto_run3_MTE!R281</f>
        <v>0</v>
      </c>
      <c r="O57" s="711">
        <f>Bilans_E_AMS_Kyoto_run3_MTE!S281</f>
        <v>0</v>
      </c>
      <c r="P57" s="711">
        <f>Bilans_E_AMS_Kyoto_run3_MTE!T281+Bilans_E_AMS_Kyoto_run3_MTE!U281</f>
        <v>0</v>
      </c>
      <c r="Q57" s="711">
        <f>Bilans_E_AMS_Kyoto_run3_MTE!V281</f>
        <v>0</v>
      </c>
      <c r="R57" s="711">
        <f>Bilans_E_AMS_Kyoto_run3_MTE!W281</f>
        <v>0</v>
      </c>
      <c r="S57" s="711">
        <f>Bilans_E_AMS_Kyoto_run3_MTE!X281</f>
        <v>0</v>
      </c>
      <c r="T57" s="711">
        <f>Bilans_E_AMS_Kyoto_run3_MTE!Y281</f>
        <v>0</v>
      </c>
      <c r="U57" s="711">
        <f>Bilans_E_AMS_Kyoto_run3_MTE!Z281</f>
        <v>0</v>
      </c>
      <c r="V57" s="701"/>
      <c r="W57" s="701"/>
    </row>
    <row r="58" spans="1:23" x14ac:dyDescent="0.25">
      <c r="A58" s="701" t="s">
        <v>495</v>
      </c>
      <c r="B58" s="701"/>
      <c r="C58" s="717" t="s">
        <v>347</v>
      </c>
      <c r="D58" s="711">
        <f>Bilans_E_AMS_Kyoto_run3_MTE!H282</f>
        <v>0</v>
      </c>
      <c r="E58" s="711">
        <f>Bilans_E_AMS_Kyoto_run3_MTE!I282</f>
        <v>0</v>
      </c>
      <c r="F58" s="711">
        <f>Bilans_E_AMS_Kyoto_run3_MTE!J282</f>
        <v>0.77863803143112786</v>
      </c>
      <c r="G58" s="711">
        <f>Bilans_E_AMS_Kyoto_run3_MTE!K282</f>
        <v>0</v>
      </c>
      <c r="H58" s="711">
        <f>Bilans_E_AMS_Kyoto_run3_MTE!L282</f>
        <v>37.284874621454541</v>
      </c>
      <c r="I58" s="711">
        <f>Bilans_E_AMS_Kyoto_run3_MTE!M282</f>
        <v>0</v>
      </c>
      <c r="J58" s="711">
        <f>Bilans_E_AMS_Kyoto_run3_MTE!N282</f>
        <v>1170.5483636363635</v>
      </c>
      <c r="K58" s="711">
        <f>Bilans_E_AMS_Kyoto_run3_MTE!O282</f>
        <v>211.05320151197157</v>
      </c>
      <c r="L58" s="711">
        <f>Bilans_E_AMS_Kyoto_run3_MTE!P282</f>
        <v>13.643826551456822</v>
      </c>
      <c r="M58" s="711">
        <f>Bilans_E_AMS_Kyoto_run3_MTE!Q282</f>
        <v>6.3714737362755738</v>
      </c>
      <c r="N58" s="711">
        <f>Bilans_E_AMS_Kyoto_run3_MTE!R282</f>
        <v>4.4112574708908179</v>
      </c>
      <c r="O58" s="711">
        <f>Bilans_E_AMS_Kyoto_run3_MTE!S282</f>
        <v>11.131476471231387</v>
      </c>
      <c r="P58" s="711">
        <f>Bilans_E_AMS_Kyoto_run3_MTE!T282+Bilans_E_AMS_Kyoto_run3_MTE!U282</f>
        <v>0</v>
      </c>
      <c r="Q58" s="711">
        <f>Bilans_E_AMS_Kyoto_run3_MTE!V282</f>
        <v>0</v>
      </c>
      <c r="R58" s="711">
        <f>Bilans_E_AMS_Kyoto_run3_MTE!W282</f>
        <v>-636.49198102617061</v>
      </c>
      <c r="S58" s="711">
        <f>Bilans_E_AMS_Kyoto_run3_MTE!X282</f>
        <v>0</v>
      </c>
      <c r="T58" s="711">
        <f>Bilans_E_AMS_Kyoto_run3_MTE!Y282</f>
        <v>0</v>
      </c>
      <c r="U58" s="711">
        <f>Bilans_E_AMS_Kyoto_run3_MTE!Z282</f>
        <v>818.73113100490491</v>
      </c>
      <c r="V58" s="701"/>
      <c r="W58" s="701"/>
    </row>
    <row r="59" spans="1:23" x14ac:dyDescent="0.25">
      <c r="A59" s="701" t="s">
        <v>496</v>
      </c>
      <c r="B59" s="701"/>
      <c r="C59" s="717" t="s">
        <v>348</v>
      </c>
      <c r="D59" s="711">
        <f>Bilans_E_AMS_Kyoto_run3_MTE!H283</f>
        <v>0</v>
      </c>
      <c r="E59" s="711">
        <f>Bilans_E_AMS_Kyoto_run3_MTE!I283</f>
        <v>0</v>
      </c>
      <c r="F59" s="711">
        <f>Bilans_E_AMS_Kyoto_run3_MTE!J283</f>
        <v>0</v>
      </c>
      <c r="G59" s="711">
        <f>Bilans_E_AMS_Kyoto_run3_MTE!K283</f>
        <v>0</v>
      </c>
      <c r="H59" s="711">
        <f>Bilans_E_AMS_Kyoto_run3_MTE!L283</f>
        <v>21.01937665904569</v>
      </c>
      <c r="I59" s="711">
        <f>Bilans_E_AMS_Kyoto_run3_MTE!M283</f>
        <v>0</v>
      </c>
      <c r="J59" s="711">
        <f>Bilans_E_AMS_Kyoto_run3_MTE!N283</f>
        <v>0</v>
      </c>
      <c r="K59" s="711">
        <f>Bilans_E_AMS_Kyoto_run3_MTE!O283</f>
        <v>0</v>
      </c>
      <c r="L59" s="711">
        <f>Bilans_E_AMS_Kyoto_run3_MTE!P283</f>
        <v>25.438759695297328</v>
      </c>
      <c r="M59" s="711">
        <f>Bilans_E_AMS_Kyoto_run3_MTE!Q283</f>
        <v>17.519848610972289</v>
      </c>
      <c r="N59" s="711">
        <f>Bilans_E_AMS_Kyoto_run3_MTE!R283</f>
        <v>0</v>
      </c>
      <c r="O59" s="711">
        <f>Bilans_E_AMS_Kyoto_run3_MTE!S283</f>
        <v>5.5617593110833985</v>
      </c>
      <c r="P59" s="711">
        <f>Bilans_E_AMS_Kyoto_run3_MTE!T283+Bilans_E_AMS_Kyoto_run3_MTE!U283</f>
        <v>5.5922659753689832</v>
      </c>
      <c r="Q59" s="711">
        <f>Bilans_E_AMS_Kyoto_run3_MTE!V283</f>
        <v>10.223550533524911</v>
      </c>
      <c r="R59" s="711">
        <f>Bilans_E_AMS_Kyoto_run3_MTE!W283</f>
        <v>0</v>
      </c>
      <c r="S59" s="711">
        <f>Bilans_E_AMS_Kyoto_run3_MTE!X283</f>
        <v>-76.161434631032037</v>
      </c>
      <c r="T59" s="711">
        <f>Bilans_E_AMS_Kyoto_run3_MTE!Y283</f>
        <v>0</v>
      </c>
      <c r="U59" s="711">
        <f>Bilans_E_AMS_Kyoto_run3_MTE!Z283</f>
        <v>9.194126154260573</v>
      </c>
      <c r="V59" s="701"/>
      <c r="W59" s="701"/>
    </row>
    <row r="60" spans="1:23" x14ac:dyDescent="0.25">
      <c r="A60" s="701" t="s">
        <v>497</v>
      </c>
      <c r="B60" s="701"/>
      <c r="C60" s="717" t="s">
        <v>349</v>
      </c>
      <c r="D60" s="711">
        <f>Bilans_E_AMS_Kyoto_run3_MTE!H284</f>
        <v>0</v>
      </c>
      <c r="E60" s="711">
        <f>Bilans_E_AMS_Kyoto_run3_MTE!I284</f>
        <v>0</v>
      </c>
      <c r="F60" s="711">
        <f>Bilans_E_AMS_Kyoto_run3_MTE!J284</f>
        <v>0</v>
      </c>
      <c r="G60" s="711">
        <f>Bilans_E_AMS_Kyoto_run3_MTE!K284</f>
        <v>0</v>
      </c>
      <c r="H60" s="711">
        <f>Bilans_E_AMS_Kyoto_run3_MTE!L284</f>
        <v>0</v>
      </c>
      <c r="I60" s="711">
        <f>Bilans_E_AMS_Kyoto_run3_MTE!M284</f>
        <v>0</v>
      </c>
      <c r="J60" s="711">
        <f>Bilans_E_AMS_Kyoto_run3_MTE!N284</f>
        <v>0</v>
      </c>
      <c r="K60" s="711">
        <f>Bilans_E_AMS_Kyoto_run3_MTE!O284</f>
        <v>0</v>
      </c>
      <c r="L60" s="711">
        <f>Bilans_E_AMS_Kyoto_run3_MTE!P284</f>
        <v>68.878327619299128</v>
      </c>
      <c r="M60" s="711">
        <f>Bilans_E_AMS_Kyoto_run3_MTE!Q284</f>
        <v>9.6609327353265275</v>
      </c>
      <c r="N60" s="711">
        <f>Bilans_E_AMS_Kyoto_run3_MTE!R284</f>
        <v>0</v>
      </c>
      <c r="O60" s="711">
        <f>Bilans_E_AMS_Kyoto_run3_MTE!S284</f>
        <v>-39.337598681233651</v>
      </c>
      <c r="P60" s="711">
        <f>Bilans_E_AMS_Kyoto_run3_MTE!T284+Bilans_E_AMS_Kyoto_run3_MTE!U284</f>
        <v>0</v>
      </c>
      <c r="Q60" s="711">
        <f>Bilans_E_AMS_Kyoto_run3_MTE!V284</f>
        <v>0</v>
      </c>
      <c r="R60" s="711">
        <f>Bilans_E_AMS_Kyoto_run3_MTE!W284</f>
        <v>0</v>
      </c>
      <c r="S60" s="711">
        <f>Bilans_E_AMS_Kyoto_run3_MTE!X284</f>
        <v>0</v>
      </c>
      <c r="T60" s="711">
        <f>Bilans_E_AMS_Kyoto_run3_MTE!Y284</f>
        <v>0</v>
      </c>
      <c r="U60" s="711">
        <f>Bilans_E_AMS_Kyoto_run3_MTE!Z284</f>
        <v>39.201661673392003</v>
      </c>
      <c r="V60" s="701"/>
      <c r="W60" s="701"/>
    </row>
    <row r="61" spans="1:23" x14ac:dyDescent="0.25">
      <c r="A61" s="701" t="s">
        <v>498</v>
      </c>
      <c r="B61" s="701"/>
      <c r="C61" s="717" t="s">
        <v>350</v>
      </c>
      <c r="D61" s="711">
        <f>Bilans_E_AMS_Kyoto_run3_MTE!H285</f>
        <v>0</v>
      </c>
      <c r="E61" s="711">
        <f>Bilans_E_AMS_Kyoto_run3_MTE!I285</f>
        <v>0</v>
      </c>
      <c r="F61" s="711">
        <f>Bilans_E_AMS_Kyoto_run3_MTE!J285</f>
        <v>0</v>
      </c>
      <c r="G61" s="711">
        <f>Bilans_E_AMS_Kyoto_run3_MTE!K285</f>
        <v>0</v>
      </c>
      <c r="H61" s="711">
        <f>Bilans_E_AMS_Kyoto_run3_MTE!L285</f>
        <v>0</v>
      </c>
      <c r="I61" s="711">
        <f>Bilans_E_AMS_Kyoto_run3_MTE!M285</f>
        <v>-0.23021574029600303</v>
      </c>
      <c r="J61" s="711">
        <f>Bilans_E_AMS_Kyoto_run3_MTE!N285</f>
        <v>0</v>
      </c>
      <c r="K61" s="711">
        <f>Bilans_E_AMS_Kyoto_run3_MTE!O285</f>
        <v>0</v>
      </c>
      <c r="L61" s="711">
        <f>Bilans_E_AMS_Kyoto_run3_MTE!P285</f>
        <v>0</v>
      </c>
      <c r="M61" s="711">
        <f>Bilans_E_AMS_Kyoto_run3_MTE!Q285</f>
        <v>0</v>
      </c>
      <c r="N61" s="711">
        <f>Bilans_E_AMS_Kyoto_run3_MTE!R285</f>
        <v>0</v>
      </c>
      <c r="O61" s="711">
        <f>Bilans_E_AMS_Kyoto_run3_MTE!S285</f>
        <v>0</v>
      </c>
      <c r="P61" s="711">
        <f>Bilans_E_AMS_Kyoto_run3_MTE!T285+Bilans_E_AMS_Kyoto_run3_MTE!U285</f>
        <v>0</v>
      </c>
      <c r="Q61" s="711">
        <f>Bilans_E_AMS_Kyoto_run3_MTE!V285</f>
        <v>0</v>
      </c>
      <c r="R61" s="711">
        <f>Bilans_E_AMS_Kyoto_run3_MTE!W285</f>
        <v>0</v>
      </c>
      <c r="S61" s="711">
        <f>Bilans_E_AMS_Kyoto_run3_MTE!X285</f>
        <v>0</v>
      </c>
      <c r="T61" s="711">
        <f>Bilans_E_AMS_Kyoto_run3_MTE!Y285</f>
        <v>0.31974408374444868</v>
      </c>
      <c r="U61" s="711">
        <f>Bilans_E_AMS_Kyoto_run3_MTE!Z285</f>
        <v>8.9528343448445652E-2</v>
      </c>
      <c r="V61" s="701"/>
      <c r="W61" s="701"/>
    </row>
    <row r="62" spans="1:23" x14ac:dyDescent="0.25">
      <c r="A62" s="701" t="s">
        <v>499</v>
      </c>
      <c r="B62" s="701"/>
      <c r="C62" s="717" t="s">
        <v>72</v>
      </c>
      <c r="D62" s="711">
        <f>Bilans_E_AMS_Kyoto_run3_MTE!H286</f>
        <v>0</v>
      </c>
      <c r="E62" s="711">
        <f>Bilans_E_AMS_Kyoto_run3_MTE!I286</f>
        <v>413.59716113320059</v>
      </c>
      <c r="F62" s="711">
        <f>Bilans_E_AMS_Kyoto_run3_MTE!J286</f>
        <v>-409.46118952186856</v>
      </c>
      <c r="G62" s="711">
        <f>Bilans_E_AMS_Kyoto_run3_MTE!K286</f>
        <v>0</v>
      </c>
      <c r="H62" s="711">
        <f>Bilans_E_AMS_Kyoto_run3_MTE!L286</f>
        <v>0</v>
      </c>
      <c r="I62" s="711">
        <f>Bilans_E_AMS_Kyoto_run3_MTE!M286</f>
        <v>0</v>
      </c>
      <c r="J62" s="711">
        <f>Bilans_E_AMS_Kyoto_run3_MTE!N286</f>
        <v>0</v>
      </c>
      <c r="K62" s="711">
        <f>Bilans_E_AMS_Kyoto_run3_MTE!O286</f>
        <v>0</v>
      </c>
      <c r="L62" s="711">
        <f>Bilans_E_AMS_Kyoto_run3_MTE!P286</f>
        <v>0</v>
      </c>
      <c r="M62" s="711">
        <f>Bilans_E_AMS_Kyoto_run3_MTE!Q286</f>
        <v>0</v>
      </c>
      <c r="N62" s="711">
        <f>Bilans_E_AMS_Kyoto_run3_MTE!R286</f>
        <v>0</v>
      </c>
      <c r="O62" s="711">
        <f>Bilans_E_AMS_Kyoto_run3_MTE!S286</f>
        <v>0</v>
      </c>
      <c r="P62" s="711">
        <f>Bilans_E_AMS_Kyoto_run3_MTE!T286+Bilans_E_AMS_Kyoto_run3_MTE!U286</f>
        <v>0</v>
      </c>
      <c r="Q62" s="711">
        <f>Bilans_E_AMS_Kyoto_run3_MTE!V286</f>
        <v>0</v>
      </c>
      <c r="R62" s="711">
        <f>Bilans_E_AMS_Kyoto_run3_MTE!W286</f>
        <v>0</v>
      </c>
      <c r="S62" s="711">
        <f>Bilans_E_AMS_Kyoto_run3_MTE!X286</f>
        <v>0</v>
      </c>
      <c r="T62" s="711">
        <f>Bilans_E_AMS_Kyoto_run3_MTE!Y286</f>
        <v>0</v>
      </c>
      <c r="U62" s="711">
        <f>Bilans_E_AMS_Kyoto_run3_MTE!Z286</f>
        <v>4.1359716113320246</v>
      </c>
      <c r="V62" s="701"/>
      <c r="W62" s="701"/>
    </row>
    <row r="63" spans="1:23" x14ac:dyDescent="0.25">
      <c r="A63" s="701" t="s">
        <v>500</v>
      </c>
      <c r="B63" s="701"/>
      <c r="C63" s="717" t="s">
        <v>351</v>
      </c>
      <c r="D63" s="711">
        <f>Bilans_E_AMS_Kyoto_run3_MTE!H287</f>
        <v>0</v>
      </c>
      <c r="E63" s="711">
        <f>Bilans_E_AMS_Kyoto_run3_MTE!I287</f>
        <v>0</v>
      </c>
      <c r="F63" s="711">
        <f>Bilans_E_AMS_Kyoto_run3_MTE!J287</f>
        <v>0</v>
      </c>
      <c r="G63" s="711">
        <f>Bilans_E_AMS_Kyoto_run3_MTE!K287</f>
        <v>0</v>
      </c>
      <c r="H63" s="711">
        <f>Bilans_E_AMS_Kyoto_run3_MTE!L287</f>
        <v>0</v>
      </c>
      <c r="I63" s="711">
        <f>Bilans_E_AMS_Kyoto_run3_MTE!M287</f>
        <v>0</v>
      </c>
      <c r="J63" s="711">
        <f>Bilans_E_AMS_Kyoto_run3_MTE!N287</f>
        <v>0</v>
      </c>
      <c r="K63" s="711">
        <f>Bilans_E_AMS_Kyoto_run3_MTE!O287</f>
        <v>0</v>
      </c>
      <c r="L63" s="711">
        <f>Bilans_E_AMS_Kyoto_run3_MTE!P287</f>
        <v>74.303583996360487</v>
      </c>
      <c r="M63" s="711">
        <f>Bilans_E_AMS_Kyoto_run3_MTE!Q287</f>
        <v>7.2727272727272725</v>
      </c>
      <c r="N63" s="711">
        <f>Bilans_E_AMS_Kyoto_run3_MTE!R287</f>
        <v>-45.504026449722858</v>
      </c>
      <c r="O63" s="711">
        <f>Bilans_E_AMS_Kyoto_run3_MTE!S287</f>
        <v>0</v>
      </c>
      <c r="P63" s="711">
        <f>Bilans_E_AMS_Kyoto_run3_MTE!T287+Bilans_E_AMS_Kyoto_run3_MTE!U287</f>
        <v>0</v>
      </c>
      <c r="Q63" s="711">
        <f>Bilans_E_AMS_Kyoto_run3_MTE!V287</f>
        <v>0</v>
      </c>
      <c r="R63" s="711">
        <f>Bilans_E_AMS_Kyoto_run3_MTE!W287</f>
        <v>0</v>
      </c>
      <c r="S63" s="711">
        <f>Bilans_E_AMS_Kyoto_run3_MTE!X287</f>
        <v>0</v>
      </c>
      <c r="T63" s="711">
        <f>Bilans_E_AMS_Kyoto_run3_MTE!Y287</f>
        <v>0</v>
      </c>
      <c r="U63" s="711">
        <f>Bilans_E_AMS_Kyoto_run3_MTE!Z287</f>
        <v>36.072284819364896</v>
      </c>
      <c r="V63" s="701"/>
      <c r="W63" s="701"/>
    </row>
    <row r="64" spans="1:23" x14ac:dyDescent="0.25">
      <c r="A64" s="701" t="s">
        <v>501</v>
      </c>
      <c r="B64" s="701"/>
      <c r="C64" s="717" t="s">
        <v>352</v>
      </c>
      <c r="D64" s="711">
        <f>Bilans_E_AMS_Kyoto_run3_MTE!H288</f>
        <v>0</v>
      </c>
      <c r="E64" s="711">
        <f>Bilans_E_AMS_Kyoto_run3_MTE!I288</f>
        <v>0</v>
      </c>
      <c r="F64" s="711">
        <f>Bilans_E_AMS_Kyoto_run3_MTE!J288</f>
        <v>0</v>
      </c>
      <c r="G64" s="711">
        <f>Bilans_E_AMS_Kyoto_run3_MTE!K288</f>
        <v>-1.480215740296003</v>
      </c>
      <c r="H64" s="711">
        <f>Bilans_E_AMS_Kyoto_run3_MTE!L288</f>
        <v>0</v>
      </c>
      <c r="I64" s="711">
        <f>Bilans_E_AMS_Kyoto_run3_MTE!M288</f>
        <v>0</v>
      </c>
      <c r="J64" s="711">
        <f>Bilans_E_AMS_Kyoto_run3_MTE!N288</f>
        <v>0</v>
      </c>
      <c r="K64" s="711">
        <f>Bilans_E_AMS_Kyoto_run3_MTE!O288</f>
        <v>0</v>
      </c>
      <c r="L64" s="711">
        <f>Bilans_E_AMS_Kyoto_run3_MTE!P288</f>
        <v>0</v>
      </c>
      <c r="M64" s="711">
        <f>Bilans_E_AMS_Kyoto_run3_MTE!Q288</f>
        <v>0</v>
      </c>
      <c r="N64" s="711">
        <f>Bilans_E_AMS_Kyoto_run3_MTE!R288</f>
        <v>0</v>
      </c>
      <c r="O64" s="711">
        <f>Bilans_E_AMS_Kyoto_run3_MTE!S288</f>
        <v>0</v>
      </c>
      <c r="P64" s="711">
        <f>Bilans_E_AMS_Kyoto_run3_MTE!T288+Bilans_E_AMS_Kyoto_run3_MTE!U288</f>
        <v>0</v>
      </c>
      <c r="Q64" s="711">
        <f>Bilans_E_AMS_Kyoto_run3_MTE!V288</f>
        <v>0</v>
      </c>
      <c r="R64" s="711">
        <f>Bilans_E_AMS_Kyoto_run3_MTE!W288</f>
        <v>0</v>
      </c>
      <c r="S64" s="711">
        <f>Bilans_E_AMS_Kyoto_run3_MTE!X288</f>
        <v>0</v>
      </c>
      <c r="T64" s="711">
        <f>Bilans_E_AMS_Kyoto_run3_MTE!Y288</f>
        <v>2.4532373143256034</v>
      </c>
      <c r="U64" s="711">
        <f>Bilans_E_AMS_Kyoto_run3_MTE!Z288</f>
        <v>0.97302157402960043</v>
      </c>
      <c r="V64" s="701"/>
      <c r="W64" s="701"/>
    </row>
    <row r="65" spans="1:23" x14ac:dyDescent="0.25">
      <c r="A65" s="701" t="s">
        <v>502</v>
      </c>
      <c r="B65" s="701"/>
      <c r="C65" s="717" t="s">
        <v>73</v>
      </c>
      <c r="D65" s="711">
        <f>Bilans_E_AMS_Kyoto_run3_MTE!H289</f>
        <v>0</v>
      </c>
      <c r="E65" s="711">
        <f>Bilans_E_AMS_Kyoto_run3_MTE!I289</f>
        <v>0</v>
      </c>
      <c r="F65" s="711">
        <f>Bilans_E_AMS_Kyoto_run3_MTE!J289</f>
        <v>0</v>
      </c>
      <c r="G65" s="711">
        <f>Bilans_E_AMS_Kyoto_run3_MTE!K289</f>
        <v>0</v>
      </c>
      <c r="H65" s="711">
        <f>Bilans_E_AMS_Kyoto_run3_MTE!L289</f>
        <v>0</v>
      </c>
      <c r="I65" s="711">
        <f>Bilans_E_AMS_Kyoto_run3_MTE!M289</f>
        <v>0</v>
      </c>
      <c r="J65" s="711">
        <f>Bilans_E_AMS_Kyoto_run3_MTE!N289</f>
        <v>0</v>
      </c>
      <c r="K65" s="711">
        <f>Bilans_E_AMS_Kyoto_run3_MTE!O289</f>
        <v>0</v>
      </c>
      <c r="L65" s="711">
        <f>Bilans_E_AMS_Kyoto_run3_MTE!P289</f>
        <v>0</v>
      </c>
      <c r="M65" s="711">
        <f>Bilans_E_AMS_Kyoto_run3_MTE!Q289</f>
        <v>0</v>
      </c>
      <c r="N65" s="711">
        <f>Bilans_E_AMS_Kyoto_run3_MTE!R289</f>
        <v>0</v>
      </c>
      <c r="O65" s="711">
        <f>Bilans_E_AMS_Kyoto_run3_MTE!S289</f>
        <v>0</v>
      </c>
      <c r="P65" s="711">
        <f>Bilans_E_AMS_Kyoto_run3_MTE!T289+Bilans_E_AMS_Kyoto_run3_MTE!U289</f>
        <v>0</v>
      </c>
      <c r="Q65" s="711">
        <f>Bilans_E_AMS_Kyoto_run3_MTE!V289</f>
        <v>0</v>
      </c>
      <c r="R65" s="711">
        <f>Bilans_E_AMS_Kyoto_run3_MTE!W289</f>
        <v>18.526359506641338</v>
      </c>
      <c r="S65" s="711">
        <f>Bilans_E_AMS_Kyoto_run3_MTE!X289</f>
        <v>0</v>
      </c>
      <c r="T65" s="711">
        <f>Bilans_E_AMS_Kyoto_run3_MTE!Y289</f>
        <v>-12.042133679316869</v>
      </c>
      <c r="U65" s="711">
        <f>Bilans_E_AMS_Kyoto_run3_MTE!Z289</f>
        <v>6.4842258273244688</v>
      </c>
      <c r="V65" s="701"/>
      <c r="W65" s="701"/>
    </row>
    <row r="66" spans="1:23" x14ac:dyDescent="0.25">
      <c r="A66" s="701" t="s">
        <v>503</v>
      </c>
      <c r="B66" s="701"/>
      <c r="C66" s="717" t="s">
        <v>353</v>
      </c>
      <c r="D66" s="711">
        <f>Bilans_E_AMS_Kyoto_run3_MTE!H290</f>
        <v>15.5082364453125</v>
      </c>
      <c r="E66" s="711">
        <f>Bilans_E_AMS_Kyoto_run3_MTE!I290</f>
        <v>-14.528347507960277</v>
      </c>
      <c r="F66" s="711">
        <f>Bilans_E_AMS_Kyoto_run3_MTE!J290</f>
        <v>19.128276728053308</v>
      </c>
      <c r="G66" s="711">
        <f>Bilans_E_AMS_Kyoto_run3_MTE!K290</f>
        <v>0</v>
      </c>
      <c r="H66" s="711">
        <f>Bilans_E_AMS_Kyoto_run3_MTE!L290</f>
        <v>0</v>
      </c>
      <c r="I66" s="711">
        <f>Bilans_E_AMS_Kyoto_run3_MTE!M290</f>
        <v>0</v>
      </c>
      <c r="J66" s="711">
        <f>Bilans_E_AMS_Kyoto_run3_MTE!N290</f>
        <v>0</v>
      </c>
      <c r="K66" s="711">
        <f>Bilans_E_AMS_Kyoto_run3_MTE!O290</f>
        <v>0</v>
      </c>
      <c r="L66" s="711">
        <f>Bilans_E_AMS_Kyoto_run3_MTE!P290</f>
        <v>0</v>
      </c>
      <c r="M66" s="711">
        <f>Bilans_E_AMS_Kyoto_run3_MTE!Q290</f>
        <v>0</v>
      </c>
      <c r="N66" s="711">
        <f>Bilans_E_AMS_Kyoto_run3_MTE!R290</f>
        <v>0</v>
      </c>
      <c r="O66" s="711">
        <f>Bilans_E_AMS_Kyoto_run3_MTE!S290</f>
        <v>0</v>
      </c>
      <c r="P66" s="711">
        <f>Bilans_E_AMS_Kyoto_run3_MTE!T290+Bilans_E_AMS_Kyoto_run3_MTE!U290</f>
        <v>0</v>
      </c>
      <c r="Q66" s="711">
        <f>Bilans_E_AMS_Kyoto_run3_MTE!V290</f>
        <v>0</v>
      </c>
      <c r="R66" s="711">
        <f>Bilans_E_AMS_Kyoto_run3_MTE!W290</f>
        <v>0</v>
      </c>
      <c r="S66" s="711">
        <f>Bilans_E_AMS_Kyoto_run3_MTE!X290</f>
        <v>0</v>
      </c>
      <c r="T66" s="711">
        <f>Bilans_E_AMS_Kyoto_run3_MTE!Y290</f>
        <v>0</v>
      </c>
      <c r="U66" s="711">
        <f>Bilans_E_AMS_Kyoto_run3_MTE!Z290</f>
        <v>20.108165665405529</v>
      </c>
      <c r="V66" s="701"/>
      <c r="W66" s="701"/>
    </row>
    <row r="67" spans="1:23" x14ac:dyDescent="0.25">
      <c r="A67" s="701" t="s">
        <v>504</v>
      </c>
      <c r="B67" s="701"/>
      <c r="C67" s="717" t="s">
        <v>75</v>
      </c>
      <c r="D67" s="711">
        <f>Bilans_E_AMS_Kyoto_run3_MTE!H291</f>
        <v>6.0309808398437506</v>
      </c>
      <c r="E67" s="711">
        <f>Bilans_E_AMS_Kyoto_run3_MTE!I291</f>
        <v>0</v>
      </c>
      <c r="F67" s="711">
        <f>Bilans_E_AMS_Kyoto_run3_MTE!J291</f>
        <v>14.291538341519651</v>
      </c>
      <c r="G67" s="711">
        <f>Bilans_E_AMS_Kyoto_run3_MTE!K291</f>
        <v>0</v>
      </c>
      <c r="H67" s="711">
        <f>Bilans_E_AMS_Kyoto_run3_MTE!L291</f>
        <v>0.64620824955973954</v>
      </c>
      <c r="I67" s="711">
        <f>Bilans_E_AMS_Kyoto_run3_MTE!M291</f>
        <v>0</v>
      </c>
      <c r="J67" s="711">
        <f>Bilans_E_AMS_Kyoto_run3_MTE!N291</f>
        <v>0</v>
      </c>
      <c r="K67" s="711">
        <f>Bilans_E_AMS_Kyoto_run3_MTE!O291</f>
        <v>0</v>
      </c>
      <c r="L67" s="711">
        <f>Bilans_E_AMS_Kyoto_run3_MTE!P291</f>
        <v>0</v>
      </c>
      <c r="M67" s="711">
        <f>Bilans_E_AMS_Kyoto_run3_MTE!Q291</f>
        <v>0</v>
      </c>
      <c r="N67" s="711">
        <f>Bilans_E_AMS_Kyoto_run3_MTE!R291</f>
        <v>0</v>
      </c>
      <c r="O67" s="711">
        <f>Bilans_E_AMS_Kyoto_run3_MTE!S291</f>
        <v>0.11403674992230699</v>
      </c>
      <c r="P67" s="711">
        <f>Bilans_E_AMS_Kyoto_run3_MTE!T291+Bilans_E_AMS_Kyoto_run3_MTE!U291</f>
        <v>0</v>
      </c>
      <c r="Q67" s="711">
        <f>Bilans_E_AMS_Kyoto_run3_MTE!V291</f>
        <v>0</v>
      </c>
      <c r="R67" s="711">
        <f>Bilans_E_AMS_Kyoto_run3_MTE!W291</f>
        <v>33.092757599701173</v>
      </c>
      <c r="S67" s="711">
        <f>Bilans_E_AMS_Kyoto_run3_MTE!X291</f>
        <v>0</v>
      </c>
      <c r="T67" s="711">
        <f>Bilans_E_AMS_Kyoto_run3_MTE!Y291</f>
        <v>3.3</v>
      </c>
      <c r="U67" s="711">
        <f>Bilans_E_AMS_Kyoto_run3_MTE!Z291</f>
        <v>57.475521780546615</v>
      </c>
      <c r="V67" s="701"/>
      <c r="W67" s="701"/>
    </row>
    <row r="68" spans="1:23" x14ac:dyDescent="0.25">
      <c r="A68" s="701" t="s">
        <v>505</v>
      </c>
      <c r="B68" s="701"/>
      <c r="C68" s="717" t="s">
        <v>76</v>
      </c>
      <c r="D68" s="711">
        <f>Bilans_E_AMS_Kyoto_run3_MTE!H292</f>
        <v>0</v>
      </c>
      <c r="E68" s="711">
        <f>Bilans_E_AMS_Kyoto_run3_MTE!I292</f>
        <v>0</v>
      </c>
      <c r="F68" s="711">
        <f>Bilans_E_AMS_Kyoto_run3_MTE!J292</f>
        <v>0</v>
      </c>
      <c r="G68" s="711">
        <f>Bilans_E_AMS_Kyoto_run3_MTE!K292</f>
        <v>0</v>
      </c>
      <c r="H68" s="711">
        <f>Bilans_E_AMS_Kyoto_run3_MTE!L292</f>
        <v>3.0578662862517128</v>
      </c>
      <c r="I68" s="711">
        <f>Bilans_E_AMS_Kyoto_run3_MTE!M292</f>
        <v>0</v>
      </c>
      <c r="J68" s="711">
        <f>Bilans_E_AMS_Kyoto_run3_MTE!N292</f>
        <v>0</v>
      </c>
      <c r="K68" s="711">
        <f>Bilans_E_AMS_Kyoto_run3_MTE!O292</f>
        <v>0</v>
      </c>
      <c r="L68" s="711">
        <f>Bilans_E_AMS_Kyoto_run3_MTE!P292</f>
        <v>0</v>
      </c>
      <c r="M68" s="711">
        <f>Bilans_E_AMS_Kyoto_run3_MTE!Q292</f>
        <v>0</v>
      </c>
      <c r="N68" s="711">
        <f>Bilans_E_AMS_Kyoto_run3_MTE!R292</f>
        <v>0</v>
      </c>
      <c r="O68" s="711">
        <f>Bilans_E_AMS_Kyoto_run3_MTE!S292</f>
        <v>0.53962346227971403</v>
      </c>
      <c r="P68" s="711">
        <f>Bilans_E_AMS_Kyoto_run3_MTE!T292+Bilans_E_AMS_Kyoto_run3_MTE!U292</f>
        <v>0</v>
      </c>
      <c r="Q68" s="711">
        <f>Bilans_E_AMS_Kyoto_run3_MTE!V292</f>
        <v>0</v>
      </c>
      <c r="R68" s="711">
        <f>Bilans_E_AMS_Kyoto_run3_MTE!W292</f>
        <v>47.37908571808331</v>
      </c>
      <c r="S68" s="711">
        <f>Bilans_E_AMS_Kyoto_run3_MTE!X292</f>
        <v>5.9061205117744695</v>
      </c>
      <c r="T68" s="711">
        <f>Bilans_E_AMS_Kyoto_run3_MTE!Y292</f>
        <v>0</v>
      </c>
      <c r="U68" s="711">
        <f>Bilans_E_AMS_Kyoto_run3_MTE!Z292</f>
        <v>56.882695978389201</v>
      </c>
      <c r="V68" s="701"/>
      <c r="W68" s="701"/>
    </row>
    <row r="69" spans="1:23" x14ac:dyDescent="0.25">
      <c r="A69" s="701" t="s">
        <v>506</v>
      </c>
      <c r="B69" s="701"/>
      <c r="C69" s="713" t="s">
        <v>77</v>
      </c>
      <c r="D69" s="714">
        <f>Bilans_E_AMS_Kyoto_run3_MTE!H293</f>
        <v>21.539217285156251</v>
      </c>
      <c r="E69" s="714">
        <f>Bilans_E_AMS_Kyoto_run3_MTE!I293</f>
        <v>399.0688136252403</v>
      </c>
      <c r="F69" s="714">
        <f>Bilans_E_AMS_Kyoto_run3_MTE!J293</f>
        <v>-375.26273642086448</v>
      </c>
      <c r="G69" s="714">
        <f>Bilans_E_AMS_Kyoto_run3_MTE!K293</f>
        <v>-1.480215740296003</v>
      </c>
      <c r="H69" s="714">
        <f>Bilans_E_AMS_Kyoto_run3_MTE!L293</f>
        <v>62.008325816311682</v>
      </c>
      <c r="I69" s="714">
        <f>Bilans_E_AMS_Kyoto_run3_MTE!M293</f>
        <v>-0.23021574029600303</v>
      </c>
      <c r="J69" s="714">
        <f>Bilans_E_AMS_Kyoto_run3_MTE!N293</f>
        <v>1170.5483636363635</v>
      </c>
      <c r="K69" s="714">
        <f>Bilans_E_AMS_Kyoto_run3_MTE!O293</f>
        <v>211.05320151197157</v>
      </c>
      <c r="L69" s="714">
        <f>Bilans_E_AMS_Kyoto_run3_MTE!P293</f>
        <v>182.26449786241375</v>
      </c>
      <c r="M69" s="714">
        <f>Bilans_E_AMS_Kyoto_run3_MTE!Q293</f>
        <v>40.824982355301664</v>
      </c>
      <c r="N69" s="714">
        <f>Bilans_E_AMS_Kyoto_run3_MTE!R293</f>
        <v>-41.092768978832041</v>
      </c>
      <c r="O69" s="714">
        <f>Bilans_E_AMS_Kyoto_run3_MTE!S293</f>
        <v>-21.990702686716844</v>
      </c>
      <c r="P69" s="714">
        <f>Bilans_E_AMS_Kyoto_run3_MTE!T293+Bilans_E_AMS_Kyoto_run3_MTE!U293</f>
        <v>5.5922659753689832</v>
      </c>
      <c r="Q69" s="714">
        <f>Bilans_E_AMS_Kyoto_run3_MTE!V293</f>
        <v>10.223550533524911</v>
      </c>
      <c r="R69" s="714">
        <f>Bilans_E_AMS_Kyoto_run3_MTE!W293</f>
        <v>-537.49377820174482</v>
      </c>
      <c r="S69" s="714">
        <f>Bilans_E_AMS_Kyoto_run3_MTE!X293</f>
        <v>-70.255314119257562</v>
      </c>
      <c r="T69" s="714">
        <f>Bilans_E_AMS_Kyoto_run3_MTE!Y293</f>
        <v>-5.9691522812468181</v>
      </c>
      <c r="U69" s="714">
        <f>Bilans_E_AMS_Kyoto_run3_MTE!Z293</f>
        <v>1049.3483344323984</v>
      </c>
      <c r="V69" s="701"/>
      <c r="W69" s="701"/>
    </row>
    <row r="70" spans="1:23" x14ac:dyDescent="0.25">
      <c r="A70" s="701"/>
      <c r="B70" s="701"/>
      <c r="C70" s="715"/>
      <c r="D70" s="716"/>
      <c r="E70" s="716"/>
      <c r="F70" s="716"/>
      <c r="G70" s="716"/>
      <c r="H70" s="716"/>
      <c r="I70" s="716"/>
      <c r="J70" s="716"/>
      <c r="K70" s="716"/>
      <c r="L70" s="716"/>
      <c r="M70" s="716"/>
      <c r="N70" s="716"/>
      <c r="O70" s="716"/>
      <c r="P70" s="716">
        <f>Bilans_E_AMS_Kyoto_run3_MTE!T294+Bilans_E_AMS_Kyoto_run3_MTE!U294</f>
        <v>0</v>
      </c>
      <c r="Q70" s="716"/>
      <c r="R70" s="716"/>
      <c r="S70" s="716"/>
      <c r="T70" s="716"/>
      <c r="U70" s="716"/>
      <c r="V70" s="701"/>
      <c r="W70" s="701"/>
    </row>
    <row r="71" spans="1:23" x14ac:dyDescent="0.25">
      <c r="A71" s="701" t="s">
        <v>507</v>
      </c>
      <c r="B71" s="701"/>
      <c r="C71" s="717" t="s">
        <v>78</v>
      </c>
      <c r="D71" s="711">
        <f>Bilans_E_AMS_Kyoto_run3_MTE!H295</f>
        <v>0.92572558593749998</v>
      </c>
      <c r="E71" s="711">
        <f>Bilans_E_AMS_Kyoto_run3_MTE!I295</f>
        <v>0</v>
      </c>
      <c r="F71" s="711">
        <f>Bilans_E_AMS_Kyoto_run3_MTE!J295</f>
        <v>11.411404613984462</v>
      </c>
      <c r="G71" s="711">
        <f>Bilans_E_AMS_Kyoto_run3_MTE!K295</f>
        <v>0</v>
      </c>
      <c r="H71" s="711">
        <f>Bilans_E_AMS_Kyoto_run3_MTE!L295</f>
        <v>66.339251368389611</v>
      </c>
      <c r="I71" s="711">
        <f>Bilans_E_AMS_Kyoto_run3_MTE!M295</f>
        <v>0</v>
      </c>
      <c r="J71" s="711">
        <f>Bilans_E_AMS_Kyoto_run3_MTE!N295</f>
        <v>0</v>
      </c>
      <c r="K71" s="711">
        <f>Bilans_E_AMS_Kyoto_run3_MTE!O295</f>
        <v>0</v>
      </c>
      <c r="L71" s="711">
        <f>Bilans_E_AMS_Kyoto_run3_MTE!P295</f>
        <v>40.443549417210768</v>
      </c>
      <c r="M71" s="711">
        <f>Bilans_E_AMS_Kyoto_run3_MTE!Q295</f>
        <v>10.269254107073522</v>
      </c>
      <c r="N71" s="711">
        <f>Bilans_E_AMS_Kyoto_run3_MTE!R295</f>
        <v>0.94472173154286976</v>
      </c>
      <c r="O71" s="711">
        <f>Bilans_E_AMS_Kyoto_run3_MTE!S295</f>
        <v>11.734293648614692</v>
      </c>
      <c r="P71" s="711">
        <f>Bilans_E_AMS_Kyoto_run3_MTE!T295+Bilans_E_AMS_Kyoto_run3_MTE!U295</f>
        <v>4.88145654296875</v>
      </c>
      <c r="Q71" s="711">
        <f>Bilans_E_AMS_Kyoto_run3_MTE!V295</f>
        <v>5.5791983277925228E-4</v>
      </c>
      <c r="R71" s="711">
        <f>Bilans_E_AMS_Kyoto_run3_MTE!W295</f>
        <v>149.97591807761651</v>
      </c>
      <c r="S71" s="711">
        <f>Bilans_E_AMS_Kyoto_run3_MTE!X295</f>
        <v>19.64973892074547</v>
      </c>
      <c r="T71" s="711">
        <f>Bilans_E_AMS_Kyoto_run3_MTE!Y295</f>
        <v>3.6016970214843749</v>
      </c>
      <c r="U71" s="711">
        <f>Bilans_E_AMS_Kyoto_run3_MTE!Z295</f>
        <v>320.17756895540128</v>
      </c>
      <c r="V71" s="701"/>
      <c r="W71" s="701"/>
    </row>
    <row r="72" spans="1:23" x14ac:dyDescent="0.25">
      <c r="A72" s="701" t="s">
        <v>508</v>
      </c>
      <c r="B72" s="701"/>
      <c r="C72" s="717" t="s">
        <v>79</v>
      </c>
      <c r="D72" s="711">
        <f>Bilans_E_AMS_Kyoto_run3_MTE!H296</f>
        <v>0</v>
      </c>
      <c r="E72" s="711">
        <f>Bilans_E_AMS_Kyoto_run3_MTE!I296</f>
        <v>0</v>
      </c>
      <c r="F72" s="711">
        <f>Bilans_E_AMS_Kyoto_run3_MTE!J296</f>
        <v>327.31240488287597</v>
      </c>
      <c r="G72" s="711">
        <f>Bilans_E_AMS_Kyoto_run3_MTE!K296</f>
        <v>0</v>
      </c>
      <c r="H72" s="711">
        <f>Bilans_E_AMS_Kyoto_run3_MTE!L296</f>
        <v>5.5523505805401721</v>
      </c>
      <c r="I72" s="711">
        <f>Bilans_E_AMS_Kyoto_run3_MTE!M296</f>
        <v>0</v>
      </c>
      <c r="J72" s="711">
        <f>Bilans_E_AMS_Kyoto_run3_MTE!N296</f>
        <v>0</v>
      </c>
      <c r="K72" s="711">
        <f>Bilans_E_AMS_Kyoto_run3_MTE!O296</f>
        <v>0</v>
      </c>
      <c r="L72" s="711">
        <f>Bilans_E_AMS_Kyoto_run3_MTE!P296</f>
        <v>0</v>
      </c>
      <c r="M72" s="711">
        <f>Bilans_E_AMS_Kyoto_run3_MTE!Q296</f>
        <v>0</v>
      </c>
      <c r="N72" s="711">
        <f>Bilans_E_AMS_Kyoto_run3_MTE!R296</f>
        <v>37.003548542473339</v>
      </c>
      <c r="O72" s="711">
        <f>Bilans_E_AMS_Kyoto_run3_MTE!S296</f>
        <v>0.97982657303650089</v>
      </c>
      <c r="P72" s="711">
        <f>Bilans_E_AMS_Kyoto_run3_MTE!T296+Bilans_E_AMS_Kyoto_run3_MTE!U296</f>
        <v>0</v>
      </c>
      <c r="Q72" s="711">
        <f>Bilans_E_AMS_Kyoto_run3_MTE!V296</f>
        <v>0</v>
      </c>
      <c r="R72" s="711">
        <f>Bilans_E_AMS_Kyoto_run3_MTE!W296</f>
        <v>34.37904289575053</v>
      </c>
      <c r="S72" s="711">
        <f>Bilans_E_AMS_Kyoto_run3_MTE!X296</f>
        <v>0</v>
      </c>
      <c r="T72" s="711">
        <f>Bilans_E_AMS_Kyoto_run3_MTE!Y296</f>
        <v>0.97150026084130414</v>
      </c>
      <c r="U72" s="711">
        <f>Bilans_E_AMS_Kyoto_run3_MTE!Z296</f>
        <v>406.19867373551784</v>
      </c>
      <c r="V72" s="701"/>
      <c r="W72" s="701"/>
    </row>
    <row r="73" spans="1:23" x14ac:dyDescent="0.25">
      <c r="A73" s="701" t="s">
        <v>509</v>
      </c>
      <c r="B73" s="701"/>
      <c r="C73" s="717" t="s">
        <v>80</v>
      </c>
      <c r="D73" s="711">
        <f>Bilans_E_AMS_Kyoto_run3_MTE!H297</f>
        <v>0</v>
      </c>
      <c r="E73" s="711">
        <f>Bilans_E_AMS_Kyoto_run3_MTE!I297</f>
        <v>0</v>
      </c>
      <c r="F73" s="711">
        <f>Bilans_E_AMS_Kyoto_run3_MTE!J297</f>
        <v>11.051911751931332</v>
      </c>
      <c r="G73" s="711">
        <f>Bilans_E_AMS_Kyoto_run3_MTE!K297</f>
        <v>0</v>
      </c>
      <c r="H73" s="711">
        <f>Bilans_E_AMS_Kyoto_run3_MTE!L297</f>
        <v>72.334107180080835</v>
      </c>
      <c r="I73" s="711">
        <f>Bilans_E_AMS_Kyoto_run3_MTE!M297</f>
        <v>0</v>
      </c>
      <c r="J73" s="711">
        <f>Bilans_E_AMS_Kyoto_run3_MTE!N297</f>
        <v>0</v>
      </c>
      <c r="K73" s="711">
        <f>Bilans_E_AMS_Kyoto_run3_MTE!O297</f>
        <v>0</v>
      </c>
      <c r="L73" s="711">
        <f>Bilans_E_AMS_Kyoto_run3_MTE!P297</f>
        <v>60.462677002926597</v>
      </c>
      <c r="M73" s="711">
        <f>Bilans_E_AMS_Kyoto_run3_MTE!Q297</f>
        <v>0</v>
      </c>
      <c r="N73" s="711">
        <f>Bilans_E_AMS_Kyoto_run3_MTE!R297</f>
        <v>0</v>
      </c>
      <c r="O73" s="711">
        <f>Bilans_E_AMS_Kyoto_run3_MTE!S297</f>
        <v>12.764842443543676</v>
      </c>
      <c r="P73" s="711">
        <f>Bilans_E_AMS_Kyoto_run3_MTE!T297+Bilans_E_AMS_Kyoto_run3_MTE!U297</f>
        <v>86.174932209680449</v>
      </c>
      <c r="Q73" s="711">
        <f>Bilans_E_AMS_Kyoto_run3_MTE!V297</f>
        <v>6.0227221136395004</v>
      </c>
      <c r="R73" s="711">
        <f>Bilans_E_AMS_Kyoto_run3_MTE!W297</f>
        <v>166.37329866218946</v>
      </c>
      <c r="S73" s="711">
        <f>Bilans_E_AMS_Kyoto_run3_MTE!X297</f>
        <v>28.91573310749396</v>
      </c>
      <c r="T73" s="711">
        <f>Bilans_E_AMS_Kyoto_run3_MTE!Y297</f>
        <v>0</v>
      </c>
      <c r="U73" s="711">
        <f>Bilans_E_AMS_Kyoto_run3_MTE!Z297</f>
        <v>444.10022447148577</v>
      </c>
      <c r="V73" s="701"/>
      <c r="W73" s="701"/>
    </row>
    <row r="74" spans="1:23" x14ac:dyDescent="0.25">
      <c r="A74" s="701" t="s">
        <v>510</v>
      </c>
      <c r="B74" s="701"/>
      <c r="C74" s="717" t="s">
        <v>81</v>
      </c>
      <c r="D74" s="711">
        <f>Bilans_E_AMS_Kyoto_run3_MTE!H298</f>
        <v>0</v>
      </c>
      <c r="E74" s="711">
        <f>Bilans_E_AMS_Kyoto_run3_MTE!I298</f>
        <v>0</v>
      </c>
      <c r="F74" s="711">
        <f>Bilans_E_AMS_Kyoto_run3_MTE!J298</f>
        <v>3.647846365657839</v>
      </c>
      <c r="G74" s="711">
        <f>Bilans_E_AMS_Kyoto_run3_MTE!K298</f>
        <v>0</v>
      </c>
      <c r="H74" s="711">
        <f>Bilans_E_AMS_Kyoto_run3_MTE!L298</f>
        <v>44.827944248312576</v>
      </c>
      <c r="I74" s="711">
        <f>Bilans_E_AMS_Kyoto_run3_MTE!M298</f>
        <v>0</v>
      </c>
      <c r="J74" s="711">
        <f>Bilans_E_AMS_Kyoto_run3_MTE!N298</f>
        <v>0</v>
      </c>
      <c r="K74" s="711">
        <f>Bilans_E_AMS_Kyoto_run3_MTE!O298</f>
        <v>0</v>
      </c>
      <c r="L74" s="711">
        <f>Bilans_E_AMS_Kyoto_run3_MTE!P298</f>
        <v>0.66301904787483434</v>
      </c>
      <c r="M74" s="711">
        <f>Bilans_E_AMS_Kyoto_run3_MTE!Q298</f>
        <v>0</v>
      </c>
      <c r="N74" s="711">
        <f>Bilans_E_AMS_Kyoto_run3_MTE!R298</f>
        <v>0</v>
      </c>
      <c r="O74" s="711">
        <f>Bilans_E_AMS_Kyoto_run3_MTE!S298</f>
        <v>7.9108136908786895</v>
      </c>
      <c r="P74" s="711">
        <f>Bilans_E_AMS_Kyoto_run3_MTE!T298+Bilans_E_AMS_Kyoto_run3_MTE!U298</f>
        <v>32.610726720036368</v>
      </c>
      <c r="Q74" s="711">
        <f>Bilans_E_AMS_Kyoto_run3_MTE!V298</f>
        <v>5.7126687446965985</v>
      </c>
      <c r="R74" s="711">
        <f>Bilans_E_AMS_Kyoto_run3_MTE!W298</f>
        <v>121.98780292325297</v>
      </c>
      <c r="S74" s="711">
        <f>Bilans_E_AMS_Kyoto_run3_MTE!X298</f>
        <v>21.68981250781421</v>
      </c>
      <c r="T74" s="711">
        <f>Bilans_E_AMS_Kyoto_run3_MTE!Y298</f>
        <v>0</v>
      </c>
      <c r="U74" s="711">
        <f>Bilans_E_AMS_Kyoto_run3_MTE!Z298</f>
        <v>239.05063424852409</v>
      </c>
      <c r="V74" s="701"/>
      <c r="W74" s="701"/>
    </row>
    <row r="75" spans="1:23" x14ac:dyDescent="0.25">
      <c r="A75" s="701" t="s">
        <v>511</v>
      </c>
      <c r="B75" s="701"/>
      <c r="C75" s="717" t="s">
        <v>82</v>
      </c>
      <c r="D75" s="711">
        <f>Bilans_E_AMS_Kyoto_run3_MTE!H299</f>
        <v>0</v>
      </c>
      <c r="E75" s="711">
        <f>Bilans_E_AMS_Kyoto_run3_MTE!I299</f>
        <v>0</v>
      </c>
      <c r="F75" s="711">
        <f>Bilans_E_AMS_Kyoto_run3_MTE!J299</f>
        <v>30.726482620518151</v>
      </c>
      <c r="G75" s="711">
        <f>Bilans_E_AMS_Kyoto_run3_MTE!K299</f>
        <v>0</v>
      </c>
      <c r="H75" s="711">
        <f>Bilans_E_AMS_Kyoto_run3_MTE!L299</f>
        <v>1.4667494513017647</v>
      </c>
      <c r="I75" s="711">
        <f>Bilans_E_AMS_Kyoto_run3_MTE!M299</f>
        <v>0</v>
      </c>
      <c r="J75" s="711">
        <f>Bilans_E_AMS_Kyoto_run3_MTE!N299</f>
        <v>0</v>
      </c>
      <c r="K75" s="711">
        <f>Bilans_E_AMS_Kyoto_run3_MTE!O299</f>
        <v>0</v>
      </c>
      <c r="L75" s="711">
        <f>Bilans_E_AMS_Kyoto_run3_MTE!P299</f>
        <v>11.011050824063592</v>
      </c>
      <c r="M75" s="711">
        <f>Bilans_E_AMS_Kyoto_run3_MTE!Q299</f>
        <v>0</v>
      </c>
      <c r="N75" s="711">
        <f>Bilans_E_AMS_Kyoto_run3_MTE!R299</f>
        <v>4.0387192002052101</v>
      </c>
      <c r="O75" s="711">
        <f>Bilans_E_AMS_Kyoto_run3_MTE!S299</f>
        <v>0.2588381384650173</v>
      </c>
      <c r="P75" s="711">
        <f>Bilans_E_AMS_Kyoto_run3_MTE!T299+Bilans_E_AMS_Kyoto_run3_MTE!U299</f>
        <v>0.5</v>
      </c>
      <c r="Q75" s="711">
        <f>Bilans_E_AMS_Kyoto_run3_MTE!V299</f>
        <v>0.62518456969816016</v>
      </c>
      <c r="R75" s="711">
        <f>Bilans_E_AMS_Kyoto_run3_MTE!W299</f>
        <v>7.7729232574275695</v>
      </c>
      <c r="S75" s="711">
        <f>Bilans_E_AMS_Kyoto_run3_MTE!X299</f>
        <v>0</v>
      </c>
      <c r="T75" s="711">
        <f>Bilans_E_AMS_Kyoto_run3_MTE!Y299</f>
        <v>0.17366238047171115</v>
      </c>
      <c r="U75" s="711">
        <f>Bilans_E_AMS_Kyoto_run3_MTE!Z299</f>
        <v>56.573610442151178</v>
      </c>
      <c r="V75" s="701"/>
      <c r="W75" s="701"/>
    </row>
    <row r="76" spans="1:23" x14ac:dyDescent="0.25">
      <c r="A76" s="701" t="s">
        <v>512</v>
      </c>
      <c r="B76" s="701"/>
      <c r="C76" s="717" t="s">
        <v>354</v>
      </c>
      <c r="D76" s="711">
        <f>Bilans_E_AMS_Kyoto_run3_MTE!H300</f>
        <v>0</v>
      </c>
      <c r="E76" s="711">
        <f>Bilans_E_AMS_Kyoto_run3_MTE!I300</f>
        <v>0</v>
      </c>
      <c r="F76" s="711">
        <f>Bilans_E_AMS_Kyoto_run3_MTE!J300</f>
        <v>0</v>
      </c>
      <c r="G76" s="711">
        <f>Bilans_E_AMS_Kyoto_run3_MTE!K300</f>
        <v>0</v>
      </c>
      <c r="H76" s="711">
        <f>Bilans_E_AMS_Kyoto_run3_MTE!L300</f>
        <v>0</v>
      </c>
      <c r="I76" s="711">
        <f>Bilans_E_AMS_Kyoto_run3_MTE!M300</f>
        <v>0</v>
      </c>
      <c r="J76" s="711">
        <f>Bilans_E_AMS_Kyoto_run3_MTE!N300</f>
        <v>0</v>
      </c>
      <c r="K76" s="711">
        <f>Bilans_E_AMS_Kyoto_run3_MTE!O300</f>
        <v>0</v>
      </c>
      <c r="L76" s="711">
        <f>Bilans_E_AMS_Kyoto_run3_MTE!P300</f>
        <v>0</v>
      </c>
      <c r="M76" s="711">
        <f>Bilans_E_AMS_Kyoto_run3_MTE!Q300</f>
        <v>0</v>
      </c>
      <c r="N76" s="711">
        <f>Bilans_E_AMS_Kyoto_run3_MTE!R300</f>
        <v>0</v>
      </c>
      <c r="O76" s="711">
        <f>Bilans_E_AMS_Kyoto_run3_MTE!S300</f>
        <v>0</v>
      </c>
      <c r="P76" s="711">
        <f>Bilans_E_AMS_Kyoto_run3_MTE!T300+Bilans_E_AMS_Kyoto_run3_MTE!U300</f>
        <v>0</v>
      </c>
      <c r="Q76" s="711">
        <f>Bilans_E_AMS_Kyoto_run3_MTE!V300</f>
        <v>0</v>
      </c>
      <c r="R76" s="711">
        <f>Bilans_E_AMS_Kyoto_run3_MTE!W300</f>
        <v>0</v>
      </c>
      <c r="S76" s="711">
        <f>Bilans_E_AMS_Kyoto_run3_MTE!X300</f>
        <v>0</v>
      </c>
      <c r="T76" s="711">
        <f>Bilans_E_AMS_Kyoto_run3_MTE!Y300</f>
        <v>0</v>
      </c>
      <c r="U76" s="711">
        <f>Bilans_E_AMS_Kyoto_run3_MTE!Z300</f>
        <v>0</v>
      </c>
      <c r="V76" s="701"/>
      <c r="W76" s="701"/>
    </row>
    <row r="77" spans="1:23" x14ac:dyDescent="0.25">
      <c r="A77" s="701" t="s">
        <v>513</v>
      </c>
      <c r="B77" s="701"/>
      <c r="C77" s="713" t="s">
        <v>83</v>
      </c>
      <c r="D77" s="714">
        <f>Bilans_E_AMS_Kyoto_run3_MTE!H301</f>
        <v>0.92572558593749998</v>
      </c>
      <c r="E77" s="714">
        <f>Bilans_E_AMS_Kyoto_run3_MTE!I301</f>
        <v>0</v>
      </c>
      <c r="F77" s="714">
        <f>Bilans_E_AMS_Kyoto_run3_MTE!J301</f>
        <v>384.15005023496775</v>
      </c>
      <c r="G77" s="714">
        <f>Bilans_E_AMS_Kyoto_run3_MTE!K301</f>
        <v>0</v>
      </c>
      <c r="H77" s="714">
        <f>Bilans_E_AMS_Kyoto_run3_MTE!L301</f>
        <v>190.52040282862495</v>
      </c>
      <c r="I77" s="714">
        <f>Bilans_E_AMS_Kyoto_run3_MTE!M301</f>
        <v>0</v>
      </c>
      <c r="J77" s="714">
        <f>Bilans_E_AMS_Kyoto_run3_MTE!N301</f>
        <v>0</v>
      </c>
      <c r="K77" s="714">
        <f>Bilans_E_AMS_Kyoto_run3_MTE!O301</f>
        <v>0</v>
      </c>
      <c r="L77" s="714">
        <f>Bilans_E_AMS_Kyoto_run3_MTE!P301</f>
        <v>112.58029629207579</v>
      </c>
      <c r="M77" s="714">
        <f>Bilans_E_AMS_Kyoto_run3_MTE!Q301</f>
        <v>10.269254107073522</v>
      </c>
      <c r="N77" s="714">
        <f>Bilans_E_AMS_Kyoto_run3_MTE!R301</f>
        <v>41.986989474221417</v>
      </c>
      <c r="O77" s="714">
        <f>Bilans_E_AMS_Kyoto_run3_MTE!S301</f>
        <v>33.648614494538577</v>
      </c>
      <c r="P77" s="714">
        <f>Bilans_E_AMS_Kyoto_run3_MTE!T301+Bilans_E_AMS_Kyoto_run3_MTE!U301</f>
        <v>124.16711547268557</v>
      </c>
      <c r="Q77" s="714">
        <f>Bilans_E_AMS_Kyoto_run3_MTE!V301</f>
        <v>12.361133347867039</v>
      </c>
      <c r="R77" s="714">
        <f>Bilans_E_AMS_Kyoto_run3_MTE!W301</f>
        <v>480.488985816237</v>
      </c>
      <c r="S77" s="714">
        <f>Bilans_E_AMS_Kyoto_run3_MTE!X301</f>
        <v>70.255284536053637</v>
      </c>
      <c r="T77" s="714">
        <f>Bilans_E_AMS_Kyoto_run3_MTE!Y301</f>
        <v>4.74685966279739</v>
      </c>
      <c r="U77" s="714">
        <f>Bilans_E_AMS_Kyoto_run3_MTE!Z301</f>
        <v>1466.1007118530802</v>
      </c>
      <c r="V77" s="701"/>
      <c r="W77" s="701"/>
    </row>
    <row r="78" spans="1:23" x14ac:dyDescent="0.25">
      <c r="A78" s="701" t="s">
        <v>514</v>
      </c>
      <c r="B78" s="701"/>
      <c r="C78" s="710" t="s">
        <v>84</v>
      </c>
      <c r="D78" s="711">
        <f>Bilans_E_AMS_Kyoto_run3_MTE!H302</f>
        <v>0</v>
      </c>
      <c r="E78" s="711">
        <f>Bilans_E_AMS_Kyoto_run3_MTE!I302</f>
        <v>0</v>
      </c>
      <c r="F78" s="711">
        <f>Bilans_E_AMS_Kyoto_run3_MTE!J302</f>
        <v>115.2369297376637</v>
      </c>
      <c r="G78" s="711">
        <f>Bilans_E_AMS_Kyoto_run3_MTE!K302</f>
        <v>0</v>
      </c>
      <c r="H78" s="711">
        <f>Bilans_E_AMS_Kyoto_run3_MTE!L302</f>
        <v>13.537810909623058</v>
      </c>
      <c r="I78" s="711">
        <f>Bilans_E_AMS_Kyoto_run3_MTE!M302</f>
        <v>0</v>
      </c>
      <c r="J78" s="711">
        <f>Bilans_E_AMS_Kyoto_run3_MTE!N302</f>
        <v>0</v>
      </c>
      <c r="K78" s="711">
        <f>Bilans_E_AMS_Kyoto_run3_MTE!O302</f>
        <v>0</v>
      </c>
      <c r="L78" s="711">
        <f>Bilans_E_AMS_Kyoto_run3_MTE!P302</f>
        <v>0.11913963756098579</v>
      </c>
      <c r="M78" s="711">
        <f>Bilans_E_AMS_Kyoto_run3_MTE!Q302</f>
        <v>0</v>
      </c>
      <c r="N78" s="711">
        <f>Bilans_E_AMS_Kyoto_run3_MTE!R302</f>
        <v>0.21009810940790719</v>
      </c>
      <c r="O78" s="711">
        <f>Bilans_E_AMS_Kyoto_run3_MTE!S302</f>
        <v>0</v>
      </c>
      <c r="P78" s="711">
        <f>Bilans_E_AMS_Kyoto_run3_MTE!T302+Bilans_E_AMS_Kyoto_run3_MTE!U302</f>
        <v>0</v>
      </c>
      <c r="Q78" s="711">
        <f>Bilans_E_AMS_Kyoto_run3_MTE!V302</f>
        <v>0</v>
      </c>
      <c r="R78" s="711">
        <f>Bilans_E_AMS_Kyoto_run3_MTE!W302</f>
        <v>0</v>
      </c>
      <c r="S78" s="711">
        <f>Bilans_E_AMS_Kyoto_run3_MTE!X302</f>
        <v>0</v>
      </c>
      <c r="T78" s="711">
        <f>Bilans_E_AMS_Kyoto_run3_MTE!Y302</f>
        <v>1.1371080780029297</v>
      </c>
      <c r="U78" s="711">
        <f>Bilans_E_AMS_Kyoto_run3_MTE!Z302</f>
        <v>130.24108647225859</v>
      </c>
      <c r="V78" s="701"/>
      <c r="W78" s="701"/>
    </row>
    <row r="79" spans="1:23" x14ac:dyDescent="0.25">
      <c r="A79" s="701" t="s">
        <v>515</v>
      </c>
      <c r="B79" s="701"/>
      <c r="C79" s="713" t="s">
        <v>85</v>
      </c>
      <c r="D79" s="714">
        <f>Bilans_E_AMS_Kyoto_run3_MTE!H303</f>
        <v>0.92572558593749998</v>
      </c>
      <c r="E79" s="714">
        <f>Bilans_E_AMS_Kyoto_run3_MTE!I303</f>
        <v>0</v>
      </c>
      <c r="F79" s="714">
        <f>Bilans_E_AMS_Kyoto_run3_MTE!J303</f>
        <v>499.38697997263148</v>
      </c>
      <c r="G79" s="714">
        <f>Bilans_E_AMS_Kyoto_run3_MTE!K303</f>
        <v>0</v>
      </c>
      <c r="H79" s="714">
        <f>Bilans_E_AMS_Kyoto_run3_MTE!L303</f>
        <v>204.05821373824801</v>
      </c>
      <c r="I79" s="714">
        <f>Bilans_E_AMS_Kyoto_run3_MTE!M303</f>
        <v>0</v>
      </c>
      <c r="J79" s="714">
        <f>Bilans_E_AMS_Kyoto_run3_MTE!N303</f>
        <v>0</v>
      </c>
      <c r="K79" s="714">
        <f>Bilans_E_AMS_Kyoto_run3_MTE!O303</f>
        <v>0</v>
      </c>
      <c r="L79" s="714">
        <f>Bilans_E_AMS_Kyoto_run3_MTE!P303</f>
        <v>112.69943592963678</v>
      </c>
      <c r="M79" s="714">
        <f>Bilans_E_AMS_Kyoto_run3_MTE!Q303</f>
        <v>10.269254107073522</v>
      </c>
      <c r="N79" s="714">
        <f>Bilans_E_AMS_Kyoto_run3_MTE!R303</f>
        <v>42.197087583629326</v>
      </c>
      <c r="O79" s="714">
        <f>Bilans_E_AMS_Kyoto_run3_MTE!S303</f>
        <v>33.648614494538577</v>
      </c>
      <c r="P79" s="714">
        <f>Bilans_E_AMS_Kyoto_run3_MTE!T303+Bilans_E_AMS_Kyoto_run3_MTE!U303</f>
        <v>124.16711547268557</v>
      </c>
      <c r="Q79" s="714">
        <f>Bilans_E_AMS_Kyoto_run3_MTE!V303</f>
        <v>12.361133347867039</v>
      </c>
      <c r="R79" s="714">
        <f>Bilans_E_AMS_Kyoto_run3_MTE!W303</f>
        <v>480.488985816237</v>
      </c>
      <c r="S79" s="714">
        <f>Bilans_E_AMS_Kyoto_run3_MTE!X303</f>
        <v>70.255284536053637</v>
      </c>
      <c r="T79" s="714">
        <f>Bilans_E_AMS_Kyoto_run3_MTE!Y303</f>
        <v>5.8839677408003199</v>
      </c>
      <c r="U79" s="714">
        <f>Bilans_E_AMS_Kyoto_run3_MTE!Z303</f>
        <v>1596.3417983253387</v>
      </c>
      <c r="V79" s="701"/>
      <c r="W79" s="701"/>
    </row>
    <row r="80" spans="1:23" x14ac:dyDescent="0.25">
      <c r="A80" s="701"/>
      <c r="B80" s="701"/>
      <c r="C80" s="701"/>
      <c r="D80" s="701">
        <f>Bilans_E_AMS_Kyoto_run3_MTE!H304</f>
        <v>0</v>
      </c>
      <c r="E80" s="701">
        <f>Bilans_E_AMS_Kyoto_run3_MTE!I304</f>
        <v>0</v>
      </c>
      <c r="F80" s="701">
        <f>Bilans_E_AMS_Kyoto_run3_MTE!J304</f>
        <v>1.1368683772161603E-13</v>
      </c>
      <c r="G80" s="701">
        <f>Bilans_E_AMS_Kyoto_run3_MTE!K304</f>
        <v>0</v>
      </c>
      <c r="H80" s="701">
        <f>Bilans_E_AMS_Kyoto_run3_MTE!L304</f>
        <v>0</v>
      </c>
      <c r="I80" s="701">
        <f>Bilans_E_AMS_Kyoto_run3_MTE!M304</f>
        <v>0</v>
      </c>
      <c r="J80" s="701">
        <f>Bilans_E_AMS_Kyoto_run3_MTE!N304</f>
        <v>0</v>
      </c>
      <c r="K80" s="701">
        <f>Bilans_E_AMS_Kyoto_run3_MTE!O304</f>
        <v>0</v>
      </c>
      <c r="L80" s="701">
        <f>Bilans_E_AMS_Kyoto_run3_MTE!P304</f>
        <v>0</v>
      </c>
      <c r="M80" s="701">
        <f>Bilans_E_AMS_Kyoto_run3_MTE!Q304</f>
        <v>0</v>
      </c>
      <c r="N80" s="701">
        <f>Bilans_E_AMS_Kyoto_run3_MTE!R304</f>
        <v>0</v>
      </c>
      <c r="O80" s="701">
        <f>Bilans_E_AMS_Kyoto_run3_MTE!S304</f>
        <v>0</v>
      </c>
      <c r="P80" s="701">
        <f>Bilans_E_AMS_Kyoto_run3_MTE!T304+Bilans_E_AMS_Kyoto_run3_MTE!U304</f>
        <v>0</v>
      </c>
      <c r="Q80" s="701">
        <f>Bilans_E_AMS_Kyoto_run3_MTE!V304</f>
        <v>0</v>
      </c>
      <c r="R80" s="701">
        <f>Bilans_E_AMS_Kyoto_run3_MTE!W304</f>
        <v>-1.1368683772161603E-13</v>
      </c>
      <c r="S80" s="701">
        <f>Bilans_E_AMS_Kyoto_run3_MTE!X304</f>
        <v>-2.9583203925653834E-5</v>
      </c>
      <c r="T80" s="701">
        <f>Bilans_E_AMS_Kyoto_run3_MTE!Y304</f>
        <v>-1.0963452368173421E-15</v>
      </c>
      <c r="U80" s="701">
        <f>Bilans_E_AMS_Kyoto_run3_MTE!Z304</f>
        <v>-2.9583203740912722E-5</v>
      </c>
      <c r="V80" s="701"/>
      <c r="W80" s="701"/>
    </row>
    <row r="81" spans="1:23" x14ac:dyDescent="0.25">
      <c r="A81" s="701"/>
      <c r="B81" s="701"/>
      <c r="C81" s="701"/>
      <c r="D81" s="701"/>
      <c r="E81" s="701"/>
      <c r="F81" s="701"/>
      <c r="G81" s="701"/>
      <c r="H81" s="701"/>
      <c r="I81" s="701"/>
      <c r="J81" s="701"/>
      <c r="K81" s="701"/>
      <c r="L81" s="701"/>
      <c r="M81" s="701"/>
      <c r="N81" s="701"/>
      <c r="O81" s="701"/>
      <c r="P81" s="701"/>
      <c r="Q81" s="701"/>
      <c r="R81" s="701"/>
      <c r="S81" s="701"/>
      <c r="T81" s="701"/>
      <c r="U81" s="701"/>
      <c r="V81" s="701"/>
      <c r="W81" s="701"/>
    </row>
    <row r="82" spans="1:23" x14ac:dyDescent="0.25">
      <c r="A82" s="707"/>
      <c r="B82" s="707"/>
      <c r="C82" s="708" t="s">
        <v>357</v>
      </c>
      <c r="D82" s="707"/>
      <c r="E82" s="707"/>
      <c r="F82" s="707"/>
      <c r="G82" s="707"/>
      <c r="H82" s="707"/>
      <c r="I82" s="707"/>
      <c r="J82" s="707"/>
      <c r="K82" s="707"/>
      <c r="L82" s="707"/>
      <c r="M82" s="707"/>
      <c r="N82" s="707"/>
      <c r="O82" s="707"/>
      <c r="P82" s="707"/>
      <c r="Q82" s="707"/>
      <c r="R82" s="707"/>
      <c r="S82" s="707"/>
      <c r="T82" s="707"/>
      <c r="U82" s="707"/>
      <c r="V82" s="707"/>
      <c r="W82" s="707"/>
    </row>
    <row r="83" spans="1:23" x14ac:dyDescent="0.25">
      <c r="A83" s="701"/>
      <c r="B83" s="701"/>
      <c r="C83" s="701"/>
      <c r="D83" s="701"/>
      <c r="E83" s="701"/>
      <c r="F83" s="701"/>
      <c r="G83" s="701"/>
      <c r="H83" s="701"/>
      <c r="I83" s="701"/>
      <c r="J83" s="701"/>
      <c r="K83" s="701"/>
      <c r="L83" s="701"/>
      <c r="M83" s="701"/>
      <c r="N83" s="701"/>
      <c r="O83" s="701"/>
      <c r="P83" s="701"/>
      <c r="Q83" s="701"/>
      <c r="R83" s="701"/>
      <c r="S83" s="701"/>
      <c r="T83" s="701"/>
      <c r="U83" s="701"/>
      <c r="V83" s="701"/>
      <c r="W83" s="701"/>
    </row>
    <row r="84" spans="1:23" x14ac:dyDescent="0.25">
      <c r="A84" s="701"/>
      <c r="B84" s="701"/>
      <c r="C84" s="780" t="s">
        <v>128</v>
      </c>
      <c r="D84" s="775" t="s">
        <v>42</v>
      </c>
      <c r="E84" s="775" t="s">
        <v>52</v>
      </c>
      <c r="F84" s="775" t="s">
        <v>53</v>
      </c>
      <c r="G84" s="775" t="s">
        <v>482</v>
      </c>
      <c r="H84" s="775" t="s">
        <v>32</v>
      </c>
      <c r="I84" s="775" t="s">
        <v>483</v>
      </c>
      <c r="J84" s="775" t="s">
        <v>20</v>
      </c>
      <c r="K84" s="775" t="s">
        <v>55</v>
      </c>
      <c r="L84" s="777" t="s">
        <v>56</v>
      </c>
      <c r="M84" s="778"/>
      <c r="N84" s="778"/>
      <c r="O84" s="778"/>
      <c r="P84" s="778"/>
      <c r="Q84" s="779"/>
      <c r="R84" s="775" t="s">
        <v>57</v>
      </c>
      <c r="S84" s="775" t="s">
        <v>58</v>
      </c>
      <c r="T84" s="775" t="s">
        <v>31</v>
      </c>
      <c r="U84" s="775" t="s">
        <v>10</v>
      </c>
      <c r="V84" s="701"/>
      <c r="W84" s="701"/>
    </row>
    <row r="85" spans="1:23" ht="67.5" x14ac:dyDescent="0.25">
      <c r="A85" s="701" t="s">
        <v>486</v>
      </c>
      <c r="B85" s="701"/>
      <c r="C85" s="781"/>
      <c r="D85" s="776"/>
      <c r="E85" s="776"/>
      <c r="F85" s="776"/>
      <c r="G85" s="776"/>
      <c r="H85" s="776"/>
      <c r="I85" s="776"/>
      <c r="J85" s="776"/>
      <c r="K85" s="776"/>
      <c r="L85" s="709" t="s">
        <v>335</v>
      </c>
      <c r="M85" s="709" t="s">
        <v>40</v>
      </c>
      <c r="N85" s="709" t="s">
        <v>343</v>
      </c>
      <c r="O85" s="709" t="s">
        <v>344</v>
      </c>
      <c r="P85" s="719" t="s">
        <v>610</v>
      </c>
      <c r="Q85" s="709" t="s">
        <v>346</v>
      </c>
      <c r="R85" s="776"/>
      <c r="S85" s="776"/>
      <c r="T85" s="776"/>
      <c r="U85" s="776"/>
      <c r="V85" s="701"/>
      <c r="W85" s="701"/>
    </row>
    <row r="86" spans="1:23" x14ac:dyDescent="0.25">
      <c r="A86" s="701" t="s">
        <v>487</v>
      </c>
      <c r="B86" s="701"/>
      <c r="C86" s="710" t="s">
        <v>59</v>
      </c>
      <c r="D86" s="711">
        <f>Bilans_E_AMS_Kyoto_run3_MTE!H310</f>
        <v>0</v>
      </c>
      <c r="E86" s="711">
        <f>Bilans_E_AMS_Kyoto_run3_MTE!I310</f>
        <v>6.6756200000000003</v>
      </c>
      <c r="F86" s="711">
        <f>Bilans_E_AMS_Kyoto_run3_MTE!J310</f>
        <v>0</v>
      </c>
      <c r="G86" s="711">
        <f>Bilans_E_AMS_Kyoto_run3_MTE!K310</f>
        <v>0</v>
      </c>
      <c r="H86" s="711">
        <f>Bilans_E_AMS_Kyoto_run3_MTE!L310</f>
        <v>0.13839700000000002</v>
      </c>
      <c r="I86" s="711">
        <f>Bilans_E_AMS_Kyoto_run3_MTE!M310</f>
        <v>0</v>
      </c>
      <c r="J86" s="711">
        <f>Bilans_E_AMS_Kyoto_run3_MTE!N310</f>
        <v>1165.8657454545453</v>
      </c>
      <c r="K86" s="711">
        <f>Bilans_E_AMS_Kyoto_run3_MTE!O310</f>
        <v>264.18035739757391</v>
      </c>
      <c r="L86" s="711">
        <f>Bilans_E_AMS_Kyoto_run3_MTE!P310</f>
        <v>307.7744422597346</v>
      </c>
      <c r="M86" s="711">
        <f>Bilans_E_AMS_Kyoto_run3_MTE!Q310</f>
        <v>51.405271738220549</v>
      </c>
      <c r="N86" s="711">
        <f>Bilans_E_AMS_Kyoto_run3_MTE!R310</f>
        <v>0</v>
      </c>
      <c r="O86" s="711">
        <f>Bilans_E_AMS_Kyoto_run3_MTE!S310</f>
        <v>0</v>
      </c>
      <c r="P86" s="711">
        <f>Bilans_E_AMS_Kyoto_run3_MTE!T310+Bilans_E_AMS_Kyoto_run3_MTE!U310</f>
        <v>151.46298386421165</v>
      </c>
      <c r="Q86" s="711">
        <f>Bilans_E_AMS_Kyoto_run3_MTE!V310</f>
        <v>29.323733806781338</v>
      </c>
      <c r="R86" s="711">
        <f>Bilans_E_AMS_Kyoto_run3_MTE!W310</f>
        <v>0</v>
      </c>
      <c r="S86" s="711">
        <f>Bilans_E_AMS_Kyoto_run3_MTE!X310</f>
        <v>0</v>
      </c>
      <c r="T86" s="711">
        <f>Bilans_E_AMS_Kyoto_run3_MTE!Y310</f>
        <v>0</v>
      </c>
      <c r="U86" s="711">
        <f>Bilans_E_AMS_Kyoto_run3_MTE!Z310</f>
        <v>1976.8265515210674</v>
      </c>
      <c r="V86" s="701"/>
      <c r="W86" s="701"/>
    </row>
    <row r="87" spans="1:23" x14ac:dyDescent="0.25">
      <c r="A87" s="701" t="s">
        <v>488</v>
      </c>
      <c r="B87" s="701"/>
      <c r="C87" s="710" t="s">
        <v>60</v>
      </c>
      <c r="D87" s="712">
        <f>Bilans_E_AMS_Kyoto_run3_MTE!H311</f>
        <v>16.733972167968751</v>
      </c>
      <c r="E87" s="712">
        <f>Bilans_E_AMS_Kyoto_run3_MTE!I311</f>
        <v>341.17156490138257</v>
      </c>
      <c r="F87" s="712">
        <f>Bilans_E_AMS_Kyoto_run3_MTE!J311</f>
        <v>153.01857569335476</v>
      </c>
      <c r="G87" s="712">
        <f>Bilans_E_AMS_Kyoto_run3_MTE!K311</f>
        <v>1.5907003975249192</v>
      </c>
      <c r="H87" s="712">
        <f>Bilans_E_AMS_Kyoto_run3_MTE!L311</f>
        <v>229.24655706350896</v>
      </c>
      <c r="I87" s="712">
        <f>Bilans_E_AMS_Kyoto_run3_MTE!M311</f>
        <v>0</v>
      </c>
      <c r="J87" s="712">
        <f>Bilans_E_AMS_Kyoto_run3_MTE!N311</f>
        <v>0</v>
      </c>
      <c r="K87" s="712">
        <f>Bilans_E_AMS_Kyoto_run3_MTE!O311</f>
        <v>0</v>
      </c>
      <c r="L87" s="712">
        <f>Bilans_E_AMS_Kyoto_run3_MTE!P311</f>
        <v>2.5625656464325743</v>
      </c>
      <c r="M87" s="712">
        <f>Bilans_E_AMS_Kyoto_run3_MTE!Q311</f>
        <v>0</v>
      </c>
      <c r="N87" s="712">
        <f>Bilans_E_AMS_Kyoto_run3_MTE!R311</f>
        <v>11.177777544289128</v>
      </c>
      <c r="O87" s="712">
        <f>Bilans_E_AMS_Kyoto_run3_MTE!S311</f>
        <v>5.1524616534363687</v>
      </c>
      <c r="P87" s="712">
        <f>Bilans_E_AMS_Kyoto_run3_MTE!T311+Bilans_E_AMS_Kyoto_run3_MTE!U311</f>
        <v>0</v>
      </c>
      <c r="Q87" s="712">
        <f>Bilans_E_AMS_Kyoto_run3_MTE!V311</f>
        <v>0</v>
      </c>
      <c r="R87" s="712">
        <f>Bilans_E_AMS_Kyoto_run3_MTE!W311</f>
        <v>0</v>
      </c>
      <c r="S87" s="712">
        <f>Bilans_E_AMS_Kyoto_run3_MTE!X311</f>
        <v>0</v>
      </c>
      <c r="T87" s="712">
        <f>Bilans_E_AMS_Kyoto_run3_MTE!Y311</f>
        <v>0</v>
      </c>
      <c r="U87" s="712">
        <f>Bilans_E_AMS_Kyoto_run3_MTE!Z311</f>
        <v>760.65417506789811</v>
      </c>
      <c r="V87" s="701"/>
      <c r="W87" s="701"/>
    </row>
    <row r="88" spans="1:23" x14ac:dyDescent="0.25">
      <c r="A88" s="701" t="s">
        <v>489</v>
      </c>
      <c r="B88" s="701"/>
      <c r="C88" s="710" t="s">
        <v>61</v>
      </c>
      <c r="D88" s="712">
        <f>Bilans_E_AMS_Kyoto_run3_MTE!H312</f>
        <v>0</v>
      </c>
      <c r="E88" s="712">
        <f>Bilans_E_AMS_Kyoto_run3_MTE!I312</f>
        <v>0</v>
      </c>
      <c r="F88" s="712">
        <f>Bilans_E_AMS_Kyoto_run3_MTE!J312</f>
        <v>0</v>
      </c>
      <c r="G88" s="712">
        <f>Bilans_E_AMS_Kyoto_run3_MTE!K312</f>
        <v>0</v>
      </c>
      <c r="H88" s="712">
        <f>Bilans_E_AMS_Kyoto_run3_MTE!L312</f>
        <v>0</v>
      </c>
      <c r="I88" s="712">
        <f>Bilans_E_AMS_Kyoto_run3_MTE!M312</f>
        <v>0</v>
      </c>
      <c r="J88" s="712">
        <f>Bilans_E_AMS_Kyoto_run3_MTE!N312</f>
        <v>0</v>
      </c>
      <c r="K88" s="712">
        <f>Bilans_E_AMS_Kyoto_run3_MTE!O312</f>
        <v>0</v>
      </c>
      <c r="L88" s="712">
        <f>Bilans_E_AMS_Kyoto_run3_MTE!P312</f>
        <v>0</v>
      </c>
      <c r="M88" s="712">
        <f>Bilans_E_AMS_Kyoto_run3_MTE!Q312</f>
        <v>0</v>
      </c>
      <c r="N88" s="712">
        <f>Bilans_E_AMS_Kyoto_run3_MTE!R312</f>
        <v>0</v>
      </c>
      <c r="O88" s="712">
        <f>Bilans_E_AMS_Kyoto_run3_MTE!S312</f>
        <v>0</v>
      </c>
      <c r="P88" s="712">
        <f>Bilans_E_AMS_Kyoto_run3_MTE!T312+Bilans_E_AMS_Kyoto_run3_MTE!U312</f>
        <v>0</v>
      </c>
      <c r="Q88" s="712">
        <f>Bilans_E_AMS_Kyoto_run3_MTE!V312</f>
        <v>0</v>
      </c>
      <c r="R88" s="712">
        <f>Bilans_E_AMS_Kyoto_run3_MTE!W312</f>
        <v>-83.337259091529631</v>
      </c>
      <c r="S88" s="712">
        <f>Bilans_E_AMS_Kyoto_run3_MTE!X312</f>
        <v>0</v>
      </c>
      <c r="T88" s="712">
        <f>Bilans_E_AMS_Kyoto_run3_MTE!Y312</f>
        <v>0</v>
      </c>
      <c r="U88" s="712">
        <f>Bilans_E_AMS_Kyoto_run3_MTE!Z312</f>
        <v>-83.337259091529631</v>
      </c>
      <c r="V88" s="701"/>
      <c r="W88" s="701"/>
    </row>
    <row r="89" spans="1:23" x14ac:dyDescent="0.25">
      <c r="A89" s="701" t="s">
        <v>490</v>
      </c>
      <c r="B89" s="701"/>
      <c r="C89" s="710" t="s">
        <v>62</v>
      </c>
      <c r="D89" s="711">
        <f>Bilans_E_AMS_Kyoto_run3_MTE!H313</f>
        <v>0</v>
      </c>
      <c r="E89" s="711">
        <f>Bilans_E_AMS_Kyoto_run3_MTE!I313</f>
        <v>0</v>
      </c>
      <c r="F89" s="711">
        <f>Bilans_E_AMS_Kyoto_run3_MTE!J313</f>
        <v>-7.8555551160476131</v>
      </c>
      <c r="G89" s="711">
        <f>Bilans_E_AMS_Kyoto_run3_MTE!K313</f>
        <v>-0.3373161064337088</v>
      </c>
      <c r="H89" s="711">
        <f>Bilans_E_AMS_Kyoto_run3_MTE!L313</f>
        <v>-0.96725165809085023</v>
      </c>
      <c r="I89" s="711">
        <f>Bilans_E_AMS_Kyoto_run3_MTE!M313</f>
        <v>-0.4644109471147348</v>
      </c>
      <c r="J89" s="711">
        <f>Bilans_E_AMS_Kyoto_run3_MTE!N313</f>
        <v>0</v>
      </c>
      <c r="K89" s="711">
        <f>Bilans_E_AMS_Kyoto_run3_MTE!O313</f>
        <v>0</v>
      </c>
      <c r="L89" s="711">
        <f>Bilans_E_AMS_Kyoto_run3_MTE!P313</f>
        <v>0</v>
      </c>
      <c r="M89" s="711">
        <f>Bilans_E_AMS_Kyoto_run3_MTE!Q313</f>
        <v>0</v>
      </c>
      <c r="N89" s="711">
        <f>Bilans_E_AMS_Kyoto_run3_MTE!R313</f>
        <v>0</v>
      </c>
      <c r="O89" s="711">
        <f>Bilans_E_AMS_Kyoto_run3_MTE!S313</f>
        <v>-0.87837701634115894</v>
      </c>
      <c r="P89" s="711">
        <f>Bilans_E_AMS_Kyoto_run3_MTE!T313+Bilans_E_AMS_Kyoto_run3_MTE!U313</f>
        <v>0</v>
      </c>
      <c r="Q89" s="711">
        <f>Bilans_E_AMS_Kyoto_run3_MTE!V313</f>
        <v>0</v>
      </c>
      <c r="R89" s="711">
        <f>Bilans_E_AMS_Kyoto_run3_MTE!W313</f>
        <v>0</v>
      </c>
      <c r="S89" s="711">
        <f>Bilans_E_AMS_Kyoto_run3_MTE!X313</f>
        <v>0</v>
      </c>
      <c r="T89" s="711">
        <f>Bilans_E_AMS_Kyoto_run3_MTE!Y313</f>
        <v>-0.26185876214866849</v>
      </c>
      <c r="U89" s="711">
        <f>Bilans_E_AMS_Kyoto_run3_MTE!Z313</f>
        <v>-10.764769606176733</v>
      </c>
      <c r="V89" s="701"/>
      <c r="W89" s="701"/>
    </row>
    <row r="90" spans="1:23" x14ac:dyDescent="0.25">
      <c r="A90" s="701" t="s">
        <v>491</v>
      </c>
      <c r="B90" s="701"/>
      <c r="C90" s="710" t="s">
        <v>63</v>
      </c>
      <c r="D90" s="711">
        <f>Bilans_E_AMS_Kyoto_run3_MTE!H314</f>
        <v>0</v>
      </c>
      <c r="E90" s="711">
        <f>Bilans_E_AMS_Kyoto_run3_MTE!I314</f>
        <v>0</v>
      </c>
      <c r="F90" s="711">
        <f>Bilans_E_AMS_Kyoto_run3_MTE!J314</f>
        <v>-61.6</v>
      </c>
      <c r="G90" s="711">
        <f>Bilans_E_AMS_Kyoto_run3_MTE!K314</f>
        <v>-2.8</v>
      </c>
      <c r="H90" s="711">
        <f>Bilans_E_AMS_Kyoto_run3_MTE!L314</f>
        <v>0</v>
      </c>
      <c r="I90" s="711">
        <f>Bilans_E_AMS_Kyoto_run3_MTE!M314</f>
        <v>0</v>
      </c>
      <c r="J90" s="711">
        <f>Bilans_E_AMS_Kyoto_run3_MTE!N314</f>
        <v>0</v>
      </c>
      <c r="K90" s="711">
        <f>Bilans_E_AMS_Kyoto_run3_MTE!O314</f>
        <v>0</v>
      </c>
      <c r="L90" s="711">
        <f>Bilans_E_AMS_Kyoto_run3_MTE!P314</f>
        <v>0</v>
      </c>
      <c r="M90" s="711">
        <f>Bilans_E_AMS_Kyoto_run3_MTE!Q314</f>
        <v>0</v>
      </c>
      <c r="N90" s="711">
        <f>Bilans_E_AMS_Kyoto_run3_MTE!R314</f>
        <v>-8.1999999999999993</v>
      </c>
      <c r="O90" s="711">
        <f>Bilans_E_AMS_Kyoto_run3_MTE!S314</f>
        <v>0</v>
      </c>
      <c r="P90" s="711">
        <f>Bilans_E_AMS_Kyoto_run3_MTE!T314+Bilans_E_AMS_Kyoto_run3_MTE!U314</f>
        <v>0</v>
      </c>
      <c r="Q90" s="711">
        <f>Bilans_E_AMS_Kyoto_run3_MTE!V314</f>
        <v>0</v>
      </c>
      <c r="R90" s="711">
        <f>Bilans_E_AMS_Kyoto_run3_MTE!W314</f>
        <v>0</v>
      </c>
      <c r="S90" s="711">
        <f>Bilans_E_AMS_Kyoto_run3_MTE!X314</f>
        <v>0</v>
      </c>
      <c r="T90" s="711">
        <f>Bilans_E_AMS_Kyoto_run3_MTE!Y314</f>
        <v>-0.6</v>
      </c>
      <c r="U90" s="711">
        <f>Bilans_E_AMS_Kyoto_run3_MTE!Z314</f>
        <v>-73.2</v>
      </c>
      <c r="V90" s="701"/>
      <c r="W90" s="701"/>
    </row>
    <row r="91" spans="1:23" x14ac:dyDescent="0.25">
      <c r="A91" s="701" t="s">
        <v>492</v>
      </c>
      <c r="B91" s="701"/>
      <c r="C91" s="710" t="s">
        <v>64</v>
      </c>
      <c r="D91" s="712">
        <f>Bilans_E_AMS_Kyoto_run3_MTE!H315</f>
        <v>0</v>
      </c>
      <c r="E91" s="712">
        <f>Bilans_E_AMS_Kyoto_run3_MTE!I315</f>
        <v>0</v>
      </c>
      <c r="F91" s="712">
        <f>Bilans_E_AMS_Kyoto_run3_MTE!J315</f>
        <v>0</v>
      </c>
      <c r="G91" s="712">
        <f>Bilans_E_AMS_Kyoto_run3_MTE!K315</f>
        <v>0</v>
      </c>
      <c r="H91" s="712">
        <f>Bilans_E_AMS_Kyoto_run3_MTE!L315</f>
        <v>0</v>
      </c>
      <c r="I91" s="712">
        <f>Bilans_E_AMS_Kyoto_run3_MTE!M315</f>
        <v>0</v>
      </c>
      <c r="J91" s="712">
        <f>Bilans_E_AMS_Kyoto_run3_MTE!N315</f>
        <v>0</v>
      </c>
      <c r="K91" s="712">
        <f>Bilans_E_AMS_Kyoto_run3_MTE!O315</f>
        <v>0</v>
      </c>
      <c r="L91" s="712">
        <f>Bilans_E_AMS_Kyoto_run3_MTE!P315</f>
        <v>0</v>
      </c>
      <c r="M91" s="712">
        <f>Bilans_E_AMS_Kyoto_run3_MTE!Q315</f>
        <v>0</v>
      </c>
      <c r="N91" s="712">
        <f>Bilans_E_AMS_Kyoto_run3_MTE!R315</f>
        <v>0</v>
      </c>
      <c r="O91" s="712">
        <f>Bilans_E_AMS_Kyoto_run3_MTE!S315</f>
        <v>0</v>
      </c>
      <c r="P91" s="712">
        <f>Bilans_E_AMS_Kyoto_run3_MTE!T315+Bilans_E_AMS_Kyoto_run3_MTE!U315</f>
        <v>0</v>
      </c>
      <c r="Q91" s="712">
        <f>Bilans_E_AMS_Kyoto_run3_MTE!V315</f>
        <v>0</v>
      </c>
      <c r="R91" s="712">
        <f>Bilans_E_AMS_Kyoto_run3_MTE!W315</f>
        <v>0</v>
      </c>
      <c r="S91" s="712">
        <f>Bilans_E_AMS_Kyoto_run3_MTE!X315</f>
        <v>0</v>
      </c>
      <c r="T91" s="712">
        <f>Bilans_E_AMS_Kyoto_run3_MTE!Y315</f>
        <v>0</v>
      </c>
      <c r="U91" s="712">
        <f>Bilans_E_AMS_Kyoto_run3_MTE!Z315</f>
        <v>0</v>
      </c>
      <c r="V91" s="701"/>
      <c r="W91" s="701"/>
    </row>
    <row r="92" spans="1:23" x14ac:dyDescent="0.25">
      <c r="A92" s="701" t="s">
        <v>493</v>
      </c>
      <c r="B92" s="701"/>
      <c r="C92" s="713" t="s">
        <v>65</v>
      </c>
      <c r="D92" s="714">
        <f>Bilans_E_AMS_Kyoto_run3_MTE!H316</f>
        <v>16.733972167968751</v>
      </c>
      <c r="E92" s="714">
        <f>Bilans_E_AMS_Kyoto_run3_MTE!I316</f>
        <v>347.84718490138255</v>
      </c>
      <c r="F92" s="714">
        <f>Bilans_E_AMS_Kyoto_run3_MTE!J316</f>
        <v>83.563020577307157</v>
      </c>
      <c r="G92" s="714">
        <f>Bilans_E_AMS_Kyoto_run3_MTE!K316</f>
        <v>-1.5466157089087895</v>
      </c>
      <c r="H92" s="714">
        <f>Bilans_E_AMS_Kyoto_run3_MTE!L316</f>
        <v>228.41770240541811</v>
      </c>
      <c r="I92" s="714">
        <f>Bilans_E_AMS_Kyoto_run3_MTE!M316</f>
        <v>-0.4644109471147348</v>
      </c>
      <c r="J92" s="714">
        <f>Bilans_E_AMS_Kyoto_run3_MTE!N316</f>
        <v>1165.8657454545453</v>
      </c>
      <c r="K92" s="714">
        <f>Bilans_E_AMS_Kyoto_run3_MTE!O316</f>
        <v>264.18035739757391</v>
      </c>
      <c r="L92" s="714">
        <f>Bilans_E_AMS_Kyoto_run3_MTE!P316</f>
        <v>310.33700790616717</v>
      </c>
      <c r="M92" s="714">
        <f>Bilans_E_AMS_Kyoto_run3_MTE!Q316</f>
        <v>51.405271738220549</v>
      </c>
      <c r="N92" s="714">
        <f>Bilans_E_AMS_Kyoto_run3_MTE!R316</f>
        <v>2.977777544289129</v>
      </c>
      <c r="O92" s="714">
        <f>Bilans_E_AMS_Kyoto_run3_MTE!S316</f>
        <v>4.2740846370952097</v>
      </c>
      <c r="P92" s="714">
        <f>Bilans_E_AMS_Kyoto_run3_MTE!T316+Bilans_E_AMS_Kyoto_run3_MTE!U316</f>
        <v>151.46298386421165</v>
      </c>
      <c r="Q92" s="714">
        <f>Bilans_E_AMS_Kyoto_run3_MTE!V316</f>
        <v>29.323733806781338</v>
      </c>
      <c r="R92" s="714">
        <f>Bilans_E_AMS_Kyoto_run3_MTE!W316</f>
        <v>-83.337259091529631</v>
      </c>
      <c r="S92" s="714">
        <f>Bilans_E_AMS_Kyoto_run3_MTE!X316</f>
        <v>0</v>
      </c>
      <c r="T92" s="714">
        <f>Bilans_E_AMS_Kyoto_run3_MTE!Y316</f>
        <v>-0.86185876214866841</v>
      </c>
      <c r="U92" s="714">
        <f>Bilans_E_AMS_Kyoto_run3_MTE!Z316</f>
        <v>2570.1786978912592</v>
      </c>
      <c r="V92" s="701"/>
      <c r="W92" s="701"/>
    </row>
    <row r="93" spans="1:23" x14ac:dyDescent="0.25">
      <c r="A93" s="701"/>
      <c r="B93" s="701"/>
      <c r="C93" s="715"/>
      <c r="D93" s="716"/>
      <c r="E93" s="716"/>
      <c r="F93" s="716"/>
      <c r="G93" s="716"/>
      <c r="H93" s="716"/>
      <c r="I93" s="716"/>
      <c r="J93" s="716"/>
      <c r="K93" s="716"/>
      <c r="L93" s="716"/>
      <c r="M93" s="716"/>
      <c r="N93" s="716"/>
      <c r="O93" s="716"/>
      <c r="P93" s="716">
        <f>Bilans_E_AMS_Kyoto_run3_MTE!T317+Bilans_E_AMS_Kyoto_run3_MTE!U317</f>
        <v>0</v>
      </c>
      <c r="Q93" s="716"/>
      <c r="R93" s="716"/>
      <c r="S93" s="716"/>
      <c r="T93" s="716"/>
      <c r="U93" s="716"/>
      <c r="V93" s="701"/>
      <c r="W93" s="701"/>
    </row>
    <row r="94" spans="1:23" x14ac:dyDescent="0.25">
      <c r="A94" s="701" t="s">
        <v>494</v>
      </c>
      <c r="B94" s="701"/>
      <c r="C94" s="717" t="s">
        <v>67</v>
      </c>
      <c r="D94" s="711">
        <f>Bilans_E_AMS_Kyoto_run3_MTE!H318</f>
        <v>0</v>
      </c>
      <c r="E94" s="711">
        <f>Bilans_E_AMS_Kyoto_run3_MTE!I318</f>
        <v>0</v>
      </c>
      <c r="F94" s="711">
        <f>Bilans_E_AMS_Kyoto_run3_MTE!J318</f>
        <v>0</v>
      </c>
      <c r="G94" s="711">
        <f>Bilans_E_AMS_Kyoto_run3_MTE!K318</f>
        <v>0</v>
      </c>
      <c r="H94" s="711">
        <f>Bilans_E_AMS_Kyoto_run3_MTE!L318</f>
        <v>0</v>
      </c>
      <c r="I94" s="711">
        <f>Bilans_E_AMS_Kyoto_run3_MTE!M318</f>
        <v>0</v>
      </c>
      <c r="J94" s="711">
        <f>Bilans_E_AMS_Kyoto_run3_MTE!N318</f>
        <v>0</v>
      </c>
      <c r="K94" s="711">
        <f>Bilans_E_AMS_Kyoto_run3_MTE!O318</f>
        <v>0</v>
      </c>
      <c r="L94" s="711">
        <f>Bilans_E_AMS_Kyoto_run3_MTE!P318</f>
        <v>0</v>
      </c>
      <c r="M94" s="711">
        <f>Bilans_E_AMS_Kyoto_run3_MTE!Q318</f>
        <v>0</v>
      </c>
      <c r="N94" s="711">
        <f>Bilans_E_AMS_Kyoto_run3_MTE!R318</f>
        <v>0</v>
      </c>
      <c r="O94" s="711">
        <f>Bilans_E_AMS_Kyoto_run3_MTE!S318</f>
        <v>0</v>
      </c>
      <c r="P94" s="711">
        <f>Bilans_E_AMS_Kyoto_run3_MTE!T318+Bilans_E_AMS_Kyoto_run3_MTE!U318</f>
        <v>0</v>
      </c>
      <c r="Q94" s="711">
        <f>Bilans_E_AMS_Kyoto_run3_MTE!V318</f>
        <v>0</v>
      </c>
      <c r="R94" s="711">
        <f>Bilans_E_AMS_Kyoto_run3_MTE!W318</f>
        <v>0</v>
      </c>
      <c r="S94" s="711">
        <f>Bilans_E_AMS_Kyoto_run3_MTE!X318</f>
        <v>0</v>
      </c>
      <c r="T94" s="711">
        <f>Bilans_E_AMS_Kyoto_run3_MTE!Y318</f>
        <v>0</v>
      </c>
      <c r="U94" s="711">
        <f>Bilans_E_AMS_Kyoto_run3_MTE!Z318</f>
        <v>0</v>
      </c>
      <c r="V94" s="701"/>
      <c r="W94" s="701"/>
    </row>
    <row r="95" spans="1:23" x14ac:dyDescent="0.25">
      <c r="A95" s="701" t="s">
        <v>495</v>
      </c>
      <c r="B95" s="701"/>
      <c r="C95" s="717" t="s">
        <v>347</v>
      </c>
      <c r="D95" s="711">
        <f>Bilans_E_AMS_Kyoto_run3_MTE!H319</f>
        <v>0</v>
      </c>
      <c r="E95" s="711">
        <f>Bilans_E_AMS_Kyoto_run3_MTE!I319</f>
        <v>0</v>
      </c>
      <c r="F95" s="711">
        <f>Bilans_E_AMS_Kyoto_run3_MTE!J319</f>
        <v>0.79278558393774012</v>
      </c>
      <c r="G95" s="711">
        <f>Bilans_E_AMS_Kyoto_run3_MTE!K319</f>
        <v>0</v>
      </c>
      <c r="H95" s="711">
        <f>Bilans_E_AMS_Kyoto_run3_MTE!L319</f>
        <v>30.18998354898655</v>
      </c>
      <c r="I95" s="711">
        <f>Bilans_E_AMS_Kyoto_run3_MTE!M319</f>
        <v>0</v>
      </c>
      <c r="J95" s="711">
        <f>Bilans_E_AMS_Kyoto_run3_MTE!N319</f>
        <v>1165.8657454545453</v>
      </c>
      <c r="K95" s="711">
        <f>Bilans_E_AMS_Kyoto_run3_MTE!O319</f>
        <v>264.18035739757391</v>
      </c>
      <c r="L95" s="711">
        <f>Bilans_E_AMS_Kyoto_run3_MTE!P319</f>
        <v>15.154623225490525</v>
      </c>
      <c r="M95" s="711">
        <f>Bilans_E_AMS_Kyoto_run3_MTE!Q319</f>
        <v>6.1000995181555853</v>
      </c>
      <c r="N95" s="711">
        <f>Bilans_E_AMS_Kyoto_run3_MTE!R319</f>
        <v>4.7819832265678626</v>
      </c>
      <c r="O95" s="711">
        <f>Bilans_E_AMS_Kyoto_run3_MTE!S319</f>
        <v>9.8298837124563363</v>
      </c>
      <c r="P95" s="711">
        <f>Bilans_E_AMS_Kyoto_run3_MTE!T319+Bilans_E_AMS_Kyoto_run3_MTE!U319</f>
        <v>0</v>
      </c>
      <c r="Q95" s="711">
        <f>Bilans_E_AMS_Kyoto_run3_MTE!V319</f>
        <v>1.6766395861963883</v>
      </c>
      <c r="R95" s="711">
        <f>Bilans_E_AMS_Kyoto_run3_MTE!W319</f>
        <v>-685.02208017428939</v>
      </c>
      <c r="S95" s="711">
        <f>Bilans_E_AMS_Kyoto_run3_MTE!X319</f>
        <v>0</v>
      </c>
      <c r="T95" s="711">
        <f>Bilans_E_AMS_Kyoto_run3_MTE!Y319</f>
        <v>0</v>
      </c>
      <c r="U95" s="711">
        <f>Bilans_E_AMS_Kyoto_run3_MTE!Z319</f>
        <v>813.55002107962082</v>
      </c>
      <c r="V95" s="701"/>
      <c r="W95" s="701"/>
    </row>
    <row r="96" spans="1:23" x14ac:dyDescent="0.25">
      <c r="A96" s="701" t="s">
        <v>496</v>
      </c>
      <c r="B96" s="701"/>
      <c r="C96" s="717" t="s">
        <v>348</v>
      </c>
      <c r="D96" s="711">
        <f>Bilans_E_AMS_Kyoto_run3_MTE!H320</f>
        <v>0</v>
      </c>
      <c r="E96" s="711">
        <f>Bilans_E_AMS_Kyoto_run3_MTE!I320</f>
        <v>0</v>
      </c>
      <c r="F96" s="711">
        <f>Bilans_E_AMS_Kyoto_run3_MTE!J320</f>
        <v>0</v>
      </c>
      <c r="G96" s="711">
        <f>Bilans_E_AMS_Kyoto_run3_MTE!K320</f>
        <v>0</v>
      </c>
      <c r="H96" s="711">
        <f>Bilans_E_AMS_Kyoto_run3_MTE!L320</f>
        <v>21.478521490079181</v>
      </c>
      <c r="I96" s="711">
        <f>Bilans_E_AMS_Kyoto_run3_MTE!M320</f>
        <v>0</v>
      </c>
      <c r="J96" s="711">
        <f>Bilans_E_AMS_Kyoto_run3_MTE!N320</f>
        <v>0</v>
      </c>
      <c r="K96" s="711">
        <f>Bilans_E_AMS_Kyoto_run3_MTE!O320</f>
        <v>0</v>
      </c>
      <c r="L96" s="711">
        <f>Bilans_E_AMS_Kyoto_run3_MTE!P320</f>
        <v>25.278971287489433</v>
      </c>
      <c r="M96" s="711">
        <f>Bilans_E_AMS_Kyoto_run3_MTE!Q320</f>
        <v>17.945678264512264</v>
      </c>
      <c r="N96" s="711">
        <f>Bilans_E_AMS_Kyoto_run3_MTE!R320</f>
        <v>0</v>
      </c>
      <c r="O96" s="711">
        <f>Bilans_E_AMS_Kyoto_run3_MTE!S320</f>
        <v>6.0065134029812235</v>
      </c>
      <c r="P96" s="711">
        <f>Bilans_E_AMS_Kyoto_run3_MTE!T320+Bilans_E_AMS_Kyoto_run3_MTE!U320</f>
        <v>10.417559156149544</v>
      </c>
      <c r="Q96" s="711">
        <f>Bilans_E_AMS_Kyoto_run3_MTE!V320</f>
        <v>12.465752150616991</v>
      </c>
      <c r="R96" s="711">
        <f>Bilans_E_AMS_Kyoto_run3_MTE!W320</f>
        <v>0</v>
      </c>
      <c r="S96" s="711">
        <f>Bilans_E_AMS_Kyoto_run3_MTE!X320</f>
        <v>-84.590071614239946</v>
      </c>
      <c r="T96" s="711">
        <f>Bilans_E_AMS_Kyoto_run3_MTE!Y320</f>
        <v>0</v>
      </c>
      <c r="U96" s="711">
        <f>Bilans_E_AMS_Kyoto_run3_MTE!Z320</f>
        <v>9.0029241375887068</v>
      </c>
      <c r="V96" s="701"/>
      <c r="W96" s="701"/>
    </row>
    <row r="97" spans="1:23" x14ac:dyDescent="0.25">
      <c r="A97" s="701" t="s">
        <v>497</v>
      </c>
      <c r="B97" s="701"/>
      <c r="C97" s="717" t="s">
        <v>349</v>
      </c>
      <c r="D97" s="711">
        <f>Bilans_E_AMS_Kyoto_run3_MTE!H321</f>
        <v>0</v>
      </c>
      <c r="E97" s="711">
        <f>Bilans_E_AMS_Kyoto_run3_MTE!I321</f>
        <v>0</v>
      </c>
      <c r="F97" s="711">
        <f>Bilans_E_AMS_Kyoto_run3_MTE!J321</f>
        <v>0</v>
      </c>
      <c r="G97" s="711">
        <f>Bilans_E_AMS_Kyoto_run3_MTE!K321</f>
        <v>0</v>
      </c>
      <c r="H97" s="711">
        <f>Bilans_E_AMS_Kyoto_run3_MTE!L321</f>
        <v>0</v>
      </c>
      <c r="I97" s="711">
        <f>Bilans_E_AMS_Kyoto_run3_MTE!M321</f>
        <v>0</v>
      </c>
      <c r="J97" s="711">
        <f>Bilans_E_AMS_Kyoto_run3_MTE!N321</f>
        <v>0</v>
      </c>
      <c r="K97" s="711">
        <f>Bilans_E_AMS_Kyoto_run3_MTE!O321</f>
        <v>0</v>
      </c>
      <c r="L97" s="711">
        <f>Bilans_E_AMS_Kyoto_run3_MTE!P321</f>
        <v>84.566495903586969</v>
      </c>
      <c r="M97" s="711">
        <f>Bilans_E_AMS_Kyoto_run3_MTE!Q321</f>
        <v>10.27121917361311</v>
      </c>
      <c r="N97" s="711">
        <f>Bilans_E_AMS_Kyoto_run3_MTE!R321</f>
        <v>0</v>
      </c>
      <c r="O97" s="711">
        <f>Bilans_E_AMS_Kyoto_run3_MTE!S321</f>
        <v>-47.494303640463748</v>
      </c>
      <c r="P97" s="711">
        <f>Bilans_E_AMS_Kyoto_run3_MTE!T321+Bilans_E_AMS_Kyoto_run3_MTE!U321</f>
        <v>0</v>
      </c>
      <c r="Q97" s="711">
        <f>Bilans_E_AMS_Kyoto_run3_MTE!V321</f>
        <v>0</v>
      </c>
      <c r="R97" s="711">
        <f>Bilans_E_AMS_Kyoto_run3_MTE!W321</f>
        <v>0</v>
      </c>
      <c r="S97" s="711">
        <f>Bilans_E_AMS_Kyoto_run3_MTE!X321</f>
        <v>0</v>
      </c>
      <c r="T97" s="711">
        <f>Bilans_E_AMS_Kyoto_run3_MTE!Y321</f>
        <v>0</v>
      </c>
      <c r="U97" s="711">
        <f>Bilans_E_AMS_Kyoto_run3_MTE!Z321</f>
        <v>47.343411436736325</v>
      </c>
      <c r="V97" s="701"/>
      <c r="W97" s="701"/>
    </row>
    <row r="98" spans="1:23" x14ac:dyDescent="0.25">
      <c r="A98" s="701" t="s">
        <v>498</v>
      </c>
      <c r="B98" s="701"/>
      <c r="C98" s="717" t="s">
        <v>350</v>
      </c>
      <c r="D98" s="711">
        <f>Bilans_E_AMS_Kyoto_run3_MTE!H322</f>
        <v>0</v>
      </c>
      <c r="E98" s="711">
        <f>Bilans_E_AMS_Kyoto_run3_MTE!I322</f>
        <v>0</v>
      </c>
      <c r="F98" s="711">
        <f>Bilans_E_AMS_Kyoto_run3_MTE!J322</f>
        <v>0</v>
      </c>
      <c r="G98" s="711">
        <f>Bilans_E_AMS_Kyoto_run3_MTE!K322</f>
        <v>0</v>
      </c>
      <c r="H98" s="711">
        <f>Bilans_E_AMS_Kyoto_run3_MTE!L322</f>
        <v>0</v>
      </c>
      <c r="I98" s="711">
        <f>Bilans_E_AMS_Kyoto_run3_MTE!M322</f>
        <v>-0.4644109471147348</v>
      </c>
      <c r="J98" s="711">
        <f>Bilans_E_AMS_Kyoto_run3_MTE!N322</f>
        <v>0</v>
      </c>
      <c r="K98" s="711">
        <f>Bilans_E_AMS_Kyoto_run3_MTE!O322</f>
        <v>0</v>
      </c>
      <c r="L98" s="711">
        <f>Bilans_E_AMS_Kyoto_run3_MTE!P322</f>
        <v>0</v>
      </c>
      <c r="M98" s="711">
        <f>Bilans_E_AMS_Kyoto_run3_MTE!Q322</f>
        <v>0</v>
      </c>
      <c r="N98" s="711">
        <f>Bilans_E_AMS_Kyoto_run3_MTE!R322</f>
        <v>0</v>
      </c>
      <c r="O98" s="711">
        <f>Bilans_E_AMS_Kyoto_run3_MTE!S322</f>
        <v>0</v>
      </c>
      <c r="P98" s="711">
        <f>Bilans_E_AMS_Kyoto_run3_MTE!T322+Bilans_E_AMS_Kyoto_run3_MTE!U322</f>
        <v>0</v>
      </c>
      <c r="Q98" s="711">
        <f>Bilans_E_AMS_Kyoto_run3_MTE!V322</f>
        <v>0</v>
      </c>
      <c r="R98" s="711">
        <f>Bilans_E_AMS_Kyoto_run3_MTE!W322</f>
        <v>0</v>
      </c>
      <c r="S98" s="711">
        <f>Bilans_E_AMS_Kyoto_run3_MTE!X322</f>
        <v>0</v>
      </c>
      <c r="T98" s="711">
        <f>Bilans_E_AMS_Kyoto_run3_MTE!Y322</f>
        <v>0.64501520432602055</v>
      </c>
      <c r="U98" s="711">
        <f>Bilans_E_AMS_Kyoto_run3_MTE!Z322</f>
        <v>0.18060425721128576</v>
      </c>
      <c r="V98" s="701"/>
      <c r="W98" s="701"/>
    </row>
    <row r="99" spans="1:23" x14ac:dyDescent="0.25">
      <c r="A99" s="701" t="s">
        <v>499</v>
      </c>
      <c r="B99" s="701"/>
      <c r="C99" s="717" t="s">
        <v>72</v>
      </c>
      <c r="D99" s="711">
        <f>Bilans_E_AMS_Kyoto_run3_MTE!H323</f>
        <v>0</v>
      </c>
      <c r="E99" s="711">
        <f>Bilans_E_AMS_Kyoto_run3_MTE!I323</f>
        <v>360.49746740112505</v>
      </c>
      <c r="F99" s="711">
        <f>Bilans_E_AMS_Kyoto_run3_MTE!J323</f>
        <v>-356.89249272711379</v>
      </c>
      <c r="G99" s="711">
        <f>Bilans_E_AMS_Kyoto_run3_MTE!K323</f>
        <v>0</v>
      </c>
      <c r="H99" s="711">
        <f>Bilans_E_AMS_Kyoto_run3_MTE!L323</f>
        <v>0</v>
      </c>
      <c r="I99" s="711">
        <f>Bilans_E_AMS_Kyoto_run3_MTE!M323</f>
        <v>0</v>
      </c>
      <c r="J99" s="711">
        <f>Bilans_E_AMS_Kyoto_run3_MTE!N323</f>
        <v>0</v>
      </c>
      <c r="K99" s="711">
        <f>Bilans_E_AMS_Kyoto_run3_MTE!O323</f>
        <v>0</v>
      </c>
      <c r="L99" s="711">
        <f>Bilans_E_AMS_Kyoto_run3_MTE!P323</f>
        <v>0</v>
      </c>
      <c r="M99" s="711">
        <f>Bilans_E_AMS_Kyoto_run3_MTE!Q323</f>
        <v>0</v>
      </c>
      <c r="N99" s="711">
        <f>Bilans_E_AMS_Kyoto_run3_MTE!R323</f>
        <v>0</v>
      </c>
      <c r="O99" s="711">
        <f>Bilans_E_AMS_Kyoto_run3_MTE!S323</f>
        <v>0</v>
      </c>
      <c r="P99" s="711">
        <f>Bilans_E_AMS_Kyoto_run3_MTE!T323+Bilans_E_AMS_Kyoto_run3_MTE!U323</f>
        <v>0</v>
      </c>
      <c r="Q99" s="711">
        <f>Bilans_E_AMS_Kyoto_run3_MTE!V323</f>
        <v>0</v>
      </c>
      <c r="R99" s="711">
        <f>Bilans_E_AMS_Kyoto_run3_MTE!W323</f>
        <v>0</v>
      </c>
      <c r="S99" s="711">
        <f>Bilans_E_AMS_Kyoto_run3_MTE!X323</f>
        <v>0</v>
      </c>
      <c r="T99" s="711">
        <f>Bilans_E_AMS_Kyoto_run3_MTE!Y323</f>
        <v>0</v>
      </c>
      <c r="U99" s="711">
        <f>Bilans_E_AMS_Kyoto_run3_MTE!Z323</f>
        <v>3.6049746740112596</v>
      </c>
      <c r="V99" s="701"/>
      <c r="W99" s="701"/>
    </row>
    <row r="100" spans="1:23" x14ac:dyDescent="0.25">
      <c r="A100" s="701" t="s">
        <v>500</v>
      </c>
      <c r="B100" s="701"/>
      <c r="C100" s="717" t="s">
        <v>351</v>
      </c>
      <c r="D100" s="711">
        <f>Bilans_E_AMS_Kyoto_run3_MTE!H324</f>
        <v>0</v>
      </c>
      <c r="E100" s="711">
        <f>Bilans_E_AMS_Kyoto_run3_MTE!I324</f>
        <v>0</v>
      </c>
      <c r="F100" s="711">
        <f>Bilans_E_AMS_Kyoto_run3_MTE!J324</f>
        <v>0</v>
      </c>
      <c r="G100" s="711">
        <f>Bilans_E_AMS_Kyoto_run3_MTE!K324</f>
        <v>0</v>
      </c>
      <c r="H100" s="711">
        <f>Bilans_E_AMS_Kyoto_run3_MTE!L324</f>
        <v>0</v>
      </c>
      <c r="I100" s="711">
        <f>Bilans_E_AMS_Kyoto_run3_MTE!M324</f>
        <v>0</v>
      </c>
      <c r="J100" s="711">
        <f>Bilans_E_AMS_Kyoto_run3_MTE!N324</f>
        <v>0</v>
      </c>
      <c r="K100" s="711">
        <f>Bilans_E_AMS_Kyoto_run3_MTE!O324</f>
        <v>0</v>
      </c>
      <c r="L100" s="711">
        <f>Bilans_E_AMS_Kyoto_run3_MTE!P324</f>
        <v>79.688188573831496</v>
      </c>
      <c r="M100" s="711">
        <f>Bilans_E_AMS_Kyoto_run3_MTE!Q324</f>
        <v>7.2727272727272725</v>
      </c>
      <c r="N100" s="711">
        <f>Bilans_E_AMS_Kyoto_run3_MTE!R324</f>
        <v>-48.502301880066618</v>
      </c>
      <c r="O100" s="711">
        <f>Bilans_E_AMS_Kyoto_run3_MTE!S324</f>
        <v>0</v>
      </c>
      <c r="P100" s="711">
        <f>Bilans_E_AMS_Kyoto_run3_MTE!T324+Bilans_E_AMS_Kyoto_run3_MTE!U324</f>
        <v>0</v>
      </c>
      <c r="Q100" s="711">
        <f>Bilans_E_AMS_Kyoto_run3_MTE!V324</f>
        <v>0</v>
      </c>
      <c r="R100" s="711">
        <f>Bilans_E_AMS_Kyoto_run3_MTE!W324</f>
        <v>0</v>
      </c>
      <c r="S100" s="711">
        <f>Bilans_E_AMS_Kyoto_run3_MTE!X324</f>
        <v>0</v>
      </c>
      <c r="T100" s="711">
        <f>Bilans_E_AMS_Kyoto_run3_MTE!Y324</f>
        <v>0</v>
      </c>
      <c r="U100" s="711">
        <f>Bilans_E_AMS_Kyoto_run3_MTE!Z324</f>
        <v>38.458613966492145</v>
      </c>
      <c r="V100" s="701"/>
      <c r="W100" s="701"/>
    </row>
    <row r="101" spans="1:23" x14ac:dyDescent="0.25">
      <c r="A101" s="701" t="s">
        <v>501</v>
      </c>
      <c r="B101" s="701"/>
      <c r="C101" s="717" t="s">
        <v>352</v>
      </c>
      <c r="D101" s="711">
        <f>Bilans_E_AMS_Kyoto_run3_MTE!H325</f>
        <v>0</v>
      </c>
      <c r="E101" s="711">
        <f>Bilans_E_AMS_Kyoto_run3_MTE!I325</f>
        <v>0</v>
      </c>
      <c r="F101" s="711">
        <f>Bilans_E_AMS_Kyoto_run3_MTE!J325</f>
        <v>0</v>
      </c>
      <c r="G101" s="711">
        <f>Bilans_E_AMS_Kyoto_run3_MTE!K325</f>
        <v>-2.3373161064337085</v>
      </c>
      <c r="H101" s="711">
        <f>Bilans_E_AMS_Kyoto_run3_MTE!L325</f>
        <v>0</v>
      </c>
      <c r="I101" s="711">
        <f>Bilans_E_AMS_Kyoto_run3_MTE!M325</f>
        <v>0</v>
      </c>
      <c r="J101" s="711">
        <f>Bilans_E_AMS_Kyoto_run3_MTE!N325</f>
        <v>0</v>
      </c>
      <c r="K101" s="711">
        <f>Bilans_E_AMS_Kyoto_run3_MTE!O325</f>
        <v>0</v>
      </c>
      <c r="L101" s="711">
        <f>Bilans_E_AMS_Kyoto_run3_MTE!P325</f>
        <v>0</v>
      </c>
      <c r="M101" s="711">
        <f>Bilans_E_AMS_Kyoto_run3_MTE!Q325</f>
        <v>0</v>
      </c>
      <c r="N101" s="711">
        <f>Bilans_E_AMS_Kyoto_run3_MTE!R325</f>
        <v>0</v>
      </c>
      <c r="O101" s="711">
        <f>Bilans_E_AMS_Kyoto_run3_MTE!S325</f>
        <v>0</v>
      </c>
      <c r="P101" s="711">
        <f>Bilans_E_AMS_Kyoto_run3_MTE!T325+Bilans_E_AMS_Kyoto_run3_MTE!U325</f>
        <v>0</v>
      </c>
      <c r="Q101" s="711">
        <f>Bilans_E_AMS_Kyoto_run3_MTE!V325</f>
        <v>0</v>
      </c>
      <c r="R101" s="711">
        <f>Bilans_E_AMS_Kyoto_run3_MTE!W325</f>
        <v>0</v>
      </c>
      <c r="S101" s="711">
        <f>Bilans_E_AMS_Kyoto_run3_MTE!X325</f>
        <v>0</v>
      </c>
      <c r="T101" s="711">
        <f>Bilans_E_AMS_Kyoto_run3_MTE!Y325</f>
        <v>3.8910477170770799</v>
      </c>
      <c r="U101" s="711">
        <f>Bilans_E_AMS_Kyoto_run3_MTE!Z325</f>
        <v>1.5537316106433714</v>
      </c>
      <c r="V101" s="701"/>
      <c r="W101" s="701"/>
    </row>
    <row r="102" spans="1:23" x14ac:dyDescent="0.25">
      <c r="A102" s="701" t="s">
        <v>502</v>
      </c>
      <c r="B102" s="701"/>
      <c r="C102" s="717" t="s">
        <v>73</v>
      </c>
      <c r="D102" s="711">
        <f>Bilans_E_AMS_Kyoto_run3_MTE!H326</f>
        <v>0</v>
      </c>
      <c r="E102" s="711">
        <f>Bilans_E_AMS_Kyoto_run3_MTE!I326</f>
        <v>0</v>
      </c>
      <c r="F102" s="711">
        <f>Bilans_E_AMS_Kyoto_run3_MTE!J326</f>
        <v>0</v>
      </c>
      <c r="G102" s="711">
        <f>Bilans_E_AMS_Kyoto_run3_MTE!K326</f>
        <v>0</v>
      </c>
      <c r="H102" s="711">
        <f>Bilans_E_AMS_Kyoto_run3_MTE!L326</f>
        <v>0</v>
      </c>
      <c r="I102" s="711">
        <f>Bilans_E_AMS_Kyoto_run3_MTE!M326</f>
        <v>0</v>
      </c>
      <c r="J102" s="711">
        <f>Bilans_E_AMS_Kyoto_run3_MTE!N326</f>
        <v>0</v>
      </c>
      <c r="K102" s="711">
        <f>Bilans_E_AMS_Kyoto_run3_MTE!O326</f>
        <v>0</v>
      </c>
      <c r="L102" s="711">
        <f>Bilans_E_AMS_Kyoto_run3_MTE!P326</f>
        <v>0</v>
      </c>
      <c r="M102" s="711">
        <f>Bilans_E_AMS_Kyoto_run3_MTE!Q326</f>
        <v>0</v>
      </c>
      <c r="N102" s="711">
        <f>Bilans_E_AMS_Kyoto_run3_MTE!R326</f>
        <v>0</v>
      </c>
      <c r="O102" s="711">
        <f>Bilans_E_AMS_Kyoto_run3_MTE!S326</f>
        <v>0</v>
      </c>
      <c r="P102" s="711">
        <f>Bilans_E_AMS_Kyoto_run3_MTE!T326+Bilans_E_AMS_Kyoto_run3_MTE!U326</f>
        <v>0</v>
      </c>
      <c r="Q102" s="711">
        <f>Bilans_E_AMS_Kyoto_run3_MTE!V326</f>
        <v>0</v>
      </c>
      <c r="R102" s="711">
        <f>Bilans_E_AMS_Kyoto_run3_MTE!W326</f>
        <v>26.742532147251133</v>
      </c>
      <c r="S102" s="711">
        <f>Bilans_E_AMS_Kyoto_run3_MTE!X326</f>
        <v>0</v>
      </c>
      <c r="T102" s="711">
        <f>Bilans_E_AMS_Kyoto_run3_MTE!Y326</f>
        <v>-17.663442483259374</v>
      </c>
      <c r="U102" s="711">
        <f>Bilans_E_AMS_Kyoto_run3_MTE!Z326</f>
        <v>9.0790896639917591</v>
      </c>
      <c r="V102" s="701"/>
      <c r="W102" s="701"/>
    </row>
    <row r="103" spans="1:23" x14ac:dyDescent="0.25">
      <c r="A103" s="701" t="s">
        <v>503</v>
      </c>
      <c r="B103" s="701"/>
      <c r="C103" s="717" t="s">
        <v>353</v>
      </c>
      <c r="D103" s="711">
        <f>Bilans_E_AMS_Kyoto_run3_MTE!H327</f>
        <v>11.528678671874999</v>
      </c>
      <c r="E103" s="711">
        <f>Bilans_E_AMS_Kyoto_run3_MTE!I327</f>
        <v>-12.650282499742492</v>
      </c>
      <c r="F103" s="711">
        <f>Bilans_E_AMS_Kyoto_run3_MTE!J327</f>
        <v>16.688969946378961</v>
      </c>
      <c r="G103" s="711">
        <f>Bilans_E_AMS_Kyoto_run3_MTE!K327</f>
        <v>0</v>
      </c>
      <c r="H103" s="711">
        <f>Bilans_E_AMS_Kyoto_run3_MTE!L327</f>
        <v>0</v>
      </c>
      <c r="I103" s="711">
        <f>Bilans_E_AMS_Kyoto_run3_MTE!M327</f>
        <v>0</v>
      </c>
      <c r="J103" s="711">
        <f>Bilans_E_AMS_Kyoto_run3_MTE!N327</f>
        <v>0</v>
      </c>
      <c r="K103" s="711">
        <f>Bilans_E_AMS_Kyoto_run3_MTE!O327</f>
        <v>0</v>
      </c>
      <c r="L103" s="711">
        <f>Bilans_E_AMS_Kyoto_run3_MTE!P327</f>
        <v>0</v>
      </c>
      <c r="M103" s="711">
        <f>Bilans_E_AMS_Kyoto_run3_MTE!Q327</f>
        <v>0</v>
      </c>
      <c r="N103" s="711">
        <f>Bilans_E_AMS_Kyoto_run3_MTE!R327</f>
        <v>0</v>
      </c>
      <c r="O103" s="711">
        <f>Bilans_E_AMS_Kyoto_run3_MTE!S327</f>
        <v>0</v>
      </c>
      <c r="P103" s="711">
        <f>Bilans_E_AMS_Kyoto_run3_MTE!T327+Bilans_E_AMS_Kyoto_run3_MTE!U327</f>
        <v>0</v>
      </c>
      <c r="Q103" s="711">
        <f>Bilans_E_AMS_Kyoto_run3_MTE!V327</f>
        <v>0</v>
      </c>
      <c r="R103" s="711">
        <f>Bilans_E_AMS_Kyoto_run3_MTE!W327</f>
        <v>0</v>
      </c>
      <c r="S103" s="711">
        <f>Bilans_E_AMS_Kyoto_run3_MTE!X327</f>
        <v>0</v>
      </c>
      <c r="T103" s="711">
        <f>Bilans_E_AMS_Kyoto_run3_MTE!Y327</f>
        <v>0</v>
      </c>
      <c r="U103" s="711">
        <f>Bilans_E_AMS_Kyoto_run3_MTE!Z327</f>
        <v>15.567366118511469</v>
      </c>
      <c r="V103" s="701"/>
      <c r="W103" s="701"/>
    </row>
    <row r="104" spans="1:23" x14ac:dyDescent="0.25">
      <c r="A104" s="701" t="s">
        <v>504</v>
      </c>
      <c r="B104" s="701"/>
      <c r="C104" s="717" t="s">
        <v>75</v>
      </c>
      <c r="D104" s="711">
        <f>Bilans_E_AMS_Kyoto_run3_MTE!H328</f>
        <v>4.4833750390625005</v>
      </c>
      <c r="E104" s="711">
        <f>Bilans_E_AMS_Kyoto_run3_MTE!I328</f>
        <v>0</v>
      </c>
      <c r="F104" s="711">
        <f>Bilans_E_AMS_Kyoto_run3_MTE!J328</f>
        <v>12.470199463438197</v>
      </c>
      <c r="G104" s="711">
        <f>Bilans_E_AMS_Kyoto_run3_MTE!K328</f>
        <v>0</v>
      </c>
      <c r="H104" s="711">
        <f>Bilans_E_AMS_Kyoto_run3_MTE!L328</f>
        <v>0.24936035983011146</v>
      </c>
      <c r="I104" s="711">
        <f>Bilans_E_AMS_Kyoto_run3_MTE!M328</f>
        <v>0</v>
      </c>
      <c r="J104" s="711">
        <f>Bilans_E_AMS_Kyoto_run3_MTE!N328</f>
        <v>0</v>
      </c>
      <c r="K104" s="711">
        <f>Bilans_E_AMS_Kyoto_run3_MTE!O328</f>
        <v>0</v>
      </c>
      <c r="L104" s="711">
        <f>Bilans_E_AMS_Kyoto_run3_MTE!P328</f>
        <v>0</v>
      </c>
      <c r="M104" s="711">
        <f>Bilans_E_AMS_Kyoto_run3_MTE!Q328</f>
        <v>0</v>
      </c>
      <c r="N104" s="711">
        <f>Bilans_E_AMS_Kyoto_run3_MTE!R328</f>
        <v>0</v>
      </c>
      <c r="O104" s="711">
        <f>Bilans_E_AMS_Kyoto_run3_MTE!S328</f>
        <v>5.4737639962707384E-2</v>
      </c>
      <c r="P104" s="711">
        <f>Bilans_E_AMS_Kyoto_run3_MTE!T328+Bilans_E_AMS_Kyoto_run3_MTE!U328</f>
        <v>0</v>
      </c>
      <c r="Q104" s="711">
        <f>Bilans_E_AMS_Kyoto_run3_MTE!V328</f>
        <v>0</v>
      </c>
      <c r="R104" s="711">
        <f>Bilans_E_AMS_Kyoto_run3_MTE!W328</f>
        <v>34.269297847213949</v>
      </c>
      <c r="S104" s="711">
        <f>Bilans_E_AMS_Kyoto_run3_MTE!X328</f>
        <v>0</v>
      </c>
      <c r="T104" s="711">
        <f>Bilans_E_AMS_Kyoto_run3_MTE!Y328</f>
        <v>3.2371102497669209</v>
      </c>
      <c r="U104" s="711">
        <f>Bilans_E_AMS_Kyoto_run3_MTE!Z328</f>
        <v>54.764080599274386</v>
      </c>
      <c r="V104" s="701"/>
      <c r="W104" s="701"/>
    </row>
    <row r="105" spans="1:23" x14ac:dyDescent="0.25">
      <c r="A105" s="701" t="s">
        <v>505</v>
      </c>
      <c r="B105" s="701"/>
      <c r="C105" s="717" t="s">
        <v>76</v>
      </c>
      <c r="D105" s="711">
        <f>Bilans_E_AMS_Kyoto_run3_MTE!H329</f>
        <v>0</v>
      </c>
      <c r="E105" s="711">
        <f>Bilans_E_AMS_Kyoto_run3_MTE!I329</f>
        <v>0</v>
      </c>
      <c r="F105" s="711">
        <f>Bilans_E_AMS_Kyoto_run3_MTE!J329</f>
        <v>0</v>
      </c>
      <c r="G105" s="711">
        <f>Bilans_E_AMS_Kyoto_run3_MTE!K329</f>
        <v>0</v>
      </c>
      <c r="H105" s="711">
        <f>Bilans_E_AMS_Kyoto_run3_MTE!L329</f>
        <v>2.5945073025125769</v>
      </c>
      <c r="I105" s="711">
        <f>Bilans_E_AMS_Kyoto_run3_MTE!M329</f>
        <v>0</v>
      </c>
      <c r="J105" s="711">
        <f>Bilans_E_AMS_Kyoto_run3_MTE!N329</f>
        <v>0</v>
      </c>
      <c r="K105" s="711">
        <f>Bilans_E_AMS_Kyoto_run3_MTE!O329</f>
        <v>0</v>
      </c>
      <c r="L105" s="711">
        <f>Bilans_E_AMS_Kyoto_run3_MTE!P329</f>
        <v>0</v>
      </c>
      <c r="M105" s="711">
        <f>Bilans_E_AMS_Kyoto_run3_MTE!Q329</f>
        <v>0</v>
      </c>
      <c r="N105" s="711">
        <f>Bilans_E_AMS_Kyoto_run3_MTE!R329</f>
        <v>0</v>
      </c>
      <c r="O105" s="711">
        <f>Bilans_E_AMS_Kyoto_run3_MTE!S329</f>
        <v>0.56952599323446806</v>
      </c>
      <c r="P105" s="711">
        <f>Bilans_E_AMS_Kyoto_run3_MTE!T329+Bilans_E_AMS_Kyoto_run3_MTE!U329</f>
        <v>0</v>
      </c>
      <c r="Q105" s="711">
        <f>Bilans_E_AMS_Kyoto_run3_MTE!V329</f>
        <v>0</v>
      </c>
      <c r="R105" s="711">
        <f>Bilans_E_AMS_Kyoto_run3_MTE!W329</f>
        <v>49.185048043405324</v>
      </c>
      <c r="S105" s="711">
        <f>Bilans_E_AMS_Kyoto_run3_MTE!X329</f>
        <v>6.5593635854558805</v>
      </c>
      <c r="T105" s="711">
        <f>Bilans_E_AMS_Kyoto_run3_MTE!Y329</f>
        <v>0</v>
      </c>
      <c r="U105" s="711">
        <f>Bilans_E_AMS_Kyoto_run3_MTE!Z329</f>
        <v>58.908444924608247</v>
      </c>
      <c r="V105" s="701"/>
      <c r="W105" s="701"/>
    </row>
    <row r="106" spans="1:23" x14ac:dyDescent="0.25">
      <c r="A106" s="701" t="s">
        <v>506</v>
      </c>
      <c r="B106" s="701"/>
      <c r="C106" s="713" t="s">
        <v>77</v>
      </c>
      <c r="D106" s="714">
        <f>Bilans_E_AMS_Kyoto_run3_MTE!H330</f>
        <v>16.012053710937501</v>
      </c>
      <c r="E106" s="714">
        <f>Bilans_E_AMS_Kyoto_run3_MTE!I330</f>
        <v>347.84718490138255</v>
      </c>
      <c r="F106" s="714">
        <f>Bilans_E_AMS_Kyoto_run3_MTE!J330</f>
        <v>-326.94053773335889</v>
      </c>
      <c r="G106" s="714">
        <f>Bilans_E_AMS_Kyoto_run3_MTE!K330</f>
        <v>-2.3373161064337085</v>
      </c>
      <c r="H106" s="714">
        <f>Bilans_E_AMS_Kyoto_run3_MTE!L330</f>
        <v>54.512372701408424</v>
      </c>
      <c r="I106" s="714">
        <f>Bilans_E_AMS_Kyoto_run3_MTE!M330</f>
        <v>-0.4644109471147348</v>
      </c>
      <c r="J106" s="714">
        <f>Bilans_E_AMS_Kyoto_run3_MTE!N330</f>
        <v>1165.8657454545453</v>
      </c>
      <c r="K106" s="714">
        <f>Bilans_E_AMS_Kyoto_run3_MTE!O330</f>
        <v>264.18035739757391</v>
      </c>
      <c r="L106" s="714">
        <f>Bilans_E_AMS_Kyoto_run3_MTE!P330</f>
        <v>204.68827899039843</v>
      </c>
      <c r="M106" s="714">
        <f>Bilans_E_AMS_Kyoto_run3_MTE!Q330</f>
        <v>41.589724229008233</v>
      </c>
      <c r="N106" s="714">
        <f>Bilans_E_AMS_Kyoto_run3_MTE!R330</f>
        <v>-43.720318653498758</v>
      </c>
      <c r="O106" s="714">
        <f>Bilans_E_AMS_Kyoto_run3_MTE!S330</f>
        <v>-31.033642891829015</v>
      </c>
      <c r="P106" s="714">
        <f>Bilans_E_AMS_Kyoto_run3_MTE!T330+Bilans_E_AMS_Kyoto_run3_MTE!U330</f>
        <v>10.417559156149544</v>
      </c>
      <c r="Q106" s="714">
        <f>Bilans_E_AMS_Kyoto_run3_MTE!V330</f>
        <v>14.14239173681338</v>
      </c>
      <c r="R106" s="714">
        <f>Bilans_E_AMS_Kyoto_run3_MTE!W330</f>
        <v>-574.82520213641897</v>
      </c>
      <c r="S106" s="714">
        <f>Bilans_E_AMS_Kyoto_run3_MTE!X330</f>
        <v>-78.030708028784062</v>
      </c>
      <c r="T106" s="714">
        <f>Bilans_E_AMS_Kyoto_run3_MTE!Y330</f>
        <v>-9.8902693120893517</v>
      </c>
      <c r="U106" s="714">
        <f>Bilans_E_AMS_Kyoto_run3_MTE!Z330</f>
        <v>1052.0132624686898</v>
      </c>
      <c r="V106" s="701"/>
      <c r="W106" s="701"/>
    </row>
    <row r="107" spans="1:23" x14ac:dyDescent="0.25">
      <c r="A107" s="701"/>
      <c r="B107" s="701"/>
      <c r="C107" s="715"/>
      <c r="D107" s="716"/>
      <c r="E107" s="716"/>
      <c r="F107" s="716"/>
      <c r="G107" s="716"/>
      <c r="H107" s="716"/>
      <c r="I107" s="716"/>
      <c r="J107" s="716"/>
      <c r="K107" s="716"/>
      <c r="L107" s="716"/>
      <c r="M107" s="716"/>
      <c r="N107" s="716"/>
      <c r="O107" s="716"/>
      <c r="P107" s="716">
        <f>Bilans_E_AMS_Kyoto_run3_MTE!T331+Bilans_E_AMS_Kyoto_run3_MTE!U331</f>
        <v>0</v>
      </c>
      <c r="Q107" s="716"/>
      <c r="R107" s="716"/>
      <c r="S107" s="716"/>
      <c r="T107" s="716"/>
      <c r="U107" s="716"/>
      <c r="V107" s="701"/>
      <c r="W107" s="701"/>
    </row>
    <row r="108" spans="1:23" x14ac:dyDescent="0.25">
      <c r="A108" s="701" t="s">
        <v>507</v>
      </c>
      <c r="B108" s="701"/>
      <c r="C108" s="717" t="s">
        <v>78</v>
      </c>
      <c r="D108" s="711">
        <f>Bilans_E_AMS_Kyoto_run3_MTE!H332</f>
        <v>0.72191845703125002</v>
      </c>
      <c r="E108" s="711">
        <f>Bilans_E_AMS_Kyoto_run3_MTE!I332</f>
        <v>0</v>
      </c>
      <c r="F108" s="711">
        <f>Bilans_E_AMS_Kyoto_run3_MTE!J332</f>
        <v>8.6275641405514261</v>
      </c>
      <c r="G108" s="711">
        <f>Bilans_E_AMS_Kyoto_run3_MTE!K332</f>
        <v>0</v>
      </c>
      <c r="H108" s="711">
        <f>Bilans_E_AMS_Kyoto_run3_MTE!L332</f>
        <v>60.118843099403179</v>
      </c>
      <c r="I108" s="711">
        <f>Bilans_E_AMS_Kyoto_run3_MTE!M332</f>
        <v>0</v>
      </c>
      <c r="J108" s="711">
        <f>Bilans_E_AMS_Kyoto_run3_MTE!N332</f>
        <v>0</v>
      </c>
      <c r="K108" s="711">
        <f>Bilans_E_AMS_Kyoto_run3_MTE!O332</f>
        <v>0</v>
      </c>
      <c r="L108" s="711">
        <f>Bilans_E_AMS_Kyoto_run3_MTE!P332</f>
        <v>39.297286819626784</v>
      </c>
      <c r="M108" s="711">
        <f>Bilans_E_AMS_Kyoto_run3_MTE!Q332</f>
        <v>9.815547509212319</v>
      </c>
      <c r="N108" s="711">
        <f>Bilans_E_AMS_Kyoto_run3_MTE!R332</f>
        <v>0.93232860735581835</v>
      </c>
      <c r="O108" s="711">
        <f>Bilans_E_AMS_Kyoto_run3_MTE!S332</f>
        <v>13.22814546550425</v>
      </c>
      <c r="P108" s="711">
        <f>Bilans_E_AMS_Kyoto_run3_MTE!T332+Bilans_E_AMS_Kyoto_run3_MTE!U332</f>
        <v>6.7746367187500001</v>
      </c>
      <c r="Q108" s="711">
        <f>Bilans_E_AMS_Kyoto_run3_MTE!V332</f>
        <v>6.3863689419622622E-4</v>
      </c>
      <c r="R108" s="711">
        <f>Bilans_E_AMS_Kyoto_run3_MTE!W332</f>
        <v>152.36640904233067</v>
      </c>
      <c r="S108" s="711">
        <f>Bilans_E_AMS_Kyoto_run3_MTE!X332</f>
        <v>19.594153264133379</v>
      </c>
      <c r="T108" s="711">
        <f>Bilans_E_AMS_Kyoto_run3_MTE!Y332</f>
        <v>5.5380712890624997</v>
      </c>
      <c r="U108" s="711">
        <f>Bilans_E_AMS_Kyoto_run3_MTE!Z332</f>
        <v>317.01554304985569</v>
      </c>
      <c r="V108" s="701"/>
      <c r="W108" s="701"/>
    </row>
    <row r="109" spans="1:23" x14ac:dyDescent="0.25">
      <c r="A109" s="701" t="s">
        <v>508</v>
      </c>
      <c r="B109" s="701"/>
      <c r="C109" s="717" t="s">
        <v>79</v>
      </c>
      <c r="D109" s="711">
        <f>Bilans_E_AMS_Kyoto_run3_MTE!H333</f>
        <v>0</v>
      </c>
      <c r="E109" s="711">
        <f>Bilans_E_AMS_Kyoto_run3_MTE!I333</f>
        <v>0</v>
      </c>
      <c r="F109" s="711">
        <f>Bilans_E_AMS_Kyoto_run3_MTE!J333</f>
        <v>257.95105394329198</v>
      </c>
      <c r="G109" s="711">
        <f>Bilans_E_AMS_Kyoto_run3_MTE!K333</f>
        <v>0</v>
      </c>
      <c r="H109" s="711">
        <f>Bilans_E_AMS_Kyoto_run3_MTE!L333</f>
        <v>5.8847606933541083</v>
      </c>
      <c r="I109" s="711">
        <f>Bilans_E_AMS_Kyoto_run3_MTE!M333</f>
        <v>0</v>
      </c>
      <c r="J109" s="711">
        <f>Bilans_E_AMS_Kyoto_run3_MTE!N333</f>
        <v>0</v>
      </c>
      <c r="K109" s="711">
        <f>Bilans_E_AMS_Kyoto_run3_MTE!O333</f>
        <v>0</v>
      </c>
      <c r="L109" s="711">
        <f>Bilans_E_AMS_Kyoto_run3_MTE!P333</f>
        <v>0</v>
      </c>
      <c r="M109" s="711">
        <f>Bilans_E_AMS_Kyoto_run3_MTE!Q333</f>
        <v>0</v>
      </c>
      <c r="N109" s="711">
        <f>Bilans_E_AMS_Kyoto_run3_MTE!R333</f>
        <v>39.412078743974838</v>
      </c>
      <c r="O109" s="711">
        <f>Bilans_E_AMS_Kyoto_run3_MTE!S333</f>
        <v>1.2917767375655358</v>
      </c>
      <c r="P109" s="711">
        <f>Bilans_E_AMS_Kyoto_run3_MTE!T333+Bilans_E_AMS_Kyoto_run3_MTE!U333</f>
        <v>0</v>
      </c>
      <c r="Q109" s="711">
        <f>Bilans_E_AMS_Kyoto_run3_MTE!V333</f>
        <v>0</v>
      </c>
      <c r="R109" s="711">
        <f>Bilans_E_AMS_Kyoto_run3_MTE!W333</f>
        <v>52.662599620962098</v>
      </c>
      <c r="S109" s="711">
        <f>Bilans_E_AMS_Kyoto_run3_MTE!X333</f>
        <v>0</v>
      </c>
      <c r="T109" s="711">
        <f>Bilans_E_AMS_Kyoto_run3_MTE!Y333</f>
        <v>1.8899673831959209</v>
      </c>
      <c r="U109" s="711">
        <f>Bilans_E_AMS_Kyoto_run3_MTE!Z333</f>
        <v>359.09223712234456</v>
      </c>
      <c r="V109" s="701"/>
      <c r="W109" s="701"/>
    </row>
    <row r="110" spans="1:23" x14ac:dyDescent="0.25">
      <c r="A110" s="701" t="s">
        <v>509</v>
      </c>
      <c r="B110" s="701"/>
      <c r="C110" s="717" t="s">
        <v>80</v>
      </c>
      <c r="D110" s="711">
        <f>Bilans_E_AMS_Kyoto_run3_MTE!H334</f>
        <v>0</v>
      </c>
      <c r="E110" s="711">
        <f>Bilans_E_AMS_Kyoto_run3_MTE!I334</f>
        <v>0</v>
      </c>
      <c r="F110" s="711">
        <f>Bilans_E_AMS_Kyoto_run3_MTE!J334</f>
        <v>4.4871361996085151</v>
      </c>
      <c r="G110" s="711">
        <f>Bilans_E_AMS_Kyoto_run3_MTE!K334</f>
        <v>0</v>
      </c>
      <c r="H110" s="711">
        <f>Bilans_E_AMS_Kyoto_run3_MTE!L334</f>
        <v>56.445665913049908</v>
      </c>
      <c r="I110" s="711">
        <f>Bilans_E_AMS_Kyoto_run3_MTE!M334</f>
        <v>0</v>
      </c>
      <c r="J110" s="711">
        <f>Bilans_E_AMS_Kyoto_run3_MTE!N334</f>
        <v>0</v>
      </c>
      <c r="K110" s="711">
        <f>Bilans_E_AMS_Kyoto_run3_MTE!O334</f>
        <v>0</v>
      </c>
      <c r="L110" s="711">
        <f>Bilans_E_AMS_Kyoto_run3_MTE!P334</f>
        <v>53.14163083232755</v>
      </c>
      <c r="M110" s="711">
        <f>Bilans_E_AMS_Kyoto_run3_MTE!Q334</f>
        <v>0</v>
      </c>
      <c r="N110" s="711">
        <f>Bilans_E_AMS_Kyoto_run3_MTE!R334</f>
        <v>0</v>
      </c>
      <c r="O110" s="711">
        <f>Bilans_E_AMS_Kyoto_run3_MTE!S334</f>
        <v>12.390512029693882</v>
      </c>
      <c r="P110" s="711">
        <f>Bilans_E_AMS_Kyoto_run3_MTE!T334+Bilans_E_AMS_Kyoto_run3_MTE!U334</f>
        <v>95.189251128952151</v>
      </c>
      <c r="Q110" s="711">
        <f>Bilans_E_AMS_Kyoto_run3_MTE!V334</f>
        <v>7.3206839966503274</v>
      </c>
      <c r="R110" s="711">
        <f>Bilans_E_AMS_Kyoto_run3_MTE!W334</f>
        <v>156.27303977046446</v>
      </c>
      <c r="S110" s="711">
        <f>Bilans_E_AMS_Kyoto_run3_MTE!X334</f>
        <v>35.751867080837265</v>
      </c>
      <c r="T110" s="711">
        <f>Bilans_E_AMS_Kyoto_run3_MTE!Y334</f>
        <v>0</v>
      </c>
      <c r="U110" s="711">
        <f>Bilans_E_AMS_Kyoto_run3_MTE!Z334</f>
        <v>420.99978695158404</v>
      </c>
      <c r="V110" s="701"/>
      <c r="W110" s="701"/>
    </row>
    <row r="111" spans="1:23" x14ac:dyDescent="0.25">
      <c r="A111" s="701" t="s">
        <v>510</v>
      </c>
      <c r="B111" s="701"/>
      <c r="C111" s="717" t="s">
        <v>81</v>
      </c>
      <c r="D111" s="711">
        <f>Bilans_E_AMS_Kyoto_run3_MTE!H335</f>
        <v>0</v>
      </c>
      <c r="E111" s="711">
        <f>Bilans_E_AMS_Kyoto_run3_MTE!I335</f>
        <v>0</v>
      </c>
      <c r="F111" s="711">
        <f>Bilans_E_AMS_Kyoto_run3_MTE!J335</f>
        <v>2.7608540872674436</v>
      </c>
      <c r="G111" s="711">
        <f>Bilans_E_AMS_Kyoto_run3_MTE!K335</f>
        <v>0</v>
      </c>
      <c r="H111" s="711">
        <f>Bilans_E_AMS_Kyoto_run3_MTE!L335</f>
        <v>36.954753731916043</v>
      </c>
      <c r="I111" s="711">
        <f>Bilans_E_AMS_Kyoto_run3_MTE!M335</f>
        <v>0</v>
      </c>
      <c r="J111" s="711">
        <f>Bilans_E_AMS_Kyoto_run3_MTE!N335</f>
        <v>0</v>
      </c>
      <c r="K111" s="711">
        <f>Bilans_E_AMS_Kyoto_run3_MTE!O335</f>
        <v>0</v>
      </c>
      <c r="L111" s="711">
        <f>Bilans_E_AMS_Kyoto_run3_MTE!P335</f>
        <v>0.62415819926103555</v>
      </c>
      <c r="M111" s="711">
        <f>Bilans_E_AMS_Kyoto_run3_MTE!Q335</f>
        <v>0</v>
      </c>
      <c r="N111" s="711">
        <f>Bilans_E_AMS_Kyoto_run3_MTE!R335</f>
        <v>0</v>
      </c>
      <c r="O111" s="711">
        <f>Bilans_E_AMS_Kyoto_run3_MTE!S335</f>
        <v>8.1120191118840097</v>
      </c>
      <c r="P111" s="711">
        <f>Bilans_E_AMS_Kyoto_run3_MTE!T335+Bilans_E_AMS_Kyoto_run3_MTE!U335</f>
        <v>38.431536860359955</v>
      </c>
      <c r="Q111" s="711">
        <f>Bilans_E_AMS_Kyoto_run3_MTE!V335</f>
        <v>7.0322041232131749</v>
      </c>
      <c r="R111" s="711">
        <f>Bilans_E_AMS_Kyoto_run3_MTE!W335</f>
        <v>121.89305236123509</v>
      </c>
      <c r="S111" s="711">
        <f>Bilans_E_AMS_Kyoto_run3_MTE!X335</f>
        <v>22.684657409761833</v>
      </c>
      <c r="T111" s="711">
        <f>Bilans_E_AMS_Kyoto_run3_MTE!Y335</f>
        <v>0</v>
      </c>
      <c r="U111" s="711">
        <f>Bilans_E_AMS_Kyoto_run3_MTE!Z335</f>
        <v>238.49323588489858</v>
      </c>
      <c r="V111" s="701"/>
      <c r="W111" s="701"/>
    </row>
    <row r="112" spans="1:23" x14ac:dyDescent="0.25">
      <c r="A112" s="701" t="s">
        <v>511</v>
      </c>
      <c r="B112" s="701"/>
      <c r="C112" s="717" t="s">
        <v>82</v>
      </c>
      <c r="D112" s="711">
        <f>Bilans_E_AMS_Kyoto_run3_MTE!H336</f>
        <v>0</v>
      </c>
      <c r="E112" s="711">
        <f>Bilans_E_AMS_Kyoto_run3_MTE!I336</f>
        <v>0</v>
      </c>
      <c r="F112" s="711">
        <f>Bilans_E_AMS_Kyoto_run3_MTE!J336</f>
        <v>25.562238728089401</v>
      </c>
      <c r="G112" s="711">
        <f>Bilans_E_AMS_Kyoto_run3_MTE!K336</f>
        <v>0</v>
      </c>
      <c r="H112" s="711">
        <f>Bilans_E_AMS_Kyoto_run3_MTE!L336</f>
        <v>1.2995823950376393</v>
      </c>
      <c r="I112" s="711">
        <f>Bilans_E_AMS_Kyoto_run3_MTE!M336</f>
        <v>0</v>
      </c>
      <c r="J112" s="711">
        <f>Bilans_E_AMS_Kyoto_run3_MTE!N336</f>
        <v>0</v>
      </c>
      <c r="K112" s="711">
        <f>Bilans_E_AMS_Kyoto_run3_MTE!O336</f>
        <v>0</v>
      </c>
      <c r="L112" s="711">
        <f>Bilans_E_AMS_Kyoto_run3_MTE!P336</f>
        <v>12.365635061857649</v>
      </c>
      <c r="M112" s="711">
        <f>Bilans_E_AMS_Kyoto_run3_MTE!Q336</f>
        <v>0</v>
      </c>
      <c r="N112" s="711">
        <f>Bilans_E_AMS_Kyoto_run3_MTE!R336</f>
        <v>5.004323315399402</v>
      </c>
      <c r="O112" s="711">
        <f>Bilans_E_AMS_Kyoto_run3_MTE!S336</f>
        <v>0.28527418427655493</v>
      </c>
      <c r="P112" s="711">
        <f>Bilans_E_AMS_Kyoto_run3_MTE!T336+Bilans_E_AMS_Kyoto_run3_MTE!U336</f>
        <v>0.65</v>
      </c>
      <c r="Q112" s="711">
        <f>Bilans_E_AMS_Kyoto_run3_MTE!V336</f>
        <v>0.82781531321025892</v>
      </c>
      <c r="R112" s="711">
        <f>Bilans_E_AMS_Kyoto_run3_MTE!W336</f>
        <v>8.2928422498969727</v>
      </c>
      <c r="S112" s="711">
        <f>Bilans_E_AMS_Kyoto_run3_MTE!X336</f>
        <v>0</v>
      </c>
      <c r="T112" s="711">
        <f>Bilans_E_AMS_Kyoto_run3_MTE!Y336</f>
        <v>0.25343345849890081</v>
      </c>
      <c r="U112" s="711">
        <f>Bilans_E_AMS_Kyoto_run3_MTE!Z336</f>
        <v>54.541144706266778</v>
      </c>
      <c r="V112" s="701"/>
      <c r="W112" s="701"/>
    </row>
    <row r="113" spans="1:23" x14ac:dyDescent="0.25">
      <c r="A113" s="701" t="s">
        <v>512</v>
      </c>
      <c r="B113" s="701"/>
      <c r="C113" s="717" t="s">
        <v>354</v>
      </c>
      <c r="D113" s="711">
        <f>Bilans_E_AMS_Kyoto_run3_MTE!H337</f>
        <v>0</v>
      </c>
      <c r="E113" s="711">
        <f>Bilans_E_AMS_Kyoto_run3_MTE!I337</f>
        <v>0</v>
      </c>
      <c r="F113" s="711">
        <f>Bilans_E_AMS_Kyoto_run3_MTE!J337</f>
        <v>0</v>
      </c>
      <c r="G113" s="711">
        <f>Bilans_E_AMS_Kyoto_run3_MTE!K337</f>
        <v>0</v>
      </c>
      <c r="H113" s="711">
        <f>Bilans_E_AMS_Kyoto_run3_MTE!L337</f>
        <v>0</v>
      </c>
      <c r="I113" s="711">
        <f>Bilans_E_AMS_Kyoto_run3_MTE!M337</f>
        <v>0</v>
      </c>
      <c r="J113" s="711">
        <f>Bilans_E_AMS_Kyoto_run3_MTE!N337</f>
        <v>0</v>
      </c>
      <c r="K113" s="711">
        <f>Bilans_E_AMS_Kyoto_run3_MTE!O337</f>
        <v>0</v>
      </c>
      <c r="L113" s="711">
        <f>Bilans_E_AMS_Kyoto_run3_MTE!P337</f>
        <v>0</v>
      </c>
      <c r="M113" s="711">
        <f>Bilans_E_AMS_Kyoto_run3_MTE!Q337</f>
        <v>0</v>
      </c>
      <c r="N113" s="711">
        <f>Bilans_E_AMS_Kyoto_run3_MTE!R337</f>
        <v>0</v>
      </c>
      <c r="O113" s="711">
        <f>Bilans_E_AMS_Kyoto_run3_MTE!S337</f>
        <v>0</v>
      </c>
      <c r="P113" s="711">
        <f>Bilans_E_AMS_Kyoto_run3_MTE!T337+Bilans_E_AMS_Kyoto_run3_MTE!U337</f>
        <v>0</v>
      </c>
      <c r="Q113" s="711">
        <f>Bilans_E_AMS_Kyoto_run3_MTE!V337</f>
        <v>0</v>
      </c>
      <c r="R113" s="711">
        <f>Bilans_E_AMS_Kyoto_run3_MTE!W337</f>
        <v>0</v>
      </c>
      <c r="S113" s="711">
        <f>Bilans_E_AMS_Kyoto_run3_MTE!X337</f>
        <v>0</v>
      </c>
      <c r="T113" s="711">
        <f>Bilans_E_AMS_Kyoto_run3_MTE!Y337</f>
        <v>0</v>
      </c>
      <c r="U113" s="711">
        <f>Bilans_E_AMS_Kyoto_run3_MTE!Z337</f>
        <v>0</v>
      </c>
      <c r="V113" s="701"/>
      <c r="W113" s="701"/>
    </row>
    <row r="114" spans="1:23" x14ac:dyDescent="0.25">
      <c r="A114" s="701" t="s">
        <v>513</v>
      </c>
      <c r="B114" s="701"/>
      <c r="C114" s="713" t="s">
        <v>83</v>
      </c>
      <c r="D114" s="714">
        <f>Bilans_E_AMS_Kyoto_run3_MTE!H338</f>
        <v>0.72191845703125002</v>
      </c>
      <c r="E114" s="714">
        <f>Bilans_E_AMS_Kyoto_run3_MTE!I338</f>
        <v>0</v>
      </c>
      <c r="F114" s="714">
        <f>Bilans_E_AMS_Kyoto_run3_MTE!J338</f>
        <v>299.38884709880881</v>
      </c>
      <c r="G114" s="714">
        <f>Bilans_E_AMS_Kyoto_run3_MTE!K338</f>
        <v>0</v>
      </c>
      <c r="H114" s="714">
        <f>Bilans_E_AMS_Kyoto_run3_MTE!L338</f>
        <v>160.7036058327609</v>
      </c>
      <c r="I114" s="714">
        <f>Bilans_E_AMS_Kyoto_run3_MTE!M338</f>
        <v>0</v>
      </c>
      <c r="J114" s="714">
        <f>Bilans_E_AMS_Kyoto_run3_MTE!N338</f>
        <v>0</v>
      </c>
      <c r="K114" s="714">
        <f>Bilans_E_AMS_Kyoto_run3_MTE!O338</f>
        <v>0</v>
      </c>
      <c r="L114" s="714">
        <f>Bilans_E_AMS_Kyoto_run3_MTE!P338</f>
        <v>105.42871091307302</v>
      </c>
      <c r="M114" s="714">
        <f>Bilans_E_AMS_Kyoto_run3_MTE!Q338</f>
        <v>9.815547509212319</v>
      </c>
      <c r="N114" s="714">
        <f>Bilans_E_AMS_Kyoto_run3_MTE!R338</f>
        <v>45.348730666730063</v>
      </c>
      <c r="O114" s="714">
        <f>Bilans_E_AMS_Kyoto_run3_MTE!S338</f>
        <v>35.307727528924232</v>
      </c>
      <c r="P114" s="714">
        <f>Bilans_E_AMS_Kyoto_run3_MTE!T338+Bilans_E_AMS_Kyoto_run3_MTE!U338</f>
        <v>141.04542470806211</v>
      </c>
      <c r="Q114" s="714">
        <f>Bilans_E_AMS_Kyoto_run3_MTE!V338</f>
        <v>15.181342069967958</v>
      </c>
      <c r="R114" s="714">
        <f>Bilans_E_AMS_Kyoto_run3_MTE!W338</f>
        <v>491.48794304488933</v>
      </c>
      <c r="S114" s="714">
        <f>Bilans_E_AMS_Kyoto_run3_MTE!X338</f>
        <v>78.030677754732466</v>
      </c>
      <c r="T114" s="714">
        <f>Bilans_E_AMS_Kyoto_run3_MTE!Y338</f>
        <v>7.6814721307573208</v>
      </c>
      <c r="U114" s="714">
        <f>Bilans_E_AMS_Kyoto_run3_MTE!Z338</f>
        <v>1390.1419477149495</v>
      </c>
      <c r="V114" s="701"/>
      <c r="W114" s="701"/>
    </row>
    <row r="115" spans="1:23" x14ac:dyDescent="0.25">
      <c r="A115" s="701" t="s">
        <v>514</v>
      </c>
      <c r="B115" s="701"/>
      <c r="C115" s="710" t="s">
        <v>84</v>
      </c>
      <c r="D115" s="711">
        <f>Bilans_E_AMS_Kyoto_run3_MTE!H339</f>
        <v>0</v>
      </c>
      <c r="E115" s="711">
        <f>Bilans_E_AMS_Kyoto_run3_MTE!I339</f>
        <v>0</v>
      </c>
      <c r="F115" s="711">
        <f>Bilans_E_AMS_Kyoto_run3_MTE!J339</f>
        <v>111.11471121185716</v>
      </c>
      <c r="G115" s="711">
        <f>Bilans_E_AMS_Kyoto_run3_MTE!K339</f>
        <v>0.79070039752491883</v>
      </c>
      <c r="H115" s="711">
        <f>Bilans_E_AMS_Kyoto_run3_MTE!L339</f>
        <v>13.201723871248829</v>
      </c>
      <c r="I115" s="711">
        <f>Bilans_E_AMS_Kyoto_run3_MTE!M339</f>
        <v>0</v>
      </c>
      <c r="J115" s="711">
        <f>Bilans_E_AMS_Kyoto_run3_MTE!N339</f>
        <v>0</v>
      </c>
      <c r="K115" s="711">
        <f>Bilans_E_AMS_Kyoto_run3_MTE!O339</f>
        <v>0</v>
      </c>
      <c r="L115" s="711">
        <f>Bilans_E_AMS_Kyoto_run3_MTE!P339</f>
        <v>0.22001800269575944</v>
      </c>
      <c r="M115" s="711">
        <f>Bilans_E_AMS_Kyoto_run3_MTE!Q339</f>
        <v>0</v>
      </c>
      <c r="N115" s="711">
        <f>Bilans_E_AMS_Kyoto_run3_MTE!R339</f>
        <v>1.3493655310578188</v>
      </c>
      <c r="O115" s="711">
        <f>Bilans_E_AMS_Kyoto_run3_MTE!S339</f>
        <v>0</v>
      </c>
      <c r="P115" s="711">
        <f>Bilans_E_AMS_Kyoto_run3_MTE!T339+Bilans_E_AMS_Kyoto_run3_MTE!U339</f>
        <v>0</v>
      </c>
      <c r="Q115" s="711">
        <f>Bilans_E_AMS_Kyoto_run3_MTE!V339</f>
        <v>0</v>
      </c>
      <c r="R115" s="711">
        <f>Bilans_E_AMS_Kyoto_run3_MTE!W339</f>
        <v>0</v>
      </c>
      <c r="S115" s="711">
        <f>Bilans_E_AMS_Kyoto_run3_MTE!X339</f>
        <v>0</v>
      </c>
      <c r="T115" s="711">
        <f>Bilans_E_AMS_Kyoto_run3_MTE!Y339</f>
        <v>1.3469384191833629</v>
      </c>
      <c r="U115" s="711">
        <f>Bilans_E_AMS_Kyoto_run3_MTE!Z339</f>
        <v>128.02345743356784</v>
      </c>
      <c r="V115" s="701"/>
      <c r="W115" s="701"/>
    </row>
    <row r="116" spans="1:23" x14ac:dyDescent="0.25">
      <c r="A116" s="701" t="s">
        <v>515</v>
      </c>
      <c r="B116" s="701"/>
      <c r="C116" s="713" t="s">
        <v>85</v>
      </c>
      <c r="D116" s="714">
        <f>Bilans_E_AMS_Kyoto_run3_MTE!H340</f>
        <v>0.72191845703125002</v>
      </c>
      <c r="E116" s="714">
        <f>Bilans_E_AMS_Kyoto_run3_MTE!I340</f>
        <v>0</v>
      </c>
      <c r="F116" s="714">
        <f>Bilans_E_AMS_Kyoto_run3_MTE!J340</f>
        <v>410.50355831066599</v>
      </c>
      <c r="G116" s="714">
        <f>Bilans_E_AMS_Kyoto_run3_MTE!K340</f>
        <v>0.79070039752491883</v>
      </c>
      <c r="H116" s="714">
        <f>Bilans_E_AMS_Kyoto_run3_MTE!L340</f>
        <v>173.90532970400972</v>
      </c>
      <c r="I116" s="714">
        <f>Bilans_E_AMS_Kyoto_run3_MTE!M340</f>
        <v>0</v>
      </c>
      <c r="J116" s="714">
        <f>Bilans_E_AMS_Kyoto_run3_MTE!N340</f>
        <v>0</v>
      </c>
      <c r="K116" s="714">
        <f>Bilans_E_AMS_Kyoto_run3_MTE!O340</f>
        <v>0</v>
      </c>
      <c r="L116" s="714">
        <f>Bilans_E_AMS_Kyoto_run3_MTE!P340</f>
        <v>105.64872891576877</v>
      </c>
      <c r="M116" s="714">
        <f>Bilans_E_AMS_Kyoto_run3_MTE!Q340</f>
        <v>9.815547509212319</v>
      </c>
      <c r="N116" s="714">
        <f>Bilans_E_AMS_Kyoto_run3_MTE!R340</f>
        <v>46.698096197787883</v>
      </c>
      <c r="O116" s="714">
        <f>Bilans_E_AMS_Kyoto_run3_MTE!S340</f>
        <v>35.307727528924232</v>
      </c>
      <c r="P116" s="714">
        <f>Bilans_E_AMS_Kyoto_run3_MTE!T340+Bilans_E_AMS_Kyoto_run3_MTE!U340</f>
        <v>141.04542470806211</v>
      </c>
      <c r="Q116" s="714">
        <f>Bilans_E_AMS_Kyoto_run3_MTE!V340</f>
        <v>15.181342069967958</v>
      </c>
      <c r="R116" s="714">
        <f>Bilans_E_AMS_Kyoto_run3_MTE!W340</f>
        <v>491.48794304488933</v>
      </c>
      <c r="S116" s="714">
        <f>Bilans_E_AMS_Kyoto_run3_MTE!X340</f>
        <v>78.030677754732466</v>
      </c>
      <c r="T116" s="714">
        <f>Bilans_E_AMS_Kyoto_run3_MTE!Y340</f>
        <v>9.0284105499406841</v>
      </c>
      <c r="U116" s="714">
        <f>Bilans_E_AMS_Kyoto_run3_MTE!Z340</f>
        <v>1518.1654051485175</v>
      </c>
      <c r="V116" s="701"/>
      <c r="W116" s="701"/>
    </row>
    <row r="117" spans="1:23" x14ac:dyDescent="0.25">
      <c r="A117" s="701"/>
      <c r="B117" s="701"/>
      <c r="C117" s="701"/>
      <c r="D117" s="701">
        <f>Bilans_E_AMS_Kyoto_run3_MTE!H341</f>
        <v>0</v>
      </c>
      <c r="E117" s="701">
        <f>Bilans_E_AMS_Kyoto_run3_MTE!I341</f>
        <v>0</v>
      </c>
      <c r="F117" s="701">
        <f>Bilans_E_AMS_Kyoto_run3_MTE!J341</f>
        <v>0</v>
      </c>
      <c r="G117" s="701">
        <f>Bilans_E_AMS_Kyoto_run3_MTE!K341</f>
        <v>0</v>
      </c>
      <c r="H117" s="701">
        <f>Bilans_E_AMS_Kyoto_run3_MTE!L341</f>
        <v>0</v>
      </c>
      <c r="I117" s="701">
        <f>Bilans_E_AMS_Kyoto_run3_MTE!M341</f>
        <v>0</v>
      </c>
      <c r="J117" s="701">
        <f>Bilans_E_AMS_Kyoto_run3_MTE!N341</f>
        <v>0</v>
      </c>
      <c r="K117" s="701">
        <f>Bilans_E_AMS_Kyoto_run3_MTE!O341</f>
        <v>0</v>
      </c>
      <c r="L117" s="701">
        <f>Bilans_E_AMS_Kyoto_run3_MTE!P341</f>
        <v>0</v>
      </c>
      <c r="M117" s="701">
        <f>Bilans_E_AMS_Kyoto_run3_MTE!Q341</f>
        <v>0</v>
      </c>
      <c r="N117" s="701">
        <f>Bilans_E_AMS_Kyoto_run3_MTE!R341</f>
        <v>-3.5527136788005009E-15</v>
      </c>
      <c r="O117" s="701">
        <f>Bilans_E_AMS_Kyoto_run3_MTE!S341</f>
        <v>7.9936057773011271E-15</v>
      </c>
      <c r="P117" s="701">
        <f>Bilans_E_AMS_Kyoto_run3_MTE!T341+Bilans_E_AMS_Kyoto_run3_MTE!U341</f>
        <v>0</v>
      </c>
      <c r="Q117" s="701">
        <f>Bilans_E_AMS_Kyoto_run3_MTE!V341</f>
        <v>0</v>
      </c>
      <c r="R117" s="701">
        <f>Bilans_E_AMS_Kyoto_run3_MTE!W341</f>
        <v>0</v>
      </c>
      <c r="S117" s="701">
        <f>Bilans_E_AMS_Kyoto_run3_MTE!X341</f>
        <v>-3.0274051596279605E-5</v>
      </c>
      <c r="T117" s="701">
        <f>Bilans_E_AMS_Kyoto_run3_MTE!Y341</f>
        <v>8.8817841970012523E-16</v>
      </c>
      <c r="U117" s="701">
        <f>Bilans_E_AMS_Kyoto_run3_MTE!Z341</f>
        <v>-3.0274051823653281E-5</v>
      </c>
      <c r="V117" s="701"/>
      <c r="W117" s="701"/>
    </row>
    <row r="118" spans="1:23" x14ac:dyDescent="0.25">
      <c r="A118" s="701"/>
      <c r="B118" s="701"/>
      <c r="C118" s="701"/>
      <c r="D118" s="701"/>
      <c r="E118" s="701"/>
      <c r="F118" s="701"/>
      <c r="G118" s="701"/>
      <c r="H118" s="701"/>
      <c r="I118" s="701"/>
      <c r="J118" s="701"/>
      <c r="K118" s="701"/>
      <c r="L118" s="701"/>
      <c r="M118" s="701"/>
      <c r="N118" s="701"/>
      <c r="O118" s="701"/>
      <c r="P118" s="701"/>
      <c r="Q118" s="701"/>
      <c r="R118" s="701"/>
      <c r="S118" s="701"/>
      <c r="T118" s="701"/>
      <c r="U118" s="701"/>
      <c r="V118" s="701"/>
      <c r="W118" s="701"/>
    </row>
    <row r="119" spans="1:23" x14ac:dyDescent="0.25">
      <c r="A119" s="707"/>
      <c r="B119" s="707"/>
      <c r="C119" s="708" t="s">
        <v>358</v>
      </c>
      <c r="D119" s="707"/>
      <c r="E119" s="707"/>
      <c r="F119" s="707"/>
      <c r="G119" s="707"/>
      <c r="H119" s="707"/>
      <c r="I119" s="707"/>
      <c r="J119" s="707"/>
      <c r="K119" s="707"/>
      <c r="L119" s="707"/>
      <c r="M119" s="707"/>
      <c r="N119" s="707"/>
      <c r="O119" s="707"/>
      <c r="P119" s="707"/>
      <c r="Q119" s="707"/>
      <c r="R119" s="707"/>
      <c r="S119" s="707"/>
      <c r="T119" s="707"/>
      <c r="U119" s="707"/>
      <c r="V119" s="707"/>
      <c r="W119" s="707"/>
    </row>
    <row r="120" spans="1:23" x14ac:dyDescent="0.25">
      <c r="A120" s="701"/>
      <c r="B120" s="701"/>
      <c r="C120" s="701"/>
      <c r="D120" s="701"/>
      <c r="E120" s="701"/>
      <c r="F120" s="701"/>
      <c r="G120" s="701"/>
      <c r="H120" s="701"/>
      <c r="I120" s="701"/>
      <c r="J120" s="701"/>
      <c r="K120" s="701"/>
      <c r="L120" s="701"/>
      <c r="M120" s="701"/>
      <c r="N120" s="701"/>
      <c r="O120" s="701"/>
      <c r="P120" s="701"/>
      <c r="Q120" s="701"/>
      <c r="R120" s="701"/>
      <c r="S120" s="701"/>
      <c r="T120" s="701"/>
      <c r="U120" s="701"/>
      <c r="V120" s="701"/>
      <c r="W120" s="701"/>
    </row>
    <row r="121" spans="1:23" x14ac:dyDescent="0.25">
      <c r="A121" s="701"/>
      <c r="B121" s="701"/>
      <c r="C121" s="780" t="s">
        <v>128</v>
      </c>
      <c r="D121" s="775" t="s">
        <v>42</v>
      </c>
      <c r="E121" s="775" t="s">
        <v>52</v>
      </c>
      <c r="F121" s="775" t="s">
        <v>53</v>
      </c>
      <c r="G121" s="775" t="s">
        <v>482</v>
      </c>
      <c r="H121" s="775" t="s">
        <v>32</v>
      </c>
      <c r="I121" s="775" t="s">
        <v>483</v>
      </c>
      <c r="J121" s="775" t="s">
        <v>20</v>
      </c>
      <c r="K121" s="775" t="s">
        <v>55</v>
      </c>
      <c r="L121" s="777" t="s">
        <v>56</v>
      </c>
      <c r="M121" s="778"/>
      <c r="N121" s="778"/>
      <c r="O121" s="778"/>
      <c r="P121" s="778"/>
      <c r="Q121" s="779"/>
      <c r="R121" s="775" t="s">
        <v>57</v>
      </c>
      <c r="S121" s="775" t="s">
        <v>58</v>
      </c>
      <c r="T121" s="775" t="s">
        <v>31</v>
      </c>
      <c r="U121" s="775" t="s">
        <v>10</v>
      </c>
      <c r="V121" s="701"/>
      <c r="W121" s="701"/>
    </row>
    <row r="122" spans="1:23" ht="67.5" x14ac:dyDescent="0.25">
      <c r="A122" s="701" t="s">
        <v>486</v>
      </c>
      <c r="B122" s="701"/>
      <c r="C122" s="781"/>
      <c r="D122" s="776"/>
      <c r="E122" s="776"/>
      <c r="F122" s="776"/>
      <c r="G122" s="776"/>
      <c r="H122" s="776"/>
      <c r="I122" s="776"/>
      <c r="J122" s="776"/>
      <c r="K122" s="776"/>
      <c r="L122" s="709" t="s">
        <v>335</v>
      </c>
      <c r="M122" s="709" t="s">
        <v>40</v>
      </c>
      <c r="N122" s="709" t="s">
        <v>343</v>
      </c>
      <c r="O122" s="709" t="s">
        <v>344</v>
      </c>
      <c r="P122" s="719" t="s">
        <v>610</v>
      </c>
      <c r="Q122" s="709" t="s">
        <v>346</v>
      </c>
      <c r="R122" s="776"/>
      <c r="S122" s="776"/>
      <c r="T122" s="776"/>
      <c r="U122" s="776"/>
      <c r="V122" s="701"/>
      <c r="W122" s="701"/>
    </row>
    <row r="123" spans="1:23" x14ac:dyDescent="0.25">
      <c r="A123" s="701" t="s">
        <v>487</v>
      </c>
      <c r="B123" s="701"/>
      <c r="C123" s="710" t="s">
        <v>59</v>
      </c>
      <c r="D123" s="711">
        <f>Bilans_E_AMS_Kyoto_run3_MTE!H347</f>
        <v>0</v>
      </c>
      <c r="E123" s="711">
        <f>Bilans_E_AMS_Kyoto_run3_MTE!I347</f>
        <v>4.7683</v>
      </c>
      <c r="F123" s="711">
        <f>Bilans_E_AMS_Kyoto_run3_MTE!J347</f>
        <v>0</v>
      </c>
      <c r="G123" s="711">
        <f>Bilans_E_AMS_Kyoto_run3_MTE!K347</f>
        <v>0</v>
      </c>
      <c r="H123" s="711">
        <f>Bilans_E_AMS_Kyoto_run3_MTE!L347</f>
        <v>9.8855000000000012E-2</v>
      </c>
      <c r="I123" s="711">
        <f>Bilans_E_AMS_Kyoto_run3_MTE!M347</f>
        <v>0</v>
      </c>
      <c r="J123" s="711">
        <f>Bilans_E_AMS_Kyoto_run3_MTE!N347</f>
        <v>1162.7439999999999</v>
      </c>
      <c r="K123" s="711">
        <f>Bilans_E_AMS_Kyoto_run3_MTE!O347</f>
        <v>299.59846132130883</v>
      </c>
      <c r="L123" s="711">
        <f>Bilans_E_AMS_Kyoto_run3_MTE!P347</f>
        <v>319.01734498759413</v>
      </c>
      <c r="M123" s="711">
        <f>Bilans_E_AMS_Kyoto_run3_MTE!Q347</f>
        <v>51.348490193266947</v>
      </c>
      <c r="N123" s="711">
        <f>Bilans_E_AMS_Kyoto_run3_MTE!R347</f>
        <v>0</v>
      </c>
      <c r="O123" s="711">
        <f>Bilans_E_AMS_Kyoto_run3_MTE!S347</f>
        <v>0</v>
      </c>
      <c r="P123" s="711">
        <f>Bilans_E_AMS_Kyoto_run3_MTE!T347+Bilans_E_AMS_Kyoto_run3_MTE!U347</f>
        <v>171.39585425670967</v>
      </c>
      <c r="Q123" s="711">
        <f>Bilans_E_AMS_Kyoto_run3_MTE!V347</f>
        <v>34.299691863986411</v>
      </c>
      <c r="R123" s="711">
        <f>Bilans_E_AMS_Kyoto_run3_MTE!W347</f>
        <v>0</v>
      </c>
      <c r="S123" s="711">
        <f>Bilans_E_AMS_Kyoto_run3_MTE!X347</f>
        <v>0</v>
      </c>
      <c r="T123" s="711">
        <f>Bilans_E_AMS_Kyoto_run3_MTE!Y347</f>
        <v>0</v>
      </c>
      <c r="U123" s="711">
        <f>Bilans_E_AMS_Kyoto_run3_MTE!Z347</f>
        <v>2043.2709976228659</v>
      </c>
      <c r="V123" s="701"/>
      <c r="W123" s="701"/>
    </row>
    <row r="124" spans="1:23" x14ac:dyDescent="0.25">
      <c r="A124" s="701" t="s">
        <v>488</v>
      </c>
      <c r="B124" s="701"/>
      <c r="C124" s="710" t="s">
        <v>60</v>
      </c>
      <c r="D124" s="712">
        <f>Bilans_E_AMS_Kyoto_run3_MTE!H348</f>
        <v>13.10897607421875</v>
      </c>
      <c r="E124" s="712">
        <f>Bilans_E_AMS_Kyoto_run3_MTE!I348</f>
        <v>308.93113241881071</v>
      </c>
      <c r="F124" s="712">
        <f>Bilans_E_AMS_Kyoto_run3_MTE!J348</f>
        <v>121.08575062075425</v>
      </c>
      <c r="G124" s="712">
        <f>Bilans_E_AMS_Kyoto_run3_MTE!K348</f>
        <v>2.7939885995123079</v>
      </c>
      <c r="H124" s="712">
        <f>Bilans_E_AMS_Kyoto_run3_MTE!L348</f>
        <v>208.53518235241728</v>
      </c>
      <c r="I124" s="712">
        <f>Bilans_E_AMS_Kyoto_run3_MTE!M348</f>
        <v>0</v>
      </c>
      <c r="J124" s="712">
        <f>Bilans_E_AMS_Kyoto_run3_MTE!N348</f>
        <v>0</v>
      </c>
      <c r="K124" s="712">
        <f>Bilans_E_AMS_Kyoto_run3_MTE!O348</f>
        <v>0</v>
      </c>
      <c r="L124" s="712">
        <f>Bilans_E_AMS_Kyoto_run3_MTE!P348</f>
        <v>3.9620965723904646</v>
      </c>
      <c r="M124" s="712">
        <f>Bilans_E_AMS_Kyoto_run3_MTE!Q348</f>
        <v>0</v>
      </c>
      <c r="N124" s="712">
        <f>Bilans_E_AMS_Kyoto_run3_MTE!R348</f>
        <v>15.040491481755694</v>
      </c>
      <c r="O124" s="712">
        <f>Bilans_E_AMS_Kyoto_run3_MTE!S348</f>
        <v>7.9892327206458447E-2</v>
      </c>
      <c r="P124" s="712">
        <f>Bilans_E_AMS_Kyoto_run3_MTE!T348+Bilans_E_AMS_Kyoto_run3_MTE!U348</f>
        <v>0</v>
      </c>
      <c r="Q124" s="712">
        <f>Bilans_E_AMS_Kyoto_run3_MTE!V348</f>
        <v>0</v>
      </c>
      <c r="R124" s="712">
        <f>Bilans_E_AMS_Kyoto_run3_MTE!W348</f>
        <v>0</v>
      </c>
      <c r="S124" s="712">
        <f>Bilans_E_AMS_Kyoto_run3_MTE!X348</f>
        <v>0</v>
      </c>
      <c r="T124" s="712">
        <f>Bilans_E_AMS_Kyoto_run3_MTE!Y348</f>
        <v>0</v>
      </c>
      <c r="U124" s="712">
        <f>Bilans_E_AMS_Kyoto_run3_MTE!Z348</f>
        <v>673.53751044706598</v>
      </c>
      <c r="V124" s="701"/>
      <c r="W124" s="701"/>
    </row>
    <row r="125" spans="1:23" x14ac:dyDescent="0.25">
      <c r="A125" s="701" t="s">
        <v>489</v>
      </c>
      <c r="B125" s="701"/>
      <c r="C125" s="710" t="s">
        <v>61</v>
      </c>
      <c r="D125" s="712">
        <f>Bilans_E_AMS_Kyoto_run3_MTE!H349</f>
        <v>0</v>
      </c>
      <c r="E125" s="712">
        <f>Bilans_E_AMS_Kyoto_run3_MTE!I349</f>
        <v>0</v>
      </c>
      <c r="F125" s="712">
        <f>Bilans_E_AMS_Kyoto_run3_MTE!J349</f>
        <v>0</v>
      </c>
      <c r="G125" s="712">
        <f>Bilans_E_AMS_Kyoto_run3_MTE!K349</f>
        <v>0</v>
      </c>
      <c r="H125" s="712">
        <f>Bilans_E_AMS_Kyoto_run3_MTE!L349</f>
        <v>0</v>
      </c>
      <c r="I125" s="712">
        <f>Bilans_E_AMS_Kyoto_run3_MTE!M349</f>
        <v>0</v>
      </c>
      <c r="J125" s="712">
        <f>Bilans_E_AMS_Kyoto_run3_MTE!N349</f>
        <v>0</v>
      </c>
      <c r="K125" s="712">
        <f>Bilans_E_AMS_Kyoto_run3_MTE!O349</f>
        <v>0</v>
      </c>
      <c r="L125" s="712">
        <f>Bilans_E_AMS_Kyoto_run3_MTE!P349</f>
        <v>0</v>
      </c>
      <c r="M125" s="712">
        <f>Bilans_E_AMS_Kyoto_run3_MTE!Q349</f>
        <v>0</v>
      </c>
      <c r="N125" s="712">
        <f>Bilans_E_AMS_Kyoto_run3_MTE!R349</f>
        <v>0</v>
      </c>
      <c r="O125" s="712">
        <f>Bilans_E_AMS_Kyoto_run3_MTE!S349</f>
        <v>0</v>
      </c>
      <c r="P125" s="712">
        <f>Bilans_E_AMS_Kyoto_run3_MTE!T349+Bilans_E_AMS_Kyoto_run3_MTE!U349</f>
        <v>0</v>
      </c>
      <c r="Q125" s="712">
        <f>Bilans_E_AMS_Kyoto_run3_MTE!V349</f>
        <v>0</v>
      </c>
      <c r="R125" s="712">
        <f>Bilans_E_AMS_Kyoto_run3_MTE!W349</f>
        <v>-95.466033511784872</v>
      </c>
      <c r="S125" s="712">
        <f>Bilans_E_AMS_Kyoto_run3_MTE!X349</f>
        <v>0</v>
      </c>
      <c r="T125" s="712">
        <f>Bilans_E_AMS_Kyoto_run3_MTE!Y349</f>
        <v>0</v>
      </c>
      <c r="U125" s="712">
        <f>Bilans_E_AMS_Kyoto_run3_MTE!Z349</f>
        <v>-95.466033511784872</v>
      </c>
      <c r="V125" s="701"/>
      <c r="W125" s="701"/>
    </row>
    <row r="126" spans="1:23" x14ac:dyDescent="0.25">
      <c r="A126" s="701" t="s">
        <v>490</v>
      </c>
      <c r="B126" s="701"/>
      <c r="C126" s="710" t="s">
        <v>62</v>
      </c>
      <c r="D126" s="711">
        <f>Bilans_E_AMS_Kyoto_run3_MTE!H350</f>
        <v>0</v>
      </c>
      <c r="E126" s="711">
        <f>Bilans_E_AMS_Kyoto_run3_MTE!I350</f>
        <v>0</v>
      </c>
      <c r="F126" s="711">
        <f>Bilans_E_AMS_Kyoto_run3_MTE!J350</f>
        <v>-7.1897413553368033</v>
      </c>
      <c r="G126" s="711">
        <f>Bilans_E_AMS_Kyoto_run3_MTE!K350</f>
        <v>-0.40871635052551269</v>
      </c>
      <c r="H126" s="711">
        <f>Bilans_E_AMS_Kyoto_run3_MTE!L350</f>
        <v>-0.64998497552234569</v>
      </c>
      <c r="I126" s="711">
        <f>Bilans_E_AMS_Kyoto_run3_MTE!M350</f>
        <v>-0.61307452578826904</v>
      </c>
      <c r="J126" s="711">
        <f>Bilans_E_AMS_Kyoto_run3_MTE!N350</f>
        <v>0</v>
      </c>
      <c r="K126" s="711">
        <f>Bilans_E_AMS_Kyoto_run3_MTE!O350</f>
        <v>0</v>
      </c>
      <c r="L126" s="711">
        <f>Bilans_E_AMS_Kyoto_run3_MTE!P350</f>
        <v>0</v>
      </c>
      <c r="M126" s="711">
        <f>Bilans_E_AMS_Kyoto_run3_MTE!Q350</f>
        <v>0</v>
      </c>
      <c r="N126" s="711">
        <f>Bilans_E_AMS_Kyoto_run3_MTE!R350</f>
        <v>0</v>
      </c>
      <c r="O126" s="711">
        <f>Bilans_E_AMS_Kyoto_run3_MTE!S350</f>
        <v>-1.0039414282398573</v>
      </c>
      <c r="P126" s="711">
        <f>Bilans_E_AMS_Kyoto_run3_MTE!T350+Bilans_E_AMS_Kyoto_run3_MTE!U350</f>
        <v>0</v>
      </c>
      <c r="Q126" s="711">
        <f>Bilans_E_AMS_Kyoto_run3_MTE!V350</f>
        <v>0</v>
      </c>
      <c r="R126" s="711">
        <f>Bilans_E_AMS_Kyoto_run3_MTE!W350</f>
        <v>0</v>
      </c>
      <c r="S126" s="711">
        <f>Bilans_E_AMS_Kyoto_run3_MTE!X350</f>
        <v>0</v>
      </c>
      <c r="T126" s="711">
        <f>Bilans_E_AMS_Kyoto_run3_MTE!Y350</f>
        <v>-0.37964157661678277</v>
      </c>
      <c r="U126" s="711">
        <f>Bilans_E_AMS_Kyoto_run3_MTE!Z350</f>
        <v>-10.24510021202957</v>
      </c>
      <c r="V126" s="701"/>
      <c r="W126" s="701"/>
    </row>
    <row r="127" spans="1:23" x14ac:dyDescent="0.25">
      <c r="A127" s="701" t="s">
        <v>491</v>
      </c>
      <c r="B127" s="701"/>
      <c r="C127" s="710" t="s">
        <v>63</v>
      </c>
      <c r="D127" s="711">
        <f>Bilans_E_AMS_Kyoto_run3_MTE!H351</f>
        <v>0</v>
      </c>
      <c r="E127" s="711">
        <f>Bilans_E_AMS_Kyoto_run3_MTE!I351</f>
        <v>0</v>
      </c>
      <c r="F127" s="711">
        <f>Bilans_E_AMS_Kyoto_run3_MTE!J351</f>
        <v>-56</v>
      </c>
      <c r="G127" s="711">
        <f>Bilans_E_AMS_Kyoto_run3_MTE!K351</f>
        <v>-4</v>
      </c>
      <c r="H127" s="711">
        <f>Bilans_E_AMS_Kyoto_run3_MTE!L351</f>
        <v>0</v>
      </c>
      <c r="I127" s="711">
        <f>Bilans_E_AMS_Kyoto_run3_MTE!M351</f>
        <v>0</v>
      </c>
      <c r="J127" s="711">
        <f>Bilans_E_AMS_Kyoto_run3_MTE!N351</f>
        <v>0</v>
      </c>
      <c r="K127" s="711">
        <f>Bilans_E_AMS_Kyoto_run3_MTE!O351</f>
        <v>0</v>
      </c>
      <c r="L127" s="711">
        <f>Bilans_E_AMS_Kyoto_run3_MTE!P351</f>
        <v>0</v>
      </c>
      <c r="M127" s="711">
        <f>Bilans_E_AMS_Kyoto_run3_MTE!Q351</f>
        <v>0</v>
      </c>
      <c r="N127" s="711">
        <f>Bilans_E_AMS_Kyoto_run3_MTE!R351</f>
        <v>-11</v>
      </c>
      <c r="O127" s="711">
        <f>Bilans_E_AMS_Kyoto_run3_MTE!S351</f>
        <v>0</v>
      </c>
      <c r="P127" s="711">
        <f>Bilans_E_AMS_Kyoto_run3_MTE!T351+Bilans_E_AMS_Kyoto_run3_MTE!U351</f>
        <v>0</v>
      </c>
      <c r="Q127" s="711">
        <f>Bilans_E_AMS_Kyoto_run3_MTE!V351</f>
        <v>0</v>
      </c>
      <c r="R127" s="711">
        <f>Bilans_E_AMS_Kyoto_run3_MTE!W351</f>
        <v>0</v>
      </c>
      <c r="S127" s="711">
        <f>Bilans_E_AMS_Kyoto_run3_MTE!X351</f>
        <v>0</v>
      </c>
      <c r="T127" s="711">
        <f>Bilans_E_AMS_Kyoto_run3_MTE!Y351</f>
        <v>-1</v>
      </c>
      <c r="U127" s="711">
        <f>Bilans_E_AMS_Kyoto_run3_MTE!Z351</f>
        <v>-72</v>
      </c>
      <c r="V127" s="701"/>
      <c r="W127" s="701"/>
    </row>
    <row r="128" spans="1:23" x14ac:dyDescent="0.25">
      <c r="A128" s="701" t="s">
        <v>492</v>
      </c>
      <c r="B128" s="701"/>
      <c r="C128" s="710" t="s">
        <v>64</v>
      </c>
      <c r="D128" s="712">
        <f>Bilans_E_AMS_Kyoto_run3_MTE!H352</f>
        <v>0</v>
      </c>
      <c r="E128" s="712">
        <f>Bilans_E_AMS_Kyoto_run3_MTE!I352</f>
        <v>0</v>
      </c>
      <c r="F128" s="712">
        <f>Bilans_E_AMS_Kyoto_run3_MTE!J352</f>
        <v>0</v>
      </c>
      <c r="G128" s="712">
        <f>Bilans_E_AMS_Kyoto_run3_MTE!K352</f>
        <v>0</v>
      </c>
      <c r="H128" s="712">
        <f>Bilans_E_AMS_Kyoto_run3_MTE!L352</f>
        <v>0</v>
      </c>
      <c r="I128" s="712">
        <f>Bilans_E_AMS_Kyoto_run3_MTE!M352</f>
        <v>0</v>
      </c>
      <c r="J128" s="712">
        <f>Bilans_E_AMS_Kyoto_run3_MTE!N352</f>
        <v>0</v>
      </c>
      <c r="K128" s="712">
        <f>Bilans_E_AMS_Kyoto_run3_MTE!O352</f>
        <v>0</v>
      </c>
      <c r="L128" s="712">
        <f>Bilans_E_AMS_Kyoto_run3_MTE!P352</f>
        <v>0</v>
      </c>
      <c r="M128" s="712">
        <f>Bilans_E_AMS_Kyoto_run3_MTE!Q352</f>
        <v>0</v>
      </c>
      <c r="N128" s="712">
        <f>Bilans_E_AMS_Kyoto_run3_MTE!R352</f>
        <v>0</v>
      </c>
      <c r="O128" s="712">
        <f>Bilans_E_AMS_Kyoto_run3_MTE!S352</f>
        <v>0</v>
      </c>
      <c r="P128" s="712">
        <f>Bilans_E_AMS_Kyoto_run3_MTE!T352+Bilans_E_AMS_Kyoto_run3_MTE!U352</f>
        <v>0</v>
      </c>
      <c r="Q128" s="712">
        <f>Bilans_E_AMS_Kyoto_run3_MTE!V352</f>
        <v>0</v>
      </c>
      <c r="R128" s="712">
        <f>Bilans_E_AMS_Kyoto_run3_MTE!W352</f>
        <v>0</v>
      </c>
      <c r="S128" s="712">
        <f>Bilans_E_AMS_Kyoto_run3_MTE!X352</f>
        <v>0</v>
      </c>
      <c r="T128" s="712">
        <f>Bilans_E_AMS_Kyoto_run3_MTE!Y352</f>
        <v>0</v>
      </c>
      <c r="U128" s="712">
        <f>Bilans_E_AMS_Kyoto_run3_MTE!Z352</f>
        <v>0</v>
      </c>
      <c r="V128" s="701"/>
      <c r="W128" s="701"/>
    </row>
    <row r="129" spans="1:23" x14ac:dyDescent="0.25">
      <c r="A129" s="701" t="s">
        <v>493</v>
      </c>
      <c r="B129" s="701"/>
      <c r="C129" s="713" t="s">
        <v>65</v>
      </c>
      <c r="D129" s="714">
        <f>Bilans_E_AMS_Kyoto_run3_MTE!H353</f>
        <v>13.10897607421875</v>
      </c>
      <c r="E129" s="714">
        <f>Bilans_E_AMS_Kyoto_run3_MTE!I353</f>
        <v>313.69943241881072</v>
      </c>
      <c r="F129" s="714">
        <f>Bilans_E_AMS_Kyoto_run3_MTE!J353</f>
        <v>57.896009265417447</v>
      </c>
      <c r="G129" s="714">
        <f>Bilans_E_AMS_Kyoto_run3_MTE!K353</f>
        <v>-1.6147277510132048</v>
      </c>
      <c r="H129" s="714">
        <f>Bilans_E_AMS_Kyoto_run3_MTE!L353</f>
        <v>207.98405237689491</v>
      </c>
      <c r="I129" s="714">
        <f>Bilans_E_AMS_Kyoto_run3_MTE!M353</f>
        <v>-0.61307452578826904</v>
      </c>
      <c r="J129" s="714">
        <f>Bilans_E_AMS_Kyoto_run3_MTE!N353</f>
        <v>1162.7439999999999</v>
      </c>
      <c r="K129" s="714">
        <f>Bilans_E_AMS_Kyoto_run3_MTE!O353</f>
        <v>299.59846132130883</v>
      </c>
      <c r="L129" s="714">
        <f>Bilans_E_AMS_Kyoto_run3_MTE!P353</f>
        <v>322.97944155998459</v>
      </c>
      <c r="M129" s="714">
        <f>Bilans_E_AMS_Kyoto_run3_MTE!Q353</f>
        <v>51.348490193266947</v>
      </c>
      <c r="N129" s="714">
        <f>Bilans_E_AMS_Kyoto_run3_MTE!R353</f>
        <v>4.0404914817556943</v>
      </c>
      <c r="O129" s="714">
        <f>Bilans_E_AMS_Kyoto_run3_MTE!S353</f>
        <v>-0.92404910103339888</v>
      </c>
      <c r="P129" s="714">
        <f>Bilans_E_AMS_Kyoto_run3_MTE!T353+Bilans_E_AMS_Kyoto_run3_MTE!U353</f>
        <v>171.39585425670967</v>
      </c>
      <c r="Q129" s="714">
        <f>Bilans_E_AMS_Kyoto_run3_MTE!V353</f>
        <v>34.299691863986411</v>
      </c>
      <c r="R129" s="714">
        <f>Bilans_E_AMS_Kyoto_run3_MTE!W353</f>
        <v>-95.466033511784872</v>
      </c>
      <c r="S129" s="714">
        <f>Bilans_E_AMS_Kyoto_run3_MTE!X353</f>
        <v>0</v>
      </c>
      <c r="T129" s="714">
        <f>Bilans_E_AMS_Kyoto_run3_MTE!Y353</f>
        <v>-1.3796415766167827</v>
      </c>
      <c r="U129" s="714">
        <f>Bilans_E_AMS_Kyoto_run3_MTE!Z353</f>
        <v>2539.0973743461172</v>
      </c>
      <c r="V129" s="701"/>
      <c r="W129" s="701"/>
    </row>
    <row r="130" spans="1:23" x14ac:dyDescent="0.25">
      <c r="A130" s="701"/>
      <c r="B130" s="701"/>
      <c r="C130" s="715"/>
      <c r="D130" s="716"/>
      <c r="E130" s="716"/>
      <c r="F130" s="716"/>
      <c r="G130" s="716"/>
      <c r="H130" s="716"/>
      <c r="I130" s="716"/>
      <c r="J130" s="716"/>
      <c r="K130" s="716"/>
      <c r="L130" s="716"/>
      <c r="M130" s="716"/>
      <c r="N130" s="716"/>
      <c r="O130" s="716"/>
      <c r="P130" s="716">
        <f>Bilans_E_AMS_Kyoto_run3_MTE!T354+Bilans_E_AMS_Kyoto_run3_MTE!U354</f>
        <v>0</v>
      </c>
      <c r="Q130" s="716"/>
      <c r="R130" s="716"/>
      <c r="S130" s="716"/>
      <c r="T130" s="716"/>
      <c r="U130" s="716"/>
      <c r="V130" s="701"/>
      <c r="W130" s="701"/>
    </row>
    <row r="131" spans="1:23" x14ac:dyDescent="0.25">
      <c r="A131" s="701" t="s">
        <v>494</v>
      </c>
      <c r="B131" s="701"/>
      <c r="C131" s="717" t="s">
        <v>67</v>
      </c>
      <c r="D131" s="711">
        <f>Bilans_E_AMS_Kyoto_run3_MTE!H355</f>
        <v>0</v>
      </c>
      <c r="E131" s="711">
        <f>Bilans_E_AMS_Kyoto_run3_MTE!I355</f>
        <v>0</v>
      </c>
      <c r="F131" s="711">
        <f>Bilans_E_AMS_Kyoto_run3_MTE!J355</f>
        <v>0</v>
      </c>
      <c r="G131" s="711">
        <f>Bilans_E_AMS_Kyoto_run3_MTE!K355</f>
        <v>0</v>
      </c>
      <c r="H131" s="711">
        <f>Bilans_E_AMS_Kyoto_run3_MTE!L355</f>
        <v>0</v>
      </c>
      <c r="I131" s="711">
        <f>Bilans_E_AMS_Kyoto_run3_MTE!M355</f>
        <v>0</v>
      </c>
      <c r="J131" s="711">
        <f>Bilans_E_AMS_Kyoto_run3_MTE!N355</f>
        <v>0</v>
      </c>
      <c r="K131" s="711">
        <f>Bilans_E_AMS_Kyoto_run3_MTE!O355</f>
        <v>0</v>
      </c>
      <c r="L131" s="711">
        <f>Bilans_E_AMS_Kyoto_run3_MTE!P355</f>
        <v>0</v>
      </c>
      <c r="M131" s="711">
        <f>Bilans_E_AMS_Kyoto_run3_MTE!Q355</f>
        <v>0</v>
      </c>
      <c r="N131" s="711">
        <f>Bilans_E_AMS_Kyoto_run3_MTE!R355</f>
        <v>0</v>
      </c>
      <c r="O131" s="711">
        <f>Bilans_E_AMS_Kyoto_run3_MTE!S355</f>
        <v>0</v>
      </c>
      <c r="P131" s="711">
        <f>Bilans_E_AMS_Kyoto_run3_MTE!T355+Bilans_E_AMS_Kyoto_run3_MTE!U355</f>
        <v>0</v>
      </c>
      <c r="Q131" s="711">
        <f>Bilans_E_AMS_Kyoto_run3_MTE!V355</f>
        <v>0</v>
      </c>
      <c r="R131" s="711">
        <f>Bilans_E_AMS_Kyoto_run3_MTE!W355</f>
        <v>0</v>
      </c>
      <c r="S131" s="711">
        <f>Bilans_E_AMS_Kyoto_run3_MTE!X355</f>
        <v>0</v>
      </c>
      <c r="T131" s="711">
        <f>Bilans_E_AMS_Kyoto_run3_MTE!Y355</f>
        <v>0</v>
      </c>
      <c r="U131" s="711">
        <f>Bilans_E_AMS_Kyoto_run3_MTE!Z355</f>
        <v>0</v>
      </c>
      <c r="V131" s="701"/>
      <c r="W131" s="701"/>
    </row>
    <row r="132" spans="1:23" x14ac:dyDescent="0.25">
      <c r="A132" s="701" t="s">
        <v>495</v>
      </c>
      <c r="B132" s="701"/>
      <c r="C132" s="717" t="s">
        <v>347</v>
      </c>
      <c r="D132" s="711">
        <f>Bilans_E_AMS_Kyoto_run3_MTE!H356</f>
        <v>0</v>
      </c>
      <c r="E132" s="711">
        <f>Bilans_E_AMS_Kyoto_run3_MTE!I356</f>
        <v>0</v>
      </c>
      <c r="F132" s="711">
        <f>Bilans_E_AMS_Kyoto_run3_MTE!J356</f>
        <v>0.802217285608815</v>
      </c>
      <c r="G132" s="711">
        <f>Bilans_E_AMS_Kyoto_run3_MTE!K356</f>
        <v>0</v>
      </c>
      <c r="H132" s="711">
        <f>Bilans_E_AMS_Kyoto_run3_MTE!L356</f>
        <v>25.778498998044444</v>
      </c>
      <c r="I132" s="711">
        <f>Bilans_E_AMS_Kyoto_run3_MTE!M356</f>
        <v>0</v>
      </c>
      <c r="J132" s="711">
        <f>Bilans_E_AMS_Kyoto_run3_MTE!N356</f>
        <v>1162.7439999999999</v>
      </c>
      <c r="K132" s="711">
        <f>Bilans_E_AMS_Kyoto_run3_MTE!O356</f>
        <v>299.59846132130883</v>
      </c>
      <c r="L132" s="711">
        <f>Bilans_E_AMS_Kyoto_run3_MTE!P356</f>
        <v>15.921747993621487</v>
      </c>
      <c r="M132" s="711">
        <f>Bilans_E_AMS_Kyoto_run3_MTE!Q356</f>
        <v>5.93692826914703</v>
      </c>
      <c r="N132" s="711">
        <f>Bilans_E_AMS_Kyoto_run3_MTE!R356</f>
        <v>5.0291337303525587</v>
      </c>
      <c r="O132" s="711">
        <f>Bilans_E_AMS_Kyoto_run3_MTE!S356</f>
        <v>8.748119861379541</v>
      </c>
      <c r="P132" s="711">
        <f>Bilans_E_AMS_Kyoto_run3_MTE!T356+Bilans_E_AMS_Kyoto_run3_MTE!U356</f>
        <v>0</v>
      </c>
      <c r="Q132" s="711">
        <f>Bilans_E_AMS_Kyoto_run3_MTE!V356</f>
        <v>2.7943993103273139</v>
      </c>
      <c r="R132" s="711">
        <f>Bilans_E_AMS_Kyoto_run3_MTE!W356</f>
        <v>-717.37547960636846</v>
      </c>
      <c r="S132" s="711">
        <f>Bilans_E_AMS_Kyoto_run3_MTE!X356</f>
        <v>0</v>
      </c>
      <c r="T132" s="711">
        <f>Bilans_E_AMS_Kyoto_run3_MTE!Y356</f>
        <v>0</v>
      </c>
      <c r="U132" s="711">
        <f>Bilans_E_AMS_Kyoto_run3_MTE!Z356</f>
        <v>809.97802716342164</v>
      </c>
      <c r="V132" s="701"/>
      <c r="W132" s="701"/>
    </row>
    <row r="133" spans="1:23" x14ac:dyDescent="0.25">
      <c r="A133" s="701" t="s">
        <v>496</v>
      </c>
      <c r="B133" s="701"/>
      <c r="C133" s="717" t="s">
        <v>348</v>
      </c>
      <c r="D133" s="711">
        <f>Bilans_E_AMS_Kyoto_run3_MTE!H357</f>
        <v>0</v>
      </c>
      <c r="E133" s="711">
        <f>Bilans_E_AMS_Kyoto_run3_MTE!I357</f>
        <v>0</v>
      </c>
      <c r="F133" s="711">
        <f>Bilans_E_AMS_Kyoto_run3_MTE!J357</f>
        <v>0</v>
      </c>
      <c r="G133" s="711">
        <f>Bilans_E_AMS_Kyoto_run3_MTE!K357</f>
        <v>0</v>
      </c>
      <c r="H133" s="711">
        <f>Bilans_E_AMS_Kyoto_run3_MTE!L357</f>
        <v>21.610761712544495</v>
      </c>
      <c r="I133" s="711">
        <f>Bilans_E_AMS_Kyoto_run3_MTE!M357</f>
        <v>0</v>
      </c>
      <c r="J133" s="711">
        <f>Bilans_E_AMS_Kyoto_run3_MTE!N357</f>
        <v>0</v>
      </c>
      <c r="K133" s="711">
        <f>Bilans_E_AMS_Kyoto_run3_MTE!O357</f>
        <v>0</v>
      </c>
      <c r="L133" s="711">
        <f>Bilans_E_AMS_Kyoto_run3_MTE!P357</f>
        <v>24.785104378649287</v>
      </c>
      <c r="M133" s="711">
        <f>Bilans_E_AMS_Kyoto_run3_MTE!Q357</f>
        <v>17.95996245859666</v>
      </c>
      <c r="N133" s="711">
        <f>Bilans_E_AMS_Kyoto_run3_MTE!R357</f>
        <v>0</v>
      </c>
      <c r="O133" s="711">
        <f>Bilans_E_AMS_Kyoto_run3_MTE!S357</f>
        <v>6.3205787341877624</v>
      </c>
      <c r="P133" s="711">
        <f>Bilans_E_AMS_Kyoto_run3_MTE!T357+Bilans_E_AMS_Kyoto_run3_MTE!U357</f>
        <v>14.160487242314748</v>
      </c>
      <c r="Q133" s="711">
        <f>Bilans_E_AMS_Kyoto_run3_MTE!V357</f>
        <v>14.189843081655606</v>
      </c>
      <c r="R133" s="711">
        <f>Bilans_E_AMS_Kyoto_run3_MTE!W357</f>
        <v>0</v>
      </c>
      <c r="S133" s="711">
        <f>Bilans_E_AMS_Kyoto_run3_MTE!X357</f>
        <v>-90.295152964101419</v>
      </c>
      <c r="T133" s="711">
        <f>Bilans_E_AMS_Kyoto_run3_MTE!Y357</f>
        <v>0</v>
      </c>
      <c r="U133" s="711">
        <f>Bilans_E_AMS_Kyoto_run3_MTE!Z357</f>
        <v>8.7315846438471425</v>
      </c>
      <c r="V133" s="701"/>
      <c r="W133" s="701"/>
    </row>
    <row r="134" spans="1:23" x14ac:dyDescent="0.25">
      <c r="A134" s="701" t="s">
        <v>497</v>
      </c>
      <c r="B134" s="701"/>
      <c r="C134" s="717" t="s">
        <v>349</v>
      </c>
      <c r="D134" s="711">
        <f>Bilans_E_AMS_Kyoto_run3_MTE!H358</f>
        <v>0</v>
      </c>
      <c r="E134" s="711">
        <f>Bilans_E_AMS_Kyoto_run3_MTE!I358</f>
        <v>0</v>
      </c>
      <c r="F134" s="711">
        <f>Bilans_E_AMS_Kyoto_run3_MTE!J358</f>
        <v>0</v>
      </c>
      <c r="G134" s="711">
        <f>Bilans_E_AMS_Kyoto_run3_MTE!K358</f>
        <v>0</v>
      </c>
      <c r="H134" s="711">
        <f>Bilans_E_AMS_Kyoto_run3_MTE!L358</f>
        <v>0</v>
      </c>
      <c r="I134" s="711">
        <f>Bilans_E_AMS_Kyoto_run3_MTE!M358</f>
        <v>0</v>
      </c>
      <c r="J134" s="711">
        <f>Bilans_E_AMS_Kyoto_run3_MTE!N358</f>
        <v>0</v>
      </c>
      <c r="K134" s="711">
        <f>Bilans_E_AMS_Kyoto_run3_MTE!O358</f>
        <v>0</v>
      </c>
      <c r="L134" s="711">
        <f>Bilans_E_AMS_Kyoto_run3_MTE!P358</f>
        <v>95.025274759778867</v>
      </c>
      <c r="M134" s="711">
        <f>Bilans_E_AMS_Kyoto_run3_MTE!Q358</f>
        <v>10.678076799137498</v>
      </c>
      <c r="N134" s="711">
        <f>Bilans_E_AMS_Kyoto_run3_MTE!R358</f>
        <v>0</v>
      </c>
      <c r="O134" s="711">
        <f>Bilans_E_AMS_Kyoto_run3_MTE!S358</f>
        <v>-52.932106946617139</v>
      </c>
      <c r="P134" s="711">
        <f>Bilans_E_AMS_Kyoto_run3_MTE!T358+Bilans_E_AMS_Kyoto_run3_MTE!U358</f>
        <v>0</v>
      </c>
      <c r="Q134" s="711">
        <f>Bilans_E_AMS_Kyoto_run3_MTE!V358</f>
        <v>0</v>
      </c>
      <c r="R134" s="711">
        <f>Bilans_E_AMS_Kyoto_run3_MTE!W358</f>
        <v>0</v>
      </c>
      <c r="S134" s="711">
        <f>Bilans_E_AMS_Kyoto_run3_MTE!X358</f>
        <v>0</v>
      </c>
      <c r="T134" s="711">
        <f>Bilans_E_AMS_Kyoto_run3_MTE!Y358</f>
        <v>0</v>
      </c>
      <c r="U134" s="711">
        <f>Bilans_E_AMS_Kyoto_run3_MTE!Z358</f>
        <v>52.771244612299228</v>
      </c>
      <c r="V134" s="701"/>
      <c r="W134" s="701"/>
    </row>
    <row r="135" spans="1:23" x14ac:dyDescent="0.25">
      <c r="A135" s="701" t="s">
        <v>498</v>
      </c>
      <c r="B135" s="701"/>
      <c r="C135" s="717" t="s">
        <v>350</v>
      </c>
      <c r="D135" s="711">
        <f>Bilans_E_AMS_Kyoto_run3_MTE!H359</f>
        <v>0</v>
      </c>
      <c r="E135" s="711">
        <f>Bilans_E_AMS_Kyoto_run3_MTE!I359</f>
        <v>0</v>
      </c>
      <c r="F135" s="711">
        <f>Bilans_E_AMS_Kyoto_run3_MTE!J359</f>
        <v>0</v>
      </c>
      <c r="G135" s="711">
        <f>Bilans_E_AMS_Kyoto_run3_MTE!K359</f>
        <v>0</v>
      </c>
      <c r="H135" s="711">
        <f>Bilans_E_AMS_Kyoto_run3_MTE!L359</f>
        <v>0</v>
      </c>
      <c r="I135" s="711">
        <f>Bilans_E_AMS_Kyoto_run3_MTE!M359</f>
        <v>-0.61307452578826904</v>
      </c>
      <c r="J135" s="711">
        <f>Bilans_E_AMS_Kyoto_run3_MTE!N359</f>
        <v>0</v>
      </c>
      <c r="K135" s="711">
        <f>Bilans_E_AMS_Kyoto_run3_MTE!O359</f>
        <v>0</v>
      </c>
      <c r="L135" s="711">
        <f>Bilans_E_AMS_Kyoto_run3_MTE!P359</f>
        <v>0</v>
      </c>
      <c r="M135" s="711">
        <f>Bilans_E_AMS_Kyoto_run3_MTE!Q359</f>
        <v>0</v>
      </c>
      <c r="N135" s="711">
        <f>Bilans_E_AMS_Kyoto_run3_MTE!R359</f>
        <v>0</v>
      </c>
      <c r="O135" s="711">
        <f>Bilans_E_AMS_Kyoto_run3_MTE!S359</f>
        <v>0</v>
      </c>
      <c r="P135" s="711">
        <f>Bilans_E_AMS_Kyoto_run3_MTE!T359+Bilans_E_AMS_Kyoto_run3_MTE!U359</f>
        <v>0</v>
      </c>
      <c r="Q135" s="711">
        <f>Bilans_E_AMS_Kyoto_run3_MTE!V359</f>
        <v>0</v>
      </c>
      <c r="R135" s="711">
        <f>Bilans_E_AMS_Kyoto_run3_MTE!W359</f>
        <v>0</v>
      </c>
      <c r="S135" s="711">
        <f>Bilans_E_AMS_Kyoto_run3_MTE!X359</f>
        <v>0</v>
      </c>
      <c r="T135" s="711">
        <f>Bilans_E_AMS_Kyoto_run3_MTE!Y359</f>
        <v>0.85149239692815148</v>
      </c>
      <c r="U135" s="711">
        <f>Bilans_E_AMS_Kyoto_run3_MTE!Z359</f>
        <v>0.23841787113988244</v>
      </c>
      <c r="V135" s="701"/>
      <c r="W135" s="701"/>
    </row>
    <row r="136" spans="1:23" x14ac:dyDescent="0.25">
      <c r="A136" s="701" t="s">
        <v>499</v>
      </c>
      <c r="B136" s="701"/>
      <c r="C136" s="717" t="s">
        <v>72</v>
      </c>
      <c r="D136" s="711">
        <f>Bilans_E_AMS_Kyoto_run3_MTE!H360</f>
        <v>0</v>
      </c>
      <c r="E136" s="711">
        <f>Bilans_E_AMS_Kyoto_run3_MTE!I360</f>
        <v>325.09767157974136</v>
      </c>
      <c r="F136" s="711">
        <f>Bilans_E_AMS_Kyoto_run3_MTE!J360</f>
        <v>-321.84669486394392</v>
      </c>
      <c r="G136" s="711">
        <f>Bilans_E_AMS_Kyoto_run3_MTE!K360</f>
        <v>0</v>
      </c>
      <c r="H136" s="711">
        <f>Bilans_E_AMS_Kyoto_run3_MTE!L360</f>
        <v>0</v>
      </c>
      <c r="I136" s="711">
        <f>Bilans_E_AMS_Kyoto_run3_MTE!M360</f>
        <v>0</v>
      </c>
      <c r="J136" s="711">
        <f>Bilans_E_AMS_Kyoto_run3_MTE!N360</f>
        <v>0</v>
      </c>
      <c r="K136" s="711">
        <f>Bilans_E_AMS_Kyoto_run3_MTE!O360</f>
        <v>0</v>
      </c>
      <c r="L136" s="711">
        <f>Bilans_E_AMS_Kyoto_run3_MTE!P360</f>
        <v>0</v>
      </c>
      <c r="M136" s="711">
        <f>Bilans_E_AMS_Kyoto_run3_MTE!Q360</f>
        <v>0</v>
      </c>
      <c r="N136" s="711">
        <f>Bilans_E_AMS_Kyoto_run3_MTE!R360</f>
        <v>0</v>
      </c>
      <c r="O136" s="711">
        <f>Bilans_E_AMS_Kyoto_run3_MTE!S360</f>
        <v>0</v>
      </c>
      <c r="P136" s="711">
        <f>Bilans_E_AMS_Kyoto_run3_MTE!T360+Bilans_E_AMS_Kyoto_run3_MTE!U360</f>
        <v>0</v>
      </c>
      <c r="Q136" s="711">
        <f>Bilans_E_AMS_Kyoto_run3_MTE!V360</f>
        <v>0</v>
      </c>
      <c r="R136" s="711">
        <f>Bilans_E_AMS_Kyoto_run3_MTE!W360</f>
        <v>0</v>
      </c>
      <c r="S136" s="711">
        <f>Bilans_E_AMS_Kyoto_run3_MTE!X360</f>
        <v>0</v>
      </c>
      <c r="T136" s="711">
        <f>Bilans_E_AMS_Kyoto_run3_MTE!Y360</f>
        <v>0</v>
      </c>
      <c r="U136" s="711">
        <f>Bilans_E_AMS_Kyoto_run3_MTE!Z360</f>
        <v>3.2509767157974352</v>
      </c>
      <c r="V136" s="701"/>
      <c r="W136" s="701"/>
    </row>
    <row r="137" spans="1:23" x14ac:dyDescent="0.25">
      <c r="A137" s="701" t="s">
        <v>500</v>
      </c>
      <c r="B137" s="701"/>
      <c r="C137" s="717" t="s">
        <v>351</v>
      </c>
      <c r="D137" s="711">
        <f>Bilans_E_AMS_Kyoto_run3_MTE!H361</f>
        <v>0</v>
      </c>
      <c r="E137" s="711">
        <f>Bilans_E_AMS_Kyoto_run3_MTE!I361</f>
        <v>0</v>
      </c>
      <c r="F137" s="711">
        <f>Bilans_E_AMS_Kyoto_run3_MTE!J361</f>
        <v>0</v>
      </c>
      <c r="G137" s="711">
        <f>Bilans_E_AMS_Kyoto_run3_MTE!K361</f>
        <v>0</v>
      </c>
      <c r="H137" s="711">
        <f>Bilans_E_AMS_Kyoto_run3_MTE!L361</f>
        <v>0</v>
      </c>
      <c r="I137" s="711">
        <f>Bilans_E_AMS_Kyoto_run3_MTE!M361</f>
        <v>0</v>
      </c>
      <c r="J137" s="711">
        <f>Bilans_E_AMS_Kyoto_run3_MTE!N361</f>
        <v>0</v>
      </c>
      <c r="K137" s="711">
        <f>Bilans_E_AMS_Kyoto_run3_MTE!O361</f>
        <v>0</v>
      </c>
      <c r="L137" s="711">
        <f>Bilans_E_AMS_Kyoto_run3_MTE!P361</f>
        <v>83.277924958812179</v>
      </c>
      <c r="M137" s="711">
        <f>Bilans_E_AMS_Kyoto_run3_MTE!Q361</f>
        <v>7.2727272727272725</v>
      </c>
      <c r="N137" s="711">
        <f>Bilans_E_AMS_Kyoto_run3_MTE!R361</f>
        <v>-50.501152166962441</v>
      </c>
      <c r="O137" s="711">
        <f>Bilans_E_AMS_Kyoto_run3_MTE!S361</f>
        <v>0</v>
      </c>
      <c r="P137" s="711">
        <f>Bilans_E_AMS_Kyoto_run3_MTE!T361+Bilans_E_AMS_Kyoto_run3_MTE!U361</f>
        <v>0</v>
      </c>
      <c r="Q137" s="711">
        <f>Bilans_E_AMS_Kyoto_run3_MTE!V361</f>
        <v>0</v>
      </c>
      <c r="R137" s="711">
        <f>Bilans_E_AMS_Kyoto_run3_MTE!W361</f>
        <v>0</v>
      </c>
      <c r="S137" s="711">
        <f>Bilans_E_AMS_Kyoto_run3_MTE!X361</f>
        <v>0</v>
      </c>
      <c r="T137" s="711">
        <f>Bilans_E_AMS_Kyoto_run3_MTE!Y361</f>
        <v>0</v>
      </c>
      <c r="U137" s="711">
        <f>Bilans_E_AMS_Kyoto_run3_MTE!Z361</f>
        <v>40.049500064577003</v>
      </c>
      <c r="V137" s="701"/>
      <c r="W137" s="701"/>
    </row>
    <row r="138" spans="1:23" x14ac:dyDescent="0.25">
      <c r="A138" s="701" t="s">
        <v>501</v>
      </c>
      <c r="B138" s="701"/>
      <c r="C138" s="717" t="s">
        <v>352</v>
      </c>
      <c r="D138" s="711">
        <f>Bilans_E_AMS_Kyoto_run3_MTE!H362</f>
        <v>0</v>
      </c>
      <c r="E138" s="711">
        <f>Bilans_E_AMS_Kyoto_run3_MTE!I362</f>
        <v>0</v>
      </c>
      <c r="F138" s="711">
        <f>Bilans_E_AMS_Kyoto_run3_MTE!J362</f>
        <v>0</v>
      </c>
      <c r="G138" s="711">
        <f>Bilans_E_AMS_Kyoto_run3_MTE!K362</f>
        <v>-2.9087163505255127</v>
      </c>
      <c r="H138" s="711">
        <f>Bilans_E_AMS_Kyoto_run3_MTE!L362</f>
        <v>0</v>
      </c>
      <c r="I138" s="711">
        <f>Bilans_E_AMS_Kyoto_run3_MTE!M362</f>
        <v>0</v>
      </c>
      <c r="J138" s="711">
        <f>Bilans_E_AMS_Kyoto_run3_MTE!N362</f>
        <v>0</v>
      </c>
      <c r="K138" s="711">
        <f>Bilans_E_AMS_Kyoto_run3_MTE!O362</f>
        <v>0</v>
      </c>
      <c r="L138" s="711">
        <f>Bilans_E_AMS_Kyoto_run3_MTE!P362</f>
        <v>0</v>
      </c>
      <c r="M138" s="711">
        <f>Bilans_E_AMS_Kyoto_run3_MTE!Q362</f>
        <v>0</v>
      </c>
      <c r="N138" s="711">
        <f>Bilans_E_AMS_Kyoto_run3_MTE!R362</f>
        <v>0</v>
      </c>
      <c r="O138" s="711">
        <f>Bilans_E_AMS_Kyoto_run3_MTE!S362</f>
        <v>0</v>
      </c>
      <c r="P138" s="711">
        <f>Bilans_E_AMS_Kyoto_run3_MTE!T362+Bilans_E_AMS_Kyoto_run3_MTE!U362</f>
        <v>0</v>
      </c>
      <c r="Q138" s="711">
        <f>Bilans_E_AMS_Kyoto_run3_MTE!V362</f>
        <v>0</v>
      </c>
      <c r="R138" s="711">
        <f>Bilans_E_AMS_Kyoto_run3_MTE!W362</f>
        <v>0</v>
      </c>
      <c r="S138" s="711">
        <f>Bilans_E_AMS_Kyoto_run3_MTE!X362</f>
        <v>0</v>
      </c>
      <c r="T138" s="711">
        <f>Bilans_E_AMS_Kyoto_run3_MTE!Y362</f>
        <v>4.8495879855780641</v>
      </c>
      <c r="U138" s="711">
        <f>Bilans_E_AMS_Kyoto_run3_MTE!Z362</f>
        <v>1.9408716350525514</v>
      </c>
      <c r="V138" s="701"/>
      <c r="W138" s="701"/>
    </row>
    <row r="139" spans="1:23" x14ac:dyDescent="0.25">
      <c r="A139" s="701" t="s">
        <v>502</v>
      </c>
      <c r="B139" s="701"/>
      <c r="C139" s="717" t="s">
        <v>73</v>
      </c>
      <c r="D139" s="711">
        <f>Bilans_E_AMS_Kyoto_run3_MTE!H363</f>
        <v>0</v>
      </c>
      <c r="E139" s="711">
        <f>Bilans_E_AMS_Kyoto_run3_MTE!I363</f>
        <v>0</v>
      </c>
      <c r="F139" s="711">
        <f>Bilans_E_AMS_Kyoto_run3_MTE!J363</f>
        <v>0</v>
      </c>
      <c r="G139" s="711">
        <f>Bilans_E_AMS_Kyoto_run3_MTE!K363</f>
        <v>0</v>
      </c>
      <c r="H139" s="711">
        <f>Bilans_E_AMS_Kyoto_run3_MTE!L363</f>
        <v>0</v>
      </c>
      <c r="I139" s="711">
        <f>Bilans_E_AMS_Kyoto_run3_MTE!M363</f>
        <v>0</v>
      </c>
      <c r="J139" s="711">
        <f>Bilans_E_AMS_Kyoto_run3_MTE!N363</f>
        <v>0</v>
      </c>
      <c r="K139" s="711">
        <f>Bilans_E_AMS_Kyoto_run3_MTE!O363</f>
        <v>0</v>
      </c>
      <c r="L139" s="711">
        <f>Bilans_E_AMS_Kyoto_run3_MTE!P363</f>
        <v>0</v>
      </c>
      <c r="M139" s="711">
        <f>Bilans_E_AMS_Kyoto_run3_MTE!Q363</f>
        <v>0</v>
      </c>
      <c r="N139" s="711">
        <f>Bilans_E_AMS_Kyoto_run3_MTE!R363</f>
        <v>0</v>
      </c>
      <c r="O139" s="711">
        <f>Bilans_E_AMS_Kyoto_run3_MTE!S363</f>
        <v>0</v>
      </c>
      <c r="P139" s="711">
        <f>Bilans_E_AMS_Kyoto_run3_MTE!T363+Bilans_E_AMS_Kyoto_run3_MTE!U363</f>
        <v>0</v>
      </c>
      <c r="Q139" s="711">
        <f>Bilans_E_AMS_Kyoto_run3_MTE!V363</f>
        <v>0</v>
      </c>
      <c r="R139" s="711">
        <f>Bilans_E_AMS_Kyoto_run3_MTE!W363</f>
        <v>32.352563963788228</v>
      </c>
      <c r="S139" s="711">
        <f>Bilans_E_AMS_Kyoto_run3_MTE!X363</f>
        <v>0</v>
      </c>
      <c r="T139" s="711">
        <f>Bilans_E_AMS_Kyoto_run3_MTE!Y363</f>
        <v>-21.595336445828643</v>
      </c>
      <c r="U139" s="711">
        <f>Bilans_E_AMS_Kyoto_run3_MTE!Z363</f>
        <v>10.757227517959585</v>
      </c>
      <c r="V139" s="701"/>
      <c r="W139" s="701"/>
    </row>
    <row r="140" spans="1:23" x14ac:dyDescent="0.25">
      <c r="A140" s="701" t="s">
        <v>503</v>
      </c>
      <c r="B140" s="701"/>
      <c r="C140" s="717" t="s">
        <v>353</v>
      </c>
      <c r="D140" s="711">
        <f>Bilans_E_AMS_Kyoto_run3_MTE!H364</f>
        <v>9.0096813281249997</v>
      </c>
      <c r="E140" s="711">
        <f>Bilans_E_AMS_Kyoto_run3_MTE!I364</f>
        <v>-11.398239160930634</v>
      </c>
      <c r="F140" s="711">
        <f>Bilans_E_AMS_Kyoto_run3_MTE!J364</f>
        <v>15.062765425262727</v>
      </c>
      <c r="G140" s="711">
        <f>Bilans_E_AMS_Kyoto_run3_MTE!K364</f>
        <v>0</v>
      </c>
      <c r="H140" s="711">
        <f>Bilans_E_AMS_Kyoto_run3_MTE!L364</f>
        <v>0</v>
      </c>
      <c r="I140" s="711">
        <f>Bilans_E_AMS_Kyoto_run3_MTE!M364</f>
        <v>0</v>
      </c>
      <c r="J140" s="711">
        <f>Bilans_E_AMS_Kyoto_run3_MTE!N364</f>
        <v>0</v>
      </c>
      <c r="K140" s="711">
        <f>Bilans_E_AMS_Kyoto_run3_MTE!O364</f>
        <v>0</v>
      </c>
      <c r="L140" s="711">
        <f>Bilans_E_AMS_Kyoto_run3_MTE!P364</f>
        <v>0</v>
      </c>
      <c r="M140" s="711">
        <f>Bilans_E_AMS_Kyoto_run3_MTE!Q364</f>
        <v>0</v>
      </c>
      <c r="N140" s="711">
        <f>Bilans_E_AMS_Kyoto_run3_MTE!R364</f>
        <v>0</v>
      </c>
      <c r="O140" s="711">
        <f>Bilans_E_AMS_Kyoto_run3_MTE!S364</f>
        <v>0</v>
      </c>
      <c r="P140" s="711">
        <f>Bilans_E_AMS_Kyoto_run3_MTE!T364+Bilans_E_AMS_Kyoto_run3_MTE!U364</f>
        <v>0</v>
      </c>
      <c r="Q140" s="711">
        <f>Bilans_E_AMS_Kyoto_run3_MTE!V364</f>
        <v>0</v>
      </c>
      <c r="R140" s="711">
        <f>Bilans_E_AMS_Kyoto_run3_MTE!W364</f>
        <v>0</v>
      </c>
      <c r="S140" s="711">
        <f>Bilans_E_AMS_Kyoto_run3_MTE!X364</f>
        <v>0</v>
      </c>
      <c r="T140" s="711">
        <f>Bilans_E_AMS_Kyoto_run3_MTE!Y364</f>
        <v>0</v>
      </c>
      <c r="U140" s="711">
        <f>Bilans_E_AMS_Kyoto_run3_MTE!Z364</f>
        <v>12.674207592457092</v>
      </c>
      <c r="V140" s="701"/>
      <c r="W140" s="701"/>
    </row>
    <row r="141" spans="1:23" x14ac:dyDescent="0.25">
      <c r="A141" s="701" t="s">
        <v>504</v>
      </c>
      <c r="B141" s="701"/>
      <c r="C141" s="717" t="s">
        <v>75</v>
      </c>
      <c r="D141" s="711">
        <f>Bilans_E_AMS_Kyoto_run3_MTE!H365</f>
        <v>3.5037649609375006</v>
      </c>
      <c r="E141" s="711">
        <f>Bilans_E_AMS_Kyoto_run3_MTE!I365</f>
        <v>0</v>
      </c>
      <c r="F141" s="711">
        <f>Bilans_E_AMS_Kyoto_run3_MTE!J365</f>
        <v>11.25597354471723</v>
      </c>
      <c r="G141" s="711">
        <f>Bilans_E_AMS_Kyoto_run3_MTE!K365</f>
        <v>0</v>
      </c>
      <c r="H141" s="711">
        <f>Bilans_E_AMS_Kyoto_run3_MTE!L365</f>
        <v>0</v>
      </c>
      <c r="I141" s="711">
        <f>Bilans_E_AMS_Kyoto_run3_MTE!M365</f>
        <v>0</v>
      </c>
      <c r="J141" s="711">
        <f>Bilans_E_AMS_Kyoto_run3_MTE!N365</f>
        <v>0</v>
      </c>
      <c r="K141" s="711">
        <f>Bilans_E_AMS_Kyoto_run3_MTE!O365</f>
        <v>0</v>
      </c>
      <c r="L141" s="711">
        <f>Bilans_E_AMS_Kyoto_run3_MTE!P365</f>
        <v>0</v>
      </c>
      <c r="M141" s="711">
        <f>Bilans_E_AMS_Kyoto_run3_MTE!Q365</f>
        <v>0</v>
      </c>
      <c r="N141" s="711">
        <f>Bilans_E_AMS_Kyoto_run3_MTE!R365</f>
        <v>0</v>
      </c>
      <c r="O141" s="711">
        <f>Bilans_E_AMS_Kyoto_run3_MTE!S365</f>
        <v>0</v>
      </c>
      <c r="P141" s="711">
        <f>Bilans_E_AMS_Kyoto_run3_MTE!T365+Bilans_E_AMS_Kyoto_run3_MTE!U365</f>
        <v>0</v>
      </c>
      <c r="Q141" s="711">
        <f>Bilans_E_AMS_Kyoto_run3_MTE!V365</f>
        <v>0</v>
      </c>
      <c r="R141" s="711">
        <f>Bilans_E_AMS_Kyoto_run3_MTE!W365</f>
        <v>35.053658012222463</v>
      </c>
      <c r="S141" s="711">
        <f>Bilans_E_AMS_Kyoto_run3_MTE!X365</f>
        <v>0</v>
      </c>
      <c r="T141" s="711">
        <f>Bilans_E_AMS_Kyoto_run3_MTE!Y365</f>
        <v>3.1951837496115347</v>
      </c>
      <c r="U141" s="711">
        <f>Bilans_E_AMS_Kyoto_run3_MTE!Z365</f>
        <v>53.008580267488732</v>
      </c>
      <c r="V141" s="701"/>
      <c r="W141" s="701"/>
    </row>
    <row r="142" spans="1:23" x14ac:dyDescent="0.25">
      <c r="A142" s="701" t="s">
        <v>505</v>
      </c>
      <c r="B142" s="701"/>
      <c r="C142" s="717" t="s">
        <v>76</v>
      </c>
      <c r="D142" s="711">
        <f>Bilans_E_AMS_Kyoto_run3_MTE!H366</f>
        <v>0</v>
      </c>
      <c r="E142" s="711">
        <f>Bilans_E_AMS_Kyoto_run3_MTE!I366</f>
        <v>0</v>
      </c>
      <c r="F142" s="711">
        <f>Bilans_E_AMS_Kyoto_run3_MTE!J366</f>
        <v>0</v>
      </c>
      <c r="G142" s="711">
        <f>Bilans_E_AMS_Kyoto_run3_MTE!K366</f>
        <v>0</v>
      </c>
      <c r="H142" s="711">
        <f>Bilans_E_AMS_Kyoto_run3_MTE!L366</f>
        <v>2.3417362535553745</v>
      </c>
      <c r="I142" s="711">
        <f>Bilans_E_AMS_Kyoto_run3_MTE!M366</f>
        <v>0</v>
      </c>
      <c r="J142" s="711">
        <f>Bilans_E_AMS_Kyoto_run3_MTE!N366</f>
        <v>0</v>
      </c>
      <c r="K142" s="711">
        <f>Bilans_E_AMS_Kyoto_run3_MTE!O366</f>
        <v>0</v>
      </c>
      <c r="L142" s="711">
        <f>Bilans_E_AMS_Kyoto_run3_MTE!P366</f>
        <v>0</v>
      </c>
      <c r="M142" s="711">
        <f>Bilans_E_AMS_Kyoto_run3_MTE!Q366</f>
        <v>0</v>
      </c>
      <c r="N142" s="711">
        <f>Bilans_E_AMS_Kyoto_run3_MTE!R366</f>
        <v>0</v>
      </c>
      <c r="O142" s="711">
        <f>Bilans_E_AMS_Kyoto_run3_MTE!S366</f>
        <v>0.58543406338884363</v>
      </c>
      <c r="P142" s="711">
        <f>Bilans_E_AMS_Kyoto_run3_MTE!T366+Bilans_E_AMS_Kyoto_run3_MTE!U366</f>
        <v>0</v>
      </c>
      <c r="Q142" s="711">
        <f>Bilans_E_AMS_Kyoto_run3_MTE!V366</f>
        <v>0</v>
      </c>
      <c r="R142" s="711">
        <f>Bilans_E_AMS_Kyoto_run3_MTE!W366</f>
        <v>50.833401683684251</v>
      </c>
      <c r="S142" s="711">
        <f>Bilans_E_AMS_Kyoto_run3_MTE!X366</f>
        <v>7.00152240179274</v>
      </c>
      <c r="T142" s="711">
        <f>Bilans_E_AMS_Kyoto_run3_MTE!Y366</f>
        <v>0</v>
      </c>
      <c r="U142" s="711">
        <f>Bilans_E_AMS_Kyoto_run3_MTE!Z366</f>
        <v>60.762094402421212</v>
      </c>
      <c r="V142" s="701"/>
      <c r="W142" s="701"/>
    </row>
    <row r="143" spans="1:23" x14ac:dyDescent="0.25">
      <c r="A143" s="701" t="s">
        <v>506</v>
      </c>
      <c r="B143" s="701"/>
      <c r="C143" s="713" t="s">
        <v>77</v>
      </c>
      <c r="D143" s="714">
        <f>Bilans_E_AMS_Kyoto_run3_MTE!H367</f>
        <v>12.5134462890625</v>
      </c>
      <c r="E143" s="714">
        <f>Bilans_E_AMS_Kyoto_run3_MTE!I367</f>
        <v>313.69943241881072</v>
      </c>
      <c r="F143" s="714">
        <f>Bilans_E_AMS_Kyoto_run3_MTE!J367</f>
        <v>-294.72573860835513</v>
      </c>
      <c r="G143" s="714">
        <f>Bilans_E_AMS_Kyoto_run3_MTE!K367</f>
        <v>-2.9087163505255127</v>
      </c>
      <c r="H143" s="714">
        <f>Bilans_E_AMS_Kyoto_run3_MTE!L367</f>
        <v>49.730996964144317</v>
      </c>
      <c r="I143" s="714">
        <f>Bilans_E_AMS_Kyoto_run3_MTE!M367</f>
        <v>-0.61307452578826904</v>
      </c>
      <c r="J143" s="714">
        <f>Bilans_E_AMS_Kyoto_run3_MTE!N367</f>
        <v>1162.7439999999999</v>
      </c>
      <c r="K143" s="714">
        <f>Bilans_E_AMS_Kyoto_run3_MTE!O367</f>
        <v>299.59846132130883</v>
      </c>
      <c r="L143" s="714">
        <f>Bilans_E_AMS_Kyoto_run3_MTE!P367</f>
        <v>219.01005209086182</v>
      </c>
      <c r="M143" s="714">
        <f>Bilans_E_AMS_Kyoto_run3_MTE!Q367</f>
        <v>41.847694799608462</v>
      </c>
      <c r="N143" s="714">
        <f>Bilans_E_AMS_Kyoto_run3_MTE!R367</f>
        <v>-45.472018436609886</v>
      </c>
      <c r="O143" s="714">
        <f>Bilans_E_AMS_Kyoto_run3_MTE!S367</f>
        <v>-37.277974287660989</v>
      </c>
      <c r="P143" s="714">
        <f>Bilans_E_AMS_Kyoto_run3_MTE!T367+Bilans_E_AMS_Kyoto_run3_MTE!U367</f>
        <v>14.160487242314748</v>
      </c>
      <c r="Q143" s="714">
        <f>Bilans_E_AMS_Kyoto_run3_MTE!V367</f>
        <v>16.984242391982921</v>
      </c>
      <c r="R143" s="714">
        <f>Bilans_E_AMS_Kyoto_run3_MTE!W367</f>
        <v>-599.13585594667347</v>
      </c>
      <c r="S143" s="714">
        <f>Bilans_E_AMS_Kyoto_run3_MTE!X367</f>
        <v>-83.293630562308678</v>
      </c>
      <c r="T143" s="714">
        <f>Bilans_E_AMS_Kyoto_run3_MTE!Y367</f>
        <v>-12.699072313710893</v>
      </c>
      <c r="U143" s="714">
        <f>Bilans_E_AMS_Kyoto_run3_MTE!Z367</f>
        <v>1054.1627324864614</v>
      </c>
      <c r="V143" s="701"/>
      <c r="W143" s="701"/>
    </row>
    <row r="144" spans="1:23" x14ac:dyDescent="0.25">
      <c r="A144" s="701"/>
      <c r="B144" s="701"/>
      <c r="C144" s="715"/>
      <c r="D144" s="716"/>
      <c r="E144" s="716"/>
      <c r="F144" s="716"/>
      <c r="G144" s="716"/>
      <c r="H144" s="716"/>
      <c r="I144" s="716"/>
      <c r="J144" s="716"/>
      <c r="K144" s="716"/>
      <c r="L144" s="716"/>
      <c r="M144" s="716"/>
      <c r="N144" s="716"/>
      <c r="O144" s="716"/>
      <c r="P144" s="716">
        <f>Bilans_E_AMS_Kyoto_run3_MTE!T368+Bilans_E_AMS_Kyoto_run3_MTE!U368</f>
        <v>0</v>
      </c>
      <c r="Q144" s="716"/>
      <c r="R144" s="716"/>
      <c r="S144" s="716"/>
      <c r="T144" s="716"/>
      <c r="U144" s="716"/>
      <c r="V144" s="701"/>
      <c r="W144" s="701"/>
    </row>
    <row r="145" spans="1:23" x14ac:dyDescent="0.25">
      <c r="A145" s="701" t="s">
        <v>507</v>
      </c>
      <c r="B145" s="701"/>
      <c r="C145" s="717" t="s">
        <v>78</v>
      </c>
      <c r="D145" s="711">
        <f>Bilans_E_AMS_Kyoto_run3_MTE!H369</f>
        <v>0.59552978515624999</v>
      </c>
      <c r="E145" s="711">
        <f>Bilans_E_AMS_Kyoto_run3_MTE!I369</f>
        <v>0</v>
      </c>
      <c r="F145" s="711">
        <f>Bilans_E_AMS_Kyoto_run3_MTE!J369</f>
        <v>6.9248578185022795</v>
      </c>
      <c r="G145" s="711">
        <f>Bilans_E_AMS_Kyoto_run3_MTE!K369</f>
        <v>0</v>
      </c>
      <c r="H145" s="711">
        <f>Bilans_E_AMS_Kyoto_run3_MTE!L369</f>
        <v>56.056015641570937</v>
      </c>
      <c r="I145" s="711">
        <f>Bilans_E_AMS_Kyoto_run3_MTE!M369</f>
        <v>0</v>
      </c>
      <c r="J145" s="711">
        <f>Bilans_E_AMS_Kyoto_run3_MTE!N369</f>
        <v>0</v>
      </c>
      <c r="K145" s="711">
        <f>Bilans_E_AMS_Kyoto_run3_MTE!O369</f>
        <v>0</v>
      </c>
      <c r="L145" s="711">
        <f>Bilans_E_AMS_Kyoto_run3_MTE!P369</f>
        <v>38.482812658254467</v>
      </c>
      <c r="M145" s="711">
        <f>Bilans_E_AMS_Kyoto_run3_MTE!Q369</f>
        <v>9.5007953936584837</v>
      </c>
      <c r="N145" s="711">
        <f>Bilans_E_AMS_Kyoto_run3_MTE!R369</f>
        <v>0.86864625843500676</v>
      </c>
      <c r="O145" s="711">
        <f>Bilans_E_AMS_Kyoto_run3_MTE!S369</f>
        <v>14.047969700298927</v>
      </c>
      <c r="P145" s="711">
        <f>Bilans_E_AMS_Kyoto_run3_MTE!T369+Bilans_E_AMS_Kyoto_run3_MTE!U369</f>
        <v>7.96939501953125</v>
      </c>
      <c r="Q145" s="711">
        <f>Bilans_E_AMS_Kyoto_run3_MTE!V369</f>
        <v>6.9244826847420892E-4</v>
      </c>
      <c r="R145" s="711">
        <f>Bilans_E_AMS_Kyoto_run3_MTE!W369</f>
        <v>153.63376409766943</v>
      </c>
      <c r="S145" s="711">
        <f>Bilans_E_AMS_Kyoto_run3_MTE!X369</f>
        <v>19.531581585374159</v>
      </c>
      <c r="T145" s="711">
        <f>Bilans_E_AMS_Kyoto_run3_MTE!Y369</f>
        <v>7.0234057617187498</v>
      </c>
      <c r="U145" s="711">
        <f>Bilans_E_AMS_Kyoto_run3_MTE!Z369</f>
        <v>314.63546616843843</v>
      </c>
      <c r="V145" s="701"/>
      <c r="W145" s="701"/>
    </row>
    <row r="146" spans="1:23" x14ac:dyDescent="0.25">
      <c r="A146" s="701" t="s">
        <v>508</v>
      </c>
      <c r="B146" s="701"/>
      <c r="C146" s="717" t="s">
        <v>79</v>
      </c>
      <c r="D146" s="711">
        <f>Bilans_E_AMS_Kyoto_run3_MTE!H370</f>
        <v>0</v>
      </c>
      <c r="E146" s="711">
        <f>Bilans_E_AMS_Kyoto_run3_MTE!I370</f>
        <v>0</v>
      </c>
      <c r="F146" s="711">
        <f>Bilans_E_AMS_Kyoto_run3_MTE!J370</f>
        <v>211.71015331690265</v>
      </c>
      <c r="G146" s="711">
        <f>Bilans_E_AMS_Kyoto_run3_MTE!K370</f>
        <v>0</v>
      </c>
      <c r="H146" s="711">
        <f>Bilans_E_AMS_Kyoto_run3_MTE!L370</f>
        <v>6.084888759318634</v>
      </c>
      <c r="I146" s="711">
        <f>Bilans_E_AMS_Kyoto_run3_MTE!M370</f>
        <v>0</v>
      </c>
      <c r="J146" s="711">
        <f>Bilans_E_AMS_Kyoto_run3_MTE!N370</f>
        <v>0</v>
      </c>
      <c r="K146" s="711">
        <f>Bilans_E_AMS_Kyoto_run3_MTE!O370</f>
        <v>0</v>
      </c>
      <c r="L146" s="711">
        <f>Bilans_E_AMS_Kyoto_run3_MTE!P370</f>
        <v>0</v>
      </c>
      <c r="M146" s="711">
        <f>Bilans_E_AMS_Kyoto_run3_MTE!Q370</f>
        <v>0</v>
      </c>
      <c r="N146" s="711">
        <f>Bilans_E_AMS_Kyoto_run3_MTE!R370</f>
        <v>41.017765544975838</v>
      </c>
      <c r="O146" s="711">
        <f>Bilans_E_AMS_Kyoto_run3_MTE!S370</f>
        <v>1.5212221898296585</v>
      </c>
      <c r="P146" s="711">
        <f>Bilans_E_AMS_Kyoto_run3_MTE!T370+Bilans_E_AMS_Kyoto_run3_MTE!U370</f>
        <v>0</v>
      </c>
      <c r="Q146" s="711">
        <f>Bilans_E_AMS_Kyoto_run3_MTE!V370</f>
        <v>0</v>
      </c>
      <c r="R146" s="711">
        <f>Bilans_E_AMS_Kyoto_run3_MTE!W370</f>
        <v>64.85163743776981</v>
      </c>
      <c r="S146" s="711">
        <f>Bilans_E_AMS_Kyoto_run3_MTE!X370</f>
        <v>0</v>
      </c>
      <c r="T146" s="711">
        <f>Bilans_E_AMS_Kyoto_run3_MTE!Y370</f>
        <v>2.5022787980989989</v>
      </c>
      <c r="U146" s="711">
        <f>Bilans_E_AMS_Kyoto_run3_MTE!Z370</f>
        <v>327.68794604689555</v>
      </c>
      <c r="V146" s="701"/>
      <c r="W146" s="701"/>
    </row>
    <row r="147" spans="1:23" x14ac:dyDescent="0.25">
      <c r="A147" s="701" t="s">
        <v>509</v>
      </c>
      <c r="B147" s="701"/>
      <c r="C147" s="717" t="s">
        <v>80</v>
      </c>
      <c r="D147" s="711">
        <f>Bilans_E_AMS_Kyoto_run3_MTE!H371</f>
        <v>0</v>
      </c>
      <c r="E147" s="711">
        <f>Bilans_E_AMS_Kyoto_run3_MTE!I371</f>
        <v>0</v>
      </c>
      <c r="F147" s="711">
        <f>Bilans_E_AMS_Kyoto_run3_MTE!J371</f>
        <v>1.1922779453513948</v>
      </c>
      <c r="G147" s="711">
        <f>Bilans_E_AMS_Kyoto_run3_MTE!K371</f>
        <v>0</v>
      </c>
      <c r="H147" s="711">
        <f>Bilans_E_AMS_Kyoto_run3_MTE!L371</f>
        <v>49.984411570621333</v>
      </c>
      <c r="I147" s="711">
        <f>Bilans_E_AMS_Kyoto_run3_MTE!M371</f>
        <v>0</v>
      </c>
      <c r="J147" s="711">
        <f>Bilans_E_AMS_Kyoto_run3_MTE!N371</f>
        <v>0</v>
      </c>
      <c r="K147" s="711">
        <f>Bilans_E_AMS_Kyoto_run3_MTE!O371</f>
        <v>0</v>
      </c>
      <c r="L147" s="711">
        <f>Bilans_E_AMS_Kyoto_run3_MTE!P371</f>
        <v>51.327953484818188</v>
      </c>
      <c r="M147" s="711">
        <f>Bilans_E_AMS_Kyoto_run3_MTE!Q371</f>
        <v>0</v>
      </c>
      <c r="N147" s="711">
        <f>Bilans_E_AMS_Kyoto_run3_MTE!R371</f>
        <v>0</v>
      </c>
      <c r="O147" s="711">
        <f>Bilans_E_AMS_Kyoto_run3_MTE!S371</f>
        <v>12.496102892655333</v>
      </c>
      <c r="P147" s="711">
        <f>Bilans_E_AMS_Kyoto_run3_MTE!T371+Bilans_E_AMS_Kyoto_run3_MTE!U371</f>
        <v>106.12788282579821</v>
      </c>
      <c r="Q147" s="711">
        <f>Bilans_E_AMS_Kyoto_run3_MTE!V371</f>
        <v>8.4399601726258009</v>
      </c>
      <c r="R147" s="711">
        <f>Bilans_E_AMS_Kyoto_run3_MTE!W371</f>
        <v>154.71508066801636</v>
      </c>
      <c r="S147" s="711">
        <f>Bilans_E_AMS_Kyoto_run3_MTE!X371</f>
        <v>40.414130897924252</v>
      </c>
      <c r="T147" s="711">
        <f>Bilans_E_AMS_Kyoto_run3_MTE!Y371</f>
        <v>0</v>
      </c>
      <c r="U147" s="711">
        <f>Bilans_E_AMS_Kyoto_run3_MTE!Z371</f>
        <v>424.69780045781079</v>
      </c>
      <c r="V147" s="701"/>
      <c r="W147" s="701"/>
    </row>
    <row r="148" spans="1:23" x14ac:dyDescent="0.25">
      <c r="A148" s="701" t="s">
        <v>510</v>
      </c>
      <c r="B148" s="701"/>
      <c r="C148" s="717" t="s">
        <v>81</v>
      </c>
      <c r="D148" s="711">
        <f>Bilans_E_AMS_Kyoto_run3_MTE!H372</f>
        <v>0</v>
      </c>
      <c r="E148" s="711">
        <f>Bilans_E_AMS_Kyoto_run3_MTE!I372</f>
        <v>0</v>
      </c>
      <c r="F148" s="711">
        <f>Bilans_E_AMS_Kyoto_run3_MTE!J372</f>
        <v>2.1695259016738468</v>
      </c>
      <c r="G148" s="711">
        <f>Bilans_E_AMS_Kyoto_run3_MTE!K372</f>
        <v>0</v>
      </c>
      <c r="H148" s="711">
        <f>Bilans_E_AMS_Kyoto_run3_MTE!L372</f>
        <v>31.961692890831412</v>
      </c>
      <c r="I148" s="711">
        <f>Bilans_E_AMS_Kyoto_run3_MTE!M372</f>
        <v>0</v>
      </c>
      <c r="J148" s="711">
        <f>Bilans_E_AMS_Kyoto_run3_MTE!N372</f>
        <v>0</v>
      </c>
      <c r="K148" s="711">
        <f>Bilans_E_AMS_Kyoto_run3_MTE!O372</f>
        <v>0</v>
      </c>
      <c r="L148" s="711">
        <f>Bilans_E_AMS_Kyoto_run3_MTE!P372</f>
        <v>0.59825096685183632</v>
      </c>
      <c r="M148" s="711">
        <f>Bilans_E_AMS_Kyoto_run3_MTE!Q372</f>
        <v>0</v>
      </c>
      <c r="N148" s="711">
        <f>Bilans_E_AMS_Kyoto_run3_MTE!R372</f>
        <v>0</v>
      </c>
      <c r="O148" s="711">
        <f>Bilans_E_AMS_Kyoto_run3_MTE!S372</f>
        <v>7.9904232227078529</v>
      </c>
      <c r="P148" s="711">
        <f>Bilans_E_AMS_Kyoto_run3_MTE!T372+Bilans_E_AMS_Kyoto_run3_MTE!U372</f>
        <v>42.388089169065466</v>
      </c>
      <c r="Q148" s="711">
        <f>Bilans_E_AMS_Kyoto_run3_MTE!V372</f>
        <v>7.9118943755575595</v>
      </c>
      <c r="R148" s="711">
        <f>Bilans_E_AMS_Kyoto_run3_MTE!W372</f>
        <v>121.82988531988985</v>
      </c>
      <c r="S148" s="711">
        <f>Bilans_E_AMS_Kyoto_run3_MTE!X372</f>
        <v>23.34788734439358</v>
      </c>
      <c r="T148" s="711">
        <f>Bilans_E_AMS_Kyoto_run3_MTE!Y372</f>
        <v>0</v>
      </c>
      <c r="U148" s="711">
        <f>Bilans_E_AMS_Kyoto_run3_MTE!Z372</f>
        <v>238.19764919097142</v>
      </c>
      <c r="V148" s="701"/>
      <c r="W148" s="701"/>
    </row>
    <row r="149" spans="1:23" x14ac:dyDescent="0.25">
      <c r="A149" s="701" t="s">
        <v>511</v>
      </c>
      <c r="B149" s="701"/>
      <c r="C149" s="717" t="s">
        <v>82</v>
      </c>
      <c r="D149" s="711">
        <f>Bilans_E_AMS_Kyoto_run3_MTE!H373</f>
        <v>0</v>
      </c>
      <c r="E149" s="711">
        <f>Bilans_E_AMS_Kyoto_run3_MTE!I373</f>
        <v>0</v>
      </c>
      <c r="F149" s="711">
        <f>Bilans_E_AMS_Kyoto_run3_MTE!J373</f>
        <v>22.236615834161011</v>
      </c>
      <c r="G149" s="711">
        <f>Bilans_E_AMS_Kyoto_run3_MTE!K373</f>
        <v>0</v>
      </c>
      <c r="H149" s="711">
        <f>Bilans_E_AMS_Kyoto_run3_MTE!L373</f>
        <v>1.1928287245433082</v>
      </c>
      <c r="I149" s="711">
        <f>Bilans_E_AMS_Kyoto_run3_MTE!M373</f>
        <v>0</v>
      </c>
      <c r="J149" s="711">
        <f>Bilans_E_AMS_Kyoto_run3_MTE!N373</f>
        <v>0</v>
      </c>
      <c r="K149" s="711">
        <f>Bilans_E_AMS_Kyoto_run3_MTE!O373</f>
        <v>0</v>
      </c>
      <c r="L149" s="711">
        <f>Bilans_E_AMS_Kyoto_run3_MTE!P373</f>
        <v>13.268691220387016</v>
      </c>
      <c r="M149" s="711">
        <f>Bilans_E_AMS_Kyoto_run3_MTE!Q373</f>
        <v>0</v>
      </c>
      <c r="N149" s="711">
        <f>Bilans_E_AMS_Kyoto_run3_MTE!R373</f>
        <v>5.5416929804733215</v>
      </c>
      <c r="O149" s="711">
        <f>Bilans_E_AMS_Kyoto_run3_MTE!S373</f>
        <v>0.29820718113582706</v>
      </c>
      <c r="P149" s="711">
        <f>Bilans_E_AMS_Kyoto_run3_MTE!T373+Bilans_E_AMS_Kyoto_run3_MTE!U373</f>
        <v>0.75</v>
      </c>
      <c r="Q149" s="711">
        <f>Bilans_E_AMS_Kyoto_run3_MTE!V373</f>
        <v>0.96290247555165809</v>
      </c>
      <c r="R149" s="711">
        <f>Bilans_E_AMS_Kyoto_run3_MTE!W373</f>
        <v>8.6394549115432451</v>
      </c>
      <c r="S149" s="711">
        <f>Bilans_E_AMS_Kyoto_run3_MTE!X373</f>
        <v>0</v>
      </c>
      <c r="T149" s="711">
        <f>Bilans_E_AMS_Kyoto_run3_MTE!Y373</f>
        <v>0.30661417718369394</v>
      </c>
      <c r="U149" s="711">
        <f>Bilans_E_AMS_Kyoto_run3_MTE!Z373</f>
        <v>53.197007504979084</v>
      </c>
      <c r="V149" s="701"/>
      <c r="W149" s="701"/>
    </row>
    <row r="150" spans="1:23" x14ac:dyDescent="0.25">
      <c r="A150" s="701" t="s">
        <v>512</v>
      </c>
      <c r="B150" s="701"/>
      <c r="C150" s="717" t="s">
        <v>354</v>
      </c>
      <c r="D150" s="711">
        <f>Bilans_E_AMS_Kyoto_run3_MTE!H374</f>
        <v>0</v>
      </c>
      <c r="E150" s="711">
        <f>Bilans_E_AMS_Kyoto_run3_MTE!I374</f>
        <v>0</v>
      </c>
      <c r="F150" s="711">
        <f>Bilans_E_AMS_Kyoto_run3_MTE!J374</f>
        <v>0</v>
      </c>
      <c r="G150" s="711">
        <f>Bilans_E_AMS_Kyoto_run3_MTE!K374</f>
        <v>0</v>
      </c>
      <c r="H150" s="711">
        <f>Bilans_E_AMS_Kyoto_run3_MTE!L374</f>
        <v>0</v>
      </c>
      <c r="I150" s="711">
        <f>Bilans_E_AMS_Kyoto_run3_MTE!M374</f>
        <v>0</v>
      </c>
      <c r="J150" s="711">
        <f>Bilans_E_AMS_Kyoto_run3_MTE!N374</f>
        <v>0</v>
      </c>
      <c r="K150" s="711">
        <f>Bilans_E_AMS_Kyoto_run3_MTE!O374</f>
        <v>0</v>
      </c>
      <c r="L150" s="711">
        <f>Bilans_E_AMS_Kyoto_run3_MTE!P374</f>
        <v>0</v>
      </c>
      <c r="M150" s="711">
        <f>Bilans_E_AMS_Kyoto_run3_MTE!Q374</f>
        <v>0</v>
      </c>
      <c r="N150" s="711">
        <f>Bilans_E_AMS_Kyoto_run3_MTE!R374</f>
        <v>0</v>
      </c>
      <c r="O150" s="711">
        <f>Bilans_E_AMS_Kyoto_run3_MTE!S374</f>
        <v>0</v>
      </c>
      <c r="P150" s="711">
        <f>Bilans_E_AMS_Kyoto_run3_MTE!T374+Bilans_E_AMS_Kyoto_run3_MTE!U374</f>
        <v>0</v>
      </c>
      <c r="Q150" s="711">
        <f>Bilans_E_AMS_Kyoto_run3_MTE!V374</f>
        <v>0</v>
      </c>
      <c r="R150" s="711">
        <f>Bilans_E_AMS_Kyoto_run3_MTE!W374</f>
        <v>0</v>
      </c>
      <c r="S150" s="711">
        <f>Bilans_E_AMS_Kyoto_run3_MTE!X374</f>
        <v>0</v>
      </c>
      <c r="T150" s="711">
        <f>Bilans_E_AMS_Kyoto_run3_MTE!Y374</f>
        <v>0</v>
      </c>
      <c r="U150" s="711">
        <f>Bilans_E_AMS_Kyoto_run3_MTE!Z374</f>
        <v>0</v>
      </c>
      <c r="V150" s="701"/>
      <c r="W150" s="701"/>
    </row>
    <row r="151" spans="1:23" x14ac:dyDescent="0.25">
      <c r="A151" s="701" t="s">
        <v>513</v>
      </c>
      <c r="B151" s="701"/>
      <c r="C151" s="713" t="s">
        <v>83</v>
      </c>
      <c r="D151" s="714">
        <f>Bilans_E_AMS_Kyoto_run3_MTE!H375</f>
        <v>0.59552978515624999</v>
      </c>
      <c r="E151" s="714">
        <f>Bilans_E_AMS_Kyoto_run3_MTE!I375</f>
        <v>0</v>
      </c>
      <c r="F151" s="714">
        <f>Bilans_E_AMS_Kyoto_run3_MTE!J375</f>
        <v>244.23343081659118</v>
      </c>
      <c r="G151" s="714">
        <f>Bilans_E_AMS_Kyoto_run3_MTE!K375</f>
        <v>0</v>
      </c>
      <c r="H151" s="714">
        <f>Bilans_E_AMS_Kyoto_run3_MTE!L375</f>
        <v>145.27983758688563</v>
      </c>
      <c r="I151" s="714">
        <f>Bilans_E_AMS_Kyoto_run3_MTE!M375</f>
        <v>0</v>
      </c>
      <c r="J151" s="714">
        <f>Bilans_E_AMS_Kyoto_run3_MTE!N375</f>
        <v>0</v>
      </c>
      <c r="K151" s="714">
        <f>Bilans_E_AMS_Kyoto_run3_MTE!O375</f>
        <v>0</v>
      </c>
      <c r="L151" s="714">
        <f>Bilans_E_AMS_Kyoto_run3_MTE!P375</f>
        <v>103.6777083303115</v>
      </c>
      <c r="M151" s="714">
        <f>Bilans_E_AMS_Kyoto_run3_MTE!Q375</f>
        <v>9.5007953936584837</v>
      </c>
      <c r="N151" s="714">
        <f>Bilans_E_AMS_Kyoto_run3_MTE!R375</f>
        <v>47.428104783884166</v>
      </c>
      <c r="O151" s="714">
        <f>Bilans_E_AMS_Kyoto_run3_MTE!S375</f>
        <v>36.353925186627599</v>
      </c>
      <c r="P151" s="714">
        <f>Bilans_E_AMS_Kyoto_run3_MTE!T375+Bilans_E_AMS_Kyoto_run3_MTE!U375</f>
        <v>157.23536701439491</v>
      </c>
      <c r="Q151" s="714">
        <f>Bilans_E_AMS_Kyoto_run3_MTE!V375</f>
        <v>17.315449472003493</v>
      </c>
      <c r="R151" s="714">
        <f>Bilans_E_AMS_Kyoto_run3_MTE!W375</f>
        <v>503.66982243488866</v>
      </c>
      <c r="S151" s="714">
        <f>Bilans_E_AMS_Kyoto_run3_MTE!X375</f>
        <v>83.293599827691992</v>
      </c>
      <c r="T151" s="714">
        <f>Bilans_E_AMS_Kyoto_run3_MTE!Y375</f>
        <v>9.832298737001441</v>
      </c>
      <c r="U151" s="714">
        <f>Bilans_E_AMS_Kyoto_run3_MTE!Z375</f>
        <v>1358.4158693690954</v>
      </c>
      <c r="V151" s="701"/>
      <c r="W151" s="701"/>
    </row>
    <row r="152" spans="1:23" x14ac:dyDescent="0.25">
      <c r="A152" s="701" t="s">
        <v>514</v>
      </c>
      <c r="B152" s="701"/>
      <c r="C152" s="710" t="s">
        <v>84</v>
      </c>
      <c r="D152" s="711">
        <f>Bilans_E_AMS_Kyoto_run3_MTE!H376</f>
        <v>0</v>
      </c>
      <c r="E152" s="711">
        <f>Bilans_E_AMS_Kyoto_run3_MTE!I376</f>
        <v>0</v>
      </c>
      <c r="F152" s="711">
        <f>Bilans_E_AMS_Kyoto_run3_MTE!J376</f>
        <v>108.38831705718137</v>
      </c>
      <c r="G152" s="711">
        <f>Bilans_E_AMS_Kyoto_run3_MTE!K376</f>
        <v>1.2939885995123082</v>
      </c>
      <c r="H152" s="711">
        <f>Bilans_E_AMS_Kyoto_run3_MTE!L376</f>
        <v>12.973217825865042</v>
      </c>
      <c r="I152" s="711">
        <f>Bilans_E_AMS_Kyoto_run3_MTE!M376</f>
        <v>0</v>
      </c>
      <c r="J152" s="711">
        <f>Bilans_E_AMS_Kyoto_run3_MTE!N376</f>
        <v>0</v>
      </c>
      <c r="K152" s="711">
        <f>Bilans_E_AMS_Kyoto_run3_MTE!O376</f>
        <v>0</v>
      </c>
      <c r="L152" s="711">
        <f>Bilans_E_AMS_Kyoto_run3_MTE!P376</f>
        <v>0.29168113881125463</v>
      </c>
      <c r="M152" s="711">
        <f>Bilans_E_AMS_Kyoto_run3_MTE!Q376</f>
        <v>0</v>
      </c>
      <c r="N152" s="711">
        <f>Bilans_E_AMS_Kyoto_run3_MTE!R376</f>
        <v>2.0844051344814138</v>
      </c>
      <c r="O152" s="711">
        <f>Bilans_E_AMS_Kyoto_run3_MTE!S376</f>
        <v>0</v>
      </c>
      <c r="P152" s="711">
        <f>Bilans_E_AMS_Kyoto_run3_MTE!T376+Bilans_E_AMS_Kyoto_run3_MTE!U376</f>
        <v>0</v>
      </c>
      <c r="Q152" s="711">
        <f>Bilans_E_AMS_Kyoto_run3_MTE!V376</f>
        <v>0</v>
      </c>
      <c r="R152" s="711">
        <f>Bilans_E_AMS_Kyoto_run3_MTE!W376</f>
        <v>0</v>
      </c>
      <c r="S152" s="711">
        <f>Bilans_E_AMS_Kyoto_run3_MTE!X376</f>
        <v>0</v>
      </c>
      <c r="T152" s="711">
        <f>Bilans_E_AMS_Kyoto_run3_MTE!Y376</f>
        <v>1.487132000092672</v>
      </c>
      <c r="U152" s="711">
        <f>Bilans_E_AMS_Kyoto_run3_MTE!Z376</f>
        <v>126.51874175594406</v>
      </c>
      <c r="V152" s="701"/>
      <c r="W152" s="701"/>
    </row>
    <row r="153" spans="1:23" x14ac:dyDescent="0.25">
      <c r="A153" s="701" t="s">
        <v>515</v>
      </c>
      <c r="B153" s="701"/>
      <c r="C153" s="713" t="s">
        <v>85</v>
      </c>
      <c r="D153" s="714">
        <f>Bilans_E_AMS_Kyoto_run3_MTE!H377</f>
        <v>0.59552978515624999</v>
      </c>
      <c r="E153" s="714">
        <f>Bilans_E_AMS_Kyoto_run3_MTE!I377</f>
        <v>0</v>
      </c>
      <c r="F153" s="714">
        <f>Bilans_E_AMS_Kyoto_run3_MTE!J377</f>
        <v>352.62174787377256</v>
      </c>
      <c r="G153" s="714">
        <f>Bilans_E_AMS_Kyoto_run3_MTE!K377</f>
        <v>1.2939885995123082</v>
      </c>
      <c r="H153" s="714">
        <f>Bilans_E_AMS_Kyoto_run3_MTE!L377</f>
        <v>158.25305541275068</v>
      </c>
      <c r="I153" s="714">
        <f>Bilans_E_AMS_Kyoto_run3_MTE!M377</f>
        <v>0</v>
      </c>
      <c r="J153" s="714">
        <f>Bilans_E_AMS_Kyoto_run3_MTE!N377</f>
        <v>0</v>
      </c>
      <c r="K153" s="714">
        <f>Bilans_E_AMS_Kyoto_run3_MTE!O377</f>
        <v>0</v>
      </c>
      <c r="L153" s="714">
        <f>Bilans_E_AMS_Kyoto_run3_MTE!P377</f>
        <v>103.96938946912276</v>
      </c>
      <c r="M153" s="714">
        <f>Bilans_E_AMS_Kyoto_run3_MTE!Q377</f>
        <v>9.5007953936584837</v>
      </c>
      <c r="N153" s="714">
        <f>Bilans_E_AMS_Kyoto_run3_MTE!R377</f>
        <v>49.512509918365581</v>
      </c>
      <c r="O153" s="714">
        <f>Bilans_E_AMS_Kyoto_run3_MTE!S377</f>
        <v>36.353925186627599</v>
      </c>
      <c r="P153" s="714">
        <f>Bilans_E_AMS_Kyoto_run3_MTE!T377+Bilans_E_AMS_Kyoto_run3_MTE!U377</f>
        <v>157.23536701439491</v>
      </c>
      <c r="Q153" s="714">
        <f>Bilans_E_AMS_Kyoto_run3_MTE!V377</f>
        <v>17.315449472003493</v>
      </c>
      <c r="R153" s="714">
        <f>Bilans_E_AMS_Kyoto_run3_MTE!W377</f>
        <v>503.66982243488866</v>
      </c>
      <c r="S153" s="714">
        <f>Bilans_E_AMS_Kyoto_run3_MTE!X377</f>
        <v>83.293599827691992</v>
      </c>
      <c r="T153" s="714">
        <f>Bilans_E_AMS_Kyoto_run3_MTE!Y377</f>
        <v>11.319430737094113</v>
      </c>
      <c r="U153" s="714">
        <f>Bilans_E_AMS_Kyoto_run3_MTE!Z377</f>
        <v>1484.9346111250395</v>
      </c>
      <c r="V153" s="701"/>
      <c r="W153" s="701"/>
    </row>
    <row r="154" spans="1:23" x14ac:dyDescent="0.25">
      <c r="A154" s="701"/>
      <c r="B154" s="701"/>
      <c r="C154" s="701"/>
      <c r="D154" s="701">
        <f>Bilans_E_AMS_Kyoto_run3_MTE!H378</f>
        <v>0</v>
      </c>
      <c r="E154" s="701">
        <f>Bilans_E_AMS_Kyoto_run3_MTE!I378</f>
        <v>0</v>
      </c>
      <c r="F154" s="701">
        <f>Bilans_E_AMS_Kyoto_run3_MTE!J378</f>
        <v>0</v>
      </c>
      <c r="G154" s="701">
        <f>Bilans_E_AMS_Kyoto_run3_MTE!K378</f>
        <v>0</v>
      </c>
      <c r="H154" s="701">
        <f>Bilans_E_AMS_Kyoto_run3_MTE!L378</f>
        <v>0</v>
      </c>
      <c r="I154" s="701">
        <f>Bilans_E_AMS_Kyoto_run3_MTE!M378</f>
        <v>0</v>
      </c>
      <c r="J154" s="701">
        <f>Bilans_E_AMS_Kyoto_run3_MTE!N378</f>
        <v>0</v>
      </c>
      <c r="K154" s="701">
        <f>Bilans_E_AMS_Kyoto_run3_MTE!O378</f>
        <v>0</v>
      </c>
      <c r="L154" s="701">
        <f>Bilans_E_AMS_Kyoto_run3_MTE!P378</f>
        <v>0</v>
      </c>
      <c r="M154" s="701">
        <f>Bilans_E_AMS_Kyoto_run3_MTE!Q378</f>
        <v>0</v>
      </c>
      <c r="N154" s="701">
        <f>Bilans_E_AMS_Kyoto_run3_MTE!R378</f>
        <v>0</v>
      </c>
      <c r="O154" s="701">
        <f>Bilans_E_AMS_Kyoto_run3_MTE!S378</f>
        <v>9.1038288019262836E-15</v>
      </c>
      <c r="P154" s="701">
        <f>Bilans_E_AMS_Kyoto_run3_MTE!T378+Bilans_E_AMS_Kyoto_run3_MTE!U378</f>
        <v>0</v>
      </c>
      <c r="Q154" s="701">
        <f>Bilans_E_AMS_Kyoto_run3_MTE!V378</f>
        <v>0</v>
      </c>
      <c r="R154" s="701">
        <f>Bilans_E_AMS_Kyoto_run3_MTE!W378</f>
        <v>0</v>
      </c>
      <c r="S154" s="701">
        <f>Bilans_E_AMS_Kyoto_run3_MTE!X378</f>
        <v>-3.0734616686345362E-5</v>
      </c>
      <c r="T154" s="701">
        <f>Bilans_E_AMS_Kyoto_run3_MTE!Y378</f>
        <v>2.2204460492503131E-15</v>
      </c>
      <c r="U154" s="701">
        <f>Bilans_E_AMS_Kyoto_run3_MTE!Z378</f>
        <v>-3.0734616302652285E-5</v>
      </c>
      <c r="V154" s="701"/>
      <c r="W154" s="701"/>
    </row>
    <row r="155" spans="1:23" x14ac:dyDescent="0.25">
      <c r="A155" s="701"/>
      <c r="B155" s="701"/>
      <c r="C155" s="701"/>
      <c r="D155" s="701"/>
      <c r="E155" s="701"/>
      <c r="F155" s="701"/>
      <c r="G155" s="701"/>
      <c r="H155" s="701"/>
      <c r="I155" s="701"/>
      <c r="J155" s="701"/>
      <c r="K155" s="701"/>
      <c r="L155" s="701"/>
      <c r="M155" s="701"/>
      <c r="N155" s="701"/>
      <c r="O155" s="701"/>
      <c r="P155" s="701"/>
      <c r="Q155" s="701"/>
      <c r="R155" s="701"/>
      <c r="S155" s="701"/>
      <c r="T155" s="701"/>
      <c r="U155" s="701"/>
      <c r="V155" s="701"/>
      <c r="W155" s="701"/>
    </row>
    <row r="156" spans="1:23" x14ac:dyDescent="0.25">
      <c r="A156" s="707"/>
      <c r="B156" s="707"/>
      <c r="C156" s="708" t="s">
        <v>359</v>
      </c>
      <c r="D156" s="707"/>
      <c r="E156" s="707"/>
      <c r="F156" s="707"/>
      <c r="G156" s="707"/>
      <c r="H156" s="707"/>
      <c r="I156" s="707"/>
      <c r="J156" s="707"/>
      <c r="K156" s="707"/>
      <c r="L156" s="707"/>
      <c r="M156" s="707"/>
      <c r="N156" s="707"/>
      <c r="O156" s="707"/>
      <c r="P156" s="707"/>
      <c r="Q156" s="707"/>
      <c r="R156" s="707"/>
      <c r="S156" s="707"/>
      <c r="T156" s="707"/>
      <c r="U156" s="707"/>
      <c r="V156" s="707"/>
      <c r="W156" s="707"/>
    </row>
    <row r="157" spans="1:23" x14ac:dyDescent="0.25">
      <c r="A157" s="701"/>
      <c r="B157" s="701"/>
      <c r="C157" s="701"/>
      <c r="D157" s="701"/>
      <c r="E157" s="701"/>
      <c r="F157" s="701"/>
      <c r="G157" s="701"/>
      <c r="H157" s="701"/>
      <c r="I157" s="701"/>
      <c r="J157" s="701"/>
      <c r="K157" s="701"/>
      <c r="L157" s="701"/>
      <c r="M157" s="701"/>
      <c r="N157" s="701"/>
      <c r="O157" s="701"/>
      <c r="P157" s="701"/>
      <c r="Q157" s="701"/>
      <c r="R157" s="701"/>
      <c r="S157" s="701"/>
      <c r="T157" s="701"/>
      <c r="U157" s="701"/>
      <c r="V157" s="701"/>
      <c r="W157" s="701"/>
    </row>
    <row r="158" spans="1:23" x14ac:dyDescent="0.25">
      <c r="A158" s="701"/>
      <c r="B158" s="701"/>
      <c r="C158" s="780" t="s">
        <v>128</v>
      </c>
      <c r="D158" s="775" t="s">
        <v>42</v>
      </c>
      <c r="E158" s="775" t="s">
        <v>52</v>
      </c>
      <c r="F158" s="775" t="s">
        <v>53</v>
      </c>
      <c r="G158" s="775" t="s">
        <v>482</v>
      </c>
      <c r="H158" s="775" t="s">
        <v>32</v>
      </c>
      <c r="I158" s="775" t="s">
        <v>483</v>
      </c>
      <c r="J158" s="775" t="s">
        <v>20</v>
      </c>
      <c r="K158" s="775" t="s">
        <v>55</v>
      </c>
      <c r="L158" s="777" t="s">
        <v>56</v>
      </c>
      <c r="M158" s="778"/>
      <c r="N158" s="778"/>
      <c r="O158" s="778"/>
      <c r="P158" s="778"/>
      <c r="Q158" s="779"/>
      <c r="R158" s="775" t="s">
        <v>57</v>
      </c>
      <c r="S158" s="775" t="s">
        <v>58</v>
      </c>
      <c r="T158" s="775" t="s">
        <v>31</v>
      </c>
      <c r="U158" s="775" t="s">
        <v>10</v>
      </c>
      <c r="V158" s="701"/>
      <c r="W158" s="701"/>
    </row>
    <row r="159" spans="1:23" ht="67.5" x14ac:dyDescent="0.25">
      <c r="A159" s="701" t="s">
        <v>486</v>
      </c>
      <c r="B159" s="701"/>
      <c r="C159" s="781"/>
      <c r="D159" s="776"/>
      <c r="E159" s="776"/>
      <c r="F159" s="776"/>
      <c r="G159" s="776"/>
      <c r="H159" s="776"/>
      <c r="I159" s="776"/>
      <c r="J159" s="776"/>
      <c r="K159" s="776"/>
      <c r="L159" s="709" t="s">
        <v>335</v>
      </c>
      <c r="M159" s="709" t="s">
        <v>40</v>
      </c>
      <c r="N159" s="709" t="s">
        <v>343</v>
      </c>
      <c r="O159" s="709" t="s">
        <v>344</v>
      </c>
      <c r="P159" s="719" t="s">
        <v>610</v>
      </c>
      <c r="Q159" s="709" t="s">
        <v>346</v>
      </c>
      <c r="R159" s="776"/>
      <c r="S159" s="776"/>
      <c r="T159" s="776"/>
      <c r="U159" s="776"/>
      <c r="V159" s="701"/>
      <c r="W159" s="701"/>
    </row>
    <row r="160" spans="1:23" x14ac:dyDescent="0.25">
      <c r="A160" s="701" t="s">
        <v>487</v>
      </c>
      <c r="B160" s="701"/>
      <c r="C160" s="710" t="s">
        <v>59</v>
      </c>
      <c r="D160" s="711">
        <f>Bilans_E_AMS_Kyoto_run3_MTE!H384</f>
        <v>0</v>
      </c>
      <c r="E160" s="711">
        <f>Bilans_E_AMS_Kyoto_run3_MTE!I384</f>
        <v>1.9073199999999999</v>
      </c>
      <c r="F160" s="711">
        <f>Bilans_E_AMS_Kyoto_run3_MTE!J384</f>
        <v>0</v>
      </c>
      <c r="G160" s="711">
        <f>Bilans_E_AMS_Kyoto_run3_MTE!K384</f>
        <v>0</v>
      </c>
      <c r="H160" s="711">
        <f>Bilans_E_AMS_Kyoto_run3_MTE!L384</f>
        <v>3.9542000000000008E-2</v>
      </c>
      <c r="I160" s="711">
        <f>Bilans_E_AMS_Kyoto_run3_MTE!M384</f>
        <v>0</v>
      </c>
      <c r="J160" s="711">
        <f>Bilans_E_AMS_Kyoto_run3_MTE!N384</f>
        <v>1195.4990290598246</v>
      </c>
      <c r="K160" s="711">
        <f>Bilans_E_AMS_Kyoto_run3_MTE!O384</f>
        <v>352.81639892204078</v>
      </c>
      <c r="L160" s="711">
        <f>Bilans_E_AMS_Kyoto_run3_MTE!P384</f>
        <v>334.74141553105153</v>
      </c>
      <c r="M160" s="711">
        <f>Bilans_E_AMS_Kyoto_run3_MTE!Q384</f>
        <v>49.102811616128875</v>
      </c>
      <c r="N160" s="711">
        <f>Bilans_E_AMS_Kyoto_run3_MTE!R384</f>
        <v>0</v>
      </c>
      <c r="O160" s="711">
        <f>Bilans_E_AMS_Kyoto_run3_MTE!S384</f>
        <v>0</v>
      </c>
      <c r="P160" s="711">
        <f>Bilans_E_AMS_Kyoto_run3_MTE!T384+Bilans_E_AMS_Kyoto_run3_MTE!U384</f>
        <v>200.79978234592807</v>
      </c>
      <c r="Q160" s="711">
        <f>Bilans_E_AMS_Kyoto_run3_MTE!V384</f>
        <v>40.778741630012433</v>
      </c>
      <c r="R160" s="711">
        <f>Bilans_E_AMS_Kyoto_run3_MTE!W384</f>
        <v>0</v>
      </c>
      <c r="S160" s="711">
        <f>Bilans_E_AMS_Kyoto_run3_MTE!X384</f>
        <v>0</v>
      </c>
      <c r="T160" s="711">
        <f>Bilans_E_AMS_Kyoto_run3_MTE!Y384</f>
        <v>0</v>
      </c>
      <c r="U160" s="711">
        <f>Bilans_E_AMS_Kyoto_run3_MTE!Z384</f>
        <v>2175.6850411049863</v>
      </c>
      <c r="V160" s="701"/>
      <c r="W160" s="701"/>
    </row>
    <row r="161" spans="1:23" x14ac:dyDescent="0.25">
      <c r="A161" s="701" t="s">
        <v>488</v>
      </c>
      <c r="B161" s="701"/>
      <c r="C161" s="710" t="s">
        <v>60</v>
      </c>
      <c r="D161" s="712">
        <f>Bilans_E_AMS_Kyoto_run3_MTE!H385</f>
        <v>12.531065673828124</v>
      </c>
      <c r="E161" s="712">
        <f>Bilans_E_AMS_Kyoto_run3_MTE!I385</f>
        <v>260.68864136173096</v>
      </c>
      <c r="F161" s="712">
        <f>Bilans_E_AMS_Kyoto_run3_MTE!J385</f>
        <v>79.769139628982202</v>
      </c>
      <c r="G161" s="712">
        <f>Bilans_E_AMS_Kyoto_run3_MTE!K385</f>
        <v>5.3845155133024489</v>
      </c>
      <c r="H161" s="712">
        <f>Bilans_E_AMS_Kyoto_run3_MTE!L385</f>
        <v>146.10919430668767</v>
      </c>
      <c r="I161" s="712">
        <f>Bilans_E_AMS_Kyoto_run3_MTE!M385</f>
        <v>0</v>
      </c>
      <c r="J161" s="712">
        <f>Bilans_E_AMS_Kyoto_run3_MTE!N385</f>
        <v>0</v>
      </c>
      <c r="K161" s="712">
        <f>Bilans_E_AMS_Kyoto_run3_MTE!O385</f>
        <v>0</v>
      </c>
      <c r="L161" s="712">
        <f>Bilans_E_AMS_Kyoto_run3_MTE!P385</f>
        <v>6.5955281469378519</v>
      </c>
      <c r="M161" s="712">
        <f>Bilans_E_AMS_Kyoto_run3_MTE!Q385</f>
        <v>0</v>
      </c>
      <c r="N161" s="712">
        <f>Bilans_E_AMS_Kyoto_run3_MTE!R385</f>
        <v>13.786836239318319</v>
      </c>
      <c r="O161" s="712">
        <f>Bilans_E_AMS_Kyoto_run3_MTE!S385</f>
        <v>4.2024164944931641</v>
      </c>
      <c r="P161" s="712">
        <f>Bilans_E_AMS_Kyoto_run3_MTE!T385+Bilans_E_AMS_Kyoto_run3_MTE!U385</f>
        <v>0</v>
      </c>
      <c r="Q161" s="712">
        <f>Bilans_E_AMS_Kyoto_run3_MTE!V385</f>
        <v>0</v>
      </c>
      <c r="R161" s="712">
        <f>Bilans_E_AMS_Kyoto_run3_MTE!W385</f>
        <v>0</v>
      </c>
      <c r="S161" s="712">
        <f>Bilans_E_AMS_Kyoto_run3_MTE!X385</f>
        <v>0</v>
      </c>
      <c r="T161" s="712">
        <f>Bilans_E_AMS_Kyoto_run3_MTE!Y385</f>
        <v>0</v>
      </c>
      <c r="U161" s="712">
        <f>Bilans_E_AMS_Kyoto_run3_MTE!Z385</f>
        <v>529.06733736528076</v>
      </c>
      <c r="V161" s="701"/>
      <c r="W161" s="701"/>
    </row>
    <row r="162" spans="1:23" x14ac:dyDescent="0.25">
      <c r="A162" s="701" t="s">
        <v>489</v>
      </c>
      <c r="B162" s="701"/>
      <c r="C162" s="710" t="s">
        <v>61</v>
      </c>
      <c r="D162" s="712">
        <f>Bilans_E_AMS_Kyoto_run3_MTE!H386</f>
        <v>0</v>
      </c>
      <c r="E162" s="712">
        <f>Bilans_E_AMS_Kyoto_run3_MTE!I386</f>
        <v>0</v>
      </c>
      <c r="F162" s="712">
        <f>Bilans_E_AMS_Kyoto_run3_MTE!J386</f>
        <v>0</v>
      </c>
      <c r="G162" s="712">
        <f>Bilans_E_AMS_Kyoto_run3_MTE!K386</f>
        <v>0</v>
      </c>
      <c r="H162" s="712">
        <f>Bilans_E_AMS_Kyoto_run3_MTE!L386</f>
        <v>0</v>
      </c>
      <c r="I162" s="712">
        <f>Bilans_E_AMS_Kyoto_run3_MTE!M386</f>
        <v>0</v>
      </c>
      <c r="J162" s="712">
        <f>Bilans_E_AMS_Kyoto_run3_MTE!N386</f>
        <v>0</v>
      </c>
      <c r="K162" s="712">
        <f>Bilans_E_AMS_Kyoto_run3_MTE!O386</f>
        <v>0</v>
      </c>
      <c r="L162" s="712">
        <f>Bilans_E_AMS_Kyoto_run3_MTE!P386</f>
        <v>0</v>
      </c>
      <c r="M162" s="712">
        <f>Bilans_E_AMS_Kyoto_run3_MTE!Q386</f>
        <v>0</v>
      </c>
      <c r="N162" s="712">
        <f>Bilans_E_AMS_Kyoto_run3_MTE!R386</f>
        <v>0</v>
      </c>
      <c r="O162" s="712">
        <f>Bilans_E_AMS_Kyoto_run3_MTE!S386</f>
        <v>0</v>
      </c>
      <c r="P162" s="712">
        <f>Bilans_E_AMS_Kyoto_run3_MTE!T386+Bilans_E_AMS_Kyoto_run3_MTE!U386</f>
        <v>0</v>
      </c>
      <c r="Q162" s="712">
        <f>Bilans_E_AMS_Kyoto_run3_MTE!V386</f>
        <v>0</v>
      </c>
      <c r="R162" s="712">
        <f>Bilans_E_AMS_Kyoto_run3_MTE!W386</f>
        <v>-112.47635741768158</v>
      </c>
      <c r="S162" s="712">
        <f>Bilans_E_AMS_Kyoto_run3_MTE!X386</f>
        <v>0</v>
      </c>
      <c r="T162" s="712">
        <f>Bilans_E_AMS_Kyoto_run3_MTE!Y386</f>
        <v>0</v>
      </c>
      <c r="U162" s="712">
        <f>Bilans_E_AMS_Kyoto_run3_MTE!Z386</f>
        <v>-112.47635741768158</v>
      </c>
      <c r="V162" s="701"/>
      <c r="W162" s="701"/>
    </row>
    <row r="163" spans="1:23" x14ac:dyDescent="0.25">
      <c r="A163" s="701" t="s">
        <v>490</v>
      </c>
      <c r="B163" s="701"/>
      <c r="C163" s="710" t="s">
        <v>62</v>
      </c>
      <c r="D163" s="711">
        <f>Bilans_E_AMS_Kyoto_run3_MTE!H387</f>
        <v>0</v>
      </c>
      <c r="E163" s="711">
        <f>Bilans_E_AMS_Kyoto_run3_MTE!I387</f>
        <v>0</v>
      </c>
      <c r="F163" s="711">
        <f>Bilans_E_AMS_Kyoto_run3_MTE!J387</f>
        <v>-6.4368278477343406</v>
      </c>
      <c r="G163" s="711">
        <f>Bilans_E_AMS_Kyoto_run3_MTE!K387</f>
        <v>-0.75904465097595197</v>
      </c>
      <c r="H163" s="711">
        <f>Bilans_E_AMS_Kyoto_run3_MTE!L387</f>
        <v>-0.26617313205703391</v>
      </c>
      <c r="I163" s="711">
        <f>Bilans_E_AMS_Kyoto_run3_MTE!M387</f>
        <v>-0.83753949174200382</v>
      </c>
      <c r="J163" s="711">
        <f>Bilans_E_AMS_Kyoto_run3_MTE!N387</f>
        <v>0</v>
      </c>
      <c r="K163" s="711">
        <f>Bilans_E_AMS_Kyoto_run3_MTE!O387</f>
        <v>0</v>
      </c>
      <c r="L163" s="711">
        <f>Bilans_E_AMS_Kyoto_run3_MTE!P387</f>
        <v>0</v>
      </c>
      <c r="M163" s="711">
        <f>Bilans_E_AMS_Kyoto_run3_MTE!Q387</f>
        <v>0</v>
      </c>
      <c r="N163" s="711">
        <f>Bilans_E_AMS_Kyoto_run3_MTE!R387</f>
        <v>0</v>
      </c>
      <c r="O163" s="711">
        <f>Bilans_E_AMS_Kyoto_run3_MTE!S387</f>
        <v>-1.2171669369544087</v>
      </c>
      <c r="P163" s="711">
        <f>Bilans_E_AMS_Kyoto_run3_MTE!T387+Bilans_E_AMS_Kyoto_run3_MTE!U387</f>
        <v>0</v>
      </c>
      <c r="Q163" s="711">
        <f>Bilans_E_AMS_Kyoto_run3_MTE!V387</f>
        <v>0</v>
      </c>
      <c r="R163" s="711">
        <f>Bilans_E_AMS_Kyoto_run3_MTE!W387</f>
        <v>0</v>
      </c>
      <c r="S163" s="711">
        <f>Bilans_E_AMS_Kyoto_run3_MTE!X387</f>
        <v>0</v>
      </c>
      <c r="T163" s="711">
        <f>Bilans_E_AMS_Kyoto_run3_MTE!Y387</f>
        <v>-0.55033649946810814</v>
      </c>
      <c r="U163" s="711">
        <f>Bilans_E_AMS_Kyoto_run3_MTE!Z387</f>
        <v>-10.067088558931845</v>
      </c>
      <c r="V163" s="701"/>
      <c r="W163" s="701"/>
    </row>
    <row r="164" spans="1:23" x14ac:dyDescent="0.25">
      <c r="A164" s="701" t="s">
        <v>491</v>
      </c>
      <c r="B164" s="701"/>
      <c r="C164" s="710" t="s">
        <v>63</v>
      </c>
      <c r="D164" s="711">
        <f>Bilans_E_AMS_Kyoto_run3_MTE!H388</f>
        <v>0</v>
      </c>
      <c r="E164" s="711">
        <f>Bilans_E_AMS_Kyoto_run3_MTE!I388</f>
        <v>0</v>
      </c>
      <c r="F164" s="711">
        <f>Bilans_E_AMS_Kyoto_run3_MTE!J388</f>
        <v>-46.4</v>
      </c>
      <c r="G164" s="711">
        <f>Bilans_E_AMS_Kyoto_run3_MTE!K388</f>
        <v>-6.4</v>
      </c>
      <c r="H164" s="711">
        <f>Bilans_E_AMS_Kyoto_run3_MTE!L388</f>
        <v>0</v>
      </c>
      <c r="I164" s="711">
        <f>Bilans_E_AMS_Kyoto_run3_MTE!M388</f>
        <v>0</v>
      </c>
      <c r="J164" s="711">
        <f>Bilans_E_AMS_Kyoto_run3_MTE!N388</f>
        <v>0</v>
      </c>
      <c r="K164" s="711">
        <f>Bilans_E_AMS_Kyoto_run3_MTE!O388</f>
        <v>0</v>
      </c>
      <c r="L164" s="711">
        <f>Bilans_E_AMS_Kyoto_run3_MTE!P388</f>
        <v>0</v>
      </c>
      <c r="M164" s="711">
        <f>Bilans_E_AMS_Kyoto_run3_MTE!Q388</f>
        <v>0</v>
      </c>
      <c r="N164" s="711">
        <f>Bilans_E_AMS_Kyoto_run3_MTE!R388</f>
        <v>-13.4</v>
      </c>
      <c r="O164" s="711">
        <f>Bilans_E_AMS_Kyoto_run3_MTE!S388</f>
        <v>0</v>
      </c>
      <c r="P164" s="711">
        <f>Bilans_E_AMS_Kyoto_run3_MTE!T388+Bilans_E_AMS_Kyoto_run3_MTE!U388</f>
        <v>0</v>
      </c>
      <c r="Q164" s="711">
        <f>Bilans_E_AMS_Kyoto_run3_MTE!V388</f>
        <v>0</v>
      </c>
      <c r="R164" s="711">
        <f>Bilans_E_AMS_Kyoto_run3_MTE!W388</f>
        <v>0</v>
      </c>
      <c r="S164" s="711">
        <f>Bilans_E_AMS_Kyoto_run3_MTE!X388</f>
        <v>0</v>
      </c>
      <c r="T164" s="711">
        <f>Bilans_E_AMS_Kyoto_run3_MTE!Y388</f>
        <v>-2.2000000000000002</v>
      </c>
      <c r="U164" s="711">
        <f>Bilans_E_AMS_Kyoto_run3_MTE!Z388</f>
        <v>-68.400000000000006</v>
      </c>
      <c r="V164" s="701"/>
      <c r="W164" s="701"/>
    </row>
    <row r="165" spans="1:23" x14ac:dyDescent="0.25">
      <c r="A165" s="701" t="s">
        <v>492</v>
      </c>
      <c r="B165" s="701"/>
      <c r="C165" s="710" t="s">
        <v>64</v>
      </c>
      <c r="D165" s="712">
        <f>Bilans_E_AMS_Kyoto_run3_MTE!H389</f>
        <v>0</v>
      </c>
      <c r="E165" s="712">
        <f>Bilans_E_AMS_Kyoto_run3_MTE!I389</f>
        <v>0</v>
      </c>
      <c r="F165" s="712">
        <f>Bilans_E_AMS_Kyoto_run3_MTE!J389</f>
        <v>0</v>
      </c>
      <c r="G165" s="712">
        <f>Bilans_E_AMS_Kyoto_run3_MTE!K389</f>
        <v>0</v>
      </c>
      <c r="H165" s="712">
        <f>Bilans_E_AMS_Kyoto_run3_MTE!L389</f>
        <v>0</v>
      </c>
      <c r="I165" s="712">
        <f>Bilans_E_AMS_Kyoto_run3_MTE!M389</f>
        <v>0</v>
      </c>
      <c r="J165" s="712">
        <f>Bilans_E_AMS_Kyoto_run3_MTE!N389</f>
        <v>0</v>
      </c>
      <c r="K165" s="712">
        <f>Bilans_E_AMS_Kyoto_run3_MTE!O389</f>
        <v>0</v>
      </c>
      <c r="L165" s="712">
        <f>Bilans_E_AMS_Kyoto_run3_MTE!P389</f>
        <v>0</v>
      </c>
      <c r="M165" s="712">
        <f>Bilans_E_AMS_Kyoto_run3_MTE!Q389</f>
        <v>0</v>
      </c>
      <c r="N165" s="712">
        <f>Bilans_E_AMS_Kyoto_run3_MTE!R389</f>
        <v>0</v>
      </c>
      <c r="O165" s="712">
        <f>Bilans_E_AMS_Kyoto_run3_MTE!S389</f>
        <v>0</v>
      </c>
      <c r="P165" s="712">
        <f>Bilans_E_AMS_Kyoto_run3_MTE!T389+Bilans_E_AMS_Kyoto_run3_MTE!U389</f>
        <v>0</v>
      </c>
      <c r="Q165" s="712">
        <f>Bilans_E_AMS_Kyoto_run3_MTE!V389</f>
        <v>0</v>
      </c>
      <c r="R165" s="712">
        <f>Bilans_E_AMS_Kyoto_run3_MTE!W389</f>
        <v>0</v>
      </c>
      <c r="S165" s="712">
        <f>Bilans_E_AMS_Kyoto_run3_MTE!X389</f>
        <v>0</v>
      </c>
      <c r="T165" s="712">
        <f>Bilans_E_AMS_Kyoto_run3_MTE!Y389</f>
        <v>0</v>
      </c>
      <c r="U165" s="712">
        <f>Bilans_E_AMS_Kyoto_run3_MTE!Z389</f>
        <v>0</v>
      </c>
      <c r="V165" s="701"/>
      <c r="W165" s="701"/>
    </row>
    <row r="166" spans="1:23" x14ac:dyDescent="0.25">
      <c r="A166" s="701" t="s">
        <v>493</v>
      </c>
      <c r="B166" s="701"/>
      <c r="C166" s="713" t="s">
        <v>65</v>
      </c>
      <c r="D166" s="714">
        <f>Bilans_E_AMS_Kyoto_run3_MTE!H390</f>
        <v>12.531065673828124</v>
      </c>
      <c r="E166" s="714">
        <f>Bilans_E_AMS_Kyoto_run3_MTE!I390</f>
        <v>262.59596136173099</v>
      </c>
      <c r="F166" s="714">
        <f>Bilans_E_AMS_Kyoto_run3_MTE!J390</f>
        <v>26.932311781247869</v>
      </c>
      <c r="G166" s="714">
        <f>Bilans_E_AMS_Kyoto_run3_MTE!K390</f>
        <v>-1.7745291376735031</v>
      </c>
      <c r="H166" s="714">
        <f>Bilans_E_AMS_Kyoto_run3_MTE!L390</f>
        <v>145.88256317463066</v>
      </c>
      <c r="I166" s="714">
        <f>Bilans_E_AMS_Kyoto_run3_MTE!M390</f>
        <v>-0.83753949174200382</v>
      </c>
      <c r="J166" s="714">
        <f>Bilans_E_AMS_Kyoto_run3_MTE!N390</f>
        <v>1195.4990290598246</v>
      </c>
      <c r="K166" s="714">
        <f>Bilans_E_AMS_Kyoto_run3_MTE!O390</f>
        <v>352.81639892204078</v>
      </c>
      <c r="L166" s="714">
        <f>Bilans_E_AMS_Kyoto_run3_MTE!P390</f>
        <v>341.33694367798938</v>
      </c>
      <c r="M166" s="714">
        <f>Bilans_E_AMS_Kyoto_run3_MTE!Q390</f>
        <v>49.102811616128875</v>
      </c>
      <c r="N166" s="714">
        <f>Bilans_E_AMS_Kyoto_run3_MTE!R390</f>
        <v>0.38683623931831868</v>
      </c>
      <c r="O166" s="714">
        <f>Bilans_E_AMS_Kyoto_run3_MTE!S390</f>
        <v>2.9852495575387552</v>
      </c>
      <c r="P166" s="714">
        <f>Bilans_E_AMS_Kyoto_run3_MTE!T390+Bilans_E_AMS_Kyoto_run3_MTE!U390</f>
        <v>200.79978234592807</v>
      </c>
      <c r="Q166" s="714">
        <f>Bilans_E_AMS_Kyoto_run3_MTE!V390</f>
        <v>40.778741630012433</v>
      </c>
      <c r="R166" s="714">
        <f>Bilans_E_AMS_Kyoto_run3_MTE!W390</f>
        <v>-112.47635741768158</v>
      </c>
      <c r="S166" s="714">
        <f>Bilans_E_AMS_Kyoto_run3_MTE!X390</f>
        <v>0</v>
      </c>
      <c r="T166" s="714">
        <f>Bilans_E_AMS_Kyoto_run3_MTE!Y390</f>
        <v>-2.7503364994681085</v>
      </c>
      <c r="U166" s="714">
        <f>Bilans_E_AMS_Kyoto_run3_MTE!Z390</f>
        <v>2513.8089324936536</v>
      </c>
      <c r="V166" s="701"/>
      <c r="W166" s="701"/>
    </row>
    <row r="167" spans="1:23" x14ac:dyDescent="0.25">
      <c r="A167" s="701"/>
      <c r="B167" s="701"/>
      <c r="C167" s="715"/>
      <c r="D167" s="716"/>
      <c r="E167" s="716"/>
      <c r="F167" s="716"/>
      <c r="G167" s="716"/>
      <c r="H167" s="716"/>
      <c r="I167" s="716"/>
      <c r="J167" s="716"/>
      <c r="K167" s="716"/>
      <c r="L167" s="716"/>
      <c r="M167" s="716"/>
      <c r="N167" s="716"/>
      <c r="O167" s="716"/>
      <c r="P167" s="716">
        <f>Bilans_E_AMS_Kyoto_run3_MTE!T391+Bilans_E_AMS_Kyoto_run3_MTE!U391</f>
        <v>0</v>
      </c>
      <c r="Q167" s="716"/>
      <c r="R167" s="716"/>
      <c r="S167" s="716"/>
      <c r="T167" s="716"/>
      <c r="U167" s="716"/>
      <c r="V167" s="701"/>
      <c r="W167" s="701"/>
    </row>
    <row r="168" spans="1:23" x14ac:dyDescent="0.25">
      <c r="A168" s="701" t="s">
        <v>494</v>
      </c>
      <c r="B168" s="701"/>
      <c r="C168" s="717" t="s">
        <v>67</v>
      </c>
      <c r="D168" s="711">
        <f>Bilans_E_AMS_Kyoto_run3_MTE!H392</f>
        <v>0</v>
      </c>
      <c r="E168" s="711">
        <f>Bilans_E_AMS_Kyoto_run3_MTE!I392</f>
        <v>0</v>
      </c>
      <c r="F168" s="711">
        <f>Bilans_E_AMS_Kyoto_run3_MTE!J392</f>
        <v>0</v>
      </c>
      <c r="G168" s="711">
        <f>Bilans_E_AMS_Kyoto_run3_MTE!K392</f>
        <v>0</v>
      </c>
      <c r="H168" s="711">
        <f>Bilans_E_AMS_Kyoto_run3_MTE!L392</f>
        <v>0</v>
      </c>
      <c r="I168" s="711">
        <f>Bilans_E_AMS_Kyoto_run3_MTE!M392</f>
        <v>0</v>
      </c>
      <c r="J168" s="711">
        <f>Bilans_E_AMS_Kyoto_run3_MTE!N392</f>
        <v>0</v>
      </c>
      <c r="K168" s="711">
        <f>Bilans_E_AMS_Kyoto_run3_MTE!O392</f>
        <v>0</v>
      </c>
      <c r="L168" s="711">
        <f>Bilans_E_AMS_Kyoto_run3_MTE!P392</f>
        <v>0</v>
      </c>
      <c r="M168" s="711">
        <f>Bilans_E_AMS_Kyoto_run3_MTE!Q392</f>
        <v>0</v>
      </c>
      <c r="N168" s="711">
        <f>Bilans_E_AMS_Kyoto_run3_MTE!R392</f>
        <v>0</v>
      </c>
      <c r="O168" s="711">
        <f>Bilans_E_AMS_Kyoto_run3_MTE!S392</f>
        <v>0</v>
      </c>
      <c r="P168" s="711">
        <f>Bilans_E_AMS_Kyoto_run3_MTE!T392+Bilans_E_AMS_Kyoto_run3_MTE!U392</f>
        <v>0</v>
      </c>
      <c r="Q168" s="711">
        <f>Bilans_E_AMS_Kyoto_run3_MTE!V392</f>
        <v>0</v>
      </c>
      <c r="R168" s="711">
        <f>Bilans_E_AMS_Kyoto_run3_MTE!W392</f>
        <v>0</v>
      </c>
      <c r="S168" s="711">
        <f>Bilans_E_AMS_Kyoto_run3_MTE!X392</f>
        <v>0</v>
      </c>
      <c r="T168" s="711">
        <f>Bilans_E_AMS_Kyoto_run3_MTE!Y392</f>
        <v>0</v>
      </c>
      <c r="U168" s="711">
        <f>Bilans_E_AMS_Kyoto_run3_MTE!Z392</f>
        <v>0</v>
      </c>
      <c r="V168" s="701"/>
      <c r="W168" s="701"/>
    </row>
    <row r="169" spans="1:23" x14ac:dyDescent="0.25">
      <c r="A169" s="701" t="s">
        <v>495</v>
      </c>
      <c r="B169" s="701"/>
      <c r="C169" s="717" t="s">
        <v>347</v>
      </c>
      <c r="D169" s="711">
        <f>Bilans_E_AMS_Kyoto_run3_MTE!H393</f>
        <v>0</v>
      </c>
      <c r="E169" s="711">
        <f>Bilans_E_AMS_Kyoto_run3_MTE!I393</f>
        <v>0</v>
      </c>
      <c r="F169" s="711">
        <f>Bilans_E_AMS_Kyoto_run3_MTE!J393</f>
        <v>0.36057808628354604</v>
      </c>
      <c r="G169" s="711">
        <f>Bilans_E_AMS_Kyoto_run3_MTE!K393</f>
        <v>0</v>
      </c>
      <c r="H169" s="711">
        <f>Bilans_E_AMS_Kyoto_run3_MTE!L393</f>
        <v>8.6510705990175421</v>
      </c>
      <c r="I169" s="711">
        <f>Bilans_E_AMS_Kyoto_run3_MTE!M393</f>
        <v>0</v>
      </c>
      <c r="J169" s="711">
        <f>Bilans_E_AMS_Kyoto_run3_MTE!N393</f>
        <v>1193.4597454545453</v>
      </c>
      <c r="K169" s="711">
        <f>Bilans_E_AMS_Kyoto_run3_MTE!O393</f>
        <v>352.81639892204078</v>
      </c>
      <c r="L169" s="711">
        <f>Bilans_E_AMS_Kyoto_run3_MTE!P393</f>
        <v>17.169316423280179</v>
      </c>
      <c r="M169" s="711">
        <f>Bilans_E_AMS_Kyoto_run3_MTE!Q393</f>
        <v>5.7366833077088035</v>
      </c>
      <c r="N169" s="711">
        <f>Bilans_E_AMS_Kyoto_run3_MTE!R393</f>
        <v>5.3878161949008447</v>
      </c>
      <c r="O169" s="711">
        <f>Bilans_E_AMS_Kyoto_run3_MTE!S393</f>
        <v>5.0608301808950129</v>
      </c>
      <c r="P169" s="711">
        <f>Bilans_E_AMS_Kyoto_run3_MTE!T393+Bilans_E_AMS_Kyoto_run3_MTE!U393</f>
        <v>0</v>
      </c>
      <c r="Q169" s="711">
        <f>Bilans_E_AMS_Kyoto_run3_MTE!V393</f>
        <v>4.9774137725284184</v>
      </c>
      <c r="R169" s="711">
        <f>Bilans_E_AMS_Kyoto_run3_MTE!W393</f>
        <v>-770.22733582540855</v>
      </c>
      <c r="S169" s="711">
        <f>Bilans_E_AMS_Kyoto_run3_MTE!X393</f>
        <v>0</v>
      </c>
      <c r="T169" s="711">
        <f>Bilans_E_AMS_Kyoto_run3_MTE!Y393</f>
        <v>0</v>
      </c>
      <c r="U169" s="711">
        <f>Bilans_E_AMS_Kyoto_run3_MTE!Z393</f>
        <v>823.39251711579163</v>
      </c>
      <c r="V169" s="701"/>
      <c r="W169" s="701"/>
    </row>
    <row r="170" spans="1:23" x14ac:dyDescent="0.25">
      <c r="A170" s="701" t="s">
        <v>496</v>
      </c>
      <c r="B170" s="701"/>
      <c r="C170" s="717" t="s">
        <v>348</v>
      </c>
      <c r="D170" s="711">
        <f>Bilans_E_AMS_Kyoto_run3_MTE!H394</f>
        <v>0</v>
      </c>
      <c r="E170" s="711">
        <f>Bilans_E_AMS_Kyoto_run3_MTE!I394</f>
        <v>0</v>
      </c>
      <c r="F170" s="711">
        <f>Bilans_E_AMS_Kyoto_run3_MTE!J394</f>
        <v>0</v>
      </c>
      <c r="G170" s="711">
        <f>Bilans_E_AMS_Kyoto_run3_MTE!K394</f>
        <v>0</v>
      </c>
      <c r="H170" s="711">
        <f>Bilans_E_AMS_Kyoto_run3_MTE!L394</f>
        <v>16.741941849061199</v>
      </c>
      <c r="I170" s="711">
        <f>Bilans_E_AMS_Kyoto_run3_MTE!M394</f>
        <v>0</v>
      </c>
      <c r="J170" s="711">
        <f>Bilans_E_AMS_Kyoto_run3_MTE!N394</f>
        <v>2.0392836052791781</v>
      </c>
      <c r="K170" s="711">
        <f>Bilans_E_AMS_Kyoto_run3_MTE!O394</f>
        <v>0</v>
      </c>
      <c r="L170" s="711">
        <f>Bilans_E_AMS_Kyoto_run3_MTE!P394</f>
        <v>24.508111114586647</v>
      </c>
      <c r="M170" s="711">
        <f>Bilans_E_AMS_Kyoto_run3_MTE!Q394</f>
        <v>15.713393249215271</v>
      </c>
      <c r="N170" s="711">
        <f>Bilans_E_AMS_Kyoto_run3_MTE!R394</f>
        <v>0</v>
      </c>
      <c r="O170" s="711">
        <f>Bilans_E_AMS_Kyoto_run3_MTE!S394</f>
        <v>8.2544124688387157</v>
      </c>
      <c r="P170" s="711">
        <f>Bilans_E_AMS_Kyoto_run3_MTE!T394+Bilans_E_AMS_Kyoto_run3_MTE!U394</f>
        <v>15.880539172662751</v>
      </c>
      <c r="Q170" s="711">
        <f>Bilans_E_AMS_Kyoto_run3_MTE!V394</f>
        <v>15.123327125815617</v>
      </c>
      <c r="R170" s="711">
        <f>Bilans_E_AMS_Kyoto_run3_MTE!W394</f>
        <v>0</v>
      </c>
      <c r="S170" s="711">
        <f>Bilans_E_AMS_Kyoto_run3_MTE!X394</f>
        <v>-90.455475584151912</v>
      </c>
      <c r="T170" s="711">
        <f>Bilans_E_AMS_Kyoto_run3_MTE!Y394</f>
        <v>0</v>
      </c>
      <c r="U170" s="711">
        <f>Bilans_E_AMS_Kyoto_run3_MTE!Z394</f>
        <v>7.8055330013074666</v>
      </c>
      <c r="V170" s="701"/>
      <c r="W170" s="701"/>
    </row>
    <row r="171" spans="1:23" x14ac:dyDescent="0.25">
      <c r="A171" s="701" t="s">
        <v>497</v>
      </c>
      <c r="B171" s="701"/>
      <c r="C171" s="717" t="s">
        <v>349</v>
      </c>
      <c r="D171" s="711">
        <f>Bilans_E_AMS_Kyoto_run3_MTE!H395</f>
        <v>0</v>
      </c>
      <c r="E171" s="711">
        <f>Bilans_E_AMS_Kyoto_run3_MTE!I395</f>
        <v>0</v>
      </c>
      <c r="F171" s="711">
        <f>Bilans_E_AMS_Kyoto_run3_MTE!J395</f>
        <v>0</v>
      </c>
      <c r="G171" s="711">
        <f>Bilans_E_AMS_Kyoto_run3_MTE!K395</f>
        <v>0</v>
      </c>
      <c r="H171" s="711">
        <f>Bilans_E_AMS_Kyoto_run3_MTE!L395</f>
        <v>0</v>
      </c>
      <c r="I171" s="711">
        <f>Bilans_E_AMS_Kyoto_run3_MTE!M395</f>
        <v>0</v>
      </c>
      <c r="J171" s="711">
        <f>Bilans_E_AMS_Kyoto_run3_MTE!N395</f>
        <v>0</v>
      </c>
      <c r="K171" s="711">
        <f>Bilans_E_AMS_Kyoto_run3_MTE!O395</f>
        <v>0</v>
      </c>
      <c r="L171" s="711">
        <f>Bilans_E_AMS_Kyoto_run3_MTE!P395</f>
        <v>110.70220449796281</v>
      </c>
      <c r="M171" s="711">
        <f>Bilans_E_AMS_Kyoto_run3_MTE!Q395</f>
        <v>11.288363237424081</v>
      </c>
      <c r="N171" s="711">
        <f>Bilans_E_AMS_Kyoto_run3_MTE!R395</f>
        <v>0</v>
      </c>
      <c r="O171" s="711">
        <f>Bilans_E_AMS_Kyoto_run3_MTE!S395</f>
        <v>-61.07757335974334</v>
      </c>
      <c r="P171" s="711">
        <f>Bilans_E_AMS_Kyoto_run3_MTE!T395+Bilans_E_AMS_Kyoto_run3_MTE!U395</f>
        <v>0</v>
      </c>
      <c r="Q171" s="711">
        <f>Bilans_E_AMS_Kyoto_run3_MTE!V395</f>
        <v>0</v>
      </c>
      <c r="R171" s="711">
        <f>Bilans_E_AMS_Kyoto_run3_MTE!W395</f>
        <v>0</v>
      </c>
      <c r="S171" s="711">
        <f>Bilans_E_AMS_Kyoto_run3_MTE!X395</f>
        <v>0</v>
      </c>
      <c r="T171" s="711">
        <f>Bilans_E_AMS_Kyoto_run3_MTE!Y395</f>
        <v>0</v>
      </c>
      <c r="U171" s="711">
        <f>Bilans_E_AMS_Kyoto_run3_MTE!Z395</f>
        <v>60.912994375643549</v>
      </c>
      <c r="V171" s="701"/>
      <c r="W171" s="701"/>
    </row>
    <row r="172" spans="1:23" x14ac:dyDescent="0.25">
      <c r="A172" s="701" t="s">
        <v>498</v>
      </c>
      <c r="B172" s="701"/>
      <c r="C172" s="717" t="s">
        <v>350</v>
      </c>
      <c r="D172" s="711">
        <f>Bilans_E_AMS_Kyoto_run3_MTE!H396</f>
        <v>0</v>
      </c>
      <c r="E172" s="711">
        <f>Bilans_E_AMS_Kyoto_run3_MTE!I396</f>
        <v>0</v>
      </c>
      <c r="F172" s="711">
        <f>Bilans_E_AMS_Kyoto_run3_MTE!J396</f>
        <v>0</v>
      </c>
      <c r="G172" s="711">
        <f>Bilans_E_AMS_Kyoto_run3_MTE!K396</f>
        <v>0</v>
      </c>
      <c r="H172" s="711">
        <f>Bilans_E_AMS_Kyoto_run3_MTE!L396</f>
        <v>0</v>
      </c>
      <c r="I172" s="711">
        <f>Bilans_E_AMS_Kyoto_run3_MTE!M396</f>
        <v>-0.83753949174200382</v>
      </c>
      <c r="J172" s="711">
        <f>Bilans_E_AMS_Kyoto_run3_MTE!N396</f>
        <v>0</v>
      </c>
      <c r="K172" s="711">
        <f>Bilans_E_AMS_Kyoto_run3_MTE!O396</f>
        <v>0</v>
      </c>
      <c r="L172" s="711">
        <f>Bilans_E_AMS_Kyoto_run3_MTE!P396</f>
        <v>0</v>
      </c>
      <c r="M172" s="711">
        <f>Bilans_E_AMS_Kyoto_run3_MTE!Q396</f>
        <v>0</v>
      </c>
      <c r="N172" s="711">
        <f>Bilans_E_AMS_Kyoto_run3_MTE!R396</f>
        <v>0</v>
      </c>
      <c r="O172" s="711">
        <f>Bilans_E_AMS_Kyoto_run3_MTE!S396</f>
        <v>0</v>
      </c>
      <c r="P172" s="711">
        <f>Bilans_E_AMS_Kyoto_run3_MTE!T396+Bilans_E_AMS_Kyoto_run3_MTE!U396</f>
        <v>0</v>
      </c>
      <c r="Q172" s="711">
        <f>Bilans_E_AMS_Kyoto_run3_MTE!V396</f>
        <v>0</v>
      </c>
      <c r="R172" s="711">
        <f>Bilans_E_AMS_Kyoto_run3_MTE!W396</f>
        <v>0</v>
      </c>
      <c r="S172" s="711">
        <f>Bilans_E_AMS_Kyoto_run3_MTE!X396</f>
        <v>0</v>
      </c>
      <c r="T172" s="711">
        <f>Bilans_E_AMS_Kyoto_run3_MTE!Y396</f>
        <v>1.1632492940861165</v>
      </c>
      <c r="U172" s="711">
        <f>Bilans_E_AMS_Kyoto_run3_MTE!Z396</f>
        <v>0.32570980234411273</v>
      </c>
      <c r="V172" s="701"/>
      <c r="W172" s="701"/>
    </row>
    <row r="173" spans="1:23" x14ac:dyDescent="0.25">
      <c r="A173" s="701" t="s">
        <v>499</v>
      </c>
      <c r="B173" s="701"/>
      <c r="C173" s="717" t="s">
        <v>72</v>
      </c>
      <c r="D173" s="711">
        <f>Bilans_E_AMS_Kyoto_run3_MTE!H397</f>
        <v>0</v>
      </c>
      <c r="E173" s="711">
        <f>Bilans_E_AMS_Kyoto_run3_MTE!I397</f>
        <v>272.12802990456925</v>
      </c>
      <c r="F173" s="711">
        <f>Bilans_E_AMS_Kyoto_run3_MTE!J397</f>
        <v>-269.40674960552354</v>
      </c>
      <c r="G173" s="711">
        <f>Bilans_E_AMS_Kyoto_run3_MTE!K397</f>
        <v>0</v>
      </c>
      <c r="H173" s="711">
        <f>Bilans_E_AMS_Kyoto_run3_MTE!L397</f>
        <v>0</v>
      </c>
      <c r="I173" s="711">
        <f>Bilans_E_AMS_Kyoto_run3_MTE!M397</f>
        <v>0</v>
      </c>
      <c r="J173" s="711">
        <f>Bilans_E_AMS_Kyoto_run3_MTE!N397</f>
        <v>0</v>
      </c>
      <c r="K173" s="711">
        <f>Bilans_E_AMS_Kyoto_run3_MTE!O397</f>
        <v>0</v>
      </c>
      <c r="L173" s="711">
        <f>Bilans_E_AMS_Kyoto_run3_MTE!P397</f>
        <v>0</v>
      </c>
      <c r="M173" s="711">
        <f>Bilans_E_AMS_Kyoto_run3_MTE!Q397</f>
        <v>0</v>
      </c>
      <c r="N173" s="711">
        <f>Bilans_E_AMS_Kyoto_run3_MTE!R397</f>
        <v>0</v>
      </c>
      <c r="O173" s="711">
        <f>Bilans_E_AMS_Kyoto_run3_MTE!S397</f>
        <v>0</v>
      </c>
      <c r="P173" s="711">
        <f>Bilans_E_AMS_Kyoto_run3_MTE!T397+Bilans_E_AMS_Kyoto_run3_MTE!U397</f>
        <v>0</v>
      </c>
      <c r="Q173" s="711">
        <f>Bilans_E_AMS_Kyoto_run3_MTE!V397</f>
        <v>0</v>
      </c>
      <c r="R173" s="711">
        <f>Bilans_E_AMS_Kyoto_run3_MTE!W397</f>
        <v>0</v>
      </c>
      <c r="S173" s="711">
        <f>Bilans_E_AMS_Kyoto_run3_MTE!X397</f>
        <v>0</v>
      </c>
      <c r="T173" s="711">
        <f>Bilans_E_AMS_Kyoto_run3_MTE!Y397</f>
        <v>0</v>
      </c>
      <c r="U173" s="711">
        <f>Bilans_E_AMS_Kyoto_run3_MTE!Z397</f>
        <v>2.7212802990457021</v>
      </c>
      <c r="V173" s="701"/>
      <c r="W173" s="701"/>
    </row>
    <row r="174" spans="1:23" x14ac:dyDescent="0.25">
      <c r="A174" s="701" t="s">
        <v>500</v>
      </c>
      <c r="B174" s="701"/>
      <c r="C174" s="717" t="s">
        <v>351</v>
      </c>
      <c r="D174" s="711">
        <f>Bilans_E_AMS_Kyoto_run3_MTE!H398</f>
        <v>0</v>
      </c>
      <c r="E174" s="711">
        <f>Bilans_E_AMS_Kyoto_run3_MTE!I398</f>
        <v>0</v>
      </c>
      <c r="F174" s="711">
        <f>Bilans_E_AMS_Kyoto_run3_MTE!J398</f>
        <v>0</v>
      </c>
      <c r="G174" s="711">
        <f>Bilans_E_AMS_Kyoto_run3_MTE!K398</f>
        <v>0</v>
      </c>
      <c r="H174" s="711">
        <f>Bilans_E_AMS_Kyoto_run3_MTE!L398</f>
        <v>0</v>
      </c>
      <c r="I174" s="711">
        <f>Bilans_E_AMS_Kyoto_run3_MTE!M398</f>
        <v>0</v>
      </c>
      <c r="J174" s="711">
        <f>Bilans_E_AMS_Kyoto_run3_MTE!N398</f>
        <v>0</v>
      </c>
      <c r="K174" s="711">
        <f>Bilans_E_AMS_Kyoto_run3_MTE!O398</f>
        <v>0</v>
      </c>
      <c r="L174" s="711">
        <f>Bilans_E_AMS_Kyoto_run3_MTE!P398</f>
        <v>88.639921652360655</v>
      </c>
      <c r="M174" s="711">
        <f>Bilans_E_AMS_Kyoto_run3_MTE!Q398</f>
        <v>7.2727272727272725</v>
      </c>
      <c r="N174" s="711">
        <f>Bilans_E_AMS_Kyoto_run3_MTE!R398</f>
        <v>-53.457042752935592</v>
      </c>
      <c r="O174" s="711">
        <f>Bilans_E_AMS_Kyoto_run3_MTE!S398</f>
        <v>0</v>
      </c>
      <c r="P174" s="711">
        <f>Bilans_E_AMS_Kyoto_run3_MTE!T398+Bilans_E_AMS_Kyoto_run3_MTE!U398</f>
        <v>0</v>
      </c>
      <c r="Q174" s="711">
        <f>Bilans_E_AMS_Kyoto_run3_MTE!V398</f>
        <v>0</v>
      </c>
      <c r="R174" s="711">
        <f>Bilans_E_AMS_Kyoto_run3_MTE!W398</f>
        <v>0</v>
      </c>
      <c r="S174" s="711">
        <f>Bilans_E_AMS_Kyoto_run3_MTE!X398</f>
        <v>0</v>
      </c>
      <c r="T174" s="711">
        <f>Bilans_E_AMS_Kyoto_run3_MTE!Y398</f>
        <v>0</v>
      </c>
      <c r="U174" s="711">
        <f>Bilans_E_AMS_Kyoto_run3_MTE!Z398</f>
        <v>42.455606172152329</v>
      </c>
      <c r="V174" s="701"/>
      <c r="W174" s="701"/>
    </row>
    <row r="175" spans="1:23" x14ac:dyDescent="0.25">
      <c r="A175" s="701" t="s">
        <v>501</v>
      </c>
      <c r="B175" s="701"/>
      <c r="C175" s="717" t="s">
        <v>352</v>
      </c>
      <c r="D175" s="711">
        <f>Bilans_E_AMS_Kyoto_run3_MTE!H399</f>
        <v>0</v>
      </c>
      <c r="E175" s="711">
        <f>Bilans_E_AMS_Kyoto_run3_MTE!I399</f>
        <v>0</v>
      </c>
      <c r="F175" s="711">
        <f>Bilans_E_AMS_Kyoto_run3_MTE!J399</f>
        <v>0</v>
      </c>
      <c r="G175" s="711">
        <f>Bilans_E_AMS_Kyoto_run3_MTE!K399</f>
        <v>-4.3840446509759525</v>
      </c>
      <c r="H175" s="711">
        <f>Bilans_E_AMS_Kyoto_run3_MTE!L399</f>
        <v>0</v>
      </c>
      <c r="I175" s="711">
        <f>Bilans_E_AMS_Kyoto_run3_MTE!M399</f>
        <v>0</v>
      </c>
      <c r="J175" s="711">
        <f>Bilans_E_AMS_Kyoto_run3_MTE!N399</f>
        <v>0</v>
      </c>
      <c r="K175" s="711">
        <f>Bilans_E_AMS_Kyoto_run3_MTE!O399</f>
        <v>0</v>
      </c>
      <c r="L175" s="711">
        <f>Bilans_E_AMS_Kyoto_run3_MTE!P399</f>
        <v>0</v>
      </c>
      <c r="M175" s="711">
        <f>Bilans_E_AMS_Kyoto_run3_MTE!Q399</f>
        <v>0</v>
      </c>
      <c r="N175" s="711">
        <f>Bilans_E_AMS_Kyoto_run3_MTE!R399</f>
        <v>0</v>
      </c>
      <c r="O175" s="711">
        <f>Bilans_E_AMS_Kyoto_run3_MTE!S399</f>
        <v>0</v>
      </c>
      <c r="P175" s="711">
        <f>Bilans_E_AMS_Kyoto_run3_MTE!T399+Bilans_E_AMS_Kyoto_run3_MTE!U399</f>
        <v>0</v>
      </c>
      <c r="Q175" s="711">
        <f>Bilans_E_AMS_Kyoto_run3_MTE!V399</f>
        <v>0</v>
      </c>
      <c r="R175" s="711">
        <f>Bilans_E_AMS_Kyoto_run3_MTE!W399</f>
        <v>0</v>
      </c>
      <c r="S175" s="711">
        <f>Bilans_E_AMS_Kyoto_run3_MTE!X399</f>
        <v>0</v>
      </c>
      <c r="T175" s="711">
        <f>Bilans_E_AMS_Kyoto_run3_MTE!Y399</f>
        <v>7.2149491160735479</v>
      </c>
      <c r="U175" s="711">
        <f>Bilans_E_AMS_Kyoto_run3_MTE!Z399</f>
        <v>2.8309044650975954</v>
      </c>
      <c r="V175" s="701"/>
      <c r="W175" s="701"/>
    </row>
    <row r="176" spans="1:23" x14ac:dyDescent="0.25">
      <c r="A176" s="701" t="s">
        <v>502</v>
      </c>
      <c r="B176" s="701"/>
      <c r="C176" s="717" t="s">
        <v>73</v>
      </c>
      <c r="D176" s="711">
        <f>Bilans_E_AMS_Kyoto_run3_MTE!H400</f>
        <v>0</v>
      </c>
      <c r="E176" s="711">
        <f>Bilans_E_AMS_Kyoto_run3_MTE!I400</f>
        <v>0</v>
      </c>
      <c r="F176" s="711">
        <f>Bilans_E_AMS_Kyoto_run3_MTE!J400</f>
        <v>0</v>
      </c>
      <c r="G176" s="711">
        <f>Bilans_E_AMS_Kyoto_run3_MTE!K400</f>
        <v>0</v>
      </c>
      <c r="H176" s="711">
        <f>Bilans_E_AMS_Kyoto_run3_MTE!L400</f>
        <v>0</v>
      </c>
      <c r="I176" s="711">
        <f>Bilans_E_AMS_Kyoto_run3_MTE!M400</f>
        <v>0</v>
      </c>
      <c r="J176" s="711">
        <f>Bilans_E_AMS_Kyoto_run3_MTE!N400</f>
        <v>0</v>
      </c>
      <c r="K176" s="711">
        <f>Bilans_E_AMS_Kyoto_run3_MTE!O400</f>
        <v>0</v>
      </c>
      <c r="L176" s="711">
        <f>Bilans_E_AMS_Kyoto_run3_MTE!P400</f>
        <v>0</v>
      </c>
      <c r="M176" s="711">
        <f>Bilans_E_AMS_Kyoto_run3_MTE!Q400</f>
        <v>0</v>
      </c>
      <c r="N176" s="711">
        <f>Bilans_E_AMS_Kyoto_run3_MTE!R400</f>
        <v>0</v>
      </c>
      <c r="O176" s="711">
        <f>Bilans_E_AMS_Kyoto_run3_MTE!S400</f>
        <v>0</v>
      </c>
      <c r="P176" s="711">
        <f>Bilans_E_AMS_Kyoto_run3_MTE!T400+Bilans_E_AMS_Kyoto_run3_MTE!U400</f>
        <v>0</v>
      </c>
      <c r="Q176" s="711">
        <f>Bilans_E_AMS_Kyoto_run3_MTE!V400</f>
        <v>0</v>
      </c>
      <c r="R176" s="711">
        <f>Bilans_E_AMS_Kyoto_run3_MTE!W400</f>
        <v>40.8329668197633</v>
      </c>
      <c r="S176" s="711">
        <f>Bilans_E_AMS_Kyoto_run3_MTE!X400</f>
        <v>0</v>
      </c>
      <c r="T176" s="711">
        <f>Bilans_E_AMS_Kyoto_run3_MTE!Y400</f>
        <v>-27.684751503799522</v>
      </c>
      <c r="U176" s="711">
        <f>Bilans_E_AMS_Kyoto_run3_MTE!Z400</f>
        <v>13.148215315963778</v>
      </c>
      <c r="V176" s="701"/>
      <c r="W176" s="701"/>
    </row>
    <row r="177" spans="1:23" x14ac:dyDescent="0.25">
      <c r="A177" s="701" t="s">
        <v>503</v>
      </c>
      <c r="B177" s="701"/>
      <c r="C177" s="717" t="s">
        <v>353</v>
      </c>
      <c r="D177" s="711">
        <f>Bilans_E_AMS_Kyoto_run3_MTE!H401</f>
        <v>8.7196264453124996</v>
      </c>
      <c r="E177" s="711">
        <f>Bilans_E_AMS_Kyoto_run3_MTE!I401</f>
        <v>-9.5320685428382639</v>
      </c>
      <c r="F177" s="711">
        <f>Bilans_E_AMS_Kyoto_run3_MTE!J401</f>
        <v>12.621512149777095</v>
      </c>
      <c r="G177" s="711">
        <f>Bilans_E_AMS_Kyoto_run3_MTE!K401</f>
        <v>0</v>
      </c>
      <c r="H177" s="711">
        <f>Bilans_E_AMS_Kyoto_run3_MTE!L401</f>
        <v>0</v>
      </c>
      <c r="I177" s="711">
        <f>Bilans_E_AMS_Kyoto_run3_MTE!M401</f>
        <v>0</v>
      </c>
      <c r="J177" s="711">
        <f>Bilans_E_AMS_Kyoto_run3_MTE!N401</f>
        <v>0</v>
      </c>
      <c r="K177" s="711">
        <f>Bilans_E_AMS_Kyoto_run3_MTE!O401</f>
        <v>0</v>
      </c>
      <c r="L177" s="711">
        <f>Bilans_E_AMS_Kyoto_run3_MTE!P401</f>
        <v>0</v>
      </c>
      <c r="M177" s="711">
        <f>Bilans_E_AMS_Kyoto_run3_MTE!Q401</f>
        <v>0</v>
      </c>
      <c r="N177" s="711">
        <f>Bilans_E_AMS_Kyoto_run3_MTE!R401</f>
        <v>0</v>
      </c>
      <c r="O177" s="711">
        <f>Bilans_E_AMS_Kyoto_run3_MTE!S401</f>
        <v>0</v>
      </c>
      <c r="P177" s="711">
        <f>Bilans_E_AMS_Kyoto_run3_MTE!T401+Bilans_E_AMS_Kyoto_run3_MTE!U401</f>
        <v>0</v>
      </c>
      <c r="Q177" s="711">
        <f>Bilans_E_AMS_Kyoto_run3_MTE!V401</f>
        <v>0</v>
      </c>
      <c r="R177" s="711">
        <f>Bilans_E_AMS_Kyoto_run3_MTE!W401</f>
        <v>0</v>
      </c>
      <c r="S177" s="711">
        <f>Bilans_E_AMS_Kyoto_run3_MTE!X401</f>
        <v>0</v>
      </c>
      <c r="T177" s="711">
        <f>Bilans_E_AMS_Kyoto_run3_MTE!Y401</f>
        <v>0</v>
      </c>
      <c r="U177" s="711">
        <f>Bilans_E_AMS_Kyoto_run3_MTE!Z401</f>
        <v>11.809070052251331</v>
      </c>
      <c r="V177" s="701"/>
      <c r="W177" s="701"/>
    </row>
    <row r="178" spans="1:23" x14ac:dyDescent="0.25">
      <c r="A178" s="701" t="s">
        <v>504</v>
      </c>
      <c r="B178" s="701"/>
      <c r="C178" s="717" t="s">
        <v>75</v>
      </c>
      <c r="D178" s="711">
        <f>Bilans_E_AMS_Kyoto_run3_MTE!H402</f>
        <v>3.3909658398437501</v>
      </c>
      <c r="E178" s="711">
        <f>Bilans_E_AMS_Kyoto_run3_MTE!I402</f>
        <v>0</v>
      </c>
      <c r="F178" s="711">
        <f>Bilans_E_AMS_Kyoto_run3_MTE!J402</f>
        <v>9.432796735269573</v>
      </c>
      <c r="G178" s="711">
        <f>Bilans_E_AMS_Kyoto_run3_MTE!K402</f>
        <v>0</v>
      </c>
      <c r="H178" s="711">
        <f>Bilans_E_AMS_Kyoto_run3_MTE!L402</f>
        <v>0</v>
      </c>
      <c r="I178" s="711">
        <f>Bilans_E_AMS_Kyoto_run3_MTE!M402</f>
        <v>0</v>
      </c>
      <c r="J178" s="711">
        <f>Bilans_E_AMS_Kyoto_run3_MTE!N402</f>
        <v>0</v>
      </c>
      <c r="K178" s="711">
        <f>Bilans_E_AMS_Kyoto_run3_MTE!O402</f>
        <v>0</v>
      </c>
      <c r="L178" s="711">
        <f>Bilans_E_AMS_Kyoto_run3_MTE!P402</f>
        <v>0</v>
      </c>
      <c r="M178" s="711">
        <f>Bilans_E_AMS_Kyoto_run3_MTE!Q402</f>
        <v>0</v>
      </c>
      <c r="N178" s="711">
        <f>Bilans_E_AMS_Kyoto_run3_MTE!R402</f>
        <v>0</v>
      </c>
      <c r="O178" s="711">
        <f>Bilans_E_AMS_Kyoto_run3_MTE!S402</f>
        <v>0</v>
      </c>
      <c r="P178" s="711">
        <f>Bilans_E_AMS_Kyoto_run3_MTE!T402+Bilans_E_AMS_Kyoto_run3_MTE!U402</f>
        <v>0</v>
      </c>
      <c r="Q178" s="711">
        <f>Bilans_E_AMS_Kyoto_run3_MTE!V402</f>
        <v>0</v>
      </c>
      <c r="R178" s="711">
        <f>Bilans_E_AMS_Kyoto_run3_MTE!W402</f>
        <v>37.320812200670765</v>
      </c>
      <c r="S178" s="711">
        <f>Bilans_E_AMS_Kyoto_run3_MTE!X402</f>
        <v>0</v>
      </c>
      <c r="T178" s="711">
        <f>Bilans_E_AMS_Kyoto_run3_MTE!Y402</f>
        <v>2.676146999689228</v>
      </c>
      <c r="U178" s="711">
        <f>Bilans_E_AMS_Kyoto_run3_MTE!Z402</f>
        <v>52.820721775473316</v>
      </c>
      <c r="V178" s="701"/>
      <c r="W178" s="701"/>
    </row>
    <row r="179" spans="1:23" x14ac:dyDescent="0.25">
      <c r="A179" s="701" t="s">
        <v>505</v>
      </c>
      <c r="B179" s="701"/>
      <c r="C179" s="717" t="s">
        <v>76</v>
      </c>
      <c r="D179" s="711">
        <f>Bilans_E_AMS_Kyoto_run3_MTE!H403</f>
        <v>0</v>
      </c>
      <c r="E179" s="711">
        <f>Bilans_E_AMS_Kyoto_run3_MTE!I403</f>
        <v>0</v>
      </c>
      <c r="F179" s="711">
        <f>Bilans_E_AMS_Kyoto_run3_MTE!J403</f>
        <v>0</v>
      </c>
      <c r="G179" s="711">
        <f>Bilans_E_AMS_Kyoto_run3_MTE!K403</f>
        <v>0</v>
      </c>
      <c r="H179" s="711">
        <f>Bilans_E_AMS_Kyoto_run3_MTE!L403</f>
        <v>1.5888753550805288</v>
      </c>
      <c r="I179" s="711">
        <f>Bilans_E_AMS_Kyoto_run3_MTE!M403</f>
        <v>0</v>
      </c>
      <c r="J179" s="711">
        <f>Bilans_E_AMS_Kyoto_run3_MTE!N403</f>
        <v>0</v>
      </c>
      <c r="K179" s="711">
        <f>Bilans_E_AMS_Kyoto_run3_MTE!O403</f>
        <v>0</v>
      </c>
      <c r="L179" s="711">
        <f>Bilans_E_AMS_Kyoto_run3_MTE!P403</f>
        <v>0</v>
      </c>
      <c r="M179" s="711">
        <f>Bilans_E_AMS_Kyoto_run3_MTE!Q403</f>
        <v>0</v>
      </c>
      <c r="N179" s="711">
        <f>Bilans_E_AMS_Kyoto_run3_MTE!R403</f>
        <v>0</v>
      </c>
      <c r="O179" s="711">
        <f>Bilans_E_AMS_Kyoto_run3_MTE!S403</f>
        <v>0.74770604944966079</v>
      </c>
      <c r="P179" s="711">
        <f>Bilans_E_AMS_Kyoto_run3_MTE!T403+Bilans_E_AMS_Kyoto_run3_MTE!U403</f>
        <v>0</v>
      </c>
      <c r="Q179" s="711">
        <f>Bilans_E_AMS_Kyoto_run3_MTE!V403</f>
        <v>0</v>
      </c>
      <c r="R179" s="711">
        <f>Bilans_E_AMS_Kyoto_run3_MTE!W403</f>
        <v>53.75602745291291</v>
      </c>
      <c r="S179" s="711">
        <f>Bilans_E_AMS_Kyoto_run3_MTE!X403</f>
        <v>7.0140473976328979</v>
      </c>
      <c r="T179" s="711">
        <f>Bilans_E_AMS_Kyoto_run3_MTE!Y403</f>
        <v>0</v>
      </c>
      <c r="U179" s="711">
        <f>Bilans_E_AMS_Kyoto_run3_MTE!Z403</f>
        <v>63.106656255075997</v>
      </c>
      <c r="V179" s="701"/>
      <c r="W179" s="701"/>
    </row>
    <row r="180" spans="1:23" x14ac:dyDescent="0.25">
      <c r="A180" s="701" t="s">
        <v>506</v>
      </c>
      <c r="B180" s="701"/>
      <c r="C180" s="713" t="s">
        <v>77</v>
      </c>
      <c r="D180" s="714">
        <f>Bilans_E_AMS_Kyoto_run3_MTE!H404</f>
        <v>12.110592285156249</v>
      </c>
      <c r="E180" s="714">
        <f>Bilans_E_AMS_Kyoto_run3_MTE!I404</f>
        <v>262.59596136173099</v>
      </c>
      <c r="F180" s="714">
        <f>Bilans_E_AMS_Kyoto_run3_MTE!J404</f>
        <v>-246.9918626341933</v>
      </c>
      <c r="G180" s="714">
        <f>Bilans_E_AMS_Kyoto_run3_MTE!K404</f>
        <v>-4.3840446509759525</v>
      </c>
      <c r="H180" s="714">
        <f>Bilans_E_AMS_Kyoto_run3_MTE!L404</f>
        <v>26.981887803159271</v>
      </c>
      <c r="I180" s="714">
        <f>Bilans_E_AMS_Kyoto_run3_MTE!M404</f>
        <v>-0.83753949174200382</v>
      </c>
      <c r="J180" s="714">
        <f>Bilans_E_AMS_Kyoto_run3_MTE!N404</f>
        <v>1195.4990290598246</v>
      </c>
      <c r="K180" s="714">
        <f>Bilans_E_AMS_Kyoto_run3_MTE!O404</f>
        <v>352.81639892204078</v>
      </c>
      <c r="L180" s="714">
        <f>Bilans_E_AMS_Kyoto_run3_MTE!P404</f>
        <v>241.01955368819029</v>
      </c>
      <c r="M180" s="714">
        <f>Bilans_E_AMS_Kyoto_run3_MTE!Q404</f>
        <v>40.011167067075426</v>
      </c>
      <c r="N180" s="714">
        <f>Bilans_E_AMS_Kyoto_run3_MTE!R404</f>
        <v>-48.06922655803475</v>
      </c>
      <c r="O180" s="714">
        <f>Bilans_E_AMS_Kyoto_run3_MTE!S404</f>
        <v>-47.014624660559946</v>
      </c>
      <c r="P180" s="714">
        <f>Bilans_E_AMS_Kyoto_run3_MTE!T404+Bilans_E_AMS_Kyoto_run3_MTE!U404</f>
        <v>15.880539172662751</v>
      </c>
      <c r="Q180" s="714">
        <f>Bilans_E_AMS_Kyoto_run3_MTE!V404</f>
        <v>20.100740898344036</v>
      </c>
      <c r="R180" s="714">
        <f>Bilans_E_AMS_Kyoto_run3_MTE!W404</f>
        <v>-638.31752935206157</v>
      </c>
      <c r="S180" s="714">
        <f>Bilans_E_AMS_Kyoto_run3_MTE!X404</f>
        <v>-83.441428186519019</v>
      </c>
      <c r="T180" s="714">
        <f>Bilans_E_AMS_Kyoto_run3_MTE!Y404</f>
        <v>-16.630406093950629</v>
      </c>
      <c r="U180" s="714">
        <f>Bilans_E_AMS_Kyoto_run3_MTE!Z404</f>
        <v>1081.3292086301467</v>
      </c>
      <c r="V180" s="701"/>
      <c r="W180" s="701"/>
    </row>
    <row r="181" spans="1:23" x14ac:dyDescent="0.25">
      <c r="A181" s="701"/>
      <c r="B181" s="701"/>
      <c r="C181" s="715"/>
      <c r="D181" s="716"/>
      <c r="E181" s="716"/>
      <c r="F181" s="716"/>
      <c r="G181" s="716"/>
      <c r="H181" s="716"/>
      <c r="I181" s="716"/>
      <c r="J181" s="716"/>
      <c r="K181" s="716"/>
      <c r="L181" s="716"/>
      <c r="M181" s="716"/>
      <c r="N181" s="716"/>
      <c r="O181" s="716"/>
      <c r="P181" s="716">
        <f>Bilans_E_AMS_Kyoto_run3_MTE!T405+Bilans_E_AMS_Kyoto_run3_MTE!U405</f>
        <v>0</v>
      </c>
      <c r="Q181" s="716"/>
      <c r="R181" s="716"/>
      <c r="S181" s="716"/>
      <c r="T181" s="716"/>
      <c r="U181" s="716"/>
      <c r="V181" s="701"/>
      <c r="W181" s="701"/>
    </row>
    <row r="182" spans="1:23" x14ac:dyDescent="0.25">
      <c r="A182" s="701" t="s">
        <v>507</v>
      </c>
      <c r="B182" s="701"/>
      <c r="C182" s="717" t="s">
        <v>78</v>
      </c>
      <c r="D182" s="711">
        <f>Bilans_E_AMS_Kyoto_run3_MTE!H406</f>
        <v>0.420473388671875</v>
      </c>
      <c r="E182" s="711">
        <f>Bilans_E_AMS_Kyoto_run3_MTE!I406</f>
        <v>0</v>
      </c>
      <c r="F182" s="711">
        <f>Bilans_E_AMS_Kyoto_run3_MTE!J406</f>
        <v>4.5652166127933009</v>
      </c>
      <c r="G182" s="711">
        <f>Bilans_E_AMS_Kyoto_run3_MTE!K406</f>
        <v>0</v>
      </c>
      <c r="H182" s="711">
        <f>Bilans_E_AMS_Kyoto_run3_MTE!L406</f>
        <v>44.193879337952673</v>
      </c>
      <c r="I182" s="711">
        <f>Bilans_E_AMS_Kyoto_run3_MTE!M406</f>
        <v>0</v>
      </c>
      <c r="J182" s="711">
        <f>Bilans_E_AMS_Kyoto_run3_MTE!N406</f>
        <v>0</v>
      </c>
      <c r="K182" s="711">
        <f>Bilans_E_AMS_Kyoto_run3_MTE!O406</f>
        <v>0</v>
      </c>
      <c r="L182" s="711">
        <f>Bilans_E_AMS_Kyoto_run3_MTE!P406</f>
        <v>37.859111409249969</v>
      </c>
      <c r="M182" s="711">
        <f>Bilans_E_AMS_Kyoto_run3_MTE!Q406</f>
        <v>9.091644549053445</v>
      </c>
      <c r="N182" s="711">
        <f>Bilans_E_AMS_Kyoto_run3_MTE!R406</f>
        <v>0.79775456348402363</v>
      </c>
      <c r="O182" s="711">
        <f>Bilans_E_AMS_Kyoto_run3_MTE!S406</f>
        <v>20.833903688960643</v>
      </c>
      <c r="P182" s="711">
        <f>Bilans_E_AMS_Kyoto_run3_MTE!T406+Bilans_E_AMS_Kyoto_run3_MTE!U406</f>
        <v>9.7897363281250005</v>
      </c>
      <c r="Q182" s="711">
        <f>Bilans_E_AMS_Kyoto_run3_MTE!V406</f>
        <v>7.4990210834655101E-4</v>
      </c>
      <c r="R182" s="711">
        <f>Bilans_E_AMS_Kyoto_run3_MTE!W406</f>
        <v>154.61632550799115</v>
      </c>
      <c r="S182" s="711">
        <f>Bilans_E_AMS_Kyoto_run3_MTE!X406</f>
        <v>19.58585971983296</v>
      </c>
      <c r="T182" s="711">
        <f>Bilans_E_AMS_Kyoto_run3_MTE!Y406</f>
        <v>8.1097109374999992</v>
      </c>
      <c r="U182" s="711">
        <f>Bilans_E_AMS_Kyoto_run3_MTE!Z406</f>
        <v>309.86436594572336</v>
      </c>
      <c r="V182" s="701"/>
      <c r="W182" s="701"/>
    </row>
    <row r="183" spans="1:23" x14ac:dyDescent="0.25">
      <c r="A183" s="701" t="s">
        <v>508</v>
      </c>
      <c r="B183" s="701"/>
      <c r="C183" s="717" t="s">
        <v>79</v>
      </c>
      <c r="D183" s="711">
        <f>Bilans_E_AMS_Kyoto_run3_MTE!H407</f>
        <v>0</v>
      </c>
      <c r="E183" s="711">
        <f>Bilans_E_AMS_Kyoto_run3_MTE!I407</f>
        <v>0</v>
      </c>
      <c r="F183" s="711">
        <f>Bilans_E_AMS_Kyoto_run3_MTE!J407</f>
        <v>145.74847122117117</v>
      </c>
      <c r="G183" s="711">
        <f>Bilans_E_AMS_Kyoto_run3_MTE!K407</f>
        <v>0.6</v>
      </c>
      <c r="H183" s="711">
        <f>Bilans_E_AMS_Kyoto_run3_MTE!L407</f>
        <v>5.158710288451207</v>
      </c>
      <c r="I183" s="711">
        <f>Bilans_E_AMS_Kyoto_run3_MTE!M407</f>
        <v>0</v>
      </c>
      <c r="J183" s="711">
        <f>Bilans_E_AMS_Kyoto_run3_MTE!N407</f>
        <v>0</v>
      </c>
      <c r="K183" s="711">
        <f>Bilans_E_AMS_Kyoto_run3_MTE!O407</f>
        <v>0</v>
      </c>
      <c r="L183" s="711">
        <f>Bilans_E_AMS_Kyoto_run3_MTE!P407</f>
        <v>0</v>
      </c>
      <c r="M183" s="711">
        <f>Bilans_E_AMS_Kyoto_run3_MTE!Q407</f>
        <v>0</v>
      </c>
      <c r="N183" s="711">
        <f>Bilans_E_AMS_Kyoto_run3_MTE!R407</f>
        <v>37.983450784080269</v>
      </c>
      <c r="O183" s="711">
        <f>Bilans_E_AMS_Kyoto_run3_MTE!S407</f>
        <v>2.4276283710358628</v>
      </c>
      <c r="P183" s="711">
        <f>Bilans_E_AMS_Kyoto_run3_MTE!T407+Bilans_E_AMS_Kyoto_run3_MTE!U407</f>
        <v>0</v>
      </c>
      <c r="Q183" s="711">
        <f>Bilans_E_AMS_Kyoto_run3_MTE!V407</f>
        <v>0</v>
      </c>
      <c r="R183" s="711">
        <f>Bilans_E_AMS_Kyoto_run3_MTE!W407</f>
        <v>85.093782574296696</v>
      </c>
      <c r="S183" s="711">
        <f>Bilans_E_AMS_Kyoto_run3_MTE!X407</f>
        <v>0</v>
      </c>
      <c r="T183" s="711">
        <f>Bilans_E_AMS_Kyoto_run3_MTE!Y407</f>
        <v>3.6734052555319421</v>
      </c>
      <c r="U183" s="711">
        <f>Bilans_E_AMS_Kyoto_run3_MTE!Z407</f>
        <v>280.68544849456714</v>
      </c>
      <c r="V183" s="701"/>
      <c r="W183" s="701"/>
    </row>
    <row r="184" spans="1:23" x14ac:dyDescent="0.25">
      <c r="A184" s="701" t="s">
        <v>509</v>
      </c>
      <c r="B184" s="701"/>
      <c r="C184" s="717" t="s">
        <v>80</v>
      </c>
      <c r="D184" s="711">
        <f>Bilans_E_AMS_Kyoto_run3_MTE!H408</f>
        <v>0</v>
      </c>
      <c r="E184" s="711">
        <f>Bilans_E_AMS_Kyoto_run3_MTE!I408</f>
        <v>0</v>
      </c>
      <c r="F184" s="711">
        <f>Bilans_E_AMS_Kyoto_run3_MTE!J408</f>
        <v>0.67200053608066723</v>
      </c>
      <c r="G184" s="711">
        <f>Bilans_E_AMS_Kyoto_run3_MTE!K408</f>
        <v>0</v>
      </c>
      <c r="H184" s="711">
        <f>Bilans_E_AMS_Kyoto_run3_MTE!L408</f>
        <v>33.793440313703563</v>
      </c>
      <c r="I184" s="711">
        <f>Bilans_E_AMS_Kyoto_run3_MTE!M408</f>
        <v>0</v>
      </c>
      <c r="J184" s="711">
        <f>Bilans_E_AMS_Kyoto_run3_MTE!N408</f>
        <v>0</v>
      </c>
      <c r="K184" s="711">
        <f>Bilans_E_AMS_Kyoto_run3_MTE!O408</f>
        <v>0</v>
      </c>
      <c r="L184" s="711">
        <f>Bilans_E_AMS_Kyoto_run3_MTE!P408</f>
        <v>46.869025063770188</v>
      </c>
      <c r="M184" s="711">
        <f>Bilans_E_AMS_Kyoto_run3_MTE!Q408</f>
        <v>0</v>
      </c>
      <c r="N184" s="711">
        <f>Bilans_E_AMS_Kyoto_run3_MTE!R408</f>
        <v>0</v>
      </c>
      <c r="O184" s="711">
        <f>Bilans_E_AMS_Kyoto_run3_MTE!S408</f>
        <v>15.902795441742857</v>
      </c>
      <c r="P184" s="711">
        <f>Bilans_E_AMS_Kyoto_run3_MTE!T408+Bilans_E_AMS_Kyoto_run3_MTE!U408</f>
        <v>126.0368711002035</v>
      </c>
      <c r="Q184" s="711">
        <f>Bilans_E_AMS_Kyoto_run3_MTE!V408</f>
        <v>10.28748002838279</v>
      </c>
      <c r="R184" s="711">
        <f>Bilans_E_AMS_Kyoto_run3_MTE!W408</f>
        <v>153.25630739971572</v>
      </c>
      <c r="S184" s="711">
        <f>Bilans_E_AMS_Kyoto_run3_MTE!X408</f>
        <v>40.560183148779373</v>
      </c>
      <c r="T184" s="711">
        <f>Bilans_E_AMS_Kyoto_run3_MTE!Y408</f>
        <v>0</v>
      </c>
      <c r="U184" s="711">
        <f>Bilans_E_AMS_Kyoto_run3_MTE!Z408</f>
        <v>427.3781030323787</v>
      </c>
      <c r="V184" s="701"/>
      <c r="W184" s="701"/>
    </row>
    <row r="185" spans="1:23" x14ac:dyDescent="0.25">
      <c r="A185" s="701" t="s">
        <v>510</v>
      </c>
      <c r="B185" s="701"/>
      <c r="C185" s="717" t="s">
        <v>81</v>
      </c>
      <c r="D185" s="711">
        <f>Bilans_E_AMS_Kyoto_run3_MTE!H409</f>
        <v>0</v>
      </c>
      <c r="E185" s="711">
        <f>Bilans_E_AMS_Kyoto_run3_MTE!I409</f>
        <v>0</v>
      </c>
      <c r="F185" s="711">
        <f>Bilans_E_AMS_Kyoto_run3_MTE!J409</f>
        <v>1.3024591903190665</v>
      </c>
      <c r="G185" s="711">
        <f>Bilans_E_AMS_Kyoto_run3_MTE!K409</f>
        <v>0</v>
      </c>
      <c r="H185" s="711">
        <f>Bilans_E_AMS_Kyoto_run3_MTE!L409</f>
        <v>22.107329443509556</v>
      </c>
      <c r="I185" s="711">
        <f>Bilans_E_AMS_Kyoto_run3_MTE!M409</f>
        <v>0</v>
      </c>
      <c r="J185" s="711">
        <f>Bilans_E_AMS_Kyoto_run3_MTE!N409</f>
        <v>0</v>
      </c>
      <c r="K185" s="711">
        <f>Bilans_E_AMS_Kyoto_run3_MTE!O409</f>
        <v>0</v>
      </c>
      <c r="L185" s="711">
        <f>Bilans_E_AMS_Kyoto_run3_MTE!P409</f>
        <v>0.55939285776182701</v>
      </c>
      <c r="M185" s="711">
        <f>Bilans_E_AMS_Kyoto_run3_MTE!Q409</f>
        <v>0</v>
      </c>
      <c r="N185" s="711">
        <f>Bilans_E_AMS_Kyoto_run3_MTE!R409</f>
        <v>0</v>
      </c>
      <c r="O185" s="711">
        <f>Bilans_E_AMS_Kyoto_run3_MTE!S409</f>
        <v>10.403449149886853</v>
      </c>
      <c r="P185" s="711">
        <f>Bilans_E_AMS_Kyoto_run3_MTE!T409+Bilans_E_AMS_Kyoto_run3_MTE!U409</f>
        <v>48.192635744936815</v>
      </c>
      <c r="Q185" s="711">
        <f>Bilans_E_AMS_Kyoto_run3_MTE!V409</f>
        <v>9.224237582113501</v>
      </c>
      <c r="R185" s="711">
        <f>Bilans_E_AMS_Kyoto_run3_MTE!W409</f>
        <v>121.55538254836378</v>
      </c>
      <c r="S185" s="711">
        <f>Bilans_E_AMS_Kyoto_run3_MTE!X409</f>
        <v>23.29535389238076</v>
      </c>
      <c r="T185" s="711">
        <f>Bilans_E_AMS_Kyoto_run3_MTE!Y409</f>
        <v>0</v>
      </c>
      <c r="U185" s="711">
        <f>Bilans_E_AMS_Kyoto_run3_MTE!Z409</f>
        <v>236.64024040927217</v>
      </c>
      <c r="V185" s="701"/>
      <c r="W185" s="701"/>
    </row>
    <row r="186" spans="1:23" x14ac:dyDescent="0.25">
      <c r="A186" s="701" t="s">
        <v>511</v>
      </c>
      <c r="B186" s="701"/>
      <c r="C186" s="717" t="s">
        <v>82</v>
      </c>
      <c r="D186" s="711">
        <f>Bilans_E_AMS_Kyoto_run3_MTE!H410</f>
        <v>0</v>
      </c>
      <c r="E186" s="711">
        <f>Bilans_E_AMS_Kyoto_run3_MTE!I410</f>
        <v>0</v>
      </c>
      <c r="F186" s="711">
        <f>Bilans_E_AMS_Kyoto_run3_MTE!J410</f>
        <v>17.072371941732264</v>
      </c>
      <c r="G186" s="711">
        <f>Bilans_E_AMS_Kyoto_run3_MTE!K410</f>
        <v>0</v>
      </c>
      <c r="H186" s="711">
        <f>Bilans_E_AMS_Kyoto_run3_MTE!L410</f>
        <v>0.9182073287540522</v>
      </c>
      <c r="I186" s="711">
        <f>Bilans_E_AMS_Kyoto_run3_MTE!M410</f>
        <v>0</v>
      </c>
      <c r="J186" s="711">
        <f>Bilans_E_AMS_Kyoto_run3_MTE!N410</f>
        <v>0</v>
      </c>
      <c r="K186" s="711">
        <f>Bilans_E_AMS_Kyoto_run3_MTE!O410</f>
        <v>0</v>
      </c>
      <c r="L186" s="711">
        <f>Bilans_E_AMS_Kyoto_run3_MTE!P410</f>
        <v>14.623275458181073</v>
      </c>
      <c r="M186" s="711">
        <f>Bilans_E_AMS_Kyoto_run3_MTE!Q410</f>
        <v>0</v>
      </c>
      <c r="N186" s="711">
        <f>Bilans_E_AMS_Kyoto_run3_MTE!R410</f>
        <v>6.5072970956675134</v>
      </c>
      <c r="O186" s="711">
        <f>Bilans_E_AMS_Kyoto_run3_MTE!S410</f>
        <v>0.43209756647249531</v>
      </c>
      <c r="P186" s="711">
        <f>Bilans_E_AMS_Kyoto_run3_MTE!T410+Bilans_E_AMS_Kyoto_run3_MTE!U410</f>
        <v>0.9</v>
      </c>
      <c r="Q186" s="711">
        <f>Bilans_E_AMS_Kyoto_run3_MTE!V410</f>
        <v>1.1655332190637568</v>
      </c>
      <c r="R186" s="711">
        <f>Bilans_E_AMS_Kyoto_run3_MTE!W410</f>
        <v>9.1593739040126536</v>
      </c>
      <c r="S186" s="711">
        <f>Bilans_E_AMS_Kyoto_run3_MTE!X410</f>
        <v>0</v>
      </c>
      <c r="T186" s="711">
        <f>Bilans_E_AMS_Kyoto_run3_MTE!Y410</f>
        <v>0.38638525521088363</v>
      </c>
      <c r="U186" s="711">
        <f>Bilans_E_AMS_Kyoto_run3_MTE!Z410</f>
        <v>51.164541769094683</v>
      </c>
      <c r="V186" s="701"/>
      <c r="W186" s="701"/>
    </row>
    <row r="187" spans="1:23" x14ac:dyDescent="0.25">
      <c r="A187" s="701" t="s">
        <v>512</v>
      </c>
      <c r="B187" s="701"/>
      <c r="C187" s="717" t="s">
        <v>354</v>
      </c>
      <c r="D187" s="711">
        <f>Bilans_E_AMS_Kyoto_run3_MTE!H411</f>
        <v>0</v>
      </c>
      <c r="E187" s="711">
        <f>Bilans_E_AMS_Kyoto_run3_MTE!I411</f>
        <v>0</v>
      </c>
      <c r="F187" s="711">
        <f>Bilans_E_AMS_Kyoto_run3_MTE!J411</f>
        <v>0</v>
      </c>
      <c r="G187" s="711">
        <f>Bilans_E_AMS_Kyoto_run3_MTE!K411</f>
        <v>0</v>
      </c>
      <c r="H187" s="711">
        <f>Bilans_E_AMS_Kyoto_run3_MTE!L411</f>
        <v>0</v>
      </c>
      <c r="I187" s="711">
        <f>Bilans_E_AMS_Kyoto_run3_MTE!M411</f>
        <v>0</v>
      </c>
      <c r="J187" s="711">
        <f>Bilans_E_AMS_Kyoto_run3_MTE!N411</f>
        <v>0</v>
      </c>
      <c r="K187" s="711">
        <f>Bilans_E_AMS_Kyoto_run3_MTE!O411</f>
        <v>0</v>
      </c>
      <c r="L187" s="711">
        <f>Bilans_E_AMS_Kyoto_run3_MTE!P411</f>
        <v>0</v>
      </c>
      <c r="M187" s="711">
        <f>Bilans_E_AMS_Kyoto_run3_MTE!Q411</f>
        <v>0</v>
      </c>
      <c r="N187" s="711">
        <f>Bilans_E_AMS_Kyoto_run3_MTE!R411</f>
        <v>0</v>
      </c>
      <c r="O187" s="711">
        <f>Bilans_E_AMS_Kyoto_run3_MTE!S411</f>
        <v>0</v>
      </c>
      <c r="P187" s="711">
        <f>Bilans_E_AMS_Kyoto_run3_MTE!T411+Bilans_E_AMS_Kyoto_run3_MTE!U411</f>
        <v>0</v>
      </c>
      <c r="Q187" s="711">
        <f>Bilans_E_AMS_Kyoto_run3_MTE!V411</f>
        <v>0</v>
      </c>
      <c r="R187" s="711">
        <f>Bilans_E_AMS_Kyoto_run3_MTE!W411</f>
        <v>2.16</v>
      </c>
      <c r="S187" s="711">
        <f>Bilans_E_AMS_Kyoto_run3_MTE!X411</f>
        <v>0</v>
      </c>
      <c r="T187" s="711">
        <f>Bilans_E_AMS_Kyoto_run3_MTE!Y411</f>
        <v>0</v>
      </c>
      <c r="U187" s="711">
        <f>Bilans_E_AMS_Kyoto_run3_MTE!Z411</f>
        <v>2.16</v>
      </c>
      <c r="V187" s="701"/>
      <c r="W187" s="701"/>
    </row>
    <row r="188" spans="1:23" x14ac:dyDescent="0.25">
      <c r="A188" s="701" t="s">
        <v>513</v>
      </c>
      <c r="B188" s="701"/>
      <c r="C188" s="713" t="s">
        <v>83</v>
      </c>
      <c r="D188" s="714">
        <f>Bilans_E_AMS_Kyoto_run3_MTE!H412</f>
        <v>0.420473388671875</v>
      </c>
      <c r="E188" s="714">
        <f>Bilans_E_AMS_Kyoto_run3_MTE!I412</f>
        <v>0</v>
      </c>
      <c r="F188" s="714">
        <f>Bilans_E_AMS_Kyoto_run3_MTE!J412</f>
        <v>169.36051950209648</v>
      </c>
      <c r="G188" s="714">
        <f>Bilans_E_AMS_Kyoto_run3_MTE!K412</f>
        <v>0.6</v>
      </c>
      <c r="H188" s="714">
        <f>Bilans_E_AMS_Kyoto_run3_MTE!L412</f>
        <v>106.17156671237105</v>
      </c>
      <c r="I188" s="714">
        <f>Bilans_E_AMS_Kyoto_run3_MTE!M412</f>
        <v>0</v>
      </c>
      <c r="J188" s="714">
        <f>Bilans_E_AMS_Kyoto_run3_MTE!N412</f>
        <v>0</v>
      </c>
      <c r="K188" s="714">
        <f>Bilans_E_AMS_Kyoto_run3_MTE!O412</f>
        <v>0</v>
      </c>
      <c r="L188" s="714">
        <f>Bilans_E_AMS_Kyoto_run3_MTE!P412</f>
        <v>99.910804788963048</v>
      </c>
      <c r="M188" s="714">
        <f>Bilans_E_AMS_Kyoto_run3_MTE!Q412</f>
        <v>9.091644549053445</v>
      </c>
      <c r="N188" s="714">
        <f>Bilans_E_AMS_Kyoto_run3_MTE!R412</f>
        <v>45.288502443231806</v>
      </c>
      <c r="O188" s="714">
        <f>Bilans_E_AMS_Kyoto_run3_MTE!S412</f>
        <v>49.999874218098711</v>
      </c>
      <c r="P188" s="714">
        <f>Bilans_E_AMS_Kyoto_run3_MTE!T412+Bilans_E_AMS_Kyoto_run3_MTE!U412</f>
        <v>184.9192431732653</v>
      </c>
      <c r="Q188" s="714">
        <f>Bilans_E_AMS_Kyoto_run3_MTE!V412</f>
        <v>20.678000731668394</v>
      </c>
      <c r="R188" s="714">
        <f>Bilans_E_AMS_Kyoto_run3_MTE!W412</f>
        <v>525.84117193437999</v>
      </c>
      <c r="S188" s="714">
        <f>Bilans_E_AMS_Kyoto_run3_MTE!X412</f>
        <v>83.441396760993086</v>
      </c>
      <c r="T188" s="714">
        <f>Bilans_E_AMS_Kyoto_run3_MTE!Y412</f>
        <v>12.169501448242825</v>
      </c>
      <c r="U188" s="714">
        <f>Bilans_E_AMS_Kyoto_run3_MTE!Z412</f>
        <v>1307.8926996510361</v>
      </c>
      <c r="V188" s="701"/>
      <c r="W188" s="701"/>
    </row>
    <row r="189" spans="1:23" x14ac:dyDescent="0.25">
      <c r="A189" s="701" t="s">
        <v>514</v>
      </c>
      <c r="B189" s="701"/>
      <c r="C189" s="710" t="s">
        <v>84</v>
      </c>
      <c r="D189" s="711">
        <f>Bilans_E_AMS_Kyoto_run3_MTE!H413</f>
        <v>0</v>
      </c>
      <c r="E189" s="711">
        <f>Bilans_E_AMS_Kyoto_run3_MTE!I413</f>
        <v>0</v>
      </c>
      <c r="F189" s="711">
        <f>Bilans_E_AMS_Kyoto_run3_MTE!J413</f>
        <v>104.56365491334468</v>
      </c>
      <c r="G189" s="711">
        <f>Bilans_E_AMS_Kyoto_run3_MTE!K413</f>
        <v>2.0095155133024498</v>
      </c>
      <c r="H189" s="711">
        <f>Bilans_E_AMS_Kyoto_run3_MTE!L413</f>
        <v>12.7291086591003</v>
      </c>
      <c r="I189" s="711">
        <f>Bilans_E_AMS_Kyoto_run3_MTE!M413</f>
        <v>0</v>
      </c>
      <c r="J189" s="711">
        <f>Bilans_E_AMS_Kyoto_run3_MTE!N413</f>
        <v>0</v>
      </c>
      <c r="K189" s="711">
        <f>Bilans_E_AMS_Kyoto_run3_MTE!O413</f>
        <v>0</v>
      </c>
      <c r="L189" s="711">
        <f>Bilans_E_AMS_Kyoto_run3_MTE!P413</f>
        <v>0.40658520083603628</v>
      </c>
      <c r="M189" s="711">
        <f>Bilans_E_AMS_Kyoto_run3_MTE!Q413</f>
        <v>0</v>
      </c>
      <c r="N189" s="711">
        <f>Bilans_E_AMS_Kyoto_run3_MTE!R413</f>
        <v>3.1675603541212554</v>
      </c>
      <c r="O189" s="711">
        <f>Bilans_E_AMS_Kyoto_run3_MTE!S413</f>
        <v>0</v>
      </c>
      <c r="P189" s="711">
        <f>Bilans_E_AMS_Kyoto_run3_MTE!T413+Bilans_E_AMS_Kyoto_run3_MTE!U413</f>
        <v>0</v>
      </c>
      <c r="Q189" s="711">
        <f>Bilans_E_AMS_Kyoto_run3_MTE!V413</f>
        <v>0</v>
      </c>
      <c r="R189" s="711">
        <f>Bilans_E_AMS_Kyoto_run3_MTE!W413</f>
        <v>0</v>
      </c>
      <c r="S189" s="711">
        <f>Bilans_E_AMS_Kyoto_run3_MTE!X413</f>
        <v>0</v>
      </c>
      <c r="T189" s="711">
        <f>Bilans_E_AMS_Kyoto_run3_MTE!Y413</f>
        <v>1.710568146239696</v>
      </c>
      <c r="U189" s="711">
        <f>Bilans_E_AMS_Kyoto_run3_MTE!Z413</f>
        <v>124.58699278694441</v>
      </c>
      <c r="V189" s="701"/>
      <c r="W189" s="701"/>
    </row>
    <row r="190" spans="1:23" x14ac:dyDescent="0.25">
      <c r="A190" s="701" t="s">
        <v>515</v>
      </c>
      <c r="B190" s="701"/>
      <c r="C190" s="713" t="s">
        <v>85</v>
      </c>
      <c r="D190" s="714">
        <f>Bilans_E_AMS_Kyoto_run3_MTE!H414</f>
        <v>0.420473388671875</v>
      </c>
      <c r="E190" s="714">
        <f>Bilans_E_AMS_Kyoto_run3_MTE!I414</f>
        <v>0</v>
      </c>
      <c r="F190" s="714">
        <f>Bilans_E_AMS_Kyoto_run3_MTE!J414</f>
        <v>273.92417441544114</v>
      </c>
      <c r="G190" s="714">
        <f>Bilans_E_AMS_Kyoto_run3_MTE!K414</f>
        <v>2.6095155133024499</v>
      </c>
      <c r="H190" s="714">
        <f>Bilans_E_AMS_Kyoto_run3_MTE!L414</f>
        <v>118.90067537147135</v>
      </c>
      <c r="I190" s="714">
        <f>Bilans_E_AMS_Kyoto_run3_MTE!M414</f>
        <v>0</v>
      </c>
      <c r="J190" s="714">
        <f>Bilans_E_AMS_Kyoto_run3_MTE!N414</f>
        <v>0</v>
      </c>
      <c r="K190" s="714">
        <f>Bilans_E_AMS_Kyoto_run3_MTE!O414</f>
        <v>0</v>
      </c>
      <c r="L190" s="714">
        <f>Bilans_E_AMS_Kyoto_run3_MTE!P414</f>
        <v>100.31738998979908</v>
      </c>
      <c r="M190" s="714">
        <f>Bilans_E_AMS_Kyoto_run3_MTE!Q414</f>
        <v>9.091644549053445</v>
      </c>
      <c r="N190" s="714">
        <f>Bilans_E_AMS_Kyoto_run3_MTE!R414</f>
        <v>48.456062797353063</v>
      </c>
      <c r="O190" s="714">
        <f>Bilans_E_AMS_Kyoto_run3_MTE!S414</f>
        <v>49.999874218098711</v>
      </c>
      <c r="P190" s="714">
        <f>Bilans_E_AMS_Kyoto_run3_MTE!T414+Bilans_E_AMS_Kyoto_run3_MTE!U414</f>
        <v>184.9192431732653</v>
      </c>
      <c r="Q190" s="714">
        <f>Bilans_E_AMS_Kyoto_run3_MTE!V414</f>
        <v>20.678000731668394</v>
      </c>
      <c r="R190" s="714">
        <f>Bilans_E_AMS_Kyoto_run3_MTE!W414</f>
        <v>525.84117193437999</v>
      </c>
      <c r="S190" s="714">
        <f>Bilans_E_AMS_Kyoto_run3_MTE!X414</f>
        <v>83.441396760993086</v>
      </c>
      <c r="T190" s="714">
        <f>Bilans_E_AMS_Kyoto_run3_MTE!Y414</f>
        <v>13.880069594482521</v>
      </c>
      <c r="U190" s="714">
        <f>Bilans_E_AMS_Kyoto_run3_MTE!Z414</f>
        <v>1432.4796924379805</v>
      </c>
      <c r="V190" s="701"/>
      <c r="W190" s="701"/>
    </row>
    <row r="191" spans="1:23" x14ac:dyDescent="0.25">
      <c r="A191" s="701"/>
      <c r="B191" s="701"/>
      <c r="C191" s="701"/>
      <c r="D191" s="701">
        <f>Bilans_E_AMS_Kyoto_run3_MTE!H415</f>
        <v>0</v>
      </c>
      <c r="E191" s="701">
        <f>Bilans_E_AMS_Kyoto_run3_MTE!I415</f>
        <v>0</v>
      </c>
      <c r="F191" s="701">
        <f>Bilans_E_AMS_Kyoto_run3_MTE!J415</f>
        <v>0</v>
      </c>
      <c r="G191" s="701">
        <f>Bilans_E_AMS_Kyoto_run3_MTE!K415</f>
        <v>0</v>
      </c>
      <c r="H191" s="701">
        <f>Bilans_E_AMS_Kyoto_run3_MTE!L415</f>
        <v>0</v>
      </c>
      <c r="I191" s="701">
        <f>Bilans_E_AMS_Kyoto_run3_MTE!M415</f>
        <v>0</v>
      </c>
      <c r="J191" s="701">
        <f>Bilans_E_AMS_Kyoto_run3_MTE!N415</f>
        <v>0</v>
      </c>
      <c r="K191" s="701">
        <f>Bilans_E_AMS_Kyoto_run3_MTE!O415</f>
        <v>0</v>
      </c>
      <c r="L191" s="701">
        <f>Bilans_E_AMS_Kyoto_run3_MTE!P415</f>
        <v>0</v>
      </c>
      <c r="M191" s="701">
        <f>Bilans_E_AMS_Kyoto_run3_MTE!Q415</f>
        <v>0</v>
      </c>
      <c r="N191" s="701">
        <f>Bilans_E_AMS_Kyoto_run3_MTE!R415</f>
        <v>-5.3290705182007514E-15</v>
      </c>
      <c r="O191" s="701">
        <f>Bilans_E_AMS_Kyoto_run3_MTE!S415</f>
        <v>9.7699626167013776E-15</v>
      </c>
      <c r="P191" s="701">
        <f>Bilans_E_AMS_Kyoto_run3_MTE!T415+Bilans_E_AMS_Kyoto_run3_MTE!U415</f>
        <v>0</v>
      </c>
      <c r="Q191" s="701">
        <f>Bilans_E_AMS_Kyoto_run3_MTE!V415</f>
        <v>0</v>
      </c>
      <c r="R191" s="701">
        <f>Bilans_E_AMS_Kyoto_run3_MTE!W415</f>
        <v>0</v>
      </c>
      <c r="S191" s="701">
        <f>Bilans_E_AMS_Kyoto_run3_MTE!X415</f>
        <v>-3.1425525932604614E-5</v>
      </c>
      <c r="T191" s="701">
        <f>Bilans_E_AMS_Kyoto_run3_MTE!Y415</f>
        <v>0</v>
      </c>
      <c r="U191" s="701">
        <f>Bilans_E_AMS_Kyoto_run3_MTE!Z415</f>
        <v>-3.1425526685779914E-5</v>
      </c>
      <c r="V191" s="701"/>
      <c r="W191" s="701"/>
    </row>
    <row r="192" spans="1:23" x14ac:dyDescent="0.25">
      <c r="A192" s="701"/>
      <c r="B192" s="701"/>
      <c r="C192" s="701"/>
      <c r="D192" s="701"/>
      <c r="E192" s="701"/>
      <c r="F192" s="701"/>
      <c r="G192" s="701"/>
      <c r="H192" s="701"/>
      <c r="I192" s="701"/>
      <c r="J192" s="701"/>
      <c r="K192" s="701"/>
      <c r="L192" s="701"/>
      <c r="M192" s="701"/>
      <c r="N192" s="701"/>
      <c r="O192" s="701"/>
      <c r="P192" s="701"/>
      <c r="Q192" s="701"/>
      <c r="R192" s="701"/>
      <c r="S192" s="701"/>
      <c r="T192" s="701"/>
      <c r="U192" s="701"/>
      <c r="V192" s="701"/>
      <c r="W192" s="701"/>
    </row>
    <row r="193" spans="1:23" x14ac:dyDescent="0.25">
      <c r="A193" s="707"/>
      <c r="B193" s="707"/>
      <c r="C193" s="708" t="s">
        <v>360</v>
      </c>
      <c r="D193" s="707"/>
      <c r="E193" s="707"/>
      <c r="F193" s="707"/>
      <c r="G193" s="707"/>
      <c r="H193" s="707"/>
      <c r="I193" s="707"/>
      <c r="J193" s="707"/>
      <c r="K193" s="707"/>
      <c r="L193" s="707"/>
      <c r="M193" s="707"/>
      <c r="N193" s="707"/>
      <c r="O193" s="707"/>
      <c r="P193" s="707"/>
      <c r="Q193" s="707"/>
      <c r="R193" s="707"/>
      <c r="S193" s="707"/>
      <c r="T193" s="707"/>
      <c r="U193" s="707"/>
      <c r="V193" s="707"/>
      <c r="W193" s="707"/>
    </row>
    <row r="194" spans="1:23" x14ac:dyDescent="0.25">
      <c r="A194" s="701"/>
      <c r="B194" s="701"/>
      <c r="C194" s="701"/>
      <c r="D194" s="701"/>
      <c r="E194" s="701"/>
      <c r="F194" s="701"/>
      <c r="G194" s="701"/>
      <c r="H194" s="701"/>
      <c r="I194" s="701"/>
      <c r="J194" s="701"/>
      <c r="K194" s="701"/>
      <c r="L194" s="701"/>
      <c r="M194" s="701"/>
      <c r="N194" s="701"/>
      <c r="O194" s="701"/>
      <c r="P194" s="701"/>
      <c r="Q194" s="701"/>
      <c r="R194" s="701"/>
      <c r="S194" s="701"/>
      <c r="T194" s="701"/>
      <c r="U194" s="701"/>
      <c r="V194" s="701"/>
      <c r="W194" s="701"/>
    </row>
    <row r="195" spans="1:23" x14ac:dyDescent="0.25">
      <c r="A195" s="701"/>
      <c r="B195" s="701"/>
      <c r="C195" s="780" t="s">
        <v>128</v>
      </c>
      <c r="D195" s="775" t="s">
        <v>42</v>
      </c>
      <c r="E195" s="775" t="s">
        <v>52</v>
      </c>
      <c r="F195" s="775" t="s">
        <v>53</v>
      </c>
      <c r="G195" s="775" t="s">
        <v>482</v>
      </c>
      <c r="H195" s="775" t="s">
        <v>32</v>
      </c>
      <c r="I195" s="775" t="s">
        <v>483</v>
      </c>
      <c r="J195" s="775" t="s">
        <v>20</v>
      </c>
      <c r="K195" s="775" t="s">
        <v>55</v>
      </c>
      <c r="L195" s="777" t="s">
        <v>56</v>
      </c>
      <c r="M195" s="778"/>
      <c r="N195" s="778"/>
      <c r="O195" s="778"/>
      <c r="P195" s="778"/>
      <c r="Q195" s="779"/>
      <c r="R195" s="775" t="s">
        <v>57</v>
      </c>
      <c r="S195" s="775" t="s">
        <v>58</v>
      </c>
      <c r="T195" s="775" t="s">
        <v>31</v>
      </c>
      <c r="U195" s="775" t="s">
        <v>10</v>
      </c>
      <c r="V195" s="701"/>
      <c r="W195" s="701"/>
    </row>
    <row r="196" spans="1:23" ht="67.5" x14ac:dyDescent="0.25">
      <c r="A196" s="701" t="s">
        <v>486</v>
      </c>
      <c r="B196" s="701"/>
      <c r="C196" s="781"/>
      <c r="D196" s="776"/>
      <c r="E196" s="776"/>
      <c r="F196" s="776"/>
      <c r="G196" s="776"/>
      <c r="H196" s="776"/>
      <c r="I196" s="776"/>
      <c r="J196" s="776"/>
      <c r="K196" s="776"/>
      <c r="L196" s="709" t="s">
        <v>335</v>
      </c>
      <c r="M196" s="709" t="s">
        <v>40</v>
      </c>
      <c r="N196" s="709" t="s">
        <v>343</v>
      </c>
      <c r="O196" s="709" t="s">
        <v>344</v>
      </c>
      <c r="P196" s="719" t="s">
        <v>610</v>
      </c>
      <c r="Q196" s="709" t="s">
        <v>346</v>
      </c>
      <c r="R196" s="776"/>
      <c r="S196" s="776"/>
      <c r="T196" s="776"/>
      <c r="U196" s="776"/>
      <c r="V196" s="701"/>
      <c r="W196" s="701"/>
    </row>
    <row r="197" spans="1:23" x14ac:dyDescent="0.25">
      <c r="A197" s="701" t="s">
        <v>487</v>
      </c>
      <c r="B197" s="701"/>
      <c r="C197" s="710" t="s">
        <v>59</v>
      </c>
      <c r="D197" s="711">
        <f>Bilans_E_AMS_Kyoto_run3_MTE!H421</f>
        <v>0</v>
      </c>
      <c r="E197" s="711">
        <f>Bilans_E_AMS_Kyoto_run3_MTE!I421</f>
        <v>0</v>
      </c>
      <c r="F197" s="711">
        <f>Bilans_E_AMS_Kyoto_run3_MTE!J421</f>
        <v>0</v>
      </c>
      <c r="G197" s="711">
        <f>Bilans_E_AMS_Kyoto_run3_MTE!K421</f>
        <v>0</v>
      </c>
      <c r="H197" s="711">
        <f>Bilans_E_AMS_Kyoto_run3_MTE!L421</f>
        <v>0</v>
      </c>
      <c r="I197" s="711">
        <f>Bilans_E_AMS_Kyoto_run3_MTE!M421</f>
        <v>0</v>
      </c>
      <c r="J197" s="711">
        <f>Bilans_E_AMS_Kyoto_run3_MTE!N421</f>
        <v>1217.3350254612858</v>
      </c>
      <c r="K197" s="711">
        <f>Bilans_E_AMS_Kyoto_run3_MTE!O421</f>
        <v>388.29502398919544</v>
      </c>
      <c r="L197" s="711">
        <f>Bilans_E_AMS_Kyoto_run3_MTE!P421</f>
        <v>345.22412922668985</v>
      </c>
      <c r="M197" s="711">
        <f>Bilans_E_AMS_Kyoto_run3_MTE!Q421</f>
        <v>47.572914538902204</v>
      </c>
      <c r="N197" s="711">
        <f>Bilans_E_AMS_Kyoto_run3_MTE!R421</f>
        <v>0</v>
      </c>
      <c r="O197" s="711">
        <f>Bilans_E_AMS_Kyoto_run3_MTE!S421</f>
        <v>0</v>
      </c>
      <c r="P197" s="711">
        <f>Bilans_E_AMS_Kyoto_run3_MTE!T421+Bilans_E_AMS_Kyoto_run3_MTE!U421</f>
        <v>217.97798120035498</v>
      </c>
      <c r="Q197" s="711">
        <f>Bilans_E_AMS_Kyoto_run3_MTE!V421</f>
        <v>44.670610017190697</v>
      </c>
      <c r="R197" s="711">
        <f>Bilans_E_AMS_Kyoto_run3_MTE!W421</f>
        <v>0</v>
      </c>
      <c r="S197" s="711">
        <f>Bilans_E_AMS_Kyoto_run3_MTE!X421</f>
        <v>0</v>
      </c>
      <c r="T197" s="711">
        <f>Bilans_E_AMS_Kyoto_run3_MTE!Y421</f>
        <v>0</v>
      </c>
      <c r="U197" s="711">
        <f>Bilans_E_AMS_Kyoto_run3_MTE!Z421</f>
        <v>2261.0756844336188</v>
      </c>
      <c r="V197" s="701"/>
      <c r="W197" s="701"/>
    </row>
    <row r="198" spans="1:23" x14ac:dyDescent="0.25">
      <c r="A198" s="701" t="s">
        <v>488</v>
      </c>
      <c r="B198" s="701"/>
      <c r="C198" s="710" t="s">
        <v>60</v>
      </c>
      <c r="D198" s="712">
        <f>Bilans_E_AMS_Kyoto_run3_MTE!H422</f>
        <v>12.152793945312501</v>
      </c>
      <c r="E198" s="712">
        <f>Bilans_E_AMS_Kyoto_run3_MTE!I422</f>
        <v>228.52698065701114</v>
      </c>
      <c r="F198" s="712">
        <f>Bilans_E_AMS_Kyoto_run3_MTE!J422</f>
        <v>52.757657499876444</v>
      </c>
      <c r="G198" s="712">
        <f>Bilans_E_AMS_Kyoto_run3_MTE!K422</f>
        <v>7.0861725721851325</v>
      </c>
      <c r="H198" s="712">
        <f>Bilans_E_AMS_Kyoto_run3_MTE!L422</f>
        <v>109.90340859679944</v>
      </c>
      <c r="I198" s="712">
        <f>Bilans_E_AMS_Kyoto_run3_MTE!M422</f>
        <v>0</v>
      </c>
      <c r="J198" s="712">
        <f>Bilans_E_AMS_Kyoto_run3_MTE!N422</f>
        <v>0</v>
      </c>
      <c r="K198" s="712">
        <f>Bilans_E_AMS_Kyoto_run3_MTE!O422</f>
        <v>0</v>
      </c>
      <c r="L198" s="712">
        <f>Bilans_E_AMS_Kyoto_run3_MTE!P422</f>
        <v>8.3609545225008901</v>
      </c>
      <c r="M198" s="712">
        <f>Bilans_E_AMS_Kyoto_run3_MTE!Q422</f>
        <v>0</v>
      </c>
      <c r="N198" s="712">
        <f>Bilans_E_AMS_Kyoto_run3_MTE!R422</f>
        <v>12.640823760452299</v>
      </c>
      <c r="O198" s="712">
        <f>Bilans_E_AMS_Kyoto_run3_MTE!S422</f>
        <v>0</v>
      </c>
      <c r="P198" s="712">
        <f>Bilans_E_AMS_Kyoto_run3_MTE!T422+Bilans_E_AMS_Kyoto_run3_MTE!U422</f>
        <v>0</v>
      </c>
      <c r="Q198" s="712">
        <f>Bilans_E_AMS_Kyoto_run3_MTE!V422</f>
        <v>0</v>
      </c>
      <c r="R198" s="712">
        <f>Bilans_E_AMS_Kyoto_run3_MTE!W422</f>
        <v>0</v>
      </c>
      <c r="S198" s="712">
        <f>Bilans_E_AMS_Kyoto_run3_MTE!X422</f>
        <v>0</v>
      </c>
      <c r="T198" s="712">
        <f>Bilans_E_AMS_Kyoto_run3_MTE!Y422</f>
        <v>0</v>
      </c>
      <c r="U198" s="712">
        <f>Bilans_E_AMS_Kyoto_run3_MTE!Z422</f>
        <v>431.42879155413789</v>
      </c>
      <c r="V198" s="701"/>
      <c r="W198" s="701"/>
    </row>
    <row r="199" spans="1:23" x14ac:dyDescent="0.25">
      <c r="A199" s="701" t="s">
        <v>489</v>
      </c>
      <c r="B199" s="701"/>
      <c r="C199" s="710" t="s">
        <v>61</v>
      </c>
      <c r="D199" s="712">
        <f>Bilans_E_AMS_Kyoto_run3_MTE!H423</f>
        <v>0</v>
      </c>
      <c r="E199" s="712">
        <f>Bilans_E_AMS_Kyoto_run3_MTE!I423</f>
        <v>0</v>
      </c>
      <c r="F199" s="712">
        <f>Bilans_E_AMS_Kyoto_run3_MTE!J423</f>
        <v>0</v>
      </c>
      <c r="G199" s="712">
        <f>Bilans_E_AMS_Kyoto_run3_MTE!K423</f>
        <v>0</v>
      </c>
      <c r="H199" s="712">
        <f>Bilans_E_AMS_Kyoto_run3_MTE!L423</f>
        <v>0</v>
      </c>
      <c r="I199" s="712">
        <f>Bilans_E_AMS_Kyoto_run3_MTE!M423</f>
        <v>0</v>
      </c>
      <c r="J199" s="712">
        <f>Bilans_E_AMS_Kyoto_run3_MTE!N423</f>
        <v>0</v>
      </c>
      <c r="K199" s="712">
        <f>Bilans_E_AMS_Kyoto_run3_MTE!O423</f>
        <v>0</v>
      </c>
      <c r="L199" s="712">
        <f>Bilans_E_AMS_Kyoto_run3_MTE!P423</f>
        <v>0</v>
      </c>
      <c r="M199" s="712">
        <f>Bilans_E_AMS_Kyoto_run3_MTE!Q423</f>
        <v>0</v>
      </c>
      <c r="N199" s="712">
        <f>Bilans_E_AMS_Kyoto_run3_MTE!R423</f>
        <v>0</v>
      </c>
      <c r="O199" s="712">
        <f>Bilans_E_AMS_Kyoto_run3_MTE!S423</f>
        <v>-7.7990691835452708E-2</v>
      </c>
      <c r="P199" s="712">
        <f>Bilans_E_AMS_Kyoto_run3_MTE!T423+Bilans_E_AMS_Kyoto_run3_MTE!U423</f>
        <v>0</v>
      </c>
      <c r="Q199" s="712">
        <f>Bilans_E_AMS_Kyoto_run3_MTE!V423</f>
        <v>0</v>
      </c>
      <c r="R199" s="712">
        <f>Bilans_E_AMS_Kyoto_run3_MTE!W423</f>
        <v>-125.47851234932489</v>
      </c>
      <c r="S199" s="712">
        <f>Bilans_E_AMS_Kyoto_run3_MTE!X423</f>
        <v>0</v>
      </c>
      <c r="T199" s="712">
        <f>Bilans_E_AMS_Kyoto_run3_MTE!Y423</f>
        <v>0</v>
      </c>
      <c r="U199" s="712">
        <f>Bilans_E_AMS_Kyoto_run3_MTE!Z423</f>
        <v>-125.55650304116034</v>
      </c>
      <c r="V199" s="701"/>
      <c r="W199" s="701"/>
    </row>
    <row r="200" spans="1:23" x14ac:dyDescent="0.25">
      <c r="A200" s="701" t="s">
        <v>490</v>
      </c>
      <c r="B200" s="701"/>
      <c r="C200" s="710" t="s">
        <v>62</v>
      </c>
      <c r="D200" s="711">
        <f>Bilans_E_AMS_Kyoto_run3_MTE!H424</f>
        <v>0</v>
      </c>
      <c r="E200" s="711">
        <f>Bilans_E_AMS_Kyoto_run3_MTE!I424</f>
        <v>0</v>
      </c>
      <c r="F200" s="711">
        <f>Bilans_E_AMS_Kyoto_run3_MTE!J424</f>
        <v>-5.9348855093326982</v>
      </c>
      <c r="G200" s="711">
        <f>Bilans_E_AMS_Kyoto_run3_MTE!K424</f>
        <v>-0.99259685127624486</v>
      </c>
      <c r="H200" s="711">
        <f>Bilans_E_AMS_Kyoto_run3_MTE!L424</f>
        <v>0</v>
      </c>
      <c r="I200" s="711">
        <f>Bilans_E_AMS_Kyoto_run3_MTE!M424</f>
        <v>-0.99259685127624475</v>
      </c>
      <c r="J200" s="711">
        <f>Bilans_E_AMS_Kyoto_run3_MTE!N424</f>
        <v>0</v>
      </c>
      <c r="K200" s="711">
        <f>Bilans_E_AMS_Kyoto_run3_MTE!O424</f>
        <v>0</v>
      </c>
      <c r="L200" s="711">
        <f>Bilans_E_AMS_Kyoto_run3_MTE!P424</f>
        <v>0</v>
      </c>
      <c r="M200" s="711">
        <f>Bilans_E_AMS_Kyoto_run3_MTE!Q424</f>
        <v>0</v>
      </c>
      <c r="N200" s="711">
        <f>Bilans_E_AMS_Kyoto_run3_MTE!R424</f>
        <v>0</v>
      </c>
      <c r="O200" s="711">
        <f>Bilans_E_AMS_Kyoto_run3_MTE!S424</f>
        <v>-1.3642017969458513</v>
      </c>
      <c r="P200" s="711">
        <f>Bilans_E_AMS_Kyoto_run3_MTE!T424+Bilans_E_AMS_Kyoto_run3_MTE!U424</f>
        <v>0</v>
      </c>
      <c r="Q200" s="711">
        <f>Bilans_E_AMS_Kyoto_run3_MTE!V424</f>
        <v>0</v>
      </c>
      <c r="R200" s="711">
        <f>Bilans_E_AMS_Kyoto_run3_MTE!W424</f>
        <v>0</v>
      </c>
      <c r="S200" s="711">
        <f>Bilans_E_AMS_Kyoto_run3_MTE!X424</f>
        <v>0</v>
      </c>
      <c r="T200" s="711">
        <f>Bilans_E_AMS_Kyoto_run3_MTE!Y424</f>
        <v>-0.66413311470232494</v>
      </c>
      <c r="U200" s="711">
        <f>Bilans_E_AMS_Kyoto_run3_MTE!Z424</f>
        <v>-9.9484141235333645</v>
      </c>
      <c r="V200" s="701"/>
      <c r="W200" s="701"/>
    </row>
    <row r="201" spans="1:23" x14ac:dyDescent="0.25">
      <c r="A201" s="701" t="s">
        <v>491</v>
      </c>
      <c r="B201" s="701"/>
      <c r="C201" s="710" t="s">
        <v>63</v>
      </c>
      <c r="D201" s="711">
        <f>Bilans_E_AMS_Kyoto_run3_MTE!H425</f>
        <v>0</v>
      </c>
      <c r="E201" s="711">
        <f>Bilans_E_AMS_Kyoto_run3_MTE!I425</f>
        <v>0</v>
      </c>
      <c r="F201" s="711">
        <f>Bilans_E_AMS_Kyoto_run3_MTE!J425</f>
        <v>-40</v>
      </c>
      <c r="G201" s="711">
        <f>Bilans_E_AMS_Kyoto_run3_MTE!K425</f>
        <v>-8</v>
      </c>
      <c r="H201" s="711">
        <f>Bilans_E_AMS_Kyoto_run3_MTE!L425</f>
        <v>0</v>
      </c>
      <c r="I201" s="711">
        <f>Bilans_E_AMS_Kyoto_run3_MTE!M425</f>
        <v>0</v>
      </c>
      <c r="J201" s="711">
        <f>Bilans_E_AMS_Kyoto_run3_MTE!N425</f>
        <v>0</v>
      </c>
      <c r="K201" s="711">
        <f>Bilans_E_AMS_Kyoto_run3_MTE!O425</f>
        <v>0</v>
      </c>
      <c r="L201" s="711">
        <f>Bilans_E_AMS_Kyoto_run3_MTE!P425</f>
        <v>0</v>
      </c>
      <c r="M201" s="711">
        <f>Bilans_E_AMS_Kyoto_run3_MTE!Q425</f>
        <v>0</v>
      </c>
      <c r="N201" s="711">
        <f>Bilans_E_AMS_Kyoto_run3_MTE!R425</f>
        <v>-15</v>
      </c>
      <c r="O201" s="711">
        <f>Bilans_E_AMS_Kyoto_run3_MTE!S425</f>
        <v>0</v>
      </c>
      <c r="P201" s="711">
        <f>Bilans_E_AMS_Kyoto_run3_MTE!T425+Bilans_E_AMS_Kyoto_run3_MTE!U425</f>
        <v>0</v>
      </c>
      <c r="Q201" s="711">
        <f>Bilans_E_AMS_Kyoto_run3_MTE!V425</f>
        <v>0</v>
      </c>
      <c r="R201" s="711">
        <f>Bilans_E_AMS_Kyoto_run3_MTE!W425</f>
        <v>0</v>
      </c>
      <c r="S201" s="711">
        <f>Bilans_E_AMS_Kyoto_run3_MTE!X425</f>
        <v>0</v>
      </c>
      <c r="T201" s="711">
        <f>Bilans_E_AMS_Kyoto_run3_MTE!Y425</f>
        <v>-3.0000000000000004</v>
      </c>
      <c r="U201" s="711">
        <f>Bilans_E_AMS_Kyoto_run3_MTE!Z425</f>
        <v>-66</v>
      </c>
      <c r="V201" s="701"/>
      <c r="W201" s="701"/>
    </row>
    <row r="202" spans="1:23" x14ac:dyDescent="0.25">
      <c r="A202" s="701" t="s">
        <v>492</v>
      </c>
      <c r="B202" s="701"/>
      <c r="C202" s="710" t="s">
        <v>64</v>
      </c>
      <c r="D202" s="712">
        <f>Bilans_E_AMS_Kyoto_run3_MTE!H426</f>
        <v>0</v>
      </c>
      <c r="E202" s="712">
        <f>Bilans_E_AMS_Kyoto_run3_MTE!I426</f>
        <v>0</v>
      </c>
      <c r="F202" s="712">
        <f>Bilans_E_AMS_Kyoto_run3_MTE!J426</f>
        <v>0</v>
      </c>
      <c r="G202" s="712">
        <f>Bilans_E_AMS_Kyoto_run3_MTE!K426</f>
        <v>0</v>
      </c>
      <c r="H202" s="712">
        <f>Bilans_E_AMS_Kyoto_run3_MTE!L426</f>
        <v>0</v>
      </c>
      <c r="I202" s="712">
        <f>Bilans_E_AMS_Kyoto_run3_MTE!M426</f>
        <v>0</v>
      </c>
      <c r="J202" s="712">
        <f>Bilans_E_AMS_Kyoto_run3_MTE!N426</f>
        <v>0</v>
      </c>
      <c r="K202" s="712">
        <f>Bilans_E_AMS_Kyoto_run3_MTE!O426</f>
        <v>0</v>
      </c>
      <c r="L202" s="712">
        <f>Bilans_E_AMS_Kyoto_run3_MTE!P426</f>
        <v>0</v>
      </c>
      <c r="M202" s="712">
        <f>Bilans_E_AMS_Kyoto_run3_MTE!Q426</f>
        <v>0</v>
      </c>
      <c r="N202" s="712">
        <f>Bilans_E_AMS_Kyoto_run3_MTE!R426</f>
        <v>0</v>
      </c>
      <c r="O202" s="712">
        <f>Bilans_E_AMS_Kyoto_run3_MTE!S426</f>
        <v>0</v>
      </c>
      <c r="P202" s="712">
        <f>Bilans_E_AMS_Kyoto_run3_MTE!T426+Bilans_E_AMS_Kyoto_run3_MTE!U426</f>
        <v>0</v>
      </c>
      <c r="Q202" s="712">
        <f>Bilans_E_AMS_Kyoto_run3_MTE!V426</f>
        <v>0</v>
      </c>
      <c r="R202" s="712">
        <f>Bilans_E_AMS_Kyoto_run3_MTE!W426</f>
        <v>0</v>
      </c>
      <c r="S202" s="712">
        <f>Bilans_E_AMS_Kyoto_run3_MTE!X426</f>
        <v>0</v>
      </c>
      <c r="T202" s="712">
        <f>Bilans_E_AMS_Kyoto_run3_MTE!Y426</f>
        <v>0</v>
      </c>
      <c r="U202" s="712">
        <f>Bilans_E_AMS_Kyoto_run3_MTE!Z426</f>
        <v>0</v>
      </c>
      <c r="V202" s="701"/>
      <c r="W202" s="701"/>
    </row>
    <row r="203" spans="1:23" x14ac:dyDescent="0.25">
      <c r="A203" s="701" t="s">
        <v>493</v>
      </c>
      <c r="B203" s="701"/>
      <c r="C203" s="713" t="s">
        <v>65</v>
      </c>
      <c r="D203" s="714">
        <f>Bilans_E_AMS_Kyoto_run3_MTE!H427</f>
        <v>12.152793945312501</v>
      </c>
      <c r="E203" s="714">
        <f>Bilans_E_AMS_Kyoto_run3_MTE!I427</f>
        <v>228.52698065701114</v>
      </c>
      <c r="F203" s="714">
        <f>Bilans_E_AMS_Kyoto_run3_MTE!J427</f>
        <v>6.8227719905437425</v>
      </c>
      <c r="G203" s="714">
        <f>Bilans_E_AMS_Kyoto_run3_MTE!K427</f>
        <v>-1.9064242790911123</v>
      </c>
      <c r="H203" s="714">
        <f>Bilans_E_AMS_Kyoto_run3_MTE!L427</f>
        <v>109.90340859679944</v>
      </c>
      <c r="I203" s="714">
        <f>Bilans_E_AMS_Kyoto_run3_MTE!M427</f>
        <v>-0.99259685127624475</v>
      </c>
      <c r="J203" s="714">
        <f>Bilans_E_AMS_Kyoto_run3_MTE!N427</f>
        <v>1217.3350254612858</v>
      </c>
      <c r="K203" s="714">
        <f>Bilans_E_AMS_Kyoto_run3_MTE!O427</f>
        <v>388.29502398919544</v>
      </c>
      <c r="L203" s="714">
        <f>Bilans_E_AMS_Kyoto_run3_MTE!P427</f>
        <v>353.58508374919074</v>
      </c>
      <c r="M203" s="714">
        <f>Bilans_E_AMS_Kyoto_run3_MTE!Q427</f>
        <v>47.572914538902204</v>
      </c>
      <c r="N203" s="714">
        <f>Bilans_E_AMS_Kyoto_run3_MTE!R427</f>
        <v>-2.3591762395477005</v>
      </c>
      <c r="O203" s="714">
        <f>Bilans_E_AMS_Kyoto_run3_MTE!S427</f>
        <v>-1.442192488781304</v>
      </c>
      <c r="P203" s="714">
        <f>Bilans_E_AMS_Kyoto_run3_MTE!T427+Bilans_E_AMS_Kyoto_run3_MTE!U427</f>
        <v>217.97798120035498</v>
      </c>
      <c r="Q203" s="714">
        <f>Bilans_E_AMS_Kyoto_run3_MTE!V427</f>
        <v>44.670610017190697</v>
      </c>
      <c r="R203" s="714">
        <f>Bilans_E_AMS_Kyoto_run3_MTE!W427</f>
        <v>-125.47851234932489</v>
      </c>
      <c r="S203" s="714">
        <f>Bilans_E_AMS_Kyoto_run3_MTE!X427</f>
        <v>0</v>
      </c>
      <c r="T203" s="714">
        <f>Bilans_E_AMS_Kyoto_run3_MTE!Y427</f>
        <v>-3.6641331147023255</v>
      </c>
      <c r="U203" s="714">
        <f>Bilans_E_AMS_Kyoto_run3_MTE!Z427</f>
        <v>2490.9995588230627</v>
      </c>
      <c r="V203" s="701"/>
      <c r="W203" s="701"/>
    </row>
    <row r="204" spans="1:23" x14ac:dyDescent="0.25">
      <c r="A204" s="701"/>
      <c r="B204" s="701"/>
      <c r="C204" s="715"/>
      <c r="D204" s="716"/>
      <c r="E204" s="716"/>
      <c r="F204" s="716"/>
      <c r="G204" s="716"/>
      <c r="H204" s="716"/>
      <c r="I204" s="716"/>
      <c r="J204" s="716"/>
      <c r="K204" s="716"/>
      <c r="L204" s="716"/>
      <c r="M204" s="716"/>
      <c r="N204" s="716"/>
      <c r="O204" s="716"/>
      <c r="P204" s="716">
        <f>Bilans_E_AMS_Kyoto_run3_MTE!T428+Bilans_E_AMS_Kyoto_run3_MTE!U428</f>
        <v>0</v>
      </c>
      <c r="Q204" s="716"/>
      <c r="R204" s="716"/>
      <c r="S204" s="716"/>
      <c r="T204" s="716"/>
      <c r="U204" s="716"/>
      <c r="V204" s="701"/>
      <c r="W204" s="701"/>
    </row>
    <row r="205" spans="1:23" x14ac:dyDescent="0.25">
      <c r="A205" s="701" t="s">
        <v>494</v>
      </c>
      <c r="B205" s="701"/>
      <c r="C205" s="717" t="s">
        <v>67</v>
      </c>
      <c r="D205" s="711">
        <f>Bilans_E_AMS_Kyoto_run3_MTE!H429</f>
        <v>0</v>
      </c>
      <c r="E205" s="711">
        <f>Bilans_E_AMS_Kyoto_run3_MTE!I429</f>
        <v>0</v>
      </c>
      <c r="F205" s="711">
        <f>Bilans_E_AMS_Kyoto_run3_MTE!J429</f>
        <v>0</v>
      </c>
      <c r="G205" s="711">
        <f>Bilans_E_AMS_Kyoto_run3_MTE!K429</f>
        <v>0</v>
      </c>
      <c r="H205" s="711">
        <f>Bilans_E_AMS_Kyoto_run3_MTE!L429</f>
        <v>0</v>
      </c>
      <c r="I205" s="711">
        <f>Bilans_E_AMS_Kyoto_run3_MTE!M429</f>
        <v>0</v>
      </c>
      <c r="J205" s="711">
        <f>Bilans_E_AMS_Kyoto_run3_MTE!N429</f>
        <v>0</v>
      </c>
      <c r="K205" s="711">
        <f>Bilans_E_AMS_Kyoto_run3_MTE!O429</f>
        <v>0</v>
      </c>
      <c r="L205" s="711">
        <f>Bilans_E_AMS_Kyoto_run3_MTE!P429</f>
        <v>0</v>
      </c>
      <c r="M205" s="711">
        <f>Bilans_E_AMS_Kyoto_run3_MTE!Q429</f>
        <v>0</v>
      </c>
      <c r="N205" s="711">
        <f>Bilans_E_AMS_Kyoto_run3_MTE!R429</f>
        <v>0</v>
      </c>
      <c r="O205" s="711">
        <f>Bilans_E_AMS_Kyoto_run3_MTE!S429</f>
        <v>0</v>
      </c>
      <c r="P205" s="711">
        <f>Bilans_E_AMS_Kyoto_run3_MTE!T429+Bilans_E_AMS_Kyoto_run3_MTE!U429</f>
        <v>0</v>
      </c>
      <c r="Q205" s="711">
        <f>Bilans_E_AMS_Kyoto_run3_MTE!V429</f>
        <v>0</v>
      </c>
      <c r="R205" s="711">
        <f>Bilans_E_AMS_Kyoto_run3_MTE!W429</f>
        <v>0</v>
      </c>
      <c r="S205" s="711">
        <f>Bilans_E_AMS_Kyoto_run3_MTE!X429</f>
        <v>0</v>
      </c>
      <c r="T205" s="711">
        <f>Bilans_E_AMS_Kyoto_run3_MTE!Y429</f>
        <v>0</v>
      </c>
      <c r="U205" s="711">
        <f>Bilans_E_AMS_Kyoto_run3_MTE!Z429</f>
        <v>0</v>
      </c>
      <c r="V205" s="701"/>
      <c r="W205" s="701"/>
    </row>
    <row r="206" spans="1:23" x14ac:dyDescent="0.25">
      <c r="A206" s="701" t="s">
        <v>495</v>
      </c>
      <c r="B206" s="701"/>
      <c r="C206" s="717" t="s">
        <v>347</v>
      </c>
      <c r="D206" s="711">
        <f>Bilans_E_AMS_Kyoto_run3_MTE!H430</f>
        <v>0</v>
      </c>
      <c r="E206" s="711">
        <f>Bilans_E_AMS_Kyoto_run3_MTE!I430</f>
        <v>0</v>
      </c>
      <c r="F206" s="711">
        <f>Bilans_E_AMS_Kyoto_run3_MTE!J430</f>
        <v>6.6151953400033478E-2</v>
      </c>
      <c r="G206" s="711">
        <f>Bilans_E_AMS_Kyoto_run3_MTE!K430</f>
        <v>0</v>
      </c>
      <c r="H206" s="711">
        <f>Bilans_E_AMS_Kyoto_run3_MTE!L430</f>
        <v>2.4867213913043404E-3</v>
      </c>
      <c r="I206" s="711">
        <f>Bilans_E_AMS_Kyoto_run3_MTE!M430</f>
        <v>0</v>
      </c>
      <c r="J206" s="711">
        <f>Bilans_E_AMS_Kyoto_run3_MTE!N430</f>
        <v>1213.9369090909088</v>
      </c>
      <c r="K206" s="711">
        <f>Bilans_E_AMS_Kyoto_run3_MTE!O430</f>
        <v>388.29502398919544</v>
      </c>
      <c r="L206" s="711">
        <f>Bilans_E_AMS_Kyoto_run3_MTE!P430</f>
        <v>17.586826213678588</v>
      </c>
      <c r="M206" s="711">
        <f>Bilans_E_AMS_Kyoto_run3_MTE!Q430</f>
        <v>5.6133813254305416</v>
      </c>
      <c r="N206" s="711">
        <f>Bilans_E_AMS_Kyoto_run3_MTE!R430</f>
        <v>5.6269378379330357</v>
      </c>
      <c r="O206" s="711">
        <f>Bilans_E_AMS_Kyoto_run3_MTE!S430</f>
        <v>0.11555796351278441</v>
      </c>
      <c r="P206" s="711">
        <f>Bilans_E_AMS_Kyoto_run3_MTE!T430+Bilans_E_AMS_Kyoto_run3_MTE!U430</f>
        <v>0</v>
      </c>
      <c r="Q206" s="711">
        <f>Bilans_E_AMS_Kyoto_run3_MTE!V430</f>
        <v>6.4327567473291545</v>
      </c>
      <c r="R206" s="711">
        <f>Bilans_E_AMS_Kyoto_run3_MTE!W430</f>
        <v>-805.46190663810182</v>
      </c>
      <c r="S206" s="711">
        <f>Bilans_E_AMS_Kyoto_run3_MTE!X430</f>
        <v>0</v>
      </c>
      <c r="T206" s="711">
        <f>Bilans_E_AMS_Kyoto_run3_MTE!Y430</f>
        <v>0</v>
      </c>
      <c r="U206" s="711">
        <f>Bilans_E_AMS_Kyoto_run3_MTE!Z430</f>
        <v>832.21412520467777</v>
      </c>
      <c r="V206" s="701"/>
      <c r="W206" s="701"/>
    </row>
    <row r="207" spans="1:23" x14ac:dyDescent="0.25">
      <c r="A207" s="701" t="s">
        <v>496</v>
      </c>
      <c r="B207" s="701"/>
      <c r="C207" s="717" t="s">
        <v>348</v>
      </c>
      <c r="D207" s="711">
        <f>Bilans_E_AMS_Kyoto_run3_MTE!H431</f>
        <v>0</v>
      </c>
      <c r="E207" s="711">
        <f>Bilans_E_AMS_Kyoto_run3_MTE!I431</f>
        <v>0</v>
      </c>
      <c r="F207" s="711">
        <f>Bilans_E_AMS_Kyoto_run3_MTE!J431</f>
        <v>0</v>
      </c>
      <c r="G207" s="711">
        <f>Bilans_E_AMS_Kyoto_run3_MTE!K431</f>
        <v>0</v>
      </c>
      <c r="H207" s="711">
        <f>Bilans_E_AMS_Kyoto_run3_MTE!L431</f>
        <v>13.794883526882547</v>
      </c>
      <c r="I207" s="711">
        <f>Bilans_E_AMS_Kyoto_run3_MTE!M431</f>
        <v>0</v>
      </c>
      <c r="J207" s="711">
        <f>Bilans_E_AMS_Kyoto_run3_MTE!N431</f>
        <v>3.3981163703769028</v>
      </c>
      <c r="K207" s="711">
        <f>Bilans_E_AMS_Kyoto_run3_MTE!O431</f>
        <v>0</v>
      </c>
      <c r="L207" s="711">
        <f>Bilans_E_AMS_Kyoto_run3_MTE!P431</f>
        <v>24.198351271875673</v>
      </c>
      <c r="M207" s="711">
        <f>Bilans_E_AMS_Kyoto_run3_MTE!Q431</f>
        <v>14.187375488735356</v>
      </c>
      <c r="N207" s="711">
        <f>Bilans_E_AMS_Kyoto_run3_MTE!R431</f>
        <v>0</v>
      </c>
      <c r="O207" s="711">
        <f>Bilans_E_AMS_Kyoto_run3_MTE!S431</f>
        <v>9.211082811707719</v>
      </c>
      <c r="P207" s="711">
        <f>Bilans_E_AMS_Kyoto_run3_MTE!T431+Bilans_E_AMS_Kyoto_run3_MTE!U431</f>
        <v>17.004200785241363</v>
      </c>
      <c r="Q207" s="711">
        <f>Bilans_E_AMS_Kyoto_run3_MTE!V431</f>
        <v>15.724500904765749</v>
      </c>
      <c r="R207" s="711">
        <f>Bilans_E_AMS_Kyoto_run3_MTE!W431</f>
        <v>0</v>
      </c>
      <c r="S207" s="711">
        <f>Bilans_E_AMS_Kyoto_run3_MTE!X431</f>
        <v>-90.436442741744855</v>
      </c>
      <c r="T207" s="711">
        <f>Bilans_E_AMS_Kyoto_run3_MTE!Y431</f>
        <v>0</v>
      </c>
      <c r="U207" s="711">
        <f>Bilans_E_AMS_Kyoto_run3_MTE!Z431</f>
        <v>7.0820684178404321</v>
      </c>
      <c r="V207" s="701"/>
      <c r="W207" s="701"/>
    </row>
    <row r="208" spans="1:23" x14ac:dyDescent="0.25">
      <c r="A208" s="701" t="s">
        <v>497</v>
      </c>
      <c r="B208" s="701"/>
      <c r="C208" s="717" t="s">
        <v>349</v>
      </c>
      <c r="D208" s="711">
        <f>Bilans_E_AMS_Kyoto_run3_MTE!H432</f>
        <v>0</v>
      </c>
      <c r="E208" s="711">
        <f>Bilans_E_AMS_Kyoto_run3_MTE!I432</f>
        <v>0</v>
      </c>
      <c r="F208" s="711">
        <f>Bilans_E_AMS_Kyoto_run3_MTE!J432</f>
        <v>0</v>
      </c>
      <c r="G208" s="711">
        <f>Bilans_E_AMS_Kyoto_run3_MTE!K432</f>
        <v>0</v>
      </c>
      <c r="H208" s="711">
        <f>Bilans_E_AMS_Kyoto_run3_MTE!L432</f>
        <v>0</v>
      </c>
      <c r="I208" s="711">
        <f>Bilans_E_AMS_Kyoto_run3_MTE!M432</f>
        <v>0</v>
      </c>
      <c r="J208" s="711">
        <f>Bilans_E_AMS_Kyoto_run3_MTE!N432</f>
        <v>0</v>
      </c>
      <c r="K208" s="711">
        <f>Bilans_E_AMS_Kyoto_run3_MTE!O432</f>
        <v>0</v>
      </c>
      <c r="L208" s="711">
        <f>Bilans_E_AMS_Kyoto_run3_MTE!P432</f>
        <v>121.15349099008552</v>
      </c>
      <c r="M208" s="711">
        <f>Bilans_E_AMS_Kyoto_run3_MTE!Q432</f>
        <v>11.695220862948467</v>
      </c>
      <c r="N208" s="711">
        <f>Bilans_E_AMS_Kyoto_run3_MTE!R432</f>
        <v>0</v>
      </c>
      <c r="O208" s="711">
        <f>Bilans_E_AMS_Kyoto_run3_MTE!S432</f>
        <v>-66.507884301827488</v>
      </c>
      <c r="P208" s="711">
        <f>Bilans_E_AMS_Kyoto_run3_MTE!T432+Bilans_E_AMS_Kyoto_run3_MTE!U432</f>
        <v>0</v>
      </c>
      <c r="Q208" s="711">
        <f>Bilans_E_AMS_Kyoto_run3_MTE!V432</f>
        <v>0</v>
      </c>
      <c r="R208" s="711">
        <f>Bilans_E_AMS_Kyoto_run3_MTE!W432</f>
        <v>0</v>
      </c>
      <c r="S208" s="711">
        <f>Bilans_E_AMS_Kyoto_run3_MTE!X432</f>
        <v>0</v>
      </c>
      <c r="T208" s="711">
        <f>Bilans_E_AMS_Kyoto_run3_MTE!Y432</f>
        <v>0</v>
      </c>
      <c r="U208" s="711">
        <f>Bilans_E_AMS_Kyoto_run3_MTE!Z432</f>
        <v>66.340827551206502</v>
      </c>
      <c r="V208" s="701"/>
      <c r="W208" s="701"/>
    </row>
    <row r="209" spans="1:23" x14ac:dyDescent="0.25">
      <c r="A209" s="701" t="s">
        <v>498</v>
      </c>
      <c r="B209" s="701"/>
      <c r="C209" s="717" t="s">
        <v>350</v>
      </c>
      <c r="D209" s="711">
        <f>Bilans_E_AMS_Kyoto_run3_MTE!H433</f>
        <v>0</v>
      </c>
      <c r="E209" s="711">
        <f>Bilans_E_AMS_Kyoto_run3_MTE!I433</f>
        <v>0</v>
      </c>
      <c r="F209" s="711">
        <f>Bilans_E_AMS_Kyoto_run3_MTE!J433</f>
        <v>0</v>
      </c>
      <c r="G209" s="711">
        <f>Bilans_E_AMS_Kyoto_run3_MTE!K433</f>
        <v>0</v>
      </c>
      <c r="H209" s="711">
        <f>Bilans_E_AMS_Kyoto_run3_MTE!L433</f>
        <v>0</v>
      </c>
      <c r="I209" s="711">
        <f>Bilans_E_AMS_Kyoto_run3_MTE!M433</f>
        <v>-0.99259685127624475</v>
      </c>
      <c r="J209" s="711">
        <f>Bilans_E_AMS_Kyoto_run3_MTE!N433</f>
        <v>0</v>
      </c>
      <c r="K209" s="711">
        <f>Bilans_E_AMS_Kyoto_run3_MTE!O433</f>
        <v>0</v>
      </c>
      <c r="L209" s="711">
        <f>Bilans_E_AMS_Kyoto_run3_MTE!P433</f>
        <v>0</v>
      </c>
      <c r="M209" s="711">
        <f>Bilans_E_AMS_Kyoto_run3_MTE!Q433</f>
        <v>0</v>
      </c>
      <c r="N209" s="711">
        <f>Bilans_E_AMS_Kyoto_run3_MTE!R433</f>
        <v>0</v>
      </c>
      <c r="O209" s="711">
        <f>Bilans_E_AMS_Kyoto_run3_MTE!S433</f>
        <v>0</v>
      </c>
      <c r="P209" s="711">
        <f>Bilans_E_AMS_Kyoto_run3_MTE!T433+Bilans_E_AMS_Kyoto_run3_MTE!U433</f>
        <v>0</v>
      </c>
      <c r="Q209" s="711">
        <f>Bilans_E_AMS_Kyoto_run3_MTE!V433</f>
        <v>0</v>
      </c>
      <c r="R209" s="711">
        <f>Bilans_E_AMS_Kyoto_run3_MTE!W433</f>
        <v>0</v>
      </c>
      <c r="S209" s="711">
        <f>Bilans_E_AMS_Kyoto_run3_MTE!X433</f>
        <v>0</v>
      </c>
      <c r="T209" s="711">
        <f>Bilans_E_AMS_Kyoto_run3_MTE!Y433</f>
        <v>1.3786067378836733</v>
      </c>
      <c r="U209" s="711">
        <f>Bilans_E_AMS_Kyoto_run3_MTE!Z433</f>
        <v>0.38600988660742852</v>
      </c>
      <c r="V209" s="701"/>
      <c r="W209" s="701"/>
    </row>
    <row r="210" spans="1:23" x14ac:dyDescent="0.25">
      <c r="A210" s="701" t="s">
        <v>499</v>
      </c>
      <c r="B210" s="701"/>
      <c r="C210" s="717" t="s">
        <v>72</v>
      </c>
      <c r="D210" s="711">
        <f>Bilans_E_AMS_Kyoto_run3_MTE!H434</f>
        <v>0</v>
      </c>
      <c r="E210" s="711">
        <f>Bilans_E_AMS_Kyoto_run3_MTE!I434</f>
        <v>236.81493545445448</v>
      </c>
      <c r="F210" s="711">
        <f>Bilans_E_AMS_Kyoto_run3_MTE!J434</f>
        <v>-234.44678609990993</v>
      </c>
      <c r="G210" s="711">
        <f>Bilans_E_AMS_Kyoto_run3_MTE!K434</f>
        <v>0</v>
      </c>
      <c r="H210" s="711">
        <f>Bilans_E_AMS_Kyoto_run3_MTE!L434</f>
        <v>0</v>
      </c>
      <c r="I210" s="711">
        <f>Bilans_E_AMS_Kyoto_run3_MTE!M434</f>
        <v>0</v>
      </c>
      <c r="J210" s="711">
        <f>Bilans_E_AMS_Kyoto_run3_MTE!N434</f>
        <v>0</v>
      </c>
      <c r="K210" s="711">
        <f>Bilans_E_AMS_Kyoto_run3_MTE!O434</f>
        <v>0</v>
      </c>
      <c r="L210" s="711">
        <f>Bilans_E_AMS_Kyoto_run3_MTE!P434</f>
        <v>0</v>
      </c>
      <c r="M210" s="711">
        <f>Bilans_E_AMS_Kyoto_run3_MTE!Q434</f>
        <v>0</v>
      </c>
      <c r="N210" s="711">
        <f>Bilans_E_AMS_Kyoto_run3_MTE!R434</f>
        <v>0</v>
      </c>
      <c r="O210" s="711">
        <f>Bilans_E_AMS_Kyoto_run3_MTE!S434</f>
        <v>0</v>
      </c>
      <c r="P210" s="711">
        <f>Bilans_E_AMS_Kyoto_run3_MTE!T434+Bilans_E_AMS_Kyoto_run3_MTE!U434</f>
        <v>0</v>
      </c>
      <c r="Q210" s="711">
        <f>Bilans_E_AMS_Kyoto_run3_MTE!V434</f>
        <v>0</v>
      </c>
      <c r="R210" s="711">
        <f>Bilans_E_AMS_Kyoto_run3_MTE!W434</f>
        <v>0</v>
      </c>
      <c r="S210" s="711">
        <f>Bilans_E_AMS_Kyoto_run3_MTE!X434</f>
        <v>0</v>
      </c>
      <c r="T210" s="711">
        <f>Bilans_E_AMS_Kyoto_run3_MTE!Y434</f>
        <v>0</v>
      </c>
      <c r="U210" s="711">
        <f>Bilans_E_AMS_Kyoto_run3_MTE!Z434</f>
        <v>2.3681493545445562</v>
      </c>
      <c r="V210" s="701"/>
      <c r="W210" s="701"/>
    </row>
    <row r="211" spans="1:23" x14ac:dyDescent="0.25">
      <c r="A211" s="701" t="s">
        <v>500</v>
      </c>
      <c r="B211" s="701"/>
      <c r="C211" s="717" t="s">
        <v>351</v>
      </c>
      <c r="D211" s="711">
        <f>Bilans_E_AMS_Kyoto_run3_MTE!H435</f>
        <v>0</v>
      </c>
      <c r="E211" s="711">
        <f>Bilans_E_AMS_Kyoto_run3_MTE!I435</f>
        <v>0</v>
      </c>
      <c r="F211" s="711">
        <f>Bilans_E_AMS_Kyoto_run3_MTE!J435</f>
        <v>0</v>
      </c>
      <c r="G211" s="711">
        <f>Bilans_E_AMS_Kyoto_run3_MTE!K435</f>
        <v>0</v>
      </c>
      <c r="H211" s="711">
        <f>Bilans_E_AMS_Kyoto_run3_MTE!L435</f>
        <v>0</v>
      </c>
      <c r="I211" s="711">
        <f>Bilans_E_AMS_Kyoto_run3_MTE!M435</f>
        <v>0</v>
      </c>
      <c r="J211" s="711">
        <f>Bilans_E_AMS_Kyoto_run3_MTE!N435</f>
        <v>0</v>
      </c>
      <c r="K211" s="711">
        <f>Bilans_E_AMS_Kyoto_run3_MTE!O435</f>
        <v>0</v>
      </c>
      <c r="L211" s="711">
        <f>Bilans_E_AMS_Kyoto_run3_MTE!P435</f>
        <v>92.214586114726359</v>
      </c>
      <c r="M211" s="711">
        <f>Bilans_E_AMS_Kyoto_run3_MTE!Q435</f>
        <v>7.2727272727272725</v>
      </c>
      <c r="N211" s="711">
        <f>Bilans_E_AMS_Kyoto_run3_MTE!R435</f>
        <v>-55.427636476917691</v>
      </c>
      <c r="O211" s="711">
        <f>Bilans_E_AMS_Kyoto_run3_MTE!S435</f>
        <v>0</v>
      </c>
      <c r="P211" s="711">
        <f>Bilans_E_AMS_Kyoto_run3_MTE!T435+Bilans_E_AMS_Kyoto_run3_MTE!U435</f>
        <v>0</v>
      </c>
      <c r="Q211" s="711">
        <f>Bilans_E_AMS_Kyoto_run3_MTE!V435</f>
        <v>0</v>
      </c>
      <c r="R211" s="711">
        <f>Bilans_E_AMS_Kyoto_run3_MTE!W435</f>
        <v>0</v>
      </c>
      <c r="S211" s="711">
        <f>Bilans_E_AMS_Kyoto_run3_MTE!X435</f>
        <v>0</v>
      </c>
      <c r="T211" s="711">
        <f>Bilans_E_AMS_Kyoto_run3_MTE!Y435</f>
        <v>0</v>
      </c>
      <c r="U211" s="711">
        <f>Bilans_E_AMS_Kyoto_run3_MTE!Z435</f>
        <v>44.059676910535934</v>
      </c>
      <c r="V211" s="701"/>
      <c r="W211" s="701"/>
    </row>
    <row r="212" spans="1:23" x14ac:dyDescent="0.25">
      <c r="A212" s="701" t="s">
        <v>501</v>
      </c>
      <c r="B212" s="701"/>
      <c r="C212" s="717" t="s">
        <v>352</v>
      </c>
      <c r="D212" s="711">
        <f>Bilans_E_AMS_Kyoto_run3_MTE!H436</f>
        <v>0</v>
      </c>
      <c r="E212" s="711">
        <f>Bilans_E_AMS_Kyoto_run3_MTE!I436</f>
        <v>0</v>
      </c>
      <c r="F212" s="711">
        <f>Bilans_E_AMS_Kyoto_run3_MTE!J436</f>
        <v>0</v>
      </c>
      <c r="G212" s="711">
        <f>Bilans_E_AMS_Kyoto_run3_MTE!K436</f>
        <v>-5.3675968512762449</v>
      </c>
      <c r="H212" s="711">
        <f>Bilans_E_AMS_Kyoto_run3_MTE!L436</f>
        <v>0</v>
      </c>
      <c r="I212" s="711">
        <f>Bilans_E_AMS_Kyoto_run3_MTE!M436</f>
        <v>0</v>
      </c>
      <c r="J212" s="711">
        <f>Bilans_E_AMS_Kyoto_run3_MTE!N436</f>
        <v>0</v>
      </c>
      <c r="K212" s="711">
        <f>Bilans_E_AMS_Kyoto_run3_MTE!O436</f>
        <v>0</v>
      </c>
      <c r="L212" s="711">
        <f>Bilans_E_AMS_Kyoto_run3_MTE!P436</f>
        <v>0</v>
      </c>
      <c r="M212" s="711">
        <f>Bilans_E_AMS_Kyoto_run3_MTE!Q436</f>
        <v>0</v>
      </c>
      <c r="N212" s="711">
        <f>Bilans_E_AMS_Kyoto_run3_MTE!R436</f>
        <v>0</v>
      </c>
      <c r="O212" s="711">
        <f>Bilans_E_AMS_Kyoto_run3_MTE!S436</f>
        <v>0</v>
      </c>
      <c r="P212" s="711">
        <f>Bilans_E_AMS_Kyoto_run3_MTE!T436+Bilans_E_AMS_Kyoto_run3_MTE!U436</f>
        <v>0</v>
      </c>
      <c r="Q212" s="711">
        <f>Bilans_E_AMS_Kyoto_run3_MTE!V436</f>
        <v>0</v>
      </c>
      <c r="R212" s="711">
        <f>Bilans_E_AMS_Kyoto_run3_MTE!W436</f>
        <v>0</v>
      </c>
      <c r="S212" s="711">
        <f>Bilans_E_AMS_Kyoto_run3_MTE!X436</f>
        <v>0</v>
      </c>
      <c r="T212" s="711">
        <f>Bilans_E_AMS_Kyoto_run3_MTE!Y436</f>
        <v>8.7918565364038699</v>
      </c>
      <c r="U212" s="711">
        <f>Bilans_E_AMS_Kyoto_run3_MTE!Z436</f>
        <v>3.424259685127625</v>
      </c>
      <c r="V212" s="701"/>
      <c r="W212" s="701"/>
    </row>
    <row r="213" spans="1:23" x14ac:dyDescent="0.25">
      <c r="A213" s="701" t="s">
        <v>502</v>
      </c>
      <c r="B213" s="701"/>
      <c r="C213" s="717" t="s">
        <v>73</v>
      </c>
      <c r="D213" s="711">
        <f>Bilans_E_AMS_Kyoto_run3_MTE!H437</f>
        <v>0</v>
      </c>
      <c r="E213" s="711">
        <f>Bilans_E_AMS_Kyoto_run3_MTE!I437</f>
        <v>0</v>
      </c>
      <c r="F213" s="711">
        <f>Bilans_E_AMS_Kyoto_run3_MTE!J437</f>
        <v>0</v>
      </c>
      <c r="G213" s="711">
        <f>Bilans_E_AMS_Kyoto_run3_MTE!K437</f>
        <v>0</v>
      </c>
      <c r="H213" s="711">
        <f>Bilans_E_AMS_Kyoto_run3_MTE!L437</f>
        <v>0</v>
      </c>
      <c r="I213" s="711">
        <f>Bilans_E_AMS_Kyoto_run3_MTE!M437</f>
        <v>0</v>
      </c>
      <c r="J213" s="711">
        <f>Bilans_E_AMS_Kyoto_run3_MTE!N437</f>
        <v>0</v>
      </c>
      <c r="K213" s="711">
        <f>Bilans_E_AMS_Kyoto_run3_MTE!O437</f>
        <v>0</v>
      </c>
      <c r="L213" s="711">
        <f>Bilans_E_AMS_Kyoto_run3_MTE!P437</f>
        <v>0</v>
      </c>
      <c r="M213" s="711">
        <f>Bilans_E_AMS_Kyoto_run3_MTE!Q437</f>
        <v>0</v>
      </c>
      <c r="N213" s="711">
        <f>Bilans_E_AMS_Kyoto_run3_MTE!R437</f>
        <v>0</v>
      </c>
      <c r="O213" s="711">
        <f>Bilans_E_AMS_Kyoto_run3_MTE!S437</f>
        <v>0</v>
      </c>
      <c r="P213" s="711">
        <f>Bilans_E_AMS_Kyoto_run3_MTE!T437+Bilans_E_AMS_Kyoto_run3_MTE!U437</f>
        <v>0</v>
      </c>
      <c r="Q213" s="711">
        <f>Bilans_E_AMS_Kyoto_run3_MTE!V437</f>
        <v>0</v>
      </c>
      <c r="R213" s="711">
        <f>Bilans_E_AMS_Kyoto_run3_MTE!W437</f>
        <v>46.345987464156821</v>
      </c>
      <c r="S213" s="711">
        <f>Bilans_E_AMS_Kyoto_run3_MTE!X437</f>
        <v>0</v>
      </c>
      <c r="T213" s="711">
        <f>Bilans_E_AMS_Kyoto_run3_MTE!Y437</f>
        <v>-31.747001412947427</v>
      </c>
      <c r="U213" s="711">
        <f>Bilans_E_AMS_Kyoto_run3_MTE!Z437</f>
        <v>14.598986051209394</v>
      </c>
      <c r="V213" s="701"/>
      <c r="W213" s="701"/>
    </row>
    <row r="214" spans="1:23" x14ac:dyDescent="0.25">
      <c r="A214" s="701" t="s">
        <v>503</v>
      </c>
      <c r="B214" s="701"/>
      <c r="C214" s="717" t="s">
        <v>353</v>
      </c>
      <c r="D214" s="711">
        <f>Bilans_E_AMS_Kyoto_run3_MTE!H438</f>
        <v>8.5250206054687503</v>
      </c>
      <c r="E214" s="711">
        <f>Bilans_E_AMS_Kyoto_run3_MTE!I438</f>
        <v>-8.2879547974433478</v>
      </c>
      <c r="F214" s="711">
        <f>Bilans_E_AMS_Kyoto_run3_MTE!J438</f>
        <v>10.994009966120005</v>
      </c>
      <c r="G214" s="711">
        <f>Bilans_E_AMS_Kyoto_run3_MTE!K438</f>
        <v>0</v>
      </c>
      <c r="H214" s="711">
        <f>Bilans_E_AMS_Kyoto_run3_MTE!L438</f>
        <v>0</v>
      </c>
      <c r="I214" s="711">
        <f>Bilans_E_AMS_Kyoto_run3_MTE!M438</f>
        <v>0</v>
      </c>
      <c r="J214" s="711">
        <f>Bilans_E_AMS_Kyoto_run3_MTE!N438</f>
        <v>0</v>
      </c>
      <c r="K214" s="711">
        <f>Bilans_E_AMS_Kyoto_run3_MTE!O438</f>
        <v>0</v>
      </c>
      <c r="L214" s="711">
        <f>Bilans_E_AMS_Kyoto_run3_MTE!P438</f>
        <v>0</v>
      </c>
      <c r="M214" s="711">
        <f>Bilans_E_AMS_Kyoto_run3_MTE!Q438</f>
        <v>0</v>
      </c>
      <c r="N214" s="711">
        <f>Bilans_E_AMS_Kyoto_run3_MTE!R438</f>
        <v>0</v>
      </c>
      <c r="O214" s="711">
        <f>Bilans_E_AMS_Kyoto_run3_MTE!S438</f>
        <v>0</v>
      </c>
      <c r="P214" s="711">
        <f>Bilans_E_AMS_Kyoto_run3_MTE!T438+Bilans_E_AMS_Kyoto_run3_MTE!U438</f>
        <v>0</v>
      </c>
      <c r="Q214" s="711">
        <f>Bilans_E_AMS_Kyoto_run3_MTE!V438</f>
        <v>0</v>
      </c>
      <c r="R214" s="711">
        <f>Bilans_E_AMS_Kyoto_run3_MTE!W438</f>
        <v>0</v>
      </c>
      <c r="S214" s="711">
        <f>Bilans_E_AMS_Kyoto_run3_MTE!X438</f>
        <v>0</v>
      </c>
      <c r="T214" s="711">
        <f>Bilans_E_AMS_Kyoto_run3_MTE!Y438</f>
        <v>0</v>
      </c>
      <c r="U214" s="711">
        <f>Bilans_E_AMS_Kyoto_run3_MTE!Z438</f>
        <v>11.231075774145408</v>
      </c>
      <c r="V214" s="701"/>
      <c r="W214" s="701"/>
    </row>
    <row r="215" spans="1:23" x14ac:dyDescent="0.25">
      <c r="A215" s="701" t="s">
        <v>504</v>
      </c>
      <c r="B215" s="701"/>
      <c r="C215" s="717" t="s">
        <v>75</v>
      </c>
      <c r="D215" s="711">
        <f>Bilans_E_AMS_Kyoto_run3_MTE!H439</f>
        <v>3.3152857910156257</v>
      </c>
      <c r="E215" s="711">
        <f>Bilans_E_AMS_Kyoto_run3_MTE!I439</f>
        <v>0</v>
      </c>
      <c r="F215" s="711">
        <f>Bilans_E_AMS_Kyoto_run3_MTE!J439</f>
        <v>8.217345528971137</v>
      </c>
      <c r="G215" s="711">
        <f>Bilans_E_AMS_Kyoto_run3_MTE!K439</f>
        <v>0</v>
      </c>
      <c r="H215" s="711">
        <f>Bilans_E_AMS_Kyoto_run3_MTE!L439</f>
        <v>0</v>
      </c>
      <c r="I215" s="711">
        <f>Bilans_E_AMS_Kyoto_run3_MTE!M439</f>
        <v>0</v>
      </c>
      <c r="J215" s="711">
        <f>Bilans_E_AMS_Kyoto_run3_MTE!N439</f>
        <v>0</v>
      </c>
      <c r="K215" s="711">
        <f>Bilans_E_AMS_Kyoto_run3_MTE!O439</f>
        <v>0</v>
      </c>
      <c r="L215" s="711">
        <f>Bilans_E_AMS_Kyoto_run3_MTE!P439</f>
        <v>0</v>
      </c>
      <c r="M215" s="711">
        <f>Bilans_E_AMS_Kyoto_run3_MTE!Q439</f>
        <v>0</v>
      </c>
      <c r="N215" s="711">
        <f>Bilans_E_AMS_Kyoto_run3_MTE!R439</f>
        <v>0</v>
      </c>
      <c r="O215" s="711">
        <f>Bilans_E_AMS_Kyoto_run3_MTE!S439</f>
        <v>0</v>
      </c>
      <c r="P215" s="711">
        <f>Bilans_E_AMS_Kyoto_run3_MTE!T439+Bilans_E_AMS_Kyoto_run3_MTE!U439</f>
        <v>0</v>
      </c>
      <c r="Q215" s="711">
        <f>Bilans_E_AMS_Kyoto_run3_MTE!V439</f>
        <v>0</v>
      </c>
      <c r="R215" s="711">
        <f>Bilans_E_AMS_Kyoto_run3_MTE!W439</f>
        <v>38.800105175182054</v>
      </c>
      <c r="S215" s="711">
        <f>Bilans_E_AMS_Kyoto_run3_MTE!X439</f>
        <v>0</v>
      </c>
      <c r="T215" s="711">
        <f>Bilans_E_AMS_Kyoto_run3_MTE!Y439</f>
        <v>2.3301224997410235</v>
      </c>
      <c r="U215" s="711">
        <f>Bilans_E_AMS_Kyoto_run3_MTE!Z439</f>
        <v>52.66285899490984</v>
      </c>
      <c r="V215" s="701"/>
      <c r="W215" s="701"/>
    </row>
    <row r="216" spans="1:23" x14ac:dyDescent="0.25">
      <c r="A216" s="701" t="s">
        <v>505</v>
      </c>
      <c r="B216" s="701"/>
      <c r="C216" s="717" t="s">
        <v>76</v>
      </c>
      <c r="D216" s="711">
        <f>Bilans_E_AMS_Kyoto_run3_MTE!H440</f>
        <v>0</v>
      </c>
      <c r="E216" s="711">
        <f>Bilans_E_AMS_Kyoto_run3_MTE!I440</f>
        <v>0</v>
      </c>
      <c r="F216" s="711">
        <f>Bilans_E_AMS_Kyoto_run3_MTE!J440</f>
        <v>0</v>
      </c>
      <c r="G216" s="711">
        <f>Bilans_E_AMS_Kyoto_run3_MTE!K440</f>
        <v>0</v>
      </c>
      <c r="H216" s="711">
        <f>Bilans_E_AMS_Kyoto_run3_MTE!L440</f>
        <v>1.1543235485411594</v>
      </c>
      <c r="I216" s="711">
        <f>Bilans_E_AMS_Kyoto_run3_MTE!M440</f>
        <v>0</v>
      </c>
      <c r="J216" s="711">
        <f>Bilans_E_AMS_Kyoto_run3_MTE!N440</f>
        <v>0</v>
      </c>
      <c r="K216" s="711">
        <f>Bilans_E_AMS_Kyoto_run3_MTE!O440</f>
        <v>0</v>
      </c>
      <c r="L216" s="711">
        <f>Bilans_E_AMS_Kyoto_run3_MTE!P440</f>
        <v>0</v>
      </c>
      <c r="M216" s="711">
        <f>Bilans_E_AMS_Kyoto_run3_MTE!Q440</f>
        <v>0</v>
      </c>
      <c r="N216" s="711">
        <f>Bilans_E_AMS_Kyoto_run3_MTE!R440</f>
        <v>0</v>
      </c>
      <c r="O216" s="711">
        <f>Bilans_E_AMS_Kyoto_run3_MTE!S440</f>
        <v>0.76954903236077299</v>
      </c>
      <c r="P216" s="711">
        <f>Bilans_E_AMS_Kyoto_run3_MTE!T440+Bilans_E_AMS_Kyoto_run3_MTE!U440</f>
        <v>0</v>
      </c>
      <c r="Q216" s="711">
        <f>Bilans_E_AMS_Kyoto_run3_MTE!V440</f>
        <v>0</v>
      </c>
      <c r="R216" s="711">
        <f>Bilans_E_AMS_Kyoto_run3_MTE!W440</f>
        <v>55.568340190332414</v>
      </c>
      <c r="S216" s="711">
        <f>Bilans_E_AMS_Kyoto_run3_MTE!X440</f>
        <v>7.0126401757775509</v>
      </c>
      <c r="T216" s="711">
        <f>Bilans_E_AMS_Kyoto_run3_MTE!Y440</f>
        <v>0</v>
      </c>
      <c r="U216" s="711">
        <f>Bilans_E_AMS_Kyoto_run3_MTE!Z440</f>
        <v>64.504852947011898</v>
      </c>
      <c r="V216" s="701"/>
      <c r="W216" s="701"/>
    </row>
    <row r="217" spans="1:23" x14ac:dyDescent="0.25">
      <c r="A217" s="701" t="s">
        <v>506</v>
      </c>
      <c r="B217" s="701"/>
      <c r="C217" s="713" t="s">
        <v>77</v>
      </c>
      <c r="D217" s="714">
        <f>Bilans_E_AMS_Kyoto_run3_MTE!H441</f>
        <v>11.840306396484376</v>
      </c>
      <c r="E217" s="714">
        <f>Bilans_E_AMS_Kyoto_run3_MTE!I441</f>
        <v>228.52698065701114</v>
      </c>
      <c r="F217" s="714">
        <f>Bilans_E_AMS_Kyoto_run3_MTE!J441</f>
        <v>-215.16927865141872</v>
      </c>
      <c r="G217" s="714">
        <f>Bilans_E_AMS_Kyoto_run3_MTE!K441</f>
        <v>-5.3675968512762449</v>
      </c>
      <c r="H217" s="714">
        <f>Bilans_E_AMS_Kyoto_run3_MTE!L441</f>
        <v>14.951693796815011</v>
      </c>
      <c r="I217" s="714">
        <f>Bilans_E_AMS_Kyoto_run3_MTE!M441</f>
        <v>-0.99259685127624475</v>
      </c>
      <c r="J217" s="714">
        <f>Bilans_E_AMS_Kyoto_run3_MTE!N441</f>
        <v>1217.3350254612858</v>
      </c>
      <c r="K217" s="714">
        <f>Bilans_E_AMS_Kyoto_run3_MTE!O441</f>
        <v>388.29502398919544</v>
      </c>
      <c r="L217" s="714">
        <f>Bilans_E_AMS_Kyoto_run3_MTE!P441</f>
        <v>255.15325459036612</v>
      </c>
      <c r="M217" s="714">
        <f>Bilans_E_AMS_Kyoto_run3_MTE!Q441</f>
        <v>38.768704949841634</v>
      </c>
      <c r="N217" s="714">
        <f>Bilans_E_AMS_Kyoto_run3_MTE!R441</f>
        <v>-49.800698638984656</v>
      </c>
      <c r="O217" s="714">
        <f>Bilans_E_AMS_Kyoto_run3_MTE!S441</f>
        <v>-56.411694494246213</v>
      </c>
      <c r="P217" s="714">
        <f>Bilans_E_AMS_Kyoto_run3_MTE!T441+Bilans_E_AMS_Kyoto_run3_MTE!U441</f>
        <v>17.004200785241363</v>
      </c>
      <c r="Q217" s="714">
        <f>Bilans_E_AMS_Kyoto_run3_MTE!V441</f>
        <v>22.157257652094906</v>
      </c>
      <c r="R217" s="714">
        <f>Bilans_E_AMS_Kyoto_run3_MTE!W441</f>
        <v>-664.74747380843064</v>
      </c>
      <c r="S217" s="714">
        <f>Bilans_E_AMS_Kyoto_run3_MTE!X441</f>
        <v>-83.423802565967307</v>
      </c>
      <c r="T217" s="714">
        <f>Bilans_E_AMS_Kyoto_run3_MTE!Y441</f>
        <v>-19.246415638918862</v>
      </c>
      <c r="U217" s="714">
        <f>Bilans_E_AMS_Kyoto_run3_MTE!Z441</f>
        <v>1098.8728907778168</v>
      </c>
      <c r="V217" s="701"/>
      <c r="W217" s="701"/>
    </row>
    <row r="218" spans="1:23" x14ac:dyDescent="0.25">
      <c r="A218" s="701"/>
      <c r="B218" s="701"/>
      <c r="C218" s="715"/>
      <c r="D218" s="716"/>
      <c r="E218" s="716"/>
      <c r="F218" s="716"/>
      <c r="G218" s="716"/>
      <c r="H218" s="716"/>
      <c r="I218" s="716"/>
      <c r="J218" s="716"/>
      <c r="K218" s="716"/>
      <c r="L218" s="716"/>
      <c r="M218" s="716"/>
      <c r="N218" s="716"/>
      <c r="O218" s="716"/>
      <c r="P218" s="716">
        <f>Bilans_E_AMS_Kyoto_run3_MTE!T442+Bilans_E_AMS_Kyoto_run3_MTE!U442</f>
        <v>0</v>
      </c>
      <c r="Q218" s="716"/>
      <c r="R218" s="716"/>
      <c r="S218" s="716"/>
      <c r="T218" s="716"/>
      <c r="U218" s="716"/>
      <c r="V218" s="701"/>
      <c r="W218" s="701"/>
    </row>
    <row r="219" spans="1:23" x14ac:dyDescent="0.25">
      <c r="A219" s="701" t="s">
        <v>507</v>
      </c>
      <c r="B219" s="701"/>
      <c r="C219" s="717" t="s">
        <v>78</v>
      </c>
      <c r="D219" s="711">
        <f>Bilans_E_AMS_Kyoto_run3_MTE!H443</f>
        <v>0.31248754882812502</v>
      </c>
      <c r="E219" s="711">
        <f>Bilans_E_AMS_Kyoto_run3_MTE!I443</f>
        <v>0</v>
      </c>
      <c r="F219" s="711">
        <f>Bilans_E_AMS_Kyoto_run3_MTE!J443</f>
        <v>3.1554639427466697</v>
      </c>
      <c r="G219" s="711">
        <f>Bilans_E_AMS_Kyoto_run3_MTE!K443</f>
        <v>0</v>
      </c>
      <c r="H219" s="711">
        <f>Bilans_E_AMS_Kyoto_run3_MTE!L443</f>
        <v>37.01033714688981</v>
      </c>
      <c r="I219" s="711">
        <f>Bilans_E_AMS_Kyoto_run3_MTE!M443</f>
        <v>0</v>
      </c>
      <c r="J219" s="711">
        <f>Bilans_E_AMS_Kyoto_run3_MTE!N443</f>
        <v>0</v>
      </c>
      <c r="K219" s="711">
        <f>Bilans_E_AMS_Kyoto_run3_MTE!O443</f>
        <v>0</v>
      </c>
      <c r="L219" s="711">
        <f>Bilans_E_AMS_Kyoto_run3_MTE!P443</f>
        <v>37.391289864504934</v>
      </c>
      <c r="M219" s="711">
        <f>Bilans_E_AMS_Kyoto_run3_MTE!Q443</f>
        <v>8.8042095890605694</v>
      </c>
      <c r="N219" s="711">
        <f>Bilans_E_AMS_Kyoto_run3_MTE!R443</f>
        <v>0.65571165030445222</v>
      </c>
      <c r="O219" s="711">
        <f>Bilans_E_AMS_Kyoto_run3_MTE!S443</f>
        <v>24.712220905509611</v>
      </c>
      <c r="P219" s="711">
        <f>Bilans_E_AMS_Kyoto_run3_MTE!T443+Bilans_E_AMS_Kyoto_run3_MTE!U443</f>
        <v>10.938740234375</v>
      </c>
      <c r="Q219" s="711">
        <f>Bilans_E_AMS_Kyoto_run3_MTE!V443</f>
        <v>7.8820466826144567E-4</v>
      </c>
      <c r="R219" s="711">
        <f>Bilans_E_AMS_Kyoto_run3_MTE!W443</f>
        <v>154.95335920514725</v>
      </c>
      <c r="S219" s="711">
        <f>Bilans_E_AMS_Kyoto_run3_MTE!X443</f>
        <v>19.589550837757145</v>
      </c>
      <c r="T219" s="711">
        <f>Bilans_E_AMS_Kyoto_run3_MTE!Y443</f>
        <v>8.8214501953125009</v>
      </c>
      <c r="U219" s="711">
        <f>Bilans_E_AMS_Kyoto_run3_MTE!Z443</f>
        <v>306.34560932510431</v>
      </c>
      <c r="V219" s="701"/>
      <c r="W219" s="701"/>
    </row>
    <row r="220" spans="1:23" x14ac:dyDescent="0.25">
      <c r="A220" s="701" t="s">
        <v>508</v>
      </c>
      <c r="B220" s="701"/>
      <c r="C220" s="717" t="s">
        <v>79</v>
      </c>
      <c r="D220" s="711">
        <f>Bilans_E_AMS_Kyoto_run3_MTE!H444</f>
        <v>0</v>
      </c>
      <c r="E220" s="711">
        <f>Bilans_E_AMS_Kyoto_run3_MTE!I444</f>
        <v>0</v>
      </c>
      <c r="F220" s="711">
        <f>Bilans_E_AMS_Kyoto_run3_MTE!J444</f>
        <v>101.77401649068347</v>
      </c>
      <c r="G220" s="711">
        <f>Bilans_E_AMS_Kyoto_run3_MTE!K444</f>
        <v>1</v>
      </c>
      <c r="H220" s="711">
        <f>Bilans_E_AMS_Kyoto_run3_MTE!L444</f>
        <v>4.5438942798277537</v>
      </c>
      <c r="I220" s="711">
        <f>Bilans_E_AMS_Kyoto_run3_MTE!M444</f>
        <v>0</v>
      </c>
      <c r="J220" s="711">
        <f>Bilans_E_AMS_Kyoto_run3_MTE!N444</f>
        <v>0</v>
      </c>
      <c r="K220" s="711">
        <f>Bilans_E_AMS_Kyoto_run3_MTE!O444</f>
        <v>0</v>
      </c>
      <c r="L220" s="711">
        <f>Bilans_E_AMS_Kyoto_run3_MTE!P444</f>
        <v>0</v>
      </c>
      <c r="M220" s="711">
        <f>Bilans_E_AMS_Kyoto_run3_MTE!Q444</f>
        <v>0</v>
      </c>
      <c r="N220" s="711">
        <f>Bilans_E_AMS_Kyoto_run3_MTE!R444</f>
        <v>35.960574276816558</v>
      </c>
      <c r="O220" s="711">
        <f>Bilans_E_AMS_Kyoto_run3_MTE!S444</f>
        <v>3.0292628532185026</v>
      </c>
      <c r="P220" s="711">
        <f>Bilans_E_AMS_Kyoto_run3_MTE!T444+Bilans_E_AMS_Kyoto_run3_MTE!U444</f>
        <v>0</v>
      </c>
      <c r="Q220" s="711">
        <f>Bilans_E_AMS_Kyoto_run3_MTE!V444</f>
        <v>0</v>
      </c>
      <c r="R220" s="711">
        <f>Bilans_E_AMS_Kyoto_run3_MTE!W444</f>
        <v>98.588545998647945</v>
      </c>
      <c r="S220" s="711">
        <f>Bilans_E_AMS_Kyoto_run3_MTE!X444</f>
        <v>0</v>
      </c>
      <c r="T220" s="711">
        <f>Bilans_E_AMS_Kyoto_run3_MTE!Y444</f>
        <v>4.4541562271539039</v>
      </c>
      <c r="U220" s="711">
        <f>Bilans_E_AMS_Kyoto_run3_MTE!Z444</f>
        <v>249.35045012634814</v>
      </c>
      <c r="V220" s="701"/>
      <c r="W220" s="701"/>
    </row>
    <row r="221" spans="1:23" x14ac:dyDescent="0.25">
      <c r="A221" s="701" t="s">
        <v>509</v>
      </c>
      <c r="B221" s="701"/>
      <c r="C221" s="717" t="s">
        <v>80</v>
      </c>
      <c r="D221" s="711">
        <f>Bilans_E_AMS_Kyoto_run3_MTE!H445</f>
        <v>0</v>
      </c>
      <c r="E221" s="711">
        <f>Bilans_E_AMS_Kyoto_run3_MTE!I445</f>
        <v>0</v>
      </c>
      <c r="F221" s="711">
        <f>Bilans_E_AMS_Kyoto_run3_MTE!J445</f>
        <v>0.45829125770018231</v>
      </c>
      <c r="G221" s="711">
        <f>Bilans_E_AMS_Kyoto_run3_MTE!K445</f>
        <v>0</v>
      </c>
      <c r="H221" s="711">
        <f>Bilans_E_AMS_Kyoto_run3_MTE!L445</f>
        <v>23.558204689169596</v>
      </c>
      <c r="I221" s="711">
        <f>Bilans_E_AMS_Kyoto_run3_MTE!M445</f>
        <v>0</v>
      </c>
      <c r="J221" s="711">
        <f>Bilans_E_AMS_Kyoto_run3_MTE!N445</f>
        <v>0</v>
      </c>
      <c r="K221" s="711">
        <f>Bilans_E_AMS_Kyoto_run3_MTE!O445</f>
        <v>0</v>
      </c>
      <c r="L221" s="711">
        <f>Bilans_E_AMS_Kyoto_run3_MTE!P445</f>
        <v>44.494417008077924</v>
      </c>
      <c r="M221" s="711">
        <f>Bilans_E_AMS_Kyoto_run3_MTE!Q445</f>
        <v>0</v>
      </c>
      <c r="N221" s="711">
        <f>Bilans_E_AMS_Kyoto_run3_MTE!R445</f>
        <v>0</v>
      </c>
      <c r="O221" s="711">
        <f>Bilans_E_AMS_Kyoto_run3_MTE!S445</f>
        <v>15.705469792779732</v>
      </c>
      <c r="P221" s="711">
        <f>Bilans_E_AMS_Kyoto_run3_MTE!T445+Bilans_E_AMS_Kyoto_run3_MTE!U445</f>
        <v>136.92844956569715</v>
      </c>
      <c r="Q221" s="711">
        <f>Bilans_E_AMS_Kyoto_run3_MTE!V445</f>
        <v>11.112810725871574</v>
      </c>
      <c r="R221" s="711">
        <f>Bilans_E_AMS_Kyoto_run3_MTE!W445</f>
        <v>151.24868898897191</v>
      </c>
      <c r="S221" s="711">
        <f>Bilans_E_AMS_Kyoto_run3_MTE!X445</f>
        <v>40.573888251039236</v>
      </c>
      <c r="T221" s="711">
        <f>Bilans_E_AMS_Kyoto_run3_MTE!Y445</f>
        <v>0</v>
      </c>
      <c r="U221" s="711">
        <f>Bilans_E_AMS_Kyoto_run3_MTE!Z445</f>
        <v>424.0802202793073</v>
      </c>
      <c r="V221" s="701"/>
      <c r="W221" s="701"/>
    </row>
    <row r="222" spans="1:23" x14ac:dyDescent="0.25">
      <c r="A222" s="701" t="s">
        <v>510</v>
      </c>
      <c r="B222" s="701"/>
      <c r="C222" s="717" t="s">
        <v>81</v>
      </c>
      <c r="D222" s="711">
        <f>Bilans_E_AMS_Kyoto_run3_MTE!H446</f>
        <v>0</v>
      </c>
      <c r="E222" s="711">
        <f>Bilans_E_AMS_Kyoto_run3_MTE!I446</f>
        <v>0</v>
      </c>
      <c r="F222" s="711">
        <f>Bilans_E_AMS_Kyoto_run3_MTE!J446</f>
        <v>0.72441471608254671</v>
      </c>
      <c r="G222" s="711">
        <f>Bilans_E_AMS_Kyoto_run3_MTE!K446</f>
        <v>0</v>
      </c>
      <c r="H222" s="711">
        <f>Bilans_E_AMS_Kyoto_run3_MTE!L446</f>
        <v>16.529932147980702</v>
      </c>
      <c r="I222" s="711">
        <f>Bilans_E_AMS_Kyoto_run3_MTE!M446</f>
        <v>0</v>
      </c>
      <c r="J222" s="711">
        <f>Bilans_E_AMS_Kyoto_run3_MTE!N446</f>
        <v>0</v>
      </c>
      <c r="K222" s="711">
        <f>Bilans_E_AMS_Kyoto_run3_MTE!O446</f>
        <v>0</v>
      </c>
      <c r="L222" s="711">
        <f>Bilans_E_AMS_Kyoto_run3_MTE!P446</f>
        <v>0.53348745170182088</v>
      </c>
      <c r="M222" s="711">
        <f>Bilans_E_AMS_Kyoto_run3_MTE!Q446</f>
        <v>0</v>
      </c>
      <c r="N222" s="711">
        <f>Bilans_E_AMS_Kyoto_run3_MTE!R446</f>
        <v>0</v>
      </c>
      <c r="O222" s="711">
        <f>Bilans_E_AMS_Kyoto_run3_MTE!S446</f>
        <v>11.019954765320469</v>
      </c>
      <c r="P222" s="711">
        <f>Bilans_E_AMS_Kyoto_run3_MTE!T446+Bilans_E_AMS_Kyoto_run3_MTE!U446</f>
        <v>52.106590615041483</v>
      </c>
      <c r="Q222" s="711">
        <f>Bilans_E_AMS_Kyoto_run3_MTE!V446</f>
        <v>10.099133053150796</v>
      </c>
      <c r="R222" s="711">
        <f>Bilans_E_AMS_Kyoto_run3_MTE!W446</f>
        <v>121.37238070067973</v>
      </c>
      <c r="S222" s="711">
        <f>Bilans_E_AMS_Kyoto_run3_MTE!X446</f>
        <v>23.260331591038877</v>
      </c>
      <c r="T222" s="711">
        <f>Bilans_E_AMS_Kyoto_run3_MTE!Y446</f>
        <v>0</v>
      </c>
      <c r="U222" s="711">
        <f>Bilans_E_AMS_Kyoto_run3_MTE!Z446</f>
        <v>235.6462250409964</v>
      </c>
      <c r="V222" s="701"/>
      <c r="W222" s="701"/>
    </row>
    <row r="223" spans="1:23" x14ac:dyDescent="0.25">
      <c r="A223" s="701" t="s">
        <v>511</v>
      </c>
      <c r="B223" s="701"/>
      <c r="C223" s="717" t="s">
        <v>82</v>
      </c>
      <c r="D223" s="711">
        <f>Bilans_E_AMS_Kyoto_run3_MTE!H447</f>
        <v>0</v>
      </c>
      <c r="E223" s="711">
        <f>Bilans_E_AMS_Kyoto_run3_MTE!I447</f>
        <v>0</v>
      </c>
      <c r="F223" s="711">
        <f>Bilans_E_AMS_Kyoto_run3_MTE!J447</f>
        <v>13.844421020879521</v>
      </c>
      <c r="G223" s="711">
        <f>Bilans_E_AMS_Kyoto_run3_MTE!K447</f>
        <v>0</v>
      </c>
      <c r="H223" s="711">
        <f>Bilans_E_AMS_Kyoto_run3_MTE!L447</f>
        <v>0.75389053295489317</v>
      </c>
      <c r="I223" s="711">
        <f>Bilans_E_AMS_Kyoto_run3_MTE!M447</f>
        <v>0</v>
      </c>
      <c r="J223" s="711">
        <f>Bilans_E_AMS_Kyoto_run3_MTE!N447</f>
        <v>0</v>
      </c>
      <c r="K223" s="711">
        <f>Bilans_E_AMS_Kyoto_run3_MTE!O447</f>
        <v>0</v>
      </c>
      <c r="L223" s="711">
        <f>Bilans_E_AMS_Kyoto_run3_MTE!P447</f>
        <v>15.52633161671044</v>
      </c>
      <c r="M223" s="711">
        <f>Bilans_E_AMS_Kyoto_run3_MTE!Q447</f>
        <v>0</v>
      </c>
      <c r="N223" s="711">
        <f>Bilans_E_AMS_Kyoto_run3_MTE!R447</f>
        <v>6.9560280843062596</v>
      </c>
      <c r="O223" s="711">
        <f>Bilans_E_AMS_Kyoto_run3_MTE!S447</f>
        <v>0.50259368863659548</v>
      </c>
      <c r="P223" s="711">
        <f>Bilans_E_AMS_Kyoto_run3_MTE!T447+Bilans_E_AMS_Kyoto_run3_MTE!U447</f>
        <v>1</v>
      </c>
      <c r="Q223" s="711">
        <f>Bilans_E_AMS_Kyoto_run3_MTE!V447</f>
        <v>1.300620381405156</v>
      </c>
      <c r="R223" s="711">
        <f>Bilans_E_AMS_Kyoto_run3_MTE!W447</f>
        <v>9.5059865656589242</v>
      </c>
      <c r="S223" s="711">
        <f>Bilans_E_AMS_Kyoto_run3_MTE!X447</f>
        <v>0</v>
      </c>
      <c r="T223" s="711">
        <f>Bilans_E_AMS_Kyoto_run3_MTE!Y447</f>
        <v>0.43956597389567681</v>
      </c>
      <c r="U223" s="711">
        <f>Bilans_E_AMS_Kyoto_run3_MTE!Z447</f>
        <v>49.829437864447456</v>
      </c>
      <c r="V223" s="701"/>
      <c r="W223" s="701"/>
    </row>
    <row r="224" spans="1:23" x14ac:dyDescent="0.25">
      <c r="A224" s="701" t="s">
        <v>512</v>
      </c>
      <c r="B224" s="701"/>
      <c r="C224" s="717" t="s">
        <v>354</v>
      </c>
      <c r="D224" s="711">
        <f>Bilans_E_AMS_Kyoto_run3_MTE!H448</f>
        <v>0</v>
      </c>
      <c r="E224" s="711">
        <f>Bilans_E_AMS_Kyoto_run3_MTE!I448</f>
        <v>0</v>
      </c>
      <c r="F224" s="711">
        <f>Bilans_E_AMS_Kyoto_run3_MTE!J448</f>
        <v>0</v>
      </c>
      <c r="G224" s="711">
        <f>Bilans_E_AMS_Kyoto_run3_MTE!K448</f>
        <v>0</v>
      </c>
      <c r="H224" s="711">
        <f>Bilans_E_AMS_Kyoto_run3_MTE!L448</f>
        <v>0</v>
      </c>
      <c r="I224" s="711">
        <f>Bilans_E_AMS_Kyoto_run3_MTE!M448</f>
        <v>0</v>
      </c>
      <c r="J224" s="711">
        <f>Bilans_E_AMS_Kyoto_run3_MTE!N448</f>
        <v>0</v>
      </c>
      <c r="K224" s="711">
        <f>Bilans_E_AMS_Kyoto_run3_MTE!O448</f>
        <v>0</v>
      </c>
      <c r="L224" s="711">
        <f>Bilans_E_AMS_Kyoto_run3_MTE!P448</f>
        <v>0</v>
      </c>
      <c r="M224" s="711">
        <f>Bilans_E_AMS_Kyoto_run3_MTE!Q448</f>
        <v>0</v>
      </c>
      <c r="N224" s="711">
        <f>Bilans_E_AMS_Kyoto_run3_MTE!R448</f>
        <v>0</v>
      </c>
      <c r="O224" s="711">
        <f>Bilans_E_AMS_Kyoto_run3_MTE!S448</f>
        <v>0</v>
      </c>
      <c r="P224" s="711">
        <f>Bilans_E_AMS_Kyoto_run3_MTE!T448+Bilans_E_AMS_Kyoto_run3_MTE!U448</f>
        <v>0</v>
      </c>
      <c r="Q224" s="711">
        <f>Bilans_E_AMS_Kyoto_run3_MTE!V448</f>
        <v>0</v>
      </c>
      <c r="R224" s="711">
        <f>Bilans_E_AMS_Kyoto_run3_MTE!W448</f>
        <v>3.6</v>
      </c>
      <c r="S224" s="711">
        <f>Bilans_E_AMS_Kyoto_run3_MTE!X448</f>
        <v>0</v>
      </c>
      <c r="T224" s="711">
        <f>Bilans_E_AMS_Kyoto_run3_MTE!Y448</f>
        <v>0</v>
      </c>
      <c r="U224" s="711">
        <f>Bilans_E_AMS_Kyoto_run3_MTE!Z448</f>
        <v>3.6</v>
      </c>
      <c r="V224" s="701"/>
      <c r="W224" s="701"/>
    </row>
    <row r="225" spans="1:23" x14ac:dyDescent="0.25">
      <c r="A225" s="701" t="s">
        <v>513</v>
      </c>
      <c r="B225" s="701"/>
      <c r="C225" s="713" t="s">
        <v>83</v>
      </c>
      <c r="D225" s="714">
        <f>Bilans_E_AMS_Kyoto_run3_MTE!H449</f>
        <v>0.31248754882812502</v>
      </c>
      <c r="E225" s="714">
        <f>Bilans_E_AMS_Kyoto_run3_MTE!I449</f>
        <v>0</v>
      </c>
      <c r="F225" s="714">
        <f>Bilans_E_AMS_Kyoto_run3_MTE!J449</f>
        <v>119.95660742809238</v>
      </c>
      <c r="G225" s="714">
        <f>Bilans_E_AMS_Kyoto_run3_MTE!K449</f>
        <v>1</v>
      </c>
      <c r="H225" s="714">
        <f>Bilans_E_AMS_Kyoto_run3_MTE!L449</f>
        <v>82.396258796822764</v>
      </c>
      <c r="I225" s="714">
        <f>Bilans_E_AMS_Kyoto_run3_MTE!M449</f>
        <v>0</v>
      </c>
      <c r="J225" s="714">
        <f>Bilans_E_AMS_Kyoto_run3_MTE!N449</f>
        <v>0</v>
      </c>
      <c r="K225" s="714">
        <f>Bilans_E_AMS_Kyoto_run3_MTE!O449</f>
        <v>0</v>
      </c>
      <c r="L225" s="714">
        <f>Bilans_E_AMS_Kyoto_run3_MTE!P449</f>
        <v>97.945525940995111</v>
      </c>
      <c r="M225" s="714">
        <f>Bilans_E_AMS_Kyoto_run3_MTE!Q449</f>
        <v>8.8042095890605694</v>
      </c>
      <c r="N225" s="714">
        <f>Bilans_E_AMS_Kyoto_run3_MTE!R449</f>
        <v>43.572314011427274</v>
      </c>
      <c r="O225" s="714">
        <f>Bilans_E_AMS_Kyoto_run3_MTE!S449</f>
        <v>54.969502005464911</v>
      </c>
      <c r="P225" s="714">
        <f>Bilans_E_AMS_Kyoto_run3_MTE!T449+Bilans_E_AMS_Kyoto_run3_MTE!U449</f>
        <v>200.97378041511362</v>
      </c>
      <c r="Q225" s="714">
        <f>Bilans_E_AMS_Kyoto_run3_MTE!V449</f>
        <v>22.513352365095788</v>
      </c>
      <c r="R225" s="714">
        <f>Bilans_E_AMS_Kyoto_run3_MTE!W449</f>
        <v>539.26896145910575</v>
      </c>
      <c r="S225" s="714">
        <f>Bilans_E_AMS_Kyoto_run3_MTE!X449</f>
        <v>83.423770679835258</v>
      </c>
      <c r="T225" s="714">
        <f>Bilans_E_AMS_Kyoto_run3_MTE!Y449</f>
        <v>13.715172396362082</v>
      </c>
      <c r="U225" s="714">
        <f>Bilans_E_AMS_Kyoto_run3_MTE!Z449</f>
        <v>1268.8519426362036</v>
      </c>
      <c r="V225" s="701"/>
      <c r="W225" s="701"/>
    </row>
    <row r="226" spans="1:23" x14ac:dyDescent="0.25">
      <c r="A226" s="701" t="s">
        <v>514</v>
      </c>
      <c r="B226" s="701"/>
      <c r="C226" s="710" t="s">
        <v>84</v>
      </c>
      <c r="D226" s="711">
        <f>Bilans_E_AMS_Kyoto_run3_MTE!H450</f>
        <v>0</v>
      </c>
      <c r="E226" s="711">
        <f>Bilans_E_AMS_Kyoto_run3_MTE!I450</f>
        <v>0</v>
      </c>
      <c r="F226" s="711">
        <f>Bilans_E_AMS_Kyoto_run3_MTE!J450</f>
        <v>102.03544321387012</v>
      </c>
      <c r="G226" s="711">
        <f>Bilans_E_AMS_Kyoto_run3_MTE!K450</f>
        <v>2.4611725721851321</v>
      </c>
      <c r="H226" s="711">
        <f>Bilans_E_AMS_Kyoto_run3_MTE!L450</f>
        <v>12.555456003161671</v>
      </c>
      <c r="I226" s="711">
        <f>Bilans_E_AMS_Kyoto_run3_MTE!M450</f>
        <v>0</v>
      </c>
      <c r="J226" s="711">
        <f>Bilans_E_AMS_Kyoto_run3_MTE!N450</f>
        <v>0</v>
      </c>
      <c r="K226" s="711">
        <f>Bilans_E_AMS_Kyoto_run3_MTE!O450</f>
        <v>0</v>
      </c>
      <c r="L226" s="711">
        <f>Bilans_E_AMS_Kyoto_run3_MTE!P450</f>
        <v>0.48630321782953712</v>
      </c>
      <c r="M226" s="711">
        <f>Bilans_E_AMS_Kyoto_run3_MTE!Q450</f>
        <v>0</v>
      </c>
      <c r="N226" s="711">
        <f>Bilans_E_AMS_Kyoto_run3_MTE!R450</f>
        <v>3.8692083880096835</v>
      </c>
      <c r="O226" s="711">
        <f>Bilans_E_AMS_Kyoto_run3_MTE!S450</f>
        <v>0</v>
      </c>
      <c r="P226" s="711">
        <f>Bilans_E_AMS_Kyoto_run3_MTE!T450+Bilans_E_AMS_Kyoto_run3_MTE!U450</f>
        <v>0</v>
      </c>
      <c r="Q226" s="711">
        <f>Bilans_E_AMS_Kyoto_run3_MTE!V450</f>
        <v>0</v>
      </c>
      <c r="R226" s="711">
        <f>Bilans_E_AMS_Kyoto_run3_MTE!W450</f>
        <v>0</v>
      </c>
      <c r="S226" s="711">
        <f>Bilans_E_AMS_Kyoto_run3_MTE!X450</f>
        <v>0</v>
      </c>
      <c r="T226" s="711">
        <f>Bilans_E_AMS_Kyoto_run3_MTE!Y450</f>
        <v>1.8671101278544562</v>
      </c>
      <c r="U226" s="711">
        <f>Bilans_E_AMS_Kyoto_run3_MTE!Z450</f>
        <v>123.27469352291061</v>
      </c>
      <c r="V226" s="701"/>
      <c r="W226" s="701"/>
    </row>
    <row r="227" spans="1:23" x14ac:dyDescent="0.25">
      <c r="A227" s="701" t="s">
        <v>515</v>
      </c>
      <c r="B227" s="701"/>
      <c r="C227" s="713" t="s">
        <v>85</v>
      </c>
      <c r="D227" s="714">
        <f>Bilans_E_AMS_Kyoto_run3_MTE!H451</f>
        <v>0.31248754882812502</v>
      </c>
      <c r="E227" s="714">
        <f>Bilans_E_AMS_Kyoto_run3_MTE!I451</f>
        <v>0</v>
      </c>
      <c r="F227" s="714">
        <f>Bilans_E_AMS_Kyoto_run3_MTE!J451</f>
        <v>221.99205064196252</v>
      </c>
      <c r="G227" s="714">
        <f>Bilans_E_AMS_Kyoto_run3_MTE!K451</f>
        <v>3.4611725721851321</v>
      </c>
      <c r="H227" s="714">
        <f>Bilans_E_AMS_Kyoto_run3_MTE!L451</f>
        <v>94.95171479998443</v>
      </c>
      <c r="I227" s="714">
        <f>Bilans_E_AMS_Kyoto_run3_MTE!M451</f>
        <v>0</v>
      </c>
      <c r="J227" s="714">
        <f>Bilans_E_AMS_Kyoto_run3_MTE!N451</f>
        <v>0</v>
      </c>
      <c r="K227" s="714">
        <f>Bilans_E_AMS_Kyoto_run3_MTE!O451</f>
        <v>0</v>
      </c>
      <c r="L227" s="714">
        <f>Bilans_E_AMS_Kyoto_run3_MTE!P451</f>
        <v>98.431829158824655</v>
      </c>
      <c r="M227" s="714">
        <f>Bilans_E_AMS_Kyoto_run3_MTE!Q451</f>
        <v>8.8042095890605694</v>
      </c>
      <c r="N227" s="714">
        <f>Bilans_E_AMS_Kyoto_run3_MTE!R451</f>
        <v>47.441522399436955</v>
      </c>
      <c r="O227" s="714">
        <f>Bilans_E_AMS_Kyoto_run3_MTE!S451</f>
        <v>54.969502005464911</v>
      </c>
      <c r="P227" s="714">
        <f>Bilans_E_AMS_Kyoto_run3_MTE!T451+Bilans_E_AMS_Kyoto_run3_MTE!U451</f>
        <v>200.97378041511362</v>
      </c>
      <c r="Q227" s="714">
        <f>Bilans_E_AMS_Kyoto_run3_MTE!V451</f>
        <v>22.513352365095788</v>
      </c>
      <c r="R227" s="714">
        <f>Bilans_E_AMS_Kyoto_run3_MTE!W451</f>
        <v>539.26896145910575</v>
      </c>
      <c r="S227" s="714">
        <f>Bilans_E_AMS_Kyoto_run3_MTE!X451</f>
        <v>83.423770679835258</v>
      </c>
      <c r="T227" s="714">
        <f>Bilans_E_AMS_Kyoto_run3_MTE!Y451</f>
        <v>15.582282524216538</v>
      </c>
      <c r="U227" s="714">
        <f>Bilans_E_AMS_Kyoto_run3_MTE!Z451</f>
        <v>1392.1266361591142</v>
      </c>
      <c r="V227" s="701"/>
      <c r="W227" s="701"/>
    </row>
    <row r="228" spans="1:23" x14ac:dyDescent="0.25">
      <c r="A228" s="701"/>
      <c r="B228" s="701"/>
      <c r="C228" s="701"/>
      <c r="D228" s="701">
        <f>Bilans_E_AMS_Kyoto_run3_MTE!H452</f>
        <v>0</v>
      </c>
      <c r="E228" s="701">
        <f>Bilans_E_AMS_Kyoto_run3_MTE!I452</f>
        <v>0</v>
      </c>
      <c r="F228" s="701">
        <f>Bilans_E_AMS_Kyoto_run3_MTE!J452</f>
        <v>5.6843418860808015E-14</v>
      </c>
      <c r="G228" s="701">
        <f>Bilans_E_AMS_Kyoto_run3_MTE!K452</f>
        <v>0</v>
      </c>
      <c r="H228" s="701">
        <f>Bilans_E_AMS_Kyoto_run3_MTE!L452</f>
        <v>0</v>
      </c>
      <c r="I228" s="701">
        <f>Bilans_E_AMS_Kyoto_run3_MTE!M452</f>
        <v>0</v>
      </c>
      <c r="J228" s="701">
        <f>Bilans_E_AMS_Kyoto_run3_MTE!N452</f>
        <v>0</v>
      </c>
      <c r="K228" s="701">
        <f>Bilans_E_AMS_Kyoto_run3_MTE!O452</f>
        <v>0</v>
      </c>
      <c r="L228" s="701">
        <f>Bilans_E_AMS_Kyoto_run3_MTE!P452</f>
        <v>0</v>
      </c>
      <c r="M228" s="701">
        <f>Bilans_E_AMS_Kyoto_run3_MTE!Q452</f>
        <v>0</v>
      </c>
      <c r="N228" s="701">
        <f>Bilans_E_AMS_Kyoto_run3_MTE!R452</f>
        <v>0</v>
      </c>
      <c r="O228" s="701">
        <f>Bilans_E_AMS_Kyoto_run3_MTE!S452</f>
        <v>1.9984014443252818E-15</v>
      </c>
      <c r="P228" s="701">
        <f>Bilans_E_AMS_Kyoto_run3_MTE!T452+Bilans_E_AMS_Kyoto_run3_MTE!U452</f>
        <v>0</v>
      </c>
      <c r="Q228" s="701">
        <f>Bilans_E_AMS_Kyoto_run3_MTE!V452</f>
        <v>0</v>
      </c>
      <c r="R228" s="701">
        <f>Bilans_E_AMS_Kyoto_run3_MTE!W452</f>
        <v>0</v>
      </c>
      <c r="S228" s="701">
        <f>Bilans_E_AMS_Kyoto_run3_MTE!X452</f>
        <v>-3.1886132049407934E-5</v>
      </c>
      <c r="T228" s="701">
        <f>Bilans_E_AMS_Kyoto_run3_MTE!Y452</f>
        <v>0</v>
      </c>
      <c r="U228" s="701">
        <f>Bilans_E_AMS_Kyoto_run3_MTE!Z452</f>
        <v>-3.1886131637293147E-5</v>
      </c>
      <c r="V228" s="701"/>
      <c r="W228" s="701"/>
    </row>
    <row r="229" spans="1:23" x14ac:dyDescent="0.25">
      <c r="A229" s="701"/>
      <c r="B229" s="701"/>
      <c r="C229" s="701"/>
      <c r="D229" s="701"/>
      <c r="E229" s="701"/>
      <c r="F229" s="701"/>
      <c r="G229" s="701"/>
      <c r="H229" s="701"/>
      <c r="I229" s="701"/>
      <c r="J229" s="701"/>
      <c r="K229" s="701"/>
      <c r="L229" s="701"/>
      <c r="M229" s="701"/>
      <c r="N229" s="701"/>
      <c r="O229" s="701"/>
      <c r="P229" s="701"/>
      <c r="Q229" s="701"/>
      <c r="R229" s="701"/>
      <c r="S229" s="701"/>
      <c r="T229" s="701"/>
      <c r="U229" s="701"/>
      <c r="V229" s="701"/>
      <c r="W229" s="701"/>
    </row>
    <row r="230" spans="1:23" x14ac:dyDescent="0.25">
      <c r="A230" s="707"/>
      <c r="B230" s="707"/>
      <c r="C230" s="708" t="s">
        <v>518</v>
      </c>
      <c r="D230" s="707"/>
      <c r="E230" s="707"/>
      <c r="F230" s="707"/>
      <c r="G230" s="707"/>
      <c r="H230" s="707"/>
      <c r="I230" s="707"/>
      <c r="J230" s="707"/>
      <c r="K230" s="707"/>
      <c r="L230" s="707"/>
      <c r="M230" s="707"/>
      <c r="N230" s="707"/>
      <c r="O230" s="707"/>
      <c r="P230" s="707"/>
      <c r="Q230" s="707"/>
      <c r="R230" s="707"/>
      <c r="S230" s="707"/>
      <c r="T230" s="707"/>
      <c r="U230" s="707"/>
      <c r="V230" s="707"/>
      <c r="W230" s="707"/>
    </row>
    <row r="231" spans="1:23" x14ac:dyDescent="0.25">
      <c r="A231" s="701"/>
      <c r="B231" s="701"/>
      <c r="C231" s="701"/>
      <c r="D231" s="701"/>
      <c r="E231" s="701"/>
      <c r="F231" s="701"/>
      <c r="G231" s="701"/>
      <c r="H231" s="701"/>
      <c r="I231" s="701"/>
      <c r="J231" s="701"/>
      <c r="K231" s="701"/>
      <c r="L231" s="701"/>
      <c r="M231" s="701"/>
      <c r="N231" s="701"/>
      <c r="O231" s="701"/>
      <c r="P231" s="701"/>
      <c r="Q231" s="701"/>
      <c r="R231" s="701"/>
      <c r="S231" s="701"/>
      <c r="T231" s="701"/>
      <c r="U231" s="701"/>
      <c r="V231" s="701"/>
      <c r="W231" s="701"/>
    </row>
    <row r="232" spans="1:23" x14ac:dyDescent="0.25">
      <c r="A232" s="701"/>
      <c r="B232" s="701"/>
      <c r="C232" s="780" t="s">
        <v>128</v>
      </c>
      <c r="D232" s="775" t="s">
        <v>42</v>
      </c>
      <c r="E232" s="775" t="s">
        <v>52</v>
      </c>
      <c r="F232" s="775" t="s">
        <v>53</v>
      </c>
      <c r="G232" s="775" t="s">
        <v>482</v>
      </c>
      <c r="H232" s="775" t="s">
        <v>32</v>
      </c>
      <c r="I232" s="775" t="s">
        <v>483</v>
      </c>
      <c r="J232" s="775" t="s">
        <v>20</v>
      </c>
      <c r="K232" s="775" t="s">
        <v>55</v>
      </c>
      <c r="L232" s="777" t="s">
        <v>56</v>
      </c>
      <c r="M232" s="778"/>
      <c r="N232" s="778"/>
      <c r="O232" s="778"/>
      <c r="P232" s="778"/>
      <c r="Q232" s="779"/>
      <c r="R232" s="775" t="s">
        <v>57</v>
      </c>
      <c r="S232" s="775" t="s">
        <v>58</v>
      </c>
      <c r="T232" s="775" t="s">
        <v>31</v>
      </c>
      <c r="U232" s="775" t="s">
        <v>10</v>
      </c>
      <c r="V232" s="701"/>
      <c r="W232" s="701"/>
    </row>
    <row r="233" spans="1:23" ht="67.5" x14ac:dyDescent="0.25">
      <c r="A233" s="701" t="s">
        <v>486</v>
      </c>
      <c r="B233" s="701"/>
      <c r="C233" s="781"/>
      <c r="D233" s="776"/>
      <c r="E233" s="776"/>
      <c r="F233" s="776"/>
      <c r="G233" s="776"/>
      <c r="H233" s="776"/>
      <c r="I233" s="776"/>
      <c r="J233" s="776"/>
      <c r="K233" s="776"/>
      <c r="L233" s="709" t="s">
        <v>335</v>
      </c>
      <c r="M233" s="709" t="s">
        <v>40</v>
      </c>
      <c r="N233" s="709" t="s">
        <v>343</v>
      </c>
      <c r="O233" s="709" t="s">
        <v>344</v>
      </c>
      <c r="P233" s="719" t="s">
        <v>610</v>
      </c>
      <c r="Q233" s="709" t="s">
        <v>346</v>
      </c>
      <c r="R233" s="776"/>
      <c r="S233" s="776"/>
      <c r="T233" s="776"/>
      <c r="U233" s="776"/>
      <c r="V233" s="701"/>
      <c r="W233" s="701"/>
    </row>
    <row r="234" spans="1:23" x14ac:dyDescent="0.25">
      <c r="A234" s="701" t="s">
        <v>487</v>
      </c>
      <c r="B234" s="701"/>
      <c r="C234" s="710" t="s">
        <v>59</v>
      </c>
      <c r="D234" s="711">
        <f>Bilans_E_AMS_Kyoto_run3_MTE!H458</f>
        <v>0</v>
      </c>
      <c r="E234" s="711">
        <f>Bilans_E_AMS_Kyoto_run3_MTE!I458</f>
        <v>0</v>
      </c>
      <c r="F234" s="711">
        <f>Bilans_E_AMS_Kyoto_run3_MTE!J458</f>
        <v>0</v>
      </c>
      <c r="G234" s="711">
        <f>Bilans_E_AMS_Kyoto_run3_MTE!K458</f>
        <v>0</v>
      </c>
      <c r="H234" s="711">
        <f>Bilans_E_AMS_Kyoto_run3_MTE!L458</f>
        <v>0</v>
      </c>
      <c r="I234" s="711">
        <f>Bilans_E_AMS_Kyoto_run3_MTE!M458</f>
        <v>0</v>
      </c>
      <c r="J234" s="711">
        <f>Bilans_E_AMS_Kyoto_run3_MTE!N458</f>
        <v>1099.5846392966657</v>
      </c>
      <c r="K234" s="711">
        <f>Bilans_E_AMS_Kyoto_run3_MTE!O458</f>
        <v>432.558137271254</v>
      </c>
      <c r="L234" s="711">
        <f>Bilans_E_AMS_Kyoto_run3_MTE!P458</f>
        <v>366.60157244104857</v>
      </c>
      <c r="M234" s="711">
        <f>Bilans_E_AMS_Kyoto_run3_MTE!Q458</f>
        <v>46.101085198672763</v>
      </c>
      <c r="N234" s="711">
        <f>Bilans_E_AMS_Kyoto_run3_MTE!R458</f>
        <v>0</v>
      </c>
      <c r="O234" s="711">
        <f>Bilans_E_AMS_Kyoto_run3_MTE!S458</f>
        <v>0</v>
      </c>
      <c r="P234" s="711">
        <f>Bilans_E_AMS_Kyoto_run3_MTE!T458+Bilans_E_AMS_Kyoto_run3_MTE!U458</f>
        <v>228.80859050100952</v>
      </c>
      <c r="Q234" s="711">
        <f>Bilans_E_AMS_Kyoto_run3_MTE!V458</f>
        <v>44.117114546253134</v>
      </c>
      <c r="R234" s="711">
        <f>Bilans_E_AMS_Kyoto_run3_MTE!W458</f>
        <v>0</v>
      </c>
      <c r="S234" s="711">
        <f>Bilans_E_AMS_Kyoto_run3_MTE!X458</f>
        <v>0</v>
      </c>
      <c r="T234" s="711">
        <f>Bilans_E_AMS_Kyoto_run3_MTE!Y458</f>
        <v>0</v>
      </c>
      <c r="U234" s="711">
        <f>Bilans_E_AMS_Kyoto_run3_MTE!Z458</f>
        <v>2217.7711392549036</v>
      </c>
      <c r="V234" s="701"/>
      <c r="W234" s="701"/>
    </row>
    <row r="235" spans="1:23" x14ac:dyDescent="0.25">
      <c r="A235" s="701" t="s">
        <v>488</v>
      </c>
      <c r="B235" s="701"/>
      <c r="C235" s="710" t="s">
        <v>60</v>
      </c>
      <c r="D235" s="712">
        <f>Bilans_E_AMS_Kyoto_run3_MTE!H459</f>
        <v>4.7190318603515626</v>
      </c>
      <c r="E235" s="712">
        <f>Bilans_E_AMS_Kyoto_run3_MTE!I459</f>
        <v>177.55502583689511</v>
      </c>
      <c r="F235" s="712">
        <f>Bilans_E_AMS_Kyoto_run3_MTE!J459</f>
        <v>35.526382887078427</v>
      </c>
      <c r="G235" s="712">
        <f>Bilans_E_AMS_Kyoto_run3_MTE!K459</f>
        <v>8.2447057853181924</v>
      </c>
      <c r="H235" s="712">
        <f>Bilans_E_AMS_Kyoto_run3_MTE!L459</f>
        <v>93.790704319687649</v>
      </c>
      <c r="I235" s="712">
        <f>Bilans_E_AMS_Kyoto_run3_MTE!M459</f>
        <v>0</v>
      </c>
      <c r="J235" s="712">
        <f>Bilans_E_AMS_Kyoto_run3_MTE!N459</f>
        <v>0</v>
      </c>
      <c r="K235" s="712">
        <f>Bilans_E_AMS_Kyoto_run3_MTE!O459</f>
        <v>0</v>
      </c>
      <c r="L235" s="712">
        <f>Bilans_E_AMS_Kyoto_run3_MTE!P459</f>
        <v>7.7767614364420297</v>
      </c>
      <c r="M235" s="712">
        <f>Bilans_E_AMS_Kyoto_run3_MTE!Q459</f>
        <v>0</v>
      </c>
      <c r="N235" s="712">
        <f>Bilans_E_AMS_Kyoto_run3_MTE!R459</f>
        <v>7.7564977806323299</v>
      </c>
      <c r="O235" s="712">
        <f>Bilans_E_AMS_Kyoto_run3_MTE!S459</f>
        <v>0</v>
      </c>
      <c r="P235" s="712">
        <f>Bilans_E_AMS_Kyoto_run3_MTE!T459+Bilans_E_AMS_Kyoto_run3_MTE!U459</f>
        <v>0</v>
      </c>
      <c r="Q235" s="712">
        <f>Bilans_E_AMS_Kyoto_run3_MTE!V459</f>
        <v>0</v>
      </c>
      <c r="R235" s="712">
        <f>Bilans_E_AMS_Kyoto_run3_MTE!W459</f>
        <v>0</v>
      </c>
      <c r="S235" s="712">
        <f>Bilans_E_AMS_Kyoto_run3_MTE!X459</f>
        <v>0</v>
      </c>
      <c r="T235" s="712">
        <f>Bilans_E_AMS_Kyoto_run3_MTE!Y459</f>
        <v>0</v>
      </c>
      <c r="U235" s="712">
        <f>Bilans_E_AMS_Kyoto_run3_MTE!Z459</f>
        <v>335.3691099064053</v>
      </c>
      <c r="V235" s="701"/>
      <c r="W235" s="701"/>
    </row>
    <row r="236" spans="1:23" x14ac:dyDescent="0.25">
      <c r="A236" s="701" t="s">
        <v>489</v>
      </c>
      <c r="B236" s="701"/>
      <c r="C236" s="710" t="s">
        <v>61</v>
      </c>
      <c r="D236" s="712">
        <f>Bilans_E_AMS_Kyoto_run3_MTE!H460</f>
        <v>0</v>
      </c>
      <c r="E236" s="712">
        <f>Bilans_E_AMS_Kyoto_run3_MTE!I460</f>
        <v>0</v>
      </c>
      <c r="F236" s="712">
        <f>Bilans_E_AMS_Kyoto_run3_MTE!J460</f>
        <v>0</v>
      </c>
      <c r="G236" s="712">
        <f>Bilans_E_AMS_Kyoto_run3_MTE!K460</f>
        <v>0</v>
      </c>
      <c r="H236" s="712">
        <f>Bilans_E_AMS_Kyoto_run3_MTE!L460</f>
        <v>0</v>
      </c>
      <c r="I236" s="712">
        <f>Bilans_E_AMS_Kyoto_run3_MTE!M460</f>
        <v>0</v>
      </c>
      <c r="J236" s="712">
        <f>Bilans_E_AMS_Kyoto_run3_MTE!N460</f>
        <v>0</v>
      </c>
      <c r="K236" s="712">
        <f>Bilans_E_AMS_Kyoto_run3_MTE!O460</f>
        <v>0</v>
      </c>
      <c r="L236" s="712">
        <f>Bilans_E_AMS_Kyoto_run3_MTE!P460</f>
        <v>0</v>
      </c>
      <c r="M236" s="712">
        <f>Bilans_E_AMS_Kyoto_run3_MTE!Q460</f>
        <v>0</v>
      </c>
      <c r="N236" s="712">
        <f>Bilans_E_AMS_Kyoto_run3_MTE!R460</f>
        <v>0</v>
      </c>
      <c r="O236" s="712">
        <f>Bilans_E_AMS_Kyoto_run3_MTE!S460</f>
        <v>-11.927582935629047</v>
      </c>
      <c r="P236" s="712">
        <f>Bilans_E_AMS_Kyoto_run3_MTE!T460+Bilans_E_AMS_Kyoto_run3_MTE!U460</f>
        <v>0</v>
      </c>
      <c r="Q236" s="712">
        <f>Bilans_E_AMS_Kyoto_run3_MTE!V460</f>
        <v>0</v>
      </c>
      <c r="R236" s="712">
        <f>Bilans_E_AMS_Kyoto_run3_MTE!W460</f>
        <v>-91.926243378286927</v>
      </c>
      <c r="S236" s="712">
        <f>Bilans_E_AMS_Kyoto_run3_MTE!X460</f>
        <v>0</v>
      </c>
      <c r="T236" s="712">
        <f>Bilans_E_AMS_Kyoto_run3_MTE!Y460</f>
        <v>0</v>
      </c>
      <c r="U236" s="712">
        <f>Bilans_E_AMS_Kyoto_run3_MTE!Z460</f>
        <v>-103.85382631391597</v>
      </c>
      <c r="V236" s="701"/>
      <c r="W236" s="701"/>
    </row>
    <row r="237" spans="1:23" x14ac:dyDescent="0.25">
      <c r="A237" s="701" t="s">
        <v>490</v>
      </c>
      <c r="B237" s="701"/>
      <c r="C237" s="710" t="s">
        <v>62</v>
      </c>
      <c r="D237" s="711">
        <f>Bilans_E_AMS_Kyoto_run3_MTE!H461</f>
        <v>0</v>
      </c>
      <c r="E237" s="711">
        <f>Bilans_E_AMS_Kyoto_run3_MTE!I461</f>
        <v>0</v>
      </c>
      <c r="F237" s="711">
        <f>Bilans_E_AMS_Kyoto_run3_MTE!J461</f>
        <v>-3.9597709546196729</v>
      </c>
      <c r="G237" s="711">
        <f>Bilans_E_AMS_Kyoto_run3_MTE!K461</f>
        <v>-1.6687304711455928</v>
      </c>
      <c r="H237" s="711">
        <f>Bilans_E_AMS_Kyoto_run3_MTE!L461</f>
        <v>0</v>
      </c>
      <c r="I237" s="711">
        <f>Bilans_E_AMS_Kyoto_run3_MTE!M461</f>
        <v>-1.7692389987108714</v>
      </c>
      <c r="J237" s="711">
        <f>Bilans_E_AMS_Kyoto_run3_MTE!N461</f>
        <v>0</v>
      </c>
      <c r="K237" s="711">
        <f>Bilans_E_AMS_Kyoto_run3_MTE!O461</f>
        <v>0</v>
      </c>
      <c r="L237" s="711">
        <f>Bilans_E_AMS_Kyoto_run3_MTE!P461</f>
        <v>0</v>
      </c>
      <c r="M237" s="711">
        <f>Bilans_E_AMS_Kyoto_run3_MTE!Q461</f>
        <v>0</v>
      </c>
      <c r="N237" s="711">
        <f>Bilans_E_AMS_Kyoto_run3_MTE!R461</f>
        <v>0</v>
      </c>
      <c r="O237" s="711">
        <f>Bilans_E_AMS_Kyoto_run3_MTE!S461</f>
        <v>-1.504748971161108</v>
      </c>
      <c r="P237" s="711">
        <f>Bilans_E_AMS_Kyoto_run3_MTE!T461+Bilans_E_AMS_Kyoto_run3_MTE!U461</f>
        <v>0</v>
      </c>
      <c r="Q237" s="711">
        <f>Bilans_E_AMS_Kyoto_run3_MTE!V461</f>
        <v>0</v>
      </c>
      <c r="R237" s="711">
        <f>Bilans_E_AMS_Kyoto_run3_MTE!W461</f>
        <v>0</v>
      </c>
      <c r="S237" s="711">
        <f>Bilans_E_AMS_Kyoto_run3_MTE!X461</f>
        <v>0</v>
      </c>
      <c r="T237" s="711">
        <f>Bilans_E_AMS_Kyoto_run3_MTE!Y461</f>
        <v>-0.86329073643245491</v>
      </c>
      <c r="U237" s="711">
        <f>Bilans_E_AMS_Kyoto_run3_MTE!Z461</f>
        <v>-9.7657801320697004</v>
      </c>
      <c r="V237" s="701"/>
      <c r="W237" s="701"/>
    </row>
    <row r="238" spans="1:23" x14ac:dyDescent="0.25">
      <c r="A238" s="701" t="s">
        <v>491</v>
      </c>
      <c r="B238" s="701"/>
      <c r="C238" s="710" t="s">
        <v>63</v>
      </c>
      <c r="D238" s="711">
        <f>Bilans_E_AMS_Kyoto_run3_MTE!H462</f>
        <v>0</v>
      </c>
      <c r="E238" s="711">
        <f>Bilans_E_AMS_Kyoto_run3_MTE!I462</f>
        <v>0</v>
      </c>
      <c r="F238" s="711">
        <f>Bilans_E_AMS_Kyoto_run3_MTE!J462</f>
        <v>-32.199999999999996</v>
      </c>
      <c r="G238" s="711">
        <f>Bilans_E_AMS_Kyoto_run3_MTE!K462</f>
        <v>-12.8</v>
      </c>
      <c r="H238" s="711">
        <f>Bilans_E_AMS_Kyoto_run3_MTE!L462</f>
        <v>0</v>
      </c>
      <c r="I238" s="711">
        <f>Bilans_E_AMS_Kyoto_run3_MTE!M462</f>
        <v>0</v>
      </c>
      <c r="J238" s="711">
        <f>Bilans_E_AMS_Kyoto_run3_MTE!N462</f>
        <v>0</v>
      </c>
      <c r="K238" s="711">
        <f>Bilans_E_AMS_Kyoto_run3_MTE!O462</f>
        <v>0</v>
      </c>
      <c r="L238" s="711">
        <f>Bilans_E_AMS_Kyoto_run3_MTE!P462</f>
        <v>0</v>
      </c>
      <c r="M238" s="711">
        <f>Bilans_E_AMS_Kyoto_run3_MTE!Q462</f>
        <v>0</v>
      </c>
      <c r="N238" s="711">
        <f>Bilans_E_AMS_Kyoto_run3_MTE!R462</f>
        <v>-15.600000000000001</v>
      </c>
      <c r="O238" s="711">
        <f>Bilans_E_AMS_Kyoto_run3_MTE!S462</f>
        <v>0</v>
      </c>
      <c r="P238" s="711">
        <f>Bilans_E_AMS_Kyoto_run3_MTE!T462+Bilans_E_AMS_Kyoto_run3_MTE!U462</f>
        <v>0</v>
      </c>
      <c r="Q238" s="711">
        <f>Bilans_E_AMS_Kyoto_run3_MTE!V462</f>
        <v>0</v>
      </c>
      <c r="R238" s="711">
        <f>Bilans_E_AMS_Kyoto_run3_MTE!W462</f>
        <v>0</v>
      </c>
      <c r="S238" s="711">
        <f>Bilans_E_AMS_Kyoto_run3_MTE!X462</f>
        <v>0</v>
      </c>
      <c r="T238" s="711">
        <f>Bilans_E_AMS_Kyoto_run3_MTE!Y462</f>
        <v>-4.2</v>
      </c>
      <c r="U238" s="711">
        <f>Bilans_E_AMS_Kyoto_run3_MTE!Z462</f>
        <v>-64.8</v>
      </c>
      <c r="V238" s="701"/>
      <c r="W238" s="701"/>
    </row>
    <row r="239" spans="1:23" x14ac:dyDescent="0.25">
      <c r="A239" s="701" t="s">
        <v>492</v>
      </c>
      <c r="B239" s="701"/>
      <c r="C239" s="710" t="s">
        <v>64</v>
      </c>
      <c r="D239" s="712">
        <f>Bilans_E_AMS_Kyoto_run3_MTE!H463</f>
        <v>0</v>
      </c>
      <c r="E239" s="712">
        <f>Bilans_E_AMS_Kyoto_run3_MTE!I463</f>
        <v>0</v>
      </c>
      <c r="F239" s="712">
        <f>Bilans_E_AMS_Kyoto_run3_MTE!J463</f>
        <v>0</v>
      </c>
      <c r="G239" s="712">
        <f>Bilans_E_AMS_Kyoto_run3_MTE!K463</f>
        <v>0</v>
      </c>
      <c r="H239" s="712">
        <f>Bilans_E_AMS_Kyoto_run3_MTE!L463</f>
        <v>0</v>
      </c>
      <c r="I239" s="712">
        <f>Bilans_E_AMS_Kyoto_run3_MTE!M463</f>
        <v>0</v>
      </c>
      <c r="J239" s="712">
        <f>Bilans_E_AMS_Kyoto_run3_MTE!N463</f>
        <v>0</v>
      </c>
      <c r="K239" s="712">
        <f>Bilans_E_AMS_Kyoto_run3_MTE!O463</f>
        <v>0</v>
      </c>
      <c r="L239" s="712">
        <f>Bilans_E_AMS_Kyoto_run3_MTE!P463</f>
        <v>0</v>
      </c>
      <c r="M239" s="712">
        <f>Bilans_E_AMS_Kyoto_run3_MTE!Q463</f>
        <v>0</v>
      </c>
      <c r="N239" s="712">
        <f>Bilans_E_AMS_Kyoto_run3_MTE!R463</f>
        <v>0</v>
      </c>
      <c r="O239" s="712">
        <f>Bilans_E_AMS_Kyoto_run3_MTE!S463</f>
        <v>0</v>
      </c>
      <c r="P239" s="712">
        <f>Bilans_E_AMS_Kyoto_run3_MTE!T463+Bilans_E_AMS_Kyoto_run3_MTE!U463</f>
        <v>0</v>
      </c>
      <c r="Q239" s="712">
        <f>Bilans_E_AMS_Kyoto_run3_MTE!V463</f>
        <v>0</v>
      </c>
      <c r="R239" s="712">
        <f>Bilans_E_AMS_Kyoto_run3_MTE!W463</f>
        <v>0</v>
      </c>
      <c r="S239" s="712">
        <f>Bilans_E_AMS_Kyoto_run3_MTE!X463</f>
        <v>0</v>
      </c>
      <c r="T239" s="712">
        <f>Bilans_E_AMS_Kyoto_run3_MTE!Y463</f>
        <v>0</v>
      </c>
      <c r="U239" s="712">
        <f>Bilans_E_AMS_Kyoto_run3_MTE!Z463</f>
        <v>0</v>
      </c>
      <c r="V239" s="701"/>
      <c r="W239" s="701"/>
    </row>
    <row r="240" spans="1:23" x14ac:dyDescent="0.25">
      <c r="A240" s="701" t="s">
        <v>493</v>
      </c>
      <c r="B240" s="701"/>
      <c r="C240" s="713" t="s">
        <v>65</v>
      </c>
      <c r="D240" s="714">
        <f>Bilans_E_AMS_Kyoto_run3_MTE!H464</f>
        <v>4.7190318603515626</v>
      </c>
      <c r="E240" s="714">
        <f>Bilans_E_AMS_Kyoto_run3_MTE!I464</f>
        <v>177.55502583689511</v>
      </c>
      <c r="F240" s="714">
        <f>Bilans_E_AMS_Kyoto_run3_MTE!J464</f>
        <v>-0.63338806754124022</v>
      </c>
      <c r="G240" s="714">
        <f>Bilans_E_AMS_Kyoto_run3_MTE!K464</f>
        <v>-6.2240246858274011</v>
      </c>
      <c r="H240" s="714">
        <f>Bilans_E_AMS_Kyoto_run3_MTE!L464</f>
        <v>93.790704319687649</v>
      </c>
      <c r="I240" s="714">
        <f>Bilans_E_AMS_Kyoto_run3_MTE!M464</f>
        <v>-1.7692389987108714</v>
      </c>
      <c r="J240" s="714">
        <f>Bilans_E_AMS_Kyoto_run3_MTE!N464</f>
        <v>1099.5846392966657</v>
      </c>
      <c r="K240" s="714">
        <f>Bilans_E_AMS_Kyoto_run3_MTE!O464</f>
        <v>432.558137271254</v>
      </c>
      <c r="L240" s="714">
        <f>Bilans_E_AMS_Kyoto_run3_MTE!P464</f>
        <v>374.3783338774906</v>
      </c>
      <c r="M240" s="714">
        <f>Bilans_E_AMS_Kyoto_run3_MTE!Q464</f>
        <v>46.101085198672763</v>
      </c>
      <c r="N240" s="714">
        <f>Bilans_E_AMS_Kyoto_run3_MTE!R464</f>
        <v>-7.8435022193676716</v>
      </c>
      <c r="O240" s="714">
        <f>Bilans_E_AMS_Kyoto_run3_MTE!S464</f>
        <v>-13.432331906790155</v>
      </c>
      <c r="P240" s="714">
        <f>Bilans_E_AMS_Kyoto_run3_MTE!T464+Bilans_E_AMS_Kyoto_run3_MTE!U464</f>
        <v>228.80859050100952</v>
      </c>
      <c r="Q240" s="714">
        <f>Bilans_E_AMS_Kyoto_run3_MTE!V464</f>
        <v>44.117114546253134</v>
      </c>
      <c r="R240" s="714">
        <f>Bilans_E_AMS_Kyoto_run3_MTE!W464</f>
        <v>-91.926243378286927</v>
      </c>
      <c r="S240" s="714">
        <f>Bilans_E_AMS_Kyoto_run3_MTE!X464</f>
        <v>0</v>
      </c>
      <c r="T240" s="714">
        <f>Bilans_E_AMS_Kyoto_run3_MTE!Y464</f>
        <v>-5.0632907364324549</v>
      </c>
      <c r="U240" s="714">
        <f>Bilans_E_AMS_Kyoto_run3_MTE!Z464</f>
        <v>2374.7206427153233</v>
      </c>
      <c r="V240" s="701"/>
      <c r="W240" s="701"/>
    </row>
    <row r="241" spans="1:23" x14ac:dyDescent="0.25">
      <c r="A241" s="701"/>
      <c r="B241" s="701"/>
      <c r="C241" s="715"/>
      <c r="D241" s="716"/>
      <c r="E241" s="716"/>
      <c r="F241" s="716"/>
      <c r="G241" s="716"/>
      <c r="H241" s="716"/>
      <c r="I241" s="716"/>
      <c r="J241" s="716"/>
      <c r="K241" s="716"/>
      <c r="L241" s="716"/>
      <c r="M241" s="716"/>
      <c r="N241" s="716"/>
      <c r="O241" s="716"/>
      <c r="P241" s="716">
        <f>Bilans_E_AMS_Kyoto_run3_MTE!T465+Bilans_E_AMS_Kyoto_run3_MTE!U465</f>
        <v>0</v>
      </c>
      <c r="Q241" s="716"/>
      <c r="R241" s="716"/>
      <c r="S241" s="716"/>
      <c r="T241" s="716"/>
      <c r="U241" s="716"/>
      <c r="V241" s="701"/>
      <c r="W241" s="701"/>
    </row>
    <row r="242" spans="1:23" x14ac:dyDescent="0.25">
      <c r="A242" s="701" t="s">
        <v>494</v>
      </c>
      <c r="B242" s="701"/>
      <c r="C242" s="717" t="s">
        <v>67</v>
      </c>
      <c r="D242" s="711">
        <f>Bilans_E_AMS_Kyoto_run3_MTE!H466</f>
        <v>0</v>
      </c>
      <c r="E242" s="711">
        <f>Bilans_E_AMS_Kyoto_run3_MTE!I466</f>
        <v>0</v>
      </c>
      <c r="F242" s="711">
        <f>Bilans_E_AMS_Kyoto_run3_MTE!J466</f>
        <v>0</v>
      </c>
      <c r="G242" s="711">
        <f>Bilans_E_AMS_Kyoto_run3_MTE!K466</f>
        <v>0</v>
      </c>
      <c r="H242" s="711">
        <f>Bilans_E_AMS_Kyoto_run3_MTE!L466</f>
        <v>0</v>
      </c>
      <c r="I242" s="711">
        <f>Bilans_E_AMS_Kyoto_run3_MTE!M466</f>
        <v>0</v>
      </c>
      <c r="J242" s="711">
        <f>Bilans_E_AMS_Kyoto_run3_MTE!N466</f>
        <v>0</v>
      </c>
      <c r="K242" s="711">
        <f>Bilans_E_AMS_Kyoto_run3_MTE!O466</f>
        <v>0</v>
      </c>
      <c r="L242" s="711">
        <f>Bilans_E_AMS_Kyoto_run3_MTE!P466</f>
        <v>0</v>
      </c>
      <c r="M242" s="711">
        <f>Bilans_E_AMS_Kyoto_run3_MTE!Q466</f>
        <v>0</v>
      </c>
      <c r="N242" s="711">
        <f>Bilans_E_AMS_Kyoto_run3_MTE!R466</f>
        <v>0</v>
      </c>
      <c r="O242" s="711">
        <f>Bilans_E_AMS_Kyoto_run3_MTE!S466</f>
        <v>0</v>
      </c>
      <c r="P242" s="711">
        <f>Bilans_E_AMS_Kyoto_run3_MTE!T466+Bilans_E_AMS_Kyoto_run3_MTE!U466</f>
        <v>0</v>
      </c>
      <c r="Q242" s="711">
        <f>Bilans_E_AMS_Kyoto_run3_MTE!V466</f>
        <v>0</v>
      </c>
      <c r="R242" s="711">
        <f>Bilans_E_AMS_Kyoto_run3_MTE!W466</f>
        <v>0</v>
      </c>
      <c r="S242" s="711">
        <f>Bilans_E_AMS_Kyoto_run3_MTE!X466</f>
        <v>0</v>
      </c>
      <c r="T242" s="711">
        <f>Bilans_E_AMS_Kyoto_run3_MTE!Y466</f>
        <v>0</v>
      </c>
      <c r="U242" s="711">
        <f>Bilans_E_AMS_Kyoto_run3_MTE!Z466</f>
        <v>0</v>
      </c>
      <c r="V242" s="701"/>
      <c r="W242" s="701"/>
    </row>
    <row r="243" spans="1:23" x14ac:dyDescent="0.25">
      <c r="A243" s="701" t="s">
        <v>495</v>
      </c>
      <c r="B243" s="701"/>
      <c r="C243" s="717" t="s">
        <v>347</v>
      </c>
      <c r="D243" s="711">
        <f>Bilans_E_AMS_Kyoto_run3_MTE!H467</f>
        <v>0</v>
      </c>
      <c r="E243" s="711">
        <f>Bilans_E_AMS_Kyoto_run3_MTE!I467</f>
        <v>0</v>
      </c>
      <c r="F243" s="711">
        <f>Bilans_E_AMS_Kyoto_run3_MTE!J467</f>
        <v>2.6460781360013397E-2</v>
      </c>
      <c r="G243" s="711">
        <f>Bilans_E_AMS_Kyoto_run3_MTE!K467</f>
        <v>0</v>
      </c>
      <c r="H243" s="711">
        <f>Bilans_E_AMS_Kyoto_run3_MTE!L467</f>
        <v>2.3319683433476327E-3</v>
      </c>
      <c r="I243" s="711">
        <f>Bilans_E_AMS_Kyoto_run3_MTE!M467</f>
        <v>0</v>
      </c>
      <c r="J243" s="711">
        <f>Bilans_E_AMS_Kyoto_run3_MTE!N467</f>
        <v>1094.3390181818181</v>
      </c>
      <c r="K243" s="711">
        <f>Bilans_E_AMS_Kyoto_run3_MTE!O467</f>
        <v>432.558137271254</v>
      </c>
      <c r="L243" s="711">
        <f>Bilans_E_AMS_Kyoto_run3_MTE!P467</f>
        <v>17.878777557508954</v>
      </c>
      <c r="M243" s="711">
        <f>Bilans_E_AMS_Kyoto_run3_MTE!Q467</f>
        <v>5.4304217786079292</v>
      </c>
      <c r="N243" s="711">
        <f>Bilans_E_AMS_Kyoto_run3_MTE!R467</f>
        <v>6.0578717375904887</v>
      </c>
      <c r="O243" s="711">
        <f>Bilans_E_AMS_Kyoto_run3_MTE!S467</f>
        <v>0.11581039979962704</v>
      </c>
      <c r="P243" s="711">
        <f>Bilans_E_AMS_Kyoto_run3_MTE!T467+Bilans_E_AMS_Kyoto_run3_MTE!U467</f>
        <v>0</v>
      </c>
      <c r="Q243" s="711">
        <f>Bilans_E_AMS_Kyoto_run3_MTE!V467</f>
        <v>6.4590957564387725</v>
      </c>
      <c r="R243" s="711">
        <f>Bilans_E_AMS_Kyoto_run3_MTE!W467</f>
        <v>-810.5836017522513</v>
      </c>
      <c r="S243" s="711">
        <f>Bilans_E_AMS_Kyoto_run3_MTE!X467</f>
        <v>0</v>
      </c>
      <c r="T243" s="711">
        <f>Bilans_E_AMS_Kyoto_run3_MTE!Y467</f>
        <v>0</v>
      </c>
      <c r="U243" s="711">
        <f>Bilans_E_AMS_Kyoto_run3_MTE!Z467</f>
        <v>752.28432368046992</v>
      </c>
      <c r="V243" s="701"/>
      <c r="W243" s="701"/>
    </row>
    <row r="244" spans="1:23" x14ac:dyDescent="0.25">
      <c r="A244" s="701" t="s">
        <v>496</v>
      </c>
      <c r="B244" s="701"/>
      <c r="C244" s="717" t="s">
        <v>348</v>
      </c>
      <c r="D244" s="711">
        <f>Bilans_E_AMS_Kyoto_run3_MTE!H468</f>
        <v>0</v>
      </c>
      <c r="E244" s="711">
        <f>Bilans_E_AMS_Kyoto_run3_MTE!I468</f>
        <v>0</v>
      </c>
      <c r="F244" s="711">
        <f>Bilans_E_AMS_Kyoto_run3_MTE!J468</f>
        <v>0</v>
      </c>
      <c r="G244" s="711">
        <f>Bilans_E_AMS_Kyoto_run3_MTE!K468</f>
        <v>0</v>
      </c>
      <c r="H244" s="711">
        <f>Bilans_E_AMS_Kyoto_run3_MTE!L468</f>
        <v>11.361302050509126</v>
      </c>
      <c r="I244" s="711">
        <f>Bilans_E_AMS_Kyoto_run3_MTE!M468</f>
        <v>0.11959265316325396</v>
      </c>
      <c r="J244" s="711">
        <f>Bilans_E_AMS_Kyoto_run3_MTE!N468</f>
        <v>5.2456211148474967</v>
      </c>
      <c r="K244" s="711">
        <f>Bilans_E_AMS_Kyoto_run3_MTE!O468</f>
        <v>0</v>
      </c>
      <c r="L244" s="711">
        <f>Bilans_E_AMS_Kyoto_run3_MTE!P468</f>
        <v>23.710249533581198</v>
      </c>
      <c r="M244" s="711">
        <f>Bilans_E_AMS_Kyoto_run3_MTE!Q468</f>
        <v>12.653124911951959</v>
      </c>
      <c r="N244" s="711">
        <f>Bilans_E_AMS_Kyoto_run3_MTE!R468</f>
        <v>0</v>
      </c>
      <c r="O244" s="711">
        <f>Bilans_E_AMS_Kyoto_run3_MTE!S468</f>
        <v>8.4660785396177261</v>
      </c>
      <c r="P244" s="711">
        <f>Bilans_E_AMS_Kyoto_run3_MTE!T468+Bilans_E_AMS_Kyoto_run3_MTE!U468</f>
        <v>18.404716933116433</v>
      </c>
      <c r="Q244" s="711">
        <f>Bilans_E_AMS_Kyoto_run3_MTE!V468</f>
        <v>13.404801159439005</v>
      </c>
      <c r="R244" s="711">
        <f>Bilans_E_AMS_Kyoto_run3_MTE!W468</f>
        <v>0</v>
      </c>
      <c r="S244" s="711">
        <f>Bilans_E_AMS_Kyoto_run3_MTE!X468</f>
        <v>-86.867525789433259</v>
      </c>
      <c r="T244" s="711">
        <f>Bilans_E_AMS_Kyoto_run3_MTE!Y468</f>
        <v>0</v>
      </c>
      <c r="U244" s="711">
        <f>Bilans_E_AMS_Kyoto_run3_MTE!Z468</f>
        <v>6.4979611067929426</v>
      </c>
      <c r="V244" s="701"/>
      <c r="W244" s="701"/>
    </row>
    <row r="245" spans="1:23" x14ac:dyDescent="0.25">
      <c r="A245" s="701" t="s">
        <v>497</v>
      </c>
      <c r="B245" s="701"/>
      <c r="C245" s="717" t="s">
        <v>349</v>
      </c>
      <c r="D245" s="711">
        <f>Bilans_E_AMS_Kyoto_run3_MTE!H469</f>
        <v>0</v>
      </c>
      <c r="E245" s="711">
        <f>Bilans_E_AMS_Kyoto_run3_MTE!I469</f>
        <v>0</v>
      </c>
      <c r="F245" s="711">
        <f>Bilans_E_AMS_Kyoto_run3_MTE!J469</f>
        <v>0</v>
      </c>
      <c r="G245" s="711">
        <f>Bilans_E_AMS_Kyoto_run3_MTE!K469</f>
        <v>0</v>
      </c>
      <c r="H245" s="711">
        <f>Bilans_E_AMS_Kyoto_run3_MTE!L469</f>
        <v>0</v>
      </c>
      <c r="I245" s="711">
        <f>Bilans_E_AMS_Kyoto_run3_MTE!M469</f>
        <v>0</v>
      </c>
      <c r="J245" s="711">
        <f>Bilans_E_AMS_Kyoto_run3_MTE!N469</f>
        <v>0</v>
      </c>
      <c r="K245" s="711">
        <f>Bilans_E_AMS_Kyoto_run3_MTE!O469</f>
        <v>0</v>
      </c>
      <c r="L245" s="711">
        <f>Bilans_E_AMS_Kyoto_run3_MTE!P469</f>
        <v>138.07928558547806</v>
      </c>
      <c r="M245" s="711">
        <f>Bilans_E_AMS_Kyoto_run3_MTE!Q469</f>
        <v>12.388866886032204</v>
      </c>
      <c r="N245" s="711">
        <f>Bilans_E_AMS_Kyoto_run3_MTE!R469</f>
        <v>0</v>
      </c>
      <c r="O245" s="711">
        <f>Bilans_E_AMS_Kyoto_run3_MTE!S469</f>
        <v>-75.318683922078151</v>
      </c>
      <c r="P245" s="711">
        <f>Bilans_E_AMS_Kyoto_run3_MTE!T469+Bilans_E_AMS_Kyoto_run3_MTE!U469</f>
        <v>0</v>
      </c>
      <c r="Q245" s="711">
        <f>Bilans_E_AMS_Kyoto_run3_MTE!V469</f>
        <v>0</v>
      </c>
      <c r="R245" s="711">
        <f>Bilans_E_AMS_Kyoto_run3_MTE!W469</f>
        <v>0</v>
      </c>
      <c r="S245" s="711">
        <f>Bilans_E_AMS_Kyoto_run3_MTE!X469</f>
        <v>0</v>
      </c>
      <c r="T245" s="711">
        <f>Bilans_E_AMS_Kyoto_run3_MTE!Y469</f>
        <v>0</v>
      </c>
      <c r="U245" s="711">
        <f>Bilans_E_AMS_Kyoto_run3_MTE!Z469</f>
        <v>75.149468549432129</v>
      </c>
      <c r="V245" s="701"/>
      <c r="W245" s="701"/>
    </row>
    <row r="246" spans="1:23" x14ac:dyDescent="0.25">
      <c r="A246" s="701" t="s">
        <v>498</v>
      </c>
      <c r="B246" s="701"/>
      <c r="C246" s="717" t="s">
        <v>350</v>
      </c>
      <c r="D246" s="711">
        <f>Bilans_E_AMS_Kyoto_run3_MTE!H470</f>
        <v>0</v>
      </c>
      <c r="E246" s="711">
        <f>Bilans_E_AMS_Kyoto_run3_MTE!I470</f>
        <v>0</v>
      </c>
      <c r="F246" s="711">
        <f>Bilans_E_AMS_Kyoto_run3_MTE!J470</f>
        <v>0</v>
      </c>
      <c r="G246" s="711">
        <f>Bilans_E_AMS_Kyoto_run3_MTE!K470</f>
        <v>0</v>
      </c>
      <c r="H246" s="711">
        <f>Bilans_E_AMS_Kyoto_run3_MTE!L470</f>
        <v>0</v>
      </c>
      <c r="I246" s="711">
        <f>Bilans_E_AMS_Kyoto_run3_MTE!M470</f>
        <v>-2.6425947059180688</v>
      </c>
      <c r="J246" s="711">
        <f>Bilans_E_AMS_Kyoto_run3_MTE!N470</f>
        <v>0</v>
      </c>
      <c r="K246" s="711">
        <f>Bilans_E_AMS_Kyoto_run3_MTE!O470</f>
        <v>0</v>
      </c>
      <c r="L246" s="711">
        <f>Bilans_E_AMS_Kyoto_run3_MTE!P470</f>
        <v>0</v>
      </c>
      <c r="M246" s="711">
        <f>Bilans_E_AMS_Kyoto_run3_MTE!Q470</f>
        <v>0</v>
      </c>
      <c r="N246" s="711">
        <f>Bilans_E_AMS_Kyoto_run3_MTE!R470</f>
        <v>0</v>
      </c>
      <c r="O246" s="711">
        <f>Bilans_E_AMS_Kyoto_run3_MTE!S470</f>
        <v>0</v>
      </c>
      <c r="P246" s="711">
        <f>Bilans_E_AMS_Kyoto_run3_MTE!T470+Bilans_E_AMS_Kyoto_run3_MTE!U470</f>
        <v>0</v>
      </c>
      <c r="Q246" s="711">
        <f>Bilans_E_AMS_Kyoto_run3_MTE!V470</f>
        <v>0</v>
      </c>
      <c r="R246" s="711">
        <f>Bilans_E_AMS_Kyoto_run3_MTE!W470</f>
        <v>0</v>
      </c>
      <c r="S246" s="711">
        <f>Bilans_E_AMS_Kyoto_run3_MTE!X470</f>
        <v>0</v>
      </c>
      <c r="T246" s="711">
        <f>Bilans_E_AMS_Kyoto_run3_MTE!Y470</f>
        <v>3.6634319020026336</v>
      </c>
      <c r="U246" s="711">
        <f>Bilans_E_AMS_Kyoto_run3_MTE!Z470</f>
        <v>1.0208371960845648</v>
      </c>
      <c r="V246" s="701"/>
      <c r="W246" s="701"/>
    </row>
    <row r="247" spans="1:23" x14ac:dyDescent="0.25">
      <c r="A247" s="701" t="s">
        <v>499</v>
      </c>
      <c r="B247" s="701"/>
      <c r="C247" s="717" t="s">
        <v>72</v>
      </c>
      <c r="D247" s="711">
        <f>Bilans_E_AMS_Kyoto_run3_MTE!H471</f>
        <v>0</v>
      </c>
      <c r="E247" s="711">
        <f>Bilans_E_AMS_Kyoto_run3_MTE!I471</f>
        <v>183.99004915233374</v>
      </c>
      <c r="F247" s="711">
        <f>Bilans_E_AMS_Kyoto_run3_MTE!J471</f>
        <v>-182.1501486608104</v>
      </c>
      <c r="G247" s="711">
        <f>Bilans_E_AMS_Kyoto_run3_MTE!K471</f>
        <v>0</v>
      </c>
      <c r="H247" s="711">
        <f>Bilans_E_AMS_Kyoto_run3_MTE!L471</f>
        <v>0</v>
      </c>
      <c r="I247" s="711">
        <f>Bilans_E_AMS_Kyoto_run3_MTE!M471</f>
        <v>0</v>
      </c>
      <c r="J247" s="711">
        <f>Bilans_E_AMS_Kyoto_run3_MTE!N471</f>
        <v>0</v>
      </c>
      <c r="K247" s="711">
        <f>Bilans_E_AMS_Kyoto_run3_MTE!O471</f>
        <v>0</v>
      </c>
      <c r="L247" s="711">
        <f>Bilans_E_AMS_Kyoto_run3_MTE!P471</f>
        <v>0</v>
      </c>
      <c r="M247" s="711">
        <f>Bilans_E_AMS_Kyoto_run3_MTE!Q471</f>
        <v>0</v>
      </c>
      <c r="N247" s="711">
        <f>Bilans_E_AMS_Kyoto_run3_MTE!R471</f>
        <v>0</v>
      </c>
      <c r="O247" s="711">
        <f>Bilans_E_AMS_Kyoto_run3_MTE!S471</f>
        <v>0</v>
      </c>
      <c r="P247" s="711">
        <f>Bilans_E_AMS_Kyoto_run3_MTE!T471+Bilans_E_AMS_Kyoto_run3_MTE!U471</f>
        <v>0</v>
      </c>
      <c r="Q247" s="711">
        <f>Bilans_E_AMS_Kyoto_run3_MTE!V471</f>
        <v>0</v>
      </c>
      <c r="R247" s="711">
        <f>Bilans_E_AMS_Kyoto_run3_MTE!W471</f>
        <v>0</v>
      </c>
      <c r="S247" s="711">
        <f>Bilans_E_AMS_Kyoto_run3_MTE!X471</f>
        <v>0</v>
      </c>
      <c r="T247" s="711">
        <f>Bilans_E_AMS_Kyoto_run3_MTE!Y471</f>
        <v>0</v>
      </c>
      <c r="U247" s="711">
        <f>Bilans_E_AMS_Kyoto_run3_MTE!Z471</f>
        <v>1.8399004915233377</v>
      </c>
      <c r="V247" s="701"/>
      <c r="W247" s="701"/>
    </row>
    <row r="248" spans="1:23" x14ac:dyDescent="0.25">
      <c r="A248" s="701" t="s">
        <v>500</v>
      </c>
      <c r="B248" s="701"/>
      <c r="C248" s="717" t="s">
        <v>351</v>
      </c>
      <c r="D248" s="711">
        <f>Bilans_E_AMS_Kyoto_run3_MTE!H472</f>
        <v>0</v>
      </c>
      <c r="E248" s="711">
        <f>Bilans_E_AMS_Kyoto_run3_MTE!I472</f>
        <v>0</v>
      </c>
      <c r="F248" s="711">
        <f>Bilans_E_AMS_Kyoto_run3_MTE!J472</f>
        <v>0</v>
      </c>
      <c r="G248" s="711">
        <f>Bilans_E_AMS_Kyoto_run3_MTE!K472</f>
        <v>0</v>
      </c>
      <c r="H248" s="711">
        <f>Bilans_E_AMS_Kyoto_run3_MTE!L472</f>
        <v>0</v>
      </c>
      <c r="I248" s="711">
        <f>Bilans_E_AMS_Kyoto_run3_MTE!M472</f>
        <v>0</v>
      </c>
      <c r="J248" s="711">
        <f>Bilans_E_AMS_Kyoto_run3_MTE!N472</f>
        <v>0</v>
      </c>
      <c r="K248" s="711">
        <f>Bilans_E_AMS_Kyoto_run3_MTE!O472</f>
        <v>0</v>
      </c>
      <c r="L248" s="711">
        <f>Bilans_E_AMS_Kyoto_run3_MTE!P472</f>
        <v>98.264059426631164</v>
      </c>
      <c r="M248" s="711">
        <f>Bilans_E_AMS_Kyoto_run3_MTE!Q472</f>
        <v>7.2727272727272725</v>
      </c>
      <c r="N248" s="711">
        <f>Bilans_E_AMS_Kyoto_run3_MTE!R472</f>
        <v>-58.881352983692381</v>
      </c>
      <c r="O248" s="711">
        <f>Bilans_E_AMS_Kyoto_run3_MTE!S472</f>
        <v>0</v>
      </c>
      <c r="P248" s="711">
        <f>Bilans_E_AMS_Kyoto_run3_MTE!T472+Bilans_E_AMS_Kyoto_run3_MTE!U472</f>
        <v>0</v>
      </c>
      <c r="Q248" s="711">
        <f>Bilans_E_AMS_Kyoto_run3_MTE!V472</f>
        <v>0</v>
      </c>
      <c r="R248" s="711">
        <f>Bilans_E_AMS_Kyoto_run3_MTE!W472</f>
        <v>0</v>
      </c>
      <c r="S248" s="711">
        <f>Bilans_E_AMS_Kyoto_run3_MTE!X472</f>
        <v>0</v>
      </c>
      <c r="T248" s="711">
        <f>Bilans_E_AMS_Kyoto_run3_MTE!Y472</f>
        <v>0</v>
      </c>
      <c r="U248" s="711">
        <f>Bilans_E_AMS_Kyoto_run3_MTE!Z472</f>
        <v>46.655433715666049</v>
      </c>
      <c r="V248" s="701"/>
      <c r="W248" s="701"/>
    </row>
    <row r="249" spans="1:23" x14ac:dyDescent="0.25">
      <c r="A249" s="701" t="s">
        <v>501</v>
      </c>
      <c r="B249" s="701"/>
      <c r="C249" s="717" t="s">
        <v>352</v>
      </c>
      <c r="D249" s="711">
        <f>Bilans_E_AMS_Kyoto_run3_MTE!H473</f>
        <v>0</v>
      </c>
      <c r="E249" s="711">
        <f>Bilans_E_AMS_Kyoto_run3_MTE!I473</f>
        <v>0</v>
      </c>
      <c r="F249" s="711">
        <f>Bilans_E_AMS_Kyoto_run3_MTE!J473</f>
        <v>0</v>
      </c>
      <c r="G249" s="711">
        <f>Bilans_E_AMS_Kyoto_run3_MTE!K473</f>
        <v>-10.918730471145594</v>
      </c>
      <c r="H249" s="711">
        <f>Bilans_E_AMS_Kyoto_run3_MTE!L473</f>
        <v>0</v>
      </c>
      <c r="I249" s="711">
        <f>Bilans_E_AMS_Kyoto_run3_MTE!M473</f>
        <v>0</v>
      </c>
      <c r="J249" s="711">
        <f>Bilans_E_AMS_Kyoto_run3_MTE!N473</f>
        <v>0</v>
      </c>
      <c r="K249" s="711">
        <f>Bilans_E_AMS_Kyoto_run3_MTE!O473</f>
        <v>0</v>
      </c>
      <c r="L249" s="711">
        <f>Bilans_E_AMS_Kyoto_run3_MTE!P473</f>
        <v>0</v>
      </c>
      <c r="M249" s="711">
        <f>Bilans_E_AMS_Kyoto_run3_MTE!Q473</f>
        <v>0</v>
      </c>
      <c r="N249" s="711">
        <f>Bilans_E_AMS_Kyoto_run3_MTE!R473</f>
        <v>0</v>
      </c>
      <c r="O249" s="711">
        <f>Bilans_E_AMS_Kyoto_run3_MTE!S473</f>
        <v>0</v>
      </c>
      <c r="P249" s="711">
        <f>Bilans_E_AMS_Kyoto_run3_MTE!T473+Bilans_E_AMS_Kyoto_run3_MTE!U473</f>
        <v>0</v>
      </c>
      <c r="Q249" s="711">
        <f>Bilans_E_AMS_Kyoto_run3_MTE!V473</f>
        <v>0</v>
      </c>
      <c r="R249" s="711">
        <f>Bilans_E_AMS_Kyoto_run3_MTE!W473</f>
        <v>0</v>
      </c>
      <c r="S249" s="711">
        <f>Bilans_E_AMS_Kyoto_run3_MTE!X473</f>
        <v>0</v>
      </c>
      <c r="T249" s="711">
        <f>Bilans_E_AMS_Kyoto_run3_MTE!Y473</f>
        <v>18.115603518260158</v>
      </c>
      <c r="U249" s="711">
        <f>Bilans_E_AMS_Kyoto_run3_MTE!Z473</f>
        <v>7.1968730471145648</v>
      </c>
      <c r="V249" s="701"/>
      <c r="W249" s="701"/>
    </row>
    <row r="250" spans="1:23" x14ac:dyDescent="0.25">
      <c r="A250" s="701" t="s">
        <v>502</v>
      </c>
      <c r="B250" s="701"/>
      <c r="C250" s="717" t="s">
        <v>73</v>
      </c>
      <c r="D250" s="711">
        <f>Bilans_E_AMS_Kyoto_run3_MTE!H474</f>
        <v>0</v>
      </c>
      <c r="E250" s="711">
        <f>Bilans_E_AMS_Kyoto_run3_MTE!I474</f>
        <v>0</v>
      </c>
      <c r="F250" s="711">
        <f>Bilans_E_AMS_Kyoto_run3_MTE!J474</f>
        <v>0</v>
      </c>
      <c r="G250" s="711">
        <f>Bilans_E_AMS_Kyoto_run3_MTE!K474</f>
        <v>0</v>
      </c>
      <c r="H250" s="711">
        <f>Bilans_E_AMS_Kyoto_run3_MTE!L474</f>
        <v>0</v>
      </c>
      <c r="I250" s="711">
        <f>Bilans_E_AMS_Kyoto_run3_MTE!M474</f>
        <v>0</v>
      </c>
      <c r="J250" s="711">
        <f>Bilans_E_AMS_Kyoto_run3_MTE!N474</f>
        <v>0</v>
      </c>
      <c r="K250" s="711">
        <f>Bilans_E_AMS_Kyoto_run3_MTE!O474</f>
        <v>0</v>
      </c>
      <c r="L250" s="711">
        <f>Bilans_E_AMS_Kyoto_run3_MTE!P474</f>
        <v>0</v>
      </c>
      <c r="M250" s="711">
        <f>Bilans_E_AMS_Kyoto_run3_MTE!Q474</f>
        <v>0</v>
      </c>
      <c r="N250" s="711">
        <f>Bilans_E_AMS_Kyoto_run3_MTE!R474</f>
        <v>0</v>
      </c>
      <c r="O250" s="711">
        <f>Bilans_E_AMS_Kyoto_run3_MTE!S474</f>
        <v>0</v>
      </c>
      <c r="P250" s="711">
        <f>Bilans_E_AMS_Kyoto_run3_MTE!T474+Bilans_E_AMS_Kyoto_run3_MTE!U474</f>
        <v>0</v>
      </c>
      <c r="Q250" s="711">
        <f>Bilans_E_AMS_Kyoto_run3_MTE!V474</f>
        <v>0</v>
      </c>
      <c r="R250" s="711">
        <f>Bilans_E_AMS_Kyoto_run3_MTE!W474</f>
        <v>71.82433773705074</v>
      </c>
      <c r="S250" s="711">
        <f>Bilans_E_AMS_Kyoto_run3_MTE!X474</f>
        <v>0</v>
      </c>
      <c r="T250" s="711">
        <f>Bilans_E_AMS_Kyoto_run3_MTE!Y474</f>
        <v>-49.953826896118791</v>
      </c>
      <c r="U250" s="711">
        <f>Bilans_E_AMS_Kyoto_run3_MTE!Z474</f>
        <v>21.870510840931949</v>
      </c>
      <c r="V250" s="701"/>
      <c r="W250" s="701"/>
    </row>
    <row r="251" spans="1:23" x14ac:dyDescent="0.25">
      <c r="A251" s="701" t="s">
        <v>503</v>
      </c>
      <c r="B251" s="701"/>
      <c r="C251" s="717" t="s">
        <v>353</v>
      </c>
      <c r="D251" s="711">
        <f>Bilans_E_AMS_Kyoto_run3_MTE!H475</f>
        <v>3.2800345312500001</v>
      </c>
      <c r="E251" s="711">
        <f>Bilans_E_AMS_Kyoto_run3_MTE!I475</f>
        <v>-6.4350233154386336</v>
      </c>
      <c r="F251" s="711">
        <f>Bilans_E_AMS_Kyoto_run3_MTE!J475</f>
        <v>8.5665829244642584</v>
      </c>
      <c r="G251" s="711">
        <f>Bilans_E_AMS_Kyoto_run3_MTE!K475</f>
        <v>0</v>
      </c>
      <c r="H251" s="711">
        <f>Bilans_E_AMS_Kyoto_run3_MTE!L475</f>
        <v>0</v>
      </c>
      <c r="I251" s="711">
        <f>Bilans_E_AMS_Kyoto_run3_MTE!M475</f>
        <v>0</v>
      </c>
      <c r="J251" s="711">
        <f>Bilans_E_AMS_Kyoto_run3_MTE!N475</f>
        <v>0</v>
      </c>
      <c r="K251" s="711">
        <f>Bilans_E_AMS_Kyoto_run3_MTE!O475</f>
        <v>0</v>
      </c>
      <c r="L251" s="711">
        <f>Bilans_E_AMS_Kyoto_run3_MTE!P475</f>
        <v>0</v>
      </c>
      <c r="M251" s="711">
        <f>Bilans_E_AMS_Kyoto_run3_MTE!Q475</f>
        <v>0</v>
      </c>
      <c r="N251" s="711">
        <f>Bilans_E_AMS_Kyoto_run3_MTE!R475</f>
        <v>0</v>
      </c>
      <c r="O251" s="711">
        <f>Bilans_E_AMS_Kyoto_run3_MTE!S475</f>
        <v>0</v>
      </c>
      <c r="P251" s="711">
        <f>Bilans_E_AMS_Kyoto_run3_MTE!T475+Bilans_E_AMS_Kyoto_run3_MTE!U475</f>
        <v>0</v>
      </c>
      <c r="Q251" s="711">
        <f>Bilans_E_AMS_Kyoto_run3_MTE!V475</f>
        <v>0</v>
      </c>
      <c r="R251" s="711">
        <f>Bilans_E_AMS_Kyoto_run3_MTE!W475</f>
        <v>0</v>
      </c>
      <c r="S251" s="711">
        <f>Bilans_E_AMS_Kyoto_run3_MTE!X475</f>
        <v>0</v>
      </c>
      <c r="T251" s="711">
        <f>Bilans_E_AMS_Kyoto_run3_MTE!Y475</f>
        <v>0</v>
      </c>
      <c r="U251" s="711">
        <f>Bilans_E_AMS_Kyoto_run3_MTE!Z475</f>
        <v>5.4115941402756249</v>
      </c>
      <c r="V251" s="701"/>
      <c r="W251" s="701"/>
    </row>
    <row r="252" spans="1:23" x14ac:dyDescent="0.25">
      <c r="A252" s="701" t="s">
        <v>504</v>
      </c>
      <c r="B252" s="701"/>
      <c r="C252" s="717" t="s">
        <v>75</v>
      </c>
      <c r="D252" s="711">
        <f>Bilans_E_AMS_Kyoto_run3_MTE!H476</f>
        <v>1.2755689843750002</v>
      </c>
      <c r="E252" s="711">
        <f>Bilans_E_AMS_Kyoto_run3_MTE!I476</f>
        <v>0</v>
      </c>
      <c r="F252" s="711">
        <f>Bilans_E_AMS_Kyoto_run3_MTE!J476</f>
        <v>6.4072238182271617</v>
      </c>
      <c r="G252" s="711">
        <f>Bilans_E_AMS_Kyoto_run3_MTE!K476</f>
        <v>0</v>
      </c>
      <c r="H252" s="711">
        <f>Bilans_E_AMS_Kyoto_run3_MTE!L476</f>
        <v>0</v>
      </c>
      <c r="I252" s="711">
        <f>Bilans_E_AMS_Kyoto_run3_MTE!M476</f>
        <v>0</v>
      </c>
      <c r="J252" s="711">
        <f>Bilans_E_AMS_Kyoto_run3_MTE!N476</f>
        <v>0</v>
      </c>
      <c r="K252" s="711">
        <f>Bilans_E_AMS_Kyoto_run3_MTE!O476</f>
        <v>0</v>
      </c>
      <c r="L252" s="711">
        <f>Bilans_E_AMS_Kyoto_run3_MTE!P476</f>
        <v>0</v>
      </c>
      <c r="M252" s="711">
        <f>Bilans_E_AMS_Kyoto_run3_MTE!Q476</f>
        <v>0</v>
      </c>
      <c r="N252" s="711">
        <f>Bilans_E_AMS_Kyoto_run3_MTE!R476</f>
        <v>0</v>
      </c>
      <c r="O252" s="711">
        <f>Bilans_E_AMS_Kyoto_run3_MTE!S476</f>
        <v>0</v>
      </c>
      <c r="P252" s="711">
        <f>Bilans_E_AMS_Kyoto_run3_MTE!T476+Bilans_E_AMS_Kyoto_run3_MTE!U476</f>
        <v>0</v>
      </c>
      <c r="Q252" s="711">
        <f>Bilans_E_AMS_Kyoto_run3_MTE!V476</f>
        <v>0</v>
      </c>
      <c r="R252" s="711">
        <f>Bilans_E_AMS_Kyoto_run3_MTE!W476</f>
        <v>38.57687969589584</v>
      </c>
      <c r="S252" s="711">
        <f>Bilans_E_AMS_Kyoto_run3_MTE!X476</f>
        <v>0</v>
      </c>
      <c r="T252" s="711">
        <f>Bilans_E_AMS_Kyoto_run3_MTE!Y476</f>
        <v>1.8110857498187163</v>
      </c>
      <c r="U252" s="711">
        <f>Bilans_E_AMS_Kyoto_run3_MTE!Z476</f>
        <v>48.070758248316722</v>
      </c>
      <c r="V252" s="701"/>
      <c r="W252" s="701"/>
    </row>
    <row r="253" spans="1:23" x14ac:dyDescent="0.25">
      <c r="A253" s="701" t="s">
        <v>505</v>
      </c>
      <c r="B253" s="701"/>
      <c r="C253" s="717" t="s">
        <v>76</v>
      </c>
      <c r="D253" s="711">
        <f>Bilans_E_AMS_Kyoto_run3_MTE!H477</f>
        <v>0</v>
      </c>
      <c r="E253" s="711">
        <f>Bilans_E_AMS_Kyoto_run3_MTE!I477</f>
        <v>0</v>
      </c>
      <c r="F253" s="711">
        <f>Bilans_E_AMS_Kyoto_run3_MTE!J477</f>
        <v>0</v>
      </c>
      <c r="G253" s="711">
        <f>Bilans_E_AMS_Kyoto_run3_MTE!K477</f>
        <v>0</v>
      </c>
      <c r="H253" s="711">
        <f>Bilans_E_AMS_Kyoto_run3_MTE!L477</f>
        <v>0.98381967017411598</v>
      </c>
      <c r="I253" s="711">
        <f>Bilans_E_AMS_Kyoto_run3_MTE!M477</f>
        <v>1.0355996528148588E-2</v>
      </c>
      <c r="J253" s="711">
        <f>Bilans_E_AMS_Kyoto_run3_MTE!N477</f>
        <v>0</v>
      </c>
      <c r="K253" s="711">
        <f>Bilans_E_AMS_Kyoto_run3_MTE!O477</f>
        <v>0</v>
      </c>
      <c r="L253" s="711">
        <f>Bilans_E_AMS_Kyoto_run3_MTE!P477</f>
        <v>0</v>
      </c>
      <c r="M253" s="711">
        <f>Bilans_E_AMS_Kyoto_run3_MTE!Q477</f>
        <v>0</v>
      </c>
      <c r="N253" s="711">
        <f>Bilans_E_AMS_Kyoto_run3_MTE!R477</f>
        <v>0</v>
      </c>
      <c r="O253" s="711">
        <f>Bilans_E_AMS_Kyoto_run3_MTE!S477</f>
        <v>0.73182375465583349</v>
      </c>
      <c r="P253" s="711">
        <f>Bilans_E_AMS_Kyoto_run3_MTE!T477+Bilans_E_AMS_Kyoto_run3_MTE!U477</f>
        <v>0</v>
      </c>
      <c r="Q253" s="711">
        <f>Bilans_E_AMS_Kyoto_run3_MTE!V477</f>
        <v>0</v>
      </c>
      <c r="R253" s="711">
        <f>Bilans_E_AMS_Kyoto_run3_MTE!W477</f>
        <v>58.720759743857542</v>
      </c>
      <c r="S253" s="711">
        <f>Bilans_E_AMS_Kyoto_run3_MTE!X477</f>
        <v>6.7361736922382924</v>
      </c>
      <c r="T253" s="711">
        <f>Bilans_E_AMS_Kyoto_run3_MTE!Y477</f>
        <v>0</v>
      </c>
      <c r="U253" s="711">
        <f>Bilans_E_AMS_Kyoto_run3_MTE!Z477</f>
        <v>67.182932857453935</v>
      </c>
      <c r="V253" s="701"/>
      <c r="W253" s="701"/>
    </row>
    <row r="254" spans="1:23" x14ac:dyDescent="0.25">
      <c r="A254" s="701" t="s">
        <v>506</v>
      </c>
      <c r="B254" s="701"/>
      <c r="C254" s="713" t="s">
        <v>77</v>
      </c>
      <c r="D254" s="714">
        <f>Bilans_E_AMS_Kyoto_run3_MTE!H478</f>
        <v>4.5556035156250001</v>
      </c>
      <c r="E254" s="714">
        <f>Bilans_E_AMS_Kyoto_run3_MTE!I478</f>
        <v>177.55502583689511</v>
      </c>
      <c r="F254" s="714">
        <f>Bilans_E_AMS_Kyoto_run3_MTE!J478</f>
        <v>-167.14988113675898</v>
      </c>
      <c r="G254" s="714">
        <f>Bilans_E_AMS_Kyoto_run3_MTE!K478</f>
        <v>-10.918730471145594</v>
      </c>
      <c r="H254" s="714">
        <f>Bilans_E_AMS_Kyoto_run3_MTE!L478</f>
        <v>12.34745368902659</v>
      </c>
      <c r="I254" s="714">
        <f>Bilans_E_AMS_Kyoto_run3_MTE!M478</f>
        <v>-2.5126460562266661</v>
      </c>
      <c r="J254" s="714">
        <f>Bilans_E_AMS_Kyoto_run3_MTE!N478</f>
        <v>1099.5846392966657</v>
      </c>
      <c r="K254" s="714">
        <f>Bilans_E_AMS_Kyoto_run3_MTE!O478</f>
        <v>432.558137271254</v>
      </c>
      <c r="L254" s="714">
        <f>Bilans_E_AMS_Kyoto_run3_MTE!P478</f>
        <v>277.93237210319938</v>
      </c>
      <c r="M254" s="714">
        <f>Bilans_E_AMS_Kyoto_run3_MTE!Q478</f>
        <v>37.745140849319363</v>
      </c>
      <c r="N254" s="714">
        <f>Bilans_E_AMS_Kyoto_run3_MTE!R478</f>
        <v>-52.823481246101892</v>
      </c>
      <c r="O254" s="714">
        <f>Bilans_E_AMS_Kyoto_run3_MTE!S478</f>
        <v>-66.004971228004962</v>
      </c>
      <c r="P254" s="714">
        <f>Bilans_E_AMS_Kyoto_run3_MTE!T478+Bilans_E_AMS_Kyoto_run3_MTE!U478</f>
        <v>18.404716933116433</v>
      </c>
      <c r="Q254" s="714">
        <f>Bilans_E_AMS_Kyoto_run3_MTE!V478</f>
        <v>19.863896915877778</v>
      </c>
      <c r="R254" s="714">
        <f>Bilans_E_AMS_Kyoto_run3_MTE!W478</f>
        <v>-641.4616245754471</v>
      </c>
      <c r="S254" s="714">
        <f>Bilans_E_AMS_Kyoto_run3_MTE!X478</f>
        <v>-80.131352097194963</v>
      </c>
      <c r="T254" s="714">
        <f>Bilans_E_AMS_Kyoto_run3_MTE!Y478</f>
        <v>-26.363705726037281</v>
      </c>
      <c r="U254" s="714">
        <f>Bilans_E_AMS_Kyoto_run3_MTE!Z478</f>
        <v>1033.1805938740617</v>
      </c>
      <c r="V254" s="701"/>
      <c r="W254" s="701"/>
    </row>
    <row r="255" spans="1:23" x14ac:dyDescent="0.25">
      <c r="A255" s="701"/>
      <c r="B255" s="701"/>
      <c r="C255" s="715"/>
      <c r="D255" s="716"/>
      <c r="E255" s="716"/>
      <c r="F255" s="716"/>
      <c r="G255" s="716"/>
      <c r="H255" s="716"/>
      <c r="I255" s="716"/>
      <c r="J255" s="716"/>
      <c r="K255" s="716"/>
      <c r="L255" s="716"/>
      <c r="M255" s="716"/>
      <c r="N255" s="716"/>
      <c r="O255" s="716"/>
      <c r="P255" s="716">
        <f>Bilans_E_AMS_Kyoto_run3_MTE!T479+Bilans_E_AMS_Kyoto_run3_MTE!U479</f>
        <v>0</v>
      </c>
      <c r="Q255" s="716"/>
      <c r="R255" s="716"/>
      <c r="S255" s="716"/>
      <c r="T255" s="716"/>
      <c r="U255" s="716"/>
      <c r="V255" s="701"/>
      <c r="W255" s="701"/>
    </row>
    <row r="256" spans="1:23" x14ac:dyDescent="0.25">
      <c r="A256" s="701" t="s">
        <v>507</v>
      </c>
      <c r="B256" s="701"/>
      <c r="C256" s="717" t="s">
        <v>78</v>
      </c>
      <c r="D256" s="711">
        <f>Bilans_E_AMS_Kyoto_run3_MTE!H480</f>
        <v>0.16342834472656248</v>
      </c>
      <c r="E256" s="711">
        <f>Bilans_E_AMS_Kyoto_run3_MTE!I480</f>
        <v>0</v>
      </c>
      <c r="F256" s="711">
        <f>Bilans_E_AMS_Kyoto_run3_MTE!J480</f>
        <v>1.192335444968337</v>
      </c>
      <c r="G256" s="711">
        <f>Bilans_E_AMS_Kyoto_run3_MTE!K480</f>
        <v>0</v>
      </c>
      <c r="H256" s="711">
        <f>Bilans_E_AMS_Kyoto_run3_MTE!L480</f>
        <v>32.001904580711056</v>
      </c>
      <c r="I256" s="711">
        <f>Bilans_E_AMS_Kyoto_run3_MTE!M480</f>
        <v>0.33686215348116894</v>
      </c>
      <c r="J256" s="711">
        <f>Bilans_E_AMS_Kyoto_run3_MTE!N480</f>
        <v>0</v>
      </c>
      <c r="K256" s="711">
        <f>Bilans_E_AMS_Kyoto_run3_MTE!O480</f>
        <v>0</v>
      </c>
      <c r="L256" s="711">
        <f>Bilans_E_AMS_Kyoto_run3_MTE!P480</f>
        <v>35.925037819448683</v>
      </c>
      <c r="M256" s="711">
        <f>Bilans_E_AMS_Kyoto_run3_MTE!Q480</f>
        <v>8.355944349353404</v>
      </c>
      <c r="N256" s="711">
        <f>Bilans_E_AMS_Kyoto_run3_MTE!R480</f>
        <v>0.41126405446607639</v>
      </c>
      <c r="O256" s="711">
        <f>Bilans_E_AMS_Kyoto_run3_MTE!S480</f>
        <v>23.845200759921546</v>
      </c>
      <c r="P256" s="711">
        <f>Bilans_E_AMS_Kyoto_run3_MTE!T480+Bilans_E_AMS_Kyoto_run3_MTE!U480</f>
        <v>12.595482421874999</v>
      </c>
      <c r="Q256" s="711">
        <f>Bilans_E_AMS_Kyoto_run3_MTE!V480</f>
        <v>8.2107689234467234E-4</v>
      </c>
      <c r="R256" s="711">
        <f>Bilans_E_AMS_Kyoto_run3_MTE!W480</f>
        <v>157.38101577829286</v>
      </c>
      <c r="S256" s="711">
        <f>Bilans_E_AMS_Kyoto_run3_MTE!X480</f>
        <v>19.581895205138572</v>
      </c>
      <c r="T256" s="711">
        <f>Bilans_E_AMS_Kyoto_run3_MTE!Y480</f>
        <v>11.602856445312501</v>
      </c>
      <c r="U256" s="711">
        <f>Bilans_E_AMS_Kyoto_run3_MTE!Z480</f>
        <v>303.39404843458811</v>
      </c>
      <c r="V256" s="701"/>
      <c r="W256" s="701"/>
    </row>
    <row r="257" spans="1:23" x14ac:dyDescent="0.25">
      <c r="A257" s="701" t="s">
        <v>508</v>
      </c>
      <c r="B257" s="701"/>
      <c r="C257" s="717" t="s">
        <v>79</v>
      </c>
      <c r="D257" s="711">
        <f>Bilans_E_AMS_Kyoto_run3_MTE!H481</f>
        <v>0</v>
      </c>
      <c r="E257" s="711">
        <f>Bilans_E_AMS_Kyoto_run3_MTE!I481</f>
        <v>0</v>
      </c>
      <c r="F257" s="711">
        <f>Bilans_E_AMS_Kyoto_run3_MTE!J481</f>
        <v>57.415221307039587</v>
      </c>
      <c r="G257" s="711">
        <f>Bilans_E_AMS_Kyoto_run3_MTE!K481</f>
        <v>1.6</v>
      </c>
      <c r="H257" s="711">
        <f>Bilans_E_AMS_Kyoto_run3_MTE!L481</f>
        <v>4.3056781164291928</v>
      </c>
      <c r="I257" s="711">
        <f>Bilans_E_AMS_Kyoto_run3_MTE!M481</f>
        <v>4.5322927541359921E-2</v>
      </c>
      <c r="J257" s="711">
        <f>Bilans_E_AMS_Kyoto_run3_MTE!N481</f>
        <v>0</v>
      </c>
      <c r="K257" s="711">
        <f>Bilans_E_AMS_Kyoto_run3_MTE!O481</f>
        <v>0</v>
      </c>
      <c r="L257" s="711">
        <f>Bilans_E_AMS_Kyoto_run3_MTE!P481</f>
        <v>0</v>
      </c>
      <c r="M257" s="711">
        <f>Bilans_E_AMS_Kyoto_run3_MTE!Q481</f>
        <v>0</v>
      </c>
      <c r="N257" s="711">
        <f>Bilans_E_AMS_Kyoto_run3_MTE!R481</f>
        <v>31.800952318042711</v>
      </c>
      <c r="O257" s="711">
        <f>Bilans_E_AMS_Kyoto_run3_MTE!S481</f>
        <v>3.2028202129227674</v>
      </c>
      <c r="P257" s="711">
        <f>Bilans_E_AMS_Kyoto_run3_MTE!T481+Bilans_E_AMS_Kyoto_run3_MTE!U481</f>
        <v>0</v>
      </c>
      <c r="Q257" s="711">
        <f>Bilans_E_AMS_Kyoto_run3_MTE!V481</f>
        <v>0</v>
      </c>
      <c r="R257" s="711">
        <f>Bilans_E_AMS_Kyoto_run3_MTE!W481</f>
        <v>112.28525884459542</v>
      </c>
      <c r="S257" s="711">
        <f>Bilans_E_AMS_Kyoto_run3_MTE!X481</f>
        <v>0</v>
      </c>
      <c r="T257" s="711">
        <f>Bilans_E_AMS_Kyoto_run3_MTE!Y481</f>
        <v>5.8069925085288689</v>
      </c>
      <c r="U257" s="711">
        <f>Bilans_E_AMS_Kyoto_run3_MTE!Z481</f>
        <v>216.46224623509994</v>
      </c>
      <c r="V257" s="701"/>
      <c r="W257" s="701"/>
    </row>
    <row r="258" spans="1:23" x14ac:dyDescent="0.25">
      <c r="A258" s="701" t="s">
        <v>509</v>
      </c>
      <c r="B258" s="701"/>
      <c r="C258" s="717" t="s">
        <v>80</v>
      </c>
      <c r="D258" s="711">
        <f>Bilans_E_AMS_Kyoto_run3_MTE!H482</f>
        <v>0</v>
      </c>
      <c r="E258" s="711">
        <f>Bilans_E_AMS_Kyoto_run3_MTE!I482</f>
        <v>0</v>
      </c>
      <c r="F258" s="711">
        <f>Bilans_E_AMS_Kyoto_run3_MTE!J482</f>
        <v>0.29271355474186761</v>
      </c>
      <c r="G258" s="711">
        <f>Bilans_E_AMS_Kyoto_run3_MTE!K482</f>
        <v>0</v>
      </c>
      <c r="H258" s="711">
        <f>Bilans_E_AMS_Kyoto_run3_MTE!L482</f>
        <v>21.230302820629564</v>
      </c>
      <c r="I258" s="711">
        <f>Bilans_E_AMS_Kyoto_run3_MTE!M482</f>
        <v>0.22347687179610068</v>
      </c>
      <c r="J258" s="711">
        <f>Bilans_E_AMS_Kyoto_run3_MTE!N482</f>
        <v>0</v>
      </c>
      <c r="K258" s="711">
        <f>Bilans_E_AMS_Kyoto_run3_MTE!O482</f>
        <v>0</v>
      </c>
      <c r="L258" s="711">
        <f>Bilans_E_AMS_Kyoto_run3_MTE!P482</f>
        <v>42.610592667556531</v>
      </c>
      <c r="M258" s="711">
        <f>Bilans_E_AMS_Kyoto_run3_MTE!Q482</f>
        <v>0</v>
      </c>
      <c r="N258" s="711">
        <f>Bilans_E_AMS_Kyoto_run3_MTE!R482</f>
        <v>0</v>
      </c>
      <c r="O258" s="711">
        <f>Bilans_E_AMS_Kyoto_run3_MTE!S482</f>
        <v>15.792365606924447</v>
      </c>
      <c r="P258" s="711">
        <f>Bilans_E_AMS_Kyoto_run3_MTE!T482+Bilans_E_AMS_Kyoto_run3_MTE!U482</f>
        <v>140.68580630413436</v>
      </c>
      <c r="Q258" s="711">
        <f>Bilans_E_AMS_Kyoto_run3_MTE!V482</f>
        <v>11.422179608472932</v>
      </c>
      <c r="R258" s="711">
        <f>Bilans_E_AMS_Kyoto_run3_MTE!W482</f>
        <v>140.84431405230941</v>
      </c>
      <c r="S258" s="711">
        <f>Bilans_E_AMS_Kyoto_run3_MTE!X482</f>
        <v>37.657555904845751</v>
      </c>
      <c r="T258" s="711">
        <f>Bilans_E_AMS_Kyoto_run3_MTE!Y482</f>
        <v>0</v>
      </c>
      <c r="U258" s="711">
        <f>Bilans_E_AMS_Kyoto_run3_MTE!Z482</f>
        <v>410.75930739141103</v>
      </c>
      <c r="V258" s="701"/>
      <c r="W258" s="701"/>
    </row>
    <row r="259" spans="1:23" x14ac:dyDescent="0.25">
      <c r="A259" s="701" t="s">
        <v>510</v>
      </c>
      <c r="B259" s="701"/>
      <c r="C259" s="717" t="s">
        <v>81</v>
      </c>
      <c r="D259" s="711">
        <f>Bilans_E_AMS_Kyoto_run3_MTE!H483</f>
        <v>0</v>
      </c>
      <c r="E259" s="711">
        <f>Bilans_E_AMS_Kyoto_run3_MTE!I483</f>
        <v>0</v>
      </c>
      <c r="F259" s="711">
        <f>Bilans_E_AMS_Kyoto_run3_MTE!J483</f>
        <v>0.52496175669255951</v>
      </c>
      <c r="G259" s="711">
        <f>Bilans_E_AMS_Kyoto_run3_MTE!K483</f>
        <v>0</v>
      </c>
      <c r="H259" s="711">
        <f>Bilans_E_AMS_Kyoto_run3_MTE!L483</f>
        <v>12.447473647538219</v>
      </c>
      <c r="I259" s="711">
        <f>Bilans_E_AMS_Kyoto_run3_MTE!M483</f>
        <v>0.13102603839513913</v>
      </c>
      <c r="J259" s="711">
        <f>Bilans_E_AMS_Kyoto_run3_MTE!N483</f>
        <v>0</v>
      </c>
      <c r="K259" s="711">
        <f>Bilans_E_AMS_Kyoto_run3_MTE!O483</f>
        <v>0</v>
      </c>
      <c r="L259" s="711">
        <f>Bilans_E_AMS_Kyoto_run3_MTE!P483</f>
        <v>0.50385641884580723</v>
      </c>
      <c r="M259" s="711">
        <f>Bilans_E_AMS_Kyoto_run3_MTE!Q483</f>
        <v>0</v>
      </c>
      <c r="N259" s="711">
        <f>Bilans_E_AMS_Kyoto_run3_MTE!R483</f>
        <v>0</v>
      </c>
      <c r="O259" s="711">
        <f>Bilans_E_AMS_Kyoto_run3_MTE!S483</f>
        <v>9.2591733799231637</v>
      </c>
      <c r="P259" s="711">
        <f>Bilans_E_AMS_Kyoto_run3_MTE!T483+Bilans_E_AMS_Kyoto_run3_MTE!U483</f>
        <v>55.972584841883723</v>
      </c>
      <c r="Q259" s="711">
        <f>Bilans_E_AMS_Kyoto_run3_MTE!V483</f>
        <v>11.263560576499328</v>
      </c>
      <c r="R259" s="711">
        <f>Bilans_E_AMS_Kyoto_run3_MTE!W483</f>
        <v>122.13846664869735</v>
      </c>
      <c r="S259" s="711">
        <f>Bilans_E_AMS_Kyoto_run3_MTE!X483</f>
        <v>22.891868477454477</v>
      </c>
      <c r="T259" s="711">
        <f>Bilans_E_AMS_Kyoto_run3_MTE!Y483</f>
        <v>0</v>
      </c>
      <c r="U259" s="711">
        <f>Bilans_E_AMS_Kyoto_run3_MTE!Z483</f>
        <v>235.13297178592975</v>
      </c>
      <c r="V259" s="701"/>
      <c r="W259" s="701"/>
    </row>
    <row r="260" spans="1:23" x14ac:dyDescent="0.25">
      <c r="A260" s="701" t="s">
        <v>511</v>
      </c>
      <c r="B260" s="701"/>
      <c r="C260" s="717" t="s">
        <v>82</v>
      </c>
      <c r="D260" s="711">
        <f>Bilans_E_AMS_Kyoto_run3_MTE!H484</f>
        <v>0</v>
      </c>
      <c r="E260" s="711">
        <f>Bilans_E_AMS_Kyoto_run3_MTE!I484</f>
        <v>0</v>
      </c>
      <c r="F260" s="711">
        <f>Bilans_E_AMS_Kyoto_run3_MTE!J484</f>
        <v>8.4604278538625355</v>
      </c>
      <c r="G260" s="711">
        <f>Bilans_E_AMS_Kyoto_run3_MTE!K484</f>
        <v>0</v>
      </c>
      <c r="H260" s="711">
        <f>Bilans_E_AMS_Kyoto_run3_MTE!L484</f>
        <v>0.63597933034917353</v>
      </c>
      <c r="I260" s="711">
        <f>Bilans_E_AMS_Kyoto_run3_MTE!M484</f>
        <v>6.6945192668334047E-3</v>
      </c>
      <c r="J260" s="711">
        <f>Bilans_E_AMS_Kyoto_run3_MTE!N484</f>
        <v>0</v>
      </c>
      <c r="K260" s="711">
        <f>Bilans_E_AMS_Kyoto_run3_MTE!O484</f>
        <v>0</v>
      </c>
      <c r="L260" s="711">
        <f>Bilans_E_AMS_Kyoto_run3_MTE!P484</f>
        <v>16.880915854504494</v>
      </c>
      <c r="M260" s="711">
        <f>Bilans_E_AMS_Kyoto_run3_MTE!Q484</f>
        <v>0</v>
      </c>
      <c r="N260" s="711">
        <f>Bilans_E_AMS_Kyoto_run3_MTE!R484</f>
        <v>8.0439535729809908</v>
      </c>
      <c r="O260" s="711">
        <f>Bilans_E_AMS_Kyoto_run3_MTE!S484</f>
        <v>0.47307936152289393</v>
      </c>
      <c r="P260" s="711">
        <f>Bilans_E_AMS_Kyoto_run3_MTE!T484+Bilans_E_AMS_Kyoto_run3_MTE!U484</f>
        <v>1.1499999999999999</v>
      </c>
      <c r="Q260" s="711">
        <f>Bilans_E_AMS_Kyoto_run3_MTE!V484</f>
        <v>1.5666563685107562</v>
      </c>
      <c r="R260" s="711">
        <f>Bilans_E_AMS_Kyoto_run3_MTE!W484</f>
        <v>10.022325873265157</v>
      </c>
      <c r="S260" s="711">
        <f>Bilans_E_AMS_Kyoto_run3_MTE!X484</f>
        <v>0</v>
      </c>
      <c r="T260" s="711">
        <f>Bilans_E_AMS_Kyoto_run3_MTE!Y484</f>
        <v>0.50936070240640652</v>
      </c>
      <c r="U260" s="711">
        <f>Bilans_E_AMS_Kyoto_run3_MTE!Z484</f>
        <v>47.74939343666923</v>
      </c>
      <c r="V260" s="701"/>
      <c r="W260" s="701"/>
    </row>
    <row r="261" spans="1:23" x14ac:dyDescent="0.25">
      <c r="A261" s="701" t="s">
        <v>512</v>
      </c>
      <c r="B261" s="701"/>
      <c r="C261" s="717" t="s">
        <v>354</v>
      </c>
      <c r="D261" s="711">
        <f>Bilans_E_AMS_Kyoto_run3_MTE!H485</f>
        <v>0</v>
      </c>
      <c r="E261" s="711">
        <f>Bilans_E_AMS_Kyoto_run3_MTE!I485</f>
        <v>0</v>
      </c>
      <c r="F261" s="711">
        <f>Bilans_E_AMS_Kyoto_run3_MTE!J485</f>
        <v>0</v>
      </c>
      <c r="G261" s="711">
        <f>Bilans_E_AMS_Kyoto_run3_MTE!K485</f>
        <v>0</v>
      </c>
      <c r="H261" s="711">
        <f>Bilans_E_AMS_Kyoto_run3_MTE!L485</f>
        <v>0</v>
      </c>
      <c r="I261" s="711">
        <f>Bilans_E_AMS_Kyoto_run3_MTE!M485</f>
        <v>0</v>
      </c>
      <c r="J261" s="711">
        <f>Bilans_E_AMS_Kyoto_run3_MTE!N485</f>
        <v>0</v>
      </c>
      <c r="K261" s="711">
        <f>Bilans_E_AMS_Kyoto_run3_MTE!O485</f>
        <v>0</v>
      </c>
      <c r="L261" s="711">
        <f>Bilans_E_AMS_Kyoto_run3_MTE!P485</f>
        <v>0</v>
      </c>
      <c r="M261" s="711">
        <f>Bilans_E_AMS_Kyoto_run3_MTE!Q485</f>
        <v>0</v>
      </c>
      <c r="N261" s="711">
        <f>Bilans_E_AMS_Kyoto_run3_MTE!R485</f>
        <v>0</v>
      </c>
      <c r="O261" s="711">
        <f>Bilans_E_AMS_Kyoto_run3_MTE!S485</f>
        <v>0</v>
      </c>
      <c r="P261" s="711">
        <f>Bilans_E_AMS_Kyoto_run3_MTE!T485+Bilans_E_AMS_Kyoto_run3_MTE!U485</f>
        <v>0</v>
      </c>
      <c r="Q261" s="711">
        <f>Bilans_E_AMS_Kyoto_run3_MTE!V485</f>
        <v>0</v>
      </c>
      <c r="R261" s="711">
        <f>Bilans_E_AMS_Kyoto_run3_MTE!W485</f>
        <v>6.8640000000000008</v>
      </c>
      <c r="S261" s="711">
        <f>Bilans_E_AMS_Kyoto_run3_MTE!X485</f>
        <v>0</v>
      </c>
      <c r="T261" s="711">
        <f>Bilans_E_AMS_Kyoto_run3_MTE!Y485</f>
        <v>0</v>
      </c>
      <c r="U261" s="711">
        <f>Bilans_E_AMS_Kyoto_run3_MTE!Z485</f>
        <v>6.8640000000000008</v>
      </c>
      <c r="V261" s="701"/>
      <c r="W261" s="701"/>
    </row>
    <row r="262" spans="1:23" x14ac:dyDescent="0.25">
      <c r="A262" s="701" t="s">
        <v>513</v>
      </c>
      <c r="B262" s="701"/>
      <c r="C262" s="713" t="s">
        <v>83</v>
      </c>
      <c r="D262" s="714">
        <f>Bilans_E_AMS_Kyoto_run3_MTE!H486</f>
        <v>0.16342834472656248</v>
      </c>
      <c r="E262" s="714">
        <f>Bilans_E_AMS_Kyoto_run3_MTE!I486</f>
        <v>0</v>
      </c>
      <c r="F262" s="714">
        <f>Bilans_E_AMS_Kyoto_run3_MTE!J486</f>
        <v>67.885659917304892</v>
      </c>
      <c r="G262" s="714">
        <f>Bilans_E_AMS_Kyoto_run3_MTE!K486</f>
        <v>1.6</v>
      </c>
      <c r="H262" s="714">
        <f>Bilans_E_AMS_Kyoto_run3_MTE!L486</f>
        <v>70.621338495657199</v>
      </c>
      <c r="I262" s="714">
        <f>Bilans_E_AMS_Kyoto_run3_MTE!M486</f>
        <v>0.74338251048060211</v>
      </c>
      <c r="J262" s="714">
        <f>Bilans_E_AMS_Kyoto_run3_MTE!N486</f>
        <v>0</v>
      </c>
      <c r="K262" s="714">
        <f>Bilans_E_AMS_Kyoto_run3_MTE!O486</f>
        <v>0</v>
      </c>
      <c r="L262" s="714">
        <f>Bilans_E_AMS_Kyoto_run3_MTE!P486</f>
        <v>95.920402760355529</v>
      </c>
      <c r="M262" s="714">
        <f>Bilans_E_AMS_Kyoto_run3_MTE!Q486</f>
        <v>8.355944349353404</v>
      </c>
      <c r="N262" s="714">
        <f>Bilans_E_AMS_Kyoto_run3_MTE!R486</f>
        <v>40.256169945489773</v>
      </c>
      <c r="O262" s="714">
        <f>Bilans_E_AMS_Kyoto_run3_MTE!S486</f>
        <v>52.572639321214815</v>
      </c>
      <c r="P262" s="714">
        <f>Bilans_E_AMS_Kyoto_run3_MTE!T486+Bilans_E_AMS_Kyoto_run3_MTE!U486</f>
        <v>210.4038735678931</v>
      </c>
      <c r="Q262" s="714">
        <f>Bilans_E_AMS_Kyoto_run3_MTE!V486</f>
        <v>24.25321763037536</v>
      </c>
      <c r="R262" s="714">
        <f>Bilans_E_AMS_Kyoto_run3_MTE!W486</f>
        <v>549.53538119716018</v>
      </c>
      <c r="S262" s="714">
        <f>Bilans_E_AMS_Kyoto_run3_MTE!X486</f>
        <v>80.131319587438796</v>
      </c>
      <c r="T262" s="714">
        <f>Bilans_E_AMS_Kyoto_run3_MTE!Y486</f>
        <v>17.919209656247777</v>
      </c>
      <c r="U262" s="714">
        <f>Bilans_E_AMS_Kyoto_run3_MTE!Z486</f>
        <v>1220.361967283698</v>
      </c>
      <c r="V262" s="701"/>
      <c r="W262" s="701"/>
    </row>
    <row r="263" spans="1:23" x14ac:dyDescent="0.25">
      <c r="A263" s="701" t="s">
        <v>514</v>
      </c>
      <c r="B263" s="701"/>
      <c r="C263" s="710" t="s">
        <v>84</v>
      </c>
      <c r="D263" s="711">
        <f>Bilans_E_AMS_Kyoto_run3_MTE!H487</f>
        <v>0</v>
      </c>
      <c r="E263" s="711">
        <f>Bilans_E_AMS_Kyoto_run3_MTE!I487</f>
        <v>0</v>
      </c>
      <c r="F263" s="711">
        <f>Bilans_E_AMS_Kyoto_run3_MTE!J487</f>
        <v>98.630833151912839</v>
      </c>
      <c r="G263" s="711">
        <f>Bilans_E_AMS_Kyoto_run3_MTE!K487</f>
        <v>3.094705785318189</v>
      </c>
      <c r="H263" s="711">
        <f>Bilans_E_AMS_Kyoto_run3_MTE!L487</f>
        <v>10.821936682039073</v>
      </c>
      <c r="I263" s="711">
        <f>Bilans_E_AMS_Kyoto_run3_MTE!M487</f>
        <v>0</v>
      </c>
      <c r="J263" s="711">
        <f>Bilans_E_AMS_Kyoto_run3_MTE!N487</f>
        <v>0</v>
      </c>
      <c r="K263" s="711">
        <f>Bilans_E_AMS_Kyoto_run3_MTE!O487</f>
        <v>0</v>
      </c>
      <c r="L263" s="711">
        <f>Bilans_E_AMS_Kyoto_run3_MTE!P487</f>
        <v>0.52555901393570603</v>
      </c>
      <c r="M263" s="711">
        <f>Bilans_E_AMS_Kyoto_run3_MTE!Q487</f>
        <v>0</v>
      </c>
      <c r="N263" s="711">
        <f>Bilans_E_AMS_Kyoto_run3_MTE!R487</f>
        <v>4.7238090812444442</v>
      </c>
      <c r="O263" s="711">
        <f>Bilans_E_AMS_Kyoto_run3_MTE!S487</f>
        <v>0</v>
      </c>
      <c r="P263" s="711">
        <f>Bilans_E_AMS_Kyoto_run3_MTE!T487+Bilans_E_AMS_Kyoto_run3_MTE!U487</f>
        <v>0</v>
      </c>
      <c r="Q263" s="711">
        <f>Bilans_E_AMS_Kyoto_run3_MTE!V487</f>
        <v>0</v>
      </c>
      <c r="R263" s="711">
        <f>Bilans_E_AMS_Kyoto_run3_MTE!W487</f>
        <v>0</v>
      </c>
      <c r="S263" s="711">
        <f>Bilans_E_AMS_Kyoto_run3_MTE!X487</f>
        <v>0</v>
      </c>
      <c r="T263" s="711">
        <f>Bilans_E_AMS_Kyoto_run3_MTE!Y487</f>
        <v>3.3812053333570531</v>
      </c>
      <c r="U263" s="711">
        <f>Bilans_E_AMS_Kyoto_run3_MTE!Z487</f>
        <v>121.17804904780731</v>
      </c>
      <c r="V263" s="701"/>
      <c r="W263" s="701"/>
    </row>
    <row r="264" spans="1:23" x14ac:dyDescent="0.25">
      <c r="A264" s="701" t="s">
        <v>515</v>
      </c>
      <c r="B264" s="701"/>
      <c r="C264" s="713" t="s">
        <v>85</v>
      </c>
      <c r="D264" s="714">
        <f>Bilans_E_AMS_Kyoto_run3_MTE!H488</f>
        <v>0.16342834472656248</v>
      </c>
      <c r="E264" s="714">
        <f>Bilans_E_AMS_Kyoto_run3_MTE!I488</f>
        <v>0</v>
      </c>
      <c r="F264" s="714">
        <f>Bilans_E_AMS_Kyoto_run3_MTE!J488</f>
        <v>166.51649306921774</v>
      </c>
      <c r="G264" s="714">
        <f>Bilans_E_AMS_Kyoto_run3_MTE!K488</f>
        <v>4.6947057853181891</v>
      </c>
      <c r="H264" s="714">
        <f>Bilans_E_AMS_Kyoto_run3_MTE!L488</f>
        <v>81.443275177696279</v>
      </c>
      <c r="I264" s="714">
        <f>Bilans_E_AMS_Kyoto_run3_MTE!M488</f>
        <v>0.74338251048060211</v>
      </c>
      <c r="J264" s="714">
        <f>Bilans_E_AMS_Kyoto_run3_MTE!N488</f>
        <v>0</v>
      </c>
      <c r="K264" s="714">
        <f>Bilans_E_AMS_Kyoto_run3_MTE!O488</f>
        <v>0</v>
      </c>
      <c r="L264" s="714">
        <f>Bilans_E_AMS_Kyoto_run3_MTE!P488</f>
        <v>96.445961774291234</v>
      </c>
      <c r="M264" s="714">
        <f>Bilans_E_AMS_Kyoto_run3_MTE!Q488</f>
        <v>8.355944349353404</v>
      </c>
      <c r="N264" s="714">
        <f>Bilans_E_AMS_Kyoto_run3_MTE!R488</f>
        <v>44.97997902673422</v>
      </c>
      <c r="O264" s="714">
        <f>Bilans_E_AMS_Kyoto_run3_MTE!S488</f>
        <v>52.572639321214815</v>
      </c>
      <c r="P264" s="714">
        <f>Bilans_E_AMS_Kyoto_run3_MTE!T488+Bilans_E_AMS_Kyoto_run3_MTE!U488</f>
        <v>210.4038735678931</v>
      </c>
      <c r="Q264" s="714">
        <f>Bilans_E_AMS_Kyoto_run3_MTE!V488</f>
        <v>24.25321763037536</v>
      </c>
      <c r="R264" s="714">
        <f>Bilans_E_AMS_Kyoto_run3_MTE!W488</f>
        <v>549.53538119716018</v>
      </c>
      <c r="S264" s="714">
        <f>Bilans_E_AMS_Kyoto_run3_MTE!X488</f>
        <v>80.131319587438796</v>
      </c>
      <c r="T264" s="714">
        <f>Bilans_E_AMS_Kyoto_run3_MTE!Y488</f>
        <v>21.300414989604828</v>
      </c>
      <c r="U264" s="714">
        <f>Bilans_E_AMS_Kyoto_run3_MTE!Z488</f>
        <v>1341.5400163315053</v>
      </c>
      <c r="V264" s="701"/>
      <c r="W264" s="701"/>
    </row>
    <row r="265" spans="1:23" x14ac:dyDescent="0.25">
      <c r="A265" s="701"/>
      <c r="B265" s="701"/>
      <c r="C265" s="701"/>
      <c r="D265" s="701">
        <f>Bilans_E_AMS_Kyoto_run3_MTE!H489</f>
        <v>0</v>
      </c>
      <c r="E265" s="701">
        <f>Bilans_E_AMS_Kyoto_run3_MTE!I489</f>
        <v>0</v>
      </c>
      <c r="F265" s="701">
        <f>Bilans_E_AMS_Kyoto_run3_MTE!J489</f>
        <v>7.1054273576010019E-15</v>
      </c>
      <c r="G265" s="701">
        <f>Bilans_E_AMS_Kyoto_run3_MTE!K489</f>
        <v>0</v>
      </c>
      <c r="H265" s="701">
        <f>Bilans_E_AMS_Kyoto_run3_MTE!L489</f>
        <v>2.4547035224031788E-5</v>
      </c>
      <c r="I265" s="701">
        <f>Bilans_E_AMS_Kyoto_run3_MTE!M489</f>
        <v>-2.4547035192501454E-5</v>
      </c>
      <c r="J265" s="701">
        <f>Bilans_E_AMS_Kyoto_run3_MTE!N489</f>
        <v>0</v>
      </c>
      <c r="K265" s="701">
        <f>Bilans_E_AMS_Kyoto_run3_MTE!O489</f>
        <v>0</v>
      </c>
      <c r="L265" s="701">
        <f>Bilans_E_AMS_Kyoto_run3_MTE!P489</f>
        <v>0</v>
      </c>
      <c r="M265" s="701">
        <f>Bilans_E_AMS_Kyoto_run3_MTE!Q489</f>
        <v>0</v>
      </c>
      <c r="N265" s="701">
        <f>Bilans_E_AMS_Kyoto_run3_MTE!R489</f>
        <v>0</v>
      </c>
      <c r="O265" s="701">
        <f>Bilans_E_AMS_Kyoto_run3_MTE!S489</f>
        <v>0</v>
      </c>
      <c r="P265" s="701">
        <f>Bilans_E_AMS_Kyoto_run3_MTE!T489+Bilans_E_AMS_Kyoto_run3_MTE!U489</f>
        <v>0</v>
      </c>
      <c r="Q265" s="701">
        <f>Bilans_E_AMS_Kyoto_run3_MTE!V489</f>
        <v>0</v>
      </c>
      <c r="R265" s="701">
        <f>Bilans_E_AMS_Kyoto_run3_MTE!W489</f>
        <v>0</v>
      </c>
      <c r="S265" s="701">
        <f>Bilans_E_AMS_Kyoto_run3_MTE!X489</f>
        <v>-3.2509756167087289E-5</v>
      </c>
      <c r="T265" s="701">
        <f>Bilans_E_AMS_Kyoto_run3_MTE!Y489</f>
        <v>0</v>
      </c>
      <c r="U265" s="701">
        <f>Bilans_E_AMS_Kyoto_run3_MTE!Z489</f>
        <v>-3.2509756238141563E-5</v>
      </c>
      <c r="V265" s="701"/>
      <c r="W265" s="701"/>
    </row>
    <row r="266" spans="1:23" x14ac:dyDescent="0.25">
      <c r="A266" s="701"/>
      <c r="B266" s="701"/>
      <c r="C266" s="701"/>
      <c r="D266" s="701"/>
      <c r="E266" s="701"/>
      <c r="F266" s="701"/>
      <c r="G266" s="701"/>
      <c r="H266" s="701"/>
      <c r="I266" s="701"/>
      <c r="J266" s="701"/>
      <c r="K266" s="701"/>
      <c r="L266" s="701"/>
      <c r="M266" s="701"/>
      <c r="N266" s="701"/>
      <c r="O266" s="701"/>
      <c r="P266" s="701"/>
      <c r="Q266" s="701"/>
      <c r="R266" s="701"/>
      <c r="S266" s="701"/>
      <c r="T266" s="701"/>
      <c r="U266" s="701"/>
      <c r="V266" s="701"/>
      <c r="W266" s="701"/>
    </row>
    <row r="267" spans="1:23" x14ac:dyDescent="0.25">
      <c r="A267" s="707"/>
      <c r="B267" s="707"/>
      <c r="C267" s="708" t="s">
        <v>361</v>
      </c>
      <c r="D267" s="707"/>
      <c r="E267" s="707"/>
      <c r="F267" s="707"/>
      <c r="G267" s="707"/>
      <c r="H267" s="707"/>
      <c r="I267" s="707"/>
      <c r="J267" s="707"/>
      <c r="K267" s="707"/>
      <c r="L267" s="707"/>
      <c r="M267" s="707"/>
      <c r="N267" s="707"/>
      <c r="O267" s="707"/>
      <c r="P267" s="707"/>
      <c r="Q267" s="707"/>
      <c r="R267" s="707"/>
      <c r="S267" s="707"/>
      <c r="T267" s="707"/>
      <c r="U267" s="707"/>
      <c r="V267" s="707"/>
      <c r="W267" s="707"/>
    </row>
    <row r="268" spans="1:23" x14ac:dyDescent="0.25">
      <c r="A268" s="701"/>
      <c r="B268" s="701"/>
      <c r="C268" s="701"/>
      <c r="D268" s="701"/>
      <c r="E268" s="701"/>
      <c r="F268" s="701"/>
      <c r="G268" s="701"/>
      <c r="H268" s="701"/>
      <c r="I268" s="701"/>
      <c r="J268" s="701"/>
      <c r="K268" s="701"/>
      <c r="L268" s="701"/>
      <c r="M268" s="701"/>
      <c r="N268" s="701"/>
      <c r="O268" s="701"/>
      <c r="P268" s="701"/>
      <c r="Q268" s="701"/>
      <c r="R268" s="701"/>
      <c r="S268" s="701"/>
      <c r="T268" s="701"/>
      <c r="U268" s="701"/>
      <c r="V268" s="701"/>
      <c r="W268" s="701"/>
    </row>
    <row r="269" spans="1:23" x14ac:dyDescent="0.25">
      <c r="A269" s="701"/>
      <c r="B269" s="701"/>
      <c r="C269" s="780" t="s">
        <v>128</v>
      </c>
      <c r="D269" s="775" t="s">
        <v>42</v>
      </c>
      <c r="E269" s="775" t="s">
        <v>52</v>
      </c>
      <c r="F269" s="775" t="s">
        <v>53</v>
      </c>
      <c r="G269" s="775" t="s">
        <v>482</v>
      </c>
      <c r="H269" s="775" t="s">
        <v>32</v>
      </c>
      <c r="I269" s="775" t="s">
        <v>483</v>
      </c>
      <c r="J269" s="775" t="s">
        <v>20</v>
      </c>
      <c r="K269" s="775" t="s">
        <v>55</v>
      </c>
      <c r="L269" s="777" t="s">
        <v>56</v>
      </c>
      <c r="M269" s="778"/>
      <c r="N269" s="778"/>
      <c r="O269" s="778"/>
      <c r="P269" s="778"/>
      <c r="Q269" s="779"/>
      <c r="R269" s="775" t="s">
        <v>57</v>
      </c>
      <c r="S269" s="775" t="s">
        <v>58</v>
      </c>
      <c r="T269" s="775" t="s">
        <v>31</v>
      </c>
      <c r="U269" s="775" t="s">
        <v>10</v>
      </c>
      <c r="V269" s="701"/>
      <c r="W269" s="701"/>
    </row>
    <row r="270" spans="1:23" ht="67.5" x14ac:dyDescent="0.25">
      <c r="A270" s="701" t="s">
        <v>486</v>
      </c>
      <c r="B270" s="701"/>
      <c r="C270" s="781"/>
      <c r="D270" s="776"/>
      <c r="E270" s="776"/>
      <c r="F270" s="776"/>
      <c r="G270" s="776"/>
      <c r="H270" s="776"/>
      <c r="I270" s="776"/>
      <c r="J270" s="776"/>
      <c r="K270" s="776"/>
      <c r="L270" s="709" t="s">
        <v>335</v>
      </c>
      <c r="M270" s="709" t="s">
        <v>40</v>
      </c>
      <c r="N270" s="709" t="s">
        <v>343</v>
      </c>
      <c r="O270" s="709" t="s">
        <v>344</v>
      </c>
      <c r="P270" s="719" t="s">
        <v>610</v>
      </c>
      <c r="Q270" s="709" t="s">
        <v>346</v>
      </c>
      <c r="R270" s="776"/>
      <c r="S270" s="776"/>
      <c r="T270" s="776"/>
      <c r="U270" s="776"/>
      <c r="V270" s="701"/>
      <c r="W270" s="701"/>
    </row>
    <row r="271" spans="1:23" x14ac:dyDescent="0.25">
      <c r="A271" s="701" t="s">
        <v>487</v>
      </c>
      <c r="B271" s="701"/>
      <c r="C271" s="710" t="s">
        <v>59</v>
      </c>
      <c r="D271" s="711">
        <f>Bilans_E_AMS_Kyoto_run3_MTE!H495</f>
        <v>0</v>
      </c>
      <c r="E271" s="711">
        <f>Bilans_E_AMS_Kyoto_run3_MTE!I495</f>
        <v>0</v>
      </c>
      <c r="F271" s="711">
        <f>Bilans_E_AMS_Kyoto_run3_MTE!J495</f>
        <v>0</v>
      </c>
      <c r="G271" s="711">
        <f>Bilans_E_AMS_Kyoto_run3_MTE!K495</f>
        <v>0</v>
      </c>
      <c r="H271" s="711">
        <f>Bilans_E_AMS_Kyoto_run3_MTE!L495</f>
        <v>0</v>
      </c>
      <c r="I271" s="711">
        <f>Bilans_E_AMS_Kyoto_run3_MTE!M495</f>
        <v>0</v>
      </c>
      <c r="J271" s="711">
        <f>Bilans_E_AMS_Kyoto_run3_MTE!N495</f>
        <v>1021.1177956869142</v>
      </c>
      <c r="K271" s="711">
        <f>Bilans_E_AMS_Kyoto_run3_MTE!O495</f>
        <v>462.06687945929309</v>
      </c>
      <c r="L271" s="711">
        <f>Bilans_E_AMS_Kyoto_run3_MTE!P495</f>
        <v>380.853201250621</v>
      </c>
      <c r="M271" s="711">
        <f>Bilans_E_AMS_Kyoto_run3_MTE!Q495</f>
        <v>45.488439305040814</v>
      </c>
      <c r="N271" s="711">
        <f>Bilans_E_AMS_Kyoto_run3_MTE!R495</f>
        <v>0</v>
      </c>
      <c r="O271" s="711">
        <f>Bilans_E_AMS_Kyoto_run3_MTE!S495</f>
        <v>0</v>
      </c>
      <c r="P271" s="711">
        <f>Bilans_E_AMS_Kyoto_run3_MTE!T495+Bilans_E_AMS_Kyoto_run3_MTE!U495</f>
        <v>241.4786584909825</v>
      </c>
      <c r="Q271" s="711">
        <f>Bilans_E_AMS_Kyoto_run3_MTE!V495</f>
        <v>44.619368166332919</v>
      </c>
      <c r="R271" s="711">
        <f>Bilans_E_AMS_Kyoto_run3_MTE!W495</f>
        <v>0</v>
      </c>
      <c r="S271" s="711">
        <f>Bilans_E_AMS_Kyoto_run3_MTE!X495</f>
        <v>0</v>
      </c>
      <c r="T271" s="711">
        <f>Bilans_E_AMS_Kyoto_run3_MTE!Y495</f>
        <v>0</v>
      </c>
      <c r="U271" s="711">
        <f>Bilans_E_AMS_Kyoto_run3_MTE!Z495</f>
        <v>2195.6243423591845</v>
      </c>
      <c r="V271" s="701"/>
      <c r="W271" s="701"/>
    </row>
    <row r="272" spans="1:23" x14ac:dyDescent="0.25">
      <c r="A272" s="701" t="s">
        <v>488</v>
      </c>
      <c r="B272" s="701"/>
      <c r="C272" s="710" t="s">
        <v>60</v>
      </c>
      <c r="D272" s="712">
        <f>Bilans_E_AMS_Kyoto_run3_MTE!H496</f>
        <v>7.2040588378906256E-2</v>
      </c>
      <c r="E272" s="712">
        <f>Bilans_E_AMS_Kyoto_run3_MTE!I496</f>
        <v>143.57372262348443</v>
      </c>
      <c r="F272" s="712">
        <f>Bilans_E_AMS_Kyoto_run3_MTE!J496</f>
        <v>24.964838256255007</v>
      </c>
      <c r="G272" s="712">
        <f>Bilans_E_AMS_Kyoto_run3_MTE!K496</f>
        <v>8.9901848637372375</v>
      </c>
      <c r="H272" s="712">
        <f>Bilans_E_AMS_Kyoto_run3_MTE!L496</f>
        <v>83.302522482755748</v>
      </c>
      <c r="I272" s="712">
        <f>Bilans_E_AMS_Kyoto_run3_MTE!M496</f>
        <v>0</v>
      </c>
      <c r="J272" s="712">
        <f>Bilans_E_AMS_Kyoto_run3_MTE!N496</f>
        <v>0</v>
      </c>
      <c r="K272" s="712">
        <f>Bilans_E_AMS_Kyoto_run3_MTE!O496</f>
        <v>0</v>
      </c>
      <c r="L272" s="712">
        <f>Bilans_E_AMS_Kyoto_run3_MTE!P496</f>
        <v>8.1136608848584615</v>
      </c>
      <c r="M272" s="712">
        <f>Bilans_E_AMS_Kyoto_run3_MTE!Q496</f>
        <v>0</v>
      </c>
      <c r="N272" s="712">
        <f>Bilans_E_AMS_Kyoto_run3_MTE!R496</f>
        <v>3.6899916266640176</v>
      </c>
      <c r="O272" s="712">
        <f>Bilans_E_AMS_Kyoto_run3_MTE!S496</f>
        <v>0</v>
      </c>
      <c r="P272" s="712">
        <f>Bilans_E_AMS_Kyoto_run3_MTE!T496+Bilans_E_AMS_Kyoto_run3_MTE!U496</f>
        <v>0</v>
      </c>
      <c r="Q272" s="712">
        <f>Bilans_E_AMS_Kyoto_run3_MTE!V496</f>
        <v>0</v>
      </c>
      <c r="R272" s="712">
        <f>Bilans_E_AMS_Kyoto_run3_MTE!W496</f>
        <v>0</v>
      </c>
      <c r="S272" s="712">
        <f>Bilans_E_AMS_Kyoto_run3_MTE!X496</f>
        <v>0</v>
      </c>
      <c r="T272" s="712">
        <f>Bilans_E_AMS_Kyoto_run3_MTE!Y496</f>
        <v>0</v>
      </c>
      <c r="U272" s="712">
        <f>Bilans_E_AMS_Kyoto_run3_MTE!Z496</f>
        <v>272.70696132613381</v>
      </c>
      <c r="V272" s="701"/>
      <c r="W272" s="701"/>
    </row>
    <row r="273" spans="1:23" x14ac:dyDescent="0.25">
      <c r="A273" s="701" t="s">
        <v>489</v>
      </c>
      <c r="B273" s="701"/>
      <c r="C273" s="710" t="s">
        <v>61</v>
      </c>
      <c r="D273" s="712">
        <f>Bilans_E_AMS_Kyoto_run3_MTE!H497</f>
        <v>0</v>
      </c>
      <c r="E273" s="712">
        <f>Bilans_E_AMS_Kyoto_run3_MTE!I497</f>
        <v>0</v>
      </c>
      <c r="F273" s="712">
        <f>Bilans_E_AMS_Kyoto_run3_MTE!J497</f>
        <v>0</v>
      </c>
      <c r="G273" s="712">
        <f>Bilans_E_AMS_Kyoto_run3_MTE!K497</f>
        <v>0</v>
      </c>
      <c r="H273" s="712">
        <f>Bilans_E_AMS_Kyoto_run3_MTE!L497</f>
        <v>0</v>
      </c>
      <c r="I273" s="712">
        <f>Bilans_E_AMS_Kyoto_run3_MTE!M497</f>
        <v>0</v>
      </c>
      <c r="J273" s="712">
        <f>Bilans_E_AMS_Kyoto_run3_MTE!N497</f>
        <v>0</v>
      </c>
      <c r="K273" s="712">
        <f>Bilans_E_AMS_Kyoto_run3_MTE!O497</f>
        <v>0</v>
      </c>
      <c r="L273" s="712">
        <f>Bilans_E_AMS_Kyoto_run3_MTE!P497</f>
        <v>0</v>
      </c>
      <c r="M273" s="712">
        <f>Bilans_E_AMS_Kyoto_run3_MTE!Q497</f>
        <v>0</v>
      </c>
      <c r="N273" s="712">
        <f>Bilans_E_AMS_Kyoto_run3_MTE!R497</f>
        <v>0</v>
      </c>
      <c r="O273" s="712">
        <f>Bilans_E_AMS_Kyoto_run3_MTE!S497</f>
        <v>-20.664907066692336</v>
      </c>
      <c r="P273" s="712">
        <f>Bilans_E_AMS_Kyoto_run3_MTE!T497+Bilans_E_AMS_Kyoto_run3_MTE!U497</f>
        <v>0</v>
      </c>
      <c r="Q273" s="712">
        <f>Bilans_E_AMS_Kyoto_run3_MTE!V497</f>
        <v>0</v>
      </c>
      <c r="R273" s="712">
        <f>Bilans_E_AMS_Kyoto_run3_MTE!W497</f>
        <v>-64.652591069811592</v>
      </c>
      <c r="S273" s="712">
        <f>Bilans_E_AMS_Kyoto_run3_MTE!X497</f>
        <v>0</v>
      </c>
      <c r="T273" s="712">
        <f>Bilans_E_AMS_Kyoto_run3_MTE!Y497</f>
        <v>0</v>
      </c>
      <c r="U273" s="712">
        <f>Bilans_E_AMS_Kyoto_run3_MTE!Z497</f>
        <v>-85.317498136503929</v>
      </c>
      <c r="V273" s="701"/>
      <c r="W273" s="701"/>
    </row>
    <row r="274" spans="1:23" x14ac:dyDescent="0.25">
      <c r="A274" s="701" t="s">
        <v>490</v>
      </c>
      <c r="B274" s="701"/>
      <c r="C274" s="710" t="s">
        <v>62</v>
      </c>
      <c r="D274" s="711">
        <f>Bilans_E_AMS_Kyoto_run3_MTE!H498</f>
        <v>0</v>
      </c>
      <c r="E274" s="711">
        <f>Bilans_E_AMS_Kyoto_run3_MTE!I498</f>
        <v>0</v>
      </c>
      <c r="F274" s="711">
        <f>Bilans_E_AMS_Kyoto_run3_MTE!J498</f>
        <v>-2.6430279181443233</v>
      </c>
      <c r="G274" s="711">
        <f>Bilans_E_AMS_Kyoto_run3_MTE!K498</f>
        <v>-2.1194862177251581</v>
      </c>
      <c r="H274" s="711">
        <f>Bilans_E_AMS_Kyoto_run3_MTE!L498</f>
        <v>0</v>
      </c>
      <c r="I274" s="711">
        <f>Bilans_E_AMS_Kyoto_run3_MTE!M498</f>
        <v>-2.4085070655967704</v>
      </c>
      <c r="J274" s="711">
        <f>Bilans_E_AMS_Kyoto_run3_MTE!N498</f>
        <v>0</v>
      </c>
      <c r="K274" s="711">
        <f>Bilans_E_AMS_Kyoto_run3_MTE!O498</f>
        <v>0</v>
      </c>
      <c r="L274" s="711">
        <f>Bilans_E_AMS_Kyoto_run3_MTE!P498</f>
        <v>0</v>
      </c>
      <c r="M274" s="711">
        <f>Bilans_E_AMS_Kyoto_run3_MTE!Q498</f>
        <v>0</v>
      </c>
      <c r="N274" s="711">
        <f>Bilans_E_AMS_Kyoto_run3_MTE!R498</f>
        <v>0</v>
      </c>
      <c r="O274" s="711">
        <f>Bilans_E_AMS_Kyoto_run3_MTE!S498</f>
        <v>-1.4769404520417975</v>
      </c>
      <c r="P274" s="711">
        <f>Bilans_E_AMS_Kyoto_run3_MTE!T498+Bilans_E_AMS_Kyoto_run3_MTE!U498</f>
        <v>0</v>
      </c>
      <c r="Q274" s="711">
        <f>Bilans_E_AMS_Kyoto_run3_MTE!V498</f>
        <v>0</v>
      </c>
      <c r="R274" s="711">
        <f>Bilans_E_AMS_Kyoto_run3_MTE!W498</f>
        <v>0</v>
      </c>
      <c r="S274" s="711">
        <f>Bilans_E_AMS_Kyoto_run3_MTE!X498</f>
        <v>0</v>
      </c>
      <c r="T274" s="711">
        <f>Bilans_E_AMS_Kyoto_run3_MTE!Y498</f>
        <v>-0.99606248425254151</v>
      </c>
      <c r="U274" s="711">
        <f>Bilans_E_AMS_Kyoto_run3_MTE!Z498</f>
        <v>-9.6440241377605904</v>
      </c>
      <c r="V274" s="701"/>
      <c r="W274" s="701"/>
    </row>
    <row r="275" spans="1:23" x14ac:dyDescent="0.25">
      <c r="A275" s="701" t="s">
        <v>491</v>
      </c>
      <c r="B275" s="701"/>
      <c r="C275" s="710" t="s">
        <v>63</v>
      </c>
      <c r="D275" s="711">
        <f>Bilans_E_AMS_Kyoto_run3_MTE!H499</f>
        <v>0</v>
      </c>
      <c r="E275" s="711">
        <f>Bilans_E_AMS_Kyoto_run3_MTE!I499</f>
        <v>0</v>
      </c>
      <c r="F275" s="711">
        <f>Bilans_E_AMS_Kyoto_run3_MTE!J499</f>
        <v>-26.999999999999996</v>
      </c>
      <c r="G275" s="711">
        <f>Bilans_E_AMS_Kyoto_run3_MTE!K499</f>
        <v>-16</v>
      </c>
      <c r="H275" s="711">
        <f>Bilans_E_AMS_Kyoto_run3_MTE!L499</f>
        <v>0</v>
      </c>
      <c r="I275" s="711">
        <f>Bilans_E_AMS_Kyoto_run3_MTE!M499</f>
        <v>0</v>
      </c>
      <c r="J275" s="711">
        <f>Bilans_E_AMS_Kyoto_run3_MTE!N499</f>
        <v>0</v>
      </c>
      <c r="K275" s="711">
        <f>Bilans_E_AMS_Kyoto_run3_MTE!O499</f>
        <v>0</v>
      </c>
      <c r="L275" s="711">
        <f>Bilans_E_AMS_Kyoto_run3_MTE!P499</f>
        <v>0</v>
      </c>
      <c r="M275" s="711">
        <f>Bilans_E_AMS_Kyoto_run3_MTE!Q499</f>
        <v>0</v>
      </c>
      <c r="N275" s="711">
        <f>Bilans_E_AMS_Kyoto_run3_MTE!R499</f>
        <v>-16</v>
      </c>
      <c r="O275" s="711">
        <f>Bilans_E_AMS_Kyoto_run3_MTE!S499</f>
        <v>0</v>
      </c>
      <c r="P275" s="711">
        <f>Bilans_E_AMS_Kyoto_run3_MTE!T499+Bilans_E_AMS_Kyoto_run3_MTE!U499</f>
        <v>0</v>
      </c>
      <c r="Q275" s="711">
        <f>Bilans_E_AMS_Kyoto_run3_MTE!V499</f>
        <v>0</v>
      </c>
      <c r="R275" s="711">
        <f>Bilans_E_AMS_Kyoto_run3_MTE!W499</f>
        <v>0</v>
      </c>
      <c r="S275" s="711">
        <f>Bilans_E_AMS_Kyoto_run3_MTE!X499</f>
        <v>0</v>
      </c>
      <c r="T275" s="711">
        <f>Bilans_E_AMS_Kyoto_run3_MTE!Y499</f>
        <v>-5</v>
      </c>
      <c r="U275" s="711">
        <f>Bilans_E_AMS_Kyoto_run3_MTE!Z499</f>
        <v>-64</v>
      </c>
      <c r="V275" s="701"/>
      <c r="W275" s="701"/>
    </row>
    <row r="276" spans="1:23" x14ac:dyDescent="0.25">
      <c r="A276" s="701" t="s">
        <v>492</v>
      </c>
      <c r="B276" s="701"/>
      <c r="C276" s="710" t="s">
        <v>64</v>
      </c>
      <c r="D276" s="712">
        <f>Bilans_E_AMS_Kyoto_run3_MTE!H500</f>
        <v>0</v>
      </c>
      <c r="E276" s="712">
        <f>Bilans_E_AMS_Kyoto_run3_MTE!I500</f>
        <v>0</v>
      </c>
      <c r="F276" s="712">
        <f>Bilans_E_AMS_Kyoto_run3_MTE!J500</f>
        <v>0</v>
      </c>
      <c r="G276" s="712">
        <f>Bilans_E_AMS_Kyoto_run3_MTE!K500</f>
        <v>0</v>
      </c>
      <c r="H276" s="712">
        <f>Bilans_E_AMS_Kyoto_run3_MTE!L500</f>
        <v>0</v>
      </c>
      <c r="I276" s="712">
        <f>Bilans_E_AMS_Kyoto_run3_MTE!M500</f>
        <v>0</v>
      </c>
      <c r="J276" s="712">
        <f>Bilans_E_AMS_Kyoto_run3_MTE!N500</f>
        <v>0</v>
      </c>
      <c r="K276" s="712">
        <f>Bilans_E_AMS_Kyoto_run3_MTE!O500</f>
        <v>0</v>
      </c>
      <c r="L276" s="712">
        <f>Bilans_E_AMS_Kyoto_run3_MTE!P500</f>
        <v>0</v>
      </c>
      <c r="M276" s="712">
        <f>Bilans_E_AMS_Kyoto_run3_MTE!Q500</f>
        <v>0</v>
      </c>
      <c r="N276" s="712">
        <f>Bilans_E_AMS_Kyoto_run3_MTE!R500</f>
        <v>0</v>
      </c>
      <c r="O276" s="712">
        <f>Bilans_E_AMS_Kyoto_run3_MTE!S500</f>
        <v>0</v>
      </c>
      <c r="P276" s="712">
        <f>Bilans_E_AMS_Kyoto_run3_MTE!T500+Bilans_E_AMS_Kyoto_run3_MTE!U500</f>
        <v>0</v>
      </c>
      <c r="Q276" s="712">
        <f>Bilans_E_AMS_Kyoto_run3_MTE!V500</f>
        <v>0</v>
      </c>
      <c r="R276" s="712">
        <f>Bilans_E_AMS_Kyoto_run3_MTE!W500</f>
        <v>0</v>
      </c>
      <c r="S276" s="712">
        <f>Bilans_E_AMS_Kyoto_run3_MTE!X500</f>
        <v>0</v>
      </c>
      <c r="T276" s="712">
        <f>Bilans_E_AMS_Kyoto_run3_MTE!Y500</f>
        <v>0</v>
      </c>
      <c r="U276" s="712">
        <f>Bilans_E_AMS_Kyoto_run3_MTE!Z500</f>
        <v>0</v>
      </c>
      <c r="V276" s="701"/>
      <c r="W276" s="701"/>
    </row>
    <row r="277" spans="1:23" x14ac:dyDescent="0.25">
      <c r="A277" s="701" t="s">
        <v>493</v>
      </c>
      <c r="B277" s="701"/>
      <c r="C277" s="713" t="s">
        <v>65</v>
      </c>
      <c r="D277" s="714">
        <f>Bilans_E_AMS_Kyoto_run3_MTE!H501</f>
        <v>7.2040588378906256E-2</v>
      </c>
      <c r="E277" s="714">
        <f>Bilans_E_AMS_Kyoto_run3_MTE!I501</f>
        <v>143.57372262348443</v>
      </c>
      <c r="F277" s="714">
        <f>Bilans_E_AMS_Kyoto_run3_MTE!J501</f>
        <v>-4.6781896618893128</v>
      </c>
      <c r="G277" s="714">
        <f>Bilans_E_AMS_Kyoto_run3_MTE!K501</f>
        <v>-9.1293013539879198</v>
      </c>
      <c r="H277" s="714">
        <f>Bilans_E_AMS_Kyoto_run3_MTE!L501</f>
        <v>83.302522482755748</v>
      </c>
      <c r="I277" s="714">
        <f>Bilans_E_AMS_Kyoto_run3_MTE!M501</f>
        <v>-2.4085070655967704</v>
      </c>
      <c r="J277" s="714">
        <f>Bilans_E_AMS_Kyoto_run3_MTE!N501</f>
        <v>1021.1177956869142</v>
      </c>
      <c r="K277" s="714">
        <f>Bilans_E_AMS_Kyoto_run3_MTE!O501</f>
        <v>462.06687945929309</v>
      </c>
      <c r="L277" s="714">
        <f>Bilans_E_AMS_Kyoto_run3_MTE!P501</f>
        <v>388.96686213547946</v>
      </c>
      <c r="M277" s="714">
        <f>Bilans_E_AMS_Kyoto_run3_MTE!Q501</f>
        <v>45.488439305040814</v>
      </c>
      <c r="N277" s="714">
        <f>Bilans_E_AMS_Kyoto_run3_MTE!R501</f>
        <v>-12.310008373335982</v>
      </c>
      <c r="O277" s="714">
        <f>Bilans_E_AMS_Kyoto_run3_MTE!S501</f>
        <v>-22.141847518734135</v>
      </c>
      <c r="P277" s="714">
        <f>Bilans_E_AMS_Kyoto_run3_MTE!T501+Bilans_E_AMS_Kyoto_run3_MTE!U501</f>
        <v>241.4786584909825</v>
      </c>
      <c r="Q277" s="714">
        <f>Bilans_E_AMS_Kyoto_run3_MTE!V501</f>
        <v>44.619368166332919</v>
      </c>
      <c r="R277" s="714">
        <f>Bilans_E_AMS_Kyoto_run3_MTE!W501</f>
        <v>-64.652591069811592</v>
      </c>
      <c r="S277" s="714">
        <f>Bilans_E_AMS_Kyoto_run3_MTE!X501</f>
        <v>0</v>
      </c>
      <c r="T277" s="714">
        <f>Bilans_E_AMS_Kyoto_run3_MTE!Y501</f>
        <v>-5.9960624842525414</v>
      </c>
      <c r="U277" s="714">
        <f>Bilans_E_AMS_Kyoto_run3_MTE!Z501</f>
        <v>2309.3697814110537</v>
      </c>
      <c r="V277" s="701"/>
      <c r="W277" s="701"/>
    </row>
    <row r="278" spans="1:23" x14ac:dyDescent="0.25">
      <c r="A278" s="701"/>
      <c r="B278" s="701"/>
      <c r="C278" s="715"/>
      <c r="D278" s="716"/>
      <c r="E278" s="716"/>
      <c r="F278" s="716"/>
      <c r="G278" s="716"/>
      <c r="H278" s="716"/>
      <c r="I278" s="716"/>
      <c r="J278" s="716"/>
      <c r="K278" s="716"/>
      <c r="L278" s="716"/>
      <c r="M278" s="716"/>
      <c r="N278" s="716"/>
      <c r="O278" s="716"/>
      <c r="P278" s="716">
        <f>Bilans_E_AMS_Kyoto_run3_MTE!T502+Bilans_E_AMS_Kyoto_run3_MTE!U502</f>
        <v>0</v>
      </c>
      <c r="Q278" s="716"/>
      <c r="R278" s="716"/>
      <c r="S278" s="716"/>
      <c r="T278" s="716"/>
      <c r="U278" s="716"/>
      <c r="V278" s="701"/>
      <c r="W278" s="701"/>
    </row>
    <row r="279" spans="1:23" x14ac:dyDescent="0.25">
      <c r="A279" s="701" t="s">
        <v>494</v>
      </c>
      <c r="B279" s="701"/>
      <c r="C279" s="717" t="s">
        <v>67</v>
      </c>
      <c r="D279" s="711">
        <f>Bilans_E_AMS_Kyoto_run3_MTE!H503</f>
        <v>0</v>
      </c>
      <c r="E279" s="711">
        <f>Bilans_E_AMS_Kyoto_run3_MTE!I503</f>
        <v>0</v>
      </c>
      <c r="F279" s="711">
        <f>Bilans_E_AMS_Kyoto_run3_MTE!J503</f>
        <v>0</v>
      </c>
      <c r="G279" s="711">
        <f>Bilans_E_AMS_Kyoto_run3_MTE!K503</f>
        <v>0</v>
      </c>
      <c r="H279" s="711">
        <f>Bilans_E_AMS_Kyoto_run3_MTE!L503</f>
        <v>0</v>
      </c>
      <c r="I279" s="711">
        <f>Bilans_E_AMS_Kyoto_run3_MTE!M503</f>
        <v>0</v>
      </c>
      <c r="J279" s="711">
        <f>Bilans_E_AMS_Kyoto_run3_MTE!N503</f>
        <v>0</v>
      </c>
      <c r="K279" s="711">
        <f>Bilans_E_AMS_Kyoto_run3_MTE!O503</f>
        <v>0</v>
      </c>
      <c r="L279" s="711">
        <f>Bilans_E_AMS_Kyoto_run3_MTE!P503</f>
        <v>0</v>
      </c>
      <c r="M279" s="711">
        <f>Bilans_E_AMS_Kyoto_run3_MTE!Q503</f>
        <v>0</v>
      </c>
      <c r="N279" s="711">
        <f>Bilans_E_AMS_Kyoto_run3_MTE!R503</f>
        <v>0</v>
      </c>
      <c r="O279" s="711">
        <f>Bilans_E_AMS_Kyoto_run3_MTE!S503</f>
        <v>0</v>
      </c>
      <c r="P279" s="711">
        <f>Bilans_E_AMS_Kyoto_run3_MTE!T503+Bilans_E_AMS_Kyoto_run3_MTE!U503</f>
        <v>0</v>
      </c>
      <c r="Q279" s="711">
        <f>Bilans_E_AMS_Kyoto_run3_MTE!V503</f>
        <v>0</v>
      </c>
      <c r="R279" s="711">
        <f>Bilans_E_AMS_Kyoto_run3_MTE!W503</f>
        <v>0</v>
      </c>
      <c r="S279" s="711">
        <f>Bilans_E_AMS_Kyoto_run3_MTE!X503</f>
        <v>0</v>
      </c>
      <c r="T279" s="711">
        <f>Bilans_E_AMS_Kyoto_run3_MTE!Y503</f>
        <v>0</v>
      </c>
      <c r="U279" s="711">
        <f>Bilans_E_AMS_Kyoto_run3_MTE!Z503</f>
        <v>0</v>
      </c>
      <c r="V279" s="701"/>
      <c r="W279" s="701"/>
    </row>
    <row r="280" spans="1:23" x14ac:dyDescent="0.25">
      <c r="A280" s="701" t="s">
        <v>495</v>
      </c>
      <c r="B280" s="701"/>
      <c r="C280" s="717" t="s">
        <v>347</v>
      </c>
      <c r="D280" s="711">
        <f>Bilans_E_AMS_Kyoto_run3_MTE!H504</f>
        <v>0</v>
      </c>
      <c r="E280" s="711">
        <f>Bilans_E_AMS_Kyoto_run3_MTE!I504</f>
        <v>0</v>
      </c>
      <c r="F280" s="711">
        <f>Bilans_E_AMS_Kyoto_run3_MTE!J504</f>
        <v>0</v>
      </c>
      <c r="G280" s="711">
        <f>Bilans_E_AMS_Kyoto_run3_MTE!K504</f>
        <v>0</v>
      </c>
      <c r="H280" s="711">
        <f>Bilans_E_AMS_Kyoto_run3_MTE!L504</f>
        <v>2.2309947234042489E-3</v>
      </c>
      <c r="I280" s="711">
        <f>Bilans_E_AMS_Kyoto_run3_MTE!M504</f>
        <v>0</v>
      </c>
      <c r="J280" s="711">
        <f>Bilans_E_AMS_Kyoto_run3_MTE!N504</f>
        <v>1014.6070909090909</v>
      </c>
      <c r="K280" s="711">
        <f>Bilans_E_AMS_Kyoto_run3_MTE!O504</f>
        <v>462.06687945929309</v>
      </c>
      <c r="L280" s="711">
        <f>Bilans_E_AMS_Kyoto_run3_MTE!P504</f>
        <v>17.968425297338086</v>
      </c>
      <c r="M280" s="711">
        <f>Bilans_E_AMS_Kyoto_run3_MTE!Q504</f>
        <v>5.3124785537967538</v>
      </c>
      <c r="N280" s="711">
        <f>Bilans_E_AMS_Kyoto_run3_MTE!R504</f>
        <v>6.3451610040287907</v>
      </c>
      <c r="O280" s="711">
        <f>Bilans_E_AMS_Kyoto_run3_MTE!S504</f>
        <v>0.11597760068741178</v>
      </c>
      <c r="P280" s="711">
        <f>Bilans_E_AMS_Kyoto_run3_MTE!T504+Bilans_E_AMS_Kyoto_run3_MTE!U504</f>
        <v>0</v>
      </c>
      <c r="Q280" s="711">
        <f>Bilans_E_AMS_Kyoto_run3_MTE!V504</f>
        <v>6.4766550958451852</v>
      </c>
      <c r="R280" s="711">
        <f>Bilans_E_AMS_Kyoto_run3_MTE!W504</f>
        <v>-813.99806516168439</v>
      </c>
      <c r="S280" s="711">
        <f>Bilans_E_AMS_Kyoto_run3_MTE!X504</f>
        <v>0</v>
      </c>
      <c r="T280" s="711">
        <f>Bilans_E_AMS_Kyoto_run3_MTE!Y504</f>
        <v>0</v>
      </c>
      <c r="U280" s="711">
        <f>Bilans_E_AMS_Kyoto_run3_MTE!Z504</f>
        <v>698.89683375311927</v>
      </c>
      <c r="V280" s="701"/>
      <c r="W280" s="701"/>
    </row>
    <row r="281" spans="1:23" x14ac:dyDescent="0.25">
      <c r="A281" s="701" t="s">
        <v>496</v>
      </c>
      <c r="B281" s="701"/>
      <c r="C281" s="717" t="s">
        <v>348</v>
      </c>
      <c r="D281" s="711">
        <f>Bilans_E_AMS_Kyoto_run3_MTE!H505</f>
        <v>0</v>
      </c>
      <c r="E281" s="711">
        <f>Bilans_E_AMS_Kyoto_run3_MTE!I505</f>
        <v>0</v>
      </c>
      <c r="F281" s="711">
        <f>Bilans_E_AMS_Kyoto_run3_MTE!J505</f>
        <v>0</v>
      </c>
      <c r="G281" s="711">
        <f>Bilans_E_AMS_Kyoto_run3_MTE!K505</f>
        <v>0</v>
      </c>
      <c r="H281" s="711">
        <f>Bilans_E_AMS_Kyoto_run3_MTE!L505</f>
        <v>10.095185583157674</v>
      </c>
      <c r="I281" s="711">
        <f>Bilans_E_AMS_Kyoto_run3_MTE!M505</f>
        <v>0.18354882878468498</v>
      </c>
      <c r="J281" s="711">
        <f>Bilans_E_AMS_Kyoto_run3_MTE!N505</f>
        <v>6.5107047778232934</v>
      </c>
      <c r="K281" s="711">
        <f>Bilans_E_AMS_Kyoto_run3_MTE!O505</f>
        <v>0</v>
      </c>
      <c r="L281" s="711">
        <f>Bilans_E_AMS_Kyoto_run3_MTE!P505</f>
        <v>23.787457206103085</v>
      </c>
      <c r="M281" s="711">
        <f>Bilans_E_AMS_Kyoto_run3_MTE!Q505</f>
        <v>12.007971884882547</v>
      </c>
      <c r="N281" s="711">
        <f>Bilans_E_AMS_Kyoto_run3_MTE!R505</f>
        <v>0</v>
      </c>
      <c r="O281" s="711">
        <f>Bilans_E_AMS_Kyoto_run3_MTE!S505</f>
        <v>8.0912599085817618</v>
      </c>
      <c r="P281" s="711">
        <f>Bilans_E_AMS_Kyoto_run3_MTE!T505+Bilans_E_AMS_Kyoto_run3_MTE!U505</f>
        <v>19.703135322463453</v>
      </c>
      <c r="Q281" s="711">
        <f>Bilans_E_AMS_Kyoto_run3_MTE!V505</f>
        <v>12.221648755322821</v>
      </c>
      <c r="R281" s="711">
        <f>Bilans_E_AMS_Kyoto_run3_MTE!W505</f>
        <v>0</v>
      </c>
      <c r="S281" s="711">
        <f>Bilans_E_AMS_Kyoto_run3_MTE!X505</f>
        <v>-86.369990218724851</v>
      </c>
      <c r="T281" s="711">
        <f>Bilans_E_AMS_Kyoto_run3_MTE!Y505</f>
        <v>0</v>
      </c>
      <c r="U281" s="711">
        <f>Bilans_E_AMS_Kyoto_run3_MTE!Z505</f>
        <v>6.2309220483944614</v>
      </c>
      <c r="V281" s="701"/>
      <c r="W281" s="701"/>
    </row>
    <row r="282" spans="1:23" x14ac:dyDescent="0.25">
      <c r="A282" s="701" t="s">
        <v>497</v>
      </c>
      <c r="B282" s="701"/>
      <c r="C282" s="717" t="s">
        <v>349</v>
      </c>
      <c r="D282" s="711">
        <f>Bilans_E_AMS_Kyoto_run3_MTE!H506</f>
        <v>0</v>
      </c>
      <c r="E282" s="711">
        <f>Bilans_E_AMS_Kyoto_run3_MTE!I506</f>
        <v>0</v>
      </c>
      <c r="F282" s="711">
        <f>Bilans_E_AMS_Kyoto_run3_MTE!J506</f>
        <v>0</v>
      </c>
      <c r="G282" s="711">
        <f>Bilans_E_AMS_Kyoto_run3_MTE!K506</f>
        <v>0</v>
      </c>
      <c r="H282" s="711">
        <f>Bilans_E_AMS_Kyoto_run3_MTE!L506</f>
        <v>0</v>
      </c>
      <c r="I282" s="711">
        <f>Bilans_E_AMS_Kyoto_run3_MTE!M506</f>
        <v>0</v>
      </c>
      <c r="J282" s="711">
        <f>Bilans_E_AMS_Kyoto_run3_MTE!N506</f>
        <v>0</v>
      </c>
      <c r="K282" s="711">
        <f>Bilans_E_AMS_Kyoto_run3_MTE!O506</f>
        <v>0</v>
      </c>
      <c r="L282" s="711">
        <f>Bilans_E_AMS_Kyoto_run3_MTE!P506</f>
        <v>149.36314864907311</v>
      </c>
      <c r="M282" s="711">
        <f>Bilans_E_AMS_Kyoto_run3_MTE!Q506</f>
        <v>12.851297568088029</v>
      </c>
      <c r="N282" s="711">
        <f>Bilans_E_AMS_Kyoto_run3_MTE!R506</f>
        <v>0</v>
      </c>
      <c r="O282" s="711">
        <f>Bilans_E_AMS_Kyoto_run3_MTE!S506</f>
        <v>-81.192550335578574</v>
      </c>
      <c r="P282" s="711">
        <f>Bilans_E_AMS_Kyoto_run3_MTE!T506+Bilans_E_AMS_Kyoto_run3_MTE!U506</f>
        <v>0</v>
      </c>
      <c r="Q282" s="711">
        <f>Bilans_E_AMS_Kyoto_run3_MTE!V506</f>
        <v>0</v>
      </c>
      <c r="R282" s="711">
        <f>Bilans_E_AMS_Kyoto_run3_MTE!W506</f>
        <v>0</v>
      </c>
      <c r="S282" s="711">
        <f>Bilans_E_AMS_Kyoto_run3_MTE!X506</f>
        <v>0</v>
      </c>
      <c r="T282" s="711">
        <f>Bilans_E_AMS_Kyoto_run3_MTE!Y506</f>
        <v>0</v>
      </c>
      <c r="U282" s="711">
        <f>Bilans_E_AMS_Kyoto_run3_MTE!Z506</f>
        <v>81.021895881582566</v>
      </c>
      <c r="V282" s="701"/>
      <c r="W282" s="701"/>
    </row>
    <row r="283" spans="1:23" x14ac:dyDescent="0.25">
      <c r="A283" s="701" t="s">
        <v>498</v>
      </c>
      <c r="B283" s="701"/>
      <c r="C283" s="717" t="s">
        <v>350</v>
      </c>
      <c r="D283" s="711">
        <f>Bilans_E_AMS_Kyoto_run3_MTE!H507</f>
        <v>0</v>
      </c>
      <c r="E283" s="711">
        <f>Bilans_E_AMS_Kyoto_run3_MTE!I507</f>
        <v>0</v>
      </c>
      <c r="F283" s="711">
        <f>Bilans_E_AMS_Kyoto_run3_MTE!J507</f>
        <v>0</v>
      </c>
      <c r="G283" s="711">
        <f>Bilans_E_AMS_Kyoto_run3_MTE!K507</f>
        <v>0</v>
      </c>
      <c r="H283" s="711">
        <f>Bilans_E_AMS_Kyoto_run3_MTE!L507</f>
        <v>0</v>
      </c>
      <c r="I283" s="711">
        <f>Bilans_E_AMS_Kyoto_run3_MTE!M507</f>
        <v>-3.7466899829342335</v>
      </c>
      <c r="J283" s="711">
        <f>Bilans_E_AMS_Kyoto_run3_MTE!N507</f>
        <v>0</v>
      </c>
      <c r="K283" s="711">
        <f>Bilans_E_AMS_Kyoto_run3_MTE!O507</f>
        <v>0</v>
      </c>
      <c r="L283" s="711">
        <f>Bilans_E_AMS_Kyoto_run3_MTE!P507</f>
        <v>0</v>
      </c>
      <c r="M283" s="711">
        <f>Bilans_E_AMS_Kyoto_run3_MTE!Q507</f>
        <v>0</v>
      </c>
      <c r="N283" s="711">
        <f>Bilans_E_AMS_Kyoto_run3_MTE!R507</f>
        <v>0</v>
      </c>
      <c r="O283" s="711">
        <f>Bilans_E_AMS_Kyoto_run3_MTE!S507</f>
        <v>0</v>
      </c>
      <c r="P283" s="711">
        <f>Bilans_E_AMS_Kyoto_run3_MTE!T507+Bilans_E_AMS_Kyoto_run3_MTE!U507</f>
        <v>0</v>
      </c>
      <c r="Q283" s="711">
        <f>Bilans_E_AMS_Kyoto_run3_MTE!V507</f>
        <v>0</v>
      </c>
      <c r="R283" s="711">
        <f>Bilans_E_AMS_Kyoto_run3_MTE!W507</f>
        <v>0</v>
      </c>
      <c r="S283" s="711">
        <f>Bilans_E_AMS_Kyoto_run3_MTE!X507</f>
        <v>0</v>
      </c>
      <c r="T283" s="711">
        <f>Bilans_E_AMS_Kyoto_run3_MTE!Y507</f>
        <v>5.1930977473126321</v>
      </c>
      <c r="U283" s="711">
        <f>Bilans_E_AMS_Kyoto_run3_MTE!Z507</f>
        <v>1.4464077643783986</v>
      </c>
      <c r="V283" s="701"/>
      <c r="W283" s="701"/>
    </row>
    <row r="284" spans="1:23" x14ac:dyDescent="0.25">
      <c r="A284" s="701" t="s">
        <v>499</v>
      </c>
      <c r="B284" s="701"/>
      <c r="C284" s="717" t="s">
        <v>72</v>
      </c>
      <c r="D284" s="711">
        <f>Bilans_E_AMS_Kyoto_run3_MTE!H508</f>
        <v>0</v>
      </c>
      <c r="E284" s="711">
        <f>Bilans_E_AMS_Kyoto_run3_MTE!I508</f>
        <v>148.77345828425325</v>
      </c>
      <c r="F284" s="711">
        <f>Bilans_E_AMS_Kyoto_run3_MTE!J508</f>
        <v>-147.28572370141072</v>
      </c>
      <c r="G284" s="711">
        <f>Bilans_E_AMS_Kyoto_run3_MTE!K508</f>
        <v>0</v>
      </c>
      <c r="H284" s="711">
        <f>Bilans_E_AMS_Kyoto_run3_MTE!L508</f>
        <v>0</v>
      </c>
      <c r="I284" s="711">
        <f>Bilans_E_AMS_Kyoto_run3_MTE!M508</f>
        <v>0</v>
      </c>
      <c r="J284" s="711">
        <f>Bilans_E_AMS_Kyoto_run3_MTE!N508</f>
        <v>0</v>
      </c>
      <c r="K284" s="711">
        <f>Bilans_E_AMS_Kyoto_run3_MTE!O508</f>
        <v>0</v>
      </c>
      <c r="L284" s="711">
        <f>Bilans_E_AMS_Kyoto_run3_MTE!P508</f>
        <v>0</v>
      </c>
      <c r="M284" s="711">
        <f>Bilans_E_AMS_Kyoto_run3_MTE!Q508</f>
        <v>0</v>
      </c>
      <c r="N284" s="711">
        <f>Bilans_E_AMS_Kyoto_run3_MTE!R508</f>
        <v>0</v>
      </c>
      <c r="O284" s="711">
        <f>Bilans_E_AMS_Kyoto_run3_MTE!S508</f>
        <v>0</v>
      </c>
      <c r="P284" s="711">
        <f>Bilans_E_AMS_Kyoto_run3_MTE!T508+Bilans_E_AMS_Kyoto_run3_MTE!U508</f>
        <v>0</v>
      </c>
      <c r="Q284" s="711">
        <f>Bilans_E_AMS_Kyoto_run3_MTE!V508</f>
        <v>0</v>
      </c>
      <c r="R284" s="711">
        <f>Bilans_E_AMS_Kyoto_run3_MTE!W508</f>
        <v>0</v>
      </c>
      <c r="S284" s="711">
        <f>Bilans_E_AMS_Kyoto_run3_MTE!X508</f>
        <v>0</v>
      </c>
      <c r="T284" s="711">
        <f>Bilans_E_AMS_Kyoto_run3_MTE!Y508</f>
        <v>0</v>
      </c>
      <c r="U284" s="711">
        <f>Bilans_E_AMS_Kyoto_run3_MTE!Z508</f>
        <v>1.4877345828425348</v>
      </c>
      <c r="V284" s="701"/>
      <c r="W284" s="701"/>
    </row>
    <row r="285" spans="1:23" x14ac:dyDescent="0.25">
      <c r="A285" s="701" t="s">
        <v>500</v>
      </c>
      <c r="B285" s="701"/>
      <c r="C285" s="717" t="s">
        <v>351</v>
      </c>
      <c r="D285" s="711">
        <f>Bilans_E_AMS_Kyoto_run3_MTE!H509</f>
        <v>0</v>
      </c>
      <c r="E285" s="711">
        <f>Bilans_E_AMS_Kyoto_run3_MTE!I509</f>
        <v>0</v>
      </c>
      <c r="F285" s="711">
        <f>Bilans_E_AMS_Kyoto_run3_MTE!J509</f>
        <v>0</v>
      </c>
      <c r="G285" s="711">
        <f>Bilans_E_AMS_Kyoto_run3_MTE!K509</f>
        <v>0</v>
      </c>
      <c r="H285" s="711">
        <f>Bilans_E_AMS_Kyoto_run3_MTE!L509</f>
        <v>0</v>
      </c>
      <c r="I285" s="711">
        <f>Bilans_E_AMS_Kyoto_run3_MTE!M509</f>
        <v>0</v>
      </c>
      <c r="J285" s="711">
        <f>Bilans_E_AMS_Kyoto_run3_MTE!N509</f>
        <v>0</v>
      </c>
      <c r="K285" s="711">
        <f>Bilans_E_AMS_Kyoto_run3_MTE!O509</f>
        <v>0</v>
      </c>
      <c r="L285" s="711">
        <f>Bilans_E_AMS_Kyoto_run3_MTE!P509</f>
        <v>102.29704163456771</v>
      </c>
      <c r="M285" s="711">
        <f>Bilans_E_AMS_Kyoto_run3_MTE!Q509</f>
        <v>7.2727272727272725</v>
      </c>
      <c r="N285" s="711">
        <f>Bilans_E_AMS_Kyoto_run3_MTE!R509</f>
        <v>-61.183830654875514</v>
      </c>
      <c r="O285" s="711">
        <f>Bilans_E_AMS_Kyoto_run3_MTE!S509</f>
        <v>0</v>
      </c>
      <c r="P285" s="711">
        <f>Bilans_E_AMS_Kyoto_run3_MTE!T509+Bilans_E_AMS_Kyoto_run3_MTE!U509</f>
        <v>0</v>
      </c>
      <c r="Q285" s="711">
        <f>Bilans_E_AMS_Kyoto_run3_MTE!V509</f>
        <v>0</v>
      </c>
      <c r="R285" s="711">
        <f>Bilans_E_AMS_Kyoto_run3_MTE!W509</f>
        <v>0</v>
      </c>
      <c r="S285" s="711">
        <f>Bilans_E_AMS_Kyoto_run3_MTE!X509</f>
        <v>0</v>
      </c>
      <c r="T285" s="711">
        <f>Bilans_E_AMS_Kyoto_run3_MTE!Y509</f>
        <v>0</v>
      </c>
      <c r="U285" s="711">
        <f>Bilans_E_AMS_Kyoto_run3_MTE!Z509</f>
        <v>48.385938252419457</v>
      </c>
      <c r="V285" s="701"/>
      <c r="W285" s="701"/>
    </row>
    <row r="286" spans="1:23" x14ac:dyDescent="0.25">
      <c r="A286" s="701" t="s">
        <v>501</v>
      </c>
      <c r="B286" s="701"/>
      <c r="C286" s="717" t="s">
        <v>352</v>
      </c>
      <c r="D286" s="711">
        <f>Bilans_E_AMS_Kyoto_run3_MTE!H510</f>
        <v>0</v>
      </c>
      <c r="E286" s="711">
        <f>Bilans_E_AMS_Kyoto_run3_MTE!I510</f>
        <v>0</v>
      </c>
      <c r="F286" s="711">
        <f>Bilans_E_AMS_Kyoto_run3_MTE!J510</f>
        <v>0</v>
      </c>
      <c r="G286" s="711">
        <f>Bilans_E_AMS_Kyoto_run3_MTE!K510</f>
        <v>-14.619486217725157</v>
      </c>
      <c r="H286" s="711">
        <f>Bilans_E_AMS_Kyoto_run3_MTE!L510</f>
        <v>0</v>
      </c>
      <c r="I286" s="711">
        <f>Bilans_E_AMS_Kyoto_run3_MTE!M510</f>
        <v>0</v>
      </c>
      <c r="J286" s="711">
        <f>Bilans_E_AMS_Kyoto_run3_MTE!N510</f>
        <v>0</v>
      </c>
      <c r="K286" s="711">
        <f>Bilans_E_AMS_Kyoto_run3_MTE!O510</f>
        <v>0</v>
      </c>
      <c r="L286" s="711">
        <f>Bilans_E_AMS_Kyoto_run3_MTE!P510</f>
        <v>0</v>
      </c>
      <c r="M286" s="711">
        <f>Bilans_E_AMS_Kyoto_run3_MTE!Q510</f>
        <v>0</v>
      </c>
      <c r="N286" s="711">
        <f>Bilans_E_AMS_Kyoto_run3_MTE!R510</f>
        <v>0</v>
      </c>
      <c r="O286" s="711">
        <f>Bilans_E_AMS_Kyoto_run3_MTE!S510</f>
        <v>0</v>
      </c>
      <c r="P286" s="711">
        <f>Bilans_E_AMS_Kyoto_run3_MTE!T510+Bilans_E_AMS_Kyoto_run3_MTE!U510</f>
        <v>0</v>
      </c>
      <c r="Q286" s="711">
        <f>Bilans_E_AMS_Kyoto_run3_MTE!V510</f>
        <v>0</v>
      </c>
      <c r="R286" s="711">
        <f>Bilans_E_AMS_Kyoto_run3_MTE!W510</f>
        <v>0</v>
      </c>
      <c r="S286" s="711">
        <f>Bilans_E_AMS_Kyoto_run3_MTE!X510</f>
        <v>0</v>
      </c>
      <c r="T286" s="711">
        <f>Bilans_E_AMS_Kyoto_run3_MTE!Y510</f>
        <v>24.331434839497675</v>
      </c>
      <c r="U286" s="711">
        <f>Bilans_E_AMS_Kyoto_run3_MTE!Z510</f>
        <v>9.7119486217725175</v>
      </c>
      <c r="V286" s="701"/>
      <c r="W286" s="701"/>
    </row>
    <row r="287" spans="1:23" x14ac:dyDescent="0.25">
      <c r="A287" s="701" t="s">
        <v>502</v>
      </c>
      <c r="B287" s="701"/>
      <c r="C287" s="717" t="s">
        <v>73</v>
      </c>
      <c r="D287" s="711">
        <f>Bilans_E_AMS_Kyoto_run3_MTE!H511</f>
        <v>0</v>
      </c>
      <c r="E287" s="711">
        <f>Bilans_E_AMS_Kyoto_run3_MTE!I511</f>
        <v>0</v>
      </c>
      <c r="F287" s="711">
        <f>Bilans_E_AMS_Kyoto_run3_MTE!J511</f>
        <v>0</v>
      </c>
      <c r="G287" s="711">
        <f>Bilans_E_AMS_Kyoto_run3_MTE!K511</f>
        <v>0</v>
      </c>
      <c r="H287" s="711">
        <f>Bilans_E_AMS_Kyoto_run3_MTE!L511</f>
        <v>0</v>
      </c>
      <c r="I287" s="711">
        <f>Bilans_E_AMS_Kyoto_run3_MTE!M511</f>
        <v>0</v>
      </c>
      <c r="J287" s="711">
        <f>Bilans_E_AMS_Kyoto_run3_MTE!N511</f>
        <v>0</v>
      </c>
      <c r="K287" s="711">
        <f>Bilans_E_AMS_Kyoto_run3_MTE!O511</f>
        <v>0</v>
      </c>
      <c r="L287" s="711">
        <f>Bilans_E_AMS_Kyoto_run3_MTE!P511</f>
        <v>0</v>
      </c>
      <c r="M287" s="711">
        <f>Bilans_E_AMS_Kyoto_run3_MTE!Q511</f>
        <v>0</v>
      </c>
      <c r="N287" s="711">
        <f>Bilans_E_AMS_Kyoto_run3_MTE!R511</f>
        <v>0</v>
      </c>
      <c r="O287" s="711">
        <f>Bilans_E_AMS_Kyoto_run3_MTE!S511</f>
        <v>0</v>
      </c>
      <c r="P287" s="711">
        <f>Bilans_E_AMS_Kyoto_run3_MTE!T511+Bilans_E_AMS_Kyoto_run3_MTE!U511</f>
        <v>0</v>
      </c>
      <c r="Q287" s="711">
        <f>Bilans_E_AMS_Kyoto_run3_MTE!V511</f>
        <v>0</v>
      </c>
      <c r="R287" s="711">
        <f>Bilans_E_AMS_Kyoto_run3_MTE!W511</f>
        <v>88.6114421596901</v>
      </c>
      <c r="S287" s="711">
        <f>Bilans_E_AMS_Kyoto_run3_MTE!X511</f>
        <v>0</v>
      </c>
      <c r="T287" s="711">
        <f>Bilans_E_AMS_Kyoto_run3_MTE!Y511</f>
        <v>-62.249538117182297</v>
      </c>
      <c r="U287" s="711">
        <f>Bilans_E_AMS_Kyoto_run3_MTE!Z511</f>
        <v>26.361904042507803</v>
      </c>
      <c r="V287" s="701"/>
      <c r="W287" s="701"/>
    </row>
    <row r="288" spans="1:23" x14ac:dyDescent="0.25">
      <c r="A288" s="701" t="s">
        <v>503</v>
      </c>
      <c r="B288" s="701"/>
      <c r="C288" s="717" t="s">
        <v>353</v>
      </c>
      <c r="D288" s="711">
        <f>Bilans_E_AMS_Kyoto_run3_MTE!H512</f>
        <v>0</v>
      </c>
      <c r="E288" s="711">
        <f>Bilans_E_AMS_Kyoto_run3_MTE!I512</f>
        <v>-5.1997356607688232</v>
      </c>
      <c r="F288" s="711">
        <f>Bilans_E_AMS_Kyoto_run3_MTE!J512</f>
        <v>6.948298230027091</v>
      </c>
      <c r="G288" s="711">
        <f>Bilans_E_AMS_Kyoto_run3_MTE!K512</f>
        <v>0</v>
      </c>
      <c r="H288" s="711">
        <f>Bilans_E_AMS_Kyoto_run3_MTE!L512</f>
        <v>0</v>
      </c>
      <c r="I288" s="711">
        <f>Bilans_E_AMS_Kyoto_run3_MTE!M512</f>
        <v>0</v>
      </c>
      <c r="J288" s="711">
        <f>Bilans_E_AMS_Kyoto_run3_MTE!N512</f>
        <v>0</v>
      </c>
      <c r="K288" s="711">
        <f>Bilans_E_AMS_Kyoto_run3_MTE!O512</f>
        <v>0</v>
      </c>
      <c r="L288" s="711">
        <f>Bilans_E_AMS_Kyoto_run3_MTE!P512</f>
        <v>0</v>
      </c>
      <c r="M288" s="711">
        <f>Bilans_E_AMS_Kyoto_run3_MTE!Q512</f>
        <v>0</v>
      </c>
      <c r="N288" s="711">
        <f>Bilans_E_AMS_Kyoto_run3_MTE!R512</f>
        <v>0</v>
      </c>
      <c r="O288" s="711">
        <f>Bilans_E_AMS_Kyoto_run3_MTE!S512</f>
        <v>0</v>
      </c>
      <c r="P288" s="711">
        <f>Bilans_E_AMS_Kyoto_run3_MTE!T512+Bilans_E_AMS_Kyoto_run3_MTE!U512</f>
        <v>0</v>
      </c>
      <c r="Q288" s="711">
        <f>Bilans_E_AMS_Kyoto_run3_MTE!V512</f>
        <v>0</v>
      </c>
      <c r="R288" s="711">
        <f>Bilans_E_AMS_Kyoto_run3_MTE!W512</f>
        <v>0</v>
      </c>
      <c r="S288" s="711">
        <f>Bilans_E_AMS_Kyoto_run3_MTE!X512</f>
        <v>0</v>
      </c>
      <c r="T288" s="711">
        <f>Bilans_E_AMS_Kyoto_run3_MTE!Y512</f>
        <v>0</v>
      </c>
      <c r="U288" s="711">
        <f>Bilans_E_AMS_Kyoto_run3_MTE!Z512</f>
        <v>1.7485625692582678</v>
      </c>
      <c r="V288" s="701"/>
      <c r="W288" s="701"/>
    </row>
    <row r="289" spans="1:23" x14ac:dyDescent="0.25">
      <c r="A289" s="701" t="s">
        <v>504</v>
      </c>
      <c r="B289" s="701"/>
      <c r="C289" s="717" t="s">
        <v>75</v>
      </c>
      <c r="D289" s="711">
        <f>Bilans_E_AMS_Kyoto_run3_MTE!H513</f>
        <v>0</v>
      </c>
      <c r="E289" s="711">
        <f>Bilans_E_AMS_Kyoto_run3_MTE!I513</f>
        <v>0</v>
      </c>
      <c r="F289" s="711">
        <f>Bilans_E_AMS_Kyoto_run3_MTE!J513</f>
        <v>5.2004760110645112</v>
      </c>
      <c r="G289" s="711">
        <f>Bilans_E_AMS_Kyoto_run3_MTE!K513</f>
        <v>0</v>
      </c>
      <c r="H289" s="711">
        <f>Bilans_E_AMS_Kyoto_run3_MTE!L513</f>
        <v>0</v>
      </c>
      <c r="I289" s="711">
        <f>Bilans_E_AMS_Kyoto_run3_MTE!M513</f>
        <v>0</v>
      </c>
      <c r="J289" s="711">
        <f>Bilans_E_AMS_Kyoto_run3_MTE!N513</f>
        <v>0</v>
      </c>
      <c r="K289" s="711">
        <f>Bilans_E_AMS_Kyoto_run3_MTE!O513</f>
        <v>0</v>
      </c>
      <c r="L289" s="711">
        <f>Bilans_E_AMS_Kyoto_run3_MTE!P513</f>
        <v>0</v>
      </c>
      <c r="M289" s="711">
        <f>Bilans_E_AMS_Kyoto_run3_MTE!Q513</f>
        <v>0</v>
      </c>
      <c r="N289" s="711">
        <f>Bilans_E_AMS_Kyoto_run3_MTE!R513</f>
        <v>0</v>
      </c>
      <c r="O289" s="711">
        <f>Bilans_E_AMS_Kyoto_run3_MTE!S513</f>
        <v>0</v>
      </c>
      <c r="P289" s="711">
        <f>Bilans_E_AMS_Kyoto_run3_MTE!T513+Bilans_E_AMS_Kyoto_run3_MTE!U513</f>
        <v>0</v>
      </c>
      <c r="Q289" s="711">
        <f>Bilans_E_AMS_Kyoto_run3_MTE!V513</f>
        <v>0</v>
      </c>
      <c r="R289" s="711">
        <f>Bilans_E_AMS_Kyoto_run3_MTE!W513</f>
        <v>38.430337038531441</v>
      </c>
      <c r="S289" s="711">
        <f>Bilans_E_AMS_Kyoto_run3_MTE!X513</f>
        <v>0</v>
      </c>
      <c r="T289" s="711">
        <f>Bilans_E_AMS_Kyoto_run3_MTE!Y513</f>
        <v>1.4650612498705113</v>
      </c>
      <c r="U289" s="711">
        <f>Bilans_E_AMS_Kyoto_run3_MTE!Z513</f>
        <v>45.095874299466459</v>
      </c>
      <c r="V289" s="701"/>
      <c r="W289" s="701"/>
    </row>
    <row r="290" spans="1:23" x14ac:dyDescent="0.25">
      <c r="A290" s="701" t="s">
        <v>505</v>
      </c>
      <c r="B290" s="701"/>
      <c r="C290" s="717" t="s">
        <v>76</v>
      </c>
      <c r="D290" s="711">
        <f>Bilans_E_AMS_Kyoto_run3_MTE!H514</f>
        <v>0</v>
      </c>
      <c r="E290" s="711">
        <f>Bilans_E_AMS_Kyoto_run3_MTE!I514</f>
        <v>0</v>
      </c>
      <c r="F290" s="711">
        <f>Bilans_E_AMS_Kyoto_run3_MTE!J514</f>
        <v>0</v>
      </c>
      <c r="G290" s="711">
        <f>Bilans_E_AMS_Kyoto_run3_MTE!K514</f>
        <v>0</v>
      </c>
      <c r="H290" s="711">
        <f>Bilans_E_AMS_Kyoto_run3_MTE!L514</f>
        <v>0.87272798956791087</v>
      </c>
      <c r="I290" s="711">
        <f>Bilans_E_AMS_Kyoto_run3_MTE!M514</f>
        <v>1.5867781628507469E-2</v>
      </c>
      <c r="J290" s="711">
        <f>Bilans_E_AMS_Kyoto_run3_MTE!N514</f>
        <v>0</v>
      </c>
      <c r="K290" s="711">
        <f>Bilans_E_AMS_Kyoto_run3_MTE!O514</f>
        <v>0</v>
      </c>
      <c r="L290" s="711">
        <f>Bilans_E_AMS_Kyoto_run3_MTE!P514</f>
        <v>0</v>
      </c>
      <c r="M290" s="711">
        <f>Bilans_E_AMS_Kyoto_run3_MTE!Q514</f>
        <v>0</v>
      </c>
      <c r="N290" s="711">
        <f>Bilans_E_AMS_Kyoto_run3_MTE!R514</f>
        <v>0</v>
      </c>
      <c r="O290" s="711">
        <f>Bilans_E_AMS_Kyoto_run3_MTE!S514</f>
        <v>0.6981823916543286</v>
      </c>
      <c r="P290" s="711">
        <f>Bilans_E_AMS_Kyoto_run3_MTE!T514+Bilans_E_AMS_Kyoto_run3_MTE!U514</f>
        <v>0</v>
      </c>
      <c r="Q290" s="711">
        <f>Bilans_E_AMS_Kyoto_run3_MTE!V514</f>
        <v>0</v>
      </c>
      <c r="R290" s="711">
        <f>Bilans_E_AMS_Kyoto_run3_MTE!W514</f>
        <v>61.224106337294323</v>
      </c>
      <c r="S290" s="711">
        <f>Bilans_E_AMS_Kyoto_run3_MTE!X514</f>
        <v>6.697680379771108</v>
      </c>
      <c r="T290" s="711">
        <f>Bilans_E_AMS_Kyoto_run3_MTE!Y514</f>
        <v>0</v>
      </c>
      <c r="U290" s="711">
        <f>Bilans_E_AMS_Kyoto_run3_MTE!Z514</f>
        <v>69.508564879916179</v>
      </c>
      <c r="V290" s="701"/>
      <c r="W290" s="701"/>
    </row>
    <row r="291" spans="1:23" x14ac:dyDescent="0.25">
      <c r="A291" s="701" t="s">
        <v>506</v>
      </c>
      <c r="B291" s="701"/>
      <c r="C291" s="713" t="s">
        <v>77</v>
      </c>
      <c r="D291" s="714">
        <f>Bilans_E_AMS_Kyoto_run3_MTE!H515</f>
        <v>0</v>
      </c>
      <c r="E291" s="714">
        <f>Bilans_E_AMS_Kyoto_run3_MTE!I515</f>
        <v>143.57372262348443</v>
      </c>
      <c r="F291" s="714">
        <f>Bilans_E_AMS_Kyoto_run3_MTE!J515</f>
        <v>-135.1369494603191</v>
      </c>
      <c r="G291" s="714">
        <f>Bilans_E_AMS_Kyoto_run3_MTE!K515</f>
        <v>-14.619486217725157</v>
      </c>
      <c r="H291" s="714">
        <f>Bilans_E_AMS_Kyoto_run3_MTE!L515</f>
        <v>10.97014456744899</v>
      </c>
      <c r="I291" s="714">
        <f>Bilans_E_AMS_Kyoto_run3_MTE!M515</f>
        <v>-3.5472733725210412</v>
      </c>
      <c r="J291" s="714">
        <f>Bilans_E_AMS_Kyoto_run3_MTE!N515</f>
        <v>1021.1177956869142</v>
      </c>
      <c r="K291" s="714">
        <f>Bilans_E_AMS_Kyoto_run3_MTE!O515</f>
        <v>462.06687945929309</v>
      </c>
      <c r="L291" s="714">
        <f>Bilans_E_AMS_Kyoto_run3_MTE!P515</f>
        <v>293.41607278708199</v>
      </c>
      <c r="M291" s="714">
        <f>Bilans_E_AMS_Kyoto_run3_MTE!Q515</f>
        <v>37.444475279494604</v>
      </c>
      <c r="N291" s="714">
        <f>Bilans_E_AMS_Kyoto_run3_MTE!R515</f>
        <v>-54.838669650846725</v>
      </c>
      <c r="O291" s="714">
        <f>Bilans_E_AMS_Kyoto_run3_MTE!S515</f>
        <v>-72.287130434655069</v>
      </c>
      <c r="P291" s="714">
        <f>Bilans_E_AMS_Kyoto_run3_MTE!T515+Bilans_E_AMS_Kyoto_run3_MTE!U515</f>
        <v>19.703135322463453</v>
      </c>
      <c r="Q291" s="714">
        <f>Bilans_E_AMS_Kyoto_run3_MTE!V515</f>
        <v>18.698303851168006</v>
      </c>
      <c r="R291" s="714">
        <f>Bilans_E_AMS_Kyoto_run3_MTE!W515</f>
        <v>-625.73217962616854</v>
      </c>
      <c r="S291" s="714">
        <f>Bilans_E_AMS_Kyoto_run3_MTE!X515</f>
        <v>-79.672309838953737</v>
      </c>
      <c r="T291" s="714">
        <f>Bilans_E_AMS_Kyoto_run3_MTE!Y515</f>
        <v>-31.259944280501475</v>
      </c>
      <c r="U291" s="714">
        <f>Bilans_E_AMS_Kyoto_run3_MTE!Z515</f>
        <v>989.89658669565813</v>
      </c>
      <c r="V291" s="701"/>
      <c r="W291" s="701"/>
    </row>
    <row r="292" spans="1:23" x14ac:dyDescent="0.25">
      <c r="A292" s="701"/>
      <c r="B292" s="701"/>
      <c r="C292" s="715"/>
      <c r="D292" s="716"/>
      <c r="E292" s="716"/>
      <c r="F292" s="716"/>
      <c r="G292" s="716"/>
      <c r="H292" s="716"/>
      <c r="I292" s="716"/>
      <c r="J292" s="716"/>
      <c r="K292" s="716"/>
      <c r="L292" s="716"/>
      <c r="M292" s="716"/>
      <c r="N292" s="716"/>
      <c r="O292" s="716"/>
      <c r="P292" s="716">
        <f>Bilans_E_AMS_Kyoto_run3_MTE!T516+Bilans_E_AMS_Kyoto_run3_MTE!U516</f>
        <v>0</v>
      </c>
      <c r="Q292" s="716"/>
      <c r="R292" s="716"/>
      <c r="S292" s="716"/>
      <c r="T292" s="716"/>
      <c r="U292" s="716"/>
      <c r="V292" s="701"/>
      <c r="W292" s="701"/>
    </row>
    <row r="293" spans="1:23" x14ac:dyDescent="0.25">
      <c r="A293" s="701" t="s">
        <v>507</v>
      </c>
      <c r="B293" s="701"/>
      <c r="C293" s="717" t="s">
        <v>78</v>
      </c>
      <c r="D293" s="711">
        <f>Bilans_E_AMS_Kyoto_run3_MTE!H517</f>
        <v>7.2040588378906256E-2</v>
      </c>
      <c r="E293" s="711">
        <f>Bilans_E_AMS_Kyoto_run3_MTE!I517</f>
        <v>0</v>
      </c>
      <c r="F293" s="711">
        <f>Bilans_E_AMS_Kyoto_run3_MTE!J517</f>
        <v>0.19057103431692568</v>
      </c>
      <c r="G293" s="711">
        <f>Bilans_E_AMS_Kyoto_run3_MTE!K517</f>
        <v>0</v>
      </c>
      <c r="H293" s="711">
        <f>Bilans_E_AMS_Kyoto_run3_MTE!L517</f>
        <v>28.795611186743677</v>
      </c>
      <c r="I293" s="711">
        <f>Bilans_E_AMS_Kyoto_run3_MTE!M517</f>
        <v>0.52355656703170317</v>
      </c>
      <c r="J293" s="711">
        <f>Bilans_E_AMS_Kyoto_run3_MTE!N517</f>
        <v>0</v>
      </c>
      <c r="K293" s="711">
        <f>Bilans_E_AMS_Kyoto_run3_MTE!O517</f>
        <v>0</v>
      </c>
      <c r="L293" s="711">
        <f>Bilans_E_AMS_Kyoto_run3_MTE!P517</f>
        <v>34.871553027324289</v>
      </c>
      <c r="M293" s="711">
        <f>Bilans_E_AMS_Kyoto_run3_MTE!Q517</f>
        <v>8.043964025546213</v>
      </c>
      <c r="N293" s="711">
        <f>Bilans_E_AMS_Kyoto_run3_MTE!R517</f>
        <v>0</v>
      </c>
      <c r="O293" s="711">
        <f>Bilans_E_AMS_Kyoto_run3_MTE!S517</f>
        <v>23.077839156426684</v>
      </c>
      <c r="P293" s="711">
        <f>Bilans_E_AMS_Kyoto_run3_MTE!T517+Bilans_E_AMS_Kyoto_run3_MTE!U517</f>
        <v>13.633620117187499</v>
      </c>
      <c r="Q293" s="711">
        <f>Bilans_E_AMS_Kyoto_run3_MTE!V517</f>
        <v>8.4299170840015686E-4</v>
      </c>
      <c r="R293" s="711">
        <f>Bilans_E_AMS_Kyoto_run3_MTE!W517</f>
        <v>158.64644753930071</v>
      </c>
      <c r="S293" s="711">
        <f>Bilans_E_AMS_Kyoto_run3_MTE!X517</f>
        <v>19.544256457993722</v>
      </c>
      <c r="T293" s="711">
        <f>Bilans_E_AMS_Kyoto_run3_MTE!Y517</f>
        <v>13.641840820312501</v>
      </c>
      <c r="U293" s="711">
        <f>Bilans_E_AMS_Kyoto_run3_MTE!Z517</f>
        <v>301.0421435122712</v>
      </c>
      <c r="V293" s="701"/>
      <c r="W293" s="701"/>
    </row>
    <row r="294" spans="1:23" x14ac:dyDescent="0.25">
      <c r="A294" s="701" t="s">
        <v>508</v>
      </c>
      <c r="B294" s="701"/>
      <c r="C294" s="717" t="s">
        <v>79</v>
      </c>
      <c r="D294" s="711">
        <f>Bilans_E_AMS_Kyoto_run3_MTE!H518</f>
        <v>0</v>
      </c>
      <c r="E294" s="711">
        <f>Bilans_E_AMS_Kyoto_run3_MTE!I518</f>
        <v>0</v>
      </c>
      <c r="F294" s="711">
        <f>Bilans_E_AMS_Kyoto_run3_MTE!J518</f>
        <v>27.842691184610331</v>
      </c>
      <c r="G294" s="711">
        <f>Bilans_E_AMS_Kyoto_run3_MTE!K518</f>
        <v>2</v>
      </c>
      <c r="H294" s="711">
        <f>Bilans_E_AMS_Kyoto_run3_MTE!L518</f>
        <v>4.1475118700352498</v>
      </c>
      <c r="I294" s="711">
        <f>Bilans_E_AMS_Kyoto_run3_MTE!M518</f>
        <v>7.5409306727913641E-2</v>
      </c>
      <c r="J294" s="711">
        <f>Bilans_E_AMS_Kyoto_run3_MTE!N518</f>
        <v>0</v>
      </c>
      <c r="K294" s="711">
        <f>Bilans_E_AMS_Kyoto_run3_MTE!O518</f>
        <v>0</v>
      </c>
      <c r="L294" s="711">
        <f>Bilans_E_AMS_Kyoto_run3_MTE!P518</f>
        <v>0</v>
      </c>
      <c r="M294" s="711">
        <f>Bilans_E_AMS_Kyoto_run3_MTE!Q518</f>
        <v>0</v>
      </c>
      <c r="N294" s="711">
        <f>Bilans_E_AMS_Kyoto_run3_MTE!R518</f>
        <v>29.027871012193479</v>
      </c>
      <c r="O294" s="711">
        <f>Bilans_E_AMS_Kyoto_run3_MTE!S518</f>
        <v>3.3180094960281998</v>
      </c>
      <c r="P294" s="711">
        <f>Bilans_E_AMS_Kyoto_run3_MTE!T518+Bilans_E_AMS_Kyoto_run3_MTE!U518</f>
        <v>0</v>
      </c>
      <c r="Q294" s="711">
        <f>Bilans_E_AMS_Kyoto_run3_MTE!V518</f>
        <v>0</v>
      </c>
      <c r="R294" s="711">
        <f>Bilans_E_AMS_Kyoto_run3_MTE!W518</f>
        <v>121.41640074189371</v>
      </c>
      <c r="S294" s="711">
        <f>Bilans_E_AMS_Kyoto_run3_MTE!X518</f>
        <v>0</v>
      </c>
      <c r="T294" s="711">
        <f>Bilans_E_AMS_Kyoto_run3_MTE!Y518</f>
        <v>6.7088833627788453</v>
      </c>
      <c r="U294" s="711">
        <f>Bilans_E_AMS_Kyoto_run3_MTE!Z518</f>
        <v>194.53677697426772</v>
      </c>
      <c r="V294" s="701"/>
      <c r="W294" s="701"/>
    </row>
    <row r="295" spans="1:23" x14ac:dyDescent="0.25">
      <c r="A295" s="701" t="s">
        <v>509</v>
      </c>
      <c r="B295" s="701"/>
      <c r="C295" s="717" t="s">
        <v>80</v>
      </c>
      <c r="D295" s="711">
        <f>Bilans_E_AMS_Kyoto_run3_MTE!H519</f>
        <v>0</v>
      </c>
      <c r="E295" s="711">
        <f>Bilans_E_AMS_Kyoto_run3_MTE!I519</f>
        <v>0</v>
      </c>
      <c r="F295" s="711">
        <f>Bilans_E_AMS_Kyoto_run3_MTE!J519</f>
        <v>0.1823284194363245</v>
      </c>
      <c r="G295" s="711">
        <f>Bilans_E_AMS_Kyoto_run3_MTE!K519</f>
        <v>0</v>
      </c>
      <c r="H295" s="711">
        <f>Bilans_E_AMS_Kyoto_run3_MTE!L519</f>
        <v>19.208488158214077</v>
      </c>
      <c r="I295" s="711">
        <f>Bilans_E_AMS_Kyoto_run3_MTE!M519</f>
        <v>0.34924523924025591</v>
      </c>
      <c r="J295" s="711">
        <f>Bilans_E_AMS_Kyoto_run3_MTE!N519</f>
        <v>0</v>
      </c>
      <c r="K295" s="711">
        <f>Bilans_E_AMS_Kyoto_run3_MTE!O519</f>
        <v>0</v>
      </c>
      <c r="L295" s="711">
        <f>Bilans_E_AMS_Kyoto_run3_MTE!P519</f>
        <v>41.860643688874312</v>
      </c>
      <c r="M295" s="711">
        <f>Bilans_E_AMS_Kyoto_run3_MTE!Q519</f>
        <v>0</v>
      </c>
      <c r="N295" s="711">
        <f>Bilans_E_AMS_Kyoto_run3_MTE!R519</f>
        <v>0</v>
      </c>
      <c r="O295" s="711">
        <f>Bilans_E_AMS_Kyoto_run3_MTE!S519</f>
        <v>15.366790526571261</v>
      </c>
      <c r="P295" s="711">
        <f>Bilans_E_AMS_Kyoto_run3_MTE!T519+Bilans_E_AMS_Kyoto_run3_MTE!U519</f>
        <v>148.3231165331799</v>
      </c>
      <c r="Q295" s="711">
        <f>Bilans_E_AMS_Kyoto_run3_MTE!V519</f>
        <v>12.136362038143677</v>
      </c>
      <c r="R295" s="711">
        <f>Bilans_E_AMS_Kyoto_run3_MTE!W519</f>
        <v>138.96099758278416</v>
      </c>
      <c r="S295" s="711">
        <f>Bilans_E_AMS_Kyoto_run3_MTE!X519</f>
        <v>37.481794053722915</v>
      </c>
      <c r="T295" s="711">
        <f>Bilans_E_AMS_Kyoto_run3_MTE!Y519</f>
        <v>0</v>
      </c>
      <c r="U295" s="711">
        <f>Bilans_E_AMS_Kyoto_run3_MTE!Z519</f>
        <v>413.86976624016694</v>
      </c>
      <c r="V295" s="701"/>
      <c r="W295" s="701"/>
    </row>
    <row r="296" spans="1:23" x14ac:dyDescent="0.25">
      <c r="A296" s="701" t="s">
        <v>510</v>
      </c>
      <c r="B296" s="701"/>
      <c r="C296" s="717" t="s">
        <v>81</v>
      </c>
      <c r="D296" s="711">
        <f>Bilans_E_AMS_Kyoto_run3_MTE!H520</f>
        <v>0</v>
      </c>
      <c r="E296" s="711">
        <f>Bilans_E_AMS_Kyoto_run3_MTE!I520</f>
        <v>0</v>
      </c>
      <c r="F296" s="711">
        <f>Bilans_E_AMS_Kyoto_run3_MTE!J520</f>
        <v>0.39199311709923457</v>
      </c>
      <c r="G296" s="711">
        <f>Bilans_E_AMS_Kyoto_run3_MTE!K520</f>
        <v>0</v>
      </c>
      <c r="H296" s="711">
        <f>Bilans_E_AMS_Kyoto_run3_MTE!L520</f>
        <v>9.9162417754913825</v>
      </c>
      <c r="I296" s="711">
        <f>Bilans_E_AMS_Kyoto_run3_MTE!M520</f>
        <v>0.18029530500893423</v>
      </c>
      <c r="J296" s="711">
        <f>Bilans_E_AMS_Kyoto_run3_MTE!N520</f>
        <v>0</v>
      </c>
      <c r="K296" s="711">
        <f>Bilans_E_AMS_Kyoto_run3_MTE!O520</f>
        <v>0</v>
      </c>
      <c r="L296" s="711">
        <f>Bilans_E_AMS_Kyoto_run3_MTE!P520</f>
        <v>0.48410239694179807</v>
      </c>
      <c r="M296" s="711">
        <f>Bilans_E_AMS_Kyoto_run3_MTE!Q520</f>
        <v>0</v>
      </c>
      <c r="N296" s="711">
        <f>Bilans_E_AMS_Kyoto_run3_MTE!R520</f>
        <v>0</v>
      </c>
      <c r="O296" s="711">
        <f>Bilans_E_AMS_Kyoto_run3_MTE!S520</f>
        <v>7.9329934203931058</v>
      </c>
      <c r="P296" s="711">
        <f>Bilans_E_AMS_Kyoto_run3_MTE!T520+Bilans_E_AMS_Kyoto_run3_MTE!U520</f>
        <v>58.56878651815164</v>
      </c>
      <c r="Q296" s="711">
        <f>Bilans_E_AMS_Kyoto_run3_MTE!V520</f>
        <v>12.039845592065015</v>
      </c>
      <c r="R296" s="711">
        <f>Bilans_E_AMS_Kyoto_run3_MTE!W520</f>
        <v>122.64919061404242</v>
      </c>
      <c r="S296" s="711">
        <f>Bilans_E_AMS_Kyoto_run3_MTE!X520</f>
        <v>22.646226401731536</v>
      </c>
      <c r="T296" s="711">
        <f>Bilans_E_AMS_Kyoto_run3_MTE!Y520</f>
        <v>0</v>
      </c>
      <c r="U296" s="711">
        <f>Bilans_E_AMS_Kyoto_run3_MTE!Z520</f>
        <v>234.80967514092507</v>
      </c>
      <c r="V296" s="701"/>
      <c r="W296" s="701"/>
    </row>
    <row r="297" spans="1:23" x14ac:dyDescent="0.25">
      <c r="A297" s="701" t="s">
        <v>511</v>
      </c>
      <c r="B297" s="701"/>
      <c r="C297" s="717" t="s">
        <v>82</v>
      </c>
      <c r="D297" s="711">
        <f>Bilans_E_AMS_Kyoto_run3_MTE!H521</f>
        <v>0</v>
      </c>
      <c r="E297" s="711">
        <f>Bilans_E_AMS_Kyoto_run3_MTE!I521</f>
        <v>0</v>
      </c>
      <c r="F297" s="711">
        <f>Bilans_E_AMS_Kyoto_run3_MTE!J521</f>
        <v>5.4571309143050808</v>
      </c>
      <c r="G297" s="711">
        <f>Bilans_E_AMS_Kyoto_run3_MTE!K521</f>
        <v>0</v>
      </c>
      <c r="H297" s="711">
        <f>Bilans_E_AMS_Kyoto_run3_MTE!L521</f>
        <v>0.56206289562711365</v>
      </c>
      <c r="I297" s="711">
        <f>Bilans_E_AMS_Kyoto_run3_MTE!M521</f>
        <v>1.0219325375038429E-2</v>
      </c>
      <c r="J297" s="711">
        <f>Bilans_E_AMS_Kyoto_run3_MTE!N521</f>
        <v>0</v>
      </c>
      <c r="K297" s="711">
        <f>Bilans_E_AMS_Kyoto_run3_MTE!O521</f>
        <v>0</v>
      </c>
      <c r="L297" s="711">
        <f>Bilans_E_AMS_Kyoto_run3_MTE!P521</f>
        <v>17.783972013033864</v>
      </c>
      <c r="M297" s="711">
        <f>Bilans_E_AMS_Kyoto_run3_MTE!Q521</f>
        <v>0</v>
      </c>
      <c r="N297" s="711">
        <f>Bilans_E_AMS_Kyoto_run3_MTE!R521</f>
        <v>8.2374051734864402</v>
      </c>
      <c r="O297" s="711">
        <f>Bilans_E_AMS_Kyoto_run3_MTE!S521</f>
        <v>0.44965031650169085</v>
      </c>
      <c r="P297" s="711">
        <f>Bilans_E_AMS_Kyoto_run3_MTE!T521+Bilans_E_AMS_Kyoto_run3_MTE!U521</f>
        <v>1.25</v>
      </c>
      <c r="Q297" s="711">
        <f>Bilans_E_AMS_Kyoto_run3_MTE!V521</f>
        <v>1.7440136932478227</v>
      </c>
      <c r="R297" s="711">
        <f>Bilans_E_AMS_Kyoto_run3_MTE!W521</f>
        <v>10.36655207833598</v>
      </c>
      <c r="S297" s="711">
        <f>Bilans_E_AMS_Kyoto_run3_MTE!X521</f>
        <v>0</v>
      </c>
      <c r="T297" s="711">
        <f>Bilans_E_AMS_Kyoto_run3_MTE!Y521</f>
        <v>0.55589052141355966</v>
      </c>
      <c r="U297" s="711">
        <f>Bilans_E_AMS_Kyoto_run3_MTE!Z521</f>
        <v>46.416896931326583</v>
      </c>
      <c r="V297" s="701"/>
      <c r="W297" s="701"/>
    </row>
    <row r="298" spans="1:23" x14ac:dyDescent="0.25">
      <c r="A298" s="701" t="s">
        <v>512</v>
      </c>
      <c r="B298" s="701"/>
      <c r="C298" s="717" t="s">
        <v>354</v>
      </c>
      <c r="D298" s="711">
        <f>Bilans_E_AMS_Kyoto_run3_MTE!H522</f>
        <v>0</v>
      </c>
      <c r="E298" s="711">
        <f>Bilans_E_AMS_Kyoto_run3_MTE!I522</f>
        <v>0</v>
      </c>
      <c r="F298" s="711">
        <f>Bilans_E_AMS_Kyoto_run3_MTE!J522</f>
        <v>0</v>
      </c>
      <c r="G298" s="711">
        <f>Bilans_E_AMS_Kyoto_run3_MTE!K522</f>
        <v>0</v>
      </c>
      <c r="H298" s="711">
        <f>Bilans_E_AMS_Kyoto_run3_MTE!L522</f>
        <v>0</v>
      </c>
      <c r="I298" s="711">
        <f>Bilans_E_AMS_Kyoto_run3_MTE!M522</f>
        <v>0</v>
      </c>
      <c r="J298" s="711">
        <f>Bilans_E_AMS_Kyoto_run3_MTE!N522</f>
        <v>0</v>
      </c>
      <c r="K298" s="711">
        <f>Bilans_E_AMS_Kyoto_run3_MTE!O522</f>
        <v>0</v>
      </c>
      <c r="L298" s="711">
        <f>Bilans_E_AMS_Kyoto_run3_MTE!P522</f>
        <v>0</v>
      </c>
      <c r="M298" s="711">
        <f>Bilans_E_AMS_Kyoto_run3_MTE!Q522</f>
        <v>0</v>
      </c>
      <c r="N298" s="711">
        <f>Bilans_E_AMS_Kyoto_run3_MTE!R522</f>
        <v>0</v>
      </c>
      <c r="O298" s="711">
        <f>Bilans_E_AMS_Kyoto_run3_MTE!S522</f>
        <v>0</v>
      </c>
      <c r="P298" s="711">
        <f>Bilans_E_AMS_Kyoto_run3_MTE!T522+Bilans_E_AMS_Kyoto_run3_MTE!U522</f>
        <v>0</v>
      </c>
      <c r="Q298" s="711">
        <f>Bilans_E_AMS_Kyoto_run3_MTE!V522</f>
        <v>0</v>
      </c>
      <c r="R298" s="711">
        <f>Bilans_E_AMS_Kyoto_run3_MTE!W522</f>
        <v>9.0399999999999991</v>
      </c>
      <c r="S298" s="711">
        <f>Bilans_E_AMS_Kyoto_run3_MTE!X522</f>
        <v>0</v>
      </c>
      <c r="T298" s="711">
        <f>Bilans_E_AMS_Kyoto_run3_MTE!Y522</f>
        <v>0</v>
      </c>
      <c r="U298" s="711">
        <f>Bilans_E_AMS_Kyoto_run3_MTE!Z522</f>
        <v>9.0399999999999991</v>
      </c>
      <c r="V298" s="701"/>
      <c r="W298" s="701"/>
    </row>
    <row r="299" spans="1:23" x14ac:dyDescent="0.25">
      <c r="A299" s="701" t="s">
        <v>513</v>
      </c>
      <c r="B299" s="701"/>
      <c r="C299" s="713" t="s">
        <v>83</v>
      </c>
      <c r="D299" s="714">
        <f>Bilans_E_AMS_Kyoto_run3_MTE!H523</f>
        <v>7.2040588378906256E-2</v>
      </c>
      <c r="E299" s="714">
        <f>Bilans_E_AMS_Kyoto_run3_MTE!I523</f>
        <v>0</v>
      </c>
      <c r="F299" s="714">
        <f>Bilans_E_AMS_Kyoto_run3_MTE!J523</f>
        <v>34.064714669767895</v>
      </c>
      <c r="G299" s="714">
        <f>Bilans_E_AMS_Kyoto_run3_MTE!K523</f>
        <v>2</v>
      </c>
      <c r="H299" s="714">
        <f>Bilans_E_AMS_Kyoto_run3_MTE!L523</f>
        <v>62.629915886111512</v>
      </c>
      <c r="I299" s="714">
        <f>Bilans_E_AMS_Kyoto_run3_MTE!M523</f>
        <v>1.1387257433838454</v>
      </c>
      <c r="J299" s="714">
        <f>Bilans_E_AMS_Kyoto_run3_MTE!N523</f>
        <v>0</v>
      </c>
      <c r="K299" s="714">
        <f>Bilans_E_AMS_Kyoto_run3_MTE!O523</f>
        <v>0</v>
      </c>
      <c r="L299" s="714">
        <f>Bilans_E_AMS_Kyoto_run3_MTE!P523</f>
        <v>95.000271126174255</v>
      </c>
      <c r="M299" s="714">
        <f>Bilans_E_AMS_Kyoto_run3_MTE!Q523</f>
        <v>8.043964025546213</v>
      </c>
      <c r="N299" s="714">
        <f>Bilans_E_AMS_Kyoto_run3_MTE!R523</f>
        <v>37.265276185679923</v>
      </c>
      <c r="O299" s="714">
        <f>Bilans_E_AMS_Kyoto_run3_MTE!S523</f>
        <v>50.145282915920937</v>
      </c>
      <c r="P299" s="714">
        <f>Bilans_E_AMS_Kyoto_run3_MTE!T523+Bilans_E_AMS_Kyoto_run3_MTE!U523</f>
        <v>221.77552316851904</v>
      </c>
      <c r="Q299" s="714">
        <f>Bilans_E_AMS_Kyoto_run3_MTE!V523</f>
        <v>25.921064315164912</v>
      </c>
      <c r="R299" s="714">
        <f>Bilans_E_AMS_Kyoto_run3_MTE!W523</f>
        <v>561.07958855635695</v>
      </c>
      <c r="S299" s="714">
        <f>Bilans_E_AMS_Kyoto_run3_MTE!X523</f>
        <v>79.672276913448172</v>
      </c>
      <c r="T299" s="714">
        <f>Bilans_E_AMS_Kyoto_run3_MTE!Y523</f>
        <v>20.906614704504904</v>
      </c>
      <c r="U299" s="714">
        <f>Bilans_E_AMS_Kyoto_run3_MTE!Z523</f>
        <v>1199.7152587989574</v>
      </c>
      <c r="V299" s="701"/>
      <c r="W299" s="701"/>
    </row>
    <row r="300" spans="1:23" x14ac:dyDescent="0.25">
      <c r="A300" s="701" t="s">
        <v>514</v>
      </c>
      <c r="B300" s="701"/>
      <c r="C300" s="710" t="s">
        <v>84</v>
      </c>
      <c r="D300" s="711">
        <f>Bilans_E_AMS_Kyoto_run3_MTE!H524</f>
        <v>0</v>
      </c>
      <c r="E300" s="711">
        <f>Bilans_E_AMS_Kyoto_run3_MTE!I524</f>
        <v>0</v>
      </c>
      <c r="F300" s="711">
        <f>Bilans_E_AMS_Kyoto_run3_MTE!J524</f>
        <v>96.394045128661887</v>
      </c>
      <c r="G300" s="711">
        <f>Bilans_E_AMS_Kyoto_run3_MTE!K524</f>
        <v>3.4901848637372384</v>
      </c>
      <c r="H300" s="711">
        <f>Bilans_E_AMS_Kyoto_run3_MTE!L524</f>
        <v>9.7025025927356783</v>
      </c>
      <c r="I300" s="711">
        <f>Bilans_E_AMS_Kyoto_run3_MTE!M524</f>
        <v>0</v>
      </c>
      <c r="J300" s="711">
        <f>Bilans_E_AMS_Kyoto_run3_MTE!N524</f>
        <v>0</v>
      </c>
      <c r="K300" s="711">
        <f>Bilans_E_AMS_Kyoto_run3_MTE!O524</f>
        <v>0</v>
      </c>
      <c r="L300" s="711">
        <f>Bilans_E_AMS_Kyoto_run3_MTE!P524</f>
        <v>0.55051822222324442</v>
      </c>
      <c r="M300" s="711">
        <f>Bilans_E_AMS_Kyoto_run3_MTE!Q524</f>
        <v>0</v>
      </c>
      <c r="N300" s="711">
        <f>Bilans_E_AMS_Kyoto_run3_MTE!R524</f>
        <v>5.2633850918308207</v>
      </c>
      <c r="O300" s="711">
        <f>Bilans_E_AMS_Kyoto_run3_MTE!S524</f>
        <v>0</v>
      </c>
      <c r="P300" s="711">
        <f>Bilans_E_AMS_Kyoto_run3_MTE!T524+Bilans_E_AMS_Kyoto_run3_MTE!U524</f>
        <v>0</v>
      </c>
      <c r="Q300" s="711">
        <f>Bilans_E_AMS_Kyoto_run3_MTE!V524</f>
        <v>0</v>
      </c>
      <c r="R300" s="711">
        <f>Bilans_E_AMS_Kyoto_run3_MTE!W524</f>
        <v>0</v>
      </c>
      <c r="S300" s="711">
        <f>Bilans_E_AMS_Kyoto_run3_MTE!X524</f>
        <v>0</v>
      </c>
      <c r="T300" s="711">
        <f>Bilans_E_AMS_Kyoto_run3_MTE!Y524</f>
        <v>4.3572670917440366</v>
      </c>
      <c r="U300" s="711">
        <f>Bilans_E_AMS_Kyoto_run3_MTE!Z524</f>
        <v>119.75790299093292</v>
      </c>
      <c r="V300" s="701"/>
      <c r="W300" s="701"/>
    </row>
    <row r="301" spans="1:23" x14ac:dyDescent="0.25">
      <c r="A301" s="701" t="s">
        <v>515</v>
      </c>
      <c r="B301" s="701"/>
      <c r="C301" s="713" t="s">
        <v>85</v>
      </c>
      <c r="D301" s="714">
        <f>Bilans_E_AMS_Kyoto_run3_MTE!H525</f>
        <v>7.2040588378906256E-2</v>
      </c>
      <c r="E301" s="714">
        <f>Bilans_E_AMS_Kyoto_run3_MTE!I525</f>
        <v>0</v>
      </c>
      <c r="F301" s="714">
        <f>Bilans_E_AMS_Kyoto_run3_MTE!J525</f>
        <v>130.45875979842978</v>
      </c>
      <c r="G301" s="714">
        <f>Bilans_E_AMS_Kyoto_run3_MTE!K525</f>
        <v>5.4901848637372384</v>
      </c>
      <c r="H301" s="714">
        <f>Bilans_E_AMS_Kyoto_run3_MTE!L525</f>
        <v>72.332418478847188</v>
      </c>
      <c r="I301" s="714">
        <f>Bilans_E_AMS_Kyoto_run3_MTE!M525</f>
        <v>1.1387257433838454</v>
      </c>
      <c r="J301" s="714">
        <f>Bilans_E_AMS_Kyoto_run3_MTE!N525</f>
        <v>0</v>
      </c>
      <c r="K301" s="714">
        <f>Bilans_E_AMS_Kyoto_run3_MTE!O525</f>
        <v>0</v>
      </c>
      <c r="L301" s="714">
        <f>Bilans_E_AMS_Kyoto_run3_MTE!P525</f>
        <v>95.550789348397501</v>
      </c>
      <c r="M301" s="714">
        <f>Bilans_E_AMS_Kyoto_run3_MTE!Q525</f>
        <v>8.043964025546213</v>
      </c>
      <c r="N301" s="714">
        <f>Bilans_E_AMS_Kyoto_run3_MTE!R525</f>
        <v>42.528661277510743</v>
      </c>
      <c r="O301" s="714">
        <f>Bilans_E_AMS_Kyoto_run3_MTE!S525</f>
        <v>50.145282915920937</v>
      </c>
      <c r="P301" s="714">
        <f>Bilans_E_AMS_Kyoto_run3_MTE!T525+Bilans_E_AMS_Kyoto_run3_MTE!U525</f>
        <v>221.77552316851904</v>
      </c>
      <c r="Q301" s="714">
        <f>Bilans_E_AMS_Kyoto_run3_MTE!V525</f>
        <v>25.921064315164912</v>
      </c>
      <c r="R301" s="714">
        <f>Bilans_E_AMS_Kyoto_run3_MTE!W525</f>
        <v>561.07958855635695</v>
      </c>
      <c r="S301" s="714">
        <f>Bilans_E_AMS_Kyoto_run3_MTE!X525</f>
        <v>79.672276913448172</v>
      </c>
      <c r="T301" s="714">
        <f>Bilans_E_AMS_Kyoto_run3_MTE!Y525</f>
        <v>25.263881796248938</v>
      </c>
      <c r="U301" s="714">
        <f>Bilans_E_AMS_Kyoto_run3_MTE!Z525</f>
        <v>1319.4731617898904</v>
      </c>
      <c r="V301" s="701"/>
      <c r="W301" s="701"/>
    </row>
    <row r="302" spans="1:23" x14ac:dyDescent="0.25">
      <c r="A302" s="701"/>
      <c r="B302" s="701"/>
      <c r="C302" s="701"/>
      <c r="D302" s="701">
        <f>Bilans_E_AMS_Kyoto_run3_MTE!H526</f>
        <v>0</v>
      </c>
      <c r="E302" s="701">
        <f>Bilans_E_AMS_Kyoto_run3_MTE!I526</f>
        <v>0</v>
      </c>
      <c r="F302" s="701">
        <f>Bilans_E_AMS_Kyoto_run3_MTE!J526</f>
        <v>-7.1054273576010019E-15</v>
      </c>
      <c r="G302" s="701">
        <f>Bilans_E_AMS_Kyoto_run3_MTE!K526</f>
        <v>0</v>
      </c>
      <c r="H302" s="701">
        <f>Bilans_E_AMS_Kyoto_run3_MTE!L526</f>
        <v>4.0563540423477207E-5</v>
      </c>
      <c r="I302" s="701">
        <f>Bilans_E_AMS_Kyoto_run3_MTE!M526</f>
        <v>-4.0563540425697653E-5</v>
      </c>
      <c r="J302" s="701">
        <f>Bilans_E_AMS_Kyoto_run3_MTE!N526</f>
        <v>0</v>
      </c>
      <c r="K302" s="701">
        <f>Bilans_E_AMS_Kyoto_run3_MTE!O526</f>
        <v>0</v>
      </c>
      <c r="L302" s="701">
        <f>Bilans_E_AMS_Kyoto_run3_MTE!P526</f>
        <v>0</v>
      </c>
      <c r="M302" s="701">
        <f>Bilans_E_AMS_Kyoto_run3_MTE!Q526</f>
        <v>0</v>
      </c>
      <c r="N302" s="701">
        <f>Bilans_E_AMS_Kyoto_run3_MTE!R526</f>
        <v>0</v>
      </c>
      <c r="O302" s="701">
        <f>Bilans_E_AMS_Kyoto_run3_MTE!S526</f>
        <v>0</v>
      </c>
      <c r="P302" s="701">
        <f>Bilans_E_AMS_Kyoto_run3_MTE!T526+Bilans_E_AMS_Kyoto_run3_MTE!U526</f>
        <v>0</v>
      </c>
      <c r="Q302" s="701">
        <f>Bilans_E_AMS_Kyoto_run3_MTE!V526</f>
        <v>0</v>
      </c>
      <c r="R302" s="701">
        <f>Bilans_E_AMS_Kyoto_run3_MTE!W526</f>
        <v>0</v>
      </c>
      <c r="S302" s="701">
        <f>Bilans_E_AMS_Kyoto_run3_MTE!X526</f>
        <v>-3.2925505564662672E-5</v>
      </c>
      <c r="T302" s="701">
        <f>Bilans_E_AMS_Kyoto_run3_MTE!Y526</f>
        <v>0</v>
      </c>
      <c r="U302" s="701">
        <f>Bilans_E_AMS_Kyoto_run3_MTE!Z526</f>
        <v>-3.2925505365710706E-5</v>
      </c>
      <c r="V302" s="701"/>
      <c r="W302" s="701"/>
    </row>
    <row r="303" spans="1:23" x14ac:dyDescent="0.25">
      <c r="A303" s="701"/>
      <c r="B303" s="701"/>
      <c r="C303" s="701"/>
      <c r="D303" s="701"/>
      <c r="E303" s="701"/>
      <c r="F303" s="701"/>
      <c r="G303" s="701"/>
      <c r="H303" s="701"/>
      <c r="I303" s="701"/>
      <c r="J303" s="701"/>
      <c r="K303" s="701"/>
      <c r="L303" s="701"/>
      <c r="M303" s="701"/>
      <c r="N303" s="701"/>
      <c r="O303" s="701"/>
      <c r="P303" s="701"/>
      <c r="Q303" s="701"/>
      <c r="R303" s="701"/>
      <c r="S303" s="701"/>
      <c r="T303" s="701"/>
      <c r="U303" s="701"/>
      <c r="V303" s="701"/>
      <c r="W303" s="701"/>
    </row>
    <row r="304" spans="1:23" x14ac:dyDescent="0.25">
      <c r="A304" s="707"/>
      <c r="B304" s="707"/>
      <c r="C304" s="708" t="s">
        <v>89</v>
      </c>
      <c r="D304" s="707"/>
      <c r="E304" s="707"/>
      <c r="F304" s="707"/>
      <c r="G304" s="707"/>
      <c r="H304" s="707"/>
      <c r="I304" s="707"/>
      <c r="J304" s="707"/>
      <c r="K304" s="707"/>
      <c r="L304" s="707"/>
      <c r="M304" s="707"/>
      <c r="N304" s="707"/>
      <c r="O304" s="707"/>
      <c r="P304" s="707"/>
      <c r="Q304" s="707"/>
      <c r="R304" s="707"/>
      <c r="S304" s="707"/>
      <c r="T304" s="707"/>
      <c r="U304" s="707"/>
      <c r="V304" s="707"/>
      <c r="W304" s="707"/>
    </row>
    <row r="305" spans="1:23" x14ac:dyDescent="0.25">
      <c r="A305" s="701"/>
      <c r="B305" s="701"/>
      <c r="C305" s="701"/>
      <c r="D305" s="701"/>
      <c r="E305" s="701"/>
      <c r="F305" s="701"/>
      <c r="G305" s="701"/>
      <c r="H305" s="701"/>
      <c r="I305" s="701"/>
      <c r="J305" s="701"/>
      <c r="K305" s="701"/>
      <c r="L305" s="701"/>
      <c r="M305" s="701"/>
      <c r="N305" s="701"/>
      <c r="O305" s="701"/>
      <c r="P305" s="701"/>
      <c r="Q305" s="701"/>
      <c r="R305" s="701"/>
      <c r="S305" s="701"/>
      <c r="T305" s="701"/>
      <c r="U305" s="701"/>
      <c r="V305" s="701"/>
      <c r="W305" s="701"/>
    </row>
    <row r="306" spans="1:23" x14ac:dyDescent="0.25">
      <c r="A306" s="701"/>
      <c r="B306" s="701"/>
      <c r="C306" s="780" t="s">
        <v>128</v>
      </c>
      <c r="D306" s="775" t="s">
        <v>42</v>
      </c>
      <c r="E306" s="775" t="s">
        <v>52</v>
      </c>
      <c r="F306" s="775" t="s">
        <v>53</v>
      </c>
      <c r="G306" s="775" t="s">
        <v>482</v>
      </c>
      <c r="H306" s="775" t="s">
        <v>32</v>
      </c>
      <c r="I306" s="775" t="s">
        <v>483</v>
      </c>
      <c r="J306" s="775" t="s">
        <v>20</v>
      </c>
      <c r="K306" s="775" t="s">
        <v>55</v>
      </c>
      <c r="L306" s="777" t="s">
        <v>56</v>
      </c>
      <c r="M306" s="778"/>
      <c r="N306" s="778"/>
      <c r="O306" s="778"/>
      <c r="P306" s="778"/>
      <c r="Q306" s="779"/>
      <c r="R306" s="775" t="s">
        <v>57</v>
      </c>
      <c r="S306" s="775" t="s">
        <v>58</v>
      </c>
      <c r="T306" s="775" t="s">
        <v>31</v>
      </c>
      <c r="U306" s="775" t="s">
        <v>10</v>
      </c>
      <c r="V306" s="701"/>
      <c r="W306" s="701"/>
    </row>
    <row r="307" spans="1:23" ht="67.5" x14ac:dyDescent="0.25">
      <c r="A307" s="701" t="s">
        <v>486</v>
      </c>
      <c r="B307" s="701"/>
      <c r="C307" s="781"/>
      <c r="D307" s="776"/>
      <c r="E307" s="776"/>
      <c r="F307" s="776"/>
      <c r="G307" s="776"/>
      <c r="H307" s="776"/>
      <c r="I307" s="776"/>
      <c r="J307" s="776"/>
      <c r="K307" s="776"/>
      <c r="L307" s="709" t="s">
        <v>335</v>
      </c>
      <c r="M307" s="709" t="s">
        <v>40</v>
      </c>
      <c r="N307" s="709" t="s">
        <v>343</v>
      </c>
      <c r="O307" s="709" t="s">
        <v>344</v>
      </c>
      <c r="P307" s="719" t="s">
        <v>610</v>
      </c>
      <c r="Q307" s="709" t="s">
        <v>346</v>
      </c>
      <c r="R307" s="776"/>
      <c r="S307" s="776"/>
      <c r="T307" s="776"/>
      <c r="U307" s="776"/>
      <c r="V307" s="701"/>
      <c r="W307" s="701"/>
    </row>
    <row r="308" spans="1:23" x14ac:dyDescent="0.25">
      <c r="A308" s="701" t="s">
        <v>487</v>
      </c>
      <c r="B308" s="701"/>
      <c r="C308" s="710" t="s">
        <v>59</v>
      </c>
      <c r="D308" s="711">
        <f>Bilans_E_AMS_Kyoto_run3_MTE!H532</f>
        <v>0</v>
      </c>
      <c r="E308" s="711">
        <f>Bilans_E_AMS_Kyoto_run3_MTE!I532</f>
        <v>0</v>
      </c>
      <c r="F308" s="711">
        <f>Bilans_E_AMS_Kyoto_run3_MTE!J532</f>
        <v>0</v>
      </c>
      <c r="G308" s="711">
        <f>Bilans_E_AMS_Kyoto_run3_MTE!K532</f>
        <v>0</v>
      </c>
      <c r="H308" s="711">
        <f>Bilans_E_AMS_Kyoto_run3_MTE!L532</f>
        <v>0</v>
      </c>
      <c r="I308" s="711">
        <f>Bilans_E_AMS_Kyoto_run3_MTE!M532</f>
        <v>0</v>
      </c>
      <c r="J308" s="711">
        <f>Bilans_E_AMS_Kyoto_run3_MTE!N532</f>
        <v>807.37795933495636</v>
      </c>
      <c r="K308" s="711">
        <f>Bilans_E_AMS_Kyoto_run3_MTE!O532</f>
        <v>553.99388589395949</v>
      </c>
      <c r="L308" s="711">
        <f>Bilans_E_AMS_Kyoto_run3_MTE!P532</f>
        <v>401.60616442653316</v>
      </c>
      <c r="M308" s="711">
        <f>Bilans_E_AMS_Kyoto_run3_MTE!Q532</f>
        <v>43.888349788112322</v>
      </c>
      <c r="N308" s="711">
        <f>Bilans_E_AMS_Kyoto_run3_MTE!R532</f>
        <v>0</v>
      </c>
      <c r="O308" s="711">
        <f>Bilans_E_AMS_Kyoto_run3_MTE!S532</f>
        <v>0</v>
      </c>
      <c r="P308" s="711">
        <f>Bilans_E_AMS_Kyoto_run3_MTE!T532+Bilans_E_AMS_Kyoto_run3_MTE!U532</f>
        <v>274.41854375041947</v>
      </c>
      <c r="Q308" s="711">
        <f>Bilans_E_AMS_Kyoto_run3_MTE!V532</f>
        <v>50.723080686002739</v>
      </c>
      <c r="R308" s="711">
        <f>Bilans_E_AMS_Kyoto_run3_MTE!W532</f>
        <v>0</v>
      </c>
      <c r="S308" s="711">
        <f>Bilans_E_AMS_Kyoto_run3_MTE!X532</f>
        <v>0</v>
      </c>
      <c r="T308" s="711">
        <f>Bilans_E_AMS_Kyoto_run3_MTE!Y532</f>
        <v>0</v>
      </c>
      <c r="U308" s="711">
        <f>Bilans_E_AMS_Kyoto_run3_MTE!Z532</f>
        <v>2132.0079838799838</v>
      </c>
      <c r="V308" s="701"/>
      <c r="W308" s="701"/>
    </row>
    <row r="309" spans="1:23" x14ac:dyDescent="0.25">
      <c r="A309" s="701" t="s">
        <v>488</v>
      </c>
      <c r="B309" s="701"/>
      <c r="C309" s="710" t="s">
        <v>60</v>
      </c>
      <c r="D309" s="712">
        <f>Bilans_E_AMS_Kyoto_run3_MTE!H533</f>
        <v>0</v>
      </c>
      <c r="E309" s="712">
        <f>Bilans_E_AMS_Kyoto_run3_MTE!I533</f>
        <v>58.863651738299311</v>
      </c>
      <c r="F309" s="712">
        <f>Bilans_E_AMS_Kyoto_run3_MTE!J533</f>
        <v>45.756672067678878</v>
      </c>
      <c r="G309" s="712">
        <f>Bilans_E_AMS_Kyoto_run3_MTE!K533</f>
        <v>12.032159045744653</v>
      </c>
      <c r="H309" s="712">
        <f>Bilans_E_AMS_Kyoto_run3_MTE!L533</f>
        <v>7.019987079045241</v>
      </c>
      <c r="I309" s="712">
        <f>Bilans_E_AMS_Kyoto_run3_MTE!M533</f>
        <v>0</v>
      </c>
      <c r="J309" s="712">
        <f>Bilans_E_AMS_Kyoto_run3_MTE!N533</f>
        <v>0</v>
      </c>
      <c r="K309" s="712">
        <f>Bilans_E_AMS_Kyoto_run3_MTE!O533</f>
        <v>0</v>
      </c>
      <c r="L309" s="712">
        <f>Bilans_E_AMS_Kyoto_run3_MTE!P533</f>
        <v>22.470468893714155</v>
      </c>
      <c r="M309" s="712">
        <f>Bilans_E_AMS_Kyoto_run3_MTE!Q533</f>
        <v>0</v>
      </c>
      <c r="N309" s="712">
        <f>Bilans_E_AMS_Kyoto_run3_MTE!R533</f>
        <v>0</v>
      </c>
      <c r="O309" s="712">
        <f>Bilans_E_AMS_Kyoto_run3_MTE!S533</f>
        <v>0</v>
      </c>
      <c r="P309" s="712">
        <f>Bilans_E_AMS_Kyoto_run3_MTE!T533+Bilans_E_AMS_Kyoto_run3_MTE!U533</f>
        <v>0</v>
      </c>
      <c r="Q309" s="712">
        <f>Bilans_E_AMS_Kyoto_run3_MTE!V533</f>
        <v>0</v>
      </c>
      <c r="R309" s="712">
        <f>Bilans_E_AMS_Kyoto_run3_MTE!W533</f>
        <v>0</v>
      </c>
      <c r="S309" s="712">
        <f>Bilans_E_AMS_Kyoto_run3_MTE!X533</f>
        <v>0</v>
      </c>
      <c r="T309" s="712">
        <f>Bilans_E_AMS_Kyoto_run3_MTE!Y533</f>
        <v>0</v>
      </c>
      <c r="U309" s="712">
        <f>Bilans_E_AMS_Kyoto_run3_MTE!Z533</f>
        <v>146.14293882448223</v>
      </c>
      <c r="V309" s="701"/>
      <c r="W309" s="701"/>
    </row>
    <row r="310" spans="1:23" x14ac:dyDescent="0.25">
      <c r="A310" s="701" t="s">
        <v>489</v>
      </c>
      <c r="B310" s="701"/>
      <c r="C310" s="710" t="s">
        <v>61</v>
      </c>
      <c r="D310" s="712">
        <f>Bilans_E_AMS_Kyoto_run3_MTE!H534</f>
        <v>0</v>
      </c>
      <c r="E310" s="712">
        <f>Bilans_E_AMS_Kyoto_run3_MTE!I534</f>
        <v>0</v>
      </c>
      <c r="F310" s="712">
        <f>Bilans_E_AMS_Kyoto_run3_MTE!J534</f>
        <v>0</v>
      </c>
      <c r="G310" s="712">
        <f>Bilans_E_AMS_Kyoto_run3_MTE!K534</f>
        <v>0</v>
      </c>
      <c r="H310" s="712">
        <f>Bilans_E_AMS_Kyoto_run3_MTE!L534</f>
        <v>0</v>
      </c>
      <c r="I310" s="712">
        <f>Bilans_E_AMS_Kyoto_run3_MTE!M534</f>
        <v>0</v>
      </c>
      <c r="J310" s="712">
        <f>Bilans_E_AMS_Kyoto_run3_MTE!N534</f>
        <v>0</v>
      </c>
      <c r="K310" s="712">
        <f>Bilans_E_AMS_Kyoto_run3_MTE!O534</f>
        <v>0</v>
      </c>
      <c r="L310" s="712">
        <f>Bilans_E_AMS_Kyoto_run3_MTE!P534</f>
        <v>0</v>
      </c>
      <c r="M310" s="712">
        <f>Bilans_E_AMS_Kyoto_run3_MTE!Q534</f>
        <v>0</v>
      </c>
      <c r="N310" s="712">
        <f>Bilans_E_AMS_Kyoto_run3_MTE!R534</f>
        <v>-12.102055378039722</v>
      </c>
      <c r="O310" s="712">
        <f>Bilans_E_AMS_Kyoto_run3_MTE!S534</f>
        <v>-3.7955214595352373</v>
      </c>
      <c r="P310" s="712">
        <f>Bilans_E_AMS_Kyoto_run3_MTE!T534+Bilans_E_AMS_Kyoto_run3_MTE!U534</f>
        <v>0</v>
      </c>
      <c r="Q310" s="712">
        <f>Bilans_E_AMS_Kyoto_run3_MTE!V534</f>
        <v>0</v>
      </c>
      <c r="R310" s="712">
        <f>Bilans_E_AMS_Kyoto_run3_MTE!W534</f>
        <v>-28.679288227585289</v>
      </c>
      <c r="S310" s="712">
        <f>Bilans_E_AMS_Kyoto_run3_MTE!X534</f>
        <v>0</v>
      </c>
      <c r="T310" s="712">
        <f>Bilans_E_AMS_Kyoto_run3_MTE!Y534</f>
        <v>0</v>
      </c>
      <c r="U310" s="712">
        <f>Bilans_E_AMS_Kyoto_run3_MTE!Z534</f>
        <v>-44.576865065160248</v>
      </c>
      <c r="V310" s="701"/>
      <c r="W310" s="701"/>
    </row>
    <row r="311" spans="1:23" x14ac:dyDescent="0.25">
      <c r="A311" s="701" t="s">
        <v>490</v>
      </c>
      <c r="B311" s="701"/>
      <c r="C311" s="710" t="s">
        <v>62</v>
      </c>
      <c r="D311" s="711">
        <f>Bilans_E_AMS_Kyoto_run3_MTE!H535</f>
        <v>0</v>
      </c>
      <c r="E311" s="711">
        <f>Bilans_E_AMS_Kyoto_run3_MTE!I535</f>
        <v>0</v>
      </c>
      <c r="F311" s="711">
        <f>Bilans_E_AMS_Kyoto_run3_MTE!J535</f>
        <v>-1.2057976620084264E-3</v>
      </c>
      <c r="G311" s="711">
        <f>Bilans_E_AMS_Kyoto_run3_MTE!K535</f>
        <v>-2.8026264036035151</v>
      </c>
      <c r="H311" s="711">
        <f>Bilans_E_AMS_Kyoto_run3_MTE!L535</f>
        <v>0</v>
      </c>
      <c r="I311" s="711">
        <f>Bilans_E_AMS_Kyoto_run3_MTE!M535</f>
        <v>-2.8026264036035156</v>
      </c>
      <c r="J311" s="711">
        <f>Bilans_E_AMS_Kyoto_run3_MTE!N535</f>
        <v>0</v>
      </c>
      <c r="K311" s="711">
        <f>Bilans_E_AMS_Kyoto_run3_MTE!O535</f>
        <v>0</v>
      </c>
      <c r="L311" s="711">
        <f>Bilans_E_AMS_Kyoto_run3_MTE!P535</f>
        <v>0</v>
      </c>
      <c r="M311" s="711">
        <f>Bilans_E_AMS_Kyoto_run3_MTE!Q535</f>
        <v>0</v>
      </c>
      <c r="N311" s="711">
        <f>Bilans_E_AMS_Kyoto_run3_MTE!R535</f>
        <v>0</v>
      </c>
      <c r="O311" s="711">
        <f>Bilans_E_AMS_Kyoto_run3_MTE!S535</f>
        <v>-2.4289428831230464</v>
      </c>
      <c r="P311" s="711">
        <f>Bilans_E_AMS_Kyoto_run3_MTE!T535+Bilans_E_AMS_Kyoto_run3_MTE!U535</f>
        <v>0</v>
      </c>
      <c r="Q311" s="711">
        <f>Bilans_E_AMS_Kyoto_run3_MTE!V535</f>
        <v>0</v>
      </c>
      <c r="R311" s="711">
        <f>Bilans_E_AMS_Kyoto_run3_MTE!W535</f>
        <v>0</v>
      </c>
      <c r="S311" s="711">
        <f>Bilans_E_AMS_Kyoto_run3_MTE!X535</f>
        <v>0</v>
      </c>
      <c r="T311" s="711">
        <f>Bilans_E_AMS_Kyoto_run3_MTE!Y535</f>
        <v>-1.3066910843207444</v>
      </c>
      <c r="U311" s="711">
        <f>Bilans_E_AMS_Kyoto_run3_MTE!Z535</f>
        <v>-9.342092572312831</v>
      </c>
      <c r="V311" s="701"/>
      <c r="W311" s="701"/>
    </row>
    <row r="312" spans="1:23" x14ac:dyDescent="0.25">
      <c r="A312" s="701" t="s">
        <v>491</v>
      </c>
      <c r="B312" s="701"/>
      <c r="C312" s="710" t="s">
        <v>63</v>
      </c>
      <c r="D312" s="711">
        <f>Bilans_E_AMS_Kyoto_run3_MTE!H536</f>
        <v>0</v>
      </c>
      <c r="E312" s="711">
        <f>Bilans_E_AMS_Kyoto_run3_MTE!I536</f>
        <v>0</v>
      </c>
      <c r="F312" s="711">
        <f>Bilans_E_AMS_Kyoto_run3_MTE!J536</f>
        <v>-7</v>
      </c>
      <c r="G312" s="711">
        <f>Bilans_E_AMS_Kyoto_run3_MTE!K536</f>
        <v>-25</v>
      </c>
      <c r="H312" s="711">
        <f>Bilans_E_AMS_Kyoto_run3_MTE!L536</f>
        <v>0</v>
      </c>
      <c r="I312" s="711">
        <f>Bilans_E_AMS_Kyoto_run3_MTE!M536</f>
        <v>0</v>
      </c>
      <c r="J312" s="711">
        <f>Bilans_E_AMS_Kyoto_run3_MTE!N536</f>
        <v>0</v>
      </c>
      <c r="K312" s="711">
        <f>Bilans_E_AMS_Kyoto_run3_MTE!O536</f>
        <v>0</v>
      </c>
      <c r="L312" s="711">
        <f>Bilans_E_AMS_Kyoto_run3_MTE!P536</f>
        <v>0</v>
      </c>
      <c r="M312" s="711">
        <f>Bilans_E_AMS_Kyoto_run3_MTE!Q536</f>
        <v>0</v>
      </c>
      <c r="N312" s="711">
        <f>Bilans_E_AMS_Kyoto_run3_MTE!R536</f>
        <v>-17</v>
      </c>
      <c r="O312" s="711">
        <f>Bilans_E_AMS_Kyoto_run3_MTE!S536</f>
        <v>0</v>
      </c>
      <c r="P312" s="711">
        <f>Bilans_E_AMS_Kyoto_run3_MTE!T536+Bilans_E_AMS_Kyoto_run3_MTE!U536</f>
        <v>0</v>
      </c>
      <c r="Q312" s="711">
        <f>Bilans_E_AMS_Kyoto_run3_MTE!V536</f>
        <v>0</v>
      </c>
      <c r="R312" s="711">
        <f>Bilans_E_AMS_Kyoto_run3_MTE!W536</f>
        <v>0</v>
      </c>
      <c r="S312" s="711">
        <f>Bilans_E_AMS_Kyoto_run3_MTE!X536</f>
        <v>0</v>
      </c>
      <c r="T312" s="711">
        <f>Bilans_E_AMS_Kyoto_run3_MTE!Y536</f>
        <v>-8</v>
      </c>
      <c r="U312" s="711">
        <f>Bilans_E_AMS_Kyoto_run3_MTE!Z536</f>
        <v>-57</v>
      </c>
      <c r="V312" s="701"/>
      <c r="W312" s="701"/>
    </row>
    <row r="313" spans="1:23" x14ac:dyDescent="0.25">
      <c r="A313" s="701" t="s">
        <v>492</v>
      </c>
      <c r="B313" s="701"/>
      <c r="C313" s="710" t="s">
        <v>64</v>
      </c>
      <c r="D313" s="712">
        <f>Bilans_E_AMS_Kyoto_run3_MTE!H537</f>
        <v>0</v>
      </c>
      <c r="E313" s="712">
        <f>Bilans_E_AMS_Kyoto_run3_MTE!I537</f>
        <v>0</v>
      </c>
      <c r="F313" s="712">
        <f>Bilans_E_AMS_Kyoto_run3_MTE!J537</f>
        <v>0</v>
      </c>
      <c r="G313" s="712">
        <f>Bilans_E_AMS_Kyoto_run3_MTE!K537</f>
        <v>0</v>
      </c>
      <c r="H313" s="712">
        <f>Bilans_E_AMS_Kyoto_run3_MTE!L537</f>
        <v>0</v>
      </c>
      <c r="I313" s="712">
        <f>Bilans_E_AMS_Kyoto_run3_MTE!M537</f>
        <v>0</v>
      </c>
      <c r="J313" s="712">
        <f>Bilans_E_AMS_Kyoto_run3_MTE!N537</f>
        <v>0</v>
      </c>
      <c r="K313" s="712">
        <f>Bilans_E_AMS_Kyoto_run3_MTE!O537</f>
        <v>0</v>
      </c>
      <c r="L313" s="712">
        <f>Bilans_E_AMS_Kyoto_run3_MTE!P537</f>
        <v>0</v>
      </c>
      <c r="M313" s="712">
        <f>Bilans_E_AMS_Kyoto_run3_MTE!Q537</f>
        <v>0</v>
      </c>
      <c r="N313" s="712">
        <f>Bilans_E_AMS_Kyoto_run3_MTE!R537</f>
        <v>0</v>
      </c>
      <c r="O313" s="712">
        <f>Bilans_E_AMS_Kyoto_run3_MTE!S537</f>
        <v>0</v>
      </c>
      <c r="P313" s="712">
        <f>Bilans_E_AMS_Kyoto_run3_MTE!T537+Bilans_E_AMS_Kyoto_run3_MTE!U537</f>
        <v>0</v>
      </c>
      <c r="Q313" s="712">
        <f>Bilans_E_AMS_Kyoto_run3_MTE!V537</f>
        <v>0</v>
      </c>
      <c r="R313" s="712">
        <f>Bilans_E_AMS_Kyoto_run3_MTE!W537</f>
        <v>0</v>
      </c>
      <c r="S313" s="712">
        <f>Bilans_E_AMS_Kyoto_run3_MTE!X537</f>
        <v>0</v>
      </c>
      <c r="T313" s="712">
        <f>Bilans_E_AMS_Kyoto_run3_MTE!Y537</f>
        <v>0</v>
      </c>
      <c r="U313" s="712">
        <f>Bilans_E_AMS_Kyoto_run3_MTE!Z537</f>
        <v>0</v>
      </c>
      <c r="V313" s="701"/>
      <c r="W313" s="701"/>
    </row>
    <row r="314" spans="1:23" x14ac:dyDescent="0.25">
      <c r="A314" s="701" t="s">
        <v>493</v>
      </c>
      <c r="B314" s="701"/>
      <c r="C314" s="713" t="s">
        <v>65</v>
      </c>
      <c r="D314" s="714">
        <f>Bilans_E_AMS_Kyoto_run3_MTE!H538</f>
        <v>0</v>
      </c>
      <c r="E314" s="714">
        <f>Bilans_E_AMS_Kyoto_run3_MTE!I538</f>
        <v>58.863651738299311</v>
      </c>
      <c r="F314" s="714">
        <f>Bilans_E_AMS_Kyoto_run3_MTE!J538</f>
        <v>38.755466270016868</v>
      </c>
      <c r="G314" s="714">
        <f>Bilans_E_AMS_Kyoto_run3_MTE!K538</f>
        <v>-15.770467357858863</v>
      </c>
      <c r="H314" s="714">
        <f>Bilans_E_AMS_Kyoto_run3_MTE!L538</f>
        <v>7.019987079045241</v>
      </c>
      <c r="I314" s="714">
        <f>Bilans_E_AMS_Kyoto_run3_MTE!M538</f>
        <v>-2.8026264036035156</v>
      </c>
      <c r="J314" s="714">
        <f>Bilans_E_AMS_Kyoto_run3_MTE!N538</f>
        <v>807.37795933495636</v>
      </c>
      <c r="K314" s="714">
        <f>Bilans_E_AMS_Kyoto_run3_MTE!O538</f>
        <v>553.99388589395949</v>
      </c>
      <c r="L314" s="714">
        <f>Bilans_E_AMS_Kyoto_run3_MTE!P538</f>
        <v>424.07663332024731</v>
      </c>
      <c r="M314" s="714">
        <f>Bilans_E_AMS_Kyoto_run3_MTE!Q538</f>
        <v>43.888349788112322</v>
      </c>
      <c r="N314" s="714">
        <f>Bilans_E_AMS_Kyoto_run3_MTE!R538</f>
        <v>-29.102055378039722</v>
      </c>
      <c r="O314" s="714">
        <f>Bilans_E_AMS_Kyoto_run3_MTE!S538</f>
        <v>-6.2244643426582833</v>
      </c>
      <c r="P314" s="714">
        <f>Bilans_E_AMS_Kyoto_run3_MTE!T538+Bilans_E_AMS_Kyoto_run3_MTE!U538</f>
        <v>274.41854375041947</v>
      </c>
      <c r="Q314" s="714">
        <f>Bilans_E_AMS_Kyoto_run3_MTE!V538</f>
        <v>50.723080686002739</v>
      </c>
      <c r="R314" s="714">
        <f>Bilans_E_AMS_Kyoto_run3_MTE!W538</f>
        <v>-28.679288227585289</v>
      </c>
      <c r="S314" s="714">
        <f>Bilans_E_AMS_Kyoto_run3_MTE!X538</f>
        <v>0</v>
      </c>
      <c r="T314" s="714">
        <f>Bilans_E_AMS_Kyoto_run3_MTE!Y538</f>
        <v>-9.3066910843207449</v>
      </c>
      <c r="U314" s="714">
        <f>Bilans_E_AMS_Kyoto_run3_MTE!Z538</f>
        <v>2167.2319650669929</v>
      </c>
      <c r="V314" s="701"/>
      <c r="W314" s="701"/>
    </row>
    <row r="315" spans="1:23" x14ac:dyDescent="0.25">
      <c r="A315" s="701"/>
      <c r="B315" s="701"/>
      <c r="C315" s="715"/>
      <c r="D315" s="716"/>
      <c r="E315" s="716"/>
      <c r="F315" s="716"/>
      <c r="G315" s="716"/>
      <c r="H315" s="716"/>
      <c r="I315" s="716"/>
      <c r="J315" s="716"/>
      <c r="K315" s="716"/>
      <c r="L315" s="716"/>
      <c r="M315" s="716"/>
      <c r="N315" s="716"/>
      <c r="O315" s="716"/>
      <c r="P315" s="716">
        <f>Bilans_E_AMS_Kyoto_run3_MTE!T539+Bilans_E_AMS_Kyoto_run3_MTE!U539</f>
        <v>0</v>
      </c>
      <c r="Q315" s="716"/>
      <c r="R315" s="716"/>
      <c r="S315" s="716"/>
      <c r="T315" s="716"/>
      <c r="U315" s="716"/>
      <c r="V315" s="701"/>
      <c r="W315" s="701"/>
    </row>
    <row r="316" spans="1:23" x14ac:dyDescent="0.25">
      <c r="A316" s="701" t="s">
        <v>494</v>
      </c>
      <c r="B316" s="701"/>
      <c r="C316" s="717" t="s">
        <v>67</v>
      </c>
      <c r="D316" s="711">
        <f>Bilans_E_AMS_Kyoto_run3_MTE!H540</f>
        <v>0</v>
      </c>
      <c r="E316" s="711">
        <f>Bilans_E_AMS_Kyoto_run3_MTE!I540</f>
        <v>0</v>
      </c>
      <c r="F316" s="711">
        <f>Bilans_E_AMS_Kyoto_run3_MTE!J540</f>
        <v>0</v>
      </c>
      <c r="G316" s="711">
        <f>Bilans_E_AMS_Kyoto_run3_MTE!K540</f>
        <v>0</v>
      </c>
      <c r="H316" s="711">
        <f>Bilans_E_AMS_Kyoto_run3_MTE!L540</f>
        <v>0</v>
      </c>
      <c r="I316" s="711">
        <f>Bilans_E_AMS_Kyoto_run3_MTE!M540</f>
        <v>0</v>
      </c>
      <c r="J316" s="711">
        <f>Bilans_E_AMS_Kyoto_run3_MTE!N540</f>
        <v>0</v>
      </c>
      <c r="K316" s="711">
        <f>Bilans_E_AMS_Kyoto_run3_MTE!O540</f>
        <v>0</v>
      </c>
      <c r="L316" s="711">
        <f>Bilans_E_AMS_Kyoto_run3_MTE!P540</f>
        <v>0</v>
      </c>
      <c r="M316" s="711">
        <f>Bilans_E_AMS_Kyoto_run3_MTE!Q540</f>
        <v>0</v>
      </c>
      <c r="N316" s="711">
        <f>Bilans_E_AMS_Kyoto_run3_MTE!R540</f>
        <v>0</v>
      </c>
      <c r="O316" s="711">
        <f>Bilans_E_AMS_Kyoto_run3_MTE!S540</f>
        <v>0</v>
      </c>
      <c r="P316" s="711">
        <f>Bilans_E_AMS_Kyoto_run3_MTE!T540+Bilans_E_AMS_Kyoto_run3_MTE!U540</f>
        <v>0</v>
      </c>
      <c r="Q316" s="711">
        <f>Bilans_E_AMS_Kyoto_run3_MTE!V540</f>
        <v>0</v>
      </c>
      <c r="R316" s="711">
        <f>Bilans_E_AMS_Kyoto_run3_MTE!W540</f>
        <v>0</v>
      </c>
      <c r="S316" s="711">
        <f>Bilans_E_AMS_Kyoto_run3_MTE!X540</f>
        <v>0</v>
      </c>
      <c r="T316" s="711">
        <f>Bilans_E_AMS_Kyoto_run3_MTE!Y540</f>
        <v>0</v>
      </c>
      <c r="U316" s="711">
        <f>Bilans_E_AMS_Kyoto_run3_MTE!Z540</f>
        <v>0</v>
      </c>
      <c r="V316" s="701"/>
      <c r="W316" s="701"/>
    </row>
    <row r="317" spans="1:23" x14ac:dyDescent="0.25">
      <c r="A317" s="701" t="s">
        <v>495</v>
      </c>
      <c r="B317" s="701"/>
      <c r="C317" s="717" t="s">
        <v>347</v>
      </c>
      <c r="D317" s="711">
        <f>Bilans_E_AMS_Kyoto_run3_MTE!H541</f>
        <v>0</v>
      </c>
      <c r="E317" s="711">
        <f>Bilans_E_AMS_Kyoto_run3_MTE!I541</f>
        <v>0</v>
      </c>
      <c r="F317" s="711">
        <f>Bilans_E_AMS_Kyoto_run3_MTE!J541</f>
        <v>0</v>
      </c>
      <c r="G317" s="711">
        <f>Bilans_E_AMS_Kyoto_run3_MTE!K541</f>
        <v>0</v>
      </c>
      <c r="H317" s="711">
        <f>Bilans_E_AMS_Kyoto_run3_MTE!L541</f>
        <v>0</v>
      </c>
      <c r="I317" s="711">
        <f>Bilans_E_AMS_Kyoto_run3_MTE!M541</f>
        <v>0</v>
      </c>
      <c r="J317" s="711">
        <f>Bilans_E_AMS_Kyoto_run3_MTE!N541</f>
        <v>797.92981818181818</v>
      </c>
      <c r="K317" s="711">
        <f>Bilans_E_AMS_Kyoto_run3_MTE!O541</f>
        <v>553.99388589395949</v>
      </c>
      <c r="L317" s="711">
        <f>Bilans_E_AMS_Kyoto_run3_MTE!P541</f>
        <v>18.017312138261726</v>
      </c>
      <c r="M317" s="711">
        <f>Bilans_E_AMS_Kyoto_run3_MTE!Q541</f>
        <v>5.0359913785352379</v>
      </c>
      <c r="N317" s="711">
        <f>Bilans_E_AMS_Kyoto_run3_MTE!R541</f>
        <v>6.5561937148871507</v>
      </c>
      <c r="O317" s="711">
        <f>Bilans_E_AMS_Kyoto_run3_MTE!S541</f>
        <v>0.11704136254218823</v>
      </c>
      <c r="P317" s="711">
        <f>Bilans_E_AMS_Kyoto_run3_MTE!T541+Bilans_E_AMS_Kyoto_run3_MTE!U541</f>
        <v>0</v>
      </c>
      <c r="Q317" s="711">
        <f>Bilans_E_AMS_Kyoto_run3_MTE!V541</f>
        <v>6.7631767445353068</v>
      </c>
      <c r="R317" s="711">
        <f>Bilans_E_AMS_Kyoto_run3_MTE!W541</f>
        <v>-834.6881786149205</v>
      </c>
      <c r="S317" s="711">
        <f>Bilans_E_AMS_Kyoto_run3_MTE!X541</f>
        <v>0</v>
      </c>
      <c r="T317" s="711">
        <f>Bilans_E_AMS_Kyoto_run3_MTE!Y541</f>
        <v>0</v>
      </c>
      <c r="U317" s="711">
        <f>Bilans_E_AMS_Kyoto_run3_MTE!Z541</f>
        <v>553.72524079961875</v>
      </c>
      <c r="V317" s="701"/>
      <c r="W317" s="701"/>
    </row>
    <row r="318" spans="1:23" x14ac:dyDescent="0.25">
      <c r="A318" s="701" t="s">
        <v>496</v>
      </c>
      <c r="B318" s="701"/>
      <c r="C318" s="717" t="s">
        <v>348</v>
      </c>
      <c r="D318" s="711">
        <f>Bilans_E_AMS_Kyoto_run3_MTE!H542</f>
        <v>0</v>
      </c>
      <c r="E318" s="711">
        <f>Bilans_E_AMS_Kyoto_run3_MTE!I542</f>
        <v>0</v>
      </c>
      <c r="F318" s="711">
        <f>Bilans_E_AMS_Kyoto_run3_MTE!J542</f>
        <v>0</v>
      </c>
      <c r="G318" s="711">
        <f>Bilans_E_AMS_Kyoto_run3_MTE!K542</f>
        <v>0</v>
      </c>
      <c r="H318" s="711">
        <f>Bilans_E_AMS_Kyoto_run3_MTE!L542</f>
        <v>0</v>
      </c>
      <c r="I318" s="711">
        <f>Bilans_E_AMS_Kyoto_run3_MTE!M542</f>
        <v>0.44183816383617902</v>
      </c>
      <c r="J318" s="711">
        <f>Bilans_E_AMS_Kyoto_run3_MTE!N542</f>
        <v>9.448141153138188</v>
      </c>
      <c r="K318" s="711">
        <f>Bilans_E_AMS_Kyoto_run3_MTE!O542</f>
        <v>0</v>
      </c>
      <c r="L318" s="711">
        <f>Bilans_E_AMS_Kyoto_run3_MTE!P542</f>
        <v>23.543561697387847</v>
      </c>
      <c r="M318" s="711">
        <f>Bilans_E_AMS_Kyoto_run3_MTE!Q542</f>
        <v>10.266401321700496</v>
      </c>
      <c r="N318" s="711">
        <f>Bilans_E_AMS_Kyoto_run3_MTE!R542</f>
        <v>0</v>
      </c>
      <c r="O318" s="711">
        <f>Bilans_E_AMS_Kyoto_run3_MTE!S542</f>
        <v>8.4106289047241454</v>
      </c>
      <c r="P318" s="711">
        <f>Bilans_E_AMS_Kyoto_run3_MTE!T542+Bilans_E_AMS_Kyoto_run3_MTE!U542</f>
        <v>22.572621073808037</v>
      </c>
      <c r="Q318" s="711">
        <f>Bilans_E_AMS_Kyoto_run3_MTE!V542</f>
        <v>12.943396433622139</v>
      </c>
      <c r="R318" s="711">
        <f>Bilans_E_AMS_Kyoto_run3_MTE!W542</f>
        <v>0</v>
      </c>
      <c r="S318" s="711">
        <f>Bilans_E_AMS_Kyoto_run3_MTE!X542</f>
        <v>-82.703064296862223</v>
      </c>
      <c r="T318" s="711">
        <f>Bilans_E_AMS_Kyoto_run3_MTE!Y542</f>
        <v>0</v>
      </c>
      <c r="U318" s="711">
        <f>Bilans_E_AMS_Kyoto_run3_MTE!Z542</f>
        <v>4.9235244513548082</v>
      </c>
      <c r="V318" s="701"/>
      <c r="W318" s="701"/>
    </row>
    <row r="319" spans="1:23" x14ac:dyDescent="0.25">
      <c r="A319" s="701" t="s">
        <v>497</v>
      </c>
      <c r="B319" s="701"/>
      <c r="C319" s="717" t="s">
        <v>349</v>
      </c>
      <c r="D319" s="711">
        <f>Bilans_E_AMS_Kyoto_run3_MTE!H543</f>
        <v>0</v>
      </c>
      <c r="E319" s="711">
        <f>Bilans_E_AMS_Kyoto_run3_MTE!I543</f>
        <v>0</v>
      </c>
      <c r="F319" s="711">
        <f>Bilans_E_AMS_Kyoto_run3_MTE!J543</f>
        <v>0</v>
      </c>
      <c r="G319" s="711">
        <f>Bilans_E_AMS_Kyoto_run3_MTE!K543</f>
        <v>0</v>
      </c>
      <c r="H319" s="711">
        <f>Bilans_E_AMS_Kyoto_run3_MTE!L543</f>
        <v>0</v>
      </c>
      <c r="I319" s="711">
        <f>Bilans_E_AMS_Kyoto_run3_MTE!M543</f>
        <v>0</v>
      </c>
      <c r="J319" s="711">
        <f>Bilans_E_AMS_Kyoto_run3_MTE!N543</f>
        <v>0</v>
      </c>
      <c r="K319" s="711">
        <f>Bilans_E_AMS_Kyoto_run3_MTE!O543</f>
        <v>0</v>
      </c>
      <c r="L319" s="711">
        <f>Bilans_E_AMS_Kyoto_run3_MTE!P543</f>
        <v>177.56965686689</v>
      </c>
      <c r="M319" s="711">
        <f>Bilans_E_AMS_Kyoto_run3_MTE!Q543</f>
        <v>14.007374273227594</v>
      </c>
      <c r="N319" s="711">
        <f>Bilans_E_AMS_Kyoto_run3_MTE!R543</f>
        <v>0</v>
      </c>
      <c r="O319" s="711">
        <f>Bilans_E_AMS_Kyoto_run3_MTE!S543</f>
        <v>-95.874066928158982</v>
      </c>
      <c r="P319" s="711">
        <f>Bilans_E_AMS_Kyoto_run3_MTE!T543+Bilans_E_AMS_Kyoto_run3_MTE!U543</f>
        <v>0</v>
      </c>
      <c r="Q319" s="711">
        <f>Bilans_E_AMS_Kyoto_run3_MTE!V543</f>
        <v>0</v>
      </c>
      <c r="R319" s="711">
        <f>Bilans_E_AMS_Kyoto_run3_MTE!W543</f>
        <v>0</v>
      </c>
      <c r="S319" s="711">
        <f>Bilans_E_AMS_Kyoto_run3_MTE!X543</f>
        <v>0</v>
      </c>
      <c r="T319" s="711">
        <f>Bilans_E_AMS_Kyoto_run3_MTE!Y543</f>
        <v>0</v>
      </c>
      <c r="U319" s="711">
        <f>Bilans_E_AMS_Kyoto_run3_MTE!Z543</f>
        <v>95.702964211958601</v>
      </c>
      <c r="V319" s="701"/>
      <c r="W319" s="701"/>
    </row>
    <row r="320" spans="1:23" x14ac:dyDescent="0.25">
      <c r="A320" s="701" t="s">
        <v>498</v>
      </c>
      <c r="B320" s="701"/>
      <c r="C320" s="717" t="s">
        <v>350</v>
      </c>
      <c r="D320" s="711">
        <f>Bilans_E_AMS_Kyoto_run3_MTE!H544</f>
        <v>0</v>
      </c>
      <c r="E320" s="711">
        <f>Bilans_E_AMS_Kyoto_run3_MTE!I544</f>
        <v>0</v>
      </c>
      <c r="F320" s="711">
        <f>Bilans_E_AMS_Kyoto_run3_MTE!J544</f>
        <v>0</v>
      </c>
      <c r="G320" s="711">
        <f>Bilans_E_AMS_Kyoto_run3_MTE!K544</f>
        <v>0</v>
      </c>
      <c r="H320" s="711">
        <f>Bilans_E_AMS_Kyoto_run3_MTE!L544</f>
        <v>0</v>
      </c>
      <c r="I320" s="711">
        <f>Bilans_E_AMS_Kyoto_run3_MTE!M544</f>
        <v>-7.5120211335666909</v>
      </c>
      <c r="J320" s="711">
        <f>Bilans_E_AMS_Kyoto_run3_MTE!N544</f>
        <v>0</v>
      </c>
      <c r="K320" s="711">
        <f>Bilans_E_AMS_Kyoto_run3_MTE!O544</f>
        <v>0</v>
      </c>
      <c r="L320" s="711">
        <f>Bilans_E_AMS_Kyoto_run3_MTE!P544</f>
        <v>0</v>
      </c>
      <c r="M320" s="711">
        <f>Bilans_E_AMS_Kyoto_run3_MTE!Q544</f>
        <v>0</v>
      </c>
      <c r="N320" s="711">
        <f>Bilans_E_AMS_Kyoto_run3_MTE!R544</f>
        <v>0</v>
      </c>
      <c r="O320" s="711">
        <f>Bilans_E_AMS_Kyoto_run3_MTE!S544</f>
        <v>0</v>
      </c>
      <c r="P320" s="711">
        <f>Bilans_E_AMS_Kyoto_run3_MTE!T544+Bilans_E_AMS_Kyoto_run3_MTE!U544</f>
        <v>0</v>
      </c>
      <c r="Q320" s="711">
        <f>Bilans_E_AMS_Kyoto_run3_MTE!V544</f>
        <v>0</v>
      </c>
      <c r="R320" s="711">
        <f>Bilans_E_AMS_Kyoto_run3_MTE!W544</f>
        <v>0</v>
      </c>
      <c r="S320" s="711">
        <f>Bilans_E_AMS_Kyoto_run3_MTE!X544</f>
        <v>0</v>
      </c>
      <c r="T320" s="711">
        <f>Bilans_E_AMS_Kyoto_run3_MTE!Y544</f>
        <v>10.395912432015363</v>
      </c>
      <c r="U320" s="711">
        <f>Bilans_E_AMS_Kyoto_run3_MTE!Z544</f>
        <v>2.8838912984486722</v>
      </c>
      <c r="V320" s="701"/>
      <c r="W320" s="701"/>
    </row>
    <row r="321" spans="1:23" x14ac:dyDescent="0.25">
      <c r="A321" s="701" t="s">
        <v>499</v>
      </c>
      <c r="B321" s="701"/>
      <c r="C321" s="717" t="s">
        <v>72</v>
      </c>
      <c r="D321" s="711">
        <f>Bilans_E_AMS_Kyoto_run3_MTE!H545</f>
        <v>0</v>
      </c>
      <c r="E321" s="711">
        <f>Bilans_E_AMS_Kyoto_run3_MTE!I545</f>
        <v>60.999648796706254</v>
      </c>
      <c r="F321" s="711">
        <f>Bilans_E_AMS_Kyoto_run3_MTE!J545</f>
        <v>-60.389652308739187</v>
      </c>
      <c r="G321" s="711">
        <f>Bilans_E_AMS_Kyoto_run3_MTE!K545</f>
        <v>0</v>
      </c>
      <c r="H321" s="711">
        <f>Bilans_E_AMS_Kyoto_run3_MTE!L545</f>
        <v>0</v>
      </c>
      <c r="I321" s="711">
        <f>Bilans_E_AMS_Kyoto_run3_MTE!M545</f>
        <v>0</v>
      </c>
      <c r="J321" s="711">
        <f>Bilans_E_AMS_Kyoto_run3_MTE!N545</f>
        <v>0</v>
      </c>
      <c r="K321" s="711">
        <f>Bilans_E_AMS_Kyoto_run3_MTE!O545</f>
        <v>0</v>
      </c>
      <c r="L321" s="711">
        <f>Bilans_E_AMS_Kyoto_run3_MTE!P545</f>
        <v>0</v>
      </c>
      <c r="M321" s="711">
        <f>Bilans_E_AMS_Kyoto_run3_MTE!Q545</f>
        <v>0</v>
      </c>
      <c r="N321" s="711">
        <f>Bilans_E_AMS_Kyoto_run3_MTE!R545</f>
        <v>0</v>
      </c>
      <c r="O321" s="711">
        <f>Bilans_E_AMS_Kyoto_run3_MTE!S545</f>
        <v>0</v>
      </c>
      <c r="P321" s="711">
        <f>Bilans_E_AMS_Kyoto_run3_MTE!T545+Bilans_E_AMS_Kyoto_run3_MTE!U545</f>
        <v>0</v>
      </c>
      <c r="Q321" s="711">
        <f>Bilans_E_AMS_Kyoto_run3_MTE!V545</f>
        <v>0</v>
      </c>
      <c r="R321" s="711">
        <f>Bilans_E_AMS_Kyoto_run3_MTE!W545</f>
        <v>0</v>
      </c>
      <c r="S321" s="711">
        <f>Bilans_E_AMS_Kyoto_run3_MTE!X545</f>
        <v>0</v>
      </c>
      <c r="T321" s="711">
        <f>Bilans_E_AMS_Kyoto_run3_MTE!Y545</f>
        <v>0</v>
      </c>
      <c r="U321" s="711">
        <f>Bilans_E_AMS_Kyoto_run3_MTE!Z545</f>
        <v>0.60999648796706651</v>
      </c>
      <c r="V321" s="701"/>
      <c r="W321" s="701"/>
    </row>
    <row r="322" spans="1:23" x14ac:dyDescent="0.25">
      <c r="A322" s="701" t="s">
        <v>500</v>
      </c>
      <c r="B322" s="701"/>
      <c r="C322" s="717" t="s">
        <v>351</v>
      </c>
      <c r="D322" s="711">
        <f>Bilans_E_AMS_Kyoto_run3_MTE!H546</f>
        <v>0</v>
      </c>
      <c r="E322" s="711">
        <f>Bilans_E_AMS_Kyoto_run3_MTE!I546</f>
        <v>0</v>
      </c>
      <c r="F322" s="711">
        <f>Bilans_E_AMS_Kyoto_run3_MTE!J546</f>
        <v>0</v>
      </c>
      <c r="G322" s="711">
        <f>Bilans_E_AMS_Kyoto_run3_MTE!K546</f>
        <v>0</v>
      </c>
      <c r="H322" s="711">
        <f>Bilans_E_AMS_Kyoto_run3_MTE!L546</f>
        <v>0</v>
      </c>
      <c r="I322" s="711">
        <f>Bilans_E_AMS_Kyoto_run3_MTE!M546</f>
        <v>0</v>
      </c>
      <c r="J322" s="711">
        <f>Bilans_E_AMS_Kyoto_run3_MTE!N546</f>
        <v>0</v>
      </c>
      <c r="K322" s="711">
        <f>Bilans_E_AMS_Kyoto_run3_MTE!O546</f>
        <v>0</v>
      </c>
      <c r="L322" s="711">
        <f>Bilans_E_AMS_Kyoto_run3_MTE!P546</f>
        <v>112.15319289997592</v>
      </c>
      <c r="M322" s="711">
        <f>Bilans_E_AMS_Kyoto_run3_MTE!Q546</f>
        <v>7.2727272727272725</v>
      </c>
      <c r="N322" s="711">
        <f>Bilans_E_AMS_Kyoto_run3_MTE!R546</f>
        <v>-66.38461722515251</v>
      </c>
      <c r="O322" s="711">
        <f>Bilans_E_AMS_Kyoto_run3_MTE!S546</f>
        <v>0</v>
      </c>
      <c r="P322" s="711">
        <f>Bilans_E_AMS_Kyoto_run3_MTE!T546+Bilans_E_AMS_Kyoto_run3_MTE!U546</f>
        <v>0</v>
      </c>
      <c r="Q322" s="711">
        <f>Bilans_E_AMS_Kyoto_run3_MTE!V546</f>
        <v>0</v>
      </c>
      <c r="R322" s="711">
        <f>Bilans_E_AMS_Kyoto_run3_MTE!W546</f>
        <v>0</v>
      </c>
      <c r="S322" s="711">
        <f>Bilans_E_AMS_Kyoto_run3_MTE!X546</f>
        <v>0</v>
      </c>
      <c r="T322" s="711">
        <f>Bilans_E_AMS_Kyoto_run3_MTE!Y546</f>
        <v>0</v>
      </c>
      <c r="U322" s="711">
        <f>Bilans_E_AMS_Kyoto_run3_MTE!Z546</f>
        <v>53.041302947550676</v>
      </c>
      <c r="V322" s="701"/>
      <c r="W322" s="701"/>
    </row>
    <row r="323" spans="1:23" x14ac:dyDescent="0.25">
      <c r="A323" s="701" t="s">
        <v>501</v>
      </c>
      <c r="B323" s="701"/>
      <c r="C323" s="717" t="s">
        <v>352</v>
      </c>
      <c r="D323" s="711">
        <f>Bilans_E_AMS_Kyoto_run3_MTE!H547</f>
        <v>0</v>
      </c>
      <c r="E323" s="711">
        <f>Bilans_E_AMS_Kyoto_run3_MTE!I547</f>
        <v>0</v>
      </c>
      <c r="F323" s="711">
        <f>Bilans_E_AMS_Kyoto_run3_MTE!J547</f>
        <v>0</v>
      </c>
      <c r="G323" s="711">
        <f>Bilans_E_AMS_Kyoto_run3_MTE!K547</f>
        <v>-24.740126403603515</v>
      </c>
      <c r="H323" s="711">
        <f>Bilans_E_AMS_Kyoto_run3_MTE!L547</f>
        <v>0</v>
      </c>
      <c r="I323" s="711">
        <f>Bilans_E_AMS_Kyoto_run3_MTE!M547</f>
        <v>0</v>
      </c>
      <c r="J323" s="711">
        <f>Bilans_E_AMS_Kyoto_run3_MTE!N547</f>
        <v>0</v>
      </c>
      <c r="K323" s="711">
        <f>Bilans_E_AMS_Kyoto_run3_MTE!O547</f>
        <v>0</v>
      </c>
      <c r="L323" s="711">
        <f>Bilans_E_AMS_Kyoto_run3_MTE!P547</f>
        <v>0</v>
      </c>
      <c r="M323" s="711">
        <f>Bilans_E_AMS_Kyoto_run3_MTE!Q547</f>
        <v>0</v>
      </c>
      <c r="N323" s="711">
        <f>Bilans_E_AMS_Kyoto_run3_MTE!R547</f>
        <v>0</v>
      </c>
      <c r="O323" s="711">
        <f>Bilans_E_AMS_Kyoto_run3_MTE!S547</f>
        <v>0</v>
      </c>
      <c r="P323" s="711">
        <f>Bilans_E_AMS_Kyoto_run3_MTE!T547+Bilans_E_AMS_Kyoto_run3_MTE!U547</f>
        <v>0</v>
      </c>
      <c r="Q323" s="711">
        <f>Bilans_E_AMS_Kyoto_run3_MTE!V547</f>
        <v>0</v>
      </c>
      <c r="R323" s="711">
        <f>Bilans_E_AMS_Kyoto_run3_MTE!W547</f>
        <v>0</v>
      </c>
      <c r="S323" s="711">
        <f>Bilans_E_AMS_Kyoto_run3_MTE!X547</f>
        <v>0</v>
      </c>
      <c r="T323" s="711">
        <f>Bilans_E_AMS_Kyoto_run3_MTE!Y547</f>
        <v>41.692889043963866</v>
      </c>
      <c r="U323" s="711">
        <f>Bilans_E_AMS_Kyoto_run3_MTE!Z547</f>
        <v>16.952762640360351</v>
      </c>
      <c r="V323" s="701"/>
      <c r="W323" s="701"/>
    </row>
    <row r="324" spans="1:23" x14ac:dyDescent="0.25">
      <c r="A324" s="701" t="s">
        <v>502</v>
      </c>
      <c r="B324" s="701"/>
      <c r="C324" s="717" t="s">
        <v>73</v>
      </c>
      <c r="D324" s="711">
        <f>Bilans_E_AMS_Kyoto_run3_MTE!H548</f>
        <v>0</v>
      </c>
      <c r="E324" s="711">
        <f>Bilans_E_AMS_Kyoto_run3_MTE!I548</f>
        <v>0</v>
      </c>
      <c r="F324" s="711">
        <f>Bilans_E_AMS_Kyoto_run3_MTE!J548</f>
        <v>0</v>
      </c>
      <c r="G324" s="711">
        <f>Bilans_E_AMS_Kyoto_run3_MTE!K548</f>
        <v>0</v>
      </c>
      <c r="H324" s="711">
        <f>Bilans_E_AMS_Kyoto_run3_MTE!L548</f>
        <v>0</v>
      </c>
      <c r="I324" s="711">
        <f>Bilans_E_AMS_Kyoto_run3_MTE!M548</f>
        <v>0</v>
      </c>
      <c r="J324" s="711">
        <f>Bilans_E_AMS_Kyoto_run3_MTE!N548</f>
        <v>0</v>
      </c>
      <c r="K324" s="711">
        <f>Bilans_E_AMS_Kyoto_run3_MTE!O548</f>
        <v>0</v>
      </c>
      <c r="L324" s="711">
        <f>Bilans_E_AMS_Kyoto_run3_MTE!P548</f>
        <v>0</v>
      </c>
      <c r="M324" s="711">
        <f>Bilans_E_AMS_Kyoto_run3_MTE!Q548</f>
        <v>0</v>
      </c>
      <c r="N324" s="711">
        <f>Bilans_E_AMS_Kyoto_run3_MTE!R548</f>
        <v>0</v>
      </c>
      <c r="O324" s="711">
        <f>Bilans_E_AMS_Kyoto_run3_MTE!S548</f>
        <v>0</v>
      </c>
      <c r="P324" s="711">
        <f>Bilans_E_AMS_Kyoto_run3_MTE!T548+Bilans_E_AMS_Kyoto_run3_MTE!U548</f>
        <v>0</v>
      </c>
      <c r="Q324" s="711">
        <f>Bilans_E_AMS_Kyoto_run3_MTE!V548</f>
        <v>0</v>
      </c>
      <c r="R324" s="711">
        <f>Bilans_E_AMS_Kyoto_run3_MTE!W548</f>
        <v>127.55076516290167</v>
      </c>
      <c r="S324" s="711">
        <f>Bilans_E_AMS_Kyoto_run3_MTE!X548</f>
        <v>0</v>
      </c>
      <c r="T324" s="711">
        <f>Bilans_E_AMS_Kyoto_run3_MTE!Y548</f>
        <v>-91.836550917289202</v>
      </c>
      <c r="U324" s="711">
        <f>Bilans_E_AMS_Kyoto_run3_MTE!Z548</f>
        <v>35.714214245612467</v>
      </c>
      <c r="V324" s="701"/>
      <c r="W324" s="701"/>
    </row>
    <row r="325" spans="1:23" x14ac:dyDescent="0.25">
      <c r="A325" s="701" t="s">
        <v>503</v>
      </c>
      <c r="B325" s="701"/>
      <c r="C325" s="717" t="s">
        <v>353</v>
      </c>
      <c r="D325" s="711">
        <f>Bilans_E_AMS_Kyoto_run3_MTE!H549</f>
        <v>0</v>
      </c>
      <c r="E325" s="711">
        <f>Bilans_E_AMS_Kyoto_run3_MTE!I549</f>
        <v>-2.1359970584069448</v>
      </c>
      <c r="F325" s="711">
        <f>Bilans_E_AMS_Kyoto_run3_MTE!J549</f>
        <v>2.9254988687511099</v>
      </c>
      <c r="G325" s="711">
        <f>Bilans_E_AMS_Kyoto_run3_MTE!K549</f>
        <v>0</v>
      </c>
      <c r="H325" s="711">
        <f>Bilans_E_AMS_Kyoto_run3_MTE!L549</f>
        <v>0</v>
      </c>
      <c r="I325" s="711">
        <f>Bilans_E_AMS_Kyoto_run3_MTE!M549</f>
        <v>0</v>
      </c>
      <c r="J325" s="711">
        <f>Bilans_E_AMS_Kyoto_run3_MTE!N549</f>
        <v>0</v>
      </c>
      <c r="K325" s="711">
        <f>Bilans_E_AMS_Kyoto_run3_MTE!O549</f>
        <v>0</v>
      </c>
      <c r="L325" s="711">
        <f>Bilans_E_AMS_Kyoto_run3_MTE!P549</f>
        <v>0</v>
      </c>
      <c r="M325" s="711">
        <f>Bilans_E_AMS_Kyoto_run3_MTE!Q549</f>
        <v>0</v>
      </c>
      <c r="N325" s="711">
        <f>Bilans_E_AMS_Kyoto_run3_MTE!R549</f>
        <v>0</v>
      </c>
      <c r="O325" s="711">
        <f>Bilans_E_AMS_Kyoto_run3_MTE!S549</f>
        <v>0</v>
      </c>
      <c r="P325" s="711">
        <f>Bilans_E_AMS_Kyoto_run3_MTE!T549+Bilans_E_AMS_Kyoto_run3_MTE!U549</f>
        <v>0</v>
      </c>
      <c r="Q325" s="711">
        <f>Bilans_E_AMS_Kyoto_run3_MTE!V549</f>
        <v>0</v>
      </c>
      <c r="R325" s="711">
        <f>Bilans_E_AMS_Kyoto_run3_MTE!W549</f>
        <v>0</v>
      </c>
      <c r="S325" s="711">
        <f>Bilans_E_AMS_Kyoto_run3_MTE!X549</f>
        <v>0</v>
      </c>
      <c r="T325" s="711">
        <f>Bilans_E_AMS_Kyoto_run3_MTE!Y549</f>
        <v>0</v>
      </c>
      <c r="U325" s="711">
        <f>Bilans_E_AMS_Kyoto_run3_MTE!Z549</f>
        <v>0.78950181034416511</v>
      </c>
      <c r="V325" s="701"/>
      <c r="W325" s="701"/>
    </row>
    <row r="326" spans="1:23" x14ac:dyDescent="0.25">
      <c r="A326" s="701" t="s">
        <v>504</v>
      </c>
      <c r="B326" s="701"/>
      <c r="C326" s="717" t="s">
        <v>75</v>
      </c>
      <c r="D326" s="711">
        <f>Bilans_E_AMS_Kyoto_run3_MTE!H550</f>
        <v>0</v>
      </c>
      <c r="E326" s="711">
        <f>Bilans_E_AMS_Kyoto_run3_MTE!I550</f>
        <v>0</v>
      </c>
      <c r="F326" s="711">
        <f>Bilans_E_AMS_Kyoto_run3_MTE!J550</f>
        <v>2.205240968493043</v>
      </c>
      <c r="G326" s="711">
        <f>Bilans_E_AMS_Kyoto_run3_MTE!K550</f>
        <v>0</v>
      </c>
      <c r="H326" s="711">
        <f>Bilans_E_AMS_Kyoto_run3_MTE!L550</f>
        <v>0</v>
      </c>
      <c r="I326" s="711">
        <f>Bilans_E_AMS_Kyoto_run3_MTE!M550</f>
        <v>0</v>
      </c>
      <c r="J326" s="711">
        <f>Bilans_E_AMS_Kyoto_run3_MTE!N550</f>
        <v>0</v>
      </c>
      <c r="K326" s="711">
        <f>Bilans_E_AMS_Kyoto_run3_MTE!O550</f>
        <v>0</v>
      </c>
      <c r="L326" s="711">
        <f>Bilans_E_AMS_Kyoto_run3_MTE!P550</f>
        <v>0</v>
      </c>
      <c r="M326" s="711">
        <f>Bilans_E_AMS_Kyoto_run3_MTE!Q550</f>
        <v>0</v>
      </c>
      <c r="N326" s="711">
        <f>Bilans_E_AMS_Kyoto_run3_MTE!R550</f>
        <v>0</v>
      </c>
      <c r="O326" s="711">
        <f>Bilans_E_AMS_Kyoto_run3_MTE!S550</f>
        <v>0</v>
      </c>
      <c r="P326" s="711">
        <f>Bilans_E_AMS_Kyoto_run3_MTE!T550+Bilans_E_AMS_Kyoto_run3_MTE!U550</f>
        <v>0</v>
      </c>
      <c r="Q326" s="711">
        <f>Bilans_E_AMS_Kyoto_run3_MTE!V550</f>
        <v>0</v>
      </c>
      <c r="R326" s="711">
        <f>Bilans_E_AMS_Kyoto_run3_MTE!W550</f>
        <v>37.68086569149628</v>
      </c>
      <c r="S326" s="711">
        <f>Bilans_E_AMS_Kyoto_run3_MTE!X550</f>
        <v>0</v>
      </c>
      <c r="T326" s="711">
        <f>Bilans_E_AMS_Kyoto_run3_MTE!Y550</f>
        <v>0.6</v>
      </c>
      <c r="U326" s="711">
        <f>Bilans_E_AMS_Kyoto_run3_MTE!Z550</f>
        <v>40.486106659989325</v>
      </c>
      <c r="V326" s="701"/>
      <c r="W326" s="701"/>
    </row>
    <row r="327" spans="1:23" x14ac:dyDescent="0.25">
      <c r="A327" s="701" t="s">
        <v>505</v>
      </c>
      <c r="B327" s="701"/>
      <c r="C327" s="717" t="s">
        <v>76</v>
      </c>
      <c r="D327" s="711">
        <f>Bilans_E_AMS_Kyoto_run3_MTE!H551</f>
        <v>0</v>
      </c>
      <c r="E327" s="711">
        <f>Bilans_E_AMS_Kyoto_run3_MTE!I551</f>
        <v>0</v>
      </c>
      <c r="F327" s="711">
        <f>Bilans_E_AMS_Kyoto_run3_MTE!J551</f>
        <v>0</v>
      </c>
      <c r="G327" s="711">
        <f>Bilans_E_AMS_Kyoto_run3_MTE!K551</f>
        <v>0</v>
      </c>
      <c r="H327" s="711">
        <f>Bilans_E_AMS_Kyoto_run3_MTE!L551</f>
        <v>0</v>
      </c>
      <c r="I327" s="711">
        <f>Bilans_E_AMS_Kyoto_run3_MTE!M551</f>
        <v>5.5842625256480344E-2</v>
      </c>
      <c r="J327" s="711">
        <f>Bilans_E_AMS_Kyoto_run3_MTE!N551</f>
        <v>0</v>
      </c>
      <c r="K327" s="711">
        <f>Bilans_E_AMS_Kyoto_run3_MTE!O551</f>
        <v>0</v>
      </c>
      <c r="L327" s="711">
        <f>Bilans_E_AMS_Kyoto_run3_MTE!P551</f>
        <v>0</v>
      </c>
      <c r="M327" s="711">
        <f>Bilans_E_AMS_Kyoto_run3_MTE!Q551</f>
        <v>0</v>
      </c>
      <c r="N327" s="711">
        <f>Bilans_E_AMS_Kyoto_run3_MTE!R551</f>
        <v>0</v>
      </c>
      <c r="O327" s="711">
        <f>Bilans_E_AMS_Kyoto_run3_MTE!S551</f>
        <v>1.0610098798731264</v>
      </c>
      <c r="P327" s="711">
        <f>Bilans_E_AMS_Kyoto_run3_MTE!T551+Bilans_E_AMS_Kyoto_run3_MTE!U551</f>
        <v>0</v>
      </c>
      <c r="Q327" s="711">
        <f>Bilans_E_AMS_Kyoto_run3_MTE!V551</f>
        <v>0</v>
      </c>
      <c r="R327" s="711">
        <f>Bilans_E_AMS_Kyoto_run3_MTE!W551</f>
        <v>65.840203439882671</v>
      </c>
      <c r="S327" s="711">
        <f>Bilans_E_AMS_Kyoto_run3_MTE!X551</f>
        <v>6.4136709376113741</v>
      </c>
      <c r="T327" s="711">
        <f>Bilans_E_AMS_Kyoto_run3_MTE!Y551</f>
        <v>0</v>
      </c>
      <c r="U327" s="711">
        <f>Bilans_E_AMS_Kyoto_run3_MTE!Z551</f>
        <v>73.370726882623643</v>
      </c>
      <c r="V327" s="701"/>
      <c r="W327" s="701"/>
    </row>
    <row r="328" spans="1:23" x14ac:dyDescent="0.25">
      <c r="A328" s="701" t="s">
        <v>506</v>
      </c>
      <c r="B328" s="701"/>
      <c r="C328" s="713" t="s">
        <v>77</v>
      </c>
      <c r="D328" s="714">
        <f>Bilans_E_AMS_Kyoto_run3_MTE!H552</f>
        <v>0</v>
      </c>
      <c r="E328" s="714">
        <f>Bilans_E_AMS_Kyoto_run3_MTE!I552</f>
        <v>58.863651738299311</v>
      </c>
      <c r="F328" s="714">
        <f>Bilans_E_AMS_Kyoto_run3_MTE!J552</f>
        <v>-55.25891247149503</v>
      </c>
      <c r="G328" s="714">
        <f>Bilans_E_AMS_Kyoto_run3_MTE!K552</f>
        <v>-24.740126403603515</v>
      </c>
      <c r="H328" s="714">
        <f>Bilans_E_AMS_Kyoto_run3_MTE!L552</f>
        <v>0</v>
      </c>
      <c r="I328" s="714">
        <f>Bilans_E_AMS_Kyoto_run3_MTE!M552</f>
        <v>-7.0143403444740313</v>
      </c>
      <c r="J328" s="714">
        <f>Bilans_E_AMS_Kyoto_run3_MTE!N552</f>
        <v>807.37795933495636</v>
      </c>
      <c r="K328" s="714">
        <f>Bilans_E_AMS_Kyoto_run3_MTE!O552</f>
        <v>553.99388589395949</v>
      </c>
      <c r="L328" s="714">
        <f>Bilans_E_AMS_Kyoto_run3_MTE!P552</f>
        <v>331.28372360251547</v>
      </c>
      <c r="M328" s="714">
        <f>Bilans_E_AMS_Kyoto_run3_MTE!Q552</f>
        <v>36.582494246190599</v>
      </c>
      <c r="N328" s="714">
        <f>Bilans_E_AMS_Kyoto_run3_MTE!R552</f>
        <v>-59.82842351026536</v>
      </c>
      <c r="O328" s="714">
        <f>Bilans_E_AMS_Kyoto_run3_MTE!S552</f>
        <v>-86.285386781019525</v>
      </c>
      <c r="P328" s="714">
        <f>Bilans_E_AMS_Kyoto_run3_MTE!T552+Bilans_E_AMS_Kyoto_run3_MTE!U552</f>
        <v>22.572621073808037</v>
      </c>
      <c r="Q328" s="714">
        <f>Bilans_E_AMS_Kyoto_run3_MTE!V552</f>
        <v>19.706573178157445</v>
      </c>
      <c r="R328" s="714">
        <f>Bilans_E_AMS_Kyoto_run3_MTE!W552</f>
        <v>-603.61634432063988</v>
      </c>
      <c r="S328" s="714">
        <f>Bilans_E_AMS_Kyoto_run3_MTE!X552</f>
        <v>-76.289393359250852</v>
      </c>
      <c r="T328" s="714">
        <f>Bilans_E_AMS_Kyoto_run3_MTE!Y552</f>
        <v>-39.147749441309969</v>
      </c>
      <c r="U328" s="714">
        <f>Bilans_E_AMS_Kyoto_run3_MTE!Z552</f>
        <v>878.20023243582853</v>
      </c>
      <c r="V328" s="701"/>
      <c r="W328" s="701"/>
    </row>
    <row r="329" spans="1:23" x14ac:dyDescent="0.25">
      <c r="A329" s="701"/>
      <c r="B329" s="701"/>
      <c r="C329" s="715"/>
      <c r="D329" s="716"/>
      <c r="E329" s="716"/>
      <c r="F329" s="716"/>
      <c r="G329" s="716"/>
      <c r="H329" s="716"/>
      <c r="I329" s="716"/>
      <c r="J329" s="716"/>
      <c r="K329" s="716"/>
      <c r="L329" s="716"/>
      <c r="M329" s="716"/>
      <c r="N329" s="716"/>
      <c r="O329" s="716"/>
      <c r="P329" s="716">
        <f>Bilans_E_AMS_Kyoto_run3_MTE!T553+Bilans_E_AMS_Kyoto_run3_MTE!U553</f>
        <v>0</v>
      </c>
      <c r="Q329" s="716"/>
      <c r="R329" s="716"/>
      <c r="S329" s="716"/>
      <c r="T329" s="716"/>
      <c r="U329" s="716"/>
      <c r="V329" s="701"/>
      <c r="W329" s="701"/>
    </row>
    <row r="330" spans="1:23" x14ac:dyDescent="0.25">
      <c r="A330" s="701" t="s">
        <v>507</v>
      </c>
      <c r="B330" s="701"/>
      <c r="C330" s="717" t="s">
        <v>78</v>
      </c>
      <c r="D330" s="711">
        <f>Bilans_E_AMS_Kyoto_run3_MTE!H554</f>
        <v>0</v>
      </c>
      <c r="E330" s="711">
        <f>Bilans_E_AMS_Kyoto_run3_MTE!I554</f>
        <v>0</v>
      </c>
      <c r="F330" s="711">
        <f>Bilans_E_AMS_Kyoto_run3_MTE!J554</f>
        <v>0</v>
      </c>
      <c r="G330" s="711">
        <f>Bilans_E_AMS_Kyoto_run3_MTE!K554</f>
        <v>0</v>
      </c>
      <c r="H330" s="711">
        <f>Bilans_E_AMS_Kyoto_run3_MTE!L554</f>
        <v>0</v>
      </c>
      <c r="I330" s="711">
        <f>Bilans_E_AMS_Kyoto_run3_MTE!M554</f>
        <v>1.991498553291184</v>
      </c>
      <c r="J330" s="711">
        <f>Bilans_E_AMS_Kyoto_run3_MTE!N554</f>
        <v>0</v>
      </c>
      <c r="K330" s="711">
        <f>Bilans_E_AMS_Kyoto_run3_MTE!O554</f>
        <v>0</v>
      </c>
      <c r="L330" s="711">
        <f>Bilans_E_AMS_Kyoto_run3_MTE!P554</f>
        <v>33.03282021908791</v>
      </c>
      <c r="M330" s="711">
        <f>Bilans_E_AMS_Kyoto_run3_MTE!Q554</f>
        <v>7.3058555419217219</v>
      </c>
      <c r="N330" s="711">
        <f>Bilans_E_AMS_Kyoto_run3_MTE!R554</f>
        <v>0</v>
      </c>
      <c r="O330" s="711">
        <f>Bilans_E_AMS_Kyoto_run3_MTE!S554</f>
        <v>37.880603328687286</v>
      </c>
      <c r="P330" s="711">
        <f>Bilans_E_AMS_Kyoto_run3_MTE!T554+Bilans_E_AMS_Kyoto_run3_MTE!U554</f>
        <v>15.325538085937501</v>
      </c>
      <c r="Q330" s="711">
        <f>Bilans_E_AMS_Kyoto_run3_MTE!V554</f>
        <v>8.5890570413253253E-4</v>
      </c>
      <c r="R330" s="711">
        <f>Bilans_E_AMS_Kyoto_run3_MTE!W554</f>
        <v>160.49759404222942</v>
      </c>
      <c r="S330" s="711">
        <f>Bilans_E_AMS_Kyoto_run3_MTE!X554</f>
        <v>19.118062217384278</v>
      </c>
      <c r="T330" s="711">
        <f>Bilans_E_AMS_Kyoto_run3_MTE!Y554</f>
        <v>15.6045791015625</v>
      </c>
      <c r="U330" s="711">
        <f>Bilans_E_AMS_Kyoto_run3_MTE!Z554</f>
        <v>290.75740999580586</v>
      </c>
      <c r="V330" s="701"/>
      <c r="W330" s="701"/>
    </row>
    <row r="331" spans="1:23" x14ac:dyDescent="0.25">
      <c r="A331" s="701" t="s">
        <v>508</v>
      </c>
      <c r="B331" s="701"/>
      <c r="C331" s="717" t="s">
        <v>79</v>
      </c>
      <c r="D331" s="711">
        <f>Bilans_E_AMS_Kyoto_run3_MTE!H555</f>
        <v>0</v>
      </c>
      <c r="E331" s="711">
        <f>Bilans_E_AMS_Kyoto_run3_MTE!I555</f>
        <v>0</v>
      </c>
      <c r="F331" s="711">
        <f>Bilans_E_AMS_Kyoto_run3_MTE!J555</f>
        <v>2.5646039905747262</v>
      </c>
      <c r="G331" s="711">
        <f>Bilans_E_AMS_Kyoto_run3_MTE!K555</f>
        <v>4.5999999999999996</v>
      </c>
      <c r="H331" s="711">
        <f>Bilans_E_AMS_Kyoto_run3_MTE!L555</f>
        <v>0</v>
      </c>
      <c r="I331" s="711">
        <f>Bilans_E_AMS_Kyoto_run3_MTE!M555</f>
        <v>0.37685077792540578</v>
      </c>
      <c r="J331" s="711">
        <f>Bilans_E_AMS_Kyoto_run3_MTE!N555</f>
        <v>0</v>
      </c>
      <c r="K331" s="711">
        <f>Bilans_E_AMS_Kyoto_run3_MTE!O555</f>
        <v>0</v>
      </c>
      <c r="L331" s="711">
        <f>Bilans_E_AMS_Kyoto_run3_MTE!P555</f>
        <v>0</v>
      </c>
      <c r="M331" s="711">
        <f>Bilans_E_AMS_Kyoto_run3_MTE!Q555</f>
        <v>0</v>
      </c>
      <c r="N331" s="711">
        <f>Bilans_E_AMS_Kyoto_run3_MTE!R555</f>
        <v>17.296930013474249</v>
      </c>
      <c r="O331" s="711">
        <f>Bilans_E_AMS_Kyoto_run3_MTE!S555</f>
        <v>7.1601647805827087</v>
      </c>
      <c r="P331" s="711">
        <f>Bilans_E_AMS_Kyoto_run3_MTE!T555+Bilans_E_AMS_Kyoto_run3_MTE!U555</f>
        <v>0</v>
      </c>
      <c r="Q331" s="711">
        <f>Bilans_E_AMS_Kyoto_run3_MTE!V555</f>
        <v>0</v>
      </c>
      <c r="R331" s="711">
        <f>Bilans_E_AMS_Kyoto_run3_MTE!W555</f>
        <v>129.21827578196925</v>
      </c>
      <c r="S331" s="711">
        <f>Bilans_E_AMS_Kyoto_run3_MTE!X555</f>
        <v>0</v>
      </c>
      <c r="T331" s="711">
        <f>Bilans_E_AMS_Kyoto_run3_MTE!Y555</f>
        <v>6.9357151187722215</v>
      </c>
      <c r="U331" s="711">
        <f>Bilans_E_AMS_Kyoto_run3_MTE!Z555</f>
        <v>168.15254046329855</v>
      </c>
      <c r="V331" s="701"/>
      <c r="W331" s="701"/>
    </row>
    <row r="332" spans="1:23" x14ac:dyDescent="0.25">
      <c r="A332" s="701" t="s">
        <v>509</v>
      </c>
      <c r="B332" s="701"/>
      <c r="C332" s="717" t="s">
        <v>80</v>
      </c>
      <c r="D332" s="711">
        <f>Bilans_E_AMS_Kyoto_run3_MTE!H556</f>
        <v>0</v>
      </c>
      <c r="E332" s="711">
        <f>Bilans_E_AMS_Kyoto_run3_MTE!I556</f>
        <v>0</v>
      </c>
      <c r="F332" s="711">
        <f>Bilans_E_AMS_Kyoto_run3_MTE!J556</f>
        <v>1.33686813190731E-2</v>
      </c>
      <c r="G332" s="711">
        <f>Bilans_E_AMS_Kyoto_run3_MTE!K556</f>
        <v>0</v>
      </c>
      <c r="H332" s="711">
        <f>Bilans_E_AMS_Kyoto_run3_MTE!L556</f>
        <v>0</v>
      </c>
      <c r="I332" s="711">
        <f>Bilans_E_AMS_Kyoto_run3_MTE!M556</f>
        <v>1.363415994018579</v>
      </c>
      <c r="J332" s="711">
        <f>Bilans_E_AMS_Kyoto_run3_MTE!N556</f>
        <v>0</v>
      </c>
      <c r="K332" s="711">
        <f>Bilans_E_AMS_Kyoto_run3_MTE!O556</f>
        <v>0</v>
      </c>
      <c r="L332" s="711">
        <f>Bilans_E_AMS_Kyoto_run3_MTE!P556</f>
        <v>38.670548162755892</v>
      </c>
      <c r="M332" s="711">
        <f>Bilans_E_AMS_Kyoto_run3_MTE!Q556</f>
        <v>0</v>
      </c>
      <c r="N332" s="711">
        <f>Bilans_E_AMS_Kyoto_run3_MTE!R556</f>
        <v>0</v>
      </c>
      <c r="O332" s="711">
        <f>Bilans_E_AMS_Kyoto_run3_MTE!S556</f>
        <v>25.904903886352997</v>
      </c>
      <c r="P332" s="711">
        <f>Bilans_E_AMS_Kyoto_run3_MTE!T556+Bilans_E_AMS_Kyoto_run3_MTE!U556</f>
        <v>170.26801174847219</v>
      </c>
      <c r="Q332" s="711">
        <f>Bilans_E_AMS_Kyoto_run3_MTE!V556</f>
        <v>14.856183742724458</v>
      </c>
      <c r="R332" s="711">
        <f>Bilans_E_AMS_Kyoto_run3_MTE!W556</f>
        <v>135.77624988749807</v>
      </c>
      <c r="S332" s="711">
        <f>Bilans_E_AMS_Kyoto_run3_MTE!X556</f>
        <v>35.160977387086433</v>
      </c>
      <c r="T332" s="711">
        <f>Bilans_E_AMS_Kyoto_run3_MTE!Y556</f>
        <v>0</v>
      </c>
      <c r="U332" s="711">
        <f>Bilans_E_AMS_Kyoto_run3_MTE!Z556</f>
        <v>422.01365949022772</v>
      </c>
      <c r="V332" s="701"/>
      <c r="W332" s="701"/>
    </row>
    <row r="333" spans="1:23" x14ac:dyDescent="0.25">
      <c r="A333" s="701" t="s">
        <v>510</v>
      </c>
      <c r="B333" s="701"/>
      <c r="C333" s="717" t="s">
        <v>81</v>
      </c>
      <c r="D333" s="711">
        <f>Bilans_E_AMS_Kyoto_run3_MTE!H557</f>
        <v>0</v>
      </c>
      <c r="E333" s="711">
        <f>Bilans_E_AMS_Kyoto_run3_MTE!I557</f>
        <v>0</v>
      </c>
      <c r="F333" s="711">
        <f>Bilans_E_AMS_Kyoto_run3_MTE!J557</f>
        <v>5.9571518115922428E-2</v>
      </c>
      <c r="G333" s="711">
        <f>Bilans_E_AMS_Kyoto_run3_MTE!K557</f>
        <v>0</v>
      </c>
      <c r="H333" s="711">
        <f>Bilans_E_AMS_Kyoto_run3_MTE!L557</f>
        <v>0</v>
      </c>
      <c r="I333" s="711">
        <f>Bilans_E_AMS_Kyoto_run3_MTE!M557</f>
        <v>0.44038098063120357</v>
      </c>
      <c r="J333" s="711">
        <f>Bilans_E_AMS_Kyoto_run3_MTE!N557</f>
        <v>0</v>
      </c>
      <c r="K333" s="711">
        <f>Bilans_E_AMS_Kyoto_run3_MTE!O557</f>
        <v>0</v>
      </c>
      <c r="L333" s="711">
        <f>Bilans_E_AMS_Kyoto_run3_MTE!P557</f>
        <v>0.43608334641640845</v>
      </c>
      <c r="M333" s="711">
        <f>Bilans_E_AMS_Kyoto_run3_MTE!Q557</f>
        <v>0</v>
      </c>
      <c r="N333" s="711">
        <f>Bilans_E_AMS_Kyoto_run3_MTE!R557</f>
        <v>0</v>
      </c>
      <c r="O333" s="711">
        <f>Bilans_E_AMS_Kyoto_run3_MTE!S557</f>
        <v>8.3672386319928673</v>
      </c>
      <c r="P333" s="711">
        <f>Bilans_E_AMS_Kyoto_run3_MTE!T557+Bilans_E_AMS_Kyoto_run3_MTE!U557</f>
        <v>64.752372842201794</v>
      </c>
      <c r="Q333" s="711">
        <f>Bilans_E_AMS_Kyoto_run3_MTE!V557</f>
        <v>13.972057854326216</v>
      </c>
      <c r="R333" s="711">
        <f>Bilans_E_AMS_Kyoto_run3_MTE!W557</f>
        <v>123.17781879034489</v>
      </c>
      <c r="S333" s="711">
        <f>Bilans_E_AMS_Kyoto_run3_MTE!X557</f>
        <v>22.010319853686262</v>
      </c>
      <c r="T333" s="711">
        <f>Bilans_E_AMS_Kyoto_run3_MTE!Y557</f>
        <v>0</v>
      </c>
      <c r="U333" s="711">
        <f>Bilans_E_AMS_Kyoto_run3_MTE!Z557</f>
        <v>233.21584381771555</v>
      </c>
      <c r="V333" s="701"/>
      <c r="W333" s="701"/>
    </row>
    <row r="334" spans="1:23" x14ac:dyDescent="0.25">
      <c r="A334" s="701" t="s">
        <v>511</v>
      </c>
      <c r="B334" s="701"/>
      <c r="C334" s="717" t="s">
        <v>82</v>
      </c>
      <c r="D334" s="711">
        <f>Bilans_E_AMS_Kyoto_run3_MTE!H558</f>
        <v>0</v>
      </c>
      <c r="E334" s="711">
        <f>Bilans_E_AMS_Kyoto_run3_MTE!I558</f>
        <v>0</v>
      </c>
      <c r="F334" s="711">
        <f>Bilans_E_AMS_Kyoto_run3_MTE!J558</f>
        <v>0</v>
      </c>
      <c r="G334" s="711">
        <f>Bilans_E_AMS_Kyoto_run3_MTE!K558</f>
        <v>0</v>
      </c>
      <c r="H334" s="711">
        <f>Bilans_E_AMS_Kyoto_run3_MTE!L558</f>
        <v>0</v>
      </c>
      <c r="I334" s="711">
        <f>Bilans_E_AMS_Kyoto_run3_MTE!M558</f>
        <v>3.936904267080979E-2</v>
      </c>
      <c r="J334" s="711">
        <f>Bilans_E_AMS_Kyoto_run3_MTE!N558</f>
        <v>0</v>
      </c>
      <c r="K334" s="711">
        <f>Bilans_E_AMS_Kyoto_run3_MTE!O558</f>
        <v>0</v>
      </c>
      <c r="L334" s="711">
        <f>Bilans_E_AMS_Kyoto_run3_MTE!P558</f>
        <v>20.041612409357288</v>
      </c>
      <c r="M334" s="711">
        <f>Bilans_E_AMS_Kyoto_run3_MTE!Q558</f>
        <v>0</v>
      </c>
      <c r="N334" s="711">
        <f>Bilans_E_AMS_Kyoto_run3_MTE!R558</f>
        <v>6.8596219696114309</v>
      </c>
      <c r="O334" s="711">
        <f>Bilans_E_AMS_Kyoto_run3_MTE!S558</f>
        <v>0.74801181074538581</v>
      </c>
      <c r="P334" s="711">
        <f>Bilans_E_AMS_Kyoto_run3_MTE!T558+Bilans_E_AMS_Kyoto_run3_MTE!U558</f>
        <v>1.5</v>
      </c>
      <c r="Q334" s="711">
        <f>Bilans_E_AMS_Kyoto_run3_MTE!V558</f>
        <v>2.1874070050904897</v>
      </c>
      <c r="R334" s="711">
        <f>Bilans_E_AMS_Kyoto_run3_MTE!W558</f>
        <v>11.227117591013034</v>
      </c>
      <c r="S334" s="711">
        <f>Bilans_E_AMS_Kyoto_run3_MTE!X558</f>
        <v>0</v>
      </c>
      <c r="T334" s="711">
        <f>Bilans_E_AMS_Kyoto_run3_MTE!Y558</f>
        <v>0.67221506893144256</v>
      </c>
      <c r="U334" s="711">
        <f>Bilans_E_AMS_Kyoto_run3_MTE!Z558</f>
        <v>43.275354897419881</v>
      </c>
      <c r="V334" s="701"/>
      <c r="W334" s="701"/>
    </row>
    <row r="335" spans="1:23" x14ac:dyDescent="0.25">
      <c r="A335" s="701" t="s">
        <v>512</v>
      </c>
      <c r="B335" s="701"/>
      <c r="C335" s="717" t="s">
        <v>354</v>
      </c>
      <c r="D335" s="711">
        <f>Bilans_E_AMS_Kyoto_run3_MTE!H559</f>
        <v>0</v>
      </c>
      <c r="E335" s="711">
        <f>Bilans_E_AMS_Kyoto_run3_MTE!I559</f>
        <v>0</v>
      </c>
      <c r="F335" s="711">
        <f>Bilans_E_AMS_Kyoto_run3_MTE!J559</f>
        <v>0</v>
      </c>
      <c r="G335" s="711">
        <f>Bilans_E_AMS_Kyoto_run3_MTE!K559</f>
        <v>0</v>
      </c>
      <c r="H335" s="711">
        <f>Bilans_E_AMS_Kyoto_run3_MTE!L559</f>
        <v>0</v>
      </c>
      <c r="I335" s="711">
        <f>Bilans_E_AMS_Kyoto_run3_MTE!M559</f>
        <v>0</v>
      </c>
      <c r="J335" s="711">
        <f>Bilans_E_AMS_Kyoto_run3_MTE!N559</f>
        <v>0</v>
      </c>
      <c r="K335" s="711">
        <f>Bilans_E_AMS_Kyoto_run3_MTE!O559</f>
        <v>0</v>
      </c>
      <c r="L335" s="711">
        <f>Bilans_E_AMS_Kyoto_run3_MTE!P559</f>
        <v>0</v>
      </c>
      <c r="M335" s="711">
        <f>Bilans_E_AMS_Kyoto_run3_MTE!Q559</f>
        <v>0</v>
      </c>
      <c r="N335" s="711">
        <f>Bilans_E_AMS_Kyoto_run3_MTE!R559</f>
        <v>0</v>
      </c>
      <c r="O335" s="711">
        <f>Bilans_E_AMS_Kyoto_run3_MTE!S559</f>
        <v>0</v>
      </c>
      <c r="P335" s="711">
        <f>Bilans_E_AMS_Kyoto_run3_MTE!T559+Bilans_E_AMS_Kyoto_run3_MTE!U559</f>
        <v>0</v>
      </c>
      <c r="Q335" s="711">
        <f>Bilans_E_AMS_Kyoto_run3_MTE!V559</f>
        <v>0</v>
      </c>
      <c r="R335" s="711">
        <f>Bilans_E_AMS_Kyoto_run3_MTE!W559</f>
        <v>15.04</v>
      </c>
      <c r="S335" s="711">
        <f>Bilans_E_AMS_Kyoto_run3_MTE!X559</f>
        <v>0</v>
      </c>
      <c r="T335" s="711">
        <f>Bilans_E_AMS_Kyoto_run3_MTE!Y559</f>
        <v>0</v>
      </c>
      <c r="U335" s="711">
        <f>Bilans_E_AMS_Kyoto_run3_MTE!Z559</f>
        <v>15.04</v>
      </c>
      <c r="V335" s="701"/>
      <c r="W335" s="701"/>
    </row>
    <row r="336" spans="1:23" x14ac:dyDescent="0.25">
      <c r="A336" s="701" t="s">
        <v>513</v>
      </c>
      <c r="B336" s="701"/>
      <c r="C336" s="713" t="s">
        <v>83</v>
      </c>
      <c r="D336" s="714">
        <f>Bilans_E_AMS_Kyoto_run3_MTE!H560</f>
        <v>0</v>
      </c>
      <c r="E336" s="714">
        <f>Bilans_E_AMS_Kyoto_run3_MTE!I560</f>
        <v>0</v>
      </c>
      <c r="F336" s="714">
        <f>Bilans_E_AMS_Kyoto_run3_MTE!J560</f>
        <v>2.6375441900097218</v>
      </c>
      <c r="G336" s="714">
        <f>Bilans_E_AMS_Kyoto_run3_MTE!K560</f>
        <v>4.5999999999999996</v>
      </c>
      <c r="H336" s="714">
        <f>Bilans_E_AMS_Kyoto_run3_MTE!L560</f>
        <v>0</v>
      </c>
      <c r="I336" s="714">
        <f>Bilans_E_AMS_Kyoto_run3_MTE!M560</f>
        <v>4.2115153485371817</v>
      </c>
      <c r="J336" s="714">
        <f>Bilans_E_AMS_Kyoto_run3_MTE!N560</f>
        <v>0</v>
      </c>
      <c r="K336" s="714">
        <f>Bilans_E_AMS_Kyoto_run3_MTE!O560</f>
        <v>0</v>
      </c>
      <c r="L336" s="714">
        <f>Bilans_E_AMS_Kyoto_run3_MTE!P560</f>
        <v>92.181064137617497</v>
      </c>
      <c r="M336" s="714">
        <f>Bilans_E_AMS_Kyoto_run3_MTE!Q560</f>
        <v>7.3058555419217219</v>
      </c>
      <c r="N336" s="714">
        <f>Bilans_E_AMS_Kyoto_run3_MTE!R560</f>
        <v>24.156551983085681</v>
      </c>
      <c r="O336" s="714">
        <f>Bilans_E_AMS_Kyoto_run3_MTE!S560</f>
        <v>80.060922438361246</v>
      </c>
      <c r="P336" s="714">
        <f>Bilans_E_AMS_Kyoto_run3_MTE!T560+Bilans_E_AMS_Kyoto_run3_MTE!U560</f>
        <v>251.84592267661148</v>
      </c>
      <c r="Q336" s="714">
        <f>Bilans_E_AMS_Kyoto_run3_MTE!V560</f>
        <v>31.016507507845294</v>
      </c>
      <c r="R336" s="714">
        <f>Bilans_E_AMS_Kyoto_run3_MTE!W560</f>
        <v>574.93705609305459</v>
      </c>
      <c r="S336" s="714">
        <f>Bilans_E_AMS_Kyoto_run3_MTE!X560</f>
        <v>76.28935945815698</v>
      </c>
      <c r="T336" s="714">
        <f>Bilans_E_AMS_Kyoto_run3_MTE!Y560</f>
        <v>23.212509289266166</v>
      </c>
      <c r="U336" s="714">
        <f>Bilans_E_AMS_Kyoto_run3_MTE!Z560</f>
        <v>1172.4548086644675</v>
      </c>
      <c r="V336" s="701"/>
      <c r="W336" s="701"/>
    </row>
    <row r="337" spans="1:23" x14ac:dyDescent="0.25">
      <c r="A337" s="701" t="s">
        <v>514</v>
      </c>
      <c r="B337" s="701"/>
      <c r="C337" s="710" t="s">
        <v>84</v>
      </c>
      <c r="D337" s="711">
        <f>Bilans_E_AMS_Kyoto_run3_MTE!H561</f>
        <v>0</v>
      </c>
      <c r="E337" s="711">
        <f>Bilans_E_AMS_Kyoto_run3_MTE!I561</f>
        <v>0</v>
      </c>
      <c r="F337" s="711">
        <f>Bilans_E_AMS_Kyoto_run3_MTE!J561</f>
        <v>91.376834551502185</v>
      </c>
      <c r="G337" s="711">
        <f>Bilans_E_AMS_Kyoto_run3_MTE!K561</f>
        <v>4.3696590457446538</v>
      </c>
      <c r="H337" s="711">
        <f>Bilans_E_AMS_Kyoto_run3_MTE!L561</f>
        <v>7.019987079045241</v>
      </c>
      <c r="I337" s="711">
        <f>Bilans_E_AMS_Kyoto_run3_MTE!M561</f>
        <v>0</v>
      </c>
      <c r="J337" s="711">
        <f>Bilans_E_AMS_Kyoto_run3_MTE!N561</f>
        <v>0</v>
      </c>
      <c r="K337" s="711">
        <f>Bilans_E_AMS_Kyoto_run3_MTE!O561</f>
        <v>0</v>
      </c>
      <c r="L337" s="711">
        <f>Bilans_E_AMS_Kyoto_run3_MTE!P561</f>
        <v>0.61184558011433365</v>
      </c>
      <c r="M337" s="711">
        <f>Bilans_E_AMS_Kyoto_run3_MTE!Q561</f>
        <v>0</v>
      </c>
      <c r="N337" s="711">
        <f>Bilans_E_AMS_Kyoto_run3_MTE!R561</f>
        <v>6.5698161491399585</v>
      </c>
      <c r="O337" s="711">
        <f>Bilans_E_AMS_Kyoto_run3_MTE!S561</f>
        <v>0</v>
      </c>
      <c r="P337" s="711">
        <f>Bilans_E_AMS_Kyoto_run3_MTE!T561+Bilans_E_AMS_Kyoto_run3_MTE!U561</f>
        <v>0</v>
      </c>
      <c r="Q337" s="711">
        <f>Bilans_E_AMS_Kyoto_run3_MTE!V561</f>
        <v>0</v>
      </c>
      <c r="R337" s="711">
        <f>Bilans_E_AMS_Kyoto_run3_MTE!W561</f>
        <v>0</v>
      </c>
      <c r="S337" s="711">
        <f>Bilans_E_AMS_Kyoto_run3_MTE!X561</f>
        <v>0</v>
      </c>
      <c r="T337" s="711">
        <f>Bilans_E_AMS_Kyoto_run3_MTE!Y561</f>
        <v>6.6285490677230623</v>
      </c>
      <c r="U337" s="711">
        <f>Bilans_E_AMS_Kyoto_run3_MTE!Z561</f>
        <v>116.57669147326942</v>
      </c>
      <c r="V337" s="701"/>
      <c r="W337" s="701"/>
    </row>
    <row r="338" spans="1:23" x14ac:dyDescent="0.25">
      <c r="A338" s="701" t="s">
        <v>515</v>
      </c>
      <c r="B338" s="701"/>
      <c r="C338" s="713" t="s">
        <v>85</v>
      </c>
      <c r="D338" s="714">
        <f>Bilans_E_AMS_Kyoto_run3_MTE!H562</f>
        <v>0</v>
      </c>
      <c r="E338" s="714">
        <f>Bilans_E_AMS_Kyoto_run3_MTE!I562</f>
        <v>0</v>
      </c>
      <c r="F338" s="714">
        <f>Bilans_E_AMS_Kyoto_run3_MTE!J562</f>
        <v>94.014378741511905</v>
      </c>
      <c r="G338" s="714">
        <f>Bilans_E_AMS_Kyoto_run3_MTE!K562</f>
        <v>8.9696590457446526</v>
      </c>
      <c r="H338" s="714">
        <f>Bilans_E_AMS_Kyoto_run3_MTE!L562</f>
        <v>7.019987079045241</v>
      </c>
      <c r="I338" s="714">
        <f>Bilans_E_AMS_Kyoto_run3_MTE!M562</f>
        <v>4.2115153485371817</v>
      </c>
      <c r="J338" s="714">
        <f>Bilans_E_AMS_Kyoto_run3_MTE!N562</f>
        <v>0</v>
      </c>
      <c r="K338" s="714">
        <f>Bilans_E_AMS_Kyoto_run3_MTE!O562</f>
        <v>0</v>
      </c>
      <c r="L338" s="714">
        <f>Bilans_E_AMS_Kyoto_run3_MTE!P562</f>
        <v>92.792909717731831</v>
      </c>
      <c r="M338" s="714">
        <f>Bilans_E_AMS_Kyoto_run3_MTE!Q562</f>
        <v>7.3058555419217219</v>
      </c>
      <c r="N338" s="714">
        <f>Bilans_E_AMS_Kyoto_run3_MTE!R562</f>
        <v>30.726368132225637</v>
      </c>
      <c r="O338" s="714">
        <f>Bilans_E_AMS_Kyoto_run3_MTE!S562</f>
        <v>80.060922438361246</v>
      </c>
      <c r="P338" s="714">
        <f>Bilans_E_AMS_Kyoto_run3_MTE!T562+Bilans_E_AMS_Kyoto_run3_MTE!U562</f>
        <v>251.84592267661148</v>
      </c>
      <c r="Q338" s="714">
        <f>Bilans_E_AMS_Kyoto_run3_MTE!V562</f>
        <v>31.016507507845294</v>
      </c>
      <c r="R338" s="714">
        <f>Bilans_E_AMS_Kyoto_run3_MTE!W562</f>
        <v>574.93705609305459</v>
      </c>
      <c r="S338" s="714">
        <f>Bilans_E_AMS_Kyoto_run3_MTE!X562</f>
        <v>76.28935945815698</v>
      </c>
      <c r="T338" s="714">
        <f>Bilans_E_AMS_Kyoto_run3_MTE!Y562</f>
        <v>29.84105835698923</v>
      </c>
      <c r="U338" s="714">
        <f>Bilans_E_AMS_Kyoto_run3_MTE!Z562</f>
        <v>1289.0315001377369</v>
      </c>
      <c r="V338" s="701"/>
      <c r="W338" s="701"/>
    </row>
    <row r="339" spans="1:23" x14ac:dyDescent="0.25">
      <c r="A339" s="701"/>
      <c r="B339" s="701"/>
      <c r="C339" s="701"/>
      <c r="D339" s="701">
        <f>Bilans_E_AMS_Kyoto_run3_MTE!H563</f>
        <v>0</v>
      </c>
      <c r="E339" s="701">
        <f>Bilans_E_AMS_Kyoto_run3_MTE!I563</f>
        <v>0</v>
      </c>
      <c r="F339" s="701">
        <f>Bilans_E_AMS_Kyoto_run3_MTE!J563</f>
        <v>0</v>
      </c>
      <c r="G339" s="701">
        <f>Bilans_E_AMS_Kyoto_run3_MTE!K563</f>
        <v>0</v>
      </c>
      <c r="H339" s="701">
        <f>Bilans_E_AMS_Kyoto_run3_MTE!L563</f>
        <v>0</v>
      </c>
      <c r="I339" s="701">
        <f>Bilans_E_AMS_Kyoto_run3_MTE!M563</f>
        <v>-1.9859233333408E-4</v>
      </c>
      <c r="J339" s="701">
        <f>Bilans_E_AMS_Kyoto_run3_MTE!N563</f>
        <v>0</v>
      </c>
      <c r="K339" s="701">
        <f>Bilans_E_AMS_Kyoto_run3_MTE!O563</f>
        <v>0</v>
      </c>
      <c r="L339" s="701">
        <f>Bilans_E_AMS_Kyoto_run3_MTE!P563</f>
        <v>0</v>
      </c>
      <c r="M339" s="701">
        <f>Bilans_E_AMS_Kyoto_run3_MTE!Q563</f>
        <v>0</v>
      </c>
      <c r="N339" s="701">
        <f>Bilans_E_AMS_Kyoto_run3_MTE!R563</f>
        <v>0</v>
      </c>
      <c r="O339" s="701">
        <f>Bilans_E_AMS_Kyoto_run3_MTE!S563</f>
        <v>0</v>
      </c>
      <c r="P339" s="701">
        <f>Bilans_E_AMS_Kyoto_run3_MTE!T563+Bilans_E_AMS_Kyoto_run3_MTE!U563</f>
        <v>0</v>
      </c>
      <c r="Q339" s="701">
        <f>Bilans_E_AMS_Kyoto_run3_MTE!V563</f>
        <v>0</v>
      </c>
      <c r="R339" s="701">
        <f>Bilans_E_AMS_Kyoto_run3_MTE!W563</f>
        <v>0</v>
      </c>
      <c r="S339" s="701">
        <f>Bilans_E_AMS_Kyoto_run3_MTE!X563</f>
        <v>-3.3901093871691046E-5</v>
      </c>
      <c r="T339" s="701">
        <f>Bilans_E_AMS_Kyoto_run3_MTE!Y563</f>
        <v>0</v>
      </c>
      <c r="U339" s="701">
        <f>Bilans_E_AMS_Kyoto_run3_MTE!Z563</f>
        <v>-2.3249342757480917E-4</v>
      </c>
      <c r="V339" s="701"/>
      <c r="W339" s="701"/>
    </row>
    <row r="340" spans="1:23" x14ac:dyDescent="0.25">
      <c r="A340" s="51"/>
      <c r="B340" s="51"/>
      <c r="C340" s="51"/>
      <c r="D340" s="51"/>
      <c r="E340" s="51"/>
      <c r="F340" s="51"/>
      <c r="G340" s="67"/>
      <c r="H340" s="51"/>
      <c r="I340" s="51"/>
      <c r="J340" s="51"/>
      <c r="K340" s="51"/>
      <c r="L340" s="51"/>
      <c r="M340" s="51"/>
      <c r="N340" s="51"/>
      <c r="O340" s="51"/>
      <c r="P340" s="51"/>
      <c r="Q340" s="51"/>
      <c r="R340" s="51"/>
      <c r="S340" s="51"/>
      <c r="T340" s="51"/>
      <c r="U340" s="51"/>
    </row>
  </sheetData>
  <mergeCells count="126">
    <mergeCell ref="K10:K11"/>
    <mergeCell ref="L10:Q10"/>
    <mergeCell ref="R10:R11"/>
    <mergeCell ref="S10:S11"/>
    <mergeCell ref="T10:T11"/>
    <mergeCell ref="U10:U11"/>
    <mergeCell ref="C10:C11"/>
    <mergeCell ref="D10:D11"/>
    <mergeCell ref="E10:E11"/>
    <mergeCell ref="F10:F11"/>
    <mergeCell ref="G10:G11"/>
    <mergeCell ref="H10:H11"/>
    <mergeCell ref="I10:I11"/>
    <mergeCell ref="J10:J11"/>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S47:S48"/>
    <mergeCell ref="C47:C48"/>
    <mergeCell ref="D47:D48"/>
    <mergeCell ref="E47:E48"/>
    <mergeCell ref="F47:F48"/>
    <mergeCell ref="G47:G48"/>
    <mergeCell ref="H47:H48"/>
    <mergeCell ref="E121:E122"/>
    <mergeCell ref="F121:F122"/>
    <mergeCell ref="G121:G122"/>
    <mergeCell ref="H121:H122"/>
    <mergeCell ref="K84:K85"/>
    <mergeCell ref="L84:Q84"/>
    <mergeCell ref="R84:R85"/>
    <mergeCell ref="S84:S85"/>
    <mergeCell ref="T84:T85"/>
    <mergeCell ref="K158:K159"/>
    <mergeCell ref="L158:Q158"/>
    <mergeCell ref="R158:R159"/>
    <mergeCell ref="S158:S159"/>
    <mergeCell ref="T158:T159"/>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R121:R122"/>
    <mergeCell ref="S121:S122"/>
    <mergeCell ref="C121:C122"/>
    <mergeCell ref="D121:D122"/>
    <mergeCell ref="U232:U233"/>
    <mergeCell ref="T195:T196"/>
    <mergeCell ref="U195:U196"/>
    <mergeCell ref="C232:C233"/>
    <mergeCell ref="D232:D233"/>
    <mergeCell ref="E232:E233"/>
    <mergeCell ref="F232:F233"/>
    <mergeCell ref="G232:G233"/>
    <mergeCell ref="H232:H233"/>
    <mergeCell ref="I232:I233"/>
    <mergeCell ref="J232:J233"/>
    <mergeCell ref="I195:I196"/>
    <mergeCell ref="J195:J196"/>
    <mergeCell ref="K195:K196"/>
    <mergeCell ref="L195:Q195"/>
    <mergeCell ref="R195:R196"/>
    <mergeCell ref="S195:S196"/>
    <mergeCell ref="C195:C196"/>
    <mergeCell ref="D195:D196"/>
    <mergeCell ref="E195:E196"/>
    <mergeCell ref="F195:F196"/>
    <mergeCell ref="G195:G196"/>
    <mergeCell ref="H195:H196"/>
    <mergeCell ref="E269:E270"/>
    <mergeCell ref="F269:F270"/>
    <mergeCell ref="G269:G270"/>
    <mergeCell ref="H269:H270"/>
    <mergeCell ref="K232:K233"/>
    <mergeCell ref="L232:Q232"/>
    <mergeCell ref="R232:R233"/>
    <mergeCell ref="S232:S233"/>
    <mergeCell ref="T232:T233"/>
    <mergeCell ref="K306:K307"/>
    <mergeCell ref="L306:Q306"/>
    <mergeCell ref="R306:R307"/>
    <mergeCell ref="S306:S307"/>
    <mergeCell ref="T306:T307"/>
    <mergeCell ref="U306:U307"/>
    <mergeCell ref="T269:T270"/>
    <mergeCell ref="U269:U270"/>
    <mergeCell ref="C306:C307"/>
    <mergeCell ref="D306:D307"/>
    <mergeCell ref="E306:E307"/>
    <mergeCell ref="F306:F307"/>
    <mergeCell ref="G306:G307"/>
    <mergeCell ref="H306:H307"/>
    <mergeCell ref="I306:I307"/>
    <mergeCell ref="J306:J307"/>
    <mergeCell ref="I269:I270"/>
    <mergeCell ref="J269:J270"/>
    <mergeCell ref="K269:K270"/>
    <mergeCell ref="L269:Q269"/>
    <mergeCell ref="R269:R270"/>
    <mergeCell ref="S269:S270"/>
    <mergeCell ref="C269:C270"/>
    <mergeCell ref="D269:D270"/>
  </mergeCells>
  <pageMargins left="0.7" right="0.7" top="0.75" bottom="0.75" header="0.3" footer="0.3"/>
  <legacy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8F44E-E6FA-4E53-BD2D-F60CBEC8D5C7}">
  <sheetPr>
    <tabColor theme="1" tint="0.249977111117893"/>
  </sheetPr>
  <dimension ref="A1:W303"/>
  <sheetViews>
    <sheetView topLeftCell="A6" zoomScale="85" zoomScaleNormal="85" workbookViewId="0">
      <selection activeCell="M26" sqref="M26"/>
    </sheetView>
  </sheetViews>
  <sheetFormatPr baseColWidth="10" defaultRowHeight="15" x14ac:dyDescent="0.25"/>
  <cols>
    <col min="3" max="3" width="24.28515625" customWidth="1"/>
    <col min="4" max="21" width="12.5703125" customWidth="1"/>
  </cols>
  <sheetData>
    <row r="1" spans="1:23" ht="15.75" x14ac:dyDescent="0.25">
      <c r="A1" s="700"/>
      <c r="B1" s="700"/>
      <c r="C1" s="700"/>
      <c r="D1" s="598" t="s">
        <v>527</v>
      </c>
      <c r="E1" s="598" t="s">
        <v>528</v>
      </c>
      <c r="F1" s="598" t="s">
        <v>529</v>
      </c>
      <c r="G1" s="598" t="s">
        <v>530</v>
      </c>
      <c r="H1" s="598" t="s">
        <v>531</v>
      </c>
      <c r="I1" s="598" t="s">
        <v>532</v>
      </c>
      <c r="J1" s="598" t="s">
        <v>533</v>
      </c>
      <c r="K1" s="598" t="s">
        <v>534</v>
      </c>
      <c r="L1" s="598" t="s">
        <v>535</v>
      </c>
      <c r="M1" s="598" t="s">
        <v>536</v>
      </c>
      <c r="N1" s="598" t="s">
        <v>537</v>
      </c>
      <c r="O1" s="598" t="s">
        <v>538</v>
      </c>
      <c r="P1" s="598" t="s">
        <v>539</v>
      </c>
      <c r="Q1" s="598" t="s">
        <v>541</v>
      </c>
      <c r="R1" s="598" t="s">
        <v>542</v>
      </c>
      <c r="S1" s="598" t="s">
        <v>543</v>
      </c>
      <c r="T1" s="598" t="s">
        <v>606</v>
      </c>
      <c r="U1" s="598" t="s">
        <v>607</v>
      </c>
      <c r="V1" s="700"/>
      <c r="W1" s="700"/>
    </row>
    <row r="2" spans="1:23" x14ac:dyDescent="0.25">
      <c r="A2" s="700"/>
      <c r="B2" s="700"/>
      <c r="C2" s="700"/>
      <c r="D2" s="700" t="s">
        <v>545</v>
      </c>
      <c r="E2" s="701" t="s">
        <v>546</v>
      </c>
      <c r="F2" s="701" t="s">
        <v>547</v>
      </c>
      <c r="G2" s="701" t="s">
        <v>548</v>
      </c>
      <c r="H2" s="701" t="s">
        <v>549</v>
      </c>
      <c r="I2" s="701" t="s">
        <v>550</v>
      </c>
      <c r="J2" s="701" t="s">
        <v>551</v>
      </c>
      <c r="K2" s="701" t="s">
        <v>552</v>
      </c>
      <c r="L2" s="701" t="s">
        <v>553</v>
      </c>
      <c r="M2" s="701" t="s">
        <v>554</v>
      </c>
      <c r="N2" s="701" t="s">
        <v>555</v>
      </c>
      <c r="O2" s="701" t="s">
        <v>556</v>
      </c>
      <c r="P2" s="701" t="s">
        <v>557</v>
      </c>
      <c r="Q2" s="701" t="s">
        <v>558</v>
      </c>
      <c r="R2" s="701" t="s">
        <v>559</v>
      </c>
      <c r="S2" s="701" t="s">
        <v>560</v>
      </c>
      <c r="T2" s="701" t="s">
        <v>561</v>
      </c>
      <c r="U2" s="701" t="s">
        <v>562</v>
      </c>
      <c r="V2" s="700"/>
      <c r="W2" s="700"/>
    </row>
    <row r="3" spans="1:23" ht="18" x14ac:dyDescent="0.25">
      <c r="A3" s="702"/>
      <c r="B3" s="702"/>
      <c r="C3" s="703" t="s">
        <v>406</v>
      </c>
      <c r="D3" s="702"/>
      <c r="E3" s="702"/>
      <c r="F3" s="702"/>
      <c r="G3" s="702"/>
      <c r="H3" s="702"/>
      <c r="I3" s="702"/>
      <c r="J3" s="702"/>
      <c r="K3" s="702"/>
      <c r="L3" s="702"/>
      <c r="M3" s="702"/>
      <c r="N3" s="702"/>
      <c r="O3" s="702"/>
      <c r="P3" s="702"/>
      <c r="Q3" s="702"/>
      <c r="R3" s="702"/>
      <c r="S3" s="702"/>
      <c r="T3" s="702"/>
      <c r="U3" s="702"/>
      <c r="V3" s="702"/>
      <c r="W3" s="702"/>
    </row>
    <row r="4" spans="1:23" x14ac:dyDescent="0.25">
      <c r="A4" s="701"/>
      <c r="B4" s="701"/>
      <c r="C4" s="701"/>
      <c r="D4" s="701"/>
      <c r="E4" s="701"/>
      <c r="F4" s="701"/>
      <c r="G4" s="701"/>
      <c r="H4" s="701"/>
      <c r="I4" s="701"/>
      <c r="J4" s="701"/>
      <c r="K4" s="701"/>
      <c r="L4" s="701"/>
      <c r="M4" s="701"/>
      <c r="N4" s="701"/>
      <c r="O4" s="701"/>
      <c r="P4" s="701"/>
      <c r="Q4" s="701"/>
      <c r="R4" s="701"/>
      <c r="S4" s="701"/>
      <c r="T4" s="701"/>
      <c r="U4" s="701"/>
      <c r="V4" s="701"/>
      <c r="W4" s="701"/>
    </row>
    <row r="5" spans="1:23" ht="15.75" x14ac:dyDescent="0.25">
      <c r="A5" s="704"/>
      <c r="B5" s="701"/>
      <c r="C5" s="705" t="s">
        <v>338</v>
      </c>
      <c r="D5" s="704" t="s">
        <v>481</v>
      </c>
      <c r="E5" s="704"/>
      <c r="F5" s="704"/>
      <c r="G5" s="704"/>
      <c r="H5" s="704"/>
      <c r="I5" s="704"/>
      <c r="J5" s="704"/>
      <c r="K5" s="706"/>
      <c r="L5" s="706"/>
      <c r="M5" s="706"/>
      <c r="N5" s="706"/>
      <c r="O5" s="706"/>
      <c r="P5" s="706"/>
      <c r="Q5" s="706"/>
      <c r="R5" s="704"/>
      <c r="S5" s="704"/>
      <c r="T5" s="704"/>
      <c r="U5" s="704"/>
      <c r="V5" s="704"/>
      <c r="W5" s="704"/>
    </row>
    <row r="6" spans="1:23" ht="15.75" x14ac:dyDescent="0.25">
      <c r="A6" s="704"/>
      <c r="B6" s="701"/>
      <c r="C6" s="705" t="s">
        <v>341</v>
      </c>
      <c r="D6" s="704" t="s">
        <v>342</v>
      </c>
      <c r="E6" s="704"/>
      <c r="F6" s="704"/>
      <c r="G6" s="704"/>
      <c r="H6" s="704"/>
      <c r="I6" s="704"/>
      <c r="J6" s="704"/>
      <c r="K6" s="704"/>
      <c r="L6" s="704"/>
      <c r="M6" s="704"/>
      <c r="N6" s="704"/>
      <c r="O6" s="704"/>
      <c r="P6" s="704"/>
      <c r="Q6" s="704"/>
      <c r="R6" s="704"/>
      <c r="S6" s="704"/>
      <c r="T6" s="704"/>
      <c r="U6" s="704"/>
      <c r="V6" s="704"/>
      <c r="W6" s="704"/>
    </row>
    <row r="7" spans="1:23" x14ac:dyDescent="0.25">
      <c r="A7" s="701"/>
      <c r="B7" s="701"/>
      <c r="C7" s="701"/>
      <c r="D7" s="701"/>
      <c r="E7" s="701"/>
      <c r="F7" s="701"/>
      <c r="G7" s="701"/>
      <c r="H7" s="701"/>
      <c r="I7" s="701"/>
      <c r="J7" s="701"/>
      <c r="K7" s="701"/>
      <c r="L7" s="701"/>
      <c r="M7" s="701"/>
      <c r="N7" s="701"/>
      <c r="O7" s="701"/>
      <c r="P7" s="701"/>
      <c r="Q7" s="701"/>
      <c r="R7" s="701"/>
      <c r="S7" s="701"/>
      <c r="T7" s="701"/>
      <c r="U7" s="701"/>
      <c r="V7" s="701"/>
      <c r="W7" s="701"/>
    </row>
    <row r="8" spans="1:23" x14ac:dyDescent="0.25">
      <c r="A8" s="707"/>
      <c r="B8" s="707"/>
      <c r="C8" s="708" t="s">
        <v>88</v>
      </c>
      <c r="D8" s="707"/>
      <c r="E8" s="707"/>
      <c r="F8" s="707"/>
      <c r="G8" s="707"/>
      <c r="H8" s="707"/>
      <c r="I8" s="707"/>
      <c r="J8" s="707"/>
      <c r="K8" s="707"/>
      <c r="L8" s="707"/>
      <c r="M8" s="707"/>
      <c r="N8" s="707"/>
      <c r="O8" s="707"/>
      <c r="P8" s="707"/>
      <c r="Q8" s="707"/>
      <c r="R8" s="707"/>
      <c r="S8" s="707"/>
      <c r="T8" s="707"/>
      <c r="U8" s="707"/>
      <c r="V8" s="707"/>
      <c r="W8" s="707"/>
    </row>
    <row r="9" spans="1:23" x14ac:dyDescent="0.25">
      <c r="A9" s="701"/>
      <c r="B9" s="701"/>
      <c r="C9" s="701"/>
      <c r="D9" s="701"/>
      <c r="E9" s="701"/>
      <c r="F9" s="701"/>
      <c r="G9" s="701"/>
      <c r="H9" s="701"/>
      <c r="I9" s="701"/>
      <c r="J9" s="701"/>
      <c r="K9" s="701"/>
      <c r="L9" s="701"/>
      <c r="M9" s="701"/>
      <c r="N9" s="701"/>
      <c r="O9" s="701"/>
      <c r="P9" s="701"/>
      <c r="Q9" s="701"/>
      <c r="R9" s="701"/>
      <c r="S9" s="701"/>
      <c r="T9" s="701"/>
      <c r="U9" s="701"/>
      <c r="V9" s="701"/>
      <c r="W9" s="701"/>
    </row>
    <row r="10" spans="1:23" ht="15" customHeight="1" x14ac:dyDescent="0.25">
      <c r="A10" s="701"/>
      <c r="B10" s="701"/>
      <c r="C10" s="780" t="s">
        <v>128</v>
      </c>
      <c r="D10" s="775" t="s">
        <v>42</v>
      </c>
      <c r="E10" s="775" t="s">
        <v>52</v>
      </c>
      <c r="F10" s="775" t="s">
        <v>53</v>
      </c>
      <c r="G10" s="775" t="s">
        <v>482</v>
      </c>
      <c r="H10" s="775" t="s">
        <v>32</v>
      </c>
      <c r="I10" s="775" t="s">
        <v>483</v>
      </c>
      <c r="J10" s="775" t="s">
        <v>20</v>
      </c>
      <c r="K10" s="775" t="s">
        <v>55</v>
      </c>
      <c r="L10" s="777" t="s">
        <v>56</v>
      </c>
      <c r="M10" s="778"/>
      <c r="N10" s="778"/>
      <c r="O10" s="778"/>
      <c r="P10" s="778"/>
      <c r="Q10" s="779"/>
      <c r="R10" s="775" t="s">
        <v>57</v>
      </c>
      <c r="S10" s="775" t="s">
        <v>58</v>
      </c>
      <c r="T10" s="775" t="s">
        <v>31</v>
      </c>
      <c r="U10" s="775" t="s">
        <v>10</v>
      </c>
      <c r="V10" s="701"/>
      <c r="W10" s="701"/>
    </row>
    <row r="11" spans="1:23" ht="67.5" x14ac:dyDescent="0.25">
      <c r="A11" s="701" t="s">
        <v>486</v>
      </c>
      <c r="B11" s="701"/>
      <c r="C11" s="781"/>
      <c r="D11" s="776"/>
      <c r="E11" s="776"/>
      <c r="F11" s="776"/>
      <c r="G11" s="776"/>
      <c r="H11" s="776"/>
      <c r="I11" s="776"/>
      <c r="J11" s="776"/>
      <c r="K11" s="776"/>
      <c r="L11" s="709" t="s">
        <v>335</v>
      </c>
      <c r="M11" s="709" t="s">
        <v>40</v>
      </c>
      <c r="N11" s="709" t="s">
        <v>343</v>
      </c>
      <c r="O11" s="709" t="s">
        <v>344</v>
      </c>
      <c r="P11" s="719" t="s">
        <v>610</v>
      </c>
      <c r="Q11" s="709" t="s">
        <v>346</v>
      </c>
      <c r="R11" s="776"/>
      <c r="S11" s="776"/>
      <c r="T11" s="776"/>
      <c r="U11" s="776"/>
      <c r="V11" s="701"/>
      <c r="W11" s="701"/>
    </row>
    <row r="12" spans="1:23" x14ac:dyDescent="0.25">
      <c r="A12" s="701" t="s">
        <v>487</v>
      </c>
      <c r="B12" s="701"/>
      <c r="C12" s="710" t="s">
        <v>59</v>
      </c>
      <c r="D12" s="421">
        <f>Bilans_E_AMS_Kyoto_run3_MTE!H273</f>
        <v>0</v>
      </c>
      <c r="E12" s="421">
        <f>Bilans_E_AMS_Kyoto_run3_MTE!I273</f>
        <v>9.5366</v>
      </c>
      <c r="F12" s="422">
        <f>Bilans_E_AMS_Kyoto_run3_MTE!J273</f>
        <v>0</v>
      </c>
      <c r="G12" s="611">
        <f>Bilans_E_AMS_Kyoto_run3_MTE!K273</f>
        <v>0</v>
      </c>
      <c r="H12" s="421">
        <f>Bilans_E_AMS_Kyoto_run3_MTE!L273</f>
        <v>0.19771000000000002</v>
      </c>
      <c r="I12" s="611">
        <f>Bilans_E_AMS_Kyoto_run3_MTE!M273</f>
        <v>0</v>
      </c>
      <c r="J12" s="422">
        <f>Bilans_E_AMS_Kyoto_run3_MTE!N273</f>
        <v>1170.5483636363635</v>
      </c>
      <c r="K12" s="422">
        <f>Bilans_E_AMS_Kyoto_run3_MTE!O273</f>
        <v>211.05320151197157</v>
      </c>
      <c r="L12" s="422">
        <f>Bilans_E_AMS_Kyoto_run3_MTE!P273</f>
        <v>290.91008816794533</v>
      </c>
      <c r="M12" s="422">
        <f>Bilans_E_AMS_Kyoto_run3_MTE!Q273</f>
        <v>51.094236462375186</v>
      </c>
      <c r="N12" s="628">
        <f>Bilans_E_AMS_Kyoto_run3_MTE!R273</f>
        <v>0</v>
      </c>
      <c r="O12" s="628">
        <f>Bilans_E_AMS_Kyoto_run3_MTE!S273</f>
        <v>0</v>
      </c>
      <c r="P12" s="432">
        <f>Bilans_E_AMS_Kyoto_run3_MTE!T273+Bilans_E_AMS_Kyoto_run3_MTE!U273</f>
        <v>129.75938144805454</v>
      </c>
      <c r="Q12" s="509">
        <f>Bilans_E_AMS_Kyoto_run3_MTE!V273</f>
        <v>22.58468388139195</v>
      </c>
      <c r="R12" s="422">
        <f>Bilans_E_AMS_Kyoto_run3_MTE!W273</f>
        <v>0</v>
      </c>
      <c r="S12" s="422">
        <f>Bilans_E_AMS_Kyoto_run3_MTE!X273</f>
        <v>0</v>
      </c>
      <c r="T12" s="422">
        <f>Bilans_E_AMS_Kyoto_run3_MTE!Y273</f>
        <v>0</v>
      </c>
      <c r="U12" s="423">
        <f>Bilans_E_AMS_Kyoto_run3_MTE!Z273</f>
        <v>1885.6842651081022</v>
      </c>
      <c r="V12" s="701"/>
      <c r="W12" s="701"/>
    </row>
    <row r="13" spans="1:23" x14ac:dyDescent="0.25">
      <c r="A13" s="701" t="s">
        <v>488</v>
      </c>
      <c r="B13" s="701"/>
      <c r="C13" s="710" t="s">
        <v>60</v>
      </c>
      <c r="D13" s="422">
        <f>Bilans_E_AMS_Kyoto_run3_MTE!H274</f>
        <v>22.464942871093751</v>
      </c>
      <c r="E13" s="422">
        <f>Bilans_E_AMS_Kyoto_run3_MTE!I274</f>
        <v>389.53221362524027</v>
      </c>
      <c r="F13" s="422">
        <f>Bilans_E_AMS_Kyoto_run3_MTE!J274</f>
        <v>202.97851930888072</v>
      </c>
      <c r="G13" s="624">
        <f>Bilans_E_AMS_Kyoto_run3_MTE!K274</f>
        <v>0</v>
      </c>
      <c r="H13" s="422">
        <f>Bilans_E_AMS_Kyoto_run3_MTE!L274</f>
        <v>267.33328549941001</v>
      </c>
      <c r="I13" s="624">
        <f>Bilans_E_AMS_Kyoto_run3_MTE!M274</f>
        <v>0</v>
      </c>
      <c r="J13" s="422">
        <f>Bilans_E_AMS_Kyoto_run3_MTE!N274</f>
        <v>0</v>
      </c>
      <c r="K13" s="422">
        <f>Bilans_E_AMS_Kyoto_run3_MTE!O274</f>
        <v>0</v>
      </c>
      <c r="L13" s="422">
        <f>Bilans_E_AMS_Kyoto_run3_MTE!P274</f>
        <v>4.0538456241052359</v>
      </c>
      <c r="M13" s="422">
        <f>Bilans_E_AMS_Kyoto_run3_MTE!Q274</f>
        <v>0</v>
      </c>
      <c r="N13" s="628">
        <f>Bilans_E_AMS_Kyoto_run3_MTE!R274</f>
        <v>5.1043186047972853</v>
      </c>
      <c r="O13" s="432">
        <f>Bilans_E_AMS_Kyoto_run3_MTE!S274</f>
        <v>12.337837782216525</v>
      </c>
      <c r="P13" s="422">
        <f>Bilans_E_AMS_Kyoto_run3_MTE!T274+Bilans_E_AMS_Kyoto_run3_MTE!U274</f>
        <v>0</v>
      </c>
      <c r="Q13" s="422">
        <f>Bilans_E_AMS_Kyoto_run3_MTE!V274</f>
        <v>0</v>
      </c>
      <c r="R13" s="432">
        <f>Bilans_E_AMS_Kyoto_run3_MTE!W274</f>
        <v>0</v>
      </c>
      <c r="S13" s="422">
        <f>Bilans_E_AMS_Kyoto_run3_MTE!X274</f>
        <v>0</v>
      </c>
      <c r="T13" s="432">
        <f>Bilans_E_AMS_Kyoto_run3_MTE!Y274</f>
        <v>0</v>
      </c>
      <c r="U13" s="423">
        <f>Bilans_E_AMS_Kyoto_run3_MTE!Z274</f>
        <v>903.80496331574375</v>
      </c>
      <c r="V13" s="701"/>
      <c r="W13" s="701"/>
    </row>
    <row r="14" spans="1:23" x14ac:dyDescent="0.25">
      <c r="A14" s="701" t="s">
        <v>489</v>
      </c>
      <c r="B14" s="701"/>
      <c r="C14" s="710" t="s">
        <v>61</v>
      </c>
      <c r="D14" s="422">
        <f>Bilans_E_AMS_Kyoto_run3_MTE!H275</f>
        <v>0</v>
      </c>
      <c r="E14" s="422">
        <f>Bilans_E_AMS_Kyoto_run3_MTE!I275</f>
        <v>0</v>
      </c>
      <c r="F14" s="422">
        <f>Bilans_E_AMS_Kyoto_run3_MTE!J275</f>
        <v>0</v>
      </c>
      <c r="G14" s="624">
        <f>Bilans_E_AMS_Kyoto_run3_MTE!K275</f>
        <v>-0.25</v>
      </c>
      <c r="H14" s="422">
        <f>Bilans_E_AMS_Kyoto_run3_MTE!L275</f>
        <v>0</v>
      </c>
      <c r="I14" s="624">
        <f>Bilans_E_AMS_Kyoto_run3_MTE!M275</f>
        <v>0</v>
      </c>
      <c r="J14" s="422">
        <f>Bilans_E_AMS_Kyoto_run3_MTE!N275</f>
        <v>0</v>
      </c>
      <c r="K14" s="422">
        <f>Bilans_E_AMS_Kyoto_run3_MTE!O275</f>
        <v>0</v>
      </c>
      <c r="L14" s="422">
        <f>Bilans_E_AMS_Kyoto_run3_MTE!P275</f>
        <v>0</v>
      </c>
      <c r="M14" s="422">
        <f>Bilans_E_AMS_Kyoto_run3_MTE!Q275</f>
        <v>0</v>
      </c>
      <c r="N14" s="628">
        <f>Bilans_E_AMS_Kyoto_run3_MTE!R275</f>
        <v>0</v>
      </c>
      <c r="O14" s="432">
        <f>Bilans_E_AMS_Kyoto_run3_MTE!S275</f>
        <v>0</v>
      </c>
      <c r="P14" s="422">
        <f>Bilans_E_AMS_Kyoto_run3_MTE!T275+Bilans_E_AMS_Kyoto_run3_MTE!U275</f>
        <v>0</v>
      </c>
      <c r="Q14" s="422">
        <f>Bilans_E_AMS_Kyoto_run3_MTE!V275</f>
        <v>0</v>
      </c>
      <c r="R14" s="432">
        <f>Bilans_E_AMS_Kyoto_run3_MTE!W275</f>
        <v>-57.004792385507699</v>
      </c>
      <c r="S14" s="422">
        <f>Bilans_E_AMS_Kyoto_run3_MTE!X275</f>
        <v>0</v>
      </c>
      <c r="T14" s="432">
        <f>Bilans_E_AMS_Kyoto_run3_MTE!Y275</f>
        <v>0</v>
      </c>
      <c r="U14" s="423">
        <f>Bilans_E_AMS_Kyoto_run3_MTE!Z275</f>
        <v>-57.254792385507699</v>
      </c>
      <c r="V14" s="701"/>
      <c r="W14" s="701"/>
    </row>
    <row r="15" spans="1:23" x14ac:dyDescent="0.25">
      <c r="A15" s="701" t="s">
        <v>490</v>
      </c>
      <c r="B15" s="701"/>
      <c r="C15" s="710" t="s">
        <v>62</v>
      </c>
      <c r="D15" s="421">
        <f>Bilans_E_AMS_Kyoto_run3_MTE!H276</f>
        <v>0</v>
      </c>
      <c r="E15" s="421">
        <f>Bilans_E_AMS_Kyoto_run3_MTE!I276</f>
        <v>0</v>
      </c>
      <c r="F15" s="421">
        <f>Bilans_E_AMS_Kyoto_run3_MTE!J276</f>
        <v>-8.8542757571138289</v>
      </c>
      <c r="G15" s="624">
        <f>Bilans_E_AMS_Kyoto_run3_MTE!K276</f>
        <v>-0.23021574029600306</v>
      </c>
      <c r="H15" s="421">
        <f>Bilans_E_AMS_Kyoto_run3_MTE!L276</f>
        <v>-1.4644559448503458</v>
      </c>
      <c r="I15" s="624">
        <f>Bilans_E_AMS_Kyoto_run3_MTE!M276</f>
        <v>-0.23021574029600303</v>
      </c>
      <c r="J15" s="421">
        <f>Bilans_E_AMS_Kyoto_run3_MTE!N276</f>
        <v>0</v>
      </c>
      <c r="K15" s="421">
        <f>Bilans_E_AMS_Kyoto_run3_MTE!O276</f>
        <v>0</v>
      </c>
      <c r="L15" s="421">
        <f>Bilans_E_AMS_Kyoto_run3_MTE!P276</f>
        <v>0</v>
      </c>
      <c r="M15" s="421">
        <f>Bilans_E_AMS_Kyoto_run3_MTE!Q276</f>
        <v>0</v>
      </c>
      <c r="N15" s="431">
        <f>Bilans_E_AMS_Kyoto_run3_MTE!R276</f>
        <v>0</v>
      </c>
      <c r="O15" s="431">
        <f>Bilans_E_AMS_Kyoto_run3_MTE!S276</f>
        <v>-0.67992597439480318</v>
      </c>
      <c r="P15" s="421">
        <f>Bilans_E_AMS_Kyoto_run3_MTE!T276+Bilans_E_AMS_Kyoto_run3_MTE!U276</f>
        <v>0</v>
      </c>
      <c r="Q15" s="421">
        <f>Bilans_E_AMS_Kyoto_run3_MTE!V276</f>
        <v>0</v>
      </c>
      <c r="R15" s="422">
        <f>Bilans_E_AMS_Kyoto_run3_MTE!W276</f>
        <v>0</v>
      </c>
      <c r="S15" s="422">
        <f>Bilans_E_AMS_Kyoto_run3_MTE!X276</f>
        <v>0</v>
      </c>
      <c r="T15" s="431">
        <f>Bilans_E_AMS_Kyoto_run3_MTE!Y276</f>
        <v>-8.5184540446497051E-2</v>
      </c>
      <c r="U15" s="423">
        <f>Bilans_E_AMS_Kyoto_run3_MTE!Z276</f>
        <v>-11.544273697397482</v>
      </c>
      <c r="V15" s="701"/>
      <c r="W15" s="701"/>
    </row>
    <row r="16" spans="1:23" x14ac:dyDescent="0.25">
      <c r="A16" s="701" t="s">
        <v>491</v>
      </c>
      <c r="B16" s="701"/>
      <c r="C16" s="710" t="s">
        <v>63</v>
      </c>
      <c r="D16" s="421">
        <f>Bilans_E_AMS_Kyoto_run3_MTE!H277</f>
        <v>0</v>
      </c>
      <c r="E16" s="421">
        <f>Bilans_E_AMS_Kyoto_run3_MTE!I277</f>
        <v>0</v>
      </c>
      <c r="F16" s="421">
        <f>Bilans_E_AMS_Kyoto_run3_MTE!J277</f>
        <v>-70</v>
      </c>
      <c r="G16" s="624">
        <f>Bilans_E_AMS_Kyoto_run3_MTE!K277</f>
        <v>-1</v>
      </c>
      <c r="H16" s="421">
        <f>Bilans_E_AMS_Kyoto_run3_MTE!L277</f>
        <v>0</v>
      </c>
      <c r="I16" s="624">
        <f>Bilans_E_AMS_Kyoto_run3_MTE!M277</f>
        <v>0</v>
      </c>
      <c r="J16" s="421">
        <f>Bilans_E_AMS_Kyoto_run3_MTE!N277</f>
        <v>0</v>
      </c>
      <c r="K16" s="421">
        <f>Bilans_E_AMS_Kyoto_run3_MTE!O277</f>
        <v>0</v>
      </c>
      <c r="L16" s="421">
        <f>Bilans_E_AMS_Kyoto_run3_MTE!P277</f>
        <v>0</v>
      </c>
      <c r="M16" s="421">
        <f>Bilans_E_AMS_Kyoto_run3_MTE!Q277</f>
        <v>0</v>
      </c>
      <c r="N16" s="431">
        <f>Bilans_E_AMS_Kyoto_run3_MTE!R277</f>
        <v>-4</v>
      </c>
      <c r="O16" s="431">
        <f>Bilans_E_AMS_Kyoto_run3_MTE!S277</f>
        <v>0</v>
      </c>
      <c r="P16" s="421">
        <f>Bilans_E_AMS_Kyoto_run3_MTE!T277+Bilans_E_AMS_Kyoto_run3_MTE!U277</f>
        <v>0</v>
      </c>
      <c r="Q16" s="421">
        <f>Bilans_E_AMS_Kyoto_run3_MTE!V277</f>
        <v>0</v>
      </c>
      <c r="R16" s="422">
        <f>Bilans_E_AMS_Kyoto_run3_MTE!W277</f>
        <v>0</v>
      </c>
      <c r="S16" s="422">
        <f>Bilans_E_AMS_Kyoto_run3_MTE!X277</f>
        <v>0</v>
      </c>
      <c r="T16" s="431">
        <f>Bilans_E_AMS_Kyoto_run3_MTE!Y277</f>
        <v>0</v>
      </c>
      <c r="U16" s="423">
        <f>Bilans_E_AMS_Kyoto_run3_MTE!Z277</f>
        <v>-75</v>
      </c>
      <c r="V16" s="701"/>
      <c r="W16" s="701"/>
    </row>
    <row r="17" spans="1:23" x14ac:dyDescent="0.25">
      <c r="A17" s="701" t="s">
        <v>492</v>
      </c>
      <c r="B17" s="701"/>
      <c r="C17" s="710" t="s">
        <v>64</v>
      </c>
      <c r="D17" s="422">
        <f>Bilans_E_AMS_Kyoto_run3_MTE!H278</f>
        <v>0</v>
      </c>
      <c r="E17" s="422">
        <f>Bilans_E_AMS_Kyoto_run3_MTE!I278</f>
        <v>0</v>
      </c>
      <c r="F17" s="422">
        <f>Bilans_E_AMS_Kyoto_run3_MTE!J278</f>
        <v>0</v>
      </c>
      <c r="G17" s="611">
        <f>Bilans_E_AMS_Kyoto_run3_MTE!K278</f>
        <v>0</v>
      </c>
      <c r="H17" s="422">
        <f>Bilans_E_AMS_Kyoto_run3_MTE!L278</f>
        <v>0</v>
      </c>
      <c r="I17" s="611">
        <f>Bilans_E_AMS_Kyoto_run3_MTE!M278</f>
        <v>0</v>
      </c>
      <c r="J17" s="422">
        <f>Bilans_E_AMS_Kyoto_run3_MTE!N278</f>
        <v>0</v>
      </c>
      <c r="K17" s="422">
        <f>Bilans_E_AMS_Kyoto_run3_MTE!O278</f>
        <v>0</v>
      </c>
      <c r="L17" s="422">
        <f>Bilans_E_AMS_Kyoto_run3_MTE!P278</f>
        <v>0</v>
      </c>
      <c r="M17" s="422">
        <f>Bilans_E_AMS_Kyoto_run3_MTE!Q278</f>
        <v>0</v>
      </c>
      <c r="N17" s="422">
        <f>Bilans_E_AMS_Kyoto_run3_MTE!R278</f>
        <v>0</v>
      </c>
      <c r="O17" s="422">
        <f>Bilans_E_AMS_Kyoto_run3_MTE!S278</f>
        <v>0</v>
      </c>
      <c r="P17" s="422">
        <f>Bilans_E_AMS_Kyoto_run3_MTE!T278+Bilans_E_AMS_Kyoto_run3_MTE!U278</f>
        <v>0</v>
      </c>
      <c r="Q17" s="422">
        <f>Bilans_E_AMS_Kyoto_run3_MTE!V278</f>
        <v>0</v>
      </c>
      <c r="R17" s="422">
        <f>Bilans_E_AMS_Kyoto_run3_MTE!W278</f>
        <v>0</v>
      </c>
      <c r="S17" s="422">
        <f>Bilans_E_AMS_Kyoto_run3_MTE!X278</f>
        <v>0</v>
      </c>
      <c r="T17" s="422">
        <f>Bilans_E_AMS_Kyoto_run3_MTE!Y278</f>
        <v>0</v>
      </c>
      <c r="U17" s="423">
        <f>Bilans_E_AMS_Kyoto_run3_MTE!Z278</f>
        <v>0</v>
      </c>
      <c r="V17" s="701"/>
      <c r="W17" s="701"/>
    </row>
    <row r="18" spans="1:23" x14ac:dyDescent="0.25">
      <c r="A18" s="701" t="s">
        <v>493</v>
      </c>
      <c r="B18" s="701"/>
      <c r="C18" s="713" t="s">
        <v>65</v>
      </c>
      <c r="D18" s="510">
        <f>Bilans_E_AMS_Kyoto_run3_MTE!H279</f>
        <v>22.464942871093751</v>
      </c>
      <c r="E18" s="510">
        <f>Bilans_E_AMS_Kyoto_run3_MTE!I279</f>
        <v>399.0688136252403</v>
      </c>
      <c r="F18" s="510">
        <f>Bilans_E_AMS_Kyoto_run3_MTE!J279</f>
        <v>124.12424355176688</v>
      </c>
      <c r="G18" s="615">
        <f>Bilans_E_AMS_Kyoto_run3_MTE!K279</f>
        <v>-1.480215740296003</v>
      </c>
      <c r="H18" s="510">
        <f>Bilans_E_AMS_Kyoto_run3_MTE!L279</f>
        <v>266.06653955455965</v>
      </c>
      <c r="I18" s="615">
        <f>Bilans_E_AMS_Kyoto_run3_MTE!M279</f>
        <v>-0.23021574029600303</v>
      </c>
      <c r="J18" s="425">
        <f>Bilans_E_AMS_Kyoto_run3_MTE!N279</f>
        <v>1170.5483636363635</v>
      </c>
      <c r="K18" s="425">
        <f>Bilans_E_AMS_Kyoto_run3_MTE!O279</f>
        <v>211.05320151197157</v>
      </c>
      <c r="L18" s="425">
        <f>Bilans_E_AMS_Kyoto_run3_MTE!P279</f>
        <v>294.96393379205057</v>
      </c>
      <c r="M18" s="510">
        <f>Bilans_E_AMS_Kyoto_run3_MTE!Q279</f>
        <v>51.094236462375186</v>
      </c>
      <c r="N18" s="425">
        <f>Bilans_E_AMS_Kyoto_run3_MTE!R279</f>
        <v>1.1043186047972853</v>
      </c>
      <c r="O18" s="425">
        <f>Bilans_E_AMS_Kyoto_run3_MTE!S279</f>
        <v>11.657911807821721</v>
      </c>
      <c r="P18" s="425">
        <f>Bilans_E_AMS_Kyoto_run3_MTE!T279+Bilans_E_AMS_Kyoto_run3_MTE!U279</f>
        <v>129.75938144805454</v>
      </c>
      <c r="Q18" s="425">
        <f>Bilans_E_AMS_Kyoto_run3_MTE!V279</f>
        <v>22.58468388139195</v>
      </c>
      <c r="R18" s="425">
        <f>Bilans_E_AMS_Kyoto_run3_MTE!W279</f>
        <v>-57.004792385507699</v>
      </c>
      <c r="S18" s="425">
        <f>Bilans_E_AMS_Kyoto_run3_MTE!X279</f>
        <v>0</v>
      </c>
      <c r="T18" s="425">
        <f>Bilans_E_AMS_Kyoto_run3_MTE!Y279</f>
        <v>-8.5184540446497051E-2</v>
      </c>
      <c r="U18" s="425">
        <f>Bilans_E_AMS_Kyoto_run3_MTE!Z279</f>
        <v>2645.6901623409408</v>
      </c>
      <c r="V18" s="701"/>
      <c r="W18" s="701"/>
    </row>
    <row r="19" spans="1:23" x14ac:dyDescent="0.25">
      <c r="A19" s="701"/>
      <c r="B19" s="701"/>
      <c r="C19" s="715"/>
      <c r="D19" s="427"/>
      <c r="E19" s="492"/>
      <c r="F19" s="492"/>
      <c r="G19" s="617"/>
      <c r="H19" s="492"/>
      <c r="I19" s="617"/>
      <c r="J19" s="427"/>
      <c r="K19" s="427"/>
      <c r="L19" s="427"/>
      <c r="M19" s="492"/>
      <c r="N19" s="427"/>
      <c r="O19" s="427"/>
      <c r="P19" s="427">
        <f>Bilans_E_AMS_Kyoto_run3_MTE!T280+Bilans_E_AMS_Kyoto_run3_MTE!U280</f>
        <v>0</v>
      </c>
      <c r="Q19" s="427"/>
      <c r="R19" s="492"/>
      <c r="S19" s="492"/>
      <c r="T19" s="427"/>
      <c r="U19" s="427"/>
      <c r="V19" s="701"/>
      <c r="W19" s="701"/>
    </row>
    <row r="20" spans="1:23" x14ac:dyDescent="0.25">
      <c r="A20" s="701" t="s">
        <v>494</v>
      </c>
      <c r="B20" s="701"/>
      <c r="C20" s="717" t="s">
        <v>67</v>
      </c>
      <c r="D20" s="421">
        <f>Bilans_E_AMS_Kyoto_run3_MTE!H281</f>
        <v>0</v>
      </c>
      <c r="E20" s="431">
        <f>Bilans_E_AMS_Kyoto_run3_MTE!I281</f>
        <v>0</v>
      </c>
      <c r="F20" s="431">
        <f>Bilans_E_AMS_Kyoto_run3_MTE!J281</f>
        <v>0</v>
      </c>
      <c r="G20" s="611">
        <f>Bilans_E_AMS_Kyoto_run3_MTE!K281</f>
        <v>0</v>
      </c>
      <c r="H20" s="431">
        <f>Bilans_E_AMS_Kyoto_run3_MTE!L281</f>
        <v>0</v>
      </c>
      <c r="I20" s="611">
        <f>Bilans_E_AMS_Kyoto_run3_MTE!M281</f>
        <v>0</v>
      </c>
      <c r="J20" s="421">
        <f>Bilans_E_AMS_Kyoto_run3_MTE!N281</f>
        <v>0</v>
      </c>
      <c r="K20" s="421">
        <f>Bilans_E_AMS_Kyoto_run3_MTE!O281</f>
        <v>0</v>
      </c>
      <c r="L20" s="421">
        <f>Bilans_E_AMS_Kyoto_run3_MTE!P281</f>
        <v>0</v>
      </c>
      <c r="M20" s="431">
        <f>Bilans_E_AMS_Kyoto_run3_MTE!Q281</f>
        <v>0</v>
      </c>
      <c r="N20" s="421">
        <f>Bilans_E_AMS_Kyoto_run3_MTE!R281</f>
        <v>0</v>
      </c>
      <c r="O20" s="421">
        <f>Bilans_E_AMS_Kyoto_run3_MTE!S281</f>
        <v>0</v>
      </c>
      <c r="P20" s="421">
        <f>Bilans_E_AMS_Kyoto_run3_MTE!T281+Bilans_E_AMS_Kyoto_run3_MTE!U281</f>
        <v>0</v>
      </c>
      <c r="Q20" s="421">
        <f>Bilans_E_AMS_Kyoto_run3_MTE!V281</f>
        <v>0</v>
      </c>
      <c r="R20" s="431">
        <f>Bilans_E_AMS_Kyoto_run3_MTE!W281</f>
        <v>0</v>
      </c>
      <c r="S20" s="431">
        <f>Bilans_E_AMS_Kyoto_run3_MTE!X281</f>
        <v>0</v>
      </c>
      <c r="T20" s="422">
        <f>Bilans_E_AMS_Kyoto_run3_MTE!Y281</f>
        <v>0</v>
      </c>
      <c r="U20" s="423">
        <f>Bilans_E_AMS_Kyoto_run3_MTE!Z281</f>
        <v>0</v>
      </c>
      <c r="V20" s="701"/>
      <c r="W20" s="701"/>
    </row>
    <row r="21" spans="1:23" x14ac:dyDescent="0.25">
      <c r="A21" s="701" t="s">
        <v>495</v>
      </c>
      <c r="B21" s="701"/>
      <c r="C21" s="717" t="s">
        <v>347</v>
      </c>
      <c r="D21" s="431">
        <f>Bilans_E_AMS_Kyoto_run3_MTE!H282</f>
        <v>0</v>
      </c>
      <c r="E21" s="421">
        <f>Bilans_E_AMS_Kyoto_run3_MTE!I282</f>
        <v>0</v>
      </c>
      <c r="F21" s="431">
        <f>Bilans_E_AMS_Kyoto_run3_MTE!J282</f>
        <v>0.77863803143112786</v>
      </c>
      <c r="G21" s="611">
        <f>Bilans_E_AMS_Kyoto_run3_MTE!K282</f>
        <v>0</v>
      </c>
      <c r="H21" s="431">
        <f>Bilans_E_AMS_Kyoto_run3_MTE!L282</f>
        <v>37.284874621454541</v>
      </c>
      <c r="I21" s="611">
        <f>Bilans_E_AMS_Kyoto_run3_MTE!M282</f>
        <v>0</v>
      </c>
      <c r="J21" s="431">
        <f>Bilans_E_AMS_Kyoto_run3_MTE!N282</f>
        <v>1170.5483636363635</v>
      </c>
      <c r="K21" s="431">
        <f>Bilans_E_AMS_Kyoto_run3_MTE!O282</f>
        <v>211.05320151197157</v>
      </c>
      <c r="L21" s="431">
        <f>Bilans_E_AMS_Kyoto_run3_MTE!P282</f>
        <v>13.643826551456822</v>
      </c>
      <c r="M21" s="431">
        <f>Bilans_E_AMS_Kyoto_run3_MTE!Q282</f>
        <v>6.3714737362755738</v>
      </c>
      <c r="N21" s="625">
        <f>Bilans_E_AMS_Kyoto_run3_MTE!R282</f>
        <v>4.4112574708908179</v>
      </c>
      <c r="O21" s="431">
        <f>Bilans_E_AMS_Kyoto_run3_MTE!S282</f>
        <v>11.131476471231387</v>
      </c>
      <c r="P21" s="421">
        <f>Bilans_E_AMS_Kyoto_run3_MTE!T282+Bilans_E_AMS_Kyoto_run3_MTE!U282</f>
        <v>0</v>
      </c>
      <c r="Q21" s="625">
        <f>Bilans_E_AMS_Kyoto_run3_MTE!V282</f>
        <v>0</v>
      </c>
      <c r="R21" s="421">
        <f>Bilans_E_AMS_Kyoto_run3_MTE!W282</f>
        <v>-636.49198102617061</v>
      </c>
      <c r="S21" s="421">
        <f>Bilans_E_AMS_Kyoto_run3_MTE!X282</f>
        <v>0</v>
      </c>
      <c r="T21" s="432">
        <f>Bilans_E_AMS_Kyoto_run3_MTE!Y282</f>
        <v>0</v>
      </c>
      <c r="U21" s="491">
        <f>Bilans_E_AMS_Kyoto_run3_MTE!Z282</f>
        <v>818.73113100490491</v>
      </c>
      <c r="V21" s="701"/>
      <c r="W21" s="701"/>
    </row>
    <row r="22" spans="1:23" x14ac:dyDescent="0.25">
      <c r="A22" s="701" t="s">
        <v>496</v>
      </c>
      <c r="B22" s="701"/>
      <c r="C22" s="717" t="s">
        <v>348</v>
      </c>
      <c r="D22" s="431">
        <f>Bilans_E_AMS_Kyoto_run3_MTE!H283</f>
        <v>0</v>
      </c>
      <c r="E22" s="421">
        <f>Bilans_E_AMS_Kyoto_run3_MTE!I283</f>
        <v>0</v>
      </c>
      <c r="F22" s="431">
        <f>Bilans_E_AMS_Kyoto_run3_MTE!J283</f>
        <v>0</v>
      </c>
      <c r="G22" s="611">
        <f>Bilans_E_AMS_Kyoto_run3_MTE!K283</f>
        <v>0</v>
      </c>
      <c r="H22" s="431">
        <f>Bilans_E_AMS_Kyoto_run3_MTE!L283</f>
        <v>21.01937665904569</v>
      </c>
      <c r="I22" s="718">
        <f>Bilans_E_AMS_Kyoto_run3_MTE!M283</f>
        <v>0</v>
      </c>
      <c r="J22" s="718">
        <f>Bilans_E_AMS_Kyoto_run3_MTE!N283</f>
        <v>0</v>
      </c>
      <c r="K22" s="421">
        <f>Bilans_E_AMS_Kyoto_run3_MTE!O283</f>
        <v>0</v>
      </c>
      <c r="L22" s="431">
        <f>Bilans_E_AMS_Kyoto_run3_MTE!P283</f>
        <v>25.438759695297328</v>
      </c>
      <c r="M22" s="431">
        <f>Bilans_E_AMS_Kyoto_run3_MTE!Q283</f>
        <v>17.519848610972289</v>
      </c>
      <c r="N22" s="421">
        <f>Bilans_E_AMS_Kyoto_run3_MTE!R283</f>
        <v>0</v>
      </c>
      <c r="O22" s="431">
        <f>Bilans_E_AMS_Kyoto_run3_MTE!S283</f>
        <v>5.5617593110833985</v>
      </c>
      <c r="P22" s="718">
        <f>Bilans_E_AMS_Kyoto_run3_MTE!T283+Bilans_E_AMS_Kyoto_run3_MTE!U283</f>
        <v>5.5922659753689832</v>
      </c>
      <c r="Q22" s="431">
        <f>Bilans_E_AMS_Kyoto_run3_MTE!V283</f>
        <v>10.223550533524911</v>
      </c>
      <c r="R22" s="421">
        <f>Bilans_E_AMS_Kyoto_run3_MTE!W283</f>
        <v>0</v>
      </c>
      <c r="S22" s="421">
        <f>Bilans_E_AMS_Kyoto_run3_MTE!X283</f>
        <v>-76.161434631032037</v>
      </c>
      <c r="T22" s="432">
        <f>Bilans_E_AMS_Kyoto_run3_MTE!Y283</f>
        <v>0</v>
      </c>
      <c r="U22" s="491">
        <f>Bilans_E_AMS_Kyoto_run3_MTE!Z283</f>
        <v>9.194126154260573</v>
      </c>
      <c r="V22" s="701"/>
      <c r="W22" s="701"/>
    </row>
    <row r="23" spans="1:23" x14ac:dyDescent="0.25">
      <c r="A23" s="701" t="s">
        <v>497</v>
      </c>
      <c r="B23" s="701"/>
      <c r="C23" s="717" t="s">
        <v>349</v>
      </c>
      <c r="D23" s="421">
        <f>Bilans_E_AMS_Kyoto_run3_MTE!H284</f>
        <v>0</v>
      </c>
      <c r="E23" s="421">
        <f>Bilans_E_AMS_Kyoto_run3_MTE!I284</f>
        <v>0</v>
      </c>
      <c r="F23" s="421">
        <f>Bilans_E_AMS_Kyoto_run3_MTE!J284</f>
        <v>0</v>
      </c>
      <c r="G23" s="611">
        <f>Bilans_E_AMS_Kyoto_run3_MTE!K284</f>
        <v>0</v>
      </c>
      <c r="H23" s="421">
        <f>Bilans_E_AMS_Kyoto_run3_MTE!L284</f>
        <v>0</v>
      </c>
      <c r="I23" s="611">
        <f>Bilans_E_AMS_Kyoto_run3_MTE!M284</f>
        <v>0</v>
      </c>
      <c r="J23" s="421">
        <f>Bilans_E_AMS_Kyoto_run3_MTE!N284</f>
        <v>0</v>
      </c>
      <c r="K23" s="421">
        <f>Bilans_E_AMS_Kyoto_run3_MTE!O284</f>
        <v>0</v>
      </c>
      <c r="L23" s="431">
        <f>Bilans_E_AMS_Kyoto_run3_MTE!P284</f>
        <v>68.878327619299128</v>
      </c>
      <c r="M23" s="718">
        <f>Bilans_E_AMS_Kyoto_run3_MTE!Q284</f>
        <v>9.6609327353265275</v>
      </c>
      <c r="N23" s="421">
        <f>Bilans_E_AMS_Kyoto_run3_MTE!R284</f>
        <v>0</v>
      </c>
      <c r="O23" s="421">
        <f>Bilans_E_AMS_Kyoto_run3_MTE!S284</f>
        <v>-39.337598681233651</v>
      </c>
      <c r="P23" s="421">
        <f>Bilans_E_AMS_Kyoto_run3_MTE!T284+Bilans_E_AMS_Kyoto_run3_MTE!U284</f>
        <v>0</v>
      </c>
      <c r="Q23" s="421">
        <f>Bilans_E_AMS_Kyoto_run3_MTE!V284</f>
        <v>0</v>
      </c>
      <c r="R23" s="421">
        <f>Bilans_E_AMS_Kyoto_run3_MTE!W284</f>
        <v>0</v>
      </c>
      <c r="S23" s="421">
        <f>Bilans_E_AMS_Kyoto_run3_MTE!X284</f>
        <v>0</v>
      </c>
      <c r="T23" s="422">
        <f>Bilans_E_AMS_Kyoto_run3_MTE!Y284</f>
        <v>0</v>
      </c>
      <c r="U23" s="491">
        <f>Bilans_E_AMS_Kyoto_run3_MTE!Z284</f>
        <v>39.201661673392003</v>
      </c>
      <c r="V23" s="701"/>
      <c r="W23" s="701"/>
    </row>
    <row r="24" spans="1:23" x14ac:dyDescent="0.25">
      <c r="A24" s="701" t="s">
        <v>498</v>
      </c>
      <c r="B24" s="701"/>
      <c r="C24" s="717" t="s">
        <v>350</v>
      </c>
      <c r="D24" s="421">
        <f>Bilans_E_AMS_Kyoto_run3_MTE!H285</f>
        <v>0</v>
      </c>
      <c r="E24" s="421">
        <f>Bilans_E_AMS_Kyoto_run3_MTE!I285</f>
        <v>0</v>
      </c>
      <c r="F24" s="421">
        <f>Bilans_E_AMS_Kyoto_run3_MTE!J285</f>
        <v>0</v>
      </c>
      <c r="G24" s="611">
        <f>Bilans_E_AMS_Kyoto_run3_MTE!K285</f>
        <v>0</v>
      </c>
      <c r="H24" s="421">
        <f>Bilans_E_AMS_Kyoto_run3_MTE!L285</f>
        <v>0</v>
      </c>
      <c r="I24" s="611">
        <f>Bilans_E_AMS_Kyoto_run3_MTE!M285</f>
        <v>-0.23021574029600303</v>
      </c>
      <c r="J24" s="421">
        <f>Bilans_E_AMS_Kyoto_run3_MTE!N285</f>
        <v>0</v>
      </c>
      <c r="K24" s="421">
        <f>Bilans_E_AMS_Kyoto_run3_MTE!O285</f>
        <v>0</v>
      </c>
      <c r="L24" s="421">
        <f>Bilans_E_AMS_Kyoto_run3_MTE!P285</f>
        <v>0</v>
      </c>
      <c r="M24" s="421">
        <f>Bilans_E_AMS_Kyoto_run3_MTE!Q285</f>
        <v>0</v>
      </c>
      <c r="N24" s="421">
        <f>Bilans_E_AMS_Kyoto_run3_MTE!R285</f>
        <v>0</v>
      </c>
      <c r="O24" s="421">
        <f>Bilans_E_AMS_Kyoto_run3_MTE!S285</f>
        <v>0</v>
      </c>
      <c r="P24" s="421">
        <f>Bilans_E_AMS_Kyoto_run3_MTE!T285+Bilans_E_AMS_Kyoto_run3_MTE!U285</f>
        <v>0</v>
      </c>
      <c r="Q24" s="421">
        <f>Bilans_E_AMS_Kyoto_run3_MTE!V285</f>
        <v>0</v>
      </c>
      <c r="R24" s="421">
        <f>Bilans_E_AMS_Kyoto_run3_MTE!W285</f>
        <v>0</v>
      </c>
      <c r="S24" s="421">
        <f>Bilans_E_AMS_Kyoto_run3_MTE!X285</f>
        <v>0</v>
      </c>
      <c r="T24" s="628">
        <f>Bilans_E_AMS_Kyoto_run3_MTE!Y285</f>
        <v>0.31974408374444868</v>
      </c>
      <c r="U24" s="629">
        <f>Bilans_E_AMS_Kyoto_run3_MTE!Z285</f>
        <v>8.9528343448445652E-2</v>
      </c>
      <c r="V24" s="701"/>
      <c r="W24" s="701"/>
    </row>
    <row r="25" spans="1:23" x14ac:dyDescent="0.25">
      <c r="A25" s="701" t="s">
        <v>499</v>
      </c>
      <c r="B25" s="701"/>
      <c r="C25" s="717" t="s">
        <v>72</v>
      </c>
      <c r="D25" s="421">
        <f>Bilans_E_AMS_Kyoto_run3_MTE!H286</f>
        <v>0</v>
      </c>
      <c r="E25" s="431">
        <f>Bilans_E_AMS_Kyoto_run3_MTE!I286</f>
        <v>413.59716113320059</v>
      </c>
      <c r="F25" s="421">
        <f>Bilans_E_AMS_Kyoto_run3_MTE!J286</f>
        <v>-409.46118952186856</v>
      </c>
      <c r="G25" s="611">
        <f>Bilans_E_AMS_Kyoto_run3_MTE!K286</f>
        <v>0</v>
      </c>
      <c r="H25" s="431">
        <f>Bilans_E_AMS_Kyoto_run3_MTE!L286</f>
        <v>0</v>
      </c>
      <c r="I25" s="611">
        <f>Bilans_E_AMS_Kyoto_run3_MTE!M286</f>
        <v>0</v>
      </c>
      <c r="J25" s="421">
        <f>Bilans_E_AMS_Kyoto_run3_MTE!N286</f>
        <v>0</v>
      </c>
      <c r="K25" s="421">
        <f>Bilans_E_AMS_Kyoto_run3_MTE!O286</f>
        <v>0</v>
      </c>
      <c r="L25" s="421">
        <f>Bilans_E_AMS_Kyoto_run3_MTE!P286</f>
        <v>0</v>
      </c>
      <c r="M25" s="421">
        <f>Bilans_E_AMS_Kyoto_run3_MTE!Q286</f>
        <v>0</v>
      </c>
      <c r="N25" s="421">
        <f>Bilans_E_AMS_Kyoto_run3_MTE!R286</f>
        <v>0</v>
      </c>
      <c r="O25" s="421">
        <f>Bilans_E_AMS_Kyoto_run3_MTE!S286</f>
        <v>0</v>
      </c>
      <c r="P25" s="421">
        <f>Bilans_E_AMS_Kyoto_run3_MTE!T286+Bilans_E_AMS_Kyoto_run3_MTE!U286</f>
        <v>0</v>
      </c>
      <c r="Q25" s="421">
        <f>Bilans_E_AMS_Kyoto_run3_MTE!V286</f>
        <v>0</v>
      </c>
      <c r="R25" s="421">
        <f>Bilans_E_AMS_Kyoto_run3_MTE!W286</f>
        <v>0</v>
      </c>
      <c r="S25" s="421">
        <f>Bilans_E_AMS_Kyoto_run3_MTE!X286</f>
        <v>0</v>
      </c>
      <c r="T25" s="422">
        <f>Bilans_E_AMS_Kyoto_run3_MTE!Y286</f>
        <v>0</v>
      </c>
      <c r="U25" s="491">
        <f>Bilans_E_AMS_Kyoto_run3_MTE!Z286</f>
        <v>4.1359716113320246</v>
      </c>
      <c r="V25" s="701"/>
      <c r="W25" s="701"/>
    </row>
    <row r="26" spans="1:23" x14ac:dyDescent="0.25">
      <c r="A26" s="701" t="s">
        <v>500</v>
      </c>
      <c r="B26" s="701"/>
      <c r="C26" s="717" t="s">
        <v>351</v>
      </c>
      <c r="D26" s="421">
        <f>Bilans_E_AMS_Kyoto_run3_MTE!H287</f>
        <v>0</v>
      </c>
      <c r="E26" s="421">
        <f>Bilans_E_AMS_Kyoto_run3_MTE!I287</f>
        <v>0</v>
      </c>
      <c r="F26" s="421">
        <f>Bilans_E_AMS_Kyoto_run3_MTE!J287</f>
        <v>0</v>
      </c>
      <c r="G26" s="611">
        <f>Bilans_E_AMS_Kyoto_run3_MTE!K287</f>
        <v>0</v>
      </c>
      <c r="H26" s="421">
        <f>Bilans_E_AMS_Kyoto_run3_MTE!L287</f>
        <v>0</v>
      </c>
      <c r="I26" s="611">
        <f>Bilans_E_AMS_Kyoto_run3_MTE!M287</f>
        <v>0</v>
      </c>
      <c r="J26" s="421">
        <f>Bilans_E_AMS_Kyoto_run3_MTE!N287</f>
        <v>0</v>
      </c>
      <c r="K26" s="421">
        <f>Bilans_E_AMS_Kyoto_run3_MTE!O287</f>
        <v>0</v>
      </c>
      <c r="L26" s="625">
        <f>Bilans_E_AMS_Kyoto_run3_MTE!P287</f>
        <v>74.303583996360487</v>
      </c>
      <c r="M26" s="718">
        <f>Bilans_E_AMS_Kyoto_run3_MTE!Q287</f>
        <v>7.2727272727272725</v>
      </c>
      <c r="N26" s="421">
        <f>Bilans_E_AMS_Kyoto_run3_MTE!R287</f>
        <v>-45.504026449722858</v>
      </c>
      <c r="O26" s="421">
        <f>Bilans_E_AMS_Kyoto_run3_MTE!S287</f>
        <v>0</v>
      </c>
      <c r="P26" s="421">
        <f>Bilans_E_AMS_Kyoto_run3_MTE!T287+Bilans_E_AMS_Kyoto_run3_MTE!U287</f>
        <v>0</v>
      </c>
      <c r="Q26" s="421">
        <f>Bilans_E_AMS_Kyoto_run3_MTE!V287</f>
        <v>0</v>
      </c>
      <c r="R26" s="421">
        <f>Bilans_E_AMS_Kyoto_run3_MTE!W287</f>
        <v>0</v>
      </c>
      <c r="S26" s="421">
        <f>Bilans_E_AMS_Kyoto_run3_MTE!X287</f>
        <v>0</v>
      </c>
      <c r="T26" s="422">
        <f>Bilans_E_AMS_Kyoto_run3_MTE!Y287</f>
        <v>0</v>
      </c>
      <c r="U26" s="683">
        <f>Bilans_E_AMS_Kyoto_run3_MTE!Z287</f>
        <v>36.072284819364896</v>
      </c>
      <c r="V26" s="701"/>
      <c r="W26" s="701"/>
    </row>
    <row r="27" spans="1:23" x14ac:dyDescent="0.25">
      <c r="A27" s="701" t="s">
        <v>501</v>
      </c>
      <c r="B27" s="701"/>
      <c r="C27" s="717" t="s">
        <v>352</v>
      </c>
      <c r="D27" s="421">
        <f>Bilans_E_AMS_Kyoto_run3_MTE!H288</f>
        <v>0</v>
      </c>
      <c r="E27" s="421">
        <f>Bilans_E_AMS_Kyoto_run3_MTE!I288</f>
        <v>0</v>
      </c>
      <c r="F27" s="421">
        <f>Bilans_E_AMS_Kyoto_run3_MTE!J288</f>
        <v>0</v>
      </c>
      <c r="G27" s="611">
        <f>Bilans_E_AMS_Kyoto_run3_MTE!K288</f>
        <v>-1.480215740296003</v>
      </c>
      <c r="H27" s="421">
        <f>Bilans_E_AMS_Kyoto_run3_MTE!L288</f>
        <v>0</v>
      </c>
      <c r="I27" s="611">
        <f>Bilans_E_AMS_Kyoto_run3_MTE!M288</f>
        <v>0</v>
      </c>
      <c r="J27" s="421">
        <f>Bilans_E_AMS_Kyoto_run3_MTE!N288</f>
        <v>0</v>
      </c>
      <c r="K27" s="421">
        <f>Bilans_E_AMS_Kyoto_run3_MTE!O288</f>
        <v>0</v>
      </c>
      <c r="L27" s="421">
        <f>Bilans_E_AMS_Kyoto_run3_MTE!P288</f>
        <v>0</v>
      </c>
      <c r="M27" s="421">
        <f>Bilans_E_AMS_Kyoto_run3_MTE!Q288</f>
        <v>0</v>
      </c>
      <c r="N27" s="421">
        <f>Bilans_E_AMS_Kyoto_run3_MTE!R288</f>
        <v>0</v>
      </c>
      <c r="O27" s="421">
        <f>Bilans_E_AMS_Kyoto_run3_MTE!S288</f>
        <v>0</v>
      </c>
      <c r="P27" s="421">
        <f>Bilans_E_AMS_Kyoto_run3_MTE!T288+Bilans_E_AMS_Kyoto_run3_MTE!U288</f>
        <v>0</v>
      </c>
      <c r="Q27" s="421">
        <f>Bilans_E_AMS_Kyoto_run3_MTE!V288</f>
        <v>0</v>
      </c>
      <c r="R27" s="421">
        <f>Bilans_E_AMS_Kyoto_run3_MTE!W288</f>
        <v>0</v>
      </c>
      <c r="S27" s="421">
        <f>Bilans_E_AMS_Kyoto_run3_MTE!X288</f>
        <v>0</v>
      </c>
      <c r="T27" s="627">
        <f>Bilans_E_AMS_Kyoto_run3_MTE!Y288</f>
        <v>2.4532373143256034</v>
      </c>
      <c r="U27" s="629">
        <f>Bilans_E_AMS_Kyoto_run3_MTE!Z288</f>
        <v>0.97302157402960043</v>
      </c>
      <c r="V27" s="701"/>
      <c r="W27" s="701"/>
    </row>
    <row r="28" spans="1:23" x14ac:dyDescent="0.25">
      <c r="A28" s="701" t="s">
        <v>502</v>
      </c>
      <c r="B28" s="701"/>
      <c r="C28" s="717" t="s">
        <v>73</v>
      </c>
      <c r="D28" s="421">
        <f>Bilans_E_AMS_Kyoto_run3_MTE!H289</f>
        <v>0</v>
      </c>
      <c r="E28" s="421">
        <f>Bilans_E_AMS_Kyoto_run3_MTE!I289</f>
        <v>0</v>
      </c>
      <c r="F28" s="421">
        <f>Bilans_E_AMS_Kyoto_run3_MTE!J289</f>
        <v>0</v>
      </c>
      <c r="G28" s="611">
        <f>Bilans_E_AMS_Kyoto_run3_MTE!K289</f>
        <v>0</v>
      </c>
      <c r="H28" s="431">
        <f>Bilans_E_AMS_Kyoto_run3_MTE!L289</f>
        <v>0</v>
      </c>
      <c r="I28" s="611">
        <f>Bilans_E_AMS_Kyoto_run3_MTE!M289</f>
        <v>0</v>
      </c>
      <c r="J28" s="421">
        <f>Bilans_E_AMS_Kyoto_run3_MTE!N289</f>
        <v>0</v>
      </c>
      <c r="K28" s="421">
        <f>Bilans_E_AMS_Kyoto_run3_MTE!O289</f>
        <v>0</v>
      </c>
      <c r="L28" s="421">
        <f>Bilans_E_AMS_Kyoto_run3_MTE!P289</f>
        <v>0</v>
      </c>
      <c r="M28" s="431">
        <f>Bilans_E_AMS_Kyoto_run3_MTE!Q289</f>
        <v>0</v>
      </c>
      <c r="N28" s="421">
        <f>Bilans_E_AMS_Kyoto_run3_MTE!R289</f>
        <v>0</v>
      </c>
      <c r="O28" s="431">
        <f>Bilans_E_AMS_Kyoto_run3_MTE!S289</f>
        <v>0</v>
      </c>
      <c r="P28" s="421">
        <f>Bilans_E_AMS_Kyoto_run3_MTE!T289+Bilans_E_AMS_Kyoto_run3_MTE!U289</f>
        <v>0</v>
      </c>
      <c r="Q28" s="421">
        <f>Bilans_E_AMS_Kyoto_run3_MTE!V289</f>
        <v>0</v>
      </c>
      <c r="R28" s="431">
        <f>Bilans_E_AMS_Kyoto_run3_MTE!W289</f>
        <v>18.526359506641338</v>
      </c>
      <c r="S28" s="421">
        <f>Bilans_E_AMS_Kyoto_run3_MTE!X289</f>
        <v>0</v>
      </c>
      <c r="T28" s="509">
        <f>Bilans_E_AMS_Kyoto_run3_MTE!Y289</f>
        <v>-12.042133679316869</v>
      </c>
      <c r="U28" s="491">
        <f>Bilans_E_AMS_Kyoto_run3_MTE!Z289</f>
        <v>6.4842258273244688</v>
      </c>
      <c r="V28" s="701"/>
      <c r="W28" s="701"/>
    </row>
    <row r="29" spans="1:23" x14ac:dyDescent="0.25">
      <c r="A29" s="701" t="s">
        <v>503</v>
      </c>
      <c r="B29" s="701"/>
      <c r="C29" s="717" t="s">
        <v>353</v>
      </c>
      <c r="D29" s="431">
        <f>Bilans_E_AMS_Kyoto_run3_MTE!H290</f>
        <v>15.5082364453125</v>
      </c>
      <c r="E29" s="431">
        <f>Bilans_E_AMS_Kyoto_run3_MTE!I290</f>
        <v>-14.528347507960277</v>
      </c>
      <c r="F29" s="431">
        <f>Bilans_E_AMS_Kyoto_run3_MTE!J290</f>
        <v>19.128276728053308</v>
      </c>
      <c r="G29" s="611">
        <f>Bilans_E_AMS_Kyoto_run3_MTE!K290</f>
        <v>0</v>
      </c>
      <c r="H29" s="431">
        <f>Bilans_E_AMS_Kyoto_run3_MTE!L290</f>
        <v>0</v>
      </c>
      <c r="I29" s="611">
        <f>Bilans_E_AMS_Kyoto_run3_MTE!M290</f>
        <v>0</v>
      </c>
      <c r="J29" s="421">
        <f>Bilans_E_AMS_Kyoto_run3_MTE!N290</f>
        <v>0</v>
      </c>
      <c r="K29" s="421">
        <f>Bilans_E_AMS_Kyoto_run3_MTE!O290</f>
        <v>0</v>
      </c>
      <c r="L29" s="421">
        <f>Bilans_E_AMS_Kyoto_run3_MTE!P290</f>
        <v>0</v>
      </c>
      <c r="M29" s="421">
        <f>Bilans_E_AMS_Kyoto_run3_MTE!Q290</f>
        <v>0</v>
      </c>
      <c r="N29" s="431">
        <f>Bilans_E_AMS_Kyoto_run3_MTE!R290</f>
        <v>0</v>
      </c>
      <c r="O29" s="431">
        <f>Bilans_E_AMS_Kyoto_run3_MTE!S290</f>
        <v>0</v>
      </c>
      <c r="P29" s="421">
        <f>Bilans_E_AMS_Kyoto_run3_MTE!T290+Bilans_E_AMS_Kyoto_run3_MTE!U290</f>
        <v>0</v>
      </c>
      <c r="Q29" s="421">
        <f>Bilans_E_AMS_Kyoto_run3_MTE!V290</f>
        <v>0</v>
      </c>
      <c r="R29" s="421">
        <f>Bilans_E_AMS_Kyoto_run3_MTE!W290</f>
        <v>0</v>
      </c>
      <c r="S29" s="421">
        <f>Bilans_E_AMS_Kyoto_run3_MTE!X290</f>
        <v>0</v>
      </c>
      <c r="T29" s="422">
        <f>Bilans_E_AMS_Kyoto_run3_MTE!Y290</f>
        <v>0</v>
      </c>
      <c r="U29" s="423">
        <f>Bilans_E_AMS_Kyoto_run3_MTE!Z290</f>
        <v>20.108165665405529</v>
      </c>
      <c r="V29" s="701"/>
      <c r="W29" s="701"/>
    </row>
    <row r="30" spans="1:23" x14ac:dyDescent="0.25">
      <c r="A30" s="701" t="s">
        <v>504</v>
      </c>
      <c r="B30" s="701"/>
      <c r="C30" s="717" t="s">
        <v>75</v>
      </c>
      <c r="D30" s="431">
        <f>Bilans_E_AMS_Kyoto_run3_MTE!H291</f>
        <v>6.0309808398437506</v>
      </c>
      <c r="E30" s="421">
        <f>Bilans_E_AMS_Kyoto_run3_MTE!I291</f>
        <v>0</v>
      </c>
      <c r="F30" s="431">
        <f>Bilans_E_AMS_Kyoto_run3_MTE!J291</f>
        <v>14.291538341519651</v>
      </c>
      <c r="G30" s="611">
        <f>Bilans_E_AMS_Kyoto_run3_MTE!K291</f>
        <v>0</v>
      </c>
      <c r="H30" s="431">
        <f>Bilans_E_AMS_Kyoto_run3_MTE!L291</f>
        <v>0.64620824955973954</v>
      </c>
      <c r="I30" s="624">
        <f>Bilans_E_AMS_Kyoto_run3_MTE!M291</f>
        <v>0</v>
      </c>
      <c r="J30" s="421">
        <f>Bilans_E_AMS_Kyoto_run3_MTE!N291</f>
        <v>0</v>
      </c>
      <c r="K30" s="421">
        <f>Bilans_E_AMS_Kyoto_run3_MTE!O291</f>
        <v>0</v>
      </c>
      <c r="L30" s="421">
        <f>Bilans_E_AMS_Kyoto_run3_MTE!P291</f>
        <v>0</v>
      </c>
      <c r="M30" s="421">
        <f>Bilans_E_AMS_Kyoto_run3_MTE!Q291</f>
        <v>0</v>
      </c>
      <c r="N30" s="421">
        <f>Bilans_E_AMS_Kyoto_run3_MTE!R291</f>
        <v>0</v>
      </c>
      <c r="O30" s="431">
        <f>Bilans_E_AMS_Kyoto_run3_MTE!S291</f>
        <v>0.11403674992230699</v>
      </c>
      <c r="P30" s="421">
        <f>Bilans_E_AMS_Kyoto_run3_MTE!T291+Bilans_E_AMS_Kyoto_run3_MTE!U291</f>
        <v>0</v>
      </c>
      <c r="Q30" s="421">
        <f>Bilans_E_AMS_Kyoto_run3_MTE!V291</f>
        <v>0</v>
      </c>
      <c r="R30" s="431">
        <f>Bilans_E_AMS_Kyoto_run3_MTE!W291</f>
        <v>33.092757599701173</v>
      </c>
      <c r="S30" s="421">
        <f>Bilans_E_AMS_Kyoto_run3_MTE!X291</f>
        <v>0</v>
      </c>
      <c r="T30" s="718">
        <f>Bilans_E_AMS_Kyoto_run3_MTE!Y291</f>
        <v>3.3</v>
      </c>
      <c r="U30" s="423">
        <f>Bilans_E_AMS_Kyoto_run3_MTE!Z291</f>
        <v>57.475521780546615</v>
      </c>
      <c r="V30" s="701"/>
      <c r="W30" s="701"/>
    </row>
    <row r="31" spans="1:23" x14ac:dyDescent="0.25">
      <c r="A31" s="701" t="s">
        <v>505</v>
      </c>
      <c r="B31" s="701"/>
      <c r="C31" s="717" t="s">
        <v>76</v>
      </c>
      <c r="D31" s="421">
        <f>Bilans_E_AMS_Kyoto_run3_MTE!H292</f>
        <v>0</v>
      </c>
      <c r="E31" s="421">
        <f>Bilans_E_AMS_Kyoto_run3_MTE!I292</f>
        <v>0</v>
      </c>
      <c r="F31" s="421">
        <f>Bilans_E_AMS_Kyoto_run3_MTE!J292</f>
        <v>0</v>
      </c>
      <c r="G31" s="611">
        <f>Bilans_E_AMS_Kyoto_run3_MTE!K292</f>
        <v>0</v>
      </c>
      <c r="H31" s="431">
        <f>Bilans_E_AMS_Kyoto_run3_MTE!L292</f>
        <v>3.0578662862517128</v>
      </c>
      <c r="I31" s="624">
        <f>Bilans_E_AMS_Kyoto_run3_MTE!M292</f>
        <v>0</v>
      </c>
      <c r="J31" s="421">
        <f>Bilans_E_AMS_Kyoto_run3_MTE!N292</f>
        <v>0</v>
      </c>
      <c r="K31" s="421">
        <f>Bilans_E_AMS_Kyoto_run3_MTE!O292</f>
        <v>0</v>
      </c>
      <c r="L31" s="421">
        <f>Bilans_E_AMS_Kyoto_run3_MTE!P292</f>
        <v>0</v>
      </c>
      <c r="M31" s="421">
        <f>Bilans_E_AMS_Kyoto_run3_MTE!Q292</f>
        <v>0</v>
      </c>
      <c r="N31" s="421">
        <f>Bilans_E_AMS_Kyoto_run3_MTE!R292</f>
        <v>0</v>
      </c>
      <c r="O31" s="431">
        <f>Bilans_E_AMS_Kyoto_run3_MTE!S292</f>
        <v>0.53962346227971403</v>
      </c>
      <c r="P31" s="421">
        <f>Bilans_E_AMS_Kyoto_run3_MTE!T292+Bilans_E_AMS_Kyoto_run3_MTE!U292</f>
        <v>0</v>
      </c>
      <c r="Q31" s="421">
        <f>Bilans_E_AMS_Kyoto_run3_MTE!V292</f>
        <v>0</v>
      </c>
      <c r="R31" s="431">
        <f>Bilans_E_AMS_Kyoto_run3_MTE!W292</f>
        <v>47.37908571808331</v>
      </c>
      <c r="S31" s="431">
        <f>Bilans_E_AMS_Kyoto_run3_MTE!X292</f>
        <v>5.9061205117744695</v>
      </c>
      <c r="T31" s="432">
        <f>Bilans_E_AMS_Kyoto_run3_MTE!Y292</f>
        <v>0</v>
      </c>
      <c r="U31" s="423">
        <f>Bilans_E_AMS_Kyoto_run3_MTE!Z292</f>
        <v>56.882695978389201</v>
      </c>
      <c r="V31" s="701"/>
      <c r="W31" s="701"/>
    </row>
    <row r="32" spans="1:23" x14ac:dyDescent="0.25">
      <c r="A32" s="701" t="s">
        <v>506</v>
      </c>
      <c r="B32" s="701"/>
      <c r="C32" s="713" t="s">
        <v>77</v>
      </c>
      <c r="D32" s="425">
        <f>Bilans_E_AMS_Kyoto_run3_MTE!H293</f>
        <v>21.539217285156251</v>
      </c>
      <c r="E32" s="425">
        <f>Bilans_E_AMS_Kyoto_run3_MTE!I293</f>
        <v>399.0688136252403</v>
      </c>
      <c r="F32" s="425">
        <f>Bilans_E_AMS_Kyoto_run3_MTE!J293</f>
        <v>-375.26273642086448</v>
      </c>
      <c r="G32" s="615">
        <f>Bilans_E_AMS_Kyoto_run3_MTE!K293</f>
        <v>-1.480215740296003</v>
      </c>
      <c r="H32" s="425">
        <f>Bilans_E_AMS_Kyoto_run3_MTE!L293</f>
        <v>62.008325816311682</v>
      </c>
      <c r="I32" s="615">
        <f>Bilans_E_AMS_Kyoto_run3_MTE!M293</f>
        <v>-0.23021574029600303</v>
      </c>
      <c r="J32" s="425">
        <f>Bilans_E_AMS_Kyoto_run3_MTE!N293</f>
        <v>1170.5483636363635</v>
      </c>
      <c r="K32" s="425">
        <f>Bilans_E_AMS_Kyoto_run3_MTE!O293</f>
        <v>211.05320151197157</v>
      </c>
      <c r="L32" s="425">
        <f>Bilans_E_AMS_Kyoto_run3_MTE!P293</f>
        <v>182.26449786241375</v>
      </c>
      <c r="M32" s="425">
        <f>Bilans_E_AMS_Kyoto_run3_MTE!Q293</f>
        <v>40.824982355301664</v>
      </c>
      <c r="N32" s="425">
        <f>Bilans_E_AMS_Kyoto_run3_MTE!R293</f>
        <v>-41.092768978832041</v>
      </c>
      <c r="O32" s="425">
        <f>Bilans_E_AMS_Kyoto_run3_MTE!S293</f>
        <v>-21.990702686716844</v>
      </c>
      <c r="P32" s="425">
        <f>Bilans_E_AMS_Kyoto_run3_MTE!T293+Bilans_E_AMS_Kyoto_run3_MTE!U293</f>
        <v>5.5922659753689832</v>
      </c>
      <c r="Q32" s="425">
        <f>Bilans_E_AMS_Kyoto_run3_MTE!V293</f>
        <v>10.223550533524911</v>
      </c>
      <c r="R32" s="425">
        <f>Bilans_E_AMS_Kyoto_run3_MTE!W293</f>
        <v>-537.49377820174482</v>
      </c>
      <c r="S32" s="425">
        <f>Bilans_E_AMS_Kyoto_run3_MTE!X293</f>
        <v>-70.255314119257562</v>
      </c>
      <c r="T32" s="425">
        <f>Bilans_E_AMS_Kyoto_run3_MTE!Y293</f>
        <v>-5.9691522812468181</v>
      </c>
      <c r="U32" s="425">
        <f>Bilans_E_AMS_Kyoto_run3_MTE!Z293</f>
        <v>1049.3483344323984</v>
      </c>
      <c r="V32" s="701"/>
      <c r="W32" s="701"/>
    </row>
    <row r="33" spans="1:23" x14ac:dyDescent="0.25">
      <c r="A33" s="701"/>
      <c r="B33" s="701"/>
      <c r="C33" s="715"/>
      <c r="D33" s="427"/>
      <c r="E33" s="427"/>
      <c r="F33" s="427"/>
      <c r="G33" s="617"/>
      <c r="H33" s="427"/>
      <c r="I33" s="617"/>
      <c r="J33" s="427"/>
      <c r="K33" s="427"/>
      <c r="L33" s="427"/>
      <c r="M33" s="427"/>
      <c r="N33" s="427"/>
      <c r="O33" s="427"/>
      <c r="P33" s="427">
        <f>Bilans_E_AMS_Kyoto_run3_MTE!T294+Bilans_E_AMS_Kyoto_run3_MTE!U294</f>
        <v>0</v>
      </c>
      <c r="Q33" s="427"/>
      <c r="R33" s="427"/>
      <c r="S33" s="427"/>
      <c r="T33" s="427"/>
      <c r="U33" s="427"/>
      <c r="V33" s="701"/>
      <c r="W33" s="701"/>
    </row>
    <row r="34" spans="1:23" x14ac:dyDescent="0.25">
      <c r="A34" s="701" t="s">
        <v>507</v>
      </c>
      <c r="B34" s="701"/>
      <c r="C34" s="717" t="s">
        <v>78</v>
      </c>
      <c r="D34" s="431">
        <f>Bilans_E_AMS_Kyoto_run3_MTE!H295</f>
        <v>0.92572558593749998</v>
      </c>
      <c r="E34" s="421">
        <f>Bilans_E_AMS_Kyoto_run3_MTE!I295</f>
        <v>0</v>
      </c>
      <c r="F34" s="431">
        <f>Bilans_E_AMS_Kyoto_run3_MTE!J295</f>
        <v>11.411404613984462</v>
      </c>
      <c r="G34" s="624">
        <f>Bilans_E_AMS_Kyoto_run3_MTE!K295</f>
        <v>0</v>
      </c>
      <c r="H34" s="431">
        <f>Bilans_E_AMS_Kyoto_run3_MTE!L295</f>
        <v>66.339251368389611</v>
      </c>
      <c r="I34" s="624">
        <f>Bilans_E_AMS_Kyoto_run3_MTE!M295</f>
        <v>0</v>
      </c>
      <c r="J34" s="421">
        <f>Bilans_E_AMS_Kyoto_run3_MTE!N295</f>
        <v>0</v>
      </c>
      <c r="K34" s="421">
        <f>Bilans_E_AMS_Kyoto_run3_MTE!O295</f>
        <v>0</v>
      </c>
      <c r="L34" s="431">
        <f>Bilans_E_AMS_Kyoto_run3_MTE!P295</f>
        <v>40.443549417210768</v>
      </c>
      <c r="M34" s="431">
        <f>Bilans_E_AMS_Kyoto_run3_MTE!Q295</f>
        <v>10.269254107073522</v>
      </c>
      <c r="N34" s="431">
        <f>Bilans_E_AMS_Kyoto_run3_MTE!R295</f>
        <v>0.94472173154286976</v>
      </c>
      <c r="O34" s="431">
        <f>Bilans_E_AMS_Kyoto_run3_MTE!S295</f>
        <v>11.734293648614692</v>
      </c>
      <c r="P34" s="431">
        <f>Bilans_E_AMS_Kyoto_run3_MTE!T295+Bilans_E_AMS_Kyoto_run3_MTE!U295</f>
        <v>4.88145654296875</v>
      </c>
      <c r="Q34" s="431">
        <f>Bilans_E_AMS_Kyoto_run3_MTE!V295</f>
        <v>5.5791983277925228E-4</v>
      </c>
      <c r="R34" s="431">
        <f>Bilans_E_AMS_Kyoto_run3_MTE!W295</f>
        <v>149.97591807761651</v>
      </c>
      <c r="S34" s="431">
        <f>Bilans_E_AMS_Kyoto_run3_MTE!X295</f>
        <v>19.64973892074547</v>
      </c>
      <c r="T34" s="431">
        <f>Bilans_E_AMS_Kyoto_run3_MTE!Y295</f>
        <v>3.6016970214843749</v>
      </c>
      <c r="U34" s="429">
        <f>Bilans_E_AMS_Kyoto_run3_MTE!Z295</f>
        <v>320.17756895540128</v>
      </c>
      <c r="V34" s="701"/>
      <c r="W34" s="701"/>
    </row>
    <row r="35" spans="1:23" x14ac:dyDescent="0.25">
      <c r="A35" s="701" t="s">
        <v>508</v>
      </c>
      <c r="B35" s="701"/>
      <c r="C35" s="717" t="s">
        <v>79</v>
      </c>
      <c r="D35" s="431">
        <f>Bilans_E_AMS_Kyoto_run3_MTE!H296</f>
        <v>0</v>
      </c>
      <c r="E35" s="421">
        <f>Bilans_E_AMS_Kyoto_run3_MTE!I296</f>
        <v>0</v>
      </c>
      <c r="F35" s="431">
        <f>Bilans_E_AMS_Kyoto_run3_MTE!J296</f>
        <v>327.31240488287597</v>
      </c>
      <c r="G35" s="624">
        <f>Bilans_E_AMS_Kyoto_run3_MTE!K296</f>
        <v>0</v>
      </c>
      <c r="H35" s="431">
        <f>Bilans_E_AMS_Kyoto_run3_MTE!L296</f>
        <v>5.5523505805401721</v>
      </c>
      <c r="I35" s="624">
        <f>Bilans_E_AMS_Kyoto_run3_MTE!M296</f>
        <v>0</v>
      </c>
      <c r="J35" s="421">
        <f>Bilans_E_AMS_Kyoto_run3_MTE!N296</f>
        <v>0</v>
      </c>
      <c r="K35" s="421">
        <f>Bilans_E_AMS_Kyoto_run3_MTE!O296</f>
        <v>0</v>
      </c>
      <c r="L35" s="431">
        <f>Bilans_E_AMS_Kyoto_run3_MTE!P296</f>
        <v>0</v>
      </c>
      <c r="M35" s="431">
        <f>Bilans_E_AMS_Kyoto_run3_MTE!Q296</f>
        <v>0</v>
      </c>
      <c r="N35" s="431">
        <f>Bilans_E_AMS_Kyoto_run3_MTE!R296</f>
        <v>37.003548542473339</v>
      </c>
      <c r="O35" s="431">
        <f>Bilans_E_AMS_Kyoto_run3_MTE!S296</f>
        <v>0.97982657303650089</v>
      </c>
      <c r="P35" s="431">
        <f>Bilans_E_AMS_Kyoto_run3_MTE!T296+Bilans_E_AMS_Kyoto_run3_MTE!U296</f>
        <v>0</v>
      </c>
      <c r="Q35" s="431">
        <f>Bilans_E_AMS_Kyoto_run3_MTE!V296</f>
        <v>0</v>
      </c>
      <c r="R35" s="431">
        <f>Bilans_E_AMS_Kyoto_run3_MTE!W296</f>
        <v>34.37904289575053</v>
      </c>
      <c r="S35" s="431">
        <f>Bilans_E_AMS_Kyoto_run3_MTE!X296</f>
        <v>0</v>
      </c>
      <c r="T35" s="431">
        <f>Bilans_E_AMS_Kyoto_run3_MTE!Y296</f>
        <v>0.97150026084130414</v>
      </c>
      <c r="U35" s="429">
        <f>Bilans_E_AMS_Kyoto_run3_MTE!Z296</f>
        <v>406.19867373551784</v>
      </c>
      <c r="V35" s="701"/>
      <c r="W35" s="701"/>
    </row>
    <row r="36" spans="1:23" x14ac:dyDescent="0.25">
      <c r="A36" s="701" t="s">
        <v>509</v>
      </c>
      <c r="B36" s="701"/>
      <c r="C36" s="717" t="s">
        <v>80</v>
      </c>
      <c r="D36" s="431">
        <f>Bilans_E_AMS_Kyoto_run3_MTE!H297</f>
        <v>0</v>
      </c>
      <c r="E36" s="421">
        <f>Bilans_E_AMS_Kyoto_run3_MTE!I297</f>
        <v>0</v>
      </c>
      <c r="F36" s="431">
        <f>Bilans_E_AMS_Kyoto_run3_MTE!J297</f>
        <v>11.051911751931332</v>
      </c>
      <c r="G36" s="624">
        <f>Bilans_E_AMS_Kyoto_run3_MTE!K297</f>
        <v>0</v>
      </c>
      <c r="H36" s="431">
        <f>Bilans_E_AMS_Kyoto_run3_MTE!L297</f>
        <v>72.334107180080835</v>
      </c>
      <c r="I36" s="624">
        <f>Bilans_E_AMS_Kyoto_run3_MTE!M297</f>
        <v>0</v>
      </c>
      <c r="J36" s="421">
        <f>Bilans_E_AMS_Kyoto_run3_MTE!N297</f>
        <v>0</v>
      </c>
      <c r="K36" s="421">
        <f>Bilans_E_AMS_Kyoto_run3_MTE!O297</f>
        <v>0</v>
      </c>
      <c r="L36" s="431">
        <f>Bilans_E_AMS_Kyoto_run3_MTE!P297</f>
        <v>60.462677002926597</v>
      </c>
      <c r="M36" s="431">
        <f>Bilans_E_AMS_Kyoto_run3_MTE!Q297</f>
        <v>0</v>
      </c>
      <c r="N36" s="431">
        <f>Bilans_E_AMS_Kyoto_run3_MTE!R297</f>
        <v>0</v>
      </c>
      <c r="O36" s="431">
        <f>Bilans_E_AMS_Kyoto_run3_MTE!S297</f>
        <v>12.764842443543676</v>
      </c>
      <c r="P36" s="431">
        <f>Bilans_E_AMS_Kyoto_run3_MTE!T297+Bilans_E_AMS_Kyoto_run3_MTE!U297</f>
        <v>86.174932209680449</v>
      </c>
      <c r="Q36" s="431">
        <f>Bilans_E_AMS_Kyoto_run3_MTE!V297</f>
        <v>6.0227221136395004</v>
      </c>
      <c r="R36" s="431">
        <f>Bilans_E_AMS_Kyoto_run3_MTE!W297</f>
        <v>166.37329866218946</v>
      </c>
      <c r="S36" s="431">
        <f>Bilans_E_AMS_Kyoto_run3_MTE!X297</f>
        <v>28.91573310749396</v>
      </c>
      <c r="T36" s="431">
        <f>Bilans_E_AMS_Kyoto_run3_MTE!Y297</f>
        <v>0</v>
      </c>
      <c r="U36" s="429">
        <f>Bilans_E_AMS_Kyoto_run3_MTE!Z297</f>
        <v>444.10022447148577</v>
      </c>
      <c r="V36" s="701"/>
      <c r="W36" s="701"/>
    </row>
    <row r="37" spans="1:23" x14ac:dyDescent="0.25">
      <c r="A37" s="701" t="s">
        <v>510</v>
      </c>
      <c r="B37" s="701"/>
      <c r="C37" s="717" t="s">
        <v>81</v>
      </c>
      <c r="D37" s="431">
        <f>Bilans_E_AMS_Kyoto_run3_MTE!H298</f>
        <v>0</v>
      </c>
      <c r="E37" s="421">
        <f>Bilans_E_AMS_Kyoto_run3_MTE!I298</f>
        <v>0</v>
      </c>
      <c r="F37" s="431">
        <f>Bilans_E_AMS_Kyoto_run3_MTE!J298</f>
        <v>3.647846365657839</v>
      </c>
      <c r="G37" s="624">
        <f>Bilans_E_AMS_Kyoto_run3_MTE!K298</f>
        <v>0</v>
      </c>
      <c r="H37" s="431">
        <f>Bilans_E_AMS_Kyoto_run3_MTE!L298</f>
        <v>44.827944248312576</v>
      </c>
      <c r="I37" s="624">
        <f>Bilans_E_AMS_Kyoto_run3_MTE!M298</f>
        <v>0</v>
      </c>
      <c r="J37" s="421">
        <f>Bilans_E_AMS_Kyoto_run3_MTE!N298</f>
        <v>0</v>
      </c>
      <c r="K37" s="421">
        <f>Bilans_E_AMS_Kyoto_run3_MTE!O298</f>
        <v>0</v>
      </c>
      <c r="L37" s="431">
        <f>Bilans_E_AMS_Kyoto_run3_MTE!P298</f>
        <v>0.66301904787483434</v>
      </c>
      <c r="M37" s="431">
        <f>Bilans_E_AMS_Kyoto_run3_MTE!Q298</f>
        <v>0</v>
      </c>
      <c r="N37" s="431">
        <f>Bilans_E_AMS_Kyoto_run3_MTE!R298</f>
        <v>0</v>
      </c>
      <c r="O37" s="431">
        <f>Bilans_E_AMS_Kyoto_run3_MTE!S298</f>
        <v>7.9108136908786895</v>
      </c>
      <c r="P37" s="431">
        <f>Bilans_E_AMS_Kyoto_run3_MTE!T298+Bilans_E_AMS_Kyoto_run3_MTE!U298</f>
        <v>32.610726720036368</v>
      </c>
      <c r="Q37" s="431">
        <f>Bilans_E_AMS_Kyoto_run3_MTE!V298</f>
        <v>5.7126687446965985</v>
      </c>
      <c r="R37" s="431">
        <f>Bilans_E_AMS_Kyoto_run3_MTE!W298</f>
        <v>121.98780292325297</v>
      </c>
      <c r="S37" s="431">
        <f>Bilans_E_AMS_Kyoto_run3_MTE!X298</f>
        <v>21.68981250781421</v>
      </c>
      <c r="T37" s="431">
        <f>Bilans_E_AMS_Kyoto_run3_MTE!Y298</f>
        <v>0</v>
      </c>
      <c r="U37" s="429">
        <f>Bilans_E_AMS_Kyoto_run3_MTE!Z298</f>
        <v>239.05063424852409</v>
      </c>
      <c r="V37" s="701"/>
      <c r="W37" s="701"/>
    </row>
    <row r="38" spans="1:23" x14ac:dyDescent="0.25">
      <c r="A38" s="701" t="s">
        <v>511</v>
      </c>
      <c r="B38" s="701"/>
      <c r="C38" s="717" t="s">
        <v>82</v>
      </c>
      <c r="D38" s="431">
        <f>Bilans_E_AMS_Kyoto_run3_MTE!H299</f>
        <v>0</v>
      </c>
      <c r="E38" s="421">
        <f>Bilans_E_AMS_Kyoto_run3_MTE!I299</f>
        <v>0</v>
      </c>
      <c r="F38" s="431">
        <f>Bilans_E_AMS_Kyoto_run3_MTE!J299</f>
        <v>30.726482620518151</v>
      </c>
      <c r="G38" s="624">
        <f>Bilans_E_AMS_Kyoto_run3_MTE!K299</f>
        <v>0</v>
      </c>
      <c r="H38" s="431">
        <f>Bilans_E_AMS_Kyoto_run3_MTE!L299</f>
        <v>1.4667494513017647</v>
      </c>
      <c r="I38" s="624">
        <f>Bilans_E_AMS_Kyoto_run3_MTE!M299</f>
        <v>0</v>
      </c>
      <c r="J38" s="421">
        <f>Bilans_E_AMS_Kyoto_run3_MTE!N299</f>
        <v>0</v>
      </c>
      <c r="K38" s="421">
        <f>Bilans_E_AMS_Kyoto_run3_MTE!O299</f>
        <v>0</v>
      </c>
      <c r="L38" s="431">
        <f>Bilans_E_AMS_Kyoto_run3_MTE!P299</f>
        <v>11.011050824063592</v>
      </c>
      <c r="M38" s="431">
        <f>Bilans_E_AMS_Kyoto_run3_MTE!Q299</f>
        <v>0</v>
      </c>
      <c r="N38" s="431">
        <f>Bilans_E_AMS_Kyoto_run3_MTE!R299</f>
        <v>4.0387192002052101</v>
      </c>
      <c r="O38" s="431">
        <f>Bilans_E_AMS_Kyoto_run3_MTE!S299</f>
        <v>0.2588381384650173</v>
      </c>
      <c r="P38" s="431">
        <f>Bilans_E_AMS_Kyoto_run3_MTE!T299+Bilans_E_AMS_Kyoto_run3_MTE!U299</f>
        <v>0.5</v>
      </c>
      <c r="Q38" s="431">
        <f>Bilans_E_AMS_Kyoto_run3_MTE!V299</f>
        <v>0.62518456969816016</v>
      </c>
      <c r="R38" s="431">
        <f>Bilans_E_AMS_Kyoto_run3_MTE!W299</f>
        <v>7.7729232574275695</v>
      </c>
      <c r="S38" s="431">
        <f>Bilans_E_AMS_Kyoto_run3_MTE!X299</f>
        <v>0</v>
      </c>
      <c r="T38" s="431">
        <f>Bilans_E_AMS_Kyoto_run3_MTE!Y299</f>
        <v>0.17366238047171115</v>
      </c>
      <c r="U38" s="429">
        <f>Bilans_E_AMS_Kyoto_run3_MTE!Z299</f>
        <v>56.573610442151178</v>
      </c>
      <c r="V38" s="701"/>
      <c r="W38" s="701"/>
    </row>
    <row r="39" spans="1:23" x14ac:dyDescent="0.25">
      <c r="A39" s="701" t="s">
        <v>512</v>
      </c>
      <c r="B39" s="701"/>
      <c r="C39" s="717" t="s">
        <v>354</v>
      </c>
      <c r="D39" s="421">
        <f>Bilans_E_AMS_Kyoto_run3_MTE!H300</f>
        <v>0</v>
      </c>
      <c r="E39" s="421">
        <f>Bilans_E_AMS_Kyoto_run3_MTE!I300</f>
        <v>0</v>
      </c>
      <c r="F39" s="421">
        <f>Bilans_E_AMS_Kyoto_run3_MTE!J300</f>
        <v>0</v>
      </c>
      <c r="G39" s="611">
        <f>Bilans_E_AMS_Kyoto_run3_MTE!K300</f>
        <v>0</v>
      </c>
      <c r="H39" s="421">
        <f>Bilans_E_AMS_Kyoto_run3_MTE!L300</f>
        <v>0</v>
      </c>
      <c r="I39" s="611">
        <f>Bilans_E_AMS_Kyoto_run3_MTE!M300</f>
        <v>0</v>
      </c>
      <c r="J39" s="421">
        <f>Bilans_E_AMS_Kyoto_run3_MTE!N300</f>
        <v>0</v>
      </c>
      <c r="K39" s="421">
        <f>Bilans_E_AMS_Kyoto_run3_MTE!O300</f>
        <v>0</v>
      </c>
      <c r="L39" s="421">
        <f>Bilans_E_AMS_Kyoto_run3_MTE!P300</f>
        <v>0</v>
      </c>
      <c r="M39" s="421">
        <f>Bilans_E_AMS_Kyoto_run3_MTE!Q300</f>
        <v>0</v>
      </c>
      <c r="N39" s="421">
        <f>Bilans_E_AMS_Kyoto_run3_MTE!R300</f>
        <v>0</v>
      </c>
      <c r="O39" s="421">
        <f>Bilans_E_AMS_Kyoto_run3_MTE!S300</f>
        <v>0</v>
      </c>
      <c r="P39" s="421">
        <f>Bilans_E_AMS_Kyoto_run3_MTE!T300+Bilans_E_AMS_Kyoto_run3_MTE!U300</f>
        <v>0</v>
      </c>
      <c r="Q39" s="421">
        <f>Bilans_E_AMS_Kyoto_run3_MTE!V300</f>
        <v>0</v>
      </c>
      <c r="R39" s="431">
        <f>Bilans_E_AMS_Kyoto_run3_MTE!W300</f>
        <v>0</v>
      </c>
      <c r="S39" s="421">
        <f>Bilans_E_AMS_Kyoto_run3_MTE!X300</f>
        <v>0</v>
      </c>
      <c r="T39" s="421">
        <f>Bilans_E_AMS_Kyoto_run3_MTE!Y300</f>
        <v>0</v>
      </c>
      <c r="U39" s="429">
        <f>Bilans_E_AMS_Kyoto_run3_MTE!Z300</f>
        <v>0</v>
      </c>
      <c r="V39" s="701"/>
      <c r="W39" s="701"/>
    </row>
    <row r="40" spans="1:23" x14ac:dyDescent="0.25">
      <c r="A40" s="701" t="s">
        <v>513</v>
      </c>
      <c r="B40" s="701"/>
      <c r="C40" s="713" t="s">
        <v>83</v>
      </c>
      <c r="D40" s="425">
        <f>Bilans_E_AMS_Kyoto_run3_MTE!H301</f>
        <v>0.92572558593749998</v>
      </c>
      <c r="E40" s="425">
        <f>Bilans_E_AMS_Kyoto_run3_MTE!I301</f>
        <v>0</v>
      </c>
      <c r="F40" s="425">
        <f>Bilans_E_AMS_Kyoto_run3_MTE!J301</f>
        <v>384.15005023496775</v>
      </c>
      <c r="G40" s="615">
        <f>Bilans_E_AMS_Kyoto_run3_MTE!K301</f>
        <v>0</v>
      </c>
      <c r="H40" s="425">
        <f>Bilans_E_AMS_Kyoto_run3_MTE!L301</f>
        <v>190.52040282862495</v>
      </c>
      <c r="I40" s="615">
        <f>Bilans_E_AMS_Kyoto_run3_MTE!M301</f>
        <v>0</v>
      </c>
      <c r="J40" s="425">
        <f>Bilans_E_AMS_Kyoto_run3_MTE!N301</f>
        <v>0</v>
      </c>
      <c r="K40" s="425">
        <f>Bilans_E_AMS_Kyoto_run3_MTE!O301</f>
        <v>0</v>
      </c>
      <c r="L40" s="425">
        <f>Bilans_E_AMS_Kyoto_run3_MTE!P301</f>
        <v>112.58029629207579</v>
      </c>
      <c r="M40" s="425">
        <f>Bilans_E_AMS_Kyoto_run3_MTE!Q301</f>
        <v>10.269254107073522</v>
      </c>
      <c r="N40" s="425">
        <f>Bilans_E_AMS_Kyoto_run3_MTE!R301</f>
        <v>41.986989474221417</v>
      </c>
      <c r="O40" s="425">
        <f>Bilans_E_AMS_Kyoto_run3_MTE!S301</f>
        <v>33.648614494538577</v>
      </c>
      <c r="P40" s="425">
        <f>Bilans_E_AMS_Kyoto_run3_MTE!T301+Bilans_E_AMS_Kyoto_run3_MTE!U301</f>
        <v>124.16711547268557</v>
      </c>
      <c r="Q40" s="425">
        <f>Bilans_E_AMS_Kyoto_run3_MTE!V301</f>
        <v>12.361133347867039</v>
      </c>
      <c r="R40" s="425">
        <f>Bilans_E_AMS_Kyoto_run3_MTE!W301</f>
        <v>480.488985816237</v>
      </c>
      <c r="S40" s="425">
        <f>Bilans_E_AMS_Kyoto_run3_MTE!X301</f>
        <v>70.255284536053637</v>
      </c>
      <c r="T40" s="425">
        <f>Bilans_E_AMS_Kyoto_run3_MTE!Y301</f>
        <v>4.74685966279739</v>
      </c>
      <c r="U40" s="425">
        <f>Bilans_E_AMS_Kyoto_run3_MTE!Z301</f>
        <v>1466.1007118530802</v>
      </c>
      <c r="V40" s="701"/>
      <c r="W40" s="701"/>
    </row>
    <row r="41" spans="1:23" x14ac:dyDescent="0.25">
      <c r="A41" s="701" t="s">
        <v>514</v>
      </c>
      <c r="B41" s="701"/>
      <c r="C41" s="710" t="s">
        <v>84</v>
      </c>
      <c r="D41" s="431">
        <f>Bilans_E_AMS_Kyoto_run3_MTE!H302</f>
        <v>0</v>
      </c>
      <c r="E41" s="421">
        <f>Bilans_E_AMS_Kyoto_run3_MTE!I302</f>
        <v>0</v>
      </c>
      <c r="F41" s="431">
        <f>Bilans_E_AMS_Kyoto_run3_MTE!J302</f>
        <v>115.2369297376637</v>
      </c>
      <c r="G41" s="624">
        <f>Bilans_E_AMS_Kyoto_run3_MTE!K302</f>
        <v>0</v>
      </c>
      <c r="H41" s="431">
        <f>Bilans_E_AMS_Kyoto_run3_MTE!L302</f>
        <v>13.537810909623058</v>
      </c>
      <c r="I41" s="611">
        <f>Bilans_E_AMS_Kyoto_run3_MTE!M302</f>
        <v>0</v>
      </c>
      <c r="J41" s="421">
        <f>Bilans_E_AMS_Kyoto_run3_MTE!N302</f>
        <v>0</v>
      </c>
      <c r="K41" s="421">
        <f>Bilans_E_AMS_Kyoto_run3_MTE!O302</f>
        <v>0</v>
      </c>
      <c r="L41" s="625">
        <f>Bilans_E_AMS_Kyoto_run3_MTE!P302</f>
        <v>0.11913963756098579</v>
      </c>
      <c r="M41" s="421">
        <f>Bilans_E_AMS_Kyoto_run3_MTE!Q302</f>
        <v>0</v>
      </c>
      <c r="N41" s="431">
        <f>Bilans_E_AMS_Kyoto_run3_MTE!R302</f>
        <v>0.21009810940790719</v>
      </c>
      <c r="O41" s="625">
        <f>Bilans_E_AMS_Kyoto_run3_MTE!S302</f>
        <v>0</v>
      </c>
      <c r="P41" s="421">
        <f>Bilans_E_AMS_Kyoto_run3_MTE!T302+Bilans_E_AMS_Kyoto_run3_MTE!U302</f>
        <v>0</v>
      </c>
      <c r="Q41" s="421">
        <f>Bilans_E_AMS_Kyoto_run3_MTE!V302</f>
        <v>0</v>
      </c>
      <c r="R41" s="421">
        <f>Bilans_E_AMS_Kyoto_run3_MTE!W302</f>
        <v>0</v>
      </c>
      <c r="S41" s="421">
        <f>Bilans_E_AMS_Kyoto_run3_MTE!X302</f>
        <v>0</v>
      </c>
      <c r="T41" s="431">
        <f>Bilans_E_AMS_Kyoto_run3_MTE!Y302</f>
        <v>1.1371080780029297</v>
      </c>
      <c r="U41" s="429">
        <f>Bilans_E_AMS_Kyoto_run3_MTE!Z302</f>
        <v>130.24108647225859</v>
      </c>
      <c r="V41" s="701"/>
      <c r="W41" s="701"/>
    </row>
    <row r="42" spans="1:23" x14ac:dyDescent="0.25">
      <c r="A42" s="701" t="s">
        <v>515</v>
      </c>
      <c r="B42" s="701"/>
      <c r="C42" s="713" t="s">
        <v>85</v>
      </c>
      <c r="D42" s="425">
        <f>Bilans_E_AMS_Kyoto_run3_MTE!H303</f>
        <v>0.92572558593749998</v>
      </c>
      <c r="E42" s="425">
        <f>Bilans_E_AMS_Kyoto_run3_MTE!I303</f>
        <v>0</v>
      </c>
      <c r="F42" s="425">
        <f>Bilans_E_AMS_Kyoto_run3_MTE!J303</f>
        <v>499.38697997263148</v>
      </c>
      <c r="G42" s="615">
        <f>Bilans_E_AMS_Kyoto_run3_MTE!K303</f>
        <v>0</v>
      </c>
      <c r="H42" s="425">
        <f>Bilans_E_AMS_Kyoto_run3_MTE!L303</f>
        <v>204.05821373824801</v>
      </c>
      <c r="I42" s="615">
        <f>Bilans_E_AMS_Kyoto_run3_MTE!M303</f>
        <v>0</v>
      </c>
      <c r="J42" s="425">
        <f>Bilans_E_AMS_Kyoto_run3_MTE!N303</f>
        <v>0</v>
      </c>
      <c r="K42" s="425">
        <f>Bilans_E_AMS_Kyoto_run3_MTE!O303</f>
        <v>0</v>
      </c>
      <c r="L42" s="425">
        <f>Bilans_E_AMS_Kyoto_run3_MTE!P303</f>
        <v>112.69943592963678</v>
      </c>
      <c r="M42" s="425">
        <f>Bilans_E_AMS_Kyoto_run3_MTE!Q303</f>
        <v>10.269254107073522</v>
      </c>
      <c r="N42" s="425">
        <f>Bilans_E_AMS_Kyoto_run3_MTE!R303</f>
        <v>42.197087583629326</v>
      </c>
      <c r="O42" s="425">
        <f>Bilans_E_AMS_Kyoto_run3_MTE!S303</f>
        <v>33.648614494538577</v>
      </c>
      <c r="P42" s="425">
        <f>Bilans_E_AMS_Kyoto_run3_MTE!T303+Bilans_E_AMS_Kyoto_run3_MTE!U303</f>
        <v>124.16711547268557</v>
      </c>
      <c r="Q42" s="425">
        <f>Bilans_E_AMS_Kyoto_run3_MTE!V303</f>
        <v>12.361133347867039</v>
      </c>
      <c r="R42" s="425">
        <f>Bilans_E_AMS_Kyoto_run3_MTE!W303</f>
        <v>480.488985816237</v>
      </c>
      <c r="S42" s="425">
        <f>Bilans_E_AMS_Kyoto_run3_MTE!X303</f>
        <v>70.255284536053637</v>
      </c>
      <c r="T42" s="425">
        <f>Bilans_E_AMS_Kyoto_run3_MTE!Y303</f>
        <v>5.8839677408003199</v>
      </c>
      <c r="U42" s="425">
        <f>Bilans_E_AMS_Kyoto_run3_MTE!Z303</f>
        <v>1596.3417983253387</v>
      </c>
      <c r="V42" s="701"/>
      <c r="W42" s="701"/>
    </row>
    <row r="43" spans="1:23" x14ac:dyDescent="0.25">
      <c r="A43" s="701"/>
      <c r="B43" s="701"/>
      <c r="C43" s="701"/>
      <c r="D43" s="701">
        <f>Bilans_E_AMS_Kyoto_run3_MTE!H304</f>
        <v>0</v>
      </c>
      <c r="E43" s="701">
        <f>Bilans_E_AMS_Kyoto_run3_MTE!I304</f>
        <v>0</v>
      </c>
      <c r="F43" s="701">
        <f>Bilans_E_AMS_Kyoto_run3_MTE!J304</f>
        <v>1.1368683772161603E-13</v>
      </c>
      <c r="G43" s="701">
        <f>Bilans_E_AMS_Kyoto_run3_MTE!K304</f>
        <v>0</v>
      </c>
      <c r="H43" s="701">
        <f>Bilans_E_AMS_Kyoto_run3_MTE!L304</f>
        <v>0</v>
      </c>
      <c r="I43" s="701">
        <f>Bilans_E_AMS_Kyoto_run3_MTE!M304</f>
        <v>0</v>
      </c>
      <c r="J43" s="701">
        <f>Bilans_E_AMS_Kyoto_run3_MTE!N304</f>
        <v>0</v>
      </c>
      <c r="K43" s="701">
        <f>Bilans_E_AMS_Kyoto_run3_MTE!O304</f>
        <v>0</v>
      </c>
      <c r="L43" s="701">
        <f>Bilans_E_AMS_Kyoto_run3_MTE!P304</f>
        <v>0</v>
      </c>
      <c r="M43" s="701">
        <f>Bilans_E_AMS_Kyoto_run3_MTE!Q304</f>
        <v>0</v>
      </c>
      <c r="N43" s="701">
        <f>Bilans_E_AMS_Kyoto_run3_MTE!R304</f>
        <v>0</v>
      </c>
      <c r="O43" s="701">
        <f>Bilans_E_AMS_Kyoto_run3_MTE!S304</f>
        <v>0</v>
      </c>
      <c r="P43" s="701">
        <f>Bilans_E_AMS_Kyoto_run3_MTE!T304+Bilans_E_AMS_Kyoto_run3_MTE!U304</f>
        <v>0</v>
      </c>
      <c r="Q43" s="701">
        <f>Bilans_E_AMS_Kyoto_run3_MTE!V304</f>
        <v>0</v>
      </c>
      <c r="R43" s="701">
        <f>Bilans_E_AMS_Kyoto_run3_MTE!W304</f>
        <v>-1.1368683772161603E-13</v>
      </c>
      <c r="S43" s="701">
        <f>Bilans_E_AMS_Kyoto_run3_MTE!X304</f>
        <v>-2.9583203925653834E-5</v>
      </c>
      <c r="T43" s="701">
        <f>Bilans_E_AMS_Kyoto_run3_MTE!Y304</f>
        <v>-1.0963452368173421E-15</v>
      </c>
      <c r="U43" s="701">
        <f>Bilans_E_AMS_Kyoto_run3_MTE!Z304</f>
        <v>-2.9583203740912722E-5</v>
      </c>
      <c r="V43" s="701"/>
      <c r="W43" s="701"/>
    </row>
    <row r="44" spans="1:23" x14ac:dyDescent="0.25">
      <c r="A44" s="701"/>
      <c r="B44" s="701"/>
      <c r="C44" s="701"/>
      <c r="D44" s="701"/>
      <c r="E44" s="701"/>
      <c r="F44" s="701"/>
      <c r="G44" s="701"/>
      <c r="H44" s="701"/>
      <c r="I44" s="701"/>
      <c r="J44" s="701"/>
      <c r="K44" s="701"/>
      <c r="L44" s="701"/>
      <c r="M44" s="701"/>
      <c r="N44" s="701"/>
      <c r="O44" s="701"/>
      <c r="P44" s="701"/>
      <c r="Q44" s="701"/>
      <c r="R44" s="701"/>
      <c r="S44" s="701"/>
      <c r="T44" s="701"/>
      <c r="U44" s="701"/>
      <c r="V44" s="701"/>
      <c r="W44" s="701"/>
    </row>
    <row r="45" spans="1:23" x14ac:dyDescent="0.25">
      <c r="A45" s="707"/>
      <c r="B45" s="707"/>
      <c r="C45" s="708" t="s">
        <v>357</v>
      </c>
      <c r="D45" s="707"/>
      <c r="E45" s="707"/>
      <c r="F45" s="707"/>
      <c r="G45" s="707"/>
      <c r="H45" s="707"/>
      <c r="I45" s="707"/>
      <c r="J45" s="707"/>
      <c r="K45" s="707"/>
      <c r="L45" s="707"/>
      <c r="M45" s="707"/>
      <c r="N45" s="707"/>
      <c r="O45" s="707"/>
      <c r="P45" s="707"/>
      <c r="Q45" s="707"/>
      <c r="R45" s="707"/>
      <c r="S45" s="707"/>
      <c r="T45" s="707"/>
      <c r="U45" s="707"/>
      <c r="V45" s="707"/>
      <c r="W45" s="707"/>
    </row>
    <row r="46" spans="1:23" x14ac:dyDescent="0.25">
      <c r="A46" s="701"/>
      <c r="B46" s="701"/>
      <c r="C46" s="701"/>
      <c r="D46" s="701"/>
      <c r="E46" s="701"/>
      <c r="F46" s="701"/>
      <c r="G46" s="701"/>
      <c r="H46" s="701"/>
      <c r="I46" s="701"/>
      <c r="J46" s="701"/>
      <c r="K46" s="701"/>
      <c r="L46" s="701"/>
      <c r="M46" s="701"/>
      <c r="N46" s="701"/>
      <c r="O46" s="701"/>
      <c r="P46" s="701"/>
      <c r="Q46" s="701"/>
      <c r="R46" s="701"/>
      <c r="S46" s="701"/>
      <c r="T46" s="701"/>
      <c r="U46" s="701"/>
      <c r="V46" s="701"/>
      <c r="W46" s="701"/>
    </row>
    <row r="47" spans="1:23" x14ac:dyDescent="0.25">
      <c r="A47" s="701"/>
      <c r="B47" s="701"/>
      <c r="C47" s="780" t="s">
        <v>128</v>
      </c>
      <c r="D47" s="775" t="s">
        <v>42</v>
      </c>
      <c r="E47" s="775" t="s">
        <v>52</v>
      </c>
      <c r="F47" s="775" t="s">
        <v>53</v>
      </c>
      <c r="G47" s="775" t="s">
        <v>482</v>
      </c>
      <c r="H47" s="775" t="s">
        <v>32</v>
      </c>
      <c r="I47" s="775" t="s">
        <v>483</v>
      </c>
      <c r="J47" s="775" t="s">
        <v>20</v>
      </c>
      <c r="K47" s="775" t="s">
        <v>55</v>
      </c>
      <c r="L47" s="777" t="s">
        <v>56</v>
      </c>
      <c r="M47" s="778"/>
      <c r="N47" s="778"/>
      <c r="O47" s="778"/>
      <c r="P47" s="778"/>
      <c r="Q47" s="779"/>
      <c r="R47" s="775" t="s">
        <v>57</v>
      </c>
      <c r="S47" s="775" t="s">
        <v>58</v>
      </c>
      <c r="T47" s="775" t="s">
        <v>31</v>
      </c>
      <c r="U47" s="775" t="s">
        <v>10</v>
      </c>
      <c r="V47" s="701"/>
      <c r="W47" s="701"/>
    </row>
    <row r="48" spans="1:23" ht="67.5" x14ac:dyDescent="0.25">
      <c r="A48" s="701" t="s">
        <v>486</v>
      </c>
      <c r="B48" s="701"/>
      <c r="C48" s="781"/>
      <c r="D48" s="776"/>
      <c r="E48" s="776"/>
      <c r="F48" s="776"/>
      <c r="G48" s="776"/>
      <c r="H48" s="776"/>
      <c r="I48" s="776"/>
      <c r="J48" s="776"/>
      <c r="K48" s="776"/>
      <c r="L48" s="709" t="s">
        <v>335</v>
      </c>
      <c r="M48" s="709" t="s">
        <v>40</v>
      </c>
      <c r="N48" s="709" t="s">
        <v>343</v>
      </c>
      <c r="O48" s="709" t="s">
        <v>344</v>
      </c>
      <c r="P48" s="719" t="s">
        <v>610</v>
      </c>
      <c r="Q48" s="709" t="s">
        <v>346</v>
      </c>
      <c r="R48" s="776"/>
      <c r="S48" s="776"/>
      <c r="T48" s="776"/>
      <c r="U48" s="776"/>
      <c r="V48" s="701"/>
      <c r="W48" s="701"/>
    </row>
    <row r="49" spans="1:23" x14ac:dyDescent="0.25">
      <c r="A49" s="701" t="s">
        <v>487</v>
      </c>
      <c r="B49" s="701"/>
      <c r="C49" s="710" t="s">
        <v>59</v>
      </c>
      <c r="D49" s="711">
        <f>Bilans_E_AMS_Kyoto_run3_MTE!H310</f>
        <v>0</v>
      </c>
      <c r="E49" s="711">
        <f>Bilans_E_AMS_Kyoto_run3_MTE!I310</f>
        <v>6.6756200000000003</v>
      </c>
      <c r="F49" s="711">
        <f>Bilans_E_AMS_Kyoto_run3_MTE!J310</f>
        <v>0</v>
      </c>
      <c r="G49" s="711">
        <f>Bilans_E_AMS_Kyoto_run3_MTE!K310</f>
        <v>0</v>
      </c>
      <c r="H49" s="711">
        <f>Bilans_E_AMS_Kyoto_run3_MTE!L310</f>
        <v>0.13839700000000002</v>
      </c>
      <c r="I49" s="711">
        <f>Bilans_E_AMS_Kyoto_run3_MTE!M310</f>
        <v>0</v>
      </c>
      <c r="J49" s="711">
        <f>Bilans_E_AMS_Kyoto_run3_MTE!N310</f>
        <v>1165.8657454545453</v>
      </c>
      <c r="K49" s="711">
        <f>Bilans_E_AMS_Kyoto_run3_MTE!O310</f>
        <v>264.18035739757391</v>
      </c>
      <c r="L49" s="711">
        <f>Bilans_E_AMS_Kyoto_run3_MTE!P310</f>
        <v>307.7744422597346</v>
      </c>
      <c r="M49" s="711">
        <f>Bilans_E_AMS_Kyoto_run3_MTE!Q310</f>
        <v>51.405271738220549</v>
      </c>
      <c r="N49" s="711">
        <f>Bilans_E_AMS_Kyoto_run3_MTE!R310</f>
        <v>0</v>
      </c>
      <c r="O49" s="711">
        <f>Bilans_E_AMS_Kyoto_run3_MTE!S310</f>
        <v>0</v>
      </c>
      <c r="P49" s="711">
        <f>Bilans_E_AMS_Kyoto_run3_MTE!T310+Bilans_E_AMS_Kyoto_run3_MTE!U310</f>
        <v>151.46298386421165</v>
      </c>
      <c r="Q49" s="711">
        <f>Bilans_E_AMS_Kyoto_run3_MTE!V310</f>
        <v>29.323733806781338</v>
      </c>
      <c r="R49" s="711">
        <f>Bilans_E_AMS_Kyoto_run3_MTE!W310</f>
        <v>0</v>
      </c>
      <c r="S49" s="711">
        <f>Bilans_E_AMS_Kyoto_run3_MTE!X310</f>
        <v>0</v>
      </c>
      <c r="T49" s="711">
        <f>Bilans_E_AMS_Kyoto_run3_MTE!Y310</f>
        <v>0</v>
      </c>
      <c r="U49" s="711">
        <f>Bilans_E_AMS_Kyoto_run3_MTE!Z310</f>
        <v>1976.8265515210674</v>
      </c>
      <c r="V49" s="701"/>
      <c r="W49" s="701"/>
    </row>
    <row r="50" spans="1:23" x14ac:dyDescent="0.25">
      <c r="A50" s="701" t="s">
        <v>488</v>
      </c>
      <c r="B50" s="701"/>
      <c r="C50" s="710" t="s">
        <v>60</v>
      </c>
      <c r="D50" s="712">
        <f>Bilans_E_AMS_Kyoto_run3_MTE!H311</f>
        <v>16.733972167968751</v>
      </c>
      <c r="E50" s="712">
        <f>Bilans_E_AMS_Kyoto_run3_MTE!I311</f>
        <v>341.17156490138257</v>
      </c>
      <c r="F50" s="712">
        <f>Bilans_E_AMS_Kyoto_run3_MTE!J311</f>
        <v>153.01857569335476</v>
      </c>
      <c r="G50" s="712">
        <f>Bilans_E_AMS_Kyoto_run3_MTE!K311</f>
        <v>1.5907003975249192</v>
      </c>
      <c r="H50" s="712">
        <f>Bilans_E_AMS_Kyoto_run3_MTE!L311</f>
        <v>229.24655706350896</v>
      </c>
      <c r="I50" s="712">
        <f>Bilans_E_AMS_Kyoto_run3_MTE!M311</f>
        <v>0</v>
      </c>
      <c r="J50" s="712">
        <f>Bilans_E_AMS_Kyoto_run3_MTE!N311</f>
        <v>0</v>
      </c>
      <c r="K50" s="712">
        <f>Bilans_E_AMS_Kyoto_run3_MTE!O311</f>
        <v>0</v>
      </c>
      <c r="L50" s="712">
        <f>Bilans_E_AMS_Kyoto_run3_MTE!P311</f>
        <v>2.5625656464325743</v>
      </c>
      <c r="M50" s="712">
        <f>Bilans_E_AMS_Kyoto_run3_MTE!Q311</f>
        <v>0</v>
      </c>
      <c r="N50" s="712">
        <f>Bilans_E_AMS_Kyoto_run3_MTE!R311</f>
        <v>11.177777544289128</v>
      </c>
      <c r="O50" s="712">
        <f>Bilans_E_AMS_Kyoto_run3_MTE!S311</f>
        <v>5.1524616534363687</v>
      </c>
      <c r="P50" s="712">
        <f>Bilans_E_AMS_Kyoto_run3_MTE!T311+Bilans_E_AMS_Kyoto_run3_MTE!U311</f>
        <v>0</v>
      </c>
      <c r="Q50" s="712">
        <f>Bilans_E_AMS_Kyoto_run3_MTE!V311</f>
        <v>0</v>
      </c>
      <c r="R50" s="712">
        <f>Bilans_E_AMS_Kyoto_run3_MTE!W311</f>
        <v>0</v>
      </c>
      <c r="S50" s="712">
        <f>Bilans_E_AMS_Kyoto_run3_MTE!X311</f>
        <v>0</v>
      </c>
      <c r="T50" s="712">
        <f>Bilans_E_AMS_Kyoto_run3_MTE!Y311</f>
        <v>0</v>
      </c>
      <c r="U50" s="712">
        <f>Bilans_E_AMS_Kyoto_run3_MTE!Z311</f>
        <v>760.65417506789811</v>
      </c>
      <c r="V50" s="701"/>
      <c r="W50" s="701"/>
    </row>
    <row r="51" spans="1:23" x14ac:dyDescent="0.25">
      <c r="A51" s="701" t="s">
        <v>489</v>
      </c>
      <c r="B51" s="701"/>
      <c r="C51" s="710" t="s">
        <v>61</v>
      </c>
      <c r="D51" s="712">
        <f>Bilans_E_AMS_Kyoto_run3_MTE!H312</f>
        <v>0</v>
      </c>
      <c r="E51" s="712">
        <f>Bilans_E_AMS_Kyoto_run3_MTE!I312</f>
        <v>0</v>
      </c>
      <c r="F51" s="712">
        <f>Bilans_E_AMS_Kyoto_run3_MTE!J312</f>
        <v>0</v>
      </c>
      <c r="G51" s="712">
        <f>Bilans_E_AMS_Kyoto_run3_MTE!K312</f>
        <v>0</v>
      </c>
      <c r="H51" s="712">
        <f>Bilans_E_AMS_Kyoto_run3_MTE!L312</f>
        <v>0</v>
      </c>
      <c r="I51" s="712">
        <f>Bilans_E_AMS_Kyoto_run3_MTE!M312</f>
        <v>0</v>
      </c>
      <c r="J51" s="712">
        <f>Bilans_E_AMS_Kyoto_run3_MTE!N312</f>
        <v>0</v>
      </c>
      <c r="K51" s="712">
        <f>Bilans_E_AMS_Kyoto_run3_MTE!O312</f>
        <v>0</v>
      </c>
      <c r="L51" s="712">
        <f>Bilans_E_AMS_Kyoto_run3_MTE!P312</f>
        <v>0</v>
      </c>
      <c r="M51" s="712">
        <f>Bilans_E_AMS_Kyoto_run3_MTE!Q312</f>
        <v>0</v>
      </c>
      <c r="N51" s="712">
        <f>Bilans_E_AMS_Kyoto_run3_MTE!R312</f>
        <v>0</v>
      </c>
      <c r="O51" s="712">
        <f>Bilans_E_AMS_Kyoto_run3_MTE!S312</f>
        <v>0</v>
      </c>
      <c r="P51" s="712">
        <f>Bilans_E_AMS_Kyoto_run3_MTE!T312+Bilans_E_AMS_Kyoto_run3_MTE!U312</f>
        <v>0</v>
      </c>
      <c r="Q51" s="712">
        <f>Bilans_E_AMS_Kyoto_run3_MTE!V312</f>
        <v>0</v>
      </c>
      <c r="R51" s="712">
        <f>Bilans_E_AMS_Kyoto_run3_MTE!W312</f>
        <v>-83.337259091529631</v>
      </c>
      <c r="S51" s="712">
        <f>Bilans_E_AMS_Kyoto_run3_MTE!X312</f>
        <v>0</v>
      </c>
      <c r="T51" s="712">
        <f>Bilans_E_AMS_Kyoto_run3_MTE!Y312</f>
        <v>0</v>
      </c>
      <c r="U51" s="712">
        <f>Bilans_E_AMS_Kyoto_run3_MTE!Z312</f>
        <v>-83.337259091529631</v>
      </c>
      <c r="V51" s="701"/>
      <c r="W51" s="701"/>
    </row>
    <row r="52" spans="1:23" x14ac:dyDescent="0.25">
      <c r="A52" s="701" t="s">
        <v>490</v>
      </c>
      <c r="B52" s="701"/>
      <c r="C52" s="710" t="s">
        <v>62</v>
      </c>
      <c r="D52" s="711">
        <f>Bilans_E_AMS_Kyoto_run3_MTE!H313</f>
        <v>0</v>
      </c>
      <c r="E52" s="711">
        <f>Bilans_E_AMS_Kyoto_run3_MTE!I313</f>
        <v>0</v>
      </c>
      <c r="F52" s="711">
        <f>Bilans_E_AMS_Kyoto_run3_MTE!J313</f>
        <v>-7.8555551160476131</v>
      </c>
      <c r="G52" s="711">
        <f>Bilans_E_AMS_Kyoto_run3_MTE!K313</f>
        <v>-0.3373161064337088</v>
      </c>
      <c r="H52" s="711">
        <f>Bilans_E_AMS_Kyoto_run3_MTE!L313</f>
        <v>-0.96725165809085023</v>
      </c>
      <c r="I52" s="711">
        <f>Bilans_E_AMS_Kyoto_run3_MTE!M313</f>
        <v>-0.4644109471147348</v>
      </c>
      <c r="J52" s="711">
        <f>Bilans_E_AMS_Kyoto_run3_MTE!N313</f>
        <v>0</v>
      </c>
      <c r="K52" s="711">
        <f>Bilans_E_AMS_Kyoto_run3_MTE!O313</f>
        <v>0</v>
      </c>
      <c r="L52" s="711">
        <f>Bilans_E_AMS_Kyoto_run3_MTE!P313</f>
        <v>0</v>
      </c>
      <c r="M52" s="711">
        <f>Bilans_E_AMS_Kyoto_run3_MTE!Q313</f>
        <v>0</v>
      </c>
      <c r="N52" s="711">
        <f>Bilans_E_AMS_Kyoto_run3_MTE!R313</f>
        <v>0</v>
      </c>
      <c r="O52" s="711">
        <f>Bilans_E_AMS_Kyoto_run3_MTE!S313</f>
        <v>-0.87837701634115894</v>
      </c>
      <c r="P52" s="711">
        <f>Bilans_E_AMS_Kyoto_run3_MTE!T313+Bilans_E_AMS_Kyoto_run3_MTE!U313</f>
        <v>0</v>
      </c>
      <c r="Q52" s="711">
        <f>Bilans_E_AMS_Kyoto_run3_MTE!V313</f>
        <v>0</v>
      </c>
      <c r="R52" s="711">
        <f>Bilans_E_AMS_Kyoto_run3_MTE!W313</f>
        <v>0</v>
      </c>
      <c r="S52" s="711">
        <f>Bilans_E_AMS_Kyoto_run3_MTE!X313</f>
        <v>0</v>
      </c>
      <c r="T52" s="711">
        <f>Bilans_E_AMS_Kyoto_run3_MTE!Y313</f>
        <v>-0.26185876214866849</v>
      </c>
      <c r="U52" s="711">
        <f>Bilans_E_AMS_Kyoto_run3_MTE!Z313</f>
        <v>-10.764769606176733</v>
      </c>
      <c r="V52" s="701"/>
      <c r="W52" s="701"/>
    </row>
    <row r="53" spans="1:23" x14ac:dyDescent="0.25">
      <c r="A53" s="701" t="s">
        <v>491</v>
      </c>
      <c r="B53" s="701"/>
      <c r="C53" s="710" t="s">
        <v>63</v>
      </c>
      <c r="D53" s="711">
        <f>Bilans_E_AMS_Kyoto_run3_MTE!H314</f>
        <v>0</v>
      </c>
      <c r="E53" s="711">
        <f>Bilans_E_AMS_Kyoto_run3_MTE!I314</f>
        <v>0</v>
      </c>
      <c r="F53" s="711">
        <f>Bilans_E_AMS_Kyoto_run3_MTE!J314</f>
        <v>-61.6</v>
      </c>
      <c r="G53" s="711">
        <f>Bilans_E_AMS_Kyoto_run3_MTE!K314</f>
        <v>-2.8</v>
      </c>
      <c r="H53" s="711">
        <f>Bilans_E_AMS_Kyoto_run3_MTE!L314</f>
        <v>0</v>
      </c>
      <c r="I53" s="711">
        <f>Bilans_E_AMS_Kyoto_run3_MTE!M314</f>
        <v>0</v>
      </c>
      <c r="J53" s="711">
        <f>Bilans_E_AMS_Kyoto_run3_MTE!N314</f>
        <v>0</v>
      </c>
      <c r="K53" s="711">
        <f>Bilans_E_AMS_Kyoto_run3_MTE!O314</f>
        <v>0</v>
      </c>
      <c r="L53" s="711">
        <f>Bilans_E_AMS_Kyoto_run3_MTE!P314</f>
        <v>0</v>
      </c>
      <c r="M53" s="711">
        <f>Bilans_E_AMS_Kyoto_run3_MTE!Q314</f>
        <v>0</v>
      </c>
      <c r="N53" s="711">
        <f>Bilans_E_AMS_Kyoto_run3_MTE!R314</f>
        <v>-8.1999999999999993</v>
      </c>
      <c r="O53" s="711">
        <f>Bilans_E_AMS_Kyoto_run3_MTE!S314</f>
        <v>0</v>
      </c>
      <c r="P53" s="711">
        <f>Bilans_E_AMS_Kyoto_run3_MTE!T314+Bilans_E_AMS_Kyoto_run3_MTE!U314</f>
        <v>0</v>
      </c>
      <c r="Q53" s="711">
        <f>Bilans_E_AMS_Kyoto_run3_MTE!V314</f>
        <v>0</v>
      </c>
      <c r="R53" s="711">
        <f>Bilans_E_AMS_Kyoto_run3_MTE!W314</f>
        <v>0</v>
      </c>
      <c r="S53" s="711">
        <f>Bilans_E_AMS_Kyoto_run3_MTE!X314</f>
        <v>0</v>
      </c>
      <c r="T53" s="711">
        <f>Bilans_E_AMS_Kyoto_run3_MTE!Y314</f>
        <v>-0.6</v>
      </c>
      <c r="U53" s="711">
        <f>Bilans_E_AMS_Kyoto_run3_MTE!Z314</f>
        <v>-73.2</v>
      </c>
      <c r="V53" s="701"/>
      <c r="W53" s="701"/>
    </row>
    <row r="54" spans="1:23" x14ac:dyDescent="0.25">
      <c r="A54" s="701" t="s">
        <v>492</v>
      </c>
      <c r="B54" s="701"/>
      <c r="C54" s="710" t="s">
        <v>64</v>
      </c>
      <c r="D54" s="712">
        <f>Bilans_E_AMS_Kyoto_run3_MTE!H315</f>
        <v>0</v>
      </c>
      <c r="E54" s="712">
        <f>Bilans_E_AMS_Kyoto_run3_MTE!I315</f>
        <v>0</v>
      </c>
      <c r="F54" s="712">
        <f>Bilans_E_AMS_Kyoto_run3_MTE!J315</f>
        <v>0</v>
      </c>
      <c r="G54" s="712">
        <f>Bilans_E_AMS_Kyoto_run3_MTE!K315</f>
        <v>0</v>
      </c>
      <c r="H54" s="712">
        <f>Bilans_E_AMS_Kyoto_run3_MTE!L315</f>
        <v>0</v>
      </c>
      <c r="I54" s="712">
        <f>Bilans_E_AMS_Kyoto_run3_MTE!M315</f>
        <v>0</v>
      </c>
      <c r="J54" s="712">
        <f>Bilans_E_AMS_Kyoto_run3_MTE!N315</f>
        <v>0</v>
      </c>
      <c r="K54" s="712">
        <f>Bilans_E_AMS_Kyoto_run3_MTE!O315</f>
        <v>0</v>
      </c>
      <c r="L54" s="712">
        <f>Bilans_E_AMS_Kyoto_run3_MTE!P315</f>
        <v>0</v>
      </c>
      <c r="M54" s="712">
        <f>Bilans_E_AMS_Kyoto_run3_MTE!Q315</f>
        <v>0</v>
      </c>
      <c r="N54" s="712">
        <f>Bilans_E_AMS_Kyoto_run3_MTE!R315</f>
        <v>0</v>
      </c>
      <c r="O54" s="712">
        <f>Bilans_E_AMS_Kyoto_run3_MTE!S315</f>
        <v>0</v>
      </c>
      <c r="P54" s="712">
        <f>Bilans_E_AMS_Kyoto_run3_MTE!T315+Bilans_E_AMS_Kyoto_run3_MTE!U315</f>
        <v>0</v>
      </c>
      <c r="Q54" s="712">
        <f>Bilans_E_AMS_Kyoto_run3_MTE!V315</f>
        <v>0</v>
      </c>
      <c r="R54" s="712">
        <f>Bilans_E_AMS_Kyoto_run3_MTE!W315</f>
        <v>0</v>
      </c>
      <c r="S54" s="712">
        <f>Bilans_E_AMS_Kyoto_run3_MTE!X315</f>
        <v>0</v>
      </c>
      <c r="T54" s="712">
        <f>Bilans_E_AMS_Kyoto_run3_MTE!Y315</f>
        <v>0</v>
      </c>
      <c r="U54" s="712">
        <f>Bilans_E_AMS_Kyoto_run3_MTE!Z315</f>
        <v>0</v>
      </c>
      <c r="V54" s="701"/>
      <c r="W54" s="701"/>
    </row>
    <row r="55" spans="1:23" x14ac:dyDescent="0.25">
      <c r="A55" s="701" t="s">
        <v>493</v>
      </c>
      <c r="B55" s="701"/>
      <c r="C55" s="713" t="s">
        <v>65</v>
      </c>
      <c r="D55" s="714">
        <f>Bilans_E_AMS_Kyoto_run3_MTE!H316</f>
        <v>16.733972167968751</v>
      </c>
      <c r="E55" s="714">
        <f>Bilans_E_AMS_Kyoto_run3_MTE!I316</f>
        <v>347.84718490138255</v>
      </c>
      <c r="F55" s="714">
        <f>Bilans_E_AMS_Kyoto_run3_MTE!J316</f>
        <v>83.563020577307157</v>
      </c>
      <c r="G55" s="714">
        <f>Bilans_E_AMS_Kyoto_run3_MTE!K316</f>
        <v>-1.5466157089087895</v>
      </c>
      <c r="H55" s="714">
        <f>Bilans_E_AMS_Kyoto_run3_MTE!L316</f>
        <v>228.41770240541811</v>
      </c>
      <c r="I55" s="714">
        <f>Bilans_E_AMS_Kyoto_run3_MTE!M316</f>
        <v>-0.4644109471147348</v>
      </c>
      <c r="J55" s="714">
        <f>Bilans_E_AMS_Kyoto_run3_MTE!N316</f>
        <v>1165.8657454545453</v>
      </c>
      <c r="K55" s="714">
        <f>Bilans_E_AMS_Kyoto_run3_MTE!O316</f>
        <v>264.18035739757391</v>
      </c>
      <c r="L55" s="714">
        <f>Bilans_E_AMS_Kyoto_run3_MTE!P316</f>
        <v>310.33700790616717</v>
      </c>
      <c r="M55" s="714">
        <f>Bilans_E_AMS_Kyoto_run3_MTE!Q316</f>
        <v>51.405271738220549</v>
      </c>
      <c r="N55" s="714">
        <f>Bilans_E_AMS_Kyoto_run3_MTE!R316</f>
        <v>2.977777544289129</v>
      </c>
      <c r="O55" s="714">
        <f>Bilans_E_AMS_Kyoto_run3_MTE!S316</f>
        <v>4.2740846370952097</v>
      </c>
      <c r="P55" s="714">
        <f>Bilans_E_AMS_Kyoto_run3_MTE!T316+Bilans_E_AMS_Kyoto_run3_MTE!U316</f>
        <v>151.46298386421165</v>
      </c>
      <c r="Q55" s="714">
        <f>Bilans_E_AMS_Kyoto_run3_MTE!V316</f>
        <v>29.323733806781338</v>
      </c>
      <c r="R55" s="714">
        <f>Bilans_E_AMS_Kyoto_run3_MTE!W316</f>
        <v>-83.337259091529631</v>
      </c>
      <c r="S55" s="714">
        <f>Bilans_E_AMS_Kyoto_run3_MTE!X316</f>
        <v>0</v>
      </c>
      <c r="T55" s="714">
        <f>Bilans_E_AMS_Kyoto_run3_MTE!Y316</f>
        <v>-0.86185876214866841</v>
      </c>
      <c r="U55" s="714">
        <f>Bilans_E_AMS_Kyoto_run3_MTE!Z316</f>
        <v>2570.1786978912592</v>
      </c>
      <c r="V55" s="701"/>
      <c r="W55" s="701"/>
    </row>
    <row r="56" spans="1:23" x14ac:dyDescent="0.25">
      <c r="A56" s="701"/>
      <c r="B56" s="701"/>
      <c r="C56" s="715"/>
      <c r="D56" s="716"/>
      <c r="E56" s="716"/>
      <c r="F56" s="716"/>
      <c r="G56" s="716"/>
      <c r="H56" s="716"/>
      <c r="I56" s="716"/>
      <c r="J56" s="716"/>
      <c r="K56" s="716"/>
      <c r="L56" s="716"/>
      <c r="M56" s="716"/>
      <c r="N56" s="716"/>
      <c r="O56" s="716"/>
      <c r="P56" s="716">
        <f>Bilans_E_AMS_Kyoto_run3_MTE!T317+Bilans_E_AMS_Kyoto_run3_MTE!U317</f>
        <v>0</v>
      </c>
      <c r="Q56" s="716"/>
      <c r="R56" s="716"/>
      <c r="S56" s="716"/>
      <c r="T56" s="716"/>
      <c r="U56" s="716"/>
      <c r="V56" s="701"/>
      <c r="W56" s="701"/>
    </row>
    <row r="57" spans="1:23" x14ac:dyDescent="0.25">
      <c r="A57" s="701" t="s">
        <v>494</v>
      </c>
      <c r="B57" s="701"/>
      <c r="C57" s="717" t="s">
        <v>67</v>
      </c>
      <c r="D57" s="711">
        <f>Bilans_E_AMS_Kyoto_run3_MTE!H318</f>
        <v>0</v>
      </c>
      <c r="E57" s="711">
        <f>Bilans_E_AMS_Kyoto_run3_MTE!I318</f>
        <v>0</v>
      </c>
      <c r="F57" s="711">
        <f>Bilans_E_AMS_Kyoto_run3_MTE!J318</f>
        <v>0</v>
      </c>
      <c r="G57" s="711">
        <f>Bilans_E_AMS_Kyoto_run3_MTE!K318</f>
        <v>0</v>
      </c>
      <c r="H57" s="711">
        <f>Bilans_E_AMS_Kyoto_run3_MTE!L318</f>
        <v>0</v>
      </c>
      <c r="I57" s="711">
        <f>Bilans_E_AMS_Kyoto_run3_MTE!M318</f>
        <v>0</v>
      </c>
      <c r="J57" s="711">
        <f>Bilans_E_AMS_Kyoto_run3_MTE!N318</f>
        <v>0</v>
      </c>
      <c r="K57" s="711">
        <f>Bilans_E_AMS_Kyoto_run3_MTE!O318</f>
        <v>0</v>
      </c>
      <c r="L57" s="711">
        <f>Bilans_E_AMS_Kyoto_run3_MTE!P318</f>
        <v>0</v>
      </c>
      <c r="M57" s="711">
        <f>Bilans_E_AMS_Kyoto_run3_MTE!Q318</f>
        <v>0</v>
      </c>
      <c r="N57" s="711">
        <f>Bilans_E_AMS_Kyoto_run3_MTE!R318</f>
        <v>0</v>
      </c>
      <c r="O57" s="711">
        <f>Bilans_E_AMS_Kyoto_run3_MTE!S318</f>
        <v>0</v>
      </c>
      <c r="P57" s="711">
        <f>Bilans_E_AMS_Kyoto_run3_MTE!T318+Bilans_E_AMS_Kyoto_run3_MTE!U318</f>
        <v>0</v>
      </c>
      <c r="Q57" s="711">
        <f>Bilans_E_AMS_Kyoto_run3_MTE!V318</f>
        <v>0</v>
      </c>
      <c r="R57" s="711">
        <f>Bilans_E_AMS_Kyoto_run3_MTE!W318</f>
        <v>0</v>
      </c>
      <c r="S57" s="711">
        <f>Bilans_E_AMS_Kyoto_run3_MTE!X318</f>
        <v>0</v>
      </c>
      <c r="T57" s="711">
        <f>Bilans_E_AMS_Kyoto_run3_MTE!Y318</f>
        <v>0</v>
      </c>
      <c r="U57" s="711">
        <f>Bilans_E_AMS_Kyoto_run3_MTE!Z318</f>
        <v>0</v>
      </c>
      <c r="V57" s="701"/>
      <c r="W57" s="701"/>
    </row>
    <row r="58" spans="1:23" x14ac:dyDescent="0.25">
      <c r="A58" s="701" t="s">
        <v>495</v>
      </c>
      <c r="B58" s="701"/>
      <c r="C58" s="717" t="s">
        <v>347</v>
      </c>
      <c r="D58" s="711">
        <f>Bilans_E_AMS_Kyoto_run3_MTE!H319</f>
        <v>0</v>
      </c>
      <c r="E58" s="711">
        <f>Bilans_E_AMS_Kyoto_run3_MTE!I319</f>
        <v>0</v>
      </c>
      <c r="F58" s="711">
        <f>Bilans_E_AMS_Kyoto_run3_MTE!J319</f>
        <v>0.79278558393774012</v>
      </c>
      <c r="G58" s="711">
        <f>Bilans_E_AMS_Kyoto_run3_MTE!K319</f>
        <v>0</v>
      </c>
      <c r="H58" s="711">
        <f>Bilans_E_AMS_Kyoto_run3_MTE!L319</f>
        <v>30.18998354898655</v>
      </c>
      <c r="I58" s="711">
        <f>Bilans_E_AMS_Kyoto_run3_MTE!M319</f>
        <v>0</v>
      </c>
      <c r="J58" s="711">
        <f>Bilans_E_AMS_Kyoto_run3_MTE!N319</f>
        <v>1165.8657454545453</v>
      </c>
      <c r="K58" s="711">
        <f>Bilans_E_AMS_Kyoto_run3_MTE!O319</f>
        <v>264.18035739757391</v>
      </c>
      <c r="L58" s="711">
        <f>Bilans_E_AMS_Kyoto_run3_MTE!P319</f>
        <v>15.154623225490525</v>
      </c>
      <c r="M58" s="711">
        <f>Bilans_E_AMS_Kyoto_run3_MTE!Q319</f>
        <v>6.1000995181555853</v>
      </c>
      <c r="N58" s="711">
        <f>Bilans_E_AMS_Kyoto_run3_MTE!R319</f>
        <v>4.7819832265678626</v>
      </c>
      <c r="O58" s="711">
        <f>Bilans_E_AMS_Kyoto_run3_MTE!S319</f>
        <v>9.8298837124563363</v>
      </c>
      <c r="P58" s="711">
        <f>Bilans_E_AMS_Kyoto_run3_MTE!T319+Bilans_E_AMS_Kyoto_run3_MTE!U319</f>
        <v>0</v>
      </c>
      <c r="Q58" s="711">
        <f>Bilans_E_AMS_Kyoto_run3_MTE!V319</f>
        <v>1.6766395861963883</v>
      </c>
      <c r="R58" s="711">
        <f>Bilans_E_AMS_Kyoto_run3_MTE!W319</f>
        <v>-685.02208017428939</v>
      </c>
      <c r="S58" s="711">
        <f>Bilans_E_AMS_Kyoto_run3_MTE!X319</f>
        <v>0</v>
      </c>
      <c r="T58" s="711">
        <f>Bilans_E_AMS_Kyoto_run3_MTE!Y319</f>
        <v>0</v>
      </c>
      <c r="U58" s="711">
        <f>Bilans_E_AMS_Kyoto_run3_MTE!Z319</f>
        <v>813.55002107962082</v>
      </c>
      <c r="V58" s="701"/>
      <c r="W58" s="701"/>
    </row>
    <row r="59" spans="1:23" x14ac:dyDescent="0.25">
      <c r="A59" s="701" t="s">
        <v>496</v>
      </c>
      <c r="B59" s="701"/>
      <c r="C59" s="717" t="s">
        <v>348</v>
      </c>
      <c r="D59" s="711">
        <f>Bilans_E_AMS_Kyoto_run3_MTE!H320</f>
        <v>0</v>
      </c>
      <c r="E59" s="711">
        <f>Bilans_E_AMS_Kyoto_run3_MTE!I320</f>
        <v>0</v>
      </c>
      <c r="F59" s="711">
        <f>Bilans_E_AMS_Kyoto_run3_MTE!J320</f>
        <v>0</v>
      </c>
      <c r="G59" s="711">
        <f>Bilans_E_AMS_Kyoto_run3_MTE!K320</f>
        <v>0</v>
      </c>
      <c r="H59" s="711">
        <f>Bilans_E_AMS_Kyoto_run3_MTE!L320</f>
        <v>21.478521490079181</v>
      </c>
      <c r="I59" s="711">
        <f>Bilans_E_AMS_Kyoto_run3_MTE!M320</f>
        <v>0</v>
      </c>
      <c r="J59" s="711">
        <f>Bilans_E_AMS_Kyoto_run3_MTE!N320</f>
        <v>0</v>
      </c>
      <c r="K59" s="711">
        <f>Bilans_E_AMS_Kyoto_run3_MTE!O320</f>
        <v>0</v>
      </c>
      <c r="L59" s="711">
        <f>Bilans_E_AMS_Kyoto_run3_MTE!P320</f>
        <v>25.278971287489433</v>
      </c>
      <c r="M59" s="711">
        <f>Bilans_E_AMS_Kyoto_run3_MTE!Q320</f>
        <v>17.945678264512264</v>
      </c>
      <c r="N59" s="711">
        <f>Bilans_E_AMS_Kyoto_run3_MTE!R320</f>
        <v>0</v>
      </c>
      <c r="O59" s="711">
        <f>Bilans_E_AMS_Kyoto_run3_MTE!S320</f>
        <v>6.0065134029812235</v>
      </c>
      <c r="P59" s="711">
        <f>Bilans_E_AMS_Kyoto_run3_MTE!T320+Bilans_E_AMS_Kyoto_run3_MTE!U320</f>
        <v>10.417559156149544</v>
      </c>
      <c r="Q59" s="711">
        <f>Bilans_E_AMS_Kyoto_run3_MTE!V320</f>
        <v>12.465752150616991</v>
      </c>
      <c r="R59" s="711">
        <f>Bilans_E_AMS_Kyoto_run3_MTE!W320</f>
        <v>0</v>
      </c>
      <c r="S59" s="711">
        <f>Bilans_E_AMS_Kyoto_run3_MTE!X320</f>
        <v>-84.590071614239946</v>
      </c>
      <c r="T59" s="711">
        <f>Bilans_E_AMS_Kyoto_run3_MTE!Y320</f>
        <v>0</v>
      </c>
      <c r="U59" s="711">
        <f>Bilans_E_AMS_Kyoto_run3_MTE!Z320</f>
        <v>9.0029241375887068</v>
      </c>
      <c r="V59" s="701"/>
      <c r="W59" s="701"/>
    </row>
    <row r="60" spans="1:23" x14ac:dyDescent="0.25">
      <c r="A60" s="701" t="s">
        <v>497</v>
      </c>
      <c r="B60" s="701"/>
      <c r="C60" s="717" t="s">
        <v>349</v>
      </c>
      <c r="D60" s="711">
        <f>Bilans_E_AMS_Kyoto_run3_MTE!H321</f>
        <v>0</v>
      </c>
      <c r="E60" s="711">
        <f>Bilans_E_AMS_Kyoto_run3_MTE!I321</f>
        <v>0</v>
      </c>
      <c r="F60" s="711">
        <f>Bilans_E_AMS_Kyoto_run3_MTE!J321</f>
        <v>0</v>
      </c>
      <c r="G60" s="711">
        <f>Bilans_E_AMS_Kyoto_run3_MTE!K321</f>
        <v>0</v>
      </c>
      <c r="H60" s="711">
        <f>Bilans_E_AMS_Kyoto_run3_MTE!L321</f>
        <v>0</v>
      </c>
      <c r="I60" s="711">
        <f>Bilans_E_AMS_Kyoto_run3_MTE!M321</f>
        <v>0</v>
      </c>
      <c r="J60" s="711">
        <f>Bilans_E_AMS_Kyoto_run3_MTE!N321</f>
        <v>0</v>
      </c>
      <c r="K60" s="711">
        <f>Bilans_E_AMS_Kyoto_run3_MTE!O321</f>
        <v>0</v>
      </c>
      <c r="L60" s="711">
        <f>Bilans_E_AMS_Kyoto_run3_MTE!P321</f>
        <v>84.566495903586969</v>
      </c>
      <c r="M60" s="711">
        <f>Bilans_E_AMS_Kyoto_run3_MTE!Q321</f>
        <v>10.27121917361311</v>
      </c>
      <c r="N60" s="711">
        <f>Bilans_E_AMS_Kyoto_run3_MTE!R321</f>
        <v>0</v>
      </c>
      <c r="O60" s="711">
        <f>Bilans_E_AMS_Kyoto_run3_MTE!S321</f>
        <v>-47.494303640463748</v>
      </c>
      <c r="P60" s="711">
        <f>Bilans_E_AMS_Kyoto_run3_MTE!T321+Bilans_E_AMS_Kyoto_run3_MTE!U321</f>
        <v>0</v>
      </c>
      <c r="Q60" s="711">
        <f>Bilans_E_AMS_Kyoto_run3_MTE!V321</f>
        <v>0</v>
      </c>
      <c r="R60" s="711">
        <f>Bilans_E_AMS_Kyoto_run3_MTE!W321</f>
        <v>0</v>
      </c>
      <c r="S60" s="711">
        <f>Bilans_E_AMS_Kyoto_run3_MTE!X321</f>
        <v>0</v>
      </c>
      <c r="T60" s="711">
        <f>Bilans_E_AMS_Kyoto_run3_MTE!Y321</f>
        <v>0</v>
      </c>
      <c r="U60" s="711">
        <f>Bilans_E_AMS_Kyoto_run3_MTE!Z321</f>
        <v>47.343411436736325</v>
      </c>
      <c r="V60" s="701"/>
      <c r="W60" s="701"/>
    </row>
    <row r="61" spans="1:23" x14ac:dyDescent="0.25">
      <c r="A61" s="701" t="s">
        <v>498</v>
      </c>
      <c r="B61" s="701"/>
      <c r="C61" s="717" t="s">
        <v>350</v>
      </c>
      <c r="D61" s="711">
        <f>Bilans_E_AMS_Kyoto_run3_MTE!H322</f>
        <v>0</v>
      </c>
      <c r="E61" s="711">
        <f>Bilans_E_AMS_Kyoto_run3_MTE!I322</f>
        <v>0</v>
      </c>
      <c r="F61" s="711">
        <f>Bilans_E_AMS_Kyoto_run3_MTE!J322</f>
        <v>0</v>
      </c>
      <c r="G61" s="711">
        <f>Bilans_E_AMS_Kyoto_run3_MTE!K322</f>
        <v>0</v>
      </c>
      <c r="H61" s="711">
        <f>Bilans_E_AMS_Kyoto_run3_MTE!L322</f>
        <v>0</v>
      </c>
      <c r="I61" s="711">
        <f>Bilans_E_AMS_Kyoto_run3_MTE!M322</f>
        <v>-0.4644109471147348</v>
      </c>
      <c r="J61" s="711">
        <f>Bilans_E_AMS_Kyoto_run3_MTE!N322</f>
        <v>0</v>
      </c>
      <c r="K61" s="711">
        <f>Bilans_E_AMS_Kyoto_run3_MTE!O322</f>
        <v>0</v>
      </c>
      <c r="L61" s="711">
        <f>Bilans_E_AMS_Kyoto_run3_MTE!P322</f>
        <v>0</v>
      </c>
      <c r="M61" s="711">
        <f>Bilans_E_AMS_Kyoto_run3_MTE!Q322</f>
        <v>0</v>
      </c>
      <c r="N61" s="711">
        <f>Bilans_E_AMS_Kyoto_run3_MTE!R322</f>
        <v>0</v>
      </c>
      <c r="O61" s="711">
        <f>Bilans_E_AMS_Kyoto_run3_MTE!S322</f>
        <v>0</v>
      </c>
      <c r="P61" s="711">
        <f>Bilans_E_AMS_Kyoto_run3_MTE!T322+Bilans_E_AMS_Kyoto_run3_MTE!U322</f>
        <v>0</v>
      </c>
      <c r="Q61" s="711">
        <f>Bilans_E_AMS_Kyoto_run3_MTE!V322</f>
        <v>0</v>
      </c>
      <c r="R61" s="711">
        <f>Bilans_E_AMS_Kyoto_run3_MTE!W322</f>
        <v>0</v>
      </c>
      <c r="S61" s="711">
        <f>Bilans_E_AMS_Kyoto_run3_MTE!X322</f>
        <v>0</v>
      </c>
      <c r="T61" s="711">
        <f>Bilans_E_AMS_Kyoto_run3_MTE!Y322</f>
        <v>0.64501520432602055</v>
      </c>
      <c r="U61" s="711">
        <f>Bilans_E_AMS_Kyoto_run3_MTE!Z322</f>
        <v>0.18060425721128576</v>
      </c>
      <c r="V61" s="701"/>
      <c r="W61" s="701"/>
    </row>
    <row r="62" spans="1:23" x14ac:dyDescent="0.25">
      <c r="A62" s="701" t="s">
        <v>499</v>
      </c>
      <c r="B62" s="701"/>
      <c r="C62" s="717" t="s">
        <v>72</v>
      </c>
      <c r="D62" s="711">
        <f>Bilans_E_AMS_Kyoto_run3_MTE!H323</f>
        <v>0</v>
      </c>
      <c r="E62" s="711">
        <f>Bilans_E_AMS_Kyoto_run3_MTE!I323</f>
        <v>360.49746740112505</v>
      </c>
      <c r="F62" s="711">
        <f>Bilans_E_AMS_Kyoto_run3_MTE!J323</f>
        <v>-356.89249272711379</v>
      </c>
      <c r="G62" s="711">
        <f>Bilans_E_AMS_Kyoto_run3_MTE!K323</f>
        <v>0</v>
      </c>
      <c r="H62" s="711">
        <f>Bilans_E_AMS_Kyoto_run3_MTE!L323</f>
        <v>0</v>
      </c>
      <c r="I62" s="711">
        <f>Bilans_E_AMS_Kyoto_run3_MTE!M323</f>
        <v>0</v>
      </c>
      <c r="J62" s="711">
        <f>Bilans_E_AMS_Kyoto_run3_MTE!N323</f>
        <v>0</v>
      </c>
      <c r="K62" s="711">
        <f>Bilans_E_AMS_Kyoto_run3_MTE!O323</f>
        <v>0</v>
      </c>
      <c r="L62" s="711">
        <f>Bilans_E_AMS_Kyoto_run3_MTE!P323</f>
        <v>0</v>
      </c>
      <c r="M62" s="711">
        <f>Bilans_E_AMS_Kyoto_run3_MTE!Q323</f>
        <v>0</v>
      </c>
      <c r="N62" s="711">
        <f>Bilans_E_AMS_Kyoto_run3_MTE!R323</f>
        <v>0</v>
      </c>
      <c r="O62" s="711">
        <f>Bilans_E_AMS_Kyoto_run3_MTE!S323</f>
        <v>0</v>
      </c>
      <c r="P62" s="711">
        <f>Bilans_E_AMS_Kyoto_run3_MTE!T323+Bilans_E_AMS_Kyoto_run3_MTE!U323</f>
        <v>0</v>
      </c>
      <c r="Q62" s="711">
        <f>Bilans_E_AMS_Kyoto_run3_MTE!V323</f>
        <v>0</v>
      </c>
      <c r="R62" s="711">
        <f>Bilans_E_AMS_Kyoto_run3_MTE!W323</f>
        <v>0</v>
      </c>
      <c r="S62" s="711">
        <f>Bilans_E_AMS_Kyoto_run3_MTE!X323</f>
        <v>0</v>
      </c>
      <c r="T62" s="711">
        <f>Bilans_E_AMS_Kyoto_run3_MTE!Y323</f>
        <v>0</v>
      </c>
      <c r="U62" s="711">
        <f>Bilans_E_AMS_Kyoto_run3_MTE!Z323</f>
        <v>3.6049746740112596</v>
      </c>
      <c r="V62" s="701"/>
      <c r="W62" s="701"/>
    </row>
    <row r="63" spans="1:23" x14ac:dyDescent="0.25">
      <c r="A63" s="701" t="s">
        <v>500</v>
      </c>
      <c r="B63" s="701"/>
      <c r="C63" s="717" t="s">
        <v>351</v>
      </c>
      <c r="D63" s="711">
        <f>Bilans_E_AMS_Kyoto_run3_MTE!H324</f>
        <v>0</v>
      </c>
      <c r="E63" s="711">
        <f>Bilans_E_AMS_Kyoto_run3_MTE!I324</f>
        <v>0</v>
      </c>
      <c r="F63" s="711">
        <f>Bilans_E_AMS_Kyoto_run3_MTE!J324</f>
        <v>0</v>
      </c>
      <c r="G63" s="711">
        <f>Bilans_E_AMS_Kyoto_run3_MTE!K324</f>
        <v>0</v>
      </c>
      <c r="H63" s="711">
        <f>Bilans_E_AMS_Kyoto_run3_MTE!L324</f>
        <v>0</v>
      </c>
      <c r="I63" s="711">
        <f>Bilans_E_AMS_Kyoto_run3_MTE!M324</f>
        <v>0</v>
      </c>
      <c r="J63" s="711">
        <f>Bilans_E_AMS_Kyoto_run3_MTE!N324</f>
        <v>0</v>
      </c>
      <c r="K63" s="711">
        <f>Bilans_E_AMS_Kyoto_run3_MTE!O324</f>
        <v>0</v>
      </c>
      <c r="L63" s="711">
        <f>Bilans_E_AMS_Kyoto_run3_MTE!P324</f>
        <v>79.688188573831496</v>
      </c>
      <c r="M63" s="711">
        <f>Bilans_E_AMS_Kyoto_run3_MTE!Q324</f>
        <v>7.2727272727272725</v>
      </c>
      <c r="N63" s="711">
        <f>Bilans_E_AMS_Kyoto_run3_MTE!R324</f>
        <v>-48.502301880066618</v>
      </c>
      <c r="O63" s="711">
        <f>Bilans_E_AMS_Kyoto_run3_MTE!S324</f>
        <v>0</v>
      </c>
      <c r="P63" s="711">
        <f>Bilans_E_AMS_Kyoto_run3_MTE!T324+Bilans_E_AMS_Kyoto_run3_MTE!U324</f>
        <v>0</v>
      </c>
      <c r="Q63" s="711">
        <f>Bilans_E_AMS_Kyoto_run3_MTE!V324</f>
        <v>0</v>
      </c>
      <c r="R63" s="711">
        <f>Bilans_E_AMS_Kyoto_run3_MTE!W324</f>
        <v>0</v>
      </c>
      <c r="S63" s="711">
        <f>Bilans_E_AMS_Kyoto_run3_MTE!X324</f>
        <v>0</v>
      </c>
      <c r="T63" s="711">
        <f>Bilans_E_AMS_Kyoto_run3_MTE!Y324</f>
        <v>0</v>
      </c>
      <c r="U63" s="711">
        <f>Bilans_E_AMS_Kyoto_run3_MTE!Z324</f>
        <v>38.458613966492145</v>
      </c>
      <c r="V63" s="701"/>
      <c r="W63" s="701"/>
    </row>
    <row r="64" spans="1:23" x14ac:dyDescent="0.25">
      <c r="A64" s="701" t="s">
        <v>501</v>
      </c>
      <c r="B64" s="701"/>
      <c r="C64" s="717" t="s">
        <v>352</v>
      </c>
      <c r="D64" s="711">
        <f>Bilans_E_AMS_Kyoto_run3_MTE!H325</f>
        <v>0</v>
      </c>
      <c r="E64" s="711">
        <f>Bilans_E_AMS_Kyoto_run3_MTE!I325</f>
        <v>0</v>
      </c>
      <c r="F64" s="711">
        <f>Bilans_E_AMS_Kyoto_run3_MTE!J325</f>
        <v>0</v>
      </c>
      <c r="G64" s="711">
        <f>Bilans_E_AMS_Kyoto_run3_MTE!K325</f>
        <v>-2.3373161064337085</v>
      </c>
      <c r="H64" s="711">
        <f>Bilans_E_AMS_Kyoto_run3_MTE!L325</f>
        <v>0</v>
      </c>
      <c r="I64" s="711">
        <f>Bilans_E_AMS_Kyoto_run3_MTE!M325</f>
        <v>0</v>
      </c>
      <c r="J64" s="711">
        <f>Bilans_E_AMS_Kyoto_run3_MTE!N325</f>
        <v>0</v>
      </c>
      <c r="K64" s="711">
        <f>Bilans_E_AMS_Kyoto_run3_MTE!O325</f>
        <v>0</v>
      </c>
      <c r="L64" s="711">
        <f>Bilans_E_AMS_Kyoto_run3_MTE!P325</f>
        <v>0</v>
      </c>
      <c r="M64" s="711">
        <f>Bilans_E_AMS_Kyoto_run3_MTE!Q325</f>
        <v>0</v>
      </c>
      <c r="N64" s="711">
        <f>Bilans_E_AMS_Kyoto_run3_MTE!R325</f>
        <v>0</v>
      </c>
      <c r="O64" s="711">
        <f>Bilans_E_AMS_Kyoto_run3_MTE!S325</f>
        <v>0</v>
      </c>
      <c r="P64" s="711">
        <f>Bilans_E_AMS_Kyoto_run3_MTE!T325+Bilans_E_AMS_Kyoto_run3_MTE!U325</f>
        <v>0</v>
      </c>
      <c r="Q64" s="711">
        <f>Bilans_E_AMS_Kyoto_run3_MTE!V325</f>
        <v>0</v>
      </c>
      <c r="R64" s="711">
        <f>Bilans_E_AMS_Kyoto_run3_MTE!W325</f>
        <v>0</v>
      </c>
      <c r="S64" s="711">
        <f>Bilans_E_AMS_Kyoto_run3_MTE!X325</f>
        <v>0</v>
      </c>
      <c r="T64" s="711">
        <f>Bilans_E_AMS_Kyoto_run3_MTE!Y325</f>
        <v>3.8910477170770799</v>
      </c>
      <c r="U64" s="711">
        <f>Bilans_E_AMS_Kyoto_run3_MTE!Z325</f>
        <v>1.5537316106433714</v>
      </c>
      <c r="V64" s="701"/>
      <c r="W64" s="701"/>
    </row>
    <row r="65" spans="1:23" x14ac:dyDescent="0.25">
      <c r="A65" s="701" t="s">
        <v>502</v>
      </c>
      <c r="B65" s="701"/>
      <c r="C65" s="717" t="s">
        <v>73</v>
      </c>
      <c r="D65" s="711">
        <f>Bilans_E_AMS_Kyoto_run3_MTE!H326</f>
        <v>0</v>
      </c>
      <c r="E65" s="711">
        <f>Bilans_E_AMS_Kyoto_run3_MTE!I326</f>
        <v>0</v>
      </c>
      <c r="F65" s="711">
        <f>Bilans_E_AMS_Kyoto_run3_MTE!J326</f>
        <v>0</v>
      </c>
      <c r="G65" s="711">
        <f>Bilans_E_AMS_Kyoto_run3_MTE!K326</f>
        <v>0</v>
      </c>
      <c r="H65" s="711">
        <f>Bilans_E_AMS_Kyoto_run3_MTE!L326</f>
        <v>0</v>
      </c>
      <c r="I65" s="711">
        <f>Bilans_E_AMS_Kyoto_run3_MTE!M326</f>
        <v>0</v>
      </c>
      <c r="J65" s="711">
        <f>Bilans_E_AMS_Kyoto_run3_MTE!N326</f>
        <v>0</v>
      </c>
      <c r="K65" s="711">
        <f>Bilans_E_AMS_Kyoto_run3_MTE!O326</f>
        <v>0</v>
      </c>
      <c r="L65" s="711">
        <f>Bilans_E_AMS_Kyoto_run3_MTE!P326</f>
        <v>0</v>
      </c>
      <c r="M65" s="711">
        <f>Bilans_E_AMS_Kyoto_run3_MTE!Q326</f>
        <v>0</v>
      </c>
      <c r="N65" s="711">
        <f>Bilans_E_AMS_Kyoto_run3_MTE!R326</f>
        <v>0</v>
      </c>
      <c r="O65" s="711">
        <f>Bilans_E_AMS_Kyoto_run3_MTE!S326</f>
        <v>0</v>
      </c>
      <c r="P65" s="711">
        <f>Bilans_E_AMS_Kyoto_run3_MTE!T326+Bilans_E_AMS_Kyoto_run3_MTE!U326</f>
        <v>0</v>
      </c>
      <c r="Q65" s="711">
        <f>Bilans_E_AMS_Kyoto_run3_MTE!V326</f>
        <v>0</v>
      </c>
      <c r="R65" s="711">
        <f>Bilans_E_AMS_Kyoto_run3_MTE!W326</f>
        <v>26.742532147251133</v>
      </c>
      <c r="S65" s="711">
        <f>Bilans_E_AMS_Kyoto_run3_MTE!X326</f>
        <v>0</v>
      </c>
      <c r="T65" s="711">
        <f>Bilans_E_AMS_Kyoto_run3_MTE!Y326</f>
        <v>-17.663442483259374</v>
      </c>
      <c r="U65" s="711">
        <f>Bilans_E_AMS_Kyoto_run3_MTE!Z326</f>
        <v>9.0790896639917591</v>
      </c>
      <c r="V65" s="701"/>
      <c r="W65" s="701"/>
    </row>
    <row r="66" spans="1:23" x14ac:dyDescent="0.25">
      <c r="A66" s="701" t="s">
        <v>503</v>
      </c>
      <c r="B66" s="701"/>
      <c r="C66" s="717" t="s">
        <v>353</v>
      </c>
      <c r="D66" s="711">
        <f>Bilans_E_AMS_Kyoto_run3_MTE!H327</f>
        <v>11.528678671874999</v>
      </c>
      <c r="E66" s="711">
        <f>Bilans_E_AMS_Kyoto_run3_MTE!I327</f>
        <v>-12.650282499742492</v>
      </c>
      <c r="F66" s="711">
        <f>Bilans_E_AMS_Kyoto_run3_MTE!J327</f>
        <v>16.688969946378961</v>
      </c>
      <c r="G66" s="711">
        <f>Bilans_E_AMS_Kyoto_run3_MTE!K327</f>
        <v>0</v>
      </c>
      <c r="H66" s="711">
        <f>Bilans_E_AMS_Kyoto_run3_MTE!L327</f>
        <v>0</v>
      </c>
      <c r="I66" s="711">
        <f>Bilans_E_AMS_Kyoto_run3_MTE!M327</f>
        <v>0</v>
      </c>
      <c r="J66" s="711">
        <f>Bilans_E_AMS_Kyoto_run3_MTE!N327</f>
        <v>0</v>
      </c>
      <c r="K66" s="711">
        <f>Bilans_E_AMS_Kyoto_run3_MTE!O327</f>
        <v>0</v>
      </c>
      <c r="L66" s="711">
        <f>Bilans_E_AMS_Kyoto_run3_MTE!P327</f>
        <v>0</v>
      </c>
      <c r="M66" s="711">
        <f>Bilans_E_AMS_Kyoto_run3_MTE!Q327</f>
        <v>0</v>
      </c>
      <c r="N66" s="711">
        <f>Bilans_E_AMS_Kyoto_run3_MTE!R327</f>
        <v>0</v>
      </c>
      <c r="O66" s="711">
        <f>Bilans_E_AMS_Kyoto_run3_MTE!S327</f>
        <v>0</v>
      </c>
      <c r="P66" s="711">
        <f>Bilans_E_AMS_Kyoto_run3_MTE!T327+Bilans_E_AMS_Kyoto_run3_MTE!U327</f>
        <v>0</v>
      </c>
      <c r="Q66" s="711">
        <f>Bilans_E_AMS_Kyoto_run3_MTE!V327</f>
        <v>0</v>
      </c>
      <c r="R66" s="711">
        <f>Bilans_E_AMS_Kyoto_run3_MTE!W327</f>
        <v>0</v>
      </c>
      <c r="S66" s="711">
        <f>Bilans_E_AMS_Kyoto_run3_MTE!X327</f>
        <v>0</v>
      </c>
      <c r="T66" s="711">
        <f>Bilans_E_AMS_Kyoto_run3_MTE!Y327</f>
        <v>0</v>
      </c>
      <c r="U66" s="711">
        <f>Bilans_E_AMS_Kyoto_run3_MTE!Z327</f>
        <v>15.567366118511469</v>
      </c>
      <c r="V66" s="701"/>
      <c r="W66" s="701"/>
    </row>
    <row r="67" spans="1:23" x14ac:dyDescent="0.25">
      <c r="A67" s="701" t="s">
        <v>504</v>
      </c>
      <c r="B67" s="701"/>
      <c r="C67" s="717" t="s">
        <v>75</v>
      </c>
      <c r="D67" s="711">
        <f>Bilans_E_AMS_Kyoto_run3_MTE!H328</f>
        <v>4.4833750390625005</v>
      </c>
      <c r="E67" s="711">
        <f>Bilans_E_AMS_Kyoto_run3_MTE!I328</f>
        <v>0</v>
      </c>
      <c r="F67" s="711">
        <f>Bilans_E_AMS_Kyoto_run3_MTE!J328</f>
        <v>12.470199463438197</v>
      </c>
      <c r="G67" s="711">
        <f>Bilans_E_AMS_Kyoto_run3_MTE!K328</f>
        <v>0</v>
      </c>
      <c r="H67" s="711">
        <f>Bilans_E_AMS_Kyoto_run3_MTE!L328</f>
        <v>0.24936035983011146</v>
      </c>
      <c r="I67" s="711">
        <f>Bilans_E_AMS_Kyoto_run3_MTE!M328</f>
        <v>0</v>
      </c>
      <c r="J67" s="711">
        <f>Bilans_E_AMS_Kyoto_run3_MTE!N328</f>
        <v>0</v>
      </c>
      <c r="K67" s="711">
        <f>Bilans_E_AMS_Kyoto_run3_MTE!O328</f>
        <v>0</v>
      </c>
      <c r="L67" s="711">
        <f>Bilans_E_AMS_Kyoto_run3_MTE!P328</f>
        <v>0</v>
      </c>
      <c r="M67" s="711">
        <f>Bilans_E_AMS_Kyoto_run3_MTE!Q328</f>
        <v>0</v>
      </c>
      <c r="N67" s="711">
        <f>Bilans_E_AMS_Kyoto_run3_MTE!R328</f>
        <v>0</v>
      </c>
      <c r="O67" s="711">
        <f>Bilans_E_AMS_Kyoto_run3_MTE!S328</f>
        <v>5.4737639962707384E-2</v>
      </c>
      <c r="P67" s="711">
        <f>Bilans_E_AMS_Kyoto_run3_MTE!T328+Bilans_E_AMS_Kyoto_run3_MTE!U328</f>
        <v>0</v>
      </c>
      <c r="Q67" s="711">
        <f>Bilans_E_AMS_Kyoto_run3_MTE!V328</f>
        <v>0</v>
      </c>
      <c r="R67" s="711">
        <f>Bilans_E_AMS_Kyoto_run3_MTE!W328</f>
        <v>34.269297847213949</v>
      </c>
      <c r="S67" s="711">
        <f>Bilans_E_AMS_Kyoto_run3_MTE!X328</f>
        <v>0</v>
      </c>
      <c r="T67" s="711">
        <f>Bilans_E_AMS_Kyoto_run3_MTE!Y328</f>
        <v>3.2371102497669209</v>
      </c>
      <c r="U67" s="711">
        <f>Bilans_E_AMS_Kyoto_run3_MTE!Z328</f>
        <v>54.764080599274386</v>
      </c>
      <c r="V67" s="701"/>
      <c r="W67" s="701"/>
    </row>
    <row r="68" spans="1:23" x14ac:dyDescent="0.25">
      <c r="A68" s="701" t="s">
        <v>505</v>
      </c>
      <c r="B68" s="701"/>
      <c r="C68" s="717" t="s">
        <v>76</v>
      </c>
      <c r="D68" s="711">
        <f>Bilans_E_AMS_Kyoto_run3_MTE!H329</f>
        <v>0</v>
      </c>
      <c r="E68" s="711">
        <f>Bilans_E_AMS_Kyoto_run3_MTE!I329</f>
        <v>0</v>
      </c>
      <c r="F68" s="711">
        <f>Bilans_E_AMS_Kyoto_run3_MTE!J329</f>
        <v>0</v>
      </c>
      <c r="G68" s="711">
        <f>Bilans_E_AMS_Kyoto_run3_MTE!K329</f>
        <v>0</v>
      </c>
      <c r="H68" s="711">
        <f>Bilans_E_AMS_Kyoto_run3_MTE!L329</f>
        <v>2.5945073025125769</v>
      </c>
      <c r="I68" s="711">
        <f>Bilans_E_AMS_Kyoto_run3_MTE!M329</f>
        <v>0</v>
      </c>
      <c r="J68" s="711">
        <f>Bilans_E_AMS_Kyoto_run3_MTE!N329</f>
        <v>0</v>
      </c>
      <c r="K68" s="711">
        <f>Bilans_E_AMS_Kyoto_run3_MTE!O329</f>
        <v>0</v>
      </c>
      <c r="L68" s="711">
        <f>Bilans_E_AMS_Kyoto_run3_MTE!P329</f>
        <v>0</v>
      </c>
      <c r="M68" s="711">
        <f>Bilans_E_AMS_Kyoto_run3_MTE!Q329</f>
        <v>0</v>
      </c>
      <c r="N68" s="711">
        <f>Bilans_E_AMS_Kyoto_run3_MTE!R329</f>
        <v>0</v>
      </c>
      <c r="O68" s="711">
        <f>Bilans_E_AMS_Kyoto_run3_MTE!S329</f>
        <v>0.56952599323446806</v>
      </c>
      <c r="P68" s="711">
        <f>Bilans_E_AMS_Kyoto_run3_MTE!T329+Bilans_E_AMS_Kyoto_run3_MTE!U329</f>
        <v>0</v>
      </c>
      <c r="Q68" s="711">
        <f>Bilans_E_AMS_Kyoto_run3_MTE!V329</f>
        <v>0</v>
      </c>
      <c r="R68" s="711">
        <f>Bilans_E_AMS_Kyoto_run3_MTE!W329</f>
        <v>49.185048043405324</v>
      </c>
      <c r="S68" s="711">
        <f>Bilans_E_AMS_Kyoto_run3_MTE!X329</f>
        <v>6.5593635854558805</v>
      </c>
      <c r="T68" s="711">
        <f>Bilans_E_AMS_Kyoto_run3_MTE!Y329</f>
        <v>0</v>
      </c>
      <c r="U68" s="711">
        <f>Bilans_E_AMS_Kyoto_run3_MTE!Z329</f>
        <v>58.908444924608247</v>
      </c>
      <c r="V68" s="701"/>
      <c r="W68" s="701"/>
    </row>
    <row r="69" spans="1:23" x14ac:dyDescent="0.25">
      <c r="A69" s="701" t="s">
        <v>506</v>
      </c>
      <c r="B69" s="701"/>
      <c r="C69" s="713" t="s">
        <v>77</v>
      </c>
      <c r="D69" s="714">
        <f>Bilans_E_AMS_Kyoto_run3_MTE!H330</f>
        <v>16.012053710937501</v>
      </c>
      <c r="E69" s="714">
        <f>Bilans_E_AMS_Kyoto_run3_MTE!I330</f>
        <v>347.84718490138255</v>
      </c>
      <c r="F69" s="714">
        <f>Bilans_E_AMS_Kyoto_run3_MTE!J330</f>
        <v>-326.94053773335889</v>
      </c>
      <c r="G69" s="714">
        <f>Bilans_E_AMS_Kyoto_run3_MTE!K330</f>
        <v>-2.3373161064337085</v>
      </c>
      <c r="H69" s="714">
        <f>Bilans_E_AMS_Kyoto_run3_MTE!L330</f>
        <v>54.512372701408424</v>
      </c>
      <c r="I69" s="714">
        <f>Bilans_E_AMS_Kyoto_run3_MTE!M330</f>
        <v>-0.4644109471147348</v>
      </c>
      <c r="J69" s="714">
        <f>Bilans_E_AMS_Kyoto_run3_MTE!N330</f>
        <v>1165.8657454545453</v>
      </c>
      <c r="K69" s="714">
        <f>Bilans_E_AMS_Kyoto_run3_MTE!O330</f>
        <v>264.18035739757391</v>
      </c>
      <c r="L69" s="714">
        <f>Bilans_E_AMS_Kyoto_run3_MTE!P330</f>
        <v>204.68827899039843</v>
      </c>
      <c r="M69" s="714">
        <f>Bilans_E_AMS_Kyoto_run3_MTE!Q330</f>
        <v>41.589724229008233</v>
      </c>
      <c r="N69" s="714">
        <f>Bilans_E_AMS_Kyoto_run3_MTE!R330</f>
        <v>-43.720318653498758</v>
      </c>
      <c r="O69" s="714">
        <f>Bilans_E_AMS_Kyoto_run3_MTE!S330</f>
        <v>-31.033642891829015</v>
      </c>
      <c r="P69" s="714">
        <f>Bilans_E_AMS_Kyoto_run3_MTE!T330+Bilans_E_AMS_Kyoto_run3_MTE!U330</f>
        <v>10.417559156149544</v>
      </c>
      <c r="Q69" s="714">
        <f>Bilans_E_AMS_Kyoto_run3_MTE!V330</f>
        <v>14.14239173681338</v>
      </c>
      <c r="R69" s="714">
        <f>Bilans_E_AMS_Kyoto_run3_MTE!W330</f>
        <v>-574.82520213641897</v>
      </c>
      <c r="S69" s="714">
        <f>Bilans_E_AMS_Kyoto_run3_MTE!X330</f>
        <v>-78.030708028784062</v>
      </c>
      <c r="T69" s="714">
        <f>Bilans_E_AMS_Kyoto_run3_MTE!Y330</f>
        <v>-9.8902693120893517</v>
      </c>
      <c r="U69" s="714">
        <f>Bilans_E_AMS_Kyoto_run3_MTE!Z330</f>
        <v>1052.0132624686898</v>
      </c>
      <c r="V69" s="701"/>
      <c r="W69" s="701"/>
    </row>
    <row r="70" spans="1:23" x14ac:dyDescent="0.25">
      <c r="A70" s="701"/>
      <c r="B70" s="701"/>
      <c r="C70" s="715"/>
      <c r="D70" s="716"/>
      <c r="E70" s="716"/>
      <c r="F70" s="716"/>
      <c r="G70" s="716"/>
      <c r="H70" s="716"/>
      <c r="I70" s="716"/>
      <c r="J70" s="716"/>
      <c r="K70" s="716"/>
      <c r="L70" s="716"/>
      <c r="M70" s="716"/>
      <c r="N70" s="716"/>
      <c r="O70" s="716"/>
      <c r="P70" s="716">
        <f>Bilans_E_AMS_Kyoto_run3_MTE!T331+Bilans_E_AMS_Kyoto_run3_MTE!U331</f>
        <v>0</v>
      </c>
      <c r="Q70" s="716"/>
      <c r="R70" s="716"/>
      <c r="S70" s="716"/>
      <c r="T70" s="716"/>
      <c r="U70" s="716"/>
      <c r="V70" s="701"/>
      <c r="W70" s="701"/>
    </row>
    <row r="71" spans="1:23" x14ac:dyDescent="0.25">
      <c r="A71" s="701" t="s">
        <v>507</v>
      </c>
      <c r="B71" s="701"/>
      <c r="C71" s="717" t="s">
        <v>78</v>
      </c>
      <c r="D71" s="711">
        <f>Bilans_E_AMS_Kyoto_run3_MTE!H332</f>
        <v>0.72191845703125002</v>
      </c>
      <c r="E71" s="711">
        <f>Bilans_E_AMS_Kyoto_run3_MTE!I332</f>
        <v>0</v>
      </c>
      <c r="F71" s="711">
        <f>Bilans_E_AMS_Kyoto_run3_MTE!J332</f>
        <v>8.6275641405514261</v>
      </c>
      <c r="G71" s="711">
        <f>Bilans_E_AMS_Kyoto_run3_MTE!K332</f>
        <v>0</v>
      </c>
      <c r="H71" s="711">
        <f>Bilans_E_AMS_Kyoto_run3_MTE!L332</f>
        <v>60.118843099403179</v>
      </c>
      <c r="I71" s="711">
        <f>Bilans_E_AMS_Kyoto_run3_MTE!M332</f>
        <v>0</v>
      </c>
      <c r="J71" s="711">
        <f>Bilans_E_AMS_Kyoto_run3_MTE!N332</f>
        <v>0</v>
      </c>
      <c r="K71" s="711">
        <f>Bilans_E_AMS_Kyoto_run3_MTE!O332</f>
        <v>0</v>
      </c>
      <c r="L71" s="711">
        <f>Bilans_E_AMS_Kyoto_run3_MTE!P332</f>
        <v>39.297286819626784</v>
      </c>
      <c r="M71" s="711">
        <f>Bilans_E_AMS_Kyoto_run3_MTE!Q332</f>
        <v>9.815547509212319</v>
      </c>
      <c r="N71" s="711">
        <f>Bilans_E_AMS_Kyoto_run3_MTE!R332</f>
        <v>0.93232860735581835</v>
      </c>
      <c r="O71" s="711">
        <f>Bilans_E_AMS_Kyoto_run3_MTE!S332</f>
        <v>13.22814546550425</v>
      </c>
      <c r="P71" s="711">
        <f>Bilans_E_AMS_Kyoto_run3_MTE!T332+Bilans_E_AMS_Kyoto_run3_MTE!U332</f>
        <v>6.7746367187500001</v>
      </c>
      <c r="Q71" s="711">
        <f>Bilans_E_AMS_Kyoto_run3_MTE!V332</f>
        <v>6.3863689419622622E-4</v>
      </c>
      <c r="R71" s="711">
        <f>Bilans_E_AMS_Kyoto_run3_MTE!W332</f>
        <v>152.36640904233067</v>
      </c>
      <c r="S71" s="711">
        <f>Bilans_E_AMS_Kyoto_run3_MTE!X332</f>
        <v>19.594153264133379</v>
      </c>
      <c r="T71" s="711">
        <f>Bilans_E_AMS_Kyoto_run3_MTE!Y332</f>
        <v>5.5380712890624997</v>
      </c>
      <c r="U71" s="711">
        <f>Bilans_E_AMS_Kyoto_run3_MTE!Z332</f>
        <v>317.01554304985569</v>
      </c>
      <c r="V71" s="701"/>
      <c r="W71" s="701"/>
    </row>
    <row r="72" spans="1:23" x14ac:dyDescent="0.25">
      <c r="A72" s="701" t="s">
        <v>508</v>
      </c>
      <c r="B72" s="701"/>
      <c r="C72" s="717" t="s">
        <v>79</v>
      </c>
      <c r="D72" s="711">
        <f>Bilans_E_AMS_Kyoto_run3_MTE!H333</f>
        <v>0</v>
      </c>
      <c r="E72" s="711">
        <f>Bilans_E_AMS_Kyoto_run3_MTE!I333</f>
        <v>0</v>
      </c>
      <c r="F72" s="711">
        <f>Bilans_E_AMS_Kyoto_run3_MTE!J333</f>
        <v>257.95105394329198</v>
      </c>
      <c r="G72" s="711">
        <f>Bilans_E_AMS_Kyoto_run3_MTE!K333</f>
        <v>0</v>
      </c>
      <c r="H72" s="711">
        <f>Bilans_E_AMS_Kyoto_run3_MTE!L333</f>
        <v>5.8847606933541083</v>
      </c>
      <c r="I72" s="711">
        <f>Bilans_E_AMS_Kyoto_run3_MTE!M333</f>
        <v>0</v>
      </c>
      <c r="J72" s="711">
        <f>Bilans_E_AMS_Kyoto_run3_MTE!N333</f>
        <v>0</v>
      </c>
      <c r="K72" s="711">
        <f>Bilans_E_AMS_Kyoto_run3_MTE!O333</f>
        <v>0</v>
      </c>
      <c r="L72" s="711">
        <f>Bilans_E_AMS_Kyoto_run3_MTE!P333</f>
        <v>0</v>
      </c>
      <c r="M72" s="711">
        <f>Bilans_E_AMS_Kyoto_run3_MTE!Q333</f>
        <v>0</v>
      </c>
      <c r="N72" s="711">
        <f>Bilans_E_AMS_Kyoto_run3_MTE!R333</f>
        <v>39.412078743974838</v>
      </c>
      <c r="O72" s="711">
        <f>Bilans_E_AMS_Kyoto_run3_MTE!S333</f>
        <v>1.2917767375655358</v>
      </c>
      <c r="P72" s="711">
        <f>Bilans_E_AMS_Kyoto_run3_MTE!T333+Bilans_E_AMS_Kyoto_run3_MTE!U333</f>
        <v>0</v>
      </c>
      <c r="Q72" s="711">
        <f>Bilans_E_AMS_Kyoto_run3_MTE!V333</f>
        <v>0</v>
      </c>
      <c r="R72" s="711">
        <f>Bilans_E_AMS_Kyoto_run3_MTE!W333</f>
        <v>52.662599620962098</v>
      </c>
      <c r="S72" s="711">
        <f>Bilans_E_AMS_Kyoto_run3_MTE!X333</f>
        <v>0</v>
      </c>
      <c r="T72" s="711">
        <f>Bilans_E_AMS_Kyoto_run3_MTE!Y333</f>
        <v>1.8899673831959209</v>
      </c>
      <c r="U72" s="711">
        <f>Bilans_E_AMS_Kyoto_run3_MTE!Z333</f>
        <v>359.09223712234456</v>
      </c>
      <c r="V72" s="701"/>
      <c r="W72" s="701"/>
    </row>
    <row r="73" spans="1:23" x14ac:dyDescent="0.25">
      <c r="A73" s="701" t="s">
        <v>509</v>
      </c>
      <c r="B73" s="701"/>
      <c r="C73" s="717" t="s">
        <v>80</v>
      </c>
      <c r="D73" s="711">
        <f>Bilans_E_AMS_Kyoto_run3_MTE!H334</f>
        <v>0</v>
      </c>
      <c r="E73" s="711">
        <f>Bilans_E_AMS_Kyoto_run3_MTE!I334</f>
        <v>0</v>
      </c>
      <c r="F73" s="711">
        <f>Bilans_E_AMS_Kyoto_run3_MTE!J334</f>
        <v>4.4871361996085151</v>
      </c>
      <c r="G73" s="711">
        <f>Bilans_E_AMS_Kyoto_run3_MTE!K334</f>
        <v>0</v>
      </c>
      <c r="H73" s="711">
        <f>Bilans_E_AMS_Kyoto_run3_MTE!L334</f>
        <v>56.445665913049908</v>
      </c>
      <c r="I73" s="711">
        <f>Bilans_E_AMS_Kyoto_run3_MTE!M334</f>
        <v>0</v>
      </c>
      <c r="J73" s="711">
        <f>Bilans_E_AMS_Kyoto_run3_MTE!N334</f>
        <v>0</v>
      </c>
      <c r="K73" s="711">
        <f>Bilans_E_AMS_Kyoto_run3_MTE!O334</f>
        <v>0</v>
      </c>
      <c r="L73" s="711">
        <f>Bilans_E_AMS_Kyoto_run3_MTE!P334</f>
        <v>53.14163083232755</v>
      </c>
      <c r="M73" s="711">
        <f>Bilans_E_AMS_Kyoto_run3_MTE!Q334</f>
        <v>0</v>
      </c>
      <c r="N73" s="711">
        <f>Bilans_E_AMS_Kyoto_run3_MTE!R334</f>
        <v>0</v>
      </c>
      <c r="O73" s="711">
        <f>Bilans_E_AMS_Kyoto_run3_MTE!S334</f>
        <v>12.390512029693882</v>
      </c>
      <c r="P73" s="711">
        <f>Bilans_E_AMS_Kyoto_run3_MTE!T334+Bilans_E_AMS_Kyoto_run3_MTE!U334</f>
        <v>95.189251128952151</v>
      </c>
      <c r="Q73" s="711">
        <f>Bilans_E_AMS_Kyoto_run3_MTE!V334</f>
        <v>7.3206839966503274</v>
      </c>
      <c r="R73" s="711">
        <f>Bilans_E_AMS_Kyoto_run3_MTE!W334</f>
        <v>156.27303977046446</v>
      </c>
      <c r="S73" s="711">
        <f>Bilans_E_AMS_Kyoto_run3_MTE!X334</f>
        <v>35.751867080837265</v>
      </c>
      <c r="T73" s="711">
        <f>Bilans_E_AMS_Kyoto_run3_MTE!Y334</f>
        <v>0</v>
      </c>
      <c r="U73" s="711">
        <f>Bilans_E_AMS_Kyoto_run3_MTE!Z334</f>
        <v>420.99978695158404</v>
      </c>
      <c r="V73" s="701"/>
      <c r="W73" s="701"/>
    </row>
    <row r="74" spans="1:23" x14ac:dyDescent="0.25">
      <c r="A74" s="701" t="s">
        <v>510</v>
      </c>
      <c r="B74" s="701"/>
      <c r="C74" s="717" t="s">
        <v>81</v>
      </c>
      <c r="D74" s="711">
        <f>Bilans_E_AMS_Kyoto_run3_MTE!H335</f>
        <v>0</v>
      </c>
      <c r="E74" s="711">
        <f>Bilans_E_AMS_Kyoto_run3_MTE!I335</f>
        <v>0</v>
      </c>
      <c r="F74" s="711">
        <f>Bilans_E_AMS_Kyoto_run3_MTE!J335</f>
        <v>2.7608540872674436</v>
      </c>
      <c r="G74" s="711">
        <f>Bilans_E_AMS_Kyoto_run3_MTE!K335</f>
        <v>0</v>
      </c>
      <c r="H74" s="711">
        <f>Bilans_E_AMS_Kyoto_run3_MTE!L335</f>
        <v>36.954753731916043</v>
      </c>
      <c r="I74" s="711">
        <f>Bilans_E_AMS_Kyoto_run3_MTE!M335</f>
        <v>0</v>
      </c>
      <c r="J74" s="711">
        <f>Bilans_E_AMS_Kyoto_run3_MTE!N335</f>
        <v>0</v>
      </c>
      <c r="K74" s="711">
        <f>Bilans_E_AMS_Kyoto_run3_MTE!O335</f>
        <v>0</v>
      </c>
      <c r="L74" s="711">
        <f>Bilans_E_AMS_Kyoto_run3_MTE!P335</f>
        <v>0.62415819926103555</v>
      </c>
      <c r="M74" s="711">
        <f>Bilans_E_AMS_Kyoto_run3_MTE!Q335</f>
        <v>0</v>
      </c>
      <c r="N74" s="711">
        <f>Bilans_E_AMS_Kyoto_run3_MTE!R335</f>
        <v>0</v>
      </c>
      <c r="O74" s="711">
        <f>Bilans_E_AMS_Kyoto_run3_MTE!S335</f>
        <v>8.1120191118840097</v>
      </c>
      <c r="P74" s="711">
        <f>Bilans_E_AMS_Kyoto_run3_MTE!T335+Bilans_E_AMS_Kyoto_run3_MTE!U335</f>
        <v>38.431536860359955</v>
      </c>
      <c r="Q74" s="711">
        <f>Bilans_E_AMS_Kyoto_run3_MTE!V335</f>
        <v>7.0322041232131749</v>
      </c>
      <c r="R74" s="711">
        <f>Bilans_E_AMS_Kyoto_run3_MTE!W335</f>
        <v>121.89305236123509</v>
      </c>
      <c r="S74" s="711">
        <f>Bilans_E_AMS_Kyoto_run3_MTE!X335</f>
        <v>22.684657409761833</v>
      </c>
      <c r="T74" s="711">
        <f>Bilans_E_AMS_Kyoto_run3_MTE!Y335</f>
        <v>0</v>
      </c>
      <c r="U74" s="711">
        <f>Bilans_E_AMS_Kyoto_run3_MTE!Z335</f>
        <v>238.49323588489858</v>
      </c>
      <c r="V74" s="701"/>
      <c r="W74" s="701"/>
    </row>
    <row r="75" spans="1:23" x14ac:dyDescent="0.25">
      <c r="A75" s="701" t="s">
        <v>511</v>
      </c>
      <c r="B75" s="701"/>
      <c r="C75" s="717" t="s">
        <v>82</v>
      </c>
      <c r="D75" s="711">
        <f>Bilans_E_AMS_Kyoto_run3_MTE!H336</f>
        <v>0</v>
      </c>
      <c r="E75" s="711">
        <f>Bilans_E_AMS_Kyoto_run3_MTE!I336</f>
        <v>0</v>
      </c>
      <c r="F75" s="711">
        <f>Bilans_E_AMS_Kyoto_run3_MTE!J336</f>
        <v>25.562238728089401</v>
      </c>
      <c r="G75" s="711">
        <f>Bilans_E_AMS_Kyoto_run3_MTE!K336</f>
        <v>0</v>
      </c>
      <c r="H75" s="711">
        <f>Bilans_E_AMS_Kyoto_run3_MTE!L336</f>
        <v>1.2995823950376393</v>
      </c>
      <c r="I75" s="711">
        <f>Bilans_E_AMS_Kyoto_run3_MTE!M336</f>
        <v>0</v>
      </c>
      <c r="J75" s="711">
        <f>Bilans_E_AMS_Kyoto_run3_MTE!N336</f>
        <v>0</v>
      </c>
      <c r="K75" s="711">
        <f>Bilans_E_AMS_Kyoto_run3_MTE!O336</f>
        <v>0</v>
      </c>
      <c r="L75" s="711">
        <f>Bilans_E_AMS_Kyoto_run3_MTE!P336</f>
        <v>12.365635061857649</v>
      </c>
      <c r="M75" s="711">
        <f>Bilans_E_AMS_Kyoto_run3_MTE!Q336</f>
        <v>0</v>
      </c>
      <c r="N75" s="711">
        <f>Bilans_E_AMS_Kyoto_run3_MTE!R336</f>
        <v>5.004323315399402</v>
      </c>
      <c r="O75" s="711">
        <f>Bilans_E_AMS_Kyoto_run3_MTE!S336</f>
        <v>0.28527418427655493</v>
      </c>
      <c r="P75" s="711">
        <f>Bilans_E_AMS_Kyoto_run3_MTE!T336+Bilans_E_AMS_Kyoto_run3_MTE!U336</f>
        <v>0.65</v>
      </c>
      <c r="Q75" s="711">
        <f>Bilans_E_AMS_Kyoto_run3_MTE!V336</f>
        <v>0.82781531321025892</v>
      </c>
      <c r="R75" s="711">
        <f>Bilans_E_AMS_Kyoto_run3_MTE!W336</f>
        <v>8.2928422498969727</v>
      </c>
      <c r="S75" s="711">
        <f>Bilans_E_AMS_Kyoto_run3_MTE!X336</f>
        <v>0</v>
      </c>
      <c r="T75" s="711">
        <f>Bilans_E_AMS_Kyoto_run3_MTE!Y336</f>
        <v>0.25343345849890081</v>
      </c>
      <c r="U75" s="711">
        <f>Bilans_E_AMS_Kyoto_run3_MTE!Z336</f>
        <v>54.541144706266778</v>
      </c>
      <c r="V75" s="701"/>
      <c r="W75" s="701"/>
    </row>
    <row r="76" spans="1:23" x14ac:dyDescent="0.25">
      <c r="A76" s="701" t="s">
        <v>512</v>
      </c>
      <c r="B76" s="701"/>
      <c r="C76" s="717" t="s">
        <v>354</v>
      </c>
      <c r="D76" s="711">
        <f>Bilans_E_AMS_Kyoto_run3_MTE!H337</f>
        <v>0</v>
      </c>
      <c r="E76" s="711">
        <f>Bilans_E_AMS_Kyoto_run3_MTE!I337</f>
        <v>0</v>
      </c>
      <c r="F76" s="711">
        <f>Bilans_E_AMS_Kyoto_run3_MTE!J337</f>
        <v>0</v>
      </c>
      <c r="G76" s="711">
        <f>Bilans_E_AMS_Kyoto_run3_MTE!K337</f>
        <v>0</v>
      </c>
      <c r="H76" s="711">
        <f>Bilans_E_AMS_Kyoto_run3_MTE!L337</f>
        <v>0</v>
      </c>
      <c r="I76" s="711">
        <f>Bilans_E_AMS_Kyoto_run3_MTE!M337</f>
        <v>0</v>
      </c>
      <c r="J76" s="711">
        <f>Bilans_E_AMS_Kyoto_run3_MTE!N337</f>
        <v>0</v>
      </c>
      <c r="K76" s="711">
        <f>Bilans_E_AMS_Kyoto_run3_MTE!O337</f>
        <v>0</v>
      </c>
      <c r="L76" s="711">
        <f>Bilans_E_AMS_Kyoto_run3_MTE!P337</f>
        <v>0</v>
      </c>
      <c r="M76" s="711">
        <f>Bilans_E_AMS_Kyoto_run3_MTE!Q337</f>
        <v>0</v>
      </c>
      <c r="N76" s="711">
        <f>Bilans_E_AMS_Kyoto_run3_MTE!R337</f>
        <v>0</v>
      </c>
      <c r="O76" s="711">
        <f>Bilans_E_AMS_Kyoto_run3_MTE!S337</f>
        <v>0</v>
      </c>
      <c r="P76" s="711">
        <f>Bilans_E_AMS_Kyoto_run3_MTE!T337+Bilans_E_AMS_Kyoto_run3_MTE!U337</f>
        <v>0</v>
      </c>
      <c r="Q76" s="711">
        <f>Bilans_E_AMS_Kyoto_run3_MTE!V337</f>
        <v>0</v>
      </c>
      <c r="R76" s="711">
        <f>Bilans_E_AMS_Kyoto_run3_MTE!W337</f>
        <v>0</v>
      </c>
      <c r="S76" s="711">
        <f>Bilans_E_AMS_Kyoto_run3_MTE!X337</f>
        <v>0</v>
      </c>
      <c r="T76" s="711">
        <f>Bilans_E_AMS_Kyoto_run3_MTE!Y337</f>
        <v>0</v>
      </c>
      <c r="U76" s="711">
        <f>Bilans_E_AMS_Kyoto_run3_MTE!Z337</f>
        <v>0</v>
      </c>
      <c r="V76" s="701"/>
      <c r="W76" s="701"/>
    </row>
    <row r="77" spans="1:23" x14ac:dyDescent="0.25">
      <c r="A77" s="701" t="s">
        <v>513</v>
      </c>
      <c r="B77" s="701"/>
      <c r="C77" s="713" t="s">
        <v>83</v>
      </c>
      <c r="D77" s="714">
        <f>Bilans_E_AMS_Kyoto_run3_MTE!H338</f>
        <v>0.72191845703125002</v>
      </c>
      <c r="E77" s="714">
        <f>Bilans_E_AMS_Kyoto_run3_MTE!I338</f>
        <v>0</v>
      </c>
      <c r="F77" s="714">
        <f>Bilans_E_AMS_Kyoto_run3_MTE!J338</f>
        <v>299.38884709880881</v>
      </c>
      <c r="G77" s="714">
        <f>Bilans_E_AMS_Kyoto_run3_MTE!K338</f>
        <v>0</v>
      </c>
      <c r="H77" s="714">
        <f>Bilans_E_AMS_Kyoto_run3_MTE!L338</f>
        <v>160.7036058327609</v>
      </c>
      <c r="I77" s="714">
        <f>Bilans_E_AMS_Kyoto_run3_MTE!M338</f>
        <v>0</v>
      </c>
      <c r="J77" s="714">
        <f>Bilans_E_AMS_Kyoto_run3_MTE!N338</f>
        <v>0</v>
      </c>
      <c r="K77" s="714">
        <f>Bilans_E_AMS_Kyoto_run3_MTE!O338</f>
        <v>0</v>
      </c>
      <c r="L77" s="714">
        <f>Bilans_E_AMS_Kyoto_run3_MTE!P338</f>
        <v>105.42871091307302</v>
      </c>
      <c r="M77" s="714">
        <f>Bilans_E_AMS_Kyoto_run3_MTE!Q338</f>
        <v>9.815547509212319</v>
      </c>
      <c r="N77" s="714">
        <f>Bilans_E_AMS_Kyoto_run3_MTE!R338</f>
        <v>45.348730666730063</v>
      </c>
      <c r="O77" s="714">
        <f>Bilans_E_AMS_Kyoto_run3_MTE!S338</f>
        <v>35.307727528924232</v>
      </c>
      <c r="P77" s="714">
        <f>Bilans_E_AMS_Kyoto_run3_MTE!T338+Bilans_E_AMS_Kyoto_run3_MTE!U338</f>
        <v>141.04542470806211</v>
      </c>
      <c r="Q77" s="714">
        <f>Bilans_E_AMS_Kyoto_run3_MTE!V338</f>
        <v>15.181342069967958</v>
      </c>
      <c r="R77" s="714">
        <f>Bilans_E_AMS_Kyoto_run3_MTE!W338</f>
        <v>491.48794304488933</v>
      </c>
      <c r="S77" s="714">
        <f>Bilans_E_AMS_Kyoto_run3_MTE!X338</f>
        <v>78.030677754732466</v>
      </c>
      <c r="T77" s="714">
        <f>Bilans_E_AMS_Kyoto_run3_MTE!Y338</f>
        <v>7.6814721307573208</v>
      </c>
      <c r="U77" s="714">
        <f>Bilans_E_AMS_Kyoto_run3_MTE!Z338</f>
        <v>1390.1419477149495</v>
      </c>
      <c r="V77" s="701"/>
      <c r="W77" s="701"/>
    </row>
    <row r="78" spans="1:23" x14ac:dyDescent="0.25">
      <c r="A78" s="701" t="s">
        <v>514</v>
      </c>
      <c r="B78" s="701"/>
      <c r="C78" s="710" t="s">
        <v>84</v>
      </c>
      <c r="D78" s="711">
        <f>Bilans_E_AMS_Kyoto_run3_MTE!H339</f>
        <v>0</v>
      </c>
      <c r="E78" s="711">
        <f>Bilans_E_AMS_Kyoto_run3_MTE!I339</f>
        <v>0</v>
      </c>
      <c r="F78" s="711">
        <f>Bilans_E_AMS_Kyoto_run3_MTE!J339</f>
        <v>111.11471121185716</v>
      </c>
      <c r="G78" s="711">
        <f>Bilans_E_AMS_Kyoto_run3_MTE!K339</f>
        <v>0.79070039752491883</v>
      </c>
      <c r="H78" s="711">
        <f>Bilans_E_AMS_Kyoto_run3_MTE!L339</f>
        <v>13.201723871248829</v>
      </c>
      <c r="I78" s="711">
        <f>Bilans_E_AMS_Kyoto_run3_MTE!M339</f>
        <v>0</v>
      </c>
      <c r="J78" s="711">
        <f>Bilans_E_AMS_Kyoto_run3_MTE!N339</f>
        <v>0</v>
      </c>
      <c r="K78" s="711">
        <f>Bilans_E_AMS_Kyoto_run3_MTE!O339</f>
        <v>0</v>
      </c>
      <c r="L78" s="711">
        <f>Bilans_E_AMS_Kyoto_run3_MTE!P339</f>
        <v>0.22001800269575944</v>
      </c>
      <c r="M78" s="711">
        <f>Bilans_E_AMS_Kyoto_run3_MTE!Q339</f>
        <v>0</v>
      </c>
      <c r="N78" s="711">
        <f>Bilans_E_AMS_Kyoto_run3_MTE!R339</f>
        <v>1.3493655310578188</v>
      </c>
      <c r="O78" s="711">
        <f>Bilans_E_AMS_Kyoto_run3_MTE!S339</f>
        <v>0</v>
      </c>
      <c r="P78" s="711">
        <f>Bilans_E_AMS_Kyoto_run3_MTE!T339+Bilans_E_AMS_Kyoto_run3_MTE!U339</f>
        <v>0</v>
      </c>
      <c r="Q78" s="711">
        <f>Bilans_E_AMS_Kyoto_run3_MTE!V339</f>
        <v>0</v>
      </c>
      <c r="R78" s="711">
        <f>Bilans_E_AMS_Kyoto_run3_MTE!W339</f>
        <v>0</v>
      </c>
      <c r="S78" s="711">
        <f>Bilans_E_AMS_Kyoto_run3_MTE!X339</f>
        <v>0</v>
      </c>
      <c r="T78" s="711">
        <f>Bilans_E_AMS_Kyoto_run3_MTE!Y339</f>
        <v>1.3469384191833629</v>
      </c>
      <c r="U78" s="711">
        <f>Bilans_E_AMS_Kyoto_run3_MTE!Z339</f>
        <v>128.02345743356784</v>
      </c>
      <c r="V78" s="701"/>
      <c r="W78" s="701"/>
    </row>
    <row r="79" spans="1:23" x14ac:dyDescent="0.25">
      <c r="A79" s="701" t="s">
        <v>515</v>
      </c>
      <c r="B79" s="701"/>
      <c r="C79" s="713" t="s">
        <v>85</v>
      </c>
      <c r="D79" s="714">
        <f>Bilans_E_AMS_Kyoto_run3_MTE!H340</f>
        <v>0.72191845703125002</v>
      </c>
      <c r="E79" s="714">
        <f>Bilans_E_AMS_Kyoto_run3_MTE!I340</f>
        <v>0</v>
      </c>
      <c r="F79" s="714">
        <f>Bilans_E_AMS_Kyoto_run3_MTE!J340</f>
        <v>410.50355831066599</v>
      </c>
      <c r="G79" s="714">
        <f>Bilans_E_AMS_Kyoto_run3_MTE!K340</f>
        <v>0.79070039752491883</v>
      </c>
      <c r="H79" s="714">
        <f>Bilans_E_AMS_Kyoto_run3_MTE!L340</f>
        <v>173.90532970400972</v>
      </c>
      <c r="I79" s="714">
        <f>Bilans_E_AMS_Kyoto_run3_MTE!M340</f>
        <v>0</v>
      </c>
      <c r="J79" s="714">
        <f>Bilans_E_AMS_Kyoto_run3_MTE!N340</f>
        <v>0</v>
      </c>
      <c r="K79" s="714">
        <f>Bilans_E_AMS_Kyoto_run3_MTE!O340</f>
        <v>0</v>
      </c>
      <c r="L79" s="714">
        <f>Bilans_E_AMS_Kyoto_run3_MTE!P340</f>
        <v>105.64872891576877</v>
      </c>
      <c r="M79" s="714">
        <f>Bilans_E_AMS_Kyoto_run3_MTE!Q340</f>
        <v>9.815547509212319</v>
      </c>
      <c r="N79" s="714">
        <f>Bilans_E_AMS_Kyoto_run3_MTE!R340</f>
        <v>46.698096197787883</v>
      </c>
      <c r="O79" s="714">
        <f>Bilans_E_AMS_Kyoto_run3_MTE!S340</f>
        <v>35.307727528924232</v>
      </c>
      <c r="P79" s="714">
        <f>Bilans_E_AMS_Kyoto_run3_MTE!T340+Bilans_E_AMS_Kyoto_run3_MTE!U340</f>
        <v>141.04542470806211</v>
      </c>
      <c r="Q79" s="714">
        <f>Bilans_E_AMS_Kyoto_run3_MTE!V340</f>
        <v>15.181342069967958</v>
      </c>
      <c r="R79" s="714">
        <f>Bilans_E_AMS_Kyoto_run3_MTE!W340</f>
        <v>491.48794304488933</v>
      </c>
      <c r="S79" s="714">
        <f>Bilans_E_AMS_Kyoto_run3_MTE!X340</f>
        <v>78.030677754732466</v>
      </c>
      <c r="T79" s="714">
        <f>Bilans_E_AMS_Kyoto_run3_MTE!Y340</f>
        <v>9.0284105499406841</v>
      </c>
      <c r="U79" s="714">
        <f>Bilans_E_AMS_Kyoto_run3_MTE!Z340</f>
        <v>1518.1654051485175</v>
      </c>
      <c r="V79" s="701"/>
      <c r="W79" s="701"/>
    </row>
    <row r="80" spans="1:23" x14ac:dyDescent="0.25">
      <c r="A80" s="701"/>
      <c r="B80" s="701"/>
      <c r="C80" s="701"/>
      <c r="D80" s="701">
        <f>Bilans_E_AMS_Kyoto_run3_MTE!H341</f>
        <v>0</v>
      </c>
      <c r="E80" s="701">
        <f>Bilans_E_AMS_Kyoto_run3_MTE!I341</f>
        <v>0</v>
      </c>
      <c r="F80" s="701">
        <f>Bilans_E_AMS_Kyoto_run3_MTE!J341</f>
        <v>0</v>
      </c>
      <c r="G80" s="701">
        <f>Bilans_E_AMS_Kyoto_run3_MTE!K341</f>
        <v>0</v>
      </c>
      <c r="H80" s="701">
        <f>Bilans_E_AMS_Kyoto_run3_MTE!L341</f>
        <v>0</v>
      </c>
      <c r="I80" s="701">
        <f>Bilans_E_AMS_Kyoto_run3_MTE!M341</f>
        <v>0</v>
      </c>
      <c r="J80" s="701">
        <f>Bilans_E_AMS_Kyoto_run3_MTE!N341</f>
        <v>0</v>
      </c>
      <c r="K80" s="701">
        <f>Bilans_E_AMS_Kyoto_run3_MTE!O341</f>
        <v>0</v>
      </c>
      <c r="L80" s="701">
        <f>Bilans_E_AMS_Kyoto_run3_MTE!P341</f>
        <v>0</v>
      </c>
      <c r="M80" s="701">
        <f>Bilans_E_AMS_Kyoto_run3_MTE!Q341</f>
        <v>0</v>
      </c>
      <c r="N80" s="701">
        <f>Bilans_E_AMS_Kyoto_run3_MTE!R341</f>
        <v>-3.5527136788005009E-15</v>
      </c>
      <c r="O80" s="701">
        <f>Bilans_E_AMS_Kyoto_run3_MTE!S341</f>
        <v>7.9936057773011271E-15</v>
      </c>
      <c r="P80" s="701">
        <f>Bilans_E_AMS_Kyoto_run3_MTE!T341+Bilans_E_AMS_Kyoto_run3_MTE!U341</f>
        <v>0</v>
      </c>
      <c r="Q80" s="701">
        <f>Bilans_E_AMS_Kyoto_run3_MTE!V341</f>
        <v>0</v>
      </c>
      <c r="R80" s="701">
        <f>Bilans_E_AMS_Kyoto_run3_MTE!W341</f>
        <v>0</v>
      </c>
      <c r="S80" s="701">
        <f>Bilans_E_AMS_Kyoto_run3_MTE!X341</f>
        <v>-3.0274051596279605E-5</v>
      </c>
      <c r="T80" s="701">
        <f>Bilans_E_AMS_Kyoto_run3_MTE!Y341</f>
        <v>8.8817841970012523E-16</v>
      </c>
      <c r="U80" s="701">
        <f>Bilans_E_AMS_Kyoto_run3_MTE!Z341</f>
        <v>-3.0274051823653281E-5</v>
      </c>
      <c r="V80" s="701"/>
      <c r="W80" s="701"/>
    </row>
    <row r="81" spans="1:23" x14ac:dyDescent="0.25">
      <c r="A81" s="701"/>
      <c r="B81" s="701"/>
      <c r="C81" s="701"/>
      <c r="D81" s="701"/>
      <c r="E81" s="701"/>
      <c r="F81" s="701"/>
      <c r="G81" s="701"/>
      <c r="H81" s="701"/>
      <c r="I81" s="701"/>
      <c r="J81" s="701"/>
      <c r="K81" s="701"/>
      <c r="L81" s="701"/>
      <c r="M81" s="701"/>
      <c r="N81" s="701"/>
      <c r="O81" s="701"/>
      <c r="P81" s="701"/>
      <c r="Q81" s="701"/>
      <c r="R81" s="701"/>
      <c r="S81" s="701"/>
      <c r="T81" s="701"/>
      <c r="U81" s="701"/>
      <c r="V81" s="701"/>
      <c r="W81" s="701"/>
    </row>
    <row r="82" spans="1:23" x14ac:dyDescent="0.25">
      <c r="A82" s="707"/>
      <c r="B82" s="707"/>
      <c r="C82" s="708" t="s">
        <v>358</v>
      </c>
      <c r="D82" s="707"/>
      <c r="E82" s="707"/>
      <c r="F82" s="707"/>
      <c r="G82" s="707"/>
      <c r="H82" s="707"/>
      <c r="I82" s="707"/>
      <c r="J82" s="707"/>
      <c r="K82" s="707"/>
      <c r="L82" s="707"/>
      <c r="M82" s="707"/>
      <c r="N82" s="707"/>
      <c r="O82" s="707"/>
      <c r="P82" s="707"/>
      <c r="Q82" s="707"/>
      <c r="R82" s="707"/>
      <c r="S82" s="707"/>
      <c r="T82" s="707"/>
      <c r="U82" s="707"/>
      <c r="V82" s="707"/>
      <c r="W82" s="707"/>
    </row>
    <row r="83" spans="1:23" x14ac:dyDescent="0.25">
      <c r="A83" s="701"/>
      <c r="B83" s="701"/>
      <c r="C83" s="701"/>
      <c r="D83" s="701"/>
      <c r="E83" s="701"/>
      <c r="F83" s="701"/>
      <c r="G83" s="701"/>
      <c r="H83" s="701"/>
      <c r="I83" s="701"/>
      <c r="J83" s="701"/>
      <c r="K83" s="701"/>
      <c r="L83" s="701"/>
      <c r="M83" s="701"/>
      <c r="N83" s="701"/>
      <c r="O83" s="701"/>
      <c r="P83" s="701"/>
      <c r="Q83" s="701"/>
      <c r="R83" s="701"/>
      <c r="S83" s="701"/>
      <c r="T83" s="701"/>
      <c r="U83" s="701"/>
      <c r="V83" s="701"/>
      <c r="W83" s="701"/>
    </row>
    <row r="84" spans="1:23" x14ac:dyDescent="0.25">
      <c r="A84" s="701"/>
      <c r="B84" s="701"/>
      <c r="C84" s="780" t="s">
        <v>128</v>
      </c>
      <c r="D84" s="775" t="s">
        <v>42</v>
      </c>
      <c r="E84" s="775" t="s">
        <v>52</v>
      </c>
      <c r="F84" s="775" t="s">
        <v>53</v>
      </c>
      <c r="G84" s="775" t="s">
        <v>482</v>
      </c>
      <c r="H84" s="775" t="s">
        <v>32</v>
      </c>
      <c r="I84" s="775" t="s">
        <v>483</v>
      </c>
      <c r="J84" s="775" t="s">
        <v>20</v>
      </c>
      <c r="K84" s="775" t="s">
        <v>55</v>
      </c>
      <c r="L84" s="777" t="s">
        <v>56</v>
      </c>
      <c r="M84" s="778"/>
      <c r="N84" s="778"/>
      <c r="O84" s="778"/>
      <c r="P84" s="778"/>
      <c r="Q84" s="779"/>
      <c r="R84" s="775" t="s">
        <v>57</v>
      </c>
      <c r="S84" s="775" t="s">
        <v>58</v>
      </c>
      <c r="T84" s="775" t="s">
        <v>31</v>
      </c>
      <c r="U84" s="775" t="s">
        <v>10</v>
      </c>
      <c r="V84" s="701"/>
      <c r="W84" s="701"/>
    </row>
    <row r="85" spans="1:23" ht="67.5" x14ac:dyDescent="0.25">
      <c r="A85" s="701" t="s">
        <v>486</v>
      </c>
      <c r="B85" s="701"/>
      <c r="C85" s="781"/>
      <c r="D85" s="776"/>
      <c r="E85" s="776"/>
      <c r="F85" s="776"/>
      <c r="G85" s="776"/>
      <c r="H85" s="776"/>
      <c r="I85" s="776"/>
      <c r="J85" s="776"/>
      <c r="K85" s="776"/>
      <c r="L85" s="709" t="s">
        <v>335</v>
      </c>
      <c r="M85" s="709" t="s">
        <v>40</v>
      </c>
      <c r="N85" s="709" t="s">
        <v>343</v>
      </c>
      <c r="O85" s="709" t="s">
        <v>344</v>
      </c>
      <c r="P85" s="719" t="s">
        <v>610</v>
      </c>
      <c r="Q85" s="709" t="s">
        <v>346</v>
      </c>
      <c r="R85" s="776"/>
      <c r="S85" s="776"/>
      <c r="T85" s="776"/>
      <c r="U85" s="776"/>
      <c r="V85" s="701"/>
      <c r="W85" s="701"/>
    </row>
    <row r="86" spans="1:23" x14ac:dyDescent="0.25">
      <c r="A86" s="701" t="s">
        <v>487</v>
      </c>
      <c r="B86" s="701"/>
      <c r="C86" s="710" t="s">
        <v>59</v>
      </c>
      <c r="D86" s="711">
        <f>Bilans_E_AMS_Kyoto_run3_MTE!H347</f>
        <v>0</v>
      </c>
      <c r="E86" s="711">
        <f>Bilans_E_AMS_Kyoto_run3_MTE!I347</f>
        <v>4.7683</v>
      </c>
      <c r="F86" s="711">
        <f>Bilans_E_AMS_Kyoto_run3_MTE!J347</f>
        <v>0</v>
      </c>
      <c r="G86" s="711">
        <f>Bilans_E_AMS_Kyoto_run3_MTE!K347</f>
        <v>0</v>
      </c>
      <c r="H86" s="711">
        <f>Bilans_E_AMS_Kyoto_run3_MTE!L347</f>
        <v>9.8855000000000012E-2</v>
      </c>
      <c r="I86" s="711">
        <f>Bilans_E_AMS_Kyoto_run3_MTE!M347</f>
        <v>0</v>
      </c>
      <c r="J86" s="711">
        <f>Bilans_E_AMS_Kyoto_run3_MTE!N347</f>
        <v>1162.7439999999999</v>
      </c>
      <c r="K86" s="711">
        <f>Bilans_E_AMS_Kyoto_run3_MTE!O347</f>
        <v>299.59846132130883</v>
      </c>
      <c r="L86" s="711">
        <f>Bilans_E_AMS_Kyoto_run3_MTE!P347</f>
        <v>319.01734498759413</v>
      </c>
      <c r="M86" s="711">
        <f>Bilans_E_AMS_Kyoto_run3_MTE!Q347</f>
        <v>51.348490193266947</v>
      </c>
      <c r="N86" s="711">
        <f>Bilans_E_AMS_Kyoto_run3_MTE!R347</f>
        <v>0</v>
      </c>
      <c r="O86" s="711">
        <f>Bilans_E_AMS_Kyoto_run3_MTE!S347</f>
        <v>0</v>
      </c>
      <c r="P86" s="711">
        <f>Bilans_E_AMS_Kyoto_run3_MTE!T347+Bilans_E_AMS_Kyoto_run3_MTE!U347</f>
        <v>171.39585425670967</v>
      </c>
      <c r="Q86" s="711">
        <f>Bilans_E_AMS_Kyoto_run3_MTE!V347</f>
        <v>34.299691863986411</v>
      </c>
      <c r="R86" s="711">
        <f>Bilans_E_AMS_Kyoto_run3_MTE!W347</f>
        <v>0</v>
      </c>
      <c r="S86" s="711">
        <f>Bilans_E_AMS_Kyoto_run3_MTE!X347</f>
        <v>0</v>
      </c>
      <c r="T86" s="711">
        <f>Bilans_E_AMS_Kyoto_run3_MTE!Y347</f>
        <v>0</v>
      </c>
      <c r="U86" s="711">
        <f>Bilans_E_AMS_Kyoto_run3_MTE!Z347</f>
        <v>2043.2709976228659</v>
      </c>
      <c r="V86" s="701"/>
      <c r="W86" s="701"/>
    </row>
    <row r="87" spans="1:23" x14ac:dyDescent="0.25">
      <c r="A87" s="701" t="s">
        <v>488</v>
      </c>
      <c r="B87" s="701"/>
      <c r="C87" s="710" t="s">
        <v>60</v>
      </c>
      <c r="D87" s="712">
        <f>Bilans_E_AMS_Kyoto_run3_MTE!H348</f>
        <v>13.10897607421875</v>
      </c>
      <c r="E87" s="712">
        <f>Bilans_E_AMS_Kyoto_run3_MTE!I348</f>
        <v>308.93113241881071</v>
      </c>
      <c r="F87" s="712">
        <f>Bilans_E_AMS_Kyoto_run3_MTE!J348</f>
        <v>121.08575062075425</v>
      </c>
      <c r="G87" s="712">
        <f>Bilans_E_AMS_Kyoto_run3_MTE!K348</f>
        <v>2.7939885995123079</v>
      </c>
      <c r="H87" s="712">
        <f>Bilans_E_AMS_Kyoto_run3_MTE!L348</f>
        <v>208.53518235241728</v>
      </c>
      <c r="I87" s="712">
        <f>Bilans_E_AMS_Kyoto_run3_MTE!M348</f>
        <v>0</v>
      </c>
      <c r="J87" s="712">
        <f>Bilans_E_AMS_Kyoto_run3_MTE!N348</f>
        <v>0</v>
      </c>
      <c r="K87" s="712">
        <f>Bilans_E_AMS_Kyoto_run3_MTE!O348</f>
        <v>0</v>
      </c>
      <c r="L87" s="712">
        <f>Bilans_E_AMS_Kyoto_run3_MTE!P348</f>
        <v>3.9620965723904646</v>
      </c>
      <c r="M87" s="712">
        <f>Bilans_E_AMS_Kyoto_run3_MTE!Q348</f>
        <v>0</v>
      </c>
      <c r="N87" s="712">
        <f>Bilans_E_AMS_Kyoto_run3_MTE!R348</f>
        <v>15.040491481755694</v>
      </c>
      <c r="O87" s="712">
        <f>Bilans_E_AMS_Kyoto_run3_MTE!S348</f>
        <v>7.9892327206458447E-2</v>
      </c>
      <c r="P87" s="712">
        <f>Bilans_E_AMS_Kyoto_run3_MTE!T348+Bilans_E_AMS_Kyoto_run3_MTE!U348</f>
        <v>0</v>
      </c>
      <c r="Q87" s="712">
        <f>Bilans_E_AMS_Kyoto_run3_MTE!V348</f>
        <v>0</v>
      </c>
      <c r="R87" s="712">
        <f>Bilans_E_AMS_Kyoto_run3_MTE!W348</f>
        <v>0</v>
      </c>
      <c r="S87" s="712">
        <f>Bilans_E_AMS_Kyoto_run3_MTE!X348</f>
        <v>0</v>
      </c>
      <c r="T87" s="712">
        <f>Bilans_E_AMS_Kyoto_run3_MTE!Y348</f>
        <v>0</v>
      </c>
      <c r="U87" s="712">
        <f>Bilans_E_AMS_Kyoto_run3_MTE!Z348</f>
        <v>673.53751044706598</v>
      </c>
      <c r="V87" s="701"/>
      <c r="W87" s="701"/>
    </row>
    <row r="88" spans="1:23" x14ac:dyDescent="0.25">
      <c r="A88" s="701" t="s">
        <v>489</v>
      </c>
      <c r="B88" s="701"/>
      <c r="C88" s="710" t="s">
        <v>61</v>
      </c>
      <c r="D88" s="712">
        <f>Bilans_E_AMS_Kyoto_run3_MTE!H349</f>
        <v>0</v>
      </c>
      <c r="E88" s="712">
        <f>Bilans_E_AMS_Kyoto_run3_MTE!I349</f>
        <v>0</v>
      </c>
      <c r="F88" s="712">
        <f>Bilans_E_AMS_Kyoto_run3_MTE!J349</f>
        <v>0</v>
      </c>
      <c r="G88" s="712">
        <f>Bilans_E_AMS_Kyoto_run3_MTE!K349</f>
        <v>0</v>
      </c>
      <c r="H88" s="712">
        <f>Bilans_E_AMS_Kyoto_run3_MTE!L349</f>
        <v>0</v>
      </c>
      <c r="I88" s="712">
        <f>Bilans_E_AMS_Kyoto_run3_MTE!M349</f>
        <v>0</v>
      </c>
      <c r="J88" s="712">
        <f>Bilans_E_AMS_Kyoto_run3_MTE!N349</f>
        <v>0</v>
      </c>
      <c r="K88" s="712">
        <f>Bilans_E_AMS_Kyoto_run3_MTE!O349</f>
        <v>0</v>
      </c>
      <c r="L88" s="712">
        <f>Bilans_E_AMS_Kyoto_run3_MTE!P349</f>
        <v>0</v>
      </c>
      <c r="M88" s="712">
        <f>Bilans_E_AMS_Kyoto_run3_MTE!Q349</f>
        <v>0</v>
      </c>
      <c r="N88" s="712">
        <f>Bilans_E_AMS_Kyoto_run3_MTE!R349</f>
        <v>0</v>
      </c>
      <c r="O88" s="712">
        <f>Bilans_E_AMS_Kyoto_run3_MTE!S349</f>
        <v>0</v>
      </c>
      <c r="P88" s="712">
        <f>Bilans_E_AMS_Kyoto_run3_MTE!T349+Bilans_E_AMS_Kyoto_run3_MTE!U349</f>
        <v>0</v>
      </c>
      <c r="Q88" s="712">
        <f>Bilans_E_AMS_Kyoto_run3_MTE!V349</f>
        <v>0</v>
      </c>
      <c r="R88" s="712">
        <f>Bilans_E_AMS_Kyoto_run3_MTE!W349</f>
        <v>-95.466033511784872</v>
      </c>
      <c r="S88" s="712">
        <f>Bilans_E_AMS_Kyoto_run3_MTE!X349</f>
        <v>0</v>
      </c>
      <c r="T88" s="712">
        <f>Bilans_E_AMS_Kyoto_run3_MTE!Y349</f>
        <v>0</v>
      </c>
      <c r="U88" s="712">
        <f>Bilans_E_AMS_Kyoto_run3_MTE!Z349</f>
        <v>-95.466033511784872</v>
      </c>
      <c r="V88" s="701"/>
      <c r="W88" s="701"/>
    </row>
    <row r="89" spans="1:23" x14ac:dyDescent="0.25">
      <c r="A89" s="701" t="s">
        <v>490</v>
      </c>
      <c r="B89" s="701"/>
      <c r="C89" s="710" t="s">
        <v>62</v>
      </c>
      <c r="D89" s="711">
        <f>Bilans_E_AMS_Kyoto_run3_MTE!H350</f>
        <v>0</v>
      </c>
      <c r="E89" s="711">
        <f>Bilans_E_AMS_Kyoto_run3_MTE!I350</f>
        <v>0</v>
      </c>
      <c r="F89" s="711">
        <f>Bilans_E_AMS_Kyoto_run3_MTE!J350</f>
        <v>-7.1897413553368033</v>
      </c>
      <c r="G89" s="711">
        <f>Bilans_E_AMS_Kyoto_run3_MTE!K350</f>
        <v>-0.40871635052551269</v>
      </c>
      <c r="H89" s="711">
        <f>Bilans_E_AMS_Kyoto_run3_MTE!L350</f>
        <v>-0.64998497552234569</v>
      </c>
      <c r="I89" s="711">
        <f>Bilans_E_AMS_Kyoto_run3_MTE!M350</f>
        <v>-0.61307452578826904</v>
      </c>
      <c r="J89" s="711">
        <f>Bilans_E_AMS_Kyoto_run3_MTE!N350</f>
        <v>0</v>
      </c>
      <c r="K89" s="711">
        <f>Bilans_E_AMS_Kyoto_run3_MTE!O350</f>
        <v>0</v>
      </c>
      <c r="L89" s="711">
        <f>Bilans_E_AMS_Kyoto_run3_MTE!P350</f>
        <v>0</v>
      </c>
      <c r="M89" s="711">
        <f>Bilans_E_AMS_Kyoto_run3_MTE!Q350</f>
        <v>0</v>
      </c>
      <c r="N89" s="711">
        <f>Bilans_E_AMS_Kyoto_run3_MTE!R350</f>
        <v>0</v>
      </c>
      <c r="O89" s="711">
        <f>Bilans_E_AMS_Kyoto_run3_MTE!S350</f>
        <v>-1.0039414282398573</v>
      </c>
      <c r="P89" s="711">
        <f>Bilans_E_AMS_Kyoto_run3_MTE!T350+Bilans_E_AMS_Kyoto_run3_MTE!U350</f>
        <v>0</v>
      </c>
      <c r="Q89" s="711">
        <f>Bilans_E_AMS_Kyoto_run3_MTE!V350</f>
        <v>0</v>
      </c>
      <c r="R89" s="711">
        <f>Bilans_E_AMS_Kyoto_run3_MTE!W350</f>
        <v>0</v>
      </c>
      <c r="S89" s="711">
        <f>Bilans_E_AMS_Kyoto_run3_MTE!X350</f>
        <v>0</v>
      </c>
      <c r="T89" s="711">
        <f>Bilans_E_AMS_Kyoto_run3_MTE!Y350</f>
        <v>-0.37964157661678277</v>
      </c>
      <c r="U89" s="711">
        <f>Bilans_E_AMS_Kyoto_run3_MTE!Z350</f>
        <v>-10.24510021202957</v>
      </c>
      <c r="V89" s="701"/>
      <c r="W89" s="701"/>
    </row>
    <row r="90" spans="1:23" x14ac:dyDescent="0.25">
      <c r="A90" s="701" t="s">
        <v>491</v>
      </c>
      <c r="B90" s="701"/>
      <c r="C90" s="710" t="s">
        <v>63</v>
      </c>
      <c r="D90" s="711">
        <f>Bilans_E_AMS_Kyoto_run3_MTE!H351</f>
        <v>0</v>
      </c>
      <c r="E90" s="711">
        <f>Bilans_E_AMS_Kyoto_run3_MTE!I351</f>
        <v>0</v>
      </c>
      <c r="F90" s="711">
        <f>Bilans_E_AMS_Kyoto_run3_MTE!J351</f>
        <v>-56</v>
      </c>
      <c r="G90" s="711">
        <f>Bilans_E_AMS_Kyoto_run3_MTE!K351</f>
        <v>-4</v>
      </c>
      <c r="H90" s="711">
        <f>Bilans_E_AMS_Kyoto_run3_MTE!L351</f>
        <v>0</v>
      </c>
      <c r="I90" s="711">
        <f>Bilans_E_AMS_Kyoto_run3_MTE!M351</f>
        <v>0</v>
      </c>
      <c r="J90" s="711">
        <f>Bilans_E_AMS_Kyoto_run3_MTE!N351</f>
        <v>0</v>
      </c>
      <c r="K90" s="711">
        <f>Bilans_E_AMS_Kyoto_run3_MTE!O351</f>
        <v>0</v>
      </c>
      <c r="L90" s="711">
        <f>Bilans_E_AMS_Kyoto_run3_MTE!P351</f>
        <v>0</v>
      </c>
      <c r="M90" s="711">
        <f>Bilans_E_AMS_Kyoto_run3_MTE!Q351</f>
        <v>0</v>
      </c>
      <c r="N90" s="711">
        <f>Bilans_E_AMS_Kyoto_run3_MTE!R351</f>
        <v>-11</v>
      </c>
      <c r="O90" s="711">
        <f>Bilans_E_AMS_Kyoto_run3_MTE!S351</f>
        <v>0</v>
      </c>
      <c r="P90" s="711">
        <f>Bilans_E_AMS_Kyoto_run3_MTE!T351+Bilans_E_AMS_Kyoto_run3_MTE!U351</f>
        <v>0</v>
      </c>
      <c r="Q90" s="711">
        <f>Bilans_E_AMS_Kyoto_run3_MTE!V351</f>
        <v>0</v>
      </c>
      <c r="R90" s="711">
        <f>Bilans_E_AMS_Kyoto_run3_MTE!W351</f>
        <v>0</v>
      </c>
      <c r="S90" s="711">
        <f>Bilans_E_AMS_Kyoto_run3_MTE!X351</f>
        <v>0</v>
      </c>
      <c r="T90" s="711">
        <f>Bilans_E_AMS_Kyoto_run3_MTE!Y351</f>
        <v>-1</v>
      </c>
      <c r="U90" s="711">
        <f>Bilans_E_AMS_Kyoto_run3_MTE!Z351</f>
        <v>-72</v>
      </c>
      <c r="V90" s="701"/>
      <c r="W90" s="701"/>
    </row>
    <row r="91" spans="1:23" x14ac:dyDescent="0.25">
      <c r="A91" s="701" t="s">
        <v>492</v>
      </c>
      <c r="B91" s="701"/>
      <c r="C91" s="710" t="s">
        <v>64</v>
      </c>
      <c r="D91" s="712">
        <f>Bilans_E_AMS_Kyoto_run3_MTE!H352</f>
        <v>0</v>
      </c>
      <c r="E91" s="712">
        <f>Bilans_E_AMS_Kyoto_run3_MTE!I352</f>
        <v>0</v>
      </c>
      <c r="F91" s="712">
        <f>Bilans_E_AMS_Kyoto_run3_MTE!J352</f>
        <v>0</v>
      </c>
      <c r="G91" s="712">
        <f>Bilans_E_AMS_Kyoto_run3_MTE!K352</f>
        <v>0</v>
      </c>
      <c r="H91" s="712">
        <f>Bilans_E_AMS_Kyoto_run3_MTE!L352</f>
        <v>0</v>
      </c>
      <c r="I91" s="712">
        <f>Bilans_E_AMS_Kyoto_run3_MTE!M352</f>
        <v>0</v>
      </c>
      <c r="J91" s="712">
        <f>Bilans_E_AMS_Kyoto_run3_MTE!N352</f>
        <v>0</v>
      </c>
      <c r="K91" s="712">
        <f>Bilans_E_AMS_Kyoto_run3_MTE!O352</f>
        <v>0</v>
      </c>
      <c r="L91" s="712">
        <f>Bilans_E_AMS_Kyoto_run3_MTE!P352</f>
        <v>0</v>
      </c>
      <c r="M91" s="712">
        <f>Bilans_E_AMS_Kyoto_run3_MTE!Q352</f>
        <v>0</v>
      </c>
      <c r="N91" s="712">
        <f>Bilans_E_AMS_Kyoto_run3_MTE!R352</f>
        <v>0</v>
      </c>
      <c r="O91" s="712">
        <f>Bilans_E_AMS_Kyoto_run3_MTE!S352</f>
        <v>0</v>
      </c>
      <c r="P91" s="712">
        <f>Bilans_E_AMS_Kyoto_run3_MTE!T352+Bilans_E_AMS_Kyoto_run3_MTE!U352</f>
        <v>0</v>
      </c>
      <c r="Q91" s="712">
        <f>Bilans_E_AMS_Kyoto_run3_MTE!V352</f>
        <v>0</v>
      </c>
      <c r="R91" s="712">
        <f>Bilans_E_AMS_Kyoto_run3_MTE!W352</f>
        <v>0</v>
      </c>
      <c r="S91" s="712">
        <f>Bilans_E_AMS_Kyoto_run3_MTE!X352</f>
        <v>0</v>
      </c>
      <c r="T91" s="712">
        <f>Bilans_E_AMS_Kyoto_run3_MTE!Y352</f>
        <v>0</v>
      </c>
      <c r="U91" s="712">
        <f>Bilans_E_AMS_Kyoto_run3_MTE!Z352</f>
        <v>0</v>
      </c>
      <c r="V91" s="701"/>
      <c r="W91" s="701"/>
    </row>
    <row r="92" spans="1:23" x14ac:dyDescent="0.25">
      <c r="A92" s="701" t="s">
        <v>493</v>
      </c>
      <c r="B92" s="701"/>
      <c r="C92" s="713" t="s">
        <v>65</v>
      </c>
      <c r="D92" s="714">
        <f>Bilans_E_AMS_Kyoto_run3_MTE!H353</f>
        <v>13.10897607421875</v>
      </c>
      <c r="E92" s="714">
        <f>Bilans_E_AMS_Kyoto_run3_MTE!I353</f>
        <v>313.69943241881072</v>
      </c>
      <c r="F92" s="714">
        <f>Bilans_E_AMS_Kyoto_run3_MTE!J353</f>
        <v>57.896009265417447</v>
      </c>
      <c r="G92" s="714">
        <f>Bilans_E_AMS_Kyoto_run3_MTE!K353</f>
        <v>-1.6147277510132048</v>
      </c>
      <c r="H92" s="714">
        <f>Bilans_E_AMS_Kyoto_run3_MTE!L353</f>
        <v>207.98405237689491</v>
      </c>
      <c r="I92" s="714">
        <f>Bilans_E_AMS_Kyoto_run3_MTE!M353</f>
        <v>-0.61307452578826904</v>
      </c>
      <c r="J92" s="714">
        <f>Bilans_E_AMS_Kyoto_run3_MTE!N353</f>
        <v>1162.7439999999999</v>
      </c>
      <c r="K92" s="714">
        <f>Bilans_E_AMS_Kyoto_run3_MTE!O353</f>
        <v>299.59846132130883</v>
      </c>
      <c r="L92" s="714">
        <f>Bilans_E_AMS_Kyoto_run3_MTE!P353</f>
        <v>322.97944155998459</v>
      </c>
      <c r="M92" s="714">
        <f>Bilans_E_AMS_Kyoto_run3_MTE!Q353</f>
        <v>51.348490193266947</v>
      </c>
      <c r="N92" s="714">
        <f>Bilans_E_AMS_Kyoto_run3_MTE!R353</f>
        <v>4.0404914817556943</v>
      </c>
      <c r="O92" s="714">
        <f>Bilans_E_AMS_Kyoto_run3_MTE!S353</f>
        <v>-0.92404910103339888</v>
      </c>
      <c r="P92" s="714">
        <f>Bilans_E_AMS_Kyoto_run3_MTE!T353+Bilans_E_AMS_Kyoto_run3_MTE!U353</f>
        <v>171.39585425670967</v>
      </c>
      <c r="Q92" s="714">
        <f>Bilans_E_AMS_Kyoto_run3_MTE!V353</f>
        <v>34.299691863986411</v>
      </c>
      <c r="R92" s="714">
        <f>Bilans_E_AMS_Kyoto_run3_MTE!W353</f>
        <v>-95.466033511784872</v>
      </c>
      <c r="S92" s="714">
        <f>Bilans_E_AMS_Kyoto_run3_MTE!X353</f>
        <v>0</v>
      </c>
      <c r="T92" s="714">
        <f>Bilans_E_AMS_Kyoto_run3_MTE!Y353</f>
        <v>-1.3796415766167827</v>
      </c>
      <c r="U92" s="714">
        <f>Bilans_E_AMS_Kyoto_run3_MTE!Z353</f>
        <v>2539.0973743461172</v>
      </c>
      <c r="V92" s="701"/>
      <c r="W92" s="701"/>
    </row>
    <row r="93" spans="1:23" x14ac:dyDescent="0.25">
      <c r="A93" s="701"/>
      <c r="B93" s="701"/>
      <c r="C93" s="715"/>
      <c r="D93" s="716"/>
      <c r="E93" s="716"/>
      <c r="F93" s="716"/>
      <c r="G93" s="716"/>
      <c r="H93" s="716"/>
      <c r="I93" s="716"/>
      <c r="J93" s="716"/>
      <c r="K93" s="716"/>
      <c r="L93" s="716"/>
      <c r="M93" s="716"/>
      <c r="N93" s="716"/>
      <c r="O93" s="716"/>
      <c r="P93" s="716">
        <f>Bilans_E_AMS_Kyoto_run3_MTE!T354+Bilans_E_AMS_Kyoto_run3_MTE!U354</f>
        <v>0</v>
      </c>
      <c r="Q93" s="716"/>
      <c r="R93" s="716"/>
      <c r="S93" s="716"/>
      <c r="T93" s="716"/>
      <c r="U93" s="716"/>
      <c r="V93" s="701"/>
      <c r="W93" s="701"/>
    </row>
    <row r="94" spans="1:23" x14ac:dyDescent="0.25">
      <c r="A94" s="701" t="s">
        <v>494</v>
      </c>
      <c r="B94" s="701"/>
      <c r="C94" s="717" t="s">
        <v>67</v>
      </c>
      <c r="D94" s="711">
        <f>Bilans_E_AMS_Kyoto_run3_MTE!H355</f>
        <v>0</v>
      </c>
      <c r="E94" s="711">
        <f>Bilans_E_AMS_Kyoto_run3_MTE!I355</f>
        <v>0</v>
      </c>
      <c r="F94" s="711">
        <f>Bilans_E_AMS_Kyoto_run3_MTE!J355</f>
        <v>0</v>
      </c>
      <c r="G94" s="711">
        <f>Bilans_E_AMS_Kyoto_run3_MTE!K355</f>
        <v>0</v>
      </c>
      <c r="H94" s="711">
        <f>Bilans_E_AMS_Kyoto_run3_MTE!L355</f>
        <v>0</v>
      </c>
      <c r="I94" s="711">
        <f>Bilans_E_AMS_Kyoto_run3_MTE!M355</f>
        <v>0</v>
      </c>
      <c r="J94" s="711">
        <f>Bilans_E_AMS_Kyoto_run3_MTE!N355</f>
        <v>0</v>
      </c>
      <c r="K94" s="711">
        <f>Bilans_E_AMS_Kyoto_run3_MTE!O355</f>
        <v>0</v>
      </c>
      <c r="L94" s="711">
        <f>Bilans_E_AMS_Kyoto_run3_MTE!P355</f>
        <v>0</v>
      </c>
      <c r="M94" s="711">
        <f>Bilans_E_AMS_Kyoto_run3_MTE!Q355</f>
        <v>0</v>
      </c>
      <c r="N94" s="711">
        <f>Bilans_E_AMS_Kyoto_run3_MTE!R355</f>
        <v>0</v>
      </c>
      <c r="O94" s="711">
        <f>Bilans_E_AMS_Kyoto_run3_MTE!S355</f>
        <v>0</v>
      </c>
      <c r="P94" s="711">
        <f>Bilans_E_AMS_Kyoto_run3_MTE!T355+Bilans_E_AMS_Kyoto_run3_MTE!U355</f>
        <v>0</v>
      </c>
      <c r="Q94" s="711">
        <f>Bilans_E_AMS_Kyoto_run3_MTE!V355</f>
        <v>0</v>
      </c>
      <c r="R94" s="711">
        <f>Bilans_E_AMS_Kyoto_run3_MTE!W355</f>
        <v>0</v>
      </c>
      <c r="S94" s="711">
        <f>Bilans_E_AMS_Kyoto_run3_MTE!X355</f>
        <v>0</v>
      </c>
      <c r="T94" s="711">
        <f>Bilans_E_AMS_Kyoto_run3_MTE!Y355</f>
        <v>0</v>
      </c>
      <c r="U94" s="711">
        <f>Bilans_E_AMS_Kyoto_run3_MTE!Z355</f>
        <v>0</v>
      </c>
      <c r="V94" s="701"/>
      <c r="W94" s="701"/>
    </row>
    <row r="95" spans="1:23" x14ac:dyDescent="0.25">
      <c r="A95" s="701" t="s">
        <v>495</v>
      </c>
      <c r="B95" s="701"/>
      <c r="C95" s="717" t="s">
        <v>347</v>
      </c>
      <c r="D95" s="711">
        <f>Bilans_E_AMS_Kyoto_run3_MTE!H356</f>
        <v>0</v>
      </c>
      <c r="E95" s="711">
        <f>Bilans_E_AMS_Kyoto_run3_MTE!I356</f>
        <v>0</v>
      </c>
      <c r="F95" s="711">
        <f>Bilans_E_AMS_Kyoto_run3_MTE!J356</f>
        <v>0.802217285608815</v>
      </c>
      <c r="G95" s="711">
        <f>Bilans_E_AMS_Kyoto_run3_MTE!K356</f>
        <v>0</v>
      </c>
      <c r="H95" s="711">
        <f>Bilans_E_AMS_Kyoto_run3_MTE!L356</f>
        <v>25.778498998044444</v>
      </c>
      <c r="I95" s="711">
        <f>Bilans_E_AMS_Kyoto_run3_MTE!M356</f>
        <v>0</v>
      </c>
      <c r="J95" s="711">
        <f>Bilans_E_AMS_Kyoto_run3_MTE!N356</f>
        <v>1162.7439999999999</v>
      </c>
      <c r="K95" s="711">
        <f>Bilans_E_AMS_Kyoto_run3_MTE!O356</f>
        <v>299.59846132130883</v>
      </c>
      <c r="L95" s="711">
        <f>Bilans_E_AMS_Kyoto_run3_MTE!P356</f>
        <v>15.921747993621487</v>
      </c>
      <c r="M95" s="711">
        <f>Bilans_E_AMS_Kyoto_run3_MTE!Q356</f>
        <v>5.93692826914703</v>
      </c>
      <c r="N95" s="711">
        <f>Bilans_E_AMS_Kyoto_run3_MTE!R356</f>
        <v>5.0291337303525587</v>
      </c>
      <c r="O95" s="711">
        <f>Bilans_E_AMS_Kyoto_run3_MTE!S356</f>
        <v>8.748119861379541</v>
      </c>
      <c r="P95" s="711">
        <f>Bilans_E_AMS_Kyoto_run3_MTE!T356+Bilans_E_AMS_Kyoto_run3_MTE!U356</f>
        <v>0</v>
      </c>
      <c r="Q95" s="711">
        <f>Bilans_E_AMS_Kyoto_run3_MTE!V356</f>
        <v>2.7943993103273139</v>
      </c>
      <c r="R95" s="711">
        <f>Bilans_E_AMS_Kyoto_run3_MTE!W356</f>
        <v>-717.37547960636846</v>
      </c>
      <c r="S95" s="711">
        <f>Bilans_E_AMS_Kyoto_run3_MTE!X356</f>
        <v>0</v>
      </c>
      <c r="T95" s="711">
        <f>Bilans_E_AMS_Kyoto_run3_MTE!Y356</f>
        <v>0</v>
      </c>
      <c r="U95" s="711">
        <f>Bilans_E_AMS_Kyoto_run3_MTE!Z356</f>
        <v>809.97802716342164</v>
      </c>
      <c r="V95" s="701"/>
      <c r="W95" s="701"/>
    </row>
    <row r="96" spans="1:23" x14ac:dyDescent="0.25">
      <c r="A96" s="701" t="s">
        <v>496</v>
      </c>
      <c r="B96" s="701"/>
      <c r="C96" s="717" t="s">
        <v>348</v>
      </c>
      <c r="D96" s="711">
        <f>Bilans_E_AMS_Kyoto_run3_MTE!H357</f>
        <v>0</v>
      </c>
      <c r="E96" s="711">
        <f>Bilans_E_AMS_Kyoto_run3_MTE!I357</f>
        <v>0</v>
      </c>
      <c r="F96" s="711">
        <f>Bilans_E_AMS_Kyoto_run3_MTE!J357</f>
        <v>0</v>
      </c>
      <c r="G96" s="711">
        <f>Bilans_E_AMS_Kyoto_run3_MTE!K357</f>
        <v>0</v>
      </c>
      <c r="H96" s="711">
        <f>Bilans_E_AMS_Kyoto_run3_MTE!L357</f>
        <v>21.610761712544495</v>
      </c>
      <c r="I96" s="711">
        <f>Bilans_E_AMS_Kyoto_run3_MTE!M357</f>
        <v>0</v>
      </c>
      <c r="J96" s="711">
        <f>Bilans_E_AMS_Kyoto_run3_MTE!N357</f>
        <v>0</v>
      </c>
      <c r="K96" s="711">
        <f>Bilans_E_AMS_Kyoto_run3_MTE!O357</f>
        <v>0</v>
      </c>
      <c r="L96" s="711">
        <f>Bilans_E_AMS_Kyoto_run3_MTE!P357</f>
        <v>24.785104378649287</v>
      </c>
      <c r="M96" s="711">
        <f>Bilans_E_AMS_Kyoto_run3_MTE!Q357</f>
        <v>17.95996245859666</v>
      </c>
      <c r="N96" s="711">
        <f>Bilans_E_AMS_Kyoto_run3_MTE!R357</f>
        <v>0</v>
      </c>
      <c r="O96" s="711">
        <f>Bilans_E_AMS_Kyoto_run3_MTE!S357</f>
        <v>6.3205787341877624</v>
      </c>
      <c r="P96" s="711">
        <f>Bilans_E_AMS_Kyoto_run3_MTE!T357+Bilans_E_AMS_Kyoto_run3_MTE!U357</f>
        <v>14.160487242314748</v>
      </c>
      <c r="Q96" s="711">
        <f>Bilans_E_AMS_Kyoto_run3_MTE!V357</f>
        <v>14.189843081655606</v>
      </c>
      <c r="R96" s="711">
        <f>Bilans_E_AMS_Kyoto_run3_MTE!W357</f>
        <v>0</v>
      </c>
      <c r="S96" s="711">
        <f>Bilans_E_AMS_Kyoto_run3_MTE!X357</f>
        <v>-90.295152964101419</v>
      </c>
      <c r="T96" s="711">
        <f>Bilans_E_AMS_Kyoto_run3_MTE!Y357</f>
        <v>0</v>
      </c>
      <c r="U96" s="711">
        <f>Bilans_E_AMS_Kyoto_run3_MTE!Z357</f>
        <v>8.7315846438471425</v>
      </c>
      <c r="V96" s="701"/>
      <c r="W96" s="701"/>
    </row>
    <row r="97" spans="1:23" x14ac:dyDescent="0.25">
      <c r="A97" s="701" t="s">
        <v>497</v>
      </c>
      <c r="B97" s="701"/>
      <c r="C97" s="717" t="s">
        <v>349</v>
      </c>
      <c r="D97" s="711">
        <f>Bilans_E_AMS_Kyoto_run3_MTE!H358</f>
        <v>0</v>
      </c>
      <c r="E97" s="711">
        <f>Bilans_E_AMS_Kyoto_run3_MTE!I358</f>
        <v>0</v>
      </c>
      <c r="F97" s="711">
        <f>Bilans_E_AMS_Kyoto_run3_MTE!J358</f>
        <v>0</v>
      </c>
      <c r="G97" s="711">
        <f>Bilans_E_AMS_Kyoto_run3_MTE!K358</f>
        <v>0</v>
      </c>
      <c r="H97" s="711">
        <f>Bilans_E_AMS_Kyoto_run3_MTE!L358</f>
        <v>0</v>
      </c>
      <c r="I97" s="711">
        <f>Bilans_E_AMS_Kyoto_run3_MTE!M358</f>
        <v>0</v>
      </c>
      <c r="J97" s="711">
        <f>Bilans_E_AMS_Kyoto_run3_MTE!N358</f>
        <v>0</v>
      </c>
      <c r="K97" s="711">
        <f>Bilans_E_AMS_Kyoto_run3_MTE!O358</f>
        <v>0</v>
      </c>
      <c r="L97" s="711">
        <f>Bilans_E_AMS_Kyoto_run3_MTE!P358</f>
        <v>95.025274759778867</v>
      </c>
      <c r="M97" s="711">
        <f>Bilans_E_AMS_Kyoto_run3_MTE!Q358</f>
        <v>10.678076799137498</v>
      </c>
      <c r="N97" s="711">
        <f>Bilans_E_AMS_Kyoto_run3_MTE!R358</f>
        <v>0</v>
      </c>
      <c r="O97" s="711">
        <f>Bilans_E_AMS_Kyoto_run3_MTE!S358</f>
        <v>-52.932106946617139</v>
      </c>
      <c r="P97" s="711">
        <f>Bilans_E_AMS_Kyoto_run3_MTE!T358+Bilans_E_AMS_Kyoto_run3_MTE!U358</f>
        <v>0</v>
      </c>
      <c r="Q97" s="711">
        <f>Bilans_E_AMS_Kyoto_run3_MTE!V358</f>
        <v>0</v>
      </c>
      <c r="R97" s="711">
        <f>Bilans_E_AMS_Kyoto_run3_MTE!W358</f>
        <v>0</v>
      </c>
      <c r="S97" s="711">
        <f>Bilans_E_AMS_Kyoto_run3_MTE!X358</f>
        <v>0</v>
      </c>
      <c r="T97" s="711">
        <f>Bilans_E_AMS_Kyoto_run3_MTE!Y358</f>
        <v>0</v>
      </c>
      <c r="U97" s="711">
        <f>Bilans_E_AMS_Kyoto_run3_MTE!Z358</f>
        <v>52.771244612299228</v>
      </c>
      <c r="V97" s="701"/>
      <c r="W97" s="701"/>
    </row>
    <row r="98" spans="1:23" x14ac:dyDescent="0.25">
      <c r="A98" s="701" t="s">
        <v>498</v>
      </c>
      <c r="B98" s="701"/>
      <c r="C98" s="717" t="s">
        <v>350</v>
      </c>
      <c r="D98" s="711">
        <f>Bilans_E_AMS_Kyoto_run3_MTE!H359</f>
        <v>0</v>
      </c>
      <c r="E98" s="711">
        <f>Bilans_E_AMS_Kyoto_run3_MTE!I359</f>
        <v>0</v>
      </c>
      <c r="F98" s="711">
        <f>Bilans_E_AMS_Kyoto_run3_MTE!J359</f>
        <v>0</v>
      </c>
      <c r="G98" s="711">
        <f>Bilans_E_AMS_Kyoto_run3_MTE!K359</f>
        <v>0</v>
      </c>
      <c r="H98" s="711">
        <f>Bilans_E_AMS_Kyoto_run3_MTE!L359</f>
        <v>0</v>
      </c>
      <c r="I98" s="711">
        <f>Bilans_E_AMS_Kyoto_run3_MTE!M359</f>
        <v>-0.61307452578826904</v>
      </c>
      <c r="J98" s="711">
        <f>Bilans_E_AMS_Kyoto_run3_MTE!N359</f>
        <v>0</v>
      </c>
      <c r="K98" s="711">
        <f>Bilans_E_AMS_Kyoto_run3_MTE!O359</f>
        <v>0</v>
      </c>
      <c r="L98" s="711">
        <f>Bilans_E_AMS_Kyoto_run3_MTE!P359</f>
        <v>0</v>
      </c>
      <c r="M98" s="711">
        <f>Bilans_E_AMS_Kyoto_run3_MTE!Q359</f>
        <v>0</v>
      </c>
      <c r="N98" s="711">
        <f>Bilans_E_AMS_Kyoto_run3_MTE!R359</f>
        <v>0</v>
      </c>
      <c r="O98" s="711">
        <f>Bilans_E_AMS_Kyoto_run3_MTE!S359</f>
        <v>0</v>
      </c>
      <c r="P98" s="711">
        <f>Bilans_E_AMS_Kyoto_run3_MTE!T359+Bilans_E_AMS_Kyoto_run3_MTE!U359</f>
        <v>0</v>
      </c>
      <c r="Q98" s="711">
        <f>Bilans_E_AMS_Kyoto_run3_MTE!V359</f>
        <v>0</v>
      </c>
      <c r="R98" s="711">
        <f>Bilans_E_AMS_Kyoto_run3_MTE!W359</f>
        <v>0</v>
      </c>
      <c r="S98" s="711">
        <f>Bilans_E_AMS_Kyoto_run3_MTE!X359</f>
        <v>0</v>
      </c>
      <c r="T98" s="711">
        <f>Bilans_E_AMS_Kyoto_run3_MTE!Y359</f>
        <v>0.85149239692815148</v>
      </c>
      <c r="U98" s="711">
        <f>Bilans_E_AMS_Kyoto_run3_MTE!Z359</f>
        <v>0.23841787113988244</v>
      </c>
      <c r="V98" s="701"/>
      <c r="W98" s="701"/>
    </row>
    <row r="99" spans="1:23" x14ac:dyDescent="0.25">
      <c r="A99" s="701" t="s">
        <v>499</v>
      </c>
      <c r="B99" s="701"/>
      <c r="C99" s="717" t="s">
        <v>72</v>
      </c>
      <c r="D99" s="711">
        <f>Bilans_E_AMS_Kyoto_run3_MTE!H360</f>
        <v>0</v>
      </c>
      <c r="E99" s="711">
        <f>Bilans_E_AMS_Kyoto_run3_MTE!I360</f>
        <v>325.09767157974136</v>
      </c>
      <c r="F99" s="711">
        <f>Bilans_E_AMS_Kyoto_run3_MTE!J360</f>
        <v>-321.84669486394392</v>
      </c>
      <c r="G99" s="711">
        <f>Bilans_E_AMS_Kyoto_run3_MTE!K360</f>
        <v>0</v>
      </c>
      <c r="H99" s="711">
        <f>Bilans_E_AMS_Kyoto_run3_MTE!L360</f>
        <v>0</v>
      </c>
      <c r="I99" s="711">
        <f>Bilans_E_AMS_Kyoto_run3_MTE!M360</f>
        <v>0</v>
      </c>
      <c r="J99" s="711">
        <f>Bilans_E_AMS_Kyoto_run3_MTE!N360</f>
        <v>0</v>
      </c>
      <c r="K99" s="711">
        <f>Bilans_E_AMS_Kyoto_run3_MTE!O360</f>
        <v>0</v>
      </c>
      <c r="L99" s="711">
        <f>Bilans_E_AMS_Kyoto_run3_MTE!P360</f>
        <v>0</v>
      </c>
      <c r="M99" s="711">
        <f>Bilans_E_AMS_Kyoto_run3_MTE!Q360</f>
        <v>0</v>
      </c>
      <c r="N99" s="711">
        <f>Bilans_E_AMS_Kyoto_run3_MTE!R360</f>
        <v>0</v>
      </c>
      <c r="O99" s="711">
        <f>Bilans_E_AMS_Kyoto_run3_MTE!S360</f>
        <v>0</v>
      </c>
      <c r="P99" s="711">
        <f>Bilans_E_AMS_Kyoto_run3_MTE!T360+Bilans_E_AMS_Kyoto_run3_MTE!U360</f>
        <v>0</v>
      </c>
      <c r="Q99" s="711">
        <f>Bilans_E_AMS_Kyoto_run3_MTE!V360</f>
        <v>0</v>
      </c>
      <c r="R99" s="711">
        <f>Bilans_E_AMS_Kyoto_run3_MTE!W360</f>
        <v>0</v>
      </c>
      <c r="S99" s="711">
        <f>Bilans_E_AMS_Kyoto_run3_MTE!X360</f>
        <v>0</v>
      </c>
      <c r="T99" s="711">
        <f>Bilans_E_AMS_Kyoto_run3_MTE!Y360</f>
        <v>0</v>
      </c>
      <c r="U99" s="711">
        <f>Bilans_E_AMS_Kyoto_run3_MTE!Z360</f>
        <v>3.2509767157974352</v>
      </c>
      <c r="V99" s="701"/>
      <c r="W99" s="701"/>
    </row>
    <row r="100" spans="1:23" x14ac:dyDescent="0.25">
      <c r="A100" s="701" t="s">
        <v>500</v>
      </c>
      <c r="B100" s="701"/>
      <c r="C100" s="717" t="s">
        <v>351</v>
      </c>
      <c r="D100" s="711">
        <f>Bilans_E_AMS_Kyoto_run3_MTE!H361</f>
        <v>0</v>
      </c>
      <c r="E100" s="711">
        <f>Bilans_E_AMS_Kyoto_run3_MTE!I361</f>
        <v>0</v>
      </c>
      <c r="F100" s="711">
        <f>Bilans_E_AMS_Kyoto_run3_MTE!J361</f>
        <v>0</v>
      </c>
      <c r="G100" s="711">
        <f>Bilans_E_AMS_Kyoto_run3_MTE!K361</f>
        <v>0</v>
      </c>
      <c r="H100" s="711">
        <f>Bilans_E_AMS_Kyoto_run3_MTE!L361</f>
        <v>0</v>
      </c>
      <c r="I100" s="711">
        <f>Bilans_E_AMS_Kyoto_run3_MTE!M361</f>
        <v>0</v>
      </c>
      <c r="J100" s="711">
        <f>Bilans_E_AMS_Kyoto_run3_MTE!N361</f>
        <v>0</v>
      </c>
      <c r="K100" s="711">
        <f>Bilans_E_AMS_Kyoto_run3_MTE!O361</f>
        <v>0</v>
      </c>
      <c r="L100" s="711">
        <f>Bilans_E_AMS_Kyoto_run3_MTE!P361</f>
        <v>83.277924958812179</v>
      </c>
      <c r="M100" s="711">
        <f>Bilans_E_AMS_Kyoto_run3_MTE!Q361</f>
        <v>7.2727272727272725</v>
      </c>
      <c r="N100" s="711">
        <f>Bilans_E_AMS_Kyoto_run3_MTE!R361</f>
        <v>-50.501152166962441</v>
      </c>
      <c r="O100" s="711">
        <f>Bilans_E_AMS_Kyoto_run3_MTE!S361</f>
        <v>0</v>
      </c>
      <c r="P100" s="711">
        <f>Bilans_E_AMS_Kyoto_run3_MTE!T361+Bilans_E_AMS_Kyoto_run3_MTE!U361</f>
        <v>0</v>
      </c>
      <c r="Q100" s="711">
        <f>Bilans_E_AMS_Kyoto_run3_MTE!V361</f>
        <v>0</v>
      </c>
      <c r="R100" s="711">
        <f>Bilans_E_AMS_Kyoto_run3_MTE!W361</f>
        <v>0</v>
      </c>
      <c r="S100" s="711">
        <f>Bilans_E_AMS_Kyoto_run3_MTE!X361</f>
        <v>0</v>
      </c>
      <c r="T100" s="711">
        <f>Bilans_E_AMS_Kyoto_run3_MTE!Y361</f>
        <v>0</v>
      </c>
      <c r="U100" s="711">
        <f>Bilans_E_AMS_Kyoto_run3_MTE!Z361</f>
        <v>40.049500064577003</v>
      </c>
      <c r="V100" s="701"/>
      <c r="W100" s="701"/>
    </row>
    <row r="101" spans="1:23" x14ac:dyDescent="0.25">
      <c r="A101" s="701" t="s">
        <v>501</v>
      </c>
      <c r="B101" s="701"/>
      <c r="C101" s="717" t="s">
        <v>352</v>
      </c>
      <c r="D101" s="711">
        <f>Bilans_E_AMS_Kyoto_run3_MTE!H362</f>
        <v>0</v>
      </c>
      <c r="E101" s="711">
        <f>Bilans_E_AMS_Kyoto_run3_MTE!I362</f>
        <v>0</v>
      </c>
      <c r="F101" s="711">
        <f>Bilans_E_AMS_Kyoto_run3_MTE!J362</f>
        <v>0</v>
      </c>
      <c r="G101" s="711">
        <f>Bilans_E_AMS_Kyoto_run3_MTE!K362</f>
        <v>-2.9087163505255127</v>
      </c>
      <c r="H101" s="711">
        <f>Bilans_E_AMS_Kyoto_run3_MTE!L362</f>
        <v>0</v>
      </c>
      <c r="I101" s="711">
        <f>Bilans_E_AMS_Kyoto_run3_MTE!M362</f>
        <v>0</v>
      </c>
      <c r="J101" s="711">
        <f>Bilans_E_AMS_Kyoto_run3_MTE!N362</f>
        <v>0</v>
      </c>
      <c r="K101" s="711">
        <f>Bilans_E_AMS_Kyoto_run3_MTE!O362</f>
        <v>0</v>
      </c>
      <c r="L101" s="711">
        <f>Bilans_E_AMS_Kyoto_run3_MTE!P362</f>
        <v>0</v>
      </c>
      <c r="M101" s="711">
        <f>Bilans_E_AMS_Kyoto_run3_MTE!Q362</f>
        <v>0</v>
      </c>
      <c r="N101" s="711">
        <f>Bilans_E_AMS_Kyoto_run3_MTE!R362</f>
        <v>0</v>
      </c>
      <c r="O101" s="711">
        <f>Bilans_E_AMS_Kyoto_run3_MTE!S362</f>
        <v>0</v>
      </c>
      <c r="P101" s="711">
        <f>Bilans_E_AMS_Kyoto_run3_MTE!T362+Bilans_E_AMS_Kyoto_run3_MTE!U362</f>
        <v>0</v>
      </c>
      <c r="Q101" s="711">
        <f>Bilans_E_AMS_Kyoto_run3_MTE!V362</f>
        <v>0</v>
      </c>
      <c r="R101" s="711">
        <f>Bilans_E_AMS_Kyoto_run3_MTE!W362</f>
        <v>0</v>
      </c>
      <c r="S101" s="711">
        <f>Bilans_E_AMS_Kyoto_run3_MTE!X362</f>
        <v>0</v>
      </c>
      <c r="T101" s="711">
        <f>Bilans_E_AMS_Kyoto_run3_MTE!Y362</f>
        <v>4.8495879855780641</v>
      </c>
      <c r="U101" s="711">
        <f>Bilans_E_AMS_Kyoto_run3_MTE!Z362</f>
        <v>1.9408716350525514</v>
      </c>
      <c r="V101" s="701"/>
      <c r="W101" s="701"/>
    </row>
    <row r="102" spans="1:23" x14ac:dyDescent="0.25">
      <c r="A102" s="701" t="s">
        <v>502</v>
      </c>
      <c r="B102" s="701"/>
      <c r="C102" s="717" t="s">
        <v>73</v>
      </c>
      <c r="D102" s="711">
        <f>Bilans_E_AMS_Kyoto_run3_MTE!H363</f>
        <v>0</v>
      </c>
      <c r="E102" s="711">
        <f>Bilans_E_AMS_Kyoto_run3_MTE!I363</f>
        <v>0</v>
      </c>
      <c r="F102" s="711">
        <f>Bilans_E_AMS_Kyoto_run3_MTE!J363</f>
        <v>0</v>
      </c>
      <c r="G102" s="711">
        <f>Bilans_E_AMS_Kyoto_run3_MTE!K363</f>
        <v>0</v>
      </c>
      <c r="H102" s="711">
        <f>Bilans_E_AMS_Kyoto_run3_MTE!L363</f>
        <v>0</v>
      </c>
      <c r="I102" s="711">
        <f>Bilans_E_AMS_Kyoto_run3_MTE!M363</f>
        <v>0</v>
      </c>
      <c r="J102" s="711">
        <f>Bilans_E_AMS_Kyoto_run3_MTE!N363</f>
        <v>0</v>
      </c>
      <c r="K102" s="711">
        <f>Bilans_E_AMS_Kyoto_run3_MTE!O363</f>
        <v>0</v>
      </c>
      <c r="L102" s="711">
        <f>Bilans_E_AMS_Kyoto_run3_MTE!P363</f>
        <v>0</v>
      </c>
      <c r="M102" s="711">
        <f>Bilans_E_AMS_Kyoto_run3_MTE!Q363</f>
        <v>0</v>
      </c>
      <c r="N102" s="711">
        <f>Bilans_E_AMS_Kyoto_run3_MTE!R363</f>
        <v>0</v>
      </c>
      <c r="O102" s="711">
        <f>Bilans_E_AMS_Kyoto_run3_MTE!S363</f>
        <v>0</v>
      </c>
      <c r="P102" s="711">
        <f>Bilans_E_AMS_Kyoto_run3_MTE!T363+Bilans_E_AMS_Kyoto_run3_MTE!U363</f>
        <v>0</v>
      </c>
      <c r="Q102" s="711">
        <f>Bilans_E_AMS_Kyoto_run3_MTE!V363</f>
        <v>0</v>
      </c>
      <c r="R102" s="711">
        <f>Bilans_E_AMS_Kyoto_run3_MTE!W363</f>
        <v>32.352563963788228</v>
      </c>
      <c r="S102" s="711">
        <f>Bilans_E_AMS_Kyoto_run3_MTE!X363</f>
        <v>0</v>
      </c>
      <c r="T102" s="711">
        <f>Bilans_E_AMS_Kyoto_run3_MTE!Y363</f>
        <v>-21.595336445828643</v>
      </c>
      <c r="U102" s="711">
        <f>Bilans_E_AMS_Kyoto_run3_MTE!Z363</f>
        <v>10.757227517959585</v>
      </c>
      <c r="V102" s="701"/>
      <c r="W102" s="701"/>
    </row>
    <row r="103" spans="1:23" x14ac:dyDescent="0.25">
      <c r="A103" s="701" t="s">
        <v>503</v>
      </c>
      <c r="B103" s="701"/>
      <c r="C103" s="717" t="s">
        <v>353</v>
      </c>
      <c r="D103" s="711">
        <f>Bilans_E_AMS_Kyoto_run3_MTE!H364</f>
        <v>9.0096813281249997</v>
      </c>
      <c r="E103" s="711">
        <f>Bilans_E_AMS_Kyoto_run3_MTE!I364</f>
        <v>-11.398239160930634</v>
      </c>
      <c r="F103" s="711">
        <f>Bilans_E_AMS_Kyoto_run3_MTE!J364</f>
        <v>15.062765425262727</v>
      </c>
      <c r="G103" s="711">
        <f>Bilans_E_AMS_Kyoto_run3_MTE!K364</f>
        <v>0</v>
      </c>
      <c r="H103" s="711">
        <f>Bilans_E_AMS_Kyoto_run3_MTE!L364</f>
        <v>0</v>
      </c>
      <c r="I103" s="711">
        <f>Bilans_E_AMS_Kyoto_run3_MTE!M364</f>
        <v>0</v>
      </c>
      <c r="J103" s="711">
        <f>Bilans_E_AMS_Kyoto_run3_MTE!N364</f>
        <v>0</v>
      </c>
      <c r="K103" s="711">
        <f>Bilans_E_AMS_Kyoto_run3_MTE!O364</f>
        <v>0</v>
      </c>
      <c r="L103" s="711">
        <f>Bilans_E_AMS_Kyoto_run3_MTE!P364</f>
        <v>0</v>
      </c>
      <c r="M103" s="711">
        <f>Bilans_E_AMS_Kyoto_run3_MTE!Q364</f>
        <v>0</v>
      </c>
      <c r="N103" s="711">
        <f>Bilans_E_AMS_Kyoto_run3_MTE!R364</f>
        <v>0</v>
      </c>
      <c r="O103" s="711">
        <f>Bilans_E_AMS_Kyoto_run3_MTE!S364</f>
        <v>0</v>
      </c>
      <c r="P103" s="711">
        <f>Bilans_E_AMS_Kyoto_run3_MTE!T364+Bilans_E_AMS_Kyoto_run3_MTE!U364</f>
        <v>0</v>
      </c>
      <c r="Q103" s="711">
        <f>Bilans_E_AMS_Kyoto_run3_MTE!V364</f>
        <v>0</v>
      </c>
      <c r="R103" s="711">
        <f>Bilans_E_AMS_Kyoto_run3_MTE!W364</f>
        <v>0</v>
      </c>
      <c r="S103" s="711">
        <f>Bilans_E_AMS_Kyoto_run3_MTE!X364</f>
        <v>0</v>
      </c>
      <c r="T103" s="711">
        <f>Bilans_E_AMS_Kyoto_run3_MTE!Y364</f>
        <v>0</v>
      </c>
      <c r="U103" s="711">
        <f>Bilans_E_AMS_Kyoto_run3_MTE!Z364</f>
        <v>12.674207592457092</v>
      </c>
      <c r="V103" s="701"/>
      <c r="W103" s="701"/>
    </row>
    <row r="104" spans="1:23" x14ac:dyDescent="0.25">
      <c r="A104" s="701" t="s">
        <v>504</v>
      </c>
      <c r="B104" s="701"/>
      <c r="C104" s="717" t="s">
        <v>75</v>
      </c>
      <c r="D104" s="711">
        <f>Bilans_E_AMS_Kyoto_run3_MTE!H365</f>
        <v>3.5037649609375006</v>
      </c>
      <c r="E104" s="711">
        <f>Bilans_E_AMS_Kyoto_run3_MTE!I365</f>
        <v>0</v>
      </c>
      <c r="F104" s="711">
        <f>Bilans_E_AMS_Kyoto_run3_MTE!J365</f>
        <v>11.25597354471723</v>
      </c>
      <c r="G104" s="711">
        <f>Bilans_E_AMS_Kyoto_run3_MTE!K365</f>
        <v>0</v>
      </c>
      <c r="H104" s="711">
        <f>Bilans_E_AMS_Kyoto_run3_MTE!L365</f>
        <v>0</v>
      </c>
      <c r="I104" s="711">
        <f>Bilans_E_AMS_Kyoto_run3_MTE!M365</f>
        <v>0</v>
      </c>
      <c r="J104" s="711">
        <f>Bilans_E_AMS_Kyoto_run3_MTE!N365</f>
        <v>0</v>
      </c>
      <c r="K104" s="711">
        <f>Bilans_E_AMS_Kyoto_run3_MTE!O365</f>
        <v>0</v>
      </c>
      <c r="L104" s="711">
        <f>Bilans_E_AMS_Kyoto_run3_MTE!P365</f>
        <v>0</v>
      </c>
      <c r="M104" s="711">
        <f>Bilans_E_AMS_Kyoto_run3_MTE!Q365</f>
        <v>0</v>
      </c>
      <c r="N104" s="711">
        <f>Bilans_E_AMS_Kyoto_run3_MTE!R365</f>
        <v>0</v>
      </c>
      <c r="O104" s="711">
        <f>Bilans_E_AMS_Kyoto_run3_MTE!S365</f>
        <v>0</v>
      </c>
      <c r="P104" s="711">
        <f>Bilans_E_AMS_Kyoto_run3_MTE!T365+Bilans_E_AMS_Kyoto_run3_MTE!U365</f>
        <v>0</v>
      </c>
      <c r="Q104" s="711">
        <f>Bilans_E_AMS_Kyoto_run3_MTE!V365</f>
        <v>0</v>
      </c>
      <c r="R104" s="711">
        <f>Bilans_E_AMS_Kyoto_run3_MTE!W365</f>
        <v>35.053658012222463</v>
      </c>
      <c r="S104" s="711">
        <f>Bilans_E_AMS_Kyoto_run3_MTE!X365</f>
        <v>0</v>
      </c>
      <c r="T104" s="711">
        <f>Bilans_E_AMS_Kyoto_run3_MTE!Y365</f>
        <v>3.1951837496115347</v>
      </c>
      <c r="U104" s="711">
        <f>Bilans_E_AMS_Kyoto_run3_MTE!Z365</f>
        <v>53.008580267488732</v>
      </c>
      <c r="V104" s="701"/>
      <c r="W104" s="701"/>
    </row>
    <row r="105" spans="1:23" x14ac:dyDescent="0.25">
      <c r="A105" s="701" t="s">
        <v>505</v>
      </c>
      <c r="B105" s="701"/>
      <c r="C105" s="717" t="s">
        <v>76</v>
      </c>
      <c r="D105" s="711">
        <f>Bilans_E_AMS_Kyoto_run3_MTE!H366</f>
        <v>0</v>
      </c>
      <c r="E105" s="711">
        <f>Bilans_E_AMS_Kyoto_run3_MTE!I366</f>
        <v>0</v>
      </c>
      <c r="F105" s="711">
        <f>Bilans_E_AMS_Kyoto_run3_MTE!J366</f>
        <v>0</v>
      </c>
      <c r="G105" s="711">
        <f>Bilans_E_AMS_Kyoto_run3_MTE!K366</f>
        <v>0</v>
      </c>
      <c r="H105" s="711">
        <f>Bilans_E_AMS_Kyoto_run3_MTE!L366</f>
        <v>2.3417362535553745</v>
      </c>
      <c r="I105" s="711">
        <f>Bilans_E_AMS_Kyoto_run3_MTE!M366</f>
        <v>0</v>
      </c>
      <c r="J105" s="711">
        <f>Bilans_E_AMS_Kyoto_run3_MTE!N366</f>
        <v>0</v>
      </c>
      <c r="K105" s="711">
        <f>Bilans_E_AMS_Kyoto_run3_MTE!O366</f>
        <v>0</v>
      </c>
      <c r="L105" s="711">
        <f>Bilans_E_AMS_Kyoto_run3_MTE!P366</f>
        <v>0</v>
      </c>
      <c r="M105" s="711">
        <f>Bilans_E_AMS_Kyoto_run3_MTE!Q366</f>
        <v>0</v>
      </c>
      <c r="N105" s="711">
        <f>Bilans_E_AMS_Kyoto_run3_MTE!R366</f>
        <v>0</v>
      </c>
      <c r="O105" s="711">
        <f>Bilans_E_AMS_Kyoto_run3_MTE!S366</f>
        <v>0.58543406338884363</v>
      </c>
      <c r="P105" s="711">
        <f>Bilans_E_AMS_Kyoto_run3_MTE!T366+Bilans_E_AMS_Kyoto_run3_MTE!U366</f>
        <v>0</v>
      </c>
      <c r="Q105" s="711">
        <f>Bilans_E_AMS_Kyoto_run3_MTE!V366</f>
        <v>0</v>
      </c>
      <c r="R105" s="711">
        <f>Bilans_E_AMS_Kyoto_run3_MTE!W366</f>
        <v>50.833401683684251</v>
      </c>
      <c r="S105" s="711">
        <f>Bilans_E_AMS_Kyoto_run3_MTE!X366</f>
        <v>7.00152240179274</v>
      </c>
      <c r="T105" s="711">
        <f>Bilans_E_AMS_Kyoto_run3_MTE!Y366</f>
        <v>0</v>
      </c>
      <c r="U105" s="711">
        <f>Bilans_E_AMS_Kyoto_run3_MTE!Z366</f>
        <v>60.762094402421212</v>
      </c>
      <c r="V105" s="701"/>
      <c r="W105" s="701"/>
    </row>
    <row r="106" spans="1:23" x14ac:dyDescent="0.25">
      <c r="A106" s="701" t="s">
        <v>506</v>
      </c>
      <c r="B106" s="701"/>
      <c r="C106" s="713" t="s">
        <v>77</v>
      </c>
      <c r="D106" s="714">
        <f>Bilans_E_AMS_Kyoto_run3_MTE!H367</f>
        <v>12.5134462890625</v>
      </c>
      <c r="E106" s="714">
        <f>Bilans_E_AMS_Kyoto_run3_MTE!I367</f>
        <v>313.69943241881072</v>
      </c>
      <c r="F106" s="714">
        <f>Bilans_E_AMS_Kyoto_run3_MTE!J367</f>
        <v>-294.72573860835513</v>
      </c>
      <c r="G106" s="714">
        <f>Bilans_E_AMS_Kyoto_run3_MTE!K367</f>
        <v>-2.9087163505255127</v>
      </c>
      <c r="H106" s="714">
        <f>Bilans_E_AMS_Kyoto_run3_MTE!L367</f>
        <v>49.730996964144317</v>
      </c>
      <c r="I106" s="714">
        <f>Bilans_E_AMS_Kyoto_run3_MTE!M367</f>
        <v>-0.61307452578826904</v>
      </c>
      <c r="J106" s="714">
        <f>Bilans_E_AMS_Kyoto_run3_MTE!N367</f>
        <v>1162.7439999999999</v>
      </c>
      <c r="K106" s="714">
        <f>Bilans_E_AMS_Kyoto_run3_MTE!O367</f>
        <v>299.59846132130883</v>
      </c>
      <c r="L106" s="714">
        <f>Bilans_E_AMS_Kyoto_run3_MTE!P367</f>
        <v>219.01005209086182</v>
      </c>
      <c r="M106" s="714">
        <f>Bilans_E_AMS_Kyoto_run3_MTE!Q367</f>
        <v>41.847694799608462</v>
      </c>
      <c r="N106" s="714">
        <f>Bilans_E_AMS_Kyoto_run3_MTE!R367</f>
        <v>-45.472018436609886</v>
      </c>
      <c r="O106" s="714">
        <f>Bilans_E_AMS_Kyoto_run3_MTE!S367</f>
        <v>-37.277974287660989</v>
      </c>
      <c r="P106" s="714">
        <f>Bilans_E_AMS_Kyoto_run3_MTE!T367+Bilans_E_AMS_Kyoto_run3_MTE!U367</f>
        <v>14.160487242314748</v>
      </c>
      <c r="Q106" s="714">
        <f>Bilans_E_AMS_Kyoto_run3_MTE!V367</f>
        <v>16.984242391982921</v>
      </c>
      <c r="R106" s="714">
        <f>Bilans_E_AMS_Kyoto_run3_MTE!W367</f>
        <v>-599.13585594667347</v>
      </c>
      <c r="S106" s="714">
        <f>Bilans_E_AMS_Kyoto_run3_MTE!X367</f>
        <v>-83.293630562308678</v>
      </c>
      <c r="T106" s="714">
        <f>Bilans_E_AMS_Kyoto_run3_MTE!Y367</f>
        <v>-12.699072313710893</v>
      </c>
      <c r="U106" s="714">
        <f>Bilans_E_AMS_Kyoto_run3_MTE!Z367</f>
        <v>1054.1627324864614</v>
      </c>
      <c r="V106" s="701"/>
      <c r="W106" s="701"/>
    </row>
    <row r="107" spans="1:23" x14ac:dyDescent="0.25">
      <c r="A107" s="701"/>
      <c r="B107" s="701"/>
      <c r="C107" s="715"/>
      <c r="D107" s="716"/>
      <c r="E107" s="716"/>
      <c r="F107" s="716"/>
      <c r="G107" s="716"/>
      <c r="H107" s="716"/>
      <c r="I107" s="716"/>
      <c r="J107" s="716"/>
      <c r="K107" s="716"/>
      <c r="L107" s="716"/>
      <c r="M107" s="716"/>
      <c r="N107" s="716"/>
      <c r="O107" s="716"/>
      <c r="P107" s="716">
        <f>Bilans_E_AMS_Kyoto_run3_MTE!T368+Bilans_E_AMS_Kyoto_run3_MTE!U368</f>
        <v>0</v>
      </c>
      <c r="Q107" s="716"/>
      <c r="R107" s="716"/>
      <c r="S107" s="716"/>
      <c r="T107" s="716"/>
      <c r="U107" s="716"/>
      <c r="V107" s="701"/>
      <c r="W107" s="701"/>
    </row>
    <row r="108" spans="1:23" x14ac:dyDescent="0.25">
      <c r="A108" s="701" t="s">
        <v>507</v>
      </c>
      <c r="B108" s="701"/>
      <c r="C108" s="717" t="s">
        <v>78</v>
      </c>
      <c r="D108" s="711">
        <f>Bilans_E_AMS_Kyoto_run3_MTE!H369</f>
        <v>0.59552978515624999</v>
      </c>
      <c r="E108" s="711">
        <f>Bilans_E_AMS_Kyoto_run3_MTE!I369</f>
        <v>0</v>
      </c>
      <c r="F108" s="711">
        <f>Bilans_E_AMS_Kyoto_run3_MTE!J369</f>
        <v>6.9248578185022795</v>
      </c>
      <c r="G108" s="711">
        <f>Bilans_E_AMS_Kyoto_run3_MTE!K369</f>
        <v>0</v>
      </c>
      <c r="H108" s="711">
        <f>Bilans_E_AMS_Kyoto_run3_MTE!L369</f>
        <v>56.056015641570937</v>
      </c>
      <c r="I108" s="711">
        <f>Bilans_E_AMS_Kyoto_run3_MTE!M369</f>
        <v>0</v>
      </c>
      <c r="J108" s="711">
        <f>Bilans_E_AMS_Kyoto_run3_MTE!N369</f>
        <v>0</v>
      </c>
      <c r="K108" s="711">
        <f>Bilans_E_AMS_Kyoto_run3_MTE!O369</f>
        <v>0</v>
      </c>
      <c r="L108" s="711">
        <f>Bilans_E_AMS_Kyoto_run3_MTE!P369</f>
        <v>38.482812658254467</v>
      </c>
      <c r="M108" s="711">
        <f>Bilans_E_AMS_Kyoto_run3_MTE!Q369</f>
        <v>9.5007953936584837</v>
      </c>
      <c r="N108" s="711">
        <f>Bilans_E_AMS_Kyoto_run3_MTE!R369</f>
        <v>0.86864625843500676</v>
      </c>
      <c r="O108" s="711">
        <f>Bilans_E_AMS_Kyoto_run3_MTE!S369</f>
        <v>14.047969700298927</v>
      </c>
      <c r="P108" s="711">
        <f>Bilans_E_AMS_Kyoto_run3_MTE!T369+Bilans_E_AMS_Kyoto_run3_MTE!U369</f>
        <v>7.96939501953125</v>
      </c>
      <c r="Q108" s="711">
        <f>Bilans_E_AMS_Kyoto_run3_MTE!V369</f>
        <v>6.9244826847420892E-4</v>
      </c>
      <c r="R108" s="711">
        <f>Bilans_E_AMS_Kyoto_run3_MTE!W369</f>
        <v>153.63376409766943</v>
      </c>
      <c r="S108" s="711">
        <f>Bilans_E_AMS_Kyoto_run3_MTE!X369</f>
        <v>19.531581585374159</v>
      </c>
      <c r="T108" s="711">
        <f>Bilans_E_AMS_Kyoto_run3_MTE!Y369</f>
        <v>7.0234057617187498</v>
      </c>
      <c r="U108" s="711">
        <f>Bilans_E_AMS_Kyoto_run3_MTE!Z369</f>
        <v>314.63546616843843</v>
      </c>
      <c r="V108" s="701"/>
      <c r="W108" s="701"/>
    </row>
    <row r="109" spans="1:23" x14ac:dyDescent="0.25">
      <c r="A109" s="701" t="s">
        <v>508</v>
      </c>
      <c r="B109" s="701"/>
      <c r="C109" s="717" t="s">
        <v>79</v>
      </c>
      <c r="D109" s="711">
        <f>Bilans_E_AMS_Kyoto_run3_MTE!H370</f>
        <v>0</v>
      </c>
      <c r="E109" s="711">
        <f>Bilans_E_AMS_Kyoto_run3_MTE!I370</f>
        <v>0</v>
      </c>
      <c r="F109" s="711">
        <f>Bilans_E_AMS_Kyoto_run3_MTE!J370</f>
        <v>211.71015331690265</v>
      </c>
      <c r="G109" s="711">
        <f>Bilans_E_AMS_Kyoto_run3_MTE!K370</f>
        <v>0</v>
      </c>
      <c r="H109" s="711">
        <f>Bilans_E_AMS_Kyoto_run3_MTE!L370</f>
        <v>6.084888759318634</v>
      </c>
      <c r="I109" s="711">
        <f>Bilans_E_AMS_Kyoto_run3_MTE!M370</f>
        <v>0</v>
      </c>
      <c r="J109" s="711">
        <f>Bilans_E_AMS_Kyoto_run3_MTE!N370</f>
        <v>0</v>
      </c>
      <c r="K109" s="711">
        <f>Bilans_E_AMS_Kyoto_run3_MTE!O370</f>
        <v>0</v>
      </c>
      <c r="L109" s="711">
        <f>Bilans_E_AMS_Kyoto_run3_MTE!P370</f>
        <v>0</v>
      </c>
      <c r="M109" s="711">
        <f>Bilans_E_AMS_Kyoto_run3_MTE!Q370</f>
        <v>0</v>
      </c>
      <c r="N109" s="711">
        <f>Bilans_E_AMS_Kyoto_run3_MTE!R370</f>
        <v>41.017765544975838</v>
      </c>
      <c r="O109" s="711">
        <f>Bilans_E_AMS_Kyoto_run3_MTE!S370</f>
        <v>1.5212221898296585</v>
      </c>
      <c r="P109" s="711">
        <f>Bilans_E_AMS_Kyoto_run3_MTE!T370+Bilans_E_AMS_Kyoto_run3_MTE!U370</f>
        <v>0</v>
      </c>
      <c r="Q109" s="711">
        <f>Bilans_E_AMS_Kyoto_run3_MTE!V370</f>
        <v>0</v>
      </c>
      <c r="R109" s="711">
        <f>Bilans_E_AMS_Kyoto_run3_MTE!W370</f>
        <v>64.85163743776981</v>
      </c>
      <c r="S109" s="711">
        <f>Bilans_E_AMS_Kyoto_run3_MTE!X370</f>
        <v>0</v>
      </c>
      <c r="T109" s="711">
        <f>Bilans_E_AMS_Kyoto_run3_MTE!Y370</f>
        <v>2.5022787980989989</v>
      </c>
      <c r="U109" s="711">
        <f>Bilans_E_AMS_Kyoto_run3_MTE!Z370</f>
        <v>327.68794604689555</v>
      </c>
      <c r="V109" s="701"/>
      <c r="W109" s="701"/>
    </row>
    <row r="110" spans="1:23" x14ac:dyDescent="0.25">
      <c r="A110" s="701" t="s">
        <v>509</v>
      </c>
      <c r="B110" s="701"/>
      <c r="C110" s="717" t="s">
        <v>80</v>
      </c>
      <c r="D110" s="711">
        <f>Bilans_E_AMS_Kyoto_run3_MTE!H371</f>
        <v>0</v>
      </c>
      <c r="E110" s="711">
        <f>Bilans_E_AMS_Kyoto_run3_MTE!I371</f>
        <v>0</v>
      </c>
      <c r="F110" s="711">
        <f>Bilans_E_AMS_Kyoto_run3_MTE!J371</f>
        <v>1.1922779453513948</v>
      </c>
      <c r="G110" s="711">
        <f>Bilans_E_AMS_Kyoto_run3_MTE!K371</f>
        <v>0</v>
      </c>
      <c r="H110" s="711">
        <f>Bilans_E_AMS_Kyoto_run3_MTE!L371</f>
        <v>49.984411570621333</v>
      </c>
      <c r="I110" s="711">
        <f>Bilans_E_AMS_Kyoto_run3_MTE!M371</f>
        <v>0</v>
      </c>
      <c r="J110" s="711">
        <f>Bilans_E_AMS_Kyoto_run3_MTE!N371</f>
        <v>0</v>
      </c>
      <c r="K110" s="711">
        <f>Bilans_E_AMS_Kyoto_run3_MTE!O371</f>
        <v>0</v>
      </c>
      <c r="L110" s="711">
        <f>Bilans_E_AMS_Kyoto_run3_MTE!P371</f>
        <v>51.327953484818188</v>
      </c>
      <c r="M110" s="711">
        <f>Bilans_E_AMS_Kyoto_run3_MTE!Q371</f>
        <v>0</v>
      </c>
      <c r="N110" s="711">
        <f>Bilans_E_AMS_Kyoto_run3_MTE!R371</f>
        <v>0</v>
      </c>
      <c r="O110" s="711">
        <f>Bilans_E_AMS_Kyoto_run3_MTE!S371</f>
        <v>12.496102892655333</v>
      </c>
      <c r="P110" s="711">
        <f>Bilans_E_AMS_Kyoto_run3_MTE!T371+Bilans_E_AMS_Kyoto_run3_MTE!U371</f>
        <v>106.12788282579821</v>
      </c>
      <c r="Q110" s="711">
        <f>Bilans_E_AMS_Kyoto_run3_MTE!V371</f>
        <v>8.4399601726258009</v>
      </c>
      <c r="R110" s="711">
        <f>Bilans_E_AMS_Kyoto_run3_MTE!W371</f>
        <v>154.71508066801636</v>
      </c>
      <c r="S110" s="711">
        <f>Bilans_E_AMS_Kyoto_run3_MTE!X371</f>
        <v>40.414130897924252</v>
      </c>
      <c r="T110" s="711">
        <f>Bilans_E_AMS_Kyoto_run3_MTE!Y371</f>
        <v>0</v>
      </c>
      <c r="U110" s="711">
        <f>Bilans_E_AMS_Kyoto_run3_MTE!Z371</f>
        <v>424.69780045781079</v>
      </c>
      <c r="V110" s="701"/>
      <c r="W110" s="701"/>
    </row>
    <row r="111" spans="1:23" x14ac:dyDescent="0.25">
      <c r="A111" s="701" t="s">
        <v>510</v>
      </c>
      <c r="B111" s="701"/>
      <c r="C111" s="717" t="s">
        <v>81</v>
      </c>
      <c r="D111" s="711">
        <f>Bilans_E_AMS_Kyoto_run3_MTE!H372</f>
        <v>0</v>
      </c>
      <c r="E111" s="711">
        <f>Bilans_E_AMS_Kyoto_run3_MTE!I372</f>
        <v>0</v>
      </c>
      <c r="F111" s="711">
        <f>Bilans_E_AMS_Kyoto_run3_MTE!J372</f>
        <v>2.1695259016738468</v>
      </c>
      <c r="G111" s="711">
        <f>Bilans_E_AMS_Kyoto_run3_MTE!K372</f>
        <v>0</v>
      </c>
      <c r="H111" s="711">
        <f>Bilans_E_AMS_Kyoto_run3_MTE!L372</f>
        <v>31.961692890831412</v>
      </c>
      <c r="I111" s="711">
        <f>Bilans_E_AMS_Kyoto_run3_MTE!M372</f>
        <v>0</v>
      </c>
      <c r="J111" s="711">
        <f>Bilans_E_AMS_Kyoto_run3_MTE!N372</f>
        <v>0</v>
      </c>
      <c r="K111" s="711">
        <f>Bilans_E_AMS_Kyoto_run3_MTE!O372</f>
        <v>0</v>
      </c>
      <c r="L111" s="711">
        <f>Bilans_E_AMS_Kyoto_run3_MTE!P372</f>
        <v>0.59825096685183632</v>
      </c>
      <c r="M111" s="711">
        <f>Bilans_E_AMS_Kyoto_run3_MTE!Q372</f>
        <v>0</v>
      </c>
      <c r="N111" s="711">
        <f>Bilans_E_AMS_Kyoto_run3_MTE!R372</f>
        <v>0</v>
      </c>
      <c r="O111" s="711">
        <f>Bilans_E_AMS_Kyoto_run3_MTE!S372</f>
        <v>7.9904232227078529</v>
      </c>
      <c r="P111" s="711">
        <f>Bilans_E_AMS_Kyoto_run3_MTE!T372+Bilans_E_AMS_Kyoto_run3_MTE!U372</f>
        <v>42.388089169065466</v>
      </c>
      <c r="Q111" s="711">
        <f>Bilans_E_AMS_Kyoto_run3_MTE!V372</f>
        <v>7.9118943755575595</v>
      </c>
      <c r="R111" s="711">
        <f>Bilans_E_AMS_Kyoto_run3_MTE!W372</f>
        <v>121.82988531988985</v>
      </c>
      <c r="S111" s="711">
        <f>Bilans_E_AMS_Kyoto_run3_MTE!X372</f>
        <v>23.34788734439358</v>
      </c>
      <c r="T111" s="711">
        <f>Bilans_E_AMS_Kyoto_run3_MTE!Y372</f>
        <v>0</v>
      </c>
      <c r="U111" s="711">
        <f>Bilans_E_AMS_Kyoto_run3_MTE!Z372</f>
        <v>238.19764919097142</v>
      </c>
      <c r="V111" s="701"/>
      <c r="W111" s="701"/>
    </row>
    <row r="112" spans="1:23" x14ac:dyDescent="0.25">
      <c r="A112" s="701" t="s">
        <v>511</v>
      </c>
      <c r="B112" s="701"/>
      <c r="C112" s="717" t="s">
        <v>82</v>
      </c>
      <c r="D112" s="711">
        <f>Bilans_E_AMS_Kyoto_run3_MTE!H373</f>
        <v>0</v>
      </c>
      <c r="E112" s="711">
        <f>Bilans_E_AMS_Kyoto_run3_MTE!I373</f>
        <v>0</v>
      </c>
      <c r="F112" s="711">
        <f>Bilans_E_AMS_Kyoto_run3_MTE!J373</f>
        <v>22.236615834161011</v>
      </c>
      <c r="G112" s="711">
        <f>Bilans_E_AMS_Kyoto_run3_MTE!K373</f>
        <v>0</v>
      </c>
      <c r="H112" s="711">
        <f>Bilans_E_AMS_Kyoto_run3_MTE!L373</f>
        <v>1.1928287245433082</v>
      </c>
      <c r="I112" s="711">
        <f>Bilans_E_AMS_Kyoto_run3_MTE!M373</f>
        <v>0</v>
      </c>
      <c r="J112" s="711">
        <f>Bilans_E_AMS_Kyoto_run3_MTE!N373</f>
        <v>0</v>
      </c>
      <c r="K112" s="711">
        <f>Bilans_E_AMS_Kyoto_run3_MTE!O373</f>
        <v>0</v>
      </c>
      <c r="L112" s="711">
        <f>Bilans_E_AMS_Kyoto_run3_MTE!P373</f>
        <v>13.268691220387016</v>
      </c>
      <c r="M112" s="711">
        <f>Bilans_E_AMS_Kyoto_run3_MTE!Q373</f>
        <v>0</v>
      </c>
      <c r="N112" s="711">
        <f>Bilans_E_AMS_Kyoto_run3_MTE!R373</f>
        <v>5.5416929804733215</v>
      </c>
      <c r="O112" s="711">
        <f>Bilans_E_AMS_Kyoto_run3_MTE!S373</f>
        <v>0.29820718113582706</v>
      </c>
      <c r="P112" s="711">
        <f>Bilans_E_AMS_Kyoto_run3_MTE!T373+Bilans_E_AMS_Kyoto_run3_MTE!U373</f>
        <v>0.75</v>
      </c>
      <c r="Q112" s="711">
        <f>Bilans_E_AMS_Kyoto_run3_MTE!V373</f>
        <v>0.96290247555165809</v>
      </c>
      <c r="R112" s="711">
        <f>Bilans_E_AMS_Kyoto_run3_MTE!W373</f>
        <v>8.6394549115432451</v>
      </c>
      <c r="S112" s="711">
        <f>Bilans_E_AMS_Kyoto_run3_MTE!X373</f>
        <v>0</v>
      </c>
      <c r="T112" s="711">
        <f>Bilans_E_AMS_Kyoto_run3_MTE!Y373</f>
        <v>0.30661417718369394</v>
      </c>
      <c r="U112" s="711">
        <f>Bilans_E_AMS_Kyoto_run3_MTE!Z373</f>
        <v>53.197007504979084</v>
      </c>
      <c r="V112" s="701"/>
      <c r="W112" s="701"/>
    </row>
    <row r="113" spans="1:23" x14ac:dyDescent="0.25">
      <c r="A113" s="701" t="s">
        <v>512</v>
      </c>
      <c r="B113" s="701"/>
      <c r="C113" s="717" t="s">
        <v>354</v>
      </c>
      <c r="D113" s="711">
        <f>Bilans_E_AMS_Kyoto_run3_MTE!H374</f>
        <v>0</v>
      </c>
      <c r="E113" s="711">
        <f>Bilans_E_AMS_Kyoto_run3_MTE!I374</f>
        <v>0</v>
      </c>
      <c r="F113" s="711">
        <f>Bilans_E_AMS_Kyoto_run3_MTE!J374</f>
        <v>0</v>
      </c>
      <c r="G113" s="711">
        <f>Bilans_E_AMS_Kyoto_run3_MTE!K374</f>
        <v>0</v>
      </c>
      <c r="H113" s="711">
        <f>Bilans_E_AMS_Kyoto_run3_MTE!L374</f>
        <v>0</v>
      </c>
      <c r="I113" s="711">
        <f>Bilans_E_AMS_Kyoto_run3_MTE!M374</f>
        <v>0</v>
      </c>
      <c r="J113" s="711">
        <f>Bilans_E_AMS_Kyoto_run3_MTE!N374</f>
        <v>0</v>
      </c>
      <c r="K113" s="711">
        <f>Bilans_E_AMS_Kyoto_run3_MTE!O374</f>
        <v>0</v>
      </c>
      <c r="L113" s="711">
        <f>Bilans_E_AMS_Kyoto_run3_MTE!P374</f>
        <v>0</v>
      </c>
      <c r="M113" s="711">
        <f>Bilans_E_AMS_Kyoto_run3_MTE!Q374</f>
        <v>0</v>
      </c>
      <c r="N113" s="711">
        <f>Bilans_E_AMS_Kyoto_run3_MTE!R374</f>
        <v>0</v>
      </c>
      <c r="O113" s="711">
        <f>Bilans_E_AMS_Kyoto_run3_MTE!S374</f>
        <v>0</v>
      </c>
      <c r="P113" s="711">
        <f>Bilans_E_AMS_Kyoto_run3_MTE!T374+Bilans_E_AMS_Kyoto_run3_MTE!U374</f>
        <v>0</v>
      </c>
      <c r="Q113" s="711">
        <f>Bilans_E_AMS_Kyoto_run3_MTE!V374</f>
        <v>0</v>
      </c>
      <c r="R113" s="711">
        <f>Bilans_E_AMS_Kyoto_run3_MTE!W374</f>
        <v>0</v>
      </c>
      <c r="S113" s="711">
        <f>Bilans_E_AMS_Kyoto_run3_MTE!X374</f>
        <v>0</v>
      </c>
      <c r="T113" s="711">
        <f>Bilans_E_AMS_Kyoto_run3_MTE!Y374</f>
        <v>0</v>
      </c>
      <c r="U113" s="711">
        <f>Bilans_E_AMS_Kyoto_run3_MTE!Z374</f>
        <v>0</v>
      </c>
      <c r="V113" s="701"/>
      <c r="W113" s="701"/>
    </row>
    <row r="114" spans="1:23" x14ac:dyDescent="0.25">
      <c r="A114" s="701" t="s">
        <v>513</v>
      </c>
      <c r="B114" s="701"/>
      <c r="C114" s="713" t="s">
        <v>83</v>
      </c>
      <c r="D114" s="714">
        <f>Bilans_E_AMS_Kyoto_run3_MTE!H375</f>
        <v>0.59552978515624999</v>
      </c>
      <c r="E114" s="714">
        <f>Bilans_E_AMS_Kyoto_run3_MTE!I375</f>
        <v>0</v>
      </c>
      <c r="F114" s="714">
        <f>Bilans_E_AMS_Kyoto_run3_MTE!J375</f>
        <v>244.23343081659118</v>
      </c>
      <c r="G114" s="714">
        <f>Bilans_E_AMS_Kyoto_run3_MTE!K375</f>
        <v>0</v>
      </c>
      <c r="H114" s="714">
        <f>Bilans_E_AMS_Kyoto_run3_MTE!L375</f>
        <v>145.27983758688563</v>
      </c>
      <c r="I114" s="714">
        <f>Bilans_E_AMS_Kyoto_run3_MTE!M375</f>
        <v>0</v>
      </c>
      <c r="J114" s="714">
        <f>Bilans_E_AMS_Kyoto_run3_MTE!N375</f>
        <v>0</v>
      </c>
      <c r="K114" s="714">
        <f>Bilans_E_AMS_Kyoto_run3_MTE!O375</f>
        <v>0</v>
      </c>
      <c r="L114" s="714">
        <f>Bilans_E_AMS_Kyoto_run3_MTE!P375</f>
        <v>103.6777083303115</v>
      </c>
      <c r="M114" s="714">
        <f>Bilans_E_AMS_Kyoto_run3_MTE!Q375</f>
        <v>9.5007953936584837</v>
      </c>
      <c r="N114" s="714">
        <f>Bilans_E_AMS_Kyoto_run3_MTE!R375</f>
        <v>47.428104783884166</v>
      </c>
      <c r="O114" s="714">
        <f>Bilans_E_AMS_Kyoto_run3_MTE!S375</f>
        <v>36.353925186627599</v>
      </c>
      <c r="P114" s="714">
        <f>Bilans_E_AMS_Kyoto_run3_MTE!T375+Bilans_E_AMS_Kyoto_run3_MTE!U375</f>
        <v>157.23536701439491</v>
      </c>
      <c r="Q114" s="714">
        <f>Bilans_E_AMS_Kyoto_run3_MTE!V375</f>
        <v>17.315449472003493</v>
      </c>
      <c r="R114" s="714">
        <f>Bilans_E_AMS_Kyoto_run3_MTE!W375</f>
        <v>503.66982243488866</v>
      </c>
      <c r="S114" s="714">
        <f>Bilans_E_AMS_Kyoto_run3_MTE!X375</f>
        <v>83.293599827691992</v>
      </c>
      <c r="T114" s="714">
        <f>Bilans_E_AMS_Kyoto_run3_MTE!Y375</f>
        <v>9.832298737001441</v>
      </c>
      <c r="U114" s="714">
        <f>Bilans_E_AMS_Kyoto_run3_MTE!Z375</f>
        <v>1358.4158693690954</v>
      </c>
      <c r="V114" s="701"/>
      <c r="W114" s="701"/>
    </row>
    <row r="115" spans="1:23" x14ac:dyDescent="0.25">
      <c r="A115" s="701" t="s">
        <v>514</v>
      </c>
      <c r="B115" s="701"/>
      <c r="C115" s="710" t="s">
        <v>84</v>
      </c>
      <c r="D115" s="711">
        <f>Bilans_E_AMS_Kyoto_run3_MTE!H376</f>
        <v>0</v>
      </c>
      <c r="E115" s="711">
        <f>Bilans_E_AMS_Kyoto_run3_MTE!I376</f>
        <v>0</v>
      </c>
      <c r="F115" s="711">
        <f>Bilans_E_AMS_Kyoto_run3_MTE!J376</f>
        <v>108.38831705718137</v>
      </c>
      <c r="G115" s="711">
        <f>Bilans_E_AMS_Kyoto_run3_MTE!K376</f>
        <v>1.2939885995123082</v>
      </c>
      <c r="H115" s="711">
        <f>Bilans_E_AMS_Kyoto_run3_MTE!L376</f>
        <v>12.973217825865042</v>
      </c>
      <c r="I115" s="711">
        <f>Bilans_E_AMS_Kyoto_run3_MTE!M376</f>
        <v>0</v>
      </c>
      <c r="J115" s="711">
        <f>Bilans_E_AMS_Kyoto_run3_MTE!N376</f>
        <v>0</v>
      </c>
      <c r="K115" s="711">
        <f>Bilans_E_AMS_Kyoto_run3_MTE!O376</f>
        <v>0</v>
      </c>
      <c r="L115" s="711">
        <f>Bilans_E_AMS_Kyoto_run3_MTE!P376</f>
        <v>0.29168113881125463</v>
      </c>
      <c r="M115" s="711">
        <f>Bilans_E_AMS_Kyoto_run3_MTE!Q376</f>
        <v>0</v>
      </c>
      <c r="N115" s="711">
        <f>Bilans_E_AMS_Kyoto_run3_MTE!R376</f>
        <v>2.0844051344814138</v>
      </c>
      <c r="O115" s="711">
        <f>Bilans_E_AMS_Kyoto_run3_MTE!S376</f>
        <v>0</v>
      </c>
      <c r="P115" s="711">
        <f>Bilans_E_AMS_Kyoto_run3_MTE!T376+Bilans_E_AMS_Kyoto_run3_MTE!U376</f>
        <v>0</v>
      </c>
      <c r="Q115" s="711">
        <f>Bilans_E_AMS_Kyoto_run3_MTE!V376</f>
        <v>0</v>
      </c>
      <c r="R115" s="711">
        <f>Bilans_E_AMS_Kyoto_run3_MTE!W376</f>
        <v>0</v>
      </c>
      <c r="S115" s="711">
        <f>Bilans_E_AMS_Kyoto_run3_MTE!X376</f>
        <v>0</v>
      </c>
      <c r="T115" s="711">
        <f>Bilans_E_AMS_Kyoto_run3_MTE!Y376</f>
        <v>1.487132000092672</v>
      </c>
      <c r="U115" s="711">
        <f>Bilans_E_AMS_Kyoto_run3_MTE!Z376</f>
        <v>126.51874175594406</v>
      </c>
      <c r="V115" s="701"/>
      <c r="W115" s="701"/>
    </row>
    <row r="116" spans="1:23" x14ac:dyDescent="0.25">
      <c r="A116" s="701" t="s">
        <v>515</v>
      </c>
      <c r="B116" s="701"/>
      <c r="C116" s="713" t="s">
        <v>85</v>
      </c>
      <c r="D116" s="714">
        <f>Bilans_E_AMS_Kyoto_run3_MTE!H377</f>
        <v>0.59552978515624999</v>
      </c>
      <c r="E116" s="714">
        <f>Bilans_E_AMS_Kyoto_run3_MTE!I377</f>
        <v>0</v>
      </c>
      <c r="F116" s="714">
        <f>Bilans_E_AMS_Kyoto_run3_MTE!J377</f>
        <v>352.62174787377256</v>
      </c>
      <c r="G116" s="714">
        <f>Bilans_E_AMS_Kyoto_run3_MTE!K377</f>
        <v>1.2939885995123082</v>
      </c>
      <c r="H116" s="714">
        <f>Bilans_E_AMS_Kyoto_run3_MTE!L377</f>
        <v>158.25305541275068</v>
      </c>
      <c r="I116" s="714">
        <f>Bilans_E_AMS_Kyoto_run3_MTE!M377</f>
        <v>0</v>
      </c>
      <c r="J116" s="714">
        <f>Bilans_E_AMS_Kyoto_run3_MTE!N377</f>
        <v>0</v>
      </c>
      <c r="K116" s="714">
        <f>Bilans_E_AMS_Kyoto_run3_MTE!O377</f>
        <v>0</v>
      </c>
      <c r="L116" s="714">
        <f>Bilans_E_AMS_Kyoto_run3_MTE!P377</f>
        <v>103.96938946912276</v>
      </c>
      <c r="M116" s="714">
        <f>Bilans_E_AMS_Kyoto_run3_MTE!Q377</f>
        <v>9.5007953936584837</v>
      </c>
      <c r="N116" s="714">
        <f>Bilans_E_AMS_Kyoto_run3_MTE!R377</f>
        <v>49.512509918365581</v>
      </c>
      <c r="O116" s="714">
        <f>Bilans_E_AMS_Kyoto_run3_MTE!S377</f>
        <v>36.353925186627599</v>
      </c>
      <c r="P116" s="714">
        <f>Bilans_E_AMS_Kyoto_run3_MTE!T377+Bilans_E_AMS_Kyoto_run3_MTE!U377</f>
        <v>157.23536701439491</v>
      </c>
      <c r="Q116" s="714">
        <f>Bilans_E_AMS_Kyoto_run3_MTE!V377</f>
        <v>17.315449472003493</v>
      </c>
      <c r="R116" s="714">
        <f>Bilans_E_AMS_Kyoto_run3_MTE!W377</f>
        <v>503.66982243488866</v>
      </c>
      <c r="S116" s="714">
        <f>Bilans_E_AMS_Kyoto_run3_MTE!X377</f>
        <v>83.293599827691992</v>
      </c>
      <c r="T116" s="714">
        <f>Bilans_E_AMS_Kyoto_run3_MTE!Y377</f>
        <v>11.319430737094113</v>
      </c>
      <c r="U116" s="714">
        <f>Bilans_E_AMS_Kyoto_run3_MTE!Z377</f>
        <v>1484.9346111250395</v>
      </c>
      <c r="V116" s="701"/>
      <c r="W116" s="701"/>
    </row>
    <row r="117" spans="1:23" x14ac:dyDescent="0.25">
      <c r="A117" s="701"/>
      <c r="B117" s="701"/>
      <c r="C117" s="701"/>
      <c r="D117" s="701">
        <f>Bilans_E_AMS_Kyoto_run3_MTE!H378</f>
        <v>0</v>
      </c>
      <c r="E117" s="701">
        <f>Bilans_E_AMS_Kyoto_run3_MTE!I378</f>
        <v>0</v>
      </c>
      <c r="F117" s="701">
        <f>Bilans_E_AMS_Kyoto_run3_MTE!J378</f>
        <v>0</v>
      </c>
      <c r="G117" s="701">
        <f>Bilans_E_AMS_Kyoto_run3_MTE!K378</f>
        <v>0</v>
      </c>
      <c r="H117" s="701">
        <f>Bilans_E_AMS_Kyoto_run3_MTE!L378</f>
        <v>0</v>
      </c>
      <c r="I117" s="701">
        <f>Bilans_E_AMS_Kyoto_run3_MTE!M378</f>
        <v>0</v>
      </c>
      <c r="J117" s="701">
        <f>Bilans_E_AMS_Kyoto_run3_MTE!N378</f>
        <v>0</v>
      </c>
      <c r="K117" s="701">
        <f>Bilans_E_AMS_Kyoto_run3_MTE!O378</f>
        <v>0</v>
      </c>
      <c r="L117" s="701">
        <f>Bilans_E_AMS_Kyoto_run3_MTE!P378</f>
        <v>0</v>
      </c>
      <c r="M117" s="701">
        <f>Bilans_E_AMS_Kyoto_run3_MTE!Q378</f>
        <v>0</v>
      </c>
      <c r="N117" s="701">
        <f>Bilans_E_AMS_Kyoto_run3_MTE!R378</f>
        <v>0</v>
      </c>
      <c r="O117" s="701">
        <f>Bilans_E_AMS_Kyoto_run3_MTE!S378</f>
        <v>9.1038288019262836E-15</v>
      </c>
      <c r="P117" s="701">
        <f>Bilans_E_AMS_Kyoto_run3_MTE!T378+Bilans_E_AMS_Kyoto_run3_MTE!U378</f>
        <v>0</v>
      </c>
      <c r="Q117" s="701">
        <f>Bilans_E_AMS_Kyoto_run3_MTE!V378</f>
        <v>0</v>
      </c>
      <c r="R117" s="701">
        <f>Bilans_E_AMS_Kyoto_run3_MTE!W378</f>
        <v>0</v>
      </c>
      <c r="S117" s="701">
        <f>Bilans_E_AMS_Kyoto_run3_MTE!X378</f>
        <v>-3.0734616686345362E-5</v>
      </c>
      <c r="T117" s="701">
        <f>Bilans_E_AMS_Kyoto_run3_MTE!Y378</f>
        <v>2.2204460492503131E-15</v>
      </c>
      <c r="U117" s="701">
        <f>Bilans_E_AMS_Kyoto_run3_MTE!Z378</f>
        <v>-3.0734616302652285E-5</v>
      </c>
      <c r="V117" s="701"/>
      <c r="W117" s="701"/>
    </row>
    <row r="118" spans="1:23" x14ac:dyDescent="0.25">
      <c r="A118" s="701"/>
      <c r="B118" s="701"/>
      <c r="C118" s="701"/>
      <c r="D118" s="701"/>
      <c r="E118" s="701"/>
      <c r="F118" s="701"/>
      <c r="G118" s="701"/>
      <c r="H118" s="701"/>
      <c r="I118" s="701"/>
      <c r="J118" s="701"/>
      <c r="K118" s="701"/>
      <c r="L118" s="701"/>
      <c r="M118" s="701"/>
      <c r="N118" s="701"/>
      <c r="O118" s="701"/>
      <c r="P118" s="701"/>
      <c r="Q118" s="701"/>
      <c r="R118" s="701"/>
      <c r="S118" s="701"/>
      <c r="T118" s="701"/>
      <c r="U118" s="701"/>
      <c r="V118" s="701"/>
      <c r="W118" s="701"/>
    </row>
    <row r="119" spans="1:23" x14ac:dyDescent="0.25">
      <c r="A119" s="707"/>
      <c r="B119" s="707"/>
      <c r="C119" s="708" t="s">
        <v>359</v>
      </c>
      <c r="D119" s="707"/>
      <c r="E119" s="707"/>
      <c r="F119" s="707"/>
      <c r="G119" s="707"/>
      <c r="H119" s="707"/>
      <c r="I119" s="707"/>
      <c r="J119" s="707"/>
      <c r="K119" s="707"/>
      <c r="L119" s="707"/>
      <c r="M119" s="707"/>
      <c r="N119" s="707"/>
      <c r="O119" s="707"/>
      <c r="P119" s="707"/>
      <c r="Q119" s="707"/>
      <c r="R119" s="707"/>
      <c r="S119" s="707"/>
      <c r="T119" s="707"/>
      <c r="U119" s="707"/>
      <c r="V119" s="707"/>
      <c r="W119" s="707"/>
    </row>
    <row r="120" spans="1:23" x14ac:dyDescent="0.25">
      <c r="A120" s="701"/>
      <c r="B120" s="701"/>
      <c r="C120" s="701"/>
      <c r="D120" s="701"/>
      <c r="E120" s="701"/>
      <c r="F120" s="701"/>
      <c r="G120" s="701"/>
      <c r="H120" s="701"/>
      <c r="I120" s="701"/>
      <c r="J120" s="701"/>
      <c r="K120" s="701"/>
      <c r="L120" s="701"/>
      <c r="M120" s="701"/>
      <c r="N120" s="701"/>
      <c r="O120" s="701"/>
      <c r="P120" s="701"/>
      <c r="Q120" s="701"/>
      <c r="R120" s="701"/>
      <c r="S120" s="701"/>
      <c r="T120" s="701"/>
      <c r="U120" s="701"/>
      <c r="V120" s="701"/>
      <c r="W120" s="701"/>
    </row>
    <row r="121" spans="1:23" x14ac:dyDescent="0.25">
      <c r="A121" s="701"/>
      <c r="B121" s="701"/>
      <c r="C121" s="780" t="s">
        <v>128</v>
      </c>
      <c r="D121" s="775" t="s">
        <v>42</v>
      </c>
      <c r="E121" s="775" t="s">
        <v>52</v>
      </c>
      <c r="F121" s="775" t="s">
        <v>53</v>
      </c>
      <c r="G121" s="775" t="s">
        <v>482</v>
      </c>
      <c r="H121" s="775" t="s">
        <v>32</v>
      </c>
      <c r="I121" s="775" t="s">
        <v>483</v>
      </c>
      <c r="J121" s="775" t="s">
        <v>20</v>
      </c>
      <c r="K121" s="775" t="s">
        <v>55</v>
      </c>
      <c r="L121" s="777" t="s">
        <v>56</v>
      </c>
      <c r="M121" s="778"/>
      <c r="N121" s="778"/>
      <c r="O121" s="778"/>
      <c r="P121" s="778"/>
      <c r="Q121" s="779"/>
      <c r="R121" s="775" t="s">
        <v>57</v>
      </c>
      <c r="S121" s="775" t="s">
        <v>58</v>
      </c>
      <c r="T121" s="775" t="s">
        <v>31</v>
      </c>
      <c r="U121" s="775" t="s">
        <v>10</v>
      </c>
      <c r="V121" s="701"/>
      <c r="W121" s="701"/>
    </row>
    <row r="122" spans="1:23" ht="67.5" x14ac:dyDescent="0.25">
      <c r="A122" s="701" t="s">
        <v>486</v>
      </c>
      <c r="B122" s="701"/>
      <c r="C122" s="781"/>
      <c r="D122" s="776"/>
      <c r="E122" s="776"/>
      <c r="F122" s="776"/>
      <c r="G122" s="776"/>
      <c r="H122" s="776"/>
      <c r="I122" s="776"/>
      <c r="J122" s="776"/>
      <c r="K122" s="776"/>
      <c r="L122" s="709" t="s">
        <v>335</v>
      </c>
      <c r="M122" s="709" t="s">
        <v>40</v>
      </c>
      <c r="N122" s="709" t="s">
        <v>343</v>
      </c>
      <c r="O122" s="709" t="s">
        <v>344</v>
      </c>
      <c r="P122" s="719" t="s">
        <v>610</v>
      </c>
      <c r="Q122" s="709" t="s">
        <v>346</v>
      </c>
      <c r="R122" s="776"/>
      <c r="S122" s="776"/>
      <c r="T122" s="776"/>
      <c r="U122" s="776"/>
      <c r="V122" s="701"/>
      <c r="W122" s="701"/>
    </row>
    <row r="123" spans="1:23" x14ac:dyDescent="0.25">
      <c r="A123" s="701" t="s">
        <v>487</v>
      </c>
      <c r="B123" s="701"/>
      <c r="C123" s="710" t="s">
        <v>59</v>
      </c>
      <c r="D123" s="711">
        <f>Bilans_E_AMS_Kyoto_run3_MTE!H384</f>
        <v>0</v>
      </c>
      <c r="E123" s="711">
        <f>Bilans_E_AMS_Kyoto_run3_MTE!I384</f>
        <v>1.9073199999999999</v>
      </c>
      <c r="F123" s="711">
        <f>Bilans_E_AMS_Kyoto_run3_MTE!J384</f>
        <v>0</v>
      </c>
      <c r="G123" s="711">
        <f>Bilans_E_AMS_Kyoto_run3_MTE!K384</f>
        <v>0</v>
      </c>
      <c r="H123" s="711">
        <f>Bilans_E_AMS_Kyoto_run3_MTE!L384</f>
        <v>3.9542000000000008E-2</v>
      </c>
      <c r="I123" s="711">
        <f>Bilans_E_AMS_Kyoto_run3_MTE!M384</f>
        <v>0</v>
      </c>
      <c r="J123" s="711">
        <f>Bilans_E_AMS_Kyoto_run3_MTE!N384</f>
        <v>1195.4990290598246</v>
      </c>
      <c r="K123" s="711">
        <f>Bilans_E_AMS_Kyoto_run3_MTE!O384</f>
        <v>352.81639892204078</v>
      </c>
      <c r="L123" s="711">
        <f>Bilans_E_AMS_Kyoto_run3_MTE!P384</f>
        <v>334.74141553105153</v>
      </c>
      <c r="M123" s="711">
        <f>Bilans_E_AMS_Kyoto_run3_MTE!Q384</f>
        <v>49.102811616128875</v>
      </c>
      <c r="N123" s="711">
        <f>Bilans_E_AMS_Kyoto_run3_MTE!R384</f>
        <v>0</v>
      </c>
      <c r="O123" s="711">
        <f>Bilans_E_AMS_Kyoto_run3_MTE!S384</f>
        <v>0</v>
      </c>
      <c r="P123" s="711">
        <f>Bilans_E_AMS_Kyoto_run3_MTE!T384+Bilans_E_AMS_Kyoto_run3_MTE!U384</f>
        <v>200.79978234592807</v>
      </c>
      <c r="Q123" s="711">
        <f>Bilans_E_AMS_Kyoto_run3_MTE!V384</f>
        <v>40.778741630012433</v>
      </c>
      <c r="R123" s="711">
        <f>Bilans_E_AMS_Kyoto_run3_MTE!W384</f>
        <v>0</v>
      </c>
      <c r="S123" s="711">
        <f>Bilans_E_AMS_Kyoto_run3_MTE!X384</f>
        <v>0</v>
      </c>
      <c r="T123" s="711">
        <f>Bilans_E_AMS_Kyoto_run3_MTE!Y384</f>
        <v>0</v>
      </c>
      <c r="U123" s="711">
        <f>Bilans_E_AMS_Kyoto_run3_MTE!Z384</f>
        <v>2175.6850411049863</v>
      </c>
      <c r="V123" s="701"/>
      <c r="W123" s="701"/>
    </row>
    <row r="124" spans="1:23" x14ac:dyDescent="0.25">
      <c r="A124" s="701" t="s">
        <v>488</v>
      </c>
      <c r="B124" s="701"/>
      <c r="C124" s="710" t="s">
        <v>60</v>
      </c>
      <c r="D124" s="712">
        <f>Bilans_E_AMS_Kyoto_run3_MTE!H385</f>
        <v>12.531065673828124</v>
      </c>
      <c r="E124" s="712">
        <f>Bilans_E_AMS_Kyoto_run3_MTE!I385</f>
        <v>260.68864136173096</v>
      </c>
      <c r="F124" s="712">
        <f>Bilans_E_AMS_Kyoto_run3_MTE!J385</f>
        <v>79.769139628982202</v>
      </c>
      <c r="G124" s="712">
        <f>Bilans_E_AMS_Kyoto_run3_MTE!K385</f>
        <v>5.3845155133024489</v>
      </c>
      <c r="H124" s="712">
        <f>Bilans_E_AMS_Kyoto_run3_MTE!L385</f>
        <v>146.10919430668767</v>
      </c>
      <c r="I124" s="712">
        <f>Bilans_E_AMS_Kyoto_run3_MTE!M385</f>
        <v>0</v>
      </c>
      <c r="J124" s="712">
        <f>Bilans_E_AMS_Kyoto_run3_MTE!N385</f>
        <v>0</v>
      </c>
      <c r="K124" s="712">
        <f>Bilans_E_AMS_Kyoto_run3_MTE!O385</f>
        <v>0</v>
      </c>
      <c r="L124" s="712">
        <f>Bilans_E_AMS_Kyoto_run3_MTE!P385</f>
        <v>6.5955281469378519</v>
      </c>
      <c r="M124" s="712">
        <f>Bilans_E_AMS_Kyoto_run3_MTE!Q385</f>
        <v>0</v>
      </c>
      <c r="N124" s="712">
        <f>Bilans_E_AMS_Kyoto_run3_MTE!R385</f>
        <v>13.786836239318319</v>
      </c>
      <c r="O124" s="712">
        <f>Bilans_E_AMS_Kyoto_run3_MTE!S385</f>
        <v>4.2024164944931641</v>
      </c>
      <c r="P124" s="712">
        <f>Bilans_E_AMS_Kyoto_run3_MTE!T385+Bilans_E_AMS_Kyoto_run3_MTE!U385</f>
        <v>0</v>
      </c>
      <c r="Q124" s="712">
        <f>Bilans_E_AMS_Kyoto_run3_MTE!V385</f>
        <v>0</v>
      </c>
      <c r="R124" s="712">
        <f>Bilans_E_AMS_Kyoto_run3_MTE!W385</f>
        <v>0</v>
      </c>
      <c r="S124" s="712">
        <f>Bilans_E_AMS_Kyoto_run3_MTE!X385</f>
        <v>0</v>
      </c>
      <c r="T124" s="712">
        <f>Bilans_E_AMS_Kyoto_run3_MTE!Y385</f>
        <v>0</v>
      </c>
      <c r="U124" s="712">
        <f>Bilans_E_AMS_Kyoto_run3_MTE!Z385</f>
        <v>529.06733736528076</v>
      </c>
      <c r="V124" s="701"/>
      <c r="W124" s="701"/>
    </row>
    <row r="125" spans="1:23" x14ac:dyDescent="0.25">
      <c r="A125" s="701" t="s">
        <v>489</v>
      </c>
      <c r="B125" s="701"/>
      <c r="C125" s="710" t="s">
        <v>61</v>
      </c>
      <c r="D125" s="712">
        <f>Bilans_E_AMS_Kyoto_run3_MTE!H386</f>
        <v>0</v>
      </c>
      <c r="E125" s="712">
        <f>Bilans_E_AMS_Kyoto_run3_MTE!I386</f>
        <v>0</v>
      </c>
      <c r="F125" s="712">
        <f>Bilans_E_AMS_Kyoto_run3_MTE!J386</f>
        <v>0</v>
      </c>
      <c r="G125" s="712">
        <f>Bilans_E_AMS_Kyoto_run3_MTE!K386</f>
        <v>0</v>
      </c>
      <c r="H125" s="712">
        <f>Bilans_E_AMS_Kyoto_run3_MTE!L386</f>
        <v>0</v>
      </c>
      <c r="I125" s="712">
        <f>Bilans_E_AMS_Kyoto_run3_MTE!M386</f>
        <v>0</v>
      </c>
      <c r="J125" s="712">
        <f>Bilans_E_AMS_Kyoto_run3_MTE!N386</f>
        <v>0</v>
      </c>
      <c r="K125" s="712">
        <f>Bilans_E_AMS_Kyoto_run3_MTE!O386</f>
        <v>0</v>
      </c>
      <c r="L125" s="712">
        <f>Bilans_E_AMS_Kyoto_run3_MTE!P386</f>
        <v>0</v>
      </c>
      <c r="M125" s="712">
        <f>Bilans_E_AMS_Kyoto_run3_MTE!Q386</f>
        <v>0</v>
      </c>
      <c r="N125" s="712">
        <f>Bilans_E_AMS_Kyoto_run3_MTE!R386</f>
        <v>0</v>
      </c>
      <c r="O125" s="712">
        <f>Bilans_E_AMS_Kyoto_run3_MTE!S386</f>
        <v>0</v>
      </c>
      <c r="P125" s="712">
        <f>Bilans_E_AMS_Kyoto_run3_MTE!T386+Bilans_E_AMS_Kyoto_run3_MTE!U386</f>
        <v>0</v>
      </c>
      <c r="Q125" s="712">
        <f>Bilans_E_AMS_Kyoto_run3_MTE!V386</f>
        <v>0</v>
      </c>
      <c r="R125" s="712">
        <f>Bilans_E_AMS_Kyoto_run3_MTE!W386</f>
        <v>-112.47635741768158</v>
      </c>
      <c r="S125" s="712">
        <f>Bilans_E_AMS_Kyoto_run3_MTE!X386</f>
        <v>0</v>
      </c>
      <c r="T125" s="712">
        <f>Bilans_E_AMS_Kyoto_run3_MTE!Y386</f>
        <v>0</v>
      </c>
      <c r="U125" s="712">
        <f>Bilans_E_AMS_Kyoto_run3_MTE!Z386</f>
        <v>-112.47635741768158</v>
      </c>
      <c r="V125" s="701"/>
      <c r="W125" s="701"/>
    </row>
    <row r="126" spans="1:23" x14ac:dyDescent="0.25">
      <c r="A126" s="701" t="s">
        <v>490</v>
      </c>
      <c r="B126" s="701"/>
      <c r="C126" s="710" t="s">
        <v>62</v>
      </c>
      <c r="D126" s="711">
        <f>Bilans_E_AMS_Kyoto_run3_MTE!H387</f>
        <v>0</v>
      </c>
      <c r="E126" s="711">
        <f>Bilans_E_AMS_Kyoto_run3_MTE!I387</f>
        <v>0</v>
      </c>
      <c r="F126" s="711">
        <f>Bilans_E_AMS_Kyoto_run3_MTE!J387</f>
        <v>-6.4368278477343406</v>
      </c>
      <c r="G126" s="711">
        <f>Bilans_E_AMS_Kyoto_run3_MTE!K387</f>
        <v>-0.75904465097595197</v>
      </c>
      <c r="H126" s="711">
        <f>Bilans_E_AMS_Kyoto_run3_MTE!L387</f>
        <v>-0.26617313205703391</v>
      </c>
      <c r="I126" s="711">
        <f>Bilans_E_AMS_Kyoto_run3_MTE!M387</f>
        <v>-0.83753949174200382</v>
      </c>
      <c r="J126" s="711">
        <f>Bilans_E_AMS_Kyoto_run3_MTE!N387</f>
        <v>0</v>
      </c>
      <c r="K126" s="711">
        <f>Bilans_E_AMS_Kyoto_run3_MTE!O387</f>
        <v>0</v>
      </c>
      <c r="L126" s="711">
        <f>Bilans_E_AMS_Kyoto_run3_MTE!P387</f>
        <v>0</v>
      </c>
      <c r="M126" s="711">
        <f>Bilans_E_AMS_Kyoto_run3_MTE!Q387</f>
        <v>0</v>
      </c>
      <c r="N126" s="711">
        <f>Bilans_E_AMS_Kyoto_run3_MTE!R387</f>
        <v>0</v>
      </c>
      <c r="O126" s="711">
        <f>Bilans_E_AMS_Kyoto_run3_MTE!S387</f>
        <v>-1.2171669369544087</v>
      </c>
      <c r="P126" s="711">
        <f>Bilans_E_AMS_Kyoto_run3_MTE!T387+Bilans_E_AMS_Kyoto_run3_MTE!U387</f>
        <v>0</v>
      </c>
      <c r="Q126" s="711">
        <f>Bilans_E_AMS_Kyoto_run3_MTE!V387</f>
        <v>0</v>
      </c>
      <c r="R126" s="711">
        <f>Bilans_E_AMS_Kyoto_run3_MTE!W387</f>
        <v>0</v>
      </c>
      <c r="S126" s="711">
        <f>Bilans_E_AMS_Kyoto_run3_MTE!X387</f>
        <v>0</v>
      </c>
      <c r="T126" s="711">
        <f>Bilans_E_AMS_Kyoto_run3_MTE!Y387</f>
        <v>-0.55033649946810814</v>
      </c>
      <c r="U126" s="711">
        <f>Bilans_E_AMS_Kyoto_run3_MTE!Z387</f>
        <v>-10.067088558931845</v>
      </c>
      <c r="V126" s="701"/>
      <c r="W126" s="701"/>
    </row>
    <row r="127" spans="1:23" x14ac:dyDescent="0.25">
      <c r="A127" s="701" t="s">
        <v>491</v>
      </c>
      <c r="B127" s="701"/>
      <c r="C127" s="710" t="s">
        <v>63</v>
      </c>
      <c r="D127" s="711">
        <f>Bilans_E_AMS_Kyoto_run3_MTE!H388</f>
        <v>0</v>
      </c>
      <c r="E127" s="711">
        <f>Bilans_E_AMS_Kyoto_run3_MTE!I388</f>
        <v>0</v>
      </c>
      <c r="F127" s="711">
        <f>Bilans_E_AMS_Kyoto_run3_MTE!J388</f>
        <v>-46.4</v>
      </c>
      <c r="G127" s="711">
        <f>Bilans_E_AMS_Kyoto_run3_MTE!K388</f>
        <v>-6.4</v>
      </c>
      <c r="H127" s="711">
        <f>Bilans_E_AMS_Kyoto_run3_MTE!L388</f>
        <v>0</v>
      </c>
      <c r="I127" s="711">
        <f>Bilans_E_AMS_Kyoto_run3_MTE!M388</f>
        <v>0</v>
      </c>
      <c r="J127" s="711">
        <f>Bilans_E_AMS_Kyoto_run3_MTE!N388</f>
        <v>0</v>
      </c>
      <c r="K127" s="711">
        <f>Bilans_E_AMS_Kyoto_run3_MTE!O388</f>
        <v>0</v>
      </c>
      <c r="L127" s="711">
        <f>Bilans_E_AMS_Kyoto_run3_MTE!P388</f>
        <v>0</v>
      </c>
      <c r="M127" s="711">
        <f>Bilans_E_AMS_Kyoto_run3_MTE!Q388</f>
        <v>0</v>
      </c>
      <c r="N127" s="711">
        <f>Bilans_E_AMS_Kyoto_run3_MTE!R388</f>
        <v>-13.4</v>
      </c>
      <c r="O127" s="711">
        <f>Bilans_E_AMS_Kyoto_run3_MTE!S388</f>
        <v>0</v>
      </c>
      <c r="P127" s="711">
        <f>Bilans_E_AMS_Kyoto_run3_MTE!T388+Bilans_E_AMS_Kyoto_run3_MTE!U388</f>
        <v>0</v>
      </c>
      <c r="Q127" s="711">
        <f>Bilans_E_AMS_Kyoto_run3_MTE!V388</f>
        <v>0</v>
      </c>
      <c r="R127" s="711">
        <f>Bilans_E_AMS_Kyoto_run3_MTE!W388</f>
        <v>0</v>
      </c>
      <c r="S127" s="711">
        <f>Bilans_E_AMS_Kyoto_run3_MTE!X388</f>
        <v>0</v>
      </c>
      <c r="T127" s="711">
        <f>Bilans_E_AMS_Kyoto_run3_MTE!Y388</f>
        <v>-2.2000000000000002</v>
      </c>
      <c r="U127" s="711">
        <f>Bilans_E_AMS_Kyoto_run3_MTE!Z388</f>
        <v>-68.400000000000006</v>
      </c>
      <c r="V127" s="701"/>
      <c r="W127" s="701"/>
    </row>
    <row r="128" spans="1:23" x14ac:dyDescent="0.25">
      <c r="A128" s="701" t="s">
        <v>492</v>
      </c>
      <c r="B128" s="701"/>
      <c r="C128" s="710" t="s">
        <v>64</v>
      </c>
      <c r="D128" s="712">
        <f>Bilans_E_AMS_Kyoto_run3_MTE!H389</f>
        <v>0</v>
      </c>
      <c r="E128" s="712">
        <f>Bilans_E_AMS_Kyoto_run3_MTE!I389</f>
        <v>0</v>
      </c>
      <c r="F128" s="712">
        <f>Bilans_E_AMS_Kyoto_run3_MTE!J389</f>
        <v>0</v>
      </c>
      <c r="G128" s="712">
        <f>Bilans_E_AMS_Kyoto_run3_MTE!K389</f>
        <v>0</v>
      </c>
      <c r="H128" s="712">
        <f>Bilans_E_AMS_Kyoto_run3_MTE!L389</f>
        <v>0</v>
      </c>
      <c r="I128" s="712">
        <f>Bilans_E_AMS_Kyoto_run3_MTE!M389</f>
        <v>0</v>
      </c>
      <c r="J128" s="712">
        <f>Bilans_E_AMS_Kyoto_run3_MTE!N389</f>
        <v>0</v>
      </c>
      <c r="K128" s="712">
        <f>Bilans_E_AMS_Kyoto_run3_MTE!O389</f>
        <v>0</v>
      </c>
      <c r="L128" s="712">
        <f>Bilans_E_AMS_Kyoto_run3_MTE!P389</f>
        <v>0</v>
      </c>
      <c r="M128" s="712">
        <f>Bilans_E_AMS_Kyoto_run3_MTE!Q389</f>
        <v>0</v>
      </c>
      <c r="N128" s="712">
        <f>Bilans_E_AMS_Kyoto_run3_MTE!R389</f>
        <v>0</v>
      </c>
      <c r="O128" s="712">
        <f>Bilans_E_AMS_Kyoto_run3_MTE!S389</f>
        <v>0</v>
      </c>
      <c r="P128" s="712">
        <f>Bilans_E_AMS_Kyoto_run3_MTE!T389+Bilans_E_AMS_Kyoto_run3_MTE!U389</f>
        <v>0</v>
      </c>
      <c r="Q128" s="712">
        <f>Bilans_E_AMS_Kyoto_run3_MTE!V389</f>
        <v>0</v>
      </c>
      <c r="R128" s="712">
        <f>Bilans_E_AMS_Kyoto_run3_MTE!W389</f>
        <v>0</v>
      </c>
      <c r="S128" s="712">
        <f>Bilans_E_AMS_Kyoto_run3_MTE!X389</f>
        <v>0</v>
      </c>
      <c r="T128" s="712">
        <f>Bilans_E_AMS_Kyoto_run3_MTE!Y389</f>
        <v>0</v>
      </c>
      <c r="U128" s="712">
        <f>Bilans_E_AMS_Kyoto_run3_MTE!Z389</f>
        <v>0</v>
      </c>
      <c r="V128" s="701"/>
      <c r="W128" s="701"/>
    </row>
    <row r="129" spans="1:23" x14ac:dyDescent="0.25">
      <c r="A129" s="701" t="s">
        <v>493</v>
      </c>
      <c r="B129" s="701"/>
      <c r="C129" s="713" t="s">
        <v>65</v>
      </c>
      <c r="D129" s="714">
        <f>Bilans_E_AMS_Kyoto_run3_MTE!H390</f>
        <v>12.531065673828124</v>
      </c>
      <c r="E129" s="714">
        <f>Bilans_E_AMS_Kyoto_run3_MTE!I390</f>
        <v>262.59596136173099</v>
      </c>
      <c r="F129" s="714">
        <f>Bilans_E_AMS_Kyoto_run3_MTE!J390</f>
        <v>26.932311781247869</v>
      </c>
      <c r="G129" s="714">
        <f>Bilans_E_AMS_Kyoto_run3_MTE!K390</f>
        <v>-1.7745291376735031</v>
      </c>
      <c r="H129" s="714">
        <f>Bilans_E_AMS_Kyoto_run3_MTE!L390</f>
        <v>145.88256317463066</v>
      </c>
      <c r="I129" s="714">
        <f>Bilans_E_AMS_Kyoto_run3_MTE!M390</f>
        <v>-0.83753949174200382</v>
      </c>
      <c r="J129" s="714">
        <f>Bilans_E_AMS_Kyoto_run3_MTE!N390</f>
        <v>1195.4990290598246</v>
      </c>
      <c r="K129" s="714">
        <f>Bilans_E_AMS_Kyoto_run3_MTE!O390</f>
        <v>352.81639892204078</v>
      </c>
      <c r="L129" s="714">
        <f>Bilans_E_AMS_Kyoto_run3_MTE!P390</f>
        <v>341.33694367798938</v>
      </c>
      <c r="M129" s="714">
        <f>Bilans_E_AMS_Kyoto_run3_MTE!Q390</f>
        <v>49.102811616128875</v>
      </c>
      <c r="N129" s="714">
        <f>Bilans_E_AMS_Kyoto_run3_MTE!R390</f>
        <v>0.38683623931831868</v>
      </c>
      <c r="O129" s="714">
        <f>Bilans_E_AMS_Kyoto_run3_MTE!S390</f>
        <v>2.9852495575387552</v>
      </c>
      <c r="P129" s="714">
        <f>Bilans_E_AMS_Kyoto_run3_MTE!T390+Bilans_E_AMS_Kyoto_run3_MTE!U390</f>
        <v>200.79978234592807</v>
      </c>
      <c r="Q129" s="714">
        <f>Bilans_E_AMS_Kyoto_run3_MTE!V390</f>
        <v>40.778741630012433</v>
      </c>
      <c r="R129" s="714">
        <f>Bilans_E_AMS_Kyoto_run3_MTE!W390</f>
        <v>-112.47635741768158</v>
      </c>
      <c r="S129" s="714">
        <f>Bilans_E_AMS_Kyoto_run3_MTE!X390</f>
        <v>0</v>
      </c>
      <c r="T129" s="714">
        <f>Bilans_E_AMS_Kyoto_run3_MTE!Y390</f>
        <v>-2.7503364994681085</v>
      </c>
      <c r="U129" s="714">
        <f>Bilans_E_AMS_Kyoto_run3_MTE!Z390</f>
        <v>2513.8089324936536</v>
      </c>
      <c r="V129" s="701"/>
      <c r="W129" s="701"/>
    </row>
    <row r="130" spans="1:23" x14ac:dyDescent="0.25">
      <c r="A130" s="701"/>
      <c r="B130" s="701"/>
      <c r="C130" s="715"/>
      <c r="D130" s="716"/>
      <c r="E130" s="716"/>
      <c r="F130" s="716"/>
      <c r="G130" s="716"/>
      <c r="H130" s="716"/>
      <c r="I130" s="716"/>
      <c r="J130" s="716"/>
      <c r="K130" s="716"/>
      <c r="L130" s="716"/>
      <c r="M130" s="716"/>
      <c r="N130" s="716"/>
      <c r="O130" s="716"/>
      <c r="P130" s="716">
        <f>Bilans_E_AMS_Kyoto_run3_MTE!T391+Bilans_E_AMS_Kyoto_run3_MTE!U391</f>
        <v>0</v>
      </c>
      <c r="Q130" s="716"/>
      <c r="R130" s="716"/>
      <c r="S130" s="716"/>
      <c r="T130" s="716"/>
      <c r="U130" s="716"/>
      <c r="V130" s="701"/>
      <c r="W130" s="701"/>
    </row>
    <row r="131" spans="1:23" x14ac:dyDescent="0.25">
      <c r="A131" s="701" t="s">
        <v>494</v>
      </c>
      <c r="B131" s="701"/>
      <c r="C131" s="717" t="s">
        <v>67</v>
      </c>
      <c r="D131" s="711">
        <f>Bilans_E_AMS_Kyoto_run3_MTE!H392</f>
        <v>0</v>
      </c>
      <c r="E131" s="711">
        <f>Bilans_E_AMS_Kyoto_run3_MTE!I392</f>
        <v>0</v>
      </c>
      <c r="F131" s="711">
        <f>Bilans_E_AMS_Kyoto_run3_MTE!J392</f>
        <v>0</v>
      </c>
      <c r="G131" s="711">
        <f>Bilans_E_AMS_Kyoto_run3_MTE!K392</f>
        <v>0</v>
      </c>
      <c r="H131" s="711">
        <f>Bilans_E_AMS_Kyoto_run3_MTE!L392</f>
        <v>0</v>
      </c>
      <c r="I131" s="711">
        <f>Bilans_E_AMS_Kyoto_run3_MTE!M392</f>
        <v>0</v>
      </c>
      <c r="J131" s="711">
        <f>Bilans_E_AMS_Kyoto_run3_MTE!N392</f>
        <v>0</v>
      </c>
      <c r="K131" s="711">
        <f>Bilans_E_AMS_Kyoto_run3_MTE!O392</f>
        <v>0</v>
      </c>
      <c r="L131" s="711">
        <f>Bilans_E_AMS_Kyoto_run3_MTE!P392</f>
        <v>0</v>
      </c>
      <c r="M131" s="711">
        <f>Bilans_E_AMS_Kyoto_run3_MTE!Q392</f>
        <v>0</v>
      </c>
      <c r="N131" s="711">
        <f>Bilans_E_AMS_Kyoto_run3_MTE!R392</f>
        <v>0</v>
      </c>
      <c r="O131" s="711">
        <f>Bilans_E_AMS_Kyoto_run3_MTE!S392</f>
        <v>0</v>
      </c>
      <c r="P131" s="711">
        <f>Bilans_E_AMS_Kyoto_run3_MTE!T392+Bilans_E_AMS_Kyoto_run3_MTE!U392</f>
        <v>0</v>
      </c>
      <c r="Q131" s="711">
        <f>Bilans_E_AMS_Kyoto_run3_MTE!V392</f>
        <v>0</v>
      </c>
      <c r="R131" s="711">
        <f>Bilans_E_AMS_Kyoto_run3_MTE!W392</f>
        <v>0</v>
      </c>
      <c r="S131" s="711">
        <f>Bilans_E_AMS_Kyoto_run3_MTE!X392</f>
        <v>0</v>
      </c>
      <c r="T131" s="711">
        <f>Bilans_E_AMS_Kyoto_run3_MTE!Y392</f>
        <v>0</v>
      </c>
      <c r="U131" s="711">
        <f>Bilans_E_AMS_Kyoto_run3_MTE!Z392</f>
        <v>0</v>
      </c>
      <c r="V131" s="701"/>
      <c r="W131" s="701"/>
    </row>
    <row r="132" spans="1:23" x14ac:dyDescent="0.25">
      <c r="A132" s="701" t="s">
        <v>495</v>
      </c>
      <c r="B132" s="701"/>
      <c r="C132" s="717" t="s">
        <v>347</v>
      </c>
      <c r="D132" s="711">
        <f>Bilans_E_AMS_Kyoto_run3_MTE!H393</f>
        <v>0</v>
      </c>
      <c r="E132" s="711">
        <f>Bilans_E_AMS_Kyoto_run3_MTE!I393</f>
        <v>0</v>
      </c>
      <c r="F132" s="711">
        <f>Bilans_E_AMS_Kyoto_run3_MTE!J393</f>
        <v>0.36057808628354604</v>
      </c>
      <c r="G132" s="711">
        <f>Bilans_E_AMS_Kyoto_run3_MTE!K393</f>
        <v>0</v>
      </c>
      <c r="H132" s="711">
        <f>Bilans_E_AMS_Kyoto_run3_MTE!L393</f>
        <v>8.6510705990175421</v>
      </c>
      <c r="I132" s="711">
        <f>Bilans_E_AMS_Kyoto_run3_MTE!M393</f>
        <v>0</v>
      </c>
      <c r="J132" s="711">
        <f>Bilans_E_AMS_Kyoto_run3_MTE!N393</f>
        <v>1193.4597454545453</v>
      </c>
      <c r="K132" s="711">
        <f>Bilans_E_AMS_Kyoto_run3_MTE!O393</f>
        <v>352.81639892204078</v>
      </c>
      <c r="L132" s="711">
        <f>Bilans_E_AMS_Kyoto_run3_MTE!P393</f>
        <v>17.169316423280179</v>
      </c>
      <c r="M132" s="711">
        <f>Bilans_E_AMS_Kyoto_run3_MTE!Q393</f>
        <v>5.7366833077088035</v>
      </c>
      <c r="N132" s="711">
        <f>Bilans_E_AMS_Kyoto_run3_MTE!R393</f>
        <v>5.3878161949008447</v>
      </c>
      <c r="O132" s="711">
        <f>Bilans_E_AMS_Kyoto_run3_MTE!S393</f>
        <v>5.0608301808950129</v>
      </c>
      <c r="P132" s="711">
        <f>Bilans_E_AMS_Kyoto_run3_MTE!T393+Bilans_E_AMS_Kyoto_run3_MTE!U393</f>
        <v>0</v>
      </c>
      <c r="Q132" s="711">
        <f>Bilans_E_AMS_Kyoto_run3_MTE!V393</f>
        <v>4.9774137725284184</v>
      </c>
      <c r="R132" s="711">
        <f>Bilans_E_AMS_Kyoto_run3_MTE!W393</f>
        <v>-770.22733582540855</v>
      </c>
      <c r="S132" s="711">
        <f>Bilans_E_AMS_Kyoto_run3_MTE!X393</f>
        <v>0</v>
      </c>
      <c r="T132" s="711">
        <f>Bilans_E_AMS_Kyoto_run3_MTE!Y393</f>
        <v>0</v>
      </c>
      <c r="U132" s="711">
        <f>Bilans_E_AMS_Kyoto_run3_MTE!Z393</f>
        <v>823.39251711579163</v>
      </c>
      <c r="V132" s="701"/>
      <c r="W132" s="701"/>
    </row>
    <row r="133" spans="1:23" x14ac:dyDescent="0.25">
      <c r="A133" s="701" t="s">
        <v>496</v>
      </c>
      <c r="B133" s="701"/>
      <c r="C133" s="717" t="s">
        <v>348</v>
      </c>
      <c r="D133" s="711">
        <f>Bilans_E_AMS_Kyoto_run3_MTE!H394</f>
        <v>0</v>
      </c>
      <c r="E133" s="711">
        <f>Bilans_E_AMS_Kyoto_run3_MTE!I394</f>
        <v>0</v>
      </c>
      <c r="F133" s="711">
        <f>Bilans_E_AMS_Kyoto_run3_MTE!J394</f>
        <v>0</v>
      </c>
      <c r="G133" s="711">
        <f>Bilans_E_AMS_Kyoto_run3_MTE!K394</f>
        <v>0</v>
      </c>
      <c r="H133" s="711">
        <f>Bilans_E_AMS_Kyoto_run3_MTE!L394</f>
        <v>16.741941849061199</v>
      </c>
      <c r="I133" s="711">
        <f>Bilans_E_AMS_Kyoto_run3_MTE!M394</f>
        <v>0</v>
      </c>
      <c r="J133" s="711">
        <f>Bilans_E_AMS_Kyoto_run3_MTE!N394</f>
        <v>2.0392836052791781</v>
      </c>
      <c r="K133" s="711">
        <f>Bilans_E_AMS_Kyoto_run3_MTE!O394</f>
        <v>0</v>
      </c>
      <c r="L133" s="711">
        <f>Bilans_E_AMS_Kyoto_run3_MTE!P394</f>
        <v>24.508111114586647</v>
      </c>
      <c r="M133" s="711">
        <f>Bilans_E_AMS_Kyoto_run3_MTE!Q394</f>
        <v>15.713393249215271</v>
      </c>
      <c r="N133" s="711">
        <f>Bilans_E_AMS_Kyoto_run3_MTE!R394</f>
        <v>0</v>
      </c>
      <c r="O133" s="711">
        <f>Bilans_E_AMS_Kyoto_run3_MTE!S394</f>
        <v>8.2544124688387157</v>
      </c>
      <c r="P133" s="711">
        <f>Bilans_E_AMS_Kyoto_run3_MTE!T394+Bilans_E_AMS_Kyoto_run3_MTE!U394</f>
        <v>15.880539172662751</v>
      </c>
      <c r="Q133" s="711">
        <f>Bilans_E_AMS_Kyoto_run3_MTE!V394</f>
        <v>15.123327125815617</v>
      </c>
      <c r="R133" s="711">
        <f>Bilans_E_AMS_Kyoto_run3_MTE!W394</f>
        <v>0</v>
      </c>
      <c r="S133" s="711">
        <f>Bilans_E_AMS_Kyoto_run3_MTE!X394</f>
        <v>-90.455475584151912</v>
      </c>
      <c r="T133" s="711">
        <f>Bilans_E_AMS_Kyoto_run3_MTE!Y394</f>
        <v>0</v>
      </c>
      <c r="U133" s="711">
        <f>Bilans_E_AMS_Kyoto_run3_MTE!Z394</f>
        <v>7.8055330013074666</v>
      </c>
      <c r="V133" s="701"/>
      <c r="W133" s="701"/>
    </row>
    <row r="134" spans="1:23" x14ac:dyDescent="0.25">
      <c r="A134" s="701" t="s">
        <v>497</v>
      </c>
      <c r="B134" s="701"/>
      <c r="C134" s="717" t="s">
        <v>349</v>
      </c>
      <c r="D134" s="711">
        <f>Bilans_E_AMS_Kyoto_run3_MTE!H395</f>
        <v>0</v>
      </c>
      <c r="E134" s="711">
        <f>Bilans_E_AMS_Kyoto_run3_MTE!I395</f>
        <v>0</v>
      </c>
      <c r="F134" s="711">
        <f>Bilans_E_AMS_Kyoto_run3_MTE!J395</f>
        <v>0</v>
      </c>
      <c r="G134" s="711">
        <f>Bilans_E_AMS_Kyoto_run3_MTE!K395</f>
        <v>0</v>
      </c>
      <c r="H134" s="711">
        <f>Bilans_E_AMS_Kyoto_run3_MTE!L395</f>
        <v>0</v>
      </c>
      <c r="I134" s="711">
        <f>Bilans_E_AMS_Kyoto_run3_MTE!M395</f>
        <v>0</v>
      </c>
      <c r="J134" s="711">
        <f>Bilans_E_AMS_Kyoto_run3_MTE!N395</f>
        <v>0</v>
      </c>
      <c r="K134" s="711">
        <f>Bilans_E_AMS_Kyoto_run3_MTE!O395</f>
        <v>0</v>
      </c>
      <c r="L134" s="711">
        <f>Bilans_E_AMS_Kyoto_run3_MTE!P395</f>
        <v>110.70220449796281</v>
      </c>
      <c r="M134" s="711">
        <f>Bilans_E_AMS_Kyoto_run3_MTE!Q395</f>
        <v>11.288363237424081</v>
      </c>
      <c r="N134" s="711">
        <f>Bilans_E_AMS_Kyoto_run3_MTE!R395</f>
        <v>0</v>
      </c>
      <c r="O134" s="711">
        <f>Bilans_E_AMS_Kyoto_run3_MTE!S395</f>
        <v>-61.07757335974334</v>
      </c>
      <c r="P134" s="711">
        <f>Bilans_E_AMS_Kyoto_run3_MTE!T395+Bilans_E_AMS_Kyoto_run3_MTE!U395</f>
        <v>0</v>
      </c>
      <c r="Q134" s="711">
        <f>Bilans_E_AMS_Kyoto_run3_MTE!V395</f>
        <v>0</v>
      </c>
      <c r="R134" s="711">
        <f>Bilans_E_AMS_Kyoto_run3_MTE!W395</f>
        <v>0</v>
      </c>
      <c r="S134" s="711">
        <f>Bilans_E_AMS_Kyoto_run3_MTE!X395</f>
        <v>0</v>
      </c>
      <c r="T134" s="711">
        <f>Bilans_E_AMS_Kyoto_run3_MTE!Y395</f>
        <v>0</v>
      </c>
      <c r="U134" s="711">
        <f>Bilans_E_AMS_Kyoto_run3_MTE!Z395</f>
        <v>60.912994375643549</v>
      </c>
      <c r="V134" s="701"/>
      <c r="W134" s="701"/>
    </row>
    <row r="135" spans="1:23" x14ac:dyDescent="0.25">
      <c r="A135" s="701" t="s">
        <v>498</v>
      </c>
      <c r="B135" s="701"/>
      <c r="C135" s="717" t="s">
        <v>350</v>
      </c>
      <c r="D135" s="711">
        <f>Bilans_E_AMS_Kyoto_run3_MTE!H396</f>
        <v>0</v>
      </c>
      <c r="E135" s="711">
        <f>Bilans_E_AMS_Kyoto_run3_MTE!I396</f>
        <v>0</v>
      </c>
      <c r="F135" s="711">
        <f>Bilans_E_AMS_Kyoto_run3_MTE!J396</f>
        <v>0</v>
      </c>
      <c r="G135" s="711">
        <f>Bilans_E_AMS_Kyoto_run3_MTE!K396</f>
        <v>0</v>
      </c>
      <c r="H135" s="711">
        <f>Bilans_E_AMS_Kyoto_run3_MTE!L396</f>
        <v>0</v>
      </c>
      <c r="I135" s="711">
        <f>Bilans_E_AMS_Kyoto_run3_MTE!M396</f>
        <v>-0.83753949174200382</v>
      </c>
      <c r="J135" s="711">
        <f>Bilans_E_AMS_Kyoto_run3_MTE!N396</f>
        <v>0</v>
      </c>
      <c r="K135" s="711">
        <f>Bilans_E_AMS_Kyoto_run3_MTE!O396</f>
        <v>0</v>
      </c>
      <c r="L135" s="711">
        <f>Bilans_E_AMS_Kyoto_run3_MTE!P396</f>
        <v>0</v>
      </c>
      <c r="M135" s="711">
        <f>Bilans_E_AMS_Kyoto_run3_MTE!Q396</f>
        <v>0</v>
      </c>
      <c r="N135" s="711">
        <f>Bilans_E_AMS_Kyoto_run3_MTE!R396</f>
        <v>0</v>
      </c>
      <c r="O135" s="711">
        <f>Bilans_E_AMS_Kyoto_run3_MTE!S396</f>
        <v>0</v>
      </c>
      <c r="P135" s="711">
        <f>Bilans_E_AMS_Kyoto_run3_MTE!T396+Bilans_E_AMS_Kyoto_run3_MTE!U396</f>
        <v>0</v>
      </c>
      <c r="Q135" s="711">
        <f>Bilans_E_AMS_Kyoto_run3_MTE!V396</f>
        <v>0</v>
      </c>
      <c r="R135" s="711">
        <f>Bilans_E_AMS_Kyoto_run3_MTE!W396</f>
        <v>0</v>
      </c>
      <c r="S135" s="711">
        <f>Bilans_E_AMS_Kyoto_run3_MTE!X396</f>
        <v>0</v>
      </c>
      <c r="T135" s="711">
        <f>Bilans_E_AMS_Kyoto_run3_MTE!Y396</f>
        <v>1.1632492940861165</v>
      </c>
      <c r="U135" s="711">
        <f>Bilans_E_AMS_Kyoto_run3_MTE!Z396</f>
        <v>0.32570980234411273</v>
      </c>
      <c r="V135" s="701"/>
      <c r="W135" s="701"/>
    </row>
    <row r="136" spans="1:23" x14ac:dyDescent="0.25">
      <c r="A136" s="701" t="s">
        <v>499</v>
      </c>
      <c r="B136" s="701"/>
      <c r="C136" s="717" t="s">
        <v>72</v>
      </c>
      <c r="D136" s="711">
        <f>Bilans_E_AMS_Kyoto_run3_MTE!H397</f>
        <v>0</v>
      </c>
      <c r="E136" s="711">
        <f>Bilans_E_AMS_Kyoto_run3_MTE!I397</f>
        <v>272.12802990456925</v>
      </c>
      <c r="F136" s="711">
        <f>Bilans_E_AMS_Kyoto_run3_MTE!J397</f>
        <v>-269.40674960552354</v>
      </c>
      <c r="G136" s="711">
        <f>Bilans_E_AMS_Kyoto_run3_MTE!K397</f>
        <v>0</v>
      </c>
      <c r="H136" s="711">
        <f>Bilans_E_AMS_Kyoto_run3_MTE!L397</f>
        <v>0</v>
      </c>
      <c r="I136" s="711">
        <f>Bilans_E_AMS_Kyoto_run3_MTE!M397</f>
        <v>0</v>
      </c>
      <c r="J136" s="711">
        <f>Bilans_E_AMS_Kyoto_run3_MTE!N397</f>
        <v>0</v>
      </c>
      <c r="K136" s="711">
        <f>Bilans_E_AMS_Kyoto_run3_MTE!O397</f>
        <v>0</v>
      </c>
      <c r="L136" s="711">
        <f>Bilans_E_AMS_Kyoto_run3_MTE!P397</f>
        <v>0</v>
      </c>
      <c r="M136" s="711">
        <f>Bilans_E_AMS_Kyoto_run3_MTE!Q397</f>
        <v>0</v>
      </c>
      <c r="N136" s="711">
        <f>Bilans_E_AMS_Kyoto_run3_MTE!R397</f>
        <v>0</v>
      </c>
      <c r="O136" s="711">
        <f>Bilans_E_AMS_Kyoto_run3_MTE!S397</f>
        <v>0</v>
      </c>
      <c r="P136" s="711">
        <f>Bilans_E_AMS_Kyoto_run3_MTE!T397+Bilans_E_AMS_Kyoto_run3_MTE!U397</f>
        <v>0</v>
      </c>
      <c r="Q136" s="711">
        <f>Bilans_E_AMS_Kyoto_run3_MTE!V397</f>
        <v>0</v>
      </c>
      <c r="R136" s="711">
        <f>Bilans_E_AMS_Kyoto_run3_MTE!W397</f>
        <v>0</v>
      </c>
      <c r="S136" s="711">
        <f>Bilans_E_AMS_Kyoto_run3_MTE!X397</f>
        <v>0</v>
      </c>
      <c r="T136" s="711">
        <f>Bilans_E_AMS_Kyoto_run3_MTE!Y397</f>
        <v>0</v>
      </c>
      <c r="U136" s="711">
        <f>Bilans_E_AMS_Kyoto_run3_MTE!Z397</f>
        <v>2.7212802990457021</v>
      </c>
      <c r="V136" s="701"/>
      <c r="W136" s="701"/>
    </row>
    <row r="137" spans="1:23" x14ac:dyDescent="0.25">
      <c r="A137" s="701" t="s">
        <v>500</v>
      </c>
      <c r="B137" s="701"/>
      <c r="C137" s="717" t="s">
        <v>351</v>
      </c>
      <c r="D137" s="711">
        <f>Bilans_E_AMS_Kyoto_run3_MTE!H398</f>
        <v>0</v>
      </c>
      <c r="E137" s="711">
        <f>Bilans_E_AMS_Kyoto_run3_MTE!I398</f>
        <v>0</v>
      </c>
      <c r="F137" s="711">
        <f>Bilans_E_AMS_Kyoto_run3_MTE!J398</f>
        <v>0</v>
      </c>
      <c r="G137" s="711">
        <f>Bilans_E_AMS_Kyoto_run3_MTE!K398</f>
        <v>0</v>
      </c>
      <c r="H137" s="711">
        <f>Bilans_E_AMS_Kyoto_run3_MTE!L398</f>
        <v>0</v>
      </c>
      <c r="I137" s="711">
        <f>Bilans_E_AMS_Kyoto_run3_MTE!M398</f>
        <v>0</v>
      </c>
      <c r="J137" s="711">
        <f>Bilans_E_AMS_Kyoto_run3_MTE!N398</f>
        <v>0</v>
      </c>
      <c r="K137" s="711">
        <f>Bilans_E_AMS_Kyoto_run3_MTE!O398</f>
        <v>0</v>
      </c>
      <c r="L137" s="711">
        <f>Bilans_E_AMS_Kyoto_run3_MTE!P398</f>
        <v>88.639921652360655</v>
      </c>
      <c r="M137" s="711">
        <f>Bilans_E_AMS_Kyoto_run3_MTE!Q398</f>
        <v>7.2727272727272725</v>
      </c>
      <c r="N137" s="711">
        <f>Bilans_E_AMS_Kyoto_run3_MTE!R398</f>
        <v>-53.457042752935592</v>
      </c>
      <c r="O137" s="711">
        <f>Bilans_E_AMS_Kyoto_run3_MTE!S398</f>
        <v>0</v>
      </c>
      <c r="P137" s="711">
        <f>Bilans_E_AMS_Kyoto_run3_MTE!T398+Bilans_E_AMS_Kyoto_run3_MTE!U398</f>
        <v>0</v>
      </c>
      <c r="Q137" s="711">
        <f>Bilans_E_AMS_Kyoto_run3_MTE!V398</f>
        <v>0</v>
      </c>
      <c r="R137" s="711">
        <f>Bilans_E_AMS_Kyoto_run3_MTE!W398</f>
        <v>0</v>
      </c>
      <c r="S137" s="711">
        <f>Bilans_E_AMS_Kyoto_run3_MTE!X398</f>
        <v>0</v>
      </c>
      <c r="T137" s="711">
        <f>Bilans_E_AMS_Kyoto_run3_MTE!Y398</f>
        <v>0</v>
      </c>
      <c r="U137" s="711">
        <f>Bilans_E_AMS_Kyoto_run3_MTE!Z398</f>
        <v>42.455606172152329</v>
      </c>
      <c r="V137" s="701"/>
      <c r="W137" s="701"/>
    </row>
    <row r="138" spans="1:23" x14ac:dyDescent="0.25">
      <c r="A138" s="701" t="s">
        <v>501</v>
      </c>
      <c r="B138" s="701"/>
      <c r="C138" s="717" t="s">
        <v>352</v>
      </c>
      <c r="D138" s="711">
        <f>Bilans_E_AMS_Kyoto_run3_MTE!H399</f>
        <v>0</v>
      </c>
      <c r="E138" s="711">
        <f>Bilans_E_AMS_Kyoto_run3_MTE!I399</f>
        <v>0</v>
      </c>
      <c r="F138" s="711">
        <f>Bilans_E_AMS_Kyoto_run3_MTE!J399</f>
        <v>0</v>
      </c>
      <c r="G138" s="711">
        <f>Bilans_E_AMS_Kyoto_run3_MTE!K399</f>
        <v>-4.3840446509759525</v>
      </c>
      <c r="H138" s="711">
        <f>Bilans_E_AMS_Kyoto_run3_MTE!L399</f>
        <v>0</v>
      </c>
      <c r="I138" s="711">
        <f>Bilans_E_AMS_Kyoto_run3_MTE!M399</f>
        <v>0</v>
      </c>
      <c r="J138" s="711">
        <f>Bilans_E_AMS_Kyoto_run3_MTE!N399</f>
        <v>0</v>
      </c>
      <c r="K138" s="711">
        <f>Bilans_E_AMS_Kyoto_run3_MTE!O399</f>
        <v>0</v>
      </c>
      <c r="L138" s="711">
        <f>Bilans_E_AMS_Kyoto_run3_MTE!P399</f>
        <v>0</v>
      </c>
      <c r="M138" s="711">
        <f>Bilans_E_AMS_Kyoto_run3_MTE!Q399</f>
        <v>0</v>
      </c>
      <c r="N138" s="711">
        <f>Bilans_E_AMS_Kyoto_run3_MTE!R399</f>
        <v>0</v>
      </c>
      <c r="O138" s="711">
        <f>Bilans_E_AMS_Kyoto_run3_MTE!S399</f>
        <v>0</v>
      </c>
      <c r="P138" s="711">
        <f>Bilans_E_AMS_Kyoto_run3_MTE!T399+Bilans_E_AMS_Kyoto_run3_MTE!U399</f>
        <v>0</v>
      </c>
      <c r="Q138" s="711">
        <f>Bilans_E_AMS_Kyoto_run3_MTE!V399</f>
        <v>0</v>
      </c>
      <c r="R138" s="711">
        <f>Bilans_E_AMS_Kyoto_run3_MTE!W399</f>
        <v>0</v>
      </c>
      <c r="S138" s="711">
        <f>Bilans_E_AMS_Kyoto_run3_MTE!X399</f>
        <v>0</v>
      </c>
      <c r="T138" s="711">
        <f>Bilans_E_AMS_Kyoto_run3_MTE!Y399</f>
        <v>7.2149491160735479</v>
      </c>
      <c r="U138" s="711">
        <f>Bilans_E_AMS_Kyoto_run3_MTE!Z399</f>
        <v>2.8309044650975954</v>
      </c>
      <c r="V138" s="701"/>
      <c r="W138" s="701"/>
    </row>
    <row r="139" spans="1:23" x14ac:dyDescent="0.25">
      <c r="A139" s="701" t="s">
        <v>502</v>
      </c>
      <c r="B139" s="701"/>
      <c r="C139" s="717" t="s">
        <v>73</v>
      </c>
      <c r="D139" s="711">
        <f>Bilans_E_AMS_Kyoto_run3_MTE!H400</f>
        <v>0</v>
      </c>
      <c r="E139" s="711">
        <f>Bilans_E_AMS_Kyoto_run3_MTE!I400</f>
        <v>0</v>
      </c>
      <c r="F139" s="711">
        <f>Bilans_E_AMS_Kyoto_run3_MTE!J400</f>
        <v>0</v>
      </c>
      <c r="G139" s="711">
        <f>Bilans_E_AMS_Kyoto_run3_MTE!K400</f>
        <v>0</v>
      </c>
      <c r="H139" s="711">
        <f>Bilans_E_AMS_Kyoto_run3_MTE!L400</f>
        <v>0</v>
      </c>
      <c r="I139" s="711">
        <f>Bilans_E_AMS_Kyoto_run3_MTE!M400</f>
        <v>0</v>
      </c>
      <c r="J139" s="711">
        <f>Bilans_E_AMS_Kyoto_run3_MTE!N400</f>
        <v>0</v>
      </c>
      <c r="K139" s="711">
        <f>Bilans_E_AMS_Kyoto_run3_MTE!O400</f>
        <v>0</v>
      </c>
      <c r="L139" s="711">
        <f>Bilans_E_AMS_Kyoto_run3_MTE!P400</f>
        <v>0</v>
      </c>
      <c r="M139" s="711">
        <f>Bilans_E_AMS_Kyoto_run3_MTE!Q400</f>
        <v>0</v>
      </c>
      <c r="N139" s="711">
        <f>Bilans_E_AMS_Kyoto_run3_MTE!R400</f>
        <v>0</v>
      </c>
      <c r="O139" s="711">
        <f>Bilans_E_AMS_Kyoto_run3_MTE!S400</f>
        <v>0</v>
      </c>
      <c r="P139" s="711">
        <f>Bilans_E_AMS_Kyoto_run3_MTE!T400+Bilans_E_AMS_Kyoto_run3_MTE!U400</f>
        <v>0</v>
      </c>
      <c r="Q139" s="711">
        <f>Bilans_E_AMS_Kyoto_run3_MTE!V400</f>
        <v>0</v>
      </c>
      <c r="R139" s="711">
        <f>Bilans_E_AMS_Kyoto_run3_MTE!W400</f>
        <v>40.8329668197633</v>
      </c>
      <c r="S139" s="711">
        <f>Bilans_E_AMS_Kyoto_run3_MTE!X400</f>
        <v>0</v>
      </c>
      <c r="T139" s="711">
        <f>Bilans_E_AMS_Kyoto_run3_MTE!Y400</f>
        <v>-27.684751503799522</v>
      </c>
      <c r="U139" s="711">
        <f>Bilans_E_AMS_Kyoto_run3_MTE!Z400</f>
        <v>13.148215315963778</v>
      </c>
      <c r="V139" s="701"/>
      <c r="W139" s="701"/>
    </row>
    <row r="140" spans="1:23" x14ac:dyDescent="0.25">
      <c r="A140" s="701" t="s">
        <v>503</v>
      </c>
      <c r="B140" s="701"/>
      <c r="C140" s="717" t="s">
        <v>353</v>
      </c>
      <c r="D140" s="711">
        <f>Bilans_E_AMS_Kyoto_run3_MTE!H401</f>
        <v>8.7196264453124996</v>
      </c>
      <c r="E140" s="711">
        <f>Bilans_E_AMS_Kyoto_run3_MTE!I401</f>
        <v>-9.5320685428382639</v>
      </c>
      <c r="F140" s="711">
        <f>Bilans_E_AMS_Kyoto_run3_MTE!J401</f>
        <v>12.621512149777095</v>
      </c>
      <c r="G140" s="711">
        <f>Bilans_E_AMS_Kyoto_run3_MTE!K401</f>
        <v>0</v>
      </c>
      <c r="H140" s="711">
        <f>Bilans_E_AMS_Kyoto_run3_MTE!L401</f>
        <v>0</v>
      </c>
      <c r="I140" s="711">
        <f>Bilans_E_AMS_Kyoto_run3_MTE!M401</f>
        <v>0</v>
      </c>
      <c r="J140" s="711">
        <f>Bilans_E_AMS_Kyoto_run3_MTE!N401</f>
        <v>0</v>
      </c>
      <c r="K140" s="711">
        <f>Bilans_E_AMS_Kyoto_run3_MTE!O401</f>
        <v>0</v>
      </c>
      <c r="L140" s="711">
        <f>Bilans_E_AMS_Kyoto_run3_MTE!P401</f>
        <v>0</v>
      </c>
      <c r="M140" s="711">
        <f>Bilans_E_AMS_Kyoto_run3_MTE!Q401</f>
        <v>0</v>
      </c>
      <c r="N140" s="711">
        <f>Bilans_E_AMS_Kyoto_run3_MTE!R401</f>
        <v>0</v>
      </c>
      <c r="O140" s="711">
        <f>Bilans_E_AMS_Kyoto_run3_MTE!S401</f>
        <v>0</v>
      </c>
      <c r="P140" s="711">
        <f>Bilans_E_AMS_Kyoto_run3_MTE!T401+Bilans_E_AMS_Kyoto_run3_MTE!U401</f>
        <v>0</v>
      </c>
      <c r="Q140" s="711">
        <f>Bilans_E_AMS_Kyoto_run3_MTE!V401</f>
        <v>0</v>
      </c>
      <c r="R140" s="711">
        <f>Bilans_E_AMS_Kyoto_run3_MTE!W401</f>
        <v>0</v>
      </c>
      <c r="S140" s="711">
        <f>Bilans_E_AMS_Kyoto_run3_MTE!X401</f>
        <v>0</v>
      </c>
      <c r="T140" s="711">
        <f>Bilans_E_AMS_Kyoto_run3_MTE!Y401</f>
        <v>0</v>
      </c>
      <c r="U140" s="711">
        <f>Bilans_E_AMS_Kyoto_run3_MTE!Z401</f>
        <v>11.809070052251331</v>
      </c>
      <c r="V140" s="701"/>
      <c r="W140" s="701"/>
    </row>
    <row r="141" spans="1:23" x14ac:dyDescent="0.25">
      <c r="A141" s="701" t="s">
        <v>504</v>
      </c>
      <c r="B141" s="701"/>
      <c r="C141" s="717" t="s">
        <v>75</v>
      </c>
      <c r="D141" s="711">
        <f>Bilans_E_AMS_Kyoto_run3_MTE!H402</f>
        <v>3.3909658398437501</v>
      </c>
      <c r="E141" s="711">
        <f>Bilans_E_AMS_Kyoto_run3_MTE!I402</f>
        <v>0</v>
      </c>
      <c r="F141" s="711">
        <f>Bilans_E_AMS_Kyoto_run3_MTE!J402</f>
        <v>9.432796735269573</v>
      </c>
      <c r="G141" s="711">
        <f>Bilans_E_AMS_Kyoto_run3_MTE!K402</f>
        <v>0</v>
      </c>
      <c r="H141" s="711">
        <f>Bilans_E_AMS_Kyoto_run3_MTE!L402</f>
        <v>0</v>
      </c>
      <c r="I141" s="711">
        <f>Bilans_E_AMS_Kyoto_run3_MTE!M402</f>
        <v>0</v>
      </c>
      <c r="J141" s="711">
        <f>Bilans_E_AMS_Kyoto_run3_MTE!N402</f>
        <v>0</v>
      </c>
      <c r="K141" s="711">
        <f>Bilans_E_AMS_Kyoto_run3_MTE!O402</f>
        <v>0</v>
      </c>
      <c r="L141" s="711">
        <f>Bilans_E_AMS_Kyoto_run3_MTE!P402</f>
        <v>0</v>
      </c>
      <c r="M141" s="711">
        <f>Bilans_E_AMS_Kyoto_run3_MTE!Q402</f>
        <v>0</v>
      </c>
      <c r="N141" s="711">
        <f>Bilans_E_AMS_Kyoto_run3_MTE!R402</f>
        <v>0</v>
      </c>
      <c r="O141" s="711">
        <f>Bilans_E_AMS_Kyoto_run3_MTE!S402</f>
        <v>0</v>
      </c>
      <c r="P141" s="711">
        <f>Bilans_E_AMS_Kyoto_run3_MTE!T402+Bilans_E_AMS_Kyoto_run3_MTE!U402</f>
        <v>0</v>
      </c>
      <c r="Q141" s="711">
        <f>Bilans_E_AMS_Kyoto_run3_MTE!V402</f>
        <v>0</v>
      </c>
      <c r="R141" s="711">
        <f>Bilans_E_AMS_Kyoto_run3_MTE!W402</f>
        <v>37.320812200670765</v>
      </c>
      <c r="S141" s="711">
        <f>Bilans_E_AMS_Kyoto_run3_MTE!X402</f>
        <v>0</v>
      </c>
      <c r="T141" s="711">
        <f>Bilans_E_AMS_Kyoto_run3_MTE!Y402</f>
        <v>2.676146999689228</v>
      </c>
      <c r="U141" s="711">
        <f>Bilans_E_AMS_Kyoto_run3_MTE!Z402</f>
        <v>52.820721775473316</v>
      </c>
      <c r="V141" s="701"/>
      <c r="W141" s="701"/>
    </row>
    <row r="142" spans="1:23" x14ac:dyDescent="0.25">
      <c r="A142" s="701" t="s">
        <v>505</v>
      </c>
      <c r="B142" s="701"/>
      <c r="C142" s="717" t="s">
        <v>76</v>
      </c>
      <c r="D142" s="711">
        <f>Bilans_E_AMS_Kyoto_run3_MTE!H403</f>
        <v>0</v>
      </c>
      <c r="E142" s="711">
        <f>Bilans_E_AMS_Kyoto_run3_MTE!I403</f>
        <v>0</v>
      </c>
      <c r="F142" s="711">
        <f>Bilans_E_AMS_Kyoto_run3_MTE!J403</f>
        <v>0</v>
      </c>
      <c r="G142" s="711">
        <f>Bilans_E_AMS_Kyoto_run3_MTE!K403</f>
        <v>0</v>
      </c>
      <c r="H142" s="711">
        <f>Bilans_E_AMS_Kyoto_run3_MTE!L403</f>
        <v>1.5888753550805288</v>
      </c>
      <c r="I142" s="711">
        <f>Bilans_E_AMS_Kyoto_run3_MTE!M403</f>
        <v>0</v>
      </c>
      <c r="J142" s="711">
        <f>Bilans_E_AMS_Kyoto_run3_MTE!N403</f>
        <v>0</v>
      </c>
      <c r="K142" s="711">
        <f>Bilans_E_AMS_Kyoto_run3_MTE!O403</f>
        <v>0</v>
      </c>
      <c r="L142" s="711">
        <f>Bilans_E_AMS_Kyoto_run3_MTE!P403</f>
        <v>0</v>
      </c>
      <c r="M142" s="711">
        <f>Bilans_E_AMS_Kyoto_run3_MTE!Q403</f>
        <v>0</v>
      </c>
      <c r="N142" s="711">
        <f>Bilans_E_AMS_Kyoto_run3_MTE!R403</f>
        <v>0</v>
      </c>
      <c r="O142" s="711">
        <f>Bilans_E_AMS_Kyoto_run3_MTE!S403</f>
        <v>0.74770604944966079</v>
      </c>
      <c r="P142" s="711">
        <f>Bilans_E_AMS_Kyoto_run3_MTE!T403+Bilans_E_AMS_Kyoto_run3_MTE!U403</f>
        <v>0</v>
      </c>
      <c r="Q142" s="711">
        <f>Bilans_E_AMS_Kyoto_run3_MTE!V403</f>
        <v>0</v>
      </c>
      <c r="R142" s="711">
        <f>Bilans_E_AMS_Kyoto_run3_MTE!W403</f>
        <v>53.75602745291291</v>
      </c>
      <c r="S142" s="711">
        <f>Bilans_E_AMS_Kyoto_run3_MTE!X403</f>
        <v>7.0140473976328979</v>
      </c>
      <c r="T142" s="711">
        <f>Bilans_E_AMS_Kyoto_run3_MTE!Y403</f>
        <v>0</v>
      </c>
      <c r="U142" s="711">
        <f>Bilans_E_AMS_Kyoto_run3_MTE!Z403</f>
        <v>63.106656255075997</v>
      </c>
      <c r="V142" s="701"/>
      <c r="W142" s="701"/>
    </row>
    <row r="143" spans="1:23" x14ac:dyDescent="0.25">
      <c r="A143" s="701" t="s">
        <v>506</v>
      </c>
      <c r="B143" s="701"/>
      <c r="C143" s="713" t="s">
        <v>77</v>
      </c>
      <c r="D143" s="714">
        <f>Bilans_E_AMS_Kyoto_run3_MTE!H404</f>
        <v>12.110592285156249</v>
      </c>
      <c r="E143" s="714">
        <f>Bilans_E_AMS_Kyoto_run3_MTE!I404</f>
        <v>262.59596136173099</v>
      </c>
      <c r="F143" s="714">
        <f>Bilans_E_AMS_Kyoto_run3_MTE!J404</f>
        <v>-246.9918626341933</v>
      </c>
      <c r="G143" s="714">
        <f>Bilans_E_AMS_Kyoto_run3_MTE!K404</f>
        <v>-4.3840446509759525</v>
      </c>
      <c r="H143" s="714">
        <f>Bilans_E_AMS_Kyoto_run3_MTE!L404</f>
        <v>26.981887803159271</v>
      </c>
      <c r="I143" s="714">
        <f>Bilans_E_AMS_Kyoto_run3_MTE!M404</f>
        <v>-0.83753949174200382</v>
      </c>
      <c r="J143" s="714">
        <f>Bilans_E_AMS_Kyoto_run3_MTE!N404</f>
        <v>1195.4990290598246</v>
      </c>
      <c r="K143" s="714">
        <f>Bilans_E_AMS_Kyoto_run3_MTE!O404</f>
        <v>352.81639892204078</v>
      </c>
      <c r="L143" s="714">
        <f>Bilans_E_AMS_Kyoto_run3_MTE!P404</f>
        <v>241.01955368819029</v>
      </c>
      <c r="M143" s="714">
        <f>Bilans_E_AMS_Kyoto_run3_MTE!Q404</f>
        <v>40.011167067075426</v>
      </c>
      <c r="N143" s="714">
        <f>Bilans_E_AMS_Kyoto_run3_MTE!R404</f>
        <v>-48.06922655803475</v>
      </c>
      <c r="O143" s="714">
        <f>Bilans_E_AMS_Kyoto_run3_MTE!S404</f>
        <v>-47.014624660559946</v>
      </c>
      <c r="P143" s="714">
        <f>Bilans_E_AMS_Kyoto_run3_MTE!T404+Bilans_E_AMS_Kyoto_run3_MTE!U404</f>
        <v>15.880539172662751</v>
      </c>
      <c r="Q143" s="714">
        <f>Bilans_E_AMS_Kyoto_run3_MTE!V404</f>
        <v>20.100740898344036</v>
      </c>
      <c r="R143" s="714">
        <f>Bilans_E_AMS_Kyoto_run3_MTE!W404</f>
        <v>-638.31752935206157</v>
      </c>
      <c r="S143" s="714">
        <f>Bilans_E_AMS_Kyoto_run3_MTE!X404</f>
        <v>-83.441428186519019</v>
      </c>
      <c r="T143" s="714">
        <f>Bilans_E_AMS_Kyoto_run3_MTE!Y404</f>
        <v>-16.630406093950629</v>
      </c>
      <c r="U143" s="714">
        <f>Bilans_E_AMS_Kyoto_run3_MTE!Z404</f>
        <v>1081.3292086301467</v>
      </c>
      <c r="V143" s="701"/>
      <c r="W143" s="701"/>
    </row>
    <row r="144" spans="1:23" x14ac:dyDescent="0.25">
      <c r="A144" s="701"/>
      <c r="B144" s="701"/>
      <c r="C144" s="715"/>
      <c r="D144" s="716"/>
      <c r="E144" s="716"/>
      <c r="F144" s="716"/>
      <c r="G144" s="716"/>
      <c r="H144" s="716"/>
      <c r="I144" s="716"/>
      <c r="J144" s="716"/>
      <c r="K144" s="716"/>
      <c r="L144" s="716"/>
      <c r="M144" s="716"/>
      <c r="N144" s="716"/>
      <c r="O144" s="716"/>
      <c r="P144" s="716">
        <f>Bilans_E_AMS_Kyoto_run3_MTE!T405+Bilans_E_AMS_Kyoto_run3_MTE!U405</f>
        <v>0</v>
      </c>
      <c r="Q144" s="716"/>
      <c r="R144" s="716"/>
      <c r="S144" s="716"/>
      <c r="T144" s="716"/>
      <c r="U144" s="716"/>
      <c r="V144" s="701"/>
      <c r="W144" s="701"/>
    </row>
    <row r="145" spans="1:23" x14ac:dyDescent="0.25">
      <c r="A145" s="701" t="s">
        <v>507</v>
      </c>
      <c r="B145" s="701"/>
      <c r="C145" s="717" t="s">
        <v>78</v>
      </c>
      <c r="D145" s="711">
        <f>Bilans_E_AMS_Kyoto_run3_MTE!H406</f>
        <v>0.420473388671875</v>
      </c>
      <c r="E145" s="711">
        <f>Bilans_E_AMS_Kyoto_run3_MTE!I406</f>
        <v>0</v>
      </c>
      <c r="F145" s="711">
        <f>Bilans_E_AMS_Kyoto_run3_MTE!J406</f>
        <v>4.5652166127933009</v>
      </c>
      <c r="G145" s="711">
        <f>Bilans_E_AMS_Kyoto_run3_MTE!K406</f>
        <v>0</v>
      </c>
      <c r="H145" s="711">
        <f>Bilans_E_AMS_Kyoto_run3_MTE!L406</f>
        <v>44.193879337952673</v>
      </c>
      <c r="I145" s="711">
        <f>Bilans_E_AMS_Kyoto_run3_MTE!M406</f>
        <v>0</v>
      </c>
      <c r="J145" s="711">
        <f>Bilans_E_AMS_Kyoto_run3_MTE!N406</f>
        <v>0</v>
      </c>
      <c r="K145" s="711">
        <f>Bilans_E_AMS_Kyoto_run3_MTE!O406</f>
        <v>0</v>
      </c>
      <c r="L145" s="711">
        <f>Bilans_E_AMS_Kyoto_run3_MTE!P406</f>
        <v>37.859111409249969</v>
      </c>
      <c r="M145" s="711">
        <f>Bilans_E_AMS_Kyoto_run3_MTE!Q406</f>
        <v>9.091644549053445</v>
      </c>
      <c r="N145" s="711">
        <f>Bilans_E_AMS_Kyoto_run3_MTE!R406</f>
        <v>0.79775456348402363</v>
      </c>
      <c r="O145" s="711">
        <f>Bilans_E_AMS_Kyoto_run3_MTE!S406</f>
        <v>20.833903688960643</v>
      </c>
      <c r="P145" s="711">
        <f>Bilans_E_AMS_Kyoto_run3_MTE!T406+Bilans_E_AMS_Kyoto_run3_MTE!U406</f>
        <v>9.7897363281250005</v>
      </c>
      <c r="Q145" s="711">
        <f>Bilans_E_AMS_Kyoto_run3_MTE!V406</f>
        <v>7.4990210834655101E-4</v>
      </c>
      <c r="R145" s="711">
        <f>Bilans_E_AMS_Kyoto_run3_MTE!W406</f>
        <v>154.61632550799115</v>
      </c>
      <c r="S145" s="711">
        <f>Bilans_E_AMS_Kyoto_run3_MTE!X406</f>
        <v>19.58585971983296</v>
      </c>
      <c r="T145" s="711">
        <f>Bilans_E_AMS_Kyoto_run3_MTE!Y406</f>
        <v>8.1097109374999992</v>
      </c>
      <c r="U145" s="711">
        <f>Bilans_E_AMS_Kyoto_run3_MTE!Z406</f>
        <v>309.86436594572336</v>
      </c>
      <c r="V145" s="701"/>
      <c r="W145" s="701"/>
    </row>
    <row r="146" spans="1:23" x14ac:dyDescent="0.25">
      <c r="A146" s="701" t="s">
        <v>508</v>
      </c>
      <c r="B146" s="701"/>
      <c r="C146" s="717" t="s">
        <v>79</v>
      </c>
      <c r="D146" s="711">
        <f>Bilans_E_AMS_Kyoto_run3_MTE!H407</f>
        <v>0</v>
      </c>
      <c r="E146" s="711">
        <f>Bilans_E_AMS_Kyoto_run3_MTE!I407</f>
        <v>0</v>
      </c>
      <c r="F146" s="711">
        <f>Bilans_E_AMS_Kyoto_run3_MTE!J407</f>
        <v>145.74847122117117</v>
      </c>
      <c r="G146" s="711">
        <f>Bilans_E_AMS_Kyoto_run3_MTE!K407</f>
        <v>0.6</v>
      </c>
      <c r="H146" s="711">
        <f>Bilans_E_AMS_Kyoto_run3_MTE!L407</f>
        <v>5.158710288451207</v>
      </c>
      <c r="I146" s="711">
        <f>Bilans_E_AMS_Kyoto_run3_MTE!M407</f>
        <v>0</v>
      </c>
      <c r="J146" s="711">
        <f>Bilans_E_AMS_Kyoto_run3_MTE!N407</f>
        <v>0</v>
      </c>
      <c r="K146" s="711">
        <f>Bilans_E_AMS_Kyoto_run3_MTE!O407</f>
        <v>0</v>
      </c>
      <c r="L146" s="711">
        <f>Bilans_E_AMS_Kyoto_run3_MTE!P407</f>
        <v>0</v>
      </c>
      <c r="M146" s="711">
        <f>Bilans_E_AMS_Kyoto_run3_MTE!Q407</f>
        <v>0</v>
      </c>
      <c r="N146" s="711">
        <f>Bilans_E_AMS_Kyoto_run3_MTE!R407</f>
        <v>37.983450784080269</v>
      </c>
      <c r="O146" s="711">
        <f>Bilans_E_AMS_Kyoto_run3_MTE!S407</f>
        <v>2.4276283710358628</v>
      </c>
      <c r="P146" s="711">
        <f>Bilans_E_AMS_Kyoto_run3_MTE!T407+Bilans_E_AMS_Kyoto_run3_MTE!U407</f>
        <v>0</v>
      </c>
      <c r="Q146" s="711">
        <f>Bilans_E_AMS_Kyoto_run3_MTE!V407</f>
        <v>0</v>
      </c>
      <c r="R146" s="711">
        <f>Bilans_E_AMS_Kyoto_run3_MTE!W407</f>
        <v>85.093782574296696</v>
      </c>
      <c r="S146" s="711">
        <f>Bilans_E_AMS_Kyoto_run3_MTE!X407</f>
        <v>0</v>
      </c>
      <c r="T146" s="711">
        <f>Bilans_E_AMS_Kyoto_run3_MTE!Y407</f>
        <v>3.6734052555319421</v>
      </c>
      <c r="U146" s="711">
        <f>Bilans_E_AMS_Kyoto_run3_MTE!Z407</f>
        <v>280.68544849456714</v>
      </c>
      <c r="V146" s="701"/>
      <c r="W146" s="701"/>
    </row>
    <row r="147" spans="1:23" x14ac:dyDescent="0.25">
      <c r="A147" s="701" t="s">
        <v>509</v>
      </c>
      <c r="B147" s="701"/>
      <c r="C147" s="717" t="s">
        <v>80</v>
      </c>
      <c r="D147" s="711">
        <f>Bilans_E_AMS_Kyoto_run3_MTE!H408</f>
        <v>0</v>
      </c>
      <c r="E147" s="711">
        <f>Bilans_E_AMS_Kyoto_run3_MTE!I408</f>
        <v>0</v>
      </c>
      <c r="F147" s="711">
        <f>Bilans_E_AMS_Kyoto_run3_MTE!J408</f>
        <v>0.67200053608066723</v>
      </c>
      <c r="G147" s="711">
        <f>Bilans_E_AMS_Kyoto_run3_MTE!K408</f>
        <v>0</v>
      </c>
      <c r="H147" s="711">
        <f>Bilans_E_AMS_Kyoto_run3_MTE!L408</f>
        <v>33.793440313703563</v>
      </c>
      <c r="I147" s="711">
        <f>Bilans_E_AMS_Kyoto_run3_MTE!M408</f>
        <v>0</v>
      </c>
      <c r="J147" s="711">
        <f>Bilans_E_AMS_Kyoto_run3_MTE!N408</f>
        <v>0</v>
      </c>
      <c r="K147" s="711">
        <f>Bilans_E_AMS_Kyoto_run3_MTE!O408</f>
        <v>0</v>
      </c>
      <c r="L147" s="711">
        <f>Bilans_E_AMS_Kyoto_run3_MTE!P408</f>
        <v>46.869025063770188</v>
      </c>
      <c r="M147" s="711">
        <f>Bilans_E_AMS_Kyoto_run3_MTE!Q408</f>
        <v>0</v>
      </c>
      <c r="N147" s="711">
        <f>Bilans_E_AMS_Kyoto_run3_MTE!R408</f>
        <v>0</v>
      </c>
      <c r="O147" s="711">
        <f>Bilans_E_AMS_Kyoto_run3_MTE!S408</f>
        <v>15.902795441742857</v>
      </c>
      <c r="P147" s="711">
        <f>Bilans_E_AMS_Kyoto_run3_MTE!T408+Bilans_E_AMS_Kyoto_run3_MTE!U408</f>
        <v>126.0368711002035</v>
      </c>
      <c r="Q147" s="711">
        <f>Bilans_E_AMS_Kyoto_run3_MTE!V408</f>
        <v>10.28748002838279</v>
      </c>
      <c r="R147" s="711">
        <f>Bilans_E_AMS_Kyoto_run3_MTE!W408</f>
        <v>153.25630739971572</v>
      </c>
      <c r="S147" s="711">
        <f>Bilans_E_AMS_Kyoto_run3_MTE!X408</f>
        <v>40.560183148779373</v>
      </c>
      <c r="T147" s="711">
        <f>Bilans_E_AMS_Kyoto_run3_MTE!Y408</f>
        <v>0</v>
      </c>
      <c r="U147" s="711">
        <f>Bilans_E_AMS_Kyoto_run3_MTE!Z408</f>
        <v>427.3781030323787</v>
      </c>
      <c r="V147" s="701"/>
      <c r="W147" s="701"/>
    </row>
    <row r="148" spans="1:23" x14ac:dyDescent="0.25">
      <c r="A148" s="701" t="s">
        <v>510</v>
      </c>
      <c r="B148" s="701"/>
      <c r="C148" s="717" t="s">
        <v>81</v>
      </c>
      <c r="D148" s="711">
        <f>Bilans_E_AMS_Kyoto_run3_MTE!H409</f>
        <v>0</v>
      </c>
      <c r="E148" s="711">
        <f>Bilans_E_AMS_Kyoto_run3_MTE!I409</f>
        <v>0</v>
      </c>
      <c r="F148" s="711">
        <f>Bilans_E_AMS_Kyoto_run3_MTE!J409</f>
        <v>1.3024591903190665</v>
      </c>
      <c r="G148" s="711">
        <f>Bilans_E_AMS_Kyoto_run3_MTE!K409</f>
        <v>0</v>
      </c>
      <c r="H148" s="711">
        <f>Bilans_E_AMS_Kyoto_run3_MTE!L409</f>
        <v>22.107329443509556</v>
      </c>
      <c r="I148" s="711">
        <f>Bilans_E_AMS_Kyoto_run3_MTE!M409</f>
        <v>0</v>
      </c>
      <c r="J148" s="711">
        <f>Bilans_E_AMS_Kyoto_run3_MTE!N409</f>
        <v>0</v>
      </c>
      <c r="K148" s="711">
        <f>Bilans_E_AMS_Kyoto_run3_MTE!O409</f>
        <v>0</v>
      </c>
      <c r="L148" s="711">
        <f>Bilans_E_AMS_Kyoto_run3_MTE!P409</f>
        <v>0.55939285776182701</v>
      </c>
      <c r="M148" s="711">
        <f>Bilans_E_AMS_Kyoto_run3_MTE!Q409</f>
        <v>0</v>
      </c>
      <c r="N148" s="711">
        <f>Bilans_E_AMS_Kyoto_run3_MTE!R409</f>
        <v>0</v>
      </c>
      <c r="O148" s="711">
        <f>Bilans_E_AMS_Kyoto_run3_MTE!S409</f>
        <v>10.403449149886853</v>
      </c>
      <c r="P148" s="711">
        <f>Bilans_E_AMS_Kyoto_run3_MTE!T409+Bilans_E_AMS_Kyoto_run3_MTE!U409</f>
        <v>48.192635744936815</v>
      </c>
      <c r="Q148" s="711">
        <f>Bilans_E_AMS_Kyoto_run3_MTE!V409</f>
        <v>9.224237582113501</v>
      </c>
      <c r="R148" s="711">
        <f>Bilans_E_AMS_Kyoto_run3_MTE!W409</f>
        <v>121.55538254836378</v>
      </c>
      <c r="S148" s="711">
        <f>Bilans_E_AMS_Kyoto_run3_MTE!X409</f>
        <v>23.29535389238076</v>
      </c>
      <c r="T148" s="711">
        <f>Bilans_E_AMS_Kyoto_run3_MTE!Y409</f>
        <v>0</v>
      </c>
      <c r="U148" s="711">
        <f>Bilans_E_AMS_Kyoto_run3_MTE!Z409</f>
        <v>236.64024040927217</v>
      </c>
      <c r="V148" s="701"/>
      <c r="W148" s="701"/>
    </row>
    <row r="149" spans="1:23" x14ac:dyDescent="0.25">
      <c r="A149" s="701" t="s">
        <v>511</v>
      </c>
      <c r="B149" s="701"/>
      <c r="C149" s="717" t="s">
        <v>82</v>
      </c>
      <c r="D149" s="711">
        <f>Bilans_E_AMS_Kyoto_run3_MTE!H410</f>
        <v>0</v>
      </c>
      <c r="E149" s="711">
        <f>Bilans_E_AMS_Kyoto_run3_MTE!I410</f>
        <v>0</v>
      </c>
      <c r="F149" s="711">
        <f>Bilans_E_AMS_Kyoto_run3_MTE!J410</f>
        <v>17.072371941732264</v>
      </c>
      <c r="G149" s="711">
        <f>Bilans_E_AMS_Kyoto_run3_MTE!K410</f>
        <v>0</v>
      </c>
      <c r="H149" s="711">
        <f>Bilans_E_AMS_Kyoto_run3_MTE!L410</f>
        <v>0.9182073287540522</v>
      </c>
      <c r="I149" s="711">
        <f>Bilans_E_AMS_Kyoto_run3_MTE!M410</f>
        <v>0</v>
      </c>
      <c r="J149" s="711">
        <f>Bilans_E_AMS_Kyoto_run3_MTE!N410</f>
        <v>0</v>
      </c>
      <c r="K149" s="711">
        <f>Bilans_E_AMS_Kyoto_run3_MTE!O410</f>
        <v>0</v>
      </c>
      <c r="L149" s="711">
        <f>Bilans_E_AMS_Kyoto_run3_MTE!P410</f>
        <v>14.623275458181073</v>
      </c>
      <c r="M149" s="711">
        <f>Bilans_E_AMS_Kyoto_run3_MTE!Q410</f>
        <v>0</v>
      </c>
      <c r="N149" s="711">
        <f>Bilans_E_AMS_Kyoto_run3_MTE!R410</f>
        <v>6.5072970956675134</v>
      </c>
      <c r="O149" s="711">
        <f>Bilans_E_AMS_Kyoto_run3_MTE!S410</f>
        <v>0.43209756647249531</v>
      </c>
      <c r="P149" s="711">
        <f>Bilans_E_AMS_Kyoto_run3_MTE!T410+Bilans_E_AMS_Kyoto_run3_MTE!U410</f>
        <v>0.9</v>
      </c>
      <c r="Q149" s="711">
        <f>Bilans_E_AMS_Kyoto_run3_MTE!V410</f>
        <v>1.1655332190637568</v>
      </c>
      <c r="R149" s="711">
        <f>Bilans_E_AMS_Kyoto_run3_MTE!W410</f>
        <v>9.1593739040126536</v>
      </c>
      <c r="S149" s="711">
        <f>Bilans_E_AMS_Kyoto_run3_MTE!X410</f>
        <v>0</v>
      </c>
      <c r="T149" s="711">
        <f>Bilans_E_AMS_Kyoto_run3_MTE!Y410</f>
        <v>0.38638525521088363</v>
      </c>
      <c r="U149" s="711">
        <f>Bilans_E_AMS_Kyoto_run3_MTE!Z410</f>
        <v>51.164541769094683</v>
      </c>
      <c r="V149" s="701"/>
      <c r="W149" s="701"/>
    </row>
    <row r="150" spans="1:23" x14ac:dyDescent="0.25">
      <c r="A150" s="701" t="s">
        <v>512</v>
      </c>
      <c r="B150" s="701"/>
      <c r="C150" s="717" t="s">
        <v>354</v>
      </c>
      <c r="D150" s="711">
        <f>Bilans_E_AMS_Kyoto_run3_MTE!H411</f>
        <v>0</v>
      </c>
      <c r="E150" s="711">
        <f>Bilans_E_AMS_Kyoto_run3_MTE!I411</f>
        <v>0</v>
      </c>
      <c r="F150" s="711">
        <f>Bilans_E_AMS_Kyoto_run3_MTE!J411</f>
        <v>0</v>
      </c>
      <c r="G150" s="711">
        <f>Bilans_E_AMS_Kyoto_run3_MTE!K411</f>
        <v>0</v>
      </c>
      <c r="H150" s="711">
        <f>Bilans_E_AMS_Kyoto_run3_MTE!L411</f>
        <v>0</v>
      </c>
      <c r="I150" s="711">
        <f>Bilans_E_AMS_Kyoto_run3_MTE!M411</f>
        <v>0</v>
      </c>
      <c r="J150" s="711">
        <f>Bilans_E_AMS_Kyoto_run3_MTE!N411</f>
        <v>0</v>
      </c>
      <c r="K150" s="711">
        <f>Bilans_E_AMS_Kyoto_run3_MTE!O411</f>
        <v>0</v>
      </c>
      <c r="L150" s="711">
        <f>Bilans_E_AMS_Kyoto_run3_MTE!P411</f>
        <v>0</v>
      </c>
      <c r="M150" s="711">
        <f>Bilans_E_AMS_Kyoto_run3_MTE!Q411</f>
        <v>0</v>
      </c>
      <c r="N150" s="711">
        <f>Bilans_E_AMS_Kyoto_run3_MTE!R411</f>
        <v>0</v>
      </c>
      <c r="O150" s="711">
        <f>Bilans_E_AMS_Kyoto_run3_MTE!S411</f>
        <v>0</v>
      </c>
      <c r="P150" s="711">
        <f>Bilans_E_AMS_Kyoto_run3_MTE!T411+Bilans_E_AMS_Kyoto_run3_MTE!U411</f>
        <v>0</v>
      </c>
      <c r="Q150" s="711">
        <f>Bilans_E_AMS_Kyoto_run3_MTE!V411</f>
        <v>0</v>
      </c>
      <c r="R150" s="711">
        <f>Bilans_E_AMS_Kyoto_run3_MTE!W411</f>
        <v>2.16</v>
      </c>
      <c r="S150" s="711">
        <f>Bilans_E_AMS_Kyoto_run3_MTE!X411</f>
        <v>0</v>
      </c>
      <c r="T150" s="711">
        <f>Bilans_E_AMS_Kyoto_run3_MTE!Y411</f>
        <v>0</v>
      </c>
      <c r="U150" s="711">
        <f>Bilans_E_AMS_Kyoto_run3_MTE!Z411</f>
        <v>2.16</v>
      </c>
      <c r="V150" s="701"/>
      <c r="W150" s="701"/>
    </row>
    <row r="151" spans="1:23" x14ac:dyDescent="0.25">
      <c r="A151" s="701" t="s">
        <v>513</v>
      </c>
      <c r="B151" s="701"/>
      <c r="C151" s="713" t="s">
        <v>83</v>
      </c>
      <c r="D151" s="714">
        <f>Bilans_E_AMS_Kyoto_run3_MTE!H412</f>
        <v>0.420473388671875</v>
      </c>
      <c r="E151" s="714">
        <f>Bilans_E_AMS_Kyoto_run3_MTE!I412</f>
        <v>0</v>
      </c>
      <c r="F151" s="714">
        <f>Bilans_E_AMS_Kyoto_run3_MTE!J412</f>
        <v>169.36051950209648</v>
      </c>
      <c r="G151" s="714">
        <f>Bilans_E_AMS_Kyoto_run3_MTE!K412</f>
        <v>0.6</v>
      </c>
      <c r="H151" s="714">
        <f>Bilans_E_AMS_Kyoto_run3_MTE!L412</f>
        <v>106.17156671237105</v>
      </c>
      <c r="I151" s="714">
        <f>Bilans_E_AMS_Kyoto_run3_MTE!M412</f>
        <v>0</v>
      </c>
      <c r="J151" s="714">
        <f>Bilans_E_AMS_Kyoto_run3_MTE!N412</f>
        <v>0</v>
      </c>
      <c r="K151" s="714">
        <f>Bilans_E_AMS_Kyoto_run3_MTE!O412</f>
        <v>0</v>
      </c>
      <c r="L151" s="714">
        <f>Bilans_E_AMS_Kyoto_run3_MTE!P412</f>
        <v>99.910804788963048</v>
      </c>
      <c r="M151" s="714">
        <f>Bilans_E_AMS_Kyoto_run3_MTE!Q412</f>
        <v>9.091644549053445</v>
      </c>
      <c r="N151" s="714">
        <f>Bilans_E_AMS_Kyoto_run3_MTE!R412</f>
        <v>45.288502443231806</v>
      </c>
      <c r="O151" s="714">
        <f>Bilans_E_AMS_Kyoto_run3_MTE!S412</f>
        <v>49.999874218098711</v>
      </c>
      <c r="P151" s="714">
        <f>Bilans_E_AMS_Kyoto_run3_MTE!T412+Bilans_E_AMS_Kyoto_run3_MTE!U412</f>
        <v>184.9192431732653</v>
      </c>
      <c r="Q151" s="714">
        <f>Bilans_E_AMS_Kyoto_run3_MTE!V412</f>
        <v>20.678000731668394</v>
      </c>
      <c r="R151" s="714">
        <f>Bilans_E_AMS_Kyoto_run3_MTE!W412</f>
        <v>525.84117193437999</v>
      </c>
      <c r="S151" s="714">
        <f>Bilans_E_AMS_Kyoto_run3_MTE!X412</f>
        <v>83.441396760993086</v>
      </c>
      <c r="T151" s="714">
        <f>Bilans_E_AMS_Kyoto_run3_MTE!Y412</f>
        <v>12.169501448242825</v>
      </c>
      <c r="U151" s="714">
        <f>Bilans_E_AMS_Kyoto_run3_MTE!Z412</f>
        <v>1307.8926996510361</v>
      </c>
      <c r="V151" s="701"/>
      <c r="W151" s="701"/>
    </row>
    <row r="152" spans="1:23" x14ac:dyDescent="0.25">
      <c r="A152" s="701" t="s">
        <v>514</v>
      </c>
      <c r="B152" s="701"/>
      <c r="C152" s="710" t="s">
        <v>84</v>
      </c>
      <c r="D152" s="711">
        <f>Bilans_E_AMS_Kyoto_run3_MTE!H413</f>
        <v>0</v>
      </c>
      <c r="E152" s="711">
        <f>Bilans_E_AMS_Kyoto_run3_MTE!I413</f>
        <v>0</v>
      </c>
      <c r="F152" s="711">
        <f>Bilans_E_AMS_Kyoto_run3_MTE!J413</f>
        <v>104.56365491334468</v>
      </c>
      <c r="G152" s="711">
        <f>Bilans_E_AMS_Kyoto_run3_MTE!K413</f>
        <v>2.0095155133024498</v>
      </c>
      <c r="H152" s="711">
        <f>Bilans_E_AMS_Kyoto_run3_MTE!L413</f>
        <v>12.7291086591003</v>
      </c>
      <c r="I152" s="711">
        <f>Bilans_E_AMS_Kyoto_run3_MTE!M413</f>
        <v>0</v>
      </c>
      <c r="J152" s="711">
        <f>Bilans_E_AMS_Kyoto_run3_MTE!N413</f>
        <v>0</v>
      </c>
      <c r="K152" s="711">
        <f>Bilans_E_AMS_Kyoto_run3_MTE!O413</f>
        <v>0</v>
      </c>
      <c r="L152" s="711">
        <f>Bilans_E_AMS_Kyoto_run3_MTE!P413</f>
        <v>0.40658520083603628</v>
      </c>
      <c r="M152" s="711">
        <f>Bilans_E_AMS_Kyoto_run3_MTE!Q413</f>
        <v>0</v>
      </c>
      <c r="N152" s="711">
        <f>Bilans_E_AMS_Kyoto_run3_MTE!R413</f>
        <v>3.1675603541212554</v>
      </c>
      <c r="O152" s="711">
        <f>Bilans_E_AMS_Kyoto_run3_MTE!S413</f>
        <v>0</v>
      </c>
      <c r="P152" s="711">
        <f>Bilans_E_AMS_Kyoto_run3_MTE!T413+Bilans_E_AMS_Kyoto_run3_MTE!U413</f>
        <v>0</v>
      </c>
      <c r="Q152" s="711">
        <f>Bilans_E_AMS_Kyoto_run3_MTE!V413</f>
        <v>0</v>
      </c>
      <c r="R152" s="711">
        <f>Bilans_E_AMS_Kyoto_run3_MTE!W413</f>
        <v>0</v>
      </c>
      <c r="S152" s="711">
        <f>Bilans_E_AMS_Kyoto_run3_MTE!X413</f>
        <v>0</v>
      </c>
      <c r="T152" s="711">
        <f>Bilans_E_AMS_Kyoto_run3_MTE!Y413</f>
        <v>1.710568146239696</v>
      </c>
      <c r="U152" s="711">
        <f>Bilans_E_AMS_Kyoto_run3_MTE!Z413</f>
        <v>124.58699278694441</v>
      </c>
      <c r="V152" s="701"/>
      <c r="W152" s="701"/>
    </row>
    <row r="153" spans="1:23" x14ac:dyDescent="0.25">
      <c r="A153" s="701" t="s">
        <v>515</v>
      </c>
      <c r="B153" s="701"/>
      <c r="C153" s="713" t="s">
        <v>85</v>
      </c>
      <c r="D153" s="714">
        <f>Bilans_E_AMS_Kyoto_run3_MTE!H414</f>
        <v>0.420473388671875</v>
      </c>
      <c r="E153" s="714">
        <f>Bilans_E_AMS_Kyoto_run3_MTE!I414</f>
        <v>0</v>
      </c>
      <c r="F153" s="714">
        <f>Bilans_E_AMS_Kyoto_run3_MTE!J414</f>
        <v>273.92417441544114</v>
      </c>
      <c r="G153" s="714">
        <f>Bilans_E_AMS_Kyoto_run3_MTE!K414</f>
        <v>2.6095155133024499</v>
      </c>
      <c r="H153" s="714">
        <f>Bilans_E_AMS_Kyoto_run3_MTE!L414</f>
        <v>118.90067537147135</v>
      </c>
      <c r="I153" s="714">
        <f>Bilans_E_AMS_Kyoto_run3_MTE!M414</f>
        <v>0</v>
      </c>
      <c r="J153" s="714">
        <f>Bilans_E_AMS_Kyoto_run3_MTE!N414</f>
        <v>0</v>
      </c>
      <c r="K153" s="714">
        <f>Bilans_E_AMS_Kyoto_run3_MTE!O414</f>
        <v>0</v>
      </c>
      <c r="L153" s="714">
        <f>Bilans_E_AMS_Kyoto_run3_MTE!P414</f>
        <v>100.31738998979908</v>
      </c>
      <c r="M153" s="714">
        <f>Bilans_E_AMS_Kyoto_run3_MTE!Q414</f>
        <v>9.091644549053445</v>
      </c>
      <c r="N153" s="714">
        <f>Bilans_E_AMS_Kyoto_run3_MTE!R414</f>
        <v>48.456062797353063</v>
      </c>
      <c r="O153" s="714">
        <f>Bilans_E_AMS_Kyoto_run3_MTE!S414</f>
        <v>49.999874218098711</v>
      </c>
      <c r="P153" s="714">
        <f>Bilans_E_AMS_Kyoto_run3_MTE!T414+Bilans_E_AMS_Kyoto_run3_MTE!U414</f>
        <v>184.9192431732653</v>
      </c>
      <c r="Q153" s="714">
        <f>Bilans_E_AMS_Kyoto_run3_MTE!V414</f>
        <v>20.678000731668394</v>
      </c>
      <c r="R153" s="714">
        <f>Bilans_E_AMS_Kyoto_run3_MTE!W414</f>
        <v>525.84117193437999</v>
      </c>
      <c r="S153" s="714">
        <f>Bilans_E_AMS_Kyoto_run3_MTE!X414</f>
        <v>83.441396760993086</v>
      </c>
      <c r="T153" s="714">
        <f>Bilans_E_AMS_Kyoto_run3_MTE!Y414</f>
        <v>13.880069594482521</v>
      </c>
      <c r="U153" s="714">
        <f>Bilans_E_AMS_Kyoto_run3_MTE!Z414</f>
        <v>1432.4796924379805</v>
      </c>
      <c r="V153" s="701"/>
      <c r="W153" s="701"/>
    </row>
    <row r="154" spans="1:23" x14ac:dyDescent="0.25">
      <c r="A154" s="701"/>
      <c r="B154" s="701"/>
      <c r="C154" s="701"/>
      <c r="D154" s="701">
        <f>Bilans_E_AMS_Kyoto_run3_MTE!H415</f>
        <v>0</v>
      </c>
      <c r="E154" s="701">
        <f>Bilans_E_AMS_Kyoto_run3_MTE!I415</f>
        <v>0</v>
      </c>
      <c r="F154" s="701">
        <f>Bilans_E_AMS_Kyoto_run3_MTE!J415</f>
        <v>0</v>
      </c>
      <c r="G154" s="701">
        <f>Bilans_E_AMS_Kyoto_run3_MTE!K415</f>
        <v>0</v>
      </c>
      <c r="H154" s="701">
        <f>Bilans_E_AMS_Kyoto_run3_MTE!L415</f>
        <v>0</v>
      </c>
      <c r="I154" s="701">
        <f>Bilans_E_AMS_Kyoto_run3_MTE!M415</f>
        <v>0</v>
      </c>
      <c r="J154" s="701">
        <f>Bilans_E_AMS_Kyoto_run3_MTE!N415</f>
        <v>0</v>
      </c>
      <c r="K154" s="701">
        <f>Bilans_E_AMS_Kyoto_run3_MTE!O415</f>
        <v>0</v>
      </c>
      <c r="L154" s="701">
        <f>Bilans_E_AMS_Kyoto_run3_MTE!P415</f>
        <v>0</v>
      </c>
      <c r="M154" s="701">
        <f>Bilans_E_AMS_Kyoto_run3_MTE!Q415</f>
        <v>0</v>
      </c>
      <c r="N154" s="701">
        <f>Bilans_E_AMS_Kyoto_run3_MTE!R415</f>
        <v>-5.3290705182007514E-15</v>
      </c>
      <c r="O154" s="701">
        <f>Bilans_E_AMS_Kyoto_run3_MTE!S415</f>
        <v>9.7699626167013776E-15</v>
      </c>
      <c r="P154" s="701">
        <f>Bilans_E_AMS_Kyoto_run3_MTE!T415+Bilans_E_AMS_Kyoto_run3_MTE!U415</f>
        <v>0</v>
      </c>
      <c r="Q154" s="701">
        <f>Bilans_E_AMS_Kyoto_run3_MTE!V415</f>
        <v>0</v>
      </c>
      <c r="R154" s="701">
        <f>Bilans_E_AMS_Kyoto_run3_MTE!W415</f>
        <v>0</v>
      </c>
      <c r="S154" s="701">
        <f>Bilans_E_AMS_Kyoto_run3_MTE!X415</f>
        <v>-3.1425525932604614E-5</v>
      </c>
      <c r="T154" s="701">
        <f>Bilans_E_AMS_Kyoto_run3_MTE!Y415</f>
        <v>0</v>
      </c>
      <c r="U154" s="701">
        <f>Bilans_E_AMS_Kyoto_run3_MTE!Z415</f>
        <v>-3.1425526685779914E-5</v>
      </c>
      <c r="V154" s="701"/>
      <c r="W154" s="701"/>
    </row>
    <row r="155" spans="1:23" x14ac:dyDescent="0.25">
      <c r="A155" s="701"/>
      <c r="B155" s="701"/>
      <c r="C155" s="701"/>
      <c r="D155" s="701"/>
      <c r="E155" s="701"/>
      <c r="F155" s="701"/>
      <c r="G155" s="701"/>
      <c r="H155" s="701"/>
      <c r="I155" s="701"/>
      <c r="J155" s="701"/>
      <c r="K155" s="701"/>
      <c r="L155" s="701"/>
      <c r="M155" s="701"/>
      <c r="N155" s="701"/>
      <c r="O155" s="701"/>
      <c r="P155" s="701"/>
      <c r="Q155" s="701"/>
      <c r="R155" s="701"/>
      <c r="S155" s="701"/>
      <c r="T155" s="701"/>
      <c r="U155" s="701"/>
      <c r="V155" s="701"/>
      <c r="W155" s="701"/>
    </row>
    <row r="156" spans="1:23" x14ac:dyDescent="0.25">
      <c r="A156" s="707"/>
      <c r="B156" s="707"/>
      <c r="C156" s="708" t="s">
        <v>360</v>
      </c>
      <c r="D156" s="707"/>
      <c r="E156" s="707"/>
      <c r="F156" s="707"/>
      <c r="G156" s="707"/>
      <c r="H156" s="707"/>
      <c r="I156" s="707"/>
      <c r="J156" s="707"/>
      <c r="K156" s="707"/>
      <c r="L156" s="707"/>
      <c r="M156" s="707"/>
      <c r="N156" s="707"/>
      <c r="O156" s="707"/>
      <c r="P156" s="707"/>
      <c r="Q156" s="707"/>
      <c r="R156" s="707"/>
      <c r="S156" s="707"/>
      <c r="T156" s="707"/>
      <c r="U156" s="707"/>
      <c r="V156" s="707"/>
      <c r="W156" s="707"/>
    </row>
    <row r="157" spans="1:23" x14ac:dyDescent="0.25">
      <c r="A157" s="701"/>
      <c r="B157" s="701"/>
      <c r="C157" s="701"/>
      <c r="D157" s="701"/>
      <c r="E157" s="701"/>
      <c r="F157" s="701"/>
      <c r="G157" s="701"/>
      <c r="H157" s="701"/>
      <c r="I157" s="701"/>
      <c r="J157" s="701"/>
      <c r="K157" s="701"/>
      <c r="L157" s="701"/>
      <c r="M157" s="701"/>
      <c r="N157" s="701"/>
      <c r="O157" s="701"/>
      <c r="P157" s="701"/>
      <c r="Q157" s="701"/>
      <c r="R157" s="701"/>
      <c r="S157" s="701"/>
      <c r="T157" s="701"/>
      <c r="U157" s="701"/>
      <c r="V157" s="701"/>
      <c r="W157" s="701"/>
    </row>
    <row r="158" spans="1:23" x14ac:dyDescent="0.25">
      <c r="A158" s="701"/>
      <c r="B158" s="701"/>
      <c r="C158" s="780" t="s">
        <v>128</v>
      </c>
      <c r="D158" s="775" t="s">
        <v>42</v>
      </c>
      <c r="E158" s="775" t="s">
        <v>52</v>
      </c>
      <c r="F158" s="775" t="s">
        <v>53</v>
      </c>
      <c r="G158" s="775" t="s">
        <v>482</v>
      </c>
      <c r="H158" s="775" t="s">
        <v>32</v>
      </c>
      <c r="I158" s="775" t="s">
        <v>483</v>
      </c>
      <c r="J158" s="775" t="s">
        <v>20</v>
      </c>
      <c r="K158" s="775" t="s">
        <v>55</v>
      </c>
      <c r="L158" s="777" t="s">
        <v>56</v>
      </c>
      <c r="M158" s="778"/>
      <c r="N158" s="778"/>
      <c r="O158" s="778"/>
      <c r="P158" s="778"/>
      <c r="Q158" s="779"/>
      <c r="R158" s="775" t="s">
        <v>57</v>
      </c>
      <c r="S158" s="775" t="s">
        <v>58</v>
      </c>
      <c r="T158" s="775" t="s">
        <v>31</v>
      </c>
      <c r="U158" s="775" t="s">
        <v>10</v>
      </c>
      <c r="V158" s="701"/>
      <c r="W158" s="701"/>
    </row>
    <row r="159" spans="1:23" ht="67.5" x14ac:dyDescent="0.25">
      <c r="A159" s="701" t="s">
        <v>486</v>
      </c>
      <c r="B159" s="701"/>
      <c r="C159" s="781"/>
      <c r="D159" s="776"/>
      <c r="E159" s="776"/>
      <c r="F159" s="776"/>
      <c r="G159" s="776"/>
      <c r="H159" s="776"/>
      <c r="I159" s="776"/>
      <c r="J159" s="776"/>
      <c r="K159" s="776"/>
      <c r="L159" s="709" t="s">
        <v>335</v>
      </c>
      <c r="M159" s="709" t="s">
        <v>40</v>
      </c>
      <c r="N159" s="709" t="s">
        <v>343</v>
      </c>
      <c r="O159" s="709" t="s">
        <v>344</v>
      </c>
      <c r="P159" s="719" t="s">
        <v>610</v>
      </c>
      <c r="Q159" s="709" t="s">
        <v>346</v>
      </c>
      <c r="R159" s="776"/>
      <c r="S159" s="776"/>
      <c r="T159" s="776"/>
      <c r="U159" s="776"/>
      <c r="V159" s="701"/>
      <c r="W159" s="701"/>
    </row>
    <row r="160" spans="1:23" x14ac:dyDescent="0.25">
      <c r="A160" s="701" t="s">
        <v>487</v>
      </c>
      <c r="B160" s="701"/>
      <c r="C160" s="710" t="s">
        <v>59</v>
      </c>
      <c r="D160" s="711">
        <f>Bilans_E_AMS_Kyoto_run3_MTE!H421</f>
        <v>0</v>
      </c>
      <c r="E160" s="711">
        <f>Bilans_E_AMS_Kyoto_run3_MTE!I421</f>
        <v>0</v>
      </c>
      <c r="F160" s="711">
        <f>Bilans_E_AMS_Kyoto_run3_MTE!J421</f>
        <v>0</v>
      </c>
      <c r="G160" s="711">
        <f>Bilans_E_AMS_Kyoto_run3_MTE!K421</f>
        <v>0</v>
      </c>
      <c r="H160" s="711">
        <f>Bilans_E_AMS_Kyoto_run3_MTE!L421</f>
        <v>0</v>
      </c>
      <c r="I160" s="711">
        <f>Bilans_E_AMS_Kyoto_run3_MTE!M421</f>
        <v>0</v>
      </c>
      <c r="J160" s="711">
        <f>Bilans_E_AMS_Kyoto_run3_MTE!N421</f>
        <v>1217.3350254612858</v>
      </c>
      <c r="K160" s="711">
        <f>Bilans_E_AMS_Kyoto_run3_MTE!O421</f>
        <v>388.29502398919544</v>
      </c>
      <c r="L160" s="711">
        <f>Bilans_E_AMS_Kyoto_run3_MTE!P421</f>
        <v>345.22412922668985</v>
      </c>
      <c r="M160" s="711">
        <f>Bilans_E_AMS_Kyoto_run3_MTE!Q421</f>
        <v>47.572914538902204</v>
      </c>
      <c r="N160" s="711">
        <f>Bilans_E_AMS_Kyoto_run3_MTE!R421</f>
        <v>0</v>
      </c>
      <c r="O160" s="711">
        <f>Bilans_E_AMS_Kyoto_run3_MTE!S421</f>
        <v>0</v>
      </c>
      <c r="P160" s="711">
        <f>Bilans_E_AMS_Kyoto_run3_MTE!T421+Bilans_E_AMS_Kyoto_run3_MTE!U421</f>
        <v>217.97798120035498</v>
      </c>
      <c r="Q160" s="711">
        <f>Bilans_E_AMS_Kyoto_run3_MTE!V421</f>
        <v>44.670610017190697</v>
      </c>
      <c r="R160" s="711">
        <f>Bilans_E_AMS_Kyoto_run3_MTE!W421</f>
        <v>0</v>
      </c>
      <c r="S160" s="711">
        <f>Bilans_E_AMS_Kyoto_run3_MTE!X421</f>
        <v>0</v>
      </c>
      <c r="T160" s="711">
        <f>Bilans_E_AMS_Kyoto_run3_MTE!Y421</f>
        <v>0</v>
      </c>
      <c r="U160" s="711">
        <f>Bilans_E_AMS_Kyoto_run3_MTE!Z421</f>
        <v>2261.0756844336188</v>
      </c>
      <c r="V160" s="701"/>
      <c r="W160" s="701"/>
    </row>
    <row r="161" spans="1:23" x14ac:dyDescent="0.25">
      <c r="A161" s="701" t="s">
        <v>488</v>
      </c>
      <c r="B161" s="701"/>
      <c r="C161" s="710" t="s">
        <v>60</v>
      </c>
      <c r="D161" s="712">
        <f>Bilans_E_AMS_Kyoto_run3_MTE!H422</f>
        <v>12.152793945312501</v>
      </c>
      <c r="E161" s="712">
        <f>Bilans_E_AMS_Kyoto_run3_MTE!I422</f>
        <v>228.52698065701114</v>
      </c>
      <c r="F161" s="712">
        <f>Bilans_E_AMS_Kyoto_run3_MTE!J422</f>
        <v>52.757657499876444</v>
      </c>
      <c r="G161" s="712">
        <f>Bilans_E_AMS_Kyoto_run3_MTE!K422</f>
        <v>7.0861725721851325</v>
      </c>
      <c r="H161" s="712">
        <f>Bilans_E_AMS_Kyoto_run3_MTE!L422</f>
        <v>109.90340859679944</v>
      </c>
      <c r="I161" s="712">
        <f>Bilans_E_AMS_Kyoto_run3_MTE!M422</f>
        <v>0</v>
      </c>
      <c r="J161" s="712">
        <f>Bilans_E_AMS_Kyoto_run3_MTE!N422</f>
        <v>0</v>
      </c>
      <c r="K161" s="712">
        <f>Bilans_E_AMS_Kyoto_run3_MTE!O422</f>
        <v>0</v>
      </c>
      <c r="L161" s="712">
        <f>Bilans_E_AMS_Kyoto_run3_MTE!P422</f>
        <v>8.3609545225008901</v>
      </c>
      <c r="M161" s="712">
        <f>Bilans_E_AMS_Kyoto_run3_MTE!Q422</f>
        <v>0</v>
      </c>
      <c r="N161" s="712">
        <f>Bilans_E_AMS_Kyoto_run3_MTE!R422</f>
        <v>12.640823760452299</v>
      </c>
      <c r="O161" s="712">
        <f>Bilans_E_AMS_Kyoto_run3_MTE!S422</f>
        <v>0</v>
      </c>
      <c r="P161" s="712">
        <f>Bilans_E_AMS_Kyoto_run3_MTE!T422+Bilans_E_AMS_Kyoto_run3_MTE!U422</f>
        <v>0</v>
      </c>
      <c r="Q161" s="712">
        <f>Bilans_E_AMS_Kyoto_run3_MTE!V422</f>
        <v>0</v>
      </c>
      <c r="R161" s="712">
        <f>Bilans_E_AMS_Kyoto_run3_MTE!W422</f>
        <v>0</v>
      </c>
      <c r="S161" s="712">
        <f>Bilans_E_AMS_Kyoto_run3_MTE!X422</f>
        <v>0</v>
      </c>
      <c r="T161" s="712">
        <f>Bilans_E_AMS_Kyoto_run3_MTE!Y422</f>
        <v>0</v>
      </c>
      <c r="U161" s="712">
        <f>Bilans_E_AMS_Kyoto_run3_MTE!Z422</f>
        <v>431.42879155413789</v>
      </c>
      <c r="V161" s="701"/>
      <c r="W161" s="701"/>
    </row>
    <row r="162" spans="1:23" x14ac:dyDescent="0.25">
      <c r="A162" s="701" t="s">
        <v>489</v>
      </c>
      <c r="B162" s="701"/>
      <c r="C162" s="710" t="s">
        <v>61</v>
      </c>
      <c r="D162" s="712">
        <f>Bilans_E_AMS_Kyoto_run3_MTE!H423</f>
        <v>0</v>
      </c>
      <c r="E162" s="712">
        <f>Bilans_E_AMS_Kyoto_run3_MTE!I423</f>
        <v>0</v>
      </c>
      <c r="F162" s="712">
        <f>Bilans_E_AMS_Kyoto_run3_MTE!J423</f>
        <v>0</v>
      </c>
      <c r="G162" s="712">
        <f>Bilans_E_AMS_Kyoto_run3_MTE!K423</f>
        <v>0</v>
      </c>
      <c r="H162" s="712">
        <f>Bilans_E_AMS_Kyoto_run3_MTE!L423</f>
        <v>0</v>
      </c>
      <c r="I162" s="712">
        <f>Bilans_E_AMS_Kyoto_run3_MTE!M423</f>
        <v>0</v>
      </c>
      <c r="J162" s="712">
        <f>Bilans_E_AMS_Kyoto_run3_MTE!N423</f>
        <v>0</v>
      </c>
      <c r="K162" s="712">
        <f>Bilans_E_AMS_Kyoto_run3_MTE!O423</f>
        <v>0</v>
      </c>
      <c r="L162" s="712">
        <f>Bilans_E_AMS_Kyoto_run3_MTE!P423</f>
        <v>0</v>
      </c>
      <c r="M162" s="712">
        <f>Bilans_E_AMS_Kyoto_run3_MTE!Q423</f>
        <v>0</v>
      </c>
      <c r="N162" s="712">
        <f>Bilans_E_AMS_Kyoto_run3_MTE!R423</f>
        <v>0</v>
      </c>
      <c r="O162" s="712">
        <f>Bilans_E_AMS_Kyoto_run3_MTE!S423</f>
        <v>-7.7990691835452708E-2</v>
      </c>
      <c r="P162" s="712">
        <f>Bilans_E_AMS_Kyoto_run3_MTE!T423+Bilans_E_AMS_Kyoto_run3_MTE!U423</f>
        <v>0</v>
      </c>
      <c r="Q162" s="712">
        <f>Bilans_E_AMS_Kyoto_run3_MTE!V423</f>
        <v>0</v>
      </c>
      <c r="R162" s="712">
        <f>Bilans_E_AMS_Kyoto_run3_MTE!W423</f>
        <v>-125.47851234932489</v>
      </c>
      <c r="S162" s="712">
        <f>Bilans_E_AMS_Kyoto_run3_MTE!X423</f>
        <v>0</v>
      </c>
      <c r="T162" s="712">
        <f>Bilans_E_AMS_Kyoto_run3_MTE!Y423</f>
        <v>0</v>
      </c>
      <c r="U162" s="712">
        <f>Bilans_E_AMS_Kyoto_run3_MTE!Z423</f>
        <v>-125.55650304116034</v>
      </c>
      <c r="V162" s="701"/>
      <c r="W162" s="701"/>
    </row>
    <row r="163" spans="1:23" x14ac:dyDescent="0.25">
      <c r="A163" s="701" t="s">
        <v>490</v>
      </c>
      <c r="B163" s="701"/>
      <c r="C163" s="710" t="s">
        <v>62</v>
      </c>
      <c r="D163" s="711">
        <f>Bilans_E_AMS_Kyoto_run3_MTE!H424</f>
        <v>0</v>
      </c>
      <c r="E163" s="711">
        <f>Bilans_E_AMS_Kyoto_run3_MTE!I424</f>
        <v>0</v>
      </c>
      <c r="F163" s="711">
        <f>Bilans_E_AMS_Kyoto_run3_MTE!J424</f>
        <v>-5.9348855093326982</v>
      </c>
      <c r="G163" s="711">
        <f>Bilans_E_AMS_Kyoto_run3_MTE!K424</f>
        <v>-0.99259685127624486</v>
      </c>
      <c r="H163" s="711">
        <f>Bilans_E_AMS_Kyoto_run3_MTE!L424</f>
        <v>0</v>
      </c>
      <c r="I163" s="711">
        <f>Bilans_E_AMS_Kyoto_run3_MTE!M424</f>
        <v>-0.99259685127624475</v>
      </c>
      <c r="J163" s="711">
        <f>Bilans_E_AMS_Kyoto_run3_MTE!N424</f>
        <v>0</v>
      </c>
      <c r="K163" s="711">
        <f>Bilans_E_AMS_Kyoto_run3_MTE!O424</f>
        <v>0</v>
      </c>
      <c r="L163" s="711">
        <f>Bilans_E_AMS_Kyoto_run3_MTE!P424</f>
        <v>0</v>
      </c>
      <c r="M163" s="711">
        <f>Bilans_E_AMS_Kyoto_run3_MTE!Q424</f>
        <v>0</v>
      </c>
      <c r="N163" s="711">
        <f>Bilans_E_AMS_Kyoto_run3_MTE!R424</f>
        <v>0</v>
      </c>
      <c r="O163" s="711">
        <f>Bilans_E_AMS_Kyoto_run3_MTE!S424</f>
        <v>-1.3642017969458513</v>
      </c>
      <c r="P163" s="711">
        <f>Bilans_E_AMS_Kyoto_run3_MTE!T424+Bilans_E_AMS_Kyoto_run3_MTE!U424</f>
        <v>0</v>
      </c>
      <c r="Q163" s="711">
        <f>Bilans_E_AMS_Kyoto_run3_MTE!V424</f>
        <v>0</v>
      </c>
      <c r="R163" s="711">
        <f>Bilans_E_AMS_Kyoto_run3_MTE!W424</f>
        <v>0</v>
      </c>
      <c r="S163" s="711">
        <f>Bilans_E_AMS_Kyoto_run3_MTE!X424</f>
        <v>0</v>
      </c>
      <c r="T163" s="711">
        <f>Bilans_E_AMS_Kyoto_run3_MTE!Y424</f>
        <v>-0.66413311470232494</v>
      </c>
      <c r="U163" s="711">
        <f>Bilans_E_AMS_Kyoto_run3_MTE!Z424</f>
        <v>-9.9484141235333645</v>
      </c>
      <c r="V163" s="701"/>
      <c r="W163" s="701"/>
    </row>
    <row r="164" spans="1:23" x14ac:dyDescent="0.25">
      <c r="A164" s="701" t="s">
        <v>491</v>
      </c>
      <c r="B164" s="701"/>
      <c r="C164" s="710" t="s">
        <v>63</v>
      </c>
      <c r="D164" s="711">
        <f>Bilans_E_AMS_Kyoto_run3_MTE!H425</f>
        <v>0</v>
      </c>
      <c r="E164" s="711">
        <f>Bilans_E_AMS_Kyoto_run3_MTE!I425</f>
        <v>0</v>
      </c>
      <c r="F164" s="711">
        <f>Bilans_E_AMS_Kyoto_run3_MTE!J425</f>
        <v>-40</v>
      </c>
      <c r="G164" s="711">
        <f>Bilans_E_AMS_Kyoto_run3_MTE!K425</f>
        <v>-8</v>
      </c>
      <c r="H164" s="711">
        <f>Bilans_E_AMS_Kyoto_run3_MTE!L425</f>
        <v>0</v>
      </c>
      <c r="I164" s="711">
        <f>Bilans_E_AMS_Kyoto_run3_MTE!M425</f>
        <v>0</v>
      </c>
      <c r="J164" s="711">
        <f>Bilans_E_AMS_Kyoto_run3_MTE!N425</f>
        <v>0</v>
      </c>
      <c r="K164" s="711">
        <f>Bilans_E_AMS_Kyoto_run3_MTE!O425</f>
        <v>0</v>
      </c>
      <c r="L164" s="711">
        <f>Bilans_E_AMS_Kyoto_run3_MTE!P425</f>
        <v>0</v>
      </c>
      <c r="M164" s="711">
        <f>Bilans_E_AMS_Kyoto_run3_MTE!Q425</f>
        <v>0</v>
      </c>
      <c r="N164" s="711">
        <f>Bilans_E_AMS_Kyoto_run3_MTE!R425</f>
        <v>-15</v>
      </c>
      <c r="O164" s="711">
        <f>Bilans_E_AMS_Kyoto_run3_MTE!S425</f>
        <v>0</v>
      </c>
      <c r="P164" s="711">
        <f>Bilans_E_AMS_Kyoto_run3_MTE!T425+Bilans_E_AMS_Kyoto_run3_MTE!U425</f>
        <v>0</v>
      </c>
      <c r="Q164" s="711">
        <f>Bilans_E_AMS_Kyoto_run3_MTE!V425</f>
        <v>0</v>
      </c>
      <c r="R164" s="711">
        <f>Bilans_E_AMS_Kyoto_run3_MTE!W425</f>
        <v>0</v>
      </c>
      <c r="S164" s="711">
        <f>Bilans_E_AMS_Kyoto_run3_MTE!X425</f>
        <v>0</v>
      </c>
      <c r="T164" s="711">
        <f>Bilans_E_AMS_Kyoto_run3_MTE!Y425</f>
        <v>-3.0000000000000004</v>
      </c>
      <c r="U164" s="711">
        <f>Bilans_E_AMS_Kyoto_run3_MTE!Z425</f>
        <v>-66</v>
      </c>
      <c r="V164" s="701"/>
      <c r="W164" s="701"/>
    </row>
    <row r="165" spans="1:23" x14ac:dyDescent="0.25">
      <c r="A165" s="701" t="s">
        <v>492</v>
      </c>
      <c r="B165" s="701"/>
      <c r="C165" s="710" t="s">
        <v>64</v>
      </c>
      <c r="D165" s="712">
        <f>Bilans_E_AMS_Kyoto_run3_MTE!H426</f>
        <v>0</v>
      </c>
      <c r="E165" s="712">
        <f>Bilans_E_AMS_Kyoto_run3_MTE!I426</f>
        <v>0</v>
      </c>
      <c r="F165" s="712">
        <f>Bilans_E_AMS_Kyoto_run3_MTE!J426</f>
        <v>0</v>
      </c>
      <c r="G165" s="712">
        <f>Bilans_E_AMS_Kyoto_run3_MTE!K426</f>
        <v>0</v>
      </c>
      <c r="H165" s="712">
        <f>Bilans_E_AMS_Kyoto_run3_MTE!L426</f>
        <v>0</v>
      </c>
      <c r="I165" s="712">
        <f>Bilans_E_AMS_Kyoto_run3_MTE!M426</f>
        <v>0</v>
      </c>
      <c r="J165" s="712">
        <f>Bilans_E_AMS_Kyoto_run3_MTE!N426</f>
        <v>0</v>
      </c>
      <c r="K165" s="712">
        <f>Bilans_E_AMS_Kyoto_run3_MTE!O426</f>
        <v>0</v>
      </c>
      <c r="L165" s="712">
        <f>Bilans_E_AMS_Kyoto_run3_MTE!P426</f>
        <v>0</v>
      </c>
      <c r="M165" s="712">
        <f>Bilans_E_AMS_Kyoto_run3_MTE!Q426</f>
        <v>0</v>
      </c>
      <c r="N165" s="712">
        <f>Bilans_E_AMS_Kyoto_run3_MTE!R426</f>
        <v>0</v>
      </c>
      <c r="O165" s="712">
        <f>Bilans_E_AMS_Kyoto_run3_MTE!S426</f>
        <v>0</v>
      </c>
      <c r="P165" s="712">
        <f>Bilans_E_AMS_Kyoto_run3_MTE!T426+Bilans_E_AMS_Kyoto_run3_MTE!U426</f>
        <v>0</v>
      </c>
      <c r="Q165" s="712">
        <f>Bilans_E_AMS_Kyoto_run3_MTE!V426</f>
        <v>0</v>
      </c>
      <c r="R165" s="712">
        <f>Bilans_E_AMS_Kyoto_run3_MTE!W426</f>
        <v>0</v>
      </c>
      <c r="S165" s="712">
        <f>Bilans_E_AMS_Kyoto_run3_MTE!X426</f>
        <v>0</v>
      </c>
      <c r="T165" s="712">
        <f>Bilans_E_AMS_Kyoto_run3_MTE!Y426</f>
        <v>0</v>
      </c>
      <c r="U165" s="712">
        <f>Bilans_E_AMS_Kyoto_run3_MTE!Z426</f>
        <v>0</v>
      </c>
      <c r="V165" s="701"/>
      <c r="W165" s="701"/>
    </row>
    <row r="166" spans="1:23" x14ac:dyDescent="0.25">
      <c r="A166" s="701" t="s">
        <v>493</v>
      </c>
      <c r="B166" s="701"/>
      <c r="C166" s="713" t="s">
        <v>65</v>
      </c>
      <c r="D166" s="714">
        <f>Bilans_E_AMS_Kyoto_run3_MTE!H427</f>
        <v>12.152793945312501</v>
      </c>
      <c r="E166" s="714">
        <f>Bilans_E_AMS_Kyoto_run3_MTE!I427</f>
        <v>228.52698065701114</v>
      </c>
      <c r="F166" s="714">
        <f>Bilans_E_AMS_Kyoto_run3_MTE!J427</f>
        <v>6.8227719905437425</v>
      </c>
      <c r="G166" s="714">
        <f>Bilans_E_AMS_Kyoto_run3_MTE!K427</f>
        <v>-1.9064242790911123</v>
      </c>
      <c r="H166" s="714">
        <f>Bilans_E_AMS_Kyoto_run3_MTE!L427</f>
        <v>109.90340859679944</v>
      </c>
      <c r="I166" s="714">
        <f>Bilans_E_AMS_Kyoto_run3_MTE!M427</f>
        <v>-0.99259685127624475</v>
      </c>
      <c r="J166" s="714">
        <f>Bilans_E_AMS_Kyoto_run3_MTE!N427</f>
        <v>1217.3350254612858</v>
      </c>
      <c r="K166" s="714">
        <f>Bilans_E_AMS_Kyoto_run3_MTE!O427</f>
        <v>388.29502398919544</v>
      </c>
      <c r="L166" s="714">
        <f>Bilans_E_AMS_Kyoto_run3_MTE!P427</f>
        <v>353.58508374919074</v>
      </c>
      <c r="M166" s="714">
        <f>Bilans_E_AMS_Kyoto_run3_MTE!Q427</f>
        <v>47.572914538902204</v>
      </c>
      <c r="N166" s="714">
        <f>Bilans_E_AMS_Kyoto_run3_MTE!R427</f>
        <v>-2.3591762395477005</v>
      </c>
      <c r="O166" s="714">
        <f>Bilans_E_AMS_Kyoto_run3_MTE!S427</f>
        <v>-1.442192488781304</v>
      </c>
      <c r="P166" s="714">
        <f>Bilans_E_AMS_Kyoto_run3_MTE!T427+Bilans_E_AMS_Kyoto_run3_MTE!U427</f>
        <v>217.97798120035498</v>
      </c>
      <c r="Q166" s="714">
        <f>Bilans_E_AMS_Kyoto_run3_MTE!V427</f>
        <v>44.670610017190697</v>
      </c>
      <c r="R166" s="714">
        <f>Bilans_E_AMS_Kyoto_run3_MTE!W427</f>
        <v>-125.47851234932489</v>
      </c>
      <c r="S166" s="714">
        <f>Bilans_E_AMS_Kyoto_run3_MTE!X427</f>
        <v>0</v>
      </c>
      <c r="T166" s="714">
        <f>Bilans_E_AMS_Kyoto_run3_MTE!Y427</f>
        <v>-3.6641331147023255</v>
      </c>
      <c r="U166" s="714">
        <f>Bilans_E_AMS_Kyoto_run3_MTE!Z427</f>
        <v>2490.9995588230627</v>
      </c>
      <c r="V166" s="701"/>
      <c r="W166" s="701"/>
    </row>
    <row r="167" spans="1:23" x14ac:dyDescent="0.25">
      <c r="A167" s="701"/>
      <c r="B167" s="701"/>
      <c r="C167" s="715"/>
      <c r="D167" s="716"/>
      <c r="E167" s="716"/>
      <c r="F167" s="716"/>
      <c r="G167" s="716"/>
      <c r="H167" s="716"/>
      <c r="I167" s="716"/>
      <c r="J167" s="716"/>
      <c r="K167" s="716"/>
      <c r="L167" s="716"/>
      <c r="M167" s="716"/>
      <c r="N167" s="716"/>
      <c r="O167" s="716"/>
      <c r="P167" s="716">
        <f>Bilans_E_AMS_Kyoto_run3_MTE!T428+Bilans_E_AMS_Kyoto_run3_MTE!U428</f>
        <v>0</v>
      </c>
      <c r="Q167" s="716"/>
      <c r="R167" s="716"/>
      <c r="S167" s="716"/>
      <c r="T167" s="716"/>
      <c r="U167" s="716"/>
      <c r="V167" s="701"/>
      <c r="W167" s="701"/>
    </row>
    <row r="168" spans="1:23" x14ac:dyDescent="0.25">
      <c r="A168" s="701" t="s">
        <v>494</v>
      </c>
      <c r="B168" s="701"/>
      <c r="C168" s="717" t="s">
        <v>67</v>
      </c>
      <c r="D168" s="711">
        <f>Bilans_E_AMS_Kyoto_run3_MTE!H429</f>
        <v>0</v>
      </c>
      <c r="E168" s="711">
        <f>Bilans_E_AMS_Kyoto_run3_MTE!I429</f>
        <v>0</v>
      </c>
      <c r="F168" s="711">
        <f>Bilans_E_AMS_Kyoto_run3_MTE!J429</f>
        <v>0</v>
      </c>
      <c r="G168" s="711">
        <f>Bilans_E_AMS_Kyoto_run3_MTE!K429</f>
        <v>0</v>
      </c>
      <c r="H168" s="711">
        <f>Bilans_E_AMS_Kyoto_run3_MTE!L429</f>
        <v>0</v>
      </c>
      <c r="I168" s="711">
        <f>Bilans_E_AMS_Kyoto_run3_MTE!M429</f>
        <v>0</v>
      </c>
      <c r="J168" s="711">
        <f>Bilans_E_AMS_Kyoto_run3_MTE!N429</f>
        <v>0</v>
      </c>
      <c r="K168" s="711">
        <f>Bilans_E_AMS_Kyoto_run3_MTE!O429</f>
        <v>0</v>
      </c>
      <c r="L168" s="711">
        <f>Bilans_E_AMS_Kyoto_run3_MTE!P429</f>
        <v>0</v>
      </c>
      <c r="M168" s="711">
        <f>Bilans_E_AMS_Kyoto_run3_MTE!Q429</f>
        <v>0</v>
      </c>
      <c r="N168" s="711">
        <f>Bilans_E_AMS_Kyoto_run3_MTE!R429</f>
        <v>0</v>
      </c>
      <c r="O168" s="711">
        <f>Bilans_E_AMS_Kyoto_run3_MTE!S429</f>
        <v>0</v>
      </c>
      <c r="P168" s="711">
        <f>Bilans_E_AMS_Kyoto_run3_MTE!T429+Bilans_E_AMS_Kyoto_run3_MTE!U429</f>
        <v>0</v>
      </c>
      <c r="Q168" s="711">
        <f>Bilans_E_AMS_Kyoto_run3_MTE!V429</f>
        <v>0</v>
      </c>
      <c r="R168" s="711">
        <f>Bilans_E_AMS_Kyoto_run3_MTE!W429</f>
        <v>0</v>
      </c>
      <c r="S168" s="711">
        <f>Bilans_E_AMS_Kyoto_run3_MTE!X429</f>
        <v>0</v>
      </c>
      <c r="T168" s="711">
        <f>Bilans_E_AMS_Kyoto_run3_MTE!Y429</f>
        <v>0</v>
      </c>
      <c r="U168" s="711">
        <f>Bilans_E_AMS_Kyoto_run3_MTE!Z429</f>
        <v>0</v>
      </c>
      <c r="V168" s="701"/>
      <c r="W168" s="701"/>
    </row>
    <row r="169" spans="1:23" x14ac:dyDescent="0.25">
      <c r="A169" s="701" t="s">
        <v>495</v>
      </c>
      <c r="B169" s="701"/>
      <c r="C169" s="717" t="s">
        <v>347</v>
      </c>
      <c r="D169" s="711">
        <f>Bilans_E_AMS_Kyoto_run3_MTE!H430</f>
        <v>0</v>
      </c>
      <c r="E169" s="711">
        <f>Bilans_E_AMS_Kyoto_run3_MTE!I430</f>
        <v>0</v>
      </c>
      <c r="F169" s="711">
        <f>Bilans_E_AMS_Kyoto_run3_MTE!J430</f>
        <v>6.6151953400033478E-2</v>
      </c>
      <c r="G169" s="711">
        <f>Bilans_E_AMS_Kyoto_run3_MTE!K430</f>
        <v>0</v>
      </c>
      <c r="H169" s="711">
        <f>Bilans_E_AMS_Kyoto_run3_MTE!L430</f>
        <v>2.4867213913043404E-3</v>
      </c>
      <c r="I169" s="711">
        <f>Bilans_E_AMS_Kyoto_run3_MTE!M430</f>
        <v>0</v>
      </c>
      <c r="J169" s="711">
        <f>Bilans_E_AMS_Kyoto_run3_MTE!N430</f>
        <v>1213.9369090909088</v>
      </c>
      <c r="K169" s="711">
        <f>Bilans_E_AMS_Kyoto_run3_MTE!O430</f>
        <v>388.29502398919544</v>
      </c>
      <c r="L169" s="711">
        <f>Bilans_E_AMS_Kyoto_run3_MTE!P430</f>
        <v>17.586826213678588</v>
      </c>
      <c r="M169" s="711">
        <f>Bilans_E_AMS_Kyoto_run3_MTE!Q430</f>
        <v>5.6133813254305416</v>
      </c>
      <c r="N169" s="711">
        <f>Bilans_E_AMS_Kyoto_run3_MTE!R430</f>
        <v>5.6269378379330357</v>
      </c>
      <c r="O169" s="711">
        <f>Bilans_E_AMS_Kyoto_run3_MTE!S430</f>
        <v>0.11555796351278441</v>
      </c>
      <c r="P169" s="711">
        <f>Bilans_E_AMS_Kyoto_run3_MTE!T430+Bilans_E_AMS_Kyoto_run3_MTE!U430</f>
        <v>0</v>
      </c>
      <c r="Q169" s="711">
        <f>Bilans_E_AMS_Kyoto_run3_MTE!V430</f>
        <v>6.4327567473291545</v>
      </c>
      <c r="R169" s="711">
        <f>Bilans_E_AMS_Kyoto_run3_MTE!W430</f>
        <v>-805.46190663810182</v>
      </c>
      <c r="S169" s="711">
        <f>Bilans_E_AMS_Kyoto_run3_MTE!X430</f>
        <v>0</v>
      </c>
      <c r="T169" s="711">
        <f>Bilans_E_AMS_Kyoto_run3_MTE!Y430</f>
        <v>0</v>
      </c>
      <c r="U169" s="711">
        <f>Bilans_E_AMS_Kyoto_run3_MTE!Z430</f>
        <v>832.21412520467777</v>
      </c>
      <c r="V169" s="701"/>
      <c r="W169" s="701"/>
    </row>
    <row r="170" spans="1:23" x14ac:dyDescent="0.25">
      <c r="A170" s="701" t="s">
        <v>496</v>
      </c>
      <c r="B170" s="701"/>
      <c r="C170" s="717" t="s">
        <v>348</v>
      </c>
      <c r="D170" s="711">
        <f>Bilans_E_AMS_Kyoto_run3_MTE!H431</f>
        <v>0</v>
      </c>
      <c r="E170" s="711">
        <f>Bilans_E_AMS_Kyoto_run3_MTE!I431</f>
        <v>0</v>
      </c>
      <c r="F170" s="711">
        <f>Bilans_E_AMS_Kyoto_run3_MTE!J431</f>
        <v>0</v>
      </c>
      <c r="G170" s="711">
        <f>Bilans_E_AMS_Kyoto_run3_MTE!K431</f>
        <v>0</v>
      </c>
      <c r="H170" s="711">
        <f>Bilans_E_AMS_Kyoto_run3_MTE!L431</f>
        <v>13.794883526882547</v>
      </c>
      <c r="I170" s="711">
        <f>Bilans_E_AMS_Kyoto_run3_MTE!M431</f>
        <v>0</v>
      </c>
      <c r="J170" s="711">
        <f>Bilans_E_AMS_Kyoto_run3_MTE!N431</f>
        <v>3.3981163703769028</v>
      </c>
      <c r="K170" s="711">
        <f>Bilans_E_AMS_Kyoto_run3_MTE!O431</f>
        <v>0</v>
      </c>
      <c r="L170" s="711">
        <f>Bilans_E_AMS_Kyoto_run3_MTE!P431</f>
        <v>24.198351271875673</v>
      </c>
      <c r="M170" s="711">
        <f>Bilans_E_AMS_Kyoto_run3_MTE!Q431</f>
        <v>14.187375488735356</v>
      </c>
      <c r="N170" s="711">
        <f>Bilans_E_AMS_Kyoto_run3_MTE!R431</f>
        <v>0</v>
      </c>
      <c r="O170" s="711">
        <f>Bilans_E_AMS_Kyoto_run3_MTE!S431</f>
        <v>9.211082811707719</v>
      </c>
      <c r="P170" s="711">
        <f>Bilans_E_AMS_Kyoto_run3_MTE!T431+Bilans_E_AMS_Kyoto_run3_MTE!U431</f>
        <v>17.004200785241363</v>
      </c>
      <c r="Q170" s="711">
        <f>Bilans_E_AMS_Kyoto_run3_MTE!V431</f>
        <v>15.724500904765749</v>
      </c>
      <c r="R170" s="711">
        <f>Bilans_E_AMS_Kyoto_run3_MTE!W431</f>
        <v>0</v>
      </c>
      <c r="S170" s="711">
        <f>Bilans_E_AMS_Kyoto_run3_MTE!X431</f>
        <v>-90.436442741744855</v>
      </c>
      <c r="T170" s="711">
        <f>Bilans_E_AMS_Kyoto_run3_MTE!Y431</f>
        <v>0</v>
      </c>
      <c r="U170" s="711">
        <f>Bilans_E_AMS_Kyoto_run3_MTE!Z431</f>
        <v>7.0820684178404321</v>
      </c>
      <c r="V170" s="701"/>
      <c r="W170" s="701"/>
    </row>
    <row r="171" spans="1:23" x14ac:dyDescent="0.25">
      <c r="A171" s="701" t="s">
        <v>497</v>
      </c>
      <c r="B171" s="701"/>
      <c r="C171" s="717" t="s">
        <v>349</v>
      </c>
      <c r="D171" s="711">
        <f>Bilans_E_AMS_Kyoto_run3_MTE!H432</f>
        <v>0</v>
      </c>
      <c r="E171" s="711">
        <f>Bilans_E_AMS_Kyoto_run3_MTE!I432</f>
        <v>0</v>
      </c>
      <c r="F171" s="711">
        <f>Bilans_E_AMS_Kyoto_run3_MTE!J432</f>
        <v>0</v>
      </c>
      <c r="G171" s="711">
        <f>Bilans_E_AMS_Kyoto_run3_MTE!K432</f>
        <v>0</v>
      </c>
      <c r="H171" s="711">
        <f>Bilans_E_AMS_Kyoto_run3_MTE!L432</f>
        <v>0</v>
      </c>
      <c r="I171" s="711">
        <f>Bilans_E_AMS_Kyoto_run3_MTE!M432</f>
        <v>0</v>
      </c>
      <c r="J171" s="711">
        <f>Bilans_E_AMS_Kyoto_run3_MTE!N432</f>
        <v>0</v>
      </c>
      <c r="K171" s="711">
        <f>Bilans_E_AMS_Kyoto_run3_MTE!O432</f>
        <v>0</v>
      </c>
      <c r="L171" s="711">
        <f>Bilans_E_AMS_Kyoto_run3_MTE!P432</f>
        <v>121.15349099008552</v>
      </c>
      <c r="M171" s="711">
        <f>Bilans_E_AMS_Kyoto_run3_MTE!Q432</f>
        <v>11.695220862948467</v>
      </c>
      <c r="N171" s="711">
        <f>Bilans_E_AMS_Kyoto_run3_MTE!R432</f>
        <v>0</v>
      </c>
      <c r="O171" s="711">
        <f>Bilans_E_AMS_Kyoto_run3_MTE!S432</f>
        <v>-66.507884301827488</v>
      </c>
      <c r="P171" s="711">
        <f>Bilans_E_AMS_Kyoto_run3_MTE!T432+Bilans_E_AMS_Kyoto_run3_MTE!U432</f>
        <v>0</v>
      </c>
      <c r="Q171" s="711">
        <f>Bilans_E_AMS_Kyoto_run3_MTE!V432</f>
        <v>0</v>
      </c>
      <c r="R171" s="711">
        <f>Bilans_E_AMS_Kyoto_run3_MTE!W432</f>
        <v>0</v>
      </c>
      <c r="S171" s="711">
        <f>Bilans_E_AMS_Kyoto_run3_MTE!X432</f>
        <v>0</v>
      </c>
      <c r="T171" s="711">
        <f>Bilans_E_AMS_Kyoto_run3_MTE!Y432</f>
        <v>0</v>
      </c>
      <c r="U171" s="711">
        <f>Bilans_E_AMS_Kyoto_run3_MTE!Z432</f>
        <v>66.340827551206502</v>
      </c>
      <c r="V171" s="701"/>
      <c r="W171" s="701"/>
    </row>
    <row r="172" spans="1:23" x14ac:dyDescent="0.25">
      <c r="A172" s="701" t="s">
        <v>498</v>
      </c>
      <c r="B172" s="701"/>
      <c r="C172" s="717" t="s">
        <v>350</v>
      </c>
      <c r="D172" s="711">
        <f>Bilans_E_AMS_Kyoto_run3_MTE!H433</f>
        <v>0</v>
      </c>
      <c r="E172" s="711">
        <f>Bilans_E_AMS_Kyoto_run3_MTE!I433</f>
        <v>0</v>
      </c>
      <c r="F172" s="711">
        <f>Bilans_E_AMS_Kyoto_run3_MTE!J433</f>
        <v>0</v>
      </c>
      <c r="G172" s="711">
        <f>Bilans_E_AMS_Kyoto_run3_MTE!K433</f>
        <v>0</v>
      </c>
      <c r="H172" s="711">
        <f>Bilans_E_AMS_Kyoto_run3_MTE!L433</f>
        <v>0</v>
      </c>
      <c r="I172" s="711">
        <f>Bilans_E_AMS_Kyoto_run3_MTE!M433</f>
        <v>-0.99259685127624475</v>
      </c>
      <c r="J172" s="711">
        <f>Bilans_E_AMS_Kyoto_run3_MTE!N433</f>
        <v>0</v>
      </c>
      <c r="K172" s="711">
        <f>Bilans_E_AMS_Kyoto_run3_MTE!O433</f>
        <v>0</v>
      </c>
      <c r="L172" s="711">
        <f>Bilans_E_AMS_Kyoto_run3_MTE!P433</f>
        <v>0</v>
      </c>
      <c r="M172" s="711">
        <f>Bilans_E_AMS_Kyoto_run3_MTE!Q433</f>
        <v>0</v>
      </c>
      <c r="N172" s="711">
        <f>Bilans_E_AMS_Kyoto_run3_MTE!R433</f>
        <v>0</v>
      </c>
      <c r="O172" s="711">
        <f>Bilans_E_AMS_Kyoto_run3_MTE!S433</f>
        <v>0</v>
      </c>
      <c r="P172" s="711">
        <f>Bilans_E_AMS_Kyoto_run3_MTE!T433+Bilans_E_AMS_Kyoto_run3_MTE!U433</f>
        <v>0</v>
      </c>
      <c r="Q172" s="711">
        <f>Bilans_E_AMS_Kyoto_run3_MTE!V433</f>
        <v>0</v>
      </c>
      <c r="R172" s="711">
        <f>Bilans_E_AMS_Kyoto_run3_MTE!W433</f>
        <v>0</v>
      </c>
      <c r="S172" s="711">
        <f>Bilans_E_AMS_Kyoto_run3_MTE!X433</f>
        <v>0</v>
      </c>
      <c r="T172" s="711">
        <f>Bilans_E_AMS_Kyoto_run3_MTE!Y433</f>
        <v>1.3786067378836733</v>
      </c>
      <c r="U172" s="711">
        <f>Bilans_E_AMS_Kyoto_run3_MTE!Z433</f>
        <v>0.38600988660742852</v>
      </c>
      <c r="V172" s="701"/>
      <c r="W172" s="701"/>
    </row>
    <row r="173" spans="1:23" x14ac:dyDescent="0.25">
      <c r="A173" s="701" t="s">
        <v>499</v>
      </c>
      <c r="B173" s="701"/>
      <c r="C173" s="717" t="s">
        <v>72</v>
      </c>
      <c r="D173" s="711">
        <f>Bilans_E_AMS_Kyoto_run3_MTE!H434</f>
        <v>0</v>
      </c>
      <c r="E173" s="711">
        <f>Bilans_E_AMS_Kyoto_run3_MTE!I434</f>
        <v>236.81493545445448</v>
      </c>
      <c r="F173" s="711">
        <f>Bilans_E_AMS_Kyoto_run3_MTE!J434</f>
        <v>-234.44678609990993</v>
      </c>
      <c r="G173" s="711">
        <f>Bilans_E_AMS_Kyoto_run3_MTE!K434</f>
        <v>0</v>
      </c>
      <c r="H173" s="711">
        <f>Bilans_E_AMS_Kyoto_run3_MTE!L434</f>
        <v>0</v>
      </c>
      <c r="I173" s="711">
        <f>Bilans_E_AMS_Kyoto_run3_MTE!M434</f>
        <v>0</v>
      </c>
      <c r="J173" s="711">
        <f>Bilans_E_AMS_Kyoto_run3_MTE!N434</f>
        <v>0</v>
      </c>
      <c r="K173" s="711">
        <f>Bilans_E_AMS_Kyoto_run3_MTE!O434</f>
        <v>0</v>
      </c>
      <c r="L173" s="711">
        <f>Bilans_E_AMS_Kyoto_run3_MTE!P434</f>
        <v>0</v>
      </c>
      <c r="M173" s="711">
        <f>Bilans_E_AMS_Kyoto_run3_MTE!Q434</f>
        <v>0</v>
      </c>
      <c r="N173" s="711">
        <f>Bilans_E_AMS_Kyoto_run3_MTE!R434</f>
        <v>0</v>
      </c>
      <c r="O173" s="711">
        <f>Bilans_E_AMS_Kyoto_run3_MTE!S434</f>
        <v>0</v>
      </c>
      <c r="P173" s="711">
        <f>Bilans_E_AMS_Kyoto_run3_MTE!T434+Bilans_E_AMS_Kyoto_run3_MTE!U434</f>
        <v>0</v>
      </c>
      <c r="Q173" s="711">
        <f>Bilans_E_AMS_Kyoto_run3_MTE!V434</f>
        <v>0</v>
      </c>
      <c r="R173" s="711">
        <f>Bilans_E_AMS_Kyoto_run3_MTE!W434</f>
        <v>0</v>
      </c>
      <c r="S173" s="711">
        <f>Bilans_E_AMS_Kyoto_run3_MTE!X434</f>
        <v>0</v>
      </c>
      <c r="T173" s="711">
        <f>Bilans_E_AMS_Kyoto_run3_MTE!Y434</f>
        <v>0</v>
      </c>
      <c r="U173" s="711">
        <f>Bilans_E_AMS_Kyoto_run3_MTE!Z434</f>
        <v>2.3681493545445562</v>
      </c>
      <c r="V173" s="701"/>
      <c r="W173" s="701"/>
    </row>
    <row r="174" spans="1:23" x14ac:dyDescent="0.25">
      <c r="A174" s="701" t="s">
        <v>500</v>
      </c>
      <c r="B174" s="701"/>
      <c r="C174" s="717" t="s">
        <v>351</v>
      </c>
      <c r="D174" s="711">
        <f>Bilans_E_AMS_Kyoto_run3_MTE!H435</f>
        <v>0</v>
      </c>
      <c r="E174" s="711">
        <f>Bilans_E_AMS_Kyoto_run3_MTE!I435</f>
        <v>0</v>
      </c>
      <c r="F174" s="711">
        <f>Bilans_E_AMS_Kyoto_run3_MTE!J435</f>
        <v>0</v>
      </c>
      <c r="G174" s="711">
        <f>Bilans_E_AMS_Kyoto_run3_MTE!K435</f>
        <v>0</v>
      </c>
      <c r="H174" s="711">
        <f>Bilans_E_AMS_Kyoto_run3_MTE!L435</f>
        <v>0</v>
      </c>
      <c r="I174" s="711">
        <f>Bilans_E_AMS_Kyoto_run3_MTE!M435</f>
        <v>0</v>
      </c>
      <c r="J174" s="711">
        <f>Bilans_E_AMS_Kyoto_run3_MTE!N435</f>
        <v>0</v>
      </c>
      <c r="K174" s="711">
        <f>Bilans_E_AMS_Kyoto_run3_MTE!O435</f>
        <v>0</v>
      </c>
      <c r="L174" s="711">
        <f>Bilans_E_AMS_Kyoto_run3_MTE!P435</f>
        <v>92.214586114726359</v>
      </c>
      <c r="M174" s="711">
        <f>Bilans_E_AMS_Kyoto_run3_MTE!Q435</f>
        <v>7.2727272727272725</v>
      </c>
      <c r="N174" s="711">
        <f>Bilans_E_AMS_Kyoto_run3_MTE!R435</f>
        <v>-55.427636476917691</v>
      </c>
      <c r="O174" s="711">
        <f>Bilans_E_AMS_Kyoto_run3_MTE!S435</f>
        <v>0</v>
      </c>
      <c r="P174" s="711">
        <f>Bilans_E_AMS_Kyoto_run3_MTE!T435+Bilans_E_AMS_Kyoto_run3_MTE!U435</f>
        <v>0</v>
      </c>
      <c r="Q174" s="711">
        <f>Bilans_E_AMS_Kyoto_run3_MTE!V435</f>
        <v>0</v>
      </c>
      <c r="R174" s="711">
        <f>Bilans_E_AMS_Kyoto_run3_MTE!W435</f>
        <v>0</v>
      </c>
      <c r="S174" s="711">
        <f>Bilans_E_AMS_Kyoto_run3_MTE!X435</f>
        <v>0</v>
      </c>
      <c r="T174" s="711">
        <f>Bilans_E_AMS_Kyoto_run3_MTE!Y435</f>
        <v>0</v>
      </c>
      <c r="U174" s="711">
        <f>Bilans_E_AMS_Kyoto_run3_MTE!Z435</f>
        <v>44.059676910535934</v>
      </c>
      <c r="V174" s="701"/>
      <c r="W174" s="701"/>
    </row>
    <row r="175" spans="1:23" x14ac:dyDescent="0.25">
      <c r="A175" s="701" t="s">
        <v>501</v>
      </c>
      <c r="B175" s="701"/>
      <c r="C175" s="717" t="s">
        <v>352</v>
      </c>
      <c r="D175" s="711">
        <f>Bilans_E_AMS_Kyoto_run3_MTE!H436</f>
        <v>0</v>
      </c>
      <c r="E175" s="711">
        <f>Bilans_E_AMS_Kyoto_run3_MTE!I436</f>
        <v>0</v>
      </c>
      <c r="F175" s="711">
        <f>Bilans_E_AMS_Kyoto_run3_MTE!J436</f>
        <v>0</v>
      </c>
      <c r="G175" s="711">
        <f>Bilans_E_AMS_Kyoto_run3_MTE!K436</f>
        <v>-5.3675968512762449</v>
      </c>
      <c r="H175" s="711">
        <f>Bilans_E_AMS_Kyoto_run3_MTE!L436</f>
        <v>0</v>
      </c>
      <c r="I175" s="711">
        <f>Bilans_E_AMS_Kyoto_run3_MTE!M436</f>
        <v>0</v>
      </c>
      <c r="J175" s="711">
        <f>Bilans_E_AMS_Kyoto_run3_MTE!N436</f>
        <v>0</v>
      </c>
      <c r="K175" s="711">
        <f>Bilans_E_AMS_Kyoto_run3_MTE!O436</f>
        <v>0</v>
      </c>
      <c r="L175" s="711">
        <f>Bilans_E_AMS_Kyoto_run3_MTE!P436</f>
        <v>0</v>
      </c>
      <c r="M175" s="711">
        <f>Bilans_E_AMS_Kyoto_run3_MTE!Q436</f>
        <v>0</v>
      </c>
      <c r="N175" s="711">
        <f>Bilans_E_AMS_Kyoto_run3_MTE!R436</f>
        <v>0</v>
      </c>
      <c r="O175" s="711">
        <f>Bilans_E_AMS_Kyoto_run3_MTE!S436</f>
        <v>0</v>
      </c>
      <c r="P175" s="711">
        <f>Bilans_E_AMS_Kyoto_run3_MTE!T436+Bilans_E_AMS_Kyoto_run3_MTE!U436</f>
        <v>0</v>
      </c>
      <c r="Q175" s="711">
        <f>Bilans_E_AMS_Kyoto_run3_MTE!V436</f>
        <v>0</v>
      </c>
      <c r="R175" s="711">
        <f>Bilans_E_AMS_Kyoto_run3_MTE!W436</f>
        <v>0</v>
      </c>
      <c r="S175" s="711">
        <f>Bilans_E_AMS_Kyoto_run3_MTE!X436</f>
        <v>0</v>
      </c>
      <c r="T175" s="711">
        <f>Bilans_E_AMS_Kyoto_run3_MTE!Y436</f>
        <v>8.7918565364038699</v>
      </c>
      <c r="U175" s="711">
        <f>Bilans_E_AMS_Kyoto_run3_MTE!Z436</f>
        <v>3.424259685127625</v>
      </c>
      <c r="V175" s="701"/>
      <c r="W175" s="701"/>
    </row>
    <row r="176" spans="1:23" x14ac:dyDescent="0.25">
      <c r="A176" s="701" t="s">
        <v>502</v>
      </c>
      <c r="B176" s="701"/>
      <c r="C176" s="717" t="s">
        <v>73</v>
      </c>
      <c r="D176" s="711">
        <f>Bilans_E_AMS_Kyoto_run3_MTE!H437</f>
        <v>0</v>
      </c>
      <c r="E176" s="711">
        <f>Bilans_E_AMS_Kyoto_run3_MTE!I437</f>
        <v>0</v>
      </c>
      <c r="F176" s="711">
        <f>Bilans_E_AMS_Kyoto_run3_MTE!J437</f>
        <v>0</v>
      </c>
      <c r="G176" s="711">
        <f>Bilans_E_AMS_Kyoto_run3_MTE!K437</f>
        <v>0</v>
      </c>
      <c r="H176" s="711">
        <f>Bilans_E_AMS_Kyoto_run3_MTE!L437</f>
        <v>0</v>
      </c>
      <c r="I176" s="711">
        <f>Bilans_E_AMS_Kyoto_run3_MTE!M437</f>
        <v>0</v>
      </c>
      <c r="J176" s="711">
        <f>Bilans_E_AMS_Kyoto_run3_MTE!N437</f>
        <v>0</v>
      </c>
      <c r="K176" s="711">
        <f>Bilans_E_AMS_Kyoto_run3_MTE!O437</f>
        <v>0</v>
      </c>
      <c r="L176" s="711">
        <f>Bilans_E_AMS_Kyoto_run3_MTE!P437</f>
        <v>0</v>
      </c>
      <c r="M176" s="711">
        <f>Bilans_E_AMS_Kyoto_run3_MTE!Q437</f>
        <v>0</v>
      </c>
      <c r="N176" s="711">
        <f>Bilans_E_AMS_Kyoto_run3_MTE!R437</f>
        <v>0</v>
      </c>
      <c r="O176" s="711">
        <f>Bilans_E_AMS_Kyoto_run3_MTE!S437</f>
        <v>0</v>
      </c>
      <c r="P176" s="711">
        <f>Bilans_E_AMS_Kyoto_run3_MTE!T437+Bilans_E_AMS_Kyoto_run3_MTE!U437</f>
        <v>0</v>
      </c>
      <c r="Q176" s="711">
        <f>Bilans_E_AMS_Kyoto_run3_MTE!V437</f>
        <v>0</v>
      </c>
      <c r="R176" s="711">
        <f>Bilans_E_AMS_Kyoto_run3_MTE!W437</f>
        <v>46.345987464156821</v>
      </c>
      <c r="S176" s="711">
        <f>Bilans_E_AMS_Kyoto_run3_MTE!X437</f>
        <v>0</v>
      </c>
      <c r="T176" s="711">
        <f>Bilans_E_AMS_Kyoto_run3_MTE!Y437</f>
        <v>-31.747001412947427</v>
      </c>
      <c r="U176" s="711">
        <f>Bilans_E_AMS_Kyoto_run3_MTE!Z437</f>
        <v>14.598986051209394</v>
      </c>
      <c r="V176" s="701"/>
      <c r="W176" s="701"/>
    </row>
    <row r="177" spans="1:23" x14ac:dyDescent="0.25">
      <c r="A177" s="701" t="s">
        <v>503</v>
      </c>
      <c r="B177" s="701"/>
      <c r="C177" s="717" t="s">
        <v>353</v>
      </c>
      <c r="D177" s="711">
        <f>Bilans_E_AMS_Kyoto_run3_MTE!H438</f>
        <v>8.5250206054687503</v>
      </c>
      <c r="E177" s="711">
        <f>Bilans_E_AMS_Kyoto_run3_MTE!I438</f>
        <v>-8.2879547974433478</v>
      </c>
      <c r="F177" s="711">
        <f>Bilans_E_AMS_Kyoto_run3_MTE!J438</f>
        <v>10.994009966120005</v>
      </c>
      <c r="G177" s="711">
        <f>Bilans_E_AMS_Kyoto_run3_MTE!K438</f>
        <v>0</v>
      </c>
      <c r="H177" s="711">
        <f>Bilans_E_AMS_Kyoto_run3_MTE!L438</f>
        <v>0</v>
      </c>
      <c r="I177" s="711">
        <f>Bilans_E_AMS_Kyoto_run3_MTE!M438</f>
        <v>0</v>
      </c>
      <c r="J177" s="711">
        <f>Bilans_E_AMS_Kyoto_run3_MTE!N438</f>
        <v>0</v>
      </c>
      <c r="K177" s="711">
        <f>Bilans_E_AMS_Kyoto_run3_MTE!O438</f>
        <v>0</v>
      </c>
      <c r="L177" s="711">
        <f>Bilans_E_AMS_Kyoto_run3_MTE!P438</f>
        <v>0</v>
      </c>
      <c r="M177" s="711">
        <f>Bilans_E_AMS_Kyoto_run3_MTE!Q438</f>
        <v>0</v>
      </c>
      <c r="N177" s="711">
        <f>Bilans_E_AMS_Kyoto_run3_MTE!R438</f>
        <v>0</v>
      </c>
      <c r="O177" s="711">
        <f>Bilans_E_AMS_Kyoto_run3_MTE!S438</f>
        <v>0</v>
      </c>
      <c r="P177" s="711">
        <f>Bilans_E_AMS_Kyoto_run3_MTE!T438+Bilans_E_AMS_Kyoto_run3_MTE!U438</f>
        <v>0</v>
      </c>
      <c r="Q177" s="711">
        <f>Bilans_E_AMS_Kyoto_run3_MTE!V438</f>
        <v>0</v>
      </c>
      <c r="R177" s="711">
        <f>Bilans_E_AMS_Kyoto_run3_MTE!W438</f>
        <v>0</v>
      </c>
      <c r="S177" s="711">
        <f>Bilans_E_AMS_Kyoto_run3_MTE!X438</f>
        <v>0</v>
      </c>
      <c r="T177" s="711">
        <f>Bilans_E_AMS_Kyoto_run3_MTE!Y438</f>
        <v>0</v>
      </c>
      <c r="U177" s="711">
        <f>Bilans_E_AMS_Kyoto_run3_MTE!Z438</f>
        <v>11.231075774145408</v>
      </c>
      <c r="V177" s="701"/>
      <c r="W177" s="701"/>
    </row>
    <row r="178" spans="1:23" x14ac:dyDescent="0.25">
      <c r="A178" s="701" t="s">
        <v>504</v>
      </c>
      <c r="B178" s="701"/>
      <c r="C178" s="717" t="s">
        <v>75</v>
      </c>
      <c r="D178" s="711">
        <f>Bilans_E_AMS_Kyoto_run3_MTE!H439</f>
        <v>3.3152857910156257</v>
      </c>
      <c r="E178" s="711">
        <f>Bilans_E_AMS_Kyoto_run3_MTE!I439</f>
        <v>0</v>
      </c>
      <c r="F178" s="711">
        <f>Bilans_E_AMS_Kyoto_run3_MTE!J439</f>
        <v>8.217345528971137</v>
      </c>
      <c r="G178" s="711">
        <f>Bilans_E_AMS_Kyoto_run3_MTE!K439</f>
        <v>0</v>
      </c>
      <c r="H178" s="711">
        <f>Bilans_E_AMS_Kyoto_run3_MTE!L439</f>
        <v>0</v>
      </c>
      <c r="I178" s="711">
        <f>Bilans_E_AMS_Kyoto_run3_MTE!M439</f>
        <v>0</v>
      </c>
      <c r="J178" s="711">
        <f>Bilans_E_AMS_Kyoto_run3_MTE!N439</f>
        <v>0</v>
      </c>
      <c r="K178" s="711">
        <f>Bilans_E_AMS_Kyoto_run3_MTE!O439</f>
        <v>0</v>
      </c>
      <c r="L178" s="711">
        <f>Bilans_E_AMS_Kyoto_run3_MTE!P439</f>
        <v>0</v>
      </c>
      <c r="M178" s="711">
        <f>Bilans_E_AMS_Kyoto_run3_MTE!Q439</f>
        <v>0</v>
      </c>
      <c r="N178" s="711">
        <f>Bilans_E_AMS_Kyoto_run3_MTE!R439</f>
        <v>0</v>
      </c>
      <c r="O178" s="711">
        <f>Bilans_E_AMS_Kyoto_run3_MTE!S439</f>
        <v>0</v>
      </c>
      <c r="P178" s="711">
        <f>Bilans_E_AMS_Kyoto_run3_MTE!T439+Bilans_E_AMS_Kyoto_run3_MTE!U439</f>
        <v>0</v>
      </c>
      <c r="Q178" s="711">
        <f>Bilans_E_AMS_Kyoto_run3_MTE!V439</f>
        <v>0</v>
      </c>
      <c r="R178" s="711">
        <f>Bilans_E_AMS_Kyoto_run3_MTE!W439</f>
        <v>38.800105175182054</v>
      </c>
      <c r="S178" s="711">
        <f>Bilans_E_AMS_Kyoto_run3_MTE!X439</f>
        <v>0</v>
      </c>
      <c r="T178" s="711">
        <f>Bilans_E_AMS_Kyoto_run3_MTE!Y439</f>
        <v>2.3301224997410235</v>
      </c>
      <c r="U178" s="711">
        <f>Bilans_E_AMS_Kyoto_run3_MTE!Z439</f>
        <v>52.66285899490984</v>
      </c>
      <c r="V178" s="701"/>
      <c r="W178" s="701"/>
    </row>
    <row r="179" spans="1:23" x14ac:dyDescent="0.25">
      <c r="A179" s="701" t="s">
        <v>505</v>
      </c>
      <c r="B179" s="701"/>
      <c r="C179" s="717" t="s">
        <v>76</v>
      </c>
      <c r="D179" s="711">
        <f>Bilans_E_AMS_Kyoto_run3_MTE!H440</f>
        <v>0</v>
      </c>
      <c r="E179" s="711">
        <f>Bilans_E_AMS_Kyoto_run3_MTE!I440</f>
        <v>0</v>
      </c>
      <c r="F179" s="711">
        <f>Bilans_E_AMS_Kyoto_run3_MTE!J440</f>
        <v>0</v>
      </c>
      <c r="G179" s="711">
        <f>Bilans_E_AMS_Kyoto_run3_MTE!K440</f>
        <v>0</v>
      </c>
      <c r="H179" s="711">
        <f>Bilans_E_AMS_Kyoto_run3_MTE!L440</f>
        <v>1.1543235485411594</v>
      </c>
      <c r="I179" s="711">
        <f>Bilans_E_AMS_Kyoto_run3_MTE!M440</f>
        <v>0</v>
      </c>
      <c r="J179" s="711">
        <f>Bilans_E_AMS_Kyoto_run3_MTE!N440</f>
        <v>0</v>
      </c>
      <c r="K179" s="711">
        <f>Bilans_E_AMS_Kyoto_run3_MTE!O440</f>
        <v>0</v>
      </c>
      <c r="L179" s="711">
        <f>Bilans_E_AMS_Kyoto_run3_MTE!P440</f>
        <v>0</v>
      </c>
      <c r="M179" s="711">
        <f>Bilans_E_AMS_Kyoto_run3_MTE!Q440</f>
        <v>0</v>
      </c>
      <c r="N179" s="711">
        <f>Bilans_E_AMS_Kyoto_run3_MTE!R440</f>
        <v>0</v>
      </c>
      <c r="O179" s="711">
        <f>Bilans_E_AMS_Kyoto_run3_MTE!S440</f>
        <v>0.76954903236077299</v>
      </c>
      <c r="P179" s="711">
        <f>Bilans_E_AMS_Kyoto_run3_MTE!T440+Bilans_E_AMS_Kyoto_run3_MTE!U440</f>
        <v>0</v>
      </c>
      <c r="Q179" s="711">
        <f>Bilans_E_AMS_Kyoto_run3_MTE!V440</f>
        <v>0</v>
      </c>
      <c r="R179" s="711">
        <f>Bilans_E_AMS_Kyoto_run3_MTE!W440</f>
        <v>55.568340190332414</v>
      </c>
      <c r="S179" s="711">
        <f>Bilans_E_AMS_Kyoto_run3_MTE!X440</f>
        <v>7.0126401757775509</v>
      </c>
      <c r="T179" s="711">
        <f>Bilans_E_AMS_Kyoto_run3_MTE!Y440</f>
        <v>0</v>
      </c>
      <c r="U179" s="711">
        <f>Bilans_E_AMS_Kyoto_run3_MTE!Z440</f>
        <v>64.504852947011898</v>
      </c>
      <c r="V179" s="701"/>
      <c r="W179" s="701"/>
    </row>
    <row r="180" spans="1:23" x14ac:dyDescent="0.25">
      <c r="A180" s="701" t="s">
        <v>506</v>
      </c>
      <c r="B180" s="701"/>
      <c r="C180" s="713" t="s">
        <v>77</v>
      </c>
      <c r="D180" s="714">
        <f>Bilans_E_AMS_Kyoto_run3_MTE!H441</f>
        <v>11.840306396484376</v>
      </c>
      <c r="E180" s="714">
        <f>Bilans_E_AMS_Kyoto_run3_MTE!I441</f>
        <v>228.52698065701114</v>
      </c>
      <c r="F180" s="714">
        <f>Bilans_E_AMS_Kyoto_run3_MTE!J441</f>
        <v>-215.16927865141872</v>
      </c>
      <c r="G180" s="714">
        <f>Bilans_E_AMS_Kyoto_run3_MTE!K441</f>
        <v>-5.3675968512762449</v>
      </c>
      <c r="H180" s="714">
        <f>Bilans_E_AMS_Kyoto_run3_MTE!L441</f>
        <v>14.951693796815011</v>
      </c>
      <c r="I180" s="714">
        <f>Bilans_E_AMS_Kyoto_run3_MTE!M441</f>
        <v>-0.99259685127624475</v>
      </c>
      <c r="J180" s="714">
        <f>Bilans_E_AMS_Kyoto_run3_MTE!N441</f>
        <v>1217.3350254612858</v>
      </c>
      <c r="K180" s="714">
        <f>Bilans_E_AMS_Kyoto_run3_MTE!O441</f>
        <v>388.29502398919544</v>
      </c>
      <c r="L180" s="714">
        <f>Bilans_E_AMS_Kyoto_run3_MTE!P441</f>
        <v>255.15325459036612</v>
      </c>
      <c r="M180" s="714">
        <f>Bilans_E_AMS_Kyoto_run3_MTE!Q441</f>
        <v>38.768704949841634</v>
      </c>
      <c r="N180" s="714">
        <f>Bilans_E_AMS_Kyoto_run3_MTE!R441</f>
        <v>-49.800698638984656</v>
      </c>
      <c r="O180" s="714">
        <f>Bilans_E_AMS_Kyoto_run3_MTE!S441</f>
        <v>-56.411694494246213</v>
      </c>
      <c r="P180" s="714">
        <f>Bilans_E_AMS_Kyoto_run3_MTE!T441+Bilans_E_AMS_Kyoto_run3_MTE!U441</f>
        <v>17.004200785241363</v>
      </c>
      <c r="Q180" s="714">
        <f>Bilans_E_AMS_Kyoto_run3_MTE!V441</f>
        <v>22.157257652094906</v>
      </c>
      <c r="R180" s="714">
        <f>Bilans_E_AMS_Kyoto_run3_MTE!W441</f>
        <v>-664.74747380843064</v>
      </c>
      <c r="S180" s="714">
        <f>Bilans_E_AMS_Kyoto_run3_MTE!X441</f>
        <v>-83.423802565967307</v>
      </c>
      <c r="T180" s="714">
        <f>Bilans_E_AMS_Kyoto_run3_MTE!Y441</f>
        <v>-19.246415638918862</v>
      </c>
      <c r="U180" s="714">
        <f>Bilans_E_AMS_Kyoto_run3_MTE!Z441</f>
        <v>1098.8728907778168</v>
      </c>
      <c r="V180" s="701"/>
      <c r="W180" s="701"/>
    </row>
    <row r="181" spans="1:23" x14ac:dyDescent="0.25">
      <c r="A181" s="701"/>
      <c r="B181" s="701"/>
      <c r="C181" s="715"/>
      <c r="D181" s="716"/>
      <c r="E181" s="716"/>
      <c r="F181" s="716"/>
      <c r="G181" s="716"/>
      <c r="H181" s="716"/>
      <c r="I181" s="716"/>
      <c r="J181" s="716"/>
      <c r="K181" s="716"/>
      <c r="L181" s="716"/>
      <c r="M181" s="716"/>
      <c r="N181" s="716"/>
      <c r="O181" s="716"/>
      <c r="P181" s="716">
        <f>Bilans_E_AMS_Kyoto_run3_MTE!T442+Bilans_E_AMS_Kyoto_run3_MTE!U442</f>
        <v>0</v>
      </c>
      <c r="Q181" s="716"/>
      <c r="R181" s="716"/>
      <c r="S181" s="716"/>
      <c r="T181" s="716"/>
      <c r="U181" s="716"/>
      <c r="V181" s="701"/>
      <c r="W181" s="701"/>
    </row>
    <row r="182" spans="1:23" x14ac:dyDescent="0.25">
      <c r="A182" s="701" t="s">
        <v>507</v>
      </c>
      <c r="B182" s="701"/>
      <c r="C182" s="717" t="s">
        <v>78</v>
      </c>
      <c r="D182" s="711">
        <f>Bilans_E_AMS_Kyoto_run3_MTE!H443</f>
        <v>0.31248754882812502</v>
      </c>
      <c r="E182" s="711">
        <f>Bilans_E_AMS_Kyoto_run3_MTE!I443</f>
        <v>0</v>
      </c>
      <c r="F182" s="711">
        <f>Bilans_E_AMS_Kyoto_run3_MTE!J443</f>
        <v>3.1554639427466697</v>
      </c>
      <c r="G182" s="711">
        <f>Bilans_E_AMS_Kyoto_run3_MTE!K443</f>
        <v>0</v>
      </c>
      <c r="H182" s="711">
        <f>Bilans_E_AMS_Kyoto_run3_MTE!L443</f>
        <v>37.01033714688981</v>
      </c>
      <c r="I182" s="711">
        <f>Bilans_E_AMS_Kyoto_run3_MTE!M443</f>
        <v>0</v>
      </c>
      <c r="J182" s="711">
        <f>Bilans_E_AMS_Kyoto_run3_MTE!N443</f>
        <v>0</v>
      </c>
      <c r="K182" s="711">
        <f>Bilans_E_AMS_Kyoto_run3_MTE!O443</f>
        <v>0</v>
      </c>
      <c r="L182" s="711">
        <f>Bilans_E_AMS_Kyoto_run3_MTE!P443</f>
        <v>37.391289864504934</v>
      </c>
      <c r="M182" s="711">
        <f>Bilans_E_AMS_Kyoto_run3_MTE!Q443</f>
        <v>8.8042095890605694</v>
      </c>
      <c r="N182" s="711">
        <f>Bilans_E_AMS_Kyoto_run3_MTE!R443</f>
        <v>0.65571165030445222</v>
      </c>
      <c r="O182" s="711">
        <f>Bilans_E_AMS_Kyoto_run3_MTE!S443</f>
        <v>24.712220905509611</v>
      </c>
      <c r="P182" s="711">
        <f>Bilans_E_AMS_Kyoto_run3_MTE!T443+Bilans_E_AMS_Kyoto_run3_MTE!U443</f>
        <v>10.938740234375</v>
      </c>
      <c r="Q182" s="711">
        <f>Bilans_E_AMS_Kyoto_run3_MTE!V443</f>
        <v>7.8820466826144567E-4</v>
      </c>
      <c r="R182" s="711">
        <f>Bilans_E_AMS_Kyoto_run3_MTE!W443</f>
        <v>154.95335920514725</v>
      </c>
      <c r="S182" s="711">
        <f>Bilans_E_AMS_Kyoto_run3_MTE!X443</f>
        <v>19.589550837757145</v>
      </c>
      <c r="T182" s="711">
        <f>Bilans_E_AMS_Kyoto_run3_MTE!Y443</f>
        <v>8.8214501953125009</v>
      </c>
      <c r="U182" s="711">
        <f>Bilans_E_AMS_Kyoto_run3_MTE!Z443</f>
        <v>306.34560932510431</v>
      </c>
      <c r="V182" s="701"/>
      <c r="W182" s="701"/>
    </row>
    <row r="183" spans="1:23" x14ac:dyDescent="0.25">
      <c r="A183" s="701" t="s">
        <v>508</v>
      </c>
      <c r="B183" s="701"/>
      <c r="C183" s="717" t="s">
        <v>79</v>
      </c>
      <c r="D183" s="711">
        <f>Bilans_E_AMS_Kyoto_run3_MTE!H444</f>
        <v>0</v>
      </c>
      <c r="E183" s="711">
        <f>Bilans_E_AMS_Kyoto_run3_MTE!I444</f>
        <v>0</v>
      </c>
      <c r="F183" s="711">
        <f>Bilans_E_AMS_Kyoto_run3_MTE!J444</f>
        <v>101.77401649068347</v>
      </c>
      <c r="G183" s="711">
        <f>Bilans_E_AMS_Kyoto_run3_MTE!K444</f>
        <v>1</v>
      </c>
      <c r="H183" s="711">
        <f>Bilans_E_AMS_Kyoto_run3_MTE!L444</f>
        <v>4.5438942798277537</v>
      </c>
      <c r="I183" s="711">
        <f>Bilans_E_AMS_Kyoto_run3_MTE!M444</f>
        <v>0</v>
      </c>
      <c r="J183" s="711">
        <f>Bilans_E_AMS_Kyoto_run3_MTE!N444</f>
        <v>0</v>
      </c>
      <c r="K183" s="711">
        <f>Bilans_E_AMS_Kyoto_run3_MTE!O444</f>
        <v>0</v>
      </c>
      <c r="L183" s="711">
        <f>Bilans_E_AMS_Kyoto_run3_MTE!P444</f>
        <v>0</v>
      </c>
      <c r="M183" s="711">
        <f>Bilans_E_AMS_Kyoto_run3_MTE!Q444</f>
        <v>0</v>
      </c>
      <c r="N183" s="711">
        <f>Bilans_E_AMS_Kyoto_run3_MTE!R444</f>
        <v>35.960574276816558</v>
      </c>
      <c r="O183" s="711">
        <f>Bilans_E_AMS_Kyoto_run3_MTE!S444</f>
        <v>3.0292628532185026</v>
      </c>
      <c r="P183" s="711">
        <f>Bilans_E_AMS_Kyoto_run3_MTE!T444+Bilans_E_AMS_Kyoto_run3_MTE!U444</f>
        <v>0</v>
      </c>
      <c r="Q183" s="711">
        <f>Bilans_E_AMS_Kyoto_run3_MTE!V444</f>
        <v>0</v>
      </c>
      <c r="R183" s="711">
        <f>Bilans_E_AMS_Kyoto_run3_MTE!W444</f>
        <v>98.588545998647945</v>
      </c>
      <c r="S183" s="711">
        <f>Bilans_E_AMS_Kyoto_run3_MTE!X444</f>
        <v>0</v>
      </c>
      <c r="T183" s="711">
        <f>Bilans_E_AMS_Kyoto_run3_MTE!Y444</f>
        <v>4.4541562271539039</v>
      </c>
      <c r="U183" s="711">
        <f>Bilans_E_AMS_Kyoto_run3_MTE!Z444</f>
        <v>249.35045012634814</v>
      </c>
      <c r="V183" s="701"/>
      <c r="W183" s="701"/>
    </row>
    <row r="184" spans="1:23" x14ac:dyDescent="0.25">
      <c r="A184" s="701" t="s">
        <v>509</v>
      </c>
      <c r="B184" s="701"/>
      <c r="C184" s="717" t="s">
        <v>80</v>
      </c>
      <c r="D184" s="711">
        <f>Bilans_E_AMS_Kyoto_run3_MTE!H445</f>
        <v>0</v>
      </c>
      <c r="E184" s="711">
        <f>Bilans_E_AMS_Kyoto_run3_MTE!I445</f>
        <v>0</v>
      </c>
      <c r="F184" s="711">
        <f>Bilans_E_AMS_Kyoto_run3_MTE!J445</f>
        <v>0.45829125770018231</v>
      </c>
      <c r="G184" s="711">
        <f>Bilans_E_AMS_Kyoto_run3_MTE!K445</f>
        <v>0</v>
      </c>
      <c r="H184" s="711">
        <f>Bilans_E_AMS_Kyoto_run3_MTE!L445</f>
        <v>23.558204689169596</v>
      </c>
      <c r="I184" s="711">
        <f>Bilans_E_AMS_Kyoto_run3_MTE!M445</f>
        <v>0</v>
      </c>
      <c r="J184" s="711">
        <f>Bilans_E_AMS_Kyoto_run3_MTE!N445</f>
        <v>0</v>
      </c>
      <c r="K184" s="711">
        <f>Bilans_E_AMS_Kyoto_run3_MTE!O445</f>
        <v>0</v>
      </c>
      <c r="L184" s="711">
        <f>Bilans_E_AMS_Kyoto_run3_MTE!P445</f>
        <v>44.494417008077924</v>
      </c>
      <c r="M184" s="711">
        <f>Bilans_E_AMS_Kyoto_run3_MTE!Q445</f>
        <v>0</v>
      </c>
      <c r="N184" s="711">
        <f>Bilans_E_AMS_Kyoto_run3_MTE!R445</f>
        <v>0</v>
      </c>
      <c r="O184" s="711">
        <f>Bilans_E_AMS_Kyoto_run3_MTE!S445</f>
        <v>15.705469792779732</v>
      </c>
      <c r="P184" s="711">
        <f>Bilans_E_AMS_Kyoto_run3_MTE!T445+Bilans_E_AMS_Kyoto_run3_MTE!U445</f>
        <v>136.92844956569715</v>
      </c>
      <c r="Q184" s="711">
        <f>Bilans_E_AMS_Kyoto_run3_MTE!V445</f>
        <v>11.112810725871574</v>
      </c>
      <c r="R184" s="711">
        <f>Bilans_E_AMS_Kyoto_run3_MTE!W445</f>
        <v>151.24868898897191</v>
      </c>
      <c r="S184" s="711">
        <f>Bilans_E_AMS_Kyoto_run3_MTE!X445</f>
        <v>40.573888251039236</v>
      </c>
      <c r="T184" s="711">
        <f>Bilans_E_AMS_Kyoto_run3_MTE!Y445</f>
        <v>0</v>
      </c>
      <c r="U184" s="711">
        <f>Bilans_E_AMS_Kyoto_run3_MTE!Z445</f>
        <v>424.0802202793073</v>
      </c>
      <c r="V184" s="701"/>
      <c r="W184" s="701"/>
    </row>
    <row r="185" spans="1:23" x14ac:dyDescent="0.25">
      <c r="A185" s="701" t="s">
        <v>510</v>
      </c>
      <c r="B185" s="701"/>
      <c r="C185" s="717" t="s">
        <v>81</v>
      </c>
      <c r="D185" s="711">
        <f>Bilans_E_AMS_Kyoto_run3_MTE!H446</f>
        <v>0</v>
      </c>
      <c r="E185" s="711">
        <f>Bilans_E_AMS_Kyoto_run3_MTE!I446</f>
        <v>0</v>
      </c>
      <c r="F185" s="711">
        <f>Bilans_E_AMS_Kyoto_run3_MTE!J446</f>
        <v>0.72441471608254671</v>
      </c>
      <c r="G185" s="711">
        <f>Bilans_E_AMS_Kyoto_run3_MTE!K446</f>
        <v>0</v>
      </c>
      <c r="H185" s="711">
        <f>Bilans_E_AMS_Kyoto_run3_MTE!L446</f>
        <v>16.529932147980702</v>
      </c>
      <c r="I185" s="711">
        <f>Bilans_E_AMS_Kyoto_run3_MTE!M446</f>
        <v>0</v>
      </c>
      <c r="J185" s="711">
        <f>Bilans_E_AMS_Kyoto_run3_MTE!N446</f>
        <v>0</v>
      </c>
      <c r="K185" s="711">
        <f>Bilans_E_AMS_Kyoto_run3_MTE!O446</f>
        <v>0</v>
      </c>
      <c r="L185" s="711">
        <f>Bilans_E_AMS_Kyoto_run3_MTE!P446</f>
        <v>0.53348745170182088</v>
      </c>
      <c r="M185" s="711">
        <f>Bilans_E_AMS_Kyoto_run3_MTE!Q446</f>
        <v>0</v>
      </c>
      <c r="N185" s="711">
        <f>Bilans_E_AMS_Kyoto_run3_MTE!R446</f>
        <v>0</v>
      </c>
      <c r="O185" s="711">
        <f>Bilans_E_AMS_Kyoto_run3_MTE!S446</f>
        <v>11.019954765320469</v>
      </c>
      <c r="P185" s="711">
        <f>Bilans_E_AMS_Kyoto_run3_MTE!T446+Bilans_E_AMS_Kyoto_run3_MTE!U446</f>
        <v>52.106590615041483</v>
      </c>
      <c r="Q185" s="711">
        <f>Bilans_E_AMS_Kyoto_run3_MTE!V446</f>
        <v>10.099133053150796</v>
      </c>
      <c r="R185" s="711">
        <f>Bilans_E_AMS_Kyoto_run3_MTE!W446</f>
        <v>121.37238070067973</v>
      </c>
      <c r="S185" s="711">
        <f>Bilans_E_AMS_Kyoto_run3_MTE!X446</f>
        <v>23.260331591038877</v>
      </c>
      <c r="T185" s="711">
        <f>Bilans_E_AMS_Kyoto_run3_MTE!Y446</f>
        <v>0</v>
      </c>
      <c r="U185" s="711">
        <f>Bilans_E_AMS_Kyoto_run3_MTE!Z446</f>
        <v>235.6462250409964</v>
      </c>
      <c r="V185" s="701"/>
      <c r="W185" s="701"/>
    </row>
    <row r="186" spans="1:23" x14ac:dyDescent="0.25">
      <c r="A186" s="701" t="s">
        <v>511</v>
      </c>
      <c r="B186" s="701"/>
      <c r="C186" s="717" t="s">
        <v>82</v>
      </c>
      <c r="D186" s="711">
        <f>Bilans_E_AMS_Kyoto_run3_MTE!H447</f>
        <v>0</v>
      </c>
      <c r="E186" s="711">
        <f>Bilans_E_AMS_Kyoto_run3_MTE!I447</f>
        <v>0</v>
      </c>
      <c r="F186" s="711">
        <f>Bilans_E_AMS_Kyoto_run3_MTE!J447</f>
        <v>13.844421020879521</v>
      </c>
      <c r="G186" s="711">
        <f>Bilans_E_AMS_Kyoto_run3_MTE!K447</f>
        <v>0</v>
      </c>
      <c r="H186" s="711">
        <f>Bilans_E_AMS_Kyoto_run3_MTE!L447</f>
        <v>0.75389053295489317</v>
      </c>
      <c r="I186" s="711">
        <f>Bilans_E_AMS_Kyoto_run3_MTE!M447</f>
        <v>0</v>
      </c>
      <c r="J186" s="711">
        <f>Bilans_E_AMS_Kyoto_run3_MTE!N447</f>
        <v>0</v>
      </c>
      <c r="K186" s="711">
        <f>Bilans_E_AMS_Kyoto_run3_MTE!O447</f>
        <v>0</v>
      </c>
      <c r="L186" s="711">
        <f>Bilans_E_AMS_Kyoto_run3_MTE!P447</f>
        <v>15.52633161671044</v>
      </c>
      <c r="M186" s="711">
        <f>Bilans_E_AMS_Kyoto_run3_MTE!Q447</f>
        <v>0</v>
      </c>
      <c r="N186" s="711">
        <f>Bilans_E_AMS_Kyoto_run3_MTE!R447</f>
        <v>6.9560280843062596</v>
      </c>
      <c r="O186" s="711">
        <f>Bilans_E_AMS_Kyoto_run3_MTE!S447</f>
        <v>0.50259368863659548</v>
      </c>
      <c r="P186" s="711">
        <f>Bilans_E_AMS_Kyoto_run3_MTE!T447+Bilans_E_AMS_Kyoto_run3_MTE!U447</f>
        <v>1</v>
      </c>
      <c r="Q186" s="711">
        <f>Bilans_E_AMS_Kyoto_run3_MTE!V447</f>
        <v>1.300620381405156</v>
      </c>
      <c r="R186" s="711">
        <f>Bilans_E_AMS_Kyoto_run3_MTE!W447</f>
        <v>9.5059865656589242</v>
      </c>
      <c r="S186" s="711">
        <f>Bilans_E_AMS_Kyoto_run3_MTE!X447</f>
        <v>0</v>
      </c>
      <c r="T186" s="711">
        <f>Bilans_E_AMS_Kyoto_run3_MTE!Y447</f>
        <v>0.43956597389567681</v>
      </c>
      <c r="U186" s="711">
        <f>Bilans_E_AMS_Kyoto_run3_MTE!Z447</f>
        <v>49.829437864447456</v>
      </c>
      <c r="V186" s="701"/>
      <c r="W186" s="701"/>
    </row>
    <row r="187" spans="1:23" x14ac:dyDescent="0.25">
      <c r="A187" s="701" t="s">
        <v>512</v>
      </c>
      <c r="B187" s="701"/>
      <c r="C187" s="717" t="s">
        <v>354</v>
      </c>
      <c r="D187" s="711">
        <f>Bilans_E_AMS_Kyoto_run3_MTE!H448</f>
        <v>0</v>
      </c>
      <c r="E187" s="711">
        <f>Bilans_E_AMS_Kyoto_run3_MTE!I448</f>
        <v>0</v>
      </c>
      <c r="F187" s="711">
        <f>Bilans_E_AMS_Kyoto_run3_MTE!J448</f>
        <v>0</v>
      </c>
      <c r="G187" s="711">
        <f>Bilans_E_AMS_Kyoto_run3_MTE!K448</f>
        <v>0</v>
      </c>
      <c r="H187" s="711">
        <f>Bilans_E_AMS_Kyoto_run3_MTE!L448</f>
        <v>0</v>
      </c>
      <c r="I187" s="711">
        <f>Bilans_E_AMS_Kyoto_run3_MTE!M448</f>
        <v>0</v>
      </c>
      <c r="J187" s="711">
        <f>Bilans_E_AMS_Kyoto_run3_MTE!N448</f>
        <v>0</v>
      </c>
      <c r="K187" s="711">
        <f>Bilans_E_AMS_Kyoto_run3_MTE!O448</f>
        <v>0</v>
      </c>
      <c r="L187" s="711">
        <f>Bilans_E_AMS_Kyoto_run3_MTE!P448</f>
        <v>0</v>
      </c>
      <c r="M187" s="711">
        <f>Bilans_E_AMS_Kyoto_run3_MTE!Q448</f>
        <v>0</v>
      </c>
      <c r="N187" s="711">
        <f>Bilans_E_AMS_Kyoto_run3_MTE!R448</f>
        <v>0</v>
      </c>
      <c r="O187" s="711">
        <f>Bilans_E_AMS_Kyoto_run3_MTE!S448</f>
        <v>0</v>
      </c>
      <c r="P187" s="711">
        <f>Bilans_E_AMS_Kyoto_run3_MTE!T448+Bilans_E_AMS_Kyoto_run3_MTE!U448</f>
        <v>0</v>
      </c>
      <c r="Q187" s="711">
        <f>Bilans_E_AMS_Kyoto_run3_MTE!V448</f>
        <v>0</v>
      </c>
      <c r="R187" s="711">
        <f>Bilans_E_AMS_Kyoto_run3_MTE!W448</f>
        <v>3.6</v>
      </c>
      <c r="S187" s="711">
        <f>Bilans_E_AMS_Kyoto_run3_MTE!X448</f>
        <v>0</v>
      </c>
      <c r="T187" s="711">
        <f>Bilans_E_AMS_Kyoto_run3_MTE!Y448</f>
        <v>0</v>
      </c>
      <c r="U187" s="711">
        <f>Bilans_E_AMS_Kyoto_run3_MTE!Z448</f>
        <v>3.6</v>
      </c>
      <c r="V187" s="701"/>
      <c r="W187" s="701"/>
    </row>
    <row r="188" spans="1:23" x14ac:dyDescent="0.25">
      <c r="A188" s="701" t="s">
        <v>513</v>
      </c>
      <c r="B188" s="701"/>
      <c r="C188" s="713" t="s">
        <v>83</v>
      </c>
      <c r="D188" s="714">
        <f>Bilans_E_AMS_Kyoto_run3_MTE!H449</f>
        <v>0.31248754882812502</v>
      </c>
      <c r="E188" s="714">
        <f>Bilans_E_AMS_Kyoto_run3_MTE!I449</f>
        <v>0</v>
      </c>
      <c r="F188" s="714">
        <f>Bilans_E_AMS_Kyoto_run3_MTE!J449</f>
        <v>119.95660742809238</v>
      </c>
      <c r="G188" s="714">
        <f>Bilans_E_AMS_Kyoto_run3_MTE!K449</f>
        <v>1</v>
      </c>
      <c r="H188" s="714">
        <f>Bilans_E_AMS_Kyoto_run3_MTE!L449</f>
        <v>82.396258796822764</v>
      </c>
      <c r="I188" s="714">
        <f>Bilans_E_AMS_Kyoto_run3_MTE!M449</f>
        <v>0</v>
      </c>
      <c r="J188" s="714">
        <f>Bilans_E_AMS_Kyoto_run3_MTE!N449</f>
        <v>0</v>
      </c>
      <c r="K188" s="714">
        <f>Bilans_E_AMS_Kyoto_run3_MTE!O449</f>
        <v>0</v>
      </c>
      <c r="L188" s="714">
        <f>Bilans_E_AMS_Kyoto_run3_MTE!P449</f>
        <v>97.945525940995111</v>
      </c>
      <c r="M188" s="714">
        <f>Bilans_E_AMS_Kyoto_run3_MTE!Q449</f>
        <v>8.8042095890605694</v>
      </c>
      <c r="N188" s="714">
        <f>Bilans_E_AMS_Kyoto_run3_MTE!R449</f>
        <v>43.572314011427274</v>
      </c>
      <c r="O188" s="714">
        <f>Bilans_E_AMS_Kyoto_run3_MTE!S449</f>
        <v>54.969502005464911</v>
      </c>
      <c r="P188" s="714">
        <f>Bilans_E_AMS_Kyoto_run3_MTE!T449+Bilans_E_AMS_Kyoto_run3_MTE!U449</f>
        <v>200.97378041511362</v>
      </c>
      <c r="Q188" s="714">
        <f>Bilans_E_AMS_Kyoto_run3_MTE!V449</f>
        <v>22.513352365095788</v>
      </c>
      <c r="R188" s="714">
        <f>Bilans_E_AMS_Kyoto_run3_MTE!W449</f>
        <v>539.26896145910575</v>
      </c>
      <c r="S188" s="714">
        <f>Bilans_E_AMS_Kyoto_run3_MTE!X449</f>
        <v>83.423770679835258</v>
      </c>
      <c r="T188" s="714">
        <f>Bilans_E_AMS_Kyoto_run3_MTE!Y449</f>
        <v>13.715172396362082</v>
      </c>
      <c r="U188" s="714">
        <f>Bilans_E_AMS_Kyoto_run3_MTE!Z449</f>
        <v>1268.8519426362036</v>
      </c>
      <c r="V188" s="701"/>
      <c r="W188" s="701"/>
    </row>
    <row r="189" spans="1:23" x14ac:dyDescent="0.25">
      <c r="A189" s="701" t="s">
        <v>514</v>
      </c>
      <c r="B189" s="701"/>
      <c r="C189" s="710" t="s">
        <v>84</v>
      </c>
      <c r="D189" s="711">
        <f>Bilans_E_AMS_Kyoto_run3_MTE!H450</f>
        <v>0</v>
      </c>
      <c r="E189" s="711">
        <f>Bilans_E_AMS_Kyoto_run3_MTE!I450</f>
        <v>0</v>
      </c>
      <c r="F189" s="711">
        <f>Bilans_E_AMS_Kyoto_run3_MTE!J450</f>
        <v>102.03544321387012</v>
      </c>
      <c r="G189" s="711">
        <f>Bilans_E_AMS_Kyoto_run3_MTE!K450</f>
        <v>2.4611725721851321</v>
      </c>
      <c r="H189" s="711">
        <f>Bilans_E_AMS_Kyoto_run3_MTE!L450</f>
        <v>12.555456003161671</v>
      </c>
      <c r="I189" s="711">
        <f>Bilans_E_AMS_Kyoto_run3_MTE!M450</f>
        <v>0</v>
      </c>
      <c r="J189" s="711">
        <f>Bilans_E_AMS_Kyoto_run3_MTE!N450</f>
        <v>0</v>
      </c>
      <c r="K189" s="711">
        <f>Bilans_E_AMS_Kyoto_run3_MTE!O450</f>
        <v>0</v>
      </c>
      <c r="L189" s="711">
        <f>Bilans_E_AMS_Kyoto_run3_MTE!P450</f>
        <v>0.48630321782953712</v>
      </c>
      <c r="M189" s="711">
        <f>Bilans_E_AMS_Kyoto_run3_MTE!Q450</f>
        <v>0</v>
      </c>
      <c r="N189" s="711">
        <f>Bilans_E_AMS_Kyoto_run3_MTE!R450</f>
        <v>3.8692083880096835</v>
      </c>
      <c r="O189" s="711">
        <f>Bilans_E_AMS_Kyoto_run3_MTE!S450</f>
        <v>0</v>
      </c>
      <c r="P189" s="711">
        <f>Bilans_E_AMS_Kyoto_run3_MTE!T450+Bilans_E_AMS_Kyoto_run3_MTE!U450</f>
        <v>0</v>
      </c>
      <c r="Q189" s="711">
        <f>Bilans_E_AMS_Kyoto_run3_MTE!V450</f>
        <v>0</v>
      </c>
      <c r="R189" s="711">
        <f>Bilans_E_AMS_Kyoto_run3_MTE!W450</f>
        <v>0</v>
      </c>
      <c r="S189" s="711">
        <f>Bilans_E_AMS_Kyoto_run3_MTE!X450</f>
        <v>0</v>
      </c>
      <c r="T189" s="711">
        <f>Bilans_E_AMS_Kyoto_run3_MTE!Y450</f>
        <v>1.8671101278544562</v>
      </c>
      <c r="U189" s="711">
        <f>Bilans_E_AMS_Kyoto_run3_MTE!Z450</f>
        <v>123.27469352291061</v>
      </c>
      <c r="V189" s="701"/>
      <c r="W189" s="701"/>
    </row>
    <row r="190" spans="1:23" x14ac:dyDescent="0.25">
      <c r="A190" s="701" t="s">
        <v>515</v>
      </c>
      <c r="B190" s="701"/>
      <c r="C190" s="713" t="s">
        <v>85</v>
      </c>
      <c r="D190" s="714">
        <f>Bilans_E_AMS_Kyoto_run3_MTE!H451</f>
        <v>0.31248754882812502</v>
      </c>
      <c r="E190" s="714">
        <f>Bilans_E_AMS_Kyoto_run3_MTE!I451</f>
        <v>0</v>
      </c>
      <c r="F190" s="714">
        <f>Bilans_E_AMS_Kyoto_run3_MTE!J451</f>
        <v>221.99205064196252</v>
      </c>
      <c r="G190" s="714">
        <f>Bilans_E_AMS_Kyoto_run3_MTE!K451</f>
        <v>3.4611725721851321</v>
      </c>
      <c r="H190" s="714">
        <f>Bilans_E_AMS_Kyoto_run3_MTE!L451</f>
        <v>94.95171479998443</v>
      </c>
      <c r="I190" s="714">
        <f>Bilans_E_AMS_Kyoto_run3_MTE!M451</f>
        <v>0</v>
      </c>
      <c r="J190" s="714">
        <f>Bilans_E_AMS_Kyoto_run3_MTE!N451</f>
        <v>0</v>
      </c>
      <c r="K190" s="714">
        <f>Bilans_E_AMS_Kyoto_run3_MTE!O451</f>
        <v>0</v>
      </c>
      <c r="L190" s="714">
        <f>Bilans_E_AMS_Kyoto_run3_MTE!P451</f>
        <v>98.431829158824655</v>
      </c>
      <c r="M190" s="714">
        <f>Bilans_E_AMS_Kyoto_run3_MTE!Q451</f>
        <v>8.8042095890605694</v>
      </c>
      <c r="N190" s="714">
        <f>Bilans_E_AMS_Kyoto_run3_MTE!R451</f>
        <v>47.441522399436955</v>
      </c>
      <c r="O190" s="714">
        <f>Bilans_E_AMS_Kyoto_run3_MTE!S451</f>
        <v>54.969502005464911</v>
      </c>
      <c r="P190" s="714">
        <f>Bilans_E_AMS_Kyoto_run3_MTE!T451+Bilans_E_AMS_Kyoto_run3_MTE!U451</f>
        <v>200.97378041511362</v>
      </c>
      <c r="Q190" s="714">
        <f>Bilans_E_AMS_Kyoto_run3_MTE!V451</f>
        <v>22.513352365095788</v>
      </c>
      <c r="R190" s="714">
        <f>Bilans_E_AMS_Kyoto_run3_MTE!W451</f>
        <v>539.26896145910575</v>
      </c>
      <c r="S190" s="714">
        <f>Bilans_E_AMS_Kyoto_run3_MTE!X451</f>
        <v>83.423770679835258</v>
      </c>
      <c r="T190" s="714">
        <f>Bilans_E_AMS_Kyoto_run3_MTE!Y451</f>
        <v>15.582282524216538</v>
      </c>
      <c r="U190" s="714">
        <f>Bilans_E_AMS_Kyoto_run3_MTE!Z451</f>
        <v>1392.1266361591142</v>
      </c>
      <c r="V190" s="701"/>
      <c r="W190" s="701"/>
    </row>
    <row r="191" spans="1:23" x14ac:dyDescent="0.25">
      <c r="A191" s="701"/>
      <c r="B191" s="701"/>
      <c r="C191" s="701"/>
      <c r="D191" s="701">
        <f>Bilans_E_AMS_Kyoto_run3_MTE!H452</f>
        <v>0</v>
      </c>
      <c r="E191" s="701">
        <f>Bilans_E_AMS_Kyoto_run3_MTE!I452</f>
        <v>0</v>
      </c>
      <c r="F191" s="701">
        <f>Bilans_E_AMS_Kyoto_run3_MTE!J452</f>
        <v>5.6843418860808015E-14</v>
      </c>
      <c r="G191" s="701">
        <f>Bilans_E_AMS_Kyoto_run3_MTE!K452</f>
        <v>0</v>
      </c>
      <c r="H191" s="701">
        <f>Bilans_E_AMS_Kyoto_run3_MTE!L452</f>
        <v>0</v>
      </c>
      <c r="I191" s="701">
        <f>Bilans_E_AMS_Kyoto_run3_MTE!M452</f>
        <v>0</v>
      </c>
      <c r="J191" s="701">
        <f>Bilans_E_AMS_Kyoto_run3_MTE!N452</f>
        <v>0</v>
      </c>
      <c r="K191" s="701">
        <f>Bilans_E_AMS_Kyoto_run3_MTE!O452</f>
        <v>0</v>
      </c>
      <c r="L191" s="701">
        <f>Bilans_E_AMS_Kyoto_run3_MTE!P452</f>
        <v>0</v>
      </c>
      <c r="M191" s="701">
        <f>Bilans_E_AMS_Kyoto_run3_MTE!Q452</f>
        <v>0</v>
      </c>
      <c r="N191" s="701">
        <f>Bilans_E_AMS_Kyoto_run3_MTE!R452</f>
        <v>0</v>
      </c>
      <c r="O191" s="701">
        <f>Bilans_E_AMS_Kyoto_run3_MTE!S452</f>
        <v>1.9984014443252818E-15</v>
      </c>
      <c r="P191" s="701">
        <f>Bilans_E_AMS_Kyoto_run3_MTE!T452+Bilans_E_AMS_Kyoto_run3_MTE!U452</f>
        <v>0</v>
      </c>
      <c r="Q191" s="701">
        <f>Bilans_E_AMS_Kyoto_run3_MTE!V452</f>
        <v>0</v>
      </c>
      <c r="R191" s="701">
        <f>Bilans_E_AMS_Kyoto_run3_MTE!W452</f>
        <v>0</v>
      </c>
      <c r="S191" s="701">
        <f>Bilans_E_AMS_Kyoto_run3_MTE!X452</f>
        <v>-3.1886132049407934E-5</v>
      </c>
      <c r="T191" s="701">
        <f>Bilans_E_AMS_Kyoto_run3_MTE!Y452</f>
        <v>0</v>
      </c>
      <c r="U191" s="701">
        <f>Bilans_E_AMS_Kyoto_run3_MTE!Z452</f>
        <v>-3.1886131637293147E-5</v>
      </c>
      <c r="V191" s="701"/>
      <c r="W191" s="701"/>
    </row>
    <row r="192" spans="1:23" x14ac:dyDescent="0.25">
      <c r="A192" s="701"/>
      <c r="B192" s="701"/>
      <c r="C192" s="701"/>
      <c r="D192" s="701"/>
      <c r="E192" s="701"/>
      <c r="F192" s="701"/>
      <c r="G192" s="701"/>
      <c r="H192" s="701"/>
      <c r="I192" s="701"/>
      <c r="J192" s="701"/>
      <c r="K192" s="701"/>
      <c r="L192" s="701"/>
      <c r="M192" s="701"/>
      <c r="N192" s="701"/>
      <c r="O192" s="701"/>
      <c r="P192" s="701"/>
      <c r="Q192" s="701"/>
      <c r="R192" s="701"/>
      <c r="S192" s="701"/>
      <c r="T192" s="701"/>
      <c r="U192" s="701"/>
      <c r="V192" s="701"/>
      <c r="W192" s="701"/>
    </row>
    <row r="193" spans="1:23" x14ac:dyDescent="0.25">
      <c r="A193" s="707"/>
      <c r="B193" s="707"/>
      <c r="C193" s="708" t="s">
        <v>518</v>
      </c>
      <c r="D193" s="707"/>
      <c r="E193" s="707"/>
      <c r="F193" s="707"/>
      <c r="G193" s="707"/>
      <c r="H193" s="707"/>
      <c r="I193" s="707"/>
      <c r="J193" s="707"/>
      <c r="K193" s="707"/>
      <c r="L193" s="707"/>
      <c r="M193" s="707"/>
      <c r="N193" s="707"/>
      <c r="O193" s="707"/>
      <c r="P193" s="707"/>
      <c r="Q193" s="707"/>
      <c r="R193" s="707"/>
      <c r="S193" s="707"/>
      <c r="T193" s="707"/>
      <c r="U193" s="707"/>
      <c r="V193" s="707"/>
      <c r="W193" s="707"/>
    </row>
    <row r="194" spans="1:23" x14ac:dyDescent="0.25">
      <c r="A194" s="701"/>
      <c r="B194" s="701"/>
      <c r="C194" s="701"/>
      <c r="D194" s="701"/>
      <c r="E194" s="701"/>
      <c r="F194" s="701"/>
      <c r="G194" s="701"/>
      <c r="H194" s="701"/>
      <c r="I194" s="701"/>
      <c r="J194" s="701"/>
      <c r="K194" s="701"/>
      <c r="L194" s="701"/>
      <c r="M194" s="701"/>
      <c r="N194" s="701"/>
      <c r="O194" s="701"/>
      <c r="P194" s="701"/>
      <c r="Q194" s="701"/>
      <c r="R194" s="701"/>
      <c r="S194" s="701"/>
      <c r="T194" s="701"/>
      <c r="U194" s="701"/>
      <c r="V194" s="701"/>
      <c r="W194" s="701"/>
    </row>
    <row r="195" spans="1:23" x14ac:dyDescent="0.25">
      <c r="A195" s="701"/>
      <c r="B195" s="701"/>
      <c r="C195" s="780" t="s">
        <v>128</v>
      </c>
      <c r="D195" s="775" t="s">
        <v>42</v>
      </c>
      <c r="E195" s="775" t="s">
        <v>52</v>
      </c>
      <c r="F195" s="775" t="s">
        <v>53</v>
      </c>
      <c r="G195" s="775" t="s">
        <v>482</v>
      </c>
      <c r="H195" s="775" t="s">
        <v>32</v>
      </c>
      <c r="I195" s="775" t="s">
        <v>483</v>
      </c>
      <c r="J195" s="775" t="s">
        <v>20</v>
      </c>
      <c r="K195" s="775" t="s">
        <v>55</v>
      </c>
      <c r="L195" s="777" t="s">
        <v>56</v>
      </c>
      <c r="M195" s="778"/>
      <c r="N195" s="778"/>
      <c r="O195" s="778"/>
      <c r="P195" s="778"/>
      <c r="Q195" s="779"/>
      <c r="R195" s="775" t="s">
        <v>57</v>
      </c>
      <c r="S195" s="775" t="s">
        <v>58</v>
      </c>
      <c r="T195" s="775" t="s">
        <v>31</v>
      </c>
      <c r="U195" s="775" t="s">
        <v>10</v>
      </c>
      <c r="V195" s="701"/>
      <c r="W195" s="701"/>
    </row>
    <row r="196" spans="1:23" ht="67.5" x14ac:dyDescent="0.25">
      <c r="A196" s="701" t="s">
        <v>486</v>
      </c>
      <c r="B196" s="701"/>
      <c r="C196" s="781"/>
      <c r="D196" s="776"/>
      <c r="E196" s="776"/>
      <c r="F196" s="776"/>
      <c r="G196" s="776"/>
      <c r="H196" s="776"/>
      <c r="I196" s="776"/>
      <c r="J196" s="776"/>
      <c r="K196" s="776"/>
      <c r="L196" s="709" t="s">
        <v>335</v>
      </c>
      <c r="M196" s="709" t="s">
        <v>40</v>
      </c>
      <c r="N196" s="709" t="s">
        <v>343</v>
      </c>
      <c r="O196" s="709" t="s">
        <v>344</v>
      </c>
      <c r="P196" s="719" t="s">
        <v>610</v>
      </c>
      <c r="Q196" s="709" t="s">
        <v>346</v>
      </c>
      <c r="R196" s="776"/>
      <c r="S196" s="776"/>
      <c r="T196" s="776"/>
      <c r="U196" s="776"/>
      <c r="V196" s="701"/>
      <c r="W196" s="701"/>
    </row>
    <row r="197" spans="1:23" x14ac:dyDescent="0.25">
      <c r="A197" s="701" t="s">
        <v>487</v>
      </c>
      <c r="B197" s="701"/>
      <c r="C197" s="710" t="s">
        <v>59</v>
      </c>
      <c r="D197" s="711">
        <f>Bilans_E_AMS_Kyoto_run3_MTE!H458</f>
        <v>0</v>
      </c>
      <c r="E197" s="711">
        <f>Bilans_E_AMS_Kyoto_run3_MTE!I458</f>
        <v>0</v>
      </c>
      <c r="F197" s="711">
        <f>Bilans_E_AMS_Kyoto_run3_MTE!J458</f>
        <v>0</v>
      </c>
      <c r="G197" s="711">
        <f>Bilans_E_AMS_Kyoto_run3_MTE!K458</f>
        <v>0</v>
      </c>
      <c r="H197" s="711">
        <f>Bilans_E_AMS_Kyoto_run3_MTE!L458</f>
        <v>0</v>
      </c>
      <c r="I197" s="711">
        <f>Bilans_E_AMS_Kyoto_run3_MTE!M458</f>
        <v>0</v>
      </c>
      <c r="J197" s="711">
        <f>Bilans_E_AMS_Kyoto_run3_MTE!N458</f>
        <v>1099.5846392966657</v>
      </c>
      <c r="K197" s="711">
        <f>Bilans_E_AMS_Kyoto_run3_MTE!O458</f>
        <v>432.558137271254</v>
      </c>
      <c r="L197" s="711">
        <f>Bilans_E_AMS_Kyoto_run3_MTE!P458</f>
        <v>366.60157244104857</v>
      </c>
      <c r="M197" s="711">
        <f>Bilans_E_AMS_Kyoto_run3_MTE!Q458</f>
        <v>46.101085198672763</v>
      </c>
      <c r="N197" s="711">
        <f>Bilans_E_AMS_Kyoto_run3_MTE!R458</f>
        <v>0</v>
      </c>
      <c r="O197" s="711">
        <f>Bilans_E_AMS_Kyoto_run3_MTE!S458</f>
        <v>0</v>
      </c>
      <c r="P197" s="711">
        <f>Bilans_E_AMS_Kyoto_run3_MTE!T458+Bilans_E_AMS_Kyoto_run3_MTE!U458</f>
        <v>228.80859050100952</v>
      </c>
      <c r="Q197" s="711">
        <f>Bilans_E_AMS_Kyoto_run3_MTE!V458</f>
        <v>44.117114546253134</v>
      </c>
      <c r="R197" s="711">
        <f>Bilans_E_AMS_Kyoto_run3_MTE!W458</f>
        <v>0</v>
      </c>
      <c r="S197" s="711">
        <f>Bilans_E_AMS_Kyoto_run3_MTE!X458</f>
        <v>0</v>
      </c>
      <c r="T197" s="711">
        <f>Bilans_E_AMS_Kyoto_run3_MTE!Y458</f>
        <v>0</v>
      </c>
      <c r="U197" s="711">
        <f>Bilans_E_AMS_Kyoto_run3_MTE!Z458</f>
        <v>2217.7711392549036</v>
      </c>
      <c r="V197" s="701"/>
      <c r="W197" s="701"/>
    </row>
    <row r="198" spans="1:23" x14ac:dyDescent="0.25">
      <c r="A198" s="701" t="s">
        <v>488</v>
      </c>
      <c r="B198" s="701"/>
      <c r="C198" s="710" t="s">
        <v>60</v>
      </c>
      <c r="D198" s="712">
        <f>Bilans_E_AMS_Kyoto_run3_MTE!H459</f>
        <v>4.7190318603515626</v>
      </c>
      <c r="E198" s="712">
        <f>Bilans_E_AMS_Kyoto_run3_MTE!I459</f>
        <v>177.55502583689511</v>
      </c>
      <c r="F198" s="712">
        <f>Bilans_E_AMS_Kyoto_run3_MTE!J459</f>
        <v>35.526382887078427</v>
      </c>
      <c r="G198" s="712">
        <f>Bilans_E_AMS_Kyoto_run3_MTE!K459</f>
        <v>8.2447057853181924</v>
      </c>
      <c r="H198" s="712">
        <f>Bilans_E_AMS_Kyoto_run3_MTE!L459</f>
        <v>93.790704319687649</v>
      </c>
      <c r="I198" s="712">
        <f>Bilans_E_AMS_Kyoto_run3_MTE!M459</f>
        <v>0</v>
      </c>
      <c r="J198" s="712">
        <f>Bilans_E_AMS_Kyoto_run3_MTE!N459</f>
        <v>0</v>
      </c>
      <c r="K198" s="712">
        <f>Bilans_E_AMS_Kyoto_run3_MTE!O459</f>
        <v>0</v>
      </c>
      <c r="L198" s="712">
        <f>Bilans_E_AMS_Kyoto_run3_MTE!P459</f>
        <v>7.7767614364420297</v>
      </c>
      <c r="M198" s="712">
        <f>Bilans_E_AMS_Kyoto_run3_MTE!Q459</f>
        <v>0</v>
      </c>
      <c r="N198" s="712">
        <f>Bilans_E_AMS_Kyoto_run3_MTE!R459</f>
        <v>7.7564977806323299</v>
      </c>
      <c r="O198" s="712">
        <f>Bilans_E_AMS_Kyoto_run3_MTE!S459</f>
        <v>0</v>
      </c>
      <c r="P198" s="712">
        <f>Bilans_E_AMS_Kyoto_run3_MTE!T459+Bilans_E_AMS_Kyoto_run3_MTE!U459</f>
        <v>0</v>
      </c>
      <c r="Q198" s="712">
        <f>Bilans_E_AMS_Kyoto_run3_MTE!V459</f>
        <v>0</v>
      </c>
      <c r="R198" s="712">
        <f>Bilans_E_AMS_Kyoto_run3_MTE!W459</f>
        <v>0</v>
      </c>
      <c r="S198" s="712">
        <f>Bilans_E_AMS_Kyoto_run3_MTE!X459</f>
        <v>0</v>
      </c>
      <c r="T198" s="712">
        <f>Bilans_E_AMS_Kyoto_run3_MTE!Y459</f>
        <v>0</v>
      </c>
      <c r="U198" s="712">
        <f>Bilans_E_AMS_Kyoto_run3_MTE!Z459</f>
        <v>335.3691099064053</v>
      </c>
      <c r="V198" s="701"/>
      <c r="W198" s="701"/>
    </row>
    <row r="199" spans="1:23" x14ac:dyDescent="0.25">
      <c r="A199" s="701" t="s">
        <v>489</v>
      </c>
      <c r="B199" s="701"/>
      <c r="C199" s="710" t="s">
        <v>61</v>
      </c>
      <c r="D199" s="712">
        <f>Bilans_E_AMS_Kyoto_run3_MTE!H460</f>
        <v>0</v>
      </c>
      <c r="E199" s="712">
        <f>Bilans_E_AMS_Kyoto_run3_MTE!I460</f>
        <v>0</v>
      </c>
      <c r="F199" s="712">
        <f>Bilans_E_AMS_Kyoto_run3_MTE!J460</f>
        <v>0</v>
      </c>
      <c r="G199" s="712">
        <f>Bilans_E_AMS_Kyoto_run3_MTE!K460</f>
        <v>0</v>
      </c>
      <c r="H199" s="712">
        <f>Bilans_E_AMS_Kyoto_run3_MTE!L460</f>
        <v>0</v>
      </c>
      <c r="I199" s="712">
        <f>Bilans_E_AMS_Kyoto_run3_MTE!M460</f>
        <v>0</v>
      </c>
      <c r="J199" s="712">
        <f>Bilans_E_AMS_Kyoto_run3_MTE!N460</f>
        <v>0</v>
      </c>
      <c r="K199" s="712">
        <f>Bilans_E_AMS_Kyoto_run3_MTE!O460</f>
        <v>0</v>
      </c>
      <c r="L199" s="712">
        <f>Bilans_E_AMS_Kyoto_run3_MTE!P460</f>
        <v>0</v>
      </c>
      <c r="M199" s="712">
        <f>Bilans_E_AMS_Kyoto_run3_MTE!Q460</f>
        <v>0</v>
      </c>
      <c r="N199" s="712">
        <f>Bilans_E_AMS_Kyoto_run3_MTE!R460</f>
        <v>0</v>
      </c>
      <c r="O199" s="712">
        <f>Bilans_E_AMS_Kyoto_run3_MTE!S460</f>
        <v>-11.927582935629047</v>
      </c>
      <c r="P199" s="712">
        <f>Bilans_E_AMS_Kyoto_run3_MTE!T460+Bilans_E_AMS_Kyoto_run3_MTE!U460</f>
        <v>0</v>
      </c>
      <c r="Q199" s="712">
        <f>Bilans_E_AMS_Kyoto_run3_MTE!V460</f>
        <v>0</v>
      </c>
      <c r="R199" s="712">
        <f>Bilans_E_AMS_Kyoto_run3_MTE!W460</f>
        <v>-91.926243378286927</v>
      </c>
      <c r="S199" s="712">
        <f>Bilans_E_AMS_Kyoto_run3_MTE!X460</f>
        <v>0</v>
      </c>
      <c r="T199" s="712">
        <f>Bilans_E_AMS_Kyoto_run3_MTE!Y460</f>
        <v>0</v>
      </c>
      <c r="U199" s="712">
        <f>Bilans_E_AMS_Kyoto_run3_MTE!Z460</f>
        <v>-103.85382631391597</v>
      </c>
      <c r="V199" s="701"/>
      <c r="W199" s="701"/>
    </row>
    <row r="200" spans="1:23" x14ac:dyDescent="0.25">
      <c r="A200" s="701" t="s">
        <v>490</v>
      </c>
      <c r="B200" s="701"/>
      <c r="C200" s="710" t="s">
        <v>62</v>
      </c>
      <c r="D200" s="711">
        <f>Bilans_E_AMS_Kyoto_run3_MTE!H461</f>
        <v>0</v>
      </c>
      <c r="E200" s="711">
        <f>Bilans_E_AMS_Kyoto_run3_MTE!I461</f>
        <v>0</v>
      </c>
      <c r="F200" s="711">
        <f>Bilans_E_AMS_Kyoto_run3_MTE!J461</f>
        <v>-3.9597709546196729</v>
      </c>
      <c r="G200" s="711">
        <f>Bilans_E_AMS_Kyoto_run3_MTE!K461</f>
        <v>-1.6687304711455928</v>
      </c>
      <c r="H200" s="711">
        <f>Bilans_E_AMS_Kyoto_run3_MTE!L461</f>
        <v>0</v>
      </c>
      <c r="I200" s="711">
        <f>Bilans_E_AMS_Kyoto_run3_MTE!M461</f>
        <v>-1.7692389987108714</v>
      </c>
      <c r="J200" s="711">
        <f>Bilans_E_AMS_Kyoto_run3_MTE!N461</f>
        <v>0</v>
      </c>
      <c r="K200" s="711">
        <f>Bilans_E_AMS_Kyoto_run3_MTE!O461</f>
        <v>0</v>
      </c>
      <c r="L200" s="711">
        <f>Bilans_E_AMS_Kyoto_run3_MTE!P461</f>
        <v>0</v>
      </c>
      <c r="M200" s="711">
        <f>Bilans_E_AMS_Kyoto_run3_MTE!Q461</f>
        <v>0</v>
      </c>
      <c r="N200" s="711">
        <f>Bilans_E_AMS_Kyoto_run3_MTE!R461</f>
        <v>0</v>
      </c>
      <c r="O200" s="711">
        <f>Bilans_E_AMS_Kyoto_run3_MTE!S461</f>
        <v>-1.504748971161108</v>
      </c>
      <c r="P200" s="711">
        <f>Bilans_E_AMS_Kyoto_run3_MTE!T461+Bilans_E_AMS_Kyoto_run3_MTE!U461</f>
        <v>0</v>
      </c>
      <c r="Q200" s="711">
        <f>Bilans_E_AMS_Kyoto_run3_MTE!V461</f>
        <v>0</v>
      </c>
      <c r="R200" s="711">
        <f>Bilans_E_AMS_Kyoto_run3_MTE!W461</f>
        <v>0</v>
      </c>
      <c r="S200" s="711">
        <f>Bilans_E_AMS_Kyoto_run3_MTE!X461</f>
        <v>0</v>
      </c>
      <c r="T200" s="711">
        <f>Bilans_E_AMS_Kyoto_run3_MTE!Y461</f>
        <v>-0.86329073643245491</v>
      </c>
      <c r="U200" s="711">
        <f>Bilans_E_AMS_Kyoto_run3_MTE!Z461</f>
        <v>-9.7657801320697004</v>
      </c>
      <c r="V200" s="701"/>
      <c r="W200" s="701"/>
    </row>
    <row r="201" spans="1:23" x14ac:dyDescent="0.25">
      <c r="A201" s="701" t="s">
        <v>491</v>
      </c>
      <c r="B201" s="701"/>
      <c r="C201" s="710" t="s">
        <v>63</v>
      </c>
      <c r="D201" s="711">
        <f>Bilans_E_AMS_Kyoto_run3_MTE!H462</f>
        <v>0</v>
      </c>
      <c r="E201" s="711">
        <f>Bilans_E_AMS_Kyoto_run3_MTE!I462</f>
        <v>0</v>
      </c>
      <c r="F201" s="711">
        <f>Bilans_E_AMS_Kyoto_run3_MTE!J462</f>
        <v>-32.199999999999996</v>
      </c>
      <c r="G201" s="711">
        <f>Bilans_E_AMS_Kyoto_run3_MTE!K462</f>
        <v>-12.8</v>
      </c>
      <c r="H201" s="711">
        <f>Bilans_E_AMS_Kyoto_run3_MTE!L462</f>
        <v>0</v>
      </c>
      <c r="I201" s="711">
        <f>Bilans_E_AMS_Kyoto_run3_MTE!M462</f>
        <v>0</v>
      </c>
      <c r="J201" s="711">
        <f>Bilans_E_AMS_Kyoto_run3_MTE!N462</f>
        <v>0</v>
      </c>
      <c r="K201" s="711">
        <f>Bilans_E_AMS_Kyoto_run3_MTE!O462</f>
        <v>0</v>
      </c>
      <c r="L201" s="711">
        <f>Bilans_E_AMS_Kyoto_run3_MTE!P462</f>
        <v>0</v>
      </c>
      <c r="M201" s="711">
        <f>Bilans_E_AMS_Kyoto_run3_MTE!Q462</f>
        <v>0</v>
      </c>
      <c r="N201" s="711">
        <f>Bilans_E_AMS_Kyoto_run3_MTE!R462</f>
        <v>-15.600000000000001</v>
      </c>
      <c r="O201" s="711">
        <f>Bilans_E_AMS_Kyoto_run3_MTE!S462</f>
        <v>0</v>
      </c>
      <c r="P201" s="711">
        <f>Bilans_E_AMS_Kyoto_run3_MTE!T462+Bilans_E_AMS_Kyoto_run3_MTE!U462</f>
        <v>0</v>
      </c>
      <c r="Q201" s="711">
        <f>Bilans_E_AMS_Kyoto_run3_MTE!V462</f>
        <v>0</v>
      </c>
      <c r="R201" s="711">
        <f>Bilans_E_AMS_Kyoto_run3_MTE!W462</f>
        <v>0</v>
      </c>
      <c r="S201" s="711">
        <f>Bilans_E_AMS_Kyoto_run3_MTE!X462</f>
        <v>0</v>
      </c>
      <c r="T201" s="711">
        <f>Bilans_E_AMS_Kyoto_run3_MTE!Y462</f>
        <v>-4.2</v>
      </c>
      <c r="U201" s="711">
        <f>Bilans_E_AMS_Kyoto_run3_MTE!Z462</f>
        <v>-64.8</v>
      </c>
      <c r="V201" s="701"/>
      <c r="W201" s="701"/>
    </row>
    <row r="202" spans="1:23" x14ac:dyDescent="0.25">
      <c r="A202" s="701" t="s">
        <v>492</v>
      </c>
      <c r="B202" s="701"/>
      <c r="C202" s="710" t="s">
        <v>64</v>
      </c>
      <c r="D202" s="712">
        <f>Bilans_E_AMS_Kyoto_run3_MTE!H463</f>
        <v>0</v>
      </c>
      <c r="E202" s="712">
        <f>Bilans_E_AMS_Kyoto_run3_MTE!I463</f>
        <v>0</v>
      </c>
      <c r="F202" s="712">
        <f>Bilans_E_AMS_Kyoto_run3_MTE!J463</f>
        <v>0</v>
      </c>
      <c r="G202" s="712">
        <f>Bilans_E_AMS_Kyoto_run3_MTE!K463</f>
        <v>0</v>
      </c>
      <c r="H202" s="712">
        <f>Bilans_E_AMS_Kyoto_run3_MTE!L463</f>
        <v>0</v>
      </c>
      <c r="I202" s="712">
        <f>Bilans_E_AMS_Kyoto_run3_MTE!M463</f>
        <v>0</v>
      </c>
      <c r="J202" s="712">
        <f>Bilans_E_AMS_Kyoto_run3_MTE!N463</f>
        <v>0</v>
      </c>
      <c r="K202" s="712">
        <f>Bilans_E_AMS_Kyoto_run3_MTE!O463</f>
        <v>0</v>
      </c>
      <c r="L202" s="712">
        <f>Bilans_E_AMS_Kyoto_run3_MTE!P463</f>
        <v>0</v>
      </c>
      <c r="M202" s="712">
        <f>Bilans_E_AMS_Kyoto_run3_MTE!Q463</f>
        <v>0</v>
      </c>
      <c r="N202" s="712">
        <f>Bilans_E_AMS_Kyoto_run3_MTE!R463</f>
        <v>0</v>
      </c>
      <c r="O202" s="712">
        <f>Bilans_E_AMS_Kyoto_run3_MTE!S463</f>
        <v>0</v>
      </c>
      <c r="P202" s="712">
        <f>Bilans_E_AMS_Kyoto_run3_MTE!T463+Bilans_E_AMS_Kyoto_run3_MTE!U463</f>
        <v>0</v>
      </c>
      <c r="Q202" s="712">
        <f>Bilans_E_AMS_Kyoto_run3_MTE!V463</f>
        <v>0</v>
      </c>
      <c r="R202" s="712">
        <f>Bilans_E_AMS_Kyoto_run3_MTE!W463</f>
        <v>0</v>
      </c>
      <c r="S202" s="712">
        <f>Bilans_E_AMS_Kyoto_run3_MTE!X463</f>
        <v>0</v>
      </c>
      <c r="T202" s="712">
        <f>Bilans_E_AMS_Kyoto_run3_MTE!Y463</f>
        <v>0</v>
      </c>
      <c r="U202" s="712">
        <f>Bilans_E_AMS_Kyoto_run3_MTE!Z463</f>
        <v>0</v>
      </c>
      <c r="V202" s="701"/>
      <c r="W202" s="701"/>
    </row>
    <row r="203" spans="1:23" x14ac:dyDescent="0.25">
      <c r="A203" s="701" t="s">
        <v>493</v>
      </c>
      <c r="B203" s="701"/>
      <c r="C203" s="713" t="s">
        <v>65</v>
      </c>
      <c r="D203" s="714">
        <f>Bilans_E_AMS_Kyoto_run3_MTE!H464</f>
        <v>4.7190318603515626</v>
      </c>
      <c r="E203" s="714">
        <f>Bilans_E_AMS_Kyoto_run3_MTE!I464</f>
        <v>177.55502583689511</v>
      </c>
      <c r="F203" s="714">
        <f>Bilans_E_AMS_Kyoto_run3_MTE!J464</f>
        <v>-0.63338806754124022</v>
      </c>
      <c r="G203" s="714">
        <f>Bilans_E_AMS_Kyoto_run3_MTE!K464</f>
        <v>-6.2240246858274011</v>
      </c>
      <c r="H203" s="714">
        <f>Bilans_E_AMS_Kyoto_run3_MTE!L464</f>
        <v>93.790704319687649</v>
      </c>
      <c r="I203" s="714">
        <f>Bilans_E_AMS_Kyoto_run3_MTE!M464</f>
        <v>-1.7692389987108714</v>
      </c>
      <c r="J203" s="714">
        <f>Bilans_E_AMS_Kyoto_run3_MTE!N464</f>
        <v>1099.5846392966657</v>
      </c>
      <c r="K203" s="714">
        <f>Bilans_E_AMS_Kyoto_run3_MTE!O464</f>
        <v>432.558137271254</v>
      </c>
      <c r="L203" s="714">
        <f>Bilans_E_AMS_Kyoto_run3_MTE!P464</f>
        <v>374.3783338774906</v>
      </c>
      <c r="M203" s="714">
        <f>Bilans_E_AMS_Kyoto_run3_MTE!Q464</f>
        <v>46.101085198672763</v>
      </c>
      <c r="N203" s="714">
        <f>Bilans_E_AMS_Kyoto_run3_MTE!R464</f>
        <v>-7.8435022193676716</v>
      </c>
      <c r="O203" s="714">
        <f>Bilans_E_AMS_Kyoto_run3_MTE!S464</f>
        <v>-13.432331906790155</v>
      </c>
      <c r="P203" s="714">
        <f>Bilans_E_AMS_Kyoto_run3_MTE!T464+Bilans_E_AMS_Kyoto_run3_MTE!U464</f>
        <v>228.80859050100952</v>
      </c>
      <c r="Q203" s="714">
        <f>Bilans_E_AMS_Kyoto_run3_MTE!V464</f>
        <v>44.117114546253134</v>
      </c>
      <c r="R203" s="714">
        <f>Bilans_E_AMS_Kyoto_run3_MTE!W464</f>
        <v>-91.926243378286927</v>
      </c>
      <c r="S203" s="714">
        <f>Bilans_E_AMS_Kyoto_run3_MTE!X464</f>
        <v>0</v>
      </c>
      <c r="T203" s="714">
        <f>Bilans_E_AMS_Kyoto_run3_MTE!Y464</f>
        <v>-5.0632907364324549</v>
      </c>
      <c r="U203" s="714">
        <f>Bilans_E_AMS_Kyoto_run3_MTE!Z464</f>
        <v>2374.7206427153233</v>
      </c>
      <c r="V203" s="701"/>
      <c r="W203" s="701"/>
    </row>
    <row r="204" spans="1:23" x14ac:dyDescent="0.25">
      <c r="A204" s="701"/>
      <c r="B204" s="701"/>
      <c r="C204" s="715"/>
      <c r="D204" s="716"/>
      <c r="E204" s="716"/>
      <c r="F204" s="716"/>
      <c r="G204" s="716"/>
      <c r="H204" s="716"/>
      <c r="I204" s="716"/>
      <c r="J204" s="716"/>
      <c r="K204" s="716"/>
      <c r="L204" s="716"/>
      <c r="M204" s="716"/>
      <c r="N204" s="716"/>
      <c r="O204" s="716"/>
      <c r="P204" s="716">
        <f>Bilans_E_AMS_Kyoto_run3_MTE!T465+Bilans_E_AMS_Kyoto_run3_MTE!U465</f>
        <v>0</v>
      </c>
      <c r="Q204" s="716"/>
      <c r="R204" s="716"/>
      <c r="S204" s="716"/>
      <c r="T204" s="716"/>
      <c r="U204" s="716"/>
      <c r="V204" s="701"/>
      <c r="W204" s="701"/>
    </row>
    <row r="205" spans="1:23" x14ac:dyDescent="0.25">
      <c r="A205" s="701" t="s">
        <v>494</v>
      </c>
      <c r="B205" s="701"/>
      <c r="C205" s="717" t="s">
        <v>67</v>
      </c>
      <c r="D205" s="711">
        <f>Bilans_E_AMS_Kyoto_run3_MTE!H466</f>
        <v>0</v>
      </c>
      <c r="E205" s="711">
        <f>Bilans_E_AMS_Kyoto_run3_MTE!I466</f>
        <v>0</v>
      </c>
      <c r="F205" s="711">
        <f>Bilans_E_AMS_Kyoto_run3_MTE!J466</f>
        <v>0</v>
      </c>
      <c r="G205" s="711">
        <f>Bilans_E_AMS_Kyoto_run3_MTE!K466</f>
        <v>0</v>
      </c>
      <c r="H205" s="711">
        <f>Bilans_E_AMS_Kyoto_run3_MTE!L466</f>
        <v>0</v>
      </c>
      <c r="I205" s="711">
        <f>Bilans_E_AMS_Kyoto_run3_MTE!M466</f>
        <v>0</v>
      </c>
      <c r="J205" s="711">
        <f>Bilans_E_AMS_Kyoto_run3_MTE!N466</f>
        <v>0</v>
      </c>
      <c r="K205" s="711">
        <f>Bilans_E_AMS_Kyoto_run3_MTE!O466</f>
        <v>0</v>
      </c>
      <c r="L205" s="711">
        <f>Bilans_E_AMS_Kyoto_run3_MTE!P466</f>
        <v>0</v>
      </c>
      <c r="M205" s="711">
        <f>Bilans_E_AMS_Kyoto_run3_MTE!Q466</f>
        <v>0</v>
      </c>
      <c r="N205" s="711">
        <f>Bilans_E_AMS_Kyoto_run3_MTE!R466</f>
        <v>0</v>
      </c>
      <c r="O205" s="711">
        <f>Bilans_E_AMS_Kyoto_run3_MTE!S466</f>
        <v>0</v>
      </c>
      <c r="P205" s="711">
        <f>Bilans_E_AMS_Kyoto_run3_MTE!T466+Bilans_E_AMS_Kyoto_run3_MTE!U466</f>
        <v>0</v>
      </c>
      <c r="Q205" s="711">
        <f>Bilans_E_AMS_Kyoto_run3_MTE!V466</f>
        <v>0</v>
      </c>
      <c r="R205" s="711">
        <f>Bilans_E_AMS_Kyoto_run3_MTE!W466</f>
        <v>0</v>
      </c>
      <c r="S205" s="711">
        <f>Bilans_E_AMS_Kyoto_run3_MTE!X466</f>
        <v>0</v>
      </c>
      <c r="T205" s="711">
        <f>Bilans_E_AMS_Kyoto_run3_MTE!Y466</f>
        <v>0</v>
      </c>
      <c r="U205" s="711">
        <f>Bilans_E_AMS_Kyoto_run3_MTE!Z466</f>
        <v>0</v>
      </c>
      <c r="V205" s="701"/>
      <c r="W205" s="701"/>
    </row>
    <row r="206" spans="1:23" x14ac:dyDescent="0.25">
      <c r="A206" s="701" t="s">
        <v>495</v>
      </c>
      <c r="B206" s="701"/>
      <c r="C206" s="717" t="s">
        <v>347</v>
      </c>
      <c r="D206" s="711">
        <f>Bilans_E_AMS_Kyoto_run3_MTE!H467</f>
        <v>0</v>
      </c>
      <c r="E206" s="711">
        <f>Bilans_E_AMS_Kyoto_run3_MTE!I467</f>
        <v>0</v>
      </c>
      <c r="F206" s="711">
        <f>Bilans_E_AMS_Kyoto_run3_MTE!J467</f>
        <v>2.6460781360013397E-2</v>
      </c>
      <c r="G206" s="711">
        <f>Bilans_E_AMS_Kyoto_run3_MTE!K467</f>
        <v>0</v>
      </c>
      <c r="H206" s="711">
        <f>Bilans_E_AMS_Kyoto_run3_MTE!L467</f>
        <v>2.3319683433476327E-3</v>
      </c>
      <c r="I206" s="711">
        <f>Bilans_E_AMS_Kyoto_run3_MTE!M467</f>
        <v>0</v>
      </c>
      <c r="J206" s="711">
        <f>Bilans_E_AMS_Kyoto_run3_MTE!N467</f>
        <v>1094.3390181818181</v>
      </c>
      <c r="K206" s="711">
        <f>Bilans_E_AMS_Kyoto_run3_MTE!O467</f>
        <v>432.558137271254</v>
      </c>
      <c r="L206" s="711">
        <f>Bilans_E_AMS_Kyoto_run3_MTE!P467</f>
        <v>17.878777557508954</v>
      </c>
      <c r="M206" s="711">
        <f>Bilans_E_AMS_Kyoto_run3_MTE!Q467</f>
        <v>5.4304217786079292</v>
      </c>
      <c r="N206" s="711">
        <f>Bilans_E_AMS_Kyoto_run3_MTE!R467</f>
        <v>6.0578717375904887</v>
      </c>
      <c r="O206" s="711">
        <f>Bilans_E_AMS_Kyoto_run3_MTE!S467</f>
        <v>0.11581039979962704</v>
      </c>
      <c r="P206" s="711">
        <f>Bilans_E_AMS_Kyoto_run3_MTE!T467+Bilans_E_AMS_Kyoto_run3_MTE!U467</f>
        <v>0</v>
      </c>
      <c r="Q206" s="711">
        <f>Bilans_E_AMS_Kyoto_run3_MTE!V467</f>
        <v>6.4590957564387725</v>
      </c>
      <c r="R206" s="711">
        <f>Bilans_E_AMS_Kyoto_run3_MTE!W467</f>
        <v>-810.5836017522513</v>
      </c>
      <c r="S206" s="711">
        <f>Bilans_E_AMS_Kyoto_run3_MTE!X467</f>
        <v>0</v>
      </c>
      <c r="T206" s="711">
        <f>Bilans_E_AMS_Kyoto_run3_MTE!Y467</f>
        <v>0</v>
      </c>
      <c r="U206" s="711">
        <f>Bilans_E_AMS_Kyoto_run3_MTE!Z467</f>
        <v>752.28432368046992</v>
      </c>
      <c r="V206" s="701"/>
      <c r="W206" s="701"/>
    </row>
    <row r="207" spans="1:23" x14ac:dyDescent="0.25">
      <c r="A207" s="701" t="s">
        <v>496</v>
      </c>
      <c r="B207" s="701"/>
      <c r="C207" s="717" t="s">
        <v>348</v>
      </c>
      <c r="D207" s="711">
        <f>Bilans_E_AMS_Kyoto_run3_MTE!H468</f>
        <v>0</v>
      </c>
      <c r="E207" s="711">
        <f>Bilans_E_AMS_Kyoto_run3_MTE!I468</f>
        <v>0</v>
      </c>
      <c r="F207" s="711">
        <f>Bilans_E_AMS_Kyoto_run3_MTE!J468</f>
        <v>0</v>
      </c>
      <c r="G207" s="711">
        <f>Bilans_E_AMS_Kyoto_run3_MTE!K468</f>
        <v>0</v>
      </c>
      <c r="H207" s="711">
        <f>Bilans_E_AMS_Kyoto_run3_MTE!L468</f>
        <v>11.361302050509126</v>
      </c>
      <c r="I207" s="711">
        <f>Bilans_E_AMS_Kyoto_run3_MTE!M468</f>
        <v>0.11959265316325396</v>
      </c>
      <c r="J207" s="711">
        <f>Bilans_E_AMS_Kyoto_run3_MTE!N468</f>
        <v>5.2456211148474967</v>
      </c>
      <c r="K207" s="711">
        <f>Bilans_E_AMS_Kyoto_run3_MTE!O468</f>
        <v>0</v>
      </c>
      <c r="L207" s="711">
        <f>Bilans_E_AMS_Kyoto_run3_MTE!P468</f>
        <v>23.710249533581198</v>
      </c>
      <c r="M207" s="711">
        <f>Bilans_E_AMS_Kyoto_run3_MTE!Q468</f>
        <v>12.653124911951959</v>
      </c>
      <c r="N207" s="711">
        <f>Bilans_E_AMS_Kyoto_run3_MTE!R468</f>
        <v>0</v>
      </c>
      <c r="O207" s="711">
        <f>Bilans_E_AMS_Kyoto_run3_MTE!S468</f>
        <v>8.4660785396177261</v>
      </c>
      <c r="P207" s="711">
        <f>Bilans_E_AMS_Kyoto_run3_MTE!T468+Bilans_E_AMS_Kyoto_run3_MTE!U468</f>
        <v>18.404716933116433</v>
      </c>
      <c r="Q207" s="711">
        <f>Bilans_E_AMS_Kyoto_run3_MTE!V468</f>
        <v>13.404801159439005</v>
      </c>
      <c r="R207" s="711">
        <f>Bilans_E_AMS_Kyoto_run3_MTE!W468</f>
        <v>0</v>
      </c>
      <c r="S207" s="711">
        <f>Bilans_E_AMS_Kyoto_run3_MTE!X468</f>
        <v>-86.867525789433259</v>
      </c>
      <c r="T207" s="711">
        <f>Bilans_E_AMS_Kyoto_run3_MTE!Y468</f>
        <v>0</v>
      </c>
      <c r="U207" s="711">
        <f>Bilans_E_AMS_Kyoto_run3_MTE!Z468</f>
        <v>6.4979611067929426</v>
      </c>
      <c r="V207" s="701"/>
      <c r="W207" s="701"/>
    </row>
    <row r="208" spans="1:23" x14ac:dyDescent="0.25">
      <c r="A208" s="701" t="s">
        <v>497</v>
      </c>
      <c r="B208" s="701"/>
      <c r="C208" s="717" t="s">
        <v>349</v>
      </c>
      <c r="D208" s="711">
        <f>Bilans_E_AMS_Kyoto_run3_MTE!H469</f>
        <v>0</v>
      </c>
      <c r="E208" s="711">
        <f>Bilans_E_AMS_Kyoto_run3_MTE!I469</f>
        <v>0</v>
      </c>
      <c r="F208" s="711">
        <f>Bilans_E_AMS_Kyoto_run3_MTE!J469</f>
        <v>0</v>
      </c>
      <c r="G208" s="711">
        <f>Bilans_E_AMS_Kyoto_run3_MTE!K469</f>
        <v>0</v>
      </c>
      <c r="H208" s="711">
        <f>Bilans_E_AMS_Kyoto_run3_MTE!L469</f>
        <v>0</v>
      </c>
      <c r="I208" s="711">
        <f>Bilans_E_AMS_Kyoto_run3_MTE!M469</f>
        <v>0</v>
      </c>
      <c r="J208" s="711">
        <f>Bilans_E_AMS_Kyoto_run3_MTE!N469</f>
        <v>0</v>
      </c>
      <c r="K208" s="711">
        <f>Bilans_E_AMS_Kyoto_run3_MTE!O469</f>
        <v>0</v>
      </c>
      <c r="L208" s="711">
        <f>Bilans_E_AMS_Kyoto_run3_MTE!P469</f>
        <v>138.07928558547806</v>
      </c>
      <c r="M208" s="711">
        <f>Bilans_E_AMS_Kyoto_run3_MTE!Q469</f>
        <v>12.388866886032204</v>
      </c>
      <c r="N208" s="711">
        <f>Bilans_E_AMS_Kyoto_run3_MTE!R469</f>
        <v>0</v>
      </c>
      <c r="O208" s="711">
        <f>Bilans_E_AMS_Kyoto_run3_MTE!S469</f>
        <v>-75.318683922078151</v>
      </c>
      <c r="P208" s="711">
        <f>Bilans_E_AMS_Kyoto_run3_MTE!T469+Bilans_E_AMS_Kyoto_run3_MTE!U469</f>
        <v>0</v>
      </c>
      <c r="Q208" s="711">
        <f>Bilans_E_AMS_Kyoto_run3_MTE!V469</f>
        <v>0</v>
      </c>
      <c r="R208" s="711">
        <f>Bilans_E_AMS_Kyoto_run3_MTE!W469</f>
        <v>0</v>
      </c>
      <c r="S208" s="711">
        <f>Bilans_E_AMS_Kyoto_run3_MTE!X469</f>
        <v>0</v>
      </c>
      <c r="T208" s="711">
        <f>Bilans_E_AMS_Kyoto_run3_MTE!Y469</f>
        <v>0</v>
      </c>
      <c r="U208" s="711">
        <f>Bilans_E_AMS_Kyoto_run3_MTE!Z469</f>
        <v>75.149468549432129</v>
      </c>
      <c r="V208" s="701"/>
      <c r="W208" s="701"/>
    </row>
    <row r="209" spans="1:23" x14ac:dyDescent="0.25">
      <c r="A209" s="701" t="s">
        <v>498</v>
      </c>
      <c r="B209" s="701"/>
      <c r="C209" s="717" t="s">
        <v>350</v>
      </c>
      <c r="D209" s="711">
        <f>Bilans_E_AMS_Kyoto_run3_MTE!H470</f>
        <v>0</v>
      </c>
      <c r="E209" s="711">
        <f>Bilans_E_AMS_Kyoto_run3_MTE!I470</f>
        <v>0</v>
      </c>
      <c r="F209" s="711">
        <f>Bilans_E_AMS_Kyoto_run3_MTE!J470</f>
        <v>0</v>
      </c>
      <c r="G209" s="711">
        <f>Bilans_E_AMS_Kyoto_run3_MTE!K470</f>
        <v>0</v>
      </c>
      <c r="H209" s="711">
        <f>Bilans_E_AMS_Kyoto_run3_MTE!L470</f>
        <v>0</v>
      </c>
      <c r="I209" s="711">
        <f>Bilans_E_AMS_Kyoto_run3_MTE!M470</f>
        <v>-2.6425947059180688</v>
      </c>
      <c r="J209" s="711">
        <f>Bilans_E_AMS_Kyoto_run3_MTE!N470</f>
        <v>0</v>
      </c>
      <c r="K209" s="711">
        <f>Bilans_E_AMS_Kyoto_run3_MTE!O470</f>
        <v>0</v>
      </c>
      <c r="L209" s="711">
        <f>Bilans_E_AMS_Kyoto_run3_MTE!P470</f>
        <v>0</v>
      </c>
      <c r="M209" s="711">
        <f>Bilans_E_AMS_Kyoto_run3_MTE!Q470</f>
        <v>0</v>
      </c>
      <c r="N209" s="711">
        <f>Bilans_E_AMS_Kyoto_run3_MTE!R470</f>
        <v>0</v>
      </c>
      <c r="O209" s="711">
        <f>Bilans_E_AMS_Kyoto_run3_MTE!S470</f>
        <v>0</v>
      </c>
      <c r="P209" s="711">
        <f>Bilans_E_AMS_Kyoto_run3_MTE!T470+Bilans_E_AMS_Kyoto_run3_MTE!U470</f>
        <v>0</v>
      </c>
      <c r="Q209" s="711">
        <f>Bilans_E_AMS_Kyoto_run3_MTE!V470</f>
        <v>0</v>
      </c>
      <c r="R209" s="711">
        <f>Bilans_E_AMS_Kyoto_run3_MTE!W470</f>
        <v>0</v>
      </c>
      <c r="S209" s="711">
        <f>Bilans_E_AMS_Kyoto_run3_MTE!X470</f>
        <v>0</v>
      </c>
      <c r="T209" s="711">
        <f>Bilans_E_AMS_Kyoto_run3_MTE!Y470</f>
        <v>3.6634319020026336</v>
      </c>
      <c r="U209" s="711">
        <f>Bilans_E_AMS_Kyoto_run3_MTE!Z470</f>
        <v>1.0208371960845648</v>
      </c>
      <c r="V209" s="701"/>
      <c r="W209" s="701"/>
    </row>
    <row r="210" spans="1:23" x14ac:dyDescent="0.25">
      <c r="A210" s="701" t="s">
        <v>499</v>
      </c>
      <c r="B210" s="701"/>
      <c r="C210" s="717" t="s">
        <v>72</v>
      </c>
      <c r="D210" s="711">
        <f>Bilans_E_AMS_Kyoto_run3_MTE!H471</f>
        <v>0</v>
      </c>
      <c r="E210" s="711">
        <f>Bilans_E_AMS_Kyoto_run3_MTE!I471</f>
        <v>183.99004915233374</v>
      </c>
      <c r="F210" s="711">
        <f>Bilans_E_AMS_Kyoto_run3_MTE!J471</f>
        <v>-182.1501486608104</v>
      </c>
      <c r="G210" s="711">
        <f>Bilans_E_AMS_Kyoto_run3_MTE!K471</f>
        <v>0</v>
      </c>
      <c r="H210" s="711">
        <f>Bilans_E_AMS_Kyoto_run3_MTE!L471</f>
        <v>0</v>
      </c>
      <c r="I210" s="711">
        <f>Bilans_E_AMS_Kyoto_run3_MTE!M471</f>
        <v>0</v>
      </c>
      <c r="J210" s="711">
        <f>Bilans_E_AMS_Kyoto_run3_MTE!N471</f>
        <v>0</v>
      </c>
      <c r="K210" s="711">
        <f>Bilans_E_AMS_Kyoto_run3_MTE!O471</f>
        <v>0</v>
      </c>
      <c r="L210" s="711">
        <f>Bilans_E_AMS_Kyoto_run3_MTE!P471</f>
        <v>0</v>
      </c>
      <c r="M210" s="711">
        <f>Bilans_E_AMS_Kyoto_run3_MTE!Q471</f>
        <v>0</v>
      </c>
      <c r="N210" s="711">
        <f>Bilans_E_AMS_Kyoto_run3_MTE!R471</f>
        <v>0</v>
      </c>
      <c r="O210" s="711">
        <f>Bilans_E_AMS_Kyoto_run3_MTE!S471</f>
        <v>0</v>
      </c>
      <c r="P210" s="711">
        <f>Bilans_E_AMS_Kyoto_run3_MTE!T471+Bilans_E_AMS_Kyoto_run3_MTE!U471</f>
        <v>0</v>
      </c>
      <c r="Q210" s="711">
        <f>Bilans_E_AMS_Kyoto_run3_MTE!V471</f>
        <v>0</v>
      </c>
      <c r="R210" s="711">
        <f>Bilans_E_AMS_Kyoto_run3_MTE!W471</f>
        <v>0</v>
      </c>
      <c r="S210" s="711">
        <f>Bilans_E_AMS_Kyoto_run3_MTE!X471</f>
        <v>0</v>
      </c>
      <c r="T210" s="711">
        <f>Bilans_E_AMS_Kyoto_run3_MTE!Y471</f>
        <v>0</v>
      </c>
      <c r="U210" s="711">
        <f>Bilans_E_AMS_Kyoto_run3_MTE!Z471</f>
        <v>1.8399004915233377</v>
      </c>
      <c r="V210" s="701"/>
      <c r="W210" s="701"/>
    </row>
    <row r="211" spans="1:23" x14ac:dyDescent="0.25">
      <c r="A211" s="701" t="s">
        <v>500</v>
      </c>
      <c r="B211" s="701"/>
      <c r="C211" s="717" t="s">
        <v>351</v>
      </c>
      <c r="D211" s="711">
        <f>Bilans_E_AMS_Kyoto_run3_MTE!H472</f>
        <v>0</v>
      </c>
      <c r="E211" s="711">
        <f>Bilans_E_AMS_Kyoto_run3_MTE!I472</f>
        <v>0</v>
      </c>
      <c r="F211" s="711">
        <f>Bilans_E_AMS_Kyoto_run3_MTE!J472</f>
        <v>0</v>
      </c>
      <c r="G211" s="711">
        <f>Bilans_E_AMS_Kyoto_run3_MTE!K472</f>
        <v>0</v>
      </c>
      <c r="H211" s="711">
        <f>Bilans_E_AMS_Kyoto_run3_MTE!L472</f>
        <v>0</v>
      </c>
      <c r="I211" s="711">
        <f>Bilans_E_AMS_Kyoto_run3_MTE!M472</f>
        <v>0</v>
      </c>
      <c r="J211" s="711">
        <f>Bilans_E_AMS_Kyoto_run3_MTE!N472</f>
        <v>0</v>
      </c>
      <c r="K211" s="711">
        <f>Bilans_E_AMS_Kyoto_run3_MTE!O472</f>
        <v>0</v>
      </c>
      <c r="L211" s="711">
        <f>Bilans_E_AMS_Kyoto_run3_MTE!P472</f>
        <v>98.264059426631164</v>
      </c>
      <c r="M211" s="711">
        <f>Bilans_E_AMS_Kyoto_run3_MTE!Q472</f>
        <v>7.2727272727272725</v>
      </c>
      <c r="N211" s="711">
        <f>Bilans_E_AMS_Kyoto_run3_MTE!R472</f>
        <v>-58.881352983692381</v>
      </c>
      <c r="O211" s="711">
        <f>Bilans_E_AMS_Kyoto_run3_MTE!S472</f>
        <v>0</v>
      </c>
      <c r="P211" s="711">
        <f>Bilans_E_AMS_Kyoto_run3_MTE!T472+Bilans_E_AMS_Kyoto_run3_MTE!U472</f>
        <v>0</v>
      </c>
      <c r="Q211" s="711">
        <f>Bilans_E_AMS_Kyoto_run3_MTE!V472</f>
        <v>0</v>
      </c>
      <c r="R211" s="711">
        <f>Bilans_E_AMS_Kyoto_run3_MTE!W472</f>
        <v>0</v>
      </c>
      <c r="S211" s="711">
        <f>Bilans_E_AMS_Kyoto_run3_MTE!X472</f>
        <v>0</v>
      </c>
      <c r="T211" s="711">
        <f>Bilans_E_AMS_Kyoto_run3_MTE!Y472</f>
        <v>0</v>
      </c>
      <c r="U211" s="711">
        <f>Bilans_E_AMS_Kyoto_run3_MTE!Z472</f>
        <v>46.655433715666049</v>
      </c>
      <c r="V211" s="701"/>
      <c r="W211" s="701"/>
    </row>
    <row r="212" spans="1:23" x14ac:dyDescent="0.25">
      <c r="A212" s="701" t="s">
        <v>501</v>
      </c>
      <c r="B212" s="701"/>
      <c r="C212" s="717" t="s">
        <v>352</v>
      </c>
      <c r="D212" s="711">
        <f>Bilans_E_AMS_Kyoto_run3_MTE!H473</f>
        <v>0</v>
      </c>
      <c r="E212" s="711">
        <f>Bilans_E_AMS_Kyoto_run3_MTE!I473</f>
        <v>0</v>
      </c>
      <c r="F212" s="711">
        <f>Bilans_E_AMS_Kyoto_run3_MTE!J473</f>
        <v>0</v>
      </c>
      <c r="G212" s="711">
        <f>Bilans_E_AMS_Kyoto_run3_MTE!K473</f>
        <v>-10.918730471145594</v>
      </c>
      <c r="H212" s="711">
        <f>Bilans_E_AMS_Kyoto_run3_MTE!L473</f>
        <v>0</v>
      </c>
      <c r="I212" s="711">
        <f>Bilans_E_AMS_Kyoto_run3_MTE!M473</f>
        <v>0</v>
      </c>
      <c r="J212" s="711">
        <f>Bilans_E_AMS_Kyoto_run3_MTE!N473</f>
        <v>0</v>
      </c>
      <c r="K212" s="711">
        <f>Bilans_E_AMS_Kyoto_run3_MTE!O473</f>
        <v>0</v>
      </c>
      <c r="L212" s="711">
        <f>Bilans_E_AMS_Kyoto_run3_MTE!P473</f>
        <v>0</v>
      </c>
      <c r="M212" s="711">
        <f>Bilans_E_AMS_Kyoto_run3_MTE!Q473</f>
        <v>0</v>
      </c>
      <c r="N212" s="711">
        <f>Bilans_E_AMS_Kyoto_run3_MTE!R473</f>
        <v>0</v>
      </c>
      <c r="O212" s="711">
        <f>Bilans_E_AMS_Kyoto_run3_MTE!S473</f>
        <v>0</v>
      </c>
      <c r="P212" s="711">
        <f>Bilans_E_AMS_Kyoto_run3_MTE!T473+Bilans_E_AMS_Kyoto_run3_MTE!U473</f>
        <v>0</v>
      </c>
      <c r="Q212" s="711">
        <f>Bilans_E_AMS_Kyoto_run3_MTE!V473</f>
        <v>0</v>
      </c>
      <c r="R212" s="711">
        <f>Bilans_E_AMS_Kyoto_run3_MTE!W473</f>
        <v>0</v>
      </c>
      <c r="S212" s="711">
        <f>Bilans_E_AMS_Kyoto_run3_MTE!X473</f>
        <v>0</v>
      </c>
      <c r="T212" s="711">
        <f>Bilans_E_AMS_Kyoto_run3_MTE!Y473</f>
        <v>18.115603518260158</v>
      </c>
      <c r="U212" s="711">
        <f>Bilans_E_AMS_Kyoto_run3_MTE!Z473</f>
        <v>7.1968730471145648</v>
      </c>
      <c r="V212" s="701"/>
      <c r="W212" s="701"/>
    </row>
    <row r="213" spans="1:23" x14ac:dyDescent="0.25">
      <c r="A213" s="701" t="s">
        <v>502</v>
      </c>
      <c r="B213" s="701"/>
      <c r="C213" s="717" t="s">
        <v>73</v>
      </c>
      <c r="D213" s="711">
        <f>Bilans_E_AMS_Kyoto_run3_MTE!H474</f>
        <v>0</v>
      </c>
      <c r="E213" s="711">
        <f>Bilans_E_AMS_Kyoto_run3_MTE!I474</f>
        <v>0</v>
      </c>
      <c r="F213" s="711">
        <f>Bilans_E_AMS_Kyoto_run3_MTE!J474</f>
        <v>0</v>
      </c>
      <c r="G213" s="711">
        <f>Bilans_E_AMS_Kyoto_run3_MTE!K474</f>
        <v>0</v>
      </c>
      <c r="H213" s="711">
        <f>Bilans_E_AMS_Kyoto_run3_MTE!L474</f>
        <v>0</v>
      </c>
      <c r="I213" s="711">
        <f>Bilans_E_AMS_Kyoto_run3_MTE!M474</f>
        <v>0</v>
      </c>
      <c r="J213" s="711">
        <f>Bilans_E_AMS_Kyoto_run3_MTE!N474</f>
        <v>0</v>
      </c>
      <c r="K213" s="711">
        <f>Bilans_E_AMS_Kyoto_run3_MTE!O474</f>
        <v>0</v>
      </c>
      <c r="L213" s="711">
        <f>Bilans_E_AMS_Kyoto_run3_MTE!P474</f>
        <v>0</v>
      </c>
      <c r="M213" s="711">
        <f>Bilans_E_AMS_Kyoto_run3_MTE!Q474</f>
        <v>0</v>
      </c>
      <c r="N213" s="711">
        <f>Bilans_E_AMS_Kyoto_run3_MTE!R474</f>
        <v>0</v>
      </c>
      <c r="O213" s="711">
        <f>Bilans_E_AMS_Kyoto_run3_MTE!S474</f>
        <v>0</v>
      </c>
      <c r="P213" s="711">
        <f>Bilans_E_AMS_Kyoto_run3_MTE!T474+Bilans_E_AMS_Kyoto_run3_MTE!U474</f>
        <v>0</v>
      </c>
      <c r="Q213" s="711">
        <f>Bilans_E_AMS_Kyoto_run3_MTE!V474</f>
        <v>0</v>
      </c>
      <c r="R213" s="711">
        <f>Bilans_E_AMS_Kyoto_run3_MTE!W474</f>
        <v>71.82433773705074</v>
      </c>
      <c r="S213" s="711">
        <f>Bilans_E_AMS_Kyoto_run3_MTE!X474</f>
        <v>0</v>
      </c>
      <c r="T213" s="711">
        <f>Bilans_E_AMS_Kyoto_run3_MTE!Y474</f>
        <v>-49.953826896118791</v>
      </c>
      <c r="U213" s="711">
        <f>Bilans_E_AMS_Kyoto_run3_MTE!Z474</f>
        <v>21.870510840931949</v>
      </c>
      <c r="V213" s="701"/>
      <c r="W213" s="701"/>
    </row>
    <row r="214" spans="1:23" x14ac:dyDescent="0.25">
      <c r="A214" s="701" t="s">
        <v>503</v>
      </c>
      <c r="B214" s="701"/>
      <c r="C214" s="717" t="s">
        <v>353</v>
      </c>
      <c r="D214" s="711">
        <f>Bilans_E_AMS_Kyoto_run3_MTE!H475</f>
        <v>3.2800345312500001</v>
      </c>
      <c r="E214" s="711">
        <f>Bilans_E_AMS_Kyoto_run3_MTE!I475</f>
        <v>-6.4350233154386336</v>
      </c>
      <c r="F214" s="711">
        <f>Bilans_E_AMS_Kyoto_run3_MTE!J475</f>
        <v>8.5665829244642584</v>
      </c>
      <c r="G214" s="711">
        <f>Bilans_E_AMS_Kyoto_run3_MTE!K475</f>
        <v>0</v>
      </c>
      <c r="H214" s="711">
        <f>Bilans_E_AMS_Kyoto_run3_MTE!L475</f>
        <v>0</v>
      </c>
      <c r="I214" s="711">
        <f>Bilans_E_AMS_Kyoto_run3_MTE!M475</f>
        <v>0</v>
      </c>
      <c r="J214" s="711">
        <f>Bilans_E_AMS_Kyoto_run3_MTE!N475</f>
        <v>0</v>
      </c>
      <c r="K214" s="711">
        <f>Bilans_E_AMS_Kyoto_run3_MTE!O475</f>
        <v>0</v>
      </c>
      <c r="L214" s="711">
        <f>Bilans_E_AMS_Kyoto_run3_MTE!P475</f>
        <v>0</v>
      </c>
      <c r="M214" s="711">
        <f>Bilans_E_AMS_Kyoto_run3_MTE!Q475</f>
        <v>0</v>
      </c>
      <c r="N214" s="711">
        <f>Bilans_E_AMS_Kyoto_run3_MTE!R475</f>
        <v>0</v>
      </c>
      <c r="O214" s="711">
        <f>Bilans_E_AMS_Kyoto_run3_MTE!S475</f>
        <v>0</v>
      </c>
      <c r="P214" s="711">
        <f>Bilans_E_AMS_Kyoto_run3_MTE!T475+Bilans_E_AMS_Kyoto_run3_MTE!U475</f>
        <v>0</v>
      </c>
      <c r="Q214" s="711">
        <f>Bilans_E_AMS_Kyoto_run3_MTE!V475</f>
        <v>0</v>
      </c>
      <c r="R214" s="711">
        <f>Bilans_E_AMS_Kyoto_run3_MTE!W475</f>
        <v>0</v>
      </c>
      <c r="S214" s="711">
        <f>Bilans_E_AMS_Kyoto_run3_MTE!X475</f>
        <v>0</v>
      </c>
      <c r="T214" s="711">
        <f>Bilans_E_AMS_Kyoto_run3_MTE!Y475</f>
        <v>0</v>
      </c>
      <c r="U214" s="711">
        <f>Bilans_E_AMS_Kyoto_run3_MTE!Z475</f>
        <v>5.4115941402756249</v>
      </c>
      <c r="V214" s="701"/>
      <c r="W214" s="701"/>
    </row>
    <row r="215" spans="1:23" x14ac:dyDescent="0.25">
      <c r="A215" s="701" t="s">
        <v>504</v>
      </c>
      <c r="B215" s="701"/>
      <c r="C215" s="717" t="s">
        <v>75</v>
      </c>
      <c r="D215" s="711">
        <f>Bilans_E_AMS_Kyoto_run3_MTE!H476</f>
        <v>1.2755689843750002</v>
      </c>
      <c r="E215" s="711">
        <f>Bilans_E_AMS_Kyoto_run3_MTE!I476</f>
        <v>0</v>
      </c>
      <c r="F215" s="711">
        <f>Bilans_E_AMS_Kyoto_run3_MTE!J476</f>
        <v>6.4072238182271617</v>
      </c>
      <c r="G215" s="711">
        <f>Bilans_E_AMS_Kyoto_run3_MTE!K476</f>
        <v>0</v>
      </c>
      <c r="H215" s="711">
        <f>Bilans_E_AMS_Kyoto_run3_MTE!L476</f>
        <v>0</v>
      </c>
      <c r="I215" s="711">
        <f>Bilans_E_AMS_Kyoto_run3_MTE!M476</f>
        <v>0</v>
      </c>
      <c r="J215" s="711">
        <f>Bilans_E_AMS_Kyoto_run3_MTE!N476</f>
        <v>0</v>
      </c>
      <c r="K215" s="711">
        <f>Bilans_E_AMS_Kyoto_run3_MTE!O476</f>
        <v>0</v>
      </c>
      <c r="L215" s="711">
        <f>Bilans_E_AMS_Kyoto_run3_MTE!P476</f>
        <v>0</v>
      </c>
      <c r="M215" s="711">
        <f>Bilans_E_AMS_Kyoto_run3_MTE!Q476</f>
        <v>0</v>
      </c>
      <c r="N215" s="711">
        <f>Bilans_E_AMS_Kyoto_run3_MTE!R476</f>
        <v>0</v>
      </c>
      <c r="O215" s="711">
        <f>Bilans_E_AMS_Kyoto_run3_MTE!S476</f>
        <v>0</v>
      </c>
      <c r="P215" s="711">
        <f>Bilans_E_AMS_Kyoto_run3_MTE!T476+Bilans_E_AMS_Kyoto_run3_MTE!U476</f>
        <v>0</v>
      </c>
      <c r="Q215" s="711">
        <f>Bilans_E_AMS_Kyoto_run3_MTE!V476</f>
        <v>0</v>
      </c>
      <c r="R215" s="711">
        <f>Bilans_E_AMS_Kyoto_run3_MTE!W476</f>
        <v>38.57687969589584</v>
      </c>
      <c r="S215" s="711">
        <f>Bilans_E_AMS_Kyoto_run3_MTE!X476</f>
        <v>0</v>
      </c>
      <c r="T215" s="711">
        <f>Bilans_E_AMS_Kyoto_run3_MTE!Y476</f>
        <v>1.8110857498187163</v>
      </c>
      <c r="U215" s="711">
        <f>Bilans_E_AMS_Kyoto_run3_MTE!Z476</f>
        <v>48.070758248316722</v>
      </c>
      <c r="V215" s="701"/>
      <c r="W215" s="701"/>
    </row>
    <row r="216" spans="1:23" x14ac:dyDescent="0.25">
      <c r="A216" s="701" t="s">
        <v>505</v>
      </c>
      <c r="B216" s="701"/>
      <c r="C216" s="717" t="s">
        <v>76</v>
      </c>
      <c r="D216" s="711">
        <f>Bilans_E_AMS_Kyoto_run3_MTE!H477</f>
        <v>0</v>
      </c>
      <c r="E216" s="711">
        <f>Bilans_E_AMS_Kyoto_run3_MTE!I477</f>
        <v>0</v>
      </c>
      <c r="F216" s="711">
        <f>Bilans_E_AMS_Kyoto_run3_MTE!J477</f>
        <v>0</v>
      </c>
      <c r="G216" s="711">
        <f>Bilans_E_AMS_Kyoto_run3_MTE!K477</f>
        <v>0</v>
      </c>
      <c r="H216" s="711">
        <f>Bilans_E_AMS_Kyoto_run3_MTE!L477</f>
        <v>0.98381967017411598</v>
      </c>
      <c r="I216" s="711">
        <f>Bilans_E_AMS_Kyoto_run3_MTE!M477</f>
        <v>1.0355996528148588E-2</v>
      </c>
      <c r="J216" s="711">
        <f>Bilans_E_AMS_Kyoto_run3_MTE!N477</f>
        <v>0</v>
      </c>
      <c r="K216" s="711">
        <f>Bilans_E_AMS_Kyoto_run3_MTE!O477</f>
        <v>0</v>
      </c>
      <c r="L216" s="711">
        <f>Bilans_E_AMS_Kyoto_run3_MTE!P477</f>
        <v>0</v>
      </c>
      <c r="M216" s="711">
        <f>Bilans_E_AMS_Kyoto_run3_MTE!Q477</f>
        <v>0</v>
      </c>
      <c r="N216" s="711">
        <f>Bilans_E_AMS_Kyoto_run3_MTE!R477</f>
        <v>0</v>
      </c>
      <c r="O216" s="711">
        <f>Bilans_E_AMS_Kyoto_run3_MTE!S477</f>
        <v>0.73182375465583349</v>
      </c>
      <c r="P216" s="711">
        <f>Bilans_E_AMS_Kyoto_run3_MTE!T477+Bilans_E_AMS_Kyoto_run3_MTE!U477</f>
        <v>0</v>
      </c>
      <c r="Q216" s="711">
        <f>Bilans_E_AMS_Kyoto_run3_MTE!V477</f>
        <v>0</v>
      </c>
      <c r="R216" s="711">
        <f>Bilans_E_AMS_Kyoto_run3_MTE!W477</f>
        <v>58.720759743857542</v>
      </c>
      <c r="S216" s="711">
        <f>Bilans_E_AMS_Kyoto_run3_MTE!X477</f>
        <v>6.7361736922382924</v>
      </c>
      <c r="T216" s="711">
        <f>Bilans_E_AMS_Kyoto_run3_MTE!Y477</f>
        <v>0</v>
      </c>
      <c r="U216" s="711">
        <f>Bilans_E_AMS_Kyoto_run3_MTE!Z477</f>
        <v>67.182932857453935</v>
      </c>
      <c r="V216" s="701"/>
      <c r="W216" s="701"/>
    </row>
    <row r="217" spans="1:23" x14ac:dyDescent="0.25">
      <c r="A217" s="701" t="s">
        <v>506</v>
      </c>
      <c r="B217" s="701"/>
      <c r="C217" s="713" t="s">
        <v>77</v>
      </c>
      <c r="D217" s="714">
        <f>Bilans_E_AMS_Kyoto_run3_MTE!H478</f>
        <v>4.5556035156250001</v>
      </c>
      <c r="E217" s="714">
        <f>Bilans_E_AMS_Kyoto_run3_MTE!I478</f>
        <v>177.55502583689511</v>
      </c>
      <c r="F217" s="714">
        <f>Bilans_E_AMS_Kyoto_run3_MTE!J478</f>
        <v>-167.14988113675898</v>
      </c>
      <c r="G217" s="714">
        <f>Bilans_E_AMS_Kyoto_run3_MTE!K478</f>
        <v>-10.918730471145594</v>
      </c>
      <c r="H217" s="714">
        <f>Bilans_E_AMS_Kyoto_run3_MTE!L478</f>
        <v>12.34745368902659</v>
      </c>
      <c r="I217" s="714">
        <f>Bilans_E_AMS_Kyoto_run3_MTE!M478</f>
        <v>-2.5126460562266661</v>
      </c>
      <c r="J217" s="714">
        <f>Bilans_E_AMS_Kyoto_run3_MTE!N478</f>
        <v>1099.5846392966657</v>
      </c>
      <c r="K217" s="714">
        <f>Bilans_E_AMS_Kyoto_run3_MTE!O478</f>
        <v>432.558137271254</v>
      </c>
      <c r="L217" s="714">
        <f>Bilans_E_AMS_Kyoto_run3_MTE!P478</f>
        <v>277.93237210319938</v>
      </c>
      <c r="M217" s="714">
        <f>Bilans_E_AMS_Kyoto_run3_MTE!Q478</f>
        <v>37.745140849319363</v>
      </c>
      <c r="N217" s="714">
        <f>Bilans_E_AMS_Kyoto_run3_MTE!R478</f>
        <v>-52.823481246101892</v>
      </c>
      <c r="O217" s="714">
        <f>Bilans_E_AMS_Kyoto_run3_MTE!S478</f>
        <v>-66.004971228004962</v>
      </c>
      <c r="P217" s="714">
        <f>Bilans_E_AMS_Kyoto_run3_MTE!T478+Bilans_E_AMS_Kyoto_run3_MTE!U478</f>
        <v>18.404716933116433</v>
      </c>
      <c r="Q217" s="714">
        <f>Bilans_E_AMS_Kyoto_run3_MTE!V478</f>
        <v>19.863896915877778</v>
      </c>
      <c r="R217" s="714">
        <f>Bilans_E_AMS_Kyoto_run3_MTE!W478</f>
        <v>-641.4616245754471</v>
      </c>
      <c r="S217" s="714">
        <f>Bilans_E_AMS_Kyoto_run3_MTE!X478</f>
        <v>-80.131352097194963</v>
      </c>
      <c r="T217" s="714">
        <f>Bilans_E_AMS_Kyoto_run3_MTE!Y478</f>
        <v>-26.363705726037281</v>
      </c>
      <c r="U217" s="714">
        <f>Bilans_E_AMS_Kyoto_run3_MTE!Z478</f>
        <v>1033.1805938740617</v>
      </c>
      <c r="V217" s="701"/>
      <c r="W217" s="701"/>
    </row>
    <row r="218" spans="1:23" x14ac:dyDescent="0.25">
      <c r="A218" s="701"/>
      <c r="B218" s="701"/>
      <c r="C218" s="715"/>
      <c r="D218" s="716"/>
      <c r="E218" s="716"/>
      <c r="F218" s="716"/>
      <c r="G218" s="716"/>
      <c r="H218" s="716"/>
      <c r="I218" s="716"/>
      <c r="J218" s="716"/>
      <c r="K218" s="716"/>
      <c r="L218" s="716"/>
      <c r="M218" s="716"/>
      <c r="N218" s="716"/>
      <c r="O218" s="716"/>
      <c r="P218" s="716">
        <f>Bilans_E_AMS_Kyoto_run3_MTE!T479+Bilans_E_AMS_Kyoto_run3_MTE!U479</f>
        <v>0</v>
      </c>
      <c r="Q218" s="716"/>
      <c r="R218" s="716"/>
      <c r="S218" s="716"/>
      <c r="T218" s="716"/>
      <c r="U218" s="716"/>
      <c r="V218" s="701"/>
      <c r="W218" s="701"/>
    </row>
    <row r="219" spans="1:23" x14ac:dyDescent="0.25">
      <c r="A219" s="701" t="s">
        <v>507</v>
      </c>
      <c r="B219" s="701"/>
      <c r="C219" s="717" t="s">
        <v>78</v>
      </c>
      <c r="D219" s="711">
        <f>Bilans_E_AMS_Kyoto_run3_MTE!H480</f>
        <v>0.16342834472656248</v>
      </c>
      <c r="E219" s="711">
        <f>Bilans_E_AMS_Kyoto_run3_MTE!I480</f>
        <v>0</v>
      </c>
      <c r="F219" s="711">
        <f>Bilans_E_AMS_Kyoto_run3_MTE!J480</f>
        <v>1.192335444968337</v>
      </c>
      <c r="G219" s="711">
        <f>Bilans_E_AMS_Kyoto_run3_MTE!K480</f>
        <v>0</v>
      </c>
      <c r="H219" s="711">
        <f>Bilans_E_AMS_Kyoto_run3_MTE!L480</f>
        <v>32.001904580711056</v>
      </c>
      <c r="I219" s="711">
        <f>Bilans_E_AMS_Kyoto_run3_MTE!M480</f>
        <v>0.33686215348116894</v>
      </c>
      <c r="J219" s="711">
        <f>Bilans_E_AMS_Kyoto_run3_MTE!N480</f>
        <v>0</v>
      </c>
      <c r="K219" s="711">
        <f>Bilans_E_AMS_Kyoto_run3_MTE!O480</f>
        <v>0</v>
      </c>
      <c r="L219" s="711">
        <f>Bilans_E_AMS_Kyoto_run3_MTE!P480</f>
        <v>35.925037819448683</v>
      </c>
      <c r="M219" s="711">
        <f>Bilans_E_AMS_Kyoto_run3_MTE!Q480</f>
        <v>8.355944349353404</v>
      </c>
      <c r="N219" s="711">
        <f>Bilans_E_AMS_Kyoto_run3_MTE!R480</f>
        <v>0.41126405446607639</v>
      </c>
      <c r="O219" s="711">
        <f>Bilans_E_AMS_Kyoto_run3_MTE!S480</f>
        <v>23.845200759921546</v>
      </c>
      <c r="P219" s="711">
        <f>Bilans_E_AMS_Kyoto_run3_MTE!T480+Bilans_E_AMS_Kyoto_run3_MTE!U480</f>
        <v>12.595482421874999</v>
      </c>
      <c r="Q219" s="711">
        <f>Bilans_E_AMS_Kyoto_run3_MTE!V480</f>
        <v>8.2107689234467234E-4</v>
      </c>
      <c r="R219" s="711">
        <f>Bilans_E_AMS_Kyoto_run3_MTE!W480</f>
        <v>157.38101577829286</v>
      </c>
      <c r="S219" s="711">
        <f>Bilans_E_AMS_Kyoto_run3_MTE!X480</f>
        <v>19.581895205138572</v>
      </c>
      <c r="T219" s="711">
        <f>Bilans_E_AMS_Kyoto_run3_MTE!Y480</f>
        <v>11.602856445312501</v>
      </c>
      <c r="U219" s="711">
        <f>Bilans_E_AMS_Kyoto_run3_MTE!Z480</f>
        <v>303.39404843458811</v>
      </c>
      <c r="V219" s="701"/>
      <c r="W219" s="701"/>
    </row>
    <row r="220" spans="1:23" x14ac:dyDescent="0.25">
      <c r="A220" s="701" t="s">
        <v>508</v>
      </c>
      <c r="B220" s="701"/>
      <c r="C220" s="717" t="s">
        <v>79</v>
      </c>
      <c r="D220" s="711">
        <f>Bilans_E_AMS_Kyoto_run3_MTE!H481</f>
        <v>0</v>
      </c>
      <c r="E220" s="711">
        <f>Bilans_E_AMS_Kyoto_run3_MTE!I481</f>
        <v>0</v>
      </c>
      <c r="F220" s="711">
        <f>Bilans_E_AMS_Kyoto_run3_MTE!J481</f>
        <v>57.415221307039587</v>
      </c>
      <c r="G220" s="711">
        <f>Bilans_E_AMS_Kyoto_run3_MTE!K481</f>
        <v>1.6</v>
      </c>
      <c r="H220" s="711">
        <f>Bilans_E_AMS_Kyoto_run3_MTE!L481</f>
        <v>4.3056781164291928</v>
      </c>
      <c r="I220" s="711">
        <f>Bilans_E_AMS_Kyoto_run3_MTE!M481</f>
        <v>4.5322927541359921E-2</v>
      </c>
      <c r="J220" s="711">
        <f>Bilans_E_AMS_Kyoto_run3_MTE!N481</f>
        <v>0</v>
      </c>
      <c r="K220" s="711">
        <f>Bilans_E_AMS_Kyoto_run3_MTE!O481</f>
        <v>0</v>
      </c>
      <c r="L220" s="711">
        <f>Bilans_E_AMS_Kyoto_run3_MTE!P481</f>
        <v>0</v>
      </c>
      <c r="M220" s="711">
        <f>Bilans_E_AMS_Kyoto_run3_MTE!Q481</f>
        <v>0</v>
      </c>
      <c r="N220" s="711">
        <f>Bilans_E_AMS_Kyoto_run3_MTE!R481</f>
        <v>31.800952318042711</v>
      </c>
      <c r="O220" s="711">
        <f>Bilans_E_AMS_Kyoto_run3_MTE!S481</f>
        <v>3.2028202129227674</v>
      </c>
      <c r="P220" s="711">
        <f>Bilans_E_AMS_Kyoto_run3_MTE!T481+Bilans_E_AMS_Kyoto_run3_MTE!U481</f>
        <v>0</v>
      </c>
      <c r="Q220" s="711">
        <f>Bilans_E_AMS_Kyoto_run3_MTE!V481</f>
        <v>0</v>
      </c>
      <c r="R220" s="711">
        <f>Bilans_E_AMS_Kyoto_run3_MTE!W481</f>
        <v>112.28525884459542</v>
      </c>
      <c r="S220" s="711">
        <f>Bilans_E_AMS_Kyoto_run3_MTE!X481</f>
        <v>0</v>
      </c>
      <c r="T220" s="711">
        <f>Bilans_E_AMS_Kyoto_run3_MTE!Y481</f>
        <v>5.8069925085288689</v>
      </c>
      <c r="U220" s="711">
        <f>Bilans_E_AMS_Kyoto_run3_MTE!Z481</f>
        <v>216.46224623509994</v>
      </c>
      <c r="V220" s="701"/>
      <c r="W220" s="701"/>
    </row>
    <row r="221" spans="1:23" x14ac:dyDescent="0.25">
      <c r="A221" s="701" t="s">
        <v>509</v>
      </c>
      <c r="B221" s="701"/>
      <c r="C221" s="717" t="s">
        <v>80</v>
      </c>
      <c r="D221" s="711">
        <f>Bilans_E_AMS_Kyoto_run3_MTE!H482</f>
        <v>0</v>
      </c>
      <c r="E221" s="711">
        <f>Bilans_E_AMS_Kyoto_run3_MTE!I482</f>
        <v>0</v>
      </c>
      <c r="F221" s="711">
        <f>Bilans_E_AMS_Kyoto_run3_MTE!J482</f>
        <v>0.29271355474186761</v>
      </c>
      <c r="G221" s="711">
        <f>Bilans_E_AMS_Kyoto_run3_MTE!K482</f>
        <v>0</v>
      </c>
      <c r="H221" s="711">
        <f>Bilans_E_AMS_Kyoto_run3_MTE!L482</f>
        <v>21.230302820629564</v>
      </c>
      <c r="I221" s="711">
        <f>Bilans_E_AMS_Kyoto_run3_MTE!M482</f>
        <v>0.22347687179610068</v>
      </c>
      <c r="J221" s="711">
        <f>Bilans_E_AMS_Kyoto_run3_MTE!N482</f>
        <v>0</v>
      </c>
      <c r="K221" s="711">
        <f>Bilans_E_AMS_Kyoto_run3_MTE!O482</f>
        <v>0</v>
      </c>
      <c r="L221" s="711">
        <f>Bilans_E_AMS_Kyoto_run3_MTE!P482</f>
        <v>42.610592667556531</v>
      </c>
      <c r="M221" s="711">
        <f>Bilans_E_AMS_Kyoto_run3_MTE!Q482</f>
        <v>0</v>
      </c>
      <c r="N221" s="711">
        <f>Bilans_E_AMS_Kyoto_run3_MTE!R482</f>
        <v>0</v>
      </c>
      <c r="O221" s="711">
        <f>Bilans_E_AMS_Kyoto_run3_MTE!S482</f>
        <v>15.792365606924447</v>
      </c>
      <c r="P221" s="711">
        <f>Bilans_E_AMS_Kyoto_run3_MTE!T482+Bilans_E_AMS_Kyoto_run3_MTE!U482</f>
        <v>140.68580630413436</v>
      </c>
      <c r="Q221" s="711">
        <f>Bilans_E_AMS_Kyoto_run3_MTE!V482</f>
        <v>11.422179608472932</v>
      </c>
      <c r="R221" s="711">
        <f>Bilans_E_AMS_Kyoto_run3_MTE!W482</f>
        <v>140.84431405230941</v>
      </c>
      <c r="S221" s="711">
        <f>Bilans_E_AMS_Kyoto_run3_MTE!X482</f>
        <v>37.657555904845751</v>
      </c>
      <c r="T221" s="711">
        <f>Bilans_E_AMS_Kyoto_run3_MTE!Y482</f>
        <v>0</v>
      </c>
      <c r="U221" s="711">
        <f>Bilans_E_AMS_Kyoto_run3_MTE!Z482</f>
        <v>410.75930739141103</v>
      </c>
      <c r="V221" s="701"/>
      <c r="W221" s="701"/>
    </row>
    <row r="222" spans="1:23" x14ac:dyDescent="0.25">
      <c r="A222" s="701" t="s">
        <v>510</v>
      </c>
      <c r="B222" s="701"/>
      <c r="C222" s="717" t="s">
        <v>81</v>
      </c>
      <c r="D222" s="711">
        <f>Bilans_E_AMS_Kyoto_run3_MTE!H483</f>
        <v>0</v>
      </c>
      <c r="E222" s="711">
        <f>Bilans_E_AMS_Kyoto_run3_MTE!I483</f>
        <v>0</v>
      </c>
      <c r="F222" s="711">
        <f>Bilans_E_AMS_Kyoto_run3_MTE!J483</f>
        <v>0.52496175669255951</v>
      </c>
      <c r="G222" s="711">
        <f>Bilans_E_AMS_Kyoto_run3_MTE!K483</f>
        <v>0</v>
      </c>
      <c r="H222" s="711">
        <f>Bilans_E_AMS_Kyoto_run3_MTE!L483</f>
        <v>12.447473647538219</v>
      </c>
      <c r="I222" s="711">
        <f>Bilans_E_AMS_Kyoto_run3_MTE!M483</f>
        <v>0.13102603839513913</v>
      </c>
      <c r="J222" s="711">
        <f>Bilans_E_AMS_Kyoto_run3_MTE!N483</f>
        <v>0</v>
      </c>
      <c r="K222" s="711">
        <f>Bilans_E_AMS_Kyoto_run3_MTE!O483</f>
        <v>0</v>
      </c>
      <c r="L222" s="711">
        <f>Bilans_E_AMS_Kyoto_run3_MTE!P483</f>
        <v>0.50385641884580723</v>
      </c>
      <c r="M222" s="711">
        <f>Bilans_E_AMS_Kyoto_run3_MTE!Q483</f>
        <v>0</v>
      </c>
      <c r="N222" s="711">
        <f>Bilans_E_AMS_Kyoto_run3_MTE!R483</f>
        <v>0</v>
      </c>
      <c r="O222" s="711">
        <f>Bilans_E_AMS_Kyoto_run3_MTE!S483</f>
        <v>9.2591733799231637</v>
      </c>
      <c r="P222" s="711">
        <f>Bilans_E_AMS_Kyoto_run3_MTE!T483+Bilans_E_AMS_Kyoto_run3_MTE!U483</f>
        <v>55.972584841883723</v>
      </c>
      <c r="Q222" s="711">
        <f>Bilans_E_AMS_Kyoto_run3_MTE!V483</f>
        <v>11.263560576499328</v>
      </c>
      <c r="R222" s="711">
        <f>Bilans_E_AMS_Kyoto_run3_MTE!W483</f>
        <v>122.13846664869735</v>
      </c>
      <c r="S222" s="711">
        <f>Bilans_E_AMS_Kyoto_run3_MTE!X483</f>
        <v>22.891868477454477</v>
      </c>
      <c r="T222" s="711">
        <f>Bilans_E_AMS_Kyoto_run3_MTE!Y483</f>
        <v>0</v>
      </c>
      <c r="U222" s="711">
        <f>Bilans_E_AMS_Kyoto_run3_MTE!Z483</f>
        <v>235.13297178592975</v>
      </c>
      <c r="V222" s="701"/>
      <c r="W222" s="701"/>
    </row>
    <row r="223" spans="1:23" x14ac:dyDescent="0.25">
      <c r="A223" s="701" t="s">
        <v>511</v>
      </c>
      <c r="B223" s="701"/>
      <c r="C223" s="717" t="s">
        <v>82</v>
      </c>
      <c r="D223" s="711">
        <f>Bilans_E_AMS_Kyoto_run3_MTE!H484</f>
        <v>0</v>
      </c>
      <c r="E223" s="711">
        <f>Bilans_E_AMS_Kyoto_run3_MTE!I484</f>
        <v>0</v>
      </c>
      <c r="F223" s="711">
        <f>Bilans_E_AMS_Kyoto_run3_MTE!J484</f>
        <v>8.4604278538625355</v>
      </c>
      <c r="G223" s="711">
        <f>Bilans_E_AMS_Kyoto_run3_MTE!K484</f>
        <v>0</v>
      </c>
      <c r="H223" s="711">
        <f>Bilans_E_AMS_Kyoto_run3_MTE!L484</f>
        <v>0.63597933034917353</v>
      </c>
      <c r="I223" s="711">
        <f>Bilans_E_AMS_Kyoto_run3_MTE!M484</f>
        <v>6.6945192668334047E-3</v>
      </c>
      <c r="J223" s="711">
        <f>Bilans_E_AMS_Kyoto_run3_MTE!N484</f>
        <v>0</v>
      </c>
      <c r="K223" s="711">
        <f>Bilans_E_AMS_Kyoto_run3_MTE!O484</f>
        <v>0</v>
      </c>
      <c r="L223" s="711">
        <f>Bilans_E_AMS_Kyoto_run3_MTE!P484</f>
        <v>16.880915854504494</v>
      </c>
      <c r="M223" s="711">
        <f>Bilans_E_AMS_Kyoto_run3_MTE!Q484</f>
        <v>0</v>
      </c>
      <c r="N223" s="711">
        <f>Bilans_E_AMS_Kyoto_run3_MTE!R484</f>
        <v>8.0439535729809908</v>
      </c>
      <c r="O223" s="711">
        <f>Bilans_E_AMS_Kyoto_run3_MTE!S484</f>
        <v>0.47307936152289393</v>
      </c>
      <c r="P223" s="711">
        <f>Bilans_E_AMS_Kyoto_run3_MTE!T484+Bilans_E_AMS_Kyoto_run3_MTE!U484</f>
        <v>1.1499999999999999</v>
      </c>
      <c r="Q223" s="711">
        <f>Bilans_E_AMS_Kyoto_run3_MTE!V484</f>
        <v>1.5666563685107562</v>
      </c>
      <c r="R223" s="711">
        <f>Bilans_E_AMS_Kyoto_run3_MTE!W484</f>
        <v>10.022325873265157</v>
      </c>
      <c r="S223" s="711">
        <f>Bilans_E_AMS_Kyoto_run3_MTE!X484</f>
        <v>0</v>
      </c>
      <c r="T223" s="711">
        <f>Bilans_E_AMS_Kyoto_run3_MTE!Y484</f>
        <v>0.50936070240640652</v>
      </c>
      <c r="U223" s="711">
        <f>Bilans_E_AMS_Kyoto_run3_MTE!Z484</f>
        <v>47.74939343666923</v>
      </c>
      <c r="V223" s="701"/>
      <c r="W223" s="701"/>
    </row>
    <row r="224" spans="1:23" x14ac:dyDescent="0.25">
      <c r="A224" s="701" t="s">
        <v>512</v>
      </c>
      <c r="B224" s="701"/>
      <c r="C224" s="717" t="s">
        <v>354</v>
      </c>
      <c r="D224" s="711">
        <f>Bilans_E_AMS_Kyoto_run3_MTE!H485</f>
        <v>0</v>
      </c>
      <c r="E224" s="711">
        <f>Bilans_E_AMS_Kyoto_run3_MTE!I485</f>
        <v>0</v>
      </c>
      <c r="F224" s="711">
        <f>Bilans_E_AMS_Kyoto_run3_MTE!J485</f>
        <v>0</v>
      </c>
      <c r="G224" s="711">
        <f>Bilans_E_AMS_Kyoto_run3_MTE!K485</f>
        <v>0</v>
      </c>
      <c r="H224" s="711">
        <f>Bilans_E_AMS_Kyoto_run3_MTE!L485</f>
        <v>0</v>
      </c>
      <c r="I224" s="711">
        <f>Bilans_E_AMS_Kyoto_run3_MTE!M485</f>
        <v>0</v>
      </c>
      <c r="J224" s="711">
        <f>Bilans_E_AMS_Kyoto_run3_MTE!N485</f>
        <v>0</v>
      </c>
      <c r="K224" s="711">
        <f>Bilans_E_AMS_Kyoto_run3_MTE!O485</f>
        <v>0</v>
      </c>
      <c r="L224" s="711">
        <f>Bilans_E_AMS_Kyoto_run3_MTE!P485</f>
        <v>0</v>
      </c>
      <c r="M224" s="711">
        <f>Bilans_E_AMS_Kyoto_run3_MTE!Q485</f>
        <v>0</v>
      </c>
      <c r="N224" s="711">
        <f>Bilans_E_AMS_Kyoto_run3_MTE!R485</f>
        <v>0</v>
      </c>
      <c r="O224" s="711">
        <f>Bilans_E_AMS_Kyoto_run3_MTE!S485</f>
        <v>0</v>
      </c>
      <c r="P224" s="711">
        <f>Bilans_E_AMS_Kyoto_run3_MTE!T485+Bilans_E_AMS_Kyoto_run3_MTE!U485</f>
        <v>0</v>
      </c>
      <c r="Q224" s="711">
        <f>Bilans_E_AMS_Kyoto_run3_MTE!V485</f>
        <v>0</v>
      </c>
      <c r="R224" s="711">
        <f>Bilans_E_AMS_Kyoto_run3_MTE!W485</f>
        <v>6.8640000000000008</v>
      </c>
      <c r="S224" s="711">
        <f>Bilans_E_AMS_Kyoto_run3_MTE!X485</f>
        <v>0</v>
      </c>
      <c r="T224" s="711">
        <f>Bilans_E_AMS_Kyoto_run3_MTE!Y485</f>
        <v>0</v>
      </c>
      <c r="U224" s="711">
        <f>Bilans_E_AMS_Kyoto_run3_MTE!Z485</f>
        <v>6.8640000000000008</v>
      </c>
      <c r="V224" s="701"/>
      <c r="W224" s="701"/>
    </row>
    <row r="225" spans="1:23" x14ac:dyDescent="0.25">
      <c r="A225" s="701" t="s">
        <v>513</v>
      </c>
      <c r="B225" s="701"/>
      <c r="C225" s="713" t="s">
        <v>83</v>
      </c>
      <c r="D225" s="714">
        <f>Bilans_E_AMS_Kyoto_run3_MTE!H486</f>
        <v>0.16342834472656248</v>
      </c>
      <c r="E225" s="714">
        <f>Bilans_E_AMS_Kyoto_run3_MTE!I486</f>
        <v>0</v>
      </c>
      <c r="F225" s="714">
        <f>Bilans_E_AMS_Kyoto_run3_MTE!J486</f>
        <v>67.885659917304892</v>
      </c>
      <c r="G225" s="714">
        <f>Bilans_E_AMS_Kyoto_run3_MTE!K486</f>
        <v>1.6</v>
      </c>
      <c r="H225" s="714">
        <f>Bilans_E_AMS_Kyoto_run3_MTE!L486</f>
        <v>70.621338495657199</v>
      </c>
      <c r="I225" s="714">
        <f>Bilans_E_AMS_Kyoto_run3_MTE!M486</f>
        <v>0.74338251048060211</v>
      </c>
      <c r="J225" s="714">
        <f>Bilans_E_AMS_Kyoto_run3_MTE!N486</f>
        <v>0</v>
      </c>
      <c r="K225" s="714">
        <f>Bilans_E_AMS_Kyoto_run3_MTE!O486</f>
        <v>0</v>
      </c>
      <c r="L225" s="714">
        <f>Bilans_E_AMS_Kyoto_run3_MTE!P486</f>
        <v>95.920402760355529</v>
      </c>
      <c r="M225" s="714">
        <f>Bilans_E_AMS_Kyoto_run3_MTE!Q486</f>
        <v>8.355944349353404</v>
      </c>
      <c r="N225" s="714">
        <f>Bilans_E_AMS_Kyoto_run3_MTE!R486</f>
        <v>40.256169945489773</v>
      </c>
      <c r="O225" s="714">
        <f>Bilans_E_AMS_Kyoto_run3_MTE!S486</f>
        <v>52.572639321214815</v>
      </c>
      <c r="P225" s="714">
        <f>Bilans_E_AMS_Kyoto_run3_MTE!T486+Bilans_E_AMS_Kyoto_run3_MTE!U486</f>
        <v>210.4038735678931</v>
      </c>
      <c r="Q225" s="714">
        <f>Bilans_E_AMS_Kyoto_run3_MTE!V486</f>
        <v>24.25321763037536</v>
      </c>
      <c r="R225" s="714">
        <f>Bilans_E_AMS_Kyoto_run3_MTE!W486</f>
        <v>549.53538119716018</v>
      </c>
      <c r="S225" s="714">
        <f>Bilans_E_AMS_Kyoto_run3_MTE!X486</f>
        <v>80.131319587438796</v>
      </c>
      <c r="T225" s="714">
        <f>Bilans_E_AMS_Kyoto_run3_MTE!Y486</f>
        <v>17.919209656247777</v>
      </c>
      <c r="U225" s="714">
        <f>Bilans_E_AMS_Kyoto_run3_MTE!Z486</f>
        <v>1220.361967283698</v>
      </c>
      <c r="V225" s="701"/>
      <c r="W225" s="701"/>
    </row>
    <row r="226" spans="1:23" x14ac:dyDescent="0.25">
      <c r="A226" s="701" t="s">
        <v>514</v>
      </c>
      <c r="B226" s="701"/>
      <c r="C226" s="710" t="s">
        <v>84</v>
      </c>
      <c r="D226" s="711">
        <f>Bilans_E_AMS_Kyoto_run3_MTE!H487</f>
        <v>0</v>
      </c>
      <c r="E226" s="711">
        <f>Bilans_E_AMS_Kyoto_run3_MTE!I487</f>
        <v>0</v>
      </c>
      <c r="F226" s="711">
        <f>Bilans_E_AMS_Kyoto_run3_MTE!J487</f>
        <v>98.630833151912839</v>
      </c>
      <c r="G226" s="711">
        <f>Bilans_E_AMS_Kyoto_run3_MTE!K487</f>
        <v>3.094705785318189</v>
      </c>
      <c r="H226" s="711">
        <f>Bilans_E_AMS_Kyoto_run3_MTE!L487</f>
        <v>10.821936682039073</v>
      </c>
      <c r="I226" s="711">
        <f>Bilans_E_AMS_Kyoto_run3_MTE!M487</f>
        <v>0</v>
      </c>
      <c r="J226" s="711">
        <f>Bilans_E_AMS_Kyoto_run3_MTE!N487</f>
        <v>0</v>
      </c>
      <c r="K226" s="711">
        <f>Bilans_E_AMS_Kyoto_run3_MTE!O487</f>
        <v>0</v>
      </c>
      <c r="L226" s="711">
        <f>Bilans_E_AMS_Kyoto_run3_MTE!P487</f>
        <v>0.52555901393570603</v>
      </c>
      <c r="M226" s="711">
        <f>Bilans_E_AMS_Kyoto_run3_MTE!Q487</f>
        <v>0</v>
      </c>
      <c r="N226" s="711">
        <f>Bilans_E_AMS_Kyoto_run3_MTE!R487</f>
        <v>4.7238090812444442</v>
      </c>
      <c r="O226" s="711">
        <f>Bilans_E_AMS_Kyoto_run3_MTE!S487</f>
        <v>0</v>
      </c>
      <c r="P226" s="711">
        <f>Bilans_E_AMS_Kyoto_run3_MTE!T487+Bilans_E_AMS_Kyoto_run3_MTE!U487</f>
        <v>0</v>
      </c>
      <c r="Q226" s="711">
        <f>Bilans_E_AMS_Kyoto_run3_MTE!V487</f>
        <v>0</v>
      </c>
      <c r="R226" s="711">
        <f>Bilans_E_AMS_Kyoto_run3_MTE!W487</f>
        <v>0</v>
      </c>
      <c r="S226" s="711">
        <f>Bilans_E_AMS_Kyoto_run3_MTE!X487</f>
        <v>0</v>
      </c>
      <c r="T226" s="711">
        <f>Bilans_E_AMS_Kyoto_run3_MTE!Y487</f>
        <v>3.3812053333570531</v>
      </c>
      <c r="U226" s="711">
        <f>Bilans_E_AMS_Kyoto_run3_MTE!Z487</f>
        <v>121.17804904780731</v>
      </c>
      <c r="V226" s="701"/>
      <c r="W226" s="701"/>
    </row>
    <row r="227" spans="1:23" x14ac:dyDescent="0.25">
      <c r="A227" s="701" t="s">
        <v>515</v>
      </c>
      <c r="B227" s="701"/>
      <c r="C227" s="713" t="s">
        <v>85</v>
      </c>
      <c r="D227" s="714">
        <f>Bilans_E_AMS_Kyoto_run3_MTE!H488</f>
        <v>0.16342834472656248</v>
      </c>
      <c r="E227" s="714">
        <f>Bilans_E_AMS_Kyoto_run3_MTE!I488</f>
        <v>0</v>
      </c>
      <c r="F227" s="714">
        <f>Bilans_E_AMS_Kyoto_run3_MTE!J488</f>
        <v>166.51649306921774</v>
      </c>
      <c r="G227" s="714">
        <f>Bilans_E_AMS_Kyoto_run3_MTE!K488</f>
        <v>4.6947057853181891</v>
      </c>
      <c r="H227" s="714">
        <f>Bilans_E_AMS_Kyoto_run3_MTE!L488</f>
        <v>81.443275177696279</v>
      </c>
      <c r="I227" s="714">
        <f>Bilans_E_AMS_Kyoto_run3_MTE!M488</f>
        <v>0.74338251048060211</v>
      </c>
      <c r="J227" s="714">
        <f>Bilans_E_AMS_Kyoto_run3_MTE!N488</f>
        <v>0</v>
      </c>
      <c r="K227" s="714">
        <f>Bilans_E_AMS_Kyoto_run3_MTE!O488</f>
        <v>0</v>
      </c>
      <c r="L227" s="714">
        <f>Bilans_E_AMS_Kyoto_run3_MTE!P488</f>
        <v>96.445961774291234</v>
      </c>
      <c r="M227" s="714">
        <f>Bilans_E_AMS_Kyoto_run3_MTE!Q488</f>
        <v>8.355944349353404</v>
      </c>
      <c r="N227" s="714">
        <f>Bilans_E_AMS_Kyoto_run3_MTE!R488</f>
        <v>44.97997902673422</v>
      </c>
      <c r="O227" s="714">
        <f>Bilans_E_AMS_Kyoto_run3_MTE!S488</f>
        <v>52.572639321214815</v>
      </c>
      <c r="P227" s="714">
        <f>Bilans_E_AMS_Kyoto_run3_MTE!T488+Bilans_E_AMS_Kyoto_run3_MTE!U488</f>
        <v>210.4038735678931</v>
      </c>
      <c r="Q227" s="714">
        <f>Bilans_E_AMS_Kyoto_run3_MTE!V488</f>
        <v>24.25321763037536</v>
      </c>
      <c r="R227" s="714">
        <f>Bilans_E_AMS_Kyoto_run3_MTE!W488</f>
        <v>549.53538119716018</v>
      </c>
      <c r="S227" s="714">
        <f>Bilans_E_AMS_Kyoto_run3_MTE!X488</f>
        <v>80.131319587438796</v>
      </c>
      <c r="T227" s="714">
        <f>Bilans_E_AMS_Kyoto_run3_MTE!Y488</f>
        <v>21.300414989604828</v>
      </c>
      <c r="U227" s="714">
        <f>Bilans_E_AMS_Kyoto_run3_MTE!Z488</f>
        <v>1341.5400163315053</v>
      </c>
      <c r="V227" s="701"/>
      <c r="W227" s="701"/>
    </row>
    <row r="228" spans="1:23" x14ac:dyDescent="0.25">
      <c r="A228" s="701"/>
      <c r="B228" s="701"/>
      <c r="C228" s="701"/>
      <c r="D228" s="701">
        <f>Bilans_E_AMS_Kyoto_run3_MTE!H489</f>
        <v>0</v>
      </c>
      <c r="E228" s="701">
        <f>Bilans_E_AMS_Kyoto_run3_MTE!I489</f>
        <v>0</v>
      </c>
      <c r="F228" s="701">
        <f>Bilans_E_AMS_Kyoto_run3_MTE!J489</f>
        <v>7.1054273576010019E-15</v>
      </c>
      <c r="G228" s="701">
        <f>Bilans_E_AMS_Kyoto_run3_MTE!K489</f>
        <v>0</v>
      </c>
      <c r="H228" s="701">
        <f>Bilans_E_AMS_Kyoto_run3_MTE!L489</f>
        <v>2.4547035224031788E-5</v>
      </c>
      <c r="I228" s="701">
        <f>Bilans_E_AMS_Kyoto_run3_MTE!M489</f>
        <v>-2.4547035192501454E-5</v>
      </c>
      <c r="J228" s="701">
        <f>Bilans_E_AMS_Kyoto_run3_MTE!N489</f>
        <v>0</v>
      </c>
      <c r="K228" s="701">
        <f>Bilans_E_AMS_Kyoto_run3_MTE!O489</f>
        <v>0</v>
      </c>
      <c r="L228" s="701">
        <f>Bilans_E_AMS_Kyoto_run3_MTE!P489</f>
        <v>0</v>
      </c>
      <c r="M228" s="701">
        <f>Bilans_E_AMS_Kyoto_run3_MTE!Q489</f>
        <v>0</v>
      </c>
      <c r="N228" s="701">
        <f>Bilans_E_AMS_Kyoto_run3_MTE!R489</f>
        <v>0</v>
      </c>
      <c r="O228" s="701">
        <f>Bilans_E_AMS_Kyoto_run3_MTE!S489</f>
        <v>0</v>
      </c>
      <c r="P228" s="701">
        <f>Bilans_E_AMS_Kyoto_run3_MTE!T489+Bilans_E_AMS_Kyoto_run3_MTE!U489</f>
        <v>0</v>
      </c>
      <c r="Q228" s="701">
        <f>Bilans_E_AMS_Kyoto_run3_MTE!V489</f>
        <v>0</v>
      </c>
      <c r="R228" s="701">
        <f>Bilans_E_AMS_Kyoto_run3_MTE!W489</f>
        <v>0</v>
      </c>
      <c r="S228" s="701">
        <f>Bilans_E_AMS_Kyoto_run3_MTE!X489</f>
        <v>-3.2509756167087289E-5</v>
      </c>
      <c r="T228" s="701">
        <f>Bilans_E_AMS_Kyoto_run3_MTE!Y489</f>
        <v>0</v>
      </c>
      <c r="U228" s="701">
        <f>Bilans_E_AMS_Kyoto_run3_MTE!Z489</f>
        <v>-3.2509756238141563E-5</v>
      </c>
      <c r="V228" s="701"/>
      <c r="W228" s="701"/>
    </row>
    <row r="229" spans="1:23" x14ac:dyDescent="0.25">
      <c r="A229" s="701"/>
      <c r="B229" s="701"/>
      <c r="C229" s="701"/>
      <c r="D229" s="701"/>
      <c r="E229" s="701"/>
      <c r="F229" s="701"/>
      <c r="G229" s="701"/>
      <c r="H229" s="701"/>
      <c r="I229" s="701"/>
      <c r="J229" s="701"/>
      <c r="K229" s="701"/>
      <c r="L229" s="701"/>
      <c r="M229" s="701"/>
      <c r="N229" s="701"/>
      <c r="O229" s="701"/>
      <c r="P229" s="701"/>
      <c r="Q229" s="701"/>
      <c r="R229" s="701"/>
      <c r="S229" s="701"/>
      <c r="T229" s="701"/>
      <c r="U229" s="701"/>
      <c r="V229" s="701"/>
      <c r="W229" s="701"/>
    </row>
    <row r="230" spans="1:23" x14ac:dyDescent="0.25">
      <c r="A230" s="707"/>
      <c r="B230" s="707"/>
      <c r="C230" s="708" t="s">
        <v>361</v>
      </c>
      <c r="D230" s="707"/>
      <c r="E230" s="707"/>
      <c r="F230" s="707"/>
      <c r="G230" s="707"/>
      <c r="H230" s="707"/>
      <c r="I230" s="707"/>
      <c r="J230" s="707"/>
      <c r="K230" s="707"/>
      <c r="L230" s="707"/>
      <c r="M230" s="707"/>
      <c r="N230" s="707"/>
      <c r="O230" s="707"/>
      <c r="P230" s="707"/>
      <c r="Q230" s="707"/>
      <c r="R230" s="707"/>
      <c r="S230" s="707"/>
      <c r="T230" s="707"/>
      <c r="U230" s="707"/>
      <c r="V230" s="707"/>
      <c r="W230" s="707"/>
    </row>
    <row r="231" spans="1:23" x14ac:dyDescent="0.25">
      <c r="A231" s="701"/>
      <c r="B231" s="701"/>
      <c r="C231" s="701"/>
      <c r="D231" s="701"/>
      <c r="E231" s="701"/>
      <c r="F231" s="701"/>
      <c r="G231" s="701"/>
      <c r="H231" s="701"/>
      <c r="I231" s="701"/>
      <c r="J231" s="701"/>
      <c r="K231" s="701"/>
      <c r="L231" s="701"/>
      <c r="M231" s="701"/>
      <c r="N231" s="701"/>
      <c r="O231" s="701"/>
      <c r="P231" s="701"/>
      <c r="Q231" s="701"/>
      <c r="R231" s="701"/>
      <c r="S231" s="701"/>
      <c r="T231" s="701"/>
      <c r="U231" s="701"/>
      <c r="V231" s="701"/>
      <c r="W231" s="701"/>
    </row>
    <row r="232" spans="1:23" x14ac:dyDescent="0.25">
      <c r="A232" s="701"/>
      <c r="B232" s="701"/>
      <c r="C232" s="780" t="s">
        <v>128</v>
      </c>
      <c r="D232" s="775" t="s">
        <v>42</v>
      </c>
      <c r="E232" s="775" t="s">
        <v>52</v>
      </c>
      <c r="F232" s="775" t="s">
        <v>53</v>
      </c>
      <c r="G232" s="775" t="s">
        <v>482</v>
      </c>
      <c r="H232" s="775" t="s">
        <v>32</v>
      </c>
      <c r="I232" s="775" t="s">
        <v>483</v>
      </c>
      <c r="J232" s="775" t="s">
        <v>20</v>
      </c>
      <c r="K232" s="775" t="s">
        <v>55</v>
      </c>
      <c r="L232" s="777" t="s">
        <v>56</v>
      </c>
      <c r="M232" s="778"/>
      <c r="N232" s="778"/>
      <c r="O232" s="778"/>
      <c r="P232" s="778"/>
      <c r="Q232" s="779"/>
      <c r="R232" s="775" t="s">
        <v>57</v>
      </c>
      <c r="S232" s="775" t="s">
        <v>58</v>
      </c>
      <c r="T232" s="775" t="s">
        <v>31</v>
      </c>
      <c r="U232" s="775" t="s">
        <v>10</v>
      </c>
      <c r="V232" s="701"/>
      <c r="W232" s="701"/>
    </row>
    <row r="233" spans="1:23" ht="67.5" x14ac:dyDescent="0.25">
      <c r="A233" s="701" t="s">
        <v>486</v>
      </c>
      <c r="B233" s="701"/>
      <c r="C233" s="781"/>
      <c r="D233" s="776"/>
      <c r="E233" s="776"/>
      <c r="F233" s="776"/>
      <c r="G233" s="776"/>
      <c r="H233" s="776"/>
      <c r="I233" s="776"/>
      <c r="J233" s="776"/>
      <c r="K233" s="776"/>
      <c r="L233" s="709" t="s">
        <v>335</v>
      </c>
      <c r="M233" s="709" t="s">
        <v>40</v>
      </c>
      <c r="N233" s="709" t="s">
        <v>343</v>
      </c>
      <c r="O233" s="709" t="s">
        <v>344</v>
      </c>
      <c r="P233" s="719" t="s">
        <v>610</v>
      </c>
      <c r="Q233" s="709" t="s">
        <v>346</v>
      </c>
      <c r="R233" s="776"/>
      <c r="S233" s="776"/>
      <c r="T233" s="776"/>
      <c r="U233" s="776"/>
      <c r="V233" s="701"/>
      <c r="W233" s="701"/>
    </row>
    <row r="234" spans="1:23" x14ac:dyDescent="0.25">
      <c r="A234" s="701" t="s">
        <v>487</v>
      </c>
      <c r="B234" s="701"/>
      <c r="C234" s="710" t="s">
        <v>59</v>
      </c>
      <c r="D234" s="711">
        <f>Bilans_E_AMS_Kyoto_run3_MTE!H495</f>
        <v>0</v>
      </c>
      <c r="E234" s="711">
        <f>Bilans_E_AMS_Kyoto_run3_MTE!I495</f>
        <v>0</v>
      </c>
      <c r="F234" s="711">
        <f>Bilans_E_AMS_Kyoto_run3_MTE!J495</f>
        <v>0</v>
      </c>
      <c r="G234" s="711">
        <f>Bilans_E_AMS_Kyoto_run3_MTE!K495</f>
        <v>0</v>
      </c>
      <c r="H234" s="711">
        <f>Bilans_E_AMS_Kyoto_run3_MTE!L495</f>
        <v>0</v>
      </c>
      <c r="I234" s="711">
        <f>Bilans_E_AMS_Kyoto_run3_MTE!M495</f>
        <v>0</v>
      </c>
      <c r="J234" s="711">
        <f>Bilans_E_AMS_Kyoto_run3_MTE!N495</f>
        <v>1021.1177956869142</v>
      </c>
      <c r="K234" s="711">
        <f>Bilans_E_AMS_Kyoto_run3_MTE!O495</f>
        <v>462.06687945929309</v>
      </c>
      <c r="L234" s="711">
        <f>Bilans_E_AMS_Kyoto_run3_MTE!P495</f>
        <v>380.853201250621</v>
      </c>
      <c r="M234" s="711">
        <f>Bilans_E_AMS_Kyoto_run3_MTE!Q495</f>
        <v>45.488439305040814</v>
      </c>
      <c r="N234" s="711">
        <f>Bilans_E_AMS_Kyoto_run3_MTE!R495</f>
        <v>0</v>
      </c>
      <c r="O234" s="711">
        <f>Bilans_E_AMS_Kyoto_run3_MTE!S495</f>
        <v>0</v>
      </c>
      <c r="P234" s="711">
        <f>Bilans_E_AMS_Kyoto_run3_MTE!T495+Bilans_E_AMS_Kyoto_run3_MTE!U495</f>
        <v>241.4786584909825</v>
      </c>
      <c r="Q234" s="711">
        <f>Bilans_E_AMS_Kyoto_run3_MTE!V495</f>
        <v>44.619368166332919</v>
      </c>
      <c r="R234" s="711">
        <f>Bilans_E_AMS_Kyoto_run3_MTE!W495</f>
        <v>0</v>
      </c>
      <c r="S234" s="711">
        <f>Bilans_E_AMS_Kyoto_run3_MTE!X495</f>
        <v>0</v>
      </c>
      <c r="T234" s="711">
        <f>Bilans_E_AMS_Kyoto_run3_MTE!Y495</f>
        <v>0</v>
      </c>
      <c r="U234" s="711">
        <f>Bilans_E_AMS_Kyoto_run3_MTE!Z495</f>
        <v>2195.6243423591845</v>
      </c>
      <c r="V234" s="701"/>
      <c r="W234" s="701"/>
    </row>
    <row r="235" spans="1:23" x14ac:dyDescent="0.25">
      <c r="A235" s="701" t="s">
        <v>488</v>
      </c>
      <c r="B235" s="701"/>
      <c r="C235" s="710" t="s">
        <v>60</v>
      </c>
      <c r="D235" s="712">
        <f>Bilans_E_AMS_Kyoto_run3_MTE!H496</f>
        <v>7.2040588378906256E-2</v>
      </c>
      <c r="E235" s="712">
        <f>Bilans_E_AMS_Kyoto_run3_MTE!I496</f>
        <v>143.57372262348443</v>
      </c>
      <c r="F235" s="712">
        <f>Bilans_E_AMS_Kyoto_run3_MTE!J496</f>
        <v>24.964838256255007</v>
      </c>
      <c r="G235" s="712">
        <f>Bilans_E_AMS_Kyoto_run3_MTE!K496</f>
        <v>8.9901848637372375</v>
      </c>
      <c r="H235" s="712">
        <f>Bilans_E_AMS_Kyoto_run3_MTE!L496</f>
        <v>83.302522482755748</v>
      </c>
      <c r="I235" s="712">
        <f>Bilans_E_AMS_Kyoto_run3_MTE!M496</f>
        <v>0</v>
      </c>
      <c r="J235" s="712">
        <f>Bilans_E_AMS_Kyoto_run3_MTE!N496</f>
        <v>0</v>
      </c>
      <c r="K235" s="712">
        <f>Bilans_E_AMS_Kyoto_run3_MTE!O496</f>
        <v>0</v>
      </c>
      <c r="L235" s="712">
        <f>Bilans_E_AMS_Kyoto_run3_MTE!P496</f>
        <v>8.1136608848584615</v>
      </c>
      <c r="M235" s="712">
        <f>Bilans_E_AMS_Kyoto_run3_MTE!Q496</f>
        <v>0</v>
      </c>
      <c r="N235" s="712">
        <f>Bilans_E_AMS_Kyoto_run3_MTE!R496</f>
        <v>3.6899916266640176</v>
      </c>
      <c r="O235" s="712">
        <f>Bilans_E_AMS_Kyoto_run3_MTE!S496</f>
        <v>0</v>
      </c>
      <c r="P235" s="712">
        <f>Bilans_E_AMS_Kyoto_run3_MTE!T496+Bilans_E_AMS_Kyoto_run3_MTE!U496</f>
        <v>0</v>
      </c>
      <c r="Q235" s="712">
        <f>Bilans_E_AMS_Kyoto_run3_MTE!V496</f>
        <v>0</v>
      </c>
      <c r="R235" s="712">
        <f>Bilans_E_AMS_Kyoto_run3_MTE!W496</f>
        <v>0</v>
      </c>
      <c r="S235" s="712">
        <f>Bilans_E_AMS_Kyoto_run3_MTE!X496</f>
        <v>0</v>
      </c>
      <c r="T235" s="712">
        <f>Bilans_E_AMS_Kyoto_run3_MTE!Y496</f>
        <v>0</v>
      </c>
      <c r="U235" s="712">
        <f>Bilans_E_AMS_Kyoto_run3_MTE!Z496</f>
        <v>272.70696132613381</v>
      </c>
      <c r="V235" s="701"/>
      <c r="W235" s="701"/>
    </row>
    <row r="236" spans="1:23" x14ac:dyDescent="0.25">
      <c r="A236" s="701" t="s">
        <v>489</v>
      </c>
      <c r="B236" s="701"/>
      <c r="C236" s="710" t="s">
        <v>61</v>
      </c>
      <c r="D236" s="712">
        <f>Bilans_E_AMS_Kyoto_run3_MTE!H497</f>
        <v>0</v>
      </c>
      <c r="E236" s="712">
        <f>Bilans_E_AMS_Kyoto_run3_MTE!I497</f>
        <v>0</v>
      </c>
      <c r="F236" s="712">
        <f>Bilans_E_AMS_Kyoto_run3_MTE!J497</f>
        <v>0</v>
      </c>
      <c r="G236" s="712">
        <f>Bilans_E_AMS_Kyoto_run3_MTE!K497</f>
        <v>0</v>
      </c>
      <c r="H236" s="712">
        <f>Bilans_E_AMS_Kyoto_run3_MTE!L497</f>
        <v>0</v>
      </c>
      <c r="I236" s="712">
        <f>Bilans_E_AMS_Kyoto_run3_MTE!M497</f>
        <v>0</v>
      </c>
      <c r="J236" s="712">
        <f>Bilans_E_AMS_Kyoto_run3_MTE!N497</f>
        <v>0</v>
      </c>
      <c r="K236" s="712">
        <f>Bilans_E_AMS_Kyoto_run3_MTE!O497</f>
        <v>0</v>
      </c>
      <c r="L236" s="712">
        <f>Bilans_E_AMS_Kyoto_run3_MTE!P497</f>
        <v>0</v>
      </c>
      <c r="M236" s="712">
        <f>Bilans_E_AMS_Kyoto_run3_MTE!Q497</f>
        <v>0</v>
      </c>
      <c r="N236" s="712">
        <f>Bilans_E_AMS_Kyoto_run3_MTE!R497</f>
        <v>0</v>
      </c>
      <c r="O236" s="712">
        <f>Bilans_E_AMS_Kyoto_run3_MTE!S497</f>
        <v>-20.664907066692336</v>
      </c>
      <c r="P236" s="712">
        <f>Bilans_E_AMS_Kyoto_run3_MTE!T497+Bilans_E_AMS_Kyoto_run3_MTE!U497</f>
        <v>0</v>
      </c>
      <c r="Q236" s="712">
        <f>Bilans_E_AMS_Kyoto_run3_MTE!V497</f>
        <v>0</v>
      </c>
      <c r="R236" s="712">
        <f>Bilans_E_AMS_Kyoto_run3_MTE!W497</f>
        <v>-64.652591069811592</v>
      </c>
      <c r="S236" s="712">
        <f>Bilans_E_AMS_Kyoto_run3_MTE!X497</f>
        <v>0</v>
      </c>
      <c r="T236" s="712">
        <f>Bilans_E_AMS_Kyoto_run3_MTE!Y497</f>
        <v>0</v>
      </c>
      <c r="U236" s="712">
        <f>Bilans_E_AMS_Kyoto_run3_MTE!Z497</f>
        <v>-85.317498136503929</v>
      </c>
      <c r="V236" s="701"/>
      <c r="W236" s="701"/>
    </row>
    <row r="237" spans="1:23" x14ac:dyDescent="0.25">
      <c r="A237" s="701" t="s">
        <v>490</v>
      </c>
      <c r="B237" s="701"/>
      <c r="C237" s="710" t="s">
        <v>62</v>
      </c>
      <c r="D237" s="711">
        <f>Bilans_E_AMS_Kyoto_run3_MTE!H498</f>
        <v>0</v>
      </c>
      <c r="E237" s="711">
        <f>Bilans_E_AMS_Kyoto_run3_MTE!I498</f>
        <v>0</v>
      </c>
      <c r="F237" s="711">
        <f>Bilans_E_AMS_Kyoto_run3_MTE!J498</f>
        <v>-2.6430279181443233</v>
      </c>
      <c r="G237" s="711">
        <f>Bilans_E_AMS_Kyoto_run3_MTE!K498</f>
        <v>-2.1194862177251581</v>
      </c>
      <c r="H237" s="711">
        <f>Bilans_E_AMS_Kyoto_run3_MTE!L498</f>
        <v>0</v>
      </c>
      <c r="I237" s="711">
        <f>Bilans_E_AMS_Kyoto_run3_MTE!M498</f>
        <v>-2.4085070655967704</v>
      </c>
      <c r="J237" s="711">
        <f>Bilans_E_AMS_Kyoto_run3_MTE!N498</f>
        <v>0</v>
      </c>
      <c r="K237" s="711">
        <f>Bilans_E_AMS_Kyoto_run3_MTE!O498</f>
        <v>0</v>
      </c>
      <c r="L237" s="711">
        <f>Bilans_E_AMS_Kyoto_run3_MTE!P498</f>
        <v>0</v>
      </c>
      <c r="M237" s="711">
        <f>Bilans_E_AMS_Kyoto_run3_MTE!Q498</f>
        <v>0</v>
      </c>
      <c r="N237" s="711">
        <f>Bilans_E_AMS_Kyoto_run3_MTE!R498</f>
        <v>0</v>
      </c>
      <c r="O237" s="711">
        <f>Bilans_E_AMS_Kyoto_run3_MTE!S498</f>
        <v>-1.4769404520417975</v>
      </c>
      <c r="P237" s="711">
        <f>Bilans_E_AMS_Kyoto_run3_MTE!T498+Bilans_E_AMS_Kyoto_run3_MTE!U498</f>
        <v>0</v>
      </c>
      <c r="Q237" s="711">
        <f>Bilans_E_AMS_Kyoto_run3_MTE!V498</f>
        <v>0</v>
      </c>
      <c r="R237" s="711">
        <f>Bilans_E_AMS_Kyoto_run3_MTE!W498</f>
        <v>0</v>
      </c>
      <c r="S237" s="711">
        <f>Bilans_E_AMS_Kyoto_run3_MTE!X498</f>
        <v>0</v>
      </c>
      <c r="T237" s="711">
        <f>Bilans_E_AMS_Kyoto_run3_MTE!Y498</f>
        <v>-0.99606248425254151</v>
      </c>
      <c r="U237" s="711">
        <f>Bilans_E_AMS_Kyoto_run3_MTE!Z498</f>
        <v>-9.6440241377605904</v>
      </c>
      <c r="V237" s="701"/>
      <c r="W237" s="701"/>
    </row>
    <row r="238" spans="1:23" x14ac:dyDescent="0.25">
      <c r="A238" s="701" t="s">
        <v>491</v>
      </c>
      <c r="B238" s="701"/>
      <c r="C238" s="710" t="s">
        <v>63</v>
      </c>
      <c r="D238" s="711">
        <f>Bilans_E_AMS_Kyoto_run3_MTE!H499</f>
        <v>0</v>
      </c>
      <c r="E238" s="711">
        <f>Bilans_E_AMS_Kyoto_run3_MTE!I499</f>
        <v>0</v>
      </c>
      <c r="F238" s="711">
        <f>Bilans_E_AMS_Kyoto_run3_MTE!J499</f>
        <v>-26.999999999999996</v>
      </c>
      <c r="G238" s="711">
        <f>Bilans_E_AMS_Kyoto_run3_MTE!K499</f>
        <v>-16</v>
      </c>
      <c r="H238" s="711">
        <f>Bilans_E_AMS_Kyoto_run3_MTE!L499</f>
        <v>0</v>
      </c>
      <c r="I238" s="711">
        <f>Bilans_E_AMS_Kyoto_run3_MTE!M499</f>
        <v>0</v>
      </c>
      <c r="J238" s="711">
        <f>Bilans_E_AMS_Kyoto_run3_MTE!N499</f>
        <v>0</v>
      </c>
      <c r="K238" s="711">
        <f>Bilans_E_AMS_Kyoto_run3_MTE!O499</f>
        <v>0</v>
      </c>
      <c r="L238" s="711">
        <f>Bilans_E_AMS_Kyoto_run3_MTE!P499</f>
        <v>0</v>
      </c>
      <c r="M238" s="711">
        <f>Bilans_E_AMS_Kyoto_run3_MTE!Q499</f>
        <v>0</v>
      </c>
      <c r="N238" s="711">
        <f>Bilans_E_AMS_Kyoto_run3_MTE!R499</f>
        <v>-16</v>
      </c>
      <c r="O238" s="711">
        <f>Bilans_E_AMS_Kyoto_run3_MTE!S499</f>
        <v>0</v>
      </c>
      <c r="P238" s="711">
        <f>Bilans_E_AMS_Kyoto_run3_MTE!T499+Bilans_E_AMS_Kyoto_run3_MTE!U499</f>
        <v>0</v>
      </c>
      <c r="Q238" s="711">
        <f>Bilans_E_AMS_Kyoto_run3_MTE!V499</f>
        <v>0</v>
      </c>
      <c r="R238" s="711">
        <f>Bilans_E_AMS_Kyoto_run3_MTE!W499</f>
        <v>0</v>
      </c>
      <c r="S238" s="711">
        <f>Bilans_E_AMS_Kyoto_run3_MTE!X499</f>
        <v>0</v>
      </c>
      <c r="T238" s="711">
        <f>Bilans_E_AMS_Kyoto_run3_MTE!Y499</f>
        <v>-5</v>
      </c>
      <c r="U238" s="711">
        <f>Bilans_E_AMS_Kyoto_run3_MTE!Z499</f>
        <v>-64</v>
      </c>
      <c r="V238" s="701"/>
      <c r="W238" s="701"/>
    </row>
    <row r="239" spans="1:23" x14ac:dyDescent="0.25">
      <c r="A239" s="701" t="s">
        <v>492</v>
      </c>
      <c r="B239" s="701"/>
      <c r="C239" s="710" t="s">
        <v>64</v>
      </c>
      <c r="D239" s="712">
        <f>Bilans_E_AMS_Kyoto_run3_MTE!H500</f>
        <v>0</v>
      </c>
      <c r="E239" s="712">
        <f>Bilans_E_AMS_Kyoto_run3_MTE!I500</f>
        <v>0</v>
      </c>
      <c r="F239" s="712">
        <f>Bilans_E_AMS_Kyoto_run3_MTE!J500</f>
        <v>0</v>
      </c>
      <c r="G239" s="712">
        <f>Bilans_E_AMS_Kyoto_run3_MTE!K500</f>
        <v>0</v>
      </c>
      <c r="H239" s="712">
        <f>Bilans_E_AMS_Kyoto_run3_MTE!L500</f>
        <v>0</v>
      </c>
      <c r="I239" s="712">
        <f>Bilans_E_AMS_Kyoto_run3_MTE!M500</f>
        <v>0</v>
      </c>
      <c r="J239" s="712">
        <f>Bilans_E_AMS_Kyoto_run3_MTE!N500</f>
        <v>0</v>
      </c>
      <c r="K239" s="712">
        <f>Bilans_E_AMS_Kyoto_run3_MTE!O500</f>
        <v>0</v>
      </c>
      <c r="L239" s="712">
        <f>Bilans_E_AMS_Kyoto_run3_MTE!P500</f>
        <v>0</v>
      </c>
      <c r="M239" s="712">
        <f>Bilans_E_AMS_Kyoto_run3_MTE!Q500</f>
        <v>0</v>
      </c>
      <c r="N239" s="712">
        <f>Bilans_E_AMS_Kyoto_run3_MTE!R500</f>
        <v>0</v>
      </c>
      <c r="O239" s="712">
        <f>Bilans_E_AMS_Kyoto_run3_MTE!S500</f>
        <v>0</v>
      </c>
      <c r="P239" s="712">
        <f>Bilans_E_AMS_Kyoto_run3_MTE!T500+Bilans_E_AMS_Kyoto_run3_MTE!U500</f>
        <v>0</v>
      </c>
      <c r="Q239" s="712">
        <f>Bilans_E_AMS_Kyoto_run3_MTE!V500</f>
        <v>0</v>
      </c>
      <c r="R239" s="712">
        <f>Bilans_E_AMS_Kyoto_run3_MTE!W500</f>
        <v>0</v>
      </c>
      <c r="S239" s="712">
        <f>Bilans_E_AMS_Kyoto_run3_MTE!X500</f>
        <v>0</v>
      </c>
      <c r="T239" s="712">
        <f>Bilans_E_AMS_Kyoto_run3_MTE!Y500</f>
        <v>0</v>
      </c>
      <c r="U239" s="712">
        <f>Bilans_E_AMS_Kyoto_run3_MTE!Z500</f>
        <v>0</v>
      </c>
      <c r="V239" s="701"/>
      <c r="W239" s="701"/>
    </row>
    <row r="240" spans="1:23" x14ac:dyDescent="0.25">
      <c r="A240" s="701" t="s">
        <v>493</v>
      </c>
      <c r="B240" s="701"/>
      <c r="C240" s="713" t="s">
        <v>65</v>
      </c>
      <c r="D240" s="714">
        <f>Bilans_E_AMS_Kyoto_run3_MTE!H501</f>
        <v>7.2040588378906256E-2</v>
      </c>
      <c r="E240" s="714">
        <f>Bilans_E_AMS_Kyoto_run3_MTE!I501</f>
        <v>143.57372262348443</v>
      </c>
      <c r="F240" s="714">
        <f>Bilans_E_AMS_Kyoto_run3_MTE!J501</f>
        <v>-4.6781896618893128</v>
      </c>
      <c r="G240" s="714">
        <f>Bilans_E_AMS_Kyoto_run3_MTE!K501</f>
        <v>-9.1293013539879198</v>
      </c>
      <c r="H240" s="714">
        <f>Bilans_E_AMS_Kyoto_run3_MTE!L501</f>
        <v>83.302522482755748</v>
      </c>
      <c r="I240" s="714">
        <f>Bilans_E_AMS_Kyoto_run3_MTE!M501</f>
        <v>-2.4085070655967704</v>
      </c>
      <c r="J240" s="714">
        <f>Bilans_E_AMS_Kyoto_run3_MTE!N501</f>
        <v>1021.1177956869142</v>
      </c>
      <c r="K240" s="714">
        <f>Bilans_E_AMS_Kyoto_run3_MTE!O501</f>
        <v>462.06687945929309</v>
      </c>
      <c r="L240" s="714">
        <f>Bilans_E_AMS_Kyoto_run3_MTE!P501</f>
        <v>388.96686213547946</v>
      </c>
      <c r="M240" s="714">
        <f>Bilans_E_AMS_Kyoto_run3_MTE!Q501</f>
        <v>45.488439305040814</v>
      </c>
      <c r="N240" s="714">
        <f>Bilans_E_AMS_Kyoto_run3_MTE!R501</f>
        <v>-12.310008373335982</v>
      </c>
      <c r="O240" s="714">
        <f>Bilans_E_AMS_Kyoto_run3_MTE!S501</f>
        <v>-22.141847518734135</v>
      </c>
      <c r="P240" s="714">
        <f>Bilans_E_AMS_Kyoto_run3_MTE!T501+Bilans_E_AMS_Kyoto_run3_MTE!U501</f>
        <v>241.4786584909825</v>
      </c>
      <c r="Q240" s="714">
        <f>Bilans_E_AMS_Kyoto_run3_MTE!V501</f>
        <v>44.619368166332919</v>
      </c>
      <c r="R240" s="714">
        <f>Bilans_E_AMS_Kyoto_run3_MTE!W501</f>
        <v>-64.652591069811592</v>
      </c>
      <c r="S240" s="714">
        <f>Bilans_E_AMS_Kyoto_run3_MTE!X501</f>
        <v>0</v>
      </c>
      <c r="T240" s="714">
        <f>Bilans_E_AMS_Kyoto_run3_MTE!Y501</f>
        <v>-5.9960624842525414</v>
      </c>
      <c r="U240" s="714">
        <f>Bilans_E_AMS_Kyoto_run3_MTE!Z501</f>
        <v>2309.3697814110537</v>
      </c>
      <c r="V240" s="701"/>
      <c r="W240" s="701"/>
    </row>
    <row r="241" spans="1:23" x14ac:dyDescent="0.25">
      <c r="A241" s="701"/>
      <c r="B241" s="701"/>
      <c r="C241" s="715"/>
      <c r="D241" s="716"/>
      <c r="E241" s="716"/>
      <c r="F241" s="716"/>
      <c r="G241" s="716"/>
      <c r="H241" s="716"/>
      <c r="I241" s="716"/>
      <c r="J241" s="716"/>
      <c r="K241" s="716"/>
      <c r="L241" s="716"/>
      <c r="M241" s="716"/>
      <c r="N241" s="716"/>
      <c r="O241" s="716"/>
      <c r="P241" s="716">
        <f>Bilans_E_AMS_Kyoto_run3_MTE!T502+Bilans_E_AMS_Kyoto_run3_MTE!U502</f>
        <v>0</v>
      </c>
      <c r="Q241" s="716"/>
      <c r="R241" s="716"/>
      <c r="S241" s="716"/>
      <c r="T241" s="716"/>
      <c r="U241" s="716"/>
      <c r="V241" s="701"/>
      <c r="W241" s="701"/>
    </row>
    <row r="242" spans="1:23" x14ac:dyDescent="0.25">
      <c r="A242" s="701" t="s">
        <v>494</v>
      </c>
      <c r="B242" s="701"/>
      <c r="C242" s="717" t="s">
        <v>67</v>
      </c>
      <c r="D242" s="711">
        <f>Bilans_E_AMS_Kyoto_run3_MTE!H503</f>
        <v>0</v>
      </c>
      <c r="E242" s="711">
        <f>Bilans_E_AMS_Kyoto_run3_MTE!I503</f>
        <v>0</v>
      </c>
      <c r="F242" s="711">
        <f>Bilans_E_AMS_Kyoto_run3_MTE!J503</f>
        <v>0</v>
      </c>
      <c r="G242" s="711">
        <f>Bilans_E_AMS_Kyoto_run3_MTE!K503</f>
        <v>0</v>
      </c>
      <c r="H242" s="711">
        <f>Bilans_E_AMS_Kyoto_run3_MTE!L503</f>
        <v>0</v>
      </c>
      <c r="I242" s="711">
        <f>Bilans_E_AMS_Kyoto_run3_MTE!M503</f>
        <v>0</v>
      </c>
      <c r="J242" s="711">
        <f>Bilans_E_AMS_Kyoto_run3_MTE!N503</f>
        <v>0</v>
      </c>
      <c r="K242" s="711">
        <f>Bilans_E_AMS_Kyoto_run3_MTE!O503</f>
        <v>0</v>
      </c>
      <c r="L242" s="711">
        <f>Bilans_E_AMS_Kyoto_run3_MTE!P503</f>
        <v>0</v>
      </c>
      <c r="M242" s="711">
        <f>Bilans_E_AMS_Kyoto_run3_MTE!Q503</f>
        <v>0</v>
      </c>
      <c r="N242" s="711">
        <f>Bilans_E_AMS_Kyoto_run3_MTE!R503</f>
        <v>0</v>
      </c>
      <c r="O242" s="711">
        <f>Bilans_E_AMS_Kyoto_run3_MTE!S503</f>
        <v>0</v>
      </c>
      <c r="P242" s="711">
        <f>Bilans_E_AMS_Kyoto_run3_MTE!T503+Bilans_E_AMS_Kyoto_run3_MTE!U503</f>
        <v>0</v>
      </c>
      <c r="Q242" s="711">
        <f>Bilans_E_AMS_Kyoto_run3_MTE!V503</f>
        <v>0</v>
      </c>
      <c r="R242" s="711">
        <f>Bilans_E_AMS_Kyoto_run3_MTE!W503</f>
        <v>0</v>
      </c>
      <c r="S242" s="711">
        <f>Bilans_E_AMS_Kyoto_run3_MTE!X503</f>
        <v>0</v>
      </c>
      <c r="T242" s="711">
        <f>Bilans_E_AMS_Kyoto_run3_MTE!Y503</f>
        <v>0</v>
      </c>
      <c r="U242" s="711">
        <f>Bilans_E_AMS_Kyoto_run3_MTE!Z503</f>
        <v>0</v>
      </c>
      <c r="V242" s="701"/>
      <c r="W242" s="701"/>
    </row>
    <row r="243" spans="1:23" x14ac:dyDescent="0.25">
      <c r="A243" s="701" t="s">
        <v>495</v>
      </c>
      <c r="B243" s="701"/>
      <c r="C243" s="717" t="s">
        <v>347</v>
      </c>
      <c r="D243" s="711">
        <f>Bilans_E_AMS_Kyoto_run3_MTE!H504</f>
        <v>0</v>
      </c>
      <c r="E243" s="711">
        <f>Bilans_E_AMS_Kyoto_run3_MTE!I504</f>
        <v>0</v>
      </c>
      <c r="F243" s="711">
        <f>Bilans_E_AMS_Kyoto_run3_MTE!J504</f>
        <v>0</v>
      </c>
      <c r="G243" s="711">
        <f>Bilans_E_AMS_Kyoto_run3_MTE!K504</f>
        <v>0</v>
      </c>
      <c r="H243" s="711">
        <f>Bilans_E_AMS_Kyoto_run3_MTE!L504</f>
        <v>2.2309947234042489E-3</v>
      </c>
      <c r="I243" s="711">
        <f>Bilans_E_AMS_Kyoto_run3_MTE!M504</f>
        <v>0</v>
      </c>
      <c r="J243" s="711">
        <f>Bilans_E_AMS_Kyoto_run3_MTE!N504</f>
        <v>1014.6070909090909</v>
      </c>
      <c r="K243" s="711">
        <f>Bilans_E_AMS_Kyoto_run3_MTE!O504</f>
        <v>462.06687945929309</v>
      </c>
      <c r="L243" s="711">
        <f>Bilans_E_AMS_Kyoto_run3_MTE!P504</f>
        <v>17.968425297338086</v>
      </c>
      <c r="M243" s="711">
        <f>Bilans_E_AMS_Kyoto_run3_MTE!Q504</f>
        <v>5.3124785537967538</v>
      </c>
      <c r="N243" s="711">
        <f>Bilans_E_AMS_Kyoto_run3_MTE!R504</f>
        <v>6.3451610040287907</v>
      </c>
      <c r="O243" s="711">
        <f>Bilans_E_AMS_Kyoto_run3_MTE!S504</f>
        <v>0.11597760068741178</v>
      </c>
      <c r="P243" s="711">
        <f>Bilans_E_AMS_Kyoto_run3_MTE!T504+Bilans_E_AMS_Kyoto_run3_MTE!U504</f>
        <v>0</v>
      </c>
      <c r="Q243" s="711">
        <f>Bilans_E_AMS_Kyoto_run3_MTE!V504</f>
        <v>6.4766550958451852</v>
      </c>
      <c r="R243" s="711">
        <f>Bilans_E_AMS_Kyoto_run3_MTE!W504</f>
        <v>-813.99806516168439</v>
      </c>
      <c r="S243" s="711">
        <f>Bilans_E_AMS_Kyoto_run3_MTE!X504</f>
        <v>0</v>
      </c>
      <c r="T243" s="711">
        <f>Bilans_E_AMS_Kyoto_run3_MTE!Y504</f>
        <v>0</v>
      </c>
      <c r="U243" s="711">
        <f>Bilans_E_AMS_Kyoto_run3_MTE!Z504</f>
        <v>698.89683375311927</v>
      </c>
      <c r="V243" s="701"/>
      <c r="W243" s="701"/>
    </row>
    <row r="244" spans="1:23" x14ac:dyDescent="0.25">
      <c r="A244" s="701" t="s">
        <v>496</v>
      </c>
      <c r="B244" s="701"/>
      <c r="C244" s="717" t="s">
        <v>348</v>
      </c>
      <c r="D244" s="711">
        <f>Bilans_E_AMS_Kyoto_run3_MTE!H505</f>
        <v>0</v>
      </c>
      <c r="E244" s="711">
        <f>Bilans_E_AMS_Kyoto_run3_MTE!I505</f>
        <v>0</v>
      </c>
      <c r="F244" s="711">
        <f>Bilans_E_AMS_Kyoto_run3_MTE!J505</f>
        <v>0</v>
      </c>
      <c r="G244" s="711">
        <f>Bilans_E_AMS_Kyoto_run3_MTE!K505</f>
        <v>0</v>
      </c>
      <c r="H244" s="711">
        <f>Bilans_E_AMS_Kyoto_run3_MTE!L505</f>
        <v>10.095185583157674</v>
      </c>
      <c r="I244" s="711">
        <f>Bilans_E_AMS_Kyoto_run3_MTE!M505</f>
        <v>0.18354882878468498</v>
      </c>
      <c r="J244" s="711">
        <f>Bilans_E_AMS_Kyoto_run3_MTE!N505</f>
        <v>6.5107047778232934</v>
      </c>
      <c r="K244" s="711">
        <f>Bilans_E_AMS_Kyoto_run3_MTE!O505</f>
        <v>0</v>
      </c>
      <c r="L244" s="711">
        <f>Bilans_E_AMS_Kyoto_run3_MTE!P505</f>
        <v>23.787457206103085</v>
      </c>
      <c r="M244" s="711">
        <f>Bilans_E_AMS_Kyoto_run3_MTE!Q505</f>
        <v>12.007971884882547</v>
      </c>
      <c r="N244" s="711">
        <f>Bilans_E_AMS_Kyoto_run3_MTE!R505</f>
        <v>0</v>
      </c>
      <c r="O244" s="711">
        <f>Bilans_E_AMS_Kyoto_run3_MTE!S505</f>
        <v>8.0912599085817618</v>
      </c>
      <c r="P244" s="711">
        <f>Bilans_E_AMS_Kyoto_run3_MTE!T505+Bilans_E_AMS_Kyoto_run3_MTE!U505</f>
        <v>19.703135322463453</v>
      </c>
      <c r="Q244" s="711">
        <f>Bilans_E_AMS_Kyoto_run3_MTE!V505</f>
        <v>12.221648755322821</v>
      </c>
      <c r="R244" s="711">
        <f>Bilans_E_AMS_Kyoto_run3_MTE!W505</f>
        <v>0</v>
      </c>
      <c r="S244" s="711">
        <f>Bilans_E_AMS_Kyoto_run3_MTE!X505</f>
        <v>-86.369990218724851</v>
      </c>
      <c r="T244" s="711">
        <f>Bilans_E_AMS_Kyoto_run3_MTE!Y505</f>
        <v>0</v>
      </c>
      <c r="U244" s="711">
        <f>Bilans_E_AMS_Kyoto_run3_MTE!Z505</f>
        <v>6.2309220483944614</v>
      </c>
      <c r="V244" s="701"/>
      <c r="W244" s="701"/>
    </row>
    <row r="245" spans="1:23" x14ac:dyDescent="0.25">
      <c r="A245" s="701" t="s">
        <v>497</v>
      </c>
      <c r="B245" s="701"/>
      <c r="C245" s="717" t="s">
        <v>349</v>
      </c>
      <c r="D245" s="711">
        <f>Bilans_E_AMS_Kyoto_run3_MTE!H506</f>
        <v>0</v>
      </c>
      <c r="E245" s="711">
        <f>Bilans_E_AMS_Kyoto_run3_MTE!I506</f>
        <v>0</v>
      </c>
      <c r="F245" s="711">
        <f>Bilans_E_AMS_Kyoto_run3_MTE!J506</f>
        <v>0</v>
      </c>
      <c r="G245" s="711">
        <f>Bilans_E_AMS_Kyoto_run3_MTE!K506</f>
        <v>0</v>
      </c>
      <c r="H245" s="711">
        <f>Bilans_E_AMS_Kyoto_run3_MTE!L506</f>
        <v>0</v>
      </c>
      <c r="I245" s="711">
        <f>Bilans_E_AMS_Kyoto_run3_MTE!M506</f>
        <v>0</v>
      </c>
      <c r="J245" s="711">
        <f>Bilans_E_AMS_Kyoto_run3_MTE!N506</f>
        <v>0</v>
      </c>
      <c r="K245" s="711">
        <f>Bilans_E_AMS_Kyoto_run3_MTE!O506</f>
        <v>0</v>
      </c>
      <c r="L245" s="711">
        <f>Bilans_E_AMS_Kyoto_run3_MTE!P506</f>
        <v>149.36314864907311</v>
      </c>
      <c r="M245" s="711">
        <f>Bilans_E_AMS_Kyoto_run3_MTE!Q506</f>
        <v>12.851297568088029</v>
      </c>
      <c r="N245" s="711">
        <f>Bilans_E_AMS_Kyoto_run3_MTE!R506</f>
        <v>0</v>
      </c>
      <c r="O245" s="711">
        <f>Bilans_E_AMS_Kyoto_run3_MTE!S506</f>
        <v>-81.192550335578574</v>
      </c>
      <c r="P245" s="711">
        <f>Bilans_E_AMS_Kyoto_run3_MTE!T506+Bilans_E_AMS_Kyoto_run3_MTE!U506</f>
        <v>0</v>
      </c>
      <c r="Q245" s="711">
        <f>Bilans_E_AMS_Kyoto_run3_MTE!V506</f>
        <v>0</v>
      </c>
      <c r="R245" s="711">
        <f>Bilans_E_AMS_Kyoto_run3_MTE!W506</f>
        <v>0</v>
      </c>
      <c r="S245" s="711">
        <f>Bilans_E_AMS_Kyoto_run3_MTE!X506</f>
        <v>0</v>
      </c>
      <c r="T245" s="711">
        <f>Bilans_E_AMS_Kyoto_run3_MTE!Y506</f>
        <v>0</v>
      </c>
      <c r="U245" s="711">
        <f>Bilans_E_AMS_Kyoto_run3_MTE!Z506</f>
        <v>81.021895881582566</v>
      </c>
      <c r="V245" s="701"/>
      <c r="W245" s="701"/>
    </row>
    <row r="246" spans="1:23" x14ac:dyDescent="0.25">
      <c r="A246" s="701" t="s">
        <v>498</v>
      </c>
      <c r="B246" s="701"/>
      <c r="C246" s="717" t="s">
        <v>350</v>
      </c>
      <c r="D246" s="711">
        <f>Bilans_E_AMS_Kyoto_run3_MTE!H507</f>
        <v>0</v>
      </c>
      <c r="E246" s="711">
        <f>Bilans_E_AMS_Kyoto_run3_MTE!I507</f>
        <v>0</v>
      </c>
      <c r="F246" s="711">
        <f>Bilans_E_AMS_Kyoto_run3_MTE!J507</f>
        <v>0</v>
      </c>
      <c r="G246" s="711">
        <f>Bilans_E_AMS_Kyoto_run3_MTE!K507</f>
        <v>0</v>
      </c>
      <c r="H246" s="711">
        <f>Bilans_E_AMS_Kyoto_run3_MTE!L507</f>
        <v>0</v>
      </c>
      <c r="I246" s="711">
        <f>Bilans_E_AMS_Kyoto_run3_MTE!M507</f>
        <v>-3.7466899829342335</v>
      </c>
      <c r="J246" s="711">
        <f>Bilans_E_AMS_Kyoto_run3_MTE!N507</f>
        <v>0</v>
      </c>
      <c r="K246" s="711">
        <f>Bilans_E_AMS_Kyoto_run3_MTE!O507</f>
        <v>0</v>
      </c>
      <c r="L246" s="711">
        <f>Bilans_E_AMS_Kyoto_run3_MTE!P507</f>
        <v>0</v>
      </c>
      <c r="M246" s="711">
        <f>Bilans_E_AMS_Kyoto_run3_MTE!Q507</f>
        <v>0</v>
      </c>
      <c r="N246" s="711">
        <f>Bilans_E_AMS_Kyoto_run3_MTE!R507</f>
        <v>0</v>
      </c>
      <c r="O246" s="711">
        <f>Bilans_E_AMS_Kyoto_run3_MTE!S507</f>
        <v>0</v>
      </c>
      <c r="P246" s="711">
        <f>Bilans_E_AMS_Kyoto_run3_MTE!T507+Bilans_E_AMS_Kyoto_run3_MTE!U507</f>
        <v>0</v>
      </c>
      <c r="Q246" s="711">
        <f>Bilans_E_AMS_Kyoto_run3_MTE!V507</f>
        <v>0</v>
      </c>
      <c r="R246" s="711">
        <f>Bilans_E_AMS_Kyoto_run3_MTE!W507</f>
        <v>0</v>
      </c>
      <c r="S246" s="711">
        <f>Bilans_E_AMS_Kyoto_run3_MTE!X507</f>
        <v>0</v>
      </c>
      <c r="T246" s="711">
        <f>Bilans_E_AMS_Kyoto_run3_MTE!Y507</f>
        <v>5.1930977473126321</v>
      </c>
      <c r="U246" s="711">
        <f>Bilans_E_AMS_Kyoto_run3_MTE!Z507</f>
        <v>1.4464077643783986</v>
      </c>
      <c r="V246" s="701"/>
      <c r="W246" s="701"/>
    </row>
    <row r="247" spans="1:23" x14ac:dyDescent="0.25">
      <c r="A247" s="701" t="s">
        <v>499</v>
      </c>
      <c r="B247" s="701"/>
      <c r="C247" s="717" t="s">
        <v>72</v>
      </c>
      <c r="D247" s="711">
        <f>Bilans_E_AMS_Kyoto_run3_MTE!H508</f>
        <v>0</v>
      </c>
      <c r="E247" s="711">
        <f>Bilans_E_AMS_Kyoto_run3_MTE!I508</f>
        <v>148.77345828425325</v>
      </c>
      <c r="F247" s="711">
        <f>Bilans_E_AMS_Kyoto_run3_MTE!J508</f>
        <v>-147.28572370141072</v>
      </c>
      <c r="G247" s="711">
        <f>Bilans_E_AMS_Kyoto_run3_MTE!K508</f>
        <v>0</v>
      </c>
      <c r="H247" s="711">
        <f>Bilans_E_AMS_Kyoto_run3_MTE!L508</f>
        <v>0</v>
      </c>
      <c r="I247" s="711">
        <f>Bilans_E_AMS_Kyoto_run3_MTE!M508</f>
        <v>0</v>
      </c>
      <c r="J247" s="711">
        <f>Bilans_E_AMS_Kyoto_run3_MTE!N508</f>
        <v>0</v>
      </c>
      <c r="K247" s="711">
        <f>Bilans_E_AMS_Kyoto_run3_MTE!O508</f>
        <v>0</v>
      </c>
      <c r="L247" s="711">
        <f>Bilans_E_AMS_Kyoto_run3_MTE!P508</f>
        <v>0</v>
      </c>
      <c r="M247" s="711">
        <f>Bilans_E_AMS_Kyoto_run3_MTE!Q508</f>
        <v>0</v>
      </c>
      <c r="N247" s="711">
        <f>Bilans_E_AMS_Kyoto_run3_MTE!R508</f>
        <v>0</v>
      </c>
      <c r="O247" s="711">
        <f>Bilans_E_AMS_Kyoto_run3_MTE!S508</f>
        <v>0</v>
      </c>
      <c r="P247" s="711">
        <f>Bilans_E_AMS_Kyoto_run3_MTE!T508+Bilans_E_AMS_Kyoto_run3_MTE!U508</f>
        <v>0</v>
      </c>
      <c r="Q247" s="711">
        <f>Bilans_E_AMS_Kyoto_run3_MTE!V508</f>
        <v>0</v>
      </c>
      <c r="R247" s="711">
        <f>Bilans_E_AMS_Kyoto_run3_MTE!W508</f>
        <v>0</v>
      </c>
      <c r="S247" s="711">
        <f>Bilans_E_AMS_Kyoto_run3_MTE!X508</f>
        <v>0</v>
      </c>
      <c r="T247" s="711">
        <f>Bilans_E_AMS_Kyoto_run3_MTE!Y508</f>
        <v>0</v>
      </c>
      <c r="U247" s="711">
        <f>Bilans_E_AMS_Kyoto_run3_MTE!Z508</f>
        <v>1.4877345828425348</v>
      </c>
      <c r="V247" s="701"/>
      <c r="W247" s="701"/>
    </row>
    <row r="248" spans="1:23" x14ac:dyDescent="0.25">
      <c r="A248" s="701" t="s">
        <v>500</v>
      </c>
      <c r="B248" s="701"/>
      <c r="C248" s="717" t="s">
        <v>351</v>
      </c>
      <c r="D248" s="711">
        <f>Bilans_E_AMS_Kyoto_run3_MTE!H509</f>
        <v>0</v>
      </c>
      <c r="E248" s="711">
        <f>Bilans_E_AMS_Kyoto_run3_MTE!I509</f>
        <v>0</v>
      </c>
      <c r="F248" s="711">
        <f>Bilans_E_AMS_Kyoto_run3_MTE!J509</f>
        <v>0</v>
      </c>
      <c r="G248" s="711">
        <f>Bilans_E_AMS_Kyoto_run3_MTE!K509</f>
        <v>0</v>
      </c>
      <c r="H248" s="711">
        <f>Bilans_E_AMS_Kyoto_run3_MTE!L509</f>
        <v>0</v>
      </c>
      <c r="I248" s="711">
        <f>Bilans_E_AMS_Kyoto_run3_MTE!M509</f>
        <v>0</v>
      </c>
      <c r="J248" s="711">
        <f>Bilans_E_AMS_Kyoto_run3_MTE!N509</f>
        <v>0</v>
      </c>
      <c r="K248" s="711">
        <f>Bilans_E_AMS_Kyoto_run3_MTE!O509</f>
        <v>0</v>
      </c>
      <c r="L248" s="711">
        <f>Bilans_E_AMS_Kyoto_run3_MTE!P509</f>
        <v>102.29704163456771</v>
      </c>
      <c r="M248" s="711">
        <f>Bilans_E_AMS_Kyoto_run3_MTE!Q509</f>
        <v>7.2727272727272725</v>
      </c>
      <c r="N248" s="711">
        <f>Bilans_E_AMS_Kyoto_run3_MTE!R509</f>
        <v>-61.183830654875514</v>
      </c>
      <c r="O248" s="711">
        <f>Bilans_E_AMS_Kyoto_run3_MTE!S509</f>
        <v>0</v>
      </c>
      <c r="P248" s="711">
        <f>Bilans_E_AMS_Kyoto_run3_MTE!T509+Bilans_E_AMS_Kyoto_run3_MTE!U509</f>
        <v>0</v>
      </c>
      <c r="Q248" s="711">
        <f>Bilans_E_AMS_Kyoto_run3_MTE!V509</f>
        <v>0</v>
      </c>
      <c r="R248" s="711">
        <f>Bilans_E_AMS_Kyoto_run3_MTE!W509</f>
        <v>0</v>
      </c>
      <c r="S248" s="711">
        <f>Bilans_E_AMS_Kyoto_run3_MTE!X509</f>
        <v>0</v>
      </c>
      <c r="T248" s="711">
        <f>Bilans_E_AMS_Kyoto_run3_MTE!Y509</f>
        <v>0</v>
      </c>
      <c r="U248" s="711">
        <f>Bilans_E_AMS_Kyoto_run3_MTE!Z509</f>
        <v>48.385938252419457</v>
      </c>
      <c r="V248" s="701"/>
      <c r="W248" s="701"/>
    </row>
    <row r="249" spans="1:23" x14ac:dyDescent="0.25">
      <c r="A249" s="701" t="s">
        <v>501</v>
      </c>
      <c r="B249" s="701"/>
      <c r="C249" s="717" t="s">
        <v>352</v>
      </c>
      <c r="D249" s="711">
        <f>Bilans_E_AMS_Kyoto_run3_MTE!H510</f>
        <v>0</v>
      </c>
      <c r="E249" s="711">
        <f>Bilans_E_AMS_Kyoto_run3_MTE!I510</f>
        <v>0</v>
      </c>
      <c r="F249" s="711">
        <f>Bilans_E_AMS_Kyoto_run3_MTE!J510</f>
        <v>0</v>
      </c>
      <c r="G249" s="711">
        <f>Bilans_E_AMS_Kyoto_run3_MTE!K510</f>
        <v>-14.619486217725157</v>
      </c>
      <c r="H249" s="711">
        <f>Bilans_E_AMS_Kyoto_run3_MTE!L510</f>
        <v>0</v>
      </c>
      <c r="I249" s="711">
        <f>Bilans_E_AMS_Kyoto_run3_MTE!M510</f>
        <v>0</v>
      </c>
      <c r="J249" s="711">
        <f>Bilans_E_AMS_Kyoto_run3_MTE!N510</f>
        <v>0</v>
      </c>
      <c r="K249" s="711">
        <f>Bilans_E_AMS_Kyoto_run3_MTE!O510</f>
        <v>0</v>
      </c>
      <c r="L249" s="711">
        <f>Bilans_E_AMS_Kyoto_run3_MTE!P510</f>
        <v>0</v>
      </c>
      <c r="M249" s="711">
        <f>Bilans_E_AMS_Kyoto_run3_MTE!Q510</f>
        <v>0</v>
      </c>
      <c r="N249" s="711">
        <f>Bilans_E_AMS_Kyoto_run3_MTE!R510</f>
        <v>0</v>
      </c>
      <c r="O249" s="711">
        <f>Bilans_E_AMS_Kyoto_run3_MTE!S510</f>
        <v>0</v>
      </c>
      <c r="P249" s="711">
        <f>Bilans_E_AMS_Kyoto_run3_MTE!T510+Bilans_E_AMS_Kyoto_run3_MTE!U510</f>
        <v>0</v>
      </c>
      <c r="Q249" s="711">
        <f>Bilans_E_AMS_Kyoto_run3_MTE!V510</f>
        <v>0</v>
      </c>
      <c r="R249" s="711">
        <f>Bilans_E_AMS_Kyoto_run3_MTE!W510</f>
        <v>0</v>
      </c>
      <c r="S249" s="711">
        <f>Bilans_E_AMS_Kyoto_run3_MTE!X510</f>
        <v>0</v>
      </c>
      <c r="T249" s="711">
        <f>Bilans_E_AMS_Kyoto_run3_MTE!Y510</f>
        <v>24.331434839497675</v>
      </c>
      <c r="U249" s="711">
        <f>Bilans_E_AMS_Kyoto_run3_MTE!Z510</f>
        <v>9.7119486217725175</v>
      </c>
      <c r="V249" s="701"/>
      <c r="W249" s="701"/>
    </row>
    <row r="250" spans="1:23" x14ac:dyDescent="0.25">
      <c r="A250" s="701" t="s">
        <v>502</v>
      </c>
      <c r="B250" s="701"/>
      <c r="C250" s="717" t="s">
        <v>73</v>
      </c>
      <c r="D250" s="711">
        <f>Bilans_E_AMS_Kyoto_run3_MTE!H511</f>
        <v>0</v>
      </c>
      <c r="E250" s="711">
        <f>Bilans_E_AMS_Kyoto_run3_MTE!I511</f>
        <v>0</v>
      </c>
      <c r="F250" s="711">
        <f>Bilans_E_AMS_Kyoto_run3_MTE!J511</f>
        <v>0</v>
      </c>
      <c r="G250" s="711">
        <f>Bilans_E_AMS_Kyoto_run3_MTE!K511</f>
        <v>0</v>
      </c>
      <c r="H250" s="711">
        <f>Bilans_E_AMS_Kyoto_run3_MTE!L511</f>
        <v>0</v>
      </c>
      <c r="I250" s="711">
        <f>Bilans_E_AMS_Kyoto_run3_MTE!M511</f>
        <v>0</v>
      </c>
      <c r="J250" s="711">
        <f>Bilans_E_AMS_Kyoto_run3_MTE!N511</f>
        <v>0</v>
      </c>
      <c r="K250" s="711">
        <f>Bilans_E_AMS_Kyoto_run3_MTE!O511</f>
        <v>0</v>
      </c>
      <c r="L250" s="711">
        <f>Bilans_E_AMS_Kyoto_run3_MTE!P511</f>
        <v>0</v>
      </c>
      <c r="M250" s="711">
        <f>Bilans_E_AMS_Kyoto_run3_MTE!Q511</f>
        <v>0</v>
      </c>
      <c r="N250" s="711">
        <f>Bilans_E_AMS_Kyoto_run3_MTE!R511</f>
        <v>0</v>
      </c>
      <c r="O250" s="711">
        <f>Bilans_E_AMS_Kyoto_run3_MTE!S511</f>
        <v>0</v>
      </c>
      <c r="P250" s="711">
        <f>Bilans_E_AMS_Kyoto_run3_MTE!T511+Bilans_E_AMS_Kyoto_run3_MTE!U511</f>
        <v>0</v>
      </c>
      <c r="Q250" s="711">
        <f>Bilans_E_AMS_Kyoto_run3_MTE!V511</f>
        <v>0</v>
      </c>
      <c r="R250" s="711">
        <f>Bilans_E_AMS_Kyoto_run3_MTE!W511</f>
        <v>88.6114421596901</v>
      </c>
      <c r="S250" s="711">
        <f>Bilans_E_AMS_Kyoto_run3_MTE!X511</f>
        <v>0</v>
      </c>
      <c r="T250" s="711">
        <f>Bilans_E_AMS_Kyoto_run3_MTE!Y511</f>
        <v>-62.249538117182297</v>
      </c>
      <c r="U250" s="711">
        <f>Bilans_E_AMS_Kyoto_run3_MTE!Z511</f>
        <v>26.361904042507803</v>
      </c>
      <c r="V250" s="701"/>
      <c r="W250" s="701"/>
    </row>
    <row r="251" spans="1:23" x14ac:dyDescent="0.25">
      <c r="A251" s="701" t="s">
        <v>503</v>
      </c>
      <c r="B251" s="701"/>
      <c r="C251" s="717" t="s">
        <v>353</v>
      </c>
      <c r="D251" s="711">
        <f>Bilans_E_AMS_Kyoto_run3_MTE!H512</f>
        <v>0</v>
      </c>
      <c r="E251" s="711">
        <f>Bilans_E_AMS_Kyoto_run3_MTE!I512</f>
        <v>-5.1997356607688232</v>
      </c>
      <c r="F251" s="711">
        <f>Bilans_E_AMS_Kyoto_run3_MTE!J512</f>
        <v>6.948298230027091</v>
      </c>
      <c r="G251" s="711">
        <f>Bilans_E_AMS_Kyoto_run3_MTE!K512</f>
        <v>0</v>
      </c>
      <c r="H251" s="711">
        <f>Bilans_E_AMS_Kyoto_run3_MTE!L512</f>
        <v>0</v>
      </c>
      <c r="I251" s="711">
        <f>Bilans_E_AMS_Kyoto_run3_MTE!M512</f>
        <v>0</v>
      </c>
      <c r="J251" s="711">
        <f>Bilans_E_AMS_Kyoto_run3_MTE!N512</f>
        <v>0</v>
      </c>
      <c r="K251" s="711">
        <f>Bilans_E_AMS_Kyoto_run3_MTE!O512</f>
        <v>0</v>
      </c>
      <c r="L251" s="711">
        <f>Bilans_E_AMS_Kyoto_run3_MTE!P512</f>
        <v>0</v>
      </c>
      <c r="M251" s="711">
        <f>Bilans_E_AMS_Kyoto_run3_MTE!Q512</f>
        <v>0</v>
      </c>
      <c r="N251" s="711">
        <f>Bilans_E_AMS_Kyoto_run3_MTE!R512</f>
        <v>0</v>
      </c>
      <c r="O251" s="711">
        <f>Bilans_E_AMS_Kyoto_run3_MTE!S512</f>
        <v>0</v>
      </c>
      <c r="P251" s="711">
        <f>Bilans_E_AMS_Kyoto_run3_MTE!T512+Bilans_E_AMS_Kyoto_run3_MTE!U512</f>
        <v>0</v>
      </c>
      <c r="Q251" s="711">
        <f>Bilans_E_AMS_Kyoto_run3_MTE!V512</f>
        <v>0</v>
      </c>
      <c r="R251" s="711">
        <f>Bilans_E_AMS_Kyoto_run3_MTE!W512</f>
        <v>0</v>
      </c>
      <c r="S251" s="711">
        <f>Bilans_E_AMS_Kyoto_run3_MTE!X512</f>
        <v>0</v>
      </c>
      <c r="T251" s="711">
        <f>Bilans_E_AMS_Kyoto_run3_MTE!Y512</f>
        <v>0</v>
      </c>
      <c r="U251" s="711">
        <f>Bilans_E_AMS_Kyoto_run3_MTE!Z512</f>
        <v>1.7485625692582678</v>
      </c>
      <c r="V251" s="701"/>
      <c r="W251" s="701"/>
    </row>
    <row r="252" spans="1:23" x14ac:dyDescent="0.25">
      <c r="A252" s="701" t="s">
        <v>504</v>
      </c>
      <c r="B252" s="701"/>
      <c r="C252" s="717" t="s">
        <v>75</v>
      </c>
      <c r="D252" s="711">
        <f>Bilans_E_AMS_Kyoto_run3_MTE!H513</f>
        <v>0</v>
      </c>
      <c r="E252" s="711">
        <f>Bilans_E_AMS_Kyoto_run3_MTE!I513</f>
        <v>0</v>
      </c>
      <c r="F252" s="711">
        <f>Bilans_E_AMS_Kyoto_run3_MTE!J513</f>
        <v>5.2004760110645112</v>
      </c>
      <c r="G252" s="711">
        <f>Bilans_E_AMS_Kyoto_run3_MTE!K513</f>
        <v>0</v>
      </c>
      <c r="H252" s="711">
        <f>Bilans_E_AMS_Kyoto_run3_MTE!L513</f>
        <v>0</v>
      </c>
      <c r="I252" s="711">
        <f>Bilans_E_AMS_Kyoto_run3_MTE!M513</f>
        <v>0</v>
      </c>
      <c r="J252" s="711">
        <f>Bilans_E_AMS_Kyoto_run3_MTE!N513</f>
        <v>0</v>
      </c>
      <c r="K252" s="711">
        <f>Bilans_E_AMS_Kyoto_run3_MTE!O513</f>
        <v>0</v>
      </c>
      <c r="L252" s="711">
        <f>Bilans_E_AMS_Kyoto_run3_MTE!P513</f>
        <v>0</v>
      </c>
      <c r="M252" s="711">
        <f>Bilans_E_AMS_Kyoto_run3_MTE!Q513</f>
        <v>0</v>
      </c>
      <c r="N252" s="711">
        <f>Bilans_E_AMS_Kyoto_run3_MTE!R513</f>
        <v>0</v>
      </c>
      <c r="O252" s="711">
        <f>Bilans_E_AMS_Kyoto_run3_MTE!S513</f>
        <v>0</v>
      </c>
      <c r="P252" s="711">
        <f>Bilans_E_AMS_Kyoto_run3_MTE!T513+Bilans_E_AMS_Kyoto_run3_MTE!U513</f>
        <v>0</v>
      </c>
      <c r="Q252" s="711">
        <f>Bilans_E_AMS_Kyoto_run3_MTE!V513</f>
        <v>0</v>
      </c>
      <c r="R252" s="711">
        <f>Bilans_E_AMS_Kyoto_run3_MTE!W513</f>
        <v>38.430337038531441</v>
      </c>
      <c r="S252" s="711">
        <f>Bilans_E_AMS_Kyoto_run3_MTE!X513</f>
        <v>0</v>
      </c>
      <c r="T252" s="711">
        <f>Bilans_E_AMS_Kyoto_run3_MTE!Y513</f>
        <v>1.4650612498705113</v>
      </c>
      <c r="U252" s="711">
        <f>Bilans_E_AMS_Kyoto_run3_MTE!Z513</f>
        <v>45.095874299466459</v>
      </c>
      <c r="V252" s="701"/>
      <c r="W252" s="701"/>
    </row>
    <row r="253" spans="1:23" x14ac:dyDescent="0.25">
      <c r="A253" s="701" t="s">
        <v>505</v>
      </c>
      <c r="B253" s="701"/>
      <c r="C253" s="717" t="s">
        <v>76</v>
      </c>
      <c r="D253" s="711">
        <f>Bilans_E_AMS_Kyoto_run3_MTE!H514</f>
        <v>0</v>
      </c>
      <c r="E253" s="711">
        <f>Bilans_E_AMS_Kyoto_run3_MTE!I514</f>
        <v>0</v>
      </c>
      <c r="F253" s="711">
        <f>Bilans_E_AMS_Kyoto_run3_MTE!J514</f>
        <v>0</v>
      </c>
      <c r="G253" s="711">
        <f>Bilans_E_AMS_Kyoto_run3_MTE!K514</f>
        <v>0</v>
      </c>
      <c r="H253" s="711">
        <f>Bilans_E_AMS_Kyoto_run3_MTE!L514</f>
        <v>0.87272798956791087</v>
      </c>
      <c r="I253" s="711">
        <f>Bilans_E_AMS_Kyoto_run3_MTE!M514</f>
        <v>1.5867781628507469E-2</v>
      </c>
      <c r="J253" s="711">
        <f>Bilans_E_AMS_Kyoto_run3_MTE!N514</f>
        <v>0</v>
      </c>
      <c r="K253" s="711">
        <f>Bilans_E_AMS_Kyoto_run3_MTE!O514</f>
        <v>0</v>
      </c>
      <c r="L253" s="711">
        <f>Bilans_E_AMS_Kyoto_run3_MTE!P514</f>
        <v>0</v>
      </c>
      <c r="M253" s="711">
        <f>Bilans_E_AMS_Kyoto_run3_MTE!Q514</f>
        <v>0</v>
      </c>
      <c r="N253" s="711">
        <f>Bilans_E_AMS_Kyoto_run3_MTE!R514</f>
        <v>0</v>
      </c>
      <c r="O253" s="711">
        <f>Bilans_E_AMS_Kyoto_run3_MTE!S514</f>
        <v>0.6981823916543286</v>
      </c>
      <c r="P253" s="711">
        <f>Bilans_E_AMS_Kyoto_run3_MTE!T514+Bilans_E_AMS_Kyoto_run3_MTE!U514</f>
        <v>0</v>
      </c>
      <c r="Q253" s="711">
        <f>Bilans_E_AMS_Kyoto_run3_MTE!V514</f>
        <v>0</v>
      </c>
      <c r="R253" s="711">
        <f>Bilans_E_AMS_Kyoto_run3_MTE!W514</f>
        <v>61.224106337294323</v>
      </c>
      <c r="S253" s="711">
        <f>Bilans_E_AMS_Kyoto_run3_MTE!X514</f>
        <v>6.697680379771108</v>
      </c>
      <c r="T253" s="711">
        <f>Bilans_E_AMS_Kyoto_run3_MTE!Y514</f>
        <v>0</v>
      </c>
      <c r="U253" s="711">
        <f>Bilans_E_AMS_Kyoto_run3_MTE!Z514</f>
        <v>69.508564879916179</v>
      </c>
      <c r="V253" s="701"/>
      <c r="W253" s="701"/>
    </row>
    <row r="254" spans="1:23" x14ac:dyDescent="0.25">
      <c r="A254" s="701" t="s">
        <v>506</v>
      </c>
      <c r="B254" s="701"/>
      <c r="C254" s="713" t="s">
        <v>77</v>
      </c>
      <c r="D254" s="714">
        <f>Bilans_E_AMS_Kyoto_run3_MTE!H515</f>
        <v>0</v>
      </c>
      <c r="E254" s="714">
        <f>Bilans_E_AMS_Kyoto_run3_MTE!I515</f>
        <v>143.57372262348443</v>
      </c>
      <c r="F254" s="714">
        <f>Bilans_E_AMS_Kyoto_run3_MTE!J515</f>
        <v>-135.1369494603191</v>
      </c>
      <c r="G254" s="714">
        <f>Bilans_E_AMS_Kyoto_run3_MTE!K515</f>
        <v>-14.619486217725157</v>
      </c>
      <c r="H254" s="714">
        <f>Bilans_E_AMS_Kyoto_run3_MTE!L515</f>
        <v>10.97014456744899</v>
      </c>
      <c r="I254" s="714">
        <f>Bilans_E_AMS_Kyoto_run3_MTE!M515</f>
        <v>-3.5472733725210412</v>
      </c>
      <c r="J254" s="714">
        <f>Bilans_E_AMS_Kyoto_run3_MTE!N515</f>
        <v>1021.1177956869142</v>
      </c>
      <c r="K254" s="714">
        <f>Bilans_E_AMS_Kyoto_run3_MTE!O515</f>
        <v>462.06687945929309</v>
      </c>
      <c r="L254" s="714">
        <f>Bilans_E_AMS_Kyoto_run3_MTE!P515</f>
        <v>293.41607278708199</v>
      </c>
      <c r="M254" s="714">
        <f>Bilans_E_AMS_Kyoto_run3_MTE!Q515</f>
        <v>37.444475279494604</v>
      </c>
      <c r="N254" s="714">
        <f>Bilans_E_AMS_Kyoto_run3_MTE!R515</f>
        <v>-54.838669650846725</v>
      </c>
      <c r="O254" s="714">
        <f>Bilans_E_AMS_Kyoto_run3_MTE!S515</f>
        <v>-72.287130434655069</v>
      </c>
      <c r="P254" s="714">
        <f>Bilans_E_AMS_Kyoto_run3_MTE!T515+Bilans_E_AMS_Kyoto_run3_MTE!U515</f>
        <v>19.703135322463453</v>
      </c>
      <c r="Q254" s="714">
        <f>Bilans_E_AMS_Kyoto_run3_MTE!V515</f>
        <v>18.698303851168006</v>
      </c>
      <c r="R254" s="714">
        <f>Bilans_E_AMS_Kyoto_run3_MTE!W515</f>
        <v>-625.73217962616854</v>
      </c>
      <c r="S254" s="714">
        <f>Bilans_E_AMS_Kyoto_run3_MTE!X515</f>
        <v>-79.672309838953737</v>
      </c>
      <c r="T254" s="714">
        <f>Bilans_E_AMS_Kyoto_run3_MTE!Y515</f>
        <v>-31.259944280501475</v>
      </c>
      <c r="U254" s="714">
        <f>Bilans_E_AMS_Kyoto_run3_MTE!Z515</f>
        <v>989.89658669565813</v>
      </c>
      <c r="V254" s="701"/>
      <c r="W254" s="701"/>
    </row>
    <row r="255" spans="1:23" x14ac:dyDescent="0.25">
      <c r="A255" s="701"/>
      <c r="B255" s="701"/>
      <c r="C255" s="715"/>
      <c r="D255" s="716"/>
      <c r="E255" s="716"/>
      <c r="F255" s="716"/>
      <c r="G255" s="716"/>
      <c r="H255" s="716"/>
      <c r="I255" s="716"/>
      <c r="J255" s="716"/>
      <c r="K255" s="716"/>
      <c r="L255" s="716"/>
      <c r="M255" s="716"/>
      <c r="N255" s="716"/>
      <c r="O255" s="716"/>
      <c r="P255" s="716">
        <f>Bilans_E_AMS_Kyoto_run3_MTE!T516+Bilans_E_AMS_Kyoto_run3_MTE!U516</f>
        <v>0</v>
      </c>
      <c r="Q255" s="716"/>
      <c r="R255" s="716"/>
      <c r="S255" s="716"/>
      <c r="T255" s="716"/>
      <c r="U255" s="716"/>
      <c r="V255" s="701"/>
      <c r="W255" s="701"/>
    </row>
    <row r="256" spans="1:23" x14ac:dyDescent="0.25">
      <c r="A256" s="701" t="s">
        <v>507</v>
      </c>
      <c r="B256" s="701"/>
      <c r="C256" s="717" t="s">
        <v>78</v>
      </c>
      <c r="D256" s="711">
        <f>Bilans_E_AMS_Kyoto_run3_MTE!H517</f>
        <v>7.2040588378906256E-2</v>
      </c>
      <c r="E256" s="711">
        <f>Bilans_E_AMS_Kyoto_run3_MTE!I517</f>
        <v>0</v>
      </c>
      <c r="F256" s="711">
        <f>Bilans_E_AMS_Kyoto_run3_MTE!J517</f>
        <v>0.19057103431692568</v>
      </c>
      <c r="G256" s="711">
        <f>Bilans_E_AMS_Kyoto_run3_MTE!K517</f>
        <v>0</v>
      </c>
      <c r="H256" s="711">
        <f>Bilans_E_AMS_Kyoto_run3_MTE!L517</f>
        <v>28.795611186743677</v>
      </c>
      <c r="I256" s="711">
        <f>Bilans_E_AMS_Kyoto_run3_MTE!M517</f>
        <v>0.52355656703170317</v>
      </c>
      <c r="J256" s="711">
        <f>Bilans_E_AMS_Kyoto_run3_MTE!N517</f>
        <v>0</v>
      </c>
      <c r="K256" s="711">
        <f>Bilans_E_AMS_Kyoto_run3_MTE!O517</f>
        <v>0</v>
      </c>
      <c r="L256" s="711">
        <f>Bilans_E_AMS_Kyoto_run3_MTE!P517</f>
        <v>34.871553027324289</v>
      </c>
      <c r="M256" s="711">
        <f>Bilans_E_AMS_Kyoto_run3_MTE!Q517</f>
        <v>8.043964025546213</v>
      </c>
      <c r="N256" s="711">
        <f>Bilans_E_AMS_Kyoto_run3_MTE!R517</f>
        <v>0</v>
      </c>
      <c r="O256" s="711">
        <f>Bilans_E_AMS_Kyoto_run3_MTE!S517</f>
        <v>23.077839156426684</v>
      </c>
      <c r="P256" s="711">
        <f>Bilans_E_AMS_Kyoto_run3_MTE!T517+Bilans_E_AMS_Kyoto_run3_MTE!U517</f>
        <v>13.633620117187499</v>
      </c>
      <c r="Q256" s="711">
        <f>Bilans_E_AMS_Kyoto_run3_MTE!V517</f>
        <v>8.4299170840015686E-4</v>
      </c>
      <c r="R256" s="711">
        <f>Bilans_E_AMS_Kyoto_run3_MTE!W517</f>
        <v>158.64644753930071</v>
      </c>
      <c r="S256" s="711">
        <f>Bilans_E_AMS_Kyoto_run3_MTE!X517</f>
        <v>19.544256457993722</v>
      </c>
      <c r="T256" s="711">
        <f>Bilans_E_AMS_Kyoto_run3_MTE!Y517</f>
        <v>13.641840820312501</v>
      </c>
      <c r="U256" s="711">
        <f>Bilans_E_AMS_Kyoto_run3_MTE!Z517</f>
        <v>301.0421435122712</v>
      </c>
      <c r="V256" s="701"/>
      <c r="W256" s="701"/>
    </row>
    <row r="257" spans="1:23" x14ac:dyDescent="0.25">
      <c r="A257" s="701" t="s">
        <v>508</v>
      </c>
      <c r="B257" s="701"/>
      <c r="C257" s="717" t="s">
        <v>79</v>
      </c>
      <c r="D257" s="711">
        <f>Bilans_E_AMS_Kyoto_run3_MTE!H518</f>
        <v>0</v>
      </c>
      <c r="E257" s="711">
        <f>Bilans_E_AMS_Kyoto_run3_MTE!I518</f>
        <v>0</v>
      </c>
      <c r="F257" s="711">
        <f>Bilans_E_AMS_Kyoto_run3_MTE!J518</f>
        <v>27.842691184610331</v>
      </c>
      <c r="G257" s="711">
        <f>Bilans_E_AMS_Kyoto_run3_MTE!K518</f>
        <v>2</v>
      </c>
      <c r="H257" s="711">
        <f>Bilans_E_AMS_Kyoto_run3_MTE!L518</f>
        <v>4.1475118700352498</v>
      </c>
      <c r="I257" s="711">
        <f>Bilans_E_AMS_Kyoto_run3_MTE!M518</f>
        <v>7.5409306727913641E-2</v>
      </c>
      <c r="J257" s="711">
        <f>Bilans_E_AMS_Kyoto_run3_MTE!N518</f>
        <v>0</v>
      </c>
      <c r="K257" s="711">
        <f>Bilans_E_AMS_Kyoto_run3_MTE!O518</f>
        <v>0</v>
      </c>
      <c r="L257" s="711">
        <f>Bilans_E_AMS_Kyoto_run3_MTE!P518</f>
        <v>0</v>
      </c>
      <c r="M257" s="711">
        <f>Bilans_E_AMS_Kyoto_run3_MTE!Q518</f>
        <v>0</v>
      </c>
      <c r="N257" s="711">
        <f>Bilans_E_AMS_Kyoto_run3_MTE!R518</f>
        <v>29.027871012193479</v>
      </c>
      <c r="O257" s="711">
        <f>Bilans_E_AMS_Kyoto_run3_MTE!S518</f>
        <v>3.3180094960281998</v>
      </c>
      <c r="P257" s="711">
        <f>Bilans_E_AMS_Kyoto_run3_MTE!T518+Bilans_E_AMS_Kyoto_run3_MTE!U518</f>
        <v>0</v>
      </c>
      <c r="Q257" s="711">
        <f>Bilans_E_AMS_Kyoto_run3_MTE!V518</f>
        <v>0</v>
      </c>
      <c r="R257" s="711">
        <f>Bilans_E_AMS_Kyoto_run3_MTE!W518</f>
        <v>121.41640074189371</v>
      </c>
      <c r="S257" s="711">
        <f>Bilans_E_AMS_Kyoto_run3_MTE!X518</f>
        <v>0</v>
      </c>
      <c r="T257" s="711">
        <f>Bilans_E_AMS_Kyoto_run3_MTE!Y518</f>
        <v>6.7088833627788453</v>
      </c>
      <c r="U257" s="711">
        <f>Bilans_E_AMS_Kyoto_run3_MTE!Z518</f>
        <v>194.53677697426772</v>
      </c>
      <c r="V257" s="701"/>
      <c r="W257" s="701"/>
    </row>
    <row r="258" spans="1:23" x14ac:dyDescent="0.25">
      <c r="A258" s="701" t="s">
        <v>509</v>
      </c>
      <c r="B258" s="701"/>
      <c r="C258" s="717" t="s">
        <v>80</v>
      </c>
      <c r="D258" s="711">
        <f>Bilans_E_AMS_Kyoto_run3_MTE!H519</f>
        <v>0</v>
      </c>
      <c r="E258" s="711">
        <f>Bilans_E_AMS_Kyoto_run3_MTE!I519</f>
        <v>0</v>
      </c>
      <c r="F258" s="711">
        <f>Bilans_E_AMS_Kyoto_run3_MTE!J519</f>
        <v>0.1823284194363245</v>
      </c>
      <c r="G258" s="711">
        <f>Bilans_E_AMS_Kyoto_run3_MTE!K519</f>
        <v>0</v>
      </c>
      <c r="H258" s="711">
        <f>Bilans_E_AMS_Kyoto_run3_MTE!L519</f>
        <v>19.208488158214077</v>
      </c>
      <c r="I258" s="711">
        <f>Bilans_E_AMS_Kyoto_run3_MTE!M519</f>
        <v>0.34924523924025591</v>
      </c>
      <c r="J258" s="711">
        <f>Bilans_E_AMS_Kyoto_run3_MTE!N519</f>
        <v>0</v>
      </c>
      <c r="K258" s="711">
        <f>Bilans_E_AMS_Kyoto_run3_MTE!O519</f>
        <v>0</v>
      </c>
      <c r="L258" s="711">
        <f>Bilans_E_AMS_Kyoto_run3_MTE!P519</f>
        <v>41.860643688874312</v>
      </c>
      <c r="M258" s="711">
        <f>Bilans_E_AMS_Kyoto_run3_MTE!Q519</f>
        <v>0</v>
      </c>
      <c r="N258" s="711">
        <f>Bilans_E_AMS_Kyoto_run3_MTE!R519</f>
        <v>0</v>
      </c>
      <c r="O258" s="711">
        <f>Bilans_E_AMS_Kyoto_run3_MTE!S519</f>
        <v>15.366790526571261</v>
      </c>
      <c r="P258" s="711">
        <f>Bilans_E_AMS_Kyoto_run3_MTE!T519+Bilans_E_AMS_Kyoto_run3_MTE!U519</f>
        <v>148.3231165331799</v>
      </c>
      <c r="Q258" s="711">
        <f>Bilans_E_AMS_Kyoto_run3_MTE!V519</f>
        <v>12.136362038143677</v>
      </c>
      <c r="R258" s="711">
        <f>Bilans_E_AMS_Kyoto_run3_MTE!W519</f>
        <v>138.96099758278416</v>
      </c>
      <c r="S258" s="711">
        <f>Bilans_E_AMS_Kyoto_run3_MTE!X519</f>
        <v>37.481794053722915</v>
      </c>
      <c r="T258" s="711">
        <f>Bilans_E_AMS_Kyoto_run3_MTE!Y519</f>
        <v>0</v>
      </c>
      <c r="U258" s="711">
        <f>Bilans_E_AMS_Kyoto_run3_MTE!Z519</f>
        <v>413.86976624016694</v>
      </c>
      <c r="V258" s="701"/>
      <c r="W258" s="701"/>
    </row>
    <row r="259" spans="1:23" x14ac:dyDescent="0.25">
      <c r="A259" s="701" t="s">
        <v>510</v>
      </c>
      <c r="B259" s="701"/>
      <c r="C259" s="717" t="s">
        <v>81</v>
      </c>
      <c r="D259" s="711">
        <f>Bilans_E_AMS_Kyoto_run3_MTE!H520</f>
        <v>0</v>
      </c>
      <c r="E259" s="711">
        <f>Bilans_E_AMS_Kyoto_run3_MTE!I520</f>
        <v>0</v>
      </c>
      <c r="F259" s="711">
        <f>Bilans_E_AMS_Kyoto_run3_MTE!J520</f>
        <v>0.39199311709923457</v>
      </c>
      <c r="G259" s="711">
        <f>Bilans_E_AMS_Kyoto_run3_MTE!K520</f>
        <v>0</v>
      </c>
      <c r="H259" s="711">
        <f>Bilans_E_AMS_Kyoto_run3_MTE!L520</f>
        <v>9.9162417754913825</v>
      </c>
      <c r="I259" s="711">
        <f>Bilans_E_AMS_Kyoto_run3_MTE!M520</f>
        <v>0.18029530500893423</v>
      </c>
      <c r="J259" s="711">
        <f>Bilans_E_AMS_Kyoto_run3_MTE!N520</f>
        <v>0</v>
      </c>
      <c r="K259" s="711">
        <f>Bilans_E_AMS_Kyoto_run3_MTE!O520</f>
        <v>0</v>
      </c>
      <c r="L259" s="711">
        <f>Bilans_E_AMS_Kyoto_run3_MTE!P520</f>
        <v>0.48410239694179807</v>
      </c>
      <c r="M259" s="711">
        <f>Bilans_E_AMS_Kyoto_run3_MTE!Q520</f>
        <v>0</v>
      </c>
      <c r="N259" s="711">
        <f>Bilans_E_AMS_Kyoto_run3_MTE!R520</f>
        <v>0</v>
      </c>
      <c r="O259" s="711">
        <f>Bilans_E_AMS_Kyoto_run3_MTE!S520</f>
        <v>7.9329934203931058</v>
      </c>
      <c r="P259" s="711">
        <f>Bilans_E_AMS_Kyoto_run3_MTE!T520+Bilans_E_AMS_Kyoto_run3_MTE!U520</f>
        <v>58.56878651815164</v>
      </c>
      <c r="Q259" s="711">
        <f>Bilans_E_AMS_Kyoto_run3_MTE!V520</f>
        <v>12.039845592065015</v>
      </c>
      <c r="R259" s="711">
        <f>Bilans_E_AMS_Kyoto_run3_MTE!W520</f>
        <v>122.64919061404242</v>
      </c>
      <c r="S259" s="711">
        <f>Bilans_E_AMS_Kyoto_run3_MTE!X520</f>
        <v>22.646226401731536</v>
      </c>
      <c r="T259" s="711">
        <f>Bilans_E_AMS_Kyoto_run3_MTE!Y520</f>
        <v>0</v>
      </c>
      <c r="U259" s="711">
        <f>Bilans_E_AMS_Kyoto_run3_MTE!Z520</f>
        <v>234.80967514092507</v>
      </c>
      <c r="V259" s="701"/>
      <c r="W259" s="701"/>
    </row>
    <row r="260" spans="1:23" x14ac:dyDescent="0.25">
      <c r="A260" s="701" t="s">
        <v>511</v>
      </c>
      <c r="B260" s="701"/>
      <c r="C260" s="717" t="s">
        <v>82</v>
      </c>
      <c r="D260" s="711">
        <f>Bilans_E_AMS_Kyoto_run3_MTE!H521</f>
        <v>0</v>
      </c>
      <c r="E260" s="711">
        <f>Bilans_E_AMS_Kyoto_run3_MTE!I521</f>
        <v>0</v>
      </c>
      <c r="F260" s="711">
        <f>Bilans_E_AMS_Kyoto_run3_MTE!J521</f>
        <v>5.4571309143050808</v>
      </c>
      <c r="G260" s="711">
        <f>Bilans_E_AMS_Kyoto_run3_MTE!K521</f>
        <v>0</v>
      </c>
      <c r="H260" s="711">
        <f>Bilans_E_AMS_Kyoto_run3_MTE!L521</f>
        <v>0.56206289562711365</v>
      </c>
      <c r="I260" s="711">
        <f>Bilans_E_AMS_Kyoto_run3_MTE!M521</f>
        <v>1.0219325375038429E-2</v>
      </c>
      <c r="J260" s="711">
        <f>Bilans_E_AMS_Kyoto_run3_MTE!N521</f>
        <v>0</v>
      </c>
      <c r="K260" s="711">
        <f>Bilans_E_AMS_Kyoto_run3_MTE!O521</f>
        <v>0</v>
      </c>
      <c r="L260" s="711">
        <f>Bilans_E_AMS_Kyoto_run3_MTE!P521</f>
        <v>17.783972013033864</v>
      </c>
      <c r="M260" s="711">
        <f>Bilans_E_AMS_Kyoto_run3_MTE!Q521</f>
        <v>0</v>
      </c>
      <c r="N260" s="711">
        <f>Bilans_E_AMS_Kyoto_run3_MTE!R521</f>
        <v>8.2374051734864402</v>
      </c>
      <c r="O260" s="711">
        <f>Bilans_E_AMS_Kyoto_run3_MTE!S521</f>
        <v>0.44965031650169085</v>
      </c>
      <c r="P260" s="711">
        <f>Bilans_E_AMS_Kyoto_run3_MTE!T521+Bilans_E_AMS_Kyoto_run3_MTE!U521</f>
        <v>1.25</v>
      </c>
      <c r="Q260" s="711">
        <f>Bilans_E_AMS_Kyoto_run3_MTE!V521</f>
        <v>1.7440136932478227</v>
      </c>
      <c r="R260" s="711">
        <f>Bilans_E_AMS_Kyoto_run3_MTE!W521</f>
        <v>10.36655207833598</v>
      </c>
      <c r="S260" s="711">
        <f>Bilans_E_AMS_Kyoto_run3_MTE!X521</f>
        <v>0</v>
      </c>
      <c r="T260" s="711">
        <f>Bilans_E_AMS_Kyoto_run3_MTE!Y521</f>
        <v>0.55589052141355966</v>
      </c>
      <c r="U260" s="711">
        <f>Bilans_E_AMS_Kyoto_run3_MTE!Z521</f>
        <v>46.416896931326583</v>
      </c>
      <c r="V260" s="701"/>
      <c r="W260" s="701"/>
    </row>
    <row r="261" spans="1:23" x14ac:dyDescent="0.25">
      <c r="A261" s="701" t="s">
        <v>512</v>
      </c>
      <c r="B261" s="701"/>
      <c r="C261" s="717" t="s">
        <v>354</v>
      </c>
      <c r="D261" s="711">
        <f>Bilans_E_AMS_Kyoto_run3_MTE!H522</f>
        <v>0</v>
      </c>
      <c r="E261" s="711">
        <f>Bilans_E_AMS_Kyoto_run3_MTE!I522</f>
        <v>0</v>
      </c>
      <c r="F261" s="711">
        <f>Bilans_E_AMS_Kyoto_run3_MTE!J522</f>
        <v>0</v>
      </c>
      <c r="G261" s="711">
        <f>Bilans_E_AMS_Kyoto_run3_MTE!K522</f>
        <v>0</v>
      </c>
      <c r="H261" s="711">
        <f>Bilans_E_AMS_Kyoto_run3_MTE!L522</f>
        <v>0</v>
      </c>
      <c r="I261" s="711">
        <f>Bilans_E_AMS_Kyoto_run3_MTE!M522</f>
        <v>0</v>
      </c>
      <c r="J261" s="711">
        <f>Bilans_E_AMS_Kyoto_run3_MTE!N522</f>
        <v>0</v>
      </c>
      <c r="K261" s="711">
        <f>Bilans_E_AMS_Kyoto_run3_MTE!O522</f>
        <v>0</v>
      </c>
      <c r="L261" s="711">
        <f>Bilans_E_AMS_Kyoto_run3_MTE!P522</f>
        <v>0</v>
      </c>
      <c r="M261" s="711">
        <f>Bilans_E_AMS_Kyoto_run3_MTE!Q522</f>
        <v>0</v>
      </c>
      <c r="N261" s="711">
        <f>Bilans_E_AMS_Kyoto_run3_MTE!R522</f>
        <v>0</v>
      </c>
      <c r="O261" s="711">
        <f>Bilans_E_AMS_Kyoto_run3_MTE!S522</f>
        <v>0</v>
      </c>
      <c r="P261" s="711">
        <f>Bilans_E_AMS_Kyoto_run3_MTE!T522+Bilans_E_AMS_Kyoto_run3_MTE!U522</f>
        <v>0</v>
      </c>
      <c r="Q261" s="711">
        <f>Bilans_E_AMS_Kyoto_run3_MTE!V522</f>
        <v>0</v>
      </c>
      <c r="R261" s="711">
        <f>Bilans_E_AMS_Kyoto_run3_MTE!W522</f>
        <v>9.0399999999999991</v>
      </c>
      <c r="S261" s="711">
        <f>Bilans_E_AMS_Kyoto_run3_MTE!X522</f>
        <v>0</v>
      </c>
      <c r="T261" s="711">
        <f>Bilans_E_AMS_Kyoto_run3_MTE!Y522</f>
        <v>0</v>
      </c>
      <c r="U261" s="711">
        <f>Bilans_E_AMS_Kyoto_run3_MTE!Z522</f>
        <v>9.0399999999999991</v>
      </c>
      <c r="V261" s="701"/>
      <c r="W261" s="701"/>
    </row>
    <row r="262" spans="1:23" x14ac:dyDescent="0.25">
      <c r="A262" s="701" t="s">
        <v>513</v>
      </c>
      <c r="B262" s="701"/>
      <c r="C262" s="713" t="s">
        <v>83</v>
      </c>
      <c r="D262" s="714">
        <f>Bilans_E_AMS_Kyoto_run3_MTE!H523</f>
        <v>7.2040588378906256E-2</v>
      </c>
      <c r="E262" s="714">
        <f>Bilans_E_AMS_Kyoto_run3_MTE!I523</f>
        <v>0</v>
      </c>
      <c r="F262" s="714">
        <f>Bilans_E_AMS_Kyoto_run3_MTE!J523</f>
        <v>34.064714669767895</v>
      </c>
      <c r="G262" s="714">
        <f>Bilans_E_AMS_Kyoto_run3_MTE!K523</f>
        <v>2</v>
      </c>
      <c r="H262" s="714">
        <f>Bilans_E_AMS_Kyoto_run3_MTE!L523</f>
        <v>62.629915886111512</v>
      </c>
      <c r="I262" s="714">
        <f>Bilans_E_AMS_Kyoto_run3_MTE!M523</f>
        <v>1.1387257433838454</v>
      </c>
      <c r="J262" s="714">
        <f>Bilans_E_AMS_Kyoto_run3_MTE!N523</f>
        <v>0</v>
      </c>
      <c r="K262" s="714">
        <f>Bilans_E_AMS_Kyoto_run3_MTE!O523</f>
        <v>0</v>
      </c>
      <c r="L262" s="714">
        <f>Bilans_E_AMS_Kyoto_run3_MTE!P523</f>
        <v>95.000271126174255</v>
      </c>
      <c r="M262" s="714">
        <f>Bilans_E_AMS_Kyoto_run3_MTE!Q523</f>
        <v>8.043964025546213</v>
      </c>
      <c r="N262" s="714">
        <f>Bilans_E_AMS_Kyoto_run3_MTE!R523</f>
        <v>37.265276185679923</v>
      </c>
      <c r="O262" s="714">
        <f>Bilans_E_AMS_Kyoto_run3_MTE!S523</f>
        <v>50.145282915920937</v>
      </c>
      <c r="P262" s="714">
        <f>Bilans_E_AMS_Kyoto_run3_MTE!T523+Bilans_E_AMS_Kyoto_run3_MTE!U523</f>
        <v>221.77552316851904</v>
      </c>
      <c r="Q262" s="714">
        <f>Bilans_E_AMS_Kyoto_run3_MTE!V523</f>
        <v>25.921064315164912</v>
      </c>
      <c r="R262" s="714">
        <f>Bilans_E_AMS_Kyoto_run3_MTE!W523</f>
        <v>561.07958855635695</v>
      </c>
      <c r="S262" s="714">
        <f>Bilans_E_AMS_Kyoto_run3_MTE!X523</f>
        <v>79.672276913448172</v>
      </c>
      <c r="T262" s="714">
        <f>Bilans_E_AMS_Kyoto_run3_MTE!Y523</f>
        <v>20.906614704504904</v>
      </c>
      <c r="U262" s="714">
        <f>Bilans_E_AMS_Kyoto_run3_MTE!Z523</f>
        <v>1199.7152587989574</v>
      </c>
      <c r="V262" s="701"/>
      <c r="W262" s="701"/>
    </row>
    <row r="263" spans="1:23" x14ac:dyDescent="0.25">
      <c r="A263" s="701" t="s">
        <v>514</v>
      </c>
      <c r="B263" s="701"/>
      <c r="C263" s="710" t="s">
        <v>84</v>
      </c>
      <c r="D263" s="711">
        <f>Bilans_E_AMS_Kyoto_run3_MTE!H524</f>
        <v>0</v>
      </c>
      <c r="E263" s="711">
        <f>Bilans_E_AMS_Kyoto_run3_MTE!I524</f>
        <v>0</v>
      </c>
      <c r="F263" s="711">
        <f>Bilans_E_AMS_Kyoto_run3_MTE!J524</f>
        <v>96.394045128661887</v>
      </c>
      <c r="G263" s="711">
        <f>Bilans_E_AMS_Kyoto_run3_MTE!K524</f>
        <v>3.4901848637372384</v>
      </c>
      <c r="H263" s="711">
        <f>Bilans_E_AMS_Kyoto_run3_MTE!L524</f>
        <v>9.7025025927356783</v>
      </c>
      <c r="I263" s="711">
        <f>Bilans_E_AMS_Kyoto_run3_MTE!M524</f>
        <v>0</v>
      </c>
      <c r="J263" s="711">
        <f>Bilans_E_AMS_Kyoto_run3_MTE!N524</f>
        <v>0</v>
      </c>
      <c r="K263" s="711">
        <f>Bilans_E_AMS_Kyoto_run3_MTE!O524</f>
        <v>0</v>
      </c>
      <c r="L263" s="711">
        <f>Bilans_E_AMS_Kyoto_run3_MTE!P524</f>
        <v>0.55051822222324442</v>
      </c>
      <c r="M263" s="711">
        <f>Bilans_E_AMS_Kyoto_run3_MTE!Q524</f>
        <v>0</v>
      </c>
      <c r="N263" s="711">
        <f>Bilans_E_AMS_Kyoto_run3_MTE!R524</f>
        <v>5.2633850918308207</v>
      </c>
      <c r="O263" s="711">
        <f>Bilans_E_AMS_Kyoto_run3_MTE!S524</f>
        <v>0</v>
      </c>
      <c r="P263" s="711">
        <f>Bilans_E_AMS_Kyoto_run3_MTE!T524+Bilans_E_AMS_Kyoto_run3_MTE!U524</f>
        <v>0</v>
      </c>
      <c r="Q263" s="711">
        <f>Bilans_E_AMS_Kyoto_run3_MTE!V524</f>
        <v>0</v>
      </c>
      <c r="R263" s="711">
        <f>Bilans_E_AMS_Kyoto_run3_MTE!W524</f>
        <v>0</v>
      </c>
      <c r="S263" s="711">
        <f>Bilans_E_AMS_Kyoto_run3_MTE!X524</f>
        <v>0</v>
      </c>
      <c r="T263" s="711">
        <f>Bilans_E_AMS_Kyoto_run3_MTE!Y524</f>
        <v>4.3572670917440366</v>
      </c>
      <c r="U263" s="711">
        <f>Bilans_E_AMS_Kyoto_run3_MTE!Z524</f>
        <v>119.75790299093292</v>
      </c>
      <c r="V263" s="701"/>
      <c r="W263" s="701"/>
    </row>
    <row r="264" spans="1:23" x14ac:dyDescent="0.25">
      <c r="A264" s="701" t="s">
        <v>515</v>
      </c>
      <c r="B264" s="701"/>
      <c r="C264" s="713" t="s">
        <v>85</v>
      </c>
      <c r="D264" s="714">
        <f>Bilans_E_AMS_Kyoto_run3_MTE!H525</f>
        <v>7.2040588378906256E-2</v>
      </c>
      <c r="E264" s="714">
        <f>Bilans_E_AMS_Kyoto_run3_MTE!I525</f>
        <v>0</v>
      </c>
      <c r="F264" s="714">
        <f>Bilans_E_AMS_Kyoto_run3_MTE!J525</f>
        <v>130.45875979842978</v>
      </c>
      <c r="G264" s="714">
        <f>Bilans_E_AMS_Kyoto_run3_MTE!K525</f>
        <v>5.4901848637372384</v>
      </c>
      <c r="H264" s="714">
        <f>Bilans_E_AMS_Kyoto_run3_MTE!L525</f>
        <v>72.332418478847188</v>
      </c>
      <c r="I264" s="714">
        <f>Bilans_E_AMS_Kyoto_run3_MTE!M525</f>
        <v>1.1387257433838454</v>
      </c>
      <c r="J264" s="714">
        <f>Bilans_E_AMS_Kyoto_run3_MTE!N525</f>
        <v>0</v>
      </c>
      <c r="K264" s="714">
        <f>Bilans_E_AMS_Kyoto_run3_MTE!O525</f>
        <v>0</v>
      </c>
      <c r="L264" s="714">
        <f>Bilans_E_AMS_Kyoto_run3_MTE!P525</f>
        <v>95.550789348397501</v>
      </c>
      <c r="M264" s="714">
        <f>Bilans_E_AMS_Kyoto_run3_MTE!Q525</f>
        <v>8.043964025546213</v>
      </c>
      <c r="N264" s="714">
        <f>Bilans_E_AMS_Kyoto_run3_MTE!R525</f>
        <v>42.528661277510743</v>
      </c>
      <c r="O264" s="714">
        <f>Bilans_E_AMS_Kyoto_run3_MTE!S525</f>
        <v>50.145282915920937</v>
      </c>
      <c r="P264" s="714">
        <f>Bilans_E_AMS_Kyoto_run3_MTE!T525+Bilans_E_AMS_Kyoto_run3_MTE!U525</f>
        <v>221.77552316851904</v>
      </c>
      <c r="Q264" s="714">
        <f>Bilans_E_AMS_Kyoto_run3_MTE!V525</f>
        <v>25.921064315164912</v>
      </c>
      <c r="R264" s="714">
        <f>Bilans_E_AMS_Kyoto_run3_MTE!W525</f>
        <v>561.07958855635695</v>
      </c>
      <c r="S264" s="714">
        <f>Bilans_E_AMS_Kyoto_run3_MTE!X525</f>
        <v>79.672276913448172</v>
      </c>
      <c r="T264" s="714">
        <f>Bilans_E_AMS_Kyoto_run3_MTE!Y525</f>
        <v>25.263881796248938</v>
      </c>
      <c r="U264" s="714">
        <f>Bilans_E_AMS_Kyoto_run3_MTE!Z525</f>
        <v>1319.4731617898904</v>
      </c>
      <c r="V264" s="701"/>
      <c r="W264" s="701"/>
    </row>
    <row r="265" spans="1:23" x14ac:dyDescent="0.25">
      <c r="A265" s="701"/>
      <c r="B265" s="701"/>
      <c r="C265" s="701"/>
      <c r="D265" s="701">
        <f>Bilans_E_AMS_Kyoto_run3_MTE!H526</f>
        <v>0</v>
      </c>
      <c r="E265" s="701">
        <f>Bilans_E_AMS_Kyoto_run3_MTE!I526</f>
        <v>0</v>
      </c>
      <c r="F265" s="701">
        <f>Bilans_E_AMS_Kyoto_run3_MTE!J526</f>
        <v>-7.1054273576010019E-15</v>
      </c>
      <c r="G265" s="701">
        <f>Bilans_E_AMS_Kyoto_run3_MTE!K526</f>
        <v>0</v>
      </c>
      <c r="H265" s="701">
        <f>Bilans_E_AMS_Kyoto_run3_MTE!L526</f>
        <v>4.0563540423477207E-5</v>
      </c>
      <c r="I265" s="701">
        <f>Bilans_E_AMS_Kyoto_run3_MTE!M526</f>
        <v>-4.0563540425697653E-5</v>
      </c>
      <c r="J265" s="701">
        <f>Bilans_E_AMS_Kyoto_run3_MTE!N526</f>
        <v>0</v>
      </c>
      <c r="K265" s="701">
        <f>Bilans_E_AMS_Kyoto_run3_MTE!O526</f>
        <v>0</v>
      </c>
      <c r="L265" s="701">
        <f>Bilans_E_AMS_Kyoto_run3_MTE!P526</f>
        <v>0</v>
      </c>
      <c r="M265" s="701">
        <f>Bilans_E_AMS_Kyoto_run3_MTE!Q526</f>
        <v>0</v>
      </c>
      <c r="N265" s="701">
        <f>Bilans_E_AMS_Kyoto_run3_MTE!R526</f>
        <v>0</v>
      </c>
      <c r="O265" s="701">
        <f>Bilans_E_AMS_Kyoto_run3_MTE!S526</f>
        <v>0</v>
      </c>
      <c r="P265" s="701">
        <f>Bilans_E_AMS_Kyoto_run3_MTE!T526+Bilans_E_AMS_Kyoto_run3_MTE!U526</f>
        <v>0</v>
      </c>
      <c r="Q265" s="701">
        <f>Bilans_E_AMS_Kyoto_run3_MTE!V526</f>
        <v>0</v>
      </c>
      <c r="R265" s="701">
        <f>Bilans_E_AMS_Kyoto_run3_MTE!W526</f>
        <v>0</v>
      </c>
      <c r="S265" s="701">
        <f>Bilans_E_AMS_Kyoto_run3_MTE!X526</f>
        <v>-3.2925505564662672E-5</v>
      </c>
      <c r="T265" s="701">
        <f>Bilans_E_AMS_Kyoto_run3_MTE!Y526</f>
        <v>0</v>
      </c>
      <c r="U265" s="701">
        <f>Bilans_E_AMS_Kyoto_run3_MTE!Z526</f>
        <v>-3.2925505365710706E-5</v>
      </c>
      <c r="V265" s="701"/>
      <c r="W265" s="701"/>
    </row>
    <row r="266" spans="1:23" x14ac:dyDescent="0.25">
      <c r="A266" s="701"/>
      <c r="B266" s="701"/>
      <c r="C266" s="701"/>
      <c r="D266" s="701"/>
      <c r="E266" s="701"/>
      <c r="F266" s="701"/>
      <c r="G266" s="701"/>
      <c r="H266" s="701"/>
      <c r="I266" s="701"/>
      <c r="J266" s="701"/>
      <c r="K266" s="701"/>
      <c r="L266" s="701"/>
      <c r="M266" s="701"/>
      <c r="N266" s="701"/>
      <c r="O266" s="701"/>
      <c r="P266" s="701"/>
      <c r="Q266" s="701"/>
      <c r="R266" s="701"/>
      <c r="S266" s="701"/>
      <c r="T266" s="701"/>
      <c r="U266" s="701"/>
      <c r="V266" s="701"/>
      <c r="W266" s="701"/>
    </row>
    <row r="267" spans="1:23" x14ac:dyDescent="0.25">
      <c r="A267" s="707"/>
      <c r="B267" s="707"/>
      <c r="C267" s="708" t="s">
        <v>89</v>
      </c>
      <c r="D267" s="707"/>
      <c r="E267" s="707"/>
      <c r="F267" s="707"/>
      <c r="G267" s="707"/>
      <c r="H267" s="707"/>
      <c r="I267" s="707"/>
      <c r="J267" s="707"/>
      <c r="K267" s="707"/>
      <c r="L267" s="707"/>
      <c r="M267" s="707"/>
      <c r="N267" s="707"/>
      <c r="O267" s="707"/>
      <c r="P267" s="707"/>
      <c r="Q267" s="707"/>
      <c r="R267" s="707"/>
      <c r="S267" s="707"/>
      <c r="T267" s="707"/>
      <c r="U267" s="707"/>
      <c r="V267" s="707"/>
      <c r="W267" s="707"/>
    </row>
    <row r="268" spans="1:23" x14ac:dyDescent="0.25">
      <c r="A268" s="701"/>
      <c r="B268" s="701"/>
      <c r="C268" s="701"/>
      <c r="D268" s="701"/>
      <c r="E268" s="701"/>
      <c r="F268" s="701"/>
      <c r="G268" s="701"/>
      <c r="H268" s="701"/>
      <c r="I268" s="701"/>
      <c r="J268" s="701"/>
      <c r="K268" s="701"/>
      <c r="L268" s="701"/>
      <c r="M268" s="701"/>
      <c r="N268" s="701"/>
      <c r="O268" s="701"/>
      <c r="P268" s="701"/>
      <c r="Q268" s="701"/>
      <c r="R268" s="701"/>
      <c r="S268" s="701"/>
      <c r="T268" s="701"/>
      <c r="U268" s="701"/>
      <c r="V268" s="701"/>
      <c r="W268" s="701"/>
    </row>
    <row r="269" spans="1:23" x14ac:dyDescent="0.25">
      <c r="A269" s="701"/>
      <c r="B269" s="701"/>
      <c r="C269" s="780" t="s">
        <v>128</v>
      </c>
      <c r="D269" s="775" t="s">
        <v>42</v>
      </c>
      <c r="E269" s="775" t="s">
        <v>52</v>
      </c>
      <c r="F269" s="775" t="s">
        <v>53</v>
      </c>
      <c r="G269" s="775" t="s">
        <v>482</v>
      </c>
      <c r="H269" s="775" t="s">
        <v>32</v>
      </c>
      <c r="I269" s="775" t="s">
        <v>483</v>
      </c>
      <c r="J269" s="775" t="s">
        <v>20</v>
      </c>
      <c r="K269" s="775" t="s">
        <v>55</v>
      </c>
      <c r="L269" s="777" t="s">
        <v>56</v>
      </c>
      <c r="M269" s="778"/>
      <c r="N269" s="778"/>
      <c r="O269" s="778"/>
      <c r="P269" s="778"/>
      <c r="Q269" s="779"/>
      <c r="R269" s="775" t="s">
        <v>57</v>
      </c>
      <c r="S269" s="775" t="s">
        <v>58</v>
      </c>
      <c r="T269" s="775" t="s">
        <v>31</v>
      </c>
      <c r="U269" s="775" t="s">
        <v>10</v>
      </c>
      <c r="V269" s="701"/>
      <c r="W269" s="701"/>
    </row>
    <row r="270" spans="1:23" ht="67.5" x14ac:dyDescent="0.25">
      <c r="A270" s="701" t="s">
        <v>486</v>
      </c>
      <c r="B270" s="701"/>
      <c r="C270" s="781"/>
      <c r="D270" s="776"/>
      <c r="E270" s="776"/>
      <c r="F270" s="776"/>
      <c r="G270" s="776"/>
      <c r="H270" s="776"/>
      <c r="I270" s="776"/>
      <c r="J270" s="776"/>
      <c r="K270" s="776"/>
      <c r="L270" s="709" t="s">
        <v>335</v>
      </c>
      <c r="M270" s="709" t="s">
        <v>40</v>
      </c>
      <c r="N270" s="709" t="s">
        <v>343</v>
      </c>
      <c r="O270" s="709" t="s">
        <v>344</v>
      </c>
      <c r="P270" s="719" t="s">
        <v>610</v>
      </c>
      <c r="Q270" s="709" t="s">
        <v>346</v>
      </c>
      <c r="R270" s="776"/>
      <c r="S270" s="776"/>
      <c r="T270" s="776"/>
      <c r="U270" s="776"/>
      <c r="V270" s="701"/>
      <c r="W270" s="701"/>
    </row>
    <row r="271" spans="1:23" x14ac:dyDescent="0.25">
      <c r="A271" s="701" t="s">
        <v>487</v>
      </c>
      <c r="B271" s="701"/>
      <c r="C271" s="710" t="s">
        <v>59</v>
      </c>
      <c r="D271" s="711">
        <f>Bilans_E_AMS_Kyoto_run3_MTE!H532</f>
        <v>0</v>
      </c>
      <c r="E271" s="711">
        <f>Bilans_E_AMS_Kyoto_run3_MTE!I532</f>
        <v>0</v>
      </c>
      <c r="F271" s="711">
        <f>Bilans_E_AMS_Kyoto_run3_MTE!J532</f>
        <v>0</v>
      </c>
      <c r="G271" s="711">
        <f>Bilans_E_AMS_Kyoto_run3_MTE!K532</f>
        <v>0</v>
      </c>
      <c r="H271" s="711">
        <f>Bilans_E_AMS_Kyoto_run3_MTE!L532</f>
        <v>0</v>
      </c>
      <c r="I271" s="711">
        <f>Bilans_E_AMS_Kyoto_run3_MTE!M532</f>
        <v>0</v>
      </c>
      <c r="J271" s="711">
        <f>Bilans_E_AMS_Kyoto_run3_MTE!N532</f>
        <v>807.37795933495636</v>
      </c>
      <c r="K271" s="711">
        <f>Bilans_E_AMS_Kyoto_run3_MTE!O532</f>
        <v>553.99388589395949</v>
      </c>
      <c r="L271" s="711">
        <f>Bilans_E_AMS_Kyoto_run3_MTE!P532</f>
        <v>401.60616442653316</v>
      </c>
      <c r="M271" s="711">
        <f>Bilans_E_AMS_Kyoto_run3_MTE!Q532</f>
        <v>43.888349788112322</v>
      </c>
      <c r="N271" s="711">
        <f>Bilans_E_AMS_Kyoto_run3_MTE!R532</f>
        <v>0</v>
      </c>
      <c r="O271" s="711">
        <f>Bilans_E_AMS_Kyoto_run3_MTE!S532</f>
        <v>0</v>
      </c>
      <c r="P271" s="711">
        <f>Bilans_E_AMS_Kyoto_run3_MTE!T532+Bilans_E_AMS_Kyoto_run3_MTE!U532</f>
        <v>274.41854375041947</v>
      </c>
      <c r="Q271" s="711">
        <f>Bilans_E_AMS_Kyoto_run3_MTE!V532</f>
        <v>50.723080686002739</v>
      </c>
      <c r="R271" s="711">
        <f>Bilans_E_AMS_Kyoto_run3_MTE!W532</f>
        <v>0</v>
      </c>
      <c r="S271" s="711">
        <f>Bilans_E_AMS_Kyoto_run3_MTE!X532</f>
        <v>0</v>
      </c>
      <c r="T271" s="711">
        <f>Bilans_E_AMS_Kyoto_run3_MTE!Y532</f>
        <v>0</v>
      </c>
      <c r="U271" s="711">
        <f>Bilans_E_AMS_Kyoto_run3_MTE!Z532</f>
        <v>2132.0079838799838</v>
      </c>
      <c r="V271" s="701"/>
      <c r="W271" s="701"/>
    </row>
    <row r="272" spans="1:23" x14ac:dyDescent="0.25">
      <c r="A272" s="701" t="s">
        <v>488</v>
      </c>
      <c r="B272" s="701"/>
      <c r="C272" s="710" t="s">
        <v>60</v>
      </c>
      <c r="D272" s="712">
        <f>Bilans_E_AMS_Kyoto_run3_MTE!H533</f>
        <v>0</v>
      </c>
      <c r="E272" s="712">
        <f>Bilans_E_AMS_Kyoto_run3_MTE!I533</f>
        <v>58.863651738299311</v>
      </c>
      <c r="F272" s="712">
        <f>Bilans_E_AMS_Kyoto_run3_MTE!J533</f>
        <v>45.756672067678878</v>
      </c>
      <c r="G272" s="712">
        <f>Bilans_E_AMS_Kyoto_run3_MTE!K533</f>
        <v>12.032159045744653</v>
      </c>
      <c r="H272" s="712">
        <f>Bilans_E_AMS_Kyoto_run3_MTE!L533</f>
        <v>7.019987079045241</v>
      </c>
      <c r="I272" s="712">
        <f>Bilans_E_AMS_Kyoto_run3_MTE!M533</f>
        <v>0</v>
      </c>
      <c r="J272" s="712">
        <f>Bilans_E_AMS_Kyoto_run3_MTE!N533</f>
        <v>0</v>
      </c>
      <c r="K272" s="712">
        <f>Bilans_E_AMS_Kyoto_run3_MTE!O533</f>
        <v>0</v>
      </c>
      <c r="L272" s="712">
        <f>Bilans_E_AMS_Kyoto_run3_MTE!P533</f>
        <v>22.470468893714155</v>
      </c>
      <c r="M272" s="712">
        <f>Bilans_E_AMS_Kyoto_run3_MTE!Q533</f>
        <v>0</v>
      </c>
      <c r="N272" s="712">
        <f>Bilans_E_AMS_Kyoto_run3_MTE!R533</f>
        <v>0</v>
      </c>
      <c r="O272" s="712">
        <f>Bilans_E_AMS_Kyoto_run3_MTE!S533</f>
        <v>0</v>
      </c>
      <c r="P272" s="712">
        <f>Bilans_E_AMS_Kyoto_run3_MTE!T533+Bilans_E_AMS_Kyoto_run3_MTE!U533</f>
        <v>0</v>
      </c>
      <c r="Q272" s="712">
        <f>Bilans_E_AMS_Kyoto_run3_MTE!V533</f>
        <v>0</v>
      </c>
      <c r="R272" s="712">
        <f>Bilans_E_AMS_Kyoto_run3_MTE!W533</f>
        <v>0</v>
      </c>
      <c r="S272" s="712">
        <f>Bilans_E_AMS_Kyoto_run3_MTE!X533</f>
        <v>0</v>
      </c>
      <c r="T272" s="712">
        <f>Bilans_E_AMS_Kyoto_run3_MTE!Y533</f>
        <v>0</v>
      </c>
      <c r="U272" s="712">
        <f>Bilans_E_AMS_Kyoto_run3_MTE!Z533</f>
        <v>146.14293882448223</v>
      </c>
      <c r="V272" s="701"/>
      <c r="W272" s="701"/>
    </row>
    <row r="273" spans="1:23" x14ac:dyDescent="0.25">
      <c r="A273" s="701" t="s">
        <v>489</v>
      </c>
      <c r="B273" s="701"/>
      <c r="C273" s="710" t="s">
        <v>61</v>
      </c>
      <c r="D273" s="712">
        <f>Bilans_E_AMS_Kyoto_run3_MTE!H534</f>
        <v>0</v>
      </c>
      <c r="E273" s="712">
        <f>Bilans_E_AMS_Kyoto_run3_MTE!I534</f>
        <v>0</v>
      </c>
      <c r="F273" s="712">
        <f>Bilans_E_AMS_Kyoto_run3_MTE!J534</f>
        <v>0</v>
      </c>
      <c r="G273" s="712">
        <f>Bilans_E_AMS_Kyoto_run3_MTE!K534</f>
        <v>0</v>
      </c>
      <c r="H273" s="712">
        <f>Bilans_E_AMS_Kyoto_run3_MTE!L534</f>
        <v>0</v>
      </c>
      <c r="I273" s="712">
        <f>Bilans_E_AMS_Kyoto_run3_MTE!M534</f>
        <v>0</v>
      </c>
      <c r="J273" s="712">
        <f>Bilans_E_AMS_Kyoto_run3_MTE!N534</f>
        <v>0</v>
      </c>
      <c r="K273" s="712">
        <f>Bilans_E_AMS_Kyoto_run3_MTE!O534</f>
        <v>0</v>
      </c>
      <c r="L273" s="712">
        <f>Bilans_E_AMS_Kyoto_run3_MTE!P534</f>
        <v>0</v>
      </c>
      <c r="M273" s="712">
        <f>Bilans_E_AMS_Kyoto_run3_MTE!Q534</f>
        <v>0</v>
      </c>
      <c r="N273" s="712">
        <f>Bilans_E_AMS_Kyoto_run3_MTE!R534</f>
        <v>-12.102055378039722</v>
      </c>
      <c r="O273" s="712">
        <f>Bilans_E_AMS_Kyoto_run3_MTE!S534</f>
        <v>-3.7955214595352373</v>
      </c>
      <c r="P273" s="712">
        <f>Bilans_E_AMS_Kyoto_run3_MTE!T534+Bilans_E_AMS_Kyoto_run3_MTE!U534</f>
        <v>0</v>
      </c>
      <c r="Q273" s="712">
        <f>Bilans_E_AMS_Kyoto_run3_MTE!V534</f>
        <v>0</v>
      </c>
      <c r="R273" s="712">
        <f>Bilans_E_AMS_Kyoto_run3_MTE!W534</f>
        <v>-28.679288227585289</v>
      </c>
      <c r="S273" s="712">
        <f>Bilans_E_AMS_Kyoto_run3_MTE!X534</f>
        <v>0</v>
      </c>
      <c r="T273" s="712">
        <f>Bilans_E_AMS_Kyoto_run3_MTE!Y534</f>
        <v>0</v>
      </c>
      <c r="U273" s="712">
        <f>Bilans_E_AMS_Kyoto_run3_MTE!Z534</f>
        <v>-44.576865065160248</v>
      </c>
      <c r="V273" s="701"/>
      <c r="W273" s="701"/>
    </row>
    <row r="274" spans="1:23" x14ac:dyDescent="0.25">
      <c r="A274" s="701" t="s">
        <v>490</v>
      </c>
      <c r="B274" s="701"/>
      <c r="C274" s="710" t="s">
        <v>62</v>
      </c>
      <c r="D274" s="711">
        <f>Bilans_E_AMS_Kyoto_run3_MTE!H535</f>
        <v>0</v>
      </c>
      <c r="E274" s="711">
        <f>Bilans_E_AMS_Kyoto_run3_MTE!I535</f>
        <v>0</v>
      </c>
      <c r="F274" s="711">
        <f>Bilans_E_AMS_Kyoto_run3_MTE!J535</f>
        <v>-1.2057976620084264E-3</v>
      </c>
      <c r="G274" s="711">
        <f>Bilans_E_AMS_Kyoto_run3_MTE!K535</f>
        <v>-2.8026264036035151</v>
      </c>
      <c r="H274" s="711">
        <f>Bilans_E_AMS_Kyoto_run3_MTE!L535</f>
        <v>0</v>
      </c>
      <c r="I274" s="711">
        <f>Bilans_E_AMS_Kyoto_run3_MTE!M535</f>
        <v>-2.8026264036035156</v>
      </c>
      <c r="J274" s="711">
        <f>Bilans_E_AMS_Kyoto_run3_MTE!N535</f>
        <v>0</v>
      </c>
      <c r="K274" s="711">
        <f>Bilans_E_AMS_Kyoto_run3_MTE!O535</f>
        <v>0</v>
      </c>
      <c r="L274" s="711">
        <f>Bilans_E_AMS_Kyoto_run3_MTE!P535</f>
        <v>0</v>
      </c>
      <c r="M274" s="711">
        <f>Bilans_E_AMS_Kyoto_run3_MTE!Q535</f>
        <v>0</v>
      </c>
      <c r="N274" s="711">
        <f>Bilans_E_AMS_Kyoto_run3_MTE!R535</f>
        <v>0</v>
      </c>
      <c r="O274" s="711">
        <f>Bilans_E_AMS_Kyoto_run3_MTE!S535</f>
        <v>-2.4289428831230464</v>
      </c>
      <c r="P274" s="711">
        <f>Bilans_E_AMS_Kyoto_run3_MTE!T535+Bilans_E_AMS_Kyoto_run3_MTE!U535</f>
        <v>0</v>
      </c>
      <c r="Q274" s="711">
        <f>Bilans_E_AMS_Kyoto_run3_MTE!V535</f>
        <v>0</v>
      </c>
      <c r="R274" s="711">
        <f>Bilans_E_AMS_Kyoto_run3_MTE!W535</f>
        <v>0</v>
      </c>
      <c r="S274" s="711">
        <f>Bilans_E_AMS_Kyoto_run3_MTE!X535</f>
        <v>0</v>
      </c>
      <c r="T274" s="711">
        <f>Bilans_E_AMS_Kyoto_run3_MTE!Y535</f>
        <v>-1.3066910843207444</v>
      </c>
      <c r="U274" s="711">
        <f>Bilans_E_AMS_Kyoto_run3_MTE!Z535</f>
        <v>-9.342092572312831</v>
      </c>
      <c r="V274" s="701"/>
      <c r="W274" s="701"/>
    </row>
    <row r="275" spans="1:23" x14ac:dyDescent="0.25">
      <c r="A275" s="701" t="s">
        <v>491</v>
      </c>
      <c r="B275" s="701"/>
      <c r="C275" s="710" t="s">
        <v>63</v>
      </c>
      <c r="D275" s="711">
        <f>Bilans_E_AMS_Kyoto_run3_MTE!H536</f>
        <v>0</v>
      </c>
      <c r="E275" s="711">
        <f>Bilans_E_AMS_Kyoto_run3_MTE!I536</f>
        <v>0</v>
      </c>
      <c r="F275" s="711">
        <f>Bilans_E_AMS_Kyoto_run3_MTE!J536</f>
        <v>-7</v>
      </c>
      <c r="G275" s="711">
        <f>Bilans_E_AMS_Kyoto_run3_MTE!K536</f>
        <v>-25</v>
      </c>
      <c r="H275" s="711">
        <f>Bilans_E_AMS_Kyoto_run3_MTE!L536</f>
        <v>0</v>
      </c>
      <c r="I275" s="711">
        <f>Bilans_E_AMS_Kyoto_run3_MTE!M536</f>
        <v>0</v>
      </c>
      <c r="J275" s="711">
        <f>Bilans_E_AMS_Kyoto_run3_MTE!N536</f>
        <v>0</v>
      </c>
      <c r="K275" s="711">
        <f>Bilans_E_AMS_Kyoto_run3_MTE!O536</f>
        <v>0</v>
      </c>
      <c r="L275" s="711">
        <f>Bilans_E_AMS_Kyoto_run3_MTE!P536</f>
        <v>0</v>
      </c>
      <c r="M275" s="711">
        <f>Bilans_E_AMS_Kyoto_run3_MTE!Q536</f>
        <v>0</v>
      </c>
      <c r="N275" s="711">
        <f>Bilans_E_AMS_Kyoto_run3_MTE!R536</f>
        <v>-17</v>
      </c>
      <c r="O275" s="711">
        <f>Bilans_E_AMS_Kyoto_run3_MTE!S536</f>
        <v>0</v>
      </c>
      <c r="P275" s="711">
        <f>Bilans_E_AMS_Kyoto_run3_MTE!T536+Bilans_E_AMS_Kyoto_run3_MTE!U536</f>
        <v>0</v>
      </c>
      <c r="Q275" s="711">
        <f>Bilans_E_AMS_Kyoto_run3_MTE!V536</f>
        <v>0</v>
      </c>
      <c r="R275" s="711">
        <f>Bilans_E_AMS_Kyoto_run3_MTE!W536</f>
        <v>0</v>
      </c>
      <c r="S275" s="711">
        <f>Bilans_E_AMS_Kyoto_run3_MTE!X536</f>
        <v>0</v>
      </c>
      <c r="T275" s="711">
        <f>Bilans_E_AMS_Kyoto_run3_MTE!Y536</f>
        <v>-8</v>
      </c>
      <c r="U275" s="711">
        <f>Bilans_E_AMS_Kyoto_run3_MTE!Z536</f>
        <v>-57</v>
      </c>
      <c r="V275" s="701"/>
      <c r="W275" s="701"/>
    </row>
    <row r="276" spans="1:23" x14ac:dyDescent="0.25">
      <c r="A276" s="701" t="s">
        <v>492</v>
      </c>
      <c r="B276" s="701"/>
      <c r="C276" s="710" t="s">
        <v>64</v>
      </c>
      <c r="D276" s="712">
        <f>Bilans_E_AMS_Kyoto_run3_MTE!H537</f>
        <v>0</v>
      </c>
      <c r="E276" s="712">
        <f>Bilans_E_AMS_Kyoto_run3_MTE!I537</f>
        <v>0</v>
      </c>
      <c r="F276" s="712">
        <f>Bilans_E_AMS_Kyoto_run3_MTE!J537</f>
        <v>0</v>
      </c>
      <c r="G276" s="712">
        <f>Bilans_E_AMS_Kyoto_run3_MTE!K537</f>
        <v>0</v>
      </c>
      <c r="H276" s="712">
        <f>Bilans_E_AMS_Kyoto_run3_MTE!L537</f>
        <v>0</v>
      </c>
      <c r="I276" s="712">
        <f>Bilans_E_AMS_Kyoto_run3_MTE!M537</f>
        <v>0</v>
      </c>
      <c r="J276" s="712">
        <f>Bilans_E_AMS_Kyoto_run3_MTE!N537</f>
        <v>0</v>
      </c>
      <c r="K276" s="712">
        <f>Bilans_E_AMS_Kyoto_run3_MTE!O537</f>
        <v>0</v>
      </c>
      <c r="L276" s="712">
        <f>Bilans_E_AMS_Kyoto_run3_MTE!P537</f>
        <v>0</v>
      </c>
      <c r="M276" s="712">
        <f>Bilans_E_AMS_Kyoto_run3_MTE!Q537</f>
        <v>0</v>
      </c>
      <c r="N276" s="712">
        <f>Bilans_E_AMS_Kyoto_run3_MTE!R537</f>
        <v>0</v>
      </c>
      <c r="O276" s="712">
        <f>Bilans_E_AMS_Kyoto_run3_MTE!S537</f>
        <v>0</v>
      </c>
      <c r="P276" s="712">
        <f>Bilans_E_AMS_Kyoto_run3_MTE!T537+Bilans_E_AMS_Kyoto_run3_MTE!U537</f>
        <v>0</v>
      </c>
      <c r="Q276" s="712">
        <f>Bilans_E_AMS_Kyoto_run3_MTE!V537</f>
        <v>0</v>
      </c>
      <c r="R276" s="712">
        <f>Bilans_E_AMS_Kyoto_run3_MTE!W537</f>
        <v>0</v>
      </c>
      <c r="S276" s="712">
        <f>Bilans_E_AMS_Kyoto_run3_MTE!X537</f>
        <v>0</v>
      </c>
      <c r="T276" s="712">
        <f>Bilans_E_AMS_Kyoto_run3_MTE!Y537</f>
        <v>0</v>
      </c>
      <c r="U276" s="712">
        <f>Bilans_E_AMS_Kyoto_run3_MTE!Z537</f>
        <v>0</v>
      </c>
      <c r="V276" s="701"/>
      <c r="W276" s="701"/>
    </row>
    <row r="277" spans="1:23" x14ac:dyDescent="0.25">
      <c r="A277" s="701" t="s">
        <v>493</v>
      </c>
      <c r="B277" s="701"/>
      <c r="C277" s="713" t="s">
        <v>65</v>
      </c>
      <c r="D277" s="714">
        <f>Bilans_E_AMS_Kyoto_run3_MTE!H538</f>
        <v>0</v>
      </c>
      <c r="E277" s="714">
        <f>Bilans_E_AMS_Kyoto_run3_MTE!I538</f>
        <v>58.863651738299311</v>
      </c>
      <c r="F277" s="714">
        <f>Bilans_E_AMS_Kyoto_run3_MTE!J538</f>
        <v>38.755466270016868</v>
      </c>
      <c r="G277" s="714">
        <f>Bilans_E_AMS_Kyoto_run3_MTE!K538</f>
        <v>-15.770467357858863</v>
      </c>
      <c r="H277" s="714">
        <f>Bilans_E_AMS_Kyoto_run3_MTE!L538</f>
        <v>7.019987079045241</v>
      </c>
      <c r="I277" s="714">
        <f>Bilans_E_AMS_Kyoto_run3_MTE!M538</f>
        <v>-2.8026264036035156</v>
      </c>
      <c r="J277" s="714">
        <f>Bilans_E_AMS_Kyoto_run3_MTE!N538</f>
        <v>807.37795933495636</v>
      </c>
      <c r="K277" s="714">
        <f>Bilans_E_AMS_Kyoto_run3_MTE!O538</f>
        <v>553.99388589395949</v>
      </c>
      <c r="L277" s="714">
        <f>Bilans_E_AMS_Kyoto_run3_MTE!P538</f>
        <v>424.07663332024731</v>
      </c>
      <c r="M277" s="714">
        <f>Bilans_E_AMS_Kyoto_run3_MTE!Q538</f>
        <v>43.888349788112322</v>
      </c>
      <c r="N277" s="714">
        <f>Bilans_E_AMS_Kyoto_run3_MTE!R538</f>
        <v>-29.102055378039722</v>
      </c>
      <c r="O277" s="714">
        <f>Bilans_E_AMS_Kyoto_run3_MTE!S538</f>
        <v>-6.2244643426582833</v>
      </c>
      <c r="P277" s="714">
        <f>Bilans_E_AMS_Kyoto_run3_MTE!T538+Bilans_E_AMS_Kyoto_run3_MTE!U538</f>
        <v>274.41854375041947</v>
      </c>
      <c r="Q277" s="714">
        <f>Bilans_E_AMS_Kyoto_run3_MTE!V538</f>
        <v>50.723080686002739</v>
      </c>
      <c r="R277" s="714">
        <f>Bilans_E_AMS_Kyoto_run3_MTE!W538</f>
        <v>-28.679288227585289</v>
      </c>
      <c r="S277" s="714">
        <f>Bilans_E_AMS_Kyoto_run3_MTE!X538</f>
        <v>0</v>
      </c>
      <c r="T277" s="714">
        <f>Bilans_E_AMS_Kyoto_run3_MTE!Y538</f>
        <v>-9.3066910843207449</v>
      </c>
      <c r="U277" s="714">
        <f>Bilans_E_AMS_Kyoto_run3_MTE!Z538</f>
        <v>2167.2319650669929</v>
      </c>
      <c r="V277" s="701"/>
      <c r="W277" s="701"/>
    </row>
    <row r="278" spans="1:23" x14ac:dyDescent="0.25">
      <c r="A278" s="701"/>
      <c r="B278" s="701"/>
      <c r="C278" s="715"/>
      <c r="D278" s="716"/>
      <c r="E278" s="716"/>
      <c r="F278" s="716"/>
      <c r="G278" s="716"/>
      <c r="H278" s="716"/>
      <c r="I278" s="716"/>
      <c r="J278" s="716"/>
      <c r="K278" s="716"/>
      <c r="L278" s="716"/>
      <c r="M278" s="716"/>
      <c r="N278" s="716"/>
      <c r="O278" s="716"/>
      <c r="P278" s="716">
        <f>Bilans_E_AMS_Kyoto_run3_MTE!T539+Bilans_E_AMS_Kyoto_run3_MTE!U539</f>
        <v>0</v>
      </c>
      <c r="Q278" s="716"/>
      <c r="R278" s="716"/>
      <c r="S278" s="716"/>
      <c r="T278" s="716"/>
      <c r="U278" s="716"/>
      <c r="V278" s="701"/>
      <c r="W278" s="701"/>
    </row>
    <row r="279" spans="1:23" x14ac:dyDescent="0.25">
      <c r="A279" s="701" t="s">
        <v>494</v>
      </c>
      <c r="B279" s="701"/>
      <c r="C279" s="717" t="s">
        <v>67</v>
      </c>
      <c r="D279" s="711">
        <f>Bilans_E_AMS_Kyoto_run3_MTE!H540</f>
        <v>0</v>
      </c>
      <c r="E279" s="711">
        <f>Bilans_E_AMS_Kyoto_run3_MTE!I540</f>
        <v>0</v>
      </c>
      <c r="F279" s="711">
        <f>Bilans_E_AMS_Kyoto_run3_MTE!J540</f>
        <v>0</v>
      </c>
      <c r="G279" s="711">
        <f>Bilans_E_AMS_Kyoto_run3_MTE!K540</f>
        <v>0</v>
      </c>
      <c r="H279" s="711">
        <f>Bilans_E_AMS_Kyoto_run3_MTE!L540</f>
        <v>0</v>
      </c>
      <c r="I279" s="711">
        <f>Bilans_E_AMS_Kyoto_run3_MTE!M540</f>
        <v>0</v>
      </c>
      <c r="J279" s="711">
        <f>Bilans_E_AMS_Kyoto_run3_MTE!N540</f>
        <v>0</v>
      </c>
      <c r="K279" s="711">
        <f>Bilans_E_AMS_Kyoto_run3_MTE!O540</f>
        <v>0</v>
      </c>
      <c r="L279" s="711">
        <f>Bilans_E_AMS_Kyoto_run3_MTE!P540</f>
        <v>0</v>
      </c>
      <c r="M279" s="711">
        <f>Bilans_E_AMS_Kyoto_run3_MTE!Q540</f>
        <v>0</v>
      </c>
      <c r="N279" s="711">
        <f>Bilans_E_AMS_Kyoto_run3_MTE!R540</f>
        <v>0</v>
      </c>
      <c r="O279" s="711">
        <f>Bilans_E_AMS_Kyoto_run3_MTE!S540</f>
        <v>0</v>
      </c>
      <c r="P279" s="711">
        <f>Bilans_E_AMS_Kyoto_run3_MTE!T540+Bilans_E_AMS_Kyoto_run3_MTE!U540</f>
        <v>0</v>
      </c>
      <c r="Q279" s="711">
        <f>Bilans_E_AMS_Kyoto_run3_MTE!V540</f>
        <v>0</v>
      </c>
      <c r="R279" s="711">
        <f>Bilans_E_AMS_Kyoto_run3_MTE!W540</f>
        <v>0</v>
      </c>
      <c r="S279" s="711">
        <f>Bilans_E_AMS_Kyoto_run3_MTE!X540</f>
        <v>0</v>
      </c>
      <c r="T279" s="711">
        <f>Bilans_E_AMS_Kyoto_run3_MTE!Y540</f>
        <v>0</v>
      </c>
      <c r="U279" s="711">
        <f>Bilans_E_AMS_Kyoto_run3_MTE!Z540</f>
        <v>0</v>
      </c>
      <c r="V279" s="701"/>
      <c r="W279" s="701"/>
    </row>
    <row r="280" spans="1:23" x14ac:dyDescent="0.25">
      <c r="A280" s="701" t="s">
        <v>495</v>
      </c>
      <c r="B280" s="701"/>
      <c r="C280" s="717" t="s">
        <v>347</v>
      </c>
      <c r="D280" s="711">
        <f>Bilans_E_AMS_Kyoto_run3_MTE!H541</f>
        <v>0</v>
      </c>
      <c r="E280" s="711">
        <f>Bilans_E_AMS_Kyoto_run3_MTE!I541</f>
        <v>0</v>
      </c>
      <c r="F280" s="711">
        <f>Bilans_E_AMS_Kyoto_run3_MTE!J541</f>
        <v>0</v>
      </c>
      <c r="G280" s="711">
        <f>Bilans_E_AMS_Kyoto_run3_MTE!K541</f>
        <v>0</v>
      </c>
      <c r="H280" s="711">
        <f>Bilans_E_AMS_Kyoto_run3_MTE!L541</f>
        <v>0</v>
      </c>
      <c r="I280" s="711">
        <f>Bilans_E_AMS_Kyoto_run3_MTE!M541</f>
        <v>0</v>
      </c>
      <c r="J280" s="711">
        <f>Bilans_E_AMS_Kyoto_run3_MTE!N541</f>
        <v>797.92981818181818</v>
      </c>
      <c r="K280" s="711">
        <f>Bilans_E_AMS_Kyoto_run3_MTE!O541</f>
        <v>553.99388589395949</v>
      </c>
      <c r="L280" s="711">
        <f>Bilans_E_AMS_Kyoto_run3_MTE!P541</f>
        <v>18.017312138261726</v>
      </c>
      <c r="M280" s="711">
        <f>Bilans_E_AMS_Kyoto_run3_MTE!Q541</f>
        <v>5.0359913785352379</v>
      </c>
      <c r="N280" s="711">
        <f>Bilans_E_AMS_Kyoto_run3_MTE!R541</f>
        <v>6.5561937148871507</v>
      </c>
      <c r="O280" s="711">
        <f>Bilans_E_AMS_Kyoto_run3_MTE!S541</f>
        <v>0.11704136254218823</v>
      </c>
      <c r="P280" s="711">
        <f>Bilans_E_AMS_Kyoto_run3_MTE!T541+Bilans_E_AMS_Kyoto_run3_MTE!U541</f>
        <v>0</v>
      </c>
      <c r="Q280" s="711">
        <f>Bilans_E_AMS_Kyoto_run3_MTE!V541</f>
        <v>6.7631767445353068</v>
      </c>
      <c r="R280" s="711">
        <f>Bilans_E_AMS_Kyoto_run3_MTE!W541</f>
        <v>-834.6881786149205</v>
      </c>
      <c r="S280" s="711">
        <f>Bilans_E_AMS_Kyoto_run3_MTE!X541</f>
        <v>0</v>
      </c>
      <c r="T280" s="711">
        <f>Bilans_E_AMS_Kyoto_run3_MTE!Y541</f>
        <v>0</v>
      </c>
      <c r="U280" s="711">
        <f>Bilans_E_AMS_Kyoto_run3_MTE!Z541</f>
        <v>553.72524079961875</v>
      </c>
      <c r="V280" s="701"/>
      <c r="W280" s="701"/>
    </row>
    <row r="281" spans="1:23" x14ac:dyDescent="0.25">
      <c r="A281" s="701" t="s">
        <v>496</v>
      </c>
      <c r="B281" s="701"/>
      <c r="C281" s="717" t="s">
        <v>348</v>
      </c>
      <c r="D281" s="711">
        <f>Bilans_E_AMS_Kyoto_run3_MTE!H542</f>
        <v>0</v>
      </c>
      <c r="E281" s="711">
        <f>Bilans_E_AMS_Kyoto_run3_MTE!I542</f>
        <v>0</v>
      </c>
      <c r="F281" s="711">
        <f>Bilans_E_AMS_Kyoto_run3_MTE!J542</f>
        <v>0</v>
      </c>
      <c r="G281" s="711">
        <f>Bilans_E_AMS_Kyoto_run3_MTE!K542</f>
        <v>0</v>
      </c>
      <c r="H281" s="711">
        <f>Bilans_E_AMS_Kyoto_run3_MTE!L542</f>
        <v>0</v>
      </c>
      <c r="I281" s="711">
        <f>Bilans_E_AMS_Kyoto_run3_MTE!M542</f>
        <v>0.44183816383617902</v>
      </c>
      <c r="J281" s="711">
        <f>Bilans_E_AMS_Kyoto_run3_MTE!N542</f>
        <v>9.448141153138188</v>
      </c>
      <c r="K281" s="711">
        <f>Bilans_E_AMS_Kyoto_run3_MTE!O542</f>
        <v>0</v>
      </c>
      <c r="L281" s="711">
        <f>Bilans_E_AMS_Kyoto_run3_MTE!P542</f>
        <v>23.543561697387847</v>
      </c>
      <c r="M281" s="711">
        <f>Bilans_E_AMS_Kyoto_run3_MTE!Q542</f>
        <v>10.266401321700496</v>
      </c>
      <c r="N281" s="711">
        <f>Bilans_E_AMS_Kyoto_run3_MTE!R542</f>
        <v>0</v>
      </c>
      <c r="O281" s="711">
        <f>Bilans_E_AMS_Kyoto_run3_MTE!S542</f>
        <v>8.4106289047241454</v>
      </c>
      <c r="P281" s="711">
        <f>Bilans_E_AMS_Kyoto_run3_MTE!T542+Bilans_E_AMS_Kyoto_run3_MTE!U542</f>
        <v>22.572621073808037</v>
      </c>
      <c r="Q281" s="711">
        <f>Bilans_E_AMS_Kyoto_run3_MTE!V542</f>
        <v>12.943396433622139</v>
      </c>
      <c r="R281" s="711">
        <f>Bilans_E_AMS_Kyoto_run3_MTE!W542</f>
        <v>0</v>
      </c>
      <c r="S281" s="711">
        <f>Bilans_E_AMS_Kyoto_run3_MTE!X542</f>
        <v>-82.703064296862223</v>
      </c>
      <c r="T281" s="711">
        <f>Bilans_E_AMS_Kyoto_run3_MTE!Y542</f>
        <v>0</v>
      </c>
      <c r="U281" s="711">
        <f>Bilans_E_AMS_Kyoto_run3_MTE!Z542</f>
        <v>4.9235244513548082</v>
      </c>
      <c r="V281" s="701"/>
      <c r="W281" s="701"/>
    </row>
    <row r="282" spans="1:23" x14ac:dyDescent="0.25">
      <c r="A282" s="701" t="s">
        <v>497</v>
      </c>
      <c r="B282" s="701"/>
      <c r="C282" s="717" t="s">
        <v>349</v>
      </c>
      <c r="D282" s="711">
        <f>Bilans_E_AMS_Kyoto_run3_MTE!H543</f>
        <v>0</v>
      </c>
      <c r="E282" s="711">
        <f>Bilans_E_AMS_Kyoto_run3_MTE!I543</f>
        <v>0</v>
      </c>
      <c r="F282" s="711">
        <f>Bilans_E_AMS_Kyoto_run3_MTE!J543</f>
        <v>0</v>
      </c>
      <c r="G282" s="711">
        <f>Bilans_E_AMS_Kyoto_run3_MTE!K543</f>
        <v>0</v>
      </c>
      <c r="H282" s="711">
        <f>Bilans_E_AMS_Kyoto_run3_MTE!L543</f>
        <v>0</v>
      </c>
      <c r="I282" s="711">
        <f>Bilans_E_AMS_Kyoto_run3_MTE!M543</f>
        <v>0</v>
      </c>
      <c r="J282" s="711">
        <f>Bilans_E_AMS_Kyoto_run3_MTE!N543</f>
        <v>0</v>
      </c>
      <c r="K282" s="711">
        <f>Bilans_E_AMS_Kyoto_run3_MTE!O543</f>
        <v>0</v>
      </c>
      <c r="L282" s="711">
        <f>Bilans_E_AMS_Kyoto_run3_MTE!P543</f>
        <v>177.56965686689</v>
      </c>
      <c r="M282" s="711">
        <f>Bilans_E_AMS_Kyoto_run3_MTE!Q543</f>
        <v>14.007374273227594</v>
      </c>
      <c r="N282" s="711">
        <f>Bilans_E_AMS_Kyoto_run3_MTE!R543</f>
        <v>0</v>
      </c>
      <c r="O282" s="711">
        <f>Bilans_E_AMS_Kyoto_run3_MTE!S543</f>
        <v>-95.874066928158982</v>
      </c>
      <c r="P282" s="711">
        <f>Bilans_E_AMS_Kyoto_run3_MTE!T543+Bilans_E_AMS_Kyoto_run3_MTE!U543</f>
        <v>0</v>
      </c>
      <c r="Q282" s="711">
        <f>Bilans_E_AMS_Kyoto_run3_MTE!V543</f>
        <v>0</v>
      </c>
      <c r="R282" s="711">
        <f>Bilans_E_AMS_Kyoto_run3_MTE!W543</f>
        <v>0</v>
      </c>
      <c r="S282" s="711">
        <f>Bilans_E_AMS_Kyoto_run3_MTE!X543</f>
        <v>0</v>
      </c>
      <c r="T282" s="711">
        <f>Bilans_E_AMS_Kyoto_run3_MTE!Y543</f>
        <v>0</v>
      </c>
      <c r="U282" s="711">
        <f>Bilans_E_AMS_Kyoto_run3_MTE!Z543</f>
        <v>95.702964211958601</v>
      </c>
      <c r="V282" s="701"/>
      <c r="W282" s="701"/>
    </row>
    <row r="283" spans="1:23" x14ac:dyDescent="0.25">
      <c r="A283" s="701" t="s">
        <v>498</v>
      </c>
      <c r="B283" s="701"/>
      <c r="C283" s="717" t="s">
        <v>350</v>
      </c>
      <c r="D283" s="711">
        <f>Bilans_E_AMS_Kyoto_run3_MTE!H544</f>
        <v>0</v>
      </c>
      <c r="E283" s="711">
        <f>Bilans_E_AMS_Kyoto_run3_MTE!I544</f>
        <v>0</v>
      </c>
      <c r="F283" s="711">
        <f>Bilans_E_AMS_Kyoto_run3_MTE!J544</f>
        <v>0</v>
      </c>
      <c r="G283" s="711">
        <f>Bilans_E_AMS_Kyoto_run3_MTE!K544</f>
        <v>0</v>
      </c>
      <c r="H283" s="711">
        <f>Bilans_E_AMS_Kyoto_run3_MTE!L544</f>
        <v>0</v>
      </c>
      <c r="I283" s="711">
        <f>Bilans_E_AMS_Kyoto_run3_MTE!M544</f>
        <v>-7.5120211335666909</v>
      </c>
      <c r="J283" s="711">
        <f>Bilans_E_AMS_Kyoto_run3_MTE!N544</f>
        <v>0</v>
      </c>
      <c r="K283" s="711">
        <f>Bilans_E_AMS_Kyoto_run3_MTE!O544</f>
        <v>0</v>
      </c>
      <c r="L283" s="711">
        <f>Bilans_E_AMS_Kyoto_run3_MTE!P544</f>
        <v>0</v>
      </c>
      <c r="M283" s="711">
        <f>Bilans_E_AMS_Kyoto_run3_MTE!Q544</f>
        <v>0</v>
      </c>
      <c r="N283" s="711">
        <f>Bilans_E_AMS_Kyoto_run3_MTE!R544</f>
        <v>0</v>
      </c>
      <c r="O283" s="711">
        <f>Bilans_E_AMS_Kyoto_run3_MTE!S544</f>
        <v>0</v>
      </c>
      <c r="P283" s="711">
        <f>Bilans_E_AMS_Kyoto_run3_MTE!T544+Bilans_E_AMS_Kyoto_run3_MTE!U544</f>
        <v>0</v>
      </c>
      <c r="Q283" s="711">
        <f>Bilans_E_AMS_Kyoto_run3_MTE!V544</f>
        <v>0</v>
      </c>
      <c r="R283" s="711">
        <f>Bilans_E_AMS_Kyoto_run3_MTE!W544</f>
        <v>0</v>
      </c>
      <c r="S283" s="711">
        <f>Bilans_E_AMS_Kyoto_run3_MTE!X544</f>
        <v>0</v>
      </c>
      <c r="T283" s="711">
        <f>Bilans_E_AMS_Kyoto_run3_MTE!Y544</f>
        <v>10.395912432015363</v>
      </c>
      <c r="U283" s="711">
        <f>Bilans_E_AMS_Kyoto_run3_MTE!Z544</f>
        <v>2.8838912984486722</v>
      </c>
      <c r="V283" s="701"/>
      <c r="W283" s="701"/>
    </row>
    <row r="284" spans="1:23" x14ac:dyDescent="0.25">
      <c r="A284" s="701" t="s">
        <v>499</v>
      </c>
      <c r="B284" s="701"/>
      <c r="C284" s="717" t="s">
        <v>72</v>
      </c>
      <c r="D284" s="711">
        <f>Bilans_E_AMS_Kyoto_run3_MTE!H545</f>
        <v>0</v>
      </c>
      <c r="E284" s="711">
        <f>Bilans_E_AMS_Kyoto_run3_MTE!I545</f>
        <v>60.999648796706254</v>
      </c>
      <c r="F284" s="711">
        <f>Bilans_E_AMS_Kyoto_run3_MTE!J545</f>
        <v>-60.389652308739187</v>
      </c>
      <c r="G284" s="711">
        <f>Bilans_E_AMS_Kyoto_run3_MTE!K545</f>
        <v>0</v>
      </c>
      <c r="H284" s="711">
        <f>Bilans_E_AMS_Kyoto_run3_MTE!L545</f>
        <v>0</v>
      </c>
      <c r="I284" s="711">
        <f>Bilans_E_AMS_Kyoto_run3_MTE!M545</f>
        <v>0</v>
      </c>
      <c r="J284" s="711">
        <f>Bilans_E_AMS_Kyoto_run3_MTE!N545</f>
        <v>0</v>
      </c>
      <c r="K284" s="711">
        <f>Bilans_E_AMS_Kyoto_run3_MTE!O545</f>
        <v>0</v>
      </c>
      <c r="L284" s="711">
        <f>Bilans_E_AMS_Kyoto_run3_MTE!P545</f>
        <v>0</v>
      </c>
      <c r="M284" s="711">
        <f>Bilans_E_AMS_Kyoto_run3_MTE!Q545</f>
        <v>0</v>
      </c>
      <c r="N284" s="711">
        <f>Bilans_E_AMS_Kyoto_run3_MTE!R545</f>
        <v>0</v>
      </c>
      <c r="O284" s="711">
        <f>Bilans_E_AMS_Kyoto_run3_MTE!S545</f>
        <v>0</v>
      </c>
      <c r="P284" s="711">
        <f>Bilans_E_AMS_Kyoto_run3_MTE!T545+Bilans_E_AMS_Kyoto_run3_MTE!U545</f>
        <v>0</v>
      </c>
      <c r="Q284" s="711">
        <f>Bilans_E_AMS_Kyoto_run3_MTE!V545</f>
        <v>0</v>
      </c>
      <c r="R284" s="711">
        <f>Bilans_E_AMS_Kyoto_run3_MTE!W545</f>
        <v>0</v>
      </c>
      <c r="S284" s="711">
        <f>Bilans_E_AMS_Kyoto_run3_MTE!X545</f>
        <v>0</v>
      </c>
      <c r="T284" s="711">
        <f>Bilans_E_AMS_Kyoto_run3_MTE!Y545</f>
        <v>0</v>
      </c>
      <c r="U284" s="711">
        <f>Bilans_E_AMS_Kyoto_run3_MTE!Z545</f>
        <v>0.60999648796706651</v>
      </c>
      <c r="V284" s="701"/>
      <c r="W284" s="701"/>
    </row>
    <row r="285" spans="1:23" x14ac:dyDescent="0.25">
      <c r="A285" s="701" t="s">
        <v>500</v>
      </c>
      <c r="B285" s="701"/>
      <c r="C285" s="717" t="s">
        <v>351</v>
      </c>
      <c r="D285" s="711">
        <f>Bilans_E_AMS_Kyoto_run3_MTE!H546</f>
        <v>0</v>
      </c>
      <c r="E285" s="711">
        <f>Bilans_E_AMS_Kyoto_run3_MTE!I546</f>
        <v>0</v>
      </c>
      <c r="F285" s="711">
        <f>Bilans_E_AMS_Kyoto_run3_MTE!J546</f>
        <v>0</v>
      </c>
      <c r="G285" s="711">
        <f>Bilans_E_AMS_Kyoto_run3_MTE!K546</f>
        <v>0</v>
      </c>
      <c r="H285" s="711">
        <f>Bilans_E_AMS_Kyoto_run3_MTE!L546</f>
        <v>0</v>
      </c>
      <c r="I285" s="711">
        <f>Bilans_E_AMS_Kyoto_run3_MTE!M546</f>
        <v>0</v>
      </c>
      <c r="J285" s="711">
        <f>Bilans_E_AMS_Kyoto_run3_MTE!N546</f>
        <v>0</v>
      </c>
      <c r="K285" s="711">
        <f>Bilans_E_AMS_Kyoto_run3_MTE!O546</f>
        <v>0</v>
      </c>
      <c r="L285" s="711">
        <f>Bilans_E_AMS_Kyoto_run3_MTE!P546</f>
        <v>112.15319289997592</v>
      </c>
      <c r="M285" s="711">
        <f>Bilans_E_AMS_Kyoto_run3_MTE!Q546</f>
        <v>7.2727272727272725</v>
      </c>
      <c r="N285" s="711">
        <f>Bilans_E_AMS_Kyoto_run3_MTE!R546</f>
        <v>-66.38461722515251</v>
      </c>
      <c r="O285" s="711">
        <f>Bilans_E_AMS_Kyoto_run3_MTE!S546</f>
        <v>0</v>
      </c>
      <c r="P285" s="711">
        <f>Bilans_E_AMS_Kyoto_run3_MTE!T546+Bilans_E_AMS_Kyoto_run3_MTE!U546</f>
        <v>0</v>
      </c>
      <c r="Q285" s="711">
        <f>Bilans_E_AMS_Kyoto_run3_MTE!V546</f>
        <v>0</v>
      </c>
      <c r="R285" s="711">
        <f>Bilans_E_AMS_Kyoto_run3_MTE!W546</f>
        <v>0</v>
      </c>
      <c r="S285" s="711">
        <f>Bilans_E_AMS_Kyoto_run3_MTE!X546</f>
        <v>0</v>
      </c>
      <c r="T285" s="711">
        <f>Bilans_E_AMS_Kyoto_run3_MTE!Y546</f>
        <v>0</v>
      </c>
      <c r="U285" s="711">
        <f>Bilans_E_AMS_Kyoto_run3_MTE!Z546</f>
        <v>53.041302947550676</v>
      </c>
      <c r="V285" s="701"/>
      <c r="W285" s="701"/>
    </row>
    <row r="286" spans="1:23" x14ac:dyDescent="0.25">
      <c r="A286" s="701" t="s">
        <v>501</v>
      </c>
      <c r="B286" s="701"/>
      <c r="C286" s="717" t="s">
        <v>352</v>
      </c>
      <c r="D286" s="711">
        <f>Bilans_E_AMS_Kyoto_run3_MTE!H547</f>
        <v>0</v>
      </c>
      <c r="E286" s="711">
        <f>Bilans_E_AMS_Kyoto_run3_MTE!I547</f>
        <v>0</v>
      </c>
      <c r="F286" s="711">
        <f>Bilans_E_AMS_Kyoto_run3_MTE!J547</f>
        <v>0</v>
      </c>
      <c r="G286" s="711">
        <f>Bilans_E_AMS_Kyoto_run3_MTE!K547</f>
        <v>-24.740126403603515</v>
      </c>
      <c r="H286" s="711">
        <f>Bilans_E_AMS_Kyoto_run3_MTE!L547</f>
        <v>0</v>
      </c>
      <c r="I286" s="711">
        <f>Bilans_E_AMS_Kyoto_run3_MTE!M547</f>
        <v>0</v>
      </c>
      <c r="J286" s="711">
        <f>Bilans_E_AMS_Kyoto_run3_MTE!N547</f>
        <v>0</v>
      </c>
      <c r="K286" s="711">
        <f>Bilans_E_AMS_Kyoto_run3_MTE!O547</f>
        <v>0</v>
      </c>
      <c r="L286" s="711">
        <f>Bilans_E_AMS_Kyoto_run3_MTE!P547</f>
        <v>0</v>
      </c>
      <c r="M286" s="711">
        <f>Bilans_E_AMS_Kyoto_run3_MTE!Q547</f>
        <v>0</v>
      </c>
      <c r="N286" s="711">
        <f>Bilans_E_AMS_Kyoto_run3_MTE!R547</f>
        <v>0</v>
      </c>
      <c r="O286" s="711">
        <f>Bilans_E_AMS_Kyoto_run3_MTE!S547</f>
        <v>0</v>
      </c>
      <c r="P286" s="711">
        <f>Bilans_E_AMS_Kyoto_run3_MTE!T547+Bilans_E_AMS_Kyoto_run3_MTE!U547</f>
        <v>0</v>
      </c>
      <c r="Q286" s="711">
        <f>Bilans_E_AMS_Kyoto_run3_MTE!V547</f>
        <v>0</v>
      </c>
      <c r="R286" s="711">
        <f>Bilans_E_AMS_Kyoto_run3_MTE!W547</f>
        <v>0</v>
      </c>
      <c r="S286" s="711">
        <f>Bilans_E_AMS_Kyoto_run3_MTE!X547</f>
        <v>0</v>
      </c>
      <c r="T286" s="711">
        <f>Bilans_E_AMS_Kyoto_run3_MTE!Y547</f>
        <v>41.692889043963866</v>
      </c>
      <c r="U286" s="711">
        <f>Bilans_E_AMS_Kyoto_run3_MTE!Z547</f>
        <v>16.952762640360351</v>
      </c>
      <c r="V286" s="701"/>
      <c r="W286" s="701"/>
    </row>
    <row r="287" spans="1:23" x14ac:dyDescent="0.25">
      <c r="A287" s="701" t="s">
        <v>502</v>
      </c>
      <c r="B287" s="701"/>
      <c r="C287" s="717" t="s">
        <v>73</v>
      </c>
      <c r="D287" s="711">
        <f>Bilans_E_AMS_Kyoto_run3_MTE!H548</f>
        <v>0</v>
      </c>
      <c r="E287" s="711">
        <f>Bilans_E_AMS_Kyoto_run3_MTE!I548</f>
        <v>0</v>
      </c>
      <c r="F287" s="711">
        <f>Bilans_E_AMS_Kyoto_run3_MTE!J548</f>
        <v>0</v>
      </c>
      <c r="G287" s="711">
        <f>Bilans_E_AMS_Kyoto_run3_MTE!K548</f>
        <v>0</v>
      </c>
      <c r="H287" s="711">
        <f>Bilans_E_AMS_Kyoto_run3_MTE!L548</f>
        <v>0</v>
      </c>
      <c r="I287" s="711">
        <f>Bilans_E_AMS_Kyoto_run3_MTE!M548</f>
        <v>0</v>
      </c>
      <c r="J287" s="711">
        <f>Bilans_E_AMS_Kyoto_run3_MTE!N548</f>
        <v>0</v>
      </c>
      <c r="K287" s="711">
        <f>Bilans_E_AMS_Kyoto_run3_MTE!O548</f>
        <v>0</v>
      </c>
      <c r="L287" s="711">
        <f>Bilans_E_AMS_Kyoto_run3_MTE!P548</f>
        <v>0</v>
      </c>
      <c r="M287" s="711">
        <f>Bilans_E_AMS_Kyoto_run3_MTE!Q548</f>
        <v>0</v>
      </c>
      <c r="N287" s="711">
        <f>Bilans_E_AMS_Kyoto_run3_MTE!R548</f>
        <v>0</v>
      </c>
      <c r="O287" s="711">
        <f>Bilans_E_AMS_Kyoto_run3_MTE!S548</f>
        <v>0</v>
      </c>
      <c r="P287" s="711">
        <f>Bilans_E_AMS_Kyoto_run3_MTE!T548+Bilans_E_AMS_Kyoto_run3_MTE!U548</f>
        <v>0</v>
      </c>
      <c r="Q287" s="711">
        <f>Bilans_E_AMS_Kyoto_run3_MTE!V548</f>
        <v>0</v>
      </c>
      <c r="R287" s="711">
        <f>Bilans_E_AMS_Kyoto_run3_MTE!W548</f>
        <v>127.55076516290167</v>
      </c>
      <c r="S287" s="711">
        <f>Bilans_E_AMS_Kyoto_run3_MTE!X548</f>
        <v>0</v>
      </c>
      <c r="T287" s="711">
        <f>Bilans_E_AMS_Kyoto_run3_MTE!Y548</f>
        <v>-91.836550917289202</v>
      </c>
      <c r="U287" s="711">
        <f>Bilans_E_AMS_Kyoto_run3_MTE!Z548</f>
        <v>35.714214245612467</v>
      </c>
      <c r="V287" s="701"/>
      <c r="W287" s="701"/>
    </row>
    <row r="288" spans="1:23" x14ac:dyDescent="0.25">
      <c r="A288" s="701" t="s">
        <v>503</v>
      </c>
      <c r="B288" s="701"/>
      <c r="C288" s="717" t="s">
        <v>353</v>
      </c>
      <c r="D288" s="711">
        <f>Bilans_E_AMS_Kyoto_run3_MTE!H549</f>
        <v>0</v>
      </c>
      <c r="E288" s="711">
        <f>Bilans_E_AMS_Kyoto_run3_MTE!I549</f>
        <v>-2.1359970584069448</v>
      </c>
      <c r="F288" s="711">
        <f>Bilans_E_AMS_Kyoto_run3_MTE!J549</f>
        <v>2.9254988687511099</v>
      </c>
      <c r="G288" s="711">
        <f>Bilans_E_AMS_Kyoto_run3_MTE!K549</f>
        <v>0</v>
      </c>
      <c r="H288" s="711">
        <f>Bilans_E_AMS_Kyoto_run3_MTE!L549</f>
        <v>0</v>
      </c>
      <c r="I288" s="711">
        <f>Bilans_E_AMS_Kyoto_run3_MTE!M549</f>
        <v>0</v>
      </c>
      <c r="J288" s="711">
        <f>Bilans_E_AMS_Kyoto_run3_MTE!N549</f>
        <v>0</v>
      </c>
      <c r="K288" s="711">
        <f>Bilans_E_AMS_Kyoto_run3_MTE!O549</f>
        <v>0</v>
      </c>
      <c r="L288" s="711">
        <f>Bilans_E_AMS_Kyoto_run3_MTE!P549</f>
        <v>0</v>
      </c>
      <c r="M288" s="711">
        <f>Bilans_E_AMS_Kyoto_run3_MTE!Q549</f>
        <v>0</v>
      </c>
      <c r="N288" s="711">
        <f>Bilans_E_AMS_Kyoto_run3_MTE!R549</f>
        <v>0</v>
      </c>
      <c r="O288" s="711">
        <f>Bilans_E_AMS_Kyoto_run3_MTE!S549</f>
        <v>0</v>
      </c>
      <c r="P288" s="711">
        <f>Bilans_E_AMS_Kyoto_run3_MTE!T549+Bilans_E_AMS_Kyoto_run3_MTE!U549</f>
        <v>0</v>
      </c>
      <c r="Q288" s="711">
        <f>Bilans_E_AMS_Kyoto_run3_MTE!V549</f>
        <v>0</v>
      </c>
      <c r="R288" s="711">
        <f>Bilans_E_AMS_Kyoto_run3_MTE!W549</f>
        <v>0</v>
      </c>
      <c r="S288" s="711">
        <f>Bilans_E_AMS_Kyoto_run3_MTE!X549</f>
        <v>0</v>
      </c>
      <c r="T288" s="711">
        <f>Bilans_E_AMS_Kyoto_run3_MTE!Y549</f>
        <v>0</v>
      </c>
      <c r="U288" s="711">
        <f>Bilans_E_AMS_Kyoto_run3_MTE!Z549</f>
        <v>0.78950181034416511</v>
      </c>
      <c r="V288" s="701"/>
      <c r="W288" s="701"/>
    </row>
    <row r="289" spans="1:23" x14ac:dyDescent="0.25">
      <c r="A289" s="701" t="s">
        <v>504</v>
      </c>
      <c r="B289" s="701"/>
      <c r="C289" s="717" t="s">
        <v>75</v>
      </c>
      <c r="D289" s="711">
        <f>Bilans_E_AMS_Kyoto_run3_MTE!H550</f>
        <v>0</v>
      </c>
      <c r="E289" s="711">
        <f>Bilans_E_AMS_Kyoto_run3_MTE!I550</f>
        <v>0</v>
      </c>
      <c r="F289" s="711">
        <f>Bilans_E_AMS_Kyoto_run3_MTE!J550</f>
        <v>2.205240968493043</v>
      </c>
      <c r="G289" s="711">
        <f>Bilans_E_AMS_Kyoto_run3_MTE!K550</f>
        <v>0</v>
      </c>
      <c r="H289" s="711">
        <f>Bilans_E_AMS_Kyoto_run3_MTE!L550</f>
        <v>0</v>
      </c>
      <c r="I289" s="711">
        <f>Bilans_E_AMS_Kyoto_run3_MTE!M550</f>
        <v>0</v>
      </c>
      <c r="J289" s="711">
        <f>Bilans_E_AMS_Kyoto_run3_MTE!N550</f>
        <v>0</v>
      </c>
      <c r="K289" s="711">
        <f>Bilans_E_AMS_Kyoto_run3_MTE!O550</f>
        <v>0</v>
      </c>
      <c r="L289" s="711">
        <f>Bilans_E_AMS_Kyoto_run3_MTE!P550</f>
        <v>0</v>
      </c>
      <c r="M289" s="711">
        <f>Bilans_E_AMS_Kyoto_run3_MTE!Q550</f>
        <v>0</v>
      </c>
      <c r="N289" s="711">
        <f>Bilans_E_AMS_Kyoto_run3_MTE!R550</f>
        <v>0</v>
      </c>
      <c r="O289" s="711">
        <f>Bilans_E_AMS_Kyoto_run3_MTE!S550</f>
        <v>0</v>
      </c>
      <c r="P289" s="711">
        <f>Bilans_E_AMS_Kyoto_run3_MTE!T550+Bilans_E_AMS_Kyoto_run3_MTE!U550</f>
        <v>0</v>
      </c>
      <c r="Q289" s="711">
        <f>Bilans_E_AMS_Kyoto_run3_MTE!V550</f>
        <v>0</v>
      </c>
      <c r="R289" s="711">
        <f>Bilans_E_AMS_Kyoto_run3_MTE!W550</f>
        <v>37.68086569149628</v>
      </c>
      <c r="S289" s="711">
        <f>Bilans_E_AMS_Kyoto_run3_MTE!X550</f>
        <v>0</v>
      </c>
      <c r="T289" s="711">
        <f>Bilans_E_AMS_Kyoto_run3_MTE!Y550</f>
        <v>0.6</v>
      </c>
      <c r="U289" s="711">
        <f>Bilans_E_AMS_Kyoto_run3_MTE!Z550</f>
        <v>40.486106659989325</v>
      </c>
      <c r="V289" s="701"/>
      <c r="W289" s="701"/>
    </row>
    <row r="290" spans="1:23" x14ac:dyDescent="0.25">
      <c r="A290" s="701" t="s">
        <v>505</v>
      </c>
      <c r="B290" s="701"/>
      <c r="C290" s="717" t="s">
        <v>76</v>
      </c>
      <c r="D290" s="711">
        <f>Bilans_E_AMS_Kyoto_run3_MTE!H551</f>
        <v>0</v>
      </c>
      <c r="E290" s="711">
        <f>Bilans_E_AMS_Kyoto_run3_MTE!I551</f>
        <v>0</v>
      </c>
      <c r="F290" s="711">
        <f>Bilans_E_AMS_Kyoto_run3_MTE!J551</f>
        <v>0</v>
      </c>
      <c r="G290" s="711">
        <f>Bilans_E_AMS_Kyoto_run3_MTE!K551</f>
        <v>0</v>
      </c>
      <c r="H290" s="711">
        <f>Bilans_E_AMS_Kyoto_run3_MTE!L551</f>
        <v>0</v>
      </c>
      <c r="I290" s="711">
        <f>Bilans_E_AMS_Kyoto_run3_MTE!M551</f>
        <v>5.5842625256480344E-2</v>
      </c>
      <c r="J290" s="711">
        <f>Bilans_E_AMS_Kyoto_run3_MTE!N551</f>
        <v>0</v>
      </c>
      <c r="K290" s="711">
        <f>Bilans_E_AMS_Kyoto_run3_MTE!O551</f>
        <v>0</v>
      </c>
      <c r="L290" s="711">
        <f>Bilans_E_AMS_Kyoto_run3_MTE!P551</f>
        <v>0</v>
      </c>
      <c r="M290" s="711">
        <f>Bilans_E_AMS_Kyoto_run3_MTE!Q551</f>
        <v>0</v>
      </c>
      <c r="N290" s="711">
        <f>Bilans_E_AMS_Kyoto_run3_MTE!R551</f>
        <v>0</v>
      </c>
      <c r="O290" s="711">
        <f>Bilans_E_AMS_Kyoto_run3_MTE!S551</f>
        <v>1.0610098798731264</v>
      </c>
      <c r="P290" s="711">
        <f>Bilans_E_AMS_Kyoto_run3_MTE!T551+Bilans_E_AMS_Kyoto_run3_MTE!U551</f>
        <v>0</v>
      </c>
      <c r="Q290" s="711">
        <f>Bilans_E_AMS_Kyoto_run3_MTE!V551</f>
        <v>0</v>
      </c>
      <c r="R290" s="711">
        <f>Bilans_E_AMS_Kyoto_run3_MTE!W551</f>
        <v>65.840203439882671</v>
      </c>
      <c r="S290" s="711">
        <f>Bilans_E_AMS_Kyoto_run3_MTE!X551</f>
        <v>6.4136709376113741</v>
      </c>
      <c r="T290" s="711">
        <f>Bilans_E_AMS_Kyoto_run3_MTE!Y551</f>
        <v>0</v>
      </c>
      <c r="U290" s="711">
        <f>Bilans_E_AMS_Kyoto_run3_MTE!Z551</f>
        <v>73.370726882623643</v>
      </c>
      <c r="V290" s="701"/>
      <c r="W290" s="701"/>
    </row>
    <row r="291" spans="1:23" x14ac:dyDescent="0.25">
      <c r="A291" s="701" t="s">
        <v>506</v>
      </c>
      <c r="B291" s="701"/>
      <c r="C291" s="713" t="s">
        <v>77</v>
      </c>
      <c r="D291" s="714">
        <f>Bilans_E_AMS_Kyoto_run3_MTE!H552</f>
        <v>0</v>
      </c>
      <c r="E291" s="714">
        <f>Bilans_E_AMS_Kyoto_run3_MTE!I552</f>
        <v>58.863651738299311</v>
      </c>
      <c r="F291" s="714">
        <f>Bilans_E_AMS_Kyoto_run3_MTE!J552</f>
        <v>-55.25891247149503</v>
      </c>
      <c r="G291" s="714">
        <f>Bilans_E_AMS_Kyoto_run3_MTE!K552</f>
        <v>-24.740126403603515</v>
      </c>
      <c r="H291" s="714">
        <f>Bilans_E_AMS_Kyoto_run3_MTE!L552</f>
        <v>0</v>
      </c>
      <c r="I291" s="714">
        <f>Bilans_E_AMS_Kyoto_run3_MTE!M552</f>
        <v>-7.0143403444740313</v>
      </c>
      <c r="J291" s="714">
        <f>Bilans_E_AMS_Kyoto_run3_MTE!N552</f>
        <v>807.37795933495636</v>
      </c>
      <c r="K291" s="714">
        <f>Bilans_E_AMS_Kyoto_run3_MTE!O552</f>
        <v>553.99388589395949</v>
      </c>
      <c r="L291" s="714">
        <f>Bilans_E_AMS_Kyoto_run3_MTE!P552</f>
        <v>331.28372360251547</v>
      </c>
      <c r="M291" s="714">
        <f>Bilans_E_AMS_Kyoto_run3_MTE!Q552</f>
        <v>36.582494246190599</v>
      </c>
      <c r="N291" s="714">
        <f>Bilans_E_AMS_Kyoto_run3_MTE!R552</f>
        <v>-59.82842351026536</v>
      </c>
      <c r="O291" s="714">
        <f>Bilans_E_AMS_Kyoto_run3_MTE!S552</f>
        <v>-86.285386781019525</v>
      </c>
      <c r="P291" s="714">
        <f>Bilans_E_AMS_Kyoto_run3_MTE!T552+Bilans_E_AMS_Kyoto_run3_MTE!U552</f>
        <v>22.572621073808037</v>
      </c>
      <c r="Q291" s="714">
        <f>Bilans_E_AMS_Kyoto_run3_MTE!V552</f>
        <v>19.706573178157445</v>
      </c>
      <c r="R291" s="714">
        <f>Bilans_E_AMS_Kyoto_run3_MTE!W552</f>
        <v>-603.61634432063988</v>
      </c>
      <c r="S291" s="714">
        <f>Bilans_E_AMS_Kyoto_run3_MTE!X552</f>
        <v>-76.289393359250852</v>
      </c>
      <c r="T291" s="714">
        <f>Bilans_E_AMS_Kyoto_run3_MTE!Y552</f>
        <v>-39.147749441309969</v>
      </c>
      <c r="U291" s="714">
        <f>Bilans_E_AMS_Kyoto_run3_MTE!Z552</f>
        <v>878.20023243582853</v>
      </c>
      <c r="V291" s="701"/>
      <c r="W291" s="701"/>
    </row>
    <row r="292" spans="1:23" x14ac:dyDescent="0.25">
      <c r="A292" s="701"/>
      <c r="B292" s="701"/>
      <c r="C292" s="715"/>
      <c r="D292" s="716"/>
      <c r="E292" s="716"/>
      <c r="F292" s="716"/>
      <c r="G292" s="716"/>
      <c r="H292" s="716"/>
      <c r="I292" s="716"/>
      <c r="J292" s="716"/>
      <c r="K292" s="716"/>
      <c r="L292" s="716"/>
      <c r="M292" s="716"/>
      <c r="N292" s="716"/>
      <c r="O292" s="716"/>
      <c r="P292" s="716">
        <f>Bilans_E_AMS_Kyoto_run3_MTE!T553+Bilans_E_AMS_Kyoto_run3_MTE!U553</f>
        <v>0</v>
      </c>
      <c r="Q292" s="716"/>
      <c r="R292" s="716"/>
      <c r="S292" s="716"/>
      <c r="T292" s="716"/>
      <c r="U292" s="716"/>
      <c r="V292" s="701"/>
      <c r="W292" s="701"/>
    </row>
    <row r="293" spans="1:23" x14ac:dyDescent="0.25">
      <c r="A293" s="701" t="s">
        <v>507</v>
      </c>
      <c r="B293" s="701"/>
      <c r="C293" s="717" t="s">
        <v>78</v>
      </c>
      <c r="D293" s="711">
        <f>Bilans_E_AMS_Kyoto_run3_MTE!H554</f>
        <v>0</v>
      </c>
      <c r="E293" s="711">
        <f>Bilans_E_AMS_Kyoto_run3_MTE!I554</f>
        <v>0</v>
      </c>
      <c r="F293" s="711">
        <f>Bilans_E_AMS_Kyoto_run3_MTE!J554</f>
        <v>0</v>
      </c>
      <c r="G293" s="711">
        <f>Bilans_E_AMS_Kyoto_run3_MTE!K554</f>
        <v>0</v>
      </c>
      <c r="H293" s="711">
        <f>Bilans_E_AMS_Kyoto_run3_MTE!L554</f>
        <v>0</v>
      </c>
      <c r="I293" s="711">
        <f>Bilans_E_AMS_Kyoto_run3_MTE!M554</f>
        <v>1.991498553291184</v>
      </c>
      <c r="J293" s="711">
        <f>Bilans_E_AMS_Kyoto_run3_MTE!N554</f>
        <v>0</v>
      </c>
      <c r="K293" s="711">
        <f>Bilans_E_AMS_Kyoto_run3_MTE!O554</f>
        <v>0</v>
      </c>
      <c r="L293" s="711">
        <f>Bilans_E_AMS_Kyoto_run3_MTE!P554</f>
        <v>33.03282021908791</v>
      </c>
      <c r="M293" s="711">
        <f>Bilans_E_AMS_Kyoto_run3_MTE!Q554</f>
        <v>7.3058555419217219</v>
      </c>
      <c r="N293" s="711">
        <f>Bilans_E_AMS_Kyoto_run3_MTE!R554</f>
        <v>0</v>
      </c>
      <c r="O293" s="711">
        <f>Bilans_E_AMS_Kyoto_run3_MTE!S554</f>
        <v>37.880603328687286</v>
      </c>
      <c r="P293" s="711">
        <f>Bilans_E_AMS_Kyoto_run3_MTE!T554+Bilans_E_AMS_Kyoto_run3_MTE!U554</f>
        <v>15.325538085937501</v>
      </c>
      <c r="Q293" s="711">
        <f>Bilans_E_AMS_Kyoto_run3_MTE!V554</f>
        <v>8.5890570413253253E-4</v>
      </c>
      <c r="R293" s="711">
        <f>Bilans_E_AMS_Kyoto_run3_MTE!W554</f>
        <v>160.49759404222942</v>
      </c>
      <c r="S293" s="711">
        <f>Bilans_E_AMS_Kyoto_run3_MTE!X554</f>
        <v>19.118062217384278</v>
      </c>
      <c r="T293" s="711">
        <f>Bilans_E_AMS_Kyoto_run3_MTE!Y554</f>
        <v>15.6045791015625</v>
      </c>
      <c r="U293" s="711">
        <f>Bilans_E_AMS_Kyoto_run3_MTE!Z554</f>
        <v>290.75740999580586</v>
      </c>
      <c r="V293" s="701"/>
      <c r="W293" s="701"/>
    </row>
    <row r="294" spans="1:23" x14ac:dyDescent="0.25">
      <c r="A294" s="701" t="s">
        <v>508</v>
      </c>
      <c r="B294" s="701"/>
      <c r="C294" s="717" t="s">
        <v>79</v>
      </c>
      <c r="D294" s="711">
        <f>Bilans_E_AMS_Kyoto_run3_MTE!H555</f>
        <v>0</v>
      </c>
      <c r="E294" s="711">
        <f>Bilans_E_AMS_Kyoto_run3_MTE!I555</f>
        <v>0</v>
      </c>
      <c r="F294" s="711">
        <f>Bilans_E_AMS_Kyoto_run3_MTE!J555</f>
        <v>2.5646039905747262</v>
      </c>
      <c r="G294" s="711">
        <f>Bilans_E_AMS_Kyoto_run3_MTE!K555</f>
        <v>4.5999999999999996</v>
      </c>
      <c r="H294" s="711">
        <f>Bilans_E_AMS_Kyoto_run3_MTE!L555</f>
        <v>0</v>
      </c>
      <c r="I294" s="711">
        <f>Bilans_E_AMS_Kyoto_run3_MTE!M555</f>
        <v>0.37685077792540578</v>
      </c>
      <c r="J294" s="711">
        <f>Bilans_E_AMS_Kyoto_run3_MTE!N555</f>
        <v>0</v>
      </c>
      <c r="K294" s="711">
        <f>Bilans_E_AMS_Kyoto_run3_MTE!O555</f>
        <v>0</v>
      </c>
      <c r="L294" s="711">
        <f>Bilans_E_AMS_Kyoto_run3_MTE!P555</f>
        <v>0</v>
      </c>
      <c r="M294" s="711">
        <f>Bilans_E_AMS_Kyoto_run3_MTE!Q555</f>
        <v>0</v>
      </c>
      <c r="N294" s="711">
        <f>Bilans_E_AMS_Kyoto_run3_MTE!R555</f>
        <v>17.296930013474249</v>
      </c>
      <c r="O294" s="711">
        <f>Bilans_E_AMS_Kyoto_run3_MTE!S555</f>
        <v>7.1601647805827087</v>
      </c>
      <c r="P294" s="711">
        <f>Bilans_E_AMS_Kyoto_run3_MTE!T555+Bilans_E_AMS_Kyoto_run3_MTE!U555</f>
        <v>0</v>
      </c>
      <c r="Q294" s="711">
        <f>Bilans_E_AMS_Kyoto_run3_MTE!V555</f>
        <v>0</v>
      </c>
      <c r="R294" s="711">
        <f>Bilans_E_AMS_Kyoto_run3_MTE!W555</f>
        <v>129.21827578196925</v>
      </c>
      <c r="S294" s="711">
        <f>Bilans_E_AMS_Kyoto_run3_MTE!X555</f>
        <v>0</v>
      </c>
      <c r="T294" s="711">
        <f>Bilans_E_AMS_Kyoto_run3_MTE!Y555</f>
        <v>6.9357151187722215</v>
      </c>
      <c r="U294" s="711">
        <f>Bilans_E_AMS_Kyoto_run3_MTE!Z555</f>
        <v>168.15254046329855</v>
      </c>
      <c r="V294" s="701"/>
      <c r="W294" s="701"/>
    </row>
    <row r="295" spans="1:23" x14ac:dyDescent="0.25">
      <c r="A295" s="701" t="s">
        <v>509</v>
      </c>
      <c r="B295" s="701"/>
      <c r="C295" s="717" t="s">
        <v>80</v>
      </c>
      <c r="D295" s="711">
        <f>Bilans_E_AMS_Kyoto_run3_MTE!H556</f>
        <v>0</v>
      </c>
      <c r="E295" s="711">
        <f>Bilans_E_AMS_Kyoto_run3_MTE!I556</f>
        <v>0</v>
      </c>
      <c r="F295" s="711">
        <f>Bilans_E_AMS_Kyoto_run3_MTE!J556</f>
        <v>1.33686813190731E-2</v>
      </c>
      <c r="G295" s="711">
        <f>Bilans_E_AMS_Kyoto_run3_MTE!K556</f>
        <v>0</v>
      </c>
      <c r="H295" s="711">
        <f>Bilans_E_AMS_Kyoto_run3_MTE!L556</f>
        <v>0</v>
      </c>
      <c r="I295" s="711">
        <f>Bilans_E_AMS_Kyoto_run3_MTE!M556</f>
        <v>1.363415994018579</v>
      </c>
      <c r="J295" s="711">
        <f>Bilans_E_AMS_Kyoto_run3_MTE!N556</f>
        <v>0</v>
      </c>
      <c r="K295" s="711">
        <f>Bilans_E_AMS_Kyoto_run3_MTE!O556</f>
        <v>0</v>
      </c>
      <c r="L295" s="711">
        <f>Bilans_E_AMS_Kyoto_run3_MTE!P556</f>
        <v>38.670548162755892</v>
      </c>
      <c r="M295" s="711">
        <f>Bilans_E_AMS_Kyoto_run3_MTE!Q556</f>
        <v>0</v>
      </c>
      <c r="N295" s="711">
        <f>Bilans_E_AMS_Kyoto_run3_MTE!R556</f>
        <v>0</v>
      </c>
      <c r="O295" s="711">
        <f>Bilans_E_AMS_Kyoto_run3_MTE!S556</f>
        <v>25.904903886352997</v>
      </c>
      <c r="P295" s="711">
        <f>Bilans_E_AMS_Kyoto_run3_MTE!T556+Bilans_E_AMS_Kyoto_run3_MTE!U556</f>
        <v>170.26801174847219</v>
      </c>
      <c r="Q295" s="711">
        <f>Bilans_E_AMS_Kyoto_run3_MTE!V556</f>
        <v>14.856183742724458</v>
      </c>
      <c r="R295" s="711">
        <f>Bilans_E_AMS_Kyoto_run3_MTE!W556</f>
        <v>135.77624988749807</v>
      </c>
      <c r="S295" s="711">
        <f>Bilans_E_AMS_Kyoto_run3_MTE!X556</f>
        <v>35.160977387086433</v>
      </c>
      <c r="T295" s="711">
        <f>Bilans_E_AMS_Kyoto_run3_MTE!Y556</f>
        <v>0</v>
      </c>
      <c r="U295" s="711">
        <f>Bilans_E_AMS_Kyoto_run3_MTE!Z556</f>
        <v>422.01365949022772</v>
      </c>
      <c r="V295" s="701"/>
      <c r="W295" s="701"/>
    </row>
    <row r="296" spans="1:23" x14ac:dyDescent="0.25">
      <c r="A296" s="701" t="s">
        <v>510</v>
      </c>
      <c r="B296" s="701"/>
      <c r="C296" s="717" t="s">
        <v>81</v>
      </c>
      <c r="D296" s="711">
        <f>Bilans_E_AMS_Kyoto_run3_MTE!H557</f>
        <v>0</v>
      </c>
      <c r="E296" s="711">
        <f>Bilans_E_AMS_Kyoto_run3_MTE!I557</f>
        <v>0</v>
      </c>
      <c r="F296" s="711">
        <f>Bilans_E_AMS_Kyoto_run3_MTE!J557</f>
        <v>5.9571518115922428E-2</v>
      </c>
      <c r="G296" s="711">
        <f>Bilans_E_AMS_Kyoto_run3_MTE!K557</f>
        <v>0</v>
      </c>
      <c r="H296" s="711">
        <f>Bilans_E_AMS_Kyoto_run3_MTE!L557</f>
        <v>0</v>
      </c>
      <c r="I296" s="711">
        <f>Bilans_E_AMS_Kyoto_run3_MTE!M557</f>
        <v>0.44038098063120357</v>
      </c>
      <c r="J296" s="711">
        <f>Bilans_E_AMS_Kyoto_run3_MTE!N557</f>
        <v>0</v>
      </c>
      <c r="K296" s="711">
        <f>Bilans_E_AMS_Kyoto_run3_MTE!O557</f>
        <v>0</v>
      </c>
      <c r="L296" s="711">
        <f>Bilans_E_AMS_Kyoto_run3_MTE!P557</f>
        <v>0.43608334641640845</v>
      </c>
      <c r="M296" s="711">
        <f>Bilans_E_AMS_Kyoto_run3_MTE!Q557</f>
        <v>0</v>
      </c>
      <c r="N296" s="711">
        <f>Bilans_E_AMS_Kyoto_run3_MTE!R557</f>
        <v>0</v>
      </c>
      <c r="O296" s="711">
        <f>Bilans_E_AMS_Kyoto_run3_MTE!S557</f>
        <v>8.3672386319928673</v>
      </c>
      <c r="P296" s="711">
        <f>Bilans_E_AMS_Kyoto_run3_MTE!T557+Bilans_E_AMS_Kyoto_run3_MTE!U557</f>
        <v>64.752372842201794</v>
      </c>
      <c r="Q296" s="711">
        <f>Bilans_E_AMS_Kyoto_run3_MTE!V557</f>
        <v>13.972057854326216</v>
      </c>
      <c r="R296" s="711">
        <f>Bilans_E_AMS_Kyoto_run3_MTE!W557</f>
        <v>123.17781879034489</v>
      </c>
      <c r="S296" s="711">
        <f>Bilans_E_AMS_Kyoto_run3_MTE!X557</f>
        <v>22.010319853686262</v>
      </c>
      <c r="T296" s="711">
        <f>Bilans_E_AMS_Kyoto_run3_MTE!Y557</f>
        <v>0</v>
      </c>
      <c r="U296" s="711">
        <f>Bilans_E_AMS_Kyoto_run3_MTE!Z557</f>
        <v>233.21584381771555</v>
      </c>
      <c r="V296" s="701"/>
      <c r="W296" s="701"/>
    </row>
    <row r="297" spans="1:23" x14ac:dyDescent="0.25">
      <c r="A297" s="701" t="s">
        <v>511</v>
      </c>
      <c r="B297" s="701"/>
      <c r="C297" s="717" t="s">
        <v>82</v>
      </c>
      <c r="D297" s="711">
        <f>Bilans_E_AMS_Kyoto_run3_MTE!H558</f>
        <v>0</v>
      </c>
      <c r="E297" s="711">
        <f>Bilans_E_AMS_Kyoto_run3_MTE!I558</f>
        <v>0</v>
      </c>
      <c r="F297" s="711">
        <f>Bilans_E_AMS_Kyoto_run3_MTE!J558</f>
        <v>0</v>
      </c>
      <c r="G297" s="711">
        <f>Bilans_E_AMS_Kyoto_run3_MTE!K558</f>
        <v>0</v>
      </c>
      <c r="H297" s="711">
        <f>Bilans_E_AMS_Kyoto_run3_MTE!L558</f>
        <v>0</v>
      </c>
      <c r="I297" s="711">
        <f>Bilans_E_AMS_Kyoto_run3_MTE!M558</f>
        <v>3.936904267080979E-2</v>
      </c>
      <c r="J297" s="711">
        <f>Bilans_E_AMS_Kyoto_run3_MTE!N558</f>
        <v>0</v>
      </c>
      <c r="K297" s="711">
        <f>Bilans_E_AMS_Kyoto_run3_MTE!O558</f>
        <v>0</v>
      </c>
      <c r="L297" s="711">
        <f>Bilans_E_AMS_Kyoto_run3_MTE!P558</f>
        <v>20.041612409357288</v>
      </c>
      <c r="M297" s="711">
        <f>Bilans_E_AMS_Kyoto_run3_MTE!Q558</f>
        <v>0</v>
      </c>
      <c r="N297" s="711">
        <f>Bilans_E_AMS_Kyoto_run3_MTE!R558</f>
        <v>6.8596219696114309</v>
      </c>
      <c r="O297" s="711">
        <f>Bilans_E_AMS_Kyoto_run3_MTE!S558</f>
        <v>0.74801181074538581</v>
      </c>
      <c r="P297" s="711">
        <f>Bilans_E_AMS_Kyoto_run3_MTE!T558+Bilans_E_AMS_Kyoto_run3_MTE!U558</f>
        <v>1.5</v>
      </c>
      <c r="Q297" s="711">
        <f>Bilans_E_AMS_Kyoto_run3_MTE!V558</f>
        <v>2.1874070050904897</v>
      </c>
      <c r="R297" s="711">
        <f>Bilans_E_AMS_Kyoto_run3_MTE!W558</f>
        <v>11.227117591013034</v>
      </c>
      <c r="S297" s="711">
        <f>Bilans_E_AMS_Kyoto_run3_MTE!X558</f>
        <v>0</v>
      </c>
      <c r="T297" s="711">
        <f>Bilans_E_AMS_Kyoto_run3_MTE!Y558</f>
        <v>0.67221506893144256</v>
      </c>
      <c r="U297" s="711">
        <f>Bilans_E_AMS_Kyoto_run3_MTE!Z558</f>
        <v>43.275354897419881</v>
      </c>
      <c r="V297" s="701"/>
      <c r="W297" s="701"/>
    </row>
    <row r="298" spans="1:23" x14ac:dyDescent="0.25">
      <c r="A298" s="701" t="s">
        <v>512</v>
      </c>
      <c r="B298" s="701"/>
      <c r="C298" s="717" t="s">
        <v>354</v>
      </c>
      <c r="D298" s="711">
        <f>Bilans_E_AMS_Kyoto_run3_MTE!H559</f>
        <v>0</v>
      </c>
      <c r="E298" s="711">
        <f>Bilans_E_AMS_Kyoto_run3_MTE!I559</f>
        <v>0</v>
      </c>
      <c r="F298" s="711">
        <f>Bilans_E_AMS_Kyoto_run3_MTE!J559</f>
        <v>0</v>
      </c>
      <c r="G298" s="711">
        <f>Bilans_E_AMS_Kyoto_run3_MTE!K559</f>
        <v>0</v>
      </c>
      <c r="H298" s="711">
        <f>Bilans_E_AMS_Kyoto_run3_MTE!L559</f>
        <v>0</v>
      </c>
      <c r="I298" s="711">
        <f>Bilans_E_AMS_Kyoto_run3_MTE!M559</f>
        <v>0</v>
      </c>
      <c r="J298" s="711">
        <f>Bilans_E_AMS_Kyoto_run3_MTE!N559</f>
        <v>0</v>
      </c>
      <c r="K298" s="711">
        <f>Bilans_E_AMS_Kyoto_run3_MTE!O559</f>
        <v>0</v>
      </c>
      <c r="L298" s="711">
        <f>Bilans_E_AMS_Kyoto_run3_MTE!P559</f>
        <v>0</v>
      </c>
      <c r="M298" s="711">
        <f>Bilans_E_AMS_Kyoto_run3_MTE!Q559</f>
        <v>0</v>
      </c>
      <c r="N298" s="711">
        <f>Bilans_E_AMS_Kyoto_run3_MTE!R559</f>
        <v>0</v>
      </c>
      <c r="O298" s="711">
        <f>Bilans_E_AMS_Kyoto_run3_MTE!S559</f>
        <v>0</v>
      </c>
      <c r="P298" s="711">
        <f>Bilans_E_AMS_Kyoto_run3_MTE!T559+Bilans_E_AMS_Kyoto_run3_MTE!U559</f>
        <v>0</v>
      </c>
      <c r="Q298" s="711">
        <f>Bilans_E_AMS_Kyoto_run3_MTE!V559</f>
        <v>0</v>
      </c>
      <c r="R298" s="711">
        <f>Bilans_E_AMS_Kyoto_run3_MTE!W559</f>
        <v>15.04</v>
      </c>
      <c r="S298" s="711">
        <f>Bilans_E_AMS_Kyoto_run3_MTE!X559</f>
        <v>0</v>
      </c>
      <c r="T298" s="711">
        <f>Bilans_E_AMS_Kyoto_run3_MTE!Y559</f>
        <v>0</v>
      </c>
      <c r="U298" s="711">
        <f>Bilans_E_AMS_Kyoto_run3_MTE!Z559</f>
        <v>15.04</v>
      </c>
      <c r="V298" s="701"/>
      <c r="W298" s="701"/>
    </row>
    <row r="299" spans="1:23" x14ac:dyDescent="0.25">
      <c r="A299" s="701" t="s">
        <v>513</v>
      </c>
      <c r="B299" s="701"/>
      <c r="C299" s="713" t="s">
        <v>83</v>
      </c>
      <c r="D299" s="714">
        <f>Bilans_E_AMS_Kyoto_run3_MTE!H560</f>
        <v>0</v>
      </c>
      <c r="E299" s="714">
        <f>Bilans_E_AMS_Kyoto_run3_MTE!I560</f>
        <v>0</v>
      </c>
      <c r="F299" s="714">
        <f>Bilans_E_AMS_Kyoto_run3_MTE!J560</f>
        <v>2.6375441900097218</v>
      </c>
      <c r="G299" s="714">
        <f>Bilans_E_AMS_Kyoto_run3_MTE!K560</f>
        <v>4.5999999999999996</v>
      </c>
      <c r="H299" s="714">
        <f>Bilans_E_AMS_Kyoto_run3_MTE!L560</f>
        <v>0</v>
      </c>
      <c r="I299" s="714">
        <f>Bilans_E_AMS_Kyoto_run3_MTE!M560</f>
        <v>4.2115153485371817</v>
      </c>
      <c r="J299" s="714">
        <f>Bilans_E_AMS_Kyoto_run3_MTE!N560</f>
        <v>0</v>
      </c>
      <c r="K299" s="714">
        <f>Bilans_E_AMS_Kyoto_run3_MTE!O560</f>
        <v>0</v>
      </c>
      <c r="L299" s="714">
        <f>Bilans_E_AMS_Kyoto_run3_MTE!P560</f>
        <v>92.181064137617497</v>
      </c>
      <c r="M299" s="714">
        <f>Bilans_E_AMS_Kyoto_run3_MTE!Q560</f>
        <v>7.3058555419217219</v>
      </c>
      <c r="N299" s="714">
        <f>Bilans_E_AMS_Kyoto_run3_MTE!R560</f>
        <v>24.156551983085681</v>
      </c>
      <c r="O299" s="714">
        <f>Bilans_E_AMS_Kyoto_run3_MTE!S560</f>
        <v>80.060922438361246</v>
      </c>
      <c r="P299" s="714">
        <f>Bilans_E_AMS_Kyoto_run3_MTE!T560+Bilans_E_AMS_Kyoto_run3_MTE!U560</f>
        <v>251.84592267661148</v>
      </c>
      <c r="Q299" s="714">
        <f>Bilans_E_AMS_Kyoto_run3_MTE!V560</f>
        <v>31.016507507845294</v>
      </c>
      <c r="R299" s="714">
        <f>Bilans_E_AMS_Kyoto_run3_MTE!W560</f>
        <v>574.93705609305459</v>
      </c>
      <c r="S299" s="714">
        <f>Bilans_E_AMS_Kyoto_run3_MTE!X560</f>
        <v>76.28935945815698</v>
      </c>
      <c r="T299" s="714">
        <f>Bilans_E_AMS_Kyoto_run3_MTE!Y560</f>
        <v>23.212509289266166</v>
      </c>
      <c r="U299" s="714">
        <f>Bilans_E_AMS_Kyoto_run3_MTE!Z560</f>
        <v>1172.4548086644675</v>
      </c>
      <c r="V299" s="701"/>
      <c r="W299" s="701"/>
    </row>
    <row r="300" spans="1:23" x14ac:dyDescent="0.25">
      <c r="A300" s="701" t="s">
        <v>514</v>
      </c>
      <c r="B300" s="701"/>
      <c r="C300" s="710" t="s">
        <v>84</v>
      </c>
      <c r="D300" s="711">
        <f>Bilans_E_AMS_Kyoto_run3_MTE!H561</f>
        <v>0</v>
      </c>
      <c r="E300" s="711">
        <f>Bilans_E_AMS_Kyoto_run3_MTE!I561</f>
        <v>0</v>
      </c>
      <c r="F300" s="711">
        <f>Bilans_E_AMS_Kyoto_run3_MTE!J561</f>
        <v>91.376834551502185</v>
      </c>
      <c r="G300" s="711">
        <f>Bilans_E_AMS_Kyoto_run3_MTE!K561</f>
        <v>4.3696590457446538</v>
      </c>
      <c r="H300" s="711">
        <f>Bilans_E_AMS_Kyoto_run3_MTE!L561</f>
        <v>7.019987079045241</v>
      </c>
      <c r="I300" s="711">
        <f>Bilans_E_AMS_Kyoto_run3_MTE!M561</f>
        <v>0</v>
      </c>
      <c r="J300" s="711">
        <f>Bilans_E_AMS_Kyoto_run3_MTE!N561</f>
        <v>0</v>
      </c>
      <c r="K300" s="711">
        <f>Bilans_E_AMS_Kyoto_run3_MTE!O561</f>
        <v>0</v>
      </c>
      <c r="L300" s="711">
        <f>Bilans_E_AMS_Kyoto_run3_MTE!P561</f>
        <v>0.61184558011433365</v>
      </c>
      <c r="M300" s="711">
        <f>Bilans_E_AMS_Kyoto_run3_MTE!Q561</f>
        <v>0</v>
      </c>
      <c r="N300" s="711">
        <f>Bilans_E_AMS_Kyoto_run3_MTE!R561</f>
        <v>6.5698161491399585</v>
      </c>
      <c r="O300" s="711">
        <f>Bilans_E_AMS_Kyoto_run3_MTE!S561</f>
        <v>0</v>
      </c>
      <c r="P300" s="711">
        <f>Bilans_E_AMS_Kyoto_run3_MTE!T561+Bilans_E_AMS_Kyoto_run3_MTE!U561</f>
        <v>0</v>
      </c>
      <c r="Q300" s="711">
        <f>Bilans_E_AMS_Kyoto_run3_MTE!V561</f>
        <v>0</v>
      </c>
      <c r="R300" s="711">
        <f>Bilans_E_AMS_Kyoto_run3_MTE!W561</f>
        <v>0</v>
      </c>
      <c r="S300" s="711">
        <f>Bilans_E_AMS_Kyoto_run3_MTE!X561</f>
        <v>0</v>
      </c>
      <c r="T300" s="711">
        <f>Bilans_E_AMS_Kyoto_run3_MTE!Y561</f>
        <v>6.6285490677230623</v>
      </c>
      <c r="U300" s="711">
        <f>Bilans_E_AMS_Kyoto_run3_MTE!Z561</f>
        <v>116.57669147326942</v>
      </c>
      <c r="V300" s="701"/>
      <c r="W300" s="701"/>
    </row>
    <row r="301" spans="1:23" x14ac:dyDescent="0.25">
      <c r="A301" s="701" t="s">
        <v>515</v>
      </c>
      <c r="B301" s="701"/>
      <c r="C301" s="713" t="s">
        <v>85</v>
      </c>
      <c r="D301" s="714">
        <f>Bilans_E_AMS_Kyoto_run3_MTE!H562</f>
        <v>0</v>
      </c>
      <c r="E301" s="714">
        <f>Bilans_E_AMS_Kyoto_run3_MTE!I562</f>
        <v>0</v>
      </c>
      <c r="F301" s="714">
        <f>Bilans_E_AMS_Kyoto_run3_MTE!J562</f>
        <v>94.014378741511905</v>
      </c>
      <c r="G301" s="714">
        <f>Bilans_E_AMS_Kyoto_run3_MTE!K562</f>
        <v>8.9696590457446526</v>
      </c>
      <c r="H301" s="714">
        <f>Bilans_E_AMS_Kyoto_run3_MTE!L562</f>
        <v>7.019987079045241</v>
      </c>
      <c r="I301" s="714">
        <f>Bilans_E_AMS_Kyoto_run3_MTE!M562</f>
        <v>4.2115153485371817</v>
      </c>
      <c r="J301" s="714">
        <f>Bilans_E_AMS_Kyoto_run3_MTE!N562</f>
        <v>0</v>
      </c>
      <c r="K301" s="714">
        <f>Bilans_E_AMS_Kyoto_run3_MTE!O562</f>
        <v>0</v>
      </c>
      <c r="L301" s="714">
        <f>Bilans_E_AMS_Kyoto_run3_MTE!P562</f>
        <v>92.792909717731831</v>
      </c>
      <c r="M301" s="714">
        <f>Bilans_E_AMS_Kyoto_run3_MTE!Q562</f>
        <v>7.3058555419217219</v>
      </c>
      <c r="N301" s="714">
        <f>Bilans_E_AMS_Kyoto_run3_MTE!R562</f>
        <v>30.726368132225637</v>
      </c>
      <c r="O301" s="714">
        <f>Bilans_E_AMS_Kyoto_run3_MTE!S562</f>
        <v>80.060922438361246</v>
      </c>
      <c r="P301" s="714">
        <f>Bilans_E_AMS_Kyoto_run3_MTE!T562+Bilans_E_AMS_Kyoto_run3_MTE!U562</f>
        <v>251.84592267661148</v>
      </c>
      <c r="Q301" s="714">
        <f>Bilans_E_AMS_Kyoto_run3_MTE!V562</f>
        <v>31.016507507845294</v>
      </c>
      <c r="R301" s="714">
        <f>Bilans_E_AMS_Kyoto_run3_MTE!W562</f>
        <v>574.93705609305459</v>
      </c>
      <c r="S301" s="714">
        <f>Bilans_E_AMS_Kyoto_run3_MTE!X562</f>
        <v>76.28935945815698</v>
      </c>
      <c r="T301" s="714">
        <f>Bilans_E_AMS_Kyoto_run3_MTE!Y562</f>
        <v>29.84105835698923</v>
      </c>
      <c r="U301" s="714">
        <f>Bilans_E_AMS_Kyoto_run3_MTE!Z562</f>
        <v>1289.0315001377369</v>
      </c>
      <c r="V301" s="701"/>
      <c r="W301" s="701"/>
    </row>
    <row r="302" spans="1:23" x14ac:dyDescent="0.25">
      <c r="A302" s="701"/>
      <c r="B302" s="701"/>
      <c r="C302" s="701"/>
      <c r="D302" s="701">
        <f>Bilans_E_AMS_Kyoto_run3_MTE!H563</f>
        <v>0</v>
      </c>
      <c r="E302" s="701">
        <f>Bilans_E_AMS_Kyoto_run3_MTE!I563</f>
        <v>0</v>
      </c>
      <c r="F302" s="701">
        <f>Bilans_E_AMS_Kyoto_run3_MTE!J563</f>
        <v>0</v>
      </c>
      <c r="G302" s="701">
        <f>Bilans_E_AMS_Kyoto_run3_MTE!K563</f>
        <v>0</v>
      </c>
      <c r="H302" s="701">
        <f>Bilans_E_AMS_Kyoto_run3_MTE!L563</f>
        <v>0</v>
      </c>
      <c r="I302" s="701">
        <f>Bilans_E_AMS_Kyoto_run3_MTE!M563</f>
        <v>-1.9859233333408E-4</v>
      </c>
      <c r="J302" s="701">
        <f>Bilans_E_AMS_Kyoto_run3_MTE!N563</f>
        <v>0</v>
      </c>
      <c r="K302" s="701">
        <f>Bilans_E_AMS_Kyoto_run3_MTE!O563</f>
        <v>0</v>
      </c>
      <c r="L302" s="701">
        <f>Bilans_E_AMS_Kyoto_run3_MTE!P563</f>
        <v>0</v>
      </c>
      <c r="M302" s="701">
        <f>Bilans_E_AMS_Kyoto_run3_MTE!Q563</f>
        <v>0</v>
      </c>
      <c r="N302" s="701">
        <f>Bilans_E_AMS_Kyoto_run3_MTE!R563</f>
        <v>0</v>
      </c>
      <c r="O302" s="701">
        <f>Bilans_E_AMS_Kyoto_run3_MTE!S563</f>
        <v>0</v>
      </c>
      <c r="P302" s="701">
        <f>Bilans_E_AMS_Kyoto_run3_MTE!T563+Bilans_E_AMS_Kyoto_run3_MTE!U563</f>
        <v>0</v>
      </c>
      <c r="Q302" s="701">
        <f>Bilans_E_AMS_Kyoto_run3_MTE!V563</f>
        <v>0</v>
      </c>
      <c r="R302" s="701">
        <f>Bilans_E_AMS_Kyoto_run3_MTE!W563</f>
        <v>0</v>
      </c>
      <c r="S302" s="701">
        <f>Bilans_E_AMS_Kyoto_run3_MTE!X563</f>
        <v>-3.3901093871691046E-5</v>
      </c>
      <c r="T302" s="701">
        <f>Bilans_E_AMS_Kyoto_run3_MTE!Y563</f>
        <v>0</v>
      </c>
      <c r="U302" s="701">
        <f>Bilans_E_AMS_Kyoto_run3_MTE!Z563</f>
        <v>-2.3249342757480917E-4</v>
      </c>
      <c r="V302" s="701"/>
      <c r="W302" s="701"/>
    </row>
    <row r="303" spans="1:23" x14ac:dyDescent="0.25">
      <c r="A303" s="51"/>
      <c r="B303" s="51"/>
      <c r="C303" s="51"/>
      <c r="D303" s="51"/>
      <c r="E303" s="51"/>
      <c r="F303" s="51"/>
      <c r="G303" s="67"/>
      <c r="H303" s="51"/>
      <c r="I303" s="51"/>
      <c r="J303" s="51"/>
      <c r="K303" s="51"/>
      <c r="L303" s="51"/>
      <c r="M303" s="51"/>
      <c r="N303" s="51"/>
      <c r="O303" s="51"/>
      <c r="P303" s="51"/>
      <c r="Q303" s="51"/>
      <c r="R303" s="51"/>
      <c r="S303" s="51"/>
      <c r="T303" s="51"/>
      <c r="U303" s="51"/>
    </row>
  </sheetData>
  <mergeCells count="112">
    <mergeCell ref="U10:U11"/>
    <mergeCell ref="C10:C11"/>
    <mergeCell ref="D10:D11"/>
    <mergeCell ref="E10:E11"/>
    <mergeCell ref="F10:F11"/>
    <mergeCell ref="G10:G11"/>
    <mergeCell ref="H10:H11"/>
    <mergeCell ref="I10:I11"/>
    <mergeCell ref="J10:J11"/>
    <mergeCell ref="E47:E48"/>
    <mergeCell ref="F47:F48"/>
    <mergeCell ref="G47:G48"/>
    <mergeCell ref="H47:H48"/>
    <mergeCell ref="K10:K11"/>
    <mergeCell ref="L10:Q10"/>
    <mergeCell ref="R10:R11"/>
    <mergeCell ref="S10:S11"/>
    <mergeCell ref="T10:T11"/>
    <mergeCell ref="K84:K85"/>
    <mergeCell ref="L84:Q84"/>
    <mergeCell ref="R84:R85"/>
    <mergeCell ref="S84:S85"/>
    <mergeCell ref="T84:T85"/>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S47:S48"/>
    <mergeCell ref="C47:C48"/>
    <mergeCell ref="D47:D48"/>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R121:R122"/>
    <mergeCell ref="S121:S122"/>
    <mergeCell ref="C121:C122"/>
    <mergeCell ref="D121:D122"/>
    <mergeCell ref="E121:E122"/>
    <mergeCell ref="F121:F122"/>
    <mergeCell ref="G121:G122"/>
    <mergeCell ref="H121:H122"/>
    <mergeCell ref="E195:E196"/>
    <mergeCell ref="F195:F196"/>
    <mergeCell ref="G195:G196"/>
    <mergeCell ref="H195:H196"/>
    <mergeCell ref="K158:K159"/>
    <mergeCell ref="L158:Q158"/>
    <mergeCell ref="R158:R159"/>
    <mergeCell ref="S158:S159"/>
    <mergeCell ref="T158:T159"/>
    <mergeCell ref="K232:K233"/>
    <mergeCell ref="L232:Q232"/>
    <mergeCell ref="R232:R233"/>
    <mergeCell ref="S232:S233"/>
    <mergeCell ref="T232:T233"/>
    <mergeCell ref="U232:U233"/>
    <mergeCell ref="T195:T196"/>
    <mergeCell ref="U195:U196"/>
    <mergeCell ref="C232:C233"/>
    <mergeCell ref="D232:D233"/>
    <mergeCell ref="E232:E233"/>
    <mergeCell ref="F232:F233"/>
    <mergeCell ref="G232:G233"/>
    <mergeCell ref="H232:H233"/>
    <mergeCell ref="I232:I233"/>
    <mergeCell ref="J232:J233"/>
    <mergeCell ref="I195:I196"/>
    <mergeCell ref="J195:J196"/>
    <mergeCell ref="K195:K196"/>
    <mergeCell ref="L195:Q195"/>
    <mergeCell ref="R195:R196"/>
    <mergeCell ref="S195:S196"/>
    <mergeCell ref="C195:C196"/>
    <mergeCell ref="D195:D196"/>
    <mergeCell ref="T269:T270"/>
    <mergeCell ref="U269:U270"/>
    <mergeCell ref="I269:I270"/>
    <mergeCell ref="J269:J270"/>
    <mergeCell ref="K269:K270"/>
    <mergeCell ref="L269:Q269"/>
    <mergeCell ref="R269:R270"/>
    <mergeCell ref="S269:S270"/>
    <mergeCell ref="C269:C270"/>
    <mergeCell ref="D269:D270"/>
    <mergeCell ref="E269:E270"/>
    <mergeCell ref="F269:F270"/>
    <mergeCell ref="G269:G270"/>
    <mergeCell ref="H269:H270"/>
  </mergeCells>
  <conditionalFormatting sqref="D12:F18 H12:H18 J12:U18">
    <cfRule type="expression" dxfId="394" priority="14">
      <formula>LEN(TRIM(D12))=0</formula>
    </cfRule>
  </conditionalFormatting>
  <conditionalFormatting sqref="D34:F42 H34:H42 J34:U42">
    <cfRule type="expression" dxfId="393" priority="16">
      <formula>LEN(TRIM(D34))=0</formula>
    </cfRule>
  </conditionalFormatting>
  <conditionalFormatting sqref="D12:I42">
    <cfRule type="cellIs" dxfId="392" priority="5" operator="equal">
      <formula>0</formula>
    </cfRule>
  </conditionalFormatting>
  <conditionalFormatting sqref="G12:G18 G34:G42">
    <cfRule type="containsBlanks" dxfId="391" priority="10">
      <formula>LEN(TRIM(G12))=0</formula>
    </cfRule>
  </conditionalFormatting>
  <conditionalFormatting sqref="G20:G32">
    <cfRule type="containsBlanks" dxfId="390" priority="9">
      <formula>LEN(TRIM(G20))=0</formula>
    </cfRule>
  </conditionalFormatting>
  <conditionalFormatting sqref="I12:I18 I34:I42">
    <cfRule type="containsBlanks" dxfId="389" priority="8">
      <formula>LEN(TRIM(I12))=0</formula>
    </cfRule>
  </conditionalFormatting>
  <conditionalFormatting sqref="I20:I21 I23:I32">
    <cfRule type="containsBlanks" dxfId="388" priority="7">
      <formula>LEN(TRIM(I20))=0</formula>
    </cfRule>
  </conditionalFormatting>
  <conditionalFormatting sqref="I22:U22">
    <cfRule type="expression" dxfId="387" priority="6">
      <formula>LEN(TRIM(I22))=0</formula>
    </cfRule>
  </conditionalFormatting>
  <conditionalFormatting sqref="J12:K14">
    <cfRule type="cellIs" dxfId="386" priority="13" operator="equal">
      <formula>0</formula>
    </cfRule>
  </conditionalFormatting>
  <conditionalFormatting sqref="J15:Q16">
    <cfRule type="cellIs" dxfId="385" priority="15" operator="equal">
      <formula>0</formula>
    </cfRule>
  </conditionalFormatting>
  <conditionalFormatting sqref="J18:U42">
    <cfRule type="cellIs" dxfId="384" priority="4" operator="equal">
      <formula>0</formula>
    </cfRule>
  </conditionalFormatting>
  <conditionalFormatting sqref="J20:U21 D20:F32 H20:H32 J23:U32">
    <cfRule type="expression" dxfId="383" priority="11">
      <formula>LEN(TRIM(D20))=0</formula>
    </cfRule>
  </conditionalFormatting>
  <conditionalFormatting sqref="L12:U17 J17:K17">
    <cfRule type="cellIs" dxfId="382" priority="12" operator="equal">
      <formula>0</formula>
    </cfRule>
  </conditionalFormatting>
  <conditionalFormatting sqref="M23">
    <cfRule type="expression" dxfId="381" priority="3">
      <formula>LEN(TRIM(M23))=0</formula>
    </cfRule>
  </conditionalFormatting>
  <conditionalFormatting sqref="M26">
    <cfRule type="expression" dxfId="380" priority="1">
      <formula>LEN(TRIM(M26))=0</formula>
    </cfRule>
  </conditionalFormatting>
  <conditionalFormatting sqref="T30">
    <cfRule type="expression" dxfId="379" priority="2">
      <formula>LEN(TRIM(T30))=0</formula>
    </cfRule>
  </conditionalFormatting>
  <pageMargins left="0.7" right="0.7" top="0.75" bottom="0.75" header="0.3" footer="0.3"/>
  <legacy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FDDEB-D51C-4755-A15E-FE537CE166D0}">
  <sheetPr>
    <tabColor theme="1" tint="0.249977111117893"/>
  </sheetPr>
  <dimension ref="A1:W266"/>
  <sheetViews>
    <sheetView zoomScale="85" zoomScaleNormal="85" workbookViewId="0">
      <selection activeCell="A8" sqref="A8:XFD44"/>
    </sheetView>
  </sheetViews>
  <sheetFormatPr baseColWidth="10" defaultRowHeight="15" x14ac:dyDescent="0.25"/>
  <cols>
    <col min="3" max="3" width="24.28515625" customWidth="1"/>
    <col min="4" max="21" width="12.5703125" customWidth="1"/>
  </cols>
  <sheetData>
    <row r="1" spans="1:23" ht="15.75" x14ac:dyDescent="0.25">
      <c r="A1" s="700"/>
      <c r="B1" s="700"/>
      <c r="C1" s="700"/>
      <c r="D1" s="598" t="s">
        <v>527</v>
      </c>
      <c r="E1" s="598" t="s">
        <v>528</v>
      </c>
      <c r="F1" s="598" t="s">
        <v>529</v>
      </c>
      <c r="G1" s="598" t="s">
        <v>530</v>
      </c>
      <c r="H1" s="598" t="s">
        <v>531</v>
      </c>
      <c r="I1" s="598" t="s">
        <v>532</v>
      </c>
      <c r="J1" s="598" t="s">
        <v>533</v>
      </c>
      <c r="K1" s="598" t="s">
        <v>534</v>
      </c>
      <c r="L1" s="598" t="s">
        <v>535</v>
      </c>
      <c r="M1" s="598" t="s">
        <v>536</v>
      </c>
      <c r="N1" s="598" t="s">
        <v>537</v>
      </c>
      <c r="O1" s="598" t="s">
        <v>538</v>
      </c>
      <c r="P1" s="598" t="s">
        <v>539</v>
      </c>
      <c r="Q1" s="598" t="s">
        <v>541</v>
      </c>
      <c r="R1" s="598" t="s">
        <v>542</v>
      </c>
      <c r="S1" s="598" t="s">
        <v>543</v>
      </c>
      <c r="T1" s="598" t="s">
        <v>606</v>
      </c>
      <c r="U1" s="598" t="s">
        <v>607</v>
      </c>
      <c r="V1" s="700"/>
      <c r="W1" s="700"/>
    </row>
    <row r="2" spans="1:23" x14ac:dyDescent="0.25">
      <c r="A2" s="700"/>
      <c r="B2" s="700"/>
      <c r="C2" s="700"/>
      <c r="D2" s="700" t="s">
        <v>545</v>
      </c>
      <c r="E2" s="701" t="s">
        <v>546</v>
      </c>
      <c r="F2" s="701" t="s">
        <v>547</v>
      </c>
      <c r="G2" s="701" t="s">
        <v>548</v>
      </c>
      <c r="H2" s="701" t="s">
        <v>549</v>
      </c>
      <c r="I2" s="701" t="s">
        <v>550</v>
      </c>
      <c r="J2" s="701" t="s">
        <v>551</v>
      </c>
      <c r="K2" s="701" t="s">
        <v>552</v>
      </c>
      <c r="L2" s="701" t="s">
        <v>553</v>
      </c>
      <c r="M2" s="701" t="s">
        <v>554</v>
      </c>
      <c r="N2" s="701" t="s">
        <v>555</v>
      </c>
      <c r="O2" s="701" t="s">
        <v>556</v>
      </c>
      <c r="P2" s="701" t="s">
        <v>557</v>
      </c>
      <c r="Q2" s="701" t="s">
        <v>558</v>
      </c>
      <c r="R2" s="701" t="s">
        <v>559</v>
      </c>
      <c r="S2" s="701" t="s">
        <v>560</v>
      </c>
      <c r="T2" s="701" t="s">
        <v>561</v>
      </c>
      <c r="U2" s="701" t="s">
        <v>562</v>
      </c>
      <c r="V2" s="700"/>
      <c r="W2" s="700"/>
    </row>
    <row r="3" spans="1:23" ht="18" x14ac:dyDescent="0.25">
      <c r="A3" s="702"/>
      <c r="B3" s="702"/>
      <c r="C3" s="703" t="s">
        <v>406</v>
      </c>
      <c r="D3" s="702"/>
      <c r="E3" s="702"/>
      <c r="F3" s="702"/>
      <c r="G3" s="702"/>
      <c r="H3" s="702"/>
      <c r="I3" s="702"/>
      <c r="J3" s="702"/>
      <c r="K3" s="702"/>
      <c r="L3" s="702"/>
      <c r="M3" s="702"/>
      <c r="N3" s="702"/>
      <c r="O3" s="702"/>
      <c r="P3" s="702"/>
      <c r="Q3" s="702"/>
      <c r="R3" s="702"/>
      <c r="S3" s="702"/>
      <c r="T3" s="702"/>
      <c r="U3" s="702"/>
      <c r="V3" s="702"/>
      <c r="W3" s="702"/>
    </row>
    <row r="4" spans="1:23" x14ac:dyDescent="0.25">
      <c r="A4" s="701"/>
      <c r="B4" s="701"/>
      <c r="C4" s="701"/>
      <c r="D4" s="701"/>
      <c r="E4" s="701"/>
      <c r="F4" s="701"/>
      <c r="G4" s="701"/>
      <c r="H4" s="701"/>
      <c r="I4" s="701"/>
      <c r="J4" s="701"/>
      <c r="K4" s="701"/>
      <c r="L4" s="701"/>
      <c r="M4" s="701"/>
      <c r="N4" s="701"/>
      <c r="O4" s="701"/>
      <c r="P4" s="701"/>
      <c r="Q4" s="701"/>
      <c r="R4" s="701"/>
      <c r="S4" s="701"/>
      <c r="T4" s="701"/>
      <c r="U4" s="701"/>
      <c r="V4" s="701"/>
      <c r="W4" s="701"/>
    </row>
    <row r="5" spans="1:23" ht="15.75" x14ac:dyDescent="0.25">
      <c r="A5" s="704"/>
      <c r="B5" s="701"/>
      <c r="C5" s="705" t="s">
        <v>338</v>
      </c>
      <c r="D5" s="704" t="s">
        <v>481</v>
      </c>
      <c r="E5" s="704"/>
      <c r="F5" s="704"/>
      <c r="G5" s="704"/>
      <c r="H5" s="704"/>
      <c r="I5" s="704"/>
      <c r="J5" s="704"/>
      <c r="K5" s="706"/>
      <c r="L5" s="706"/>
      <c r="M5" s="706"/>
      <c r="N5" s="706"/>
      <c r="O5" s="706"/>
      <c r="P5" s="706"/>
      <c r="Q5" s="706"/>
      <c r="R5" s="704"/>
      <c r="S5" s="704"/>
      <c r="T5" s="704"/>
      <c r="U5" s="704"/>
      <c r="V5" s="704"/>
      <c r="W5" s="704"/>
    </row>
    <row r="6" spans="1:23" ht="15.75" x14ac:dyDescent="0.25">
      <c r="A6" s="704"/>
      <c r="B6" s="701"/>
      <c r="C6" s="705" t="s">
        <v>341</v>
      </c>
      <c r="D6" s="704" t="s">
        <v>342</v>
      </c>
      <c r="E6" s="704"/>
      <c r="F6" s="704"/>
      <c r="G6" s="704"/>
      <c r="H6" s="704"/>
      <c r="I6" s="704"/>
      <c r="J6" s="704"/>
      <c r="K6" s="704"/>
      <c r="L6" s="704"/>
      <c r="M6" s="704"/>
      <c r="N6" s="704"/>
      <c r="O6" s="704"/>
      <c r="P6" s="704"/>
      <c r="Q6" s="704"/>
      <c r="R6" s="704"/>
      <c r="S6" s="704"/>
      <c r="T6" s="704"/>
      <c r="U6" s="704"/>
      <c r="V6" s="704"/>
      <c r="W6" s="704"/>
    </row>
    <row r="7" spans="1:23" x14ac:dyDescent="0.25">
      <c r="A7" s="701"/>
      <c r="B7" s="701"/>
      <c r="C7" s="701"/>
      <c r="D7" s="701"/>
      <c r="E7" s="701"/>
      <c r="F7" s="701"/>
      <c r="G7" s="701"/>
      <c r="H7" s="701"/>
      <c r="I7" s="701"/>
      <c r="J7" s="701"/>
      <c r="K7" s="701"/>
      <c r="L7" s="701"/>
      <c r="M7" s="701"/>
      <c r="N7" s="701"/>
      <c r="O7" s="701"/>
      <c r="P7" s="701"/>
      <c r="Q7" s="701"/>
      <c r="R7" s="701"/>
      <c r="S7" s="701"/>
      <c r="T7" s="701"/>
      <c r="U7" s="701"/>
      <c r="V7" s="701"/>
      <c r="W7" s="701"/>
    </row>
    <row r="8" spans="1:23" x14ac:dyDescent="0.25">
      <c r="A8" s="707"/>
      <c r="B8" s="707"/>
      <c r="C8" s="708" t="s">
        <v>357</v>
      </c>
      <c r="D8" s="707"/>
      <c r="E8" s="707"/>
      <c r="F8" s="707"/>
      <c r="G8" s="707"/>
      <c r="H8" s="707"/>
      <c r="I8" s="707"/>
      <c r="J8" s="707"/>
      <c r="K8" s="707"/>
      <c r="L8" s="707"/>
      <c r="M8" s="707"/>
      <c r="N8" s="707"/>
      <c r="O8" s="707"/>
      <c r="P8" s="707"/>
      <c r="Q8" s="707"/>
      <c r="R8" s="707"/>
      <c r="S8" s="707"/>
      <c r="T8" s="707"/>
      <c r="U8" s="707"/>
      <c r="V8" s="707"/>
      <c r="W8" s="707"/>
    </row>
    <row r="9" spans="1:23" x14ac:dyDescent="0.25">
      <c r="A9" s="701"/>
      <c r="B9" s="701"/>
      <c r="C9" s="701"/>
      <c r="D9" s="701"/>
      <c r="E9" s="701"/>
      <c r="F9" s="701"/>
      <c r="G9" s="701"/>
      <c r="H9" s="701"/>
      <c r="I9" s="701"/>
      <c r="J9" s="701"/>
      <c r="K9" s="701"/>
      <c r="L9" s="701"/>
      <c r="M9" s="701"/>
      <c r="N9" s="701"/>
      <c r="O9" s="701"/>
      <c r="P9" s="701"/>
      <c r="Q9" s="701"/>
      <c r="R9" s="701"/>
      <c r="S9" s="701"/>
      <c r="T9" s="701"/>
      <c r="U9" s="701"/>
      <c r="V9" s="701"/>
      <c r="W9" s="701"/>
    </row>
    <row r="10" spans="1:23" x14ac:dyDescent="0.25">
      <c r="A10" s="701"/>
      <c r="B10" s="701"/>
      <c r="C10" s="780" t="s">
        <v>128</v>
      </c>
      <c r="D10" s="775" t="s">
        <v>42</v>
      </c>
      <c r="E10" s="775" t="s">
        <v>52</v>
      </c>
      <c r="F10" s="775" t="s">
        <v>53</v>
      </c>
      <c r="G10" s="775" t="s">
        <v>482</v>
      </c>
      <c r="H10" s="775" t="s">
        <v>32</v>
      </c>
      <c r="I10" s="775" t="s">
        <v>483</v>
      </c>
      <c r="J10" s="775" t="s">
        <v>20</v>
      </c>
      <c r="K10" s="775" t="s">
        <v>55</v>
      </c>
      <c r="L10" s="777" t="s">
        <v>56</v>
      </c>
      <c r="M10" s="778"/>
      <c r="N10" s="778"/>
      <c r="O10" s="778"/>
      <c r="P10" s="778"/>
      <c r="Q10" s="779"/>
      <c r="R10" s="775" t="s">
        <v>57</v>
      </c>
      <c r="S10" s="775" t="s">
        <v>58</v>
      </c>
      <c r="T10" s="775" t="s">
        <v>31</v>
      </c>
      <c r="U10" s="775" t="s">
        <v>10</v>
      </c>
      <c r="V10" s="701"/>
      <c r="W10" s="701"/>
    </row>
    <row r="11" spans="1:23" ht="67.5" x14ac:dyDescent="0.25">
      <c r="A11" s="701" t="s">
        <v>486</v>
      </c>
      <c r="B11" s="701"/>
      <c r="C11" s="781"/>
      <c r="D11" s="776"/>
      <c r="E11" s="776"/>
      <c r="F11" s="776"/>
      <c r="G11" s="776"/>
      <c r="H11" s="776"/>
      <c r="I11" s="776"/>
      <c r="J11" s="776"/>
      <c r="K11" s="776"/>
      <c r="L11" s="709" t="s">
        <v>335</v>
      </c>
      <c r="M11" s="709" t="s">
        <v>40</v>
      </c>
      <c r="N11" s="709" t="s">
        <v>343</v>
      </c>
      <c r="O11" s="709" t="s">
        <v>344</v>
      </c>
      <c r="P11" s="719" t="s">
        <v>610</v>
      </c>
      <c r="Q11" s="709" t="s">
        <v>346</v>
      </c>
      <c r="R11" s="776"/>
      <c r="S11" s="776"/>
      <c r="T11" s="776"/>
      <c r="U11" s="776"/>
      <c r="V11" s="701"/>
      <c r="W11" s="701"/>
    </row>
    <row r="12" spans="1:23" x14ac:dyDescent="0.25">
      <c r="A12" s="701" t="s">
        <v>487</v>
      </c>
      <c r="B12" s="701"/>
      <c r="C12" s="710" t="s">
        <v>59</v>
      </c>
      <c r="D12" s="711">
        <f>Bilans_E_AMS_Kyoto_run3_MTE!H310</f>
        <v>0</v>
      </c>
      <c r="E12" s="711">
        <f>Bilans_E_AMS_Kyoto_run3_MTE!I310</f>
        <v>6.6756200000000003</v>
      </c>
      <c r="F12" s="711">
        <f>Bilans_E_AMS_Kyoto_run3_MTE!J310</f>
        <v>0</v>
      </c>
      <c r="G12" s="711">
        <f>Bilans_E_AMS_Kyoto_run3_MTE!K310</f>
        <v>0</v>
      </c>
      <c r="H12" s="711">
        <f>Bilans_E_AMS_Kyoto_run3_MTE!L310</f>
        <v>0.13839700000000002</v>
      </c>
      <c r="I12" s="711">
        <f>Bilans_E_AMS_Kyoto_run3_MTE!M310</f>
        <v>0</v>
      </c>
      <c r="J12" s="711">
        <f>Bilans_E_AMS_Kyoto_run3_MTE!N310</f>
        <v>1165.8657454545453</v>
      </c>
      <c r="K12" s="711">
        <f>Bilans_E_AMS_Kyoto_run3_MTE!O310</f>
        <v>264.18035739757391</v>
      </c>
      <c r="L12" s="711">
        <f>Bilans_E_AMS_Kyoto_run3_MTE!P310</f>
        <v>307.7744422597346</v>
      </c>
      <c r="M12" s="711">
        <f>Bilans_E_AMS_Kyoto_run3_MTE!Q310</f>
        <v>51.405271738220549</v>
      </c>
      <c r="N12" s="711">
        <f>Bilans_E_AMS_Kyoto_run3_MTE!R310</f>
        <v>0</v>
      </c>
      <c r="O12" s="711">
        <f>Bilans_E_AMS_Kyoto_run3_MTE!S310</f>
        <v>0</v>
      </c>
      <c r="P12" s="711">
        <f>Bilans_E_AMS_Kyoto_run3_MTE!T310+Bilans_E_AMS_Kyoto_run3_MTE!U310</f>
        <v>151.46298386421165</v>
      </c>
      <c r="Q12" s="711">
        <f>Bilans_E_AMS_Kyoto_run3_MTE!V310</f>
        <v>29.323733806781338</v>
      </c>
      <c r="R12" s="711">
        <f>Bilans_E_AMS_Kyoto_run3_MTE!W310</f>
        <v>0</v>
      </c>
      <c r="S12" s="711">
        <f>Bilans_E_AMS_Kyoto_run3_MTE!X310</f>
        <v>0</v>
      </c>
      <c r="T12" s="711">
        <f>Bilans_E_AMS_Kyoto_run3_MTE!Y310</f>
        <v>0</v>
      </c>
      <c r="U12" s="711">
        <f>Bilans_E_AMS_Kyoto_run3_MTE!Z310</f>
        <v>1976.8265515210674</v>
      </c>
      <c r="V12" s="701"/>
      <c r="W12" s="701"/>
    </row>
    <row r="13" spans="1:23" x14ac:dyDescent="0.25">
      <c r="A13" s="701" t="s">
        <v>488</v>
      </c>
      <c r="B13" s="701"/>
      <c r="C13" s="710" t="s">
        <v>60</v>
      </c>
      <c r="D13" s="712">
        <f>Bilans_E_AMS_Kyoto_run3_MTE!H311</f>
        <v>16.733972167968751</v>
      </c>
      <c r="E13" s="712">
        <f>Bilans_E_AMS_Kyoto_run3_MTE!I311</f>
        <v>341.17156490138257</v>
      </c>
      <c r="F13" s="712">
        <f>Bilans_E_AMS_Kyoto_run3_MTE!J311</f>
        <v>153.01857569335476</v>
      </c>
      <c r="G13" s="712">
        <f>Bilans_E_AMS_Kyoto_run3_MTE!K311</f>
        <v>1.5907003975249192</v>
      </c>
      <c r="H13" s="712">
        <f>Bilans_E_AMS_Kyoto_run3_MTE!L311</f>
        <v>229.24655706350896</v>
      </c>
      <c r="I13" s="712">
        <f>Bilans_E_AMS_Kyoto_run3_MTE!M311</f>
        <v>0</v>
      </c>
      <c r="J13" s="712">
        <f>Bilans_E_AMS_Kyoto_run3_MTE!N311</f>
        <v>0</v>
      </c>
      <c r="K13" s="712">
        <f>Bilans_E_AMS_Kyoto_run3_MTE!O311</f>
        <v>0</v>
      </c>
      <c r="L13" s="712">
        <f>Bilans_E_AMS_Kyoto_run3_MTE!P311</f>
        <v>2.5625656464325743</v>
      </c>
      <c r="M13" s="712">
        <f>Bilans_E_AMS_Kyoto_run3_MTE!Q311</f>
        <v>0</v>
      </c>
      <c r="N13" s="712">
        <f>Bilans_E_AMS_Kyoto_run3_MTE!R311</f>
        <v>11.177777544289128</v>
      </c>
      <c r="O13" s="712">
        <f>Bilans_E_AMS_Kyoto_run3_MTE!S311</f>
        <v>5.1524616534363687</v>
      </c>
      <c r="P13" s="712">
        <f>Bilans_E_AMS_Kyoto_run3_MTE!T311+Bilans_E_AMS_Kyoto_run3_MTE!U311</f>
        <v>0</v>
      </c>
      <c r="Q13" s="712">
        <f>Bilans_E_AMS_Kyoto_run3_MTE!V311</f>
        <v>0</v>
      </c>
      <c r="R13" s="712">
        <f>Bilans_E_AMS_Kyoto_run3_MTE!W311</f>
        <v>0</v>
      </c>
      <c r="S13" s="712">
        <f>Bilans_E_AMS_Kyoto_run3_MTE!X311</f>
        <v>0</v>
      </c>
      <c r="T13" s="712">
        <f>Bilans_E_AMS_Kyoto_run3_MTE!Y311</f>
        <v>0</v>
      </c>
      <c r="U13" s="712">
        <f>Bilans_E_AMS_Kyoto_run3_MTE!Z311</f>
        <v>760.65417506789811</v>
      </c>
      <c r="V13" s="701"/>
      <c r="W13" s="701"/>
    </row>
    <row r="14" spans="1:23" x14ac:dyDescent="0.25">
      <c r="A14" s="701" t="s">
        <v>489</v>
      </c>
      <c r="B14" s="701"/>
      <c r="C14" s="710" t="s">
        <v>61</v>
      </c>
      <c r="D14" s="712">
        <f>Bilans_E_AMS_Kyoto_run3_MTE!H312</f>
        <v>0</v>
      </c>
      <c r="E14" s="712">
        <f>Bilans_E_AMS_Kyoto_run3_MTE!I312</f>
        <v>0</v>
      </c>
      <c r="F14" s="712">
        <f>Bilans_E_AMS_Kyoto_run3_MTE!J312</f>
        <v>0</v>
      </c>
      <c r="G14" s="712">
        <f>Bilans_E_AMS_Kyoto_run3_MTE!K312</f>
        <v>0</v>
      </c>
      <c r="H14" s="712">
        <f>Bilans_E_AMS_Kyoto_run3_MTE!L312</f>
        <v>0</v>
      </c>
      <c r="I14" s="712">
        <f>Bilans_E_AMS_Kyoto_run3_MTE!M312</f>
        <v>0</v>
      </c>
      <c r="J14" s="712">
        <f>Bilans_E_AMS_Kyoto_run3_MTE!N312</f>
        <v>0</v>
      </c>
      <c r="K14" s="712">
        <f>Bilans_E_AMS_Kyoto_run3_MTE!O312</f>
        <v>0</v>
      </c>
      <c r="L14" s="712">
        <f>Bilans_E_AMS_Kyoto_run3_MTE!P312</f>
        <v>0</v>
      </c>
      <c r="M14" s="712">
        <f>Bilans_E_AMS_Kyoto_run3_MTE!Q312</f>
        <v>0</v>
      </c>
      <c r="N14" s="712">
        <f>Bilans_E_AMS_Kyoto_run3_MTE!R312</f>
        <v>0</v>
      </c>
      <c r="O14" s="712">
        <f>Bilans_E_AMS_Kyoto_run3_MTE!S312</f>
        <v>0</v>
      </c>
      <c r="P14" s="712">
        <f>Bilans_E_AMS_Kyoto_run3_MTE!T312+Bilans_E_AMS_Kyoto_run3_MTE!U312</f>
        <v>0</v>
      </c>
      <c r="Q14" s="712">
        <f>Bilans_E_AMS_Kyoto_run3_MTE!V312</f>
        <v>0</v>
      </c>
      <c r="R14" s="712">
        <f>Bilans_E_AMS_Kyoto_run3_MTE!W312</f>
        <v>-83.337259091529631</v>
      </c>
      <c r="S14" s="712">
        <f>Bilans_E_AMS_Kyoto_run3_MTE!X312</f>
        <v>0</v>
      </c>
      <c r="T14" s="712">
        <f>Bilans_E_AMS_Kyoto_run3_MTE!Y312</f>
        <v>0</v>
      </c>
      <c r="U14" s="712">
        <f>Bilans_E_AMS_Kyoto_run3_MTE!Z312</f>
        <v>-83.337259091529631</v>
      </c>
      <c r="V14" s="701"/>
      <c r="W14" s="701"/>
    </row>
    <row r="15" spans="1:23" x14ac:dyDescent="0.25">
      <c r="A15" s="701" t="s">
        <v>490</v>
      </c>
      <c r="B15" s="701"/>
      <c r="C15" s="710" t="s">
        <v>62</v>
      </c>
      <c r="D15" s="711">
        <f>Bilans_E_AMS_Kyoto_run3_MTE!H313</f>
        <v>0</v>
      </c>
      <c r="E15" s="711">
        <f>Bilans_E_AMS_Kyoto_run3_MTE!I313</f>
        <v>0</v>
      </c>
      <c r="F15" s="711">
        <f>Bilans_E_AMS_Kyoto_run3_MTE!J313</f>
        <v>-7.8555551160476131</v>
      </c>
      <c r="G15" s="711">
        <f>Bilans_E_AMS_Kyoto_run3_MTE!K313</f>
        <v>-0.3373161064337088</v>
      </c>
      <c r="H15" s="711">
        <f>Bilans_E_AMS_Kyoto_run3_MTE!L313</f>
        <v>-0.96725165809085023</v>
      </c>
      <c r="I15" s="711">
        <f>Bilans_E_AMS_Kyoto_run3_MTE!M313</f>
        <v>-0.4644109471147348</v>
      </c>
      <c r="J15" s="711">
        <f>Bilans_E_AMS_Kyoto_run3_MTE!N313</f>
        <v>0</v>
      </c>
      <c r="K15" s="711">
        <f>Bilans_E_AMS_Kyoto_run3_MTE!O313</f>
        <v>0</v>
      </c>
      <c r="L15" s="711">
        <f>Bilans_E_AMS_Kyoto_run3_MTE!P313</f>
        <v>0</v>
      </c>
      <c r="M15" s="711">
        <f>Bilans_E_AMS_Kyoto_run3_MTE!Q313</f>
        <v>0</v>
      </c>
      <c r="N15" s="711">
        <f>Bilans_E_AMS_Kyoto_run3_MTE!R313</f>
        <v>0</v>
      </c>
      <c r="O15" s="711">
        <f>Bilans_E_AMS_Kyoto_run3_MTE!S313</f>
        <v>-0.87837701634115894</v>
      </c>
      <c r="P15" s="711">
        <f>Bilans_E_AMS_Kyoto_run3_MTE!T313+Bilans_E_AMS_Kyoto_run3_MTE!U313</f>
        <v>0</v>
      </c>
      <c r="Q15" s="711">
        <f>Bilans_E_AMS_Kyoto_run3_MTE!V313</f>
        <v>0</v>
      </c>
      <c r="R15" s="711">
        <f>Bilans_E_AMS_Kyoto_run3_MTE!W313</f>
        <v>0</v>
      </c>
      <c r="S15" s="711">
        <f>Bilans_E_AMS_Kyoto_run3_MTE!X313</f>
        <v>0</v>
      </c>
      <c r="T15" s="711">
        <f>Bilans_E_AMS_Kyoto_run3_MTE!Y313</f>
        <v>-0.26185876214866849</v>
      </c>
      <c r="U15" s="711">
        <f>Bilans_E_AMS_Kyoto_run3_MTE!Z313</f>
        <v>-10.764769606176733</v>
      </c>
      <c r="V15" s="701"/>
      <c r="W15" s="701"/>
    </row>
    <row r="16" spans="1:23" x14ac:dyDescent="0.25">
      <c r="A16" s="701" t="s">
        <v>491</v>
      </c>
      <c r="B16" s="701"/>
      <c r="C16" s="710" t="s">
        <v>63</v>
      </c>
      <c r="D16" s="711">
        <f>Bilans_E_AMS_Kyoto_run3_MTE!H314</f>
        <v>0</v>
      </c>
      <c r="E16" s="711">
        <f>Bilans_E_AMS_Kyoto_run3_MTE!I314</f>
        <v>0</v>
      </c>
      <c r="F16" s="711">
        <f>Bilans_E_AMS_Kyoto_run3_MTE!J314</f>
        <v>-61.6</v>
      </c>
      <c r="G16" s="711">
        <f>Bilans_E_AMS_Kyoto_run3_MTE!K314</f>
        <v>-2.8</v>
      </c>
      <c r="H16" s="711">
        <f>Bilans_E_AMS_Kyoto_run3_MTE!L314</f>
        <v>0</v>
      </c>
      <c r="I16" s="711">
        <f>Bilans_E_AMS_Kyoto_run3_MTE!M314</f>
        <v>0</v>
      </c>
      <c r="J16" s="711">
        <f>Bilans_E_AMS_Kyoto_run3_MTE!N314</f>
        <v>0</v>
      </c>
      <c r="K16" s="711">
        <f>Bilans_E_AMS_Kyoto_run3_MTE!O314</f>
        <v>0</v>
      </c>
      <c r="L16" s="711">
        <f>Bilans_E_AMS_Kyoto_run3_MTE!P314</f>
        <v>0</v>
      </c>
      <c r="M16" s="711">
        <f>Bilans_E_AMS_Kyoto_run3_MTE!Q314</f>
        <v>0</v>
      </c>
      <c r="N16" s="711">
        <f>Bilans_E_AMS_Kyoto_run3_MTE!R314</f>
        <v>-8.1999999999999993</v>
      </c>
      <c r="O16" s="711">
        <f>Bilans_E_AMS_Kyoto_run3_MTE!S314</f>
        <v>0</v>
      </c>
      <c r="P16" s="711">
        <f>Bilans_E_AMS_Kyoto_run3_MTE!T314+Bilans_E_AMS_Kyoto_run3_MTE!U314</f>
        <v>0</v>
      </c>
      <c r="Q16" s="711">
        <f>Bilans_E_AMS_Kyoto_run3_MTE!V314</f>
        <v>0</v>
      </c>
      <c r="R16" s="711">
        <f>Bilans_E_AMS_Kyoto_run3_MTE!W314</f>
        <v>0</v>
      </c>
      <c r="S16" s="711">
        <f>Bilans_E_AMS_Kyoto_run3_MTE!X314</f>
        <v>0</v>
      </c>
      <c r="T16" s="711">
        <f>Bilans_E_AMS_Kyoto_run3_MTE!Y314</f>
        <v>-0.6</v>
      </c>
      <c r="U16" s="711">
        <f>Bilans_E_AMS_Kyoto_run3_MTE!Z314</f>
        <v>-73.2</v>
      </c>
      <c r="V16" s="701"/>
      <c r="W16" s="701"/>
    </row>
    <row r="17" spans="1:23" x14ac:dyDescent="0.25">
      <c r="A17" s="701" t="s">
        <v>492</v>
      </c>
      <c r="B17" s="701"/>
      <c r="C17" s="710" t="s">
        <v>64</v>
      </c>
      <c r="D17" s="712">
        <f>Bilans_E_AMS_Kyoto_run3_MTE!H315</f>
        <v>0</v>
      </c>
      <c r="E17" s="712">
        <f>Bilans_E_AMS_Kyoto_run3_MTE!I315</f>
        <v>0</v>
      </c>
      <c r="F17" s="712">
        <f>Bilans_E_AMS_Kyoto_run3_MTE!J315</f>
        <v>0</v>
      </c>
      <c r="G17" s="712">
        <f>Bilans_E_AMS_Kyoto_run3_MTE!K315</f>
        <v>0</v>
      </c>
      <c r="H17" s="712">
        <f>Bilans_E_AMS_Kyoto_run3_MTE!L315</f>
        <v>0</v>
      </c>
      <c r="I17" s="712">
        <f>Bilans_E_AMS_Kyoto_run3_MTE!M315</f>
        <v>0</v>
      </c>
      <c r="J17" s="712">
        <f>Bilans_E_AMS_Kyoto_run3_MTE!N315</f>
        <v>0</v>
      </c>
      <c r="K17" s="712">
        <f>Bilans_E_AMS_Kyoto_run3_MTE!O315</f>
        <v>0</v>
      </c>
      <c r="L17" s="712">
        <f>Bilans_E_AMS_Kyoto_run3_MTE!P315</f>
        <v>0</v>
      </c>
      <c r="M17" s="712">
        <f>Bilans_E_AMS_Kyoto_run3_MTE!Q315</f>
        <v>0</v>
      </c>
      <c r="N17" s="712">
        <f>Bilans_E_AMS_Kyoto_run3_MTE!R315</f>
        <v>0</v>
      </c>
      <c r="O17" s="712">
        <f>Bilans_E_AMS_Kyoto_run3_MTE!S315</f>
        <v>0</v>
      </c>
      <c r="P17" s="712">
        <f>Bilans_E_AMS_Kyoto_run3_MTE!T315+Bilans_E_AMS_Kyoto_run3_MTE!U315</f>
        <v>0</v>
      </c>
      <c r="Q17" s="712">
        <f>Bilans_E_AMS_Kyoto_run3_MTE!V315</f>
        <v>0</v>
      </c>
      <c r="R17" s="712">
        <f>Bilans_E_AMS_Kyoto_run3_MTE!W315</f>
        <v>0</v>
      </c>
      <c r="S17" s="712">
        <f>Bilans_E_AMS_Kyoto_run3_MTE!X315</f>
        <v>0</v>
      </c>
      <c r="T17" s="712">
        <f>Bilans_E_AMS_Kyoto_run3_MTE!Y315</f>
        <v>0</v>
      </c>
      <c r="U17" s="712">
        <f>Bilans_E_AMS_Kyoto_run3_MTE!Z315</f>
        <v>0</v>
      </c>
      <c r="V17" s="701"/>
      <c r="W17" s="701"/>
    </row>
    <row r="18" spans="1:23" x14ac:dyDescent="0.25">
      <c r="A18" s="701" t="s">
        <v>493</v>
      </c>
      <c r="B18" s="701"/>
      <c r="C18" s="713" t="s">
        <v>65</v>
      </c>
      <c r="D18" s="714">
        <f>Bilans_E_AMS_Kyoto_run3_MTE!H316</f>
        <v>16.733972167968751</v>
      </c>
      <c r="E18" s="714">
        <f>Bilans_E_AMS_Kyoto_run3_MTE!I316</f>
        <v>347.84718490138255</v>
      </c>
      <c r="F18" s="714">
        <f>Bilans_E_AMS_Kyoto_run3_MTE!J316</f>
        <v>83.563020577307157</v>
      </c>
      <c r="G18" s="714">
        <f>Bilans_E_AMS_Kyoto_run3_MTE!K316</f>
        <v>-1.5466157089087895</v>
      </c>
      <c r="H18" s="714">
        <f>Bilans_E_AMS_Kyoto_run3_MTE!L316</f>
        <v>228.41770240541811</v>
      </c>
      <c r="I18" s="714">
        <f>Bilans_E_AMS_Kyoto_run3_MTE!M316</f>
        <v>-0.4644109471147348</v>
      </c>
      <c r="J18" s="714">
        <f>Bilans_E_AMS_Kyoto_run3_MTE!N316</f>
        <v>1165.8657454545453</v>
      </c>
      <c r="K18" s="714">
        <f>Bilans_E_AMS_Kyoto_run3_MTE!O316</f>
        <v>264.18035739757391</v>
      </c>
      <c r="L18" s="714">
        <f>Bilans_E_AMS_Kyoto_run3_MTE!P316</f>
        <v>310.33700790616717</v>
      </c>
      <c r="M18" s="714">
        <f>Bilans_E_AMS_Kyoto_run3_MTE!Q316</f>
        <v>51.405271738220549</v>
      </c>
      <c r="N18" s="714">
        <f>Bilans_E_AMS_Kyoto_run3_MTE!R316</f>
        <v>2.977777544289129</v>
      </c>
      <c r="O18" s="714">
        <f>Bilans_E_AMS_Kyoto_run3_MTE!S316</f>
        <v>4.2740846370952097</v>
      </c>
      <c r="P18" s="714">
        <f>Bilans_E_AMS_Kyoto_run3_MTE!T316+Bilans_E_AMS_Kyoto_run3_MTE!U316</f>
        <v>151.46298386421165</v>
      </c>
      <c r="Q18" s="714">
        <f>Bilans_E_AMS_Kyoto_run3_MTE!V316</f>
        <v>29.323733806781338</v>
      </c>
      <c r="R18" s="714">
        <f>Bilans_E_AMS_Kyoto_run3_MTE!W316</f>
        <v>-83.337259091529631</v>
      </c>
      <c r="S18" s="714">
        <f>Bilans_E_AMS_Kyoto_run3_MTE!X316</f>
        <v>0</v>
      </c>
      <c r="T18" s="714">
        <f>Bilans_E_AMS_Kyoto_run3_MTE!Y316</f>
        <v>-0.86185876214866841</v>
      </c>
      <c r="U18" s="714">
        <f>Bilans_E_AMS_Kyoto_run3_MTE!Z316</f>
        <v>2570.1786978912592</v>
      </c>
      <c r="V18" s="701"/>
      <c r="W18" s="701"/>
    </row>
    <row r="19" spans="1:23" x14ac:dyDescent="0.25">
      <c r="A19" s="701"/>
      <c r="B19" s="701"/>
      <c r="C19" s="715"/>
      <c r="D19" s="716"/>
      <c r="E19" s="716"/>
      <c r="F19" s="716"/>
      <c r="G19" s="716"/>
      <c r="H19" s="716"/>
      <c r="I19" s="716"/>
      <c r="J19" s="716"/>
      <c r="K19" s="716"/>
      <c r="L19" s="716"/>
      <c r="M19" s="716"/>
      <c r="N19" s="716"/>
      <c r="O19" s="716"/>
      <c r="P19" s="716">
        <f>Bilans_E_AMS_Kyoto_run3_MTE!T317+Bilans_E_AMS_Kyoto_run3_MTE!U317</f>
        <v>0</v>
      </c>
      <c r="Q19" s="716"/>
      <c r="R19" s="716"/>
      <c r="S19" s="716"/>
      <c r="T19" s="716"/>
      <c r="U19" s="716"/>
      <c r="V19" s="701"/>
      <c r="W19" s="701"/>
    </row>
    <row r="20" spans="1:23" x14ac:dyDescent="0.25">
      <c r="A20" s="701" t="s">
        <v>494</v>
      </c>
      <c r="B20" s="701"/>
      <c r="C20" s="717" t="s">
        <v>67</v>
      </c>
      <c r="D20" s="711">
        <f>Bilans_E_AMS_Kyoto_run3_MTE!H318</f>
        <v>0</v>
      </c>
      <c r="E20" s="711">
        <f>Bilans_E_AMS_Kyoto_run3_MTE!I318</f>
        <v>0</v>
      </c>
      <c r="F20" s="711">
        <f>Bilans_E_AMS_Kyoto_run3_MTE!J318</f>
        <v>0</v>
      </c>
      <c r="G20" s="711">
        <f>Bilans_E_AMS_Kyoto_run3_MTE!K318</f>
        <v>0</v>
      </c>
      <c r="H20" s="711">
        <f>Bilans_E_AMS_Kyoto_run3_MTE!L318</f>
        <v>0</v>
      </c>
      <c r="I20" s="711">
        <f>Bilans_E_AMS_Kyoto_run3_MTE!M318</f>
        <v>0</v>
      </c>
      <c r="J20" s="711">
        <f>Bilans_E_AMS_Kyoto_run3_MTE!N318</f>
        <v>0</v>
      </c>
      <c r="K20" s="711">
        <f>Bilans_E_AMS_Kyoto_run3_MTE!O318</f>
        <v>0</v>
      </c>
      <c r="L20" s="711">
        <f>Bilans_E_AMS_Kyoto_run3_MTE!P318</f>
        <v>0</v>
      </c>
      <c r="M20" s="711">
        <f>Bilans_E_AMS_Kyoto_run3_MTE!Q318</f>
        <v>0</v>
      </c>
      <c r="N20" s="711">
        <f>Bilans_E_AMS_Kyoto_run3_MTE!R318</f>
        <v>0</v>
      </c>
      <c r="O20" s="711">
        <f>Bilans_E_AMS_Kyoto_run3_MTE!S318</f>
        <v>0</v>
      </c>
      <c r="P20" s="711">
        <f>Bilans_E_AMS_Kyoto_run3_MTE!T318+Bilans_E_AMS_Kyoto_run3_MTE!U318</f>
        <v>0</v>
      </c>
      <c r="Q20" s="711">
        <f>Bilans_E_AMS_Kyoto_run3_MTE!V318</f>
        <v>0</v>
      </c>
      <c r="R20" s="711">
        <f>Bilans_E_AMS_Kyoto_run3_MTE!W318</f>
        <v>0</v>
      </c>
      <c r="S20" s="711">
        <f>Bilans_E_AMS_Kyoto_run3_MTE!X318</f>
        <v>0</v>
      </c>
      <c r="T20" s="711">
        <f>Bilans_E_AMS_Kyoto_run3_MTE!Y318</f>
        <v>0</v>
      </c>
      <c r="U20" s="711">
        <f>Bilans_E_AMS_Kyoto_run3_MTE!Z318</f>
        <v>0</v>
      </c>
      <c r="V20" s="701"/>
      <c r="W20" s="701"/>
    </row>
    <row r="21" spans="1:23" x14ac:dyDescent="0.25">
      <c r="A21" s="701" t="s">
        <v>495</v>
      </c>
      <c r="B21" s="701"/>
      <c r="C21" s="717" t="s">
        <v>347</v>
      </c>
      <c r="D21" s="711">
        <f>Bilans_E_AMS_Kyoto_run3_MTE!H319</f>
        <v>0</v>
      </c>
      <c r="E21" s="711">
        <f>Bilans_E_AMS_Kyoto_run3_MTE!I319</f>
        <v>0</v>
      </c>
      <c r="F21" s="711">
        <f>Bilans_E_AMS_Kyoto_run3_MTE!J319</f>
        <v>0.79278558393774012</v>
      </c>
      <c r="G21" s="711">
        <f>Bilans_E_AMS_Kyoto_run3_MTE!K319</f>
        <v>0</v>
      </c>
      <c r="H21" s="711">
        <f>Bilans_E_AMS_Kyoto_run3_MTE!L319</f>
        <v>30.18998354898655</v>
      </c>
      <c r="I21" s="711">
        <f>Bilans_E_AMS_Kyoto_run3_MTE!M319</f>
        <v>0</v>
      </c>
      <c r="J21" s="711">
        <f>Bilans_E_AMS_Kyoto_run3_MTE!N319</f>
        <v>1165.8657454545453</v>
      </c>
      <c r="K21" s="711">
        <f>Bilans_E_AMS_Kyoto_run3_MTE!O319</f>
        <v>264.18035739757391</v>
      </c>
      <c r="L21" s="711">
        <f>Bilans_E_AMS_Kyoto_run3_MTE!P319</f>
        <v>15.154623225490525</v>
      </c>
      <c r="M21" s="711">
        <f>Bilans_E_AMS_Kyoto_run3_MTE!Q319</f>
        <v>6.1000995181555853</v>
      </c>
      <c r="N21" s="711">
        <f>Bilans_E_AMS_Kyoto_run3_MTE!R319</f>
        <v>4.7819832265678626</v>
      </c>
      <c r="O21" s="711">
        <f>Bilans_E_AMS_Kyoto_run3_MTE!S319</f>
        <v>9.8298837124563363</v>
      </c>
      <c r="P21" s="711">
        <f>Bilans_E_AMS_Kyoto_run3_MTE!T319+Bilans_E_AMS_Kyoto_run3_MTE!U319</f>
        <v>0</v>
      </c>
      <c r="Q21" s="711">
        <f>Bilans_E_AMS_Kyoto_run3_MTE!V319</f>
        <v>1.6766395861963883</v>
      </c>
      <c r="R21" s="711">
        <f>Bilans_E_AMS_Kyoto_run3_MTE!W319</f>
        <v>-685.02208017428939</v>
      </c>
      <c r="S21" s="711">
        <f>Bilans_E_AMS_Kyoto_run3_MTE!X319</f>
        <v>0</v>
      </c>
      <c r="T21" s="711">
        <f>Bilans_E_AMS_Kyoto_run3_MTE!Y319</f>
        <v>0</v>
      </c>
      <c r="U21" s="711">
        <f>Bilans_E_AMS_Kyoto_run3_MTE!Z319</f>
        <v>813.55002107962082</v>
      </c>
      <c r="V21" s="701"/>
      <c r="W21" s="701"/>
    </row>
    <row r="22" spans="1:23" x14ac:dyDescent="0.25">
      <c r="A22" s="701" t="s">
        <v>496</v>
      </c>
      <c r="B22" s="701"/>
      <c r="C22" s="717" t="s">
        <v>348</v>
      </c>
      <c r="D22" s="711">
        <f>Bilans_E_AMS_Kyoto_run3_MTE!H320</f>
        <v>0</v>
      </c>
      <c r="E22" s="711">
        <f>Bilans_E_AMS_Kyoto_run3_MTE!I320</f>
        <v>0</v>
      </c>
      <c r="F22" s="711">
        <f>Bilans_E_AMS_Kyoto_run3_MTE!J320</f>
        <v>0</v>
      </c>
      <c r="G22" s="711">
        <f>Bilans_E_AMS_Kyoto_run3_MTE!K320</f>
        <v>0</v>
      </c>
      <c r="H22" s="711">
        <f>Bilans_E_AMS_Kyoto_run3_MTE!L320</f>
        <v>21.478521490079181</v>
      </c>
      <c r="I22" s="711">
        <f>Bilans_E_AMS_Kyoto_run3_MTE!M320</f>
        <v>0</v>
      </c>
      <c r="J22" s="711">
        <f>Bilans_E_AMS_Kyoto_run3_MTE!N320</f>
        <v>0</v>
      </c>
      <c r="K22" s="711">
        <f>Bilans_E_AMS_Kyoto_run3_MTE!O320</f>
        <v>0</v>
      </c>
      <c r="L22" s="711">
        <f>Bilans_E_AMS_Kyoto_run3_MTE!P320</f>
        <v>25.278971287489433</v>
      </c>
      <c r="M22" s="711">
        <f>Bilans_E_AMS_Kyoto_run3_MTE!Q320</f>
        <v>17.945678264512264</v>
      </c>
      <c r="N22" s="711">
        <f>Bilans_E_AMS_Kyoto_run3_MTE!R320</f>
        <v>0</v>
      </c>
      <c r="O22" s="711">
        <f>Bilans_E_AMS_Kyoto_run3_MTE!S320</f>
        <v>6.0065134029812235</v>
      </c>
      <c r="P22" s="711">
        <f>Bilans_E_AMS_Kyoto_run3_MTE!T320+Bilans_E_AMS_Kyoto_run3_MTE!U320</f>
        <v>10.417559156149544</v>
      </c>
      <c r="Q22" s="711">
        <f>Bilans_E_AMS_Kyoto_run3_MTE!V320</f>
        <v>12.465752150616991</v>
      </c>
      <c r="R22" s="711">
        <f>Bilans_E_AMS_Kyoto_run3_MTE!W320</f>
        <v>0</v>
      </c>
      <c r="S22" s="711">
        <f>Bilans_E_AMS_Kyoto_run3_MTE!X320</f>
        <v>-84.590071614239946</v>
      </c>
      <c r="T22" s="711">
        <f>Bilans_E_AMS_Kyoto_run3_MTE!Y320</f>
        <v>0</v>
      </c>
      <c r="U22" s="711">
        <f>Bilans_E_AMS_Kyoto_run3_MTE!Z320</f>
        <v>9.0029241375887068</v>
      </c>
      <c r="V22" s="701"/>
      <c r="W22" s="701"/>
    </row>
    <row r="23" spans="1:23" x14ac:dyDescent="0.25">
      <c r="A23" s="701" t="s">
        <v>497</v>
      </c>
      <c r="B23" s="701"/>
      <c r="C23" s="717" t="s">
        <v>349</v>
      </c>
      <c r="D23" s="711">
        <f>Bilans_E_AMS_Kyoto_run3_MTE!H321</f>
        <v>0</v>
      </c>
      <c r="E23" s="711">
        <f>Bilans_E_AMS_Kyoto_run3_MTE!I321</f>
        <v>0</v>
      </c>
      <c r="F23" s="711">
        <f>Bilans_E_AMS_Kyoto_run3_MTE!J321</f>
        <v>0</v>
      </c>
      <c r="G23" s="711">
        <f>Bilans_E_AMS_Kyoto_run3_MTE!K321</f>
        <v>0</v>
      </c>
      <c r="H23" s="711">
        <f>Bilans_E_AMS_Kyoto_run3_MTE!L321</f>
        <v>0</v>
      </c>
      <c r="I23" s="711">
        <f>Bilans_E_AMS_Kyoto_run3_MTE!M321</f>
        <v>0</v>
      </c>
      <c r="J23" s="711">
        <f>Bilans_E_AMS_Kyoto_run3_MTE!N321</f>
        <v>0</v>
      </c>
      <c r="K23" s="711">
        <f>Bilans_E_AMS_Kyoto_run3_MTE!O321</f>
        <v>0</v>
      </c>
      <c r="L23" s="711">
        <f>Bilans_E_AMS_Kyoto_run3_MTE!P321</f>
        <v>84.566495903586969</v>
      </c>
      <c r="M23" s="711">
        <f>Bilans_E_AMS_Kyoto_run3_MTE!Q321</f>
        <v>10.27121917361311</v>
      </c>
      <c r="N23" s="711">
        <f>Bilans_E_AMS_Kyoto_run3_MTE!R321</f>
        <v>0</v>
      </c>
      <c r="O23" s="711">
        <f>Bilans_E_AMS_Kyoto_run3_MTE!S321</f>
        <v>-47.494303640463748</v>
      </c>
      <c r="P23" s="711">
        <f>Bilans_E_AMS_Kyoto_run3_MTE!T321+Bilans_E_AMS_Kyoto_run3_MTE!U321</f>
        <v>0</v>
      </c>
      <c r="Q23" s="711">
        <f>Bilans_E_AMS_Kyoto_run3_MTE!V321</f>
        <v>0</v>
      </c>
      <c r="R23" s="711">
        <f>Bilans_E_AMS_Kyoto_run3_MTE!W321</f>
        <v>0</v>
      </c>
      <c r="S23" s="711">
        <f>Bilans_E_AMS_Kyoto_run3_MTE!X321</f>
        <v>0</v>
      </c>
      <c r="T23" s="711">
        <f>Bilans_E_AMS_Kyoto_run3_MTE!Y321</f>
        <v>0</v>
      </c>
      <c r="U23" s="711">
        <f>Bilans_E_AMS_Kyoto_run3_MTE!Z321</f>
        <v>47.343411436736325</v>
      </c>
      <c r="V23" s="701"/>
      <c r="W23" s="701"/>
    </row>
    <row r="24" spans="1:23" x14ac:dyDescent="0.25">
      <c r="A24" s="701" t="s">
        <v>498</v>
      </c>
      <c r="B24" s="701"/>
      <c r="C24" s="717" t="s">
        <v>350</v>
      </c>
      <c r="D24" s="711">
        <f>Bilans_E_AMS_Kyoto_run3_MTE!H322</f>
        <v>0</v>
      </c>
      <c r="E24" s="711">
        <f>Bilans_E_AMS_Kyoto_run3_MTE!I322</f>
        <v>0</v>
      </c>
      <c r="F24" s="711">
        <f>Bilans_E_AMS_Kyoto_run3_MTE!J322</f>
        <v>0</v>
      </c>
      <c r="G24" s="711">
        <f>Bilans_E_AMS_Kyoto_run3_MTE!K322</f>
        <v>0</v>
      </c>
      <c r="H24" s="711">
        <f>Bilans_E_AMS_Kyoto_run3_MTE!L322</f>
        <v>0</v>
      </c>
      <c r="I24" s="711">
        <f>Bilans_E_AMS_Kyoto_run3_MTE!M322</f>
        <v>-0.4644109471147348</v>
      </c>
      <c r="J24" s="711">
        <f>Bilans_E_AMS_Kyoto_run3_MTE!N322</f>
        <v>0</v>
      </c>
      <c r="K24" s="711">
        <f>Bilans_E_AMS_Kyoto_run3_MTE!O322</f>
        <v>0</v>
      </c>
      <c r="L24" s="711">
        <f>Bilans_E_AMS_Kyoto_run3_MTE!P322</f>
        <v>0</v>
      </c>
      <c r="M24" s="711">
        <f>Bilans_E_AMS_Kyoto_run3_MTE!Q322</f>
        <v>0</v>
      </c>
      <c r="N24" s="711">
        <f>Bilans_E_AMS_Kyoto_run3_MTE!R322</f>
        <v>0</v>
      </c>
      <c r="O24" s="711">
        <f>Bilans_E_AMS_Kyoto_run3_MTE!S322</f>
        <v>0</v>
      </c>
      <c r="P24" s="711">
        <f>Bilans_E_AMS_Kyoto_run3_MTE!T322+Bilans_E_AMS_Kyoto_run3_MTE!U322</f>
        <v>0</v>
      </c>
      <c r="Q24" s="711">
        <f>Bilans_E_AMS_Kyoto_run3_MTE!V322</f>
        <v>0</v>
      </c>
      <c r="R24" s="711">
        <f>Bilans_E_AMS_Kyoto_run3_MTE!W322</f>
        <v>0</v>
      </c>
      <c r="S24" s="711">
        <f>Bilans_E_AMS_Kyoto_run3_MTE!X322</f>
        <v>0</v>
      </c>
      <c r="T24" s="711">
        <f>Bilans_E_AMS_Kyoto_run3_MTE!Y322</f>
        <v>0.64501520432602055</v>
      </c>
      <c r="U24" s="711">
        <f>Bilans_E_AMS_Kyoto_run3_MTE!Z322</f>
        <v>0.18060425721128576</v>
      </c>
      <c r="V24" s="701"/>
      <c r="W24" s="701"/>
    </row>
    <row r="25" spans="1:23" x14ac:dyDescent="0.25">
      <c r="A25" s="701" t="s">
        <v>499</v>
      </c>
      <c r="B25" s="701"/>
      <c r="C25" s="717" t="s">
        <v>72</v>
      </c>
      <c r="D25" s="711">
        <f>Bilans_E_AMS_Kyoto_run3_MTE!H323</f>
        <v>0</v>
      </c>
      <c r="E25" s="711">
        <f>Bilans_E_AMS_Kyoto_run3_MTE!I323</f>
        <v>360.49746740112505</v>
      </c>
      <c r="F25" s="711">
        <f>Bilans_E_AMS_Kyoto_run3_MTE!J323</f>
        <v>-356.89249272711379</v>
      </c>
      <c r="G25" s="711">
        <f>Bilans_E_AMS_Kyoto_run3_MTE!K323</f>
        <v>0</v>
      </c>
      <c r="H25" s="711">
        <f>Bilans_E_AMS_Kyoto_run3_MTE!L323</f>
        <v>0</v>
      </c>
      <c r="I25" s="711">
        <f>Bilans_E_AMS_Kyoto_run3_MTE!M323</f>
        <v>0</v>
      </c>
      <c r="J25" s="711">
        <f>Bilans_E_AMS_Kyoto_run3_MTE!N323</f>
        <v>0</v>
      </c>
      <c r="K25" s="711">
        <f>Bilans_E_AMS_Kyoto_run3_MTE!O323</f>
        <v>0</v>
      </c>
      <c r="L25" s="711">
        <f>Bilans_E_AMS_Kyoto_run3_MTE!P323</f>
        <v>0</v>
      </c>
      <c r="M25" s="711">
        <f>Bilans_E_AMS_Kyoto_run3_MTE!Q323</f>
        <v>0</v>
      </c>
      <c r="N25" s="711">
        <f>Bilans_E_AMS_Kyoto_run3_MTE!R323</f>
        <v>0</v>
      </c>
      <c r="O25" s="711">
        <f>Bilans_E_AMS_Kyoto_run3_MTE!S323</f>
        <v>0</v>
      </c>
      <c r="P25" s="711">
        <f>Bilans_E_AMS_Kyoto_run3_MTE!T323+Bilans_E_AMS_Kyoto_run3_MTE!U323</f>
        <v>0</v>
      </c>
      <c r="Q25" s="711">
        <f>Bilans_E_AMS_Kyoto_run3_MTE!V323</f>
        <v>0</v>
      </c>
      <c r="R25" s="711">
        <f>Bilans_E_AMS_Kyoto_run3_MTE!W323</f>
        <v>0</v>
      </c>
      <c r="S25" s="711">
        <f>Bilans_E_AMS_Kyoto_run3_MTE!X323</f>
        <v>0</v>
      </c>
      <c r="T25" s="711">
        <f>Bilans_E_AMS_Kyoto_run3_MTE!Y323</f>
        <v>0</v>
      </c>
      <c r="U25" s="711">
        <f>Bilans_E_AMS_Kyoto_run3_MTE!Z323</f>
        <v>3.6049746740112596</v>
      </c>
      <c r="V25" s="701"/>
      <c r="W25" s="701"/>
    </row>
    <row r="26" spans="1:23" x14ac:dyDescent="0.25">
      <c r="A26" s="701" t="s">
        <v>500</v>
      </c>
      <c r="B26" s="701"/>
      <c r="C26" s="717" t="s">
        <v>351</v>
      </c>
      <c r="D26" s="711">
        <f>Bilans_E_AMS_Kyoto_run3_MTE!H324</f>
        <v>0</v>
      </c>
      <c r="E26" s="711">
        <f>Bilans_E_AMS_Kyoto_run3_MTE!I324</f>
        <v>0</v>
      </c>
      <c r="F26" s="711">
        <f>Bilans_E_AMS_Kyoto_run3_MTE!J324</f>
        <v>0</v>
      </c>
      <c r="G26" s="711">
        <f>Bilans_E_AMS_Kyoto_run3_MTE!K324</f>
        <v>0</v>
      </c>
      <c r="H26" s="711">
        <f>Bilans_E_AMS_Kyoto_run3_MTE!L324</f>
        <v>0</v>
      </c>
      <c r="I26" s="711">
        <f>Bilans_E_AMS_Kyoto_run3_MTE!M324</f>
        <v>0</v>
      </c>
      <c r="J26" s="711">
        <f>Bilans_E_AMS_Kyoto_run3_MTE!N324</f>
        <v>0</v>
      </c>
      <c r="K26" s="711">
        <f>Bilans_E_AMS_Kyoto_run3_MTE!O324</f>
        <v>0</v>
      </c>
      <c r="L26" s="711">
        <f>Bilans_E_AMS_Kyoto_run3_MTE!P324</f>
        <v>79.688188573831496</v>
      </c>
      <c r="M26" s="711">
        <f>Bilans_E_AMS_Kyoto_run3_MTE!Q324</f>
        <v>7.2727272727272725</v>
      </c>
      <c r="N26" s="711">
        <f>Bilans_E_AMS_Kyoto_run3_MTE!R324</f>
        <v>-48.502301880066618</v>
      </c>
      <c r="O26" s="711">
        <f>Bilans_E_AMS_Kyoto_run3_MTE!S324</f>
        <v>0</v>
      </c>
      <c r="P26" s="711">
        <f>Bilans_E_AMS_Kyoto_run3_MTE!T324+Bilans_E_AMS_Kyoto_run3_MTE!U324</f>
        <v>0</v>
      </c>
      <c r="Q26" s="711">
        <f>Bilans_E_AMS_Kyoto_run3_MTE!V324</f>
        <v>0</v>
      </c>
      <c r="R26" s="711">
        <f>Bilans_E_AMS_Kyoto_run3_MTE!W324</f>
        <v>0</v>
      </c>
      <c r="S26" s="711">
        <f>Bilans_E_AMS_Kyoto_run3_MTE!X324</f>
        <v>0</v>
      </c>
      <c r="T26" s="711">
        <f>Bilans_E_AMS_Kyoto_run3_MTE!Y324</f>
        <v>0</v>
      </c>
      <c r="U26" s="711">
        <f>Bilans_E_AMS_Kyoto_run3_MTE!Z324</f>
        <v>38.458613966492145</v>
      </c>
      <c r="V26" s="701"/>
      <c r="W26" s="701"/>
    </row>
    <row r="27" spans="1:23" x14ac:dyDescent="0.25">
      <c r="A27" s="701" t="s">
        <v>501</v>
      </c>
      <c r="B27" s="701"/>
      <c r="C27" s="717" t="s">
        <v>352</v>
      </c>
      <c r="D27" s="711">
        <f>Bilans_E_AMS_Kyoto_run3_MTE!H325</f>
        <v>0</v>
      </c>
      <c r="E27" s="711">
        <f>Bilans_E_AMS_Kyoto_run3_MTE!I325</f>
        <v>0</v>
      </c>
      <c r="F27" s="711">
        <f>Bilans_E_AMS_Kyoto_run3_MTE!J325</f>
        <v>0</v>
      </c>
      <c r="G27" s="711">
        <f>Bilans_E_AMS_Kyoto_run3_MTE!K325</f>
        <v>-2.3373161064337085</v>
      </c>
      <c r="H27" s="711">
        <f>Bilans_E_AMS_Kyoto_run3_MTE!L325</f>
        <v>0</v>
      </c>
      <c r="I27" s="711">
        <f>Bilans_E_AMS_Kyoto_run3_MTE!M325</f>
        <v>0</v>
      </c>
      <c r="J27" s="711">
        <f>Bilans_E_AMS_Kyoto_run3_MTE!N325</f>
        <v>0</v>
      </c>
      <c r="K27" s="711">
        <f>Bilans_E_AMS_Kyoto_run3_MTE!O325</f>
        <v>0</v>
      </c>
      <c r="L27" s="711">
        <f>Bilans_E_AMS_Kyoto_run3_MTE!P325</f>
        <v>0</v>
      </c>
      <c r="M27" s="711">
        <f>Bilans_E_AMS_Kyoto_run3_MTE!Q325</f>
        <v>0</v>
      </c>
      <c r="N27" s="711">
        <f>Bilans_E_AMS_Kyoto_run3_MTE!R325</f>
        <v>0</v>
      </c>
      <c r="O27" s="711">
        <f>Bilans_E_AMS_Kyoto_run3_MTE!S325</f>
        <v>0</v>
      </c>
      <c r="P27" s="711">
        <f>Bilans_E_AMS_Kyoto_run3_MTE!T325+Bilans_E_AMS_Kyoto_run3_MTE!U325</f>
        <v>0</v>
      </c>
      <c r="Q27" s="711">
        <f>Bilans_E_AMS_Kyoto_run3_MTE!V325</f>
        <v>0</v>
      </c>
      <c r="R27" s="711">
        <f>Bilans_E_AMS_Kyoto_run3_MTE!W325</f>
        <v>0</v>
      </c>
      <c r="S27" s="711">
        <f>Bilans_E_AMS_Kyoto_run3_MTE!X325</f>
        <v>0</v>
      </c>
      <c r="T27" s="711">
        <f>Bilans_E_AMS_Kyoto_run3_MTE!Y325</f>
        <v>3.8910477170770799</v>
      </c>
      <c r="U27" s="711">
        <f>Bilans_E_AMS_Kyoto_run3_MTE!Z325</f>
        <v>1.5537316106433714</v>
      </c>
      <c r="V27" s="701"/>
      <c r="W27" s="701"/>
    </row>
    <row r="28" spans="1:23" x14ac:dyDescent="0.25">
      <c r="A28" s="701" t="s">
        <v>502</v>
      </c>
      <c r="B28" s="701"/>
      <c r="C28" s="717" t="s">
        <v>73</v>
      </c>
      <c r="D28" s="711">
        <f>Bilans_E_AMS_Kyoto_run3_MTE!H326</f>
        <v>0</v>
      </c>
      <c r="E28" s="711">
        <f>Bilans_E_AMS_Kyoto_run3_MTE!I326</f>
        <v>0</v>
      </c>
      <c r="F28" s="711">
        <f>Bilans_E_AMS_Kyoto_run3_MTE!J326</f>
        <v>0</v>
      </c>
      <c r="G28" s="711">
        <f>Bilans_E_AMS_Kyoto_run3_MTE!K326</f>
        <v>0</v>
      </c>
      <c r="H28" s="711">
        <f>Bilans_E_AMS_Kyoto_run3_MTE!L326</f>
        <v>0</v>
      </c>
      <c r="I28" s="711">
        <f>Bilans_E_AMS_Kyoto_run3_MTE!M326</f>
        <v>0</v>
      </c>
      <c r="J28" s="711">
        <f>Bilans_E_AMS_Kyoto_run3_MTE!N326</f>
        <v>0</v>
      </c>
      <c r="K28" s="711">
        <f>Bilans_E_AMS_Kyoto_run3_MTE!O326</f>
        <v>0</v>
      </c>
      <c r="L28" s="711">
        <f>Bilans_E_AMS_Kyoto_run3_MTE!P326</f>
        <v>0</v>
      </c>
      <c r="M28" s="711">
        <f>Bilans_E_AMS_Kyoto_run3_MTE!Q326</f>
        <v>0</v>
      </c>
      <c r="N28" s="711">
        <f>Bilans_E_AMS_Kyoto_run3_MTE!R326</f>
        <v>0</v>
      </c>
      <c r="O28" s="711">
        <f>Bilans_E_AMS_Kyoto_run3_MTE!S326</f>
        <v>0</v>
      </c>
      <c r="P28" s="711">
        <f>Bilans_E_AMS_Kyoto_run3_MTE!T326+Bilans_E_AMS_Kyoto_run3_MTE!U326</f>
        <v>0</v>
      </c>
      <c r="Q28" s="711">
        <f>Bilans_E_AMS_Kyoto_run3_MTE!V326</f>
        <v>0</v>
      </c>
      <c r="R28" s="711">
        <f>Bilans_E_AMS_Kyoto_run3_MTE!W326</f>
        <v>26.742532147251133</v>
      </c>
      <c r="S28" s="711">
        <f>Bilans_E_AMS_Kyoto_run3_MTE!X326</f>
        <v>0</v>
      </c>
      <c r="T28" s="711">
        <f>Bilans_E_AMS_Kyoto_run3_MTE!Y326</f>
        <v>-17.663442483259374</v>
      </c>
      <c r="U28" s="711">
        <f>Bilans_E_AMS_Kyoto_run3_MTE!Z326</f>
        <v>9.0790896639917591</v>
      </c>
      <c r="V28" s="701"/>
      <c r="W28" s="701"/>
    </row>
    <row r="29" spans="1:23" x14ac:dyDescent="0.25">
      <c r="A29" s="701" t="s">
        <v>503</v>
      </c>
      <c r="B29" s="701"/>
      <c r="C29" s="717" t="s">
        <v>353</v>
      </c>
      <c r="D29" s="711">
        <f>Bilans_E_AMS_Kyoto_run3_MTE!H327</f>
        <v>11.528678671874999</v>
      </c>
      <c r="E29" s="711">
        <f>Bilans_E_AMS_Kyoto_run3_MTE!I327</f>
        <v>-12.650282499742492</v>
      </c>
      <c r="F29" s="711">
        <f>Bilans_E_AMS_Kyoto_run3_MTE!J327</f>
        <v>16.688969946378961</v>
      </c>
      <c r="G29" s="711">
        <f>Bilans_E_AMS_Kyoto_run3_MTE!K327</f>
        <v>0</v>
      </c>
      <c r="H29" s="711">
        <f>Bilans_E_AMS_Kyoto_run3_MTE!L327</f>
        <v>0</v>
      </c>
      <c r="I29" s="711">
        <f>Bilans_E_AMS_Kyoto_run3_MTE!M327</f>
        <v>0</v>
      </c>
      <c r="J29" s="711">
        <f>Bilans_E_AMS_Kyoto_run3_MTE!N327</f>
        <v>0</v>
      </c>
      <c r="K29" s="711">
        <f>Bilans_E_AMS_Kyoto_run3_MTE!O327</f>
        <v>0</v>
      </c>
      <c r="L29" s="711">
        <f>Bilans_E_AMS_Kyoto_run3_MTE!P327</f>
        <v>0</v>
      </c>
      <c r="M29" s="711">
        <f>Bilans_E_AMS_Kyoto_run3_MTE!Q327</f>
        <v>0</v>
      </c>
      <c r="N29" s="711">
        <f>Bilans_E_AMS_Kyoto_run3_MTE!R327</f>
        <v>0</v>
      </c>
      <c r="O29" s="711">
        <f>Bilans_E_AMS_Kyoto_run3_MTE!S327</f>
        <v>0</v>
      </c>
      <c r="P29" s="711">
        <f>Bilans_E_AMS_Kyoto_run3_MTE!T327+Bilans_E_AMS_Kyoto_run3_MTE!U327</f>
        <v>0</v>
      </c>
      <c r="Q29" s="711">
        <f>Bilans_E_AMS_Kyoto_run3_MTE!V327</f>
        <v>0</v>
      </c>
      <c r="R29" s="711">
        <f>Bilans_E_AMS_Kyoto_run3_MTE!W327</f>
        <v>0</v>
      </c>
      <c r="S29" s="711">
        <f>Bilans_E_AMS_Kyoto_run3_MTE!X327</f>
        <v>0</v>
      </c>
      <c r="T29" s="711">
        <f>Bilans_E_AMS_Kyoto_run3_MTE!Y327</f>
        <v>0</v>
      </c>
      <c r="U29" s="711">
        <f>Bilans_E_AMS_Kyoto_run3_MTE!Z327</f>
        <v>15.567366118511469</v>
      </c>
      <c r="V29" s="701"/>
      <c r="W29" s="701"/>
    </row>
    <row r="30" spans="1:23" x14ac:dyDescent="0.25">
      <c r="A30" s="701" t="s">
        <v>504</v>
      </c>
      <c r="B30" s="701"/>
      <c r="C30" s="717" t="s">
        <v>75</v>
      </c>
      <c r="D30" s="711">
        <f>Bilans_E_AMS_Kyoto_run3_MTE!H328</f>
        <v>4.4833750390625005</v>
      </c>
      <c r="E30" s="711">
        <f>Bilans_E_AMS_Kyoto_run3_MTE!I328</f>
        <v>0</v>
      </c>
      <c r="F30" s="711">
        <f>Bilans_E_AMS_Kyoto_run3_MTE!J328</f>
        <v>12.470199463438197</v>
      </c>
      <c r="G30" s="711">
        <f>Bilans_E_AMS_Kyoto_run3_MTE!K328</f>
        <v>0</v>
      </c>
      <c r="H30" s="711">
        <f>Bilans_E_AMS_Kyoto_run3_MTE!L328</f>
        <v>0.24936035983011146</v>
      </c>
      <c r="I30" s="711">
        <f>Bilans_E_AMS_Kyoto_run3_MTE!M328</f>
        <v>0</v>
      </c>
      <c r="J30" s="711">
        <f>Bilans_E_AMS_Kyoto_run3_MTE!N328</f>
        <v>0</v>
      </c>
      <c r="K30" s="711">
        <f>Bilans_E_AMS_Kyoto_run3_MTE!O328</f>
        <v>0</v>
      </c>
      <c r="L30" s="711">
        <f>Bilans_E_AMS_Kyoto_run3_MTE!P328</f>
        <v>0</v>
      </c>
      <c r="M30" s="711">
        <f>Bilans_E_AMS_Kyoto_run3_MTE!Q328</f>
        <v>0</v>
      </c>
      <c r="N30" s="711">
        <f>Bilans_E_AMS_Kyoto_run3_MTE!R328</f>
        <v>0</v>
      </c>
      <c r="O30" s="711">
        <f>Bilans_E_AMS_Kyoto_run3_MTE!S328</f>
        <v>5.4737639962707384E-2</v>
      </c>
      <c r="P30" s="711">
        <f>Bilans_E_AMS_Kyoto_run3_MTE!T328+Bilans_E_AMS_Kyoto_run3_MTE!U328</f>
        <v>0</v>
      </c>
      <c r="Q30" s="711">
        <f>Bilans_E_AMS_Kyoto_run3_MTE!V328</f>
        <v>0</v>
      </c>
      <c r="R30" s="711">
        <f>Bilans_E_AMS_Kyoto_run3_MTE!W328</f>
        <v>34.269297847213949</v>
      </c>
      <c r="S30" s="711">
        <f>Bilans_E_AMS_Kyoto_run3_MTE!X328</f>
        <v>0</v>
      </c>
      <c r="T30" s="711">
        <f>Bilans_E_AMS_Kyoto_run3_MTE!Y328</f>
        <v>3.2371102497669209</v>
      </c>
      <c r="U30" s="711">
        <f>Bilans_E_AMS_Kyoto_run3_MTE!Z328</f>
        <v>54.764080599274386</v>
      </c>
      <c r="V30" s="701"/>
      <c r="W30" s="701"/>
    </row>
    <row r="31" spans="1:23" x14ac:dyDescent="0.25">
      <c r="A31" s="701" t="s">
        <v>505</v>
      </c>
      <c r="B31" s="701"/>
      <c r="C31" s="717" t="s">
        <v>76</v>
      </c>
      <c r="D31" s="711">
        <f>Bilans_E_AMS_Kyoto_run3_MTE!H329</f>
        <v>0</v>
      </c>
      <c r="E31" s="711">
        <f>Bilans_E_AMS_Kyoto_run3_MTE!I329</f>
        <v>0</v>
      </c>
      <c r="F31" s="711">
        <f>Bilans_E_AMS_Kyoto_run3_MTE!J329</f>
        <v>0</v>
      </c>
      <c r="G31" s="711">
        <f>Bilans_E_AMS_Kyoto_run3_MTE!K329</f>
        <v>0</v>
      </c>
      <c r="H31" s="711">
        <f>Bilans_E_AMS_Kyoto_run3_MTE!L329</f>
        <v>2.5945073025125769</v>
      </c>
      <c r="I31" s="711">
        <f>Bilans_E_AMS_Kyoto_run3_MTE!M329</f>
        <v>0</v>
      </c>
      <c r="J31" s="711">
        <f>Bilans_E_AMS_Kyoto_run3_MTE!N329</f>
        <v>0</v>
      </c>
      <c r="K31" s="711">
        <f>Bilans_E_AMS_Kyoto_run3_MTE!O329</f>
        <v>0</v>
      </c>
      <c r="L31" s="711">
        <f>Bilans_E_AMS_Kyoto_run3_MTE!P329</f>
        <v>0</v>
      </c>
      <c r="M31" s="711">
        <f>Bilans_E_AMS_Kyoto_run3_MTE!Q329</f>
        <v>0</v>
      </c>
      <c r="N31" s="711">
        <f>Bilans_E_AMS_Kyoto_run3_MTE!R329</f>
        <v>0</v>
      </c>
      <c r="O31" s="711">
        <f>Bilans_E_AMS_Kyoto_run3_MTE!S329</f>
        <v>0.56952599323446806</v>
      </c>
      <c r="P31" s="711">
        <f>Bilans_E_AMS_Kyoto_run3_MTE!T329+Bilans_E_AMS_Kyoto_run3_MTE!U329</f>
        <v>0</v>
      </c>
      <c r="Q31" s="711">
        <f>Bilans_E_AMS_Kyoto_run3_MTE!V329</f>
        <v>0</v>
      </c>
      <c r="R31" s="711">
        <f>Bilans_E_AMS_Kyoto_run3_MTE!W329</f>
        <v>49.185048043405324</v>
      </c>
      <c r="S31" s="711">
        <f>Bilans_E_AMS_Kyoto_run3_MTE!X329</f>
        <v>6.5593635854558805</v>
      </c>
      <c r="T31" s="711">
        <f>Bilans_E_AMS_Kyoto_run3_MTE!Y329</f>
        <v>0</v>
      </c>
      <c r="U31" s="711">
        <f>Bilans_E_AMS_Kyoto_run3_MTE!Z329</f>
        <v>58.908444924608247</v>
      </c>
      <c r="V31" s="701"/>
      <c r="W31" s="701"/>
    </row>
    <row r="32" spans="1:23" x14ac:dyDescent="0.25">
      <c r="A32" s="701" t="s">
        <v>506</v>
      </c>
      <c r="B32" s="701"/>
      <c r="C32" s="713" t="s">
        <v>77</v>
      </c>
      <c r="D32" s="714">
        <f>Bilans_E_AMS_Kyoto_run3_MTE!H330</f>
        <v>16.012053710937501</v>
      </c>
      <c r="E32" s="714">
        <f>Bilans_E_AMS_Kyoto_run3_MTE!I330</f>
        <v>347.84718490138255</v>
      </c>
      <c r="F32" s="714">
        <f>Bilans_E_AMS_Kyoto_run3_MTE!J330</f>
        <v>-326.94053773335889</v>
      </c>
      <c r="G32" s="714">
        <f>Bilans_E_AMS_Kyoto_run3_MTE!K330</f>
        <v>-2.3373161064337085</v>
      </c>
      <c r="H32" s="714">
        <f>Bilans_E_AMS_Kyoto_run3_MTE!L330</f>
        <v>54.512372701408424</v>
      </c>
      <c r="I32" s="714">
        <f>Bilans_E_AMS_Kyoto_run3_MTE!M330</f>
        <v>-0.4644109471147348</v>
      </c>
      <c r="J32" s="714">
        <f>Bilans_E_AMS_Kyoto_run3_MTE!N330</f>
        <v>1165.8657454545453</v>
      </c>
      <c r="K32" s="714">
        <f>Bilans_E_AMS_Kyoto_run3_MTE!O330</f>
        <v>264.18035739757391</v>
      </c>
      <c r="L32" s="714">
        <f>Bilans_E_AMS_Kyoto_run3_MTE!P330</f>
        <v>204.68827899039843</v>
      </c>
      <c r="M32" s="714">
        <f>Bilans_E_AMS_Kyoto_run3_MTE!Q330</f>
        <v>41.589724229008233</v>
      </c>
      <c r="N32" s="714">
        <f>Bilans_E_AMS_Kyoto_run3_MTE!R330</f>
        <v>-43.720318653498758</v>
      </c>
      <c r="O32" s="714">
        <f>Bilans_E_AMS_Kyoto_run3_MTE!S330</f>
        <v>-31.033642891829015</v>
      </c>
      <c r="P32" s="714">
        <f>Bilans_E_AMS_Kyoto_run3_MTE!T330+Bilans_E_AMS_Kyoto_run3_MTE!U330</f>
        <v>10.417559156149544</v>
      </c>
      <c r="Q32" s="714">
        <f>Bilans_E_AMS_Kyoto_run3_MTE!V330</f>
        <v>14.14239173681338</v>
      </c>
      <c r="R32" s="714">
        <f>Bilans_E_AMS_Kyoto_run3_MTE!W330</f>
        <v>-574.82520213641897</v>
      </c>
      <c r="S32" s="714">
        <f>Bilans_E_AMS_Kyoto_run3_MTE!X330</f>
        <v>-78.030708028784062</v>
      </c>
      <c r="T32" s="714">
        <f>Bilans_E_AMS_Kyoto_run3_MTE!Y330</f>
        <v>-9.8902693120893517</v>
      </c>
      <c r="U32" s="714">
        <f>Bilans_E_AMS_Kyoto_run3_MTE!Z330</f>
        <v>1052.0132624686898</v>
      </c>
      <c r="V32" s="701"/>
      <c r="W32" s="701"/>
    </row>
    <row r="33" spans="1:23" x14ac:dyDescent="0.25">
      <c r="A33" s="701"/>
      <c r="B33" s="701"/>
      <c r="C33" s="715"/>
      <c r="D33" s="716"/>
      <c r="E33" s="716"/>
      <c r="F33" s="716"/>
      <c r="G33" s="716"/>
      <c r="H33" s="716"/>
      <c r="I33" s="716"/>
      <c r="J33" s="716"/>
      <c r="K33" s="716"/>
      <c r="L33" s="716"/>
      <c r="M33" s="716"/>
      <c r="N33" s="716"/>
      <c r="O33" s="716"/>
      <c r="P33" s="716">
        <f>Bilans_E_AMS_Kyoto_run3_MTE!T331+Bilans_E_AMS_Kyoto_run3_MTE!U331</f>
        <v>0</v>
      </c>
      <c r="Q33" s="716"/>
      <c r="R33" s="716"/>
      <c r="S33" s="716"/>
      <c r="T33" s="716"/>
      <c r="U33" s="716"/>
      <c r="V33" s="701"/>
      <c r="W33" s="701"/>
    </row>
    <row r="34" spans="1:23" x14ac:dyDescent="0.25">
      <c r="A34" s="701" t="s">
        <v>507</v>
      </c>
      <c r="B34" s="701"/>
      <c r="C34" s="717" t="s">
        <v>78</v>
      </c>
      <c r="D34" s="711">
        <f>Bilans_E_AMS_Kyoto_run3_MTE!H332</f>
        <v>0.72191845703125002</v>
      </c>
      <c r="E34" s="711">
        <f>Bilans_E_AMS_Kyoto_run3_MTE!I332</f>
        <v>0</v>
      </c>
      <c r="F34" s="711">
        <f>Bilans_E_AMS_Kyoto_run3_MTE!J332</f>
        <v>8.6275641405514261</v>
      </c>
      <c r="G34" s="711">
        <f>Bilans_E_AMS_Kyoto_run3_MTE!K332</f>
        <v>0</v>
      </c>
      <c r="H34" s="711">
        <f>Bilans_E_AMS_Kyoto_run3_MTE!L332</f>
        <v>60.118843099403179</v>
      </c>
      <c r="I34" s="711">
        <f>Bilans_E_AMS_Kyoto_run3_MTE!M332</f>
        <v>0</v>
      </c>
      <c r="J34" s="711">
        <f>Bilans_E_AMS_Kyoto_run3_MTE!N332</f>
        <v>0</v>
      </c>
      <c r="K34" s="711">
        <f>Bilans_E_AMS_Kyoto_run3_MTE!O332</f>
        <v>0</v>
      </c>
      <c r="L34" s="711">
        <f>Bilans_E_AMS_Kyoto_run3_MTE!P332</f>
        <v>39.297286819626784</v>
      </c>
      <c r="M34" s="711">
        <f>Bilans_E_AMS_Kyoto_run3_MTE!Q332</f>
        <v>9.815547509212319</v>
      </c>
      <c r="N34" s="711">
        <f>Bilans_E_AMS_Kyoto_run3_MTE!R332</f>
        <v>0.93232860735581835</v>
      </c>
      <c r="O34" s="711">
        <f>Bilans_E_AMS_Kyoto_run3_MTE!S332</f>
        <v>13.22814546550425</v>
      </c>
      <c r="P34" s="711">
        <f>Bilans_E_AMS_Kyoto_run3_MTE!T332+Bilans_E_AMS_Kyoto_run3_MTE!U332</f>
        <v>6.7746367187500001</v>
      </c>
      <c r="Q34" s="711">
        <f>Bilans_E_AMS_Kyoto_run3_MTE!V332</f>
        <v>6.3863689419622622E-4</v>
      </c>
      <c r="R34" s="711">
        <f>Bilans_E_AMS_Kyoto_run3_MTE!W332</f>
        <v>152.36640904233067</v>
      </c>
      <c r="S34" s="711">
        <f>Bilans_E_AMS_Kyoto_run3_MTE!X332</f>
        <v>19.594153264133379</v>
      </c>
      <c r="T34" s="711">
        <f>Bilans_E_AMS_Kyoto_run3_MTE!Y332</f>
        <v>5.5380712890624997</v>
      </c>
      <c r="U34" s="711">
        <f>Bilans_E_AMS_Kyoto_run3_MTE!Z332</f>
        <v>317.01554304985569</v>
      </c>
      <c r="V34" s="701"/>
      <c r="W34" s="701"/>
    </row>
    <row r="35" spans="1:23" x14ac:dyDescent="0.25">
      <c r="A35" s="701" t="s">
        <v>508</v>
      </c>
      <c r="B35" s="701"/>
      <c r="C35" s="717" t="s">
        <v>79</v>
      </c>
      <c r="D35" s="711">
        <f>Bilans_E_AMS_Kyoto_run3_MTE!H333</f>
        <v>0</v>
      </c>
      <c r="E35" s="711">
        <f>Bilans_E_AMS_Kyoto_run3_MTE!I333</f>
        <v>0</v>
      </c>
      <c r="F35" s="711">
        <f>Bilans_E_AMS_Kyoto_run3_MTE!J333</f>
        <v>257.95105394329198</v>
      </c>
      <c r="G35" s="711">
        <f>Bilans_E_AMS_Kyoto_run3_MTE!K333</f>
        <v>0</v>
      </c>
      <c r="H35" s="711">
        <f>Bilans_E_AMS_Kyoto_run3_MTE!L333</f>
        <v>5.8847606933541083</v>
      </c>
      <c r="I35" s="711">
        <f>Bilans_E_AMS_Kyoto_run3_MTE!M333</f>
        <v>0</v>
      </c>
      <c r="J35" s="711">
        <f>Bilans_E_AMS_Kyoto_run3_MTE!N333</f>
        <v>0</v>
      </c>
      <c r="K35" s="711">
        <f>Bilans_E_AMS_Kyoto_run3_MTE!O333</f>
        <v>0</v>
      </c>
      <c r="L35" s="711">
        <f>Bilans_E_AMS_Kyoto_run3_MTE!P333</f>
        <v>0</v>
      </c>
      <c r="M35" s="711">
        <f>Bilans_E_AMS_Kyoto_run3_MTE!Q333</f>
        <v>0</v>
      </c>
      <c r="N35" s="711">
        <f>Bilans_E_AMS_Kyoto_run3_MTE!R333</f>
        <v>39.412078743974838</v>
      </c>
      <c r="O35" s="711">
        <f>Bilans_E_AMS_Kyoto_run3_MTE!S333</f>
        <v>1.2917767375655358</v>
      </c>
      <c r="P35" s="711">
        <f>Bilans_E_AMS_Kyoto_run3_MTE!T333+Bilans_E_AMS_Kyoto_run3_MTE!U333</f>
        <v>0</v>
      </c>
      <c r="Q35" s="711">
        <f>Bilans_E_AMS_Kyoto_run3_MTE!V333</f>
        <v>0</v>
      </c>
      <c r="R35" s="711">
        <f>Bilans_E_AMS_Kyoto_run3_MTE!W333</f>
        <v>52.662599620962098</v>
      </c>
      <c r="S35" s="711">
        <f>Bilans_E_AMS_Kyoto_run3_MTE!X333</f>
        <v>0</v>
      </c>
      <c r="T35" s="711">
        <f>Bilans_E_AMS_Kyoto_run3_MTE!Y333</f>
        <v>1.8899673831959209</v>
      </c>
      <c r="U35" s="711">
        <f>Bilans_E_AMS_Kyoto_run3_MTE!Z333</f>
        <v>359.09223712234456</v>
      </c>
      <c r="V35" s="701"/>
      <c r="W35" s="701"/>
    </row>
    <row r="36" spans="1:23" x14ac:dyDescent="0.25">
      <c r="A36" s="701" t="s">
        <v>509</v>
      </c>
      <c r="B36" s="701"/>
      <c r="C36" s="717" t="s">
        <v>80</v>
      </c>
      <c r="D36" s="711">
        <f>Bilans_E_AMS_Kyoto_run3_MTE!H334</f>
        <v>0</v>
      </c>
      <c r="E36" s="711">
        <f>Bilans_E_AMS_Kyoto_run3_MTE!I334</f>
        <v>0</v>
      </c>
      <c r="F36" s="711">
        <f>Bilans_E_AMS_Kyoto_run3_MTE!J334</f>
        <v>4.4871361996085151</v>
      </c>
      <c r="G36" s="711">
        <f>Bilans_E_AMS_Kyoto_run3_MTE!K334</f>
        <v>0</v>
      </c>
      <c r="H36" s="711">
        <f>Bilans_E_AMS_Kyoto_run3_MTE!L334</f>
        <v>56.445665913049908</v>
      </c>
      <c r="I36" s="711">
        <f>Bilans_E_AMS_Kyoto_run3_MTE!M334</f>
        <v>0</v>
      </c>
      <c r="J36" s="711">
        <f>Bilans_E_AMS_Kyoto_run3_MTE!N334</f>
        <v>0</v>
      </c>
      <c r="K36" s="711">
        <f>Bilans_E_AMS_Kyoto_run3_MTE!O334</f>
        <v>0</v>
      </c>
      <c r="L36" s="711">
        <f>Bilans_E_AMS_Kyoto_run3_MTE!P334</f>
        <v>53.14163083232755</v>
      </c>
      <c r="M36" s="711">
        <f>Bilans_E_AMS_Kyoto_run3_MTE!Q334</f>
        <v>0</v>
      </c>
      <c r="N36" s="711">
        <f>Bilans_E_AMS_Kyoto_run3_MTE!R334</f>
        <v>0</v>
      </c>
      <c r="O36" s="711">
        <f>Bilans_E_AMS_Kyoto_run3_MTE!S334</f>
        <v>12.390512029693882</v>
      </c>
      <c r="P36" s="711">
        <f>Bilans_E_AMS_Kyoto_run3_MTE!T334+Bilans_E_AMS_Kyoto_run3_MTE!U334</f>
        <v>95.189251128952151</v>
      </c>
      <c r="Q36" s="711">
        <f>Bilans_E_AMS_Kyoto_run3_MTE!V334</f>
        <v>7.3206839966503274</v>
      </c>
      <c r="R36" s="711">
        <f>Bilans_E_AMS_Kyoto_run3_MTE!W334</f>
        <v>156.27303977046446</v>
      </c>
      <c r="S36" s="711">
        <f>Bilans_E_AMS_Kyoto_run3_MTE!X334</f>
        <v>35.751867080837265</v>
      </c>
      <c r="T36" s="711">
        <f>Bilans_E_AMS_Kyoto_run3_MTE!Y334</f>
        <v>0</v>
      </c>
      <c r="U36" s="711">
        <f>Bilans_E_AMS_Kyoto_run3_MTE!Z334</f>
        <v>420.99978695158404</v>
      </c>
      <c r="V36" s="701"/>
      <c r="W36" s="701"/>
    </row>
    <row r="37" spans="1:23" x14ac:dyDescent="0.25">
      <c r="A37" s="701" t="s">
        <v>510</v>
      </c>
      <c r="B37" s="701"/>
      <c r="C37" s="717" t="s">
        <v>81</v>
      </c>
      <c r="D37" s="711">
        <f>Bilans_E_AMS_Kyoto_run3_MTE!H335</f>
        <v>0</v>
      </c>
      <c r="E37" s="711">
        <f>Bilans_E_AMS_Kyoto_run3_MTE!I335</f>
        <v>0</v>
      </c>
      <c r="F37" s="711">
        <f>Bilans_E_AMS_Kyoto_run3_MTE!J335</f>
        <v>2.7608540872674436</v>
      </c>
      <c r="G37" s="711">
        <f>Bilans_E_AMS_Kyoto_run3_MTE!K335</f>
        <v>0</v>
      </c>
      <c r="H37" s="711">
        <f>Bilans_E_AMS_Kyoto_run3_MTE!L335</f>
        <v>36.954753731916043</v>
      </c>
      <c r="I37" s="711">
        <f>Bilans_E_AMS_Kyoto_run3_MTE!M335</f>
        <v>0</v>
      </c>
      <c r="J37" s="711">
        <f>Bilans_E_AMS_Kyoto_run3_MTE!N335</f>
        <v>0</v>
      </c>
      <c r="K37" s="711">
        <f>Bilans_E_AMS_Kyoto_run3_MTE!O335</f>
        <v>0</v>
      </c>
      <c r="L37" s="711">
        <f>Bilans_E_AMS_Kyoto_run3_MTE!P335</f>
        <v>0.62415819926103555</v>
      </c>
      <c r="M37" s="711">
        <f>Bilans_E_AMS_Kyoto_run3_MTE!Q335</f>
        <v>0</v>
      </c>
      <c r="N37" s="711">
        <f>Bilans_E_AMS_Kyoto_run3_MTE!R335</f>
        <v>0</v>
      </c>
      <c r="O37" s="711">
        <f>Bilans_E_AMS_Kyoto_run3_MTE!S335</f>
        <v>8.1120191118840097</v>
      </c>
      <c r="P37" s="711">
        <f>Bilans_E_AMS_Kyoto_run3_MTE!T335+Bilans_E_AMS_Kyoto_run3_MTE!U335</f>
        <v>38.431536860359955</v>
      </c>
      <c r="Q37" s="711">
        <f>Bilans_E_AMS_Kyoto_run3_MTE!V335</f>
        <v>7.0322041232131749</v>
      </c>
      <c r="R37" s="711">
        <f>Bilans_E_AMS_Kyoto_run3_MTE!W335</f>
        <v>121.89305236123509</v>
      </c>
      <c r="S37" s="711">
        <f>Bilans_E_AMS_Kyoto_run3_MTE!X335</f>
        <v>22.684657409761833</v>
      </c>
      <c r="T37" s="711">
        <f>Bilans_E_AMS_Kyoto_run3_MTE!Y335</f>
        <v>0</v>
      </c>
      <c r="U37" s="711">
        <f>Bilans_E_AMS_Kyoto_run3_MTE!Z335</f>
        <v>238.49323588489858</v>
      </c>
      <c r="V37" s="701"/>
      <c r="W37" s="701"/>
    </row>
    <row r="38" spans="1:23" x14ac:dyDescent="0.25">
      <c r="A38" s="701" t="s">
        <v>511</v>
      </c>
      <c r="B38" s="701"/>
      <c r="C38" s="717" t="s">
        <v>82</v>
      </c>
      <c r="D38" s="711">
        <f>Bilans_E_AMS_Kyoto_run3_MTE!H336</f>
        <v>0</v>
      </c>
      <c r="E38" s="711">
        <f>Bilans_E_AMS_Kyoto_run3_MTE!I336</f>
        <v>0</v>
      </c>
      <c r="F38" s="711">
        <f>Bilans_E_AMS_Kyoto_run3_MTE!J336</f>
        <v>25.562238728089401</v>
      </c>
      <c r="G38" s="711">
        <f>Bilans_E_AMS_Kyoto_run3_MTE!K336</f>
        <v>0</v>
      </c>
      <c r="H38" s="711">
        <f>Bilans_E_AMS_Kyoto_run3_MTE!L336</f>
        <v>1.2995823950376393</v>
      </c>
      <c r="I38" s="711">
        <f>Bilans_E_AMS_Kyoto_run3_MTE!M336</f>
        <v>0</v>
      </c>
      <c r="J38" s="711">
        <f>Bilans_E_AMS_Kyoto_run3_MTE!N336</f>
        <v>0</v>
      </c>
      <c r="K38" s="711">
        <f>Bilans_E_AMS_Kyoto_run3_MTE!O336</f>
        <v>0</v>
      </c>
      <c r="L38" s="711">
        <f>Bilans_E_AMS_Kyoto_run3_MTE!P336</f>
        <v>12.365635061857649</v>
      </c>
      <c r="M38" s="711">
        <f>Bilans_E_AMS_Kyoto_run3_MTE!Q336</f>
        <v>0</v>
      </c>
      <c r="N38" s="711">
        <f>Bilans_E_AMS_Kyoto_run3_MTE!R336</f>
        <v>5.004323315399402</v>
      </c>
      <c r="O38" s="711">
        <f>Bilans_E_AMS_Kyoto_run3_MTE!S336</f>
        <v>0.28527418427655493</v>
      </c>
      <c r="P38" s="711">
        <f>Bilans_E_AMS_Kyoto_run3_MTE!T336+Bilans_E_AMS_Kyoto_run3_MTE!U336</f>
        <v>0.65</v>
      </c>
      <c r="Q38" s="711">
        <f>Bilans_E_AMS_Kyoto_run3_MTE!V336</f>
        <v>0.82781531321025892</v>
      </c>
      <c r="R38" s="711">
        <f>Bilans_E_AMS_Kyoto_run3_MTE!W336</f>
        <v>8.2928422498969727</v>
      </c>
      <c r="S38" s="711">
        <f>Bilans_E_AMS_Kyoto_run3_MTE!X336</f>
        <v>0</v>
      </c>
      <c r="T38" s="711">
        <f>Bilans_E_AMS_Kyoto_run3_MTE!Y336</f>
        <v>0.25343345849890081</v>
      </c>
      <c r="U38" s="711">
        <f>Bilans_E_AMS_Kyoto_run3_MTE!Z336</f>
        <v>54.541144706266778</v>
      </c>
      <c r="V38" s="701"/>
      <c r="W38" s="701"/>
    </row>
    <row r="39" spans="1:23" x14ac:dyDescent="0.25">
      <c r="A39" s="701" t="s">
        <v>512</v>
      </c>
      <c r="B39" s="701"/>
      <c r="C39" s="717" t="s">
        <v>354</v>
      </c>
      <c r="D39" s="711">
        <f>Bilans_E_AMS_Kyoto_run3_MTE!H337</f>
        <v>0</v>
      </c>
      <c r="E39" s="711">
        <f>Bilans_E_AMS_Kyoto_run3_MTE!I337</f>
        <v>0</v>
      </c>
      <c r="F39" s="711">
        <f>Bilans_E_AMS_Kyoto_run3_MTE!J337</f>
        <v>0</v>
      </c>
      <c r="G39" s="711">
        <f>Bilans_E_AMS_Kyoto_run3_MTE!K337</f>
        <v>0</v>
      </c>
      <c r="H39" s="711">
        <f>Bilans_E_AMS_Kyoto_run3_MTE!L337</f>
        <v>0</v>
      </c>
      <c r="I39" s="711">
        <f>Bilans_E_AMS_Kyoto_run3_MTE!M337</f>
        <v>0</v>
      </c>
      <c r="J39" s="711">
        <f>Bilans_E_AMS_Kyoto_run3_MTE!N337</f>
        <v>0</v>
      </c>
      <c r="K39" s="711">
        <f>Bilans_E_AMS_Kyoto_run3_MTE!O337</f>
        <v>0</v>
      </c>
      <c r="L39" s="711">
        <f>Bilans_E_AMS_Kyoto_run3_MTE!P337</f>
        <v>0</v>
      </c>
      <c r="M39" s="711">
        <f>Bilans_E_AMS_Kyoto_run3_MTE!Q337</f>
        <v>0</v>
      </c>
      <c r="N39" s="711">
        <f>Bilans_E_AMS_Kyoto_run3_MTE!R337</f>
        <v>0</v>
      </c>
      <c r="O39" s="711">
        <f>Bilans_E_AMS_Kyoto_run3_MTE!S337</f>
        <v>0</v>
      </c>
      <c r="P39" s="711">
        <f>Bilans_E_AMS_Kyoto_run3_MTE!T337+Bilans_E_AMS_Kyoto_run3_MTE!U337</f>
        <v>0</v>
      </c>
      <c r="Q39" s="711">
        <f>Bilans_E_AMS_Kyoto_run3_MTE!V337</f>
        <v>0</v>
      </c>
      <c r="R39" s="711">
        <f>Bilans_E_AMS_Kyoto_run3_MTE!W337</f>
        <v>0</v>
      </c>
      <c r="S39" s="711">
        <f>Bilans_E_AMS_Kyoto_run3_MTE!X337</f>
        <v>0</v>
      </c>
      <c r="T39" s="711">
        <f>Bilans_E_AMS_Kyoto_run3_MTE!Y337</f>
        <v>0</v>
      </c>
      <c r="U39" s="711">
        <f>Bilans_E_AMS_Kyoto_run3_MTE!Z337</f>
        <v>0</v>
      </c>
      <c r="V39" s="701"/>
      <c r="W39" s="701"/>
    </row>
    <row r="40" spans="1:23" x14ac:dyDescent="0.25">
      <c r="A40" s="701" t="s">
        <v>513</v>
      </c>
      <c r="B40" s="701"/>
      <c r="C40" s="713" t="s">
        <v>83</v>
      </c>
      <c r="D40" s="714">
        <f>Bilans_E_AMS_Kyoto_run3_MTE!H338</f>
        <v>0.72191845703125002</v>
      </c>
      <c r="E40" s="714">
        <f>Bilans_E_AMS_Kyoto_run3_MTE!I338</f>
        <v>0</v>
      </c>
      <c r="F40" s="714">
        <f>Bilans_E_AMS_Kyoto_run3_MTE!J338</f>
        <v>299.38884709880881</v>
      </c>
      <c r="G40" s="714">
        <f>Bilans_E_AMS_Kyoto_run3_MTE!K338</f>
        <v>0</v>
      </c>
      <c r="H40" s="714">
        <f>Bilans_E_AMS_Kyoto_run3_MTE!L338</f>
        <v>160.7036058327609</v>
      </c>
      <c r="I40" s="714">
        <f>Bilans_E_AMS_Kyoto_run3_MTE!M338</f>
        <v>0</v>
      </c>
      <c r="J40" s="714">
        <f>Bilans_E_AMS_Kyoto_run3_MTE!N338</f>
        <v>0</v>
      </c>
      <c r="K40" s="714">
        <f>Bilans_E_AMS_Kyoto_run3_MTE!O338</f>
        <v>0</v>
      </c>
      <c r="L40" s="714">
        <f>Bilans_E_AMS_Kyoto_run3_MTE!P338</f>
        <v>105.42871091307302</v>
      </c>
      <c r="M40" s="714">
        <f>Bilans_E_AMS_Kyoto_run3_MTE!Q338</f>
        <v>9.815547509212319</v>
      </c>
      <c r="N40" s="714">
        <f>Bilans_E_AMS_Kyoto_run3_MTE!R338</f>
        <v>45.348730666730063</v>
      </c>
      <c r="O40" s="714">
        <f>Bilans_E_AMS_Kyoto_run3_MTE!S338</f>
        <v>35.307727528924232</v>
      </c>
      <c r="P40" s="714">
        <f>Bilans_E_AMS_Kyoto_run3_MTE!T338+Bilans_E_AMS_Kyoto_run3_MTE!U338</f>
        <v>141.04542470806211</v>
      </c>
      <c r="Q40" s="714">
        <f>Bilans_E_AMS_Kyoto_run3_MTE!V338</f>
        <v>15.181342069967958</v>
      </c>
      <c r="R40" s="714">
        <f>Bilans_E_AMS_Kyoto_run3_MTE!W338</f>
        <v>491.48794304488933</v>
      </c>
      <c r="S40" s="714">
        <f>Bilans_E_AMS_Kyoto_run3_MTE!X338</f>
        <v>78.030677754732466</v>
      </c>
      <c r="T40" s="714">
        <f>Bilans_E_AMS_Kyoto_run3_MTE!Y338</f>
        <v>7.6814721307573208</v>
      </c>
      <c r="U40" s="714">
        <f>Bilans_E_AMS_Kyoto_run3_MTE!Z338</f>
        <v>1390.1419477149495</v>
      </c>
      <c r="V40" s="701"/>
      <c r="W40" s="701"/>
    </row>
    <row r="41" spans="1:23" x14ac:dyDescent="0.25">
      <c r="A41" s="701" t="s">
        <v>514</v>
      </c>
      <c r="B41" s="701"/>
      <c r="C41" s="710" t="s">
        <v>84</v>
      </c>
      <c r="D41" s="711">
        <f>Bilans_E_AMS_Kyoto_run3_MTE!H339</f>
        <v>0</v>
      </c>
      <c r="E41" s="711">
        <f>Bilans_E_AMS_Kyoto_run3_MTE!I339</f>
        <v>0</v>
      </c>
      <c r="F41" s="711">
        <f>Bilans_E_AMS_Kyoto_run3_MTE!J339</f>
        <v>111.11471121185716</v>
      </c>
      <c r="G41" s="711">
        <f>Bilans_E_AMS_Kyoto_run3_MTE!K339</f>
        <v>0.79070039752491883</v>
      </c>
      <c r="H41" s="711">
        <f>Bilans_E_AMS_Kyoto_run3_MTE!L339</f>
        <v>13.201723871248829</v>
      </c>
      <c r="I41" s="711">
        <f>Bilans_E_AMS_Kyoto_run3_MTE!M339</f>
        <v>0</v>
      </c>
      <c r="J41" s="711">
        <f>Bilans_E_AMS_Kyoto_run3_MTE!N339</f>
        <v>0</v>
      </c>
      <c r="K41" s="711">
        <f>Bilans_E_AMS_Kyoto_run3_MTE!O339</f>
        <v>0</v>
      </c>
      <c r="L41" s="711">
        <f>Bilans_E_AMS_Kyoto_run3_MTE!P339</f>
        <v>0.22001800269575944</v>
      </c>
      <c r="M41" s="711">
        <f>Bilans_E_AMS_Kyoto_run3_MTE!Q339</f>
        <v>0</v>
      </c>
      <c r="N41" s="711">
        <f>Bilans_E_AMS_Kyoto_run3_MTE!R339</f>
        <v>1.3493655310578188</v>
      </c>
      <c r="O41" s="711">
        <f>Bilans_E_AMS_Kyoto_run3_MTE!S339</f>
        <v>0</v>
      </c>
      <c r="P41" s="711">
        <f>Bilans_E_AMS_Kyoto_run3_MTE!T339+Bilans_E_AMS_Kyoto_run3_MTE!U339</f>
        <v>0</v>
      </c>
      <c r="Q41" s="711">
        <f>Bilans_E_AMS_Kyoto_run3_MTE!V339</f>
        <v>0</v>
      </c>
      <c r="R41" s="711">
        <f>Bilans_E_AMS_Kyoto_run3_MTE!W339</f>
        <v>0</v>
      </c>
      <c r="S41" s="711">
        <f>Bilans_E_AMS_Kyoto_run3_MTE!X339</f>
        <v>0</v>
      </c>
      <c r="T41" s="711">
        <f>Bilans_E_AMS_Kyoto_run3_MTE!Y339</f>
        <v>1.3469384191833629</v>
      </c>
      <c r="U41" s="711">
        <f>Bilans_E_AMS_Kyoto_run3_MTE!Z339</f>
        <v>128.02345743356784</v>
      </c>
      <c r="V41" s="701"/>
      <c r="W41" s="701"/>
    </row>
    <row r="42" spans="1:23" x14ac:dyDescent="0.25">
      <c r="A42" s="701" t="s">
        <v>515</v>
      </c>
      <c r="B42" s="701"/>
      <c r="C42" s="713" t="s">
        <v>85</v>
      </c>
      <c r="D42" s="714">
        <f>Bilans_E_AMS_Kyoto_run3_MTE!H340</f>
        <v>0.72191845703125002</v>
      </c>
      <c r="E42" s="714">
        <f>Bilans_E_AMS_Kyoto_run3_MTE!I340</f>
        <v>0</v>
      </c>
      <c r="F42" s="714">
        <f>Bilans_E_AMS_Kyoto_run3_MTE!J340</f>
        <v>410.50355831066599</v>
      </c>
      <c r="G42" s="714">
        <f>Bilans_E_AMS_Kyoto_run3_MTE!K340</f>
        <v>0.79070039752491883</v>
      </c>
      <c r="H42" s="714">
        <f>Bilans_E_AMS_Kyoto_run3_MTE!L340</f>
        <v>173.90532970400972</v>
      </c>
      <c r="I42" s="714">
        <f>Bilans_E_AMS_Kyoto_run3_MTE!M340</f>
        <v>0</v>
      </c>
      <c r="J42" s="714">
        <f>Bilans_E_AMS_Kyoto_run3_MTE!N340</f>
        <v>0</v>
      </c>
      <c r="K42" s="714">
        <f>Bilans_E_AMS_Kyoto_run3_MTE!O340</f>
        <v>0</v>
      </c>
      <c r="L42" s="714">
        <f>Bilans_E_AMS_Kyoto_run3_MTE!P340</f>
        <v>105.64872891576877</v>
      </c>
      <c r="M42" s="714">
        <f>Bilans_E_AMS_Kyoto_run3_MTE!Q340</f>
        <v>9.815547509212319</v>
      </c>
      <c r="N42" s="714">
        <f>Bilans_E_AMS_Kyoto_run3_MTE!R340</f>
        <v>46.698096197787883</v>
      </c>
      <c r="O42" s="714">
        <f>Bilans_E_AMS_Kyoto_run3_MTE!S340</f>
        <v>35.307727528924232</v>
      </c>
      <c r="P42" s="714">
        <f>Bilans_E_AMS_Kyoto_run3_MTE!T340+Bilans_E_AMS_Kyoto_run3_MTE!U340</f>
        <v>141.04542470806211</v>
      </c>
      <c r="Q42" s="714">
        <f>Bilans_E_AMS_Kyoto_run3_MTE!V340</f>
        <v>15.181342069967958</v>
      </c>
      <c r="R42" s="714">
        <f>Bilans_E_AMS_Kyoto_run3_MTE!W340</f>
        <v>491.48794304488933</v>
      </c>
      <c r="S42" s="714">
        <f>Bilans_E_AMS_Kyoto_run3_MTE!X340</f>
        <v>78.030677754732466</v>
      </c>
      <c r="T42" s="714">
        <f>Bilans_E_AMS_Kyoto_run3_MTE!Y340</f>
        <v>9.0284105499406841</v>
      </c>
      <c r="U42" s="714">
        <f>Bilans_E_AMS_Kyoto_run3_MTE!Z340</f>
        <v>1518.1654051485175</v>
      </c>
      <c r="V42" s="701"/>
      <c r="W42" s="701"/>
    </row>
    <row r="43" spans="1:23" x14ac:dyDescent="0.25">
      <c r="A43" s="701"/>
      <c r="B43" s="701"/>
      <c r="C43" s="701"/>
      <c r="D43" s="701">
        <f>Bilans_E_AMS_Kyoto_run3_MTE!H341</f>
        <v>0</v>
      </c>
      <c r="E43" s="701">
        <f>Bilans_E_AMS_Kyoto_run3_MTE!I341</f>
        <v>0</v>
      </c>
      <c r="F43" s="701">
        <f>Bilans_E_AMS_Kyoto_run3_MTE!J341</f>
        <v>0</v>
      </c>
      <c r="G43" s="701">
        <f>Bilans_E_AMS_Kyoto_run3_MTE!K341</f>
        <v>0</v>
      </c>
      <c r="H43" s="701">
        <f>Bilans_E_AMS_Kyoto_run3_MTE!L341</f>
        <v>0</v>
      </c>
      <c r="I43" s="701">
        <f>Bilans_E_AMS_Kyoto_run3_MTE!M341</f>
        <v>0</v>
      </c>
      <c r="J43" s="701">
        <f>Bilans_E_AMS_Kyoto_run3_MTE!N341</f>
        <v>0</v>
      </c>
      <c r="K43" s="701">
        <f>Bilans_E_AMS_Kyoto_run3_MTE!O341</f>
        <v>0</v>
      </c>
      <c r="L43" s="701">
        <f>Bilans_E_AMS_Kyoto_run3_MTE!P341</f>
        <v>0</v>
      </c>
      <c r="M43" s="701">
        <f>Bilans_E_AMS_Kyoto_run3_MTE!Q341</f>
        <v>0</v>
      </c>
      <c r="N43" s="701">
        <f>Bilans_E_AMS_Kyoto_run3_MTE!R341</f>
        <v>-3.5527136788005009E-15</v>
      </c>
      <c r="O43" s="701">
        <f>Bilans_E_AMS_Kyoto_run3_MTE!S341</f>
        <v>7.9936057773011271E-15</v>
      </c>
      <c r="P43" s="701">
        <f>Bilans_E_AMS_Kyoto_run3_MTE!T341+Bilans_E_AMS_Kyoto_run3_MTE!U341</f>
        <v>0</v>
      </c>
      <c r="Q43" s="701">
        <f>Bilans_E_AMS_Kyoto_run3_MTE!V341</f>
        <v>0</v>
      </c>
      <c r="R43" s="701">
        <f>Bilans_E_AMS_Kyoto_run3_MTE!W341</f>
        <v>0</v>
      </c>
      <c r="S43" s="701">
        <f>Bilans_E_AMS_Kyoto_run3_MTE!X341</f>
        <v>-3.0274051596279605E-5</v>
      </c>
      <c r="T43" s="701">
        <f>Bilans_E_AMS_Kyoto_run3_MTE!Y341</f>
        <v>8.8817841970012523E-16</v>
      </c>
      <c r="U43" s="701">
        <f>Bilans_E_AMS_Kyoto_run3_MTE!Z341</f>
        <v>-3.0274051823653281E-5</v>
      </c>
      <c r="V43" s="701"/>
      <c r="W43" s="701"/>
    </row>
    <row r="44" spans="1:23" x14ac:dyDescent="0.25">
      <c r="A44" s="701"/>
      <c r="B44" s="701"/>
      <c r="C44" s="701"/>
      <c r="D44" s="701"/>
      <c r="E44" s="701"/>
      <c r="F44" s="701"/>
      <c r="G44" s="701"/>
      <c r="H44" s="701"/>
      <c r="I44" s="701"/>
      <c r="J44" s="701"/>
      <c r="K44" s="701"/>
      <c r="L44" s="701"/>
      <c r="M44" s="701"/>
      <c r="N44" s="701"/>
      <c r="O44" s="701"/>
      <c r="P44" s="701"/>
      <c r="Q44" s="701"/>
      <c r="R44" s="701"/>
      <c r="S44" s="701"/>
      <c r="T44" s="701"/>
      <c r="U44" s="701"/>
      <c r="V44" s="701"/>
      <c r="W44" s="701"/>
    </row>
    <row r="45" spans="1:23" x14ac:dyDescent="0.25">
      <c r="A45" s="707"/>
      <c r="B45" s="707"/>
      <c r="C45" s="708" t="s">
        <v>358</v>
      </c>
      <c r="D45" s="707"/>
      <c r="E45" s="707"/>
      <c r="F45" s="707"/>
      <c r="G45" s="707"/>
      <c r="H45" s="707"/>
      <c r="I45" s="707"/>
      <c r="J45" s="707"/>
      <c r="K45" s="707"/>
      <c r="L45" s="707"/>
      <c r="M45" s="707"/>
      <c r="N45" s="707"/>
      <c r="O45" s="707"/>
      <c r="P45" s="707"/>
      <c r="Q45" s="707"/>
      <c r="R45" s="707"/>
      <c r="S45" s="707"/>
      <c r="T45" s="707"/>
      <c r="U45" s="707"/>
      <c r="V45" s="707"/>
      <c r="W45" s="707"/>
    </row>
    <row r="46" spans="1:23" x14ac:dyDescent="0.25">
      <c r="A46" s="701"/>
      <c r="B46" s="701"/>
      <c r="C46" s="701"/>
      <c r="D46" s="701"/>
      <c r="E46" s="701"/>
      <c r="F46" s="701"/>
      <c r="G46" s="701"/>
      <c r="H46" s="701"/>
      <c r="I46" s="701"/>
      <c r="J46" s="701"/>
      <c r="K46" s="701"/>
      <c r="L46" s="701"/>
      <c r="M46" s="701"/>
      <c r="N46" s="701"/>
      <c r="O46" s="701"/>
      <c r="P46" s="701"/>
      <c r="Q46" s="701"/>
      <c r="R46" s="701"/>
      <c r="S46" s="701"/>
      <c r="T46" s="701"/>
      <c r="U46" s="701"/>
      <c r="V46" s="701"/>
      <c r="W46" s="701"/>
    </row>
    <row r="47" spans="1:23" x14ac:dyDescent="0.25">
      <c r="A47" s="701"/>
      <c r="B47" s="701"/>
      <c r="C47" s="780" t="s">
        <v>128</v>
      </c>
      <c r="D47" s="775" t="s">
        <v>42</v>
      </c>
      <c r="E47" s="775" t="s">
        <v>52</v>
      </c>
      <c r="F47" s="775" t="s">
        <v>53</v>
      </c>
      <c r="G47" s="775" t="s">
        <v>482</v>
      </c>
      <c r="H47" s="775" t="s">
        <v>32</v>
      </c>
      <c r="I47" s="775" t="s">
        <v>483</v>
      </c>
      <c r="J47" s="775" t="s">
        <v>20</v>
      </c>
      <c r="K47" s="775" t="s">
        <v>55</v>
      </c>
      <c r="L47" s="777" t="s">
        <v>56</v>
      </c>
      <c r="M47" s="778"/>
      <c r="N47" s="778"/>
      <c r="O47" s="778"/>
      <c r="P47" s="778"/>
      <c r="Q47" s="779"/>
      <c r="R47" s="775" t="s">
        <v>57</v>
      </c>
      <c r="S47" s="775" t="s">
        <v>58</v>
      </c>
      <c r="T47" s="775" t="s">
        <v>31</v>
      </c>
      <c r="U47" s="775" t="s">
        <v>10</v>
      </c>
      <c r="V47" s="701"/>
      <c r="W47" s="701"/>
    </row>
    <row r="48" spans="1:23" ht="67.5" x14ac:dyDescent="0.25">
      <c r="A48" s="701" t="s">
        <v>486</v>
      </c>
      <c r="B48" s="701"/>
      <c r="C48" s="781"/>
      <c r="D48" s="776"/>
      <c r="E48" s="776"/>
      <c r="F48" s="776"/>
      <c r="G48" s="776"/>
      <c r="H48" s="776"/>
      <c r="I48" s="776"/>
      <c r="J48" s="776"/>
      <c r="K48" s="776"/>
      <c r="L48" s="709" t="s">
        <v>335</v>
      </c>
      <c r="M48" s="709" t="s">
        <v>40</v>
      </c>
      <c r="N48" s="709" t="s">
        <v>343</v>
      </c>
      <c r="O48" s="709" t="s">
        <v>344</v>
      </c>
      <c r="P48" s="719" t="s">
        <v>610</v>
      </c>
      <c r="Q48" s="709" t="s">
        <v>346</v>
      </c>
      <c r="R48" s="776"/>
      <c r="S48" s="776"/>
      <c r="T48" s="776"/>
      <c r="U48" s="776"/>
      <c r="V48" s="701"/>
      <c r="W48" s="701"/>
    </row>
    <row r="49" spans="1:23" x14ac:dyDescent="0.25">
      <c r="A49" s="701" t="s">
        <v>487</v>
      </c>
      <c r="B49" s="701"/>
      <c r="C49" s="710" t="s">
        <v>59</v>
      </c>
      <c r="D49" s="711">
        <f>Bilans_E_AMS_Kyoto_run3_MTE!H347</f>
        <v>0</v>
      </c>
      <c r="E49" s="711">
        <f>Bilans_E_AMS_Kyoto_run3_MTE!I347</f>
        <v>4.7683</v>
      </c>
      <c r="F49" s="711">
        <f>Bilans_E_AMS_Kyoto_run3_MTE!J347</f>
        <v>0</v>
      </c>
      <c r="G49" s="711">
        <f>Bilans_E_AMS_Kyoto_run3_MTE!K347</f>
        <v>0</v>
      </c>
      <c r="H49" s="711">
        <f>Bilans_E_AMS_Kyoto_run3_MTE!L347</f>
        <v>9.8855000000000012E-2</v>
      </c>
      <c r="I49" s="711">
        <f>Bilans_E_AMS_Kyoto_run3_MTE!M347</f>
        <v>0</v>
      </c>
      <c r="J49" s="711">
        <f>Bilans_E_AMS_Kyoto_run3_MTE!N347</f>
        <v>1162.7439999999999</v>
      </c>
      <c r="K49" s="711">
        <f>Bilans_E_AMS_Kyoto_run3_MTE!O347</f>
        <v>299.59846132130883</v>
      </c>
      <c r="L49" s="711">
        <f>Bilans_E_AMS_Kyoto_run3_MTE!P347</f>
        <v>319.01734498759413</v>
      </c>
      <c r="M49" s="711">
        <f>Bilans_E_AMS_Kyoto_run3_MTE!Q347</f>
        <v>51.348490193266947</v>
      </c>
      <c r="N49" s="711">
        <f>Bilans_E_AMS_Kyoto_run3_MTE!R347</f>
        <v>0</v>
      </c>
      <c r="O49" s="711">
        <f>Bilans_E_AMS_Kyoto_run3_MTE!S347</f>
        <v>0</v>
      </c>
      <c r="P49" s="711">
        <f>Bilans_E_AMS_Kyoto_run3_MTE!T347+Bilans_E_AMS_Kyoto_run3_MTE!U347</f>
        <v>171.39585425670967</v>
      </c>
      <c r="Q49" s="711">
        <f>Bilans_E_AMS_Kyoto_run3_MTE!V347</f>
        <v>34.299691863986411</v>
      </c>
      <c r="R49" s="711">
        <f>Bilans_E_AMS_Kyoto_run3_MTE!W347</f>
        <v>0</v>
      </c>
      <c r="S49" s="711">
        <f>Bilans_E_AMS_Kyoto_run3_MTE!X347</f>
        <v>0</v>
      </c>
      <c r="T49" s="711">
        <f>Bilans_E_AMS_Kyoto_run3_MTE!Y347</f>
        <v>0</v>
      </c>
      <c r="U49" s="711">
        <f>Bilans_E_AMS_Kyoto_run3_MTE!Z347</f>
        <v>2043.2709976228659</v>
      </c>
      <c r="V49" s="701"/>
      <c r="W49" s="701"/>
    </row>
    <row r="50" spans="1:23" x14ac:dyDescent="0.25">
      <c r="A50" s="701" t="s">
        <v>488</v>
      </c>
      <c r="B50" s="701"/>
      <c r="C50" s="710" t="s">
        <v>60</v>
      </c>
      <c r="D50" s="712">
        <f>Bilans_E_AMS_Kyoto_run3_MTE!H348</f>
        <v>13.10897607421875</v>
      </c>
      <c r="E50" s="712">
        <f>Bilans_E_AMS_Kyoto_run3_MTE!I348</f>
        <v>308.93113241881071</v>
      </c>
      <c r="F50" s="712">
        <f>Bilans_E_AMS_Kyoto_run3_MTE!J348</f>
        <v>121.08575062075425</v>
      </c>
      <c r="G50" s="712">
        <f>Bilans_E_AMS_Kyoto_run3_MTE!K348</f>
        <v>2.7939885995123079</v>
      </c>
      <c r="H50" s="712">
        <f>Bilans_E_AMS_Kyoto_run3_MTE!L348</f>
        <v>208.53518235241728</v>
      </c>
      <c r="I50" s="712">
        <f>Bilans_E_AMS_Kyoto_run3_MTE!M348</f>
        <v>0</v>
      </c>
      <c r="J50" s="712">
        <f>Bilans_E_AMS_Kyoto_run3_MTE!N348</f>
        <v>0</v>
      </c>
      <c r="K50" s="712">
        <f>Bilans_E_AMS_Kyoto_run3_MTE!O348</f>
        <v>0</v>
      </c>
      <c r="L50" s="712">
        <f>Bilans_E_AMS_Kyoto_run3_MTE!P348</f>
        <v>3.9620965723904646</v>
      </c>
      <c r="M50" s="712">
        <f>Bilans_E_AMS_Kyoto_run3_MTE!Q348</f>
        <v>0</v>
      </c>
      <c r="N50" s="712">
        <f>Bilans_E_AMS_Kyoto_run3_MTE!R348</f>
        <v>15.040491481755694</v>
      </c>
      <c r="O50" s="712">
        <f>Bilans_E_AMS_Kyoto_run3_MTE!S348</f>
        <v>7.9892327206458447E-2</v>
      </c>
      <c r="P50" s="712">
        <f>Bilans_E_AMS_Kyoto_run3_MTE!T348+Bilans_E_AMS_Kyoto_run3_MTE!U348</f>
        <v>0</v>
      </c>
      <c r="Q50" s="712">
        <f>Bilans_E_AMS_Kyoto_run3_MTE!V348</f>
        <v>0</v>
      </c>
      <c r="R50" s="712">
        <f>Bilans_E_AMS_Kyoto_run3_MTE!W348</f>
        <v>0</v>
      </c>
      <c r="S50" s="712">
        <f>Bilans_E_AMS_Kyoto_run3_MTE!X348</f>
        <v>0</v>
      </c>
      <c r="T50" s="712">
        <f>Bilans_E_AMS_Kyoto_run3_MTE!Y348</f>
        <v>0</v>
      </c>
      <c r="U50" s="712">
        <f>Bilans_E_AMS_Kyoto_run3_MTE!Z348</f>
        <v>673.53751044706598</v>
      </c>
      <c r="V50" s="701"/>
      <c r="W50" s="701"/>
    </row>
    <row r="51" spans="1:23" x14ac:dyDescent="0.25">
      <c r="A51" s="701" t="s">
        <v>489</v>
      </c>
      <c r="B51" s="701"/>
      <c r="C51" s="710" t="s">
        <v>61</v>
      </c>
      <c r="D51" s="712">
        <f>Bilans_E_AMS_Kyoto_run3_MTE!H349</f>
        <v>0</v>
      </c>
      <c r="E51" s="712">
        <f>Bilans_E_AMS_Kyoto_run3_MTE!I349</f>
        <v>0</v>
      </c>
      <c r="F51" s="712">
        <f>Bilans_E_AMS_Kyoto_run3_MTE!J349</f>
        <v>0</v>
      </c>
      <c r="G51" s="712">
        <f>Bilans_E_AMS_Kyoto_run3_MTE!K349</f>
        <v>0</v>
      </c>
      <c r="H51" s="712">
        <f>Bilans_E_AMS_Kyoto_run3_MTE!L349</f>
        <v>0</v>
      </c>
      <c r="I51" s="712">
        <f>Bilans_E_AMS_Kyoto_run3_MTE!M349</f>
        <v>0</v>
      </c>
      <c r="J51" s="712">
        <f>Bilans_E_AMS_Kyoto_run3_MTE!N349</f>
        <v>0</v>
      </c>
      <c r="K51" s="712">
        <f>Bilans_E_AMS_Kyoto_run3_MTE!O349</f>
        <v>0</v>
      </c>
      <c r="L51" s="712">
        <f>Bilans_E_AMS_Kyoto_run3_MTE!P349</f>
        <v>0</v>
      </c>
      <c r="M51" s="712">
        <f>Bilans_E_AMS_Kyoto_run3_MTE!Q349</f>
        <v>0</v>
      </c>
      <c r="N51" s="712">
        <f>Bilans_E_AMS_Kyoto_run3_MTE!R349</f>
        <v>0</v>
      </c>
      <c r="O51" s="712">
        <f>Bilans_E_AMS_Kyoto_run3_MTE!S349</f>
        <v>0</v>
      </c>
      <c r="P51" s="712">
        <f>Bilans_E_AMS_Kyoto_run3_MTE!T349+Bilans_E_AMS_Kyoto_run3_MTE!U349</f>
        <v>0</v>
      </c>
      <c r="Q51" s="712">
        <f>Bilans_E_AMS_Kyoto_run3_MTE!V349</f>
        <v>0</v>
      </c>
      <c r="R51" s="712">
        <f>Bilans_E_AMS_Kyoto_run3_MTE!W349</f>
        <v>-95.466033511784872</v>
      </c>
      <c r="S51" s="712">
        <f>Bilans_E_AMS_Kyoto_run3_MTE!X349</f>
        <v>0</v>
      </c>
      <c r="T51" s="712">
        <f>Bilans_E_AMS_Kyoto_run3_MTE!Y349</f>
        <v>0</v>
      </c>
      <c r="U51" s="712">
        <f>Bilans_E_AMS_Kyoto_run3_MTE!Z349</f>
        <v>-95.466033511784872</v>
      </c>
      <c r="V51" s="701"/>
      <c r="W51" s="701"/>
    </row>
    <row r="52" spans="1:23" x14ac:dyDescent="0.25">
      <c r="A52" s="701" t="s">
        <v>490</v>
      </c>
      <c r="B52" s="701"/>
      <c r="C52" s="710" t="s">
        <v>62</v>
      </c>
      <c r="D52" s="711">
        <f>Bilans_E_AMS_Kyoto_run3_MTE!H350</f>
        <v>0</v>
      </c>
      <c r="E52" s="711">
        <f>Bilans_E_AMS_Kyoto_run3_MTE!I350</f>
        <v>0</v>
      </c>
      <c r="F52" s="711">
        <f>Bilans_E_AMS_Kyoto_run3_MTE!J350</f>
        <v>-7.1897413553368033</v>
      </c>
      <c r="G52" s="711">
        <f>Bilans_E_AMS_Kyoto_run3_MTE!K350</f>
        <v>-0.40871635052551269</v>
      </c>
      <c r="H52" s="711">
        <f>Bilans_E_AMS_Kyoto_run3_MTE!L350</f>
        <v>-0.64998497552234569</v>
      </c>
      <c r="I52" s="711">
        <f>Bilans_E_AMS_Kyoto_run3_MTE!M350</f>
        <v>-0.61307452578826904</v>
      </c>
      <c r="J52" s="711">
        <f>Bilans_E_AMS_Kyoto_run3_MTE!N350</f>
        <v>0</v>
      </c>
      <c r="K52" s="711">
        <f>Bilans_E_AMS_Kyoto_run3_MTE!O350</f>
        <v>0</v>
      </c>
      <c r="L52" s="711">
        <f>Bilans_E_AMS_Kyoto_run3_MTE!P350</f>
        <v>0</v>
      </c>
      <c r="M52" s="711">
        <f>Bilans_E_AMS_Kyoto_run3_MTE!Q350</f>
        <v>0</v>
      </c>
      <c r="N52" s="711">
        <f>Bilans_E_AMS_Kyoto_run3_MTE!R350</f>
        <v>0</v>
      </c>
      <c r="O52" s="711">
        <f>Bilans_E_AMS_Kyoto_run3_MTE!S350</f>
        <v>-1.0039414282398573</v>
      </c>
      <c r="P52" s="711">
        <f>Bilans_E_AMS_Kyoto_run3_MTE!T350+Bilans_E_AMS_Kyoto_run3_MTE!U350</f>
        <v>0</v>
      </c>
      <c r="Q52" s="711">
        <f>Bilans_E_AMS_Kyoto_run3_MTE!V350</f>
        <v>0</v>
      </c>
      <c r="R52" s="711">
        <f>Bilans_E_AMS_Kyoto_run3_MTE!W350</f>
        <v>0</v>
      </c>
      <c r="S52" s="711">
        <f>Bilans_E_AMS_Kyoto_run3_MTE!X350</f>
        <v>0</v>
      </c>
      <c r="T52" s="711">
        <f>Bilans_E_AMS_Kyoto_run3_MTE!Y350</f>
        <v>-0.37964157661678277</v>
      </c>
      <c r="U52" s="711">
        <f>Bilans_E_AMS_Kyoto_run3_MTE!Z350</f>
        <v>-10.24510021202957</v>
      </c>
      <c r="V52" s="701"/>
      <c r="W52" s="701"/>
    </row>
    <row r="53" spans="1:23" x14ac:dyDescent="0.25">
      <c r="A53" s="701" t="s">
        <v>491</v>
      </c>
      <c r="B53" s="701"/>
      <c r="C53" s="710" t="s">
        <v>63</v>
      </c>
      <c r="D53" s="711">
        <f>Bilans_E_AMS_Kyoto_run3_MTE!H351</f>
        <v>0</v>
      </c>
      <c r="E53" s="711">
        <f>Bilans_E_AMS_Kyoto_run3_MTE!I351</f>
        <v>0</v>
      </c>
      <c r="F53" s="711">
        <f>Bilans_E_AMS_Kyoto_run3_MTE!J351</f>
        <v>-56</v>
      </c>
      <c r="G53" s="711">
        <f>Bilans_E_AMS_Kyoto_run3_MTE!K351</f>
        <v>-4</v>
      </c>
      <c r="H53" s="711">
        <f>Bilans_E_AMS_Kyoto_run3_MTE!L351</f>
        <v>0</v>
      </c>
      <c r="I53" s="711">
        <f>Bilans_E_AMS_Kyoto_run3_MTE!M351</f>
        <v>0</v>
      </c>
      <c r="J53" s="711">
        <f>Bilans_E_AMS_Kyoto_run3_MTE!N351</f>
        <v>0</v>
      </c>
      <c r="K53" s="711">
        <f>Bilans_E_AMS_Kyoto_run3_MTE!O351</f>
        <v>0</v>
      </c>
      <c r="L53" s="711">
        <f>Bilans_E_AMS_Kyoto_run3_MTE!P351</f>
        <v>0</v>
      </c>
      <c r="M53" s="711">
        <f>Bilans_E_AMS_Kyoto_run3_MTE!Q351</f>
        <v>0</v>
      </c>
      <c r="N53" s="711">
        <f>Bilans_E_AMS_Kyoto_run3_MTE!R351</f>
        <v>-11</v>
      </c>
      <c r="O53" s="711">
        <f>Bilans_E_AMS_Kyoto_run3_MTE!S351</f>
        <v>0</v>
      </c>
      <c r="P53" s="711">
        <f>Bilans_E_AMS_Kyoto_run3_MTE!T351+Bilans_E_AMS_Kyoto_run3_MTE!U351</f>
        <v>0</v>
      </c>
      <c r="Q53" s="711">
        <f>Bilans_E_AMS_Kyoto_run3_MTE!V351</f>
        <v>0</v>
      </c>
      <c r="R53" s="711">
        <f>Bilans_E_AMS_Kyoto_run3_MTE!W351</f>
        <v>0</v>
      </c>
      <c r="S53" s="711">
        <f>Bilans_E_AMS_Kyoto_run3_MTE!X351</f>
        <v>0</v>
      </c>
      <c r="T53" s="711">
        <f>Bilans_E_AMS_Kyoto_run3_MTE!Y351</f>
        <v>-1</v>
      </c>
      <c r="U53" s="711">
        <f>Bilans_E_AMS_Kyoto_run3_MTE!Z351</f>
        <v>-72</v>
      </c>
      <c r="V53" s="701"/>
      <c r="W53" s="701"/>
    </row>
    <row r="54" spans="1:23" x14ac:dyDescent="0.25">
      <c r="A54" s="701" t="s">
        <v>492</v>
      </c>
      <c r="B54" s="701"/>
      <c r="C54" s="710" t="s">
        <v>64</v>
      </c>
      <c r="D54" s="712">
        <f>Bilans_E_AMS_Kyoto_run3_MTE!H352</f>
        <v>0</v>
      </c>
      <c r="E54" s="712">
        <f>Bilans_E_AMS_Kyoto_run3_MTE!I352</f>
        <v>0</v>
      </c>
      <c r="F54" s="712">
        <f>Bilans_E_AMS_Kyoto_run3_MTE!J352</f>
        <v>0</v>
      </c>
      <c r="G54" s="712">
        <f>Bilans_E_AMS_Kyoto_run3_MTE!K352</f>
        <v>0</v>
      </c>
      <c r="H54" s="712">
        <f>Bilans_E_AMS_Kyoto_run3_MTE!L352</f>
        <v>0</v>
      </c>
      <c r="I54" s="712">
        <f>Bilans_E_AMS_Kyoto_run3_MTE!M352</f>
        <v>0</v>
      </c>
      <c r="J54" s="712">
        <f>Bilans_E_AMS_Kyoto_run3_MTE!N352</f>
        <v>0</v>
      </c>
      <c r="K54" s="712">
        <f>Bilans_E_AMS_Kyoto_run3_MTE!O352</f>
        <v>0</v>
      </c>
      <c r="L54" s="712">
        <f>Bilans_E_AMS_Kyoto_run3_MTE!P352</f>
        <v>0</v>
      </c>
      <c r="M54" s="712">
        <f>Bilans_E_AMS_Kyoto_run3_MTE!Q352</f>
        <v>0</v>
      </c>
      <c r="N54" s="712">
        <f>Bilans_E_AMS_Kyoto_run3_MTE!R352</f>
        <v>0</v>
      </c>
      <c r="O54" s="712">
        <f>Bilans_E_AMS_Kyoto_run3_MTE!S352</f>
        <v>0</v>
      </c>
      <c r="P54" s="712">
        <f>Bilans_E_AMS_Kyoto_run3_MTE!T352+Bilans_E_AMS_Kyoto_run3_MTE!U352</f>
        <v>0</v>
      </c>
      <c r="Q54" s="712">
        <f>Bilans_E_AMS_Kyoto_run3_MTE!V352</f>
        <v>0</v>
      </c>
      <c r="R54" s="712">
        <f>Bilans_E_AMS_Kyoto_run3_MTE!W352</f>
        <v>0</v>
      </c>
      <c r="S54" s="712">
        <f>Bilans_E_AMS_Kyoto_run3_MTE!X352</f>
        <v>0</v>
      </c>
      <c r="T54" s="712">
        <f>Bilans_E_AMS_Kyoto_run3_MTE!Y352</f>
        <v>0</v>
      </c>
      <c r="U54" s="712">
        <f>Bilans_E_AMS_Kyoto_run3_MTE!Z352</f>
        <v>0</v>
      </c>
      <c r="V54" s="701"/>
      <c r="W54" s="701"/>
    </row>
    <row r="55" spans="1:23" x14ac:dyDescent="0.25">
      <c r="A55" s="701" t="s">
        <v>493</v>
      </c>
      <c r="B55" s="701"/>
      <c r="C55" s="713" t="s">
        <v>65</v>
      </c>
      <c r="D55" s="714">
        <f>Bilans_E_AMS_Kyoto_run3_MTE!H353</f>
        <v>13.10897607421875</v>
      </c>
      <c r="E55" s="714">
        <f>Bilans_E_AMS_Kyoto_run3_MTE!I353</f>
        <v>313.69943241881072</v>
      </c>
      <c r="F55" s="714">
        <f>Bilans_E_AMS_Kyoto_run3_MTE!J353</f>
        <v>57.896009265417447</v>
      </c>
      <c r="G55" s="714">
        <f>Bilans_E_AMS_Kyoto_run3_MTE!K353</f>
        <v>-1.6147277510132048</v>
      </c>
      <c r="H55" s="714">
        <f>Bilans_E_AMS_Kyoto_run3_MTE!L353</f>
        <v>207.98405237689491</v>
      </c>
      <c r="I55" s="714">
        <f>Bilans_E_AMS_Kyoto_run3_MTE!M353</f>
        <v>-0.61307452578826904</v>
      </c>
      <c r="J55" s="714">
        <f>Bilans_E_AMS_Kyoto_run3_MTE!N353</f>
        <v>1162.7439999999999</v>
      </c>
      <c r="K55" s="714">
        <f>Bilans_E_AMS_Kyoto_run3_MTE!O353</f>
        <v>299.59846132130883</v>
      </c>
      <c r="L55" s="714">
        <f>Bilans_E_AMS_Kyoto_run3_MTE!P353</f>
        <v>322.97944155998459</v>
      </c>
      <c r="M55" s="714">
        <f>Bilans_E_AMS_Kyoto_run3_MTE!Q353</f>
        <v>51.348490193266947</v>
      </c>
      <c r="N55" s="714">
        <f>Bilans_E_AMS_Kyoto_run3_MTE!R353</f>
        <v>4.0404914817556943</v>
      </c>
      <c r="O55" s="714">
        <f>Bilans_E_AMS_Kyoto_run3_MTE!S353</f>
        <v>-0.92404910103339888</v>
      </c>
      <c r="P55" s="714">
        <f>Bilans_E_AMS_Kyoto_run3_MTE!T353+Bilans_E_AMS_Kyoto_run3_MTE!U353</f>
        <v>171.39585425670967</v>
      </c>
      <c r="Q55" s="714">
        <f>Bilans_E_AMS_Kyoto_run3_MTE!V353</f>
        <v>34.299691863986411</v>
      </c>
      <c r="R55" s="714">
        <f>Bilans_E_AMS_Kyoto_run3_MTE!W353</f>
        <v>-95.466033511784872</v>
      </c>
      <c r="S55" s="714">
        <f>Bilans_E_AMS_Kyoto_run3_MTE!X353</f>
        <v>0</v>
      </c>
      <c r="T55" s="714">
        <f>Bilans_E_AMS_Kyoto_run3_MTE!Y353</f>
        <v>-1.3796415766167827</v>
      </c>
      <c r="U55" s="714">
        <f>Bilans_E_AMS_Kyoto_run3_MTE!Z353</f>
        <v>2539.0973743461172</v>
      </c>
      <c r="V55" s="701"/>
      <c r="W55" s="701"/>
    </row>
    <row r="56" spans="1:23" x14ac:dyDescent="0.25">
      <c r="A56" s="701"/>
      <c r="B56" s="701"/>
      <c r="C56" s="715"/>
      <c r="D56" s="716"/>
      <c r="E56" s="716"/>
      <c r="F56" s="716"/>
      <c r="G56" s="716"/>
      <c r="H56" s="716"/>
      <c r="I56" s="716"/>
      <c r="J56" s="716"/>
      <c r="K56" s="716"/>
      <c r="L56" s="716"/>
      <c r="M56" s="716"/>
      <c r="N56" s="716"/>
      <c r="O56" s="716"/>
      <c r="P56" s="716">
        <f>Bilans_E_AMS_Kyoto_run3_MTE!T354+Bilans_E_AMS_Kyoto_run3_MTE!U354</f>
        <v>0</v>
      </c>
      <c r="Q56" s="716"/>
      <c r="R56" s="716"/>
      <c r="S56" s="716"/>
      <c r="T56" s="716"/>
      <c r="U56" s="716"/>
      <c r="V56" s="701"/>
      <c r="W56" s="701"/>
    </row>
    <row r="57" spans="1:23" x14ac:dyDescent="0.25">
      <c r="A57" s="701" t="s">
        <v>494</v>
      </c>
      <c r="B57" s="701"/>
      <c r="C57" s="717" t="s">
        <v>67</v>
      </c>
      <c r="D57" s="711">
        <f>Bilans_E_AMS_Kyoto_run3_MTE!H355</f>
        <v>0</v>
      </c>
      <c r="E57" s="711">
        <f>Bilans_E_AMS_Kyoto_run3_MTE!I355</f>
        <v>0</v>
      </c>
      <c r="F57" s="711">
        <f>Bilans_E_AMS_Kyoto_run3_MTE!J355</f>
        <v>0</v>
      </c>
      <c r="G57" s="711">
        <f>Bilans_E_AMS_Kyoto_run3_MTE!K355</f>
        <v>0</v>
      </c>
      <c r="H57" s="711">
        <f>Bilans_E_AMS_Kyoto_run3_MTE!L355</f>
        <v>0</v>
      </c>
      <c r="I57" s="711">
        <f>Bilans_E_AMS_Kyoto_run3_MTE!M355</f>
        <v>0</v>
      </c>
      <c r="J57" s="711">
        <f>Bilans_E_AMS_Kyoto_run3_MTE!N355</f>
        <v>0</v>
      </c>
      <c r="K57" s="711">
        <f>Bilans_E_AMS_Kyoto_run3_MTE!O355</f>
        <v>0</v>
      </c>
      <c r="L57" s="711">
        <f>Bilans_E_AMS_Kyoto_run3_MTE!P355</f>
        <v>0</v>
      </c>
      <c r="M57" s="711">
        <f>Bilans_E_AMS_Kyoto_run3_MTE!Q355</f>
        <v>0</v>
      </c>
      <c r="N57" s="711">
        <f>Bilans_E_AMS_Kyoto_run3_MTE!R355</f>
        <v>0</v>
      </c>
      <c r="O57" s="711">
        <f>Bilans_E_AMS_Kyoto_run3_MTE!S355</f>
        <v>0</v>
      </c>
      <c r="P57" s="711">
        <f>Bilans_E_AMS_Kyoto_run3_MTE!T355+Bilans_E_AMS_Kyoto_run3_MTE!U355</f>
        <v>0</v>
      </c>
      <c r="Q57" s="711">
        <f>Bilans_E_AMS_Kyoto_run3_MTE!V355</f>
        <v>0</v>
      </c>
      <c r="R57" s="711">
        <f>Bilans_E_AMS_Kyoto_run3_MTE!W355</f>
        <v>0</v>
      </c>
      <c r="S57" s="711">
        <f>Bilans_E_AMS_Kyoto_run3_MTE!X355</f>
        <v>0</v>
      </c>
      <c r="T57" s="711">
        <f>Bilans_E_AMS_Kyoto_run3_MTE!Y355</f>
        <v>0</v>
      </c>
      <c r="U57" s="711">
        <f>Bilans_E_AMS_Kyoto_run3_MTE!Z355</f>
        <v>0</v>
      </c>
      <c r="V57" s="701"/>
      <c r="W57" s="701"/>
    </row>
    <row r="58" spans="1:23" x14ac:dyDescent="0.25">
      <c r="A58" s="701" t="s">
        <v>495</v>
      </c>
      <c r="B58" s="701"/>
      <c r="C58" s="717" t="s">
        <v>347</v>
      </c>
      <c r="D58" s="711">
        <f>Bilans_E_AMS_Kyoto_run3_MTE!H356</f>
        <v>0</v>
      </c>
      <c r="E58" s="711">
        <f>Bilans_E_AMS_Kyoto_run3_MTE!I356</f>
        <v>0</v>
      </c>
      <c r="F58" s="711">
        <f>Bilans_E_AMS_Kyoto_run3_MTE!J356</f>
        <v>0.802217285608815</v>
      </c>
      <c r="G58" s="711">
        <f>Bilans_E_AMS_Kyoto_run3_MTE!K356</f>
        <v>0</v>
      </c>
      <c r="H58" s="711">
        <f>Bilans_E_AMS_Kyoto_run3_MTE!L356</f>
        <v>25.778498998044444</v>
      </c>
      <c r="I58" s="711">
        <f>Bilans_E_AMS_Kyoto_run3_MTE!M356</f>
        <v>0</v>
      </c>
      <c r="J58" s="711">
        <f>Bilans_E_AMS_Kyoto_run3_MTE!N356</f>
        <v>1162.7439999999999</v>
      </c>
      <c r="K58" s="711">
        <f>Bilans_E_AMS_Kyoto_run3_MTE!O356</f>
        <v>299.59846132130883</v>
      </c>
      <c r="L58" s="711">
        <f>Bilans_E_AMS_Kyoto_run3_MTE!P356</f>
        <v>15.921747993621487</v>
      </c>
      <c r="M58" s="711">
        <f>Bilans_E_AMS_Kyoto_run3_MTE!Q356</f>
        <v>5.93692826914703</v>
      </c>
      <c r="N58" s="711">
        <f>Bilans_E_AMS_Kyoto_run3_MTE!R356</f>
        <v>5.0291337303525587</v>
      </c>
      <c r="O58" s="711">
        <f>Bilans_E_AMS_Kyoto_run3_MTE!S356</f>
        <v>8.748119861379541</v>
      </c>
      <c r="P58" s="711">
        <f>Bilans_E_AMS_Kyoto_run3_MTE!T356+Bilans_E_AMS_Kyoto_run3_MTE!U356</f>
        <v>0</v>
      </c>
      <c r="Q58" s="711">
        <f>Bilans_E_AMS_Kyoto_run3_MTE!V356</f>
        <v>2.7943993103273139</v>
      </c>
      <c r="R58" s="711">
        <f>Bilans_E_AMS_Kyoto_run3_MTE!W356</f>
        <v>-717.37547960636846</v>
      </c>
      <c r="S58" s="711">
        <f>Bilans_E_AMS_Kyoto_run3_MTE!X356</f>
        <v>0</v>
      </c>
      <c r="T58" s="711">
        <f>Bilans_E_AMS_Kyoto_run3_MTE!Y356</f>
        <v>0</v>
      </c>
      <c r="U58" s="711">
        <f>Bilans_E_AMS_Kyoto_run3_MTE!Z356</f>
        <v>809.97802716342164</v>
      </c>
      <c r="V58" s="701"/>
      <c r="W58" s="701"/>
    </row>
    <row r="59" spans="1:23" x14ac:dyDescent="0.25">
      <c r="A59" s="701" t="s">
        <v>496</v>
      </c>
      <c r="B59" s="701"/>
      <c r="C59" s="717" t="s">
        <v>348</v>
      </c>
      <c r="D59" s="711">
        <f>Bilans_E_AMS_Kyoto_run3_MTE!H357</f>
        <v>0</v>
      </c>
      <c r="E59" s="711">
        <f>Bilans_E_AMS_Kyoto_run3_MTE!I357</f>
        <v>0</v>
      </c>
      <c r="F59" s="711">
        <f>Bilans_E_AMS_Kyoto_run3_MTE!J357</f>
        <v>0</v>
      </c>
      <c r="G59" s="711">
        <f>Bilans_E_AMS_Kyoto_run3_MTE!K357</f>
        <v>0</v>
      </c>
      <c r="H59" s="711">
        <f>Bilans_E_AMS_Kyoto_run3_MTE!L357</f>
        <v>21.610761712544495</v>
      </c>
      <c r="I59" s="711">
        <f>Bilans_E_AMS_Kyoto_run3_MTE!M357</f>
        <v>0</v>
      </c>
      <c r="J59" s="711">
        <f>Bilans_E_AMS_Kyoto_run3_MTE!N357</f>
        <v>0</v>
      </c>
      <c r="K59" s="711">
        <f>Bilans_E_AMS_Kyoto_run3_MTE!O357</f>
        <v>0</v>
      </c>
      <c r="L59" s="711">
        <f>Bilans_E_AMS_Kyoto_run3_MTE!P357</f>
        <v>24.785104378649287</v>
      </c>
      <c r="M59" s="711">
        <f>Bilans_E_AMS_Kyoto_run3_MTE!Q357</f>
        <v>17.95996245859666</v>
      </c>
      <c r="N59" s="711">
        <f>Bilans_E_AMS_Kyoto_run3_MTE!R357</f>
        <v>0</v>
      </c>
      <c r="O59" s="711">
        <f>Bilans_E_AMS_Kyoto_run3_MTE!S357</f>
        <v>6.3205787341877624</v>
      </c>
      <c r="P59" s="711">
        <f>Bilans_E_AMS_Kyoto_run3_MTE!T357+Bilans_E_AMS_Kyoto_run3_MTE!U357</f>
        <v>14.160487242314748</v>
      </c>
      <c r="Q59" s="711">
        <f>Bilans_E_AMS_Kyoto_run3_MTE!V357</f>
        <v>14.189843081655606</v>
      </c>
      <c r="R59" s="711">
        <f>Bilans_E_AMS_Kyoto_run3_MTE!W357</f>
        <v>0</v>
      </c>
      <c r="S59" s="711">
        <f>Bilans_E_AMS_Kyoto_run3_MTE!X357</f>
        <v>-90.295152964101419</v>
      </c>
      <c r="T59" s="711">
        <f>Bilans_E_AMS_Kyoto_run3_MTE!Y357</f>
        <v>0</v>
      </c>
      <c r="U59" s="711">
        <f>Bilans_E_AMS_Kyoto_run3_MTE!Z357</f>
        <v>8.7315846438471425</v>
      </c>
      <c r="V59" s="701"/>
      <c r="W59" s="701"/>
    </row>
    <row r="60" spans="1:23" x14ac:dyDescent="0.25">
      <c r="A60" s="701" t="s">
        <v>497</v>
      </c>
      <c r="B60" s="701"/>
      <c r="C60" s="717" t="s">
        <v>349</v>
      </c>
      <c r="D60" s="711">
        <f>Bilans_E_AMS_Kyoto_run3_MTE!H358</f>
        <v>0</v>
      </c>
      <c r="E60" s="711">
        <f>Bilans_E_AMS_Kyoto_run3_MTE!I358</f>
        <v>0</v>
      </c>
      <c r="F60" s="711">
        <f>Bilans_E_AMS_Kyoto_run3_MTE!J358</f>
        <v>0</v>
      </c>
      <c r="G60" s="711">
        <f>Bilans_E_AMS_Kyoto_run3_MTE!K358</f>
        <v>0</v>
      </c>
      <c r="H60" s="711">
        <f>Bilans_E_AMS_Kyoto_run3_MTE!L358</f>
        <v>0</v>
      </c>
      <c r="I60" s="711">
        <f>Bilans_E_AMS_Kyoto_run3_MTE!M358</f>
        <v>0</v>
      </c>
      <c r="J60" s="711">
        <f>Bilans_E_AMS_Kyoto_run3_MTE!N358</f>
        <v>0</v>
      </c>
      <c r="K60" s="711">
        <f>Bilans_E_AMS_Kyoto_run3_MTE!O358</f>
        <v>0</v>
      </c>
      <c r="L60" s="711">
        <f>Bilans_E_AMS_Kyoto_run3_MTE!P358</f>
        <v>95.025274759778867</v>
      </c>
      <c r="M60" s="711">
        <f>Bilans_E_AMS_Kyoto_run3_MTE!Q358</f>
        <v>10.678076799137498</v>
      </c>
      <c r="N60" s="711">
        <f>Bilans_E_AMS_Kyoto_run3_MTE!R358</f>
        <v>0</v>
      </c>
      <c r="O60" s="711">
        <f>Bilans_E_AMS_Kyoto_run3_MTE!S358</f>
        <v>-52.932106946617139</v>
      </c>
      <c r="P60" s="711">
        <f>Bilans_E_AMS_Kyoto_run3_MTE!T358+Bilans_E_AMS_Kyoto_run3_MTE!U358</f>
        <v>0</v>
      </c>
      <c r="Q60" s="711">
        <f>Bilans_E_AMS_Kyoto_run3_MTE!V358</f>
        <v>0</v>
      </c>
      <c r="R60" s="711">
        <f>Bilans_E_AMS_Kyoto_run3_MTE!W358</f>
        <v>0</v>
      </c>
      <c r="S60" s="711">
        <f>Bilans_E_AMS_Kyoto_run3_MTE!X358</f>
        <v>0</v>
      </c>
      <c r="T60" s="711">
        <f>Bilans_E_AMS_Kyoto_run3_MTE!Y358</f>
        <v>0</v>
      </c>
      <c r="U60" s="711">
        <f>Bilans_E_AMS_Kyoto_run3_MTE!Z358</f>
        <v>52.771244612299228</v>
      </c>
      <c r="V60" s="701"/>
      <c r="W60" s="701"/>
    </row>
    <row r="61" spans="1:23" x14ac:dyDescent="0.25">
      <c r="A61" s="701" t="s">
        <v>498</v>
      </c>
      <c r="B61" s="701"/>
      <c r="C61" s="717" t="s">
        <v>350</v>
      </c>
      <c r="D61" s="711">
        <f>Bilans_E_AMS_Kyoto_run3_MTE!H359</f>
        <v>0</v>
      </c>
      <c r="E61" s="711">
        <f>Bilans_E_AMS_Kyoto_run3_MTE!I359</f>
        <v>0</v>
      </c>
      <c r="F61" s="711">
        <f>Bilans_E_AMS_Kyoto_run3_MTE!J359</f>
        <v>0</v>
      </c>
      <c r="G61" s="711">
        <f>Bilans_E_AMS_Kyoto_run3_MTE!K359</f>
        <v>0</v>
      </c>
      <c r="H61" s="711">
        <f>Bilans_E_AMS_Kyoto_run3_MTE!L359</f>
        <v>0</v>
      </c>
      <c r="I61" s="711">
        <f>Bilans_E_AMS_Kyoto_run3_MTE!M359</f>
        <v>-0.61307452578826904</v>
      </c>
      <c r="J61" s="711">
        <f>Bilans_E_AMS_Kyoto_run3_MTE!N359</f>
        <v>0</v>
      </c>
      <c r="K61" s="711">
        <f>Bilans_E_AMS_Kyoto_run3_MTE!O359</f>
        <v>0</v>
      </c>
      <c r="L61" s="711">
        <f>Bilans_E_AMS_Kyoto_run3_MTE!P359</f>
        <v>0</v>
      </c>
      <c r="M61" s="711">
        <f>Bilans_E_AMS_Kyoto_run3_MTE!Q359</f>
        <v>0</v>
      </c>
      <c r="N61" s="711">
        <f>Bilans_E_AMS_Kyoto_run3_MTE!R359</f>
        <v>0</v>
      </c>
      <c r="O61" s="711">
        <f>Bilans_E_AMS_Kyoto_run3_MTE!S359</f>
        <v>0</v>
      </c>
      <c r="P61" s="711">
        <f>Bilans_E_AMS_Kyoto_run3_MTE!T359+Bilans_E_AMS_Kyoto_run3_MTE!U359</f>
        <v>0</v>
      </c>
      <c r="Q61" s="711">
        <f>Bilans_E_AMS_Kyoto_run3_MTE!V359</f>
        <v>0</v>
      </c>
      <c r="R61" s="711">
        <f>Bilans_E_AMS_Kyoto_run3_MTE!W359</f>
        <v>0</v>
      </c>
      <c r="S61" s="711">
        <f>Bilans_E_AMS_Kyoto_run3_MTE!X359</f>
        <v>0</v>
      </c>
      <c r="T61" s="711">
        <f>Bilans_E_AMS_Kyoto_run3_MTE!Y359</f>
        <v>0.85149239692815148</v>
      </c>
      <c r="U61" s="711">
        <f>Bilans_E_AMS_Kyoto_run3_MTE!Z359</f>
        <v>0.23841787113988244</v>
      </c>
      <c r="V61" s="701"/>
      <c r="W61" s="701"/>
    </row>
    <row r="62" spans="1:23" x14ac:dyDescent="0.25">
      <c r="A62" s="701" t="s">
        <v>499</v>
      </c>
      <c r="B62" s="701"/>
      <c r="C62" s="717" t="s">
        <v>72</v>
      </c>
      <c r="D62" s="711">
        <f>Bilans_E_AMS_Kyoto_run3_MTE!H360</f>
        <v>0</v>
      </c>
      <c r="E62" s="711">
        <f>Bilans_E_AMS_Kyoto_run3_MTE!I360</f>
        <v>325.09767157974136</v>
      </c>
      <c r="F62" s="711">
        <f>Bilans_E_AMS_Kyoto_run3_MTE!J360</f>
        <v>-321.84669486394392</v>
      </c>
      <c r="G62" s="711">
        <f>Bilans_E_AMS_Kyoto_run3_MTE!K360</f>
        <v>0</v>
      </c>
      <c r="H62" s="711">
        <f>Bilans_E_AMS_Kyoto_run3_MTE!L360</f>
        <v>0</v>
      </c>
      <c r="I62" s="711">
        <f>Bilans_E_AMS_Kyoto_run3_MTE!M360</f>
        <v>0</v>
      </c>
      <c r="J62" s="711">
        <f>Bilans_E_AMS_Kyoto_run3_MTE!N360</f>
        <v>0</v>
      </c>
      <c r="K62" s="711">
        <f>Bilans_E_AMS_Kyoto_run3_MTE!O360</f>
        <v>0</v>
      </c>
      <c r="L62" s="711">
        <f>Bilans_E_AMS_Kyoto_run3_MTE!P360</f>
        <v>0</v>
      </c>
      <c r="M62" s="711">
        <f>Bilans_E_AMS_Kyoto_run3_MTE!Q360</f>
        <v>0</v>
      </c>
      <c r="N62" s="711">
        <f>Bilans_E_AMS_Kyoto_run3_MTE!R360</f>
        <v>0</v>
      </c>
      <c r="O62" s="711">
        <f>Bilans_E_AMS_Kyoto_run3_MTE!S360</f>
        <v>0</v>
      </c>
      <c r="P62" s="711">
        <f>Bilans_E_AMS_Kyoto_run3_MTE!T360+Bilans_E_AMS_Kyoto_run3_MTE!U360</f>
        <v>0</v>
      </c>
      <c r="Q62" s="711">
        <f>Bilans_E_AMS_Kyoto_run3_MTE!V360</f>
        <v>0</v>
      </c>
      <c r="R62" s="711">
        <f>Bilans_E_AMS_Kyoto_run3_MTE!W360</f>
        <v>0</v>
      </c>
      <c r="S62" s="711">
        <f>Bilans_E_AMS_Kyoto_run3_MTE!X360</f>
        <v>0</v>
      </c>
      <c r="T62" s="711">
        <f>Bilans_E_AMS_Kyoto_run3_MTE!Y360</f>
        <v>0</v>
      </c>
      <c r="U62" s="711">
        <f>Bilans_E_AMS_Kyoto_run3_MTE!Z360</f>
        <v>3.2509767157974352</v>
      </c>
      <c r="V62" s="701"/>
      <c r="W62" s="701"/>
    </row>
    <row r="63" spans="1:23" x14ac:dyDescent="0.25">
      <c r="A63" s="701" t="s">
        <v>500</v>
      </c>
      <c r="B63" s="701"/>
      <c r="C63" s="717" t="s">
        <v>351</v>
      </c>
      <c r="D63" s="711">
        <f>Bilans_E_AMS_Kyoto_run3_MTE!H361</f>
        <v>0</v>
      </c>
      <c r="E63" s="711">
        <f>Bilans_E_AMS_Kyoto_run3_MTE!I361</f>
        <v>0</v>
      </c>
      <c r="F63" s="711">
        <f>Bilans_E_AMS_Kyoto_run3_MTE!J361</f>
        <v>0</v>
      </c>
      <c r="G63" s="711">
        <f>Bilans_E_AMS_Kyoto_run3_MTE!K361</f>
        <v>0</v>
      </c>
      <c r="H63" s="711">
        <f>Bilans_E_AMS_Kyoto_run3_MTE!L361</f>
        <v>0</v>
      </c>
      <c r="I63" s="711">
        <f>Bilans_E_AMS_Kyoto_run3_MTE!M361</f>
        <v>0</v>
      </c>
      <c r="J63" s="711">
        <f>Bilans_E_AMS_Kyoto_run3_MTE!N361</f>
        <v>0</v>
      </c>
      <c r="K63" s="711">
        <f>Bilans_E_AMS_Kyoto_run3_MTE!O361</f>
        <v>0</v>
      </c>
      <c r="L63" s="711">
        <f>Bilans_E_AMS_Kyoto_run3_MTE!P361</f>
        <v>83.277924958812179</v>
      </c>
      <c r="M63" s="711">
        <f>Bilans_E_AMS_Kyoto_run3_MTE!Q361</f>
        <v>7.2727272727272725</v>
      </c>
      <c r="N63" s="711">
        <f>Bilans_E_AMS_Kyoto_run3_MTE!R361</f>
        <v>-50.501152166962441</v>
      </c>
      <c r="O63" s="711">
        <f>Bilans_E_AMS_Kyoto_run3_MTE!S361</f>
        <v>0</v>
      </c>
      <c r="P63" s="711">
        <f>Bilans_E_AMS_Kyoto_run3_MTE!T361+Bilans_E_AMS_Kyoto_run3_MTE!U361</f>
        <v>0</v>
      </c>
      <c r="Q63" s="711">
        <f>Bilans_E_AMS_Kyoto_run3_MTE!V361</f>
        <v>0</v>
      </c>
      <c r="R63" s="711">
        <f>Bilans_E_AMS_Kyoto_run3_MTE!W361</f>
        <v>0</v>
      </c>
      <c r="S63" s="711">
        <f>Bilans_E_AMS_Kyoto_run3_MTE!X361</f>
        <v>0</v>
      </c>
      <c r="T63" s="711">
        <f>Bilans_E_AMS_Kyoto_run3_MTE!Y361</f>
        <v>0</v>
      </c>
      <c r="U63" s="711">
        <f>Bilans_E_AMS_Kyoto_run3_MTE!Z361</f>
        <v>40.049500064577003</v>
      </c>
      <c r="V63" s="701"/>
      <c r="W63" s="701"/>
    </row>
    <row r="64" spans="1:23" x14ac:dyDescent="0.25">
      <c r="A64" s="701" t="s">
        <v>501</v>
      </c>
      <c r="B64" s="701"/>
      <c r="C64" s="717" t="s">
        <v>352</v>
      </c>
      <c r="D64" s="711">
        <f>Bilans_E_AMS_Kyoto_run3_MTE!H362</f>
        <v>0</v>
      </c>
      <c r="E64" s="711">
        <f>Bilans_E_AMS_Kyoto_run3_MTE!I362</f>
        <v>0</v>
      </c>
      <c r="F64" s="711">
        <f>Bilans_E_AMS_Kyoto_run3_MTE!J362</f>
        <v>0</v>
      </c>
      <c r="G64" s="711">
        <f>Bilans_E_AMS_Kyoto_run3_MTE!K362</f>
        <v>-2.9087163505255127</v>
      </c>
      <c r="H64" s="711">
        <f>Bilans_E_AMS_Kyoto_run3_MTE!L362</f>
        <v>0</v>
      </c>
      <c r="I64" s="711">
        <f>Bilans_E_AMS_Kyoto_run3_MTE!M362</f>
        <v>0</v>
      </c>
      <c r="J64" s="711">
        <f>Bilans_E_AMS_Kyoto_run3_MTE!N362</f>
        <v>0</v>
      </c>
      <c r="K64" s="711">
        <f>Bilans_E_AMS_Kyoto_run3_MTE!O362</f>
        <v>0</v>
      </c>
      <c r="L64" s="711">
        <f>Bilans_E_AMS_Kyoto_run3_MTE!P362</f>
        <v>0</v>
      </c>
      <c r="M64" s="711">
        <f>Bilans_E_AMS_Kyoto_run3_MTE!Q362</f>
        <v>0</v>
      </c>
      <c r="N64" s="711">
        <f>Bilans_E_AMS_Kyoto_run3_MTE!R362</f>
        <v>0</v>
      </c>
      <c r="O64" s="711">
        <f>Bilans_E_AMS_Kyoto_run3_MTE!S362</f>
        <v>0</v>
      </c>
      <c r="P64" s="711">
        <f>Bilans_E_AMS_Kyoto_run3_MTE!T362+Bilans_E_AMS_Kyoto_run3_MTE!U362</f>
        <v>0</v>
      </c>
      <c r="Q64" s="711">
        <f>Bilans_E_AMS_Kyoto_run3_MTE!V362</f>
        <v>0</v>
      </c>
      <c r="R64" s="711">
        <f>Bilans_E_AMS_Kyoto_run3_MTE!W362</f>
        <v>0</v>
      </c>
      <c r="S64" s="711">
        <f>Bilans_E_AMS_Kyoto_run3_MTE!X362</f>
        <v>0</v>
      </c>
      <c r="T64" s="711">
        <f>Bilans_E_AMS_Kyoto_run3_MTE!Y362</f>
        <v>4.8495879855780641</v>
      </c>
      <c r="U64" s="711">
        <f>Bilans_E_AMS_Kyoto_run3_MTE!Z362</f>
        <v>1.9408716350525514</v>
      </c>
      <c r="V64" s="701"/>
      <c r="W64" s="701"/>
    </row>
    <row r="65" spans="1:23" x14ac:dyDescent="0.25">
      <c r="A65" s="701" t="s">
        <v>502</v>
      </c>
      <c r="B65" s="701"/>
      <c r="C65" s="717" t="s">
        <v>73</v>
      </c>
      <c r="D65" s="711">
        <f>Bilans_E_AMS_Kyoto_run3_MTE!H363</f>
        <v>0</v>
      </c>
      <c r="E65" s="711">
        <f>Bilans_E_AMS_Kyoto_run3_MTE!I363</f>
        <v>0</v>
      </c>
      <c r="F65" s="711">
        <f>Bilans_E_AMS_Kyoto_run3_MTE!J363</f>
        <v>0</v>
      </c>
      <c r="G65" s="711">
        <f>Bilans_E_AMS_Kyoto_run3_MTE!K363</f>
        <v>0</v>
      </c>
      <c r="H65" s="711">
        <f>Bilans_E_AMS_Kyoto_run3_MTE!L363</f>
        <v>0</v>
      </c>
      <c r="I65" s="711">
        <f>Bilans_E_AMS_Kyoto_run3_MTE!M363</f>
        <v>0</v>
      </c>
      <c r="J65" s="711">
        <f>Bilans_E_AMS_Kyoto_run3_MTE!N363</f>
        <v>0</v>
      </c>
      <c r="K65" s="711">
        <f>Bilans_E_AMS_Kyoto_run3_MTE!O363</f>
        <v>0</v>
      </c>
      <c r="L65" s="711">
        <f>Bilans_E_AMS_Kyoto_run3_MTE!P363</f>
        <v>0</v>
      </c>
      <c r="M65" s="711">
        <f>Bilans_E_AMS_Kyoto_run3_MTE!Q363</f>
        <v>0</v>
      </c>
      <c r="N65" s="711">
        <f>Bilans_E_AMS_Kyoto_run3_MTE!R363</f>
        <v>0</v>
      </c>
      <c r="O65" s="711">
        <f>Bilans_E_AMS_Kyoto_run3_MTE!S363</f>
        <v>0</v>
      </c>
      <c r="P65" s="711">
        <f>Bilans_E_AMS_Kyoto_run3_MTE!T363+Bilans_E_AMS_Kyoto_run3_MTE!U363</f>
        <v>0</v>
      </c>
      <c r="Q65" s="711">
        <f>Bilans_E_AMS_Kyoto_run3_MTE!V363</f>
        <v>0</v>
      </c>
      <c r="R65" s="711">
        <f>Bilans_E_AMS_Kyoto_run3_MTE!W363</f>
        <v>32.352563963788228</v>
      </c>
      <c r="S65" s="711">
        <f>Bilans_E_AMS_Kyoto_run3_MTE!X363</f>
        <v>0</v>
      </c>
      <c r="T65" s="711">
        <f>Bilans_E_AMS_Kyoto_run3_MTE!Y363</f>
        <v>-21.595336445828643</v>
      </c>
      <c r="U65" s="711">
        <f>Bilans_E_AMS_Kyoto_run3_MTE!Z363</f>
        <v>10.757227517959585</v>
      </c>
      <c r="V65" s="701"/>
      <c r="W65" s="701"/>
    </row>
    <row r="66" spans="1:23" x14ac:dyDescent="0.25">
      <c r="A66" s="701" t="s">
        <v>503</v>
      </c>
      <c r="B66" s="701"/>
      <c r="C66" s="717" t="s">
        <v>353</v>
      </c>
      <c r="D66" s="711">
        <f>Bilans_E_AMS_Kyoto_run3_MTE!H364</f>
        <v>9.0096813281249997</v>
      </c>
      <c r="E66" s="711">
        <f>Bilans_E_AMS_Kyoto_run3_MTE!I364</f>
        <v>-11.398239160930634</v>
      </c>
      <c r="F66" s="711">
        <f>Bilans_E_AMS_Kyoto_run3_MTE!J364</f>
        <v>15.062765425262727</v>
      </c>
      <c r="G66" s="711">
        <f>Bilans_E_AMS_Kyoto_run3_MTE!K364</f>
        <v>0</v>
      </c>
      <c r="H66" s="711">
        <f>Bilans_E_AMS_Kyoto_run3_MTE!L364</f>
        <v>0</v>
      </c>
      <c r="I66" s="711">
        <f>Bilans_E_AMS_Kyoto_run3_MTE!M364</f>
        <v>0</v>
      </c>
      <c r="J66" s="711">
        <f>Bilans_E_AMS_Kyoto_run3_MTE!N364</f>
        <v>0</v>
      </c>
      <c r="K66" s="711">
        <f>Bilans_E_AMS_Kyoto_run3_MTE!O364</f>
        <v>0</v>
      </c>
      <c r="L66" s="711">
        <f>Bilans_E_AMS_Kyoto_run3_MTE!P364</f>
        <v>0</v>
      </c>
      <c r="M66" s="711">
        <f>Bilans_E_AMS_Kyoto_run3_MTE!Q364</f>
        <v>0</v>
      </c>
      <c r="N66" s="711">
        <f>Bilans_E_AMS_Kyoto_run3_MTE!R364</f>
        <v>0</v>
      </c>
      <c r="O66" s="711">
        <f>Bilans_E_AMS_Kyoto_run3_MTE!S364</f>
        <v>0</v>
      </c>
      <c r="P66" s="711">
        <f>Bilans_E_AMS_Kyoto_run3_MTE!T364+Bilans_E_AMS_Kyoto_run3_MTE!U364</f>
        <v>0</v>
      </c>
      <c r="Q66" s="711">
        <f>Bilans_E_AMS_Kyoto_run3_MTE!V364</f>
        <v>0</v>
      </c>
      <c r="R66" s="711">
        <f>Bilans_E_AMS_Kyoto_run3_MTE!W364</f>
        <v>0</v>
      </c>
      <c r="S66" s="711">
        <f>Bilans_E_AMS_Kyoto_run3_MTE!X364</f>
        <v>0</v>
      </c>
      <c r="T66" s="711">
        <f>Bilans_E_AMS_Kyoto_run3_MTE!Y364</f>
        <v>0</v>
      </c>
      <c r="U66" s="711">
        <f>Bilans_E_AMS_Kyoto_run3_MTE!Z364</f>
        <v>12.674207592457092</v>
      </c>
      <c r="V66" s="701"/>
      <c r="W66" s="701"/>
    </row>
    <row r="67" spans="1:23" x14ac:dyDescent="0.25">
      <c r="A67" s="701" t="s">
        <v>504</v>
      </c>
      <c r="B67" s="701"/>
      <c r="C67" s="717" t="s">
        <v>75</v>
      </c>
      <c r="D67" s="711">
        <f>Bilans_E_AMS_Kyoto_run3_MTE!H365</f>
        <v>3.5037649609375006</v>
      </c>
      <c r="E67" s="711">
        <f>Bilans_E_AMS_Kyoto_run3_MTE!I365</f>
        <v>0</v>
      </c>
      <c r="F67" s="711">
        <f>Bilans_E_AMS_Kyoto_run3_MTE!J365</f>
        <v>11.25597354471723</v>
      </c>
      <c r="G67" s="711">
        <f>Bilans_E_AMS_Kyoto_run3_MTE!K365</f>
        <v>0</v>
      </c>
      <c r="H67" s="711">
        <f>Bilans_E_AMS_Kyoto_run3_MTE!L365</f>
        <v>0</v>
      </c>
      <c r="I67" s="711">
        <f>Bilans_E_AMS_Kyoto_run3_MTE!M365</f>
        <v>0</v>
      </c>
      <c r="J67" s="711">
        <f>Bilans_E_AMS_Kyoto_run3_MTE!N365</f>
        <v>0</v>
      </c>
      <c r="K67" s="711">
        <f>Bilans_E_AMS_Kyoto_run3_MTE!O365</f>
        <v>0</v>
      </c>
      <c r="L67" s="711">
        <f>Bilans_E_AMS_Kyoto_run3_MTE!P365</f>
        <v>0</v>
      </c>
      <c r="M67" s="711">
        <f>Bilans_E_AMS_Kyoto_run3_MTE!Q365</f>
        <v>0</v>
      </c>
      <c r="N67" s="711">
        <f>Bilans_E_AMS_Kyoto_run3_MTE!R365</f>
        <v>0</v>
      </c>
      <c r="O67" s="711">
        <f>Bilans_E_AMS_Kyoto_run3_MTE!S365</f>
        <v>0</v>
      </c>
      <c r="P67" s="711">
        <f>Bilans_E_AMS_Kyoto_run3_MTE!T365+Bilans_E_AMS_Kyoto_run3_MTE!U365</f>
        <v>0</v>
      </c>
      <c r="Q67" s="711">
        <f>Bilans_E_AMS_Kyoto_run3_MTE!V365</f>
        <v>0</v>
      </c>
      <c r="R67" s="711">
        <f>Bilans_E_AMS_Kyoto_run3_MTE!W365</f>
        <v>35.053658012222463</v>
      </c>
      <c r="S67" s="711">
        <f>Bilans_E_AMS_Kyoto_run3_MTE!X365</f>
        <v>0</v>
      </c>
      <c r="T67" s="711">
        <f>Bilans_E_AMS_Kyoto_run3_MTE!Y365</f>
        <v>3.1951837496115347</v>
      </c>
      <c r="U67" s="711">
        <f>Bilans_E_AMS_Kyoto_run3_MTE!Z365</f>
        <v>53.008580267488732</v>
      </c>
      <c r="V67" s="701"/>
      <c r="W67" s="701"/>
    </row>
    <row r="68" spans="1:23" x14ac:dyDescent="0.25">
      <c r="A68" s="701" t="s">
        <v>505</v>
      </c>
      <c r="B68" s="701"/>
      <c r="C68" s="717" t="s">
        <v>76</v>
      </c>
      <c r="D68" s="711">
        <f>Bilans_E_AMS_Kyoto_run3_MTE!H366</f>
        <v>0</v>
      </c>
      <c r="E68" s="711">
        <f>Bilans_E_AMS_Kyoto_run3_MTE!I366</f>
        <v>0</v>
      </c>
      <c r="F68" s="711">
        <f>Bilans_E_AMS_Kyoto_run3_MTE!J366</f>
        <v>0</v>
      </c>
      <c r="G68" s="711">
        <f>Bilans_E_AMS_Kyoto_run3_MTE!K366</f>
        <v>0</v>
      </c>
      <c r="H68" s="711">
        <f>Bilans_E_AMS_Kyoto_run3_MTE!L366</f>
        <v>2.3417362535553745</v>
      </c>
      <c r="I68" s="711">
        <f>Bilans_E_AMS_Kyoto_run3_MTE!M366</f>
        <v>0</v>
      </c>
      <c r="J68" s="711">
        <f>Bilans_E_AMS_Kyoto_run3_MTE!N366</f>
        <v>0</v>
      </c>
      <c r="K68" s="711">
        <f>Bilans_E_AMS_Kyoto_run3_MTE!O366</f>
        <v>0</v>
      </c>
      <c r="L68" s="711">
        <f>Bilans_E_AMS_Kyoto_run3_MTE!P366</f>
        <v>0</v>
      </c>
      <c r="M68" s="711">
        <f>Bilans_E_AMS_Kyoto_run3_MTE!Q366</f>
        <v>0</v>
      </c>
      <c r="N68" s="711">
        <f>Bilans_E_AMS_Kyoto_run3_MTE!R366</f>
        <v>0</v>
      </c>
      <c r="O68" s="711">
        <f>Bilans_E_AMS_Kyoto_run3_MTE!S366</f>
        <v>0.58543406338884363</v>
      </c>
      <c r="P68" s="711">
        <f>Bilans_E_AMS_Kyoto_run3_MTE!T366+Bilans_E_AMS_Kyoto_run3_MTE!U366</f>
        <v>0</v>
      </c>
      <c r="Q68" s="711">
        <f>Bilans_E_AMS_Kyoto_run3_MTE!V366</f>
        <v>0</v>
      </c>
      <c r="R68" s="711">
        <f>Bilans_E_AMS_Kyoto_run3_MTE!W366</f>
        <v>50.833401683684251</v>
      </c>
      <c r="S68" s="711">
        <f>Bilans_E_AMS_Kyoto_run3_MTE!X366</f>
        <v>7.00152240179274</v>
      </c>
      <c r="T68" s="711">
        <f>Bilans_E_AMS_Kyoto_run3_MTE!Y366</f>
        <v>0</v>
      </c>
      <c r="U68" s="711">
        <f>Bilans_E_AMS_Kyoto_run3_MTE!Z366</f>
        <v>60.762094402421212</v>
      </c>
      <c r="V68" s="701"/>
      <c r="W68" s="701"/>
    </row>
    <row r="69" spans="1:23" x14ac:dyDescent="0.25">
      <c r="A69" s="701" t="s">
        <v>506</v>
      </c>
      <c r="B69" s="701"/>
      <c r="C69" s="713" t="s">
        <v>77</v>
      </c>
      <c r="D69" s="714">
        <f>Bilans_E_AMS_Kyoto_run3_MTE!H367</f>
        <v>12.5134462890625</v>
      </c>
      <c r="E69" s="714">
        <f>Bilans_E_AMS_Kyoto_run3_MTE!I367</f>
        <v>313.69943241881072</v>
      </c>
      <c r="F69" s="714">
        <f>Bilans_E_AMS_Kyoto_run3_MTE!J367</f>
        <v>-294.72573860835513</v>
      </c>
      <c r="G69" s="714">
        <f>Bilans_E_AMS_Kyoto_run3_MTE!K367</f>
        <v>-2.9087163505255127</v>
      </c>
      <c r="H69" s="714">
        <f>Bilans_E_AMS_Kyoto_run3_MTE!L367</f>
        <v>49.730996964144317</v>
      </c>
      <c r="I69" s="714">
        <f>Bilans_E_AMS_Kyoto_run3_MTE!M367</f>
        <v>-0.61307452578826904</v>
      </c>
      <c r="J69" s="714">
        <f>Bilans_E_AMS_Kyoto_run3_MTE!N367</f>
        <v>1162.7439999999999</v>
      </c>
      <c r="K69" s="714">
        <f>Bilans_E_AMS_Kyoto_run3_MTE!O367</f>
        <v>299.59846132130883</v>
      </c>
      <c r="L69" s="714">
        <f>Bilans_E_AMS_Kyoto_run3_MTE!P367</f>
        <v>219.01005209086182</v>
      </c>
      <c r="M69" s="714">
        <f>Bilans_E_AMS_Kyoto_run3_MTE!Q367</f>
        <v>41.847694799608462</v>
      </c>
      <c r="N69" s="714">
        <f>Bilans_E_AMS_Kyoto_run3_MTE!R367</f>
        <v>-45.472018436609886</v>
      </c>
      <c r="O69" s="714">
        <f>Bilans_E_AMS_Kyoto_run3_MTE!S367</f>
        <v>-37.277974287660989</v>
      </c>
      <c r="P69" s="714">
        <f>Bilans_E_AMS_Kyoto_run3_MTE!T367+Bilans_E_AMS_Kyoto_run3_MTE!U367</f>
        <v>14.160487242314748</v>
      </c>
      <c r="Q69" s="714">
        <f>Bilans_E_AMS_Kyoto_run3_MTE!V367</f>
        <v>16.984242391982921</v>
      </c>
      <c r="R69" s="714">
        <f>Bilans_E_AMS_Kyoto_run3_MTE!W367</f>
        <v>-599.13585594667347</v>
      </c>
      <c r="S69" s="714">
        <f>Bilans_E_AMS_Kyoto_run3_MTE!X367</f>
        <v>-83.293630562308678</v>
      </c>
      <c r="T69" s="714">
        <f>Bilans_E_AMS_Kyoto_run3_MTE!Y367</f>
        <v>-12.699072313710893</v>
      </c>
      <c r="U69" s="714">
        <f>Bilans_E_AMS_Kyoto_run3_MTE!Z367</f>
        <v>1054.1627324864614</v>
      </c>
      <c r="V69" s="701"/>
      <c r="W69" s="701"/>
    </row>
    <row r="70" spans="1:23" x14ac:dyDescent="0.25">
      <c r="A70" s="701"/>
      <c r="B70" s="701"/>
      <c r="C70" s="715"/>
      <c r="D70" s="716"/>
      <c r="E70" s="716"/>
      <c r="F70" s="716"/>
      <c r="G70" s="716"/>
      <c r="H70" s="716"/>
      <c r="I70" s="716"/>
      <c r="J70" s="716"/>
      <c r="K70" s="716"/>
      <c r="L70" s="716"/>
      <c r="M70" s="716"/>
      <c r="N70" s="716"/>
      <c r="O70" s="716"/>
      <c r="P70" s="716">
        <f>Bilans_E_AMS_Kyoto_run3_MTE!T368+Bilans_E_AMS_Kyoto_run3_MTE!U368</f>
        <v>0</v>
      </c>
      <c r="Q70" s="716"/>
      <c r="R70" s="716"/>
      <c r="S70" s="716"/>
      <c r="T70" s="716"/>
      <c r="U70" s="716"/>
      <c r="V70" s="701"/>
      <c r="W70" s="701"/>
    </row>
    <row r="71" spans="1:23" x14ac:dyDescent="0.25">
      <c r="A71" s="701" t="s">
        <v>507</v>
      </c>
      <c r="B71" s="701"/>
      <c r="C71" s="717" t="s">
        <v>78</v>
      </c>
      <c r="D71" s="711">
        <f>Bilans_E_AMS_Kyoto_run3_MTE!H369</f>
        <v>0.59552978515624999</v>
      </c>
      <c r="E71" s="711">
        <f>Bilans_E_AMS_Kyoto_run3_MTE!I369</f>
        <v>0</v>
      </c>
      <c r="F71" s="711">
        <f>Bilans_E_AMS_Kyoto_run3_MTE!J369</f>
        <v>6.9248578185022795</v>
      </c>
      <c r="G71" s="711">
        <f>Bilans_E_AMS_Kyoto_run3_MTE!K369</f>
        <v>0</v>
      </c>
      <c r="H71" s="711">
        <f>Bilans_E_AMS_Kyoto_run3_MTE!L369</f>
        <v>56.056015641570937</v>
      </c>
      <c r="I71" s="711">
        <f>Bilans_E_AMS_Kyoto_run3_MTE!M369</f>
        <v>0</v>
      </c>
      <c r="J71" s="711">
        <f>Bilans_E_AMS_Kyoto_run3_MTE!N369</f>
        <v>0</v>
      </c>
      <c r="K71" s="711">
        <f>Bilans_E_AMS_Kyoto_run3_MTE!O369</f>
        <v>0</v>
      </c>
      <c r="L71" s="711">
        <f>Bilans_E_AMS_Kyoto_run3_MTE!P369</f>
        <v>38.482812658254467</v>
      </c>
      <c r="M71" s="711">
        <f>Bilans_E_AMS_Kyoto_run3_MTE!Q369</f>
        <v>9.5007953936584837</v>
      </c>
      <c r="N71" s="711">
        <f>Bilans_E_AMS_Kyoto_run3_MTE!R369</f>
        <v>0.86864625843500676</v>
      </c>
      <c r="O71" s="711">
        <f>Bilans_E_AMS_Kyoto_run3_MTE!S369</f>
        <v>14.047969700298927</v>
      </c>
      <c r="P71" s="711">
        <f>Bilans_E_AMS_Kyoto_run3_MTE!T369+Bilans_E_AMS_Kyoto_run3_MTE!U369</f>
        <v>7.96939501953125</v>
      </c>
      <c r="Q71" s="711">
        <f>Bilans_E_AMS_Kyoto_run3_MTE!V369</f>
        <v>6.9244826847420892E-4</v>
      </c>
      <c r="R71" s="711">
        <f>Bilans_E_AMS_Kyoto_run3_MTE!W369</f>
        <v>153.63376409766943</v>
      </c>
      <c r="S71" s="711">
        <f>Bilans_E_AMS_Kyoto_run3_MTE!X369</f>
        <v>19.531581585374159</v>
      </c>
      <c r="T71" s="711">
        <f>Bilans_E_AMS_Kyoto_run3_MTE!Y369</f>
        <v>7.0234057617187498</v>
      </c>
      <c r="U71" s="711">
        <f>Bilans_E_AMS_Kyoto_run3_MTE!Z369</f>
        <v>314.63546616843843</v>
      </c>
      <c r="V71" s="701"/>
      <c r="W71" s="701"/>
    </row>
    <row r="72" spans="1:23" x14ac:dyDescent="0.25">
      <c r="A72" s="701" t="s">
        <v>508</v>
      </c>
      <c r="B72" s="701"/>
      <c r="C72" s="717" t="s">
        <v>79</v>
      </c>
      <c r="D72" s="711">
        <f>Bilans_E_AMS_Kyoto_run3_MTE!H370</f>
        <v>0</v>
      </c>
      <c r="E72" s="711">
        <f>Bilans_E_AMS_Kyoto_run3_MTE!I370</f>
        <v>0</v>
      </c>
      <c r="F72" s="711">
        <f>Bilans_E_AMS_Kyoto_run3_MTE!J370</f>
        <v>211.71015331690265</v>
      </c>
      <c r="G72" s="711">
        <f>Bilans_E_AMS_Kyoto_run3_MTE!K370</f>
        <v>0</v>
      </c>
      <c r="H72" s="711">
        <f>Bilans_E_AMS_Kyoto_run3_MTE!L370</f>
        <v>6.084888759318634</v>
      </c>
      <c r="I72" s="711">
        <f>Bilans_E_AMS_Kyoto_run3_MTE!M370</f>
        <v>0</v>
      </c>
      <c r="J72" s="711">
        <f>Bilans_E_AMS_Kyoto_run3_MTE!N370</f>
        <v>0</v>
      </c>
      <c r="K72" s="711">
        <f>Bilans_E_AMS_Kyoto_run3_MTE!O370</f>
        <v>0</v>
      </c>
      <c r="L72" s="711">
        <f>Bilans_E_AMS_Kyoto_run3_MTE!P370</f>
        <v>0</v>
      </c>
      <c r="M72" s="711">
        <f>Bilans_E_AMS_Kyoto_run3_MTE!Q370</f>
        <v>0</v>
      </c>
      <c r="N72" s="711">
        <f>Bilans_E_AMS_Kyoto_run3_MTE!R370</f>
        <v>41.017765544975838</v>
      </c>
      <c r="O72" s="711">
        <f>Bilans_E_AMS_Kyoto_run3_MTE!S370</f>
        <v>1.5212221898296585</v>
      </c>
      <c r="P72" s="711">
        <f>Bilans_E_AMS_Kyoto_run3_MTE!T370+Bilans_E_AMS_Kyoto_run3_MTE!U370</f>
        <v>0</v>
      </c>
      <c r="Q72" s="711">
        <f>Bilans_E_AMS_Kyoto_run3_MTE!V370</f>
        <v>0</v>
      </c>
      <c r="R72" s="711">
        <f>Bilans_E_AMS_Kyoto_run3_MTE!W370</f>
        <v>64.85163743776981</v>
      </c>
      <c r="S72" s="711">
        <f>Bilans_E_AMS_Kyoto_run3_MTE!X370</f>
        <v>0</v>
      </c>
      <c r="T72" s="711">
        <f>Bilans_E_AMS_Kyoto_run3_MTE!Y370</f>
        <v>2.5022787980989989</v>
      </c>
      <c r="U72" s="711">
        <f>Bilans_E_AMS_Kyoto_run3_MTE!Z370</f>
        <v>327.68794604689555</v>
      </c>
      <c r="V72" s="701"/>
      <c r="W72" s="701"/>
    </row>
    <row r="73" spans="1:23" x14ac:dyDescent="0.25">
      <c r="A73" s="701" t="s">
        <v>509</v>
      </c>
      <c r="B73" s="701"/>
      <c r="C73" s="717" t="s">
        <v>80</v>
      </c>
      <c r="D73" s="711">
        <f>Bilans_E_AMS_Kyoto_run3_MTE!H371</f>
        <v>0</v>
      </c>
      <c r="E73" s="711">
        <f>Bilans_E_AMS_Kyoto_run3_MTE!I371</f>
        <v>0</v>
      </c>
      <c r="F73" s="711">
        <f>Bilans_E_AMS_Kyoto_run3_MTE!J371</f>
        <v>1.1922779453513948</v>
      </c>
      <c r="G73" s="711">
        <f>Bilans_E_AMS_Kyoto_run3_MTE!K371</f>
        <v>0</v>
      </c>
      <c r="H73" s="711">
        <f>Bilans_E_AMS_Kyoto_run3_MTE!L371</f>
        <v>49.984411570621333</v>
      </c>
      <c r="I73" s="711">
        <f>Bilans_E_AMS_Kyoto_run3_MTE!M371</f>
        <v>0</v>
      </c>
      <c r="J73" s="711">
        <f>Bilans_E_AMS_Kyoto_run3_MTE!N371</f>
        <v>0</v>
      </c>
      <c r="K73" s="711">
        <f>Bilans_E_AMS_Kyoto_run3_MTE!O371</f>
        <v>0</v>
      </c>
      <c r="L73" s="711">
        <f>Bilans_E_AMS_Kyoto_run3_MTE!P371</f>
        <v>51.327953484818188</v>
      </c>
      <c r="M73" s="711">
        <f>Bilans_E_AMS_Kyoto_run3_MTE!Q371</f>
        <v>0</v>
      </c>
      <c r="N73" s="711">
        <f>Bilans_E_AMS_Kyoto_run3_MTE!R371</f>
        <v>0</v>
      </c>
      <c r="O73" s="711">
        <f>Bilans_E_AMS_Kyoto_run3_MTE!S371</f>
        <v>12.496102892655333</v>
      </c>
      <c r="P73" s="711">
        <f>Bilans_E_AMS_Kyoto_run3_MTE!T371+Bilans_E_AMS_Kyoto_run3_MTE!U371</f>
        <v>106.12788282579821</v>
      </c>
      <c r="Q73" s="711">
        <f>Bilans_E_AMS_Kyoto_run3_MTE!V371</f>
        <v>8.4399601726258009</v>
      </c>
      <c r="R73" s="711">
        <f>Bilans_E_AMS_Kyoto_run3_MTE!W371</f>
        <v>154.71508066801636</v>
      </c>
      <c r="S73" s="711">
        <f>Bilans_E_AMS_Kyoto_run3_MTE!X371</f>
        <v>40.414130897924252</v>
      </c>
      <c r="T73" s="711">
        <f>Bilans_E_AMS_Kyoto_run3_MTE!Y371</f>
        <v>0</v>
      </c>
      <c r="U73" s="711">
        <f>Bilans_E_AMS_Kyoto_run3_MTE!Z371</f>
        <v>424.69780045781079</v>
      </c>
      <c r="V73" s="701"/>
      <c r="W73" s="701"/>
    </row>
    <row r="74" spans="1:23" x14ac:dyDescent="0.25">
      <c r="A74" s="701" t="s">
        <v>510</v>
      </c>
      <c r="B74" s="701"/>
      <c r="C74" s="717" t="s">
        <v>81</v>
      </c>
      <c r="D74" s="711">
        <f>Bilans_E_AMS_Kyoto_run3_MTE!H372</f>
        <v>0</v>
      </c>
      <c r="E74" s="711">
        <f>Bilans_E_AMS_Kyoto_run3_MTE!I372</f>
        <v>0</v>
      </c>
      <c r="F74" s="711">
        <f>Bilans_E_AMS_Kyoto_run3_MTE!J372</f>
        <v>2.1695259016738468</v>
      </c>
      <c r="G74" s="711">
        <f>Bilans_E_AMS_Kyoto_run3_MTE!K372</f>
        <v>0</v>
      </c>
      <c r="H74" s="711">
        <f>Bilans_E_AMS_Kyoto_run3_MTE!L372</f>
        <v>31.961692890831412</v>
      </c>
      <c r="I74" s="711">
        <f>Bilans_E_AMS_Kyoto_run3_MTE!M372</f>
        <v>0</v>
      </c>
      <c r="J74" s="711">
        <f>Bilans_E_AMS_Kyoto_run3_MTE!N372</f>
        <v>0</v>
      </c>
      <c r="K74" s="711">
        <f>Bilans_E_AMS_Kyoto_run3_MTE!O372</f>
        <v>0</v>
      </c>
      <c r="L74" s="711">
        <f>Bilans_E_AMS_Kyoto_run3_MTE!P372</f>
        <v>0.59825096685183632</v>
      </c>
      <c r="M74" s="711">
        <f>Bilans_E_AMS_Kyoto_run3_MTE!Q372</f>
        <v>0</v>
      </c>
      <c r="N74" s="711">
        <f>Bilans_E_AMS_Kyoto_run3_MTE!R372</f>
        <v>0</v>
      </c>
      <c r="O74" s="711">
        <f>Bilans_E_AMS_Kyoto_run3_MTE!S372</f>
        <v>7.9904232227078529</v>
      </c>
      <c r="P74" s="711">
        <f>Bilans_E_AMS_Kyoto_run3_MTE!T372+Bilans_E_AMS_Kyoto_run3_MTE!U372</f>
        <v>42.388089169065466</v>
      </c>
      <c r="Q74" s="711">
        <f>Bilans_E_AMS_Kyoto_run3_MTE!V372</f>
        <v>7.9118943755575595</v>
      </c>
      <c r="R74" s="711">
        <f>Bilans_E_AMS_Kyoto_run3_MTE!W372</f>
        <v>121.82988531988985</v>
      </c>
      <c r="S74" s="711">
        <f>Bilans_E_AMS_Kyoto_run3_MTE!X372</f>
        <v>23.34788734439358</v>
      </c>
      <c r="T74" s="711">
        <f>Bilans_E_AMS_Kyoto_run3_MTE!Y372</f>
        <v>0</v>
      </c>
      <c r="U74" s="711">
        <f>Bilans_E_AMS_Kyoto_run3_MTE!Z372</f>
        <v>238.19764919097142</v>
      </c>
      <c r="V74" s="701"/>
      <c r="W74" s="701"/>
    </row>
    <row r="75" spans="1:23" x14ac:dyDescent="0.25">
      <c r="A75" s="701" t="s">
        <v>511</v>
      </c>
      <c r="B75" s="701"/>
      <c r="C75" s="717" t="s">
        <v>82</v>
      </c>
      <c r="D75" s="711">
        <f>Bilans_E_AMS_Kyoto_run3_MTE!H373</f>
        <v>0</v>
      </c>
      <c r="E75" s="711">
        <f>Bilans_E_AMS_Kyoto_run3_MTE!I373</f>
        <v>0</v>
      </c>
      <c r="F75" s="711">
        <f>Bilans_E_AMS_Kyoto_run3_MTE!J373</f>
        <v>22.236615834161011</v>
      </c>
      <c r="G75" s="711">
        <f>Bilans_E_AMS_Kyoto_run3_MTE!K373</f>
        <v>0</v>
      </c>
      <c r="H75" s="711">
        <f>Bilans_E_AMS_Kyoto_run3_MTE!L373</f>
        <v>1.1928287245433082</v>
      </c>
      <c r="I75" s="711">
        <f>Bilans_E_AMS_Kyoto_run3_MTE!M373</f>
        <v>0</v>
      </c>
      <c r="J75" s="711">
        <f>Bilans_E_AMS_Kyoto_run3_MTE!N373</f>
        <v>0</v>
      </c>
      <c r="K75" s="711">
        <f>Bilans_E_AMS_Kyoto_run3_MTE!O373</f>
        <v>0</v>
      </c>
      <c r="L75" s="711">
        <f>Bilans_E_AMS_Kyoto_run3_MTE!P373</f>
        <v>13.268691220387016</v>
      </c>
      <c r="M75" s="711">
        <f>Bilans_E_AMS_Kyoto_run3_MTE!Q373</f>
        <v>0</v>
      </c>
      <c r="N75" s="711">
        <f>Bilans_E_AMS_Kyoto_run3_MTE!R373</f>
        <v>5.5416929804733215</v>
      </c>
      <c r="O75" s="711">
        <f>Bilans_E_AMS_Kyoto_run3_MTE!S373</f>
        <v>0.29820718113582706</v>
      </c>
      <c r="P75" s="711">
        <f>Bilans_E_AMS_Kyoto_run3_MTE!T373+Bilans_E_AMS_Kyoto_run3_MTE!U373</f>
        <v>0.75</v>
      </c>
      <c r="Q75" s="711">
        <f>Bilans_E_AMS_Kyoto_run3_MTE!V373</f>
        <v>0.96290247555165809</v>
      </c>
      <c r="R75" s="711">
        <f>Bilans_E_AMS_Kyoto_run3_MTE!W373</f>
        <v>8.6394549115432451</v>
      </c>
      <c r="S75" s="711">
        <f>Bilans_E_AMS_Kyoto_run3_MTE!X373</f>
        <v>0</v>
      </c>
      <c r="T75" s="711">
        <f>Bilans_E_AMS_Kyoto_run3_MTE!Y373</f>
        <v>0.30661417718369394</v>
      </c>
      <c r="U75" s="711">
        <f>Bilans_E_AMS_Kyoto_run3_MTE!Z373</f>
        <v>53.197007504979084</v>
      </c>
      <c r="V75" s="701"/>
      <c r="W75" s="701"/>
    </row>
    <row r="76" spans="1:23" x14ac:dyDescent="0.25">
      <c r="A76" s="701" t="s">
        <v>512</v>
      </c>
      <c r="B76" s="701"/>
      <c r="C76" s="717" t="s">
        <v>354</v>
      </c>
      <c r="D76" s="711">
        <f>Bilans_E_AMS_Kyoto_run3_MTE!H374</f>
        <v>0</v>
      </c>
      <c r="E76" s="711">
        <f>Bilans_E_AMS_Kyoto_run3_MTE!I374</f>
        <v>0</v>
      </c>
      <c r="F76" s="711">
        <f>Bilans_E_AMS_Kyoto_run3_MTE!J374</f>
        <v>0</v>
      </c>
      <c r="G76" s="711">
        <f>Bilans_E_AMS_Kyoto_run3_MTE!K374</f>
        <v>0</v>
      </c>
      <c r="H76" s="711">
        <f>Bilans_E_AMS_Kyoto_run3_MTE!L374</f>
        <v>0</v>
      </c>
      <c r="I76" s="711">
        <f>Bilans_E_AMS_Kyoto_run3_MTE!M374</f>
        <v>0</v>
      </c>
      <c r="J76" s="711">
        <f>Bilans_E_AMS_Kyoto_run3_MTE!N374</f>
        <v>0</v>
      </c>
      <c r="K76" s="711">
        <f>Bilans_E_AMS_Kyoto_run3_MTE!O374</f>
        <v>0</v>
      </c>
      <c r="L76" s="711">
        <f>Bilans_E_AMS_Kyoto_run3_MTE!P374</f>
        <v>0</v>
      </c>
      <c r="M76" s="711">
        <f>Bilans_E_AMS_Kyoto_run3_MTE!Q374</f>
        <v>0</v>
      </c>
      <c r="N76" s="711">
        <f>Bilans_E_AMS_Kyoto_run3_MTE!R374</f>
        <v>0</v>
      </c>
      <c r="O76" s="711">
        <f>Bilans_E_AMS_Kyoto_run3_MTE!S374</f>
        <v>0</v>
      </c>
      <c r="P76" s="711">
        <f>Bilans_E_AMS_Kyoto_run3_MTE!T374+Bilans_E_AMS_Kyoto_run3_MTE!U374</f>
        <v>0</v>
      </c>
      <c r="Q76" s="711">
        <f>Bilans_E_AMS_Kyoto_run3_MTE!V374</f>
        <v>0</v>
      </c>
      <c r="R76" s="711">
        <f>Bilans_E_AMS_Kyoto_run3_MTE!W374</f>
        <v>0</v>
      </c>
      <c r="S76" s="711">
        <f>Bilans_E_AMS_Kyoto_run3_MTE!X374</f>
        <v>0</v>
      </c>
      <c r="T76" s="711">
        <f>Bilans_E_AMS_Kyoto_run3_MTE!Y374</f>
        <v>0</v>
      </c>
      <c r="U76" s="711">
        <f>Bilans_E_AMS_Kyoto_run3_MTE!Z374</f>
        <v>0</v>
      </c>
      <c r="V76" s="701"/>
      <c r="W76" s="701"/>
    </row>
    <row r="77" spans="1:23" x14ac:dyDescent="0.25">
      <c r="A77" s="701" t="s">
        <v>513</v>
      </c>
      <c r="B77" s="701"/>
      <c r="C77" s="713" t="s">
        <v>83</v>
      </c>
      <c r="D77" s="714">
        <f>Bilans_E_AMS_Kyoto_run3_MTE!H375</f>
        <v>0.59552978515624999</v>
      </c>
      <c r="E77" s="714">
        <f>Bilans_E_AMS_Kyoto_run3_MTE!I375</f>
        <v>0</v>
      </c>
      <c r="F77" s="714">
        <f>Bilans_E_AMS_Kyoto_run3_MTE!J375</f>
        <v>244.23343081659118</v>
      </c>
      <c r="G77" s="714">
        <f>Bilans_E_AMS_Kyoto_run3_MTE!K375</f>
        <v>0</v>
      </c>
      <c r="H77" s="714">
        <f>Bilans_E_AMS_Kyoto_run3_MTE!L375</f>
        <v>145.27983758688563</v>
      </c>
      <c r="I77" s="714">
        <f>Bilans_E_AMS_Kyoto_run3_MTE!M375</f>
        <v>0</v>
      </c>
      <c r="J77" s="714">
        <f>Bilans_E_AMS_Kyoto_run3_MTE!N375</f>
        <v>0</v>
      </c>
      <c r="K77" s="714">
        <f>Bilans_E_AMS_Kyoto_run3_MTE!O375</f>
        <v>0</v>
      </c>
      <c r="L77" s="714">
        <f>Bilans_E_AMS_Kyoto_run3_MTE!P375</f>
        <v>103.6777083303115</v>
      </c>
      <c r="M77" s="714">
        <f>Bilans_E_AMS_Kyoto_run3_MTE!Q375</f>
        <v>9.5007953936584837</v>
      </c>
      <c r="N77" s="714">
        <f>Bilans_E_AMS_Kyoto_run3_MTE!R375</f>
        <v>47.428104783884166</v>
      </c>
      <c r="O77" s="714">
        <f>Bilans_E_AMS_Kyoto_run3_MTE!S375</f>
        <v>36.353925186627599</v>
      </c>
      <c r="P77" s="714">
        <f>Bilans_E_AMS_Kyoto_run3_MTE!T375+Bilans_E_AMS_Kyoto_run3_MTE!U375</f>
        <v>157.23536701439491</v>
      </c>
      <c r="Q77" s="714">
        <f>Bilans_E_AMS_Kyoto_run3_MTE!V375</f>
        <v>17.315449472003493</v>
      </c>
      <c r="R77" s="714">
        <f>Bilans_E_AMS_Kyoto_run3_MTE!W375</f>
        <v>503.66982243488866</v>
      </c>
      <c r="S77" s="714">
        <f>Bilans_E_AMS_Kyoto_run3_MTE!X375</f>
        <v>83.293599827691992</v>
      </c>
      <c r="T77" s="714">
        <f>Bilans_E_AMS_Kyoto_run3_MTE!Y375</f>
        <v>9.832298737001441</v>
      </c>
      <c r="U77" s="714">
        <f>Bilans_E_AMS_Kyoto_run3_MTE!Z375</f>
        <v>1358.4158693690954</v>
      </c>
      <c r="V77" s="701"/>
      <c r="W77" s="701"/>
    </row>
    <row r="78" spans="1:23" x14ac:dyDescent="0.25">
      <c r="A78" s="701" t="s">
        <v>514</v>
      </c>
      <c r="B78" s="701"/>
      <c r="C78" s="710" t="s">
        <v>84</v>
      </c>
      <c r="D78" s="711">
        <f>Bilans_E_AMS_Kyoto_run3_MTE!H376</f>
        <v>0</v>
      </c>
      <c r="E78" s="711">
        <f>Bilans_E_AMS_Kyoto_run3_MTE!I376</f>
        <v>0</v>
      </c>
      <c r="F78" s="711">
        <f>Bilans_E_AMS_Kyoto_run3_MTE!J376</f>
        <v>108.38831705718137</v>
      </c>
      <c r="G78" s="711">
        <f>Bilans_E_AMS_Kyoto_run3_MTE!K376</f>
        <v>1.2939885995123082</v>
      </c>
      <c r="H78" s="711">
        <f>Bilans_E_AMS_Kyoto_run3_MTE!L376</f>
        <v>12.973217825865042</v>
      </c>
      <c r="I78" s="711">
        <f>Bilans_E_AMS_Kyoto_run3_MTE!M376</f>
        <v>0</v>
      </c>
      <c r="J78" s="711">
        <f>Bilans_E_AMS_Kyoto_run3_MTE!N376</f>
        <v>0</v>
      </c>
      <c r="K78" s="711">
        <f>Bilans_E_AMS_Kyoto_run3_MTE!O376</f>
        <v>0</v>
      </c>
      <c r="L78" s="711">
        <f>Bilans_E_AMS_Kyoto_run3_MTE!P376</f>
        <v>0.29168113881125463</v>
      </c>
      <c r="M78" s="711">
        <f>Bilans_E_AMS_Kyoto_run3_MTE!Q376</f>
        <v>0</v>
      </c>
      <c r="N78" s="711">
        <f>Bilans_E_AMS_Kyoto_run3_MTE!R376</f>
        <v>2.0844051344814138</v>
      </c>
      <c r="O78" s="711">
        <f>Bilans_E_AMS_Kyoto_run3_MTE!S376</f>
        <v>0</v>
      </c>
      <c r="P78" s="711">
        <f>Bilans_E_AMS_Kyoto_run3_MTE!T376+Bilans_E_AMS_Kyoto_run3_MTE!U376</f>
        <v>0</v>
      </c>
      <c r="Q78" s="711">
        <f>Bilans_E_AMS_Kyoto_run3_MTE!V376</f>
        <v>0</v>
      </c>
      <c r="R78" s="711">
        <f>Bilans_E_AMS_Kyoto_run3_MTE!W376</f>
        <v>0</v>
      </c>
      <c r="S78" s="711">
        <f>Bilans_E_AMS_Kyoto_run3_MTE!X376</f>
        <v>0</v>
      </c>
      <c r="T78" s="711">
        <f>Bilans_E_AMS_Kyoto_run3_MTE!Y376</f>
        <v>1.487132000092672</v>
      </c>
      <c r="U78" s="711">
        <f>Bilans_E_AMS_Kyoto_run3_MTE!Z376</f>
        <v>126.51874175594406</v>
      </c>
      <c r="V78" s="701"/>
      <c r="W78" s="701"/>
    </row>
    <row r="79" spans="1:23" x14ac:dyDescent="0.25">
      <c r="A79" s="701" t="s">
        <v>515</v>
      </c>
      <c r="B79" s="701"/>
      <c r="C79" s="713" t="s">
        <v>85</v>
      </c>
      <c r="D79" s="714">
        <f>Bilans_E_AMS_Kyoto_run3_MTE!H377</f>
        <v>0.59552978515624999</v>
      </c>
      <c r="E79" s="714">
        <f>Bilans_E_AMS_Kyoto_run3_MTE!I377</f>
        <v>0</v>
      </c>
      <c r="F79" s="714">
        <f>Bilans_E_AMS_Kyoto_run3_MTE!J377</f>
        <v>352.62174787377256</v>
      </c>
      <c r="G79" s="714">
        <f>Bilans_E_AMS_Kyoto_run3_MTE!K377</f>
        <v>1.2939885995123082</v>
      </c>
      <c r="H79" s="714">
        <f>Bilans_E_AMS_Kyoto_run3_MTE!L377</f>
        <v>158.25305541275068</v>
      </c>
      <c r="I79" s="714">
        <f>Bilans_E_AMS_Kyoto_run3_MTE!M377</f>
        <v>0</v>
      </c>
      <c r="J79" s="714">
        <f>Bilans_E_AMS_Kyoto_run3_MTE!N377</f>
        <v>0</v>
      </c>
      <c r="K79" s="714">
        <f>Bilans_E_AMS_Kyoto_run3_MTE!O377</f>
        <v>0</v>
      </c>
      <c r="L79" s="714">
        <f>Bilans_E_AMS_Kyoto_run3_MTE!P377</f>
        <v>103.96938946912276</v>
      </c>
      <c r="M79" s="714">
        <f>Bilans_E_AMS_Kyoto_run3_MTE!Q377</f>
        <v>9.5007953936584837</v>
      </c>
      <c r="N79" s="714">
        <f>Bilans_E_AMS_Kyoto_run3_MTE!R377</f>
        <v>49.512509918365581</v>
      </c>
      <c r="O79" s="714">
        <f>Bilans_E_AMS_Kyoto_run3_MTE!S377</f>
        <v>36.353925186627599</v>
      </c>
      <c r="P79" s="714">
        <f>Bilans_E_AMS_Kyoto_run3_MTE!T377+Bilans_E_AMS_Kyoto_run3_MTE!U377</f>
        <v>157.23536701439491</v>
      </c>
      <c r="Q79" s="714">
        <f>Bilans_E_AMS_Kyoto_run3_MTE!V377</f>
        <v>17.315449472003493</v>
      </c>
      <c r="R79" s="714">
        <f>Bilans_E_AMS_Kyoto_run3_MTE!W377</f>
        <v>503.66982243488866</v>
      </c>
      <c r="S79" s="714">
        <f>Bilans_E_AMS_Kyoto_run3_MTE!X377</f>
        <v>83.293599827691992</v>
      </c>
      <c r="T79" s="714">
        <f>Bilans_E_AMS_Kyoto_run3_MTE!Y377</f>
        <v>11.319430737094113</v>
      </c>
      <c r="U79" s="714">
        <f>Bilans_E_AMS_Kyoto_run3_MTE!Z377</f>
        <v>1484.9346111250395</v>
      </c>
      <c r="V79" s="701"/>
      <c r="W79" s="701"/>
    </row>
    <row r="80" spans="1:23" x14ac:dyDescent="0.25">
      <c r="A80" s="701"/>
      <c r="B80" s="701"/>
      <c r="C80" s="701"/>
      <c r="D80" s="701">
        <f>Bilans_E_AMS_Kyoto_run3_MTE!H378</f>
        <v>0</v>
      </c>
      <c r="E80" s="701">
        <f>Bilans_E_AMS_Kyoto_run3_MTE!I378</f>
        <v>0</v>
      </c>
      <c r="F80" s="701">
        <f>Bilans_E_AMS_Kyoto_run3_MTE!J378</f>
        <v>0</v>
      </c>
      <c r="G80" s="701">
        <f>Bilans_E_AMS_Kyoto_run3_MTE!K378</f>
        <v>0</v>
      </c>
      <c r="H80" s="701">
        <f>Bilans_E_AMS_Kyoto_run3_MTE!L378</f>
        <v>0</v>
      </c>
      <c r="I80" s="701">
        <f>Bilans_E_AMS_Kyoto_run3_MTE!M378</f>
        <v>0</v>
      </c>
      <c r="J80" s="701">
        <f>Bilans_E_AMS_Kyoto_run3_MTE!N378</f>
        <v>0</v>
      </c>
      <c r="K80" s="701">
        <f>Bilans_E_AMS_Kyoto_run3_MTE!O378</f>
        <v>0</v>
      </c>
      <c r="L80" s="701">
        <f>Bilans_E_AMS_Kyoto_run3_MTE!P378</f>
        <v>0</v>
      </c>
      <c r="M80" s="701">
        <f>Bilans_E_AMS_Kyoto_run3_MTE!Q378</f>
        <v>0</v>
      </c>
      <c r="N80" s="701">
        <f>Bilans_E_AMS_Kyoto_run3_MTE!R378</f>
        <v>0</v>
      </c>
      <c r="O80" s="701">
        <f>Bilans_E_AMS_Kyoto_run3_MTE!S378</f>
        <v>9.1038288019262836E-15</v>
      </c>
      <c r="P80" s="701">
        <f>Bilans_E_AMS_Kyoto_run3_MTE!T378+Bilans_E_AMS_Kyoto_run3_MTE!U378</f>
        <v>0</v>
      </c>
      <c r="Q80" s="701">
        <f>Bilans_E_AMS_Kyoto_run3_MTE!V378</f>
        <v>0</v>
      </c>
      <c r="R80" s="701">
        <f>Bilans_E_AMS_Kyoto_run3_MTE!W378</f>
        <v>0</v>
      </c>
      <c r="S80" s="701">
        <f>Bilans_E_AMS_Kyoto_run3_MTE!X378</f>
        <v>-3.0734616686345362E-5</v>
      </c>
      <c r="T80" s="701">
        <f>Bilans_E_AMS_Kyoto_run3_MTE!Y378</f>
        <v>2.2204460492503131E-15</v>
      </c>
      <c r="U80" s="701">
        <f>Bilans_E_AMS_Kyoto_run3_MTE!Z378</f>
        <v>-3.0734616302652285E-5</v>
      </c>
      <c r="V80" s="701"/>
      <c r="W80" s="701"/>
    </row>
    <row r="81" spans="1:23" x14ac:dyDescent="0.25">
      <c r="A81" s="701"/>
      <c r="B81" s="701"/>
      <c r="C81" s="701"/>
      <c r="D81" s="701"/>
      <c r="E81" s="701"/>
      <c r="F81" s="701"/>
      <c r="G81" s="701"/>
      <c r="H81" s="701"/>
      <c r="I81" s="701"/>
      <c r="J81" s="701"/>
      <c r="K81" s="701"/>
      <c r="L81" s="701"/>
      <c r="M81" s="701"/>
      <c r="N81" s="701"/>
      <c r="O81" s="701"/>
      <c r="P81" s="701"/>
      <c r="Q81" s="701"/>
      <c r="R81" s="701"/>
      <c r="S81" s="701"/>
      <c r="T81" s="701"/>
      <c r="U81" s="701"/>
      <c r="V81" s="701"/>
      <c r="W81" s="701"/>
    </row>
    <row r="82" spans="1:23" x14ac:dyDescent="0.25">
      <c r="A82" s="707"/>
      <c r="B82" s="707"/>
      <c r="C82" s="708" t="s">
        <v>359</v>
      </c>
      <c r="D82" s="707"/>
      <c r="E82" s="707"/>
      <c r="F82" s="707"/>
      <c r="G82" s="707"/>
      <c r="H82" s="707"/>
      <c r="I82" s="707"/>
      <c r="J82" s="707"/>
      <c r="K82" s="707"/>
      <c r="L82" s="707"/>
      <c r="M82" s="707"/>
      <c r="N82" s="707"/>
      <c r="O82" s="707"/>
      <c r="P82" s="707"/>
      <c r="Q82" s="707"/>
      <c r="R82" s="707"/>
      <c r="S82" s="707"/>
      <c r="T82" s="707"/>
      <c r="U82" s="707"/>
      <c r="V82" s="707"/>
      <c r="W82" s="707"/>
    </row>
    <row r="83" spans="1:23" x14ac:dyDescent="0.25">
      <c r="A83" s="701"/>
      <c r="B83" s="701"/>
      <c r="C83" s="701"/>
      <c r="D83" s="701"/>
      <c r="E83" s="701"/>
      <c r="F83" s="701"/>
      <c r="G83" s="701"/>
      <c r="H83" s="701"/>
      <c r="I83" s="701"/>
      <c r="J83" s="701"/>
      <c r="K83" s="701"/>
      <c r="L83" s="701"/>
      <c r="M83" s="701"/>
      <c r="N83" s="701"/>
      <c r="O83" s="701"/>
      <c r="P83" s="701"/>
      <c r="Q83" s="701"/>
      <c r="R83" s="701"/>
      <c r="S83" s="701"/>
      <c r="T83" s="701"/>
      <c r="U83" s="701"/>
      <c r="V83" s="701"/>
      <c r="W83" s="701"/>
    </row>
    <row r="84" spans="1:23" x14ac:dyDescent="0.25">
      <c r="A84" s="701"/>
      <c r="B84" s="701"/>
      <c r="C84" s="780" t="s">
        <v>128</v>
      </c>
      <c r="D84" s="775" t="s">
        <v>42</v>
      </c>
      <c r="E84" s="775" t="s">
        <v>52</v>
      </c>
      <c r="F84" s="775" t="s">
        <v>53</v>
      </c>
      <c r="G84" s="775" t="s">
        <v>482</v>
      </c>
      <c r="H84" s="775" t="s">
        <v>32</v>
      </c>
      <c r="I84" s="775" t="s">
        <v>483</v>
      </c>
      <c r="J84" s="775" t="s">
        <v>20</v>
      </c>
      <c r="K84" s="775" t="s">
        <v>55</v>
      </c>
      <c r="L84" s="777" t="s">
        <v>56</v>
      </c>
      <c r="M84" s="778"/>
      <c r="N84" s="778"/>
      <c r="O84" s="778"/>
      <c r="P84" s="778"/>
      <c r="Q84" s="779"/>
      <c r="R84" s="775" t="s">
        <v>57</v>
      </c>
      <c r="S84" s="775" t="s">
        <v>58</v>
      </c>
      <c r="T84" s="775" t="s">
        <v>31</v>
      </c>
      <c r="U84" s="775" t="s">
        <v>10</v>
      </c>
      <c r="V84" s="701"/>
      <c r="W84" s="701"/>
    </row>
    <row r="85" spans="1:23" ht="67.5" x14ac:dyDescent="0.25">
      <c r="A85" s="701" t="s">
        <v>486</v>
      </c>
      <c r="B85" s="701"/>
      <c r="C85" s="781"/>
      <c r="D85" s="776"/>
      <c r="E85" s="776"/>
      <c r="F85" s="776"/>
      <c r="G85" s="776"/>
      <c r="H85" s="776"/>
      <c r="I85" s="776"/>
      <c r="J85" s="776"/>
      <c r="K85" s="776"/>
      <c r="L85" s="709" t="s">
        <v>335</v>
      </c>
      <c r="M85" s="709" t="s">
        <v>40</v>
      </c>
      <c r="N85" s="709" t="s">
        <v>343</v>
      </c>
      <c r="O85" s="709" t="s">
        <v>344</v>
      </c>
      <c r="P85" s="719" t="s">
        <v>610</v>
      </c>
      <c r="Q85" s="709" t="s">
        <v>346</v>
      </c>
      <c r="R85" s="776"/>
      <c r="S85" s="776"/>
      <c r="T85" s="776"/>
      <c r="U85" s="776"/>
      <c r="V85" s="701"/>
      <c r="W85" s="701"/>
    </row>
    <row r="86" spans="1:23" x14ac:dyDescent="0.25">
      <c r="A86" s="701" t="s">
        <v>487</v>
      </c>
      <c r="B86" s="701"/>
      <c r="C86" s="710" t="s">
        <v>59</v>
      </c>
      <c r="D86" s="711">
        <f>Bilans_E_AMS_Kyoto_run3_MTE!H384</f>
        <v>0</v>
      </c>
      <c r="E86" s="711">
        <f>Bilans_E_AMS_Kyoto_run3_MTE!I384</f>
        <v>1.9073199999999999</v>
      </c>
      <c r="F86" s="711">
        <f>Bilans_E_AMS_Kyoto_run3_MTE!J384</f>
        <v>0</v>
      </c>
      <c r="G86" s="711">
        <f>Bilans_E_AMS_Kyoto_run3_MTE!K384</f>
        <v>0</v>
      </c>
      <c r="H86" s="711">
        <f>Bilans_E_AMS_Kyoto_run3_MTE!L384</f>
        <v>3.9542000000000008E-2</v>
      </c>
      <c r="I86" s="711">
        <f>Bilans_E_AMS_Kyoto_run3_MTE!M384</f>
        <v>0</v>
      </c>
      <c r="J86" s="711">
        <f>Bilans_E_AMS_Kyoto_run3_MTE!N384</f>
        <v>1195.4990290598246</v>
      </c>
      <c r="K86" s="711">
        <f>Bilans_E_AMS_Kyoto_run3_MTE!O384</f>
        <v>352.81639892204078</v>
      </c>
      <c r="L86" s="711">
        <f>Bilans_E_AMS_Kyoto_run3_MTE!P384</f>
        <v>334.74141553105153</v>
      </c>
      <c r="M86" s="711">
        <f>Bilans_E_AMS_Kyoto_run3_MTE!Q384</f>
        <v>49.102811616128875</v>
      </c>
      <c r="N86" s="711">
        <f>Bilans_E_AMS_Kyoto_run3_MTE!R384</f>
        <v>0</v>
      </c>
      <c r="O86" s="711">
        <f>Bilans_E_AMS_Kyoto_run3_MTE!S384</f>
        <v>0</v>
      </c>
      <c r="P86" s="711">
        <f>Bilans_E_AMS_Kyoto_run3_MTE!T384+Bilans_E_AMS_Kyoto_run3_MTE!U384</f>
        <v>200.79978234592807</v>
      </c>
      <c r="Q86" s="711">
        <f>Bilans_E_AMS_Kyoto_run3_MTE!V384</f>
        <v>40.778741630012433</v>
      </c>
      <c r="R86" s="711">
        <f>Bilans_E_AMS_Kyoto_run3_MTE!W384</f>
        <v>0</v>
      </c>
      <c r="S86" s="711">
        <f>Bilans_E_AMS_Kyoto_run3_MTE!X384</f>
        <v>0</v>
      </c>
      <c r="T86" s="711">
        <f>Bilans_E_AMS_Kyoto_run3_MTE!Y384</f>
        <v>0</v>
      </c>
      <c r="U86" s="711">
        <f>Bilans_E_AMS_Kyoto_run3_MTE!Z384</f>
        <v>2175.6850411049863</v>
      </c>
      <c r="V86" s="701"/>
      <c r="W86" s="701"/>
    </row>
    <row r="87" spans="1:23" x14ac:dyDescent="0.25">
      <c r="A87" s="701" t="s">
        <v>488</v>
      </c>
      <c r="B87" s="701"/>
      <c r="C87" s="710" t="s">
        <v>60</v>
      </c>
      <c r="D87" s="712">
        <f>Bilans_E_AMS_Kyoto_run3_MTE!H385</f>
        <v>12.531065673828124</v>
      </c>
      <c r="E87" s="712">
        <f>Bilans_E_AMS_Kyoto_run3_MTE!I385</f>
        <v>260.68864136173096</v>
      </c>
      <c r="F87" s="712">
        <f>Bilans_E_AMS_Kyoto_run3_MTE!J385</f>
        <v>79.769139628982202</v>
      </c>
      <c r="G87" s="712">
        <f>Bilans_E_AMS_Kyoto_run3_MTE!K385</f>
        <v>5.3845155133024489</v>
      </c>
      <c r="H87" s="712">
        <f>Bilans_E_AMS_Kyoto_run3_MTE!L385</f>
        <v>146.10919430668767</v>
      </c>
      <c r="I87" s="712">
        <f>Bilans_E_AMS_Kyoto_run3_MTE!M385</f>
        <v>0</v>
      </c>
      <c r="J87" s="712">
        <f>Bilans_E_AMS_Kyoto_run3_MTE!N385</f>
        <v>0</v>
      </c>
      <c r="K87" s="712">
        <f>Bilans_E_AMS_Kyoto_run3_MTE!O385</f>
        <v>0</v>
      </c>
      <c r="L87" s="712">
        <f>Bilans_E_AMS_Kyoto_run3_MTE!P385</f>
        <v>6.5955281469378519</v>
      </c>
      <c r="M87" s="712">
        <f>Bilans_E_AMS_Kyoto_run3_MTE!Q385</f>
        <v>0</v>
      </c>
      <c r="N87" s="712">
        <f>Bilans_E_AMS_Kyoto_run3_MTE!R385</f>
        <v>13.786836239318319</v>
      </c>
      <c r="O87" s="712">
        <f>Bilans_E_AMS_Kyoto_run3_MTE!S385</f>
        <v>4.2024164944931641</v>
      </c>
      <c r="P87" s="712">
        <f>Bilans_E_AMS_Kyoto_run3_MTE!T385+Bilans_E_AMS_Kyoto_run3_MTE!U385</f>
        <v>0</v>
      </c>
      <c r="Q87" s="712">
        <f>Bilans_E_AMS_Kyoto_run3_MTE!V385</f>
        <v>0</v>
      </c>
      <c r="R87" s="712">
        <f>Bilans_E_AMS_Kyoto_run3_MTE!W385</f>
        <v>0</v>
      </c>
      <c r="S87" s="712">
        <f>Bilans_E_AMS_Kyoto_run3_MTE!X385</f>
        <v>0</v>
      </c>
      <c r="T87" s="712">
        <f>Bilans_E_AMS_Kyoto_run3_MTE!Y385</f>
        <v>0</v>
      </c>
      <c r="U87" s="712">
        <f>Bilans_E_AMS_Kyoto_run3_MTE!Z385</f>
        <v>529.06733736528076</v>
      </c>
      <c r="V87" s="701"/>
      <c r="W87" s="701"/>
    </row>
    <row r="88" spans="1:23" x14ac:dyDescent="0.25">
      <c r="A88" s="701" t="s">
        <v>489</v>
      </c>
      <c r="B88" s="701"/>
      <c r="C88" s="710" t="s">
        <v>61</v>
      </c>
      <c r="D88" s="712">
        <f>Bilans_E_AMS_Kyoto_run3_MTE!H386</f>
        <v>0</v>
      </c>
      <c r="E88" s="712">
        <f>Bilans_E_AMS_Kyoto_run3_MTE!I386</f>
        <v>0</v>
      </c>
      <c r="F88" s="712">
        <f>Bilans_E_AMS_Kyoto_run3_MTE!J386</f>
        <v>0</v>
      </c>
      <c r="G88" s="712">
        <f>Bilans_E_AMS_Kyoto_run3_MTE!K386</f>
        <v>0</v>
      </c>
      <c r="H88" s="712">
        <f>Bilans_E_AMS_Kyoto_run3_MTE!L386</f>
        <v>0</v>
      </c>
      <c r="I88" s="712">
        <f>Bilans_E_AMS_Kyoto_run3_MTE!M386</f>
        <v>0</v>
      </c>
      <c r="J88" s="712">
        <f>Bilans_E_AMS_Kyoto_run3_MTE!N386</f>
        <v>0</v>
      </c>
      <c r="K88" s="712">
        <f>Bilans_E_AMS_Kyoto_run3_MTE!O386</f>
        <v>0</v>
      </c>
      <c r="L88" s="712">
        <f>Bilans_E_AMS_Kyoto_run3_MTE!P386</f>
        <v>0</v>
      </c>
      <c r="M88" s="712">
        <f>Bilans_E_AMS_Kyoto_run3_MTE!Q386</f>
        <v>0</v>
      </c>
      <c r="N88" s="712">
        <f>Bilans_E_AMS_Kyoto_run3_MTE!R386</f>
        <v>0</v>
      </c>
      <c r="O88" s="712">
        <f>Bilans_E_AMS_Kyoto_run3_MTE!S386</f>
        <v>0</v>
      </c>
      <c r="P88" s="712">
        <f>Bilans_E_AMS_Kyoto_run3_MTE!T386+Bilans_E_AMS_Kyoto_run3_MTE!U386</f>
        <v>0</v>
      </c>
      <c r="Q88" s="712">
        <f>Bilans_E_AMS_Kyoto_run3_MTE!V386</f>
        <v>0</v>
      </c>
      <c r="R88" s="712">
        <f>Bilans_E_AMS_Kyoto_run3_MTE!W386</f>
        <v>-112.47635741768158</v>
      </c>
      <c r="S88" s="712">
        <f>Bilans_E_AMS_Kyoto_run3_MTE!X386</f>
        <v>0</v>
      </c>
      <c r="T88" s="712">
        <f>Bilans_E_AMS_Kyoto_run3_MTE!Y386</f>
        <v>0</v>
      </c>
      <c r="U88" s="712">
        <f>Bilans_E_AMS_Kyoto_run3_MTE!Z386</f>
        <v>-112.47635741768158</v>
      </c>
      <c r="V88" s="701"/>
      <c r="W88" s="701"/>
    </row>
    <row r="89" spans="1:23" x14ac:dyDescent="0.25">
      <c r="A89" s="701" t="s">
        <v>490</v>
      </c>
      <c r="B89" s="701"/>
      <c r="C89" s="710" t="s">
        <v>62</v>
      </c>
      <c r="D89" s="711">
        <f>Bilans_E_AMS_Kyoto_run3_MTE!H387</f>
        <v>0</v>
      </c>
      <c r="E89" s="711">
        <f>Bilans_E_AMS_Kyoto_run3_MTE!I387</f>
        <v>0</v>
      </c>
      <c r="F89" s="711">
        <f>Bilans_E_AMS_Kyoto_run3_MTE!J387</f>
        <v>-6.4368278477343406</v>
      </c>
      <c r="G89" s="711">
        <f>Bilans_E_AMS_Kyoto_run3_MTE!K387</f>
        <v>-0.75904465097595197</v>
      </c>
      <c r="H89" s="711">
        <f>Bilans_E_AMS_Kyoto_run3_MTE!L387</f>
        <v>-0.26617313205703391</v>
      </c>
      <c r="I89" s="711">
        <f>Bilans_E_AMS_Kyoto_run3_MTE!M387</f>
        <v>-0.83753949174200382</v>
      </c>
      <c r="J89" s="711">
        <f>Bilans_E_AMS_Kyoto_run3_MTE!N387</f>
        <v>0</v>
      </c>
      <c r="K89" s="711">
        <f>Bilans_E_AMS_Kyoto_run3_MTE!O387</f>
        <v>0</v>
      </c>
      <c r="L89" s="711">
        <f>Bilans_E_AMS_Kyoto_run3_MTE!P387</f>
        <v>0</v>
      </c>
      <c r="M89" s="711">
        <f>Bilans_E_AMS_Kyoto_run3_MTE!Q387</f>
        <v>0</v>
      </c>
      <c r="N89" s="711">
        <f>Bilans_E_AMS_Kyoto_run3_MTE!R387</f>
        <v>0</v>
      </c>
      <c r="O89" s="711">
        <f>Bilans_E_AMS_Kyoto_run3_MTE!S387</f>
        <v>-1.2171669369544087</v>
      </c>
      <c r="P89" s="711">
        <f>Bilans_E_AMS_Kyoto_run3_MTE!T387+Bilans_E_AMS_Kyoto_run3_MTE!U387</f>
        <v>0</v>
      </c>
      <c r="Q89" s="711">
        <f>Bilans_E_AMS_Kyoto_run3_MTE!V387</f>
        <v>0</v>
      </c>
      <c r="R89" s="711">
        <f>Bilans_E_AMS_Kyoto_run3_MTE!W387</f>
        <v>0</v>
      </c>
      <c r="S89" s="711">
        <f>Bilans_E_AMS_Kyoto_run3_MTE!X387</f>
        <v>0</v>
      </c>
      <c r="T89" s="711">
        <f>Bilans_E_AMS_Kyoto_run3_MTE!Y387</f>
        <v>-0.55033649946810814</v>
      </c>
      <c r="U89" s="711">
        <f>Bilans_E_AMS_Kyoto_run3_MTE!Z387</f>
        <v>-10.067088558931845</v>
      </c>
      <c r="V89" s="701"/>
      <c r="W89" s="701"/>
    </row>
    <row r="90" spans="1:23" x14ac:dyDescent="0.25">
      <c r="A90" s="701" t="s">
        <v>491</v>
      </c>
      <c r="B90" s="701"/>
      <c r="C90" s="710" t="s">
        <v>63</v>
      </c>
      <c r="D90" s="711">
        <f>Bilans_E_AMS_Kyoto_run3_MTE!H388</f>
        <v>0</v>
      </c>
      <c r="E90" s="711">
        <f>Bilans_E_AMS_Kyoto_run3_MTE!I388</f>
        <v>0</v>
      </c>
      <c r="F90" s="711">
        <f>Bilans_E_AMS_Kyoto_run3_MTE!J388</f>
        <v>-46.4</v>
      </c>
      <c r="G90" s="711">
        <f>Bilans_E_AMS_Kyoto_run3_MTE!K388</f>
        <v>-6.4</v>
      </c>
      <c r="H90" s="711">
        <f>Bilans_E_AMS_Kyoto_run3_MTE!L388</f>
        <v>0</v>
      </c>
      <c r="I90" s="711">
        <f>Bilans_E_AMS_Kyoto_run3_MTE!M388</f>
        <v>0</v>
      </c>
      <c r="J90" s="711">
        <f>Bilans_E_AMS_Kyoto_run3_MTE!N388</f>
        <v>0</v>
      </c>
      <c r="K90" s="711">
        <f>Bilans_E_AMS_Kyoto_run3_MTE!O388</f>
        <v>0</v>
      </c>
      <c r="L90" s="711">
        <f>Bilans_E_AMS_Kyoto_run3_MTE!P388</f>
        <v>0</v>
      </c>
      <c r="M90" s="711">
        <f>Bilans_E_AMS_Kyoto_run3_MTE!Q388</f>
        <v>0</v>
      </c>
      <c r="N90" s="711">
        <f>Bilans_E_AMS_Kyoto_run3_MTE!R388</f>
        <v>-13.4</v>
      </c>
      <c r="O90" s="711">
        <f>Bilans_E_AMS_Kyoto_run3_MTE!S388</f>
        <v>0</v>
      </c>
      <c r="P90" s="711">
        <f>Bilans_E_AMS_Kyoto_run3_MTE!T388+Bilans_E_AMS_Kyoto_run3_MTE!U388</f>
        <v>0</v>
      </c>
      <c r="Q90" s="711">
        <f>Bilans_E_AMS_Kyoto_run3_MTE!V388</f>
        <v>0</v>
      </c>
      <c r="R90" s="711">
        <f>Bilans_E_AMS_Kyoto_run3_MTE!W388</f>
        <v>0</v>
      </c>
      <c r="S90" s="711">
        <f>Bilans_E_AMS_Kyoto_run3_MTE!X388</f>
        <v>0</v>
      </c>
      <c r="T90" s="711">
        <f>Bilans_E_AMS_Kyoto_run3_MTE!Y388</f>
        <v>-2.2000000000000002</v>
      </c>
      <c r="U90" s="711">
        <f>Bilans_E_AMS_Kyoto_run3_MTE!Z388</f>
        <v>-68.400000000000006</v>
      </c>
      <c r="V90" s="701"/>
      <c r="W90" s="701"/>
    </row>
    <row r="91" spans="1:23" x14ac:dyDescent="0.25">
      <c r="A91" s="701" t="s">
        <v>492</v>
      </c>
      <c r="B91" s="701"/>
      <c r="C91" s="710" t="s">
        <v>64</v>
      </c>
      <c r="D91" s="712">
        <f>Bilans_E_AMS_Kyoto_run3_MTE!H389</f>
        <v>0</v>
      </c>
      <c r="E91" s="712">
        <f>Bilans_E_AMS_Kyoto_run3_MTE!I389</f>
        <v>0</v>
      </c>
      <c r="F91" s="712">
        <f>Bilans_E_AMS_Kyoto_run3_MTE!J389</f>
        <v>0</v>
      </c>
      <c r="G91" s="712">
        <f>Bilans_E_AMS_Kyoto_run3_MTE!K389</f>
        <v>0</v>
      </c>
      <c r="H91" s="712">
        <f>Bilans_E_AMS_Kyoto_run3_MTE!L389</f>
        <v>0</v>
      </c>
      <c r="I91" s="712">
        <f>Bilans_E_AMS_Kyoto_run3_MTE!M389</f>
        <v>0</v>
      </c>
      <c r="J91" s="712">
        <f>Bilans_E_AMS_Kyoto_run3_MTE!N389</f>
        <v>0</v>
      </c>
      <c r="K91" s="712">
        <f>Bilans_E_AMS_Kyoto_run3_MTE!O389</f>
        <v>0</v>
      </c>
      <c r="L91" s="712">
        <f>Bilans_E_AMS_Kyoto_run3_MTE!P389</f>
        <v>0</v>
      </c>
      <c r="M91" s="712">
        <f>Bilans_E_AMS_Kyoto_run3_MTE!Q389</f>
        <v>0</v>
      </c>
      <c r="N91" s="712">
        <f>Bilans_E_AMS_Kyoto_run3_MTE!R389</f>
        <v>0</v>
      </c>
      <c r="O91" s="712">
        <f>Bilans_E_AMS_Kyoto_run3_MTE!S389</f>
        <v>0</v>
      </c>
      <c r="P91" s="712">
        <f>Bilans_E_AMS_Kyoto_run3_MTE!T389+Bilans_E_AMS_Kyoto_run3_MTE!U389</f>
        <v>0</v>
      </c>
      <c r="Q91" s="712">
        <f>Bilans_E_AMS_Kyoto_run3_MTE!V389</f>
        <v>0</v>
      </c>
      <c r="R91" s="712">
        <f>Bilans_E_AMS_Kyoto_run3_MTE!W389</f>
        <v>0</v>
      </c>
      <c r="S91" s="712">
        <f>Bilans_E_AMS_Kyoto_run3_MTE!X389</f>
        <v>0</v>
      </c>
      <c r="T91" s="712">
        <f>Bilans_E_AMS_Kyoto_run3_MTE!Y389</f>
        <v>0</v>
      </c>
      <c r="U91" s="712">
        <f>Bilans_E_AMS_Kyoto_run3_MTE!Z389</f>
        <v>0</v>
      </c>
      <c r="V91" s="701"/>
      <c r="W91" s="701"/>
    </row>
    <row r="92" spans="1:23" x14ac:dyDescent="0.25">
      <c r="A92" s="701" t="s">
        <v>493</v>
      </c>
      <c r="B92" s="701"/>
      <c r="C92" s="713" t="s">
        <v>65</v>
      </c>
      <c r="D92" s="714">
        <f>Bilans_E_AMS_Kyoto_run3_MTE!H390</f>
        <v>12.531065673828124</v>
      </c>
      <c r="E92" s="714">
        <f>Bilans_E_AMS_Kyoto_run3_MTE!I390</f>
        <v>262.59596136173099</v>
      </c>
      <c r="F92" s="714">
        <f>Bilans_E_AMS_Kyoto_run3_MTE!J390</f>
        <v>26.932311781247869</v>
      </c>
      <c r="G92" s="714">
        <f>Bilans_E_AMS_Kyoto_run3_MTE!K390</f>
        <v>-1.7745291376735031</v>
      </c>
      <c r="H92" s="714">
        <f>Bilans_E_AMS_Kyoto_run3_MTE!L390</f>
        <v>145.88256317463066</v>
      </c>
      <c r="I92" s="714">
        <f>Bilans_E_AMS_Kyoto_run3_MTE!M390</f>
        <v>-0.83753949174200382</v>
      </c>
      <c r="J92" s="714">
        <f>Bilans_E_AMS_Kyoto_run3_MTE!N390</f>
        <v>1195.4990290598246</v>
      </c>
      <c r="K92" s="714">
        <f>Bilans_E_AMS_Kyoto_run3_MTE!O390</f>
        <v>352.81639892204078</v>
      </c>
      <c r="L92" s="714">
        <f>Bilans_E_AMS_Kyoto_run3_MTE!P390</f>
        <v>341.33694367798938</v>
      </c>
      <c r="M92" s="714">
        <f>Bilans_E_AMS_Kyoto_run3_MTE!Q390</f>
        <v>49.102811616128875</v>
      </c>
      <c r="N92" s="714">
        <f>Bilans_E_AMS_Kyoto_run3_MTE!R390</f>
        <v>0.38683623931831868</v>
      </c>
      <c r="O92" s="714">
        <f>Bilans_E_AMS_Kyoto_run3_MTE!S390</f>
        <v>2.9852495575387552</v>
      </c>
      <c r="P92" s="714">
        <f>Bilans_E_AMS_Kyoto_run3_MTE!T390+Bilans_E_AMS_Kyoto_run3_MTE!U390</f>
        <v>200.79978234592807</v>
      </c>
      <c r="Q92" s="714">
        <f>Bilans_E_AMS_Kyoto_run3_MTE!V390</f>
        <v>40.778741630012433</v>
      </c>
      <c r="R92" s="714">
        <f>Bilans_E_AMS_Kyoto_run3_MTE!W390</f>
        <v>-112.47635741768158</v>
      </c>
      <c r="S92" s="714">
        <f>Bilans_E_AMS_Kyoto_run3_MTE!X390</f>
        <v>0</v>
      </c>
      <c r="T92" s="714">
        <f>Bilans_E_AMS_Kyoto_run3_MTE!Y390</f>
        <v>-2.7503364994681085</v>
      </c>
      <c r="U92" s="714">
        <f>Bilans_E_AMS_Kyoto_run3_MTE!Z390</f>
        <v>2513.8089324936536</v>
      </c>
      <c r="V92" s="701"/>
      <c r="W92" s="701"/>
    </row>
    <row r="93" spans="1:23" x14ac:dyDescent="0.25">
      <c r="A93" s="701"/>
      <c r="B93" s="701"/>
      <c r="C93" s="715"/>
      <c r="D93" s="716"/>
      <c r="E93" s="716"/>
      <c r="F93" s="716"/>
      <c r="G93" s="716"/>
      <c r="H93" s="716"/>
      <c r="I93" s="716"/>
      <c r="J93" s="716"/>
      <c r="K93" s="716"/>
      <c r="L93" s="716"/>
      <c r="M93" s="716"/>
      <c r="N93" s="716"/>
      <c r="O93" s="716"/>
      <c r="P93" s="716">
        <f>Bilans_E_AMS_Kyoto_run3_MTE!T391+Bilans_E_AMS_Kyoto_run3_MTE!U391</f>
        <v>0</v>
      </c>
      <c r="Q93" s="716"/>
      <c r="R93" s="716"/>
      <c r="S93" s="716"/>
      <c r="T93" s="716"/>
      <c r="U93" s="716"/>
      <c r="V93" s="701"/>
      <c r="W93" s="701"/>
    </row>
    <row r="94" spans="1:23" x14ac:dyDescent="0.25">
      <c r="A94" s="701" t="s">
        <v>494</v>
      </c>
      <c r="B94" s="701"/>
      <c r="C94" s="717" t="s">
        <v>67</v>
      </c>
      <c r="D94" s="711">
        <f>Bilans_E_AMS_Kyoto_run3_MTE!H392</f>
        <v>0</v>
      </c>
      <c r="E94" s="711">
        <f>Bilans_E_AMS_Kyoto_run3_MTE!I392</f>
        <v>0</v>
      </c>
      <c r="F94" s="711">
        <f>Bilans_E_AMS_Kyoto_run3_MTE!J392</f>
        <v>0</v>
      </c>
      <c r="G94" s="711">
        <f>Bilans_E_AMS_Kyoto_run3_MTE!K392</f>
        <v>0</v>
      </c>
      <c r="H94" s="711">
        <f>Bilans_E_AMS_Kyoto_run3_MTE!L392</f>
        <v>0</v>
      </c>
      <c r="I94" s="711">
        <f>Bilans_E_AMS_Kyoto_run3_MTE!M392</f>
        <v>0</v>
      </c>
      <c r="J94" s="711">
        <f>Bilans_E_AMS_Kyoto_run3_MTE!N392</f>
        <v>0</v>
      </c>
      <c r="K94" s="711">
        <f>Bilans_E_AMS_Kyoto_run3_MTE!O392</f>
        <v>0</v>
      </c>
      <c r="L94" s="711">
        <f>Bilans_E_AMS_Kyoto_run3_MTE!P392</f>
        <v>0</v>
      </c>
      <c r="M94" s="711">
        <f>Bilans_E_AMS_Kyoto_run3_MTE!Q392</f>
        <v>0</v>
      </c>
      <c r="N94" s="711">
        <f>Bilans_E_AMS_Kyoto_run3_MTE!R392</f>
        <v>0</v>
      </c>
      <c r="O94" s="711">
        <f>Bilans_E_AMS_Kyoto_run3_MTE!S392</f>
        <v>0</v>
      </c>
      <c r="P94" s="711">
        <f>Bilans_E_AMS_Kyoto_run3_MTE!T392+Bilans_E_AMS_Kyoto_run3_MTE!U392</f>
        <v>0</v>
      </c>
      <c r="Q94" s="711">
        <f>Bilans_E_AMS_Kyoto_run3_MTE!V392</f>
        <v>0</v>
      </c>
      <c r="R94" s="711">
        <f>Bilans_E_AMS_Kyoto_run3_MTE!W392</f>
        <v>0</v>
      </c>
      <c r="S94" s="711">
        <f>Bilans_E_AMS_Kyoto_run3_MTE!X392</f>
        <v>0</v>
      </c>
      <c r="T94" s="711">
        <f>Bilans_E_AMS_Kyoto_run3_MTE!Y392</f>
        <v>0</v>
      </c>
      <c r="U94" s="711">
        <f>Bilans_E_AMS_Kyoto_run3_MTE!Z392</f>
        <v>0</v>
      </c>
      <c r="V94" s="701"/>
      <c r="W94" s="701"/>
    </row>
    <row r="95" spans="1:23" x14ac:dyDescent="0.25">
      <c r="A95" s="701" t="s">
        <v>495</v>
      </c>
      <c r="B95" s="701"/>
      <c r="C95" s="717" t="s">
        <v>347</v>
      </c>
      <c r="D95" s="711">
        <f>Bilans_E_AMS_Kyoto_run3_MTE!H393</f>
        <v>0</v>
      </c>
      <c r="E95" s="711">
        <f>Bilans_E_AMS_Kyoto_run3_MTE!I393</f>
        <v>0</v>
      </c>
      <c r="F95" s="711">
        <f>Bilans_E_AMS_Kyoto_run3_MTE!J393</f>
        <v>0.36057808628354604</v>
      </c>
      <c r="G95" s="711">
        <f>Bilans_E_AMS_Kyoto_run3_MTE!K393</f>
        <v>0</v>
      </c>
      <c r="H95" s="711">
        <f>Bilans_E_AMS_Kyoto_run3_MTE!L393</f>
        <v>8.6510705990175421</v>
      </c>
      <c r="I95" s="711">
        <f>Bilans_E_AMS_Kyoto_run3_MTE!M393</f>
        <v>0</v>
      </c>
      <c r="J95" s="711">
        <f>Bilans_E_AMS_Kyoto_run3_MTE!N393</f>
        <v>1193.4597454545453</v>
      </c>
      <c r="K95" s="711">
        <f>Bilans_E_AMS_Kyoto_run3_MTE!O393</f>
        <v>352.81639892204078</v>
      </c>
      <c r="L95" s="711">
        <f>Bilans_E_AMS_Kyoto_run3_MTE!P393</f>
        <v>17.169316423280179</v>
      </c>
      <c r="M95" s="711">
        <f>Bilans_E_AMS_Kyoto_run3_MTE!Q393</f>
        <v>5.7366833077088035</v>
      </c>
      <c r="N95" s="711">
        <f>Bilans_E_AMS_Kyoto_run3_MTE!R393</f>
        <v>5.3878161949008447</v>
      </c>
      <c r="O95" s="711">
        <f>Bilans_E_AMS_Kyoto_run3_MTE!S393</f>
        <v>5.0608301808950129</v>
      </c>
      <c r="P95" s="711">
        <f>Bilans_E_AMS_Kyoto_run3_MTE!T393+Bilans_E_AMS_Kyoto_run3_MTE!U393</f>
        <v>0</v>
      </c>
      <c r="Q95" s="711">
        <f>Bilans_E_AMS_Kyoto_run3_MTE!V393</f>
        <v>4.9774137725284184</v>
      </c>
      <c r="R95" s="711">
        <f>Bilans_E_AMS_Kyoto_run3_MTE!W393</f>
        <v>-770.22733582540855</v>
      </c>
      <c r="S95" s="711">
        <f>Bilans_E_AMS_Kyoto_run3_MTE!X393</f>
        <v>0</v>
      </c>
      <c r="T95" s="711">
        <f>Bilans_E_AMS_Kyoto_run3_MTE!Y393</f>
        <v>0</v>
      </c>
      <c r="U95" s="711">
        <f>Bilans_E_AMS_Kyoto_run3_MTE!Z393</f>
        <v>823.39251711579163</v>
      </c>
      <c r="V95" s="701"/>
      <c r="W95" s="701"/>
    </row>
    <row r="96" spans="1:23" x14ac:dyDescent="0.25">
      <c r="A96" s="701" t="s">
        <v>496</v>
      </c>
      <c r="B96" s="701"/>
      <c r="C96" s="717" t="s">
        <v>348</v>
      </c>
      <c r="D96" s="711">
        <f>Bilans_E_AMS_Kyoto_run3_MTE!H394</f>
        <v>0</v>
      </c>
      <c r="E96" s="711">
        <f>Bilans_E_AMS_Kyoto_run3_MTE!I394</f>
        <v>0</v>
      </c>
      <c r="F96" s="711">
        <f>Bilans_E_AMS_Kyoto_run3_MTE!J394</f>
        <v>0</v>
      </c>
      <c r="G96" s="711">
        <f>Bilans_E_AMS_Kyoto_run3_MTE!K394</f>
        <v>0</v>
      </c>
      <c r="H96" s="711">
        <f>Bilans_E_AMS_Kyoto_run3_MTE!L394</f>
        <v>16.741941849061199</v>
      </c>
      <c r="I96" s="711">
        <f>Bilans_E_AMS_Kyoto_run3_MTE!M394</f>
        <v>0</v>
      </c>
      <c r="J96" s="711">
        <f>Bilans_E_AMS_Kyoto_run3_MTE!N394</f>
        <v>2.0392836052791781</v>
      </c>
      <c r="K96" s="711">
        <f>Bilans_E_AMS_Kyoto_run3_MTE!O394</f>
        <v>0</v>
      </c>
      <c r="L96" s="711">
        <f>Bilans_E_AMS_Kyoto_run3_MTE!P394</f>
        <v>24.508111114586647</v>
      </c>
      <c r="M96" s="711">
        <f>Bilans_E_AMS_Kyoto_run3_MTE!Q394</f>
        <v>15.713393249215271</v>
      </c>
      <c r="N96" s="711">
        <f>Bilans_E_AMS_Kyoto_run3_MTE!R394</f>
        <v>0</v>
      </c>
      <c r="O96" s="711">
        <f>Bilans_E_AMS_Kyoto_run3_MTE!S394</f>
        <v>8.2544124688387157</v>
      </c>
      <c r="P96" s="711">
        <f>Bilans_E_AMS_Kyoto_run3_MTE!T394+Bilans_E_AMS_Kyoto_run3_MTE!U394</f>
        <v>15.880539172662751</v>
      </c>
      <c r="Q96" s="711">
        <f>Bilans_E_AMS_Kyoto_run3_MTE!V394</f>
        <v>15.123327125815617</v>
      </c>
      <c r="R96" s="711">
        <f>Bilans_E_AMS_Kyoto_run3_MTE!W394</f>
        <v>0</v>
      </c>
      <c r="S96" s="711">
        <f>Bilans_E_AMS_Kyoto_run3_MTE!X394</f>
        <v>-90.455475584151912</v>
      </c>
      <c r="T96" s="711">
        <f>Bilans_E_AMS_Kyoto_run3_MTE!Y394</f>
        <v>0</v>
      </c>
      <c r="U96" s="711">
        <f>Bilans_E_AMS_Kyoto_run3_MTE!Z394</f>
        <v>7.8055330013074666</v>
      </c>
      <c r="V96" s="701"/>
      <c r="W96" s="701"/>
    </row>
    <row r="97" spans="1:23" x14ac:dyDescent="0.25">
      <c r="A97" s="701" t="s">
        <v>497</v>
      </c>
      <c r="B97" s="701"/>
      <c r="C97" s="717" t="s">
        <v>349</v>
      </c>
      <c r="D97" s="711">
        <f>Bilans_E_AMS_Kyoto_run3_MTE!H395</f>
        <v>0</v>
      </c>
      <c r="E97" s="711">
        <f>Bilans_E_AMS_Kyoto_run3_MTE!I395</f>
        <v>0</v>
      </c>
      <c r="F97" s="711">
        <f>Bilans_E_AMS_Kyoto_run3_MTE!J395</f>
        <v>0</v>
      </c>
      <c r="G97" s="711">
        <f>Bilans_E_AMS_Kyoto_run3_MTE!K395</f>
        <v>0</v>
      </c>
      <c r="H97" s="711">
        <f>Bilans_E_AMS_Kyoto_run3_MTE!L395</f>
        <v>0</v>
      </c>
      <c r="I97" s="711">
        <f>Bilans_E_AMS_Kyoto_run3_MTE!M395</f>
        <v>0</v>
      </c>
      <c r="J97" s="711">
        <f>Bilans_E_AMS_Kyoto_run3_MTE!N395</f>
        <v>0</v>
      </c>
      <c r="K97" s="711">
        <f>Bilans_E_AMS_Kyoto_run3_MTE!O395</f>
        <v>0</v>
      </c>
      <c r="L97" s="711">
        <f>Bilans_E_AMS_Kyoto_run3_MTE!P395</f>
        <v>110.70220449796281</v>
      </c>
      <c r="M97" s="711">
        <f>Bilans_E_AMS_Kyoto_run3_MTE!Q395</f>
        <v>11.288363237424081</v>
      </c>
      <c r="N97" s="711">
        <f>Bilans_E_AMS_Kyoto_run3_MTE!R395</f>
        <v>0</v>
      </c>
      <c r="O97" s="711">
        <f>Bilans_E_AMS_Kyoto_run3_MTE!S395</f>
        <v>-61.07757335974334</v>
      </c>
      <c r="P97" s="711">
        <f>Bilans_E_AMS_Kyoto_run3_MTE!T395+Bilans_E_AMS_Kyoto_run3_MTE!U395</f>
        <v>0</v>
      </c>
      <c r="Q97" s="711">
        <f>Bilans_E_AMS_Kyoto_run3_MTE!V395</f>
        <v>0</v>
      </c>
      <c r="R97" s="711">
        <f>Bilans_E_AMS_Kyoto_run3_MTE!W395</f>
        <v>0</v>
      </c>
      <c r="S97" s="711">
        <f>Bilans_E_AMS_Kyoto_run3_MTE!X395</f>
        <v>0</v>
      </c>
      <c r="T97" s="711">
        <f>Bilans_E_AMS_Kyoto_run3_MTE!Y395</f>
        <v>0</v>
      </c>
      <c r="U97" s="711">
        <f>Bilans_E_AMS_Kyoto_run3_MTE!Z395</f>
        <v>60.912994375643549</v>
      </c>
      <c r="V97" s="701"/>
      <c r="W97" s="701"/>
    </row>
    <row r="98" spans="1:23" x14ac:dyDescent="0.25">
      <c r="A98" s="701" t="s">
        <v>498</v>
      </c>
      <c r="B98" s="701"/>
      <c r="C98" s="717" t="s">
        <v>350</v>
      </c>
      <c r="D98" s="711">
        <f>Bilans_E_AMS_Kyoto_run3_MTE!H396</f>
        <v>0</v>
      </c>
      <c r="E98" s="711">
        <f>Bilans_E_AMS_Kyoto_run3_MTE!I396</f>
        <v>0</v>
      </c>
      <c r="F98" s="711">
        <f>Bilans_E_AMS_Kyoto_run3_MTE!J396</f>
        <v>0</v>
      </c>
      <c r="G98" s="711">
        <f>Bilans_E_AMS_Kyoto_run3_MTE!K396</f>
        <v>0</v>
      </c>
      <c r="H98" s="711">
        <f>Bilans_E_AMS_Kyoto_run3_MTE!L396</f>
        <v>0</v>
      </c>
      <c r="I98" s="711">
        <f>Bilans_E_AMS_Kyoto_run3_MTE!M396</f>
        <v>-0.83753949174200382</v>
      </c>
      <c r="J98" s="711">
        <f>Bilans_E_AMS_Kyoto_run3_MTE!N396</f>
        <v>0</v>
      </c>
      <c r="K98" s="711">
        <f>Bilans_E_AMS_Kyoto_run3_MTE!O396</f>
        <v>0</v>
      </c>
      <c r="L98" s="711">
        <f>Bilans_E_AMS_Kyoto_run3_MTE!P396</f>
        <v>0</v>
      </c>
      <c r="M98" s="711">
        <f>Bilans_E_AMS_Kyoto_run3_MTE!Q396</f>
        <v>0</v>
      </c>
      <c r="N98" s="711">
        <f>Bilans_E_AMS_Kyoto_run3_MTE!R396</f>
        <v>0</v>
      </c>
      <c r="O98" s="711">
        <f>Bilans_E_AMS_Kyoto_run3_MTE!S396</f>
        <v>0</v>
      </c>
      <c r="P98" s="711">
        <f>Bilans_E_AMS_Kyoto_run3_MTE!T396+Bilans_E_AMS_Kyoto_run3_MTE!U396</f>
        <v>0</v>
      </c>
      <c r="Q98" s="711">
        <f>Bilans_E_AMS_Kyoto_run3_MTE!V396</f>
        <v>0</v>
      </c>
      <c r="R98" s="711">
        <f>Bilans_E_AMS_Kyoto_run3_MTE!W396</f>
        <v>0</v>
      </c>
      <c r="S98" s="711">
        <f>Bilans_E_AMS_Kyoto_run3_MTE!X396</f>
        <v>0</v>
      </c>
      <c r="T98" s="711">
        <f>Bilans_E_AMS_Kyoto_run3_MTE!Y396</f>
        <v>1.1632492940861165</v>
      </c>
      <c r="U98" s="711">
        <f>Bilans_E_AMS_Kyoto_run3_MTE!Z396</f>
        <v>0.32570980234411273</v>
      </c>
      <c r="V98" s="701"/>
      <c r="W98" s="701"/>
    </row>
    <row r="99" spans="1:23" x14ac:dyDescent="0.25">
      <c r="A99" s="701" t="s">
        <v>499</v>
      </c>
      <c r="B99" s="701"/>
      <c r="C99" s="717" t="s">
        <v>72</v>
      </c>
      <c r="D99" s="711">
        <f>Bilans_E_AMS_Kyoto_run3_MTE!H397</f>
        <v>0</v>
      </c>
      <c r="E99" s="711">
        <f>Bilans_E_AMS_Kyoto_run3_MTE!I397</f>
        <v>272.12802990456925</v>
      </c>
      <c r="F99" s="711">
        <f>Bilans_E_AMS_Kyoto_run3_MTE!J397</f>
        <v>-269.40674960552354</v>
      </c>
      <c r="G99" s="711">
        <f>Bilans_E_AMS_Kyoto_run3_MTE!K397</f>
        <v>0</v>
      </c>
      <c r="H99" s="711">
        <f>Bilans_E_AMS_Kyoto_run3_MTE!L397</f>
        <v>0</v>
      </c>
      <c r="I99" s="711">
        <f>Bilans_E_AMS_Kyoto_run3_MTE!M397</f>
        <v>0</v>
      </c>
      <c r="J99" s="711">
        <f>Bilans_E_AMS_Kyoto_run3_MTE!N397</f>
        <v>0</v>
      </c>
      <c r="K99" s="711">
        <f>Bilans_E_AMS_Kyoto_run3_MTE!O397</f>
        <v>0</v>
      </c>
      <c r="L99" s="711">
        <f>Bilans_E_AMS_Kyoto_run3_MTE!P397</f>
        <v>0</v>
      </c>
      <c r="M99" s="711">
        <f>Bilans_E_AMS_Kyoto_run3_MTE!Q397</f>
        <v>0</v>
      </c>
      <c r="N99" s="711">
        <f>Bilans_E_AMS_Kyoto_run3_MTE!R397</f>
        <v>0</v>
      </c>
      <c r="O99" s="711">
        <f>Bilans_E_AMS_Kyoto_run3_MTE!S397</f>
        <v>0</v>
      </c>
      <c r="P99" s="711">
        <f>Bilans_E_AMS_Kyoto_run3_MTE!T397+Bilans_E_AMS_Kyoto_run3_MTE!U397</f>
        <v>0</v>
      </c>
      <c r="Q99" s="711">
        <f>Bilans_E_AMS_Kyoto_run3_MTE!V397</f>
        <v>0</v>
      </c>
      <c r="R99" s="711">
        <f>Bilans_E_AMS_Kyoto_run3_MTE!W397</f>
        <v>0</v>
      </c>
      <c r="S99" s="711">
        <f>Bilans_E_AMS_Kyoto_run3_MTE!X397</f>
        <v>0</v>
      </c>
      <c r="T99" s="711">
        <f>Bilans_E_AMS_Kyoto_run3_MTE!Y397</f>
        <v>0</v>
      </c>
      <c r="U99" s="711">
        <f>Bilans_E_AMS_Kyoto_run3_MTE!Z397</f>
        <v>2.7212802990457021</v>
      </c>
      <c r="V99" s="701"/>
      <c r="W99" s="701"/>
    </row>
    <row r="100" spans="1:23" x14ac:dyDescent="0.25">
      <c r="A100" s="701" t="s">
        <v>500</v>
      </c>
      <c r="B100" s="701"/>
      <c r="C100" s="717" t="s">
        <v>351</v>
      </c>
      <c r="D100" s="711">
        <f>Bilans_E_AMS_Kyoto_run3_MTE!H398</f>
        <v>0</v>
      </c>
      <c r="E100" s="711">
        <f>Bilans_E_AMS_Kyoto_run3_MTE!I398</f>
        <v>0</v>
      </c>
      <c r="F100" s="711">
        <f>Bilans_E_AMS_Kyoto_run3_MTE!J398</f>
        <v>0</v>
      </c>
      <c r="G100" s="711">
        <f>Bilans_E_AMS_Kyoto_run3_MTE!K398</f>
        <v>0</v>
      </c>
      <c r="H100" s="711">
        <f>Bilans_E_AMS_Kyoto_run3_MTE!L398</f>
        <v>0</v>
      </c>
      <c r="I100" s="711">
        <f>Bilans_E_AMS_Kyoto_run3_MTE!M398</f>
        <v>0</v>
      </c>
      <c r="J100" s="711">
        <f>Bilans_E_AMS_Kyoto_run3_MTE!N398</f>
        <v>0</v>
      </c>
      <c r="K100" s="711">
        <f>Bilans_E_AMS_Kyoto_run3_MTE!O398</f>
        <v>0</v>
      </c>
      <c r="L100" s="711">
        <f>Bilans_E_AMS_Kyoto_run3_MTE!P398</f>
        <v>88.639921652360655</v>
      </c>
      <c r="M100" s="711">
        <f>Bilans_E_AMS_Kyoto_run3_MTE!Q398</f>
        <v>7.2727272727272725</v>
      </c>
      <c r="N100" s="711">
        <f>Bilans_E_AMS_Kyoto_run3_MTE!R398</f>
        <v>-53.457042752935592</v>
      </c>
      <c r="O100" s="711">
        <f>Bilans_E_AMS_Kyoto_run3_MTE!S398</f>
        <v>0</v>
      </c>
      <c r="P100" s="711">
        <f>Bilans_E_AMS_Kyoto_run3_MTE!T398+Bilans_E_AMS_Kyoto_run3_MTE!U398</f>
        <v>0</v>
      </c>
      <c r="Q100" s="711">
        <f>Bilans_E_AMS_Kyoto_run3_MTE!V398</f>
        <v>0</v>
      </c>
      <c r="R100" s="711">
        <f>Bilans_E_AMS_Kyoto_run3_MTE!W398</f>
        <v>0</v>
      </c>
      <c r="S100" s="711">
        <f>Bilans_E_AMS_Kyoto_run3_MTE!X398</f>
        <v>0</v>
      </c>
      <c r="T100" s="711">
        <f>Bilans_E_AMS_Kyoto_run3_MTE!Y398</f>
        <v>0</v>
      </c>
      <c r="U100" s="711">
        <f>Bilans_E_AMS_Kyoto_run3_MTE!Z398</f>
        <v>42.455606172152329</v>
      </c>
      <c r="V100" s="701"/>
      <c r="W100" s="701"/>
    </row>
    <row r="101" spans="1:23" x14ac:dyDescent="0.25">
      <c r="A101" s="701" t="s">
        <v>501</v>
      </c>
      <c r="B101" s="701"/>
      <c r="C101" s="717" t="s">
        <v>352</v>
      </c>
      <c r="D101" s="711">
        <f>Bilans_E_AMS_Kyoto_run3_MTE!H399</f>
        <v>0</v>
      </c>
      <c r="E101" s="711">
        <f>Bilans_E_AMS_Kyoto_run3_MTE!I399</f>
        <v>0</v>
      </c>
      <c r="F101" s="711">
        <f>Bilans_E_AMS_Kyoto_run3_MTE!J399</f>
        <v>0</v>
      </c>
      <c r="G101" s="711">
        <f>Bilans_E_AMS_Kyoto_run3_MTE!K399</f>
        <v>-4.3840446509759525</v>
      </c>
      <c r="H101" s="711">
        <f>Bilans_E_AMS_Kyoto_run3_MTE!L399</f>
        <v>0</v>
      </c>
      <c r="I101" s="711">
        <f>Bilans_E_AMS_Kyoto_run3_MTE!M399</f>
        <v>0</v>
      </c>
      <c r="J101" s="711">
        <f>Bilans_E_AMS_Kyoto_run3_MTE!N399</f>
        <v>0</v>
      </c>
      <c r="K101" s="711">
        <f>Bilans_E_AMS_Kyoto_run3_MTE!O399</f>
        <v>0</v>
      </c>
      <c r="L101" s="711">
        <f>Bilans_E_AMS_Kyoto_run3_MTE!P399</f>
        <v>0</v>
      </c>
      <c r="M101" s="711">
        <f>Bilans_E_AMS_Kyoto_run3_MTE!Q399</f>
        <v>0</v>
      </c>
      <c r="N101" s="711">
        <f>Bilans_E_AMS_Kyoto_run3_MTE!R399</f>
        <v>0</v>
      </c>
      <c r="O101" s="711">
        <f>Bilans_E_AMS_Kyoto_run3_MTE!S399</f>
        <v>0</v>
      </c>
      <c r="P101" s="711">
        <f>Bilans_E_AMS_Kyoto_run3_MTE!T399+Bilans_E_AMS_Kyoto_run3_MTE!U399</f>
        <v>0</v>
      </c>
      <c r="Q101" s="711">
        <f>Bilans_E_AMS_Kyoto_run3_MTE!V399</f>
        <v>0</v>
      </c>
      <c r="R101" s="711">
        <f>Bilans_E_AMS_Kyoto_run3_MTE!W399</f>
        <v>0</v>
      </c>
      <c r="S101" s="711">
        <f>Bilans_E_AMS_Kyoto_run3_MTE!X399</f>
        <v>0</v>
      </c>
      <c r="T101" s="711">
        <f>Bilans_E_AMS_Kyoto_run3_MTE!Y399</f>
        <v>7.2149491160735479</v>
      </c>
      <c r="U101" s="711">
        <f>Bilans_E_AMS_Kyoto_run3_MTE!Z399</f>
        <v>2.8309044650975954</v>
      </c>
      <c r="V101" s="701"/>
      <c r="W101" s="701"/>
    </row>
    <row r="102" spans="1:23" x14ac:dyDescent="0.25">
      <c r="A102" s="701" t="s">
        <v>502</v>
      </c>
      <c r="B102" s="701"/>
      <c r="C102" s="717" t="s">
        <v>73</v>
      </c>
      <c r="D102" s="711">
        <f>Bilans_E_AMS_Kyoto_run3_MTE!H400</f>
        <v>0</v>
      </c>
      <c r="E102" s="711">
        <f>Bilans_E_AMS_Kyoto_run3_MTE!I400</f>
        <v>0</v>
      </c>
      <c r="F102" s="711">
        <f>Bilans_E_AMS_Kyoto_run3_MTE!J400</f>
        <v>0</v>
      </c>
      <c r="G102" s="711">
        <f>Bilans_E_AMS_Kyoto_run3_MTE!K400</f>
        <v>0</v>
      </c>
      <c r="H102" s="711">
        <f>Bilans_E_AMS_Kyoto_run3_MTE!L400</f>
        <v>0</v>
      </c>
      <c r="I102" s="711">
        <f>Bilans_E_AMS_Kyoto_run3_MTE!M400</f>
        <v>0</v>
      </c>
      <c r="J102" s="711">
        <f>Bilans_E_AMS_Kyoto_run3_MTE!N400</f>
        <v>0</v>
      </c>
      <c r="K102" s="711">
        <f>Bilans_E_AMS_Kyoto_run3_MTE!O400</f>
        <v>0</v>
      </c>
      <c r="L102" s="711">
        <f>Bilans_E_AMS_Kyoto_run3_MTE!P400</f>
        <v>0</v>
      </c>
      <c r="M102" s="711">
        <f>Bilans_E_AMS_Kyoto_run3_MTE!Q400</f>
        <v>0</v>
      </c>
      <c r="N102" s="711">
        <f>Bilans_E_AMS_Kyoto_run3_MTE!R400</f>
        <v>0</v>
      </c>
      <c r="O102" s="711">
        <f>Bilans_E_AMS_Kyoto_run3_MTE!S400</f>
        <v>0</v>
      </c>
      <c r="P102" s="711">
        <f>Bilans_E_AMS_Kyoto_run3_MTE!T400+Bilans_E_AMS_Kyoto_run3_MTE!U400</f>
        <v>0</v>
      </c>
      <c r="Q102" s="711">
        <f>Bilans_E_AMS_Kyoto_run3_MTE!V400</f>
        <v>0</v>
      </c>
      <c r="R102" s="711">
        <f>Bilans_E_AMS_Kyoto_run3_MTE!W400</f>
        <v>40.8329668197633</v>
      </c>
      <c r="S102" s="711">
        <f>Bilans_E_AMS_Kyoto_run3_MTE!X400</f>
        <v>0</v>
      </c>
      <c r="T102" s="711">
        <f>Bilans_E_AMS_Kyoto_run3_MTE!Y400</f>
        <v>-27.684751503799522</v>
      </c>
      <c r="U102" s="711">
        <f>Bilans_E_AMS_Kyoto_run3_MTE!Z400</f>
        <v>13.148215315963778</v>
      </c>
      <c r="V102" s="701"/>
      <c r="W102" s="701"/>
    </row>
    <row r="103" spans="1:23" x14ac:dyDescent="0.25">
      <c r="A103" s="701" t="s">
        <v>503</v>
      </c>
      <c r="B103" s="701"/>
      <c r="C103" s="717" t="s">
        <v>353</v>
      </c>
      <c r="D103" s="711">
        <f>Bilans_E_AMS_Kyoto_run3_MTE!H401</f>
        <v>8.7196264453124996</v>
      </c>
      <c r="E103" s="711">
        <f>Bilans_E_AMS_Kyoto_run3_MTE!I401</f>
        <v>-9.5320685428382639</v>
      </c>
      <c r="F103" s="711">
        <f>Bilans_E_AMS_Kyoto_run3_MTE!J401</f>
        <v>12.621512149777095</v>
      </c>
      <c r="G103" s="711">
        <f>Bilans_E_AMS_Kyoto_run3_MTE!K401</f>
        <v>0</v>
      </c>
      <c r="H103" s="711">
        <f>Bilans_E_AMS_Kyoto_run3_MTE!L401</f>
        <v>0</v>
      </c>
      <c r="I103" s="711">
        <f>Bilans_E_AMS_Kyoto_run3_MTE!M401</f>
        <v>0</v>
      </c>
      <c r="J103" s="711">
        <f>Bilans_E_AMS_Kyoto_run3_MTE!N401</f>
        <v>0</v>
      </c>
      <c r="K103" s="711">
        <f>Bilans_E_AMS_Kyoto_run3_MTE!O401</f>
        <v>0</v>
      </c>
      <c r="L103" s="711">
        <f>Bilans_E_AMS_Kyoto_run3_MTE!P401</f>
        <v>0</v>
      </c>
      <c r="M103" s="711">
        <f>Bilans_E_AMS_Kyoto_run3_MTE!Q401</f>
        <v>0</v>
      </c>
      <c r="N103" s="711">
        <f>Bilans_E_AMS_Kyoto_run3_MTE!R401</f>
        <v>0</v>
      </c>
      <c r="O103" s="711">
        <f>Bilans_E_AMS_Kyoto_run3_MTE!S401</f>
        <v>0</v>
      </c>
      <c r="P103" s="711">
        <f>Bilans_E_AMS_Kyoto_run3_MTE!T401+Bilans_E_AMS_Kyoto_run3_MTE!U401</f>
        <v>0</v>
      </c>
      <c r="Q103" s="711">
        <f>Bilans_E_AMS_Kyoto_run3_MTE!V401</f>
        <v>0</v>
      </c>
      <c r="R103" s="711">
        <f>Bilans_E_AMS_Kyoto_run3_MTE!W401</f>
        <v>0</v>
      </c>
      <c r="S103" s="711">
        <f>Bilans_E_AMS_Kyoto_run3_MTE!X401</f>
        <v>0</v>
      </c>
      <c r="T103" s="711">
        <f>Bilans_E_AMS_Kyoto_run3_MTE!Y401</f>
        <v>0</v>
      </c>
      <c r="U103" s="711">
        <f>Bilans_E_AMS_Kyoto_run3_MTE!Z401</f>
        <v>11.809070052251331</v>
      </c>
      <c r="V103" s="701"/>
      <c r="W103" s="701"/>
    </row>
    <row r="104" spans="1:23" x14ac:dyDescent="0.25">
      <c r="A104" s="701" t="s">
        <v>504</v>
      </c>
      <c r="B104" s="701"/>
      <c r="C104" s="717" t="s">
        <v>75</v>
      </c>
      <c r="D104" s="711">
        <f>Bilans_E_AMS_Kyoto_run3_MTE!H402</f>
        <v>3.3909658398437501</v>
      </c>
      <c r="E104" s="711">
        <f>Bilans_E_AMS_Kyoto_run3_MTE!I402</f>
        <v>0</v>
      </c>
      <c r="F104" s="711">
        <f>Bilans_E_AMS_Kyoto_run3_MTE!J402</f>
        <v>9.432796735269573</v>
      </c>
      <c r="G104" s="711">
        <f>Bilans_E_AMS_Kyoto_run3_MTE!K402</f>
        <v>0</v>
      </c>
      <c r="H104" s="711">
        <f>Bilans_E_AMS_Kyoto_run3_MTE!L402</f>
        <v>0</v>
      </c>
      <c r="I104" s="711">
        <f>Bilans_E_AMS_Kyoto_run3_MTE!M402</f>
        <v>0</v>
      </c>
      <c r="J104" s="711">
        <f>Bilans_E_AMS_Kyoto_run3_MTE!N402</f>
        <v>0</v>
      </c>
      <c r="K104" s="711">
        <f>Bilans_E_AMS_Kyoto_run3_MTE!O402</f>
        <v>0</v>
      </c>
      <c r="L104" s="711">
        <f>Bilans_E_AMS_Kyoto_run3_MTE!P402</f>
        <v>0</v>
      </c>
      <c r="M104" s="711">
        <f>Bilans_E_AMS_Kyoto_run3_MTE!Q402</f>
        <v>0</v>
      </c>
      <c r="N104" s="711">
        <f>Bilans_E_AMS_Kyoto_run3_MTE!R402</f>
        <v>0</v>
      </c>
      <c r="O104" s="711">
        <f>Bilans_E_AMS_Kyoto_run3_MTE!S402</f>
        <v>0</v>
      </c>
      <c r="P104" s="711">
        <f>Bilans_E_AMS_Kyoto_run3_MTE!T402+Bilans_E_AMS_Kyoto_run3_MTE!U402</f>
        <v>0</v>
      </c>
      <c r="Q104" s="711">
        <f>Bilans_E_AMS_Kyoto_run3_MTE!V402</f>
        <v>0</v>
      </c>
      <c r="R104" s="711">
        <f>Bilans_E_AMS_Kyoto_run3_MTE!W402</f>
        <v>37.320812200670765</v>
      </c>
      <c r="S104" s="711">
        <f>Bilans_E_AMS_Kyoto_run3_MTE!X402</f>
        <v>0</v>
      </c>
      <c r="T104" s="711">
        <f>Bilans_E_AMS_Kyoto_run3_MTE!Y402</f>
        <v>2.676146999689228</v>
      </c>
      <c r="U104" s="711">
        <f>Bilans_E_AMS_Kyoto_run3_MTE!Z402</f>
        <v>52.820721775473316</v>
      </c>
      <c r="V104" s="701"/>
      <c r="W104" s="701"/>
    </row>
    <row r="105" spans="1:23" x14ac:dyDescent="0.25">
      <c r="A105" s="701" t="s">
        <v>505</v>
      </c>
      <c r="B105" s="701"/>
      <c r="C105" s="717" t="s">
        <v>76</v>
      </c>
      <c r="D105" s="711">
        <f>Bilans_E_AMS_Kyoto_run3_MTE!H403</f>
        <v>0</v>
      </c>
      <c r="E105" s="711">
        <f>Bilans_E_AMS_Kyoto_run3_MTE!I403</f>
        <v>0</v>
      </c>
      <c r="F105" s="711">
        <f>Bilans_E_AMS_Kyoto_run3_MTE!J403</f>
        <v>0</v>
      </c>
      <c r="G105" s="711">
        <f>Bilans_E_AMS_Kyoto_run3_MTE!K403</f>
        <v>0</v>
      </c>
      <c r="H105" s="711">
        <f>Bilans_E_AMS_Kyoto_run3_MTE!L403</f>
        <v>1.5888753550805288</v>
      </c>
      <c r="I105" s="711">
        <f>Bilans_E_AMS_Kyoto_run3_MTE!M403</f>
        <v>0</v>
      </c>
      <c r="J105" s="711">
        <f>Bilans_E_AMS_Kyoto_run3_MTE!N403</f>
        <v>0</v>
      </c>
      <c r="K105" s="711">
        <f>Bilans_E_AMS_Kyoto_run3_MTE!O403</f>
        <v>0</v>
      </c>
      <c r="L105" s="711">
        <f>Bilans_E_AMS_Kyoto_run3_MTE!P403</f>
        <v>0</v>
      </c>
      <c r="M105" s="711">
        <f>Bilans_E_AMS_Kyoto_run3_MTE!Q403</f>
        <v>0</v>
      </c>
      <c r="N105" s="711">
        <f>Bilans_E_AMS_Kyoto_run3_MTE!R403</f>
        <v>0</v>
      </c>
      <c r="O105" s="711">
        <f>Bilans_E_AMS_Kyoto_run3_MTE!S403</f>
        <v>0.74770604944966079</v>
      </c>
      <c r="P105" s="711">
        <f>Bilans_E_AMS_Kyoto_run3_MTE!T403+Bilans_E_AMS_Kyoto_run3_MTE!U403</f>
        <v>0</v>
      </c>
      <c r="Q105" s="711">
        <f>Bilans_E_AMS_Kyoto_run3_MTE!V403</f>
        <v>0</v>
      </c>
      <c r="R105" s="711">
        <f>Bilans_E_AMS_Kyoto_run3_MTE!W403</f>
        <v>53.75602745291291</v>
      </c>
      <c r="S105" s="711">
        <f>Bilans_E_AMS_Kyoto_run3_MTE!X403</f>
        <v>7.0140473976328979</v>
      </c>
      <c r="T105" s="711">
        <f>Bilans_E_AMS_Kyoto_run3_MTE!Y403</f>
        <v>0</v>
      </c>
      <c r="U105" s="711">
        <f>Bilans_E_AMS_Kyoto_run3_MTE!Z403</f>
        <v>63.106656255075997</v>
      </c>
      <c r="V105" s="701"/>
      <c r="W105" s="701"/>
    </row>
    <row r="106" spans="1:23" x14ac:dyDescent="0.25">
      <c r="A106" s="701" t="s">
        <v>506</v>
      </c>
      <c r="B106" s="701"/>
      <c r="C106" s="713" t="s">
        <v>77</v>
      </c>
      <c r="D106" s="714">
        <f>Bilans_E_AMS_Kyoto_run3_MTE!H404</f>
        <v>12.110592285156249</v>
      </c>
      <c r="E106" s="714">
        <f>Bilans_E_AMS_Kyoto_run3_MTE!I404</f>
        <v>262.59596136173099</v>
      </c>
      <c r="F106" s="714">
        <f>Bilans_E_AMS_Kyoto_run3_MTE!J404</f>
        <v>-246.9918626341933</v>
      </c>
      <c r="G106" s="714">
        <f>Bilans_E_AMS_Kyoto_run3_MTE!K404</f>
        <v>-4.3840446509759525</v>
      </c>
      <c r="H106" s="714">
        <f>Bilans_E_AMS_Kyoto_run3_MTE!L404</f>
        <v>26.981887803159271</v>
      </c>
      <c r="I106" s="714">
        <f>Bilans_E_AMS_Kyoto_run3_MTE!M404</f>
        <v>-0.83753949174200382</v>
      </c>
      <c r="J106" s="714">
        <f>Bilans_E_AMS_Kyoto_run3_MTE!N404</f>
        <v>1195.4990290598246</v>
      </c>
      <c r="K106" s="714">
        <f>Bilans_E_AMS_Kyoto_run3_MTE!O404</f>
        <v>352.81639892204078</v>
      </c>
      <c r="L106" s="714">
        <f>Bilans_E_AMS_Kyoto_run3_MTE!P404</f>
        <v>241.01955368819029</v>
      </c>
      <c r="M106" s="714">
        <f>Bilans_E_AMS_Kyoto_run3_MTE!Q404</f>
        <v>40.011167067075426</v>
      </c>
      <c r="N106" s="714">
        <f>Bilans_E_AMS_Kyoto_run3_MTE!R404</f>
        <v>-48.06922655803475</v>
      </c>
      <c r="O106" s="714">
        <f>Bilans_E_AMS_Kyoto_run3_MTE!S404</f>
        <v>-47.014624660559946</v>
      </c>
      <c r="P106" s="714">
        <f>Bilans_E_AMS_Kyoto_run3_MTE!T404+Bilans_E_AMS_Kyoto_run3_MTE!U404</f>
        <v>15.880539172662751</v>
      </c>
      <c r="Q106" s="714">
        <f>Bilans_E_AMS_Kyoto_run3_MTE!V404</f>
        <v>20.100740898344036</v>
      </c>
      <c r="R106" s="714">
        <f>Bilans_E_AMS_Kyoto_run3_MTE!W404</f>
        <v>-638.31752935206157</v>
      </c>
      <c r="S106" s="714">
        <f>Bilans_E_AMS_Kyoto_run3_MTE!X404</f>
        <v>-83.441428186519019</v>
      </c>
      <c r="T106" s="714">
        <f>Bilans_E_AMS_Kyoto_run3_MTE!Y404</f>
        <v>-16.630406093950629</v>
      </c>
      <c r="U106" s="714">
        <f>Bilans_E_AMS_Kyoto_run3_MTE!Z404</f>
        <v>1081.3292086301467</v>
      </c>
      <c r="V106" s="701"/>
      <c r="W106" s="701"/>
    </row>
    <row r="107" spans="1:23" x14ac:dyDescent="0.25">
      <c r="A107" s="701"/>
      <c r="B107" s="701"/>
      <c r="C107" s="715"/>
      <c r="D107" s="716"/>
      <c r="E107" s="716"/>
      <c r="F107" s="716"/>
      <c r="G107" s="716"/>
      <c r="H107" s="716"/>
      <c r="I107" s="716"/>
      <c r="J107" s="716"/>
      <c r="K107" s="716"/>
      <c r="L107" s="716"/>
      <c r="M107" s="716"/>
      <c r="N107" s="716"/>
      <c r="O107" s="716"/>
      <c r="P107" s="716">
        <f>Bilans_E_AMS_Kyoto_run3_MTE!T405+Bilans_E_AMS_Kyoto_run3_MTE!U405</f>
        <v>0</v>
      </c>
      <c r="Q107" s="716"/>
      <c r="R107" s="716"/>
      <c r="S107" s="716"/>
      <c r="T107" s="716"/>
      <c r="U107" s="716"/>
      <c r="V107" s="701"/>
      <c r="W107" s="701"/>
    </row>
    <row r="108" spans="1:23" x14ac:dyDescent="0.25">
      <c r="A108" s="701" t="s">
        <v>507</v>
      </c>
      <c r="B108" s="701"/>
      <c r="C108" s="717" t="s">
        <v>78</v>
      </c>
      <c r="D108" s="711">
        <f>Bilans_E_AMS_Kyoto_run3_MTE!H406</f>
        <v>0.420473388671875</v>
      </c>
      <c r="E108" s="711">
        <f>Bilans_E_AMS_Kyoto_run3_MTE!I406</f>
        <v>0</v>
      </c>
      <c r="F108" s="711">
        <f>Bilans_E_AMS_Kyoto_run3_MTE!J406</f>
        <v>4.5652166127933009</v>
      </c>
      <c r="G108" s="711">
        <f>Bilans_E_AMS_Kyoto_run3_MTE!K406</f>
        <v>0</v>
      </c>
      <c r="H108" s="711">
        <f>Bilans_E_AMS_Kyoto_run3_MTE!L406</f>
        <v>44.193879337952673</v>
      </c>
      <c r="I108" s="711">
        <f>Bilans_E_AMS_Kyoto_run3_MTE!M406</f>
        <v>0</v>
      </c>
      <c r="J108" s="711">
        <f>Bilans_E_AMS_Kyoto_run3_MTE!N406</f>
        <v>0</v>
      </c>
      <c r="K108" s="711">
        <f>Bilans_E_AMS_Kyoto_run3_MTE!O406</f>
        <v>0</v>
      </c>
      <c r="L108" s="711">
        <f>Bilans_E_AMS_Kyoto_run3_MTE!P406</f>
        <v>37.859111409249969</v>
      </c>
      <c r="M108" s="711">
        <f>Bilans_E_AMS_Kyoto_run3_MTE!Q406</f>
        <v>9.091644549053445</v>
      </c>
      <c r="N108" s="711">
        <f>Bilans_E_AMS_Kyoto_run3_MTE!R406</f>
        <v>0.79775456348402363</v>
      </c>
      <c r="O108" s="711">
        <f>Bilans_E_AMS_Kyoto_run3_MTE!S406</f>
        <v>20.833903688960643</v>
      </c>
      <c r="P108" s="711">
        <f>Bilans_E_AMS_Kyoto_run3_MTE!T406+Bilans_E_AMS_Kyoto_run3_MTE!U406</f>
        <v>9.7897363281250005</v>
      </c>
      <c r="Q108" s="711">
        <f>Bilans_E_AMS_Kyoto_run3_MTE!V406</f>
        <v>7.4990210834655101E-4</v>
      </c>
      <c r="R108" s="711">
        <f>Bilans_E_AMS_Kyoto_run3_MTE!W406</f>
        <v>154.61632550799115</v>
      </c>
      <c r="S108" s="711">
        <f>Bilans_E_AMS_Kyoto_run3_MTE!X406</f>
        <v>19.58585971983296</v>
      </c>
      <c r="T108" s="711">
        <f>Bilans_E_AMS_Kyoto_run3_MTE!Y406</f>
        <v>8.1097109374999992</v>
      </c>
      <c r="U108" s="711">
        <f>Bilans_E_AMS_Kyoto_run3_MTE!Z406</f>
        <v>309.86436594572336</v>
      </c>
      <c r="V108" s="701"/>
      <c r="W108" s="701"/>
    </row>
    <row r="109" spans="1:23" x14ac:dyDescent="0.25">
      <c r="A109" s="701" t="s">
        <v>508</v>
      </c>
      <c r="B109" s="701"/>
      <c r="C109" s="717" t="s">
        <v>79</v>
      </c>
      <c r="D109" s="711">
        <f>Bilans_E_AMS_Kyoto_run3_MTE!H407</f>
        <v>0</v>
      </c>
      <c r="E109" s="711">
        <f>Bilans_E_AMS_Kyoto_run3_MTE!I407</f>
        <v>0</v>
      </c>
      <c r="F109" s="711">
        <f>Bilans_E_AMS_Kyoto_run3_MTE!J407</f>
        <v>145.74847122117117</v>
      </c>
      <c r="G109" s="711">
        <f>Bilans_E_AMS_Kyoto_run3_MTE!K407</f>
        <v>0.6</v>
      </c>
      <c r="H109" s="711">
        <f>Bilans_E_AMS_Kyoto_run3_MTE!L407</f>
        <v>5.158710288451207</v>
      </c>
      <c r="I109" s="711">
        <f>Bilans_E_AMS_Kyoto_run3_MTE!M407</f>
        <v>0</v>
      </c>
      <c r="J109" s="711">
        <f>Bilans_E_AMS_Kyoto_run3_MTE!N407</f>
        <v>0</v>
      </c>
      <c r="K109" s="711">
        <f>Bilans_E_AMS_Kyoto_run3_MTE!O407</f>
        <v>0</v>
      </c>
      <c r="L109" s="711">
        <f>Bilans_E_AMS_Kyoto_run3_MTE!P407</f>
        <v>0</v>
      </c>
      <c r="M109" s="711">
        <f>Bilans_E_AMS_Kyoto_run3_MTE!Q407</f>
        <v>0</v>
      </c>
      <c r="N109" s="711">
        <f>Bilans_E_AMS_Kyoto_run3_MTE!R407</f>
        <v>37.983450784080269</v>
      </c>
      <c r="O109" s="711">
        <f>Bilans_E_AMS_Kyoto_run3_MTE!S407</f>
        <v>2.4276283710358628</v>
      </c>
      <c r="P109" s="711">
        <f>Bilans_E_AMS_Kyoto_run3_MTE!T407+Bilans_E_AMS_Kyoto_run3_MTE!U407</f>
        <v>0</v>
      </c>
      <c r="Q109" s="711">
        <f>Bilans_E_AMS_Kyoto_run3_MTE!V407</f>
        <v>0</v>
      </c>
      <c r="R109" s="711">
        <f>Bilans_E_AMS_Kyoto_run3_MTE!W407</f>
        <v>85.093782574296696</v>
      </c>
      <c r="S109" s="711">
        <f>Bilans_E_AMS_Kyoto_run3_MTE!X407</f>
        <v>0</v>
      </c>
      <c r="T109" s="711">
        <f>Bilans_E_AMS_Kyoto_run3_MTE!Y407</f>
        <v>3.6734052555319421</v>
      </c>
      <c r="U109" s="711">
        <f>Bilans_E_AMS_Kyoto_run3_MTE!Z407</f>
        <v>280.68544849456714</v>
      </c>
      <c r="V109" s="701"/>
      <c r="W109" s="701"/>
    </row>
    <row r="110" spans="1:23" x14ac:dyDescent="0.25">
      <c r="A110" s="701" t="s">
        <v>509</v>
      </c>
      <c r="B110" s="701"/>
      <c r="C110" s="717" t="s">
        <v>80</v>
      </c>
      <c r="D110" s="711">
        <f>Bilans_E_AMS_Kyoto_run3_MTE!H408</f>
        <v>0</v>
      </c>
      <c r="E110" s="711">
        <f>Bilans_E_AMS_Kyoto_run3_MTE!I408</f>
        <v>0</v>
      </c>
      <c r="F110" s="711">
        <f>Bilans_E_AMS_Kyoto_run3_MTE!J408</f>
        <v>0.67200053608066723</v>
      </c>
      <c r="G110" s="711">
        <f>Bilans_E_AMS_Kyoto_run3_MTE!K408</f>
        <v>0</v>
      </c>
      <c r="H110" s="711">
        <f>Bilans_E_AMS_Kyoto_run3_MTE!L408</f>
        <v>33.793440313703563</v>
      </c>
      <c r="I110" s="711">
        <f>Bilans_E_AMS_Kyoto_run3_MTE!M408</f>
        <v>0</v>
      </c>
      <c r="J110" s="711">
        <f>Bilans_E_AMS_Kyoto_run3_MTE!N408</f>
        <v>0</v>
      </c>
      <c r="K110" s="711">
        <f>Bilans_E_AMS_Kyoto_run3_MTE!O408</f>
        <v>0</v>
      </c>
      <c r="L110" s="711">
        <f>Bilans_E_AMS_Kyoto_run3_MTE!P408</f>
        <v>46.869025063770188</v>
      </c>
      <c r="M110" s="711">
        <f>Bilans_E_AMS_Kyoto_run3_MTE!Q408</f>
        <v>0</v>
      </c>
      <c r="N110" s="711">
        <f>Bilans_E_AMS_Kyoto_run3_MTE!R408</f>
        <v>0</v>
      </c>
      <c r="O110" s="711">
        <f>Bilans_E_AMS_Kyoto_run3_MTE!S408</f>
        <v>15.902795441742857</v>
      </c>
      <c r="P110" s="711">
        <f>Bilans_E_AMS_Kyoto_run3_MTE!T408+Bilans_E_AMS_Kyoto_run3_MTE!U408</f>
        <v>126.0368711002035</v>
      </c>
      <c r="Q110" s="711">
        <f>Bilans_E_AMS_Kyoto_run3_MTE!V408</f>
        <v>10.28748002838279</v>
      </c>
      <c r="R110" s="711">
        <f>Bilans_E_AMS_Kyoto_run3_MTE!W408</f>
        <v>153.25630739971572</v>
      </c>
      <c r="S110" s="711">
        <f>Bilans_E_AMS_Kyoto_run3_MTE!X408</f>
        <v>40.560183148779373</v>
      </c>
      <c r="T110" s="711">
        <f>Bilans_E_AMS_Kyoto_run3_MTE!Y408</f>
        <v>0</v>
      </c>
      <c r="U110" s="711">
        <f>Bilans_E_AMS_Kyoto_run3_MTE!Z408</f>
        <v>427.3781030323787</v>
      </c>
      <c r="V110" s="701"/>
      <c r="W110" s="701"/>
    </row>
    <row r="111" spans="1:23" x14ac:dyDescent="0.25">
      <c r="A111" s="701" t="s">
        <v>510</v>
      </c>
      <c r="B111" s="701"/>
      <c r="C111" s="717" t="s">
        <v>81</v>
      </c>
      <c r="D111" s="711">
        <f>Bilans_E_AMS_Kyoto_run3_MTE!H409</f>
        <v>0</v>
      </c>
      <c r="E111" s="711">
        <f>Bilans_E_AMS_Kyoto_run3_MTE!I409</f>
        <v>0</v>
      </c>
      <c r="F111" s="711">
        <f>Bilans_E_AMS_Kyoto_run3_MTE!J409</f>
        <v>1.3024591903190665</v>
      </c>
      <c r="G111" s="711">
        <f>Bilans_E_AMS_Kyoto_run3_MTE!K409</f>
        <v>0</v>
      </c>
      <c r="H111" s="711">
        <f>Bilans_E_AMS_Kyoto_run3_MTE!L409</f>
        <v>22.107329443509556</v>
      </c>
      <c r="I111" s="711">
        <f>Bilans_E_AMS_Kyoto_run3_MTE!M409</f>
        <v>0</v>
      </c>
      <c r="J111" s="711">
        <f>Bilans_E_AMS_Kyoto_run3_MTE!N409</f>
        <v>0</v>
      </c>
      <c r="K111" s="711">
        <f>Bilans_E_AMS_Kyoto_run3_MTE!O409</f>
        <v>0</v>
      </c>
      <c r="L111" s="711">
        <f>Bilans_E_AMS_Kyoto_run3_MTE!P409</f>
        <v>0.55939285776182701</v>
      </c>
      <c r="M111" s="711">
        <f>Bilans_E_AMS_Kyoto_run3_MTE!Q409</f>
        <v>0</v>
      </c>
      <c r="N111" s="711">
        <f>Bilans_E_AMS_Kyoto_run3_MTE!R409</f>
        <v>0</v>
      </c>
      <c r="O111" s="711">
        <f>Bilans_E_AMS_Kyoto_run3_MTE!S409</f>
        <v>10.403449149886853</v>
      </c>
      <c r="P111" s="711">
        <f>Bilans_E_AMS_Kyoto_run3_MTE!T409+Bilans_E_AMS_Kyoto_run3_MTE!U409</f>
        <v>48.192635744936815</v>
      </c>
      <c r="Q111" s="711">
        <f>Bilans_E_AMS_Kyoto_run3_MTE!V409</f>
        <v>9.224237582113501</v>
      </c>
      <c r="R111" s="711">
        <f>Bilans_E_AMS_Kyoto_run3_MTE!W409</f>
        <v>121.55538254836378</v>
      </c>
      <c r="S111" s="711">
        <f>Bilans_E_AMS_Kyoto_run3_MTE!X409</f>
        <v>23.29535389238076</v>
      </c>
      <c r="T111" s="711">
        <f>Bilans_E_AMS_Kyoto_run3_MTE!Y409</f>
        <v>0</v>
      </c>
      <c r="U111" s="711">
        <f>Bilans_E_AMS_Kyoto_run3_MTE!Z409</f>
        <v>236.64024040927217</v>
      </c>
      <c r="V111" s="701"/>
      <c r="W111" s="701"/>
    </row>
    <row r="112" spans="1:23" x14ac:dyDescent="0.25">
      <c r="A112" s="701" t="s">
        <v>511</v>
      </c>
      <c r="B112" s="701"/>
      <c r="C112" s="717" t="s">
        <v>82</v>
      </c>
      <c r="D112" s="711">
        <f>Bilans_E_AMS_Kyoto_run3_MTE!H410</f>
        <v>0</v>
      </c>
      <c r="E112" s="711">
        <f>Bilans_E_AMS_Kyoto_run3_MTE!I410</f>
        <v>0</v>
      </c>
      <c r="F112" s="711">
        <f>Bilans_E_AMS_Kyoto_run3_MTE!J410</f>
        <v>17.072371941732264</v>
      </c>
      <c r="G112" s="711">
        <f>Bilans_E_AMS_Kyoto_run3_MTE!K410</f>
        <v>0</v>
      </c>
      <c r="H112" s="711">
        <f>Bilans_E_AMS_Kyoto_run3_MTE!L410</f>
        <v>0.9182073287540522</v>
      </c>
      <c r="I112" s="711">
        <f>Bilans_E_AMS_Kyoto_run3_MTE!M410</f>
        <v>0</v>
      </c>
      <c r="J112" s="711">
        <f>Bilans_E_AMS_Kyoto_run3_MTE!N410</f>
        <v>0</v>
      </c>
      <c r="K112" s="711">
        <f>Bilans_E_AMS_Kyoto_run3_MTE!O410</f>
        <v>0</v>
      </c>
      <c r="L112" s="711">
        <f>Bilans_E_AMS_Kyoto_run3_MTE!P410</f>
        <v>14.623275458181073</v>
      </c>
      <c r="M112" s="711">
        <f>Bilans_E_AMS_Kyoto_run3_MTE!Q410</f>
        <v>0</v>
      </c>
      <c r="N112" s="711">
        <f>Bilans_E_AMS_Kyoto_run3_MTE!R410</f>
        <v>6.5072970956675134</v>
      </c>
      <c r="O112" s="711">
        <f>Bilans_E_AMS_Kyoto_run3_MTE!S410</f>
        <v>0.43209756647249531</v>
      </c>
      <c r="P112" s="711">
        <f>Bilans_E_AMS_Kyoto_run3_MTE!T410+Bilans_E_AMS_Kyoto_run3_MTE!U410</f>
        <v>0.9</v>
      </c>
      <c r="Q112" s="711">
        <f>Bilans_E_AMS_Kyoto_run3_MTE!V410</f>
        <v>1.1655332190637568</v>
      </c>
      <c r="R112" s="711">
        <f>Bilans_E_AMS_Kyoto_run3_MTE!W410</f>
        <v>9.1593739040126536</v>
      </c>
      <c r="S112" s="711">
        <f>Bilans_E_AMS_Kyoto_run3_MTE!X410</f>
        <v>0</v>
      </c>
      <c r="T112" s="711">
        <f>Bilans_E_AMS_Kyoto_run3_MTE!Y410</f>
        <v>0.38638525521088363</v>
      </c>
      <c r="U112" s="711">
        <f>Bilans_E_AMS_Kyoto_run3_MTE!Z410</f>
        <v>51.164541769094683</v>
      </c>
      <c r="V112" s="701"/>
      <c r="W112" s="701"/>
    </row>
    <row r="113" spans="1:23" x14ac:dyDescent="0.25">
      <c r="A113" s="701" t="s">
        <v>512</v>
      </c>
      <c r="B113" s="701"/>
      <c r="C113" s="717" t="s">
        <v>354</v>
      </c>
      <c r="D113" s="711">
        <f>Bilans_E_AMS_Kyoto_run3_MTE!H411</f>
        <v>0</v>
      </c>
      <c r="E113" s="711">
        <f>Bilans_E_AMS_Kyoto_run3_MTE!I411</f>
        <v>0</v>
      </c>
      <c r="F113" s="711">
        <f>Bilans_E_AMS_Kyoto_run3_MTE!J411</f>
        <v>0</v>
      </c>
      <c r="G113" s="711">
        <f>Bilans_E_AMS_Kyoto_run3_MTE!K411</f>
        <v>0</v>
      </c>
      <c r="H113" s="711">
        <f>Bilans_E_AMS_Kyoto_run3_MTE!L411</f>
        <v>0</v>
      </c>
      <c r="I113" s="711">
        <f>Bilans_E_AMS_Kyoto_run3_MTE!M411</f>
        <v>0</v>
      </c>
      <c r="J113" s="711">
        <f>Bilans_E_AMS_Kyoto_run3_MTE!N411</f>
        <v>0</v>
      </c>
      <c r="K113" s="711">
        <f>Bilans_E_AMS_Kyoto_run3_MTE!O411</f>
        <v>0</v>
      </c>
      <c r="L113" s="711">
        <f>Bilans_E_AMS_Kyoto_run3_MTE!P411</f>
        <v>0</v>
      </c>
      <c r="M113" s="711">
        <f>Bilans_E_AMS_Kyoto_run3_MTE!Q411</f>
        <v>0</v>
      </c>
      <c r="N113" s="711">
        <f>Bilans_E_AMS_Kyoto_run3_MTE!R411</f>
        <v>0</v>
      </c>
      <c r="O113" s="711">
        <f>Bilans_E_AMS_Kyoto_run3_MTE!S411</f>
        <v>0</v>
      </c>
      <c r="P113" s="711">
        <f>Bilans_E_AMS_Kyoto_run3_MTE!T411+Bilans_E_AMS_Kyoto_run3_MTE!U411</f>
        <v>0</v>
      </c>
      <c r="Q113" s="711">
        <f>Bilans_E_AMS_Kyoto_run3_MTE!V411</f>
        <v>0</v>
      </c>
      <c r="R113" s="711">
        <f>Bilans_E_AMS_Kyoto_run3_MTE!W411</f>
        <v>2.16</v>
      </c>
      <c r="S113" s="711">
        <f>Bilans_E_AMS_Kyoto_run3_MTE!X411</f>
        <v>0</v>
      </c>
      <c r="T113" s="711">
        <f>Bilans_E_AMS_Kyoto_run3_MTE!Y411</f>
        <v>0</v>
      </c>
      <c r="U113" s="711">
        <f>Bilans_E_AMS_Kyoto_run3_MTE!Z411</f>
        <v>2.16</v>
      </c>
      <c r="V113" s="701"/>
      <c r="W113" s="701"/>
    </row>
    <row r="114" spans="1:23" x14ac:dyDescent="0.25">
      <c r="A114" s="701" t="s">
        <v>513</v>
      </c>
      <c r="B114" s="701"/>
      <c r="C114" s="713" t="s">
        <v>83</v>
      </c>
      <c r="D114" s="714">
        <f>Bilans_E_AMS_Kyoto_run3_MTE!H412</f>
        <v>0.420473388671875</v>
      </c>
      <c r="E114" s="714">
        <f>Bilans_E_AMS_Kyoto_run3_MTE!I412</f>
        <v>0</v>
      </c>
      <c r="F114" s="714">
        <f>Bilans_E_AMS_Kyoto_run3_MTE!J412</f>
        <v>169.36051950209648</v>
      </c>
      <c r="G114" s="714">
        <f>Bilans_E_AMS_Kyoto_run3_MTE!K412</f>
        <v>0.6</v>
      </c>
      <c r="H114" s="714">
        <f>Bilans_E_AMS_Kyoto_run3_MTE!L412</f>
        <v>106.17156671237105</v>
      </c>
      <c r="I114" s="714">
        <f>Bilans_E_AMS_Kyoto_run3_MTE!M412</f>
        <v>0</v>
      </c>
      <c r="J114" s="714">
        <f>Bilans_E_AMS_Kyoto_run3_MTE!N412</f>
        <v>0</v>
      </c>
      <c r="K114" s="714">
        <f>Bilans_E_AMS_Kyoto_run3_MTE!O412</f>
        <v>0</v>
      </c>
      <c r="L114" s="714">
        <f>Bilans_E_AMS_Kyoto_run3_MTE!P412</f>
        <v>99.910804788963048</v>
      </c>
      <c r="M114" s="714">
        <f>Bilans_E_AMS_Kyoto_run3_MTE!Q412</f>
        <v>9.091644549053445</v>
      </c>
      <c r="N114" s="714">
        <f>Bilans_E_AMS_Kyoto_run3_MTE!R412</f>
        <v>45.288502443231806</v>
      </c>
      <c r="O114" s="714">
        <f>Bilans_E_AMS_Kyoto_run3_MTE!S412</f>
        <v>49.999874218098711</v>
      </c>
      <c r="P114" s="714">
        <f>Bilans_E_AMS_Kyoto_run3_MTE!T412+Bilans_E_AMS_Kyoto_run3_MTE!U412</f>
        <v>184.9192431732653</v>
      </c>
      <c r="Q114" s="714">
        <f>Bilans_E_AMS_Kyoto_run3_MTE!V412</f>
        <v>20.678000731668394</v>
      </c>
      <c r="R114" s="714">
        <f>Bilans_E_AMS_Kyoto_run3_MTE!W412</f>
        <v>525.84117193437999</v>
      </c>
      <c r="S114" s="714">
        <f>Bilans_E_AMS_Kyoto_run3_MTE!X412</f>
        <v>83.441396760993086</v>
      </c>
      <c r="T114" s="714">
        <f>Bilans_E_AMS_Kyoto_run3_MTE!Y412</f>
        <v>12.169501448242825</v>
      </c>
      <c r="U114" s="714">
        <f>Bilans_E_AMS_Kyoto_run3_MTE!Z412</f>
        <v>1307.8926996510361</v>
      </c>
      <c r="V114" s="701"/>
      <c r="W114" s="701"/>
    </row>
    <row r="115" spans="1:23" x14ac:dyDescent="0.25">
      <c r="A115" s="701" t="s">
        <v>514</v>
      </c>
      <c r="B115" s="701"/>
      <c r="C115" s="710" t="s">
        <v>84</v>
      </c>
      <c r="D115" s="711">
        <f>Bilans_E_AMS_Kyoto_run3_MTE!H413</f>
        <v>0</v>
      </c>
      <c r="E115" s="711">
        <f>Bilans_E_AMS_Kyoto_run3_MTE!I413</f>
        <v>0</v>
      </c>
      <c r="F115" s="711">
        <f>Bilans_E_AMS_Kyoto_run3_MTE!J413</f>
        <v>104.56365491334468</v>
      </c>
      <c r="G115" s="711">
        <f>Bilans_E_AMS_Kyoto_run3_MTE!K413</f>
        <v>2.0095155133024498</v>
      </c>
      <c r="H115" s="711">
        <f>Bilans_E_AMS_Kyoto_run3_MTE!L413</f>
        <v>12.7291086591003</v>
      </c>
      <c r="I115" s="711">
        <f>Bilans_E_AMS_Kyoto_run3_MTE!M413</f>
        <v>0</v>
      </c>
      <c r="J115" s="711">
        <f>Bilans_E_AMS_Kyoto_run3_MTE!N413</f>
        <v>0</v>
      </c>
      <c r="K115" s="711">
        <f>Bilans_E_AMS_Kyoto_run3_MTE!O413</f>
        <v>0</v>
      </c>
      <c r="L115" s="711">
        <f>Bilans_E_AMS_Kyoto_run3_MTE!P413</f>
        <v>0.40658520083603628</v>
      </c>
      <c r="M115" s="711">
        <f>Bilans_E_AMS_Kyoto_run3_MTE!Q413</f>
        <v>0</v>
      </c>
      <c r="N115" s="711">
        <f>Bilans_E_AMS_Kyoto_run3_MTE!R413</f>
        <v>3.1675603541212554</v>
      </c>
      <c r="O115" s="711">
        <f>Bilans_E_AMS_Kyoto_run3_MTE!S413</f>
        <v>0</v>
      </c>
      <c r="P115" s="711">
        <f>Bilans_E_AMS_Kyoto_run3_MTE!T413+Bilans_E_AMS_Kyoto_run3_MTE!U413</f>
        <v>0</v>
      </c>
      <c r="Q115" s="711">
        <f>Bilans_E_AMS_Kyoto_run3_MTE!V413</f>
        <v>0</v>
      </c>
      <c r="R115" s="711">
        <f>Bilans_E_AMS_Kyoto_run3_MTE!W413</f>
        <v>0</v>
      </c>
      <c r="S115" s="711">
        <f>Bilans_E_AMS_Kyoto_run3_MTE!X413</f>
        <v>0</v>
      </c>
      <c r="T115" s="711">
        <f>Bilans_E_AMS_Kyoto_run3_MTE!Y413</f>
        <v>1.710568146239696</v>
      </c>
      <c r="U115" s="711">
        <f>Bilans_E_AMS_Kyoto_run3_MTE!Z413</f>
        <v>124.58699278694441</v>
      </c>
      <c r="V115" s="701"/>
      <c r="W115" s="701"/>
    </row>
    <row r="116" spans="1:23" x14ac:dyDescent="0.25">
      <c r="A116" s="701" t="s">
        <v>515</v>
      </c>
      <c r="B116" s="701"/>
      <c r="C116" s="713" t="s">
        <v>85</v>
      </c>
      <c r="D116" s="714">
        <f>Bilans_E_AMS_Kyoto_run3_MTE!H414</f>
        <v>0.420473388671875</v>
      </c>
      <c r="E116" s="714">
        <f>Bilans_E_AMS_Kyoto_run3_MTE!I414</f>
        <v>0</v>
      </c>
      <c r="F116" s="714">
        <f>Bilans_E_AMS_Kyoto_run3_MTE!J414</f>
        <v>273.92417441544114</v>
      </c>
      <c r="G116" s="714">
        <f>Bilans_E_AMS_Kyoto_run3_MTE!K414</f>
        <v>2.6095155133024499</v>
      </c>
      <c r="H116" s="714">
        <f>Bilans_E_AMS_Kyoto_run3_MTE!L414</f>
        <v>118.90067537147135</v>
      </c>
      <c r="I116" s="714">
        <f>Bilans_E_AMS_Kyoto_run3_MTE!M414</f>
        <v>0</v>
      </c>
      <c r="J116" s="714">
        <f>Bilans_E_AMS_Kyoto_run3_MTE!N414</f>
        <v>0</v>
      </c>
      <c r="K116" s="714">
        <f>Bilans_E_AMS_Kyoto_run3_MTE!O414</f>
        <v>0</v>
      </c>
      <c r="L116" s="714">
        <f>Bilans_E_AMS_Kyoto_run3_MTE!P414</f>
        <v>100.31738998979908</v>
      </c>
      <c r="M116" s="714">
        <f>Bilans_E_AMS_Kyoto_run3_MTE!Q414</f>
        <v>9.091644549053445</v>
      </c>
      <c r="N116" s="714">
        <f>Bilans_E_AMS_Kyoto_run3_MTE!R414</f>
        <v>48.456062797353063</v>
      </c>
      <c r="O116" s="714">
        <f>Bilans_E_AMS_Kyoto_run3_MTE!S414</f>
        <v>49.999874218098711</v>
      </c>
      <c r="P116" s="714">
        <f>Bilans_E_AMS_Kyoto_run3_MTE!T414+Bilans_E_AMS_Kyoto_run3_MTE!U414</f>
        <v>184.9192431732653</v>
      </c>
      <c r="Q116" s="714">
        <f>Bilans_E_AMS_Kyoto_run3_MTE!V414</f>
        <v>20.678000731668394</v>
      </c>
      <c r="R116" s="714">
        <f>Bilans_E_AMS_Kyoto_run3_MTE!W414</f>
        <v>525.84117193437999</v>
      </c>
      <c r="S116" s="714">
        <f>Bilans_E_AMS_Kyoto_run3_MTE!X414</f>
        <v>83.441396760993086</v>
      </c>
      <c r="T116" s="714">
        <f>Bilans_E_AMS_Kyoto_run3_MTE!Y414</f>
        <v>13.880069594482521</v>
      </c>
      <c r="U116" s="714">
        <f>Bilans_E_AMS_Kyoto_run3_MTE!Z414</f>
        <v>1432.4796924379805</v>
      </c>
      <c r="V116" s="701"/>
      <c r="W116" s="701"/>
    </row>
    <row r="117" spans="1:23" x14ac:dyDescent="0.25">
      <c r="A117" s="701"/>
      <c r="B117" s="701"/>
      <c r="C117" s="701"/>
      <c r="D117" s="701">
        <f>Bilans_E_AMS_Kyoto_run3_MTE!H415</f>
        <v>0</v>
      </c>
      <c r="E117" s="701">
        <f>Bilans_E_AMS_Kyoto_run3_MTE!I415</f>
        <v>0</v>
      </c>
      <c r="F117" s="701">
        <f>Bilans_E_AMS_Kyoto_run3_MTE!J415</f>
        <v>0</v>
      </c>
      <c r="G117" s="701">
        <f>Bilans_E_AMS_Kyoto_run3_MTE!K415</f>
        <v>0</v>
      </c>
      <c r="H117" s="701">
        <f>Bilans_E_AMS_Kyoto_run3_MTE!L415</f>
        <v>0</v>
      </c>
      <c r="I117" s="701">
        <f>Bilans_E_AMS_Kyoto_run3_MTE!M415</f>
        <v>0</v>
      </c>
      <c r="J117" s="701">
        <f>Bilans_E_AMS_Kyoto_run3_MTE!N415</f>
        <v>0</v>
      </c>
      <c r="K117" s="701">
        <f>Bilans_E_AMS_Kyoto_run3_MTE!O415</f>
        <v>0</v>
      </c>
      <c r="L117" s="701">
        <f>Bilans_E_AMS_Kyoto_run3_MTE!P415</f>
        <v>0</v>
      </c>
      <c r="M117" s="701">
        <f>Bilans_E_AMS_Kyoto_run3_MTE!Q415</f>
        <v>0</v>
      </c>
      <c r="N117" s="701">
        <f>Bilans_E_AMS_Kyoto_run3_MTE!R415</f>
        <v>-5.3290705182007514E-15</v>
      </c>
      <c r="O117" s="701">
        <f>Bilans_E_AMS_Kyoto_run3_MTE!S415</f>
        <v>9.7699626167013776E-15</v>
      </c>
      <c r="P117" s="701">
        <f>Bilans_E_AMS_Kyoto_run3_MTE!T415+Bilans_E_AMS_Kyoto_run3_MTE!U415</f>
        <v>0</v>
      </c>
      <c r="Q117" s="701">
        <f>Bilans_E_AMS_Kyoto_run3_MTE!V415</f>
        <v>0</v>
      </c>
      <c r="R117" s="701">
        <f>Bilans_E_AMS_Kyoto_run3_MTE!W415</f>
        <v>0</v>
      </c>
      <c r="S117" s="701">
        <f>Bilans_E_AMS_Kyoto_run3_MTE!X415</f>
        <v>-3.1425525932604614E-5</v>
      </c>
      <c r="T117" s="701">
        <f>Bilans_E_AMS_Kyoto_run3_MTE!Y415</f>
        <v>0</v>
      </c>
      <c r="U117" s="701">
        <f>Bilans_E_AMS_Kyoto_run3_MTE!Z415</f>
        <v>-3.1425526685779914E-5</v>
      </c>
      <c r="V117" s="701"/>
      <c r="W117" s="701"/>
    </row>
    <row r="118" spans="1:23" x14ac:dyDescent="0.25">
      <c r="A118" s="701"/>
      <c r="B118" s="701"/>
      <c r="C118" s="701"/>
      <c r="D118" s="701"/>
      <c r="E118" s="701"/>
      <c r="F118" s="701"/>
      <c r="G118" s="701"/>
      <c r="H118" s="701"/>
      <c r="I118" s="701"/>
      <c r="J118" s="701"/>
      <c r="K118" s="701"/>
      <c r="L118" s="701"/>
      <c r="M118" s="701"/>
      <c r="N118" s="701"/>
      <c r="O118" s="701"/>
      <c r="P118" s="701"/>
      <c r="Q118" s="701"/>
      <c r="R118" s="701"/>
      <c r="S118" s="701"/>
      <c r="T118" s="701"/>
      <c r="U118" s="701"/>
      <c r="V118" s="701"/>
      <c r="W118" s="701"/>
    </row>
    <row r="119" spans="1:23" x14ac:dyDescent="0.25">
      <c r="A119" s="707"/>
      <c r="B119" s="707"/>
      <c r="C119" s="708" t="s">
        <v>360</v>
      </c>
      <c r="D119" s="707"/>
      <c r="E119" s="707"/>
      <c r="F119" s="707"/>
      <c r="G119" s="707"/>
      <c r="H119" s="707"/>
      <c r="I119" s="707"/>
      <c r="J119" s="707"/>
      <c r="K119" s="707"/>
      <c r="L119" s="707"/>
      <c r="M119" s="707"/>
      <c r="N119" s="707"/>
      <c r="O119" s="707"/>
      <c r="P119" s="707"/>
      <c r="Q119" s="707"/>
      <c r="R119" s="707"/>
      <c r="S119" s="707"/>
      <c r="T119" s="707"/>
      <c r="U119" s="707"/>
      <c r="V119" s="707"/>
      <c r="W119" s="707"/>
    </row>
    <row r="120" spans="1:23" x14ac:dyDescent="0.25">
      <c r="A120" s="701"/>
      <c r="B120" s="701"/>
      <c r="C120" s="701"/>
      <c r="D120" s="701"/>
      <c r="E120" s="701"/>
      <c r="F120" s="701"/>
      <c r="G120" s="701"/>
      <c r="H120" s="701"/>
      <c r="I120" s="701"/>
      <c r="J120" s="701"/>
      <c r="K120" s="701"/>
      <c r="L120" s="701"/>
      <c r="M120" s="701"/>
      <c r="N120" s="701"/>
      <c r="O120" s="701"/>
      <c r="P120" s="701"/>
      <c r="Q120" s="701"/>
      <c r="R120" s="701"/>
      <c r="S120" s="701"/>
      <c r="T120" s="701"/>
      <c r="U120" s="701"/>
      <c r="V120" s="701"/>
      <c r="W120" s="701"/>
    </row>
    <row r="121" spans="1:23" x14ac:dyDescent="0.25">
      <c r="A121" s="701"/>
      <c r="B121" s="701"/>
      <c r="C121" s="780" t="s">
        <v>128</v>
      </c>
      <c r="D121" s="775" t="s">
        <v>42</v>
      </c>
      <c r="E121" s="775" t="s">
        <v>52</v>
      </c>
      <c r="F121" s="775" t="s">
        <v>53</v>
      </c>
      <c r="G121" s="775" t="s">
        <v>482</v>
      </c>
      <c r="H121" s="775" t="s">
        <v>32</v>
      </c>
      <c r="I121" s="775" t="s">
        <v>483</v>
      </c>
      <c r="J121" s="775" t="s">
        <v>20</v>
      </c>
      <c r="K121" s="775" t="s">
        <v>55</v>
      </c>
      <c r="L121" s="777" t="s">
        <v>56</v>
      </c>
      <c r="M121" s="778"/>
      <c r="N121" s="778"/>
      <c r="O121" s="778"/>
      <c r="P121" s="778"/>
      <c r="Q121" s="779"/>
      <c r="R121" s="775" t="s">
        <v>57</v>
      </c>
      <c r="S121" s="775" t="s">
        <v>58</v>
      </c>
      <c r="T121" s="775" t="s">
        <v>31</v>
      </c>
      <c r="U121" s="775" t="s">
        <v>10</v>
      </c>
      <c r="V121" s="701"/>
      <c r="W121" s="701"/>
    </row>
    <row r="122" spans="1:23" ht="67.5" x14ac:dyDescent="0.25">
      <c r="A122" s="701" t="s">
        <v>486</v>
      </c>
      <c r="B122" s="701"/>
      <c r="C122" s="781"/>
      <c r="D122" s="776"/>
      <c r="E122" s="776"/>
      <c r="F122" s="776"/>
      <c r="G122" s="776"/>
      <c r="H122" s="776"/>
      <c r="I122" s="776"/>
      <c r="J122" s="776"/>
      <c r="K122" s="776"/>
      <c r="L122" s="709" t="s">
        <v>335</v>
      </c>
      <c r="M122" s="709" t="s">
        <v>40</v>
      </c>
      <c r="N122" s="709" t="s">
        <v>343</v>
      </c>
      <c r="O122" s="709" t="s">
        <v>344</v>
      </c>
      <c r="P122" s="719" t="s">
        <v>610</v>
      </c>
      <c r="Q122" s="709" t="s">
        <v>346</v>
      </c>
      <c r="R122" s="776"/>
      <c r="S122" s="776"/>
      <c r="T122" s="776"/>
      <c r="U122" s="776"/>
      <c r="V122" s="701"/>
      <c r="W122" s="701"/>
    </row>
    <row r="123" spans="1:23" x14ac:dyDescent="0.25">
      <c r="A123" s="701" t="s">
        <v>487</v>
      </c>
      <c r="B123" s="701"/>
      <c r="C123" s="710" t="s">
        <v>59</v>
      </c>
      <c r="D123" s="711">
        <f>Bilans_E_AMS_Kyoto_run3_MTE!H421</f>
        <v>0</v>
      </c>
      <c r="E123" s="711">
        <f>Bilans_E_AMS_Kyoto_run3_MTE!I421</f>
        <v>0</v>
      </c>
      <c r="F123" s="711">
        <f>Bilans_E_AMS_Kyoto_run3_MTE!J421</f>
        <v>0</v>
      </c>
      <c r="G123" s="711">
        <f>Bilans_E_AMS_Kyoto_run3_MTE!K421</f>
        <v>0</v>
      </c>
      <c r="H123" s="711">
        <f>Bilans_E_AMS_Kyoto_run3_MTE!L421</f>
        <v>0</v>
      </c>
      <c r="I123" s="711">
        <f>Bilans_E_AMS_Kyoto_run3_MTE!M421</f>
        <v>0</v>
      </c>
      <c r="J123" s="711">
        <f>Bilans_E_AMS_Kyoto_run3_MTE!N421</f>
        <v>1217.3350254612858</v>
      </c>
      <c r="K123" s="711">
        <f>Bilans_E_AMS_Kyoto_run3_MTE!O421</f>
        <v>388.29502398919544</v>
      </c>
      <c r="L123" s="711">
        <f>Bilans_E_AMS_Kyoto_run3_MTE!P421</f>
        <v>345.22412922668985</v>
      </c>
      <c r="M123" s="711">
        <f>Bilans_E_AMS_Kyoto_run3_MTE!Q421</f>
        <v>47.572914538902204</v>
      </c>
      <c r="N123" s="711">
        <f>Bilans_E_AMS_Kyoto_run3_MTE!R421</f>
        <v>0</v>
      </c>
      <c r="O123" s="711">
        <f>Bilans_E_AMS_Kyoto_run3_MTE!S421</f>
        <v>0</v>
      </c>
      <c r="P123" s="711">
        <f>Bilans_E_AMS_Kyoto_run3_MTE!T421+Bilans_E_AMS_Kyoto_run3_MTE!U421</f>
        <v>217.97798120035498</v>
      </c>
      <c r="Q123" s="711">
        <f>Bilans_E_AMS_Kyoto_run3_MTE!V421</f>
        <v>44.670610017190697</v>
      </c>
      <c r="R123" s="711">
        <f>Bilans_E_AMS_Kyoto_run3_MTE!W421</f>
        <v>0</v>
      </c>
      <c r="S123" s="711">
        <f>Bilans_E_AMS_Kyoto_run3_MTE!X421</f>
        <v>0</v>
      </c>
      <c r="T123" s="711">
        <f>Bilans_E_AMS_Kyoto_run3_MTE!Y421</f>
        <v>0</v>
      </c>
      <c r="U123" s="711">
        <f>Bilans_E_AMS_Kyoto_run3_MTE!Z421</f>
        <v>2261.0756844336188</v>
      </c>
      <c r="V123" s="701"/>
      <c r="W123" s="701"/>
    </row>
    <row r="124" spans="1:23" x14ac:dyDescent="0.25">
      <c r="A124" s="701" t="s">
        <v>488</v>
      </c>
      <c r="B124" s="701"/>
      <c r="C124" s="710" t="s">
        <v>60</v>
      </c>
      <c r="D124" s="712">
        <f>Bilans_E_AMS_Kyoto_run3_MTE!H422</f>
        <v>12.152793945312501</v>
      </c>
      <c r="E124" s="712">
        <f>Bilans_E_AMS_Kyoto_run3_MTE!I422</f>
        <v>228.52698065701114</v>
      </c>
      <c r="F124" s="712">
        <f>Bilans_E_AMS_Kyoto_run3_MTE!J422</f>
        <v>52.757657499876444</v>
      </c>
      <c r="G124" s="712">
        <f>Bilans_E_AMS_Kyoto_run3_MTE!K422</f>
        <v>7.0861725721851325</v>
      </c>
      <c r="H124" s="712">
        <f>Bilans_E_AMS_Kyoto_run3_MTE!L422</f>
        <v>109.90340859679944</v>
      </c>
      <c r="I124" s="712">
        <f>Bilans_E_AMS_Kyoto_run3_MTE!M422</f>
        <v>0</v>
      </c>
      <c r="J124" s="712">
        <f>Bilans_E_AMS_Kyoto_run3_MTE!N422</f>
        <v>0</v>
      </c>
      <c r="K124" s="712">
        <f>Bilans_E_AMS_Kyoto_run3_MTE!O422</f>
        <v>0</v>
      </c>
      <c r="L124" s="712">
        <f>Bilans_E_AMS_Kyoto_run3_MTE!P422</f>
        <v>8.3609545225008901</v>
      </c>
      <c r="M124" s="712">
        <f>Bilans_E_AMS_Kyoto_run3_MTE!Q422</f>
        <v>0</v>
      </c>
      <c r="N124" s="712">
        <f>Bilans_E_AMS_Kyoto_run3_MTE!R422</f>
        <v>12.640823760452299</v>
      </c>
      <c r="O124" s="712">
        <f>Bilans_E_AMS_Kyoto_run3_MTE!S422</f>
        <v>0</v>
      </c>
      <c r="P124" s="712">
        <f>Bilans_E_AMS_Kyoto_run3_MTE!T422+Bilans_E_AMS_Kyoto_run3_MTE!U422</f>
        <v>0</v>
      </c>
      <c r="Q124" s="712">
        <f>Bilans_E_AMS_Kyoto_run3_MTE!V422</f>
        <v>0</v>
      </c>
      <c r="R124" s="712">
        <f>Bilans_E_AMS_Kyoto_run3_MTE!W422</f>
        <v>0</v>
      </c>
      <c r="S124" s="712">
        <f>Bilans_E_AMS_Kyoto_run3_MTE!X422</f>
        <v>0</v>
      </c>
      <c r="T124" s="712">
        <f>Bilans_E_AMS_Kyoto_run3_MTE!Y422</f>
        <v>0</v>
      </c>
      <c r="U124" s="712">
        <f>Bilans_E_AMS_Kyoto_run3_MTE!Z422</f>
        <v>431.42879155413789</v>
      </c>
      <c r="V124" s="701"/>
      <c r="W124" s="701"/>
    </row>
    <row r="125" spans="1:23" x14ac:dyDescent="0.25">
      <c r="A125" s="701" t="s">
        <v>489</v>
      </c>
      <c r="B125" s="701"/>
      <c r="C125" s="710" t="s">
        <v>61</v>
      </c>
      <c r="D125" s="712">
        <f>Bilans_E_AMS_Kyoto_run3_MTE!H423</f>
        <v>0</v>
      </c>
      <c r="E125" s="712">
        <f>Bilans_E_AMS_Kyoto_run3_MTE!I423</f>
        <v>0</v>
      </c>
      <c r="F125" s="712">
        <f>Bilans_E_AMS_Kyoto_run3_MTE!J423</f>
        <v>0</v>
      </c>
      <c r="G125" s="712">
        <f>Bilans_E_AMS_Kyoto_run3_MTE!K423</f>
        <v>0</v>
      </c>
      <c r="H125" s="712">
        <f>Bilans_E_AMS_Kyoto_run3_MTE!L423</f>
        <v>0</v>
      </c>
      <c r="I125" s="712">
        <f>Bilans_E_AMS_Kyoto_run3_MTE!M423</f>
        <v>0</v>
      </c>
      <c r="J125" s="712">
        <f>Bilans_E_AMS_Kyoto_run3_MTE!N423</f>
        <v>0</v>
      </c>
      <c r="K125" s="712">
        <f>Bilans_E_AMS_Kyoto_run3_MTE!O423</f>
        <v>0</v>
      </c>
      <c r="L125" s="712">
        <f>Bilans_E_AMS_Kyoto_run3_MTE!P423</f>
        <v>0</v>
      </c>
      <c r="M125" s="712">
        <f>Bilans_E_AMS_Kyoto_run3_MTE!Q423</f>
        <v>0</v>
      </c>
      <c r="N125" s="712">
        <f>Bilans_E_AMS_Kyoto_run3_MTE!R423</f>
        <v>0</v>
      </c>
      <c r="O125" s="712">
        <f>Bilans_E_AMS_Kyoto_run3_MTE!S423</f>
        <v>-7.7990691835452708E-2</v>
      </c>
      <c r="P125" s="712">
        <f>Bilans_E_AMS_Kyoto_run3_MTE!T423+Bilans_E_AMS_Kyoto_run3_MTE!U423</f>
        <v>0</v>
      </c>
      <c r="Q125" s="712">
        <f>Bilans_E_AMS_Kyoto_run3_MTE!V423</f>
        <v>0</v>
      </c>
      <c r="R125" s="712">
        <f>Bilans_E_AMS_Kyoto_run3_MTE!W423</f>
        <v>-125.47851234932489</v>
      </c>
      <c r="S125" s="712">
        <f>Bilans_E_AMS_Kyoto_run3_MTE!X423</f>
        <v>0</v>
      </c>
      <c r="T125" s="712">
        <f>Bilans_E_AMS_Kyoto_run3_MTE!Y423</f>
        <v>0</v>
      </c>
      <c r="U125" s="712">
        <f>Bilans_E_AMS_Kyoto_run3_MTE!Z423</f>
        <v>-125.55650304116034</v>
      </c>
      <c r="V125" s="701"/>
      <c r="W125" s="701"/>
    </row>
    <row r="126" spans="1:23" x14ac:dyDescent="0.25">
      <c r="A126" s="701" t="s">
        <v>490</v>
      </c>
      <c r="B126" s="701"/>
      <c r="C126" s="710" t="s">
        <v>62</v>
      </c>
      <c r="D126" s="711">
        <f>Bilans_E_AMS_Kyoto_run3_MTE!H424</f>
        <v>0</v>
      </c>
      <c r="E126" s="711">
        <f>Bilans_E_AMS_Kyoto_run3_MTE!I424</f>
        <v>0</v>
      </c>
      <c r="F126" s="711">
        <f>Bilans_E_AMS_Kyoto_run3_MTE!J424</f>
        <v>-5.9348855093326982</v>
      </c>
      <c r="G126" s="711">
        <f>Bilans_E_AMS_Kyoto_run3_MTE!K424</f>
        <v>-0.99259685127624486</v>
      </c>
      <c r="H126" s="711">
        <f>Bilans_E_AMS_Kyoto_run3_MTE!L424</f>
        <v>0</v>
      </c>
      <c r="I126" s="711">
        <f>Bilans_E_AMS_Kyoto_run3_MTE!M424</f>
        <v>-0.99259685127624475</v>
      </c>
      <c r="J126" s="711">
        <f>Bilans_E_AMS_Kyoto_run3_MTE!N424</f>
        <v>0</v>
      </c>
      <c r="K126" s="711">
        <f>Bilans_E_AMS_Kyoto_run3_MTE!O424</f>
        <v>0</v>
      </c>
      <c r="L126" s="711">
        <f>Bilans_E_AMS_Kyoto_run3_MTE!P424</f>
        <v>0</v>
      </c>
      <c r="M126" s="711">
        <f>Bilans_E_AMS_Kyoto_run3_MTE!Q424</f>
        <v>0</v>
      </c>
      <c r="N126" s="711">
        <f>Bilans_E_AMS_Kyoto_run3_MTE!R424</f>
        <v>0</v>
      </c>
      <c r="O126" s="711">
        <f>Bilans_E_AMS_Kyoto_run3_MTE!S424</f>
        <v>-1.3642017969458513</v>
      </c>
      <c r="P126" s="711">
        <f>Bilans_E_AMS_Kyoto_run3_MTE!T424+Bilans_E_AMS_Kyoto_run3_MTE!U424</f>
        <v>0</v>
      </c>
      <c r="Q126" s="711">
        <f>Bilans_E_AMS_Kyoto_run3_MTE!V424</f>
        <v>0</v>
      </c>
      <c r="R126" s="711">
        <f>Bilans_E_AMS_Kyoto_run3_MTE!W424</f>
        <v>0</v>
      </c>
      <c r="S126" s="711">
        <f>Bilans_E_AMS_Kyoto_run3_MTE!X424</f>
        <v>0</v>
      </c>
      <c r="T126" s="711">
        <f>Bilans_E_AMS_Kyoto_run3_MTE!Y424</f>
        <v>-0.66413311470232494</v>
      </c>
      <c r="U126" s="711">
        <f>Bilans_E_AMS_Kyoto_run3_MTE!Z424</f>
        <v>-9.9484141235333645</v>
      </c>
      <c r="V126" s="701"/>
      <c r="W126" s="701"/>
    </row>
    <row r="127" spans="1:23" x14ac:dyDescent="0.25">
      <c r="A127" s="701" t="s">
        <v>491</v>
      </c>
      <c r="B127" s="701"/>
      <c r="C127" s="710" t="s">
        <v>63</v>
      </c>
      <c r="D127" s="711">
        <f>Bilans_E_AMS_Kyoto_run3_MTE!H425</f>
        <v>0</v>
      </c>
      <c r="E127" s="711">
        <f>Bilans_E_AMS_Kyoto_run3_MTE!I425</f>
        <v>0</v>
      </c>
      <c r="F127" s="711">
        <f>Bilans_E_AMS_Kyoto_run3_MTE!J425</f>
        <v>-40</v>
      </c>
      <c r="G127" s="711">
        <f>Bilans_E_AMS_Kyoto_run3_MTE!K425</f>
        <v>-8</v>
      </c>
      <c r="H127" s="711">
        <f>Bilans_E_AMS_Kyoto_run3_MTE!L425</f>
        <v>0</v>
      </c>
      <c r="I127" s="711">
        <f>Bilans_E_AMS_Kyoto_run3_MTE!M425</f>
        <v>0</v>
      </c>
      <c r="J127" s="711">
        <f>Bilans_E_AMS_Kyoto_run3_MTE!N425</f>
        <v>0</v>
      </c>
      <c r="K127" s="711">
        <f>Bilans_E_AMS_Kyoto_run3_MTE!O425</f>
        <v>0</v>
      </c>
      <c r="L127" s="711">
        <f>Bilans_E_AMS_Kyoto_run3_MTE!P425</f>
        <v>0</v>
      </c>
      <c r="M127" s="711">
        <f>Bilans_E_AMS_Kyoto_run3_MTE!Q425</f>
        <v>0</v>
      </c>
      <c r="N127" s="711">
        <f>Bilans_E_AMS_Kyoto_run3_MTE!R425</f>
        <v>-15</v>
      </c>
      <c r="O127" s="711">
        <f>Bilans_E_AMS_Kyoto_run3_MTE!S425</f>
        <v>0</v>
      </c>
      <c r="P127" s="711">
        <f>Bilans_E_AMS_Kyoto_run3_MTE!T425+Bilans_E_AMS_Kyoto_run3_MTE!U425</f>
        <v>0</v>
      </c>
      <c r="Q127" s="711">
        <f>Bilans_E_AMS_Kyoto_run3_MTE!V425</f>
        <v>0</v>
      </c>
      <c r="R127" s="711">
        <f>Bilans_E_AMS_Kyoto_run3_MTE!W425</f>
        <v>0</v>
      </c>
      <c r="S127" s="711">
        <f>Bilans_E_AMS_Kyoto_run3_MTE!X425</f>
        <v>0</v>
      </c>
      <c r="T127" s="711">
        <f>Bilans_E_AMS_Kyoto_run3_MTE!Y425</f>
        <v>-3.0000000000000004</v>
      </c>
      <c r="U127" s="711">
        <f>Bilans_E_AMS_Kyoto_run3_MTE!Z425</f>
        <v>-66</v>
      </c>
      <c r="V127" s="701"/>
      <c r="W127" s="701"/>
    </row>
    <row r="128" spans="1:23" x14ac:dyDescent="0.25">
      <c r="A128" s="701" t="s">
        <v>492</v>
      </c>
      <c r="B128" s="701"/>
      <c r="C128" s="710" t="s">
        <v>64</v>
      </c>
      <c r="D128" s="712">
        <f>Bilans_E_AMS_Kyoto_run3_MTE!H426</f>
        <v>0</v>
      </c>
      <c r="E128" s="712">
        <f>Bilans_E_AMS_Kyoto_run3_MTE!I426</f>
        <v>0</v>
      </c>
      <c r="F128" s="712">
        <f>Bilans_E_AMS_Kyoto_run3_MTE!J426</f>
        <v>0</v>
      </c>
      <c r="G128" s="712">
        <f>Bilans_E_AMS_Kyoto_run3_MTE!K426</f>
        <v>0</v>
      </c>
      <c r="H128" s="712">
        <f>Bilans_E_AMS_Kyoto_run3_MTE!L426</f>
        <v>0</v>
      </c>
      <c r="I128" s="712">
        <f>Bilans_E_AMS_Kyoto_run3_MTE!M426</f>
        <v>0</v>
      </c>
      <c r="J128" s="712">
        <f>Bilans_E_AMS_Kyoto_run3_MTE!N426</f>
        <v>0</v>
      </c>
      <c r="K128" s="712">
        <f>Bilans_E_AMS_Kyoto_run3_MTE!O426</f>
        <v>0</v>
      </c>
      <c r="L128" s="712">
        <f>Bilans_E_AMS_Kyoto_run3_MTE!P426</f>
        <v>0</v>
      </c>
      <c r="M128" s="712">
        <f>Bilans_E_AMS_Kyoto_run3_MTE!Q426</f>
        <v>0</v>
      </c>
      <c r="N128" s="712">
        <f>Bilans_E_AMS_Kyoto_run3_MTE!R426</f>
        <v>0</v>
      </c>
      <c r="O128" s="712">
        <f>Bilans_E_AMS_Kyoto_run3_MTE!S426</f>
        <v>0</v>
      </c>
      <c r="P128" s="712">
        <f>Bilans_E_AMS_Kyoto_run3_MTE!T426+Bilans_E_AMS_Kyoto_run3_MTE!U426</f>
        <v>0</v>
      </c>
      <c r="Q128" s="712">
        <f>Bilans_E_AMS_Kyoto_run3_MTE!V426</f>
        <v>0</v>
      </c>
      <c r="R128" s="712">
        <f>Bilans_E_AMS_Kyoto_run3_MTE!W426</f>
        <v>0</v>
      </c>
      <c r="S128" s="712">
        <f>Bilans_E_AMS_Kyoto_run3_MTE!X426</f>
        <v>0</v>
      </c>
      <c r="T128" s="712">
        <f>Bilans_E_AMS_Kyoto_run3_MTE!Y426</f>
        <v>0</v>
      </c>
      <c r="U128" s="712">
        <f>Bilans_E_AMS_Kyoto_run3_MTE!Z426</f>
        <v>0</v>
      </c>
      <c r="V128" s="701"/>
      <c r="W128" s="701"/>
    </row>
    <row r="129" spans="1:23" x14ac:dyDescent="0.25">
      <c r="A129" s="701" t="s">
        <v>493</v>
      </c>
      <c r="B129" s="701"/>
      <c r="C129" s="713" t="s">
        <v>65</v>
      </c>
      <c r="D129" s="714">
        <f>Bilans_E_AMS_Kyoto_run3_MTE!H427</f>
        <v>12.152793945312501</v>
      </c>
      <c r="E129" s="714">
        <f>Bilans_E_AMS_Kyoto_run3_MTE!I427</f>
        <v>228.52698065701114</v>
      </c>
      <c r="F129" s="714">
        <f>Bilans_E_AMS_Kyoto_run3_MTE!J427</f>
        <v>6.8227719905437425</v>
      </c>
      <c r="G129" s="714">
        <f>Bilans_E_AMS_Kyoto_run3_MTE!K427</f>
        <v>-1.9064242790911123</v>
      </c>
      <c r="H129" s="714">
        <f>Bilans_E_AMS_Kyoto_run3_MTE!L427</f>
        <v>109.90340859679944</v>
      </c>
      <c r="I129" s="714">
        <f>Bilans_E_AMS_Kyoto_run3_MTE!M427</f>
        <v>-0.99259685127624475</v>
      </c>
      <c r="J129" s="714">
        <f>Bilans_E_AMS_Kyoto_run3_MTE!N427</f>
        <v>1217.3350254612858</v>
      </c>
      <c r="K129" s="714">
        <f>Bilans_E_AMS_Kyoto_run3_MTE!O427</f>
        <v>388.29502398919544</v>
      </c>
      <c r="L129" s="714">
        <f>Bilans_E_AMS_Kyoto_run3_MTE!P427</f>
        <v>353.58508374919074</v>
      </c>
      <c r="M129" s="714">
        <f>Bilans_E_AMS_Kyoto_run3_MTE!Q427</f>
        <v>47.572914538902204</v>
      </c>
      <c r="N129" s="714">
        <f>Bilans_E_AMS_Kyoto_run3_MTE!R427</f>
        <v>-2.3591762395477005</v>
      </c>
      <c r="O129" s="714">
        <f>Bilans_E_AMS_Kyoto_run3_MTE!S427</f>
        <v>-1.442192488781304</v>
      </c>
      <c r="P129" s="714">
        <f>Bilans_E_AMS_Kyoto_run3_MTE!T427+Bilans_E_AMS_Kyoto_run3_MTE!U427</f>
        <v>217.97798120035498</v>
      </c>
      <c r="Q129" s="714">
        <f>Bilans_E_AMS_Kyoto_run3_MTE!V427</f>
        <v>44.670610017190697</v>
      </c>
      <c r="R129" s="714">
        <f>Bilans_E_AMS_Kyoto_run3_MTE!W427</f>
        <v>-125.47851234932489</v>
      </c>
      <c r="S129" s="714">
        <f>Bilans_E_AMS_Kyoto_run3_MTE!X427</f>
        <v>0</v>
      </c>
      <c r="T129" s="714">
        <f>Bilans_E_AMS_Kyoto_run3_MTE!Y427</f>
        <v>-3.6641331147023255</v>
      </c>
      <c r="U129" s="714">
        <f>Bilans_E_AMS_Kyoto_run3_MTE!Z427</f>
        <v>2490.9995588230627</v>
      </c>
      <c r="V129" s="701"/>
      <c r="W129" s="701"/>
    </row>
    <row r="130" spans="1:23" x14ac:dyDescent="0.25">
      <c r="A130" s="701"/>
      <c r="B130" s="701"/>
      <c r="C130" s="715"/>
      <c r="D130" s="716"/>
      <c r="E130" s="716"/>
      <c r="F130" s="716"/>
      <c r="G130" s="716"/>
      <c r="H130" s="716"/>
      <c r="I130" s="716"/>
      <c r="J130" s="716"/>
      <c r="K130" s="716"/>
      <c r="L130" s="716"/>
      <c r="M130" s="716"/>
      <c r="N130" s="716"/>
      <c r="O130" s="716"/>
      <c r="P130" s="716">
        <f>Bilans_E_AMS_Kyoto_run3_MTE!T428+Bilans_E_AMS_Kyoto_run3_MTE!U428</f>
        <v>0</v>
      </c>
      <c r="Q130" s="716"/>
      <c r="R130" s="716"/>
      <c r="S130" s="716"/>
      <c r="T130" s="716"/>
      <c r="U130" s="716"/>
      <c r="V130" s="701"/>
      <c r="W130" s="701"/>
    </row>
    <row r="131" spans="1:23" x14ac:dyDescent="0.25">
      <c r="A131" s="701" t="s">
        <v>494</v>
      </c>
      <c r="B131" s="701"/>
      <c r="C131" s="717" t="s">
        <v>67</v>
      </c>
      <c r="D131" s="711">
        <f>Bilans_E_AMS_Kyoto_run3_MTE!H429</f>
        <v>0</v>
      </c>
      <c r="E131" s="711">
        <f>Bilans_E_AMS_Kyoto_run3_MTE!I429</f>
        <v>0</v>
      </c>
      <c r="F131" s="711">
        <f>Bilans_E_AMS_Kyoto_run3_MTE!J429</f>
        <v>0</v>
      </c>
      <c r="G131" s="711">
        <f>Bilans_E_AMS_Kyoto_run3_MTE!K429</f>
        <v>0</v>
      </c>
      <c r="H131" s="711">
        <f>Bilans_E_AMS_Kyoto_run3_MTE!L429</f>
        <v>0</v>
      </c>
      <c r="I131" s="711">
        <f>Bilans_E_AMS_Kyoto_run3_MTE!M429</f>
        <v>0</v>
      </c>
      <c r="J131" s="711">
        <f>Bilans_E_AMS_Kyoto_run3_MTE!N429</f>
        <v>0</v>
      </c>
      <c r="K131" s="711">
        <f>Bilans_E_AMS_Kyoto_run3_MTE!O429</f>
        <v>0</v>
      </c>
      <c r="L131" s="711">
        <f>Bilans_E_AMS_Kyoto_run3_MTE!P429</f>
        <v>0</v>
      </c>
      <c r="M131" s="711">
        <f>Bilans_E_AMS_Kyoto_run3_MTE!Q429</f>
        <v>0</v>
      </c>
      <c r="N131" s="711">
        <f>Bilans_E_AMS_Kyoto_run3_MTE!R429</f>
        <v>0</v>
      </c>
      <c r="O131" s="711">
        <f>Bilans_E_AMS_Kyoto_run3_MTE!S429</f>
        <v>0</v>
      </c>
      <c r="P131" s="711">
        <f>Bilans_E_AMS_Kyoto_run3_MTE!T429+Bilans_E_AMS_Kyoto_run3_MTE!U429</f>
        <v>0</v>
      </c>
      <c r="Q131" s="711">
        <f>Bilans_E_AMS_Kyoto_run3_MTE!V429</f>
        <v>0</v>
      </c>
      <c r="R131" s="711">
        <f>Bilans_E_AMS_Kyoto_run3_MTE!W429</f>
        <v>0</v>
      </c>
      <c r="S131" s="711">
        <f>Bilans_E_AMS_Kyoto_run3_MTE!X429</f>
        <v>0</v>
      </c>
      <c r="T131" s="711">
        <f>Bilans_E_AMS_Kyoto_run3_MTE!Y429</f>
        <v>0</v>
      </c>
      <c r="U131" s="711">
        <f>Bilans_E_AMS_Kyoto_run3_MTE!Z429</f>
        <v>0</v>
      </c>
      <c r="V131" s="701"/>
      <c r="W131" s="701"/>
    </row>
    <row r="132" spans="1:23" x14ac:dyDescent="0.25">
      <c r="A132" s="701" t="s">
        <v>495</v>
      </c>
      <c r="B132" s="701"/>
      <c r="C132" s="717" t="s">
        <v>347</v>
      </c>
      <c r="D132" s="711">
        <f>Bilans_E_AMS_Kyoto_run3_MTE!H430</f>
        <v>0</v>
      </c>
      <c r="E132" s="711">
        <f>Bilans_E_AMS_Kyoto_run3_MTE!I430</f>
        <v>0</v>
      </c>
      <c r="F132" s="711">
        <f>Bilans_E_AMS_Kyoto_run3_MTE!J430</f>
        <v>6.6151953400033478E-2</v>
      </c>
      <c r="G132" s="711">
        <f>Bilans_E_AMS_Kyoto_run3_MTE!K430</f>
        <v>0</v>
      </c>
      <c r="H132" s="711">
        <f>Bilans_E_AMS_Kyoto_run3_MTE!L430</f>
        <v>2.4867213913043404E-3</v>
      </c>
      <c r="I132" s="711">
        <f>Bilans_E_AMS_Kyoto_run3_MTE!M430</f>
        <v>0</v>
      </c>
      <c r="J132" s="711">
        <f>Bilans_E_AMS_Kyoto_run3_MTE!N430</f>
        <v>1213.9369090909088</v>
      </c>
      <c r="K132" s="711">
        <f>Bilans_E_AMS_Kyoto_run3_MTE!O430</f>
        <v>388.29502398919544</v>
      </c>
      <c r="L132" s="711">
        <f>Bilans_E_AMS_Kyoto_run3_MTE!P430</f>
        <v>17.586826213678588</v>
      </c>
      <c r="M132" s="711">
        <f>Bilans_E_AMS_Kyoto_run3_MTE!Q430</f>
        <v>5.6133813254305416</v>
      </c>
      <c r="N132" s="711">
        <f>Bilans_E_AMS_Kyoto_run3_MTE!R430</f>
        <v>5.6269378379330357</v>
      </c>
      <c r="O132" s="711">
        <f>Bilans_E_AMS_Kyoto_run3_MTE!S430</f>
        <v>0.11555796351278441</v>
      </c>
      <c r="P132" s="711">
        <f>Bilans_E_AMS_Kyoto_run3_MTE!T430+Bilans_E_AMS_Kyoto_run3_MTE!U430</f>
        <v>0</v>
      </c>
      <c r="Q132" s="711">
        <f>Bilans_E_AMS_Kyoto_run3_MTE!V430</f>
        <v>6.4327567473291545</v>
      </c>
      <c r="R132" s="711">
        <f>Bilans_E_AMS_Kyoto_run3_MTE!W430</f>
        <v>-805.46190663810182</v>
      </c>
      <c r="S132" s="711">
        <f>Bilans_E_AMS_Kyoto_run3_MTE!X430</f>
        <v>0</v>
      </c>
      <c r="T132" s="711">
        <f>Bilans_E_AMS_Kyoto_run3_MTE!Y430</f>
        <v>0</v>
      </c>
      <c r="U132" s="711">
        <f>Bilans_E_AMS_Kyoto_run3_MTE!Z430</f>
        <v>832.21412520467777</v>
      </c>
      <c r="V132" s="701"/>
      <c r="W132" s="701"/>
    </row>
    <row r="133" spans="1:23" x14ac:dyDescent="0.25">
      <c r="A133" s="701" t="s">
        <v>496</v>
      </c>
      <c r="B133" s="701"/>
      <c r="C133" s="717" t="s">
        <v>348</v>
      </c>
      <c r="D133" s="711">
        <f>Bilans_E_AMS_Kyoto_run3_MTE!H431</f>
        <v>0</v>
      </c>
      <c r="E133" s="711">
        <f>Bilans_E_AMS_Kyoto_run3_MTE!I431</f>
        <v>0</v>
      </c>
      <c r="F133" s="711">
        <f>Bilans_E_AMS_Kyoto_run3_MTE!J431</f>
        <v>0</v>
      </c>
      <c r="G133" s="711">
        <f>Bilans_E_AMS_Kyoto_run3_MTE!K431</f>
        <v>0</v>
      </c>
      <c r="H133" s="711">
        <f>Bilans_E_AMS_Kyoto_run3_MTE!L431</f>
        <v>13.794883526882547</v>
      </c>
      <c r="I133" s="711">
        <f>Bilans_E_AMS_Kyoto_run3_MTE!M431</f>
        <v>0</v>
      </c>
      <c r="J133" s="711">
        <f>Bilans_E_AMS_Kyoto_run3_MTE!N431</f>
        <v>3.3981163703769028</v>
      </c>
      <c r="K133" s="711">
        <f>Bilans_E_AMS_Kyoto_run3_MTE!O431</f>
        <v>0</v>
      </c>
      <c r="L133" s="711">
        <f>Bilans_E_AMS_Kyoto_run3_MTE!P431</f>
        <v>24.198351271875673</v>
      </c>
      <c r="M133" s="711">
        <f>Bilans_E_AMS_Kyoto_run3_MTE!Q431</f>
        <v>14.187375488735356</v>
      </c>
      <c r="N133" s="711">
        <f>Bilans_E_AMS_Kyoto_run3_MTE!R431</f>
        <v>0</v>
      </c>
      <c r="O133" s="711">
        <f>Bilans_E_AMS_Kyoto_run3_MTE!S431</f>
        <v>9.211082811707719</v>
      </c>
      <c r="P133" s="711">
        <f>Bilans_E_AMS_Kyoto_run3_MTE!T431+Bilans_E_AMS_Kyoto_run3_MTE!U431</f>
        <v>17.004200785241363</v>
      </c>
      <c r="Q133" s="711">
        <f>Bilans_E_AMS_Kyoto_run3_MTE!V431</f>
        <v>15.724500904765749</v>
      </c>
      <c r="R133" s="711">
        <f>Bilans_E_AMS_Kyoto_run3_MTE!W431</f>
        <v>0</v>
      </c>
      <c r="S133" s="711">
        <f>Bilans_E_AMS_Kyoto_run3_MTE!X431</f>
        <v>-90.436442741744855</v>
      </c>
      <c r="T133" s="711">
        <f>Bilans_E_AMS_Kyoto_run3_MTE!Y431</f>
        <v>0</v>
      </c>
      <c r="U133" s="711">
        <f>Bilans_E_AMS_Kyoto_run3_MTE!Z431</f>
        <v>7.0820684178404321</v>
      </c>
      <c r="V133" s="701"/>
      <c r="W133" s="701"/>
    </row>
    <row r="134" spans="1:23" x14ac:dyDescent="0.25">
      <c r="A134" s="701" t="s">
        <v>497</v>
      </c>
      <c r="B134" s="701"/>
      <c r="C134" s="717" t="s">
        <v>349</v>
      </c>
      <c r="D134" s="711">
        <f>Bilans_E_AMS_Kyoto_run3_MTE!H432</f>
        <v>0</v>
      </c>
      <c r="E134" s="711">
        <f>Bilans_E_AMS_Kyoto_run3_MTE!I432</f>
        <v>0</v>
      </c>
      <c r="F134" s="711">
        <f>Bilans_E_AMS_Kyoto_run3_MTE!J432</f>
        <v>0</v>
      </c>
      <c r="G134" s="711">
        <f>Bilans_E_AMS_Kyoto_run3_MTE!K432</f>
        <v>0</v>
      </c>
      <c r="H134" s="711">
        <f>Bilans_E_AMS_Kyoto_run3_MTE!L432</f>
        <v>0</v>
      </c>
      <c r="I134" s="711">
        <f>Bilans_E_AMS_Kyoto_run3_MTE!M432</f>
        <v>0</v>
      </c>
      <c r="J134" s="711">
        <f>Bilans_E_AMS_Kyoto_run3_MTE!N432</f>
        <v>0</v>
      </c>
      <c r="K134" s="711">
        <f>Bilans_E_AMS_Kyoto_run3_MTE!O432</f>
        <v>0</v>
      </c>
      <c r="L134" s="711">
        <f>Bilans_E_AMS_Kyoto_run3_MTE!P432</f>
        <v>121.15349099008552</v>
      </c>
      <c r="M134" s="711">
        <f>Bilans_E_AMS_Kyoto_run3_MTE!Q432</f>
        <v>11.695220862948467</v>
      </c>
      <c r="N134" s="711">
        <f>Bilans_E_AMS_Kyoto_run3_MTE!R432</f>
        <v>0</v>
      </c>
      <c r="O134" s="711">
        <f>Bilans_E_AMS_Kyoto_run3_MTE!S432</f>
        <v>-66.507884301827488</v>
      </c>
      <c r="P134" s="711">
        <f>Bilans_E_AMS_Kyoto_run3_MTE!T432+Bilans_E_AMS_Kyoto_run3_MTE!U432</f>
        <v>0</v>
      </c>
      <c r="Q134" s="711">
        <f>Bilans_E_AMS_Kyoto_run3_MTE!V432</f>
        <v>0</v>
      </c>
      <c r="R134" s="711">
        <f>Bilans_E_AMS_Kyoto_run3_MTE!W432</f>
        <v>0</v>
      </c>
      <c r="S134" s="711">
        <f>Bilans_E_AMS_Kyoto_run3_MTE!X432</f>
        <v>0</v>
      </c>
      <c r="T134" s="711">
        <f>Bilans_E_AMS_Kyoto_run3_MTE!Y432</f>
        <v>0</v>
      </c>
      <c r="U134" s="711">
        <f>Bilans_E_AMS_Kyoto_run3_MTE!Z432</f>
        <v>66.340827551206502</v>
      </c>
      <c r="V134" s="701"/>
      <c r="W134" s="701"/>
    </row>
    <row r="135" spans="1:23" x14ac:dyDescent="0.25">
      <c r="A135" s="701" t="s">
        <v>498</v>
      </c>
      <c r="B135" s="701"/>
      <c r="C135" s="717" t="s">
        <v>350</v>
      </c>
      <c r="D135" s="711">
        <f>Bilans_E_AMS_Kyoto_run3_MTE!H433</f>
        <v>0</v>
      </c>
      <c r="E135" s="711">
        <f>Bilans_E_AMS_Kyoto_run3_MTE!I433</f>
        <v>0</v>
      </c>
      <c r="F135" s="711">
        <f>Bilans_E_AMS_Kyoto_run3_MTE!J433</f>
        <v>0</v>
      </c>
      <c r="G135" s="711">
        <f>Bilans_E_AMS_Kyoto_run3_MTE!K433</f>
        <v>0</v>
      </c>
      <c r="H135" s="711">
        <f>Bilans_E_AMS_Kyoto_run3_MTE!L433</f>
        <v>0</v>
      </c>
      <c r="I135" s="711">
        <f>Bilans_E_AMS_Kyoto_run3_MTE!M433</f>
        <v>-0.99259685127624475</v>
      </c>
      <c r="J135" s="711">
        <f>Bilans_E_AMS_Kyoto_run3_MTE!N433</f>
        <v>0</v>
      </c>
      <c r="K135" s="711">
        <f>Bilans_E_AMS_Kyoto_run3_MTE!O433</f>
        <v>0</v>
      </c>
      <c r="L135" s="711">
        <f>Bilans_E_AMS_Kyoto_run3_MTE!P433</f>
        <v>0</v>
      </c>
      <c r="M135" s="711">
        <f>Bilans_E_AMS_Kyoto_run3_MTE!Q433</f>
        <v>0</v>
      </c>
      <c r="N135" s="711">
        <f>Bilans_E_AMS_Kyoto_run3_MTE!R433</f>
        <v>0</v>
      </c>
      <c r="O135" s="711">
        <f>Bilans_E_AMS_Kyoto_run3_MTE!S433</f>
        <v>0</v>
      </c>
      <c r="P135" s="711">
        <f>Bilans_E_AMS_Kyoto_run3_MTE!T433+Bilans_E_AMS_Kyoto_run3_MTE!U433</f>
        <v>0</v>
      </c>
      <c r="Q135" s="711">
        <f>Bilans_E_AMS_Kyoto_run3_MTE!V433</f>
        <v>0</v>
      </c>
      <c r="R135" s="711">
        <f>Bilans_E_AMS_Kyoto_run3_MTE!W433</f>
        <v>0</v>
      </c>
      <c r="S135" s="711">
        <f>Bilans_E_AMS_Kyoto_run3_MTE!X433</f>
        <v>0</v>
      </c>
      <c r="T135" s="711">
        <f>Bilans_E_AMS_Kyoto_run3_MTE!Y433</f>
        <v>1.3786067378836733</v>
      </c>
      <c r="U135" s="711">
        <f>Bilans_E_AMS_Kyoto_run3_MTE!Z433</f>
        <v>0.38600988660742852</v>
      </c>
      <c r="V135" s="701"/>
      <c r="W135" s="701"/>
    </row>
    <row r="136" spans="1:23" x14ac:dyDescent="0.25">
      <c r="A136" s="701" t="s">
        <v>499</v>
      </c>
      <c r="B136" s="701"/>
      <c r="C136" s="717" t="s">
        <v>72</v>
      </c>
      <c r="D136" s="711">
        <f>Bilans_E_AMS_Kyoto_run3_MTE!H434</f>
        <v>0</v>
      </c>
      <c r="E136" s="711">
        <f>Bilans_E_AMS_Kyoto_run3_MTE!I434</f>
        <v>236.81493545445448</v>
      </c>
      <c r="F136" s="711">
        <f>Bilans_E_AMS_Kyoto_run3_MTE!J434</f>
        <v>-234.44678609990993</v>
      </c>
      <c r="G136" s="711">
        <f>Bilans_E_AMS_Kyoto_run3_MTE!K434</f>
        <v>0</v>
      </c>
      <c r="H136" s="711">
        <f>Bilans_E_AMS_Kyoto_run3_MTE!L434</f>
        <v>0</v>
      </c>
      <c r="I136" s="711">
        <f>Bilans_E_AMS_Kyoto_run3_MTE!M434</f>
        <v>0</v>
      </c>
      <c r="J136" s="711">
        <f>Bilans_E_AMS_Kyoto_run3_MTE!N434</f>
        <v>0</v>
      </c>
      <c r="K136" s="711">
        <f>Bilans_E_AMS_Kyoto_run3_MTE!O434</f>
        <v>0</v>
      </c>
      <c r="L136" s="711">
        <f>Bilans_E_AMS_Kyoto_run3_MTE!P434</f>
        <v>0</v>
      </c>
      <c r="M136" s="711">
        <f>Bilans_E_AMS_Kyoto_run3_MTE!Q434</f>
        <v>0</v>
      </c>
      <c r="N136" s="711">
        <f>Bilans_E_AMS_Kyoto_run3_MTE!R434</f>
        <v>0</v>
      </c>
      <c r="O136" s="711">
        <f>Bilans_E_AMS_Kyoto_run3_MTE!S434</f>
        <v>0</v>
      </c>
      <c r="P136" s="711">
        <f>Bilans_E_AMS_Kyoto_run3_MTE!T434+Bilans_E_AMS_Kyoto_run3_MTE!U434</f>
        <v>0</v>
      </c>
      <c r="Q136" s="711">
        <f>Bilans_E_AMS_Kyoto_run3_MTE!V434</f>
        <v>0</v>
      </c>
      <c r="R136" s="711">
        <f>Bilans_E_AMS_Kyoto_run3_MTE!W434</f>
        <v>0</v>
      </c>
      <c r="S136" s="711">
        <f>Bilans_E_AMS_Kyoto_run3_MTE!X434</f>
        <v>0</v>
      </c>
      <c r="T136" s="711">
        <f>Bilans_E_AMS_Kyoto_run3_MTE!Y434</f>
        <v>0</v>
      </c>
      <c r="U136" s="711">
        <f>Bilans_E_AMS_Kyoto_run3_MTE!Z434</f>
        <v>2.3681493545445562</v>
      </c>
      <c r="V136" s="701"/>
      <c r="W136" s="701"/>
    </row>
    <row r="137" spans="1:23" x14ac:dyDescent="0.25">
      <c r="A137" s="701" t="s">
        <v>500</v>
      </c>
      <c r="B137" s="701"/>
      <c r="C137" s="717" t="s">
        <v>351</v>
      </c>
      <c r="D137" s="711">
        <f>Bilans_E_AMS_Kyoto_run3_MTE!H435</f>
        <v>0</v>
      </c>
      <c r="E137" s="711">
        <f>Bilans_E_AMS_Kyoto_run3_MTE!I435</f>
        <v>0</v>
      </c>
      <c r="F137" s="711">
        <f>Bilans_E_AMS_Kyoto_run3_MTE!J435</f>
        <v>0</v>
      </c>
      <c r="G137" s="711">
        <f>Bilans_E_AMS_Kyoto_run3_MTE!K435</f>
        <v>0</v>
      </c>
      <c r="H137" s="711">
        <f>Bilans_E_AMS_Kyoto_run3_MTE!L435</f>
        <v>0</v>
      </c>
      <c r="I137" s="711">
        <f>Bilans_E_AMS_Kyoto_run3_MTE!M435</f>
        <v>0</v>
      </c>
      <c r="J137" s="711">
        <f>Bilans_E_AMS_Kyoto_run3_MTE!N435</f>
        <v>0</v>
      </c>
      <c r="K137" s="711">
        <f>Bilans_E_AMS_Kyoto_run3_MTE!O435</f>
        <v>0</v>
      </c>
      <c r="L137" s="711">
        <f>Bilans_E_AMS_Kyoto_run3_MTE!P435</f>
        <v>92.214586114726359</v>
      </c>
      <c r="M137" s="711">
        <f>Bilans_E_AMS_Kyoto_run3_MTE!Q435</f>
        <v>7.2727272727272725</v>
      </c>
      <c r="N137" s="711">
        <f>Bilans_E_AMS_Kyoto_run3_MTE!R435</f>
        <v>-55.427636476917691</v>
      </c>
      <c r="O137" s="711">
        <f>Bilans_E_AMS_Kyoto_run3_MTE!S435</f>
        <v>0</v>
      </c>
      <c r="P137" s="711">
        <f>Bilans_E_AMS_Kyoto_run3_MTE!T435+Bilans_E_AMS_Kyoto_run3_MTE!U435</f>
        <v>0</v>
      </c>
      <c r="Q137" s="711">
        <f>Bilans_E_AMS_Kyoto_run3_MTE!V435</f>
        <v>0</v>
      </c>
      <c r="R137" s="711">
        <f>Bilans_E_AMS_Kyoto_run3_MTE!W435</f>
        <v>0</v>
      </c>
      <c r="S137" s="711">
        <f>Bilans_E_AMS_Kyoto_run3_MTE!X435</f>
        <v>0</v>
      </c>
      <c r="T137" s="711">
        <f>Bilans_E_AMS_Kyoto_run3_MTE!Y435</f>
        <v>0</v>
      </c>
      <c r="U137" s="711">
        <f>Bilans_E_AMS_Kyoto_run3_MTE!Z435</f>
        <v>44.059676910535934</v>
      </c>
      <c r="V137" s="701"/>
      <c r="W137" s="701"/>
    </row>
    <row r="138" spans="1:23" x14ac:dyDescent="0.25">
      <c r="A138" s="701" t="s">
        <v>501</v>
      </c>
      <c r="B138" s="701"/>
      <c r="C138" s="717" t="s">
        <v>352</v>
      </c>
      <c r="D138" s="711">
        <f>Bilans_E_AMS_Kyoto_run3_MTE!H436</f>
        <v>0</v>
      </c>
      <c r="E138" s="711">
        <f>Bilans_E_AMS_Kyoto_run3_MTE!I436</f>
        <v>0</v>
      </c>
      <c r="F138" s="711">
        <f>Bilans_E_AMS_Kyoto_run3_MTE!J436</f>
        <v>0</v>
      </c>
      <c r="G138" s="711">
        <f>Bilans_E_AMS_Kyoto_run3_MTE!K436</f>
        <v>-5.3675968512762449</v>
      </c>
      <c r="H138" s="711">
        <f>Bilans_E_AMS_Kyoto_run3_MTE!L436</f>
        <v>0</v>
      </c>
      <c r="I138" s="711">
        <f>Bilans_E_AMS_Kyoto_run3_MTE!M436</f>
        <v>0</v>
      </c>
      <c r="J138" s="711">
        <f>Bilans_E_AMS_Kyoto_run3_MTE!N436</f>
        <v>0</v>
      </c>
      <c r="K138" s="711">
        <f>Bilans_E_AMS_Kyoto_run3_MTE!O436</f>
        <v>0</v>
      </c>
      <c r="L138" s="711">
        <f>Bilans_E_AMS_Kyoto_run3_MTE!P436</f>
        <v>0</v>
      </c>
      <c r="M138" s="711">
        <f>Bilans_E_AMS_Kyoto_run3_MTE!Q436</f>
        <v>0</v>
      </c>
      <c r="N138" s="711">
        <f>Bilans_E_AMS_Kyoto_run3_MTE!R436</f>
        <v>0</v>
      </c>
      <c r="O138" s="711">
        <f>Bilans_E_AMS_Kyoto_run3_MTE!S436</f>
        <v>0</v>
      </c>
      <c r="P138" s="711">
        <f>Bilans_E_AMS_Kyoto_run3_MTE!T436+Bilans_E_AMS_Kyoto_run3_MTE!U436</f>
        <v>0</v>
      </c>
      <c r="Q138" s="711">
        <f>Bilans_E_AMS_Kyoto_run3_MTE!V436</f>
        <v>0</v>
      </c>
      <c r="R138" s="711">
        <f>Bilans_E_AMS_Kyoto_run3_MTE!W436</f>
        <v>0</v>
      </c>
      <c r="S138" s="711">
        <f>Bilans_E_AMS_Kyoto_run3_MTE!X436</f>
        <v>0</v>
      </c>
      <c r="T138" s="711">
        <f>Bilans_E_AMS_Kyoto_run3_MTE!Y436</f>
        <v>8.7918565364038699</v>
      </c>
      <c r="U138" s="711">
        <f>Bilans_E_AMS_Kyoto_run3_MTE!Z436</f>
        <v>3.424259685127625</v>
      </c>
      <c r="V138" s="701"/>
      <c r="W138" s="701"/>
    </row>
    <row r="139" spans="1:23" x14ac:dyDescent="0.25">
      <c r="A139" s="701" t="s">
        <v>502</v>
      </c>
      <c r="B139" s="701"/>
      <c r="C139" s="717" t="s">
        <v>73</v>
      </c>
      <c r="D139" s="711">
        <f>Bilans_E_AMS_Kyoto_run3_MTE!H437</f>
        <v>0</v>
      </c>
      <c r="E139" s="711">
        <f>Bilans_E_AMS_Kyoto_run3_MTE!I437</f>
        <v>0</v>
      </c>
      <c r="F139" s="711">
        <f>Bilans_E_AMS_Kyoto_run3_MTE!J437</f>
        <v>0</v>
      </c>
      <c r="G139" s="711">
        <f>Bilans_E_AMS_Kyoto_run3_MTE!K437</f>
        <v>0</v>
      </c>
      <c r="H139" s="711">
        <f>Bilans_E_AMS_Kyoto_run3_MTE!L437</f>
        <v>0</v>
      </c>
      <c r="I139" s="711">
        <f>Bilans_E_AMS_Kyoto_run3_MTE!M437</f>
        <v>0</v>
      </c>
      <c r="J139" s="711">
        <f>Bilans_E_AMS_Kyoto_run3_MTE!N437</f>
        <v>0</v>
      </c>
      <c r="K139" s="711">
        <f>Bilans_E_AMS_Kyoto_run3_MTE!O437</f>
        <v>0</v>
      </c>
      <c r="L139" s="711">
        <f>Bilans_E_AMS_Kyoto_run3_MTE!P437</f>
        <v>0</v>
      </c>
      <c r="M139" s="711">
        <f>Bilans_E_AMS_Kyoto_run3_MTE!Q437</f>
        <v>0</v>
      </c>
      <c r="N139" s="711">
        <f>Bilans_E_AMS_Kyoto_run3_MTE!R437</f>
        <v>0</v>
      </c>
      <c r="O139" s="711">
        <f>Bilans_E_AMS_Kyoto_run3_MTE!S437</f>
        <v>0</v>
      </c>
      <c r="P139" s="711">
        <f>Bilans_E_AMS_Kyoto_run3_MTE!T437+Bilans_E_AMS_Kyoto_run3_MTE!U437</f>
        <v>0</v>
      </c>
      <c r="Q139" s="711">
        <f>Bilans_E_AMS_Kyoto_run3_MTE!V437</f>
        <v>0</v>
      </c>
      <c r="R139" s="711">
        <f>Bilans_E_AMS_Kyoto_run3_MTE!W437</f>
        <v>46.345987464156821</v>
      </c>
      <c r="S139" s="711">
        <f>Bilans_E_AMS_Kyoto_run3_MTE!X437</f>
        <v>0</v>
      </c>
      <c r="T139" s="711">
        <f>Bilans_E_AMS_Kyoto_run3_MTE!Y437</f>
        <v>-31.747001412947427</v>
      </c>
      <c r="U139" s="711">
        <f>Bilans_E_AMS_Kyoto_run3_MTE!Z437</f>
        <v>14.598986051209394</v>
      </c>
      <c r="V139" s="701"/>
      <c r="W139" s="701"/>
    </row>
    <row r="140" spans="1:23" x14ac:dyDescent="0.25">
      <c r="A140" s="701" t="s">
        <v>503</v>
      </c>
      <c r="B140" s="701"/>
      <c r="C140" s="717" t="s">
        <v>353</v>
      </c>
      <c r="D140" s="711">
        <f>Bilans_E_AMS_Kyoto_run3_MTE!H438</f>
        <v>8.5250206054687503</v>
      </c>
      <c r="E140" s="711">
        <f>Bilans_E_AMS_Kyoto_run3_MTE!I438</f>
        <v>-8.2879547974433478</v>
      </c>
      <c r="F140" s="711">
        <f>Bilans_E_AMS_Kyoto_run3_MTE!J438</f>
        <v>10.994009966120005</v>
      </c>
      <c r="G140" s="711">
        <f>Bilans_E_AMS_Kyoto_run3_MTE!K438</f>
        <v>0</v>
      </c>
      <c r="H140" s="711">
        <f>Bilans_E_AMS_Kyoto_run3_MTE!L438</f>
        <v>0</v>
      </c>
      <c r="I140" s="711">
        <f>Bilans_E_AMS_Kyoto_run3_MTE!M438</f>
        <v>0</v>
      </c>
      <c r="J140" s="711">
        <f>Bilans_E_AMS_Kyoto_run3_MTE!N438</f>
        <v>0</v>
      </c>
      <c r="K140" s="711">
        <f>Bilans_E_AMS_Kyoto_run3_MTE!O438</f>
        <v>0</v>
      </c>
      <c r="L140" s="711">
        <f>Bilans_E_AMS_Kyoto_run3_MTE!P438</f>
        <v>0</v>
      </c>
      <c r="M140" s="711">
        <f>Bilans_E_AMS_Kyoto_run3_MTE!Q438</f>
        <v>0</v>
      </c>
      <c r="N140" s="711">
        <f>Bilans_E_AMS_Kyoto_run3_MTE!R438</f>
        <v>0</v>
      </c>
      <c r="O140" s="711">
        <f>Bilans_E_AMS_Kyoto_run3_MTE!S438</f>
        <v>0</v>
      </c>
      <c r="P140" s="711">
        <f>Bilans_E_AMS_Kyoto_run3_MTE!T438+Bilans_E_AMS_Kyoto_run3_MTE!U438</f>
        <v>0</v>
      </c>
      <c r="Q140" s="711">
        <f>Bilans_E_AMS_Kyoto_run3_MTE!V438</f>
        <v>0</v>
      </c>
      <c r="R140" s="711">
        <f>Bilans_E_AMS_Kyoto_run3_MTE!W438</f>
        <v>0</v>
      </c>
      <c r="S140" s="711">
        <f>Bilans_E_AMS_Kyoto_run3_MTE!X438</f>
        <v>0</v>
      </c>
      <c r="T140" s="711">
        <f>Bilans_E_AMS_Kyoto_run3_MTE!Y438</f>
        <v>0</v>
      </c>
      <c r="U140" s="711">
        <f>Bilans_E_AMS_Kyoto_run3_MTE!Z438</f>
        <v>11.231075774145408</v>
      </c>
      <c r="V140" s="701"/>
      <c r="W140" s="701"/>
    </row>
    <row r="141" spans="1:23" x14ac:dyDescent="0.25">
      <c r="A141" s="701" t="s">
        <v>504</v>
      </c>
      <c r="B141" s="701"/>
      <c r="C141" s="717" t="s">
        <v>75</v>
      </c>
      <c r="D141" s="711">
        <f>Bilans_E_AMS_Kyoto_run3_MTE!H439</f>
        <v>3.3152857910156257</v>
      </c>
      <c r="E141" s="711">
        <f>Bilans_E_AMS_Kyoto_run3_MTE!I439</f>
        <v>0</v>
      </c>
      <c r="F141" s="711">
        <f>Bilans_E_AMS_Kyoto_run3_MTE!J439</f>
        <v>8.217345528971137</v>
      </c>
      <c r="G141" s="711">
        <f>Bilans_E_AMS_Kyoto_run3_MTE!K439</f>
        <v>0</v>
      </c>
      <c r="H141" s="711">
        <f>Bilans_E_AMS_Kyoto_run3_MTE!L439</f>
        <v>0</v>
      </c>
      <c r="I141" s="711">
        <f>Bilans_E_AMS_Kyoto_run3_MTE!M439</f>
        <v>0</v>
      </c>
      <c r="J141" s="711">
        <f>Bilans_E_AMS_Kyoto_run3_MTE!N439</f>
        <v>0</v>
      </c>
      <c r="K141" s="711">
        <f>Bilans_E_AMS_Kyoto_run3_MTE!O439</f>
        <v>0</v>
      </c>
      <c r="L141" s="711">
        <f>Bilans_E_AMS_Kyoto_run3_MTE!P439</f>
        <v>0</v>
      </c>
      <c r="M141" s="711">
        <f>Bilans_E_AMS_Kyoto_run3_MTE!Q439</f>
        <v>0</v>
      </c>
      <c r="N141" s="711">
        <f>Bilans_E_AMS_Kyoto_run3_MTE!R439</f>
        <v>0</v>
      </c>
      <c r="O141" s="711">
        <f>Bilans_E_AMS_Kyoto_run3_MTE!S439</f>
        <v>0</v>
      </c>
      <c r="P141" s="711">
        <f>Bilans_E_AMS_Kyoto_run3_MTE!T439+Bilans_E_AMS_Kyoto_run3_MTE!U439</f>
        <v>0</v>
      </c>
      <c r="Q141" s="711">
        <f>Bilans_E_AMS_Kyoto_run3_MTE!V439</f>
        <v>0</v>
      </c>
      <c r="R141" s="711">
        <f>Bilans_E_AMS_Kyoto_run3_MTE!W439</f>
        <v>38.800105175182054</v>
      </c>
      <c r="S141" s="711">
        <f>Bilans_E_AMS_Kyoto_run3_MTE!X439</f>
        <v>0</v>
      </c>
      <c r="T141" s="711">
        <f>Bilans_E_AMS_Kyoto_run3_MTE!Y439</f>
        <v>2.3301224997410235</v>
      </c>
      <c r="U141" s="711">
        <f>Bilans_E_AMS_Kyoto_run3_MTE!Z439</f>
        <v>52.66285899490984</v>
      </c>
      <c r="V141" s="701"/>
      <c r="W141" s="701"/>
    </row>
    <row r="142" spans="1:23" x14ac:dyDescent="0.25">
      <c r="A142" s="701" t="s">
        <v>505</v>
      </c>
      <c r="B142" s="701"/>
      <c r="C142" s="717" t="s">
        <v>76</v>
      </c>
      <c r="D142" s="711">
        <f>Bilans_E_AMS_Kyoto_run3_MTE!H440</f>
        <v>0</v>
      </c>
      <c r="E142" s="711">
        <f>Bilans_E_AMS_Kyoto_run3_MTE!I440</f>
        <v>0</v>
      </c>
      <c r="F142" s="711">
        <f>Bilans_E_AMS_Kyoto_run3_MTE!J440</f>
        <v>0</v>
      </c>
      <c r="G142" s="711">
        <f>Bilans_E_AMS_Kyoto_run3_MTE!K440</f>
        <v>0</v>
      </c>
      <c r="H142" s="711">
        <f>Bilans_E_AMS_Kyoto_run3_MTE!L440</f>
        <v>1.1543235485411594</v>
      </c>
      <c r="I142" s="711">
        <f>Bilans_E_AMS_Kyoto_run3_MTE!M440</f>
        <v>0</v>
      </c>
      <c r="J142" s="711">
        <f>Bilans_E_AMS_Kyoto_run3_MTE!N440</f>
        <v>0</v>
      </c>
      <c r="K142" s="711">
        <f>Bilans_E_AMS_Kyoto_run3_MTE!O440</f>
        <v>0</v>
      </c>
      <c r="L142" s="711">
        <f>Bilans_E_AMS_Kyoto_run3_MTE!P440</f>
        <v>0</v>
      </c>
      <c r="M142" s="711">
        <f>Bilans_E_AMS_Kyoto_run3_MTE!Q440</f>
        <v>0</v>
      </c>
      <c r="N142" s="711">
        <f>Bilans_E_AMS_Kyoto_run3_MTE!R440</f>
        <v>0</v>
      </c>
      <c r="O142" s="711">
        <f>Bilans_E_AMS_Kyoto_run3_MTE!S440</f>
        <v>0.76954903236077299</v>
      </c>
      <c r="P142" s="711">
        <f>Bilans_E_AMS_Kyoto_run3_MTE!T440+Bilans_E_AMS_Kyoto_run3_MTE!U440</f>
        <v>0</v>
      </c>
      <c r="Q142" s="711">
        <f>Bilans_E_AMS_Kyoto_run3_MTE!V440</f>
        <v>0</v>
      </c>
      <c r="R142" s="711">
        <f>Bilans_E_AMS_Kyoto_run3_MTE!W440</f>
        <v>55.568340190332414</v>
      </c>
      <c r="S142" s="711">
        <f>Bilans_E_AMS_Kyoto_run3_MTE!X440</f>
        <v>7.0126401757775509</v>
      </c>
      <c r="T142" s="711">
        <f>Bilans_E_AMS_Kyoto_run3_MTE!Y440</f>
        <v>0</v>
      </c>
      <c r="U142" s="711">
        <f>Bilans_E_AMS_Kyoto_run3_MTE!Z440</f>
        <v>64.504852947011898</v>
      </c>
      <c r="V142" s="701"/>
      <c r="W142" s="701"/>
    </row>
    <row r="143" spans="1:23" x14ac:dyDescent="0.25">
      <c r="A143" s="701" t="s">
        <v>506</v>
      </c>
      <c r="B143" s="701"/>
      <c r="C143" s="713" t="s">
        <v>77</v>
      </c>
      <c r="D143" s="714">
        <f>Bilans_E_AMS_Kyoto_run3_MTE!H441</f>
        <v>11.840306396484376</v>
      </c>
      <c r="E143" s="714">
        <f>Bilans_E_AMS_Kyoto_run3_MTE!I441</f>
        <v>228.52698065701114</v>
      </c>
      <c r="F143" s="714">
        <f>Bilans_E_AMS_Kyoto_run3_MTE!J441</f>
        <v>-215.16927865141872</v>
      </c>
      <c r="G143" s="714">
        <f>Bilans_E_AMS_Kyoto_run3_MTE!K441</f>
        <v>-5.3675968512762449</v>
      </c>
      <c r="H143" s="714">
        <f>Bilans_E_AMS_Kyoto_run3_MTE!L441</f>
        <v>14.951693796815011</v>
      </c>
      <c r="I143" s="714">
        <f>Bilans_E_AMS_Kyoto_run3_MTE!M441</f>
        <v>-0.99259685127624475</v>
      </c>
      <c r="J143" s="714">
        <f>Bilans_E_AMS_Kyoto_run3_MTE!N441</f>
        <v>1217.3350254612858</v>
      </c>
      <c r="K143" s="714">
        <f>Bilans_E_AMS_Kyoto_run3_MTE!O441</f>
        <v>388.29502398919544</v>
      </c>
      <c r="L143" s="714">
        <f>Bilans_E_AMS_Kyoto_run3_MTE!P441</f>
        <v>255.15325459036612</v>
      </c>
      <c r="M143" s="714">
        <f>Bilans_E_AMS_Kyoto_run3_MTE!Q441</f>
        <v>38.768704949841634</v>
      </c>
      <c r="N143" s="714">
        <f>Bilans_E_AMS_Kyoto_run3_MTE!R441</f>
        <v>-49.800698638984656</v>
      </c>
      <c r="O143" s="714">
        <f>Bilans_E_AMS_Kyoto_run3_MTE!S441</f>
        <v>-56.411694494246213</v>
      </c>
      <c r="P143" s="714">
        <f>Bilans_E_AMS_Kyoto_run3_MTE!T441+Bilans_E_AMS_Kyoto_run3_MTE!U441</f>
        <v>17.004200785241363</v>
      </c>
      <c r="Q143" s="714">
        <f>Bilans_E_AMS_Kyoto_run3_MTE!V441</f>
        <v>22.157257652094906</v>
      </c>
      <c r="R143" s="714">
        <f>Bilans_E_AMS_Kyoto_run3_MTE!W441</f>
        <v>-664.74747380843064</v>
      </c>
      <c r="S143" s="714">
        <f>Bilans_E_AMS_Kyoto_run3_MTE!X441</f>
        <v>-83.423802565967307</v>
      </c>
      <c r="T143" s="714">
        <f>Bilans_E_AMS_Kyoto_run3_MTE!Y441</f>
        <v>-19.246415638918862</v>
      </c>
      <c r="U143" s="714">
        <f>Bilans_E_AMS_Kyoto_run3_MTE!Z441</f>
        <v>1098.8728907778168</v>
      </c>
      <c r="V143" s="701"/>
      <c r="W143" s="701"/>
    </row>
    <row r="144" spans="1:23" x14ac:dyDescent="0.25">
      <c r="A144" s="701"/>
      <c r="B144" s="701"/>
      <c r="C144" s="715"/>
      <c r="D144" s="716"/>
      <c r="E144" s="716"/>
      <c r="F144" s="716"/>
      <c r="G144" s="716"/>
      <c r="H144" s="716"/>
      <c r="I144" s="716"/>
      <c r="J144" s="716"/>
      <c r="K144" s="716"/>
      <c r="L144" s="716"/>
      <c r="M144" s="716"/>
      <c r="N144" s="716"/>
      <c r="O144" s="716"/>
      <c r="P144" s="716">
        <f>Bilans_E_AMS_Kyoto_run3_MTE!T442+Bilans_E_AMS_Kyoto_run3_MTE!U442</f>
        <v>0</v>
      </c>
      <c r="Q144" s="716"/>
      <c r="R144" s="716"/>
      <c r="S144" s="716"/>
      <c r="T144" s="716"/>
      <c r="U144" s="716"/>
      <c r="V144" s="701"/>
      <c r="W144" s="701"/>
    </row>
    <row r="145" spans="1:23" x14ac:dyDescent="0.25">
      <c r="A145" s="701" t="s">
        <v>507</v>
      </c>
      <c r="B145" s="701"/>
      <c r="C145" s="717" t="s">
        <v>78</v>
      </c>
      <c r="D145" s="711">
        <f>Bilans_E_AMS_Kyoto_run3_MTE!H443</f>
        <v>0.31248754882812502</v>
      </c>
      <c r="E145" s="711">
        <f>Bilans_E_AMS_Kyoto_run3_MTE!I443</f>
        <v>0</v>
      </c>
      <c r="F145" s="711">
        <f>Bilans_E_AMS_Kyoto_run3_MTE!J443</f>
        <v>3.1554639427466697</v>
      </c>
      <c r="G145" s="711">
        <f>Bilans_E_AMS_Kyoto_run3_MTE!K443</f>
        <v>0</v>
      </c>
      <c r="H145" s="711">
        <f>Bilans_E_AMS_Kyoto_run3_MTE!L443</f>
        <v>37.01033714688981</v>
      </c>
      <c r="I145" s="711">
        <f>Bilans_E_AMS_Kyoto_run3_MTE!M443</f>
        <v>0</v>
      </c>
      <c r="J145" s="711">
        <f>Bilans_E_AMS_Kyoto_run3_MTE!N443</f>
        <v>0</v>
      </c>
      <c r="K145" s="711">
        <f>Bilans_E_AMS_Kyoto_run3_MTE!O443</f>
        <v>0</v>
      </c>
      <c r="L145" s="711">
        <f>Bilans_E_AMS_Kyoto_run3_MTE!P443</f>
        <v>37.391289864504934</v>
      </c>
      <c r="M145" s="711">
        <f>Bilans_E_AMS_Kyoto_run3_MTE!Q443</f>
        <v>8.8042095890605694</v>
      </c>
      <c r="N145" s="711">
        <f>Bilans_E_AMS_Kyoto_run3_MTE!R443</f>
        <v>0.65571165030445222</v>
      </c>
      <c r="O145" s="711">
        <f>Bilans_E_AMS_Kyoto_run3_MTE!S443</f>
        <v>24.712220905509611</v>
      </c>
      <c r="P145" s="711">
        <f>Bilans_E_AMS_Kyoto_run3_MTE!T443+Bilans_E_AMS_Kyoto_run3_MTE!U443</f>
        <v>10.938740234375</v>
      </c>
      <c r="Q145" s="711">
        <f>Bilans_E_AMS_Kyoto_run3_MTE!V443</f>
        <v>7.8820466826144567E-4</v>
      </c>
      <c r="R145" s="711">
        <f>Bilans_E_AMS_Kyoto_run3_MTE!W443</f>
        <v>154.95335920514725</v>
      </c>
      <c r="S145" s="711">
        <f>Bilans_E_AMS_Kyoto_run3_MTE!X443</f>
        <v>19.589550837757145</v>
      </c>
      <c r="T145" s="711">
        <f>Bilans_E_AMS_Kyoto_run3_MTE!Y443</f>
        <v>8.8214501953125009</v>
      </c>
      <c r="U145" s="711">
        <f>Bilans_E_AMS_Kyoto_run3_MTE!Z443</f>
        <v>306.34560932510431</v>
      </c>
      <c r="V145" s="701"/>
      <c r="W145" s="701"/>
    </row>
    <row r="146" spans="1:23" x14ac:dyDescent="0.25">
      <c r="A146" s="701" t="s">
        <v>508</v>
      </c>
      <c r="B146" s="701"/>
      <c r="C146" s="717" t="s">
        <v>79</v>
      </c>
      <c r="D146" s="711">
        <f>Bilans_E_AMS_Kyoto_run3_MTE!H444</f>
        <v>0</v>
      </c>
      <c r="E146" s="711">
        <f>Bilans_E_AMS_Kyoto_run3_MTE!I444</f>
        <v>0</v>
      </c>
      <c r="F146" s="711">
        <f>Bilans_E_AMS_Kyoto_run3_MTE!J444</f>
        <v>101.77401649068347</v>
      </c>
      <c r="G146" s="711">
        <f>Bilans_E_AMS_Kyoto_run3_MTE!K444</f>
        <v>1</v>
      </c>
      <c r="H146" s="711">
        <f>Bilans_E_AMS_Kyoto_run3_MTE!L444</f>
        <v>4.5438942798277537</v>
      </c>
      <c r="I146" s="711">
        <f>Bilans_E_AMS_Kyoto_run3_MTE!M444</f>
        <v>0</v>
      </c>
      <c r="J146" s="711">
        <f>Bilans_E_AMS_Kyoto_run3_MTE!N444</f>
        <v>0</v>
      </c>
      <c r="K146" s="711">
        <f>Bilans_E_AMS_Kyoto_run3_MTE!O444</f>
        <v>0</v>
      </c>
      <c r="L146" s="711">
        <f>Bilans_E_AMS_Kyoto_run3_MTE!P444</f>
        <v>0</v>
      </c>
      <c r="M146" s="711">
        <f>Bilans_E_AMS_Kyoto_run3_MTE!Q444</f>
        <v>0</v>
      </c>
      <c r="N146" s="711">
        <f>Bilans_E_AMS_Kyoto_run3_MTE!R444</f>
        <v>35.960574276816558</v>
      </c>
      <c r="O146" s="711">
        <f>Bilans_E_AMS_Kyoto_run3_MTE!S444</f>
        <v>3.0292628532185026</v>
      </c>
      <c r="P146" s="711">
        <f>Bilans_E_AMS_Kyoto_run3_MTE!T444+Bilans_E_AMS_Kyoto_run3_MTE!U444</f>
        <v>0</v>
      </c>
      <c r="Q146" s="711">
        <f>Bilans_E_AMS_Kyoto_run3_MTE!V444</f>
        <v>0</v>
      </c>
      <c r="R146" s="711">
        <f>Bilans_E_AMS_Kyoto_run3_MTE!W444</f>
        <v>98.588545998647945</v>
      </c>
      <c r="S146" s="711">
        <f>Bilans_E_AMS_Kyoto_run3_MTE!X444</f>
        <v>0</v>
      </c>
      <c r="T146" s="711">
        <f>Bilans_E_AMS_Kyoto_run3_MTE!Y444</f>
        <v>4.4541562271539039</v>
      </c>
      <c r="U146" s="711">
        <f>Bilans_E_AMS_Kyoto_run3_MTE!Z444</f>
        <v>249.35045012634814</v>
      </c>
      <c r="V146" s="701"/>
      <c r="W146" s="701"/>
    </row>
    <row r="147" spans="1:23" x14ac:dyDescent="0.25">
      <c r="A147" s="701" t="s">
        <v>509</v>
      </c>
      <c r="B147" s="701"/>
      <c r="C147" s="717" t="s">
        <v>80</v>
      </c>
      <c r="D147" s="711">
        <f>Bilans_E_AMS_Kyoto_run3_MTE!H445</f>
        <v>0</v>
      </c>
      <c r="E147" s="711">
        <f>Bilans_E_AMS_Kyoto_run3_MTE!I445</f>
        <v>0</v>
      </c>
      <c r="F147" s="711">
        <f>Bilans_E_AMS_Kyoto_run3_MTE!J445</f>
        <v>0.45829125770018231</v>
      </c>
      <c r="G147" s="711">
        <f>Bilans_E_AMS_Kyoto_run3_MTE!K445</f>
        <v>0</v>
      </c>
      <c r="H147" s="711">
        <f>Bilans_E_AMS_Kyoto_run3_MTE!L445</f>
        <v>23.558204689169596</v>
      </c>
      <c r="I147" s="711">
        <f>Bilans_E_AMS_Kyoto_run3_MTE!M445</f>
        <v>0</v>
      </c>
      <c r="J147" s="711">
        <f>Bilans_E_AMS_Kyoto_run3_MTE!N445</f>
        <v>0</v>
      </c>
      <c r="K147" s="711">
        <f>Bilans_E_AMS_Kyoto_run3_MTE!O445</f>
        <v>0</v>
      </c>
      <c r="L147" s="711">
        <f>Bilans_E_AMS_Kyoto_run3_MTE!P445</f>
        <v>44.494417008077924</v>
      </c>
      <c r="M147" s="711">
        <f>Bilans_E_AMS_Kyoto_run3_MTE!Q445</f>
        <v>0</v>
      </c>
      <c r="N147" s="711">
        <f>Bilans_E_AMS_Kyoto_run3_MTE!R445</f>
        <v>0</v>
      </c>
      <c r="O147" s="711">
        <f>Bilans_E_AMS_Kyoto_run3_MTE!S445</f>
        <v>15.705469792779732</v>
      </c>
      <c r="P147" s="711">
        <f>Bilans_E_AMS_Kyoto_run3_MTE!T445+Bilans_E_AMS_Kyoto_run3_MTE!U445</f>
        <v>136.92844956569715</v>
      </c>
      <c r="Q147" s="711">
        <f>Bilans_E_AMS_Kyoto_run3_MTE!V445</f>
        <v>11.112810725871574</v>
      </c>
      <c r="R147" s="711">
        <f>Bilans_E_AMS_Kyoto_run3_MTE!W445</f>
        <v>151.24868898897191</v>
      </c>
      <c r="S147" s="711">
        <f>Bilans_E_AMS_Kyoto_run3_MTE!X445</f>
        <v>40.573888251039236</v>
      </c>
      <c r="T147" s="711">
        <f>Bilans_E_AMS_Kyoto_run3_MTE!Y445</f>
        <v>0</v>
      </c>
      <c r="U147" s="711">
        <f>Bilans_E_AMS_Kyoto_run3_MTE!Z445</f>
        <v>424.0802202793073</v>
      </c>
      <c r="V147" s="701"/>
      <c r="W147" s="701"/>
    </row>
    <row r="148" spans="1:23" x14ac:dyDescent="0.25">
      <c r="A148" s="701" t="s">
        <v>510</v>
      </c>
      <c r="B148" s="701"/>
      <c r="C148" s="717" t="s">
        <v>81</v>
      </c>
      <c r="D148" s="711">
        <f>Bilans_E_AMS_Kyoto_run3_MTE!H446</f>
        <v>0</v>
      </c>
      <c r="E148" s="711">
        <f>Bilans_E_AMS_Kyoto_run3_MTE!I446</f>
        <v>0</v>
      </c>
      <c r="F148" s="711">
        <f>Bilans_E_AMS_Kyoto_run3_MTE!J446</f>
        <v>0.72441471608254671</v>
      </c>
      <c r="G148" s="711">
        <f>Bilans_E_AMS_Kyoto_run3_MTE!K446</f>
        <v>0</v>
      </c>
      <c r="H148" s="711">
        <f>Bilans_E_AMS_Kyoto_run3_MTE!L446</f>
        <v>16.529932147980702</v>
      </c>
      <c r="I148" s="711">
        <f>Bilans_E_AMS_Kyoto_run3_MTE!M446</f>
        <v>0</v>
      </c>
      <c r="J148" s="711">
        <f>Bilans_E_AMS_Kyoto_run3_MTE!N446</f>
        <v>0</v>
      </c>
      <c r="K148" s="711">
        <f>Bilans_E_AMS_Kyoto_run3_MTE!O446</f>
        <v>0</v>
      </c>
      <c r="L148" s="711">
        <f>Bilans_E_AMS_Kyoto_run3_MTE!P446</f>
        <v>0.53348745170182088</v>
      </c>
      <c r="M148" s="711">
        <f>Bilans_E_AMS_Kyoto_run3_MTE!Q446</f>
        <v>0</v>
      </c>
      <c r="N148" s="711">
        <f>Bilans_E_AMS_Kyoto_run3_MTE!R446</f>
        <v>0</v>
      </c>
      <c r="O148" s="711">
        <f>Bilans_E_AMS_Kyoto_run3_MTE!S446</f>
        <v>11.019954765320469</v>
      </c>
      <c r="P148" s="711">
        <f>Bilans_E_AMS_Kyoto_run3_MTE!T446+Bilans_E_AMS_Kyoto_run3_MTE!U446</f>
        <v>52.106590615041483</v>
      </c>
      <c r="Q148" s="711">
        <f>Bilans_E_AMS_Kyoto_run3_MTE!V446</f>
        <v>10.099133053150796</v>
      </c>
      <c r="R148" s="711">
        <f>Bilans_E_AMS_Kyoto_run3_MTE!W446</f>
        <v>121.37238070067973</v>
      </c>
      <c r="S148" s="711">
        <f>Bilans_E_AMS_Kyoto_run3_MTE!X446</f>
        <v>23.260331591038877</v>
      </c>
      <c r="T148" s="711">
        <f>Bilans_E_AMS_Kyoto_run3_MTE!Y446</f>
        <v>0</v>
      </c>
      <c r="U148" s="711">
        <f>Bilans_E_AMS_Kyoto_run3_MTE!Z446</f>
        <v>235.6462250409964</v>
      </c>
      <c r="V148" s="701"/>
      <c r="W148" s="701"/>
    </row>
    <row r="149" spans="1:23" x14ac:dyDescent="0.25">
      <c r="A149" s="701" t="s">
        <v>511</v>
      </c>
      <c r="B149" s="701"/>
      <c r="C149" s="717" t="s">
        <v>82</v>
      </c>
      <c r="D149" s="711">
        <f>Bilans_E_AMS_Kyoto_run3_MTE!H447</f>
        <v>0</v>
      </c>
      <c r="E149" s="711">
        <f>Bilans_E_AMS_Kyoto_run3_MTE!I447</f>
        <v>0</v>
      </c>
      <c r="F149" s="711">
        <f>Bilans_E_AMS_Kyoto_run3_MTE!J447</f>
        <v>13.844421020879521</v>
      </c>
      <c r="G149" s="711">
        <f>Bilans_E_AMS_Kyoto_run3_MTE!K447</f>
        <v>0</v>
      </c>
      <c r="H149" s="711">
        <f>Bilans_E_AMS_Kyoto_run3_MTE!L447</f>
        <v>0.75389053295489317</v>
      </c>
      <c r="I149" s="711">
        <f>Bilans_E_AMS_Kyoto_run3_MTE!M447</f>
        <v>0</v>
      </c>
      <c r="J149" s="711">
        <f>Bilans_E_AMS_Kyoto_run3_MTE!N447</f>
        <v>0</v>
      </c>
      <c r="K149" s="711">
        <f>Bilans_E_AMS_Kyoto_run3_MTE!O447</f>
        <v>0</v>
      </c>
      <c r="L149" s="711">
        <f>Bilans_E_AMS_Kyoto_run3_MTE!P447</f>
        <v>15.52633161671044</v>
      </c>
      <c r="M149" s="711">
        <f>Bilans_E_AMS_Kyoto_run3_MTE!Q447</f>
        <v>0</v>
      </c>
      <c r="N149" s="711">
        <f>Bilans_E_AMS_Kyoto_run3_MTE!R447</f>
        <v>6.9560280843062596</v>
      </c>
      <c r="O149" s="711">
        <f>Bilans_E_AMS_Kyoto_run3_MTE!S447</f>
        <v>0.50259368863659548</v>
      </c>
      <c r="P149" s="711">
        <f>Bilans_E_AMS_Kyoto_run3_MTE!T447+Bilans_E_AMS_Kyoto_run3_MTE!U447</f>
        <v>1</v>
      </c>
      <c r="Q149" s="711">
        <f>Bilans_E_AMS_Kyoto_run3_MTE!V447</f>
        <v>1.300620381405156</v>
      </c>
      <c r="R149" s="711">
        <f>Bilans_E_AMS_Kyoto_run3_MTE!W447</f>
        <v>9.5059865656589242</v>
      </c>
      <c r="S149" s="711">
        <f>Bilans_E_AMS_Kyoto_run3_MTE!X447</f>
        <v>0</v>
      </c>
      <c r="T149" s="711">
        <f>Bilans_E_AMS_Kyoto_run3_MTE!Y447</f>
        <v>0.43956597389567681</v>
      </c>
      <c r="U149" s="711">
        <f>Bilans_E_AMS_Kyoto_run3_MTE!Z447</f>
        <v>49.829437864447456</v>
      </c>
      <c r="V149" s="701"/>
      <c r="W149" s="701"/>
    </row>
    <row r="150" spans="1:23" x14ac:dyDescent="0.25">
      <c r="A150" s="701" t="s">
        <v>512</v>
      </c>
      <c r="B150" s="701"/>
      <c r="C150" s="717" t="s">
        <v>354</v>
      </c>
      <c r="D150" s="711">
        <f>Bilans_E_AMS_Kyoto_run3_MTE!H448</f>
        <v>0</v>
      </c>
      <c r="E150" s="711">
        <f>Bilans_E_AMS_Kyoto_run3_MTE!I448</f>
        <v>0</v>
      </c>
      <c r="F150" s="711">
        <f>Bilans_E_AMS_Kyoto_run3_MTE!J448</f>
        <v>0</v>
      </c>
      <c r="G150" s="711">
        <f>Bilans_E_AMS_Kyoto_run3_MTE!K448</f>
        <v>0</v>
      </c>
      <c r="H150" s="711">
        <f>Bilans_E_AMS_Kyoto_run3_MTE!L448</f>
        <v>0</v>
      </c>
      <c r="I150" s="711">
        <f>Bilans_E_AMS_Kyoto_run3_MTE!M448</f>
        <v>0</v>
      </c>
      <c r="J150" s="711">
        <f>Bilans_E_AMS_Kyoto_run3_MTE!N448</f>
        <v>0</v>
      </c>
      <c r="K150" s="711">
        <f>Bilans_E_AMS_Kyoto_run3_MTE!O448</f>
        <v>0</v>
      </c>
      <c r="L150" s="711">
        <f>Bilans_E_AMS_Kyoto_run3_MTE!P448</f>
        <v>0</v>
      </c>
      <c r="M150" s="711">
        <f>Bilans_E_AMS_Kyoto_run3_MTE!Q448</f>
        <v>0</v>
      </c>
      <c r="N150" s="711">
        <f>Bilans_E_AMS_Kyoto_run3_MTE!R448</f>
        <v>0</v>
      </c>
      <c r="O150" s="711">
        <f>Bilans_E_AMS_Kyoto_run3_MTE!S448</f>
        <v>0</v>
      </c>
      <c r="P150" s="711">
        <f>Bilans_E_AMS_Kyoto_run3_MTE!T448+Bilans_E_AMS_Kyoto_run3_MTE!U448</f>
        <v>0</v>
      </c>
      <c r="Q150" s="711">
        <f>Bilans_E_AMS_Kyoto_run3_MTE!V448</f>
        <v>0</v>
      </c>
      <c r="R150" s="711">
        <f>Bilans_E_AMS_Kyoto_run3_MTE!W448</f>
        <v>3.6</v>
      </c>
      <c r="S150" s="711">
        <f>Bilans_E_AMS_Kyoto_run3_MTE!X448</f>
        <v>0</v>
      </c>
      <c r="T150" s="711">
        <f>Bilans_E_AMS_Kyoto_run3_MTE!Y448</f>
        <v>0</v>
      </c>
      <c r="U150" s="711">
        <f>Bilans_E_AMS_Kyoto_run3_MTE!Z448</f>
        <v>3.6</v>
      </c>
      <c r="V150" s="701"/>
      <c r="W150" s="701"/>
    </row>
    <row r="151" spans="1:23" x14ac:dyDescent="0.25">
      <c r="A151" s="701" t="s">
        <v>513</v>
      </c>
      <c r="B151" s="701"/>
      <c r="C151" s="713" t="s">
        <v>83</v>
      </c>
      <c r="D151" s="714">
        <f>Bilans_E_AMS_Kyoto_run3_MTE!H449</f>
        <v>0.31248754882812502</v>
      </c>
      <c r="E151" s="714">
        <f>Bilans_E_AMS_Kyoto_run3_MTE!I449</f>
        <v>0</v>
      </c>
      <c r="F151" s="714">
        <f>Bilans_E_AMS_Kyoto_run3_MTE!J449</f>
        <v>119.95660742809238</v>
      </c>
      <c r="G151" s="714">
        <f>Bilans_E_AMS_Kyoto_run3_MTE!K449</f>
        <v>1</v>
      </c>
      <c r="H151" s="714">
        <f>Bilans_E_AMS_Kyoto_run3_MTE!L449</f>
        <v>82.396258796822764</v>
      </c>
      <c r="I151" s="714">
        <f>Bilans_E_AMS_Kyoto_run3_MTE!M449</f>
        <v>0</v>
      </c>
      <c r="J151" s="714">
        <f>Bilans_E_AMS_Kyoto_run3_MTE!N449</f>
        <v>0</v>
      </c>
      <c r="K151" s="714">
        <f>Bilans_E_AMS_Kyoto_run3_MTE!O449</f>
        <v>0</v>
      </c>
      <c r="L151" s="714">
        <f>Bilans_E_AMS_Kyoto_run3_MTE!P449</f>
        <v>97.945525940995111</v>
      </c>
      <c r="M151" s="714">
        <f>Bilans_E_AMS_Kyoto_run3_MTE!Q449</f>
        <v>8.8042095890605694</v>
      </c>
      <c r="N151" s="714">
        <f>Bilans_E_AMS_Kyoto_run3_MTE!R449</f>
        <v>43.572314011427274</v>
      </c>
      <c r="O151" s="714">
        <f>Bilans_E_AMS_Kyoto_run3_MTE!S449</f>
        <v>54.969502005464911</v>
      </c>
      <c r="P151" s="714">
        <f>Bilans_E_AMS_Kyoto_run3_MTE!T449+Bilans_E_AMS_Kyoto_run3_MTE!U449</f>
        <v>200.97378041511362</v>
      </c>
      <c r="Q151" s="714">
        <f>Bilans_E_AMS_Kyoto_run3_MTE!V449</f>
        <v>22.513352365095788</v>
      </c>
      <c r="R151" s="714">
        <f>Bilans_E_AMS_Kyoto_run3_MTE!W449</f>
        <v>539.26896145910575</v>
      </c>
      <c r="S151" s="714">
        <f>Bilans_E_AMS_Kyoto_run3_MTE!X449</f>
        <v>83.423770679835258</v>
      </c>
      <c r="T151" s="714">
        <f>Bilans_E_AMS_Kyoto_run3_MTE!Y449</f>
        <v>13.715172396362082</v>
      </c>
      <c r="U151" s="714">
        <f>Bilans_E_AMS_Kyoto_run3_MTE!Z449</f>
        <v>1268.8519426362036</v>
      </c>
      <c r="V151" s="701"/>
      <c r="W151" s="701"/>
    </row>
    <row r="152" spans="1:23" x14ac:dyDescent="0.25">
      <c r="A152" s="701" t="s">
        <v>514</v>
      </c>
      <c r="B152" s="701"/>
      <c r="C152" s="710" t="s">
        <v>84</v>
      </c>
      <c r="D152" s="711">
        <f>Bilans_E_AMS_Kyoto_run3_MTE!H450</f>
        <v>0</v>
      </c>
      <c r="E152" s="711">
        <f>Bilans_E_AMS_Kyoto_run3_MTE!I450</f>
        <v>0</v>
      </c>
      <c r="F152" s="711">
        <f>Bilans_E_AMS_Kyoto_run3_MTE!J450</f>
        <v>102.03544321387012</v>
      </c>
      <c r="G152" s="711">
        <f>Bilans_E_AMS_Kyoto_run3_MTE!K450</f>
        <v>2.4611725721851321</v>
      </c>
      <c r="H152" s="711">
        <f>Bilans_E_AMS_Kyoto_run3_MTE!L450</f>
        <v>12.555456003161671</v>
      </c>
      <c r="I152" s="711">
        <f>Bilans_E_AMS_Kyoto_run3_MTE!M450</f>
        <v>0</v>
      </c>
      <c r="J152" s="711">
        <f>Bilans_E_AMS_Kyoto_run3_MTE!N450</f>
        <v>0</v>
      </c>
      <c r="K152" s="711">
        <f>Bilans_E_AMS_Kyoto_run3_MTE!O450</f>
        <v>0</v>
      </c>
      <c r="L152" s="711">
        <f>Bilans_E_AMS_Kyoto_run3_MTE!P450</f>
        <v>0.48630321782953712</v>
      </c>
      <c r="M152" s="711">
        <f>Bilans_E_AMS_Kyoto_run3_MTE!Q450</f>
        <v>0</v>
      </c>
      <c r="N152" s="711">
        <f>Bilans_E_AMS_Kyoto_run3_MTE!R450</f>
        <v>3.8692083880096835</v>
      </c>
      <c r="O152" s="711">
        <f>Bilans_E_AMS_Kyoto_run3_MTE!S450</f>
        <v>0</v>
      </c>
      <c r="P152" s="711">
        <f>Bilans_E_AMS_Kyoto_run3_MTE!T450+Bilans_E_AMS_Kyoto_run3_MTE!U450</f>
        <v>0</v>
      </c>
      <c r="Q152" s="711">
        <f>Bilans_E_AMS_Kyoto_run3_MTE!V450</f>
        <v>0</v>
      </c>
      <c r="R152" s="711">
        <f>Bilans_E_AMS_Kyoto_run3_MTE!W450</f>
        <v>0</v>
      </c>
      <c r="S152" s="711">
        <f>Bilans_E_AMS_Kyoto_run3_MTE!X450</f>
        <v>0</v>
      </c>
      <c r="T152" s="711">
        <f>Bilans_E_AMS_Kyoto_run3_MTE!Y450</f>
        <v>1.8671101278544562</v>
      </c>
      <c r="U152" s="711">
        <f>Bilans_E_AMS_Kyoto_run3_MTE!Z450</f>
        <v>123.27469352291061</v>
      </c>
      <c r="V152" s="701"/>
      <c r="W152" s="701"/>
    </row>
    <row r="153" spans="1:23" x14ac:dyDescent="0.25">
      <c r="A153" s="701" t="s">
        <v>515</v>
      </c>
      <c r="B153" s="701"/>
      <c r="C153" s="713" t="s">
        <v>85</v>
      </c>
      <c r="D153" s="714">
        <f>Bilans_E_AMS_Kyoto_run3_MTE!H451</f>
        <v>0.31248754882812502</v>
      </c>
      <c r="E153" s="714">
        <f>Bilans_E_AMS_Kyoto_run3_MTE!I451</f>
        <v>0</v>
      </c>
      <c r="F153" s="714">
        <f>Bilans_E_AMS_Kyoto_run3_MTE!J451</f>
        <v>221.99205064196252</v>
      </c>
      <c r="G153" s="714">
        <f>Bilans_E_AMS_Kyoto_run3_MTE!K451</f>
        <v>3.4611725721851321</v>
      </c>
      <c r="H153" s="714">
        <f>Bilans_E_AMS_Kyoto_run3_MTE!L451</f>
        <v>94.95171479998443</v>
      </c>
      <c r="I153" s="714">
        <f>Bilans_E_AMS_Kyoto_run3_MTE!M451</f>
        <v>0</v>
      </c>
      <c r="J153" s="714">
        <f>Bilans_E_AMS_Kyoto_run3_MTE!N451</f>
        <v>0</v>
      </c>
      <c r="K153" s="714">
        <f>Bilans_E_AMS_Kyoto_run3_MTE!O451</f>
        <v>0</v>
      </c>
      <c r="L153" s="714">
        <f>Bilans_E_AMS_Kyoto_run3_MTE!P451</f>
        <v>98.431829158824655</v>
      </c>
      <c r="M153" s="714">
        <f>Bilans_E_AMS_Kyoto_run3_MTE!Q451</f>
        <v>8.8042095890605694</v>
      </c>
      <c r="N153" s="714">
        <f>Bilans_E_AMS_Kyoto_run3_MTE!R451</f>
        <v>47.441522399436955</v>
      </c>
      <c r="O153" s="714">
        <f>Bilans_E_AMS_Kyoto_run3_MTE!S451</f>
        <v>54.969502005464911</v>
      </c>
      <c r="P153" s="714">
        <f>Bilans_E_AMS_Kyoto_run3_MTE!T451+Bilans_E_AMS_Kyoto_run3_MTE!U451</f>
        <v>200.97378041511362</v>
      </c>
      <c r="Q153" s="714">
        <f>Bilans_E_AMS_Kyoto_run3_MTE!V451</f>
        <v>22.513352365095788</v>
      </c>
      <c r="R153" s="714">
        <f>Bilans_E_AMS_Kyoto_run3_MTE!W451</f>
        <v>539.26896145910575</v>
      </c>
      <c r="S153" s="714">
        <f>Bilans_E_AMS_Kyoto_run3_MTE!X451</f>
        <v>83.423770679835258</v>
      </c>
      <c r="T153" s="714">
        <f>Bilans_E_AMS_Kyoto_run3_MTE!Y451</f>
        <v>15.582282524216538</v>
      </c>
      <c r="U153" s="714">
        <f>Bilans_E_AMS_Kyoto_run3_MTE!Z451</f>
        <v>1392.1266361591142</v>
      </c>
      <c r="V153" s="701"/>
      <c r="W153" s="701"/>
    </row>
    <row r="154" spans="1:23" x14ac:dyDescent="0.25">
      <c r="A154" s="701"/>
      <c r="B154" s="701"/>
      <c r="C154" s="701"/>
      <c r="D154" s="701">
        <f>Bilans_E_AMS_Kyoto_run3_MTE!H452</f>
        <v>0</v>
      </c>
      <c r="E154" s="701">
        <f>Bilans_E_AMS_Kyoto_run3_MTE!I452</f>
        <v>0</v>
      </c>
      <c r="F154" s="701">
        <f>Bilans_E_AMS_Kyoto_run3_MTE!J452</f>
        <v>5.6843418860808015E-14</v>
      </c>
      <c r="G154" s="701">
        <f>Bilans_E_AMS_Kyoto_run3_MTE!K452</f>
        <v>0</v>
      </c>
      <c r="H154" s="701">
        <f>Bilans_E_AMS_Kyoto_run3_MTE!L452</f>
        <v>0</v>
      </c>
      <c r="I154" s="701">
        <f>Bilans_E_AMS_Kyoto_run3_MTE!M452</f>
        <v>0</v>
      </c>
      <c r="J154" s="701">
        <f>Bilans_E_AMS_Kyoto_run3_MTE!N452</f>
        <v>0</v>
      </c>
      <c r="K154" s="701">
        <f>Bilans_E_AMS_Kyoto_run3_MTE!O452</f>
        <v>0</v>
      </c>
      <c r="L154" s="701">
        <f>Bilans_E_AMS_Kyoto_run3_MTE!P452</f>
        <v>0</v>
      </c>
      <c r="M154" s="701">
        <f>Bilans_E_AMS_Kyoto_run3_MTE!Q452</f>
        <v>0</v>
      </c>
      <c r="N154" s="701">
        <f>Bilans_E_AMS_Kyoto_run3_MTE!R452</f>
        <v>0</v>
      </c>
      <c r="O154" s="701">
        <f>Bilans_E_AMS_Kyoto_run3_MTE!S452</f>
        <v>1.9984014443252818E-15</v>
      </c>
      <c r="P154" s="701">
        <f>Bilans_E_AMS_Kyoto_run3_MTE!T452+Bilans_E_AMS_Kyoto_run3_MTE!U452</f>
        <v>0</v>
      </c>
      <c r="Q154" s="701">
        <f>Bilans_E_AMS_Kyoto_run3_MTE!V452</f>
        <v>0</v>
      </c>
      <c r="R154" s="701">
        <f>Bilans_E_AMS_Kyoto_run3_MTE!W452</f>
        <v>0</v>
      </c>
      <c r="S154" s="701">
        <f>Bilans_E_AMS_Kyoto_run3_MTE!X452</f>
        <v>-3.1886132049407934E-5</v>
      </c>
      <c r="T154" s="701">
        <f>Bilans_E_AMS_Kyoto_run3_MTE!Y452</f>
        <v>0</v>
      </c>
      <c r="U154" s="701">
        <f>Bilans_E_AMS_Kyoto_run3_MTE!Z452</f>
        <v>-3.1886131637293147E-5</v>
      </c>
      <c r="V154" s="701"/>
      <c r="W154" s="701"/>
    </row>
    <row r="155" spans="1:23" x14ac:dyDescent="0.25">
      <c r="A155" s="701"/>
      <c r="B155" s="701"/>
      <c r="C155" s="701"/>
      <c r="D155" s="701"/>
      <c r="E155" s="701"/>
      <c r="F155" s="701"/>
      <c r="G155" s="701"/>
      <c r="H155" s="701"/>
      <c r="I155" s="701"/>
      <c r="J155" s="701"/>
      <c r="K155" s="701"/>
      <c r="L155" s="701"/>
      <c r="M155" s="701"/>
      <c r="N155" s="701"/>
      <c r="O155" s="701"/>
      <c r="P155" s="701"/>
      <c r="Q155" s="701"/>
      <c r="R155" s="701"/>
      <c r="S155" s="701"/>
      <c r="T155" s="701"/>
      <c r="U155" s="701"/>
      <c r="V155" s="701"/>
      <c r="W155" s="701"/>
    </row>
    <row r="156" spans="1:23" x14ac:dyDescent="0.25">
      <c r="A156" s="707"/>
      <c r="B156" s="707"/>
      <c r="C156" s="708" t="s">
        <v>518</v>
      </c>
      <c r="D156" s="707"/>
      <c r="E156" s="707"/>
      <c r="F156" s="707"/>
      <c r="G156" s="707"/>
      <c r="H156" s="707"/>
      <c r="I156" s="707"/>
      <c r="J156" s="707"/>
      <c r="K156" s="707"/>
      <c r="L156" s="707"/>
      <c r="M156" s="707"/>
      <c r="N156" s="707"/>
      <c r="O156" s="707"/>
      <c r="P156" s="707"/>
      <c r="Q156" s="707"/>
      <c r="R156" s="707"/>
      <c r="S156" s="707"/>
      <c r="T156" s="707"/>
      <c r="U156" s="707"/>
      <c r="V156" s="707"/>
      <c r="W156" s="707"/>
    </row>
    <row r="157" spans="1:23" x14ac:dyDescent="0.25">
      <c r="A157" s="701"/>
      <c r="B157" s="701"/>
      <c r="C157" s="701"/>
      <c r="D157" s="701"/>
      <c r="E157" s="701"/>
      <c r="F157" s="701"/>
      <c r="G157" s="701"/>
      <c r="H157" s="701"/>
      <c r="I157" s="701"/>
      <c r="J157" s="701"/>
      <c r="K157" s="701"/>
      <c r="L157" s="701"/>
      <c r="M157" s="701"/>
      <c r="N157" s="701"/>
      <c r="O157" s="701"/>
      <c r="P157" s="701"/>
      <c r="Q157" s="701"/>
      <c r="R157" s="701"/>
      <c r="S157" s="701"/>
      <c r="T157" s="701"/>
      <c r="U157" s="701"/>
      <c r="V157" s="701"/>
      <c r="W157" s="701"/>
    </row>
    <row r="158" spans="1:23" x14ac:dyDescent="0.25">
      <c r="A158" s="701"/>
      <c r="B158" s="701"/>
      <c r="C158" s="780" t="s">
        <v>128</v>
      </c>
      <c r="D158" s="775" t="s">
        <v>42</v>
      </c>
      <c r="E158" s="775" t="s">
        <v>52</v>
      </c>
      <c r="F158" s="775" t="s">
        <v>53</v>
      </c>
      <c r="G158" s="775" t="s">
        <v>482</v>
      </c>
      <c r="H158" s="775" t="s">
        <v>32</v>
      </c>
      <c r="I158" s="775" t="s">
        <v>483</v>
      </c>
      <c r="J158" s="775" t="s">
        <v>20</v>
      </c>
      <c r="K158" s="775" t="s">
        <v>55</v>
      </c>
      <c r="L158" s="777" t="s">
        <v>56</v>
      </c>
      <c r="M158" s="778"/>
      <c r="N158" s="778"/>
      <c r="O158" s="778"/>
      <c r="P158" s="778"/>
      <c r="Q158" s="779"/>
      <c r="R158" s="775" t="s">
        <v>57</v>
      </c>
      <c r="S158" s="775" t="s">
        <v>58</v>
      </c>
      <c r="T158" s="775" t="s">
        <v>31</v>
      </c>
      <c r="U158" s="775" t="s">
        <v>10</v>
      </c>
      <c r="V158" s="701"/>
      <c r="W158" s="701"/>
    </row>
    <row r="159" spans="1:23" ht="67.5" x14ac:dyDescent="0.25">
      <c r="A159" s="701" t="s">
        <v>486</v>
      </c>
      <c r="B159" s="701"/>
      <c r="C159" s="781"/>
      <c r="D159" s="776"/>
      <c r="E159" s="776"/>
      <c r="F159" s="776"/>
      <c r="G159" s="776"/>
      <c r="H159" s="776"/>
      <c r="I159" s="776"/>
      <c r="J159" s="776"/>
      <c r="K159" s="776"/>
      <c r="L159" s="709" t="s">
        <v>335</v>
      </c>
      <c r="M159" s="709" t="s">
        <v>40</v>
      </c>
      <c r="N159" s="709" t="s">
        <v>343</v>
      </c>
      <c r="O159" s="709" t="s">
        <v>344</v>
      </c>
      <c r="P159" s="719" t="s">
        <v>610</v>
      </c>
      <c r="Q159" s="709" t="s">
        <v>346</v>
      </c>
      <c r="R159" s="776"/>
      <c r="S159" s="776"/>
      <c r="T159" s="776"/>
      <c r="U159" s="776"/>
      <c r="V159" s="701"/>
      <c r="W159" s="701"/>
    </row>
    <row r="160" spans="1:23" x14ac:dyDescent="0.25">
      <c r="A160" s="701" t="s">
        <v>487</v>
      </c>
      <c r="B160" s="701"/>
      <c r="C160" s="710" t="s">
        <v>59</v>
      </c>
      <c r="D160" s="711">
        <f>Bilans_E_AMS_Kyoto_run3_MTE!H458</f>
        <v>0</v>
      </c>
      <c r="E160" s="711">
        <f>Bilans_E_AMS_Kyoto_run3_MTE!I458</f>
        <v>0</v>
      </c>
      <c r="F160" s="711">
        <f>Bilans_E_AMS_Kyoto_run3_MTE!J458</f>
        <v>0</v>
      </c>
      <c r="G160" s="711">
        <f>Bilans_E_AMS_Kyoto_run3_MTE!K458</f>
        <v>0</v>
      </c>
      <c r="H160" s="711">
        <f>Bilans_E_AMS_Kyoto_run3_MTE!L458</f>
        <v>0</v>
      </c>
      <c r="I160" s="711">
        <f>Bilans_E_AMS_Kyoto_run3_MTE!M458</f>
        <v>0</v>
      </c>
      <c r="J160" s="711">
        <f>Bilans_E_AMS_Kyoto_run3_MTE!N458</f>
        <v>1099.5846392966657</v>
      </c>
      <c r="K160" s="711">
        <f>Bilans_E_AMS_Kyoto_run3_MTE!O458</f>
        <v>432.558137271254</v>
      </c>
      <c r="L160" s="711">
        <f>Bilans_E_AMS_Kyoto_run3_MTE!P458</f>
        <v>366.60157244104857</v>
      </c>
      <c r="M160" s="711">
        <f>Bilans_E_AMS_Kyoto_run3_MTE!Q458</f>
        <v>46.101085198672763</v>
      </c>
      <c r="N160" s="711">
        <f>Bilans_E_AMS_Kyoto_run3_MTE!R458</f>
        <v>0</v>
      </c>
      <c r="O160" s="711">
        <f>Bilans_E_AMS_Kyoto_run3_MTE!S458</f>
        <v>0</v>
      </c>
      <c r="P160" s="711">
        <f>Bilans_E_AMS_Kyoto_run3_MTE!T458+Bilans_E_AMS_Kyoto_run3_MTE!U458</f>
        <v>228.80859050100952</v>
      </c>
      <c r="Q160" s="711">
        <f>Bilans_E_AMS_Kyoto_run3_MTE!V458</f>
        <v>44.117114546253134</v>
      </c>
      <c r="R160" s="711">
        <f>Bilans_E_AMS_Kyoto_run3_MTE!W458</f>
        <v>0</v>
      </c>
      <c r="S160" s="711">
        <f>Bilans_E_AMS_Kyoto_run3_MTE!X458</f>
        <v>0</v>
      </c>
      <c r="T160" s="711">
        <f>Bilans_E_AMS_Kyoto_run3_MTE!Y458</f>
        <v>0</v>
      </c>
      <c r="U160" s="711">
        <f>Bilans_E_AMS_Kyoto_run3_MTE!Z458</f>
        <v>2217.7711392549036</v>
      </c>
      <c r="V160" s="701"/>
      <c r="W160" s="701"/>
    </row>
    <row r="161" spans="1:23" x14ac:dyDescent="0.25">
      <c r="A161" s="701" t="s">
        <v>488</v>
      </c>
      <c r="B161" s="701"/>
      <c r="C161" s="710" t="s">
        <v>60</v>
      </c>
      <c r="D161" s="712">
        <f>Bilans_E_AMS_Kyoto_run3_MTE!H459</f>
        <v>4.7190318603515626</v>
      </c>
      <c r="E161" s="712">
        <f>Bilans_E_AMS_Kyoto_run3_MTE!I459</f>
        <v>177.55502583689511</v>
      </c>
      <c r="F161" s="712">
        <f>Bilans_E_AMS_Kyoto_run3_MTE!J459</f>
        <v>35.526382887078427</v>
      </c>
      <c r="G161" s="712">
        <f>Bilans_E_AMS_Kyoto_run3_MTE!K459</f>
        <v>8.2447057853181924</v>
      </c>
      <c r="H161" s="712">
        <f>Bilans_E_AMS_Kyoto_run3_MTE!L459</f>
        <v>93.790704319687649</v>
      </c>
      <c r="I161" s="712">
        <f>Bilans_E_AMS_Kyoto_run3_MTE!M459</f>
        <v>0</v>
      </c>
      <c r="J161" s="712">
        <f>Bilans_E_AMS_Kyoto_run3_MTE!N459</f>
        <v>0</v>
      </c>
      <c r="K161" s="712">
        <f>Bilans_E_AMS_Kyoto_run3_MTE!O459</f>
        <v>0</v>
      </c>
      <c r="L161" s="712">
        <f>Bilans_E_AMS_Kyoto_run3_MTE!P459</f>
        <v>7.7767614364420297</v>
      </c>
      <c r="M161" s="712">
        <f>Bilans_E_AMS_Kyoto_run3_MTE!Q459</f>
        <v>0</v>
      </c>
      <c r="N161" s="712">
        <f>Bilans_E_AMS_Kyoto_run3_MTE!R459</f>
        <v>7.7564977806323299</v>
      </c>
      <c r="O161" s="712">
        <f>Bilans_E_AMS_Kyoto_run3_MTE!S459</f>
        <v>0</v>
      </c>
      <c r="P161" s="712">
        <f>Bilans_E_AMS_Kyoto_run3_MTE!T459+Bilans_E_AMS_Kyoto_run3_MTE!U459</f>
        <v>0</v>
      </c>
      <c r="Q161" s="712">
        <f>Bilans_E_AMS_Kyoto_run3_MTE!V459</f>
        <v>0</v>
      </c>
      <c r="R161" s="712">
        <f>Bilans_E_AMS_Kyoto_run3_MTE!W459</f>
        <v>0</v>
      </c>
      <c r="S161" s="712">
        <f>Bilans_E_AMS_Kyoto_run3_MTE!X459</f>
        <v>0</v>
      </c>
      <c r="T161" s="712">
        <f>Bilans_E_AMS_Kyoto_run3_MTE!Y459</f>
        <v>0</v>
      </c>
      <c r="U161" s="712">
        <f>Bilans_E_AMS_Kyoto_run3_MTE!Z459</f>
        <v>335.3691099064053</v>
      </c>
      <c r="V161" s="701"/>
      <c r="W161" s="701"/>
    </row>
    <row r="162" spans="1:23" x14ac:dyDescent="0.25">
      <c r="A162" s="701" t="s">
        <v>489</v>
      </c>
      <c r="B162" s="701"/>
      <c r="C162" s="710" t="s">
        <v>61</v>
      </c>
      <c r="D162" s="712">
        <f>Bilans_E_AMS_Kyoto_run3_MTE!H460</f>
        <v>0</v>
      </c>
      <c r="E162" s="712">
        <f>Bilans_E_AMS_Kyoto_run3_MTE!I460</f>
        <v>0</v>
      </c>
      <c r="F162" s="712">
        <f>Bilans_E_AMS_Kyoto_run3_MTE!J460</f>
        <v>0</v>
      </c>
      <c r="G162" s="712">
        <f>Bilans_E_AMS_Kyoto_run3_MTE!K460</f>
        <v>0</v>
      </c>
      <c r="H162" s="712">
        <f>Bilans_E_AMS_Kyoto_run3_MTE!L460</f>
        <v>0</v>
      </c>
      <c r="I162" s="712">
        <f>Bilans_E_AMS_Kyoto_run3_MTE!M460</f>
        <v>0</v>
      </c>
      <c r="J162" s="712">
        <f>Bilans_E_AMS_Kyoto_run3_MTE!N460</f>
        <v>0</v>
      </c>
      <c r="K162" s="712">
        <f>Bilans_E_AMS_Kyoto_run3_MTE!O460</f>
        <v>0</v>
      </c>
      <c r="L162" s="712">
        <f>Bilans_E_AMS_Kyoto_run3_MTE!P460</f>
        <v>0</v>
      </c>
      <c r="M162" s="712">
        <f>Bilans_E_AMS_Kyoto_run3_MTE!Q460</f>
        <v>0</v>
      </c>
      <c r="N162" s="712">
        <f>Bilans_E_AMS_Kyoto_run3_MTE!R460</f>
        <v>0</v>
      </c>
      <c r="O162" s="712">
        <f>Bilans_E_AMS_Kyoto_run3_MTE!S460</f>
        <v>-11.927582935629047</v>
      </c>
      <c r="P162" s="712">
        <f>Bilans_E_AMS_Kyoto_run3_MTE!T460+Bilans_E_AMS_Kyoto_run3_MTE!U460</f>
        <v>0</v>
      </c>
      <c r="Q162" s="712">
        <f>Bilans_E_AMS_Kyoto_run3_MTE!V460</f>
        <v>0</v>
      </c>
      <c r="R162" s="712">
        <f>Bilans_E_AMS_Kyoto_run3_MTE!W460</f>
        <v>-91.926243378286927</v>
      </c>
      <c r="S162" s="712">
        <f>Bilans_E_AMS_Kyoto_run3_MTE!X460</f>
        <v>0</v>
      </c>
      <c r="T162" s="712">
        <f>Bilans_E_AMS_Kyoto_run3_MTE!Y460</f>
        <v>0</v>
      </c>
      <c r="U162" s="712">
        <f>Bilans_E_AMS_Kyoto_run3_MTE!Z460</f>
        <v>-103.85382631391597</v>
      </c>
      <c r="V162" s="701"/>
      <c r="W162" s="701"/>
    </row>
    <row r="163" spans="1:23" x14ac:dyDescent="0.25">
      <c r="A163" s="701" t="s">
        <v>490</v>
      </c>
      <c r="B163" s="701"/>
      <c r="C163" s="710" t="s">
        <v>62</v>
      </c>
      <c r="D163" s="711">
        <f>Bilans_E_AMS_Kyoto_run3_MTE!H461</f>
        <v>0</v>
      </c>
      <c r="E163" s="711">
        <f>Bilans_E_AMS_Kyoto_run3_MTE!I461</f>
        <v>0</v>
      </c>
      <c r="F163" s="711">
        <f>Bilans_E_AMS_Kyoto_run3_MTE!J461</f>
        <v>-3.9597709546196729</v>
      </c>
      <c r="G163" s="711">
        <f>Bilans_E_AMS_Kyoto_run3_MTE!K461</f>
        <v>-1.6687304711455928</v>
      </c>
      <c r="H163" s="711">
        <f>Bilans_E_AMS_Kyoto_run3_MTE!L461</f>
        <v>0</v>
      </c>
      <c r="I163" s="711">
        <f>Bilans_E_AMS_Kyoto_run3_MTE!M461</f>
        <v>-1.7692389987108714</v>
      </c>
      <c r="J163" s="711">
        <f>Bilans_E_AMS_Kyoto_run3_MTE!N461</f>
        <v>0</v>
      </c>
      <c r="K163" s="711">
        <f>Bilans_E_AMS_Kyoto_run3_MTE!O461</f>
        <v>0</v>
      </c>
      <c r="L163" s="711">
        <f>Bilans_E_AMS_Kyoto_run3_MTE!P461</f>
        <v>0</v>
      </c>
      <c r="M163" s="711">
        <f>Bilans_E_AMS_Kyoto_run3_MTE!Q461</f>
        <v>0</v>
      </c>
      <c r="N163" s="711">
        <f>Bilans_E_AMS_Kyoto_run3_MTE!R461</f>
        <v>0</v>
      </c>
      <c r="O163" s="711">
        <f>Bilans_E_AMS_Kyoto_run3_MTE!S461</f>
        <v>-1.504748971161108</v>
      </c>
      <c r="P163" s="711">
        <f>Bilans_E_AMS_Kyoto_run3_MTE!T461+Bilans_E_AMS_Kyoto_run3_MTE!U461</f>
        <v>0</v>
      </c>
      <c r="Q163" s="711">
        <f>Bilans_E_AMS_Kyoto_run3_MTE!V461</f>
        <v>0</v>
      </c>
      <c r="R163" s="711">
        <f>Bilans_E_AMS_Kyoto_run3_MTE!W461</f>
        <v>0</v>
      </c>
      <c r="S163" s="711">
        <f>Bilans_E_AMS_Kyoto_run3_MTE!X461</f>
        <v>0</v>
      </c>
      <c r="T163" s="711">
        <f>Bilans_E_AMS_Kyoto_run3_MTE!Y461</f>
        <v>-0.86329073643245491</v>
      </c>
      <c r="U163" s="711">
        <f>Bilans_E_AMS_Kyoto_run3_MTE!Z461</f>
        <v>-9.7657801320697004</v>
      </c>
      <c r="V163" s="701"/>
      <c r="W163" s="701"/>
    </row>
    <row r="164" spans="1:23" x14ac:dyDescent="0.25">
      <c r="A164" s="701" t="s">
        <v>491</v>
      </c>
      <c r="B164" s="701"/>
      <c r="C164" s="710" t="s">
        <v>63</v>
      </c>
      <c r="D164" s="711">
        <f>Bilans_E_AMS_Kyoto_run3_MTE!H462</f>
        <v>0</v>
      </c>
      <c r="E164" s="711">
        <f>Bilans_E_AMS_Kyoto_run3_MTE!I462</f>
        <v>0</v>
      </c>
      <c r="F164" s="711">
        <f>Bilans_E_AMS_Kyoto_run3_MTE!J462</f>
        <v>-32.199999999999996</v>
      </c>
      <c r="G164" s="711">
        <f>Bilans_E_AMS_Kyoto_run3_MTE!K462</f>
        <v>-12.8</v>
      </c>
      <c r="H164" s="711">
        <f>Bilans_E_AMS_Kyoto_run3_MTE!L462</f>
        <v>0</v>
      </c>
      <c r="I164" s="711">
        <f>Bilans_E_AMS_Kyoto_run3_MTE!M462</f>
        <v>0</v>
      </c>
      <c r="J164" s="711">
        <f>Bilans_E_AMS_Kyoto_run3_MTE!N462</f>
        <v>0</v>
      </c>
      <c r="K164" s="711">
        <f>Bilans_E_AMS_Kyoto_run3_MTE!O462</f>
        <v>0</v>
      </c>
      <c r="L164" s="711">
        <f>Bilans_E_AMS_Kyoto_run3_MTE!P462</f>
        <v>0</v>
      </c>
      <c r="M164" s="711">
        <f>Bilans_E_AMS_Kyoto_run3_MTE!Q462</f>
        <v>0</v>
      </c>
      <c r="N164" s="711">
        <f>Bilans_E_AMS_Kyoto_run3_MTE!R462</f>
        <v>-15.600000000000001</v>
      </c>
      <c r="O164" s="711">
        <f>Bilans_E_AMS_Kyoto_run3_MTE!S462</f>
        <v>0</v>
      </c>
      <c r="P164" s="711">
        <f>Bilans_E_AMS_Kyoto_run3_MTE!T462+Bilans_E_AMS_Kyoto_run3_MTE!U462</f>
        <v>0</v>
      </c>
      <c r="Q164" s="711">
        <f>Bilans_E_AMS_Kyoto_run3_MTE!V462</f>
        <v>0</v>
      </c>
      <c r="R164" s="711">
        <f>Bilans_E_AMS_Kyoto_run3_MTE!W462</f>
        <v>0</v>
      </c>
      <c r="S164" s="711">
        <f>Bilans_E_AMS_Kyoto_run3_MTE!X462</f>
        <v>0</v>
      </c>
      <c r="T164" s="711">
        <f>Bilans_E_AMS_Kyoto_run3_MTE!Y462</f>
        <v>-4.2</v>
      </c>
      <c r="U164" s="711">
        <f>Bilans_E_AMS_Kyoto_run3_MTE!Z462</f>
        <v>-64.8</v>
      </c>
      <c r="V164" s="701"/>
      <c r="W164" s="701"/>
    </row>
    <row r="165" spans="1:23" x14ac:dyDescent="0.25">
      <c r="A165" s="701" t="s">
        <v>492</v>
      </c>
      <c r="B165" s="701"/>
      <c r="C165" s="710" t="s">
        <v>64</v>
      </c>
      <c r="D165" s="712">
        <f>Bilans_E_AMS_Kyoto_run3_MTE!H463</f>
        <v>0</v>
      </c>
      <c r="E165" s="712">
        <f>Bilans_E_AMS_Kyoto_run3_MTE!I463</f>
        <v>0</v>
      </c>
      <c r="F165" s="712">
        <f>Bilans_E_AMS_Kyoto_run3_MTE!J463</f>
        <v>0</v>
      </c>
      <c r="G165" s="712">
        <f>Bilans_E_AMS_Kyoto_run3_MTE!K463</f>
        <v>0</v>
      </c>
      <c r="H165" s="712">
        <f>Bilans_E_AMS_Kyoto_run3_MTE!L463</f>
        <v>0</v>
      </c>
      <c r="I165" s="712">
        <f>Bilans_E_AMS_Kyoto_run3_MTE!M463</f>
        <v>0</v>
      </c>
      <c r="J165" s="712">
        <f>Bilans_E_AMS_Kyoto_run3_MTE!N463</f>
        <v>0</v>
      </c>
      <c r="K165" s="712">
        <f>Bilans_E_AMS_Kyoto_run3_MTE!O463</f>
        <v>0</v>
      </c>
      <c r="L165" s="712">
        <f>Bilans_E_AMS_Kyoto_run3_MTE!P463</f>
        <v>0</v>
      </c>
      <c r="M165" s="712">
        <f>Bilans_E_AMS_Kyoto_run3_MTE!Q463</f>
        <v>0</v>
      </c>
      <c r="N165" s="712">
        <f>Bilans_E_AMS_Kyoto_run3_MTE!R463</f>
        <v>0</v>
      </c>
      <c r="O165" s="712">
        <f>Bilans_E_AMS_Kyoto_run3_MTE!S463</f>
        <v>0</v>
      </c>
      <c r="P165" s="712">
        <f>Bilans_E_AMS_Kyoto_run3_MTE!T463+Bilans_E_AMS_Kyoto_run3_MTE!U463</f>
        <v>0</v>
      </c>
      <c r="Q165" s="712">
        <f>Bilans_E_AMS_Kyoto_run3_MTE!V463</f>
        <v>0</v>
      </c>
      <c r="R165" s="712">
        <f>Bilans_E_AMS_Kyoto_run3_MTE!W463</f>
        <v>0</v>
      </c>
      <c r="S165" s="712">
        <f>Bilans_E_AMS_Kyoto_run3_MTE!X463</f>
        <v>0</v>
      </c>
      <c r="T165" s="712">
        <f>Bilans_E_AMS_Kyoto_run3_MTE!Y463</f>
        <v>0</v>
      </c>
      <c r="U165" s="712">
        <f>Bilans_E_AMS_Kyoto_run3_MTE!Z463</f>
        <v>0</v>
      </c>
      <c r="V165" s="701"/>
      <c r="W165" s="701"/>
    </row>
    <row r="166" spans="1:23" x14ac:dyDescent="0.25">
      <c r="A166" s="701" t="s">
        <v>493</v>
      </c>
      <c r="B166" s="701"/>
      <c r="C166" s="713" t="s">
        <v>65</v>
      </c>
      <c r="D166" s="714">
        <f>Bilans_E_AMS_Kyoto_run3_MTE!H464</f>
        <v>4.7190318603515626</v>
      </c>
      <c r="E166" s="714">
        <f>Bilans_E_AMS_Kyoto_run3_MTE!I464</f>
        <v>177.55502583689511</v>
      </c>
      <c r="F166" s="714">
        <f>Bilans_E_AMS_Kyoto_run3_MTE!J464</f>
        <v>-0.63338806754124022</v>
      </c>
      <c r="G166" s="714">
        <f>Bilans_E_AMS_Kyoto_run3_MTE!K464</f>
        <v>-6.2240246858274011</v>
      </c>
      <c r="H166" s="714">
        <f>Bilans_E_AMS_Kyoto_run3_MTE!L464</f>
        <v>93.790704319687649</v>
      </c>
      <c r="I166" s="714">
        <f>Bilans_E_AMS_Kyoto_run3_MTE!M464</f>
        <v>-1.7692389987108714</v>
      </c>
      <c r="J166" s="714">
        <f>Bilans_E_AMS_Kyoto_run3_MTE!N464</f>
        <v>1099.5846392966657</v>
      </c>
      <c r="K166" s="714">
        <f>Bilans_E_AMS_Kyoto_run3_MTE!O464</f>
        <v>432.558137271254</v>
      </c>
      <c r="L166" s="714">
        <f>Bilans_E_AMS_Kyoto_run3_MTE!P464</f>
        <v>374.3783338774906</v>
      </c>
      <c r="M166" s="714">
        <f>Bilans_E_AMS_Kyoto_run3_MTE!Q464</f>
        <v>46.101085198672763</v>
      </c>
      <c r="N166" s="714">
        <f>Bilans_E_AMS_Kyoto_run3_MTE!R464</f>
        <v>-7.8435022193676716</v>
      </c>
      <c r="O166" s="714">
        <f>Bilans_E_AMS_Kyoto_run3_MTE!S464</f>
        <v>-13.432331906790155</v>
      </c>
      <c r="P166" s="714">
        <f>Bilans_E_AMS_Kyoto_run3_MTE!T464+Bilans_E_AMS_Kyoto_run3_MTE!U464</f>
        <v>228.80859050100952</v>
      </c>
      <c r="Q166" s="714">
        <f>Bilans_E_AMS_Kyoto_run3_MTE!V464</f>
        <v>44.117114546253134</v>
      </c>
      <c r="R166" s="714">
        <f>Bilans_E_AMS_Kyoto_run3_MTE!W464</f>
        <v>-91.926243378286927</v>
      </c>
      <c r="S166" s="714">
        <f>Bilans_E_AMS_Kyoto_run3_MTE!X464</f>
        <v>0</v>
      </c>
      <c r="T166" s="714">
        <f>Bilans_E_AMS_Kyoto_run3_MTE!Y464</f>
        <v>-5.0632907364324549</v>
      </c>
      <c r="U166" s="714">
        <f>Bilans_E_AMS_Kyoto_run3_MTE!Z464</f>
        <v>2374.7206427153233</v>
      </c>
      <c r="V166" s="701"/>
      <c r="W166" s="701"/>
    </row>
    <row r="167" spans="1:23" x14ac:dyDescent="0.25">
      <c r="A167" s="701"/>
      <c r="B167" s="701"/>
      <c r="C167" s="715"/>
      <c r="D167" s="716"/>
      <c r="E167" s="716"/>
      <c r="F167" s="716"/>
      <c r="G167" s="716"/>
      <c r="H167" s="716"/>
      <c r="I167" s="716"/>
      <c r="J167" s="716"/>
      <c r="K167" s="716"/>
      <c r="L167" s="716"/>
      <c r="M167" s="716"/>
      <c r="N167" s="716"/>
      <c r="O167" s="716"/>
      <c r="P167" s="716">
        <f>Bilans_E_AMS_Kyoto_run3_MTE!T465+Bilans_E_AMS_Kyoto_run3_MTE!U465</f>
        <v>0</v>
      </c>
      <c r="Q167" s="716"/>
      <c r="R167" s="716"/>
      <c r="S167" s="716"/>
      <c r="T167" s="716"/>
      <c r="U167" s="716"/>
      <c r="V167" s="701"/>
      <c r="W167" s="701"/>
    </row>
    <row r="168" spans="1:23" x14ac:dyDescent="0.25">
      <c r="A168" s="701" t="s">
        <v>494</v>
      </c>
      <c r="B168" s="701"/>
      <c r="C168" s="717" t="s">
        <v>67</v>
      </c>
      <c r="D168" s="711">
        <f>Bilans_E_AMS_Kyoto_run3_MTE!H466</f>
        <v>0</v>
      </c>
      <c r="E168" s="711">
        <f>Bilans_E_AMS_Kyoto_run3_MTE!I466</f>
        <v>0</v>
      </c>
      <c r="F168" s="711">
        <f>Bilans_E_AMS_Kyoto_run3_MTE!J466</f>
        <v>0</v>
      </c>
      <c r="G168" s="711">
        <f>Bilans_E_AMS_Kyoto_run3_MTE!K466</f>
        <v>0</v>
      </c>
      <c r="H168" s="711">
        <f>Bilans_E_AMS_Kyoto_run3_MTE!L466</f>
        <v>0</v>
      </c>
      <c r="I168" s="711">
        <f>Bilans_E_AMS_Kyoto_run3_MTE!M466</f>
        <v>0</v>
      </c>
      <c r="J168" s="711">
        <f>Bilans_E_AMS_Kyoto_run3_MTE!N466</f>
        <v>0</v>
      </c>
      <c r="K168" s="711">
        <f>Bilans_E_AMS_Kyoto_run3_MTE!O466</f>
        <v>0</v>
      </c>
      <c r="L168" s="711">
        <f>Bilans_E_AMS_Kyoto_run3_MTE!P466</f>
        <v>0</v>
      </c>
      <c r="M168" s="711">
        <f>Bilans_E_AMS_Kyoto_run3_MTE!Q466</f>
        <v>0</v>
      </c>
      <c r="N168" s="711">
        <f>Bilans_E_AMS_Kyoto_run3_MTE!R466</f>
        <v>0</v>
      </c>
      <c r="O168" s="711">
        <f>Bilans_E_AMS_Kyoto_run3_MTE!S466</f>
        <v>0</v>
      </c>
      <c r="P168" s="711">
        <f>Bilans_E_AMS_Kyoto_run3_MTE!T466+Bilans_E_AMS_Kyoto_run3_MTE!U466</f>
        <v>0</v>
      </c>
      <c r="Q168" s="711">
        <f>Bilans_E_AMS_Kyoto_run3_MTE!V466</f>
        <v>0</v>
      </c>
      <c r="R168" s="711">
        <f>Bilans_E_AMS_Kyoto_run3_MTE!W466</f>
        <v>0</v>
      </c>
      <c r="S168" s="711">
        <f>Bilans_E_AMS_Kyoto_run3_MTE!X466</f>
        <v>0</v>
      </c>
      <c r="T168" s="711">
        <f>Bilans_E_AMS_Kyoto_run3_MTE!Y466</f>
        <v>0</v>
      </c>
      <c r="U168" s="711">
        <f>Bilans_E_AMS_Kyoto_run3_MTE!Z466</f>
        <v>0</v>
      </c>
      <c r="V168" s="701"/>
      <c r="W168" s="701"/>
    </row>
    <row r="169" spans="1:23" x14ac:dyDescent="0.25">
      <c r="A169" s="701" t="s">
        <v>495</v>
      </c>
      <c r="B169" s="701"/>
      <c r="C169" s="717" t="s">
        <v>347</v>
      </c>
      <c r="D169" s="711">
        <f>Bilans_E_AMS_Kyoto_run3_MTE!H467</f>
        <v>0</v>
      </c>
      <c r="E169" s="711">
        <f>Bilans_E_AMS_Kyoto_run3_MTE!I467</f>
        <v>0</v>
      </c>
      <c r="F169" s="711">
        <f>Bilans_E_AMS_Kyoto_run3_MTE!J467</f>
        <v>2.6460781360013397E-2</v>
      </c>
      <c r="G169" s="711">
        <f>Bilans_E_AMS_Kyoto_run3_MTE!K467</f>
        <v>0</v>
      </c>
      <c r="H169" s="711">
        <f>Bilans_E_AMS_Kyoto_run3_MTE!L467</f>
        <v>2.3319683433476327E-3</v>
      </c>
      <c r="I169" s="711">
        <f>Bilans_E_AMS_Kyoto_run3_MTE!M467</f>
        <v>0</v>
      </c>
      <c r="J169" s="711">
        <f>Bilans_E_AMS_Kyoto_run3_MTE!N467</f>
        <v>1094.3390181818181</v>
      </c>
      <c r="K169" s="711">
        <f>Bilans_E_AMS_Kyoto_run3_MTE!O467</f>
        <v>432.558137271254</v>
      </c>
      <c r="L169" s="711">
        <f>Bilans_E_AMS_Kyoto_run3_MTE!P467</f>
        <v>17.878777557508954</v>
      </c>
      <c r="M169" s="711">
        <f>Bilans_E_AMS_Kyoto_run3_MTE!Q467</f>
        <v>5.4304217786079292</v>
      </c>
      <c r="N169" s="711">
        <f>Bilans_E_AMS_Kyoto_run3_MTE!R467</f>
        <v>6.0578717375904887</v>
      </c>
      <c r="O169" s="711">
        <f>Bilans_E_AMS_Kyoto_run3_MTE!S467</f>
        <v>0.11581039979962704</v>
      </c>
      <c r="P169" s="711">
        <f>Bilans_E_AMS_Kyoto_run3_MTE!T467+Bilans_E_AMS_Kyoto_run3_MTE!U467</f>
        <v>0</v>
      </c>
      <c r="Q169" s="711">
        <f>Bilans_E_AMS_Kyoto_run3_MTE!V467</f>
        <v>6.4590957564387725</v>
      </c>
      <c r="R169" s="711">
        <f>Bilans_E_AMS_Kyoto_run3_MTE!W467</f>
        <v>-810.5836017522513</v>
      </c>
      <c r="S169" s="711">
        <f>Bilans_E_AMS_Kyoto_run3_MTE!X467</f>
        <v>0</v>
      </c>
      <c r="T169" s="711">
        <f>Bilans_E_AMS_Kyoto_run3_MTE!Y467</f>
        <v>0</v>
      </c>
      <c r="U169" s="711">
        <f>Bilans_E_AMS_Kyoto_run3_MTE!Z467</f>
        <v>752.28432368046992</v>
      </c>
      <c r="V169" s="701"/>
      <c r="W169" s="701"/>
    </row>
    <row r="170" spans="1:23" x14ac:dyDescent="0.25">
      <c r="A170" s="701" t="s">
        <v>496</v>
      </c>
      <c r="B170" s="701"/>
      <c r="C170" s="717" t="s">
        <v>348</v>
      </c>
      <c r="D170" s="711">
        <f>Bilans_E_AMS_Kyoto_run3_MTE!H468</f>
        <v>0</v>
      </c>
      <c r="E170" s="711">
        <f>Bilans_E_AMS_Kyoto_run3_MTE!I468</f>
        <v>0</v>
      </c>
      <c r="F170" s="711">
        <f>Bilans_E_AMS_Kyoto_run3_MTE!J468</f>
        <v>0</v>
      </c>
      <c r="G170" s="711">
        <f>Bilans_E_AMS_Kyoto_run3_MTE!K468</f>
        <v>0</v>
      </c>
      <c r="H170" s="711">
        <f>Bilans_E_AMS_Kyoto_run3_MTE!L468</f>
        <v>11.361302050509126</v>
      </c>
      <c r="I170" s="711">
        <f>Bilans_E_AMS_Kyoto_run3_MTE!M468</f>
        <v>0.11959265316325396</v>
      </c>
      <c r="J170" s="711">
        <f>Bilans_E_AMS_Kyoto_run3_MTE!N468</f>
        <v>5.2456211148474967</v>
      </c>
      <c r="K170" s="711">
        <f>Bilans_E_AMS_Kyoto_run3_MTE!O468</f>
        <v>0</v>
      </c>
      <c r="L170" s="711">
        <f>Bilans_E_AMS_Kyoto_run3_MTE!P468</f>
        <v>23.710249533581198</v>
      </c>
      <c r="M170" s="711">
        <f>Bilans_E_AMS_Kyoto_run3_MTE!Q468</f>
        <v>12.653124911951959</v>
      </c>
      <c r="N170" s="711">
        <f>Bilans_E_AMS_Kyoto_run3_MTE!R468</f>
        <v>0</v>
      </c>
      <c r="O170" s="711">
        <f>Bilans_E_AMS_Kyoto_run3_MTE!S468</f>
        <v>8.4660785396177261</v>
      </c>
      <c r="P170" s="711">
        <f>Bilans_E_AMS_Kyoto_run3_MTE!T468+Bilans_E_AMS_Kyoto_run3_MTE!U468</f>
        <v>18.404716933116433</v>
      </c>
      <c r="Q170" s="711">
        <f>Bilans_E_AMS_Kyoto_run3_MTE!V468</f>
        <v>13.404801159439005</v>
      </c>
      <c r="R170" s="711">
        <f>Bilans_E_AMS_Kyoto_run3_MTE!W468</f>
        <v>0</v>
      </c>
      <c r="S170" s="711">
        <f>Bilans_E_AMS_Kyoto_run3_MTE!X468</f>
        <v>-86.867525789433259</v>
      </c>
      <c r="T170" s="711">
        <f>Bilans_E_AMS_Kyoto_run3_MTE!Y468</f>
        <v>0</v>
      </c>
      <c r="U170" s="711">
        <f>Bilans_E_AMS_Kyoto_run3_MTE!Z468</f>
        <v>6.4979611067929426</v>
      </c>
      <c r="V170" s="701"/>
      <c r="W170" s="701"/>
    </row>
    <row r="171" spans="1:23" x14ac:dyDescent="0.25">
      <c r="A171" s="701" t="s">
        <v>497</v>
      </c>
      <c r="B171" s="701"/>
      <c r="C171" s="717" t="s">
        <v>349</v>
      </c>
      <c r="D171" s="711">
        <f>Bilans_E_AMS_Kyoto_run3_MTE!H469</f>
        <v>0</v>
      </c>
      <c r="E171" s="711">
        <f>Bilans_E_AMS_Kyoto_run3_MTE!I469</f>
        <v>0</v>
      </c>
      <c r="F171" s="711">
        <f>Bilans_E_AMS_Kyoto_run3_MTE!J469</f>
        <v>0</v>
      </c>
      <c r="G171" s="711">
        <f>Bilans_E_AMS_Kyoto_run3_MTE!K469</f>
        <v>0</v>
      </c>
      <c r="H171" s="711">
        <f>Bilans_E_AMS_Kyoto_run3_MTE!L469</f>
        <v>0</v>
      </c>
      <c r="I171" s="711">
        <f>Bilans_E_AMS_Kyoto_run3_MTE!M469</f>
        <v>0</v>
      </c>
      <c r="J171" s="711">
        <f>Bilans_E_AMS_Kyoto_run3_MTE!N469</f>
        <v>0</v>
      </c>
      <c r="K171" s="711">
        <f>Bilans_E_AMS_Kyoto_run3_MTE!O469</f>
        <v>0</v>
      </c>
      <c r="L171" s="711">
        <f>Bilans_E_AMS_Kyoto_run3_MTE!P469</f>
        <v>138.07928558547806</v>
      </c>
      <c r="M171" s="711">
        <f>Bilans_E_AMS_Kyoto_run3_MTE!Q469</f>
        <v>12.388866886032204</v>
      </c>
      <c r="N171" s="711">
        <f>Bilans_E_AMS_Kyoto_run3_MTE!R469</f>
        <v>0</v>
      </c>
      <c r="O171" s="711">
        <f>Bilans_E_AMS_Kyoto_run3_MTE!S469</f>
        <v>-75.318683922078151</v>
      </c>
      <c r="P171" s="711">
        <f>Bilans_E_AMS_Kyoto_run3_MTE!T469+Bilans_E_AMS_Kyoto_run3_MTE!U469</f>
        <v>0</v>
      </c>
      <c r="Q171" s="711">
        <f>Bilans_E_AMS_Kyoto_run3_MTE!V469</f>
        <v>0</v>
      </c>
      <c r="R171" s="711">
        <f>Bilans_E_AMS_Kyoto_run3_MTE!W469</f>
        <v>0</v>
      </c>
      <c r="S171" s="711">
        <f>Bilans_E_AMS_Kyoto_run3_MTE!X469</f>
        <v>0</v>
      </c>
      <c r="T171" s="711">
        <f>Bilans_E_AMS_Kyoto_run3_MTE!Y469</f>
        <v>0</v>
      </c>
      <c r="U171" s="711">
        <f>Bilans_E_AMS_Kyoto_run3_MTE!Z469</f>
        <v>75.149468549432129</v>
      </c>
      <c r="V171" s="701"/>
      <c r="W171" s="701"/>
    </row>
    <row r="172" spans="1:23" x14ac:dyDescent="0.25">
      <c r="A172" s="701" t="s">
        <v>498</v>
      </c>
      <c r="B172" s="701"/>
      <c r="C172" s="717" t="s">
        <v>350</v>
      </c>
      <c r="D172" s="711">
        <f>Bilans_E_AMS_Kyoto_run3_MTE!H470</f>
        <v>0</v>
      </c>
      <c r="E172" s="711">
        <f>Bilans_E_AMS_Kyoto_run3_MTE!I470</f>
        <v>0</v>
      </c>
      <c r="F172" s="711">
        <f>Bilans_E_AMS_Kyoto_run3_MTE!J470</f>
        <v>0</v>
      </c>
      <c r="G172" s="711">
        <f>Bilans_E_AMS_Kyoto_run3_MTE!K470</f>
        <v>0</v>
      </c>
      <c r="H172" s="711">
        <f>Bilans_E_AMS_Kyoto_run3_MTE!L470</f>
        <v>0</v>
      </c>
      <c r="I172" s="711">
        <f>Bilans_E_AMS_Kyoto_run3_MTE!M470</f>
        <v>-2.6425947059180688</v>
      </c>
      <c r="J172" s="711">
        <f>Bilans_E_AMS_Kyoto_run3_MTE!N470</f>
        <v>0</v>
      </c>
      <c r="K172" s="711">
        <f>Bilans_E_AMS_Kyoto_run3_MTE!O470</f>
        <v>0</v>
      </c>
      <c r="L172" s="711">
        <f>Bilans_E_AMS_Kyoto_run3_MTE!P470</f>
        <v>0</v>
      </c>
      <c r="M172" s="711">
        <f>Bilans_E_AMS_Kyoto_run3_MTE!Q470</f>
        <v>0</v>
      </c>
      <c r="N172" s="711">
        <f>Bilans_E_AMS_Kyoto_run3_MTE!R470</f>
        <v>0</v>
      </c>
      <c r="O172" s="711">
        <f>Bilans_E_AMS_Kyoto_run3_MTE!S470</f>
        <v>0</v>
      </c>
      <c r="P172" s="711">
        <f>Bilans_E_AMS_Kyoto_run3_MTE!T470+Bilans_E_AMS_Kyoto_run3_MTE!U470</f>
        <v>0</v>
      </c>
      <c r="Q172" s="711">
        <f>Bilans_E_AMS_Kyoto_run3_MTE!V470</f>
        <v>0</v>
      </c>
      <c r="R172" s="711">
        <f>Bilans_E_AMS_Kyoto_run3_MTE!W470</f>
        <v>0</v>
      </c>
      <c r="S172" s="711">
        <f>Bilans_E_AMS_Kyoto_run3_MTE!X470</f>
        <v>0</v>
      </c>
      <c r="T172" s="711">
        <f>Bilans_E_AMS_Kyoto_run3_MTE!Y470</f>
        <v>3.6634319020026336</v>
      </c>
      <c r="U172" s="711">
        <f>Bilans_E_AMS_Kyoto_run3_MTE!Z470</f>
        <v>1.0208371960845648</v>
      </c>
      <c r="V172" s="701"/>
      <c r="W172" s="701"/>
    </row>
    <row r="173" spans="1:23" x14ac:dyDescent="0.25">
      <c r="A173" s="701" t="s">
        <v>499</v>
      </c>
      <c r="B173" s="701"/>
      <c r="C173" s="717" t="s">
        <v>72</v>
      </c>
      <c r="D173" s="711">
        <f>Bilans_E_AMS_Kyoto_run3_MTE!H471</f>
        <v>0</v>
      </c>
      <c r="E173" s="711">
        <f>Bilans_E_AMS_Kyoto_run3_MTE!I471</f>
        <v>183.99004915233374</v>
      </c>
      <c r="F173" s="711">
        <f>Bilans_E_AMS_Kyoto_run3_MTE!J471</f>
        <v>-182.1501486608104</v>
      </c>
      <c r="G173" s="711">
        <f>Bilans_E_AMS_Kyoto_run3_MTE!K471</f>
        <v>0</v>
      </c>
      <c r="H173" s="711">
        <f>Bilans_E_AMS_Kyoto_run3_MTE!L471</f>
        <v>0</v>
      </c>
      <c r="I173" s="711">
        <f>Bilans_E_AMS_Kyoto_run3_MTE!M471</f>
        <v>0</v>
      </c>
      <c r="J173" s="711">
        <f>Bilans_E_AMS_Kyoto_run3_MTE!N471</f>
        <v>0</v>
      </c>
      <c r="K173" s="711">
        <f>Bilans_E_AMS_Kyoto_run3_MTE!O471</f>
        <v>0</v>
      </c>
      <c r="L173" s="711">
        <f>Bilans_E_AMS_Kyoto_run3_MTE!P471</f>
        <v>0</v>
      </c>
      <c r="M173" s="711">
        <f>Bilans_E_AMS_Kyoto_run3_MTE!Q471</f>
        <v>0</v>
      </c>
      <c r="N173" s="711">
        <f>Bilans_E_AMS_Kyoto_run3_MTE!R471</f>
        <v>0</v>
      </c>
      <c r="O173" s="711">
        <f>Bilans_E_AMS_Kyoto_run3_MTE!S471</f>
        <v>0</v>
      </c>
      <c r="P173" s="711">
        <f>Bilans_E_AMS_Kyoto_run3_MTE!T471+Bilans_E_AMS_Kyoto_run3_MTE!U471</f>
        <v>0</v>
      </c>
      <c r="Q173" s="711">
        <f>Bilans_E_AMS_Kyoto_run3_MTE!V471</f>
        <v>0</v>
      </c>
      <c r="R173" s="711">
        <f>Bilans_E_AMS_Kyoto_run3_MTE!W471</f>
        <v>0</v>
      </c>
      <c r="S173" s="711">
        <f>Bilans_E_AMS_Kyoto_run3_MTE!X471</f>
        <v>0</v>
      </c>
      <c r="T173" s="711">
        <f>Bilans_E_AMS_Kyoto_run3_MTE!Y471</f>
        <v>0</v>
      </c>
      <c r="U173" s="711">
        <f>Bilans_E_AMS_Kyoto_run3_MTE!Z471</f>
        <v>1.8399004915233377</v>
      </c>
      <c r="V173" s="701"/>
      <c r="W173" s="701"/>
    </row>
    <row r="174" spans="1:23" x14ac:dyDescent="0.25">
      <c r="A174" s="701" t="s">
        <v>500</v>
      </c>
      <c r="B174" s="701"/>
      <c r="C174" s="717" t="s">
        <v>351</v>
      </c>
      <c r="D174" s="711">
        <f>Bilans_E_AMS_Kyoto_run3_MTE!H472</f>
        <v>0</v>
      </c>
      <c r="E174" s="711">
        <f>Bilans_E_AMS_Kyoto_run3_MTE!I472</f>
        <v>0</v>
      </c>
      <c r="F174" s="711">
        <f>Bilans_E_AMS_Kyoto_run3_MTE!J472</f>
        <v>0</v>
      </c>
      <c r="G174" s="711">
        <f>Bilans_E_AMS_Kyoto_run3_MTE!K472</f>
        <v>0</v>
      </c>
      <c r="H174" s="711">
        <f>Bilans_E_AMS_Kyoto_run3_MTE!L472</f>
        <v>0</v>
      </c>
      <c r="I174" s="711">
        <f>Bilans_E_AMS_Kyoto_run3_MTE!M472</f>
        <v>0</v>
      </c>
      <c r="J174" s="711">
        <f>Bilans_E_AMS_Kyoto_run3_MTE!N472</f>
        <v>0</v>
      </c>
      <c r="K174" s="711">
        <f>Bilans_E_AMS_Kyoto_run3_MTE!O472</f>
        <v>0</v>
      </c>
      <c r="L174" s="711">
        <f>Bilans_E_AMS_Kyoto_run3_MTE!P472</f>
        <v>98.264059426631164</v>
      </c>
      <c r="M174" s="711">
        <f>Bilans_E_AMS_Kyoto_run3_MTE!Q472</f>
        <v>7.2727272727272725</v>
      </c>
      <c r="N174" s="711">
        <f>Bilans_E_AMS_Kyoto_run3_MTE!R472</f>
        <v>-58.881352983692381</v>
      </c>
      <c r="O174" s="711">
        <f>Bilans_E_AMS_Kyoto_run3_MTE!S472</f>
        <v>0</v>
      </c>
      <c r="P174" s="711">
        <f>Bilans_E_AMS_Kyoto_run3_MTE!T472+Bilans_E_AMS_Kyoto_run3_MTE!U472</f>
        <v>0</v>
      </c>
      <c r="Q174" s="711">
        <f>Bilans_E_AMS_Kyoto_run3_MTE!V472</f>
        <v>0</v>
      </c>
      <c r="R174" s="711">
        <f>Bilans_E_AMS_Kyoto_run3_MTE!W472</f>
        <v>0</v>
      </c>
      <c r="S174" s="711">
        <f>Bilans_E_AMS_Kyoto_run3_MTE!X472</f>
        <v>0</v>
      </c>
      <c r="T174" s="711">
        <f>Bilans_E_AMS_Kyoto_run3_MTE!Y472</f>
        <v>0</v>
      </c>
      <c r="U174" s="711">
        <f>Bilans_E_AMS_Kyoto_run3_MTE!Z472</f>
        <v>46.655433715666049</v>
      </c>
      <c r="V174" s="701"/>
      <c r="W174" s="701"/>
    </row>
    <row r="175" spans="1:23" x14ac:dyDescent="0.25">
      <c r="A175" s="701" t="s">
        <v>501</v>
      </c>
      <c r="B175" s="701"/>
      <c r="C175" s="717" t="s">
        <v>352</v>
      </c>
      <c r="D175" s="711">
        <f>Bilans_E_AMS_Kyoto_run3_MTE!H473</f>
        <v>0</v>
      </c>
      <c r="E175" s="711">
        <f>Bilans_E_AMS_Kyoto_run3_MTE!I473</f>
        <v>0</v>
      </c>
      <c r="F175" s="711">
        <f>Bilans_E_AMS_Kyoto_run3_MTE!J473</f>
        <v>0</v>
      </c>
      <c r="G175" s="711">
        <f>Bilans_E_AMS_Kyoto_run3_MTE!K473</f>
        <v>-10.918730471145594</v>
      </c>
      <c r="H175" s="711">
        <f>Bilans_E_AMS_Kyoto_run3_MTE!L473</f>
        <v>0</v>
      </c>
      <c r="I175" s="711">
        <f>Bilans_E_AMS_Kyoto_run3_MTE!M473</f>
        <v>0</v>
      </c>
      <c r="J175" s="711">
        <f>Bilans_E_AMS_Kyoto_run3_MTE!N473</f>
        <v>0</v>
      </c>
      <c r="K175" s="711">
        <f>Bilans_E_AMS_Kyoto_run3_MTE!O473</f>
        <v>0</v>
      </c>
      <c r="L175" s="711">
        <f>Bilans_E_AMS_Kyoto_run3_MTE!P473</f>
        <v>0</v>
      </c>
      <c r="M175" s="711">
        <f>Bilans_E_AMS_Kyoto_run3_MTE!Q473</f>
        <v>0</v>
      </c>
      <c r="N175" s="711">
        <f>Bilans_E_AMS_Kyoto_run3_MTE!R473</f>
        <v>0</v>
      </c>
      <c r="O175" s="711">
        <f>Bilans_E_AMS_Kyoto_run3_MTE!S473</f>
        <v>0</v>
      </c>
      <c r="P175" s="711">
        <f>Bilans_E_AMS_Kyoto_run3_MTE!T473+Bilans_E_AMS_Kyoto_run3_MTE!U473</f>
        <v>0</v>
      </c>
      <c r="Q175" s="711">
        <f>Bilans_E_AMS_Kyoto_run3_MTE!V473</f>
        <v>0</v>
      </c>
      <c r="R175" s="711">
        <f>Bilans_E_AMS_Kyoto_run3_MTE!W473</f>
        <v>0</v>
      </c>
      <c r="S175" s="711">
        <f>Bilans_E_AMS_Kyoto_run3_MTE!X473</f>
        <v>0</v>
      </c>
      <c r="T175" s="711">
        <f>Bilans_E_AMS_Kyoto_run3_MTE!Y473</f>
        <v>18.115603518260158</v>
      </c>
      <c r="U175" s="711">
        <f>Bilans_E_AMS_Kyoto_run3_MTE!Z473</f>
        <v>7.1968730471145648</v>
      </c>
      <c r="V175" s="701"/>
      <c r="W175" s="701"/>
    </row>
    <row r="176" spans="1:23" x14ac:dyDescent="0.25">
      <c r="A176" s="701" t="s">
        <v>502</v>
      </c>
      <c r="B176" s="701"/>
      <c r="C176" s="717" t="s">
        <v>73</v>
      </c>
      <c r="D176" s="711">
        <f>Bilans_E_AMS_Kyoto_run3_MTE!H474</f>
        <v>0</v>
      </c>
      <c r="E176" s="711">
        <f>Bilans_E_AMS_Kyoto_run3_MTE!I474</f>
        <v>0</v>
      </c>
      <c r="F176" s="711">
        <f>Bilans_E_AMS_Kyoto_run3_MTE!J474</f>
        <v>0</v>
      </c>
      <c r="G176" s="711">
        <f>Bilans_E_AMS_Kyoto_run3_MTE!K474</f>
        <v>0</v>
      </c>
      <c r="H176" s="711">
        <f>Bilans_E_AMS_Kyoto_run3_MTE!L474</f>
        <v>0</v>
      </c>
      <c r="I176" s="711">
        <f>Bilans_E_AMS_Kyoto_run3_MTE!M474</f>
        <v>0</v>
      </c>
      <c r="J176" s="711">
        <f>Bilans_E_AMS_Kyoto_run3_MTE!N474</f>
        <v>0</v>
      </c>
      <c r="K176" s="711">
        <f>Bilans_E_AMS_Kyoto_run3_MTE!O474</f>
        <v>0</v>
      </c>
      <c r="L176" s="711">
        <f>Bilans_E_AMS_Kyoto_run3_MTE!P474</f>
        <v>0</v>
      </c>
      <c r="M176" s="711">
        <f>Bilans_E_AMS_Kyoto_run3_MTE!Q474</f>
        <v>0</v>
      </c>
      <c r="N176" s="711">
        <f>Bilans_E_AMS_Kyoto_run3_MTE!R474</f>
        <v>0</v>
      </c>
      <c r="O176" s="711">
        <f>Bilans_E_AMS_Kyoto_run3_MTE!S474</f>
        <v>0</v>
      </c>
      <c r="P176" s="711">
        <f>Bilans_E_AMS_Kyoto_run3_MTE!T474+Bilans_E_AMS_Kyoto_run3_MTE!U474</f>
        <v>0</v>
      </c>
      <c r="Q176" s="711">
        <f>Bilans_E_AMS_Kyoto_run3_MTE!V474</f>
        <v>0</v>
      </c>
      <c r="R176" s="711">
        <f>Bilans_E_AMS_Kyoto_run3_MTE!W474</f>
        <v>71.82433773705074</v>
      </c>
      <c r="S176" s="711">
        <f>Bilans_E_AMS_Kyoto_run3_MTE!X474</f>
        <v>0</v>
      </c>
      <c r="T176" s="711">
        <f>Bilans_E_AMS_Kyoto_run3_MTE!Y474</f>
        <v>-49.953826896118791</v>
      </c>
      <c r="U176" s="711">
        <f>Bilans_E_AMS_Kyoto_run3_MTE!Z474</f>
        <v>21.870510840931949</v>
      </c>
      <c r="V176" s="701"/>
      <c r="W176" s="701"/>
    </row>
    <row r="177" spans="1:23" x14ac:dyDescent="0.25">
      <c r="A177" s="701" t="s">
        <v>503</v>
      </c>
      <c r="B177" s="701"/>
      <c r="C177" s="717" t="s">
        <v>353</v>
      </c>
      <c r="D177" s="711">
        <f>Bilans_E_AMS_Kyoto_run3_MTE!H475</f>
        <v>3.2800345312500001</v>
      </c>
      <c r="E177" s="711">
        <f>Bilans_E_AMS_Kyoto_run3_MTE!I475</f>
        <v>-6.4350233154386336</v>
      </c>
      <c r="F177" s="711">
        <f>Bilans_E_AMS_Kyoto_run3_MTE!J475</f>
        <v>8.5665829244642584</v>
      </c>
      <c r="G177" s="711">
        <f>Bilans_E_AMS_Kyoto_run3_MTE!K475</f>
        <v>0</v>
      </c>
      <c r="H177" s="711">
        <f>Bilans_E_AMS_Kyoto_run3_MTE!L475</f>
        <v>0</v>
      </c>
      <c r="I177" s="711">
        <f>Bilans_E_AMS_Kyoto_run3_MTE!M475</f>
        <v>0</v>
      </c>
      <c r="J177" s="711">
        <f>Bilans_E_AMS_Kyoto_run3_MTE!N475</f>
        <v>0</v>
      </c>
      <c r="K177" s="711">
        <f>Bilans_E_AMS_Kyoto_run3_MTE!O475</f>
        <v>0</v>
      </c>
      <c r="L177" s="711">
        <f>Bilans_E_AMS_Kyoto_run3_MTE!P475</f>
        <v>0</v>
      </c>
      <c r="M177" s="711">
        <f>Bilans_E_AMS_Kyoto_run3_MTE!Q475</f>
        <v>0</v>
      </c>
      <c r="N177" s="711">
        <f>Bilans_E_AMS_Kyoto_run3_MTE!R475</f>
        <v>0</v>
      </c>
      <c r="O177" s="711">
        <f>Bilans_E_AMS_Kyoto_run3_MTE!S475</f>
        <v>0</v>
      </c>
      <c r="P177" s="711">
        <f>Bilans_E_AMS_Kyoto_run3_MTE!T475+Bilans_E_AMS_Kyoto_run3_MTE!U475</f>
        <v>0</v>
      </c>
      <c r="Q177" s="711">
        <f>Bilans_E_AMS_Kyoto_run3_MTE!V475</f>
        <v>0</v>
      </c>
      <c r="R177" s="711">
        <f>Bilans_E_AMS_Kyoto_run3_MTE!W475</f>
        <v>0</v>
      </c>
      <c r="S177" s="711">
        <f>Bilans_E_AMS_Kyoto_run3_MTE!X475</f>
        <v>0</v>
      </c>
      <c r="T177" s="711">
        <f>Bilans_E_AMS_Kyoto_run3_MTE!Y475</f>
        <v>0</v>
      </c>
      <c r="U177" s="711">
        <f>Bilans_E_AMS_Kyoto_run3_MTE!Z475</f>
        <v>5.4115941402756249</v>
      </c>
      <c r="V177" s="701"/>
      <c r="W177" s="701"/>
    </row>
    <row r="178" spans="1:23" x14ac:dyDescent="0.25">
      <c r="A178" s="701" t="s">
        <v>504</v>
      </c>
      <c r="B178" s="701"/>
      <c r="C178" s="717" t="s">
        <v>75</v>
      </c>
      <c r="D178" s="711">
        <f>Bilans_E_AMS_Kyoto_run3_MTE!H476</f>
        <v>1.2755689843750002</v>
      </c>
      <c r="E178" s="711">
        <f>Bilans_E_AMS_Kyoto_run3_MTE!I476</f>
        <v>0</v>
      </c>
      <c r="F178" s="711">
        <f>Bilans_E_AMS_Kyoto_run3_MTE!J476</f>
        <v>6.4072238182271617</v>
      </c>
      <c r="G178" s="711">
        <f>Bilans_E_AMS_Kyoto_run3_MTE!K476</f>
        <v>0</v>
      </c>
      <c r="H178" s="711">
        <f>Bilans_E_AMS_Kyoto_run3_MTE!L476</f>
        <v>0</v>
      </c>
      <c r="I178" s="711">
        <f>Bilans_E_AMS_Kyoto_run3_MTE!M476</f>
        <v>0</v>
      </c>
      <c r="J178" s="711">
        <f>Bilans_E_AMS_Kyoto_run3_MTE!N476</f>
        <v>0</v>
      </c>
      <c r="K178" s="711">
        <f>Bilans_E_AMS_Kyoto_run3_MTE!O476</f>
        <v>0</v>
      </c>
      <c r="L178" s="711">
        <f>Bilans_E_AMS_Kyoto_run3_MTE!P476</f>
        <v>0</v>
      </c>
      <c r="M178" s="711">
        <f>Bilans_E_AMS_Kyoto_run3_MTE!Q476</f>
        <v>0</v>
      </c>
      <c r="N178" s="711">
        <f>Bilans_E_AMS_Kyoto_run3_MTE!R476</f>
        <v>0</v>
      </c>
      <c r="O178" s="711">
        <f>Bilans_E_AMS_Kyoto_run3_MTE!S476</f>
        <v>0</v>
      </c>
      <c r="P178" s="711">
        <f>Bilans_E_AMS_Kyoto_run3_MTE!T476+Bilans_E_AMS_Kyoto_run3_MTE!U476</f>
        <v>0</v>
      </c>
      <c r="Q178" s="711">
        <f>Bilans_E_AMS_Kyoto_run3_MTE!V476</f>
        <v>0</v>
      </c>
      <c r="R178" s="711">
        <f>Bilans_E_AMS_Kyoto_run3_MTE!W476</f>
        <v>38.57687969589584</v>
      </c>
      <c r="S178" s="711">
        <f>Bilans_E_AMS_Kyoto_run3_MTE!X476</f>
        <v>0</v>
      </c>
      <c r="T178" s="711">
        <f>Bilans_E_AMS_Kyoto_run3_MTE!Y476</f>
        <v>1.8110857498187163</v>
      </c>
      <c r="U178" s="711">
        <f>Bilans_E_AMS_Kyoto_run3_MTE!Z476</f>
        <v>48.070758248316722</v>
      </c>
      <c r="V178" s="701"/>
      <c r="W178" s="701"/>
    </row>
    <row r="179" spans="1:23" x14ac:dyDescent="0.25">
      <c r="A179" s="701" t="s">
        <v>505</v>
      </c>
      <c r="B179" s="701"/>
      <c r="C179" s="717" t="s">
        <v>76</v>
      </c>
      <c r="D179" s="711">
        <f>Bilans_E_AMS_Kyoto_run3_MTE!H477</f>
        <v>0</v>
      </c>
      <c r="E179" s="711">
        <f>Bilans_E_AMS_Kyoto_run3_MTE!I477</f>
        <v>0</v>
      </c>
      <c r="F179" s="711">
        <f>Bilans_E_AMS_Kyoto_run3_MTE!J477</f>
        <v>0</v>
      </c>
      <c r="G179" s="711">
        <f>Bilans_E_AMS_Kyoto_run3_MTE!K477</f>
        <v>0</v>
      </c>
      <c r="H179" s="711">
        <f>Bilans_E_AMS_Kyoto_run3_MTE!L477</f>
        <v>0.98381967017411598</v>
      </c>
      <c r="I179" s="711">
        <f>Bilans_E_AMS_Kyoto_run3_MTE!M477</f>
        <v>1.0355996528148588E-2</v>
      </c>
      <c r="J179" s="711">
        <f>Bilans_E_AMS_Kyoto_run3_MTE!N477</f>
        <v>0</v>
      </c>
      <c r="K179" s="711">
        <f>Bilans_E_AMS_Kyoto_run3_MTE!O477</f>
        <v>0</v>
      </c>
      <c r="L179" s="711">
        <f>Bilans_E_AMS_Kyoto_run3_MTE!P477</f>
        <v>0</v>
      </c>
      <c r="M179" s="711">
        <f>Bilans_E_AMS_Kyoto_run3_MTE!Q477</f>
        <v>0</v>
      </c>
      <c r="N179" s="711">
        <f>Bilans_E_AMS_Kyoto_run3_MTE!R477</f>
        <v>0</v>
      </c>
      <c r="O179" s="711">
        <f>Bilans_E_AMS_Kyoto_run3_MTE!S477</f>
        <v>0.73182375465583349</v>
      </c>
      <c r="P179" s="711">
        <f>Bilans_E_AMS_Kyoto_run3_MTE!T477+Bilans_E_AMS_Kyoto_run3_MTE!U477</f>
        <v>0</v>
      </c>
      <c r="Q179" s="711">
        <f>Bilans_E_AMS_Kyoto_run3_MTE!V477</f>
        <v>0</v>
      </c>
      <c r="R179" s="711">
        <f>Bilans_E_AMS_Kyoto_run3_MTE!W477</f>
        <v>58.720759743857542</v>
      </c>
      <c r="S179" s="711">
        <f>Bilans_E_AMS_Kyoto_run3_MTE!X477</f>
        <v>6.7361736922382924</v>
      </c>
      <c r="T179" s="711">
        <f>Bilans_E_AMS_Kyoto_run3_MTE!Y477</f>
        <v>0</v>
      </c>
      <c r="U179" s="711">
        <f>Bilans_E_AMS_Kyoto_run3_MTE!Z477</f>
        <v>67.182932857453935</v>
      </c>
      <c r="V179" s="701"/>
      <c r="W179" s="701"/>
    </row>
    <row r="180" spans="1:23" x14ac:dyDescent="0.25">
      <c r="A180" s="701" t="s">
        <v>506</v>
      </c>
      <c r="B180" s="701"/>
      <c r="C180" s="713" t="s">
        <v>77</v>
      </c>
      <c r="D180" s="714">
        <f>Bilans_E_AMS_Kyoto_run3_MTE!H478</f>
        <v>4.5556035156250001</v>
      </c>
      <c r="E180" s="714">
        <f>Bilans_E_AMS_Kyoto_run3_MTE!I478</f>
        <v>177.55502583689511</v>
      </c>
      <c r="F180" s="714">
        <f>Bilans_E_AMS_Kyoto_run3_MTE!J478</f>
        <v>-167.14988113675898</v>
      </c>
      <c r="G180" s="714">
        <f>Bilans_E_AMS_Kyoto_run3_MTE!K478</f>
        <v>-10.918730471145594</v>
      </c>
      <c r="H180" s="714">
        <f>Bilans_E_AMS_Kyoto_run3_MTE!L478</f>
        <v>12.34745368902659</v>
      </c>
      <c r="I180" s="714">
        <f>Bilans_E_AMS_Kyoto_run3_MTE!M478</f>
        <v>-2.5126460562266661</v>
      </c>
      <c r="J180" s="714">
        <f>Bilans_E_AMS_Kyoto_run3_MTE!N478</f>
        <v>1099.5846392966657</v>
      </c>
      <c r="K180" s="714">
        <f>Bilans_E_AMS_Kyoto_run3_MTE!O478</f>
        <v>432.558137271254</v>
      </c>
      <c r="L180" s="714">
        <f>Bilans_E_AMS_Kyoto_run3_MTE!P478</f>
        <v>277.93237210319938</v>
      </c>
      <c r="M180" s="714">
        <f>Bilans_E_AMS_Kyoto_run3_MTE!Q478</f>
        <v>37.745140849319363</v>
      </c>
      <c r="N180" s="714">
        <f>Bilans_E_AMS_Kyoto_run3_MTE!R478</f>
        <v>-52.823481246101892</v>
      </c>
      <c r="O180" s="714">
        <f>Bilans_E_AMS_Kyoto_run3_MTE!S478</f>
        <v>-66.004971228004962</v>
      </c>
      <c r="P180" s="714">
        <f>Bilans_E_AMS_Kyoto_run3_MTE!T478+Bilans_E_AMS_Kyoto_run3_MTE!U478</f>
        <v>18.404716933116433</v>
      </c>
      <c r="Q180" s="714">
        <f>Bilans_E_AMS_Kyoto_run3_MTE!V478</f>
        <v>19.863896915877778</v>
      </c>
      <c r="R180" s="714">
        <f>Bilans_E_AMS_Kyoto_run3_MTE!W478</f>
        <v>-641.4616245754471</v>
      </c>
      <c r="S180" s="714">
        <f>Bilans_E_AMS_Kyoto_run3_MTE!X478</f>
        <v>-80.131352097194963</v>
      </c>
      <c r="T180" s="714">
        <f>Bilans_E_AMS_Kyoto_run3_MTE!Y478</f>
        <v>-26.363705726037281</v>
      </c>
      <c r="U180" s="714">
        <f>Bilans_E_AMS_Kyoto_run3_MTE!Z478</f>
        <v>1033.1805938740617</v>
      </c>
      <c r="V180" s="701"/>
      <c r="W180" s="701"/>
    </row>
    <row r="181" spans="1:23" x14ac:dyDescent="0.25">
      <c r="A181" s="701"/>
      <c r="B181" s="701"/>
      <c r="C181" s="715"/>
      <c r="D181" s="716"/>
      <c r="E181" s="716"/>
      <c r="F181" s="716"/>
      <c r="G181" s="716"/>
      <c r="H181" s="716"/>
      <c r="I181" s="716"/>
      <c r="J181" s="716"/>
      <c r="K181" s="716"/>
      <c r="L181" s="716"/>
      <c r="M181" s="716"/>
      <c r="N181" s="716"/>
      <c r="O181" s="716"/>
      <c r="P181" s="716">
        <f>Bilans_E_AMS_Kyoto_run3_MTE!T479+Bilans_E_AMS_Kyoto_run3_MTE!U479</f>
        <v>0</v>
      </c>
      <c r="Q181" s="716"/>
      <c r="R181" s="716"/>
      <c r="S181" s="716"/>
      <c r="T181" s="716"/>
      <c r="U181" s="716"/>
      <c r="V181" s="701"/>
      <c r="W181" s="701"/>
    </row>
    <row r="182" spans="1:23" x14ac:dyDescent="0.25">
      <c r="A182" s="701" t="s">
        <v>507</v>
      </c>
      <c r="B182" s="701"/>
      <c r="C182" s="717" t="s">
        <v>78</v>
      </c>
      <c r="D182" s="711">
        <f>Bilans_E_AMS_Kyoto_run3_MTE!H480</f>
        <v>0.16342834472656248</v>
      </c>
      <c r="E182" s="711">
        <f>Bilans_E_AMS_Kyoto_run3_MTE!I480</f>
        <v>0</v>
      </c>
      <c r="F182" s="711">
        <f>Bilans_E_AMS_Kyoto_run3_MTE!J480</f>
        <v>1.192335444968337</v>
      </c>
      <c r="G182" s="711">
        <f>Bilans_E_AMS_Kyoto_run3_MTE!K480</f>
        <v>0</v>
      </c>
      <c r="H182" s="711">
        <f>Bilans_E_AMS_Kyoto_run3_MTE!L480</f>
        <v>32.001904580711056</v>
      </c>
      <c r="I182" s="711">
        <f>Bilans_E_AMS_Kyoto_run3_MTE!M480</f>
        <v>0.33686215348116894</v>
      </c>
      <c r="J182" s="711">
        <f>Bilans_E_AMS_Kyoto_run3_MTE!N480</f>
        <v>0</v>
      </c>
      <c r="K182" s="711">
        <f>Bilans_E_AMS_Kyoto_run3_MTE!O480</f>
        <v>0</v>
      </c>
      <c r="L182" s="711">
        <f>Bilans_E_AMS_Kyoto_run3_MTE!P480</f>
        <v>35.925037819448683</v>
      </c>
      <c r="M182" s="711">
        <f>Bilans_E_AMS_Kyoto_run3_MTE!Q480</f>
        <v>8.355944349353404</v>
      </c>
      <c r="N182" s="711">
        <f>Bilans_E_AMS_Kyoto_run3_MTE!R480</f>
        <v>0.41126405446607639</v>
      </c>
      <c r="O182" s="711">
        <f>Bilans_E_AMS_Kyoto_run3_MTE!S480</f>
        <v>23.845200759921546</v>
      </c>
      <c r="P182" s="711">
        <f>Bilans_E_AMS_Kyoto_run3_MTE!T480+Bilans_E_AMS_Kyoto_run3_MTE!U480</f>
        <v>12.595482421874999</v>
      </c>
      <c r="Q182" s="711">
        <f>Bilans_E_AMS_Kyoto_run3_MTE!V480</f>
        <v>8.2107689234467234E-4</v>
      </c>
      <c r="R182" s="711">
        <f>Bilans_E_AMS_Kyoto_run3_MTE!W480</f>
        <v>157.38101577829286</v>
      </c>
      <c r="S182" s="711">
        <f>Bilans_E_AMS_Kyoto_run3_MTE!X480</f>
        <v>19.581895205138572</v>
      </c>
      <c r="T182" s="711">
        <f>Bilans_E_AMS_Kyoto_run3_MTE!Y480</f>
        <v>11.602856445312501</v>
      </c>
      <c r="U182" s="711">
        <f>Bilans_E_AMS_Kyoto_run3_MTE!Z480</f>
        <v>303.39404843458811</v>
      </c>
      <c r="V182" s="701"/>
      <c r="W182" s="701"/>
    </row>
    <row r="183" spans="1:23" x14ac:dyDescent="0.25">
      <c r="A183" s="701" t="s">
        <v>508</v>
      </c>
      <c r="B183" s="701"/>
      <c r="C183" s="717" t="s">
        <v>79</v>
      </c>
      <c r="D183" s="711">
        <f>Bilans_E_AMS_Kyoto_run3_MTE!H481</f>
        <v>0</v>
      </c>
      <c r="E183" s="711">
        <f>Bilans_E_AMS_Kyoto_run3_MTE!I481</f>
        <v>0</v>
      </c>
      <c r="F183" s="711">
        <f>Bilans_E_AMS_Kyoto_run3_MTE!J481</f>
        <v>57.415221307039587</v>
      </c>
      <c r="G183" s="711">
        <f>Bilans_E_AMS_Kyoto_run3_MTE!K481</f>
        <v>1.6</v>
      </c>
      <c r="H183" s="711">
        <f>Bilans_E_AMS_Kyoto_run3_MTE!L481</f>
        <v>4.3056781164291928</v>
      </c>
      <c r="I183" s="711">
        <f>Bilans_E_AMS_Kyoto_run3_MTE!M481</f>
        <v>4.5322927541359921E-2</v>
      </c>
      <c r="J183" s="711">
        <f>Bilans_E_AMS_Kyoto_run3_MTE!N481</f>
        <v>0</v>
      </c>
      <c r="K183" s="711">
        <f>Bilans_E_AMS_Kyoto_run3_MTE!O481</f>
        <v>0</v>
      </c>
      <c r="L183" s="711">
        <f>Bilans_E_AMS_Kyoto_run3_MTE!P481</f>
        <v>0</v>
      </c>
      <c r="M183" s="711">
        <f>Bilans_E_AMS_Kyoto_run3_MTE!Q481</f>
        <v>0</v>
      </c>
      <c r="N183" s="711">
        <f>Bilans_E_AMS_Kyoto_run3_MTE!R481</f>
        <v>31.800952318042711</v>
      </c>
      <c r="O183" s="711">
        <f>Bilans_E_AMS_Kyoto_run3_MTE!S481</f>
        <v>3.2028202129227674</v>
      </c>
      <c r="P183" s="711">
        <f>Bilans_E_AMS_Kyoto_run3_MTE!T481+Bilans_E_AMS_Kyoto_run3_MTE!U481</f>
        <v>0</v>
      </c>
      <c r="Q183" s="711">
        <f>Bilans_E_AMS_Kyoto_run3_MTE!V481</f>
        <v>0</v>
      </c>
      <c r="R183" s="711">
        <f>Bilans_E_AMS_Kyoto_run3_MTE!W481</f>
        <v>112.28525884459542</v>
      </c>
      <c r="S183" s="711">
        <f>Bilans_E_AMS_Kyoto_run3_MTE!X481</f>
        <v>0</v>
      </c>
      <c r="T183" s="711">
        <f>Bilans_E_AMS_Kyoto_run3_MTE!Y481</f>
        <v>5.8069925085288689</v>
      </c>
      <c r="U183" s="711">
        <f>Bilans_E_AMS_Kyoto_run3_MTE!Z481</f>
        <v>216.46224623509994</v>
      </c>
      <c r="V183" s="701"/>
      <c r="W183" s="701"/>
    </row>
    <row r="184" spans="1:23" x14ac:dyDescent="0.25">
      <c r="A184" s="701" t="s">
        <v>509</v>
      </c>
      <c r="B184" s="701"/>
      <c r="C184" s="717" t="s">
        <v>80</v>
      </c>
      <c r="D184" s="711">
        <f>Bilans_E_AMS_Kyoto_run3_MTE!H482</f>
        <v>0</v>
      </c>
      <c r="E184" s="711">
        <f>Bilans_E_AMS_Kyoto_run3_MTE!I482</f>
        <v>0</v>
      </c>
      <c r="F184" s="711">
        <f>Bilans_E_AMS_Kyoto_run3_MTE!J482</f>
        <v>0.29271355474186761</v>
      </c>
      <c r="G184" s="711">
        <f>Bilans_E_AMS_Kyoto_run3_MTE!K482</f>
        <v>0</v>
      </c>
      <c r="H184" s="711">
        <f>Bilans_E_AMS_Kyoto_run3_MTE!L482</f>
        <v>21.230302820629564</v>
      </c>
      <c r="I184" s="711">
        <f>Bilans_E_AMS_Kyoto_run3_MTE!M482</f>
        <v>0.22347687179610068</v>
      </c>
      <c r="J184" s="711">
        <f>Bilans_E_AMS_Kyoto_run3_MTE!N482</f>
        <v>0</v>
      </c>
      <c r="K184" s="711">
        <f>Bilans_E_AMS_Kyoto_run3_MTE!O482</f>
        <v>0</v>
      </c>
      <c r="L184" s="711">
        <f>Bilans_E_AMS_Kyoto_run3_MTE!P482</f>
        <v>42.610592667556531</v>
      </c>
      <c r="M184" s="711">
        <f>Bilans_E_AMS_Kyoto_run3_MTE!Q482</f>
        <v>0</v>
      </c>
      <c r="N184" s="711">
        <f>Bilans_E_AMS_Kyoto_run3_MTE!R482</f>
        <v>0</v>
      </c>
      <c r="O184" s="711">
        <f>Bilans_E_AMS_Kyoto_run3_MTE!S482</f>
        <v>15.792365606924447</v>
      </c>
      <c r="P184" s="711">
        <f>Bilans_E_AMS_Kyoto_run3_MTE!T482+Bilans_E_AMS_Kyoto_run3_MTE!U482</f>
        <v>140.68580630413436</v>
      </c>
      <c r="Q184" s="711">
        <f>Bilans_E_AMS_Kyoto_run3_MTE!V482</f>
        <v>11.422179608472932</v>
      </c>
      <c r="R184" s="711">
        <f>Bilans_E_AMS_Kyoto_run3_MTE!W482</f>
        <v>140.84431405230941</v>
      </c>
      <c r="S184" s="711">
        <f>Bilans_E_AMS_Kyoto_run3_MTE!X482</f>
        <v>37.657555904845751</v>
      </c>
      <c r="T184" s="711">
        <f>Bilans_E_AMS_Kyoto_run3_MTE!Y482</f>
        <v>0</v>
      </c>
      <c r="U184" s="711">
        <f>Bilans_E_AMS_Kyoto_run3_MTE!Z482</f>
        <v>410.75930739141103</v>
      </c>
      <c r="V184" s="701"/>
      <c r="W184" s="701"/>
    </row>
    <row r="185" spans="1:23" x14ac:dyDescent="0.25">
      <c r="A185" s="701" t="s">
        <v>510</v>
      </c>
      <c r="B185" s="701"/>
      <c r="C185" s="717" t="s">
        <v>81</v>
      </c>
      <c r="D185" s="711">
        <f>Bilans_E_AMS_Kyoto_run3_MTE!H483</f>
        <v>0</v>
      </c>
      <c r="E185" s="711">
        <f>Bilans_E_AMS_Kyoto_run3_MTE!I483</f>
        <v>0</v>
      </c>
      <c r="F185" s="711">
        <f>Bilans_E_AMS_Kyoto_run3_MTE!J483</f>
        <v>0.52496175669255951</v>
      </c>
      <c r="G185" s="711">
        <f>Bilans_E_AMS_Kyoto_run3_MTE!K483</f>
        <v>0</v>
      </c>
      <c r="H185" s="711">
        <f>Bilans_E_AMS_Kyoto_run3_MTE!L483</f>
        <v>12.447473647538219</v>
      </c>
      <c r="I185" s="711">
        <f>Bilans_E_AMS_Kyoto_run3_MTE!M483</f>
        <v>0.13102603839513913</v>
      </c>
      <c r="J185" s="711">
        <f>Bilans_E_AMS_Kyoto_run3_MTE!N483</f>
        <v>0</v>
      </c>
      <c r="K185" s="711">
        <f>Bilans_E_AMS_Kyoto_run3_MTE!O483</f>
        <v>0</v>
      </c>
      <c r="L185" s="711">
        <f>Bilans_E_AMS_Kyoto_run3_MTE!P483</f>
        <v>0.50385641884580723</v>
      </c>
      <c r="M185" s="711">
        <f>Bilans_E_AMS_Kyoto_run3_MTE!Q483</f>
        <v>0</v>
      </c>
      <c r="N185" s="711">
        <f>Bilans_E_AMS_Kyoto_run3_MTE!R483</f>
        <v>0</v>
      </c>
      <c r="O185" s="711">
        <f>Bilans_E_AMS_Kyoto_run3_MTE!S483</f>
        <v>9.2591733799231637</v>
      </c>
      <c r="P185" s="711">
        <f>Bilans_E_AMS_Kyoto_run3_MTE!T483+Bilans_E_AMS_Kyoto_run3_MTE!U483</f>
        <v>55.972584841883723</v>
      </c>
      <c r="Q185" s="711">
        <f>Bilans_E_AMS_Kyoto_run3_MTE!V483</f>
        <v>11.263560576499328</v>
      </c>
      <c r="R185" s="711">
        <f>Bilans_E_AMS_Kyoto_run3_MTE!W483</f>
        <v>122.13846664869735</v>
      </c>
      <c r="S185" s="711">
        <f>Bilans_E_AMS_Kyoto_run3_MTE!X483</f>
        <v>22.891868477454477</v>
      </c>
      <c r="T185" s="711">
        <f>Bilans_E_AMS_Kyoto_run3_MTE!Y483</f>
        <v>0</v>
      </c>
      <c r="U185" s="711">
        <f>Bilans_E_AMS_Kyoto_run3_MTE!Z483</f>
        <v>235.13297178592975</v>
      </c>
      <c r="V185" s="701"/>
      <c r="W185" s="701"/>
    </row>
    <row r="186" spans="1:23" x14ac:dyDescent="0.25">
      <c r="A186" s="701" t="s">
        <v>511</v>
      </c>
      <c r="B186" s="701"/>
      <c r="C186" s="717" t="s">
        <v>82</v>
      </c>
      <c r="D186" s="711">
        <f>Bilans_E_AMS_Kyoto_run3_MTE!H484</f>
        <v>0</v>
      </c>
      <c r="E186" s="711">
        <f>Bilans_E_AMS_Kyoto_run3_MTE!I484</f>
        <v>0</v>
      </c>
      <c r="F186" s="711">
        <f>Bilans_E_AMS_Kyoto_run3_MTE!J484</f>
        <v>8.4604278538625355</v>
      </c>
      <c r="G186" s="711">
        <f>Bilans_E_AMS_Kyoto_run3_MTE!K484</f>
        <v>0</v>
      </c>
      <c r="H186" s="711">
        <f>Bilans_E_AMS_Kyoto_run3_MTE!L484</f>
        <v>0.63597933034917353</v>
      </c>
      <c r="I186" s="711">
        <f>Bilans_E_AMS_Kyoto_run3_MTE!M484</f>
        <v>6.6945192668334047E-3</v>
      </c>
      <c r="J186" s="711">
        <f>Bilans_E_AMS_Kyoto_run3_MTE!N484</f>
        <v>0</v>
      </c>
      <c r="K186" s="711">
        <f>Bilans_E_AMS_Kyoto_run3_MTE!O484</f>
        <v>0</v>
      </c>
      <c r="L186" s="711">
        <f>Bilans_E_AMS_Kyoto_run3_MTE!P484</f>
        <v>16.880915854504494</v>
      </c>
      <c r="M186" s="711">
        <f>Bilans_E_AMS_Kyoto_run3_MTE!Q484</f>
        <v>0</v>
      </c>
      <c r="N186" s="711">
        <f>Bilans_E_AMS_Kyoto_run3_MTE!R484</f>
        <v>8.0439535729809908</v>
      </c>
      <c r="O186" s="711">
        <f>Bilans_E_AMS_Kyoto_run3_MTE!S484</f>
        <v>0.47307936152289393</v>
      </c>
      <c r="P186" s="711">
        <f>Bilans_E_AMS_Kyoto_run3_MTE!T484+Bilans_E_AMS_Kyoto_run3_MTE!U484</f>
        <v>1.1499999999999999</v>
      </c>
      <c r="Q186" s="711">
        <f>Bilans_E_AMS_Kyoto_run3_MTE!V484</f>
        <v>1.5666563685107562</v>
      </c>
      <c r="R186" s="711">
        <f>Bilans_E_AMS_Kyoto_run3_MTE!W484</f>
        <v>10.022325873265157</v>
      </c>
      <c r="S186" s="711">
        <f>Bilans_E_AMS_Kyoto_run3_MTE!X484</f>
        <v>0</v>
      </c>
      <c r="T186" s="711">
        <f>Bilans_E_AMS_Kyoto_run3_MTE!Y484</f>
        <v>0.50936070240640652</v>
      </c>
      <c r="U186" s="711">
        <f>Bilans_E_AMS_Kyoto_run3_MTE!Z484</f>
        <v>47.74939343666923</v>
      </c>
      <c r="V186" s="701"/>
      <c r="W186" s="701"/>
    </row>
    <row r="187" spans="1:23" x14ac:dyDescent="0.25">
      <c r="A187" s="701" t="s">
        <v>512</v>
      </c>
      <c r="B187" s="701"/>
      <c r="C187" s="717" t="s">
        <v>354</v>
      </c>
      <c r="D187" s="711">
        <f>Bilans_E_AMS_Kyoto_run3_MTE!H485</f>
        <v>0</v>
      </c>
      <c r="E187" s="711">
        <f>Bilans_E_AMS_Kyoto_run3_MTE!I485</f>
        <v>0</v>
      </c>
      <c r="F187" s="711">
        <f>Bilans_E_AMS_Kyoto_run3_MTE!J485</f>
        <v>0</v>
      </c>
      <c r="G187" s="711">
        <f>Bilans_E_AMS_Kyoto_run3_MTE!K485</f>
        <v>0</v>
      </c>
      <c r="H187" s="711">
        <f>Bilans_E_AMS_Kyoto_run3_MTE!L485</f>
        <v>0</v>
      </c>
      <c r="I187" s="711">
        <f>Bilans_E_AMS_Kyoto_run3_MTE!M485</f>
        <v>0</v>
      </c>
      <c r="J187" s="711">
        <f>Bilans_E_AMS_Kyoto_run3_MTE!N485</f>
        <v>0</v>
      </c>
      <c r="K187" s="711">
        <f>Bilans_E_AMS_Kyoto_run3_MTE!O485</f>
        <v>0</v>
      </c>
      <c r="L187" s="711">
        <f>Bilans_E_AMS_Kyoto_run3_MTE!P485</f>
        <v>0</v>
      </c>
      <c r="M187" s="711">
        <f>Bilans_E_AMS_Kyoto_run3_MTE!Q485</f>
        <v>0</v>
      </c>
      <c r="N187" s="711">
        <f>Bilans_E_AMS_Kyoto_run3_MTE!R485</f>
        <v>0</v>
      </c>
      <c r="O187" s="711">
        <f>Bilans_E_AMS_Kyoto_run3_MTE!S485</f>
        <v>0</v>
      </c>
      <c r="P187" s="711">
        <f>Bilans_E_AMS_Kyoto_run3_MTE!T485+Bilans_E_AMS_Kyoto_run3_MTE!U485</f>
        <v>0</v>
      </c>
      <c r="Q187" s="711">
        <f>Bilans_E_AMS_Kyoto_run3_MTE!V485</f>
        <v>0</v>
      </c>
      <c r="R187" s="711">
        <f>Bilans_E_AMS_Kyoto_run3_MTE!W485</f>
        <v>6.8640000000000008</v>
      </c>
      <c r="S187" s="711">
        <f>Bilans_E_AMS_Kyoto_run3_MTE!X485</f>
        <v>0</v>
      </c>
      <c r="T187" s="711">
        <f>Bilans_E_AMS_Kyoto_run3_MTE!Y485</f>
        <v>0</v>
      </c>
      <c r="U187" s="711">
        <f>Bilans_E_AMS_Kyoto_run3_MTE!Z485</f>
        <v>6.8640000000000008</v>
      </c>
      <c r="V187" s="701"/>
      <c r="W187" s="701"/>
    </row>
    <row r="188" spans="1:23" x14ac:dyDescent="0.25">
      <c r="A188" s="701" t="s">
        <v>513</v>
      </c>
      <c r="B188" s="701"/>
      <c r="C188" s="713" t="s">
        <v>83</v>
      </c>
      <c r="D188" s="714">
        <f>Bilans_E_AMS_Kyoto_run3_MTE!H486</f>
        <v>0.16342834472656248</v>
      </c>
      <c r="E188" s="714">
        <f>Bilans_E_AMS_Kyoto_run3_MTE!I486</f>
        <v>0</v>
      </c>
      <c r="F188" s="714">
        <f>Bilans_E_AMS_Kyoto_run3_MTE!J486</f>
        <v>67.885659917304892</v>
      </c>
      <c r="G188" s="714">
        <f>Bilans_E_AMS_Kyoto_run3_MTE!K486</f>
        <v>1.6</v>
      </c>
      <c r="H188" s="714">
        <f>Bilans_E_AMS_Kyoto_run3_MTE!L486</f>
        <v>70.621338495657199</v>
      </c>
      <c r="I188" s="714">
        <f>Bilans_E_AMS_Kyoto_run3_MTE!M486</f>
        <v>0.74338251048060211</v>
      </c>
      <c r="J188" s="714">
        <f>Bilans_E_AMS_Kyoto_run3_MTE!N486</f>
        <v>0</v>
      </c>
      <c r="K188" s="714">
        <f>Bilans_E_AMS_Kyoto_run3_MTE!O486</f>
        <v>0</v>
      </c>
      <c r="L188" s="714">
        <f>Bilans_E_AMS_Kyoto_run3_MTE!P486</f>
        <v>95.920402760355529</v>
      </c>
      <c r="M188" s="714">
        <f>Bilans_E_AMS_Kyoto_run3_MTE!Q486</f>
        <v>8.355944349353404</v>
      </c>
      <c r="N188" s="714">
        <f>Bilans_E_AMS_Kyoto_run3_MTE!R486</f>
        <v>40.256169945489773</v>
      </c>
      <c r="O188" s="714">
        <f>Bilans_E_AMS_Kyoto_run3_MTE!S486</f>
        <v>52.572639321214815</v>
      </c>
      <c r="P188" s="714">
        <f>Bilans_E_AMS_Kyoto_run3_MTE!T486+Bilans_E_AMS_Kyoto_run3_MTE!U486</f>
        <v>210.4038735678931</v>
      </c>
      <c r="Q188" s="714">
        <f>Bilans_E_AMS_Kyoto_run3_MTE!V486</f>
        <v>24.25321763037536</v>
      </c>
      <c r="R188" s="714">
        <f>Bilans_E_AMS_Kyoto_run3_MTE!W486</f>
        <v>549.53538119716018</v>
      </c>
      <c r="S188" s="714">
        <f>Bilans_E_AMS_Kyoto_run3_MTE!X486</f>
        <v>80.131319587438796</v>
      </c>
      <c r="T188" s="714">
        <f>Bilans_E_AMS_Kyoto_run3_MTE!Y486</f>
        <v>17.919209656247777</v>
      </c>
      <c r="U188" s="714">
        <f>Bilans_E_AMS_Kyoto_run3_MTE!Z486</f>
        <v>1220.361967283698</v>
      </c>
      <c r="V188" s="701"/>
      <c r="W188" s="701"/>
    </row>
    <row r="189" spans="1:23" x14ac:dyDescent="0.25">
      <c r="A189" s="701" t="s">
        <v>514</v>
      </c>
      <c r="B189" s="701"/>
      <c r="C189" s="710" t="s">
        <v>84</v>
      </c>
      <c r="D189" s="711">
        <f>Bilans_E_AMS_Kyoto_run3_MTE!H487</f>
        <v>0</v>
      </c>
      <c r="E189" s="711">
        <f>Bilans_E_AMS_Kyoto_run3_MTE!I487</f>
        <v>0</v>
      </c>
      <c r="F189" s="711">
        <f>Bilans_E_AMS_Kyoto_run3_MTE!J487</f>
        <v>98.630833151912839</v>
      </c>
      <c r="G189" s="711">
        <f>Bilans_E_AMS_Kyoto_run3_MTE!K487</f>
        <v>3.094705785318189</v>
      </c>
      <c r="H189" s="711">
        <f>Bilans_E_AMS_Kyoto_run3_MTE!L487</f>
        <v>10.821936682039073</v>
      </c>
      <c r="I189" s="711">
        <f>Bilans_E_AMS_Kyoto_run3_MTE!M487</f>
        <v>0</v>
      </c>
      <c r="J189" s="711">
        <f>Bilans_E_AMS_Kyoto_run3_MTE!N487</f>
        <v>0</v>
      </c>
      <c r="K189" s="711">
        <f>Bilans_E_AMS_Kyoto_run3_MTE!O487</f>
        <v>0</v>
      </c>
      <c r="L189" s="711">
        <f>Bilans_E_AMS_Kyoto_run3_MTE!P487</f>
        <v>0.52555901393570603</v>
      </c>
      <c r="M189" s="711">
        <f>Bilans_E_AMS_Kyoto_run3_MTE!Q487</f>
        <v>0</v>
      </c>
      <c r="N189" s="711">
        <f>Bilans_E_AMS_Kyoto_run3_MTE!R487</f>
        <v>4.7238090812444442</v>
      </c>
      <c r="O189" s="711">
        <f>Bilans_E_AMS_Kyoto_run3_MTE!S487</f>
        <v>0</v>
      </c>
      <c r="P189" s="711">
        <f>Bilans_E_AMS_Kyoto_run3_MTE!T487+Bilans_E_AMS_Kyoto_run3_MTE!U487</f>
        <v>0</v>
      </c>
      <c r="Q189" s="711">
        <f>Bilans_E_AMS_Kyoto_run3_MTE!V487</f>
        <v>0</v>
      </c>
      <c r="R189" s="711">
        <f>Bilans_E_AMS_Kyoto_run3_MTE!W487</f>
        <v>0</v>
      </c>
      <c r="S189" s="711">
        <f>Bilans_E_AMS_Kyoto_run3_MTE!X487</f>
        <v>0</v>
      </c>
      <c r="T189" s="711">
        <f>Bilans_E_AMS_Kyoto_run3_MTE!Y487</f>
        <v>3.3812053333570531</v>
      </c>
      <c r="U189" s="711">
        <f>Bilans_E_AMS_Kyoto_run3_MTE!Z487</f>
        <v>121.17804904780731</v>
      </c>
      <c r="V189" s="701"/>
      <c r="W189" s="701"/>
    </row>
    <row r="190" spans="1:23" x14ac:dyDescent="0.25">
      <c r="A190" s="701" t="s">
        <v>515</v>
      </c>
      <c r="B190" s="701"/>
      <c r="C190" s="713" t="s">
        <v>85</v>
      </c>
      <c r="D190" s="714">
        <f>Bilans_E_AMS_Kyoto_run3_MTE!H488</f>
        <v>0.16342834472656248</v>
      </c>
      <c r="E190" s="714">
        <f>Bilans_E_AMS_Kyoto_run3_MTE!I488</f>
        <v>0</v>
      </c>
      <c r="F190" s="714">
        <f>Bilans_E_AMS_Kyoto_run3_MTE!J488</f>
        <v>166.51649306921774</v>
      </c>
      <c r="G190" s="714">
        <f>Bilans_E_AMS_Kyoto_run3_MTE!K488</f>
        <v>4.6947057853181891</v>
      </c>
      <c r="H190" s="714">
        <f>Bilans_E_AMS_Kyoto_run3_MTE!L488</f>
        <v>81.443275177696279</v>
      </c>
      <c r="I190" s="714">
        <f>Bilans_E_AMS_Kyoto_run3_MTE!M488</f>
        <v>0.74338251048060211</v>
      </c>
      <c r="J190" s="714">
        <f>Bilans_E_AMS_Kyoto_run3_MTE!N488</f>
        <v>0</v>
      </c>
      <c r="K190" s="714">
        <f>Bilans_E_AMS_Kyoto_run3_MTE!O488</f>
        <v>0</v>
      </c>
      <c r="L190" s="714">
        <f>Bilans_E_AMS_Kyoto_run3_MTE!P488</f>
        <v>96.445961774291234</v>
      </c>
      <c r="M190" s="714">
        <f>Bilans_E_AMS_Kyoto_run3_MTE!Q488</f>
        <v>8.355944349353404</v>
      </c>
      <c r="N190" s="714">
        <f>Bilans_E_AMS_Kyoto_run3_MTE!R488</f>
        <v>44.97997902673422</v>
      </c>
      <c r="O190" s="714">
        <f>Bilans_E_AMS_Kyoto_run3_MTE!S488</f>
        <v>52.572639321214815</v>
      </c>
      <c r="P190" s="714">
        <f>Bilans_E_AMS_Kyoto_run3_MTE!T488+Bilans_E_AMS_Kyoto_run3_MTE!U488</f>
        <v>210.4038735678931</v>
      </c>
      <c r="Q190" s="714">
        <f>Bilans_E_AMS_Kyoto_run3_MTE!V488</f>
        <v>24.25321763037536</v>
      </c>
      <c r="R190" s="714">
        <f>Bilans_E_AMS_Kyoto_run3_MTE!W488</f>
        <v>549.53538119716018</v>
      </c>
      <c r="S190" s="714">
        <f>Bilans_E_AMS_Kyoto_run3_MTE!X488</f>
        <v>80.131319587438796</v>
      </c>
      <c r="T190" s="714">
        <f>Bilans_E_AMS_Kyoto_run3_MTE!Y488</f>
        <v>21.300414989604828</v>
      </c>
      <c r="U190" s="714">
        <f>Bilans_E_AMS_Kyoto_run3_MTE!Z488</f>
        <v>1341.5400163315053</v>
      </c>
      <c r="V190" s="701"/>
      <c r="W190" s="701"/>
    </row>
    <row r="191" spans="1:23" x14ac:dyDescent="0.25">
      <c r="A191" s="701"/>
      <c r="B191" s="701"/>
      <c r="C191" s="701"/>
      <c r="D191" s="701">
        <f>Bilans_E_AMS_Kyoto_run3_MTE!H489</f>
        <v>0</v>
      </c>
      <c r="E191" s="701">
        <f>Bilans_E_AMS_Kyoto_run3_MTE!I489</f>
        <v>0</v>
      </c>
      <c r="F191" s="701">
        <f>Bilans_E_AMS_Kyoto_run3_MTE!J489</f>
        <v>7.1054273576010019E-15</v>
      </c>
      <c r="G191" s="701">
        <f>Bilans_E_AMS_Kyoto_run3_MTE!K489</f>
        <v>0</v>
      </c>
      <c r="H191" s="701">
        <f>Bilans_E_AMS_Kyoto_run3_MTE!L489</f>
        <v>2.4547035224031788E-5</v>
      </c>
      <c r="I191" s="701">
        <f>Bilans_E_AMS_Kyoto_run3_MTE!M489</f>
        <v>-2.4547035192501454E-5</v>
      </c>
      <c r="J191" s="701">
        <f>Bilans_E_AMS_Kyoto_run3_MTE!N489</f>
        <v>0</v>
      </c>
      <c r="K191" s="701">
        <f>Bilans_E_AMS_Kyoto_run3_MTE!O489</f>
        <v>0</v>
      </c>
      <c r="L191" s="701">
        <f>Bilans_E_AMS_Kyoto_run3_MTE!P489</f>
        <v>0</v>
      </c>
      <c r="M191" s="701">
        <f>Bilans_E_AMS_Kyoto_run3_MTE!Q489</f>
        <v>0</v>
      </c>
      <c r="N191" s="701">
        <f>Bilans_E_AMS_Kyoto_run3_MTE!R489</f>
        <v>0</v>
      </c>
      <c r="O191" s="701">
        <f>Bilans_E_AMS_Kyoto_run3_MTE!S489</f>
        <v>0</v>
      </c>
      <c r="P191" s="701">
        <f>Bilans_E_AMS_Kyoto_run3_MTE!T489+Bilans_E_AMS_Kyoto_run3_MTE!U489</f>
        <v>0</v>
      </c>
      <c r="Q191" s="701">
        <f>Bilans_E_AMS_Kyoto_run3_MTE!V489</f>
        <v>0</v>
      </c>
      <c r="R191" s="701">
        <f>Bilans_E_AMS_Kyoto_run3_MTE!W489</f>
        <v>0</v>
      </c>
      <c r="S191" s="701">
        <f>Bilans_E_AMS_Kyoto_run3_MTE!X489</f>
        <v>-3.2509756167087289E-5</v>
      </c>
      <c r="T191" s="701">
        <f>Bilans_E_AMS_Kyoto_run3_MTE!Y489</f>
        <v>0</v>
      </c>
      <c r="U191" s="701">
        <f>Bilans_E_AMS_Kyoto_run3_MTE!Z489</f>
        <v>-3.2509756238141563E-5</v>
      </c>
      <c r="V191" s="701"/>
      <c r="W191" s="701"/>
    </row>
    <row r="192" spans="1:23" x14ac:dyDescent="0.25">
      <c r="A192" s="701"/>
      <c r="B192" s="701"/>
      <c r="C192" s="701"/>
      <c r="D192" s="701"/>
      <c r="E192" s="701"/>
      <c r="F192" s="701"/>
      <c r="G192" s="701"/>
      <c r="H192" s="701"/>
      <c r="I192" s="701"/>
      <c r="J192" s="701"/>
      <c r="K192" s="701"/>
      <c r="L192" s="701"/>
      <c r="M192" s="701"/>
      <c r="N192" s="701"/>
      <c r="O192" s="701"/>
      <c r="P192" s="701"/>
      <c r="Q192" s="701"/>
      <c r="R192" s="701"/>
      <c r="S192" s="701"/>
      <c r="T192" s="701"/>
      <c r="U192" s="701"/>
      <c r="V192" s="701"/>
      <c r="W192" s="701"/>
    </row>
    <row r="193" spans="1:23" x14ac:dyDescent="0.25">
      <c r="A193" s="707"/>
      <c r="B193" s="707"/>
      <c r="C193" s="708" t="s">
        <v>361</v>
      </c>
      <c r="D193" s="707"/>
      <c r="E193" s="707"/>
      <c r="F193" s="707"/>
      <c r="G193" s="707"/>
      <c r="H193" s="707"/>
      <c r="I193" s="707"/>
      <c r="J193" s="707"/>
      <c r="K193" s="707"/>
      <c r="L193" s="707"/>
      <c r="M193" s="707"/>
      <c r="N193" s="707"/>
      <c r="O193" s="707"/>
      <c r="P193" s="707"/>
      <c r="Q193" s="707"/>
      <c r="R193" s="707"/>
      <c r="S193" s="707"/>
      <c r="T193" s="707"/>
      <c r="U193" s="707"/>
      <c r="V193" s="707"/>
      <c r="W193" s="707"/>
    </row>
    <row r="194" spans="1:23" x14ac:dyDescent="0.25">
      <c r="A194" s="701"/>
      <c r="B194" s="701"/>
      <c r="C194" s="701"/>
      <c r="D194" s="701"/>
      <c r="E194" s="701"/>
      <c r="F194" s="701"/>
      <c r="G194" s="701"/>
      <c r="H194" s="701"/>
      <c r="I194" s="701"/>
      <c r="J194" s="701"/>
      <c r="K194" s="701"/>
      <c r="L194" s="701"/>
      <c r="M194" s="701"/>
      <c r="N194" s="701"/>
      <c r="O194" s="701"/>
      <c r="P194" s="701"/>
      <c r="Q194" s="701"/>
      <c r="R194" s="701"/>
      <c r="S194" s="701"/>
      <c r="T194" s="701"/>
      <c r="U194" s="701"/>
      <c r="V194" s="701"/>
      <c r="W194" s="701"/>
    </row>
    <row r="195" spans="1:23" x14ac:dyDescent="0.25">
      <c r="A195" s="701"/>
      <c r="B195" s="701"/>
      <c r="C195" s="780" t="s">
        <v>128</v>
      </c>
      <c r="D195" s="775" t="s">
        <v>42</v>
      </c>
      <c r="E195" s="775" t="s">
        <v>52</v>
      </c>
      <c r="F195" s="775" t="s">
        <v>53</v>
      </c>
      <c r="G195" s="775" t="s">
        <v>482</v>
      </c>
      <c r="H195" s="775" t="s">
        <v>32</v>
      </c>
      <c r="I195" s="775" t="s">
        <v>483</v>
      </c>
      <c r="J195" s="775" t="s">
        <v>20</v>
      </c>
      <c r="K195" s="775" t="s">
        <v>55</v>
      </c>
      <c r="L195" s="777" t="s">
        <v>56</v>
      </c>
      <c r="M195" s="778"/>
      <c r="N195" s="778"/>
      <c r="O195" s="778"/>
      <c r="P195" s="778"/>
      <c r="Q195" s="779"/>
      <c r="R195" s="775" t="s">
        <v>57</v>
      </c>
      <c r="S195" s="775" t="s">
        <v>58</v>
      </c>
      <c r="T195" s="775" t="s">
        <v>31</v>
      </c>
      <c r="U195" s="775" t="s">
        <v>10</v>
      </c>
      <c r="V195" s="701"/>
      <c r="W195" s="701"/>
    </row>
    <row r="196" spans="1:23" ht="67.5" x14ac:dyDescent="0.25">
      <c r="A196" s="701" t="s">
        <v>486</v>
      </c>
      <c r="B196" s="701"/>
      <c r="C196" s="781"/>
      <c r="D196" s="776"/>
      <c r="E196" s="776"/>
      <c r="F196" s="776"/>
      <c r="G196" s="776"/>
      <c r="H196" s="776"/>
      <c r="I196" s="776"/>
      <c r="J196" s="776"/>
      <c r="K196" s="776"/>
      <c r="L196" s="709" t="s">
        <v>335</v>
      </c>
      <c r="M196" s="709" t="s">
        <v>40</v>
      </c>
      <c r="N196" s="709" t="s">
        <v>343</v>
      </c>
      <c r="O196" s="709" t="s">
        <v>344</v>
      </c>
      <c r="P196" s="719" t="s">
        <v>610</v>
      </c>
      <c r="Q196" s="709" t="s">
        <v>346</v>
      </c>
      <c r="R196" s="776"/>
      <c r="S196" s="776"/>
      <c r="T196" s="776"/>
      <c r="U196" s="776"/>
      <c r="V196" s="701"/>
      <c r="W196" s="701"/>
    </row>
    <row r="197" spans="1:23" x14ac:dyDescent="0.25">
      <c r="A197" s="701" t="s">
        <v>487</v>
      </c>
      <c r="B197" s="701"/>
      <c r="C197" s="710" t="s">
        <v>59</v>
      </c>
      <c r="D197" s="711">
        <f>Bilans_E_AMS_Kyoto_run3_MTE!H495</f>
        <v>0</v>
      </c>
      <c r="E197" s="711">
        <f>Bilans_E_AMS_Kyoto_run3_MTE!I495</f>
        <v>0</v>
      </c>
      <c r="F197" s="711">
        <f>Bilans_E_AMS_Kyoto_run3_MTE!J495</f>
        <v>0</v>
      </c>
      <c r="G197" s="711">
        <f>Bilans_E_AMS_Kyoto_run3_MTE!K495</f>
        <v>0</v>
      </c>
      <c r="H197" s="711">
        <f>Bilans_E_AMS_Kyoto_run3_MTE!L495</f>
        <v>0</v>
      </c>
      <c r="I197" s="711">
        <f>Bilans_E_AMS_Kyoto_run3_MTE!M495</f>
        <v>0</v>
      </c>
      <c r="J197" s="711">
        <f>Bilans_E_AMS_Kyoto_run3_MTE!N495</f>
        <v>1021.1177956869142</v>
      </c>
      <c r="K197" s="711">
        <f>Bilans_E_AMS_Kyoto_run3_MTE!O495</f>
        <v>462.06687945929309</v>
      </c>
      <c r="L197" s="711">
        <f>Bilans_E_AMS_Kyoto_run3_MTE!P495</f>
        <v>380.853201250621</v>
      </c>
      <c r="M197" s="711">
        <f>Bilans_E_AMS_Kyoto_run3_MTE!Q495</f>
        <v>45.488439305040814</v>
      </c>
      <c r="N197" s="711">
        <f>Bilans_E_AMS_Kyoto_run3_MTE!R495</f>
        <v>0</v>
      </c>
      <c r="O197" s="711">
        <f>Bilans_E_AMS_Kyoto_run3_MTE!S495</f>
        <v>0</v>
      </c>
      <c r="P197" s="711">
        <f>Bilans_E_AMS_Kyoto_run3_MTE!T495+Bilans_E_AMS_Kyoto_run3_MTE!U495</f>
        <v>241.4786584909825</v>
      </c>
      <c r="Q197" s="711">
        <f>Bilans_E_AMS_Kyoto_run3_MTE!V495</f>
        <v>44.619368166332919</v>
      </c>
      <c r="R197" s="711">
        <f>Bilans_E_AMS_Kyoto_run3_MTE!W495</f>
        <v>0</v>
      </c>
      <c r="S197" s="711">
        <f>Bilans_E_AMS_Kyoto_run3_MTE!X495</f>
        <v>0</v>
      </c>
      <c r="T197" s="711">
        <f>Bilans_E_AMS_Kyoto_run3_MTE!Y495</f>
        <v>0</v>
      </c>
      <c r="U197" s="711">
        <f>Bilans_E_AMS_Kyoto_run3_MTE!Z495</f>
        <v>2195.6243423591845</v>
      </c>
      <c r="V197" s="701"/>
      <c r="W197" s="701"/>
    </row>
    <row r="198" spans="1:23" x14ac:dyDescent="0.25">
      <c r="A198" s="701" t="s">
        <v>488</v>
      </c>
      <c r="B198" s="701"/>
      <c r="C198" s="710" t="s">
        <v>60</v>
      </c>
      <c r="D198" s="712">
        <f>Bilans_E_AMS_Kyoto_run3_MTE!H496</f>
        <v>7.2040588378906256E-2</v>
      </c>
      <c r="E198" s="712">
        <f>Bilans_E_AMS_Kyoto_run3_MTE!I496</f>
        <v>143.57372262348443</v>
      </c>
      <c r="F198" s="712">
        <f>Bilans_E_AMS_Kyoto_run3_MTE!J496</f>
        <v>24.964838256255007</v>
      </c>
      <c r="G198" s="712">
        <f>Bilans_E_AMS_Kyoto_run3_MTE!K496</f>
        <v>8.9901848637372375</v>
      </c>
      <c r="H198" s="712">
        <f>Bilans_E_AMS_Kyoto_run3_MTE!L496</f>
        <v>83.302522482755748</v>
      </c>
      <c r="I198" s="712">
        <f>Bilans_E_AMS_Kyoto_run3_MTE!M496</f>
        <v>0</v>
      </c>
      <c r="J198" s="712">
        <f>Bilans_E_AMS_Kyoto_run3_MTE!N496</f>
        <v>0</v>
      </c>
      <c r="K198" s="712">
        <f>Bilans_E_AMS_Kyoto_run3_MTE!O496</f>
        <v>0</v>
      </c>
      <c r="L198" s="712">
        <f>Bilans_E_AMS_Kyoto_run3_MTE!P496</f>
        <v>8.1136608848584615</v>
      </c>
      <c r="M198" s="712">
        <f>Bilans_E_AMS_Kyoto_run3_MTE!Q496</f>
        <v>0</v>
      </c>
      <c r="N198" s="712">
        <f>Bilans_E_AMS_Kyoto_run3_MTE!R496</f>
        <v>3.6899916266640176</v>
      </c>
      <c r="O198" s="712">
        <f>Bilans_E_AMS_Kyoto_run3_MTE!S496</f>
        <v>0</v>
      </c>
      <c r="P198" s="712">
        <f>Bilans_E_AMS_Kyoto_run3_MTE!T496+Bilans_E_AMS_Kyoto_run3_MTE!U496</f>
        <v>0</v>
      </c>
      <c r="Q198" s="712">
        <f>Bilans_E_AMS_Kyoto_run3_MTE!V496</f>
        <v>0</v>
      </c>
      <c r="R198" s="712">
        <f>Bilans_E_AMS_Kyoto_run3_MTE!W496</f>
        <v>0</v>
      </c>
      <c r="S198" s="712">
        <f>Bilans_E_AMS_Kyoto_run3_MTE!X496</f>
        <v>0</v>
      </c>
      <c r="T198" s="712">
        <f>Bilans_E_AMS_Kyoto_run3_MTE!Y496</f>
        <v>0</v>
      </c>
      <c r="U198" s="712">
        <f>Bilans_E_AMS_Kyoto_run3_MTE!Z496</f>
        <v>272.70696132613381</v>
      </c>
      <c r="V198" s="701"/>
      <c r="W198" s="701"/>
    </row>
    <row r="199" spans="1:23" x14ac:dyDescent="0.25">
      <c r="A199" s="701" t="s">
        <v>489</v>
      </c>
      <c r="B199" s="701"/>
      <c r="C199" s="710" t="s">
        <v>61</v>
      </c>
      <c r="D199" s="712">
        <f>Bilans_E_AMS_Kyoto_run3_MTE!H497</f>
        <v>0</v>
      </c>
      <c r="E199" s="712">
        <f>Bilans_E_AMS_Kyoto_run3_MTE!I497</f>
        <v>0</v>
      </c>
      <c r="F199" s="712">
        <f>Bilans_E_AMS_Kyoto_run3_MTE!J497</f>
        <v>0</v>
      </c>
      <c r="G199" s="712">
        <f>Bilans_E_AMS_Kyoto_run3_MTE!K497</f>
        <v>0</v>
      </c>
      <c r="H199" s="712">
        <f>Bilans_E_AMS_Kyoto_run3_MTE!L497</f>
        <v>0</v>
      </c>
      <c r="I199" s="712">
        <f>Bilans_E_AMS_Kyoto_run3_MTE!M497</f>
        <v>0</v>
      </c>
      <c r="J199" s="712">
        <f>Bilans_E_AMS_Kyoto_run3_MTE!N497</f>
        <v>0</v>
      </c>
      <c r="K199" s="712">
        <f>Bilans_E_AMS_Kyoto_run3_MTE!O497</f>
        <v>0</v>
      </c>
      <c r="L199" s="712">
        <f>Bilans_E_AMS_Kyoto_run3_MTE!P497</f>
        <v>0</v>
      </c>
      <c r="M199" s="712">
        <f>Bilans_E_AMS_Kyoto_run3_MTE!Q497</f>
        <v>0</v>
      </c>
      <c r="N199" s="712">
        <f>Bilans_E_AMS_Kyoto_run3_MTE!R497</f>
        <v>0</v>
      </c>
      <c r="O199" s="712">
        <f>Bilans_E_AMS_Kyoto_run3_MTE!S497</f>
        <v>-20.664907066692336</v>
      </c>
      <c r="P199" s="712">
        <f>Bilans_E_AMS_Kyoto_run3_MTE!T497+Bilans_E_AMS_Kyoto_run3_MTE!U497</f>
        <v>0</v>
      </c>
      <c r="Q199" s="712">
        <f>Bilans_E_AMS_Kyoto_run3_MTE!V497</f>
        <v>0</v>
      </c>
      <c r="R199" s="712">
        <f>Bilans_E_AMS_Kyoto_run3_MTE!W497</f>
        <v>-64.652591069811592</v>
      </c>
      <c r="S199" s="712">
        <f>Bilans_E_AMS_Kyoto_run3_MTE!X497</f>
        <v>0</v>
      </c>
      <c r="T199" s="712">
        <f>Bilans_E_AMS_Kyoto_run3_MTE!Y497</f>
        <v>0</v>
      </c>
      <c r="U199" s="712">
        <f>Bilans_E_AMS_Kyoto_run3_MTE!Z497</f>
        <v>-85.317498136503929</v>
      </c>
      <c r="V199" s="701"/>
      <c r="W199" s="701"/>
    </row>
    <row r="200" spans="1:23" x14ac:dyDescent="0.25">
      <c r="A200" s="701" t="s">
        <v>490</v>
      </c>
      <c r="B200" s="701"/>
      <c r="C200" s="710" t="s">
        <v>62</v>
      </c>
      <c r="D200" s="711">
        <f>Bilans_E_AMS_Kyoto_run3_MTE!H498</f>
        <v>0</v>
      </c>
      <c r="E200" s="711">
        <f>Bilans_E_AMS_Kyoto_run3_MTE!I498</f>
        <v>0</v>
      </c>
      <c r="F200" s="711">
        <f>Bilans_E_AMS_Kyoto_run3_MTE!J498</f>
        <v>-2.6430279181443233</v>
      </c>
      <c r="G200" s="711">
        <f>Bilans_E_AMS_Kyoto_run3_MTE!K498</f>
        <v>-2.1194862177251581</v>
      </c>
      <c r="H200" s="711">
        <f>Bilans_E_AMS_Kyoto_run3_MTE!L498</f>
        <v>0</v>
      </c>
      <c r="I200" s="711">
        <f>Bilans_E_AMS_Kyoto_run3_MTE!M498</f>
        <v>-2.4085070655967704</v>
      </c>
      <c r="J200" s="711">
        <f>Bilans_E_AMS_Kyoto_run3_MTE!N498</f>
        <v>0</v>
      </c>
      <c r="K200" s="711">
        <f>Bilans_E_AMS_Kyoto_run3_MTE!O498</f>
        <v>0</v>
      </c>
      <c r="L200" s="711">
        <f>Bilans_E_AMS_Kyoto_run3_MTE!P498</f>
        <v>0</v>
      </c>
      <c r="M200" s="711">
        <f>Bilans_E_AMS_Kyoto_run3_MTE!Q498</f>
        <v>0</v>
      </c>
      <c r="N200" s="711">
        <f>Bilans_E_AMS_Kyoto_run3_MTE!R498</f>
        <v>0</v>
      </c>
      <c r="O200" s="711">
        <f>Bilans_E_AMS_Kyoto_run3_MTE!S498</f>
        <v>-1.4769404520417975</v>
      </c>
      <c r="P200" s="711">
        <f>Bilans_E_AMS_Kyoto_run3_MTE!T498+Bilans_E_AMS_Kyoto_run3_MTE!U498</f>
        <v>0</v>
      </c>
      <c r="Q200" s="711">
        <f>Bilans_E_AMS_Kyoto_run3_MTE!V498</f>
        <v>0</v>
      </c>
      <c r="R200" s="711">
        <f>Bilans_E_AMS_Kyoto_run3_MTE!W498</f>
        <v>0</v>
      </c>
      <c r="S200" s="711">
        <f>Bilans_E_AMS_Kyoto_run3_MTE!X498</f>
        <v>0</v>
      </c>
      <c r="T200" s="711">
        <f>Bilans_E_AMS_Kyoto_run3_MTE!Y498</f>
        <v>-0.99606248425254151</v>
      </c>
      <c r="U200" s="711">
        <f>Bilans_E_AMS_Kyoto_run3_MTE!Z498</f>
        <v>-9.6440241377605904</v>
      </c>
      <c r="V200" s="701"/>
      <c r="W200" s="701"/>
    </row>
    <row r="201" spans="1:23" x14ac:dyDescent="0.25">
      <c r="A201" s="701" t="s">
        <v>491</v>
      </c>
      <c r="B201" s="701"/>
      <c r="C201" s="710" t="s">
        <v>63</v>
      </c>
      <c r="D201" s="711">
        <f>Bilans_E_AMS_Kyoto_run3_MTE!H499</f>
        <v>0</v>
      </c>
      <c r="E201" s="711">
        <f>Bilans_E_AMS_Kyoto_run3_MTE!I499</f>
        <v>0</v>
      </c>
      <c r="F201" s="711">
        <f>Bilans_E_AMS_Kyoto_run3_MTE!J499</f>
        <v>-26.999999999999996</v>
      </c>
      <c r="G201" s="711">
        <f>Bilans_E_AMS_Kyoto_run3_MTE!K499</f>
        <v>-16</v>
      </c>
      <c r="H201" s="711">
        <f>Bilans_E_AMS_Kyoto_run3_MTE!L499</f>
        <v>0</v>
      </c>
      <c r="I201" s="711">
        <f>Bilans_E_AMS_Kyoto_run3_MTE!M499</f>
        <v>0</v>
      </c>
      <c r="J201" s="711">
        <f>Bilans_E_AMS_Kyoto_run3_MTE!N499</f>
        <v>0</v>
      </c>
      <c r="K201" s="711">
        <f>Bilans_E_AMS_Kyoto_run3_MTE!O499</f>
        <v>0</v>
      </c>
      <c r="L201" s="711">
        <f>Bilans_E_AMS_Kyoto_run3_MTE!P499</f>
        <v>0</v>
      </c>
      <c r="M201" s="711">
        <f>Bilans_E_AMS_Kyoto_run3_MTE!Q499</f>
        <v>0</v>
      </c>
      <c r="N201" s="711">
        <f>Bilans_E_AMS_Kyoto_run3_MTE!R499</f>
        <v>-16</v>
      </c>
      <c r="O201" s="711">
        <f>Bilans_E_AMS_Kyoto_run3_MTE!S499</f>
        <v>0</v>
      </c>
      <c r="P201" s="711">
        <f>Bilans_E_AMS_Kyoto_run3_MTE!T499+Bilans_E_AMS_Kyoto_run3_MTE!U499</f>
        <v>0</v>
      </c>
      <c r="Q201" s="711">
        <f>Bilans_E_AMS_Kyoto_run3_MTE!V499</f>
        <v>0</v>
      </c>
      <c r="R201" s="711">
        <f>Bilans_E_AMS_Kyoto_run3_MTE!W499</f>
        <v>0</v>
      </c>
      <c r="S201" s="711">
        <f>Bilans_E_AMS_Kyoto_run3_MTE!X499</f>
        <v>0</v>
      </c>
      <c r="T201" s="711">
        <f>Bilans_E_AMS_Kyoto_run3_MTE!Y499</f>
        <v>-5</v>
      </c>
      <c r="U201" s="711">
        <f>Bilans_E_AMS_Kyoto_run3_MTE!Z499</f>
        <v>-64</v>
      </c>
      <c r="V201" s="701"/>
      <c r="W201" s="701"/>
    </row>
    <row r="202" spans="1:23" x14ac:dyDescent="0.25">
      <c r="A202" s="701" t="s">
        <v>492</v>
      </c>
      <c r="B202" s="701"/>
      <c r="C202" s="710" t="s">
        <v>64</v>
      </c>
      <c r="D202" s="712">
        <f>Bilans_E_AMS_Kyoto_run3_MTE!H500</f>
        <v>0</v>
      </c>
      <c r="E202" s="712">
        <f>Bilans_E_AMS_Kyoto_run3_MTE!I500</f>
        <v>0</v>
      </c>
      <c r="F202" s="712">
        <f>Bilans_E_AMS_Kyoto_run3_MTE!J500</f>
        <v>0</v>
      </c>
      <c r="G202" s="712">
        <f>Bilans_E_AMS_Kyoto_run3_MTE!K500</f>
        <v>0</v>
      </c>
      <c r="H202" s="712">
        <f>Bilans_E_AMS_Kyoto_run3_MTE!L500</f>
        <v>0</v>
      </c>
      <c r="I202" s="712">
        <f>Bilans_E_AMS_Kyoto_run3_MTE!M500</f>
        <v>0</v>
      </c>
      <c r="J202" s="712">
        <f>Bilans_E_AMS_Kyoto_run3_MTE!N500</f>
        <v>0</v>
      </c>
      <c r="K202" s="712">
        <f>Bilans_E_AMS_Kyoto_run3_MTE!O500</f>
        <v>0</v>
      </c>
      <c r="L202" s="712">
        <f>Bilans_E_AMS_Kyoto_run3_MTE!P500</f>
        <v>0</v>
      </c>
      <c r="M202" s="712">
        <f>Bilans_E_AMS_Kyoto_run3_MTE!Q500</f>
        <v>0</v>
      </c>
      <c r="N202" s="712">
        <f>Bilans_E_AMS_Kyoto_run3_MTE!R500</f>
        <v>0</v>
      </c>
      <c r="O202" s="712">
        <f>Bilans_E_AMS_Kyoto_run3_MTE!S500</f>
        <v>0</v>
      </c>
      <c r="P202" s="712">
        <f>Bilans_E_AMS_Kyoto_run3_MTE!T500+Bilans_E_AMS_Kyoto_run3_MTE!U500</f>
        <v>0</v>
      </c>
      <c r="Q202" s="712">
        <f>Bilans_E_AMS_Kyoto_run3_MTE!V500</f>
        <v>0</v>
      </c>
      <c r="R202" s="712">
        <f>Bilans_E_AMS_Kyoto_run3_MTE!W500</f>
        <v>0</v>
      </c>
      <c r="S202" s="712">
        <f>Bilans_E_AMS_Kyoto_run3_MTE!X500</f>
        <v>0</v>
      </c>
      <c r="T202" s="712">
        <f>Bilans_E_AMS_Kyoto_run3_MTE!Y500</f>
        <v>0</v>
      </c>
      <c r="U202" s="712">
        <f>Bilans_E_AMS_Kyoto_run3_MTE!Z500</f>
        <v>0</v>
      </c>
      <c r="V202" s="701"/>
      <c r="W202" s="701"/>
    </row>
    <row r="203" spans="1:23" x14ac:dyDescent="0.25">
      <c r="A203" s="701" t="s">
        <v>493</v>
      </c>
      <c r="B203" s="701"/>
      <c r="C203" s="713" t="s">
        <v>65</v>
      </c>
      <c r="D203" s="714">
        <f>Bilans_E_AMS_Kyoto_run3_MTE!H501</f>
        <v>7.2040588378906256E-2</v>
      </c>
      <c r="E203" s="714">
        <f>Bilans_E_AMS_Kyoto_run3_MTE!I501</f>
        <v>143.57372262348443</v>
      </c>
      <c r="F203" s="714">
        <f>Bilans_E_AMS_Kyoto_run3_MTE!J501</f>
        <v>-4.6781896618893128</v>
      </c>
      <c r="G203" s="714">
        <f>Bilans_E_AMS_Kyoto_run3_MTE!K501</f>
        <v>-9.1293013539879198</v>
      </c>
      <c r="H203" s="714">
        <f>Bilans_E_AMS_Kyoto_run3_MTE!L501</f>
        <v>83.302522482755748</v>
      </c>
      <c r="I203" s="714">
        <f>Bilans_E_AMS_Kyoto_run3_MTE!M501</f>
        <v>-2.4085070655967704</v>
      </c>
      <c r="J203" s="714">
        <f>Bilans_E_AMS_Kyoto_run3_MTE!N501</f>
        <v>1021.1177956869142</v>
      </c>
      <c r="K203" s="714">
        <f>Bilans_E_AMS_Kyoto_run3_MTE!O501</f>
        <v>462.06687945929309</v>
      </c>
      <c r="L203" s="714">
        <f>Bilans_E_AMS_Kyoto_run3_MTE!P501</f>
        <v>388.96686213547946</v>
      </c>
      <c r="M203" s="714">
        <f>Bilans_E_AMS_Kyoto_run3_MTE!Q501</f>
        <v>45.488439305040814</v>
      </c>
      <c r="N203" s="714">
        <f>Bilans_E_AMS_Kyoto_run3_MTE!R501</f>
        <v>-12.310008373335982</v>
      </c>
      <c r="O203" s="714">
        <f>Bilans_E_AMS_Kyoto_run3_MTE!S501</f>
        <v>-22.141847518734135</v>
      </c>
      <c r="P203" s="714">
        <f>Bilans_E_AMS_Kyoto_run3_MTE!T501+Bilans_E_AMS_Kyoto_run3_MTE!U501</f>
        <v>241.4786584909825</v>
      </c>
      <c r="Q203" s="714">
        <f>Bilans_E_AMS_Kyoto_run3_MTE!V501</f>
        <v>44.619368166332919</v>
      </c>
      <c r="R203" s="714">
        <f>Bilans_E_AMS_Kyoto_run3_MTE!W501</f>
        <v>-64.652591069811592</v>
      </c>
      <c r="S203" s="714">
        <f>Bilans_E_AMS_Kyoto_run3_MTE!X501</f>
        <v>0</v>
      </c>
      <c r="T203" s="714">
        <f>Bilans_E_AMS_Kyoto_run3_MTE!Y501</f>
        <v>-5.9960624842525414</v>
      </c>
      <c r="U203" s="714">
        <f>Bilans_E_AMS_Kyoto_run3_MTE!Z501</f>
        <v>2309.3697814110537</v>
      </c>
      <c r="V203" s="701"/>
      <c r="W203" s="701"/>
    </row>
    <row r="204" spans="1:23" x14ac:dyDescent="0.25">
      <c r="A204" s="701"/>
      <c r="B204" s="701"/>
      <c r="C204" s="715"/>
      <c r="D204" s="716"/>
      <c r="E204" s="716"/>
      <c r="F204" s="716"/>
      <c r="G204" s="716"/>
      <c r="H204" s="716"/>
      <c r="I204" s="716"/>
      <c r="J204" s="716"/>
      <c r="K204" s="716"/>
      <c r="L204" s="716"/>
      <c r="M204" s="716"/>
      <c r="N204" s="716"/>
      <c r="O204" s="716"/>
      <c r="P204" s="716">
        <f>Bilans_E_AMS_Kyoto_run3_MTE!T502+Bilans_E_AMS_Kyoto_run3_MTE!U502</f>
        <v>0</v>
      </c>
      <c r="Q204" s="716"/>
      <c r="R204" s="716"/>
      <c r="S204" s="716"/>
      <c r="T204" s="716"/>
      <c r="U204" s="716"/>
      <c r="V204" s="701"/>
      <c r="W204" s="701"/>
    </row>
    <row r="205" spans="1:23" x14ac:dyDescent="0.25">
      <c r="A205" s="701" t="s">
        <v>494</v>
      </c>
      <c r="B205" s="701"/>
      <c r="C205" s="717" t="s">
        <v>67</v>
      </c>
      <c r="D205" s="711">
        <f>Bilans_E_AMS_Kyoto_run3_MTE!H503</f>
        <v>0</v>
      </c>
      <c r="E205" s="711">
        <f>Bilans_E_AMS_Kyoto_run3_MTE!I503</f>
        <v>0</v>
      </c>
      <c r="F205" s="711">
        <f>Bilans_E_AMS_Kyoto_run3_MTE!J503</f>
        <v>0</v>
      </c>
      <c r="G205" s="711">
        <f>Bilans_E_AMS_Kyoto_run3_MTE!K503</f>
        <v>0</v>
      </c>
      <c r="H205" s="711">
        <f>Bilans_E_AMS_Kyoto_run3_MTE!L503</f>
        <v>0</v>
      </c>
      <c r="I205" s="711">
        <f>Bilans_E_AMS_Kyoto_run3_MTE!M503</f>
        <v>0</v>
      </c>
      <c r="J205" s="711">
        <f>Bilans_E_AMS_Kyoto_run3_MTE!N503</f>
        <v>0</v>
      </c>
      <c r="K205" s="711">
        <f>Bilans_E_AMS_Kyoto_run3_MTE!O503</f>
        <v>0</v>
      </c>
      <c r="L205" s="711">
        <f>Bilans_E_AMS_Kyoto_run3_MTE!P503</f>
        <v>0</v>
      </c>
      <c r="M205" s="711">
        <f>Bilans_E_AMS_Kyoto_run3_MTE!Q503</f>
        <v>0</v>
      </c>
      <c r="N205" s="711">
        <f>Bilans_E_AMS_Kyoto_run3_MTE!R503</f>
        <v>0</v>
      </c>
      <c r="O205" s="711">
        <f>Bilans_E_AMS_Kyoto_run3_MTE!S503</f>
        <v>0</v>
      </c>
      <c r="P205" s="711">
        <f>Bilans_E_AMS_Kyoto_run3_MTE!T503+Bilans_E_AMS_Kyoto_run3_MTE!U503</f>
        <v>0</v>
      </c>
      <c r="Q205" s="711">
        <f>Bilans_E_AMS_Kyoto_run3_MTE!V503</f>
        <v>0</v>
      </c>
      <c r="R205" s="711">
        <f>Bilans_E_AMS_Kyoto_run3_MTE!W503</f>
        <v>0</v>
      </c>
      <c r="S205" s="711">
        <f>Bilans_E_AMS_Kyoto_run3_MTE!X503</f>
        <v>0</v>
      </c>
      <c r="T205" s="711">
        <f>Bilans_E_AMS_Kyoto_run3_MTE!Y503</f>
        <v>0</v>
      </c>
      <c r="U205" s="711">
        <f>Bilans_E_AMS_Kyoto_run3_MTE!Z503</f>
        <v>0</v>
      </c>
      <c r="V205" s="701"/>
      <c r="W205" s="701"/>
    </row>
    <row r="206" spans="1:23" x14ac:dyDescent="0.25">
      <c r="A206" s="701" t="s">
        <v>495</v>
      </c>
      <c r="B206" s="701"/>
      <c r="C206" s="717" t="s">
        <v>347</v>
      </c>
      <c r="D206" s="711">
        <f>Bilans_E_AMS_Kyoto_run3_MTE!H504</f>
        <v>0</v>
      </c>
      <c r="E206" s="711">
        <f>Bilans_E_AMS_Kyoto_run3_MTE!I504</f>
        <v>0</v>
      </c>
      <c r="F206" s="711">
        <f>Bilans_E_AMS_Kyoto_run3_MTE!J504</f>
        <v>0</v>
      </c>
      <c r="G206" s="711">
        <f>Bilans_E_AMS_Kyoto_run3_MTE!K504</f>
        <v>0</v>
      </c>
      <c r="H206" s="711">
        <f>Bilans_E_AMS_Kyoto_run3_MTE!L504</f>
        <v>2.2309947234042489E-3</v>
      </c>
      <c r="I206" s="711">
        <f>Bilans_E_AMS_Kyoto_run3_MTE!M504</f>
        <v>0</v>
      </c>
      <c r="J206" s="711">
        <f>Bilans_E_AMS_Kyoto_run3_MTE!N504</f>
        <v>1014.6070909090909</v>
      </c>
      <c r="K206" s="711">
        <f>Bilans_E_AMS_Kyoto_run3_MTE!O504</f>
        <v>462.06687945929309</v>
      </c>
      <c r="L206" s="711">
        <f>Bilans_E_AMS_Kyoto_run3_MTE!P504</f>
        <v>17.968425297338086</v>
      </c>
      <c r="M206" s="711">
        <f>Bilans_E_AMS_Kyoto_run3_MTE!Q504</f>
        <v>5.3124785537967538</v>
      </c>
      <c r="N206" s="711">
        <f>Bilans_E_AMS_Kyoto_run3_MTE!R504</f>
        <v>6.3451610040287907</v>
      </c>
      <c r="O206" s="711">
        <f>Bilans_E_AMS_Kyoto_run3_MTE!S504</f>
        <v>0.11597760068741178</v>
      </c>
      <c r="P206" s="711">
        <f>Bilans_E_AMS_Kyoto_run3_MTE!T504+Bilans_E_AMS_Kyoto_run3_MTE!U504</f>
        <v>0</v>
      </c>
      <c r="Q206" s="711">
        <f>Bilans_E_AMS_Kyoto_run3_MTE!V504</f>
        <v>6.4766550958451852</v>
      </c>
      <c r="R206" s="711">
        <f>Bilans_E_AMS_Kyoto_run3_MTE!W504</f>
        <v>-813.99806516168439</v>
      </c>
      <c r="S206" s="711">
        <f>Bilans_E_AMS_Kyoto_run3_MTE!X504</f>
        <v>0</v>
      </c>
      <c r="T206" s="711">
        <f>Bilans_E_AMS_Kyoto_run3_MTE!Y504</f>
        <v>0</v>
      </c>
      <c r="U206" s="711">
        <f>Bilans_E_AMS_Kyoto_run3_MTE!Z504</f>
        <v>698.89683375311927</v>
      </c>
      <c r="V206" s="701"/>
      <c r="W206" s="701"/>
    </row>
    <row r="207" spans="1:23" x14ac:dyDescent="0.25">
      <c r="A207" s="701" t="s">
        <v>496</v>
      </c>
      <c r="B207" s="701"/>
      <c r="C207" s="717" t="s">
        <v>348</v>
      </c>
      <c r="D207" s="711">
        <f>Bilans_E_AMS_Kyoto_run3_MTE!H505</f>
        <v>0</v>
      </c>
      <c r="E207" s="711">
        <f>Bilans_E_AMS_Kyoto_run3_MTE!I505</f>
        <v>0</v>
      </c>
      <c r="F207" s="711">
        <f>Bilans_E_AMS_Kyoto_run3_MTE!J505</f>
        <v>0</v>
      </c>
      <c r="G207" s="711">
        <f>Bilans_E_AMS_Kyoto_run3_MTE!K505</f>
        <v>0</v>
      </c>
      <c r="H207" s="711">
        <f>Bilans_E_AMS_Kyoto_run3_MTE!L505</f>
        <v>10.095185583157674</v>
      </c>
      <c r="I207" s="711">
        <f>Bilans_E_AMS_Kyoto_run3_MTE!M505</f>
        <v>0.18354882878468498</v>
      </c>
      <c r="J207" s="711">
        <f>Bilans_E_AMS_Kyoto_run3_MTE!N505</f>
        <v>6.5107047778232934</v>
      </c>
      <c r="K207" s="711">
        <f>Bilans_E_AMS_Kyoto_run3_MTE!O505</f>
        <v>0</v>
      </c>
      <c r="L207" s="711">
        <f>Bilans_E_AMS_Kyoto_run3_MTE!P505</f>
        <v>23.787457206103085</v>
      </c>
      <c r="M207" s="711">
        <f>Bilans_E_AMS_Kyoto_run3_MTE!Q505</f>
        <v>12.007971884882547</v>
      </c>
      <c r="N207" s="711">
        <f>Bilans_E_AMS_Kyoto_run3_MTE!R505</f>
        <v>0</v>
      </c>
      <c r="O207" s="711">
        <f>Bilans_E_AMS_Kyoto_run3_MTE!S505</f>
        <v>8.0912599085817618</v>
      </c>
      <c r="P207" s="711">
        <f>Bilans_E_AMS_Kyoto_run3_MTE!T505+Bilans_E_AMS_Kyoto_run3_MTE!U505</f>
        <v>19.703135322463453</v>
      </c>
      <c r="Q207" s="711">
        <f>Bilans_E_AMS_Kyoto_run3_MTE!V505</f>
        <v>12.221648755322821</v>
      </c>
      <c r="R207" s="711">
        <f>Bilans_E_AMS_Kyoto_run3_MTE!W505</f>
        <v>0</v>
      </c>
      <c r="S207" s="711">
        <f>Bilans_E_AMS_Kyoto_run3_MTE!X505</f>
        <v>-86.369990218724851</v>
      </c>
      <c r="T207" s="711">
        <f>Bilans_E_AMS_Kyoto_run3_MTE!Y505</f>
        <v>0</v>
      </c>
      <c r="U207" s="711">
        <f>Bilans_E_AMS_Kyoto_run3_MTE!Z505</f>
        <v>6.2309220483944614</v>
      </c>
      <c r="V207" s="701"/>
      <c r="W207" s="701"/>
    </row>
    <row r="208" spans="1:23" x14ac:dyDescent="0.25">
      <c r="A208" s="701" t="s">
        <v>497</v>
      </c>
      <c r="B208" s="701"/>
      <c r="C208" s="717" t="s">
        <v>349</v>
      </c>
      <c r="D208" s="711">
        <f>Bilans_E_AMS_Kyoto_run3_MTE!H506</f>
        <v>0</v>
      </c>
      <c r="E208" s="711">
        <f>Bilans_E_AMS_Kyoto_run3_MTE!I506</f>
        <v>0</v>
      </c>
      <c r="F208" s="711">
        <f>Bilans_E_AMS_Kyoto_run3_MTE!J506</f>
        <v>0</v>
      </c>
      <c r="G208" s="711">
        <f>Bilans_E_AMS_Kyoto_run3_MTE!K506</f>
        <v>0</v>
      </c>
      <c r="H208" s="711">
        <f>Bilans_E_AMS_Kyoto_run3_MTE!L506</f>
        <v>0</v>
      </c>
      <c r="I208" s="711">
        <f>Bilans_E_AMS_Kyoto_run3_MTE!M506</f>
        <v>0</v>
      </c>
      <c r="J208" s="711">
        <f>Bilans_E_AMS_Kyoto_run3_MTE!N506</f>
        <v>0</v>
      </c>
      <c r="K208" s="711">
        <f>Bilans_E_AMS_Kyoto_run3_MTE!O506</f>
        <v>0</v>
      </c>
      <c r="L208" s="711">
        <f>Bilans_E_AMS_Kyoto_run3_MTE!P506</f>
        <v>149.36314864907311</v>
      </c>
      <c r="M208" s="711">
        <f>Bilans_E_AMS_Kyoto_run3_MTE!Q506</f>
        <v>12.851297568088029</v>
      </c>
      <c r="N208" s="711">
        <f>Bilans_E_AMS_Kyoto_run3_MTE!R506</f>
        <v>0</v>
      </c>
      <c r="O208" s="711">
        <f>Bilans_E_AMS_Kyoto_run3_MTE!S506</f>
        <v>-81.192550335578574</v>
      </c>
      <c r="P208" s="711">
        <f>Bilans_E_AMS_Kyoto_run3_MTE!T506+Bilans_E_AMS_Kyoto_run3_MTE!U506</f>
        <v>0</v>
      </c>
      <c r="Q208" s="711">
        <f>Bilans_E_AMS_Kyoto_run3_MTE!V506</f>
        <v>0</v>
      </c>
      <c r="R208" s="711">
        <f>Bilans_E_AMS_Kyoto_run3_MTE!W506</f>
        <v>0</v>
      </c>
      <c r="S208" s="711">
        <f>Bilans_E_AMS_Kyoto_run3_MTE!X506</f>
        <v>0</v>
      </c>
      <c r="T208" s="711">
        <f>Bilans_E_AMS_Kyoto_run3_MTE!Y506</f>
        <v>0</v>
      </c>
      <c r="U208" s="711">
        <f>Bilans_E_AMS_Kyoto_run3_MTE!Z506</f>
        <v>81.021895881582566</v>
      </c>
      <c r="V208" s="701"/>
      <c r="W208" s="701"/>
    </row>
    <row r="209" spans="1:23" x14ac:dyDescent="0.25">
      <c r="A209" s="701" t="s">
        <v>498</v>
      </c>
      <c r="B209" s="701"/>
      <c r="C209" s="717" t="s">
        <v>350</v>
      </c>
      <c r="D209" s="711">
        <f>Bilans_E_AMS_Kyoto_run3_MTE!H507</f>
        <v>0</v>
      </c>
      <c r="E209" s="711">
        <f>Bilans_E_AMS_Kyoto_run3_MTE!I507</f>
        <v>0</v>
      </c>
      <c r="F209" s="711">
        <f>Bilans_E_AMS_Kyoto_run3_MTE!J507</f>
        <v>0</v>
      </c>
      <c r="G209" s="711">
        <f>Bilans_E_AMS_Kyoto_run3_MTE!K507</f>
        <v>0</v>
      </c>
      <c r="H209" s="711">
        <f>Bilans_E_AMS_Kyoto_run3_MTE!L507</f>
        <v>0</v>
      </c>
      <c r="I209" s="711">
        <f>Bilans_E_AMS_Kyoto_run3_MTE!M507</f>
        <v>-3.7466899829342335</v>
      </c>
      <c r="J209" s="711">
        <f>Bilans_E_AMS_Kyoto_run3_MTE!N507</f>
        <v>0</v>
      </c>
      <c r="K209" s="711">
        <f>Bilans_E_AMS_Kyoto_run3_MTE!O507</f>
        <v>0</v>
      </c>
      <c r="L209" s="711">
        <f>Bilans_E_AMS_Kyoto_run3_MTE!P507</f>
        <v>0</v>
      </c>
      <c r="M209" s="711">
        <f>Bilans_E_AMS_Kyoto_run3_MTE!Q507</f>
        <v>0</v>
      </c>
      <c r="N209" s="711">
        <f>Bilans_E_AMS_Kyoto_run3_MTE!R507</f>
        <v>0</v>
      </c>
      <c r="O209" s="711">
        <f>Bilans_E_AMS_Kyoto_run3_MTE!S507</f>
        <v>0</v>
      </c>
      <c r="P209" s="711">
        <f>Bilans_E_AMS_Kyoto_run3_MTE!T507+Bilans_E_AMS_Kyoto_run3_MTE!U507</f>
        <v>0</v>
      </c>
      <c r="Q209" s="711">
        <f>Bilans_E_AMS_Kyoto_run3_MTE!V507</f>
        <v>0</v>
      </c>
      <c r="R209" s="711">
        <f>Bilans_E_AMS_Kyoto_run3_MTE!W507</f>
        <v>0</v>
      </c>
      <c r="S209" s="711">
        <f>Bilans_E_AMS_Kyoto_run3_MTE!X507</f>
        <v>0</v>
      </c>
      <c r="T209" s="711">
        <f>Bilans_E_AMS_Kyoto_run3_MTE!Y507</f>
        <v>5.1930977473126321</v>
      </c>
      <c r="U209" s="711">
        <f>Bilans_E_AMS_Kyoto_run3_MTE!Z507</f>
        <v>1.4464077643783986</v>
      </c>
      <c r="V209" s="701"/>
      <c r="W209" s="701"/>
    </row>
    <row r="210" spans="1:23" x14ac:dyDescent="0.25">
      <c r="A210" s="701" t="s">
        <v>499</v>
      </c>
      <c r="B210" s="701"/>
      <c r="C210" s="717" t="s">
        <v>72</v>
      </c>
      <c r="D210" s="711">
        <f>Bilans_E_AMS_Kyoto_run3_MTE!H508</f>
        <v>0</v>
      </c>
      <c r="E210" s="711">
        <f>Bilans_E_AMS_Kyoto_run3_MTE!I508</f>
        <v>148.77345828425325</v>
      </c>
      <c r="F210" s="711">
        <f>Bilans_E_AMS_Kyoto_run3_MTE!J508</f>
        <v>-147.28572370141072</v>
      </c>
      <c r="G210" s="711">
        <f>Bilans_E_AMS_Kyoto_run3_MTE!K508</f>
        <v>0</v>
      </c>
      <c r="H210" s="711">
        <f>Bilans_E_AMS_Kyoto_run3_MTE!L508</f>
        <v>0</v>
      </c>
      <c r="I210" s="711">
        <f>Bilans_E_AMS_Kyoto_run3_MTE!M508</f>
        <v>0</v>
      </c>
      <c r="J210" s="711">
        <f>Bilans_E_AMS_Kyoto_run3_MTE!N508</f>
        <v>0</v>
      </c>
      <c r="K210" s="711">
        <f>Bilans_E_AMS_Kyoto_run3_MTE!O508</f>
        <v>0</v>
      </c>
      <c r="L210" s="711">
        <f>Bilans_E_AMS_Kyoto_run3_MTE!P508</f>
        <v>0</v>
      </c>
      <c r="M210" s="711">
        <f>Bilans_E_AMS_Kyoto_run3_MTE!Q508</f>
        <v>0</v>
      </c>
      <c r="N210" s="711">
        <f>Bilans_E_AMS_Kyoto_run3_MTE!R508</f>
        <v>0</v>
      </c>
      <c r="O210" s="711">
        <f>Bilans_E_AMS_Kyoto_run3_MTE!S508</f>
        <v>0</v>
      </c>
      <c r="P210" s="711">
        <f>Bilans_E_AMS_Kyoto_run3_MTE!T508+Bilans_E_AMS_Kyoto_run3_MTE!U508</f>
        <v>0</v>
      </c>
      <c r="Q210" s="711">
        <f>Bilans_E_AMS_Kyoto_run3_MTE!V508</f>
        <v>0</v>
      </c>
      <c r="R210" s="711">
        <f>Bilans_E_AMS_Kyoto_run3_MTE!W508</f>
        <v>0</v>
      </c>
      <c r="S210" s="711">
        <f>Bilans_E_AMS_Kyoto_run3_MTE!X508</f>
        <v>0</v>
      </c>
      <c r="T210" s="711">
        <f>Bilans_E_AMS_Kyoto_run3_MTE!Y508</f>
        <v>0</v>
      </c>
      <c r="U210" s="711">
        <f>Bilans_E_AMS_Kyoto_run3_MTE!Z508</f>
        <v>1.4877345828425348</v>
      </c>
      <c r="V210" s="701"/>
      <c r="W210" s="701"/>
    </row>
    <row r="211" spans="1:23" x14ac:dyDescent="0.25">
      <c r="A211" s="701" t="s">
        <v>500</v>
      </c>
      <c r="B211" s="701"/>
      <c r="C211" s="717" t="s">
        <v>351</v>
      </c>
      <c r="D211" s="711">
        <f>Bilans_E_AMS_Kyoto_run3_MTE!H509</f>
        <v>0</v>
      </c>
      <c r="E211" s="711">
        <f>Bilans_E_AMS_Kyoto_run3_MTE!I509</f>
        <v>0</v>
      </c>
      <c r="F211" s="711">
        <f>Bilans_E_AMS_Kyoto_run3_MTE!J509</f>
        <v>0</v>
      </c>
      <c r="G211" s="711">
        <f>Bilans_E_AMS_Kyoto_run3_MTE!K509</f>
        <v>0</v>
      </c>
      <c r="H211" s="711">
        <f>Bilans_E_AMS_Kyoto_run3_MTE!L509</f>
        <v>0</v>
      </c>
      <c r="I211" s="711">
        <f>Bilans_E_AMS_Kyoto_run3_MTE!M509</f>
        <v>0</v>
      </c>
      <c r="J211" s="711">
        <f>Bilans_E_AMS_Kyoto_run3_MTE!N509</f>
        <v>0</v>
      </c>
      <c r="K211" s="711">
        <f>Bilans_E_AMS_Kyoto_run3_MTE!O509</f>
        <v>0</v>
      </c>
      <c r="L211" s="711">
        <f>Bilans_E_AMS_Kyoto_run3_MTE!P509</f>
        <v>102.29704163456771</v>
      </c>
      <c r="M211" s="711">
        <f>Bilans_E_AMS_Kyoto_run3_MTE!Q509</f>
        <v>7.2727272727272725</v>
      </c>
      <c r="N211" s="711">
        <f>Bilans_E_AMS_Kyoto_run3_MTE!R509</f>
        <v>-61.183830654875514</v>
      </c>
      <c r="O211" s="711">
        <f>Bilans_E_AMS_Kyoto_run3_MTE!S509</f>
        <v>0</v>
      </c>
      <c r="P211" s="711">
        <f>Bilans_E_AMS_Kyoto_run3_MTE!T509+Bilans_E_AMS_Kyoto_run3_MTE!U509</f>
        <v>0</v>
      </c>
      <c r="Q211" s="711">
        <f>Bilans_E_AMS_Kyoto_run3_MTE!V509</f>
        <v>0</v>
      </c>
      <c r="R211" s="711">
        <f>Bilans_E_AMS_Kyoto_run3_MTE!W509</f>
        <v>0</v>
      </c>
      <c r="S211" s="711">
        <f>Bilans_E_AMS_Kyoto_run3_MTE!X509</f>
        <v>0</v>
      </c>
      <c r="T211" s="711">
        <f>Bilans_E_AMS_Kyoto_run3_MTE!Y509</f>
        <v>0</v>
      </c>
      <c r="U211" s="711">
        <f>Bilans_E_AMS_Kyoto_run3_MTE!Z509</f>
        <v>48.385938252419457</v>
      </c>
      <c r="V211" s="701"/>
      <c r="W211" s="701"/>
    </row>
    <row r="212" spans="1:23" x14ac:dyDescent="0.25">
      <c r="A212" s="701" t="s">
        <v>501</v>
      </c>
      <c r="B212" s="701"/>
      <c r="C212" s="717" t="s">
        <v>352</v>
      </c>
      <c r="D212" s="711">
        <f>Bilans_E_AMS_Kyoto_run3_MTE!H510</f>
        <v>0</v>
      </c>
      <c r="E212" s="711">
        <f>Bilans_E_AMS_Kyoto_run3_MTE!I510</f>
        <v>0</v>
      </c>
      <c r="F212" s="711">
        <f>Bilans_E_AMS_Kyoto_run3_MTE!J510</f>
        <v>0</v>
      </c>
      <c r="G212" s="711">
        <f>Bilans_E_AMS_Kyoto_run3_MTE!K510</f>
        <v>-14.619486217725157</v>
      </c>
      <c r="H212" s="711">
        <f>Bilans_E_AMS_Kyoto_run3_MTE!L510</f>
        <v>0</v>
      </c>
      <c r="I212" s="711">
        <f>Bilans_E_AMS_Kyoto_run3_MTE!M510</f>
        <v>0</v>
      </c>
      <c r="J212" s="711">
        <f>Bilans_E_AMS_Kyoto_run3_MTE!N510</f>
        <v>0</v>
      </c>
      <c r="K212" s="711">
        <f>Bilans_E_AMS_Kyoto_run3_MTE!O510</f>
        <v>0</v>
      </c>
      <c r="L212" s="711">
        <f>Bilans_E_AMS_Kyoto_run3_MTE!P510</f>
        <v>0</v>
      </c>
      <c r="M212" s="711">
        <f>Bilans_E_AMS_Kyoto_run3_MTE!Q510</f>
        <v>0</v>
      </c>
      <c r="N212" s="711">
        <f>Bilans_E_AMS_Kyoto_run3_MTE!R510</f>
        <v>0</v>
      </c>
      <c r="O212" s="711">
        <f>Bilans_E_AMS_Kyoto_run3_MTE!S510</f>
        <v>0</v>
      </c>
      <c r="P212" s="711">
        <f>Bilans_E_AMS_Kyoto_run3_MTE!T510+Bilans_E_AMS_Kyoto_run3_MTE!U510</f>
        <v>0</v>
      </c>
      <c r="Q212" s="711">
        <f>Bilans_E_AMS_Kyoto_run3_MTE!V510</f>
        <v>0</v>
      </c>
      <c r="R212" s="711">
        <f>Bilans_E_AMS_Kyoto_run3_MTE!W510</f>
        <v>0</v>
      </c>
      <c r="S212" s="711">
        <f>Bilans_E_AMS_Kyoto_run3_MTE!X510</f>
        <v>0</v>
      </c>
      <c r="T212" s="711">
        <f>Bilans_E_AMS_Kyoto_run3_MTE!Y510</f>
        <v>24.331434839497675</v>
      </c>
      <c r="U212" s="711">
        <f>Bilans_E_AMS_Kyoto_run3_MTE!Z510</f>
        <v>9.7119486217725175</v>
      </c>
      <c r="V212" s="701"/>
      <c r="W212" s="701"/>
    </row>
    <row r="213" spans="1:23" x14ac:dyDescent="0.25">
      <c r="A213" s="701" t="s">
        <v>502</v>
      </c>
      <c r="B213" s="701"/>
      <c r="C213" s="717" t="s">
        <v>73</v>
      </c>
      <c r="D213" s="711">
        <f>Bilans_E_AMS_Kyoto_run3_MTE!H511</f>
        <v>0</v>
      </c>
      <c r="E213" s="711">
        <f>Bilans_E_AMS_Kyoto_run3_MTE!I511</f>
        <v>0</v>
      </c>
      <c r="F213" s="711">
        <f>Bilans_E_AMS_Kyoto_run3_MTE!J511</f>
        <v>0</v>
      </c>
      <c r="G213" s="711">
        <f>Bilans_E_AMS_Kyoto_run3_MTE!K511</f>
        <v>0</v>
      </c>
      <c r="H213" s="711">
        <f>Bilans_E_AMS_Kyoto_run3_MTE!L511</f>
        <v>0</v>
      </c>
      <c r="I213" s="711">
        <f>Bilans_E_AMS_Kyoto_run3_MTE!M511</f>
        <v>0</v>
      </c>
      <c r="J213" s="711">
        <f>Bilans_E_AMS_Kyoto_run3_MTE!N511</f>
        <v>0</v>
      </c>
      <c r="K213" s="711">
        <f>Bilans_E_AMS_Kyoto_run3_MTE!O511</f>
        <v>0</v>
      </c>
      <c r="L213" s="711">
        <f>Bilans_E_AMS_Kyoto_run3_MTE!P511</f>
        <v>0</v>
      </c>
      <c r="M213" s="711">
        <f>Bilans_E_AMS_Kyoto_run3_MTE!Q511</f>
        <v>0</v>
      </c>
      <c r="N213" s="711">
        <f>Bilans_E_AMS_Kyoto_run3_MTE!R511</f>
        <v>0</v>
      </c>
      <c r="O213" s="711">
        <f>Bilans_E_AMS_Kyoto_run3_MTE!S511</f>
        <v>0</v>
      </c>
      <c r="P213" s="711">
        <f>Bilans_E_AMS_Kyoto_run3_MTE!T511+Bilans_E_AMS_Kyoto_run3_MTE!U511</f>
        <v>0</v>
      </c>
      <c r="Q213" s="711">
        <f>Bilans_E_AMS_Kyoto_run3_MTE!V511</f>
        <v>0</v>
      </c>
      <c r="R213" s="711">
        <f>Bilans_E_AMS_Kyoto_run3_MTE!W511</f>
        <v>88.6114421596901</v>
      </c>
      <c r="S213" s="711">
        <f>Bilans_E_AMS_Kyoto_run3_MTE!X511</f>
        <v>0</v>
      </c>
      <c r="T213" s="711">
        <f>Bilans_E_AMS_Kyoto_run3_MTE!Y511</f>
        <v>-62.249538117182297</v>
      </c>
      <c r="U213" s="711">
        <f>Bilans_E_AMS_Kyoto_run3_MTE!Z511</f>
        <v>26.361904042507803</v>
      </c>
      <c r="V213" s="701"/>
      <c r="W213" s="701"/>
    </row>
    <row r="214" spans="1:23" x14ac:dyDescent="0.25">
      <c r="A214" s="701" t="s">
        <v>503</v>
      </c>
      <c r="B214" s="701"/>
      <c r="C214" s="717" t="s">
        <v>353</v>
      </c>
      <c r="D214" s="711">
        <f>Bilans_E_AMS_Kyoto_run3_MTE!H512</f>
        <v>0</v>
      </c>
      <c r="E214" s="711">
        <f>Bilans_E_AMS_Kyoto_run3_MTE!I512</f>
        <v>-5.1997356607688232</v>
      </c>
      <c r="F214" s="711">
        <f>Bilans_E_AMS_Kyoto_run3_MTE!J512</f>
        <v>6.948298230027091</v>
      </c>
      <c r="G214" s="711">
        <f>Bilans_E_AMS_Kyoto_run3_MTE!K512</f>
        <v>0</v>
      </c>
      <c r="H214" s="711">
        <f>Bilans_E_AMS_Kyoto_run3_MTE!L512</f>
        <v>0</v>
      </c>
      <c r="I214" s="711">
        <f>Bilans_E_AMS_Kyoto_run3_MTE!M512</f>
        <v>0</v>
      </c>
      <c r="J214" s="711">
        <f>Bilans_E_AMS_Kyoto_run3_MTE!N512</f>
        <v>0</v>
      </c>
      <c r="K214" s="711">
        <f>Bilans_E_AMS_Kyoto_run3_MTE!O512</f>
        <v>0</v>
      </c>
      <c r="L214" s="711">
        <f>Bilans_E_AMS_Kyoto_run3_MTE!P512</f>
        <v>0</v>
      </c>
      <c r="M214" s="711">
        <f>Bilans_E_AMS_Kyoto_run3_MTE!Q512</f>
        <v>0</v>
      </c>
      <c r="N214" s="711">
        <f>Bilans_E_AMS_Kyoto_run3_MTE!R512</f>
        <v>0</v>
      </c>
      <c r="O214" s="711">
        <f>Bilans_E_AMS_Kyoto_run3_MTE!S512</f>
        <v>0</v>
      </c>
      <c r="P214" s="711">
        <f>Bilans_E_AMS_Kyoto_run3_MTE!T512+Bilans_E_AMS_Kyoto_run3_MTE!U512</f>
        <v>0</v>
      </c>
      <c r="Q214" s="711">
        <f>Bilans_E_AMS_Kyoto_run3_MTE!V512</f>
        <v>0</v>
      </c>
      <c r="R214" s="711">
        <f>Bilans_E_AMS_Kyoto_run3_MTE!W512</f>
        <v>0</v>
      </c>
      <c r="S214" s="711">
        <f>Bilans_E_AMS_Kyoto_run3_MTE!X512</f>
        <v>0</v>
      </c>
      <c r="T214" s="711">
        <f>Bilans_E_AMS_Kyoto_run3_MTE!Y512</f>
        <v>0</v>
      </c>
      <c r="U214" s="711">
        <f>Bilans_E_AMS_Kyoto_run3_MTE!Z512</f>
        <v>1.7485625692582678</v>
      </c>
      <c r="V214" s="701"/>
      <c r="W214" s="701"/>
    </row>
    <row r="215" spans="1:23" x14ac:dyDescent="0.25">
      <c r="A215" s="701" t="s">
        <v>504</v>
      </c>
      <c r="B215" s="701"/>
      <c r="C215" s="717" t="s">
        <v>75</v>
      </c>
      <c r="D215" s="711">
        <f>Bilans_E_AMS_Kyoto_run3_MTE!H513</f>
        <v>0</v>
      </c>
      <c r="E215" s="711">
        <f>Bilans_E_AMS_Kyoto_run3_MTE!I513</f>
        <v>0</v>
      </c>
      <c r="F215" s="711">
        <f>Bilans_E_AMS_Kyoto_run3_MTE!J513</f>
        <v>5.2004760110645112</v>
      </c>
      <c r="G215" s="711">
        <f>Bilans_E_AMS_Kyoto_run3_MTE!K513</f>
        <v>0</v>
      </c>
      <c r="H215" s="711">
        <f>Bilans_E_AMS_Kyoto_run3_MTE!L513</f>
        <v>0</v>
      </c>
      <c r="I215" s="711">
        <f>Bilans_E_AMS_Kyoto_run3_MTE!M513</f>
        <v>0</v>
      </c>
      <c r="J215" s="711">
        <f>Bilans_E_AMS_Kyoto_run3_MTE!N513</f>
        <v>0</v>
      </c>
      <c r="K215" s="711">
        <f>Bilans_E_AMS_Kyoto_run3_MTE!O513</f>
        <v>0</v>
      </c>
      <c r="L215" s="711">
        <f>Bilans_E_AMS_Kyoto_run3_MTE!P513</f>
        <v>0</v>
      </c>
      <c r="M215" s="711">
        <f>Bilans_E_AMS_Kyoto_run3_MTE!Q513</f>
        <v>0</v>
      </c>
      <c r="N215" s="711">
        <f>Bilans_E_AMS_Kyoto_run3_MTE!R513</f>
        <v>0</v>
      </c>
      <c r="O215" s="711">
        <f>Bilans_E_AMS_Kyoto_run3_MTE!S513</f>
        <v>0</v>
      </c>
      <c r="P215" s="711">
        <f>Bilans_E_AMS_Kyoto_run3_MTE!T513+Bilans_E_AMS_Kyoto_run3_MTE!U513</f>
        <v>0</v>
      </c>
      <c r="Q215" s="711">
        <f>Bilans_E_AMS_Kyoto_run3_MTE!V513</f>
        <v>0</v>
      </c>
      <c r="R215" s="711">
        <f>Bilans_E_AMS_Kyoto_run3_MTE!W513</f>
        <v>38.430337038531441</v>
      </c>
      <c r="S215" s="711">
        <f>Bilans_E_AMS_Kyoto_run3_MTE!X513</f>
        <v>0</v>
      </c>
      <c r="T215" s="711">
        <f>Bilans_E_AMS_Kyoto_run3_MTE!Y513</f>
        <v>1.4650612498705113</v>
      </c>
      <c r="U215" s="711">
        <f>Bilans_E_AMS_Kyoto_run3_MTE!Z513</f>
        <v>45.095874299466459</v>
      </c>
      <c r="V215" s="701"/>
      <c r="W215" s="701"/>
    </row>
    <row r="216" spans="1:23" x14ac:dyDescent="0.25">
      <c r="A216" s="701" t="s">
        <v>505</v>
      </c>
      <c r="B216" s="701"/>
      <c r="C216" s="717" t="s">
        <v>76</v>
      </c>
      <c r="D216" s="711">
        <f>Bilans_E_AMS_Kyoto_run3_MTE!H514</f>
        <v>0</v>
      </c>
      <c r="E216" s="711">
        <f>Bilans_E_AMS_Kyoto_run3_MTE!I514</f>
        <v>0</v>
      </c>
      <c r="F216" s="711">
        <f>Bilans_E_AMS_Kyoto_run3_MTE!J514</f>
        <v>0</v>
      </c>
      <c r="G216" s="711">
        <f>Bilans_E_AMS_Kyoto_run3_MTE!K514</f>
        <v>0</v>
      </c>
      <c r="H216" s="711">
        <f>Bilans_E_AMS_Kyoto_run3_MTE!L514</f>
        <v>0.87272798956791087</v>
      </c>
      <c r="I216" s="711">
        <f>Bilans_E_AMS_Kyoto_run3_MTE!M514</f>
        <v>1.5867781628507469E-2</v>
      </c>
      <c r="J216" s="711">
        <f>Bilans_E_AMS_Kyoto_run3_MTE!N514</f>
        <v>0</v>
      </c>
      <c r="K216" s="711">
        <f>Bilans_E_AMS_Kyoto_run3_MTE!O514</f>
        <v>0</v>
      </c>
      <c r="L216" s="711">
        <f>Bilans_E_AMS_Kyoto_run3_MTE!P514</f>
        <v>0</v>
      </c>
      <c r="M216" s="711">
        <f>Bilans_E_AMS_Kyoto_run3_MTE!Q514</f>
        <v>0</v>
      </c>
      <c r="N216" s="711">
        <f>Bilans_E_AMS_Kyoto_run3_MTE!R514</f>
        <v>0</v>
      </c>
      <c r="O216" s="711">
        <f>Bilans_E_AMS_Kyoto_run3_MTE!S514</f>
        <v>0.6981823916543286</v>
      </c>
      <c r="P216" s="711">
        <f>Bilans_E_AMS_Kyoto_run3_MTE!T514+Bilans_E_AMS_Kyoto_run3_MTE!U514</f>
        <v>0</v>
      </c>
      <c r="Q216" s="711">
        <f>Bilans_E_AMS_Kyoto_run3_MTE!V514</f>
        <v>0</v>
      </c>
      <c r="R216" s="711">
        <f>Bilans_E_AMS_Kyoto_run3_MTE!W514</f>
        <v>61.224106337294323</v>
      </c>
      <c r="S216" s="711">
        <f>Bilans_E_AMS_Kyoto_run3_MTE!X514</f>
        <v>6.697680379771108</v>
      </c>
      <c r="T216" s="711">
        <f>Bilans_E_AMS_Kyoto_run3_MTE!Y514</f>
        <v>0</v>
      </c>
      <c r="U216" s="711">
        <f>Bilans_E_AMS_Kyoto_run3_MTE!Z514</f>
        <v>69.508564879916179</v>
      </c>
      <c r="V216" s="701"/>
      <c r="W216" s="701"/>
    </row>
    <row r="217" spans="1:23" x14ac:dyDescent="0.25">
      <c r="A217" s="701" t="s">
        <v>506</v>
      </c>
      <c r="B217" s="701"/>
      <c r="C217" s="713" t="s">
        <v>77</v>
      </c>
      <c r="D217" s="714">
        <f>Bilans_E_AMS_Kyoto_run3_MTE!H515</f>
        <v>0</v>
      </c>
      <c r="E217" s="714">
        <f>Bilans_E_AMS_Kyoto_run3_MTE!I515</f>
        <v>143.57372262348443</v>
      </c>
      <c r="F217" s="714">
        <f>Bilans_E_AMS_Kyoto_run3_MTE!J515</f>
        <v>-135.1369494603191</v>
      </c>
      <c r="G217" s="714">
        <f>Bilans_E_AMS_Kyoto_run3_MTE!K515</f>
        <v>-14.619486217725157</v>
      </c>
      <c r="H217" s="714">
        <f>Bilans_E_AMS_Kyoto_run3_MTE!L515</f>
        <v>10.97014456744899</v>
      </c>
      <c r="I217" s="714">
        <f>Bilans_E_AMS_Kyoto_run3_MTE!M515</f>
        <v>-3.5472733725210412</v>
      </c>
      <c r="J217" s="714">
        <f>Bilans_E_AMS_Kyoto_run3_MTE!N515</f>
        <v>1021.1177956869142</v>
      </c>
      <c r="K217" s="714">
        <f>Bilans_E_AMS_Kyoto_run3_MTE!O515</f>
        <v>462.06687945929309</v>
      </c>
      <c r="L217" s="714">
        <f>Bilans_E_AMS_Kyoto_run3_MTE!P515</f>
        <v>293.41607278708199</v>
      </c>
      <c r="M217" s="714">
        <f>Bilans_E_AMS_Kyoto_run3_MTE!Q515</f>
        <v>37.444475279494604</v>
      </c>
      <c r="N217" s="714">
        <f>Bilans_E_AMS_Kyoto_run3_MTE!R515</f>
        <v>-54.838669650846725</v>
      </c>
      <c r="O217" s="714">
        <f>Bilans_E_AMS_Kyoto_run3_MTE!S515</f>
        <v>-72.287130434655069</v>
      </c>
      <c r="P217" s="714">
        <f>Bilans_E_AMS_Kyoto_run3_MTE!T515+Bilans_E_AMS_Kyoto_run3_MTE!U515</f>
        <v>19.703135322463453</v>
      </c>
      <c r="Q217" s="714">
        <f>Bilans_E_AMS_Kyoto_run3_MTE!V515</f>
        <v>18.698303851168006</v>
      </c>
      <c r="R217" s="714">
        <f>Bilans_E_AMS_Kyoto_run3_MTE!W515</f>
        <v>-625.73217962616854</v>
      </c>
      <c r="S217" s="714">
        <f>Bilans_E_AMS_Kyoto_run3_MTE!X515</f>
        <v>-79.672309838953737</v>
      </c>
      <c r="T217" s="714">
        <f>Bilans_E_AMS_Kyoto_run3_MTE!Y515</f>
        <v>-31.259944280501475</v>
      </c>
      <c r="U217" s="714">
        <f>Bilans_E_AMS_Kyoto_run3_MTE!Z515</f>
        <v>989.89658669565813</v>
      </c>
      <c r="V217" s="701"/>
      <c r="W217" s="701"/>
    </row>
    <row r="218" spans="1:23" x14ac:dyDescent="0.25">
      <c r="A218" s="701"/>
      <c r="B218" s="701"/>
      <c r="C218" s="715"/>
      <c r="D218" s="716"/>
      <c r="E218" s="716"/>
      <c r="F218" s="716"/>
      <c r="G218" s="716"/>
      <c r="H218" s="716"/>
      <c r="I218" s="716"/>
      <c r="J218" s="716"/>
      <c r="K218" s="716"/>
      <c r="L218" s="716"/>
      <c r="M218" s="716"/>
      <c r="N218" s="716"/>
      <c r="O218" s="716"/>
      <c r="P218" s="716">
        <f>Bilans_E_AMS_Kyoto_run3_MTE!T516+Bilans_E_AMS_Kyoto_run3_MTE!U516</f>
        <v>0</v>
      </c>
      <c r="Q218" s="716"/>
      <c r="R218" s="716"/>
      <c r="S218" s="716"/>
      <c r="T218" s="716"/>
      <c r="U218" s="716"/>
      <c r="V218" s="701"/>
      <c r="W218" s="701"/>
    </row>
    <row r="219" spans="1:23" x14ac:dyDescent="0.25">
      <c r="A219" s="701" t="s">
        <v>507</v>
      </c>
      <c r="B219" s="701"/>
      <c r="C219" s="717" t="s">
        <v>78</v>
      </c>
      <c r="D219" s="711">
        <f>Bilans_E_AMS_Kyoto_run3_MTE!H517</f>
        <v>7.2040588378906256E-2</v>
      </c>
      <c r="E219" s="711">
        <f>Bilans_E_AMS_Kyoto_run3_MTE!I517</f>
        <v>0</v>
      </c>
      <c r="F219" s="711">
        <f>Bilans_E_AMS_Kyoto_run3_MTE!J517</f>
        <v>0.19057103431692568</v>
      </c>
      <c r="G219" s="711">
        <f>Bilans_E_AMS_Kyoto_run3_MTE!K517</f>
        <v>0</v>
      </c>
      <c r="H219" s="711">
        <f>Bilans_E_AMS_Kyoto_run3_MTE!L517</f>
        <v>28.795611186743677</v>
      </c>
      <c r="I219" s="711">
        <f>Bilans_E_AMS_Kyoto_run3_MTE!M517</f>
        <v>0.52355656703170317</v>
      </c>
      <c r="J219" s="711">
        <f>Bilans_E_AMS_Kyoto_run3_MTE!N517</f>
        <v>0</v>
      </c>
      <c r="K219" s="711">
        <f>Bilans_E_AMS_Kyoto_run3_MTE!O517</f>
        <v>0</v>
      </c>
      <c r="L219" s="711">
        <f>Bilans_E_AMS_Kyoto_run3_MTE!P517</f>
        <v>34.871553027324289</v>
      </c>
      <c r="M219" s="711">
        <f>Bilans_E_AMS_Kyoto_run3_MTE!Q517</f>
        <v>8.043964025546213</v>
      </c>
      <c r="N219" s="711">
        <f>Bilans_E_AMS_Kyoto_run3_MTE!R517</f>
        <v>0</v>
      </c>
      <c r="O219" s="711">
        <f>Bilans_E_AMS_Kyoto_run3_MTE!S517</f>
        <v>23.077839156426684</v>
      </c>
      <c r="P219" s="711">
        <f>Bilans_E_AMS_Kyoto_run3_MTE!T517+Bilans_E_AMS_Kyoto_run3_MTE!U517</f>
        <v>13.633620117187499</v>
      </c>
      <c r="Q219" s="711">
        <f>Bilans_E_AMS_Kyoto_run3_MTE!V517</f>
        <v>8.4299170840015686E-4</v>
      </c>
      <c r="R219" s="711">
        <f>Bilans_E_AMS_Kyoto_run3_MTE!W517</f>
        <v>158.64644753930071</v>
      </c>
      <c r="S219" s="711">
        <f>Bilans_E_AMS_Kyoto_run3_MTE!X517</f>
        <v>19.544256457993722</v>
      </c>
      <c r="T219" s="711">
        <f>Bilans_E_AMS_Kyoto_run3_MTE!Y517</f>
        <v>13.641840820312501</v>
      </c>
      <c r="U219" s="711">
        <f>Bilans_E_AMS_Kyoto_run3_MTE!Z517</f>
        <v>301.0421435122712</v>
      </c>
      <c r="V219" s="701"/>
      <c r="W219" s="701"/>
    </row>
    <row r="220" spans="1:23" x14ac:dyDescent="0.25">
      <c r="A220" s="701" t="s">
        <v>508</v>
      </c>
      <c r="B220" s="701"/>
      <c r="C220" s="717" t="s">
        <v>79</v>
      </c>
      <c r="D220" s="711">
        <f>Bilans_E_AMS_Kyoto_run3_MTE!H518</f>
        <v>0</v>
      </c>
      <c r="E220" s="711">
        <f>Bilans_E_AMS_Kyoto_run3_MTE!I518</f>
        <v>0</v>
      </c>
      <c r="F220" s="711">
        <f>Bilans_E_AMS_Kyoto_run3_MTE!J518</f>
        <v>27.842691184610331</v>
      </c>
      <c r="G220" s="711">
        <f>Bilans_E_AMS_Kyoto_run3_MTE!K518</f>
        <v>2</v>
      </c>
      <c r="H220" s="711">
        <f>Bilans_E_AMS_Kyoto_run3_MTE!L518</f>
        <v>4.1475118700352498</v>
      </c>
      <c r="I220" s="711">
        <f>Bilans_E_AMS_Kyoto_run3_MTE!M518</f>
        <v>7.5409306727913641E-2</v>
      </c>
      <c r="J220" s="711">
        <f>Bilans_E_AMS_Kyoto_run3_MTE!N518</f>
        <v>0</v>
      </c>
      <c r="K220" s="711">
        <f>Bilans_E_AMS_Kyoto_run3_MTE!O518</f>
        <v>0</v>
      </c>
      <c r="L220" s="711">
        <f>Bilans_E_AMS_Kyoto_run3_MTE!P518</f>
        <v>0</v>
      </c>
      <c r="M220" s="711">
        <f>Bilans_E_AMS_Kyoto_run3_MTE!Q518</f>
        <v>0</v>
      </c>
      <c r="N220" s="711">
        <f>Bilans_E_AMS_Kyoto_run3_MTE!R518</f>
        <v>29.027871012193479</v>
      </c>
      <c r="O220" s="711">
        <f>Bilans_E_AMS_Kyoto_run3_MTE!S518</f>
        <v>3.3180094960281998</v>
      </c>
      <c r="P220" s="711">
        <f>Bilans_E_AMS_Kyoto_run3_MTE!T518+Bilans_E_AMS_Kyoto_run3_MTE!U518</f>
        <v>0</v>
      </c>
      <c r="Q220" s="711">
        <f>Bilans_E_AMS_Kyoto_run3_MTE!V518</f>
        <v>0</v>
      </c>
      <c r="R220" s="711">
        <f>Bilans_E_AMS_Kyoto_run3_MTE!W518</f>
        <v>121.41640074189371</v>
      </c>
      <c r="S220" s="711">
        <f>Bilans_E_AMS_Kyoto_run3_MTE!X518</f>
        <v>0</v>
      </c>
      <c r="T220" s="711">
        <f>Bilans_E_AMS_Kyoto_run3_MTE!Y518</f>
        <v>6.7088833627788453</v>
      </c>
      <c r="U220" s="711">
        <f>Bilans_E_AMS_Kyoto_run3_MTE!Z518</f>
        <v>194.53677697426772</v>
      </c>
      <c r="V220" s="701"/>
      <c r="W220" s="701"/>
    </row>
    <row r="221" spans="1:23" x14ac:dyDescent="0.25">
      <c r="A221" s="701" t="s">
        <v>509</v>
      </c>
      <c r="B221" s="701"/>
      <c r="C221" s="717" t="s">
        <v>80</v>
      </c>
      <c r="D221" s="711">
        <f>Bilans_E_AMS_Kyoto_run3_MTE!H519</f>
        <v>0</v>
      </c>
      <c r="E221" s="711">
        <f>Bilans_E_AMS_Kyoto_run3_MTE!I519</f>
        <v>0</v>
      </c>
      <c r="F221" s="711">
        <f>Bilans_E_AMS_Kyoto_run3_MTE!J519</f>
        <v>0.1823284194363245</v>
      </c>
      <c r="G221" s="711">
        <f>Bilans_E_AMS_Kyoto_run3_MTE!K519</f>
        <v>0</v>
      </c>
      <c r="H221" s="711">
        <f>Bilans_E_AMS_Kyoto_run3_MTE!L519</f>
        <v>19.208488158214077</v>
      </c>
      <c r="I221" s="711">
        <f>Bilans_E_AMS_Kyoto_run3_MTE!M519</f>
        <v>0.34924523924025591</v>
      </c>
      <c r="J221" s="711">
        <f>Bilans_E_AMS_Kyoto_run3_MTE!N519</f>
        <v>0</v>
      </c>
      <c r="K221" s="711">
        <f>Bilans_E_AMS_Kyoto_run3_MTE!O519</f>
        <v>0</v>
      </c>
      <c r="L221" s="711">
        <f>Bilans_E_AMS_Kyoto_run3_MTE!P519</f>
        <v>41.860643688874312</v>
      </c>
      <c r="M221" s="711">
        <f>Bilans_E_AMS_Kyoto_run3_MTE!Q519</f>
        <v>0</v>
      </c>
      <c r="N221" s="711">
        <f>Bilans_E_AMS_Kyoto_run3_MTE!R519</f>
        <v>0</v>
      </c>
      <c r="O221" s="711">
        <f>Bilans_E_AMS_Kyoto_run3_MTE!S519</f>
        <v>15.366790526571261</v>
      </c>
      <c r="P221" s="711">
        <f>Bilans_E_AMS_Kyoto_run3_MTE!T519+Bilans_E_AMS_Kyoto_run3_MTE!U519</f>
        <v>148.3231165331799</v>
      </c>
      <c r="Q221" s="711">
        <f>Bilans_E_AMS_Kyoto_run3_MTE!V519</f>
        <v>12.136362038143677</v>
      </c>
      <c r="R221" s="711">
        <f>Bilans_E_AMS_Kyoto_run3_MTE!W519</f>
        <v>138.96099758278416</v>
      </c>
      <c r="S221" s="711">
        <f>Bilans_E_AMS_Kyoto_run3_MTE!X519</f>
        <v>37.481794053722915</v>
      </c>
      <c r="T221" s="711">
        <f>Bilans_E_AMS_Kyoto_run3_MTE!Y519</f>
        <v>0</v>
      </c>
      <c r="U221" s="711">
        <f>Bilans_E_AMS_Kyoto_run3_MTE!Z519</f>
        <v>413.86976624016694</v>
      </c>
      <c r="V221" s="701"/>
      <c r="W221" s="701"/>
    </row>
    <row r="222" spans="1:23" x14ac:dyDescent="0.25">
      <c r="A222" s="701" t="s">
        <v>510</v>
      </c>
      <c r="B222" s="701"/>
      <c r="C222" s="717" t="s">
        <v>81</v>
      </c>
      <c r="D222" s="711">
        <f>Bilans_E_AMS_Kyoto_run3_MTE!H520</f>
        <v>0</v>
      </c>
      <c r="E222" s="711">
        <f>Bilans_E_AMS_Kyoto_run3_MTE!I520</f>
        <v>0</v>
      </c>
      <c r="F222" s="711">
        <f>Bilans_E_AMS_Kyoto_run3_MTE!J520</f>
        <v>0.39199311709923457</v>
      </c>
      <c r="G222" s="711">
        <f>Bilans_E_AMS_Kyoto_run3_MTE!K520</f>
        <v>0</v>
      </c>
      <c r="H222" s="711">
        <f>Bilans_E_AMS_Kyoto_run3_MTE!L520</f>
        <v>9.9162417754913825</v>
      </c>
      <c r="I222" s="711">
        <f>Bilans_E_AMS_Kyoto_run3_MTE!M520</f>
        <v>0.18029530500893423</v>
      </c>
      <c r="J222" s="711">
        <f>Bilans_E_AMS_Kyoto_run3_MTE!N520</f>
        <v>0</v>
      </c>
      <c r="K222" s="711">
        <f>Bilans_E_AMS_Kyoto_run3_MTE!O520</f>
        <v>0</v>
      </c>
      <c r="L222" s="711">
        <f>Bilans_E_AMS_Kyoto_run3_MTE!P520</f>
        <v>0.48410239694179807</v>
      </c>
      <c r="M222" s="711">
        <f>Bilans_E_AMS_Kyoto_run3_MTE!Q520</f>
        <v>0</v>
      </c>
      <c r="N222" s="711">
        <f>Bilans_E_AMS_Kyoto_run3_MTE!R520</f>
        <v>0</v>
      </c>
      <c r="O222" s="711">
        <f>Bilans_E_AMS_Kyoto_run3_MTE!S520</f>
        <v>7.9329934203931058</v>
      </c>
      <c r="P222" s="711">
        <f>Bilans_E_AMS_Kyoto_run3_MTE!T520+Bilans_E_AMS_Kyoto_run3_MTE!U520</f>
        <v>58.56878651815164</v>
      </c>
      <c r="Q222" s="711">
        <f>Bilans_E_AMS_Kyoto_run3_MTE!V520</f>
        <v>12.039845592065015</v>
      </c>
      <c r="R222" s="711">
        <f>Bilans_E_AMS_Kyoto_run3_MTE!W520</f>
        <v>122.64919061404242</v>
      </c>
      <c r="S222" s="711">
        <f>Bilans_E_AMS_Kyoto_run3_MTE!X520</f>
        <v>22.646226401731536</v>
      </c>
      <c r="T222" s="711">
        <f>Bilans_E_AMS_Kyoto_run3_MTE!Y520</f>
        <v>0</v>
      </c>
      <c r="U222" s="711">
        <f>Bilans_E_AMS_Kyoto_run3_MTE!Z520</f>
        <v>234.80967514092507</v>
      </c>
      <c r="V222" s="701"/>
      <c r="W222" s="701"/>
    </row>
    <row r="223" spans="1:23" x14ac:dyDescent="0.25">
      <c r="A223" s="701" t="s">
        <v>511</v>
      </c>
      <c r="B223" s="701"/>
      <c r="C223" s="717" t="s">
        <v>82</v>
      </c>
      <c r="D223" s="711">
        <f>Bilans_E_AMS_Kyoto_run3_MTE!H521</f>
        <v>0</v>
      </c>
      <c r="E223" s="711">
        <f>Bilans_E_AMS_Kyoto_run3_MTE!I521</f>
        <v>0</v>
      </c>
      <c r="F223" s="711">
        <f>Bilans_E_AMS_Kyoto_run3_MTE!J521</f>
        <v>5.4571309143050808</v>
      </c>
      <c r="G223" s="711">
        <f>Bilans_E_AMS_Kyoto_run3_MTE!K521</f>
        <v>0</v>
      </c>
      <c r="H223" s="711">
        <f>Bilans_E_AMS_Kyoto_run3_MTE!L521</f>
        <v>0.56206289562711365</v>
      </c>
      <c r="I223" s="711">
        <f>Bilans_E_AMS_Kyoto_run3_MTE!M521</f>
        <v>1.0219325375038429E-2</v>
      </c>
      <c r="J223" s="711">
        <f>Bilans_E_AMS_Kyoto_run3_MTE!N521</f>
        <v>0</v>
      </c>
      <c r="K223" s="711">
        <f>Bilans_E_AMS_Kyoto_run3_MTE!O521</f>
        <v>0</v>
      </c>
      <c r="L223" s="711">
        <f>Bilans_E_AMS_Kyoto_run3_MTE!P521</f>
        <v>17.783972013033864</v>
      </c>
      <c r="M223" s="711">
        <f>Bilans_E_AMS_Kyoto_run3_MTE!Q521</f>
        <v>0</v>
      </c>
      <c r="N223" s="711">
        <f>Bilans_E_AMS_Kyoto_run3_MTE!R521</f>
        <v>8.2374051734864402</v>
      </c>
      <c r="O223" s="711">
        <f>Bilans_E_AMS_Kyoto_run3_MTE!S521</f>
        <v>0.44965031650169085</v>
      </c>
      <c r="P223" s="711">
        <f>Bilans_E_AMS_Kyoto_run3_MTE!T521+Bilans_E_AMS_Kyoto_run3_MTE!U521</f>
        <v>1.25</v>
      </c>
      <c r="Q223" s="711">
        <f>Bilans_E_AMS_Kyoto_run3_MTE!V521</f>
        <v>1.7440136932478227</v>
      </c>
      <c r="R223" s="711">
        <f>Bilans_E_AMS_Kyoto_run3_MTE!W521</f>
        <v>10.36655207833598</v>
      </c>
      <c r="S223" s="711">
        <f>Bilans_E_AMS_Kyoto_run3_MTE!X521</f>
        <v>0</v>
      </c>
      <c r="T223" s="711">
        <f>Bilans_E_AMS_Kyoto_run3_MTE!Y521</f>
        <v>0.55589052141355966</v>
      </c>
      <c r="U223" s="711">
        <f>Bilans_E_AMS_Kyoto_run3_MTE!Z521</f>
        <v>46.416896931326583</v>
      </c>
      <c r="V223" s="701"/>
      <c r="W223" s="701"/>
    </row>
    <row r="224" spans="1:23" x14ac:dyDescent="0.25">
      <c r="A224" s="701" t="s">
        <v>512</v>
      </c>
      <c r="B224" s="701"/>
      <c r="C224" s="717" t="s">
        <v>354</v>
      </c>
      <c r="D224" s="711">
        <f>Bilans_E_AMS_Kyoto_run3_MTE!H522</f>
        <v>0</v>
      </c>
      <c r="E224" s="711">
        <f>Bilans_E_AMS_Kyoto_run3_MTE!I522</f>
        <v>0</v>
      </c>
      <c r="F224" s="711">
        <f>Bilans_E_AMS_Kyoto_run3_MTE!J522</f>
        <v>0</v>
      </c>
      <c r="G224" s="711">
        <f>Bilans_E_AMS_Kyoto_run3_MTE!K522</f>
        <v>0</v>
      </c>
      <c r="H224" s="711">
        <f>Bilans_E_AMS_Kyoto_run3_MTE!L522</f>
        <v>0</v>
      </c>
      <c r="I224" s="711">
        <f>Bilans_E_AMS_Kyoto_run3_MTE!M522</f>
        <v>0</v>
      </c>
      <c r="J224" s="711">
        <f>Bilans_E_AMS_Kyoto_run3_MTE!N522</f>
        <v>0</v>
      </c>
      <c r="K224" s="711">
        <f>Bilans_E_AMS_Kyoto_run3_MTE!O522</f>
        <v>0</v>
      </c>
      <c r="L224" s="711">
        <f>Bilans_E_AMS_Kyoto_run3_MTE!P522</f>
        <v>0</v>
      </c>
      <c r="M224" s="711">
        <f>Bilans_E_AMS_Kyoto_run3_MTE!Q522</f>
        <v>0</v>
      </c>
      <c r="N224" s="711">
        <f>Bilans_E_AMS_Kyoto_run3_MTE!R522</f>
        <v>0</v>
      </c>
      <c r="O224" s="711">
        <f>Bilans_E_AMS_Kyoto_run3_MTE!S522</f>
        <v>0</v>
      </c>
      <c r="P224" s="711">
        <f>Bilans_E_AMS_Kyoto_run3_MTE!T522+Bilans_E_AMS_Kyoto_run3_MTE!U522</f>
        <v>0</v>
      </c>
      <c r="Q224" s="711">
        <f>Bilans_E_AMS_Kyoto_run3_MTE!V522</f>
        <v>0</v>
      </c>
      <c r="R224" s="711">
        <f>Bilans_E_AMS_Kyoto_run3_MTE!W522</f>
        <v>9.0399999999999991</v>
      </c>
      <c r="S224" s="711">
        <f>Bilans_E_AMS_Kyoto_run3_MTE!X522</f>
        <v>0</v>
      </c>
      <c r="T224" s="711">
        <f>Bilans_E_AMS_Kyoto_run3_MTE!Y522</f>
        <v>0</v>
      </c>
      <c r="U224" s="711">
        <f>Bilans_E_AMS_Kyoto_run3_MTE!Z522</f>
        <v>9.0399999999999991</v>
      </c>
      <c r="V224" s="701"/>
      <c r="W224" s="701"/>
    </row>
    <row r="225" spans="1:23" x14ac:dyDescent="0.25">
      <c r="A225" s="701" t="s">
        <v>513</v>
      </c>
      <c r="B225" s="701"/>
      <c r="C225" s="713" t="s">
        <v>83</v>
      </c>
      <c r="D225" s="714">
        <f>Bilans_E_AMS_Kyoto_run3_MTE!H523</f>
        <v>7.2040588378906256E-2</v>
      </c>
      <c r="E225" s="714">
        <f>Bilans_E_AMS_Kyoto_run3_MTE!I523</f>
        <v>0</v>
      </c>
      <c r="F225" s="714">
        <f>Bilans_E_AMS_Kyoto_run3_MTE!J523</f>
        <v>34.064714669767895</v>
      </c>
      <c r="G225" s="714">
        <f>Bilans_E_AMS_Kyoto_run3_MTE!K523</f>
        <v>2</v>
      </c>
      <c r="H225" s="714">
        <f>Bilans_E_AMS_Kyoto_run3_MTE!L523</f>
        <v>62.629915886111512</v>
      </c>
      <c r="I225" s="714">
        <f>Bilans_E_AMS_Kyoto_run3_MTE!M523</f>
        <v>1.1387257433838454</v>
      </c>
      <c r="J225" s="714">
        <f>Bilans_E_AMS_Kyoto_run3_MTE!N523</f>
        <v>0</v>
      </c>
      <c r="K225" s="714">
        <f>Bilans_E_AMS_Kyoto_run3_MTE!O523</f>
        <v>0</v>
      </c>
      <c r="L225" s="714">
        <f>Bilans_E_AMS_Kyoto_run3_MTE!P523</f>
        <v>95.000271126174255</v>
      </c>
      <c r="M225" s="714">
        <f>Bilans_E_AMS_Kyoto_run3_MTE!Q523</f>
        <v>8.043964025546213</v>
      </c>
      <c r="N225" s="714">
        <f>Bilans_E_AMS_Kyoto_run3_MTE!R523</f>
        <v>37.265276185679923</v>
      </c>
      <c r="O225" s="714">
        <f>Bilans_E_AMS_Kyoto_run3_MTE!S523</f>
        <v>50.145282915920937</v>
      </c>
      <c r="P225" s="714">
        <f>Bilans_E_AMS_Kyoto_run3_MTE!T523+Bilans_E_AMS_Kyoto_run3_MTE!U523</f>
        <v>221.77552316851904</v>
      </c>
      <c r="Q225" s="714">
        <f>Bilans_E_AMS_Kyoto_run3_MTE!V523</f>
        <v>25.921064315164912</v>
      </c>
      <c r="R225" s="714">
        <f>Bilans_E_AMS_Kyoto_run3_MTE!W523</f>
        <v>561.07958855635695</v>
      </c>
      <c r="S225" s="714">
        <f>Bilans_E_AMS_Kyoto_run3_MTE!X523</f>
        <v>79.672276913448172</v>
      </c>
      <c r="T225" s="714">
        <f>Bilans_E_AMS_Kyoto_run3_MTE!Y523</f>
        <v>20.906614704504904</v>
      </c>
      <c r="U225" s="714">
        <f>Bilans_E_AMS_Kyoto_run3_MTE!Z523</f>
        <v>1199.7152587989574</v>
      </c>
      <c r="V225" s="701"/>
      <c r="W225" s="701"/>
    </row>
    <row r="226" spans="1:23" x14ac:dyDescent="0.25">
      <c r="A226" s="701" t="s">
        <v>514</v>
      </c>
      <c r="B226" s="701"/>
      <c r="C226" s="710" t="s">
        <v>84</v>
      </c>
      <c r="D226" s="711">
        <f>Bilans_E_AMS_Kyoto_run3_MTE!H524</f>
        <v>0</v>
      </c>
      <c r="E226" s="711">
        <f>Bilans_E_AMS_Kyoto_run3_MTE!I524</f>
        <v>0</v>
      </c>
      <c r="F226" s="711">
        <f>Bilans_E_AMS_Kyoto_run3_MTE!J524</f>
        <v>96.394045128661887</v>
      </c>
      <c r="G226" s="711">
        <f>Bilans_E_AMS_Kyoto_run3_MTE!K524</f>
        <v>3.4901848637372384</v>
      </c>
      <c r="H226" s="711">
        <f>Bilans_E_AMS_Kyoto_run3_MTE!L524</f>
        <v>9.7025025927356783</v>
      </c>
      <c r="I226" s="711">
        <f>Bilans_E_AMS_Kyoto_run3_MTE!M524</f>
        <v>0</v>
      </c>
      <c r="J226" s="711">
        <f>Bilans_E_AMS_Kyoto_run3_MTE!N524</f>
        <v>0</v>
      </c>
      <c r="K226" s="711">
        <f>Bilans_E_AMS_Kyoto_run3_MTE!O524</f>
        <v>0</v>
      </c>
      <c r="L226" s="711">
        <f>Bilans_E_AMS_Kyoto_run3_MTE!P524</f>
        <v>0.55051822222324442</v>
      </c>
      <c r="M226" s="711">
        <f>Bilans_E_AMS_Kyoto_run3_MTE!Q524</f>
        <v>0</v>
      </c>
      <c r="N226" s="711">
        <f>Bilans_E_AMS_Kyoto_run3_MTE!R524</f>
        <v>5.2633850918308207</v>
      </c>
      <c r="O226" s="711">
        <f>Bilans_E_AMS_Kyoto_run3_MTE!S524</f>
        <v>0</v>
      </c>
      <c r="P226" s="711">
        <f>Bilans_E_AMS_Kyoto_run3_MTE!T524+Bilans_E_AMS_Kyoto_run3_MTE!U524</f>
        <v>0</v>
      </c>
      <c r="Q226" s="711">
        <f>Bilans_E_AMS_Kyoto_run3_MTE!V524</f>
        <v>0</v>
      </c>
      <c r="R226" s="711">
        <f>Bilans_E_AMS_Kyoto_run3_MTE!W524</f>
        <v>0</v>
      </c>
      <c r="S226" s="711">
        <f>Bilans_E_AMS_Kyoto_run3_MTE!X524</f>
        <v>0</v>
      </c>
      <c r="T226" s="711">
        <f>Bilans_E_AMS_Kyoto_run3_MTE!Y524</f>
        <v>4.3572670917440366</v>
      </c>
      <c r="U226" s="711">
        <f>Bilans_E_AMS_Kyoto_run3_MTE!Z524</f>
        <v>119.75790299093292</v>
      </c>
      <c r="V226" s="701"/>
      <c r="W226" s="701"/>
    </row>
    <row r="227" spans="1:23" x14ac:dyDescent="0.25">
      <c r="A227" s="701" t="s">
        <v>515</v>
      </c>
      <c r="B227" s="701"/>
      <c r="C227" s="713" t="s">
        <v>85</v>
      </c>
      <c r="D227" s="714">
        <f>Bilans_E_AMS_Kyoto_run3_MTE!H525</f>
        <v>7.2040588378906256E-2</v>
      </c>
      <c r="E227" s="714">
        <f>Bilans_E_AMS_Kyoto_run3_MTE!I525</f>
        <v>0</v>
      </c>
      <c r="F227" s="714">
        <f>Bilans_E_AMS_Kyoto_run3_MTE!J525</f>
        <v>130.45875979842978</v>
      </c>
      <c r="G227" s="714">
        <f>Bilans_E_AMS_Kyoto_run3_MTE!K525</f>
        <v>5.4901848637372384</v>
      </c>
      <c r="H227" s="714">
        <f>Bilans_E_AMS_Kyoto_run3_MTE!L525</f>
        <v>72.332418478847188</v>
      </c>
      <c r="I227" s="714">
        <f>Bilans_E_AMS_Kyoto_run3_MTE!M525</f>
        <v>1.1387257433838454</v>
      </c>
      <c r="J227" s="714">
        <f>Bilans_E_AMS_Kyoto_run3_MTE!N525</f>
        <v>0</v>
      </c>
      <c r="K227" s="714">
        <f>Bilans_E_AMS_Kyoto_run3_MTE!O525</f>
        <v>0</v>
      </c>
      <c r="L227" s="714">
        <f>Bilans_E_AMS_Kyoto_run3_MTE!P525</f>
        <v>95.550789348397501</v>
      </c>
      <c r="M227" s="714">
        <f>Bilans_E_AMS_Kyoto_run3_MTE!Q525</f>
        <v>8.043964025546213</v>
      </c>
      <c r="N227" s="714">
        <f>Bilans_E_AMS_Kyoto_run3_MTE!R525</f>
        <v>42.528661277510743</v>
      </c>
      <c r="O227" s="714">
        <f>Bilans_E_AMS_Kyoto_run3_MTE!S525</f>
        <v>50.145282915920937</v>
      </c>
      <c r="P227" s="714">
        <f>Bilans_E_AMS_Kyoto_run3_MTE!T525+Bilans_E_AMS_Kyoto_run3_MTE!U525</f>
        <v>221.77552316851904</v>
      </c>
      <c r="Q227" s="714">
        <f>Bilans_E_AMS_Kyoto_run3_MTE!V525</f>
        <v>25.921064315164912</v>
      </c>
      <c r="R227" s="714">
        <f>Bilans_E_AMS_Kyoto_run3_MTE!W525</f>
        <v>561.07958855635695</v>
      </c>
      <c r="S227" s="714">
        <f>Bilans_E_AMS_Kyoto_run3_MTE!X525</f>
        <v>79.672276913448172</v>
      </c>
      <c r="T227" s="714">
        <f>Bilans_E_AMS_Kyoto_run3_MTE!Y525</f>
        <v>25.263881796248938</v>
      </c>
      <c r="U227" s="714">
        <f>Bilans_E_AMS_Kyoto_run3_MTE!Z525</f>
        <v>1319.4731617898904</v>
      </c>
      <c r="V227" s="701"/>
      <c r="W227" s="701"/>
    </row>
    <row r="228" spans="1:23" x14ac:dyDescent="0.25">
      <c r="A228" s="701"/>
      <c r="B228" s="701"/>
      <c r="C228" s="701"/>
      <c r="D228" s="701">
        <f>Bilans_E_AMS_Kyoto_run3_MTE!H526</f>
        <v>0</v>
      </c>
      <c r="E228" s="701">
        <f>Bilans_E_AMS_Kyoto_run3_MTE!I526</f>
        <v>0</v>
      </c>
      <c r="F228" s="701">
        <f>Bilans_E_AMS_Kyoto_run3_MTE!J526</f>
        <v>-7.1054273576010019E-15</v>
      </c>
      <c r="G228" s="701">
        <f>Bilans_E_AMS_Kyoto_run3_MTE!K526</f>
        <v>0</v>
      </c>
      <c r="H228" s="701">
        <f>Bilans_E_AMS_Kyoto_run3_MTE!L526</f>
        <v>4.0563540423477207E-5</v>
      </c>
      <c r="I228" s="701">
        <f>Bilans_E_AMS_Kyoto_run3_MTE!M526</f>
        <v>-4.0563540425697653E-5</v>
      </c>
      <c r="J228" s="701">
        <f>Bilans_E_AMS_Kyoto_run3_MTE!N526</f>
        <v>0</v>
      </c>
      <c r="K228" s="701">
        <f>Bilans_E_AMS_Kyoto_run3_MTE!O526</f>
        <v>0</v>
      </c>
      <c r="L228" s="701">
        <f>Bilans_E_AMS_Kyoto_run3_MTE!P526</f>
        <v>0</v>
      </c>
      <c r="M228" s="701">
        <f>Bilans_E_AMS_Kyoto_run3_MTE!Q526</f>
        <v>0</v>
      </c>
      <c r="N228" s="701">
        <f>Bilans_E_AMS_Kyoto_run3_MTE!R526</f>
        <v>0</v>
      </c>
      <c r="O228" s="701">
        <f>Bilans_E_AMS_Kyoto_run3_MTE!S526</f>
        <v>0</v>
      </c>
      <c r="P228" s="701">
        <f>Bilans_E_AMS_Kyoto_run3_MTE!T526+Bilans_E_AMS_Kyoto_run3_MTE!U526</f>
        <v>0</v>
      </c>
      <c r="Q228" s="701">
        <f>Bilans_E_AMS_Kyoto_run3_MTE!V526</f>
        <v>0</v>
      </c>
      <c r="R228" s="701">
        <f>Bilans_E_AMS_Kyoto_run3_MTE!W526</f>
        <v>0</v>
      </c>
      <c r="S228" s="701">
        <f>Bilans_E_AMS_Kyoto_run3_MTE!X526</f>
        <v>-3.2925505564662672E-5</v>
      </c>
      <c r="T228" s="701">
        <f>Bilans_E_AMS_Kyoto_run3_MTE!Y526</f>
        <v>0</v>
      </c>
      <c r="U228" s="701">
        <f>Bilans_E_AMS_Kyoto_run3_MTE!Z526</f>
        <v>-3.2925505365710706E-5</v>
      </c>
      <c r="V228" s="701"/>
      <c r="W228" s="701"/>
    </row>
    <row r="229" spans="1:23" x14ac:dyDescent="0.25">
      <c r="A229" s="701"/>
      <c r="B229" s="701"/>
      <c r="C229" s="701"/>
      <c r="D229" s="701"/>
      <c r="E229" s="701"/>
      <c r="F229" s="701"/>
      <c r="G229" s="701"/>
      <c r="H229" s="701"/>
      <c r="I229" s="701"/>
      <c r="J229" s="701"/>
      <c r="K229" s="701"/>
      <c r="L229" s="701"/>
      <c r="M229" s="701"/>
      <c r="N229" s="701"/>
      <c r="O229" s="701"/>
      <c r="P229" s="701"/>
      <c r="Q229" s="701"/>
      <c r="R229" s="701"/>
      <c r="S229" s="701"/>
      <c r="T229" s="701"/>
      <c r="U229" s="701"/>
      <c r="V229" s="701"/>
      <c r="W229" s="701"/>
    </row>
    <row r="230" spans="1:23" x14ac:dyDescent="0.25">
      <c r="A230" s="707"/>
      <c r="B230" s="707"/>
      <c r="C230" s="708" t="s">
        <v>89</v>
      </c>
      <c r="D230" s="707"/>
      <c r="E230" s="707"/>
      <c r="F230" s="707"/>
      <c r="G230" s="707"/>
      <c r="H230" s="707"/>
      <c r="I230" s="707"/>
      <c r="J230" s="707"/>
      <c r="K230" s="707"/>
      <c r="L230" s="707"/>
      <c r="M230" s="707"/>
      <c r="N230" s="707"/>
      <c r="O230" s="707"/>
      <c r="P230" s="707"/>
      <c r="Q230" s="707"/>
      <c r="R230" s="707"/>
      <c r="S230" s="707"/>
      <c r="T230" s="707"/>
      <c r="U230" s="707"/>
      <c r="V230" s="707"/>
      <c r="W230" s="707"/>
    </row>
    <row r="231" spans="1:23" x14ac:dyDescent="0.25">
      <c r="A231" s="701"/>
      <c r="B231" s="701"/>
      <c r="C231" s="701"/>
      <c r="D231" s="701"/>
      <c r="E231" s="701"/>
      <c r="F231" s="701"/>
      <c r="G231" s="701"/>
      <c r="H231" s="701"/>
      <c r="I231" s="701"/>
      <c r="J231" s="701"/>
      <c r="K231" s="701"/>
      <c r="L231" s="701"/>
      <c r="M231" s="701"/>
      <c r="N231" s="701"/>
      <c r="O231" s="701"/>
      <c r="P231" s="701"/>
      <c r="Q231" s="701"/>
      <c r="R231" s="701"/>
      <c r="S231" s="701"/>
      <c r="T231" s="701"/>
      <c r="U231" s="701"/>
      <c r="V231" s="701"/>
      <c r="W231" s="701"/>
    </row>
    <row r="232" spans="1:23" x14ac:dyDescent="0.25">
      <c r="A232" s="701"/>
      <c r="B232" s="701"/>
      <c r="C232" s="780" t="s">
        <v>128</v>
      </c>
      <c r="D232" s="775" t="s">
        <v>42</v>
      </c>
      <c r="E232" s="775" t="s">
        <v>52</v>
      </c>
      <c r="F232" s="775" t="s">
        <v>53</v>
      </c>
      <c r="G232" s="775" t="s">
        <v>482</v>
      </c>
      <c r="H232" s="775" t="s">
        <v>32</v>
      </c>
      <c r="I232" s="775" t="s">
        <v>483</v>
      </c>
      <c r="J232" s="775" t="s">
        <v>20</v>
      </c>
      <c r="K232" s="775" t="s">
        <v>55</v>
      </c>
      <c r="L232" s="777" t="s">
        <v>56</v>
      </c>
      <c r="M232" s="778"/>
      <c r="N232" s="778"/>
      <c r="O232" s="778"/>
      <c r="P232" s="778"/>
      <c r="Q232" s="779"/>
      <c r="R232" s="775" t="s">
        <v>57</v>
      </c>
      <c r="S232" s="775" t="s">
        <v>58</v>
      </c>
      <c r="T232" s="775" t="s">
        <v>31</v>
      </c>
      <c r="U232" s="775" t="s">
        <v>10</v>
      </c>
      <c r="V232" s="701"/>
      <c r="W232" s="701"/>
    </row>
    <row r="233" spans="1:23" ht="67.5" x14ac:dyDescent="0.25">
      <c r="A233" s="701" t="s">
        <v>486</v>
      </c>
      <c r="B233" s="701"/>
      <c r="C233" s="781"/>
      <c r="D233" s="776"/>
      <c r="E233" s="776"/>
      <c r="F233" s="776"/>
      <c r="G233" s="776"/>
      <c r="H233" s="776"/>
      <c r="I233" s="776"/>
      <c r="J233" s="776"/>
      <c r="K233" s="776"/>
      <c r="L233" s="709" t="s">
        <v>335</v>
      </c>
      <c r="M233" s="709" t="s">
        <v>40</v>
      </c>
      <c r="N233" s="709" t="s">
        <v>343</v>
      </c>
      <c r="O233" s="709" t="s">
        <v>344</v>
      </c>
      <c r="P233" s="719" t="s">
        <v>610</v>
      </c>
      <c r="Q233" s="709" t="s">
        <v>346</v>
      </c>
      <c r="R233" s="776"/>
      <c r="S233" s="776"/>
      <c r="T233" s="776"/>
      <c r="U233" s="776"/>
      <c r="V233" s="701"/>
      <c r="W233" s="701"/>
    </row>
    <row r="234" spans="1:23" x14ac:dyDescent="0.25">
      <c r="A234" s="701" t="s">
        <v>487</v>
      </c>
      <c r="B234" s="701"/>
      <c r="C234" s="710" t="s">
        <v>59</v>
      </c>
      <c r="D234" s="711">
        <f>Bilans_E_AMS_Kyoto_run3_MTE!H532</f>
        <v>0</v>
      </c>
      <c r="E234" s="711">
        <f>Bilans_E_AMS_Kyoto_run3_MTE!I532</f>
        <v>0</v>
      </c>
      <c r="F234" s="711">
        <f>Bilans_E_AMS_Kyoto_run3_MTE!J532</f>
        <v>0</v>
      </c>
      <c r="G234" s="711">
        <f>Bilans_E_AMS_Kyoto_run3_MTE!K532</f>
        <v>0</v>
      </c>
      <c r="H234" s="711">
        <f>Bilans_E_AMS_Kyoto_run3_MTE!L532</f>
        <v>0</v>
      </c>
      <c r="I234" s="711">
        <f>Bilans_E_AMS_Kyoto_run3_MTE!M532</f>
        <v>0</v>
      </c>
      <c r="J234" s="711">
        <f>Bilans_E_AMS_Kyoto_run3_MTE!N532</f>
        <v>807.37795933495636</v>
      </c>
      <c r="K234" s="711">
        <f>Bilans_E_AMS_Kyoto_run3_MTE!O532</f>
        <v>553.99388589395949</v>
      </c>
      <c r="L234" s="711">
        <f>Bilans_E_AMS_Kyoto_run3_MTE!P532</f>
        <v>401.60616442653316</v>
      </c>
      <c r="M234" s="711">
        <f>Bilans_E_AMS_Kyoto_run3_MTE!Q532</f>
        <v>43.888349788112322</v>
      </c>
      <c r="N234" s="711">
        <f>Bilans_E_AMS_Kyoto_run3_MTE!R532</f>
        <v>0</v>
      </c>
      <c r="O234" s="711">
        <f>Bilans_E_AMS_Kyoto_run3_MTE!S532</f>
        <v>0</v>
      </c>
      <c r="P234" s="711">
        <f>Bilans_E_AMS_Kyoto_run3_MTE!T532+Bilans_E_AMS_Kyoto_run3_MTE!U532</f>
        <v>274.41854375041947</v>
      </c>
      <c r="Q234" s="711">
        <f>Bilans_E_AMS_Kyoto_run3_MTE!V532</f>
        <v>50.723080686002739</v>
      </c>
      <c r="R234" s="711">
        <f>Bilans_E_AMS_Kyoto_run3_MTE!W532</f>
        <v>0</v>
      </c>
      <c r="S234" s="711">
        <f>Bilans_E_AMS_Kyoto_run3_MTE!X532</f>
        <v>0</v>
      </c>
      <c r="T234" s="711">
        <f>Bilans_E_AMS_Kyoto_run3_MTE!Y532</f>
        <v>0</v>
      </c>
      <c r="U234" s="711">
        <f>Bilans_E_AMS_Kyoto_run3_MTE!Z532</f>
        <v>2132.0079838799838</v>
      </c>
      <c r="V234" s="701"/>
      <c r="W234" s="701"/>
    </row>
    <row r="235" spans="1:23" x14ac:dyDescent="0.25">
      <c r="A235" s="701" t="s">
        <v>488</v>
      </c>
      <c r="B235" s="701"/>
      <c r="C235" s="710" t="s">
        <v>60</v>
      </c>
      <c r="D235" s="712">
        <f>Bilans_E_AMS_Kyoto_run3_MTE!H533</f>
        <v>0</v>
      </c>
      <c r="E235" s="712">
        <f>Bilans_E_AMS_Kyoto_run3_MTE!I533</f>
        <v>58.863651738299311</v>
      </c>
      <c r="F235" s="712">
        <f>Bilans_E_AMS_Kyoto_run3_MTE!J533</f>
        <v>45.756672067678878</v>
      </c>
      <c r="G235" s="712">
        <f>Bilans_E_AMS_Kyoto_run3_MTE!K533</f>
        <v>12.032159045744653</v>
      </c>
      <c r="H235" s="712">
        <f>Bilans_E_AMS_Kyoto_run3_MTE!L533</f>
        <v>7.019987079045241</v>
      </c>
      <c r="I235" s="712">
        <f>Bilans_E_AMS_Kyoto_run3_MTE!M533</f>
        <v>0</v>
      </c>
      <c r="J235" s="712">
        <f>Bilans_E_AMS_Kyoto_run3_MTE!N533</f>
        <v>0</v>
      </c>
      <c r="K235" s="712">
        <f>Bilans_E_AMS_Kyoto_run3_MTE!O533</f>
        <v>0</v>
      </c>
      <c r="L235" s="712">
        <f>Bilans_E_AMS_Kyoto_run3_MTE!P533</f>
        <v>22.470468893714155</v>
      </c>
      <c r="M235" s="712">
        <f>Bilans_E_AMS_Kyoto_run3_MTE!Q533</f>
        <v>0</v>
      </c>
      <c r="N235" s="712">
        <f>Bilans_E_AMS_Kyoto_run3_MTE!R533</f>
        <v>0</v>
      </c>
      <c r="O235" s="712">
        <f>Bilans_E_AMS_Kyoto_run3_MTE!S533</f>
        <v>0</v>
      </c>
      <c r="P235" s="712">
        <f>Bilans_E_AMS_Kyoto_run3_MTE!T533+Bilans_E_AMS_Kyoto_run3_MTE!U533</f>
        <v>0</v>
      </c>
      <c r="Q235" s="712">
        <f>Bilans_E_AMS_Kyoto_run3_MTE!V533</f>
        <v>0</v>
      </c>
      <c r="R235" s="712">
        <f>Bilans_E_AMS_Kyoto_run3_MTE!W533</f>
        <v>0</v>
      </c>
      <c r="S235" s="712">
        <f>Bilans_E_AMS_Kyoto_run3_MTE!X533</f>
        <v>0</v>
      </c>
      <c r="T235" s="712">
        <f>Bilans_E_AMS_Kyoto_run3_MTE!Y533</f>
        <v>0</v>
      </c>
      <c r="U235" s="712">
        <f>Bilans_E_AMS_Kyoto_run3_MTE!Z533</f>
        <v>146.14293882448223</v>
      </c>
      <c r="V235" s="701"/>
      <c r="W235" s="701"/>
    </row>
    <row r="236" spans="1:23" x14ac:dyDescent="0.25">
      <c r="A236" s="701" t="s">
        <v>489</v>
      </c>
      <c r="B236" s="701"/>
      <c r="C236" s="710" t="s">
        <v>61</v>
      </c>
      <c r="D236" s="712">
        <f>Bilans_E_AMS_Kyoto_run3_MTE!H534</f>
        <v>0</v>
      </c>
      <c r="E236" s="712">
        <f>Bilans_E_AMS_Kyoto_run3_MTE!I534</f>
        <v>0</v>
      </c>
      <c r="F236" s="712">
        <f>Bilans_E_AMS_Kyoto_run3_MTE!J534</f>
        <v>0</v>
      </c>
      <c r="G236" s="712">
        <f>Bilans_E_AMS_Kyoto_run3_MTE!K534</f>
        <v>0</v>
      </c>
      <c r="H236" s="712">
        <f>Bilans_E_AMS_Kyoto_run3_MTE!L534</f>
        <v>0</v>
      </c>
      <c r="I236" s="712">
        <f>Bilans_E_AMS_Kyoto_run3_MTE!M534</f>
        <v>0</v>
      </c>
      <c r="J236" s="712">
        <f>Bilans_E_AMS_Kyoto_run3_MTE!N534</f>
        <v>0</v>
      </c>
      <c r="K236" s="712">
        <f>Bilans_E_AMS_Kyoto_run3_MTE!O534</f>
        <v>0</v>
      </c>
      <c r="L236" s="712">
        <f>Bilans_E_AMS_Kyoto_run3_MTE!P534</f>
        <v>0</v>
      </c>
      <c r="M236" s="712">
        <f>Bilans_E_AMS_Kyoto_run3_MTE!Q534</f>
        <v>0</v>
      </c>
      <c r="N236" s="712">
        <f>Bilans_E_AMS_Kyoto_run3_MTE!R534</f>
        <v>-12.102055378039722</v>
      </c>
      <c r="O236" s="712">
        <f>Bilans_E_AMS_Kyoto_run3_MTE!S534</f>
        <v>-3.7955214595352373</v>
      </c>
      <c r="P236" s="712">
        <f>Bilans_E_AMS_Kyoto_run3_MTE!T534+Bilans_E_AMS_Kyoto_run3_MTE!U534</f>
        <v>0</v>
      </c>
      <c r="Q236" s="712">
        <f>Bilans_E_AMS_Kyoto_run3_MTE!V534</f>
        <v>0</v>
      </c>
      <c r="R236" s="712">
        <f>Bilans_E_AMS_Kyoto_run3_MTE!W534</f>
        <v>-28.679288227585289</v>
      </c>
      <c r="S236" s="712">
        <f>Bilans_E_AMS_Kyoto_run3_MTE!X534</f>
        <v>0</v>
      </c>
      <c r="T236" s="712">
        <f>Bilans_E_AMS_Kyoto_run3_MTE!Y534</f>
        <v>0</v>
      </c>
      <c r="U236" s="712">
        <f>Bilans_E_AMS_Kyoto_run3_MTE!Z534</f>
        <v>-44.576865065160248</v>
      </c>
      <c r="V236" s="701"/>
      <c r="W236" s="701"/>
    </row>
    <row r="237" spans="1:23" x14ac:dyDescent="0.25">
      <c r="A237" s="701" t="s">
        <v>490</v>
      </c>
      <c r="B237" s="701"/>
      <c r="C237" s="710" t="s">
        <v>62</v>
      </c>
      <c r="D237" s="711">
        <f>Bilans_E_AMS_Kyoto_run3_MTE!H535</f>
        <v>0</v>
      </c>
      <c r="E237" s="711">
        <f>Bilans_E_AMS_Kyoto_run3_MTE!I535</f>
        <v>0</v>
      </c>
      <c r="F237" s="711">
        <f>Bilans_E_AMS_Kyoto_run3_MTE!J535</f>
        <v>-1.2057976620084264E-3</v>
      </c>
      <c r="G237" s="711">
        <f>Bilans_E_AMS_Kyoto_run3_MTE!K535</f>
        <v>-2.8026264036035151</v>
      </c>
      <c r="H237" s="711">
        <f>Bilans_E_AMS_Kyoto_run3_MTE!L535</f>
        <v>0</v>
      </c>
      <c r="I237" s="711">
        <f>Bilans_E_AMS_Kyoto_run3_MTE!M535</f>
        <v>-2.8026264036035156</v>
      </c>
      <c r="J237" s="711">
        <f>Bilans_E_AMS_Kyoto_run3_MTE!N535</f>
        <v>0</v>
      </c>
      <c r="K237" s="711">
        <f>Bilans_E_AMS_Kyoto_run3_MTE!O535</f>
        <v>0</v>
      </c>
      <c r="L237" s="711">
        <f>Bilans_E_AMS_Kyoto_run3_MTE!P535</f>
        <v>0</v>
      </c>
      <c r="M237" s="711">
        <f>Bilans_E_AMS_Kyoto_run3_MTE!Q535</f>
        <v>0</v>
      </c>
      <c r="N237" s="711">
        <f>Bilans_E_AMS_Kyoto_run3_MTE!R535</f>
        <v>0</v>
      </c>
      <c r="O237" s="711">
        <f>Bilans_E_AMS_Kyoto_run3_MTE!S535</f>
        <v>-2.4289428831230464</v>
      </c>
      <c r="P237" s="711">
        <f>Bilans_E_AMS_Kyoto_run3_MTE!T535+Bilans_E_AMS_Kyoto_run3_MTE!U535</f>
        <v>0</v>
      </c>
      <c r="Q237" s="711">
        <f>Bilans_E_AMS_Kyoto_run3_MTE!V535</f>
        <v>0</v>
      </c>
      <c r="R237" s="711">
        <f>Bilans_E_AMS_Kyoto_run3_MTE!W535</f>
        <v>0</v>
      </c>
      <c r="S237" s="711">
        <f>Bilans_E_AMS_Kyoto_run3_MTE!X535</f>
        <v>0</v>
      </c>
      <c r="T237" s="711">
        <f>Bilans_E_AMS_Kyoto_run3_MTE!Y535</f>
        <v>-1.3066910843207444</v>
      </c>
      <c r="U237" s="711">
        <f>Bilans_E_AMS_Kyoto_run3_MTE!Z535</f>
        <v>-9.342092572312831</v>
      </c>
      <c r="V237" s="701"/>
      <c r="W237" s="701"/>
    </row>
    <row r="238" spans="1:23" x14ac:dyDescent="0.25">
      <c r="A238" s="701" t="s">
        <v>491</v>
      </c>
      <c r="B238" s="701"/>
      <c r="C238" s="710" t="s">
        <v>63</v>
      </c>
      <c r="D238" s="711">
        <f>Bilans_E_AMS_Kyoto_run3_MTE!H536</f>
        <v>0</v>
      </c>
      <c r="E238" s="711">
        <f>Bilans_E_AMS_Kyoto_run3_MTE!I536</f>
        <v>0</v>
      </c>
      <c r="F238" s="711">
        <f>Bilans_E_AMS_Kyoto_run3_MTE!J536</f>
        <v>-7</v>
      </c>
      <c r="G238" s="711">
        <f>Bilans_E_AMS_Kyoto_run3_MTE!K536</f>
        <v>-25</v>
      </c>
      <c r="H238" s="711">
        <f>Bilans_E_AMS_Kyoto_run3_MTE!L536</f>
        <v>0</v>
      </c>
      <c r="I238" s="711">
        <f>Bilans_E_AMS_Kyoto_run3_MTE!M536</f>
        <v>0</v>
      </c>
      <c r="J238" s="711">
        <f>Bilans_E_AMS_Kyoto_run3_MTE!N536</f>
        <v>0</v>
      </c>
      <c r="K238" s="711">
        <f>Bilans_E_AMS_Kyoto_run3_MTE!O536</f>
        <v>0</v>
      </c>
      <c r="L238" s="711">
        <f>Bilans_E_AMS_Kyoto_run3_MTE!P536</f>
        <v>0</v>
      </c>
      <c r="M238" s="711">
        <f>Bilans_E_AMS_Kyoto_run3_MTE!Q536</f>
        <v>0</v>
      </c>
      <c r="N238" s="711">
        <f>Bilans_E_AMS_Kyoto_run3_MTE!R536</f>
        <v>-17</v>
      </c>
      <c r="O238" s="711">
        <f>Bilans_E_AMS_Kyoto_run3_MTE!S536</f>
        <v>0</v>
      </c>
      <c r="P238" s="711">
        <f>Bilans_E_AMS_Kyoto_run3_MTE!T536+Bilans_E_AMS_Kyoto_run3_MTE!U536</f>
        <v>0</v>
      </c>
      <c r="Q238" s="711">
        <f>Bilans_E_AMS_Kyoto_run3_MTE!V536</f>
        <v>0</v>
      </c>
      <c r="R238" s="711">
        <f>Bilans_E_AMS_Kyoto_run3_MTE!W536</f>
        <v>0</v>
      </c>
      <c r="S238" s="711">
        <f>Bilans_E_AMS_Kyoto_run3_MTE!X536</f>
        <v>0</v>
      </c>
      <c r="T238" s="711">
        <f>Bilans_E_AMS_Kyoto_run3_MTE!Y536</f>
        <v>-8</v>
      </c>
      <c r="U238" s="711">
        <f>Bilans_E_AMS_Kyoto_run3_MTE!Z536</f>
        <v>-57</v>
      </c>
      <c r="V238" s="701"/>
      <c r="W238" s="701"/>
    </row>
    <row r="239" spans="1:23" x14ac:dyDescent="0.25">
      <c r="A239" s="701" t="s">
        <v>492</v>
      </c>
      <c r="B239" s="701"/>
      <c r="C239" s="710" t="s">
        <v>64</v>
      </c>
      <c r="D239" s="712">
        <f>Bilans_E_AMS_Kyoto_run3_MTE!H537</f>
        <v>0</v>
      </c>
      <c r="E239" s="712">
        <f>Bilans_E_AMS_Kyoto_run3_MTE!I537</f>
        <v>0</v>
      </c>
      <c r="F239" s="712">
        <f>Bilans_E_AMS_Kyoto_run3_MTE!J537</f>
        <v>0</v>
      </c>
      <c r="G239" s="712">
        <f>Bilans_E_AMS_Kyoto_run3_MTE!K537</f>
        <v>0</v>
      </c>
      <c r="H239" s="712">
        <f>Bilans_E_AMS_Kyoto_run3_MTE!L537</f>
        <v>0</v>
      </c>
      <c r="I239" s="712">
        <f>Bilans_E_AMS_Kyoto_run3_MTE!M537</f>
        <v>0</v>
      </c>
      <c r="J239" s="712">
        <f>Bilans_E_AMS_Kyoto_run3_MTE!N537</f>
        <v>0</v>
      </c>
      <c r="K239" s="712">
        <f>Bilans_E_AMS_Kyoto_run3_MTE!O537</f>
        <v>0</v>
      </c>
      <c r="L239" s="712">
        <f>Bilans_E_AMS_Kyoto_run3_MTE!P537</f>
        <v>0</v>
      </c>
      <c r="M239" s="712">
        <f>Bilans_E_AMS_Kyoto_run3_MTE!Q537</f>
        <v>0</v>
      </c>
      <c r="N239" s="712">
        <f>Bilans_E_AMS_Kyoto_run3_MTE!R537</f>
        <v>0</v>
      </c>
      <c r="O239" s="712">
        <f>Bilans_E_AMS_Kyoto_run3_MTE!S537</f>
        <v>0</v>
      </c>
      <c r="P239" s="712">
        <f>Bilans_E_AMS_Kyoto_run3_MTE!T537+Bilans_E_AMS_Kyoto_run3_MTE!U537</f>
        <v>0</v>
      </c>
      <c r="Q239" s="712">
        <f>Bilans_E_AMS_Kyoto_run3_MTE!V537</f>
        <v>0</v>
      </c>
      <c r="R239" s="712">
        <f>Bilans_E_AMS_Kyoto_run3_MTE!W537</f>
        <v>0</v>
      </c>
      <c r="S239" s="712">
        <f>Bilans_E_AMS_Kyoto_run3_MTE!X537</f>
        <v>0</v>
      </c>
      <c r="T239" s="712">
        <f>Bilans_E_AMS_Kyoto_run3_MTE!Y537</f>
        <v>0</v>
      </c>
      <c r="U239" s="712">
        <f>Bilans_E_AMS_Kyoto_run3_MTE!Z537</f>
        <v>0</v>
      </c>
      <c r="V239" s="701"/>
      <c r="W239" s="701"/>
    </row>
    <row r="240" spans="1:23" x14ac:dyDescent="0.25">
      <c r="A240" s="701" t="s">
        <v>493</v>
      </c>
      <c r="B240" s="701"/>
      <c r="C240" s="713" t="s">
        <v>65</v>
      </c>
      <c r="D240" s="714">
        <f>Bilans_E_AMS_Kyoto_run3_MTE!H538</f>
        <v>0</v>
      </c>
      <c r="E240" s="714">
        <f>Bilans_E_AMS_Kyoto_run3_MTE!I538</f>
        <v>58.863651738299311</v>
      </c>
      <c r="F240" s="714">
        <f>Bilans_E_AMS_Kyoto_run3_MTE!J538</f>
        <v>38.755466270016868</v>
      </c>
      <c r="G240" s="714">
        <f>Bilans_E_AMS_Kyoto_run3_MTE!K538</f>
        <v>-15.770467357858863</v>
      </c>
      <c r="H240" s="714">
        <f>Bilans_E_AMS_Kyoto_run3_MTE!L538</f>
        <v>7.019987079045241</v>
      </c>
      <c r="I240" s="714">
        <f>Bilans_E_AMS_Kyoto_run3_MTE!M538</f>
        <v>-2.8026264036035156</v>
      </c>
      <c r="J240" s="714">
        <f>Bilans_E_AMS_Kyoto_run3_MTE!N538</f>
        <v>807.37795933495636</v>
      </c>
      <c r="K240" s="714">
        <f>Bilans_E_AMS_Kyoto_run3_MTE!O538</f>
        <v>553.99388589395949</v>
      </c>
      <c r="L240" s="714">
        <f>Bilans_E_AMS_Kyoto_run3_MTE!P538</f>
        <v>424.07663332024731</v>
      </c>
      <c r="M240" s="714">
        <f>Bilans_E_AMS_Kyoto_run3_MTE!Q538</f>
        <v>43.888349788112322</v>
      </c>
      <c r="N240" s="714">
        <f>Bilans_E_AMS_Kyoto_run3_MTE!R538</f>
        <v>-29.102055378039722</v>
      </c>
      <c r="O240" s="714">
        <f>Bilans_E_AMS_Kyoto_run3_MTE!S538</f>
        <v>-6.2244643426582833</v>
      </c>
      <c r="P240" s="714">
        <f>Bilans_E_AMS_Kyoto_run3_MTE!T538+Bilans_E_AMS_Kyoto_run3_MTE!U538</f>
        <v>274.41854375041947</v>
      </c>
      <c r="Q240" s="714">
        <f>Bilans_E_AMS_Kyoto_run3_MTE!V538</f>
        <v>50.723080686002739</v>
      </c>
      <c r="R240" s="714">
        <f>Bilans_E_AMS_Kyoto_run3_MTE!W538</f>
        <v>-28.679288227585289</v>
      </c>
      <c r="S240" s="714">
        <f>Bilans_E_AMS_Kyoto_run3_MTE!X538</f>
        <v>0</v>
      </c>
      <c r="T240" s="714">
        <f>Bilans_E_AMS_Kyoto_run3_MTE!Y538</f>
        <v>-9.3066910843207449</v>
      </c>
      <c r="U240" s="714">
        <f>Bilans_E_AMS_Kyoto_run3_MTE!Z538</f>
        <v>2167.2319650669929</v>
      </c>
      <c r="V240" s="701"/>
      <c r="W240" s="701"/>
    </row>
    <row r="241" spans="1:23" x14ac:dyDescent="0.25">
      <c r="A241" s="701"/>
      <c r="B241" s="701"/>
      <c r="C241" s="715"/>
      <c r="D241" s="716"/>
      <c r="E241" s="716"/>
      <c r="F241" s="716"/>
      <c r="G241" s="716"/>
      <c r="H241" s="716"/>
      <c r="I241" s="716"/>
      <c r="J241" s="716"/>
      <c r="K241" s="716"/>
      <c r="L241" s="716"/>
      <c r="M241" s="716"/>
      <c r="N241" s="716"/>
      <c r="O241" s="716"/>
      <c r="P241" s="716">
        <f>Bilans_E_AMS_Kyoto_run3_MTE!T539+Bilans_E_AMS_Kyoto_run3_MTE!U539</f>
        <v>0</v>
      </c>
      <c r="Q241" s="716"/>
      <c r="R241" s="716"/>
      <c r="S241" s="716"/>
      <c r="T241" s="716"/>
      <c r="U241" s="716"/>
      <c r="V241" s="701"/>
      <c r="W241" s="701"/>
    </row>
    <row r="242" spans="1:23" x14ac:dyDescent="0.25">
      <c r="A242" s="701" t="s">
        <v>494</v>
      </c>
      <c r="B242" s="701"/>
      <c r="C242" s="717" t="s">
        <v>67</v>
      </c>
      <c r="D242" s="711">
        <f>Bilans_E_AMS_Kyoto_run3_MTE!H540</f>
        <v>0</v>
      </c>
      <c r="E242" s="711">
        <f>Bilans_E_AMS_Kyoto_run3_MTE!I540</f>
        <v>0</v>
      </c>
      <c r="F242" s="711">
        <f>Bilans_E_AMS_Kyoto_run3_MTE!J540</f>
        <v>0</v>
      </c>
      <c r="G242" s="711">
        <f>Bilans_E_AMS_Kyoto_run3_MTE!K540</f>
        <v>0</v>
      </c>
      <c r="H242" s="711">
        <f>Bilans_E_AMS_Kyoto_run3_MTE!L540</f>
        <v>0</v>
      </c>
      <c r="I242" s="711">
        <f>Bilans_E_AMS_Kyoto_run3_MTE!M540</f>
        <v>0</v>
      </c>
      <c r="J242" s="711">
        <f>Bilans_E_AMS_Kyoto_run3_MTE!N540</f>
        <v>0</v>
      </c>
      <c r="K242" s="711">
        <f>Bilans_E_AMS_Kyoto_run3_MTE!O540</f>
        <v>0</v>
      </c>
      <c r="L242" s="711">
        <f>Bilans_E_AMS_Kyoto_run3_MTE!P540</f>
        <v>0</v>
      </c>
      <c r="M242" s="711">
        <f>Bilans_E_AMS_Kyoto_run3_MTE!Q540</f>
        <v>0</v>
      </c>
      <c r="N242" s="711">
        <f>Bilans_E_AMS_Kyoto_run3_MTE!R540</f>
        <v>0</v>
      </c>
      <c r="O242" s="711">
        <f>Bilans_E_AMS_Kyoto_run3_MTE!S540</f>
        <v>0</v>
      </c>
      <c r="P242" s="711">
        <f>Bilans_E_AMS_Kyoto_run3_MTE!T540+Bilans_E_AMS_Kyoto_run3_MTE!U540</f>
        <v>0</v>
      </c>
      <c r="Q242" s="711">
        <f>Bilans_E_AMS_Kyoto_run3_MTE!V540</f>
        <v>0</v>
      </c>
      <c r="R242" s="711">
        <f>Bilans_E_AMS_Kyoto_run3_MTE!W540</f>
        <v>0</v>
      </c>
      <c r="S242" s="711">
        <f>Bilans_E_AMS_Kyoto_run3_MTE!X540</f>
        <v>0</v>
      </c>
      <c r="T242" s="711">
        <f>Bilans_E_AMS_Kyoto_run3_MTE!Y540</f>
        <v>0</v>
      </c>
      <c r="U242" s="711">
        <f>Bilans_E_AMS_Kyoto_run3_MTE!Z540</f>
        <v>0</v>
      </c>
      <c r="V242" s="701"/>
      <c r="W242" s="701"/>
    </row>
    <row r="243" spans="1:23" x14ac:dyDescent="0.25">
      <c r="A243" s="701" t="s">
        <v>495</v>
      </c>
      <c r="B243" s="701"/>
      <c r="C243" s="717" t="s">
        <v>347</v>
      </c>
      <c r="D243" s="711">
        <f>Bilans_E_AMS_Kyoto_run3_MTE!H541</f>
        <v>0</v>
      </c>
      <c r="E243" s="711">
        <f>Bilans_E_AMS_Kyoto_run3_MTE!I541</f>
        <v>0</v>
      </c>
      <c r="F243" s="711">
        <f>Bilans_E_AMS_Kyoto_run3_MTE!J541</f>
        <v>0</v>
      </c>
      <c r="G243" s="711">
        <f>Bilans_E_AMS_Kyoto_run3_MTE!K541</f>
        <v>0</v>
      </c>
      <c r="H243" s="711">
        <f>Bilans_E_AMS_Kyoto_run3_MTE!L541</f>
        <v>0</v>
      </c>
      <c r="I243" s="711">
        <f>Bilans_E_AMS_Kyoto_run3_MTE!M541</f>
        <v>0</v>
      </c>
      <c r="J243" s="711">
        <f>Bilans_E_AMS_Kyoto_run3_MTE!N541</f>
        <v>797.92981818181818</v>
      </c>
      <c r="K243" s="711">
        <f>Bilans_E_AMS_Kyoto_run3_MTE!O541</f>
        <v>553.99388589395949</v>
      </c>
      <c r="L243" s="711">
        <f>Bilans_E_AMS_Kyoto_run3_MTE!P541</f>
        <v>18.017312138261726</v>
      </c>
      <c r="M243" s="711">
        <f>Bilans_E_AMS_Kyoto_run3_MTE!Q541</f>
        <v>5.0359913785352379</v>
      </c>
      <c r="N243" s="711">
        <f>Bilans_E_AMS_Kyoto_run3_MTE!R541</f>
        <v>6.5561937148871507</v>
      </c>
      <c r="O243" s="711">
        <f>Bilans_E_AMS_Kyoto_run3_MTE!S541</f>
        <v>0.11704136254218823</v>
      </c>
      <c r="P243" s="711">
        <f>Bilans_E_AMS_Kyoto_run3_MTE!T541+Bilans_E_AMS_Kyoto_run3_MTE!U541</f>
        <v>0</v>
      </c>
      <c r="Q243" s="711">
        <f>Bilans_E_AMS_Kyoto_run3_MTE!V541</f>
        <v>6.7631767445353068</v>
      </c>
      <c r="R243" s="711">
        <f>Bilans_E_AMS_Kyoto_run3_MTE!W541</f>
        <v>-834.6881786149205</v>
      </c>
      <c r="S243" s="711">
        <f>Bilans_E_AMS_Kyoto_run3_MTE!X541</f>
        <v>0</v>
      </c>
      <c r="T243" s="711">
        <f>Bilans_E_AMS_Kyoto_run3_MTE!Y541</f>
        <v>0</v>
      </c>
      <c r="U243" s="711">
        <f>Bilans_E_AMS_Kyoto_run3_MTE!Z541</f>
        <v>553.72524079961875</v>
      </c>
      <c r="V243" s="701"/>
      <c r="W243" s="701"/>
    </row>
    <row r="244" spans="1:23" x14ac:dyDescent="0.25">
      <c r="A244" s="701" t="s">
        <v>496</v>
      </c>
      <c r="B244" s="701"/>
      <c r="C244" s="717" t="s">
        <v>348</v>
      </c>
      <c r="D244" s="711">
        <f>Bilans_E_AMS_Kyoto_run3_MTE!H542</f>
        <v>0</v>
      </c>
      <c r="E244" s="711">
        <f>Bilans_E_AMS_Kyoto_run3_MTE!I542</f>
        <v>0</v>
      </c>
      <c r="F244" s="711">
        <f>Bilans_E_AMS_Kyoto_run3_MTE!J542</f>
        <v>0</v>
      </c>
      <c r="G244" s="711">
        <f>Bilans_E_AMS_Kyoto_run3_MTE!K542</f>
        <v>0</v>
      </c>
      <c r="H244" s="711">
        <f>Bilans_E_AMS_Kyoto_run3_MTE!L542</f>
        <v>0</v>
      </c>
      <c r="I244" s="711">
        <f>Bilans_E_AMS_Kyoto_run3_MTE!M542</f>
        <v>0.44183816383617902</v>
      </c>
      <c r="J244" s="711">
        <f>Bilans_E_AMS_Kyoto_run3_MTE!N542</f>
        <v>9.448141153138188</v>
      </c>
      <c r="K244" s="711">
        <f>Bilans_E_AMS_Kyoto_run3_MTE!O542</f>
        <v>0</v>
      </c>
      <c r="L244" s="711">
        <f>Bilans_E_AMS_Kyoto_run3_MTE!P542</f>
        <v>23.543561697387847</v>
      </c>
      <c r="M244" s="711">
        <f>Bilans_E_AMS_Kyoto_run3_MTE!Q542</f>
        <v>10.266401321700496</v>
      </c>
      <c r="N244" s="711">
        <f>Bilans_E_AMS_Kyoto_run3_MTE!R542</f>
        <v>0</v>
      </c>
      <c r="O244" s="711">
        <f>Bilans_E_AMS_Kyoto_run3_MTE!S542</f>
        <v>8.4106289047241454</v>
      </c>
      <c r="P244" s="711">
        <f>Bilans_E_AMS_Kyoto_run3_MTE!T542+Bilans_E_AMS_Kyoto_run3_MTE!U542</f>
        <v>22.572621073808037</v>
      </c>
      <c r="Q244" s="711">
        <f>Bilans_E_AMS_Kyoto_run3_MTE!V542</f>
        <v>12.943396433622139</v>
      </c>
      <c r="R244" s="711">
        <f>Bilans_E_AMS_Kyoto_run3_MTE!W542</f>
        <v>0</v>
      </c>
      <c r="S244" s="711">
        <f>Bilans_E_AMS_Kyoto_run3_MTE!X542</f>
        <v>-82.703064296862223</v>
      </c>
      <c r="T244" s="711">
        <f>Bilans_E_AMS_Kyoto_run3_MTE!Y542</f>
        <v>0</v>
      </c>
      <c r="U244" s="711">
        <f>Bilans_E_AMS_Kyoto_run3_MTE!Z542</f>
        <v>4.9235244513548082</v>
      </c>
      <c r="V244" s="701"/>
      <c r="W244" s="701"/>
    </row>
    <row r="245" spans="1:23" x14ac:dyDescent="0.25">
      <c r="A245" s="701" t="s">
        <v>497</v>
      </c>
      <c r="B245" s="701"/>
      <c r="C245" s="717" t="s">
        <v>349</v>
      </c>
      <c r="D245" s="711">
        <f>Bilans_E_AMS_Kyoto_run3_MTE!H543</f>
        <v>0</v>
      </c>
      <c r="E245" s="711">
        <f>Bilans_E_AMS_Kyoto_run3_MTE!I543</f>
        <v>0</v>
      </c>
      <c r="F245" s="711">
        <f>Bilans_E_AMS_Kyoto_run3_MTE!J543</f>
        <v>0</v>
      </c>
      <c r="G245" s="711">
        <f>Bilans_E_AMS_Kyoto_run3_MTE!K543</f>
        <v>0</v>
      </c>
      <c r="H245" s="711">
        <f>Bilans_E_AMS_Kyoto_run3_MTE!L543</f>
        <v>0</v>
      </c>
      <c r="I245" s="711">
        <f>Bilans_E_AMS_Kyoto_run3_MTE!M543</f>
        <v>0</v>
      </c>
      <c r="J245" s="711">
        <f>Bilans_E_AMS_Kyoto_run3_MTE!N543</f>
        <v>0</v>
      </c>
      <c r="K245" s="711">
        <f>Bilans_E_AMS_Kyoto_run3_MTE!O543</f>
        <v>0</v>
      </c>
      <c r="L245" s="711">
        <f>Bilans_E_AMS_Kyoto_run3_MTE!P543</f>
        <v>177.56965686689</v>
      </c>
      <c r="M245" s="711">
        <f>Bilans_E_AMS_Kyoto_run3_MTE!Q543</f>
        <v>14.007374273227594</v>
      </c>
      <c r="N245" s="711">
        <f>Bilans_E_AMS_Kyoto_run3_MTE!R543</f>
        <v>0</v>
      </c>
      <c r="O245" s="711">
        <f>Bilans_E_AMS_Kyoto_run3_MTE!S543</f>
        <v>-95.874066928158982</v>
      </c>
      <c r="P245" s="711">
        <f>Bilans_E_AMS_Kyoto_run3_MTE!T543+Bilans_E_AMS_Kyoto_run3_MTE!U543</f>
        <v>0</v>
      </c>
      <c r="Q245" s="711">
        <f>Bilans_E_AMS_Kyoto_run3_MTE!V543</f>
        <v>0</v>
      </c>
      <c r="R245" s="711">
        <f>Bilans_E_AMS_Kyoto_run3_MTE!W543</f>
        <v>0</v>
      </c>
      <c r="S245" s="711">
        <f>Bilans_E_AMS_Kyoto_run3_MTE!X543</f>
        <v>0</v>
      </c>
      <c r="T245" s="711">
        <f>Bilans_E_AMS_Kyoto_run3_MTE!Y543</f>
        <v>0</v>
      </c>
      <c r="U245" s="711">
        <f>Bilans_E_AMS_Kyoto_run3_MTE!Z543</f>
        <v>95.702964211958601</v>
      </c>
      <c r="V245" s="701"/>
      <c r="W245" s="701"/>
    </row>
    <row r="246" spans="1:23" x14ac:dyDescent="0.25">
      <c r="A246" s="701" t="s">
        <v>498</v>
      </c>
      <c r="B246" s="701"/>
      <c r="C246" s="717" t="s">
        <v>350</v>
      </c>
      <c r="D246" s="711">
        <f>Bilans_E_AMS_Kyoto_run3_MTE!H544</f>
        <v>0</v>
      </c>
      <c r="E246" s="711">
        <f>Bilans_E_AMS_Kyoto_run3_MTE!I544</f>
        <v>0</v>
      </c>
      <c r="F246" s="711">
        <f>Bilans_E_AMS_Kyoto_run3_MTE!J544</f>
        <v>0</v>
      </c>
      <c r="G246" s="711">
        <f>Bilans_E_AMS_Kyoto_run3_MTE!K544</f>
        <v>0</v>
      </c>
      <c r="H246" s="711">
        <f>Bilans_E_AMS_Kyoto_run3_MTE!L544</f>
        <v>0</v>
      </c>
      <c r="I246" s="711">
        <f>Bilans_E_AMS_Kyoto_run3_MTE!M544</f>
        <v>-7.5120211335666909</v>
      </c>
      <c r="J246" s="711">
        <f>Bilans_E_AMS_Kyoto_run3_MTE!N544</f>
        <v>0</v>
      </c>
      <c r="K246" s="711">
        <f>Bilans_E_AMS_Kyoto_run3_MTE!O544</f>
        <v>0</v>
      </c>
      <c r="L246" s="711">
        <f>Bilans_E_AMS_Kyoto_run3_MTE!P544</f>
        <v>0</v>
      </c>
      <c r="M246" s="711">
        <f>Bilans_E_AMS_Kyoto_run3_MTE!Q544</f>
        <v>0</v>
      </c>
      <c r="N246" s="711">
        <f>Bilans_E_AMS_Kyoto_run3_MTE!R544</f>
        <v>0</v>
      </c>
      <c r="O246" s="711">
        <f>Bilans_E_AMS_Kyoto_run3_MTE!S544</f>
        <v>0</v>
      </c>
      <c r="P246" s="711">
        <f>Bilans_E_AMS_Kyoto_run3_MTE!T544+Bilans_E_AMS_Kyoto_run3_MTE!U544</f>
        <v>0</v>
      </c>
      <c r="Q246" s="711">
        <f>Bilans_E_AMS_Kyoto_run3_MTE!V544</f>
        <v>0</v>
      </c>
      <c r="R246" s="711">
        <f>Bilans_E_AMS_Kyoto_run3_MTE!W544</f>
        <v>0</v>
      </c>
      <c r="S246" s="711">
        <f>Bilans_E_AMS_Kyoto_run3_MTE!X544</f>
        <v>0</v>
      </c>
      <c r="T246" s="711">
        <f>Bilans_E_AMS_Kyoto_run3_MTE!Y544</f>
        <v>10.395912432015363</v>
      </c>
      <c r="U246" s="711">
        <f>Bilans_E_AMS_Kyoto_run3_MTE!Z544</f>
        <v>2.8838912984486722</v>
      </c>
      <c r="V246" s="701"/>
      <c r="W246" s="701"/>
    </row>
    <row r="247" spans="1:23" x14ac:dyDescent="0.25">
      <c r="A247" s="701" t="s">
        <v>499</v>
      </c>
      <c r="B247" s="701"/>
      <c r="C247" s="717" t="s">
        <v>72</v>
      </c>
      <c r="D247" s="711">
        <f>Bilans_E_AMS_Kyoto_run3_MTE!H545</f>
        <v>0</v>
      </c>
      <c r="E247" s="711">
        <f>Bilans_E_AMS_Kyoto_run3_MTE!I545</f>
        <v>60.999648796706254</v>
      </c>
      <c r="F247" s="711">
        <f>Bilans_E_AMS_Kyoto_run3_MTE!J545</f>
        <v>-60.389652308739187</v>
      </c>
      <c r="G247" s="711">
        <f>Bilans_E_AMS_Kyoto_run3_MTE!K545</f>
        <v>0</v>
      </c>
      <c r="H247" s="711">
        <f>Bilans_E_AMS_Kyoto_run3_MTE!L545</f>
        <v>0</v>
      </c>
      <c r="I247" s="711">
        <f>Bilans_E_AMS_Kyoto_run3_MTE!M545</f>
        <v>0</v>
      </c>
      <c r="J247" s="711">
        <f>Bilans_E_AMS_Kyoto_run3_MTE!N545</f>
        <v>0</v>
      </c>
      <c r="K247" s="711">
        <f>Bilans_E_AMS_Kyoto_run3_MTE!O545</f>
        <v>0</v>
      </c>
      <c r="L247" s="711">
        <f>Bilans_E_AMS_Kyoto_run3_MTE!P545</f>
        <v>0</v>
      </c>
      <c r="M247" s="711">
        <f>Bilans_E_AMS_Kyoto_run3_MTE!Q545</f>
        <v>0</v>
      </c>
      <c r="N247" s="711">
        <f>Bilans_E_AMS_Kyoto_run3_MTE!R545</f>
        <v>0</v>
      </c>
      <c r="O247" s="711">
        <f>Bilans_E_AMS_Kyoto_run3_MTE!S545</f>
        <v>0</v>
      </c>
      <c r="P247" s="711">
        <f>Bilans_E_AMS_Kyoto_run3_MTE!T545+Bilans_E_AMS_Kyoto_run3_MTE!U545</f>
        <v>0</v>
      </c>
      <c r="Q247" s="711">
        <f>Bilans_E_AMS_Kyoto_run3_MTE!V545</f>
        <v>0</v>
      </c>
      <c r="R247" s="711">
        <f>Bilans_E_AMS_Kyoto_run3_MTE!W545</f>
        <v>0</v>
      </c>
      <c r="S247" s="711">
        <f>Bilans_E_AMS_Kyoto_run3_MTE!X545</f>
        <v>0</v>
      </c>
      <c r="T247" s="711">
        <f>Bilans_E_AMS_Kyoto_run3_MTE!Y545</f>
        <v>0</v>
      </c>
      <c r="U247" s="711">
        <f>Bilans_E_AMS_Kyoto_run3_MTE!Z545</f>
        <v>0.60999648796706651</v>
      </c>
      <c r="V247" s="701"/>
      <c r="W247" s="701"/>
    </row>
    <row r="248" spans="1:23" x14ac:dyDescent="0.25">
      <c r="A248" s="701" t="s">
        <v>500</v>
      </c>
      <c r="B248" s="701"/>
      <c r="C248" s="717" t="s">
        <v>351</v>
      </c>
      <c r="D248" s="711">
        <f>Bilans_E_AMS_Kyoto_run3_MTE!H546</f>
        <v>0</v>
      </c>
      <c r="E248" s="711">
        <f>Bilans_E_AMS_Kyoto_run3_MTE!I546</f>
        <v>0</v>
      </c>
      <c r="F248" s="711">
        <f>Bilans_E_AMS_Kyoto_run3_MTE!J546</f>
        <v>0</v>
      </c>
      <c r="G248" s="711">
        <f>Bilans_E_AMS_Kyoto_run3_MTE!K546</f>
        <v>0</v>
      </c>
      <c r="H248" s="711">
        <f>Bilans_E_AMS_Kyoto_run3_MTE!L546</f>
        <v>0</v>
      </c>
      <c r="I248" s="711">
        <f>Bilans_E_AMS_Kyoto_run3_MTE!M546</f>
        <v>0</v>
      </c>
      <c r="J248" s="711">
        <f>Bilans_E_AMS_Kyoto_run3_MTE!N546</f>
        <v>0</v>
      </c>
      <c r="K248" s="711">
        <f>Bilans_E_AMS_Kyoto_run3_MTE!O546</f>
        <v>0</v>
      </c>
      <c r="L248" s="711">
        <f>Bilans_E_AMS_Kyoto_run3_MTE!P546</f>
        <v>112.15319289997592</v>
      </c>
      <c r="M248" s="711">
        <f>Bilans_E_AMS_Kyoto_run3_MTE!Q546</f>
        <v>7.2727272727272725</v>
      </c>
      <c r="N248" s="711">
        <f>Bilans_E_AMS_Kyoto_run3_MTE!R546</f>
        <v>-66.38461722515251</v>
      </c>
      <c r="O248" s="711">
        <f>Bilans_E_AMS_Kyoto_run3_MTE!S546</f>
        <v>0</v>
      </c>
      <c r="P248" s="711">
        <f>Bilans_E_AMS_Kyoto_run3_MTE!T546+Bilans_E_AMS_Kyoto_run3_MTE!U546</f>
        <v>0</v>
      </c>
      <c r="Q248" s="711">
        <f>Bilans_E_AMS_Kyoto_run3_MTE!V546</f>
        <v>0</v>
      </c>
      <c r="R248" s="711">
        <f>Bilans_E_AMS_Kyoto_run3_MTE!W546</f>
        <v>0</v>
      </c>
      <c r="S248" s="711">
        <f>Bilans_E_AMS_Kyoto_run3_MTE!X546</f>
        <v>0</v>
      </c>
      <c r="T248" s="711">
        <f>Bilans_E_AMS_Kyoto_run3_MTE!Y546</f>
        <v>0</v>
      </c>
      <c r="U248" s="711">
        <f>Bilans_E_AMS_Kyoto_run3_MTE!Z546</f>
        <v>53.041302947550676</v>
      </c>
      <c r="V248" s="701"/>
      <c r="W248" s="701"/>
    </row>
    <row r="249" spans="1:23" x14ac:dyDescent="0.25">
      <c r="A249" s="701" t="s">
        <v>501</v>
      </c>
      <c r="B249" s="701"/>
      <c r="C249" s="717" t="s">
        <v>352</v>
      </c>
      <c r="D249" s="711">
        <f>Bilans_E_AMS_Kyoto_run3_MTE!H547</f>
        <v>0</v>
      </c>
      <c r="E249" s="711">
        <f>Bilans_E_AMS_Kyoto_run3_MTE!I547</f>
        <v>0</v>
      </c>
      <c r="F249" s="711">
        <f>Bilans_E_AMS_Kyoto_run3_MTE!J547</f>
        <v>0</v>
      </c>
      <c r="G249" s="711">
        <f>Bilans_E_AMS_Kyoto_run3_MTE!K547</f>
        <v>-24.740126403603515</v>
      </c>
      <c r="H249" s="711">
        <f>Bilans_E_AMS_Kyoto_run3_MTE!L547</f>
        <v>0</v>
      </c>
      <c r="I249" s="711">
        <f>Bilans_E_AMS_Kyoto_run3_MTE!M547</f>
        <v>0</v>
      </c>
      <c r="J249" s="711">
        <f>Bilans_E_AMS_Kyoto_run3_MTE!N547</f>
        <v>0</v>
      </c>
      <c r="K249" s="711">
        <f>Bilans_E_AMS_Kyoto_run3_MTE!O547</f>
        <v>0</v>
      </c>
      <c r="L249" s="711">
        <f>Bilans_E_AMS_Kyoto_run3_MTE!P547</f>
        <v>0</v>
      </c>
      <c r="M249" s="711">
        <f>Bilans_E_AMS_Kyoto_run3_MTE!Q547</f>
        <v>0</v>
      </c>
      <c r="N249" s="711">
        <f>Bilans_E_AMS_Kyoto_run3_MTE!R547</f>
        <v>0</v>
      </c>
      <c r="O249" s="711">
        <f>Bilans_E_AMS_Kyoto_run3_MTE!S547</f>
        <v>0</v>
      </c>
      <c r="P249" s="711">
        <f>Bilans_E_AMS_Kyoto_run3_MTE!T547+Bilans_E_AMS_Kyoto_run3_MTE!U547</f>
        <v>0</v>
      </c>
      <c r="Q249" s="711">
        <f>Bilans_E_AMS_Kyoto_run3_MTE!V547</f>
        <v>0</v>
      </c>
      <c r="R249" s="711">
        <f>Bilans_E_AMS_Kyoto_run3_MTE!W547</f>
        <v>0</v>
      </c>
      <c r="S249" s="711">
        <f>Bilans_E_AMS_Kyoto_run3_MTE!X547</f>
        <v>0</v>
      </c>
      <c r="T249" s="711">
        <f>Bilans_E_AMS_Kyoto_run3_MTE!Y547</f>
        <v>41.692889043963866</v>
      </c>
      <c r="U249" s="711">
        <f>Bilans_E_AMS_Kyoto_run3_MTE!Z547</f>
        <v>16.952762640360351</v>
      </c>
      <c r="V249" s="701"/>
      <c r="W249" s="701"/>
    </row>
    <row r="250" spans="1:23" x14ac:dyDescent="0.25">
      <c r="A250" s="701" t="s">
        <v>502</v>
      </c>
      <c r="B250" s="701"/>
      <c r="C250" s="717" t="s">
        <v>73</v>
      </c>
      <c r="D250" s="711">
        <f>Bilans_E_AMS_Kyoto_run3_MTE!H548</f>
        <v>0</v>
      </c>
      <c r="E250" s="711">
        <f>Bilans_E_AMS_Kyoto_run3_MTE!I548</f>
        <v>0</v>
      </c>
      <c r="F250" s="711">
        <f>Bilans_E_AMS_Kyoto_run3_MTE!J548</f>
        <v>0</v>
      </c>
      <c r="G250" s="711">
        <f>Bilans_E_AMS_Kyoto_run3_MTE!K548</f>
        <v>0</v>
      </c>
      <c r="H250" s="711">
        <f>Bilans_E_AMS_Kyoto_run3_MTE!L548</f>
        <v>0</v>
      </c>
      <c r="I250" s="711">
        <f>Bilans_E_AMS_Kyoto_run3_MTE!M548</f>
        <v>0</v>
      </c>
      <c r="J250" s="711">
        <f>Bilans_E_AMS_Kyoto_run3_MTE!N548</f>
        <v>0</v>
      </c>
      <c r="K250" s="711">
        <f>Bilans_E_AMS_Kyoto_run3_MTE!O548</f>
        <v>0</v>
      </c>
      <c r="L250" s="711">
        <f>Bilans_E_AMS_Kyoto_run3_MTE!P548</f>
        <v>0</v>
      </c>
      <c r="M250" s="711">
        <f>Bilans_E_AMS_Kyoto_run3_MTE!Q548</f>
        <v>0</v>
      </c>
      <c r="N250" s="711">
        <f>Bilans_E_AMS_Kyoto_run3_MTE!R548</f>
        <v>0</v>
      </c>
      <c r="O250" s="711">
        <f>Bilans_E_AMS_Kyoto_run3_MTE!S548</f>
        <v>0</v>
      </c>
      <c r="P250" s="711">
        <f>Bilans_E_AMS_Kyoto_run3_MTE!T548+Bilans_E_AMS_Kyoto_run3_MTE!U548</f>
        <v>0</v>
      </c>
      <c r="Q250" s="711">
        <f>Bilans_E_AMS_Kyoto_run3_MTE!V548</f>
        <v>0</v>
      </c>
      <c r="R250" s="711">
        <f>Bilans_E_AMS_Kyoto_run3_MTE!W548</f>
        <v>127.55076516290167</v>
      </c>
      <c r="S250" s="711">
        <f>Bilans_E_AMS_Kyoto_run3_MTE!X548</f>
        <v>0</v>
      </c>
      <c r="T250" s="711">
        <f>Bilans_E_AMS_Kyoto_run3_MTE!Y548</f>
        <v>-91.836550917289202</v>
      </c>
      <c r="U250" s="711">
        <f>Bilans_E_AMS_Kyoto_run3_MTE!Z548</f>
        <v>35.714214245612467</v>
      </c>
      <c r="V250" s="701"/>
      <c r="W250" s="701"/>
    </row>
    <row r="251" spans="1:23" x14ac:dyDescent="0.25">
      <c r="A251" s="701" t="s">
        <v>503</v>
      </c>
      <c r="B251" s="701"/>
      <c r="C251" s="717" t="s">
        <v>353</v>
      </c>
      <c r="D251" s="711">
        <f>Bilans_E_AMS_Kyoto_run3_MTE!H549</f>
        <v>0</v>
      </c>
      <c r="E251" s="711">
        <f>Bilans_E_AMS_Kyoto_run3_MTE!I549</f>
        <v>-2.1359970584069448</v>
      </c>
      <c r="F251" s="711">
        <f>Bilans_E_AMS_Kyoto_run3_MTE!J549</f>
        <v>2.9254988687511099</v>
      </c>
      <c r="G251" s="711">
        <f>Bilans_E_AMS_Kyoto_run3_MTE!K549</f>
        <v>0</v>
      </c>
      <c r="H251" s="711">
        <f>Bilans_E_AMS_Kyoto_run3_MTE!L549</f>
        <v>0</v>
      </c>
      <c r="I251" s="711">
        <f>Bilans_E_AMS_Kyoto_run3_MTE!M549</f>
        <v>0</v>
      </c>
      <c r="J251" s="711">
        <f>Bilans_E_AMS_Kyoto_run3_MTE!N549</f>
        <v>0</v>
      </c>
      <c r="K251" s="711">
        <f>Bilans_E_AMS_Kyoto_run3_MTE!O549</f>
        <v>0</v>
      </c>
      <c r="L251" s="711">
        <f>Bilans_E_AMS_Kyoto_run3_MTE!P549</f>
        <v>0</v>
      </c>
      <c r="M251" s="711">
        <f>Bilans_E_AMS_Kyoto_run3_MTE!Q549</f>
        <v>0</v>
      </c>
      <c r="N251" s="711">
        <f>Bilans_E_AMS_Kyoto_run3_MTE!R549</f>
        <v>0</v>
      </c>
      <c r="O251" s="711">
        <f>Bilans_E_AMS_Kyoto_run3_MTE!S549</f>
        <v>0</v>
      </c>
      <c r="P251" s="711">
        <f>Bilans_E_AMS_Kyoto_run3_MTE!T549+Bilans_E_AMS_Kyoto_run3_MTE!U549</f>
        <v>0</v>
      </c>
      <c r="Q251" s="711">
        <f>Bilans_E_AMS_Kyoto_run3_MTE!V549</f>
        <v>0</v>
      </c>
      <c r="R251" s="711">
        <f>Bilans_E_AMS_Kyoto_run3_MTE!W549</f>
        <v>0</v>
      </c>
      <c r="S251" s="711">
        <f>Bilans_E_AMS_Kyoto_run3_MTE!X549</f>
        <v>0</v>
      </c>
      <c r="T251" s="711">
        <f>Bilans_E_AMS_Kyoto_run3_MTE!Y549</f>
        <v>0</v>
      </c>
      <c r="U251" s="711">
        <f>Bilans_E_AMS_Kyoto_run3_MTE!Z549</f>
        <v>0.78950181034416511</v>
      </c>
      <c r="V251" s="701"/>
      <c r="W251" s="701"/>
    </row>
    <row r="252" spans="1:23" x14ac:dyDescent="0.25">
      <c r="A252" s="701" t="s">
        <v>504</v>
      </c>
      <c r="B252" s="701"/>
      <c r="C252" s="717" t="s">
        <v>75</v>
      </c>
      <c r="D252" s="711">
        <f>Bilans_E_AMS_Kyoto_run3_MTE!H550</f>
        <v>0</v>
      </c>
      <c r="E252" s="711">
        <f>Bilans_E_AMS_Kyoto_run3_MTE!I550</f>
        <v>0</v>
      </c>
      <c r="F252" s="711">
        <f>Bilans_E_AMS_Kyoto_run3_MTE!J550</f>
        <v>2.205240968493043</v>
      </c>
      <c r="G252" s="711">
        <f>Bilans_E_AMS_Kyoto_run3_MTE!K550</f>
        <v>0</v>
      </c>
      <c r="H252" s="711">
        <f>Bilans_E_AMS_Kyoto_run3_MTE!L550</f>
        <v>0</v>
      </c>
      <c r="I252" s="711">
        <f>Bilans_E_AMS_Kyoto_run3_MTE!M550</f>
        <v>0</v>
      </c>
      <c r="J252" s="711">
        <f>Bilans_E_AMS_Kyoto_run3_MTE!N550</f>
        <v>0</v>
      </c>
      <c r="K252" s="711">
        <f>Bilans_E_AMS_Kyoto_run3_MTE!O550</f>
        <v>0</v>
      </c>
      <c r="L252" s="711">
        <f>Bilans_E_AMS_Kyoto_run3_MTE!P550</f>
        <v>0</v>
      </c>
      <c r="M252" s="711">
        <f>Bilans_E_AMS_Kyoto_run3_MTE!Q550</f>
        <v>0</v>
      </c>
      <c r="N252" s="711">
        <f>Bilans_E_AMS_Kyoto_run3_MTE!R550</f>
        <v>0</v>
      </c>
      <c r="O252" s="711">
        <f>Bilans_E_AMS_Kyoto_run3_MTE!S550</f>
        <v>0</v>
      </c>
      <c r="P252" s="711">
        <f>Bilans_E_AMS_Kyoto_run3_MTE!T550+Bilans_E_AMS_Kyoto_run3_MTE!U550</f>
        <v>0</v>
      </c>
      <c r="Q252" s="711">
        <f>Bilans_E_AMS_Kyoto_run3_MTE!V550</f>
        <v>0</v>
      </c>
      <c r="R252" s="711">
        <f>Bilans_E_AMS_Kyoto_run3_MTE!W550</f>
        <v>37.68086569149628</v>
      </c>
      <c r="S252" s="711">
        <f>Bilans_E_AMS_Kyoto_run3_MTE!X550</f>
        <v>0</v>
      </c>
      <c r="T252" s="711">
        <f>Bilans_E_AMS_Kyoto_run3_MTE!Y550</f>
        <v>0.6</v>
      </c>
      <c r="U252" s="711">
        <f>Bilans_E_AMS_Kyoto_run3_MTE!Z550</f>
        <v>40.486106659989325</v>
      </c>
      <c r="V252" s="701"/>
      <c r="W252" s="701"/>
    </row>
    <row r="253" spans="1:23" x14ac:dyDescent="0.25">
      <c r="A253" s="701" t="s">
        <v>505</v>
      </c>
      <c r="B253" s="701"/>
      <c r="C253" s="717" t="s">
        <v>76</v>
      </c>
      <c r="D253" s="711">
        <f>Bilans_E_AMS_Kyoto_run3_MTE!H551</f>
        <v>0</v>
      </c>
      <c r="E253" s="711">
        <f>Bilans_E_AMS_Kyoto_run3_MTE!I551</f>
        <v>0</v>
      </c>
      <c r="F253" s="711">
        <f>Bilans_E_AMS_Kyoto_run3_MTE!J551</f>
        <v>0</v>
      </c>
      <c r="G253" s="711">
        <f>Bilans_E_AMS_Kyoto_run3_MTE!K551</f>
        <v>0</v>
      </c>
      <c r="H253" s="711">
        <f>Bilans_E_AMS_Kyoto_run3_MTE!L551</f>
        <v>0</v>
      </c>
      <c r="I253" s="711">
        <f>Bilans_E_AMS_Kyoto_run3_MTE!M551</f>
        <v>5.5842625256480344E-2</v>
      </c>
      <c r="J253" s="711">
        <f>Bilans_E_AMS_Kyoto_run3_MTE!N551</f>
        <v>0</v>
      </c>
      <c r="K253" s="711">
        <f>Bilans_E_AMS_Kyoto_run3_MTE!O551</f>
        <v>0</v>
      </c>
      <c r="L253" s="711">
        <f>Bilans_E_AMS_Kyoto_run3_MTE!P551</f>
        <v>0</v>
      </c>
      <c r="M253" s="711">
        <f>Bilans_E_AMS_Kyoto_run3_MTE!Q551</f>
        <v>0</v>
      </c>
      <c r="N253" s="711">
        <f>Bilans_E_AMS_Kyoto_run3_MTE!R551</f>
        <v>0</v>
      </c>
      <c r="O253" s="711">
        <f>Bilans_E_AMS_Kyoto_run3_MTE!S551</f>
        <v>1.0610098798731264</v>
      </c>
      <c r="P253" s="711">
        <f>Bilans_E_AMS_Kyoto_run3_MTE!T551+Bilans_E_AMS_Kyoto_run3_MTE!U551</f>
        <v>0</v>
      </c>
      <c r="Q253" s="711">
        <f>Bilans_E_AMS_Kyoto_run3_MTE!V551</f>
        <v>0</v>
      </c>
      <c r="R253" s="711">
        <f>Bilans_E_AMS_Kyoto_run3_MTE!W551</f>
        <v>65.840203439882671</v>
      </c>
      <c r="S253" s="711">
        <f>Bilans_E_AMS_Kyoto_run3_MTE!X551</f>
        <v>6.4136709376113741</v>
      </c>
      <c r="T253" s="711">
        <f>Bilans_E_AMS_Kyoto_run3_MTE!Y551</f>
        <v>0</v>
      </c>
      <c r="U253" s="711">
        <f>Bilans_E_AMS_Kyoto_run3_MTE!Z551</f>
        <v>73.370726882623643</v>
      </c>
      <c r="V253" s="701"/>
      <c r="W253" s="701"/>
    </row>
    <row r="254" spans="1:23" x14ac:dyDescent="0.25">
      <c r="A254" s="701" t="s">
        <v>506</v>
      </c>
      <c r="B254" s="701"/>
      <c r="C254" s="713" t="s">
        <v>77</v>
      </c>
      <c r="D254" s="714">
        <f>Bilans_E_AMS_Kyoto_run3_MTE!H552</f>
        <v>0</v>
      </c>
      <c r="E254" s="714">
        <f>Bilans_E_AMS_Kyoto_run3_MTE!I552</f>
        <v>58.863651738299311</v>
      </c>
      <c r="F254" s="714">
        <f>Bilans_E_AMS_Kyoto_run3_MTE!J552</f>
        <v>-55.25891247149503</v>
      </c>
      <c r="G254" s="714">
        <f>Bilans_E_AMS_Kyoto_run3_MTE!K552</f>
        <v>-24.740126403603515</v>
      </c>
      <c r="H254" s="714">
        <f>Bilans_E_AMS_Kyoto_run3_MTE!L552</f>
        <v>0</v>
      </c>
      <c r="I254" s="714">
        <f>Bilans_E_AMS_Kyoto_run3_MTE!M552</f>
        <v>-7.0143403444740313</v>
      </c>
      <c r="J254" s="714">
        <f>Bilans_E_AMS_Kyoto_run3_MTE!N552</f>
        <v>807.37795933495636</v>
      </c>
      <c r="K254" s="714">
        <f>Bilans_E_AMS_Kyoto_run3_MTE!O552</f>
        <v>553.99388589395949</v>
      </c>
      <c r="L254" s="714">
        <f>Bilans_E_AMS_Kyoto_run3_MTE!P552</f>
        <v>331.28372360251547</v>
      </c>
      <c r="M254" s="714">
        <f>Bilans_E_AMS_Kyoto_run3_MTE!Q552</f>
        <v>36.582494246190599</v>
      </c>
      <c r="N254" s="714">
        <f>Bilans_E_AMS_Kyoto_run3_MTE!R552</f>
        <v>-59.82842351026536</v>
      </c>
      <c r="O254" s="714">
        <f>Bilans_E_AMS_Kyoto_run3_MTE!S552</f>
        <v>-86.285386781019525</v>
      </c>
      <c r="P254" s="714">
        <f>Bilans_E_AMS_Kyoto_run3_MTE!T552+Bilans_E_AMS_Kyoto_run3_MTE!U552</f>
        <v>22.572621073808037</v>
      </c>
      <c r="Q254" s="714">
        <f>Bilans_E_AMS_Kyoto_run3_MTE!V552</f>
        <v>19.706573178157445</v>
      </c>
      <c r="R254" s="714">
        <f>Bilans_E_AMS_Kyoto_run3_MTE!W552</f>
        <v>-603.61634432063988</v>
      </c>
      <c r="S254" s="714">
        <f>Bilans_E_AMS_Kyoto_run3_MTE!X552</f>
        <v>-76.289393359250852</v>
      </c>
      <c r="T254" s="714">
        <f>Bilans_E_AMS_Kyoto_run3_MTE!Y552</f>
        <v>-39.147749441309969</v>
      </c>
      <c r="U254" s="714">
        <f>Bilans_E_AMS_Kyoto_run3_MTE!Z552</f>
        <v>878.20023243582853</v>
      </c>
      <c r="V254" s="701"/>
      <c r="W254" s="701"/>
    </row>
    <row r="255" spans="1:23" x14ac:dyDescent="0.25">
      <c r="A255" s="701"/>
      <c r="B255" s="701"/>
      <c r="C255" s="715"/>
      <c r="D255" s="716"/>
      <c r="E255" s="716"/>
      <c r="F255" s="716"/>
      <c r="G255" s="716"/>
      <c r="H255" s="716"/>
      <c r="I255" s="716"/>
      <c r="J255" s="716"/>
      <c r="K255" s="716"/>
      <c r="L255" s="716"/>
      <c r="M255" s="716"/>
      <c r="N255" s="716"/>
      <c r="O255" s="716"/>
      <c r="P255" s="716">
        <f>Bilans_E_AMS_Kyoto_run3_MTE!T553+Bilans_E_AMS_Kyoto_run3_MTE!U553</f>
        <v>0</v>
      </c>
      <c r="Q255" s="716"/>
      <c r="R255" s="716"/>
      <c r="S255" s="716"/>
      <c r="T255" s="716"/>
      <c r="U255" s="716"/>
      <c r="V255" s="701"/>
      <c r="W255" s="701"/>
    </row>
    <row r="256" spans="1:23" x14ac:dyDescent="0.25">
      <c r="A256" s="701" t="s">
        <v>507</v>
      </c>
      <c r="B256" s="701"/>
      <c r="C256" s="717" t="s">
        <v>78</v>
      </c>
      <c r="D256" s="711">
        <f>Bilans_E_AMS_Kyoto_run3_MTE!H554</f>
        <v>0</v>
      </c>
      <c r="E256" s="711">
        <f>Bilans_E_AMS_Kyoto_run3_MTE!I554</f>
        <v>0</v>
      </c>
      <c r="F256" s="711">
        <f>Bilans_E_AMS_Kyoto_run3_MTE!J554</f>
        <v>0</v>
      </c>
      <c r="G256" s="711">
        <f>Bilans_E_AMS_Kyoto_run3_MTE!K554</f>
        <v>0</v>
      </c>
      <c r="H256" s="711">
        <f>Bilans_E_AMS_Kyoto_run3_MTE!L554</f>
        <v>0</v>
      </c>
      <c r="I256" s="711">
        <f>Bilans_E_AMS_Kyoto_run3_MTE!M554</f>
        <v>1.991498553291184</v>
      </c>
      <c r="J256" s="711">
        <f>Bilans_E_AMS_Kyoto_run3_MTE!N554</f>
        <v>0</v>
      </c>
      <c r="K256" s="711">
        <f>Bilans_E_AMS_Kyoto_run3_MTE!O554</f>
        <v>0</v>
      </c>
      <c r="L256" s="711">
        <f>Bilans_E_AMS_Kyoto_run3_MTE!P554</f>
        <v>33.03282021908791</v>
      </c>
      <c r="M256" s="711">
        <f>Bilans_E_AMS_Kyoto_run3_MTE!Q554</f>
        <v>7.3058555419217219</v>
      </c>
      <c r="N256" s="711">
        <f>Bilans_E_AMS_Kyoto_run3_MTE!R554</f>
        <v>0</v>
      </c>
      <c r="O256" s="711">
        <f>Bilans_E_AMS_Kyoto_run3_MTE!S554</f>
        <v>37.880603328687286</v>
      </c>
      <c r="P256" s="711">
        <f>Bilans_E_AMS_Kyoto_run3_MTE!T554+Bilans_E_AMS_Kyoto_run3_MTE!U554</f>
        <v>15.325538085937501</v>
      </c>
      <c r="Q256" s="711">
        <f>Bilans_E_AMS_Kyoto_run3_MTE!V554</f>
        <v>8.5890570413253253E-4</v>
      </c>
      <c r="R256" s="711">
        <f>Bilans_E_AMS_Kyoto_run3_MTE!W554</f>
        <v>160.49759404222942</v>
      </c>
      <c r="S256" s="711">
        <f>Bilans_E_AMS_Kyoto_run3_MTE!X554</f>
        <v>19.118062217384278</v>
      </c>
      <c r="T256" s="711">
        <f>Bilans_E_AMS_Kyoto_run3_MTE!Y554</f>
        <v>15.6045791015625</v>
      </c>
      <c r="U256" s="711">
        <f>Bilans_E_AMS_Kyoto_run3_MTE!Z554</f>
        <v>290.75740999580586</v>
      </c>
      <c r="V256" s="701"/>
      <c r="W256" s="701"/>
    </row>
    <row r="257" spans="1:23" x14ac:dyDescent="0.25">
      <c r="A257" s="701" t="s">
        <v>508</v>
      </c>
      <c r="B257" s="701"/>
      <c r="C257" s="717" t="s">
        <v>79</v>
      </c>
      <c r="D257" s="711">
        <f>Bilans_E_AMS_Kyoto_run3_MTE!H555</f>
        <v>0</v>
      </c>
      <c r="E257" s="711">
        <f>Bilans_E_AMS_Kyoto_run3_MTE!I555</f>
        <v>0</v>
      </c>
      <c r="F257" s="711">
        <f>Bilans_E_AMS_Kyoto_run3_MTE!J555</f>
        <v>2.5646039905747262</v>
      </c>
      <c r="G257" s="711">
        <f>Bilans_E_AMS_Kyoto_run3_MTE!K555</f>
        <v>4.5999999999999996</v>
      </c>
      <c r="H257" s="711">
        <f>Bilans_E_AMS_Kyoto_run3_MTE!L555</f>
        <v>0</v>
      </c>
      <c r="I257" s="711">
        <f>Bilans_E_AMS_Kyoto_run3_MTE!M555</f>
        <v>0.37685077792540578</v>
      </c>
      <c r="J257" s="711">
        <f>Bilans_E_AMS_Kyoto_run3_MTE!N555</f>
        <v>0</v>
      </c>
      <c r="K257" s="711">
        <f>Bilans_E_AMS_Kyoto_run3_MTE!O555</f>
        <v>0</v>
      </c>
      <c r="L257" s="711">
        <f>Bilans_E_AMS_Kyoto_run3_MTE!P555</f>
        <v>0</v>
      </c>
      <c r="M257" s="711">
        <f>Bilans_E_AMS_Kyoto_run3_MTE!Q555</f>
        <v>0</v>
      </c>
      <c r="N257" s="711">
        <f>Bilans_E_AMS_Kyoto_run3_MTE!R555</f>
        <v>17.296930013474249</v>
      </c>
      <c r="O257" s="711">
        <f>Bilans_E_AMS_Kyoto_run3_MTE!S555</f>
        <v>7.1601647805827087</v>
      </c>
      <c r="P257" s="711">
        <f>Bilans_E_AMS_Kyoto_run3_MTE!T555+Bilans_E_AMS_Kyoto_run3_MTE!U555</f>
        <v>0</v>
      </c>
      <c r="Q257" s="711">
        <f>Bilans_E_AMS_Kyoto_run3_MTE!V555</f>
        <v>0</v>
      </c>
      <c r="R257" s="711">
        <f>Bilans_E_AMS_Kyoto_run3_MTE!W555</f>
        <v>129.21827578196925</v>
      </c>
      <c r="S257" s="711">
        <f>Bilans_E_AMS_Kyoto_run3_MTE!X555</f>
        <v>0</v>
      </c>
      <c r="T257" s="711">
        <f>Bilans_E_AMS_Kyoto_run3_MTE!Y555</f>
        <v>6.9357151187722215</v>
      </c>
      <c r="U257" s="711">
        <f>Bilans_E_AMS_Kyoto_run3_MTE!Z555</f>
        <v>168.15254046329855</v>
      </c>
      <c r="V257" s="701"/>
      <c r="W257" s="701"/>
    </row>
    <row r="258" spans="1:23" x14ac:dyDescent="0.25">
      <c r="A258" s="701" t="s">
        <v>509</v>
      </c>
      <c r="B258" s="701"/>
      <c r="C258" s="717" t="s">
        <v>80</v>
      </c>
      <c r="D258" s="711">
        <f>Bilans_E_AMS_Kyoto_run3_MTE!H556</f>
        <v>0</v>
      </c>
      <c r="E258" s="711">
        <f>Bilans_E_AMS_Kyoto_run3_MTE!I556</f>
        <v>0</v>
      </c>
      <c r="F258" s="711">
        <f>Bilans_E_AMS_Kyoto_run3_MTE!J556</f>
        <v>1.33686813190731E-2</v>
      </c>
      <c r="G258" s="711">
        <f>Bilans_E_AMS_Kyoto_run3_MTE!K556</f>
        <v>0</v>
      </c>
      <c r="H258" s="711">
        <f>Bilans_E_AMS_Kyoto_run3_MTE!L556</f>
        <v>0</v>
      </c>
      <c r="I258" s="711">
        <f>Bilans_E_AMS_Kyoto_run3_MTE!M556</f>
        <v>1.363415994018579</v>
      </c>
      <c r="J258" s="711">
        <f>Bilans_E_AMS_Kyoto_run3_MTE!N556</f>
        <v>0</v>
      </c>
      <c r="K258" s="711">
        <f>Bilans_E_AMS_Kyoto_run3_MTE!O556</f>
        <v>0</v>
      </c>
      <c r="L258" s="711">
        <f>Bilans_E_AMS_Kyoto_run3_MTE!P556</f>
        <v>38.670548162755892</v>
      </c>
      <c r="M258" s="711">
        <f>Bilans_E_AMS_Kyoto_run3_MTE!Q556</f>
        <v>0</v>
      </c>
      <c r="N258" s="711">
        <f>Bilans_E_AMS_Kyoto_run3_MTE!R556</f>
        <v>0</v>
      </c>
      <c r="O258" s="711">
        <f>Bilans_E_AMS_Kyoto_run3_MTE!S556</f>
        <v>25.904903886352997</v>
      </c>
      <c r="P258" s="711">
        <f>Bilans_E_AMS_Kyoto_run3_MTE!T556+Bilans_E_AMS_Kyoto_run3_MTE!U556</f>
        <v>170.26801174847219</v>
      </c>
      <c r="Q258" s="711">
        <f>Bilans_E_AMS_Kyoto_run3_MTE!V556</f>
        <v>14.856183742724458</v>
      </c>
      <c r="R258" s="711">
        <f>Bilans_E_AMS_Kyoto_run3_MTE!W556</f>
        <v>135.77624988749807</v>
      </c>
      <c r="S258" s="711">
        <f>Bilans_E_AMS_Kyoto_run3_MTE!X556</f>
        <v>35.160977387086433</v>
      </c>
      <c r="T258" s="711">
        <f>Bilans_E_AMS_Kyoto_run3_MTE!Y556</f>
        <v>0</v>
      </c>
      <c r="U258" s="711">
        <f>Bilans_E_AMS_Kyoto_run3_MTE!Z556</f>
        <v>422.01365949022772</v>
      </c>
      <c r="V258" s="701"/>
      <c r="W258" s="701"/>
    </row>
    <row r="259" spans="1:23" x14ac:dyDescent="0.25">
      <c r="A259" s="701" t="s">
        <v>510</v>
      </c>
      <c r="B259" s="701"/>
      <c r="C259" s="717" t="s">
        <v>81</v>
      </c>
      <c r="D259" s="711">
        <f>Bilans_E_AMS_Kyoto_run3_MTE!H557</f>
        <v>0</v>
      </c>
      <c r="E259" s="711">
        <f>Bilans_E_AMS_Kyoto_run3_MTE!I557</f>
        <v>0</v>
      </c>
      <c r="F259" s="711">
        <f>Bilans_E_AMS_Kyoto_run3_MTE!J557</f>
        <v>5.9571518115922428E-2</v>
      </c>
      <c r="G259" s="711">
        <f>Bilans_E_AMS_Kyoto_run3_MTE!K557</f>
        <v>0</v>
      </c>
      <c r="H259" s="711">
        <f>Bilans_E_AMS_Kyoto_run3_MTE!L557</f>
        <v>0</v>
      </c>
      <c r="I259" s="711">
        <f>Bilans_E_AMS_Kyoto_run3_MTE!M557</f>
        <v>0.44038098063120357</v>
      </c>
      <c r="J259" s="711">
        <f>Bilans_E_AMS_Kyoto_run3_MTE!N557</f>
        <v>0</v>
      </c>
      <c r="K259" s="711">
        <f>Bilans_E_AMS_Kyoto_run3_MTE!O557</f>
        <v>0</v>
      </c>
      <c r="L259" s="711">
        <f>Bilans_E_AMS_Kyoto_run3_MTE!P557</f>
        <v>0.43608334641640845</v>
      </c>
      <c r="M259" s="711">
        <f>Bilans_E_AMS_Kyoto_run3_MTE!Q557</f>
        <v>0</v>
      </c>
      <c r="N259" s="711">
        <f>Bilans_E_AMS_Kyoto_run3_MTE!R557</f>
        <v>0</v>
      </c>
      <c r="O259" s="711">
        <f>Bilans_E_AMS_Kyoto_run3_MTE!S557</f>
        <v>8.3672386319928673</v>
      </c>
      <c r="P259" s="711">
        <f>Bilans_E_AMS_Kyoto_run3_MTE!T557+Bilans_E_AMS_Kyoto_run3_MTE!U557</f>
        <v>64.752372842201794</v>
      </c>
      <c r="Q259" s="711">
        <f>Bilans_E_AMS_Kyoto_run3_MTE!V557</f>
        <v>13.972057854326216</v>
      </c>
      <c r="R259" s="711">
        <f>Bilans_E_AMS_Kyoto_run3_MTE!W557</f>
        <v>123.17781879034489</v>
      </c>
      <c r="S259" s="711">
        <f>Bilans_E_AMS_Kyoto_run3_MTE!X557</f>
        <v>22.010319853686262</v>
      </c>
      <c r="T259" s="711">
        <f>Bilans_E_AMS_Kyoto_run3_MTE!Y557</f>
        <v>0</v>
      </c>
      <c r="U259" s="711">
        <f>Bilans_E_AMS_Kyoto_run3_MTE!Z557</f>
        <v>233.21584381771555</v>
      </c>
      <c r="V259" s="701"/>
      <c r="W259" s="701"/>
    </row>
    <row r="260" spans="1:23" x14ac:dyDescent="0.25">
      <c r="A260" s="701" t="s">
        <v>511</v>
      </c>
      <c r="B260" s="701"/>
      <c r="C260" s="717" t="s">
        <v>82</v>
      </c>
      <c r="D260" s="711">
        <f>Bilans_E_AMS_Kyoto_run3_MTE!H558</f>
        <v>0</v>
      </c>
      <c r="E260" s="711">
        <f>Bilans_E_AMS_Kyoto_run3_MTE!I558</f>
        <v>0</v>
      </c>
      <c r="F260" s="711">
        <f>Bilans_E_AMS_Kyoto_run3_MTE!J558</f>
        <v>0</v>
      </c>
      <c r="G260" s="711">
        <f>Bilans_E_AMS_Kyoto_run3_MTE!K558</f>
        <v>0</v>
      </c>
      <c r="H260" s="711">
        <f>Bilans_E_AMS_Kyoto_run3_MTE!L558</f>
        <v>0</v>
      </c>
      <c r="I260" s="711">
        <f>Bilans_E_AMS_Kyoto_run3_MTE!M558</f>
        <v>3.936904267080979E-2</v>
      </c>
      <c r="J260" s="711">
        <f>Bilans_E_AMS_Kyoto_run3_MTE!N558</f>
        <v>0</v>
      </c>
      <c r="K260" s="711">
        <f>Bilans_E_AMS_Kyoto_run3_MTE!O558</f>
        <v>0</v>
      </c>
      <c r="L260" s="711">
        <f>Bilans_E_AMS_Kyoto_run3_MTE!P558</f>
        <v>20.041612409357288</v>
      </c>
      <c r="M260" s="711">
        <f>Bilans_E_AMS_Kyoto_run3_MTE!Q558</f>
        <v>0</v>
      </c>
      <c r="N260" s="711">
        <f>Bilans_E_AMS_Kyoto_run3_MTE!R558</f>
        <v>6.8596219696114309</v>
      </c>
      <c r="O260" s="711">
        <f>Bilans_E_AMS_Kyoto_run3_MTE!S558</f>
        <v>0.74801181074538581</v>
      </c>
      <c r="P260" s="711">
        <f>Bilans_E_AMS_Kyoto_run3_MTE!T558+Bilans_E_AMS_Kyoto_run3_MTE!U558</f>
        <v>1.5</v>
      </c>
      <c r="Q260" s="711">
        <f>Bilans_E_AMS_Kyoto_run3_MTE!V558</f>
        <v>2.1874070050904897</v>
      </c>
      <c r="R260" s="711">
        <f>Bilans_E_AMS_Kyoto_run3_MTE!W558</f>
        <v>11.227117591013034</v>
      </c>
      <c r="S260" s="711">
        <f>Bilans_E_AMS_Kyoto_run3_MTE!X558</f>
        <v>0</v>
      </c>
      <c r="T260" s="711">
        <f>Bilans_E_AMS_Kyoto_run3_MTE!Y558</f>
        <v>0.67221506893144256</v>
      </c>
      <c r="U260" s="711">
        <f>Bilans_E_AMS_Kyoto_run3_MTE!Z558</f>
        <v>43.275354897419881</v>
      </c>
      <c r="V260" s="701"/>
      <c r="W260" s="701"/>
    </row>
    <row r="261" spans="1:23" x14ac:dyDescent="0.25">
      <c r="A261" s="701" t="s">
        <v>512</v>
      </c>
      <c r="B261" s="701"/>
      <c r="C261" s="717" t="s">
        <v>354</v>
      </c>
      <c r="D261" s="711">
        <f>Bilans_E_AMS_Kyoto_run3_MTE!H559</f>
        <v>0</v>
      </c>
      <c r="E261" s="711">
        <f>Bilans_E_AMS_Kyoto_run3_MTE!I559</f>
        <v>0</v>
      </c>
      <c r="F261" s="711">
        <f>Bilans_E_AMS_Kyoto_run3_MTE!J559</f>
        <v>0</v>
      </c>
      <c r="G261" s="711">
        <f>Bilans_E_AMS_Kyoto_run3_MTE!K559</f>
        <v>0</v>
      </c>
      <c r="H261" s="711">
        <f>Bilans_E_AMS_Kyoto_run3_MTE!L559</f>
        <v>0</v>
      </c>
      <c r="I261" s="711">
        <f>Bilans_E_AMS_Kyoto_run3_MTE!M559</f>
        <v>0</v>
      </c>
      <c r="J261" s="711">
        <f>Bilans_E_AMS_Kyoto_run3_MTE!N559</f>
        <v>0</v>
      </c>
      <c r="K261" s="711">
        <f>Bilans_E_AMS_Kyoto_run3_MTE!O559</f>
        <v>0</v>
      </c>
      <c r="L261" s="711">
        <f>Bilans_E_AMS_Kyoto_run3_MTE!P559</f>
        <v>0</v>
      </c>
      <c r="M261" s="711">
        <f>Bilans_E_AMS_Kyoto_run3_MTE!Q559</f>
        <v>0</v>
      </c>
      <c r="N261" s="711">
        <f>Bilans_E_AMS_Kyoto_run3_MTE!R559</f>
        <v>0</v>
      </c>
      <c r="O261" s="711">
        <f>Bilans_E_AMS_Kyoto_run3_MTE!S559</f>
        <v>0</v>
      </c>
      <c r="P261" s="711">
        <f>Bilans_E_AMS_Kyoto_run3_MTE!T559+Bilans_E_AMS_Kyoto_run3_MTE!U559</f>
        <v>0</v>
      </c>
      <c r="Q261" s="711">
        <f>Bilans_E_AMS_Kyoto_run3_MTE!V559</f>
        <v>0</v>
      </c>
      <c r="R261" s="711">
        <f>Bilans_E_AMS_Kyoto_run3_MTE!W559</f>
        <v>15.04</v>
      </c>
      <c r="S261" s="711">
        <f>Bilans_E_AMS_Kyoto_run3_MTE!X559</f>
        <v>0</v>
      </c>
      <c r="T261" s="711">
        <f>Bilans_E_AMS_Kyoto_run3_MTE!Y559</f>
        <v>0</v>
      </c>
      <c r="U261" s="711">
        <f>Bilans_E_AMS_Kyoto_run3_MTE!Z559</f>
        <v>15.04</v>
      </c>
      <c r="V261" s="701"/>
      <c r="W261" s="701"/>
    </row>
    <row r="262" spans="1:23" x14ac:dyDescent="0.25">
      <c r="A262" s="701" t="s">
        <v>513</v>
      </c>
      <c r="B262" s="701"/>
      <c r="C262" s="713" t="s">
        <v>83</v>
      </c>
      <c r="D262" s="714">
        <f>Bilans_E_AMS_Kyoto_run3_MTE!H560</f>
        <v>0</v>
      </c>
      <c r="E262" s="714">
        <f>Bilans_E_AMS_Kyoto_run3_MTE!I560</f>
        <v>0</v>
      </c>
      <c r="F262" s="714">
        <f>Bilans_E_AMS_Kyoto_run3_MTE!J560</f>
        <v>2.6375441900097218</v>
      </c>
      <c r="G262" s="714">
        <f>Bilans_E_AMS_Kyoto_run3_MTE!K560</f>
        <v>4.5999999999999996</v>
      </c>
      <c r="H262" s="714">
        <f>Bilans_E_AMS_Kyoto_run3_MTE!L560</f>
        <v>0</v>
      </c>
      <c r="I262" s="714">
        <f>Bilans_E_AMS_Kyoto_run3_MTE!M560</f>
        <v>4.2115153485371817</v>
      </c>
      <c r="J262" s="714">
        <f>Bilans_E_AMS_Kyoto_run3_MTE!N560</f>
        <v>0</v>
      </c>
      <c r="K262" s="714">
        <f>Bilans_E_AMS_Kyoto_run3_MTE!O560</f>
        <v>0</v>
      </c>
      <c r="L262" s="714">
        <f>Bilans_E_AMS_Kyoto_run3_MTE!P560</f>
        <v>92.181064137617497</v>
      </c>
      <c r="M262" s="714">
        <f>Bilans_E_AMS_Kyoto_run3_MTE!Q560</f>
        <v>7.3058555419217219</v>
      </c>
      <c r="N262" s="714">
        <f>Bilans_E_AMS_Kyoto_run3_MTE!R560</f>
        <v>24.156551983085681</v>
      </c>
      <c r="O262" s="714">
        <f>Bilans_E_AMS_Kyoto_run3_MTE!S560</f>
        <v>80.060922438361246</v>
      </c>
      <c r="P262" s="714">
        <f>Bilans_E_AMS_Kyoto_run3_MTE!T560+Bilans_E_AMS_Kyoto_run3_MTE!U560</f>
        <v>251.84592267661148</v>
      </c>
      <c r="Q262" s="714">
        <f>Bilans_E_AMS_Kyoto_run3_MTE!V560</f>
        <v>31.016507507845294</v>
      </c>
      <c r="R262" s="714">
        <f>Bilans_E_AMS_Kyoto_run3_MTE!W560</f>
        <v>574.93705609305459</v>
      </c>
      <c r="S262" s="714">
        <f>Bilans_E_AMS_Kyoto_run3_MTE!X560</f>
        <v>76.28935945815698</v>
      </c>
      <c r="T262" s="714">
        <f>Bilans_E_AMS_Kyoto_run3_MTE!Y560</f>
        <v>23.212509289266166</v>
      </c>
      <c r="U262" s="714">
        <f>Bilans_E_AMS_Kyoto_run3_MTE!Z560</f>
        <v>1172.4548086644675</v>
      </c>
      <c r="V262" s="701"/>
      <c r="W262" s="701"/>
    </row>
    <row r="263" spans="1:23" x14ac:dyDescent="0.25">
      <c r="A263" s="701" t="s">
        <v>514</v>
      </c>
      <c r="B263" s="701"/>
      <c r="C263" s="710" t="s">
        <v>84</v>
      </c>
      <c r="D263" s="711">
        <f>Bilans_E_AMS_Kyoto_run3_MTE!H561</f>
        <v>0</v>
      </c>
      <c r="E263" s="711">
        <f>Bilans_E_AMS_Kyoto_run3_MTE!I561</f>
        <v>0</v>
      </c>
      <c r="F263" s="711">
        <f>Bilans_E_AMS_Kyoto_run3_MTE!J561</f>
        <v>91.376834551502185</v>
      </c>
      <c r="G263" s="711">
        <f>Bilans_E_AMS_Kyoto_run3_MTE!K561</f>
        <v>4.3696590457446538</v>
      </c>
      <c r="H263" s="711">
        <f>Bilans_E_AMS_Kyoto_run3_MTE!L561</f>
        <v>7.019987079045241</v>
      </c>
      <c r="I263" s="711">
        <f>Bilans_E_AMS_Kyoto_run3_MTE!M561</f>
        <v>0</v>
      </c>
      <c r="J263" s="711">
        <f>Bilans_E_AMS_Kyoto_run3_MTE!N561</f>
        <v>0</v>
      </c>
      <c r="K263" s="711">
        <f>Bilans_E_AMS_Kyoto_run3_MTE!O561</f>
        <v>0</v>
      </c>
      <c r="L263" s="711">
        <f>Bilans_E_AMS_Kyoto_run3_MTE!P561</f>
        <v>0.61184558011433365</v>
      </c>
      <c r="M263" s="711">
        <f>Bilans_E_AMS_Kyoto_run3_MTE!Q561</f>
        <v>0</v>
      </c>
      <c r="N263" s="711">
        <f>Bilans_E_AMS_Kyoto_run3_MTE!R561</f>
        <v>6.5698161491399585</v>
      </c>
      <c r="O263" s="711">
        <f>Bilans_E_AMS_Kyoto_run3_MTE!S561</f>
        <v>0</v>
      </c>
      <c r="P263" s="711">
        <f>Bilans_E_AMS_Kyoto_run3_MTE!T561+Bilans_E_AMS_Kyoto_run3_MTE!U561</f>
        <v>0</v>
      </c>
      <c r="Q263" s="711">
        <f>Bilans_E_AMS_Kyoto_run3_MTE!V561</f>
        <v>0</v>
      </c>
      <c r="R263" s="711">
        <f>Bilans_E_AMS_Kyoto_run3_MTE!W561</f>
        <v>0</v>
      </c>
      <c r="S263" s="711">
        <f>Bilans_E_AMS_Kyoto_run3_MTE!X561</f>
        <v>0</v>
      </c>
      <c r="T263" s="711">
        <f>Bilans_E_AMS_Kyoto_run3_MTE!Y561</f>
        <v>6.6285490677230623</v>
      </c>
      <c r="U263" s="711">
        <f>Bilans_E_AMS_Kyoto_run3_MTE!Z561</f>
        <v>116.57669147326942</v>
      </c>
      <c r="V263" s="701"/>
      <c r="W263" s="701"/>
    </row>
    <row r="264" spans="1:23" x14ac:dyDescent="0.25">
      <c r="A264" s="701" t="s">
        <v>515</v>
      </c>
      <c r="B264" s="701"/>
      <c r="C264" s="713" t="s">
        <v>85</v>
      </c>
      <c r="D264" s="714">
        <f>Bilans_E_AMS_Kyoto_run3_MTE!H562</f>
        <v>0</v>
      </c>
      <c r="E264" s="714">
        <f>Bilans_E_AMS_Kyoto_run3_MTE!I562</f>
        <v>0</v>
      </c>
      <c r="F264" s="714">
        <f>Bilans_E_AMS_Kyoto_run3_MTE!J562</f>
        <v>94.014378741511905</v>
      </c>
      <c r="G264" s="714">
        <f>Bilans_E_AMS_Kyoto_run3_MTE!K562</f>
        <v>8.9696590457446526</v>
      </c>
      <c r="H264" s="714">
        <f>Bilans_E_AMS_Kyoto_run3_MTE!L562</f>
        <v>7.019987079045241</v>
      </c>
      <c r="I264" s="714">
        <f>Bilans_E_AMS_Kyoto_run3_MTE!M562</f>
        <v>4.2115153485371817</v>
      </c>
      <c r="J264" s="714">
        <f>Bilans_E_AMS_Kyoto_run3_MTE!N562</f>
        <v>0</v>
      </c>
      <c r="K264" s="714">
        <f>Bilans_E_AMS_Kyoto_run3_MTE!O562</f>
        <v>0</v>
      </c>
      <c r="L264" s="714">
        <f>Bilans_E_AMS_Kyoto_run3_MTE!P562</f>
        <v>92.792909717731831</v>
      </c>
      <c r="M264" s="714">
        <f>Bilans_E_AMS_Kyoto_run3_MTE!Q562</f>
        <v>7.3058555419217219</v>
      </c>
      <c r="N264" s="714">
        <f>Bilans_E_AMS_Kyoto_run3_MTE!R562</f>
        <v>30.726368132225637</v>
      </c>
      <c r="O264" s="714">
        <f>Bilans_E_AMS_Kyoto_run3_MTE!S562</f>
        <v>80.060922438361246</v>
      </c>
      <c r="P264" s="714">
        <f>Bilans_E_AMS_Kyoto_run3_MTE!T562+Bilans_E_AMS_Kyoto_run3_MTE!U562</f>
        <v>251.84592267661148</v>
      </c>
      <c r="Q264" s="714">
        <f>Bilans_E_AMS_Kyoto_run3_MTE!V562</f>
        <v>31.016507507845294</v>
      </c>
      <c r="R264" s="714">
        <f>Bilans_E_AMS_Kyoto_run3_MTE!W562</f>
        <v>574.93705609305459</v>
      </c>
      <c r="S264" s="714">
        <f>Bilans_E_AMS_Kyoto_run3_MTE!X562</f>
        <v>76.28935945815698</v>
      </c>
      <c r="T264" s="714">
        <f>Bilans_E_AMS_Kyoto_run3_MTE!Y562</f>
        <v>29.84105835698923</v>
      </c>
      <c r="U264" s="714">
        <f>Bilans_E_AMS_Kyoto_run3_MTE!Z562</f>
        <v>1289.0315001377369</v>
      </c>
      <c r="V264" s="701"/>
      <c r="W264" s="701"/>
    </row>
    <row r="265" spans="1:23" x14ac:dyDescent="0.25">
      <c r="A265" s="701"/>
      <c r="B265" s="701"/>
      <c r="C265" s="701"/>
      <c r="D265" s="701">
        <f>Bilans_E_AMS_Kyoto_run3_MTE!H563</f>
        <v>0</v>
      </c>
      <c r="E265" s="701">
        <f>Bilans_E_AMS_Kyoto_run3_MTE!I563</f>
        <v>0</v>
      </c>
      <c r="F265" s="701">
        <f>Bilans_E_AMS_Kyoto_run3_MTE!J563</f>
        <v>0</v>
      </c>
      <c r="G265" s="701">
        <f>Bilans_E_AMS_Kyoto_run3_MTE!K563</f>
        <v>0</v>
      </c>
      <c r="H265" s="701">
        <f>Bilans_E_AMS_Kyoto_run3_MTE!L563</f>
        <v>0</v>
      </c>
      <c r="I265" s="701">
        <f>Bilans_E_AMS_Kyoto_run3_MTE!M563</f>
        <v>-1.9859233333408E-4</v>
      </c>
      <c r="J265" s="701">
        <f>Bilans_E_AMS_Kyoto_run3_MTE!N563</f>
        <v>0</v>
      </c>
      <c r="K265" s="701">
        <f>Bilans_E_AMS_Kyoto_run3_MTE!O563</f>
        <v>0</v>
      </c>
      <c r="L265" s="701">
        <f>Bilans_E_AMS_Kyoto_run3_MTE!P563</f>
        <v>0</v>
      </c>
      <c r="M265" s="701">
        <f>Bilans_E_AMS_Kyoto_run3_MTE!Q563</f>
        <v>0</v>
      </c>
      <c r="N265" s="701">
        <f>Bilans_E_AMS_Kyoto_run3_MTE!R563</f>
        <v>0</v>
      </c>
      <c r="O265" s="701">
        <f>Bilans_E_AMS_Kyoto_run3_MTE!S563</f>
        <v>0</v>
      </c>
      <c r="P265" s="701">
        <f>Bilans_E_AMS_Kyoto_run3_MTE!T563+Bilans_E_AMS_Kyoto_run3_MTE!U563</f>
        <v>0</v>
      </c>
      <c r="Q265" s="701">
        <f>Bilans_E_AMS_Kyoto_run3_MTE!V563</f>
        <v>0</v>
      </c>
      <c r="R265" s="701">
        <f>Bilans_E_AMS_Kyoto_run3_MTE!W563</f>
        <v>0</v>
      </c>
      <c r="S265" s="701">
        <f>Bilans_E_AMS_Kyoto_run3_MTE!X563</f>
        <v>-3.3901093871691046E-5</v>
      </c>
      <c r="T265" s="701">
        <f>Bilans_E_AMS_Kyoto_run3_MTE!Y563</f>
        <v>0</v>
      </c>
      <c r="U265" s="701">
        <f>Bilans_E_AMS_Kyoto_run3_MTE!Z563</f>
        <v>-2.3249342757480917E-4</v>
      </c>
      <c r="V265" s="701"/>
      <c r="W265" s="701"/>
    </row>
    <row r="266" spans="1:23" x14ac:dyDescent="0.25">
      <c r="A266" s="51"/>
      <c r="B266" s="51"/>
      <c r="C266" s="51"/>
      <c r="D266" s="51"/>
      <c r="E266" s="51"/>
      <c r="F266" s="51"/>
      <c r="G266" s="67"/>
      <c r="H266" s="51"/>
      <c r="I266" s="51"/>
      <c r="J266" s="51"/>
      <c r="K266" s="51"/>
      <c r="L266" s="51"/>
      <c r="M266" s="51"/>
      <c r="N266" s="51"/>
      <c r="O266" s="51"/>
      <c r="P266" s="51"/>
      <c r="Q266" s="51"/>
      <c r="R266" s="51"/>
      <c r="S266" s="51"/>
      <c r="T266" s="51"/>
      <c r="U266" s="51"/>
    </row>
  </sheetData>
  <mergeCells count="98">
    <mergeCell ref="U10:U11"/>
    <mergeCell ref="C10:C11"/>
    <mergeCell ref="D10:D11"/>
    <mergeCell ref="E10:E11"/>
    <mergeCell ref="F10:F11"/>
    <mergeCell ref="G10:G11"/>
    <mergeCell ref="H10:H11"/>
    <mergeCell ref="I10:I11"/>
    <mergeCell ref="J10:J11"/>
    <mergeCell ref="K10:K11"/>
    <mergeCell ref="L10:Q10"/>
    <mergeCell ref="R10:R11"/>
    <mergeCell ref="S10:S11"/>
    <mergeCell ref="T10:T11"/>
    <mergeCell ref="S47:S48"/>
    <mergeCell ref="C47:C48"/>
    <mergeCell ref="D47:D48"/>
    <mergeCell ref="E47:E48"/>
    <mergeCell ref="F47:F48"/>
    <mergeCell ref="G47:G48"/>
    <mergeCell ref="H47:H48"/>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K84:K85"/>
    <mergeCell ref="L84:Q84"/>
    <mergeCell ref="R84:R85"/>
    <mergeCell ref="S84:S85"/>
    <mergeCell ref="T84:T85"/>
    <mergeCell ref="S121:S122"/>
    <mergeCell ref="C121:C122"/>
    <mergeCell ref="D121:D122"/>
    <mergeCell ref="E121:E122"/>
    <mergeCell ref="F121:F122"/>
    <mergeCell ref="G121:G122"/>
    <mergeCell ref="H121:H122"/>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R121:R122"/>
    <mergeCell ref="K158:K159"/>
    <mergeCell ref="L158:Q158"/>
    <mergeCell ref="R158:R159"/>
    <mergeCell ref="S158:S159"/>
    <mergeCell ref="T158:T159"/>
    <mergeCell ref="S195:S196"/>
    <mergeCell ref="C195:C196"/>
    <mergeCell ref="D195:D196"/>
    <mergeCell ref="E195:E196"/>
    <mergeCell ref="F195:F196"/>
    <mergeCell ref="G195:G196"/>
    <mergeCell ref="H195:H196"/>
    <mergeCell ref="U232:U233"/>
    <mergeCell ref="T195:T196"/>
    <mergeCell ref="U195:U196"/>
    <mergeCell ref="C232:C233"/>
    <mergeCell ref="D232:D233"/>
    <mergeCell ref="E232:E233"/>
    <mergeCell ref="F232:F233"/>
    <mergeCell ref="G232:G233"/>
    <mergeCell ref="H232:H233"/>
    <mergeCell ref="I232:I233"/>
    <mergeCell ref="J232:J233"/>
    <mergeCell ref="I195:I196"/>
    <mergeCell ref="J195:J196"/>
    <mergeCell ref="K195:K196"/>
    <mergeCell ref="L195:Q195"/>
    <mergeCell ref="R195:R196"/>
    <mergeCell ref="K232:K233"/>
    <mergeCell ref="L232:Q232"/>
    <mergeCell ref="R232:R233"/>
    <mergeCell ref="S232:S233"/>
    <mergeCell ref="T232:T233"/>
  </mergeCells>
  <pageMargins left="0.7" right="0.7" top="0.75" bottom="0.75" header="0.3" footer="0.3"/>
  <legacy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B6FDA-FF53-4828-A905-D333B541DFF8}">
  <sheetPr>
    <tabColor theme="1" tint="0.249977111117893"/>
  </sheetPr>
  <dimension ref="A1:W229"/>
  <sheetViews>
    <sheetView zoomScale="85" zoomScaleNormal="85" workbookViewId="0">
      <selection activeCell="A8" sqref="A8:XFD44"/>
    </sheetView>
  </sheetViews>
  <sheetFormatPr baseColWidth="10" defaultRowHeight="15" x14ac:dyDescent="0.25"/>
  <cols>
    <col min="3" max="3" width="24.28515625" customWidth="1"/>
    <col min="4" max="21" width="12.5703125" customWidth="1"/>
  </cols>
  <sheetData>
    <row r="1" spans="1:23" ht="15.75" x14ac:dyDescent="0.25">
      <c r="A1" s="700"/>
      <c r="B1" s="700"/>
      <c r="C1" s="700"/>
      <c r="D1" s="598" t="s">
        <v>527</v>
      </c>
      <c r="E1" s="598" t="s">
        <v>528</v>
      </c>
      <c r="F1" s="598" t="s">
        <v>529</v>
      </c>
      <c r="G1" s="598" t="s">
        <v>530</v>
      </c>
      <c r="H1" s="598" t="s">
        <v>531</v>
      </c>
      <c r="I1" s="598" t="s">
        <v>532</v>
      </c>
      <c r="J1" s="598" t="s">
        <v>533</v>
      </c>
      <c r="K1" s="598" t="s">
        <v>534</v>
      </c>
      <c r="L1" s="598" t="s">
        <v>535</v>
      </c>
      <c r="M1" s="598" t="s">
        <v>536</v>
      </c>
      <c r="N1" s="598" t="s">
        <v>537</v>
      </c>
      <c r="O1" s="598" t="s">
        <v>538</v>
      </c>
      <c r="P1" s="598" t="s">
        <v>539</v>
      </c>
      <c r="Q1" s="598" t="s">
        <v>541</v>
      </c>
      <c r="R1" s="598" t="s">
        <v>542</v>
      </c>
      <c r="S1" s="598" t="s">
        <v>543</v>
      </c>
      <c r="T1" s="598" t="s">
        <v>606</v>
      </c>
      <c r="U1" s="598" t="s">
        <v>607</v>
      </c>
      <c r="V1" s="700"/>
      <c r="W1" s="700"/>
    </row>
    <row r="2" spans="1:23" x14ac:dyDescent="0.25">
      <c r="A2" s="700"/>
      <c r="B2" s="700"/>
      <c r="C2" s="700"/>
      <c r="D2" s="700" t="s">
        <v>545</v>
      </c>
      <c r="E2" s="701" t="s">
        <v>546</v>
      </c>
      <c r="F2" s="701" t="s">
        <v>547</v>
      </c>
      <c r="G2" s="701" t="s">
        <v>548</v>
      </c>
      <c r="H2" s="701" t="s">
        <v>549</v>
      </c>
      <c r="I2" s="701" t="s">
        <v>550</v>
      </c>
      <c r="J2" s="701" t="s">
        <v>551</v>
      </c>
      <c r="K2" s="701" t="s">
        <v>552</v>
      </c>
      <c r="L2" s="701" t="s">
        <v>553</v>
      </c>
      <c r="M2" s="701" t="s">
        <v>554</v>
      </c>
      <c r="N2" s="701" t="s">
        <v>555</v>
      </c>
      <c r="O2" s="701" t="s">
        <v>556</v>
      </c>
      <c r="P2" s="701" t="s">
        <v>557</v>
      </c>
      <c r="Q2" s="701" t="s">
        <v>558</v>
      </c>
      <c r="R2" s="701" t="s">
        <v>559</v>
      </c>
      <c r="S2" s="701" t="s">
        <v>560</v>
      </c>
      <c r="T2" s="701" t="s">
        <v>561</v>
      </c>
      <c r="U2" s="701" t="s">
        <v>562</v>
      </c>
      <c r="V2" s="700"/>
      <c r="W2" s="700"/>
    </row>
    <row r="3" spans="1:23" ht="18" x14ac:dyDescent="0.25">
      <c r="A3" s="702"/>
      <c r="B3" s="702"/>
      <c r="C3" s="703" t="s">
        <v>406</v>
      </c>
      <c r="D3" s="702"/>
      <c r="E3" s="702"/>
      <c r="F3" s="702"/>
      <c r="G3" s="702"/>
      <c r="H3" s="702"/>
      <c r="I3" s="702"/>
      <c r="J3" s="702"/>
      <c r="K3" s="702"/>
      <c r="L3" s="702"/>
      <c r="M3" s="702"/>
      <c r="N3" s="702"/>
      <c r="O3" s="702"/>
      <c r="P3" s="702"/>
      <c r="Q3" s="702"/>
      <c r="R3" s="702"/>
      <c r="S3" s="702"/>
      <c r="T3" s="702"/>
      <c r="U3" s="702"/>
      <c r="V3" s="702"/>
      <c r="W3" s="702"/>
    </row>
    <row r="4" spans="1:23" x14ac:dyDescent="0.25">
      <c r="A4" s="701"/>
      <c r="B4" s="701"/>
      <c r="C4" s="701"/>
      <c r="D4" s="701"/>
      <c r="E4" s="701"/>
      <c r="F4" s="701"/>
      <c r="G4" s="701"/>
      <c r="H4" s="701"/>
      <c r="I4" s="701"/>
      <c r="J4" s="701"/>
      <c r="K4" s="701"/>
      <c r="L4" s="701"/>
      <c r="M4" s="701"/>
      <c r="N4" s="701"/>
      <c r="O4" s="701"/>
      <c r="P4" s="701"/>
      <c r="Q4" s="701"/>
      <c r="R4" s="701"/>
      <c r="S4" s="701"/>
      <c r="T4" s="701"/>
      <c r="U4" s="701"/>
      <c r="V4" s="701"/>
      <c r="W4" s="701"/>
    </row>
    <row r="5" spans="1:23" ht="15.75" x14ac:dyDescent="0.25">
      <c r="A5" s="704"/>
      <c r="B5" s="701"/>
      <c r="C5" s="705" t="s">
        <v>338</v>
      </c>
      <c r="D5" s="704" t="s">
        <v>481</v>
      </c>
      <c r="E5" s="704"/>
      <c r="F5" s="704"/>
      <c r="G5" s="704"/>
      <c r="H5" s="704"/>
      <c r="I5" s="704"/>
      <c r="J5" s="704"/>
      <c r="K5" s="706"/>
      <c r="L5" s="706"/>
      <c r="M5" s="706"/>
      <c r="N5" s="706"/>
      <c r="O5" s="706"/>
      <c r="P5" s="706"/>
      <c r="Q5" s="706"/>
      <c r="R5" s="704"/>
      <c r="S5" s="704"/>
      <c r="T5" s="704"/>
      <c r="U5" s="704"/>
      <c r="V5" s="704"/>
      <c r="W5" s="704"/>
    </row>
    <row r="6" spans="1:23" ht="15.75" x14ac:dyDescent="0.25">
      <c r="A6" s="704"/>
      <c r="B6" s="701"/>
      <c r="C6" s="705" t="s">
        <v>341</v>
      </c>
      <c r="D6" s="704" t="s">
        <v>342</v>
      </c>
      <c r="E6" s="704"/>
      <c r="F6" s="704"/>
      <c r="G6" s="704"/>
      <c r="H6" s="704"/>
      <c r="I6" s="704"/>
      <c r="J6" s="704"/>
      <c r="K6" s="704"/>
      <c r="L6" s="704"/>
      <c r="M6" s="704"/>
      <c r="N6" s="704"/>
      <c r="O6" s="704"/>
      <c r="P6" s="704"/>
      <c r="Q6" s="704"/>
      <c r="R6" s="704"/>
      <c r="S6" s="704"/>
      <c r="T6" s="704"/>
      <c r="U6" s="704"/>
      <c r="V6" s="704"/>
      <c r="W6" s="704"/>
    </row>
    <row r="7" spans="1:23" x14ac:dyDescent="0.25">
      <c r="A7" s="701"/>
      <c r="B7" s="701"/>
      <c r="C7" s="701"/>
      <c r="D7" s="701"/>
      <c r="E7" s="701"/>
      <c r="F7" s="701"/>
      <c r="G7" s="701"/>
      <c r="H7" s="701"/>
      <c r="I7" s="701"/>
      <c r="J7" s="701"/>
      <c r="K7" s="701"/>
      <c r="L7" s="701"/>
      <c r="M7" s="701"/>
      <c r="N7" s="701"/>
      <c r="O7" s="701"/>
      <c r="P7" s="701"/>
      <c r="Q7" s="701"/>
      <c r="R7" s="701"/>
      <c r="S7" s="701"/>
      <c r="T7" s="701"/>
      <c r="U7" s="701"/>
      <c r="V7" s="701"/>
      <c r="W7" s="701"/>
    </row>
    <row r="8" spans="1:23" x14ac:dyDescent="0.25">
      <c r="A8" s="707"/>
      <c r="B8" s="707"/>
      <c r="C8" s="708" t="s">
        <v>358</v>
      </c>
      <c r="D8" s="707"/>
      <c r="E8" s="707"/>
      <c r="F8" s="707"/>
      <c r="G8" s="707"/>
      <c r="H8" s="707"/>
      <c r="I8" s="707"/>
      <c r="J8" s="707"/>
      <c r="K8" s="707"/>
      <c r="L8" s="707"/>
      <c r="M8" s="707"/>
      <c r="N8" s="707"/>
      <c r="O8" s="707"/>
      <c r="P8" s="707"/>
      <c r="Q8" s="707"/>
      <c r="R8" s="707"/>
      <c r="S8" s="707"/>
      <c r="T8" s="707"/>
      <c r="U8" s="707"/>
      <c r="V8" s="707"/>
      <c r="W8" s="707"/>
    </row>
    <row r="9" spans="1:23" x14ac:dyDescent="0.25">
      <c r="A9" s="701"/>
      <c r="B9" s="701"/>
      <c r="C9" s="701"/>
      <c r="D9" s="701"/>
      <c r="E9" s="701"/>
      <c r="F9" s="701"/>
      <c r="G9" s="701"/>
      <c r="H9" s="701"/>
      <c r="I9" s="701"/>
      <c r="J9" s="701"/>
      <c r="K9" s="701"/>
      <c r="L9" s="701"/>
      <c r="M9" s="701"/>
      <c r="N9" s="701"/>
      <c r="O9" s="701"/>
      <c r="P9" s="701"/>
      <c r="Q9" s="701"/>
      <c r="R9" s="701"/>
      <c r="S9" s="701"/>
      <c r="T9" s="701"/>
      <c r="U9" s="701"/>
      <c r="V9" s="701"/>
      <c r="W9" s="701"/>
    </row>
    <row r="10" spans="1:23" x14ac:dyDescent="0.25">
      <c r="A10" s="701"/>
      <c r="B10" s="701"/>
      <c r="C10" s="780" t="s">
        <v>128</v>
      </c>
      <c r="D10" s="775" t="s">
        <v>42</v>
      </c>
      <c r="E10" s="775" t="s">
        <v>52</v>
      </c>
      <c r="F10" s="775" t="s">
        <v>53</v>
      </c>
      <c r="G10" s="775" t="s">
        <v>482</v>
      </c>
      <c r="H10" s="775" t="s">
        <v>32</v>
      </c>
      <c r="I10" s="775" t="s">
        <v>483</v>
      </c>
      <c r="J10" s="775" t="s">
        <v>20</v>
      </c>
      <c r="K10" s="775" t="s">
        <v>55</v>
      </c>
      <c r="L10" s="777" t="s">
        <v>56</v>
      </c>
      <c r="M10" s="778"/>
      <c r="N10" s="778"/>
      <c r="O10" s="778"/>
      <c r="P10" s="778"/>
      <c r="Q10" s="779"/>
      <c r="R10" s="775" t="s">
        <v>57</v>
      </c>
      <c r="S10" s="775" t="s">
        <v>58</v>
      </c>
      <c r="T10" s="775" t="s">
        <v>31</v>
      </c>
      <c r="U10" s="775" t="s">
        <v>10</v>
      </c>
      <c r="V10" s="701"/>
      <c r="W10" s="701"/>
    </row>
    <row r="11" spans="1:23" ht="67.5" x14ac:dyDescent="0.25">
      <c r="A11" s="701" t="s">
        <v>486</v>
      </c>
      <c r="B11" s="701"/>
      <c r="C11" s="781"/>
      <c r="D11" s="776"/>
      <c r="E11" s="776"/>
      <c r="F11" s="776"/>
      <c r="G11" s="776"/>
      <c r="H11" s="776"/>
      <c r="I11" s="776"/>
      <c r="J11" s="776"/>
      <c r="K11" s="776"/>
      <c r="L11" s="709" t="s">
        <v>335</v>
      </c>
      <c r="M11" s="709" t="s">
        <v>40</v>
      </c>
      <c r="N11" s="709" t="s">
        <v>343</v>
      </c>
      <c r="O11" s="709" t="s">
        <v>344</v>
      </c>
      <c r="P11" s="719" t="s">
        <v>610</v>
      </c>
      <c r="Q11" s="709" t="s">
        <v>346</v>
      </c>
      <c r="R11" s="776"/>
      <c r="S11" s="776"/>
      <c r="T11" s="776"/>
      <c r="U11" s="776"/>
      <c r="V11" s="701"/>
      <c r="W11" s="701"/>
    </row>
    <row r="12" spans="1:23" x14ac:dyDescent="0.25">
      <c r="A12" s="701" t="s">
        <v>487</v>
      </c>
      <c r="B12" s="701"/>
      <c r="C12" s="710" t="s">
        <v>59</v>
      </c>
      <c r="D12" s="711">
        <f>Bilans_E_AMS_Kyoto_run3_MTE!H347</f>
        <v>0</v>
      </c>
      <c r="E12" s="711">
        <f>Bilans_E_AMS_Kyoto_run3_MTE!I347</f>
        <v>4.7683</v>
      </c>
      <c r="F12" s="711">
        <f>Bilans_E_AMS_Kyoto_run3_MTE!J347</f>
        <v>0</v>
      </c>
      <c r="G12" s="711">
        <f>Bilans_E_AMS_Kyoto_run3_MTE!K347</f>
        <v>0</v>
      </c>
      <c r="H12" s="711">
        <f>Bilans_E_AMS_Kyoto_run3_MTE!L347</f>
        <v>9.8855000000000012E-2</v>
      </c>
      <c r="I12" s="711">
        <f>Bilans_E_AMS_Kyoto_run3_MTE!M347</f>
        <v>0</v>
      </c>
      <c r="J12" s="711">
        <f>Bilans_E_AMS_Kyoto_run3_MTE!N347</f>
        <v>1162.7439999999999</v>
      </c>
      <c r="K12" s="711">
        <f>Bilans_E_AMS_Kyoto_run3_MTE!O347</f>
        <v>299.59846132130883</v>
      </c>
      <c r="L12" s="711">
        <f>Bilans_E_AMS_Kyoto_run3_MTE!P347</f>
        <v>319.01734498759413</v>
      </c>
      <c r="M12" s="711">
        <f>Bilans_E_AMS_Kyoto_run3_MTE!Q347</f>
        <v>51.348490193266947</v>
      </c>
      <c r="N12" s="711">
        <f>Bilans_E_AMS_Kyoto_run3_MTE!R347</f>
        <v>0</v>
      </c>
      <c r="O12" s="711">
        <f>Bilans_E_AMS_Kyoto_run3_MTE!S347</f>
        <v>0</v>
      </c>
      <c r="P12" s="711">
        <f>Bilans_E_AMS_Kyoto_run3_MTE!T347+Bilans_E_AMS_Kyoto_run3_MTE!U347</f>
        <v>171.39585425670967</v>
      </c>
      <c r="Q12" s="711">
        <f>Bilans_E_AMS_Kyoto_run3_MTE!V347</f>
        <v>34.299691863986411</v>
      </c>
      <c r="R12" s="711">
        <f>Bilans_E_AMS_Kyoto_run3_MTE!W347</f>
        <v>0</v>
      </c>
      <c r="S12" s="711">
        <f>Bilans_E_AMS_Kyoto_run3_MTE!X347</f>
        <v>0</v>
      </c>
      <c r="T12" s="711">
        <f>Bilans_E_AMS_Kyoto_run3_MTE!Y347</f>
        <v>0</v>
      </c>
      <c r="U12" s="711">
        <f>Bilans_E_AMS_Kyoto_run3_MTE!Z347</f>
        <v>2043.2709976228659</v>
      </c>
      <c r="V12" s="701"/>
      <c r="W12" s="701"/>
    </row>
    <row r="13" spans="1:23" x14ac:dyDescent="0.25">
      <c r="A13" s="701" t="s">
        <v>488</v>
      </c>
      <c r="B13" s="701"/>
      <c r="C13" s="710" t="s">
        <v>60</v>
      </c>
      <c r="D13" s="712">
        <f>Bilans_E_AMS_Kyoto_run3_MTE!H348</f>
        <v>13.10897607421875</v>
      </c>
      <c r="E13" s="712">
        <f>Bilans_E_AMS_Kyoto_run3_MTE!I348</f>
        <v>308.93113241881071</v>
      </c>
      <c r="F13" s="712">
        <f>Bilans_E_AMS_Kyoto_run3_MTE!J348</f>
        <v>121.08575062075425</v>
      </c>
      <c r="G13" s="712">
        <f>Bilans_E_AMS_Kyoto_run3_MTE!K348</f>
        <v>2.7939885995123079</v>
      </c>
      <c r="H13" s="712">
        <f>Bilans_E_AMS_Kyoto_run3_MTE!L348</f>
        <v>208.53518235241728</v>
      </c>
      <c r="I13" s="712">
        <f>Bilans_E_AMS_Kyoto_run3_MTE!M348</f>
        <v>0</v>
      </c>
      <c r="J13" s="712">
        <f>Bilans_E_AMS_Kyoto_run3_MTE!N348</f>
        <v>0</v>
      </c>
      <c r="K13" s="712">
        <f>Bilans_E_AMS_Kyoto_run3_MTE!O348</f>
        <v>0</v>
      </c>
      <c r="L13" s="712">
        <f>Bilans_E_AMS_Kyoto_run3_MTE!P348</f>
        <v>3.9620965723904646</v>
      </c>
      <c r="M13" s="712">
        <f>Bilans_E_AMS_Kyoto_run3_MTE!Q348</f>
        <v>0</v>
      </c>
      <c r="N13" s="712">
        <f>Bilans_E_AMS_Kyoto_run3_MTE!R348</f>
        <v>15.040491481755694</v>
      </c>
      <c r="O13" s="712">
        <f>Bilans_E_AMS_Kyoto_run3_MTE!S348</f>
        <v>7.9892327206458447E-2</v>
      </c>
      <c r="P13" s="712">
        <f>Bilans_E_AMS_Kyoto_run3_MTE!T348+Bilans_E_AMS_Kyoto_run3_MTE!U348</f>
        <v>0</v>
      </c>
      <c r="Q13" s="712">
        <f>Bilans_E_AMS_Kyoto_run3_MTE!V348</f>
        <v>0</v>
      </c>
      <c r="R13" s="712">
        <f>Bilans_E_AMS_Kyoto_run3_MTE!W348</f>
        <v>0</v>
      </c>
      <c r="S13" s="712">
        <f>Bilans_E_AMS_Kyoto_run3_MTE!X348</f>
        <v>0</v>
      </c>
      <c r="T13" s="712">
        <f>Bilans_E_AMS_Kyoto_run3_MTE!Y348</f>
        <v>0</v>
      </c>
      <c r="U13" s="712">
        <f>Bilans_E_AMS_Kyoto_run3_MTE!Z348</f>
        <v>673.53751044706598</v>
      </c>
      <c r="V13" s="701"/>
      <c r="W13" s="701"/>
    </row>
    <row r="14" spans="1:23" x14ac:dyDescent="0.25">
      <c r="A14" s="701" t="s">
        <v>489</v>
      </c>
      <c r="B14" s="701"/>
      <c r="C14" s="710" t="s">
        <v>61</v>
      </c>
      <c r="D14" s="712">
        <f>Bilans_E_AMS_Kyoto_run3_MTE!H349</f>
        <v>0</v>
      </c>
      <c r="E14" s="712">
        <f>Bilans_E_AMS_Kyoto_run3_MTE!I349</f>
        <v>0</v>
      </c>
      <c r="F14" s="712">
        <f>Bilans_E_AMS_Kyoto_run3_MTE!J349</f>
        <v>0</v>
      </c>
      <c r="G14" s="712">
        <f>Bilans_E_AMS_Kyoto_run3_MTE!K349</f>
        <v>0</v>
      </c>
      <c r="H14" s="712">
        <f>Bilans_E_AMS_Kyoto_run3_MTE!L349</f>
        <v>0</v>
      </c>
      <c r="I14" s="712">
        <f>Bilans_E_AMS_Kyoto_run3_MTE!M349</f>
        <v>0</v>
      </c>
      <c r="J14" s="712">
        <f>Bilans_E_AMS_Kyoto_run3_MTE!N349</f>
        <v>0</v>
      </c>
      <c r="K14" s="712">
        <f>Bilans_E_AMS_Kyoto_run3_MTE!O349</f>
        <v>0</v>
      </c>
      <c r="L14" s="712">
        <f>Bilans_E_AMS_Kyoto_run3_MTE!P349</f>
        <v>0</v>
      </c>
      <c r="M14" s="712">
        <f>Bilans_E_AMS_Kyoto_run3_MTE!Q349</f>
        <v>0</v>
      </c>
      <c r="N14" s="712">
        <f>Bilans_E_AMS_Kyoto_run3_MTE!R349</f>
        <v>0</v>
      </c>
      <c r="O14" s="712">
        <f>Bilans_E_AMS_Kyoto_run3_MTE!S349</f>
        <v>0</v>
      </c>
      <c r="P14" s="712">
        <f>Bilans_E_AMS_Kyoto_run3_MTE!T349+Bilans_E_AMS_Kyoto_run3_MTE!U349</f>
        <v>0</v>
      </c>
      <c r="Q14" s="712">
        <f>Bilans_E_AMS_Kyoto_run3_MTE!V349</f>
        <v>0</v>
      </c>
      <c r="R14" s="712">
        <f>Bilans_E_AMS_Kyoto_run3_MTE!W349</f>
        <v>-95.466033511784872</v>
      </c>
      <c r="S14" s="712">
        <f>Bilans_E_AMS_Kyoto_run3_MTE!X349</f>
        <v>0</v>
      </c>
      <c r="T14" s="712">
        <f>Bilans_E_AMS_Kyoto_run3_MTE!Y349</f>
        <v>0</v>
      </c>
      <c r="U14" s="712">
        <f>Bilans_E_AMS_Kyoto_run3_MTE!Z349</f>
        <v>-95.466033511784872</v>
      </c>
      <c r="V14" s="701"/>
      <c r="W14" s="701"/>
    </row>
    <row r="15" spans="1:23" x14ac:dyDescent="0.25">
      <c r="A15" s="701" t="s">
        <v>490</v>
      </c>
      <c r="B15" s="701"/>
      <c r="C15" s="710" t="s">
        <v>62</v>
      </c>
      <c r="D15" s="711">
        <f>Bilans_E_AMS_Kyoto_run3_MTE!H350</f>
        <v>0</v>
      </c>
      <c r="E15" s="711">
        <f>Bilans_E_AMS_Kyoto_run3_MTE!I350</f>
        <v>0</v>
      </c>
      <c r="F15" s="711">
        <f>Bilans_E_AMS_Kyoto_run3_MTE!J350</f>
        <v>-7.1897413553368033</v>
      </c>
      <c r="G15" s="711">
        <f>Bilans_E_AMS_Kyoto_run3_MTE!K350</f>
        <v>-0.40871635052551269</v>
      </c>
      <c r="H15" s="711">
        <f>Bilans_E_AMS_Kyoto_run3_MTE!L350</f>
        <v>-0.64998497552234569</v>
      </c>
      <c r="I15" s="711">
        <f>Bilans_E_AMS_Kyoto_run3_MTE!M350</f>
        <v>-0.61307452578826904</v>
      </c>
      <c r="J15" s="711">
        <f>Bilans_E_AMS_Kyoto_run3_MTE!N350</f>
        <v>0</v>
      </c>
      <c r="K15" s="711">
        <f>Bilans_E_AMS_Kyoto_run3_MTE!O350</f>
        <v>0</v>
      </c>
      <c r="L15" s="711">
        <f>Bilans_E_AMS_Kyoto_run3_MTE!P350</f>
        <v>0</v>
      </c>
      <c r="M15" s="711">
        <f>Bilans_E_AMS_Kyoto_run3_MTE!Q350</f>
        <v>0</v>
      </c>
      <c r="N15" s="711">
        <f>Bilans_E_AMS_Kyoto_run3_MTE!R350</f>
        <v>0</v>
      </c>
      <c r="O15" s="711">
        <f>Bilans_E_AMS_Kyoto_run3_MTE!S350</f>
        <v>-1.0039414282398573</v>
      </c>
      <c r="P15" s="711">
        <f>Bilans_E_AMS_Kyoto_run3_MTE!T350+Bilans_E_AMS_Kyoto_run3_MTE!U350</f>
        <v>0</v>
      </c>
      <c r="Q15" s="711">
        <f>Bilans_E_AMS_Kyoto_run3_MTE!V350</f>
        <v>0</v>
      </c>
      <c r="R15" s="711">
        <f>Bilans_E_AMS_Kyoto_run3_MTE!W350</f>
        <v>0</v>
      </c>
      <c r="S15" s="711">
        <f>Bilans_E_AMS_Kyoto_run3_MTE!X350</f>
        <v>0</v>
      </c>
      <c r="T15" s="711">
        <f>Bilans_E_AMS_Kyoto_run3_MTE!Y350</f>
        <v>-0.37964157661678277</v>
      </c>
      <c r="U15" s="711">
        <f>Bilans_E_AMS_Kyoto_run3_MTE!Z350</f>
        <v>-10.24510021202957</v>
      </c>
      <c r="V15" s="701"/>
      <c r="W15" s="701"/>
    </row>
    <row r="16" spans="1:23" x14ac:dyDescent="0.25">
      <c r="A16" s="701" t="s">
        <v>491</v>
      </c>
      <c r="B16" s="701"/>
      <c r="C16" s="710" t="s">
        <v>63</v>
      </c>
      <c r="D16" s="711">
        <f>Bilans_E_AMS_Kyoto_run3_MTE!H351</f>
        <v>0</v>
      </c>
      <c r="E16" s="711">
        <f>Bilans_E_AMS_Kyoto_run3_MTE!I351</f>
        <v>0</v>
      </c>
      <c r="F16" s="711">
        <f>Bilans_E_AMS_Kyoto_run3_MTE!J351</f>
        <v>-56</v>
      </c>
      <c r="G16" s="711">
        <f>Bilans_E_AMS_Kyoto_run3_MTE!K351</f>
        <v>-4</v>
      </c>
      <c r="H16" s="711">
        <f>Bilans_E_AMS_Kyoto_run3_MTE!L351</f>
        <v>0</v>
      </c>
      <c r="I16" s="711">
        <f>Bilans_E_AMS_Kyoto_run3_MTE!M351</f>
        <v>0</v>
      </c>
      <c r="J16" s="711">
        <f>Bilans_E_AMS_Kyoto_run3_MTE!N351</f>
        <v>0</v>
      </c>
      <c r="K16" s="711">
        <f>Bilans_E_AMS_Kyoto_run3_MTE!O351</f>
        <v>0</v>
      </c>
      <c r="L16" s="711">
        <f>Bilans_E_AMS_Kyoto_run3_MTE!P351</f>
        <v>0</v>
      </c>
      <c r="M16" s="711">
        <f>Bilans_E_AMS_Kyoto_run3_MTE!Q351</f>
        <v>0</v>
      </c>
      <c r="N16" s="711">
        <f>Bilans_E_AMS_Kyoto_run3_MTE!R351</f>
        <v>-11</v>
      </c>
      <c r="O16" s="711">
        <f>Bilans_E_AMS_Kyoto_run3_MTE!S351</f>
        <v>0</v>
      </c>
      <c r="P16" s="711">
        <f>Bilans_E_AMS_Kyoto_run3_MTE!T351+Bilans_E_AMS_Kyoto_run3_MTE!U351</f>
        <v>0</v>
      </c>
      <c r="Q16" s="711">
        <f>Bilans_E_AMS_Kyoto_run3_MTE!V351</f>
        <v>0</v>
      </c>
      <c r="R16" s="711">
        <f>Bilans_E_AMS_Kyoto_run3_MTE!W351</f>
        <v>0</v>
      </c>
      <c r="S16" s="711">
        <f>Bilans_E_AMS_Kyoto_run3_MTE!X351</f>
        <v>0</v>
      </c>
      <c r="T16" s="711">
        <f>Bilans_E_AMS_Kyoto_run3_MTE!Y351</f>
        <v>-1</v>
      </c>
      <c r="U16" s="711">
        <f>Bilans_E_AMS_Kyoto_run3_MTE!Z351</f>
        <v>-72</v>
      </c>
      <c r="V16" s="701"/>
      <c r="W16" s="701"/>
    </row>
    <row r="17" spans="1:23" x14ac:dyDescent="0.25">
      <c r="A17" s="701" t="s">
        <v>492</v>
      </c>
      <c r="B17" s="701"/>
      <c r="C17" s="710" t="s">
        <v>64</v>
      </c>
      <c r="D17" s="712">
        <f>Bilans_E_AMS_Kyoto_run3_MTE!H352</f>
        <v>0</v>
      </c>
      <c r="E17" s="712">
        <f>Bilans_E_AMS_Kyoto_run3_MTE!I352</f>
        <v>0</v>
      </c>
      <c r="F17" s="712">
        <f>Bilans_E_AMS_Kyoto_run3_MTE!J352</f>
        <v>0</v>
      </c>
      <c r="G17" s="712">
        <f>Bilans_E_AMS_Kyoto_run3_MTE!K352</f>
        <v>0</v>
      </c>
      <c r="H17" s="712">
        <f>Bilans_E_AMS_Kyoto_run3_MTE!L352</f>
        <v>0</v>
      </c>
      <c r="I17" s="712">
        <f>Bilans_E_AMS_Kyoto_run3_MTE!M352</f>
        <v>0</v>
      </c>
      <c r="J17" s="712">
        <f>Bilans_E_AMS_Kyoto_run3_MTE!N352</f>
        <v>0</v>
      </c>
      <c r="K17" s="712">
        <f>Bilans_E_AMS_Kyoto_run3_MTE!O352</f>
        <v>0</v>
      </c>
      <c r="L17" s="712">
        <f>Bilans_E_AMS_Kyoto_run3_MTE!P352</f>
        <v>0</v>
      </c>
      <c r="M17" s="712">
        <f>Bilans_E_AMS_Kyoto_run3_MTE!Q352</f>
        <v>0</v>
      </c>
      <c r="N17" s="712">
        <f>Bilans_E_AMS_Kyoto_run3_MTE!R352</f>
        <v>0</v>
      </c>
      <c r="O17" s="712">
        <f>Bilans_E_AMS_Kyoto_run3_MTE!S352</f>
        <v>0</v>
      </c>
      <c r="P17" s="712">
        <f>Bilans_E_AMS_Kyoto_run3_MTE!T352+Bilans_E_AMS_Kyoto_run3_MTE!U352</f>
        <v>0</v>
      </c>
      <c r="Q17" s="712">
        <f>Bilans_E_AMS_Kyoto_run3_MTE!V352</f>
        <v>0</v>
      </c>
      <c r="R17" s="712">
        <f>Bilans_E_AMS_Kyoto_run3_MTE!W352</f>
        <v>0</v>
      </c>
      <c r="S17" s="712">
        <f>Bilans_E_AMS_Kyoto_run3_MTE!X352</f>
        <v>0</v>
      </c>
      <c r="T17" s="712">
        <f>Bilans_E_AMS_Kyoto_run3_MTE!Y352</f>
        <v>0</v>
      </c>
      <c r="U17" s="712">
        <f>Bilans_E_AMS_Kyoto_run3_MTE!Z352</f>
        <v>0</v>
      </c>
      <c r="V17" s="701"/>
      <c r="W17" s="701"/>
    </row>
    <row r="18" spans="1:23" x14ac:dyDescent="0.25">
      <c r="A18" s="701" t="s">
        <v>493</v>
      </c>
      <c r="B18" s="701"/>
      <c r="C18" s="713" t="s">
        <v>65</v>
      </c>
      <c r="D18" s="714">
        <f>Bilans_E_AMS_Kyoto_run3_MTE!H353</f>
        <v>13.10897607421875</v>
      </c>
      <c r="E18" s="714">
        <f>Bilans_E_AMS_Kyoto_run3_MTE!I353</f>
        <v>313.69943241881072</v>
      </c>
      <c r="F18" s="714">
        <f>Bilans_E_AMS_Kyoto_run3_MTE!J353</f>
        <v>57.896009265417447</v>
      </c>
      <c r="G18" s="714">
        <f>Bilans_E_AMS_Kyoto_run3_MTE!K353</f>
        <v>-1.6147277510132048</v>
      </c>
      <c r="H18" s="714">
        <f>Bilans_E_AMS_Kyoto_run3_MTE!L353</f>
        <v>207.98405237689491</v>
      </c>
      <c r="I18" s="714">
        <f>Bilans_E_AMS_Kyoto_run3_MTE!M353</f>
        <v>-0.61307452578826904</v>
      </c>
      <c r="J18" s="714">
        <f>Bilans_E_AMS_Kyoto_run3_MTE!N353</f>
        <v>1162.7439999999999</v>
      </c>
      <c r="K18" s="714">
        <f>Bilans_E_AMS_Kyoto_run3_MTE!O353</f>
        <v>299.59846132130883</v>
      </c>
      <c r="L18" s="714">
        <f>Bilans_E_AMS_Kyoto_run3_MTE!P353</f>
        <v>322.97944155998459</v>
      </c>
      <c r="M18" s="714">
        <f>Bilans_E_AMS_Kyoto_run3_MTE!Q353</f>
        <v>51.348490193266947</v>
      </c>
      <c r="N18" s="714">
        <f>Bilans_E_AMS_Kyoto_run3_MTE!R353</f>
        <v>4.0404914817556943</v>
      </c>
      <c r="O18" s="714">
        <f>Bilans_E_AMS_Kyoto_run3_MTE!S353</f>
        <v>-0.92404910103339888</v>
      </c>
      <c r="P18" s="714">
        <f>Bilans_E_AMS_Kyoto_run3_MTE!T353+Bilans_E_AMS_Kyoto_run3_MTE!U353</f>
        <v>171.39585425670967</v>
      </c>
      <c r="Q18" s="714">
        <f>Bilans_E_AMS_Kyoto_run3_MTE!V353</f>
        <v>34.299691863986411</v>
      </c>
      <c r="R18" s="714">
        <f>Bilans_E_AMS_Kyoto_run3_MTE!W353</f>
        <v>-95.466033511784872</v>
      </c>
      <c r="S18" s="714">
        <f>Bilans_E_AMS_Kyoto_run3_MTE!X353</f>
        <v>0</v>
      </c>
      <c r="T18" s="714">
        <f>Bilans_E_AMS_Kyoto_run3_MTE!Y353</f>
        <v>-1.3796415766167827</v>
      </c>
      <c r="U18" s="714">
        <f>Bilans_E_AMS_Kyoto_run3_MTE!Z353</f>
        <v>2539.0973743461172</v>
      </c>
      <c r="V18" s="701"/>
      <c r="W18" s="701"/>
    </row>
    <row r="19" spans="1:23" x14ac:dyDescent="0.25">
      <c r="A19" s="701"/>
      <c r="B19" s="701"/>
      <c r="C19" s="715"/>
      <c r="D19" s="716"/>
      <c r="E19" s="716"/>
      <c r="F19" s="716"/>
      <c r="G19" s="716"/>
      <c r="H19" s="716"/>
      <c r="I19" s="716"/>
      <c r="J19" s="716"/>
      <c r="K19" s="716"/>
      <c r="L19" s="716"/>
      <c r="M19" s="716"/>
      <c r="N19" s="716"/>
      <c r="O19" s="716"/>
      <c r="P19" s="716">
        <f>Bilans_E_AMS_Kyoto_run3_MTE!T354+Bilans_E_AMS_Kyoto_run3_MTE!U354</f>
        <v>0</v>
      </c>
      <c r="Q19" s="716"/>
      <c r="R19" s="716"/>
      <c r="S19" s="716"/>
      <c r="T19" s="716"/>
      <c r="U19" s="716"/>
      <c r="V19" s="701"/>
      <c r="W19" s="701"/>
    </row>
    <row r="20" spans="1:23" x14ac:dyDescent="0.25">
      <c r="A20" s="701" t="s">
        <v>494</v>
      </c>
      <c r="B20" s="701"/>
      <c r="C20" s="717" t="s">
        <v>67</v>
      </c>
      <c r="D20" s="711">
        <f>Bilans_E_AMS_Kyoto_run3_MTE!H355</f>
        <v>0</v>
      </c>
      <c r="E20" s="711">
        <f>Bilans_E_AMS_Kyoto_run3_MTE!I355</f>
        <v>0</v>
      </c>
      <c r="F20" s="711">
        <f>Bilans_E_AMS_Kyoto_run3_MTE!J355</f>
        <v>0</v>
      </c>
      <c r="G20" s="711">
        <f>Bilans_E_AMS_Kyoto_run3_MTE!K355</f>
        <v>0</v>
      </c>
      <c r="H20" s="711">
        <f>Bilans_E_AMS_Kyoto_run3_MTE!L355</f>
        <v>0</v>
      </c>
      <c r="I20" s="711">
        <f>Bilans_E_AMS_Kyoto_run3_MTE!M355</f>
        <v>0</v>
      </c>
      <c r="J20" s="711">
        <f>Bilans_E_AMS_Kyoto_run3_MTE!N355</f>
        <v>0</v>
      </c>
      <c r="K20" s="711">
        <f>Bilans_E_AMS_Kyoto_run3_MTE!O355</f>
        <v>0</v>
      </c>
      <c r="L20" s="711">
        <f>Bilans_E_AMS_Kyoto_run3_MTE!P355</f>
        <v>0</v>
      </c>
      <c r="M20" s="711">
        <f>Bilans_E_AMS_Kyoto_run3_MTE!Q355</f>
        <v>0</v>
      </c>
      <c r="N20" s="711">
        <f>Bilans_E_AMS_Kyoto_run3_MTE!R355</f>
        <v>0</v>
      </c>
      <c r="O20" s="711">
        <f>Bilans_E_AMS_Kyoto_run3_MTE!S355</f>
        <v>0</v>
      </c>
      <c r="P20" s="711">
        <f>Bilans_E_AMS_Kyoto_run3_MTE!T355+Bilans_E_AMS_Kyoto_run3_MTE!U355</f>
        <v>0</v>
      </c>
      <c r="Q20" s="711">
        <f>Bilans_E_AMS_Kyoto_run3_MTE!V355</f>
        <v>0</v>
      </c>
      <c r="R20" s="711">
        <f>Bilans_E_AMS_Kyoto_run3_MTE!W355</f>
        <v>0</v>
      </c>
      <c r="S20" s="711">
        <f>Bilans_E_AMS_Kyoto_run3_MTE!X355</f>
        <v>0</v>
      </c>
      <c r="T20" s="711">
        <f>Bilans_E_AMS_Kyoto_run3_MTE!Y355</f>
        <v>0</v>
      </c>
      <c r="U20" s="711">
        <f>Bilans_E_AMS_Kyoto_run3_MTE!Z355</f>
        <v>0</v>
      </c>
      <c r="V20" s="701"/>
      <c r="W20" s="701"/>
    </row>
    <row r="21" spans="1:23" x14ac:dyDescent="0.25">
      <c r="A21" s="701" t="s">
        <v>495</v>
      </c>
      <c r="B21" s="701"/>
      <c r="C21" s="717" t="s">
        <v>347</v>
      </c>
      <c r="D21" s="711">
        <f>Bilans_E_AMS_Kyoto_run3_MTE!H356</f>
        <v>0</v>
      </c>
      <c r="E21" s="711">
        <f>Bilans_E_AMS_Kyoto_run3_MTE!I356</f>
        <v>0</v>
      </c>
      <c r="F21" s="711">
        <f>Bilans_E_AMS_Kyoto_run3_MTE!J356</f>
        <v>0.802217285608815</v>
      </c>
      <c r="G21" s="711">
        <f>Bilans_E_AMS_Kyoto_run3_MTE!K356</f>
        <v>0</v>
      </c>
      <c r="H21" s="711">
        <f>Bilans_E_AMS_Kyoto_run3_MTE!L356</f>
        <v>25.778498998044444</v>
      </c>
      <c r="I21" s="711">
        <f>Bilans_E_AMS_Kyoto_run3_MTE!M356</f>
        <v>0</v>
      </c>
      <c r="J21" s="711">
        <f>Bilans_E_AMS_Kyoto_run3_MTE!N356</f>
        <v>1162.7439999999999</v>
      </c>
      <c r="K21" s="711">
        <f>Bilans_E_AMS_Kyoto_run3_MTE!O356</f>
        <v>299.59846132130883</v>
      </c>
      <c r="L21" s="711">
        <f>Bilans_E_AMS_Kyoto_run3_MTE!P356</f>
        <v>15.921747993621487</v>
      </c>
      <c r="M21" s="711">
        <f>Bilans_E_AMS_Kyoto_run3_MTE!Q356</f>
        <v>5.93692826914703</v>
      </c>
      <c r="N21" s="711">
        <f>Bilans_E_AMS_Kyoto_run3_MTE!R356</f>
        <v>5.0291337303525587</v>
      </c>
      <c r="O21" s="711">
        <f>Bilans_E_AMS_Kyoto_run3_MTE!S356</f>
        <v>8.748119861379541</v>
      </c>
      <c r="P21" s="711">
        <f>Bilans_E_AMS_Kyoto_run3_MTE!T356+Bilans_E_AMS_Kyoto_run3_MTE!U356</f>
        <v>0</v>
      </c>
      <c r="Q21" s="711">
        <f>Bilans_E_AMS_Kyoto_run3_MTE!V356</f>
        <v>2.7943993103273139</v>
      </c>
      <c r="R21" s="711">
        <f>Bilans_E_AMS_Kyoto_run3_MTE!W356</f>
        <v>-717.37547960636846</v>
      </c>
      <c r="S21" s="711">
        <f>Bilans_E_AMS_Kyoto_run3_MTE!X356</f>
        <v>0</v>
      </c>
      <c r="T21" s="711">
        <f>Bilans_E_AMS_Kyoto_run3_MTE!Y356</f>
        <v>0</v>
      </c>
      <c r="U21" s="711">
        <f>Bilans_E_AMS_Kyoto_run3_MTE!Z356</f>
        <v>809.97802716342164</v>
      </c>
      <c r="V21" s="701"/>
      <c r="W21" s="701"/>
    </row>
    <row r="22" spans="1:23" x14ac:dyDescent="0.25">
      <c r="A22" s="701" t="s">
        <v>496</v>
      </c>
      <c r="B22" s="701"/>
      <c r="C22" s="717" t="s">
        <v>348</v>
      </c>
      <c r="D22" s="711">
        <f>Bilans_E_AMS_Kyoto_run3_MTE!H357</f>
        <v>0</v>
      </c>
      <c r="E22" s="711">
        <f>Bilans_E_AMS_Kyoto_run3_MTE!I357</f>
        <v>0</v>
      </c>
      <c r="F22" s="711">
        <f>Bilans_E_AMS_Kyoto_run3_MTE!J357</f>
        <v>0</v>
      </c>
      <c r="G22" s="711">
        <f>Bilans_E_AMS_Kyoto_run3_MTE!K357</f>
        <v>0</v>
      </c>
      <c r="H22" s="711">
        <f>Bilans_E_AMS_Kyoto_run3_MTE!L357</f>
        <v>21.610761712544495</v>
      </c>
      <c r="I22" s="711">
        <f>Bilans_E_AMS_Kyoto_run3_MTE!M357</f>
        <v>0</v>
      </c>
      <c r="J22" s="711">
        <f>Bilans_E_AMS_Kyoto_run3_MTE!N357</f>
        <v>0</v>
      </c>
      <c r="K22" s="711">
        <f>Bilans_E_AMS_Kyoto_run3_MTE!O357</f>
        <v>0</v>
      </c>
      <c r="L22" s="711">
        <f>Bilans_E_AMS_Kyoto_run3_MTE!P357</f>
        <v>24.785104378649287</v>
      </c>
      <c r="M22" s="711">
        <f>Bilans_E_AMS_Kyoto_run3_MTE!Q357</f>
        <v>17.95996245859666</v>
      </c>
      <c r="N22" s="711">
        <f>Bilans_E_AMS_Kyoto_run3_MTE!R357</f>
        <v>0</v>
      </c>
      <c r="O22" s="711">
        <f>Bilans_E_AMS_Kyoto_run3_MTE!S357</f>
        <v>6.3205787341877624</v>
      </c>
      <c r="P22" s="711">
        <f>Bilans_E_AMS_Kyoto_run3_MTE!T357+Bilans_E_AMS_Kyoto_run3_MTE!U357</f>
        <v>14.160487242314748</v>
      </c>
      <c r="Q22" s="711">
        <f>Bilans_E_AMS_Kyoto_run3_MTE!V357</f>
        <v>14.189843081655606</v>
      </c>
      <c r="R22" s="711">
        <f>Bilans_E_AMS_Kyoto_run3_MTE!W357</f>
        <v>0</v>
      </c>
      <c r="S22" s="711">
        <f>Bilans_E_AMS_Kyoto_run3_MTE!X357</f>
        <v>-90.295152964101419</v>
      </c>
      <c r="T22" s="711">
        <f>Bilans_E_AMS_Kyoto_run3_MTE!Y357</f>
        <v>0</v>
      </c>
      <c r="U22" s="711">
        <f>Bilans_E_AMS_Kyoto_run3_MTE!Z357</f>
        <v>8.7315846438471425</v>
      </c>
      <c r="V22" s="701"/>
      <c r="W22" s="701"/>
    </row>
    <row r="23" spans="1:23" x14ac:dyDescent="0.25">
      <c r="A23" s="701" t="s">
        <v>497</v>
      </c>
      <c r="B23" s="701"/>
      <c r="C23" s="717" t="s">
        <v>349</v>
      </c>
      <c r="D23" s="711">
        <f>Bilans_E_AMS_Kyoto_run3_MTE!H358</f>
        <v>0</v>
      </c>
      <c r="E23" s="711">
        <f>Bilans_E_AMS_Kyoto_run3_MTE!I358</f>
        <v>0</v>
      </c>
      <c r="F23" s="711">
        <f>Bilans_E_AMS_Kyoto_run3_MTE!J358</f>
        <v>0</v>
      </c>
      <c r="G23" s="711">
        <f>Bilans_E_AMS_Kyoto_run3_MTE!K358</f>
        <v>0</v>
      </c>
      <c r="H23" s="711">
        <f>Bilans_E_AMS_Kyoto_run3_MTE!L358</f>
        <v>0</v>
      </c>
      <c r="I23" s="711">
        <f>Bilans_E_AMS_Kyoto_run3_MTE!M358</f>
        <v>0</v>
      </c>
      <c r="J23" s="711">
        <f>Bilans_E_AMS_Kyoto_run3_MTE!N358</f>
        <v>0</v>
      </c>
      <c r="K23" s="711">
        <f>Bilans_E_AMS_Kyoto_run3_MTE!O358</f>
        <v>0</v>
      </c>
      <c r="L23" s="711">
        <f>Bilans_E_AMS_Kyoto_run3_MTE!P358</f>
        <v>95.025274759778867</v>
      </c>
      <c r="M23" s="711">
        <f>Bilans_E_AMS_Kyoto_run3_MTE!Q358</f>
        <v>10.678076799137498</v>
      </c>
      <c r="N23" s="711">
        <f>Bilans_E_AMS_Kyoto_run3_MTE!R358</f>
        <v>0</v>
      </c>
      <c r="O23" s="711">
        <f>Bilans_E_AMS_Kyoto_run3_MTE!S358</f>
        <v>-52.932106946617139</v>
      </c>
      <c r="P23" s="711">
        <f>Bilans_E_AMS_Kyoto_run3_MTE!T358+Bilans_E_AMS_Kyoto_run3_MTE!U358</f>
        <v>0</v>
      </c>
      <c r="Q23" s="711">
        <f>Bilans_E_AMS_Kyoto_run3_MTE!V358</f>
        <v>0</v>
      </c>
      <c r="R23" s="711">
        <f>Bilans_E_AMS_Kyoto_run3_MTE!W358</f>
        <v>0</v>
      </c>
      <c r="S23" s="711">
        <f>Bilans_E_AMS_Kyoto_run3_MTE!X358</f>
        <v>0</v>
      </c>
      <c r="T23" s="711">
        <f>Bilans_E_AMS_Kyoto_run3_MTE!Y358</f>
        <v>0</v>
      </c>
      <c r="U23" s="711">
        <f>Bilans_E_AMS_Kyoto_run3_MTE!Z358</f>
        <v>52.771244612299228</v>
      </c>
      <c r="V23" s="701"/>
      <c r="W23" s="701"/>
    </row>
    <row r="24" spans="1:23" x14ac:dyDescent="0.25">
      <c r="A24" s="701" t="s">
        <v>498</v>
      </c>
      <c r="B24" s="701"/>
      <c r="C24" s="717" t="s">
        <v>350</v>
      </c>
      <c r="D24" s="711">
        <f>Bilans_E_AMS_Kyoto_run3_MTE!H359</f>
        <v>0</v>
      </c>
      <c r="E24" s="711">
        <f>Bilans_E_AMS_Kyoto_run3_MTE!I359</f>
        <v>0</v>
      </c>
      <c r="F24" s="711">
        <f>Bilans_E_AMS_Kyoto_run3_MTE!J359</f>
        <v>0</v>
      </c>
      <c r="G24" s="711">
        <f>Bilans_E_AMS_Kyoto_run3_MTE!K359</f>
        <v>0</v>
      </c>
      <c r="H24" s="711">
        <f>Bilans_E_AMS_Kyoto_run3_MTE!L359</f>
        <v>0</v>
      </c>
      <c r="I24" s="711">
        <f>Bilans_E_AMS_Kyoto_run3_MTE!M359</f>
        <v>-0.61307452578826904</v>
      </c>
      <c r="J24" s="711">
        <f>Bilans_E_AMS_Kyoto_run3_MTE!N359</f>
        <v>0</v>
      </c>
      <c r="K24" s="711">
        <f>Bilans_E_AMS_Kyoto_run3_MTE!O359</f>
        <v>0</v>
      </c>
      <c r="L24" s="711">
        <f>Bilans_E_AMS_Kyoto_run3_MTE!P359</f>
        <v>0</v>
      </c>
      <c r="M24" s="711">
        <f>Bilans_E_AMS_Kyoto_run3_MTE!Q359</f>
        <v>0</v>
      </c>
      <c r="N24" s="711">
        <f>Bilans_E_AMS_Kyoto_run3_MTE!R359</f>
        <v>0</v>
      </c>
      <c r="O24" s="711">
        <f>Bilans_E_AMS_Kyoto_run3_MTE!S359</f>
        <v>0</v>
      </c>
      <c r="P24" s="711">
        <f>Bilans_E_AMS_Kyoto_run3_MTE!T359+Bilans_E_AMS_Kyoto_run3_MTE!U359</f>
        <v>0</v>
      </c>
      <c r="Q24" s="711">
        <f>Bilans_E_AMS_Kyoto_run3_MTE!V359</f>
        <v>0</v>
      </c>
      <c r="R24" s="711">
        <f>Bilans_E_AMS_Kyoto_run3_MTE!W359</f>
        <v>0</v>
      </c>
      <c r="S24" s="711">
        <f>Bilans_E_AMS_Kyoto_run3_MTE!X359</f>
        <v>0</v>
      </c>
      <c r="T24" s="711">
        <f>Bilans_E_AMS_Kyoto_run3_MTE!Y359</f>
        <v>0.85149239692815148</v>
      </c>
      <c r="U24" s="711">
        <f>Bilans_E_AMS_Kyoto_run3_MTE!Z359</f>
        <v>0.23841787113988244</v>
      </c>
      <c r="V24" s="701"/>
      <c r="W24" s="701"/>
    </row>
    <row r="25" spans="1:23" x14ac:dyDescent="0.25">
      <c r="A25" s="701" t="s">
        <v>499</v>
      </c>
      <c r="B25" s="701"/>
      <c r="C25" s="717" t="s">
        <v>72</v>
      </c>
      <c r="D25" s="711">
        <f>Bilans_E_AMS_Kyoto_run3_MTE!H360</f>
        <v>0</v>
      </c>
      <c r="E25" s="711">
        <f>Bilans_E_AMS_Kyoto_run3_MTE!I360</f>
        <v>325.09767157974136</v>
      </c>
      <c r="F25" s="711">
        <f>Bilans_E_AMS_Kyoto_run3_MTE!J360</f>
        <v>-321.84669486394392</v>
      </c>
      <c r="G25" s="711">
        <f>Bilans_E_AMS_Kyoto_run3_MTE!K360</f>
        <v>0</v>
      </c>
      <c r="H25" s="711">
        <f>Bilans_E_AMS_Kyoto_run3_MTE!L360</f>
        <v>0</v>
      </c>
      <c r="I25" s="711">
        <f>Bilans_E_AMS_Kyoto_run3_MTE!M360</f>
        <v>0</v>
      </c>
      <c r="J25" s="711">
        <f>Bilans_E_AMS_Kyoto_run3_MTE!N360</f>
        <v>0</v>
      </c>
      <c r="K25" s="711">
        <f>Bilans_E_AMS_Kyoto_run3_MTE!O360</f>
        <v>0</v>
      </c>
      <c r="L25" s="711">
        <f>Bilans_E_AMS_Kyoto_run3_MTE!P360</f>
        <v>0</v>
      </c>
      <c r="M25" s="711">
        <f>Bilans_E_AMS_Kyoto_run3_MTE!Q360</f>
        <v>0</v>
      </c>
      <c r="N25" s="711">
        <f>Bilans_E_AMS_Kyoto_run3_MTE!R360</f>
        <v>0</v>
      </c>
      <c r="O25" s="711">
        <f>Bilans_E_AMS_Kyoto_run3_MTE!S360</f>
        <v>0</v>
      </c>
      <c r="P25" s="711">
        <f>Bilans_E_AMS_Kyoto_run3_MTE!T360+Bilans_E_AMS_Kyoto_run3_MTE!U360</f>
        <v>0</v>
      </c>
      <c r="Q25" s="711">
        <f>Bilans_E_AMS_Kyoto_run3_MTE!V360</f>
        <v>0</v>
      </c>
      <c r="R25" s="711">
        <f>Bilans_E_AMS_Kyoto_run3_MTE!W360</f>
        <v>0</v>
      </c>
      <c r="S25" s="711">
        <f>Bilans_E_AMS_Kyoto_run3_MTE!X360</f>
        <v>0</v>
      </c>
      <c r="T25" s="711">
        <f>Bilans_E_AMS_Kyoto_run3_MTE!Y360</f>
        <v>0</v>
      </c>
      <c r="U25" s="711">
        <f>Bilans_E_AMS_Kyoto_run3_MTE!Z360</f>
        <v>3.2509767157974352</v>
      </c>
      <c r="V25" s="701"/>
      <c r="W25" s="701"/>
    </row>
    <row r="26" spans="1:23" x14ac:dyDescent="0.25">
      <c r="A26" s="701" t="s">
        <v>500</v>
      </c>
      <c r="B26" s="701"/>
      <c r="C26" s="717" t="s">
        <v>351</v>
      </c>
      <c r="D26" s="711">
        <f>Bilans_E_AMS_Kyoto_run3_MTE!H361</f>
        <v>0</v>
      </c>
      <c r="E26" s="711">
        <f>Bilans_E_AMS_Kyoto_run3_MTE!I361</f>
        <v>0</v>
      </c>
      <c r="F26" s="711">
        <f>Bilans_E_AMS_Kyoto_run3_MTE!J361</f>
        <v>0</v>
      </c>
      <c r="G26" s="711">
        <f>Bilans_E_AMS_Kyoto_run3_MTE!K361</f>
        <v>0</v>
      </c>
      <c r="H26" s="711">
        <f>Bilans_E_AMS_Kyoto_run3_MTE!L361</f>
        <v>0</v>
      </c>
      <c r="I26" s="711">
        <f>Bilans_E_AMS_Kyoto_run3_MTE!M361</f>
        <v>0</v>
      </c>
      <c r="J26" s="711">
        <f>Bilans_E_AMS_Kyoto_run3_MTE!N361</f>
        <v>0</v>
      </c>
      <c r="K26" s="711">
        <f>Bilans_E_AMS_Kyoto_run3_MTE!O361</f>
        <v>0</v>
      </c>
      <c r="L26" s="711">
        <f>Bilans_E_AMS_Kyoto_run3_MTE!P361</f>
        <v>83.277924958812179</v>
      </c>
      <c r="M26" s="711">
        <f>Bilans_E_AMS_Kyoto_run3_MTE!Q361</f>
        <v>7.2727272727272725</v>
      </c>
      <c r="N26" s="711">
        <f>Bilans_E_AMS_Kyoto_run3_MTE!R361</f>
        <v>-50.501152166962441</v>
      </c>
      <c r="O26" s="711">
        <f>Bilans_E_AMS_Kyoto_run3_MTE!S361</f>
        <v>0</v>
      </c>
      <c r="P26" s="711">
        <f>Bilans_E_AMS_Kyoto_run3_MTE!T361+Bilans_E_AMS_Kyoto_run3_MTE!U361</f>
        <v>0</v>
      </c>
      <c r="Q26" s="711">
        <f>Bilans_E_AMS_Kyoto_run3_MTE!V361</f>
        <v>0</v>
      </c>
      <c r="R26" s="711">
        <f>Bilans_E_AMS_Kyoto_run3_MTE!W361</f>
        <v>0</v>
      </c>
      <c r="S26" s="711">
        <f>Bilans_E_AMS_Kyoto_run3_MTE!X361</f>
        <v>0</v>
      </c>
      <c r="T26" s="711">
        <f>Bilans_E_AMS_Kyoto_run3_MTE!Y361</f>
        <v>0</v>
      </c>
      <c r="U26" s="711">
        <f>Bilans_E_AMS_Kyoto_run3_MTE!Z361</f>
        <v>40.049500064577003</v>
      </c>
      <c r="V26" s="701"/>
      <c r="W26" s="701"/>
    </row>
    <row r="27" spans="1:23" x14ac:dyDescent="0.25">
      <c r="A27" s="701" t="s">
        <v>501</v>
      </c>
      <c r="B27" s="701"/>
      <c r="C27" s="717" t="s">
        <v>352</v>
      </c>
      <c r="D27" s="711">
        <f>Bilans_E_AMS_Kyoto_run3_MTE!H362</f>
        <v>0</v>
      </c>
      <c r="E27" s="711">
        <f>Bilans_E_AMS_Kyoto_run3_MTE!I362</f>
        <v>0</v>
      </c>
      <c r="F27" s="711">
        <f>Bilans_E_AMS_Kyoto_run3_MTE!J362</f>
        <v>0</v>
      </c>
      <c r="G27" s="711">
        <f>Bilans_E_AMS_Kyoto_run3_MTE!K362</f>
        <v>-2.9087163505255127</v>
      </c>
      <c r="H27" s="711">
        <f>Bilans_E_AMS_Kyoto_run3_MTE!L362</f>
        <v>0</v>
      </c>
      <c r="I27" s="711">
        <f>Bilans_E_AMS_Kyoto_run3_MTE!M362</f>
        <v>0</v>
      </c>
      <c r="J27" s="711">
        <f>Bilans_E_AMS_Kyoto_run3_MTE!N362</f>
        <v>0</v>
      </c>
      <c r="K27" s="711">
        <f>Bilans_E_AMS_Kyoto_run3_MTE!O362</f>
        <v>0</v>
      </c>
      <c r="L27" s="711">
        <f>Bilans_E_AMS_Kyoto_run3_MTE!P362</f>
        <v>0</v>
      </c>
      <c r="M27" s="711">
        <f>Bilans_E_AMS_Kyoto_run3_MTE!Q362</f>
        <v>0</v>
      </c>
      <c r="N27" s="711">
        <f>Bilans_E_AMS_Kyoto_run3_MTE!R362</f>
        <v>0</v>
      </c>
      <c r="O27" s="711">
        <f>Bilans_E_AMS_Kyoto_run3_MTE!S362</f>
        <v>0</v>
      </c>
      <c r="P27" s="711">
        <f>Bilans_E_AMS_Kyoto_run3_MTE!T362+Bilans_E_AMS_Kyoto_run3_MTE!U362</f>
        <v>0</v>
      </c>
      <c r="Q27" s="711">
        <f>Bilans_E_AMS_Kyoto_run3_MTE!V362</f>
        <v>0</v>
      </c>
      <c r="R27" s="711">
        <f>Bilans_E_AMS_Kyoto_run3_MTE!W362</f>
        <v>0</v>
      </c>
      <c r="S27" s="711">
        <f>Bilans_E_AMS_Kyoto_run3_MTE!X362</f>
        <v>0</v>
      </c>
      <c r="T27" s="711">
        <f>Bilans_E_AMS_Kyoto_run3_MTE!Y362</f>
        <v>4.8495879855780641</v>
      </c>
      <c r="U27" s="711">
        <f>Bilans_E_AMS_Kyoto_run3_MTE!Z362</f>
        <v>1.9408716350525514</v>
      </c>
      <c r="V27" s="701"/>
      <c r="W27" s="701"/>
    </row>
    <row r="28" spans="1:23" x14ac:dyDescent="0.25">
      <c r="A28" s="701" t="s">
        <v>502</v>
      </c>
      <c r="B28" s="701"/>
      <c r="C28" s="717" t="s">
        <v>73</v>
      </c>
      <c r="D28" s="711">
        <f>Bilans_E_AMS_Kyoto_run3_MTE!H363</f>
        <v>0</v>
      </c>
      <c r="E28" s="711">
        <f>Bilans_E_AMS_Kyoto_run3_MTE!I363</f>
        <v>0</v>
      </c>
      <c r="F28" s="711">
        <f>Bilans_E_AMS_Kyoto_run3_MTE!J363</f>
        <v>0</v>
      </c>
      <c r="G28" s="711">
        <f>Bilans_E_AMS_Kyoto_run3_MTE!K363</f>
        <v>0</v>
      </c>
      <c r="H28" s="711">
        <f>Bilans_E_AMS_Kyoto_run3_MTE!L363</f>
        <v>0</v>
      </c>
      <c r="I28" s="711">
        <f>Bilans_E_AMS_Kyoto_run3_MTE!M363</f>
        <v>0</v>
      </c>
      <c r="J28" s="711">
        <f>Bilans_E_AMS_Kyoto_run3_MTE!N363</f>
        <v>0</v>
      </c>
      <c r="K28" s="711">
        <f>Bilans_E_AMS_Kyoto_run3_MTE!O363</f>
        <v>0</v>
      </c>
      <c r="L28" s="711">
        <f>Bilans_E_AMS_Kyoto_run3_MTE!P363</f>
        <v>0</v>
      </c>
      <c r="M28" s="711">
        <f>Bilans_E_AMS_Kyoto_run3_MTE!Q363</f>
        <v>0</v>
      </c>
      <c r="N28" s="711">
        <f>Bilans_E_AMS_Kyoto_run3_MTE!R363</f>
        <v>0</v>
      </c>
      <c r="O28" s="711">
        <f>Bilans_E_AMS_Kyoto_run3_MTE!S363</f>
        <v>0</v>
      </c>
      <c r="P28" s="711">
        <f>Bilans_E_AMS_Kyoto_run3_MTE!T363+Bilans_E_AMS_Kyoto_run3_MTE!U363</f>
        <v>0</v>
      </c>
      <c r="Q28" s="711">
        <f>Bilans_E_AMS_Kyoto_run3_MTE!V363</f>
        <v>0</v>
      </c>
      <c r="R28" s="711">
        <f>Bilans_E_AMS_Kyoto_run3_MTE!W363</f>
        <v>32.352563963788228</v>
      </c>
      <c r="S28" s="711">
        <f>Bilans_E_AMS_Kyoto_run3_MTE!X363</f>
        <v>0</v>
      </c>
      <c r="T28" s="711">
        <f>Bilans_E_AMS_Kyoto_run3_MTE!Y363</f>
        <v>-21.595336445828643</v>
      </c>
      <c r="U28" s="711">
        <f>Bilans_E_AMS_Kyoto_run3_MTE!Z363</f>
        <v>10.757227517959585</v>
      </c>
      <c r="V28" s="701"/>
      <c r="W28" s="701"/>
    </row>
    <row r="29" spans="1:23" x14ac:dyDescent="0.25">
      <c r="A29" s="701" t="s">
        <v>503</v>
      </c>
      <c r="B29" s="701"/>
      <c r="C29" s="717" t="s">
        <v>353</v>
      </c>
      <c r="D29" s="711">
        <f>Bilans_E_AMS_Kyoto_run3_MTE!H364</f>
        <v>9.0096813281249997</v>
      </c>
      <c r="E29" s="711">
        <f>Bilans_E_AMS_Kyoto_run3_MTE!I364</f>
        <v>-11.398239160930634</v>
      </c>
      <c r="F29" s="711">
        <f>Bilans_E_AMS_Kyoto_run3_MTE!J364</f>
        <v>15.062765425262727</v>
      </c>
      <c r="G29" s="711">
        <f>Bilans_E_AMS_Kyoto_run3_MTE!K364</f>
        <v>0</v>
      </c>
      <c r="H29" s="711">
        <f>Bilans_E_AMS_Kyoto_run3_MTE!L364</f>
        <v>0</v>
      </c>
      <c r="I29" s="711">
        <f>Bilans_E_AMS_Kyoto_run3_MTE!M364</f>
        <v>0</v>
      </c>
      <c r="J29" s="711">
        <f>Bilans_E_AMS_Kyoto_run3_MTE!N364</f>
        <v>0</v>
      </c>
      <c r="K29" s="711">
        <f>Bilans_E_AMS_Kyoto_run3_MTE!O364</f>
        <v>0</v>
      </c>
      <c r="L29" s="711">
        <f>Bilans_E_AMS_Kyoto_run3_MTE!P364</f>
        <v>0</v>
      </c>
      <c r="M29" s="711">
        <f>Bilans_E_AMS_Kyoto_run3_MTE!Q364</f>
        <v>0</v>
      </c>
      <c r="N29" s="711">
        <f>Bilans_E_AMS_Kyoto_run3_MTE!R364</f>
        <v>0</v>
      </c>
      <c r="O29" s="711">
        <f>Bilans_E_AMS_Kyoto_run3_MTE!S364</f>
        <v>0</v>
      </c>
      <c r="P29" s="711">
        <f>Bilans_E_AMS_Kyoto_run3_MTE!T364+Bilans_E_AMS_Kyoto_run3_MTE!U364</f>
        <v>0</v>
      </c>
      <c r="Q29" s="711">
        <f>Bilans_E_AMS_Kyoto_run3_MTE!V364</f>
        <v>0</v>
      </c>
      <c r="R29" s="711">
        <f>Bilans_E_AMS_Kyoto_run3_MTE!W364</f>
        <v>0</v>
      </c>
      <c r="S29" s="711">
        <f>Bilans_E_AMS_Kyoto_run3_MTE!X364</f>
        <v>0</v>
      </c>
      <c r="T29" s="711">
        <f>Bilans_E_AMS_Kyoto_run3_MTE!Y364</f>
        <v>0</v>
      </c>
      <c r="U29" s="711">
        <f>Bilans_E_AMS_Kyoto_run3_MTE!Z364</f>
        <v>12.674207592457092</v>
      </c>
      <c r="V29" s="701"/>
      <c r="W29" s="701"/>
    </row>
    <row r="30" spans="1:23" x14ac:dyDescent="0.25">
      <c r="A30" s="701" t="s">
        <v>504</v>
      </c>
      <c r="B30" s="701"/>
      <c r="C30" s="717" t="s">
        <v>75</v>
      </c>
      <c r="D30" s="711">
        <f>Bilans_E_AMS_Kyoto_run3_MTE!H365</f>
        <v>3.5037649609375006</v>
      </c>
      <c r="E30" s="711">
        <f>Bilans_E_AMS_Kyoto_run3_MTE!I365</f>
        <v>0</v>
      </c>
      <c r="F30" s="711">
        <f>Bilans_E_AMS_Kyoto_run3_MTE!J365</f>
        <v>11.25597354471723</v>
      </c>
      <c r="G30" s="711">
        <f>Bilans_E_AMS_Kyoto_run3_MTE!K365</f>
        <v>0</v>
      </c>
      <c r="H30" s="711">
        <f>Bilans_E_AMS_Kyoto_run3_MTE!L365</f>
        <v>0</v>
      </c>
      <c r="I30" s="711">
        <f>Bilans_E_AMS_Kyoto_run3_MTE!M365</f>
        <v>0</v>
      </c>
      <c r="J30" s="711">
        <f>Bilans_E_AMS_Kyoto_run3_MTE!N365</f>
        <v>0</v>
      </c>
      <c r="K30" s="711">
        <f>Bilans_E_AMS_Kyoto_run3_MTE!O365</f>
        <v>0</v>
      </c>
      <c r="L30" s="711">
        <f>Bilans_E_AMS_Kyoto_run3_MTE!P365</f>
        <v>0</v>
      </c>
      <c r="M30" s="711">
        <f>Bilans_E_AMS_Kyoto_run3_MTE!Q365</f>
        <v>0</v>
      </c>
      <c r="N30" s="711">
        <f>Bilans_E_AMS_Kyoto_run3_MTE!R365</f>
        <v>0</v>
      </c>
      <c r="O30" s="711">
        <f>Bilans_E_AMS_Kyoto_run3_MTE!S365</f>
        <v>0</v>
      </c>
      <c r="P30" s="711">
        <f>Bilans_E_AMS_Kyoto_run3_MTE!T365+Bilans_E_AMS_Kyoto_run3_MTE!U365</f>
        <v>0</v>
      </c>
      <c r="Q30" s="711">
        <f>Bilans_E_AMS_Kyoto_run3_MTE!V365</f>
        <v>0</v>
      </c>
      <c r="R30" s="711">
        <f>Bilans_E_AMS_Kyoto_run3_MTE!W365</f>
        <v>35.053658012222463</v>
      </c>
      <c r="S30" s="711">
        <f>Bilans_E_AMS_Kyoto_run3_MTE!X365</f>
        <v>0</v>
      </c>
      <c r="T30" s="711">
        <f>Bilans_E_AMS_Kyoto_run3_MTE!Y365</f>
        <v>3.1951837496115347</v>
      </c>
      <c r="U30" s="711">
        <f>Bilans_E_AMS_Kyoto_run3_MTE!Z365</f>
        <v>53.008580267488732</v>
      </c>
      <c r="V30" s="701"/>
      <c r="W30" s="701"/>
    </row>
    <row r="31" spans="1:23" x14ac:dyDescent="0.25">
      <c r="A31" s="701" t="s">
        <v>505</v>
      </c>
      <c r="B31" s="701"/>
      <c r="C31" s="717" t="s">
        <v>76</v>
      </c>
      <c r="D31" s="711">
        <f>Bilans_E_AMS_Kyoto_run3_MTE!H366</f>
        <v>0</v>
      </c>
      <c r="E31" s="711">
        <f>Bilans_E_AMS_Kyoto_run3_MTE!I366</f>
        <v>0</v>
      </c>
      <c r="F31" s="711">
        <f>Bilans_E_AMS_Kyoto_run3_MTE!J366</f>
        <v>0</v>
      </c>
      <c r="G31" s="711">
        <f>Bilans_E_AMS_Kyoto_run3_MTE!K366</f>
        <v>0</v>
      </c>
      <c r="H31" s="711">
        <f>Bilans_E_AMS_Kyoto_run3_MTE!L366</f>
        <v>2.3417362535553745</v>
      </c>
      <c r="I31" s="711">
        <f>Bilans_E_AMS_Kyoto_run3_MTE!M366</f>
        <v>0</v>
      </c>
      <c r="J31" s="711">
        <f>Bilans_E_AMS_Kyoto_run3_MTE!N366</f>
        <v>0</v>
      </c>
      <c r="K31" s="711">
        <f>Bilans_E_AMS_Kyoto_run3_MTE!O366</f>
        <v>0</v>
      </c>
      <c r="L31" s="711">
        <f>Bilans_E_AMS_Kyoto_run3_MTE!P366</f>
        <v>0</v>
      </c>
      <c r="M31" s="711">
        <f>Bilans_E_AMS_Kyoto_run3_MTE!Q366</f>
        <v>0</v>
      </c>
      <c r="N31" s="711">
        <f>Bilans_E_AMS_Kyoto_run3_MTE!R366</f>
        <v>0</v>
      </c>
      <c r="O31" s="711">
        <f>Bilans_E_AMS_Kyoto_run3_MTE!S366</f>
        <v>0.58543406338884363</v>
      </c>
      <c r="P31" s="711">
        <f>Bilans_E_AMS_Kyoto_run3_MTE!T366+Bilans_E_AMS_Kyoto_run3_MTE!U366</f>
        <v>0</v>
      </c>
      <c r="Q31" s="711">
        <f>Bilans_E_AMS_Kyoto_run3_MTE!V366</f>
        <v>0</v>
      </c>
      <c r="R31" s="711">
        <f>Bilans_E_AMS_Kyoto_run3_MTE!W366</f>
        <v>50.833401683684251</v>
      </c>
      <c r="S31" s="711">
        <f>Bilans_E_AMS_Kyoto_run3_MTE!X366</f>
        <v>7.00152240179274</v>
      </c>
      <c r="T31" s="711">
        <f>Bilans_E_AMS_Kyoto_run3_MTE!Y366</f>
        <v>0</v>
      </c>
      <c r="U31" s="711">
        <f>Bilans_E_AMS_Kyoto_run3_MTE!Z366</f>
        <v>60.762094402421212</v>
      </c>
      <c r="V31" s="701"/>
      <c r="W31" s="701"/>
    </row>
    <row r="32" spans="1:23" x14ac:dyDescent="0.25">
      <c r="A32" s="701" t="s">
        <v>506</v>
      </c>
      <c r="B32" s="701"/>
      <c r="C32" s="713" t="s">
        <v>77</v>
      </c>
      <c r="D32" s="714">
        <f>Bilans_E_AMS_Kyoto_run3_MTE!H367</f>
        <v>12.5134462890625</v>
      </c>
      <c r="E32" s="714">
        <f>Bilans_E_AMS_Kyoto_run3_MTE!I367</f>
        <v>313.69943241881072</v>
      </c>
      <c r="F32" s="714">
        <f>Bilans_E_AMS_Kyoto_run3_MTE!J367</f>
        <v>-294.72573860835513</v>
      </c>
      <c r="G32" s="714">
        <f>Bilans_E_AMS_Kyoto_run3_MTE!K367</f>
        <v>-2.9087163505255127</v>
      </c>
      <c r="H32" s="714">
        <f>Bilans_E_AMS_Kyoto_run3_MTE!L367</f>
        <v>49.730996964144317</v>
      </c>
      <c r="I32" s="714">
        <f>Bilans_E_AMS_Kyoto_run3_MTE!M367</f>
        <v>-0.61307452578826904</v>
      </c>
      <c r="J32" s="714">
        <f>Bilans_E_AMS_Kyoto_run3_MTE!N367</f>
        <v>1162.7439999999999</v>
      </c>
      <c r="K32" s="714">
        <f>Bilans_E_AMS_Kyoto_run3_MTE!O367</f>
        <v>299.59846132130883</v>
      </c>
      <c r="L32" s="714">
        <f>Bilans_E_AMS_Kyoto_run3_MTE!P367</f>
        <v>219.01005209086182</v>
      </c>
      <c r="M32" s="714">
        <f>Bilans_E_AMS_Kyoto_run3_MTE!Q367</f>
        <v>41.847694799608462</v>
      </c>
      <c r="N32" s="714">
        <f>Bilans_E_AMS_Kyoto_run3_MTE!R367</f>
        <v>-45.472018436609886</v>
      </c>
      <c r="O32" s="714">
        <f>Bilans_E_AMS_Kyoto_run3_MTE!S367</f>
        <v>-37.277974287660989</v>
      </c>
      <c r="P32" s="714">
        <f>Bilans_E_AMS_Kyoto_run3_MTE!T367+Bilans_E_AMS_Kyoto_run3_MTE!U367</f>
        <v>14.160487242314748</v>
      </c>
      <c r="Q32" s="714">
        <f>Bilans_E_AMS_Kyoto_run3_MTE!V367</f>
        <v>16.984242391982921</v>
      </c>
      <c r="R32" s="714">
        <f>Bilans_E_AMS_Kyoto_run3_MTE!W367</f>
        <v>-599.13585594667347</v>
      </c>
      <c r="S32" s="714">
        <f>Bilans_E_AMS_Kyoto_run3_MTE!X367</f>
        <v>-83.293630562308678</v>
      </c>
      <c r="T32" s="714">
        <f>Bilans_E_AMS_Kyoto_run3_MTE!Y367</f>
        <v>-12.699072313710893</v>
      </c>
      <c r="U32" s="714">
        <f>Bilans_E_AMS_Kyoto_run3_MTE!Z367</f>
        <v>1054.1627324864614</v>
      </c>
      <c r="V32" s="701"/>
      <c r="W32" s="701"/>
    </row>
    <row r="33" spans="1:23" x14ac:dyDescent="0.25">
      <c r="A33" s="701"/>
      <c r="B33" s="701"/>
      <c r="C33" s="715"/>
      <c r="D33" s="716"/>
      <c r="E33" s="716"/>
      <c r="F33" s="716"/>
      <c r="G33" s="716"/>
      <c r="H33" s="716"/>
      <c r="I33" s="716"/>
      <c r="J33" s="716"/>
      <c r="K33" s="716"/>
      <c r="L33" s="716"/>
      <c r="M33" s="716"/>
      <c r="N33" s="716"/>
      <c r="O33" s="716"/>
      <c r="P33" s="716">
        <f>Bilans_E_AMS_Kyoto_run3_MTE!T368+Bilans_E_AMS_Kyoto_run3_MTE!U368</f>
        <v>0</v>
      </c>
      <c r="Q33" s="716"/>
      <c r="R33" s="716"/>
      <c r="S33" s="716"/>
      <c r="T33" s="716"/>
      <c r="U33" s="716"/>
      <c r="V33" s="701"/>
      <c r="W33" s="701"/>
    </row>
    <row r="34" spans="1:23" x14ac:dyDescent="0.25">
      <c r="A34" s="701" t="s">
        <v>507</v>
      </c>
      <c r="B34" s="701"/>
      <c r="C34" s="717" t="s">
        <v>78</v>
      </c>
      <c r="D34" s="711">
        <f>Bilans_E_AMS_Kyoto_run3_MTE!H369</f>
        <v>0.59552978515624999</v>
      </c>
      <c r="E34" s="711">
        <f>Bilans_E_AMS_Kyoto_run3_MTE!I369</f>
        <v>0</v>
      </c>
      <c r="F34" s="711">
        <f>Bilans_E_AMS_Kyoto_run3_MTE!J369</f>
        <v>6.9248578185022795</v>
      </c>
      <c r="G34" s="711">
        <f>Bilans_E_AMS_Kyoto_run3_MTE!K369</f>
        <v>0</v>
      </c>
      <c r="H34" s="711">
        <f>Bilans_E_AMS_Kyoto_run3_MTE!L369</f>
        <v>56.056015641570937</v>
      </c>
      <c r="I34" s="711">
        <f>Bilans_E_AMS_Kyoto_run3_MTE!M369</f>
        <v>0</v>
      </c>
      <c r="J34" s="711">
        <f>Bilans_E_AMS_Kyoto_run3_MTE!N369</f>
        <v>0</v>
      </c>
      <c r="K34" s="711">
        <f>Bilans_E_AMS_Kyoto_run3_MTE!O369</f>
        <v>0</v>
      </c>
      <c r="L34" s="711">
        <f>Bilans_E_AMS_Kyoto_run3_MTE!P369</f>
        <v>38.482812658254467</v>
      </c>
      <c r="M34" s="711">
        <f>Bilans_E_AMS_Kyoto_run3_MTE!Q369</f>
        <v>9.5007953936584837</v>
      </c>
      <c r="N34" s="711">
        <f>Bilans_E_AMS_Kyoto_run3_MTE!R369</f>
        <v>0.86864625843500676</v>
      </c>
      <c r="O34" s="711">
        <f>Bilans_E_AMS_Kyoto_run3_MTE!S369</f>
        <v>14.047969700298927</v>
      </c>
      <c r="P34" s="711">
        <f>Bilans_E_AMS_Kyoto_run3_MTE!T369+Bilans_E_AMS_Kyoto_run3_MTE!U369</f>
        <v>7.96939501953125</v>
      </c>
      <c r="Q34" s="711">
        <f>Bilans_E_AMS_Kyoto_run3_MTE!V369</f>
        <v>6.9244826847420892E-4</v>
      </c>
      <c r="R34" s="711">
        <f>Bilans_E_AMS_Kyoto_run3_MTE!W369</f>
        <v>153.63376409766943</v>
      </c>
      <c r="S34" s="711">
        <f>Bilans_E_AMS_Kyoto_run3_MTE!X369</f>
        <v>19.531581585374159</v>
      </c>
      <c r="T34" s="711">
        <f>Bilans_E_AMS_Kyoto_run3_MTE!Y369</f>
        <v>7.0234057617187498</v>
      </c>
      <c r="U34" s="711">
        <f>Bilans_E_AMS_Kyoto_run3_MTE!Z369</f>
        <v>314.63546616843843</v>
      </c>
      <c r="V34" s="701"/>
      <c r="W34" s="701"/>
    </row>
    <row r="35" spans="1:23" x14ac:dyDescent="0.25">
      <c r="A35" s="701" t="s">
        <v>508</v>
      </c>
      <c r="B35" s="701"/>
      <c r="C35" s="717" t="s">
        <v>79</v>
      </c>
      <c r="D35" s="711">
        <f>Bilans_E_AMS_Kyoto_run3_MTE!H370</f>
        <v>0</v>
      </c>
      <c r="E35" s="711">
        <f>Bilans_E_AMS_Kyoto_run3_MTE!I370</f>
        <v>0</v>
      </c>
      <c r="F35" s="711">
        <f>Bilans_E_AMS_Kyoto_run3_MTE!J370</f>
        <v>211.71015331690265</v>
      </c>
      <c r="G35" s="711">
        <f>Bilans_E_AMS_Kyoto_run3_MTE!K370</f>
        <v>0</v>
      </c>
      <c r="H35" s="711">
        <f>Bilans_E_AMS_Kyoto_run3_MTE!L370</f>
        <v>6.084888759318634</v>
      </c>
      <c r="I35" s="711">
        <f>Bilans_E_AMS_Kyoto_run3_MTE!M370</f>
        <v>0</v>
      </c>
      <c r="J35" s="711">
        <f>Bilans_E_AMS_Kyoto_run3_MTE!N370</f>
        <v>0</v>
      </c>
      <c r="K35" s="711">
        <f>Bilans_E_AMS_Kyoto_run3_MTE!O370</f>
        <v>0</v>
      </c>
      <c r="L35" s="711">
        <f>Bilans_E_AMS_Kyoto_run3_MTE!P370</f>
        <v>0</v>
      </c>
      <c r="M35" s="711">
        <f>Bilans_E_AMS_Kyoto_run3_MTE!Q370</f>
        <v>0</v>
      </c>
      <c r="N35" s="711">
        <f>Bilans_E_AMS_Kyoto_run3_MTE!R370</f>
        <v>41.017765544975838</v>
      </c>
      <c r="O35" s="711">
        <f>Bilans_E_AMS_Kyoto_run3_MTE!S370</f>
        <v>1.5212221898296585</v>
      </c>
      <c r="P35" s="711">
        <f>Bilans_E_AMS_Kyoto_run3_MTE!T370+Bilans_E_AMS_Kyoto_run3_MTE!U370</f>
        <v>0</v>
      </c>
      <c r="Q35" s="711">
        <f>Bilans_E_AMS_Kyoto_run3_MTE!V370</f>
        <v>0</v>
      </c>
      <c r="R35" s="711">
        <f>Bilans_E_AMS_Kyoto_run3_MTE!W370</f>
        <v>64.85163743776981</v>
      </c>
      <c r="S35" s="711">
        <f>Bilans_E_AMS_Kyoto_run3_MTE!X370</f>
        <v>0</v>
      </c>
      <c r="T35" s="711">
        <f>Bilans_E_AMS_Kyoto_run3_MTE!Y370</f>
        <v>2.5022787980989989</v>
      </c>
      <c r="U35" s="711">
        <f>Bilans_E_AMS_Kyoto_run3_MTE!Z370</f>
        <v>327.68794604689555</v>
      </c>
      <c r="V35" s="701"/>
      <c r="W35" s="701"/>
    </row>
    <row r="36" spans="1:23" x14ac:dyDescent="0.25">
      <c r="A36" s="701" t="s">
        <v>509</v>
      </c>
      <c r="B36" s="701"/>
      <c r="C36" s="717" t="s">
        <v>80</v>
      </c>
      <c r="D36" s="711">
        <f>Bilans_E_AMS_Kyoto_run3_MTE!H371</f>
        <v>0</v>
      </c>
      <c r="E36" s="711">
        <f>Bilans_E_AMS_Kyoto_run3_MTE!I371</f>
        <v>0</v>
      </c>
      <c r="F36" s="711">
        <f>Bilans_E_AMS_Kyoto_run3_MTE!J371</f>
        <v>1.1922779453513948</v>
      </c>
      <c r="G36" s="711">
        <f>Bilans_E_AMS_Kyoto_run3_MTE!K371</f>
        <v>0</v>
      </c>
      <c r="H36" s="711">
        <f>Bilans_E_AMS_Kyoto_run3_MTE!L371</f>
        <v>49.984411570621333</v>
      </c>
      <c r="I36" s="711">
        <f>Bilans_E_AMS_Kyoto_run3_MTE!M371</f>
        <v>0</v>
      </c>
      <c r="J36" s="711">
        <f>Bilans_E_AMS_Kyoto_run3_MTE!N371</f>
        <v>0</v>
      </c>
      <c r="K36" s="711">
        <f>Bilans_E_AMS_Kyoto_run3_MTE!O371</f>
        <v>0</v>
      </c>
      <c r="L36" s="711">
        <f>Bilans_E_AMS_Kyoto_run3_MTE!P371</f>
        <v>51.327953484818188</v>
      </c>
      <c r="M36" s="711">
        <f>Bilans_E_AMS_Kyoto_run3_MTE!Q371</f>
        <v>0</v>
      </c>
      <c r="N36" s="711">
        <f>Bilans_E_AMS_Kyoto_run3_MTE!R371</f>
        <v>0</v>
      </c>
      <c r="O36" s="711">
        <f>Bilans_E_AMS_Kyoto_run3_MTE!S371</f>
        <v>12.496102892655333</v>
      </c>
      <c r="P36" s="711">
        <f>Bilans_E_AMS_Kyoto_run3_MTE!T371+Bilans_E_AMS_Kyoto_run3_MTE!U371</f>
        <v>106.12788282579821</v>
      </c>
      <c r="Q36" s="711">
        <f>Bilans_E_AMS_Kyoto_run3_MTE!V371</f>
        <v>8.4399601726258009</v>
      </c>
      <c r="R36" s="711">
        <f>Bilans_E_AMS_Kyoto_run3_MTE!W371</f>
        <v>154.71508066801636</v>
      </c>
      <c r="S36" s="711">
        <f>Bilans_E_AMS_Kyoto_run3_MTE!X371</f>
        <v>40.414130897924252</v>
      </c>
      <c r="T36" s="711">
        <f>Bilans_E_AMS_Kyoto_run3_MTE!Y371</f>
        <v>0</v>
      </c>
      <c r="U36" s="711">
        <f>Bilans_E_AMS_Kyoto_run3_MTE!Z371</f>
        <v>424.69780045781079</v>
      </c>
      <c r="V36" s="701"/>
      <c r="W36" s="701"/>
    </row>
    <row r="37" spans="1:23" x14ac:dyDescent="0.25">
      <c r="A37" s="701" t="s">
        <v>510</v>
      </c>
      <c r="B37" s="701"/>
      <c r="C37" s="717" t="s">
        <v>81</v>
      </c>
      <c r="D37" s="711">
        <f>Bilans_E_AMS_Kyoto_run3_MTE!H372</f>
        <v>0</v>
      </c>
      <c r="E37" s="711">
        <f>Bilans_E_AMS_Kyoto_run3_MTE!I372</f>
        <v>0</v>
      </c>
      <c r="F37" s="711">
        <f>Bilans_E_AMS_Kyoto_run3_MTE!J372</f>
        <v>2.1695259016738468</v>
      </c>
      <c r="G37" s="711">
        <f>Bilans_E_AMS_Kyoto_run3_MTE!K372</f>
        <v>0</v>
      </c>
      <c r="H37" s="711">
        <f>Bilans_E_AMS_Kyoto_run3_MTE!L372</f>
        <v>31.961692890831412</v>
      </c>
      <c r="I37" s="711">
        <f>Bilans_E_AMS_Kyoto_run3_MTE!M372</f>
        <v>0</v>
      </c>
      <c r="J37" s="711">
        <f>Bilans_E_AMS_Kyoto_run3_MTE!N372</f>
        <v>0</v>
      </c>
      <c r="K37" s="711">
        <f>Bilans_E_AMS_Kyoto_run3_MTE!O372</f>
        <v>0</v>
      </c>
      <c r="L37" s="711">
        <f>Bilans_E_AMS_Kyoto_run3_MTE!P372</f>
        <v>0.59825096685183632</v>
      </c>
      <c r="M37" s="711">
        <f>Bilans_E_AMS_Kyoto_run3_MTE!Q372</f>
        <v>0</v>
      </c>
      <c r="N37" s="711">
        <f>Bilans_E_AMS_Kyoto_run3_MTE!R372</f>
        <v>0</v>
      </c>
      <c r="O37" s="711">
        <f>Bilans_E_AMS_Kyoto_run3_MTE!S372</f>
        <v>7.9904232227078529</v>
      </c>
      <c r="P37" s="711">
        <f>Bilans_E_AMS_Kyoto_run3_MTE!T372+Bilans_E_AMS_Kyoto_run3_MTE!U372</f>
        <v>42.388089169065466</v>
      </c>
      <c r="Q37" s="711">
        <f>Bilans_E_AMS_Kyoto_run3_MTE!V372</f>
        <v>7.9118943755575595</v>
      </c>
      <c r="R37" s="711">
        <f>Bilans_E_AMS_Kyoto_run3_MTE!W372</f>
        <v>121.82988531988985</v>
      </c>
      <c r="S37" s="711">
        <f>Bilans_E_AMS_Kyoto_run3_MTE!X372</f>
        <v>23.34788734439358</v>
      </c>
      <c r="T37" s="711">
        <f>Bilans_E_AMS_Kyoto_run3_MTE!Y372</f>
        <v>0</v>
      </c>
      <c r="U37" s="711">
        <f>Bilans_E_AMS_Kyoto_run3_MTE!Z372</f>
        <v>238.19764919097142</v>
      </c>
      <c r="V37" s="701"/>
      <c r="W37" s="701"/>
    </row>
    <row r="38" spans="1:23" x14ac:dyDescent="0.25">
      <c r="A38" s="701" t="s">
        <v>511</v>
      </c>
      <c r="B38" s="701"/>
      <c r="C38" s="717" t="s">
        <v>82</v>
      </c>
      <c r="D38" s="711">
        <f>Bilans_E_AMS_Kyoto_run3_MTE!H373</f>
        <v>0</v>
      </c>
      <c r="E38" s="711">
        <f>Bilans_E_AMS_Kyoto_run3_MTE!I373</f>
        <v>0</v>
      </c>
      <c r="F38" s="711">
        <f>Bilans_E_AMS_Kyoto_run3_MTE!J373</f>
        <v>22.236615834161011</v>
      </c>
      <c r="G38" s="711">
        <f>Bilans_E_AMS_Kyoto_run3_MTE!K373</f>
        <v>0</v>
      </c>
      <c r="H38" s="711">
        <f>Bilans_E_AMS_Kyoto_run3_MTE!L373</f>
        <v>1.1928287245433082</v>
      </c>
      <c r="I38" s="711">
        <f>Bilans_E_AMS_Kyoto_run3_MTE!M373</f>
        <v>0</v>
      </c>
      <c r="J38" s="711">
        <f>Bilans_E_AMS_Kyoto_run3_MTE!N373</f>
        <v>0</v>
      </c>
      <c r="K38" s="711">
        <f>Bilans_E_AMS_Kyoto_run3_MTE!O373</f>
        <v>0</v>
      </c>
      <c r="L38" s="711">
        <f>Bilans_E_AMS_Kyoto_run3_MTE!P373</f>
        <v>13.268691220387016</v>
      </c>
      <c r="M38" s="711">
        <f>Bilans_E_AMS_Kyoto_run3_MTE!Q373</f>
        <v>0</v>
      </c>
      <c r="N38" s="711">
        <f>Bilans_E_AMS_Kyoto_run3_MTE!R373</f>
        <v>5.5416929804733215</v>
      </c>
      <c r="O38" s="711">
        <f>Bilans_E_AMS_Kyoto_run3_MTE!S373</f>
        <v>0.29820718113582706</v>
      </c>
      <c r="P38" s="711">
        <f>Bilans_E_AMS_Kyoto_run3_MTE!T373+Bilans_E_AMS_Kyoto_run3_MTE!U373</f>
        <v>0.75</v>
      </c>
      <c r="Q38" s="711">
        <f>Bilans_E_AMS_Kyoto_run3_MTE!V373</f>
        <v>0.96290247555165809</v>
      </c>
      <c r="R38" s="711">
        <f>Bilans_E_AMS_Kyoto_run3_MTE!W373</f>
        <v>8.6394549115432451</v>
      </c>
      <c r="S38" s="711">
        <f>Bilans_E_AMS_Kyoto_run3_MTE!X373</f>
        <v>0</v>
      </c>
      <c r="T38" s="711">
        <f>Bilans_E_AMS_Kyoto_run3_MTE!Y373</f>
        <v>0.30661417718369394</v>
      </c>
      <c r="U38" s="711">
        <f>Bilans_E_AMS_Kyoto_run3_MTE!Z373</f>
        <v>53.197007504979084</v>
      </c>
      <c r="V38" s="701"/>
      <c r="W38" s="701"/>
    </row>
    <row r="39" spans="1:23" x14ac:dyDescent="0.25">
      <c r="A39" s="701" t="s">
        <v>512</v>
      </c>
      <c r="B39" s="701"/>
      <c r="C39" s="717" t="s">
        <v>354</v>
      </c>
      <c r="D39" s="711">
        <f>Bilans_E_AMS_Kyoto_run3_MTE!H374</f>
        <v>0</v>
      </c>
      <c r="E39" s="711">
        <f>Bilans_E_AMS_Kyoto_run3_MTE!I374</f>
        <v>0</v>
      </c>
      <c r="F39" s="711">
        <f>Bilans_E_AMS_Kyoto_run3_MTE!J374</f>
        <v>0</v>
      </c>
      <c r="G39" s="711">
        <f>Bilans_E_AMS_Kyoto_run3_MTE!K374</f>
        <v>0</v>
      </c>
      <c r="H39" s="711">
        <f>Bilans_E_AMS_Kyoto_run3_MTE!L374</f>
        <v>0</v>
      </c>
      <c r="I39" s="711">
        <f>Bilans_E_AMS_Kyoto_run3_MTE!M374</f>
        <v>0</v>
      </c>
      <c r="J39" s="711">
        <f>Bilans_E_AMS_Kyoto_run3_MTE!N374</f>
        <v>0</v>
      </c>
      <c r="K39" s="711">
        <f>Bilans_E_AMS_Kyoto_run3_MTE!O374</f>
        <v>0</v>
      </c>
      <c r="L39" s="711">
        <f>Bilans_E_AMS_Kyoto_run3_MTE!P374</f>
        <v>0</v>
      </c>
      <c r="M39" s="711">
        <f>Bilans_E_AMS_Kyoto_run3_MTE!Q374</f>
        <v>0</v>
      </c>
      <c r="N39" s="711">
        <f>Bilans_E_AMS_Kyoto_run3_MTE!R374</f>
        <v>0</v>
      </c>
      <c r="O39" s="711">
        <f>Bilans_E_AMS_Kyoto_run3_MTE!S374</f>
        <v>0</v>
      </c>
      <c r="P39" s="711">
        <f>Bilans_E_AMS_Kyoto_run3_MTE!T374+Bilans_E_AMS_Kyoto_run3_MTE!U374</f>
        <v>0</v>
      </c>
      <c r="Q39" s="711">
        <f>Bilans_E_AMS_Kyoto_run3_MTE!V374</f>
        <v>0</v>
      </c>
      <c r="R39" s="711">
        <f>Bilans_E_AMS_Kyoto_run3_MTE!W374</f>
        <v>0</v>
      </c>
      <c r="S39" s="711">
        <f>Bilans_E_AMS_Kyoto_run3_MTE!X374</f>
        <v>0</v>
      </c>
      <c r="T39" s="711">
        <f>Bilans_E_AMS_Kyoto_run3_MTE!Y374</f>
        <v>0</v>
      </c>
      <c r="U39" s="711">
        <f>Bilans_E_AMS_Kyoto_run3_MTE!Z374</f>
        <v>0</v>
      </c>
      <c r="V39" s="701"/>
      <c r="W39" s="701"/>
    </row>
    <row r="40" spans="1:23" x14ac:dyDescent="0.25">
      <c r="A40" s="701" t="s">
        <v>513</v>
      </c>
      <c r="B40" s="701"/>
      <c r="C40" s="713" t="s">
        <v>83</v>
      </c>
      <c r="D40" s="714">
        <f>Bilans_E_AMS_Kyoto_run3_MTE!H375</f>
        <v>0.59552978515624999</v>
      </c>
      <c r="E40" s="714">
        <f>Bilans_E_AMS_Kyoto_run3_MTE!I375</f>
        <v>0</v>
      </c>
      <c r="F40" s="714">
        <f>Bilans_E_AMS_Kyoto_run3_MTE!J375</f>
        <v>244.23343081659118</v>
      </c>
      <c r="G40" s="714">
        <f>Bilans_E_AMS_Kyoto_run3_MTE!K375</f>
        <v>0</v>
      </c>
      <c r="H40" s="714">
        <f>Bilans_E_AMS_Kyoto_run3_MTE!L375</f>
        <v>145.27983758688563</v>
      </c>
      <c r="I40" s="714">
        <f>Bilans_E_AMS_Kyoto_run3_MTE!M375</f>
        <v>0</v>
      </c>
      <c r="J40" s="714">
        <f>Bilans_E_AMS_Kyoto_run3_MTE!N375</f>
        <v>0</v>
      </c>
      <c r="K40" s="714">
        <f>Bilans_E_AMS_Kyoto_run3_MTE!O375</f>
        <v>0</v>
      </c>
      <c r="L40" s="714">
        <f>Bilans_E_AMS_Kyoto_run3_MTE!P375</f>
        <v>103.6777083303115</v>
      </c>
      <c r="M40" s="714">
        <f>Bilans_E_AMS_Kyoto_run3_MTE!Q375</f>
        <v>9.5007953936584837</v>
      </c>
      <c r="N40" s="714">
        <f>Bilans_E_AMS_Kyoto_run3_MTE!R375</f>
        <v>47.428104783884166</v>
      </c>
      <c r="O40" s="714">
        <f>Bilans_E_AMS_Kyoto_run3_MTE!S375</f>
        <v>36.353925186627599</v>
      </c>
      <c r="P40" s="714">
        <f>Bilans_E_AMS_Kyoto_run3_MTE!T375+Bilans_E_AMS_Kyoto_run3_MTE!U375</f>
        <v>157.23536701439491</v>
      </c>
      <c r="Q40" s="714">
        <f>Bilans_E_AMS_Kyoto_run3_MTE!V375</f>
        <v>17.315449472003493</v>
      </c>
      <c r="R40" s="714">
        <f>Bilans_E_AMS_Kyoto_run3_MTE!W375</f>
        <v>503.66982243488866</v>
      </c>
      <c r="S40" s="714">
        <f>Bilans_E_AMS_Kyoto_run3_MTE!X375</f>
        <v>83.293599827691992</v>
      </c>
      <c r="T40" s="714">
        <f>Bilans_E_AMS_Kyoto_run3_MTE!Y375</f>
        <v>9.832298737001441</v>
      </c>
      <c r="U40" s="714">
        <f>Bilans_E_AMS_Kyoto_run3_MTE!Z375</f>
        <v>1358.4158693690954</v>
      </c>
      <c r="V40" s="701"/>
      <c r="W40" s="701"/>
    </row>
    <row r="41" spans="1:23" x14ac:dyDescent="0.25">
      <c r="A41" s="701" t="s">
        <v>514</v>
      </c>
      <c r="B41" s="701"/>
      <c r="C41" s="710" t="s">
        <v>84</v>
      </c>
      <c r="D41" s="711">
        <f>Bilans_E_AMS_Kyoto_run3_MTE!H376</f>
        <v>0</v>
      </c>
      <c r="E41" s="711">
        <f>Bilans_E_AMS_Kyoto_run3_MTE!I376</f>
        <v>0</v>
      </c>
      <c r="F41" s="711">
        <f>Bilans_E_AMS_Kyoto_run3_MTE!J376</f>
        <v>108.38831705718137</v>
      </c>
      <c r="G41" s="711">
        <f>Bilans_E_AMS_Kyoto_run3_MTE!K376</f>
        <v>1.2939885995123082</v>
      </c>
      <c r="H41" s="711">
        <f>Bilans_E_AMS_Kyoto_run3_MTE!L376</f>
        <v>12.973217825865042</v>
      </c>
      <c r="I41" s="711">
        <f>Bilans_E_AMS_Kyoto_run3_MTE!M376</f>
        <v>0</v>
      </c>
      <c r="J41" s="711">
        <f>Bilans_E_AMS_Kyoto_run3_MTE!N376</f>
        <v>0</v>
      </c>
      <c r="K41" s="711">
        <f>Bilans_E_AMS_Kyoto_run3_MTE!O376</f>
        <v>0</v>
      </c>
      <c r="L41" s="711">
        <f>Bilans_E_AMS_Kyoto_run3_MTE!P376</f>
        <v>0.29168113881125463</v>
      </c>
      <c r="M41" s="711">
        <f>Bilans_E_AMS_Kyoto_run3_MTE!Q376</f>
        <v>0</v>
      </c>
      <c r="N41" s="711">
        <f>Bilans_E_AMS_Kyoto_run3_MTE!R376</f>
        <v>2.0844051344814138</v>
      </c>
      <c r="O41" s="711">
        <f>Bilans_E_AMS_Kyoto_run3_MTE!S376</f>
        <v>0</v>
      </c>
      <c r="P41" s="711">
        <f>Bilans_E_AMS_Kyoto_run3_MTE!T376+Bilans_E_AMS_Kyoto_run3_MTE!U376</f>
        <v>0</v>
      </c>
      <c r="Q41" s="711">
        <f>Bilans_E_AMS_Kyoto_run3_MTE!V376</f>
        <v>0</v>
      </c>
      <c r="R41" s="711">
        <f>Bilans_E_AMS_Kyoto_run3_MTE!W376</f>
        <v>0</v>
      </c>
      <c r="S41" s="711">
        <f>Bilans_E_AMS_Kyoto_run3_MTE!X376</f>
        <v>0</v>
      </c>
      <c r="T41" s="711">
        <f>Bilans_E_AMS_Kyoto_run3_MTE!Y376</f>
        <v>1.487132000092672</v>
      </c>
      <c r="U41" s="711">
        <f>Bilans_E_AMS_Kyoto_run3_MTE!Z376</f>
        <v>126.51874175594406</v>
      </c>
      <c r="V41" s="701"/>
      <c r="W41" s="701"/>
    </row>
    <row r="42" spans="1:23" x14ac:dyDescent="0.25">
      <c r="A42" s="701" t="s">
        <v>515</v>
      </c>
      <c r="B42" s="701"/>
      <c r="C42" s="713" t="s">
        <v>85</v>
      </c>
      <c r="D42" s="714">
        <f>Bilans_E_AMS_Kyoto_run3_MTE!H377</f>
        <v>0.59552978515624999</v>
      </c>
      <c r="E42" s="714">
        <f>Bilans_E_AMS_Kyoto_run3_MTE!I377</f>
        <v>0</v>
      </c>
      <c r="F42" s="714">
        <f>Bilans_E_AMS_Kyoto_run3_MTE!J377</f>
        <v>352.62174787377256</v>
      </c>
      <c r="G42" s="714">
        <f>Bilans_E_AMS_Kyoto_run3_MTE!K377</f>
        <v>1.2939885995123082</v>
      </c>
      <c r="H42" s="714">
        <f>Bilans_E_AMS_Kyoto_run3_MTE!L377</f>
        <v>158.25305541275068</v>
      </c>
      <c r="I42" s="714">
        <f>Bilans_E_AMS_Kyoto_run3_MTE!M377</f>
        <v>0</v>
      </c>
      <c r="J42" s="714">
        <f>Bilans_E_AMS_Kyoto_run3_MTE!N377</f>
        <v>0</v>
      </c>
      <c r="K42" s="714">
        <f>Bilans_E_AMS_Kyoto_run3_MTE!O377</f>
        <v>0</v>
      </c>
      <c r="L42" s="714">
        <f>Bilans_E_AMS_Kyoto_run3_MTE!P377</f>
        <v>103.96938946912276</v>
      </c>
      <c r="M42" s="714">
        <f>Bilans_E_AMS_Kyoto_run3_MTE!Q377</f>
        <v>9.5007953936584837</v>
      </c>
      <c r="N42" s="714">
        <f>Bilans_E_AMS_Kyoto_run3_MTE!R377</f>
        <v>49.512509918365581</v>
      </c>
      <c r="O42" s="714">
        <f>Bilans_E_AMS_Kyoto_run3_MTE!S377</f>
        <v>36.353925186627599</v>
      </c>
      <c r="P42" s="714">
        <f>Bilans_E_AMS_Kyoto_run3_MTE!T377+Bilans_E_AMS_Kyoto_run3_MTE!U377</f>
        <v>157.23536701439491</v>
      </c>
      <c r="Q42" s="714">
        <f>Bilans_E_AMS_Kyoto_run3_MTE!V377</f>
        <v>17.315449472003493</v>
      </c>
      <c r="R42" s="714">
        <f>Bilans_E_AMS_Kyoto_run3_MTE!W377</f>
        <v>503.66982243488866</v>
      </c>
      <c r="S42" s="714">
        <f>Bilans_E_AMS_Kyoto_run3_MTE!X377</f>
        <v>83.293599827691992</v>
      </c>
      <c r="T42" s="714">
        <f>Bilans_E_AMS_Kyoto_run3_MTE!Y377</f>
        <v>11.319430737094113</v>
      </c>
      <c r="U42" s="714">
        <f>Bilans_E_AMS_Kyoto_run3_MTE!Z377</f>
        <v>1484.9346111250395</v>
      </c>
      <c r="V42" s="701"/>
      <c r="W42" s="701"/>
    </row>
    <row r="43" spans="1:23" x14ac:dyDescent="0.25">
      <c r="A43" s="701"/>
      <c r="B43" s="701"/>
      <c r="C43" s="701"/>
      <c r="D43" s="701">
        <f>Bilans_E_AMS_Kyoto_run3_MTE!H378</f>
        <v>0</v>
      </c>
      <c r="E43" s="701">
        <f>Bilans_E_AMS_Kyoto_run3_MTE!I378</f>
        <v>0</v>
      </c>
      <c r="F43" s="701">
        <f>Bilans_E_AMS_Kyoto_run3_MTE!J378</f>
        <v>0</v>
      </c>
      <c r="G43" s="701">
        <f>Bilans_E_AMS_Kyoto_run3_MTE!K378</f>
        <v>0</v>
      </c>
      <c r="H43" s="701">
        <f>Bilans_E_AMS_Kyoto_run3_MTE!L378</f>
        <v>0</v>
      </c>
      <c r="I43" s="701">
        <f>Bilans_E_AMS_Kyoto_run3_MTE!M378</f>
        <v>0</v>
      </c>
      <c r="J43" s="701">
        <f>Bilans_E_AMS_Kyoto_run3_MTE!N378</f>
        <v>0</v>
      </c>
      <c r="K43" s="701">
        <f>Bilans_E_AMS_Kyoto_run3_MTE!O378</f>
        <v>0</v>
      </c>
      <c r="L43" s="701">
        <f>Bilans_E_AMS_Kyoto_run3_MTE!P378</f>
        <v>0</v>
      </c>
      <c r="M43" s="701">
        <f>Bilans_E_AMS_Kyoto_run3_MTE!Q378</f>
        <v>0</v>
      </c>
      <c r="N43" s="701">
        <f>Bilans_E_AMS_Kyoto_run3_MTE!R378</f>
        <v>0</v>
      </c>
      <c r="O43" s="701">
        <f>Bilans_E_AMS_Kyoto_run3_MTE!S378</f>
        <v>9.1038288019262836E-15</v>
      </c>
      <c r="P43" s="701">
        <f>Bilans_E_AMS_Kyoto_run3_MTE!T378+Bilans_E_AMS_Kyoto_run3_MTE!U378</f>
        <v>0</v>
      </c>
      <c r="Q43" s="701">
        <f>Bilans_E_AMS_Kyoto_run3_MTE!V378</f>
        <v>0</v>
      </c>
      <c r="R43" s="701">
        <f>Bilans_E_AMS_Kyoto_run3_MTE!W378</f>
        <v>0</v>
      </c>
      <c r="S43" s="701">
        <f>Bilans_E_AMS_Kyoto_run3_MTE!X378</f>
        <v>-3.0734616686345362E-5</v>
      </c>
      <c r="T43" s="701">
        <f>Bilans_E_AMS_Kyoto_run3_MTE!Y378</f>
        <v>2.2204460492503131E-15</v>
      </c>
      <c r="U43" s="701">
        <f>Bilans_E_AMS_Kyoto_run3_MTE!Z378</f>
        <v>-3.0734616302652285E-5</v>
      </c>
      <c r="V43" s="701"/>
      <c r="W43" s="701"/>
    </row>
    <row r="44" spans="1:23" x14ac:dyDescent="0.25">
      <c r="A44" s="701"/>
      <c r="B44" s="701"/>
      <c r="C44" s="701"/>
      <c r="D44" s="701"/>
      <c r="E44" s="701"/>
      <c r="F44" s="701"/>
      <c r="G44" s="701"/>
      <c r="H44" s="701"/>
      <c r="I44" s="701"/>
      <c r="J44" s="701"/>
      <c r="K44" s="701"/>
      <c r="L44" s="701"/>
      <c r="M44" s="701"/>
      <c r="N44" s="701"/>
      <c r="O44" s="701"/>
      <c r="P44" s="701"/>
      <c r="Q44" s="701"/>
      <c r="R44" s="701"/>
      <c r="S44" s="701"/>
      <c r="T44" s="701"/>
      <c r="U44" s="701"/>
      <c r="V44" s="701"/>
      <c r="W44" s="701"/>
    </row>
    <row r="45" spans="1:23" x14ac:dyDescent="0.25">
      <c r="A45" s="707"/>
      <c r="B45" s="707"/>
      <c r="C45" s="708" t="s">
        <v>359</v>
      </c>
      <c r="D45" s="707"/>
      <c r="E45" s="707"/>
      <c r="F45" s="707"/>
      <c r="G45" s="707"/>
      <c r="H45" s="707"/>
      <c r="I45" s="707"/>
      <c r="J45" s="707"/>
      <c r="K45" s="707"/>
      <c r="L45" s="707"/>
      <c r="M45" s="707"/>
      <c r="N45" s="707"/>
      <c r="O45" s="707"/>
      <c r="P45" s="707"/>
      <c r="Q45" s="707"/>
      <c r="R45" s="707"/>
      <c r="S45" s="707"/>
      <c r="T45" s="707"/>
      <c r="U45" s="707"/>
      <c r="V45" s="707"/>
      <c r="W45" s="707"/>
    </row>
    <row r="46" spans="1:23" x14ac:dyDescent="0.25">
      <c r="A46" s="701"/>
      <c r="B46" s="701"/>
      <c r="C46" s="701"/>
      <c r="D46" s="701"/>
      <c r="E46" s="701"/>
      <c r="F46" s="701"/>
      <c r="G46" s="701"/>
      <c r="H46" s="701"/>
      <c r="I46" s="701"/>
      <c r="J46" s="701"/>
      <c r="K46" s="701"/>
      <c r="L46" s="701"/>
      <c r="M46" s="701"/>
      <c r="N46" s="701"/>
      <c r="O46" s="701"/>
      <c r="P46" s="701"/>
      <c r="Q46" s="701"/>
      <c r="R46" s="701"/>
      <c r="S46" s="701"/>
      <c r="T46" s="701"/>
      <c r="U46" s="701"/>
      <c r="V46" s="701"/>
      <c r="W46" s="701"/>
    </row>
    <row r="47" spans="1:23" x14ac:dyDescent="0.25">
      <c r="A47" s="701"/>
      <c r="B47" s="701"/>
      <c r="C47" s="780" t="s">
        <v>128</v>
      </c>
      <c r="D47" s="775" t="s">
        <v>42</v>
      </c>
      <c r="E47" s="775" t="s">
        <v>52</v>
      </c>
      <c r="F47" s="775" t="s">
        <v>53</v>
      </c>
      <c r="G47" s="775" t="s">
        <v>482</v>
      </c>
      <c r="H47" s="775" t="s">
        <v>32</v>
      </c>
      <c r="I47" s="775" t="s">
        <v>483</v>
      </c>
      <c r="J47" s="775" t="s">
        <v>20</v>
      </c>
      <c r="K47" s="775" t="s">
        <v>55</v>
      </c>
      <c r="L47" s="777" t="s">
        <v>56</v>
      </c>
      <c r="M47" s="778"/>
      <c r="N47" s="778"/>
      <c r="O47" s="778"/>
      <c r="P47" s="778"/>
      <c r="Q47" s="779"/>
      <c r="R47" s="775" t="s">
        <v>57</v>
      </c>
      <c r="S47" s="775" t="s">
        <v>58</v>
      </c>
      <c r="T47" s="775" t="s">
        <v>31</v>
      </c>
      <c r="U47" s="775" t="s">
        <v>10</v>
      </c>
      <c r="V47" s="701"/>
      <c r="W47" s="701"/>
    </row>
    <row r="48" spans="1:23" ht="67.5" x14ac:dyDescent="0.25">
      <c r="A48" s="701" t="s">
        <v>486</v>
      </c>
      <c r="B48" s="701"/>
      <c r="C48" s="781"/>
      <c r="D48" s="776"/>
      <c r="E48" s="776"/>
      <c r="F48" s="776"/>
      <c r="G48" s="776"/>
      <c r="H48" s="776"/>
      <c r="I48" s="776"/>
      <c r="J48" s="776"/>
      <c r="K48" s="776"/>
      <c r="L48" s="709" t="s">
        <v>335</v>
      </c>
      <c r="M48" s="709" t="s">
        <v>40</v>
      </c>
      <c r="N48" s="709" t="s">
        <v>343</v>
      </c>
      <c r="O48" s="709" t="s">
        <v>344</v>
      </c>
      <c r="P48" s="719" t="s">
        <v>610</v>
      </c>
      <c r="Q48" s="709" t="s">
        <v>346</v>
      </c>
      <c r="R48" s="776"/>
      <c r="S48" s="776"/>
      <c r="T48" s="776"/>
      <c r="U48" s="776"/>
      <c r="V48" s="701"/>
      <c r="W48" s="701"/>
    </row>
    <row r="49" spans="1:23" x14ac:dyDescent="0.25">
      <c r="A49" s="701" t="s">
        <v>487</v>
      </c>
      <c r="B49" s="701"/>
      <c r="C49" s="710" t="s">
        <v>59</v>
      </c>
      <c r="D49" s="711">
        <f>Bilans_E_AMS_Kyoto_run3_MTE!H384</f>
        <v>0</v>
      </c>
      <c r="E49" s="711">
        <f>Bilans_E_AMS_Kyoto_run3_MTE!I384</f>
        <v>1.9073199999999999</v>
      </c>
      <c r="F49" s="711">
        <f>Bilans_E_AMS_Kyoto_run3_MTE!J384</f>
        <v>0</v>
      </c>
      <c r="G49" s="711">
        <f>Bilans_E_AMS_Kyoto_run3_MTE!K384</f>
        <v>0</v>
      </c>
      <c r="H49" s="711">
        <f>Bilans_E_AMS_Kyoto_run3_MTE!L384</f>
        <v>3.9542000000000008E-2</v>
      </c>
      <c r="I49" s="711">
        <f>Bilans_E_AMS_Kyoto_run3_MTE!M384</f>
        <v>0</v>
      </c>
      <c r="J49" s="711">
        <f>Bilans_E_AMS_Kyoto_run3_MTE!N384</f>
        <v>1195.4990290598246</v>
      </c>
      <c r="K49" s="711">
        <f>Bilans_E_AMS_Kyoto_run3_MTE!O384</f>
        <v>352.81639892204078</v>
      </c>
      <c r="L49" s="711">
        <f>Bilans_E_AMS_Kyoto_run3_MTE!P384</f>
        <v>334.74141553105153</v>
      </c>
      <c r="M49" s="711">
        <f>Bilans_E_AMS_Kyoto_run3_MTE!Q384</f>
        <v>49.102811616128875</v>
      </c>
      <c r="N49" s="711">
        <f>Bilans_E_AMS_Kyoto_run3_MTE!R384</f>
        <v>0</v>
      </c>
      <c r="O49" s="711">
        <f>Bilans_E_AMS_Kyoto_run3_MTE!S384</f>
        <v>0</v>
      </c>
      <c r="P49" s="711">
        <f>Bilans_E_AMS_Kyoto_run3_MTE!T384+Bilans_E_AMS_Kyoto_run3_MTE!U384</f>
        <v>200.79978234592807</v>
      </c>
      <c r="Q49" s="711">
        <f>Bilans_E_AMS_Kyoto_run3_MTE!V384</f>
        <v>40.778741630012433</v>
      </c>
      <c r="R49" s="711">
        <f>Bilans_E_AMS_Kyoto_run3_MTE!W384</f>
        <v>0</v>
      </c>
      <c r="S49" s="711">
        <f>Bilans_E_AMS_Kyoto_run3_MTE!X384</f>
        <v>0</v>
      </c>
      <c r="T49" s="711">
        <f>Bilans_E_AMS_Kyoto_run3_MTE!Y384</f>
        <v>0</v>
      </c>
      <c r="U49" s="711">
        <f>Bilans_E_AMS_Kyoto_run3_MTE!Z384</f>
        <v>2175.6850411049863</v>
      </c>
      <c r="V49" s="701"/>
      <c r="W49" s="701"/>
    </row>
    <row r="50" spans="1:23" x14ac:dyDescent="0.25">
      <c r="A50" s="701" t="s">
        <v>488</v>
      </c>
      <c r="B50" s="701"/>
      <c r="C50" s="710" t="s">
        <v>60</v>
      </c>
      <c r="D50" s="712">
        <f>Bilans_E_AMS_Kyoto_run3_MTE!H385</f>
        <v>12.531065673828124</v>
      </c>
      <c r="E50" s="712">
        <f>Bilans_E_AMS_Kyoto_run3_MTE!I385</f>
        <v>260.68864136173096</v>
      </c>
      <c r="F50" s="712">
        <f>Bilans_E_AMS_Kyoto_run3_MTE!J385</f>
        <v>79.769139628982202</v>
      </c>
      <c r="G50" s="712">
        <f>Bilans_E_AMS_Kyoto_run3_MTE!K385</f>
        <v>5.3845155133024489</v>
      </c>
      <c r="H50" s="712">
        <f>Bilans_E_AMS_Kyoto_run3_MTE!L385</f>
        <v>146.10919430668767</v>
      </c>
      <c r="I50" s="712">
        <f>Bilans_E_AMS_Kyoto_run3_MTE!M385</f>
        <v>0</v>
      </c>
      <c r="J50" s="712">
        <f>Bilans_E_AMS_Kyoto_run3_MTE!N385</f>
        <v>0</v>
      </c>
      <c r="K50" s="712">
        <f>Bilans_E_AMS_Kyoto_run3_MTE!O385</f>
        <v>0</v>
      </c>
      <c r="L50" s="712">
        <f>Bilans_E_AMS_Kyoto_run3_MTE!P385</f>
        <v>6.5955281469378519</v>
      </c>
      <c r="M50" s="712">
        <f>Bilans_E_AMS_Kyoto_run3_MTE!Q385</f>
        <v>0</v>
      </c>
      <c r="N50" s="712">
        <f>Bilans_E_AMS_Kyoto_run3_MTE!R385</f>
        <v>13.786836239318319</v>
      </c>
      <c r="O50" s="712">
        <f>Bilans_E_AMS_Kyoto_run3_MTE!S385</f>
        <v>4.2024164944931641</v>
      </c>
      <c r="P50" s="712">
        <f>Bilans_E_AMS_Kyoto_run3_MTE!T385+Bilans_E_AMS_Kyoto_run3_MTE!U385</f>
        <v>0</v>
      </c>
      <c r="Q50" s="712">
        <f>Bilans_E_AMS_Kyoto_run3_MTE!V385</f>
        <v>0</v>
      </c>
      <c r="R50" s="712">
        <f>Bilans_E_AMS_Kyoto_run3_MTE!W385</f>
        <v>0</v>
      </c>
      <c r="S50" s="712">
        <f>Bilans_E_AMS_Kyoto_run3_MTE!X385</f>
        <v>0</v>
      </c>
      <c r="T50" s="712">
        <f>Bilans_E_AMS_Kyoto_run3_MTE!Y385</f>
        <v>0</v>
      </c>
      <c r="U50" s="712">
        <f>Bilans_E_AMS_Kyoto_run3_MTE!Z385</f>
        <v>529.06733736528076</v>
      </c>
      <c r="V50" s="701"/>
      <c r="W50" s="701"/>
    </row>
    <row r="51" spans="1:23" x14ac:dyDescent="0.25">
      <c r="A51" s="701" t="s">
        <v>489</v>
      </c>
      <c r="B51" s="701"/>
      <c r="C51" s="710" t="s">
        <v>61</v>
      </c>
      <c r="D51" s="712">
        <f>Bilans_E_AMS_Kyoto_run3_MTE!H386</f>
        <v>0</v>
      </c>
      <c r="E51" s="712">
        <f>Bilans_E_AMS_Kyoto_run3_MTE!I386</f>
        <v>0</v>
      </c>
      <c r="F51" s="712">
        <f>Bilans_E_AMS_Kyoto_run3_MTE!J386</f>
        <v>0</v>
      </c>
      <c r="G51" s="712">
        <f>Bilans_E_AMS_Kyoto_run3_MTE!K386</f>
        <v>0</v>
      </c>
      <c r="H51" s="712">
        <f>Bilans_E_AMS_Kyoto_run3_MTE!L386</f>
        <v>0</v>
      </c>
      <c r="I51" s="712">
        <f>Bilans_E_AMS_Kyoto_run3_MTE!M386</f>
        <v>0</v>
      </c>
      <c r="J51" s="712">
        <f>Bilans_E_AMS_Kyoto_run3_MTE!N386</f>
        <v>0</v>
      </c>
      <c r="K51" s="712">
        <f>Bilans_E_AMS_Kyoto_run3_MTE!O386</f>
        <v>0</v>
      </c>
      <c r="L51" s="712">
        <f>Bilans_E_AMS_Kyoto_run3_MTE!P386</f>
        <v>0</v>
      </c>
      <c r="M51" s="712">
        <f>Bilans_E_AMS_Kyoto_run3_MTE!Q386</f>
        <v>0</v>
      </c>
      <c r="N51" s="712">
        <f>Bilans_E_AMS_Kyoto_run3_MTE!R386</f>
        <v>0</v>
      </c>
      <c r="O51" s="712">
        <f>Bilans_E_AMS_Kyoto_run3_MTE!S386</f>
        <v>0</v>
      </c>
      <c r="P51" s="712">
        <f>Bilans_E_AMS_Kyoto_run3_MTE!T386+Bilans_E_AMS_Kyoto_run3_MTE!U386</f>
        <v>0</v>
      </c>
      <c r="Q51" s="712">
        <f>Bilans_E_AMS_Kyoto_run3_MTE!V386</f>
        <v>0</v>
      </c>
      <c r="R51" s="712">
        <f>Bilans_E_AMS_Kyoto_run3_MTE!W386</f>
        <v>-112.47635741768158</v>
      </c>
      <c r="S51" s="712">
        <f>Bilans_E_AMS_Kyoto_run3_MTE!X386</f>
        <v>0</v>
      </c>
      <c r="T51" s="712">
        <f>Bilans_E_AMS_Kyoto_run3_MTE!Y386</f>
        <v>0</v>
      </c>
      <c r="U51" s="712">
        <f>Bilans_E_AMS_Kyoto_run3_MTE!Z386</f>
        <v>-112.47635741768158</v>
      </c>
      <c r="V51" s="701"/>
      <c r="W51" s="701"/>
    </row>
    <row r="52" spans="1:23" x14ac:dyDescent="0.25">
      <c r="A52" s="701" t="s">
        <v>490</v>
      </c>
      <c r="B52" s="701"/>
      <c r="C52" s="710" t="s">
        <v>62</v>
      </c>
      <c r="D52" s="711">
        <f>Bilans_E_AMS_Kyoto_run3_MTE!H387</f>
        <v>0</v>
      </c>
      <c r="E52" s="711">
        <f>Bilans_E_AMS_Kyoto_run3_MTE!I387</f>
        <v>0</v>
      </c>
      <c r="F52" s="711">
        <f>Bilans_E_AMS_Kyoto_run3_MTE!J387</f>
        <v>-6.4368278477343406</v>
      </c>
      <c r="G52" s="711">
        <f>Bilans_E_AMS_Kyoto_run3_MTE!K387</f>
        <v>-0.75904465097595197</v>
      </c>
      <c r="H52" s="711">
        <f>Bilans_E_AMS_Kyoto_run3_MTE!L387</f>
        <v>-0.26617313205703391</v>
      </c>
      <c r="I52" s="711">
        <f>Bilans_E_AMS_Kyoto_run3_MTE!M387</f>
        <v>-0.83753949174200382</v>
      </c>
      <c r="J52" s="711">
        <f>Bilans_E_AMS_Kyoto_run3_MTE!N387</f>
        <v>0</v>
      </c>
      <c r="K52" s="711">
        <f>Bilans_E_AMS_Kyoto_run3_MTE!O387</f>
        <v>0</v>
      </c>
      <c r="L52" s="711">
        <f>Bilans_E_AMS_Kyoto_run3_MTE!P387</f>
        <v>0</v>
      </c>
      <c r="M52" s="711">
        <f>Bilans_E_AMS_Kyoto_run3_MTE!Q387</f>
        <v>0</v>
      </c>
      <c r="N52" s="711">
        <f>Bilans_E_AMS_Kyoto_run3_MTE!R387</f>
        <v>0</v>
      </c>
      <c r="O52" s="711">
        <f>Bilans_E_AMS_Kyoto_run3_MTE!S387</f>
        <v>-1.2171669369544087</v>
      </c>
      <c r="P52" s="711">
        <f>Bilans_E_AMS_Kyoto_run3_MTE!T387+Bilans_E_AMS_Kyoto_run3_MTE!U387</f>
        <v>0</v>
      </c>
      <c r="Q52" s="711">
        <f>Bilans_E_AMS_Kyoto_run3_MTE!V387</f>
        <v>0</v>
      </c>
      <c r="R52" s="711">
        <f>Bilans_E_AMS_Kyoto_run3_MTE!W387</f>
        <v>0</v>
      </c>
      <c r="S52" s="711">
        <f>Bilans_E_AMS_Kyoto_run3_MTE!X387</f>
        <v>0</v>
      </c>
      <c r="T52" s="711">
        <f>Bilans_E_AMS_Kyoto_run3_MTE!Y387</f>
        <v>-0.55033649946810814</v>
      </c>
      <c r="U52" s="711">
        <f>Bilans_E_AMS_Kyoto_run3_MTE!Z387</f>
        <v>-10.067088558931845</v>
      </c>
      <c r="V52" s="701"/>
      <c r="W52" s="701"/>
    </row>
    <row r="53" spans="1:23" x14ac:dyDescent="0.25">
      <c r="A53" s="701" t="s">
        <v>491</v>
      </c>
      <c r="B53" s="701"/>
      <c r="C53" s="710" t="s">
        <v>63</v>
      </c>
      <c r="D53" s="711">
        <f>Bilans_E_AMS_Kyoto_run3_MTE!H388</f>
        <v>0</v>
      </c>
      <c r="E53" s="711">
        <f>Bilans_E_AMS_Kyoto_run3_MTE!I388</f>
        <v>0</v>
      </c>
      <c r="F53" s="711">
        <f>Bilans_E_AMS_Kyoto_run3_MTE!J388</f>
        <v>-46.4</v>
      </c>
      <c r="G53" s="711">
        <f>Bilans_E_AMS_Kyoto_run3_MTE!K388</f>
        <v>-6.4</v>
      </c>
      <c r="H53" s="711">
        <f>Bilans_E_AMS_Kyoto_run3_MTE!L388</f>
        <v>0</v>
      </c>
      <c r="I53" s="711">
        <f>Bilans_E_AMS_Kyoto_run3_MTE!M388</f>
        <v>0</v>
      </c>
      <c r="J53" s="711">
        <f>Bilans_E_AMS_Kyoto_run3_MTE!N388</f>
        <v>0</v>
      </c>
      <c r="K53" s="711">
        <f>Bilans_E_AMS_Kyoto_run3_MTE!O388</f>
        <v>0</v>
      </c>
      <c r="L53" s="711">
        <f>Bilans_E_AMS_Kyoto_run3_MTE!P388</f>
        <v>0</v>
      </c>
      <c r="M53" s="711">
        <f>Bilans_E_AMS_Kyoto_run3_MTE!Q388</f>
        <v>0</v>
      </c>
      <c r="N53" s="711">
        <f>Bilans_E_AMS_Kyoto_run3_MTE!R388</f>
        <v>-13.4</v>
      </c>
      <c r="O53" s="711">
        <f>Bilans_E_AMS_Kyoto_run3_MTE!S388</f>
        <v>0</v>
      </c>
      <c r="P53" s="711">
        <f>Bilans_E_AMS_Kyoto_run3_MTE!T388+Bilans_E_AMS_Kyoto_run3_MTE!U388</f>
        <v>0</v>
      </c>
      <c r="Q53" s="711">
        <f>Bilans_E_AMS_Kyoto_run3_MTE!V388</f>
        <v>0</v>
      </c>
      <c r="R53" s="711">
        <f>Bilans_E_AMS_Kyoto_run3_MTE!W388</f>
        <v>0</v>
      </c>
      <c r="S53" s="711">
        <f>Bilans_E_AMS_Kyoto_run3_MTE!X388</f>
        <v>0</v>
      </c>
      <c r="T53" s="711">
        <f>Bilans_E_AMS_Kyoto_run3_MTE!Y388</f>
        <v>-2.2000000000000002</v>
      </c>
      <c r="U53" s="711">
        <f>Bilans_E_AMS_Kyoto_run3_MTE!Z388</f>
        <v>-68.400000000000006</v>
      </c>
      <c r="V53" s="701"/>
      <c r="W53" s="701"/>
    </row>
    <row r="54" spans="1:23" x14ac:dyDescent="0.25">
      <c r="A54" s="701" t="s">
        <v>492</v>
      </c>
      <c r="B54" s="701"/>
      <c r="C54" s="710" t="s">
        <v>64</v>
      </c>
      <c r="D54" s="712">
        <f>Bilans_E_AMS_Kyoto_run3_MTE!H389</f>
        <v>0</v>
      </c>
      <c r="E54" s="712">
        <f>Bilans_E_AMS_Kyoto_run3_MTE!I389</f>
        <v>0</v>
      </c>
      <c r="F54" s="712">
        <f>Bilans_E_AMS_Kyoto_run3_MTE!J389</f>
        <v>0</v>
      </c>
      <c r="G54" s="712">
        <f>Bilans_E_AMS_Kyoto_run3_MTE!K389</f>
        <v>0</v>
      </c>
      <c r="H54" s="712">
        <f>Bilans_E_AMS_Kyoto_run3_MTE!L389</f>
        <v>0</v>
      </c>
      <c r="I54" s="712">
        <f>Bilans_E_AMS_Kyoto_run3_MTE!M389</f>
        <v>0</v>
      </c>
      <c r="J54" s="712">
        <f>Bilans_E_AMS_Kyoto_run3_MTE!N389</f>
        <v>0</v>
      </c>
      <c r="K54" s="712">
        <f>Bilans_E_AMS_Kyoto_run3_MTE!O389</f>
        <v>0</v>
      </c>
      <c r="L54" s="712">
        <f>Bilans_E_AMS_Kyoto_run3_MTE!P389</f>
        <v>0</v>
      </c>
      <c r="M54" s="712">
        <f>Bilans_E_AMS_Kyoto_run3_MTE!Q389</f>
        <v>0</v>
      </c>
      <c r="N54" s="712">
        <f>Bilans_E_AMS_Kyoto_run3_MTE!R389</f>
        <v>0</v>
      </c>
      <c r="O54" s="712">
        <f>Bilans_E_AMS_Kyoto_run3_MTE!S389</f>
        <v>0</v>
      </c>
      <c r="P54" s="712">
        <f>Bilans_E_AMS_Kyoto_run3_MTE!T389+Bilans_E_AMS_Kyoto_run3_MTE!U389</f>
        <v>0</v>
      </c>
      <c r="Q54" s="712">
        <f>Bilans_E_AMS_Kyoto_run3_MTE!V389</f>
        <v>0</v>
      </c>
      <c r="R54" s="712">
        <f>Bilans_E_AMS_Kyoto_run3_MTE!W389</f>
        <v>0</v>
      </c>
      <c r="S54" s="712">
        <f>Bilans_E_AMS_Kyoto_run3_MTE!X389</f>
        <v>0</v>
      </c>
      <c r="T54" s="712">
        <f>Bilans_E_AMS_Kyoto_run3_MTE!Y389</f>
        <v>0</v>
      </c>
      <c r="U54" s="712">
        <f>Bilans_E_AMS_Kyoto_run3_MTE!Z389</f>
        <v>0</v>
      </c>
      <c r="V54" s="701"/>
      <c r="W54" s="701"/>
    </row>
    <row r="55" spans="1:23" x14ac:dyDescent="0.25">
      <c r="A55" s="701" t="s">
        <v>493</v>
      </c>
      <c r="B55" s="701"/>
      <c r="C55" s="713" t="s">
        <v>65</v>
      </c>
      <c r="D55" s="714">
        <f>Bilans_E_AMS_Kyoto_run3_MTE!H390</f>
        <v>12.531065673828124</v>
      </c>
      <c r="E55" s="714">
        <f>Bilans_E_AMS_Kyoto_run3_MTE!I390</f>
        <v>262.59596136173099</v>
      </c>
      <c r="F55" s="714">
        <f>Bilans_E_AMS_Kyoto_run3_MTE!J390</f>
        <v>26.932311781247869</v>
      </c>
      <c r="G55" s="714">
        <f>Bilans_E_AMS_Kyoto_run3_MTE!K390</f>
        <v>-1.7745291376735031</v>
      </c>
      <c r="H55" s="714">
        <f>Bilans_E_AMS_Kyoto_run3_MTE!L390</f>
        <v>145.88256317463066</v>
      </c>
      <c r="I55" s="714">
        <f>Bilans_E_AMS_Kyoto_run3_MTE!M390</f>
        <v>-0.83753949174200382</v>
      </c>
      <c r="J55" s="714">
        <f>Bilans_E_AMS_Kyoto_run3_MTE!N390</f>
        <v>1195.4990290598246</v>
      </c>
      <c r="K55" s="714">
        <f>Bilans_E_AMS_Kyoto_run3_MTE!O390</f>
        <v>352.81639892204078</v>
      </c>
      <c r="L55" s="714">
        <f>Bilans_E_AMS_Kyoto_run3_MTE!P390</f>
        <v>341.33694367798938</v>
      </c>
      <c r="M55" s="714">
        <f>Bilans_E_AMS_Kyoto_run3_MTE!Q390</f>
        <v>49.102811616128875</v>
      </c>
      <c r="N55" s="714">
        <f>Bilans_E_AMS_Kyoto_run3_MTE!R390</f>
        <v>0.38683623931831868</v>
      </c>
      <c r="O55" s="714">
        <f>Bilans_E_AMS_Kyoto_run3_MTE!S390</f>
        <v>2.9852495575387552</v>
      </c>
      <c r="P55" s="714">
        <f>Bilans_E_AMS_Kyoto_run3_MTE!T390+Bilans_E_AMS_Kyoto_run3_MTE!U390</f>
        <v>200.79978234592807</v>
      </c>
      <c r="Q55" s="714">
        <f>Bilans_E_AMS_Kyoto_run3_MTE!V390</f>
        <v>40.778741630012433</v>
      </c>
      <c r="R55" s="714">
        <f>Bilans_E_AMS_Kyoto_run3_MTE!W390</f>
        <v>-112.47635741768158</v>
      </c>
      <c r="S55" s="714">
        <f>Bilans_E_AMS_Kyoto_run3_MTE!X390</f>
        <v>0</v>
      </c>
      <c r="T55" s="714">
        <f>Bilans_E_AMS_Kyoto_run3_MTE!Y390</f>
        <v>-2.7503364994681085</v>
      </c>
      <c r="U55" s="714">
        <f>Bilans_E_AMS_Kyoto_run3_MTE!Z390</f>
        <v>2513.8089324936536</v>
      </c>
      <c r="V55" s="701"/>
      <c r="W55" s="701"/>
    </row>
    <row r="56" spans="1:23" x14ac:dyDescent="0.25">
      <c r="A56" s="701"/>
      <c r="B56" s="701"/>
      <c r="C56" s="715"/>
      <c r="D56" s="716"/>
      <c r="E56" s="716"/>
      <c r="F56" s="716"/>
      <c r="G56" s="716"/>
      <c r="H56" s="716"/>
      <c r="I56" s="716"/>
      <c r="J56" s="716"/>
      <c r="K56" s="716"/>
      <c r="L56" s="716"/>
      <c r="M56" s="716"/>
      <c r="N56" s="716"/>
      <c r="O56" s="716"/>
      <c r="P56" s="716">
        <f>Bilans_E_AMS_Kyoto_run3_MTE!T391+Bilans_E_AMS_Kyoto_run3_MTE!U391</f>
        <v>0</v>
      </c>
      <c r="Q56" s="716"/>
      <c r="R56" s="716"/>
      <c r="S56" s="716"/>
      <c r="T56" s="716"/>
      <c r="U56" s="716"/>
      <c r="V56" s="701"/>
      <c r="W56" s="701"/>
    </row>
    <row r="57" spans="1:23" x14ac:dyDescent="0.25">
      <c r="A57" s="701" t="s">
        <v>494</v>
      </c>
      <c r="B57" s="701"/>
      <c r="C57" s="717" t="s">
        <v>67</v>
      </c>
      <c r="D57" s="711">
        <f>Bilans_E_AMS_Kyoto_run3_MTE!H392</f>
        <v>0</v>
      </c>
      <c r="E57" s="711">
        <f>Bilans_E_AMS_Kyoto_run3_MTE!I392</f>
        <v>0</v>
      </c>
      <c r="F57" s="711">
        <f>Bilans_E_AMS_Kyoto_run3_MTE!J392</f>
        <v>0</v>
      </c>
      <c r="G57" s="711">
        <f>Bilans_E_AMS_Kyoto_run3_MTE!K392</f>
        <v>0</v>
      </c>
      <c r="H57" s="711">
        <f>Bilans_E_AMS_Kyoto_run3_MTE!L392</f>
        <v>0</v>
      </c>
      <c r="I57" s="711">
        <f>Bilans_E_AMS_Kyoto_run3_MTE!M392</f>
        <v>0</v>
      </c>
      <c r="J57" s="711">
        <f>Bilans_E_AMS_Kyoto_run3_MTE!N392</f>
        <v>0</v>
      </c>
      <c r="K57" s="711">
        <f>Bilans_E_AMS_Kyoto_run3_MTE!O392</f>
        <v>0</v>
      </c>
      <c r="L57" s="711">
        <f>Bilans_E_AMS_Kyoto_run3_MTE!P392</f>
        <v>0</v>
      </c>
      <c r="M57" s="711">
        <f>Bilans_E_AMS_Kyoto_run3_MTE!Q392</f>
        <v>0</v>
      </c>
      <c r="N57" s="711">
        <f>Bilans_E_AMS_Kyoto_run3_MTE!R392</f>
        <v>0</v>
      </c>
      <c r="O57" s="711">
        <f>Bilans_E_AMS_Kyoto_run3_MTE!S392</f>
        <v>0</v>
      </c>
      <c r="P57" s="711">
        <f>Bilans_E_AMS_Kyoto_run3_MTE!T392+Bilans_E_AMS_Kyoto_run3_MTE!U392</f>
        <v>0</v>
      </c>
      <c r="Q57" s="711">
        <f>Bilans_E_AMS_Kyoto_run3_MTE!V392</f>
        <v>0</v>
      </c>
      <c r="R57" s="711">
        <f>Bilans_E_AMS_Kyoto_run3_MTE!W392</f>
        <v>0</v>
      </c>
      <c r="S57" s="711">
        <f>Bilans_E_AMS_Kyoto_run3_MTE!X392</f>
        <v>0</v>
      </c>
      <c r="T57" s="711">
        <f>Bilans_E_AMS_Kyoto_run3_MTE!Y392</f>
        <v>0</v>
      </c>
      <c r="U57" s="711">
        <f>Bilans_E_AMS_Kyoto_run3_MTE!Z392</f>
        <v>0</v>
      </c>
      <c r="V57" s="701"/>
      <c r="W57" s="701"/>
    </row>
    <row r="58" spans="1:23" x14ac:dyDescent="0.25">
      <c r="A58" s="701" t="s">
        <v>495</v>
      </c>
      <c r="B58" s="701"/>
      <c r="C58" s="717" t="s">
        <v>347</v>
      </c>
      <c r="D58" s="711">
        <f>Bilans_E_AMS_Kyoto_run3_MTE!H393</f>
        <v>0</v>
      </c>
      <c r="E58" s="711">
        <f>Bilans_E_AMS_Kyoto_run3_MTE!I393</f>
        <v>0</v>
      </c>
      <c r="F58" s="711">
        <f>Bilans_E_AMS_Kyoto_run3_MTE!J393</f>
        <v>0.36057808628354604</v>
      </c>
      <c r="G58" s="711">
        <f>Bilans_E_AMS_Kyoto_run3_MTE!K393</f>
        <v>0</v>
      </c>
      <c r="H58" s="711">
        <f>Bilans_E_AMS_Kyoto_run3_MTE!L393</f>
        <v>8.6510705990175421</v>
      </c>
      <c r="I58" s="711">
        <f>Bilans_E_AMS_Kyoto_run3_MTE!M393</f>
        <v>0</v>
      </c>
      <c r="J58" s="711">
        <f>Bilans_E_AMS_Kyoto_run3_MTE!N393</f>
        <v>1193.4597454545453</v>
      </c>
      <c r="K58" s="711">
        <f>Bilans_E_AMS_Kyoto_run3_MTE!O393</f>
        <v>352.81639892204078</v>
      </c>
      <c r="L58" s="711">
        <f>Bilans_E_AMS_Kyoto_run3_MTE!P393</f>
        <v>17.169316423280179</v>
      </c>
      <c r="M58" s="711">
        <f>Bilans_E_AMS_Kyoto_run3_MTE!Q393</f>
        <v>5.7366833077088035</v>
      </c>
      <c r="N58" s="711">
        <f>Bilans_E_AMS_Kyoto_run3_MTE!R393</f>
        <v>5.3878161949008447</v>
      </c>
      <c r="O58" s="711">
        <f>Bilans_E_AMS_Kyoto_run3_MTE!S393</f>
        <v>5.0608301808950129</v>
      </c>
      <c r="P58" s="711">
        <f>Bilans_E_AMS_Kyoto_run3_MTE!T393+Bilans_E_AMS_Kyoto_run3_MTE!U393</f>
        <v>0</v>
      </c>
      <c r="Q58" s="711">
        <f>Bilans_E_AMS_Kyoto_run3_MTE!V393</f>
        <v>4.9774137725284184</v>
      </c>
      <c r="R58" s="711">
        <f>Bilans_E_AMS_Kyoto_run3_MTE!W393</f>
        <v>-770.22733582540855</v>
      </c>
      <c r="S58" s="711">
        <f>Bilans_E_AMS_Kyoto_run3_MTE!X393</f>
        <v>0</v>
      </c>
      <c r="T58" s="711">
        <f>Bilans_E_AMS_Kyoto_run3_MTE!Y393</f>
        <v>0</v>
      </c>
      <c r="U58" s="711">
        <f>Bilans_E_AMS_Kyoto_run3_MTE!Z393</f>
        <v>823.39251711579163</v>
      </c>
      <c r="V58" s="701"/>
      <c r="W58" s="701"/>
    </row>
    <row r="59" spans="1:23" x14ac:dyDescent="0.25">
      <c r="A59" s="701" t="s">
        <v>496</v>
      </c>
      <c r="B59" s="701"/>
      <c r="C59" s="717" t="s">
        <v>348</v>
      </c>
      <c r="D59" s="711">
        <f>Bilans_E_AMS_Kyoto_run3_MTE!H394</f>
        <v>0</v>
      </c>
      <c r="E59" s="711">
        <f>Bilans_E_AMS_Kyoto_run3_MTE!I394</f>
        <v>0</v>
      </c>
      <c r="F59" s="711">
        <f>Bilans_E_AMS_Kyoto_run3_MTE!J394</f>
        <v>0</v>
      </c>
      <c r="G59" s="711">
        <f>Bilans_E_AMS_Kyoto_run3_MTE!K394</f>
        <v>0</v>
      </c>
      <c r="H59" s="711">
        <f>Bilans_E_AMS_Kyoto_run3_MTE!L394</f>
        <v>16.741941849061199</v>
      </c>
      <c r="I59" s="711">
        <f>Bilans_E_AMS_Kyoto_run3_MTE!M394</f>
        <v>0</v>
      </c>
      <c r="J59" s="711">
        <f>Bilans_E_AMS_Kyoto_run3_MTE!N394</f>
        <v>2.0392836052791781</v>
      </c>
      <c r="K59" s="711">
        <f>Bilans_E_AMS_Kyoto_run3_MTE!O394</f>
        <v>0</v>
      </c>
      <c r="L59" s="711">
        <f>Bilans_E_AMS_Kyoto_run3_MTE!P394</f>
        <v>24.508111114586647</v>
      </c>
      <c r="M59" s="711">
        <f>Bilans_E_AMS_Kyoto_run3_MTE!Q394</f>
        <v>15.713393249215271</v>
      </c>
      <c r="N59" s="711">
        <f>Bilans_E_AMS_Kyoto_run3_MTE!R394</f>
        <v>0</v>
      </c>
      <c r="O59" s="711">
        <f>Bilans_E_AMS_Kyoto_run3_MTE!S394</f>
        <v>8.2544124688387157</v>
      </c>
      <c r="P59" s="711">
        <f>Bilans_E_AMS_Kyoto_run3_MTE!T394+Bilans_E_AMS_Kyoto_run3_MTE!U394</f>
        <v>15.880539172662751</v>
      </c>
      <c r="Q59" s="711">
        <f>Bilans_E_AMS_Kyoto_run3_MTE!V394</f>
        <v>15.123327125815617</v>
      </c>
      <c r="R59" s="711">
        <f>Bilans_E_AMS_Kyoto_run3_MTE!W394</f>
        <v>0</v>
      </c>
      <c r="S59" s="711">
        <f>Bilans_E_AMS_Kyoto_run3_MTE!X394</f>
        <v>-90.455475584151912</v>
      </c>
      <c r="T59" s="711">
        <f>Bilans_E_AMS_Kyoto_run3_MTE!Y394</f>
        <v>0</v>
      </c>
      <c r="U59" s="711">
        <f>Bilans_E_AMS_Kyoto_run3_MTE!Z394</f>
        <v>7.8055330013074666</v>
      </c>
      <c r="V59" s="701"/>
      <c r="W59" s="701"/>
    </row>
    <row r="60" spans="1:23" x14ac:dyDescent="0.25">
      <c r="A60" s="701" t="s">
        <v>497</v>
      </c>
      <c r="B60" s="701"/>
      <c r="C60" s="717" t="s">
        <v>349</v>
      </c>
      <c r="D60" s="711">
        <f>Bilans_E_AMS_Kyoto_run3_MTE!H395</f>
        <v>0</v>
      </c>
      <c r="E60" s="711">
        <f>Bilans_E_AMS_Kyoto_run3_MTE!I395</f>
        <v>0</v>
      </c>
      <c r="F60" s="711">
        <f>Bilans_E_AMS_Kyoto_run3_MTE!J395</f>
        <v>0</v>
      </c>
      <c r="G60" s="711">
        <f>Bilans_E_AMS_Kyoto_run3_MTE!K395</f>
        <v>0</v>
      </c>
      <c r="H60" s="711">
        <f>Bilans_E_AMS_Kyoto_run3_MTE!L395</f>
        <v>0</v>
      </c>
      <c r="I60" s="711">
        <f>Bilans_E_AMS_Kyoto_run3_MTE!M395</f>
        <v>0</v>
      </c>
      <c r="J60" s="711">
        <f>Bilans_E_AMS_Kyoto_run3_MTE!N395</f>
        <v>0</v>
      </c>
      <c r="K60" s="711">
        <f>Bilans_E_AMS_Kyoto_run3_MTE!O395</f>
        <v>0</v>
      </c>
      <c r="L60" s="711">
        <f>Bilans_E_AMS_Kyoto_run3_MTE!P395</f>
        <v>110.70220449796281</v>
      </c>
      <c r="M60" s="711">
        <f>Bilans_E_AMS_Kyoto_run3_MTE!Q395</f>
        <v>11.288363237424081</v>
      </c>
      <c r="N60" s="711">
        <f>Bilans_E_AMS_Kyoto_run3_MTE!R395</f>
        <v>0</v>
      </c>
      <c r="O60" s="711">
        <f>Bilans_E_AMS_Kyoto_run3_MTE!S395</f>
        <v>-61.07757335974334</v>
      </c>
      <c r="P60" s="711">
        <f>Bilans_E_AMS_Kyoto_run3_MTE!T395+Bilans_E_AMS_Kyoto_run3_MTE!U395</f>
        <v>0</v>
      </c>
      <c r="Q60" s="711">
        <f>Bilans_E_AMS_Kyoto_run3_MTE!V395</f>
        <v>0</v>
      </c>
      <c r="R60" s="711">
        <f>Bilans_E_AMS_Kyoto_run3_MTE!W395</f>
        <v>0</v>
      </c>
      <c r="S60" s="711">
        <f>Bilans_E_AMS_Kyoto_run3_MTE!X395</f>
        <v>0</v>
      </c>
      <c r="T60" s="711">
        <f>Bilans_E_AMS_Kyoto_run3_MTE!Y395</f>
        <v>0</v>
      </c>
      <c r="U60" s="711">
        <f>Bilans_E_AMS_Kyoto_run3_MTE!Z395</f>
        <v>60.912994375643549</v>
      </c>
      <c r="V60" s="701"/>
      <c r="W60" s="701"/>
    </row>
    <row r="61" spans="1:23" x14ac:dyDescent="0.25">
      <c r="A61" s="701" t="s">
        <v>498</v>
      </c>
      <c r="B61" s="701"/>
      <c r="C61" s="717" t="s">
        <v>350</v>
      </c>
      <c r="D61" s="711">
        <f>Bilans_E_AMS_Kyoto_run3_MTE!H396</f>
        <v>0</v>
      </c>
      <c r="E61" s="711">
        <f>Bilans_E_AMS_Kyoto_run3_MTE!I396</f>
        <v>0</v>
      </c>
      <c r="F61" s="711">
        <f>Bilans_E_AMS_Kyoto_run3_MTE!J396</f>
        <v>0</v>
      </c>
      <c r="G61" s="711">
        <f>Bilans_E_AMS_Kyoto_run3_MTE!K396</f>
        <v>0</v>
      </c>
      <c r="H61" s="711">
        <f>Bilans_E_AMS_Kyoto_run3_MTE!L396</f>
        <v>0</v>
      </c>
      <c r="I61" s="711">
        <f>Bilans_E_AMS_Kyoto_run3_MTE!M396</f>
        <v>-0.83753949174200382</v>
      </c>
      <c r="J61" s="711">
        <f>Bilans_E_AMS_Kyoto_run3_MTE!N396</f>
        <v>0</v>
      </c>
      <c r="K61" s="711">
        <f>Bilans_E_AMS_Kyoto_run3_MTE!O396</f>
        <v>0</v>
      </c>
      <c r="L61" s="711">
        <f>Bilans_E_AMS_Kyoto_run3_MTE!P396</f>
        <v>0</v>
      </c>
      <c r="M61" s="711">
        <f>Bilans_E_AMS_Kyoto_run3_MTE!Q396</f>
        <v>0</v>
      </c>
      <c r="N61" s="711">
        <f>Bilans_E_AMS_Kyoto_run3_MTE!R396</f>
        <v>0</v>
      </c>
      <c r="O61" s="711">
        <f>Bilans_E_AMS_Kyoto_run3_MTE!S396</f>
        <v>0</v>
      </c>
      <c r="P61" s="711">
        <f>Bilans_E_AMS_Kyoto_run3_MTE!T396+Bilans_E_AMS_Kyoto_run3_MTE!U396</f>
        <v>0</v>
      </c>
      <c r="Q61" s="711">
        <f>Bilans_E_AMS_Kyoto_run3_MTE!V396</f>
        <v>0</v>
      </c>
      <c r="R61" s="711">
        <f>Bilans_E_AMS_Kyoto_run3_MTE!W396</f>
        <v>0</v>
      </c>
      <c r="S61" s="711">
        <f>Bilans_E_AMS_Kyoto_run3_MTE!X396</f>
        <v>0</v>
      </c>
      <c r="T61" s="711">
        <f>Bilans_E_AMS_Kyoto_run3_MTE!Y396</f>
        <v>1.1632492940861165</v>
      </c>
      <c r="U61" s="711">
        <f>Bilans_E_AMS_Kyoto_run3_MTE!Z396</f>
        <v>0.32570980234411273</v>
      </c>
      <c r="V61" s="701"/>
      <c r="W61" s="701"/>
    </row>
    <row r="62" spans="1:23" x14ac:dyDescent="0.25">
      <c r="A62" s="701" t="s">
        <v>499</v>
      </c>
      <c r="B62" s="701"/>
      <c r="C62" s="717" t="s">
        <v>72</v>
      </c>
      <c r="D62" s="711">
        <f>Bilans_E_AMS_Kyoto_run3_MTE!H397</f>
        <v>0</v>
      </c>
      <c r="E62" s="711">
        <f>Bilans_E_AMS_Kyoto_run3_MTE!I397</f>
        <v>272.12802990456925</v>
      </c>
      <c r="F62" s="711">
        <f>Bilans_E_AMS_Kyoto_run3_MTE!J397</f>
        <v>-269.40674960552354</v>
      </c>
      <c r="G62" s="711">
        <f>Bilans_E_AMS_Kyoto_run3_MTE!K397</f>
        <v>0</v>
      </c>
      <c r="H62" s="711">
        <f>Bilans_E_AMS_Kyoto_run3_MTE!L397</f>
        <v>0</v>
      </c>
      <c r="I62" s="711">
        <f>Bilans_E_AMS_Kyoto_run3_MTE!M397</f>
        <v>0</v>
      </c>
      <c r="J62" s="711">
        <f>Bilans_E_AMS_Kyoto_run3_MTE!N397</f>
        <v>0</v>
      </c>
      <c r="K62" s="711">
        <f>Bilans_E_AMS_Kyoto_run3_MTE!O397</f>
        <v>0</v>
      </c>
      <c r="L62" s="711">
        <f>Bilans_E_AMS_Kyoto_run3_MTE!P397</f>
        <v>0</v>
      </c>
      <c r="M62" s="711">
        <f>Bilans_E_AMS_Kyoto_run3_MTE!Q397</f>
        <v>0</v>
      </c>
      <c r="N62" s="711">
        <f>Bilans_E_AMS_Kyoto_run3_MTE!R397</f>
        <v>0</v>
      </c>
      <c r="O62" s="711">
        <f>Bilans_E_AMS_Kyoto_run3_MTE!S397</f>
        <v>0</v>
      </c>
      <c r="P62" s="711">
        <f>Bilans_E_AMS_Kyoto_run3_MTE!T397+Bilans_E_AMS_Kyoto_run3_MTE!U397</f>
        <v>0</v>
      </c>
      <c r="Q62" s="711">
        <f>Bilans_E_AMS_Kyoto_run3_MTE!V397</f>
        <v>0</v>
      </c>
      <c r="R62" s="711">
        <f>Bilans_E_AMS_Kyoto_run3_MTE!W397</f>
        <v>0</v>
      </c>
      <c r="S62" s="711">
        <f>Bilans_E_AMS_Kyoto_run3_MTE!X397</f>
        <v>0</v>
      </c>
      <c r="T62" s="711">
        <f>Bilans_E_AMS_Kyoto_run3_MTE!Y397</f>
        <v>0</v>
      </c>
      <c r="U62" s="711">
        <f>Bilans_E_AMS_Kyoto_run3_MTE!Z397</f>
        <v>2.7212802990457021</v>
      </c>
      <c r="V62" s="701"/>
      <c r="W62" s="701"/>
    </row>
    <row r="63" spans="1:23" x14ac:dyDescent="0.25">
      <c r="A63" s="701" t="s">
        <v>500</v>
      </c>
      <c r="B63" s="701"/>
      <c r="C63" s="717" t="s">
        <v>351</v>
      </c>
      <c r="D63" s="711">
        <f>Bilans_E_AMS_Kyoto_run3_MTE!H398</f>
        <v>0</v>
      </c>
      <c r="E63" s="711">
        <f>Bilans_E_AMS_Kyoto_run3_MTE!I398</f>
        <v>0</v>
      </c>
      <c r="F63" s="711">
        <f>Bilans_E_AMS_Kyoto_run3_MTE!J398</f>
        <v>0</v>
      </c>
      <c r="G63" s="711">
        <f>Bilans_E_AMS_Kyoto_run3_MTE!K398</f>
        <v>0</v>
      </c>
      <c r="H63" s="711">
        <f>Bilans_E_AMS_Kyoto_run3_MTE!L398</f>
        <v>0</v>
      </c>
      <c r="I63" s="711">
        <f>Bilans_E_AMS_Kyoto_run3_MTE!M398</f>
        <v>0</v>
      </c>
      <c r="J63" s="711">
        <f>Bilans_E_AMS_Kyoto_run3_MTE!N398</f>
        <v>0</v>
      </c>
      <c r="K63" s="711">
        <f>Bilans_E_AMS_Kyoto_run3_MTE!O398</f>
        <v>0</v>
      </c>
      <c r="L63" s="711">
        <f>Bilans_E_AMS_Kyoto_run3_MTE!P398</f>
        <v>88.639921652360655</v>
      </c>
      <c r="M63" s="711">
        <f>Bilans_E_AMS_Kyoto_run3_MTE!Q398</f>
        <v>7.2727272727272725</v>
      </c>
      <c r="N63" s="711">
        <f>Bilans_E_AMS_Kyoto_run3_MTE!R398</f>
        <v>-53.457042752935592</v>
      </c>
      <c r="O63" s="711">
        <f>Bilans_E_AMS_Kyoto_run3_MTE!S398</f>
        <v>0</v>
      </c>
      <c r="P63" s="711">
        <f>Bilans_E_AMS_Kyoto_run3_MTE!T398+Bilans_E_AMS_Kyoto_run3_MTE!U398</f>
        <v>0</v>
      </c>
      <c r="Q63" s="711">
        <f>Bilans_E_AMS_Kyoto_run3_MTE!V398</f>
        <v>0</v>
      </c>
      <c r="R63" s="711">
        <f>Bilans_E_AMS_Kyoto_run3_MTE!W398</f>
        <v>0</v>
      </c>
      <c r="S63" s="711">
        <f>Bilans_E_AMS_Kyoto_run3_MTE!X398</f>
        <v>0</v>
      </c>
      <c r="T63" s="711">
        <f>Bilans_E_AMS_Kyoto_run3_MTE!Y398</f>
        <v>0</v>
      </c>
      <c r="U63" s="711">
        <f>Bilans_E_AMS_Kyoto_run3_MTE!Z398</f>
        <v>42.455606172152329</v>
      </c>
      <c r="V63" s="701"/>
      <c r="W63" s="701"/>
    </row>
    <row r="64" spans="1:23" x14ac:dyDescent="0.25">
      <c r="A64" s="701" t="s">
        <v>501</v>
      </c>
      <c r="B64" s="701"/>
      <c r="C64" s="717" t="s">
        <v>352</v>
      </c>
      <c r="D64" s="711">
        <f>Bilans_E_AMS_Kyoto_run3_MTE!H399</f>
        <v>0</v>
      </c>
      <c r="E64" s="711">
        <f>Bilans_E_AMS_Kyoto_run3_MTE!I399</f>
        <v>0</v>
      </c>
      <c r="F64" s="711">
        <f>Bilans_E_AMS_Kyoto_run3_MTE!J399</f>
        <v>0</v>
      </c>
      <c r="G64" s="711">
        <f>Bilans_E_AMS_Kyoto_run3_MTE!K399</f>
        <v>-4.3840446509759525</v>
      </c>
      <c r="H64" s="711">
        <f>Bilans_E_AMS_Kyoto_run3_MTE!L399</f>
        <v>0</v>
      </c>
      <c r="I64" s="711">
        <f>Bilans_E_AMS_Kyoto_run3_MTE!M399</f>
        <v>0</v>
      </c>
      <c r="J64" s="711">
        <f>Bilans_E_AMS_Kyoto_run3_MTE!N399</f>
        <v>0</v>
      </c>
      <c r="K64" s="711">
        <f>Bilans_E_AMS_Kyoto_run3_MTE!O399</f>
        <v>0</v>
      </c>
      <c r="L64" s="711">
        <f>Bilans_E_AMS_Kyoto_run3_MTE!P399</f>
        <v>0</v>
      </c>
      <c r="M64" s="711">
        <f>Bilans_E_AMS_Kyoto_run3_MTE!Q399</f>
        <v>0</v>
      </c>
      <c r="N64" s="711">
        <f>Bilans_E_AMS_Kyoto_run3_MTE!R399</f>
        <v>0</v>
      </c>
      <c r="O64" s="711">
        <f>Bilans_E_AMS_Kyoto_run3_MTE!S399</f>
        <v>0</v>
      </c>
      <c r="P64" s="711">
        <f>Bilans_E_AMS_Kyoto_run3_MTE!T399+Bilans_E_AMS_Kyoto_run3_MTE!U399</f>
        <v>0</v>
      </c>
      <c r="Q64" s="711">
        <f>Bilans_E_AMS_Kyoto_run3_MTE!V399</f>
        <v>0</v>
      </c>
      <c r="R64" s="711">
        <f>Bilans_E_AMS_Kyoto_run3_MTE!W399</f>
        <v>0</v>
      </c>
      <c r="S64" s="711">
        <f>Bilans_E_AMS_Kyoto_run3_MTE!X399</f>
        <v>0</v>
      </c>
      <c r="T64" s="711">
        <f>Bilans_E_AMS_Kyoto_run3_MTE!Y399</f>
        <v>7.2149491160735479</v>
      </c>
      <c r="U64" s="711">
        <f>Bilans_E_AMS_Kyoto_run3_MTE!Z399</f>
        <v>2.8309044650975954</v>
      </c>
      <c r="V64" s="701"/>
      <c r="W64" s="701"/>
    </row>
    <row r="65" spans="1:23" x14ac:dyDescent="0.25">
      <c r="A65" s="701" t="s">
        <v>502</v>
      </c>
      <c r="B65" s="701"/>
      <c r="C65" s="717" t="s">
        <v>73</v>
      </c>
      <c r="D65" s="711">
        <f>Bilans_E_AMS_Kyoto_run3_MTE!H400</f>
        <v>0</v>
      </c>
      <c r="E65" s="711">
        <f>Bilans_E_AMS_Kyoto_run3_MTE!I400</f>
        <v>0</v>
      </c>
      <c r="F65" s="711">
        <f>Bilans_E_AMS_Kyoto_run3_MTE!J400</f>
        <v>0</v>
      </c>
      <c r="G65" s="711">
        <f>Bilans_E_AMS_Kyoto_run3_MTE!K400</f>
        <v>0</v>
      </c>
      <c r="H65" s="711">
        <f>Bilans_E_AMS_Kyoto_run3_MTE!L400</f>
        <v>0</v>
      </c>
      <c r="I65" s="711">
        <f>Bilans_E_AMS_Kyoto_run3_MTE!M400</f>
        <v>0</v>
      </c>
      <c r="J65" s="711">
        <f>Bilans_E_AMS_Kyoto_run3_MTE!N400</f>
        <v>0</v>
      </c>
      <c r="K65" s="711">
        <f>Bilans_E_AMS_Kyoto_run3_MTE!O400</f>
        <v>0</v>
      </c>
      <c r="L65" s="711">
        <f>Bilans_E_AMS_Kyoto_run3_MTE!P400</f>
        <v>0</v>
      </c>
      <c r="M65" s="711">
        <f>Bilans_E_AMS_Kyoto_run3_MTE!Q400</f>
        <v>0</v>
      </c>
      <c r="N65" s="711">
        <f>Bilans_E_AMS_Kyoto_run3_MTE!R400</f>
        <v>0</v>
      </c>
      <c r="O65" s="711">
        <f>Bilans_E_AMS_Kyoto_run3_MTE!S400</f>
        <v>0</v>
      </c>
      <c r="P65" s="711">
        <f>Bilans_E_AMS_Kyoto_run3_MTE!T400+Bilans_E_AMS_Kyoto_run3_MTE!U400</f>
        <v>0</v>
      </c>
      <c r="Q65" s="711">
        <f>Bilans_E_AMS_Kyoto_run3_MTE!V400</f>
        <v>0</v>
      </c>
      <c r="R65" s="711">
        <f>Bilans_E_AMS_Kyoto_run3_MTE!W400</f>
        <v>40.8329668197633</v>
      </c>
      <c r="S65" s="711">
        <f>Bilans_E_AMS_Kyoto_run3_MTE!X400</f>
        <v>0</v>
      </c>
      <c r="T65" s="711">
        <f>Bilans_E_AMS_Kyoto_run3_MTE!Y400</f>
        <v>-27.684751503799522</v>
      </c>
      <c r="U65" s="711">
        <f>Bilans_E_AMS_Kyoto_run3_MTE!Z400</f>
        <v>13.148215315963778</v>
      </c>
      <c r="V65" s="701"/>
      <c r="W65" s="701"/>
    </row>
    <row r="66" spans="1:23" x14ac:dyDescent="0.25">
      <c r="A66" s="701" t="s">
        <v>503</v>
      </c>
      <c r="B66" s="701"/>
      <c r="C66" s="717" t="s">
        <v>353</v>
      </c>
      <c r="D66" s="711">
        <f>Bilans_E_AMS_Kyoto_run3_MTE!H401</f>
        <v>8.7196264453124996</v>
      </c>
      <c r="E66" s="711">
        <f>Bilans_E_AMS_Kyoto_run3_MTE!I401</f>
        <v>-9.5320685428382639</v>
      </c>
      <c r="F66" s="711">
        <f>Bilans_E_AMS_Kyoto_run3_MTE!J401</f>
        <v>12.621512149777095</v>
      </c>
      <c r="G66" s="711">
        <f>Bilans_E_AMS_Kyoto_run3_MTE!K401</f>
        <v>0</v>
      </c>
      <c r="H66" s="711">
        <f>Bilans_E_AMS_Kyoto_run3_MTE!L401</f>
        <v>0</v>
      </c>
      <c r="I66" s="711">
        <f>Bilans_E_AMS_Kyoto_run3_MTE!M401</f>
        <v>0</v>
      </c>
      <c r="J66" s="711">
        <f>Bilans_E_AMS_Kyoto_run3_MTE!N401</f>
        <v>0</v>
      </c>
      <c r="K66" s="711">
        <f>Bilans_E_AMS_Kyoto_run3_MTE!O401</f>
        <v>0</v>
      </c>
      <c r="L66" s="711">
        <f>Bilans_E_AMS_Kyoto_run3_MTE!P401</f>
        <v>0</v>
      </c>
      <c r="M66" s="711">
        <f>Bilans_E_AMS_Kyoto_run3_MTE!Q401</f>
        <v>0</v>
      </c>
      <c r="N66" s="711">
        <f>Bilans_E_AMS_Kyoto_run3_MTE!R401</f>
        <v>0</v>
      </c>
      <c r="O66" s="711">
        <f>Bilans_E_AMS_Kyoto_run3_MTE!S401</f>
        <v>0</v>
      </c>
      <c r="P66" s="711">
        <f>Bilans_E_AMS_Kyoto_run3_MTE!T401+Bilans_E_AMS_Kyoto_run3_MTE!U401</f>
        <v>0</v>
      </c>
      <c r="Q66" s="711">
        <f>Bilans_E_AMS_Kyoto_run3_MTE!V401</f>
        <v>0</v>
      </c>
      <c r="R66" s="711">
        <f>Bilans_E_AMS_Kyoto_run3_MTE!W401</f>
        <v>0</v>
      </c>
      <c r="S66" s="711">
        <f>Bilans_E_AMS_Kyoto_run3_MTE!X401</f>
        <v>0</v>
      </c>
      <c r="T66" s="711">
        <f>Bilans_E_AMS_Kyoto_run3_MTE!Y401</f>
        <v>0</v>
      </c>
      <c r="U66" s="711">
        <f>Bilans_E_AMS_Kyoto_run3_MTE!Z401</f>
        <v>11.809070052251331</v>
      </c>
      <c r="V66" s="701"/>
      <c r="W66" s="701"/>
    </row>
    <row r="67" spans="1:23" x14ac:dyDescent="0.25">
      <c r="A67" s="701" t="s">
        <v>504</v>
      </c>
      <c r="B67" s="701"/>
      <c r="C67" s="717" t="s">
        <v>75</v>
      </c>
      <c r="D67" s="711">
        <f>Bilans_E_AMS_Kyoto_run3_MTE!H402</f>
        <v>3.3909658398437501</v>
      </c>
      <c r="E67" s="711">
        <f>Bilans_E_AMS_Kyoto_run3_MTE!I402</f>
        <v>0</v>
      </c>
      <c r="F67" s="711">
        <f>Bilans_E_AMS_Kyoto_run3_MTE!J402</f>
        <v>9.432796735269573</v>
      </c>
      <c r="G67" s="711">
        <f>Bilans_E_AMS_Kyoto_run3_MTE!K402</f>
        <v>0</v>
      </c>
      <c r="H67" s="711">
        <f>Bilans_E_AMS_Kyoto_run3_MTE!L402</f>
        <v>0</v>
      </c>
      <c r="I67" s="711">
        <f>Bilans_E_AMS_Kyoto_run3_MTE!M402</f>
        <v>0</v>
      </c>
      <c r="J67" s="711">
        <f>Bilans_E_AMS_Kyoto_run3_MTE!N402</f>
        <v>0</v>
      </c>
      <c r="K67" s="711">
        <f>Bilans_E_AMS_Kyoto_run3_MTE!O402</f>
        <v>0</v>
      </c>
      <c r="L67" s="711">
        <f>Bilans_E_AMS_Kyoto_run3_MTE!P402</f>
        <v>0</v>
      </c>
      <c r="M67" s="711">
        <f>Bilans_E_AMS_Kyoto_run3_MTE!Q402</f>
        <v>0</v>
      </c>
      <c r="N67" s="711">
        <f>Bilans_E_AMS_Kyoto_run3_MTE!R402</f>
        <v>0</v>
      </c>
      <c r="O67" s="711">
        <f>Bilans_E_AMS_Kyoto_run3_MTE!S402</f>
        <v>0</v>
      </c>
      <c r="P67" s="711">
        <f>Bilans_E_AMS_Kyoto_run3_MTE!T402+Bilans_E_AMS_Kyoto_run3_MTE!U402</f>
        <v>0</v>
      </c>
      <c r="Q67" s="711">
        <f>Bilans_E_AMS_Kyoto_run3_MTE!V402</f>
        <v>0</v>
      </c>
      <c r="R67" s="711">
        <f>Bilans_E_AMS_Kyoto_run3_MTE!W402</f>
        <v>37.320812200670765</v>
      </c>
      <c r="S67" s="711">
        <f>Bilans_E_AMS_Kyoto_run3_MTE!X402</f>
        <v>0</v>
      </c>
      <c r="T67" s="711">
        <f>Bilans_E_AMS_Kyoto_run3_MTE!Y402</f>
        <v>2.676146999689228</v>
      </c>
      <c r="U67" s="711">
        <f>Bilans_E_AMS_Kyoto_run3_MTE!Z402</f>
        <v>52.820721775473316</v>
      </c>
      <c r="V67" s="701"/>
      <c r="W67" s="701"/>
    </row>
    <row r="68" spans="1:23" x14ac:dyDescent="0.25">
      <c r="A68" s="701" t="s">
        <v>505</v>
      </c>
      <c r="B68" s="701"/>
      <c r="C68" s="717" t="s">
        <v>76</v>
      </c>
      <c r="D68" s="711">
        <f>Bilans_E_AMS_Kyoto_run3_MTE!H403</f>
        <v>0</v>
      </c>
      <c r="E68" s="711">
        <f>Bilans_E_AMS_Kyoto_run3_MTE!I403</f>
        <v>0</v>
      </c>
      <c r="F68" s="711">
        <f>Bilans_E_AMS_Kyoto_run3_MTE!J403</f>
        <v>0</v>
      </c>
      <c r="G68" s="711">
        <f>Bilans_E_AMS_Kyoto_run3_MTE!K403</f>
        <v>0</v>
      </c>
      <c r="H68" s="711">
        <f>Bilans_E_AMS_Kyoto_run3_MTE!L403</f>
        <v>1.5888753550805288</v>
      </c>
      <c r="I68" s="711">
        <f>Bilans_E_AMS_Kyoto_run3_MTE!M403</f>
        <v>0</v>
      </c>
      <c r="J68" s="711">
        <f>Bilans_E_AMS_Kyoto_run3_MTE!N403</f>
        <v>0</v>
      </c>
      <c r="K68" s="711">
        <f>Bilans_E_AMS_Kyoto_run3_MTE!O403</f>
        <v>0</v>
      </c>
      <c r="L68" s="711">
        <f>Bilans_E_AMS_Kyoto_run3_MTE!P403</f>
        <v>0</v>
      </c>
      <c r="M68" s="711">
        <f>Bilans_E_AMS_Kyoto_run3_MTE!Q403</f>
        <v>0</v>
      </c>
      <c r="N68" s="711">
        <f>Bilans_E_AMS_Kyoto_run3_MTE!R403</f>
        <v>0</v>
      </c>
      <c r="O68" s="711">
        <f>Bilans_E_AMS_Kyoto_run3_MTE!S403</f>
        <v>0.74770604944966079</v>
      </c>
      <c r="P68" s="711">
        <f>Bilans_E_AMS_Kyoto_run3_MTE!T403+Bilans_E_AMS_Kyoto_run3_MTE!U403</f>
        <v>0</v>
      </c>
      <c r="Q68" s="711">
        <f>Bilans_E_AMS_Kyoto_run3_MTE!V403</f>
        <v>0</v>
      </c>
      <c r="R68" s="711">
        <f>Bilans_E_AMS_Kyoto_run3_MTE!W403</f>
        <v>53.75602745291291</v>
      </c>
      <c r="S68" s="711">
        <f>Bilans_E_AMS_Kyoto_run3_MTE!X403</f>
        <v>7.0140473976328979</v>
      </c>
      <c r="T68" s="711">
        <f>Bilans_E_AMS_Kyoto_run3_MTE!Y403</f>
        <v>0</v>
      </c>
      <c r="U68" s="711">
        <f>Bilans_E_AMS_Kyoto_run3_MTE!Z403</f>
        <v>63.106656255075997</v>
      </c>
      <c r="V68" s="701"/>
      <c r="W68" s="701"/>
    </row>
    <row r="69" spans="1:23" x14ac:dyDescent="0.25">
      <c r="A69" s="701" t="s">
        <v>506</v>
      </c>
      <c r="B69" s="701"/>
      <c r="C69" s="713" t="s">
        <v>77</v>
      </c>
      <c r="D69" s="714">
        <f>Bilans_E_AMS_Kyoto_run3_MTE!H404</f>
        <v>12.110592285156249</v>
      </c>
      <c r="E69" s="714">
        <f>Bilans_E_AMS_Kyoto_run3_MTE!I404</f>
        <v>262.59596136173099</v>
      </c>
      <c r="F69" s="714">
        <f>Bilans_E_AMS_Kyoto_run3_MTE!J404</f>
        <v>-246.9918626341933</v>
      </c>
      <c r="G69" s="714">
        <f>Bilans_E_AMS_Kyoto_run3_MTE!K404</f>
        <v>-4.3840446509759525</v>
      </c>
      <c r="H69" s="714">
        <f>Bilans_E_AMS_Kyoto_run3_MTE!L404</f>
        <v>26.981887803159271</v>
      </c>
      <c r="I69" s="714">
        <f>Bilans_E_AMS_Kyoto_run3_MTE!M404</f>
        <v>-0.83753949174200382</v>
      </c>
      <c r="J69" s="714">
        <f>Bilans_E_AMS_Kyoto_run3_MTE!N404</f>
        <v>1195.4990290598246</v>
      </c>
      <c r="K69" s="714">
        <f>Bilans_E_AMS_Kyoto_run3_MTE!O404</f>
        <v>352.81639892204078</v>
      </c>
      <c r="L69" s="714">
        <f>Bilans_E_AMS_Kyoto_run3_MTE!P404</f>
        <v>241.01955368819029</v>
      </c>
      <c r="M69" s="714">
        <f>Bilans_E_AMS_Kyoto_run3_MTE!Q404</f>
        <v>40.011167067075426</v>
      </c>
      <c r="N69" s="714">
        <f>Bilans_E_AMS_Kyoto_run3_MTE!R404</f>
        <v>-48.06922655803475</v>
      </c>
      <c r="O69" s="714">
        <f>Bilans_E_AMS_Kyoto_run3_MTE!S404</f>
        <v>-47.014624660559946</v>
      </c>
      <c r="P69" s="714">
        <f>Bilans_E_AMS_Kyoto_run3_MTE!T404+Bilans_E_AMS_Kyoto_run3_MTE!U404</f>
        <v>15.880539172662751</v>
      </c>
      <c r="Q69" s="714">
        <f>Bilans_E_AMS_Kyoto_run3_MTE!V404</f>
        <v>20.100740898344036</v>
      </c>
      <c r="R69" s="714">
        <f>Bilans_E_AMS_Kyoto_run3_MTE!W404</f>
        <v>-638.31752935206157</v>
      </c>
      <c r="S69" s="714">
        <f>Bilans_E_AMS_Kyoto_run3_MTE!X404</f>
        <v>-83.441428186519019</v>
      </c>
      <c r="T69" s="714">
        <f>Bilans_E_AMS_Kyoto_run3_MTE!Y404</f>
        <v>-16.630406093950629</v>
      </c>
      <c r="U69" s="714">
        <f>Bilans_E_AMS_Kyoto_run3_MTE!Z404</f>
        <v>1081.3292086301467</v>
      </c>
      <c r="V69" s="701"/>
      <c r="W69" s="701"/>
    </row>
    <row r="70" spans="1:23" x14ac:dyDescent="0.25">
      <c r="A70" s="701"/>
      <c r="B70" s="701"/>
      <c r="C70" s="715"/>
      <c r="D70" s="716"/>
      <c r="E70" s="716"/>
      <c r="F70" s="716"/>
      <c r="G70" s="716"/>
      <c r="H70" s="716"/>
      <c r="I70" s="716"/>
      <c r="J70" s="716"/>
      <c r="K70" s="716"/>
      <c r="L70" s="716"/>
      <c r="M70" s="716"/>
      <c r="N70" s="716"/>
      <c r="O70" s="716"/>
      <c r="P70" s="716">
        <f>Bilans_E_AMS_Kyoto_run3_MTE!T405+Bilans_E_AMS_Kyoto_run3_MTE!U405</f>
        <v>0</v>
      </c>
      <c r="Q70" s="716"/>
      <c r="R70" s="716"/>
      <c r="S70" s="716"/>
      <c r="T70" s="716"/>
      <c r="U70" s="716"/>
      <c r="V70" s="701"/>
      <c r="W70" s="701"/>
    </row>
    <row r="71" spans="1:23" x14ac:dyDescent="0.25">
      <c r="A71" s="701" t="s">
        <v>507</v>
      </c>
      <c r="B71" s="701"/>
      <c r="C71" s="717" t="s">
        <v>78</v>
      </c>
      <c r="D71" s="711">
        <f>Bilans_E_AMS_Kyoto_run3_MTE!H406</f>
        <v>0.420473388671875</v>
      </c>
      <c r="E71" s="711">
        <f>Bilans_E_AMS_Kyoto_run3_MTE!I406</f>
        <v>0</v>
      </c>
      <c r="F71" s="711">
        <f>Bilans_E_AMS_Kyoto_run3_MTE!J406</f>
        <v>4.5652166127933009</v>
      </c>
      <c r="G71" s="711">
        <f>Bilans_E_AMS_Kyoto_run3_MTE!K406</f>
        <v>0</v>
      </c>
      <c r="H71" s="711">
        <f>Bilans_E_AMS_Kyoto_run3_MTE!L406</f>
        <v>44.193879337952673</v>
      </c>
      <c r="I71" s="711">
        <f>Bilans_E_AMS_Kyoto_run3_MTE!M406</f>
        <v>0</v>
      </c>
      <c r="J71" s="711">
        <f>Bilans_E_AMS_Kyoto_run3_MTE!N406</f>
        <v>0</v>
      </c>
      <c r="K71" s="711">
        <f>Bilans_E_AMS_Kyoto_run3_MTE!O406</f>
        <v>0</v>
      </c>
      <c r="L71" s="711">
        <f>Bilans_E_AMS_Kyoto_run3_MTE!P406</f>
        <v>37.859111409249969</v>
      </c>
      <c r="M71" s="711">
        <f>Bilans_E_AMS_Kyoto_run3_MTE!Q406</f>
        <v>9.091644549053445</v>
      </c>
      <c r="N71" s="711">
        <f>Bilans_E_AMS_Kyoto_run3_MTE!R406</f>
        <v>0.79775456348402363</v>
      </c>
      <c r="O71" s="711">
        <f>Bilans_E_AMS_Kyoto_run3_MTE!S406</f>
        <v>20.833903688960643</v>
      </c>
      <c r="P71" s="711">
        <f>Bilans_E_AMS_Kyoto_run3_MTE!T406+Bilans_E_AMS_Kyoto_run3_MTE!U406</f>
        <v>9.7897363281250005</v>
      </c>
      <c r="Q71" s="711">
        <f>Bilans_E_AMS_Kyoto_run3_MTE!V406</f>
        <v>7.4990210834655101E-4</v>
      </c>
      <c r="R71" s="711">
        <f>Bilans_E_AMS_Kyoto_run3_MTE!W406</f>
        <v>154.61632550799115</v>
      </c>
      <c r="S71" s="711">
        <f>Bilans_E_AMS_Kyoto_run3_MTE!X406</f>
        <v>19.58585971983296</v>
      </c>
      <c r="T71" s="711">
        <f>Bilans_E_AMS_Kyoto_run3_MTE!Y406</f>
        <v>8.1097109374999992</v>
      </c>
      <c r="U71" s="711">
        <f>Bilans_E_AMS_Kyoto_run3_MTE!Z406</f>
        <v>309.86436594572336</v>
      </c>
      <c r="V71" s="701"/>
      <c r="W71" s="701"/>
    </row>
    <row r="72" spans="1:23" x14ac:dyDescent="0.25">
      <c r="A72" s="701" t="s">
        <v>508</v>
      </c>
      <c r="B72" s="701"/>
      <c r="C72" s="717" t="s">
        <v>79</v>
      </c>
      <c r="D72" s="711">
        <f>Bilans_E_AMS_Kyoto_run3_MTE!H407</f>
        <v>0</v>
      </c>
      <c r="E72" s="711">
        <f>Bilans_E_AMS_Kyoto_run3_MTE!I407</f>
        <v>0</v>
      </c>
      <c r="F72" s="711">
        <f>Bilans_E_AMS_Kyoto_run3_MTE!J407</f>
        <v>145.74847122117117</v>
      </c>
      <c r="G72" s="711">
        <f>Bilans_E_AMS_Kyoto_run3_MTE!K407</f>
        <v>0.6</v>
      </c>
      <c r="H72" s="711">
        <f>Bilans_E_AMS_Kyoto_run3_MTE!L407</f>
        <v>5.158710288451207</v>
      </c>
      <c r="I72" s="711">
        <f>Bilans_E_AMS_Kyoto_run3_MTE!M407</f>
        <v>0</v>
      </c>
      <c r="J72" s="711">
        <f>Bilans_E_AMS_Kyoto_run3_MTE!N407</f>
        <v>0</v>
      </c>
      <c r="K72" s="711">
        <f>Bilans_E_AMS_Kyoto_run3_MTE!O407</f>
        <v>0</v>
      </c>
      <c r="L72" s="711">
        <f>Bilans_E_AMS_Kyoto_run3_MTE!P407</f>
        <v>0</v>
      </c>
      <c r="M72" s="711">
        <f>Bilans_E_AMS_Kyoto_run3_MTE!Q407</f>
        <v>0</v>
      </c>
      <c r="N72" s="711">
        <f>Bilans_E_AMS_Kyoto_run3_MTE!R407</f>
        <v>37.983450784080269</v>
      </c>
      <c r="O72" s="711">
        <f>Bilans_E_AMS_Kyoto_run3_MTE!S407</f>
        <v>2.4276283710358628</v>
      </c>
      <c r="P72" s="711">
        <f>Bilans_E_AMS_Kyoto_run3_MTE!T407+Bilans_E_AMS_Kyoto_run3_MTE!U407</f>
        <v>0</v>
      </c>
      <c r="Q72" s="711">
        <f>Bilans_E_AMS_Kyoto_run3_MTE!V407</f>
        <v>0</v>
      </c>
      <c r="R72" s="711">
        <f>Bilans_E_AMS_Kyoto_run3_MTE!W407</f>
        <v>85.093782574296696</v>
      </c>
      <c r="S72" s="711">
        <f>Bilans_E_AMS_Kyoto_run3_MTE!X407</f>
        <v>0</v>
      </c>
      <c r="T72" s="711">
        <f>Bilans_E_AMS_Kyoto_run3_MTE!Y407</f>
        <v>3.6734052555319421</v>
      </c>
      <c r="U72" s="711">
        <f>Bilans_E_AMS_Kyoto_run3_MTE!Z407</f>
        <v>280.68544849456714</v>
      </c>
      <c r="V72" s="701"/>
      <c r="W72" s="701"/>
    </row>
    <row r="73" spans="1:23" x14ac:dyDescent="0.25">
      <c r="A73" s="701" t="s">
        <v>509</v>
      </c>
      <c r="B73" s="701"/>
      <c r="C73" s="717" t="s">
        <v>80</v>
      </c>
      <c r="D73" s="711">
        <f>Bilans_E_AMS_Kyoto_run3_MTE!H408</f>
        <v>0</v>
      </c>
      <c r="E73" s="711">
        <f>Bilans_E_AMS_Kyoto_run3_MTE!I408</f>
        <v>0</v>
      </c>
      <c r="F73" s="711">
        <f>Bilans_E_AMS_Kyoto_run3_MTE!J408</f>
        <v>0.67200053608066723</v>
      </c>
      <c r="G73" s="711">
        <f>Bilans_E_AMS_Kyoto_run3_MTE!K408</f>
        <v>0</v>
      </c>
      <c r="H73" s="711">
        <f>Bilans_E_AMS_Kyoto_run3_MTE!L408</f>
        <v>33.793440313703563</v>
      </c>
      <c r="I73" s="711">
        <f>Bilans_E_AMS_Kyoto_run3_MTE!M408</f>
        <v>0</v>
      </c>
      <c r="J73" s="711">
        <f>Bilans_E_AMS_Kyoto_run3_MTE!N408</f>
        <v>0</v>
      </c>
      <c r="K73" s="711">
        <f>Bilans_E_AMS_Kyoto_run3_MTE!O408</f>
        <v>0</v>
      </c>
      <c r="L73" s="711">
        <f>Bilans_E_AMS_Kyoto_run3_MTE!P408</f>
        <v>46.869025063770188</v>
      </c>
      <c r="M73" s="711">
        <f>Bilans_E_AMS_Kyoto_run3_MTE!Q408</f>
        <v>0</v>
      </c>
      <c r="N73" s="711">
        <f>Bilans_E_AMS_Kyoto_run3_MTE!R408</f>
        <v>0</v>
      </c>
      <c r="O73" s="711">
        <f>Bilans_E_AMS_Kyoto_run3_MTE!S408</f>
        <v>15.902795441742857</v>
      </c>
      <c r="P73" s="711">
        <f>Bilans_E_AMS_Kyoto_run3_MTE!T408+Bilans_E_AMS_Kyoto_run3_MTE!U408</f>
        <v>126.0368711002035</v>
      </c>
      <c r="Q73" s="711">
        <f>Bilans_E_AMS_Kyoto_run3_MTE!V408</f>
        <v>10.28748002838279</v>
      </c>
      <c r="R73" s="711">
        <f>Bilans_E_AMS_Kyoto_run3_MTE!W408</f>
        <v>153.25630739971572</v>
      </c>
      <c r="S73" s="711">
        <f>Bilans_E_AMS_Kyoto_run3_MTE!X408</f>
        <v>40.560183148779373</v>
      </c>
      <c r="T73" s="711">
        <f>Bilans_E_AMS_Kyoto_run3_MTE!Y408</f>
        <v>0</v>
      </c>
      <c r="U73" s="711">
        <f>Bilans_E_AMS_Kyoto_run3_MTE!Z408</f>
        <v>427.3781030323787</v>
      </c>
      <c r="V73" s="701"/>
      <c r="W73" s="701"/>
    </row>
    <row r="74" spans="1:23" x14ac:dyDescent="0.25">
      <c r="A74" s="701" t="s">
        <v>510</v>
      </c>
      <c r="B74" s="701"/>
      <c r="C74" s="717" t="s">
        <v>81</v>
      </c>
      <c r="D74" s="711">
        <f>Bilans_E_AMS_Kyoto_run3_MTE!H409</f>
        <v>0</v>
      </c>
      <c r="E74" s="711">
        <f>Bilans_E_AMS_Kyoto_run3_MTE!I409</f>
        <v>0</v>
      </c>
      <c r="F74" s="711">
        <f>Bilans_E_AMS_Kyoto_run3_MTE!J409</f>
        <v>1.3024591903190665</v>
      </c>
      <c r="G74" s="711">
        <f>Bilans_E_AMS_Kyoto_run3_MTE!K409</f>
        <v>0</v>
      </c>
      <c r="H74" s="711">
        <f>Bilans_E_AMS_Kyoto_run3_MTE!L409</f>
        <v>22.107329443509556</v>
      </c>
      <c r="I74" s="711">
        <f>Bilans_E_AMS_Kyoto_run3_MTE!M409</f>
        <v>0</v>
      </c>
      <c r="J74" s="711">
        <f>Bilans_E_AMS_Kyoto_run3_MTE!N409</f>
        <v>0</v>
      </c>
      <c r="K74" s="711">
        <f>Bilans_E_AMS_Kyoto_run3_MTE!O409</f>
        <v>0</v>
      </c>
      <c r="L74" s="711">
        <f>Bilans_E_AMS_Kyoto_run3_MTE!P409</f>
        <v>0.55939285776182701</v>
      </c>
      <c r="M74" s="711">
        <f>Bilans_E_AMS_Kyoto_run3_MTE!Q409</f>
        <v>0</v>
      </c>
      <c r="N74" s="711">
        <f>Bilans_E_AMS_Kyoto_run3_MTE!R409</f>
        <v>0</v>
      </c>
      <c r="O74" s="711">
        <f>Bilans_E_AMS_Kyoto_run3_MTE!S409</f>
        <v>10.403449149886853</v>
      </c>
      <c r="P74" s="711">
        <f>Bilans_E_AMS_Kyoto_run3_MTE!T409+Bilans_E_AMS_Kyoto_run3_MTE!U409</f>
        <v>48.192635744936815</v>
      </c>
      <c r="Q74" s="711">
        <f>Bilans_E_AMS_Kyoto_run3_MTE!V409</f>
        <v>9.224237582113501</v>
      </c>
      <c r="R74" s="711">
        <f>Bilans_E_AMS_Kyoto_run3_MTE!W409</f>
        <v>121.55538254836378</v>
      </c>
      <c r="S74" s="711">
        <f>Bilans_E_AMS_Kyoto_run3_MTE!X409</f>
        <v>23.29535389238076</v>
      </c>
      <c r="T74" s="711">
        <f>Bilans_E_AMS_Kyoto_run3_MTE!Y409</f>
        <v>0</v>
      </c>
      <c r="U74" s="711">
        <f>Bilans_E_AMS_Kyoto_run3_MTE!Z409</f>
        <v>236.64024040927217</v>
      </c>
      <c r="V74" s="701"/>
      <c r="W74" s="701"/>
    </row>
    <row r="75" spans="1:23" x14ac:dyDescent="0.25">
      <c r="A75" s="701" t="s">
        <v>511</v>
      </c>
      <c r="B75" s="701"/>
      <c r="C75" s="717" t="s">
        <v>82</v>
      </c>
      <c r="D75" s="711">
        <f>Bilans_E_AMS_Kyoto_run3_MTE!H410</f>
        <v>0</v>
      </c>
      <c r="E75" s="711">
        <f>Bilans_E_AMS_Kyoto_run3_MTE!I410</f>
        <v>0</v>
      </c>
      <c r="F75" s="711">
        <f>Bilans_E_AMS_Kyoto_run3_MTE!J410</f>
        <v>17.072371941732264</v>
      </c>
      <c r="G75" s="711">
        <f>Bilans_E_AMS_Kyoto_run3_MTE!K410</f>
        <v>0</v>
      </c>
      <c r="H75" s="711">
        <f>Bilans_E_AMS_Kyoto_run3_MTE!L410</f>
        <v>0.9182073287540522</v>
      </c>
      <c r="I75" s="711">
        <f>Bilans_E_AMS_Kyoto_run3_MTE!M410</f>
        <v>0</v>
      </c>
      <c r="J75" s="711">
        <f>Bilans_E_AMS_Kyoto_run3_MTE!N410</f>
        <v>0</v>
      </c>
      <c r="K75" s="711">
        <f>Bilans_E_AMS_Kyoto_run3_MTE!O410</f>
        <v>0</v>
      </c>
      <c r="L75" s="711">
        <f>Bilans_E_AMS_Kyoto_run3_MTE!P410</f>
        <v>14.623275458181073</v>
      </c>
      <c r="M75" s="711">
        <f>Bilans_E_AMS_Kyoto_run3_MTE!Q410</f>
        <v>0</v>
      </c>
      <c r="N75" s="711">
        <f>Bilans_E_AMS_Kyoto_run3_MTE!R410</f>
        <v>6.5072970956675134</v>
      </c>
      <c r="O75" s="711">
        <f>Bilans_E_AMS_Kyoto_run3_MTE!S410</f>
        <v>0.43209756647249531</v>
      </c>
      <c r="P75" s="711">
        <f>Bilans_E_AMS_Kyoto_run3_MTE!T410+Bilans_E_AMS_Kyoto_run3_MTE!U410</f>
        <v>0.9</v>
      </c>
      <c r="Q75" s="711">
        <f>Bilans_E_AMS_Kyoto_run3_MTE!V410</f>
        <v>1.1655332190637568</v>
      </c>
      <c r="R75" s="711">
        <f>Bilans_E_AMS_Kyoto_run3_MTE!W410</f>
        <v>9.1593739040126536</v>
      </c>
      <c r="S75" s="711">
        <f>Bilans_E_AMS_Kyoto_run3_MTE!X410</f>
        <v>0</v>
      </c>
      <c r="T75" s="711">
        <f>Bilans_E_AMS_Kyoto_run3_MTE!Y410</f>
        <v>0.38638525521088363</v>
      </c>
      <c r="U75" s="711">
        <f>Bilans_E_AMS_Kyoto_run3_MTE!Z410</f>
        <v>51.164541769094683</v>
      </c>
      <c r="V75" s="701"/>
      <c r="W75" s="701"/>
    </row>
    <row r="76" spans="1:23" x14ac:dyDescent="0.25">
      <c r="A76" s="701" t="s">
        <v>512</v>
      </c>
      <c r="B76" s="701"/>
      <c r="C76" s="717" t="s">
        <v>354</v>
      </c>
      <c r="D76" s="711">
        <f>Bilans_E_AMS_Kyoto_run3_MTE!H411</f>
        <v>0</v>
      </c>
      <c r="E76" s="711">
        <f>Bilans_E_AMS_Kyoto_run3_MTE!I411</f>
        <v>0</v>
      </c>
      <c r="F76" s="711">
        <f>Bilans_E_AMS_Kyoto_run3_MTE!J411</f>
        <v>0</v>
      </c>
      <c r="G76" s="711">
        <f>Bilans_E_AMS_Kyoto_run3_MTE!K411</f>
        <v>0</v>
      </c>
      <c r="H76" s="711">
        <f>Bilans_E_AMS_Kyoto_run3_MTE!L411</f>
        <v>0</v>
      </c>
      <c r="I76" s="711">
        <f>Bilans_E_AMS_Kyoto_run3_MTE!M411</f>
        <v>0</v>
      </c>
      <c r="J76" s="711">
        <f>Bilans_E_AMS_Kyoto_run3_MTE!N411</f>
        <v>0</v>
      </c>
      <c r="K76" s="711">
        <f>Bilans_E_AMS_Kyoto_run3_MTE!O411</f>
        <v>0</v>
      </c>
      <c r="L76" s="711">
        <f>Bilans_E_AMS_Kyoto_run3_MTE!P411</f>
        <v>0</v>
      </c>
      <c r="M76" s="711">
        <f>Bilans_E_AMS_Kyoto_run3_MTE!Q411</f>
        <v>0</v>
      </c>
      <c r="N76" s="711">
        <f>Bilans_E_AMS_Kyoto_run3_MTE!R411</f>
        <v>0</v>
      </c>
      <c r="O76" s="711">
        <f>Bilans_E_AMS_Kyoto_run3_MTE!S411</f>
        <v>0</v>
      </c>
      <c r="P76" s="711">
        <f>Bilans_E_AMS_Kyoto_run3_MTE!T411+Bilans_E_AMS_Kyoto_run3_MTE!U411</f>
        <v>0</v>
      </c>
      <c r="Q76" s="711">
        <f>Bilans_E_AMS_Kyoto_run3_MTE!V411</f>
        <v>0</v>
      </c>
      <c r="R76" s="711">
        <f>Bilans_E_AMS_Kyoto_run3_MTE!W411</f>
        <v>2.16</v>
      </c>
      <c r="S76" s="711">
        <f>Bilans_E_AMS_Kyoto_run3_MTE!X411</f>
        <v>0</v>
      </c>
      <c r="T76" s="711">
        <f>Bilans_E_AMS_Kyoto_run3_MTE!Y411</f>
        <v>0</v>
      </c>
      <c r="U76" s="711">
        <f>Bilans_E_AMS_Kyoto_run3_MTE!Z411</f>
        <v>2.16</v>
      </c>
      <c r="V76" s="701"/>
      <c r="W76" s="701"/>
    </row>
    <row r="77" spans="1:23" x14ac:dyDescent="0.25">
      <c r="A77" s="701" t="s">
        <v>513</v>
      </c>
      <c r="B77" s="701"/>
      <c r="C77" s="713" t="s">
        <v>83</v>
      </c>
      <c r="D77" s="714">
        <f>Bilans_E_AMS_Kyoto_run3_MTE!H412</f>
        <v>0.420473388671875</v>
      </c>
      <c r="E77" s="714">
        <f>Bilans_E_AMS_Kyoto_run3_MTE!I412</f>
        <v>0</v>
      </c>
      <c r="F77" s="714">
        <f>Bilans_E_AMS_Kyoto_run3_MTE!J412</f>
        <v>169.36051950209648</v>
      </c>
      <c r="G77" s="714">
        <f>Bilans_E_AMS_Kyoto_run3_MTE!K412</f>
        <v>0.6</v>
      </c>
      <c r="H77" s="714">
        <f>Bilans_E_AMS_Kyoto_run3_MTE!L412</f>
        <v>106.17156671237105</v>
      </c>
      <c r="I77" s="714">
        <f>Bilans_E_AMS_Kyoto_run3_MTE!M412</f>
        <v>0</v>
      </c>
      <c r="J77" s="714">
        <f>Bilans_E_AMS_Kyoto_run3_MTE!N412</f>
        <v>0</v>
      </c>
      <c r="K77" s="714">
        <f>Bilans_E_AMS_Kyoto_run3_MTE!O412</f>
        <v>0</v>
      </c>
      <c r="L77" s="714">
        <f>Bilans_E_AMS_Kyoto_run3_MTE!P412</f>
        <v>99.910804788963048</v>
      </c>
      <c r="M77" s="714">
        <f>Bilans_E_AMS_Kyoto_run3_MTE!Q412</f>
        <v>9.091644549053445</v>
      </c>
      <c r="N77" s="714">
        <f>Bilans_E_AMS_Kyoto_run3_MTE!R412</f>
        <v>45.288502443231806</v>
      </c>
      <c r="O77" s="714">
        <f>Bilans_E_AMS_Kyoto_run3_MTE!S412</f>
        <v>49.999874218098711</v>
      </c>
      <c r="P77" s="714">
        <f>Bilans_E_AMS_Kyoto_run3_MTE!T412+Bilans_E_AMS_Kyoto_run3_MTE!U412</f>
        <v>184.9192431732653</v>
      </c>
      <c r="Q77" s="714">
        <f>Bilans_E_AMS_Kyoto_run3_MTE!V412</f>
        <v>20.678000731668394</v>
      </c>
      <c r="R77" s="714">
        <f>Bilans_E_AMS_Kyoto_run3_MTE!W412</f>
        <v>525.84117193437999</v>
      </c>
      <c r="S77" s="714">
        <f>Bilans_E_AMS_Kyoto_run3_MTE!X412</f>
        <v>83.441396760993086</v>
      </c>
      <c r="T77" s="714">
        <f>Bilans_E_AMS_Kyoto_run3_MTE!Y412</f>
        <v>12.169501448242825</v>
      </c>
      <c r="U77" s="714">
        <f>Bilans_E_AMS_Kyoto_run3_MTE!Z412</f>
        <v>1307.8926996510361</v>
      </c>
      <c r="V77" s="701"/>
      <c r="W77" s="701"/>
    </row>
    <row r="78" spans="1:23" x14ac:dyDescent="0.25">
      <c r="A78" s="701" t="s">
        <v>514</v>
      </c>
      <c r="B78" s="701"/>
      <c r="C78" s="710" t="s">
        <v>84</v>
      </c>
      <c r="D78" s="711">
        <f>Bilans_E_AMS_Kyoto_run3_MTE!H413</f>
        <v>0</v>
      </c>
      <c r="E78" s="711">
        <f>Bilans_E_AMS_Kyoto_run3_MTE!I413</f>
        <v>0</v>
      </c>
      <c r="F78" s="711">
        <f>Bilans_E_AMS_Kyoto_run3_MTE!J413</f>
        <v>104.56365491334468</v>
      </c>
      <c r="G78" s="711">
        <f>Bilans_E_AMS_Kyoto_run3_MTE!K413</f>
        <v>2.0095155133024498</v>
      </c>
      <c r="H78" s="711">
        <f>Bilans_E_AMS_Kyoto_run3_MTE!L413</f>
        <v>12.7291086591003</v>
      </c>
      <c r="I78" s="711">
        <f>Bilans_E_AMS_Kyoto_run3_MTE!M413</f>
        <v>0</v>
      </c>
      <c r="J78" s="711">
        <f>Bilans_E_AMS_Kyoto_run3_MTE!N413</f>
        <v>0</v>
      </c>
      <c r="K78" s="711">
        <f>Bilans_E_AMS_Kyoto_run3_MTE!O413</f>
        <v>0</v>
      </c>
      <c r="L78" s="711">
        <f>Bilans_E_AMS_Kyoto_run3_MTE!P413</f>
        <v>0.40658520083603628</v>
      </c>
      <c r="M78" s="711">
        <f>Bilans_E_AMS_Kyoto_run3_MTE!Q413</f>
        <v>0</v>
      </c>
      <c r="N78" s="711">
        <f>Bilans_E_AMS_Kyoto_run3_MTE!R413</f>
        <v>3.1675603541212554</v>
      </c>
      <c r="O78" s="711">
        <f>Bilans_E_AMS_Kyoto_run3_MTE!S413</f>
        <v>0</v>
      </c>
      <c r="P78" s="711">
        <f>Bilans_E_AMS_Kyoto_run3_MTE!T413+Bilans_E_AMS_Kyoto_run3_MTE!U413</f>
        <v>0</v>
      </c>
      <c r="Q78" s="711">
        <f>Bilans_E_AMS_Kyoto_run3_MTE!V413</f>
        <v>0</v>
      </c>
      <c r="R78" s="711">
        <f>Bilans_E_AMS_Kyoto_run3_MTE!W413</f>
        <v>0</v>
      </c>
      <c r="S78" s="711">
        <f>Bilans_E_AMS_Kyoto_run3_MTE!X413</f>
        <v>0</v>
      </c>
      <c r="T78" s="711">
        <f>Bilans_E_AMS_Kyoto_run3_MTE!Y413</f>
        <v>1.710568146239696</v>
      </c>
      <c r="U78" s="711">
        <f>Bilans_E_AMS_Kyoto_run3_MTE!Z413</f>
        <v>124.58699278694441</v>
      </c>
      <c r="V78" s="701"/>
      <c r="W78" s="701"/>
    </row>
    <row r="79" spans="1:23" x14ac:dyDescent="0.25">
      <c r="A79" s="701" t="s">
        <v>515</v>
      </c>
      <c r="B79" s="701"/>
      <c r="C79" s="713" t="s">
        <v>85</v>
      </c>
      <c r="D79" s="714">
        <f>Bilans_E_AMS_Kyoto_run3_MTE!H414</f>
        <v>0.420473388671875</v>
      </c>
      <c r="E79" s="714">
        <f>Bilans_E_AMS_Kyoto_run3_MTE!I414</f>
        <v>0</v>
      </c>
      <c r="F79" s="714">
        <f>Bilans_E_AMS_Kyoto_run3_MTE!J414</f>
        <v>273.92417441544114</v>
      </c>
      <c r="G79" s="714">
        <f>Bilans_E_AMS_Kyoto_run3_MTE!K414</f>
        <v>2.6095155133024499</v>
      </c>
      <c r="H79" s="714">
        <f>Bilans_E_AMS_Kyoto_run3_MTE!L414</f>
        <v>118.90067537147135</v>
      </c>
      <c r="I79" s="714">
        <f>Bilans_E_AMS_Kyoto_run3_MTE!M414</f>
        <v>0</v>
      </c>
      <c r="J79" s="714">
        <f>Bilans_E_AMS_Kyoto_run3_MTE!N414</f>
        <v>0</v>
      </c>
      <c r="K79" s="714">
        <f>Bilans_E_AMS_Kyoto_run3_MTE!O414</f>
        <v>0</v>
      </c>
      <c r="L79" s="714">
        <f>Bilans_E_AMS_Kyoto_run3_MTE!P414</f>
        <v>100.31738998979908</v>
      </c>
      <c r="M79" s="714">
        <f>Bilans_E_AMS_Kyoto_run3_MTE!Q414</f>
        <v>9.091644549053445</v>
      </c>
      <c r="N79" s="714">
        <f>Bilans_E_AMS_Kyoto_run3_MTE!R414</f>
        <v>48.456062797353063</v>
      </c>
      <c r="O79" s="714">
        <f>Bilans_E_AMS_Kyoto_run3_MTE!S414</f>
        <v>49.999874218098711</v>
      </c>
      <c r="P79" s="714">
        <f>Bilans_E_AMS_Kyoto_run3_MTE!T414+Bilans_E_AMS_Kyoto_run3_MTE!U414</f>
        <v>184.9192431732653</v>
      </c>
      <c r="Q79" s="714">
        <f>Bilans_E_AMS_Kyoto_run3_MTE!V414</f>
        <v>20.678000731668394</v>
      </c>
      <c r="R79" s="714">
        <f>Bilans_E_AMS_Kyoto_run3_MTE!W414</f>
        <v>525.84117193437999</v>
      </c>
      <c r="S79" s="714">
        <f>Bilans_E_AMS_Kyoto_run3_MTE!X414</f>
        <v>83.441396760993086</v>
      </c>
      <c r="T79" s="714">
        <f>Bilans_E_AMS_Kyoto_run3_MTE!Y414</f>
        <v>13.880069594482521</v>
      </c>
      <c r="U79" s="714">
        <f>Bilans_E_AMS_Kyoto_run3_MTE!Z414</f>
        <v>1432.4796924379805</v>
      </c>
      <c r="V79" s="701"/>
      <c r="W79" s="701"/>
    </row>
    <row r="80" spans="1:23" x14ac:dyDescent="0.25">
      <c r="A80" s="701"/>
      <c r="B80" s="701"/>
      <c r="C80" s="701"/>
      <c r="D80" s="701">
        <f>Bilans_E_AMS_Kyoto_run3_MTE!H415</f>
        <v>0</v>
      </c>
      <c r="E80" s="701">
        <f>Bilans_E_AMS_Kyoto_run3_MTE!I415</f>
        <v>0</v>
      </c>
      <c r="F80" s="701">
        <f>Bilans_E_AMS_Kyoto_run3_MTE!J415</f>
        <v>0</v>
      </c>
      <c r="G80" s="701">
        <f>Bilans_E_AMS_Kyoto_run3_MTE!K415</f>
        <v>0</v>
      </c>
      <c r="H80" s="701">
        <f>Bilans_E_AMS_Kyoto_run3_MTE!L415</f>
        <v>0</v>
      </c>
      <c r="I80" s="701">
        <f>Bilans_E_AMS_Kyoto_run3_MTE!M415</f>
        <v>0</v>
      </c>
      <c r="J80" s="701">
        <f>Bilans_E_AMS_Kyoto_run3_MTE!N415</f>
        <v>0</v>
      </c>
      <c r="K80" s="701">
        <f>Bilans_E_AMS_Kyoto_run3_MTE!O415</f>
        <v>0</v>
      </c>
      <c r="L80" s="701">
        <f>Bilans_E_AMS_Kyoto_run3_MTE!P415</f>
        <v>0</v>
      </c>
      <c r="M80" s="701">
        <f>Bilans_E_AMS_Kyoto_run3_MTE!Q415</f>
        <v>0</v>
      </c>
      <c r="N80" s="701">
        <f>Bilans_E_AMS_Kyoto_run3_MTE!R415</f>
        <v>-5.3290705182007514E-15</v>
      </c>
      <c r="O80" s="701">
        <f>Bilans_E_AMS_Kyoto_run3_MTE!S415</f>
        <v>9.7699626167013776E-15</v>
      </c>
      <c r="P80" s="701">
        <f>Bilans_E_AMS_Kyoto_run3_MTE!T415+Bilans_E_AMS_Kyoto_run3_MTE!U415</f>
        <v>0</v>
      </c>
      <c r="Q80" s="701">
        <f>Bilans_E_AMS_Kyoto_run3_MTE!V415</f>
        <v>0</v>
      </c>
      <c r="R80" s="701">
        <f>Bilans_E_AMS_Kyoto_run3_MTE!W415</f>
        <v>0</v>
      </c>
      <c r="S80" s="701">
        <f>Bilans_E_AMS_Kyoto_run3_MTE!X415</f>
        <v>-3.1425525932604614E-5</v>
      </c>
      <c r="T80" s="701">
        <f>Bilans_E_AMS_Kyoto_run3_MTE!Y415</f>
        <v>0</v>
      </c>
      <c r="U80" s="701">
        <f>Bilans_E_AMS_Kyoto_run3_MTE!Z415</f>
        <v>-3.1425526685779914E-5</v>
      </c>
      <c r="V80" s="701"/>
      <c r="W80" s="701"/>
    </row>
    <row r="81" spans="1:23" x14ac:dyDescent="0.25">
      <c r="A81" s="701"/>
      <c r="B81" s="701"/>
      <c r="C81" s="701"/>
      <c r="D81" s="701"/>
      <c r="E81" s="701"/>
      <c r="F81" s="701"/>
      <c r="G81" s="701"/>
      <c r="H81" s="701"/>
      <c r="I81" s="701"/>
      <c r="J81" s="701"/>
      <c r="K81" s="701"/>
      <c r="L81" s="701"/>
      <c r="M81" s="701"/>
      <c r="N81" s="701"/>
      <c r="O81" s="701"/>
      <c r="P81" s="701"/>
      <c r="Q81" s="701"/>
      <c r="R81" s="701"/>
      <c r="S81" s="701"/>
      <c r="T81" s="701"/>
      <c r="U81" s="701"/>
      <c r="V81" s="701"/>
      <c r="W81" s="701"/>
    </row>
    <row r="82" spans="1:23" x14ac:dyDescent="0.25">
      <c r="A82" s="707"/>
      <c r="B82" s="707"/>
      <c r="C82" s="708" t="s">
        <v>360</v>
      </c>
      <c r="D82" s="707"/>
      <c r="E82" s="707"/>
      <c r="F82" s="707"/>
      <c r="G82" s="707"/>
      <c r="H82" s="707"/>
      <c r="I82" s="707"/>
      <c r="J82" s="707"/>
      <c r="K82" s="707"/>
      <c r="L82" s="707"/>
      <c r="M82" s="707"/>
      <c r="N82" s="707"/>
      <c r="O82" s="707"/>
      <c r="P82" s="707"/>
      <c r="Q82" s="707"/>
      <c r="R82" s="707"/>
      <c r="S82" s="707"/>
      <c r="T82" s="707"/>
      <c r="U82" s="707"/>
      <c r="V82" s="707"/>
      <c r="W82" s="707"/>
    </row>
    <row r="83" spans="1:23" x14ac:dyDescent="0.25">
      <c r="A83" s="701"/>
      <c r="B83" s="701"/>
      <c r="C83" s="701"/>
      <c r="D83" s="701"/>
      <c r="E83" s="701"/>
      <c r="F83" s="701"/>
      <c r="G83" s="701"/>
      <c r="H83" s="701"/>
      <c r="I83" s="701"/>
      <c r="J83" s="701"/>
      <c r="K83" s="701"/>
      <c r="L83" s="701"/>
      <c r="M83" s="701"/>
      <c r="N83" s="701"/>
      <c r="O83" s="701"/>
      <c r="P83" s="701"/>
      <c r="Q83" s="701"/>
      <c r="R83" s="701"/>
      <c r="S83" s="701"/>
      <c r="T83" s="701"/>
      <c r="U83" s="701"/>
      <c r="V83" s="701"/>
      <c r="W83" s="701"/>
    </row>
    <row r="84" spans="1:23" x14ac:dyDescent="0.25">
      <c r="A84" s="701"/>
      <c r="B84" s="701"/>
      <c r="C84" s="780" t="s">
        <v>128</v>
      </c>
      <c r="D84" s="775" t="s">
        <v>42</v>
      </c>
      <c r="E84" s="775" t="s">
        <v>52</v>
      </c>
      <c r="F84" s="775" t="s">
        <v>53</v>
      </c>
      <c r="G84" s="775" t="s">
        <v>482</v>
      </c>
      <c r="H84" s="775" t="s">
        <v>32</v>
      </c>
      <c r="I84" s="775" t="s">
        <v>483</v>
      </c>
      <c r="J84" s="775" t="s">
        <v>20</v>
      </c>
      <c r="K84" s="775" t="s">
        <v>55</v>
      </c>
      <c r="L84" s="777" t="s">
        <v>56</v>
      </c>
      <c r="M84" s="778"/>
      <c r="N84" s="778"/>
      <c r="O84" s="778"/>
      <c r="P84" s="778"/>
      <c r="Q84" s="779"/>
      <c r="R84" s="775" t="s">
        <v>57</v>
      </c>
      <c r="S84" s="775" t="s">
        <v>58</v>
      </c>
      <c r="T84" s="775" t="s">
        <v>31</v>
      </c>
      <c r="U84" s="775" t="s">
        <v>10</v>
      </c>
      <c r="V84" s="701"/>
      <c r="W84" s="701"/>
    </row>
    <row r="85" spans="1:23" ht="67.5" x14ac:dyDescent="0.25">
      <c r="A85" s="701" t="s">
        <v>486</v>
      </c>
      <c r="B85" s="701"/>
      <c r="C85" s="781"/>
      <c r="D85" s="776"/>
      <c r="E85" s="776"/>
      <c r="F85" s="776"/>
      <c r="G85" s="776"/>
      <c r="H85" s="776"/>
      <c r="I85" s="776"/>
      <c r="J85" s="776"/>
      <c r="K85" s="776"/>
      <c r="L85" s="709" t="s">
        <v>335</v>
      </c>
      <c r="M85" s="709" t="s">
        <v>40</v>
      </c>
      <c r="N85" s="709" t="s">
        <v>343</v>
      </c>
      <c r="O85" s="709" t="s">
        <v>344</v>
      </c>
      <c r="P85" s="719" t="s">
        <v>610</v>
      </c>
      <c r="Q85" s="709" t="s">
        <v>346</v>
      </c>
      <c r="R85" s="776"/>
      <c r="S85" s="776"/>
      <c r="T85" s="776"/>
      <c r="U85" s="776"/>
      <c r="V85" s="701"/>
      <c r="W85" s="701"/>
    </row>
    <row r="86" spans="1:23" x14ac:dyDescent="0.25">
      <c r="A86" s="701" t="s">
        <v>487</v>
      </c>
      <c r="B86" s="701"/>
      <c r="C86" s="710" t="s">
        <v>59</v>
      </c>
      <c r="D86" s="711">
        <f>Bilans_E_AMS_Kyoto_run3_MTE!H421</f>
        <v>0</v>
      </c>
      <c r="E86" s="711">
        <f>Bilans_E_AMS_Kyoto_run3_MTE!I421</f>
        <v>0</v>
      </c>
      <c r="F86" s="711">
        <f>Bilans_E_AMS_Kyoto_run3_MTE!J421</f>
        <v>0</v>
      </c>
      <c r="G86" s="711">
        <f>Bilans_E_AMS_Kyoto_run3_MTE!K421</f>
        <v>0</v>
      </c>
      <c r="H86" s="711">
        <f>Bilans_E_AMS_Kyoto_run3_MTE!L421</f>
        <v>0</v>
      </c>
      <c r="I86" s="711">
        <f>Bilans_E_AMS_Kyoto_run3_MTE!M421</f>
        <v>0</v>
      </c>
      <c r="J86" s="711">
        <f>Bilans_E_AMS_Kyoto_run3_MTE!N421</f>
        <v>1217.3350254612858</v>
      </c>
      <c r="K86" s="711">
        <f>Bilans_E_AMS_Kyoto_run3_MTE!O421</f>
        <v>388.29502398919544</v>
      </c>
      <c r="L86" s="711">
        <f>Bilans_E_AMS_Kyoto_run3_MTE!P421</f>
        <v>345.22412922668985</v>
      </c>
      <c r="M86" s="711">
        <f>Bilans_E_AMS_Kyoto_run3_MTE!Q421</f>
        <v>47.572914538902204</v>
      </c>
      <c r="N86" s="711">
        <f>Bilans_E_AMS_Kyoto_run3_MTE!R421</f>
        <v>0</v>
      </c>
      <c r="O86" s="711">
        <f>Bilans_E_AMS_Kyoto_run3_MTE!S421</f>
        <v>0</v>
      </c>
      <c r="P86" s="711">
        <f>Bilans_E_AMS_Kyoto_run3_MTE!T421+Bilans_E_AMS_Kyoto_run3_MTE!U421</f>
        <v>217.97798120035498</v>
      </c>
      <c r="Q86" s="711">
        <f>Bilans_E_AMS_Kyoto_run3_MTE!V421</f>
        <v>44.670610017190697</v>
      </c>
      <c r="R86" s="711">
        <f>Bilans_E_AMS_Kyoto_run3_MTE!W421</f>
        <v>0</v>
      </c>
      <c r="S86" s="711">
        <f>Bilans_E_AMS_Kyoto_run3_MTE!X421</f>
        <v>0</v>
      </c>
      <c r="T86" s="711">
        <f>Bilans_E_AMS_Kyoto_run3_MTE!Y421</f>
        <v>0</v>
      </c>
      <c r="U86" s="711">
        <f>Bilans_E_AMS_Kyoto_run3_MTE!Z421</f>
        <v>2261.0756844336188</v>
      </c>
      <c r="V86" s="701"/>
      <c r="W86" s="701"/>
    </row>
    <row r="87" spans="1:23" x14ac:dyDescent="0.25">
      <c r="A87" s="701" t="s">
        <v>488</v>
      </c>
      <c r="B87" s="701"/>
      <c r="C87" s="710" t="s">
        <v>60</v>
      </c>
      <c r="D87" s="712">
        <f>Bilans_E_AMS_Kyoto_run3_MTE!H422</f>
        <v>12.152793945312501</v>
      </c>
      <c r="E87" s="712">
        <f>Bilans_E_AMS_Kyoto_run3_MTE!I422</f>
        <v>228.52698065701114</v>
      </c>
      <c r="F87" s="712">
        <f>Bilans_E_AMS_Kyoto_run3_MTE!J422</f>
        <v>52.757657499876444</v>
      </c>
      <c r="G87" s="712">
        <f>Bilans_E_AMS_Kyoto_run3_MTE!K422</f>
        <v>7.0861725721851325</v>
      </c>
      <c r="H87" s="712">
        <f>Bilans_E_AMS_Kyoto_run3_MTE!L422</f>
        <v>109.90340859679944</v>
      </c>
      <c r="I87" s="712">
        <f>Bilans_E_AMS_Kyoto_run3_MTE!M422</f>
        <v>0</v>
      </c>
      <c r="J87" s="712">
        <f>Bilans_E_AMS_Kyoto_run3_MTE!N422</f>
        <v>0</v>
      </c>
      <c r="K87" s="712">
        <f>Bilans_E_AMS_Kyoto_run3_MTE!O422</f>
        <v>0</v>
      </c>
      <c r="L87" s="712">
        <f>Bilans_E_AMS_Kyoto_run3_MTE!P422</f>
        <v>8.3609545225008901</v>
      </c>
      <c r="M87" s="712">
        <f>Bilans_E_AMS_Kyoto_run3_MTE!Q422</f>
        <v>0</v>
      </c>
      <c r="N87" s="712">
        <f>Bilans_E_AMS_Kyoto_run3_MTE!R422</f>
        <v>12.640823760452299</v>
      </c>
      <c r="O87" s="712">
        <f>Bilans_E_AMS_Kyoto_run3_MTE!S422</f>
        <v>0</v>
      </c>
      <c r="P87" s="712">
        <f>Bilans_E_AMS_Kyoto_run3_MTE!T422+Bilans_E_AMS_Kyoto_run3_MTE!U422</f>
        <v>0</v>
      </c>
      <c r="Q87" s="712">
        <f>Bilans_E_AMS_Kyoto_run3_MTE!V422</f>
        <v>0</v>
      </c>
      <c r="R87" s="712">
        <f>Bilans_E_AMS_Kyoto_run3_MTE!W422</f>
        <v>0</v>
      </c>
      <c r="S87" s="712">
        <f>Bilans_E_AMS_Kyoto_run3_MTE!X422</f>
        <v>0</v>
      </c>
      <c r="T87" s="712">
        <f>Bilans_E_AMS_Kyoto_run3_MTE!Y422</f>
        <v>0</v>
      </c>
      <c r="U87" s="712">
        <f>Bilans_E_AMS_Kyoto_run3_MTE!Z422</f>
        <v>431.42879155413789</v>
      </c>
      <c r="V87" s="701"/>
      <c r="W87" s="701"/>
    </row>
    <row r="88" spans="1:23" x14ac:dyDescent="0.25">
      <c r="A88" s="701" t="s">
        <v>489</v>
      </c>
      <c r="B88" s="701"/>
      <c r="C88" s="710" t="s">
        <v>61</v>
      </c>
      <c r="D88" s="712">
        <f>Bilans_E_AMS_Kyoto_run3_MTE!H423</f>
        <v>0</v>
      </c>
      <c r="E88" s="712">
        <f>Bilans_E_AMS_Kyoto_run3_MTE!I423</f>
        <v>0</v>
      </c>
      <c r="F88" s="712">
        <f>Bilans_E_AMS_Kyoto_run3_MTE!J423</f>
        <v>0</v>
      </c>
      <c r="G88" s="712">
        <f>Bilans_E_AMS_Kyoto_run3_MTE!K423</f>
        <v>0</v>
      </c>
      <c r="H88" s="712">
        <f>Bilans_E_AMS_Kyoto_run3_MTE!L423</f>
        <v>0</v>
      </c>
      <c r="I88" s="712">
        <f>Bilans_E_AMS_Kyoto_run3_MTE!M423</f>
        <v>0</v>
      </c>
      <c r="J88" s="712">
        <f>Bilans_E_AMS_Kyoto_run3_MTE!N423</f>
        <v>0</v>
      </c>
      <c r="K88" s="712">
        <f>Bilans_E_AMS_Kyoto_run3_MTE!O423</f>
        <v>0</v>
      </c>
      <c r="L88" s="712">
        <f>Bilans_E_AMS_Kyoto_run3_MTE!P423</f>
        <v>0</v>
      </c>
      <c r="M88" s="712">
        <f>Bilans_E_AMS_Kyoto_run3_MTE!Q423</f>
        <v>0</v>
      </c>
      <c r="N88" s="712">
        <f>Bilans_E_AMS_Kyoto_run3_MTE!R423</f>
        <v>0</v>
      </c>
      <c r="O88" s="712">
        <f>Bilans_E_AMS_Kyoto_run3_MTE!S423</f>
        <v>-7.7990691835452708E-2</v>
      </c>
      <c r="P88" s="712">
        <f>Bilans_E_AMS_Kyoto_run3_MTE!T423+Bilans_E_AMS_Kyoto_run3_MTE!U423</f>
        <v>0</v>
      </c>
      <c r="Q88" s="712">
        <f>Bilans_E_AMS_Kyoto_run3_MTE!V423</f>
        <v>0</v>
      </c>
      <c r="R88" s="712">
        <f>Bilans_E_AMS_Kyoto_run3_MTE!W423</f>
        <v>-125.47851234932489</v>
      </c>
      <c r="S88" s="712">
        <f>Bilans_E_AMS_Kyoto_run3_MTE!X423</f>
        <v>0</v>
      </c>
      <c r="T88" s="712">
        <f>Bilans_E_AMS_Kyoto_run3_MTE!Y423</f>
        <v>0</v>
      </c>
      <c r="U88" s="712">
        <f>Bilans_E_AMS_Kyoto_run3_MTE!Z423</f>
        <v>-125.55650304116034</v>
      </c>
      <c r="V88" s="701"/>
      <c r="W88" s="701"/>
    </row>
    <row r="89" spans="1:23" x14ac:dyDescent="0.25">
      <c r="A89" s="701" t="s">
        <v>490</v>
      </c>
      <c r="B89" s="701"/>
      <c r="C89" s="710" t="s">
        <v>62</v>
      </c>
      <c r="D89" s="711">
        <f>Bilans_E_AMS_Kyoto_run3_MTE!H424</f>
        <v>0</v>
      </c>
      <c r="E89" s="711">
        <f>Bilans_E_AMS_Kyoto_run3_MTE!I424</f>
        <v>0</v>
      </c>
      <c r="F89" s="711">
        <f>Bilans_E_AMS_Kyoto_run3_MTE!J424</f>
        <v>-5.9348855093326982</v>
      </c>
      <c r="G89" s="711">
        <f>Bilans_E_AMS_Kyoto_run3_MTE!K424</f>
        <v>-0.99259685127624486</v>
      </c>
      <c r="H89" s="711">
        <f>Bilans_E_AMS_Kyoto_run3_MTE!L424</f>
        <v>0</v>
      </c>
      <c r="I89" s="711">
        <f>Bilans_E_AMS_Kyoto_run3_MTE!M424</f>
        <v>-0.99259685127624475</v>
      </c>
      <c r="J89" s="711">
        <f>Bilans_E_AMS_Kyoto_run3_MTE!N424</f>
        <v>0</v>
      </c>
      <c r="K89" s="711">
        <f>Bilans_E_AMS_Kyoto_run3_MTE!O424</f>
        <v>0</v>
      </c>
      <c r="L89" s="711">
        <f>Bilans_E_AMS_Kyoto_run3_MTE!P424</f>
        <v>0</v>
      </c>
      <c r="M89" s="711">
        <f>Bilans_E_AMS_Kyoto_run3_MTE!Q424</f>
        <v>0</v>
      </c>
      <c r="N89" s="711">
        <f>Bilans_E_AMS_Kyoto_run3_MTE!R424</f>
        <v>0</v>
      </c>
      <c r="O89" s="711">
        <f>Bilans_E_AMS_Kyoto_run3_MTE!S424</f>
        <v>-1.3642017969458513</v>
      </c>
      <c r="P89" s="711">
        <f>Bilans_E_AMS_Kyoto_run3_MTE!T424+Bilans_E_AMS_Kyoto_run3_MTE!U424</f>
        <v>0</v>
      </c>
      <c r="Q89" s="711">
        <f>Bilans_E_AMS_Kyoto_run3_MTE!V424</f>
        <v>0</v>
      </c>
      <c r="R89" s="711">
        <f>Bilans_E_AMS_Kyoto_run3_MTE!W424</f>
        <v>0</v>
      </c>
      <c r="S89" s="711">
        <f>Bilans_E_AMS_Kyoto_run3_MTE!X424</f>
        <v>0</v>
      </c>
      <c r="T89" s="711">
        <f>Bilans_E_AMS_Kyoto_run3_MTE!Y424</f>
        <v>-0.66413311470232494</v>
      </c>
      <c r="U89" s="711">
        <f>Bilans_E_AMS_Kyoto_run3_MTE!Z424</f>
        <v>-9.9484141235333645</v>
      </c>
      <c r="V89" s="701"/>
      <c r="W89" s="701"/>
    </row>
    <row r="90" spans="1:23" x14ac:dyDescent="0.25">
      <c r="A90" s="701" t="s">
        <v>491</v>
      </c>
      <c r="B90" s="701"/>
      <c r="C90" s="710" t="s">
        <v>63</v>
      </c>
      <c r="D90" s="711">
        <f>Bilans_E_AMS_Kyoto_run3_MTE!H425</f>
        <v>0</v>
      </c>
      <c r="E90" s="711">
        <f>Bilans_E_AMS_Kyoto_run3_MTE!I425</f>
        <v>0</v>
      </c>
      <c r="F90" s="711">
        <f>Bilans_E_AMS_Kyoto_run3_MTE!J425</f>
        <v>-40</v>
      </c>
      <c r="G90" s="711">
        <f>Bilans_E_AMS_Kyoto_run3_MTE!K425</f>
        <v>-8</v>
      </c>
      <c r="H90" s="711">
        <f>Bilans_E_AMS_Kyoto_run3_MTE!L425</f>
        <v>0</v>
      </c>
      <c r="I90" s="711">
        <f>Bilans_E_AMS_Kyoto_run3_MTE!M425</f>
        <v>0</v>
      </c>
      <c r="J90" s="711">
        <f>Bilans_E_AMS_Kyoto_run3_MTE!N425</f>
        <v>0</v>
      </c>
      <c r="K90" s="711">
        <f>Bilans_E_AMS_Kyoto_run3_MTE!O425</f>
        <v>0</v>
      </c>
      <c r="L90" s="711">
        <f>Bilans_E_AMS_Kyoto_run3_MTE!P425</f>
        <v>0</v>
      </c>
      <c r="M90" s="711">
        <f>Bilans_E_AMS_Kyoto_run3_MTE!Q425</f>
        <v>0</v>
      </c>
      <c r="N90" s="711">
        <f>Bilans_E_AMS_Kyoto_run3_MTE!R425</f>
        <v>-15</v>
      </c>
      <c r="O90" s="711">
        <f>Bilans_E_AMS_Kyoto_run3_MTE!S425</f>
        <v>0</v>
      </c>
      <c r="P90" s="711">
        <f>Bilans_E_AMS_Kyoto_run3_MTE!T425+Bilans_E_AMS_Kyoto_run3_MTE!U425</f>
        <v>0</v>
      </c>
      <c r="Q90" s="711">
        <f>Bilans_E_AMS_Kyoto_run3_MTE!V425</f>
        <v>0</v>
      </c>
      <c r="R90" s="711">
        <f>Bilans_E_AMS_Kyoto_run3_MTE!W425</f>
        <v>0</v>
      </c>
      <c r="S90" s="711">
        <f>Bilans_E_AMS_Kyoto_run3_MTE!X425</f>
        <v>0</v>
      </c>
      <c r="T90" s="711">
        <f>Bilans_E_AMS_Kyoto_run3_MTE!Y425</f>
        <v>-3.0000000000000004</v>
      </c>
      <c r="U90" s="711">
        <f>Bilans_E_AMS_Kyoto_run3_MTE!Z425</f>
        <v>-66</v>
      </c>
      <c r="V90" s="701"/>
      <c r="W90" s="701"/>
    </row>
    <row r="91" spans="1:23" x14ac:dyDescent="0.25">
      <c r="A91" s="701" t="s">
        <v>492</v>
      </c>
      <c r="B91" s="701"/>
      <c r="C91" s="710" t="s">
        <v>64</v>
      </c>
      <c r="D91" s="712">
        <f>Bilans_E_AMS_Kyoto_run3_MTE!H426</f>
        <v>0</v>
      </c>
      <c r="E91" s="712">
        <f>Bilans_E_AMS_Kyoto_run3_MTE!I426</f>
        <v>0</v>
      </c>
      <c r="F91" s="712">
        <f>Bilans_E_AMS_Kyoto_run3_MTE!J426</f>
        <v>0</v>
      </c>
      <c r="G91" s="712">
        <f>Bilans_E_AMS_Kyoto_run3_MTE!K426</f>
        <v>0</v>
      </c>
      <c r="H91" s="712">
        <f>Bilans_E_AMS_Kyoto_run3_MTE!L426</f>
        <v>0</v>
      </c>
      <c r="I91" s="712">
        <f>Bilans_E_AMS_Kyoto_run3_MTE!M426</f>
        <v>0</v>
      </c>
      <c r="J91" s="712">
        <f>Bilans_E_AMS_Kyoto_run3_MTE!N426</f>
        <v>0</v>
      </c>
      <c r="K91" s="712">
        <f>Bilans_E_AMS_Kyoto_run3_MTE!O426</f>
        <v>0</v>
      </c>
      <c r="L91" s="712">
        <f>Bilans_E_AMS_Kyoto_run3_MTE!P426</f>
        <v>0</v>
      </c>
      <c r="M91" s="712">
        <f>Bilans_E_AMS_Kyoto_run3_MTE!Q426</f>
        <v>0</v>
      </c>
      <c r="N91" s="712">
        <f>Bilans_E_AMS_Kyoto_run3_MTE!R426</f>
        <v>0</v>
      </c>
      <c r="O91" s="712">
        <f>Bilans_E_AMS_Kyoto_run3_MTE!S426</f>
        <v>0</v>
      </c>
      <c r="P91" s="712">
        <f>Bilans_E_AMS_Kyoto_run3_MTE!T426+Bilans_E_AMS_Kyoto_run3_MTE!U426</f>
        <v>0</v>
      </c>
      <c r="Q91" s="712">
        <f>Bilans_E_AMS_Kyoto_run3_MTE!V426</f>
        <v>0</v>
      </c>
      <c r="R91" s="712">
        <f>Bilans_E_AMS_Kyoto_run3_MTE!W426</f>
        <v>0</v>
      </c>
      <c r="S91" s="712">
        <f>Bilans_E_AMS_Kyoto_run3_MTE!X426</f>
        <v>0</v>
      </c>
      <c r="T91" s="712">
        <f>Bilans_E_AMS_Kyoto_run3_MTE!Y426</f>
        <v>0</v>
      </c>
      <c r="U91" s="712">
        <f>Bilans_E_AMS_Kyoto_run3_MTE!Z426</f>
        <v>0</v>
      </c>
      <c r="V91" s="701"/>
      <c r="W91" s="701"/>
    </row>
    <row r="92" spans="1:23" x14ac:dyDescent="0.25">
      <c r="A92" s="701" t="s">
        <v>493</v>
      </c>
      <c r="B92" s="701"/>
      <c r="C92" s="713" t="s">
        <v>65</v>
      </c>
      <c r="D92" s="714">
        <f>Bilans_E_AMS_Kyoto_run3_MTE!H427</f>
        <v>12.152793945312501</v>
      </c>
      <c r="E92" s="714">
        <f>Bilans_E_AMS_Kyoto_run3_MTE!I427</f>
        <v>228.52698065701114</v>
      </c>
      <c r="F92" s="714">
        <f>Bilans_E_AMS_Kyoto_run3_MTE!J427</f>
        <v>6.8227719905437425</v>
      </c>
      <c r="G92" s="714">
        <f>Bilans_E_AMS_Kyoto_run3_MTE!K427</f>
        <v>-1.9064242790911123</v>
      </c>
      <c r="H92" s="714">
        <f>Bilans_E_AMS_Kyoto_run3_MTE!L427</f>
        <v>109.90340859679944</v>
      </c>
      <c r="I92" s="714">
        <f>Bilans_E_AMS_Kyoto_run3_MTE!M427</f>
        <v>-0.99259685127624475</v>
      </c>
      <c r="J92" s="714">
        <f>Bilans_E_AMS_Kyoto_run3_MTE!N427</f>
        <v>1217.3350254612858</v>
      </c>
      <c r="K92" s="714">
        <f>Bilans_E_AMS_Kyoto_run3_MTE!O427</f>
        <v>388.29502398919544</v>
      </c>
      <c r="L92" s="714">
        <f>Bilans_E_AMS_Kyoto_run3_MTE!P427</f>
        <v>353.58508374919074</v>
      </c>
      <c r="M92" s="714">
        <f>Bilans_E_AMS_Kyoto_run3_MTE!Q427</f>
        <v>47.572914538902204</v>
      </c>
      <c r="N92" s="714">
        <f>Bilans_E_AMS_Kyoto_run3_MTE!R427</f>
        <v>-2.3591762395477005</v>
      </c>
      <c r="O92" s="714">
        <f>Bilans_E_AMS_Kyoto_run3_MTE!S427</f>
        <v>-1.442192488781304</v>
      </c>
      <c r="P92" s="714">
        <f>Bilans_E_AMS_Kyoto_run3_MTE!T427+Bilans_E_AMS_Kyoto_run3_MTE!U427</f>
        <v>217.97798120035498</v>
      </c>
      <c r="Q92" s="714">
        <f>Bilans_E_AMS_Kyoto_run3_MTE!V427</f>
        <v>44.670610017190697</v>
      </c>
      <c r="R92" s="714">
        <f>Bilans_E_AMS_Kyoto_run3_MTE!W427</f>
        <v>-125.47851234932489</v>
      </c>
      <c r="S92" s="714">
        <f>Bilans_E_AMS_Kyoto_run3_MTE!X427</f>
        <v>0</v>
      </c>
      <c r="T92" s="714">
        <f>Bilans_E_AMS_Kyoto_run3_MTE!Y427</f>
        <v>-3.6641331147023255</v>
      </c>
      <c r="U92" s="714">
        <f>Bilans_E_AMS_Kyoto_run3_MTE!Z427</f>
        <v>2490.9995588230627</v>
      </c>
      <c r="V92" s="701"/>
      <c r="W92" s="701"/>
    </row>
    <row r="93" spans="1:23" x14ac:dyDescent="0.25">
      <c r="A93" s="701"/>
      <c r="B93" s="701"/>
      <c r="C93" s="715"/>
      <c r="D93" s="716"/>
      <c r="E93" s="716"/>
      <c r="F93" s="716"/>
      <c r="G93" s="716"/>
      <c r="H93" s="716"/>
      <c r="I93" s="716"/>
      <c r="J93" s="716"/>
      <c r="K93" s="716"/>
      <c r="L93" s="716"/>
      <c r="M93" s="716"/>
      <c r="N93" s="716"/>
      <c r="O93" s="716"/>
      <c r="P93" s="716">
        <f>Bilans_E_AMS_Kyoto_run3_MTE!T428+Bilans_E_AMS_Kyoto_run3_MTE!U428</f>
        <v>0</v>
      </c>
      <c r="Q93" s="716"/>
      <c r="R93" s="716"/>
      <c r="S93" s="716"/>
      <c r="T93" s="716"/>
      <c r="U93" s="716"/>
      <c r="V93" s="701"/>
      <c r="W93" s="701"/>
    </row>
    <row r="94" spans="1:23" x14ac:dyDescent="0.25">
      <c r="A94" s="701" t="s">
        <v>494</v>
      </c>
      <c r="B94" s="701"/>
      <c r="C94" s="717" t="s">
        <v>67</v>
      </c>
      <c r="D94" s="711">
        <f>Bilans_E_AMS_Kyoto_run3_MTE!H429</f>
        <v>0</v>
      </c>
      <c r="E94" s="711">
        <f>Bilans_E_AMS_Kyoto_run3_MTE!I429</f>
        <v>0</v>
      </c>
      <c r="F94" s="711">
        <f>Bilans_E_AMS_Kyoto_run3_MTE!J429</f>
        <v>0</v>
      </c>
      <c r="G94" s="711">
        <f>Bilans_E_AMS_Kyoto_run3_MTE!K429</f>
        <v>0</v>
      </c>
      <c r="H94" s="711">
        <f>Bilans_E_AMS_Kyoto_run3_MTE!L429</f>
        <v>0</v>
      </c>
      <c r="I94" s="711">
        <f>Bilans_E_AMS_Kyoto_run3_MTE!M429</f>
        <v>0</v>
      </c>
      <c r="J94" s="711">
        <f>Bilans_E_AMS_Kyoto_run3_MTE!N429</f>
        <v>0</v>
      </c>
      <c r="K94" s="711">
        <f>Bilans_E_AMS_Kyoto_run3_MTE!O429</f>
        <v>0</v>
      </c>
      <c r="L94" s="711">
        <f>Bilans_E_AMS_Kyoto_run3_MTE!P429</f>
        <v>0</v>
      </c>
      <c r="M94" s="711">
        <f>Bilans_E_AMS_Kyoto_run3_MTE!Q429</f>
        <v>0</v>
      </c>
      <c r="N94" s="711">
        <f>Bilans_E_AMS_Kyoto_run3_MTE!R429</f>
        <v>0</v>
      </c>
      <c r="O94" s="711">
        <f>Bilans_E_AMS_Kyoto_run3_MTE!S429</f>
        <v>0</v>
      </c>
      <c r="P94" s="711">
        <f>Bilans_E_AMS_Kyoto_run3_MTE!T429+Bilans_E_AMS_Kyoto_run3_MTE!U429</f>
        <v>0</v>
      </c>
      <c r="Q94" s="711">
        <f>Bilans_E_AMS_Kyoto_run3_MTE!V429</f>
        <v>0</v>
      </c>
      <c r="R94" s="711">
        <f>Bilans_E_AMS_Kyoto_run3_MTE!W429</f>
        <v>0</v>
      </c>
      <c r="S94" s="711">
        <f>Bilans_E_AMS_Kyoto_run3_MTE!X429</f>
        <v>0</v>
      </c>
      <c r="T94" s="711">
        <f>Bilans_E_AMS_Kyoto_run3_MTE!Y429</f>
        <v>0</v>
      </c>
      <c r="U94" s="711">
        <f>Bilans_E_AMS_Kyoto_run3_MTE!Z429</f>
        <v>0</v>
      </c>
      <c r="V94" s="701"/>
      <c r="W94" s="701"/>
    </row>
    <row r="95" spans="1:23" x14ac:dyDescent="0.25">
      <c r="A95" s="701" t="s">
        <v>495</v>
      </c>
      <c r="B95" s="701"/>
      <c r="C95" s="717" t="s">
        <v>347</v>
      </c>
      <c r="D95" s="711">
        <f>Bilans_E_AMS_Kyoto_run3_MTE!H430</f>
        <v>0</v>
      </c>
      <c r="E95" s="711">
        <f>Bilans_E_AMS_Kyoto_run3_MTE!I430</f>
        <v>0</v>
      </c>
      <c r="F95" s="711">
        <f>Bilans_E_AMS_Kyoto_run3_MTE!J430</f>
        <v>6.6151953400033478E-2</v>
      </c>
      <c r="G95" s="711">
        <f>Bilans_E_AMS_Kyoto_run3_MTE!K430</f>
        <v>0</v>
      </c>
      <c r="H95" s="711">
        <f>Bilans_E_AMS_Kyoto_run3_MTE!L430</f>
        <v>2.4867213913043404E-3</v>
      </c>
      <c r="I95" s="711">
        <f>Bilans_E_AMS_Kyoto_run3_MTE!M430</f>
        <v>0</v>
      </c>
      <c r="J95" s="711">
        <f>Bilans_E_AMS_Kyoto_run3_MTE!N430</f>
        <v>1213.9369090909088</v>
      </c>
      <c r="K95" s="711">
        <f>Bilans_E_AMS_Kyoto_run3_MTE!O430</f>
        <v>388.29502398919544</v>
      </c>
      <c r="L95" s="711">
        <f>Bilans_E_AMS_Kyoto_run3_MTE!P430</f>
        <v>17.586826213678588</v>
      </c>
      <c r="M95" s="711">
        <f>Bilans_E_AMS_Kyoto_run3_MTE!Q430</f>
        <v>5.6133813254305416</v>
      </c>
      <c r="N95" s="711">
        <f>Bilans_E_AMS_Kyoto_run3_MTE!R430</f>
        <v>5.6269378379330357</v>
      </c>
      <c r="O95" s="711">
        <f>Bilans_E_AMS_Kyoto_run3_MTE!S430</f>
        <v>0.11555796351278441</v>
      </c>
      <c r="P95" s="711">
        <f>Bilans_E_AMS_Kyoto_run3_MTE!T430+Bilans_E_AMS_Kyoto_run3_MTE!U430</f>
        <v>0</v>
      </c>
      <c r="Q95" s="711">
        <f>Bilans_E_AMS_Kyoto_run3_MTE!V430</f>
        <v>6.4327567473291545</v>
      </c>
      <c r="R95" s="711">
        <f>Bilans_E_AMS_Kyoto_run3_MTE!W430</f>
        <v>-805.46190663810182</v>
      </c>
      <c r="S95" s="711">
        <f>Bilans_E_AMS_Kyoto_run3_MTE!X430</f>
        <v>0</v>
      </c>
      <c r="T95" s="711">
        <f>Bilans_E_AMS_Kyoto_run3_MTE!Y430</f>
        <v>0</v>
      </c>
      <c r="U95" s="711">
        <f>Bilans_E_AMS_Kyoto_run3_MTE!Z430</f>
        <v>832.21412520467777</v>
      </c>
      <c r="V95" s="701"/>
      <c r="W95" s="701"/>
    </row>
    <row r="96" spans="1:23" x14ac:dyDescent="0.25">
      <c r="A96" s="701" t="s">
        <v>496</v>
      </c>
      <c r="B96" s="701"/>
      <c r="C96" s="717" t="s">
        <v>348</v>
      </c>
      <c r="D96" s="711">
        <f>Bilans_E_AMS_Kyoto_run3_MTE!H431</f>
        <v>0</v>
      </c>
      <c r="E96" s="711">
        <f>Bilans_E_AMS_Kyoto_run3_MTE!I431</f>
        <v>0</v>
      </c>
      <c r="F96" s="711">
        <f>Bilans_E_AMS_Kyoto_run3_MTE!J431</f>
        <v>0</v>
      </c>
      <c r="G96" s="711">
        <f>Bilans_E_AMS_Kyoto_run3_MTE!K431</f>
        <v>0</v>
      </c>
      <c r="H96" s="711">
        <f>Bilans_E_AMS_Kyoto_run3_MTE!L431</f>
        <v>13.794883526882547</v>
      </c>
      <c r="I96" s="711">
        <f>Bilans_E_AMS_Kyoto_run3_MTE!M431</f>
        <v>0</v>
      </c>
      <c r="J96" s="711">
        <f>Bilans_E_AMS_Kyoto_run3_MTE!N431</f>
        <v>3.3981163703769028</v>
      </c>
      <c r="K96" s="711">
        <f>Bilans_E_AMS_Kyoto_run3_MTE!O431</f>
        <v>0</v>
      </c>
      <c r="L96" s="711">
        <f>Bilans_E_AMS_Kyoto_run3_MTE!P431</f>
        <v>24.198351271875673</v>
      </c>
      <c r="M96" s="711">
        <f>Bilans_E_AMS_Kyoto_run3_MTE!Q431</f>
        <v>14.187375488735356</v>
      </c>
      <c r="N96" s="711">
        <f>Bilans_E_AMS_Kyoto_run3_MTE!R431</f>
        <v>0</v>
      </c>
      <c r="O96" s="711">
        <f>Bilans_E_AMS_Kyoto_run3_MTE!S431</f>
        <v>9.211082811707719</v>
      </c>
      <c r="P96" s="711">
        <f>Bilans_E_AMS_Kyoto_run3_MTE!T431+Bilans_E_AMS_Kyoto_run3_MTE!U431</f>
        <v>17.004200785241363</v>
      </c>
      <c r="Q96" s="711">
        <f>Bilans_E_AMS_Kyoto_run3_MTE!V431</f>
        <v>15.724500904765749</v>
      </c>
      <c r="R96" s="711">
        <f>Bilans_E_AMS_Kyoto_run3_MTE!W431</f>
        <v>0</v>
      </c>
      <c r="S96" s="711">
        <f>Bilans_E_AMS_Kyoto_run3_MTE!X431</f>
        <v>-90.436442741744855</v>
      </c>
      <c r="T96" s="711">
        <f>Bilans_E_AMS_Kyoto_run3_MTE!Y431</f>
        <v>0</v>
      </c>
      <c r="U96" s="711">
        <f>Bilans_E_AMS_Kyoto_run3_MTE!Z431</f>
        <v>7.0820684178404321</v>
      </c>
      <c r="V96" s="701"/>
      <c r="W96" s="701"/>
    </row>
    <row r="97" spans="1:23" x14ac:dyDescent="0.25">
      <c r="A97" s="701" t="s">
        <v>497</v>
      </c>
      <c r="B97" s="701"/>
      <c r="C97" s="717" t="s">
        <v>349</v>
      </c>
      <c r="D97" s="711">
        <f>Bilans_E_AMS_Kyoto_run3_MTE!H432</f>
        <v>0</v>
      </c>
      <c r="E97" s="711">
        <f>Bilans_E_AMS_Kyoto_run3_MTE!I432</f>
        <v>0</v>
      </c>
      <c r="F97" s="711">
        <f>Bilans_E_AMS_Kyoto_run3_MTE!J432</f>
        <v>0</v>
      </c>
      <c r="G97" s="711">
        <f>Bilans_E_AMS_Kyoto_run3_MTE!K432</f>
        <v>0</v>
      </c>
      <c r="H97" s="711">
        <f>Bilans_E_AMS_Kyoto_run3_MTE!L432</f>
        <v>0</v>
      </c>
      <c r="I97" s="711">
        <f>Bilans_E_AMS_Kyoto_run3_MTE!M432</f>
        <v>0</v>
      </c>
      <c r="J97" s="711">
        <f>Bilans_E_AMS_Kyoto_run3_MTE!N432</f>
        <v>0</v>
      </c>
      <c r="K97" s="711">
        <f>Bilans_E_AMS_Kyoto_run3_MTE!O432</f>
        <v>0</v>
      </c>
      <c r="L97" s="711">
        <f>Bilans_E_AMS_Kyoto_run3_MTE!P432</f>
        <v>121.15349099008552</v>
      </c>
      <c r="M97" s="711">
        <f>Bilans_E_AMS_Kyoto_run3_MTE!Q432</f>
        <v>11.695220862948467</v>
      </c>
      <c r="N97" s="711">
        <f>Bilans_E_AMS_Kyoto_run3_MTE!R432</f>
        <v>0</v>
      </c>
      <c r="O97" s="711">
        <f>Bilans_E_AMS_Kyoto_run3_MTE!S432</f>
        <v>-66.507884301827488</v>
      </c>
      <c r="P97" s="711">
        <f>Bilans_E_AMS_Kyoto_run3_MTE!T432+Bilans_E_AMS_Kyoto_run3_MTE!U432</f>
        <v>0</v>
      </c>
      <c r="Q97" s="711">
        <f>Bilans_E_AMS_Kyoto_run3_MTE!V432</f>
        <v>0</v>
      </c>
      <c r="R97" s="711">
        <f>Bilans_E_AMS_Kyoto_run3_MTE!W432</f>
        <v>0</v>
      </c>
      <c r="S97" s="711">
        <f>Bilans_E_AMS_Kyoto_run3_MTE!X432</f>
        <v>0</v>
      </c>
      <c r="T97" s="711">
        <f>Bilans_E_AMS_Kyoto_run3_MTE!Y432</f>
        <v>0</v>
      </c>
      <c r="U97" s="711">
        <f>Bilans_E_AMS_Kyoto_run3_MTE!Z432</f>
        <v>66.340827551206502</v>
      </c>
      <c r="V97" s="701"/>
      <c r="W97" s="701"/>
    </row>
    <row r="98" spans="1:23" x14ac:dyDescent="0.25">
      <c r="A98" s="701" t="s">
        <v>498</v>
      </c>
      <c r="B98" s="701"/>
      <c r="C98" s="717" t="s">
        <v>350</v>
      </c>
      <c r="D98" s="711">
        <f>Bilans_E_AMS_Kyoto_run3_MTE!H433</f>
        <v>0</v>
      </c>
      <c r="E98" s="711">
        <f>Bilans_E_AMS_Kyoto_run3_MTE!I433</f>
        <v>0</v>
      </c>
      <c r="F98" s="711">
        <f>Bilans_E_AMS_Kyoto_run3_MTE!J433</f>
        <v>0</v>
      </c>
      <c r="G98" s="711">
        <f>Bilans_E_AMS_Kyoto_run3_MTE!K433</f>
        <v>0</v>
      </c>
      <c r="H98" s="711">
        <f>Bilans_E_AMS_Kyoto_run3_MTE!L433</f>
        <v>0</v>
      </c>
      <c r="I98" s="711">
        <f>Bilans_E_AMS_Kyoto_run3_MTE!M433</f>
        <v>-0.99259685127624475</v>
      </c>
      <c r="J98" s="711">
        <f>Bilans_E_AMS_Kyoto_run3_MTE!N433</f>
        <v>0</v>
      </c>
      <c r="K98" s="711">
        <f>Bilans_E_AMS_Kyoto_run3_MTE!O433</f>
        <v>0</v>
      </c>
      <c r="L98" s="711">
        <f>Bilans_E_AMS_Kyoto_run3_MTE!P433</f>
        <v>0</v>
      </c>
      <c r="M98" s="711">
        <f>Bilans_E_AMS_Kyoto_run3_MTE!Q433</f>
        <v>0</v>
      </c>
      <c r="N98" s="711">
        <f>Bilans_E_AMS_Kyoto_run3_MTE!R433</f>
        <v>0</v>
      </c>
      <c r="O98" s="711">
        <f>Bilans_E_AMS_Kyoto_run3_MTE!S433</f>
        <v>0</v>
      </c>
      <c r="P98" s="711">
        <f>Bilans_E_AMS_Kyoto_run3_MTE!T433+Bilans_E_AMS_Kyoto_run3_MTE!U433</f>
        <v>0</v>
      </c>
      <c r="Q98" s="711">
        <f>Bilans_E_AMS_Kyoto_run3_MTE!V433</f>
        <v>0</v>
      </c>
      <c r="R98" s="711">
        <f>Bilans_E_AMS_Kyoto_run3_MTE!W433</f>
        <v>0</v>
      </c>
      <c r="S98" s="711">
        <f>Bilans_E_AMS_Kyoto_run3_MTE!X433</f>
        <v>0</v>
      </c>
      <c r="T98" s="711">
        <f>Bilans_E_AMS_Kyoto_run3_MTE!Y433</f>
        <v>1.3786067378836733</v>
      </c>
      <c r="U98" s="711">
        <f>Bilans_E_AMS_Kyoto_run3_MTE!Z433</f>
        <v>0.38600988660742852</v>
      </c>
      <c r="V98" s="701"/>
      <c r="W98" s="701"/>
    </row>
    <row r="99" spans="1:23" x14ac:dyDescent="0.25">
      <c r="A99" s="701" t="s">
        <v>499</v>
      </c>
      <c r="B99" s="701"/>
      <c r="C99" s="717" t="s">
        <v>72</v>
      </c>
      <c r="D99" s="711">
        <f>Bilans_E_AMS_Kyoto_run3_MTE!H434</f>
        <v>0</v>
      </c>
      <c r="E99" s="711">
        <f>Bilans_E_AMS_Kyoto_run3_MTE!I434</f>
        <v>236.81493545445448</v>
      </c>
      <c r="F99" s="711">
        <f>Bilans_E_AMS_Kyoto_run3_MTE!J434</f>
        <v>-234.44678609990993</v>
      </c>
      <c r="G99" s="711">
        <f>Bilans_E_AMS_Kyoto_run3_MTE!K434</f>
        <v>0</v>
      </c>
      <c r="H99" s="711">
        <f>Bilans_E_AMS_Kyoto_run3_MTE!L434</f>
        <v>0</v>
      </c>
      <c r="I99" s="711">
        <f>Bilans_E_AMS_Kyoto_run3_MTE!M434</f>
        <v>0</v>
      </c>
      <c r="J99" s="711">
        <f>Bilans_E_AMS_Kyoto_run3_MTE!N434</f>
        <v>0</v>
      </c>
      <c r="K99" s="711">
        <f>Bilans_E_AMS_Kyoto_run3_MTE!O434</f>
        <v>0</v>
      </c>
      <c r="L99" s="711">
        <f>Bilans_E_AMS_Kyoto_run3_MTE!P434</f>
        <v>0</v>
      </c>
      <c r="M99" s="711">
        <f>Bilans_E_AMS_Kyoto_run3_MTE!Q434</f>
        <v>0</v>
      </c>
      <c r="N99" s="711">
        <f>Bilans_E_AMS_Kyoto_run3_MTE!R434</f>
        <v>0</v>
      </c>
      <c r="O99" s="711">
        <f>Bilans_E_AMS_Kyoto_run3_MTE!S434</f>
        <v>0</v>
      </c>
      <c r="P99" s="711">
        <f>Bilans_E_AMS_Kyoto_run3_MTE!T434+Bilans_E_AMS_Kyoto_run3_MTE!U434</f>
        <v>0</v>
      </c>
      <c r="Q99" s="711">
        <f>Bilans_E_AMS_Kyoto_run3_MTE!V434</f>
        <v>0</v>
      </c>
      <c r="R99" s="711">
        <f>Bilans_E_AMS_Kyoto_run3_MTE!W434</f>
        <v>0</v>
      </c>
      <c r="S99" s="711">
        <f>Bilans_E_AMS_Kyoto_run3_MTE!X434</f>
        <v>0</v>
      </c>
      <c r="T99" s="711">
        <f>Bilans_E_AMS_Kyoto_run3_MTE!Y434</f>
        <v>0</v>
      </c>
      <c r="U99" s="711">
        <f>Bilans_E_AMS_Kyoto_run3_MTE!Z434</f>
        <v>2.3681493545445562</v>
      </c>
      <c r="V99" s="701"/>
      <c r="W99" s="701"/>
    </row>
    <row r="100" spans="1:23" x14ac:dyDescent="0.25">
      <c r="A100" s="701" t="s">
        <v>500</v>
      </c>
      <c r="B100" s="701"/>
      <c r="C100" s="717" t="s">
        <v>351</v>
      </c>
      <c r="D100" s="711">
        <f>Bilans_E_AMS_Kyoto_run3_MTE!H435</f>
        <v>0</v>
      </c>
      <c r="E100" s="711">
        <f>Bilans_E_AMS_Kyoto_run3_MTE!I435</f>
        <v>0</v>
      </c>
      <c r="F100" s="711">
        <f>Bilans_E_AMS_Kyoto_run3_MTE!J435</f>
        <v>0</v>
      </c>
      <c r="G100" s="711">
        <f>Bilans_E_AMS_Kyoto_run3_MTE!K435</f>
        <v>0</v>
      </c>
      <c r="H100" s="711">
        <f>Bilans_E_AMS_Kyoto_run3_MTE!L435</f>
        <v>0</v>
      </c>
      <c r="I100" s="711">
        <f>Bilans_E_AMS_Kyoto_run3_MTE!M435</f>
        <v>0</v>
      </c>
      <c r="J100" s="711">
        <f>Bilans_E_AMS_Kyoto_run3_MTE!N435</f>
        <v>0</v>
      </c>
      <c r="K100" s="711">
        <f>Bilans_E_AMS_Kyoto_run3_MTE!O435</f>
        <v>0</v>
      </c>
      <c r="L100" s="711">
        <f>Bilans_E_AMS_Kyoto_run3_MTE!P435</f>
        <v>92.214586114726359</v>
      </c>
      <c r="M100" s="711">
        <f>Bilans_E_AMS_Kyoto_run3_MTE!Q435</f>
        <v>7.2727272727272725</v>
      </c>
      <c r="N100" s="711">
        <f>Bilans_E_AMS_Kyoto_run3_MTE!R435</f>
        <v>-55.427636476917691</v>
      </c>
      <c r="O100" s="711">
        <f>Bilans_E_AMS_Kyoto_run3_MTE!S435</f>
        <v>0</v>
      </c>
      <c r="P100" s="711">
        <f>Bilans_E_AMS_Kyoto_run3_MTE!T435+Bilans_E_AMS_Kyoto_run3_MTE!U435</f>
        <v>0</v>
      </c>
      <c r="Q100" s="711">
        <f>Bilans_E_AMS_Kyoto_run3_MTE!V435</f>
        <v>0</v>
      </c>
      <c r="R100" s="711">
        <f>Bilans_E_AMS_Kyoto_run3_MTE!W435</f>
        <v>0</v>
      </c>
      <c r="S100" s="711">
        <f>Bilans_E_AMS_Kyoto_run3_MTE!X435</f>
        <v>0</v>
      </c>
      <c r="T100" s="711">
        <f>Bilans_E_AMS_Kyoto_run3_MTE!Y435</f>
        <v>0</v>
      </c>
      <c r="U100" s="711">
        <f>Bilans_E_AMS_Kyoto_run3_MTE!Z435</f>
        <v>44.059676910535934</v>
      </c>
      <c r="V100" s="701"/>
      <c r="W100" s="701"/>
    </row>
    <row r="101" spans="1:23" x14ac:dyDescent="0.25">
      <c r="A101" s="701" t="s">
        <v>501</v>
      </c>
      <c r="B101" s="701"/>
      <c r="C101" s="717" t="s">
        <v>352</v>
      </c>
      <c r="D101" s="711">
        <f>Bilans_E_AMS_Kyoto_run3_MTE!H436</f>
        <v>0</v>
      </c>
      <c r="E101" s="711">
        <f>Bilans_E_AMS_Kyoto_run3_MTE!I436</f>
        <v>0</v>
      </c>
      <c r="F101" s="711">
        <f>Bilans_E_AMS_Kyoto_run3_MTE!J436</f>
        <v>0</v>
      </c>
      <c r="G101" s="711">
        <f>Bilans_E_AMS_Kyoto_run3_MTE!K436</f>
        <v>-5.3675968512762449</v>
      </c>
      <c r="H101" s="711">
        <f>Bilans_E_AMS_Kyoto_run3_MTE!L436</f>
        <v>0</v>
      </c>
      <c r="I101" s="711">
        <f>Bilans_E_AMS_Kyoto_run3_MTE!M436</f>
        <v>0</v>
      </c>
      <c r="J101" s="711">
        <f>Bilans_E_AMS_Kyoto_run3_MTE!N436</f>
        <v>0</v>
      </c>
      <c r="K101" s="711">
        <f>Bilans_E_AMS_Kyoto_run3_MTE!O436</f>
        <v>0</v>
      </c>
      <c r="L101" s="711">
        <f>Bilans_E_AMS_Kyoto_run3_MTE!P436</f>
        <v>0</v>
      </c>
      <c r="M101" s="711">
        <f>Bilans_E_AMS_Kyoto_run3_MTE!Q436</f>
        <v>0</v>
      </c>
      <c r="N101" s="711">
        <f>Bilans_E_AMS_Kyoto_run3_MTE!R436</f>
        <v>0</v>
      </c>
      <c r="O101" s="711">
        <f>Bilans_E_AMS_Kyoto_run3_MTE!S436</f>
        <v>0</v>
      </c>
      <c r="P101" s="711">
        <f>Bilans_E_AMS_Kyoto_run3_MTE!T436+Bilans_E_AMS_Kyoto_run3_MTE!U436</f>
        <v>0</v>
      </c>
      <c r="Q101" s="711">
        <f>Bilans_E_AMS_Kyoto_run3_MTE!V436</f>
        <v>0</v>
      </c>
      <c r="R101" s="711">
        <f>Bilans_E_AMS_Kyoto_run3_MTE!W436</f>
        <v>0</v>
      </c>
      <c r="S101" s="711">
        <f>Bilans_E_AMS_Kyoto_run3_MTE!X436</f>
        <v>0</v>
      </c>
      <c r="T101" s="711">
        <f>Bilans_E_AMS_Kyoto_run3_MTE!Y436</f>
        <v>8.7918565364038699</v>
      </c>
      <c r="U101" s="711">
        <f>Bilans_E_AMS_Kyoto_run3_MTE!Z436</f>
        <v>3.424259685127625</v>
      </c>
      <c r="V101" s="701"/>
      <c r="W101" s="701"/>
    </row>
    <row r="102" spans="1:23" x14ac:dyDescent="0.25">
      <c r="A102" s="701" t="s">
        <v>502</v>
      </c>
      <c r="B102" s="701"/>
      <c r="C102" s="717" t="s">
        <v>73</v>
      </c>
      <c r="D102" s="711">
        <f>Bilans_E_AMS_Kyoto_run3_MTE!H437</f>
        <v>0</v>
      </c>
      <c r="E102" s="711">
        <f>Bilans_E_AMS_Kyoto_run3_MTE!I437</f>
        <v>0</v>
      </c>
      <c r="F102" s="711">
        <f>Bilans_E_AMS_Kyoto_run3_MTE!J437</f>
        <v>0</v>
      </c>
      <c r="G102" s="711">
        <f>Bilans_E_AMS_Kyoto_run3_MTE!K437</f>
        <v>0</v>
      </c>
      <c r="H102" s="711">
        <f>Bilans_E_AMS_Kyoto_run3_MTE!L437</f>
        <v>0</v>
      </c>
      <c r="I102" s="711">
        <f>Bilans_E_AMS_Kyoto_run3_MTE!M437</f>
        <v>0</v>
      </c>
      <c r="J102" s="711">
        <f>Bilans_E_AMS_Kyoto_run3_MTE!N437</f>
        <v>0</v>
      </c>
      <c r="K102" s="711">
        <f>Bilans_E_AMS_Kyoto_run3_MTE!O437</f>
        <v>0</v>
      </c>
      <c r="L102" s="711">
        <f>Bilans_E_AMS_Kyoto_run3_MTE!P437</f>
        <v>0</v>
      </c>
      <c r="M102" s="711">
        <f>Bilans_E_AMS_Kyoto_run3_MTE!Q437</f>
        <v>0</v>
      </c>
      <c r="N102" s="711">
        <f>Bilans_E_AMS_Kyoto_run3_MTE!R437</f>
        <v>0</v>
      </c>
      <c r="O102" s="711">
        <f>Bilans_E_AMS_Kyoto_run3_MTE!S437</f>
        <v>0</v>
      </c>
      <c r="P102" s="711">
        <f>Bilans_E_AMS_Kyoto_run3_MTE!T437+Bilans_E_AMS_Kyoto_run3_MTE!U437</f>
        <v>0</v>
      </c>
      <c r="Q102" s="711">
        <f>Bilans_E_AMS_Kyoto_run3_MTE!V437</f>
        <v>0</v>
      </c>
      <c r="R102" s="711">
        <f>Bilans_E_AMS_Kyoto_run3_MTE!W437</f>
        <v>46.345987464156821</v>
      </c>
      <c r="S102" s="711">
        <f>Bilans_E_AMS_Kyoto_run3_MTE!X437</f>
        <v>0</v>
      </c>
      <c r="T102" s="711">
        <f>Bilans_E_AMS_Kyoto_run3_MTE!Y437</f>
        <v>-31.747001412947427</v>
      </c>
      <c r="U102" s="711">
        <f>Bilans_E_AMS_Kyoto_run3_MTE!Z437</f>
        <v>14.598986051209394</v>
      </c>
      <c r="V102" s="701"/>
      <c r="W102" s="701"/>
    </row>
    <row r="103" spans="1:23" x14ac:dyDescent="0.25">
      <c r="A103" s="701" t="s">
        <v>503</v>
      </c>
      <c r="B103" s="701"/>
      <c r="C103" s="717" t="s">
        <v>353</v>
      </c>
      <c r="D103" s="711">
        <f>Bilans_E_AMS_Kyoto_run3_MTE!H438</f>
        <v>8.5250206054687503</v>
      </c>
      <c r="E103" s="711">
        <f>Bilans_E_AMS_Kyoto_run3_MTE!I438</f>
        <v>-8.2879547974433478</v>
      </c>
      <c r="F103" s="711">
        <f>Bilans_E_AMS_Kyoto_run3_MTE!J438</f>
        <v>10.994009966120005</v>
      </c>
      <c r="G103" s="711">
        <f>Bilans_E_AMS_Kyoto_run3_MTE!K438</f>
        <v>0</v>
      </c>
      <c r="H103" s="711">
        <f>Bilans_E_AMS_Kyoto_run3_MTE!L438</f>
        <v>0</v>
      </c>
      <c r="I103" s="711">
        <f>Bilans_E_AMS_Kyoto_run3_MTE!M438</f>
        <v>0</v>
      </c>
      <c r="J103" s="711">
        <f>Bilans_E_AMS_Kyoto_run3_MTE!N438</f>
        <v>0</v>
      </c>
      <c r="K103" s="711">
        <f>Bilans_E_AMS_Kyoto_run3_MTE!O438</f>
        <v>0</v>
      </c>
      <c r="L103" s="711">
        <f>Bilans_E_AMS_Kyoto_run3_MTE!P438</f>
        <v>0</v>
      </c>
      <c r="M103" s="711">
        <f>Bilans_E_AMS_Kyoto_run3_MTE!Q438</f>
        <v>0</v>
      </c>
      <c r="N103" s="711">
        <f>Bilans_E_AMS_Kyoto_run3_MTE!R438</f>
        <v>0</v>
      </c>
      <c r="O103" s="711">
        <f>Bilans_E_AMS_Kyoto_run3_MTE!S438</f>
        <v>0</v>
      </c>
      <c r="P103" s="711">
        <f>Bilans_E_AMS_Kyoto_run3_MTE!T438+Bilans_E_AMS_Kyoto_run3_MTE!U438</f>
        <v>0</v>
      </c>
      <c r="Q103" s="711">
        <f>Bilans_E_AMS_Kyoto_run3_MTE!V438</f>
        <v>0</v>
      </c>
      <c r="R103" s="711">
        <f>Bilans_E_AMS_Kyoto_run3_MTE!W438</f>
        <v>0</v>
      </c>
      <c r="S103" s="711">
        <f>Bilans_E_AMS_Kyoto_run3_MTE!X438</f>
        <v>0</v>
      </c>
      <c r="T103" s="711">
        <f>Bilans_E_AMS_Kyoto_run3_MTE!Y438</f>
        <v>0</v>
      </c>
      <c r="U103" s="711">
        <f>Bilans_E_AMS_Kyoto_run3_MTE!Z438</f>
        <v>11.231075774145408</v>
      </c>
      <c r="V103" s="701"/>
      <c r="W103" s="701"/>
    </row>
    <row r="104" spans="1:23" x14ac:dyDescent="0.25">
      <c r="A104" s="701" t="s">
        <v>504</v>
      </c>
      <c r="B104" s="701"/>
      <c r="C104" s="717" t="s">
        <v>75</v>
      </c>
      <c r="D104" s="711">
        <f>Bilans_E_AMS_Kyoto_run3_MTE!H439</f>
        <v>3.3152857910156257</v>
      </c>
      <c r="E104" s="711">
        <f>Bilans_E_AMS_Kyoto_run3_MTE!I439</f>
        <v>0</v>
      </c>
      <c r="F104" s="711">
        <f>Bilans_E_AMS_Kyoto_run3_MTE!J439</f>
        <v>8.217345528971137</v>
      </c>
      <c r="G104" s="711">
        <f>Bilans_E_AMS_Kyoto_run3_MTE!K439</f>
        <v>0</v>
      </c>
      <c r="H104" s="711">
        <f>Bilans_E_AMS_Kyoto_run3_MTE!L439</f>
        <v>0</v>
      </c>
      <c r="I104" s="711">
        <f>Bilans_E_AMS_Kyoto_run3_MTE!M439</f>
        <v>0</v>
      </c>
      <c r="J104" s="711">
        <f>Bilans_E_AMS_Kyoto_run3_MTE!N439</f>
        <v>0</v>
      </c>
      <c r="K104" s="711">
        <f>Bilans_E_AMS_Kyoto_run3_MTE!O439</f>
        <v>0</v>
      </c>
      <c r="L104" s="711">
        <f>Bilans_E_AMS_Kyoto_run3_MTE!P439</f>
        <v>0</v>
      </c>
      <c r="M104" s="711">
        <f>Bilans_E_AMS_Kyoto_run3_MTE!Q439</f>
        <v>0</v>
      </c>
      <c r="N104" s="711">
        <f>Bilans_E_AMS_Kyoto_run3_MTE!R439</f>
        <v>0</v>
      </c>
      <c r="O104" s="711">
        <f>Bilans_E_AMS_Kyoto_run3_MTE!S439</f>
        <v>0</v>
      </c>
      <c r="P104" s="711">
        <f>Bilans_E_AMS_Kyoto_run3_MTE!T439+Bilans_E_AMS_Kyoto_run3_MTE!U439</f>
        <v>0</v>
      </c>
      <c r="Q104" s="711">
        <f>Bilans_E_AMS_Kyoto_run3_MTE!V439</f>
        <v>0</v>
      </c>
      <c r="R104" s="711">
        <f>Bilans_E_AMS_Kyoto_run3_MTE!W439</f>
        <v>38.800105175182054</v>
      </c>
      <c r="S104" s="711">
        <f>Bilans_E_AMS_Kyoto_run3_MTE!X439</f>
        <v>0</v>
      </c>
      <c r="T104" s="711">
        <f>Bilans_E_AMS_Kyoto_run3_MTE!Y439</f>
        <v>2.3301224997410235</v>
      </c>
      <c r="U104" s="711">
        <f>Bilans_E_AMS_Kyoto_run3_MTE!Z439</f>
        <v>52.66285899490984</v>
      </c>
      <c r="V104" s="701"/>
      <c r="W104" s="701"/>
    </row>
    <row r="105" spans="1:23" x14ac:dyDescent="0.25">
      <c r="A105" s="701" t="s">
        <v>505</v>
      </c>
      <c r="B105" s="701"/>
      <c r="C105" s="717" t="s">
        <v>76</v>
      </c>
      <c r="D105" s="711">
        <f>Bilans_E_AMS_Kyoto_run3_MTE!H440</f>
        <v>0</v>
      </c>
      <c r="E105" s="711">
        <f>Bilans_E_AMS_Kyoto_run3_MTE!I440</f>
        <v>0</v>
      </c>
      <c r="F105" s="711">
        <f>Bilans_E_AMS_Kyoto_run3_MTE!J440</f>
        <v>0</v>
      </c>
      <c r="G105" s="711">
        <f>Bilans_E_AMS_Kyoto_run3_MTE!K440</f>
        <v>0</v>
      </c>
      <c r="H105" s="711">
        <f>Bilans_E_AMS_Kyoto_run3_MTE!L440</f>
        <v>1.1543235485411594</v>
      </c>
      <c r="I105" s="711">
        <f>Bilans_E_AMS_Kyoto_run3_MTE!M440</f>
        <v>0</v>
      </c>
      <c r="J105" s="711">
        <f>Bilans_E_AMS_Kyoto_run3_MTE!N440</f>
        <v>0</v>
      </c>
      <c r="K105" s="711">
        <f>Bilans_E_AMS_Kyoto_run3_MTE!O440</f>
        <v>0</v>
      </c>
      <c r="L105" s="711">
        <f>Bilans_E_AMS_Kyoto_run3_MTE!P440</f>
        <v>0</v>
      </c>
      <c r="M105" s="711">
        <f>Bilans_E_AMS_Kyoto_run3_MTE!Q440</f>
        <v>0</v>
      </c>
      <c r="N105" s="711">
        <f>Bilans_E_AMS_Kyoto_run3_MTE!R440</f>
        <v>0</v>
      </c>
      <c r="O105" s="711">
        <f>Bilans_E_AMS_Kyoto_run3_MTE!S440</f>
        <v>0.76954903236077299</v>
      </c>
      <c r="P105" s="711">
        <f>Bilans_E_AMS_Kyoto_run3_MTE!T440+Bilans_E_AMS_Kyoto_run3_MTE!U440</f>
        <v>0</v>
      </c>
      <c r="Q105" s="711">
        <f>Bilans_E_AMS_Kyoto_run3_MTE!V440</f>
        <v>0</v>
      </c>
      <c r="R105" s="711">
        <f>Bilans_E_AMS_Kyoto_run3_MTE!W440</f>
        <v>55.568340190332414</v>
      </c>
      <c r="S105" s="711">
        <f>Bilans_E_AMS_Kyoto_run3_MTE!X440</f>
        <v>7.0126401757775509</v>
      </c>
      <c r="T105" s="711">
        <f>Bilans_E_AMS_Kyoto_run3_MTE!Y440</f>
        <v>0</v>
      </c>
      <c r="U105" s="711">
        <f>Bilans_E_AMS_Kyoto_run3_MTE!Z440</f>
        <v>64.504852947011898</v>
      </c>
      <c r="V105" s="701"/>
      <c r="W105" s="701"/>
    </row>
    <row r="106" spans="1:23" x14ac:dyDescent="0.25">
      <c r="A106" s="701" t="s">
        <v>506</v>
      </c>
      <c r="B106" s="701"/>
      <c r="C106" s="713" t="s">
        <v>77</v>
      </c>
      <c r="D106" s="714">
        <f>Bilans_E_AMS_Kyoto_run3_MTE!H441</f>
        <v>11.840306396484376</v>
      </c>
      <c r="E106" s="714">
        <f>Bilans_E_AMS_Kyoto_run3_MTE!I441</f>
        <v>228.52698065701114</v>
      </c>
      <c r="F106" s="714">
        <f>Bilans_E_AMS_Kyoto_run3_MTE!J441</f>
        <v>-215.16927865141872</v>
      </c>
      <c r="G106" s="714">
        <f>Bilans_E_AMS_Kyoto_run3_MTE!K441</f>
        <v>-5.3675968512762449</v>
      </c>
      <c r="H106" s="714">
        <f>Bilans_E_AMS_Kyoto_run3_MTE!L441</f>
        <v>14.951693796815011</v>
      </c>
      <c r="I106" s="714">
        <f>Bilans_E_AMS_Kyoto_run3_MTE!M441</f>
        <v>-0.99259685127624475</v>
      </c>
      <c r="J106" s="714">
        <f>Bilans_E_AMS_Kyoto_run3_MTE!N441</f>
        <v>1217.3350254612858</v>
      </c>
      <c r="K106" s="714">
        <f>Bilans_E_AMS_Kyoto_run3_MTE!O441</f>
        <v>388.29502398919544</v>
      </c>
      <c r="L106" s="714">
        <f>Bilans_E_AMS_Kyoto_run3_MTE!P441</f>
        <v>255.15325459036612</v>
      </c>
      <c r="M106" s="714">
        <f>Bilans_E_AMS_Kyoto_run3_MTE!Q441</f>
        <v>38.768704949841634</v>
      </c>
      <c r="N106" s="714">
        <f>Bilans_E_AMS_Kyoto_run3_MTE!R441</f>
        <v>-49.800698638984656</v>
      </c>
      <c r="O106" s="714">
        <f>Bilans_E_AMS_Kyoto_run3_MTE!S441</f>
        <v>-56.411694494246213</v>
      </c>
      <c r="P106" s="714">
        <f>Bilans_E_AMS_Kyoto_run3_MTE!T441+Bilans_E_AMS_Kyoto_run3_MTE!U441</f>
        <v>17.004200785241363</v>
      </c>
      <c r="Q106" s="714">
        <f>Bilans_E_AMS_Kyoto_run3_MTE!V441</f>
        <v>22.157257652094906</v>
      </c>
      <c r="R106" s="714">
        <f>Bilans_E_AMS_Kyoto_run3_MTE!W441</f>
        <v>-664.74747380843064</v>
      </c>
      <c r="S106" s="714">
        <f>Bilans_E_AMS_Kyoto_run3_MTE!X441</f>
        <v>-83.423802565967307</v>
      </c>
      <c r="T106" s="714">
        <f>Bilans_E_AMS_Kyoto_run3_MTE!Y441</f>
        <v>-19.246415638918862</v>
      </c>
      <c r="U106" s="714">
        <f>Bilans_E_AMS_Kyoto_run3_MTE!Z441</f>
        <v>1098.8728907778168</v>
      </c>
      <c r="V106" s="701"/>
      <c r="W106" s="701"/>
    </row>
    <row r="107" spans="1:23" x14ac:dyDescent="0.25">
      <c r="A107" s="701"/>
      <c r="B107" s="701"/>
      <c r="C107" s="715"/>
      <c r="D107" s="716"/>
      <c r="E107" s="716"/>
      <c r="F107" s="716"/>
      <c r="G107" s="716"/>
      <c r="H107" s="716"/>
      <c r="I107" s="716"/>
      <c r="J107" s="716"/>
      <c r="K107" s="716"/>
      <c r="L107" s="716"/>
      <c r="M107" s="716"/>
      <c r="N107" s="716"/>
      <c r="O107" s="716"/>
      <c r="P107" s="716">
        <f>Bilans_E_AMS_Kyoto_run3_MTE!T442+Bilans_E_AMS_Kyoto_run3_MTE!U442</f>
        <v>0</v>
      </c>
      <c r="Q107" s="716"/>
      <c r="R107" s="716"/>
      <c r="S107" s="716"/>
      <c r="T107" s="716"/>
      <c r="U107" s="716"/>
      <c r="V107" s="701"/>
      <c r="W107" s="701"/>
    </row>
    <row r="108" spans="1:23" x14ac:dyDescent="0.25">
      <c r="A108" s="701" t="s">
        <v>507</v>
      </c>
      <c r="B108" s="701"/>
      <c r="C108" s="717" t="s">
        <v>78</v>
      </c>
      <c r="D108" s="711">
        <f>Bilans_E_AMS_Kyoto_run3_MTE!H443</f>
        <v>0.31248754882812502</v>
      </c>
      <c r="E108" s="711">
        <f>Bilans_E_AMS_Kyoto_run3_MTE!I443</f>
        <v>0</v>
      </c>
      <c r="F108" s="711">
        <f>Bilans_E_AMS_Kyoto_run3_MTE!J443</f>
        <v>3.1554639427466697</v>
      </c>
      <c r="G108" s="711">
        <f>Bilans_E_AMS_Kyoto_run3_MTE!K443</f>
        <v>0</v>
      </c>
      <c r="H108" s="711">
        <f>Bilans_E_AMS_Kyoto_run3_MTE!L443</f>
        <v>37.01033714688981</v>
      </c>
      <c r="I108" s="711">
        <f>Bilans_E_AMS_Kyoto_run3_MTE!M443</f>
        <v>0</v>
      </c>
      <c r="J108" s="711">
        <f>Bilans_E_AMS_Kyoto_run3_MTE!N443</f>
        <v>0</v>
      </c>
      <c r="K108" s="711">
        <f>Bilans_E_AMS_Kyoto_run3_MTE!O443</f>
        <v>0</v>
      </c>
      <c r="L108" s="711">
        <f>Bilans_E_AMS_Kyoto_run3_MTE!P443</f>
        <v>37.391289864504934</v>
      </c>
      <c r="M108" s="711">
        <f>Bilans_E_AMS_Kyoto_run3_MTE!Q443</f>
        <v>8.8042095890605694</v>
      </c>
      <c r="N108" s="711">
        <f>Bilans_E_AMS_Kyoto_run3_MTE!R443</f>
        <v>0.65571165030445222</v>
      </c>
      <c r="O108" s="711">
        <f>Bilans_E_AMS_Kyoto_run3_MTE!S443</f>
        <v>24.712220905509611</v>
      </c>
      <c r="P108" s="711">
        <f>Bilans_E_AMS_Kyoto_run3_MTE!T443+Bilans_E_AMS_Kyoto_run3_MTE!U443</f>
        <v>10.938740234375</v>
      </c>
      <c r="Q108" s="711">
        <f>Bilans_E_AMS_Kyoto_run3_MTE!V443</f>
        <v>7.8820466826144567E-4</v>
      </c>
      <c r="R108" s="711">
        <f>Bilans_E_AMS_Kyoto_run3_MTE!W443</f>
        <v>154.95335920514725</v>
      </c>
      <c r="S108" s="711">
        <f>Bilans_E_AMS_Kyoto_run3_MTE!X443</f>
        <v>19.589550837757145</v>
      </c>
      <c r="T108" s="711">
        <f>Bilans_E_AMS_Kyoto_run3_MTE!Y443</f>
        <v>8.8214501953125009</v>
      </c>
      <c r="U108" s="711">
        <f>Bilans_E_AMS_Kyoto_run3_MTE!Z443</f>
        <v>306.34560932510431</v>
      </c>
      <c r="V108" s="701"/>
      <c r="W108" s="701"/>
    </row>
    <row r="109" spans="1:23" x14ac:dyDescent="0.25">
      <c r="A109" s="701" t="s">
        <v>508</v>
      </c>
      <c r="B109" s="701"/>
      <c r="C109" s="717" t="s">
        <v>79</v>
      </c>
      <c r="D109" s="711">
        <f>Bilans_E_AMS_Kyoto_run3_MTE!H444</f>
        <v>0</v>
      </c>
      <c r="E109" s="711">
        <f>Bilans_E_AMS_Kyoto_run3_MTE!I444</f>
        <v>0</v>
      </c>
      <c r="F109" s="711">
        <f>Bilans_E_AMS_Kyoto_run3_MTE!J444</f>
        <v>101.77401649068347</v>
      </c>
      <c r="G109" s="711">
        <f>Bilans_E_AMS_Kyoto_run3_MTE!K444</f>
        <v>1</v>
      </c>
      <c r="H109" s="711">
        <f>Bilans_E_AMS_Kyoto_run3_MTE!L444</f>
        <v>4.5438942798277537</v>
      </c>
      <c r="I109" s="711">
        <f>Bilans_E_AMS_Kyoto_run3_MTE!M444</f>
        <v>0</v>
      </c>
      <c r="J109" s="711">
        <f>Bilans_E_AMS_Kyoto_run3_MTE!N444</f>
        <v>0</v>
      </c>
      <c r="K109" s="711">
        <f>Bilans_E_AMS_Kyoto_run3_MTE!O444</f>
        <v>0</v>
      </c>
      <c r="L109" s="711">
        <f>Bilans_E_AMS_Kyoto_run3_MTE!P444</f>
        <v>0</v>
      </c>
      <c r="M109" s="711">
        <f>Bilans_E_AMS_Kyoto_run3_MTE!Q444</f>
        <v>0</v>
      </c>
      <c r="N109" s="711">
        <f>Bilans_E_AMS_Kyoto_run3_MTE!R444</f>
        <v>35.960574276816558</v>
      </c>
      <c r="O109" s="711">
        <f>Bilans_E_AMS_Kyoto_run3_MTE!S444</f>
        <v>3.0292628532185026</v>
      </c>
      <c r="P109" s="711">
        <f>Bilans_E_AMS_Kyoto_run3_MTE!T444+Bilans_E_AMS_Kyoto_run3_MTE!U444</f>
        <v>0</v>
      </c>
      <c r="Q109" s="711">
        <f>Bilans_E_AMS_Kyoto_run3_MTE!V444</f>
        <v>0</v>
      </c>
      <c r="R109" s="711">
        <f>Bilans_E_AMS_Kyoto_run3_MTE!W444</f>
        <v>98.588545998647945</v>
      </c>
      <c r="S109" s="711">
        <f>Bilans_E_AMS_Kyoto_run3_MTE!X444</f>
        <v>0</v>
      </c>
      <c r="T109" s="711">
        <f>Bilans_E_AMS_Kyoto_run3_MTE!Y444</f>
        <v>4.4541562271539039</v>
      </c>
      <c r="U109" s="711">
        <f>Bilans_E_AMS_Kyoto_run3_MTE!Z444</f>
        <v>249.35045012634814</v>
      </c>
      <c r="V109" s="701"/>
      <c r="W109" s="701"/>
    </row>
    <row r="110" spans="1:23" x14ac:dyDescent="0.25">
      <c r="A110" s="701" t="s">
        <v>509</v>
      </c>
      <c r="B110" s="701"/>
      <c r="C110" s="717" t="s">
        <v>80</v>
      </c>
      <c r="D110" s="711">
        <f>Bilans_E_AMS_Kyoto_run3_MTE!H445</f>
        <v>0</v>
      </c>
      <c r="E110" s="711">
        <f>Bilans_E_AMS_Kyoto_run3_MTE!I445</f>
        <v>0</v>
      </c>
      <c r="F110" s="711">
        <f>Bilans_E_AMS_Kyoto_run3_MTE!J445</f>
        <v>0.45829125770018231</v>
      </c>
      <c r="G110" s="711">
        <f>Bilans_E_AMS_Kyoto_run3_MTE!K445</f>
        <v>0</v>
      </c>
      <c r="H110" s="711">
        <f>Bilans_E_AMS_Kyoto_run3_MTE!L445</f>
        <v>23.558204689169596</v>
      </c>
      <c r="I110" s="711">
        <f>Bilans_E_AMS_Kyoto_run3_MTE!M445</f>
        <v>0</v>
      </c>
      <c r="J110" s="711">
        <f>Bilans_E_AMS_Kyoto_run3_MTE!N445</f>
        <v>0</v>
      </c>
      <c r="K110" s="711">
        <f>Bilans_E_AMS_Kyoto_run3_MTE!O445</f>
        <v>0</v>
      </c>
      <c r="L110" s="711">
        <f>Bilans_E_AMS_Kyoto_run3_MTE!P445</f>
        <v>44.494417008077924</v>
      </c>
      <c r="M110" s="711">
        <f>Bilans_E_AMS_Kyoto_run3_MTE!Q445</f>
        <v>0</v>
      </c>
      <c r="N110" s="711">
        <f>Bilans_E_AMS_Kyoto_run3_MTE!R445</f>
        <v>0</v>
      </c>
      <c r="O110" s="711">
        <f>Bilans_E_AMS_Kyoto_run3_MTE!S445</f>
        <v>15.705469792779732</v>
      </c>
      <c r="P110" s="711">
        <f>Bilans_E_AMS_Kyoto_run3_MTE!T445+Bilans_E_AMS_Kyoto_run3_MTE!U445</f>
        <v>136.92844956569715</v>
      </c>
      <c r="Q110" s="711">
        <f>Bilans_E_AMS_Kyoto_run3_MTE!V445</f>
        <v>11.112810725871574</v>
      </c>
      <c r="R110" s="711">
        <f>Bilans_E_AMS_Kyoto_run3_MTE!W445</f>
        <v>151.24868898897191</v>
      </c>
      <c r="S110" s="711">
        <f>Bilans_E_AMS_Kyoto_run3_MTE!X445</f>
        <v>40.573888251039236</v>
      </c>
      <c r="T110" s="711">
        <f>Bilans_E_AMS_Kyoto_run3_MTE!Y445</f>
        <v>0</v>
      </c>
      <c r="U110" s="711">
        <f>Bilans_E_AMS_Kyoto_run3_MTE!Z445</f>
        <v>424.0802202793073</v>
      </c>
      <c r="V110" s="701"/>
      <c r="W110" s="701"/>
    </row>
    <row r="111" spans="1:23" x14ac:dyDescent="0.25">
      <c r="A111" s="701" t="s">
        <v>510</v>
      </c>
      <c r="B111" s="701"/>
      <c r="C111" s="717" t="s">
        <v>81</v>
      </c>
      <c r="D111" s="711">
        <f>Bilans_E_AMS_Kyoto_run3_MTE!H446</f>
        <v>0</v>
      </c>
      <c r="E111" s="711">
        <f>Bilans_E_AMS_Kyoto_run3_MTE!I446</f>
        <v>0</v>
      </c>
      <c r="F111" s="711">
        <f>Bilans_E_AMS_Kyoto_run3_MTE!J446</f>
        <v>0.72441471608254671</v>
      </c>
      <c r="G111" s="711">
        <f>Bilans_E_AMS_Kyoto_run3_MTE!K446</f>
        <v>0</v>
      </c>
      <c r="H111" s="711">
        <f>Bilans_E_AMS_Kyoto_run3_MTE!L446</f>
        <v>16.529932147980702</v>
      </c>
      <c r="I111" s="711">
        <f>Bilans_E_AMS_Kyoto_run3_MTE!M446</f>
        <v>0</v>
      </c>
      <c r="J111" s="711">
        <f>Bilans_E_AMS_Kyoto_run3_MTE!N446</f>
        <v>0</v>
      </c>
      <c r="K111" s="711">
        <f>Bilans_E_AMS_Kyoto_run3_MTE!O446</f>
        <v>0</v>
      </c>
      <c r="L111" s="711">
        <f>Bilans_E_AMS_Kyoto_run3_MTE!P446</f>
        <v>0.53348745170182088</v>
      </c>
      <c r="M111" s="711">
        <f>Bilans_E_AMS_Kyoto_run3_MTE!Q446</f>
        <v>0</v>
      </c>
      <c r="N111" s="711">
        <f>Bilans_E_AMS_Kyoto_run3_MTE!R446</f>
        <v>0</v>
      </c>
      <c r="O111" s="711">
        <f>Bilans_E_AMS_Kyoto_run3_MTE!S446</f>
        <v>11.019954765320469</v>
      </c>
      <c r="P111" s="711">
        <f>Bilans_E_AMS_Kyoto_run3_MTE!T446+Bilans_E_AMS_Kyoto_run3_MTE!U446</f>
        <v>52.106590615041483</v>
      </c>
      <c r="Q111" s="711">
        <f>Bilans_E_AMS_Kyoto_run3_MTE!V446</f>
        <v>10.099133053150796</v>
      </c>
      <c r="R111" s="711">
        <f>Bilans_E_AMS_Kyoto_run3_MTE!W446</f>
        <v>121.37238070067973</v>
      </c>
      <c r="S111" s="711">
        <f>Bilans_E_AMS_Kyoto_run3_MTE!X446</f>
        <v>23.260331591038877</v>
      </c>
      <c r="T111" s="711">
        <f>Bilans_E_AMS_Kyoto_run3_MTE!Y446</f>
        <v>0</v>
      </c>
      <c r="U111" s="711">
        <f>Bilans_E_AMS_Kyoto_run3_MTE!Z446</f>
        <v>235.6462250409964</v>
      </c>
      <c r="V111" s="701"/>
      <c r="W111" s="701"/>
    </row>
    <row r="112" spans="1:23" x14ac:dyDescent="0.25">
      <c r="A112" s="701" t="s">
        <v>511</v>
      </c>
      <c r="B112" s="701"/>
      <c r="C112" s="717" t="s">
        <v>82</v>
      </c>
      <c r="D112" s="711">
        <f>Bilans_E_AMS_Kyoto_run3_MTE!H447</f>
        <v>0</v>
      </c>
      <c r="E112" s="711">
        <f>Bilans_E_AMS_Kyoto_run3_MTE!I447</f>
        <v>0</v>
      </c>
      <c r="F112" s="711">
        <f>Bilans_E_AMS_Kyoto_run3_MTE!J447</f>
        <v>13.844421020879521</v>
      </c>
      <c r="G112" s="711">
        <f>Bilans_E_AMS_Kyoto_run3_MTE!K447</f>
        <v>0</v>
      </c>
      <c r="H112" s="711">
        <f>Bilans_E_AMS_Kyoto_run3_MTE!L447</f>
        <v>0.75389053295489317</v>
      </c>
      <c r="I112" s="711">
        <f>Bilans_E_AMS_Kyoto_run3_MTE!M447</f>
        <v>0</v>
      </c>
      <c r="J112" s="711">
        <f>Bilans_E_AMS_Kyoto_run3_MTE!N447</f>
        <v>0</v>
      </c>
      <c r="K112" s="711">
        <f>Bilans_E_AMS_Kyoto_run3_MTE!O447</f>
        <v>0</v>
      </c>
      <c r="L112" s="711">
        <f>Bilans_E_AMS_Kyoto_run3_MTE!P447</f>
        <v>15.52633161671044</v>
      </c>
      <c r="M112" s="711">
        <f>Bilans_E_AMS_Kyoto_run3_MTE!Q447</f>
        <v>0</v>
      </c>
      <c r="N112" s="711">
        <f>Bilans_E_AMS_Kyoto_run3_MTE!R447</f>
        <v>6.9560280843062596</v>
      </c>
      <c r="O112" s="711">
        <f>Bilans_E_AMS_Kyoto_run3_MTE!S447</f>
        <v>0.50259368863659548</v>
      </c>
      <c r="P112" s="711">
        <f>Bilans_E_AMS_Kyoto_run3_MTE!T447+Bilans_E_AMS_Kyoto_run3_MTE!U447</f>
        <v>1</v>
      </c>
      <c r="Q112" s="711">
        <f>Bilans_E_AMS_Kyoto_run3_MTE!V447</f>
        <v>1.300620381405156</v>
      </c>
      <c r="R112" s="711">
        <f>Bilans_E_AMS_Kyoto_run3_MTE!W447</f>
        <v>9.5059865656589242</v>
      </c>
      <c r="S112" s="711">
        <f>Bilans_E_AMS_Kyoto_run3_MTE!X447</f>
        <v>0</v>
      </c>
      <c r="T112" s="711">
        <f>Bilans_E_AMS_Kyoto_run3_MTE!Y447</f>
        <v>0.43956597389567681</v>
      </c>
      <c r="U112" s="711">
        <f>Bilans_E_AMS_Kyoto_run3_MTE!Z447</f>
        <v>49.829437864447456</v>
      </c>
      <c r="V112" s="701"/>
      <c r="W112" s="701"/>
    </row>
    <row r="113" spans="1:23" x14ac:dyDescent="0.25">
      <c r="A113" s="701" t="s">
        <v>512</v>
      </c>
      <c r="B113" s="701"/>
      <c r="C113" s="717" t="s">
        <v>354</v>
      </c>
      <c r="D113" s="711">
        <f>Bilans_E_AMS_Kyoto_run3_MTE!H448</f>
        <v>0</v>
      </c>
      <c r="E113" s="711">
        <f>Bilans_E_AMS_Kyoto_run3_MTE!I448</f>
        <v>0</v>
      </c>
      <c r="F113" s="711">
        <f>Bilans_E_AMS_Kyoto_run3_MTE!J448</f>
        <v>0</v>
      </c>
      <c r="G113" s="711">
        <f>Bilans_E_AMS_Kyoto_run3_MTE!K448</f>
        <v>0</v>
      </c>
      <c r="H113" s="711">
        <f>Bilans_E_AMS_Kyoto_run3_MTE!L448</f>
        <v>0</v>
      </c>
      <c r="I113" s="711">
        <f>Bilans_E_AMS_Kyoto_run3_MTE!M448</f>
        <v>0</v>
      </c>
      <c r="J113" s="711">
        <f>Bilans_E_AMS_Kyoto_run3_MTE!N448</f>
        <v>0</v>
      </c>
      <c r="K113" s="711">
        <f>Bilans_E_AMS_Kyoto_run3_MTE!O448</f>
        <v>0</v>
      </c>
      <c r="L113" s="711">
        <f>Bilans_E_AMS_Kyoto_run3_MTE!P448</f>
        <v>0</v>
      </c>
      <c r="M113" s="711">
        <f>Bilans_E_AMS_Kyoto_run3_MTE!Q448</f>
        <v>0</v>
      </c>
      <c r="N113" s="711">
        <f>Bilans_E_AMS_Kyoto_run3_MTE!R448</f>
        <v>0</v>
      </c>
      <c r="O113" s="711">
        <f>Bilans_E_AMS_Kyoto_run3_MTE!S448</f>
        <v>0</v>
      </c>
      <c r="P113" s="711">
        <f>Bilans_E_AMS_Kyoto_run3_MTE!T448+Bilans_E_AMS_Kyoto_run3_MTE!U448</f>
        <v>0</v>
      </c>
      <c r="Q113" s="711">
        <f>Bilans_E_AMS_Kyoto_run3_MTE!V448</f>
        <v>0</v>
      </c>
      <c r="R113" s="711">
        <f>Bilans_E_AMS_Kyoto_run3_MTE!W448</f>
        <v>3.6</v>
      </c>
      <c r="S113" s="711">
        <f>Bilans_E_AMS_Kyoto_run3_MTE!X448</f>
        <v>0</v>
      </c>
      <c r="T113" s="711">
        <f>Bilans_E_AMS_Kyoto_run3_MTE!Y448</f>
        <v>0</v>
      </c>
      <c r="U113" s="711">
        <f>Bilans_E_AMS_Kyoto_run3_MTE!Z448</f>
        <v>3.6</v>
      </c>
      <c r="V113" s="701"/>
      <c r="W113" s="701"/>
    </row>
    <row r="114" spans="1:23" x14ac:dyDescent="0.25">
      <c r="A114" s="701" t="s">
        <v>513</v>
      </c>
      <c r="B114" s="701"/>
      <c r="C114" s="713" t="s">
        <v>83</v>
      </c>
      <c r="D114" s="714">
        <f>Bilans_E_AMS_Kyoto_run3_MTE!H449</f>
        <v>0.31248754882812502</v>
      </c>
      <c r="E114" s="714">
        <f>Bilans_E_AMS_Kyoto_run3_MTE!I449</f>
        <v>0</v>
      </c>
      <c r="F114" s="714">
        <f>Bilans_E_AMS_Kyoto_run3_MTE!J449</f>
        <v>119.95660742809238</v>
      </c>
      <c r="G114" s="714">
        <f>Bilans_E_AMS_Kyoto_run3_MTE!K449</f>
        <v>1</v>
      </c>
      <c r="H114" s="714">
        <f>Bilans_E_AMS_Kyoto_run3_MTE!L449</f>
        <v>82.396258796822764</v>
      </c>
      <c r="I114" s="714">
        <f>Bilans_E_AMS_Kyoto_run3_MTE!M449</f>
        <v>0</v>
      </c>
      <c r="J114" s="714">
        <f>Bilans_E_AMS_Kyoto_run3_MTE!N449</f>
        <v>0</v>
      </c>
      <c r="K114" s="714">
        <f>Bilans_E_AMS_Kyoto_run3_MTE!O449</f>
        <v>0</v>
      </c>
      <c r="L114" s="714">
        <f>Bilans_E_AMS_Kyoto_run3_MTE!P449</f>
        <v>97.945525940995111</v>
      </c>
      <c r="M114" s="714">
        <f>Bilans_E_AMS_Kyoto_run3_MTE!Q449</f>
        <v>8.8042095890605694</v>
      </c>
      <c r="N114" s="714">
        <f>Bilans_E_AMS_Kyoto_run3_MTE!R449</f>
        <v>43.572314011427274</v>
      </c>
      <c r="O114" s="714">
        <f>Bilans_E_AMS_Kyoto_run3_MTE!S449</f>
        <v>54.969502005464911</v>
      </c>
      <c r="P114" s="714">
        <f>Bilans_E_AMS_Kyoto_run3_MTE!T449+Bilans_E_AMS_Kyoto_run3_MTE!U449</f>
        <v>200.97378041511362</v>
      </c>
      <c r="Q114" s="714">
        <f>Bilans_E_AMS_Kyoto_run3_MTE!V449</f>
        <v>22.513352365095788</v>
      </c>
      <c r="R114" s="714">
        <f>Bilans_E_AMS_Kyoto_run3_MTE!W449</f>
        <v>539.26896145910575</v>
      </c>
      <c r="S114" s="714">
        <f>Bilans_E_AMS_Kyoto_run3_MTE!X449</f>
        <v>83.423770679835258</v>
      </c>
      <c r="T114" s="714">
        <f>Bilans_E_AMS_Kyoto_run3_MTE!Y449</f>
        <v>13.715172396362082</v>
      </c>
      <c r="U114" s="714">
        <f>Bilans_E_AMS_Kyoto_run3_MTE!Z449</f>
        <v>1268.8519426362036</v>
      </c>
      <c r="V114" s="701"/>
      <c r="W114" s="701"/>
    </row>
    <row r="115" spans="1:23" x14ac:dyDescent="0.25">
      <c r="A115" s="701" t="s">
        <v>514</v>
      </c>
      <c r="B115" s="701"/>
      <c r="C115" s="710" t="s">
        <v>84</v>
      </c>
      <c r="D115" s="711">
        <f>Bilans_E_AMS_Kyoto_run3_MTE!H450</f>
        <v>0</v>
      </c>
      <c r="E115" s="711">
        <f>Bilans_E_AMS_Kyoto_run3_MTE!I450</f>
        <v>0</v>
      </c>
      <c r="F115" s="711">
        <f>Bilans_E_AMS_Kyoto_run3_MTE!J450</f>
        <v>102.03544321387012</v>
      </c>
      <c r="G115" s="711">
        <f>Bilans_E_AMS_Kyoto_run3_MTE!K450</f>
        <v>2.4611725721851321</v>
      </c>
      <c r="H115" s="711">
        <f>Bilans_E_AMS_Kyoto_run3_MTE!L450</f>
        <v>12.555456003161671</v>
      </c>
      <c r="I115" s="711">
        <f>Bilans_E_AMS_Kyoto_run3_MTE!M450</f>
        <v>0</v>
      </c>
      <c r="J115" s="711">
        <f>Bilans_E_AMS_Kyoto_run3_MTE!N450</f>
        <v>0</v>
      </c>
      <c r="K115" s="711">
        <f>Bilans_E_AMS_Kyoto_run3_MTE!O450</f>
        <v>0</v>
      </c>
      <c r="L115" s="711">
        <f>Bilans_E_AMS_Kyoto_run3_MTE!P450</f>
        <v>0.48630321782953712</v>
      </c>
      <c r="M115" s="711">
        <f>Bilans_E_AMS_Kyoto_run3_MTE!Q450</f>
        <v>0</v>
      </c>
      <c r="N115" s="711">
        <f>Bilans_E_AMS_Kyoto_run3_MTE!R450</f>
        <v>3.8692083880096835</v>
      </c>
      <c r="O115" s="711">
        <f>Bilans_E_AMS_Kyoto_run3_MTE!S450</f>
        <v>0</v>
      </c>
      <c r="P115" s="711">
        <f>Bilans_E_AMS_Kyoto_run3_MTE!T450+Bilans_E_AMS_Kyoto_run3_MTE!U450</f>
        <v>0</v>
      </c>
      <c r="Q115" s="711">
        <f>Bilans_E_AMS_Kyoto_run3_MTE!V450</f>
        <v>0</v>
      </c>
      <c r="R115" s="711">
        <f>Bilans_E_AMS_Kyoto_run3_MTE!W450</f>
        <v>0</v>
      </c>
      <c r="S115" s="711">
        <f>Bilans_E_AMS_Kyoto_run3_MTE!X450</f>
        <v>0</v>
      </c>
      <c r="T115" s="711">
        <f>Bilans_E_AMS_Kyoto_run3_MTE!Y450</f>
        <v>1.8671101278544562</v>
      </c>
      <c r="U115" s="711">
        <f>Bilans_E_AMS_Kyoto_run3_MTE!Z450</f>
        <v>123.27469352291061</v>
      </c>
      <c r="V115" s="701"/>
      <c r="W115" s="701"/>
    </row>
    <row r="116" spans="1:23" x14ac:dyDescent="0.25">
      <c r="A116" s="701" t="s">
        <v>515</v>
      </c>
      <c r="B116" s="701"/>
      <c r="C116" s="713" t="s">
        <v>85</v>
      </c>
      <c r="D116" s="714">
        <f>Bilans_E_AMS_Kyoto_run3_MTE!H451</f>
        <v>0.31248754882812502</v>
      </c>
      <c r="E116" s="714">
        <f>Bilans_E_AMS_Kyoto_run3_MTE!I451</f>
        <v>0</v>
      </c>
      <c r="F116" s="714">
        <f>Bilans_E_AMS_Kyoto_run3_MTE!J451</f>
        <v>221.99205064196252</v>
      </c>
      <c r="G116" s="714">
        <f>Bilans_E_AMS_Kyoto_run3_MTE!K451</f>
        <v>3.4611725721851321</v>
      </c>
      <c r="H116" s="714">
        <f>Bilans_E_AMS_Kyoto_run3_MTE!L451</f>
        <v>94.95171479998443</v>
      </c>
      <c r="I116" s="714">
        <f>Bilans_E_AMS_Kyoto_run3_MTE!M451</f>
        <v>0</v>
      </c>
      <c r="J116" s="714">
        <f>Bilans_E_AMS_Kyoto_run3_MTE!N451</f>
        <v>0</v>
      </c>
      <c r="K116" s="714">
        <f>Bilans_E_AMS_Kyoto_run3_MTE!O451</f>
        <v>0</v>
      </c>
      <c r="L116" s="714">
        <f>Bilans_E_AMS_Kyoto_run3_MTE!P451</f>
        <v>98.431829158824655</v>
      </c>
      <c r="M116" s="714">
        <f>Bilans_E_AMS_Kyoto_run3_MTE!Q451</f>
        <v>8.8042095890605694</v>
      </c>
      <c r="N116" s="714">
        <f>Bilans_E_AMS_Kyoto_run3_MTE!R451</f>
        <v>47.441522399436955</v>
      </c>
      <c r="O116" s="714">
        <f>Bilans_E_AMS_Kyoto_run3_MTE!S451</f>
        <v>54.969502005464911</v>
      </c>
      <c r="P116" s="714">
        <f>Bilans_E_AMS_Kyoto_run3_MTE!T451+Bilans_E_AMS_Kyoto_run3_MTE!U451</f>
        <v>200.97378041511362</v>
      </c>
      <c r="Q116" s="714">
        <f>Bilans_E_AMS_Kyoto_run3_MTE!V451</f>
        <v>22.513352365095788</v>
      </c>
      <c r="R116" s="714">
        <f>Bilans_E_AMS_Kyoto_run3_MTE!W451</f>
        <v>539.26896145910575</v>
      </c>
      <c r="S116" s="714">
        <f>Bilans_E_AMS_Kyoto_run3_MTE!X451</f>
        <v>83.423770679835258</v>
      </c>
      <c r="T116" s="714">
        <f>Bilans_E_AMS_Kyoto_run3_MTE!Y451</f>
        <v>15.582282524216538</v>
      </c>
      <c r="U116" s="714">
        <f>Bilans_E_AMS_Kyoto_run3_MTE!Z451</f>
        <v>1392.1266361591142</v>
      </c>
      <c r="V116" s="701"/>
      <c r="W116" s="701"/>
    </row>
    <row r="117" spans="1:23" x14ac:dyDescent="0.25">
      <c r="A117" s="701"/>
      <c r="B117" s="701"/>
      <c r="C117" s="701"/>
      <c r="D117" s="701">
        <f>Bilans_E_AMS_Kyoto_run3_MTE!H452</f>
        <v>0</v>
      </c>
      <c r="E117" s="701">
        <f>Bilans_E_AMS_Kyoto_run3_MTE!I452</f>
        <v>0</v>
      </c>
      <c r="F117" s="701">
        <f>Bilans_E_AMS_Kyoto_run3_MTE!J452</f>
        <v>5.6843418860808015E-14</v>
      </c>
      <c r="G117" s="701">
        <f>Bilans_E_AMS_Kyoto_run3_MTE!K452</f>
        <v>0</v>
      </c>
      <c r="H117" s="701">
        <f>Bilans_E_AMS_Kyoto_run3_MTE!L452</f>
        <v>0</v>
      </c>
      <c r="I117" s="701">
        <f>Bilans_E_AMS_Kyoto_run3_MTE!M452</f>
        <v>0</v>
      </c>
      <c r="J117" s="701">
        <f>Bilans_E_AMS_Kyoto_run3_MTE!N452</f>
        <v>0</v>
      </c>
      <c r="K117" s="701">
        <f>Bilans_E_AMS_Kyoto_run3_MTE!O452</f>
        <v>0</v>
      </c>
      <c r="L117" s="701">
        <f>Bilans_E_AMS_Kyoto_run3_MTE!P452</f>
        <v>0</v>
      </c>
      <c r="M117" s="701">
        <f>Bilans_E_AMS_Kyoto_run3_MTE!Q452</f>
        <v>0</v>
      </c>
      <c r="N117" s="701">
        <f>Bilans_E_AMS_Kyoto_run3_MTE!R452</f>
        <v>0</v>
      </c>
      <c r="O117" s="701">
        <f>Bilans_E_AMS_Kyoto_run3_MTE!S452</f>
        <v>1.9984014443252818E-15</v>
      </c>
      <c r="P117" s="701">
        <f>Bilans_E_AMS_Kyoto_run3_MTE!T452+Bilans_E_AMS_Kyoto_run3_MTE!U452</f>
        <v>0</v>
      </c>
      <c r="Q117" s="701">
        <f>Bilans_E_AMS_Kyoto_run3_MTE!V452</f>
        <v>0</v>
      </c>
      <c r="R117" s="701">
        <f>Bilans_E_AMS_Kyoto_run3_MTE!W452</f>
        <v>0</v>
      </c>
      <c r="S117" s="701">
        <f>Bilans_E_AMS_Kyoto_run3_MTE!X452</f>
        <v>-3.1886132049407934E-5</v>
      </c>
      <c r="T117" s="701">
        <f>Bilans_E_AMS_Kyoto_run3_MTE!Y452</f>
        <v>0</v>
      </c>
      <c r="U117" s="701">
        <f>Bilans_E_AMS_Kyoto_run3_MTE!Z452</f>
        <v>-3.1886131637293147E-5</v>
      </c>
      <c r="V117" s="701"/>
      <c r="W117" s="701"/>
    </row>
    <row r="118" spans="1:23" x14ac:dyDescent="0.25">
      <c r="A118" s="701"/>
      <c r="B118" s="701"/>
      <c r="C118" s="701"/>
      <c r="D118" s="701"/>
      <c r="E118" s="701"/>
      <c r="F118" s="701"/>
      <c r="G118" s="701"/>
      <c r="H118" s="701"/>
      <c r="I118" s="701"/>
      <c r="J118" s="701"/>
      <c r="K118" s="701"/>
      <c r="L118" s="701"/>
      <c r="M118" s="701"/>
      <c r="N118" s="701"/>
      <c r="O118" s="701"/>
      <c r="P118" s="701"/>
      <c r="Q118" s="701"/>
      <c r="R118" s="701"/>
      <c r="S118" s="701"/>
      <c r="T118" s="701"/>
      <c r="U118" s="701"/>
      <c r="V118" s="701"/>
      <c r="W118" s="701"/>
    </row>
    <row r="119" spans="1:23" x14ac:dyDescent="0.25">
      <c r="A119" s="707"/>
      <c r="B119" s="707"/>
      <c r="C119" s="708" t="s">
        <v>518</v>
      </c>
      <c r="D119" s="707"/>
      <c r="E119" s="707"/>
      <c r="F119" s="707"/>
      <c r="G119" s="707"/>
      <c r="H119" s="707"/>
      <c r="I119" s="707"/>
      <c r="J119" s="707"/>
      <c r="K119" s="707"/>
      <c r="L119" s="707"/>
      <c r="M119" s="707"/>
      <c r="N119" s="707"/>
      <c r="O119" s="707"/>
      <c r="P119" s="707"/>
      <c r="Q119" s="707"/>
      <c r="R119" s="707"/>
      <c r="S119" s="707"/>
      <c r="T119" s="707"/>
      <c r="U119" s="707"/>
      <c r="V119" s="707"/>
      <c r="W119" s="707"/>
    </row>
    <row r="120" spans="1:23" x14ac:dyDescent="0.25">
      <c r="A120" s="701"/>
      <c r="B120" s="701"/>
      <c r="C120" s="701"/>
      <c r="D120" s="701"/>
      <c r="E120" s="701"/>
      <c r="F120" s="701"/>
      <c r="G120" s="701"/>
      <c r="H120" s="701"/>
      <c r="I120" s="701"/>
      <c r="J120" s="701"/>
      <c r="K120" s="701"/>
      <c r="L120" s="701"/>
      <c r="M120" s="701"/>
      <c r="N120" s="701"/>
      <c r="O120" s="701"/>
      <c r="P120" s="701"/>
      <c r="Q120" s="701"/>
      <c r="R120" s="701"/>
      <c r="S120" s="701"/>
      <c r="T120" s="701"/>
      <c r="U120" s="701"/>
      <c r="V120" s="701"/>
      <c r="W120" s="701"/>
    </row>
    <row r="121" spans="1:23" x14ac:dyDescent="0.25">
      <c r="A121" s="701"/>
      <c r="B121" s="701"/>
      <c r="C121" s="780" t="s">
        <v>128</v>
      </c>
      <c r="D121" s="775" t="s">
        <v>42</v>
      </c>
      <c r="E121" s="775" t="s">
        <v>52</v>
      </c>
      <c r="F121" s="775" t="s">
        <v>53</v>
      </c>
      <c r="G121" s="775" t="s">
        <v>482</v>
      </c>
      <c r="H121" s="775" t="s">
        <v>32</v>
      </c>
      <c r="I121" s="775" t="s">
        <v>483</v>
      </c>
      <c r="J121" s="775" t="s">
        <v>20</v>
      </c>
      <c r="K121" s="775" t="s">
        <v>55</v>
      </c>
      <c r="L121" s="777" t="s">
        <v>56</v>
      </c>
      <c r="M121" s="778"/>
      <c r="N121" s="778"/>
      <c r="O121" s="778"/>
      <c r="P121" s="778"/>
      <c r="Q121" s="779"/>
      <c r="R121" s="775" t="s">
        <v>57</v>
      </c>
      <c r="S121" s="775" t="s">
        <v>58</v>
      </c>
      <c r="T121" s="775" t="s">
        <v>31</v>
      </c>
      <c r="U121" s="775" t="s">
        <v>10</v>
      </c>
      <c r="V121" s="701"/>
      <c r="W121" s="701"/>
    </row>
    <row r="122" spans="1:23" ht="67.5" x14ac:dyDescent="0.25">
      <c r="A122" s="701" t="s">
        <v>486</v>
      </c>
      <c r="B122" s="701"/>
      <c r="C122" s="781"/>
      <c r="D122" s="776"/>
      <c r="E122" s="776"/>
      <c r="F122" s="776"/>
      <c r="G122" s="776"/>
      <c r="H122" s="776"/>
      <c r="I122" s="776"/>
      <c r="J122" s="776"/>
      <c r="K122" s="776"/>
      <c r="L122" s="709" t="s">
        <v>335</v>
      </c>
      <c r="M122" s="709" t="s">
        <v>40</v>
      </c>
      <c r="N122" s="709" t="s">
        <v>343</v>
      </c>
      <c r="O122" s="709" t="s">
        <v>344</v>
      </c>
      <c r="P122" s="719" t="s">
        <v>610</v>
      </c>
      <c r="Q122" s="709" t="s">
        <v>346</v>
      </c>
      <c r="R122" s="776"/>
      <c r="S122" s="776"/>
      <c r="T122" s="776"/>
      <c r="U122" s="776"/>
      <c r="V122" s="701"/>
      <c r="W122" s="701"/>
    </row>
    <row r="123" spans="1:23" x14ac:dyDescent="0.25">
      <c r="A123" s="701" t="s">
        <v>487</v>
      </c>
      <c r="B123" s="701"/>
      <c r="C123" s="710" t="s">
        <v>59</v>
      </c>
      <c r="D123" s="711">
        <f>Bilans_E_AMS_Kyoto_run3_MTE!H458</f>
        <v>0</v>
      </c>
      <c r="E123" s="711">
        <f>Bilans_E_AMS_Kyoto_run3_MTE!I458</f>
        <v>0</v>
      </c>
      <c r="F123" s="711">
        <f>Bilans_E_AMS_Kyoto_run3_MTE!J458</f>
        <v>0</v>
      </c>
      <c r="G123" s="711">
        <f>Bilans_E_AMS_Kyoto_run3_MTE!K458</f>
        <v>0</v>
      </c>
      <c r="H123" s="711">
        <f>Bilans_E_AMS_Kyoto_run3_MTE!L458</f>
        <v>0</v>
      </c>
      <c r="I123" s="711">
        <f>Bilans_E_AMS_Kyoto_run3_MTE!M458</f>
        <v>0</v>
      </c>
      <c r="J123" s="711">
        <f>Bilans_E_AMS_Kyoto_run3_MTE!N458</f>
        <v>1099.5846392966657</v>
      </c>
      <c r="K123" s="711">
        <f>Bilans_E_AMS_Kyoto_run3_MTE!O458</f>
        <v>432.558137271254</v>
      </c>
      <c r="L123" s="711">
        <f>Bilans_E_AMS_Kyoto_run3_MTE!P458</f>
        <v>366.60157244104857</v>
      </c>
      <c r="M123" s="711">
        <f>Bilans_E_AMS_Kyoto_run3_MTE!Q458</f>
        <v>46.101085198672763</v>
      </c>
      <c r="N123" s="711">
        <f>Bilans_E_AMS_Kyoto_run3_MTE!R458</f>
        <v>0</v>
      </c>
      <c r="O123" s="711">
        <f>Bilans_E_AMS_Kyoto_run3_MTE!S458</f>
        <v>0</v>
      </c>
      <c r="P123" s="711">
        <f>Bilans_E_AMS_Kyoto_run3_MTE!T458+Bilans_E_AMS_Kyoto_run3_MTE!U458</f>
        <v>228.80859050100952</v>
      </c>
      <c r="Q123" s="711">
        <f>Bilans_E_AMS_Kyoto_run3_MTE!V458</f>
        <v>44.117114546253134</v>
      </c>
      <c r="R123" s="711">
        <f>Bilans_E_AMS_Kyoto_run3_MTE!W458</f>
        <v>0</v>
      </c>
      <c r="S123" s="711">
        <f>Bilans_E_AMS_Kyoto_run3_MTE!X458</f>
        <v>0</v>
      </c>
      <c r="T123" s="711">
        <f>Bilans_E_AMS_Kyoto_run3_MTE!Y458</f>
        <v>0</v>
      </c>
      <c r="U123" s="711">
        <f>Bilans_E_AMS_Kyoto_run3_MTE!Z458</f>
        <v>2217.7711392549036</v>
      </c>
      <c r="V123" s="701"/>
      <c r="W123" s="701"/>
    </row>
    <row r="124" spans="1:23" x14ac:dyDescent="0.25">
      <c r="A124" s="701" t="s">
        <v>488</v>
      </c>
      <c r="B124" s="701"/>
      <c r="C124" s="710" t="s">
        <v>60</v>
      </c>
      <c r="D124" s="712">
        <f>Bilans_E_AMS_Kyoto_run3_MTE!H459</f>
        <v>4.7190318603515626</v>
      </c>
      <c r="E124" s="712">
        <f>Bilans_E_AMS_Kyoto_run3_MTE!I459</f>
        <v>177.55502583689511</v>
      </c>
      <c r="F124" s="712">
        <f>Bilans_E_AMS_Kyoto_run3_MTE!J459</f>
        <v>35.526382887078427</v>
      </c>
      <c r="G124" s="712">
        <f>Bilans_E_AMS_Kyoto_run3_MTE!K459</f>
        <v>8.2447057853181924</v>
      </c>
      <c r="H124" s="712">
        <f>Bilans_E_AMS_Kyoto_run3_MTE!L459</f>
        <v>93.790704319687649</v>
      </c>
      <c r="I124" s="712">
        <f>Bilans_E_AMS_Kyoto_run3_MTE!M459</f>
        <v>0</v>
      </c>
      <c r="J124" s="712">
        <f>Bilans_E_AMS_Kyoto_run3_MTE!N459</f>
        <v>0</v>
      </c>
      <c r="K124" s="712">
        <f>Bilans_E_AMS_Kyoto_run3_MTE!O459</f>
        <v>0</v>
      </c>
      <c r="L124" s="712">
        <f>Bilans_E_AMS_Kyoto_run3_MTE!P459</f>
        <v>7.7767614364420297</v>
      </c>
      <c r="M124" s="712">
        <f>Bilans_E_AMS_Kyoto_run3_MTE!Q459</f>
        <v>0</v>
      </c>
      <c r="N124" s="712">
        <f>Bilans_E_AMS_Kyoto_run3_MTE!R459</f>
        <v>7.7564977806323299</v>
      </c>
      <c r="O124" s="712">
        <f>Bilans_E_AMS_Kyoto_run3_MTE!S459</f>
        <v>0</v>
      </c>
      <c r="P124" s="712">
        <f>Bilans_E_AMS_Kyoto_run3_MTE!T459+Bilans_E_AMS_Kyoto_run3_MTE!U459</f>
        <v>0</v>
      </c>
      <c r="Q124" s="712">
        <f>Bilans_E_AMS_Kyoto_run3_MTE!V459</f>
        <v>0</v>
      </c>
      <c r="R124" s="712">
        <f>Bilans_E_AMS_Kyoto_run3_MTE!W459</f>
        <v>0</v>
      </c>
      <c r="S124" s="712">
        <f>Bilans_E_AMS_Kyoto_run3_MTE!X459</f>
        <v>0</v>
      </c>
      <c r="T124" s="712">
        <f>Bilans_E_AMS_Kyoto_run3_MTE!Y459</f>
        <v>0</v>
      </c>
      <c r="U124" s="712">
        <f>Bilans_E_AMS_Kyoto_run3_MTE!Z459</f>
        <v>335.3691099064053</v>
      </c>
      <c r="V124" s="701"/>
      <c r="W124" s="701"/>
    </row>
    <row r="125" spans="1:23" x14ac:dyDescent="0.25">
      <c r="A125" s="701" t="s">
        <v>489</v>
      </c>
      <c r="B125" s="701"/>
      <c r="C125" s="710" t="s">
        <v>61</v>
      </c>
      <c r="D125" s="712">
        <f>Bilans_E_AMS_Kyoto_run3_MTE!H460</f>
        <v>0</v>
      </c>
      <c r="E125" s="712">
        <f>Bilans_E_AMS_Kyoto_run3_MTE!I460</f>
        <v>0</v>
      </c>
      <c r="F125" s="712">
        <f>Bilans_E_AMS_Kyoto_run3_MTE!J460</f>
        <v>0</v>
      </c>
      <c r="G125" s="712">
        <f>Bilans_E_AMS_Kyoto_run3_MTE!K460</f>
        <v>0</v>
      </c>
      <c r="H125" s="712">
        <f>Bilans_E_AMS_Kyoto_run3_MTE!L460</f>
        <v>0</v>
      </c>
      <c r="I125" s="712">
        <f>Bilans_E_AMS_Kyoto_run3_MTE!M460</f>
        <v>0</v>
      </c>
      <c r="J125" s="712">
        <f>Bilans_E_AMS_Kyoto_run3_MTE!N460</f>
        <v>0</v>
      </c>
      <c r="K125" s="712">
        <f>Bilans_E_AMS_Kyoto_run3_MTE!O460</f>
        <v>0</v>
      </c>
      <c r="L125" s="712">
        <f>Bilans_E_AMS_Kyoto_run3_MTE!P460</f>
        <v>0</v>
      </c>
      <c r="M125" s="712">
        <f>Bilans_E_AMS_Kyoto_run3_MTE!Q460</f>
        <v>0</v>
      </c>
      <c r="N125" s="712">
        <f>Bilans_E_AMS_Kyoto_run3_MTE!R460</f>
        <v>0</v>
      </c>
      <c r="O125" s="712">
        <f>Bilans_E_AMS_Kyoto_run3_MTE!S460</f>
        <v>-11.927582935629047</v>
      </c>
      <c r="P125" s="712">
        <f>Bilans_E_AMS_Kyoto_run3_MTE!T460+Bilans_E_AMS_Kyoto_run3_MTE!U460</f>
        <v>0</v>
      </c>
      <c r="Q125" s="712">
        <f>Bilans_E_AMS_Kyoto_run3_MTE!V460</f>
        <v>0</v>
      </c>
      <c r="R125" s="712">
        <f>Bilans_E_AMS_Kyoto_run3_MTE!W460</f>
        <v>-91.926243378286927</v>
      </c>
      <c r="S125" s="712">
        <f>Bilans_E_AMS_Kyoto_run3_MTE!X460</f>
        <v>0</v>
      </c>
      <c r="T125" s="712">
        <f>Bilans_E_AMS_Kyoto_run3_MTE!Y460</f>
        <v>0</v>
      </c>
      <c r="U125" s="712">
        <f>Bilans_E_AMS_Kyoto_run3_MTE!Z460</f>
        <v>-103.85382631391597</v>
      </c>
      <c r="V125" s="701"/>
      <c r="W125" s="701"/>
    </row>
    <row r="126" spans="1:23" x14ac:dyDescent="0.25">
      <c r="A126" s="701" t="s">
        <v>490</v>
      </c>
      <c r="B126" s="701"/>
      <c r="C126" s="710" t="s">
        <v>62</v>
      </c>
      <c r="D126" s="711">
        <f>Bilans_E_AMS_Kyoto_run3_MTE!H461</f>
        <v>0</v>
      </c>
      <c r="E126" s="711">
        <f>Bilans_E_AMS_Kyoto_run3_MTE!I461</f>
        <v>0</v>
      </c>
      <c r="F126" s="711">
        <f>Bilans_E_AMS_Kyoto_run3_MTE!J461</f>
        <v>-3.9597709546196729</v>
      </c>
      <c r="G126" s="711">
        <f>Bilans_E_AMS_Kyoto_run3_MTE!K461</f>
        <v>-1.6687304711455928</v>
      </c>
      <c r="H126" s="711">
        <f>Bilans_E_AMS_Kyoto_run3_MTE!L461</f>
        <v>0</v>
      </c>
      <c r="I126" s="711">
        <f>Bilans_E_AMS_Kyoto_run3_MTE!M461</f>
        <v>-1.7692389987108714</v>
      </c>
      <c r="J126" s="711">
        <f>Bilans_E_AMS_Kyoto_run3_MTE!N461</f>
        <v>0</v>
      </c>
      <c r="K126" s="711">
        <f>Bilans_E_AMS_Kyoto_run3_MTE!O461</f>
        <v>0</v>
      </c>
      <c r="L126" s="711">
        <f>Bilans_E_AMS_Kyoto_run3_MTE!P461</f>
        <v>0</v>
      </c>
      <c r="M126" s="711">
        <f>Bilans_E_AMS_Kyoto_run3_MTE!Q461</f>
        <v>0</v>
      </c>
      <c r="N126" s="711">
        <f>Bilans_E_AMS_Kyoto_run3_MTE!R461</f>
        <v>0</v>
      </c>
      <c r="O126" s="711">
        <f>Bilans_E_AMS_Kyoto_run3_MTE!S461</f>
        <v>-1.504748971161108</v>
      </c>
      <c r="P126" s="711">
        <f>Bilans_E_AMS_Kyoto_run3_MTE!T461+Bilans_E_AMS_Kyoto_run3_MTE!U461</f>
        <v>0</v>
      </c>
      <c r="Q126" s="711">
        <f>Bilans_E_AMS_Kyoto_run3_MTE!V461</f>
        <v>0</v>
      </c>
      <c r="R126" s="711">
        <f>Bilans_E_AMS_Kyoto_run3_MTE!W461</f>
        <v>0</v>
      </c>
      <c r="S126" s="711">
        <f>Bilans_E_AMS_Kyoto_run3_MTE!X461</f>
        <v>0</v>
      </c>
      <c r="T126" s="711">
        <f>Bilans_E_AMS_Kyoto_run3_MTE!Y461</f>
        <v>-0.86329073643245491</v>
      </c>
      <c r="U126" s="711">
        <f>Bilans_E_AMS_Kyoto_run3_MTE!Z461</f>
        <v>-9.7657801320697004</v>
      </c>
      <c r="V126" s="701"/>
      <c r="W126" s="701"/>
    </row>
    <row r="127" spans="1:23" x14ac:dyDescent="0.25">
      <c r="A127" s="701" t="s">
        <v>491</v>
      </c>
      <c r="B127" s="701"/>
      <c r="C127" s="710" t="s">
        <v>63</v>
      </c>
      <c r="D127" s="711">
        <f>Bilans_E_AMS_Kyoto_run3_MTE!H462</f>
        <v>0</v>
      </c>
      <c r="E127" s="711">
        <f>Bilans_E_AMS_Kyoto_run3_MTE!I462</f>
        <v>0</v>
      </c>
      <c r="F127" s="711">
        <f>Bilans_E_AMS_Kyoto_run3_MTE!J462</f>
        <v>-32.199999999999996</v>
      </c>
      <c r="G127" s="711">
        <f>Bilans_E_AMS_Kyoto_run3_MTE!K462</f>
        <v>-12.8</v>
      </c>
      <c r="H127" s="711">
        <f>Bilans_E_AMS_Kyoto_run3_MTE!L462</f>
        <v>0</v>
      </c>
      <c r="I127" s="711">
        <f>Bilans_E_AMS_Kyoto_run3_MTE!M462</f>
        <v>0</v>
      </c>
      <c r="J127" s="711">
        <f>Bilans_E_AMS_Kyoto_run3_MTE!N462</f>
        <v>0</v>
      </c>
      <c r="K127" s="711">
        <f>Bilans_E_AMS_Kyoto_run3_MTE!O462</f>
        <v>0</v>
      </c>
      <c r="L127" s="711">
        <f>Bilans_E_AMS_Kyoto_run3_MTE!P462</f>
        <v>0</v>
      </c>
      <c r="M127" s="711">
        <f>Bilans_E_AMS_Kyoto_run3_MTE!Q462</f>
        <v>0</v>
      </c>
      <c r="N127" s="711">
        <f>Bilans_E_AMS_Kyoto_run3_MTE!R462</f>
        <v>-15.600000000000001</v>
      </c>
      <c r="O127" s="711">
        <f>Bilans_E_AMS_Kyoto_run3_MTE!S462</f>
        <v>0</v>
      </c>
      <c r="P127" s="711">
        <f>Bilans_E_AMS_Kyoto_run3_MTE!T462+Bilans_E_AMS_Kyoto_run3_MTE!U462</f>
        <v>0</v>
      </c>
      <c r="Q127" s="711">
        <f>Bilans_E_AMS_Kyoto_run3_MTE!V462</f>
        <v>0</v>
      </c>
      <c r="R127" s="711">
        <f>Bilans_E_AMS_Kyoto_run3_MTE!W462</f>
        <v>0</v>
      </c>
      <c r="S127" s="711">
        <f>Bilans_E_AMS_Kyoto_run3_MTE!X462</f>
        <v>0</v>
      </c>
      <c r="T127" s="711">
        <f>Bilans_E_AMS_Kyoto_run3_MTE!Y462</f>
        <v>-4.2</v>
      </c>
      <c r="U127" s="711">
        <f>Bilans_E_AMS_Kyoto_run3_MTE!Z462</f>
        <v>-64.8</v>
      </c>
      <c r="V127" s="701"/>
      <c r="W127" s="701"/>
    </row>
    <row r="128" spans="1:23" x14ac:dyDescent="0.25">
      <c r="A128" s="701" t="s">
        <v>492</v>
      </c>
      <c r="B128" s="701"/>
      <c r="C128" s="710" t="s">
        <v>64</v>
      </c>
      <c r="D128" s="712">
        <f>Bilans_E_AMS_Kyoto_run3_MTE!H463</f>
        <v>0</v>
      </c>
      <c r="E128" s="712">
        <f>Bilans_E_AMS_Kyoto_run3_MTE!I463</f>
        <v>0</v>
      </c>
      <c r="F128" s="712">
        <f>Bilans_E_AMS_Kyoto_run3_MTE!J463</f>
        <v>0</v>
      </c>
      <c r="G128" s="712">
        <f>Bilans_E_AMS_Kyoto_run3_MTE!K463</f>
        <v>0</v>
      </c>
      <c r="H128" s="712">
        <f>Bilans_E_AMS_Kyoto_run3_MTE!L463</f>
        <v>0</v>
      </c>
      <c r="I128" s="712">
        <f>Bilans_E_AMS_Kyoto_run3_MTE!M463</f>
        <v>0</v>
      </c>
      <c r="J128" s="712">
        <f>Bilans_E_AMS_Kyoto_run3_MTE!N463</f>
        <v>0</v>
      </c>
      <c r="K128" s="712">
        <f>Bilans_E_AMS_Kyoto_run3_MTE!O463</f>
        <v>0</v>
      </c>
      <c r="L128" s="712">
        <f>Bilans_E_AMS_Kyoto_run3_MTE!P463</f>
        <v>0</v>
      </c>
      <c r="M128" s="712">
        <f>Bilans_E_AMS_Kyoto_run3_MTE!Q463</f>
        <v>0</v>
      </c>
      <c r="N128" s="712">
        <f>Bilans_E_AMS_Kyoto_run3_MTE!R463</f>
        <v>0</v>
      </c>
      <c r="O128" s="712">
        <f>Bilans_E_AMS_Kyoto_run3_MTE!S463</f>
        <v>0</v>
      </c>
      <c r="P128" s="712">
        <f>Bilans_E_AMS_Kyoto_run3_MTE!T463+Bilans_E_AMS_Kyoto_run3_MTE!U463</f>
        <v>0</v>
      </c>
      <c r="Q128" s="712">
        <f>Bilans_E_AMS_Kyoto_run3_MTE!V463</f>
        <v>0</v>
      </c>
      <c r="R128" s="712">
        <f>Bilans_E_AMS_Kyoto_run3_MTE!W463</f>
        <v>0</v>
      </c>
      <c r="S128" s="712">
        <f>Bilans_E_AMS_Kyoto_run3_MTE!X463</f>
        <v>0</v>
      </c>
      <c r="T128" s="712">
        <f>Bilans_E_AMS_Kyoto_run3_MTE!Y463</f>
        <v>0</v>
      </c>
      <c r="U128" s="712">
        <f>Bilans_E_AMS_Kyoto_run3_MTE!Z463</f>
        <v>0</v>
      </c>
      <c r="V128" s="701"/>
      <c r="W128" s="701"/>
    </row>
    <row r="129" spans="1:23" x14ac:dyDescent="0.25">
      <c r="A129" s="701" t="s">
        <v>493</v>
      </c>
      <c r="B129" s="701"/>
      <c r="C129" s="713" t="s">
        <v>65</v>
      </c>
      <c r="D129" s="714">
        <f>Bilans_E_AMS_Kyoto_run3_MTE!H464</f>
        <v>4.7190318603515626</v>
      </c>
      <c r="E129" s="714">
        <f>Bilans_E_AMS_Kyoto_run3_MTE!I464</f>
        <v>177.55502583689511</v>
      </c>
      <c r="F129" s="714">
        <f>Bilans_E_AMS_Kyoto_run3_MTE!J464</f>
        <v>-0.63338806754124022</v>
      </c>
      <c r="G129" s="714">
        <f>Bilans_E_AMS_Kyoto_run3_MTE!K464</f>
        <v>-6.2240246858274011</v>
      </c>
      <c r="H129" s="714">
        <f>Bilans_E_AMS_Kyoto_run3_MTE!L464</f>
        <v>93.790704319687649</v>
      </c>
      <c r="I129" s="714">
        <f>Bilans_E_AMS_Kyoto_run3_MTE!M464</f>
        <v>-1.7692389987108714</v>
      </c>
      <c r="J129" s="714">
        <f>Bilans_E_AMS_Kyoto_run3_MTE!N464</f>
        <v>1099.5846392966657</v>
      </c>
      <c r="K129" s="714">
        <f>Bilans_E_AMS_Kyoto_run3_MTE!O464</f>
        <v>432.558137271254</v>
      </c>
      <c r="L129" s="714">
        <f>Bilans_E_AMS_Kyoto_run3_MTE!P464</f>
        <v>374.3783338774906</v>
      </c>
      <c r="M129" s="714">
        <f>Bilans_E_AMS_Kyoto_run3_MTE!Q464</f>
        <v>46.101085198672763</v>
      </c>
      <c r="N129" s="714">
        <f>Bilans_E_AMS_Kyoto_run3_MTE!R464</f>
        <v>-7.8435022193676716</v>
      </c>
      <c r="O129" s="714">
        <f>Bilans_E_AMS_Kyoto_run3_MTE!S464</f>
        <v>-13.432331906790155</v>
      </c>
      <c r="P129" s="714">
        <f>Bilans_E_AMS_Kyoto_run3_MTE!T464+Bilans_E_AMS_Kyoto_run3_MTE!U464</f>
        <v>228.80859050100952</v>
      </c>
      <c r="Q129" s="714">
        <f>Bilans_E_AMS_Kyoto_run3_MTE!V464</f>
        <v>44.117114546253134</v>
      </c>
      <c r="R129" s="714">
        <f>Bilans_E_AMS_Kyoto_run3_MTE!W464</f>
        <v>-91.926243378286927</v>
      </c>
      <c r="S129" s="714">
        <f>Bilans_E_AMS_Kyoto_run3_MTE!X464</f>
        <v>0</v>
      </c>
      <c r="T129" s="714">
        <f>Bilans_E_AMS_Kyoto_run3_MTE!Y464</f>
        <v>-5.0632907364324549</v>
      </c>
      <c r="U129" s="714">
        <f>Bilans_E_AMS_Kyoto_run3_MTE!Z464</f>
        <v>2374.7206427153233</v>
      </c>
      <c r="V129" s="701"/>
      <c r="W129" s="701"/>
    </row>
    <row r="130" spans="1:23" x14ac:dyDescent="0.25">
      <c r="A130" s="701"/>
      <c r="B130" s="701"/>
      <c r="C130" s="715"/>
      <c r="D130" s="716"/>
      <c r="E130" s="716"/>
      <c r="F130" s="716"/>
      <c r="G130" s="716"/>
      <c r="H130" s="716"/>
      <c r="I130" s="716"/>
      <c r="J130" s="716"/>
      <c r="K130" s="716"/>
      <c r="L130" s="716"/>
      <c r="M130" s="716"/>
      <c r="N130" s="716"/>
      <c r="O130" s="716"/>
      <c r="P130" s="716">
        <f>Bilans_E_AMS_Kyoto_run3_MTE!T465+Bilans_E_AMS_Kyoto_run3_MTE!U465</f>
        <v>0</v>
      </c>
      <c r="Q130" s="716"/>
      <c r="R130" s="716"/>
      <c r="S130" s="716"/>
      <c r="T130" s="716"/>
      <c r="U130" s="716"/>
      <c r="V130" s="701"/>
      <c r="W130" s="701"/>
    </row>
    <row r="131" spans="1:23" x14ac:dyDescent="0.25">
      <c r="A131" s="701" t="s">
        <v>494</v>
      </c>
      <c r="B131" s="701"/>
      <c r="C131" s="717" t="s">
        <v>67</v>
      </c>
      <c r="D131" s="711">
        <f>Bilans_E_AMS_Kyoto_run3_MTE!H466</f>
        <v>0</v>
      </c>
      <c r="E131" s="711">
        <f>Bilans_E_AMS_Kyoto_run3_MTE!I466</f>
        <v>0</v>
      </c>
      <c r="F131" s="711">
        <f>Bilans_E_AMS_Kyoto_run3_MTE!J466</f>
        <v>0</v>
      </c>
      <c r="G131" s="711">
        <f>Bilans_E_AMS_Kyoto_run3_MTE!K466</f>
        <v>0</v>
      </c>
      <c r="H131" s="711">
        <f>Bilans_E_AMS_Kyoto_run3_MTE!L466</f>
        <v>0</v>
      </c>
      <c r="I131" s="711">
        <f>Bilans_E_AMS_Kyoto_run3_MTE!M466</f>
        <v>0</v>
      </c>
      <c r="J131" s="711">
        <f>Bilans_E_AMS_Kyoto_run3_MTE!N466</f>
        <v>0</v>
      </c>
      <c r="K131" s="711">
        <f>Bilans_E_AMS_Kyoto_run3_MTE!O466</f>
        <v>0</v>
      </c>
      <c r="L131" s="711">
        <f>Bilans_E_AMS_Kyoto_run3_MTE!P466</f>
        <v>0</v>
      </c>
      <c r="M131" s="711">
        <f>Bilans_E_AMS_Kyoto_run3_MTE!Q466</f>
        <v>0</v>
      </c>
      <c r="N131" s="711">
        <f>Bilans_E_AMS_Kyoto_run3_MTE!R466</f>
        <v>0</v>
      </c>
      <c r="O131" s="711">
        <f>Bilans_E_AMS_Kyoto_run3_MTE!S466</f>
        <v>0</v>
      </c>
      <c r="P131" s="711">
        <f>Bilans_E_AMS_Kyoto_run3_MTE!T466+Bilans_E_AMS_Kyoto_run3_MTE!U466</f>
        <v>0</v>
      </c>
      <c r="Q131" s="711">
        <f>Bilans_E_AMS_Kyoto_run3_MTE!V466</f>
        <v>0</v>
      </c>
      <c r="R131" s="711">
        <f>Bilans_E_AMS_Kyoto_run3_MTE!W466</f>
        <v>0</v>
      </c>
      <c r="S131" s="711">
        <f>Bilans_E_AMS_Kyoto_run3_MTE!X466</f>
        <v>0</v>
      </c>
      <c r="T131" s="711">
        <f>Bilans_E_AMS_Kyoto_run3_MTE!Y466</f>
        <v>0</v>
      </c>
      <c r="U131" s="711">
        <f>Bilans_E_AMS_Kyoto_run3_MTE!Z466</f>
        <v>0</v>
      </c>
      <c r="V131" s="701"/>
      <c r="W131" s="701"/>
    </row>
    <row r="132" spans="1:23" x14ac:dyDescent="0.25">
      <c r="A132" s="701" t="s">
        <v>495</v>
      </c>
      <c r="B132" s="701"/>
      <c r="C132" s="717" t="s">
        <v>347</v>
      </c>
      <c r="D132" s="711">
        <f>Bilans_E_AMS_Kyoto_run3_MTE!H467</f>
        <v>0</v>
      </c>
      <c r="E132" s="711">
        <f>Bilans_E_AMS_Kyoto_run3_MTE!I467</f>
        <v>0</v>
      </c>
      <c r="F132" s="711">
        <f>Bilans_E_AMS_Kyoto_run3_MTE!J467</f>
        <v>2.6460781360013397E-2</v>
      </c>
      <c r="G132" s="711">
        <f>Bilans_E_AMS_Kyoto_run3_MTE!K467</f>
        <v>0</v>
      </c>
      <c r="H132" s="711">
        <f>Bilans_E_AMS_Kyoto_run3_MTE!L467</f>
        <v>2.3319683433476327E-3</v>
      </c>
      <c r="I132" s="711">
        <f>Bilans_E_AMS_Kyoto_run3_MTE!M467</f>
        <v>0</v>
      </c>
      <c r="J132" s="711">
        <f>Bilans_E_AMS_Kyoto_run3_MTE!N467</f>
        <v>1094.3390181818181</v>
      </c>
      <c r="K132" s="711">
        <f>Bilans_E_AMS_Kyoto_run3_MTE!O467</f>
        <v>432.558137271254</v>
      </c>
      <c r="L132" s="711">
        <f>Bilans_E_AMS_Kyoto_run3_MTE!P467</f>
        <v>17.878777557508954</v>
      </c>
      <c r="M132" s="711">
        <f>Bilans_E_AMS_Kyoto_run3_MTE!Q467</f>
        <v>5.4304217786079292</v>
      </c>
      <c r="N132" s="711">
        <f>Bilans_E_AMS_Kyoto_run3_MTE!R467</f>
        <v>6.0578717375904887</v>
      </c>
      <c r="O132" s="711">
        <f>Bilans_E_AMS_Kyoto_run3_MTE!S467</f>
        <v>0.11581039979962704</v>
      </c>
      <c r="P132" s="711">
        <f>Bilans_E_AMS_Kyoto_run3_MTE!T467+Bilans_E_AMS_Kyoto_run3_MTE!U467</f>
        <v>0</v>
      </c>
      <c r="Q132" s="711">
        <f>Bilans_E_AMS_Kyoto_run3_MTE!V467</f>
        <v>6.4590957564387725</v>
      </c>
      <c r="R132" s="711">
        <f>Bilans_E_AMS_Kyoto_run3_MTE!W467</f>
        <v>-810.5836017522513</v>
      </c>
      <c r="S132" s="711">
        <f>Bilans_E_AMS_Kyoto_run3_MTE!X467</f>
        <v>0</v>
      </c>
      <c r="T132" s="711">
        <f>Bilans_E_AMS_Kyoto_run3_MTE!Y467</f>
        <v>0</v>
      </c>
      <c r="U132" s="711">
        <f>Bilans_E_AMS_Kyoto_run3_MTE!Z467</f>
        <v>752.28432368046992</v>
      </c>
      <c r="V132" s="701"/>
      <c r="W132" s="701"/>
    </row>
    <row r="133" spans="1:23" x14ac:dyDescent="0.25">
      <c r="A133" s="701" t="s">
        <v>496</v>
      </c>
      <c r="B133" s="701"/>
      <c r="C133" s="717" t="s">
        <v>348</v>
      </c>
      <c r="D133" s="711">
        <f>Bilans_E_AMS_Kyoto_run3_MTE!H468</f>
        <v>0</v>
      </c>
      <c r="E133" s="711">
        <f>Bilans_E_AMS_Kyoto_run3_MTE!I468</f>
        <v>0</v>
      </c>
      <c r="F133" s="711">
        <f>Bilans_E_AMS_Kyoto_run3_MTE!J468</f>
        <v>0</v>
      </c>
      <c r="G133" s="711">
        <f>Bilans_E_AMS_Kyoto_run3_MTE!K468</f>
        <v>0</v>
      </c>
      <c r="H133" s="711">
        <f>Bilans_E_AMS_Kyoto_run3_MTE!L468</f>
        <v>11.361302050509126</v>
      </c>
      <c r="I133" s="711">
        <f>Bilans_E_AMS_Kyoto_run3_MTE!M468</f>
        <v>0.11959265316325396</v>
      </c>
      <c r="J133" s="711">
        <f>Bilans_E_AMS_Kyoto_run3_MTE!N468</f>
        <v>5.2456211148474967</v>
      </c>
      <c r="K133" s="711">
        <f>Bilans_E_AMS_Kyoto_run3_MTE!O468</f>
        <v>0</v>
      </c>
      <c r="L133" s="711">
        <f>Bilans_E_AMS_Kyoto_run3_MTE!P468</f>
        <v>23.710249533581198</v>
      </c>
      <c r="M133" s="711">
        <f>Bilans_E_AMS_Kyoto_run3_MTE!Q468</f>
        <v>12.653124911951959</v>
      </c>
      <c r="N133" s="711">
        <f>Bilans_E_AMS_Kyoto_run3_MTE!R468</f>
        <v>0</v>
      </c>
      <c r="O133" s="711">
        <f>Bilans_E_AMS_Kyoto_run3_MTE!S468</f>
        <v>8.4660785396177261</v>
      </c>
      <c r="P133" s="711">
        <f>Bilans_E_AMS_Kyoto_run3_MTE!T468+Bilans_E_AMS_Kyoto_run3_MTE!U468</f>
        <v>18.404716933116433</v>
      </c>
      <c r="Q133" s="711">
        <f>Bilans_E_AMS_Kyoto_run3_MTE!V468</f>
        <v>13.404801159439005</v>
      </c>
      <c r="R133" s="711">
        <f>Bilans_E_AMS_Kyoto_run3_MTE!W468</f>
        <v>0</v>
      </c>
      <c r="S133" s="711">
        <f>Bilans_E_AMS_Kyoto_run3_MTE!X468</f>
        <v>-86.867525789433259</v>
      </c>
      <c r="T133" s="711">
        <f>Bilans_E_AMS_Kyoto_run3_MTE!Y468</f>
        <v>0</v>
      </c>
      <c r="U133" s="711">
        <f>Bilans_E_AMS_Kyoto_run3_MTE!Z468</f>
        <v>6.4979611067929426</v>
      </c>
      <c r="V133" s="701"/>
      <c r="W133" s="701"/>
    </row>
    <row r="134" spans="1:23" x14ac:dyDescent="0.25">
      <c r="A134" s="701" t="s">
        <v>497</v>
      </c>
      <c r="B134" s="701"/>
      <c r="C134" s="717" t="s">
        <v>349</v>
      </c>
      <c r="D134" s="711">
        <f>Bilans_E_AMS_Kyoto_run3_MTE!H469</f>
        <v>0</v>
      </c>
      <c r="E134" s="711">
        <f>Bilans_E_AMS_Kyoto_run3_MTE!I469</f>
        <v>0</v>
      </c>
      <c r="F134" s="711">
        <f>Bilans_E_AMS_Kyoto_run3_MTE!J469</f>
        <v>0</v>
      </c>
      <c r="G134" s="711">
        <f>Bilans_E_AMS_Kyoto_run3_MTE!K469</f>
        <v>0</v>
      </c>
      <c r="H134" s="711">
        <f>Bilans_E_AMS_Kyoto_run3_MTE!L469</f>
        <v>0</v>
      </c>
      <c r="I134" s="711">
        <f>Bilans_E_AMS_Kyoto_run3_MTE!M469</f>
        <v>0</v>
      </c>
      <c r="J134" s="711">
        <f>Bilans_E_AMS_Kyoto_run3_MTE!N469</f>
        <v>0</v>
      </c>
      <c r="K134" s="711">
        <f>Bilans_E_AMS_Kyoto_run3_MTE!O469</f>
        <v>0</v>
      </c>
      <c r="L134" s="711">
        <f>Bilans_E_AMS_Kyoto_run3_MTE!P469</f>
        <v>138.07928558547806</v>
      </c>
      <c r="M134" s="711">
        <f>Bilans_E_AMS_Kyoto_run3_MTE!Q469</f>
        <v>12.388866886032204</v>
      </c>
      <c r="N134" s="711">
        <f>Bilans_E_AMS_Kyoto_run3_MTE!R469</f>
        <v>0</v>
      </c>
      <c r="O134" s="711">
        <f>Bilans_E_AMS_Kyoto_run3_MTE!S469</f>
        <v>-75.318683922078151</v>
      </c>
      <c r="P134" s="711">
        <f>Bilans_E_AMS_Kyoto_run3_MTE!T469+Bilans_E_AMS_Kyoto_run3_MTE!U469</f>
        <v>0</v>
      </c>
      <c r="Q134" s="711">
        <f>Bilans_E_AMS_Kyoto_run3_MTE!V469</f>
        <v>0</v>
      </c>
      <c r="R134" s="711">
        <f>Bilans_E_AMS_Kyoto_run3_MTE!W469</f>
        <v>0</v>
      </c>
      <c r="S134" s="711">
        <f>Bilans_E_AMS_Kyoto_run3_MTE!X469</f>
        <v>0</v>
      </c>
      <c r="T134" s="711">
        <f>Bilans_E_AMS_Kyoto_run3_MTE!Y469</f>
        <v>0</v>
      </c>
      <c r="U134" s="711">
        <f>Bilans_E_AMS_Kyoto_run3_MTE!Z469</f>
        <v>75.149468549432129</v>
      </c>
      <c r="V134" s="701"/>
      <c r="W134" s="701"/>
    </row>
    <row r="135" spans="1:23" x14ac:dyDescent="0.25">
      <c r="A135" s="701" t="s">
        <v>498</v>
      </c>
      <c r="B135" s="701"/>
      <c r="C135" s="717" t="s">
        <v>350</v>
      </c>
      <c r="D135" s="711">
        <f>Bilans_E_AMS_Kyoto_run3_MTE!H470</f>
        <v>0</v>
      </c>
      <c r="E135" s="711">
        <f>Bilans_E_AMS_Kyoto_run3_MTE!I470</f>
        <v>0</v>
      </c>
      <c r="F135" s="711">
        <f>Bilans_E_AMS_Kyoto_run3_MTE!J470</f>
        <v>0</v>
      </c>
      <c r="G135" s="711">
        <f>Bilans_E_AMS_Kyoto_run3_MTE!K470</f>
        <v>0</v>
      </c>
      <c r="H135" s="711">
        <f>Bilans_E_AMS_Kyoto_run3_MTE!L470</f>
        <v>0</v>
      </c>
      <c r="I135" s="711">
        <f>Bilans_E_AMS_Kyoto_run3_MTE!M470</f>
        <v>-2.6425947059180688</v>
      </c>
      <c r="J135" s="711">
        <f>Bilans_E_AMS_Kyoto_run3_MTE!N470</f>
        <v>0</v>
      </c>
      <c r="K135" s="711">
        <f>Bilans_E_AMS_Kyoto_run3_MTE!O470</f>
        <v>0</v>
      </c>
      <c r="L135" s="711">
        <f>Bilans_E_AMS_Kyoto_run3_MTE!P470</f>
        <v>0</v>
      </c>
      <c r="M135" s="711">
        <f>Bilans_E_AMS_Kyoto_run3_MTE!Q470</f>
        <v>0</v>
      </c>
      <c r="N135" s="711">
        <f>Bilans_E_AMS_Kyoto_run3_MTE!R470</f>
        <v>0</v>
      </c>
      <c r="O135" s="711">
        <f>Bilans_E_AMS_Kyoto_run3_MTE!S470</f>
        <v>0</v>
      </c>
      <c r="P135" s="711">
        <f>Bilans_E_AMS_Kyoto_run3_MTE!T470+Bilans_E_AMS_Kyoto_run3_MTE!U470</f>
        <v>0</v>
      </c>
      <c r="Q135" s="711">
        <f>Bilans_E_AMS_Kyoto_run3_MTE!V470</f>
        <v>0</v>
      </c>
      <c r="R135" s="711">
        <f>Bilans_E_AMS_Kyoto_run3_MTE!W470</f>
        <v>0</v>
      </c>
      <c r="S135" s="711">
        <f>Bilans_E_AMS_Kyoto_run3_MTE!X470</f>
        <v>0</v>
      </c>
      <c r="T135" s="711">
        <f>Bilans_E_AMS_Kyoto_run3_MTE!Y470</f>
        <v>3.6634319020026336</v>
      </c>
      <c r="U135" s="711">
        <f>Bilans_E_AMS_Kyoto_run3_MTE!Z470</f>
        <v>1.0208371960845648</v>
      </c>
      <c r="V135" s="701"/>
      <c r="W135" s="701"/>
    </row>
    <row r="136" spans="1:23" x14ac:dyDescent="0.25">
      <c r="A136" s="701" t="s">
        <v>499</v>
      </c>
      <c r="B136" s="701"/>
      <c r="C136" s="717" t="s">
        <v>72</v>
      </c>
      <c r="D136" s="711">
        <f>Bilans_E_AMS_Kyoto_run3_MTE!H471</f>
        <v>0</v>
      </c>
      <c r="E136" s="711">
        <f>Bilans_E_AMS_Kyoto_run3_MTE!I471</f>
        <v>183.99004915233374</v>
      </c>
      <c r="F136" s="711">
        <f>Bilans_E_AMS_Kyoto_run3_MTE!J471</f>
        <v>-182.1501486608104</v>
      </c>
      <c r="G136" s="711">
        <f>Bilans_E_AMS_Kyoto_run3_MTE!K471</f>
        <v>0</v>
      </c>
      <c r="H136" s="711">
        <f>Bilans_E_AMS_Kyoto_run3_MTE!L471</f>
        <v>0</v>
      </c>
      <c r="I136" s="711">
        <f>Bilans_E_AMS_Kyoto_run3_MTE!M471</f>
        <v>0</v>
      </c>
      <c r="J136" s="711">
        <f>Bilans_E_AMS_Kyoto_run3_MTE!N471</f>
        <v>0</v>
      </c>
      <c r="K136" s="711">
        <f>Bilans_E_AMS_Kyoto_run3_MTE!O471</f>
        <v>0</v>
      </c>
      <c r="L136" s="711">
        <f>Bilans_E_AMS_Kyoto_run3_MTE!P471</f>
        <v>0</v>
      </c>
      <c r="M136" s="711">
        <f>Bilans_E_AMS_Kyoto_run3_MTE!Q471</f>
        <v>0</v>
      </c>
      <c r="N136" s="711">
        <f>Bilans_E_AMS_Kyoto_run3_MTE!R471</f>
        <v>0</v>
      </c>
      <c r="O136" s="711">
        <f>Bilans_E_AMS_Kyoto_run3_MTE!S471</f>
        <v>0</v>
      </c>
      <c r="P136" s="711">
        <f>Bilans_E_AMS_Kyoto_run3_MTE!T471+Bilans_E_AMS_Kyoto_run3_MTE!U471</f>
        <v>0</v>
      </c>
      <c r="Q136" s="711">
        <f>Bilans_E_AMS_Kyoto_run3_MTE!V471</f>
        <v>0</v>
      </c>
      <c r="R136" s="711">
        <f>Bilans_E_AMS_Kyoto_run3_MTE!W471</f>
        <v>0</v>
      </c>
      <c r="S136" s="711">
        <f>Bilans_E_AMS_Kyoto_run3_MTE!X471</f>
        <v>0</v>
      </c>
      <c r="T136" s="711">
        <f>Bilans_E_AMS_Kyoto_run3_MTE!Y471</f>
        <v>0</v>
      </c>
      <c r="U136" s="711">
        <f>Bilans_E_AMS_Kyoto_run3_MTE!Z471</f>
        <v>1.8399004915233377</v>
      </c>
      <c r="V136" s="701"/>
      <c r="W136" s="701"/>
    </row>
    <row r="137" spans="1:23" x14ac:dyDescent="0.25">
      <c r="A137" s="701" t="s">
        <v>500</v>
      </c>
      <c r="B137" s="701"/>
      <c r="C137" s="717" t="s">
        <v>351</v>
      </c>
      <c r="D137" s="711">
        <f>Bilans_E_AMS_Kyoto_run3_MTE!H472</f>
        <v>0</v>
      </c>
      <c r="E137" s="711">
        <f>Bilans_E_AMS_Kyoto_run3_MTE!I472</f>
        <v>0</v>
      </c>
      <c r="F137" s="711">
        <f>Bilans_E_AMS_Kyoto_run3_MTE!J472</f>
        <v>0</v>
      </c>
      <c r="G137" s="711">
        <f>Bilans_E_AMS_Kyoto_run3_MTE!K472</f>
        <v>0</v>
      </c>
      <c r="H137" s="711">
        <f>Bilans_E_AMS_Kyoto_run3_MTE!L472</f>
        <v>0</v>
      </c>
      <c r="I137" s="711">
        <f>Bilans_E_AMS_Kyoto_run3_MTE!M472</f>
        <v>0</v>
      </c>
      <c r="J137" s="711">
        <f>Bilans_E_AMS_Kyoto_run3_MTE!N472</f>
        <v>0</v>
      </c>
      <c r="K137" s="711">
        <f>Bilans_E_AMS_Kyoto_run3_MTE!O472</f>
        <v>0</v>
      </c>
      <c r="L137" s="711">
        <f>Bilans_E_AMS_Kyoto_run3_MTE!P472</f>
        <v>98.264059426631164</v>
      </c>
      <c r="M137" s="711">
        <f>Bilans_E_AMS_Kyoto_run3_MTE!Q472</f>
        <v>7.2727272727272725</v>
      </c>
      <c r="N137" s="711">
        <f>Bilans_E_AMS_Kyoto_run3_MTE!R472</f>
        <v>-58.881352983692381</v>
      </c>
      <c r="O137" s="711">
        <f>Bilans_E_AMS_Kyoto_run3_MTE!S472</f>
        <v>0</v>
      </c>
      <c r="P137" s="711">
        <f>Bilans_E_AMS_Kyoto_run3_MTE!T472+Bilans_E_AMS_Kyoto_run3_MTE!U472</f>
        <v>0</v>
      </c>
      <c r="Q137" s="711">
        <f>Bilans_E_AMS_Kyoto_run3_MTE!V472</f>
        <v>0</v>
      </c>
      <c r="R137" s="711">
        <f>Bilans_E_AMS_Kyoto_run3_MTE!W472</f>
        <v>0</v>
      </c>
      <c r="S137" s="711">
        <f>Bilans_E_AMS_Kyoto_run3_MTE!X472</f>
        <v>0</v>
      </c>
      <c r="T137" s="711">
        <f>Bilans_E_AMS_Kyoto_run3_MTE!Y472</f>
        <v>0</v>
      </c>
      <c r="U137" s="711">
        <f>Bilans_E_AMS_Kyoto_run3_MTE!Z472</f>
        <v>46.655433715666049</v>
      </c>
      <c r="V137" s="701"/>
      <c r="W137" s="701"/>
    </row>
    <row r="138" spans="1:23" x14ac:dyDescent="0.25">
      <c r="A138" s="701" t="s">
        <v>501</v>
      </c>
      <c r="B138" s="701"/>
      <c r="C138" s="717" t="s">
        <v>352</v>
      </c>
      <c r="D138" s="711">
        <f>Bilans_E_AMS_Kyoto_run3_MTE!H473</f>
        <v>0</v>
      </c>
      <c r="E138" s="711">
        <f>Bilans_E_AMS_Kyoto_run3_MTE!I473</f>
        <v>0</v>
      </c>
      <c r="F138" s="711">
        <f>Bilans_E_AMS_Kyoto_run3_MTE!J473</f>
        <v>0</v>
      </c>
      <c r="G138" s="711">
        <f>Bilans_E_AMS_Kyoto_run3_MTE!K473</f>
        <v>-10.918730471145594</v>
      </c>
      <c r="H138" s="711">
        <f>Bilans_E_AMS_Kyoto_run3_MTE!L473</f>
        <v>0</v>
      </c>
      <c r="I138" s="711">
        <f>Bilans_E_AMS_Kyoto_run3_MTE!M473</f>
        <v>0</v>
      </c>
      <c r="J138" s="711">
        <f>Bilans_E_AMS_Kyoto_run3_MTE!N473</f>
        <v>0</v>
      </c>
      <c r="K138" s="711">
        <f>Bilans_E_AMS_Kyoto_run3_MTE!O473</f>
        <v>0</v>
      </c>
      <c r="L138" s="711">
        <f>Bilans_E_AMS_Kyoto_run3_MTE!P473</f>
        <v>0</v>
      </c>
      <c r="M138" s="711">
        <f>Bilans_E_AMS_Kyoto_run3_MTE!Q473</f>
        <v>0</v>
      </c>
      <c r="N138" s="711">
        <f>Bilans_E_AMS_Kyoto_run3_MTE!R473</f>
        <v>0</v>
      </c>
      <c r="O138" s="711">
        <f>Bilans_E_AMS_Kyoto_run3_MTE!S473</f>
        <v>0</v>
      </c>
      <c r="P138" s="711">
        <f>Bilans_E_AMS_Kyoto_run3_MTE!T473+Bilans_E_AMS_Kyoto_run3_MTE!U473</f>
        <v>0</v>
      </c>
      <c r="Q138" s="711">
        <f>Bilans_E_AMS_Kyoto_run3_MTE!V473</f>
        <v>0</v>
      </c>
      <c r="R138" s="711">
        <f>Bilans_E_AMS_Kyoto_run3_MTE!W473</f>
        <v>0</v>
      </c>
      <c r="S138" s="711">
        <f>Bilans_E_AMS_Kyoto_run3_MTE!X473</f>
        <v>0</v>
      </c>
      <c r="T138" s="711">
        <f>Bilans_E_AMS_Kyoto_run3_MTE!Y473</f>
        <v>18.115603518260158</v>
      </c>
      <c r="U138" s="711">
        <f>Bilans_E_AMS_Kyoto_run3_MTE!Z473</f>
        <v>7.1968730471145648</v>
      </c>
      <c r="V138" s="701"/>
      <c r="W138" s="701"/>
    </row>
    <row r="139" spans="1:23" x14ac:dyDescent="0.25">
      <c r="A139" s="701" t="s">
        <v>502</v>
      </c>
      <c r="B139" s="701"/>
      <c r="C139" s="717" t="s">
        <v>73</v>
      </c>
      <c r="D139" s="711">
        <f>Bilans_E_AMS_Kyoto_run3_MTE!H474</f>
        <v>0</v>
      </c>
      <c r="E139" s="711">
        <f>Bilans_E_AMS_Kyoto_run3_MTE!I474</f>
        <v>0</v>
      </c>
      <c r="F139" s="711">
        <f>Bilans_E_AMS_Kyoto_run3_MTE!J474</f>
        <v>0</v>
      </c>
      <c r="G139" s="711">
        <f>Bilans_E_AMS_Kyoto_run3_MTE!K474</f>
        <v>0</v>
      </c>
      <c r="H139" s="711">
        <f>Bilans_E_AMS_Kyoto_run3_MTE!L474</f>
        <v>0</v>
      </c>
      <c r="I139" s="711">
        <f>Bilans_E_AMS_Kyoto_run3_MTE!M474</f>
        <v>0</v>
      </c>
      <c r="J139" s="711">
        <f>Bilans_E_AMS_Kyoto_run3_MTE!N474</f>
        <v>0</v>
      </c>
      <c r="K139" s="711">
        <f>Bilans_E_AMS_Kyoto_run3_MTE!O474</f>
        <v>0</v>
      </c>
      <c r="L139" s="711">
        <f>Bilans_E_AMS_Kyoto_run3_MTE!P474</f>
        <v>0</v>
      </c>
      <c r="M139" s="711">
        <f>Bilans_E_AMS_Kyoto_run3_MTE!Q474</f>
        <v>0</v>
      </c>
      <c r="N139" s="711">
        <f>Bilans_E_AMS_Kyoto_run3_MTE!R474</f>
        <v>0</v>
      </c>
      <c r="O139" s="711">
        <f>Bilans_E_AMS_Kyoto_run3_MTE!S474</f>
        <v>0</v>
      </c>
      <c r="P139" s="711">
        <f>Bilans_E_AMS_Kyoto_run3_MTE!T474+Bilans_E_AMS_Kyoto_run3_MTE!U474</f>
        <v>0</v>
      </c>
      <c r="Q139" s="711">
        <f>Bilans_E_AMS_Kyoto_run3_MTE!V474</f>
        <v>0</v>
      </c>
      <c r="R139" s="711">
        <f>Bilans_E_AMS_Kyoto_run3_MTE!W474</f>
        <v>71.82433773705074</v>
      </c>
      <c r="S139" s="711">
        <f>Bilans_E_AMS_Kyoto_run3_MTE!X474</f>
        <v>0</v>
      </c>
      <c r="T139" s="711">
        <f>Bilans_E_AMS_Kyoto_run3_MTE!Y474</f>
        <v>-49.953826896118791</v>
      </c>
      <c r="U139" s="711">
        <f>Bilans_E_AMS_Kyoto_run3_MTE!Z474</f>
        <v>21.870510840931949</v>
      </c>
      <c r="V139" s="701"/>
      <c r="W139" s="701"/>
    </row>
    <row r="140" spans="1:23" x14ac:dyDescent="0.25">
      <c r="A140" s="701" t="s">
        <v>503</v>
      </c>
      <c r="B140" s="701"/>
      <c r="C140" s="717" t="s">
        <v>353</v>
      </c>
      <c r="D140" s="711">
        <f>Bilans_E_AMS_Kyoto_run3_MTE!H475</f>
        <v>3.2800345312500001</v>
      </c>
      <c r="E140" s="711">
        <f>Bilans_E_AMS_Kyoto_run3_MTE!I475</f>
        <v>-6.4350233154386336</v>
      </c>
      <c r="F140" s="711">
        <f>Bilans_E_AMS_Kyoto_run3_MTE!J475</f>
        <v>8.5665829244642584</v>
      </c>
      <c r="G140" s="711">
        <f>Bilans_E_AMS_Kyoto_run3_MTE!K475</f>
        <v>0</v>
      </c>
      <c r="H140" s="711">
        <f>Bilans_E_AMS_Kyoto_run3_MTE!L475</f>
        <v>0</v>
      </c>
      <c r="I140" s="711">
        <f>Bilans_E_AMS_Kyoto_run3_MTE!M475</f>
        <v>0</v>
      </c>
      <c r="J140" s="711">
        <f>Bilans_E_AMS_Kyoto_run3_MTE!N475</f>
        <v>0</v>
      </c>
      <c r="K140" s="711">
        <f>Bilans_E_AMS_Kyoto_run3_MTE!O475</f>
        <v>0</v>
      </c>
      <c r="L140" s="711">
        <f>Bilans_E_AMS_Kyoto_run3_MTE!P475</f>
        <v>0</v>
      </c>
      <c r="M140" s="711">
        <f>Bilans_E_AMS_Kyoto_run3_MTE!Q475</f>
        <v>0</v>
      </c>
      <c r="N140" s="711">
        <f>Bilans_E_AMS_Kyoto_run3_MTE!R475</f>
        <v>0</v>
      </c>
      <c r="O140" s="711">
        <f>Bilans_E_AMS_Kyoto_run3_MTE!S475</f>
        <v>0</v>
      </c>
      <c r="P140" s="711">
        <f>Bilans_E_AMS_Kyoto_run3_MTE!T475+Bilans_E_AMS_Kyoto_run3_MTE!U475</f>
        <v>0</v>
      </c>
      <c r="Q140" s="711">
        <f>Bilans_E_AMS_Kyoto_run3_MTE!V475</f>
        <v>0</v>
      </c>
      <c r="R140" s="711">
        <f>Bilans_E_AMS_Kyoto_run3_MTE!W475</f>
        <v>0</v>
      </c>
      <c r="S140" s="711">
        <f>Bilans_E_AMS_Kyoto_run3_MTE!X475</f>
        <v>0</v>
      </c>
      <c r="T140" s="711">
        <f>Bilans_E_AMS_Kyoto_run3_MTE!Y475</f>
        <v>0</v>
      </c>
      <c r="U140" s="711">
        <f>Bilans_E_AMS_Kyoto_run3_MTE!Z475</f>
        <v>5.4115941402756249</v>
      </c>
      <c r="V140" s="701"/>
      <c r="W140" s="701"/>
    </row>
    <row r="141" spans="1:23" x14ac:dyDescent="0.25">
      <c r="A141" s="701" t="s">
        <v>504</v>
      </c>
      <c r="B141" s="701"/>
      <c r="C141" s="717" t="s">
        <v>75</v>
      </c>
      <c r="D141" s="711">
        <f>Bilans_E_AMS_Kyoto_run3_MTE!H476</f>
        <v>1.2755689843750002</v>
      </c>
      <c r="E141" s="711">
        <f>Bilans_E_AMS_Kyoto_run3_MTE!I476</f>
        <v>0</v>
      </c>
      <c r="F141" s="711">
        <f>Bilans_E_AMS_Kyoto_run3_MTE!J476</f>
        <v>6.4072238182271617</v>
      </c>
      <c r="G141" s="711">
        <f>Bilans_E_AMS_Kyoto_run3_MTE!K476</f>
        <v>0</v>
      </c>
      <c r="H141" s="711">
        <f>Bilans_E_AMS_Kyoto_run3_MTE!L476</f>
        <v>0</v>
      </c>
      <c r="I141" s="711">
        <f>Bilans_E_AMS_Kyoto_run3_MTE!M476</f>
        <v>0</v>
      </c>
      <c r="J141" s="711">
        <f>Bilans_E_AMS_Kyoto_run3_MTE!N476</f>
        <v>0</v>
      </c>
      <c r="K141" s="711">
        <f>Bilans_E_AMS_Kyoto_run3_MTE!O476</f>
        <v>0</v>
      </c>
      <c r="L141" s="711">
        <f>Bilans_E_AMS_Kyoto_run3_MTE!P476</f>
        <v>0</v>
      </c>
      <c r="M141" s="711">
        <f>Bilans_E_AMS_Kyoto_run3_MTE!Q476</f>
        <v>0</v>
      </c>
      <c r="N141" s="711">
        <f>Bilans_E_AMS_Kyoto_run3_MTE!R476</f>
        <v>0</v>
      </c>
      <c r="O141" s="711">
        <f>Bilans_E_AMS_Kyoto_run3_MTE!S476</f>
        <v>0</v>
      </c>
      <c r="P141" s="711">
        <f>Bilans_E_AMS_Kyoto_run3_MTE!T476+Bilans_E_AMS_Kyoto_run3_MTE!U476</f>
        <v>0</v>
      </c>
      <c r="Q141" s="711">
        <f>Bilans_E_AMS_Kyoto_run3_MTE!V476</f>
        <v>0</v>
      </c>
      <c r="R141" s="711">
        <f>Bilans_E_AMS_Kyoto_run3_MTE!W476</f>
        <v>38.57687969589584</v>
      </c>
      <c r="S141" s="711">
        <f>Bilans_E_AMS_Kyoto_run3_MTE!X476</f>
        <v>0</v>
      </c>
      <c r="T141" s="711">
        <f>Bilans_E_AMS_Kyoto_run3_MTE!Y476</f>
        <v>1.8110857498187163</v>
      </c>
      <c r="U141" s="711">
        <f>Bilans_E_AMS_Kyoto_run3_MTE!Z476</f>
        <v>48.070758248316722</v>
      </c>
      <c r="V141" s="701"/>
      <c r="W141" s="701"/>
    </row>
    <row r="142" spans="1:23" x14ac:dyDescent="0.25">
      <c r="A142" s="701" t="s">
        <v>505</v>
      </c>
      <c r="B142" s="701"/>
      <c r="C142" s="717" t="s">
        <v>76</v>
      </c>
      <c r="D142" s="711">
        <f>Bilans_E_AMS_Kyoto_run3_MTE!H477</f>
        <v>0</v>
      </c>
      <c r="E142" s="711">
        <f>Bilans_E_AMS_Kyoto_run3_MTE!I477</f>
        <v>0</v>
      </c>
      <c r="F142" s="711">
        <f>Bilans_E_AMS_Kyoto_run3_MTE!J477</f>
        <v>0</v>
      </c>
      <c r="G142" s="711">
        <f>Bilans_E_AMS_Kyoto_run3_MTE!K477</f>
        <v>0</v>
      </c>
      <c r="H142" s="711">
        <f>Bilans_E_AMS_Kyoto_run3_MTE!L477</f>
        <v>0.98381967017411598</v>
      </c>
      <c r="I142" s="711">
        <f>Bilans_E_AMS_Kyoto_run3_MTE!M477</f>
        <v>1.0355996528148588E-2</v>
      </c>
      <c r="J142" s="711">
        <f>Bilans_E_AMS_Kyoto_run3_MTE!N477</f>
        <v>0</v>
      </c>
      <c r="K142" s="711">
        <f>Bilans_E_AMS_Kyoto_run3_MTE!O477</f>
        <v>0</v>
      </c>
      <c r="L142" s="711">
        <f>Bilans_E_AMS_Kyoto_run3_MTE!P477</f>
        <v>0</v>
      </c>
      <c r="M142" s="711">
        <f>Bilans_E_AMS_Kyoto_run3_MTE!Q477</f>
        <v>0</v>
      </c>
      <c r="N142" s="711">
        <f>Bilans_E_AMS_Kyoto_run3_MTE!R477</f>
        <v>0</v>
      </c>
      <c r="O142" s="711">
        <f>Bilans_E_AMS_Kyoto_run3_MTE!S477</f>
        <v>0.73182375465583349</v>
      </c>
      <c r="P142" s="711">
        <f>Bilans_E_AMS_Kyoto_run3_MTE!T477+Bilans_E_AMS_Kyoto_run3_MTE!U477</f>
        <v>0</v>
      </c>
      <c r="Q142" s="711">
        <f>Bilans_E_AMS_Kyoto_run3_MTE!V477</f>
        <v>0</v>
      </c>
      <c r="R142" s="711">
        <f>Bilans_E_AMS_Kyoto_run3_MTE!W477</f>
        <v>58.720759743857542</v>
      </c>
      <c r="S142" s="711">
        <f>Bilans_E_AMS_Kyoto_run3_MTE!X477</f>
        <v>6.7361736922382924</v>
      </c>
      <c r="T142" s="711">
        <f>Bilans_E_AMS_Kyoto_run3_MTE!Y477</f>
        <v>0</v>
      </c>
      <c r="U142" s="711">
        <f>Bilans_E_AMS_Kyoto_run3_MTE!Z477</f>
        <v>67.182932857453935</v>
      </c>
      <c r="V142" s="701"/>
      <c r="W142" s="701"/>
    </row>
    <row r="143" spans="1:23" x14ac:dyDescent="0.25">
      <c r="A143" s="701" t="s">
        <v>506</v>
      </c>
      <c r="B143" s="701"/>
      <c r="C143" s="713" t="s">
        <v>77</v>
      </c>
      <c r="D143" s="714">
        <f>Bilans_E_AMS_Kyoto_run3_MTE!H478</f>
        <v>4.5556035156250001</v>
      </c>
      <c r="E143" s="714">
        <f>Bilans_E_AMS_Kyoto_run3_MTE!I478</f>
        <v>177.55502583689511</v>
      </c>
      <c r="F143" s="714">
        <f>Bilans_E_AMS_Kyoto_run3_MTE!J478</f>
        <v>-167.14988113675898</v>
      </c>
      <c r="G143" s="714">
        <f>Bilans_E_AMS_Kyoto_run3_MTE!K478</f>
        <v>-10.918730471145594</v>
      </c>
      <c r="H143" s="714">
        <f>Bilans_E_AMS_Kyoto_run3_MTE!L478</f>
        <v>12.34745368902659</v>
      </c>
      <c r="I143" s="714">
        <f>Bilans_E_AMS_Kyoto_run3_MTE!M478</f>
        <v>-2.5126460562266661</v>
      </c>
      <c r="J143" s="714">
        <f>Bilans_E_AMS_Kyoto_run3_MTE!N478</f>
        <v>1099.5846392966657</v>
      </c>
      <c r="K143" s="714">
        <f>Bilans_E_AMS_Kyoto_run3_MTE!O478</f>
        <v>432.558137271254</v>
      </c>
      <c r="L143" s="714">
        <f>Bilans_E_AMS_Kyoto_run3_MTE!P478</f>
        <v>277.93237210319938</v>
      </c>
      <c r="M143" s="714">
        <f>Bilans_E_AMS_Kyoto_run3_MTE!Q478</f>
        <v>37.745140849319363</v>
      </c>
      <c r="N143" s="714">
        <f>Bilans_E_AMS_Kyoto_run3_MTE!R478</f>
        <v>-52.823481246101892</v>
      </c>
      <c r="O143" s="714">
        <f>Bilans_E_AMS_Kyoto_run3_MTE!S478</f>
        <v>-66.004971228004962</v>
      </c>
      <c r="P143" s="714">
        <f>Bilans_E_AMS_Kyoto_run3_MTE!T478+Bilans_E_AMS_Kyoto_run3_MTE!U478</f>
        <v>18.404716933116433</v>
      </c>
      <c r="Q143" s="714">
        <f>Bilans_E_AMS_Kyoto_run3_MTE!V478</f>
        <v>19.863896915877778</v>
      </c>
      <c r="R143" s="714">
        <f>Bilans_E_AMS_Kyoto_run3_MTE!W478</f>
        <v>-641.4616245754471</v>
      </c>
      <c r="S143" s="714">
        <f>Bilans_E_AMS_Kyoto_run3_MTE!X478</f>
        <v>-80.131352097194963</v>
      </c>
      <c r="T143" s="714">
        <f>Bilans_E_AMS_Kyoto_run3_MTE!Y478</f>
        <v>-26.363705726037281</v>
      </c>
      <c r="U143" s="714">
        <f>Bilans_E_AMS_Kyoto_run3_MTE!Z478</f>
        <v>1033.1805938740617</v>
      </c>
      <c r="V143" s="701"/>
      <c r="W143" s="701"/>
    </row>
    <row r="144" spans="1:23" x14ac:dyDescent="0.25">
      <c r="A144" s="701"/>
      <c r="B144" s="701"/>
      <c r="C144" s="715"/>
      <c r="D144" s="716"/>
      <c r="E144" s="716"/>
      <c r="F144" s="716"/>
      <c r="G144" s="716"/>
      <c r="H144" s="716"/>
      <c r="I144" s="716"/>
      <c r="J144" s="716"/>
      <c r="K144" s="716"/>
      <c r="L144" s="716"/>
      <c r="M144" s="716"/>
      <c r="N144" s="716"/>
      <c r="O144" s="716"/>
      <c r="P144" s="716">
        <f>Bilans_E_AMS_Kyoto_run3_MTE!T479+Bilans_E_AMS_Kyoto_run3_MTE!U479</f>
        <v>0</v>
      </c>
      <c r="Q144" s="716"/>
      <c r="R144" s="716"/>
      <c r="S144" s="716"/>
      <c r="T144" s="716"/>
      <c r="U144" s="716"/>
      <c r="V144" s="701"/>
      <c r="W144" s="701"/>
    </row>
    <row r="145" spans="1:23" x14ac:dyDescent="0.25">
      <c r="A145" s="701" t="s">
        <v>507</v>
      </c>
      <c r="B145" s="701"/>
      <c r="C145" s="717" t="s">
        <v>78</v>
      </c>
      <c r="D145" s="711">
        <f>Bilans_E_AMS_Kyoto_run3_MTE!H480</f>
        <v>0.16342834472656248</v>
      </c>
      <c r="E145" s="711">
        <f>Bilans_E_AMS_Kyoto_run3_MTE!I480</f>
        <v>0</v>
      </c>
      <c r="F145" s="711">
        <f>Bilans_E_AMS_Kyoto_run3_MTE!J480</f>
        <v>1.192335444968337</v>
      </c>
      <c r="G145" s="711">
        <f>Bilans_E_AMS_Kyoto_run3_MTE!K480</f>
        <v>0</v>
      </c>
      <c r="H145" s="711">
        <f>Bilans_E_AMS_Kyoto_run3_MTE!L480</f>
        <v>32.001904580711056</v>
      </c>
      <c r="I145" s="711">
        <f>Bilans_E_AMS_Kyoto_run3_MTE!M480</f>
        <v>0.33686215348116894</v>
      </c>
      <c r="J145" s="711">
        <f>Bilans_E_AMS_Kyoto_run3_MTE!N480</f>
        <v>0</v>
      </c>
      <c r="K145" s="711">
        <f>Bilans_E_AMS_Kyoto_run3_MTE!O480</f>
        <v>0</v>
      </c>
      <c r="L145" s="711">
        <f>Bilans_E_AMS_Kyoto_run3_MTE!P480</f>
        <v>35.925037819448683</v>
      </c>
      <c r="M145" s="711">
        <f>Bilans_E_AMS_Kyoto_run3_MTE!Q480</f>
        <v>8.355944349353404</v>
      </c>
      <c r="N145" s="711">
        <f>Bilans_E_AMS_Kyoto_run3_MTE!R480</f>
        <v>0.41126405446607639</v>
      </c>
      <c r="O145" s="711">
        <f>Bilans_E_AMS_Kyoto_run3_MTE!S480</f>
        <v>23.845200759921546</v>
      </c>
      <c r="P145" s="711">
        <f>Bilans_E_AMS_Kyoto_run3_MTE!T480+Bilans_E_AMS_Kyoto_run3_MTE!U480</f>
        <v>12.595482421874999</v>
      </c>
      <c r="Q145" s="711">
        <f>Bilans_E_AMS_Kyoto_run3_MTE!V480</f>
        <v>8.2107689234467234E-4</v>
      </c>
      <c r="R145" s="711">
        <f>Bilans_E_AMS_Kyoto_run3_MTE!W480</f>
        <v>157.38101577829286</v>
      </c>
      <c r="S145" s="711">
        <f>Bilans_E_AMS_Kyoto_run3_MTE!X480</f>
        <v>19.581895205138572</v>
      </c>
      <c r="T145" s="711">
        <f>Bilans_E_AMS_Kyoto_run3_MTE!Y480</f>
        <v>11.602856445312501</v>
      </c>
      <c r="U145" s="711">
        <f>Bilans_E_AMS_Kyoto_run3_MTE!Z480</f>
        <v>303.39404843458811</v>
      </c>
      <c r="V145" s="701"/>
      <c r="W145" s="701"/>
    </row>
    <row r="146" spans="1:23" x14ac:dyDescent="0.25">
      <c r="A146" s="701" t="s">
        <v>508</v>
      </c>
      <c r="B146" s="701"/>
      <c r="C146" s="717" t="s">
        <v>79</v>
      </c>
      <c r="D146" s="711">
        <f>Bilans_E_AMS_Kyoto_run3_MTE!H481</f>
        <v>0</v>
      </c>
      <c r="E146" s="711">
        <f>Bilans_E_AMS_Kyoto_run3_MTE!I481</f>
        <v>0</v>
      </c>
      <c r="F146" s="711">
        <f>Bilans_E_AMS_Kyoto_run3_MTE!J481</f>
        <v>57.415221307039587</v>
      </c>
      <c r="G146" s="711">
        <f>Bilans_E_AMS_Kyoto_run3_MTE!K481</f>
        <v>1.6</v>
      </c>
      <c r="H146" s="711">
        <f>Bilans_E_AMS_Kyoto_run3_MTE!L481</f>
        <v>4.3056781164291928</v>
      </c>
      <c r="I146" s="711">
        <f>Bilans_E_AMS_Kyoto_run3_MTE!M481</f>
        <v>4.5322927541359921E-2</v>
      </c>
      <c r="J146" s="711">
        <f>Bilans_E_AMS_Kyoto_run3_MTE!N481</f>
        <v>0</v>
      </c>
      <c r="K146" s="711">
        <f>Bilans_E_AMS_Kyoto_run3_MTE!O481</f>
        <v>0</v>
      </c>
      <c r="L146" s="711">
        <f>Bilans_E_AMS_Kyoto_run3_MTE!P481</f>
        <v>0</v>
      </c>
      <c r="M146" s="711">
        <f>Bilans_E_AMS_Kyoto_run3_MTE!Q481</f>
        <v>0</v>
      </c>
      <c r="N146" s="711">
        <f>Bilans_E_AMS_Kyoto_run3_MTE!R481</f>
        <v>31.800952318042711</v>
      </c>
      <c r="O146" s="711">
        <f>Bilans_E_AMS_Kyoto_run3_MTE!S481</f>
        <v>3.2028202129227674</v>
      </c>
      <c r="P146" s="711">
        <f>Bilans_E_AMS_Kyoto_run3_MTE!T481+Bilans_E_AMS_Kyoto_run3_MTE!U481</f>
        <v>0</v>
      </c>
      <c r="Q146" s="711">
        <f>Bilans_E_AMS_Kyoto_run3_MTE!V481</f>
        <v>0</v>
      </c>
      <c r="R146" s="711">
        <f>Bilans_E_AMS_Kyoto_run3_MTE!W481</f>
        <v>112.28525884459542</v>
      </c>
      <c r="S146" s="711">
        <f>Bilans_E_AMS_Kyoto_run3_MTE!X481</f>
        <v>0</v>
      </c>
      <c r="T146" s="711">
        <f>Bilans_E_AMS_Kyoto_run3_MTE!Y481</f>
        <v>5.8069925085288689</v>
      </c>
      <c r="U146" s="711">
        <f>Bilans_E_AMS_Kyoto_run3_MTE!Z481</f>
        <v>216.46224623509994</v>
      </c>
      <c r="V146" s="701"/>
      <c r="W146" s="701"/>
    </row>
    <row r="147" spans="1:23" x14ac:dyDescent="0.25">
      <c r="A147" s="701" t="s">
        <v>509</v>
      </c>
      <c r="B147" s="701"/>
      <c r="C147" s="717" t="s">
        <v>80</v>
      </c>
      <c r="D147" s="711">
        <f>Bilans_E_AMS_Kyoto_run3_MTE!H482</f>
        <v>0</v>
      </c>
      <c r="E147" s="711">
        <f>Bilans_E_AMS_Kyoto_run3_MTE!I482</f>
        <v>0</v>
      </c>
      <c r="F147" s="711">
        <f>Bilans_E_AMS_Kyoto_run3_MTE!J482</f>
        <v>0.29271355474186761</v>
      </c>
      <c r="G147" s="711">
        <f>Bilans_E_AMS_Kyoto_run3_MTE!K482</f>
        <v>0</v>
      </c>
      <c r="H147" s="711">
        <f>Bilans_E_AMS_Kyoto_run3_MTE!L482</f>
        <v>21.230302820629564</v>
      </c>
      <c r="I147" s="711">
        <f>Bilans_E_AMS_Kyoto_run3_MTE!M482</f>
        <v>0.22347687179610068</v>
      </c>
      <c r="J147" s="711">
        <f>Bilans_E_AMS_Kyoto_run3_MTE!N482</f>
        <v>0</v>
      </c>
      <c r="K147" s="711">
        <f>Bilans_E_AMS_Kyoto_run3_MTE!O482</f>
        <v>0</v>
      </c>
      <c r="L147" s="711">
        <f>Bilans_E_AMS_Kyoto_run3_MTE!P482</f>
        <v>42.610592667556531</v>
      </c>
      <c r="M147" s="711">
        <f>Bilans_E_AMS_Kyoto_run3_MTE!Q482</f>
        <v>0</v>
      </c>
      <c r="N147" s="711">
        <f>Bilans_E_AMS_Kyoto_run3_MTE!R482</f>
        <v>0</v>
      </c>
      <c r="O147" s="711">
        <f>Bilans_E_AMS_Kyoto_run3_MTE!S482</f>
        <v>15.792365606924447</v>
      </c>
      <c r="P147" s="711">
        <f>Bilans_E_AMS_Kyoto_run3_MTE!T482+Bilans_E_AMS_Kyoto_run3_MTE!U482</f>
        <v>140.68580630413436</v>
      </c>
      <c r="Q147" s="711">
        <f>Bilans_E_AMS_Kyoto_run3_MTE!V482</f>
        <v>11.422179608472932</v>
      </c>
      <c r="R147" s="711">
        <f>Bilans_E_AMS_Kyoto_run3_MTE!W482</f>
        <v>140.84431405230941</v>
      </c>
      <c r="S147" s="711">
        <f>Bilans_E_AMS_Kyoto_run3_MTE!X482</f>
        <v>37.657555904845751</v>
      </c>
      <c r="T147" s="711">
        <f>Bilans_E_AMS_Kyoto_run3_MTE!Y482</f>
        <v>0</v>
      </c>
      <c r="U147" s="711">
        <f>Bilans_E_AMS_Kyoto_run3_MTE!Z482</f>
        <v>410.75930739141103</v>
      </c>
      <c r="V147" s="701"/>
      <c r="W147" s="701"/>
    </row>
    <row r="148" spans="1:23" x14ac:dyDescent="0.25">
      <c r="A148" s="701" t="s">
        <v>510</v>
      </c>
      <c r="B148" s="701"/>
      <c r="C148" s="717" t="s">
        <v>81</v>
      </c>
      <c r="D148" s="711">
        <f>Bilans_E_AMS_Kyoto_run3_MTE!H483</f>
        <v>0</v>
      </c>
      <c r="E148" s="711">
        <f>Bilans_E_AMS_Kyoto_run3_MTE!I483</f>
        <v>0</v>
      </c>
      <c r="F148" s="711">
        <f>Bilans_E_AMS_Kyoto_run3_MTE!J483</f>
        <v>0.52496175669255951</v>
      </c>
      <c r="G148" s="711">
        <f>Bilans_E_AMS_Kyoto_run3_MTE!K483</f>
        <v>0</v>
      </c>
      <c r="H148" s="711">
        <f>Bilans_E_AMS_Kyoto_run3_MTE!L483</f>
        <v>12.447473647538219</v>
      </c>
      <c r="I148" s="711">
        <f>Bilans_E_AMS_Kyoto_run3_MTE!M483</f>
        <v>0.13102603839513913</v>
      </c>
      <c r="J148" s="711">
        <f>Bilans_E_AMS_Kyoto_run3_MTE!N483</f>
        <v>0</v>
      </c>
      <c r="K148" s="711">
        <f>Bilans_E_AMS_Kyoto_run3_MTE!O483</f>
        <v>0</v>
      </c>
      <c r="L148" s="711">
        <f>Bilans_E_AMS_Kyoto_run3_MTE!P483</f>
        <v>0.50385641884580723</v>
      </c>
      <c r="M148" s="711">
        <f>Bilans_E_AMS_Kyoto_run3_MTE!Q483</f>
        <v>0</v>
      </c>
      <c r="N148" s="711">
        <f>Bilans_E_AMS_Kyoto_run3_MTE!R483</f>
        <v>0</v>
      </c>
      <c r="O148" s="711">
        <f>Bilans_E_AMS_Kyoto_run3_MTE!S483</f>
        <v>9.2591733799231637</v>
      </c>
      <c r="P148" s="711">
        <f>Bilans_E_AMS_Kyoto_run3_MTE!T483+Bilans_E_AMS_Kyoto_run3_MTE!U483</f>
        <v>55.972584841883723</v>
      </c>
      <c r="Q148" s="711">
        <f>Bilans_E_AMS_Kyoto_run3_MTE!V483</f>
        <v>11.263560576499328</v>
      </c>
      <c r="R148" s="711">
        <f>Bilans_E_AMS_Kyoto_run3_MTE!W483</f>
        <v>122.13846664869735</v>
      </c>
      <c r="S148" s="711">
        <f>Bilans_E_AMS_Kyoto_run3_MTE!X483</f>
        <v>22.891868477454477</v>
      </c>
      <c r="T148" s="711">
        <f>Bilans_E_AMS_Kyoto_run3_MTE!Y483</f>
        <v>0</v>
      </c>
      <c r="U148" s="711">
        <f>Bilans_E_AMS_Kyoto_run3_MTE!Z483</f>
        <v>235.13297178592975</v>
      </c>
      <c r="V148" s="701"/>
      <c r="W148" s="701"/>
    </row>
    <row r="149" spans="1:23" x14ac:dyDescent="0.25">
      <c r="A149" s="701" t="s">
        <v>511</v>
      </c>
      <c r="B149" s="701"/>
      <c r="C149" s="717" t="s">
        <v>82</v>
      </c>
      <c r="D149" s="711">
        <f>Bilans_E_AMS_Kyoto_run3_MTE!H484</f>
        <v>0</v>
      </c>
      <c r="E149" s="711">
        <f>Bilans_E_AMS_Kyoto_run3_MTE!I484</f>
        <v>0</v>
      </c>
      <c r="F149" s="711">
        <f>Bilans_E_AMS_Kyoto_run3_MTE!J484</f>
        <v>8.4604278538625355</v>
      </c>
      <c r="G149" s="711">
        <f>Bilans_E_AMS_Kyoto_run3_MTE!K484</f>
        <v>0</v>
      </c>
      <c r="H149" s="711">
        <f>Bilans_E_AMS_Kyoto_run3_MTE!L484</f>
        <v>0.63597933034917353</v>
      </c>
      <c r="I149" s="711">
        <f>Bilans_E_AMS_Kyoto_run3_MTE!M484</f>
        <v>6.6945192668334047E-3</v>
      </c>
      <c r="J149" s="711">
        <f>Bilans_E_AMS_Kyoto_run3_MTE!N484</f>
        <v>0</v>
      </c>
      <c r="K149" s="711">
        <f>Bilans_E_AMS_Kyoto_run3_MTE!O484</f>
        <v>0</v>
      </c>
      <c r="L149" s="711">
        <f>Bilans_E_AMS_Kyoto_run3_MTE!P484</f>
        <v>16.880915854504494</v>
      </c>
      <c r="M149" s="711">
        <f>Bilans_E_AMS_Kyoto_run3_MTE!Q484</f>
        <v>0</v>
      </c>
      <c r="N149" s="711">
        <f>Bilans_E_AMS_Kyoto_run3_MTE!R484</f>
        <v>8.0439535729809908</v>
      </c>
      <c r="O149" s="711">
        <f>Bilans_E_AMS_Kyoto_run3_MTE!S484</f>
        <v>0.47307936152289393</v>
      </c>
      <c r="P149" s="711">
        <f>Bilans_E_AMS_Kyoto_run3_MTE!T484+Bilans_E_AMS_Kyoto_run3_MTE!U484</f>
        <v>1.1499999999999999</v>
      </c>
      <c r="Q149" s="711">
        <f>Bilans_E_AMS_Kyoto_run3_MTE!V484</f>
        <v>1.5666563685107562</v>
      </c>
      <c r="R149" s="711">
        <f>Bilans_E_AMS_Kyoto_run3_MTE!W484</f>
        <v>10.022325873265157</v>
      </c>
      <c r="S149" s="711">
        <f>Bilans_E_AMS_Kyoto_run3_MTE!X484</f>
        <v>0</v>
      </c>
      <c r="T149" s="711">
        <f>Bilans_E_AMS_Kyoto_run3_MTE!Y484</f>
        <v>0.50936070240640652</v>
      </c>
      <c r="U149" s="711">
        <f>Bilans_E_AMS_Kyoto_run3_MTE!Z484</f>
        <v>47.74939343666923</v>
      </c>
      <c r="V149" s="701"/>
      <c r="W149" s="701"/>
    </row>
    <row r="150" spans="1:23" x14ac:dyDescent="0.25">
      <c r="A150" s="701" t="s">
        <v>512</v>
      </c>
      <c r="B150" s="701"/>
      <c r="C150" s="717" t="s">
        <v>354</v>
      </c>
      <c r="D150" s="711">
        <f>Bilans_E_AMS_Kyoto_run3_MTE!H485</f>
        <v>0</v>
      </c>
      <c r="E150" s="711">
        <f>Bilans_E_AMS_Kyoto_run3_MTE!I485</f>
        <v>0</v>
      </c>
      <c r="F150" s="711">
        <f>Bilans_E_AMS_Kyoto_run3_MTE!J485</f>
        <v>0</v>
      </c>
      <c r="G150" s="711">
        <f>Bilans_E_AMS_Kyoto_run3_MTE!K485</f>
        <v>0</v>
      </c>
      <c r="H150" s="711">
        <f>Bilans_E_AMS_Kyoto_run3_MTE!L485</f>
        <v>0</v>
      </c>
      <c r="I150" s="711">
        <f>Bilans_E_AMS_Kyoto_run3_MTE!M485</f>
        <v>0</v>
      </c>
      <c r="J150" s="711">
        <f>Bilans_E_AMS_Kyoto_run3_MTE!N485</f>
        <v>0</v>
      </c>
      <c r="K150" s="711">
        <f>Bilans_E_AMS_Kyoto_run3_MTE!O485</f>
        <v>0</v>
      </c>
      <c r="L150" s="711">
        <f>Bilans_E_AMS_Kyoto_run3_MTE!P485</f>
        <v>0</v>
      </c>
      <c r="M150" s="711">
        <f>Bilans_E_AMS_Kyoto_run3_MTE!Q485</f>
        <v>0</v>
      </c>
      <c r="N150" s="711">
        <f>Bilans_E_AMS_Kyoto_run3_MTE!R485</f>
        <v>0</v>
      </c>
      <c r="O150" s="711">
        <f>Bilans_E_AMS_Kyoto_run3_MTE!S485</f>
        <v>0</v>
      </c>
      <c r="P150" s="711">
        <f>Bilans_E_AMS_Kyoto_run3_MTE!T485+Bilans_E_AMS_Kyoto_run3_MTE!U485</f>
        <v>0</v>
      </c>
      <c r="Q150" s="711">
        <f>Bilans_E_AMS_Kyoto_run3_MTE!V485</f>
        <v>0</v>
      </c>
      <c r="R150" s="711">
        <f>Bilans_E_AMS_Kyoto_run3_MTE!W485</f>
        <v>6.8640000000000008</v>
      </c>
      <c r="S150" s="711">
        <f>Bilans_E_AMS_Kyoto_run3_MTE!X485</f>
        <v>0</v>
      </c>
      <c r="T150" s="711">
        <f>Bilans_E_AMS_Kyoto_run3_MTE!Y485</f>
        <v>0</v>
      </c>
      <c r="U150" s="711">
        <f>Bilans_E_AMS_Kyoto_run3_MTE!Z485</f>
        <v>6.8640000000000008</v>
      </c>
      <c r="V150" s="701"/>
      <c r="W150" s="701"/>
    </row>
    <row r="151" spans="1:23" x14ac:dyDescent="0.25">
      <c r="A151" s="701" t="s">
        <v>513</v>
      </c>
      <c r="B151" s="701"/>
      <c r="C151" s="713" t="s">
        <v>83</v>
      </c>
      <c r="D151" s="714">
        <f>Bilans_E_AMS_Kyoto_run3_MTE!H486</f>
        <v>0.16342834472656248</v>
      </c>
      <c r="E151" s="714">
        <f>Bilans_E_AMS_Kyoto_run3_MTE!I486</f>
        <v>0</v>
      </c>
      <c r="F151" s="714">
        <f>Bilans_E_AMS_Kyoto_run3_MTE!J486</f>
        <v>67.885659917304892</v>
      </c>
      <c r="G151" s="714">
        <f>Bilans_E_AMS_Kyoto_run3_MTE!K486</f>
        <v>1.6</v>
      </c>
      <c r="H151" s="714">
        <f>Bilans_E_AMS_Kyoto_run3_MTE!L486</f>
        <v>70.621338495657199</v>
      </c>
      <c r="I151" s="714">
        <f>Bilans_E_AMS_Kyoto_run3_MTE!M486</f>
        <v>0.74338251048060211</v>
      </c>
      <c r="J151" s="714">
        <f>Bilans_E_AMS_Kyoto_run3_MTE!N486</f>
        <v>0</v>
      </c>
      <c r="K151" s="714">
        <f>Bilans_E_AMS_Kyoto_run3_MTE!O486</f>
        <v>0</v>
      </c>
      <c r="L151" s="714">
        <f>Bilans_E_AMS_Kyoto_run3_MTE!P486</f>
        <v>95.920402760355529</v>
      </c>
      <c r="M151" s="714">
        <f>Bilans_E_AMS_Kyoto_run3_MTE!Q486</f>
        <v>8.355944349353404</v>
      </c>
      <c r="N151" s="714">
        <f>Bilans_E_AMS_Kyoto_run3_MTE!R486</f>
        <v>40.256169945489773</v>
      </c>
      <c r="O151" s="714">
        <f>Bilans_E_AMS_Kyoto_run3_MTE!S486</f>
        <v>52.572639321214815</v>
      </c>
      <c r="P151" s="714">
        <f>Bilans_E_AMS_Kyoto_run3_MTE!T486+Bilans_E_AMS_Kyoto_run3_MTE!U486</f>
        <v>210.4038735678931</v>
      </c>
      <c r="Q151" s="714">
        <f>Bilans_E_AMS_Kyoto_run3_MTE!V486</f>
        <v>24.25321763037536</v>
      </c>
      <c r="R151" s="714">
        <f>Bilans_E_AMS_Kyoto_run3_MTE!W486</f>
        <v>549.53538119716018</v>
      </c>
      <c r="S151" s="714">
        <f>Bilans_E_AMS_Kyoto_run3_MTE!X486</f>
        <v>80.131319587438796</v>
      </c>
      <c r="T151" s="714">
        <f>Bilans_E_AMS_Kyoto_run3_MTE!Y486</f>
        <v>17.919209656247777</v>
      </c>
      <c r="U151" s="714">
        <f>Bilans_E_AMS_Kyoto_run3_MTE!Z486</f>
        <v>1220.361967283698</v>
      </c>
      <c r="V151" s="701"/>
      <c r="W151" s="701"/>
    </row>
    <row r="152" spans="1:23" x14ac:dyDescent="0.25">
      <c r="A152" s="701" t="s">
        <v>514</v>
      </c>
      <c r="B152" s="701"/>
      <c r="C152" s="710" t="s">
        <v>84</v>
      </c>
      <c r="D152" s="711">
        <f>Bilans_E_AMS_Kyoto_run3_MTE!H487</f>
        <v>0</v>
      </c>
      <c r="E152" s="711">
        <f>Bilans_E_AMS_Kyoto_run3_MTE!I487</f>
        <v>0</v>
      </c>
      <c r="F152" s="711">
        <f>Bilans_E_AMS_Kyoto_run3_MTE!J487</f>
        <v>98.630833151912839</v>
      </c>
      <c r="G152" s="711">
        <f>Bilans_E_AMS_Kyoto_run3_MTE!K487</f>
        <v>3.094705785318189</v>
      </c>
      <c r="H152" s="711">
        <f>Bilans_E_AMS_Kyoto_run3_MTE!L487</f>
        <v>10.821936682039073</v>
      </c>
      <c r="I152" s="711">
        <f>Bilans_E_AMS_Kyoto_run3_MTE!M487</f>
        <v>0</v>
      </c>
      <c r="J152" s="711">
        <f>Bilans_E_AMS_Kyoto_run3_MTE!N487</f>
        <v>0</v>
      </c>
      <c r="K152" s="711">
        <f>Bilans_E_AMS_Kyoto_run3_MTE!O487</f>
        <v>0</v>
      </c>
      <c r="L152" s="711">
        <f>Bilans_E_AMS_Kyoto_run3_MTE!P487</f>
        <v>0.52555901393570603</v>
      </c>
      <c r="M152" s="711">
        <f>Bilans_E_AMS_Kyoto_run3_MTE!Q487</f>
        <v>0</v>
      </c>
      <c r="N152" s="711">
        <f>Bilans_E_AMS_Kyoto_run3_MTE!R487</f>
        <v>4.7238090812444442</v>
      </c>
      <c r="O152" s="711">
        <f>Bilans_E_AMS_Kyoto_run3_MTE!S487</f>
        <v>0</v>
      </c>
      <c r="P152" s="711">
        <f>Bilans_E_AMS_Kyoto_run3_MTE!T487+Bilans_E_AMS_Kyoto_run3_MTE!U487</f>
        <v>0</v>
      </c>
      <c r="Q152" s="711">
        <f>Bilans_E_AMS_Kyoto_run3_MTE!V487</f>
        <v>0</v>
      </c>
      <c r="R152" s="711">
        <f>Bilans_E_AMS_Kyoto_run3_MTE!W487</f>
        <v>0</v>
      </c>
      <c r="S152" s="711">
        <f>Bilans_E_AMS_Kyoto_run3_MTE!X487</f>
        <v>0</v>
      </c>
      <c r="T152" s="711">
        <f>Bilans_E_AMS_Kyoto_run3_MTE!Y487</f>
        <v>3.3812053333570531</v>
      </c>
      <c r="U152" s="711">
        <f>Bilans_E_AMS_Kyoto_run3_MTE!Z487</f>
        <v>121.17804904780731</v>
      </c>
      <c r="V152" s="701"/>
      <c r="W152" s="701"/>
    </row>
    <row r="153" spans="1:23" x14ac:dyDescent="0.25">
      <c r="A153" s="701" t="s">
        <v>515</v>
      </c>
      <c r="B153" s="701"/>
      <c r="C153" s="713" t="s">
        <v>85</v>
      </c>
      <c r="D153" s="714">
        <f>Bilans_E_AMS_Kyoto_run3_MTE!H488</f>
        <v>0.16342834472656248</v>
      </c>
      <c r="E153" s="714">
        <f>Bilans_E_AMS_Kyoto_run3_MTE!I488</f>
        <v>0</v>
      </c>
      <c r="F153" s="714">
        <f>Bilans_E_AMS_Kyoto_run3_MTE!J488</f>
        <v>166.51649306921774</v>
      </c>
      <c r="G153" s="714">
        <f>Bilans_E_AMS_Kyoto_run3_MTE!K488</f>
        <v>4.6947057853181891</v>
      </c>
      <c r="H153" s="714">
        <f>Bilans_E_AMS_Kyoto_run3_MTE!L488</f>
        <v>81.443275177696279</v>
      </c>
      <c r="I153" s="714">
        <f>Bilans_E_AMS_Kyoto_run3_MTE!M488</f>
        <v>0.74338251048060211</v>
      </c>
      <c r="J153" s="714">
        <f>Bilans_E_AMS_Kyoto_run3_MTE!N488</f>
        <v>0</v>
      </c>
      <c r="K153" s="714">
        <f>Bilans_E_AMS_Kyoto_run3_MTE!O488</f>
        <v>0</v>
      </c>
      <c r="L153" s="714">
        <f>Bilans_E_AMS_Kyoto_run3_MTE!P488</f>
        <v>96.445961774291234</v>
      </c>
      <c r="M153" s="714">
        <f>Bilans_E_AMS_Kyoto_run3_MTE!Q488</f>
        <v>8.355944349353404</v>
      </c>
      <c r="N153" s="714">
        <f>Bilans_E_AMS_Kyoto_run3_MTE!R488</f>
        <v>44.97997902673422</v>
      </c>
      <c r="O153" s="714">
        <f>Bilans_E_AMS_Kyoto_run3_MTE!S488</f>
        <v>52.572639321214815</v>
      </c>
      <c r="P153" s="714">
        <f>Bilans_E_AMS_Kyoto_run3_MTE!T488+Bilans_E_AMS_Kyoto_run3_MTE!U488</f>
        <v>210.4038735678931</v>
      </c>
      <c r="Q153" s="714">
        <f>Bilans_E_AMS_Kyoto_run3_MTE!V488</f>
        <v>24.25321763037536</v>
      </c>
      <c r="R153" s="714">
        <f>Bilans_E_AMS_Kyoto_run3_MTE!W488</f>
        <v>549.53538119716018</v>
      </c>
      <c r="S153" s="714">
        <f>Bilans_E_AMS_Kyoto_run3_MTE!X488</f>
        <v>80.131319587438796</v>
      </c>
      <c r="T153" s="714">
        <f>Bilans_E_AMS_Kyoto_run3_MTE!Y488</f>
        <v>21.300414989604828</v>
      </c>
      <c r="U153" s="714">
        <f>Bilans_E_AMS_Kyoto_run3_MTE!Z488</f>
        <v>1341.5400163315053</v>
      </c>
      <c r="V153" s="701"/>
      <c r="W153" s="701"/>
    </row>
    <row r="154" spans="1:23" x14ac:dyDescent="0.25">
      <c r="A154" s="701"/>
      <c r="B154" s="701"/>
      <c r="C154" s="701"/>
      <c r="D154" s="701">
        <f>Bilans_E_AMS_Kyoto_run3_MTE!H489</f>
        <v>0</v>
      </c>
      <c r="E154" s="701">
        <f>Bilans_E_AMS_Kyoto_run3_MTE!I489</f>
        <v>0</v>
      </c>
      <c r="F154" s="701">
        <f>Bilans_E_AMS_Kyoto_run3_MTE!J489</f>
        <v>7.1054273576010019E-15</v>
      </c>
      <c r="G154" s="701">
        <f>Bilans_E_AMS_Kyoto_run3_MTE!K489</f>
        <v>0</v>
      </c>
      <c r="H154" s="701">
        <f>Bilans_E_AMS_Kyoto_run3_MTE!L489</f>
        <v>2.4547035224031788E-5</v>
      </c>
      <c r="I154" s="701">
        <f>Bilans_E_AMS_Kyoto_run3_MTE!M489</f>
        <v>-2.4547035192501454E-5</v>
      </c>
      <c r="J154" s="701">
        <f>Bilans_E_AMS_Kyoto_run3_MTE!N489</f>
        <v>0</v>
      </c>
      <c r="K154" s="701">
        <f>Bilans_E_AMS_Kyoto_run3_MTE!O489</f>
        <v>0</v>
      </c>
      <c r="L154" s="701">
        <f>Bilans_E_AMS_Kyoto_run3_MTE!P489</f>
        <v>0</v>
      </c>
      <c r="M154" s="701">
        <f>Bilans_E_AMS_Kyoto_run3_MTE!Q489</f>
        <v>0</v>
      </c>
      <c r="N154" s="701">
        <f>Bilans_E_AMS_Kyoto_run3_MTE!R489</f>
        <v>0</v>
      </c>
      <c r="O154" s="701">
        <f>Bilans_E_AMS_Kyoto_run3_MTE!S489</f>
        <v>0</v>
      </c>
      <c r="P154" s="701">
        <f>Bilans_E_AMS_Kyoto_run3_MTE!T489+Bilans_E_AMS_Kyoto_run3_MTE!U489</f>
        <v>0</v>
      </c>
      <c r="Q154" s="701">
        <f>Bilans_E_AMS_Kyoto_run3_MTE!V489</f>
        <v>0</v>
      </c>
      <c r="R154" s="701">
        <f>Bilans_E_AMS_Kyoto_run3_MTE!W489</f>
        <v>0</v>
      </c>
      <c r="S154" s="701">
        <f>Bilans_E_AMS_Kyoto_run3_MTE!X489</f>
        <v>-3.2509756167087289E-5</v>
      </c>
      <c r="T154" s="701">
        <f>Bilans_E_AMS_Kyoto_run3_MTE!Y489</f>
        <v>0</v>
      </c>
      <c r="U154" s="701">
        <f>Bilans_E_AMS_Kyoto_run3_MTE!Z489</f>
        <v>-3.2509756238141563E-5</v>
      </c>
      <c r="V154" s="701"/>
      <c r="W154" s="701"/>
    </row>
    <row r="155" spans="1:23" x14ac:dyDescent="0.25">
      <c r="A155" s="701"/>
      <c r="B155" s="701"/>
      <c r="C155" s="701"/>
      <c r="D155" s="701"/>
      <c r="E155" s="701"/>
      <c r="F155" s="701"/>
      <c r="G155" s="701"/>
      <c r="H155" s="701"/>
      <c r="I155" s="701"/>
      <c r="J155" s="701"/>
      <c r="K155" s="701"/>
      <c r="L155" s="701"/>
      <c r="M155" s="701"/>
      <c r="N155" s="701"/>
      <c r="O155" s="701"/>
      <c r="P155" s="701"/>
      <c r="Q155" s="701"/>
      <c r="R155" s="701"/>
      <c r="S155" s="701"/>
      <c r="T155" s="701"/>
      <c r="U155" s="701"/>
      <c r="V155" s="701"/>
      <c r="W155" s="701"/>
    </row>
    <row r="156" spans="1:23" x14ac:dyDescent="0.25">
      <c r="A156" s="707"/>
      <c r="B156" s="707"/>
      <c r="C156" s="708" t="s">
        <v>361</v>
      </c>
      <c r="D156" s="707"/>
      <c r="E156" s="707"/>
      <c r="F156" s="707"/>
      <c r="G156" s="707"/>
      <c r="H156" s="707"/>
      <c r="I156" s="707"/>
      <c r="J156" s="707"/>
      <c r="K156" s="707"/>
      <c r="L156" s="707"/>
      <c r="M156" s="707"/>
      <c r="N156" s="707"/>
      <c r="O156" s="707"/>
      <c r="P156" s="707"/>
      <c r="Q156" s="707"/>
      <c r="R156" s="707"/>
      <c r="S156" s="707"/>
      <c r="T156" s="707"/>
      <c r="U156" s="707"/>
      <c r="V156" s="707"/>
      <c r="W156" s="707"/>
    </row>
    <row r="157" spans="1:23" x14ac:dyDescent="0.25">
      <c r="A157" s="701"/>
      <c r="B157" s="701"/>
      <c r="C157" s="701"/>
      <c r="D157" s="701"/>
      <c r="E157" s="701"/>
      <c r="F157" s="701"/>
      <c r="G157" s="701"/>
      <c r="H157" s="701"/>
      <c r="I157" s="701"/>
      <c r="J157" s="701"/>
      <c r="K157" s="701"/>
      <c r="L157" s="701"/>
      <c r="M157" s="701"/>
      <c r="N157" s="701"/>
      <c r="O157" s="701"/>
      <c r="P157" s="701"/>
      <c r="Q157" s="701"/>
      <c r="R157" s="701"/>
      <c r="S157" s="701"/>
      <c r="T157" s="701"/>
      <c r="U157" s="701"/>
      <c r="V157" s="701"/>
      <c r="W157" s="701"/>
    </row>
    <row r="158" spans="1:23" x14ac:dyDescent="0.25">
      <c r="A158" s="701"/>
      <c r="B158" s="701"/>
      <c r="C158" s="780" t="s">
        <v>128</v>
      </c>
      <c r="D158" s="775" t="s">
        <v>42</v>
      </c>
      <c r="E158" s="775" t="s">
        <v>52</v>
      </c>
      <c r="F158" s="775" t="s">
        <v>53</v>
      </c>
      <c r="G158" s="775" t="s">
        <v>482</v>
      </c>
      <c r="H158" s="775" t="s">
        <v>32</v>
      </c>
      <c r="I158" s="775" t="s">
        <v>483</v>
      </c>
      <c r="J158" s="775" t="s">
        <v>20</v>
      </c>
      <c r="K158" s="775" t="s">
        <v>55</v>
      </c>
      <c r="L158" s="777" t="s">
        <v>56</v>
      </c>
      <c r="M158" s="778"/>
      <c r="N158" s="778"/>
      <c r="O158" s="778"/>
      <c r="P158" s="778"/>
      <c r="Q158" s="779"/>
      <c r="R158" s="775" t="s">
        <v>57</v>
      </c>
      <c r="S158" s="775" t="s">
        <v>58</v>
      </c>
      <c r="T158" s="775" t="s">
        <v>31</v>
      </c>
      <c r="U158" s="775" t="s">
        <v>10</v>
      </c>
      <c r="V158" s="701"/>
      <c r="W158" s="701"/>
    </row>
    <row r="159" spans="1:23" ht="67.5" x14ac:dyDescent="0.25">
      <c r="A159" s="701" t="s">
        <v>486</v>
      </c>
      <c r="B159" s="701"/>
      <c r="C159" s="781"/>
      <c r="D159" s="776"/>
      <c r="E159" s="776"/>
      <c r="F159" s="776"/>
      <c r="G159" s="776"/>
      <c r="H159" s="776"/>
      <c r="I159" s="776"/>
      <c r="J159" s="776"/>
      <c r="K159" s="776"/>
      <c r="L159" s="709" t="s">
        <v>335</v>
      </c>
      <c r="M159" s="709" t="s">
        <v>40</v>
      </c>
      <c r="N159" s="709" t="s">
        <v>343</v>
      </c>
      <c r="O159" s="709" t="s">
        <v>344</v>
      </c>
      <c r="P159" s="719" t="s">
        <v>610</v>
      </c>
      <c r="Q159" s="709" t="s">
        <v>346</v>
      </c>
      <c r="R159" s="776"/>
      <c r="S159" s="776"/>
      <c r="T159" s="776"/>
      <c r="U159" s="776"/>
      <c r="V159" s="701"/>
      <c r="W159" s="701"/>
    </row>
    <row r="160" spans="1:23" x14ac:dyDescent="0.25">
      <c r="A160" s="701" t="s">
        <v>487</v>
      </c>
      <c r="B160" s="701"/>
      <c r="C160" s="710" t="s">
        <v>59</v>
      </c>
      <c r="D160" s="711">
        <f>Bilans_E_AMS_Kyoto_run3_MTE!H495</f>
        <v>0</v>
      </c>
      <c r="E160" s="711">
        <f>Bilans_E_AMS_Kyoto_run3_MTE!I495</f>
        <v>0</v>
      </c>
      <c r="F160" s="711">
        <f>Bilans_E_AMS_Kyoto_run3_MTE!J495</f>
        <v>0</v>
      </c>
      <c r="G160" s="711">
        <f>Bilans_E_AMS_Kyoto_run3_MTE!K495</f>
        <v>0</v>
      </c>
      <c r="H160" s="711">
        <f>Bilans_E_AMS_Kyoto_run3_MTE!L495</f>
        <v>0</v>
      </c>
      <c r="I160" s="711">
        <f>Bilans_E_AMS_Kyoto_run3_MTE!M495</f>
        <v>0</v>
      </c>
      <c r="J160" s="711">
        <f>Bilans_E_AMS_Kyoto_run3_MTE!N495</f>
        <v>1021.1177956869142</v>
      </c>
      <c r="K160" s="711">
        <f>Bilans_E_AMS_Kyoto_run3_MTE!O495</f>
        <v>462.06687945929309</v>
      </c>
      <c r="L160" s="711">
        <f>Bilans_E_AMS_Kyoto_run3_MTE!P495</f>
        <v>380.853201250621</v>
      </c>
      <c r="M160" s="711">
        <f>Bilans_E_AMS_Kyoto_run3_MTE!Q495</f>
        <v>45.488439305040814</v>
      </c>
      <c r="N160" s="711">
        <f>Bilans_E_AMS_Kyoto_run3_MTE!R495</f>
        <v>0</v>
      </c>
      <c r="O160" s="711">
        <f>Bilans_E_AMS_Kyoto_run3_MTE!S495</f>
        <v>0</v>
      </c>
      <c r="P160" s="711">
        <f>Bilans_E_AMS_Kyoto_run3_MTE!T495+Bilans_E_AMS_Kyoto_run3_MTE!U495</f>
        <v>241.4786584909825</v>
      </c>
      <c r="Q160" s="711">
        <f>Bilans_E_AMS_Kyoto_run3_MTE!V495</f>
        <v>44.619368166332919</v>
      </c>
      <c r="R160" s="711">
        <f>Bilans_E_AMS_Kyoto_run3_MTE!W495</f>
        <v>0</v>
      </c>
      <c r="S160" s="711">
        <f>Bilans_E_AMS_Kyoto_run3_MTE!X495</f>
        <v>0</v>
      </c>
      <c r="T160" s="711">
        <f>Bilans_E_AMS_Kyoto_run3_MTE!Y495</f>
        <v>0</v>
      </c>
      <c r="U160" s="711">
        <f>Bilans_E_AMS_Kyoto_run3_MTE!Z495</f>
        <v>2195.6243423591845</v>
      </c>
      <c r="V160" s="701"/>
      <c r="W160" s="701"/>
    </row>
    <row r="161" spans="1:23" x14ac:dyDescent="0.25">
      <c r="A161" s="701" t="s">
        <v>488</v>
      </c>
      <c r="B161" s="701"/>
      <c r="C161" s="710" t="s">
        <v>60</v>
      </c>
      <c r="D161" s="712">
        <f>Bilans_E_AMS_Kyoto_run3_MTE!H496</f>
        <v>7.2040588378906256E-2</v>
      </c>
      <c r="E161" s="712">
        <f>Bilans_E_AMS_Kyoto_run3_MTE!I496</f>
        <v>143.57372262348443</v>
      </c>
      <c r="F161" s="712">
        <f>Bilans_E_AMS_Kyoto_run3_MTE!J496</f>
        <v>24.964838256255007</v>
      </c>
      <c r="G161" s="712">
        <f>Bilans_E_AMS_Kyoto_run3_MTE!K496</f>
        <v>8.9901848637372375</v>
      </c>
      <c r="H161" s="712">
        <f>Bilans_E_AMS_Kyoto_run3_MTE!L496</f>
        <v>83.302522482755748</v>
      </c>
      <c r="I161" s="712">
        <f>Bilans_E_AMS_Kyoto_run3_MTE!M496</f>
        <v>0</v>
      </c>
      <c r="J161" s="712">
        <f>Bilans_E_AMS_Kyoto_run3_MTE!N496</f>
        <v>0</v>
      </c>
      <c r="K161" s="712">
        <f>Bilans_E_AMS_Kyoto_run3_MTE!O496</f>
        <v>0</v>
      </c>
      <c r="L161" s="712">
        <f>Bilans_E_AMS_Kyoto_run3_MTE!P496</f>
        <v>8.1136608848584615</v>
      </c>
      <c r="M161" s="712">
        <f>Bilans_E_AMS_Kyoto_run3_MTE!Q496</f>
        <v>0</v>
      </c>
      <c r="N161" s="712">
        <f>Bilans_E_AMS_Kyoto_run3_MTE!R496</f>
        <v>3.6899916266640176</v>
      </c>
      <c r="O161" s="712">
        <f>Bilans_E_AMS_Kyoto_run3_MTE!S496</f>
        <v>0</v>
      </c>
      <c r="P161" s="712">
        <f>Bilans_E_AMS_Kyoto_run3_MTE!T496+Bilans_E_AMS_Kyoto_run3_MTE!U496</f>
        <v>0</v>
      </c>
      <c r="Q161" s="712">
        <f>Bilans_E_AMS_Kyoto_run3_MTE!V496</f>
        <v>0</v>
      </c>
      <c r="R161" s="712">
        <f>Bilans_E_AMS_Kyoto_run3_MTE!W496</f>
        <v>0</v>
      </c>
      <c r="S161" s="712">
        <f>Bilans_E_AMS_Kyoto_run3_MTE!X496</f>
        <v>0</v>
      </c>
      <c r="T161" s="712">
        <f>Bilans_E_AMS_Kyoto_run3_MTE!Y496</f>
        <v>0</v>
      </c>
      <c r="U161" s="712">
        <f>Bilans_E_AMS_Kyoto_run3_MTE!Z496</f>
        <v>272.70696132613381</v>
      </c>
      <c r="V161" s="701"/>
      <c r="W161" s="701"/>
    </row>
    <row r="162" spans="1:23" x14ac:dyDescent="0.25">
      <c r="A162" s="701" t="s">
        <v>489</v>
      </c>
      <c r="B162" s="701"/>
      <c r="C162" s="710" t="s">
        <v>61</v>
      </c>
      <c r="D162" s="712">
        <f>Bilans_E_AMS_Kyoto_run3_MTE!H497</f>
        <v>0</v>
      </c>
      <c r="E162" s="712">
        <f>Bilans_E_AMS_Kyoto_run3_MTE!I497</f>
        <v>0</v>
      </c>
      <c r="F162" s="712">
        <f>Bilans_E_AMS_Kyoto_run3_MTE!J497</f>
        <v>0</v>
      </c>
      <c r="G162" s="712">
        <f>Bilans_E_AMS_Kyoto_run3_MTE!K497</f>
        <v>0</v>
      </c>
      <c r="H162" s="712">
        <f>Bilans_E_AMS_Kyoto_run3_MTE!L497</f>
        <v>0</v>
      </c>
      <c r="I162" s="712">
        <f>Bilans_E_AMS_Kyoto_run3_MTE!M497</f>
        <v>0</v>
      </c>
      <c r="J162" s="712">
        <f>Bilans_E_AMS_Kyoto_run3_MTE!N497</f>
        <v>0</v>
      </c>
      <c r="K162" s="712">
        <f>Bilans_E_AMS_Kyoto_run3_MTE!O497</f>
        <v>0</v>
      </c>
      <c r="L162" s="712">
        <f>Bilans_E_AMS_Kyoto_run3_MTE!P497</f>
        <v>0</v>
      </c>
      <c r="M162" s="712">
        <f>Bilans_E_AMS_Kyoto_run3_MTE!Q497</f>
        <v>0</v>
      </c>
      <c r="N162" s="712">
        <f>Bilans_E_AMS_Kyoto_run3_MTE!R497</f>
        <v>0</v>
      </c>
      <c r="O162" s="712">
        <f>Bilans_E_AMS_Kyoto_run3_MTE!S497</f>
        <v>-20.664907066692336</v>
      </c>
      <c r="P162" s="712">
        <f>Bilans_E_AMS_Kyoto_run3_MTE!T497+Bilans_E_AMS_Kyoto_run3_MTE!U497</f>
        <v>0</v>
      </c>
      <c r="Q162" s="712">
        <f>Bilans_E_AMS_Kyoto_run3_MTE!V497</f>
        <v>0</v>
      </c>
      <c r="R162" s="712">
        <f>Bilans_E_AMS_Kyoto_run3_MTE!W497</f>
        <v>-64.652591069811592</v>
      </c>
      <c r="S162" s="712">
        <f>Bilans_E_AMS_Kyoto_run3_MTE!X497</f>
        <v>0</v>
      </c>
      <c r="T162" s="712">
        <f>Bilans_E_AMS_Kyoto_run3_MTE!Y497</f>
        <v>0</v>
      </c>
      <c r="U162" s="712">
        <f>Bilans_E_AMS_Kyoto_run3_MTE!Z497</f>
        <v>-85.317498136503929</v>
      </c>
      <c r="V162" s="701"/>
      <c r="W162" s="701"/>
    </row>
    <row r="163" spans="1:23" x14ac:dyDescent="0.25">
      <c r="A163" s="701" t="s">
        <v>490</v>
      </c>
      <c r="B163" s="701"/>
      <c r="C163" s="710" t="s">
        <v>62</v>
      </c>
      <c r="D163" s="711">
        <f>Bilans_E_AMS_Kyoto_run3_MTE!H498</f>
        <v>0</v>
      </c>
      <c r="E163" s="711">
        <f>Bilans_E_AMS_Kyoto_run3_MTE!I498</f>
        <v>0</v>
      </c>
      <c r="F163" s="711">
        <f>Bilans_E_AMS_Kyoto_run3_MTE!J498</f>
        <v>-2.6430279181443233</v>
      </c>
      <c r="G163" s="711">
        <f>Bilans_E_AMS_Kyoto_run3_MTE!K498</f>
        <v>-2.1194862177251581</v>
      </c>
      <c r="H163" s="711">
        <f>Bilans_E_AMS_Kyoto_run3_MTE!L498</f>
        <v>0</v>
      </c>
      <c r="I163" s="711">
        <f>Bilans_E_AMS_Kyoto_run3_MTE!M498</f>
        <v>-2.4085070655967704</v>
      </c>
      <c r="J163" s="711">
        <f>Bilans_E_AMS_Kyoto_run3_MTE!N498</f>
        <v>0</v>
      </c>
      <c r="K163" s="711">
        <f>Bilans_E_AMS_Kyoto_run3_MTE!O498</f>
        <v>0</v>
      </c>
      <c r="L163" s="711">
        <f>Bilans_E_AMS_Kyoto_run3_MTE!P498</f>
        <v>0</v>
      </c>
      <c r="M163" s="711">
        <f>Bilans_E_AMS_Kyoto_run3_MTE!Q498</f>
        <v>0</v>
      </c>
      <c r="N163" s="711">
        <f>Bilans_E_AMS_Kyoto_run3_MTE!R498</f>
        <v>0</v>
      </c>
      <c r="O163" s="711">
        <f>Bilans_E_AMS_Kyoto_run3_MTE!S498</f>
        <v>-1.4769404520417975</v>
      </c>
      <c r="P163" s="711">
        <f>Bilans_E_AMS_Kyoto_run3_MTE!T498+Bilans_E_AMS_Kyoto_run3_MTE!U498</f>
        <v>0</v>
      </c>
      <c r="Q163" s="711">
        <f>Bilans_E_AMS_Kyoto_run3_MTE!V498</f>
        <v>0</v>
      </c>
      <c r="R163" s="711">
        <f>Bilans_E_AMS_Kyoto_run3_MTE!W498</f>
        <v>0</v>
      </c>
      <c r="S163" s="711">
        <f>Bilans_E_AMS_Kyoto_run3_MTE!X498</f>
        <v>0</v>
      </c>
      <c r="T163" s="711">
        <f>Bilans_E_AMS_Kyoto_run3_MTE!Y498</f>
        <v>-0.99606248425254151</v>
      </c>
      <c r="U163" s="711">
        <f>Bilans_E_AMS_Kyoto_run3_MTE!Z498</f>
        <v>-9.6440241377605904</v>
      </c>
      <c r="V163" s="701"/>
      <c r="W163" s="701"/>
    </row>
    <row r="164" spans="1:23" x14ac:dyDescent="0.25">
      <c r="A164" s="701" t="s">
        <v>491</v>
      </c>
      <c r="B164" s="701"/>
      <c r="C164" s="710" t="s">
        <v>63</v>
      </c>
      <c r="D164" s="711">
        <f>Bilans_E_AMS_Kyoto_run3_MTE!H499</f>
        <v>0</v>
      </c>
      <c r="E164" s="711">
        <f>Bilans_E_AMS_Kyoto_run3_MTE!I499</f>
        <v>0</v>
      </c>
      <c r="F164" s="711">
        <f>Bilans_E_AMS_Kyoto_run3_MTE!J499</f>
        <v>-26.999999999999996</v>
      </c>
      <c r="G164" s="711">
        <f>Bilans_E_AMS_Kyoto_run3_MTE!K499</f>
        <v>-16</v>
      </c>
      <c r="H164" s="711">
        <f>Bilans_E_AMS_Kyoto_run3_MTE!L499</f>
        <v>0</v>
      </c>
      <c r="I164" s="711">
        <f>Bilans_E_AMS_Kyoto_run3_MTE!M499</f>
        <v>0</v>
      </c>
      <c r="J164" s="711">
        <f>Bilans_E_AMS_Kyoto_run3_MTE!N499</f>
        <v>0</v>
      </c>
      <c r="K164" s="711">
        <f>Bilans_E_AMS_Kyoto_run3_MTE!O499</f>
        <v>0</v>
      </c>
      <c r="L164" s="711">
        <f>Bilans_E_AMS_Kyoto_run3_MTE!P499</f>
        <v>0</v>
      </c>
      <c r="M164" s="711">
        <f>Bilans_E_AMS_Kyoto_run3_MTE!Q499</f>
        <v>0</v>
      </c>
      <c r="N164" s="711">
        <f>Bilans_E_AMS_Kyoto_run3_MTE!R499</f>
        <v>-16</v>
      </c>
      <c r="O164" s="711">
        <f>Bilans_E_AMS_Kyoto_run3_MTE!S499</f>
        <v>0</v>
      </c>
      <c r="P164" s="711">
        <f>Bilans_E_AMS_Kyoto_run3_MTE!T499+Bilans_E_AMS_Kyoto_run3_MTE!U499</f>
        <v>0</v>
      </c>
      <c r="Q164" s="711">
        <f>Bilans_E_AMS_Kyoto_run3_MTE!V499</f>
        <v>0</v>
      </c>
      <c r="R164" s="711">
        <f>Bilans_E_AMS_Kyoto_run3_MTE!W499</f>
        <v>0</v>
      </c>
      <c r="S164" s="711">
        <f>Bilans_E_AMS_Kyoto_run3_MTE!X499</f>
        <v>0</v>
      </c>
      <c r="T164" s="711">
        <f>Bilans_E_AMS_Kyoto_run3_MTE!Y499</f>
        <v>-5</v>
      </c>
      <c r="U164" s="711">
        <f>Bilans_E_AMS_Kyoto_run3_MTE!Z499</f>
        <v>-64</v>
      </c>
      <c r="V164" s="701"/>
      <c r="W164" s="701"/>
    </row>
    <row r="165" spans="1:23" x14ac:dyDescent="0.25">
      <c r="A165" s="701" t="s">
        <v>492</v>
      </c>
      <c r="B165" s="701"/>
      <c r="C165" s="710" t="s">
        <v>64</v>
      </c>
      <c r="D165" s="712">
        <f>Bilans_E_AMS_Kyoto_run3_MTE!H500</f>
        <v>0</v>
      </c>
      <c r="E165" s="712">
        <f>Bilans_E_AMS_Kyoto_run3_MTE!I500</f>
        <v>0</v>
      </c>
      <c r="F165" s="712">
        <f>Bilans_E_AMS_Kyoto_run3_MTE!J500</f>
        <v>0</v>
      </c>
      <c r="G165" s="712">
        <f>Bilans_E_AMS_Kyoto_run3_MTE!K500</f>
        <v>0</v>
      </c>
      <c r="H165" s="712">
        <f>Bilans_E_AMS_Kyoto_run3_MTE!L500</f>
        <v>0</v>
      </c>
      <c r="I165" s="712">
        <f>Bilans_E_AMS_Kyoto_run3_MTE!M500</f>
        <v>0</v>
      </c>
      <c r="J165" s="712">
        <f>Bilans_E_AMS_Kyoto_run3_MTE!N500</f>
        <v>0</v>
      </c>
      <c r="K165" s="712">
        <f>Bilans_E_AMS_Kyoto_run3_MTE!O500</f>
        <v>0</v>
      </c>
      <c r="L165" s="712">
        <f>Bilans_E_AMS_Kyoto_run3_MTE!P500</f>
        <v>0</v>
      </c>
      <c r="M165" s="712">
        <f>Bilans_E_AMS_Kyoto_run3_MTE!Q500</f>
        <v>0</v>
      </c>
      <c r="N165" s="712">
        <f>Bilans_E_AMS_Kyoto_run3_MTE!R500</f>
        <v>0</v>
      </c>
      <c r="O165" s="712">
        <f>Bilans_E_AMS_Kyoto_run3_MTE!S500</f>
        <v>0</v>
      </c>
      <c r="P165" s="712">
        <f>Bilans_E_AMS_Kyoto_run3_MTE!T500+Bilans_E_AMS_Kyoto_run3_MTE!U500</f>
        <v>0</v>
      </c>
      <c r="Q165" s="712">
        <f>Bilans_E_AMS_Kyoto_run3_MTE!V500</f>
        <v>0</v>
      </c>
      <c r="R165" s="712">
        <f>Bilans_E_AMS_Kyoto_run3_MTE!W500</f>
        <v>0</v>
      </c>
      <c r="S165" s="712">
        <f>Bilans_E_AMS_Kyoto_run3_MTE!X500</f>
        <v>0</v>
      </c>
      <c r="T165" s="712">
        <f>Bilans_E_AMS_Kyoto_run3_MTE!Y500</f>
        <v>0</v>
      </c>
      <c r="U165" s="712">
        <f>Bilans_E_AMS_Kyoto_run3_MTE!Z500</f>
        <v>0</v>
      </c>
      <c r="V165" s="701"/>
      <c r="W165" s="701"/>
    </row>
    <row r="166" spans="1:23" x14ac:dyDescent="0.25">
      <c r="A166" s="701" t="s">
        <v>493</v>
      </c>
      <c r="B166" s="701"/>
      <c r="C166" s="713" t="s">
        <v>65</v>
      </c>
      <c r="D166" s="714">
        <f>Bilans_E_AMS_Kyoto_run3_MTE!H501</f>
        <v>7.2040588378906256E-2</v>
      </c>
      <c r="E166" s="714">
        <f>Bilans_E_AMS_Kyoto_run3_MTE!I501</f>
        <v>143.57372262348443</v>
      </c>
      <c r="F166" s="714">
        <f>Bilans_E_AMS_Kyoto_run3_MTE!J501</f>
        <v>-4.6781896618893128</v>
      </c>
      <c r="G166" s="714">
        <f>Bilans_E_AMS_Kyoto_run3_MTE!K501</f>
        <v>-9.1293013539879198</v>
      </c>
      <c r="H166" s="714">
        <f>Bilans_E_AMS_Kyoto_run3_MTE!L501</f>
        <v>83.302522482755748</v>
      </c>
      <c r="I166" s="714">
        <f>Bilans_E_AMS_Kyoto_run3_MTE!M501</f>
        <v>-2.4085070655967704</v>
      </c>
      <c r="J166" s="714">
        <f>Bilans_E_AMS_Kyoto_run3_MTE!N501</f>
        <v>1021.1177956869142</v>
      </c>
      <c r="K166" s="714">
        <f>Bilans_E_AMS_Kyoto_run3_MTE!O501</f>
        <v>462.06687945929309</v>
      </c>
      <c r="L166" s="714">
        <f>Bilans_E_AMS_Kyoto_run3_MTE!P501</f>
        <v>388.96686213547946</v>
      </c>
      <c r="M166" s="714">
        <f>Bilans_E_AMS_Kyoto_run3_MTE!Q501</f>
        <v>45.488439305040814</v>
      </c>
      <c r="N166" s="714">
        <f>Bilans_E_AMS_Kyoto_run3_MTE!R501</f>
        <v>-12.310008373335982</v>
      </c>
      <c r="O166" s="714">
        <f>Bilans_E_AMS_Kyoto_run3_MTE!S501</f>
        <v>-22.141847518734135</v>
      </c>
      <c r="P166" s="714">
        <f>Bilans_E_AMS_Kyoto_run3_MTE!T501+Bilans_E_AMS_Kyoto_run3_MTE!U501</f>
        <v>241.4786584909825</v>
      </c>
      <c r="Q166" s="714">
        <f>Bilans_E_AMS_Kyoto_run3_MTE!V501</f>
        <v>44.619368166332919</v>
      </c>
      <c r="R166" s="714">
        <f>Bilans_E_AMS_Kyoto_run3_MTE!W501</f>
        <v>-64.652591069811592</v>
      </c>
      <c r="S166" s="714">
        <f>Bilans_E_AMS_Kyoto_run3_MTE!X501</f>
        <v>0</v>
      </c>
      <c r="T166" s="714">
        <f>Bilans_E_AMS_Kyoto_run3_MTE!Y501</f>
        <v>-5.9960624842525414</v>
      </c>
      <c r="U166" s="714">
        <f>Bilans_E_AMS_Kyoto_run3_MTE!Z501</f>
        <v>2309.3697814110537</v>
      </c>
      <c r="V166" s="701"/>
      <c r="W166" s="701"/>
    </row>
    <row r="167" spans="1:23" x14ac:dyDescent="0.25">
      <c r="A167" s="701"/>
      <c r="B167" s="701"/>
      <c r="C167" s="715"/>
      <c r="D167" s="716"/>
      <c r="E167" s="716"/>
      <c r="F167" s="716"/>
      <c r="G167" s="716"/>
      <c r="H167" s="716"/>
      <c r="I167" s="716"/>
      <c r="J167" s="716"/>
      <c r="K167" s="716"/>
      <c r="L167" s="716"/>
      <c r="M167" s="716"/>
      <c r="N167" s="716"/>
      <c r="O167" s="716"/>
      <c r="P167" s="716">
        <f>Bilans_E_AMS_Kyoto_run3_MTE!T502+Bilans_E_AMS_Kyoto_run3_MTE!U502</f>
        <v>0</v>
      </c>
      <c r="Q167" s="716"/>
      <c r="R167" s="716"/>
      <c r="S167" s="716"/>
      <c r="T167" s="716"/>
      <c r="U167" s="716"/>
      <c r="V167" s="701"/>
      <c r="W167" s="701"/>
    </row>
    <row r="168" spans="1:23" x14ac:dyDescent="0.25">
      <c r="A168" s="701" t="s">
        <v>494</v>
      </c>
      <c r="B168" s="701"/>
      <c r="C168" s="717" t="s">
        <v>67</v>
      </c>
      <c r="D168" s="711">
        <f>Bilans_E_AMS_Kyoto_run3_MTE!H503</f>
        <v>0</v>
      </c>
      <c r="E168" s="711">
        <f>Bilans_E_AMS_Kyoto_run3_MTE!I503</f>
        <v>0</v>
      </c>
      <c r="F168" s="711">
        <f>Bilans_E_AMS_Kyoto_run3_MTE!J503</f>
        <v>0</v>
      </c>
      <c r="G168" s="711">
        <f>Bilans_E_AMS_Kyoto_run3_MTE!K503</f>
        <v>0</v>
      </c>
      <c r="H168" s="711">
        <f>Bilans_E_AMS_Kyoto_run3_MTE!L503</f>
        <v>0</v>
      </c>
      <c r="I168" s="711">
        <f>Bilans_E_AMS_Kyoto_run3_MTE!M503</f>
        <v>0</v>
      </c>
      <c r="J168" s="711">
        <f>Bilans_E_AMS_Kyoto_run3_MTE!N503</f>
        <v>0</v>
      </c>
      <c r="K168" s="711">
        <f>Bilans_E_AMS_Kyoto_run3_MTE!O503</f>
        <v>0</v>
      </c>
      <c r="L168" s="711">
        <f>Bilans_E_AMS_Kyoto_run3_MTE!P503</f>
        <v>0</v>
      </c>
      <c r="M168" s="711">
        <f>Bilans_E_AMS_Kyoto_run3_MTE!Q503</f>
        <v>0</v>
      </c>
      <c r="N168" s="711">
        <f>Bilans_E_AMS_Kyoto_run3_MTE!R503</f>
        <v>0</v>
      </c>
      <c r="O168" s="711">
        <f>Bilans_E_AMS_Kyoto_run3_MTE!S503</f>
        <v>0</v>
      </c>
      <c r="P168" s="711">
        <f>Bilans_E_AMS_Kyoto_run3_MTE!T503+Bilans_E_AMS_Kyoto_run3_MTE!U503</f>
        <v>0</v>
      </c>
      <c r="Q168" s="711">
        <f>Bilans_E_AMS_Kyoto_run3_MTE!V503</f>
        <v>0</v>
      </c>
      <c r="R168" s="711">
        <f>Bilans_E_AMS_Kyoto_run3_MTE!W503</f>
        <v>0</v>
      </c>
      <c r="S168" s="711">
        <f>Bilans_E_AMS_Kyoto_run3_MTE!X503</f>
        <v>0</v>
      </c>
      <c r="T168" s="711">
        <f>Bilans_E_AMS_Kyoto_run3_MTE!Y503</f>
        <v>0</v>
      </c>
      <c r="U168" s="711">
        <f>Bilans_E_AMS_Kyoto_run3_MTE!Z503</f>
        <v>0</v>
      </c>
      <c r="V168" s="701"/>
      <c r="W168" s="701"/>
    </row>
    <row r="169" spans="1:23" x14ac:dyDescent="0.25">
      <c r="A169" s="701" t="s">
        <v>495</v>
      </c>
      <c r="B169" s="701"/>
      <c r="C169" s="717" t="s">
        <v>347</v>
      </c>
      <c r="D169" s="711">
        <f>Bilans_E_AMS_Kyoto_run3_MTE!H504</f>
        <v>0</v>
      </c>
      <c r="E169" s="711">
        <f>Bilans_E_AMS_Kyoto_run3_MTE!I504</f>
        <v>0</v>
      </c>
      <c r="F169" s="711">
        <f>Bilans_E_AMS_Kyoto_run3_MTE!J504</f>
        <v>0</v>
      </c>
      <c r="G169" s="711">
        <f>Bilans_E_AMS_Kyoto_run3_MTE!K504</f>
        <v>0</v>
      </c>
      <c r="H169" s="711">
        <f>Bilans_E_AMS_Kyoto_run3_MTE!L504</f>
        <v>2.2309947234042489E-3</v>
      </c>
      <c r="I169" s="711">
        <f>Bilans_E_AMS_Kyoto_run3_MTE!M504</f>
        <v>0</v>
      </c>
      <c r="J169" s="711">
        <f>Bilans_E_AMS_Kyoto_run3_MTE!N504</f>
        <v>1014.6070909090909</v>
      </c>
      <c r="K169" s="711">
        <f>Bilans_E_AMS_Kyoto_run3_MTE!O504</f>
        <v>462.06687945929309</v>
      </c>
      <c r="L169" s="711">
        <f>Bilans_E_AMS_Kyoto_run3_MTE!P504</f>
        <v>17.968425297338086</v>
      </c>
      <c r="M169" s="711">
        <f>Bilans_E_AMS_Kyoto_run3_MTE!Q504</f>
        <v>5.3124785537967538</v>
      </c>
      <c r="N169" s="711">
        <f>Bilans_E_AMS_Kyoto_run3_MTE!R504</f>
        <v>6.3451610040287907</v>
      </c>
      <c r="O169" s="711">
        <f>Bilans_E_AMS_Kyoto_run3_MTE!S504</f>
        <v>0.11597760068741178</v>
      </c>
      <c r="P169" s="711">
        <f>Bilans_E_AMS_Kyoto_run3_MTE!T504+Bilans_E_AMS_Kyoto_run3_MTE!U504</f>
        <v>0</v>
      </c>
      <c r="Q169" s="711">
        <f>Bilans_E_AMS_Kyoto_run3_MTE!V504</f>
        <v>6.4766550958451852</v>
      </c>
      <c r="R169" s="711">
        <f>Bilans_E_AMS_Kyoto_run3_MTE!W504</f>
        <v>-813.99806516168439</v>
      </c>
      <c r="S169" s="711">
        <f>Bilans_E_AMS_Kyoto_run3_MTE!X504</f>
        <v>0</v>
      </c>
      <c r="T169" s="711">
        <f>Bilans_E_AMS_Kyoto_run3_MTE!Y504</f>
        <v>0</v>
      </c>
      <c r="U169" s="711">
        <f>Bilans_E_AMS_Kyoto_run3_MTE!Z504</f>
        <v>698.89683375311927</v>
      </c>
      <c r="V169" s="701"/>
      <c r="W169" s="701"/>
    </row>
    <row r="170" spans="1:23" x14ac:dyDescent="0.25">
      <c r="A170" s="701" t="s">
        <v>496</v>
      </c>
      <c r="B170" s="701"/>
      <c r="C170" s="717" t="s">
        <v>348</v>
      </c>
      <c r="D170" s="711">
        <f>Bilans_E_AMS_Kyoto_run3_MTE!H505</f>
        <v>0</v>
      </c>
      <c r="E170" s="711">
        <f>Bilans_E_AMS_Kyoto_run3_MTE!I505</f>
        <v>0</v>
      </c>
      <c r="F170" s="711">
        <f>Bilans_E_AMS_Kyoto_run3_MTE!J505</f>
        <v>0</v>
      </c>
      <c r="G170" s="711">
        <f>Bilans_E_AMS_Kyoto_run3_MTE!K505</f>
        <v>0</v>
      </c>
      <c r="H170" s="711">
        <f>Bilans_E_AMS_Kyoto_run3_MTE!L505</f>
        <v>10.095185583157674</v>
      </c>
      <c r="I170" s="711">
        <f>Bilans_E_AMS_Kyoto_run3_MTE!M505</f>
        <v>0.18354882878468498</v>
      </c>
      <c r="J170" s="711">
        <f>Bilans_E_AMS_Kyoto_run3_MTE!N505</f>
        <v>6.5107047778232934</v>
      </c>
      <c r="K170" s="711">
        <f>Bilans_E_AMS_Kyoto_run3_MTE!O505</f>
        <v>0</v>
      </c>
      <c r="L170" s="711">
        <f>Bilans_E_AMS_Kyoto_run3_MTE!P505</f>
        <v>23.787457206103085</v>
      </c>
      <c r="M170" s="711">
        <f>Bilans_E_AMS_Kyoto_run3_MTE!Q505</f>
        <v>12.007971884882547</v>
      </c>
      <c r="N170" s="711">
        <f>Bilans_E_AMS_Kyoto_run3_MTE!R505</f>
        <v>0</v>
      </c>
      <c r="O170" s="711">
        <f>Bilans_E_AMS_Kyoto_run3_MTE!S505</f>
        <v>8.0912599085817618</v>
      </c>
      <c r="P170" s="711">
        <f>Bilans_E_AMS_Kyoto_run3_MTE!T505+Bilans_E_AMS_Kyoto_run3_MTE!U505</f>
        <v>19.703135322463453</v>
      </c>
      <c r="Q170" s="711">
        <f>Bilans_E_AMS_Kyoto_run3_MTE!V505</f>
        <v>12.221648755322821</v>
      </c>
      <c r="R170" s="711">
        <f>Bilans_E_AMS_Kyoto_run3_MTE!W505</f>
        <v>0</v>
      </c>
      <c r="S170" s="711">
        <f>Bilans_E_AMS_Kyoto_run3_MTE!X505</f>
        <v>-86.369990218724851</v>
      </c>
      <c r="T170" s="711">
        <f>Bilans_E_AMS_Kyoto_run3_MTE!Y505</f>
        <v>0</v>
      </c>
      <c r="U170" s="711">
        <f>Bilans_E_AMS_Kyoto_run3_MTE!Z505</f>
        <v>6.2309220483944614</v>
      </c>
      <c r="V170" s="701"/>
      <c r="W170" s="701"/>
    </row>
    <row r="171" spans="1:23" x14ac:dyDescent="0.25">
      <c r="A171" s="701" t="s">
        <v>497</v>
      </c>
      <c r="B171" s="701"/>
      <c r="C171" s="717" t="s">
        <v>349</v>
      </c>
      <c r="D171" s="711">
        <f>Bilans_E_AMS_Kyoto_run3_MTE!H506</f>
        <v>0</v>
      </c>
      <c r="E171" s="711">
        <f>Bilans_E_AMS_Kyoto_run3_MTE!I506</f>
        <v>0</v>
      </c>
      <c r="F171" s="711">
        <f>Bilans_E_AMS_Kyoto_run3_MTE!J506</f>
        <v>0</v>
      </c>
      <c r="G171" s="711">
        <f>Bilans_E_AMS_Kyoto_run3_MTE!K506</f>
        <v>0</v>
      </c>
      <c r="H171" s="711">
        <f>Bilans_E_AMS_Kyoto_run3_MTE!L506</f>
        <v>0</v>
      </c>
      <c r="I171" s="711">
        <f>Bilans_E_AMS_Kyoto_run3_MTE!M506</f>
        <v>0</v>
      </c>
      <c r="J171" s="711">
        <f>Bilans_E_AMS_Kyoto_run3_MTE!N506</f>
        <v>0</v>
      </c>
      <c r="K171" s="711">
        <f>Bilans_E_AMS_Kyoto_run3_MTE!O506</f>
        <v>0</v>
      </c>
      <c r="L171" s="711">
        <f>Bilans_E_AMS_Kyoto_run3_MTE!P506</f>
        <v>149.36314864907311</v>
      </c>
      <c r="M171" s="711">
        <f>Bilans_E_AMS_Kyoto_run3_MTE!Q506</f>
        <v>12.851297568088029</v>
      </c>
      <c r="N171" s="711">
        <f>Bilans_E_AMS_Kyoto_run3_MTE!R506</f>
        <v>0</v>
      </c>
      <c r="O171" s="711">
        <f>Bilans_E_AMS_Kyoto_run3_MTE!S506</f>
        <v>-81.192550335578574</v>
      </c>
      <c r="P171" s="711">
        <f>Bilans_E_AMS_Kyoto_run3_MTE!T506+Bilans_E_AMS_Kyoto_run3_MTE!U506</f>
        <v>0</v>
      </c>
      <c r="Q171" s="711">
        <f>Bilans_E_AMS_Kyoto_run3_MTE!V506</f>
        <v>0</v>
      </c>
      <c r="R171" s="711">
        <f>Bilans_E_AMS_Kyoto_run3_MTE!W506</f>
        <v>0</v>
      </c>
      <c r="S171" s="711">
        <f>Bilans_E_AMS_Kyoto_run3_MTE!X506</f>
        <v>0</v>
      </c>
      <c r="T171" s="711">
        <f>Bilans_E_AMS_Kyoto_run3_MTE!Y506</f>
        <v>0</v>
      </c>
      <c r="U171" s="711">
        <f>Bilans_E_AMS_Kyoto_run3_MTE!Z506</f>
        <v>81.021895881582566</v>
      </c>
      <c r="V171" s="701"/>
      <c r="W171" s="701"/>
    </row>
    <row r="172" spans="1:23" x14ac:dyDescent="0.25">
      <c r="A172" s="701" t="s">
        <v>498</v>
      </c>
      <c r="B172" s="701"/>
      <c r="C172" s="717" t="s">
        <v>350</v>
      </c>
      <c r="D172" s="711">
        <f>Bilans_E_AMS_Kyoto_run3_MTE!H507</f>
        <v>0</v>
      </c>
      <c r="E172" s="711">
        <f>Bilans_E_AMS_Kyoto_run3_MTE!I507</f>
        <v>0</v>
      </c>
      <c r="F172" s="711">
        <f>Bilans_E_AMS_Kyoto_run3_MTE!J507</f>
        <v>0</v>
      </c>
      <c r="G172" s="711">
        <f>Bilans_E_AMS_Kyoto_run3_MTE!K507</f>
        <v>0</v>
      </c>
      <c r="H172" s="711">
        <f>Bilans_E_AMS_Kyoto_run3_MTE!L507</f>
        <v>0</v>
      </c>
      <c r="I172" s="711">
        <f>Bilans_E_AMS_Kyoto_run3_MTE!M507</f>
        <v>-3.7466899829342335</v>
      </c>
      <c r="J172" s="711">
        <f>Bilans_E_AMS_Kyoto_run3_MTE!N507</f>
        <v>0</v>
      </c>
      <c r="K172" s="711">
        <f>Bilans_E_AMS_Kyoto_run3_MTE!O507</f>
        <v>0</v>
      </c>
      <c r="L172" s="711">
        <f>Bilans_E_AMS_Kyoto_run3_MTE!P507</f>
        <v>0</v>
      </c>
      <c r="M172" s="711">
        <f>Bilans_E_AMS_Kyoto_run3_MTE!Q507</f>
        <v>0</v>
      </c>
      <c r="N172" s="711">
        <f>Bilans_E_AMS_Kyoto_run3_MTE!R507</f>
        <v>0</v>
      </c>
      <c r="O172" s="711">
        <f>Bilans_E_AMS_Kyoto_run3_MTE!S507</f>
        <v>0</v>
      </c>
      <c r="P172" s="711">
        <f>Bilans_E_AMS_Kyoto_run3_MTE!T507+Bilans_E_AMS_Kyoto_run3_MTE!U507</f>
        <v>0</v>
      </c>
      <c r="Q172" s="711">
        <f>Bilans_E_AMS_Kyoto_run3_MTE!V507</f>
        <v>0</v>
      </c>
      <c r="R172" s="711">
        <f>Bilans_E_AMS_Kyoto_run3_MTE!W507</f>
        <v>0</v>
      </c>
      <c r="S172" s="711">
        <f>Bilans_E_AMS_Kyoto_run3_MTE!X507</f>
        <v>0</v>
      </c>
      <c r="T172" s="711">
        <f>Bilans_E_AMS_Kyoto_run3_MTE!Y507</f>
        <v>5.1930977473126321</v>
      </c>
      <c r="U172" s="711">
        <f>Bilans_E_AMS_Kyoto_run3_MTE!Z507</f>
        <v>1.4464077643783986</v>
      </c>
      <c r="V172" s="701"/>
      <c r="W172" s="701"/>
    </row>
    <row r="173" spans="1:23" x14ac:dyDescent="0.25">
      <c r="A173" s="701" t="s">
        <v>499</v>
      </c>
      <c r="B173" s="701"/>
      <c r="C173" s="717" t="s">
        <v>72</v>
      </c>
      <c r="D173" s="711">
        <f>Bilans_E_AMS_Kyoto_run3_MTE!H508</f>
        <v>0</v>
      </c>
      <c r="E173" s="711">
        <f>Bilans_E_AMS_Kyoto_run3_MTE!I508</f>
        <v>148.77345828425325</v>
      </c>
      <c r="F173" s="711">
        <f>Bilans_E_AMS_Kyoto_run3_MTE!J508</f>
        <v>-147.28572370141072</v>
      </c>
      <c r="G173" s="711">
        <f>Bilans_E_AMS_Kyoto_run3_MTE!K508</f>
        <v>0</v>
      </c>
      <c r="H173" s="711">
        <f>Bilans_E_AMS_Kyoto_run3_MTE!L508</f>
        <v>0</v>
      </c>
      <c r="I173" s="711">
        <f>Bilans_E_AMS_Kyoto_run3_MTE!M508</f>
        <v>0</v>
      </c>
      <c r="J173" s="711">
        <f>Bilans_E_AMS_Kyoto_run3_MTE!N508</f>
        <v>0</v>
      </c>
      <c r="K173" s="711">
        <f>Bilans_E_AMS_Kyoto_run3_MTE!O508</f>
        <v>0</v>
      </c>
      <c r="L173" s="711">
        <f>Bilans_E_AMS_Kyoto_run3_MTE!P508</f>
        <v>0</v>
      </c>
      <c r="M173" s="711">
        <f>Bilans_E_AMS_Kyoto_run3_MTE!Q508</f>
        <v>0</v>
      </c>
      <c r="N173" s="711">
        <f>Bilans_E_AMS_Kyoto_run3_MTE!R508</f>
        <v>0</v>
      </c>
      <c r="O173" s="711">
        <f>Bilans_E_AMS_Kyoto_run3_MTE!S508</f>
        <v>0</v>
      </c>
      <c r="P173" s="711">
        <f>Bilans_E_AMS_Kyoto_run3_MTE!T508+Bilans_E_AMS_Kyoto_run3_MTE!U508</f>
        <v>0</v>
      </c>
      <c r="Q173" s="711">
        <f>Bilans_E_AMS_Kyoto_run3_MTE!V508</f>
        <v>0</v>
      </c>
      <c r="R173" s="711">
        <f>Bilans_E_AMS_Kyoto_run3_MTE!W508</f>
        <v>0</v>
      </c>
      <c r="S173" s="711">
        <f>Bilans_E_AMS_Kyoto_run3_MTE!X508</f>
        <v>0</v>
      </c>
      <c r="T173" s="711">
        <f>Bilans_E_AMS_Kyoto_run3_MTE!Y508</f>
        <v>0</v>
      </c>
      <c r="U173" s="711">
        <f>Bilans_E_AMS_Kyoto_run3_MTE!Z508</f>
        <v>1.4877345828425348</v>
      </c>
      <c r="V173" s="701"/>
      <c r="W173" s="701"/>
    </row>
    <row r="174" spans="1:23" x14ac:dyDescent="0.25">
      <c r="A174" s="701" t="s">
        <v>500</v>
      </c>
      <c r="B174" s="701"/>
      <c r="C174" s="717" t="s">
        <v>351</v>
      </c>
      <c r="D174" s="711">
        <f>Bilans_E_AMS_Kyoto_run3_MTE!H509</f>
        <v>0</v>
      </c>
      <c r="E174" s="711">
        <f>Bilans_E_AMS_Kyoto_run3_MTE!I509</f>
        <v>0</v>
      </c>
      <c r="F174" s="711">
        <f>Bilans_E_AMS_Kyoto_run3_MTE!J509</f>
        <v>0</v>
      </c>
      <c r="G174" s="711">
        <f>Bilans_E_AMS_Kyoto_run3_MTE!K509</f>
        <v>0</v>
      </c>
      <c r="H174" s="711">
        <f>Bilans_E_AMS_Kyoto_run3_MTE!L509</f>
        <v>0</v>
      </c>
      <c r="I174" s="711">
        <f>Bilans_E_AMS_Kyoto_run3_MTE!M509</f>
        <v>0</v>
      </c>
      <c r="J174" s="711">
        <f>Bilans_E_AMS_Kyoto_run3_MTE!N509</f>
        <v>0</v>
      </c>
      <c r="K174" s="711">
        <f>Bilans_E_AMS_Kyoto_run3_MTE!O509</f>
        <v>0</v>
      </c>
      <c r="L174" s="711">
        <f>Bilans_E_AMS_Kyoto_run3_MTE!P509</f>
        <v>102.29704163456771</v>
      </c>
      <c r="M174" s="711">
        <f>Bilans_E_AMS_Kyoto_run3_MTE!Q509</f>
        <v>7.2727272727272725</v>
      </c>
      <c r="N174" s="711">
        <f>Bilans_E_AMS_Kyoto_run3_MTE!R509</f>
        <v>-61.183830654875514</v>
      </c>
      <c r="O174" s="711">
        <f>Bilans_E_AMS_Kyoto_run3_MTE!S509</f>
        <v>0</v>
      </c>
      <c r="P174" s="711">
        <f>Bilans_E_AMS_Kyoto_run3_MTE!T509+Bilans_E_AMS_Kyoto_run3_MTE!U509</f>
        <v>0</v>
      </c>
      <c r="Q174" s="711">
        <f>Bilans_E_AMS_Kyoto_run3_MTE!V509</f>
        <v>0</v>
      </c>
      <c r="R174" s="711">
        <f>Bilans_E_AMS_Kyoto_run3_MTE!W509</f>
        <v>0</v>
      </c>
      <c r="S174" s="711">
        <f>Bilans_E_AMS_Kyoto_run3_MTE!X509</f>
        <v>0</v>
      </c>
      <c r="T174" s="711">
        <f>Bilans_E_AMS_Kyoto_run3_MTE!Y509</f>
        <v>0</v>
      </c>
      <c r="U174" s="711">
        <f>Bilans_E_AMS_Kyoto_run3_MTE!Z509</f>
        <v>48.385938252419457</v>
      </c>
      <c r="V174" s="701"/>
      <c r="W174" s="701"/>
    </row>
    <row r="175" spans="1:23" x14ac:dyDescent="0.25">
      <c r="A175" s="701" t="s">
        <v>501</v>
      </c>
      <c r="B175" s="701"/>
      <c r="C175" s="717" t="s">
        <v>352</v>
      </c>
      <c r="D175" s="711">
        <f>Bilans_E_AMS_Kyoto_run3_MTE!H510</f>
        <v>0</v>
      </c>
      <c r="E175" s="711">
        <f>Bilans_E_AMS_Kyoto_run3_MTE!I510</f>
        <v>0</v>
      </c>
      <c r="F175" s="711">
        <f>Bilans_E_AMS_Kyoto_run3_MTE!J510</f>
        <v>0</v>
      </c>
      <c r="G175" s="711">
        <f>Bilans_E_AMS_Kyoto_run3_MTE!K510</f>
        <v>-14.619486217725157</v>
      </c>
      <c r="H175" s="711">
        <f>Bilans_E_AMS_Kyoto_run3_MTE!L510</f>
        <v>0</v>
      </c>
      <c r="I175" s="711">
        <f>Bilans_E_AMS_Kyoto_run3_MTE!M510</f>
        <v>0</v>
      </c>
      <c r="J175" s="711">
        <f>Bilans_E_AMS_Kyoto_run3_MTE!N510</f>
        <v>0</v>
      </c>
      <c r="K175" s="711">
        <f>Bilans_E_AMS_Kyoto_run3_MTE!O510</f>
        <v>0</v>
      </c>
      <c r="L175" s="711">
        <f>Bilans_E_AMS_Kyoto_run3_MTE!P510</f>
        <v>0</v>
      </c>
      <c r="M175" s="711">
        <f>Bilans_E_AMS_Kyoto_run3_MTE!Q510</f>
        <v>0</v>
      </c>
      <c r="N175" s="711">
        <f>Bilans_E_AMS_Kyoto_run3_MTE!R510</f>
        <v>0</v>
      </c>
      <c r="O175" s="711">
        <f>Bilans_E_AMS_Kyoto_run3_MTE!S510</f>
        <v>0</v>
      </c>
      <c r="P175" s="711">
        <f>Bilans_E_AMS_Kyoto_run3_MTE!T510+Bilans_E_AMS_Kyoto_run3_MTE!U510</f>
        <v>0</v>
      </c>
      <c r="Q175" s="711">
        <f>Bilans_E_AMS_Kyoto_run3_MTE!V510</f>
        <v>0</v>
      </c>
      <c r="R175" s="711">
        <f>Bilans_E_AMS_Kyoto_run3_MTE!W510</f>
        <v>0</v>
      </c>
      <c r="S175" s="711">
        <f>Bilans_E_AMS_Kyoto_run3_MTE!X510</f>
        <v>0</v>
      </c>
      <c r="T175" s="711">
        <f>Bilans_E_AMS_Kyoto_run3_MTE!Y510</f>
        <v>24.331434839497675</v>
      </c>
      <c r="U175" s="711">
        <f>Bilans_E_AMS_Kyoto_run3_MTE!Z510</f>
        <v>9.7119486217725175</v>
      </c>
      <c r="V175" s="701"/>
      <c r="W175" s="701"/>
    </row>
    <row r="176" spans="1:23" x14ac:dyDescent="0.25">
      <c r="A176" s="701" t="s">
        <v>502</v>
      </c>
      <c r="B176" s="701"/>
      <c r="C176" s="717" t="s">
        <v>73</v>
      </c>
      <c r="D176" s="711">
        <f>Bilans_E_AMS_Kyoto_run3_MTE!H511</f>
        <v>0</v>
      </c>
      <c r="E176" s="711">
        <f>Bilans_E_AMS_Kyoto_run3_MTE!I511</f>
        <v>0</v>
      </c>
      <c r="F176" s="711">
        <f>Bilans_E_AMS_Kyoto_run3_MTE!J511</f>
        <v>0</v>
      </c>
      <c r="G176" s="711">
        <f>Bilans_E_AMS_Kyoto_run3_MTE!K511</f>
        <v>0</v>
      </c>
      <c r="H176" s="711">
        <f>Bilans_E_AMS_Kyoto_run3_MTE!L511</f>
        <v>0</v>
      </c>
      <c r="I176" s="711">
        <f>Bilans_E_AMS_Kyoto_run3_MTE!M511</f>
        <v>0</v>
      </c>
      <c r="J176" s="711">
        <f>Bilans_E_AMS_Kyoto_run3_MTE!N511</f>
        <v>0</v>
      </c>
      <c r="K176" s="711">
        <f>Bilans_E_AMS_Kyoto_run3_MTE!O511</f>
        <v>0</v>
      </c>
      <c r="L176" s="711">
        <f>Bilans_E_AMS_Kyoto_run3_MTE!P511</f>
        <v>0</v>
      </c>
      <c r="M176" s="711">
        <f>Bilans_E_AMS_Kyoto_run3_MTE!Q511</f>
        <v>0</v>
      </c>
      <c r="N176" s="711">
        <f>Bilans_E_AMS_Kyoto_run3_MTE!R511</f>
        <v>0</v>
      </c>
      <c r="O176" s="711">
        <f>Bilans_E_AMS_Kyoto_run3_MTE!S511</f>
        <v>0</v>
      </c>
      <c r="P176" s="711">
        <f>Bilans_E_AMS_Kyoto_run3_MTE!T511+Bilans_E_AMS_Kyoto_run3_MTE!U511</f>
        <v>0</v>
      </c>
      <c r="Q176" s="711">
        <f>Bilans_E_AMS_Kyoto_run3_MTE!V511</f>
        <v>0</v>
      </c>
      <c r="R176" s="711">
        <f>Bilans_E_AMS_Kyoto_run3_MTE!W511</f>
        <v>88.6114421596901</v>
      </c>
      <c r="S176" s="711">
        <f>Bilans_E_AMS_Kyoto_run3_MTE!X511</f>
        <v>0</v>
      </c>
      <c r="T176" s="711">
        <f>Bilans_E_AMS_Kyoto_run3_MTE!Y511</f>
        <v>-62.249538117182297</v>
      </c>
      <c r="U176" s="711">
        <f>Bilans_E_AMS_Kyoto_run3_MTE!Z511</f>
        <v>26.361904042507803</v>
      </c>
      <c r="V176" s="701"/>
      <c r="W176" s="701"/>
    </row>
    <row r="177" spans="1:23" x14ac:dyDescent="0.25">
      <c r="A177" s="701" t="s">
        <v>503</v>
      </c>
      <c r="B177" s="701"/>
      <c r="C177" s="717" t="s">
        <v>353</v>
      </c>
      <c r="D177" s="711">
        <f>Bilans_E_AMS_Kyoto_run3_MTE!H512</f>
        <v>0</v>
      </c>
      <c r="E177" s="711">
        <f>Bilans_E_AMS_Kyoto_run3_MTE!I512</f>
        <v>-5.1997356607688232</v>
      </c>
      <c r="F177" s="711">
        <f>Bilans_E_AMS_Kyoto_run3_MTE!J512</f>
        <v>6.948298230027091</v>
      </c>
      <c r="G177" s="711">
        <f>Bilans_E_AMS_Kyoto_run3_MTE!K512</f>
        <v>0</v>
      </c>
      <c r="H177" s="711">
        <f>Bilans_E_AMS_Kyoto_run3_MTE!L512</f>
        <v>0</v>
      </c>
      <c r="I177" s="711">
        <f>Bilans_E_AMS_Kyoto_run3_MTE!M512</f>
        <v>0</v>
      </c>
      <c r="J177" s="711">
        <f>Bilans_E_AMS_Kyoto_run3_MTE!N512</f>
        <v>0</v>
      </c>
      <c r="K177" s="711">
        <f>Bilans_E_AMS_Kyoto_run3_MTE!O512</f>
        <v>0</v>
      </c>
      <c r="L177" s="711">
        <f>Bilans_E_AMS_Kyoto_run3_MTE!P512</f>
        <v>0</v>
      </c>
      <c r="M177" s="711">
        <f>Bilans_E_AMS_Kyoto_run3_MTE!Q512</f>
        <v>0</v>
      </c>
      <c r="N177" s="711">
        <f>Bilans_E_AMS_Kyoto_run3_MTE!R512</f>
        <v>0</v>
      </c>
      <c r="O177" s="711">
        <f>Bilans_E_AMS_Kyoto_run3_MTE!S512</f>
        <v>0</v>
      </c>
      <c r="P177" s="711">
        <f>Bilans_E_AMS_Kyoto_run3_MTE!T512+Bilans_E_AMS_Kyoto_run3_MTE!U512</f>
        <v>0</v>
      </c>
      <c r="Q177" s="711">
        <f>Bilans_E_AMS_Kyoto_run3_MTE!V512</f>
        <v>0</v>
      </c>
      <c r="R177" s="711">
        <f>Bilans_E_AMS_Kyoto_run3_MTE!W512</f>
        <v>0</v>
      </c>
      <c r="S177" s="711">
        <f>Bilans_E_AMS_Kyoto_run3_MTE!X512</f>
        <v>0</v>
      </c>
      <c r="T177" s="711">
        <f>Bilans_E_AMS_Kyoto_run3_MTE!Y512</f>
        <v>0</v>
      </c>
      <c r="U177" s="711">
        <f>Bilans_E_AMS_Kyoto_run3_MTE!Z512</f>
        <v>1.7485625692582678</v>
      </c>
      <c r="V177" s="701"/>
      <c r="W177" s="701"/>
    </row>
    <row r="178" spans="1:23" x14ac:dyDescent="0.25">
      <c r="A178" s="701" t="s">
        <v>504</v>
      </c>
      <c r="B178" s="701"/>
      <c r="C178" s="717" t="s">
        <v>75</v>
      </c>
      <c r="D178" s="711">
        <f>Bilans_E_AMS_Kyoto_run3_MTE!H513</f>
        <v>0</v>
      </c>
      <c r="E178" s="711">
        <f>Bilans_E_AMS_Kyoto_run3_MTE!I513</f>
        <v>0</v>
      </c>
      <c r="F178" s="711">
        <f>Bilans_E_AMS_Kyoto_run3_MTE!J513</f>
        <v>5.2004760110645112</v>
      </c>
      <c r="G178" s="711">
        <f>Bilans_E_AMS_Kyoto_run3_MTE!K513</f>
        <v>0</v>
      </c>
      <c r="H178" s="711">
        <f>Bilans_E_AMS_Kyoto_run3_MTE!L513</f>
        <v>0</v>
      </c>
      <c r="I178" s="711">
        <f>Bilans_E_AMS_Kyoto_run3_MTE!M513</f>
        <v>0</v>
      </c>
      <c r="J178" s="711">
        <f>Bilans_E_AMS_Kyoto_run3_MTE!N513</f>
        <v>0</v>
      </c>
      <c r="K178" s="711">
        <f>Bilans_E_AMS_Kyoto_run3_MTE!O513</f>
        <v>0</v>
      </c>
      <c r="L178" s="711">
        <f>Bilans_E_AMS_Kyoto_run3_MTE!P513</f>
        <v>0</v>
      </c>
      <c r="M178" s="711">
        <f>Bilans_E_AMS_Kyoto_run3_MTE!Q513</f>
        <v>0</v>
      </c>
      <c r="N178" s="711">
        <f>Bilans_E_AMS_Kyoto_run3_MTE!R513</f>
        <v>0</v>
      </c>
      <c r="O178" s="711">
        <f>Bilans_E_AMS_Kyoto_run3_MTE!S513</f>
        <v>0</v>
      </c>
      <c r="P178" s="711">
        <f>Bilans_E_AMS_Kyoto_run3_MTE!T513+Bilans_E_AMS_Kyoto_run3_MTE!U513</f>
        <v>0</v>
      </c>
      <c r="Q178" s="711">
        <f>Bilans_E_AMS_Kyoto_run3_MTE!V513</f>
        <v>0</v>
      </c>
      <c r="R178" s="711">
        <f>Bilans_E_AMS_Kyoto_run3_MTE!W513</f>
        <v>38.430337038531441</v>
      </c>
      <c r="S178" s="711">
        <f>Bilans_E_AMS_Kyoto_run3_MTE!X513</f>
        <v>0</v>
      </c>
      <c r="T178" s="711">
        <f>Bilans_E_AMS_Kyoto_run3_MTE!Y513</f>
        <v>1.4650612498705113</v>
      </c>
      <c r="U178" s="711">
        <f>Bilans_E_AMS_Kyoto_run3_MTE!Z513</f>
        <v>45.095874299466459</v>
      </c>
      <c r="V178" s="701"/>
      <c r="W178" s="701"/>
    </row>
    <row r="179" spans="1:23" x14ac:dyDescent="0.25">
      <c r="A179" s="701" t="s">
        <v>505</v>
      </c>
      <c r="B179" s="701"/>
      <c r="C179" s="717" t="s">
        <v>76</v>
      </c>
      <c r="D179" s="711">
        <f>Bilans_E_AMS_Kyoto_run3_MTE!H514</f>
        <v>0</v>
      </c>
      <c r="E179" s="711">
        <f>Bilans_E_AMS_Kyoto_run3_MTE!I514</f>
        <v>0</v>
      </c>
      <c r="F179" s="711">
        <f>Bilans_E_AMS_Kyoto_run3_MTE!J514</f>
        <v>0</v>
      </c>
      <c r="G179" s="711">
        <f>Bilans_E_AMS_Kyoto_run3_MTE!K514</f>
        <v>0</v>
      </c>
      <c r="H179" s="711">
        <f>Bilans_E_AMS_Kyoto_run3_MTE!L514</f>
        <v>0.87272798956791087</v>
      </c>
      <c r="I179" s="711">
        <f>Bilans_E_AMS_Kyoto_run3_MTE!M514</f>
        <v>1.5867781628507469E-2</v>
      </c>
      <c r="J179" s="711">
        <f>Bilans_E_AMS_Kyoto_run3_MTE!N514</f>
        <v>0</v>
      </c>
      <c r="K179" s="711">
        <f>Bilans_E_AMS_Kyoto_run3_MTE!O514</f>
        <v>0</v>
      </c>
      <c r="L179" s="711">
        <f>Bilans_E_AMS_Kyoto_run3_MTE!P514</f>
        <v>0</v>
      </c>
      <c r="M179" s="711">
        <f>Bilans_E_AMS_Kyoto_run3_MTE!Q514</f>
        <v>0</v>
      </c>
      <c r="N179" s="711">
        <f>Bilans_E_AMS_Kyoto_run3_MTE!R514</f>
        <v>0</v>
      </c>
      <c r="O179" s="711">
        <f>Bilans_E_AMS_Kyoto_run3_MTE!S514</f>
        <v>0.6981823916543286</v>
      </c>
      <c r="P179" s="711">
        <f>Bilans_E_AMS_Kyoto_run3_MTE!T514+Bilans_E_AMS_Kyoto_run3_MTE!U514</f>
        <v>0</v>
      </c>
      <c r="Q179" s="711">
        <f>Bilans_E_AMS_Kyoto_run3_MTE!V514</f>
        <v>0</v>
      </c>
      <c r="R179" s="711">
        <f>Bilans_E_AMS_Kyoto_run3_MTE!W514</f>
        <v>61.224106337294323</v>
      </c>
      <c r="S179" s="711">
        <f>Bilans_E_AMS_Kyoto_run3_MTE!X514</f>
        <v>6.697680379771108</v>
      </c>
      <c r="T179" s="711">
        <f>Bilans_E_AMS_Kyoto_run3_MTE!Y514</f>
        <v>0</v>
      </c>
      <c r="U179" s="711">
        <f>Bilans_E_AMS_Kyoto_run3_MTE!Z514</f>
        <v>69.508564879916179</v>
      </c>
      <c r="V179" s="701"/>
      <c r="W179" s="701"/>
    </row>
    <row r="180" spans="1:23" x14ac:dyDescent="0.25">
      <c r="A180" s="701" t="s">
        <v>506</v>
      </c>
      <c r="B180" s="701"/>
      <c r="C180" s="713" t="s">
        <v>77</v>
      </c>
      <c r="D180" s="714">
        <f>Bilans_E_AMS_Kyoto_run3_MTE!H515</f>
        <v>0</v>
      </c>
      <c r="E180" s="714">
        <f>Bilans_E_AMS_Kyoto_run3_MTE!I515</f>
        <v>143.57372262348443</v>
      </c>
      <c r="F180" s="714">
        <f>Bilans_E_AMS_Kyoto_run3_MTE!J515</f>
        <v>-135.1369494603191</v>
      </c>
      <c r="G180" s="714">
        <f>Bilans_E_AMS_Kyoto_run3_MTE!K515</f>
        <v>-14.619486217725157</v>
      </c>
      <c r="H180" s="714">
        <f>Bilans_E_AMS_Kyoto_run3_MTE!L515</f>
        <v>10.97014456744899</v>
      </c>
      <c r="I180" s="714">
        <f>Bilans_E_AMS_Kyoto_run3_MTE!M515</f>
        <v>-3.5472733725210412</v>
      </c>
      <c r="J180" s="714">
        <f>Bilans_E_AMS_Kyoto_run3_MTE!N515</f>
        <v>1021.1177956869142</v>
      </c>
      <c r="K180" s="714">
        <f>Bilans_E_AMS_Kyoto_run3_MTE!O515</f>
        <v>462.06687945929309</v>
      </c>
      <c r="L180" s="714">
        <f>Bilans_E_AMS_Kyoto_run3_MTE!P515</f>
        <v>293.41607278708199</v>
      </c>
      <c r="M180" s="714">
        <f>Bilans_E_AMS_Kyoto_run3_MTE!Q515</f>
        <v>37.444475279494604</v>
      </c>
      <c r="N180" s="714">
        <f>Bilans_E_AMS_Kyoto_run3_MTE!R515</f>
        <v>-54.838669650846725</v>
      </c>
      <c r="O180" s="714">
        <f>Bilans_E_AMS_Kyoto_run3_MTE!S515</f>
        <v>-72.287130434655069</v>
      </c>
      <c r="P180" s="714">
        <f>Bilans_E_AMS_Kyoto_run3_MTE!T515+Bilans_E_AMS_Kyoto_run3_MTE!U515</f>
        <v>19.703135322463453</v>
      </c>
      <c r="Q180" s="714">
        <f>Bilans_E_AMS_Kyoto_run3_MTE!V515</f>
        <v>18.698303851168006</v>
      </c>
      <c r="R180" s="714">
        <f>Bilans_E_AMS_Kyoto_run3_MTE!W515</f>
        <v>-625.73217962616854</v>
      </c>
      <c r="S180" s="714">
        <f>Bilans_E_AMS_Kyoto_run3_MTE!X515</f>
        <v>-79.672309838953737</v>
      </c>
      <c r="T180" s="714">
        <f>Bilans_E_AMS_Kyoto_run3_MTE!Y515</f>
        <v>-31.259944280501475</v>
      </c>
      <c r="U180" s="714">
        <f>Bilans_E_AMS_Kyoto_run3_MTE!Z515</f>
        <v>989.89658669565813</v>
      </c>
      <c r="V180" s="701"/>
      <c r="W180" s="701"/>
    </row>
    <row r="181" spans="1:23" x14ac:dyDescent="0.25">
      <c r="A181" s="701"/>
      <c r="B181" s="701"/>
      <c r="C181" s="715"/>
      <c r="D181" s="716"/>
      <c r="E181" s="716"/>
      <c r="F181" s="716"/>
      <c r="G181" s="716"/>
      <c r="H181" s="716"/>
      <c r="I181" s="716"/>
      <c r="J181" s="716"/>
      <c r="K181" s="716"/>
      <c r="L181" s="716"/>
      <c r="M181" s="716"/>
      <c r="N181" s="716"/>
      <c r="O181" s="716"/>
      <c r="P181" s="716">
        <f>Bilans_E_AMS_Kyoto_run3_MTE!T516+Bilans_E_AMS_Kyoto_run3_MTE!U516</f>
        <v>0</v>
      </c>
      <c r="Q181" s="716"/>
      <c r="R181" s="716"/>
      <c r="S181" s="716"/>
      <c r="T181" s="716"/>
      <c r="U181" s="716"/>
      <c r="V181" s="701"/>
      <c r="W181" s="701"/>
    </row>
    <row r="182" spans="1:23" x14ac:dyDescent="0.25">
      <c r="A182" s="701" t="s">
        <v>507</v>
      </c>
      <c r="B182" s="701"/>
      <c r="C182" s="717" t="s">
        <v>78</v>
      </c>
      <c r="D182" s="711">
        <f>Bilans_E_AMS_Kyoto_run3_MTE!H517</f>
        <v>7.2040588378906256E-2</v>
      </c>
      <c r="E182" s="711">
        <f>Bilans_E_AMS_Kyoto_run3_MTE!I517</f>
        <v>0</v>
      </c>
      <c r="F182" s="711">
        <f>Bilans_E_AMS_Kyoto_run3_MTE!J517</f>
        <v>0.19057103431692568</v>
      </c>
      <c r="G182" s="711">
        <f>Bilans_E_AMS_Kyoto_run3_MTE!K517</f>
        <v>0</v>
      </c>
      <c r="H182" s="711">
        <f>Bilans_E_AMS_Kyoto_run3_MTE!L517</f>
        <v>28.795611186743677</v>
      </c>
      <c r="I182" s="711">
        <f>Bilans_E_AMS_Kyoto_run3_MTE!M517</f>
        <v>0.52355656703170317</v>
      </c>
      <c r="J182" s="711">
        <f>Bilans_E_AMS_Kyoto_run3_MTE!N517</f>
        <v>0</v>
      </c>
      <c r="K182" s="711">
        <f>Bilans_E_AMS_Kyoto_run3_MTE!O517</f>
        <v>0</v>
      </c>
      <c r="L182" s="711">
        <f>Bilans_E_AMS_Kyoto_run3_MTE!P517</f>
        <v>34.871553027324289</v>
      </c>
      <c r="M182" s="711">
        <f>Bilans_E_AMS_Kyoto_run3_MTE!Q517</f>
        <v>8.043964025546213</v>
      </c>
      <c r="N182" s="711">
        <f>Bilans_E_AMS_Kyoto_run3_MTE!R517</f>
        <v>0</v>
      </c>
      <c r="O182" s="711">
        <f>Bilans_E_AMS_Kyoto_run3_MTE!S517</f>
        <v>23.077839156426684</v>
      </c>
      <c r="P182" s="711">
        <f>Bilans_E_AMS_Kyoto_run3_MTE!T517+Bilans_E_AMS_Kyoto_run3_MTE!U517</f>
        <v>13.633620117187499</v>
      </c>
      <c r="Q182" s="711">
        <f>Bilans_E_AMS_Kyoto_run3_MTE!V517</f>
        <v>8.4299170840015686E-4</v>
      </c>
      <c r="R182" s="711">
        <f>Bilans_E_AMS_Kyoto_run3_MTE!W517</f>
        <v>158.64644753930071</v>
      </c>
      <c r="S182" s="711">
        <f>Bilans_E_AMS_Kyoto_run3_MTE!X517</f>
        <v>19.544256457993722</v>
      </c>
      <c r="T182" s="711">
        <f>Bilans_E_AMS_Kyoto_run3_MTE!Y517</f>
        <v>13.641840820312501</v>
      </c>
      <c r="U182" s="711">
        <f>Bilans_E_AMS_Kyoto_run3_MTE!Z517</f>
        <v>301.0421435122712</v>
      </c>
      <c r="V182" s="701"/>
      <c r="W182" s="701"/>
    </row>
    <row r="183" spans="1:23" x14ac:dyDescent="0.25">
      <c r="A183" s="701" t="s">
        <v>508</v>
      </c>
      <c r="B183" s="701"/>
      <c r="C183" s="717" t="s">
        <v>79</v>
      </c>
      <c r="D183" s="711">
        <f>Bilans_E_AMS_Kyoto_run3_MTE!H518</f>
        <v>0</v>
      </c>
      <c r="E183" s="711">
        <f>Bilans_E_AMS_Kyoto_run3_MTE!I518</f>
        <v>0</v>
      </c>
      <c r="F183" s="711">
        <f>Bilans_E_AMS_Kyoto_run3_MTE!J518</f>
        <v>27.842691184610331</v>
      </c>
      <c r="G183" s="711">
        <f>Bilans_E_AMS_Kyoto_run3_MTE!K518</f>
        <v>2</v>
      </c>
      <c r="H183" s="711">
        <f>Bilans_E_AMS_Kyoto_run3_MTE!L518</f>
        <v>4.1475118700352498</v>
      </c>
      <c r="I183" s="711">
        <f>Bilans_E_AMS_Kyoto_run3_MTE!M518</f>
        <v>7.5409306727913641E-2</v>
      </c>
      <c r="J183" s="711">
        <f>Bilans_E_AMS_Kyoto_run3_MTE!N518</f>
        <v>0</v>
      </c>
      <c r="K183" s="711">
        <f>Bilans_E_AMS_Kyoto_run3_MTE!O518</f>
        <v>0</v>
      </c>
      <c r="L183" s="711">
        <f>Bilans_E_AMS_Kyoto_run3_MTE!P518</f>
        <v>0</v>
      </c>
      <c r="M183" s="711">
        <f>Bilans_E_AMS_Kyoto_run3_MTE!Q518</f>
        <v>0</v>
      </c>
      <c r="N183" s="711">
        <f>Bilans_E_AMS_Kyoto_run3_MTE!R518</f>
        <v>29.027871012193479</v>
      </c>
      <c r="O183" s="711">
        <f>Bilans_E_AMS_Kyoto_run3_MTE!S518</f>
        <v>3.3180094960281998</v>
      </c>
      <c r="P183" s="711">
        <f>Bilans_E_AMS_Kyoto_run3_MTE!T518+Bilans_E_AMS_Kyoto_run3_MTE!U518</f>
        <v>0</v>
      </c>
      <c r="Q183" s="711">
        <f>Bilans_E_AMS_Kyoto_run3_MTE!V518</f>
        <v>0</v>
      </c>
      <c r="R183" s="711">
        <f>Bilans_E_AMS_Kyoto_run3_MTE!W518</f>
        <v>121.41640074189371</v>
      </c>
      <c r="S183" s="711">
        <f>Bilans_E_AMS_Kyoto_run3_MTE!X518</f>
        <v>0</v>
      </c>
      <c r="T183" s="711">
        <f>Bilans_E_AMS_Kyoto_run3_MTE!Y518</f>
        <v>6.7088833627788453</v>
      </c>
      <c r="U183" s="711">
        <f>Bilans_E_AMS_Kyoto_run3_MTE!Z518</f>
        <v>194.53677697426772</v>
      </c>
      <c r="V183" s="701"/>
      <c r="W183" s="701"/>
    </row>
    <row r="184" spans="1:23" x14ac:dyDescent="0.25">
      <c r="A184" s="701" t="s">
        <v>509</v>
      </c>
      <c r="B184" s="701"/>
      <c r="C184" s="717" t="s">
        <v>80</v>
      </c>
      <c r="D184" s="711">
        <f>Bilans_E_AMS_Kyoto_run3_MTE!H519</f>
        <v>0</v>
      </c>
      <c r="E184" s="711">
        <f>Bilans_E_AMS_Kyoto_run3_MTE!I519</f>
        <v>0</v>
      </c>
      <c r="F184" s="711">
        <f>Bilans_E_AMS_Kyoto_run3_MTE!J519</f>
        <v>0.1823284194363245</v>
      </c>
      <c r="G184" s="711">
        <f>Bilans_E_AMS_Kyoto_run3_MTE!K519</f>
        <v>0</v>
      </c>
      <c r="H184" s="711">
        <f>Bilans_E_AMS_Kyoto_run3_MTE!L519</f>
        <v>19.208488158214077</v>
      </c>
      <c r="I184" s="711">
        <f>Bilans_E_AMS_Kyoto_run3_MTE!M519</f>
        <v>0.34924523924025591</v>
      </c>
      <c r="J184" s="711">
        <f>Bilans_E_AMS_Kyoto_run3_MTE!N519</f>
        <v>0</v>
      </c>
      <c r="K184" s="711">
        <f>Bilans_E_AMS_Kyoto_run3_MTE!O519</f>
        <v>0</v>
      </c>
      <c r="L184" s="711">
        <f>Bilans_E_AMS_Kyoto_run3_MTE!P519</f>
        <v>41.860643688874312</v>
      </c>
      <c r="M184" s="711">
        <f>Bilans_E_AMS_Kyoto_run3_MTE!Q519</f>
        <v>0</v>
      </c>
      <c r="N184" s="711">
        <f>Bilans_E_AMS_Kyoto_run3_MTE!R519</f>
        <v>0</v>
      </c>
      <c r="O184" s="711">
        <f>Bilans_E_AMS_Kyoto_run3_MTE!S519</f>
        <v>15.366790526571261</v>
      </c>
      <c r="P184" s="711">
        <f>Bilans_E_AMS_Kyoto_run3_MTE!T519+Bilans_E_AMS_Kyoto_run3_MTE!U519</f>
        <v>148.3231165331799</v>
      </c>
      <c r="Q184" s="711">
        <f>Bilans_E_AMS_Kyoto_run3_MTE!V519</f>
        <v>12.136362038143677</v>
      </c>
      <c r="R184" s="711">
        <f>Bilans_E_AMS_Kyoto_run3_MTE!W519</f>
        <v>138.96099758278416</v>
      </c>
      <c r="S184" s="711">
        <f>Bilans_E_AMS_Kyoto_run3_MTE!X519</f>
        <v>37.481794053722915</v>
      </c>
      <c r="T184" s="711">
        <f>Bilans_E_AMS_Kyoto_run3_MTE!Y519</f>
        <v>0</v>
      </c>
      <c r="U184" s="711">
        <f>Bilans_E_AMS_Kyoto_run3_MTE!Z519</f>
        <v>413.86976624016694</v>
      </c>
      <c r="V184" s="701"/>
      <c r="W184" s="701"/>
    </row>
    <row r="185" spans="1:23" x14ac:dyDescent="0.25">
      <c r="A185" s="701" t="s">
        <v>510</v>
      </c>
      <c r="B185" s="701"/>
      <c r="C185" s="717" t="s">
        <v>81</v>
      </c>
      <c r="D185" s="711">
        <f>Bilans_E_AMS_Kyoto_run3_MTE!H520</f>
        <v>0</v>
      </c>
      <c r="E185" s="711">
        <f>Bilans_E_AMS_Kyoto_run3_MTE!I520</f>
        <v>0</v>
      </c>
      <c r="F185" s="711">
        <f>Bilans_E_AMS_Kyoto_run3_MTE!J520</f>
        <v>0.39199311709923457</v>
      </c>
      <c r="G185" s="711">
        <f>Bilans_E_AMS_Kyoto_run3_MTE!K520</f>
        <v>0</v>
      </c>
      <c r="H185" s="711">
        <f>Bilans_E_AMS_Kyoto_run3_MTE!L520</f>
        <v>9.9162417754913825</v>
      </c>
      <c r="I185" s="711">
        <f>Bilans_E_AMS_Kyoto_run3_MTE!M520</f>
        <v>0.18029530500893423</v>
      </c>
      <c r="J185" s="711">
        <f>Bilans_E_AMS_Kyoto_run3_MTE!N520</f>
        <v>0</v>
      </c>
      <c r="K185" s="711">
        <f>Bilans_E_AMS_Kyoto_run3_MTE!O520</f>
        <v>0</v>
      </c>
      <c r="L185" s="711">
        <f>Bilans_E_AMS_Kyoto_run3_MTE!P520</f>
        <v>0.48410239694179807</v>
      </c>
      <c r="M185" s="711">
        <f>Bilans_E_AMS_Kyoto_run3_MTE!Q520</f>
        <v>0</v>
      </c>
      <c r="N185" s="711">
        <f>Bilans_E_AMS_Kyoto_run3_MTE!R520</f>
        <v>0</v>
      </c>
      <c r="O185" s="711">
        <f>Bilans_E_AMS_Kyoto_run3_MTE!S520</f>
        <v>7.9329934203931058</v>
      </c>
      <c r="P185" s="711">
        <f>Bilans_E_AMS_Kyoto_run3_MTE!T520+Bilans_E_AMS_Kyoto_run3_MTE!U520</f>
        <v>58.56878651815164</v>
      </c>
      <c r="Q185" s="711">
        <f>Bilans_E_AMS_Kyoto_run3_MTE!V520</f>
        <v>12.039845592065015</v>
      </c>
      <c r="R185" s="711">
        <f>Bilans_E_AMS_Kyoto_run3_MTE!W520</f>
        <v>122.64919061404242</v>
      </c>
      <c r="S185" s="711">
        <f>Bilans_E_AMS_Kyoto_run3_MTE!X520</f>
        <v>22.646226401731536</v>
      </c>
      <c r="T185" s="711">
        <f>Bilans_E_AMS_Kyoto_run3_MTE!Y520</f>
        <v>0</v>
      </c>
      <c r="U185" s="711">
        <f>Bilans_E_AMS_Kyoto_run3_MTE!Z520</f>
        <v>234.80967514092507</v>
      </c>
      <c r="V185" s="701"/>
      <c r="W185" s="701"/>
    </row>
    <row r="186" spans="1:23" x14ac:dyDescent="0.25">
      <c r="A186" s="701" t="s">
        <v>511</v>
      </c>
      <c r="B186" s="701"/>
      <c r="C186" s="717" t="s">
        <v>82</v>
      </c>
      <c r="D186" s="711">
        <f>Bilans_E_AMS_Kyoto_run3_MTE!H521</f>
        <v>0</v>
      </c>
      <c r="E186" s="711">
        <f>Bilans_E_AMS_Kyoto_run3_MTE!I521</f>
        <v>0</v>
      </c>
      <c r="F186" s="711">
        <f>Bilans_E_AMS_Kyoto_run3_MTE!J521</f>
        <v>5.4571309143050808</v>
      </c>
      <c r="G186" s="711">
        <f>Bilans_E_AMS_Kyoto_run3_MTE!K521</f>
        <v>0</v>
      </c>
      <c r="H186" s="711">
        <f>Bilans_E_AMS_Kyoto_run3_MTE!L521</f>
        <v>0.56206289562711365</v>
      </c>
      <c r="I186" s="711">
        <f>Bilans_E_AMS_Kyoto_run3_MTE!M521</f>
        <v>1.0219325375038429E-2</v>
      </c>
      <c r="J186" s="711">
        <f>Bilans_E_AMS_Kyoto_run3_MTE!N521</f>
        <v>0</v>
      </c>
      <c r="K186" s="711">
        <f>Bilans_E_AMS_Kyoto_run3_MTE!O521</f>
        <v>0</v>
      </c>
      <c r="L186" s="711">
        <f>Bilans_E_AMS_Kyoto_run3_MTE!P521</f>
        <v>17.783972013033864</v>
      </c>
      <c r="M186" s="711">
        <f>Bilans_E_AMS_Kyoto_run3_MTE!Q521</f>
        <v>0</v>
      </c>
      <c r="N186" s="711">
        <f>Bilans_E_AMS_Kyoto_run3_MTE!R521</f>
        <v>8.2374051734864402</v>
      </c>
      <c r="O186" s="711">
        <f>Bilans_E_AMS_Kyoto_run3_MTE!S521</f>
        <v>0.44965031650169085</v>
      </c>
      <c r="P186" s="711">
        <f>Bilans_E_AMS_Kyoto_run3_MTE!T521+Bilans_E_AMS_Kyoto_run3_MTE!U521</f>
        <v>1.25</v>
      </c>
      <c r="Q186" s="711">
        <f>Bilans_E_AMS_Kyoto_run3_MTE!V521</f>
        <v>1.7440136932478227</v>
      </c>
      <c r="R186" s="711">
        <f>Bilans_E_AMS_Kyoto_run3_MTE!W521</f>
        <v>10.36655207833598</v>
      </c>
      <c r="S186" s="711">
        <f>Bilans_E_AMS_Kyoto_run3_MTE!X521</f>
        <v>0</v>
      </c>
      <c r="T186" s="711">
        <f>Bilans_E_AMS_Kyoto_run3_MTE!Y521</f>
        <v>0.55589052141355966</v>
      </c>
      <c r="U186" s="711">
        <f>Bilans_E_AMS_Kyoto_run3_MTE!Z521</f>
        <v>46.416896931326583</v>
      </c>
      <c r="V186" s="701"/>
      <c r="W186" s="701"/>
    </row>
    <row r="187" spans="1:23" x14ac:dyDescent="0.25">
      <c r="A187" s="701" t="s">
        <v>512</v>
      </c>
      <c r="B187" s="701"/>
      <c r="C187" s="717" t="s">
        <v>354</v>
      </c>
      <c r="D187" s="711">
        <f>Bilans_E_AMS_Kyoto_run3_MTE!H522</f>
        <v>0</v>
      </c>
      <c r="E187" s="711">
        <f>Bilans_E_AMS_Kyoto_run3_MTE!I522</f>
        <v>0</v>
      </c>
      <c r="F187" s="711">
        <f>Bilans_E_AMS_Kyoto_run3_MTE!J522</f>
        <v>0</v>
      </c>
      <c r="G187" s="711">
        <f>Bilans_E_AMS_Kyoto_run3_MTE!K522</f>
        <v>0</v>
      </c>
      <c r="H187" s="711">
        <f>Bilans_E_AMS_Kyoto_run3_MTE!L522</f>
        <v>0</v>
      </c>
      <c r="I187" s="711">
        <f>Bilans_E_AMS_Kyoto_run3_MTE!M522</f>
        <v>0</v>
      </c>
      <c r="J187" s="711">
        <f>Bilans_E_AMS_Kyoto_run3_MTE!N522</f>
        <v>0</v>
      </c>
      <c r="K187" s="711">
        <f>Bilans_E_AMS_Kyoto_run3_MTE!O522</f>
        <v>0</v>
      </c>
      <c r="L187" s="711">
        <f>Bilans_E_AMS_Kyoto_run3_MTE!P522</f>
        <v>0</v>
      </c>
      <c r="M187" s="711">
        <f>Bilans_E_AMS_Kyoto_run3_MTE!Q522</f>
        <v>0</v>
      </c>
      <c r="N187" s="711">
        <f>Bilans_E_AMS_Kyoto_run3_MTE!R522</f>
        <v>0</v>
      </c>
      <c r="O187" s="711">
        <f>Bilans_E_AMS_Kyoto_run3_MTE!S522</f>
        <v>0</v>
      </c>
      <c r="P187" s="711">
        <f>Bilans_E_AMS_Kyoto_run3_MTE!T522+Bilans_E_AMS_Kyoto_run3_MTE!U522</f>
        <v>0</v>
      </c>
      <c r="Q187" s="711">
        <f>Bilans_E_AMS_Kyoto_run3_MTE!V522</f>
        <v>0</v>
      </c>
      <c r="R187" s="711">
        <f>Bilans_E_AMS_Kyoto_run3_MTE!W522</f>
        <v>9.0399999999999991</v>
      </c>
      <c r="S187" s="711">
        <f>Bilans_E_AMS_Kyoto_run3_MTE!X522</f>
        <v>0</v>
      </c>
      <c r="T187" s="711">
        <f>Bilans_E_AMS_Kyoto_run3_MTE!Y522</f>
        <v>0</v>
      </c>
      <c r="U187" s="711">
        <f>Bilans_E_AMS_Kyoto_run3_MTE!Z522</f>
        <v>9.0399999999999991</v>
      </c>
      <c r="V187" s="701"/>
      <c r="W187" s="701"/>
    </row>
    <row r="188" spans="1:23" x14ac:dyDescent="0.25">
      <c r="A188" s="701" t="s">
        <v>513</v>
      </c>
      <c r="B188" s="701"/>
      <c r="C188" s="713" t="s">
        <v>83</v>
      </c>
      <c r="D188" s="714">
        <f>Bilans_E_AMS_Kyoto_run3_MTE!H523</f>
        <v>7.2040588378906256E-2</v>
      </c>
      <c r="E188" s="714">
        <f>Bilans_E_AMS_Kyoto_run3_MTE!I523</f>
        <v>0</v>
      </c>
      <c r="F188" s="714">
        <f>Bilans_E_AMS_Kyoto_run3_MTE!J523</f>
        <v>34.064714669767895</v>
      </c>
      <c r="G188" s="714">
        <f>Bilans_E_AMS_Kyoto_run3_MTE!K523</f>
        <v>2</v>
      </c>
      <c r="H188" s="714">
        <f>Bilans_E_AMS_Kyoto_run3_MTE!L523</f>
        <v>62.629915886111512</v>
      </c>
      <c r="I188" s="714">
        <f>Bilans_E_AMS_Kyoto_run3_MTE!M523</f>
        <v>1.1387257433838454</v>
      </c>
      <c r="J188" s="714">
        <f>Bilans_E_AMS_Kyoto_run3_MTE!N523</f>
        <v>0</v>
      </c>
      <c r="K188" s="714">
        <f>Bilans_E_AMS_Kyoto_run3_MTE!O523</f>
        <v>0</v>
      </c>
      <c r="L188" s="714">
        <f>Bilans_E_AMS_Kyoto_run3_MTE!P523</f>
        <v>95.000271126174255</v>
      </c>
      <c r="M188" s="714">
        <f>Bilans_E_AMS_Kyoto_run3_MTE!Q523</f>
        <v>8.043964025546213</v>
      </c>
      <c r="N188" s="714">
        <f>Bilans_E_AMS_Kyoto_run3_MTE!R523</f>
        <v>37.265276185679923</v>
      </c>
      <c r="O188" s="714">
        <f>Bilans_E_AMS_Kyoto_run3_MTE!S523</f>
        <v>50.145282915920937</v>
      </c>
      <c r="P188" s="714">
        <f>Bilans_E_AMS_Kyoto_run3_MTE!T523+Bilans_E_AMS_Kyoto_run3_MTE!U523</f>
        <v>221.77552316851904</v>
      </c>
      <c r="Q188" s="714">
        <f>Bilans_E_AMS_Kyoto_run3_MTE!V523</f>
        <v>25.921064315164912</v>
      </c>
      <c r="R188" s="714">
        <f>Bilans_E_AMS_Kyoto_run3_MTE!W523</f>
        <v>561.07958855635695</v>
      </c>
      <c r="S188" s="714">
        <f>Bilans_E_AMS_Kyoto_run3_MTE!X523</f>
        <v>79.672276913448172</v>
      </c>
      <c r="T188" s="714">
        <f>Bilans_E_AMS_Kyoto_run3_MTE!Y523</f>
        <v>20.906614704504904</v>
      </c>
      <c r="U188" s="714">
        <f>Bilans_E_AMS_Kyoto_run3_MTE!Z523</f>
        <v>1199.7152587989574</v>
      </c>
      <c r="V188" s="701"/>
      <c r="W188" s="701"/>
    </row>
    <row r="189" spans="1:23" x14ac:dyDescent="0.25">
      <c r="A189" s="701" t="s">
        <v>514</v>
      </c>
      <c r="B189" s="701"/>
      <c r="C189" s="710" t="s">
        <v>84</v>
      </c>
      <c r="D189" s="711">
        <f>Bilans_E_AMS_Kyoto_run3_MTE!H524</f>
        <v>0</v>
      </c>
      <c r="E189" s="711">
        <f>Bilans_E_AMS_Kyoto_run3_MTE!I524</f>
        <v>0</v>
      </c>
      <c r="F189" s="711">
        <f>Bilans_E_AMS_Kyoto_run3_MTE!J524</f>
        <v>96.394045128661887</v>
      </c>
      <c r="G189" s="711">
        <f>Bilans_E_AMS_Kyoto_run3_MTE!K524</f>
        <v>3.4901848637372384</v>
      </c>
      <c r="H189" s="711">
        <f>Bilans_E_AMS_Kyoto_run3_MTE!L524</f>
        <v>9.7025025927356783</v>
      </c>
      <c r="I189" s="711">
        <f>Bilans_E_AMS_Kyoto_run3_MTE!M524</f>
        <v>0</v>
      </c>
      <c r="J189" s="711">
        <f>Bilans_E_AMS_Kyoto_run3_MTE!N524</f>
        <v>0</v>
      </c>
      <c r="K189" s="711">
        <f>Bilans_E_AMS_Kyoto_run3_MTE!O524</f>
        <v>0</v>
      </c>
      <c r="L189" s="711">
        <f>Bilans_E_AMS_Kyoto_run3_MTE!P524</f>
        <v>0.55051822222324442</v>
      </c>
      <c r="M189" s="711">
        <f>Bilans_E_AMS_Kyoto_run3_MTE!Q524</f>
        <v>0</v>
      </c>
      <c r="N189" s="711">
        <f>Bilans_E_AMS_Kyoto_run3_MTE!R524</f>
        <v>5.2633850918308207</v>
      </c>
      <c r="O189" s="711">
        <f>Bilans_E_AMS_Kyoto_run3_MTE!S524</f>
        <v>0</v>
      </c>
      <c r="P189" s="711">
        <f>Bilans_E_AMS_Kyoto_run3_MTE!T524+Bilans_E_AMS_Kyoto_run3_MTE!U524</f>
        <v>0</v>
      </c>
      <c r="Q189" s="711">
        <f>Bilans_E_AMS_Kyoto_run3_MTE!V524</f>
        <v>0</v>
      </c>
      <c r="R189" s="711">
        <f>Bilans_E_AMS_Kyoto_run3_MTE!W524</f>
        <v>0</v>
      </c>
      <c r="S189" s="711">
        <f>Bilans_E_AMS_Kyoto_run3_MTE!X524</f>
        <v>0</v>
      </c>
      <c r="T189" s="711">
        <f>Bilans_E_AMS_Kyoto_run3_MTE!Y524</f>
        <v>4.3572670917440366</v>
      </c>
      <c r="U189" s="711">
        <f>Bilans_E_AMS_Kyoto_run3_MTE!Z524</f>
        <v>119.75790299093292</v>
      </c>
      <c r="V189" s="701"/>
      <c r="W189" s="701"/>
    </row>
    <row r="190" spans="1:23" x14ac:dyDescent="0.25">
      <c r="A190" s="701" t="s">
        <v>515</v>
      </c>
      <c r="B190" s="701"/>
      <c r="C190" s="713" t="s">
        <v>85</v>
      </c>
      <c r="D190" s="714">
        <f>Bilans_E_AMS_Kyoto_run3_MTE!H525</f>
        <v>7.2040588378906256E-2</v>
      </c>
      <c r="E190" s="714">
        <f>Bilans_E_AMS_Kyoto_run3_MTE!I525</f>
        <v>0</v>
      </c>
      <c r="F190" s="714">
        <f>Bilans_E_AMS_Kyoto_run3_MTE!J525</f>
        <v>130.45875979842978</v>
      </c>
      <c r="G190" s="714">
        <f>Bilans_E_AMS_Kyoto_run3_MTE!K525</f>
        <v>5.4901848637372384</v>
      </c>
      <c r="H190" s="714">
        <f>Bilans_E_AMS_Kyoto_run3_MTE!L525</f>
        <v>72.332418478847188</v>
      </c>
      <c r="I190" s="714">
        <f>Bilans_E_AMS_Kyoto_run3_MTE!M525</f>
        <v>1.1387257433838454</v>
      </c>
      <c r="J190" s="714">
        <f>Bilans_E_AMS_Kyoto_run3_MTE!N525</f>
        <v>0</v>
      </c>
      <c r="K190" s="714">
        <f>Bilans_E_AMS_Kyoto_run3_MTE!O525</f>
        <v>0</v>
      </c>
      <c r="L190" s="714">
        <f>Bilans_E_AMS_Kyoto_run3_MTE!P525</f>
        <v>95.550789348397501</v>
      </c>
      <c r="M190" s="714">
        <f>Bilans_E_AMS_Kyoto_run3_MTE!Q525</f>
        <v>8.043964025546213</v>
      </c>
      <c r="N190" s="714">
        <f>Bilans_E_AMS_Kyoto_run3_MTE!R525</f>
        <v>42.528661277510743</v>
      </c>
      <c r="O190" s="714">
        <f>Bilans_E_AMS_Kyoto_run3_MTE!S525</f>
        <v>50.145282915920937</v>
      </c>
      <c r="P190" s="714">
        <f>Bilans_E_AMS_Kyoto_run3_MTE!T525+Bilans_E_AMS_Kyoto_run3_MTE!U525</f>
        <v>221.77552316851904</v>
      </c>
      <c r="Q190" s="714">
        <f>Bilans_E_AMS_Kyoto_run3_MTE!V525</f>
        <v>25.921064315164912</v>
      </c>
      <c r="R190" s="714">
        <f>Bilans_E_AMS_Kyoto_run3_MTE!W525</f>
        <v>561.07958855635695</v>
      </c>
      <c r="S190" s="714">
        <f>Bilans_E_AMS_Kyoto_run3_MTE!X525</f>
        <v>79.672276913448172</v>
      </c>
      <c r="T190" s="714">
        <f>Bilans_E_AMS_Kyoto_run3_MTE!Y525</f>
        <v>25.263881796248938</v>
      </c>
      <c r="U190" s="714">
        <f>Bilans_E_AMS_Kyoto_run3_MTE!Z525</f>
        <v>1319.4731617898904</v>
      </c>
      <c r="V190" s="701"/>
      <c r="W190" s="701"/>
    </row>
    <row r="191" spans="1:23" x14ac:dyDescent="0.25">
      <c r="A191" s="701"/>
      <c r="B191" s="701"/>
      <c r="C191" s="701"/>
      <c r="D191" s="701">
        <f>Bilans_E_AMS_Kyoto_run3_MTE!H526</f>
        <v>0</v>
      </c>
      <c r="E191" s="701">
        <f>Bilans_E_AMS_Kyoto_run3_MTE!I526</f>
        <v>0</v>
      </c>
      <c r="F191" s="701">
        <f>Bilans_E_AMS_Kyoto_run3_MTE!J526</f>
        <v>-7.1054273576010019E-15</v>
      </c>
      <c r="G191" s="701">
        <f>Bilans_E_AMS_Kyoto_run3_MTE!K526</f>
        <v>0</v>
      </c>
      <c r="H191" s="701">
        <f>Bilans_E_AMS_Kyoto_run3_MTE!L526</f>
        <v>4.0563540423477207E-5</v>
      </c>
      <c r="I191" s="701">
        <f>Bilans_E_AMS_Kyoto_run3_MTE!M526</f>
        <v>-4.0563540425697653E-5</v>
      </c>
      <c r="J191" s="701">
        <f>Bilans_E_AMS_Kyoto_run3_MTE!N526</f>
        <v>0</v>
      </c>
      <c r="K191" s="701">
        <f>Bilans_E_AMS_Kyoto_run3_MTE!O526</f>
        <v>0</v>
      </c>
      <c r="L191" s="701">
        <f>Bilans_E_AMS_Kyoto_run3_MTE!P526</f>
        <v>0</v>
      </c>
      <c r="M191" s="701">
        <f>Bilans_E_AMS_Kyoto_run3_MTE!Q526</f>
        <v>0</v>
      </c>
      <c r="N191" s="701">
        <f>Bilans_E_AMS_Kyoto_run3_MTE!R526</f>
        <v>0</v>
      </c>
      <c r="O191" s="701">
        <f>Bilans_E_AMS_Kyoto_run3_MTE!S526</f>
        <v>0</v>
      </c>
      <c r="P191" s="701">
        <f>Bilans_E_AMS_Kyoto_run3_MTE!T526+Bilans_E_AMS_Kyoto_run3_MTE!U526</f>
        <v>0</v>
      </c>
      <c r="Q191" s="701">
        <f>Bilans_E_AMS_Kyoto_run3_MTE!V526</f>
        <v>0</v>
      </c>
      <c r="R191" s="701">
        <f>Bilans_E_AMS_Kyoto_run3_MTE!W526</f>
        <v>0</v>
      </c>
      <c r="S191" s="701">
        <f>Bilans_E_AMS_Kyoto_run3_MTE!X526</f>
        <v>-3.2925505564662672E-5</v>
      </c>
      <c r="T191" s="701">
        <f>Bilans_E_AMS_Kyoto_run3_MTE!Y526</f>
        <v>0</v>
      </c>
      <c r="U191" s="701">
        <f>Bilans_E_AMS_Kyoto_run3_MTE!Z526</f>
        <v>-3.2925505365710706E-5</v>
      </c>
      <c r="V191" s="701"/>
      <c r="W191" s="701"/>
    </row>
    <row r="192" spans="1:23" x14ac:dyDescent="0.25">
      <c r="A192" s="701"/>
      <c r="B192" s="701"/>
      <c r="C192" s="701"/>
      <c r="D192" s="701"/>
      <c r="E192" s="701"/>
      <c r="F192" s="701"/>
      <c r="G192" s="701"/>
      <c r="H192" s="701"/>
      <c r="I192" s="701"/>
      <c r="J192" s="701"/>
      <c r="K192" s="701"/>
      <c r="L192" s="701"/>
      <c r="M192" s="701"/>
      <c r="N192" s="701"/>
      <c r="O192" s="701"/>
      <c r="P192" s="701"/>
      <c r="Q192" s="701"/>
      <c r="R192" s="701"/>
      <c r="S192" s="701"/>
      <c r="T192" s="701"/>
      <c r="U192" s="701"/>
      <c r="V192" s="701"/>
      <c r="W192" s="701"/>
    </row>
    <row r="193" spans="1:23" x14ac:dyDescent="0.25">
      <c r="A193" s="707"/>
      <c r="B193" s="707"/>
      <c r="C193" s="708" t="s">
        <v>89</v>
      </c>
      <c r="D193" s="707"/>
      <c r="E193" s="707"/>
      <c r="F193" s="707"/>
      <c r="G193" s="707"/>
      <c r="H193" s="707"/>
      <c r="I193" s="707"/>
      <c r="J193" s="707"/>
      <c r="K193" s="707"/>
      <c r="L193" s="707"/>
      <c r="M193" s="707"/>
      <c r="N193" s="707"/>
      <c r="O193" s="707"/>
      <c r="P193" s="707"/>
      <c r="Q193" s="707"/>
      <c r="R193" s="707"/>
      <c r="S193" s="707"/>
      <c r="T193" s="707"/>
      <c r="U193" s="707"/>
      <c r="V193" s="707"/>
      <c r="W193" s="707"/>
    </row>
    <row r="194" spans="1:23" x14ac:dyDescent="0.25">
      <c r="A194" s="701"/>
      <c r="B194" s="701"/>
      <c r="C194" s="701"/>
      <c r="D194" s="701"/>
      <c r="E194" s="701"/>
      <c r="F194" s="701"/>
      <c r="G194" s="701"/>
      <c r="H194" s="701"/>
      <c r="I194" s="701"/>
      <c r="J194" s="701"/>
      <c r="K194" s="701"/>
      <c r="L194" s="701"/>
      <c r="M194" s="701"/>
      <c r="N194" s="701"/>
      <c r="O194" s="701"/>
      <c r="P194" s="701"/>
      <c r="Q194" s="701"/>
      <c r="R194" s="701"/>
      <c r="S194" s="701"/>
      <c r="T194" s="701"/>
      <c r="U194" s="701"/>
      <c r="V194" s="701"/>
      <c r="W194" s="701"/>
    </row>
    <row r="195" spans="1:23" x14ac:dyDescent="0.25">
      <c r="A195" s="701"/>
      <c r="B195" s="701"/>
      <c r="C195" s="780" t="s">
        <v>128</v>
      </c>
      <c r="D195" s="775" t="s">
        <v>42</v>
      </c>
      <c r="E195" s="775" t="s">
        <v>52</v>
      </c>
      <c r="F195" s="775" t="s">
        <v>53</v>
      </c>
      <c r="G195" s="775" t="s">
        <v>482</v>
      </c>
      <c r="H195" s="775" t="s">
        <v>32</v>
      </c>
      <c r="I195" s="775" t="s">
        <v>483</v>
      </c>
      <c r="J195" s="775" t="s">
        <v>20</v>
      </c>
      <c r="K195" s="775" t="s">
        <v>55</v>
      </c>
      <c r="L195" s="777" t="s">
        <v>56</v>
      </c>
      <c r="M195" s="778"/>
      <c r="N195" s="778"/>
      <c r="O195" s="778"/>
      <c r="P195" s="778"/>
      <c r="Q195" s="779"/>
      <c r="R195" s="775" t="s">
        <v>57</v>
      </c>
      <c r="S195" s="775" t="s">
        <v>58</v>
      </c>
      <c r="T195" s="775" t="s">
        <v>31</v>
      </c>
      <c r="U195" s="775" t="s">
        <v>10</v>
      </c>
      <c r="V195" s="701"/>
      <c r="W195" s="701"/>
    </row>
    <row r="196" spans="1:23" ht="67.5" x14ac:dyDescent="0.25">
      <c r="A196" s="701" t="s">
        <v>486</v>
      </c>
      <c r="B196" s="701"/>
      <c r="C196" s="781"/>
      <c r="D196" s="776"/>
      <c r="E196" s="776"/>
      <c r="F196" s="776"/>
      <c r="G196" s="776"/>
      <c r="H196" s="776"/>
      <c r="I196" s="776"/>
      <c r="J196" s="776"/>
      <c r="K196" s="776"/>
      <c r="L196" s="709" t="s">
        <v>335</v>
      </c>
      <c r="M196" s="709" t="s">
        <v>40</v>
      </c>
      <c r="N196" s="709" t="s">
        <v>343</v>
      </c>
      <c r="O196" s="709" t="s">
        <v>344</v>
      </c>
      <c r="P196" s="719" t="s">
        <v>610</v>
      </c>
      <c r="Q196" s="709" t="s">
        <v>346</v>
      </c>
      <c r="R196" s="776"/>
      <c r="S196" s="776"/>
      <c r="T196" s="776"/>
      <c r="U196" s="776"/>
      <c r="V196" s="701"/>
      <c r="W196" s="701"/>
    </row>
    <row r="197" spans="1:23" x14ac:dyDescent="0.25">
      <c r="A197" s="701" t="s">
        <v>487</v>
      </c>
      <c r="B197" s="701"/>
      <c r="C197" s="710" t="s">
        <v>59</v>
      </c>
      <c r="D197" s="711">
        <f>Bilans_E_AMS_Kyoto_run3_MTE!H532</f>
        <v>0</v>
      </c>
      <c r="E197" s="711">
        <f>Bilans_E_AMS_Kyoto_run3_MTE!I532</f>
        <v>0</v>
      </c>
      <c r="F197" s="711">
        <f>Bilans_E_AMS_Kyoto_run3_MTE!J532</f>
        <v>0</v>
      </c>
      <c r="G197" s="711">
        <f>Bilans_E_AMS_Kyoto_run3_MTE!K532</f>
        <v>0</v>
      </c>
      <c r="H197" s="711">
        <f>Bilans_E_AMS_Kyoto_run3_MTE!L532</f>
        <v>0</v>
      </c>
      <c r="I197" s="711">
        <f>Bilans_E_AMS_Kyoto_run3_MTE!M532</f>
        <v>0</v>
      </c>
      <c r="J197" s="711">
        <f>Bilans_E_AMS_Kyoto_run3_MTE!N532</f>
        <v>807.37795933495636</v>
      </c>
      <c r="K197" s="711">
        <f>Bilans_E_AMS_Kyoto_run3_MTE!O532</f>
        <v>553.99388589395949</v>
      </c>
      <c r="L197" s="711">
        <f>Bilans_E_AMS_Kyoto_run3_MTE!P532</f>
        <v>401.60616442653316</v>
      </c>
      <c r="M197" s="711">
        <f>Bilans_E_AMS_Kyoto_run3_MTE!Q532</f>
        <v>43.888349788112322</v>
      </c>
      <c r="N197" s="711">
        <f>Bilans_E_AMS_Kyoto_run3_MTE!R532</f>
        <v>0</v>
      </c>
      <c r="O197" s="711">
        <f>Bilans_E_AMS_Kyoto_run3_MTE!S532</f>
        <v>0</v>
      </c>
      <c r="P197" s="711">
        <f>Bilans_E_AMS_Kyoto_run3_MTE!T532+Bilans_E_AMS_Kyoto_run3_MTE!U532</f>
        <v>274.41854375041947</v>
      </c>
      <c r="Q197" s="711">
        <f>Bilans_E_AMS_Kyoto_run3_MTE!V532</f>
        <v>50.723080686002739</v>
      </c>
      <c r="R197" s="711">
        <f>Bilans_E_AMS_Kyoto_run3_MTE!W532</f>
        <v>0</v>
      </c>
      <c r="S197" s="711">
        <f>Bilans_E_AMS_Kyoto_run3_MTE!X532</f>
        <v>0</v>
      </c>
      <c r="T197" s="711">
        <f>Bilans_E_AMS_Kyoto_run3_MTE!Y532</f>
        <v>0</v>
      </c>
      <c r="U197" s="711">
        <f>Bilans_E_AMS_Kyoto_run3_MTE!Z532</f>
        <v>2132.0079838799838</v>
      </c>
      <c r="V197" s="701"/>
      <c r="W197" s="701"/>
    </row>
    <row r="198" spans="1:23" x14ac:dyDescent="0.25">
      <c r="A198" s="701" t="s">
        <v>488</v>
      </c>
      <c r="B198" s="701"/>
      <c r="C198" s="710" t="s">
        <v>60</v>
      </c>
      <c r="D198" s="712">
        <f>Bilans_E_AMS_Kyoto_run3_MTE!H533</f>
        <v>0</v>
      </c>
      <c r="E198" s="712">
        <f>Bilans_E_AMS_Kyoto_run3_MTE!I533</f>
        <v>58.863651738299311</v>
      </c>
      <c r="F198" s="712">
        <f>Bilans_E_AMS_Kyoto_run3_MTE!J533</f>
        <v>45.756672067678878</v>
      </c>
      <c r="G198" s="712">
        <f>Bilans_E_AMS_Kyoto_run3_MTE!K533</f>
        <v>12.032159045744653</v>
      </c>
      <c r="H198" s="712">
        <f>Bilans_E_AMS_Kyoto_run3_MTE!L533</f>
        <v>7.019987079045241</v>
      </c>
      <c r="I198" s="712">
        <f>Bilans_E_AMS_Kyoto_run3_MTE!M533</f>
        <v>0</v>
      </c>
      <c r="J198" s="712">
        <f>Bilans_E_AMS_Kyoto_run3_MTE!N533</f>
        <v>0</v>
      </c>
      <c r="K198" s="712">
        <f>Bilans_E_AMS_Kyoto_run3_MTE!O533</f>
        <v>0</v>
      </c>
      <c r="L198" s="712">
        <f>Bilans_E_AMS_Kyoto_run3_MTE!P533</f>
        <v>22.470468893714155</v>
      </c>
      <c r="M198" s="712">
        <f>Bilans_E_AMS_Kyoto_run3_MTE!Q533</f>
        <v>0</v>
      </c>
      <c r="N198" s="712">
        <f>Bilans_E_AMS_Kyoto_run3_MTE!R533</f>
        <v>0</v>
      </c>
      <c r="O198" s="712">
        <f>Bilans_E_AMS_Kyoto_run3_MTE!S533</f>
        <v>0</v>
      </c>
      <c r="P198" s="712">
        <f>Bilans_E_AMS_Kyoto_run3_MTE!T533+Bilans_E_AMS_Kyoto_run3_MTE!U533</f>
        <v>0</v>
      </c>
      <c r="Q198" s="712">
        <f>Bilans_E_AMS_Kyoto_run3_MTE!V533</f>
        <v>0</v>
      </c>
      <c r="R198" s="712">
        <f>Bilans_E_AMS_Kyoto_run3_MTE!W533</f>
        <v>0</v>
      </c>
      <c r="S198" s="712">
        <f>Bilans_E_AMS_Kyoto_run3_MTE!X533</f>
        <v>0</v>
      </c>
      <c r="T198" s="712">
        <f>Bilans_E_AMS_Kyoto_run3_MTE!Y533</f>
        <v>0</v>
      </c>
      <c r="U198" s="712">
        <f>Bilans_E_AMS_Kyoto_run3_MTE!Z533</f>
        <v>146.14293882448223</v>
      </c>
      <c r="V198" s="701"/>
      <c r="W198" s="701"/>
    </row>
    <row r="199" spans="1:23" x14ac:dyDescent="0.25">
      <c r="A199" s="701" t="s">
        <v>489</v>
      </c>
      <c r="B199" s="701"/>
      <c r="C199" s="710" t="s">
        <v>61</v>
      </c>
      <c r="D199" s="712">
        <f>Bilans_E_AMS_Kyoto_run3_MTE!H534</f>
        <v>0</v>
      </c>
      <c r="E199" s="712">
        <f>Bilans_E_AMS_Kyoto_run3_MTE!I534</f>
        <v>0</v>
      </c>
      <c r="F199" s="712">
        <f>Bilans_E_AMS_Kyoto_run3_MTE!J534</f>
        <v>0</v>
      </c>
      <c r="G199" s="712">
        <f>Bilans_E_AMS_Kyoto_run3_MTE!K534</f>
        <v>0</v>
      </c>
      <c r="H199" s="712">
        <f>Bilans_E_AMS_Kyoto_run3_MTE!L534</f>
        <v>0</v>
      </c>
      <c r="I199" s="712">
        <f>Bilans_E_AMS_Kyoto_run3_MTE!M534</f>
        <v>0</v>
      </c>
      <c r="J199" s="712">
        <f>Bilans_E_AMS_Kyoto_run3_MTE!N534</f>
        <v>0</v>
      </c>
      <c r="K199" s="712">
        <f>Bilans_E_AMS_Kyoto_run3_MTE!O534</f>
        <v>0</v>
      </c>
      <c r="L199" s="712">
        <f>Bilans_E_AMS_Kyoto_run3_MTE!P534</f>
        <v>0</v>
      </c>
      <c r="M199" s="712">
        <f>Bilans_E_AMS_Kyoto_run3_MTE!Q534</f>
        <v>0</v>
      </c>
      <c r="N199" s="712">
        <f>Bilans_E_AMS_Kyoto_run3_MTE!R534</f>
        <v>-12.102055378039722</v>
      </c>
      <c r="O199" s="712">
        <f>Bilans_E_AMS_Kyoto_run3_MTE!S534</f>
        <v>-3.7955214595352373</v>
      </c>
      <c r="P199" s="712">
        <f>Bilans_E_AMS_Kyoto_run3_MTE!T534+Bilans_E_AMS_Kyoto_run3_MTE!U534</f>
        <v>0</v>
      </c>
      <c r="Q199" s="712">
        <f>Bilans_E_AMS_Kyoto_run3_MTE!V534</f>
        <v>0</v>
      </c>
      <c r="R199" s="712">
        <f>Bilans_E_AMS_Kyoto_run3_MTE!W534</f>
        <v>-28.679288227585289</v>
      </c>
      <c r="S199" s="712">
        <f>Bilans_E_AMS_Kyoto_run3_MTE!X534</f>
        <v>0</v>
      </c>
      <c r="T199" s="712">
        <f>Bilans_E_AMS_Kyoto_run3_MTE!Y534</f>
        <v>0</v>
      </c>
      <c r="U199" s="712">
        <f>Bilans_E_AMS_Kyoto_run3_MTE!Z534</f>
        <v>-44.576865065160248</v>
      </c>
      <c r="V199" s="701"/>
      <c r="W199" s="701"/>
    </row>
    <row r="200" spans="1:23" x14ac:dyDescent="0.25">
      <c r="A200" s="701" t="s">
        <v>490</v>
      </c>
      <c r="B200" s="701"/>
      <c r="C200" s="710" t="s">
        <v>62</v>
      </c>
      <c r="D200" s="711">
        <f>Bilans_E_AMS_Kyoto_run3_MTE!H535</f>
        <v>0</v>
      </c>
      <c r="E200" s="711">
        <f>Bilans_E_AMS_Kyoto_run3_MTE!I535</f>
        <v>0</v>
      </c>
      <c r="F200" s="711">
        <f>Bilans_E_AMS_Kyoto_run3_MTE!J535</f>
        <v>-1.2057976620084264E-3</v>
      </c>
      <c r="G200" s="711">
        <f>Bilans_E_AMS_Kyoto_run3_MTE!K535</f>
        <v>-2.8026264036035151</v>
      </c>
      <c r="H200" s="711">
        <f>Bilans_E_AMS_Kyoto_run3_MTE!L535</f>
        <v>0</v>
      </c>
      <c r="I200" s="711">
        <f>Bilans_E_AMS_Kyoto_run3_MTE!M535</f>
        <v>-2.8026264036035156</v>
      </c>
      <c r="J200" s="711">
        <f>Bilans_E_AMS_Kyoto_run3_MTE!N535</f>
        <v>0</v>
      </c>
      <c r="K200" s="711">
        <f>Bilans_E_AMS_Kyoto_run3_MTE!O535</f>
        <v>0</v>
      </c>
      <c r="L200" s="711">
        <f>Bilans_E_AMS_Kyoto_run3_MTE!P535</f>
        <v>0</v>
      </c>
      <c r="M200" s="711">
        <f>Bilans_E_AMS_Kyoto_run3_MTE!Q535</f>
        <v>0</v>
      </c>
      <c r="N200" s="711">
        <f>Bilans_E_AMS_Kyoto_run3_MTE!R535</f>
        <v>0</v>
      </c>
      <c r="O200" s="711">
        <f>Bilans_E_AMS_Kyoto_run3_MTE!S535</f>
        <v>-2.4289428831230464</v>
      </c>
      <c r="P200" s="711">
        <f>Bilans_E_AMS_Kyoto_run3_MTE!T535+Bilans_E_AMS_Kyoto_run3_MTE!U535</f>
        <v>0</v>
      </c>
      <c r="Q200" s="711">
        <f>Bilans_E_AMS_Kyoto_run3_MTE!V535</f>
        <v>0</v>
      </c>
      <c r="R200" s="711">
        <f>Bilans_E_AMS_Kyoto_run3_MTE!W535</f>
        <v>0</v>
      </c>
      <c r="S200" s="711">
        <f>Bilans_E_AMS_Kyoto_run3_MTE!X535</f>
        <v>0</v>
      </c>
      <c r="T200" s="711">
        <f>Bilans_E_AMS_Kyoto_run3_MTE!Y535</f>
        <v>-1.3066910843207444</v>
      </c>
      <c r="U200" s="711">
        <f>Bilans_E_AMS_Kyoto_run3_MTE!Z535</f>
        <v>-9.342092572312831</v>
      </c>
      <c r="V200" s="701"/>
      <c r="W200" s="701"/>
    </row>
    <row r="201" spans="1:23" x14ac:dyDescent="0.25">
      <c r="A201" s="701" t="s">
        <v>491</v>
      </c>
      <c r="B201" s="701"/>
      <c r="C201" s="710" t="s">
        <v>63</v>
      </c>
      <c r="D201" s="711">
        <f>Bilans_E_AMS_Kyoto_run3_MTE!H536</f>
        <v>0</v>
      </c>
      <c r="E201" s="711">
        <f>Bilans_E_AMS_Kyoto_run3_MTE!I536</f>
        <v>0</v>
      </c>
      <c r="F201" s="711">
        <f>Bilans_E_AMS_Kyoto_run3_MTE!J536</f>
        <v>-7</v>
      </c>
      <c r="G201" s="711">
        <f>Bilans_E_AMS_Kyoto_run3_MTE!K536</f>
        <v>-25</v>
      </c>
      <c r="H201" s="711">
        <f>Bilans_E_AMS_Kyoto_run3_MTE!L536</f>
        <v>0</v>
      </c>
      <c r="I201" s="711">
        <f>Bilans_E_AMS_Kyoto_run3_MTE!M536</f>
        <v>0</v>
      </c>
      <c r="J201" s="711">
        <f>Bilans_E_AMS_Kyoto_run3_MTE!N536</f>
        <v>0</v>
      </c>
      <c r="K201" s="711">
        <f>Bilans_E_AMS_Kyoto_run3_MTE!O536</f>
        <v>0</v>
      </c>
      <c r="L201" s="711">
        <f>Bilans_E_AMS_Kyoto_run3_MTE!P536</f>
        <v>0</v>
      </c>
      <c r="M201" s="711">
        <f>Bilans_E_AMS_Kyoto_run3_MTE!Q536</f>
        <v>0</v>
      </c>
      <c r="N201" s="711">
        <f>Bilans_E_AMS_Kyoto_run3_MTE!R536</f>
        <v>-17</v>
      </c>
      <c r="O201" s="711">
        <f>Bilans_E_AMS_Kyoto_run3_MTE!S536</f>
        <v>0</v>
      </c>
      <c r="P201" s="711">
        <f>Bilans_E_AMS_Kyoto_run3_MTE!T536+Bilans_E_AMS_Kyoto_run3_MTE!U536</f>
        <v>0</v>
      </c>
      <c r="Q201" s="711">
        <f>Bilans_E_AMS_Kyoto_run3_MTE!V536</f>
        <v>0</v>
      </c>
      <c r="R201" s="711">
        <f>Bilans_E_AMS_Kyoto_run3_MTE!W536</f>
        <v>0</v>
      </c>
      <c r="S201" s="711">
        <f>Bilans_E_AMS_Kyoto_run3_MTE!X536</f>
        <v>0</v>
      </c>
      <c r="T201" s="711">
        <f>Bilans_E_AMS_Kyoto_run3_MTE!Y536</f>
        <v>-8</v>
      </c>
      <c r="U201" s="711">
        <f>Bilans_E_AMS_Kyoto_run3_MTE!Z536</f>
        <v>-57</v>
      </c>
      <c r="V201" s="701"/>
      <c r="W201" s="701"/>
    </row>
    <row r="202" spans="1:23" x14ac:dyDescent="0.25">
      <c r="A202" s="701" t="s">
        <v>492</v>
      </c>
      <c r="B202" s="701"/>
      <c r="C202" s="710" t="s">
        <v>64</v>
      </c>
      <c r="D202" s="712">
        <f>Bilans_E_AMS_Kyoto_run3_MTE!H537</f>
        <v>0</v>
      </c>
      <c r="E202" s="712">
        <f>Bilans_E_AMS_Kyoto_run3_MTE!I537</f>
        <v>0</v>
      </c>
      <c r="F202" s="712">
        <f>Bilans_E_AMS_Kyoto_run3_MTE!J537</f>
        <v>0</v>
      </c>
      <c r="G202" s="712">
        <f>Bilans_E_AMS_Kyoto_run3_MTE!K537</f>
        <v>0</v>
      </c>
      <c r="H202" s="712">
        <f>Bilans_E_AMS_Kyoto_run3_MTE!L537</f>
        <v>0</v>
      </c>
      <c r="I202" s="712">
        <f>Bilans_E_AMS_Kyoto_run3_MTE!M537</f>
        <v>0</v>
      </c>
      <c r="J202" s="712">
        <f>Bilans_E_AMS_Kyoto_run3_MTE!N537</f>
        <v>0</v>
      </c>
      <c r="K202" s="712">
        <f>Bilans_E_AMS_Kyoto_run3_MTE!O537</f>
        <v>0</v>
      </c>
      <c r="L202" s="712">
        <f>Bilans_E_AMS_Kyoto_run3_MTE!P537</f>
        <v>0</v>
      </c>
      <c r="M202" s="712">
        <f>Bilans_E_AMS_Kyoto_run3_MTE!Q537</f>
        <v>0</v>
      </c>
      <c r="N202" s="712">
        <f>Bilans_E_AMS_Kyoto_run3_MTE!R537</f>
        <v>0</v>
      </c>
      <c r="O202" s="712">
        <f>Bilans_E_AMS_Kyoto_run3_MTE!S537</f>
        <v>0</v>
      </c>
      <c r="P202" s="712">
        <f>Bilans_E_AMS_Kyoto_run3_MTE!T537+Bilans_E_AMS_Kyoto_run3_MTE!U537</f>
        <v>0</v>
      </c>
      <c r="Q202" s="712">
        <f>Bilans_E_AMS_Kyoto_run3_MTE!V537</f>
        <v>0</v>
      </c>
      <c r="R202" s="712">
        <f>Bilans_E_AMS_Kyoto_run3_MTE!W537</f>
        <v>0</v>
      </c>
      <c r="S202" s="712">
        <f>Bilans_E_AMS_Kyoto_run3_MTE!X537</f>
        <v>0</v>
      </c>
      <c r="T202" s="712">
        <f>Bilans_E_AMS_Kyoto_run3_MTE!Y537</f>
        <v>0</v>
      </c>
      <c r="U202" s="712">
        <f>Bilans_E_AMS_Kyoto_run3_MTE!Z537</f>
        <v>0</v>
      </c>
      <c r="V202" s="701"/>
      <c r="W202" s="701"/>
    </row>
    <row r="203" spans="1:23" x14ac:dyDescent="0.25">
      <c r="A203" s="701" t="s">
        <v>493</v>
      </c>
      <c r="B203" s="701"/>
      <c r="C203" s="713" t="s">
        <v>65</v>
      </c>
      <c r="D203" s="714">
        <f>Bilans_E_AMS_Kyoto_run3_MTE!H538</f>
        <v>0</v>
      </c>
      <c r="E203" s="714">
        <f>Bilans_E_AMS_Kyoto_run3_MTE!I538</f>
        <v>58.863651738299311</v>
      </c>
      <c r="F203" s="714">
        <f>Bilans_E_AMS_Kyoto_run3_MTE!J538</f>
        <v>38.755466270016868</v>
      </c>
      <c r="G203" s="714">
        <f>Bilans_E_AMS_Kyoto_run3_MTE!K538</f>
        <v>-15.770467357858863</v>
      </c>
      <c r="H203" s="714">
        <f>Bilans_E_AMS_Kyoto_run3_MTE!L538</f>
        <v>7.019987079045241</v>
      </c>
      <c r="I203" s="714">
        <f>Bilans_E_AMS_Kyoto_run3_MTE!M538</f>
        <v>-2.8026264036035156</v>
      </c>
      <c r="J203" s="714">
        <f>Bilans_E_AMS_Kyoto_run3_MTE!N538</f>
        <v>807.37795933495636</v>
      </c>
      <c r="K203" s="714">
        <f>Bilans_E_AMS_Kyoto_run3_MTE!O538</f>
        <v>553.99388589395949</v>
      </c>
      <c r="L203" s="714">
        <f>Bilans_E_AMS_Kyoto_run3_MTE!P538</f>
        <v>424.07663332024731</v>
      </c>
      <c r="M203" s="714">
        <f>Bilans_E_AMS_Kyoto_run3_MTE!Q538</f>
        <v>43.888349788112322</v>
      </c>
      <c r="N203" s="714">
        <f>Bilans_E_AMS_Kyoto_run3_MTE!R538</f>
        <v>-29.102055378039722</v>
      </c>
      <c r="O203" s="714">
        <f>Bilans_E_AMS_Kyoto_run3_MTE!S538</f>
        <v>-6.2244643426582833</v>
      </c>
      <c r="P203" s="714">
        <f>Bilans_E_AMS_Kyoto_run3_MTE!T538+Bilans_E_AMS_Kyoto_run3_MTE!U538</f>
        <v>274.41854375041947</v>
      </c>
      <c r="Q203" s="714">
        <f>Bilans_E_AMS_Kyoto_run3_MTE!V538</f>
        <v>50.723080686002739</v>
      </c>
      <c r="R203" s="714">
        <f>Bilans_E_AMS_Kyoto_run3_MTE!W538</f>
        <v>-28.679288227585289</v>
      </c>
      <c r="S203" s="714">
        <f>Bilans_E_AMS_Kyoto_run3_MTE!X538</f>
        <v>0</v>
      </c>
      <c r="T203" s="714">
        <f>Bilans_E_AMS_Kyoto_run3_MTE!Y538</f>
        <v>-9.3066910843207449</v>
      </c>
      <c r="U203" s="714">
        <f>Bilans_E_AMS_Kyoto_run3_MTE!Z538</f>
        <v>2167.2319650669929</v>
      </c>
      <c r="V203" s="701"/>
      <c r="W203" s="701"/>
    </row>
    <row r="204" spans="1:23" x14ac:dyDescent="0.25">
      <c r="A204" s="701"/>
      <c r="B204" s="701"/>
      <c r="C204" s="715"/>
      <c r="D204" s="716"/>
      <c r="E204" s="716"/>
      <c r="F204" s="716"/>
      <c r="G204" s="716"/>
      <c r="H204" s="716"/>
      <c r="I204" s="716"/>
      <c r="J204" s="716"/>
      <c r="K204" s="716"/>
      <c r="L204" s="716"/>
      <c r="M204" s="716"/>
      <c r="N204" s="716"/>
      <c r="O204" s="716"/>
      <c r="P204" s="716">
        <f>Bilans_E_AMS_Kyoto_run3_MTE!T539+Bilans_E_AMS_Kyoto_run3_MTE!U539</f>
        <v>0</v>
      </c>
      <c r="Q204" s="716"/>
      <c r="R204" s="716"/>
      <c r="S204" s="716"/>
      <c r="T204" s="716"/>
      <c r="U204" s="716"/>
      <c r="V204" s="701"/>
      <c r="W204" s="701"/>
    </row>
    <row r="205" spans="1:23" x14ac:dyDescent="0.25">
      <c r="A205" s="701" t="s">
        <v>494</v>
      </c>
      <c r="B205" s="701"/>
      <c r="C205" s="717" t="s">
        <v>67</v>
      </c>
      <c r="D205" s="711">
        <f>Bilans_E_AMS_Kyoto_run3_MTE!H540</f>
        <v>0</v>
      </c>
      <c r="E205" s="711">
        <f>Bilans_E_AMS_Kyoto_run3_MTE!I540</f>
        <v>0</v>
      </c>
      <c r="F205" s="711">
        <f>Bilans_E_AMS_Kyoto_run3_MTE!J540</f>
        <v>0</v>
      </c>
      <c r="G205" s="711">
        <f>Bilans_E_AMS_Kyoto_run3_MTE!K540</f>
        <v>0</v>
      </c>
      <c r="H205" s="711">
        <f>Bilans_E_AMS_Kyoto_run3_MTE!L540</f>
        <v>0</v>
      </c>
      <c r="I205" s="711">
        <f>Bilans_E_AMS_Kyoto_run3_MTE!M540</f>
        <v>0</v>
      </c>
      <c r="J205" s="711">
        <f>Bilans_E_AMS_Kyoto_run3_MTE!N540</f>
        <v>0</v>
      </c>
      <c r="K205" s="711">
        <f>Bilans_E_AMS_Kyoto_run3_MTE!O540</f>
        <v>0</v>
      </c>
      <c r="L205" s="711">
        <f>Bilans_E_AMS_Kyoto_run3_MTE!P540</f>
        <v>0</v>
      </c>
      <c r="M205" s="711">
        <f>Bilans_E_AMS_Kyoto_run3_MTE!Q540</f>
        <v>0</v>
      </c>
      <c r="N205" s="711">
        <f>Bilans_E_AMS_Kyoto_run3_MTE!R540</f>
        <v>0</v>
      </c>
      <c r="O205" s="711">
        <f>Bilans_E_AMS_Kyoto_run3_MTE!S540</f>
        <v>0</v>
      </c>
      <c r="P205" s="711">
        <f>Bilans_E_AMS_Kyoto_run3_MTE!T540+Bilans_E_AMS_Kyoto_run3_MTE!U540</f>
        <v>0</v>
      </c>
      <c r="Q205" s="711">
        <f>Bilans_E_AMS_Kyoto_run3_MTE!V540</f>
        <v>0</v>
      </c>
      <c r="R205" s="711">
        <f>Bilans_E_AMS_Kyoto_run3_MTE!W540</f>
        <v>0</v>
      </c>
      <c r="S205" s="711">
        <f>Bilans_E_AMS_Kyoto_run3_MTE!X540</f>
        <v>0</v>
      </c>
      <c r="T205" s="711">
        <f>Bilans_E_AMS_Kyoto_run3_MTE!Y540</f>
        <v>0</v>
      </c>
      <c r="U205" s="711">
        <f>Bilans_E_AMS_Kyoto_run3_MTE!Z540</f>
        <v>0</v>
      </c>
      <c r="V205" s="701"/>
      <c r="W205" s="701"/>
    </row>
    <row r="206" spans="1:23" x14ac:dyDescent="0.25">
      <c r="A206" s="701" t="s">
        <v>495</v>
      </c>
      <c r="B206" s="701"/>
      <c r="C206" s="717" t="s">
        <v>347</v>
      </c>
      <c r="D206" s="711">
        <f>Bilans_E_AMS_Kyoto_run3_MTE!H541</f>
        <v>0</v>
      </c>
      <c r="E206" s="711">
        <f>Bilans_E_AMS_Kyoto_run3_MTE!I541</f>
        <v>0</v>
      </c>
      <c r="F206" s="711">
        <f>Bilans_E_AMS_Kyoto_run3_MTE!J541</f>
        <v>0</v>
      </c>
      <c r="G206" s="711">
        <f>Bilans_E_AMS_Kyoto_run3_MTE!K541</f>
        <v>0</v>
      </c>
      <c r="H206" s="711">
        <f>Bilans_E_AMS_Kyoto_run3_MTE!L541</f>
        <v>0</v>
      </c>
      <c r="I206" s="711">
        <f>Bilans_E_AMS_Kyoto_run3_MTE!M541</f>
        <v>0</v>
      </c>
      <c r="J206" s="711">
        <f>Bilans_E_AMS_Kyoto_run3_MTE!N541</f>
        <v>797.92981818181818</v>
      </c>
      <c r="K206" s="711">
        <f>Bilans_E_AMS_Kyoto_run3_MTE!O541</f>
        <v>553.99388589395949</v>
      </c>
      <c r="L206" s="711">
        <f>Bilans_E_AMS_Kyoto_run3_MTE!P541</f>
        <v>18.017312138261726</v>
      </c>
      <c r="M206" s="711">
        <f>Bilans_E_AMS_Kyoto_run3_MTE!Q541</f>
        <v>5.0359913785352379</v>
      </c>
      <c r="N206" s="711">
        <f>Bilans_E_AMS_Kyoto_run3_MTE!R541</f>
        <v>6.5561937148871507</v>
      </c>
      <c r="O206" s="711">
        <f>Bilans_E_AMS_Kyoto_run3_MTE!S541</f>
        <v>0.11704136254218823</v>
      </c>
      <c r="P206" s="711">
        <f>Bilans_E_AMS_Kyoto_run3_MTE!T541+Bilans_E_AMS_Kyoto_run3_MTE!U541</f>
        <v>0</v>
      </c>
      <c r="Q206" s="711">
        <f>Bilans_E_AMS_Kyoto_run3_MTE!V541</f>
        <v>6.7631767445353068</v>
      </c>
      <c r="R206" s="711">
        <f>Bilans_E_AMS_Kyoto_run3_MTE!W541</f>
        <v>-834.6881786149205</v>
      </c>
      <c r="S206" s="711">
        <f>Bilans_E_AMS_Kyoto_run3_MTE!X541</f>
        <v>0</v>
      </c>
      <c r="T206" s="711">
        <f>Bilans_E_AMS_Kyoto_run3_MTE!Y541</f>
        <v>0</v>
      </c>
      <c r="U206" s="711">
        <f>Bilans_E_AMS_Kyoto_run3_MTE!Z541</f>
        <v>553.72524079961875</v>
      </c>
      <c r="V206" s="701"/>
      <c r="W206" s="701"/>
    </row>
    <row r="207" spans="1:23" x14ac:dyDescent="0.25">
      <c r="A207" s="701" t="s">
        <v>496</v>
      </c>
      <c r="B207" s="701"/>
      <c r="C207" s="717" t="s">
        <v>348</v>
      </c>
      <c r="D207" s="711">
        <f>Bilans_E_AMS_Kyoto_run3_MTE!H542</f>
        <v>0</v>
      </c>
      <c r="E207" s="711">
        <f>Bilans_E_AMS_Kyoto_run3_MTE!I542</f>
        <v>0</v>
      </c>
      <c r="F207" s="711">
        <f>Bilans_E_AMS_Kyoto_run3_MTE!J542</f>
        <v>0</v>
      </c>
      <c r="G207" s="711">
        <f>Bilans_E_AMS_Kyoto_run3_MTE!K542</f>
        <v>0</v>
      </c>
      <c r="H207" s="711">
        <f>Bilans_E_AMS_Kyoto_run3_MTE!L542</f>
        <v>0</v>
      </c>
      <c r="I207" s="711">
        <f>Bilans_E_AMS_Kyoto_run3_MTE!M542</f>
        <v>0.44183816383617902</v>
      </c>
      <c r="J207" s="711">
        <f>Bilans_E_AMS_Kyoto_run3_MTE!N542</f>
        <v>9.448141153138188</v>
      </c>
      <c r="K207" s="711">
        <f>Bilans_E_AMS_Kyoto_run3_MTE!O542</f>
        <v>0</v>
      </c>
      <c r="L207" s="711">
        <f>Bilans_E_AMS_Kyoto_run3_MTE!P542</f>
        <v>23.543561697387847</v>
      </c>
      <c r="M207" s="711">
        <f>Bilans_E_AMS_Kyoto_run3_MTE!Q542</f>
        <v>10.266401321700496</v>
      </c>
      <c r="N207" s="711">
        <f>Bilans_E_AMS_Kyoto_run3_MTE!R542</f>
        <v>0</v>
      </c>
      <c r="O207" s="711">
        <f>Bilans_E_AMS_Kyoto_run3_MTE!S542</f>
        <v>8.4106289047241454</v>
      </c>
      <c r="P207" s="711">
        <f>Bilans_E_AMS_Kyoto_run3_MTE!T542+Bilans_E_AMS_Kyoto_run3_MTE!U542</f>
        <v>22.572621073808037</v>
      </c>
      <c r="Q207" s="711">
        <f>Bilans_E_AMS_Kyoto_run3_MTE!V542</f>
        <v>12.943396433622139</v>
      </c>
      <c r="R207" s="711">
        <f>Bilans_E_AMS_Kyoto_run3_MTE!W542</f>
        <v>0</v>
      </c>
      <c r="S207" s="711">
        <f>Bilans_E_AMS_Kyoto_run3_MTE!X542</f>
        <v>-82.703064296862223</v>
      </c>
      <c r="T207" s="711">
        <f>Bilans_E_AMS_Kyoto_run3_MTE!Y542</f>
        <v>0</v>
      </c>
      <c r="U207" s="711">
        <f>Bilans_E_AMS_Kyoto_run3_MTE!Z542</f>
        <v>4.9235244513548082</v>
      </c>
      <c r="V207" s="701"/>
      <c r="W207" s="701"/>
    </row>
    <row r="208" spans="1:23" x14ac:dyDescent="0.25">
      <c r="A208" s="701" t="s">
        <v>497</v>
      </c>
      <c r="B208" s="701"/>
      <c r="C208" s="717" t="s">
        <v>349</v>
      </c>
      <c r="D208" s="711">
        <f>Bilans_E_AMS_Kyoto_run3_MTE!H543</f>
        <v>0</v>
      </c>
      <c r="E208" s="711">
        <f>Bilans_E_AMS_Kyoto_run3_MTE!I543</f>
        <v>0</v>
      </c>
      <c r="F208" s="711">
        <f>Bilans_E_AMS_Kyoto_run3_MTE!J543</f>
        <v>0</v>
      </c>
      <c r="G208" s="711">
        <f>Bilans_E_AMS_Kyoto_run3_MTE!K543</f>
        <v>0</v>
      </c>
      <c r="H208" s="711">
        <f>Bilans_E_AMS_Kyoto_run3_MTE!L543</f>
        <v>0</v>
      </c>
      <c r="I208" s="711">
        <f>Bilans_E_AMS_Kyoto_run3_MTE!M543</f>
        <v>0</v>
      </c>
      <c r="J208" s="711">
        <f>Bilans_E_AMS_Kyoto_run3_MTE!N543</f>
        <v>0</v>
      </c>
      <c r="K208" s="711">
        <f>Bilans_E_AMS_Kyoto_run3_MTE!O543</f>
        <v>0</v>
      </c>
      <c r="L208" s="711">
        <f>Bilans_E_AMS_Kyoto_run3_MTE!P543</f>
        <v>177.56965686689</v>
      </c>
      <c r="M208" s="711">
        <f>Bilans_E_AMS_Kyoto_run3_MTE!Q543</f>
        <v>14.007374273227594</v>
      </c>
      <c r="N208" s="711">
        <f>Bilans_E_AMS_Kyoto_run3_MTE!R543</f>
        <v>0</v>
      </c>
      <c r="O208" s="711">
        <f>Bilans_E_AMS_Kyoto_run3_MTE!S543</f>
        <v>-95.874066928158982</v>
      </c>
      <c r="P208" s="711">
        <f>Bilans_E_AMS_Kyoto_run3_MTE!T543+Bilans_E_AMS_Kyoto_run3_MTE!U543</f>
        <v>0</v>
      </c>
      <c r="Q208" s="711">
        <f>Bilans_E_AMS_Kyoto_run3_MTE!V543</f>
        <v>0</v>
      </c>
      <c r="R208" s="711">
        <f>Bilans_E_AMS_Kyoto_run3_MTE!W543</f>
        <v>0</v>
      </c>
      <c r="S208" s="711">
        <f>Bilans_E_AMS_Kyoto_run3_MTE!X543</f>
        <v>0</v>
      </c>
      <c r="T208" s="711">
        <f>Bilans_E_AMS_Kyoto_run3_MTE!Y543</f>
        <v>0</v>
      </c>
      <c r="U208" s="711">
        <f>Bilans_E_AMS_Kyoto_run3_MTE!Z543</f>
        <v>95.702964211958601</v>
      </c>
      <c r="V208" s="701"/>
      <c r="W208" s="701"/>
    </row>
    <row r="209" spans="1:23" x14ac:dyDescent="0.25">
      <c r="A209" s="701" t="s">
        <v>498</v>
      </c>
      <c r="B209" s="701"/>
      <c r="C209" s="717" t="s">
        <v>350</v>
      </c>
      <c r="D209" s="711">
        <f>Bilans_E_AMS_Kyoto_run3_MTE!H544</f>
        <v>0</v>
      </c>
      <c r="E209" s="711">
        <f>Bilans_E_AMS_Kyoto_run3_MTE!I544</f>
        <v>0</v>
      </c>
      <c r="F209" s="711">
        <f>Bilans_E_AMS_Kyoto_run3_MTE!J544</f>
        <v>0</v>
      </c>
      <c r="G209" s="711">
        <f>Bilans_E_AMS_Kyoto_run3_MTE!K544</f>
        <v>0</v>
      </c>
      <c r="H209" s="711">
        <f>Bilans_E_AMS_Kyoto_run3_MTE!L544</f>
        <v>0</v>
      </c>
      <c r="I209" s="711">
        <f>Bilans_E_AMS_Kyoto_run3_MTE!M544</f>
        <v>-7.5120211335666909</v>
      </c>
      <c r="J209" s="711">
        <f>Bilans_E_AMS_Kyoto_run3_MTE!N544</f>
        <v>0</v>
      </c>
      <c r="K209" s="711">
        <f>Bilans_E_AMS_Kyoto_run3_MTE!O544</f>
        <v>0</v>
      </c>
      <c r="L209" s="711">
        <f>Bilans_E_AMS_Kyoto_run3_MTE!P544</f>
        <v>0</v>
      </c>
      <c r="M209" s="711">
        <f>Bilans_E_AMS_Kyoto_run3_MTE!Q544</f>
        <v>0</v>
      </c>
      <c r="N209" s="711">
        <f>Bilans_E_AMS_Kyoto_run3_MTE!R544</f>
        <v>0</v>
      </c>
      <c r="O209" s="711">
        <f>Bilans_E_AMS_Kyoto_run3_MTE!S544</f>
        <v>0</v>
      </c>
      <c r="P209" s="711">
        <f>Bilans_E_AMS_Kyoto_run3_MTE!T544+Bilans_E_AMS_Kyoto_run3_MTE!U544</f>
        <v>0</v>
      </c>
      <c r="Q209" s="711">
        <f>Bilans_E_AMS_Kyoto_run3_MTE!V544</f>
        <v>0</v>
      </c>
      <c r="R209" s="711">
        <f>Bilans_E_AMS_Kyoto_run3_MTE!W544</f>
        <v>0</v>
      </c>
      <c r="S209" s="711">
        <f>Bilans_E_AMS_Kyoto_run3_MTE!X544</f>
        <v>0</v>
      </c>
      <c r="T209" s="711">
        <f>Bilans_E_AMS_Kyoto_run3_MTE!Y544</f>
        <v>10.395912432015363</v>
      </c>
      <c r="U209" s="711">
        <f>Bilans_E_AMS_Kyoto_run3_MTE!Z544</f>
        <v>2.8838912984486722</v>
      </c>
      <c r="V209" s="701"/>
      <c r="W209" s="701"/>
    </row>
    <row r="210" spans="1:23" x14ac:dyDescent="0.25">
      <c r="A210" s="701" t="s">
        <v>499</v>
      </c>
      <c r="B210" s="701"/>
      <c r="C210" s="717" t="s">
        <v>72</v>
      </c>
      <c r="D210" s="711">
        <f>Bilans_E_AMS_Kyoto_run3_MTE!H545</f>
        <v>0</v>
      </c>
      <c r="E210" s="711">
        <f>Bilans_E_AMS_Kyoto_run3_MTE!I545</f>
        <v>60.999648796706254</v>
      </c>
      <c r="F210" s="711">
        <f>Bilans_E_AMS_Kyoto_run3_MTE!J545</f>
        <v>-60.389652308739187</v>
      </c>
      <c r="G210" s="711">
        <f>Bilans_E_AMS_Kyoto_run3_MTE!K545</f>
        <v>0</v>
      </c>
      <c r="H210" s="711">
        <f>Bilans_E_AMS_Kyoto_run3_MTE!L545</f>
        <v>0</v>
      </c>
      <c r="I210" s="711">
        <f>Bilans_E_AMS_Kyoto_run3_MTE!M545</f>
        <v>0</v>
      </c>
      <c r="J210" s="711">
        <f>Bilans_E_AMS_Kyoto_run3_MTE!N545</f>
        <v>0</v>
      </c>
      <c r="K210" s="711">
        <f>Bilans_E_AMS_Kyoto_run3_MTE!O545</f>
        <v>0</v>
      </c>
      <c r="L210" s="711">
        <f>Bilans_E_AMS_Kyoto_run3_MTE!P545</f>
        <v>0</v>
      </c>
      <c r="M210" s="711">
        <f>Bilans_E_AMS_Kyoto_run3_MTE!Q545</f>
        <v>0</v>
      </c>
      <c r="N210" s="711">
        <f>Bilans_E_AMS_Kyoto_run3_MTE!R545</f>
        <v>0</v>
      </c>
      <c r="O210" s="711">
        <f>Bilans_E_AMS_Kyoto_run3_MTE!S545</f>
        <v>0</v>
      </c>
      <c r="P210" s="711">
        <f>Bilans_E_AMS_Kyoto_run3_MTE!T545+Bilans_E_AMS_Kyoto_run3_MTE!U545</f>
        <v>0</v>
      </c>
      <c r="Q210" s="711">
        <f>Bilans_E_AMS_Kyoto_run3_MTE!V545</f>
        <v>0</v>
      </c>
      <c r="R210" s="711">
        <f>Bilans_E_AMS_Kyoto_run3_MTE!W545</f>
        <v>0</v>
      </c>
      <c r="S210" s="711">
        <f>Bilans_E_AMS_Kyoto_run3_MTE!X545</f>
        <v>0</v>
      </c>
      <c r="T210" s="711">
        <f>Bilans_E_AMS_Kyoto_run3_MTE!Y545</f>
        <v>0</v>
      </c>
      <c r="U210" s="711">
        <f>Bilans_E_AMS_Kyoto_run3_MTE!Z545</f>
        <v>0.60999648796706651</v>
      </c>
      <c r="V210" s="701"/>
      <c r="W210" s="701"/>
    </row>
    <row r="211" spans="1:23" x14ac:dyDescent="0.25">
      <c r="A211" s="701" t="s">
        <v>500</v>
      </c>
      <c r="B211" s="701"/>
      <c r="C211" s="717" t="s">
        <v>351</v>
      </c>
      <c r="D211" s="711">
        <f>Bilans_E_AMS_Kyoto_run3_MTE!H546</f>
        <v>0</v>
      </c>
      <c r="E211" s="711">
        <f>Bilans_E_AMS_Kyoto_run3_MTE!I546</f>
        <v>0</v>
      </c>
      <c r="F211" s="711">
        <f>Bilans_E_AMS_Kyoto_run3_MTE!J546</f>
        <v>0</v>
      </c>
      <c r="G211" s="711">
        <f>Bilans_E_AMS_Kyoto_run3_MTE!K546</f>
        <v>0</v>
      </c>
      <c r="H211" s="711">
        <f>Bilans_E_AMS_Kyoto_run3_MTE!L546</f>
        <v>0</v>
      </c>
      <c r="I211" s="711">
        <f>Bilans_E_AMS_Kyoto_run3_MTE!M546</f>
        <v>0</v>
      </c>
      <c r="J211" s="711">
        <f>Bilans_E_AMS_Kyoto_run3_MTE!N546</f>
        <v>0</v>
      </c>
      <c r="K211" s="711">
        <f>Bilans_E_AMS_Kyoto_run3_MTE!O546</f>
        <v>0</v>
      </c>
      <c r="L211" s="711">
        <f>Bilans_E_AMS_Kyoto_run3_MTE!P546</f>
        <v>112.15319289997592</v>
      </c>
      <c r="M211" s="711">
        <f>Bilans_E_AMS_Kyoto_run3_MTE!Q546</f>
        <v>7.2727272727272725</v>
      </c>
      <c r="N211" s="711">
        <f>Bilans_E_AMS_Kyoto_run3_MTE!R546</f>
        <v>-66.38461722515251</v>
      </c>
      <c r="O211" s="711">
        <f>Bilans_E_AMS_Kyoto_run3_MTE!S546</f>
        <v>0</v>
      </c>
      <c r="P211" s="711">
        <f>Bilans_E_AMS_Kyoto_run3_MTE!T546+Bilans_E_AMS_Kyoto_run3_MTE!U546</f>
        <v>0</v>
      </c>
      <c r="Q211" s="711">
        <f>Bilans_E_AMS_Kyoto_run3_MTE!V546</f>
        <v>0</v>
      </c>
      <c r="R211" s="711">
        <f>Bilans_E_AMS_Kyoto_run3_MTE!W546</f>
        <v>0</v>
      </c>
      <c r="S211" s="711">
        <f>Bilans_E_AMS_Kyoto_run3_MTE!X546</f>
        <v>0</v>
      </c>
      <c r="T211" s="711">
        <f>Bilans_E_AMS_Kyoto_run3_MTE!Y546</f>
        <v>0</v>
      </c>
      <c r="U211" s="711">
        <f>Bilans_E_AMS_Kyoto_run3_MTE!Z546</f>
        <v>53.041302947550676</v>
      </c>
      <c r="V211" s="701"/>
      <c r="W211" s="701"/>
    </row>
    <row r="212" spans="1:23" x14ac:dyDescent="0.25">
      <c r="A212" s="701" t="s">
        <v>501</v>
      </c>
      <c r="B212" s="701"/>
      <c r="C212" s="717" t="s">
        <v>352</v>
      </c>
      <c r="D212" s="711">
        <f>Bilans_E_AMS_Kyoto_run3_MTE!H547</f>
        <v>0</v>
      </c>
      <c r="E212" s="711">
        <f>Bilans_E_AMS_Kyoto_run3_MTE!I547</f>
        <v>0</v>
      </c>
      <c r="F212" s="711">
        <f>Bilans_E_AMS_Kyoto_run3_MTE!J547</f>
        <v>0</v>
      </c>
      <c r="G212" s="711">
        <f>Bilans_E_AMS_Kyoto_run3_MTE!K547</f>
        <v>-24.740126403603515</v>
      </c>
      <c r="H212" s="711">
        <f>Bilans_E_AMS_Kyoto_run3_MTE!L547</f>
        <v>0</v>
      </c>
      <c r="I212" s="711">
        <f>Bilans_E_AMS_Kyoto_run3_MTE!M547</f>
        <v>0</v>
      </c>
      <c r="J212" s="711">
        <f>Bilans_E_AMS_Kyoto_run3_MTE!N547</f>
        <v>0</v>
      </c>
      <c r="K212" s="711">
        <f>Bilans_E_AMS_Kyoto_run3_MTE!O547</f>
        <v>0</v>
      </c>
      <c r="L212" s="711">
        <f>Bilans_E_AMS_Kyoto_run3_MTE!P547</f>
        <v>0</v>
      </c>
      <c r="M212" s="711">
        <f>Bilans_E_AMS_Kyoto_run3_MTE!Q547</f>
        <v>0</v>
      </c>
      <c r="N212" s="711">
        <f>Bilans_E_AMS_Kyoto_run3_MTE!R547</f>
        <v>0</v>
      </c>
      <c r="O212" s="711">
        <f>Bilans_E_AMS_Kyoto_run3_MTE!S547</f>
        <v>0</v>
      </c>
      <c r="P212" s="711">
        <f>Bilans_E_AMS_Kyoto_run3_MTE!T547+Bilans_E_AMS_Kyoto_run3_MTE!U547</f>
        <v>0</v>
      </c>
      <c r="Q212" s="711">
        <f>Bilans_E_AMS_Kyoto_run3_MTE!V547</f>
        <v>0</v>
      </c>
      <c r="R212" s="711">
        <f>Bilans_E_AMS_Kyoto_run3_MTE!W547</f>
        <v>0</v>
      </c>
      <c r="S212" s="711">
        <f>Bilans_E_AMS_Kyoto_run3_MTE!X547</f>
        <v>0</v>
      </c>
      <c r="T212" s="711">
        <f>Bilans_E_AMS_Kyoto_run3_MTE!Y547</f>
        <v>41.692889043963866</v>
      </c>
      <c r="U212" s="711">
        <f>Bilans_E_AMS_Kyoto_run3_MTE!Z547</f>
        <v>16.952762640360351</v>
      </c>
      <c r="V212" s="701"/>
      <c r="W212" s="701"/>
    </row>
    <row r="213" spans="1:23" x14ac:dyDescent="0.25">
      <c r="A213" s="701" t="s">
        <v>502</v>
      </c>
      <c r="B213" s="701"/>
      <c r="C213" s="717" t="s">
        <v>73</v>
      </c>
      <c r="D213" s="711">
        <f>Bilans_E_AMS_Kyoto_run3_MTE!H548</f>
        <v>0</v>
      </c>
      <c r="E213" s="711">
        <f>Bilans_E_AMS_Kyoto_run3_MTE!I548</f>
        <v>0</v>
      </c>
      <c r="F213" s="711">
        <f>Bilans_E_AMS_Kyoto_run3_MTE!J548</f>
        <v>0</v>
      </c>
      <c r="G213" s="711">
        <f>Bilans_E_AMS_Kyoto_run3_MTE!K548</f>
        <v>0</v>
      </c>
      <c r="H213" s="711">
        <f>Bilans_E_AMS_Kyoto_run3_MTE!L548</f>
        <v>0</v>
      </c>
      <c r="I213" s="711">
        <f>Bilans_E_AMS_Kyoto_run3_MTE!M548</f>
        <v>0</v>
      </c>
      <c r="J213" s="711">
        <f>Bilans_E_AMS_Kyoto_run3_MTE!N548</f>
        <v>0</v>
      </c>
      <c r="K213" s="711">
        <f>Bilans_E_AMS_Kyoto_run3_MTE!O548</f>
        <v>0</v>
      </c>
      <c r="L213" s="711">
        <f>Bilans_E_AMS_Kyoto_run3_MTE!P548</f>
        <v>0</v>
      </c>
      <c r="M213" s="711">
        <f>Bilans_E_AMS_Kyoto_run3_MTE!Q548</f>
        <v>0</v>
      </c>
      <c r="N213" s="711">
        <f>Bilans_E_AMS_Kyoto_run3_MTE!R548</f>
        <v>0</v>
      </c>
      <c r="O213" s="711">
        <f>Bilans_E_AMS_Kyoto_run3_MTE!S548</f>
        <v>0</v>
      </c>
      <c r="P213" s="711">
        <f>Bilans_E_AMS_Kyoto_run3_MTE!T548+Bilans_E_AMS_Kyoto_run3_MTE!U548</f>
        <v>0</v>
      </c>
      <c r="Q213" s="711">
        <f>Bilans_E_AMS_Kyoto_run3_MTE!V548</f>
        <v>0</v>
      </c>
      <c r="R213" s="711">
        <f>Bilans_E_AMS_Kyoto_run3_MTE!W548</f>
        <v>127.55076516290167</v>
      </c>
      <c r="S213" s="711">
        <f>Bilans_E_AMS_Kyoto_run3_MTE!X548</f>
        <v>0</v>
      </c>
      <c r="T213" s="711">
        <f>Bilans_E_AMS_Kyoto_run3_MTE!Y548</f>
        <v>-91.836550917289202</v>
      </c>
      <c r="U213" s="711">
        <f>Bilans_E_AMS_Kyoto_run3_MTE!Z548</f>
        <v>35.714214245612467</v>
      </c>
      <c r="V213" s="701"/>
      <c r="W213" s="701"/>
    </row>
    <row r="214" spans="1:23" x14ac:dyDescent="0.25">
      <c r="A214" s="701" t="s">
        <v>503</v>
      </c>
      <c r="B214" s="701"/>
      <c r="C214" s="717" t="s">
        <v>353</v>
      </c>
      <c r="D214" s="711">
        <f>Bilans_E_AMS_Kyoto_run3_MTE!H549</f>
        <v>0</v>
      </c>
      <c r="E214" s="711">
        <f>Bilans_E_AMS_Kyoto_run3_MTE!I549</f>
        <v>-2.1359970584069448</v>
      </c>
      <c r="F214" s="711">
        <f>Bilans_E_AMS_Kyoto_run3_MTE!J549</f>
        <v>2.9254988687511099</v>
      </c>
      <c r="G214" s="711">
        <f>Bilans_E_AMS_Kyoto_run3_MTE!K549</f>
        <v>0</v>
      </c>
      <c r="H214" s="711">
        <f>Bilans_E_AMS_Kyoto_run3_MTE!L549</f>
        <v>0</v>
      </c>
      <c r="I214" s="711">
        <f>Bilans_E_AMS_Kyoto_run3_MTE!M549</f>
        <v>0</v>
      </c>
      <c r="J214" s="711">
        <f>Bilans_E_AMS_Kyoto_run3_MTE!N549</f>
        <v>0</v>
      </c>
      <c r="K214" s="711">
        <f>Bilans_E_AMS_Kyoto_run3_MTE!O549</f>
        <v>0</v>
      </c>
      <c r="L214" s="711">
        <f>Bilans_E_AMS_Kyoto_run3_MTE!P549</f>
        <v>0</v>
      </c>
      <c r="M214" s="711">
        <f>Bilans_E_AMS_Kyoto_run3_MTE!Q549</f>
        <v>0</v>
      </c>
      <c r="N214" s="711">
        <f>Bilans_E_AMS_Kyoto_run3_MTE!R549</f>
        <v>0</v>
      </c>
      <c r="O214" s="711">
        <f>Bilans_E_AMS_Kyoto_run3_MTE!S549</f>
        <v>0</v>
      </c>
      <c r="P214" s="711">
        <f>Bilans_E_AMS_Kyoto_run3_MTE!T549+Bilans_E_AMS_Kyoto_run3_MTE!U549</f>
        <v>0</v>
      </c>
      <c r="Q214" s="711">
        <f>Bilans_E_AMS_Kyoto_run3_MTE!V549</f>
        <v>0</v>
      </c>
      <c r="R214" s="711">
        <f>Bilans_E_AMS_Kyoto_run3_MTE!W549</f>
        <v>0</v>
      </c>
      <c r="S214" s="711">
        <f>Bilans_E_AMS_Kyoto_run3_MTE!X549</f>
        <v>0</v>
      </c>
      <c r="T214" s="711">
        <f>Bilans_E_AMS_Kyoto_run3_MTE!Y549</f>
        <v>0</v>
      </c>
      <c r="U214" s="711">
        <f>Bilans_E_AMS_Kyoto_run3_MTE!Z549</f>
        <v>0.78950181034416511</v>
      </c>
      <c r="V214" s="701"/>
      <c r="W214" s="701"/>
    </row>
    <row r="215" spans="1:23" x14ac:dyDescent="0.25">
      <c r="A215" s="701" t="s">
        <v>504</v>
      </c>
      <c r="B215" s="701"/>
      <c r="C215" s="717" t="s">
        <v>75</v>
      </c>
      <c r="D215" s="711">
        <f>Bilans_E_AMS_Kyoto_run3_MTE!H550</f>
        <v>0</v>
      </c>
      <c r="E215" s="711">
        <f>Bilans_E_AMS_Kyoto_run3_MTE!I550</f>
        <v>0</v>
      </c>
      <c r="F215" s="711">
        <f>Bilans_E_AMS_Kyoto_run3_MTE!J550</f>
        <v>2.205240968493043</v>
      </c>
      <c r="G215" s="711">
        <f>Bilans_E_AMS_Kyoto_run3_MTE!K550</f>
        <v>0</v>
      </c>
      <c r="H215" s="711">
        <f>Bilans_E_AMS_Kyoto_run3_MTE!L550</f>
        <v>0</v>
      </c>
      <c r="I215" s="711">
        <f>Bilans_E_AMS_Kyoto_run3_MTE!M550</f>
        <v>0</v>
      </c>
      <c r="J215" s="711">
        <f>Bilans_E_AMS_Kyoto_run3_MTE!N550</f>
        <v>0</v>
      </c>
      <c r="K215" s="711">
        <f>Bilans_E_AMS_Kyoto_run3_MTE!O550</f>
        <v>0</v>
      </c>
      <c r="L215" s="711">
        <f>Bilans_E_AMS_Kyoto_run3_MTE!P550</f>
        <v>0</v>
      </c>
      <c r="M215" s="711">
        <f>Bilans_E_AMS_Kyoto_run3_MTE!Q550</f>
        <v>0</v>
      </c>
      <c r="N215" s="711">
        <f>Bilans_E_AMS_Kyoto_run3_MTE!R550</f>
        <v>0</v>
      </c>
      <c r="O215" s="711">
        <f>Bilans_E_AMS_Kyoto_run3_MTE!S550</f>
        <v>0</v>
      </c>
      <c r="P215" s="711">
        <f>Bilans_E_AMS_Kyoto_run3_MTE!T550+Bilans_E_AMS_Kyoto_run3_MTE!U550</f>
        <v>0</v>
      </c>
      <c r="Q215" s="711">
        <f>Bilans_E_AMS_Kyoto_run3_MTE!V550</f>
        <v>0</v>
      </c>
      <c r="R215" s="711">
        <f>Bilans_E_AMS_Kyoto_run3_MTE!W550</f>
        <v>37.68086569149628</v>
      </c>
      <c r="S215" s="711">
        <f>Bilans_E_AMS_Kyoto_run3_MTE!X550</f>
        <v>0</v>
      </c>
      <c r="T215" s="711">
        <f>Bilans_E_AMS_Kyoto_run3_MTE!Y550</f>
        <v>0.6</v>
      </c>
      <c r="U215" s="711">
        <f>Bilans_E_AMS_Kyoto_run3_MTE!Z550</f>
        <v>40.486106659989325</v>
      </c>
      <c r="V215" s="701"/>
      <c r="W215" s="701"/>
    </row>
    <row r="216" spans="1:23" x14ac:dyDescent="0.25">
      <c r="A216" s="701" t="s">
        <v>505</v>
      </c>
      <c r="B216" s="701"/>
      <c r="C216" s="717" t="s">
        <v>76</v>
      </c>
      <c r="D216" s="711">
        <f>Bilans_E_AMS_Kyoto_run3_MTE!H551</f>
        <v>0</v>
      </c>
      <c r="E216" s="711">
        <f>Bilans_E_AMS_Kyoto_run3_MTE!I551</f>
        <v>0</v>
      </c>
      <c r="F216" s="711">
        <f>Bilans_E_AMS_Kyoto_run3_MTE!J551</f>
        <v>0</v>
      </c>
      <c r="G216" s="711">
        <f>Bilans_E_AMS_Kyoto_run3_MTE!K551</f>
        <v>0</v>
      </c>
      <c r="H216" s="711">
        <f>Bilans_E_AMS_Kyoto_run3_MTE!L551</f>
        <v>0</v>
      </c>
      <c r="I216" s="711">
        <f>Bilans_E_AMS_Kyoto_run3_MTE!M551</f>
        <v>5.5842625256480344E-2</v>
      </c>
      <c r="J216" s="711">
        <f>Bilans_E_AMS_Kyoto_run3_MTE!N551</f>
        <v>0</v>
      </c>
      <c r="K216" s="711">
        <f>Bilans_E_AMS_Kyoto_run3_MTE!O551</f>
        <v>0</v>
      </c>
      <c r="L216" s="711">
        <f>Bilans_E_AMS_Kyoto_run3_MTE!P551</f>
        <v>0</v>
      </c>
      <c r="M216" s="711">
        <f>Bilans_E_AMS_Kyoto_run3_MTE!Q551</f>
        <v>0</v>
      </c>
      <c r="N216" s="711">
        <f>Bilans_E_AMS_Kyoto_run3_MTE!R551</f>
        <v>0</v>
      </c>
      <c r="O216" s="711">
        <f>Bilans_E_AMS_Kyoto_run3_MTE!S551</f>
        <v>1.0610098798731264</v>
      </c>
      <c r="P216" s="711">
        <f>Bilans_E_AMS_Kyoto_run3_MTE!T551+Bilans_E_AMS_Kyoto_run3_MTE!U551</f>
        <v>0</v>
      </c>
      <c r="Q216" s="711">
        <f>Bilans_E_AMS_Kyoto_run3_MTE!V551</f>
        <v>0</v>
      </c>
      <c r="R216" s="711">
        <f>Bilans_E_AMS_Kyoto_run3_MTE!W551</f>
        <v>65.840203439882671</v>
      </c>
      <c r="S216" s="711">
        <f>Bilans_E_AMS_Kyoto_run3_MTE!X551</f>
        <v>6.4136709376113741</v>
      </c>
      <c r="T216" s="711">
        <f>Bilans_E_AMS_Kyoto_run3_MTE!Y551</f>
        <v>0</v>
      </c>
      <c r="U216" s="711">
        <f>Bilans_E_AMS_Kyoto_run3_MTE!Z551</f>
        <v>73.370726882623643</v>
      </c>
      <c r="V216" s="701"/>
      <c r="W216" s="701"/>
    </row>
    <row r="217" spans="1:23" x14ac:dyDescent="0.25">
      <c r="A217" s="701" t="s">
        <v>506</v>
      </c>
      <c r="B217" s="701"/>
      <c r="C217" s="713" t="s">
        <v>77</v>
      </c>
      <c r="D217" s="714">
        <f>Bilans_E_AMS_Kyoto_run3_MTE!H552</f>
        <v>0</v>
      </c>
      <c r="E217" s="714">
        <f>Bilans_E_AMS_Kyoto_run3_MTE!I552</f>
        <v>58.863651738299311</v>
      </c>
      <c r="F217" s="714">
        <f>Bilans_E_AMS_Kyoto_run3_MTE!J552</f>
        <v>-55.25891247149503</v>
      </c>
      <c r="G217" s="714">
        <f>Bilans_E_AMS_Kyoto_run3_MTE!K552</f>
        <v>-24.740126403603515</v>
      </c>
      <c r="H217" s="714">
        <f>Bilans_E_AMS_Kyoto_run3_MTE!L552</f>
        <v>0</v>
      </c>
      <c r="I217" s="714">
        <f>Bilans_E_AMS_Kyoto_run3_MTE!M552</f>
        <v>-7.0143403444740313</v>
      </c>
      <c r="J217" s="714">
        <f>Bilans_E_AMS_Kyoto_run3_MTE!N552</f>
        <v>807.37795933495636</v>
      </c>
      <c r="K217" s="714">
        <f>Bilans_E_AMS_Kyoto_run3_MTE!O552</f>
        <v>553.99388589395949</v>
      </c>
      <c r="L217" s="714">
        <f>Bilans_E_AMS_Kyoto_run3_MTE!P552</f>
        <v>331.28372360251547</v>
      </c>
      <c r="M217" s="714">
        <f>Bilans_E_AMS_Kyoto_run3_MTE!Q552</f>
        <v>36.582494246190599</v>
      </c>
      <c r="N217" s="714">
        <f>Bilans_E_AMS_Kyoto_run3_MTE!R552</f>
        <v>-59.82842351026536</v>
      </c>
      <c r="O217" s="714">
        <f>Bilans_E_AMS_Kyoto_run3_MTE!S552</f>
        <v>-86.285386781019525</v>
      </c>
      <c r="P217" s="714">
        <f>Bilans_E_AMS_Kyoto_run3_MTE!T552+Bilans_E_AMS_Kyoto_run3_MTE!U552</f>
        <v>22.572621073808037</v>
      </c>
      <c r="Q217" s="714">
        <f>Bilans_E_AMS_Kyoto_run3_MTE!V552</f>
        <v>19.706573178157445</v>
      </c>
      <c r="R217" s="714">
        <f>Bilans_E_AMS_Kyoto_run3_MTE!W552</f>
        <v>-603.61634432063988</v>
      </c>
      <c r="S217" s="714">
        <f>Bilans_E_AMS_Kyoto_run3_MTE!X552</f>
        <v>-76.289393359250852</v>
      </c>
      <c r="T217" s="714">
        <f>Bilans_E_AMS_Kyoto_run3_MTE!Y552</f>
        <v>-39.147749441309969</v>
      </c>
      <c r="U217" s="714">
        <f>Bilans_E_AMS_Kyoto_run3_MTE!Z552</f>
        <v>878.20023243582853</v>
      </c>
      <c r="V217" s="701"/>
      <c r="W217" s="701"/>
    </row>
    <row r="218" spans="1:23" x14ac:dyDescent="0.25">
      <c r="A218" s="701"/>
      <c r="B218" s="701"/>
      <c r="C218" s="715"/>
      <c r="D218" s="716"/>
      <c r="E218" s="716"/>
      <c r="F218" s="716"/>
      <c r="G218" s="716"/>
      <c r="H218" s="716"/>
      <c r="I218" s="716"/>
      <c r="J218" s="716"/>
      <c r="K218" s="716"/>
      <c r="L218" s="716"/>
      <c r="M218" s="716"/>
      <c r="N218" s="716"/>
      <c r="O218" s="716"/>
      <c r="P218" s="716">
        <f>Bilans_E_AMS_Kyoto_run3_MTE!T553+Bilans_E_AMS_Kyoto_run3_MTE!U553</f>
        <v>0</v>
      </c>
      <c r="Q218" s="716"/>
      <c r="R218" s="716"/>
      <c r="S218" s="716"/>
      <c r="T218" s="716"/>
      <c r="U218" s="716"/>
      <c r="V218" s="701"/>
      <c r="W218" s="701"/>
    </row>
    <row r="219" spans="1:23" x14ac:dyDescent="0.25">
      <c r="A219" s="701" t="s">
        <v>507</v>
      </c>
      <c r="B219" s="701"/>
      <c r="C219" s="717" t="s">
        <v>78</v>
      </c>
      <c r="D219" s="711">
        <f>Bilans_E_AMS_Kyoto_run3_MTE!H554</f>
        <v>0</v>
      </c>
      <c r="E219" s="711">
        <f>Bilans_E_AMS_Kyoto_run3_MTE!I554</f>
        <v>0</v>
      </c>
      <c r="F219" s="711">
        <f>Bilans_E_AMS_Kyoto_run3_MTE!J554</f>
        <v>0</v>
      </c>
      <c r="G219" s="711">
        <f>Bilans_E_AMS_Kyoto_run3_MTE!K554</f>
        <v>0</v>
      </c>
      <c r="H219" s="711">
        <f>Bilans_E_AMS_Kyoto_run3_MTE!L554</f>
        <v>0</v>
      </c>
      <c r="I219" s="711">
        <f>Bilans_E_AMS_Kyoto_run3_MTE!M554</f>
        <v>1.991498553291184</v>
      </c>
      <c r="J219" s="711">
        <f>Bilans_E_AMS_Kyoto_run3_MTE!N554</f>
        <v>0</v>
      </c>
      <c r="K219" s="711">
        <f>Bilans_E_AMS_Kyoto_run3_MTE!O554</f>
        <v>0</v>
      </c>
      <c r="L219" s="711">
        <f>Bilans_E_AMS_Kyoto_run3_MTE!P554</f>
        <v>33.03282021908791</v>
      </c>
      <c r="M219" s="711">
        <f>Bilans_E_AMS_Kyoto_run3_MTE!Q554</f>
        <v>7.3058555419217219</v>
      </c>
      <c r="N219" s="711">
        <f>Bilans_E_AMS_Kyoto_run3_MTE!R554</f>
        <v>0</v>
      </c>
      <c r="O219" s="711">
        <f>Bilans_E_AMS_Kyoto_run3_MTE!S554</f>
        <v>37.880603328687286</v>
      </c>
      <c r="P219" s="711">
        <f>Bilans_E_AMS_Kyoto_run3_MTE!T554+Bilans_E_AMS_Kyoto_run3_MTE!U554</f>
        <v>15.325538085937501</v>
      </c>
      <c r="Q219" s="711">
        <f>Bilans_E_AMS_Kyoto_run3_MTE!V554</f>
        <v>8.5890570413253253E-4</v>
      </c>
      <c r="R219" s="711">
        <f>Bilans_E_AMS_Kyoto_run3_MTE!W554</f>
        <v>160.49759404222942</v>
      </c>
      <c r="S219" s="711">
        <f>Bilans_E_AMS_Kyoto_run3_MTE!X554</f>
        <v>19.118062217384278</v>
      </c>
      <c r="T219" s="711">
        <f>Bilans_E_AMS_Kyoto_run3_MTE!Y554</f>
        <v>15.6045791015625</v>
      </c>
      <c r="U219" s="711">
        <f>Bilans_E_AMS_Kyoto_run3_MTE!Z554</f>
        <v>290.75740999580586</v>
      </c>
      <c r="V219" s="701"/>
      <c r="W219" s="701"/>
    </row>
    <row r="220" spans="1:23" x14ac:dyDescent="0.25">
      <c r="A220" s="701" t="s">
        <v>508</v>
      </c>
      <c r="B220" s="701"/>
      <c r="C220" s="717" t="s">
        <v>79</v>
      </c>
      <c r="D220" s="711">
        <f>Bilans_E_AMS_Kyoto_run3_MTE!H555</f>
        <v>0</v>
      </c>
      <c r="E220" s="711">
        <f>Bilans_E_AMS_Kyoto_run3_MTE!I555</f>
        <v>0</v>
      </c>
      <c r="F220" s="711">
        <f>Bilans_E_AMS_Kyoto_run3_MTE!J555</f>
        <v>2.5646039905747262</v>
      </c>
      <c r="G220" s="711">
        <f>Bilans_E_AMS_Kyoto_run3_MTE!K555</f>
        <v>4.5999999999999996</v>
      </c>
      <c r="H220" s="711">
        <f>Bilans_E_AMS_Kyoto_run3_MTE!L555</f>
        <v>0</v>
      </c>
      <c r="I220" s="711">
        <f>Bilans_E_AMS_Kyoto_run3_MTE!M555</f>
        <v>0.37685077792540578</v>
      </c>
      <c r="J220" s="711">
        <f>Bilans_E_AMS_Kyoto_run3_MTE!N555</f>
        <v>0</v>
      </c>
      <c r="K220" s="711">
        <f>Bilans_E_AMS_Kyoto_run3_MTE!O555</f>
        <v>0</v>
      </c>
      <c r="L220" s="711">
        <f>Bilans_E_AMS_Kyoto_run3_MTE!P555</f>
        <v>0</v>
      </c>
      <c r="M220" s="711">
        <f>Bilans_E_AMS_Kyoto_run3_MTE!Q555</f>
        <v>0</v>
      </c>
      <c r="N220" s="711">
        <f>Bilans_E_AMS_Kyoto_run3_MTE!R555</f>
        <v>17.296930013474249</v>
      </c>
      <c r="O220" s="711">
        <f>Bilans_E_AMS_Kyoto_run3_MTE!S555</f>
        <v>7.1601647805827087</v>
      </c>
      <c r="P220" s="711">
        <f>Bilans_E_AMS_Kyoto_run3_MTE!T555+Bilans_E_AMS_Kyoto_run3_MTE!U555</f>
        <v>0</v>
      </c>
      <c r="Q220" s="711">
        <f>Bilans_E_AMS_Kyoto_run3_MTE!V555</f>
        <v>0</v>
      </c>
      <c r="R220" s="711">
        <f>Bilans_E_AMS_Kyoto_run3_MTE!W555</f>
        <v>129.21827578196925</v>
      </c>
      <c r="S220" s="711">
        <f>Bilans_E_AMS_Kyoto_run3_MTE!X555</f>
        <v>0</v>
      </c>
      <c r="T220" s="711">
        <f>Bilans_E_AMS_Kyoto_run3_MTE!Y555</f>
        <v>6.9357151187722215</v>
      </c>
      <c r="U220" s="711">
        <f>Bilans_E_AMS_Kyoto_run3_MTE!Z555</f>
        <v>168.15254046329855</v>
      </c>
      <c r="V220" s="701"/>
      <c r="W220" s="701"/>
    </row>
    <row r="221" spans="1:23" x14ac:dyDescent="0.25">
      <c r="A221" s="701" t="s">
        <v>509</v>
      </c>
      <c r="B221" s="701"/>
      <c r="C221" s="717" t="s">
        <v>80</v>
      </c>
      <c r="D221" s="711">
        <f>Bilans_E_AMS_Kyoto_run3_MTE!H556</f>
        <v>0</v>
      </c>
      <c r="E221" s="711">
        <f>Bilans_E_AMS_Kyoto_run3_MTE!I556</f>
        <v>0</v>
      </c>
      <c r="F221" s="711">
        <f>Bilans_E_AMS_Kyoto_run3_MTE!J556</f>
        <v>1.33686813190731E-2</v>
      </c>
      <c r="G221" s="711">
        <f>Bilans_E_AMS_Kyoto_run3_MTE!K556</f>
        <v>0</v>
      </c>
      <c r="H221" s="711">
        <f>Bilans_E_AMS_Kyoto_run3_MTE!L556</f>
        <v>0</v>
      </c>
      <c r="I221" s="711">
        <f>Bilans_E_AMS_Kyoto_run3_MTE!M556</f>
        <v>1.363415994018579</v>
      </c>
      <c r="J221" s="711">
        <f>Bilans_E_AMS_Kyoto_run3_MTE!N556</f>
        <v>0</v>
      </c>
      <c r="K221" s="711">
        <f>Bilans_E_AMS_Kyoto_run3_MTE!O556</f>
        <v>0</v>
      </c>
      <c r="L221" s="711">
        <f>Bilans_E_AMS_Kyoto_run3_MTE!P556</f>
        <v>38.670548162755892</v>
      </c>
      <c r="M221" s="711">
        <f>Bilans_E_AMS_Kyoto_run3_MTE!Q556</f>
        <v>0</v>
      </c>
      <c r="N221" s="711">
        <f>Bilans_E_AMS_Kyoto_run3_MTE!R556</f>
        <v>0</v>
      </c>
      <c r="O221" s="711">
        <f>Bilans_E_AMS_Kyoto_run3_MTE!S556</f>
        <v>25.904903886352997</v>
      </c>
      <c r="P221" s="711">
        <f>Bilans_E_AMS_Kyoto_run3_MTE!T556+Bilans_E_AMS_Kyoto_run3_MTE!U556</f>
        <v>170.26801174847219</v>
      </c>
      <c r="Q221" s="711">
        <f>Bilans_E_AMS_Kyoto_run3_MTE!V556</f>
        <v>14.856183742724458</v>
      </c>
      <c r="R221" s="711">
        <f>Bilans_E_AMS_Kyoto_run3_MTE!W556</f>
        <v>135.77624988749807</v>
      </c>
      <c r="S221" s="711">
        <f>Bilans_E_AMS_Kyoto_run3_MTE!X556</f>
        <v>35.160977387086433</v>
      </c>
      <c r="T221" s="711">
        <f>Bilans_E_AMS_Kyoto_run3_MTE!Y556</f>
        <v>0</v>
      </c>
      <c r="U221" s="711">
        <f>Bilans_E_AMS_Kyoto_run3_MTE!Z556</f>
        <v>422.01365949022772</v>
      </c>
      <c r="V221" s="701"/>
      <c r="W221" s="701"/>
    </row>
    <row r="222" spans="1:23" x14ac:dyDescent="0.25">
      <c r="A222" s="701" t="s">
        <v>510</v>
      </c>
      <c r="B222" s="701"/>
      <c r="C222" s="717" t="s">
        <v>81</v>
      </c>
      <c r="D222" s="711">
        <f>Bilans_E_AMS_Kyoto_run3_MTE!H557</f>
        <v>0</v>
      </c>
      <c r="E222" s="711">
        <f>Bilans_E_AMS_Kyoto_run3_MTE!I557</f>
        <v>0</v>
      </c>
      <c r="F222" s="711">
        <f>Bilans_E_AMS_Kyoto_run3_MTE!J557</f>
        <v>5.9571518115922428E-2</v>
      </c>
      <c r="G222" s="711">
        <f>Bilans_E_AMS_Kyoto_run3_MTE!K557</f>
        <v>0</v>
      </c>
      <c r="H222" s="711">
        <f>Bilans_E_AMS_Kyoto_run3_MTE!L557</f>
        <v>0</v>
      </c>
      <c r="I222" s="711">
        <f>Bilans_E_AMS_Kyoto_run3_MTE!M557</f>
        <v>0.44038098063120357</v>
      </c>
      <c r="J222" s="711">
        <f>Bilans_E_AMS_Kyoto_run3_MTE!N557</f>
        <v>0</v>
      </c>
      <c r="K222" s="711">
        <f>Bilans_E_AMS_Kyoto_run3_MTE!O557</f>
        <v>0</v>
      </c>
      <c r="L222" s="711">
        <f>Bilans_E_AMS_Kyoto_run3_MTE!P557</f>
        <v>0.43608334641640845</v>
      </c>
      <c r="M222" s="711">
        <f>Bilans_E_AMS_Kyoto_run3_MTE!Q557</f>
        <v>0</v>
      </c>
      <c r="N222" s="711">
        <f>Bilans_E_AMS_Kyoto_run3_MTE!R557</f>
        <v>0</v>
      </c>
      <c r="O222" s="711">
        <f>Bilans_E_AMS_Kyoto_run3_MTE!S557</f>
        <v>8.3672386319928673</v>
      </c>
      <c r="P222" s="711">
        <f>Bilans_E_AMS_Kyoto_run3_MTE!T557+Bilans_E_AMS_Kyoto_run3_MTE!U557</f>
        <v>64.752372842201794</v>
      </c>
      <c r="Q222" s="711">
        <f>Bilans_E_AMS_Kyoto_run3_MTE!V557</f>
        <v>13.972057854326216</v>
      </c>
      <c r="R222" s="711">
        <f>Bilans_E_AMS_Kyoto_run3_MTE!W557</f>
        <v>123.17781879034489</v>
      </c>
      <c r="S222" s="711">
        <f>Bilans_E_AMS_Kyoto_run3_MTE!X557</f>
        <v>22.010319853686262</v>
      </c>
      <c r="T222" s="711">
        <f>Bilans_E_AMS_Kyoto_run3_MTE!Y557</f>
        <v>0</v>
      </c>
      <c r="U222" s="711">
        <f>Bilans_E_AMS_Kyoto_run3_MTE!Z557</f>
        <v>233.21584381771555</v>
      </c>
      <c r="V222" s="701"/>
      <c r="W222" s="701"/>
    </row>
    <row r="223" spans="1:23" x14ac:dyDescent="0.25">
      <c r="A223" s="701" t="s">
        <v>511</v>
      </c>
      <c r="B223" s="701"/>
      <c r="C223" s="717" t="s">
        <v>82</v>
      </c>
      <c r="D223" s="711">
        <f>Bilans_E_AMS_Kyoto_run3_MTE!H558</f>
        <v>0</v>
      </c>
      <c r="E223" s="711">
        <f>Bilans_E_AMS_Kyoto_run3_MTE!I558</f>
        <v>0</v>
      </c>
      <c r="F223" s="711">
        <f>Bilans_E_AMS_Kyoto_run3_MTE!J558</f>
        <v>0</v>
      </c>
      <c r="G223" s="711">
        <f>Bilans_E_AMS_Kyoto_run3_MTE!K558</f>
        <v>0</v>
      </c>
      <c r="H223" s="711">
        <f>Bilans_E_AMS_Kyoto_run3_MTE!L558</f>
        <v>0</v>
      </c>
      <c r="I223" s="711">
        <f>Bilans_E_AMS_Kyoto_run3_MTE!M558</f>
        <v>3.936904267080979E-2</v>
      </c>
      <c r="J223" s="711">
        <f>Bilans_E_AMS_Kyoto_run3_MTE!N558</f>
        <v>0</v>
      </c>
      <c r="K223" s="711">
        <f>Bilans_E_AMS_Kyoto_run3_MTE!O558</f>
        <v>0</v>
      </c>
      <c r="L223" s="711">
        <f>Bilans_E_AMS_Kyoto_run3_MTE!P558</f>
        <v>20.041612409357288</v>
      </c>
      <c r="M223" s="711">
        <f>Bilans_E_AMS_Kyoto_run3_MTE!Q558</f>
        <v>0</v>
      </c>
      <c r="N223" s="711">
        <f>Bilans_E_AMS_Kyoto_run3_MTE!R558</f>
        <v>6.8596219696114309</v>
      </c>
      <c r="O223" s="711">
        <f>Bilans_E_AMS_Kyoto_run3_MTE!S558</f>
        <v>0.74801181074538581</v>
      </c>
      <c r="P223" s="711">
        <f>Bilans_E_AMS_Kyoto_run3_MTE!T558+Bilans_E_AMS_Kyoto_run3_MTE!U558</f>
        <v>1.5</v>
      </c>
      <c r="Q223" s="711">
        <f>Bilans_E_AMS_Kyoto_run3_MTE!V558</f>
        <v>2.1874070050904897</v>
      </c>
      <c r="R223" s="711">
        <f>Bilans_E_AMS_Kyoto_run3_MTE!W558</f>
        <v>11.227117591013034</v>
      </c>
      <c r="S223" s="711">
        <f>Bilans_E_AMS_Kyoto_run3_MTE!X558</f>
        <v>0</v>
      </c>
      <c r="T223" s="711">
        <f>Bilans_E_AMS_Kyoto_run3_MTE!Y558</f>
        <v>0.67221506893144256</v>
      </c>
      <c r="U223" s="711">
        <f>Bilans_E_AMS_Kyoto_run3_MTE!Z558</f>
        <v>43.275354897419881</v>
      </c>
      <c r="V223" s="701"/>
      <c r="W223" s="701"/>
    </row>
    <row r="224" spans="1:23" x14ac:dyDescent="0.25">
      <c r="A224" s="701" t="s">
        <v>512</v>
      </c>
      <c r="B224" s="701"/>
      <c r="C224" s="717" t="s">
        <v>354</v>
      </c>
      <c r="D224" s="711">
        <f>Bilans_E_AMS_Kyoto_run3_MTE!H559</f>
        <v>0</v>
      </c>
      <c r="E224" s="711">
        <f>Bilans_E_AMS_Kyoto_run3_MTE!I559</f>
        <v>0</v>
      </c>
      <c r="F224" s="711">
        <f>Bilans_E_AMS_Kyoto_run3_MTE!J559</f>
        <v>0</v>
      </c>
      <c r="G224" s="711">
        <f>Bilans_E_AMS_Kyoto_run3_MTE!K559</f>
        <v>0</v>
      </c>
      <c r="H224" s="711">
        <f>Bilans_E_AMS_Kyoto_run3_MTE!L559</f>
        <v>0</v>
      </c>
      <c r="I224" s="711">
        <f>Bilans_E_AMS_Kyoto_run3_MTE!M559</f>
        <v>0</v>
      </c>
      <c r="J224" s="711">
        <f>Bilans_E_AMS_Kyoto_run3_MTE!N559</f>
        <v>0</v>
      </c>
      <c r="K224" s="711">
        <f>Bilans_E_AMS_Kyoto_run3_MTE!O559</f>
        <v>0</v>
      </c>
      <c r="L224" s="711">
        <f>Bilans_E_AMS_Kyoto_run3_MTE!P559</f>
        <v>0</v>
      </c>
      <c r="M224" s="711">
        <f>Bilans_E_AMS_Kyoto_run3_MTE!Q559</f>
        <v>0</v>
      </c>
      <c r="N224" s="711">
        <f>Bilans_E_AMS_Kyoto_run3_MTE!R559</f>
        <v>0</v>
      </c>
      <c r="O224" s="711">
        <f>Bilans_E_AMS_Kyoto_run3_MTE!S559</f>
        <v>0</v>
      </c>
      <c r="P224" s="711">
        <f>Bilans_E_AMS_Kyoto_run3_MTE!T559+Bilans_E_AMS_Kyoto_run3_MTE!U559</f>
        <v>0</v>
      </c>
      <c r="Q224" s="711">
        <f>Bilans_E_AMS_Kyoto_run3_MTE!V559</f>
        <v>0</v>
      </c>
      <c r="R224" s="711">
        <f>Bilans_E_AMS_Kyoto_run3_MTE!W559</f>
        <v>15.04</v>
      </c>
      <c r="S224" s="711">
        <f>Bilans_E_AMS_Kyoto_run3_MTE!X559</f>
        <v>0</v>
      </c>
      <c r="T224" s="711">
        <f>Bilans_E_AMS_Kyoto_run3_MTE!Y559</f>
        <v>0</v>
      </c>
      <c r="U224" s="711">
        <f>Bilans_E_AMS_Kyoto_run3_MTE!Z559</f>
        <v>15.04</v>
      </c>
      <c r="V224" s="701"/>
      <c r="W224" s="701"/>
    </row>
    <row r="225" spans="1:23" x14ac:dyDescent="0.25">
      <c r="A225" s="701" t="s">
        <v>513</v>
      </c>
      <c r="B225" s="701"/>
      <c r="C225" s="713" t="s">
        <v>83</v>
      </c>
      <c r="D225" s="714">
        <f>Bilans_E_AMS_Kyoto_run3_MTE!H560</f>
        <v>0</v>
      </c>
      <c r="E225" s="714">
        <f>Bilans_E_AMS_Kyoto_run3_MTE!I560</f>
        <v>0</v>
      </c>
      <c r="F225" s="714">
        <f>Bilans_E_AMS_Kyoto_run3_MTE!J560</f>
        <v>2.6375441900097218</v>
      </c>
      <c r="G225" s="714">
        <f>Bilans_E_AMS_Kyoto_run3_MTE!K560</f>
        <v>4.5999999999999996</v>
      </c>
      <c r="H225" s="714">
        <f>Bilans_E_AMS_Kyoto_run3_MTE!L560</f>
        <v>0</v>
      </c>
      <c r="I225" s="714">
        <f>Bilans_E_AMS_Kyoto_run3_MTE!M560</f>
        <v>4.2115153485371817</v>
      </c>
      <c r="J225" s="714">
        <f>Bilans_E_AMS_Kyoto_run3_MTE!N560</f>
        <v>0</v>
      </c>
      <c r="K225" s="714">
        <f>Bilans_E_AMS_Kyoto_run3_MTE!O560</f>
        <v>0</v>
      </c>
      <c r="L225" s="714">
        <f>Bilans_E_AMS_Kyoto_run3_MTE!P560</f>
        <v>92.181064137617497</v>
      </c>
      <c r="M225" s="714">
        <f>Bilans_E_AMS_Kyoto_run3_MTE!Q560</f>
        <v>7.3058555419217219</v>
      </c>
      <c r="N225" s="714">
        <f>Bilans_E_AMS_Kyoto_run3_MTE!R560</f>
        <v>24.156551983085681</v>
      </c>
      <c r="O225" s="714">
        <f>Bilans_E_AMS_Kyoto_run3_MTE!S560</f>
        <v>80.060922438361246</v>
      </c>
      <c r="P225" s="714">
        <f>Bilans_E_AMS_Kyoto_run3_MTE!T560+Bilans_E_AMS_Kyoto_run3_MTE!U560</f>
        <v>251.84592267661148</v>
      </c>
      <c r="Q225" s="714">
        <f>Bilans_E_AMS_Kyoto_run3_MTE!V560</f>
        <v>31.016507507845294</v>
      </c>
      <c r="R225" s="714">
        <f>Bilans_E_AMS_Kyoto_run3_MTE!W560</f>
        <v>574.93705609305459</v>
      </c>
      <c r="S225" s="714">
        <f>Bilans_E_AMS_Kyoto_run3_MTE!X560</f>
        <v>76.28935945815698</v>
      </c>
      <c r="T225" s="714">
        <f>Bilans_E_AMS_Kyoto_run3_MTE!Y560</f>
        <v>23.212509289266166</v>
      </c>
      <c r="U225" s="714">
        <f>Bilans_E_AMS_Kyoto_run3_MTE!Z560</f>
        <v>1172.4548086644675</v>
      </c>
      <c r="V225" s="701"/>
      <c r="W225" s="701"/>
    </row>
    <row r="226" spans="1:23" x14ac:dyDescent="0.25">
      <c r="A226" s="701" t="s">
        <v>514</v>
      </c>
      <c r="B226" s="701"/>
      <c r="C226" s="710" t="s">
        <v>84</v>
      </c>
      <c r="D226" s="711">
        <f>Bilans_E_AMS_Kyoto_run3_MTE!H561</f>
        <v>0</v>
      </c>
      <c r="E226" s="711">
        <f>Bilans_E_AMS_Kyoto_run3_MTE!I561</f>
        <v>0</v>
      </c>
      <c r="F226" s="711">
        <f>Bilans_E_AMS_Kyoto_run3_MTE!J561</f>
        <v>91.376834551502185</v>
      </c>
      <c r="G226" s="711">
        <f>Bilans_E_AMS_Kyoto_run3_MTE!K561</f>
        <v>4.3696590457446538</v>
      </c>
      <c r="H226" s="711">
        <f>Bilans_E_AMS_Kyoto_run3_MTE!L561</f>
        <v>7.019987079045241</v>
      </c>
      <c r="I226" s="711">
        <f>Bilans_E_AMS_Kyoto_run3_MTE!M561</f>
        <v>0</v>
      </c>
      <c r="J226" s="711">
        <f>Bilans_E_AMS_Kyoto_run3_MTE!N561</f>
        <v>0</v>
      </c>
      <c r="K226" s="711">
        <f>Bilans_E_AMS_Kyoto_run3_MTE!O561</f>
        <v>0</v>
      </c>
      <c r="L226" s="711">
        <f>Bilans_E_AMS_Kyoto_run3_MTE!P561</f>
        <v>0.61184558011433365</v>
      </c>
      <c r="M226" s="711">
        <f>Bilans_E_AMS_Kyoto_run3_MTE!Q561</f>
        <v>0</v>
      </c>
      <c r="N226" s="711">
        <f>Bilans_E_AMS_Kyoto_run3_MTE!R561</f>
        <v>6.5698161491399585</v>
      </c>
      <c r="O226" s="711">
        <f>Bilans_E_AMS_Kyoto_run3_MTE!S561</f>
        <v>0</v>
      </c>
      <c r="P226" s="711">
        <f>Bilans_E_AMS_Kyoto_run3_MTE!T561+Bilans_E_AMS_Kyoto_run3_MTE!U561</f>
        <v>0</v>
      </c>
      <c r="Q226" s="711">
        <f>Bilans_E_AMS_Kyoto_run3_MTE!V561</f>
        <v>0</v>
      </c>
      <c r="R226" s="711">
        <f>Bilans_E_AMS_Kyoto_run3_MTE!W561</f>
        <v>0</v>
      </c>
      <c r="S226" s="711">
        <f>Bilans_E_AMS_Kyoto_run3_MTE!X561</f>
        <v>0</v>
      </c>
      <c r="T226" s="711">
        <f>Bilans_E_AMS_Kyoto_run3_MTE!Y561</f>
        <v>6.6285490677230623</v>
      </c>
      <c r="U226" s="711">
        <f>Bilans_E_AMS_Kyoto_run3_MTE!Z561</f>
        <v>116.57669147326942</v>
      </c>
      <c r="V226" s="701"/>
      <c r="W226" s="701"/>
    </row>
    <row r="227" spans="1:23" x14ac:dyDescent="0.25">
      <c r="A227" s="701" t="s">
        <v>515</v>
      </c>
      <c r="B227" s="701"/>
      <c r="C227" s="713" t="s">
        <v>85</v>
      </c>
      <c r="D227" s="714">
        <f>Bilans_E_AMS_Kyoto_run3_MTE!H562</f>
        <v>0</v>
      </c>
      <c r="E227" s="714">
        <f>Bilans_E_AMS_Kyoto_run3_MTE!I562</f>
        <v>0</v>
      </c>
      <c r="F227" s="714">
        <f>Bilans_E_AMS_Kyoto_run3_MTE!J562</f>
        <v>94.014378741511905</v>
      </c>
      <c r="G227" s="714">
        <f>Bilans_E_AMS_Kyoto_run3_MTE!K562</f>
        <v>8.9696590457446526</v>
      </c>
      <c r="H227" s="714">
        <f>Bilans_E_AMS_Kyoto_run3_MTE!L562</f>
        <v>7.019987079045241</v>
      </c>
      <c r="I227" s="714">
        <f>Bilans_E_AMS_Kyoto_run3_MTE!M562</f>
        <v>4.2115153485371817</v>
      </c>
      <c r="J227" s="714">
        <f>Bilans_E_AMS_Kyoto_run3_MTE!N562</f>
        <v>0</v>
      </c>
      <c r="K227" s="714">
        <f>Bilans_E_AMS_Kyoto_run3_MTE!O562</f>
        <v>0</v>
      </c>
      <c r="L227" s="714">
        <f>Bilans_E_AMS_Kyoto_run3_MTE!P562</f>
        <v>92.792909717731831</v>
      </c>
      <c r="M227" s="714">
        <f>Bilans_E_AMS_Kyoto_run3_MTE!Q562</f>
        <v>7.3058555419217219</v>
      </c>
      <c r="N227" s="714">
        <f>Bilans_E_AMS_Kyoto_run3_MTE!R562</f>
        <v>30.726368132225637</v>
      </c>
      <c r="O227" s="714">
        <f>Bilans_E_AMS_Kyoto_run3_MTE!S562</f>
        <v>80.060922438361246</v>
      </c>
      <c r="P227" s="714">
        <f>Bilans_E_AMS_Kyoto_run3_MTE!T562+Bilans_E_AMS_Kyoto_run3_MTE!U562</f>
        <v>251.84592267661148</v>
      </c>
      <c r="Q227" s="714">
        <f>Bilans_E_AMS_Kyoto_run3_MTE!V562</f>
        <v>31.016507507845294</v>
      </c>
      <c r="R227" s="714">
        <f>Bilans_E_AMS_Kyoto_run3_MTE!W562</f>
        <v>574.93705609305459</v>
      </c>
      <c r="S227" s="714">
        <f>Bilans_E_AMS_Kyoto_run3_MTE!X562</f>
        <v>76.28935945815698</v>
      </c>
      <c r="T227" s="714">
        <f>Bilans_E_AMS_Kyoto_run3_MTE!Y562</f>
        <v>29.84105835698923</v>
      </c>
      <c r="U227" s="714">
        <f>Bilans_E_AMS_Kyoto_run3_MTE!Z562</f>
        <v>1289.0315001377369</v>
      </c>
      <c r="V227" s="701"/>
      <c r="W227" s="701"/>
    </row>
    <row r="228" spans="1:23" x14ac:dyDescent="0.25">
      <c r="A228" s="701"/>
      <c r="B228" s="701"/>
      <c r="C228" s="701"/>
      <c r="D228" s="701">
        <f>Bilans_E_AMS_Kyoto_run3_MTE!H563</f>
        <v>0</v>
      </c>
      <c r="E228" s="701">
        <f>Bilans_E_AMS_Kyoto_run3_MTE!I563</f>
        <v>0</v>
      </c>
      <c r="F228" s="701">
        <f>Bilans_E_AMS_Kyoto_run3_MTE!J563</f>
        <v>0</v>
      </c>
      <c r="G228" s="701">
        <f>Bilans_E_AMS_Kyoto_run3_MTE!K563</f>
        <v>0</v>
      </c>
      <c r="H228" s="701">
        <f>Bilans_E_AMS_Kyoto_run3_MTE!L563</f>
        <v>0</v>
      </c>
      <c r="I228" s="701">
        <f>Bilans_E_AMS_Kyoto_run3_MTE!M563</f>
        <v>-1.9859233333408E-4</v>
      </c>
      <c r="J228" s="701">
        <f>Bilans_E_AMS_Kyoto_run3_MTE!N563</f>
        <v>0</v>
      </c>
      <c r="K228" s="701">
        <f>Bilans_E_AMS_Kyoto_run3_MTE!O563</f>
        <v>0</v>
      </c>
      <c r="L228" s="701">
        <f>Bilans_E_AMS_Kyoto_run3_MTE!P563</f>
        <v>0</v>
      </c>
      <c r="M228" s="701">
        <f>Bilans_E_AMS_Kyoto_run3_MTE!Q563</f>
        <v>0</v>
      </c>
      <c r="N228" s="701">
        <f>Bilans_E_AMS_Kyoto_run3_MTE!R563</f>
        <v>0</v>
      </c>
      <c r="O228" s="701">
        <f>Bilans_E_AMS_Kyoto_run3_MTE!S563</f>
        <v>0</v>
      </c>
      <c r="P228" s="701">
        <f>Bilans_E_AMS_Kyoto_run3_MTE!T563+Bilans_E_AMS_Kyoto_run3_MTE!U563</f>
        <v>0</v>
      </c>
      <c r="Q228" s="701">
        <f>Bilans_E_AMS_Kyoto_run3_MTE!V563</f>
        <v>0</v>
      </c>
      <c r="R228" s="701">
        <f>Bilans_E_AMS_Kyoto_run3_MTE!W563</f>
        <v>0</v>
      </c>
      <c r="S228" s="701">
        <f>Bilans_E_AMS_Kyoto_run3_MTE!X563</f>
        <v>-3.3901093871691046E-5</v>
      </c>
      <c r="T228" s="701">
        <f>Bilans_E_AMS_Kyoto_run3_MTE!Y563</f>
        <v>0</v>
      </c>
      <c r="U228" s="701">
        <f>Bilans_E_AMS_Kyoto_run3_MTE!Z563</f>
        <v>-2.3249342757480917E-4</v>
      </c>
      <c r="V228" s="701"/>
      <c r="W228" s="701"/>
    </row>
    <row r="229" spans="1:23" x14ac:dyDescent="0.25">
      <c r="A229" s="51"/>
      <c r="B229" s="51"/>
      <c r="C229" s="51"/>
      <c r="D229" s="51"/>
      <c r="E229" s="51"/>
      <c r="F229" s="51"/>
      <c r="G229" s="67"/>
      <c r="H229" s="51"/>
      <c r="I229" s="51"/>
      <c r="J229" s="51"/>
      <c r="K229" s="51"/>
      <c r="L229" s="51"/>
      <c r="M229" s="51"/>
      <c r="N229" s="51"/>
      <c r="O229" s="51"/>
      <c r="P229" s="51"/>
      <c r="Q229" s="51"/>
      <c r="R229" s="51"/>
      <c r="S229" s="51"/>
      <c r="T229" s="51"/>
      <c r="U229" s="51"/>
    </row>
  </sheetData>
  <mergeCells count="84">
    <mergeCell ref="U10:U11"/>
    <mergeCell ref="C10:C11"/>
    <mergeCell ref="D10:D11"/>
    <mergeCell ref="E10:E11"/>
    <mergeCell ref="F10:F11"/>
    <mergeCell ref="G10:G11"/>
    <mergeCell ref="H10:H11"/>
    <mergeCell ref="I10:I11"/>
    <mergeCell ref="J10:J11"/>
    <mergeCell ref="K10:K11"/>
    <mergeCell ref="L10:Q10"/>
    <mergeCell ref="R10:R11"/>
    <mergeCell ref="S10:S11"/>
    <mergeCell ref="T10:T11"/>
    <mergeCell ref="S47:S48"/>
    <mergeCell ref="C47:C48"/>
    <mergeCell ref="D47:D48"/>
    <mergeCell ref="E47:E48"/>
    <mergeCell ref="F47:F48"/>
    <mergeCell ref="G47:G48"/>
    <mergeCell ref="H47:H48"/>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K84:K85"/>
    <mergeCell ref="L84:Q84"/>
    <mergeCell ref="R84:R85"/>
    <mergeCell ref="S84:S85"/>
    <mergeCell ref="T84:T85"/>
    <mergeCell ref="R121:R122"/>
    <mergeCell ref="S121:S122"/>
    <mergeCell ref="C121:C122"/>
    <mergeCell ref="D121:D122"/>
    <mergeCell ref="E121:E122"/>
    <mergeCell ref="F121:F122"/>
    <mergeCell ref="G121:G122"/>
    <mergeCell ref="H121:H122"/>
    <mergeCell ref="T158:T159"/>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H195:H196"/>
    <mergeCell ref="K158:K159"/>
    <mergeCell ref="L158:Q158"/>
    <mergeCell ref="R158:R159"/>
    <mergeCell ref="S158:S159"/>
    <mergeCell ref="C195:C196"/>
    <mergeCell ref="D195:D196"/>
    <mergeCell ref="E195:E196"/>
    <mergeCell ref="F195:F196"/>
    <mergeCell ref="G195:G196"/>
    <mergeCell ref="T195:T196"/>
    <mergeCell ref="U195:U196"/>
    <mergeCell ref="I195:I196"/>
    <mergeCell ref="J195:J196"/>
    <mergeCell ref="K195:K196"/>
    <mergeCell ref="L195:Q195"/>
    <mergeCell ref="R195:R196"/>
    <mergeCell ref="S195:S196"/>
  </mergeCells>
  <pageMargins left="0.7" right="0.7" top="0.75" bottom="0.75" header="0.3" footer="0.3"/>
  <legacy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335BB-B1B7-41DC-95EB-26AF120170F4}">
  <sheetPr>
    <tabColor theme="1" tint="0.249977111117893"/>
  </sheetPr>
  <dimension ref="A1:W192"/>
  <sheetViews>
    <sheetView zoomScale="85" zoomScaleNormal="85" workbookViewId="0">
      <selection activeCell="A8" sqref="A8:XFD44"/>
    </sheetView>
  </sheetViews>
  <sheetFormatPr baseColWidth="10" defaultRowHeight="15" x14ac:dyDescent="0.25"/>
  <cols>
    <col min="3" max="3" width="24.28515625" customWidth="1"/>
    <col min="4" max="21" width="12.5703125" customWidth="1"/>
  </cols>
  <sheetData>
    <row r="1" spans="1:23" ht="15.75" x14ac:dyDescent="0.25">
      <c r="A1" s="700"/>
      <c r="B1" s="700"/>
      <c r="C1" s="700"/>
      <c r="D1" s="598" t="s">
        <v>527</v>
      </c>
      <c r="E1" s="598" t="s">
        <v>528</v>
      </c>
      <c r="F1" s="598" t="s">
        <v>529</v>
      </c>
      <c r="G1" s="598" t="s">
        <v>530</v>
      </c>
      <c r="H1" s="598" t="s">
        <v>531</v>
      </c>
      <c r="I1" s="598" t="s">
        <v>532</v>
      </c>
      <c r="J1" s="598" t="s">
        <v>533</v>
      </c>
      <c r="K1" s="598" t="s">
        <v>534</v>
      </c>
      <c r="L1" s="598" t="s">
        <v>535</v>
      </c>
      <c r="M1" s="598" t="s">
        <v>536</v>
      </c>
      <c r="N1" s="598" t="s">
        <v>537</v>
      </c>
      <c r="O1" s="598" t="s">
        <v>538</v>
      </c>
      <c r="P1" s="598" t="s">
        <v>539</v>
      </c>
      <c r="Q1" s="598" t="s">
        <v>541</v>
      </c>
      <c r="R1" s="598" t="s">
        <v>542</v>
      </c>
      <c r="S1" s="598" t="s">
        <v>543</v>
      </c>
      <c r="T1" s="598" t="s">
        <v>606</v>
      </c>
      <c r="U1" s="598" t="s">
        <v>607</v>
      </c>
      <c r="V1" s="700"/>
      <c r="W1" s="700"/>
    </row>
    <row r="2" spans="1:23" x14ac:dyDescent="0.25">
      <c r="A2" s="700"/>
      <c r="B2" s="700"/>
      <c r="C2" s="700"/>
      <c r="D2" s="700" t="s">
        <v>545</v>
      </c>
      <c r="E2" s="701" t="s">
        <v>546</v>
      </c>
      <c r="F2" s="701" t="s">
        <v>547</v>
      </c>
      <c r="G2" s="701" t="s">
        <v>548</v>
      </c>
      <c r="H2" s="701" t="s">
        <v>549</v>
      </c>
      <c r="I2" s="701" t="s">
        <v>550</v>
      </c>
      <c r="J2" s="701" t="s">
        <v>551</v>
      </c>
      <c r="K2" s="701" t="s">
        <v>552</v>
      </c>
      <c r="L2" s="701" t="s">
        <v>553</v>
      </c>
      <c r="M2" s="701" t="s">
        <v>554</v>
      </c>
      <c r="N2" s="701" t="s">
        <v>555</v>
      </c>
      <c r="O2" s="701" t="s">
        <v>556</v>
      </c>
      <c r="P2" s="701" t="s">
        <v>557</v>
      </c>
      <c r="Q2" s="701" t="s">
        <v>558</v>
      </c>
      <c r="R2" s="701" t="s">
        <v>559</v>
      </c>
      <c r="S2" s="701" t="s">
        <v>560</v>
      </c>
      <c r="T2" s="701" t="s">
        <v>561</v>
      </c>
      <c r="U2" s="701" t="s">
        <v>562</v>
      </c>
      <c r="V2" s="700"/>
      <c r="W2" s="700"/>
    </row>
    <row r="3" spans="1:23" ht="18" x14ac:dyDescent="0.25">
      <c r="A3" s="702"/>
      <c r="B3" s="702"/>
      <c r="C3" s="703" t="s">
        <v>406</v>
      </c>
      <c r="D3" s="702"/>
      <c r="E3" s="702"/>
      <c r="F3" s="702"/>
      <c r="G3" s="702"/>
      <c r="H3" s="702"/>
      <c r="I3" s="702"/>
      <c r="J3" s="702"/>
      <c r="K3" s="702"/>
      <c r="L3" s="702"/>
      <c r="M3" s="702"/>
      <c r="N3" s="702"/>
      <c r="O3" s="702"/>
      <c r="P3" s="702"/>
      <c r="Q3" s="702"/>
      <c r="R3" s="702"/>
      <c r="S3" s="702"/>
      <c r="T3" s="702"/>
      <c r="U3" s="702"/>
      <c r="V3" s="702"/>
      <c r="W3" s="702"/>
    </row>
    <row r="4" spans="1:23" x14ac:dyDescent="0.25">
      <c r="A4" s="701"/>
      <c r="B4" s="701"/>
      <c r="C4" s="701"/>
      <c r="D4" s="701"/>
      <c r="E4" s="701"/>
      <c r="F4" s="701"/>
      <c r="G4" s="701"/>
      <c r="H4" s="701"/>
      <c r="I4" s="701"/>
      <c r="J4" s="701"/>
      <c r="K4" s="701"/>
      <c r="L4" s="701"/>
      <c r="M4" s="701"/>
      <c r="N4" s="701"/>
      <c r="O4" s="701"/>
      <c r="P4" s="701"/>
      <c r="Q4" s="701"/>
      <c r="R4" s="701"/>
      <c r="S4" s="701"/>
      <c r="T4" s="701"/>
      <c r="U4" s="701"/>
      <c r="V4" s="701"/>
      <c r="W4" s="701"/>
    </row>
    <row r="5" spans="1:23" ht="15.75" x14ac:dyDescent="0.25">
      <c r="A5" s="704"/>
      <c r="B5" s="701"/>
      <c r="C5" s="705" t="s">
        <v>338</v>
      </c>
      <c r="D5" s="704" t="s">
        <v>481</v>
      </c>
      <c r="E5" s="704"/>
      <c r="F5" s="704"/>
      <c r="G5" s="704"/>
      <c r="H5" s="704"/>
      <c r="I5" s="704"/>
      <c r="J5" s="704"/>
      <c r="K5" s="706"/>
      <c r="L5" s="706"/>
      <c r="M5" s="706"/>
      <c r="N5" s="706"/>
      <c r="O5" s="706"/>
      <c r="P5" s="706"/>
      <c r="Q5" s="706"/>
      <c r="R5" s="704"/>
      <c r="S5" s="704"/>
      <c r="T5" s="704"/>
      <c r="U5" s="704"/>
      <c r="V5" s="704"/>
      <c r="W5" s="704"/>
    </row>
    <row r="6" spans="1:23" ht="15.75" x14ac:dyDescent="0.25">
      <c r="A6" s="704"/>
      <c r="B6" s="701"/>
      <c r="C6" s="705" t="s">
        <v>341</v>
      </c>
      <c r="D6" s="704" t="s">
        <v>342</v>
      </c>
      <c r="E6" s="704"/>
      <c r="F6" s="704"/>
      <c r="G6" s="704"/>
      <c r="H6" s="704"/>
      <c r="I6" s="704"/>
      <c r="J6" s="704"/>
      <c r="K6" s="704"/>
      <c r="L6" s="704"/>
      <c r="M6" s="704"/>
      <c r="N6" s="704"/>
      <c r="O6" s="704"/>
      <c r="P6" s="704"/>
      <c r="Q6" s="704"/>
      <c r="R6" s="704"/>
      <c r="S6" s="704"/>
      <c r="T6" s="704"/>
      <c r="U6" s="704"/>
      <c r="V6" s="704"/>
      <c r="W6" s="704"/>
    </row>
    <row r="7" spans="1:23" x14ac:dyDescent="0.25">
      <c r="A7" s="701"/>
      <c r="B7" s="701"/>
      <c r="C7" s="701"/>
      <c r="D7" s="701"/>
      <c r="E7" s="701"/>
      <c r="F7" s="701"/>
      <c r="G7" s="701"/>
      <c r="H7" s="701"/>
      <c r="I7" s="701"/>
      <c r="J7" s="701"/>
      <c r="K7" s="701"/>
      <c r="L7" s="701"/>
      <c r="M7" s="701"/>
      <c r="N7" s="701"/>
      <c r="O7" s="701"/>
      <c r="P7" s="701"/>
      <c r="Q7" s="701"/>
      <c r="R7" s="701"/>
      <c r="S7" s="701"/>
      <c r="T7" s="701"/>
      <c r="U7" s="701"/>
      <c r="V7" s="701"/>
      <c r="W7" s="701"/>
    </row>
    <row r="8" spans="1:23" x14ac:dyDescent="0.25">
      <c r="A8" s="707"/>
      <c r="B8" s="707"/>
      <c r="C8" s="708" t="s">
        <v>359</v>
      </c>
      <c r="D8" s="707"/>
      <c r="E8" s="707"/>
      <c r="F8" s="707"/>
      <c r="G8" s="707"/>
      <c r="H8" s="707"/>
      <c r="I8" s="707"/>
      <c r="J8" s="707"/>
      <c r="K8" s="707"/>
      <c r="L8" s="707"/>
      <c r="M8" s="707"/>
      <c r="N8" s="707"/>
      <c r="O8" s="707"/>
      <c r="P8" s="707"/>
      <c r="Q8" s="707"/>
      <c r="R8" s="707"/>
      <c r="S8" s="707"/>
      <c r="T8" s="707"/>
      <c r="U8" s="707"/>
      <c r="V8" s="707"/>
      <c r="W8" s="707"/>
    </row>
    <row r="9" spans="1:23" x14ac:dyDescent="0.25">
      <c r="A9" s="701"/>
      <c r="B9" s="701"/>
      <c r="C9" s="701"/>
      <c r="D9" s="701"/>
      <c r="E9" s="701"/>
      <c r="F9" s="701"/>
      <c r="G9" s="701"/>
      <c r="H9" s="701"/>
      <c r="I9" s="701"/>
      <c r="J9" s="701"/>
      <c r="K9" s="701"/>
      <c r="L9" s="701"/>
      <c r="M9" s="701"/>
      <c r="N9" s="701"/>
      <c r="O9" s="701"/>
      <c r="P9" s="701"/>
      <c r="Q9" s="701"/>
      <c r="R9" s="701"/>
      <c r="S9" s="701"/>
      <c r="T9" s="701"/>
      <c r="U9" s="701"/>
      <c r="V9" s="701"/>
      <c r="W9" s="701"/>
    </row>
    <row r="10" spans="1:23" x14ac:dyDescent="0.25">
      <c r="A10" s="701"/>
      <c r="B10" s="701"/>
      <c r="C10" s="780" t="s">
        <v>128</v>
      </c>
      <c r="D10" s="775" t="s">
        <v>42</v>
      </c>
      <c r="E10" s="775" t="s">
        <v>52</v>
      </c>
      <c r="F10" s="775" t="s">
        <v>53</v>
      </c>
      <c r="G10" s="775" t="s">
        <v>482</v>
      </c>
      <c r="H10" s="775" t="s">
        <v>32</v>
      </c>
      <c r="I10" s="775" t="s">
        <v>483</v>
      </c>
      <c r="J10" s="775" t="s">
        <v>20</v>
      </c>
      <c r="K10" s="775" t="s">
        <v>55</v>
      </c>
      <c r="L10" s="777" t="s">
        <v>56</v>
      </c>
      <c r="M10" s="778"/>
      <c r="N10" s="778"/>
      <c r="O10" s="778"/>
      <c r="P10" s="778"/>
      <c r="Q10" s="779"/>
      <c r="R10" s="775" t="s">
        <v>57</v>
      </c>
      <c r="S10" s="775" t="s">
        <v>58</v>
      </c>
      <c r="T10" s="775" t="s">
        <v>31</v>
      </c>
      <c r="U10" s="775" t="s">
        <v>10</v>
      </c>
      <c r="V10" s="701"/>
      <c r="W10" s="701"/>
    </row>
    <row r="11" spans="1:23" ht="67.5" x14ac:dyDescent="0.25">
      <c r="A11" s="701" t="s">
        <v>486</v>
      </c>
      <c r="B11" s="701"/>
      <c r="C11" s="781"/>
      <c r="D11" s="776"/>
      <c r="E11" s="776"/>
      <c r="F11" s="776"/>
      <c r="G11" s="776"/>
      <c r="H11" s="776"/>
      <c r="I11" s="776"/>
      <c r="J11" s="776"/>
      <c r="K11" s="776"/>
      <c r="L11" s="709" t="s">
        <v>335</v>
      </c>
      <c r="M11" s="709" t="s">
        <v>40</v>
      </c>
      <c r="N11" s="709" t="s">
        <v>343</v>
      </c>
      <c r="O11" s="709" t="s">
        <v>344</v>
      </c>
      <c r="P11" s="719" t="s">
        <v>610</v>
      </c>
      <c r="Q11" s="709" t="s">
        <v>346</v>
      </c>
      <c r="R11" s="776"/>
      <c r="S11" s="776"/>
      <c r="T11" s="776"/>
      <c r="U11" s="776"/>
      <c r="V11" s="701"/>
      <c r="W11" s="701"/>
    </row>
    <row r="12" spans="1:23" x14ac:dyDescent="0.25">
      <c r="A12" s="701" t="s">
        <v>487</v>
      </c>
      <c r="B12" s="701"/>
      <c r="C12" s="710" t="s">
        <v>59</v>
      </c>
      <c r="D12" s="711">
        <f>Bilans_E_AMS_Kyoto_run3_MTE!H384</f>
        <v>0</v>
      </c>
      <c r="E12" s="711">
        <f>Bilans_E_AMS_Kyoto_run3_MTE!I384</f>
        <v>1.9073199999999999</v>
      </c>
      <c r="F12" s="711">
        <f>Bilans_E_AMS_Kyoto_run3_MTE!J384</f>
        <v>0</v>
      </c>
      <c r="G12" s="711">
        <f>Bilans_E_AMS_Kyoto_run3_MTE!K384</f>
        <v>0</v>
      </c>
      <c r="H12" s="711">
        <f>Bilans_E_AMS_Kyoto_run3_MTE!L384</f>
        <v>3.9542000000000008E-2</v>
      </c>
      <c r="I12" s="711">
        <f>Bilans_E_AMS_Kyoto_run3_MTE!M384</f>
        <v>0</v>
      </c>
      <c r="J12" s="711">
        <f>Bilans_E_AMS_Kyoto_run3_MTE!N384</f>
        <v>1195.4990290598246</v>
      </c>
      <c r="K12" s="711">
        <f>Bilans_E_AMS_Kyoto_run3_MTE!O384</f>
        <v>352.81639892204078</v>
      </c>
      <c r="L12" s="711">
        <f>Bilans_E_AMS_Kyoto_run3_MTE!P384</f>
        <v>334.74141553105153</v>
      </c>
      <c r="M12" s="711">
        <f>Bilans_E_AMS_Kyoto_run3_MTE!Q384</f>
        <v>49.102811616128875</v>
      </c>
      <c r="N12" s="711">
        <f>Bilans_E_AMS_Kyoto_run3_MTE!R384</f>
        <v>0</v>
      </c>
      <c r="O12" s="711">
        <f>Bilans_E_AMS_Kyoto_run3_MTE!S384</f>
        <v>0</v>
      </c>
      <c r="P12" s="711">
        <f>Bilans_E_AMS_Kyoto_run3_MTE!T384+Bilans_E_AMS_Kyoto_run3_MTE!U384</f>
        <v>200.79978234592807</v>
      </c>
      <c r="Q12" s="711">
        <f>Bilans_E_AMS_Kyoto_run3_MTE!V384</f>
        <v>40.778741630012433</v>
      </c>
      <c r="R12" s="711">
        <f>Bilans_E_AMS_Kyoto_run3_MTE!W384</f>
        <v>0</v>
      </c>
      <c r="S12" s="711">
        <f>Bilans_E_AMS_Kyoto_run3_MTE!X384</f>
        <v>0</v>
      </c>
      <c r="T12" s="711">
        <f>Bilans_E_AMS_Kyoto_run3_MTE!Y384</f>
        <v>0</v>
      </c>
      <c r="U12" s="711">
        <f>Bilans_E_AMS_Kyoto_run3_MTE!Z384</f>
        <v>2175.6850411049863</v>
      </c>
      <c r="V12" s="701"/>
      <c r="W12" s="701"/>
    </row>
    <row r="13" spans="1:23" x14ac:dyDescent="0.25">
      <c r="A13" s="701" t="s">
        <v>488</v>
      </c>
      <c r="B13" s="701"/>
      <c r="C13" s="710" t="s">
        <v>60</v>
      </c>
      <c r="D13" s="712">
        <f>Bilans_E_AMS_Kyoto_run3_MTE!H385</f>
        <v>12.531065673828124</v>
      </c>
      <c r="E13" s="712">
        <f>Bilans_E_AMS_Kyoto_run3_MTE!I385</f>
        <v>260.68864136173096</v>
      </c>
      <c r="F13" s="712">
        <f>Bilans_E_AMS_Kyoto_run3_MTE!J385</f>
        <v>79.769139628982202</v>
      </c>
      <c r="G13" s="712">
        <f>Bilans_E_AMS_Kyoto_run3_MTE!K385</f>
        <v>5.3845155133024489</v>
      </c>
      <c r="H13" s="712">
        <f>Bilans_E_AMS_Kyoto_run3_MTE!L385</f>
        <v>146.10919430668767</v>
      </c>
      <c r="I13" s="712">
        <f>Bilans_E_AMS_Kyoto_run3_MTE!M385</f>
        <v>0</v>
      </c>
      <c r="J13" s="712">
        <f>Bilans_E_AMS_Kyoto_run3_MTE!N385</f>
        <v>0</v>
      </c>
      <c r="K13" s="712">
        <f>Bilans_E_AMS_Kyoto_run3_MTE!O385</f>
        <v>0</v>
      </c>
      <c r="L13" s="712">
        <f>Bilans_E_AMS_Kyoto_run3_MTE!P385</f>
        <v>6.5955281469378519</v>
      </c>
      <c r="M13" s="712">
        <f>Bilans_E_AMS_Kyoto_run3_MTE!Q385</f>
        <v>0</v>
      </c>
      <c r="N13" s="712">
        <f>Bilans_E_AMS_Kyoto_run3_MTE!R385</f>
        <v>13.786836239318319</v>
      </c>
      <c r="O13" s="712">
        <f>Bilans_E_AMS_Kyoto_run3_MTE!S385</f>
        <v>4.2024164944931641</v>
      </c>
      <c r="P13" s="712">
        <f>Bilans_E_AMS_Kyoto_run3_MTE!T385+Bilans_E_AMS_Kyoto_run3_MTE!U385</f>
        <v>0</v>
      </c>
      <c r="Q13" s="712">
        <f>Bilans_E_AMS_Kyoto_run3_MTE!V385</f>
        <v>0</v>
      </c>
      <c r="R13" s="712">
        <f>Bilans_E_AMS_Kyoto_run3_MTE!W385</f>
        <v>0</v>
      </c>
      <c r="S13" s="712">
        <f>Bilans_E_AMS_Kyoto_run3_MTE!X385</f>
        <v>0</v>
      </c>
      <c r="T13" s="712">
        <f>Bilans_E_AMS_Kyoto_run3_MTE!Y385</f>
        <v>0</v>
      </c>
      <c r="U13" s="712">
        <f>Bilans_E_AMS_Kyoto_run3_MTE!Z385</f>
        <v>529.06733736528076</v>
      </c>
      <c r="V13" s="701"/>
      <c r="W13" s="701"/>
    </row>
    <row r="14" spans="1:23" x14ac:dyDescent="0.25">
      <c r="A14" s="701" t="s">
        <v>489</v>
      </c>
      <c r="B14" s="701"/>
      <c r="C14" s="710" t="s">
        <v>61</v>
      </c>
      <c r="D14" s="712">
        <f>Bilans_E_AMS_Kyoto_run3_MTE!H386</f>
        <v>0</v>
      </c>
      <c r="E14" s="712">
        <f>Bilans_E_AMS_Kyoto_run3_MTE!I386</f>
        <v>0</v>
      </c>
      <c r="F14" s="712">
        <f>Bilans_E_AMS_Kyoto_run3_MTE!J386</f>
        <v>0</v>
      </c>
      <c r="G14" s="712">
        <f>Bilans_E_AMS_Kyoto_run3_MTE!K386</f>
        <v>0</v>
      </c>
      <c r="H14" s="712">
        <f>Bilans_E_AMS_Kyoto_run3_MTE!L386</f>
        <v>0</v>
      </c>
      <c r="I14" s="712">
        <f>Bilans_E_AMS_Kyoto_run3_MTE!M386</f>
        <v>0</v>
      </c>
      <c r="J14" s="712">
        <f>Bilans_E_AMS_Kyoto_run3_MTE!N386</f>
        <v>0</v>
      </c>
      <c r="K14" s="712">
        <f>Bilans_E_AMS_Kyoto_run3_MTE!O386</f>
        <v>0</v>
      </c>
      <c r="L14" s="712">
        <f>Bilans_E_AMS_Kyoto_run3_MTE!P386</f>
        <v>0</v>
      </c>
      <c r="M14" s="712">
        <f>Bilans_E_AMS_Kyoto_run3_MTE!Q386</f>
        <v>0</v>
      </c>
      <c r="N14" s="712">
        <f>Bilans_E_AMS_Kyoto_run3_MTE!R386</f>
        <v>0</v>
      </c>
      <c r="O14" s="712">
        <f>Bilans_E_AMS_Kyoto_run3_MTE!S386</f>
        <v>0</v>
      </c>
      <c r="P14" s="712">
        <f>Bilans_E_AMS_Kyoto_run3_MTE!T386+Bilans_E_AMS_Kyoto_run3_MTE!U386</f>
        <v>0</v>
      </c>
      <c r="Q14" s="712">
        <f>Bilans_E_AMS_Kyoto_run3_MTE!V386</f>
        <v>0</v>
      </c>
      <c r="R14" s="712">
        <f>Bilans_E_AMS_Kyoto_run3_MTE!W386</f>
        <v>-112.47635741768158</v>
      </c>
      <c r="S14" s="712">
        <f>Bilans_E_AMS_Kyoto_run3_MTE!X386</f>
        <v>0</v>
      </c>
      <c r="T14" s="712">
        <f>Bilans_E_AMS_Kyoto_run3_MTE!Y386</f>
        <v>0</v>
      </c>
      <c r="U14" s="712">
        <f>Bilans_E_AMS_Kyoto_run3_MTE!Z386</f>
        <v>-112.47635741768158</v>
      </c>
      <c r="V14" s="701"/>
      <c r="W14" s="701"/>
    </row>
    <row r="15" spans="1:23" x14ac:dyDescent="0.25">
      <c r="A15" s="701" t="s">
        <v>490</v>
      </c>
      <c r="B15" s="701"/>
      <c r="C15" s="710" t="s">
        <v>62</v>
      </c>
      <c r="D15" s="711">
        <f>Bilans_E_AMS_Kyoto_run3_MTE!H387</f>
        <v>0</v>
      </c>
      <c r="E15" s="711">
        <f>Bilans_E_AMS_Kyoto_run3_MTE!I387</f>
        <v>0</v>
      </c>
      <c r="F15" s="711">
        <f>Bilans_E_AMS_Kyoto_run3_MTE!J387</f>
        <v>-6.4368278477343406</v>
      </c>
      <c r="G15" s="711">
        <f>Bilans_E_AMS_Kyoto_run3_MTE!K387</f>
        <v>-0.75904465097595197</v>
      </c>
      <c r="H15" s="711">
        <f>Bilans_E_AMS_Kyoto_run3_MTE!L387</f>
        <v>-0.26617313205703391</v>
      </c>
      <c r="I15" s="711">
        <f>Bilans_E_AMS_Kyoto_run3_MTE!M387</f>
        <v>-0.83753949174200382</v>
      </c>
      <c r="J15" s="711">
        <f>Bilans_E_AMS_Kyoto_run3_MTE!N387</f>
        <v>0</v>
      </c>
      <c r="K15" s="711">
        <f>Bilans_E_AMS_Kyoto_run3_MTE!O387</f>
        <v>0</v>
      </c>
      <c r="L15" s="711">
        <f>Bilans_E_AMS_Kyoto_run3_MTE!P387</f>
        <v>0</v>
      </c>
      <c r="M15" s="711">
        <f>Bilans_E_AMS_Kyoto_run3_MTE!Q387</f>
        <v>0</v>
      </c>
      <c r="N15" s="711">
        <f>Bilans_E_AMS_Kyoto_run3_MTE!R387</f>
        <v>0</v>
      </c>
      <c r="O15" s="711">
        <f>Bilans_E_AMS_Kyoto_run3_MTE!S387</f>
        <v>-1.2171669369544087</v>
      </c>
      <c r="P15" s="711">
        <f>Bilans_E_AMS_Kyoto_run3_MTE!T387+Bilans_E_AMS_Kyoto_run3_MTE!U387</f>
        <v>0</v>
      </c>
      <c r="Q15" s="711">
        <f>Bilans_E_AMS_Kyoto_run3_MTE!V387</f>
        <v>0</v>
      </c>
      <c r="R15" s="711">
        <f>Bilans_E_AMS_Kyoto_run3_MTE!W387</f>
        <v>0</v>
      </c>
      <c r="S15" s="711">
        <f>Bilans_E_AMS_Kyoto_run3_MTE!X387</f>
        <v>0</v>
      </c>
      <c r="T15" s="711">
        <f>Bilans_E_AMS_Kyoto_run3_MTE!Y387</f>
        <v>-0.55033649946810814</v>
      </c>
      <c r="U15" s="711">
        <f>Bilans_E_AMS_Kyoto_run3_MTE!Z387</f>
        <v>-10.067088558931845</v>
      </c>
      <c r="V15" s="701"/>
      <c r="W15" s="701"/>
    </row>
    <row r="16" spans="1:23" x14ac:dyDescent="0.25">
      <c r="A16" s="701" t="s">
        <v>491</v>
      </c>
      <c r="B16" s="701"/>
      <c r="C16" s="710" t="s">
        <v>63</v>
      </c>
      <c r="D16" s="711">
        <f>Bilans_E_AMS_Kyoto_run3_MTE!H388</f>
        <v>0</v>
      </c>
      <c r="E16" s="711">
        <f>Bilans_E_AMS_Kyoto_run3_MTE!I388</f>
        <v>0</v>
      </c>
      <c r="F16" s="711">
        <f>Bilans_E_AMS_Kyoto_run3_MTE!J388</f>
        <v>-46.4</v>
      </c>
      <c r="G16" s="711">
        <f>Bilans_E_AMS_Kyoto_run3_MTE!K388</f>
        <v>-6.4</v>
      </c>
      <c r="H16" s="711">
        <f>Bilans_E_AMS_Kyoto_run3_MTE!L388</f>
        <v>0</v>
      </c>
      <c r="I16" s="711">
        <f>Bilans_E_AMS_Kyoto_run3_MTE!M388</f>
        <v>0</v>
      </c>
      <c r="J16" s="711">
        <f>Bilans_E_AMS_Kyoto_run3_MTE!N388</f>
        <v>0</v>
      </c>
      <c r="K16" s="711">
        <f>Bilans_E_AMS_Kyoto_run3_MTE!O388</f>
        <v>0</v>
      </c>
      <c r="L16" s="711">
        <f>Bilans_E_AMS_Kyoto_run3_MTE!P388</f>
        <v>0</v>
      </c>
      <c r="M16" s="711">
        <f>Bilans_E_AMS_Kyoto_run3_MTE!Q388</f>
        <v>0</v>
      </c>
      <c r="N16" s="711">
        <f>Bilans_E_AMS_Kyoto_run3_MTE!R388</f>
        <v>-13.4</v>
      </c>
      <c r="O16" s="711">
        <f>Bilans_E_AMS_Kyoto_run3_MTE!S388</f>
        <v>0</v>
      </c>
      <c r="P16" s="711">
        <f>Bilans_E_AMS_Kyoto_run3_MTE!T388+Bilans_E_AMS_Kyoto_run3_MTE!U388</f>
        <v>0</v>
      </c>
      <c r="Q16" s="711">
        <f>Bilans_E_AMS_Kyoto_run3_MTE!V388</f>
        <v>0</v>
      </c>
      <c r="R16" s="711">
        <f>Bilans_E_AMS_Kyoto_run3_MTE!W388</f>
        <v>0</v>
      </c>
      <c r="S16" s="711">
        <f>Bilans_E_AMS_Kyoto_run3_MTE!X388</f>
        <v>0</v>
      </c>
      <c r="T16" s="711">
        <f>Bilans_E_AMS_Kyoto_run3_MTE!Y388</f>
        <v>-2.2000000000000002</v>
      </c>
      <c r="U16" s="711">
        <f>Bilans_E_AMS_Kyoto_run3_MTE!Z388</f>
        <v>-68.400000000000006</v>
      </c>
      <c r="V16" s="701"/>
      <c r="W16" s="701"/>
    </row>
    <row r="17" spans="1:23" x14ac:dyDescent="0.25">
      <c r="A17" s="701" t="s">
        <v>492</v>
      </c>
      <c r="B17" s="701"/>
      <c r="C17" s="710" t="s">
        <v>64</v>
      </c>
      <c r="D17" s="712">
        <f>Bilans_E_AMS_Kyoto_run3_MTE!H389</f>
        <v>0</v>
      </c>
      <c r="E17" s="712">
        <f>Bilans_E_AMS_Kyoto_run3_MTE!I389</f>
        <v>0</v>
      </c>
      <c r="F17" s="712">
        <f>Bilans_E_AMS_Kyoto_run3_MTE!J389</f>
        <v>0</v>
      </c>
      <c r="G17" s="712">
        <f>Bilans_E_AMS_Kyoto_run3_MTE!K389</f>
        <v>0</v>
      </c>
      <c r="H17" s="712">
        <f>Bilans_E_AMS_Kyoto_run3_MTE!L389</f>
        <v>0</v>
      </c>
      <c r="I17" s="712">
        <f>Bilans_E_AMS_Kyoto_run3_MTE!M389</f>
        <v>0</v>
      </c>
      <c r="J17" s="712">
        <f>Bilans_E_AMS_Kyoto_run3_MTE!N389</f>
        <v>0</v>
      </c>
      <c r="K17" s="712">
        <f>Bilans_E_AMS_Kyoto_run3_MTE!O389</f>
        <v>0</v>
      </c>
      <c r="L17" s="712">
        <f>Bilans_E_AMS_Kyoto_run3_MTE!P389</f>
        <v>0</v>
      </c>
      <c r="M17" s="712">
        <f>Bilans_E_AMS_Kyoto_run3_MTE!Q389</f>
        <v>0</v>
      </c>
      <c r="N17" s="712">
        <f>Bilans_E_AMS_Kyoto_run3_MTE!R389</f>
        <v>0</v>
      </c>
      <c r="O17" s="712">
        <f>Bilans_E_AMS_Kyoto_run3_MTE!S389</f>
        <v>0</v>
      </c>
      <c r="P17" s="712">
        <f>Bilans_E_AMS_Kyoto_run3_MTE!T389+Bilans_E_AMS_Kyoto_run3_MTE!U389</f>
        <v>0</v>
      </c>
      <c r="Q17" s="712">
        <f>Bilans_E_AMS_Kyoto_run3_MTE!V389</f>
        <v>0</v>
      </c>
      <c r="R17" s="712">
        <f>Bilans_E_AMS_Kyoto_run3_MTE!W389</f>
        <v>0</v>
      </c>
      <c r="S17" s="712">
        <f>Bilans_E_AMS_Kyoto_run3_MTE!X389</f>
        <v>0</v>
      </c>
      <c r="T17" s="712">
        <f>Bilans_E_AMS_Kyoto_run3_MTE!Y389</f>
        <v>0</v>
      </c>
      <c r="U17" s="712">
        <f>Bilans_E_AMS_Kyoto_run3_MTE!Z389</f>
        <v>0</v>
      </c>
      <c r="V17" s="701"/>
      <c r="W17" s="701"/>
    </row>
    <row r="18" spans="1:23" x14ac:dyDescent="0.25">
      <c r="A18" s="701" t="s">
        <v>493</v>
      </c>
      <c r="B18" s="701"/>
      <c r="C18" s="713" t="s">
        <v>65</v>
      </c>
      <c r="D18" s="714">
        <f>Bilans_E_AMS_Kyoto_run3_MTE!H390</f>
        <v>12.531065673828124</v>
      </c>
      <c r="E18" s="714">
        <f>Bilans_E_AMS_Kyoto_run3_MTE!I390</f>
        <v>262.59596136173099</v>
      </c>
      <c r="F18" s="714">
        <f>Bilans_E_AMS_Kyoto_run3_MTE!J390</f>
        <v>26.932311781247869</v>
      </c>
      <c r="G18" s="714">
        <f>Bilans_E_AMS_Kyoto_run3_MTE!K390</f>
        <v>-1.7745291376735031</v>
      </c>
      <c r="H18" s="714">
        <f>Bilans_E_AMS_Kyoto_run3_MTE!L390</f>
        <v>145.88256317463066</v>
      </c>
      <c r="I18" s="714">
        <f>Bilans_E_AMS_Kyoto_run3_MTE!M390</f>
        <v>-0.83753949174200382</v>
      </c>
      <c r="J18" s="714">
        <f>Bilans_E_AMS_Kyoto_run3_MTE!N390</f>
        <v>1195.4990290598246</v>
      </c>
      <c r="K18" s="714">
        <f>Bilans_E_AMS_Kyoto_run3_MTE!O390</f>
        <v>352.81639892204078</v>
      </c>
      <c r="L18" s="714">
        <f>Bilans_E_AMS_Kyoto_run3_MTE!P390</f>
        <v>341.33694367798938</v>
      </c>
      <c r="M18" s="714">
        <f>Bilans_E_AMS_Kyoto_run3_MTE!Q390</f>
        <v>49.102811616128875</v>
      </c>
      <c r="N18" s="714">
        <f>Bilans_E_AMS_Kyoto_run3_MTE!R390</f>
        <v>0.38683623931831868</v>
      </c>
      <c r="O18" s="714">
        <f>Bilans_E_AMS_Kyoto_run3_MTE!S390</f>
        <v>2.9852495575387552</v>
      </c>
      <c r="P18" s="714">
        <f>Bilans_E_AMS_Kyoto_run3_MTE!T390+Bilans_E_AMS_Kyoto_run3_MTE!U390</f>
        <v>200.79978234592807</v>
      </c>
      <c r="Q18" s="714">
        <f>Bilans_E_AMS_Kyoto_run3_MTE!V390</f>
        <v>40.778741630012433</v>
      </c>
      <c r="R18" s="714">
        <f>Bilans_E_AMS_Kyoto_run3_MTE!W390</f>
        <v>-112.47635741768158</v>
      </c>
      <c r="S18" s="714">
        <f>Bilans_E_AMS_Kyoto_run3_MTE!X390</f>
        <v>0</v>
      </c>
      <c r="T18" s="714">
        <f>Bilans_E_AMS_Kyoto_run3_MTE!Y390</f>
        <v>-2.7503364994681085</v>
      </c>
      <c r="U18" s="714">
        <f>Bilans_E_AMS_Kyoto_run3_MTE!Z390</f>
        <v>2513.8089324936536</v>
      </c>
      <c r="V18" s="701"/>
      <c r="W18" s="701"/>
    </row>
    <row r="19" spans="1:23" x14ac:dyDescent="0.25">
      <c r="A19" s="701"/>
      <c r="B19" s="701"/>
      <c r="C19" s="715"/>
      <c r="D19" s="716"/>
      <c r="E19" s="716"/>
      <c r="F19" s="716"/>
      <c r="G19" s="716"/>
      <c r="H19" s="716"/>
      <c r="I19" s="716"/>
      <c r="J19" s="716"/>
      <c r="K19" s="716"/>
      <c r="L19" s="716"/>
      <c r="M19" s="716"/>
      <c r="N19" s="716"/>
      <c r="O19" s="716"/>
      <c r="P19" s="716">
        <f>Bilans_E_AMS_Kyoto_run3_MTE!T391+Bilans_E_AMS_Kyoto_run3_MTE!U391</f>
        <v>0</v>
      </c>
      <c r="Q19" s="716"/>
      <c r="R19" s="716"/>
      <c r="S19" s="716"/>
      <c r="T19" s="716"/>
      <c r="U19" s="716"/>
      <c r="V19" s="701"/>
      <c r="W19" s="701"/>
    </row>
    <row r="20" spans="1:23" x14ac:dyDescent="0.25">
      <c r="A20" s="701" t="s">
        <v>494</v>
      </c>
      <c r="B20" s="701"/>
      <c r="C20" s="717" t="s">
        <v>67</v>
      </c>
      <c r="D20" s="711">
        <f>Bilans_E_AMS_Kyoto_run3_MTE!H392</f>
        <v>0</v>
      </c>
      <c r="E20" s="711">
        <f>Bilans_E_AMS_Kyoto_run3_MTE!I392</f>
        <v>0</v>
      </c>
      <c r="F20" s="711">
        <f>Bilans_E_AMS_Kyoto_run3_MTE!J392</f>
        <v>0</v>
      </c>
      <c r="G20" s="711">
        <f>Bilans_E_AMS_Kyoto_run3_MTE!K392</f>
        <v>0</v>
      </c>
      <c r="H20" s="711">
        <f>Bilans_E_AMS_Kyoto_run3_MTE!L392</f>
        <v>0</v>
      </c>
      <c r="I20" s="711">
        <f>Bilans_E_AMS_Kyoto_run3_MTE!M392</f>
        <v>0</v>
      </c>
      <c r="J20" s="711">
        <f>Bilans_E_AMS_Kyoto_run3_MTE!N392</f>
        <v>0</v>
      </c>
      <c r="K20" s="711">
        <f>Bilans_E_AMS_Kyoto_run3_MTE!O392</f>
        <v>0</v>
      </c>
      <c r="L20" s="711">
        <f>Bilans_E_AMS_Kyoto_run3_MTE!P392</f>
        <v>0</v>
      </c>
      <c r="M20" s="711">
        <f>Bilans_E_AMS_Kyoto_run3_MTE!Q392</f>
        <v>0</v>
      </c>
      <c r="N20" s="711">
        <f>Bilans_E_AMS_Kyoto_run3_MTE!R392</f>
        <v>0</v>
      </c>
      <c r="O20" s="711">
        <f>Bilans_E_AMS_Kyoto_run3_MTE!S392</f>
        <v>0</v>
      </c>
      <c r="P20" s="711">
        <f>Bilans_E_AMS_Kyoto_run3_MTE!T392+Bilans_E_AMS_Kyoto_run3_MTE!U392</f>
        <v>0</v>
      </c>
      <c r="Q20" s="711">
        <f>Bilans_E_AMS_Kyoto_run3_MTE!V392</f>
        <v>0</v>
      </c>
      <c r="R20" s="711">
        <f>Bilans_E_AMS_Kyoto_run3_MTE!W392</f>
        <v>0</v>
      </c>
      <c r="S20" s="711">
        <f>Bilans_E_AMS_Kyoto_run3_MTE!X392</f>
        <v>0</v>
      </c>
      <c r="T20" s="711">
        <f>Bilans_E_AMS_Kyoto_run3_MTE!Y392</f>
        <v>0</v>
      </c>
      <c r="U20" s="711">
        <f>Bilans_E_AMS_Kyoto_run3_MTE!Z392</f>
        <v>0</v>
      </c>
      <c r="V20" s="701"/>
      <c r="W20" s="701"/>
    </row>
    <row r="21" spans="1:23" x14ac:dyDescent="0.25">
      <c r="A21" s="701" t="s">
        <v>495</v>
      </c>
      <c r="B21" s="701"/>
      <c r="C21" s="717" t="s">
        <v>347</v>
      </c>
      <c r="D21" s="711">
        <f>Bilans_E_AMS_Kyoto_run3_MTE!H393</f>
        <v>0</v>
      </c>
      <c r="E21" s="711">
        <f>Bilans_E_AMS_Kyoto_run3_MTE!I393</f>
        <v>0</v>
      </c>
      <c r="F21" s="711">
        <f>Bilans_E_AMS_Kyoto_run3_MTE!J393</f>
        <v>0.36057808628354604</v>
      </c>
      <c r="G21" s="711">
        <f>Bilans_E_AMS_Kyoto_run3_MTE!K393</f>
        <v>0</v>
      </c>
      <c r="H21" s="711">
        <f>Bilans_E_AMS_Kyoto_run3_MTE!L393</f>
        <v>8.6510705990175421</v>
      </c>
      <c r="I21" s="711">
        <f>Bilans_E_AMS_Kyoto_run3_MTE!M393</f>
        <v>0</v>
      </c>
      <c r="J21" s="711">
        <f>Bilans_E_AMS_Kyoto_run3_MTE!N393</f>
        <v>1193.4597454545453</v>
      </c>
      <c r="K21" s="711">
        <f>Bilans_E_AMS_Kyoto_run3_MTE!O393</f>
        <v>352.81639892204078</v>
      </c>
      <c r="L21" s="711">
        <f>Bilans_E_AMS_Kyoto_run3_MTE!P393</f>
        <v>17.169316423280179</v>
      </c>
      <c r="M21" s="711">
        <f>Bilans_E_AMS_Kyoto_run3_MTE!Q393</f>
        <v>5.7366833077088035</v>
      </c>
      <c r="N21" s="711">
        <f>Bilans_E_AMS_Kyoto_run3_MTE!R393</f>
        <v>5.3878161949008447</v>
      </c>
      <c r="O21" s="711">
        <f>Bilans_E_AMS_Kyoto_run3_MTE!S393</f>
        <v>5.0608301808950129</v>
      </c>
      <c r="P21" s="711">
        <f>Bilans_E_AMS_Kyoto_run3_MTE!T393+Bilans_E_AMS_Kyoto_run3_MTE!U393</f>
        <v>0</v>
      </c>
      <c r="Q21" s="711">
        <f>Bilans_E_AMS_Kyoto_run3_MTE!V393</f>
        <v>4.9774137725284184</v>
      </c>
      <c r="R21" s="711">
        <f>Bilans_E_AMS_Kyoto_run3_MTE!W393</f>
        <v>-770.22733582540855</v>
      </c>
      <c r="S21" s="711">
        <f>Bilans_E_AMS_Kyoto_run3_MTE!X393</f>
        <v>0</v>
      </c>
      <c r="T21" s="711">
        <f>Bilans_E_AMS_Kyoto_run3_MTE!Y393</f>
        <v>0</v>
      </c>
      <c r="U21" s="711">
        <f>Bilans_E_AMS_Kyoto_run3_MTE!Z393</f>
        <v>823.39251711579163</v>
      </c>
      <c r="V21" s="701"/>
      <c r="W21" s="701"/>
    </row>
    <row r="22" spans="1:23" x14ac:dyDescent="0.25">
      <c r="A22" s="701" t="s">
        <v>496</v>
      </c>
      <c r="B22" s="701"/>
      <c r="C22" s="717" t="s">
        <v>348</v>
      </c>
      <c r="D22" s="711">
        <f>Bilans_E_AMS_Kyoto_run3_MTE!H394</f>
        <v>0</v>
      </c>
      <c r="E22" s="711">
        <f>Bilans_E_AMS_Kyoto_run3_MTE!I394</f>
        <v>0</v>
      </c>
      <c r="F22" s="711">
        <f>Bilans_E_AMS_Kyoto_run3_MTE!J394</f>
        <v>0</v>
      </c>
      <c r="G22" s="711">
        <f>Bilans_E_AMS_Kyoto_run3_MTE!K394</f>
        <v>0</v>
      </c>
      <c r="H22" s="711">
        <f>Bilans_E_AMS_Kyoto_run3_MTE!L394</f>
        <v>16.741941849061199</v>
      </c>
      <c r="I22" s="711">
        <f>Bilans_E_AMS_Kyoto_run3_MTE!M394</f>
        <v>0</v>
      </c>
      <c r="J22" s="711">
        <f>Bilans_E_AMS_Kyoto_run3_MTE!N394</f>
        <v>2.0392836052791781</v>
      </c>
      <c r="K22" s="711">
        <f>Bilans_E_AMS_Kyoto_run3_MTE!O394</f>
        <v>0</v>
      </c>
      <c r="L22" s="711">
        <f>Bilans_E_AMS_Kyoto_run3_MTE!P394</f>
        <v>24.508111114586647</v>
      </c>
      <c r="M22" s="711">
        <f>Bilans_E_AMS_Kyoto_run3_MTE!Q394</f>
        <v>15.713393249215271</v>
      </c>
      <c r="N22" s="711">
        <f>Bilans_E_AMS_Kyoto_run3_MTE!R394</f>
        <v>0</v>
      </c>
      <c r="O22" s="711">
        <f>Bilans_E_AMS_Kyoto_run3_MTE!S394</f>
        <v>8.2544124688387157</v>
      </c>
      <c r="P22" s="711">
        <f>Bilans_E_AMS_Kyoto_run3_MTE!T394+Bilans_E_AMS_Kyoto_run3_MTE!U394</f>
        <v>15.880539172662751</v>
      </c>
      <c r="Q22" s="711">
        <f>Bilans_E_AMS_Kyoto_run3_MTE!V394</f>
        <v>15.123327125815617</v>
      </c>
      <c r="R22" s="711">
        <f>Bilans_E_AMS_Kyoto_run3_MTE!W394</f>
        <v>0</v>
      </c>
      <c r="S22" s="711">
        <f>Bilans_E_AMS_Kyoto_run3_MTE!X394</f>
        <v>-90.455475584151912</v>
      </c>
      <c r="T22" s="711">
        <f>Bilans_E_AMS_Kyoto_run3_MTE!Y394</f>
        <v>0</v>
      </c>
      <c r="U22" s="711">
        <f>Bilans_E_AMS_Kyoto_run3_MTE!Z394</f>
        <v>7.8055330013074666</v>
      </c>
      <c r="V22" s="701"/>
      <c r="W22" s="701"/>
    </row>
    <row r="23" spans="1:23" x14ac:dyDescent="0.25">
      <c r="A23" s="701" t="s">
        <v>497</v>
      </c>
      <c r="B23" s="701"/>
      <c r="C23" s="717" t="s">
        <v>349</v>
      </c>
      <c r="D23" s="711">
        <f>Bilans_E_AMS_Kyoto_run3_MTE!H395</f>
        <v>0</v>
      </c>
      <c r="E23" s="711">
        <f>Bilans_E_AMS_Kyoto_run3_MTE!I395</f>
        <v>0</v>
      </c>
      <c r="F23" s="711">
        <f>Bilans_E_AMS_Kyoto_run3_MTE!J395</f>
        <v>0</v>
      </c>
      <c r="G23" s="711">
        <f>Bilans_E_AMS_Kyoto_run3_MTE!K395</f>
        <v>0</v>
      </c>
      <c r="H23" s="711">
        <f>Bilans_E_AMS_Kyoto_run3_MTE!L395</f>
        <v>0</v>
      </c>
      <c r="I23" s="711">
        <f>Bilans_E_AMS_Kyoto_run3_MTE!M395</f>
        <v>0</v>
      </c>
      <c r="J23" s="711">
        <f>Bilans_E_AMS_Kyoto_run3_MTE!N395</f>
        <v>0</v>
      </c>
      <c r="K23" s="711">
        <f>Bilans_E_AMS_Kyoto_run3_MTE!O395</f>
        <v>0</v>
      </c>
      <c r="L23" s="711">
        <f>Bilans_E_AMS_Kyoto_run3_MTE!P395</f>
        <v>110.70220449796281</v>
      </c>
      <c r="M23" s="711">
        <f>Bilans_E_AMS_Kyoto_run3_MTE!Q395</f>
        <v>11.288363237424081</v>
      </c>
      <c r="N23" s="711">
        <f>Bilans_E_AMS_Kyoto_run3_MTE!R395</f>
        <v>0</v>
      </c>
      <c r="O23" s="711">
        <f>Bilans_E_AMS_Kyoto_run3_MTE!S395</f>
        <v>-61.07757335974334</v>
      </c>
      <c r="P23" s="711">
        <f>Bilans_E_AMS_Kyoto_run3_MTE!T395+Bilans_E_AMS_Kyoto_run3_MTE!U395</f>
        <v>0</v>
      </c>
      <c r="Q23" s="711">
        <f>Bilans_E_AMS_Kyoto_run3_MTE!V395</f>
        <v>0</v>
      </c>
      <c r="R23" s="711">
        <f>Bilans_E_AMS_Kyoto_run3_MTE!W395</f>
        <v>0</v>
      </c>
      <c r="S23" s="711">
        <f>Bilans_E_AMS_Kyoto_run3_MTE!X395</f>
        <v>0</v>
      </c>
      <c r="T23" s="711">
        <f>Bilans_E_AMS_Kyoto_run3_MTE!Y395</f>
        <v>0</v>
      </c>
      <c r="U23" s="711">
        <f>Bilans_E_AMS_Kyoto_run3_MTE!Z395</f>
        <v>60.912994375643549</v>
      </c>
      <c r="V23" s="701"/>
      <c r="W23" s="701"/>
    </row>
    <row r="24" spans="1:23" x14ac:dyDescent="0.25">
      <c r="A24" s="701" t="s">
        <v>498</v>
      </c>
      <c r="B24" s="701"/>
      <c r="C24" s="717" t="s">
        <v>350</v>
      </c>
      <c r="D24" s="711">
        <f>Bilans_E_AMS_Kyoto_run3_MTE!H396</f>
        <v>0</v>
      </c>
      <c r="E24" s="711">
        <f>Bilans_E_AMS_Kyoto_run3_MTE!I396</f>
        <v>0</v>
      </c>
      <c r="F24" s="711">
        <f>Bilans_E_AMS_Kyoto_run3_MTE!J396</f>
        <v>0</v>
      </c>
      <c r="G24" s="711">
        <f>Bilans_E_AMS_Kyoto_run3_MTE!K396</f>
        <v>0</v>
      </c>
      <c r="H24" s="711">
        <f>Bilans_E_AMS_Kyoto_run3_MTE!L396</f>
        <v>0</v>
      </c>
      <c r="I24" s="711">
        <f>Bilans_E_AMS_Kyoto_run3_MTE!M396</f>
        <v>-0.83753949174200382</v>
      </c>
      <c r="J24" s="711">
        <f>Bilans_E_AMS_Kyoto_run3_MTE!N396</f>
        <v>0</v>
      </c>
      <c r="K24" s="711">
        <f>Bilans_E_AMS_Kyoto_run3_MTE!O396</f>
        <v>0</v>
      </c>
      <c r="L24" s="711">
        <f>Bilans_E_AMS_Kyoto_run3_MTE!P396</f>
        <v>0</v>
      </c>
      <c r="M24" s="711">
        <f>Bilans_E_AMS_Kyoto_run3_MTE!Q396</f>
        <v>0</v>
      </c>
      <c r="N24" s="711">
        <f>Bilans_E_AMS_Kyoto_run3_MTE!R396</f>
        <v>0</v>
      </c>
      <c r="O24" s="711">
        <f>Bilans_E_AMS_Kyoto_run3_MTE!S396</f>
        <v>0</v>
      </c>
      <c r="P24" s="711">
        <f>Bilans_E_AMS_Kyoto_run3_MTE!T396+Bilans_E_AMS_Kyoto_run3_MTE!U396</f>
        <v>0</v>
      </c>
      <c r="Q24" s="711">
        <f>Bilans_E_AMS_Kyoto_run3_MTE!V396</f>
        <v>0</v>
      </c>
      <c r="R24" s="711">
        <f>Bilans_E_AMS_Kyoto_run3_MTE!W396</f>
        <v>0</v>
      </c>
      <c r="S24" s="711">
        <f>Bilans_E_AMS_Kyoto_run3_MTE!X396</f>
        <v>0</v>
      </c>
      <c r="T24" s="711">
        <f>Bilans_E_AMS_Kyoto_run3_MTE!Y396</f>
        <v>1.1632492940861165</v>
      </c>
      <c r="U24" s="711">
        <f>Bilans_E_AMS_Kyoto_run3_MTE!Z396</f>
        <v>0.32570980234411273</v>
      </c>
      <c r="V24" s="701"/>
      <c r="W24" s="701"/>
    </row>
    <row r="25" spans="1:23" x14ac:dyDescent="0.25">
      <c r="A25" s="701" t="s">
        <v>499</v>
      </c>
      <c r="B25" s="701"/>
      <c r="C25" s="717" t="s">
        <v>72</v>
      </c>
      <c r="D25" s="711">
        <f>Bilans_E_AMS_Kyoto_run3_MTE!H397</f>
        <v>0</v>
      </c>
      <c r="E25" s="711">
        <f>Bilans_E_AMS_Kyoto_run3_MTE!I397</f>
        <v>272.12802990456925</v>
      </c>
      <c r="F25" s="711">
        <f>Bilans_E_AMS_Kyoto_run3_MTE!J397</f>
        <v>-269.40674960552354</v>
      </c>
      <c r="G25" s="711">
        <f>Bilans_E_AMS_Kyoto_run3_MTE!K397</f>
        <v>0</v>
      </c>
      <c r="H25" s="711">
        <f>Bilans_E_AMS_Kyoto_run3_MTE!L397</f>
        <v>0</v>
      </c>
      <c r="I25" s="711">
        <f>Bilans_E_AMS_Kyoto_run3_MTE!M397</f>
        <v>0</v>
      </c>
      <c r="J25" s="711">
        <f>Bilans_E_AMS_Kyoto_run3_MTE!N397</f>
        <v>0</v>
      </c>
      <c r="K25" s="711">
        <f>Bilans_E_AMS_Kyoto_run3_MTE!O397</f>
        <v>0</v>
      </c>
      <c r="L25" s="711">
        <f>Bilans_E_AMS_Kyoto_run3_MTE!P397</f>
        <v>0</v>
      </c>
      <c r="M25" s="711">
        <f>Bilans_E_AMS_Kyoto_run3_MTE!Q397</f>
        <v>0</v>
      </c>
      <c r="N25" s="711">
        <f>Bilans_E_AMS_Kyoto_run3_MTE!R397</f>
        <v>0</v>
      </c>
      <c r="O25" s="711">
        <f>Bilans_E_AMS_Kyoto_run3_MTE!S397</f>
        <v>0</v>
      </c>
      <c r="P25" s="711">
        <f>Bilans_E_AMS_Kyoto_run3_MTE!T397+Bilans_E_AMS_Kyoto_run3_MTE!U397</f>
        <v>0</v>
      </c>
      <c r="Q25" s="711">
        <f>Bilans_E_AMS_Kyoto_run3_MTE!V397</f>
        <v>0</v>
      </c>
      <c r="R25" s="711">
        <f>Bilans_E_AMS_Kyoto_run3_MTE!W397</f>
        <v>0</v>
      </c>
      <c r="S25" s="711">
        <f>Bilans_E_AMS_Kyoto_run3_MTE!X397</f>
        <v>0</v>
      </c>
      <c r="T25" s="711">
        <f>Bilans_E_AMS_Kyoto_run3_MTE!Y397</f>
        <v>0</v>
      </c>
      <c r="U25" s="711">
        <f>Bilans_E_AMS_Kyoto_run3_MTE!Z397</f>
        <v>2.7212802990457021</v>
      </c>
      <c r="V25" s="701"/>
      <c r="W25" s="701"/>
    </row>
    <row r="26" spans="1:23" x14ac:dyDescent="0.25">
      <c r="A26" s="701" t="s">
        <v>500</v>
      </c>
      <c r="B26" s="701"/>
      <c r="C26" s="717" t="s">
        <v>351</v>
      </c>
      <c r="D26" s="711">
        <f>Bilans_E_AMS_Kyoto_run3_MTE!H398</f>
        <v>0</v>
      </c>
      <c r="E26" s="711">
        <f>Bilans_E_AMS_Kyoto_run3_MTE!I398</f>
        <v>0</v>
      </c>
      <c r="F26" s="711">
        <f>Bilans_E_AMS_Kyoto_run3_MTE!J398</f>
        <v>0</v>
      </c>
      <c r="G26" s="711">
        <f>Bilans_E_AMS_Kyoto_run3_MTE!K398</f>
        <v>0</v>
      </c>
      <c r="H26" s="711">
        <f>Bilans_E_AMS_Kyoto_run3_MTE!L398</f>
        <v>0</v>
      </c>
      <c r="I26" s="711">
        <f>Bilans_E_AMS_Kyoto_run3_MTE!M398</f>
        <v>0</v>
      </c>
      <c r="J26" s="711">
        <f>Bilans_E_AMS_Kyoto_run3_MTE!N398</f>
        <v>0</v>
      </c>
      <c r="K26" s="711">
        <f>Bilans_E_AMS_Kyoto_run3_MTE!O398</f>
        <v>0</v>
      </c>
      <c r="L26" s="711">
        <f>Bilans_E_AMS_Kyoto_run3_MTE!P398</f>
        <v>88.639921652360655</v>
      </c>
      <c r="M26" s="711">
        <f>Bilans_E_AMS_Kyoto_run3_MTE!Q398</f>
        <v>7.2727272727272725</v>
      </c>
      <c r="N26" s="711">
        <f>Bilans_E_AMS_Kyoto_run3_MTE!R398</f>
        <v>-53.457042752935592</v>
      </c>
      <c r="O26" s="711">
        <f>Bilans_E_AMS_Kyoto_run3_MTE!S398</f>
        <v>0</v>
      </c>
      <c r="P26" s="711">
        <f>Bilans_E_AMS_Kyoto_run3_MTE!T398+Bilans_E_AMS_Kyoto_run3_MTE!U398</f>
        <v>0</v>
      </c>
      <c r="Q26" s="711">
        <f>Bilans_E_AMS_Kyoto_run3_MTE!V398</f>
        <v>0</v>
      </c>
      <c r="R26" s="711">
        <f>Bilans_E_AMS_Kyoto_run3_MTE!W398</f>
        <v>0</v>
      </c>
      <c r="S26" s="711">
        <f>Bilans_E_AMS_Kyoto_run3_MTE!X398</f>
        <v>0</v>
      </c>
      <c r="T26" s="711">
        <f>Bilans_E_AMS_Kyoto_run3_MTE!Y398</f>
        <v>0</v>
      </c>
      <c r="U26" s="711">
        <f>Bilans_E_AMS_Kyoto_run3_MTE!Z398</f>
        <v>42.455606172152329</v>
      </c>
      <c r="V26" s="701"/>
      <c r="W26" s="701"/>
    </row>
    <row r="27" spans="1:23" x14ac:dyDescent="0.25">
      <c r="A27" s="701" t="s">
        <v>501</v>
      </c>
      <c r="B27" s="701"/>
      <c r="C27" s="717" t="s">
        <v>352</v>
      </c>
      <c r="D27" s="711">
        <f>Bilans_E_AMS_Kyoto_run3_MTE!H399</f>
        <v>0</v>
      </c>
      <c r="E27" s="711">
        <f>Bilans_E_AMS_Kyoto_run3_MTE!I399</f>
        <v>0</v>
      </c>
      <c r="F27" s="711">
        <f>Bilans_E_AMS_Kyoto_run3_MTE!J399</f>
        <v>0</v>
      </c>
      <c r="G27" s="711">
        <f>Bilans_E_AMS_Kyoto_run3_MTE!K399</f>
        <v>-4.3840446509759525</v>
      </c>
      <c r="H27" s="711">
        <f>Bilans_E_AMS_Kyoto_run3_MTE!L399</f>
        <v>0</v>
      </c>
      <c r="I27" s="711">
        <f>Bilans_E_AMS_Kyoto_run3_MTE!M399</f>
        <v>0</v>
      </c>
      <c r="J27" s="711">
        <f>Bilans_E_AMS_Kyoto_run3_MTE!N399</f>
        <v>0</v>
      </c>
      <c r="K27" s="711">
        <f>Bilans_E_AMS_Kyoto_run3_MTE!O399</f>
        <v>0</v>
      </c>
      <c r="L27" s="711">
        <f>Bilans_E_AMS_Kyoto_run3_MTE!P399</f>
        <v>0</v>
      </c>
      <c r="M27" s="711">
        <f>Bilans_E_AMS_Kyoto_run3_MTE!Q399</f>
        <v>0</v>
      </c>
      <c r="N27" s="711">
        <f>Bilans_E_AMS_Kyoto_run3_MTE!R399</f>
        <v>0</v>
      </c>
      <c r="O27" s="711">
        <f>Bilans_E_AMS_Kyoto_run3_MTE!S399</f>
        <v>0</v>
      </c>
      <c r="P27" s="711">
        <f>Bilans_E_AMS_Kyoto_run3_MTE!T399+Bilans_E_AMS_Kyoto_run3_MTE!U399</f>
        <v>0</v>
      </c>
      <c r="Q27" s="711">
        <f>Bilans_E_AMS_Kyoto_run3_MTE!V399</f>
        <v>0</v>
      </c>
      <c r="R27" s="711">
        <f>Bilans_E_AMS_Kyoto_run3_MTE!W399</f>
        <v>0</v>
      </c>
      <c r="S27" s="711">
        <f>Bilans_E_AMS_Kyoto_run3_MTE!X399</f>
        <v>0</v>
      </c>
      <c r="T27" s="711">
        <f>Bilans_E_AMS_Kyoto_run3_MTE!Y399</f>
        <v>7.2149491160735479</v>
      </c>
      <c r="U27" s="711">
        <f>Bilans_E_AMS_Kyoto_run3_MTE!Z399</f>
        <v>2.8309044650975954</v>
      </c>
      <c r="V27" s="701"/>
      <c r="W27" s="701"/>
    </row>
    <row r="28" spans="1:23" x14ac:dyDescent="0.25">
      <c r="A28" s="701" t="s">
        <v>502</v>
      </c>
      <c r="B28" s="701"/>
      <c r="C28" s="717" t="s">
        <v>73</v>
      </c>
      <c r="D28" s="711">
        <f>Bilans_E_AMS_Kyoto_run3_MTE!H400</f>
        <v>0</v>
      </c>
      <c r="E28" s="711">
        <f>Bilans_E_AMS_Kyoto_run3_MTE!I400</f>
        <v>0</v>
      </c>
      <c r="F28" s="711">
        <f>Bilans_E_AMS_Kyoto_run3_MTE!J400</f>
        <v>0</v>
      </c>
      <c r="G28" s="711">
        <f>Bilans_E_AMS_Kyoto_run3_MTE!K400</f>
        <v>0</v>
      </c>
      <c r="H28" s="711">
        <f>Bilans_E_AMS_Kyoto_run3_MTE!L400</f>
        <v>0</v>
      </c>
      <c r="I28" s="711">
        <f>Bilans_E_AMS_Kyoto_run3_MTE!M400</f>
        <v>0</v>
      </c>
      <c r="J28" s="711">
        <f>Bilans_E_AMS_Kyoto_run3_MTE!N400</f>
        <v>0</v>
      </c>
      <c r="K28" s="711">
        <f>Bilans_E_AMS_Kyoto_run3_MTE!O400</f>
        <v>0</v>
      </c>
      <c r="L28" s="711">
        <f>Bilans_E_AMS_Kyoto_run3_MTE!P400</f>
        <v>0</v>
      </c>
      <c r="M28" s="711">
        <f>Bilans_E_AMS_Kyoto_run3_MTE!Q400</f>
        <v>0</v>
      </c>
      <c r="N28" s="711">
        <f>Bilans_E_AMS_Kyoto_run3_MTE!R400</f>
        <v>0</v>
      </c>
      <c r="O28" s="711">
        <f>Bilans_E_AMS_Kyoto_run3_MTE!S400</f>
        <v>0</v>
      </c>
      <c r="P28" s="711">
        <f>Bilans_E_AMS_Kyoto_run3_MTE!T400+Bilans_E_AMS_Kyoto_run3_MTE!U400</f>
        <v>0</v>
      </c>
      <c r="Q28" s="711">
        <f>Bilans_E_AMS_Kyoto_run3_MTE!V400</f>
        <v>0</v>
      </c>
      <c r="R28" s="711">
        <f>Bilans_E_AMS_Kyoto_run3_MTE!W400</f>
        <v>40.8329668197633</v>
      </c>
      <c r="S28" s="711">
        <f>Bilans_E_AMS_Kyoto_run3_MTE!X400</f>
        <v>0</v>
      </c>
      <c r="T28" s="711">
        <f>Bilans_E_AMS_Kyoto_run3_MTE!Y400</f>
        <v>-27.684751503799522</v>
      </c>
      <c r="U28" s="711">
        <f>Bilans_E_AMS_Kyoto_run3_MTE!Z400</f>
        <v>13.148215315963778</v>
      </c>
      <c r="V28" s="701"/>
      <c r="W28" s="701"/>
    </row>
    <row r="29" spans="1:23" x14ac:dyDescent="0.25">
      <c r="A29" s="701" t="s">
        <v>503</v>
      </c>
      <c r="B29" s="701"/>
      <c r="C29" s="717" t="s">
        <v>353</v>
      </c>
      <c r="D29" s="711">
        <f>Bilans_E_AMS_Kyoto_run3_MTE!H401</f>
        <v>8.7196264453124996</v>
      </c>
      <c r="E29" s="711">
        <f>Bilans_E_AMS_Kyoto_run3_MTE!I401</f>
        <v>-9.5320685428382639</v>
      </c>
      <c r="F29" s="711">
        <f>Bilans_E_AMS_Kyoto_run3_MTE!J401</f>
        <v>12.621512149777095</v>
      </c>
      <c r="G29" s="711">
        <f>Bilans_E_AMS_Kyoto_run3_MTE!K401</f>
        <v>0</v>
      </c>
      <c r="H29" s="711">
        <f>Bilans_E_AMS_Kyoto_run3_MTE!L401</f>
        <v>0</v>
      </c>
      <c r="I29" s="711">
        <f>Bilans_E_AMS_Kyoto_run3_MTE!M401</f>
        <v>0</v>
      </c>
      <c r="J29" s="711">
        <f>Bilans_E_AMS_Kyoto_run3_MTE!N401</f>
        <v>0</v>
      </c>
      <c r="K29" s="711">
        <f>Bilans_E_AMS_Kyoto_run3_MTE!O401</f>
        <v>0</v>
      </c>
      <c r="L29" s="711">
        <f>Bilans_E_AMS_Kyoto_run3_MTE!P401</f>
        <v>0</v>
      </c>
      <c r="M29" s="711">
        <f>Bilans_E_AMS_Kyoto_run3_MTE!Q401</f>
        <v>0</v>
      </c>
      <c r="N29" s="711">
        <f>Bilans_E_AMS_Kyoto_run3_MTE!R401</f>
        <v>0</v>
      </c>
      <c r="O29" s="711">
        <f>Bilans_E_AMS_Kyoto_run3_MTE!S401</f>
        <v>0</v>
      </c>
      <c r="P29" s="711">
        <f>Bilans_E_AMS_Kyoto_run3_MTE!T401+Bilans_E_AMS_Kyoto_run3_MTE!U401</f>
        <v>0</v>
      </c>
      <c r="Q29" s="711">
        <f>Bilans_E_AMS_Kyoto_run3_MTE!V401</f>
        <v>0</v>
      </c>
      <c r="R29" s="711">
        <f>Bilans_E_AMS_Kyoto_run3_MTE!W401</f>
        <v>0</v>
      </c>
      <c r="S29" s="711">
        <f>Bilans_E_AMS_Kyoto_run3_MTE!X401</f>
        <v>0</v>
      </c>
      <c r="T29" s="711">
        <f>Bilans_E_AMS_Kyoto_run3_MTE!Y401</f>
        <v>0</v>
      </c>
      <c r="U29" s="711">
        <f>Bilans_E_AMS_Kyoto_run3_MTE!Z401</f>
        <v>11.809070052251331</v>
      </c>
      <c r="V29" s="701"/>
      <c r="W29" s="701"/>
    </row>
    <row r="30" spans="1:23" x14ac:dyDescent="0.25">
      <c r="A30" s="701" t="s">
        <v>504</v>
      </c>
      <c r="B30" s="701"/>
      <c r="C30" s="717" t="s">
        <v>75</v>
      </c>
      <c r="D30" s="711">
        <f>Bilans_E_AMS_Kyoto_run3_MTE!H402</f>
        <v>3.3909658398437501</v>
      </c>
      <c r="E30" s="711">
        <f>Bilans_E_AMS_Kyoto_run3_MTE!I402</f>
        <v>0</v>
      </c>
      <c r="F30" s="711">
        <f>Bilans_E_AMS_Kyoto_run3_MTE!J402</f>
        <v>9.432796735269573</v>
      </c>
      <c r="G30" s="711">
        <f>Bilans_E_AMS_Kyoto_run3_MTE!K402</f>
        <v>0</v>
      </c>
      <c r="H30" s="711">
        <f>Bilans_E_AMS_Kyoto_run3_MTE!L402</f>
        <v>0</v>
      </c>
      <c r="I30" s="711">
        <f>Bilans_E_AMS_Kyoto_run3_MTE!M402</f>
        <v>0</v>
      </c>
      <c r="J30" s="711">
        <f>Bilans_E_AMS_Kyoto_run3_MTE!N402</f>
        <v>0</v>
      </c>
      <c r="K30" s="711">
        <f>Bilans_E_AMS_Kyoto_run3_MTE!O402</f>
        <v>0</v>
      </c>
      <c r="L30" s="711">
        <f>Bilans_E_AMS_Kyoto_run3_MTE!P402</f>
        <v>0</v>
      </c>
      <c r="M30" s="711">
        <f>Bilans_E_AMS_Kyoto_run3_MTE!Q402</f>
        <v>0</v>
      </c>
      <c r="N30" s="711">
        <f>Bilans_E_AMS_Kyoto_run3_MTE!R402</f>
        <v>0</v>
      </c>
      <c r="O30" s="711">
        <f>Bilans_E_AMS_Kyoto_run3_MTE!S402</f>
        <v>0</v>
      </c>
      <c r="P30" s="711">
        <f>Bilans_E_AMS_Kyoto_run3_MTE!T402+Bilans_E_AMS_Kyoto_run3_MTE!U402</f>
        <v>0</v>
      </c>
      <c r="Q30" s="711">
        <f>Bilans_E_AMS_Kyoto_run3_MTE!V402</f>
        <v>0</v>
      </c>
      <c r="R30" s="711">
        <f>Bilans_E_AMS_Kyoto_run3_MTE!W402</f>
        <v>37.320812200670765</v>
      </c>
      <c r="S30" s="711">
        <f>Bilans_E_AMS_Kyoto_run3_MTE!X402</f>
        <v>0</v>
      </c>
      <c r="T30" s="711">
        <f>Bilans_E_AMS_Kyoto_run3_MTE!Y402</f>
        <v>2.676146999689228</v>
      </c>
      <c r="U30" s="711">
        <f>Bilans_E_AMS_Kyoto_run3_MTE!Z402</f>
        <v>52.820721775473316</v>
      </c>
      <c r="V30" s="701"/>
      <c r="W30" s="701"/>
    </row>
    <row r="31" spans="1:23" x14ac:dyDescent="0.25">
      <c r="A31" s="701" t="s">
        <v>505</v>
      </c>
      <c r="B31" s="701"/>
      <c r="C31" s="717" t="s">
        <v>76</v>
      </c>
      <c r="D31" s="711">
        <f>Bilans_E_AMS_Kyoto_run3_MTE!H403</f>
        <v>0</v>
      </c>
      <c r="E31" s="711">
        <f>Bilans_E_AMS_Kyoto_run3_MTE!I403</f>
        <v>0</v>
      </c>
      <c r="F31" s="711">
        <f>Bilans_E_AMS_Kyoto_run3_MTE!J403</f>
        <v>0</v>
      </c>
      <c r="G31" s="711">
        <f>Bilans_E_AMS_Kyoto_run3_MTE!K403</f>
        <v>0</v>
      </c>
      <c r="H31" s="711">
        <f>Bilans_E_AMS_Kyoto_run3_MTE!L403</f>
        <v>1.5888753550805288</v>
      </c>
      <c r="I31" s="711">
        <f>Bilans_E_AMS_Kyoto_run3_MTE!M403</f>
        <v>0</v>
      </c>
      <c r="J31" s="711">
        <f>Bilans_E_AMS_Kyoto_run3_MTE!N403</f>
        <v>0</v>
      </c>
      <c r="K31" s="711">
        <f>Bilans_E_AMS_Kyoto_run3_MTE!O403</f>
        <v>0</v>
      </c>
      <c r="L31" s="711">
        <f>Bilans_E_AMS_Kyoto_run3_MTE!P403</f>
        <v>0</v>
      </c>
      <c r="M31" s="711">
        <f>Bilans_E_AMS_Kyoto_run3_MTE!Q403</f>
        <v>0</v>
      </c>
      <c r="N31" s="711">
        <f>Bilans_E_AMS_Kyoto_run3_MTE!R403</f>
        <v>0</v>
      </c>
      <c r="O31" s="711">
        <f>Bilans_E_AMS_Kyoto_run3_MTE!S403</f>
        <v>0.74770604944966079</v>
      </c>
      <c r="P31" s="711">
        <f>Bilans_E_AMS_Kyoto_run3_MTE!T403+Bilans_E_AMS_Kyoto_run3_MTE!U403</f>
        <v>0</v>
      </c>
      <c r="Q31" s="711">
        <f>Bilans_E_AMS_Kyoto_run3_MTE!V403</f>
        <v>0</v>
      </c>
      <c r="R31" s="711">
        <f>Bilans_E_AMS_Kyoto_run3_MTE!W403</f>
        <v>53.75602745291291</v>
      </c>
      <c r="S31" s="711">
        <f>Bilans_E_AMS_Kyoto_run3_MTE!X403</f>
        <v>7.0140473976328979</v>
      </c>
      <c r="T31" s="711">
        <f>Bilans_E_AMS_Kyoto_run3_MTE!Y403</f>
        <v>0</v>
      </c>
      <c r="U31" s="711">
        <f>Bilans_E_AMS_Kyoto_run3_MTE!Z403</f>
        <v>63.106656255075997</v>
      </c>
      <c r="V31" s="701"/>
      <c r="W31" s="701"/>
    </row>
    <row r="32" spans="1:23" x14ac:dyDescent="0.25">
      <c r="A32" s="701" t="s">
        <v>506</v>
      </c>
      <c r="B32" s="701"/>
      <c r="C32" s="713" t="s">
        <v>77</v>
      </c>
      <c r="D32" s="714">
        <f>Bilans_E_AMS_Kyoto_run3_MTE!H404</f>
        <v>12.110592285156249</v>
      </c>
      <c r="E32" s="714">
        <f>Bilans_E_AMS_Kyoto_run3_MTE!I404</f>
        <v>262.59596136173099</v>
      </c>
      <c r="F32" s="714">
        <f>Bilans_E_AMS_Kyoto_run3_MTE!J404</f>
        <v>-246.9918626341933</v>
      </c>
      <c r="G32" s="714">
        <f>Bilans_E_AMS_Kyoto_run3_MTE!K404</f>
        <v>-4.3840446509759525</v>
      </c>
      <c r="H32" s="714">
        <f>Bilans_E_AMS_Kyoto_run3_MTE!L404</f>
        <v>26.981887803159271</v>
      </c>
      <c r="I32" s="714">
        <f>Bilans_E_AMS_Kyoto_run3_MTE!M404</f>
        <v>-0.83753949174200382</v>
      </c>
      <c r="J32" s="714">
        <f>Bilans_E_AMS_Kyoto_run3_MTE!N404</f>
        <v>1195.4990290598246</v>
      </c>
      <c r="K32" s="714">
        <f>Bilans_E_AMS_Kyoto_run3_MTE!O404</f>
        <v>352.81639892204078</v>
      </c>
      <c r="L32" s="714">
        <f>Bilans_E_AMS_Kyoto_run3_MTE!P404</f>
        <v>241.01955368819029</v>
      </c>
      <c r="M32" s="714">
        <f>Bilans_E_AMS_Kyoto_run3_MTE!Q404</f>
        <v>40.011167067075426</v>
      </c>
      <c r="N32" s="714">
        <f>Bilans_E_AMS_Kyoto_run3_MTE!R404</f>
        <v>-48.06922655803475</v>
      </c>
      <c r="O32" s="714">
        <f>Bilans_E_AMS_Kyoto_run3_MTE!S404</f>
        <v>-47.014624660559946</v>
      </c>
      <c r="P32" s="714">
        <f>Bilans_E_AMS_Kyoto_run3_MTE!T404+Bilans_E_AMS_Kyoto_run3_MTE!U404</f>
        <v>15.880539172662751</v>
      </c>
      <c r="Q32" s="714">
        <f>Bilans_E_AMS_Kyoto_run3_MTE!V404</f>
        <v>20.100740898344036</v>
      </c>
      <c r="R32" s="714">
        <f>Bilans_E_AMS_Kyoto_run3_MTE!W404</f>
        <v>-638.31752935206157</v>
      </c>
      <c r="S32" s="714">
        <f>Bilans_E_AMS_Kyoto_run3_MTE!X404</f>
        <v>-83.441428186519019</v>
      </c>
      <c r="T32" s="714">
        <f>Bilans_E_AMS_Kyoto_run3_MTE!Y404</f>
        <v>-16.630406093950629</v>
      </c>
      <c r="U32" s="714">
        <f>Bilans_E_AMS_Kyoto_run3_MTE!Z404</f>
        <v>1081.3292086301467</v>
      </c>
      <c r="V32" s="701"/>
      <c r="W32" s="701"/>
    </row>
    <row r="33" spans="1:23" x14ac:dyDescent="0.25">
      <c r="A33" s="701"/>
      <c r="B33" s="701"/>
      <c r="C33" s="715"/>
      <c r="D33" s="716"/>
      <c r="E33" s="716"/>
      <c r="F33" s="716"/>
      <c r="G33" s="716"/>
      <c r="H33" s="716"/>
      <c r="I33" s="716"/>
      <c r="J33" s="716"/>
      <c r="K33" s="716"/>
      <c r="L33" s="716"/>
      <c r="M33" s="716"/>
      <c r="N33" s="716"/>
      <c r="O33" s="716"/>
      <c r="P33" s="716">
        <f>Bilans_E_AMS_Kyoto_run3_MTE!T405+Bilans_E_AMS_Kyoto_run3_MTE!U405</f>
        <v>0</v>
      </c>
      <c r="Q33" s="716"/>
      <c r="R33" s="716"/>
      <c r="S33" s="716"/>
      <c r="T33" s="716"/>
      <c r="U33" s="716"/>
      <c r="V33" s="701"/>
      <c r="W33" s="701"/>
    </row>
    <row r="34" spans="1:23" x14ac:dyDescent="0.25">
      <c r="A34" s="701" t="s">
        <v>507</v>
      </c>
      <c r="B34" s="701"/>
      <c r="C34" s="717" t="s">
        <v>78</v>
      </c>
      <c r="D34" s="711">
        <f>Bilans_E_AMS_Kyoto_run3_MTE!H406</f>
        <v>0.420473388671875</v>
      </c>
      <c r="E34" s="711">
        <f>Bilans_E_AMS_Kyoto_run3_MTE!I406</f>
        <v>0</v>
      </c>
      <c r="F34" s="711">
        <f>Bilans_E_AMS_Kyoto_run3_MTE!J406</f>
        <v>4.5652166127933009</v>
      </c>
      <c r="G34" s="711">
        <f>Bilans_E_AMS_Kyoto_run3_MTE!K406</f>
        <v>0</v>
      </c>
      <c r="H34" s="711">
        <f>Bilans_E_AMS_Kyoto_run3_MTE!L406</f>
        <v>44.193879337952673</v>
      </c>
      <c r="I34" s="711">
        <f>Bilans_E_AMS_Kyoto_run3_MTE!M406</f>
        <v>0</v>
      </c>
      <c r="J34" s="711">
        <f>Bilans_E_AMS_Kyoto_run3_MTE!N406</f>
        <v>0</v>
      </c>
      <c r="K34" s="711">
        <f>Bilans_E_AMS_Kyoto_run3_MTE!O406</f>
        <v>0</v>
      </c>
      <c r="L34" s="711">
        <f>Bilans_E_AMS_Kyoto_run3_MTE!P406</f>
        <v>37.859111409249969</v>
      </c>
      <c r="M34" s="711">
        <f>Bilans_E_AMS_Kyoto_run3_MTE!Q406</f>
        <v>9.091644549053445</v>
      </c>
      <c r="N34" s="711">
        <f>Bilans_E_AMS_Kyoto_run3_MTE!R406</f>
        <v>0.79775456348402363</v>
      </c>
      <c r="O34" s="711">
        <f>Bilans_E_AMS_Kyoto_run3_MTE!S406</f>
        <v>20.833903688960643</v>
      </c>
      <c r="P34" s="711">
        <f>Bilans_E_AMS_Kyoto_run3_MTE!T406+Bilans_E_AMS_Kyoto_run3_MTE!U406</f>
        <v>9.7897363281250005</v>
      </c>
      <c r="Q34" s="711">
        <f>Bilans_E_AMS_Kyoto_run3_MTE!V406</f>
        <v>7.4990210834655101E-4</v>
      </c>
      <c r="R34" s="711">
        <f>Bilans_E_AMS_Kyoto_run3_MTE!W406</f>
        <v>154.61632550799115</v>
      </c>
      <c r="S34" s="711">
        <f>Bilans_E_AMS_Kyoto_run3_MTE!X406</f>
        <v>19.58585971983296</v>
      </c>
      <c r="T34" s="711">
        <f>Bilans_E_AMS_Kyoto_run3_MTE!Y406</f>
        <v>8.1097109374999992</v>
      </c>
      <c r="U34" s="711">
        <f>Bilans_E_AMS_Kyoto_run3_MTE!Z406</f>
        <v>309.86436594572336</v>
      </c>
      <c r="V34" s="701"/>
      <c r="W34" s="701"/>
    </row>
    <row r="35" spans="1:23" x14ac:dyDescent="0.25">
      <c r="A35" s="701" t="s">
        <v>508</v>
      </c>
      <c r="B35" s="701"/>
      <c r="C35" s="717" t="s">
        <v>79</v>
      </c>
      <c r="D35" s="711">
        <f>Bilans_E_AMS_Kyoto_run3_MTE!H407</f>
        <v>0</v>
      </c>
      <c r="E35" s="711">
        <f>Bilans_E_AMS_Kyoto_run3_MTE!I407</f>
        <v>0</v>
      </c>
      <c r="F35" s="711">
        <f>Bilans_E_AMS_Kyoto_run3_MTE!J407</f>
        <v>145.74847122117117</v>
      </c>
      <c r="G35" s="711">
        <f>Bilans_E_AMS_Kyoto_run3_MTE!K407</f>
        <v>0.6</v>
      </c>
      <c r="H35" s="711">
        <f>Bilans_E_AMS_Kyoto_run3_MTE!L407</f>
        <v>5.158710288451207</v>
      </c>
      <c r="I35" s="711">
        <f>Bilans_E_AMS_Kyoto_run3_MTE!M407</f>
        <v>0</v>
      </c>
      <c r="J35" s="711">
        <f>Bilans_E_AMS_Kyoto_run3_MTE!N407</f>
        <v>0</v>
      </c>
      <c r="K35" s="711">
        <f>Bilans_E_AMS_Kyoto_run3_MTE!O407</f>
        <v>0</v>
      </c>
      <c r="L35" s="711">
        <f>Bilans_E_AMS_Kyoto_run3_MTE!P407</f>
        <v>0</v>
      </c>
      <c r="M35" s="711">
        <f>Bilans_E_AMS_Kyoto_run3_MTE!Q407</f>
        <v>0</v>
      </c>
      <c r="N35" s="711">
        <f>Bilans_E_AMS_Kyoto_run3_MTE!R407</f>
        <v>37.983450784080269</v>
      </c>
      <c r="O35" s="711">
        <f>Bilans_E_AMS_Kyoto_run3_MTE!S407</f>
        <v>2.4276283710358628</v>
      </c>
      <c r="P35" s="711">
        <f>Bilans_E_AMS_Kyoto_run3_MTE!T407+Bilans_E_AMS_Kyoto_run3_MTE!U407</f>
        <v>0</v>
      </c>
      <c r="Q35" s="711">
        <f>Bilans_E_AMS_Kyoto_run3_MTE!V407</f>
        <v>0</v>
      </c>
      <c r="R35" s="711">
        <f>Bilans_E_AMS_Kyoto_run3_MTE!W407</f>
        <v>85.093782574296696</v>
      </c>
      <c r="S35" s="711">
        <f>Bilans_E_AMS_Kyoto_run3_MTE!X407</f>
        <v>0</v>
      </c>
      <c r="T35" s="711">
        <f>Bilans_E_AMS_Kyoto_run3_MTE!Y407</f>
        <v>3.6734052555319421</v>
      </c>
      <c r="U35" s="711">
        <f>Bilans_E_AMS_Kyoto_run3_MTE!Z407</f>
        <v>280.68544849456714</v>
      </c>
      <c r="V35" s="701"/>
      <c r="W35" s="701"/>
    </row>
    <row r="36" spans="1:23" x14ac:dyDescent="0.25">
      <c r="A36" s="701" t="s">
        <v>509</v>
      </c>
      <c r="B36" s="701"/>
      <c r="C36" s="717" t="s">
        <v>80</v>
      </c>
      <c r="D36" s="711">
        <f>Bilans_E_AMS_Kyoto_run3_MTE!H408</f>
        <v>0</v>
      </c>
      <c r="E36" s="711">
        <f>Bilans_E_AMS_Kyoto_run3_MTE!I408</f>
        <v>0</v>
      </c>
      <c r="F36" s="711">
        <f>Bilans_E_AMS_Kyoto_run3_MTE!J408</f>
        <v>0.67200053608066723</v>
      </c>
      <c r="G36" s="711">
        <f>Bilans_E_AMS_Kyoto_run3_MTE!K408</f>
        <v>0</v>
      </c>
      <c r="H36" s="711">
        <f>Bilans_E_AMS_Kyoto_run3_MTE!L408</f>
        <v>33.793440313703563</v>
      </c>
      <c r="I36" s="711">
        <f>Bilans_E_AMS_Kyoto_run3_MTE!M408</f>
        <v>0</v>
      </c>
      <c r="J36" s="711">
        <f>Bilans_E_AMS_Kyoto_run3_MTE!N408</f>
        <v>0</v>
      </c>
      <c r="K36" s="711">
        <f>Bilans_E_AMS_Kyoto_run3_MTE!O408</f>
        <v>0</v>
      </c>
      <c r="L36" s="711">
        <f>Bilans_E_AMS_Kyoto_run3_MTE!P408</f>
        <v>46.869025063770188</v>
      </c>
      <c r="M36" s="711">
        <f>Bilans_E_AMS_Kyoto_run3_MTE!Q408</f>
        <v>0</v>
      </c>
      <c r="N36" s="711">
        <f>Bilans_E_AMS_Kyoto_run3_MTE!R408</f>
        <v>0</v>
      </c>
      <c r="O36" s="711">
        <f>Bilans_E_AMS_Kyoto_run3_MTE!S408</f>
        <v>15.902795441742857</v>
      </c>
      <c r="P36" s="711">
        <f>Bilans_E_AMS_Kyoto_run3_MTE!T408+Bilans_E_AMS_Kyoto_run3_MTE!U408</f>
        <v>126.0368711002035</v>
      </c>
      <c r="Q36" s="711">
        <f>Bilans_E_AMS_Kyoto_run3_MTE!V408</f>
        <v>10.28748002838279</v>
      </c>
      <c r="R36" s="711">
        <f>Bilans_E_AMS_Kyoto_run3_MTE!W408</f>
        <v>153.25630739971572</v>
      </c>
      <c r="S36" s="711">
        <f>Bilans_E_AMS_Kyoto_run3_MTE!X408</f>
        <v>40.560183148779373</v>
      </c>
      <c r="T36" s="711">
        <f>Bilans_E_AMS_Kyoto_run3_MTE!Y408</f>
        <v>0</v>
      </c>
      <c r="U36" s="711">
        <f>Bilans_E_AMS_Kyoto_run3_MTE!Z408</f>
        <v>427.3781030323787</v>
      </c>
      <c r="V36" s="701"/>
      <c r="W36" s="701"/>
    </row>
    <row r="37" spans="1:23" x14ac:dyDescent="0.25">
      <c r="A37" s="701" t="s">
        <v>510</v>
      </c>
      <c r="B37" s="701"/>
      <c r="C37" s="717" t="s">
        <v>81</v>
      </c>
      <c r="D37" s="711">
        <f>Bilans_E_AMS_Kyoto_run3_MTE!H409</f>
        <v>0</v>
      </c>
      <c r="E37" s="711">
        <f>Bilans_E_AMS_Kyoto_run3_MTE!I409</f>
        <v>0</v>
      </c>
      <c r="F37" s="711">
        <f>Bilans_E_AMS_Kyoto_run3_MTE!J409</f>
        <v>1.3024591903190665</v>
      </c>
      <c r="G37" s="711">
        <f>Bilans_E_AMS_Kyoto_run3_MTE!K409</f>
        <v>0</v>
      </c>
      <c r="H37" s="711">
        <f>Bilans_E_AMS_Kyoto_run3_MTE!L409</f>
        <v>22.107329443509556</v>
      </c>
      <c r="I37" s="711">
        <f>Bilans_E_AMS_Kyoto_run3_MTE!M409</f>
        <v>0</v>
      </c>
      <c r="J37" s="711">
        <f>Bilans_E_AMS_Kyoto_run3_MTE!N409</f>
        <v>0</v>
      </c>
      <c r="K37" s="711">
        <f>Bilans_E_AMS_Kyoto_run3_MTE!O409</f>
        <v>0</v>
      </c>
      <c r="L37" s="711">
        <f>Bilans_E_AMS_Kyoto_run3_MTE!P409</f>
        <v>0.55939285776182701</v>
      </c>
      <c r="M37" s="711">
        <f>Bilans_E_AMS_Kyoto_run3_MTE!Q409</f>
        <v>0</v>
      </c>
      <c r="N37" s="711">
        <f>Bilans_E_AMS_Kyoto_run3_MTE!R409</f>
        <v>0</v>
      </c>
      <c r="O37" s="711">
        <f>Bilans_E_AMS_Kyoto_run3_MTE!S409</f>
        <v>10.403449149886853</v>
      </c>
      <c r="P37" s="711">
        <f>Bilans_E_AMS_Kyoto_run3_MTE!T409+Bilans_E_AMS_Kyoto_run3_MTE!U409</f>
        <v>48.192635744936815</v>
      </c>
      <c r="Q37" s="711">
        <f>Bilans_E_AMS_Kyoto_run3_MTE!V409</f>
        <v>9.224237582113501</v>
      </c>
      <c r="R37" s="711">
        <f>Bilans_E_AMS_Kyoto_run3_MTE!W409</f>
        <v>121.55538254836378</v>
      </c>
      <c r="S37" s="711">
        <f>Bilans_E_AMS_Kyoto_run3_MTE!X409</f>
        <v>23.29535389238076</v>
      </c>
      <c r="T37" s="711">
        <f>Bilans_E_AMS_Kyoto_run3_MTE!Y409</f>
        <v>0</v>
      </c>
      <c r="U37" s="711">
        <f>Bilans_E_AMS_Kyoto_run3_MTE!Z409</f>
        <v>236.64024040927217</v>
      </c>
      <c r="V37" s="701"/>
      <c r="W37" s="701"/>
    </row>
    <row r="38" spans="1:23" x14ac:dyDescent="0.25">
      <c r="A38" s="701" t="s">
        <v>511</v>
      </c>
      <c r="B38" s="701"/>
      <c r="C38" s="717" t="s">
        <v>82</v>
      </c>
      <c r="D38" s="711">
        <f>Bilans_E_AMS_Kyoto_run3_MTE!H410</f>
        <v>0</v>
      </c>
      <c r="E38" s="711">
        <f>Bilans_E_AMS_Kyoto_run3_MTE!I410</f>
        <v>0</v>
      </c>
      <c r="F38" s="711">
        <f>Bilans_E_AMS_Kyoto_run3_MTE!J410</f>
        <v>17.072371941732264</v>
      </c>
      <c r="G38" s="711">
        <f>Bilans_E_AMS_Kyoto_run3_MTE!K410</f>
        <v>0</v>
      </c>
      <c r="H38" s="711">
        <f>Bilans_E_AMS_Kyoto_run3_MTE!L410</f>
        <v>0.9182073287540522</v>
      </c>
      <c r="I38" s="711">
        <f>Bilans_E_AMS_Kyoto_run3_MTE!M410</f>
        <v>0</v>
      </c>
      <c r="J38" s="711">
        <f>Bilans_E_AMS_Kyoto_run3_MTE!N410</f>
        <v>0</v>
      </c>
      <c r="K38" s="711">
        <f>Bilans_E_AMS_Kyoto_run3_MTE!O410</f>
        <v>0</v>
      </c>
      <c r="L38" s="711">
        <f>Bilans_E_AMS_Kyoto_run3_MTE!P410</f>
        <v>14.623275458181073</v>
      </c>
      <c r="M38" s="711">
        <f>Bilans_E_AMS_Kyoto_run3_MTE!Q410</f>
        <v>0</v>
      </c>
      <c r="N38" s="711">
        <f>Bilans_E_AMS_Kyoto_run3_MTE!R410</f>
        <v>6.5072970956675134</v>
      </c>
      <c r="O38" s="711">
        <f>Bilans_E_AMS_Kyoto_run3_MTE!S410</f>
        <v>0.43209756647249531</v>
      </c>
      <c r="P38" s="711">
        <f>Bilans_E_AMS_Kyoto_run3_MTE!T410+Bilans_E_AMS_Kyoto_run3_MTE!U410</f>
        <v>0.9</v>
      </c>
      <c r="Q38" s="711">
        <f>Bilans_E_AMS_Kyoto_run3_MTE!V410</f>
        <v>1.1655332190637568</v>
      </c>
      <c r="R38" s="711">
        <f>Bilans_E_AMS_Kyoto_run3_MTE!W410</f>
        <v>9.1593739040126536</v>
      </c>
      <c r="S38" s="711">
        <f>Bilans_E_AMS_Kyoto_run3_MTE!X410</f>
        <v>0</v>
      </c>
      <c r="T38" s="711">
        <f>Bilans_E_AMS_Kyoto_run3_MTE!Y410</f>
        <v>0.38638525521088363</v>
      </c>
      <c r="U38" s="711">
        <f>Bilans_E_AMS_Kyoto_run3_MTE!Z410</f>
        <v>51.164541769094683</v>
      </c>
      <c r="V38" s="701"/>
      <c r="W38" s="701"/>
    </row>
    <row r="39" spans="1:23" x14ac:dyDescent="0.25">
      <c r="A39" s="701" t="s">
        <v>512</v>
      </c>
      <c r="B39" s="701"/>
      <c r="C39" s="717" t="s">
        <v>354</v>
      </c>
      <c r="D39" s="711">
        <f>Bilans_E_AMS_Kyoto_run3_MTE!H411</f>
        <v>0</v>
      </c>
      <c r="E39" s="711">
        <f>Bilans_E_AMS_Kyoto_run3_MTE!I411</f>
        <v>0</v>
      </c>
      <c r="F39" s="711">
        <f>Bilans_E_AMS_Kyoto_run3_MTE!J411</f>
        <v>0</v>
      </c>
      <c r="G39" s="711">
        <f>Bilans_E_AMS_Kyoto_run3_MTE!K411</f>
        <v>0</v>
      </c>
      <c r="H39" s="711">
        <f>Bilans_E_AMS_Kyoto_run3_MTE!L411</f>
        <v>0</v>
      </c>
      <c r="I39" s="711">
        <f>Bilans_E_AMS_Kyoto_run3_MTE!M411</f>
        <v>0</v>
      </c>
      <c r="J39" s="711">
        <f>Bilans_E_AMS_Kyoto_run3_MTE!N411</f>
        <v>0</v>
      </c>
      <c r="K39" s="711">
        <f>Bilans_E_AMS_Kyoto_run3_MTE!O411</f>
        <v>0</v>
      </c>
      <c r="L39" s="711">
        <f>Bilans_E_AMS_Kyoto_run3_MTE!P411</f>
        <v>0</v>
      </c>
      <c r="M39" s="711">
        <f>Bilans_E_AMS_Kyoto_run3_MTE!Q411</f>
        <v>0</v>
      </c>
      <c r="N39" s="711">
        <f>Bilans_E_AMS_Kyoto_run3_MTE!R411</f>
        <v>0</v>
      </c>
      <c r="O39" s="711">
        <f>Bilans_E_AMS_Kyoto_run3_MTE!S411</f>
        <v>0</v>
      </c>
      <c r="P39" s="711">
        <f>Bilans_E_AMS_Kyoto_run3_MTE!T411+Bilans_E_AMS_Kyoto_run3_MTE!U411</f>
        <v>0</v>
      </c>
      <c r="Q39" s="711">
        <f>Bilans_E_AMS_Kyoto_run3_MTE!V411</f>
        <v>0</v>
      </c>
      <c r="R39" s="711">
        <f>Bilans_E_AMS_Kyoto_run3_MTE!W411</f>
        <v>2.16</v>
      </c>
      <c r="S39" s="711">
        <f>Bilans_E_AMS_Kyoto_run3_MTE!X411</f>
        <v>0</v>
      </c>
      <c r="T39" s="711">
        <f>Bilans_E_AMS_Kyoto_run3_MTE!Y411</f>
        <v>0</v>
      </c>
      <c r="U39" s="711">
        <f>Bilans_E_AMS_Kyoto_run3_MTE!Z411</f>
        <v>2.16</v>
      </c>
      <c r="V39" s="701"/>
      <c r="W39" s="701"/>
    </row>
    <row r="40" spans="1:23" x14ac:dyDescent="0.25">
      <c r="A40" s="701" t="s">
        <v>513</v>
      </c>
      <c r="B40" s="701"/>
      <c r="C40" s="713" t="s">
        <v>83</v>
      </c>
      <c r="D40" s="714">
        <f>Bilans_E_AMS_Kyoto_run3_MTE!H412</f>
        <v>0.420473388671875</v>
      </c>
      <c r="E40" s="714">
        <f>Bilans_E_AMS_Kyoto_run3_MTE!I412</f>
        <v>0</v>
      </c>
      <c r="F40" s="714">
        <f>Bilans_E_AMS_Kyoto_run3_MTE!J412</f>
        <v>169.36051950209648</v>
      </c>
      <c r="G40" s="714">
        <f>Bilans_E_AMS_Kyoto_run3_MTE!K412</f>
        <v>0.6</v>
      </c>
      <c r="H40" s="714">
        <f>Bilans_E_AMS_Kyoto_run3_MTE!L412</f>
        <v>106.17156671237105</v>
      </c>
      <c r="I40" s="714">
        <f>Bilans_E_AMS_Kyoto_run3_MTE!M412</f>
        <v>0</v>
      </c>
      <c r="J40" s="714">
        <f>Bilans_E_AMS_Kyoto_run3_MTE!N412</f>
        <v>0</v>
      </c>
      <c r="K40" s="714">
        <f>Bilans_E_AMS_Kyoto_run3_MTE!O412</f>
        <v>0</v>
      </c>
      <c r="L40" s="714">
        <f>Bilans_E_AMS_Kyoto_run3_MTE!P412</f>
        <v>99.910804788963048</v>
      </c>
      <c r="M40" s="714">
        <f>Bilans_E_AMS_Kyoto_run3_MTE!Q412</f>
        <v>9.091644549053445</v>
      </c>
      <c r="N40" s="714">
        <f>Bilans_E_AMS_Kyoto_run3_MTE!R412</f>
        <v>45.288502443231806</v>
      </c>
      <c r="O40" s="714">
        <f>Bilans_E_AMS_Kyoto_run3_MTE!S412</f>
        <v>49.999874218098711</v>
      </c>
      <c r="P40" s="714">
        <f>Bilans_E_AMS_Kyoto_run3_MTE!T412+Bilans_E_AMS_Kyoto_run3_MTE!U412</f>
        <v>184.9192431732653</v>
      </c>
      <c r="Q40" s="714">
        <f>Bilans_E_AMS_Kyoto_run3_MTE!V412</f>
        <v>20.678000731668394</v>
      </c>
      <c r="R40" s="714">
        <f>Bilans_E_AMS_Kyoto_run3_MTE!W412</f>
        <v>525.84117193437999</v>
      </c>
      <c r="S40" s="714">
        <f>Bilans_E_AMS_Kyoto_run3_MTE!X412</f>
        <v>83.441396760993086</v>
      </c>
      <c r="T40" s="714">
        <f>Bilans_E_AMS_Kyoto_run3_MTE!Y412</f>
        <v>12.169501448242825</v>
      </c>
      <c r="U40" s="714">
        <f>Bilans_E_AMS_Kyoto_run3_MTE!Z412</f>
        <v>1307.8926996510361</v>
      </c>
      <c r="V40" s="701"/>
      <c r="W40" s="701"/>
    </row>
    <row r="41" spans="1:23" x14ac:dyDescent="0.25">
      <c r="A41" s="701" t="s">
        <v>514</v>
      </c>
      <c r="B41" s="701"/>
      <c r="C41" s="710" t="s">
        <v>84</v>
      </c>
      <c r="D41" s="711">
        <f>Bilans_E_AMS_Kyoto_run3_MTE!H413</f>
        <v>0</v>
      </c>
      <c r="E41" s="711">
        <f>Bilans_E_AMS_Kyoto_run3_MTE!I413</f>
        <v>0</v>
      </c>
      <c r="F41" s="711">
        <f>Bilans_E_AMS_Kyoto_run3_MTE!J413</f>
        <v>104.56365491334468</v>
      </c>
      <c r="G41" s="711">
        <f>Bilans_E_AMS_Kyoto_run3_MTE!K413</f>
        <v>2.0095155133024498</v>
      </c>
      <c r="H41" s="711">
        <f>Bilans_E_AMS_Kyoto_run3_MTE!L413</f>
        <v>12.7291086591003</v>
      </c>
      <c r="I41" s="711">
        <f>Bilans_E_AMS_Kyoto_run3_MTE!M413</f>
        <v>0</v>
      </c>
      <c r="J41" s="711">
        <f>Bilans_E_AMS_Kyoto_run3_MTE!N413</f>
        <v>0</v>
      </c>
      <c r="K41" s="711">
        <f>Bilans_E_AMS_Kyoto_run3_MTE!O413</f>
        <v>0</v>
      </c>
      <c r="L41" s="711">
        <f>Bilans_E_AMS_Kyoto_run3_MTE!P413</f>
        <v>0.40658520083603628</v>
      </c>
      <c r="M41" s="711">
        <f>Bilans_E_AMS_Kyoto_run3_MTE!Q413</f>
        <v>0</v>
      </c>
      <c r="N41" s="711">
        <f>Bilans_E_AMS_Kyoto_run3_MTE!R413</f>
        <v>3.1675603541212554</v>
      </c>
      <c r="O41" s="711">
        <f>Bilans_E_AMS_Kyoto_run3_MTE!S413</f>
        <v>0</v>
      </c>
      <c r="P41" s="711">
        <f>Bilans_E_AMS_Kyoto_run3_MTE!T413+Bilans_E_AMS_Kyoto_run3_MTE!U413</f>
        <v>0</v>
      </c>
      <c r="Q41" s="711">
        <f>Bilans_E_AMS_Kyoto_run3_MTE!V413</f>
        <v>0</v>
      </c>
      <c r="R41" s="711">
        <f>Bilans_E_AMS_Kyoto_run3_MTE!W413</f>
        <v>0</v>
      </c>
      <c r="S41" s="711">
        <f>Bilans_E_AMS_Kyoto_run3_MTE!X413</f>
        <v>0</v>
      </c>
      <c r="T41" s="711">
        <f>Bilans_E_AMS_Kyoto_run3_MTE!Y413</f>
        <v>1.710568146239696</v>
      </c>
      <c r="U41" s="711">
        <f>Bilans_E_AMS_Kyoto_run3_MTE!Z413</f>
        <v>124.58699278694441</v>
      </c>
      <c r="V41" s="701"/>
      <c r="W41" s="701"/>
    </row>
    <row r="42" spans="1:23" x14ac:dyDescent="0.25">
      <c r="A42" s="701" t="s">
        <v>515</v>
      </c>
      <c r="B42" s="701"/>
      <c r="C42" s="713" t="s">
        <v>85</v>
      </c>
      <c r="D42" s="714">
        <f>Bilans_E_AMS_Kyoto_run3_MTE!H414</f>
        <v>0.420473388671875</v>
      </c>
      <c r="E42" s="714">
        <f>Bilans_E_AMS_Kyoto_run3_MTE!I414</f>
        <v>0</v>
      </c>
      <c r="F42" s="714">
        <f>Bilans_E_AMS_Kyoto_run3_MTE!J414</f>
        <v>273.92417441544114</v>
      </c>
      <c r="G42" s="714">
        <f>Bilans_E_AMS_Kyoto_run3_MTE!K414</f>
        <v>2.6095155133024499</v>
      </c>
      <c r="H42" s="714">
        <f>Bilans_E_AMS_Kyoto_run3_MTE!L414</f>
        <v>118.90067537147135</v>
      </c>
      <c r="I42" s="714">
        <f>Bilans_E_AMS_Kyoto_run3_MTE!M414</f>
        <v>0</v>
      </c>
      <c r="J42" s="714">
        <f>Bilans_E_AMS_Kyoto_run3_MTE!N414</f>
        <v>0</v>
      </c>
      <c r="K42" s="714">
        <f>Bilans_E_AMS_Kyoto_run3_MTE!O414</f>
        <v>0</v>
      </c>
      <c r="L42" s="714">
        <f>Bilans_E_AMS_Kyoto_run3_MTE!P414</f>
        <v>100.31738998979908</v>
      </c>
      <c r="M42" s="714">
        <f>Bilans_E_AMS_Kyoto_run3_MTE!Q414</f>
        <v>9.091644549053445</v>
      </c>
      <c r="N42" s="714">
        <f>Bilans_E_AMS_Kyoto_run3_MTE!R414</f>
        <v>48.456062797353063</v>
      </c>
      <c r="O42" s="714">
        <f>Bilans_E_AMS_Kyoto_run3_MTE!S414</f>
        <v>49.999874218098711</v>
      </c>
      <c r="P42" s="714">
        <f>Bilans_E_AMS_Kyoto_run3_MTE!T414+Bilans_E_AMS_Kyoto_run3_MTE!U414</f>
        <v>184.9192431732653</v>
      </c>
      <c r="Q42" s="714">
        <f>Bilans_E_AMS_Kyoto_run3_MTE!V414</f>
        <v>20.678000731668394</v>
      </c>
      <c r="R42" s="714">
        <f>Bilans_E_AMS_Kyoto_run3_MTE!W414</f>
        <v>525.84117193437999</v>
      </c>
      <c r="S42" s="714">
        <f>Bilans_E_AMS_Kyoto_run3_MTE!X414</f>
        <v>83.441396760993086</v>
      </c>
      <c r="T42" s="714">
        <f>Bilans_E_AMS_Kyoto_run3_MTE!Y414</f>
        <v>13.880069594482521</v>
      </c>
      <c r="U42" s="714">
        <f>Bilans_E_AMS_Kyoto_run3_MTE!Z414</f>
        <v>1432.4796924379805</v>
      </c>
      <c r="V42" s="701"/>
      <c r="W42" s="701"/>
    </row>
    <row r="43" spans="1:23" x14ac:dyDescent="0.25">
      <c r="A43" s="701"/>
      <c r="B43" s="701"/>
      <c r="C43" s="701"/>
      <c r="D43" s="701">
        <f>Bilans_E_AMS_Kyoto_run3_MTE!H415</f>
        <v>0</v>
      </c>
      <c r="E43" s="701">
        <f>Bilans_E_AMS_Kyoto_run3_MTE!I415</f>
        <v>0</v>
      </c>
      <c r="F43" s="701">
        <f>Bilans_E_AMS_Kyoto_run3_MTE!J415</f>
        <v>0</v>
      </c>
      <c r="G43" s="701">
        <f>Bilans_E_AMS_Kyoto_run3_MTE!K415</f>
        <v>0</v>
      </c>
      <c r="H43" s="701">
        <f>Bilans_E_AMS_Kyoto_run3_MTE!L415</f>
        <v>0</v>
      </c>
      <c r="I43" s="701">
        <f>Bilans_E_AMS_Kyoto_run3_MTE!M415</f>
        <v>0</v>
      </c>
      <c r="J43" s="701">
        <f>Bilans_E_AMS_Kyoto_run3_MTE!N415</f>
        <v>0</v>
      </c>
      <c r="K43" s="701">
        <f>Bilans_E_AMS_Kyoto_run3_MTE!O415</f>
        <v>0</v>
      </c>
      <c r="L43" s="701">
        <f>Bilans_E_AMS_Kyoto_run3_MTE!P415</f>
        <v>0</v>
      </c>
      <c r="M43" s="701">
        <f>Bilans_E_AMS_Kyoto_run3_MTE!Q415</f>
        <v>0</v>
      </c>
      <c r="N43" s="701">
        <f>Bilans_E_AMS_Kyoto_run3_MTE!R415</f>
        <v>-5.3290705182007514E-15</v>
      </c>
      <c r="O43" s="701">
        <f>Bilans_E_AMS_Kyoto_run3_MTE!S415</f>
        <v>9.7699626167013776E-15</v>
      </c>
      <c r="P43" s="701">
        <f>Bilans_E_AMS_Kyoto_run3_MTE!T415+Bilans_E_AMS_Kyoto_run3_MTE!U415</f>
        <v>0</v>
      </c>
      <c r="Q43" s="701">
        <f>Bilans_E_AMS_Kyoto_run3_MTE!V415</f>
        <v>0</v>
      </c>
      <c r="R43" s="701">
        <f>Bilans_E_AMS_Kyoto_run3_MTE!W415</f>
        <v>0</v>
      </c>
      <c r="S43" s="701">
        <f>Bilans_E_AMS_Kyoto_run3_MTE!X415</f>
        <v>-3.1425525932604614E-5</v>
      </c>
      <c r="T43" s="701">
        <f>Bilans_E_AMS_Kyoto_run3_MTE!Y415</f>
        <v>0</v>
      </c>
      <c r="U43" s="701">
        <f>Bilans_E_AMS_Kyoto_run3_MTE!Z415</f>
        <v>-3.1425526685779914E-5</v>
      </c>
      <c r="V43" s="701"/>
      <c r="W43" s="701"/>
    </row>
    <row r="44" spans="1:23" x14ac:dyDescent="0.25">
      <c r="A44" s="701"/>
      <c r="B44" s="701"/>
      <c r="C44" s="701"/>
      <c r="D44" s="701"/>
      <c r="E44" s="701"/>
      <c r="F44" s="701"/>
      <c r="G44" s="701"/>
      <c r="H44" s="701"/>
      <c r="I44" s="701"/>
      <c r="J44" s="701"/>
      <c r="K44" s="701"/>
      <c r="L44" s="701"/>
      <c r="M44" s="701"/>
      <c r="N44" s="701"/>
      <c r="O44" s="701"/>
      <c r="P44" s="701"/>
      <c r="Q44" s="701"/>
      <c r="R44" s="701"/>
      <c r="S44" s="701"/>
      <c r="T44" s="701"/>
      <c r="U44" s="701"/>
      <c r="V44" s="701"/>
      <c r="W44" s="701"/>
    </row>
    <row r="45" spans="1:23" x14ac:dyDescent="0.25">
      <c r="A45" s="707"/>
      <c r="B45" s="707"/>
      <c r="C45" s="708" t="s">
        <v>360</v>
      </c>
      <c r="D45" s="707"/>
      <c r="E45" s="707"/>
      <c r="F45" s="707"/>
      <c r="G45" s="707"/>
      <c r="H45" s="707"/>
      <c r="I45" s="707"/>
      <c r="J45" s="707"/>
      <c r="K45" s="707"/>
      <c r="L45" s="707"/>
      <c r="M45" s="707"/>
      <c r="N45" s="707"/>
      <c r="O45" s="707"/>
      <c r="P45" s="707"/>
      <c r="Q45" s="707"/>
      <c r="R45" s="707"/>
      <c r="S45" s="707"/>
      <c r="T45" s="707"/>
      <c r="U45" s="707"/>
      <c r="V45" s="707"/>
      <c r="W45" s="707"/>
    </row>
    <row r="46" spans="1:23" x14ac:dyDescent="0.25">
      <c r="A46" s="701"/>
      <c r="B46" s="701"/>
      <c r="C46" s="701"/>
      <c r="D46" s="701"/>
      <c r="E46" s="701"/>
      <c r="F46" s="701"/>
      <c r="G46" s="701"/>
      <c r="H46" s="701"/>
      <c r="I46" s="701"/>
      <c r="J46" s="701"/>
      <c r="K46" s="701"/>
      <c r="L46" s="701"/>
      <c r="M46" s="701"/>
      <c r="N46" s="701"/>
      <c r="O46" s="701"/>
      <c r="P46" s="701"/>
      <c r="Q46" s="701"/>
      <c r="R46" s="701"/>
      <c r="S46" s="701"/>
      <c r="T46" s="701"/>
      <c r="U46" s="701"/>
      <c r="V46" s="701"/>
      <c r="W46" s="701"/>
    </row>
    <row r="47" spans="1:23" x14ac:dyDescent="0.25">
      <c r="A47" s="701"/>
      <c r="B47" s="701"/>
      <c r="C47" s="780" t="s">
        <v>128</v>
      </c>
      <c r="D47" s="775" t="s">
        <v>42</v>
      </c>
      <c r="E47" s="775" t="s">
        <v>52</v>
      </c>
      <c r="F47" s="775" t="s">
        <v>53</v>
      </c>
      <c r="G47" s="775" t="s">
        <v>482</v>
      </c>
      <c r="H47" s="775" t="s">
        <v>32</v>
      </c>
      <c r="I47" s="775" t="s">
        <v>483</v>
      </c>
      <c r="J47" s="775" t="s">
        <v>20</v>
      </c>
      <c r="K47" s="775" t="s">
        <v>55</v>
      </c>
      <c r="L47" s="777" t="s">
        <v>56</v>
      </c>
      <c r="M47" s="778"/>
      <c r="N47" s="778"/>
      <c r="O47" s="778"/>
      <c r="P47" s="778"/>
      <c r="Q47" s="779"/>
      <c r="R47" s="775" t="s">
        <v>57</v>
      </c>
      <c r="S47" s="775" t="s">
        <v>58</v>
      </c>
      <c r="T47" s="775" t="s">
        <v>31</v>
      </c>
      <c r="U47" s="775" t="s">
        <v>10</v>
      </c>
      <c r="V47" s="701"/>
      <c r="W47" s="701"/>
    </row>
    <row r="48" spans="1:23" ht="67.5" x14ac:dyDescent="0.25">
      <c r="A48" s="701" t="s">
        <v>486</v>
      </c>
      <c r="B48" s="701"/>
      <c r="C48" s="781"/>
      <c r="D48" s="776"/>
      <c r="E48" s="776"/>
      <c r="F48" s="776"/>
      <c r="G48" s="776"/>
      <c r="H48" s="776"/>
      <c r="I48" s="776"/>
      <c r="J48" s="776"/>
      <c r="K48" s="776"/>
      <c r="L48" s="709" t="s">
        <v>335</v>
      </c>
      <c r="M48" s="709" t="s">
        <v>40</v>
      </c>
      <c r="N48" s="709" t="s">
        <v>343</v>
      </c>
      <c r="O48" s="709" t="s">
        <v>344</v>
      </c>
      <c r="P48" s="719" t="s">
        <v>610</v>
      </c>
      <c r="Q48" s="709" t="s">
        <v>346</v>
      </c>
      <c r="R48" s="776"/>
      <c r="S48" s="776"/>
      <c r="T48" s="776"/>
      <c r="U48" s="776"/>
      <c r="V48" s="701"/>
      <c r="W48" s="701"/>
    </row>
    <row r="49" spans="1:23" x14ac:dyDescent="0.25">
      <c r="A49" s="701" t="s">
        <v>487</v>
      </c>
      <c r="B49" s="701"/>
      <c r="C49" s="710" t="s">
        <v>59</v>
      </c>
      <c r="D49" s="711">
        <f>Bilans_E_AMS_Kyoto_run3_MTE!H421</f>
        <v>0</v>
      </c>
      <c r="E49" s="711">
        <f>Bilans_E_AMS_Kyoto_run3_MTE!I421</f>
        <v>0</v>
      </c>
      <c r="F49" s="711">
        <f>Bilans_E_AMS_Kyoto_run3_MTE!J421</f>
        <v>0</v>
      </c>
      <c r="G49" s="711">
        <f>Bilans_E_AMS_Kyoto_run3_MTE!K421</f>
        <v>0</v>
      </c>
      <c r="H49" s="711">
        <f>Bilans_E_AMS_Kyoto_run3_MTE!L421</f>
        <v>0</v>
      </c>
      <c r="I49" s="711">
        <f>Bilans_E_AMS_Kyoto_run3_MTE!M421</f>
        <v>0</v>
      </c>
      <c r="J49" s="711">
        <f>Bilans_E_AMS_Kyoto_run3_MTE!N421</f>
        <v>1217.3350254612858</v>
      </c>
      <c r="K49" s="711">
        <f>Bilans_E_AMS_Kyoto_run3_MTE!O421</f>
        <v>388.29502398919544</v>
      </c>
      <c r="L49" s="711">
        <f>Bilans_E_AMS_Kyoto_run3_MTE!P421</f>
        <v>345.22412922668985</v>
      </c>
      <c r="M49" s="711">
        <f>Bilans_E_AMS_Kyoto_run3_MTE!Q421</f>
        <v>47.572914538902204</v>
      </c>
      <c r="N49" s="711">
        <f>Bilans_E_AMS_Kyoto_run3_MTE!R421</f>
        <v>0</v>
      </c>
      <c r="O49" s="711">
        <f>Bilans_E_AMS_Kyoto_run3_MTE!S421</f>
        <v>0</v>
      </c>
      <c r="P49" s="711">
        <f>Bilans_E_AMS_Kyoto_run3_MTE!T421+Bilans_E_AMS_Kyoto_run3_MTE!U421</f>
        <v>217.97798120035498</v>
      </c>
      <c r="Q49" s="711">
        <f>Bilans_E_AMS_Kyoto_run3_MTE!V421</f>
        <v>44.670610017190697</v>
      </c>
      <c r="R49" s="711">
        <f>Bilans_E_AMS_Kyoto_run3_MTE!W421</f>
        <v>0</v>
      </c>
      <c r="S49" s="711">
        <f>Bilans_E_AMS_Kyoto_run3_MTE!X421</f>
        <v>0</v>
      </c>
      <c r="T49" s="711">
        <f>Bilans_E_AMS_Kyoto_run3_MTE!Y421</f>
        <v>0</v>
      </c>
      <c r="U49" s="711">
        <f>Bilans_E_AMS_Kyoto_run3_MTE!Z421</f>
        <v>2261.0756844336188</v>
      </c>
      <c r="V49" s="701"/>
      <c r="W49" s="701"/>
    </row>
    <row r="50" spans="1:23" x14ac:dyDescent="0.25">
      <c r="A50" s="701" t="s">
        <v>488</v>
      </c>
      <c r="B50" s="701"/>
      <c r="C50" s="710" t="s">
        <v>60</v>
      </c>
      <c r="D50" s="712">
        <f>Bilans_E_AMS_Kyoto_run3_MTE!H422</f>
        <v>12.152793945312501</v>
      </c>
      <c r="E50" s="712">
        <f>Bilans_E_AMS_Kyoto_run3_MTE!I422</f>
        <v>228.52698065701114</v>
      </c>
      <c r="F50" s="712">
        <f>Bilans_E_AMS_Kyoto_run3_MTE!J422</f>
        <v>52.757657499876444</v>
      </c>
      <c r="G50" s="712">
        <f>Bilans_E_AMS_Kyoto_run3_MTE!K422</f>
        <v>7.0861725721851325</v>
      </c>
      <c r="H50" s="712">
        <f>Bilans_E_AMS_Kyoto_run3_MTE!L422</f>
        <v>109.90340859679944</v>
      </c>
      <c r="I50" s="712">
        <f>Bilans_E_AMS_Kyoto_run3_MTE!M422</f>
        <v>0</v>
      </c>
      <c r="J50" s="712">
        <f>Bilans_E_AMS_Kyoto_run3_MTE!N422</f>
        <v>0</v>
      </c>
      <c r="K50" s="712">
        <f>Bilans_E_AMS_Kyoto_run3_MTE!O422</f>
        <v>0</v>
      </c>
      <c r="L50" s="712">
        <f>Bilans_E_AMS_Kyoto_run3_MTE!P422</f>
        <v>8.3609545225008901</v>
      </c>
      <c r="M50" s="712">
        <f>Bilans_E_AMS_Kyoto_run3_MTE!Q422</f>
        <v>0</v>
      </c>
      <c r="N50" s="712">
        <f>Bilans_E_AMS_Kyoto_run3_MTE!R422</f>
        <v>12.640823760452299</v>
      </c>
      <c r="O50" s="712">
        <f>Bilans_E_AMS_Kyoto_run3_MTE!S422</f>
        <v>0</v>
      </c>
      <c r="P50" s="712">
        <f>Bilans_E_AMS_Kyoto_run3_MTE!T422+Bilans_E_AMS_Kyoto_run3_MTE!U422</f>
        <v>0</v>
      </c>
      <c r="Q50" s="712">
        <f>Bilans_E_AMS_Kyoto_run3_MTE!V422</f>
        <v>0</v>
      </c>
      <c r="R50" s="712">
        <f>Bilans_E_AMS_Kyoto_run3_MTE!W422</f>
        <v>0</v>
      </c>
      <c r="S50" s="712">
        <f>Bilans_E_AMS_Kyoto_run3_MTE!X422</f>
        <v>0</v>
      </c>
      <c r="T50" s="712">
        <f>Bilans_E_AMS_Kyoto_run3_MTE!Y422</f>
        <v>0</v>
      </c>
      <c r="U50" s="712">
        <f>Bilans_E_AMS_Kyoto_run3_MTE!Z422</f>
        <v>431.42879155413789</v>
      </c>
      <c r="V50" s="701"/>
      <c r="W50" s="701"/>
    </row>
    <row r="51" spans="1:23" x14ac:dyDescent="0.25">
      <c r="A51" s="701" t="s">
        <v>489</v>
      </c>
      <c r="B51" s="701"/>
      <c r="C51" s="710" t="s">
        <v>61</v>
      </c>
      <c r="D51" s="712">
        <f>Bilans_E_AMS_Kyoto_run3_MTE!H423</f>
        <v>0</v>
      </c>
      <c r="E51" s="712">
        <f>Bilans_E_AMS_Kyoto_run3_MTE!I423</f>
        <v>0</v>
      </c>
      <c r="F51" s="712">
        <f>Bilans_E_AMS_Kyoto_run3_MTE!J423</f>
        <v>0</v>
      </c>
      <c r="G51" s="712">
        <f>Bilans_E_AMS_Kyoto_run3_MTE!K423</f>
        <v>0</v>
      </c>
      <c r="H51" s="712">
        <f>Bilans_E_AMS_Kyoto_run3_MTE!L423</f>
        <v>0</v>
      </c>
      <c r="I51" s="712">
        <f>Bilans_E_AMS_Kyoto_run3_MTE!M423</f>
        <v>0</v>
      </c>
      <c r="J51" s="712">
        <f>Bilans_E_AMS_Kyoto_run3_MTE!N423</f>
        <v>0</v>
      </c>
      <c r="K51" s="712">
        <f>Bilans_E_AMS_Kyoto_run3_MTE!O423</f>
        <v>0</v>
      </c>
      <c r="L51" s="712">
        <f>Bilans_E_AMS_Kyoto_run3_MTE!P423</f>
        <v>0</v>
      </c>
      <c r="M51" s="712">
        <f>Bilans_E_AMS_Kyoto_run3_MTE!Q423</f>
        <v>0</v>
      </c>
      <c r="N51" s="712">
        <f>Bilans_E_AMS_Kyoto_run3_MTE!R423</f>
        <v>0</v>
      </c>
      <c r="O51" s="712">
        <f>Bilans_E_AMS_Kyoto_run3_MTE!S423</f>
        <v>-7.7990691835452708E-2</v>
      </c>
      <c r="P51" s="712">
        <f>Bilans_E_AMS_Kyoto_run3_MTE!T423+Bilans_E_AMS_Kyoto_run3_MTE!U423</f>
        <v>0</v>
      </c>
      <c r="Q51" s="712">
        <f>Bilans_E_AMS_Kyoto_run3_MTE!V423</f>
        <v>0</v>
      </c>
      <c r="R51" s="712">
        <f>Bilans_E_AMS_Kyoto_run3_MTE!W423</f>
        <v>-125.47851234932489</v>
      </c>
      <c r="S51" s="712">
        <f>Bilans_E_AMS_Kyoto_run3_MTE!X423</f>
        <v>0</v>
      </c>
      <c r="T51" s="712">
        <f>Bilans_E_AMS_Kyoto_run3_MTE!Y423</f>
        <v>0</v>
      </c>
      <c r="U51" s="712">
        <f>Bilans_E_AMS_Kyoto_run3_MTE!Z423</f>
        <v>-125.55650304116034</v>
      </c>
      <c r="V51" s="701"/>
      <c r="W51" s="701"/>
    </row>
    <row r="52" spans="1:23" x14ac:dyDescent="0.25">
      <c r="A52" s="701" t="s">
        <v>490</v>
      </c>
      <c r="B52" s="701"/>
      <c r="C52" s="710" t="s">
        <v>62</v>
      </c>
      <c r="D52" s="711">
        <f>Bilans_E_AMS_Kyoto_run3_MTE!H424</f>
        <v>0</v>
      </c>
      <c r="E52" s="711">
        <f>Bilans_E_AMS_Kyoto_run3_MTE!I424</f>
        <v>0</v>
      </c>
      <c r="F52" s="711">
        <f>Bilans_E_AMS_Kyoto_run3_MTE!J424</f>
        <v>-5.9348855093326982</v>
      </c>
      <c r="G52" s="711">
        <f>Bilans_E_AMS_Kyoto_run3_MTE!K424</f>
        <v>-0.99259685127624486</v>
      </c>
      <c r="H52" s="711">
        <f>Bilans_E_AMS_Kyoto_run3_MTE!L424</f>
        <v>0</v>
      </c>
      <c r="I52" s="711">
        <f>Bilans_E_AMS_Kyoto_run3_MTE!M424</f>
        <v>-0.99259685127624475</v>
      </c>
      <c r="J52" s="711">
        <f>Bilans_E_AMS_Kyoto_run3_MTE!N424</f>
        <v>0</v>
      </c>
      <c r="K52" s="711">
        <f>Bilans_E_AMS_Kyoto_run3_MTE!O424</f>
        <v>0</v>
      </c>
      <c r="L52" s="711">
        <f>Bilans_E_AMS_Kyoto_run3_MTE!P424</f>
        <v>0</v>
      </c>
      <c r="M52" s="711">
        <f>Bilans_E_AMS_Kyoto_run3_MTE!Q424</f>
        <v>0</v>
      </c>
      <c r="N52" s="711">
        <f>Bilans_E_AMS_Kyoto_run3_MTE!R424</f>
        <v>0</v>
      </c>
      <c r="O52" s="711">
        <f>Bilans_E_AMS_Kyoto_run3_MTE!S424</f>
        <v>-1.3642017969458513</v>
      </c>
      <c r="P52" s="711">
        <f>Bilans_E_AMS_Kyoto_run3_MTE!T424+Bilans_E_AMS_Kyoto_run3_MTE!U424</f>
        <v>0</v>
      </c>
      <c r="Q52" s="711">
        <f>Bilans_E_AMS_Kyoto_run3_MTE!V424</f>
        <v>0</v>
      </c>
      <c r="R52" s="711">
        <f>Bilans_E_AMS_Kyoto_run3_MTE!W424</f>
        <v>0</v>
      </c>
      <c r="S52" s="711">
        <f>Bilans_E_AMS_Kyoto_run3_MTE!X424</f>
        <v>0</v>
      </c>
      <c r="T52" s="711">
        <f>Bilans_E_AMS_Kyoto_run3_MTE!Y424</f>
        <v>-0.66413311470232494</v>
      </c>
      <c r="U52" s="711">
        <f>Bilans_E_AMS_Kyoto_run3_MTE!Z424</f>
        <v>-9.9484141235333645</v>
      </c>
      <c r="V52" s="701"/>
      <c r="W52" s="701"/>
    </row>
    <row r="53" spans="1:23" x14ac:dyDescent="0.25">
      <c r="A53" s="701" t="s">
        <v>491</v>
      </c>
      <c r="B53" s="701"/>
      <c r="C53" s="710" t="s">
        <v>63</v>
      </c>
      <c r="D53" s="711">
        <f>Bilans_E_AMS_Kyoto_run3_MTE!H425</f>
        <v>0</v>
      </c>
      <c r="E53" s="711">
        <f>Bilans_E_AMS_Kyoto_run3_MTE!I425</f>
        <v>0</v>
      </c>
      <c r="F53" s="711">
        <f>Bilans_E_AMS_Kyoto_run3_MTE!J425</f>
        <v>-40</v>
      </c>
      <c r="G53" s="711">
        <f>Bilans_E_AMS_Kyoto_run3_MTE!K425</f>
        <v>-8</v>
      </c>
      <c r="H53" s="711">
        <f>Bilans_E_AMS_Kyoto_run3_MTE!L425</f>
        <v>0</v>
      </c>
      <c r="I53" s="711">
        <f>Bilans_E_AMS_Kyoto_run3_MTE!M425</f>
        <v>0</v>
      </c>
      <c r="J53" s="711">
        <f>Bilans_E_AMS_Kyoto_run3_MTE!N425</f>
        <v>0</v>
      </c>
      <c r="K53" s="711">
        <f>Bilans_E_AMS_Kyoto_run3_MTE!O425</f>
        <v>0</v>
      </c>
      <c r="L53" s="711">
        <f>Bilans_E_AMS_Kyoto_run3_MTE!P425</f>
        <v>0</v>
      </c>
      <c r="M53" s="711">
        <f>Bilans_E_AMS_Kyoto_run3_MTE!Q425</f>
        <v>0</v>
      </c>
      <c r="N53" s="711">
        <f>Bilans_E_AMS_Kyoto_run3_MTE!R425</f>
        <v>-15</v>
      </c>
      <c r="O53" s="711">
        <f>Bilans_E_AMS_Kyoto_run3_MTE!S425</f>
        <v>0</v>
      </c>
      <c r="P53" s="711">
        <f>Bilans_E_AMS_Kyoto_run3_MTE!T425+Bilans_E_AMS_Kyoto_run3_MTE!U425</f>
        <v>0</v>
      </c>
      <c r="Q53" s="711">
        <f>Bilans_E_AMS_Kyoto_run3_MTE!V425</f>
        <v>0</v>
      </c>
      <c r="R53" s="711">
        <f>Bilans_E_AMS_Kyoto_run3_MTE!W425</f>
        <v>0</v>
      </c>
      <c r="S53" s="711">
        <f>Bilans_E_AMS_Kyoto_run3_MTE!X425</f>
        <v>0</v>
      </c>
      <c r="T53" s="711">
        <f>Bilans_E_AMS_Kyoto_run3_MTE!Y425</f>
        <v>-3.0000000000000004</v>
      </c>
      <c r="U53" s="711">
        <f>Bilans_E_AMS_Kyoto_run3_MTE!Z425</f>
        <v>-66</v>
      </c>
      <c r="V53" s="701"/>
      <c r="W53" s="701"/>
    </row>
    <row r="54" spans="1:23" x14ac:dyDescent="0.25">
      <c r="A54" s="701" t="s">
        <v>492</v>
      </c>
      <c r="B54" s="701"/>
      <c r="C54" s="710" t="s">
        <v>64</v>
      </c>
      <c r="D54" s="712">
        <f>Bilans_E_AMS_Kyoto_run3_MTE!H426</f>
        <v>0</v>
      </c>
      <c r="E54" s="712">
        <f>Bilans_E_AMS_Kyoto_run3_MTE!I426</f>
        <v>0</v>
      </c>
      <c r="F54" s="712">
        <f>Bilans_E_AMS_Kyoto_run3_MTE!J426</f>
        <v>0</v>
      </c>
      <c r="G54" s="712">
        <f>Bilans_E_AMS_Kyoto_run3_MTE!K426</f>
        <v>0</v>
      </c>
      <c r="H54" s="712">
        <f>Bilans_E_AMS_Kyoto_run3_MTE!L426</f>
        <v>0</v>
      </c>
      <c r="I54" s="712">
        <f>Bilans_E_AMS_Kyoto_run3_MTE!M426</f>
        <v>0</v>
      </c>
      <c r="J54" s="712">
        <f>Bilans_E_AMS_Kyoto_run3_MTE!N426</f>
        <v>0</v>
      </c>
      <c r="K54" s="712">
        <f>Bilans_E_AMS_Kyoto_run3_MTE!O426</f>
        <v>0</v>
      </c>
      <c r="L54" s="712">
        <f>Bilans_E_AMS_Kyoto_run3_MTE!P426</f>
        <v>0</v>
      </c>
      <c r="M54" s="712">
        <f>Bilans_E_AMS_Kyoto_run3_MTE!Q426</f>
        <v>0</v>
      </c>
      <c r="N54" s="712">
        <f>Bilans_E_AMS_Kyoto_run3_MTE!R426</f>
        <v>0</v>
      </c>
      <c r="O54" s="712">
        <f>Bilans_E_AMS_Kyoto_run3_MTE!S426</f>
        <v>0</v>
      </c>
      <c r="P54" s="712">
        <f>Bilans_E_AMS_Kyoto_run3_MTE!T426+Bilans_E_AMS_Kyoto_run3_MTE!U426</f>
        <v>0</v>
      </c>
      <c r="Q54" s="712">
        <f>Bilans_E_AMS_Kyoto_run3_MTE!V426</f>
        <v>0</v>
      </c>
      <c r="R54" s="712">
        <f>Bilans_E_AMS_Kyoto_run3_MTE!W426</f>
        <v>0</v>
      </c>
      <c r="S54" s="712">
        <f>Bilans_E_AMS_Kyoto_run3_MTE!X426</f>
        <v>0</v>
      </c>
      <c r="T54" s="712">
        <f>Bilans_E_AMS_Kyoto_run3_MTE!Y426</f>
        <v>0</v>
      </c>
      <c r="U54" s="712">
        <f>Bilans_E_AMS_Kyoto_run3_MTE!Z426</f>
        <v>0</v>
      </c>
      <c r="V54" s="701"/>
      <c r="W54" s="701"/>
    </row>
    <row r="55" spans="1:23" x14ac:dyDescent="0.25">
      <c r="A55" s="701" t="s">
        <v>493</v>
      </c>
      <c r="B55" s="701"/>
      <c r="C55" s="713" t="s">
        <v>65</v>
      </c>
      <c r="D55" s="714">
        <f>Bilans_E_AMS_Kyoto_run3_MTE!H427</f>
        <v>12.152793945312501</v>
      </c>
      <c r="E55" s="714">
        <f>Bilans_E_AMS_Kyoto_run3_MTE!I427</f>
        <v>228.52698065701114</v>
      </c>
      <c r="F55" s="714">
        <f>Bilans_E_AMS_Kyoto_run3_MTE!J427</f>
        <v>6.8227719905437425</v>
      </c>
      <c r="G55" s="714">
        <f>Bilans_E_AMS_Kyoto_run3_MTE!K427</f>
        <v>-1.9064242790911123</v>
      </c>
      <c r="H55" s="714">
        <f>Bilans_E_AMS_Kyoto_run3_MTE!L427</f>
        <v>109.90340859679944</v>
      </c>
      <c r="I55" s="714">
        <f>Bilans_E_AMS_Kyoto_run3_MTE!M427</f>
        <v>-0.99259685127624475</v>
      </c>
      <c r="J55" s="714">
        <f>Bilans_E_AMS_Kyoto_run3_MTE!N427</f>
        <v>1217.3350254612858</v>
      </c>
      <c r="K55" s="714">
        <f>Bilans_E_AMS_Kyoto_run3_MTE!O427</f>
        <v>388.29502398919544</v>
      </c>
      <c r="L55" s="714">
        <f>Bilans_E_AMS_Kyoto_run3_MTE!P427</f>
        <v>353.58508374919074</v>
      </c>
      <c r="M55" s="714">
        <f>Bilans_E_AMS_Kyoto_run3_MTE!Q427</f>
        <v>47.572914538902204</v>
      </c>
      <c r="N55" s="714">
        <f>Bilans_E_AMS_Kyoto_run3_MTE!R427</f>
        <v>-2.3591762395477005</v>
      </c>
      <c r="O55" s="714">
        <f>Bilans_E_AMS_Kyoto_run3_MTE!S427</f>
        <v>-1.442192488781304</v>
      </c>
      <c r="P55" s="714">
        <f>Bilans_E_AMS_Kyoto_run3_MTE!T427+Bilans_E_AMS_Kyoto_run3_MTE!U427</f>
        <v>217.97798120035498</v>
      </c>
      <c r="Q55" s="714">
        <f>Bilans_E_AMS_Kyoto_run3_MTE!V427</f>
        <v>44.670610017190697</v>
      </c>
      <c r="R55" s="714">
        <f>Bilans_E_AMS_Kyoto_run3_MTE!W427</f>
        <v>-125.47851234932489</v>
      </c>
      <c r="S55" s="714">
        <f>Bilans_E_AMS_Kyoto_run3_MTE!X427</f>
        <v>0</v>
      </c>
      <c r="T55" s="714">
        <f>Bilans_E_AMS_Kyoto_run3_MTE!Y427</f>
        <v>-3.6641331147023255</v>
      </c>
      <c r="U55" s="714">
        <f>Bilans_E_AMS_Kyoto_run3_MTE!Z427</f>
        <v>2490.9995588230627</v>
      </c>
      <c r="V55" s="701"/>
      <c r="W55" s="701"/>
    </row>
    <row r="56" spans="1:23" x14ac:dyDescent="0.25">
      <c r="A56" s="701"/>
      <c r="B56" s="701"/>
      <c r="C56" s="715"/>
      <c r="D56" s="716"/>
      <c r="E56" s="716"/>
      <c r="F56" s="716"/>
      <c r="G56" s="716"/>
      <c r="H56" s="716"/>
      <c r="I56" s="716"/>
      <c r="J56" s="716"/>
      <c r="K56" s="716"/>
      <c r="L56" s="716"/>
      <c r="M56" s="716"/>
      <c r="N56" s="716"/>
      <c r="O56" s="716"/>
      <c r="P56" s="716">
        <f>Bilans_E_AMS_Kyoto_run3_MTE!T428+Bilans_E_AMS_Kyoto_run3_MTE!U428</f>
        <v>0</v>
      </c>
      <c r="Q56" s="716"/>
      <c r="R56" s="716"/>
      <c r="S56" s="716"/>
      <c r="T56" s="716"/>
      <c r="U56" s="716"/>
      <c r="V56" s="701"/>
      <c r="W56" s="701"/>
    </row>
    <row r="57" spans="1:23" x14ac:dyDescent="0.25">
      <c r="A57" s="701" t="s">
        <v>494</v>
      </c>
      <c r="B57" s="701"/>
      <c r="C57" s="717" t="s">
        <v>67</v>
      </c>
      <c r="D57" s="711">
        <f>Bilans_E_AMS_Kyoto_run3_MTE!H429</f>
        <v>0</v>
      </c>
      <c r="E57" s="711">
        <f>Bilans_E_AMS_Kyoto_run3_MTE!I429</f>
        <v>0</v>
      </c>
      <c r="F57" s="711">
        <f>Bilans_E_AMS_Kyoto_run3_MTE!J429</f>
        <v>0</v>
      </c>
      <c r="G57" s="711">
        <f>Bilans_E_AMS_Kyoto_run3_MTE!K429</f>
        <v>0</v>
      </c>
      <c r="H57" s="711">
        <f>Bilans_E_AMS_Kyoto_run3_MTE!L429</f>
        <v>0</v>
      </c>
      <c r="I57" s="711">
        <f>Bilans_E_AMS_Kyoto_run3_MTE!M429</f>
        <v>0</v>
      </c>
      <c r="J57" s="711">
        <f>Bilans_E_AMS_Kyoto_run3_MTE!N429</f>
        <v>0</v>
      </c>
      <c r="K57" s="711">
        <f>Bilans_E_AMS_Kyoto_run3_MTE!O429</f>
        <v>0</v>
      </c>
      <c r="L57" s="711">
        <f>Bilans_E_AMS_Kyoto_run3_MTE!P429</f>
        <v>0</v>
      </c>
      <c r="M57" s="711">
        <f>Bilans_E_AMS_Kyoto_run3_MTE!Q429</f>
        <v>0</v>
      </c>
      <c r="N57" s="711">
        <f>Bilans_E_AMS_Kyoto_run3_MTE!R429</f>
        <v>0</v>
      </c>
      <c r="O57" s="711">
        <f>Bilans_E_AMS_Kyoto_run3_MTE!S429</f>
        <v>0</v>
      </c>
      <c r="P57" s="711">
        <f>Bilans_E_AMS_Kyoto_run3_MTE!T429+Bilans_E_AMS_Kyoto_run3_MTE!U429</f>
        <v>0</v>
      </c>
      <c r="Q57" s="711">
        <f>Bilans_E_AMS_Kyoto_run3_MTE!V429</f>
        <v>0</v>
      </c>
      <c r="R57" s="711">
        <f>Bilans_E_AMS_Kyoto_run3_MTE!W429</f>
        <v>0</v>
      </c>
      <c r="S57" s="711">
        <f>Bilans_E_AMS_Kyoto_run3_MTE!X429</f>
        <v>0</v>
      </c>
      <c r="T57" s="711">
        <f>Bilans_E_AMS_Kyoto_run3_MTE!Y429</f>
        <v>0</v>
      </c>
      <c r="U57" s="711">
        <f>Bilans_E_AMS_Kyoto_run3_MTE!Z429</f>
        <v>0</v>
      </c>
      <c r="V57" s="701"/>
      <c r="W57" s="701"/>
    </row>
    <row r="58" spans="1:23" x14ac:dyDescent="0.25">
      <c r="A58" s="701" t="s">
        <v>495</v>
      </c>
      <c r="B58" s="701"/>
      <c r="C58" s="717" t="s">
        <v>347</v>
      </c>
      <c r="D58" s="711">
        <f>Bilans_E_AMS_Kyoto_run3_MTE!H430</f>
        <v>0</v>
      </c>
      <c r="E58" s="711">
        <f>Bilans_E_AMS_Kyoto_run3_MTE!I430</f>
        <v>0</v>
      </c>
      <c r="F58" s="711">
        <f>Bilans_E_AMS_Kyoto_run3_MTE!J430</f>
        <v>6.6151953400033478E-2</v>
      </c>
      <c r="G58" s="711">
        <f>Bilans_E_AMS_Kyoto_run3_MTE!K430</f>
        <v>0</v>
      </c>
      <c r="H58" s="711">
        <f>Bilans_E_AMS_Kyoto_run3_MTE!L430</f>
        <v>2.4867213913043404E-3</v>
      </c>
      <c r="I58" s="711">
        <f>Bilans_E_AMS_Kyoto_run3_MTE!M430</f>
        <v>0</v>
      </c>
      <c r="J58" s="711">
        <f>Bilans_E_AMS_Kyoto_run3_MTE!N430</f>
        <v>1213.9369090909088</v>
      </c>
      <c r="K58" s="711">
        <f>Bilans_E_AMS_Kyoto_run3_MTE!O430</f>
        <v>388.29502398919544</v>
      </c>
      <c r="L58" s="711">
        <f>Bilans_E_AMS_Kyoto_run3_MTE!P430</f>
        <v>17.586826213678588</v>
      </c>
      <c r="M58" s="711">
        <f>Bilans_E_AMS_Kyoto_run3_MTE!Q430</f>
        <v>5.6133813254305416</v>
      </c>
      <c r="N58" s="711">
        <f>Bilans_E_AMS_Kyoto_run3_MTE!R430</f>
        <v>5.6269378379330357</v>
      </c>
      <c r="O58" s="711">
        <f>Bilans_E_AMS_Kyoto_run3_MTE!S430</f>
        <v>0.11555796351278441</v>
      </c>
      <c r="P58" s="711">
        <f>Bilans_E_AMS_Kyoto_run3_MTE!T430+Bilans_E_AMS_Kyoto_run3_MTE!U430</f>
        <v>0</v>
      </c>
      <c r="Q58" s="711">
        <f>Bilans_E_AMS_Kyoto_run3_MTE!V430</f>
        <v>6.4327567473291545</v>
      </c>
      <c r="R58" s="711">
        <f>Bilans_E_AMS_Kyoto_run3_MTE!W430</f>
        <v>-805.46190663810182</v>
      </c>
      <c r="S58" s="711">
        <f>Bilans_E_AMS_Kyoto_run3_MTE!X430</f>
        <v>0</v>
      </c>
      <c r="T58" s="711">
        <f>Bilans_E_AMS_Kyoto_run3_MTE!Y430</f>
        <v>0</v>
      </c>
      <c r="U58" s="711">
        <f>Bilans_E_AMS_Kyoto_run3_MTE!Z430</f>
        <v>832.21412520467777</v>
      </c>
      <c r="V58" s="701"/>
      <c r="W58" s="701"/>
    </row>
    <row r="59" spans="1:23" x14ac:dyDescent="0.25">
      <c r="A59" s="701" t="s">
        <v>496</v>
      </c>
      <c r="B59" s="701"/>
      <c r="C59" s="717" t="s">
        <v>348</v>
      </c>
      <c r="D59" s="711">
        <f>Bilans_E_AMS_Kyoto_run3_MTE!H431</f>
        <v>0</v>
      </c>
      <c r="E59" s="711">
        <f>Bilans_E_AMS_Kyoto_run3_MTE!I431</f>
        <v>0</v>
      </c>
      <c r="F59" s="711">
        <f>Bilans_E_AMS_Kyoto_run3_MTE!J431</f>
        <v>0</v>
      </c>
      <c r="G59" s="711">
        <f>Bilans_E_AMS_Kyoto_run3_MTE!K431</f>
        <v>0</v>
      </c>
      <c r="H59" s="711">
        <f>Bilans_E_AMS_Kyoto_run3_MTE!L431</f>
        <v>13.794883526882547</v>
      </c>
      <c r="I59" s="711">
        <f>Bilans_E_AMS_Kyoto_run3_MTE!M431</f>
        <v>0</v>
      </c>
      <c r="J59" s="711">
        <f>Bilans_E_AMS_Kyoto_run3_MTE!N431</f>
        <v>3.3981163703769028</v>
      </c>
      <c r="K59" s="711">
        <f>Bilans_E_AMS_Kyoto_run3_MTE!O431</f>
        <v>0</v>
      </c>
      <c r="L59" s="711">
        <f>Bilans_E_AMS_Kyoto_run3_MTE!P431</f>
        <v>24.198351271875673</v>
      </c>
      <c r="M59" s="711">
        <f>Bilans_E_AMS_Kyoto_run3_MTE!Q431</f>
        <v>14.187375488735356</v>
      </c>
      <c r="N59" s="711">
        <f>Bilans_E_AMS_Kyoto_run3_MTE!R431</f>
        <v>0</v>
      </c>
      <c r="O59" s="711">
        <f>Bilans_E_AMS_Kyoto_run3_MTE!S431</f>
        <v>9.211082811707719</v>
      </c>
      <c r="P59" s="711">
        <f>Bilans_E_AMS_Kyoto_run3_MTE!T431+Bilans_E_AMS_Kyoto_run3_MTE!U431</f>
        <v>17.004200785241363</v>
      </c>
      <c r="Q59" s="711">
        <f>Bilans_E_AMS_Kyoto_run3_MTE!V431</f>
        <v>15.724500904765749</v>
      </c>
      <c r="R59" s="711">
        <f>Bilans_E_AMS_Kyoto_run3_MTE!W431</f>
        <v>0</v>
      </c>
      <c r="S59" s="711">
        <f>Bilans_E_AMS_Kyoto_run3_MTE!X431</f>
        <v>-90.436442741744855</v>
      </c>
      <c r="T59" s="711">
        <f>Bilans_E_AMS_Kyoto_run3_MTE!Y431</f>
        <v>0</v>
      </c>
      <c r="U59" s="711">
        <f>Bilans_E_AMS_Kyoto_run3_MTE!Z431</f>
        <v>7.0820684178404321</v>
      </c>
      <c r="V59" s="701"/>
      <c r="W59" s="701"/>
    </row>
    <row r="60" spans="1:23" x14ac:dyDescent="0.25">
      <c r="A60" s="701" t="s">
        <v>497</v>
      </c>
      <c r="B60" s="701"/>
      <c r="C60" s="717" t="s">
        <v>349</v>
      </c>
      <c r="D60" s="711">
        <f>Bilans_E_AMS_Kyoto_run3_MTE!H432</f>
        <v>0</v>
      </c>
      <c r="E60" s="711">
        <f>Bilans_E_AMS_Kyoto_run3_MTE!I432</f>
        <v>0</v>
      </c>
      <c r="F60" s="711">
        <f>Bilans_E_AMS_Kyoto_run3_MTE!J432</f>
        <v>0</v>
      </c>
      <c r="G60" s="711">
        <f>Bilans_E_AMS_Kyoto_run3_MTE!K432</f>
        <v>0</v>
      </c>
      <c r="H60" s="711">
        <f>Bilans_E_AMS_Kyoto_run3_MTE!L432</f>
        <v>0</v>
      </c>
      <c r="I60" s="711">
        <f>Bilans_E_AMS_Kyoto_run3_MTE!M432</f>
        <v>0</v>
      </c>
      <c r="J60" s="711">
        <f>Bilans_E_AMS_Kyoto_run3_MTE!N432</f>
        <v>0</v>
      </c>
      <c r="K60" s="711">
        <f>Bilans_E_AMS_Kyoto_run3_MTE!O432</f>
        <v>0</v>
      </c>
      <c r="L60" s="711">
        <f>Bilans_E_AMS_Kyoto_run3_MTE!P432</f>
        <v>121.15349099008552</v>
      </c>
      <c r="M60" s="711">
        <f>Bilans_E_AMS_Kyoto_run3_MTE!Q432</f>
        <v>11.695220862948467</v>
      </c>
      <c r="N60" s="711">
        <f>Bilans_E_AMS_Kyoto_run3_MTE!R432</f>
        <v>0</v>
      </c>
      <c r="O60" s="711">
        <f>Bilans_E_AMS_Kyoto_run3_MTE!S432</f>
        <v>-66.507884301827488</v>
      </c>
      <c r="P60" s="711">
        <f>Bilans_E_AMS_Kyoto_run3_MTE!T432+Bilans_E_AMS_Kyoto_run3_MTE!U432</f>
        <v>0</v>
      </c>
      <c r="Q60" s="711">
        <f>Bilans_E_AMS_Kyoto_run3_MTE!V432</f>
        <v>0</v>
      </c>
      <c r="R60" s="711">
        <f>Bilans_E_AMS_Kyoto_run3_MTE!W432</f>
        <v>0</v>
      </c>
      <c r="S60" s="711">
        <f>Bilans_E_AMS_Kyoto_run3_MTE!X432</f>
        <v>0</v>
      </c>
      <c r="T60" s="711">
        <f>Bilans_E_AMS_Kyoto_run3_MTE!Y432</f>
        <v>0</v>
      </c>
      <c r="U60" s="711">
        <f>Bilans_E_AMS_Kyoto_run3_MTE!Z432</f>
        <v>66.340827551206502</v>
      </c>
      <c r="V60" s="701"/>
      <c r="W60" s="701"/>
    </row>
    <row r="61" spans="1:23" x14ac:dyDescent="0.25">
      <c r="A61" s="701" t="s">
        <v>498</v>
      </c>
      <c r="B61" s="701"/>
      <c r="C61" s="717" t="s">
        <v>350</v>
      </c>
      <c r="D61" s="711">
        <f>Bilans_E_AMS_Kyoto_run3_MTE!H433</f>
        <v>0</v>
      </c>
      <c r="E61" s="711">
        <f>Bilans_E_AMS_Kyoto_run3_MTE!I433</f>
        <v>0</v>
      </c>
      <c r="F61" s="711">
        <f>Bilans_E_AMS_Kyoto_run3_MTE!J433</f>
        <v>0</v>
      </c>
      <c r="G61" s="711">
        <f>Bilans_E_AMS_Kyoto_run3_MTE!K433</f>
        <v>0</v>
      </c>
      <c r="H61" s="711">
        <f>Bilans_E_AMS_Kyoto_run3_MTE!L433</f>
        <v>0</v>
      </c>
      <c r="I61" s="711">
        <f>Bilans_E_AMS_Kyoto_run3_MTE!M433</f>
        <v>-0.99259685127624475</v>
      </c>
      <c r="J61" s="711">
        <f>Bilans_E_AMS_Kyoto_run3_MTE!N433</f>
        <v>0</v>
      </c>
      <c r="K61" s="711">
        <f>Bilans_E_AMS_Kyoto_run3_MTE!O433</f>
        <v>0</v>
      </c>
      <c r="L61" s="711">
        <f>Bilans_E_AMS_Kyoto_run3_MTE!P433</f>
        <v>0</v>
      </c>
      <c r="M61" s="711">
        <f>Bilans_E_AMS_Kyoto_run3_MTE!Q433</f>
        <v>0</v>
      </c>
      <c r="N61" s="711">
        <f>Bilans_E_AMS_Kyoto_run3_MTE!R433</f>
        <v>0</v>
      </c>
      <c r="O61" s="711">
        <f>Bilans_E_AMS_Kyoto_run3_MTE!S433</f>
        <v>0</v>
      </c>
      <c r="P61" s="711">
        <f>Bilans_E_AMS_Kyoto_run3_MTE!T433+Bilans_E_AMS_Kyoto_run3_MTE!U433</f>
        <v>0</v>
      </c>
      <c r="Q61" s="711">
        <f>Bilans_E_AMS_Kyoto_run3_MTE!V433</f>
        <v>0</v>
      </c>
      <c r="R61" s="711">
        <f>Bilans_E_AMS_Kyoto_run3_MTE!W433</f>
        <v>0</v>
      </c>
      <c r="S61" s="711">
        <f>Bilans_E_AMS_Kyoto_run3_MTE!X433</f>
        <v>0</v>
      </c>
      <c r="T61" s="711">
        <f>Bilans_E_AMS_Kyoto_run3_MTE!Y433</f>
        <v>1.3786067378836733</v>
      </c>
      <c r="U61" s="711">
        <f>Bilans_E_AMS_Kyoto_run3_MTE!Z433</f>
        <v>0.38600988660742852</v>
      </c>
      <c r="V61" s="701"/>
      <c r="W61" s="701"/>
    </row>
    <row r="62" spans="1:23" x14ac:dyDescent="0.25">
      <c r="A62" s="701" t="s">
        <v>499</v>
      </c>
      <c r="B62" s="701"/>
      <c r="C62" s="717" t="s">
        <v>72</v>
      </c>
      <c r="D62" s="711">
        <f>Bilans_E_AMS_Kyoto_run3_MTE!H434</f>
        <v>0</v>
      </c>
      <c r="E62" s="711">
        <f>Bilans_E_AMS_Kyoto_run3_MTE!I434</f>
        <v>236.81493545445448</v>
      </c>
      <c r="F62" s="711">
        <f>Bilans_E_AMS_Kyoto_run3_MTE!J434</f>
        <v>-234.44678609990993</v>
      </c>
      <c r="G62" s="711">
        <f>Bilans_E_AMS_Kyoto_run3_MTE!K434</f>
        <v>0</v>
      </c>
      <c r="H62" s="711">
        <f>Bilans_E_AMS_Kyoto_run3_MTE!L434</f>
        <v>0</v>
      </c>
      <c r="I62" s="711">
        <f>Bilans_E_AMS_Kyoto_run3_MTE!M434</f>
        <v>0</v>
      </c>
      <c r="J62" s="711">
        <f>Bilans_E_AMS_Kyoto_run3_MTE!N434</f>
        <v>0</v>
      </c>
      <c r="K62" s="711">
        <f>Bilans_E_AMS_Kyoto_run3_MTE!O434</f>
        <v>0</v>
      </c>
      <c r="L62" s="711">
        <f>Bilans_E_AMS_Kyoto_run3_MTE!P434</f>
        <v>0</v>
      </c>
      <c r="M62" s="711">
        <f>Bilans_E_AMS_Kyoto_run3_MTE!Q434</f>
        <v>0</v>
      </c>
      <c r="N62" s="711">
        <f>Bilans_E_AMS_Kyoto_run3_MTE!R434</f>
        <v>0</v>
      </c>
      <c r="O62" s="711">
        <f>Bilans_E_AMS_Kyoto_run3_MTE!S434</f>
        <v>0</v>
      </c>
      <c r="P62" s="711">
        <f>Bilans_E_AMS_Kyoto_run3_MTE!T434+Bilans_E_AMS_Kyoto_run3_MTE!U434</f>
        <v>0</v>
      </c>
      <c r="Q62" s="711">
        <f>Bilans_E_AMS_Kyoto_run3_MTE!V434</f>
        <v>0</v>
      </c>
      <c r="R62" s="711">
        <f>Bilans_E_AMS_Kyoto_run3_MTE!W434</f>
        <v>0</v>
      </c>
      <c r="S62" s="711">
        <f>Bilans_E_AMS_Kyoto_run3_MTE!X434</f>
        <v>0</v>
      </c>
      <c r="T62" s="711">
        <f>Bilans_E_AMS_Kyoto_run3_MTE!Y434</f>
        <v>0</v>
      </c>
      <c r="U62" s="711">
        <f>Bilans_E_AMS_Kyoto_run3_MTE!Z434</f>
        <v>2.3681493545445562</v>
      </c>
      <c r="V62" s="701"/>
      <c r="W62" s="701"/>
    </row>
    <row r="63" spans="1:23" x14ac:dyDescent="0.25">
      <c r="A63" s="701" t="s">
        <v>500</v>
      </c>
      <c r="B63" s="701"/>
      <c r="C63" s="717" t="s">
        <v>351</v>
      </c>
      <c r="D63" s="711">
        <f>Bilans_E_AMS_Kyoto_run3_MTE!H435</f>
        <v>0</v>
      </c>
      <c r="E63" s="711">
        <f>Bilans_E_AMS_Kyoto_run3_MTE!I435</f>
        <v>0</v>
      </c>
      <c r="F63" s="711">
        <f>Bilans_E_AMS_Kyoto_run3_MTE!J435</f>
        <v>0</v>
      </c>
      <c r="G63" s="711">
        <f>Bilans_E_AMS_Kyoto_run3_MTE!K435</f>
        <v>0</v>
      </c>
      <c r="H63" s="711">
        <f>Bilans_E_AMS_Kyoto_run3_MTE!L435</f>
        <v>0</v>
      </c>
      <c r="I63" s="711">
        <f>Bilans_E_AMS_Kyoto_run3_MTE!M435</f>
        <v>0</v>
      </c>
      <c r="J63" s="711">
        <f>Bilans_E_AMS_Kyoto_run3_MTE!N435</f>
        <v>0</v>
      </c>
      <c r="K63" s="711">
        <f>Bilans_E_AMS_Kyoto_run3_MTE!O435</f>
        <v>0</v>
      </c>
      <c r="L63" s="711">
        <f>Bilans_E_AMS_Kyoto_run3_MTE!P435</f>
        <v>92.214586114726359</v>
      </c>
      <c r="M63" s="711">
        <f>Bilans_E_AMS_Kyoto_run3_MTE!Q435</f>
        <v>7.2727272727272725</v>
      </c>
      <c r="N63" s="711">
        <f>Bilans_E_AMS_Kyoto_run3_MTE!R435</f>
        <v>-55.427636476917691</v>
      </c>
      <c r="O63" s="711">
        <f>Bilans_E_AMS_Kyoto_run3_MTE!S435</f>
        <v>0</v>
      </c>
      <c r="P63" s="711">
        <f>Bilans_E_AMS_Kyoto_run3_MTE!T435+Bilans_E_AMS_Kyoto_run3_MTE!U435</f>
        <v>0</v>
      </c>
      <c r="Q63" s="711">
        <f>Bilans_E_AMS_Kyoto_run3_MTE!V435</f>
        <v>0</v>
      </c>
      <c r="R63" s="711">
        <f>Bilans_E_AMS_Kyoto_run3_MTE!W435</f>
        <v>0</v>
      </c>
      <c r="S63" s="711">
        <f>Bilans_E_AMS_Kyoto_run3_MTE!X435</f>
        <v>0</v>
      </c>
      <c r="T63" s="711">
        <f>Bilans_E_AMS_Kyoto_run3_MTE!Y435</f>
        <v>0</v>
      </c>
      <c r="U63" s="711">
        <f>Bilans_E_AMS_Kyoto_run3_MTE!Z435</f>
        <v>44.059676910535934</v>
      </c>
      <c r="V63" s="701"/>
      <c r="W63" s="701"/>
    </row>
    <row r="64" spans="1:23" x14ac:dyDescent="0.25">
      <c r="A64" s="701" t="s">
        <v>501</v>
      </c>
      <c r="B64" s="701"/>
      <c r="C64" s="717" t="s">
        <v>352</v>
      </c>
      <c r="D64" s="711">
        <f>Bilans_E_AMS_Kyoto_run3_MTE!H436</f>
        <v>0</v>
      </c>
      <c r="E64" s="711">
        <f>Bilans_E_AMS_Kyoto_run3_MTE!I436</f>
        <v>0</v>
      </c>
      <c r="F64" s="711">
        <f>Bilans_E_AMS_Kyoto_run3_MTE!J436</f>
        <v>0</v>
      </c>
      <c r="G64" s="711">
        <f>Bilans_E_AMS_Kyoto_run3_MTE!K436</f>
        <v>-5.3675968512762449</v>
      </c>
      <c r="H64" s="711">
        <f>Bilans_E_AMS_Kyoto_run3_MTE!L436</f>
        <v>0</v>
      </c>
      <c r="I64" s="711">
        <f>Bilans_E_AMS_Kyoto_run3_MTE!M436</f>
        <v>0</v>
      </c>
      <c r="J64" s="711">
        <f>Bilans_E_AMS_Kyoto_run3_MTE!N436</f>
        <v>0</v>
      </c>
      <c r="K64" s="711">
        <f>Bilans_E_AMS_Kyoto_run3_MTE!O436</f>
        <v>0</v>
      </c>
      <c r="L64" s="711">
        <f>Bilans_E_AMS_Kyoto_run3_MTE!P436</f>
        <v>0</v>
      </c>
      <c r="M64" s="711">
        <f>Bilans_E_AMS_Kyoto_run3_MTE!Q436</f>
        <v>0</v>
      </c>
      <c r="N64" s="711">
        <f>Bilans_E_AMS_Kyoto_run3_MTE!R436</f>
        <v>0</v>
      </c>
      <c r="O64" s="711">
        <f>Bilans_E_AMS_Kyoto_run3_MTE!S436</f>
        <v>0</v>
      </c>
      <c r="P64" s="711">
        <f>Bilans_E_AMS_Kyoto_run3_MTE!T436+Bilans_E_AMS_Kyoto_run3_MTE!U436</f>
        <v>0</v>
      </c>
      <c r="Q64" s="711">
        <f>Bilans_E_AMS_Kyoto_run3_MTE!V436</f>
        <v>0</v>
      </c>
      <c r="R64" s="711">
        <f>Bilans_E_AMS_Kyoto_run3_MTE!W436</f>
        <v>0</v>
      </c>
      <c r="S64" s="711">
        <f>Bilans_E_AMS_Kyoto_run3_MTE!X436</f>
        <v>0</v>
      </c>
      <c r="T64" s="711">
        <f>Bilans_E_AMS_Kyoto_run3_MTE!Y436</f>
        <v>8.7918565364038699</v>
      </c>
      <c r="U64" s="711">
        <f>Bilans_E_AMS_Kyoto_run3_MTE!Z436</f>
        <v>3.424259685127625</v>
      </c>
      <c r="V64" s="701"/>
      <c r="W64" s="701"/>
    </row>
    <row r="65" spans="1:23" x14ac:dyDescent="0.25">
      <c r="A65" s="701" t="s">
        <v>502</v>
      </c>
      <c r="B65" s="701"/>
      <c r="C65" s="717" t="s">
        <v>73</v>
      </c>
      <c r="D65" s="711">
        <f>Bilans_E_AMS_Kyoto_run3_MTE!H437</f>
        <v>0</v>
      </c>
      <c r="E65" s="711">
        <f>Bilans_E_AMS_Kyoto_run3_MTE!I437</f>
        <v>0</v>
      </c>
      <c r="F65" s="711">
        <f>Bilans_E_AMS_Kyoto_run3_MTE!J437</f>
        <v>0</v>
      </c>
      <c r="G65" s="711">
        <f>Bilans_E_AMS_Kyoto_run3_MTE!K437</f>
        <v>0</v>
      </c>
      <c r="H65" s="711">
        <f>Bilans_E_AMS_Kyoto_run3_MTE!L437</f>
        <v>0</v>
      </c>
      <c r="I65" s="711">
        <f>Bilans_E_AMS_Kyoto_run3_MTE!M437</f>
        <v>0</v>
      </c>
      <c r="J65" s="711">
        <f>Bilans_E_AMS_Kyoto_run3_MTE!N437</f>
        <v>0</v>
      </c>
      <c r="K65" s="711">
        <f>Bilans_E_AMS_Kyoto_run3_MTE!O437</f>
        <v>0</v>
      </c>
      <c r="L65" s="711">
        <f>Bilans_E_AMS_Kyoto_run3_MTE!P437</f>
        <v>0</v>
      </c>
      <c r="M65" s="711">
        <f>Bilans_E_AMS_Kyoto_run3_MTE!Q437</f>
        <v>0</v>
      </c>
      <c r="N65" s="711">
        <f>Bilans_E_AMS_Kyoto_run3_MTE!R437</f>
        <v>0</v>
      </c>
      <c r="O65" s="711">
        <f>Bilans_E_AMS_Kyoto_run3_MTE!S437</f>
        <v>0</v>
      </c>
      <c r="P65" s="711">
        <f>Bilans_E_AMS_Kyoto_run3_MTE!T437+Bilans_E_AMS_Kyoto_run3_MTE!U437</f>
        <v>0</v>
      </c>
      <c r="Q65" s="711">
        <f>Bilans_E_AMS_Kyoto_run3_MTE!V437</f>
        <v>0</v>
      </c>
      <c r="R65" s="711">
        <f>Bilans_E_AMS_Kyoto_run3_MTE!W437</f>
        <v>46.345987464156821</v>
      </c>
      <c r="S65" s="711">
        <f>Bilans_E_AMS_Kyoto_run3_MTE!X437</f>
        <v>0</v>
      </c>
      <c r="T65" s="711">
        <f>Bilans_E_AMS_Kyoto_run3_MTE!Y437</f>
        <v>-31.747001412947427</v>
      </c>
      <c r="U65" s="711">
        <f>Bilans_E_AMS_Kyoto_run3_MTE!Z437</f>
        <v>14.598986051209394</v>
      </c>
      <c r="V65" s="701"/>
      <c r="W65" s="701"/>
    </row>
    <row r="66" spans="1:23" x14ac:dyDescent="0.25">
      <c r="A66" s="701" t="s">
        <v>503</v>
      </c>
      <c r="B66" s="701"/>
      <c r="C66" s="717" t="s">
        <v>353</v>
      </c>
      <c r="D66" s="711">
        <f>Bilans_E_AMS_Kyoto_run3_MTE!H438</f>
        <v>8.5250206054687503</v>
      </c>
      <c r="E66" s="711">
        <f>Bilans_E_AMS_Kyoto_run3_MTE!I438</f>
        <v>-8.2879547974433478</v>
      </c>
      <c r="F66" s="711">
        <f>Bilans_E_AMS_Kyoto_run3_MTE!J438</f>
        <v>10.994009966120005</v>
      </c>
      <c r="G66" s="711">
        <f>Bilans_E_AMS_Kyoto_run3_MTE!K438</f>
        <v>0</v>
      </c>
      <c r="H66" s="711">
        <f>Bilans_E_AMS_Kyoto_run3_MTE!L438</f>
        <v>0</v>
      </c>
      <c r="I66" s="711">
        <f>Bilans_E_AMS_Kyoto_run3_MTE!M438</f>
        <v>0</v>
      </c>
      <c r="J66" s="711">
        <f>Bilans_E_AMS_Kyoto_run3_MTE!N438</f>
        <v>0</v>
      </c>
      <c r="K66" s="711">
        <f>Bilans_E_AMS_Kyoto_run3_MTE!O438</f>
        <v>0</v>
      </c>
      <c r="L66" s="711">
        <f>Bilans_E_AMS_Kyoto_run3_MTE!P438</f>
        <v>0</v>
      </c>
      <c r="M66" s="711">
        <f>Bilans_E_AMS_Kyoto_run3_MTE!Q438</f>
        <v>0</v>
      </c>
      <c r="N66" s="711">
        <f>Bilans_E_AMS_Kyoto_run3_MTE!R438</f>
        <v>0</v>
      </c>
      <c r="O66" s="711">
        <f>Bilans_E_AMS_Kyoto_run3_MTE!S438</f>
        <v>0</v>
      </c>
      <c r="P66" s="711">
        <f>Bilans_E_AMS_Kyoto_run3_MTE!T438+Bilans_E_AMS_Kyoto_run3_MTE!U438</f>
        <v>0</v>
      </c>
      <c r="Q66" s="711">
        <f>Bilans_E_AMS_Kyoto_run3_MTE!V438</f>
        <v>0</v>
      </c>
      <c r="R66" s="711">
        <f>Bilans_E_AMS_Kyoto_run3_MTE!W438</f>
        <v>0</v>
      </c>
      <c r="S66" s="711">
        <f>Bilans_E_AMS_Kyoto_run3_MTE!X438</f>
        <v>0</v>
      </c>
      <c r="T66" s="711">
        <f>Bilans_E_AMS_Kyoto_run3_MTE!Y438</f>
        <v>0</v>
      </c>
      <c r="U66" s="711">
        <f>Bilans_E_AMS_Kyoto_run3_MTE!Z438</f>
        <v>11.231075774145408</v>
      </c>
      <c r="V66" s="701"/>
      <c r="W66" s="701"/>
    </row>
    <row r="67" spans="1:23" x14ac:dyDescent="0.25">
      <c r="A67" s="701" t="s">
        <v>504</v>
      </c>
      <c r="B67" s="701"/>
      <c r="C67" s="717" t="s">
        <v>75</v>
      </c>
      <c r="D67" s="711">
        <f>Bilans_E_AMS_Kyoto_run3_MTE!H439</f>
        <v>3.3152857910156257</v>
      </c>
      <c r="E67" s="711">
        <f>Bilans_E_AMS_Kyoto_run3_MTE!I439</f>
        <v>0</v>
      </c>
      <c r="F67" s="711">
        <f>Bilans_E_AMS_Kyoto_run3_MTE!J439</f>
        <v>8.217345528971137</v>
      </c>
      <c r="G67" s="711">
        <f>Bilans_E_AMS_Kyoto_run3_MTE!K439</f>
        <v>0</v>
      </c>
      <c r="H67" s="711">
        <f>Bilans_E_AMS_Kyoto_run3_MTE!L439</f>
        <v>0</v>
      </c>
      <c r="I67" s="711">
        <f>Bilans_E_AMS_Kyoto_run3_MTE!M439</f>
        <v>0</v>
      </c>
      <c r="J67" s="711">
        <f>Bilans_E_AMS_Kyoto_run3_MTE!N439</f>
        <v>0</v>
      </c>
      <c r="K67" s="711">
        <f>Bilans_E_AMS_Kyoto_run3_MTE!O439</f>
        <v>0</v>
      </c>
      <c r="L67" s="711">
        <f>Bilans_E_AMS_Kyoto_run3_MTE!P439</f>
        <v>0</v>
      </c>
      <c r="M67" s="711">
        <f>Bilans_E_AMS_Kyoto_run3_MTE!Q439</f>
        <v>0</v>
      </c>
      <c r="N67" s="711">
        <f>Bilans_E_AMS_Kyoto_run3_MTE!R439</f>
        <v>0</v>
      </c>
      <c r="O67" s="711">
        <f>Bilans_E_AMS_Kyoto_run3_MTE!S439</f>
        <v>0</v>
      </c>
      <c r="P67" s="711">
        <f>Bilans_E_AMS_Kyoto_run3_MTE!T439+Bilans_E_AMS_Kyoto_run3_MTE!U439</f>
        <v>0</v>
      </c>
      <c r="Q67" s="711">
        <f>Bilans_E_AMS_Kyoto_run3_MTE!V439</f>
        <v>0</v>
      </c>
      <c r="R67" s="711">
        <f>Bilans_E_AMS_Kyoto_run3_MTE!W439</f>
        <v>38.800105175182054</v>
      </c>
      <c r="S67" s="711">
        <f>Bilans_E_AMS_Kyoto_run3_MTE!X439</f>
        <v>0</v>
      </c>
      <c r="T67" s="711">
        <f>Bilans_E_AMS_Kyoto_run3_MTE!Y439</f>
        <v>2.3301224997410235</v>
      </c>
      <c r="U67" s="711">
        <f>Bilans_E_AMS_Kyoto_run3_MTE!Z439</f>
        <v>52.66285899490984</v>
      </c>
      <c r="V67" s="701"/>
      <c r="W67" s="701"/>
    </row>
    <row r="68" spans="1:23" x14ac:dyDescent="0.25">
      <c r="A68" s="701" t="s">
        <v>505</v>
      </c>
      <c r="B68" s="701"/>
      <c r="C68" s="717" t="s">
        <v>76</v>
      </c>
      <c r="D68" s="711">
        <f>Bilans_E_AMS_Kyoto_run3_MTE!H440</f>
        <v>0</v>
      </c>
      <c r="E68" s="711">
        <f>Bilans_E_AMS_Kyoto_run3_MTE!I440</f>
        <v>0</v>
      </c>
      <c r="F68" s="711">
        <f>Bilans_E_AMS_Kyoto_run3_MTE!J440</f>
        <v>0</v>
      </c>
      <c r="G68" s="711">
        <f>Bilans_E_AMS_Kyoto_run3_MTE!K440</f>
        <v>0</v>
      </c>
      <c r="H68" s="711">
        <f>Bilans_E_AMS_Kyoto_run3_MTE!L440</f>
        <v>1.1543235485411594</v>
      </c>
      <c r="I68" s="711">
        <f>Bilans_E_AMS_Kyoto_run3_MTE!M440</f>
        <v>0</v>
      </c>
      <c r="J68" s="711">
        <f>Bilans_E_AMS_Kyoto_run3_MTE!N440</f>
        <v>0</v>
      </c>
      <c r="K68" s="711">
        <f>Bilans_E_AMS_Kyoto_run3_MTE!O440</f>
        <v>0</v>
      </c>
      <c r="L68" s="711">
        <f>Bilans_E_AMS_Kyoto_run3_MTE!P440</f>
        <v>0</v>
      </c>
      <c r="M68" s="711">
        <f>Bilans_E_AMS_Kyoto_run3_MTE!Q440</f>
        <v>0</v>
      </c>
      <c r="N68" s="711">
        <f>Bilans_E_AMS_Kyoto_run3_MTE!R440</f>
        <v>0</v>
      </c>
      <c r="O68" s="711">
        <f>Bilans_E_AMS_Kyoto_run3_MTE!S440</f>
        <v>0.76954903236077299</v>
      </c>
      <c r="P68" s="711">
        <f>Bilans_E_AMS_Kyoto_run3_MTE!T440+Bilans_E_AMS_Kyoto_run3_MTE!U440</f>
        <v>0</v>
      </c>
      <c r="Q68" s="711">
        <f>Bilans_E_AMS_Kyoto_run3_MTE!V440</f>
        <v>0</v>
      </c>
      <c r="R68" s="711">
        <f>Bilans_E_AMS_Kyoto_run3_MTE!W440</f>
        <v>55.568340190332414</v>
      </c>
      <c r="S68" s="711">
        <f>Bilans_E_AMS_Kyoto_run3_MTE!X440</f>
        <v>7.0126401757775509</v>
      </c>
      <c r="T68" s="711">
        <f>Bilans_E_AMS_Kyoto_run3_MTE!Y440</f>
        <v>0</v>
      </c>
      <c r="U68" s="711">
        <f>Bilans_E_AMS_Kyoto_run3_MTE!Z440</f>
        <v>64.504852947011898</v>
      </c>
      <c r="V68" s="701"/>
      <c r="W68" s="701"/>
    </row>
    <row r="69" spans="1:23" x14ac:dyDescent="0.25">
      <c r="A69" s="701" t="s">
        <v>506</v>
      </c>
      <c r="B69" s="701"/>
      <c r="C69" s="713" t="s">
        <v>77</v>
      </c>
      <c r="D69" s="714">
        <f>Bilans_E_AMS_Kyoto_run3_MTE!H441</f>
        <v>11.840306396484376</v>
      </c>
      <c r="E69" s="714">
        <f>Bilans_E_AMS_Kyoto_run3_MTE!I441</f>
        <v>228.52698065701114</v>
      </c>
      <c r="F69" s="714">
        <f>Bilans_E_AMS_Kyoto_run3_MTE!J441</f>
        <v>-215.16927865141872</v>
      </c>
      <c r="G69" s="714">
        <f>Bilans_E_AMS_Kyoto_run3_MTE!K441</f>
        <v>-5.3675968512762449</v>
      </c>
      <c r="H69" s="714">
        <f>Bilans_E_AMS_Kyoto_run3_MTE!L441</f>
        <v>14.951693796815011</v>
      </c>
      <c r="I69" s="714">
        <f>Bilans_E_AMS_Kyoto_run3_MTE!M441</f>
        <v>-0.99259685127624475</v>
      </c>
      <c r="J69" s="714">
        <f>Bilans_E_AMS_Kyoto_run3_MTE!N441</f>
        <v>1217.3350254612858</v>
      </c>
      <c r="K69" s="714">
        <f>Bilans_E_AMS_Kyoto_run3_MTE!O441</f>
        <v>388.29502398919544</v>
      </c>
      <c r="L69" s="714">
        <f>Bilans_E_AMS_Kyoto_run3_MTE!P441</f>
        <v>255.15325459036612</v>
      </c>
      <c r="M69" s="714">
        <f>Bilans_E_AMS_Kyoto_run3_MTE!Q441</f>
        <v>38.768704949841634</v>
      </c>
      <c r="N69" s="714">
        <f>Bilans_E_AMS_Kyoto_run3_MTE!R441</f>
        <v>-49.800698638984656</v>
      </c>
      <c r="O69" s="714">
        <f>Bilans_E_AMS_Kyoto_run3_MTE!S441</f>
        <v>-56.411694494246213</v>
      </c>
      <c r="P69" s="714">
        <f>Bilans_E_AMS_Kyoto_run3_MTE!T441+Bilans_E_AMS_Kyoto_run3_MTE!U441</f>
        <v>17.004200785241363</v>
      </c>
      <c r="Q69" s="714">
        <f>Bilans_E_AMS_Kyoto_run3_MTE!V441</f>
        <v>22.157257652094906</v>
      </c>
      <c r="R69" s="714">
        <f>Bilans_E_AMS_Kyoto_run3_MTE!W441</f>
        <v>-664.74747380843064</v>
      </c>
      <c r="S69" s="714">
        <f>Bilans_E_AMS_Kyoto_run3_MTE!X441</f>
        <v>-83.423802565967307</v>
      </c>
      <c r="T69" s="714">
        <f>Bilans_E_AMS_Kyoto_run3_MTE!Y441</f>
        <v>-19.246415638918862</v>
      </c>
      <c r="U69" s="714">
        <f>Bilans_E_AMS_Kyoto_run3_MTE!Z441</f>
        <v>1098.8728907778168</v>
      </c>
      <c r="V69" s="701"/>
      <c r="W69" s="701"/>
    </row>
    <row r="70" spans="1:23" x14ac:dyDescent="0.25">
      <c r="A70" s="701"/>
      <c r="B70" s="701"/>
      <c r="C70" s="715"/>
      <c r="D70" s="716"/>
      <c r="E70" s="716"/>
      <c r="F70" s="716"/>
      <c r="G70" s="716"/>
      <c r="H70" s="716"/>
      <c r="I70" s="716"/>
      <c r="J70" s="716"/>
      <c r="K70" s="716"/>
      <c r="L70" s="716"/>
      <c r="M70" s="716"/>
      <c r="N70" s="716"/>
      <c r="O70" s="716"/>
      <c r="P70" s="716">
        <f>Bilans_E_AMS_Kyoto_run3_MTE!T442+Bilans_E_AMS_Kyoto_run3_MTE!U442</f>
        <v>0</v>
      </c>
      <c r="Q70" s="716"/>
      <c r="R70" s="716"/>
      <c r="S70" s="716"/>
      <c r="T70" s="716"/>
      <c r="U70" s="716"/>
      <c r="V70" s="701"/>
      <c r="W70" s="701"/>
    </row>
    <row r="71" spans="1:23" x14ac:dyDescent="0.25">
      <c r="A71" s="701" t="s">
        <v>507</v>
      </c>
      <c r="B71" s="701"/>
      <c r="C71" s="717" t="s">
        <v>78</v>
      </c>
      <c r="D71" s="711">
        <f>Bilans_E_AMS_Kyoto_run3_MTE!H443</f>
        <v>0.31248754882812502</v>
      </c>
      <c r="E71" s="711">
        <f>Bilans_E_AMS_Kyoto_run3_MTE!I443</f>
        <v>0</v>
      </c>
      <c r="F71" s="711">
        <f>Bilans_E_AMS_Kyoto_run3_MTE!J443</f>
        <v>3.1554639427466697</v>
      </c>
      <c r="G71" s="711">
        <f>Bilans_E_AMS_Kyoto_run3_MTE!K443</f>
        <v>0</v>
      </c>
      <c r="H71" s="711">
        <f>Bilans_E_AMS_Kyoto_run3_MTE!L443</f>
        <v>37.01033714688981</v>
      </c>
      <c r="I71" s="711">
        <f>Bilans_E_AMS_Kyoto_run3_MTE!M443</f>
        <v>0</v>
      </c>
      <c r="J71" s="711">
        <f>Bilans_E_AMS_Kyoto_run3_MTE!N443</f>
        <v>0</v>
      </c>
      <c r="K71" s="711">
        <f>Bilans_E_AMS_Kyoto_run3_MTE!O443</f>
        <v>0</v>
      </c>
      <c r="L71" s="711">
        <f>Bilans_E_AMS_Kyoto_run3_MTE!P443</f>
        <v>37.391289864504934</v>
      </c>
      <c r="M71" s="711">
        <f>Bilans_E_AMS_Kyoto_run3_MTE!Q443</f>
        <v>8.8042095890605694</v>
      </c>
      <c r="N71" s="711">
        <f>Bilans_E_AMS_Kyoto_run3_MTE!R443</f>
        <v>0.65571165030445222</v>
      </c>
      <c r="O71" s="711">
        <f>Bilans_E_AMS_Kyoto_run3_MTE!S443</f>
        <v>24.712220905509611</v>
      </c>
      <c r="P71" s="711">
        <f>Bilans_E_AMS_Kyoto_run3_MTE!T443+Bilans_E_AMS_Kyoto_run3_MTE!U443</f>
        <v>10.938740234375</v>
      </c>
      <c r="Q71" s="711">
        <f>Bilans_E_AMS_Kyoto_run3_MTE!V443</f>
        <v>7.8820466826144567E-4</v>
      </c>
      <c r="R71" s="711">
        <f>Bilans_E_AMS_Kyoto_run3_MTE!W443</f>
        <v>154.95335920514725</v>
      </c>
      <c r="S71" s="711">
        <f>Bilans_E_AMS_Kyoto_run3_MTE!X443</f>
        <v>19.589550837757145</v>
      </c>
      <c r="T71" s="711">
        <f>Bilans_E_AMS_Kyoto_run3_MTE!Y443</f>
        <v>8.8214501953125009</v>
      </c>
      <c r="U71" s="711">
        <f>Bilans_E_AMS_Kyoto_run3_MTE!Z443</f>
        <v>306.34560932510431</v>
      </c>
      <c r="V71" s="701"/>
      <c r="W71" s="701"/>
    </row>
    <row r="72" spans="1:23" x14ac:dyDescent="0.25">
      <c r="A72" s="701" t="s">
        <v>508</v>
      </c>
      <c r="B72" s="701"/>
      <c r="C72" s="717" t="s">
        <v>79</v>
      </c>
      <c r="D72" s="711">
        <f>Bilans_E_AMS_Kyoto_run3_MTE!H444</f>
        <v>0</v>
      </c>
      <c r="E72" s="711">
        <f>Bilans_E_AMS_Kyoto_run3_MTE!I444</f>
        <v>0</v>
      </c>
      <c r="F72" s="711">
        <f>Bilans_E_AMS_Kyoto_run3_MTE!J444</f>
        <v>101.77401649068347</v>
      </c>
      <c r="G72" s="711">
        <f>Bilans_E_AMS_Kyoto_run3_MTE!K444</f>
        <v>1</v>
      </c>
      <c r="H72" s="711">
        <f>Bilans_E_AMS_Kyoto_run3_MTE!L444</f>
        <v>4.5438942798277537</v>
      </c>
      <c r="I72" s="711">
        <f>Bilans_E_AMS_Kyoto_run3_MTE!M444</f>
        <v>0</v>
      </c>
      <c r="J72" s="711">
        <f>Bilans_E_AMS_Kyoto_run3_MTE!N444</f>
        <v>0</v>
      </c>
      <c r="K72" s="711">
        <f>Bilans_E_AMS_Kyoto_run3_MTE!O444</f>
        <v>0</v>
      </c>
      <c r="L72" s="711">
        <f>Bilans_E_AMS_Kyoto_run3_MTE!P444</f>
        <v>0</v>
      </c>
      <c r="M72" s="711">
        <f>Bilans_E_AMS_Kyoto_run3_MTE!Q444</f>
        <v>0</v>
      </c>
      <c r="N72" s="711">
        <f>Bilans_E_AMS_Kyoto_run3_MTE!R444</f>
        <v>35.960574276816558</v>
      </c>
      <c r="O72" s="711">
        <f>Bilans_E_AMS_Kyoto_run3_MTE!S444</f>
        <v>3.0292628532185026</v>
      </c>
      <c r="P72" s="711">
        <f>Bilans_E_AMS_Kyoto_run3_MTE!T444+Bilans_E_AMS_Kyoto_run3_MTE!U444</f>
        <v>0</v>
      </c>
      <c r="Q72" s="711">
        <f>Bilans_E_AMS_Kyoto_run3_MTE!V444</f>
        <v>0</v>
      </c>
      <c r="R72" s="711">
        <f>Bilans_E_AMS_Kyoto_run3_MTE!W444</f>
        <v>98.588545998647945</v>
      </c>
      <c r="S72" s="711">
        <f>Bilans_E_AMS_Kyoto_run3_MTE!X444</f>
        <v>0</v>
      </c>
      <c r="T72" s="711">
        <f>Bilans_E_AMS_Kyoto_run3_MTE!Y444</f>
        <v>4.4541562271539039</v>
      </c>
      <c r="U72" s="711">
        <f>Bilans_E_AMS_Kyoto_run3_MTE!Z444</f>
        <v>249.35045012634814</v>
      </c>
      <c r="V72" s="701"/>
      <c r="W72" s="701"/>
    </row>
    <row r="73" spans="1:23" x14ac:dyDescent="0.25">
      <c r="A73" s="701" t="s">
        <v>509</v>
      </c>
      <c r="B73" s="701"/>
      <c r="C73" s="717" t="s">
        <v>80</v>
      </c>
      <c r="D73" s="711">
        <f>Bilans_E_AMS_Kyoto_run3_MTE!H445</f>
        <v>0</v>
      </c>
      <c r="E73" s="711">
        <f>Bilans_E_AMS_Kyoto_run3_MTE!I445</f>
        <v>0</v>
      </c>
      <c r="F73" s="711">
        <f>Bilans_E_AMS_Kyoto_run3_MTE!J445</f>
        <v>0.45829125770018231</v>
      </c>
      <c r="G73" s="711">
        <f>Bilans_E_AMS_Kyoto_run3_MTE!K445</f>
        <v>0</v>
      </c>
      <c r="H73" s="711">
        <f>Bilans_E_AMS_Kyoto_run3_MTE!L445</f>
        <v>23.558204689169596</v>
      </c>
      <c r="I73" s="711">
        <f>Bilans_E_AMS_Kyoto_run3_MTE!M445</f>
        <v>0</v>
      </c>
      <c r="J73" s="711">
        <f>Bilans_E_AMS_Kyoto_run3_MTE!N445</f>
        <v>0</v>
      </c>
      <c r="K73" s="711">
        <f>Bilans_E_AMS_Kyoto_run3_MTE!O445</f>
        <v>0</v>
      </c>
      <c r="L73" s="711">
        <f>Bilans_E_AMS_Kyoto_run3_MTE!P445</f>
        <v>44.494417008077924</v>
      </c>
      <c r="M73" s="711">
        <f>Bilans_E_AMS_Kyoto_run3_MTE!Q445</f>
        <v>0</v>
      </c>
      <c r="N73" s="711">
        <f>Bilans_E_AMS_Kyoto_run3_MTE!R445</f>
        <v>0</v>
      </c>
      <c r="O73" s="711">
        <f>Bilans_E_AMS_Kyoto_run3_MTE!S445</f>
        <v>15.705469792779732</v>
      </c>
      <c r="P73" s="711">
        <f>Bilans_E_AMS_Kyoto_run3_MTE!T445+Bilans_E_AMS_Kyoto_run3_MTE!U445</f>
        <v>136.92844956569715</v>
      </c>
      <c r="Q73" s="711">
        <f>Bilans_E_AMS_Kyoto_run3_MTE!V445</f>
        <v>11.112810725871574</v>
      </c>
      <c r="R73" s="711">
        <f>Bilans_E_AMS_Kyoto_run3_MTE!W445</f>
        <v>151.24868898897191</v>
      </c>
      <c r="S73" s="711">
        <f>Bilans_E_AMS_Kyoto_run3_MTE!X445</f>
        <v>40.573888251039236</v>
      </c>
      <c r="T73" s="711">
        <f>Bilans_E_AMS_Kyoto_run3_MTE!Y445</f>
        <v>0</v>
      </c>
      <c r="U73" s="711">
        <f>Bilans_E_AMS_Kyoto_run3_MTE!Z445</f>
        <v>424.0802202793073</v>
      </c>
      <c r="V73" s="701"/>
      <c r="W73" s="701"/>
    </row>
    <row r="74" spans="1:23" x14ac:dyDescent="0.25">
      <c r="A74" s="701" t="s">
        <v>510</v>
      </c>
      <c r="B74" s="701"/>
      <c r="C74" s="717" t="s">
        <v>81</v>
      </c>
      <c r="D74" s="711">
        <f>Bilans_E_AMS_Kyoto_run3_MTE!H446</f>
        <v>0</v>
      </c>
      <c r="E74" s="711">
        <f>Bilans_E_AMS_Kyoto_run3_MTE!I446</f>
        <v>0</v>
      </c>
      <c r="F74" s="711">
        <f>Bilans_E_AMS_Kyoto_run3_MTE!J446</f>
        <v>0.72441471608254671</v>
      </c>
      <c r="G74" s="711">
        <f>Bilans_E_AMS_Kyoto_run3_MTE!K446</f>
        <v>0</v>
      </c>
      <c r="H74" s="711">
        <f>Bilans_E_AMS_Kyoto_run3_MTE!L446</f>
        <v>16.529932147980702</v>
      </c>
      <c r="I74" s="711">
        <f>Bilans_E_AMS_Kyoto_run3_MTE!M446</f>
        <v>0</v>
      </c>
      <c r="J74" s="711">
        <f>Bilans_E_AMS_Kyoto_run3_MTE!N446</f>
        <v>0</v>
      </c>
      <c r="K74" s="711">
        <f>Bilans_E_AMS_Kyoto_run3_MTE!O446</f>
        <v>0</v>
      </c>
      <c r="L74" s="711">
        <f>Bilans_E_AMS_Kyoto_run3_MTE!P446</f>
        <v>0.53348745170182088</v>
      </c>
      <c r="M74" s="711">
        <f>Bilans_E_AMS_Kyoto_run3_MTE!Q446</f>
        <v>0</v>
      </c>
      <c r="N74" s="711">
        <f>Bilans_E_AMS_Kyoto_run3_MTE!R446</f>
        <v>0</v>
      </c>
      <c r="O74" s="711">
        <f>Bilans_E_AMS_Kyoto_run3_MTE!S446</f>
        <v>11.019954765320469</v>
      </c>
      <c r="P74" s="711">
        <f>Bilans_E_AMS_Kyoto_run3_MTE!T446+Bilans_E_AMS_Kyoto_run3_MTE!U446</f>
        <v>52.106590615041483</v>
      </c>
      <c r="Q74" s="711">
        <f>Bilans_E_AMS_Kyoto_run3_MTE!V446</f>
        <v>10.099133053150796</v>
      </c>
      <c r="R74" s="711">
        <f>Bilans_E_AMS_Kyoto_run3_MTE!W446</f>
        <v>121.37238070067973</v>
      </c>
      <c r="S74" s="711">
        <f>Bilans_E_AMS_Kyoto_run3_MTE!X446</f>
        <v>23.260331591038877</v>
      </c>
      <c r="T74" s="711">
        <f>Bilans_E_AMS_Kyoto_run3_MTE!Y446</f>
        <v>0</v>
      </c>
      <c r="U74" s="711">
        <f>Bilans_E_AMS_Kyoto_run3_MTE!Z446</f>
        <v>235.6462250409964</v>
      </c>
      <c r="V74" s="701"/>
      <c r="W74" s="701"/>
    </row>
    <row r="75" spans="1:23" x14ac:dyDescent="0.25">
      <c r="A75" s="701" t="s">
        <v>511</v>
      </c>
      <c r="B75" s="701"/>
      <c r="C75" s="717" t="s">
        <v>82</v>
      </c>
      <c r="D75" s="711">
        <f>Bilans_E_AMS_Kyoto_run3_MTE!H447</f>
        <v>0</v>
      </c>
      <c r="E75" s="711">
        <f>Bilans_E_AMS_Kyoto_run3_MTE!I447</f>
        <v>0</v>
      </c>
      <c r="F75" s="711">
        <f>Bilans_E_AMS_Kyoto_run3_MTE!J447</f>
        <v>13.844421020879521</v>
      </c>
      <c r="G75" s="711">
        <f>Bilans_E_AMS_Kyoto_run3_MTE!K447</f>
        <v>0</v>
      </c>
      <c r="H75" s="711">
        <f>Bilans_E_AMS_Kyoto_run3_MTE!L447</f>
        <v>0.75389053295489317</v>
      </c>
      <c r="I75" s="711">
        <f>Bilans_E_AMS_Kyoto_run3_MTE!M447</f>
        <v>0</v>
      </c>
      <c r="J75" s="711">
        <f>Bilans_E_AMS_Kyoto_run3_MTE!N447</f>
        <v>0</v>
      </c>
      <c r="K75" s="711">
        <f>Bilans_E_AMS_Kyoto_run3_MTE!O447</f>
        <v>0</v>
      </c>
      <c r="L75" s="711">
        <f>Bilans_E_AMS_Kyoto_run3_MTE!P447</f>
        <v>15.52633161671044</v>
      </c>
      <c r="M75" s="711">
        <f>Bilans_E_AMS_Kyoto_run3_MTE!Q447</f>
        <v>0</v>
      </c>
      <c r="N75" s="711">
        <f>Bilans_E_AMS_Kyoto_run3_MTE!R447</f>
        <v>6.9560280843062596</v>
      </c>
      <c r="O75" s="711">
        <f>Bilans_E_AMS_Kyoto_run3_MTE!S447</f>
        <v>0.50259368863659548</v>
      </c>
      <c r="P75" s="711">
        <f>Bilans_E_AMS_Kyoto_run3_MTE!T447+Bilans_E_AMS_Kyoto_run3_MTE!U447</f>
        <v>1</v>
      </c>
      <c r="Q75" s="711">
        <f>Bilans_E_AMS_Kyoto_run3_MTE!V447</f>
        <v>1.300620381405156</v>
      </c>
      <c r="R75" s="711">
        <f>Bilans_E_AMS_Kyoto_run3_MTE!W447</f>
        <v>9.5059865656589242</v>
      </c>
      <c r="S75" s="711">
        <f>Bilans_E_AMS_Kyoto_run3_MTE!X447</f>
        <v>0</v>
      </c>
      <c r="T75" s="711">
        <f>Bilans_E_AMS_Kyoto_run3_MTE!Y447</f>
        <v>0.43956597389567681</v>
      </c>
      <c r="U75" s="711">
        <f>Bilans_E_AMS_Kyoto_run3_MTE!Z447</f>
        <v>49.829437864447456</v>
      </c>
      <c r="V75" s="701"/>
      <c r="W75" s="701"/>
    </row>
    <row r="76" spans="1:23" x14ac:dyDescent="0.25">
      <c r="A76" s="701" t="s">
        <v>512</v>
      </c>
      <c r="B76" s="701"/>
      <c r="C76" s="717" t="s">
        <v>354</v>
      </c>
      <c r="D76" s="711">
        <f>Bilans_E_AMS_Kyoto_run3_MTE!H448</f>
        <v>0</v>
      </c>
      <c r="E76" s="711">
        <f>Bilans_E_AMS_Kyoto_run3_MTE!I448</f>
        <v>0</v>
      </c>
      <c r="F76" s="711">
        <f>Bilans_E_AMS_Kyoto_run3_MTE!J448</f>
        <v>0</v>
      </c>
      <c r="G76" s="711">
        <f>Bilans_E_AMS_Kyoto_run3_MTE!K448</f>
        <v>0</v>
      </c>
      <c r="H76" s="711">
        <f>Bilans_E_AMS_Kyoto_run3_MTE!L448</f>
        <v>0</v>
      </c>
      <c r="I76" s="711">
        <f>Bilans_E_AMS_Kyoto_run3_MTE!M448</f>
        <v>0</v>
      </c>
      <c r="J76" s="711">
        <f>Bilans_E_AMS_Kyoto_run3_MTE!N448</f>
        <v>0</v>
      </c>
      <c r="K76" s="711">
        <f>Bilans_E_AMS_Kyoto_run3_MTE!O448</f>
        <v>0</v>
      </c>
      <c r="L76" s="711">
        <f>Bilans_E_AMS_Kyoto_run3_MTE!P448</f>
        <v>0</v>
      </c>
      <c r="M76" s="711">
        <f>Bilans_E_AMS_Kyoto_run3_MTE!Q448</f>
        <v>0</v>
      </c>
      <c r="N76" s="711">
        <f>Bilans_E_AMS_Kyoto_run3_MTE!R448</f>
        <v>0</v>
      </c>
      <c r="O76" s="711">
        <f>Bilans_E_AMS_Kyoto_run3_MTE!S448</f>
        <v>0</v>
      </c>
      <c r="P76" s="711">
        <f>Bilans_E_AMS_Kyoto_run3_MTE!T448+Bilans_E_AMS_Kyoto_run3_MTE!U448</f>
        <v>0</v>
      </c>
      <c r="Q76" s="711">
        <f>Bilans_E_AMS_Kyoto_run3_MTE!V448</f>
        <v>0</v>
      </c>
      <c r="R76" s="711">
        <f>Bilans_E_AMS_Kyoto_run3_MTE!W448</f>
        <v>3.6</v>
      </c>
      <c r="S76" s="711">
        <f>Bilans_E_AMS_Kyoto_run3_MTE!X448</f>
        <v>0</v>
      </c>
      <c r="T76" s="711">
        <f>Bilans_E_AMS_Kyoto_run3_MTE!Y448</f>
        <v>0</v>
      </c>
      <c r="U76" s="711">
        <f>Bilans_E_AMS_Kyoto_run3_MTE!Z448</f>
        <v>3.6</v>
      </c>
      <c r="V76" s="701"/>
      <c r="W76" s="701"/>
    </row>
    <row r="77" spans="1:23" x14ac:dyDescent="0.25">
      <c r="A77" s="701" t="s">
        <v>513</v>
      </c>
      <c r="B77" s="701"/>
      <c r="C77" s="713" t="s">
        <v>83</v>
      </c>
      <c r="D77" s="714">
        <f>Bilans_E_AMS_Kyoto_run3_MTE!H449</f>
        <v>0.31248754882812502</v>
      </c>
      <c r="E77" s="714">
        <f>Bilans_E_AMS_Kyoto_run3_MTE!I449</f>
        <v>0</v>
      </c>
      <c r="F77" s="714">
        <f>Bilans_E_AMS_Kyoto_run3_MTE!J449</f>
        <v>119.95660742809238</v>
      </c>
      <c r="G77" s="714">
        <f>Bilans_E_AMS_Kyoto_run3_MTE!K449</f>
        <v>1</v>
      </c>
      <c r="H77" s="714">
        <f>Bilans_E_AMS_Kyoto_run3_MTE!L449</f>
        <v>82.396258796822764</v>
      </c>
      <c r="I77" s="714">
        <f>Bilans_E_AMS_Kyoto_run3_MTE!M449</f>
        <v>0</v>
      </c>
      <c r="J77" s="714">
        <f>Bilans_E_AMS_Kyoto_run3_MTE!N449</f>
        <v>0</v>
      </c>
      <c r="K77" s="714">
        <f>Bilans_E_AMS_Kyoto_run3_MTE!O449</f>
        <v>0</v>
      </c>
      <c r="L77" s="714">
        <f>Bilans_E_AMS_Kyoto_run3_MTE!P449</f>
        <v>97.945525940995111</v>
      </c>
      <c r="M77" s="714">
        <f>Bilans_E_AMS_Kyoto_run3_MTE!Q449</f>
        <v>8.8042095890605694</v>
      </c>
      <c r="N77" s="714">
        <f>Bilans_E_AMS_Kyoto_run3_MTE!R449</f>
        <v>43.572314011427274</v>
      </c>
      <c r="O77" s="714">
        <f>Bilans_E_AMS_Kyoto_run3_MTE!S449</f>
        <v>54.969502005464911</v>
      </c>
      <c r="P77" s="714">
        <f>Bilans_E_AMS_Kyoto_run3_MTE!T449+Bilans_E_AMS_Kyoto_run3_MTE!U449</f>
        <v>200.97378041511362</v>
      </c>
      <c r="Q77" s="714">
        <f>Bilans_E_AMS_Kyoto_run3_MTE!V449</f>
        <v>22.513352365095788</v>
      </c>
      <c r="R77" s="714">
        <f>Bilans_E_AMS_Kyoto_run3_MTE!W449</f>
        <v>539.26896145910575</v>
      </c>
      <c r="S77" s="714">
        <f>Bilans_E_AMS_Kyoto_run3_MTE!X449</f>
        <v>83.423770679835258</v>
      </c>
      <c r="T77" s="714">
        <f>Bilans_E_AMS_Kyoto_run3_MTE!Y449</f>
        <v>13.715172396362082</v>
      </c>
      <c r="U77" s="714">
        <f>Bilans_E_AMS_Kyoto_run3_MTE!Z449</f>
        <v>1268.8519426362036</v>
      </c>
      <c r="V77" s="701"/>
      <c r="W77" s="701"/>
    </row>
    <row r="78" spans="1:23" x14ac:dyDescent="0.25">
      <c r="A78" s="701" t="s">
        <v>514</v>
      </c>
      <c r="B78" s="701"/>
      <c r="C78" s="710" t="s">
        <v>84</v>
      </c>
      <c r="D78" s="711">
        <f>Bilans_E_AMS_Kyoto_run3_MTE!H450</f>
        <v>0</v>
      </c>
      <c r="E78" s="711">
        <f>Bilans_E_AMS_Kyoto_run3_MTE!I450</f>
        <v>0</v>
      </c>
      <c r="F78" s="711">
        <f>Bilans_E_AMS_Kyoto_run3_MTE!J450</f>
        <v>102.03544321387012</v>
      </c>
      <c r="G78" s="711">
        <f>Bilans_E_AMS_Kyoto_run3_MTE!K450</f>
        <v>2.4611725721851321</v>
      </c>
      <c r="H78" s="711">
        <f>Bilans_E_AMS_Kyoto_run3_MTE!L450</f>
        <v>12.555456003161671</v>
      </c>
      <c r="I78" s="711">
        <f>Bilans_E_AMS_Kyoto_run3_MTE!M450</f>
        <v>0</v>
      </c>
      <c r="J78" s="711">
        <f>Bilans_E_AMS_Kyoto_run3_MTE!N450</f>
        <v>0</v>
      </c>
      <c r="K78" s="711">
        <f>Bilans_E_AMS_Kyoto_run3_MTE!O450</f>
        <v>0</v>
      </c>
      <c r="L78" s="711">
        <f>Bilans_E_AMS_Kyoto_run3_MTE!P450</f>
        <v>0.48630321782953712</v>
      </c>
      <c r="M78" s="711">
        <f>Bilans_E_AMS_Kyoto_run3_MTE!Q450</f>
        <v>0</v>
      </c>
      <c r="N78" s="711">
        <f>Bilans_E_AMS_Kyoto_run3_MTE!R450</f>
        <v>3.8692083880096835</v>
      </c>
      <c r="O78" s="711">
        <f>Bilans_E_AMS_Kyoto_run3_MTE!S450</f>
        <v>0</v>
      </c>
      <c r="P78" s="711">
        <f>Bilans_E_AMS_Kyoto_run3_MTE!T450+Bilans_E_AMS_Kyoto_run3_MTE!U450</f>
        <v>0</v>
      </c>
      <c r="Q78" s="711">
        <f>Bilans_E_AMS_Kyoto_run3_MTE!V450</f>
        <v>0</v>
      </c>
      <c r="R78" s="711">
        <f>Bilans_E_AMS_Kyoto_run3_MTE!W450</f>
        <v>0</v>
      </c>
      <c r="S78" s="711">
        <f>Bilans_E_AMS_Kyoto_run3_MTE!X450</f>
        <v>0</v>
      </c>
      <c r="T78" s="711">
        <f>Bilans_E_AMS_Kyoto_run3_MTE!Y450</f>
        <v>1.8671101278544562</v>
      </c>
      <c r="U78" s="711">
        <f>Bilans_E_AMS_Kyoto_run3_MTE!Z450</f>
        <v>123.27469352291061</v>
      </c>
      <c r="V78" s="701"/>
      <c r="W78" s="701"/>
    </row>
    <row r="79" spans="1:23" x14ac:dyDescent="0.25">
      <c r="A79" s="701" t="s">
        <v>515</v>
      </c>
      <c r="B79" s="701"/>
      <c r="C79" s="713" t="s">
        <v>85</v>
      </c>
      <c r="D79" s="714">
        <f>Bilans_E_AMS_Kyoto_run3_MTE!H451</f>
        <v>0.31248754882812502</v>
      </c>
      <c r="E79" s="714">
        <f>Bilans_E_AMS_Kyoto_run3_MTE!I451</f>
        <v>0</v>
      </c>
      <c r="F79" s="714">
        <f>Bilans_E_AMS_Kyoto_run3_MTE!J451</f>
        <v>221.99205064196252</v>
      </c>
      <c r="G79" s="714">
        <f>Bilans_E_AMS_Kyoto_run3_MTE!K451</f>
        <v>3.4611725721851321</v>
      </c>
      <c r="H79" s="714">
        <f>Bilans_E_AMS_Kyoto_run3_MTE!L451</f>
        <v>94.95171479998443</v>
      </c>
      <c r="I79" s="714">
        <f>Bilans_E_AMS_Kyoto_run3_MTE!M451</f>
        <v>0</v>
      </c>
      <c r="J79" s="714">
        <f>Bilans_E_AMS_Kyoto_run3_MTE!N451</f>
        <v>0</v>
      </c>
      <c r="K79" s="714">
        <f>Bilans_E_AMS_Kyoto_run3_MTE!O451</f>
        <v>0</v>
      </c>
      <c r="L79" s="714">
        <f>Bilans_E_AMS_Kyoto_run3_MTE!P451</f>
        <v>98.431829158824655</v>
      </c>
      <c r="M79" s="714">
        <f>Bilans_E_AMS_Kyoto_run3_MTE!Q451</f>
        <v>8.8042095890605694</v>
      </c>
      <c r="N79" s="714">
        <f>Bilans_E_AMS_Kyoto_run3_MTE!R451</f>
        <v>47.441522399436955</v>
      </c>
      <c r="O79" s="714">
        <f>Bilans_E_AMS_Kyoto_run3_MTE!S451</f>
        <v>54.969502005464911</v>
      </c>
      <c r="P79" s="714">
        <f>Bilans_E_AMS_Kyoto_run3_MTE!T451+Bilans_E_AMS_Kyoto_run3_MTE!U451</f>
        <v>200.97378041511362</v>
      </c>
      <c r="Q79" s="714">
        <f>Bilans_E_AMS_Kyoto_run3_MTE!V451</f>
        <v>22.513352365095788</v>
      </c>
      <c r="R79" s="714">
        <f>Bilans_E_AMS_Kyoto_run3_MTE!W451</f>
        <v>539.26896145910575</v>
      </c>
      <c r="S79" s="714">
        <f>Bilans_E_AMS_Kyoto_run3_MTE!X451</f>
        <v>83.423770679835258</v>
      </c>
      <c r="T79" s="714">
        <f>Bilans_E_AMS_Kyoto_run3_MTE!Y451</f>
        <v>15.582282524216538</v>
      </c>
      <c r="U79" s="714">
        <f>Bilans_E_AMS_Kyoto_run3_MTE!Z451</f>
        <v>1392.1266361591142</v>
      </c>
      <c r="V79" s="701"/>
      <c r="W79" s="701"/>
    </row>
    <row r="80" spans="1:23" x14ac:dyDescent="0.25">
      <c r="A80" s="701"/>
      <c r="B80" s="701"/>
      <c r="C80" s="701"/>
      <c r="D80" s="701">
        <f>Bilans_E_AMS_Kyoto_run3_MTE!H452</f>
        <v>0</v>
      </c>
      <c r="E80" s="701">
        <f>Bilans_E_AMS_Kyoto_run3_MTE!I452</f>
        <v>0</v>
      </c>
      <c r="F80" s="701">
        <f>Bilans_E_AMS_Kyoto_run3_MTE!J452</f>
        <v>5.6843418860808015E-14</v>
      </c>
      <c r="G80" s="701">
        <f>Bilans_E_AMS_Kyoto_run3_MTE!K452</f>
        <v>0</v>
      </c>
      <c r="H80" s="701">
        <f>Bilans_E_AMS_Kyoto_run3_MTE!L452</f>
        <v>0</v>
      </c>
      <c r="I80" s="701">
        <f>Bilans_E_AMS_Kyoto_run3_MTE!M452</f>
        <v>0</v>
      </c>
      <c r="J80" s="701">
        <f>Bilans_E_AMS_Kyoto_run3_MTE!N452</f>
        <v>0</v>
      </c>
      <c r="K80" s="701">
        <f>Bilans_E_AMS_Kyoto_run3_MTE!O452</f>
        <v>0</v>
      </c>
      <c r="L80" s="701">
        <f>Bilans_E_AMS_Kyoto_run3_MTE!P452</f>
        <v>0</v>
      </c>
      <c r="M80" s="701">
        <f>Bilans_E_AMS_Kyoto_run3_MTE!Q452</f>
        <v>0</v>
      </c>
      <c r="N80" s="701">
        <f>Bilans_E_AMS_Kyoto_run3_MTE!R452</f>
        <v>0</v>
      </c>
      <c r="O80" s="701">
        <f>Bilans_E_AMS_Kyoto_run3_MTE!S452</f>
        <v>1.9984014443252818E-15</v>
      </c>
      <c r="P80" s="701">
        <f>Bilans_E_AMS_Kyoto_run3_MTE!T452+Bilans_E_AMS_Kyoto_run3_MTE!U452</f>
        <v>0</v>
      </c>
      <c r="Q80" s="701">
        <f>Bilans_E_AMS_Kyoto_run3_MTE!V452</f>
        <v>0</v>
      </c>
      <c r="R80" s="701">
        <f>Bilans_E_AMS_Kyoto_run3_MTE!W452</f>
        <v>0</v>
      </c>
      <c r="S80" s="701">
        <f>Bilans_E_AMS_Kyoto_run3_MTE!X452</f>
        <v>-3.1886132049407934E-5</v>
      </c>
      <c r="T80" s="701">
        <f>Bilans_E_AMS_Kyoto_run3_MTE!Y452</f>
        <v>0</v>
      </c>
      <c r="U80" s="701">
        <f>Bilans_E_AMS_Kyoto_run3_MTE!Z452</f>
        <v>-3.1886131637293147E-5</v>
      </c>
      <c r="V80" s="701"/>
      <c r="W80" s="701"/>
    </row>
    <row r="81" spans="1:23" x14ac:dyDescent="0.25">
      <c r="A81" s="701"/>
      <c r="B81" s="701"/>
      <c r="C81" s="701"/>
      <c r="D81" s="701"/>
      <c r="E81" s="701"/>
      <c r="F81" s="701"/>
      <c r="G81" s="701"/>
      <c r="H81" s="701"/>
      <c r="I81" s="701"/>
      <c r="J81" s="701"/>
      <c r="K81" s="701"/>
      <c r="L81" s="701"/>
      <c r="M81" s="701"/>
      <c r="N81" s="701"/>
      <c r="O81" s="701"/>
      <c r="P81" s="701"/>
      <c r="Q81" s="701"/>
      <c r="R81" s="701"/>
      <c r="S81" s="701"/>
      <c r="T81" s="701"/>
      <c r="U81" s="701"/>
      <c r="V81" s="701"/>
      <c r="W81" s="701"/>
    </row>
    <row r="82" spans="1:23" x14ac:dyDescent="0.25">
      <c r="A82" s="707"/>
      <c r="B82" s="707"/>
      <c r="C82" s="708" t="s">
        <v>518</v>
      </c>
      <c r="D82" s="707"/>
      <c r="E82" s="707"/>
      <c r="F82" s="707"/>
      <c r="G82" s="707"/>
      <c r="H82" s="707"/>
      <c r="I82" s="707"/>
      <c r="J82" s="707"/>
      <c r="K82" s="707"/>
      <c r="L82" s="707"/>
      <c r="M82" s="707"/>
      <c r="N82" s="707"/>
      <c r="O82" s="707"/>
      <c r="P82" s="707"/>
      <c r="Q82" s="707"/>
      <c r="R82" s="707"/>
      <c r="S82" s="707"/>
      <c r="T82" s="707"/>
      <c r="U82" s="707"/>
      <c r="V82" s="707"/>
      <c r="W82" s="707"/>
    </row>
    <row r="83" spans="1:23" x14ac:dyDescent="0.25">
      <c r="A83" s="701"/>
      <c r="B83" s="701"/>
      <c r="C83" s="701"/>
      <c r="D83" s="701"/>
      <c r="E83" s="701"/>
      <c r="F83" s="701"/>
      <c r="G83" s="701"/>
      <c r="H83" s="701"/>
      <c r="I83" s="701"/>
      <c r="J83" s="701"/>
      <c r="K83" s="701"/>
      <c r="L83" s="701"/>
      <c r="M83" s="701"/>
      <c r="N83" s="701"/>
      <c r="O83" s="701"/>
      <c r="P83" s="701"/>
      <c r="Q83" s="701"/>
      <c r="R83" s="701"/>
      <c r="S83" s="701"/>
      <c r="T83" s="701"/>
      <c r="U83" s="701"/>
      <c r="V83" s="701"/>
      <c r="W83" s="701"/>
    </row>
    <row r="84" spans="1:23" x14ac:dyDescent="0.25">
      <c r="A84" s="701"/>
      <c r="B84" s="701"/>
      <c r="C84" s="780" t="s">
        <v>128</v>
      </c>
      <c r="D84" s="775" t="s">
        <v>42</v>
      </c>
      <c r="E84" s="775" t="s">
        <v>52</v>
      </c>
      <c r="F84" s="775" t="s">
        <v>53</v>
      </c>
      <c r="G84" s="775" t="s">
        <v>482</v>
      </c>
      <c r="H84" s="775" t="s">
        <v>32</v>
      </c>
      <c r="I84" s="775" t="s">
        <v>483</v>
      </c>
      <c r="J84" s="775" t="s">
        <v>20</v>
      </c>
      <c r="K84" s="775" t="s">
        <v>55</v>
      </c>
      <c r="L84" s="777" t="s">
        <v>56</v>
      </c>
      <c r="M84" s="778"/>
      <c r="N84" s="778"/>
      <c r="O84" s="778"/>
      <c r="P84" s="778"/>
      <c r="Q84" s="779"/>
      <c r="R84" s="775" t="s">
        <v>57</v>
      </c>
      <c r="S84" s="775" t="s">
        <v>58</v>
      </c>
      <c r="T84" s="775" t="s">
        <v>31</v>
      </c>
      <c r="U84" s="775" t="s">
        <v>10</v>
      </c>
      <c r="V84" s="701"/>
      <c r="W84" s="701"/>
    </row>
    <row r="85" spans="1:23" ht="67.5" x14ac:dyDescent="0.25">
      <c r="A85" s="701" t="s">
        <v>486</v>
      </c>
      <c r="B85" s="701"/>
      <c r="C85" s="781"/>
      <c r="D85" s="776"/>
      <c r="E85" s="776"/>
      <c r="F85" s="776"/>
      <c r="G85" s="776"/>
      <c r="H85" s="776"/>
      <c r="I85" s="776"/>
      <c r="J85" s="776"/>
      <c r="K85" s="776"/>
      <c r="L85" s="709" t="s">
        <v>335</v>
      </c>
      <c r="M85" s="709" t="s">
        <v>40</v>
      </c>
      <c r="N85" s="709" t="s">
        <v>343</v>
      </c>
      <c r="O85" s="709" t="s">
        <v>344</v>
      </c>
      <c r="P85" s="719" t="s">
        <v>610</v>
      </c>
      <c r="Q85" s="709" t="s">
        <v>346</v>
      </c>
      <c r="R85" s="776"/>
      <c r="S85" s="776"/>
      <c r="T85" s="776"/>
      <c r="U85" s="776"/>
      <c r="V85" s="701"/>
      <c r="W85" s="701"/>
    </row>
    <row r="86" spans="1:23" x14ac:dyDescent="0.25">
      <c r="A86" s="701" t="s">
        <v>487</v>
      </c>
      <c r="B86" s="701"/>
      <c r="C86" s="710" t="s">
        <v>59</v>
      </c>
      <c r="D86" s="711">
        <f>Bilans_E_AMS_Kyoto_run3_MTE!H458</f>
        <v>0</v>
      </c>
      <c r="E86" s="711">
        <f>Bilans_E_AMS_Kyoto_run3_MTE!I458</f>
        <v>0</v>
      </c>
      <c r="F86" s="711">
        <f>Bilans_E_AMS_Kyoto_run3_MTE!J458</f>
        <v>0</v>
      </c>
      <c r="G86" s="711">
        <f>Bilans_E_AMS_Kyoto_run3_MTE!K458</f>
        <v>0</v>
      </c>
      <c r="H86" s="711">
        <f>Bilans_E_AMS_Kyoto_run3_MTE!L458</f>
        <v>0</v>
      </c>
      <c r="I86" s="711">
        <f>Bilans_E_AMS_Kyoto_run3_MTE!M458</f>
        <v>0</v>
      </c>
      <c r="J86" s="711">
        <f>Bilans_E_AMS_Kyoto_run3_MTE!N458</f>
        <v>1099.5846392966657</v>
      </c>
      <c r="K86" s="711">
        <f>Bilans_E_AMS_Kyoto_run3_MTE!O458</f>
        <v>432.558137271254</v>
      </c>
      <c r="L86" s="711">
        <f>Bilans_E_AMS_Kyoto_run3_MTE!P458</f>
        <v>366.60157244104857</v>
      </c>
      <c r="M86" s="711">
        <f>Bilans_E_AMS_Kyoto_run3_MTE!Q458</f>
        <v>46.101085198672763</v>
      </c>
      <c r="N86" s="711">
        <f>Bilans_E_AMS_Kyoto_run3_MTE!R458</f>
        <v>0</v>
      </c>
      <c r="O86" s="711">
        <f>Bilans_E_AMS_Kyoto_run3_MTE!S458</f>
        <v>0</v>
      </c>
      <c r="P86" s="711">
        <f>Bilans_E_AMS_Kyoto_run3_MTE!T458+Bilans_E_AMS_Kyoto_run3_MTE!U458</f>
        <v>228.80859050100952</v>
      </c>
      <c r="Q86" s="711">
        <f>Bilans_E_AMS_Kyoto_run3_MTE!V458</f>
        <v>44.117114546253134</v>
      </c>
      <c r="R86" s="711">
        <f>Bilans_E_AMS_Kyoto_run3_MTE!W458</f>
        <v>0</v>
      </c>
      <c r="S86" s="711">
        <f>Bilans_E_AMS_Kyoto_run3_MTE!X458</f>
        <v>0</v>
      </c>
      <c r="T86" s="711">
        <f>Bilans_E_AMS_Kyoto_run3_MTE!Y458</f>
        <v>0</v>
      </c>
      <c r="U86" s="711">
        <f>Bilans_E_AMS_Kyoto_run3_MTE!Z458</f>
        <v>2217.7711392549036</v>
      </c>
      <c r="V86" s="701"/>
      <c r="W86" s="701"/>
    </row>
    <row r="87" spans="1:23" x14ac:dyDescent="0.25">
      <c r="A87" s="701" t="s">
        <v>488</v>
      </c>
      <c r="B87" s="701"/>
      <c r="C87" s="710" t="s">
        <v>60</v>
      </c>
      <c r="D87" s="712">
        <f>Bilans_E_AMS_Kyoto_run3_MTE!H459</f>
        <v>4.7190318603515626</v>
      </c>
      <c r="E87" s="712">
        <f>Bilans_E_AMS_Kyoto_run3_MTE!I459</f>
        <v>177.55502583689511</v>
      </c>
      <c r="F87" s="712">
        <f>Bilans_E_AMS_Kyoto_run3_MTE!J459</f>
        <v>35.526382887078427</v>
      </c>
      <c r="G87" s="712">
        <f>Bilans_E_AMS_Kyoto_run3_MTE!K459</f>
        <v>8.2447057853181924</v>
      </c>
      <c r="H87" s="712">
        <f>Bilans_E_AMS_Kyoto_run3_MTE!L459</f>
        <v>93.790704319687649</v>
      </c>
      <c r="I87" s="712">
        <f>Bilans_E_AMS_Kyoto_run3_MTE!M459</f>
        <v>0</v>
      </c>
      <c r="J87" s="712">
        <f>Bilans_E_AMS_Kyoto_run3_MTE!N459</f>
        <v>0</v>
      </c>
      <c r="K87" s="712">
        <f>Bilans_E_AMS_Kyoto_run3_MTE!O459</f>
        <v>0</v>
      </c>
      <c r="L87" s="712">
        <f>Bilans_E_AMS_Kyoto_run3_MTE!P459</f>
        <v>7.7767614364420297</v>
      </c>
      <c r="M87" s="712">
        <f>Bilans_E_AMS_Kyoto_run3_MTE!Q459</f>
        <v>0</v>
      </c>
      <c r="N87" s="712">
        <f>Bilans_E_AMS_Kyoto_run3_MTE!R459</f>
        <v>7.7564977806323299</v>
      </c>
      <c r="O87" s="712">
        <f>Bilans_E_AMS_Kyoto_run3_MTE!S459</f>
        <v>0</v>
      </c>
      <c r="P87" s="712">
        <f>Bilans_E_AMS_Kyoto_run3_MTE!T459+Bilans_E_AMS_Kyoto_run3_MTE!U459</f>
        <v>0</v>
      </c>
      <c r="Q87" s="712">
        <f>Bilans_E_AMS_Kyoto_run3_MTE!V459</f>
        <v>0</v>
      </c>
      <c r="R87" s="712">
        <f>Bilans_E_AMS_Kyoto_run3_MTE!W459</f>
        <v>0</v>
      </c>
      <c r="S87" s="712">
        <f>Bilans_E_AMS_Kyoto_run3_MTE!X459</f>
        <v>0</v>
      </c>
      <c r="T87" s="712">
        <f>Bilans_E_AMS_Kyoto_run3_MTE!Y459</f>
        <v>0</v>
      </c>
      <c r="U87" s="712">
        <f>Bilans_E_AMS_Kyoto_run3_MTE!Z459</f>
        <v>335.3691099064053</v>
      </c>
      <c r="V87" s="701"/>
      <c r="W87" s="701"/>
    </row>
    <row r="88" spans="1:23" x14ac:dyDescent="0.25">
      <c r="A88" s="701" t="s">
        <v>489</v>
      </c>
      <c r="B88" s="701"/>
      <c r="C88" s="710" t="s">
        <v>61</v>
      </c>
      <c r="D88" s="712">
        <f>Bilans_E_AMS_Kyoto_run3_MTE!H460</f>
        <v>0</v>
      </c>
      <c r="E88" s="712">
        <f>Bilans_E_AMS_Kyoto_run3_MTE!I460</f>
        <v>0</v>
      </c>
      <c r="F88" s="712">
        <f>Bilans_E_AMS_Kyoto_run3_MTE!J460</f>
        <v>0</v>
      </c>
      <c r="G88" s="712">
        <f>Bilans_E_AMS_Kyoto_run3_MTE!K460</f>
        <v>0</v>
      </c>
      <c r="H88" s="712">
        <f>Bilans_E_AMS_Kyoto_run3_MTE!L460</f>
        <v>0</v>
      </c>
      <c r="I88" s="712">
        <f>Bilans_E_AMS_Kyoto_run3_MTE!M460</f>
        <v>0</v>
      </c>
      <c r="J88" s="712">
        <f>Bilans_E_AMS_Kyoto_run3_MTE!N460</f>
        <v>0</v>
      </c>
      <c r="K88" s="712">
        <f>Bilans_E_AMS_Kyoto_run3_MTE!O460</f>
        <v>0</v>
      </c>
      <c r="L88" s="712">
        <f>Bilans_E_AMS_Kyoto_run3_MTE!P460</f>
        <v>0</v>
      </c>
      <c r="M88" s="712">
        <f>Bilans_E_AMS_Kyoto_run3_MTE!Q460</f>
        <v>0</v>
      </c>
      <c r="N88" s="712">
        <f>Bilans_E_AMS_Kyoto_run3_MTE!R460</f>
        <v>0</v>
      </c>
      <c r="O88" s="712">
        <f>Bilans_E_AMS_Kyoto_run3_MTE!S460</f>
        <v>-11.927582935629047</v>
      </c>
      <c r="P88" s="712">
        <f>Bilans_E_AMS_Kyoto_run3_MTE!T460+Bilans_E_AMS_Kyoto_run3_MTE!U460</f>
        <v>0</v>
      </c>
      <c r="Q88" s="712">
        <f>Bilans_E_AMS_Kyoto_run3_MTE!V460</f>
        <v>0</v>
      </c>
      <c r="R88" s="712">
        <f>Bilans_E_AMS_Kyoto_run3_MTE!W460</f>
        <v>-91.926243378286927</v>
      </c>
      <c r="S88" s="712">
        <f>Bilans_E_AMS_Kyoto_run3_MTE!X460</f>
        <v>0</v>
      </c>
      <c r="T88" s="712">
        <f>Bilans_E_AMS_Kyoto_run3_MTE!Y460</f>
        <v>0</v>
      </c>
      <c r="U88" s="712">
        <f>Bilans_E_AMS_Kyoto_run3_MTE!Z460</f>
        <v>-103.85382631391597</v>
      </c>
      <c r="V88" s="701"/>
      <c r="W88" s="701"/>
    </row>
    <row r="89" spans="1:23" x14ac:dyDescent="0.25">
      <c r="A89" s="701" t="s">
        <v>490</v>
      </c>
      <c r="B89" s="701"/>
      <c r="C89" s="710" t="s">
        <v>62</v>
      </c>
      <c r="D89" s="711">
        <f>Bilans_E_AMS_Kyoto_run3_MTE!H461</f>
        <v>0</v>
      </c>
      <c r="E89" s="711">
        <f>Bilans_E_AMS_Kyoto_run3_MTE!I461</f>
        <v>0</v>
      </c>
      <c r="F89" s="711">
        <f>Bilans_E_AMS_Kyoto_run3_MTE!J461</f>
        <v>-3.9597709546196729</v>
      </c>
      <c r="G89" s="711">
        <f>Bilans_E_AMS_Kyoto_run3_MTE!K461</f>
        <v>-1.6687304711455928</v>
      </c>
      <c r="H89" s="711">
        <f>Bilans_E_AMS_Kyoto_run3_MTE!L461</f>
        <v>0</v>
      </c>
      <c r="I89" s="711">
        <f>Bilans_E_AMS_Kyoto_run3_MTE!M461</f>
        <v>-1.7692389987108714</v>
      </c>
      <c r="J89" s="711">
        <f>Bilans_E_AMS_Kyoto_run3_MTE!N461</f>
        <v>0</v>
      </c>
      <c r="K89" s="711">
        <f>Bilans_E_AMS_Kyoto_run3_MTE!O461</f>
        <v>0</v>
      </c>
      <c r="L89" s="711">
        <f>Bilans_E_AMS_Kyoto_run3_MTE!P461</f>
        <v>0</v>
      </c>
      <c r="M89" s="711">
        <f>Bilans_E_AMS_Kyoto_run3_MTE!Q461</f>
        <v>0</v>
      </c>
      <c r="N89" s="711">
        <f>Bilans_E_AMS_Kyoto_run3_MTE!R461</f>
        <v>0</v>
      </c>
      <c r="O89" s="711">
        <f>Bilans_E_AMS_Kyoto_run3_MTE!S461</f>
        <v>-1.504748971161108</v>
      </c>
      <c r="P89" s="711">
        <f>Bilans_E_AMS_Kyoto_run3_MTE!T461+Bilans_E_AMS_Kyoto_run3_MTE!U461</f>
        <v>0</v>
      </c>
      <c r="Q89" s="711">
        <f>Bilans_E_AMS_Kyoto_run3_MTE!V461</f>
        <v>0</v>
      </c>
      <c r="R89" s="711">
        <f>Bilans_E_AMS_Kyoto_run3_MTE!W461</f>
        <v>0</v>
      </c>
      <c r="S89" s="711">
        <f>Bilans_E_AMS_Kyoto_run3_MTE!X461</f>
        <v>0</v>
      </c>
      <c r="T89" s="711">
        <f>Bilans_E_AMS_Kyoto_run3_MTE!Y461</f>
        <v>-0.86329073643245491</v>
      </c>
      <c r="U89" s="711">
        <f>Bilans_E_AMS_Kyoto_run3_MTE!Z461</f>
        <v>-9.7657801320697004</v>
      </c>
      <c r="V89" s="701"/>
      <c r="W89" s="701"/>
    </row>
    <row r="90" spans="1:23" x14ac:dyDescent="0.25">
      <c r="A90" s="701" t="s">
        <v>491</v>
      </c>
      <c r="B90" s="701"/>
      <c r="C90" s="710" t="s">
        <v>63</v>
      </c>
      <c r="D90" s="711">
        <f>Bilans_E_AMS_Kyoto_run3_MTE!H462</f>
        <v>0</v>
      </c>
      <c r="E90" s="711">
        <f>Bilans_E_AMS_Kyoto_run3_MTE!I462</f>
        <v>0</v>
      </c>
      <c r="F90" s="711">
        <f>Bilans_E_AMS_Kyoto_run3_MTE!J462</f>
        <v>-32.199999999999996</v>
      </c>
      <c r="G90" s="711">
        <f>Bilans_E_AMS_Kyoto_run3_MTE!K462</f>
        <v>-12.8</v>
      </c>
      <c r="H90" s="711">
        <f>Bilans_E_AMS_Kyoto_run3_MTE!L462</f>
        <v>0</v>
      </c>
      <c r="I90" s="711">
        <f>Bilans_E_AMS_Kyoto_run3_MTE!M462</f>
        <v>0</v>
      </c>
      <c r="J90" s="711">
        <f>Bilans_E_AMS_Kyoto_run3_MTE!N462</f>
        <v>0</v>
      </c>
      <c r="K90" s="711">
        <f>Bilans_E_AMS_Kyoto_run3_MTE!O462</f>
        <v>0</v>
      </c>
      <c r="L90" s="711">
        <f>Bilans_E_AMS_Kyoto_run3_MTE!P462</f>
        <v>0</v>
      </c>
      <c r="M90" s="711">
        <f>Bilans_E_AMS_Kyoto_run3_MTE!Q462</f>
        <v>0</v>
      </c>
      <c r="N90" s="711">
        <f>Bilans_E_AMS_Kyoto_run3_MTE!R462</f>
        <v>-15.600000000000001</v>
      </c>
      <c r="O90" s="711">
        <f>Bilans_E_AMS_Kyoto_run3_MTE!S462</f>
        <v>0</v>
      </c>
      <c r="P90" s="711">
        <f>Bilans_E_AMS_Kyoto_run3_MTE!T462+Bilans_E_AMS_Kyoto_run3_MTE!U462</f>
        <v>0</v>
      </c>
      <c r="Q90" s="711">
        <f>Bilans_E_AMS_Kyoto_run3_MTE!V462</f>
        <v>0</v>
      </c>
      <c r="R90" s="711">
        <f>Bilans_E_AMS_Kyoto_run3_MTE!W462</f>
        <v>0</v>
      </c>
      <c r="S90" s="711">
        <f>Bilans_E_AMS_Kyoto_run3_MTE!X462</f>
        <v>0</v>
      </c>
      <c r="T90" s="711">
        <f>Bilans_E_AMS_Kyoto_run3_MTE!Y462</f>
        <v>-4.2</v>
      </c>
      <c r="U90" s="711">
        <f>Bilans_E_AMS_Kyoto_run3_MTE!Z462</f>
        <v>-64.8</v>
      </c>
      <c r="V90" s="701"/>
      <c r="W90" s="701"/>
    </row>
    <row r="91" spans="1:23" x14ac:dyDescent="0.25">
      <c r="A91" s="701" t="s">
        <v>492</v>
      </c>
      <c r="B91" s="701"/>
      <c r="C91" s="710" t="s">
        <v>64</v>
      </c>
      <c r="D91" s="712">
        <f>Bilans_E_AMS_Kyoto_run3_MTE!H463</f>
        <v>0</v>
      </c>
      <c r="E91" s="712">
        <f>Bilans_E_AMS_Kyoto_run3_MTE!I463</f>
        <v>0</v>
      </c>
      <c r="F91" s="712">
        <f>Bilans_E_AMS_Kyoto_run3_MTE!J463</f>
        <v>0</v>
      </c>
      <c r="G91" s="712">
        <f>Bilans_E_AMS_Kyoto_run3_MTE!K463</f>
        <v>0</v>
      </c>
      <c r="H91" s="712">
        <f>Bilans_E_AMS_Kyoto_run3_MTE!L463</f>
        <v>0</v>
      </c>
      <c r="I91" s="712">
        <f>Bilans_E_AMS_Kyoto_run3_MTE!M463</f>
        <v>0</v>
      </c>
      <c r="J91" s="712">
        <f>Bilans_E_AMS_Kyoto_run3_MTE!N463</f>
        <v>0</v>
      </c>
      <c r="K91" s="712">
        <f>Bilans_E_AMS_Kyoto_run3_MTE!O463</f>
        <v>0</v>
      </c>
      <c r="L91" s="712">
        <f>Bilans_E_AMS_Kyoto_run3_MTE!P463</f>
        <v>0</v>
      </c>
      <c r="M91" s="712">
        <f>Bilans_E_AMS_Kyoto_run3_MTE!Q463</f>
        <v>0</v>
      </c>
      <c r="N91" s="712">
        <f>Bilans_E_AMS_Kyoto_run3_MTE!R463</f>
        <v>0</v>
      </c>
      <c r="O91" s="712">
        <f>Bilans_E_AMS_Kyoto_run3_MTE!S463</f>
        <v>0</v>
      </c>
      <c r="P91" s="712">
        <f>Bilans_E_AMS_Kyoto_run3_MTE!T463+Bilans_E_AMS_Kyoto_run3_MTE!U463</f>
        <v>0</v>
      </c>
      <c r="Q91" s="712">
        <f>Bilans_E_AMS_Kyoto_run3_MTE!V463</f>
        <v>0</v>
      </c>
      <c r="R91" s="712">
        <f>Bilans_E_AMS_Kyoto_run3_MTE!W463</f>
        <v>0</v>
      </c>
      <c r="S91" s="712">
        <f>Bilans_E_AMS_Kyoto_run3_MTE!X463</f>
        <v>0</v>
      </c>
      <c r="T91" s="712">
        <f>Bilans_E_AMS_Kyoto_run3_MTE!Y463</f>
        <v>0</v>
      </c>
      <c r="U91" s="712">
        <f>Bilans_E_AMS_Kyoto_run3_MTE!Z463</f>
        <v>0</v>
      </c>
      <c r="V91" s="701"/>
      <c r="W91" s="701"/>
    </row>
    <row r="92" spans="1:23" x14ac:dyDescent="0.25">
      <c r="A92" s="701" t="s">
        <v>493</v>
      </c>
      <c r="B92" s="701"/>
      <c r="C92" s="713" t="s">
        <v>65</v>
      </c>
      <c r="D92" s="714">
        <f>Bilans_E_AMS_Kyoto_run3_MTE!H464</f>
        <v>4.7190318603515626</v>
      </c>
      <c r="E92" s="714">
        <f>Bilans_E_AMS_Kyoto_run3_MTE!I464</f>
        <v>177.55502583689511</v>
      </c>
      <c r="F92" s="714">
        <f>Bilans_E_AMS_Kyoto_run3_MTE!J464</f>
        <v>-0.63338806754124022</v>
      </c>
      <c r="G92" s="714">
        <f>Bilans_E_AMS_Kyoto_run3_MTE!K464</f>
        <v>-6.2240246858274011</v>
      </c>
      <c r="H92" s="714">
        <f>Bilans_E_AMS_Kyoto_run3_MTE!L464</f>
        <v>93.790704319687649</v>
      </c>
      <c r="I92" s="714">
        <f>Bilans_E_AMS_Kyoto_run3_MTE!M464</f>
        <v>-1.7692389987108714</v>
      </c>
      <c r="J92" s="714">
        <f>Bilans_E_AMS_Kyoto_run3_MTE!N464</f>
        <v>1099.5846392966657</v>
      </c>
      <c r="K92" s="714">
        <f>Bilans_E_AMS_Kyoto_run3_MTE!O464</f>
        <v>432.558137271254</v>
      </c>
      <c r="L92" s="714">
        <f>Bilans_E_AMS_Kyoto_run3_MTE!P464</f>
        <v>374.3783338774906</v>
      </c>
      <c r="M92" s="714">
        <f>Bilans_E_AMS_Kyoto_run3_MTE!Q464</f>
        <v>46.101085198672763</v>
      </c>
      <c r="N92" s="714">
        <f>Bilans_E_AMS_Kyoto_run3_MTE!R464</f>
        <v>-7.8435022193676716</v>
      </c>
      <c r="O92" s="714">
        <f>Bilans_E_AMS_Kyoto_run3_MTE!S464</f>
        <v>-13.432331906790155</v>
      </c>
      <c r="P92" s="714">
        <f>Bilans_E_AMS_Kyoto_run3_MTE!T464+Bilans_E_AMS_Kyoto_run3_MTE!U464</f>
        <v>228.80859050100952</v>
      </c>
      <c r="Q92" s="714">
        <f>Bilans_E_AMS_Kyoto_run3_MTE!V464</f>
        <v>44.117114546253134</v>
      </c>
      <c r="R92" s="714">
        <f>Bilans_E_AMS_Kyoto_run3_MTE!W464</f>
        <v>-91.926243378286927</v>
      </c>
      <c r="S92" s="714">
        <f>Bilans_E_AMS_Kyoto_run3_MTE!X464</f>
        <v>0</v>
      </c>
      <c r="T92" s="714">
        <f>Bilans_E_AMS_Kyoto_run3_MTE!Y464</f>
        <v>-5.0632907364324549</v>
      </c>
      <c r="U92" s="714">
        <f>Bilans_E_AMS_Kyoto_run3_MTE!Z464</f>
        <v>2374.7206427153233</v>
      </c>
      <c r="V92" s="701"/>
      <c r="W92" s="701"/>
    </row>
    <row r="93" spans="1:23" x14ac:dyDescent="0.25">
      <c r="A93" s="701"/>
      <c r="B93" s="701"/>
      <c r="C93" s="715"/>
      <c r="D93" s="716"/>
      <c r="E93" s="716"/>
      <c r="F93" s="716"/>
      <c r="G93" s="716"/>
      <c r="H93" s="716"/>
      <c r="I93" s="716"/>
      <c r="J93" s="716"/>
      <c r="K93" s="716"/>
      <c r="L93" s="716"/>
      <c r="M93" s="716"/>
      <c r="N93" s="716"/>
      <c r="O93" s="716"/>
      <c r="P93" s="716">
        <f>Bilans_E_AMS_Kyoto_run3_MTE!T465+Bilans_E_AMS_Kyoto_run3_MTE!U465</f>
        <v>0</v>
      </c>
      <c r="Q93" s="716"/>
      <c r="R93" s="716"/>
      <c r="S93" s="716"/>
      <c r="T93" s="716"/>
      <c r="U93" s="716"/>
      <c r="V93" s="701"/>
      <c r="W93" s="701"/>
    </row>
    <row r="94" spans="1:23" x14ac:dyDescent="0.25">
      <c r="A94" s="701" t="s">
        <v>494</v>
      </c>
      <c r="B94" s="701"/>
      <c r="C94" s="717" t="s">
        <v>67</v>
      </c>
      <c r="D94" s="711">
        <f>Bilans_E_AMS_Kyoto_run3_MTE!H466</f>
        <v>0</v>
      </c>
      <c r="E94" s="711">
        <f>Bilans_E_AMS_Kyoto_run3_MTE!I466</f>
        <v>0</v>
      </c>
      <c r="F94" s="711">
        <f>Bilans_E_AMS_Kyoto_run3_MTE!J466</f>
        <v>0</v>
      </c>
      <c r="G94" s="711">
        <f>Bilans_E_AMS_Kyoto_run3_MTE!K466</f>
        <v>0</v>
      </c>
      <c r="H94" s="711">
        <f>Bilans_E_AMS_Kyoto_run3_MTE!L466</f>
        <v>0</v>
      </c>
      <c r="I94" s="711">
        <f>Bilans_E_AMS_Kyoto_run3_MTE!M466</f>
        <v>0</v>
      </c>
      <c r="J94" s="711">
        <f>Bilans_E_AMS_Kyoto_run3_MTE!N466</f>
        <v>0</v>
      </c>
      <c r="K94" s="711">
        <f>Bilans_E_AMS_Kyoto_run3_MTE!O466</f>
        <v>0</v>
      </c>
      <c r="L94" s="711">
        <f>Bilans_E_AMS_Kyoto_run3_MTE!P466</f>
        <v>0</v>
      </c>
      <c r="M94" s="711">
        <f>Bilans_E_AMS_Kyoto_run3_MTE!Q466</f>
        <v>0</v>
      </c>
      <c r="N94" s="711">
        <f>Bilans_E_AMS_Kyoto_run3_MTE!R466</f>
        <v>0</v>
      </c>
      <c r="O94" s="711">
        <f>Bilans_E_AMS_Kyoto_run3_MTE!S466</f>
        <v>0</v>
      </c>
      <c r="P94" s="711">
        <f>Bilans_E_AMS_Kyoto_run3_MTE!T466+Bilans_E_AMS_Kyoto_run3_MTE!U466</f>
        <v>0</v>
      </c>
      <c r="Q94" s="711">
        <f>Bilans_E_AMS_Kyoto_run3_MTE!V466</f>
        <v>0</v>
      </c>
      <c r="R94" s="711">
        <f>Bilans_E_AMS_Kyoto_run3_MTE!W466</f>
        <v>0</v>
      </c>
      <c r="S94" s="711">
        <f>Bilans_E_AMS_Kyoto_run3_MTE!X466</f>
        <v>0</v>
      </c>
      <c r="T94" s="711">
        <f>Bilans_E_AMS_Kyoto_run3_MTE!Y466</f>
        <v>0</v>
      </c>
      <c r="U94" s="711">
        <f>Bilans_E_AMS_Kyoto_run3_MTE!Z466</f>
        <v>0</v>
      </c>
      <c r="V94" s="701"/>
      <c r="W94" s="701"/>
    </row>
    <row r="95" spans="1:23" x14ac:dyDescent="0.25">
      <c r="A95" s="701" t="s">
        <v>495</v>
      </c>
      <c r="B95" s="701"/>
      <c r="C95" s="717" t="s">
        <v>347</v>
      </c>
      <c r="D95" s="711">
        <f>Bilans_E_AMS_Kyoto_run3_MTE!H467</f>
        <v>0</v>
      </c>
      <c r="E95" s="711">
        <f>Bilans_E_AMS_Kyoto_run3_MTE!I467</f>
        <v>0</v>
      </c>
      <c r="F95" s="711">
        <f>Bilans_E_AMS_Kyoto_run3_MTE!J467</f>
        <v>2.6460781360013397E-2</v>
      </c>
      <c r="G95" s="711">
        <f>Bilans_E_AMS_Kyoto_run3_MTE!K467</f>
        <v>0</v>
      </c>
      <c r="H95" s="711">
        <f>Bilans_E_AMS_Kyoto_run3_MTE!L467</f>
        <v>2.3319683433476327E-3</v>
      </c>
      <c r="I95" s="711">
        <f>Bilans_E_AMS_Kyoto_run3_MTE!M467</f>
        <v>0</v>
      </c>
      <c r="J95" s="711">
        <f>Bilans_E_AMS_Kyoto_run3_MTE!N467</f>
        <v>1094.3390181818181</v>
      </c>
      <c r="K95" s="711">
        <f>Bilans_E_AMS_Kyoto_run3_MTE!O467</f>
        <v>432.558137271254</v>
      </c>
      <c r="L95" s="711">
        <f>Bilans_E_AMS_Kyoto_run3_MTE!P467</f>
        <v>17.878777557508954</v>
      </c>
      <c r="M95" s="711">
        <f>Bilans_E_AMS_Kyoto_run3_MTE!Q467</f>
        <v>5.4304217786079292</v>
      </c>
      <c r="N95" s="711">
        <f>Bilans_E_AMS_Kyoto_run3_MTE!R467</f>
        <v>6.0578717375904887</v>
      </c>
      <c r="O95" s="711">
        <f>Bilans_E_AMS_Kyoto_run3_MTE!S467</f>
        <v>0.11581039979962704</v>
      </c>
      <c r="P95" s="711">
        <f>Bilans_E_AMS_Kyoto_run3_MTE!T467+Bilans_E_AMS_Kyoto_run3_MTE!U467</f>
        <v>0</v>
      </c>
      <c r="Q95" s="711">
        <f>Bilans_E_AMS_Kyoto_run3_MTE!V467</f>
        <v>6.4590957564387725</v>
      </c>
      <c r="R95" s="711">
        <f>Bilans_E_AMS_Kyoto_run3_MTE!W467</f>
        <v>-810.5836017522513</v>
      </c>
      <c r="S95" s="711">
        <f>Bilans_E_AMS_Kyoto_run3_MTE!X467</f>
        <v>0</v>
      </c>
      <c r="T95" s="711">
        <f>Bilans_E_AMS_Kyoto_run3_MTE!Y467</f>
        <v>0</v>
      </c>
      <c r="U95" s="711">
        <f>Bilans_E_AMS_Kyoto_run3_MTE!Z467</f>
        <v>752.28432368046992</v>
      </c>
      <c r="V95" s="701"/>
      <c r="W95" s="701"/>
    </row>
    <row r="96" spans="1:23" x14ac:dyDescent="0.25">
      <c r="A96" s="701" t="s">
        <v>496</v>
      </c>
      <c r="B96" s="701"/>
      <c r="C96" s="717" t="s">
        <v>348</v>
      </c>
      <c r="D96" s="711">
        <f>Bilans_E_AMS_Kyoto_run3_MTE!H468</f>
        <v>0</v>
      </c>
      <c r="E96" s="711">
        <f>Bilans_E_AMS_Kyoto_run3_MTE!I468</f>
        <v>0</v>
      </c>
      <c r="F96" s="711">
        <f>Bilans_E_AMS_Kyoto_run3_MTE!J468</f>
        <v>0</v>
      </c>
      <c r="G96" s="711">
        <f>Bilans_E_AMS_Kyoto_run3_MTE!K468</f>
        <v>0</v>
      </c>
      <c r="H96" s="711">
        <f>Bilans_E_AMS_Kyoto_run3_MTE!L468</f>
        <v>11.361302050509126</v>
      </c>
      <c r="I96" s="711">
        <f>Bilans_E_AMS_Kyoto_run3_MTE!M468</f>
        <v>0.11959265316325396</v>
      </c>
      <c r="J96" s="711">
        <f>Bilans_E_AMS_Kyoto_run3_MTE!N468</f>
        <v>5.2456211148474967</v>
      </c>
      <c r="K96" s="711">
        <f>Bilans_E_AMS_Kyoto_run3_MTE!O468</f>
        <v>0</v>
      </c>
      <c r="L96" s="711">
        <f>Bilans_E_AMS_Kyoto_run3_MTE!P468</f>
        <v>23.710249533581198</v>
      </c>
      <c r="M96" s="711">
        <f>Bilans_E_AMS_Kyoto_run3_MTE!Q468</f>
        <v>12.653124911951959</v>
      </c>
      <c r="N96" s="711">
        <f>Bilans_E_AMS_Kyoto_run3_MTE!R468</f>
        <v>0</v>
      </c>
      <c r="O96" s="711">
        <f>Bilans_E_AMS_Kyoto_run3_MTE!S468</f>
        <v>8.4660785396177261</v>
      </c>
      <c r="P96" s="711">
        <f>Bilans_E_AMS_Kyoto_run3_MTE!T468+Bilans_E_AMS_Kyoto_run3_MTE!U468</f>
        <v>18.404716933116433</v>
      </c>
      <c r="Q96" s="711">
        <f>Bilans_E_AMS_Kyoto_run3_MTE!V468</f>
        <v>13.404801159439005</v>
      </c>
      <c r="R96" s="711">
        <f>Bilans_E_AMS_Kyoto_run3_MTE!W468</f>
        <v>0</v>
      </c>
      <c r="S96" s="711">
        <f>Bilans_E_AMS_Kyoto_run3_MTE!X468</f>
        <v>-86.867525789433259</v>
      </c>
      <c r="T96" s="711">
        <f>Bilans_E_AMS_Kyoto_run3_MTE!Y468</f>
        <v>0</v>
      </c>
      <c r="U96" s="711">
        <f>Bilans_E_AMS_Kyoto_run3_MTE!Z468</f>
        <v>6.4979611067929426</v>
      </c>
      <c r="V96" s="701"/>
      <c r="W96" s="701"/>
    </row>
    <row r="97" spans="1:23" x14ac:dyDescent="0.25">
      <c r="A97" s="701" t="s">
        <v>497</v>
      </c>
      <c r="B97" s="701"/>
      <c r="C97" s="717" t="s">
        <v>349</v>
      </c>
      <c r="D97" s="711">
        <f>Bilans_E_AMS_Kyoto_run3_MTE!H469</f>
        <v>0</v>
      </c>
      <c r="E97" s="711">
        <f>Bilans_E_AMS_Kyoto_run3_MTE!I469</f>
        <v>0</v>
      </c>
      <c r="F97" s="711">
        <f>Bilans_E_AMS_Kyoto_run3_MTE!J469</f>
        <v>0</v>
      </c>
      <c r="G97" s="711">
        <f>Bilans_E_AMS_Kyoto_run3_MTE!K469</f>
        <v>0</v>
      </c>
      <c r="H97" s="711">
        <f>Bilans_E_AMS_Kyoto_run3_MTE!L469</f>
        <v>0</v>
      </c>
      <c r="I97" s="711">
        <f>Bilans_E_AMS_Kyoto_run3_MTE!M469</f>
        <v>0</v>
      </c>
      <c r="J97" s="711">
        <f>Bilans_E_AMS_Kyoto_run3_MTE!N469</f>
        <v>0</v>
      </c>
      <c r="K97" s="711">
        <f>Bilans_E_AMS_Kyoto_run3_MTE!O469</f>
        <v>0</v>
      </c>
      <c r="L97" s="711">
        <f>Bilans_E_AMS_Kyoto_run3_MTE!P469</f>
        <v>138.07928558547806</v>
      </c>
      <c r="M97" s="711">
        <f>Bilans_E_AMS_Kyoto_run3_MTE!Q469</f>
        <v>12.388866886032204</v>
      </c>
      <c r="N97" s="711">
        <f>Bilans_E_AMS_Kyoto_run3_MTE!R469</f>
        <v>0</v>
      </c>
      <c r="O97" s="711">
        <f>Bilans_E_AMS_Kyoto_run3_MTE!S469</f>
        <v>-75.318683922078151</v>
      </c>
      <c r="P97" s="711">
        <f>Bilans_E_AMS_Kyoto_run3_MTE!T469+Bilans_E_AMS_Kyoto_run3_MTE!U469</f>
        <v>0</v>
      </c>
      <c r="Q97" s="711">
        <f>Bilans_E_AMS_Kyoto_run3_MTE!V469</f>
        <v>0</v>
      </c>
      <c r="R97" s="711">
        <f>Bilans_E_AMS_Kyoto_run3_MTE!W469</f>
        <v>0</v>
      </c>
      <c r="S97" s="711">
        <f>Bilans_E_AMS_Kyoto_run3_MTE!X469</f>
        <v>0</v>
      </c>
      <c r="T97" s="711">
        <f>Bilans_E_AMS_Kyoto_run3_MTE!Y469</f>
        <v>0</v>
      </c>
      <c r="U97" s="711">
        <f>Bilans_E_AMS_Kyoto_run3_MTE!Z469</f>
        <v>75.149468549432129</v>
      </c>
      <c r="V97" s="701"/>
      <c r="W97" s="701"/>
    </row>
    <row r="98" spans="1:23" x14ac:dyDescent="0.25">
      <c r="A98" s="701" t="s">
        <v>498</v>
      </c>
      <c r="B98" s="701"/>
      <c r="C98" s="717" t="s">
        <v>350</v>
      </c>
      <c r="D98" s="711">
        <f>Bilans_E_AMS_Kyoto_run3_MTE!H470</f>
        <v>0</v>
      </c>
      <c r="E98" s="711">
        <f>Bilans_E_AMS_Kyoto_run3_MTE!I470</f>
        <v>0</v>
      </c>
      <c r="F98" s="711">
        <f>Bilans_E_AMS_Kyoto_run3_MTE!J470</f>
        <v>0</v>
      </c>
      <c r="G98" s="711">
        <f>Bilans_E_AMS_Kyoto_run3_MTE!K470</f>
        <v>0</v>
      </c>
      <c r="H98" s="711">
        <f>Bilans_E_AMS_Kyoto_run3_MTE!L470</f>
        <v>0</v>
      </c>
      <c r="I98" s="711">
        <f>Bilans_E_AMS_Kyoto_run3_MTE!M470</f>
        <v>-2.6425947059180688</v>
      </c>
      <c r="J98" s="711">
        <f>Bilans_E_AMS_Kyoto_run3_MTE!N470</f>
        <v>0</v>
      </c>
      <c r="K98" s="711">
        <f>Bilans_E_AMS_Kyoto_run3_MTE!O470</f>
        <v>0</v>
      </c>
      <c r="L98" s="711">
        <f>Bilans_E_AMS_Kyoto_run3_MTE!P470</f>
        <v>0</v>
      </c>
      <c r="M98" s="711">
        <f>Bilans_E_AMS_Kyoto_run3_MTE!Q470</f>
        <v>0</v>
      </c>
      <c r="N98" s="711">
        <f>Bilans_E_AMS_Kyoto_run3_MTE!R470</f>
        <v>0</v>
      </c>
      <c r="O98" s="711">
        <f>Bilans_E_AMS_Kyoto_run3_MTE!S470</f>
        <v>0</v>
      </c>
      <c r="P98" s="711">
        <f>Bilans_E_AMS_Kyoto_run3_MTE!T470+Bilans_E_AMS_Kyoto_run3_MTE!U470</f>
        <v>0</v>
      </c>
      <c r="Q98" s="711">
        <f>Bilans_E_AMS_Kyoto_run3_MTE!V470</f>
        <v>0</v>
      </c>
      <c r="R98" s="711">
        <f>Bilans_E_AMS_Kyoto_run3_MTE!W470</f>
        <v>0</v>
      </c>
      <c r="S98" s="711">
        <f>Bilans_E_AMS_Kyoto_run3_MTE!X470</f>
        <v>0</v>
      </c>
      <c r="T98" s="711">
        <f>Bilans_E_AMS_Kyoto_run3_MTE!Y470</f>
        <v>3.6634319020026336</v>
      </c>
      <c r="U98" s="711">
        <f>Bilans_E_AMS_Kyoto_run3_MTE!Z470</f>
        <v>1.0208371960845648</v>
      </c>
      <c r="V98" s="701"/>
      <c r="W98" s="701"/>
    </row>
    <row r="99" spans="1:23" x14ac:dyDescent="0.25">
      <c r="A99" s="701" t="s">
        <v>499</v>
      </c>
      <c r="B99" s="701"/>
      <c r="C99" s="717" t="s">
        <v>72</v>
      </c>
      <c r="D99" s="711">
        <f>Bilans_E_AMS_Kyoto_run3_MTE!H471</f>
        <v>0</v>
      </c>
      <c r="E99" s="711">
        <f>Bilans_E_AMS_Kyoto_run3_MTE!I471</f>
        <v>183.99004915233374</v>
      </c>
      <c r="F99" s="711">
        <f>Bilans_E_AMS_Kyoto_run3_MTE!J471</f>
        <v>-182.1501486608104</v>
      </c>
      <c r="G99" s="711">
        <f>Bilans_E_AMS_Kyoto_run3_MTE!K471</f>
        <v>0</v>
      </c>
      <c r="H99" s="711">
        <f>Bilans_E_AMS_Kyoto_run3_MTE!L471</f>
        <v>0</v>
      </c>
      <c r="I99" s="711">
        <f>Bilans_E_AMS_Kyoto_run3_MTE!M471</f>
        <v>0</v>
      </c>
      <c r="J99" s="711">
        <f>Bilans_E_AMS_Kyoto_run3_MTE!N471</f>
        <v>0</v>
      </c>
      <c r="K99" s="711">
        <f>Bilans_E_AMS_Kyoto_run3_MTE!O471</f>
        <v>0</v>
      </c>
      <c r="L99" s="711">
        <f>Bilans_E_AMS_Kyoto_run3_MTE!P471</f>
        <v>0</v>
      </c>
      <c r="M99" s="711">
        <f>Bilans_E_AMS_Kyoto_run3_MTE!Q471</f>
        <v>0</v>
      </c>
      <c r="N99" s="711">
        <f>Bilans_E_AMS_Kyoto_run3_MTE!R471</f>
        <v>0</v>
      </c>
      <c r="O99" s="711">
        <f>Bilans_E_AMS_Kyoto_run3_MTE!S471</f>
        <v>0</v>
      </c>
      <c r="P99" s="711">
        <f>Bilans_E_AMS_Kyoto_run3_MTE!T471+Bilans_E_AMS_Kyoto_run3_MTE!U471</f>
        <v>0</v>
      </c>
      <c r="Q99" s="711">
        <f>Bilans_E_AMS_Kyoto_run3_MTE!V471</f>
        <v>0</v>
      </c>
      <c r="R99" s="711">
        <f>Bilans_E_AMS_Kyoto_run3_MTE!W471</f>
        <v>0</v>
      </c>
      <c r="S99" s="711">
        <f>Bilans_E_AMS_Kyoto_run3_MTE!X471</f>
        <v>0</v>
      </c>
      <c r="T99" s="711">
        <f>Bilans_E_AMS_Kyoto_run3_MTE!Y471</f>
        <v>0</v>
      </c>
      <c r="U99" s="711">
        <f>Bilans_E_AMS_Kyoto_run3_MTE!Z471</f>
        <v>1.8399004915233377</v>
      </c>
      <c r="V99" s="701"/>
      <c r="W99" s="701"/>
    </row>
    <row r="100" spans="1:23" x14ac:dyDescent="0.25">
      <c r="A100" s="701" t="s">
        <v>500</v>
      </c>
      <c r="B100" s="701"/>
      <c r="C100" s="717" t="s">
        <v>351</v>
      </c>
      <c r="D100" s="711">
        <f>Bilans_E_AMS_Kyoto_run3_MTE!H472</f>
        <v>0</v>
      </c>
      <c r="E100" s="711">
        <f>Bilans_E_AMS_Kyoto_run3_MTE!I472</f>
        <v>0</v>
      </c>
      <c r="F100" s="711">
        <f>Bilans_E_AMS_Kyoto_run3_MTE!J472</f>
        <v>0</v>
      </c>
      <c r="G100" s="711">
        <f>Bilans_E_AMS_Kyoto_run3_MTE!K472</f>
        <v>0</v>
      </c>
      <c r="H100" s="711">
        <f>Bilans_E_AMS_Kyoto_run3_MTE!L472</f>
        <v>0</v>
      </c>
      <c r="I100" s="711">
        <f>Bilans_E_AMS_Kyoto_run3_MTE!M472</f>
        <v>0</v>
      </c>
      <c r="J100" s="711">
        <f>Bilans_E_AMS_Kyoto_run3_MTE!N472</f>
        <v>0</v>
      </c>
      <c r="K100" s="711">
        <f>Bilans_E_AMS_Kyoto_run3_MTE!O472</f>
        <v>0</v>
      </c>
      <c r="L100" s="711">
        <f>Bilans_E_AMS_Kyoto_run3_MTE!P472</f>
        <v>98.264059426631164</v>
      </c>
      <c r="M100" s="711">
        <f>Bilans_E_AMS_Kyoto_run3_MTE!Q472</f>
        <v>7.2727272727272725</v>
      </c>
      <c r="N100" s="711">
        <f>Bilans_E_AMS_Kyoto_run3_MTE!R472</f>
        <v>-58.881352983692381</v>
      </c>
      <c r="O100" s="711">
        <f>Bilans_E_AMS_Kyoto_run3_MTE!S472</f>
        <v>0</v>
      </c>
      <c r="P100" s="711">
        <f>Bilans_E_AMS_Kyoto_run3_MTE!T472+Bilans_E_AMS_Kyoto_run3_MTE!U472</f>
        <v>0</v>
      </c>
      <c r="Q100" s="711">
        <f>Bilans_E_AMS_Kyoto_run3_MTE!V472</f>
        <v>0</v>
      </c>
      <c r="R100" s="711">
        <f>Bilans_E_AMS_Kyoto_run3_MTE!W472</f>
        <v>0</v>
      </c>
      <c r="S100" s="711">
        <f>Bilans_E_AMS_Kyoto_run3_MTE!X472</f>
        <v>0</v>
      </c>
      <c r="T100" s="711">
        <f>Bilans_E_AMS_Kyoto_run3_MTE!Y472</f>
        <v>0</v>
      </c>
      <c r="U100" s="711">
        <f>Bilans_E_AMS_Kyoto_run3_MTE!Z472</f>
        <v>46.655433715666049</v>
      </c>
      <c r="V100" s="701"/>
      <c r="W100" s="701"/>
    </row>
    <row r="101" spans="1:23" x14ac:dyDescent="0.25">
      <c r="A101" s="701" t="s">
        <v>501</v>
      </c>
      <c r="B101" s="701"/>
      <c r="C101" s="717" t="s">
        <v>352</v>
      </c>
      <c r="D101" s="711">
        <f>Bilans_E_AMS_Kyoto_run3_MTE!H473</f>
        <v>0</v>
      </c>
      <c r="E101" s="711">
        <f>Bilans_E_AMS_Kyoto_run3_MTE!I473</f>
        <v>0</v>
      </c>
      <c r="F101" s="711">
        <f>Bilans_E_AMS_Kyoto_run3_MTE!J473</f>
        <v>0</v>
      </c>
      <c r="G101" s="711">
        <f>Bilans_E_AMS_Kyoto_run3_MTE!K473</f>
        <v>-10.918730471145594</v>
      </c>
      <c r="H101" s="711">
        <f>Bilans_E_AMS_Kyoto_run3_MTE!L473</f>
        <v>0</v>
      </c>
      <c r="I101" s="711">
        <f>Bilans_E_AMS_Kyoto_run3_MTE!M473</f>
        <v>0</v>
      </c>
      <c r="J101" s="711">
        <f>Bilans_E_AMS_Kyoto_run3_MTE!N473</f>
        <v>0</v>
      </c>
      <c r="K101" s="711">
        <f>Bilans_E_AMS_Kyoto_run3_MTE!O473</f>
        <v>0</v>
      </c>
      <c r="L101" s="711">
        <f>Bilans_E_AMS_Kyoto_run3_MTE!P473</f>
        <v>0</v>
      </c>
      <c r="M101" s="711">
        <f>Bilans_E_AMS_Kyoto_run3_MTE!Q473</f>
        <v>0</v>
      </c>
      <c r="N101" s="711">
        <f>Bilans_E_AMS_Kyoto_run3_MTE!R473</f>
        <v>0</v>
      </c>
      <c r="O101" s="711">
        <f>Bilans_E_AMS_Kyoto_run3_MTE!S473</f>
        <v>0</v>
      </c>
      <c r="P101" s="711">
        <f>Bilans_E_AMS_Kyoto_run3_MTE!T473+Bilans_E_AMS_Kyoto_run3_MTE!U473</f>
        <v>0</v>
      </c>
      <c r="Q101" s="711">
        <f>Bilans_E_AMS_Kyoto_run3_MTE!V473</f>
        <v>0</v>
      </c>
      <c r="R101" s="711">
        <f>Bilans_E_AMS_Kyoto_run3_MTE!W473</f>
        <v>0</v>
      </c>
      <c r="S101" s="711">
        <f>Bilans_E_AMS_Kyoto_run3_MTE!X473</f>
        <v>0</v>
      </c>
      <c r="T101" s="711">
        <f>Bilans_E_AMS_Kyoto_run3_MTE!Y473</f>
        <v>18.115603518260158</v>
      </c>
      <c r="U101" s="711">
        <f>Bilans_E_AMS_Kyoto_run3_MTE!Z473</f>
        <v>7.1968730471145648</v>
      </c>
      <c r="V101" s="701"/>
      <c r="W101" s="701"/>
    </row>
    <row r="102" spans="1:23" x14ac:dyDescent="0.25">
      <c r="A102" s="701" t="s">
        <v>502</v>
      </c>
      <c r="B102" s="701"/>
      <c r="C102" s="717" t="s">
        <v>73</v>
      </c>
      <c r="D102" s="711">
        <f>Bilans_E_AMS_Kyoto_run3_MTE!H474</f>
        <v>0</v>
      </c>
      <c r="E102" s="711">
        <f>Bilans_E_AMS_Kyoto_run3_MTE!I474</f>
        <v>0</v>
      </c>
      <c r="F102" s="711">
        <f>Bilans_E_AMS_Kyoto_run3_MTE!J474</f>
        <v>0</v>
      </c>
      <c r="G102" s="711">
        <f>Bilans_E_AMS_Kyoto_run3_MTE!K474</f>
        <v>0</v>
      </c>
      <c r="H102" s="711">
        <f>Bilans_E_AMS_Kyoto_run3_MTE!L474</f>
        <v>0</v>
      </c>
      <c r="I102" s="711">
        <f>Bilans_E_AMS_Kyoto_run3_MTE!M474</f>
        <v>0</v>
      </c>
      <c r="J102" s="711">
        <f>Bilans_E_AMS_Kyoto_run3_MTE!N474</f>
        <v>0</v>
      </c>
      <c r="K102" s="711">
        <f>Bilans_E_AMS_Kyoto_run3_MTE!O474</f>
        <v>0</v>
      </c>
      <c r="L102" s="711">
        <f>Bilans_E_AMS_Kyoto_run3_MTE!P474</f>
        <v>0</v>
      </c>
      <c r="M102" s="711">
        <f>Bilans_E_AMS_Kyoto_run3_MTE!Q474</f>
        <v>0</v>
      </c>
      <c r="N102" s="711">
        <f>Bilans_E_AMS_Kyoto_run3_MTE!R474</f>
        <v>0</v>
      </c>
      <c r="O102" s="711">
        <f>Bilans_E_AMS_Kyoto_run3_MTE!S474</f>
        <v>0</v>
      </c>
      <c r="P102" s="711">
        <f>Bilans_E_AMS_Kyoto_run3_MTE!T474+Bilans_E_AMS_Kyoto_run3_MTE!U474</f>
        <v>0</v>
      </c>
      <c r="Q102" s="711">
        <f>Bilans_E_AMS_Kyoto_run3_MTE!V474</f>
        <v>0</v>
      </c>
      <c r="R102" s="711">
        <f>Bilans_E_AMS_Kyoto_run3_MTE!W474</f>
        <v>71.82433773705074</v>
      </c>
      <c r="S102" s="711">
        <f>Bilans_E_AMS_Kyoto_run3_MTE!X474</f>
        <v>0</v>
      </c>
      <c r="T102" s="711">
        <f>Bilans_E_AMS_Kyoto_run3_MTE!Y474</f>
        <v>-49.953826896118791</v>
      </c>
      <c r="U102" s="711">
        <f>Bilans_E_AMS_Kyoto_run3_MTE!Z474</f>
        <v>21.870510840931949</v>
      </c>
      <c r="V102" s="701"/>
      <c r="W102" s="701"/>
    </row>
    <row r="103" spans="1:23" x14ac:dyDescent="0.25">
      <c r="A103" s="701" t="s">
        <v>503</v>
      </c>
      <c r="B103" s="701"/>
      <c r="C103" s="717" t="s">
        <v>353</v>
      </c>
      <c r="D103" s="711">
        <f>Bilans_E_AMS_Kyoto_run3_MTE!H475</f>
        <v>3.2800345312500001</v>
      </c>
      <c r="E103" s="711">
        <f>Bilans_E_AMS_Kyoto_run3_MTE!I475</f>
        <v>-6.4350233154386336</v>
      </c>
      <c r="F103" s="711">
        <f>Bilans_E_AMS_Kyoto_run3_MTE!J475</f>
        <v>8.5665829244642584</v>
      </c>
      <c r="G103" s="711">
        <f>Bilans_E_AMS_Kyoto_run3_MTE!K475</f>
        <v>0</v>
      </c>
      <c r="H103" s="711">
        <f>Bilans_E_AMS_Kyoto_run3_MTE!L475</f>
        <v>0</v>
      </c>
      <c r="I103" s="711">
        <f>Bilans_E_AMS_Kyoto_run3_MTE!M475</f>
        <v>0</v>
      </c>
      <c r="J103" s="711">
        <f>Bilans_E_AMS_Kyoto_run3_MTE!N475</f>
        <v>0</v>
      </c>
      <c r="K103" s="711">
        <f>Bilans_E_AMS_Kyoto_run3_MTE!O475</f>
        <v>0</v>
      </c>
      <c r="L103" s="711">
        <f>Bilans_E_AMS_Kyoto_run3_MTE!P475</f>
        <v>0</v>
      </c>
      <c r="M103" s="711">
        <f>Bilans_E_AMS_Kyoto_run3_MTE!Q475</f>
        <v>0</v>
      </c>
      <c r="N103" s="711">
        <f>Bilans_E_AMS_Kyoto_run3_MTE!R475</f>
        <v>0</v>
      </c>
      <c r="O103" s="711">
        <f>Bilans_E_AMS_Kyoto_run3_MTE!S475</f>
        <v>0</v>
      </c>
      <c r="P103" s="711">
        <f>Bilans_E_AMS_Kyoto_run3_MTE!T475+Bilans_E_AMS_Kyoto_run3_MTE!U475</f>
        <v>0</v>
      </c>
      <c r="Q103" s="711">
        <f>Bilans_E_AMS_Kyoto_run3_MTE!V475</f>
        <v>0</v>
      </c>
      <c r="R103" s="711">
        <f>Bilans_E_AMS_Kyoto_run3_MTE!W475</f>
        <v>0</v>
      </c>
      <c r="S103" s="711">
        <f>Bilans_E_AMS_Kyoto_run3_MTE!X475</f>
        <v>0</v>
      </c>
      <c r="T103" s="711">
        <f>Bilans_E_AMS_Kyoto_run3_MTE!Y475</f>
        <v>0</v>
      </c>
      <c r="U103" s="711">
        <f>Bilans_E_AMS_Kyoto_run3_MTE!Z475</f>
        <v>5.4115941402756249</v>
      </c>
      <c r="V103" s="701"/>
      <c r="W103" s="701"/>
    </row>
    <row r="104" spans="1:23" x14ac:dyDescent="0.25">
      <c r="A104" s="701" t="s">
        <v>504</v>
      </c>
      <c r="B104" s="701"/>
      <c r="C104" s="717" t="s">
        <v>75</v>
      </c>
      <c r="D104" s="711">
        <f>Bilans_E_AMS_Kyoto_run3_MTE!H476</f>
        <v>1.2755689843750002</v>
      </c>
      <c r="E104" s="711">
        <f>Bilans_E_AMS_Kyoto_run3_MTE!I476</f>
        <v>0</v>
      </c>
      <c r="F104" s="711">
        <f>Bilans_E_AMS_Kyoto_run3_MTE!J476</f>
        <v>6.4072238182271617</v>
      </c>
      <c r="G104" s="711">
        <f>Bilans_E_AMS_Kyoto_run3_MTE!K476</f>
        <v>0</v>
      </c>
      <c r="H104" s="711">
        <f>Bilans_E_AMS_Kyoto_run3_MTE!L476</f>
        <v>0</v>
      </c>
      <c r="I104" s="711">
        <f>Bilans_E_AMS_Kyoto_run3_MTE!M476</f>
        <v>0</v>
      </c>
      <c r="J104" s="711">
        <f>Bilans_E_AMS_Kyoto_run3_MTE!N476</f>
        <v>0</v>
      </c>
      <c r="K104" s="711">
        <f>Bilans_E_AMS_Kyoto_run3_MTE!O476</f>
        <v>0</v>
      </c>
      <c r="L104" s="711">
        <f>Bilans_E_AMS_Kyoto_run3_MTE!P476</f>
        <v>0</v>
      </c>
      <c r="M104" s="711">
        <f>Bilans_E_AMS_Kyoto_run3_MTE!Q476</f>
        <v>0</v>
      </c>
      <c r="N104" s="711">
        <f>Bilans_E_AMS_Kyoto_run3_MTE!R476</f>
        <v>0</v>
      </c>
      <c r="O104" s="711">
        <f>Bilans_E_AMS_Kyoto_run3_MTE!S476</f>
        <v>0</v>
      </c>
      <c r="P104" s="711">
        <f>Bilans_E_AMS_Kyoto_run3_MTE!T476+Bilans_E_AMS_Kyoto_run3_MTE!U476</f>
        <v>0</v>
      </c>
      <c r="Q104" s="711">
        <f>Bilans_E_AMS_Kyoto_run3_MTE!V476</f>
        <v>0</v>
      </c>
      <c r="R104" s="711">
        <f>Bilans_E_AMS_Kyoto_run3_MTE!W476</f>
        <v>38.57687969589584</v>
      </c>
      <c r="S104" s="711">
        <f>Bilans_E_AMS_Kyoto_run3_MTE!X476</f>
        <v>0</v>
      </c>
      <c r="T104" s="711">
        <f>Bilans_E_AMS_Kyoto_run3_MTE!Y476</f>
        <v>1.8110857498187163</v>
      </c>
      <c r="U104" s="711">
        <f>Bilans_E_AMS_Kyoto_run3_MTE!Z476</f>
        <v>48.070758248316722</v>
      </c>
      <c r="V104" s="701"/>
      <c r="W104" s="701"/>
    </row>
    <row r="105" spans="1:23" x14ac:dyDescent="0.25">
      <c r="A105" s="701" t="s">
        <v>505</v>
      </c>
      <c r="B105" s="701"/>
      <c r="C105" s="717" t="s">
        <v>76</v>
      </c>
      <c r="D105" s="711">
        <f>Bilans_E_AMS_Kyoto_run3_MTE!H477</f>
        <v>0</v>
      </c>
      <c r="E105" s="711">
        <f>Bilans_E_AMS_Kyoto_run3_MTE!I477</f>
        <v>0</v>
      </c>
      <c r="F105" s="711">
        <f>Bilans_E_AMS_Kyoto_run3_MTE!J477</f>
        <v>0</v>
      </c>
      <c r="G105" s="711">
        <f>Bilans_E_AMS_Kyoto_run3_MTE!K477</f>
        <v>0</v>
      </c>
      <c r="H105" s="711">
        <f>Bilans_E_AMS_Kyoto_run3_MTE!L477</f>
        <v>0.98381967017411598</v>
      </c>
      <c r="I105" s="711">
        <f>Bilans_E_AMS_Kyoto_run3_MTE!M477</f>
        <v>1.0355996528148588E-2</v>
      </c>
      <c r="J105" s="711">
        <f>Bilans_E_AMS_Kyoto_run3_MTE!N477</f>
        <v>0</v>
      </c>
      <c r="K105" s="711">
        <f>Bilans_E_AMS_Kyoto_run3_MTE!O477</f>
        <v>0</v>
      </c>
      <c r="L105" s="711">
        <f>Bilans_E_AMS_Kyoto_run3_MTE!P477</f>
        <v>0</v>
      </c>
      <c r="M105" s="711">
        <f>Bilans_E_AMS_Kyoto_run3_MTE!Q477</f>
        <v>0</v>
      </c>
      <c r="N105" s="711">
        <f>Bilans_E_AMS_Kyoto_run3_MTE!R477</f>
        <v>0</v>
      </c>
      <c r="O105" s="711">
        <f>Bilans_E_AMS_Kyoto_run3_MTE!S477</f>
        <v>0.73182375465583349</v>
      </c>
      <c r="P105" s="711">
        <f>Bilans_E_AMS_Kyoto_run3_MTE!T477+Bilans_E_AMS_Kyoto_run3_MTE!U477</f>
        <v>0</v>
      </c>
      <c r="Q105" s="711">
        <f>Bilans_E_AMS_Kyoto_run3_MTE!V477</f>
        <v>0</v>
      </c>
      <c r="R105" s="711">
        <f>Bilans_E_AMS_Kyoto_run3_MTE!W477</f>
        <v>58.720759743857542</v>
      </c>
      <c r="S105" s="711">
        <f>Bilans_E_AMS_Kyoto_run3_MTE!X477</f>
        <v>6.7361736922382924</v>
      </c>
      <c r="T105" s="711">
        <f>Bilans_E_AMS_Kyoto_run3_MTE!Y477</f>
        <v>0</v>
      </c>
      <c r="U105" s="711">
        <f>Bilans_E_AMS_Kyoto_run3_MTE!Z477</f>
        <v>67.182932857453935</v>
      </c>
      <c r="V105" s="701"/>
      <c r="W105" s="701"/>
    </row>
    <row r="106" spans="1:23" x14ac:dyDescent="0.25">
      <c r="A106" s="701" t="s">
        <v>506</v>
      </c>
      <c r="B106" s="701"/>
      <c r="C106" s="713" t="s">
        <v>77</v>
      </c>
      <c r="D106" s="714">
        <f>Bilans_E_AMS_Kyoto_run3_MTE!H478</f>
        <v>4.5556035156250001</v>
      </c>
      <c r="E106" s="714">
        <f>Bilans_E_AMS_Kyoto_run3_MTE!I478</f>
        <v>177.55502583689511</v>
      </c>
      <c r="F106" s="714">
        <f>Bilans_E_AMS_Kyoto_run3_MTE!J478</f>
        <v>-167.14988113675898</v>
      </c>
      <c r="G106" s="714">
        <f>Bilans_E_AMS_Kyoto_run3_MTE!K478</f>
        <v>-10.918730471145594</v>
      </c>
      <c r="H106" s="714">
        <f>Bilans_E_AMS_Kyoto_run3_MTE!L478</f>
        <v>12.34745368902659</v>
      </c>
      <c r="I106" s="714">
        <f>Bilans_E_AMS_Kyoto_run3_MTE!M478</f>
        <v>-2.5126460562266661</v>
      </c>
      <c r="J106" s="714">
        <f>Bilans_E_AMS_Kyoto_run3_MTE!N478</f>
        <v>1099.5846392966657</v>
      </c>
      <c r="K106" s="714">
        <f>Bilans_E_AMS_Kyoto_run3_MTE!O478</f>
        <v>432.558137271254</v>
      </c>
      <c r="L106" s="714">
        <f>Bilans_E_AMS_Kyoto_run3_MTE!P478</f>
        <v>277.93237210319938</v>
      </c>
      <c r="M106" s="714">
        <f>Bilans_E_AMS_Kyoto_run3_MTE!Q478</f>
        <v>37.745140849319363</v>
      </c>
      <c r="N106" s="714">
        <f>Bilans_E_AMS_Kyoto_run3_MTE!R478</f>
        <v>-52.823481246101892</v>
      </c>
      <c r="O106" s="714">
        <f>Bilans_E_AMS_Kyoto_run3_MTE!S478</f>
        <v>-66.004971228004962</v>
      </c>
      <c r="P106" s="714">
        <f>Bilans_E_AMS_Kyoto_run3_MTE!T478+Bilans_E_AMS_Kyoto_run3_MTE!U478</f>
        <v>18.404716933116433</v>
      </c>
      <c r="Q106" s="714">
        <f>Bilans_E_AMS_Kyoto_run3_MTE!V478</f>
        <v>19.863896915877778</v>
      </c>
      <c r="R106" s="714">
        <f>Bilans_E_AMS_Kyoto_run3_MTE!W478</f>
        <v>-641.4616245754471</v>
      </c>
      <c r="S106" s="714">
        <f>Bilans_E_AMS_Kyoto_run3_MTE!X478</f>
        <v>-80.131352097194963</v>
      </c>
      <c r="T106" s="714">
        <f>Bilans_E_AMS_Kyoto_run3_MTE!Y478</f>
        <v>-26.363705726037281</v>
      </c>
      <c r="U106" s="714">
        <f>Bilans_E_AMS_Kyoto_run3_MTE!Z478</f>
        <v>1033.1805938740617</v>
      </c>
      <c r="V106" s="701"/>
      <c r="W106" s="701"/>
    </row>
    <row r="107" spans="1:23" x14ac:dyDescent="0.25">
      <c r="A107" s="701"/>
      <c r="B107" s="701"/>
      <c r="C107" s="715"/>
      <c r="D107" s="716"/>
      <c r="E107" s="716"/>
      <c r="F107" s="716"/>
      <c r="G107" s="716"/>
      <c r="H107" s="716"/>
      <c r="I107" s="716"/>
      <c r="J107" s="716"/>
      <c r="K107" s="716"/>
      <c r="L107" s="716"/>
      <c r="M107" s="716"/>
      <c r="N107" s="716"/>
      <c r="O107" s="716"/>
      <c r="P107" s="716">
        <f>Bilans_E_AMS_Kyoto_run3_MTE!T479+Bilans_E_AMS_Kyoto_run3_MTE!U479</f>
        <v>0</v>
      </c>
      <c r="Q107" s="716"/>
      <c r="R107" s="716"/>
      <c r="S107" s="716"/>
      <c r="T107" s="716"/>
      <c r="U107" s="716"/>
      <c r="V107" s="701"/>
      <c r="W107" s="701"/>
    </row>
    <row r="108" spans="1:23" x14ac:dyDescent="0.25">
      <c r="A108" s="701" t="s">
        <v>507</v>
      </c>
      <c r="B108" s="701"/>
      <c r="C108" s="717" t="s">
        <v>78</v>
      </c>
      <c r="D108" s="711">
        <f>Bilans_E_AMS_Kyoto_run3_MTE!H480</f>
        <v>0.16342834472656248</v>
      </c>
      <c r="E108" s="711">
        <f>Bilans_E_AMS_Kyoto_run3_MTE!I480</f>
        <v>0</v>
      </c>
      <c r="F108" s="711">
        <f>Bilans_E_AMS_Kyoto_run3_MTE!J480</f>
        <v>1.192335444968337</v>
      </c>
      <c r="G108" s="711">
        <f>Bilans_E_AMS_Kyoto_run3_MTE!K480</f>
        <v>0</v>
      </c>
      <c r="H108" s="711">
        <f>Bilans_E_AMS_Kyoto_run3_MTE!L480</f>
        <v>32.001904580711056</v>
      </c>
      <c r="I108" s="711">
        <f>Bilans_E_AMS_Kyoto_run3_MTE!M480</f>
        <v>0.33686215348116894</v>
      </c>
      <c r="J108" s="711">
        <f>Bilans_E_AMS_Kyoto_run3_MTE!N480</f>
        <v>0</v>
      </c>
      <c r="K108" s="711">
        <f>Bilans_E_AMS_Kyoto_run3_MTE!O480</f>
        <v>0</v>
      </c>
      <c r="L108" s="711">
        <f>Bilans_E_AMS_Kyoto_run3_MTE!P480</f>
        <v>35.925037819448683</v>
      </c>
      <c r="M108" s="711">
        <f>Bilans_E_AMS_Kyoto_run3_MTE!Q480</f>
        <v>8.355944349353404</v>
      </c>
      <c r="N108" s="711">
        <f>Bilans_E_AMS_Kyoto_run3_MTE!R480</f>
        <v>0.41126405446607639</v>
      </c>
      <c r="O108" s="711">
        <f>Bilans_E_AMS_Kyoto_run3_MTE!S480</f>
        <v>23.845200759921546</v>
      </c>
      <c r="P108" s="711">
        <f>Bilans_E_AMS_Kyoto_run3_MTE!T480+Bilans_E_AMS_Kyoto_run3_MTE!U480</f>
        <v>12.595482421874999</v>
      </c>
      <c r="Q108" s="711">
        <f>Bilans_E_AMS_Kyoto_run3_MTE!V480</f>
        <v>8.2107689234467234E-4</v>
      </c>
      <c r="R108" s="711">
        <f>Bilans_E_AMS_Kyoto_run3_MTE!W480</f>
        <v>157.38101577829286</v>
      </c>
      <c r="S108" s="711">
        <f>Bilans_E_AMS_Kyoto_run3_MTE!X480</f>
        <v>19.581895205138572</v>
      </c>
      <c r="T108" s="711">
        <f>Bilans_E_AMS_Kyoto_run3_MTE!Y480</f>
        <v>11.602856445312501</v>
      </c>
      <c r="U108" s="711">
        <f>Bilans_E_AMS_Kyoto_run3_MTE!Z480</f>
        <v>303.39404843458811</v>
      </c>
      <c r="V108" s="701"/>
      <c r="W108" s="701"/>
    </row>
    <row r="109" spans="1:23" x14ac:dyDescent="0.25">
      <c r="A109" s="701" t="s">
        <v>508</v>
      </c>
      <c r="B109" s="701"/>
      <c r="C109" s="717" t="s">
        <v>79</v>
      </c>
      <c r="D109" s="711">
        <f>Bilans_E_AMS_Kyoto_run3_MTE!H481</f>
        <v>0</v>
      </c>
      <c r="E109" s="711">
        <f>Bilans_E_AMS_Kyoto_run3_MTE!I481</f>
        <v>0</v>
      </c>
      <c r="F109" s="711">
        <f>Bilans_E_AMS_Kyoto_run3_MTE!J481</f>
        <v>57.415221307039587</v>
      </c>
      <c r="G109" s="711">
        <f>Bilans_E_AMS_Kyoto_run3_MTE!K481</f>
        <v>1.6</v>
      </c>
      <c r="H109" s="711">
        <f>Bilans_E_AMS_Kyoto_run3_MTE!L481</f>
        <v>4.3056781164291928</v>
      </c>
      <c r="I109" s="711">
        <f>Bilans_E_AMS_Kyoto_run3_MTE!M481</f>
        <v>4.5322927541359921E-2</v>
      </c>
      <c r="J109" s="711">
        <f>Bilans_E_AMS_Kyoto_run3_MTE!N481</f>
        <v>0</v>
      </c>
      <c r="K109" s="711">
        <f>Bilans_E_AMS_Kyoto_run3_MTE!O481</f>
        <v>0</v>
      </c>
      <c r="L109" s="711">
        <f>Bilans_E_AMS_Kyoto_run3_MTE!P481</f>
        <v>0</v>
      </c>
      <c r="M109" s="711">
        <f>Bilans_E_AMS_Kyoto_run3_MTE!Q481</f>
        <v>0</v>
      </c>
      <c r="N109" s="711">
        <f>Bilans_E_AMS_Kyoto_run3_MTE!R481</f>
        <v>31.800952318042711</v>
      </c>
      <c r="O109" s="711">
        <f>Bilans_E_AMS_Kyoto_run3_MTE!S481</f>
        <v>3.2028202129227674</v>
      </c>
      <c r="P109" s="711">
        <f>Bilans_E_AMS_Kyoto_run3_MTE!T481+Bilans_E_AMS_Kyoto_run3_MTE!U481</f>
        <v>0</v>
      </c>
      <c r="Q109" s="711">
        <f>Bilans_E_AMS_Kyoto_run3_MTE!V481</f>
        <v>0</v>
      </c>
      <c r="R109" s="711">
        <f>Bilans_E_AMS_Kyoto_run3_MTE!W481</f>
        <v>112.28525884459542</v>
      </c>
      <c r="S109" s="711">
        <f>Bilans_E_AMS_Kyoto_run3_MTE!X481</f>
        <v>0</v>
      </c>
      <c r="T109" s="711">
        <f>Bilans_E_AMS_Kyoto_run3_MTE!Y481</f>
        <v>5.8069925085288689</v>
      </c>
      <c r="U109" s="711">
        <f>Bilans_E_AMS_Kyoto_run3_MTE!Z481</f>
        <v>216.46224623509994</v>
      </c>
      <c r="V109" s="701"/>
      <c r="W109" s="701"/>
    </row>
    <row r="110" spans="1:23" x14ac:dyDescent="0.25">
      <c r="A110" s="701" t="s">
        <v>509</v>
      </c>
      <c r="B110" s="701"/>
      <c r="C110" s="717" t="s">
        <v>80</v>
      </c>
      <c r="D110" s="711">
        <f>Bilans_E_AMS_Kyoto_run3_MTE!H482</f>
        <v>0</v>
      </c>
      <c r="E110" s="711">
        <f>Bilans_E_AMS_Kyoto_run3_MTE!I482</f>
        <v>0</v>
      </c>
      <c r="F110" s="711">
        <f>Bilans_E_AMS_Kyoto_run3_MTE!J482</f>
        <v>0.29271355474186761</v>
      </c>
      <c r="G110" s="711">
        <f>Bilans_E_AMS_Kyoto_run3_MTE!K482</f>
        <v>0</v>
      </c>
      <c r="H110" s="711">
        <f>Bilans_E_AMS_Kyoto_run3_MTE!L482</f>
        <v>21.230302820629564</v>
      </c>
      <c r="I110" s="711">
        <f>Bilans_E_AMS_Kyoto_run3_MTE!M482</f>
        <v>0.22347687179610068</v>
      </c>
      <c r="J110" s="711">
        <f>Bilans_E_AMS_Kyoto_run3_MTE!N482</f>
        <v>0</v>
      </c>
      <c r="K110" s="711">
        <f>Bilans_E_AMS_Kyoto_run3_MTE!O482</f>
        <v>0</v>
      </c>
      <c r="L110" s="711">
        <f>Bilans_E_AMS_Kyoto_run3_MTE!P482</f>
        <v>42.610592667556531</v>
      </c>
      <c r="M110" s="711">
        <f>Bilans_E_AMS_Kyoto_run3_MTE!Q482</f>
        <v>0</v>
      </c>
      <c r="N110" s="711">
        <f>Bilans_E_AMS_Kyoto_run3_MTE!R482</f>
        <v>0</v>
      </c>
      <c r="O110" s="711">
        <f>Bilans_E_AMS_Kyoto_run3_MTE!S482</f>
        <v>15.792365606924447</v>
      </c>
      <c r="P110" s="711">
        <f>Bilans_E_AMS_Kyoto_run3_MTE!T482+Bilans_E_AMS_Kyoto_run3_MTE!U482</f>
        <v>140.68580630413436</v>
      </c>
      <c r="Q110" s="711">
        <f>Bilans_E_AMS_Kyoto_run3_MTE!V482</f>
        <v>11.422179608472932</v>
      </c>
      <c r="R110" s="711">
        <f>Bilans_E_AMS_Kyoto_run3_MTE!W482</f>
        <v>140.84431405230941</v>
      </c>
      <c r="S110" s="711">
        <f>Bilans_E_AMS_Kyoto_run3_MTE!X482</f>
        <v>37.657555904845751</v>
      </c>
      <c r="T110" s="711">
        <f>Bilans_E_AMS_Kyoto_run3_MTE!Y482</f>
        <v>0</v>
      </c>
      <c r="U110" s="711">
        <f>Bilans_E_AMS_Kyoto_run3_MTE!Z482</f>
        <v>410.75930739141103</v>
      </c>
      <c r="V110" s="701"/>
      <c r="W110" s="701"/>
    </row>
    <row r="111" spans="1:23" x14ac:dyDescent="0.25">
      <c r="A111" s="701" t="s">
        <v>510</v>
      </c>
      <c r="B111" s="701"/>
      <c r="C111" s="717" t="s">
        <v>81</v>
      </c>
      <c r="D111" s="711">
        <f>Bilans_E_AMS_Kyoto_run3_MTE!H483</f>
        <v>0</v>
      </c>
      <c r="E111" s="711">
        <f>Bilans_E_AMS_Kyoto_run3_MTE!I483</f>
        <v>0</v>
      </c>
      <c r="F111" s="711">
        <f>Bilans_E_AMS_Kyoto_run3_MTE!J483</f>
        <v>0.52496175669255951</v>
      </c>
      <c r="G111" s="711">
        <f>Bilans_E_AMS_Kyoto_run3_MTE!K483</f>
        <v>0</v>
      </c>
      <c r="H111" s="711">
        <f>Bilans_E_AMS_Kyoto_run3_MTE!L483</f>
        <v>12.447473647538219</v>
      </c>
      <c r="I111" s="711">
        <f>Bilans_E_AMS_Kyoto_run3_MTE!M483</f>
        <v>0.13102603839513913</v>
      </c>
      <c r="J111" s="711">
        <f>Bilans_E_AMS_Kyoto_run3_MTE!N483</f>
        <v>0</v>
      </c>
      <c r="K111" s="711">
        <f>Bilans_E_AMS_Kyoto_run3_MTE!O483</f>
        <v>0</v>
      </c>
      <c r="L111" s="711">
        <f>Bilans_E_AMS_Kyoto_run3_MTE!P483</f>
        <v>0.50385641884580723</v>
      </c>
      <c r="M111" s="711">
        <f>Bilans_E_AMS_Kyoto_run3_MTE!Q483</f>
        <v>0</v>
      </c>
      <c r="N111" s="711">
        <f>Bilans_E_AMS_Kyoto_run3_MTE!R483</f>
        <v>0</v>
      </c>
      <c r="O111" s="711">
        <f>Bilans_E_AMS_Kyoto_run3_MTE!S483</f>
        <v>9.2591733799231637</v>
      </c>
      <c r="P111" s="711">
        <f>Bilans_E_AMS_Kyoto_run3_MTE!T483+Bilans_E_AMS_Kyoto_run3_MTE!U483</f>
        <v>55.972584841883723</v>
      </c>
      <c r="Q111" s="711">
        <f>Bilans_E_AMS_Kyoto_run3_MTE!V483</f>
        <v>11.263560576499328</v>
      </c>
      <c r="R111" s="711">
        <f>Bilans_E_AMS_Kyoto_run3_MTE!W483</f>
        <v>122.13846664869735</v>
      </c>
      <c r="S111" s="711">
        <f>Bilans_E_AMS_Kyoto_run3_MTE!X483</f>
        <v>22.891868477454477</v>
      </c>
      <c r="T111" s="711">
        <f>Bilans_E_AMS_Kyoto_run3_MTE!Y483</f>
        <v>0</v>
      </c>
      <c r="U111" s="711">
        <f>Bilans_E_AMS_Kyoto_run3_MTE!Z483</f>
        <v>235.13297178592975</v>
      </c>
      <c r="V111" s="701"/>
      <c r="W111" s="701"/>
    </row>
    <row r="112" spans="1:23" x14ac:dyDescent="0.25">
      <c r="A112" s="701" t="s">
        <v>511</v>
      </c>
      <c r="B112" s="701"/>
      <c r="C112" s="717" t="s">
        <v>82</v>
      </c>
      <c r="D112" s="711">
        <f>Bilans_E_AMS_Kyoto_run3_MTE!H484</f>
        <v>0</v>
      </c>
      <c r="E112" s="711">
        <f>Bilans_E_AMS_Kyoto_run3_MTE!I484</f>
        <v>0</v>
      </c>
      <c r="F112" s="711">
        <f>Bilans_E_AMS_Kyoto_run3_MTE!J484</f>
        <v>8.4604278538625355</v>
      </c>
      <c r="G112" s="711">
        <f>Bilans_E_AMS_Kyoto_run3_MTE!K484</f>
        <v>0</v>
      </c>
      <c r="H112" s="711">
        <f>Bilans_E_AMS_Kyoto_run3_MTE!L484</f>
        <v>0.63597933034917353</v>
      </c>
      <c r="I112" s="711">
        <f>Bilans_E_AMS_Kyoto_run3_MTE!M484</f>
        <v>6.6945192668334047E-3</v>
      </c>
      <c r="J112" s="711">
        <f>Bilans_E_AMS_Kyoto_run3_MTE!N484</f>
        <v>0</v>
      </c>
      <c r="K112" s="711">
        <f>Bilans_E_AMS_Kyoto_run3_MTE!O484</f>
        <v>0</v>
      </c>
      <c r="L112" s="711">
        <f>Bilans_E_AMS_Kyoto_run3_MTE!P484</f>
        <v>16.880915854504494</v>
      </c>
      <c r="M112" s="711">
        <f>Bilans_E_AMS_Kyoto_run3_MTE!Q484</f>
        <v>0</v>
      </c>
      <c r="N112" s="711">
        <f>Bilans_E_AMS_Kyoto_run3_MTE!R484</f>
        <v>8.0439535729809908</v>
      </c>
      <c r="O112" s="711">
        <f>Bilans_E_AMS_Kyoto_run3_MTE!S484</f>
        <v>0.47307936152289393</v>
      </c>
      <c r="P112" s="711">
        <f>Bilans_E_AMS_Kyoto_run3_MTE!T484+Bilans_E_AMS_Kyoto_run3_MTE!U484</f>
        <v>1.1499999999999999</v>
      </c>
      <c r="Q112" s="711">
        <f>Bilans_E_AMS_Kyoto_run3_MTE!V484</f>
        <v>1.5666563685107562</v>
      </c>
      <c r="R112" s="711">
        <f>Bilans_E_AMS_Kyoto_run3_MTE!W484</f>
        <v>10.022325873265157</v>
      </c>
      <c r="S112" s="711">
        <f>Bilans_E_AMS_Kyoto_run3_MTE!X484</f>
        <v>0</v>
      </c>
      <c r="T112" s="711">
        <f>Bilans_E_AMS_Kyoto_run3_MTE!Y484</f>
        <v>0.50936070240640652</v>
      </c>
      <c r="U112" s="711">
        <f>Bilans_E_AMS_Kyoto_run3_MTE!Z484</f>
        <v>47.74939343666923</v>
      </c>
      <c r="V112" s="701"/>
      <c r="W112" s="701"/>
    </row>
    <row r="113" spans="1:23" x14ac:dyDescent="0.25">
      <c r="A113" s="701" t="s">
        <v>512</v>
      </c>
      <c r="B113" s="701"/>
      <c r="C113" s="717" t="s">
        <v>354</v>
      </c>
      <c r="D113" s="711">
        <f>Bilans_E_AMS_Kyoto_run3_MTE!H485</f>
        <v>0</v>
      </c>
      <c r="E113" s="711">
        <f>Bilans_E_AMS_Kyoto_run3_MTE!I485</f>
        <v>0</v>
      </c>
      <c r="F113" s="711">
        <f>Bilans_E_AMS_Kyoto_run3_MTE!J485</f>
        <v>0</v>
      </c>
      <c r="G113" s="711">
        <f>Bilans_E_AMS_Kyoto_run3_MTE!K485</f>
        <v>0</v>
      </c>
      <c r="H113" s="711">
        <f>Bilans_E_AMS_Kyoto_run3_MTE!L485</f>
        <v>0</v>
      </c>
      <c r="I113" s="711">
        <f>Bilans_E_AMS_Kyoto_run3_MTE!M485</f>
        <v>0</v>
      </c>
      <c r="J113" s="711">
        <f>Bilans_E_AMS_Kyoto_run3_MTE!N485</f>
        <v>0</v>
      </c>
      <c r="K113" s="711">
        <f>Bilans_E_AMS_Kyoto_run3_MTE!O485</f>
        <v>0</v>
      </c>
      <c r="L113" s="711">
        <f>Bilans_E_AMS_Kyoto_run3_MTE!P485</f>
        <v>0</v>
      </c>
      <c r="M113" s="711">
        <f>Bilans_E_AMS_Kyoto_run3_MTE!Q485</f>
        <v>0</v>
      </c>
      <c r="N113" s="711">
        <f>Bilans_E_AMS_Kyoto_run3_MTE!R485</f>
        <v>0</v>
      </c>
      <c r="O113" s="711">
        <f>Bilans_E_AMS_Kyoto_run3_MTE!S485</f>
        <v>0</v>
      </c>
      <c r="P113" s="711">
        <f>Bilans_E_AMS_Kyoto_run3_MTE!T485+Bilans_E_AMS_Kyoto_run3_MTE!U485</f>
        <v>0</v>
      </c>
      <c r="Q113" s="711">
        <f>Bilans_E_AMS_Kyoto_run3_MTE!V485</f>
        <v>0</v>
      </c>
      <c r="R113" s="711">
        <f>Bilans_E_AMS_Kyoto_run3_MTE!W485</f>
        <v>6.8640000000000008</v>
      </c>
      <c r="S113" s="711">
        <f>Bilans_E_AMS_Kyoto_run3_MTE!X485</f>
        <v>0</v>
      </c>
      <c r="T113" s="711">
        <f>Bilans_E_AMS_Kyoto_run3_MTE!Y485</f>
        <v>0</v>
      </c>
      <c r="U113" s="711">
        <f>Bilans_E_AMS_Kyoto_run3_MTE!Z485</f>
        <v>6.8640000000000008</v>
      </c>
      <c r="V113" s="701"/>
      <c r="W113" s="701"/>
    </row>
    <row r="114" spans="1:23" x14ac:dyDescent="0.25">
      <c r="A114" s="701" t="s">
        <v>513</v>
      </c>
      <c r="B114" s="701"/>
      <c r="C114" s="713" t="s">
        <v>83</v>
      </c>
      <c r="D114" s="714">
        <f>Bilans_E_AMS_Kyoto_run3_MTE!H486</f>
        <v>0.16342834472656248</v>
      </c>
      <c r="E114" s="714">
        <f>Bilans_E_AMS_Kyoto_run3_MTE!I486</f>
        <v>0</v>
      </c>
      <c r="F114" s="714">
        <f>Bilans_E_AMS_Kyoto_run3_MTE!J486</f>
        <v>67.885659917304892</v>
      </c>
      <c r="G114" s="714">
        <f>Bilans_E_AMS_Kyoto_run3_MTE!K486</f>
        <v>1.6</v>
      </c>
      <c r="H114" s="714">
        <f>Bilans_E_AMS_Kyoto_run3_MTE!L486</f>
        <v>70.621338495657199</v>
      </c>
      <c r="I114" s="714">
        <f>Bilans_E_AMS_Kyoto_run3_MTE!M486</f>
        <v>0.74338251048060211</v>
      </c>
      <c r="J114" s="714">
        <f>Bilans_E_AMS_Kyoto_run3_MTE!N486</f>
        <v>0</v>
      </c>
      <c r="K114" s="714">
        <f>Bilans_E_AMS_Kyoto_run3_MTE!O486</f>
        <v>0</v>
      </c>
      <c r="L114" s="714">
        <f>Bilans_E_AMS_Kyoto_run3_MTE!P486</f>
        <v>95.920402760355529</v>
      </c>
      <c r="M114" s="714">
        <f>Bilans_E_AMS_Kyoto_run3_MTE!Q486</f>
        <v>8.355944349353404</v>
      </c>
      <c r="N114" s="714">
        <f>Bilans_E_AMS_Kyoto_run3_MTE!R486</f>
        <v>40.256169945489773</v>
      </c>
      <c r="O114" s="714">
        <f>Bilans_E_AMS_Kyoto_run3_MTE!S486</f>
        <v>52.572639321214815</v>
      </c>
      <c r="P114" s="714">
        <f>Bilans_E_AMS_Kyoto_run3_MTE!T486+Bilans_E_AMS_Kyoto_run3_MTE!U486</f>
        <v>210.4038735678931</v>
      </c>
      <c r="Q114" s="714">
        <f>Bilans_E_AMS_Kyoto_run3_MTE!V486</f>
        <v>24.25321763037536</v>
      </c>
      <c r="R114" s="714">
        <f>Bilans_E_AMS_Kyoto_run3_MTE!W486</f>
        <v>549.53538119716018</v>
      </c>
      <c r="S114" s="714">
        <f>Bilans_E_AMS_Kyoto_run3_MTE!X486</f>
        <v>80.131319587438796</v>
      </c>
      <c r="T114" s="714">
        <f>Bilans_E_AMS_Kyoto_run3_MTE!Y486</f>
        <v>17.919209656247777</v>
      </c>
      <c r="U114" s="714">
        <f>Bilans_E_AMS_Kyoto_run3_MTE!Z486</f>
        <v>1220.361967283698</v>
      </c>
      <c r="V114" s="701"/>
      <c r="W114" s="701"/>
    </row>
    <row r="115" spans="1:23" x14ac:dyDescent="0.25">
      <c r="A115" s="701" t="s">
        <v>514</v>
      </c>
      <c r="B115" s="701"/>
      <c r="C115" s="710" t="s">
        <v>84</v>
      </c>
      <c r="D115" s="711">
        <f>Bilans_E_AMS_Kyoto_run3_MTE!H487</f>
        <v>0</v>
      </c>
      <c r="E115" s="711">
        <f>Bilans_E_AMS_Kyoto_run3_MTE!I487</f>
        <v>0</v>
      </c>
      <c r="F115" s="711">
        <f>Bilans_E_AMS_Kyoto_run3_MTE!J487</f>
        <v>98.630833151912839</v>
      </c>
      <c r="G115" s="711">
        <f>Bilans_E_AMS_Kyoto_run3_MTE!K487</f>
        <v>3.094705785318189</v>
      </c>
      <c r="H115" s="711">
        <f>Bilans_E_AMS_Kyoto_run3_MTE!L487</f>
        <v>10.821936682039073</v>
      </c>
      <c r="I115" s="711">
        <f>Bilans_E_AMS_Kyoto_run3_MTE!M487</f>
        <v>0</v>
      </c>
      <c r="J115" s="711">
        <f>Bilans_E_AMS_Kyoto_run3_MTE!N487</f>
        <v>0</v>
      </c>
      <c r="K115" s="711">
        <f>Bilans_E_AMS_Kyoto_run3_MTE!O487</f>
        <v>0</v>
      </c>
      <c r="L115" s="711">
        <f>Bilans_E_AMS_Kyoto_run3_MTE!P487</f>
        <v>0.52555901393570603</v>
      </c>
      <c r="M115" s="711">
        <f>Bilans_E_AMS_Kyoto_run3_MTE!Q487</f>
        <v>0</v>
      </c>
      <c r="N115" s="711">
        <f>Bilans_E_AMS_Kyoto_run3_MTE!R487</f>
        <v>4.7238090812444442</v>
      </c>
      <c r="O115" s="711">
        <f>Bilans_E_AMS_Kyoto_run3_MTE!S487</f>
        <v>0</v>
      </c>
      <c r="P115" s="711">
        <f>Bilans_E_AMS_Kyoto_run3_MTE!T487+Bilans_E_AMS_Kyoto_run3_MTE!U487</f>
        <v>0</v>
      </c>
      <c r="Q115" s="711">
        <f>Bilans_E_AMS_Kyoto_run3_MTE!V487</f>
        <v>0</v>
      </c>
      <c r="R115" s="711">
        <f>Bilans_E_AMS_Kyoto_run3_MTE!W487</f>
        <v>0</v>
      </c>
      <c r="S115" s="711">
        <f>Bilans_E_AMS_Kyoto_run3_MTE!X487</f>
        <v>0</v>
      </c>
      <c r="T115" s="711">
        <f>Bilans_E_AMS_Kyoto_run3_MTE!Y487</f>
        <v>3.3812053333570531</v>
      </c>
      <c r="U115" s="711">
        <f>Bilans_E_AMS_Kyoto_run3_MTE!Z487</f>
        <v>121.17804904780731</v>
      </c>
      <c r="V115" s="701"/>
      <c r="W115" s="701"/>
    </row>
    <row r="116" spans="1:23" x14ac:dyDescent="0.25">
      <c r="A116" s="701" t="s">
        <v>515</v>
      </c>
      <c r="B116" s="701"/>
      <c r="C116" s="713" t="s">
        <v>85</v>
      </c>
      <c r="D116" s="714">
        <f>Bilans_E_AMS_Kyoto_run3_MTE!H488</f>
        <v>0.16342834472656248</v>
      </c>
      <c r="E116" s="714">
        <f>Bilans_E_AMS_Kyoto_run3_MTE!I488</f>
        <v>0</v>
      </c>
      <c r="F116" s="714">
        <f>Bilans_E_AMS_Kyoto_run3_MTE!J488</f>
        <v>166.51649306921774</v>
      </c>
      <c r="G116" s="714">
        <f>Bilans_E_AMS_Kyoto_run3_MTE!K488</f>
        <v>4.6947057853181891</v>
      </c>
      <c r="H116" s="714">
        <f>Bilans_E_AMS_Kyoto_run3_MTE!L488</f>
        <v>81.443275177696279</v>
      </c>
      <c r="I116" s="714">
        <f>Bilans_E_AMS_Kyoto_run3_MTE!M488</f>
        <v>0.74338251048060211</v>
      </c>
      <c r="J116" s="714">
        <f>Bilans_E_AMS_Kyoto_run3_MTE!N488</f>
        <v>0</v>
      </c>
      <c r="K116" s="714">
        <f>Bilans_E_AMS_Kyoto_run3_MTE!O488</f>
        <v>0</v>
      </c>
      <c r="L116" s="714">
        <f>Bilans_E_AMS_Kyoto_run3_MTE!P488</f>
        <v>96.445961774291234</v>
      </c>
      <c r="M116" s="714">
        <f>Bilans_E_AMS_Kyoto_run3_MTE!Q488</f>
        <v>8.355944349353404</v>
      </c>
      <c r="N116" s="714">
        <f>Bilans_E_AMS_Kyoto_run3_MTE!R488</f>
        <v>44.97997902673422</v>
      </c>
      <c r="O116" s="714">
        <f>Bilans_E_AMS_Kyoto_run3_MTE!S488</f>
        <v>52.572639321214815</v>
      </c>
      <c r="P116" s="714">
        <f>Bilans_E_AMS_Kyoto_run3_MTE!T488+Bilans_E_AMS_Kyoto_run3_MTE!U488</f>
        <v>210.4038735678931</v>
      </c>
      <c r="Q116" s="714">
        <f>Bilans_E_AMS_Kyoto_run3_MTE!V488</f>
        <v>24.25321763037536</v>
      </c>
      <c r="R116" s="714">
        <f>Bilans_E_AMS_Kyoto_run3_MTE!W488</f>
        <v>549.53538119716018</v>
      </c>
      <c r="S116" s="714">
        <f>Bilans_E_AMS_Kyoto_run3_MTE!X488</f>
        <v>80.131319587438796</v>
      </c>
      <c r="T116" s="714">
        <f>Bilans_E_AMS_Kyoto_run3_MTE!Y488</f>
        <v>21.300414989604828</v>
      </c>
      <c r="U116" s="714">
        <f>Bilans_E_AMS_Kyoto_run3_MTE!Z488</f>
        <v>1341.5400163315053</v>
      </c>
      <c r="V116" s="701"/>
      <c r="W116" s="701"/>
    </row>
    <row r="117" spans="1:23" x14ac:dyDescent="0.25">
      <c r="A117" s="701"/>
      <c r="B117" s="701"/>
      <c r="C117" s="701"/>
      <c r="D117" s="701">
        <f>Bilans_E_AMS_Kyoto_run3_MTE!H489</f>
        <v>0</v>
      </c>
      <c r="E117" s="701">
        <f>Bilans_E_AMS_Kyoto_run3_MTE!I489</f>
        <v>0</v>
      </c>
      <c r="F117" s="701">
        <f>Bilans_E_AMS_Kyoto_run3_MTE!J489</f>
        <v>7.1054273576010019E-15</v>
      </c>
      <c r="G117" s="701">
        <f>Bilans_E_AMS_Kyoto_run3_MTE!K489</f>
        <v>0</v>
      </c>
      <c r="H117" s="701">
        <f>Bilans_E_AMS_Kyoto_run3_MTE!L489</f>
        <v>2.4547035224031788E-5</v>
      </c>
      <c r="I117" s="701">
        <f>Bilans_E_AMS_Kyoto_run3_MTE!M489</f>
        <v>-2.4547035192501454E-5</v>
      </c>
      <c r="J117" s="701">
        <f>Bilans_E_AMS_Kyoto_run3_MTE!N489</f>
        <v>0</v>
      </c>
      <c r="K117" s="701">
        <f>Bilans_E_AMS_Kyoto_run3_MTE!O489</f>
        <v>0</v>
      </c>
      <c r="L117" s="701">
        <f>Bilans_E_AMS_Kyoto_run3_MTE!P489</f>
        <v>0</v>
      </c>
      <c r="M117" s="701">
        <f>Bilans_E_AMS_Kyoto_run3_MTE!Q489</f>
        <v>0</v>
      </c>
      <c r="N117" s="701">
        <f>Bilans_E_AMS_Kyoto_run3_MTE!R489</f>
        <v>0</v>
      </c>
      <c r="O117" s="701">
        <f>Bilans_E_AMS_Kyoto_run3_MTE!S489</f>
        <v>0</v>
      </c>
      <c r="P117" s="701">
        <f>Bilans_E_AMS_Kyoto_run3_MTE!T489+Bilans_E_AMS_Kyoto_run3_MTE!U489</f>
        <v>0</v>
      </c>
      <c r="Q117" s="701">
        <f>Bilans_E_AMS_Kyoto_run3_MTE!V489</f>
        <v>0</v>
      </c>
      <c r="R117" s="701">
        <f>Bilans_E_AMS_Kyoto_run3_MTE!W489</f>
        <v>0</v>
      </c>
      <c r="S117" s="701">
        <f>Bilans_E_AMS_Kyoto_run3_MTE!X489</f>
        <v>-3.2509756167087289E-5</v>
      </c>
      <c r="T117" s="701">
        <f>Bilans_E_AMS_Kyoto_run3_MTE!Y489</f>
        <v>0</v>
      </c>
      <c r="U117" s="701">
        <f>Bilans_E_AMS_Kyoto_run3_MTE!Z489</f>
        <v>-3.2509756238141563E-5</v>
      </c>
      <c r="V117" s="701"/>
      <c r="W117" s="701"/>
    </row>
    <row r="118" spans="1:23" x14ac:dyDescent="0.25">
      <c r="A118" s="701"/>
      <c r="B118" s="701"/>
      <c r="C118" s="701"/>
      <c r="D118" s="701"/>
      <c r="E118" s="701"/>
      <c r="F118" s="701"/>
      <c r="G118" s="701"/>
      <c r="H118" s="701"/>
      <c r="I118" s="701"/>
      <c r="J118" s="701"/>
      <c r="K118" s="701"/>
      <c r="L118" s="701"/>
      <c r="M118" s="701"/>
      <c r="N118" s="701"/>
      <c r="O118" s="701"/>
      <c r="P118" s="701"/>
      <c r="Q118" s="701"/>
      <c r="R118" s="701"/>
      <c r="S118" s="701"/>
      <c r="T118" s="701"/>
      <c r="U118" s="701"/>
      <c r="V118" s="701"/>
      <c r="W118" s="701"/>
    </row>
    <row r="119" spans="1:23" x14ac:dyDescent="0.25">
      <c r="A119" s="707"/>
      <c r="B119" s="707"/>
      <c r="C119" s="708" t="s">
        <v>361</v>
      </c>
      <c r="D119" s="707"/>
      <c r="E119" s="707"/>
      <c r="F119" s="707"/>
      <c r="G119" s="707"/>
      <c r="H119" s="707"/>
      <c r="I119" s="707"/>
      <c r="J119" s="707"/>
      <c r="K119" s="707"/>
      <c r="L119" s="707"/>
      <c r="M119" s="707"/>
      <c r="N119" s="707"/>
      <c r="O119" s="707"/>
      <c r="P119" s="707"/>
      <c r="Q119" s="707"/>
      <c r="R119" s="707"/>
      <c r="S119" s="707"/>
      <c r="T119" s="707"/>
      <c r="U119" s="707"/>
      <c r="V119" s="707"/>
      <c r="W119" s="707"/>
    </row>
    <row r="120" spans="1:23" x14ac:dyDescent="0.25">
      <c r="A120" s="701"/>
      <c r="B120" s="701"/>
      <c r="C120" s="701"/>
      <c r="D120" s="701"/>
      <c r="E120" s="701"/>
      <c r="F120" s="701"/>
      <c r="G120" s="701"/>
      <c r="H120" s="701"/>
      <c r="I120" s="701"/>
      <c r="J120" s="701"/>
      <c r="K120" s="701"/>
      <c r="L120" s="701"/>
      <c r="M120" s="701"/>
      <c r="N120" s="701"/>
      <c r="O120" s="701"/>
      <c r="P120" s="701"/>
      <c r="Q120" s="701"/>
      <c r="R120" s="701"/>
      <c r="S120" s="701"/>
      <c r="T120" s="701"/>
      <c r="U120" s="701"/>
      <c r="V120" s="701"/>
      <c r="W120" s="701"/>
    </row>
    <row r="121" spans="1:23" x14ac:dyDescent="0.25">
      <c r="A121" s="701"/>
      <c r="B121" s="701"/>
      <c r="C121" s="780" t="s">
        <v>128</v>
      </c>
      <c r="D121" s="775" t="s">
        <v>42</v>
      </c>
      <c r="E121" s="775" t="s">
        <v>52</v>
      </c>
      <c r="F121" s="775" t="s">
        <v>53</v>
      </c>
      <c r="G121" s="775" t="s">
        <v>482</v>
      </c>
      <c r="H121" s="775" t="s">
        <v>32</v>
      </c>
      <c r="I121" s="775" t="s">
        <v>483</v>
      </c>
      <c r="J121" s="775" t="s">
        <v>20</v>
      </c>
      <c r="K121" s="775" t="s">
        <v>55</v>
      </c>
      <c r="L121" s="777" t="s">
        <v>56</v>
      </c>
      <c r="M121" s="778"/>
      <c r="N121" s="778"/>
      <c r="O121" s="778"/>
      <c r="P121" s="778"/>
      <c r="Q121" s="779"/>
      <c r="R121" s="775" t="s">
        <v>57</v>
      </c>
      <c r="S121" s="775" t="s">
        <v>58</v>
      </c>
      <c r="T121" s="775" t="s">
        <v>31</v>
      </c>
      <c r="U121" s="775" t="s">
        <v>10</v>
      </c>
      <c r="V121" s="701"/>
      <c r="W121" s="701"/>
    </row>
    <row r="122" spans="1:23" ht="67.5" x14ac:dyDescent="0.25">
      <c r="A122" s="701" t="s">
        <v>486</v>
      </c>
      <c r="B122" s="701"/>
      <c r="C122" s="781"/>
      <c r="D122" s="776"/>
      <c r="E122" s="776"/>
      <c r="F122" s="776"/>
      <c r="G122" s="776"/>
      <c r="H122" s="776"/>
      <c r="I122" s="776"/>
      <c r="J122" s="776"/>
      <c r="K122" s="776"/>
      <c r="L122" s="709" t="s">
        <v>335</v>
      </c>
      <c r="M122" s="709" t="s">
        <v>40</v>
      </c>
      <c r="N122" s="709" t="s">
        <v>343</v>
      </c>
      <c r="O122" s="709" t="s">
        <v>344</v>
      </c>
      <c r="P122" s="719" t="s">
        <v>610</v>
      </c>
      <c r="Q122" s="709" t="s">
        <v>346</v>
      </c>
      <c r="R122" s="776"/>
      <c r="S122" s="776"/>
      <c r="T122" s="776"/>
      <c r="U122" s="776"/>
      <c r="V122" s="701"/>
      <c r="W122" s="701"/>
    </row>
    <row r="123" spans="1:23" x14ac:dyDescent="0.25">
      <c r="A123" s="701" t="s">
        <v>487</v>
      </c>
      <c r="B123" s="701"/>
      <c r="C123" s="710" t="s">
        <v>59</v>
      </c>
      <c r="D123" s="711">
        <f>Bilans_E_AMS_Kyoto_run3_MTE!H495</f>
        <v>0</v>
      </c>
      <c r="E123" s="711">
        <f>Bilans_E_AMS_Kyoto_run3_MTE!I495</f>
        <v>0</v>
      </c>
      <c r="F123" s="711">
        <f>Bilans_E_AMS_Kyoto_run3_MTE!J495</f>
        <v>0</v>
      </c>
      <c r="G123" s="711">
        <f>Bilans_E_AMS_Kyoto_run3_MTE!K495</f>
        <v>0</v>
      </c>
      <c r="H123" s="711">
        <f>Bilans_E_AMS_Kyoto_run3_MTE!L495</f>
        <v>0</v>
      </c>
      <c r="I123" s="711">
        <f>Bilans_E_AMS_Kyoto_run3_MTE!M495</f>
        <v>0</v>
      </c>
      <c r="J123" s="711">
        <f>Bilans_E_AMS_Kyoto_run3_MTE!N495</f>
        <v>1021.1177956869142</v>
      </c>
      <c r="K123" s="711">
        <f>Bilans_E_AMS_Kyoto_run3_MTE!O495</f>
        <v>462.06687945929309</v>
      </c>
      <c r="L123" s="711">
        <f>Bilans_E_AMS_Kyoto_run3_MTE!P495</f>
        <v>380.853201250621</v>
      </c>
      <c r="M123" s="711">
        <f>Bilans_E_AMS_Kyoto_run3_MTE!Q495</f>
        <v>45.488439305040814</v>
      </c>
      <c r="N123" s="711">
        <f>Bilans_E_AMS_Kyoto_run3_MTE!R495</f>
        <v>0</v>
      </c>
      <c r="O123" s="711">
        <f>Bilans_E_AMS_Kyoto_run3_MTE!S495</f>
        <v>0</v>
      </c>
      <c r="P123" s="711">
        <f>Bilans_E_AMS_Kyoto_run3_MTE!T495+Bilans_E_AMS_Kyoto_run3_MTE!U495</f>
        <v>241.4786584909825</v>
      </c>
      <c r="Q123" s="711">
        <f>Bilans_E_AMS_Kyoto_run3_MTE!V495</f>
        <v>44.619368166332919</v>
      </c>
      <c r="R123" s="711">
        <f>Bilans_E_AMS_Kyoto_run3_MTE!W495</f>
        <v>0</v>
      </c>
      <c r="S123" s="711">
        <f>Bilans_E_AMS_Kyoto_run3_MTE!X495</f>
        <v>0</v>
      </c>
      <c r="T123" s="711">
        <f>Bilans_E_AMS_Kyoto_run3_MTE!Y495</f>
        <v>0</v>
      </c>
      <c r="U123" s="711">
        <f>Bilans_E_AMS_Kyoto_run3_MTE!Z495</f>
        <v>2195.6243423591845</v>
      </c>
      <c r="V123" s="701"/>
      <c r="W123" s="701"/>
    </row>
    <row r="124" spans="1:23" x14ac:dyDescent="0.25">
      <c r="A124" s="701" t="s">
        <v>488</v>
      </c>
      <c r="B124" s="701"/>
      <c r="C124" s="710" t="s">
        <v>60</v>
      </c>
      <c r="D124" s="712">
        <f>Bilans_E_AMS_Kyoto_run3_MTE!H496</f>
        <v>7.2040588378906256E-2</v>
      </c>
      <c r="E124" s="712">
        <f>Bilans_E_AMS_Kyoto_run3_MTE!I496</f>
        <v>143.57372262348443</v>
      </c>
      <c r="F124" s="712">
        <f>Bilans_E_AMS_Kyoto_run3_MTE!J496</f>
        <v>24.964838256255007</v>
      </c>
      <c r="G124" s="712">
        <f>Bilans_E_AMS_Kyoto_run3_MTE!K496</f>
        <v>8.9901848637372375</v>
      </c>
      <c r="H124" s="712">
        <f>Bilans_E_AMS_Kyoto_run3_MTE!L496</f>
        <v>83.302522482755748</v>
      </c>
      <c r="I124" s="712">
        <f>Bilans_E_AMS_Kyoto_run3_MTE!M496</f>
        <v>0</v>
      </c>
      <c r="J124" s="712">
        <f>Bilans_E_AMS_Kyoto_run3_MTE!N496</f>
        <v>0</v>
      </c>
      <c r="K124" s="712">
        <f>Bilans_E_AMS_Kyoto_run3_MTE!O496</f>
        <v>0</v>
      </c>
      <c r="L124" s="712">
        <f>Bilans_E_AMS_Kyoto_run3_MTE!P496</f>
        <v>8.1136608848584615</v>
      </c>
      <c r="M124" s="712">
        <f>Bilans_E_AMS_Kyoto_run3_MTE!Q496</f>
        <v>0</v>
      </c>
      <c r="N124" s="712">
        <f>Bilans_E_AMS_Kyoto_run3_MTE!R496</f>
        <v>3.6899916266640176</v>
      </c>
      <c r="O124" s="712">
        <f>Bilans_E_AMS_Kyoto_run3_MTE!S496</f>
        <v>0</v>
      </c>
      <c r="P124" s="712">
        <f>Bilans_E_AMS_Kyoto_run3_MTE!T496+Bilans_E_AMS_Kyoto_run3_MTE!U496</f>
        <v>0</v>
      </c>
      <c r="Q124" s="712">
        <f>Bilans_E_AMS_Kyoto_run3_MTE!V496</f>
        <v>0</v>
      </c>
      <c r="R124" s="712">
        <f>Bilans_E_AMS_Kyoto_run3_MTE!W496</f>
        <v>0</v>
      </c>
      <c r="S124" s="712">
        <f>Bilans_E_AMS_Kyoto_run3_MTE!X496</f>
        <v>0</v>
      </c>
      <c r="T124" s="712">
        <f>Bilans_E_AMS_Kyoto_run3_MTE!Y496</f>
        <v>0</v>
      </c>
      <c r="U124" s="712">
        <f>Bilans_E_AMS_Kyoto_run3_MTE!Z496</f>
        <v>272.70696132613381</v>
      </c>
      <c r="V124" s="701"/>
      <c r="W124" s="701"/>
    </row>
    <row r="125" spans="1:23" x14ac:dyDescent="0.25">
      <c r="A125" s="701" t="s">
        <v>489</v>
      </c>
      <c r="B125" s="701"/>
      <c r="C125" s="710" t="s">
        <v>61</v>
      </c>
      <c r="D125" s="712">
        <f>Bilans_E_AMS_Kyoto_run3_MTE!H497</f>
        <v>0</v>
      </c>
      <c r="E125" s="712">
        <f>Bilans_E_AMS_Kyoto_run3_MTE!I497</f>
        <v>0</v>
      </c>
      <c r="F125" s="712">
        <f>Bilans_E_AMS_Kyoto_run3_MTE!J497</f>
        <v>0</v>
      </c>
      <c r="G125" s="712">
        <f>Bilans_E_AMS_Kyoto_run3_MTE!K497</f>
        <v>0</v>
      </c>
      <c r="H125" s="712">
        <f>Bilans_E_AMS_Kyoto_run3_MTE!L497</f>
        <v>0</v>
      </c>
      <c r="I125" s="712">
        <f>Bilans_E_AMS_Kyoto_run3_MTE!M497</f>
        <v>0</v>
      </c>
      <c r="J125" s="712">
        <f>Bilans_E_AMS_Kyoto_run3_MTE!N497</f>
        <v>0</v>
      </c>
      <c r="K125" s="712">
        <f>Bilans_E_AMS_Kyoto_run3_MTE!O497</f>
        <v>0</v>
      </c>
      <c r="L125" s="712">
        <f>Bilans_E_AMS_Kyoto_run3_MTE!P497</f>
        <v>0</v>
      </c>
      <c r="M125" s="712">
        <f>Bilans_E_AMS_Kyoto_run3_MTE!Q497</f>
        <v>0</v>
      </c>
      <c r="N125" s="712">
        <f>Bilans_E_AMS_Kyoto_run3_MTE!R497</f>
        <v>0</v>
      </c>
      <c r="O125" s="712">
        <f>Bilans_E_AMS_Kyoto_run3_MTE!S497</f>
        <v>-20.664907066692336</v>
      </c>
      <c r="P125" s="712">
        <f>Bilans_E_AMS_Kyoto_run3_MTE!T497+Bilans_E_AMS_Kyoto_run3_MTE!U497</f>
        <v>0</v>
      </c>
      <c r="Q125" s="712">
        <f>Bilans_E_AMS_Kyoto_run3_MTE!V497</f>
        <v>0</v>
      </c>
      <c r="R125" s="712">
        <f>Bilans_E_AMS_Kyoto_run3_MTE!W497</f>
        <v>-64.652591069811592</v>
      </c>
      <c r="S125" s="712">
        <f>Bilans_E_AMS_Kyoto_run3_MTE!X497</f>
        <v>0</v>
      </c>
      <c r="T125" s="712">
        <f>Bilans_E_AMS_Kyoto_run3_MTE!Y497</f>
        <v>0</v>
      </c>
      <c r="U125" s="712">
        <f>Bilans_E_AMS_Kyoto_run3_MTE!Z497</f>
        <v>-85.317498136503929</v>
      </c>
      <c r="V125" s="701"/>
      <c r="W125" s="701"/>
    </row>
    <row r="126" spans="1:23" x14ac:dyDescent="0.25">
      <c r="A126" s="701" t="s">
        <v>490</v>
      </c>
      <c r="B126" s="701"/>
      <c r="C126" s="710" t="s">
        <v>62</v>
      </c>
      <c r="D126" s="711">
        <f>Bilans_E_AMS_Kyoto_run3_MTE!H498</f>
        <v>0</v>
      </c>
      <c r="E126" s="711">
        <f>Bilans_E_AMS_Kyoto_run3_MTE!I498</f>
        <v>0</v>
      </c>
      <c r="F126" s="711">
        <f>Bilans_E_AMS_Kyoto_run3_MTE!J498</f>
        <v>-2.6430279181443233</v>
      </c>
      <c r="G126" s="711">
        <f>Bilans_E_AMS_Kyoto_run3_MTE!K498</f>
        <v>-2.1194862177251581</v>
      </c>
      <c r="H126" s="711">
        <f>Bilans_E_AMS_Kyoto_run3_MTE!L498</f>
        <v>0</v>
      </c>
      <c r="I126" s="711">
        <f>Bilans_E_AMS_Kyoto_run3_MTE!M498</f>
        <v>-2.4085070655967704</v>
      </c>
      <c r="J126" s="711">
        <f>Bilans_E_AMS_Kyoto_run3_MTE!N498</f>
        <v>0</v>
      </c>
      <c r="K126" s="711">
        <f>Bilans_E_AMS_Kyoto_run3_MTE!O498</f>
        <v>0</v>
      </c>
      <c r="L126" s="711">
        <f>Bilans_E_AMS_Kyoto_run3_MTE!P498</f>
        <v>0</v>
      </c>
      <c r="M126" s="711">
        <f>Bilans_E_AMS_Kyoto_run3_MTE!Q498</f>
        <v>0</v>
      </c>
      <c r="N126" s="711">
        <f>Bilans_E_AMS_Kyoto_run3_MTE!R498</f>
        <v>0</v>
      </c>
      <c r="O126" s="711">
        <f>Bilans_E_AMS_Kyoto_run3_MTE!S498</f>
        <v>-1.4769404520417975</v>
      </c>
      <c r="P126" s="711">
        <f>Bilans_E_AMS_Kyoto_run3_MTE!T498+Bilans_E_AMS_Kyoto_run3_MTE!U498</f>
        <v>0</v>
      </c>
      <c r="Q126" s="711">
        <f>Bilans_E_AMS_Kyoto_run3_MTE!V498</f>
        <v>0</v>
      </c>
      <c r="R126" s="711">
        <f>Bilans_E_AMS_Kyoto_run3_MTE!W498</f>
        <v>0</v>
      </c>
      <c r="S126" s="711">
        <f>Bilans_E_AMS_Kyoto_run3_MTE!X498</f>
        <v>0</v>
      </c>
      <c r="T126" s="711">
        <f>Bilans_E_AMS_Kyoto_run3_MTE!Y498</f>
        <v>-0.99606248425254151</v>
      </c>
      <c r="U126" s="711">
        <f>Bilans_E_AMS_Kyoto_run3_MTE!Z498</f>
        <v>-9.6440241377605904</v>
      </c>
      <c r="V126" s="701"/>
      <c r="W126" s="701"/>
    </row>
    <row r="127" spans="1:23" x14ac:dyDescent="0.25">
      <c r="A127" s="701" t="s">
        <v>491</v>
      </c>
      <c r="B127" s="701"/>
      <c r="C127" s="710" t="s">
        <v>63</v>
      </c>
      <c r="D127" s="711">
        <f>Bilans_E_AMS_Kyoto_run3_MTE!H499</f>
        <v>0</v>
      </c>
      <c r="E127" s="711">
        <f>Bilans_E_AMS_Kyoto_run3_MTE!I499</f>
        <v>0</v>
      </c>
      <c r="F127" s="711">
        <f>Bilans_E_AMS_Kyoto_run3_MTE!J499</f>
        <v>-26.999999999999996</v>
      </c>
      <c r="G127" s="711">
        <f>Bilans_E_AMS_Kyoto_run3_MTE!K499</f>
        <v>-16</v>
      </c>
      <c r="H127" s="711">
        <f>Bilans_E_AMS_Kyoto_run3_MTE!L499</f>
        <v>0</v>
      </c>
      <c r="I127" s="711">
        <f>Bilans_E_AMS_Kyoto_run3_MTE!M499</f>
        <v>0</v>
      </c>
      <c r="J127" s="711">
        <f>Bilans_E_AMS_Kyoto_run3_MTE!N499</f>
        <v>0</v>
      </c>
      <c r="K127" s="711">
        <f>Bilans_E_AMS_Kyoto_run3_MTE!O499</f>
        <v>0</v>
      </c>
      <c r="L127" s="711">
        <f>Bilans_E_AMS_Kyoto_run3_MTE!P499</f>
        <v>0</v>
      </c>
      <c r="M127" s="711">
        <f>Bilans_E_AMS_Kyoto_run3_MTE!Q499</f>
        <v>0</v>
      </c>
      <c r="N127" s="711">
        <f>Bilans_E_AMS_Kyoto_run3_MTE!R499</f>
        <v>-16</v>
      </c>
      <c r="O127" s="711">
        <f>Bilans_E_AMS_Kyoto_run3_MTE!S499</f>
        <v>0</v>
      </c>
      <c r="P127" s="711">
        <f>Bilans_E_AMS_Kyoto_run3_MTE!T499+Bilans_E_AMS_Kyoto_run3_MTE!U499</f>
        <v>0</v>
      </c>
      <c r="Q127" s="711">
        <f>Bilans_E_AMS_Kyoto_run3_MTE!V499</f>
        <v>0</v>
      </c>
      <c r="R127" s="711">
        <f>Bilans_E_AMS_Kyoto_run3_MTE!W499</f>
        <v>0</v>
      </c>
      <c r="S127" s="711">
        <f>Bilans_E_AMS_Kyoto_run3_MTE!X499</f>
        <v>0</v>
      </c>
      <c r="T127" s="711">
        <f>Bilans_E_AMS_Kyoto_run3_MTE!Y499</f>
        <v>-5</v>
      </c>
      <c r="U127" s="711">
        <f>Bilans_E_AMS_Kyoto_run3_MTE!Z499</f>
        <v>-64</v>
      </c>
      <c r="V127" s="701"/>
      <c r="W127" s="701"/>
    </row>
    <row r="128" spans="1:23" x14ac:dyDescent="0.25">
      <c r="A128" s="701" t="s">
        <v>492</v>
      </c>
      <c r="B128" s="701"/>
      <c r="C128" s="710" t="s">
        <v>64</v>
      </c>
      <c r="D128" s="712">
        <f>Bilans_E_AMS_Kyoto_run3_MTE!H500</f>
        <v>0</v>
      </c>
      <c r="E128" s="712">
        <f>Bilans_E_AMS_Kyoto_run3_MTE!I500</f>
        <v>0</v>
      </c>
      <c r="F128" s="712">
        <f>Bilans_E_AMS_Kyoto_run3_MTE!J500</f>
        <v>0</v>
      </c>
      <c r="G128" s="712">
        <f>Bilans_E_AMS_Kyoto_run3_MTE!K500</f>
        <v>0</v>
      </c>
      <c r="H128" s="712">
        <f>Bilans_E_AMS_Kyoto_run3_MTE!L500</f>
        <v>0</v>
      </c>
      <c r="I128" s="712">
        <f>Bilans_E_AMS_Kyoto_run3_MTE!M500</f>
        <v>0</v>
      </c>
      <c r="J128" s="712">
        <f>Bilans_E_AMS_Kyoto_run3_MTE!N500</f>
        <v>0</v>
      </c>
      <c r="K128" s="712">
        <f>Bilans_E_AMS_Kyoto_run3_MTE!O500</f>
        <v>0</v>
      </c>
      <c r="L128" s="712">
        <f>Bilans_E_AMS_Kyoto_run3_MTE!P500</f>
        <v>0</v>
      </c>
      <c r="M128" s="712">
        <f>Bilans_E_AMS_Kyoto_run3_MTE!Q500</f>
        <v>0</v>
      </c>
      <c r="N128" s="712">
        <f>Bilans_E_AMS_Kyoto_run3_MTE!R500</f>
        <v>0</v>
      </c>
      <c r="O128" s="712">
        <f>Bilans_E_AMS_Kyoto_run3_MTE!S500</f>
        <v>0</v>
      </c>
      <c r="P128" s="712">
        <f>Bilans_E_AMS_Kyoto_run3_MTE!T500+Bilans_E_AMS_Kyoto_run3_MTE!U500</f>
        <v>0</v>
      </c>
      <c r="Q128" s="712">
        <f>Bilans_E_AMS_Kyoto_run3_MTE!V500</f>
        <v>0</v>
      </c>
      <c r="R128" s="712">
        <f>Bilans_E_AMS_Kyoto_run3_MTE!W500</f>
        <v>0</v>
      </c>
      <c r="S128" s="712">
        <f>Bilans_E_AMS_Kyoto_run3_MTE!X500</f>
        <v>0</v>
      </c>
      <c r="T128" s="712">
        <f>Bilans_E_AMS_Kyoto_run3_MTE!Y500</f>
        <v>0</v>
      </c>
      <c r="U128" s="712">
        <f>Bilans_E_AMS_Kyoto_run3_MTE!Z500</f>
        <v>0</v>
      </c>
      <c r="V128" s="701"/>
      <c r="W128" s="701"/>
    </row>
    <row r="129" spans="1:23" x14ac:dyDescent="0.25">
      <c r="A129" s="701" t="s">
        <v>493</v>
      </c>
      <c r="B129" s="701"/>
      <c r="C129" s="713" t="s">
        <v>65</v>
      </c>
      <c r="D129" s="714">
        <f>Bilans_E_AMS_Kyoto_run3_MTE!H501</f>
        <v>7.2040588378906256E-2</v>
      </c>
      <c r="E129" s="714">
        <f>Bilans_E_AMS_Kyoto_run3_MTE!I501</f>
        <v>143.57372262348443</v>
      </c>
      <c r="F129" s="714">
        <f>Bilans_E_AMS_Kyoto_run3_MTE!J501</f>
        <v>-4.6781896618893128</v>
      </c>
      <c r="G129" s="714">
        <f>Bilans_E_AMS_Kyoto_run3_MTE!K501</f>
        <v>-9.1293013539879198</v>
      </c>
      <c r="H129" s="714">
        <f>Bilans_E_AMS_Kyoto_run3_MTE!L501</f>
        <v>83.302522482755748</v>
      </c>
      <c r="I129" s="714">
        <f>Bilans_E_AMS_Kyoto_run3_MTE!M501</f>
        <v>-2.4085070655967704</v>
      </c>
      <c r="J129" s="714">
        <f>Bilans_E_AMS_Kyoto_run3_MTE!N501</f>
        <v>1021.1177956869142</v>
      </c>
      <c r="K129" s="714">
        <f>Bilans_E_AMS_Kyoto_run3_MTE!O501</f>
        <v>462.06687945929309</v>
      </c>
      <c r="L129" s="714">
        <f>Bilans_E_AMS_Kyoto_run3_MTE!P501</f>
        <v>388.96686213547946</v>
      </c>
      <c r="M129" s="714">
        <f>Bilans_E_AMS_Kyoto_run3_MTE!Q501</f>
        <v>45.488439305040814</v>
      </c>
      <c r="N129" s="714">
        <f>Bilans_E_AMS_Kyoto_run3_MTE!R501</f>
        <v>-12.310008373335982</v>
      </c>
      <c r="O129" s="714">
        <f>Bilans_E_AMS_Kyoto_run3_MTE!S501</f>
        <v>-22.141847518734135</v>
      </c>
      <c r="P129" s="714">
        <f>Bilans_E_AMS_Kyoto_run3_MTE!T501+Bilans_E_AMS_Kyoto_run3_MTE!U501</f>
        <v>241.4786584909825</v>
      </c>
      <c r="Q129" s="714">
        <f>Bilans_E_AMS_Kyoto_run3_MTE!V501</f>
        <v>44.619368166332919</v>
      </c>
      <c r="R129" s="714">
        <f>Bilans_E_AMS_Kyoto_run3_MTE!W501</f>
        <v>-64.652591069811592</v>
      </c>
      <c r="S129" s="714">
        <f>Bilans_E_AMS_Kyoto_run3_MTE!X501</f>
        <v>0</v>
      </c>
      <c r="T129" s="714">
        <f>Bilans_E_AMS_Kyoto_run3_MTE!Y501</f>
        <v>-5.9960624842525414</v>
      </c>
      <c r="U129" s="714">
        <f>Bilans_E_AMS_Kyoto_run3_MTE!Z501</f>
        <v>2309.3697814110537</v>
      </c>
      <c r="V129" s="701"/>
      <c r="W129" s="701"/>
    </row>
    <row r="130" spans="1:23" x14ac:dyDescent="0.25">
      <c r="A130" s="701"/>
      <c r="B130" s="701"/>
      <c r="C130" s="715"/>
      <c r="D130" s="716"/>
      <c r="E130" s="716"/>
      <c r="F130" s="716"/>
      <c r="G130" s="716"/>
      <c r="H130" s="716"/>
      <c r="I130" s="716"/>
      <c r="J130" s="716"/>
      <c r="K130" s="716"/>
      <c r="L130" s="716"/>
      <c r="M130" s="716"/>
      <c r="N130" s="716"/>
      <c r="O130" s="716"/>
      <c r="P130" s="716">
        <f>Bilans_E_AMS_Kyoto_run3_MTE!T502+Bilans_E_AMS_Kyoto_run3_MTE!U502</f>
        <v>0</v>
      </c>
      <c r="Q130" s="716"/>
      <c r="R130" s="716"/>
      <c r="S130" s="716"/>
      <c r="T130" s="716"/>
      <c r="U130" s="716"/>
      <c r="V130" s="701"/>
      <c r="W130" s="701"/>
    </row>
    <row r="131" spans="1:23" x14ac:dyDescent="0.25">
      <c r="A131" s="701" t="s">
        <v>494</v>
      </c>
      <c r="B131" s="701"/>
      <c r="C131" s="717" t="s">
        <v>67</v>
      </c>
      <c r="D131" s="711">
        <f>Bilans_E_AMS_Kyoto_run3_MTE!H503</f>
        <v>0</v>
      </c>
      <c r="E131" s="711">
        <f>Bilans_E_AMS_Kyoto_run3_MTE!I503</f>
        <v>0</v>
      </c>
      <c r="F131" s="711">
        <f>Bilans_E_AMS_Kyoto_run3_MTE!J503</f>
        <v>0</v>
      </c>
      <c r="G131" s="711">
        <f>Bilans_E_AMS_Kyoto_run3_MTE!K503</f>
        <v>0</v>
      </c>
      <c r="H131" s="711">
        <f>Bilans_E_AMS_Kyoto_run3_MTE!L503</f>
        <v>0</v>
      </c>
      <c r="I131" s="711">
        <f>Bilans_E_AMS_Kyoto_run3_MTE!M503</f>
        <v>0</v>
      </c>
      <c r="J131" s="711">
        <f>Bilans_E_AMS_Kyoto_run3_MTE!N503</f>
        <v>0</v>
      </c>
      <c r="K131" s="711">
        <f>Bilans_E_AMS_Kyoto_run3_MTE!O503</f>
        <v>0</v>
      </c>
      <c r="L131" s="711">
        <f>Bilans_E_AMS_Kyoto_run3_MTE!P503</f>
        <v>0</v>
      </c>
      <c r="M131" s="711">
        <f>Bilans_E_AMS_Kyoto_run3_MTE!Q503</f>
        <v>0</v>
      </c>
      <c r="N131" s="711">
        <f>Bilans_E_AMS_Kyoto_run3_MTE!R503</f>
        <v>0</v>
      </c>
      <c r="O131" s="711">
        <f>Bilans_E_AMS_Kyoto_run3_MTE!S503</f>
        <v>0</v>
      </c>
      <c r="P131" s="711">
        <f>Bilans_E_AMS_Kyoto_run3_MTE!T503+Bilans_E_AMS_Kyoto_run3_MTE!U503</f>
        <v>0</v>
      </c>
      <c r="Q131" s="711">
        <f>Bilans_E_AMS_Kyoto_run3_MTE!V503</f>
        <v>0</v>
      </c>
      <c r="R131" s="711">
        <f>Bilans_E_AMS_Kyoto_run3_MTE!W503</f>
        <v>0</v>
      </c>
      <c r="S131" s="711">
        <f>Bilans_E_AMS_Kyoto_run3_MTE!X503</f>
        <v>0</v>
      </c>
      <c r="T131" s="711">
        <f>Bilans_E_AMS_Kyoto_run3_MTE!Y503</f>
        <v>0</v>
      </c>
      <c r="U131" s="711">
        <f>Bilans_E_AMS_Kyoto_run3_MTE!Z503</f>
        <v>0</v>
      </c>
      <c r="V131" s="701"/>
      <c r="W131" s="701"/>
    </row>
    <row r="132" spans="1:23" x14ac:dyDescent="0.25">
      <c r="A132" s="701" t="s">
        <v>495</v>
      </c>
      <c r="B132" s="701"/>
      <c r="C132" s="717" t="s">
        <v>347</v>
      </c>
      <c r="D132" s="711">
        <f>Bilans_E_AMS_Kyoto_run3_MTE!H504</f>
        <v>0</v>
      </c>
      <c r="E132" s="711">
        <f>Bilans_E_AMS_Kyoto_run3_MTE!I504</f>
        <v>0</v>
      </c>
      <c r="F132" s="711">
        <f>Bilans_E_AMS_Kyoto_run3_MTE!J504</f>
        <v>0</v>
      </c>
      <c r="G132" s="711">
        <f>Bilans_E_AMS_Kyoto_run3_MTE!K504</f>
        <v>0</v>
      </c>
      <c r="H132" s="711">
        <f>Bilans_E_AMS_Kyoto_run3_MTE!L504</f>
        <v>2.2309947234042489E-3</v>
      </c>
      <c r="I132" s="711">
        <f>Bilans_E_AMS_Kyoto_run3_MTE!M504</f>
        <v>0</v>
      </c>
      <c r="J132" s="711">
        <f>Bilans_E_AMS_Kyoto_run3_MTE!N504</f>
        <v>1014.6070909090909</v>
      </c>
      <c r="K132" s="711">
        <f>Bilans_E_AMS_Kyoto_run3_MTE!O504</f>
        <v>462.06687945929309</v>
      </c>
      <c r="L132" s="711">
        <f>Bilans_E_AMS_Kyoto_run3_MTE!P504</f>
        <v>17.968425297338086</v>
      </c>
      <c r="M132" s="711">
        <f>Bilans_E_AMS_Kyoto_run3_MTE!Q504</f>
        <v>5.3124785537967538</v>
      </c>
      <c r="N132" s="711">
        <f>Bilans_E_AMS_Kyoto_run3_MTE!R504</f>
        <v>6.3451610040287907</v>
      </c>
      <c r="O132" s="711">
        <f>Bilans_E_AMS_Kyoto_run3_MTE!S504</f>
        <v>0.11597760068741178</v>
      </c>
      <c r="P132" s="711">
        <f>Bilans_E_AMS_Kyoto_run3_MTE!T504+Bilans_E_AMS_Kyoto_run3_MTE!U504</f>
        <v>0</v>
      </c>
      <c r="Q132" s="711">
        <f>Bilans_E_AMS_Kyoto_run3_MTE!V504</f>
        <v>6.4766550958451852</v>
      </c>
      <c r="R132" s="711">
        <f>Bilans_E_AMS_Kyoto_run3_MTE!W504</f>
        <v>-813.99806516168439</v>
      </c>
      <c r="S132" s="711">
        <f>Bilans_E_AMS_Kyoto_run3_MTE!X504</f>
        <v>0</v>
      </c>
      <c r="T132" s="711">
        <f>Bilans_E_AMS_Kyoto_run3_MTE!Y504</f>
        <v>0</v>
      </c>
      <c r="U132" s="711">
        <f>Bilans_E_AMS_Kyoto_run3_MTE!Z504</f>
        <v>698.89683375311927</v>
      </c>
      <c r="V132" s="701"/>
      <c r="W132" s="701"/>
    </row>
    <row r="133" spans="1:23" x14ac:dyDescent="0.25">
      <c r="A133" s="701" t="s">
        <v>496</v>
      </c>
      <c r="B133" s="701"/>
      <c r="C133" s="717" t="s">
        <v>348</v>
      </c>
      <c r="D133" s="711">
        <f>Bilans_E_AMS_Kyoto_run3_MTE!H505</f>
        <v>0</v>
      </c>
      <c r="E133" s="711">
        <f>Bilans_E_AMS_Kyoto_run3_MTE!I505</f>
        <v>0</v>
      </c>
      <c r="F133" s="711">
        <f>Bilans_E_AMS_Kyoto_run3_MTE!J505</f>
        <v>0</v>
      </c>
      <c r="G133" s="711">
        <f>Bilans_E_AMS_Kyoto_run3_MTE!K505</f>
        <v>0</v>
      </c>
      <c r="H133" s="711">
        <f>Bilans_E_AMS_Kyoto_run3_MTE!L505</f>
        <v>10.095185583157674</v>
      </c>
      <c r="I133" s="711">
        <f>Bilans_E_AMS_Kyoto_run3_MTE!M505</f>
        <v>0.18354882878468498</v>
      </c>
      <c r="J133" s="711">
        <f>Bilans_E_AMS_Kyoto_run3_MTE!N505</f>
        <v>6.5107047778232934</v>
      </c>
      <c r="K133" s="711">
        <f>Bilans_E_AMS_Kyoto_run3_MTE!O505</f>
        <v>0</v>
      </c>
      <c r="L133" s="711">
        <f>Bilans_E_AMS_Kyoto_run3_MTE!P505</f>
        <v>23.787457206103085</v>
      </c>
      <c r="M133" s="711">
        <f>Bilans_E_AMS_Kyoto_run3_MTE!Q505</f>
        <v>12.007971884882547</v>
      </c>
      <c r="N133" s="711">
        <f>Bilans_E_AMS_Kyoto_run3_MTE!R505</f>
        <v>0</v>
      </c>
      <c r="O133" s="711">
        <f>Bilans_E_AMS_Kyoto_run3_MTE!S505</f>
        <v>8.0912599085817618</v>
      </c>
      <c r="P133" s="711">
        <f>Bilans_E_AMS_Kyoto_run3_MTE!T505+Bilans_E_AMS_Kyoto_run3_MTE!U505</f>
        <v>19.703135322463453</v>
      </c>
      <c r="Q133" s="711">
        <f>Bilans_E_AMS_Kyoto_run3_MTE!V505</f>
        <v>12.221648755322821</v>
      </c>
      <c r="R133" s="711">
        <f>Bilans_E_AMS_Kyoto_run3_MTE!W505</f>
        <v>0</v>
      </c>
      <c r="S133" s="711">
        <f>Bilans_E_AMS_Kyoto_run3_MTE!X505</f>
        <v>-86.369990218724851</v>
      </c>
      <c r="T133" s="711">
        <f>Bilans_E_AMS_Kyoto_run3_MTE!Y505</f>
        <v>0</v>
      </c>
      <c r="U133" s="711">
        <f>Bilans_E_AMS_Kyoto_run3_MTE!Z505</f>
        <v>6.2309220483944614</v>
      </c>
      <c r="V133" s="701"/>
      <c r="W133" s="701"/>
    </row>
    <row r="134" spans="1:23" x14ac:dyDescent="0.25">
      <c r="A134" s="701" t="s">
        <v>497</v>
      </c>
      <c r="B134" s="701"/>
      <c r="C134" s="717" t="s">
        <v>349</v>
      </c>
      <c r="D134" s="711">
        <f>Bilans_E_AMS_Kyoto_run3_MTE!H506</f>
        <v>0</v>
      </c>
      <c r="E134" s="711">
        <f>Bilans_E_AMS_Kyoto_run3_MTE!I506</f>
        <v>0</v>
      </c>
      <c r="F134" s="711">
        <f>Bilans_E_AMS_Kyoto_run3_MTE!J506</f>
        <v>0</v>
      </c>
      <c r="G134" s="711">
        <f>Bilans_E_AMS_Kyoto_run3_MTE!K506</f>
        <v>0</v>
      </c>
      <c r="H134" s="711">
        <f>Bilans_E_AMS_Kyoto_run3_MTE!L506</f>
        <v>0</v>
      </c>
      <c r="I134" s="711">
        <f>Bilans_E_AMS_Kyoto_run3_MTE!M506</f>
        <v>0</v>
      </c>
      <c r="J134" s="711">
        <f>Bilans_E_AMS_Kyoto_run3_MTE!N506</f>
        <v>0</v>
      </c>
      <c r="K134" s="711">
        <f>Bilans_E_AMS_Kyoto_run3_MTE!O506</f>
        <v>0</v>
      </c>
      <c r="L134" s="711">
        <f>Bilans_E_AMS_Kyoto_run3_MTE!P506</f>
        <v>149.36314864907311</v>
      </c>
      <c r="M134" s="711">
        <f>Bilans_E_AMS_Kyoto_run3_MTE!Q506</f>
        <v>12.851297568088029</v>
      </c>
      <c r="N134" s="711">
        <f>Bilans_E_AMS_Kyoto_run3_MTE!R506</f>
        <v>0</v>
      </c>
      <c r="O134" s="711">
        <f>Bilans_E_AMS_Kyoto_run3_MTE!S506</f>
        <v>-81.192550335578574</v>
      </c>
      <c r="P134" s="711">
        <f>Bilans_E_AMS_Kyoto_run3_MTE!T506+Bilans_E_AMS_Kyoto_run3_MTE!U506</f>
        <v>0</v>
      </c>
      <c r="Q134" s="711">
        <f>Bilans_E_AMS_Kyoto_run3_MTE!V506</f>
        <v>0</v>
      </c>
      <c r="R134" s="711">
        <f>Bilans_E_AMS_Kyoto_run3_MTE!W506</f>
        <v>0</v>
      </c>
      <c r="S134" s="711">
        <f>Bilans_E_AMS_Kyoto_run3_MTE!X506</f>
        <v>0</v>
      </c>
      <c r="T134" s="711">
        <f>Bilans_E_AMS_Kyoto_run3_MTE!Y506</f>
        <v>0</v>
      </c>
      <c r="U134" s="711">
        <f>Bilans_E_AMS_Kyoto_run3_MTE!Z506</f>
        <v>81.021895881582566</v>
      </c>
      <c r="V134" s="701"/>
      <c r="W134" s="701"/>
    </row>
    <row r="135" spans="1:23" x14ac:dyDescent="0.25">
      <c r="A135" s="701" t="s">
        <v>498</v>
      </c>
      <c r="B135" s="701"/>
      <c r="C135" s="717" t="s">
        <v>350</v>
      </c>
      <c r="D135" s="711">
        <f>Bilans_E_AMS_Kyoto_run3_MTE!H507</f>
        <v>0</v>
      </c>
      <c r="E135" s="711">
        <f>Bilans_E_AMS_Kyoto_run3_MTE!I507</f>
        <v>0</v>
      </c>
      <c r="F135" s="711">
        <f>Bilans_E_AMS_Kyoto_run3_MTE!J507</f>
        <v>0</v>
      </c>
      <c r="G135" s="711">
        <f>Bilans_E_AMS_Kyoto_run3_MTE!K507</f>
        <v>0</v>
      </c>
      <c r="H135" s="711">
        <f>Bilans_E_AMS_Kyoto_run3_MTE!L507</f>
        <v>0</v>
      </c>
      <c r="I135" s="711">
        <f>Bilans_E_AMS_Kyoto_run3_MTE!M507</f>
        <v>-3.7466899829342335</v>
      </c>
      <c r="J135" s="711">
        <f>Bilans_E_AMS_Kyoto_run3_MTE!N507</f>
        <v>0</v>
      </c>
      <c r="K135" s="711">
        <f>Bilans_E_AMS_Kyoto_run3_MTE!O507</f>
        <v>0</v>
      </c>
      <c r="L135" s="711">
        <f>Bilans_E_AMS_Kyoto_run3_MTE!P507</f>
        <v>0</v>
      </c>
      <c r="M135" s="711">
        <f>Bilans_E_AMS_Kyoto_run3_MTE!Q507</f>
        <v>0</v>
      </c>
      <c r="N135" s="711">
        <f>Bilans_E_AMS_Kyoto_run3_MTE!R507</f>
        <v>0</v>
      </c>
      <c r="O135" s="711">
        <f>Bilans_E_AMS_Kyoto_run3_MTE!S507</f>
        <v>0</v>
      </c>
      <c r="P135" s="711">
        <f>Bilans_E_AMS_Kyoto_run3_MTE!T507+Bilans_E_AMS_Kyoto_run3_MTE!U507</f>
        <v>0</v>
      </c>
      <c r="Q135" s="711">
        <f>Bilans_E_AMS_Kyoto_run3_MTE!V507</f>
        <v>0</v>
      </c>
      <c r="R135" s="711">
        <f>Bilans_E_AMS_Kyoto_run3_MTE!W507</f>
        <v>0</v>
      </c>
      <c r="S135" s="711">
        <f>Bilans_E_AMS_Kyoto_run3_MTE!X507</f>
        <v>0</v>
      </c>
      <c r="T135" s="711">
        <f>Bilans_E_AMS_Kyoto_run3_MTE!Y507</f>
        <v>5.1930977473126321</v>
      </c>
      <c r="U135" s="711">
        <f>Bilans_E_AMS_Kyoto_run3_MTE!Z507</f>
        <v>1.4464077643783986</v>
      </c>
      <c r="V135" s="701"/>
      <c r="W135" s="701"/>
    </row>
    <row r="136" spans="1:23" x14ac:dyDescent="0.25">
      <c r="A136" s="701" t="s">
        <v>499</v>
      </c>
      <c r="B136" s="701"/>
      <c r="C136" s="717" t="s">
        <v>72</v>
      </c>
      <c r="D136" s="711">
        <f>Bilans_E_AMS_Kyoto_run3_MTE!H508</f>
        <v>0</v>
      </c>
      <c r="E136" s="711">
        <f>Bilans_E_AMS_Kyoto_run3_MTE!I508</f>
        <v>148.77345828425325</v>
      </c>
      <c r="F136" s="711">
        <f>Bilans_E_AMS_Kyoto_run3_MTE!J508</f>
        <v>-147.28572370141072</v>
      </c>
      <c r="G136" s="711">
        <f>Bilans_E_AMS_Kyoto_run3_MTE!K508</f>
        <v>0</v>
      </c>
      <c r="H136" s="711">
        <f>Bilans_E_AMS_Kyoto_run3_MTE!L508</f>
        <v>0</v>
      </c>
      <c r="I136" s="711">
        <f>Bilans_E_AMS_Kyoto_run3_MTE!M508</f>
        <v>0</v>
      </c>
      <c r="J136" s="711">
        <f>Bilans_E_AMS_Kyoto_run3_MTE!N508</f>
        <v>0</v>
      </c>
      <c r="K136" s="711">
        <f>Bilans_E_AMS_Kyoto_run3_MTE!O508</f>
        <v>0</v>
      </c>
      <c r="L136" s="711">
        <f>Bilans_E_AMS_Kyoto_run3_MTE!P508</f>
        <v>0</v>
      </c>
      <c r="M136" s="711">
        <f>Bilans_E_AMS_Kyoto_run3_MTE!Q508</f>
        <v>0</v>
      </c>
      <c r="N136" s="711">
        <f>Bilans_E_AMS_Kyoto_run3_MTE!R508</f>
        <v>0</v>
      </c>
      <c r="O136" s="711">
        <f>Bilans_E_AMS_Kyoto_run3_MTE!S508</f>
        <v>0</v>
      </c>
      <c r="P136" s="711">
        <f>Bilans_E_AMS_Kyoto_run3_MTE!T508+Bilans_E_AMS_Kyoto_run3_MTE!U508</f>
        <v>0</v>
      </c>
      <c r="Q136" s="711">
        <f>Bilans_E_AMS_Kyoto_run3_MTE!V508</f>
        <v>0</v>
      </c>
      <c r="R136" s="711">
        <f>Bilans_E_AMS_Kyoto_run3_MTE!W508</f>
        <v>0</v>
      </c>
      <c r="S136" s="711">
        <f>Bilans_E_AMS_Kyoto_run3_MTE!X508</f>
        <v>0</v>
      </c>
      <c r="T136" s="711">
        <f>Bilans_E_AMS_Kyoto_run3_MTE!Y508</f>
        <v>0</v>
      </c>
      <c r="U136" s="711">
        <f>Bilans_E_AMS_Kyoto_run3_MTE!Z508</f>
        <v>1.4877345828425348</v>
      </c>
      <c r="V136" s="701"/>
      <c r="W136" s="701"/>
    </row>
    <row r="137" spans="1:23" x14ac:dyDescent="0.25">
      <c r="A137" s="701" t="s">
        <v>500</v>
      </c>
      <c r="B137" s="701"/>
      <c r="C137" s="717" t="s">
        <v>351</v>
      </c>
      <c r="D137" s="711">
        <f>Bilans_E_AMS_Kyoto_run3_MTE!H509</f>
        <v>0</v>
      </c>
      <c r="E137" s="711">
        <f>Bilans_E_AMS_Kyoto_run3_MTE!I509</f>
        <v>0</v>
      </c>
      <c r="F137" s="711">
        <f>Bilans_E_AMS_Kyoto_run3_MTE!J509</f>
        <v>0</v>
      </c>
      <c r="G137" s="711">
        <f>Bilans_E_AMS_Kyoto_run3_MTE!K509</f>
        <v>0</v>
      </c>
      <c r="H137" s="711">
        <f>Bilans_E_AMS_Kyoto_run3_MTE!L509</f>
        <v>0</v>
      </c>
      <c r="I137" s="711">
        <f>Bilans_E_AMS_Kyoto_run3_MTE!M509</f>
        <v>0</v>
      </c>
      <c r="J137" s="711">
        <f>Bilans_E_AMS_Kyoto_run3_MTE!N509</f>
        <v>0</v>
      </c>
      <c r="K137" s="711">
        <f>Bilans_E_AMS_Kyoto_run3_MTE!O509</f>
        <v>0</v>
      </c>
      <c r="L137" s="711">
        <f>Bilans_E_AMS_Kyoto_run3_MTE!P509</f>
        <v>102.29704163456771</v>
      </c>
      <c r="M137" s="711">
        <f>Bilans_E_AMS_Kyoto_run3_MTE!Q509</f>
        <v>7.2727272727272725</v>
      </c>
      <c r="N137" s="711">
        <f>Bilans_E_AMS_Kyoto_run3_MTE!R509</f>
        <v>-61.183830654875514</v>
      </c>
      <c r="O137" s="711">
        <f>Bilans_E_AMS_Kyoto_run3_MTE!S509</f>
        <v>0</v>
      </c>
      <c r="P137" s="711">
        <f>Bilans_E_AMS_Kyoto_run3_MTE!T509+Bilans_E_AMS_Kyoto_run3_MTE!U509</f>
        <v>0</v>
      </c>
      <c r="Q137" s="711">
        <f>Bilans_E_AMS_Kyoto_run3_MTE!V509</f>
        <v>0</v>
      </c>
      <c r="R137" s="711">
        <f>Bilans_E_AMS_Kyoto_run3_MTE!W509</f>
        <v>0</v>
      </c>
      <c r="S137" s="711">
        <f>Bilans_E_AMS_Kyoto_run3_MTE!X509</f>
        <v>0</v>
      </c>
      <c r="T137" s="711">
        <f>Bilans_E_AMS_Kyoto_run3_MTE!Y509</f>
        <v>0</v>
      </c>
      <c r="U137" s="711">
        <f>Bilans_E_AMS_Kyoto_run3_MTE!Z509</f>
        <v>48.385938252419457</v>
      </c>
      <c r="V137" s="701"/>
      <c r="W137" s="701"/>
    </row>
    <row r="138" spans="1:23" x14ac:dyDescent="0.25">
      <c r="A138" s="701" t="s">
        <v>501</v>
      </c>
      <c r="B138" s="701"/>
      <c r="C138" s="717" t="s">
        <v>352</v>
      </c>
      <c r="D138" s="711">
        <f>Bilans_E_AMS_Kyoto_run3_MTE!H510</f>
        <v>0</v>
      </c>
      <c r="E138" s="711">
        <f>Bilans_E_AMS_Kyoto_run3_MTE!I510</f>
        <v>0</v>
      </c>
      <c r="F138" s="711">
        <f>Bilans_E_AMS_Kyoto_run3_MTE!J510</f>
        <v>0</v>
      </c>
      <c r="G138" s="711">
        <f>Bilans_E_AMS_Kyoto_run3_MTE!K510</f>
        <v>-14.619486217725157</v>
      </c>
      <c r="H138" s="711">
        <f>Bilans_E_AMS_Kyoto_run3_MTE!L510</f>
        <v>0</v>
      </c>
      <c r="I138" s="711">
        <f>Bilans_E_AMS_Kyoto_run3_MTE!M510</f>
        <v>0</v>
      </c>
      <c r="J138" s="711">
        <f>Bilans_E_AMS_Kyoto_run3_MTE!N510</f>
        <v>0</v>
      </c>
      <c r="K138" s="711">
        <f>Bilans_E_AMS_Kyoto_run3_MTE!O510</f>
        <v>0</v>
      </c>
      <c r="L138" s="711">
        <f>Bilans_E_AMS_Kyoto_run3_MTE!P510</f>
        <v>0</v>
      </c>
      <c r="M138" s="711">
        <f>Bilans_E_AMS_Kyoto_run3_MTE!Q510</f>
        <v>0</v>
      </c>
      <c r="N138" s="711">
        <f>Bilans_E_AMS_Kyoto_run3_MTE!R510</f>
        <v>0</v>
      </c>
      <c r="O138" s="711">
        <f>Bilans_E_AMS_Kyoto_run3_MTE!S510</f>
        <v>0</v>
      </c>
      <c r="P138" s="711">
        <f>Bilans_E_AMS_Kyoto_run3_MTE!T510+Bilans_E_AMS_Kyoto_run3_MTE!U510</f>
        <v>0</v>
      </c>
      <c r="Q138" s="711">
        <f>Bilans_E_AMS_Kyoto_run3_MTE!V510</f>
        <v>0</v>
      </c>
      <c r="R138" s="711">
        <f>Bilans_E_AMS_Kyoto_run3_MTE!W510</f>
        <v>0</v>
      </c>
      <c r="S138" s="711">
        <f>Bilans_E_AMS_Kyoto_run3_MTE!X510</f>
        <v>0</v>
      </c>
      <c r="T138" s="711">
        <f>Bilans_E_AMS_Kyoto_run3_MTE!Y510</f>
        <v>24.331434839497675</v>
      </c>
      <c r="U138" s="711">
        <f>Bilans_E_AMS_Kyoto_run3_MTE!Z510</f>
        <v>9.7119486217725175</v>
      </c>
      <c r="V138" s="701"/>
      <c r="W138" s="701"/>
    </row>
    <row r="139" spans="1:23" x14ac:dyDescent="0.25">
      <c r="A139" s="701" t="s">
        <v>502</v>
      </c>
      <c r="B139" s="701"/>
      <c r="C139" s="717" t="s">
        <v>73</v>
      </c>
      <c r="D139" s="711">
        <f>Bilans_E_AMS_Kyoto_run3_MTE!H511</f>
        <v>0</v>
      </c>
      <c r="E139" s="711">
        <f>Bilans_E_AMS_Kyoto_run3_MTE!I511</f>
        <v>0</v>
      </c>
      <c r="F139" s="711">
        <f>Bilans_E_AMS_Kyoto_run3_MTE!J511</f>
        <v>0</v>
      </c>
      <c r="G139" s="711">
        <f>Bilans_E_AMS_Kyoto_run3_MTE!K511</f>
        <v>0</v>
      </c>
      <c r="H139" s="711">
        <f>Bilans_E_AMS_Kyoto_run3_MTE!L511</f>
        <v>0</v>
      </c>
      <c r="I139" s="711">
        <f>Bilans_E_AMS_Kyoto_run3_MTE!M511</f>
        <v>0</v>
      </c>
      <c r="J139" s="711">
        <f>Bilans_E_AMS_Kyoto_run3_MTE!N511</f>
        <v>0</v>
      </c>
      <c r="K139" s="711">
        <f>Bilans_E_AMS_Kyoto_run3_MTE!O511</f>
        <v>0</v>
      </c>
      <c r="L139" s="711">
        <f>Bilans_E_AMS_Kyoto_run3_MTE!P511</f>
        <v>0</v>
      </c>
      <c r="M139" s="711">
        <f>Bilans_E_AMS_Kyoto_run3_MTE!Q511</f>
        <v>0</v>
      </c>
      <c r="N139" s="711">
        <f>Bilans_E_AMS_Kyoto_run3_MTE!R511</f>
        <v>0</v>
      </c>
      <c r="O139" s="711">
        <f>Bilans_E_AMS_Kyoto_run3_MTE!S511</f>
        <v>0</v>
      </c>
      <c r="P139" s="711">
        <f>Bilans_E_AMS_Kyoto_run3_MTE!T511+Bilans_E_AMS_Kyoto_run3_MTE!U511</f>
        <v>0</v>
      </c>
      <c r="Q139" s="711">
        <f>Bilans_E_AMS_Kyoto_run3_MTE!V511</f>
        <v>0</v>
      </c>
      <c r="R139" s="711">
        <f>Bilans_E_AMS_Kyoto_run3_MTE!W511</f>
        <v>88.6114421596901</v>
      </c>
      <c r="S139" s="711">
        <f>Bilans_E_AMS_Kyoto_run3_MTE!X511</f>
        <v>0</v>
      </c>
      <c r="T139" s="711">
        <f>Bilans_E_AMS_Kyoto_run3_MTE!Y511</f>
        <v>-62.249538117182297</v>
      </c>
      <c r="U139" s="711">
        <f>Bilans_E_AMS_Kyoto_run3_MTE!Z511</f>
        <v>26.361904042507803</v>
      </c>
      <c r="V139" s="701"/>
      <c r="W139" s="701"/>
    </row>
    <row r="140" spans="1:23" x14ac:dyDescent="0.25">
      <c r="A140" s="701" t="s">
        <v>503</v>
      </c>
      <c r="B140" s="701"/>
      <c r="C140" s="717" t="s">
        <v>353</v>
      </c>
      <c r="D140" s="711">
        <f>Bilans_E_AMS_Kyoto_run3_MTE!H512</f>
        <v>0</v>
      </c>
      <c r="E140" s="711">
        <f>Bilans_E_AMS_Kyoto_run3_MTE!I512</f>
        <v>-5.1997356607688232</v>
      </c>
      <c r="F140" s="711">
        <f>Bilans_E_AMS_Kyoto_run3_MTE!J512</f>
        <v>6.948298230027091</v>
      </c>
      <c r="G140" s="711">
        <f>Bilans_E_AMS_Kyoto_run3_MTE!K512</f>
        <v>0</v>
      </c>
      <c r="H140" s="711">
        <f>Bilans_E_AMS_Kyoto_run3_MTE!L512</f>
        <v>0</v>
      </c>
      <c r="I140" s="711">
        <f>Bilans_E_AMS_Kyoto_run3_MTE!M512</f>
        <v>0</v>
      </c>
      <c r="J140" s="711">
        <f>Bilans_E_AMS_Kyoto_run3_MTE!N512</f>
        <v>0</v>
      </c>
      <c r="K140" s="711">
        <f>Bilans_E_AMS_Kyoto_run3_MTE!O512</f>
        <v>0</v>
      </c>
      <c r="L140" s="711">
        <f>Bilans_E_AMS_Kyoto_run3_MTE!P512</f>
        <v>0</v>
      </c>
      <c r="M140" s="711">
        <f>Bilans_E_AMS_Kyoto_run3_MTE!Q512</f>
        <v>0</v>
      </c>
      <c r="N140" s="711">
        <f>Bilans_E_AMS_Kyoto_run3_MTE!R512</f>
        <v>0</v>
      </c>
      <c r="O140" s="711">
        <f>Bilans_E_AMS_Kyoto_run3_MTE!S512</f>
        <v>0</v>
      </c>
      <c r="P140" s="711">
        <f>Bilans_E_AMS_Kyoto_run3_MTE!T512+Bilans_E_AMS_Kyoto_run3_MTE!U512</f>
        <v>0</v>
      </c>
      <c r="Q140" s="711">
        <f>Bilans_E_AMS_Kyoto_run3_MTE!V512</f>
        <v>0</v>
      </c>
      <c r="R140" s="711">
        <f>Bilans_E_AMS_Kyoto_run3_MTE!W512</f>
        <v>0</v>
      </c>
      <c r="S140" s="711">
        <f>Bilans_E_AMS_Kyoto_run3_MTE!X512</f>
        <v>0</v>
      </c>
      <c r="T140" s="711">
        <f>Bilans_E_AMS_Kyoto_run3_MTE!Y512</f>
        <v>0</v>
      </c>
      <c r="U140" s="711">
        <f>Bilans_E_AMS_Kyoto_run3_MTE!Z512</f>
        <v>1.7485625692582678</v>
      </c>
      <c r="V140" s="701"/>
      <c r="W140" s="701"/>
    </row>
    <row r="141" spans="1:23" x14ac:dyDescent="0.25">
      <c r="A141" s="701" t="s">
        <v>504</v>
      </c>
      <c r="B141" s="701"/>
      <c r="C141" s="717" t="s">
        <v>75</v>
      </c>
      <c r="D141" s="711">
        <f>Bilans_E_AMS_Kyoto_run3_MTE!H513</f>
        <v>0</v>
      </c>
      <c r="E141" s="711">
        <f>Bilans_E_AMS_Kyoto_run3_MTE!I513</f>
        <v>0</v>
      </c>
      <c r="F141" s="711">
        <f>Bilans_E_AMS_Kyoto_run3_MTE!J513</f>
        <v>5.2004760110645112</v>
      </c>
      <c r="G141" s="711">
        <f>Bilans_E_AMS_Kyoto_run3_MTE!K513</f>
        <v>0</v>
      </c>
      <c r="H141" s="711">
        <f>Bilans_E_AMS_Kyoto_run3_MTE!L513</f>
        <v>0</v>
      </c>
      <c r="I141" s="711">
        <f>Bilans_E_AMS_Kyoto_run3_MTE!M513</f>
        <v>0</v>
      </c>
      <c r="J141" s="711">
        <f>Bilans_E_AMS_Kyoto_run3_MTE!N513</f>
        <v>0</v>
      </c>
      <c r="K141" s="711">
        <f>Bilans_E_AMS_Kyoto_run3_MTE!O513</f>
        <v>0</v>
      </c>
      <c r="L141" s="711">
        <f>Bilans_E_AMS_Kyoto_run3_MTE!P513</f>
        <v>0</v>
      </c>
      <c r="M141" s="711">
        <f>Bilans_E_AMS_Kyoto_run3_MTE!Q513</f>
        <v>0</v>
      </c>
      <c r="N141" s="711">
        <f>Bilans_E_AMS_Kyoto_run3_MTE!R513</f>
        <v>0</v>
      </c>
      <c r="O141" s="711">
        <f>Bilans_E_AMS_Kyoto_run3_MTE!S513</f>
        <v>0</v>
      </c>
      <c r="P141" s="711">
        <f>Bilans_E_AMS_Kyoto_run3_MTE!T513+Bilans_E_AMS_Kyoto_run3_MTE!U513</f>
        <v>0</v>
      </c>
      <c r="Q141" s="711">
        <f>Bilans_E_AMS_Kyoto_run3_MTE!V513</f>
        <v>0</v>
      </c>
      <c r="R141" s="711">
        <f>Bilans_E_AMS_Kyoto_run3_MTE!W513</f>
        <v>38.430337038531441</v>
      </c>
      <c r="S141" s="711">
        <f>Bilans_E_AMS_Kyoto_run3_MTE!X513</f>
        <v>0</v>
      </c>
      <c r="T141" s="711">
        <f>Bilans_E_AMS_Kyoto_run3_MTE!Y513</f>
        <v>1.4650612498705113</v>
      </c>
      <c r="U141" s="711">
        <f>Bilans_E_AMS_Kyoto_run3_MTE!Z513</f>
        <v>45.095874299466459</v>
      </c>
      <c r="V141" s="701"/>
      <c r="W141" s="701"/>
    </row>
    <row r="142" spans="1:23" x14ac:dyDescent="0.25">
      <c r="A142" s="701" t="s">
        <v>505</v>
      </c>
      <c r="B142" s="701"/>
      <c r="C142" s="717" t="s">
        <v>76</v>
      </c>
      <c r="D142" s="711">
        <f>Bilans_E_AMS_Kyoto_run3_MTE!H514</f>
        <v>0</v>
      </c>
      <c r="E142" s="711">
        <f>Bilans_E_AMS_Kyoto_run3_MTE!I514</f>
        <v>0</v>
      </c>
      <c r="F142" s="711">
        <f>Bilans_E_AMS_Kyoto_run3_MTE!J514</f>
        <v>0</v>
      </c>
      <c r="G142" s="711">
        <f>Bilans_E_AMS_Kyoto_run3_MTE!K514</f>
        <v>0</v>
      </c>
      <c r="H142" s="711">
        <f>Bilans_E_AMS_Kyoto_run3_MTE!L514</f>
        <v>0.87272798956791087</v>
      </c>
      <c r="I142" s="711">
        <f>Bilans_E_AMS_Kyoto_run3_MTE!M514</f>
        <v>1.5867781628507469E-2</v>
      </c>
      <c r="J142" s="711">
        <f>Bilans_E_AMS_Kyoto_run3_MTE!N514</f>
        <v>0</v>
      </c>
      <c r="K142" s="711">
        <f>Bilans_E_AMS_Kyoto_run3_MTE!O514</f>
        <v>0</v>
      </c>
      <c r="L142" s="711">
        <f>Bilans_E_AMS_Kyoto_run3_MTE!P514</f>
        <v>0</v>
      </c>
      <c r="M142" s="711">
        <f>Bilans_E_AMS_Kyoto_run3_MTE!Q514</f>
        <v>0</v>
      </c>
      <c r="N142" s="711">
        <f>Bilans_E_AMS_Kyoto_run3_MTE!R514</f>
        <v>0</v>
      </c>
      <c r="O142" s="711">
        <f>Bilans_E_AMS_Kyoto_run3_MTE!S514</f>
        <v>0.6981823916543286</v>
      </c>
      <c r="P142" s="711">
        <f>Bilans_E_AMS_Kyoto_run3_MTE!T514+Bilans_E_AMS_Kyoto_run3_MTE!U514</f>
        <v>0</v>
      </c>
      <c r="Q142" s="711">
        <f>Bilans_E_AMS_Kyoto_run3_MTE!V514</f>
        <v>0</v>
      </c>
      <c r="R142" s="711">
        <f>Bilans_E_AMS_Kyoto_run3_MTE!W514</f>
        <v>61.224106337294323</v>
      </c>
      <c r="S142" s="711">
        <f>Bilans_E_AMS_Kyoto_run3_MTE!X514</f>
        <v>6.697680379771108</v>
      </c>
      <c r="T142" s="711">
        <f>Bilans_E_AMS_Kyoto_run3_MTE!Y514</f>
        <v>0</v>
      </c>
      <c r="U142" s="711">
        <f>Bilans_E_AMS_Kyoto_run3_MTE!Z514</f>
        <v>69.508564879916179</v>
      </c>
      <c r="V142" s="701"/>
      <c r="W142" s="701"/>
    </row>
    <row r="143" spans="1:23" x14ac:dyDescent="0.25">
      <c r="A143" s="701" t="s">
        <v>506</v>
      </c>
      <c r="B143" s="701"/>
      <c r="C143" s="713" t="s">
        <v>77</v>
      </c>
      <c r="D143" s="714">
        <f>Bilans_E_AMS_Kyoto_run3_MTE!H515</f>
        <v>0</v>
      </c>
      <c r="E143" s="714">
        <f>Bilans_E_AMS_Kyoto_run3_MTE!I515</f>
        <v>143.57372262348443</v>
      </c>
      <c r="F143" s="714">
        <f>Bilans_E_AMS_Kyoto_run3_MTE!J515</f>
        <v>-135.1369494603191</v>
      </c>
      <c r="G143" s="714">
        <f>Bilans_E_AMS_Kyoto_run3_MTE!K515</f>
        <v>-14.619486217725157</v>
      </c>
      <c r="H143" s="714">
        <f>Bilans_E_AMS_Kyoto_run3_MTE!L515</f>
        <v>10.97014456744899</v>
      </c>
      <c r="I143" s="714">
        <f>Bilans_E_AMS_Kyoto_run3_MTE!M515</f>
        <v>-3.5472733725210412</v>
      </c>
      <c r="J143" s="714">
        <f>Bilans_E_AMS_Kyoto_run3_MTE!N515</f>
        <v>1021.1177956869142</v>
      </c>
      <c r="K143" s="714">
        <f>Bilans_E_AMS_Kyoto_run3_MTE!O515</f>
        <v>462.06687945929309</v>
      </c>
      <c r="L143" s="714">
        <f>Bilans_E_AMS_Kyoto_run3_MTE!P515</f>
        <v>293.41607278708199</v>
      </c>
      <c r="M143" s="714">
        <f>Bilans_E_AMS_Kyoto_run3_MTE!Q515</f>
        <v>37.444475279494604</v>
      </c>
      <c r="N143" s="714">
        <f>Bilans_E_AMS_Kyoto_run3_MTE!R515</f>
        <v>-54.838669650846725</v>
      </c>
      <c r="O143" s="714">
        <f>Bilans_E_AMS_Kyoto_run3_MTE!S515</f>
        <v>-72.287130434655069</v>
      </c>
      <c r="P143" s="714">
        <f>Bilans_E_AMS_Kyoto_run3_MTE!T515+Bilans_E_AMS_Kyoto_run3_MTE!U515</f>
        <v>19.703135322463453</v>
      </c>
      <c r="Q143" s="714">
        <f>Bilans_E_AMS_Kyoto_run3_MTE!V515</f>
        <v>18.698303851168006</v>
      </c>
      <c r="R143" s="714">
        <f>Bilans_E_AMS_Kyoto_run3_MTE!W515</f>
        <v>-625.73217962616854</v>
      </c>
      <c r="S143" s="714">
        <f>Bilans_E_AMS_Kyoto_run3_MTE!X515</f>
        <v>-79.672309838953737</v>
      </c>
      <c r="T143" s="714">
        <f>Bilans_E_AMS_Kyoto_run3_MTE!Y515</f>
        <v>-31.259944280501475</v>
      </c>
      <c r="U143" s="714">
        <f>Bilans_E_AMS_Kyoto_run3_MTE!Z515</f>
        <v>989.89658669565813</v>
      </c>
      <c r="V143" s="701"/>
      <c r="W143" s="701"/>
    </row>
    <row r="144" spans="1:23" x14ac:dyDescent="0.25">
      <c r="A144" s="701"/>
      <c r="B144" s="701"/>
      <c r="C144" s="715"/>
      <c r="D144" s="716"/>
      <c r="E144" s="716"/>
      <c r="F144" s="716"/>
      <c r="G144" s="716"/>
      <c r="H144" s="716"/>
      <c r="I144" s="716"/>
      <c r="J144" s="716"/>
      <c r="K144" s="716"/>
      <c r="L144" s="716"/>
      <c r="M144" s="716"/>
      <c r="N144" s="716"/>
      <c r="O144" s="716"/>
      <c r="P144" s="716">
        <f>Bilans_E_AMS_Kyoto_run3_MTE!T516+Bilans_E_AMS_Kyoto_run3_MTE!U516</f>
        <v>0</v>
      </c>
      <c r="Q144" s="716"/>
      <c r="R144" s="716"/>
      <c r="S144" s="716"/>
      <c r="T144" s="716"/>
      <c r="U144" s="716"/>
      <c r="V144" s="701"/>
      <c r="W144" s="701"/>
    </row>
    <row r="145" spans="1:23" x14ac:dyDescent="0.25">
      <c r="A145" s="701" t="s">
        <v>507</v>
      </c>
      <c r="B145" s="701"/>
      <c r="C145" s="717" t="s">
        <v>78</v>
      </c>
      <c r="D145" s="711">
        <f>Bilans_E_AMS_Kyoto_run3_MTE!H517</f>
        <v>7.2040588378906256E-2</v>
      </c>
      <c r="E145" s="711">
        <f>Bilans_E_AMS_Kyoto_run3_MTE!I517</f>
        <v>0</v>
      </c>
      <c r="F145" s="711">
        <f>Bilans_E_AMS_Kyoto_run3_MTE!J517</f>
        <v>0.19057103431692568</v>
      </c>
      <c r="G145" s="711">
        <f>Bilans_E_AMS_Kyoto_run3_MTE!K517</f>
        <v>0</v>
      </c>
      <c r="H145" s="711">
        <f>Bilans_E_AMS_Kyoto_run3_MTE!L517</f>
        <v>28.795611186743677</v>
      </c>
      <c r="I145" s="711">
        <f>Bilans_E_AMS_Kyoto_run3_MTE!M517</f>
        <v>0.52355656703170317</v>
      </c>
      <c r="J145" s="711">
        <f>Bilans_E_AMS_Kyoto_run3_MTE!N517</f>
        <v>0</v>
      </c>
      <c r="K145" s="711">
        <f>Bilans_E_AMS_Kyoto_run3_MTE!O517</f>
        <v>0</v>
      </c>
      <c r="L145" s="711">
        <f>Bilans_E_AMS_Kyoto_run3_MTE!P517</f>
        <v>34.871553027324289</v>
      </c>
      <c r="M145" s="711">
        <f>Bilans_E_AMS_Kyoto_run3_MTE!Q517</f>
        <v>8.043964025546213</v>
      </c>
      <c r="N145" s="711">
        <f>Bilans_E_AMS_Kyoto_run3_MTE!R517</f>
        <v>0</v>
      </c>
      <c r="O145" s="711">
        <f>Bilans_E_AMS_Kyoto_run3_MTE!S517</f>
        <v>23.077839156426684</v>
      </c>
      <c r="P145" s="711">
        <f>Bilans_E_AMS_Kyoto_run3_MTE!T517+Bilans_E_AMS_Kyoto_run3_MTE!U517</f>
        <v>13.633620117187499</v>
      </c>
      <c r="Q145" s="711">
        <f>Bilans_E_AMS_Kyoto_run3_MTE!V517</f>
        <v>8.4299170840015686E-4</v>
      </c>
      <c r="R145" s="711">
        <f>Bilans_E_AMS_Kyoto_run3_MTE!W517</f>
        <v>158.64644753930071</v>
      </c>
      <c r="S145" s="711">
        <f>Bilans_E_AMS_Kyoto_run3_MTE!X517</f>
        <v>19.544256457993722</v>
      </c>
      <c r="T145" s="711">
        <f>Bilans_E_AMS_Kyoto_run3_MTE!Y517</f>
        <v>13.641840820312501</v>
      </c>
      <c r="U145" s="711">
        <f>Bilans_E_AMS_Kyoto_run3_MTE!Z517</f>
        <v>301.0421435122712</v>
      </c>
      <c r="V145" s="701"/>
      <c r="W145" s="701"/>
    </row>
    <row r="146" spans="1:23" x14ac:dyDescent="0.25">
      <c r="A146" s="701" t="s">
        <v>508</v>
      </c>
      <c r="B146" s="701"/>
      <c r="C146" s="717" t="s">
        <v>79</v>
      </c>
      <c r="D146" s="711">
        <f>Bilans_E_AMS_Kyoto_run3_MTE!H518</f>
        <v>0</v>
      </c>
      <c r="E146" s="711">
        <f>Bilans_E_AMS_Kyoto_run3_MTE!I518</f>
        <v>0</v>
      </c>
      <c r="F146" s="711">
        <f>Bilans_E_AMS_Kyoto_run3_MTE!J518</f>
        <v>27.842691184610331</v>
      </c>
      <c r="G146" s="711">
        <f>Bilans_E_AMS_Kyoto_run3_MTE!K518</f>
        <v>2</v>
      </c>
      <c r="H146" s="711">
        <f>Bilans_E_AMS_Kyoto_run3_MTE!L518</f>
        <v>4.1475118700352498</v>
      </c>
      <c r="I146" s="711">
        <f>Bilans_E_AMS_Kyoto_run3_MTE!M518</f>
        <v>7.5409306727913641E-2</v>
      </c>
      <c r="J146" s="711">
        <f>Bilans_E_AMS_Kyoto_run3_MTE!N518</f>
        <v>0</v>
      </c>
      <c r="K146" s="711">
        <f>Bilans_E_AMS_Kyoto_run3_MTE!O518</f>
        <v>0</v>
      </c>
      <c r="L146" s="711">
        <f>Bilans_E_AMS_Kyoto_run3_MTE!P518</f>
        <v>0</v>
      </c>
      <c r="M146" s="711">
        <f>Bilans_E_AMS_Kyoto_run3_MTE!Q518</f>
        <v>0</v>
      </c>
      <c r="N146" s="711">
        <f>Bilans_E_AMS_Kyoto_run3_MTE!R518</f>
        <v>29.027871012193479</v>
      </c>
      <c r="O146" s="711">
        <f>Bilans_E_AMS_Kyoto_run3_MTE!S518</f>
        <v>3.3180094960281998</v>
      </c>
      <c r="P146" s="711">
        <f>Bilans_E_AMS_Kyoto_run3_MTE!T518+Bilans_E_AMS_Kyoto_run3_MTE!U518</f>
        <v>0</v>
      </c>
      <c r="Q146" s="711">
        <f>Bilans_E_AMS_Kyoto_run3_MTE!V518</f>
        <v>0</v>
      </c>
      <c r="R146" s="711">
        <f>Bilans_E_AMS_Kyoto_run3_MTE!W518</f>
        <v>121.41640074189371</v>
      </c>
      <c r="S146" s="711">
        <f>Bilans_E_AMS_Kyoto_run3_MTE!X518</f>
        <v>0</v>
      </c>
      <c r="T146" s="711">
        <f>Bilans_E_AMS_Kyoto_run3_MTE!Y518</f>
        <v>6.7088833627788453</v>
      </c>
      <c r="U146" s="711">
        <f>Bilans_E_AMS_Kyoto_run3_MTE!Z518</f>
        <v>194.53677697426772</v>
      </c>
      <c r="V146" s="701"/>
      <c r="W146" s="701"/>
    </row>
    <row r="147" spans="1:23" x14ac:dyDescent="0.25">
      <c r="A147" s="701" t="s">
        <v>509</v>
      </c>
      <c r="B147" s="701"/>
      <c r="C147" s="717" t="s">
        <v>80</v>
      </c>
      <c r="D147" s="711">
        <f>Bilans_E_AMS_Kyoto_run3_MTE!H519</f>
        <v>0</v>
      </c>
      <c r="E147" s="711">
        <f>Bilans_E_AMS_Kyoto_run3_MTE!I519</f>
        <v>0</v>
      </c>
      <c r="F147" s="711">
        <f>Bilans_E_AMS_Kyoto_run3_MTE!J519</f>
        <v>0.1823284194363245</v>
      </c>
      <c r="G147" s="711">
        <f>Bilans_E_AMS_Kyoto_run3_MTE!K519</f>
        <v>0</v>
      </c>
      <c r="H147" s="711">
        <f>Bilans_E_AMS_Kyoto_run3_MTE!L519</f>
        <v>19.208488158214077</v>
      </c>
      <c r="I147" s="711">
        <f>Bilans_E_AMS_Kyoto_run3_MTE!M519</f>
        <v>0.34924523924025591</v>
      </c>
      <c r="J147" s="711">
        <f>Bilans_E_AMS_Kyoto_run3_MTE!N519</f>
        <v>0</v>
      </c>
      <c r="K147" s="711">
        <f>Bilans_E_AMS_Kyoto_run3_MTE!O519</f>
        <v>0</v>
      </c>
      <c r="L147" s="711">
        <f>Bilans_E_AMS_Kyoto_run3_MTE!P519</f>
        <v>41.860643688874312</v>
      </c>
      <c r="M147" s="711">
        <f>Bilans_E_AMS_Kyoto_run3_MTE!Q519</f>
        <v>0</v>
      </c>
      <c r="N147" s="711">
        <f>Bilans_E_AMS_Kyoto_run3_MTE!R519</f>
        <v>0</v>
      </c>
      <c r="O147" s="711">
        <f>Bilans_E_AMS_Kyoto_run3_MTE!S519</f>
        <v>15.366790526571261</v>
      </c>
      <c r="P147" s="711">
        <f>Bilans_E_AMS_Kyoto_run3_MTE!T519+Bilans_E_AMS_Kyoto_run3_MTE!U519</f>
        <v>148.3231165331799</v>
      </c>
      <c r="Q147" s="711">
        <f>Bilans_E_AMS_Kyoto_run3_MTE!V519</f>
        <v>12.136362038143677</v>
      </c>
      <c r="R147" s="711">
        <f>Bilans_E_AMS_Kyoto_run3_MTE!W519</f>
        <v>138.96099758278416</v>
      </c>
      <c r="S147" s="711">
        <f>Bilans_E_AMS_Kyoto_run3_MTE!X519</f>
        <v>37.481794053722915</v>
      </c>
      <c r="T147" s="711">
        <f>Bilans_E_AMS_Kyoto_run3_MTE!Y519</f>
        <v>0</v>
      </c>
      <c r="U147" s="711">
        <f>Bilans_E_AMS_Kyoto_run3_MTE!Z519</f>
        <v>413.86976624016694</v>
      </c>
      <c r="V147" s="701"/>
      <c r="W147" s="701"/>
    </row>
    <row r="148" spans="1:23" x14ac:dyDescent="0.25">
      <c r="A148" s="701" t="s">
        <v>510</v>
      </c>
      <c r="B148" s="701"/>
      <c r="C148" s="717" t="s">
        <v>81</v>
      </c>
      <c r="D148" s="711">
        <f>Bilans_E_AMS_Kyoto_run3_MTE!H520</f>
        <v>0</v>
      </c>
      <c r="E148" s="711">
        <f>Bilans_E_AMS_Kyoto_run3_MTE!I520</f>
        <v>0</v>
      </c>
      <c r="F148" s="711">
        <f>Bilans_E_AMS_Kyoto_run3_MTE!J520</f>
        <v>0.39199311709923457</v>
      </c>
      <c r="G148" s="711">
        <f>Bilans_E_AMS_Kyoto_run3_MTE!K520</f>
        <v>0</v>
      </c>
      <c r="H148" s="711">
        <f>Bilans_E_AMS_Kyoto_run3_MTE!L520</f>
        <v>9.9162417754913825</v>
      </c>
      <c r="I148" s="711">
        <f>Bilans_E_AMS_Kyoto_run3_MTE!M520</f>
        <v>0.18029530500893423</v>
      </c>
      <c r="J148" s="711">
        <f>Bilans_E_AMS_Kyoto_run3_MTE!N520</f>
        <v>0</v>
      </c>
      <c r="K148" s="711">
        <f>Bilans_E_AMS_Kyoto_run3_MTE!O520</f>
        <v>0</v>
      </c>
      <c r="L148" s="711">
        <f>Bilans_E_AMS_Kyoto_run3_MTE!P520</f>
        <v>0.48410239694179807</v>
      </c>
      <c r="M148" s="711">
        <f>Bilans_E_AMS_Kyoto_run3_MTE!Q520</f>
        <v>0</v>
      </c>
      <c r="N148" s="711">
        <f>Bilans_E_AMS_Kyoto_run3_MTE!R520</f>
        <v>0</v>
      </c>
      <c r="O148" s="711">
        <f>Bilans_E_AMS_Kyoto_run3_MTE!S520</f>
        <v>7.9329934203931058</v>
      </c>
      <c r="P148" s="711">
        <f>Bilans_E_AMS_Kyoto_run3_MTE!T520+Bilans_E_AMS_Kyoto_run3_MTE!U520</f>
        <v>58.56878651815164</v>
      </c>
      <c r="Q148" s="711">
        <f>Bilans_E_AMS_Kyoto_run3_MTE!V520</f>
        <v>12.039845592065015</v>
      </c>
      <c r="R148" s="711">
        <f>Bilans_E_AMS_Kyoto_run3_MTE!W520</f>
        <v>122.64919061404242</v>
      </c>
      <c r="S148" s="711">
        <f>Bilans_E_AMS_Kyoto_run3_MTE!X520</f>
        <v>22.646226401731536</v>
      </c>
      <c r="T148" s="711">
        <f>Bilans_E_AMS_Kyoto_run3_MTE!Y520</f>
        <v>0</v>
      </c>
      <c r="U148" s="711">
        <f>Bilans_E_AMS_Kyoto_run3_MTE!Z520</f>
        <v>234.80967514092507</v>
      </c>
      <c r="V148" s="701"/>
      <c r="W148" s="701"/>
    </row>
    <row r="149" spans="1:23" x14ac:dyDescent="0.25">
      <c r="A149" s="701" t="s">
        <v>511</v>
      </c>
      <c r="B149" s="701"/>
      <c r="C149" s="717" t="s">
        <v>82</v>
      </c>
      <c r="D149" s="711">
        <f>Bilans_E_AMS_Kyoto_run3_MTE!H521</f>
        <v>0</v>
      </c>
      <c r="E149" s="711">
        <f>Bilans_E_AMS_Kyoto_run3_MTE!I521</f>
        <v>0</v>
      </c>
      <c r="F149" s="711">
        <f>Bilans_E_AMS_Kyoto_run3_MTE!J521</f>
        <v>5.4571309143050808</v>
      </c>
      <c r="G149" s="711">
        <f>Bilans_E_AMS_Kyoto_run3_MTE!K521</f>
        <v>0</v>
      </c>
      <c r="H149" s="711">
        <f>Bilans_E_AMS_Kyoto_run3_MTE!L521</f>
        <v>0.56206289562711365</v>
      </c>
      <c r="I149" s="711">
        <f>Bilans_E_AMS_Kyoto_run3_MTE!M521</f>
        <v>1.0219325375038429E-2</v>
      </c>
      <c r="J149" s="711">
        <f>Bilans_E_AMS_Kyoto_run3_MTE!N521</f>
        <v>0</v>
      </c>
      <c r="K149" s="711">
        <f>Bilans_E_AMS_Kyoto_run3_MTE!O521</f>
        <v>0</v>
      </c>
      <c r="L149" s="711">
        <f>Bilans_E_AMS_Kyoto_run3_MTE!P521</f>
        <v>17.783972013033864</v>
      </c>
      <c r="M149" s="711">
        <f>Bilans_E_AMS_Kyoto_run3_MTE!Q521</f>
        <v>0</v>
      </c>
      <c r="N149" s="711">
        <f>Bilans_E_AMS_Kyoto_run3_MTE!R521</f>
        <v>8.2374051734864402</v>
      </c>
      <c r="O149" s="711">
        <f>Bilans_E_AMS_Kyoto_run3_MTE!S521</f>
        <v>0.44965031650169085</v>
      </c>
      <c r="P149" s="711">
        <f>Bilans_E_AMS_Kyoto_run3_MTE!T521+Bilans_E_AMS_Kyoto_run3_MTE!U521</f>
        <v>1.25</v>
      </c>
      <c r="Q149" s="711">
        <f>Bilans_E_AMS_Kyoto_run3_MTE!V521</f>
        <v>1.7440136932478227</v>
      </c>
      <c r="R149" s="711">
        <f>Bilans_E_AMS_Kyoto_run3_MTE!W521</f>
        <v>10.36655207833598</v>
      </c>
      <c r="S149" s="711">
        <f>Bilans_E_AMS_Kyoto_run3_MTE!X521</f>
        <v>0</v>
      </c>
      <c r="T149" s="711">
        <f>Bilans_E_AMS_Kyoto_run3_MTE!Y521</f>
        <v>0.55589052141355966</v>
      </c>
      <c r="U149" s="711">
        <f>Bilans_E_AMS_Kyoto_run3_MTE!Z521</f>
        <v>46.416896931326583</v>
      </c>
      <c r="V149" s="701"/>
      <c r="W149" s="701"/>
    </row>
    <row r="150" spans="1:23" x14ac:dyDescent="0.25">
      <c r="A150" s="701" t="s">
        <v>512</v>
      </c>
      <c r="B150" s="701"/>
      <c r="C150" s="717" t="s">
        <v>354</v>
      </c>
      <c r="D150" s="711">
        <f>Bilans_E_AMS_Kyoto_run3_MTE!H522</f>
        <v>0</v>
      </c>
      <c r="E150" s="711">
        <f>Bilans_E_AMS_Kyoto_run3_MTE!I522</f>
        <v>0</v>
      </c>
      <c r="F150" s="711">
        <f>Bilans_E_AMS_Kyoto_run3_MTE!J522</f>
        <v>0</v>
      </c>
      <c r="G150" s="711">
        <f>Bilans_E_AMS_Kyoto_run3_MTE!K522</f>
        <v>0</v>
      </c>
      <c r="H150" s="711">
        <f>Bilans_E_AMS_Kyoto_run3_MTE!L522</f>
        <v>0</v>
      </c>
      <c r="I150" s="711">
        <f>Bilans_E_AMS_Kyoto_run3_MTE!M522</f>
        <v>0</v>
      </c>
      <c r="J150" s="711">
        <f>Bilans_E_AMS_Kyoto_run3_MTE!N522</f>
        <v>0</v>
      </c>
      <c r="K150" s="711">
        <f>Bilans_E_AMS_Kyoto_run3_MTE!O522</f>
        <v>0</v>
      </c>
      <c r="L150" s="711">
        <f>Bilans_E_AMS_Kyoto_run3_MTE!P522</f>
        <v>0</v>
      </c>
      <c r="M150" s="711">
        <f>Bilans_E_AMS_Kyoto_run3_MTE!Q522</f>
        <v>0</v>
      </c>
      <c r="N150" s="711">
        <f>Bilans_E_AMS_Kyoto_run3_MTE!R522</f>
        <v>0</v>
      </c>
      <c r="O150" s="711">
        <f>Bilans_E_AMS_Kyoto_run3_MTE!S522</f>
        <v>0</v>
      </c>
      <c r="P150" s="711">
        <f>Bilans_E_AMS_Kyoto_run3_MTE!T522+Bilans_E_AMS_Kyoto_run3_MTE!U522</f>
        <v>0</v>
      </c>
      <c r="Q150" s="711">
        <f>Bilans_E_AMS_Kyoto_run3_MTE!V522</f>
        <v>0</v>
      </c>
      <c r="R150" s="711">
        <f>Bilans_E_AMS_Kyoto_run3_MTE!W522</f>
        <v>9.0399999999999991</v>
      </c>
      <c r="S150" s="711">
        <f>Bilans_E_AMS_Kyoto_run3_MTE!X522</f>
        <v>0</v>
      </c>
      <c r="T150" s="711">
        <f>Bilans_E_AMS_Kyoto_run3_MTE!Y522</f>
        <v>0</v>
      </c>
      <c r="U150" s="711">
        <f>Bilans_E_AMS_Kyoto_run3_MTE!Z522</f>
        <v>9.0399999999999991</v>
      </c>
      <c r="V150" s="701"/>
      <c r="W150" s="701"/>
    </row>
    <row r="151" spans="1:23" x14ac:dyDescent="0.25">
      <c r="A151" s="701" t="s">
        <v>513</v>
      </c>
      <c r="B151" s="701"/>
      <c r="C151" s="713" t="s">
        <v>83</v>
      </c>
      <c r="D151" s="714">
        <f>Bilans_E_AMS_Kyoto_run3_MTE!H523</f>
        <v>7.2040588378906256E-2</v>
      </c>
      <c r="E151" s="714">
        <f>Bilans_E_AMS_Kyoto_run3_MTE!I523</f>
        <v>0</v>
      </c>
      <c r="F151" s="714">
        <f>Bilans_E_AMS_Kyoto_run3_MTE!J523</f>
        <v>34.064714669767895</v>
      </c>
      <c r="G151" s="714">
        <f>Bilans_E_AMS_Kyoto_run3_MTE!K523</f>
        <v>2</v>
      </c>
      <c r="H151" s="714">
        <f>Bilans_E_AMS_Kyoto_run3_MTE!L523</f>
        <v>62.629915886111512</v>
      </c>
      <c r="I151" s="714">
        <f>Bilans_E_AMS_Kyoto_run3_MTE!M523</f>
        <v>1.1387257433838454</v>
      </c>
      <c r="J151" s="714">
        <f>Bilans_E_AMS_Kyoto_run3_MTE!N523</f>
        <v>0</v>
      </c>
      <c r="K151" s="714">
        <f>Bilans_E_AMS_Kyoto_run3_MTE!O523</f>
        <v>0</v>
      </c>
      <c r="L151" s="714">
        <f>Bilans_E_AMS_Kyoto_run3_MTE!P523</f>
        <v>95.000271126174255</v>
      </c>
      <c r="M151" s="714">
        <f>Bilans_E_AMS_Kyoto_run3_MTE!Q523</f>
        <v>8.043964025546213</v>
      </c>
      <c r="N151" s="714">
        <f>Bilans_E_AMS_Kyoto_run3_MTE!R523</f>
        <v>37.265276185679923</v>
      </c>
      <c r="O151" s="714">
        <f>Bilans_E_AMS_Kyoto_run3_MTE!S523</f>
        <v>50.145282915920937</v>
      </c>
      <c r="P151" s="714">
        <f>Bilans_E_AMS_Kyoto_run3_MTE!T523+Bilans_E_AMS_Kyoto_run3_MTE!U523</f>
        <v>221.77552316851904</v>
      </c>
      <c r="Q151" s="714">
        <f>Bilans_E_AMS_Kyoto_run3_MTE!V523</f>
        <v>25.921064315164912</v>
      </c>
      <c r="R151" s="714">
        <f>Bilans_E_AMS_Kyoto_run3_MTE!W523</f>
        <v>561.07958855635695</v>
      </c>
      <c r="S151" s="714">
        <f>Bilans_E_AMS_Kyoto_run3_MTE!X523</f>
        <v>79.672276913448172</v>
      </c>
      <c r="T151" s="714">
        <f>Bilans_E_AMS_Kyoto_run3_MTE!Y523</f>
        <v>20.906614704504904</v>
      </c>
      <c r="U151" s="714">
        <f>Bilans_E_AMS_Kyoto_run3_MTE!Z523</f>
        <v>1199.7152587989574</v>
      </c>
      <c r="V151" s="701"/>
      <c r="W151" s="701"/>
    </row>
    <row r="152" spans="1:23" x14ac:dyDescent="0.25">
      <c r="A152" s="701" t="s">
        <v>514</v>
      </c>
      <c r="B152" s="701"/>
      <c r="C152" s="710" t="s">
        <v>84</v>
      </c>
      <c r="D152" s="711">
        <f>Bilans_E_AMS_Kyoto_run3_MTE!H524</f>
        <v>0</v>
      </c>
      <c r="E152" s="711">
        <f>Bilans_E_AMS_Kyoto_run3_MTE!I524</f>
        <v>0</v>
      </c>
      <c r="F152" s="711">
        <f>Bilans_E_AMS_Kyoto_run3_MTE!J524</f>
        <v>96.394045128661887</v>
      </c>
      <c r="G152" s="711">
        <f>Bilans_E_AMS_Kyoto_run3_MTE!K524</f>
        <v>3.4901848637372384</v>
      </c>
      <c r="H152" s="711">
        <f>Bilans_E_AMS_Kyoto_run3_MTE!L524</f>
        <v>9.7025025927356783</v>
      </c>
      <c r="I152" s="711">
        <f>Bilans_E_AMS_Kyoto_run3_MTE!M524</f>
        <v>0</v>
      </c>
      <c r="J152" s="711">
        <f>Bilans_E_AMS_Kyoto_run3_MTE!N524</f>
        <v>0</v>
      </c>
      <c r="K152" s="711">
        <f>Bilans_E_AMS_Kyoto_run3_MTE!O524</f>
        <v>0</v>
      </c>
      <c r="L152" s="711">
        <f>Bilans_E_AMS_Kyoto_run3_MTE!P524</f>
        <v>0.55051822222324442</v>
      </c>
      <c r="M152" s="711">
        <f>Bilans_E_AMS_Kyoto_run3_MTE!Q524</f>
        <v>0</v>
      </c>
      <c r="N152" s="711">
        <f>Bilans_E_AMS_Kyoto_run3_MTE!R524</f>
        <v>5.2633850918308207</v>
      </c>
      <c r="O152" s="711">
        <f>Bilans_E_AMS_Kyoto_run3_MTE!S524</f>
        <v>0</v>
      </c>
      <c r="P152" s="711">
        <f>Bilans_E_AMS_Kyoto_run3_MTE!T524+Bilans_E_AMS_Kyoto_run3_MTE!U524</f>
        <v>0</v>
      </c>
      <c r="Q152" s="711">
        <f>Bilans_E_AMS_Kyoto_run3_MTE!V524</f>
        <v>0</v>
      </c>
      <c r="R152" s="711">
        <f>Bilans_E_AMS_Kyoto_run3_MTE!W524</f>
        <v>0</v>
      </c>
      <c r="S152" s="711">
        <f>Bilans_E_AMS_Kyoto_run3_MTE!X524</f>
        <v>0</v>
      </c>
      <c r="T152" s="711">
        <f>Bilans_E_AMS_Kyoto_run3_MTE!Y524</f>
        <v>4.3572670917440366</v>
      </c>
      <c r="U152" s="711">
        <f>Bilans_E_AMS_Kyoto_run3_MTE!Z524</f>
        <v>119.75790299093292</v>
      </c>
      <c r="V152" s="701"/>
      <c r="W152" s="701"/>
    </row>
    <row r="153" spans="1:23" x14ac:dyDescent="0.25">
      <c r="A153" s="701" t="s">
        <v>515</v>
      </c>
      <c r="B153" s="701"/>
      <c r="C153" s="713" t="s">
        <v>85</v>
      </c>
      <c r="D153" s="714">
        <f>Bilans_E_AMS_Kyoto_run3_MTE!H525</f>
        <v>7.2040588378906256E-2</v>
      </c>
      <c r="E153" s="714">
        <f>Bilans_E_AMS_Kyoto_run3_MTE!I525</f>
        <v>0</v>
      </c>
      <c r="F153" s="714">
        <f>Bilans_E_AMS_Kyoto_run3_MTE!J525</f>
        <v>130.45875979842978</v>
      </c>
      <c r="G153" s="714">
        <f>Bilans_E_AMS_Kyoto_run3_MTE!K525</f>
        <v>5.4901848637372384</v>
      </c>
      <c r="H153" s="714">
        <f>Bilans_E_AMS_Kyoto_run3_MTE!L525</f>
        <v>72.332418478847188</v>
      </c>
      <c r="I153" s="714">
        <f>Bilans_E_AMS_Kyoto_run3_MTE!M525</f>
        <v>1.1387257433838454</v>
      </c>
      <c r="J153" s="714">
        <f>Bilans_E_AMS_Kyoto_run3_MTE!N525</f>
        <v>0</v>
      </c>
      <c r="K153" s="714">
        <f>Bilans_E_AMS_Kyoto_run3_MTE!O525</f>
        <v>0</v>
      </c>
      <c r="L153" s="714">
        <f>Bilans_E_AMS_Kyoto_run3_MTE!P525</f>
        <v>95.550789348397501</v>
      </c>
      <c r="M153" s="714">
        <f>Bilans_E_AMS_Kyoto_run3_MTE!Q525</f>
        <v>8.043964025546213</v>
      </c>
      <c r="N153" s="714">
        <f>Bilans_E_AMS_Kyoto_run3_MTE!R525</f>
        <v>42.528661277510743</v>
      </c>
      <c r="O153" s="714">
        <f>Bilans_E_AMS_Kyoto_run3_MTE!S525</f>
        <v>50.145282915920937</v>
      </c>
      <c r="P153" s="714">
        <f>Bilans_E_AMS_Kyoto_run3_MTE!T525+Bilans_E_AMS_Kyoto_run3_MTE!U525</f>
        <v>221.77552316851904</v>
      </c>
      <c r="Q153" s="714">
        <f>Bilans_E_AMS_Kyoto_run3_MTE!V525</f>
        <v>25.921064315164912</v>
      </c>
      <c r="R153" s="714">
        <f>Bilans_E_AMS_Kyoto_run3_MTE!W525</f>
        <v>561.07958855635695</v>
      </c>
      <c r="S153" s="714">
        <f>Bilans_E_AMS_Kyoto_run3_MTE!X525</f>
        <v>79.672276913448172</v>
      </c>
      <c r="T153" s="714">
        <f>Bilans_E_AMS_Kyoto_run3_MTE!Y525</f>
        <v>25.263881796248938</v>
      </c>
      <c r="U153" s="714">
        <f>Bilans_E_AMS_Kyoto_run3_MTE!Z525</f>
        <v>1319.4731617898904</v>
      </c>
      <c r="V153" s="701"/>
      <c r="W153" s="701"/>
    </row>
    <row r="154" spans="1:23" x14ac:dyDescent="0.25">
      <c r="A154" s="701"/>
      <c r="B154" s="701"/>
      <c r="C154" s="701"/>
      <c r="D154" s="701">
        <f>Bilans_E_AMS_Kyoto_run3_MTE!H526</f>
        <v>0</v>
      </c>
      <c r="E154" s="701">
        <f>Bilans_E_AMS_Kyoto_run3_MTE!I526</f>
        <v>0</v>
      </c>
      <c r="F154" s="701">
        <f>Bilans_E_AMS_Kyoto_run3_MTE!J526</f>
        <v>-7.1054273576010019E-15</v>
      </c>
      <c r="G154" s="701">
        <f>Bilans_E_AMS_Kyoto_run3_MTE!K526</f>
        <v>0</v>
      </c>
      <c r="H154" s="701">
        <f>Bilans_E_AMS_Kyoto_run3_MTE!L526</f>
        <v>4.0563540423477207E-5</v>
      </c>
      <c r="I154" s="701">
        <f>Bilans_E_AMS_Kyoto_run3_MTE!M526</f>
        <v>-4.0563540425697653E-5</v>
      </c>
      <c r="J154" s="701">
        <f>Bilans_E_AMS_Kyoto_run3_MTE!N526</f>
        <v>0</v>
      </c>
      <c r="K154" s="701">
        <f>Bilans_E_AMS_Kyoto_run3_MTE!O526</f>
        <v>0</v>
      </c>
      <c r="L154" s="701">
        <f>Bilans_E_AMS_Kyoto_run3_MTE!P526</f>
        <v>0</v>
      </c>
      <c r="M154" s="701">
        <f>Bilans_E_AMS_Kyoto_run3_MTE!Q526</f>
        <v>0</v>
      </c>
      <c r="N154" s="701">
        <f>Bilans_E_AMS_Kyoto_run3_MTE!R526</f>
        <v>0</v>
      </c>
      <c r="O154" s="701">
        <f>Bilans_E_AMS_Kyoto_run3_MTE!S526</f>
        <v>0</v>
      </c>
      <c r="P154" s="701">
        <f>Bilans_E_AMS_Kyoto_run3_MTE!T526+Bilans_E_AMS_Kyoto_run3_MTE!U526</f>
        <v>0</v>
      </c>
      <c r="Q154" s="701">
        <f>Bilans_E_AMS_Kyoto_run3_MTE!V526</f>
        <v>0</v>
      </c>
      <c r="R154" s="701">
        <f>Bilans_E_AMS_Kyoto_run3_MTE!W526</f>
        <v>0</v>
      </c>
      <c r="S154" s="701">
        <f>Bilans_E_AMS_Kyoto_run3_MTE!X526</f>
        <v>-3.2925505564662672E-5</v>
      </c>
      <c r="T154" s="701">
        <f>Bilans_E_AMS_Kyoto_run3_MTE!Y526</f>
        <v>0</v>
      </c>
      <c r="U154" s="701">
        <f>Bilans_E_AMS_Kyoto_run3_MTE!Z526</f>
        <v>-3.2925505365710706E-5</v>
      </c>
      <c r="V154" s="701"/>
      <c r="W154" s="701"/>
    </row>
    <row r="155" spans="1:23" x14ac:dyDescent="0.25">
      <c r="A155" s="701"/>
      <c r="B155" s="701"/>
      <c r="C155" s="701"/>
      <c r="D155" s="701"/>
      <c r="E155" s="701"/>
      <c r="F155" s="701"/>
      <c r="G155" s="701"/>
      <c r="H155" s="701"/>
      <c r="I155" s="701"/>
      <c r="J155" s="701"/>
      <c r="K155" s="701"/>
      <c r="L155" s="701"/>
      <c r="M155" s="701"/>
      <c r="N155" s="701"/>
      <c r="O155" s="701"/>
      <c r="P155" s="701"/>
      <c r="Q155" s="701"/>
      <c r="R155" s="701"/>
      <c r="S155" s="701"/>
      <c r="T155" s="701"/>
      <c r="U155" s="701"/>
      <c r="V155" s="701"/>
      <c r="W155" s="701"/>
    </row>
    <row r="156" spans="1:23" x14ac:dyDescent="0.25">
      <c r="A156" s="707"/>
      <c r="B156" s="707"/>
      <c r="C156" s="708" t="s">
        <v>89</v>
      </c>
      <c r="D156" s="707"/>
      <c r="E156" s="707"/>
      <c r="F156" s="707"/>
      <c r="G156" s="707"/>
      <c r="H156" s="707"/>
      <c r="I156" s="707"/>
      <c r="J156" s="707"/>
      <c r="K156" s="707"/>
      <c r="L156" s="707"/>
      <c r="M156" s="707"/>
      <c r="N156" s="707"/>
      <c r="O156" s="707"/>
      <c r="P156" s="707"/>
      <c r="Q156" s="707"/>
      <c r="R156" s="707"/>
      <c r="S156" s="707"/>
      <c r="T156" s="707"/>
      <c r="U156" s="707"/>
      <c r="V156" s="707"/>
      <c r="W156" s="707"/>
    </row>
    <row r="157" spans="1:23" x14ac:dyDescent="0.25">
      <c r="A157" s="701"/>
      <c r="B157" s="701"/>
      <c r="C157" s="701"/>
      <c r="D157" s="701"/>
      <c r="E157" s="701"/>
      <c r="F157" s="701"/>
      <c r="G157" s="701"/>
      <c r="H157" s="701"/>
      <c r="I157" s="701"/>
      <c r="J157" s="701"/>
      <c r="K157" s="701"/>
      <c r="L157" s="701"/>
      <c r="M157" s="701"/>
      <c r="N157" s="701"/>
      <c r="O157" s="701"/>
      <c r="P157" s="701"/>
      <c r="Q157" s="701"/>
      <c r="R157" s="701"/>
      <c r="S157" s="701"/>
      <c r="T157" s="701"/>
      <c r="U157" s="701"/>
      <c r="V157" s="701"/>
      <c r="W157" s="701"/>
    </row>
    <row r="158" spans="1:23" x14ac:dyDescent="0.25">
      <c r="A158" s="701"/>
      <c r="B158" s="701"/>
      <c r="C158" s="780" t="s">
        <v>128</v>
      </c>
      <c r="D158" s="775" t="s">
        <v>42</v>
      </c>
      <c r="E158" s="775" t="s">
        <v>52</v>
      </c>
      <c r="F158" s="775" t="s">
        <v>53</v>
      </c>
      <c r="G158" s="775" t="s">
        <v>482</v>
      </c>
      <c r="H158" s="775" t="s">
        <v>32</v>
      </c>
      <c r="I158" s="775" t="s">
        <v>483</v>
      </c>
      <c r="J158" s="775" t="s">
        <v>20</v>
      </c>
      <c r="K158" s="775" t="s">
        <v>55</v>
      </c>
      <c r="L158" s="777" t="s">
        <v>56</v>
      </c>
      <c r="M158" s="778"/>
      <c r="N158" s="778"/>
      <c r="O158" s="778"/>
      <c r="P158" s="778"/>
      <c r="Q158" s="779"/>
      <c r="R158" s="775" t="s">
        <v>57</v>
      </c>
      <c r="S158" s="775" t="s">
        <v>58</v>
      </c>
      <c r="T158" s="775" t="s">
        <v>31</v>
      </c>
      <c r="U158" s="775" t="s">
        <v>10</v>
      </c>
      <c r="V158" s="701"/>
      <c r="W158" s="701"/>
    </row>
    <row r="159" spans="1:23" ht="67.5" x14ac:dyDescent="0.25">
      <c r="A159" s="701" t="s">
        <v>486</v>
      </c>
      <c r="B159" s="701"/>
      <c r="C159" s="781"/>
      <c r="D159" s="776"/>
      <c r="E159" s="776"/>
      <c r="F159" s="776"/>
      <c r="G159" s="776"/>
      <c r="H159" s="776"/>
      <c r="I159" s="776"/>
      <c r="J159" s="776"/>
      <c r="K159" s="776"/>
      <c r="L159" s="709" t="s">
        <v>335</v>
      </c>
      <c r="M159" s="709" t="s">
        <v>40</v>
      </c>
      <c r="N159" s="709" t="s">
        <v>343</v>
      </c>
      <c r="O159" s="709" t="s">
        <v>344</v>
      </c>
      <c r="P159" s="719" t="s">
        <v>610</v>
      </c>
      <c r="Q159" s="709" t="s">
        <v>346</v>
      </c>
      <c r="R159" s="776"/>
      <c r="S159" s="776"/>
      <c r="T159" s="776"/>
      <c r="U159" s="776"/>
      <c r="V159" s="701"/>
      <c r="W159" s="701"/>
    </row>
    <row r="160" spans="1:23" x14ac:dyDescent="0.25">
      <c r="A160" s="701" t="s">
        <v>487</v>
      </c>
      <c r="B160" s="701"/>
      <c r="C160" s="710" t="s">
        <v>59</v>
      </c>
      <c r="D160" s="711">
        <f>Bilans_E_AMS_Kyoto_run3_MTE!H532</f>
        <v>0</v>
      </c>
      <c r="E160" s="711">
        <f>Bilans_E_AMS_Kyoto_run3_MTE!I532</f>
        <v>0</v>
      </c>
      <c r="F160" s="711">
        <f>Bilans_E_AMS_Kyoto_run3_MTE!J532</f>
        <v>0</v>
      </c>
      <c r="G160" s="711">
        <f>Bilans_E_AMS_Kyoto_run3_MTE!K532</f>
        <v>0</v>
      </c>
      <c r="H160" s="711">
        <f>Bilans_E_AMS_Kyoto_run3_MTE!L532</f>
        <v>0</v>
      </c>
      <c r="I160" s="711">
        <f>Bilans_E_AMS_Kyoto_run3_MTE!M532</f>
        <v>0</v>
      </c>
      <c r="J160" s="711">
        <f>Bilans_E_AMS_Kyoto_run3_MTE!N532</f>
        <v>807.37795933495636</v>
      </c>
      <c r="K160" s="711">
        <f>Bilans_E_AMS_Kyoto_run3_MTE!O532</f>
        <v>553.99388589395949</v>
      </c>
      <c r="L160" s="711">
        <f>Bilans_E_AMS_Kyoto_run3_MTE!P532</f>
        <v>401.60616442653316</v>
      </c>
      <c r="M160" s="711">
        <f>Bilans_E_AMS_Kyoto_run3_MTE!Q532</f>
        <v>43.888349788112322</v>
      </c>
      <c r="N160" s="711">
        <f>Bilans_E_AMS_Kyoto_run3_MTE!R532</f>
        <v>0</v>
      </c>
      <c r="O160" s="711">
        <f>Bilans_E_AMS_Kyoto_run3_MTE!S532</f>
        <v>0</v>
      </c>
      <c r="P160" s="711">
        <f>Bilans_E_AMS_Kyoto_run3_MTE!T532+Bilans_E_AMS_Kyoto_run3_MTE!U532</f>
        <v>274.41854375041947</v>
      </c>
      <c r="Q160" s="711">
        <f>Bilans_E_AMS_Kyoto_run3_MTE!V532</f>
        <v>50.723080686002739</v>
      </c>
      <c r="R160" s="711">
        <f>Bilans_E_AMS_Kyoto_run3_MTE!W532</f>
        <v>0</v>
      </c>
      <c r="S160" s="711">
        <f>Bilans_E_AMS_Kyoto_run3_MTE!X532</f>
        <v>0</v>
      </c>
      <c r="T160" s="711">
        <f>Bilans_E_AMS_Kyoto_run3_MTE!Y532</f>
        <v>0</v>
      </c>
      <c r="U160" s="711">
        <f>Bilans_E_AMS_Kyoto_run3_MTE!Z532</f>
        <v>2132.0079838799838</v>
      </c>
      <c r="V160" s="701"/>
      <c r="W160" s="701"/>
    </row>
    <row r="161" spans="1:23" x14ac:dyDescent="0.25">
      <c r="A161" s="701" t="s">
        <v>488</v>
      </c>
      <c r="B161" s="701"/>
      <c r="C161" s="710" t="s">
        <v>60</v>
      </c>
      <c r="D161" s="712">
        <f>Bilans_E_AMS_Kyoto_run3_MTE!H533</f>
        <v>0</v>
      </c>
      <c r="E161" s="712">
        <f>Bilans_E_AMS_Kyoto_run3_MTE!I533</f>
        <v>58.863651738299311</v>
      </c>
      <c r="F161" s="712">
        <f>Bilans_E_AMS_Kyoto_run3_MTE!J533</f>
        <v>45.756672067678878</v>
      </c>
      <c r="G161" s="712">
        <f>Bilans_E_AMS_Kyoto_run3_MTE!K533</f>
        <v>12.032159045744653</v>
      </c>
      <c r="H161" s="712">
        <f>Bilans_E_AMS_Kyoto_run3_MTE!L533</f>
        <v>7.019987079045241</v>
      </c>
      <c r="I161" s="712">
        <f>Bilans_E_AMS_Kyoto_run3_MTE!M533</f>
        <v>0</v>
      </c>
      <c r="J161" s="712">
        <f>Bilans_E_AMS_Kyoto_run3_MTE!N533</f>
        <v>0</v>
      </c>
      <c r="K161" s="712">
        <f>Bilans_E_AMS_Kyoto_run3_MTE!O533</f>
        <v>0</v>
      </c>
      <c r="L161" s="712">
        <f>Bilans_E_AMS_Kyoto_run3_MTE!P533</f>
        <v>22.470468893714155</v>
      </c>
      <c r="M161" s="712">
        <f>Bilans_E_AMS_Kyoto_run3_MTE!Q533</f>
        <v>0</v>
      </c>
      <c r="N161" s="712">
        <f>Bilans_E_AMS_Kyoto_run3_MTE!R533</f>
        <v>0</v>
      </c>
      <c r="O161" s="712">
        <f>Bilans_E_AMS_Kyoto_run3_MTE!S533</f>
        <v>0</v>
      </c>
      <c r="P161" s="712">
        <f>Bilans_E_AMS_Kyoto_run3_MTE!T533+Bilans_E_AMS_Kyoto_run3_MTE!U533</f>
        <v>0</v>
      </c>
      <c r="Q161" s="712">
        <f>Bilans_E_AMS_Kyoto_run3_MTE!V533</f>
        <v>0</v>
      </c>
      <c r="R161" s="712">
        <f>Bilans_E_AMS_Kyoto_run3_MTE!W533</f>
        <v>0</v>
      </c>
      <c r="S161" s="712">
        <f>Bilans_E_AMS_Kyoto_run3_MTE!X533</f>
        <v>0</v>
      </c>
      <c r="T161" s="712">
        <f>Bilans_E_AMS_Kyoto_run3_MTE!Y533</f>
        <v>0</v>
      </c>
      <c r="U161" s="712">
        <f>Bilans_E_AMS_Kyoto_run3_MTE!Z533</f>
        <v>146.14293882448223</v>
      </c>
      <c r="V161" s="701"/>
      <c r="W161" s="701"/>
    </row>
    <row r="162" spans="1:23" x14ac:dyDescent="0.25">
      <c r="A162" s="701" t="s">
        <v>489</v>
      </c>
      <c r="B162" s="701"/>
      <c r="C162" s="710" t="s">
        <v>61</v>
      </c>
      <c r="D162" s="712">
        <f>Bilans_E_AMS_Kyoto_run3_MTE!H534</f>
        <v>0</v>
      </c>
      <c r="E162" s="712">
        <f>Bilans_E_AMS_Kyoto_run3_MTE!I534</f>
        <v>0</v>
      </c>
      <c r="F162" s="712">
        <f>Bilans_E_AMS_Kyoto_run3_MTE!J534</f>
        <v>0</v>
      </c>
      <c r="G162" s="712">
        <f>Bilans_E_AMS_Kyoto_run3_MTE!K534</f>
        <v>0</v>
      </c>
      <c r="H162" s="712">
        <f>Bilans_E_AMS_Kyoto_run3_MTE!L534</f>
        <v>0</v>
      </c>
      <c r="I162" s="712">
        <f>Bilans_E_AMS_Kyoto_run3_MTE!M534</f>
        <v>0</v>
      </c>
      <c r="J162" s="712">
        <f>Bilans_E_AMS_Kyoto_run3_MTE!N534</f>
        <v>0</v>
      </c>
      <c r="K162" s="712">
        <f>Bilans_E_AMS_Kyoto_run3_MTE!O534</f>
        <v>0</v>
      </c>
      <c r="L162" s="712">
        <f>Bilans_E_AMS_Kyoto_run3_MTE!P534</f>
        <v>0</v>
      </c>
      <c r="M162" s="712">
        <f>Bilans_E_AMS_Kyoto_run3_MTE!Q534</f>
        <v>0</v>
      </c>
      <c r="N162" s="712">
        <f>Bilans_E_AMS_Kyoto_run3_MTE!R534</f>
        <v>-12.102055378039722</v>
      </c>
      <c r="O162" s="712">
        <f>Bilans_E_AMS_Kyoto_run3_MTE!S534</f>
        <v>-3.7955214595352373</v>
      </c>
      <c r="P162" s="712">
        <f>Bilans_E_AMS_Kyoto_run3_MTE!T534+Bilans_E_AMS_Kyoto_run3_MTE!U534</f>
        <v>0</v>
      </c>
      <c r="Q162" s="712">
        <f>Bilans_E_AMS_Kyoto_run3_MTE!V534</f>
        <v>0</v>
      </c>
      <c r="R162" s="712">
        <f>Bilans_E_AMS_Kyoto_run3_MTE!W534</f>
        <v>-28.679288227585289</v>
      </c>
      <c r="S162" s="712">
        <f>Bilans_E_AMS_Kyoto_run3_MTE!X534</f>
        <v>0</v>
      </c>
      <c r="T162" s="712">
        <f>Bilans_E_AMS_Kyoto_run3_MTE!Y534</f>
        <v>0</v>
      </c>
      <c r="U162" s="712">
        <f>Bilans_E_AMS_Kyoto_run3_MTE!Z534</f>
        <v>-44.576865065160248</v>
      </c>
      <c r="V162" s="701"/>
      <c r="W162" s="701"/>
    </row>
    <row r="163" spans="1:23" x14ac:dyDescent="0.25">
      <c r="A163" s="701" t="s">
        <v>490</v>
      </c>
      <c r="B163" s="701"/>
      <c r="C163" s="710" t="s">
        <v>62</v>
      </c>
      <c r="D163" s="711">
        <f>Bilans_E_AMS_Kyoto_run3_MTE!H535</f>
        <v>0</v>
      </c>
      <c r="E163" s="711">
        <f>Bilans_E_AMS_Kyoto_run3_MTE!I535</f>
        <v>0</v>
      </c>
      <c r="F163" s="711">
        <f>Bilans_E_AMS_Kyoto_run3_MTE!J535</f>
        <v>-1.2057976620084264E-3</v>
      </c>
      <c r="G163" s="711">
        <f>Bilans_E_AMS_Kyoto_run3_MTE!K535</f>
        <v>-2.8026264036035151</v>
      </c>
      <c r="H163" s="711">
        <f>Bilans_E_AMS_Kyoto_run3_MTE!L535</f>
        <v>0</v>
      </c>
      <c r="I163" s="711">
        <f>Bilans_E_AMS_Kyoto_run3_MTE!M535</f>
        <v>-2.8026264036035156</v>
      </c>
      <c r="J163" s="711">
        <f>Bilans_E_AMS_Kyoto_run3_MTE!N535</f>
        <v>0</v>
      </c>
      <c r="K163" s="711">
        <f>Bilans_E_AMS_Kyoto_run3_MTE!O535</f>
        <v>0</v>
      </c>
      <c r="L163" s="711">
        <f>Bilans_E_AMS_Kyoto_run3_MTE!P535</f>
        <v>0</v>
      </c>
      <c r="M163" s="711">
        <f>Bilans_E_AMS_Kyoto_run3_MTE!Q535</f>
        <v>0</v>
      </c>
      <c r="N163" s="711">
        <f>Bilans_E_AMS_Kyoto_run3_MTE!R535</f>
        <v>0</v>
      </c>
      <c r="O163" s="711">
        <f>Bilans_E_AMS_Kyoto_run3_MTE!S535</f>
        <v>-2.4289428831230464</v>
      </c>
      <c r="P163" s="711">
        <f>Bilans_E_AMS_Kyoto_run3_MTE!T535+Bilans_E_AMS_Kyoto_run3_MTE!U535</f>
        <v>0</v>
      </c>
      <c r="Q163" s="711">
        <f>Bilans_E_AMS_Kyoto_run3_MTE!V535</f>
        <v>0</v>
      </c>
      <c r="R163" s="711">
        <f>Bilans_E_AMS_Kyoto_run3_MTE!W535</f>
        <v>0</v>
      </c>
      <c r="S163" s="711">
        <f>Bilans_E_AMS_Kyoto_run3_MTE!X535</f>
        <v>0</v>
      </c>
      <c r="T163" s="711">
        <f>Bilans_E_AMS_Kyoto_run3_MTE!Y535</f>
        <v>-1.3066910843207444</v>
      </c>
      <c r="U163" s="711">
        <f>Bilans_E_AMS_Kyoto_run3_MTE!Z535</f>
        <v>-9.342092572312831</v>
      </c>
      <c r="V163" s="701"/>
      <c r="W163" s="701"/>
    </row>
    <row r="164" spans="1:23" x14ac:dyDescent="0.25">
      <c r="A164" s="701" t="s">
        <v>491</v>
      </c>
      <c r="B164" s="701"/>
      <c r="C164" s="710" t="s">
        <v>63</v>
      </c>
      <c r="D164" s="711">
        <f>Bilans_E_AMS_Kyoto_run3_MTE!H536</f>
        <v>0</v>
      </c>
      <c r="E164" s="711">
        <f>Bilans_E_AMS_Kyoto_run3_MTE!I536</f>
        <v>0</v>
      </c>
      <c r="F164" s="711">
        <f>Bilans_E_AMS_Kyoto_run3_MTE!J536</f>
        <v>-7</v>
      </c>
      <c r="G164" s="711">
        <f>Bilans_E_AMS_Kyoto_run3_MTE!K536</f>
        <v>-25</v>
      </c>
      <c r="H164" s="711">
        <f>Bilans_E_AMS_Kyoto_run3_MTE!L536</f>
        <v>0</v>
      </c>
      <c r="I164" s="711">
        <f>Bilans_E_AMS_Kyoto_run3_MTE!M536</f>
        <v>0</v>
      </c>
      <c r="J164" s="711">
        <f>Bilans_E_AMS_Kyoto_run3_MTE!N536</f>
        <v>0</v>
      </c>
      <c r="K164" s="711">
        <f>Bilans_E_AMS_Kyoto_run3_MTE!O536</f>
        <v>0</v>
      </c>
      <c r="L164" s="711">
        <f>Bilans_E_AMS_Kyoto_run3_MTE!P536</f>
        <v>0</v>
      </c>
      <c r="M164" s="711">
        <f>Bilans_E_AMS_Kyoto_run3_MTE!Q536</f>
        <v>0</v>
      </c>
      <c r="N164" s="711">
        <f>Bilans_E_AMS_Kyoto_run3_MTE!R536</f>
        <v>-17</v>
      </c>
      <c r="O164" s="711">
        <f>Bilans_E_AMS_Kyoto_run3_MTE!S536</f>
        <v>0</v>
      </c>
      <c r="P164" s="711">
        <f>Bilans_E_AMS_Kyoto_run3_MTE!T536+Bilans_E_AMS_Kyoto_run3_MTE!U536</f>
        <v>0</v>
      </c>
      <c r="Q164" s="711">
        <f>Bilans_E_AMS_Kyoto_run3_MTE!V536</f>
        <v>0</v>
      </c>
      <c r="R164" s="711">
        <f>Bilans_E_AMS_Kyoto_run3_MTE!W536</f>
        <v>0</v>
      </c>
      <c r="S164" s="711">
        <f>Bilans_E_AMS_Kyoto_run3_MTE!X536</f>
        <v>0</v>
      </c>
      <c r="T164" s="711">
        <f>Bilans_E_AMS_Kyoto_run3_MTE!Y536</f>
        <v>-8</v>
      </c>
      <c r="U164" s="711">
        <f>Bilans_E_AMS_Kyoto_run3_MTE!Z536</f>
        <v>-57</v>
      </c>
      <c r="V164" s="701"/>
      <c r="W164" s="701"/>
    </row>
    <row r="165" spans="1:23" x14ac:dyDescent="0.25">
      <c r="A165" s="701" t="s">
        <v>492</v>
      </c>
      <c r="B165" s="701"/>
      <c r="C165" s="710" t="s">
        <v>64</v>
      </c>
      <c r="D165" s="712">
        <f>Bilans_E_AMS_Kyoto_run3_MTE!H537</f>
        <v>0</v>
      </c>
      <c r="E165" s="712">
        <f>Bilans_E_AMS_Kyoto_run3_MTE!I537</f>
        <v>0</v>
      </c>
      <c r="F165" s="712">
        <f>Bilans_E_AMS_Kyoto_run3_MTE!J537</f>
        <v>0</v>
      </c>
      <c r="G165" s="712">
        <f>Bilans_E_AMS_Kyoto_run3_MTE!K537</f>
        <v>0</v>
      </c>
      <c r="H165" s="712">
        <f>Bilans_E_AMS_Kyoto_run3_MTE!L537</f>
        <v>0</v>
      </c>
      <c r="I165" s="712">
        <f>Bilans_E_AMS_Kyoto_run3_MTE!M537</f>
        <v>0</v>
      </c>
      <c r="J165" s="712">
        <f>Bilans_E_AMS_Kyoto_run3_MTE!N537</f>
        <v>0</v>
      </c>
      <c r="K165" s="712">
        <f>Bilans_E_AMS_Kyoto_run3_MTE!O537</f>
        <v>0</v>
      </c>
      <c r="L165" s="712">
        <f>Bilans_E_AMS_Kyoto_run3_MTE!P537</f>
        <v>0</v>
      </c>
      <c r="M165" s="712">
        <f>Bilans_E_AMS_Kyoto_run3_MTE!Q537</f>
        <v>0</v>
      </c>
      <c r="N165" s="712">
        <f>Bilans_E_AMS_Kyoto_run3_MTE!R537</f>
        <v>0</v>
      </c>
      <c r="O165" s="712">
        <f>Bilans_E_AMS_Kyoto_run3_MTE!S537</f>
        <v>0</v>
      </c>
      <c r="P165" s="712">
        <f>Bilans_E_AMS_Kyoto_run3_MTE!T537+Bilans_E_AMS_Kyoto_run3_MTE!U537</f>
        <v>0</v>
      </c>
      <c r="Q165" s="712">
        <f>Bilans_E_AMS_Kyoto_run3_MTE!V537</f>
        <v>0</v>
      </c>
      <c r="R165" s="712">
        <f>Bilans_E_AMS_Kyoto_run3_MTE!W537</f>
        <v>0</v>
      </c>
      <c r="S165" s="712">
        <f>Bilans_E_AMS_Kyoto_run3_MTE!X537</f>
        <v>0</v>
      </c>
      <c r="T165" s="712">
        <f>Bilans_E_AMS_Kyoto_run3_MTE!Y537</f>
        <v>0</v>
      </c>
      <c r="U165" s="712">
        <f>Bilans_E_AMS_Kyoto_run3_MTE!Z537</f>
        <v>0</v>
      </c>
      <c r="V165" s="701"/>
      <c r="W165" s="701"/>
    </row>
    <row r="166" spans="1:23" x14ac:dyDescent="0.25">
      <c r="A166" s="701" t="s">
        <v>493</v>
      </c>
      <c r="B166" s="701"/>
      <c r="C166" s="713" t="s">
        <v>65</v>
      </c>
      <c r="D166" s="714">
        <f>Bilans_E_AMS_Kyoto_run3_MTE!H538</f>
        <v>0</v>
      </c>
      <c r="E166" s="714">
        <f>Bilans_E_AMS_Kyoto_run3_MTE!I538</f>
        <v>58.863651738299311</v>
      </c>
      <c r="F166" s="714">
        <f>Bilans_E_AMS_Kyoto_run3_MTE!J538</f>
        <v>38.755466270016868</v>
      </c>
      <c r="G166" s="714">
        <f>Bilans_E_AMS_Kyoto_run3_MTE!K538</f>
        <v>-15.770467357858863</v>
      </c>
      <c r="H166" s="714">
        <f>Bilans_E_AMS_Kyoto_run3_MTE!L538</f>
        <v>7.019987079045241</v>
      </c>
      <c r="I166" s="714">
        <f>Bilans_E_AMS_Kyoto_run3_MTE!M538</f>
        <v>-2.8026264036035156</v>
      </c>
      <c r="J166" s="714">
        <f>Bilans_E_AMS_Kyoto_run3_MTE!N538</f>
        <v>807.37795933495636</v>
      </c>
      <c r="K166" s="714">
        <f>Bilans_E_AMS_Kyoto_run3_MTE!O538</f>
        <v>553.99388589395949</v>
      </c>
      <c r="L166" s="714">
        <f>Bilans_E_AMS_Kyoto_run3_MTE!P538</f>
        <v>424.07663332024731</v>
      </c>
      <c r="M166" s="714">
        <f>Bilans_E_AMS_Kyoto_run3_MTE!Q538</f>
        <v>43.888349788112322</v>
      </c>
      <c r="N166" s="714">
        <f>Bilans_E_AMS_Kyoto_run3_MTE!R538</f>
        <v>-29.102055378039722</v>
      </c>
      <c r="O166" s="714">
        <f>Bilans_E_AMS_Kyoto_run3_MTE!S538</f>
        <v>-6.2244643426582833</v>
      </c>
      <c r="P166" s="714">
        <f>Bilans_E_AMS_Kyoto_run3_MTE!T538+Bilans_E_AMS_Kyoto_run3_MTE!U538</f>
        <v>274.41854375041947</v>
      </c>
      <c r="Q166" s="714">
        <f>Bilans_E_AMS_Kyoto_run3_MTE!V538</f>
        <v>50.723080686002739</v>
      </c>
      <c r="R166" s="714">
        <f>Bilans_E_AMS_Kyoto_run3_MTE!W538</f>
        <v>-28.679288227585289</v>
      </c>
      <c r="S166" s="714">
        <f>Bilans_E_AMS_Kyoto_run3_MTE!X538</f>
        <v>0</v>
      </c>
      <c r="T166" s="714">
        <f>Bilans_E_AMS_Kyoto_run3_MTE!Y538</f>
        <v>-9.3066910843207449</v>
      </c>
      <c r="U166" s="714">
        <f>Bilans_E_AMS_Kyoto_run3_MTE!Z538</f>
        <v>2167.2319650669929</v>
      </c>
      <c r="V166" s="701"/>
      <c r="W166" s="701"/>
    </row>
    <row r="167" spans="1:23" x14ac:dyDescent="0.25">
      <c r="A167" s="701"/>
      <c r="B167" s="701"/>
      <c r="C167" s="715"/>
      <c r="D167" s="716"/>
      <c r="E167" s="716"/>
      <c r="F167" s="716"/>
      <c r="G167" s="716"/>
      <c r="H167" s="716"/>
      <c r="I167" s="716"/>
      <c r="J167" s="716"/>
      <c r="K167" s="716"/>
      <c r="L167" s="716"/>
      <c r="M167" s="716"/>
      <c r="N167" s="716"/>
      <c r="O167" s="716"/>
      <c r="P167" s="716">
        <f>Bilans_E_AMS_Kyoto_run3_MTE!T539+Bilans_E_AMS_Kyoto_run3_MTE!U539</f>
        <v>0</v>
      </c>
      <c r="Q167" s="716"/>
      <c r="R167" s="716"/>
      <c r="S167" s="716"/>
      <c r="T167" s="716"/>
      <c r="U167" s="716"/>
      <c r="V167" s="701"/>
      <c r="W167" s="701"/>
    </row>
    <row r="168" spans="1:23" x14ac:dyDescent="0.25">
      <c r="A168" s="701" t="s">
        <v>494</v>
      </c>
      <c r="B168" s="701"/>
      <c r="C168" s="717" t="s">
        <v>67</v>
      </c>
      <c r="D168" s="711">
        <f>Bilans_E_AMS_Kyoto_run3_MTE!H540</f>
        <v>0</v>
      </c>
      <c r="E168" s="711">
        <f>Bilans_E_AMS_Kyoto_run3_MTE!I540</f>
        <v>0</v>
      </c>
      <c r="F168" s="711">
        <f>Bilans_E_AMS_Kyoto_run3_MTE!J540</f>
        <v>0</v>
      </c>
      <c r="G168" s="711">
        <f>Bilans_E_AMS_Kyoto_run3_MTE!K540</f>
        <v>0</v>
      </c>
      <c r="H168" s="711">
        <f>Bilans_E_AMS_Kyoto_run3_MTE!L540</f>
        <v>0</v>
      </c>
      <c r="I168" s="711">
        <f>Bilans_E_AMS_Kyoto_run3_MTE!M540</f>
        <v>0</v>
      </c>
      <c r="J168" s="711">
        <f>Bilans_E_AMS_Kyoto_run3_MTE!N540</f>
        <v>0</v>
      </c>
      <c r="K168" s="711">
        <f>Bilans_E_AMS_Kyoto_run3_MTE!O540</f>
        <v>0</v>
      </c>
      <c r="L168" s="711">
        <f>Bilans_E_AMS_Kyoto_run3_MTE!P540</f>
        <v>0</v>
      </c>
      <c r="M168" s="711">
        <f>Bilans_E_AMS_Kyoto_run3_MTE!Q540</f>
        <v>0</v>
      </c>
      <c r="N168" s="711">
        <f>Bilans_E_AMS_Kyoto_run3_MTE!R540</f>
        <v>0</v>
      </c>
      <c r="O168" s="711">
        <f>Bilans_E_AMS_Kyoto_run3_MTE!S540</f>
        <v>0</v>
      </c>
      <c r="P168" s="711">
        <f>Bilans_E_AMS_Kyoto_run3_MTE!T540+Bilans_E_AMS_Kyoto_run3_MTE!U540</f>
        <v>0</v>
      </c>
      <c r="Q168" s="711">
        <f>Bilans_E_AMS_Kyoto_run3_MTE!V540</f>
        <v>0</v>
      </c>
      <c r="R168" s="711">
        <f>Bilans_E_AMS_Kyoto_run3_MTE!W540</f>
        <v>0</v>
      </c>
      <c r="S168" s="711">
        <f>Bilans_E_AMS_Kyoto_run3_MTE!X540</f>
        <v>0</v>
      </c>
      <c r="T168" s="711">
        <f>Bilans_E_AMS_Kyoto_run3_MTE!Y540</f>
        <v>0</v>
      </c>
      <c r="U168" s="711">
        <f>Bilans_E_AMS_Kyoto_run3_MTE!Z540</f>
        <v>0</v>
      </c>
      <c r="V168" s="701"/>
      <c r="W168" s="701"/>
    </row>
    <row r="169" spans="1:23" x14ac:dyDescent="0.25">
      <c r="A169" s="701" t="s">
        <v>495</v>
      </c>
      <c r="B169" s="701"/>
      <c r="C169" s="717" t="s">
        <v>347</v>
      </c>
      <c r="D169" s="711">
        <f>Bilans_E_AMS_Kyoto_run3_MTE!H541</f>
        <v>0</v>
      </c>
      <c r="E169" s="711">
        <f>Bilans_E_AMS_Kyoto_run3_MTE!I541</f>
        <v>0</v>
      </c>
      <c r="F169" s="711">
        <f>Bilans_E_AMS_Kyoto_run3_MTE!J541</f>
        <v>0</v>
      </c>
      <c r="G169" s="711">
        <f>Bilans_E_AMS_Kyoto_run3_MTE!K541</f>
        <v>0</v>
      </c>
      <c r="H169" s="711">
        <f>Bilans_E_AMS_Kyoto_run3_MTE!L541</f>
        <v>0</v>
      </c>
      <c r="I169" s="711">
        <f>Bilans_E_AMS_Kyoto_run3_MTE!M541</f>
        <v>0</v>
      </c>
      <c r="J169" s="711">
        <f>Bilans_E_AMS_Kyoto_run3_MTE!N541</f>
        <v>797.92981818181818</v>
      </c>
      <c r="K169" s="711">
        <f>Bilans_E_AMS_Kyoto_run3_MTE!O541</f>
        <v>553.99388589395949</v>
      </c>
      <c r="L169" s="711">
        <f>Bilans_E_AMS_Kyoto_run3_MTE!P541</f>
        <v>18.017312138261726</v>
      </c>
      <c r="M169" s="711">
        <f>Bilans_E_AMS_Kyoto_run3_MTE!Q541</f>
        <v>5.0359913785352379</v>
      </c>
      <c r="N169" s="711">
        <f>Bilans_E_AMS_Kyoto_run3_MTE!R541</f>
        <v>6.5561937148871507</v>
      </c>
      <c r="O169" s="711">
        <f>Bilans_E_AMS_Kyoto_run3_MTE!S541</f>
        <v>0.11704136254218823</v>
      </c>
      <c r="P169" s="711">
        <f>Bilans_E_AMS_Kyoto_run3_MTE!T541+Bilans_E_AMS_Kyoto_run3_MTE!U541</f>
        <v>0</v>
      </c>
      <c r="Q169" s="711">
        <f>Bilans_E_AMS_Kyoto_run3_MTE!V541</f>
        <v>6.7631767445353068</v>
      </c>
      <c r="R169" s="711">
        <f>Bilans_E_AMS_Kyoto_run3_MTE!W541</f>
        <v>-834.6881786149205</v>
      </c>
      <c r="S169" s="711">
        <f>Bilans_E_AMS_Kyoto_run3_MTE!X541</f>
        <v>0</v>
      </c>
      <c r="T169" s="711">
        <f>Bilans_E_AMS_Kyoto_run3_MTE!Y541</f>
        <v>0</v>
      </c>
      <c r="U169" s="711">
        <f>Bilans_E_AMS_Kyoto_run3_MTE!Z541</f>
        <v>553.72524079961875</v>
      </c>
      <c r="V169" s="701"/>
      <c r="W169" s="701"/>
    </row>
    <row r="170" spans="1:23" x14ac:dyDescent="0.25">
      <c r="A170" s="701" t="s">
        <v>496</v>
      </c>
      <c r="B170" s="701"/>
      <c r="C170" s="717" t="s">
        <v>348</v>
      </c>
      <c r="D170" s="711">
        <f>Bilans_E_AMS_Kyoto_run3_MTE!H542</f>
        <v>0</v>
      </c>
      <c r="E170" s="711">
        <f>Bilans_E_AMS_Kyoto_run3_MTE!I542</f>
        <v>0</v>
      </c>
      <c r="F170" s="711">
        <f>Bilans_E_AMS_Kyoto_run3_MTE!J542</f>
        <v>0</v>
      </c>
      <c r="G170" s="711">
        <f>Bilans_E_AMS_Kyoto_run3_MTE!K542</f>
        <v>0</v>
      </c>
      <c r="H170" s="711">
        <f>Bilans_E_AMS_Kyoto_run3_MTE!L542</f>
        <v>0</v>
      </c>
      <c r="I170" s="711">
        <f>Bilans_E_AMS_Kyoto_run3_MTE!M542</f>
        <v>0.44183816383617902</v>
      </c>
      <c r="J170" s="711">
        <f>Bilans_E_AMS_Kyoto_run3_MTE!N542</f>
        <v>9.448141153138188</v>
      </c>
      <c r="K170" s="711">
        <f>Bilans_E_AMS_Kyoto_run3_MTE!O542</f>
        <v>0</v>
      </c>
      <c r="L170" s="711">
        <f>Bilans_E_AMS_Kyoto_run3_MTE!P542</f>
        <v>23.543561697387847</v>
      </c>
      <c r="M170" s="711">
        <f>Bilans_E_AMS_Kyoto_run3_MTE!Q542</f>
        <v>10.266401321700496</v>
      </c>
      <c r="N170" s="711">
        <f>Bilans_E_AMS_Kyoto_run3_MTE!R542</f>
        <v>0</v>
      </c>
      <c r="O170" s="711">
        <f>Bilans_E_AMS_Kyoto_run3_MTE!S542</f>
        <v>8.4106289047241454</v>
      </c>
      <c r="P170" s="711">
        <f>Bilans_E_AMS_Kyoto_run3_MTE!T542+Bilans_E_AMS_Kyoto_run3_MTE!U542</f>
        <v>22.572621073808037</v>
      </c>
      <c r="Q170" s="711">
        <f>Bilans_E_AMS_Kyoto_run3_MTE!V542</f>
        <v>12.943396433622139</v>
      </c>
      <c r="R170" s="711">
        <f>Bilans_E_AMS_Kyoto_run3_MTE!W542</f>
        <v>0</v>
      </c>
      <c r="S170" s="711">
        <f>Bilans_E_AMS_Kyoto_run3_MTE!X542</f>
        <v>-82.703064296862223</v>
      </c>
      <c r="T170" s="711">
        <f>Bilans_E_AMS_Kyoto_run3_MTE!Y542</f>
        <v>0</v>
      </c>
      <c r="U170" s="711">
        <f>Bilans_E_AMS_Kyoto_run3_MTE!Z542</f>
        <v>4.9235244513548082</v>
      </c>
      <c r="V170" s="701"/>
      <c r="W170" s="701"/>
    </row>
    <row r="171" spans="1:23" x14ac:dyDescent="0.25">
      <c r="A171" s="701" t="s">
        <v>497</v>
      </c>
      <c r="B171" s="701"/>
      <c r="C171" s="717" t="s">
        <v>349</v>
      </c>
      <c r="D171" s="711">
        <f>Bilans_E_AMS_Kyoto_run3_MTE!H543</f>
        <v>0</v>
      </c>
      <c r="E171" s="711">
        <f>Bilans_E_AMS_Kyoto_run3_MTE!I543</f>
        <v>0</v>
      </c>
      <c r="F171" s="711">
        <f>Bilans_E_AMS_Kyoto_run3_MTE!J543</f>
        <v>0</v>
      </c>
      <c r="G171" s="711">
        <f>Bilans_E_AMS_Kyoto_run3_MTE!K543</f>
        <v>0</v>
      </c>
      <c r="H171" s="711">
        <f>Bilans_E_AMS_Kyoto_run3_MTE!L543</f>
        <v>0</v>
      </c>
      <c r="I171" s="711">
        <f>Bilans_E_AMS_Kyoto_run3_MTE!M543</f>
        <v>0</v>
      </c>
      <c r="J171" s="711">
        <f>Bilans_E_AMS_Kyoto_run3_MTE!N543</f>
        <v>0</v>
      </c>
      <c r="K171" s="711">
        <f>Bilans_E_AMS_Kyoto_run3_MTE!O543</f>
        <v>0</v>
      </c>
      <c r="L171" s="711">
        <f>Bilans_E_AMS_Kyoto_run3_MTE!P543</f>
        <v>177.56965686689</v>
      </c>
      <c r="M171" s="711">
        <f>Bilans_E_AMS_Kyoto_run3_MTE!Q543</f>
        <v>14.007374273227594</v>
      </c>
      <c r="N171" s="711">
        <f>Bilans_E_AMS_Kyoto_run3_MTE!R543</f>
        <v>0</v>
      </c>
      <c r="O171" s="711">
        <f>Bilans_E_AMS_Kyoto_run3_MTE!S543</f>
        <v>-95.874066928158982</v>
      </c>
      <c r="P171" s="711">
        <f>Bilans_E_AMS_Kyoto_run3_MTE!T543+Bilans_E_AMS_Kyoto_run3_MTE!U543</f>
        <v>0</v>
      </c>
      <c r="Q171" s="711">
        <f>Bilans_E_AMS_Kyoto_run3_MTE!V543</f>
        <v>0</v>
      </c>
      <c r="R171" s="711">
        <f>Bilans_E_AMS_Kyoto_run3_MTE!W543</f>
        <v>0</v>
      </c>
      <c r="S171" s="711">
        <f>Bilans_E_AMS_Kyoto_run3_MTE!X543</f>
        <v>0</v>
      </c>
      <c r="T171" s="711">
        <f>Bilans_E_AMS_Kyoto_run3_MTE!Y543</f>
        <v>0</v>
      </c>
      <c r="U171" s="711">
        <f>Bilans_E_AMS_Kyoto_run3_MTE!Z543</f>
        <v>95.702964211958601</v>
      </c>
      <c r="V171" s="701"/>
      <c r="W171" s="701"/>
    </row>
    <row r="172" spans="1:23" x14ac:dyDescent="0.25">
      <c r="A172" s="701" t="s">
        <v>498</v>
      </c>
      <c r="B172" s="701"/>
      <c r="C172" s="717" t="s">
        <v>350</v>
      </c>
      <c r="D172" s="711">
        <f>Bilans_E_AMS_Kyoto_run3_MTE!H544</f>
        <v>0</v>
      </c>
      <c r="E172" s="711">
        <f>Bilans_E_AMS_Kyoto_run3_MTE!I544</f>
        <v>0</v>
      </c>
      <c r="F172" s="711">
        <f>Bilans_E_AMS_Kyoto_run3_MTE!J544</f>
        <v>0</v>
      </c>
      <c r="G172" s="711">
        <f>Bilans_E_AMS_Kyoto_run3_MTE!K544</f>
        <v>0</v>
      </c>
      <c r="H172" s="711">
        <f>Bilans_E_AMS_Kyoto_run3_MTE!L544</f>
        <v>0</v>
      </c>
      <c r="I172" s="711">
        <f>Bilans_E_AMS_Kyoto_run3_MTE!M544</f>
        <v>-7.5120211335666909</v>
      </c>
      <c r="J172" s="711">
        <f>Bilans_E_AMS_Kyoto_run3_MTE!N544</f>
        <v>0</v>
      </c>
      <c r="K172" s="711">
        <f>Bilans_E_AMS_Kyoto_run3_MTE!O544</f>
        <v>0</v>
      </c>
      <c r="L172" s="711">
        <f>Bilans_E_AMS_Kyoto_run3_MTE!P544</f>
        <v>0</v>
      </c>
      <c r="M172" s="711">
        <f>Bilans_E_AMS_Kyoto_run3_MTE!Q544</f>
        <v>0</v>
      </c>
      <c r="N172" s="711">
        <f>Bilans_E_AMS_Kyoto_run3_MTE!R544</f>
        <v>0</v>
      </c>
      <c r="O172" s="711">
        <f>Bilans_E_AMS_Kyoto_run3_MTE!S544</f>
        <v>0</v>
      </c>
      <c r="P172" s="711">
        <f>Bilans_E_AMS_Kyoto_run3_MTE!T544+Bilans_E_AMS_Kyoto_run3_MTE!U544</f>
        <v>0</v>
      </c>
      <c r="Q172" s="711">
        <f>Bilans_E_AMS_Kyoto_run3_MTE!V544</f>
        <v>0</v>
      </c>
      <c r="R172" s="711">
        <f>Bilans_E_AMS_Kyoto_run3_MTE!W544</f>
        <v>0</v>
      </c>
      <c r="S172" s="711">
        <f>Bilans_E_AMS_Kyoto_run3_MTE!X544</f>
        <v>0</v>
      </c>
      <c r="T172" s="711">
        <f>Bilans_E_AMS_Kyoto_run3_MTE!Y544</f>
        <v>10.395912432015363</v>
      </c>
      <c r="U172" s="711">
        <f>Bilans_E_AMS_Kyoto_run3_MTE!Z544</f>
        <v>2.8838912984486722</v>
      </c>
      <c r="V172" s="701"/>
      <c r="W172" s="701"/>
    </row>
    <row r="173" spans="1:23" x14ac:dyDescent="0.25">
      <c r="A173" s="701" t="s">
        <v>499</v>
      </c>
      <c r="B173" s="701"/>
      <c r="C173" s="717" t="s">
        <v>72</v>
      </c>
      <c r="D173" s="711">
        <f>Bilans_E_AMS_Kyoto_run3_MTE!H545</f>
        <v>0</v>
      </c>
      <c r="E173" s="711">
        <f>Bilans_E_AMS_Kyoto_run3_MTE!I545</f>
        <v>60.999648796706254</v>
      </c>
      <c r="F173" s="711">
        <f>Bilans_E_AMS_Kyoto_run3_MTE!J545</f>
        <v>-60.389652308739187</v>
      </c>
      <c r="G173" s="711">
        <f>Bilans_E_AMS_Kyoto_run3_MTE!K545</f>
        <v>0</v>
      </c>
      <c r="H173" s="711">
        <f>Bilans_E_AMS_Kyoto_run3_MTE!L545</f>
        <v>0</v>
      </c>
      <c r="I173" s="711">
        <f>Bilans_E_AMS_Kyoto_run3_MTE!M545</f>
        <v>0</v>
      </c>
      <c r="J173" s="711">
        <f>Bilans_E_AMS_Kyoto_run3_MTE!N545</f>
        <v>0</v>
      </c>
      <c r="K173" s="711">
        <f>Bilans_E_AMS_Kyoto_run3_MTE!O545</f>
        <v>0</v>
      </c>
      <c r="L173" s="711">
        <f>Bilans_E_AMS_Kyoto_run3_MTE!P545</f>
        <v>0</v>
      </c>
      <c r="M173" s="711">
        <f>Bilans_E_AMS_Kyoto_run3_MTE!Q545</f>
        <v>0</v>
      </c>
      <c r="N173" s="711">
        <f>Bilans_E_AMS_Kyoto_run3_MTE!R545</f>
        <v>0</v>
      </c>
      <c r="O173" s="711">
        <f>Bilans_E_AMS_Kyoto_run3_MTE!S545</f>
        <v>0</v>
      </c>
      <c r="P173" s="711">
        <f>Bilans_E_AMS_Kyoto_run3_MTE!T545+Bilans_E_AMS_Kyoto_run3_MTE!U545</f>
        <v>0</v>
      </c>
      <c r="Q173" s="711">
        <f>Bilans_E_AMS_Kyoto_run3_MTE!V545</f>
        <v>0</v>
      </c>
      <c r="R173" s="711">
        <f>Bilans_E_AMS_Kyoto_run3_MTE!W545</f>
        <v>0</v>
      </c>
      <c r="S173" s="711">
        <f>Bilans_E_AMS_Kyoto_run3_MTE!X545</f>
        <v>0</v>
      </c>
      <c r="T173" s="711">
        <f>Bilans_E_AMS_Kyoto_run3_MTE!Y545</f>
        <v>0</v>
      </c>
      <c r="U173" s="711">
        <f>Bilans_E_AMS_Kyoto_run3_MTE!Z545</f>
        <v>0.60999648796706651</v>
      </c>
      <c r="V173" s="701"/>
      <c r="W173" s="701"/>
    </row>
    <row r="174" spans="1:23" x14ac:dyDescent="0.25">
      <c r="A174" s="701" t="s">
        <v>500</v>
      </c>
      <c r="B174" s="701"/>
      <c r="C174" s="717" t="s">
        <v>351</v>
      </c>
      <c r="D174" s="711">
        <f>Bilans_E_AMS_Kyoto_run3_MTE!H546</f>
        <v>0</v>
      </c>
      <c r="E174" s="711">
        <f>Bilans_E_AMS_Kyoto_run3_MTE!I546</f>
        <v>0</v>
      </c>
      <c r="F174" s="711">
        <f>Bilans_E_AMS_Kyoto_run3_MTE!J546</f>
        <v>0</v>
      </c>
      <c r="G174" s="711">
        <f>Bilans_E_AMS_Kyoto_run3_MTE!K546</f>
        <v>0</v>
      </c>
      <c r="H174" s="711">
        <f>Bilans_E_AMS_Kyoto_run3_MTE!L546</f>
        <v>0</v>
      </c>
      <c r="I174" s="711">
        <f>Bilans_E_AMS_Kyoto_run3_MTE!M546</f>
        <v>0</v>
      </c>
      <c r="J174" s="711">
        <f>Bilans_E_AMS_Kyoto_run3_MTE!N546</f>
        <v>0</v>
      </c>
      <c r="K174" s="711">
        <f>Bilans_E_AMS_Kyoto_run3_MTE!O546</f>
        <v>0</v>
      </c>
      <c r="L174" s="711">
        <f>Bilans_E_AMS_Kyoto_run3_MTE!P546</f>
        <v>112.15319289997592</v>
      </c>
      <c r="M174" s="711">
        <f>Bilans_E_AMS_Kyoto_run3_MTE!Q546</f>
        <v>7.2727272727272725</v>
      </c>
      <c r="N174" s="711">
        <f>Bilans_E_AMS_Kyoto_run3_MTE!R546</f>
        <v>-66.38461722515251</v>
      </c>
      <c r="O174" s="711">
        <f>Bilans_E_AMS_Kyoto_run3_MTE!S546</f>
        <v>0</v>
      </c>
      <c r="P174" s="711">
        <f>Bilans_E_AMS_Kyoto_run3_MTE!T546+Bilans_E_AMS_Kyoto_run3_MTE!U546</f>
        <v>0</v>
      </c>
      <c r="Q174" s="711">
        <f>Bilans_E_AMS_Kyoto_run3_MTE!V546</f>
        <v>0</v>
      </c>
      <c r="R174" s="711">
        <f>Bilans_E_AMS_Kyoto_run3_MTE!W546</f>
        <v>0</v>
      </c>
      <c r="S174" s="711">
        <f>Bilans_E_AMS_Kyoto_run3_MTE!X546</f>
        <v>0</v>
      </c>
      <c r="T174" s="711">
        <f>Bilans_E_AMS_Kyoto_run3_MTE!Y546</f>
        <v>0</v>
      </c>
      <c r="U174" s="711">
        <f>Bilans_E_AMS_Kyoto_run3_MTE!Z546</f>
        <v>53.041302947550676</v>
      </c>
      <c r="V174" s="701"/>
      <c r="W174" s="701"/>
    </row>
    <row r="175" spans="1:23" x14ac:dyDescent="0.25">
      <c r="A175" s="701" t="s">
        <v>501</v>
      </c>
      <c r="B175" s="701"/>
      <c r="C175" s="717" t="s">
        <v>352</v>
      </c>
      <c r="D175" s="711">
        <f>Bilans_E_AMS_Kyoto_run3_MTE!H547</f>
        <v>0</v>
      </c>
      <c r="E175" s="711">
        <f>Bilans_E_AMS_Kyoto_run3_MTE!I547</f>
        <v>0</v>
      </c>
      <c r="F175" s="711">
        <f>Bilans_E_AMS_Kyoto_run3_MTE!J547</f>
        <v>0</v>
      </c>
      <c r="G175" s="711">
        <f>Bilans_E_AMS_Kyoto_run3_MTE!K547</f>
        <v>-24.740126403603515</v>
      </c>
      <c r="H175" s="711">
        <f>Bilans_E_AMS_Kyoto_run3_MTE!L547</f>
        <v>0</v>
      </c>
      <c r="I175" s="711">
        <f>Bilans_E_AMS_Kyoto_run3_MTE!M547</f>
        <v>0</v>
      </c>
      <c r="J175" s="711">
        <f>Bilans_E_AMS_Kyoto_run3_MTE!N547</f>
        <v>0</v>
      </c>
      <c r="K175" s="711">
        <f>Bilans_E_AMS_Kyoto_run3_MTE!O547</f>
        <v>0</v>
      </c>
      <c r="L175" s="711">
        <f>Bilans_E_AMS_Kyoto_run3_MTE!P547</f>
        <v>0</v>
      </c>
      <c r="M175" s="711">
        <f>Bilans_E_AMS_Kyoto_run3_MTE!Q547</f>
        <v>0</v>
      </c>
      <c r="N175" s="711">
        <f>Bilans_E_AMS_Kyoto_run3_MTE!R547</f>
        <v>0</v>
      </c>
      <c r="O175" s="711">
        <f>Bilans_E_AMS_Kyoto_run3_MTE!S547</f>
        <v>0</v>
      </c>
      <c r="P175" s="711">
        <f>Bilans_E_AMS_Kyoto_run3_MTE!T547+Bilans_E_AMS_Kyoto_run3_MTE!U547</f>
        <v>0</v>
      </c>
      <c r="Q175" s="711">
        <f>Bilans_E_AMS_Kyoto_run3_MTE!V547</f>
        <v>0</v>
      </c>
      <c r="R175" s="711">
        <f>Bilans_E_AMS_Kyoto_run3_MTE!W547</f>
        <v>0</v>
      </c>
      <c r="S175" s="711">
        <f>Bilans_E_AMS_Kyoto_run3_MTE!X547</f>
        <v>0</v>
      </c>
      <c r="T175" s="711">
        <f>Bilans_E_AMS_Kyoto_run3_MTE!Y547</f>
        <v>41.692889043963866</v>
      </c>
      <c r="U175" s="711">
        <f>Bilans_E_AMS_Kyoto_run3_MTE!Z547</f>
        <v>16.952762640360351</v>
      </c>
      <c r="V175" s="701"/>
      <c r="W175" s="701"/>
    </row>
    <row r="176" spans="1:23" x14ac:dyDescent="0.25">
      <c r="A176" s="701" t="s">
        <v>502</v>
      </c>
      <c r="B176" s="701"/>
      <c r="C176" s="717" t="s">
        <v>73</v>
      </c>
      <c r="D176" s="711">
        <f>Bilans_E_AMS_Kyoto_run3_MTE!H548</f>
        <v>0</v>
      </c>
      <c r="E176" s="711">
        <f>Bilans_E_AMS_Kyoto_run3_MTE!I548</f>
        <v>0</v>
      </c>
      <c r="F176" s="711">
        <f>Bilans_E_AMS_Kyoto_run3_MTE!J548</f>
        <v>0</v>
      </c>
      <c r="G176" s="711">
        <f>Bilans_E_AMS_Kyoto_run3_MTE!K548</f>
        <v>0</v>
      </c>
      <c r="H176" s="711">
        <f>Bilans_E_AMS_Kyoto_run3_MTE!L548</f>
        <v>0</v>
      </c>
      <c r="I176" s="711">
        <f>Bilans_E_AMS_Kyoto_run3_MTE!M548</f>
        <v>0</v>
      </c>
      <c r="J176" s="711">
        <f>Bilans_E_AMS_Kyoto_run3_MTE!N548</f>
        <v>0</v>
      </c>
      <c r="K176" s="711">
        <f>Bilans_E_AMS_Kyoto_run3_MTE!O548</f>
        <v>0</v>
      </c>
      <c r="L176" s="711">
        <f>Bilans_E_AMS_Kyoto_run3_MTE!P548</f>
        <v>0</v>
      </c>
      <c r="M176" s="711">
        <f>Bilans_E_AMS_Kyoto_run3_MTE!Q548</f>
        <v>0</v>
      </c>
      <c r="N176" s="711">
        <f>Bilans_E_AMS_Kyoto_run3_MTE!R548</f>
        <v>0</v>
      </c>
      <c r="O176" s="711">
        <f>Bilans_E_AMS_Kyoto_run3_MTE!S548</f>
        <v>0</v>
      </c>
      <c r="P176" s="711">
        <f>Bilans_E_AMS_Kyoto_run3_MTE!T548+Bilans_E_AMS_Kyoto_run3_MTE!U548</f>
        <v>0</v>
      </c>
      <c r="Q176" s="711">
        <f>Bilans_E_AMS_Kyoto_run3_MTE!V548</f>
        <v>0</v>
      </c>
      <c r="R176" s="711">
        <f>Bilans_E_AMS_Kyoto_run3_MTE!W548</f>
        <v>127.55076516290167</v>
      </c>
      <c r="S176" s="711">
        <f>Bilans_E_AMS_Kyoto_run3_MTE!X548</f>
        <v>0</v>
      </c>
      <c r="T176" s="711">
        <f>Bilans_E_AMS_Kyoto_run3_MTE!Y548</f>
        <v>-91.836550917289202</v>
      </c>
      <c r="U176" s="711">
        <f>Bilans_E_AMS_Kyoto_run3_MTE!Z548</f>
        <v>35.714214245612467</v>
      </c>
      <c r="V176" s="701"/>
      <c r="W176" s="701"/>
    </row>
    <row r="177" spans="1:23" x14ac:dyDescent="0.25">
      <c r="A177" s="701" t="s">
        <v>503</v>
      </c>
      <c r="B177" s="701"/>
      <c r="C177" s="717" t="s">
        <v>353</v>
      </c>
      <c r="D177" s="711">
        <f>Bilans_E_AMS_Kyoto_run3_MTE!H549</f>
        <v>0</v>
      </c>
      <c r="E177" s="711">
        <f>Bilans_E_AMS_Kyoto_run3_MTE!I549</f>
        <v>-2.1359970584069448</v>
      </c>
      <c r="F177" s="711">
        <f>Bilans_E_AMS_Kyoto_run3_MTE!J549</f>
        <v>2.9254988687511099</v>
      </c>
      <c r="G177" s="711">
        <f>Bilans_E_AMS_Kyoto_run3_MTE!K549</f>
        <v>0</v>
      </c>
      <c r="H177" s="711">
        <f>Bilans_E_AMS_Kyoto_run3_MTE!L549</f>
        <v>0</v>
      </c>
      <c r="I177" s="711">
        <f>Bilans_E_AMS_Kyoto_run3_MTE!M549</f>
        <v>0</v>
      </c>
      <c r="J177" s="711">
        <f>Bilans_E_AMS_Kyoto_run3_MTE!N549</f>
        <v>0</v>
      </c>
      <c r="K177" s="711">
        <f>Bilans_E_AMS_Kyoto_run3_MTE!O549</f>
        <v>0</v>
      </c>
      <c r="L177" s="711">
        <f>Bilans_E_AMS_Kyoto_run3_MTE!P549</f>
        <v>0</v>
      </c>
      <c r="M177" s="711">
        <f>Bilans_E_AMS_Kyoto_run3_MTE!Q549</f>
        <v>0</v>
      </c>
      <c r="N177" s="711">
        <f>Bilans_E_AMS_Kyoto_run3_MTE!R549</f>
        <v>0</v>
      </c>
      <c r="O177" s="711">
        <f>Bilans_E_AMS_Kyoto_run3_MTE!S549</f>
        <v>0</v>
      </c>
      <c r="P177" s="711">
        <f>Bilans_E_AMS_Kyoto_run3_MTE!T549+Bilans_E_AMS_Kyoto_run3_MTE!U549</f>
        <v>0</v>
      </c>
      <c r="Q177" s="711">
        <f>Bilans_E_AMS_Kyoto_run3_MTE!V549</f>
        <v>0</v>
      </c>
      <c r="R177" s="711">
        <f>Bilans_E_AMS_Kyoto_run3_MTE!W549</f>
        <v>0</v>
      </c>
      <c r="S177" s="711">
        <f>Bilans_E_AMS_Kyoto_run3_MTE!X549</f>
        <v>0</v>
      </c>
      <c r="T177" s="711">
        <f>Bilans_E_AMS_Kyoto_run3_MTE!Y549</f>
        <v>0</v>
      </c>
      <c r="U177" s="711">
        <f>Bilans_E_AMS_Kyoto_run3_MTE!Z549</f>
        <v>0.78950181034416511</v>
      </c>
      <c r="V177" s="701"/>
      <c r="W177" s="701"/>
    </row>
    <row r="178" spans="1:23" x14ac:dyDescent="0.25">
      <c r="A178" s="701" t="s">
        <v>504</v>
      </c>
      <c r="B178" s="701"/>
      <c r="C178" s="717" t="s">
        <v>75</v>
      </c>
      <c r="D178" s="711">
        <f>Bilans_E_AMS_Kyoto_run3_MTE!H550</f>
        <v>0</v>
      </c>
      <c r="E178" s="711">
        <f>Bilans_E_AMS_Kyoto_run3_MTE!I550</f>
        <v>0</v>
      </c>
      <c r="F178" s="711">
        <f>Bilans_E_AMS_Kyoto_run3_MTE!J550</f>
        <v>2.205240968493043</v>
      </c>
      <c r="G178" s="711">
        <f>Bilans_E_AMS_Kyoto_run3_MTE!K550</f>
        <v>0</v>
      </c>
      <c r="H178" s="711">
        <f>Bilans_E_AMS_Kyoto_run3_MTE!L550</f>
        <v>0</v>
      </c>
      <c r="I178" s="711">
        <f>Bilans_E_AMS_Kyoto_run3_MTE!M550</f>
        <v>0</v>
      </c>
      <c r="J178" s="711">
        <f>Bilans_E_AMS_Kyoto_run3_MTE!N550</f>
        <v>0</v>
      </c>
      <c r="K178" s="711">
        <f>Bilans_E_AMS_Kyoto_run3_MTE!O550</f>
        <v>0</v>
      </c>
      <c r="L178" s="711">
        <f>Bilans_E_AMS_Kyoto_run3_MTE!P550</f>
        <v>0</v>
      </c>
      <c r="M178" s="711">
        <f>Bilans_E_AMS_Kyoto_run3_MTE!Q550</f>
        <v>0</v>
      </c>
      <c r="N178" s="711">
        <f>Bilans_E_AMS_Kyoto_run3_MTE!R550</f>
        <v>0</v>
      </c>
      <c r="O178" s="711">
        <f>Bilans_E_AMS_Kyoto_run3_MTE!S550</f>
        <v>0</v>
      </c>
      <c r="P178" s="711">
        <f>Bilans_E_AMS_Kyoto_run3_MTE!T550+Bilans_E_AMS_Kyoto_run3_MTE!U550</f>
        <v>0</v>
      </c>
      <c r="Q178" s="711">
        <f>Bilans_E_AMS_Kyoto_run3_MTE!V550</f>
        <v>0</v>
      </c>
      <c r="R178" s="711">
        <f>Bilans_E_AMS_Kyoto_run3_MTE!W550</f>
        <v>37.68086569149628</v>
      </c>
      <c r="S178" s="711">
        <f>Bilans_E_AMS_Kyoto_run3_MTE!X550</f>
        <v>0</v>
      </c>
      <c r="T178" s="711">
        <f>Bilans_E_AMS_Kyoto_run3_MTE!Y550</f>
        <v>0.6</v>
      </c>
      <c r="U178" s="711">
        <f>Bilans_E_AMS_Kyoto_run3_MTE!Z550</f>
        <v>40.486106659989325</v>
      </c>
      <c r="V178" s="701"/>
      <c r="W178" s="701"/>
    </row>
    <row r="179" spans="1:23" x14ac:dyDescent="0.25">
      <c r="A179" s="701" t="s">
        <v>505</v>
      </c>
      <c r="B179" s="701"/>
      <c r="C179" s="717" t="s">
        <v>76</v>
      </c>
      <c r="D179" s="711">
        <f>Bilans_E_AMS_Kyoto_run3_MTE!H551</f>
        <v>0</v>
      </c>
      <c r="E179" s="711">
        <f>Bilans_E_AMS_Kyoto_run3_MTE!I551</f>
        <v>0</v>
      </c>
      <c r="F179" s="711">
        <f>Bilans_E_AMS_Kyoto_run3_MTE!J551</f>
        <v>0</v>
      </c>
      <c r="G179" s="711">
        <f>Bilans_E_AMS_Kyoto_run3_MTE!K551</f>
        <v>0</v>
      </c>
      <c r="H179" s="711">
        <f>Bilans_E_AMS_Kyoto_run3_MTE!L551</f>
        <v>0</v>
      </c>
      <c r="I179" s="711">
        <f>Bilans_E_AMS_Kyoto_run3_MTE!M551</f>
        <v>5.5842625256480344E-2</v>
      </c>
      <c r="J179" s="711">
        <f>Bilans_E_AMS_Kyoto_run3_MTE!N551</f>
        <v>0</v>
      </c>
      <c r="K179" s="711">
        <f>Bilans_E_AMS_Kyoto_run3_MTE!O551</f>
        <v>0</v>
      </c>
      <c r="L179" s="711">
        <f>Bilans_E_AMS_Kyoto_run3_MTE!P551</f>
        <v>0</v>
      </c>
      <c r="M179" s="711">
        <f>Bilans_E_AMS_Kyoto_run3_MTE!Q551</f>
        <v>0</v>
      </c>
      <c r="N179" s="711">
        <f>Bilans_E_AMS_Kyoto_run3_MTE!R551</f>
        <v>0</v>
      </c>
      <c r="O179" s="711">
        <f>Bilans_E_AMS_Kyoto_run3_MTE!S551</f>
        <v>1.0610098798731264</v>
      </c>
      <c r="P179" s="711">
        <f>Bilans_E_AMS_Kyoto_run3_MTE!T551+Bilans_E_AMS_Kyoto_run3_MTE!U551</f>
        <v>0</v>
      </c>
      <c r="Q179" s="711">
        <f>Bilans_E_AMS_Kyoto_run3_MTE!V551</f>
        <v>0</v>
      </c>
      <c r="R179" s="711">
        <f>Bilans_E_AMS_Kyoto_run3_MTE!W551</f>
        <v>65.840203439882671</v>
      </c>
      <c r="S179" s="711">
        <f>Bilans_E_AMS_Kyoto_run3_MTE!X551</f>
        <v>6.4136709376113741</v>
      </c>
      <c r="T179" s="711">
        <f>Bilans_E_AMS_Kyoto_run3_MTE!Y551</f>
        <v>0</v>
      </c>
      <c r="U179" s="711">
        <f>Bilans_E_AMS_Kyoto_run3_MTE!Z551</f>
        <v>73.370726882623643</v>
      </c>
      <c r="V179" s="701"/>
      <c r="W179" s="701"/>
    </row>
    <row r="180" spans="1:23" x14ac:dyDescent="0.25">
      <c r="A180" s="701" t="s">
        <v>506</v>
      </c>
      <c r="B180" s="701"/>
      <c r="C180" s="713" t="s">
        <v>77</v>
      </c>
      <c r="D180" s="714">
        <f>Bilans_E_AMS_Kyoto_run3_MTE!H552</f>
        <v>0</v>
      </c>
      <c r="E180" s="714">
        <f>Bilans_E_AMS_Kyoto_run3_MTE!I552</f>
        <v>58.863651738299311</v>
      </c>
      <c r="F180" s="714">
        <f>Bilans_E_AMS_Kyoto_run3_MTE!J552</f>
        <v>-55.25891247149503</v>
      </c>
      <c r="G180" s="714">
        <f>Bilans_E_AMS_Kyoto_run3_MTE!K552</f>
        <v>-24.740126403603515</v>
      </c>
      <c r="H180" s="714">
        <f>Bilans_E_AMS_Kyoto_run3_MTE!L552</f>
        <v>0</v>
      </c>
      <c r="I180" s="714">
        <f>Bilans_E_AMS_Kyoto_run3_MTE!M552</f>
        <v>-7.0143403444740313</v>
      </c>
      <c r="J180" s="714">
        <f>Bilans_E_AMS_Kyoto_run3_MTE!N552</f>
        <v>807.37795933495636</v>
      </c>
      <c r="K180" s="714">
        <f>Bilans_E_AMS_Kyoto_run3_MTE!O552</f>
        <v>553.99388589395949</v>
      </c>
      <c r="L180" s="714">
        <f>Bilans_E_AMS_Kyoto_run3_MTE!P552</f>
        <v>331.28372360251547</v>
      </c>
      <c r="M180" s="714">
        <f>Bilans_E_AMS_Kyoto_run3_MTE!Q552</f>
        <v>36.582494246190599</v>
      </c>
      <c r="N180" s="714">
        <f>Bilans_E_AMS_Kyoto_run3_MTE!R552</f>
        <v>-59.82842351026536</v>
      </c>
      <c r="O180" s="714">
        <f>Bilans_E_AMS_Kyoto_run3_MTE!S552</f>
        <v>-86.285386781019525</v>
      </c>
      <c r="P180" s="714">
        <f>Bilans_E_AMS_Kyoto_run3_MTE!T552+Bilans_E_AMS_Kyoto_run3_MTE!U552</f>
        <v>22.572621073808037</v>
      </c>
      <c r="Q180" s="714">
        <f>Bilans_E_AMS_Kyoto_run3_MTE!V552</f>
        <v>19.706573178157445</v>
      </c>
      <c r="R180" s="714">
        <f>Bilans_E_AMS_Kyoto_run3_MTE!W552</f>
        <v>-603.61634432063988</v>
      </c>
      <c r="S180" s="714">
        <f>Bilans_E_AMS_Kyoto_run3_MTE!X552</f>
        <v>-76.289393359250852</v>
      </c>
      <c r="T180" s="714">
        <f>Bilans_E_AMS_Kyoto_run3_MTE!Y552</f>
        <v>-39.147749441309969</v>
      </c>
      <c r="U180" s="714">
        <f>Bilans_E_AMS_Kyoto_run3_MTE!Z552</f>
        <v>878.20023243582853</v>
      </c>
      <c r="V180" s="701"/>
      <c r="W180" s="701"/>
    </row>
    <row r="181" spans="1:23" x14ac:dyDescent="0.25">
      <c r="A181" s="701"/>
      <c r="B181" s="701"/>
      <c r="C181" s="715"/>
      <c r="D181" s="716"/>
      <c r="E181" s="716"/>
      <c r="F181" s="716"/>
      <c r="G181" s="716"/>
      <c r="H181" s="716"/>
      <c r="I181" s="716"/>
      <c r="J181" s="716"/>
      <c r="K181" s="716"/>
      <c r="L181" s="716"/>
      <c r="M181" s="716"/>
      <c r="N181" s="716"/>
      <c r="O181" s="716"/>
      <c r="P181" s="716">
        <f>Bilans_E_AMS_Kyoto_run3_MTE!T553+Bilans_E_AMS_Kyoto_run3_MTE!U553</f>
        <v>0</v>
      </c>
      <c r="Q181" s="716"/>
      <c r="R181" s="716"/>
      <c r="S181" s="716"/>
      <c r="T181" s="716"/>
      <c r="U181" s="716"/>
      <c r="V181" s="701"/>
      <c r="W181" s="701"/>
    </row>
    <row r="182" spans="1:23" x14ac:dyDescent="0.25">
      <c r="A182" s="701" t="s">
        <v>507</v>
      </c>
      <c r="B182" s="701"/>
      <c r="C182" s="717" t="s">
        <v>78</v>
      </c>
      <c r="D182" s="711">
        <f>Bilans_E_AMS_Kyoto_run3_MTE!H554</f>
        <v>0</v>
      </c>
      <c r="E182" s="711">
        <f>Bilans_E_AMS_Kyoto_run3_MTE!I554</f>
        <v>0</v>
      </c>
      <c r="F182" s="711">
        <f>Bilans_E_AMS_Kyoto_run3_MTE!J554</f>
        <v>0</v>
      </c>
      <c r="G182" s="711">
        <f>Bilans_E_AMS_Kyoto_run3_MTE!K554</f>
        <v>0</v>
      </c>
      <c r="H182" s="711">
        <f>Bilans_E_AMS_Kyoto_run3_MTE!L554</f>
        <v>0</v>
      </c>
      <c r="I182" s="711">
        <f>Bilans_E_AMS_Kyoto_run3_MTE!M554</f>
        <v>1.991498553291184</v>
      </c>
      <c r="J182" s="711">
        <f>Bilans_E_AMS_Kyoto_run3_MTE!N554</f>
        <v>0</v>
      </c>
      <c r="K182" s="711">
        <f>Bilans_E_AMS_Kyoto_run3_MTE!O554</f>
        <v>0</v>
      </c>
      <c r="L182" s="711">
        <f>Bilans_E_AMS_Kyoto_run3_MTE!P554</f>
        <v>33.03282021908791</v>
      </c>
      <c r="M182" s="711">
        <f>Bilans_E_AMS_Kyoto_run3_MTE!Q554</f>
        <v>7.3058555419217219</v>
      </c>
      <c r="N182" s="711">
        <f>Bilans_E_AMS_Kyoto_run3_MTE!R554</f>
        <v>0</v>
      </c>
      <c r="O182" s="711">
        <f>Bilans_E_AMS_Kyoto_run3_MTE!S554</f>
        <v>37.880603328687286</v>
      </c>
      <c r="P182" s="711">
        <f>Bilans_E_AMS_Kyoto_run3_MTE!T554+Bilans_E_AMS_Kyoto_run3_MTE!U554</f>
        <v>15.325538085937501</v>
      </c>
      <c r="Q182" s="711">
        <f>Bilans_E_AMS_Kyoto_run3_MTE!V554</f>
        <v>8.5890570413253253E-4</v>
      </c>
      <c r="R182" s="711">
        <f>Bilans_E_AMS_Kyoto_run3_MTE!W554</f>
        <v>160.49759404222942</v>
      </c>
      <c r="S182" s="711">
        <f>Bilans_E_AMS_Kyoto_run3_MTE!X554</f>
        <v>19.118062217384278</v>
      </c>
      <c r="T182" s="711">
        <f>Bilans_E_AMS_Kyoto_run3_MTE!Y554</f>
        <v>15.6045791015625</v>
      </c>
      <c r="U182" s="711">
        <f>Bilans_E_AMS_Kyoto_run3_MTE!Z554</f>
        <v>290.75740999580586</v>
      </c>
      <c r="V182" s="701"/>
      <c r="W182" s="701"/>
    </row>
    <row r="183" spans="1:23" x14ac:dyDescent="0.25">
      <c r="A183" s="701" t="s">
        <v>508</v>
      </c>
      <c r="B183" s="701"/>
      <c r="C183" s="717" t="s">
        <v>79</v>
      </c>
      <c r="D183" s="711">
        <f>Bilans_E_AMS_Kyoto_run3_MTE!H555</f>
        <v>0</v>
      </c>
      <c r="E183" s="711">
        <f>Bilans_E_AMS_Kyoto_run3_MTE!I555</f>
        <v>0</v>
      </c>
      <c r="F183" s="711">
        <f>Bilans_E_AMS_Kyoto_run3_MTE!J555</f>
        <v>2.5646039905747262</v>
      </c>
      <c r="G183" s="711">
        <f>Bilans_E_AMS_Kyoto_run3_MTE!K555</f>
        <v>4.5999999999999996</v>
      </c>
      <c r="H183" s="711">
        <f>Bilans_E_AMS_Kyoto_run3_MTE!L555</f>
        <v>0</v>
      </c>
      <c r="I183" s="711">
        <f>Bilans_E_AMS_Kyoto_run3_MTE!M555</f>
        <v>0.37685077792540578</v>
      </c>
      <c r="J183" s="711">
        <f>Bilans_E_AMS_Kyoto_run3_MTE!N555</f>
        <v>0</v>
      </c>
      <c r="K183" s="711">
        <f>Bilans_E_AMS_Kyoto_run3_MTE!O555</f>
        <v>0</v>
      </c>
      <c r="L183" s="711">
        <f>Bilans_E_AMS_Kyoto_run3_MTE!P555</f>
        <v>0</v>
      </c>
      <c r="M183" s="711">
        <f>Bilans_E_AMS_Kyoto_run3_MTE!Q555</f>
        <v>0</v>
      </c>
      <c r="N183" s="711">
        <f>Bilans_E_AMS_Kyoto_run3_MTE!R555</f>
        <v>17.296930013474249</v>
      </c>
      <c r="O183" s="711">
        <f>Bilans_E_AMS_Kyoto_run3_MTE!S555</f>
        <v>7.1601647805827087</v>
      </c>
      <c r="P183" s="711">
        <f>Bilans_E_AMS_Kyoto_run3_MTE!T555+Bilans_E_AMS_Kyoto_run3_MTE!U555</f>
        <v>0</v>
      </c>
      <c r="Q183" s="711">
        <f>Bilans_E_AMS_Kyoto_run3_MTE!V555</f>
        <v>0</v>
      </c>
      <c r="R183" s="711">
        <f>Bilans_E_AMS_Kyoto_run3_MTE!W555</f>
        <v>129.21827578196925</v>
      </c>
      <c r="S183" s="711">
        <f>Bilans_E_AMS_Kyoto_run3_MTE!X555</f>
        <v>0</v>
      </c>
      <c r="T183" s="711">
        <f>Bilans_E_AMS_Kyoto_run3_MTE!Y555</f>
        <v>6.9357151187722215</v>
      </c>
      <c r="U183" s="711">
        <f>Bilans_E_AMS_Kyoto_run3_MTE!Z555</f>
        <v>168.15254046329855</v>
      </c>
      <c r="V183" s="701"/>
      <c r="W183" s="701"/>
    </row>
    <row r="184" spans="1:23" x14ac:dyDescent="0.25">
      <c r="A184" s="701" t="s">
        <v>509</v>
      </c>
      <c r="B184" s="701"/>
      <c r="C184" s="717" t="s">
        <v>80</v>
      </c>
      <c r="D184" s="711">
        <f>Bilans_E_AMS_Kyoto_run3_MTE!H556</f>
        <v>0</v>
      </c>
      <c r="E184" s="711">
        <f>Bilans_E_AMS_Kyoto_run3_MTE!I556</f>
        <v>0</v>
      </c>
      <c r="F184" s="711">
        <f>Bilans_E_AMS_Kyoto_run3_MTE!J556</f>
        <v>1.33686813190731E-2</v>
      </c>
      <c r="G184" s="711">
        <f>Bilans_E_AMS_Kyoto_run3_MTE!K556</f>
        <v>0</v>
      </c>
      <c r="H184" s="711">
        <f>Bilans_E_AMS_Kyoto_run3_MTE!L556</f>
        <v>0</v>
      </c>
      <c r="I184" s="711">
        <f>Bilans_E_AMS_Kyoto_run3_MTE!M556</f>
        <v>1.363415994018579</v>
      </c>
      <c r="J184" s="711">
        <f>Bilans_E_AMS_Kyoto_run3_MTE!N556</f>
        <v>0</v>
      </c>
      <c r="K184" s="711">
        <f>Bilans_E_AMS_Kyoto_run3_MTE!O556</f>
        <v>0</v>
      </c>
      <c r="L184" s="711">
        <f>Bilans_E_AMS_Kyoto_run3_MTE!P556</f>
        <v>38.670548162755892</v>
      </c>
      <c r="M184" s="711">
        <f>Bilans_E_AMS_Kyoto_run3_MTE!Q556</f>
        <v>0</v>
      </c>
      <c r="N184" s="711">
        <f>Bilans_E_AMS_Kyoto_run3_MTE!R556</f>
        <v>0</v>
      </c>
      <c r="O184" s="711">
        <f>Bilans_E_AMS_Kyoto_run3_MTE!S556</f>
        <v>25.904903886352997</v>
      </c>
      <c r="P184" s="711">
        <f>Bilans_E_AMS_Kyoto_run3_MTE!T556+Bilans_E_AMS_Kyoto_run3_MTE!U556</f>
        <v>170.26801174847219</v>
      </c>
      <c r="Q184" s="711">
        <f>Bilans_E_AMS_Kyoto_run3_MTE!V556</f>
        <v>14.856183742724458</v>
      </c>
      <c r="R184" s="711">
        <f>Bilans_E_AMS_Kyoto_run3_MTE!W556</f>
        <v>135.77624988749807</v>
      </c>
      <c r="S184" s="711">
        <f>Bilans_E_AMS_Kyoto_run3_MTE!X556</f>
        <v>35.160977387086433</v>
      </c>
      <c r="T184" s="711">
        <f>Bilans_E_AMS_Kyoto_run3_MTE!Y556</f>
        <v>0</v>
      </c>
      <c r="U184" s="711">
        <f>Bilans_E_AMS_Kyoto_run3_MTE!Z556</f>
        <v>422.01365949022772</v>
      </c>
      <c r="V184" s="701"/>
      <c r="W184" s="701"/>
    </row>
    <row r="185" spans="1:23" x14ac:dyDescent="0.25">
      <c r="A185" s="701" t="s">
        <v>510</v>
      </c>
      <c r="B185" s="701"/>
      <c r="C185" s="717" t="s">
        <v>81</v>
      </c>
      <c r="D185" s="711">
        <f>Bilans_E_AMS_Kyoto_run3_MTE!H557</f>
        <v>0</v>
      </c>
      <c r="E185" s="711">
        <f>Bilans_E_AMS_Kyoto_run3_MTE!I557</f>
        <v>0</v>
      </c>
      <c r="F185" s="711">
        <f>Bilans_E_AMS_Kyoto_run3_MTE!J557</f>
        <v>5.9571518115922428E-2</v>
      </c>
      <c r="G185" s="711">
        <f>Bilans_E_AMS_Kyoto_run3_MTE!K557</f>
        <v>0</v>
      </c>
      <c r="H185" s="711">
        <f>Bilans_E_AMS_Kyoto_run3_MTE!L557</f>
        <v>0</v>
      </c>
      <c r="I185" s="711">
        <f>Bilans_E_AMS_Kyoto_run3_MTE!M557</f>
        <v>0.44038098063120357</v>
      </c>
      <c r="J185" s="711">
        <f>Bilans_E_AMS_Kyoto_run3_MTE!N557</f>
        <v>0</v>
      </c>
      <c r="K185" s="711">
        <f>Bilans_E_AMS_Kyoto_run3_MTE!O557</f>
        <v>0</v>
      </c>
      <c r="L185" s="711">
        <f>Bilans_E_AMS_Kyoto_run3_MTE!P557</f>
        <v>0.43608334641640845</v>
      </c>
      <c r="M185" s="711">
        <f>Bilans_E_AMS_Kyoto_run3_MTE!Q557</f>
        <v>0</v>
      </c>
      <c r="N185" s="711">
        <f>Bilans_E_AMS_Kyoto_run3_MTE!R557</f>
        <v>0</v>
      </c>
      <c r="O185" s="711">
        <f>Bilans_E_AMS_Kyoto_run3_MTE!S557</f>
        <v>8.3672386319928673</v>
      </c>
      <c r="P185" s="711">
        <f>Bilans_E_AMS_Kyoto_run3_MTE!T557+Bilans_E_AMS_Kyoto_run3_MTE!U557</f>
        <v>64.752372842201794</v>
      </c>
      <c r="Q185" s="711">
        <f>Bilans_E_AMS_Kyoto_run3_MTE!V557</f>
        <v>13.972057854326216</v>
      </c>
      <c r="R185" s="711">
        <f>Bilans_E_AMS_Kyoto_run3_MTE!W557</f>
        <v>123.17781879034489</v>
      </c>
      <c r="S185" s="711">
        <f>Bilans_E_AMS_Kyoto_run3_MTE!X557</f>
        <v>22.010319853686262</v>
      </c>
      <c r="T185" s="711">
        <f>Bilans_E_AMS_Kyoto_run3_MTE!Y557</f>
        <v>0</v>
      </c>
      <c r="U185" s="711">
        <f>Bilans_E_AMS_Kyoto_run3_MTE!Z557</f>
        <v>233.21584381771555</v>
      </c>
      <c r="V185" s="701"/>
      <c r="W185" s="701"/>
    </row>
    <row r="186" spans="1:23" x14ac:dyDescent="0.25">
      <c r="A186" s="701" t="s">
        <v>511</v>
      </c>
      <c r="B186" s="701"/>
      <c r="C186" s="717" t="s">
        <v>82</v>
      </c>
      <c r="D186" s="711">
        <f>Bilans_E_AMS_Kyoto_run3_MTE!H558</f>
        <v>0</v>
      </c>
      <c r="E186" s="711">
        <f>Bilans_E_AMS_Kyoto_run3_MTE!I558</f>
        <v>0</v>
      </c>
      <c r="F186" s="711">
        <f>Bilans_E_AMS_Kyoto_run3_MTE!J558</f>
        <v>0</v>
      </c>
      <c r="G186" s="711">
        <f>Bilans_E_AMS_Kyoto_run3_MTE!K558</f>
        <v>0</v>
      </c>
      <c r="H186" s="711">
        <f>Bilans_E_AMS_Kyoto_run3_MTE!L558</f>
        <v>0</v>
      </c>
      <c r="I186" s="711">
        <f>Bilans_E_AMS_Kyoto_run3_MTE!M558</f>
        <v>3.936904267080979E-2</v>
      </c>
      <c r="J186" s="711">
        <f>Bilans_E_AMS_Kyoto_run3_MTE!N558</f>
        <v>0</v>
      </c>
      <c r="K186" s="711">
        <f>Bilans_E_AMS_Kyoto_run3_MTE!O558</f>
        <v>0</v>
      </c>
      <c r="L186" s="711">
        <f>Bilans_E_AMS_Kyoto_run3_MTE!P558</f>
        <v>20.041612409357288</v>
      </c>
      <c r="M186" s="711">
        <f>Bilans_E_AMS_Kyoto_run3_MTE!Q558</f>
        <v>0</v>
      </c>
      <c r="N186" s="711">
        <f>Bilans_E_AMS_Kyoto_run3_MTE!R558</f>
        <v>6.8596219696114309</v>
      </c>
      <c r="O186" s="711">
        <f>Bilans_E_AMS_Kyoto_run3_MTE!S558</f>
        <v>0.74801181074538581</v>
      </c>
      <c r="P186" s="711">
        <f>Bilans_E_AMS_Kyoto_run3_MTE!T558+Bilans_E_AMS_Kyoto_run3_MTE!U558</f>
        <v>1.5</v>
      </c>
      <c r="Q186" s="711">
        <f>Bilans_E_AMS_Kyoto_run3_MTE!V558</f>
        <v>2.1874070050904897</v>
      </c>
      <c r="R186" s="711">
        <f>Bilans_E_AMS_Kyoto_run3_MTE!W558</f>
        <v>11.227117591013034</v>
      </c>
      <c r="S186" s="711">
        <f>Bilans_E_AMS_Kyoto_run3_MTE!X558</f>
        <v>0</v>
      </c>
      <c r="T186" s="711">
        <f>Bilans_E_AMS_Kyoto_run3_MTE!Y558</f>
        <v>0.67221506893144256</v>
      </c>
      <c r="U186" s="711">
        <f>Bilans_E_AMS_Kyoto_run3_MTE!Z558</f>
        <v>43.275354897419881</v>
      </c>
      <c r="V186" s="701"/>
      <c r="W186" s="701"/>
    </row>
    <row r="187" spans="1:23" x14ac:dyDescent="0.25">
      <c r="A187" s="701" t="s">
        <v>512</v>
      </c>
      <c r="B187" s="701"/>
      <c r="C187" s="717" t="s">
        <v>354</v>
      </c>
      <c r="D187" s="711">
        <f>Bilans_E_AMS_Kyoto_run3_MTE!H559</f>
        <v>0</v>
      </c>
      <c r="E187" s="711">
        <f>Bilans_E_AMS_Kyoto_run3_MTE!I559</f>
        <v>0</v>
      </c>
      <c r="F187" s="711">
        <f>Bilans_E_AMS_Kyoto_run3_MTE!J559</f>
        <v>0</v>
      </c>
      <c r="G187" s="711">
        <f>Bilans_E_AMS_Kyoto_run3_MTE!K559</f>
        <v>0</v>
      </c>
      <c r="H187" s="711">
        <f>Bilans_E_AMS_Kyoto_run3_MTE!L559</f>
        <v>0</v>
      </c>
      <c r="I187" s="711">
        <f>Bilans_E_AMS_Kyoto_run3_MTE!M559</f>
        <v>0</v>
      </c>
      <c r="J187" s="711">
        <f>Bilans_E_AMS_Kyoto_run3_MTE!N559</f>
        <v>0</v>
      </c>
      <c r="K187" s="711">
        <f>Bilans_E_AMS_Kyoto_run3_MTE!O559</f>
        <v>0</v>
      </c>
      <c r="L187" s="711">
        <f>Bilans_E_AMS_Kyoto_run3_MTE!P559</f>
        <v>0</v>
      </c>
      <c r="M187" s="711">
        <f>Bilans_E_AMS_Kyoto_run3_MTE!Q559</f>
        <v>0</v>
      </c>
      <c r="N187" s="711">
        <f>Bilans_E_AMS_Kyoto_run3_MTE!R559</f>
        <v>0</v>
      </c>
      <c r="O187" s="711">
        <f>Bilans_E_AMS_Kyoto_run3_MTE!S559</f>
        <v>0</v>
      </c>
      <c r="P187" s="711">
        <f>Bilans_E_AMS_Kyoto_run3_MTE!T559+Bilans_E_AMS_Kyoto_run3_MTE!U559</f>
        <v>0</v>
      </c>
      <c r="Q187" s="711">
        <f>Bilans_E_AMS_Kyoto_run3_MTE!V559</f>
        <v>0</v>
      </c>
      <c r="R187" s="711">
        <f>Bilans_E_AMS_Kyoto_run3_MTE!W559</f>
        <v>15.04</v>
      </c>
      <c r="S187" s="711">
        <f>Bilans_E_AMS_Kyoto_run3_MTE!X559</f>
        <v>0</v>
      </c>
      <c r="T187" s="711">
        <f>Bilans_E_AMS_Kyoto_run3_MTE!Y559</f>
        <v>0</v>
      </c>
      <c r="U187" s="711">
        <f>Bilans_E_AMS_Kyoto_run3_MTE!Z559</f>
        <v>15.04</v>
      </c>
      <c r="V187" s="701"/>
      <c r="W187" s="701"/>
    </row>
    <row r="188" spans="1:23" x14ac:dyDescent="0.25">
      <c r="A188" s="701" t="s">
        <v>513</v>
      </c>
      <c r="B188" s="701"/>
      <c r="C188" s="713" t="s">
        <v>83</v>
      </c>
      <c r="D188" s="714">
        <f>Bilans_E_AMS_Kyoto_run3_MTE!H560</f>
        <v>0</v>
      </c>
      <c r="E188" s="714">
        <f>Bilans_E_AMS_Kyoto_run3_MTE!I560</f>
        <v>0</v>
      </c>
      <c r="F188" s="714">
        <f>Bilans_E_AMS_Kyoto_run3_MTE!J560</f>
        <v>2.6375441900097218</v>
      </c>
      <c r="G188" s="714">
        <f>Bilans_E_AMS_Kyoto_run3_MTE!K560</f>
        <v>4.5999999999999996</v>
      </c>
      <c r="H188" s="714">
        <f>Bilans_E_AMS_Kyoto_run3_MTE!L560</f>
        <v>0</v>
      </c>
      <c r="I188" s="714">
        <f>Bilans_E_AMS_Kyoto_run3_MTE!M560</f>
        <v>4.2115153485371817</v>
      </c>
      <c r="J188" s="714">
        <f>Bilans_E_AMS_Kyoto_run3_MTE!N560</f>
        <v>0</v>
      </c>
      <c r="K188" s="714">
        <f>Bilans_E_AMS_Kyoto_run3_MTE!O560</f>
        <v>0</v>
      </c>
      <c r="L188" s="714">
        <f>Bilans_E_AMS_Kyoto_run3_MTE!P560</f>
        <v>92.181064137617497</v>
      </c>
      <c r="M188" s="714">
        <f>Bilans_E_AMS_Kyoto_run3_MTE!Q560</f>
        <v>7.3058555419217219</v>
      </c>
      <c r="N188" s="714">
        <f>Bilans_E_AMS_Kyoto_run3_MTE!R560</f>
        <v>24.156551983085681</v>
      </c>
      <c r="O188" s="714">
        <f>Bilans_E_AMS_Kyoto_run3_MTE!S560</f>
        <v>80.060922438361246</v>
      </c>
      <c r="P188" s="714">
        <f>Bilans_E_AMS_Kyoto_run3_MTE!T560+Bilans_E_AMS_Kyoto_run3_MTE!U560</f>
        <v>251.84592267661148</v>
      </c>
      <c r="Q188" s="714">
        <f>Bilans_E_AMS_Kyoto_run3_MTE!V560</f>
        <v>31.016507507845294</v>
      </c>
      <c r="R188" s="714">
        <f>Bilans_E_AMS_Kyoto_run3_MTE!W560</f>
        <v>574.93705609305459</v>
      </c>
      <c r="S188" s="714">
        <f>Bilans_E_AMS_Kyoto_run3_MTE!X560</f>
        <v>76.28935945815698</v>
      </c>
      <c r="T188" s="714">
        <f>Bilans_E_AMS_Kyoto_run3_MTE!Y560</f>
        <v>23.212509289266166</v>
      </c>
      <c r="U188" s="714">
        <f>Bilans_E_AMS_Kyoto_run3_MTE!Z560</f>
        <v>1172.4548086644675</v>
      </c>
      <c r="V188" s="701"/>
      <c r="W188" s="701"/>
    </row>
    <row r="189" spans="1:23" x14ac:dyDescent="0.25">
      <c r="A189" s="701" t="s">
        <v>514</v>
      </c>
      <c r="B189" s="701"/>
      <c r="C189" s="710" t="s">
        <v>84</v>
      </c>
      <c r="D189" s="711">
        <f>Bilans_E_AMS_Kyoto_run3_MTE!H561</f>
        <v>0</v>
      </c>
      <c r="E189" s="711">
        <f>Bilans_E_AMS_Kyoto_run3_MTE!I561</f>
        <v>0</v>
      </c>
      <c r="F189" s="711">
        <f>Bilans_E_AMS_Kyoto_run3_MTE!J561</f>
        <v>91.376834551502185</v>
      </c>
      <c r="G189" s="711">
        <f>Bilans_E_AMS_Kyoto_run3_MTE!K561</f>
        <v>4.3696590457446538</v>
      </c>
      <c r="H189" s="711">
        <f>Bilans_E_AMS_Kyoto_run3_MTE!L561</f>
        <v>7.019987079045241</v>
      </c>
      <c r="I189" s="711">
        <f>Bilans_E_AMS_Kyoto_run3_MTE!M561</f>
        <v>0</v>
      </c>
      <c r="J189" s="711">
        <f>Bilans_E_AMS_Kyoto_run3_MTE!N561</f>
        <v>0</v>
      </c>
      <c r="K189" s="711">
        <f>Bilans_E_AMS_Kyoto_run3_MTE!O561</f>
        <v>0</v>
      </c>
      <c r="L189" s="711">
        <f>Bilans_E_AMS_Kyoto_run3_MTE!P561</f>
        <v>0.61184558011433365</v>
      </c>
      <c r="M189" s="711">
        <f>Bilans_E_AMS_Kyoto_run3_MTE!Q561</f>
        <v>0</v>
      </c>
      <c r="N189" s="711">
        <f>Bilans_E_AMS_Kyoto_run3_MTE!R561</f>
        <v>6.5698161491399585</v>
      </c>
      <c r="O189" s="711">
        <f>Bilans_E_AMS_Kyoto_run3_MTE!S561</f>
        <v>0</v>
      </c>
      <c r="P189" s="711">
        <f>Bilans_E_AMS_Kyoto_run3_MTE!T561+Bilans_E_AMS_Kyoto_run3_MTE!U561</f>
        <v>0</v>
      </c>
      <c r="Q189" s="711">
        <f>Bilans_E_AMS_Kyoto_run3_MTE!V561</f>
        <v>0</v>
      </c>
      <c r="R189" s="711">
        <f>Bilans_E_AMS_Kyoto_run3_MTE!W561</f>
        <v>0</v>
      </c>
      <c r="S189" s="711">
        <f>Bilans_E_AMS_Kyoto_run3_MTE!X561</f>
        <v>0</v>
      </c>
      <c r="T189" s="711">
        <f>Bilans_E_AMS_Kyoto_run3_MTE!Y561</f>
        <v>6.6285490677230623</v>
      </c>
      <c r="U189" s="711">
        <f>Bilans_E_AMS_Kyoto_run3_MTE!Z561</f>
        <v>116.57669147326942</v>
      </c>
      <c r="V189" s="701"/>
      <c r="W189" s="701"/>
    </row>
    <row r="190" spans="1:23" x14ac:dyDescent="0.25">
      <c r="A190" s="701" t="s">
        <v>515</v>
      </c>
      <c r="B190" s="701"/>
      <c r="C190" s="713" t="s">
        <v>85</v>
      </c>
      <c r="D190" s="714">
        <f>Bilans_E_AMS_Kyoto_run3_MTE!H562</f>
        <v>0</v>
      </c>
      <c r="E190" s="714">
        <f>Bilans_E_AMS_Kyoto_run3_MTE!I562</f>
        <v>0</v>
      </c>
      <c r="F190" s="714">
        <f>Bilans_E_AMS_Kyoto_run3_MTE!J562</f>
        <v>94.014378741511905</v>
      </c>
      <c r="G190" s="714">
        <f>Bilans_E_AMS_Kyoto_run3_MTE!K562</f>
        <v>8.9696590457446526</v>
      </c>
      <c r="H190" s="714">
        <f>Bilans_E_AMS_Kyoto_run3_MTE!L562</f>
        <v>7.019987079045241</v>
      </c>
      <c r="I190" s="714">
        <f>Bilans_E_AMS_Kyoto_run3_MTE!M562</f>
        <v>4.2115153485371817</v>
      </c>
      <c r="J190" s="714">
        <f>Bilans_E_AMS_Kyoto_run3_MTE!N562</f>
        <v>0</v>
      </c>
      <c r="K190" s="714">
        <f>Bilans_E_AMS_Kyoto_run3_MTE!O562</f>
        <v>0</v>
      </c>
      <c r="L190" s="714">
        <f>Bilans_E_AMS_Kyoto_run3_MTE!P562</f>
        <v>92.792909717731831</v>
      </c>
      <c r="M190" s="714">
        <f>Bilans_E_AMS_Kyoto_run3_MTE!Q562</f>
        <v>7.3058555419217219</v>
      </c>
      <c r="N190" s="714">
        <f>Bilans_E_AMS_Kyoto_run3_MTE!R562</f>
        <v>30.726368132225637</v>
      </c>
      <c r="O190" s="714">
        <f>Bilans_E_AMS_Kyoto_run3_MTE!S562</f>
        <v>80.060922438361246</v>
      </c>
      <c r="P190" s="714">
        <f>Bilans_E_AMS_Kyoto_run3_MTE!T562+Bilans_E_AMS_Kyoto_run3_MTE!U562</f>
        <v>251.84592267661148</v>
      </c>
      <c r="Q190" s="714">
        <f>Bilans_E_AMS_Kyoto_run3_MTE!V562</f>
        <v>31.016507507845294</v>
      </c>
      <c r="R190" s="714">
        <f>Bilans_E_AMS_Kyoto_run3_MTE!W562</f>
        <v>574.93705609305459</v>
      </c>
      <c r="S190" s="714">
        <f>Bilans_E_AMS_Kyoto_run3_MTE!X562</f>
        <v>76.28935945815698</v>
      </c>
      <c r="T190" s="714">
        <f>Bilans_E_AMS_Kyoto_run3_MTE!Y562</f>
        <v>29.84105835698923</v>
      </c>
      <c r="U190" s="714">
        <f>Bilans_E_AMS_Kyoto_run3_MTE!Z562</f>
        <v>1289.0315001377369</v>
      </c>
      <c r="V190" s="701"/>
      <c r="W190" s="701"/>
    </row>
    <row r="191" spans="1:23" x14ac:dyDescent="0.25">
      <c r="A191" s="701"/>
      <c r="B191" s="701"/>
      <c r="C191" s="701"/>
      <c r="D191" s="701">
        <f>Bilans_E_AMS_Kyoto_run3_MTE!H563</f>
        <v>0</v>
      </c>
      <c r="E191" s="701">
        <f>Bilans_E_AMS_Kyoto_run3_MTE!I563</f>
        <v>0</v>
      </c>
      <c r="F191" s="701">
        <f>Bilans_E_AMS_Kyoto_run3_MTE!J563</f>
        <v>0</v>
      </c>
      <c r="G191" s="701">
        <f>Bilans_E_AMS_Kyoto_run3_MTE!K563</f>
        <v>0</v>
      </c>
      <c r="H191" s="701">
        <f>Bilans_E_AMS_Kyoto_run3_MTE!L563</f>
        <v>0</v>
      </c>
      <c r="I191" s="701">
        <f>Bilans_E_AMS_Kyoto_run3_MTE!M563</f>
        <v>-1.9859233333408E-4</v>
      </c>
      <c r="J191" s="701">
        <f>Bilans_E_AMS_Kyoto_run3_MTE!N563</f>
        <v>0</v>
      </c>
      <c r="K191" s="701">
        <f>Bilans_E_AMS_Kyoto_run3_MTE!O563</f>
        <v>0</v>
      </c>
      <c r="L191" s="701">
        <f>Bilans_E_AMS_Kyoto_run3_MTE!P563</f>
        <v>0</v>
      </c>
      <c r="M191" s="701">
        <f>Bilans_E_AMS_Kyoto_run3_MTE!Q563</f>
        <v>0</v>
      </c>
      <c r="N191" s="701">
        <f>Bilans_E_AMS_Kyoto_run3_MTE!R563</f>
        <v>0</v>
      </c>
      <c r="O191" s="701">
        <f>Bilans_E_AMS_Kyoto_run3_MTE!S563</f>
        <v>0</v>
      </c>
      <c r="P191" s="701">
        <f>Bilans_E_AMS_Kyoto_run3_MTE!T563+Bilans_E_AMS_Kyoto_run3_MTE!U563</f>
        <v>0</v>
      </c>
      <c r="Q191" s="701">
        <f>Bilans_E_AMS_Kyoto_run3_MTE!V563</f>
        <v>0</v>
      </c>
      <c r="R191" s="701">
        <f>Bilans_E_AMS_Kyoto_run3_MTE!W563</f>
        <v>0</v>
      </c>
      <c r="S191" s="701">
        <f>Bilans_E_AMS_Kyoto_run3_MTE!X563</f>
        <v>-3.3901093871691046E-5</v>
      </c>
      <c r="T191" s="701">
        <f>Bilans_E_AMS_Kyoto_run3_MTE!Y563</f>
        <v>0</v>
      </c>
      <c r="U191" s="701">
        <f>Bilans_E_AMS_Kyoto_run3_MTE!Z563</f>
        <v>-2.3249342757480917E-4</v>
      </c>
      <c r="V191" s="701"/>
      <c r="W191" s="701"/>
    </row>
    <row r="192" spans="1:23" x14ac:dyDescent="0.25">
      <c r="A192" s="51"/>
      <c r="B192" s="51"/>
      <c r="C192" s="51"/>
      <c r="D192" s="51"/>
      <c r="E192" s="51"/>
      <c r="F192" s="51"/>
      <c r="G192" s="67"/>
      <c r="H192" s="51"/>
      <c r="I192" s="51"/>
      <c r="J192" s="51"/>
      <c r="K192" s="51"/>
      <c r="L192" s="51"/>
      <c r="M192" s="51"/>
      <c r="N192" s="51"/>
      <c r="O192" s="51"/>
      <c r="P192" s="51"/>
      <c r="Q192" s="51"/>
      <c r="R192" s="51"/>
      <c r="S192" s="51"/>
      <c r="T192" s="51"/>
      <c r="U192" s="51"/>
    </row>
  </sheetData>
  <mergeCells count="70">
    <mergeCell ref="U10:U11"/>
    <mergeCell ref="C10:C11"/>
    <mergeCell ref="D10:D11"/>
    <mergeCell ref="E10:E11"/>
    <mergeCell ref="F10:F11"/>
    <mergeCell ref="G10:G11"/>
    <mergeCell ref="H10:H11"/>
    <mergeCell ref="I10:I11"/>
    <mergeCell ref="J10:J11"/>
    <mergeCell ref="K10:K11"/>
    <mergeCell ref="L10:Q10"/>
    <mergeCell ref="R10:R11"/>
    <mergeCell ref="S10:S11"/>
    <mergeCell ref="T10:T11"/>
    <mergeCell ref="S47:S48"/>
    <mergeCell ref="C47:C48"/>
    <mergeCell ref="D47:D48"/>
    <mergeCell ref="E47:E48"/>
    <mergeCell ref="F47:F48"/>
    <mergeCell ref="G47:G48"/>
    <mergeCell ref="H47:H48"/>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K84:K85"/>
    <mergeCell ref="L84:Q84"/>
    <mergeCell ref="R84:R85"/>
    <mergeCell ref="S84:S85"/>
    <mergeCell ref="T84:T85"/>
    <mergeCell ref="S121:S122"/>
    <mergeCell ref="C121:C122"/>
    <mergeCell ref="D121:D122"/>
    <mergeCell ref="E121:E122"/>
    <mergeCell ref="F121:F122"/>
    <mergeCell ref="G121:G122"/>
    <mergeCell ref="H121:H122"/>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R121:R122"/>
    <mergeCell ref="K158:K159"/>
    <mergeCell ref="L158:Q158"/>
    <mergeCell ref="R158:R159"/>
    <mergeCell ref="S158:S159"/>
    <mergeCell ref="T158:T159"/>
  </mergeCells>
  <pageMargins left="0.7" right="0.7" top="0.75" bottom="0.75" header="0.3" footer="0.3"/>
  <legacy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D1AA1-B459-40C4-AE15-FDCAB1F4345F}">
  <sheetPr>
    <tabColor theme="1" tint="0.249977111117893"/>
  </sheetPr>
  <dimension ref="A1:W155"/>
  <sheetViews>
    <sheetView topLeftCell="A14" zoomScale="85" zoomScaleNormal="85" workbookViewId="0">
      <selection activeCell="M22" sqref="M22"/>
    </sheetView>
  </sheetViews>
  <sheetFormatPr baseColWidth="10" defaultRowHeight="15" x14ac:dyDescent="0.25"/>
  <cols>
    <col min="3" max="3" width="24.28515625" customWidth="1"/>
    <col min="4" max="21" width="12.5703125" customWidth="1"/>
  </cols>
  <sheetData>
    <row r="1" spans="1:23" ht="15.75" x14ac:dyDescent="0.25">
      <c r="A1" s="700"/>
      <c r="B1" s="700"/>
      <c r="C1" s="700"/>
      <c r="D1" s="598" t="s">
        <v>527</v>
      </c>
      <c r="E1" s="598" t="s">
        <v>528</v>
      </c>
      <c r="F1" s="598" t="s">
        <v>529</v>
      </c>
      <c r="G1" s="598" t="s">
        <v>530</v>
      </c>
      <c r="H1" s="598" t="s">
        <v>531</v>
      </c>
      <c r="I1" s="598" t="s">
        <v>532</v>
      </c>
      <c r="J1" s="598" t="s">
        <v>533</v>
      </c>
      <c r="K1" s="598" t="s">
        <v>534</v>
      </c>
      <c r="L1" s="598" t="s">
        <v>535</v>
      </c>
      <c r="M1" s="598" t="s">
        <v>536</v>
      </c>
      <c r="N1" s="598" t="s">
        <v>537</v>
      </c>
      <c r="O1" s="598" t="s">
        <v>538</v>
      </c>
      <c r="P1" s="598" t="s">
        <v>539</v>
      </c>
      <c r="Q1" s="598" t="s">
        <v>541</v>
      </c>
      <c r="R1" s="598" t="s">
        <v>542</v>
      </c>
      <c r="S1" s="598" t="s">
        <v>543</v>
      </c>
      <c r="T1" s="598" t="s">
        <v>606</v>
      </c>
      <c r="U1" s="598" t="s">
        <v>607</v>
      </c>
      <c r="V1" s="700"/>
      <c r="W1" s="700"/>
    </row>
    <row r="2" spans="1:23" x14ac:dyDescent="0.25">
      <c r="A2" s="700"/>
      <c r="B2" s="700"/>
      <c r="C2" s="700"/>
      <c r="D2" s="700" t="s">
        <v>545</v>
      </c>
      <c r="E2" s="701" t="s">
        <v>546</v>
      </c>
      <c r="F2" s="701" t="s">
        <v>547</v>
      </c>
      <c r="G2" s="701" t="s">
        <v>548</v>
      </c>
      <c r="H2" s="701" t="s">
        <v>549</v>
      </c>
      <c r="I2" s="701" t="s">
        <v>550</v>
      </c>
      <c r="J2" s="701" t="s">
        <v>551</v>
      </c>
      <c r="K2" s="701" t="s">
        <v>552</v>
      </c>
      <c r="L2" s="701" t="s">
        <v>553</v>
      </c>
      <c r="M2" s="701" t="s">
        <v>554</v>
      </c>
      <c r="N2" s="701" t="s">
        <v>555</v>
      </c>
      <c r="O2" s="701" t="s">
        <v>556</v>
      </c>
      <c r="P2" s="701" t="s">
        <v>557</v>
      </c>
      <c r="Q2" s="701" t="s">
        <v>558</v>
      </c>
      <c r="R2" s="701" t="s">
        <v>559</v>
      </c>
      <c r="S2" s="701" t="s">
        <v>560</v>
      </c>
      <c r="T2" s="701" t="s">
        <v>561</v>
      </c>
      <c r="U2" s="701" t="s">
        <v>562</v>
      </c>
      <c r="V2" s="700"/>
      <c r="W2" s="700"/>
    </row>
    <row r="3" spans="1:23" ht="18" x14ac:dyDescent="0.25">
      <c r="A3" s="702"/>
      <c r="B3" s="702"/>
      <c r="C3" s="703" t="s">
        <v>406</v>
      </c>
      <c r="D3" s="702"/>
      <c r="E3" s="702"/>
      <c r="F3" s="702"/>
      <c r="G3" s="702"/>
      <c r="H3" s="702"/>
      <c r="I3" s="702"/>
      <c r="J3" s="702"/>
      <c r="K3" s="702"/>
      <c r="L3" s="702"/>
      <c r="M3" s="702"/>
      <c r="N3" s="702"/>
      <c r="O3" s="702"/>
      <c r="P3" s="702"/>
      <c r="Q3" s="702"/>
      <c r="R3" s="702"/>
      <c r="S3" s="702"/>
      <c r="T3" s="702"/>
      <c r="U3" s="702"/>
      <c r="V3" s="702"/>
      <c r="W3" s="702"/>
    </row>
    <row r="4" spans="1:23" x14ac:dyDescent="0.25">
      <c r="A4" s="701"/>
      <c r="B4" s="701"/>
      <c r="C4" s="701"/>
      <c r="D4" s="701"/>
      <c r="E4" s="701"/>
      <c r="F4" s="701"/>
      <c r="G4" s="701"/>
      <c r="H4" s="701"/>
      <c r="I4" s="701"/>
      <c r="J4" s="701"/>
      <c r="K4" s="701"/>
      <c r="L4" s="701"/>
      <c r="M4" s="701"/>
      <c r="N4" s="701"/>
      <c r="O4" s="701"/>
      <c r="P4" s="701"/>
      <c r="Q4" s="701"/>
      <c r="R4" s="701"/>
      <c r="S4" s="701"/>
      <c r="T4" s="701"/>
      <c r="U4" s="701"/>
      <c r="V4" s="701"/>
      <c r="W4" s="701"/>
    </row>
    <row r="5" spans="1:23" ht="15.75" x14ac:dyDescent="0.25">
      <c r="A5" s="704"/>
      <c r="B5" s="701"/>
      <c r="C5" s="705" t="s">
        <v>338</v>
      </c>
      <c r="D5" s="704" t="s">
        <v>481</v>
      </c>
      <c r="E5" s="704"/>
      <c r="F5" s="704"/>
      <c r="G5" s="704"/>
      <c r="H5" s="704"/>
      <c r="I5" s="704"/>
      <c r="J5" s="704"/>
      <c r="K5" s="706"/>
      <c r="L5" s="706"/>
      <c r="M5" s="706"/>
      <c r="N5" s="706"/>
      <c r="O5" s="706"/>
      <c r="P5" s="706"/>
      <c r="Q5" s="706"/>
      <c r="R5" s="704"/>
      <c r="S5" s="704"/>
      <c r="T5" s="704"/>
      <c r="U5" s="704"/>
      <c r="V5" s="704"/>
      <c r="W5" s="704"/>
    </row>
    <row r="6" spans="1:23" ht="15.75" x14ac:dyDescent="0.25">
      <c r="A6" s="704"/>
      <c r="B6" s="701"/>
      <c r="C6" s="705" t="s">
        <v>341</v>
      </c>
      <c r="D6" s="704" t="s">
        <v>342</v>
      </c>
      <c r="E6" s="704"/>
      <c r="F6" s="704"/>
      <c r="G6" s="704"/>
      <c r="H6" s="704"/>
      <c r="I6" s="704"/>
      <c r="J6" s="704"/>
      <c r="K6" s="704"/>
      <c r="L6" s="704"/>
      <c r="M6" s="704"/>
      <c r="N6" s="704"/>
      <c r="O6" s="704"/>
      <c r="P6" s="704"/>
      <c r="Q6" s="704"/>
      <c r="R6" s="704"/>
      <c r="S6" s="704"/>
      <c r="T6" s="704"/>
      <c r="U6" s="704"/>
      <c r="V6" s="704"/>
      <c r="W6" s="704"/>
    </row>
    <row r="7" spans="1:23" x14ac:dyDescent="0.25">
      <c r="A7" s="701"/>
      <c r="B7" s="701"/>
      <c r="C7" s="701"/>
      <c r="D7" s="701"/>
      <c r="E7" s="701"/>
      <c r="F7" s="701"/>
      <c r="G7" s="701"/>
      <c r="H7" s="701"/>
      <c r="I7" s="701"/>
      <c r="J7" s="701"/>
      <c r="K7" s="701"/>
      <c r="L7" s="701"/>
      <c r="M7" s="701"/>
      <c r="N7" s="701"/>
      <c r="O7" s="701"/>
      <c r="P7" s="701"/>
      <c r="Q7" s="701"/>
      <c r="R7" s="701"/>
      <c r="S7" s="701"/>
      <c r="T7" s="701"/>
      <c r="U7" s="701"/>
      <c r="V7" s="701"/>
      <c r="W7" s="701"/>
    </row>
    <row r="8" spans="1:23" x14ac:dyDescent="0.25">
      <c r="A8" s="707"/>
      <c r="B8" s="707"/>
      <c r="C8" s="708" t="s">
        <v>360</v>
      </c>
      <c r="D8" s="707"/>
      <c r="E8" s="707"/>
      <c r="F8" s="707"/>
      <c r="G8" s="707"/>
      <c r="H8" s="707"/>
      <c r="I8" s="707"/>
      <c r="J8" s="707"/>
      <c r="K8" s="707"/>
      <c r="L8" s="707"/>
      <c r="M8" s="707"/>
      <c r="N8" s="707"/>
      <c r="O8" s="707"/>
      <c r="P8" s="707"/>
      <c r="Q8" s="707"/>
      <c r="R8" s="707"/>
      <c r="S8" s="707"/>
      <c r="T8" s="707"/>
      <c r="U8" s="707"/>
      <c r="V8" s="707"/>
      <c r="W8" s="707"/>
    </row>
    <row r="9" spans="1:23" x14ac:dyDescent="0.25">
      <c r="A9" s="701"/>
      <c r="B9" s="701"/>
      <c r="C9" s="701"/>
      <c r="D9" s="701"/>
      <c r="E9" s="701"/>
      <c r="F9" s="701"/>
      <c r="G9" s="701"/>
      <c r="H9" s="701"/>
      <c r="I9" s="701"/>
      <c r="J9" s="701"/>
      <c r="K9" s="701"/>
      <c r="L9" s="701"/>
      <c r="M9" s="701"/>
      <c r="N9" s="701"/>
      <c r="O9" s="701"/>
      <c r="P9" s="701"/>
      <c r="Q9" s="701"/>
      <c r="R9" s="701"/>
      <c r="S9" s="701"/>
      <c r="T9" s="701"/>
      <c r="U9" s="701"/>
      <c r="V9" s="701"/>
      <c r="W9" s="701"/>
    </row>
    <row r="10" spans="1:23" x14ac:dyDescent="0.25">
      <c r="A10" s="701"/>
      <c r="B10" s="701"/>
      <c r="C10" s="780" t="s">
        <v>128</v>
      </c>
      <c r="D10" s="775" t="s">
        <v>42</v>
      </c>
      <c r="E10" s="775" t="s">
        <v>52</v>
      </c>
      <c r="F10" s="775" t="s">
        <v>53</v>
      </c>
      <c r="G10" s="775" t="s">
        <v>482</v>
      </c>
      <c r="H10" s="775" t="s">
        <v>32</v>
      </c>
      <c r="I10" s="775" t="s">
        <v>483</v>
      </c>
      <c r="J10" s="775" t="s">
        <v>20</v>
      </c>
      <c r="K10" s="775" t="s">
        <v>55</v>
      </c>
      <c r="L10" s="777" t="s">
        <v>56</v>
      </c>
      <c r="M10" s="778"/>
      <c r="N10" s="778"/>
      <c r="O10" s="778"/>
      <c r="P10" s="778"/>
      <c r="Q10" s="779"/>
      <c r="R10" s="775" t="s">
        <v>57</v>
      </c>
      <c r="S10" s="775" t="s">
        <v>58</v>
      </c>
      <c r="T10" s="775" t="s">
        <v>31</v>
      </c>
      <c r="U10" s="775" t="s">
        <v>10</v>
      </c>
      <c r="V10" s="701"/>
      <c r="W10" s="701"/>
    </row>
    <row r="11" spans="1:23" ht="67.5" x14ac:dyDescent="0.25">
      <c r="A11" s="701" t="s">
        <v>486</v>
      </c>
      <c r="B11" s="701"/>
      <c r="C11" s="781"/>
      <c r="D11" s="776"/>
      <c r="E11" s="776"/>
      <c r="F11" s="776"/>
      <c r="G11" s="776"/>
      <c r="H11" s="776"/>
      <c r="I11" s="776"/>
      <c r="J11" s="776"/>
      <c r="K11" s="776"/>
      <c r="L11" s="709" t="s">
        <v>335</v>
      </c>
      <c r="M11" s="709" t="s">
        <v>40</v>
      </c>
      <c r="N11" s="709" t="s">
        <v>343</v>
      </c>
      <c r="O11" s="709" t="s">
        <v>344</v>
      </c>
      <c r="P11" s="719" t="s">
        <v>610</v>
      </c>
      <c r="Q11" s="709" t="s">
        <v>346</v>
      </c>
      <c r="R11" s="776"/>
      <c r="S11" s="776"/>
      <c r="T11" s="776"/>
      <c r="U11" s="776"/>
      <c r="V11" s="701"/>
      <c r="W11" s="701"/>
    </row>
    <row r="12" spans="1:23" x14ac:dyDescent="0.25">
      <c r="A12" s="701" t="s">
        <v>487</v>
      </c>
      <c r="B12" s="701"/>
      <c r="C12" s="710" t="s">
        <v>59</v>
      </c>
      <c r="D12" s="711">
        <f>Bilans_E_AMS_Kyoto_run3_MTE!H421</f>
        <v>0</v>
      </c>
      <c r="E12" s="711">
        <f>Bilans_E_AMS_Kyoto_run3_MTE!I421</f>
        <v>0</v>
      </c>
      <c r="F12" s="711">
        <f>Bilans_E_AMS_Kyoto_run3_MTE!J421</f>
        <v>0</v>
      </c>
      <c r="G12" s="711">
        <f>Bilans_E_AMS_Kyoto_run3_MTE!K421</f>
        <v>0</v>
      </c>
      <c r="H12" s="711">
        <f>Bilans_E_AMS_Kyoto_run3_MTE!L421</f>
        <v>0</v>
      </c>
      <c r="I12" s="711">
        <f>Bilans_E_AMS_Kyoto_run3_MTE!M421</f>
        <v>0</v>
      </c>
      <c r="J12" s="711">
        <f>Bilans_E_AMS_Kyoto_run3_MTE!N421</f>
        <v>1217.3350254612858</v>
      </c>
      <c r="K12" s="711">
        <f>Bilans_E_AMS_Kyoto_run3_MTE!O421</f>
        <v>388.29502398919544</v>
      </c>
      <c r="L12" s="711">
        <f>Bilans_E_AMS_Kyoto_run3_MTE!P421</f>
        <v>345.22412922668985</v>
      </c>
      <c r="M12" s="711">
        <f>Bilans_E_AMS_Kyoto_run3_MTE!Q421</f>
        <v>47.572914538902204</v>
      </c>
      <c r="N12" s="711">
        <f>Bilans_E_AMS_Kyoto_run3_MTE!R421</f>
        <v>0</v>
      </c>
      <c r="O12" s="711">
        <f>Bilans_E_AMS_Kyoto_run3_MTE!S421</f>
        <v>0</v>
      </c>
      <c r="P12" s="711">
        <f>Bilans_E_AMS_Kyoto_run3_MTE!T421+Bilans_E_AMS_Kyoto_run3_MTE!U421</f>
        <v>217.97798120035498</v>
      </c>
      <c r="Q12" s="711">
        <f>Bilans_E_AMS_Kyoto_run3_MTE!V421</f>
        <v>44.670610017190697</v>
      </c>
      <c r="R12" s="711">
        <f>Bilans_E_AMS_Kyoto_run3_MTE!W421</f>
        <v>0</v>
      </c>
      <c r="S12" s="711">
        <f>Bilans_E_AMS_Kyoto_run3_MTE!X421</f>
        <v>0</v>
      </c>
      <c r="T12" s="711">
        <f>Bilans_E_AMS_Kyoto_run3_MTE!Y421</f>
        <v>0</v>
      </c>
      <c r="U12" s="711">
        <f>Bilans_E_AMS_Kyoto_run3_MTE!Z421</f>
        <v>2261.0756844336188</v>
      </c>
      <c r="V12" s="701"/>
      <c r="W12" s="701"/>
    </row>
    <row r="13" spans="1:23" x14ac:dyDescent="0.25">
      <c r="A13" s="701" t="s">
        <v>488</v>
      </c>
      <c r="B13" s="701"/>
      <c r="C13" s="710" t="s">
        <v>60</v>
      </c>
      <c r="D13" s="712">
        <f>Bilans_E_AMS_Kyoto_run3_MTE!H422</f>
        <v>12.152793945312501</v>
      </c>
      <c r="E13" s="712">
        <f>Bilans_E_AMS_Kyoto_run3_MTE!I422</f>
        <v>228.52698065701114</v>
      </c>
      <c r="F13" s="712">
        <f>Bilans_E_AMS_Kyoto_run3_MTE!J422</f>
        <v>52.757657499876444</v>
      </c>
      <c r="G13" s="712">
        <f>Bilans_E_AMS_Kyoto_run3_MTE!K422</f>
        <v>7.0861725721851325</v>
      </c>
      <c r="H13" s="712">
        <f>Bilans_E_AMS_Kyoto_run3_MTE!L422</f>
        <v>109.90340859679944</v>
      </c>
      <c r="I13" s="712">
        <f>Bilans_E_AMS_Kyoto_run3_MTE!M422</f>
        <v>0</v>
      </c>
      <c r="J13" s="712">
        <f>Bilans_E_AMS_Kyoto_run3_MTE!N422</f>
        <v>0</v>
      </c>
      <c r="K13" s="712">
        <f>Bilans_E_AMS_Kyoto_run3_MTE!O422</f>
        <v>0</v>
      </c>
      <c r="L13" s="712">
        <f>Bilans_E_AMS_Kyoto_run3_MTE!P422</f>
        <v>8.3609545225008901</v>
      </c>
      <c r="M13" s="712">
        <f>Bilans_E_AMS_Kyoto_run3_MTE!Q422</f>
        <v>0</v>
      </c>
      <c r="N13" s="712">
        <f>Bilans_E_AMS_Kyoto_run3_MTE!R422</f>
        <v>12.640823760452299</v>
      </c>
      <c r="O13" s="712">
        <f>Bilans_E_AMS_Kyoto_run3_MTE!S422</f>
        <v>0</v>
      </c>
      <c r="P13" s="712">
        <f>Bilans_E_AMS_Kyoto_run3_MTE!T422+Bilans_E_AMS_Kyoto_run3_MTE!U422</f>
        <v>0</v>
      </c>
      <c r="Q13" s="712">
        <f>Bilans_E_AMS_Kyoto_run3_MTE!V422</f>
        <v>0</v>
      </c>
      <c r="R13" s="712">
        <f>Bilans_E_AMS_Kyoto_run3_MTE!W422</f>
        <v>0</v>
      </c>
      <c r="S13" s="712">
        <f>Bilans_E_AMS_Kyoto_run3_MTE!X422</f>
        <v>0</v>
      </c>
      <c r="T13" s="712">
        <f>Bilans_E_AMS_Kyoto_run3_MTE!Y422</f>
        <v>0</v>
      </c>
      <c r="U13" s="712">
        <f>Bilans_E_AMS_Kyoto_run3_MTE!Z422</f>
        <v>431.42879155413789</v>
      </c>
      <c r="V13" s="701"/>
      <c r="W13" s="701"/>
    </row>
    <row r="14" spans="1:23" x14ac:dyDescent="0.25">
      <c r="A14" s="701" t="s">
        <v>489</v>
      </c>
      <c r="B14" s="701"/>
      <c r="C14" s="710" t="s">
        <v>61</v>
      </c>
      <c r="D14" s="712">
        <f>Bilans_E_AMS_Kyoto_run3_MTE!H423</f>
        <v>0</v>
      </c>
      <c r="E14" s="712">
        <f>Bilans_E_AMS_Kyoto_run3_MTE!I423</f>
        <v>0</v>
      </c>
      <c r="F14" s="712">
        <f>Bilans_E_AMS_Kyoto_run3_MTE!J423</f>
        <v>0</v>
      </c>
      <c r="G14" s="712">
        <f>Bilans_E_AMS_Kyoto_run3_MTE!K423</f>
        <v>0</v>
      </c>
      <c r="H14" s="712">
        <f>Bilans_E_AMS_Kyoto_run3_MTE!L423</f>
        <v>0</v>
      </c>
      <c r="I14" s="712">
        <f>Bilans_E_AMS_Kyoto_run3_MTE!M423</f>
        <v>0</v>
      </c>
      <c r="J14" s="712">
        <f>Bilans_E_AMS_Kyoto_run3_MTE!N423</f>
        <v>0</v>
      </c>
      <c r="K14" s="712">
        <f>Bilans_E_AMS_Kyoto_run3_MTE!O423</f>
        <v>0</v>
      </c>
      <c r="L14" s="712">
        <f>Bilans_E_AMS_Kyoto_run3_MTE!P423</f>
        <v>0</v>
      </c>
      <c r="M14" s="712">
        <f>Bilans_E_AMS_Kyoto_run3_MTE!Q423</f>
        <v>0</v>
      </c>
      <c r="N14" s="712">
        <f>Bilans_E_AMS_Kyoto_run3_MTE!R423</f>
        <v>0</v>
      </c>
      <c r="O14" s="712">
        <f>Bilans_E_AMS_Kyoto_run3_MTE!S423</f>
        <v>-7.7990691835452708E-2</v>
      </c>
      <c r="P14" s="712">
        <f>Bilans_E_AMS_Kyoto_run3_MTE!T423+Bilans_E_AMS_Kyoto_run3_MTE!U423</f>
        <v>0</v>
      </c>
      <c r="Q14" s="712">
        <f>Bilans_E_AMS_Kyoto_run3_MTE!V423</f>
        <v>0</v>
      </c>
      <c r="R14" s="712">
        <f>Bilans_E_AMS_Kyoto_run3_MTE!W423</f>
        <v>-125.47851234932489</v>
      </c>
      <c r="S14" s="712">
        <f>Bilans_E_AMS_Kyoto_run3_MTE!X423</f>
        <v>0</v>
      </c>
      <c r="T14" s="712">
        <f>Bilans_E_AMS_Kyoto_run3_MTE!Y423</f>
        <v>0</v>
      </c>
      <c r="U14" s="712">
        <f>Bilans_E_AMS_Kyoto_run3_MTE!Z423</f>
        <v>-125.55650304116034</v>
      </c>
      <c r="V14" s="701"/>
      <c r="W14" s="701"/>
    </row>
    <row r="15" spans="1:23" x14ac:dyDescent="0.25">
      <c r="A15" s="701" t="s">
        <v>490</v>
      </c>
      <c r="B15" s="701"/>
      <c r="C15" s="710" t="s">
        <v>62</v>
      </c>
      <c r="D15" s="711">
        <f>Bilans_E_AMS_Kyoto_run3_MTE!H424</f>
        <v>0</v>
      </c>
      <c r="E15" s="711">
        <f>Bilans_E_AMS_Kyoto_run3_MTE!I424</f>
        <v>0</v>
      </c>
      <c r="F15" s="711">
        <f>Bilans_E_AMS_Kyoto_run3_MTE!J424</f>
        <v>-5.9348855093326982</v>
      </c>
      <c r="G15" s="711">
        <f>Bilans_E_AMS_Kyoto_run3_MTE!K424</f>
        <v>-0.99259685127624486</v>
      </c>
      <c r="H15" s="711">
        <f>Bilans_E_AMS_Kyoto_run3_MTE!L424</f>
        <v>0</v>
      </c>
      <c r="I15" s="711">
        <f>Bilans_E_AMS_Kyoto_run3_MTE!M424</f>
        <v>-0.99259685127624475</v>
      </c>
      <c r="J15" s="711">
        <f>Bilans_E_AMS_Kyoto_run3_MTE!N424</f>
        <v>0</v>
      </c>
      <c r="K15" s="711">
        <f>Bilans_E_AMS_Kyoto_run3_MTE!O424</f>
        <v>0</v>
      </c>
      <c r="L15" s="711">
        <f>Bilans_E_AMS_Kyoto_run3_MTE!P424</f>
        <v>0</v>
      </c>
      <c r="M15" s="711">
        <f>Bilans_E_AMS_Kyoto_run3_MTE!Q424</f>
        <v>0</v>
      </c>
      <c r="N15" s="711">
        <f>Bilans_E_AMS_Kyoto_run3_MTE!R424</f>
        <v>0</v>
      </c>
      <c r="O15" s="711">
        <f>Bilans_E_AMS_Kyoto_run3_MTE!S424</f>
        <v>-1.3642017969458513</v>
      </c>
      <c r="P15" s="711">
        <f>Bilans_E_AMS_Kyoto_run3_MTE!T424+Bilans_E_AMS_Kyoto_run3_MTE!U424</f>
        <v>0</v>
      </c>
      <c r="Q15" s="711">
        <f>Bilans_E_AMS_Kyoto_run3_MTE!V424</f>
        <v>0</v>
      </c>
      <c r="R15" s="711">
        <f>Bilans_E_AMS_Kyoto_run3_MTE!W424</f>
        <v>0</v>
      </c>
      <c r="S15" s="711">
        <f>Bilans_E_AMS_Kyoto_run3_MTE!X424</f>
        <v>0</v>
      </c>
      <c r="T15" s="711">
        <f>Bilans_E_AMS_Kyoto_run3_MTE!Y424</f>
        <v>-0.66413311470232494</v>
      </c>
      <c r="U15" s="711">
        <f>Bilans_E_AMS_Kyoto_run3_MTE!Z424</f>
        <v>-9.9484141235333645</v>
      </c>
      <c r="V15" s="701"/>
      <c r="W15" s="701"/>
    </row>
    <row r="16" spans="1:23" x14ac:dyDescent="0.25">
      <c r="A16" s="701" t="s">
        <v>491</v>
      </c>
      <c r="B16" s="701"/>
      <c r="C16" s="710" t="s">
        <v>63</v>
      </c>
      <c r="D16" s="711">
        <f>Bilans_E_AMS_Kyoto_run3_MTE!H425</f>
        <v>0</v>
      </c>
      <c r="E16" s="711">
        <f>Bilans_E_AMS_Kyoto_run3_MTE!I425</f>
        <v>0</v>
      </c>
      <c r="F16" s="711">
        <f>Bilans_E_AMS_Kyoto_run3_MTE!J425</f>
        <v>-40</v>
      </c>
      <c r="G16" s="711">
        <f>Bilans_E_AMS_Kyoto_run3_MTE!K425</f>
        <v>-8</v>
      </c>
      <c r="H16" s="711">
        <f>Bilans_E_AMS_Kyoto_run3_MTE!L425</f>
        <v>0</v>
      </c>
      <c r="I16" s="711">
        <f>Bilans_E_AMS_Kyoto_run3_MTE!M425</f>
        <v>0</v>
      </c>
      <c r="J16" s="711">
        <f>Bilans_E_AMS_Kyoto_run3_MTE!N425</f>
        <v>0</v>
      </c>
      <c r="K16" s="711">
        <f>Bilans_E_AMS_Kyoto_run3_MTE!O425</f>
        <v>0</v>
      </c>
      <c r="L16" s="711">
        <f>Bilans_E_AMS_Kyoto_run3_MTE!P425</f>
        <v>0</v>
      </c>
      <c r="M16" s="711">
        <f>Bilans_E_AMS_Kyoto_run3_MTE!Q425</f>
        <v>0</v>
      </c>
      <c r="N16" s="711">
        <f>Bilans_E_AMS_Kyoto_run3_MTE!R425</f>
        <v>-15</v>
      </c>
      <c r="O16" s="711">
        <f>Bilans_E_AMS_Kyoto_run3_MTE!S425</f>
        <v>0</v>
      </c>
      <c r="P16" s="711">
        <f>Bilans_E_AMS_Kyoto_run3_MTE!T425+Bilans_E_AMS_Kyoto_run3_MTE!U425</f>
        <v>0</v>
      </c>
      <c r="Q16" s="711">
        <f>Bilans_E_AMS_Kyoto_run3_MTE!V425</f>
        <v>0</v>
      </c>
      <c r="R16" s="711">
        <f>Bilans_E_AMS_Kyoto_run3_MTE!W425</f>
        <v>0</v>
      </c>
      <c r="S16" s="711">
        <f>Bilans_E_AMS_Kyoto_run3_MTE!X425</f>
        <v>0</v>
      </c>
      <c r="T16" s="711">
        <f>Bilans_E_AMS_Kyoto_run3_MTE!Y425</f>
        <v>-3.0000000000000004</v>
      </c>
      <c r="U16" s="711">
        <f>Bilans_E_AMS_Kyoto_run3_MTE!Z425</f>
        <v>-66</v>
      </c>
      <c r="V16" s="701"/>
      <c r="W16" s="701"/>
    </row>
    <row r="17" spans="1:23" x14ac:dyDescent="0.25">
      <c r="A17" s="701" t="s">
        <v>492</v>
      </c>
      <c r="B17" s="701"/>
      <c r="C17" s="710" t="s">
        <v>64</v>
      </c>
      <c r="D17" s="712">
        <f>Bilans_E_AMS_Kyoto_run3_MTE!H426</f>
        <v>0</v>
      </c>
      <c r="E17" s="712">
        <f>Bilans_E_AMS_Kyoto_run3_MTE!I426</f>
        <v>0</v>
      </c>
      <c r="F17" s="712">
        <f>Bilans_E_AMS_Kyoto_run3_MTE!J426</f>
        <v>0</v>
      </c>
      <c r="G17" s="712">
        <f>Bilans_E_AMS_Kyoto_run3_MTE!K426</f>
        <v>0</v>
      </c>
      <c r="H17" s="712">
        <f>Bilans_E_AMS_Kyoto_run3_MTE!L426</f>
        <v>0</v>
      </c>
      <c r="I17" s="712">
        <f>Bilans_E_AMS_Kyoto_run3_MTE!M426</f>
        <v>0</v>
      </c>
      <c r="J17" s="712">
        <f>Bilans_E_AMS_Kyoto_run3_MTE!N426</f>
        <v>0</v>
      </c>
      <c r="K17" s="712">
        <f>Bilans_E_AMS_Kyoto_run3_MTE!O426</f>
        <v>0</v>
      </c>
      <c r="L17" s="712">
        <f>Bilans_E_AMS_Kyoto_run3_MTE!P426</f>
        <v>0</v>
      </c>
      <c r="M17" s="712">
        <f>Bilans_E_AMS_Kyoto_run3_MTE!Q426</f>
        <v>0</v>
      </c>
      <c r="N17" s="712">
        <f>Bilans_E_AMS_Kyoto_run3_MTE!R426</f>
        <v>0</v>
      </c>
      <c r="O17" s="712">
        <f>Bilans_E_AMS_Kyoto_run3_MTE!S426</f>
        <v>0</v>
      </c>
      <c r="P17" s="712">
        <f>Bilans_E_AMS_Kyoto_run3_MTE!T426+Bilans_E_AMS_Kyoto_run3_MTE!U426</f>
        <v>0</v>
      </c>
      <c r="Q17" s="712">
        <f>Bilans_E_AMS_Kyoto_run3_MTE!V426</f>
        <v>0</v>
      </c>
      <c r="R17" s="712">
        <f>Bilans_E_AMS_Kyoto_run3_MTE!W426</f>
        <v>0</v>
      </c>
      <c r="S17" s="712">
        <f>Bilans_E_AMS_Kyoto_run3_MTE!X426</f>
        <v>0</v>
      </c>
      <c r="T17" s="712">
        <f>Bilans_E_AMS_Kyoto_run3_MTE!Y426</f>
        <v>0</v>
      </c>
      <c r="U17" s="712">
        <f>Bilans_E_AMS_Kyoto_run3_MTE!Z426</f>
        <v>0</v>
      </c>
      <c r="V17" s="701"/>
      <c r="W17" s="701"/>
    </row>
    <row r="18" spans="1:23" x14ac:dyDescent="0.25">
      <c r="A18" s="701" t="s">
        <v>493</v>
      </c>
      <c r="B18" s="701"/>
      <c r="C18" s="713" t="s">
        <v>65</v>
      </c>
      <c r="D18" s="714">
        <f>Bilans_E_AMS_Kyoto_run3_MTE!H427</f>
        <v>12.152793945312501</v>
      </c>
      <c r="E18" s="714">
        <f>Bilans_E_AMS_Kyoto_run3_MTE!I427</f>
        <v>228.52698065701114</v>
      </c>
      <c r="F18" s="714">
        <f>Bilans_E_AMS_Kyoto_run3_MTE!J427</f>
        <v>6.8227719905437425</v>
      </c>
      <c r="G18" s="714">
        <f>Bilans_E_AMS_Kyoto_run3_MTE!K427</f>
        <v>-1.9064242790911123</v>
      </c>
      <c r="H18" s="714">
        <f>Bilans_E_AMS_Kyoto_run3_MTE!L427</f>
        <v>109.90340859679944</v>
      </c>
      <c r="I18" s="714">
        <f>Bilans_E_AMS_Kyoto_run3_MTE!M427</f>
        <v>-0.99259685127624475</v>
      </c>
      <c r="J18" s="714">
        <f>Bilans_E_AMS_Kyoto_run3_MTE!N427</f>
        <v>1217.3350254612858</v>
      </c>
      <c r="K18" s="714">
        <f>Bilans_E_AMS_Kyoto_run3_MTE!O427</f>
        <v>388.29502398919544</v>
      </c>
      <c r="L18" s="714">
        <f>Bilans_E_AMS_Kyoto_run3_MTE!P427</f>
        <v>353.58508374919074</v>
      </c>
      <c r="M18" s="714">
        <f>Bilans_E_AMS_Kyoto_run3_MTE!Q427</f>
        <v>47.572914538902204</v>
      </c>
      <c r="N18" s="714">
        <f>Bilans_E_AMS_Kyoto_run3_MTE!R427</f>
        <v>-2.3591762395477005</v>
      </c>
      <c r="O18" s="714">
        <f>Bilans_E_AMS_Kyoto_run3_MTE!S427</f>
        <v>-1.442192488781304</v>
      </c>
      <c r="P18" s="714">
        <f>Bilans_E_AMS_Kyoto_run3_MTE!T427+Bilans_E_AMS_Kyoto_run3_MTE!U427</f>
        <v>217.97798120035498</v>
      </c>
      <c r="Q18" s="714">
        <f>Bilans_E_AMS_Kyoto_run3_MTE!V427</f>
        <v>44.670610017190697</v>
      </c>
      <c r="R18" s="714">
        <f>Bilans_E_AMS_Kyoto_run3_MTE!W427</f>
        <v>-125.47851234932489</v>
      </c>
      <c r="S18" s="714">
        <f>Bilans_E_AMS_Kyoto_run3_MTE!X427</f>
        <v>0</v>
      </c>
      <c r="T18" s="714">
        <f>Bilans_E_AMS_Kyoto_run3_MTE!Y427</f>
        <v>-3.6641331147023255</v>
      </c>
      <c r="U18" s="714">
        <f>Bilans_E_AMS_Kyoto_run3_MTE!Z427</f>
        <v>2490.9995588230627</v>
      </c>
      <c r="V18" s="701"/>
      <c r="W18" s="701"/>
    </row>
    <row r="19" spans="1:23" x14ac:dyDescent="0.25">
      <c r="A19" s="701"/>
      <c r="B19" s="701"/>
      <c r="C19" s="715"/>
      <c r="D19" s="716"/>
      <c r="E19" s="716"/>
      <c r="F19" s="716"/>
      <c r="G19" s="716"/>
      <c r="H19" s="716"/>
      <c r="I19" s="716"/>
      <c r="J19" s="716"/>
      <c r="K19" s="716"/>
      <c r="L19" s="716"/>
      <c r="M19" s="716"/>
      <c r="N19" s="716"/>
      <c r="O19" s="716"/>
      <c r="P19" s="716">
        <f>Bilans_E_AMS_Kyoto_run3_MTE!T428+Bilans_E_AMS_Kyoto_run3_MTE!U428</f>
        <v>0</v>
      </c>
      <c r="Q19" s="716"/>
      <c r="R19" s="716"/>
      <c r="S19" s="716"/>
      <c r="T19" s="716"/>
      <c r="U19" s="716"/>
      <c r="V19" s="701"/>
      <c r="W19" s="701"/>
    </row>
    <row r="20" spans="1:23" x14ac:dyDescent="0.25">
      <c r="A20" s="701" t="s">
        <v>494</v>
      </c>
      <c r="B20" s="701"/>
      <c r="C20" s="717" t="s">
        <v>67</v>
      </c>
      <c r="D20" s="711">
        <f>Bilans_E_AMS_Kyoto_run3_MTE!H429</f>
        <v>0</v>
      </c>
      <c r="E20" s="711">
        <f>Bilans_E_AMS_Kyoto_run3_MTE!I429</f>
        <v>0</v>
      </c>
      <c r="F20" s="711">
        <f>Bilans_E_AMS_Kyoto_run3_MTE!J429</f>
        <v>0</v>
      </c>
      <c r="G20" s="711">
        <f>Bilans_E_AMS_Kyoto_run3_MTE!K429</f>
        <v>0</v>
      </c>
      <c r="H20" s="711">
        <f>Bilans_E_AMS_Kyoto_run3_MTE!L429</f>
        <v>0</v>
      </c>
      <c r="I20" s="711">
        <f>Bilans_E_AMS_Kyoto_run3_MTE!M429</f>
        <v>0</v>
      </c>
      <c r="J20" s="711">
        <f>Bilans_E_AMS_Kyoto_run3_MTE!N429</f>
        <v>0</v>
      </c>
      <c r="K20" s="711">
        <f>Bilans_E_AMS_Kyoto_run3_MTE!O429</f>
        <v>0</v>
      </c>
      <c r="L20" s="711">
        <f>Bilans_E_AMS_Kyoto_run3_MTE!P429</f>
        <v>0</v>
      </c>
      <c r="M20" s="711">
        <f>Bilans_E_AMS_Kyoto_run3_MTE!Q429</f>
        <v>0</v>
      </c>
      <c r="N20" s="711">
        <f>Bilans_E_AMS_Kyoto_run3_MTE!R429</f>
        <v>0</v>
      </c>
      <c r="O20" s="711">
        <f>Bilans_E_AMS_Kyoto_run3_MTE!S429</f>
        <v>0</v>
      </c>
      <c r="P20" s="711">
        <f>Bilans_E_AMS_Kyoto_run3_MTE!T429+Bilans_E_AMS_Kyoto_run3_MTE!U429</f>
        <v>0</v>
      </c>
      <c r="Q20" s="711">
        <f>Bilans_E_AMS_Kyoto_run3_MTE!V429</f>
        <v>0</v>
      </c>
      <c r="R20" s="711">
        <f>Bilans_E_AMS_Kyoto_run3_MTE!W429</f>
        <v>0</v>
      </c>
      <c r="S20" s="711">
        <f>Bilans_E_AMS_Kyoto_run3_MTE!X429</f>
        <v>0</v>
      </c>
      <c r="T20" s="711">
        <f>Bilans_E_AMS_Kyoto_run3_MTE!Y429</f>
        <v>0</v>
      </c>
      <c r="U20" s="711">
        <f>Bilans_E_AMS_Kyoto_run3_MTE!Z429</f>
        <v>0</v>
      </c>
      <c r="V20" s="701"/>
      <c r="W20" s="701"/>
    </row>
    <row r="21" spans="1:23" x14ac:dyDescent="0.25">
      <c r="A21" s="701" t="s">
        <v>495</v>
      </c>
      <c r="B21" s="701"/>
      <c r="C21" s="717" t="s">
        <v>347</v>
      </c>
      <c r="D21" s="711">
        <f>Bilans_E_AMS_Kyoto_run3_MTE!H430</f>
        <v>0</v>
      </c>
      <c r="E21" s="711">
        <f>Bilans_E_AMS_Kyoto_run3_MTE!I430</f>
        <v>0</v>
      </c>
      <c r="F21" s="711">
        <f>Bilans_E_AMS_Kyoto_run3_MTE!J430</f>
        <v>6.6151953400033478E-2</v>
      </c>
      <c r="G21" s="711">
        <f>Bilans_E_AMS_Kyoto_run3_MTE!K430</f>
        <v>0</v>
      </c>
      <c r="H21" s="711">
        <f>Bilans_E_AMS_Kyoto_run3_MTE!L430</f>
        <v>2.4867213913043404E-3</v>
      </c>
      <c r="I21" s="711">
        <f>Bilans_E_AMS_Kyoto_run3_MTE!M430</f>
        <v>0</v>
      </c>
      <c r="J21" s="711">
        <f>Bilans_E_AMS_Kyoto_run3_MTE!N430</f>
        <v>1213.9369090909088</v>
      </c>
      <c r="K21" s="711">
        <f>Bilans_E_AMS_Kyoto_run3_MTE!O430</f>
        <v>388.29502398919544</v>
      </c>
      <c r="L21" s="711">
        <f>Bilans_E_AMS_Kyoto_run3_MTE!P430</f>
        <v>17.586826213678588</v>
      </c>
      <c r="M21" s="711">
        <f>Bilans_E_AMS_Kyoto_run3_MTE!Q430</f>
        <v>5.6133813254305416</v>
      </c>
      <c r="N21" s="711">
        <f>Bilans_E_AMS_Kyoto_run3_MTE!R430</f>
        <v>5.6269378379330357</v>
      </c>
      <c r="O21" s="711">
        <f>Bilans_E_AMS_Kyoto_run3_MTE!S430</f>
        <v>0.11555796351278441</v>
      </c>
      <c r="P21" s="711">
        <f>Bilans_E_AMS_Kyoto_run3_MTE!T430+Bilans_E_AMS_Kyoto_run3_MTE!U430</f>
        <v>0</v>
      </c>
      <c r="Q21" s="711">
        <f>Bilans_E_AMS_Kyoto_run3_MTE!V430</f>
        <v>6.4327567473291545</v>
      </c>
      <c r="R21" s="711">
        <f>Bilans_E_AMS_Kyoto_run3_MTE!W430</f>
        <v>-805.46190663810182</v>
      </c>
      <c r="S21" s="711">
        <f>Bilans_E_AMS_Kyoto_run3_MTE!X430</f>
        <v>0</v>
      </c>
      <c r="T21" s="711">
        <f>Bilans_E_AMS_Kyoto_run3_MTE!Y430</f>
        <v>0</v>
      </c>
      <c r="U21" s="711">
        <f>Bilans_E_AMS_Kyoto_run3_MTE!Z430</f>
        <v>832.21412520467777</v>
      </c>
      <c r="V21" s="701"/>
      <c r="W21" s="701"/>
    </row>
    <row r="22" spans="1:23" x14ac:dyDescent="0.25">
      <c r="A22" s="701" t="s">
        <v>496</v>
      </c>
      <c r="B22" s="701"/>
      <c r="C22" s="717" t="s">
        <v>348</v>
      </c>
      <c r="D22" s="711">
        <f>Bilans_E_AMS_Kyoto_run3_MTE!H431</f>
        <v>0</v>
      </c>
      <c r="E22" s="711">
        <f>Bilans_E_AMS_Kyoto_run3_MTE!I431</f>
        <v>0</v>
      </c>
      <c r="F22" s="711">
        <f>Bilans_E_AMS_Kyoto_run3_MTE!J431</f>
        <v>0</v>
      </c>
      <c r="G22" s="711">
        <f>Bilans_E_AMS_Kyoto_run3_MTE!K431</f>
        <v>0</v>
      </c>
      <c r="H22" s="711">
        <f>Bilans_E_AMS_Kyoto_run3_MTE!L431</f>
        <v>13.794883526882547</v>
      </c>
      <c r="I22" s="711">
        <f>Bilans_E_AMS_Kyoto_run3_MTE!M431</f>
        <v>0</v>
      </c>
      <c r="J22" s="711">
        <f>Bilans_E_AMS_Kyoto_run3_MTE!N431</f>
        <v>3.3981163703769028</v>
      </c>
      <c r="K22" s="711">
        <f>Bilans_E_AMS_Kyoto_run3_MTE!O431</f>
        <v>0</v>
      </c>
      <c r="L22" s="711">
        <f>Bilans_E_AMS_Kyoto_run3_MTE!P431</f>
        <v>24.198351271875673</v>
      </c>
      <c r="M22" s="711">
        <f>Bilans_E_AMS_Kyoto_run3_MTE!Q431</f>
        <v>14.187375488735356</v>
      </c>
      <c r="N22" s="711">
        <f>Bilans_E_AMS_Kyoto_run3_MTE!R431</f>
        <v>0</v>
      </c>
      <c r="O22" s="711">
        <f>Bilans_E_AMS_Kyoto_run3_MTE!S431</f>
        <v>9.211082811707719</v>
      </c>
      <c r="P22" s="711">
        <f>Bilans_E_AMS_Kyoto_run3_MTE!T431+Bilans_E_AMS_Kyoto_run3_MTE!U431</f>
        <v>17.004200785241363</v>
      </c>
      <c r="Q22" s="711">
        <f>Bilans_E_AMS_Kyoto_run3_MTE!V431</f>
        <v>15.724500904765749</v>
      </c>
      <c r="R22" s="711">
        <f>Bilans_E_AMS_Kyoto_run3_MTE!W431</f>
        <v>0</v>
      </c>
      <c r="S22" s="711">
        <f>Bilans_E_AMS_Kyoto_run3_MTE!X431</f>
        <v>-90.436442741744855</v>
      </c>
      <c r="T22" s="711">
        <f>Bilans_E_AMS_Kyoto_run3_MTE!Y431</f>
        <v>0</v>
      </c>
      <c r="U22" s="711">
        <f>Bilans_E_AMS_Kyoto_run3_MTE!Z431</f>
        <v>7.0820684178404321</v>
      </c>
      <c r="V22" s="701"/>
      <c r="W22" s="701"/>
    </row>
    <row r="23" spans="1:23" x14ac:dyDescent="0.25">
      <c r="A23" s="701" t="s">
        <v>497</v>
      </c>
      <c r="B23" s="701"/>
      <c r="C23" s="717" t="s">
        <v>349</v>
      </c>
      <c r="D23" s="711">
        <f>Bilans_E_AMS_Kyoto_run3_MTE!H432</f>
        <v>0</v>
      </c>
      <c r="E23" s="711">
        <f>Bilans_E_AMS_Kyoto_run3_MTE!I432</f>
        <v>0</v>
      </c>
      <c r="F23" s="711">
        <f>Bilans_E_AMS_Kyoto_run3_MTE!J432</f>
        <v>0</v>
      </c>
      <c r="G23" s="711">
        <f>Bilans_E_AMS_Kyoto_run3_MTE!K432</f>
        <v>0</v>
      </c>
      <c r="H23" s="711">
        <f>Bilans_E_AMS_Kyoto_run3_MTE!L432</f>
        <v>0</v>
      </c>
      <c r="I23" s="711">
        <f>Bilans_E_AMS_Kyoto_run3_MTE!M432</f>
        <v>0</v>
      </c>
      <c r="J23" s="711">
        <f>Bilans_E_AMS_Kyoto_run3_MTE!N432</f>
        <v>0</v>
      </c>
      <c r="K23" s="711">
        <f>Bilans_E_AMS_Kyoto_run3_MTE!O432</f>
        <v>0</v>
      </c>
      <c r="L23" s="711">
        <f>Bilans_E_AMS_Kyoto_run3_MTE!P432</f>
        <v>121.15349099008552</v>
      </c>
      <c r="M23" s="711">
        <f>Bilans_E_AMS_Kyoto_run3_MTE!Q432</f>
        <v>11.695220862948467</v>
      </c>
      <c r="N23" s="711">
        <f>Bilans_E_AMS_Kyoto_run3_MTE!R432</f>
        <v>0</v>
      </c>
      <c r="O23" s="711">
        <f>Bilans_E_AMS_Kyoto_run3_MTE!S432</f>
        <v>-66.507884301827488</v>
      </c>
      <c r="P23" s="711">
        <f>Bilans_E_AMS_Kyoto_run3_MTE!T432+Bilans_E_AMS_Kyoto_run3_MTE!U432</f>
        <v>0</v>
      </c>
      <c r="Q23" s="711">
        <f>Bilans_E_AMS_Kyoto_run3_MTE!V432</f>
        <v>0</v>
      </c>
      <c r="R23" s="711">
        <f>Bilans_E_AMS_Kyoto_run3_MTE!W432</f>
        <v>0</v>
      </c>
      <c r="S23" s="711">
        <f>Bilans_E_AMS_Kyoto_run3_MTE!X432</f>
        <v>0</v>
      </c>
      <c r="T23" s="711">
        <f>Bilans_E_AMS_Kyoto_run3_MTE!Y432</f>
        <v>0</v>
      </c>
      <c r="U23" s="711">
        <f>Bilans_E_AMS_Kyoto_run3_MTE!Z432</f>
        <v>66.340827551206502</v>
      </c>
      <c r="V23" s="701"/>
      <c r="W23" s="701"/>
    </row>
    <row r="24" spans="1:23" x14ac:dyDescent="0.25">
      <c r="A24" s="701" t="s">
        <v>498</v>
      </c>
      <c r="B24" s="701"/>
      <c r="C24" s="717" t="s">
        <v>350</v>
      </c>
      <c r="D24" s="711">
        <f>Bilans_E_AMS_Kyoto_run3_MTE!H433</f>
        <v>0</v>
      </c>
      <c r="E24" s="711">
        <f>Bilans_E_AMS_Kyoto_run3_MTE!I433</f>
        <v>0</v>
      </c>
      <c r="F24" s="711">
        <f>Bilans_E_AMS_Kyoto_run3_MTE!J433</f>
        <v>0</v>
      </c>
      <c r="G24" s="711">
        <f>Bilans_E_AMS_Kyoto_run3_MTE!K433</f>
        <v>0</v>
      </c>
      <c r="H24" s="711">
        <f>Bilans_E_AMS_Kyoto_run3_MTE!L433</f>
        <v>0</v>
      </c>
      <c r="I24" s="711">
        <f>Bilans_E_AMS_Kyoto_run3_MTE!M433</f>
        <v>-0.99259685127624475</v>
      </c>
      <c r="J24" s="711">
        <f>Bilans_E_AMS_Kyoto_run3_MTE!N433</f>
        <v>0</v>
      </c>
      <c r="K24" s="711">
        <f>Bilans_E_AMS_Kyoto_run3_MTE!O433</f>
        <v>0</v>
      </c>
      <c r="L24" s="711">
        <f>Bilans_E_AMS_Kyoto_run3_MTE!P433</f>
        <v>0</v>
      </c>
      <c r="M24" s="711">
        <f>Bilans_E_AMS_Kyoto_run3_MTE!Q433</f>
        <v>0</v>
      </c>
      <c r="N24" s="711">
        <f>Bilans_E_AMS_Kyoto_run3_MTE!R433</f>
        <v>0</v>
      </c>
      <c r="O24" s="711">
        <f>Bilans_E_AMS_Kyoto_run3_MTE!S433</f>
        <v>0</v>
      </c>
      <c r="P24" s="711">
        <f>Bilans_E_AMS_Kyoto_run3_MTE!T433+Bilans_E_AMS_Kyoto_run3_MTE!U433</f>
        <v>0</v>
      </c>
      <c r="Q24" s="711">
        <f>Bilans_E_AMS_Kyoto_run3_MTE!V433</f>
        <v>0</v>
      </c>
      <c r="R24" s="711">
        <f>Bilans_E_AMS_Kyoto_run3_MTE!W433</f>
        <v>0</v>
      </c>
      <c r="S24" s="711">
        <f>Bilans_E_AMS_Kyoto_run3_MTE!X433</f>
        <v>0</v>
      </c>
      <c r="T24" s="711">
        <f>Bilans_E_AMS_Kyoto_run3_MTE!Y433</f>
        <v>1.3786067378836733</v>
      </c>
      <c r="U24" s="711">
        <f>Bilans_E_AMS_Kyoto_run3_MTE!Z433</f>
        <v>0.38600988660742852</v>
      </c>
      <c r="V24" s="701"/>
      <c r="W24" s="701"/>
    </row>
    <row r="25" spans="1:23" x14ac:dyDescent="0.25">
      <c r="A25" s="701" t="s">
        <v>499</v>
      </c>
      <c r="B25" s="701"/>
      <c r="C25" s="717" t="s">
        <v>72</v>
      </c>
      <c r="D25" s="711">
        <f>Bilans_E_AMS_Kyoto_run3_MTE!H434</f>
        <v>0</v>
      </c>
      <c r="E25" s="711">
        <f>Bilans_E_AMS_Kyoto_run3_MTE!I434</f>
        <v>236.81493545445448</v>
      </c>
      <c r="F25" s="711">
        <f>Bilans_E_AMS_Kyoto_run3_MTE!J434</f>
        <v>-234.44678609990993</v>
      </c>
      <c r="G25" s="711">
        <f>Bilans_E_AMS_Kyoto_run3_MTE!K434</f>
        <v>0</v>
      </c>
      <c r="H25" s="711">
        <f>Bilans_E_AMS_Kyoto_run3_MTE!L434</f>
        <v>0</v>
      </c>
      <c r="I25" s="711">
        <f>Bilans_E_AMS_Kyoto_run3_MTE!M434</f>
        <v>0</v>
      </c>
      <c r="J25" s="711">
        <f>Bilans_E_AMS_Kyoto_run3_MTE!N434</f>
        <v>0</v>
      </c>
      <c r="K25" s="711">
        <f>Bilans_E_AMS_Kyoto_run3_MTE!O434</f>
        <v>0</v>
      </c>
      <c r="L25" s="711">
        <f>Bilans_E_AMS_Kyoto_run3_MTE!P434</f>
        <v>0</v>
      </c>
      <c r="M25" s="711">
        <f>Bilans_E_AMS_Kyoto_run3_MTE!Q434</f>
        <v>0</v>
      </c>
      <c r="N25" s="711">
        <f>Bilans_E_AMS_Kyoto_run3_MTE!R434</f>
        <v>0</v>
      </c>
      <c r="O25" s="711">
        <f>Bilans_E_AMS_Kyoto_run3_MTE!S434</f>
        <v>0</v>
      </c>
      <c r="P25" s="711">
        <f>Bilans_E_AMS_Kyoto_run3_MTE!T434+Bilans_E_AMS_Kyoto_run3_MTE!U434</f>
        <v>0</v>
      </c>
      <c r="Q25" s="711">
        <f>Bilans_E_AMS_Kyoto_run3_MTE!V434</f>
        <v>0</v>
      </c>
      <c r="R25" s="711">
        <f>Bilans_E_AMS_Kyoto_run3_MTE!W434</f>
        <v>0</v>
      </c>
      <c r="S25" s="711">
        <f>Bilans_E_AMS_Kyoto_run3_MTE!X434</f>
        <v>0</v>
      </c>
      <c r="T25" s="711">
        <f>Bilans_E_AMS_Kyoto_run3_MTE!Y434</f>
        <v>0</v>
      </c>
      <c r="U25" s="711">
        <f>Bilans_E_AMS_Kyoto_run3_MTE!Z434</f>
        <v>2.3681493545445562</v>
      </c>
      <c r="V25" s="701"/>
      <c r="W25" s="701"/>
    </row>
    <row r="26" spans="1:23" x14ac:dyDescent="0.25">
      <c r="A26" s="701" t="s">
        <v>500</v>
      </c>
      <c r="B26" s="701"/>
      <c r="C26" s="717" t="s">
        <v>351</v>
      </c>
      <c r="D26" s="711">
        <f>Bilans_E_AMS_Kyoto_run3_MTE!H435</f>
        <v>0</v>
      </c>
      <c r="E26" s="711">
        <f>Bilans_E_AMS_Kyoto_run3_MTE!I435</f>
        <v>0</v>
      </c>
      <c r="F26" s="711">
        <f>Bilans_E_AMS_Kyoto_run3_MTE!J435</f>
        <v>0</v>
      </c>
      <c r="G26" s="711">
        <f>Bilans_E_AMS_Kyoto_run3_MTE!K435</f>
        <v>0</v>
      </c>
      <c r="H26" s="711">
        <f>Bilans_E_AMS_Kyoto_run3_MTE!L435</f>
        <v>0</v>
      </c>
      <c r="I26" s="711">
        <f>Bilans_E_AMS_Kyoto_run3_MTE!M435</f>
        <v>0</v>
      </c>
      <c r="J26" s="711">
        <f>Bilans_E_AMS_Kyoto_run3_MTE!N435</f>
        <v>0</v>
      </c>
      <c r="K26" s="711">
        <f>Bilans_E_AMS_Kyoto_run3_MTE!O435</f>
        <v>0</v>
      </c>
      <c r="L26" s="711">
        <f>Bilans_E_AMS_Kyoto_run3_MTE!P435</f>
        <v>92.214586114726359</v>
      </c>
      <c r="M26" s="711">
        <f>Bilans_E_AMS_Kyoto_run3_MTE!Q435</f>
        <v>7.2727272727272725</v>
      </c>
      <c r="N26" s="711">
        <f>Bilans_E_AMS_Kyoto_run3_MTE!R435</f>
        <v>-55.427636476917691</v>
      </c>
      <c r="O26" s="711">
        <f>Bilans_E_AMS_Kyoto_run3_MTE!S435</f>
        <v>0</v>
      </c>
      <c r="P26" s="711">
        <f>Bilans_E_AMS_Kyoto_run3_MTE!T435+Bilans_E_AMS_Kyoto_run3_MTE!U435</f>
        <v>0</v>
      </c>
      <c r="Q26" s="711">
        <f>Bilans_E_AMS_Kyoto_run3_MTE!V435</f>
        <v>0</v>
      </c>
      <c r="R26" s="711">
        <f>Bilans_E_AMS_Kyoto_run3_MTE!W435</f>
        <v>0</v>
      </c>
      <c r="S26" s="711">
        <f>Bilans_E_AMS_Kyoto_run3_MTE!X435</f>
        <v>0</v>
      </c>
      <c r="T26" s="711">
        <f>Bilans_E_AMS_Kyoto_run3_MTE!Y435</f>
        <v>0</v>
      </c>
      <c r="U26" s="711">
        <f>Bilans_E_AMS_Kyoto_run3_MTE!Z435</f>
        <v>44.059676910535934</v>
      </c>
      <c r="V26" s="701"/>
      <c r="W26" s="701"/>
    </row>
    <row r="27" spans="1:23" x14ac:dyDescent="0.25">
      <c r="A27" s="701" t="s">
        <v>501</v>
      </c>
      <c r="B27" s="701"/>
      <c r="C27" s="717" t="s">
        <v>352</v>
      </c>
      <c r="D27" s="711">
        <f>Bilans_E_AMS_Kyoto_run3_MTE!H436</f>
        <v>0</v>
      </c>
      <c r="E27" s="711">
        <f>Bilans_E_AMS_Kyoto_run3_MTE!I436</f>
        <v>0</v>
      </c>
      <c r="F27" s="711">
        <f>Bilans_E_AMS_Kyoto_run3_MTE!J436</f>
        <v>0</v>
      </c>
      <c r="G27" s="711">
        <f>Bilans_E_AMS_Kyoto_run3_MTE!K436</f>
        <v>-5.3675968512762449</v>
      </c>
      <c r="H27" s="711">
        <f>Bilans_E_AMS_Kyoto_run3_MTE!L436</f>
        <v>0</v>
      </c>
      <c r="I27" s="711">
        <f>Bilans_E_AMS_Kyoto_run3_MTE!M436</f>
        <v>0</v>
      </c>
      <c r="J27" s="711">
        <f>Bilans_E_AMS_Kyoto_run3_MTE!N436</f>
        <v>0</v>
      </c>
      <c r="K27" s="711">
        <f>Bilans_E_AMS_Kyoto_run3_MTE!O436</f>
        <v>0</v>
      </c>
      <c r="L27" s="711">
        <f>Bilans_E_AMS_Kyoto_run3_MTE!P436</f>
        <v>0</v>
      </c>
      <c r="M27" s="711">
        <f>Bilans_E_AMS_Kyoto_run3_MTE!Q436</f>
        <v>0</v>
      </c>
      <c r="N27" s="711">
        <f>Bilans_E_AMS_Kyoto_run3_MTE!R436</f>
        <v>0</v>
      </c>
      <c r="O27" s="711">
        <f>Bilans_E_AMS_Kyoto_run3_MTE!S436</f>
        <v>0</v>
      </c>
      <c r="P27" s="711">
        <f>Bilans_E_AMS_Kyoto_run3_MTE!T436+Bilans_E_AMS_Kyoto_run3_MTE!U436</f>
        <v>0</v>
      </c>
      <c r="Q27" s="711">
        <f>Bilans_E_AMS_Kyoto_run3_MTE!V436</f>
        <v>0</v>
      </c>
      <c r="R27" s="711">
        <f>Bilans_E_AMS_Kyoto_run3_MTE!W436</f>
        <v>0</v>
      </c>
      <c r="S27" s="711">
        <f>Bilans_E_AMS_Kyoto_run3_MTE!X436</f>
        <v>0</v>
      </c>
      <c r="T27" s="711">
        <f>Bilans_E_AMS_Kyoto_run3_MTE!Y436</f>
        <v>8.7918565364038699</v>
      </c>
      <c r="U27" s="711">
        <f>Bilans_E_AMS_Kyoto_run3_MTE!Z436</f>
        <v>3.424259685127625</v>
      </c>
      <c r="V27" s="701"/>
      <c r="W27" s="701"/>
    </row>
    <row r="28" spans="1:23" x14ac:dyDescent="0.25">
      <c r="A28" s="701" t="s">
        <v>502</v>
      </c>
      <c r="B28" s="701"/>
      <c r="C28" s="717" t="s">
        <v>73</v>
      </c>
      <c r="D28" s="711">
        <f>Bilans_E_AMS_Kyoto_run3_MTE!H437</f>
        <v>0</v>
      </c>
      <c r="E28" s="711">
        <f>Bilans_E_AMS_Kyoto_run3_MTE!I437</f>
        <v>0</v>
      </c>
      <c r="F28" s="711">
        <f>Bilans_E_AMS_Kyoto_run3_MTE!J437</f>
        <v>0</v>
      </c>
      <c r="G28" s="711">
        <f>Bilans_E_AMS_Kyoto_run3_MTE!K437</f>
        <v>0</v>
      </c>
      <c r="H28" s="711">
        <f>Bilans_E_AMS_Kyoto_run3_MTE!L437</f>
        <v>0</v>
      </c>
      <c r="I28" s="711">
        <f>Bilans_E_AMS_Kyoto_run3_MTE!M437</f>
        <v>0</v>
      </c>
      <c r="J28" s="711">
        <f>Bilans_E_AMS_Kyoto_run3_MTE!N437</f>
        <v>0</v>
      </c>
      <c r="K28" s="711">
        <f>Bilans_E_AMS_Kyoto_run3_MTE!O437</f>
        <v>0</v>
      </c>
      <c r="L28" s="711">
        <f>Bilans_E_AMS_Kyoto_run3_MTE!P437</f>
        <v>0</v>
      </c>
      <c r="M28" s="711">
        <f>Bilans_E_AMS_Kyoto_run3_MTE!Q437</f>
        <v>0</v>
      </c>
      <c r="N28" s="711">
        <f>Bilans_E_AMS_Kyoto_run3_MTE!R437</f>
        <v>0</v>
      </c>
      <c r="O28" s="711">
        <f>Bilans_E_AMS_Kyoto_run3_MTE!S437</f>
        <v>0</v>
      </c>
      <c r="P28" s="711">
        <f>Bilans_E_AMS_Kyoto_run3_MTE!T437+Bilans_E_AMS_Kyoto_run3_MTE!U437</f>
        <v>0</v>
      </c>
      <c r="Q28" s="711">
        <f>Bilans_E_AMS_Kyoto_run3_MTE!V437</f>
        <v>0</v>
      </c>
      <c r="R28" s="711">
        <f>Bilans_E_AMS_Kyoto_run3_MTE!W437</f>
        <v>46.345987464156821</v>
      </c>
      <c r="S28" s="711">
        <f>Bilans_E_AMS_Kyoto_run3_MTE!X437</f>
        <v>0</v>
      </c>
      <c r="T28" s="711">
        <f>Bilans_E_AMS_Kyoto_run3_MTE!Y437</f>
        <v>-31.747001412947427</v>
      </c>
      <c r="U28" s="711">
        <f>Bilans_E_AMS_Kyoto_run3_MTE!Z437</f>
        <v>14.598986051209394</v>
      </c>
      <c r="V28" s="701"/>
      <c r="W28" s="701"/>
    </row>
    <row r="29" spans="1:23" x14ac:dyDescent="0.25">
      <c r="A29" s="701" t="s">
        <v>503</v>
      </c>
      <c r="B29" s="701"/>
      <c r="C29" s="717" t="s">
        <v>353</v>
      </c>
      <c r="D29" s="711">
        <f>Bilans_E_AMS_Kyoto_run3_MTE!H438</f>
        <v>8.5250206054687503</v>
      </c>
      <c r="E29" s="711">
        <f>Bilans_E_AMS_Kyoto_run3_MTE!I438</f>
        <v>-8.2879547974433478</v>
      </c>
      <c r="F29" s="711">
        <f>Bilans_E_AMS_Kyoto_run3_MTE!J438</f>
        <v>10.994009966120005</v>
      </c>
      <c r="G29" s="711">
        <f>Bilans_E_AMS_Kyoto_run3_MTE!K438</f>
        <v>0</v>
      </c>
      <c r="H29" s="711">
        <f>Bilans_E_AMS_Kyoto_run3_MTE!L438</f>
        <v>0</v>
      </c>
      <c r="I29" s="711">
        <f>Bilans_E_AMS_Kyoto_run3_MTE!M438</f>
        <v>0</v>
      </c>
      <c r="J29" s="711">
        <f>Bilans_E_AMS_Kyoto_run3_MTE!N438</f>
        <v>0</v>
      </c>
      <c r="K29" s="711">
        <f>Bilans_E_AMS_Kyoto_run3_MTE!O438</f>
        <v>0</v>
      </c>
      <c r="L29" s="711">
        <f>Bilans_E_AMS_Kyoto_run3_MTE!P438</f>
        <v>0</v>
      </c>
      <c r="M29" s="711">
        <f>Bilans_E_AMS_Kyoto_run3_MTE!Q438</f>
        <v>0</v>
      </c>
      <c r="N29" s="711">
        <f>Bilans_E_AMS_Kyoto_run3_MTE!R438</f>
        <v>0</v>
      </c>
      <c r="O29" s="711">
        <f>Bilans_E_AMS_Kyoto_run3_MTE!S438</f>
        <v>0</v>
      </c>
      <c r="P29" s="711">
        <f>Bilans_E_AMS_Kyoto_run3_MTE!T438+Bilans_E_AMS_Kyoto_run3_MTE!U438</f>
        <v>0</v>
      </c>
      <c r="Q29" s="711">
        <f>Bilans_E_AMS_Kyoto_run3_MTE!V438</f>
        <v>0</v>
      </c>
      <c r="R29" s="711">
        <f>Bilans_E_AMS_Kyoto_run3_MTE!W438</f>
        <v>0</v>
      </c>
      <c r="S29" s="711">
        <f>Bilans_E_AMS_Kyoto_run3_MTE!X438</f>
        <v>0</v>
      </c>
      <c r="T29" s="711">
        <f>Bilans_E_AMS_Kyoto_run3_MTE!Y438</f>
        <v>0</v>
      </c>
      <c r="U29" s="711">
        <f>Bilans_E_AMS_Kyoto_run3_MTE!Z438</f>
        <v>11.231075774145408</v>
      </c>
      <c r="V29" s="701"/>
      <c r="W29" s="701"/>
    </row>
    <row r="30" spans="1:23" x14ac:dyDescent="0.25">
      <c r="A30" s="701" t="s">
        <v>504</v>
      </c>
      <c r="B30" s="701"/>
      <c r="C30" s="717" t="s">
        <v>75</v>
      </c>
      <c r="D30" s="711">
        <f>Bilans_E_AMS_Kyoto_run3_MTE!H439</f>
        <v>3.3152857910156257</v>
      </c>
      <c r="E30" s="711">
        <f>Bilans_E_AMS_Kyoto_run3_MTE!I439</f>
        <v>0</v>
      </c>
      <c r="F30" s="711">
        <f>Bilans_E_AMS_Kyoto_run3_MTE!J439</f>
        <v>8.217345528971137</v>
      </c>
      <c r="G30" s="711">
        <f>Bilans_E_AMS_Kyoto_run3_MTE!K439</f>
        <v>0</v>
      </c>
      <c r="H30" s="711">
        <f>Bilans_E_AMS_Kyoto_run3_MTE!L439</f>
        <v>0</v>
      </c>
      <c r="I30" s="711">
        <f>Bilans_E_AMS_Kyoto_run3_MTE!M439</f>
        <v>0</v>
      </c>
      <c r="J30" s="711">
        <f>Bilans_E_AMS_Kyoto_run3_MTE!N439</f>
        <v>0</v>
      </c>
      <c r="K30" s="711">
        <f>Bilans_E_AMS_Kyoto_run3_MTE!O439</f>
        <v>0</v>
      </c>
      <c r="L30" s="711">
        <f>Bilans_E_AMS_Kyoto_run3_MTE!P439</f>
        <v>0</v>
      </c>
      <c r="M30" s="711">
        <f>Bilans_E_AMS_Kyoto_run3_MTE!Q439</f>
        <v>0</v>
      </c>
      <c r="N30" s="711">
        <f>Bilans_E_AMS_Kyoto_run3_MTE!R439</f>
        <v>0</v>
      </c>
      <c r="O30" s="711">
        <f>Bilans_E_AMS_Kyoto_run3_MTE!S439</f>
        <v>0</v>
      </c>
      <c r="P30" s="711">
        <f>Bilans_E_AMS_Kyoto_run3_MTE!T439+Bilans_E_AMS_Kyoto_run3_MTE!U439</f>
        <v>0</v>
      </c>
      <c r="Q30" s="711">
        <f>Bilans_E_AMS_Kyoto_run3_MTE!V439</f>
        <v>0</v>
      </c>
      <c r="R30" s="711">
        <f>Bilans_E_AMS_Kyoto_run3_MTE!W439</f>
        <v>38.800105175182054</v>
      </c>
      <c r="S30" s="711">
        <f>Bilans_E_AMS_Kyoto_run3_MTE!X439</f>
        <v>0</v>
      </c>
      <c r="T30" s="711">
        <f>Bilans_E_AMS_Kyoto_run3_MTE!Y439</f>
        <v>2.3301224997410235</v>
      </c>
      <c r="U30" s="711">
        <f>Bilans_E_AMS_Kyoto_run3_MTE!Z439</f>
        <v>52.66285899490984</v>
      </c>
      <c r="V30" s="701"/>
      <c r="W30" s="701"/>
    </row>
    <row r="31" spans="1:23" x14ac:dyDescent="0.25">
      <c r="A31" s="701" t="s">
        <v>505</v>
      </c>
      <c r="B31" s="701"/>
      <c r="C31" s="717" t="s">
        <v>76</v>
      </c>
      <c r="D31" s="711">
        <f>Bilans_E_AMS_Kyoto_run3_MTE!H440</f>
        <v>0</v>
      </c>
      <c r="E31" s="711">
        <f>Bilans_E_AMS_Kyoto_run3_MTE!I440</f>
        <v>0</v>
      </c>
      <c r="F31" s="711">
        <f>Bilans_E_AMS_Kyoto_run3_MTE!J440</f>
        <v>0</v>
      </c>
      <c r="G31" s="711">
        <f>Bilans_E_AMS_Kyoto_run3_MTE!K440</f>
        <v>0</v>
      </c>
      <c r="H31" s="711">
        <f>Bilans_E_AMS_Kyoto_run3_MTE!L440</f>
        <v>1.1543235485411594</v>
      </c>
      <c r="I31" s="711">
        <f>Bilans_E_AMS_Kyoto_run3_MTE!M440</f>
        <v>0</v>
      </c>
      <c r="J31" s="711">
        <f>Bilans_E_AMS_Kyoto_run3_MTE!N440</f>
        <v>0</v>
      </c>
      <c r="K31" s="711">
        <f>Bilans_E_AMS_Kyoto_run3_MTE!O440</f>
        <v>0</v>
      </c>
      <c r="L31" s="711">
        <f>Bilans_E_AMS_Kyoto_run3_MTE!P440</f>
        <v>0</v>
      </c>
      <c r="M31" s="711">
        <f>Bilans_E_AMS_Kyoto_run3_MTE!Q440</f>
        <v>0</v>
      </c>
      <c r="N31" s="711">
        <f>Bilans_E_AMS_Kyoto_run3_MTE!R440</f>
        <v>0</v>
      </c>
      <c r="O31" s="711">
        <f>Bilans_E_AMS_Kyoto_run3_MTE!S440</f>
        <v>0.76954903236077299</v>
      </c>
      <c r="P31" s="711">
        <f>Bilans_E_AMS_Kyoto_run3_MTE!T440+Bilans_E_AMS_Kyoto_run3_MTE!U440</f>
        <v>0</v>
      </c>
      <c r="Q31" s="711">
        <f>Bilans_E_AMS_Kyoto_run3_MTE!V440</f>
        <v>0</v>
      </c>
      <c r="R31" s="711">
        <f>Bilans_E_AMS_Kyoto_run3_MTE!W440</f>
        <v>55.568340190332414</v>
      </c>
      <c r="S31" s="711">
        <f>Bilans_E_AMS_Kyoto_run3_MTE!X440</f>
        <v>7.0126401757775509</v>
      </c>
      <c r="T31" s="711">
        <f>Bilans_E_AMS_Kyoto_run3_MTE!Y440</f>
        <v>0</v>
      </c>
      <c r="U31" s="711">
        <f>Bilans_E_AMS_Kyoto_run3_MTE!Z440</f>
        <v>64.504852947011898</v>
      </c>
      <c r="V31" s="701"/>
      <c r="W31" s="701"/>
    </row>
    <row r="32" spans="1:23" x14ac:dyDescent="0.25">
      <c r="A32" s="701" t="s">
        <v>506</v>
      </c>
      <c r="B32" s="701"/>
      <c r="C32" s="713" t="s">
        <v>77</v>
      </c>
      <c r="D32" s="714">
        <f>Bilans_E_AMS_Kyoto_run3_MTE!H441</f>
        <v>11.840306396484376</v>
      </c>
      <c r="E32" s="714">
        <f>Bilans_E_AMS_Kyoto_run3_MTE!I441</f>
        <v>228.52698065701114</v>
      </c>
      <c r="F32" s="714">
        <f>Bilans_E_AMS_Kyoto_run3_MTE!J441</f>
        <v>-215.16927865141872</v>
      </c>
      <c r="G32" s="714">
        <f>Bilans_E_AMS_Kyoto_run3_MTE!K441</f>
        <v>-5.3675968512762449</v>
      </c>
      <c r="H32" s="714">
        <f>Bilans_E_AMS_Kyoto_run3_MTE!L441</f>
        <v>14.951693796815011</v>
      </c>
      <c r="I32" s="714">
        <f>Bilans_E_AMS_Kyoto_run3_MTE!M441</f>
        <v>-0.99259685127624475</v>
      </c>
      <c r="J32" s="714">
        <f>Bilans_E_AMS_Kyoto_run3_MTE!N441</f>
        <v>1217.3350254612858</v>
      </c>
      <c r="K32" s="714">
        <f>Bilans_E_AMS_Kyoto_run3_MTE!O441</f>
        <v>388.29502398919544</v>
      </c>
      <c r="L32" s="714">
        <f>Bilans_E_AMS_Kyoto_run3_MTE!P441</f>
        <v>255.15325459036612</v>
      </c>
      <c r="M32" s="714">
        <f>Bilans_E_AMS_Kyoto_run3_MTE!Q441</f>
        <v>38.768704949841634</v>
      </c>
      <c r="N32" s="714">
        <f>Bilans_E_AMS_Kyoto_run3_MTE!R441</f>
        <v>-49.800698638984656</v>
      </c>
      <c r="O32" s="714">
        <f>Bilans_E_AMS_Kyoto_run3_MTE!S441</f>
        <v>-56.411694494246213</v>
      </c>
      <c r="P32" s="714">
        <f>Bilans_E_AMS_Kyoto_run3_MTE!T441+Bilans_E_AMS_Kyoto_run3_MTE!U441</f>
        <v>17.004200785241363</v>
      </c>
      <c r="Q32" s="714">
        <f>Bilans_E_AMS_Kyoto_run3_MTE!V441</f>
        <v>22.157257652094906</v>
      </c>
      <c r="R32" s="714">
        <f>Bilans_E_AMS_Kyoto_run3_MTE!W441</f>
        <v>-664.74747380843064</v>
      </c>
      <c r="S32" s="714">
        <f>Bilans_E_AMS_Kyoto_run3_MTE!X441</f>
        <v>-83.423802565967307</v>
      </c>
      <c r="T32" s="714">
        <f>Bilans_E_AMS_Kyoto_run3_MTE!Y441</f>
        <v>-19.246415638918862</v>
      </c>
      <c r="U32" s="714">
        <f>Bilans_E_AMS_Kyoto_run3_MTE!Z441</f>
        <v>1098.8728907778168</v>
      </c>
      <c r="V32" s="701"/>
      <c r="W32" s="701"/>
    </row>
    <row r="33" spans="1:23" x14ac:dyDescent="0.25">
      <c r="A33" s="701"/>
      <c r="B33" s="701"/>
      <c r="C33" s="715"/>
      <c r="D33" s="716"/>
      <c r="E33" s="716"/>
      <c r="F33" s="716"/>
      <c r="G33" s="716"/>
      <c r="H33" s="716"/>
      <c r="I33" s="716"/>
      <c r="J33" s="716"/>
      <c r="K33" s="716"/>
      <c r="L33" s="716"/>
      <c r="M33" s="716"/>
      <c r="N33" s="716"/>
      <c r="O33" s="716"/>
      <c r="P33" s="716">
        <f>Bilans_E_AMS_Kyoto_run3_MTE!T442+Bilans_E_AMS_Kyoto_run3_MTE!U442</f>
        <v>0</v>
      </c>
      <c r="Q33" s="716"/>
      <c r="R33" s="716"/>
      <c r="S33" s="716"/>
      <c r="T33" s="716"/>
      <c r="U33" s="716"/>
      <c r="V33" s="701"/>
      <c r="W33" s="701"/>
    </row>
    <row r="34" spans="1:23" x14ac:dyDescent="0.25">
      <c r="A34" s="701" t="s">
        <v>507</v>
      </c>
      <c r="B34" s="701"/>
      <c r="C34" s="717" t="s">
        <v>78</v>
      </c>
      <c r="D34" s="711">
        <f>Bilans_E_AMS_Kyoto_run3_MTE!H443</f>
        <v>0.31248754882812502</v>
      </c>
      <c r="E34" s="711">
        <f>Bilans_E_AMS_Kyoto_run3_MTE!I443</f>
        <v>0</v>
      </c>
      <c r="F34" s="711">
        <f>Bilans_E_AMS_Kyoto_run3_MTE!J443</f>
        <v>3.1554639427466697</v>
      </c>
      <c r="G34" s="711">
        <f>Bilans_E_AMS_Kyoto_run3_MTE!K443</f>
        <v>0</v>
      </c>
      <c r="H34" s="711">
        <f>Bilans_E_AMS_Kyoto_run3_MTE!L443</f>
        <v>37.01033714688981</v>
      </c>
      <c r="I34" s="711">
        <f>Bilans_E_AMS_Kyoto_run3_MTE!M443</f>
        <v>0</v>
      </c>
      <c r="J34" s="711">
        <f>Bilans_E_AMS_Kyoto_run3_MTE!N443</f>
        <v>0</v>
      </c>
      <c r="K34" s="711">
        <f>Bilans_E_AMS_Kyoto_run3_MTE!O443</f>
        <v>0</v>
      </c>
      <c r="L34" s="711">
        <f>Bilans_E_AMS_Kyoto_run3_MTE!P443</f>
        <v>37.391289864504934</v>
      </c>
      <c r="M34" s="711">
        <f>Bilans_E_AMS_Kyoto_run3_MTE!Q443</f>
        <v>8.8042095890605694</v>
      </c>
      <c r="N34" s="711">
        <f>Bilans_E_AMS_Kyoto_run3_MTE!R443</f>
        <v>0.65571165030445222</v>
      </c>
      <c r="O34" s="711">
        <f>Bilans_E_AMS_Kyoto_run3_MTE!S443</f>
        <v>24.712220905509611</v>
      </c>
      <c r="P34" s="711">
        <f>Bilans_E_AMS_Kyoto_run3_MTE!T443+Bilans_E_AMS_Kyoto_run3_MTE!U443</f>
        <v>10.938740234375</v>
      </c>
      <c r="Q34" s="711">
        <f>Bilans_E_AMS_Kyoto_run3_MTE!V443</f>
        <v>7.8820466826144567E-4</v>
      </c>
      <c r="R34" s="711">
        <f>Bilans_E_AMS_Kyoto_run3_MTE!W443</f>
        <v>154.95335920514725</v>
      </c>
      <c r="S34" s="711">
        <f>Bilans_E_AMS_Kyoto_run3_MTE!X443</f>
        <v>19.589550837757145</v>
      </c>
      <c r="T34" s="711">
        <f>Bilans_E_AMS_Kyoto_run3_MTE!Y443</f>
        <v>8.8214501953125009</v>
      </c>
      <c r="U34" s="711">
        <f>Bilans_E_AMS_Kyoto_run3_MTE!Z443</f>
        <v>306.34560932510431</v>
      </c>
      <c r="V34" s="701"/>
      <c r="W34" s="701"/>
    </row>
    <row r="35" spans="1:23" x14ac:dyDescent="0.25">
      <c r="A35" s="701" t="s">
        <v>508</v>
      </c>
      <c r="B35" s="701"/>
      <c r="C35" s="717" t="s">
        <v>79</v>
      </c>
      <c r="D35" s="711">
        <f>Bilans_E_AMS_Kyoto_run3_MTE!H444</f>
        <v>0</v>
      </c>
      <c r="E35" s="711">
        <f>Bilans_E_AMS_Kyoto_run3_MTE!I444</f>
        <v>0</v>
      </c>
      <c r="F35" s="711">
        <f>Bilans_E_AMS_Kyoto_run3_MTE!J444</f>
        <v>101.77401649068347</v>
      </c>
      <c r="G35" s="711">
        <f>Bilans_E_AMS_Kyoto_run3_MTE!K444</f>
        <v>1</v>
      </c>
      <c r="H35" s="711">
        <f>Bilans_E_AMS_Kyoto_run3_MTE!L444</f>
        <v>4.5438942798277537</v>
      </c>
      <c r="I35" s="711">
        <f>Bilans_E_AMS_Kyoto_run3_MTE!M444</f>
        <v>0</v>
      </c>
      <c r="J35" s="711">
        <f>Bilans_E_AMS_Kyoto_run3_MTE!N444</f>
        <v>0</v>
      </c>
      <c r="K35" s="711">
        <f>Bilans_E_AMS_Kyoto_run3_MTE!O444</f>
        <v>0</v>
      </c>
      <c r="L35" s="711">
        <f>Bilans_E_AMS_Kyoto_run3_MTE!P444</f>
        <v>0</v>
      </c>
      <c r="M35" s="711">
        <f>Bilans_E_AMS_Kyoto_run3_MTE!Q444</f>
        <v>0</v>
      </c>
      <c r="N35" s="711">
        <f>Bilans_E_AMS_Kyoto_run3_MTE!R444</f>
        <v>35.960574276816558</v>
      </c>
      <c r="O35" s="711">
        <f>Bilans_E_AMS_Kyoto_run3_MTE!S444</f>
        <v>3.0292628532185026</v>
      </c>
      <c r="P35" s="711">
        <f>Bilans_E_AMS_Kyoto_run3_MTE!T444+Bilans_E_AMS_Kyoto_run3_MTE!U444</f>
        <v>0</v>
      </c>
      <c r="Q35" s="711">
        <f>Bilans_E_AMS_Kyoto_run3_MTE!V444</f>
        <v>0</v>
      </c>
      <c r="R35" s="711">
        <f>Bilans_E_AMS_Kyoto_run3_MTE!W444</f>
        <v>98.588545998647945</v>
      </c>
      <c r="S35" s="711">
        <f>Bilans_E_AMS_Kyoto_run3_MTE!X444</f>
        <v>0</v>
      </c>
      <c r="T35" s="711">
        <f>Bilans_E_AMS_Kyoto_run3_MTE!Y444</f>
        <v>4.4541562271539039</v>
      </c>
      <c r="U35" s="711">
        <f>Bilans_E_AMS_Kyoto_run3_MTE!Z444</f>
        <v>249.35045012634814</v>
      </c>
      <c r="V35" s="701"/>
      <c r="W35" s="701"/>
    </row>
    <row r="36" spans="1:23" x14ac:dyDescent="0.25">
      <c r="A36" s="701" t="s">
        <v>509</v>
      </c>
      <c r="B36" s="701"/>
      <c r="C36" s="717" t="s">
        <v>80</v>
      </c>
      <c r="D36" s="711">
        <f>Bilans_E_AMS_Kyoto_run3_MTE!H445</f>
        <v>0</v>
      </c>
      <c r="E36" s="711">
        <f>Bilans_E_AMS_Kyoto_run3_MTE!I445</f>
        <v>0</v>
      </c>
      <c r="F36" s="711">
        <f>Bilans_E_AMS_Kyoto_run3_MTE!J445</f>
        <v>0.45829125770018231</v>
      </c>
      <c r="G36" s="711">
        <f>Bilans_E_AMS_Kyoto_run3_MTE!K445</f>
        <v>0</v>
      </c>
      <c r="H36" s="711">
        <f>Bilans_E_AMS_Kyoto_run3_MTE!L445</f>
        <v>23.558204689169596</v>
      </c>
      <c r="I36" s="711">
        <f>Bilans_E_AMS_Kyoto_run3_MTE!M445</f>
        <v>0</v>
      </c>
      <c r="J36" s="711">
        <f>Bilans_E_AMS_Kyoto_run3_MTE!N445</f>
        <v>0</v>
      </c>
      <c r="K36" s="711">
        <f>Bilans_E_AMS_Kyoto_run3_MTE!O445</f>
        <v>0</v>
      </c>
      <c r="L36" s="711">
        <f>Bilans_E_AMS_Kyoto_run3_MTE!P445</f>
        <v>44.494417008077924</v>
      </c>
      <c r="M36" s="711">
        <f>Bilans_E_AMS_Kyoto_run3_MTE!Q445</f>
        <v>0</v>
      </c>
      <c r="N36" s="711">
        <f>Bilans_E_AMS_Kyoto_run3_MTE!R445</f>
        <v>0</v>
      </c>
      <c r="O36" s="711">
        <f>Bilans_E_AMS_Kyoto_run3_MTE!S445</f>
        <v>15.705469792779732</v>
      </c>
      <c r="P36" s="711">
        <f>Bilans_E_AMS_Kyoto_run3_MTE!T445+Bilans_E_AMS_Kyoto_run3_MTE!U445</f>
        <v>136.92844956569715</v>
      </c>
      <c r="Q36" s="711">
        <f>Bilans_E_AMS_Kyoto_run3_MTE!V445</f>
        <v>11.112810725871574</v>
      </c>
      <c r="R36" s="711">
        <f>Bilans_E_AMS_Kyoto_run3_MTE!W445</f>
        <v>151.24868898897191</v>
      </c>
      <c r="S36" s="711">
        <f>Bilans_E_AMS_Kyoto_run3_MTE!X445</f>
        <v>40.573888251039236</v>
      </c>
      <c r="T36" s="711">
        <f>Bilans_E_AMS_Kyoto_run3_MTE!Y445</f>
        <v>0</v>
      </c>
      <c r="U36" s="711">
        <f>Bilans_E_AMS_Kyoto_run3_MTE!Z445</f>
        <v>424.0802202793073</v>
      </c>
      <c r="V36" s="701"/>
      <c r="W36" s="701"/>
    </row>
    <row r="37" spans="1:23" x14ac:dyDescent="0.25">
      <c r="A37" s="701" t="s">
        <v>510</v>
      </c>
      <c r="B37" s="701"/>
      <c r="C37" s="717" t="s">
        <v>81</v>
      </c>
      <c r="D37" s="711">
        <f>Bilans_E_AMS_Kyoto_run3_MTE!H446</f>
        <v>0</v>
      </c>
      <c r="E37" s="711">
        <f>Bilans_E_AMS_Kyoto_run3_MTE!I446</f>
        <v>0</v>
      </c>
      <c r="F37" s="711">
        <f>Bilans_E_AMS_Kyoto_run3_MTE!J446</f>
        <v>0.72441471608254671</v>
      </c>
      <c r="G37" s="711">
        <f>Bilans_E_AMS_Kyoto_run3_MTE!K446</f>
        <v>0</v>
      </c>
      <c r="H37" s="711">
        <f>Bilans_E_AMS_Kyoto_run3_MTE!L446</f>
        <v>16.529932147980702</v>
      </c>
      <c r="I37" s="711">
        <f>Bilans_E_AMS_Kyoto_run3_MTE!M446</f>
        <v>0</v>
      </c>
      <c r="J37" s="711">
        <f>Bilans_E_AMS_Kyoto_run3_MTE!N446</f>
        <v>0</v>
      </c>
      <c r="K37" s="711">
        <f>Bilans_E_AMS_Kyoto_run3_MTE!O446</f>
        <v>0</v>
      </c>
      <c r="L37" s="711">
        <f>Bilans_E_AMS_Kyoto_run3_MTE!P446</f>
        <v>0.53348745170182088</v>
      </c>
      <c r="M37" s="711">
        <f>Bilans_E_AMS_Kyoto_run3_MTE!Q446</f>
        <v>0</v>
      </c>
      <c r="N37" s="711">
        <f>Bilans_E_AMS_Kyoto_run3_MTE!R446</f>
        <v>0</v>
      </c>
      <c r="O37" s="711">
        <f>Bilans_E_AMS_Kyoto_run3_MTE!S446</f>
        <v>11.019954765320469</v>
      </c>
      <c r="P37" s="711">
        <f>Bilans_E_AMS_Kyoto_run3_MTE!T446+Bilans_E_AMS_Kyoto_run3_MTE!U446</f>
        <v>52.106590615041483</v>
      </c>
      <c r="Q37" s="711">
        <f>Bilans_E_AMS_Kyoto_run3_MTE!V446</f>
        <v>10.099133053150796</v>
      </c>
      <c r="R37" s="711">
        <f>Bilans_E_AMS_Kyoto_run3_MTE!W446</f>
        <v>121.37238070067973</v>
      </c>
      <c r="S37" s="711">
        <f>Bilans_E_AMS_Kyoto_run3_MTE!X446</f>
        <v>23.260331591038877</v>
      </c>
      <c r="T37" s="711">
        <f>Bilans_E_AMS_Kyoto_run3_MTE!Y446</f>
        <v>0</v>
      </c>
      <c r="U37" s="711">
        <f>Bilans_E_AMS_Kyoto_run3_MTE!Z446</f>
        <v>235.6462250409964</v>
      </c>
      <c r="V37" s="701"/>
      <c r="W37" s="701"/>
    </row>
    <row r="38" spans="1:23" x14ac:dyDescent="0.25">
      <c r="A38" s="701" t="s">
        <v>511</v>
      </c>
      <c r="B38" s="701"/>
      <c r="C38" s="717" t="s">
        <v>82</v>
      </c>
      <c r="D38" s="711">
        <f>Bilans_E_AMS_Kyoto_run3_MTE!H447</f>
        <v>0</v>
      </c>
      <c r="E38" s="711">
        <f>Bilans_E_AMS_Kyoto_run3_MTE!I447</f>
        <v>0</v>
      </c>
      <c r="F38" s="711">
        <f>Bilans_E_AMS_Kyoto_run3_MTE!J447</f>
        <v>13.844421020879521</v>
      </c>
      <c r="G38" s="711">
        <f>Bilans_E_AMS_Kyoto_run3_MTE!K447</f>
        <v>0</v>
      </c>
      <c r="H38" s="711">
        <f>Bilans_E_AMS_Kyoto_run3_MTE!L447</f>
        <v>0.75389053295489317</v>
      </c>
      <c r="I38" s="711">
        <f>Bilans_E_AMS_Kyoto_run3_MTE!M447</f>
        <v>0</v>
      </c>
      <c r="J38" s="711">
        <f>Bilans_E_AMS_Kyoto_run3_MTE!N447</f>
        <v>0</v>
      </c>
      <c r="K38" s="711">
        <f>Bilans_E_AMS_Kyoto_run3_MTE!O447</f>
        <v>0</v>
      </c>
      <c r="L38" s="711">
        <f>Bilans_E_AMS_Kyoto_run3_MTE!P447</f>
        <v>15.52633161671044</v>
      </c>
      <c r="M38" s="711">
        <f>Bilans_E_AMS_Kyoto_run3_MTE!Q447</f>
        <v>0</v>
      </c>
      <c r="N38" s="711">
        <f>Bilans_E_AMS_Kyoto_run3_MTE!R447</f>
        <v>6.9560280843062596</v>
      </c>
      <c r="O38" s="711">
        <f>Bilans_E_AMS_Kyoto_run3_MTE!S447</f>
        <v>0.50259368863659548</v>
      </c>
      <c r="P38" s="711">
        <f>Bilans_E_AMS_Kyoto_run3_MTE!T447+Bilans_E_AMS_Kyoto_run3_MTE!U447</f>
        <v>1</v>
      </c>
      <c r="Q38" s="711">
        <f>Bilans_E_AMS_Kyoto_run3_MTE!V447</f>
        <v>1.300620381405156</v>
      </c>
      <c r="R38" s="711">
        <f>Bilans_E_AMS_Kyoto_run3_MTE!W447</f>
        <v>9.5059865656589242</v>
      </c>
      <c r="S38" s="711">
        <f>Bilans_E_AMS_Kyoto_run3_MTE!X447</f>
        <v>0</v>
      </c>
      <c r="T38" s="711">
        <f>Bilans_E_AMS_Kyoto_run3_MTE!Y447</f>
        <v>0.43956597389567681</v>
      </c>
      <c r="U38" s="711">
        <f>Bilans_E_AMS_Kyoto_run3_MTE!Z447</f>
        <v>49.829437864447456</v>
      </c>
      <c r="V38" s="701"/>
      <c r="W38" s="701"/>
    </row>
    <row r="39" spans="1:23" x14ac:dyDescent="0.25">
      <c r="A39" s="701" t="s">
        <v>512</v>
      </c>
      <c r="B39" s="701"/>
      <c r="C39" s="717" t="s">
        <v>354</v>
      </c>
      <c r="D39" s="711">
        <f>Bilans_E_AMS_Kyoto_run3_MTE!H448</f>
        <v>0</v>
      </c>
      <c r="E39" s="711">
        <f>Bilans_E_AMS_Kyoto_run3_MTE!I448</f>
        <v>0</v>
      </c>
      <c r="F39" s="711">
        <f>Bilans_E_AMS_Kyoto_run3_MTE!J448</f>
        <v>0</v>
      </c>
      <c r="G39" s="711">
        <f>Bilans_E_AMS_Kyoto_run3_MTE!K448</f>
        <v>0</v>
      </c>
      <c r="H39" s="711">
        <f>Bilans_E_AMS_Kyoto_run3_MTE!L448</f>
        <v>0</v>
      </c>
      <c r="I39" s="711">
        <f>Bilans_E_AMS_Kyoto_run3_MTE!M448</f>
        <v>0</v>
      </c>
      <c r="J39" s="711">
        <f>Bilans_E_AMS_Kyoto_run3_MTE!N448</f>
        <v>0</v>
      </c>
      <c r="K39" s="711">
        <f>Bilans_E_AMS_Kyoto_run3_MTE!O448</f>
        <v>0</v>
      </c>
      <c r="L39" s="711">
        <f>Bilans_E_AMS_Kyoto_run3_MTE!P448</f>
        <v>0</v>
      </c>
      <c r="M39" s="711">
        <f>Bilans_E_AMS_Kyoto_run3_MTE!Q448</f>
        <v>0</v>
      </c>
      <c r="N39" s="711">
        <f>Bilans_E_AMS_Kyoto_run3_MTE!R448</f>
        <v>0</v>
      </c>
      <c r="O39" s="711">
        <f>Bilans_E_AMS_Kyoto_run3_MTE!S448</f>
        <v>0</v>
      </c>
      <c r="P39" s="711">
        <f>Bilans_E_AMS_Kyoto_run3_MTE!T448+Bilans_E_AMS_Kyoto_run3_MTE!U448</f>
        <v>0</v>
      </c>
      <c r="Q39" s="711">
        <f>Bilans_E_AMS_Kyoto_run3_MTE!V448</f>
        <v>0</v>
      </c>
      <c r="R39" s="711">
        <f>Bilans_E_AMS_Kyoto_run3_MTE!W448</f>
        <v>3.6</v>
      </c>
      <c r="S39" s="711">
        <f>Bilans_E_AMS_Kyoto_run3_MTE!X448</f>
        <v>0</v>
      </c>
      <c r="T39" s="711">
        <f>Bilans_E_AMS_Kyoto_run3_MTE!Y448</f>
        <v>0</v>
      </c>
      <c r="U39" s="711">
        <f>Bilans_E_AMS_Kyoto_run3_MTE!Z448</f>
        <v>3.6</v>
      </c>
      <c r="V39" s="701"/>
      <c r="W39" s="701"/>
    </row>
    <row r="40" spans="1:23" x14ac:dyDescent="0.25">
      <c r="A40" s="701" t="s">
        <v>513</v>
      </c>
      <c r="B40" s="701"/>
      <c r="C40" s="713" t="s">
        <v>83</v>
      </c>
      <c r="D40" s="714">
        <f>Bilans_E_AMS_Kyoto_run3_MTE!H449</f>
        <v>0.31248754882812502</v>
      </c>
      <c r="E40" s="714">
        <f>Bilans_E_AMS_Kyoto_run3_MTE!I449</f>
        <v>0</v>
      </c>
      <c r="F40" s="714">
        <f>Bilans_E_AMS_Kyoto_run3_MTE!J449</f>
        <v>119.95660742809238</v>
      </c>
      <c r="G40" s="714">
        <f>Bilans_E_AMS_Kyoto_run3_MTE!K449</f>
        <v>1</v>
      </c>
      <c r="H40" s="714">
        <f>Bilans_E_AMS_Kyoto_run3_MTE!L449</f>
        <v>82.396258796822764</v>
      </c>
      <c r="I40" s="714">
        <f>Bilans_E_AMS_Kyoto_run3_MTE!M449</f>
        <v>0</v>
      </c>
      <c r="J40" s="714">
        <f>Bilans_E_AMS_Kyoto_run3_MTE!N449</f>
        <v>0</v>
      </c>
      <c r="K40" s="714">
        <f>Bilans_E_AMS_Kyoto_run3_MTE!O449</f>
        <v>0</v>
      </c>
      <c r="L40" s="714">
        <f>Bilans_E_AMS_Kyoto_run3_MTE!P449</f>
        <v>97.945525940995111</v>
      </c>
      <c r="M40" s="714">
        <f>Bilans_E_AMS_Kyoto_run3_MTE!Q449</f>
        <v>8.8042095890605694</v>
      </c>
      <c r="N40" s="714">
        <f>Bilans_E_AMS_Kyoto_run3_MTE!R449</f>
        <v>43.572314011427274</v>
      </c>
      <c r="O40" s="714">
        <f>Bilans_E_AMS_Kyoto_run3_MTE!S449</f>
        <v>54.969502005464911</v>
      </c>
      <c r="P40" s="714">
        <f>Bilans_E_AMS_Kyoto_run3_MTE!T449+Bilans_E_AMS_Kyoto_run3_MTE!U449</f>
        <v>200.97378041511362</v>
      </c>
      <c r="Q40" s="714">
        <f>Bilans_E_AMS_Kyoto_run3_MTE!V449</f>
        <v>22.513352365095788</v>
      </c>
      <c r="R40" s="714">
        <f>Bilans_E_AMS_Kyoto_run3_MTE!W449</f>
        <v>539.26896145910575</v>
      </c>
      <c r="S40" s="714">
        <f>Bilans_E_AMS_Kyoto_run3_MTE!X449</f>
        <v>83.423770679835258</v>
      </c>
      <c r="T40" s="714">
        <f>Bilans_E_AMS_Kyoto_run3_MTE!Y449</f>
        <v>13.715172396362082</v>
      </c>
      <c r="U40" s="714">
        <f>Bilans_E_AMS_Kyoto_run3_MTE!Z449</f>
        <v>1268.8519426362036</v>
      </c>
      <c r="V40" s="701"/>
      <c r="W40" s="701"/>
    </row>
    <row r="41" spans="1:23" x14ac:dyDescent="0.25">
      <c r="A41" s="701" t="s">
        <v>514</v>
      </c>
      <c r="B41" s="701"/>
      <c r="C41" s="710" t="s">
        <v>84</v>
      </c>
      <c r="D41" s="711">
        <f>Bilans_E_AMS_Kyoto_run3_MTE!H450</f>
        <v>0</v>
      </c>
      <c r="E41" s="711">
        <f>Bilans_E_AMS_Kyoto_run3_MTE!I450</f>
        <v>0</v>
      </c>
      <c r="F41" s="711">
        <f>Bilans_E_AMS_Kyoto_run3_MTE!J450</f>
        <v>102.03544321387012</v>
      </c>
      <c r="G41" s="711">
        <f>Bilans_E_AMS_Kyoto_run3_MTE!K450</f>
        <v>2.4611725721851321</v>
      </c>
      <c r="H41" s="711">
        <f>Bilans_E_AMS_Kyoto_run3_MTE!L450</f>
        <v>12.555456003161671</v>
      </c>
      <c r="I41" s="711">
        <f>Bilans_E_AMS_Kyoto_run3_MTE!M450</f>
        <v>0</v>
      </c>
      <c r="J41" s="711">
        <f>Bilans_E_AMS_Kyoto_run3_MTE!N450</f>
        <v>0</v>
      </c>
      <c r="K41" s="711">
        <f>Bilans_E_AMS_Kyoto_run3_MTE!O450</f>
        <v>0</v>
      </c>
      <c r="L41" s="711">
        <f>Bilans_E_AMS_Kyoto_run3_MTE!P450</f>
        <v>0.48630321782953712</v>
      </c>
      <c r="M41" s="711">
        <f>Bilans_E_AMS_Kyoto_run3_MTE!Q450</f>
        <v>0</v>
      </c>
      <c r="N41" s="711">
        <f>Bilans_E_AMS_Kyoto_run3_MTE!R450</f>
        <v>3.8692083880096835</v>
      </c>
      <c r="O41" s="711">
        <f>Bilans_E_AMS_Kyoto_run3_MTE!S450</f>
        <v>0</v>
      </c>
      <c r="P41" s="711">
        <f>Bilans_E_AMS_Kyoto_run3_MTE!T450+Bilans_E_AMS_Kyoto_run3_MTE!U450</f>
        <v>0</v>
      </c>
      <c r="Q41" s="711">
        <f>Bilans_E_AMS_Kyoto_run3_MTE!V450</f>
        <v>0</v>
      </c>
      <c r="R41" s="711">
        <f>Bilans_E_AMS_Kyoto_run3_MTE!W450</f>
        <v>0</v>
      </c>
      <c r="S41" s="711">
        <f>Bilans_E_AMS_Kyoto_run3_MTE!X450</f>
        <v>0</v>
      </c>
      <c r="T41" s="711">
        <f>Bilans_E_AMS_Kyoto_run3_MTE!Y450</f>
        <v>1.8671101278544562</v>
      </c>
      <c r="U41" s="711">
        <f>Bilans_E_AMS_Kyoto_run3_MTE!Z450</f>
        <v>123.27469352291061</v>
      </c>
      <c r="V41" s="701"/>
      <c r="W41" s="701"/>
    </row>
    <row r="42" spans="1:23" x14ac:dyDescent="0.25">
      <c r="A42" s="701" t="s">
        <v>515</v>
      </c>
      <c r="B42" s="701"/>
      <c r="C42" s="713" t="s">
        <v>85</v>
      </c>
      <c r="D42" s="714">
        <f>Bilans_E_AMS_Kyoto_run3_MTE!H451</f>
        <v>0.31248754882812502</v>
      </c>
      <c r="E42" s="714">
        <f>Bilans_E_AMS_Kyoto_run3_MTE!I451</f>
        <v>0</v>
      </c>
      <c r="F42" s="714">
        <f>Bilans_E_AMS_Kyoto_run3_MTE!J451</f>
        <v>221.99205064196252</v>
      </c>
      <c r="G42" s="714">
        <f>Bilans_E_AMS_Kyoto_run3_MTE!K451</f>
        <v>3.4611725721851321</v>
      </c>
      <c r="H42" s="714">
        <f>Bilans_E_AMS_Kyoto_run3_MTE!L451</f>
        <v>94.95171479998443</v>
      </c>
      <c r="I42" s="714">
        <f>Bilans_E_AMS_Kyoto_run3_MTE!M451</f>
        <v>0</v>
      </c>
      <c r="J42" s="714">
        <f>Bilans_E_AMS_Kyoto_run3_MTE!N451</f>
        <v>0</v>
      </c>
      <c r="K42" s="714">
        <f>Bilans_E_AMS_Kyoto_run3_MTE!O451</f>
        <v>0</v>
      </c>
      <c r="L42" s="714">
        <f>Bilans_E_AMS_Kyoto_run3_MTE!P451</f>
        <v>98.431829158824655</v>
      </c>
      <c r="M42" s="714">
        <f>Bilans_E_AMS_Kyoto_run3_MTE!Q451</f>
        <v>8.8042095890605694</v>
      </c>
      <c r="N42" s="714">
        <f>Bilans_E_AMS_Kyoto_run3_MTE!R451</f>
        <v>47.441522399436955</v>
      </c>
      <c r="O42" s="714">
        <f>Bilans_E_AMS_Kyoto_run3_MTE!S451</f>
        <v>54.969502005464911</v>
      </c>
      <c r="P42" s="714">
        <f>Bilans_E_AMS_Kyoto_run3_MTE!T451+Bilans_E_AMS_Kyoto_run3_MTE!U451</f>
        <v>200.97378041511362</v>
      </c>
      <c r="Q42" s="714">
        <f>Bilans_E_AMS_Kyoto_run3_MTE!V451</f>
        <v>22.513352365095788</v>
      </c>
      <c r="R42" s="714">
        <f>Bilans_E_AMS_Kyoto_run3_MTE!W451</f>
        <v>539.26896145910575</v>
      </c>
      <c r="S42" s="714">
        <f>Bilans_E_AMS_Kyoto_run3_MTE!X451</f>
        <v>83.423770679835258</v>
      </c>
      <c r="T42" s="714">
        <f>Bilans_E_AMS_Kyoto_run3_MTE!Y451</f>
        <v>15.582282524216538</v>
      </c>
      <c r="U42" s="714">
        <f>Bilans_E_AMS_Kyoto_run3_MTE!Z451</f>
        <v>1392.1266361591142</v>
      </c>
      <c r="V42" s="701"/>
      <c r="W42" s="701"/>
    </row>
    <row r="43" spans="1:23" x14ac:dyDescent="0.25">
      <c r="A43" s="701"/>
      <c r="B43" s="701"/>
      <c r="C43" s="701"/>
      <c r="D43" s="701">
        <f>Bilans_E_AMS_Kyoto_run3_MTE!H452</f>
        <v>0</v>
      </c>
      <c r="E43" s="701">
        <f>Bilans_E_AMS_Kyoto_run3_MTE!I452</f>
        <v>0</v>
      </c>
      <c r="F43" s="701">
        <f>Bilans_E_AMS_Kyoto_run3_MTE!J452</f>
        <v>5.6843418860808015E-14</v>
      </c>
      <c r="G43" s="701">
        <f>Bilans_E_AMS_Kyoto_run3_MTE!K452</f>
        <v>0</v>
      </c>
      <c r="H43" s="701">
        <f>Bilans_E_AMS_Kyoto_run3_MTE!L452</f>
        <v>0</v>
      </c>
      <c r="I43" s="701">
        <f>Bilans_E_AMS_Kyoto_run3_MTE!M452</f>
        <v>0</v>
      </c>
      <c r="J43" s="701">
        <f>Bilans_E_AMS_Kyoto_run3_MTE!N452</f>
        <v>0</v>
      </c>
      <c r="K43" s="701">
        <f>Bilans_E_AMS_Kyoto_run3_MTE!O452</f>
        <v>0</v>
      </c>
      <c r="L43" s="701">
        <f>Bilans_E_AMS_Kyoto_run3_MTE!P452</f>
        <v>0</v>
      </c>
      <c r="M43" s="701">
        <f>Bilans_E_AMS_Kyoto_run3_MTE!Q452</f>
        <v>0</v>
      </c>
      <c r="N43" s="701">
        <f>Bilans_E_AMS_Kyoto_run3_MTE!R452</f>
        <v>0</v>
      </c>
      <c r="O43" s="701">
        <f>Bilans_E_AMS_Kyoto_run3_MTE!S452</f>
        <v>1.9984014443252818E-15</v>
      </c>
      <c r="P43" s="701">
        <f>Bilans_E_AMS_Kyoto_run3_MTE!T452+Bilans_E_AMS_Kyoto_run3_MTE!U452</f>
        <v>0</v>
      </c>
      <c r="Q43" s="701">
        <f>Bilans_E_AMS_Kyoto_run3_MTE!V452</f>
        <v>0</v>
      </c>
      <c r="R43" s="701">
        <f>Bilans_E_AMS_Kyoto_run3_MTE!W452</f>
        <v>0</v>
      </c>
      <c r="S43" s="701">
        <f>Bilans_E_AMS_Kyoto_run3_MTE!X452</f>
        <v>-3.1886132049407934E-5</v>
      </c>
      <c r="T43" s="701">
        <f>Bilans_E_AMS_Kyoto_run3_MTE!Y452</f>
        <v>0</v>
      </c>
      <c r="U43" s="701">
        <f>Bilans_E_AMS_Kyoto_run3_MTE!Z452</f>
        <v>-3.1886131637293147E-5</v>
      </c>
      <c r="V43" s="701"/>
      <c r="W43" s="701"/>
    </row>
    <row r="44" spans="1:23" x14ac:dyDescent="0.25">
      <c r="A44" s="701"/>
      <c r="B44" s="701"/>
      <c r="C44" s="701"/>
      <c r="D44" s="701"/>
      <c r="E44" s="701"/>
      <c r="F44" s="701"/>
      <c r="G44" s="701"/>
      <c r="H44" s="701"/>
      <c r="I44" s="701"/>
      <c r="J44" s="701"/>
      <c r="K44" s="701"/>
      <c r="L44" s="701"/>
      <c r="M44" s="701"/>
      <c r="N44" s="701"/>
      <c r="O44" s="701"/>
      <c r="P44" s="701"/>
      <c r="Q44" s="701"/>
      <c r="R44" s="701"/>
      <c r="S44" s="701"/>
      <c r="T44" s="701"/>
      <c r="U44" s="701"/>
      <c r="V44" s="701"/>
      <c r="W44" s="701"/>
    </row>
    <row r="45" spans="1:23" x14ac:dyDescent="0.25">
      <c r="A45" s="707"/>
      <c r="B45" s="707"/>
      <c r="C45" s="708" t="s">
        <v>518</v>
      </c>
      <c r="D45" s="707"/>
      <c r="E45" s="707"/>
      <c r="F45" s="707"/>
      <c r="G45" s="707"/>
      <c r="H45" s="707"/>
      <c r="I45" s="707"/>
      <c r="J45" s="707"/>
      <c r="K45" s="707"/>
      <c r="L45" s="707"/>
      <c r="M45" s="707"/>
      <c r="N45" s="707"/>
      <c r="O45" s="707"/>
      <c r="P45" s="707"/>
      <c r="Q45" s="707"/>
      <c r="R45" s="707"/>
      <c r="S45" s="707"/>
      <c r="T45" s="707"/>
      <c r="U45" s="707"/>
      <c r="V45" s="707"/>
      <c r="W45" s="707"/>
    </row>
    <row r="46" spans="1:23" x14ac:dyDescent="0.25">
      <c r="A46" s="701"/>
      <c r="B46" s="701"/>
      <c r="C46" s="701"/>
      <c r="D46" s="701"/>
      <c r="E46" s="701"/>
      <c r="F46" s="701"/>
      <c r="G46" s="701"/>
      <c r="H46" s="701"/>
      <c r="I46" s="701"/>
      <c r="J46" s="701"/>
      <c r="K46" s="701"/>
      <c r="L46" s="701"/>
      <c r="M46" s="701"/>
      <c r="N46" s="701"/>
      <c r="O46" s="701"/>
      <c r="P46" s="701"/>
      <c r="Q46" s="701"/>
      <c r="R46" s="701"/>
      <c r="S46" s="701"/>
      <c r="T46" s="701"/>
      <c r="U46" s="701"/>
      <c r="V46" s="701"/>
      <c r="W46" s="701"/>
    </row>
    <row r="47" spans="1:23" x14ac:dyDescent="0.25">
      <c r="A47" s="701"/>
      <c r="B47" s="701"/>
      <c r="C47" s="780" t="s">
        <v>128</v>
      </c>
      <c r="D47" s="775" t="s">
        <v>42</v>
      </c>
      <c r="E47" s="775" t="s">
        <v>52</v>
      </c>
      <c r="F47" s="775" t="s">
        <v>53</v>
      </c>
      <c r="G47" s="775" t="s">
        <v>482</v>
      </c>
      <c r="H47" s="775" t="s">
        <v>32</v>
      </c>
      <c r="I47" s="775" t="s">
        <v>483</v>
      </c>
      <c r="J47" s="775" t="s">
        <v>20</v>
      </c>
      <c r="K47" s="775" t="s">
        <v>55</v>
      </c>
      <c r="L47" s="777" t="s">
        <v>56</v>
      </c>
      <c r="M47" s="778"/>
      <c r="N47" s="778"/>
      <c r="O47" s="778"/>
      <c r="P47" s="778"/>
      <c r="Q47" s="779"/>
      <c r="R47" s="775" t="s">
        <v>57</v>
      </c>
      <c r="S47" s="775" t="s">
        <v>58</v>
      </c>
      <c r="T47" s="775" t="s">
        <v>31</v>
      </c>
      <c r="U47" s="775" t="s">
        <v>10</v>
      </c>
      <c r="V47" s="701"/>
      <c r="W47" s="701"/>
    </row>
    <row r="48" spans="1:23" ht="67.5" x14ac:dyDescent="0.25">
      <c r="A48" s="701" t="s">
        <v>486</v>
      </c>
      <c r="B48" s="701"/>
      <c r="C48" s="781"/>
      <c r="D48" s="776"/>
      <c r="E48" s="776"/>
      <c r="F48" s="776"/>
      <c r="G48" s="776"/>
      <c r="H48" s="776"/>
      <c r="I48" s="776"/>
      <c r="J48" s="776"/>
      <c r="K48" s="776"/>
      <c r="L48" s="709" t="s">
        <v>335</v>
      </c>
      <c r="M48" s="709" t="s">
        <v>40</v>
      </c>
      <c r="N48" s="709" t="s">
        <v>343</v>
      </c>
      <c r="O48" s="709" t="s">
        <v>344</v>
      </c>
      <c r="P48" s="719" t="s">
        <v>610</v>
      </c>
      <c r="Q48" s="709" t="s">
        <v>346</v>
      </c>
      <c r="R48" s="776"/>
      <c r="S48" s="776"/>
      <c r="T48" s="776"/>
      <c r="U48" s="776"/>
      <c r="V48" s="701"/>
      <c r="W48" s="701"/>
    </row>
    <row r="49" spans="1:23" x14ac:dyDescent="0.25">
      <c r="A49" s="701" t="s">
        <v>487</v>
      </c>
      <c r="B49" s="701"/>
      <c r="C49" s="710" t="s">
        <v>59</v>
      </c>
      <c r="D49" s="711">
        <f>Bilans_E_AMS_Kyoto_run3_MTE!H458</f>
        <v>0</v>
      </c>
      <c r="E49" s="711">
        <f>Bilans_E_AMS_Kyoto_run3_MTE!I458</f>
        <v>0</v>
      </c>
      <c r="F49" s="711">
        <f>Bilans_E_AMS_Kyoto_run3_MTE!J458</f>
        <v>0</v>
      </c>
      <c r="G49" s="711">
        <f>Bilans_E_AMS_Kyoto_run3_MTE!K458</f>
        <v>0</v>
      </c>
      <c r="H49" s="711">
        <f>Bilans_E_AMS_Kyoto_run3_MTE!L458</f>
        <v>0</v>
      </c>
      <c r="I49" s="711">
        <f>Bilans_E_AMS_Kyoto_run3_MTE!M458</f>
        <v>0</v>
      </c>
      <c r="J49" s="711">
        <f>Bilans_E_AMS_Kyoto_run3_MTE!N458</f>
        <v>1099.5846392966657</v>
      </c>
      <c r="K49" s="711">
        <f>Bilans_E_AMS_Kyoto_run3_MTE!O458</f>
        <v>432.558137271254</v>
      </c>
      <c r="L49" s="711">
        <f>Bilans_E_AMS_Kyoto_run3_MTE!P458</f>
        <v>366.60157244104857</v>
      </c>
      <c r="M49" s="711">
        <f>Bilans_E_AMS_Kyoto_run3_MTE!Q458</f>
        <v>46.101085198672763</v>
      </c>
      <c r="N49" s="711">
        <f>Bilans_E_AMS_Kyoto_run3_MTE!R458</f>
        <v>0</v>
      </c>
      <c r="O49" s="711">
        <f>Bilans_E_AMS_Kyoto_run3_MTE!S458</f>
        <v>0</v>
      </c>
      <c r="P49" s="711">
        <f>Bilans_E_AMS_Kyoto_run3_MTE!T458+Bilans_E_AMS_Kyoto_run3_MTE!U458</f>
        <v>228.80859050100952</v>
      </c>
      <c r="Q49" s="711">
        <f>Bilans_E_AMS_Kyoto_run3_MTE!V458</f>
        <v>44.117114546253134</v>
      </c>
      <c r="R49" s="711">
        <f>Bilans_E_AMS_Kyoto_run3_MTE!W458</f>
        <v>0</v>
      </c>
      <c r="S49" s="711">
        <f>Bilans_E_AMS_Kyoto_run3_MTE!X458</f>
        <v>0</v>
      </c>
      <c r="T49" s="711">
        <f>Bilans_E_AMS_Kyoto_run3_MTE!Y458</f>
        <v>0</v>
      </c>
      <c r="U49" s="711">
        <f>Bilans_E_AMS_Kyoto_run3_MTE!Z458</f>
        <v>2217.7711392549036</v>
      </c>
      <c r="V49" s="701"/>
      <c r="W49" s="701"/>
    </row>
    <row r="50" spans="1:23" x14ac:dyDescent="0.25">
      <c r="A50" s="701" t="s">
        <v>488</v>
      </c>
      <c r="B50" s="701"/>
      <c r="C50" s="710" t="s">
        <v>60</v>
      </c>
      <c r="D50" s="712">
        <f>Bilans_E_AMS_Kyoto_run3_MTE!H459</f>
        <v>4.7190318603515626</v>
      </c>
      <c r="E50" s="712">
        <f>Bilans_E_AMS_Kyoto_run3_MTE!I459</f>
        <v>177.55502583689511</v>
      </c>
      <c r="F50" s="712">
        <f>Bilans_E_AMS_Kyoto_run3_MTE!J459</f>
        <v>35.526382887078427</v>
      </c>
      <c r="G50" s="712">
        <f>Bilans_E_AMS_Kyoto_run3_MTE!K459</f>
        <v>8.2447057853181924</v>
      </c>
      <c r="H50" s="712">
        <f>Bilans_E_AMS_Kyoto_run3_MTE!L459</f>
        <v>93.790704319687649</v>
      </c>
      <c r="I50" s="712">
        <f>Bilans_E_AMS_Kyoto_run3_MTE!M459</f>
        <v>0</v>
      </c>
      <c r="J50" s="712">
        <f>Bilans_E_AMS_Kyoto_run3_MTE!N459</f>
        <v>0</v>
      </c>
      <c r="K50" s="712">
        <f>Bilans_E_AMS_Kyoto_run3_MTE!O459</f>
        <v>0</v>
      </c>
      <c r="L50" s="712">
        <f>Bilans_E_AMS_Kyoto_run3_MTE!P459</f>
        <v>7.7767614364420297</v>
      </c>
      <c r="M50" s="712">
        <f>Bilans_E_AMS_Kyoto_run3_MTE!Q459</f>
        <v>0</v>
      </c>
      <c r="N50" s="712">
        <f>Bilans_E_AMS_Kyoto_run3_MTE!R459</f>
        <v>7.7564977806323299</v>
      </c>
      <c r="O50" s="712">
        <f>Bilans_E_AMS_Kyoto_run3_MTE!S459</f>
        <v>0</v>
      </c>
      <c r="P50" s="712">
        <f>Bilans_E_AMS_Kyoto_run3_MTE!T459+Bilans_E_AMS_Kyoto_run3_MTE!U459</f>
        <v>0</v>
      </c>
      <c r="Q50" s="712">
        <f>Bilans_E_AMS_Kyoto_run3_MTE!V459</f>
        <v>0</v>
      </c>
      <c r="R50" s="712">
        <f>Bilans_E_AMS_Kyoto_run3_MTE!W459</f>
        <v>0</v>
      </c>
      <c r="S50" s="712">
        <f>Bilans_E_AMS_Kyoto_run3_MTE!X459</f>
        <v>0</v>
      </c>
      <c r="T50" s="712">
        <f>Bilans_E_AMS_Kyoto_run3_MTE!Y459</f>
        <v>0</v>
      </c>
      <c r="U50" s="712">
        <f>Bilans_E_AMS_Kyoto_run3_MTE!Z459</f>
        <v>335.3691099064053</v>
      </c>
      <c r="V50" s="701"/>
      <c r="W50" s="701"/>
    </row>
    <row r="51" spans="1:23" x14ac:dyDescent="0.25">
      <c r="A51" s="701" t="s">
        <v>489</v>
      </c>
      <c r="B51" s="701"/>
      <c r="C51" s="710" t="s">
        <v>61</v>
      </c>
      <c r="D51" s="712">
        <f>Bilans_E_AMS_Kyoto_run3_MTE!H460</f>
        <v>0</v>
      </c>
      <c r="E51" s="712">
        <f>Bilans_E_AMS_Kyoto_run3_MTE!I460</f>
        <v>0</v>
      </c>
      <c r="F51" s="712">
        <f>Bilans_E_AMS_Kyoto_run3_MTE!J460</f>
        <v>0</v>
      </c>
      <c r="G51" s="712">
        <f>Bilans_E_AMS_Kyoto_run3_MTE!K460</f>
        <v>0</v>
      </c>
      <c r="H51" s="712">
        <f>Bilans_E_AMS_Kyoto_run3_MTE!L460</f>
        <v>0</v>
      </c>
      <c r="I51" s="712">
        <f>Bilans_E_AMS_Kyoto_run3_MTE!M460</f>
        <v>0</v>
      </c>
      <c r="J51" s="712">
        <f>Bilans_E_AMS_Kyoto_run3_MTE!N460</f>
        <v>0</v>
      </c>
      <c r="K51" s="712">
        <f>Bilans_E_AMS_Kyoto_run3_MTE!O460</f>
        <v>0</v>
      </c>
      <c r="L51" s="712">
        <f>Bilans_E_AMS_Kyoto_run3_MTE!P460</f>
        <v>0</v>
      </c>
      <c r="M51" s="712">
        <f>Bilans_E_AMS_Kyoto_run3_MTE!Q460</f>
        <v>0</v>
      </c>
      <c r="N51" s="712">
        <f>Bilans_E_AMS_Kyoto_run3_MTE!R460</f>
        <v>0</v>
      </c>
      <c r="O51" s="712">
        <f>Bilans_E_AMS_Kyoto_run3_MTE!S460</f>
        <v>-11.927582935629047</v>
      </c>
      <c r="P51" s="712">
        <f>Bilans_E_AMS_Kyoto_run3_MTE!T460+Bilans_E_AMS_Kyoto_run3_MTE!U460</f>
        <v>0</v>
      </c>
      <c r="Q51" s="712">
        <f>Bilans_E_AMS_Kyoto_run3_MTE!V460</f>
        <v>0</v>
      </c>
      <c r="R51" s="712">
        <f>Bilans_E_AMS_Kyoto_run3_MTE!W460</f>
        <v>-91.926243378286927</v>
      </c>
      <c r="S51" s="712">
        <f>Bilans_E_AMS_Kyoto_run3_MTE!X460</f>
        <v>0</v>
      </c>
      <c r="T51" s="712">
        <f>Bilans_E_AMS_Kyoto_run3_MTE!Y460</f>
        <v>0</v>
      </c>
      <c r="U51" s="712">
        <f>Bilans_E_AMS_Kyoto_run3_MTE!Z460</f>
        <v>-103.85382631391597</v>
      </c>
      <c r="V51" s="701"/>
      <c r="W51" s="701"/>
    </row>
    <row r="52" spans="1:23" x14ac:dyDescent="0.25">
      <c r="A52" s="701" t="s">
        <v>490</v>
      </c>
      <c r="B52" s="701"/>
      <c r="C52" s="710" t="s">
        <v>62</v>
      </c>
      <c r="D52" s="711">
        <f>Bilans_E_AMS_Kyoto_run3_MTE!H461</f>
        <v>0</v>
      </c>
      <c r="E52" s="711">
        <f>Bilans_E_AMS_Kyoto_run3_MTE!I461</f>
        <v>0</v>
      </c>
      <c r="F52" s="711">
        <f>Bilans_E_AMS_Kyoto_run3_MTE!J461</f>
        <v>-3.9597709546196729</v>
      </c>
      <c r="G52" s="711">
        <f>Bilans_E_AMS_Kyoto_run3_MTE!K461</f>
        <v>-1.6687304711455928</v>
      </c>
      <c r="H52" s="711">
        <f>Bilans_E_AMS_Kyoto_run3_MTE!L461</f>
        <v>0</v>
      </c>
      <c r="I52" s="711">
        <f>Bilans_E_AMS_Kyoto_run3_MTE!M461</f>
        <v>-1.7692389987108714</v>
      </c>
      <c r="J52" s="711">
        <f>Bilans_E_AMS_Kyoto_run3_MTE!N461</f>
        <v>0</v>
      </c>
      <c r="K52" s="711">
        <f>Bilans_E_AMS_Kyoto_run3_MTE!O461</f>
        <v>0</v>
      </c>
      <c r="L52" s="711">
        <f>Bilans_E_AMS_Kyoto_run3_MTE!P461</f>
        <v>0</v>
      </c>
      <c r="M52" s="711">
        <f>Bilans_E_AMS_Kyoto_run3_MTE!Q461</f>
        <v>0</v>
      </c>
      <c r="N52" s="711">
        <f>Bilans_E_AMS_Kyoto_run3_MTE!R461</f>
        <v>0</v>
      </c>
      <c r="O52" s="711">
        <f>Bilans_E_AMS_Kyoto_run3_MTE!S461</f>
        <v>-1.504748971161108</v>
      </c>
      <c r="P52" s="711">
        <f>Bilans_E_AMS_Kyoto_run3_MTE!T461+Bilans_E_AMS_Kyoto_run3_MTE!U461</f>
        <v>0</v>
      </c>
      <c r="Q52" s="711">
        <f>Bilans_E_AMS_Kyoto_run3_MTE!V461</f>
        <v>0</v>
      </c>
      <c r="R52" s="711">
        <f>Bilans_E_AMS_Kyoto_run3_MTE!W461</f>
        <v>0</v>
      </c>
      <c r="S52" s="711">
        <f>Bilans_E_AMS_Kyoto_run3_MTE!X461</f>
        <v>0</v>
      </c>
      <c r="T52" s="711">
        <f>Bilans_E_AMS_Kyoto_run3_MTE!Y461</f>
        <v>-0.86329073643245491</v>
      </c>
      <c r="U52" s="711">
        <f>Bilans_E_AMS_Kyoto_run3_MTE!Z461</f>
        <v>-9.7657801320697004</v>
      </c>
      <c r="V52" s="701"/>
      <c r="W52" s="701"/>
    </row>
    <row r="53" spans="1:23" x14ac:dyDescent="0.25">
      <c r="A53" s="701" t="s">
        <v>491</v>
      </c>
      <c r="B53" s="701"/>
      <c r="C53" s="710" t="s">
        <v>63</v>
      </c>
      <c r="D53" s="711">
        <f>Bilans_E_AMS_Kyoto_run3_MTE!H462</f>
        <v>0</v>
      </c>
      <c r="E53" s="711">
        <f>Bilans_E_AMS_Kyoto_run3_MTE!I462</f>
        <v>0</v>
      </c>
      <c r="F53" s="711">
        <f>Bilans_E_AMS_Kyoto_run3_MTE!J462</f>
        <v>-32.199999999999996</v>
      </c>
      <c r="G53" s="711">
        <f>Bilans_E_AMS_Kyoto_run3_MTE!K462</f>
        <v>-12.8</v>
      </c>
      <c r="H53" s="711">
        <f>Bilans_E_AMS_Kyoto_run3_MTE!L462</f>
        <v>0</v>
      </c>
      <c r="I53" s="711">
        <f>Bilans_E_AMS_Kyoto_run3_MTE!M462</f>
        <v>0</v>
      </c>
      <c r="J53" s="711">
        <f>Bilans_E_AMS_Kyoto_run3_MTE!N462</f>
        <v>0</v>
      </c>
      <c r="K53" s="711">
        <f>Bilans_E_AMS_Kyoto_run3_MTE!O462</f>
        <v>0</v>
      </c>
      <c r="L53" s="711">
        <f>Bilans_E_AMS_Kyoto_run3_MTE!P462</f>
        <v>0</v>
      </c>
      <c r="M53" s="711">
        <f>Bilans_E_AMS_Kyoto_run3_MTE!Q462</f>
        <v>0</v>
      </c>
      <c r="N53" s="711">
        <f>Bilans_E_AMS_Kyoto_run3_MTE!R462</f>
        <v>-15.600000000000001</v>
      </c>
      <c r="O53" s="711">
        <f>Bilans_E_AMS_Kyoto_run3_MTE!S462</f>
        <v>0</v>
      </c>
      <c r="P53" s="711">
        <f>Bilans_E_AMS_Kyoto_run3_MTE!T462+Bilans_E_AMS_Kyoto_run3_MTE!U462</f>
        <v>0</v>
      </c>
      <c r="Q53" s="711">
        <f>Bilans_E_AMS_Kyoto_run3_MTE!V462</f>
        <v>0</v>
      </c>
      <c r="R53" s="711">
        <f>Bilans_E_AMS_Kyoto_run3_MTE!W462</f>
        <v>0</v>
      </c>
      <c r="S53" s="711">
        <f>Bilans_E_AMS_Kyoto_run3_MTE!X462</f>
        <v>0</v>
      </c>
      <c r="T53" s="711">
        <f>Bilans_E_AMS_Kyoto_run3_MTE!Y462</f>
        <v>-4.2</v>
      </c>
      <c r="U53" s="711">
        <f>Bilans_E_AMS_Kyoto_run3_MTE!Z462</f>
        <v>-64.8</v>
      </c>
      <c r="V53" s="701"/>
      <c r="W53" s="701"/>
    </row>
    <row r="54" spans="1:23" x14ac:dyDescent="0.25">
      <c r="A54" s="701" t="s">
        <v>492</v>
      </c>
      <c r="B54" s="701"/>
      <c r="C54" s="710" t="s">
        <v>64</v>
      </c>
      <c r="D54" s="712">
        <f>Bilans_E_AMS_Kyoto_run3_MTE!H463</f>
        <v>0</v>
      </c>
      <c r="E54" s="712">
        <f>Bilans_E_AMS_Kyoto_run3_MTE!I463</f>
        <v>0</v>
      </c>
      <c r="F54" s="712">
        <f>Bilans_E_AMS_Kyoto_run3_MTE!J463</f>
        <v>0</v>
      </c>
      <c r="G54" s="712">
        <f>Bilans_E_AMS_Kyoto_run3_MTE!K463</f>
        <v>0</v>
      </c>
      <c r="H54" s="712">
        <f>Bilans_E_AMS_Kyoto_run3_MTE!L463</f>
        <v>0</v>
      </c>
      <c r="I54" s="712">
        <f>Bilans_E_AMS_Kyoto_run3_MTE!M463</f>
        <v>0</v>
      </c>
      <c r="J54" s="712">
        <f>Bilans_E_AMS_Kyoto_run3_MTE!N463</f>
        <v>0</v>
      </c>
      <c r="K54" s="712">
        <f>Bilans_E_AMS_Kyoto_run3_MTE!O463</f>
        <v>0</v>
      </c>
      <c r="L54" s="712">
        <f>Bilans_E_AMS_Kyoto_run3_MTE!P463</f>
        <v>0</v>
      </c>
      <c r="M54" s="712">
        <f>Bilans_E_AMS_Kyoto_run3_MTE!Q463</f>
        <v>0</v>
      </c>
      <c r="N54" s="712">
        <f>Bilans_E_AMS_Kyoto_run3_MTE!R463</f>
        <v>0</v>
      </c>
      <c r="O54" s="712">
        <f>Bilans_E_AMS_Kyoto_run3_MTE!S463</f>
        <v>0</v>
      </c>
      <c r="P54" s="712">
        <f>Bilans_E_AMS_Kyoto_run3_MTE!T463+Bilans_E_AMS_Kyoto_run3_MTE!U463</f>
        <v>0</v>
      </c>
      <c r="Q54" s="712">
        <f>Bilans_E_AMS_Kyoto_run3_MTE!V463</f>
        <v>0</v>
      </c>
      <c r="R54" s="712">
        <f>Bilans_E_AMS_Kyoto_run3_MTE!W463</f>
        <v>0</v>
      </c>
      <c r="S54" s="712">
        <f>Bilans_E_AMS_Kyoto_run3_MTE!X463</f>
        <v>0</v>
      </c>
      <c r="T54" s="712">
        <f>Bilans_E_AMS_Kyoto_run3_MTE!Y463</f>
        <v>0</v>
      </c>
      <c r="U54" s="712">
        <f>Bilans_E_AMS_Kyoto_run3_MTE!Z463</f>
        <v>0</v>
      </c>
      <c r="V54" s="701"/>
      <c r="W54" s="701"/>
    </row>
    <row r="55" spans="1:23" x14ac:dyDescent="0.25">
      <c r="A55" s="701" t="s">
        <v>493</v>
      </c>
      <c r="B55" s="701"/>
      <c r="C55" s="713" t="s">
        <v>65</v>
      </c>
      <c r="D55" s="714">
        <f>Bilans_E_AMS_Kyoto_run3_MTE!H464</f>
        <v>4.7190318603515626</v>
      </c>
      <c r="E55" s="714">
        <f>Bilans_E_AMS_Kyoto_run3_MTE!I464</f>
        <v>177.55502583689511</v>
      </c>
      <c r="F55" s="714">
        <f>Bilans_E_AMS_Kyoto_run3_MTE!J464</f>
        <v>-0.63338806754124022</v>
      </c>
      <c r="G55" s="714">
        <f>Bilans_E_AMS_Kyoto_run3_MTE!K464</f>
        <v>-6.2240246858274011</v>
      </c>
      <c r="H55" s="714">
        <f>Bilans_E_AMS_Kyoto_run3_MTE!L464</f>
        <v>93.790704319687649</v>
      </c>
      <c r="I55" s="714">
        <f>Bilans_E_AMS_Kyoto_run3_MTE!M464</f>
        <v>-1.7692389987108714</v>
      </c>
      <c r="J55" s="714">
        <f>Bilans_E_AMS_Kyoto_run3_MTE!N464</f>
        <v>1099.5846392966657</v>
      </c>
      <c r="K55" s="714">
        <f>Bilans_E_AMS_Kyoto_run3_MTE!O464</f>
        <v>432.558137271254</v>
      </c>
      <c r="L55" s="714">
        <f>Bilans_E_AMS_Kyoto_run3_MTE!P464</f>
        <v>374.3783338774906</v>
      </c>
      <c r="M55" s="714">
        <f>Bilans_E_AMS_Kyoto_run3_MTE!Q464</f>
        <v>46.101085198672763</v>
      </c>
      <c r="N55" s="714">
        <f>Bilans_E_AMS_Kyoto_run3_MTE!R464</f>
        <v>-7.8435022193676716</v>
      </c>
      <c r="O55" s="714">
        <f>Bilans_E_AMS_Kyoto_run3_MTE!S464</f>
        <v>-13.432331906790155</v>
      </c>
      <c r="P55" s="714">
        <f>Bilans_E_AMS_Kyoto_run3_MTE!T464+Bilans_E_AMS_Kyoto_run3_MTE!U464</f>
        <v>228.80859050100952</v>
      </c>
      <c r="Q55" s="714">
        <f>Bilans_E_AMS_Kyoto_run3_MTE!V464</f>
        <v>44.117114546253134</v>
      </c>
      <c r="R55" s="714">
        <f>Bilans_E_AMS_Kyoto_run3_MTE!W464</f>
        <v>-91.926243378286927</v>
      </c>
      <c r="S55" s="714">
        <f>Bilans_E_AMS_Kyoto_run3_MTE!X464</f>
        <v>0</v>
      </c>
      <c r="T55" s="714">
        <f>Bilans_E_AMS_Kyoto_run3_MTE!Y464</f>
        <v>-5.0632907364324549</v>
      </c>
      <c r="U55" s="714">
        <f>Bilans_E_AMS_Kyoto_run3_MTE!Z464</f>
        <v>2374.7206427153233</v>
      </c>
      <c r="V55" s="701"/>
      <c r="W55" s="701"/>
    </row>
    <row r="56" spans="1:23" x14ac:dyDescent="0.25">
      <c r="A56" s="701"/>
      <c r="B56" s="701"/>
      <c r="C56" s="715"/>
      <c r="D56" s="716"/>
      <c r="E56" s="716"/>
      <c r="F56" s="716"/>
      <c r="G56" s="716"/>
      <c r="H56" s="716"/>
      <c r="I56" s="716"/>
      <c r="J56" s="716"/>
      <c r="K56" s="716"/>
      <c r="L56" s="716"/>
      <c r="M56" s="716"/>
      <c r="N56" s="716"/>
      <c r="O56" s="716"/>
      <c r="P56" s="716">
        <f>Bilans_E_AMS_Kyoto_run3_MTE!T465+Bilans_E_AMS_Kyoto_run3_MTE!U465</f>
        <v>0</v>
      </c>
      <c r="Q56" s="716"/>
      <c r="R56" s="716"/>
      <c r="S56" s="716"/>
      <c r="T56" s="716"/>
      <c r="U56" s="716"/>
      <c r="V56" s="701"/>
      <c r="W56" s="701"/>
    </row>
    <row r="57" spans="1:23" x14ac:dyDescent="0.25">
      <c r="A57" s="701" t="s">
        <v>494</v>
      </c>
      <c r="B57" s="701"/>
      <c r="C57" s="717" t="s">
        <v>67</v>
      </c>
      <c r="D57" s="711">
        <f>Bilans_E_AMS_Kyoto_run3_MTE!H466</f>
        <v>0</v>
      </c>
      <c r="E57" s="711">
        <f>Bilans_E_AMS_Kyoto_run3_MTE!I466</f>
        <v>0</v>
      </c>
      <c r="F57" s="711">
        <f>Bilans_E_AMS_Kyoto_run3_MTE!J466</f>
        <v>0</v>
      </c>
      <c r="G57" s="711">
        <f>Bilans_E_AMS_Kyoto_run3_MTE!K466</f>
        <v>0</v>
      </c>
      <c r="H57" s="711">
        <f>Bilans_E_AMS_Kyoto_run3_MTE!L466</f>
        <v>0</v>
      </c>
      <c r="I57" s="711">
        <f>Bilans_E_AMS_Kyoto_run3_MTE!M466</f>
        <v>0</v>
      </c>
      <c r="J57" s="711">
        <f>Bilans_E_AMS_Kyoto_run3_MTE!N466</f>
        <v>0</v>
      </c>
      <c r="K57" s="711">
        <f>Bilans_E_AMS_Kyoto_run3_MTE!O466</f>
        <v>0</v>
      </c>
      <c r="L57" s="711">
        <f>Bilans_E_AMS_Kyoto_run3_MTE!P466</f>
        <v>0</v>
      </c>
      <c r="M57" s="711">
        <f>Bilans_E_AMS_Kyoto_run3_MTE!Q466</f>
        <v>0</v>
      </c>
      <c r="N57" s="711">
        <f>Bilans_E_AMS_Kyoto_run3_MTE!R466</f>
        <v>0</v>
      </c>
      <c r="O57" s="711">
        <f>Bilans_E_AMS_Kyoto_run3_MTE!S466</f>
        <v>0</v>
      </c>
      <c r="P57" s="711">
        <f>Bilans_E_AMS_Kyoto_run3_MTE!T466+Bilans_E_AMS_Kyoto_run3_MTE!U466</f>
        <v>0</v>
      </c>
      <c r="Q57" s="711">
        <f>Bilans_E_AMS_Kyoto_run3_MTE!V466</f>
        <v>0</v>
      </c>
      <c r="R57" s="711">
        <f>Bilans_E_AMS_Kyoto_run3_MTE!W466</f>
        <v>0</v>
      </c>
      <c r="S57" s="711">
        <f>Bilans_E_AMS_Kyoto_run3_MTE!X466</f>
        <v>0</v>
      </c>
      <c r="T57" s="711">
        <f>Bilans_E_AMS_Kyoto_run3_MTE!Y466</f>
        <v>0</v>
      </c>
      <c r="U57" s="711">
        <f>Bilans_E_AMS_Kyoto_run3_MTE!Z466</f>
        <v>0</v>
      </c>
      <c r="V57" s="701"/>
      <c r="W57" s="701"/>
    </row>
    <row r="58" spans="1:23" x14ac:dyDescent="0.25">
      <c r="A58" s="701" t="s">
        <v>495</v>
      </c>
      <c r="B58" s="701"/>
      <c r="C58" s="717" t="s">
        <v>347</v>
      </c>
      <c r="D58" s="711">
        <f>Bilans_E_AMS_Kyoto_run3_MTE!H467</f>
        <v>0</v>
      </c>
      <c r="E58" s="711">
        <f>Bilans_E_AMS_Kyoto_run3_MTE!I467</f>
        <v>0</v>
      </c>
      <c r="F58" s="711">
        <f>Bilans_E_AMS_Kyoto_run3_MTE!J467</f>
        <v>2.6460781360013397E-2</v>
      </c>
      <c r="G58" s="711">
        <f>Bilans_E_AMS_Kyoto_run3_MTE!K467</f>
        <v>0</v>
      </c>
      <c r="H58" s="711">
        <f>Bilans_E_AMS_Kyoto_run3_MTE!L467</f>
        <v>2.3319683433476327E-3</v>
      </c>
      <c r="I58" s="711">
        <f>Bilans_E_AMS_Kyoto_run3_MTE!M467</f>
        <v>0</v>
      </c>
      <c r="J58" s="711">
        <f>Bilans_E_AMS_Kyoto_run3_MTE!N467</f>
        <v>1094.3390181818181</v>
      </c>
      <c r="K58" s="711">
        <f>Bilans_E_AMS_Kyoto_run3_MTE!O467</f>
        <v>432.558137271254</v>
      </c>
      <c r="L58" s="711">
        <f>Bilans_E_AMS_Kyoto_run3_MTE!P467</f>
        <v>17.878777557508954</v>
      </c>
      <c r="M58" s="711">
        <f>Bilans_E_AMS_Kyoto_run3_MTE!Q467</f>
        <v>5.4304217786079292</v>
      </c>
      <c r="N58" s="711">
        <f>Bilans_E_AMS_Kyoto_run3_MTE!R467</f>
        <v>6.0578717375904887</v>
      </c>
      <c r="O58" s="711">
        <f>Bilans_E_AMS_Kyoto_run3_MTE!S467</f>
        <v>0.11581039979962704</v>
      </c>
      <c r="P58" s="711">
        <f>Bilans_E_AMS_Kyoto_run3_MTE!T467+Bilans_E_AMS_Kyoto_run3_MTE!U467</f>
        <v>0</v>
      </c>
      <c r="Q58" s="711">
        <f>Bilans_E_AMS_Kyoto_run3_MTE!V467</f>
        <v>6.4590957564387725</v>
      </c>
      <c r="R58" s="711">
        <f>Bilans_E_AMS_Kyoto_run3_MTE!W467</f>
        <v>-810.5836017522513</v>
      </c>
      <c r="S58" s="711">
        <f>Bilans_E_AMS_Kyoto_run3_MTE!X467</f>
        <v>0</v>
      </c>
      <c r="T58" s="711">
        <f>Bilans_E_AMS_Kyoto_run3_MTE!Y467</f>
        <v>0</v>
      </c>
      <c r="U58" s="711">
        <f>Bilans_E_AMS_Kyoto_run3_MTE!Z467</f>
        <v>752.28432368046992</v>
      </c>
      <c r="V58" s="701"/>
      <c r="W58" s="701"/>
    </row>
    <row r="59" spans="1:23" x14ac:dyDescent="0.25">
      <c r="A59" s="701" t="s">
        <v>496</v>
      </c>
      <c r="B59" s="701"/>
      <c r="C59" s="717" t="s">
        <v>348</v>
      </c>
      <c r="D59" s="711">
        <f>Bilans_E_AMS_Kyoto_run3_MTE!H468</f>
        <v>0</v>
      </c>
      <c r="E59" s="711">
        <f>Bilans_E_AMS_Kyoto_run3_MTE!I468</f>
        <v>0</v>
      </c>
      <c r="F59" s="711">
        <f>Bilans_E_AMS_Kyoto_run3_MTE!J468</f>
        <v>0</v>
      </c>
      <c r="G59" s="711">
        <f>Bilans_E_AMS_Kyoto_run3_MTE!K468</f>
        <v>0</v>
      </c>
      <c r="H59" s="711">
        <f>Bilans_E_AMS_Kyoto_run3_MTE!L468</f>
        <v>11.361302050509126</v>
      </c>
      <c r="I59" s="711">
        <f>Bilans_E_AMS_Kyoto_run3_MTE!M468</f>
        <v>0.11959265316325396</v>
      </c>
      <c r="J59" s="711">
        <f>Bilans_E_AMS_Kyoto_run3_MTE!N468</f>
        <v>5.2456211148474967</v>
      </c>
      <c r="K59" s="711">
        <f>Bilans_E_AMS_Kyoto_run3_MTE!O468</f>
        <v>0</v>
      </c>
      <c r="L59" s="711">
        <f>Bilans_E_AMS_Kyoto_run3_MTE!P468</f>
        <v>23.710249533581198</v>
      </c>
      <c r="M59" s="711">
        <f>Bilans_E_AMS_Kyoto_run3_MTE!Q468</f>
        <v>12.653124911951959</v>
      </c>
      <c r="N59" s="711">
        <f>Bilans_E_AMS_Kyoto_run3_MTE!R468</f>
        <v>0</v>
      </c>
      <c r="O59" s="711">
        <f>Bilans_E_AMS_Kyoto_run3_MTE!S468</f>
        <v>8.4660785396177261</v>
      </c>
      <c r="P59" s="711">
        <f>Bilans_E_AMS_Kyoto_run3_MTE!T468+Bilans_E_AMS_Kyoto_run3_MTE!U468</f>
        <v>18.404716933116433</v>
      </c>
      <c r="Q59" s="711">
        <f>Bilans_E_AMS_Kyoto_run3_MTE!V468</f>
        <v>13.404801159439005</v>
      </c>
      <c r="R59" s="711">
        <f>Bilans_E_AMS_Kyoto_run3_MTE!W468</f>
        <v>0</v>
      </c>
      <c r="S59" s="711">
        <f>Bilans_E_AMS_Kyoto_run3_MTE!X468</f>
        <v>-86.867525789433259</v>
      </c>
      <c r="T59" s="711">
        <f>Bilans_E_AMS_Kyoto_run3_MTE!Y468</f>
        <v>0</v>
      </c>
      <c r="U59" s="711">
        <f>Bilans_E_AMS_Kyoto_run3_MTE!Z468</f>
        <v>6.4979611067929426</v>
      </c>
      <c r="V59" s="701"/>
      <c r="W59" s="701"/>
    </row>
    <row r="60" spans="1:23" x14ac:dyDescent="0.25">
      <c r="A60" s="701" t="s">
        <v>497</v>
      </c>
      <c r="B60" s="701"/>
      <c r="C60" s="717" t="s">
        <v>349</v>
      </c>
      <c r="D60" s="711">
        <f>Bilans_E_AMS_Kyoto_run3_MTE!H469</f>
        <v>0</v>
      </c>
      <c r="E60" s="711">
        <f>Bilans_E_AMS_Kyoto_run3_MTE!I469</f>
        <v>0</v>
      </c>
      <c r="F60" s="711">
        <f>Bilans_E_AMS_Kyoto_run3_MTE!J469</f>
        <v>0</v>
      </c>
      <c r="G60" s="711">
        <f>Bilans_E_AMS_Kyoto_run3_MTE!K469</f>
        <v>0</v>
      </c>
      <c r="H60" s="711">
        <f>Bilans_E_AMS_Kyoto_run3_MTE!L469</f>
        <v>0</v>
      </c>
      <c r="I60" s="711">
        <f>Bilans_E_AMS_Kyoto_run3_MTE!M469</f>
        <v>0</v>
      </c>
      <c r="J60" s="711">
        <f>Bilans_E_AMS_Kyoto_run3_MTE!N469</f>
        <v>0</v>
      </c>
      <c r="K60" s="711">
        <f>Bilans_E_AMS_Kyoto_run3_MTE!O469</f>
        <v>0</v>
      </c>
      <c r="L60" s="711">
        <f>Bilans_E_AMS_Kyoto_run3_MTE!P469</f>
        <v>138.07928558547806</v>
      </c>
      <c r="M60" s="711">
        <f>Bilans_E_AMS_Kyoto_run3_MTE!Q469</f>
        <v>12.388866886032204</v>
      </c>
      <c r="N60" s="711">
        <f>Bilans_E_AMS_Kyoto_run3_MTE!R469</f>
        <v>0</v>
      </c>
      <c r="O60" s="711">
        <f>Bilans_E_AMS_Kyoto_run3_MTE!S469</f>
        <v>-75.318683922078151</v>
      </c>
      <c r="P60" s="711">
        <f>Bilans_E_AMS_Kyoto_run3_MTE!T469+Bilans_E_AMS_Kyoto_run3_MTE!U469</f>
        <v>0</v>
      </c>
      <c r="Q60" s="711">
        <f>Bilans_E_AMS_Kyoto_run3_MTE!V469</f>
        <v>0</v>
      </c>
      <c r="R60" s="711">
        <f>Bilans_E_AMS_Kyoto_run3_MTE!W469</f>
        <v>0</v>
      </c>
      <c r="S60" s="711">
        <f>Bilans_E_AMS_Kyoto_run3_MTE!X469</f>
        <v>0</v>
      </c>
      <c r="T60" s="711">
        <f>Bilans_E_AMS_Kyoto_run3_MTE!Y469</f>
        <v>0</v>
      </c>
      <c r="U60" s="711">
        <f>Bilans_E_AMS_Kyoto_run3_MTE!Z469</f>
        <v>75.149468549432129</v>
      </c>
      <c r="V60" s="701"/>
      <c r="W60" s="701"/>
    </row>
    <row r="61" spans="1:23" x14ac:dyDescent="0.25">
      <c r="A61" s="701" t="s">
        <v>498</v>
      </c>
      <c r="B61" s="701"/>
      <c r="C61" s="717" t="s">
        <v>350</v>
      </c>
      <c r="D61" s="711">
        <f>Bilans_E_AMS_Kyoto_run3_MTE!H470</f>
        <v>0</v>
      </c>
      <c r="E61" s="711">
        <f>Bilans_E_AMS_Kyoto_run3_MTE!I470</f>
        <v>0</v>
      </c>
      <c r="F61" s="711">
        <f>Bilans_E_AMS_Kyoto_run3_MTE!J470</f>
        <v>0</v>
      </c>
      <c r="G61" s="711">
        <f>Bilans_E_AMS_Kyoto_run3_MTE!K470</f>
        <v>0</v>
      </c>
      <c r="H61" s="711">
        <f>Bilans_E_AMS_Kyoto_run3_MTE!L470</f>
        <v>0</v>
      </c>
      <c r="I61" s="711">
        <f>Bilans_E_AMS_Kyoto_run3_MTE!M470</f>
        <v>-2.6425947059180688</v>
      </c>
      <c r="J61" s="711">
        <f>Bilans_E_AMS_Kyoto_run3_MTE!N470</f>
        <v>0</v>
      </c>
      <c r="K61" s="711">
        <f>Bilans_E_AMS_Kyoto_run3_MTE!O470</f>
        <v>0</v>
      </c>
      <c r="L61" s="711">
        <f>Bilans_E_AMS_Kyoto_run3_MTE!P470</f>
        <v>0</v>
      </c>
      <c r="M61" s="711">
        <f>Bilans_E_AMS_Kyoto_run3_MTE!Q470</f>
        <v>0</v>
      </c>
      <c r="N61" s="711">
        <f>Bilans_E_AMS_Kyoto_run3_MTE!R470</f>
        <v>0</v>
      </c>
      <c r="O61" s="711">
        <f>Bilans_E_AMS_Kyoto_run3_MTE!S470</f>
        <v>0</v>
      </c>
      <c r="P61" s="711">
        <f>Bilans_E_AMS_Kyoto_run3_MTE!T470+Bilans_E_AMS_Kyoto_run3_MTE!U470</f>
        <v>0</v>
      </c>
      <c r="Q61" s="711">
        <f>Bilans_E_AMS_Kyoto_run3_MTE!V470</f>
        <v>0</v>
      </c>
      <c r="R61" s="711">
        <f>Bilans_E_AMS_Kyoto_run3_MTE!W470</f>
        <v>0</v>
      </c>
      <c r="S61" s="711">
        <f>Bilans_E_AMS_Kyoto_run3_MTE!X470</f>
        <v>0</v>
      </c>
      <c r="T61" s="711">
        <f>Bilans_E_AMS_Kyoto_run3_MTE!Y470</f>
        <v>3.6634319020026336</v>
      </c>
      <c r="U61" s="711">
        <f>Bilans_E_AMS_Kyoto_run3_MTE!Z470</f>
        <v>1.0208371960845648</v>
      </c>
      <c r="V61" s="701"/>
      <c r="W61" s="701"/>
    </row>
    <row r="62" spans="1:23" x14ac:dyDescent="0.25">
      <c r="A62" s="701" t="s">
        <v>499</v>
      </c>
      <c r="B62" s="701"/>
      <c r="C62" s="717" t="s">
        <v>72</v>
      </c>
      <c r="D62" s="711">
        <f>Bilans_E_AMS_Kyoto_run3_MTE!H471</f>
        <v>0</v>
      </c>
      <c r="E62" s="711">
        <f>Bilans_E_AMS_Kyoto_run3_MTE!I471</f>
        <v>183.99004915233374</v>
      </c>
      <c r="F62" s="711">
        <f>Bilans_E_AMS_Kyoto_run3_MTE!J471</f>
        <v>-182.1501486608104</v>
      </c>
      <c r="G62" s="711">
        <f>Bilans_E_AMS_Kyoto_run3_MTE!K471</f>
        <v>0</v>
      </c>
      <c r="H62" s="711">
        <f>Bilans_E_AMS_Kyoto_run3_MTE!L471</f>
        <v>0</v>
      </c>
      <c r="I62" s="711">
        <f>Bilans_E_AMS_Kyoto_run3_MTE!M471</f>
        <v>0</v>
      </c>
      <c r="J62" s="711">
        <f>Bilans_E_AMS_Kyoto_run3_MTE!N471</f>
        <v>0</v>
      </c>
      <c r="K62" s="711">
        <f>Bilans_E_AMS_Kyoto_run3_MTE!O471</f>
        <v>0</v>
      </c>
      <c r="L62" s="711">
        <f>Bilans_E_AMS_Kyoto_run3_MTE!P471</f>
        <v>0</v>
      </c>
      <c r="M62" s="711">
        <f>Bilans_E_AMS_Kyoto_run3_MTE!Q471</f>
        <v>0</v>
      </c>
      <c r="N62" s="711">
        <f>Bilans_E_AMS_Kyoto_run3_MTE!R471</f>
        <v>0</v>
      </c>
      <c r="O62" s="711">
        <f>Bilans_E_AMS_Kyoto_run3_MTE!S471</f>
        <v>0</v>
      </c>
      <c r="P62" s="711">
        <f>Bilans_E_AMS_Kyoto_run3_MTE!T471+Bilans_E_AMS_Kyoto_run3_MTE!U471</f>
        <v>0</v>
      </c>
      <c r="Q62" s="711">
        <f>Bilans_E_AMS_Kyoto_run3_MTE!V471</f>
        <v>0</v>
      </c>
      <c r="R62" s="711">
        <f>Bilans_E_AMS_Kyoto_run3_MTE!W471</f>
        <v>0</v>
      </c>
      <c r="S62" s="711">
        <f>Bilans_E_AMS_Kyoto_run3_MTE!X471</f>
        <v>0</v>
      </c>
      <c r="T62" s="711">
        <f>Bilans_E_AMS_Kyoto_run3_MTE!Y471</f>
        <v>0</v>
      </c>
      <c r="U62" s="711">
        <f>Bilans_E_AMS_Kyoto_run3_MTE!Z471</f>
        <v>1.8399004915233377</v>
      </c>
      <c r="V62" s="701"/>
      <c r="W62" s="701"/>
    </row>
    <row r="63" spans="1:23" x14ac:dyDescent="0.25">
      <c r="A63" s="701" t="s">
        <v>500</v>
      </c>
      <c r="B63" s="701"/>
      <c r="C63" s="717" t="s">
        <v>351</v>
      </c>
      <c r="D63" s="711">
        <f>Bilans_E_AMS_Kyoto_run3_MTE!H472</f>
        <v>0</v>
      </c>
      <c r="E63" s="711">
        <f>Bilans_E_AMS_Kyoto_run3_MTE!I472</f>
        <v>0</v>
      </c>
      <c r="F63" s="711">
        <f>Bilans_E_AMS_Kyoto_run3_MTE!J472</f>
        <v>0</v>
      </c>
      <c r="G63" s="711">
        <f>Bilans_E_AMS_Kyoto_run3_MTE!K472</f>
        <v>0</v>
      </c>
      <c r="H63" s="711">
        <f>Bilans_E_AMS_Kyoto_run3_MTE!L472</f>
        <v>0</v>
      </c>
      <c r="I63" s="711">
        <f>Bilans_E_AMS_Kyoto_run3_MTE!M472</f>
        <v>0</v>
      </c>
      <c r="J63" s="711">
        <f>Bilans_E_AMS_Kyoto_run3_MTE!N472</f>
        <v>0</v>
      </c>
      <c r="K63" s="711">
        <f>Bilans_E_AMS_Kyoto_run3_MTE!O472</f>
        <v>0</v>
      </c>
      <c r="L63" s="711">
        <f>Bilans_E_AMS_Kyoto_run3_MTE!P472</f>
        <v>98.264059426631164</v>
      </c>
      <c r="M63" s="711">
        <f>Bilans_E_AMS_Kyoto_run3_MTE!Q472</f>
        <v>7.2727272727272725</v>
      </c>
      <c r="N63" s="711">
        <f>Bilans_E_AMS_Kyoto_run3_MTE!R472</f>
        <v>-58.881352983692381</v>
      </c>
      <c r="O63" s="711">
        <f>Bilans_E_AMS_Kyoto_run3_MTE!S472</f>
        <v>0</v>
      </c>
      <c r="P63" s="711">
        <f>Bilans_E_AMS_Kyoto_run3_MTE!T472+Bilans_E_AMS_Kyoto_run3_MTE!U472</f>
        <v>0</v>
      </c>
      <c r="Q63" s="711">
        <f>Bilans_E_AMS_Kyoto_run3_MTE!V472</f>
        <v>0</v>
      </c>
      <c r="R63" s="711">
        <f>Bilans_E_AMS_Kyoto_run3_MTE!W472</f>
        <v>0</v>
      </c>
      <c r="S63" s="711">
        <f>Bilans_E_AMS_Kyoto_run3_MTE!X472</f>
        <v>0</v>
      </c>
      <c r="T63" s="711">
        <f>Bilans_E_AMS_Kyoto_run3_MTE!Y472</f>
        <v>0</v>
      </c>
      <c r="U63" s="711">
        <f>Bilans_E_AMS_Kyoto_run3_MTE!Z472</f>
        <v>46.655433715666049</v>
      </c>
      <c r="V63" s="701"/>
      <c r="W63" s="701"/>
    </row>
    <row r="64" spans="1:23" x14ac:dyDescent="0.25">
      <c r="A64" s="701" t="s">
        <v>501</v>
      </c>
      <c r="B64" s="701"/>
      <c r="C64" s="717" t="s">
        <v>352</v>
      </c>
      <c r="D64" s="711">
        <f>Bilans_E_AMS_Kyoto_run3_MTE!H473</f>
        <v>0</v>
      </c>
      <c r="E64" s="711">
        <f>Bilans_E_AMS_Kyoto_run3_MTE!I473</f>
        <v>0</v>
      </c>
      <c r="F64" s="711">
        <f>Bilans_E_AMS_Kyoto_run3_MTE!J473</f>
        <v>0</v>
      </c>
      <c r="G64" s="711">
        <f>Bilans_E_AMS_Kyoto_run3_MTE!K473</f>
        <v>-10.918730471145594</v>
      </c>
      <c r="H64" s="711">
        <f>Bilans_E_AMS_Kyoto_run3_MTE!L473</f>
        <v>0</v>
      </c>
      <c r="I64" s="711">
        <f>Bilans_E_AMS_Kyoto_run3_MTE!M473</f>
        <v>0</v>
      </c>
      <c r="J64" s="711">
        <f>Bilans_E_AMS_Kyoto_run3_MTE!N473</f>
        <v>0</v>
      </c>
      <c r="K64" s="711">
        <f>Bilans_E_AMS_Kyoto_run3_MTE!O473</f>
        <v>0</v>
      </c>
      <c r="L64" s="711">
        <f>Bilans_E_AMS_Kyoto_run3_MTE!P473</f>
        <v>0</v>
      </c>
      <c r="M64" s="711">
        <f>Bilans_E_AMS_Kyoto_run3_MTE!Q473</f>
        <v>0</v>
      </c>
      <c r="N64" s="711">
        <f>Bilans_E_AMS_Kyoto_run3_MTE!R473</f>
        <v>0</v>
      </c>
      <c r="O64" s="711">
        <f>Bilans_E_AMS_Kyoto_run3_MTE!S473</f>
        <v>0</v>
      </c>
      <c r="P64" s="711">
        <f>Bilans_E_AMS_Kyoto_run3_MTE!T473+Bilans_E_AMS_Kyoto_run3_MTE!U473</f>
        <v>0</v>
      </c>
      <c r="Q64" s="711">
        <f>Bilans_E_AMS_Kyoto_run3_MTE!V473</f>
        <v>0</v>
      </c>
      <c r="R64" s="711">
        <f>Bilans_E_AMS_Kyoto_run3_MTE!W473</f>
        <v>0</v>
      </c>
      <c r="S64" s="711">
        <f>Bilans_E_AMS_Kyoto_run3_MTE!X473</f>
        <v>0</v>
      </c>
      <c r="T64" s="711">
        <f>Bilans_E_AMS_Kyoto_run3_MTE!Y473</f>
        <v>18.115603518260158</v>
      </c>
      <c r="U64" s="711">
        <f>Bilans_E_AMS_Kyoto_run3_MTE!Z473</f>
        <v>7.1968730471145648</v>
      </c>
      <c r="V64" s="701"/>
      <c r="W64" s="701"/>
    </row>
    <row r="65" spans="1:23" x14ac:dyDescent="0.25">
      <c r="A65" s="701" t="s">
        <v>502</v>
      </c>
      <c r="B65" s="701"/>
      <c r="C65" s="717" t="s">
        <v>73</v>
      </c>
      <c r="D65" s="711">
        <f>Bilans_E_AMS_Kyoto_run3_MTE!H474</f>
        <v>0</v>
      </c>
      <c r="E65" s="711">
        <f>Bilans_E_AMS_Kyoto_run3_MTE!I474</f>
        <v>0</v>
      </c>
      <c r="F65" s="711">
        <f>Bilans_E_AMS_Kyoto_run3_MTE!J474</f>
        <v>0</v>
      </c>
      <c r="G65" s="711">
        <f>Bilans_E_AMS_Kyoto_run3_MTE!K474</f>
        <v>0</v>
      </c>
      <c r="H65" s="711">
        <f>Bilans_E_AMS_Kyoto_run3_MTE!L474</f>
        <v>0</v>
      </c>
      <c r="I65" s="711">
        <f>Bilans_E_AMS_Kyoto_run3_MTE!M474</f>
        <v>0</v>
      </c>
      <c r="J65" s="711">
        <f>Bilans_E_AMS_Kyoto_run3_MTE!N474</f>
        <v>0</v>
      </c>
      <c r="K65" s="711">
        <f>Bilans_E_AMS_Kyoto_run3_MTE!O474</f>
        <v>0</v>
      </c>
      <c r="L65" s="711">
        <f>Bilans_E_AMS_Kyoto_run3_MTE!P474</f>
        <v>0</v>
      </c>
      <c r="M65" s="711">
        <f>Bilans_E_AMS_Kyoto_run3_MTE!Q474</f>
        <v>0</v>
      </c>
      <c r="N65" s="711">
        <f>Bilans_E_AMS_Kyoto_run3_MTE!R474</f>
        <v>0</v>
      </c>
      <c r="O65" s="711">
        <f>Bilans_E_AMS_Kyoto_run3_MTE!S474</f>
        <v>0</v>
      </c>
      <c r="P65" s="711">
        <f>Bilans_E_AMS_Kyoto_run3_MTE!T474+Bilans_E_AMS_Kyoto_run3_MTE!U474</f>
        <v>0</v>
      </c>
      <c r="Q65" s="711">
        <f>Bilans_E_AMS_Kyoto_run3_MTE!V474</f>
        <v>0</v>
      </c>
      <c r="R65" s="711">
        <f>Bilans_E_AMS_Kyoto_run3_MTE!W474</f>
        <v>71.82433773705074</v>
      </c>
      <c r="S65" s="711">
        <f>Bilans_E_AMS_Kyoto_run3_MTE!X474</f>
        <v>0</v>
      </c>
      <c r="T65" s="711">
        <f>Bilans_E_AMS_Kyoto_run3_MTE!Y474</f>
        <v>-49.953826896118791</v>
      </c>
      <c r="U65" s="711">
        <f>Bilans_E_AMS_Kyoto_run3_MTE!Z474</f>
        <v>21.870510840931949</v>
      </c>
      <c r="V65" s="701"/>
      <c r="W65" s="701"/>
    </row>
    <row r="66" spans="1:23" x14ac:dyDescent="0.25">
      <c r="A66" s="701" t="s">
        <v>503</v>
      </c>
      <c r="B66" s="701"/>
      <c r="C66" s="717" t="s">
        <v>353</v>
      </c>
      <c r="D66" s="711">
        <f>Bilans_E_AMS_Kyoto_run3_MTE!H475</f>
        <v>3.2800345312500001</v>
      </c>
      <c r="E66" s="711">
        <f>Bilans_E_AMS_Kyoto_run3_MTE!I475</f>
        <v>-6.4350233154386336</v>
      </c>
      <c r="F66" s="711">
        <f>Bilans_E_AMS_Kyoto_run3_MTE!J475</f>
        <v>8.5665829244642584</v>
      </c>
      <c r="G66" s="711">
        <f>Bilans_E_AMS_Kyoto_run3_MTE!K475</f>
        <v>0</v>
      </c>
      <c r="H66" s="711">
        <f>Bilans_E_AMS_Kyoto_run3_MTE!L475</f>
        <v>0</v>
      </c>
      <c r="I66" s="711">
        <f>Bilans_E_AMS_Kyoto_run3_MTE!M475</f>
        <v>0</v>
      </c>
      <c r="J66" s="711">
        <f>Bilans_E_AMS_Kyoto_run3_MTE!N475</f>
        <v>0</v>
      </c>
      <c r="K66" s="711">
        <f>Bilans_E_AMS_Kyoto_run3_MTE!O475</f>
        <v>0</v>
      </c>
      <c r="L66" s="711">
        <f>Bilans_E_AMS_Kyoto_run3_MTE!P475</f>
        <v>0</v>
      </c>
      <c r="M66" s="711">
        <f>Bilans_E_AMS_Kyoto_run3_MTE!Q475</f>
        <v>0</v>
      </c>
      <c r="N66" s="711">
        <f>Bilans_E_AMS_Kyoto_run3_MTE!R475</f>
        <v>0</v>
      </c>
      <c r="O66" s="711">
        <f>Bilans_E_AMS_Kyoto_run3_MTE!S475</f>
        <v>0</v>
      </c>
      <c r="P66" s="711">
        <f>Bilans_E_AMS_Kyoto_run3_MTE!T475+Bilans_E_AMS_Kyoto_run3_MTE!U475</f>
        <v>0</v>
      </c>
      <c r="Q66" s="711">
        <f>Bilans_E_AMS_Kyoto_run3_MTE!V475</f>
        <v>0</v>
      </c>
      <c r="R66" s="711">
        <f>Bilans_E_AMS_Kyoto_run3_MTE!W475</f>
        <v>0</v>
      </c>
      <c r="S66" s="711">
        <f>Bilans_E_AMS_Kyoto_run3_MTE!X475</f>
        <v>0</v>
      </c>
      <c r="T66" s="711">
        <f>Bilans_E_AMS_Kyoto_run3_MTE!Y475</f>
        <v>0</v>
      </c>
      <c r="U66" s="711">
        <f>Bilans_E_AMS_Kyoto_run3_MTE!Z475</f>
        <v>5.4115941402756249</v>
      </c>
      <c r="V66" s="701"/>
      <c r="W66" s="701"/>
    </row>
    <row r="67" spans="1:23" x14ac:dyDescent="0.25">
      <c r="A67" s="701" t="s">
        <v>504</v>
      </c>
      <c r="B67" s="701"/>
      <c r="C67" s="717" t="s">
        <v>75</v>
      </c>
      <c r="D67" s="711">
        <f>Bilans_E_AMS_Kyoto_run3_MTE!H476</f>
        <v>1.2755689843750002</v>
      </c>
      <c r="E67" s="711">
        <f>Bilans_E_AMS_Kyoto_run3_MTE!I476</f>
        <v>0</v>
      </c>
      <c r="F67" s="711">
        <f>Bilans_E_AMS_Kyoto_run3_MTE!J476</f>
        <v>6.4072238182271617</v>
      </c>
      <c r="G67" s="711">
        <f>Bilans_E_AMS_Kyoto_run3_MTE!K476</f>
        <v>0</v>
      </c>
      <c r="H67" s="711">
        <f>Bilans_E_AMS_Kyoto_run3_MTE!L476</f>
        <v>0</v>
      </c>
      <c r="I67" s="711">
        <f>Bilans_E_AMS_Kyoto_run3_MTE!M476</f>
        <v>0</v>
      </c>
      <c r="J67" s="711">
        <f>Bilans_E_AMS_Kyoto_run3_MTE!N476</f>
        <v>0</v>
      </c>
      <c r="K67" s="711">
        <f>Bilans_E_AMS_Kyoto_run3_MTE!O476</f>
        <v>0</v>
      </c>
      <c r="L67" s="711">
        <f>Bilans_E_AMS_Kyoto_run3_MTE!P476</f>
        <v>0</v>
      </c>
      <c r="M67" s="711">
        <f>Bilans_E_AMS_Kyoto_run3_MTE!Q476</f>
        <v>0</v>
      </c>
      <c r="N67" s="711">
        <f>Bilans_E_AMS_Kyoto_run3_MTE!R476</f>
        <v>0</v>
      </c>
      <c r="O67" s="711">
        <f>Bilans_E_AMS_Kyoto_run3_MTE!S476</f>
        <v>0</v>
      </c>
      <c r="P67" s="711">
        <f>Bilans_E_AMS_Kyoto_run3_MTE!T476+Bilans_E_AMS_Kyoto_run3_MTE!U476</f>
        <v>0</v>
      </c>
      <c r="Q67" s="711">
        <f>Bilans_E_AMS_Kyoto_run3_MTE!V476</f>
        <v>0</v>
      </c>
      <c r="R67" s="711">
        <f>Bilans_E_AMS_Kyoto_run3_MTE!W476</f>
        <v>38.57687969589584</v>
      </c>
      <c r="S67" s="711">
        <f>Bilans_E_AMS_Kyoto_run3_MTE!X476</f>
        <v>0</v>
      </c>
      <c r="T67" s="711">
        <f>Bilans_E_AMS_Kyoto_run3_MTE!Y476</f>
        <v>1.8110857498187163</v>
      </c>
      <c r="U67" s="711">
        <f>Bilans_E_AMS_Kyoto_run3_MTE!Z476</f>
        <v>48.070758248316722</v>
      </c>
      <c r="V67" s="701"/>
      <c r="W67" s="701"/>
    </row>
    <row r="68" spans="1:23" x14ac:dyDescent="0.25">
      <c r="A68" s="701" t="s">
        <v>505</v>
      </c>
      <c r="B68" s="701"/>
      <c r="C68" s="717" t="s">
        <v>76</v>
      </c>
      <c r="D68" s="711">
        <f>Bilans_E_AMS_Kyoto_run3_MTE!H477</f>
        <v>0</v>
      </c>
      <c r="E68" s="711">
        <f>Bilans_E_AMS_Kyoto_run3_MTE!I477</f>
        <v>0</v>
      </c>
      <c r="F68" s="711">
        <f>Bilans_E_AMS_Kyoto_run3_MTE!J477</f>
        <v>0</v>
      </c>
      <c r="G68" s="711">
        <f>Bilans_E_AMS_Kyoto_run3_MTE!K477</f>
        <v>0</v>
      </c>
      <c r="H68" s="711">
        <f>Bilans_E_AMS_Kyoto_run3_MTE!L477</f>
        <v>0.98381967017411598</v>
      </c>
      <c r="I68" s="711">
        <f>Bilans_E_AMS_Kyoto_run3_MTE!M477</f>
        <v>1.0355996528148588E-2</v>
      </c>
      <c r="J68" s="711">
        <f>Bilans_E_AMS_Kyoto_run3_MTE!N477</f>
        <v>0</v>
      </c>
      <c r="K68" s="711">
        <f>Bilans_E_AMS_Kyoto_run3_MTE!O477</f>
        <v>0</v>
      </c>
      <c r="L68" s="711">
        <f>Bilans_E_AMS_Kyoto_run3_MTE!P477</f>
        <v>0</v>
      </c>
      <c r="M68" s="711">
        <f>Bilans_E_AMS_Kyoto_run3_MTE!Q477</f>
        <v>0</v>
      </c>
      <c r="N68" s="711">
        <f>Bilans_E_AMS_Kyoto_run3_MTE!R477</f>
        <v>0</v>
      </c>
      <c r="O68" s="711">
        <f>Bilans_E_AMS_Kyoto_run3_MTE!S477</f>
        <v>0.73182375465583349</v>
      </c>
      <c r="P68" s="711">
        <f>Bilans_E_AMS_Kyoto_run3_MTE!T477+Bilans_E_AMS_Kyoto_run3_MTE!U477</f>
        <v>0</v>
      </c>
      <c r="Q68" s="711">
        <f>Bilans_E_AMS_Kyoto_run3_MTE!V477</f>
        <v>0</v>
      </c>
      <c r="R68" s="711">
        <f>Bilans_E_AMS_Kyoto_run3_MTE!W477</f>
        <v>58.720759743857542</v>
      </c>
      <c r="S68" s="711">
        <f>Bilans_E_AMS_Kyoto_run3_MTE!X477</f>
        <v>6.7361736922382924</v>
      </c>
      <c r="T68" s="711">
        <f>Bilans_E_AMS_Kyoto_run3_MTE!Y477</f>
        <v>0</v>
      </c>
      <c r="U68" s="711">
        <f>Bilans_E_AMS_Kyoto_run3_MTE!Z477</f>
        <v>67.182932857453935</v>
      </c>
      <c r="V68" s="701"/>
      <c r="W68" s="701"/>
    </row>
    <row r="69" spans="1:23" x14ac:dyDescent="0.25">
      <c r="A69" s="701" t="s">
        <v>506</v>
      </c>
      <c r="B69" s="701"/>
      <c r="C69" s="713" t="s">
        <v>77</v>
      </c>
      <c r="D69" s="714">
        <f>Bilans_E_AMS_Kyoto_run3_MTE!H478</f>
        <v>4.5556035156250001</v>
      </c>
      <c r="E69" s="714">
        <f>Bilans_E_AMS_Kyoto_run3_MTE!I478</f>
        <v>177.55502583689511</v>
      </c>
      <c r="F69" s="714">
        <f>Bilans_E_AMS_Kyoto_run3_MTE!J478</f>
        <v>-167.14988113675898</v>
      </c>
      <c r="G69" s="714">
        <f>Bilans_E_AMS_Kyoto_run3_MTE!K478</f>
        <v>-10.918730471145594</v>
      </c>
      <c r="H69" s="714">
        <f>Bilans_E_AMS_Kyoto_run3_MTE!L478</f>
        <v>12.34745368902659</v>
      </c>
      <c r="I69" s="714">
        <f>Bilans_E_AMS_Kyoto_run3_MTE!M478</f>
        <v>-2.5126460562266661</v>
      </c>
      <c r="J69" s="714">
        <f>Bilans_E_AMS_Kyoto_run3_MTE!N478</f>
        <v>1099.5846392966657</v>
      </c>
      <c r="K69" s="714">
        <f>Bilans_E_AMS_Kyoto_run3_MTE!O478</f>
        <v>432.558137271254</v>
      </c>
      <c r="L69" s="714">
        <f>Bilans_E_AMS_Kyoto_run3_MTE!P478</f>
        <v>277.93237210319938</v>
      </c>
      <c r="M69" s="714">
        <f>Bilans_E_AMS_Kyoto_run3_MTE!Q478</f>
        <v>37.745140849319363</v>
      </c>
      <c r="N69" s="714">
        <f>Bilans_E_AMS_Kyoto_run3_MTE!R478</f>
        <v>-52.823481246101892</v>
      </c>
      <c r="O69" s="714">
        <f>Bilans_E_AMS_Kyoto_run3_MTE!S478</f>
        <v>-66.004971228004962</v>
      </c>
      <c r="P69" s="714">
        <f>Bilans_E_AMS_Kyoto_run3_MTE!T478+Bilans_E_AMS_Kyoto_run3_MTE!U478</f>
        <v>18.404716933116433</v>
      </c>
      <c r="Q69" s="714">
        <f>Bilans_E_AMS_Kyoto_run3_MTE!V478</f>
        <v>19.863896915877778</v>
      </c>
      <c r="R69" s="714">
        <f>Bilans_E_AMS_Kyoto_run3_MTE!W478</f>
        <v>-641.4616245754471</v>
      </c>
      <c r="S69" s="714">
        <f>Bilans_E_AMS_Kyoto_run3_MTE!X478</f>
        <v>-80.131352097194963</v>
      </c>
      <c r="T69" s="714">
        <f>Bilans_E_AMS_Kyoto_run3_MTE!Y478</f>
        <v>-26.363705726037281</v>
      </c>
      <c r="U69" s="714">
        <f>Bilans_E_AMS_Kyoto_run3_MTE!Z478</f>
        <v>1033.1805938740617</v>
      </c>
      <c r="V69" s="701"/>
      <c r="W69" s="701"/>
    </row>
    <row r="70" spans="1:23" x14ac:dyDescent="0.25">
      <c r="A70" s="701"/>
      <c r="B70" s="701"/>
      <c r="C70" s="715"/>
      <c r="D70" s="716"/>
      <c r="E70" s="716"/>
      <c r="F70" s="716"/>
      <c r="G70" s="716"/>
      <c r="H70" s="716"/>
      <c r="I70" s="716"/>
      <c r="J70" s="716"/>
      <c r="K70" s="716"/>
      <c r="L70" s="716"/>
      <c r="M70" s="716"/>
      <c r="N70" s="716"/>
      <c r="O70" s="716"/>
      <c r="P70" s="716">
        <f>Bilans_E_AMS_Kyoto_run3_MTE!T479+Bilans_E_AMS_Kyoto_run3_MTE!U479</f>
        <v>0</v>
      </c>
      <c r="Q70" s="716"/>
      <c r="R70" s="716"/>
      <c r="S70" s="716"/>
      <c r="T70" s="716"/>
      <c r="U70" s="716"/>
      <c r="V70" s="701"/>
      <c r="W70" s="701"/>
    </row>
    <row r="71" spans="1:23" x14ac:dyDescent="0.25">
      <c r="A71" s="701" t="s">
        <v>507</v>
      </c>
      <c r="B71" s="701"/>
      <c r="C71" s="717" t="s">
        <v>78</v>
      </c>
      <c r="D71" s="711">
        <f>Bilans_E_AMS_Kyoto_run3_MTE!H480</f>
        <v>0.16342834472656248</v>
      </c>
      <c r="E71" s="711">
        <f>Bilans_E_AMS_Kyoto_run3_MTE!I480</f>
        <v>0</v>
      </c>
      <c r="F71" s="711">
        <f>Bilans_E_AMS_Kyoto_run3_MTE!J480</f>
        <v>1.192335444968337</v>
      </c>
      <c r="G71" s="711">
        <f>Bilans_E_AMS_Kyoto_run3_MTE!K480</f>
        <v>0</v>
      </c>
      <c r="H71" s="711">
        <f>Bilans_E_AMS_Kyoto_run3_MTE!L480</f>
        <v>32.001904580711056</v>
      </c>
      <c r="I71" s="711">
        <f>Bilans_E_AMS_Kyoto_run3_MTE!M480</f>
        <v>0.33686215348116894</v>
      </c>
      <c r="J71" s="711">
        <f>Bilans_E_AMS_Kyoto_run3_MTE!N480</f>
        <v>0</v>
      </c>
      <c r="K71" s="711">
        <f>Bilans_E_AMS_Kyoto_run3_MTE!O480</f>
        <v>0</v>
      </c>
      <c r="L71" s="711">
        <f>Bilans_E_AMS_Kyoto_run3_MTE!P480</f>
        <v>35.925037819448683</v>
      </c>
      <c r="M71" s="711">
        <f>Bilans_E_AMS_Kyoto_run3_MTE!Q480</f>
        <v>8.355944349353404</v>
      </c>
      <c r="N71" s="711">
        <f>Bilans_E_AMS_Kyoto_run3_MTE!R480</f>
        <v>0.41126405446607639</v>
      </c>
      <c r="O71" s="711">
        <f>Bilans_E_AMS_Kyoto_run3_MTE!S480</f>
        <v>23.845200759921546</v>
      </c>
      <c r="P71" s="711">
        <f>Bilans_E_AMS_Kyoto_run3_MTE!T480+Bilans_E_AMS_Kyoto_run3_MTE!U480</f>
        <v>12.595482421874999</v>
      </c>
      <c r="Q71" s="711">
        <f>Bilans_E_AMS_Kyoto_run3_MTE!V480</f>
        <v>8.2107689234467234E-4</v>
      </c>
      <c r="R71" s="711">
        <f>Bilans_E_AMS_Kyoto_run3_MTE!W480</f>
        <v>157.38101577829286</v>
      </c>
      <c r="S71" s="711">
        <f>Bilans_E_AMS_Kyoto_run3_MTE!X480</f>
        <v>19.581895205138572</v>
      </c>
      <c r="T71" s="711">
        <f>Bilans_E_AMS_Kyoto_run3_MTE!Y480</f>
        <v>11.602856445312501</v>
      </c>
      <c r="U71" s="711">
        <f>Bilans_E_AMS_Kyoto_run3_MTE!Z480</f>
        <v>303.39404843458811</v>
      </c>
      <c r="V71" s="701"/>
      <c r="W71" s="701"/>
    </row>
    <row r="72" spans="1:23" x14ac:dyDescent="0.25">
      <c r="A72" s="701" t="s">
        <v>508</v>
      </c>
      <c r="B72" s="701"/>
      <c r="C72" s="717" t="s">
        <v>79</v>
      </c>
      <c r="D72" s="711">
        <f>Bilans_E_AMS_Kyoto_run3_MTE!H481</f>
        <v>0</v>
      </c>
      <c r="E72" s="711">
        <f>Bilans_E_AMS_Kyoto_run3_MTE!I481</f>
        <v>0</v>
      </c>
      <c r="F72" s="711">
        <f>Bilans_E_AMS_Kyoto_run3_MTE!J481</f>
        <v>57.415221307039587</v>
      </c>
      <c r="G72" s="711">
        <f>Bilans_E_AMS_Kyoto_run3_MTE!K481</f>
        <v>1.6</v>
      </c>
      <c r="H72" s="711">
        <f>Bilans_E_AMS_Kyoto_run3_MTE!L481</f>
        <v>4.3056781164291928</v>
      </c>
      <c r="I72" s="711">
        <f>Bilans_E_AMS_Kyoto_run3_MTE!M481</f>
        <v>4.5322927541359921E-2</v>
      </c>
      <c r="J72" s="711">
        <f>Bilans_E_AMS_Kyoto_run3_MTE!N481</f>
        <v>0</v>
      </c>
      <c r="K72" s="711">
        <f>Bilans_E_AMS_Kyoto_run3_MTE!O481</f>
        <v>0</v>
      </c>
      <c r="L72" s="711">
        <f>Bilans_E_AMS_Kyoto_run3_MTE!P481</f>
        <v>0</v>
      </c>
      <c r="M72" s="711">
        <f>Bilans_E_AMS_Kyoto_run3_MTE!Q481</f>
        <v>0</v>
      </c>
      <c r="N72" s="711">
        <f>Bilans_E_AMS_Kyoto_run3_MTE!R481</f>
        <v>31.800952318042711</v>
      </c>
      <c r="O72" s="711">
        <f>Bilans_E_AMS_Kyoto_run3_MTE!S481</f>
        <v>3.2028202129227674</v>
      </c>
      <c r="P72" s="711">
        <f>Bilans_E_AMS_Kyoto_run3_MTE!T481+Bilans_E_AMS_Kyoto_run3_MTE!U481</f>
        <v>0</v>
      </c>
      <c r="Q72" s="711">
        <f>Bilans_E_AMS_Kyoto_run3_MTE!V481</f>
        <v>0</v>
      </c>
      <c r="R72" s="711">
        <f>Bilans_E_AMS_Kyoto_run3_MTE!W481</f>
        <v>112.28525884459542</v>
      </c>
      <c r="S72" s="711">
        <f>Bilans_E_AMS_Kyoto_run3_MTE!X481</f>
        <v>0</v>
      </c>
      <c r="T72" s="711">
        <f>Bilans_E_AMS_Kyoto_run3_MTE!Y481</f>
        <v>5.8069925085288689</v>
      </c>
      <c r="U72" s="711">
        <f>Bilans_E_AMS_Kyoto_run3_MTE!Z481</f>
        <v>216.46224623509994</v>
      </c>
      <c r="V72" s="701"/>
      <c r="W72" s="701"/>
    </row>
    <row r="73" spans="1:23" x14ac:dyDescent="0.25">
      <c r="A73" s="701" t="s">
        <v>509</v>
      </c>
      <c r="B73" s="701"/>
      <c r="C73" s="717" t="s">
        <v>80</v>
      </c>
      <c r="D73" s="711">
        <f>Bilans_E_AMS_Kyoto_run3_MTE!H482</f>
        <v>0</v>
      </c>
      <c r="E73" s="711">
        <f>Bilans_E_AMS_Kyoto_run3_MTE!I482</f>
        <v>0</v>
      </c>
      <c r="F73" s="711">
        <f>Bilans_E_AMS_Kyoto_run3_MTE!J482</f>
        <v>0.29271355474186761</v>
      </c>
      <c r="G73" s="711">
        <f>Bilans_E_AMS_Kyoto_run3_MTE!K482</f>
        <v>0</v>
      </c>
      <c r="H73" s="711">
        <f>Bilans_E_AMS_Kyoto_run3_MTE!L482</f>
        <v>21.230302820629564</v>
      </c>
      <c r="I73" s="711">
        <f>Bilans_E_AMS_Kyoto_run3_MTE!M482</f>
        <v>0.22347687179610068</v>
      </c>
      <c r="J73" s="711">
        <f>Bilans_E_AMS_Kyoto_run3_MTE!N482</f>
        <v>0</v>
      </c>
      <c r="K73" s="711">
        <f>Bilans_E_AMS_Kyoto_run3_MTE!O482</f>
        <v>0</v>
      </c>
      <c r="L73" s="711">
        <f>Bilans_E_AMS_Kyoto_run3_MTE!P482</f>
        <v>42.610592667556531</v>
      </c>
      <c r="M73" s="711">
        <f>Bilans_E_AMS_Kyoto_run3_MTE!Q482</f>
        <v>0</v>
      </c>
      <c r="N73" s="711">
        <f>Bilans_E_AMS_Kyoto_run3_MTE!R482</f>
        <v>0</v>
      </c>
      <c r="O73" s="711">
        <f>Bilans_E_AMS_Kyoto_run3_MTE!S482</f>
        <v>15.792365606924447</v>
      </c>
      <c r="P73" s="711">
        <f>Bilans_E_AMS_Kyoto_run3_MTE!T482+Bilans_E_AMS_Kyoto_run3_MTE!U482</f>
        <v>140.68580630413436</v>
      </c>
      <c r="Q73" s="711">
        <f>Bilans_E_AMS_Kyoto_run3_MTE!V482</f>
        <v>11.422179608472932</v>
      </c>
      <c r="R73" s="711">
        <f>Bilans_E_AMS_Kyoto_run3_MTE!W482</f>
        <v>140.84431405230941</v>
      </c>
      <c r="S73" s="711">
        <f>Bilans_E_AMS_Kyoto_run3_MTE!X482</f>
        <v>37.657555904845751</v>
      </c>
      <c r="T73" s="711">
        <f>Bilans_E_AMS_Kyoto_run3_MTE!Y482</f>
        <v>0</v>
      </c>
      <c r="U73" s="711">
        <f>Bilans_E_AMS_Kyoto_run3_MTE!Z482</f>
        <v>410.75930739141103</v>
      </c>
      <c r="V73" s="701"/>
      <c r="W73" s="701"/>
    </row>
    <row r="74" spans="1:23" x14ac:dyDescent="0.25">
      <c r="A74" s="701" t="s">
        <v>510</v>
      </c>
      <c r="B74" s="701"/>
      <c r="C74" s="717" t="s">
        <v>81</v>
      </c>
      <c r="D74" s="711">
        <f>Bilans_E_AMS_Kyoto_run3_MTE!H483</f>
        <v>0</v>
      </c>
      <c r="E74" s="711">
        <f>Bilans_E_AMS_Kyoto_run3_MTE!I483</f>
        <v>0</v>
      </c>
      <c r="F74" s="711">
        <f>Bilans_E_AMS_Kyoto_run3_MTE!J483</f>
        <v>0.52496175669255951</v>
      </c>
      <c r="G74" s="711">
        <f>Bilans_E_AMS_Kyoto_run3_MTE!K483</f>
        <v>0</v>
      </c>
      <c r="H74" s="711">
        <f>Bilans_E_AMS_Kyoto_run3_MTE!L483</f>
        <v>12.447473647538219</v>
      </c>
      <c r="I74" s="711">
        <f>Bilans_E_AMS_Kyoto_run3_MTE!M483</f>
        <v>0.13102603839513913</v>
      </c>
      <c r="J74" s="711">
        <f>Bilans_E_AMS_Kyoto_run3_MTE!N483</f>
        <v>0</v>
      </c>
      <c r="K74" s="711">
        <f>Bilans_E_AMS_Kyoto_run3_MTE!O483</f>
        <v>0</v>
      </c>
      <c r="L74" s="711">
        <f>Bilans_E_AMS_Kyoto_run3_MTE!P483</f>
        <v>0.50385641884580723</v>
      </c>
      <c r="M74" s="711">
        <f>Bilans_E_AMS_Kyoto_run3_MTE!Q483</f>
        <v>0</v>
      </c>
      <c r="N74" s="711">
        <f>Bilans_E_AMS_Kyoto_run3_MTE!R483</f>
        <v>0</v>
      </c>
      <c r="O74" s="711">
        <f>Bilans_E_AMS_Kyoto_run3_MTE!S483</f>
        <v>9.2591733799231637</v>
      </c>
      <c r="P74" s="711">
        <f>Bilans_E_AMS_Kyoto_run3_MTE!T483+Bilans_E_AMS_Kyoto_run3_MTE!U483</f>
        <v>55.972584841883723</v>
      </c>
      <c r="Q74" s="711">
        <f>Bilans_E_AMS_Kyoto_run3_MTE!V483</f>
        <v>11.263560576499328</v>
      </c>
      <c r="R74" s="711">
        <f>Bilans_E_AMS_Kyoto_run3_MTE!W483</f>
        <v>122.13846664869735</v>
      </c>
      <c r="S74" s="711">
        <f>Bilans_E_AMS_Kyoto_run3_MTE!X483</f>
        <v>22.891868477454477</v>
      </c>
      <c r="T74" s="711">
        <f>Bilans_E_AMS_Kyoto_run3_MTE!Y483</f>
        <v>0</v>
      </c>
      <c r="U74" s="711">
        <f>Bilans_E_AMS_Kyoto_run3_MTE!Z483</f>
        <v>235.13297178592975</v>
      </c>
      <c r="V74" s="701"/>
      <c r="W74" s="701"/>
    </row>
    <row r="75" spans="1:23" x14ac:dyDescent="0.25">
      <c r="A75" s="701" t="s">
        <v>511</v>
      </c>
      <c r="B75" s="701"/>
      <c r="C75" s="717" t="s">
        <v>82</v>
      </c>
      <c r="D75" s="711">
        <f>Bilans_E_AMS_Kyoto_run3_MTE!H484</f>
        <v>0</v>
      </c>
      <c r="E75" s="711">
        <f>Bilans_E_AMS_Kyoto_run3_MTE!I484</f>
        <v>0</v>
      </c>
      <c r="F75" s="711">
        <f>Bilans_E_AMS_Kyoto_run3_MTE!J484</f>
        <v>8.4604278538625355</v>
      </c>
      <c r="G75" s="711">
        <f>Bilans_E_AMS_Kyoto_run3_MTE!K484</f>
        <v>0</v>
      </c>
      <c r="H75" s="711">
        <f>Bilans_E_AMS_Kyoto_run3_MTE!L484</f>
        <v>0.63597933034917353</v>
      </c>
      <c r="I75" s="711">
        <f>Bilans_E_AMS_Kyoto_run3_MTE!M484</f>
        <v>6.6945192668334047E-3</v>
      </c>
      <c r="J75" s="711">
        <f>Bilans_E_AMS_Kyoto_run3_MTE!N484</f>
        <v>0</v>
      </c>
      <c r="K75" s="711">
        <f>Bilans_E_AMS_Kyoto_run3_MTE!O484</f>
        <v>0</v>
      </c>
      <c r="L75" s="711">
        <f>Bilans_E_AMS_Kyoto_run3_MTE!P484</f>
        <v>16.880915854504494</v>
      </c>
      <c r="M75" s="711">
        <f>Bilans_E_AMS_Kyoto_run3_MTE!Q484</f>
        <v>0</v>
      </c>
      <c r="N75" s="711">
        <f>Bilans_E_AMS_Kyoto_run3_MTE!R484</f>
        <v>8.0439535729809908</v>
      </c>
      <c r="O75" s="711">
        <f>Bilans_E_AMS_Kyoto_run3_MTE!S484</f>
        <v>0.47307936152289393</v>
      </c>
      <c r="P75" s="711">
        <f>Bilans_E_AMS_Kyoto_run3_MTE!T484+Bilans_E_AMS_Kyoto_run3_MTE!U484</f>
        <v>1.1499999999999999</v>
      </c>
      <c r="Q75" s="711">
        <f>Bilans_E_AMS_Kyoto_run3_MTE!V484</f>
        <v>1.5666563685107562</v>
      </c>
      <c r="R75" s="711">
        <f>Bilans_E_AMS_Kyoto_run3_MTE!W484</f>
        <v>10.022325873265157</v>
      </c>
      <c r="S75" s="711">
        <f>Bilans_E_AMS_Kyoto_run3_MTE!X484</f>
        <v>0</v>
      </c>
      <c r="T75" s="711">
        <f>Bilans_E_AMS_Kyoto_run3_MTE!Y484</f>
        <v>0.50936070240640652</v>
      </c>
      <c r="U75" s="711">
        <f>Bilans_E_AMS_Kyoto_run3_MTE!Z484</f>
        <v>47.74939343666923</v>
      </c>
      <c r="V75" s="701"/>
      <c r="W75" s="701"/>
    </row>
    <row r="76" spans="1:23" x14ac:dyDescent="0.25">
      <c r="A76" s="701" t="s">
        <v>512</v>
      </c>
      <c r="B76" s="701"/>
      <c r="C76" s="717" t="s">
        <v>354</v>
      </c>
      <c r="D76" s="711">
        <f>Bilans_E_AMS_Kyoto_run3_MTE!H485</f>
        <v>0</v>
      </c>
      <c r="E76" s="711">
        <f>Bilans_E_AMS_Kyoto_run3_MTE!I485</f>
        <v>0</v>
      </c>
      <c r="F76" s="711">
        <f>Bilans_E_AMS_Kyoto_run3_MTE!J485</f>
        <v>0</v>
      </c>
      <c r="G76" s="711">
        <f>Bilans_E_AMS_Kyoto_run3_MTE!K485</f>
        <v>0</v>
      </c>
      <c r="H76" s="711">
        <f>Bilans_E_AMS_Kyoto_run3_MTE!L485</f>
        <v>0</v>
      </c>
      <c r="I76" s="711">
        <f>Bilans_E_AMS_Kyoto_run3_MTE!M485</f>
        <v>0</v>
      </c>
      <c r="J76" s="711">
        <f>Bilans_E_AMS_Kyoto_run3_MTE!N485</f>
        <v>0</v>
      </c>
      <c r="K76" s="711">
        <f>Bilans_E_AMS_Kyoto_run3_MTE!O485</f>
        <v>0</v>
      </c>
      <c r="L76" s="711">
        <f>Bilans_E_AMS_Kyoto_run3_MTE!P485</f>
        <v>0</v>
      </c>
      <c r="M76" s="711">
        <f>Bilans_E_AMS_Kyoto_run3_MTE!Q485</f>
        <v>0</v>
      </c>
      <c r="N76" s="711">
        <f>Bilans_E_AMS_Kyoto_run3_MTE!R485</f>
        <v>0</v>
      </c>
      <c r="O76" s="711">
        <f>Bilans_E_AMS_Kyoto_run3_MTE!S485</f>
        <v>0</v>
      </c>
      <c r="P76" s="711">
        <f>Bilans_E_AMS_Kyoto_run3_MTE!T485+Bilans_E_AMS_Kyoto_run3_MTE!U485</f>
        <v>0</v>
      </c>
      <c r="Q76" s="711">
        <f>Bilans_E_AMS_Kyoto_run3_MTE!V485</f>
        <v>0</v>
      </c>
      <c r="R76" s="711">
        <f>Bilans_E_AMS_Kyoto_run3_MTE!W485</f>
        <v>6.8640000000000008</v>
      </c>
      <c r="S76" s="711">
        <f>Bilans_E_AMS_Kyoto_run3_MTE!X485</f>
        <v>0</v>
      </c>
      <c r="T76" s="711">
        <f>Bilans_E_AMS_Kyoto_run3_MTE!Y485</f>
        <v>0</v>
      </c>
      <c r="U76" s="711">
        <f>Bilans_E_AMS_Kyoto_run3_MTE!Z485</f>
        <v>6.8640000000000008</v>
      </c>
      <c r="V76" s="701"/>
      <c r="W76" s="701"/>
    </row>
    <row r="77" spans="1:23" x14ac:dyDescent="0.25">
      <c r="A77" s="701" t="s">
        <v>513</v>
      </c>
      <c r="B77" s="701"/>
      <c r="C77" s="713" t="s">
        <v>83</v>
      </c>
      <c r="D77" s="714">
        <f>Bilans_E_AMS_Kyoto_run3_MTE!H486</f>
        <v>0.16342834472656248</v>
      </c>
      <c r="E77" s="714">
        <f>Bilans_E_AMS_Kyoto_run3_MTE!I486</f>
        <v>0</v>
      </c>
      <c r="F77" s="714">
        <f>Bilans_E_AMS_Kyoto_run3_MTE!J486</f>
        <v>67.885659917304892</v>
      </c>
      <c r="G77" s="714">
        <f>Bilans_E_AMS_Kyoto_run3_MTE!K486</f>
        <v>1.6</v>
      </c>
      <c r="H77" s="714">
        <f>Bilans_E_AMS_Kyoto_run3_MTE!L486</f>
        <v>70.621338495657199</v>
      </c>
      <c r="I77" s="714">
        <f>Bilans_E_AMS_Kyoto_run3_MTE!M486</f>
        <v>0.74338251048060211</v>
      </c>
      <c r="J77" s="714">
        <f>Bilans_E_AMS_Kyoto_run3_MTE!N486</f>
        <v>0</v>
      </c>
      <c r="K77" s="714">
        <f>Bilans_E_AMS_Kyoto_run3_MTE!O486</f>
        <v>0</v>
      </c>
      <c r="L77" s="714">
        <f>Bilans_E_AMS_Kyoto_run3_MTE!P486</f>
        <v>95.920402760355529</v>
      </c>
      <c r="M77" s="714">
        <f>Bilans_E_AMS_Kyoto_run3_MTE!Q486</f>
        <v>8.355944349353404</v>
      </c>
      <c r="N77" s="714">
        <f>Bilans_E_AMS_Kyoto_run3_MTE!R486</f>
        <v>40.256169945489773</v>
      </c>
      <c r="O77" s="714">
        <f>Bilans_E_AMS_Kyoto_run3_MTE!S486</f>
        <v>52.572639321214815</v>
      </c>
      <c r="P77" s="714">
        <f>Bilans_E_AMS_Kyoto_run3_MTE!T486+Bilans_E_AMS_Kyoto_run3_MTE!U486</f>
        <v>210.4038735678931</v>
      </c>
      <c r="Q77" s="714">
        <f>Bilans_E_AMS_Kyoto_run3_MTE!V486</f>
        <v>24.25321763037536</v>
      </c>
      <c r="R77" s="714">
        <f>Bilans_E_AMS_Kyoto_run3_MTE!W486</f>
        <v>549.53538119716018</v>
      </c>
      <c r="S77" s="714">
        <f>Bilans_E_AMS_Kyoto_run3_MTE!X486</f>
        <v>80.131319587438796</v>
      </c>
      <c r="T77" s="714">
        <f>Bilans_E_AMS_Kyoto_run3_MTE!Y486</f>
        <v>17.919209656247777</v>
      </c>
      <c r="U77" s="714">
        <f>Bilans_E_AMS_Kyoto_run3_MTE!Z486</f>
        <v>1220.361967283698</v>
      </c>
      <c r="V77" s="701"/>
      <c r="W77" s="701"/>
    </row>
    <row r="78" spans="1:23" x14ac:dyDescent="0.25">
      <c r="A78" s="701" t="s">
        <v>514</v>
      </c>
      <c r="B78" s="701"/>
      <c r="C78" s="710" t="s">
        <v>84</v>
      </c>
      <c r="D78" s="711">
        <f>Bilans_E_AMS_Kyoto_run3_MTE!H487</f>
        <v>0</v>
      </c>
      <c r="E78" s="711">
        <f>Bilans_E_AMS_Kyoto_run3_MTE!I487</f>
        <v>0</v>
      </c>
      <c r="F78" s="711">
        <f>Bilans_E_AMS_Kyoto_run3_MTE!J487</f>
        <v>98.630833151912839</v>
      </c>
      <c r="G78" s="711">
        <f>Bilans_E_AMS_Kyoto_run3_MTE!K487</f>
        <v>3.094705785318189</v>
      </c>
      <c r="H78" s="711">
        <f>Bilans_E_AMS_Kyoto_run3_MTE!L487</f>
        <v>10.821936682039073</v>
      </c>
      <c r="I78" s="711">
        <f>Bilans_E_AMS_Kyoto_run3_MTE!M487</f>
        <v>0</v>
      </c>
      <c r="J78" s="711">
        <f>Bilans_E_AMS_Kyoto_run3_MTE!N487</f>
        <v>0</v>
      </c>
      <c r="K78" s="711">
        <f>Bilans_E_AMS_Kyoto_run3_MTE!O487</f>
        <v>0</v>
      </c>
      <c r="L78" s="711">
        <f>Bilans_E_AMS_Kyoto_run3_MTE!P487</f>
        <v>0.52555901393570603</v>
      </c>
      <c r="M78" s="711">
        <f>Bilans_E_AMS_Kyoto_run3_MTE!Q487</f>
        <v>0</v>
      </c>
      <c r="N78" s="711">
        <f>Bilans_E_AMS_Kyoto_run3_MTE!R487</f>
        <v>4.7238090812444442</v>
      </c>
      <c r="O78" s="711">
        <f>Bilans_E_AMS_Kyoto_run3_MTE!S487</f>
        <v>0</v>
      </c>
      <c r="P78" s="711">
        <f>Bilans_E_AMS_Kyoto_run3_MTE!T487+Bilans_E_AMS_Kyoto_run3_MTE!U487</f>
        <v>0</v>
      </c>
      <c r="Q78" s="711">
        <f>Bilans_E_AMS_Kyoto_run3_MTE!V487</f>
        <v>0</v>
      </c>
      <c r="R78" s="711">
        <f>Bilans_E_AMS_Kyoto_run3_MTE!W487</f>
        <v>0</v>
      </c>
      <c r="S78" s="711">
        <f>Bilans_E_AMS_Kyoto_run3_MTE!X487</f>
        <v>0</v>
      </c>
      <c r="T78" s="711">
        <f>Bilans_E_AMS_Kyoto_run3_MTE!Y487</f>
        <v>3.3812053333570531</v>
      </c>
      <c r="U78" s="711">
        <f>Bilans_E_AMS_Kyoto_run3_MTE!Z487</f>
        <v>121.17804904780731</v>
      </c>
      <c r="V78" s="701"/>
      <c r="W78" s="701"/>
    </row>
    <row r="79" spans="1:23" x14ac:dyDescent="0.25">
      <c r="A79" s="701" t="s">
        <v>515</v>
      </c>
      <c r="B79" s="701"/>
      <c r="C79" s="713" t="s">
        <v>85</v>
      </c>
      <c r="D79" s="714">
        <f>Bilans_E_AMS_Kyoto_run3_MTE!H488</f>
        <v>0.16342834472656248</v>
      </c>
      <c r="E79" s="714">
        <f>Bilans_E_AMS_Kyoto_run3_MTE!I488</f>
        <v>0</v>
      </c>
      <c r="F79" s="714">
        <f>Bilans_E_AMS_Kyoto_run3_MTE!J488</f>
        <v>166.51649306921774</v>
      </c>
      <c r="G79" s="714">
        <f>Bilans_E_AMS_Kyoto_run3_MTE!K488</f>
        <v>4.6947057853181891</v>
      </c>
      <c r="H79" s="714">
        <f>Bilans_E_AMS_Kyoto_run3_MTE!L488</f>
        <v>81.443275177696279</v>
      </c>
      <c r="I79" s="714">
        <f>Bilans_E_AMS_Kyoto_run3_MTE!M488</f>
        <v>0.74338251048060211</v>
      </c>
      <c r="J79" s="714">
        <f>Bilans_E_AMS_Kyoto_run3_MTE!N488</f>
        <v>0</v>
      </c>
      <c r="K79" s="714">
        <f>Bilans_E_AMS_Kyoto_run3_MTE!O488</f>
        <v>0</v>
      </c>
      <c r="L79" s="714">
        <f>Bilans_E_AMS_Kyoto_run3_MTE!P488</f>
        <v>96.445961774291234</v>
      </c>
      <c r="M79" s="714">
        <f>Bilans_E_AMS_Kyoto_run3_MTE!Q488</f>
        <v>8.355944349353404</v>
      </c>
      <c r="N79" s="714">
        <f>Bilans_E_AMS_Kyoto_run3_MTE!R488</f>
        <v>44.97997902673422</v>
      </c>
      <c r="O79" s="714">
        <f>Bilans_E_AMS_Kyoto_run3_MTE!S488</f>
        <v>52.572639321214815</v>
      </c>
      <c r="P79" s="714">
        <f>Bilans_E_AMS_Kyoto_run3_MTE!T488+Bilans_E_AMS_Kyoto_run3_MTE!U488</f>
        <v>210.4038735678931</v>
      </c>
      <c r="Q79" s="714">
        <f>Bilans_E_AMS_Kyoto_run3_MTE!V488</f>
        <v>24.25321763037536</v>
      </c>
      <c r="R79" s="714">
        <f>Bilans_E_AMS_Kyoto_run3_MTE!W488</f>
        <v>549.53538119716018</v>
      </c>
      <c r="S79" s="714">
        <f>Bilans_E_AMS_Kyoto_run3_MTE!X488</f>
        <v>80.131319587438796</v>
      </c>
      <c r="T79" s="714">
        <f>Bilans_E_AMS_Kyoto_run3_MTE!Y488</f>
        <v>21.300414989604828</v>
      </c>
      <c r="U79" s="714">
        <f>Bilans_E_AMS_Kyoto_run3_MTE!Z488</f>
        <v>1341.5400163315053</v>
      </c>
      <c r="V79" s="701"/>
      <c r="W79" s="701"/>
    </row>
    <row r="80" spans="1:23" x14ac:dyDescent="0.25">
      <c r="A80" s="701"/>
      <c r="B80" s="701"/>
      <c r="C80" s="701"/>
      <c r="D80" s="701">
        <f>Bilans_E_AMS_Kyoto_run3_MTE!H489</f>
        <v>0</v>
      </c>
      <c r="E80" s="701">
        <f>Bilans_E_AMS_Kyoto_run3_MTE!I489</f>
        <v>0</v>
      </c>
      <c r="F80" s="701">
        <f>Bilans_E_AMS_Kyoto_run3_MTE!J489</f>
        <v>7.1054273576010019E-15</v>
      </c>
      <c r="G80" s="701">
        <f>Bilans_E_AMS_Kyoto_run3_MTE!K489</f>
        <v>0</v>
      </c>
      <c r="H80" s="701">
        <f>Bilans_E_AMS_Kyoto_run3_MTE!L489</f>
        <v>2.4547035224031788E-5</v>
      </c>
      <c r="I80" s="701">
        <f>Bilans_E_AMS_Kyoto_run3_MTE!M489</f>
        <v>-2.4547035192501454E-5</v>
      </c>
      <c r="J80" s="701">
        <f>Bilans_E_AMS_Kyoto_run3_MTE!N489</f>
        <v>0</v>
      </c>
      <c r="K80" s="701">
        <f>Bilans_E_AMS_Kyoto_run3_MTE!O489</f>
        <v>0</v>
      </c>
      <c r="L80" s="701">
        <f>Bilans_E_AMS_Kyoto_run3_MTE!P489</f>
        <v>0</v>
      </c>
      <c r="M80" s="701">
        <f>Bilans_E_AMS_Kyoto_run3_MTE!Q489</f>
        <v>0</v>
      </c>
      <c r="N80" s="701">
        <f>Bilans_E_AMS_Kyoto_run3_MTE!R489</f>
        <v>0</v>
      </c>
      <c r="O80" s="701">
        <f>Bilans_E_AMS_Kyoto_run3_MTE!S489</f>
        <v>0</v>
      </c>
      <c r="P80" s="701">
        <f>Bilans_E_AMS_Kyoto_run3_MTE!T489+Bilans_E_AMS_Kyoto_run3_MTE!U489</f>
        <v>0</v>
      </c>
      <c r="Q80" s="701">
        <f>Bilans_E_AMS_Kyoto_run3_MTE!V489</f>
        <v>0</v>
      </c>
      <c r="R80" s="701">
        <f>Bilans_E_AMS_Kyoto_run3_MTE!W489</f>
        <v>0</v>
      </c>
      <c r="S80" s="701">
        <f>Bilans_E_AMS_Kyoto_run3_MTE!X489</f>
        <v>-3.2509756167087289E-5</v>
      </c>
      <c r="T80" s="701">
        <f>Bilans_E_AMS_Kyoto_run3_MTE!Y489</f>
        <v>0</v>
      </c>
      <c r="U80" s="701">
        <f>Bilans_E_AMS_Kyoto_run3_MTE!Z489</f>
        <v>-3.2509756238141563E-5</v>
      </c>
      <c r="V80" s="701"/>
      <c r="W80" s="701"/>
    </row>
    <row r="81" spans="1:23" x14ac:dyDescent="0.25">
      <c r="A81" s="701"/>
      <c r="B81" s="701"/>
      <c r="C81" s="701"/>
      <c r="D81" s="701"/>
      <c r="E81" s="701"/>
      <c r="F81" s="701"/>
      <c r="G81" s="701"/>
      <c r="H81" s="701"/>
      <c r="I81" s="701"/>
      <c r="J81" s="701"/>
      <c r="K81" s="701"/>
      <c r="L81" s="701"/>
      <c r="M81" s="701"/>
      <c r="N81" s="701"/>
      <c r="O81" s="701"/>
      <c r="P81" s="701"/>
      <c r="Q81" s="701"/>
      <c r="R81" s="701"/>
      <c r="S81" s="701"/>
      <c r="T81" s="701"/>
      <c r="U81" s="701"/>
      <c r="V81" s="701"/>
      <c r="W81" s="701"/>
    </row>
    <row r="82" spans="1:23" x14ac:dyDescent="0.25">
      <c r="A82" s="707"/>
      <c r="B82" s="707"/>
      <c r="C82" s="708" t="s">
        <v>361</v>
      </c>
      <c r="D82" s="707"/>
      <c r="E82" s="707"/>
      <c r="F82" s="707"/>
      <c r="G82" s="707"/>
      <c r="H82" s="707"/>
      <c r="I82" s="707"/>
      <c r="J82" s="707"/>
      <c r="K82" s="707"/>
      <c r="L82" s="707"/>
      <c r="M82" s="707"/>
      <c r="N82" s="707"/>
      <c r="O82" s="707"/>
      <c r="P82" s="707"/>
      <c r="Q82" s="707"/>
      <c r="R82" s="707"/>
      <c r="S82" s="707"/>
      <c r="T82" s="707"/>
      <c r="U82" s="707"/>
      <c r="V82" s="707"/>
      <c r="W82" s="707"/>
    </row>
    <row r="83" spans="1:23" x14ac:dyDescent="0.25">
      <c r="A83" s="701"/>
      <c r="B83" s="701"/>
      <c r="C83" s="701"/>
      <c r="D83" s="701"/>
      <c r="E83" s="701"/>
      <c r="F83" s="701"/>
      <c r="G83" s="701"/>
      <c r="H83" s="701"/>
      <c r="I83" s="701"/>
      <c r="J83" s="701"/>
      <c r="K83" s="701"/>
      <c r="L83" s="701"/>
      <c r="M83" s="701"/>
      <c r="N83" s="701"/>
      <c r="O83" s="701"/>
      <c r="P83" s="701"/>
      <c r="Q83" s="701"/>
      <c r="R83" s="701"/>
      <c r="S83" s="701"/>
      <c r="T83" s="701"/>
      <c r="U83" s="701"/>
      <c r="V83" s="701"/>
      <c r="W83" s="701"/>
    </row>
    <row r="84" spans="1:23" x14ac:dyDescent="0.25">
      <c r="A84" s="701"/>
      <c r="B84" s="701"/>
      <c r="C84" s="780" t="s">
        <v>128</v>
      </c>
      <c r="D84" s="775" t="s">
        <v>42</v>
      </c>
      <c r="E84" s="775" t="s">
        <v>52</v>
      </c>
      <c r="F84" s="775" t="s">
        <v>53</v>
      </c>
      <c r="G84" s="775" t="s">
        <v>482</v>
      </c>
      <c r="H84" s="775" t="s">
        <v>32</v>
      </c>
      <c r="I84" s="775" t="s">
        <v>483</v>
      </c>
      <c r="J84" s="775" t="s">
        <v>20</v>
      </c>
      <c r="K84" s="775" t="s">
        <v>55</v>
      </c>
      <c r="L84" s="777" t="s">
        <v>56</v>
      </c>
      <c r="M84" s="778"/>
      <c r="N84" s="778"/>
      <c r="O84" s="778"/>
      <c r="P84" s="778"/>
      <c r="Q84" s="779"/>
      <c r="R84" s="775" t="s">
        <v>57</v>
      </c>
      <c r="S84" s="775" t="s">
        <v>58</v>
      </c>
      <c r="T84" s="775" t="s">
        <v>31</v>
      </c>
      <c r="U84" s="775" t="s">
        <v>10</v>
      </c>
      <c r="V84" s="701"/>
      <c r="W84" s="701"/>
    </row>
    <row r="85" spans="1:23" ht="67.5" x14ac:dyDescent="0.25">
      <c r="A85" s="701" t="s">
        <v>486</v>
      </c>
      <c r="B85" s="701"/>
      <c r="C85" s="781"/>
      <c r="D85" s="776"/>
      <c r="E85" s="776"/>
      <c r="F85" s="776"/>
      <c r="G85" s="776"/>
      <c r="H85" s="776"/>
      <c r="I85" s="776"/>
      <c r="J85" s="776"/>
      <c r="K85" s="776"/>
      <c r="L85" s="709" t="s">
        <v>335</v>
      </c>
      <c r="M85" s="709" t="s">
        <v>40</v>
      </c>
      <c r="N85" s="709" t="s">
        <v>343</v>
      </c>
      <c r="O85" s="709" t="s">
        <v>344</v>
      </c>
      <c r="P85" s="719" t="s">
        <v>610</v>
      </c>
      <c r="Q85" s="709" t="s">
        <v>346</v>
      </c>
      <c r="R85" s="776"/>
      <c r="S85" s="776"/>
      <c r="T85" s="776"/>
      <c r="U85" s="776"/>
      <c r="V85" s="701"/>
      <c r="W85" s="701"/>
    </row>
    <row r="86" spans="1:23" x14ac:dyDescent="0.25">
      <c r="A86" s="701" t="s">
        <v>487</v>
      </c>
      <c r="B86" s="701"/>
      <c r="C86" s="710" t="s">
        <v>59</v>
      </c>
      <c r="D86" s="711">
        <f>Bilans_E_AMS_Kyoto_run3_MTE!H495</f>
        <v>0</v>
      </c>
      <c r="E86" s="711">
        <f>Bilans_E_AMS_Kyoto_run3_MTE!I495</f>
        <v>0</v>
      </c>
      <c r="F86" s="711">
        <f>Bilans_E_AMS_Kyoto_run3_MTE!J495</f>
        <v>0</v>
      </c>
      <c r="G86" s="711">
        <f>Bilans_E_AMS_Kyoto_run3_MTE!K495</f>
        <v>0</v>
      </c>
      <c r="H86" s="711">
        <f>Bilans_E_AMS_Kyoto_run3_MTE!L495</f>
        <v>0</v>
      </c>
      <c r="I86" s="711">
        <f>Bilans_E_AMS_Kyoto_run3_MTE!M495</f>
        <v>0</v>
      </c>
      <c r="J86" s="711">
        <f>Bilans_E_AMS_Kyoto_run3_MTE!N495</f>
        <v>1021.1177956869142</v>
      </c>
      <c r="K86" s="711">
        <f>Bilans_E_AMS_Kyoto_run3_MTE!O495</f>
        <v>462.06687945929309</v>
      </c>
      <c r="L86" s="711">
        <f>Bilans_E_AMS_Kyoto_run3_MTE!P495</f>
        <v>380.853201250621</v>
      </c>
      <c r="M86" s="711">
        <f>Bilans_E_AMS_Kyoto_run3_MTE!Q495</f>
        <v>45.488439305040814</v>
      </c>
      <c r="N86" s="711">
        <f>Bilans_E_AMS_Kyoto_run3_MTE!R495</f>
        <v>0</v>
      </c>
      <c r="O86" s="711">
        <f>Bilans_E_AMS_Kyoto_run3_MTE!S495</f>
        <v>0</v>
      </c>
      <c r="P86" s="711">
        <f>Bilans_E_AMS_Kyoto_run3_MTE!T495+Bilans_E_AMS_Kyoto_run3_MTE!U495</f>
        <v>241.4786584909825</v>
      </c>
      <c r="Q86" s="711">
        <f>Bilans_E_AMS_Kyoto_run3_MTE!V495</f>
        <v>44.619368166332919</v>
      </c>
      <c r="R86" s="711">
        <f>Bilans_E_AMS_Kyoto_run3_MTE!W495</f>
        <v>0</v>
      </c>
      <c r="S86" s="711">
        <f>Bilans_E_AMS_Kyoto_run3_MTE!X495</f>
        <v>0</v>
      </c>
      <c r="T86" s="711">
        <f>Bilans_E_AMS_Kyoto_run3_MTE!Y495</f>
        <v>0</v>
      </c>
      <c r="U86" s="711">
        <f>Bilans_E_AMS_Kyoto_run3_MTE!Z495</f>
        <v>2195.6243423591845</v>
      </c>
      <c r="V86" s="701"/>
      <c r="W86" s="701"/>
    </row>
    <row r="87" spans="1:23" x14ac:dyDescent="0.25">
      <c r="A87" s="701" t="s">
        <v>488</v>
      </c>
      <c r="B87" s="701"/>
      <c r="C87" s="710" t="s">
        <v>60</v>
      </c>
      <c r="D87" s="712">
        <f>Bilans_E_AMS_Kyoto_run3_MTE!H496</f>
        <v>7.2040588378906256E-2</v>
      </c>
      <c r="E87" s="712">
        <f>Bilans_E_AMS_Kyoto_run3_MTE!I496</f>
        <v>143.57372262348443</v>
      </c>
      <c r="F87" s="712">
        <f>Bilans_E_AMS_Kyoto_run3_MTE!J496</f>
        <v>24.964838256255007</v>
      </c>
      <c r="G87" s="712">
        <f>Bilans_E_AMS_Kyoto_run3_MTE!K496</f>
        <v>8.9901848637372375</v>
      </c>
      <c r="H87" s="712">
        <f>Bilans_E_AMS_Kyoto_run3_MTE!L496</f>
        <v>83.302522482755748</v>
      </c>
      <c r="I87" s="712">
        <f>Bilans_E_AMS_Kyoto_run3_MTE!M496</f>
        <v>0</v>
      </c>
      <c r="J87" s="712">
        <f>Bilans_E_AMS_Kyoto_run3_MTE!N496</f>
        <v>0</v>
      </c>
      <c r="K87" s="712">
        <f>Bilans_E_AMS_Kyoto_run3_MTE!O496</f>
        <v>0</v>
      </c>
      <c r="L87" s="712">
        <f>Bilans_E_AMS_Kyoto_run3_MTE!P496</f>
        <v>8.1136608848584615</v>
      </c>
      <c r="M87" s="712">
        <f>Bilans_E_AMS_Kyoto_run3_MTE!Q496</f>
        <v>0</v>
      </c>
      <c r="N87" s="712">
        <f>Bilans_E_AMS_Kyoto_run3_MTE!R496</f>
        <v>3.6899916266640176</v>
      </c>
      <c r="O87" s="712">
        <f>Bilans_E_AMS_Kyoto_run3_MTE!S496</f>
        <v>0</v>
      </c>
      <c r="P87" s="712">
        <f>Bilans_E_AMS_Kyoto_run3_MTE!T496+Bilans_E_AMS_Kyoto_run3_MTE!U496</f>
        <v>0</v>
      </c>
      <c r="Q87" s="712">
        <f>Bilans_E_AMS_Kyoto_run3_MTE!V496</f>
        <v>0</v>
      </c>
      <c r="R87" s="712">
        <f>Bilans_E_AMS_Kyoto_run3_MTE!W496</f>
        <v>0</v>
      </c>
      <c r="S87" s="712">
        <f>Bilans_E_AMS_Kyoto_run3_MTE!X496</f>
        <v>0</v>
      </c>
      <c r="T87" s="712">
        <f>Bilans_E_AMS_Kyoto_run3_MTE!Y496</f>
        <v>0</v>
      </c>
      <c r="U87" s="712">
        <f>Bilans_E_AMS_Kyoto_run3_MTE!Z496</f>
        <v>272.70696132613381</v>
      </c>
      <c r="V87" s="701"/>
      <c r="W87" s="701"/>
    </row>
    <row r="88" spans="1:23" x14ac:dyDescent="0.25">
      <c r="A88" s="701" t="s">
        <v>489</v>
      </c>
      <c r="B88" s="701"/>
      <c r="C88" s="710" t="s">
        <v>61</v>
      </c>
      <c r="D88" s="712">
        <f>Bilans_E_AMS_Kyoto_run3_MTE!H497</f>
        <v>0</v>
      </c>
      <c r="E88" s="712">
        <f>Bilans_E_AMS_Kyoto_run3_MTE!I497</f>
        <v>0</v>
      </c>
      <c r="F88" s="712">
        <f>Bilans_E_AMS_Kyoto_run3_MTE!J497</f>
        <v>0</v>
      </c>
      <c r="G88" s="712">
        <f>Bilans_E_AMS_Kyoto_run3_MTE!K497</f>
        <v>0</v>
      </c>
      <c r="H88" s="712">
        <f>Bilans_E_AMS_Kyoto_run3_MTE!L497</f>
        <v>0</v>
      </c>
      <c r="I88" s="712">
        <f>Bilans_E_AMS_Kyoto_run3_MTE!M497</f>
        <v>0</v>
      </c>
      <c r="J88" s="712">
        <f>Bilans_E_AMS_Kyoto_run3_MTE!N497</f>
        <v>0</v>
      </c>
      <c r="K88" s="712">
        <f>Bilans_E_AMS_Kyoto_run3_MTE!O497</f>
        <v>0</v>
      </c>
      <c r="L88" s="712">
        <f>Bilans_E_AMS_Kyoto_run3_MTE!P497</f>
        <v>0</v>
      </c>
      <c r="M88" s="712">
        <f>Bilans_E_AMS_Kyoto_run3_MTE!Q497</f>
        <v>0</v>
      </c>
      <c r="N88" s="712">
        <f>Bilans_E_AMS_Kyoto_run3_MTE!R497</f>
        <v>0</v>
      </c>
      <c r="O88" s="712">
        <f>Bilans_E_AMS_Kyoto_run3_MTE!S497</f>
        <v>-20.664907066692336</v>
      </c>
      <c r="P88" s="712">
        <f>Bilans_E_AMS_Kyoto_run3_MTE!T497+Bilans_E_AMS_Kyoto_run3_MTE!U497</f>
        <v>0</v>
      </c>
      <c r="Q88" s="712">
        <f>Bilans_E_AMS_Kyoto_run3_MTE!V497</f>
        <v>0</v>
      </c>
      <c r="R88" s="712">
        <f>Bilans_E_AMS_Kyoto_run3_MTE!W497</f>
        <v>-64.652591069811592</v>
      </c>
      <c r="S88" s="712">
        <f>Bilans_E_AMS_Kyoto_run3_MTE!X497</f>
        <v>0</v>
      </c>
      <c r="T88" s="712">
        <f>Bilans_E_AMS_Kyoto_run3_MTE!Y497</f>
        <v>0</v>
      </c>
      <c r="U88" s="712">
        <f>Bilans_E_AMS_Kyoto_run3_MTE!Z497</f>
        <v>-85.317498136503929</v>
      </c>
      <c r="V88" s="701"/>
      <c r="W88" s="701"/>
    </row>
    <row r="89" spans="1:23" x14ac:dyDescent="0.25">
      <c r="A89" s="701" t="s">
        <v>490</v>
      </c>
      <c r="B89" s="701"/>
      <c r="C89" s="710" t="s">
        <v>62</v>
      </c>
      <c r="D89" s="711">
        <f>Bilans_E_AMS_Kyoto_run3_MTE!H498</f>
        <v>0</v>
      </c>
      <c r="E89" s="711">
        <f>Bilans_E_AMS_Kyoto_run3_MTE!I498</f>
        <v>0</v>
      </c>
      <c r="F89" s="711">
        <f>Bilans_E_AMS_Kyoto_run3_MTE!J498</f>
        <v>-2.6430279181443233</v>
      </c>
      <c r="G89" s="711">
        <f>Bilans_E_AMS_Kyoto_run3_MTE!K498</f>
        <v>-2.1194862177251581</v>
      </c>
      <c r="H89" s="711">
        <f>Bilans_E_AMS_Kyoto_run3_MTE!L498</f>
        <v>0</v>
      </c>
      <c r="I89" s="711">
        <f>Bilans_E_AMS_Kyoto_run3_MTE!M498</f>
        <v>-2.4085070655967704</v>
      </c>
      <c r="J89" s="711">
        <f>Bilans_E_AMS_Kyoto_run3_MTE!N498</f>
        <v>0</v>
      </c>
      <c r="K89" s="711">
        <f>Bilans_E_AMS_Kyoto_run3_MTE!O498</f>
        <v>0</v>
      </c>
      <c r="L89" s="711">
        <f>Bilans_E_AMS_Kyoto_run3_MTE!P498</f>
        <v>0</v>
      </c>
      <c r="M89" s="711">
        <f>Bilans_E_AMS_Kyoto_run3_MTE!Q498</f>
        <v>0</v>
      </c>
      <c r="N89" s="711">
        <f>Bilans_E_AMS_Kyoto_run3_MTE!R498</f>
        <v>0</v>
      </c>
      <c r="O89" s="711">
        <f>Bilans_E_AMS_Kyoto_run3_MTE!S498</f>
        <v>-1.4769404520417975</v>
      </c>
      <c r="P89" s="711">
        <f>Bilans_E_AMS_Kyoto_run3_MTE!T498+Bilans_E_AMS_Kyoto_run3_MTE!U498</f>
        <v>0</v>
      </c>
      <c r="Q89" s="711">
        <f>Bilans_E_AMS_Kyoto_run3_MTE!V498</f>
        <v>0</v>
      </c>
      <c r="R89" s="711">
        <f>Bilans_E_AMS_Kyoto_run3_MTE!W498</f>
        <v>0</v>
      </c>
      <c r="S89" s="711">
        <f>Bilans_E_AMS_Kyoto_run3_MTE!X498</f>
        <v>0</v>
      </c>
      <c r="T89" s="711">
        <f>Bilans_E_AMS_Kyoto_run3_MTE!Y498</f>
        <v>-0.99606248425254151</v>
      </c>
      <c r="U89" s="711">
        <f>Bilans_E_AMS_Kyoto_run3_MTE!Z498</f>
        <v>-9.6440241377605904</v>
      </c>
      <c r="V89" s="701"/>
      <c r="W89" s="701"/>
    </row>
    <row r="90" spans="1:23" x14ac:dyDescent="0.25">
      <c r="A90" s="701" t="s">
        <v>491</v>
      </c>
      <c r="B90" s="701"/>
      <c r="C90" s="710" t="s">
        <v>63</v>
      </c>
      <c r="D90" s="711">
        <f>Bilans_E_AMS_Kyoto_run3_MTE!H499</f>
        <v>0</v>
      </c>
      <c r="E90" s="711">
        <f>Bilans_E_AMS_Kyoto_run3_MTE!I499</f>
        <v>0</v>
      </c>
      <c r="F90" s="711">
        <f>Bilans_E_AMS_Kyoto_run3_MTE!J499</f>
        <v>-26.999999999999996</v>
      </c>
      <c r="G90" s="711">
        <f>Bilans_E_AMS_Kyoto_run3_MTE!K499</f>
        <v>-16</v>
      </c>
      <c r="H90" s="711">
        <f>Bilans_E_AMS_Kyoto_run3_MTE!L499</f>
        <v>0</v>
      </c>
      <c r="I90" s="711">
        <f>Bilans_E_AMS_Kyoto_run3_MTE!M499</f>
        <v>0</v>
      </c>
      <c r="J90" s="711">
        <f>Bilans_E_AMS_Kyoto_run3_MTE!N499</f>
        <v>0</v>
      </c>
      <c r="K90" s="711">
        <f>Bilans_E_AMS_Kyoto_run3_MTE!O499</f>
        <v>0</v>
      </c>
      <c r="L90" s="711">
        <f>Bilans_E_AMS_Kyoto_run3_MTE!P499</f>
        <v>0</v>
      </c>
      <c r="M90" s="711">
        <f>Bilans_E_AMS_Kyoto_run3_MTE!Q499</f>
        <v>0</v>
      </c>
      <c r="N90" s="711">
        <f>Bilans_E_AMS_Kyoto_run3_MTE!R499</f>
        <v>-16</v>
      </c>
      <c r="O90" s="711">
        <f>Bilans_E_AMS_Kyoto_run3_MTE!S499</f>
        <v>0</v>
      </c>
      <c r="P90" s="711">
        <f>Bilans_E_AMS_Kyoto_run3_MTE!T499+Bilans_E_AMS_Kyoto_run3_MTE!U499</f>
        <v>0</v>
      </c>
      <c r="Q90" s="711">
        <f>Bilans_E_AMS_Kyoto_run3_MTE!V499</f>
        <v>0</v>
      </c>
      <c r="R90" s="711">
        <f>Bilans_E_AMS_Kyoto_run3_MTE!W499</f>
        <v>0</v>
      </c>
      <c r="S90" s="711">
        <f>Bilans_E_AMS_Kyoto_run3_MTE!X499</f>
        <v>0</v>
      </c>
      <c r="T90" s="711">
        <f>Bilans_E_AMS_Kyoto_run3_MTE!Y499</f>
        <v>-5</v>
      </c>
      <c r="U90" s="711">
        <f>Bilans_E_AMS_Kyoto_run3_MTE!Z499</f>
        <v>-64</v>
      </c>
      <c r="V90" s="701"/>
      <c r="W90" s="701"/>
    </row>
    <row r="91" spans="1:23" x14ac:dyDescent="0.25">
      <c r="A91" s="701" t="s">
        <v>492</v>
      </c>
      <c r="B91" s="701"/>
      <c r="C91" s="710" t="s">
        <v>64</v>
      </c>
      <c r="D91" s="712">
        <f>Bilans_E_AMS_Kyoto_run3_MTE!H500</f>
        <v>0</v>
      </c>
      <c r="E91" s="712">
        <f>Bilans_E_AMS_Kyoto_run3_MTE!I500</f>
        <v>0</v>
      </c>
      <c r="F91" s="712">
        <f>Bilans_E_AMS_Kyoto_run3_MTE!J500</f>
        <v>0</v>
      </c>
      <c r="G91" s="712">
        <f>Bilans_E_AMS_Kyoto_run3_MTE!K500</f>
        <v>0</v>
      </c>
      <c r="H91" s="712">
        <f>Bilans_E_AMS_Kyoto_run3_MTE!L500</f>
        <v>0</v>
      </c>
      <c r="I91" s="712">
        <f>Bilans_E_AMS_Kyoto_run3_MTE!M500</f>
        <v>0</v>
      </c>
      <c r="J91" s="712">
        <f>Bilans_E_AMS_Kyoto_run3_MTE!N500</f>
        <v>0</v>
      </c>
      <c r="K91" s="712">
        <f>Bilans_E_AMS_Kyoto_run3_MTE!O500</f>
        <v>0</v>
      </c>
      <c r="L91" s="712">
        <f>Bilans_E_AMS_Kyoto_run3_MTE!P500</f>
        <v>0</v>
      </c>
      <c r="M91" s="712">
        <f>Bilans_E_AMS_Kyoto_run3_MTE!Q500</f>
        <v>0</v>
      </c>
      <c r="N91" s="712">
        <f>Bilans_E_AMS_Kyoto_run3_MTE!R500</f>
        <v>0</v>
      </c>
      <c r="O91" s="712">
        <f>Bilans_E_AMS_Kyoto_run3_MTE!S500</f>
        <v>0</v>
      </c>
      <c r="P91" s="712">
        <f>Bilans_E_AMS_Kyoto_run3_MTE!T500+Bilans_E_AMS_Kyoto_run3_MTE!U500</f>
        <v>0</v>
      </c>
      <c r="Q91" s="712">
        <f>Bilans_E_AMS_Kyoto_run3_MTE!V500</f>
        <v>0</v>
      </c>
      <c r="R91" s="712">
        <f>Bilans_E_AMS_Kyoto_run3_MTE!W500</f>
        <v>0</v>
      </c>
      <c r="S91" s="712">
        <f>Bilans_E_AMS_Kyoto_run3_MTE!X500</f>
        <v>0</v>
      </c>
      <c r="T91" s="712">
        <f>Bilans_E_AMS_Kyoto_run3_MTE!Y500</f>
        <v>0</v>
      </c>
      <c r="U91" s="712">
        <f>Bilans_E_AMS_Kyoto_run3_MTE!Z500</f>
        <v>0</v>
      </c>
      <c r="V91" s="701"/>
      <c r="W91" s="701"/>
    </row>
    <row r="92" spans="1:23" x14ac:dyDescent="0.25">
      <c r="A92" s="701" t="s">
        <v>493</v>
      </c>
      <c r="B92" s="701"/>
      <c r="C92" s="713" t="s">
        <v>65</v>
      </c>
      <c r="D92" s="714">
        <f>Bilans_E_AMS_Kyoto_run3_MTE!H501</f>
        <v>7.2040588378906256E-2</v>
      </c>
      <c r="E92" s="714">
        <f>Bilans_E_AMS_Kyoto_run3_MTE!I501</f>
        <v>143.57372262348443</v>
      </c>
      <c r="F92" s="714">
        <f>Bilans_E_AMS_Kyoto_run3_MTE!J501</f>
        <v>-4.6781896618893128</v>
      </c>
      <c r="G92" s="714">
        <f>Bilans_E_AMS_Kyoto_run3_MTE!K501</f>
        <v>-9.1293013539879198</v>
      </c>
      <c r="H92" s="714">
        <f>Bilans_E_AMS_Kyoto_run3_MTE!L501</f>
        <v>83.302522482755748</v>
      </c>
      <c r="I92" s="714">
        <f>Bilans_E_AMS_Kyoto_run3_MTE!M501</f>
        <v>-2.4085070655967704</v>
      </c>
      <c r="J92" s="714">
        <f>Bilans_E_AMS_Kyoto_run3_MTE!N501</f>
        <v>1021.1177956869142</v>
      </c>
      <c r="K92" s="714">
        <f>Bilans_E_AMS_Kyoto_run3_MTE!O501</f>
        <v>462.06687945929309</v>
      </c>
      <c r="L92" s="714">
        <f>Bilans_E_AMS_Kyoto_run3_MTE!P501</f>
        <v>388.96686213547946</v>
      </c>
      <c r="M92" s="714">
        <f>Bilans_E_AMS_Kyoto_run3_MTE!Q501</f>
        <v>45.488439305040814</v>
      </c>
      <c r="N92" s="714">
        <f>Bilans_E_AMS_Kyoto_run3_MTE!R501</f>
        <v>-12.310008373335982</v>
      </c>
      <c r="O92" s="714">
        <f>Bilans_E_AMS_Kyoto_run3_MTE!S501</f>
        <v>-22.141847518734135</v>
      </c>
      <c r="P92" s="714">
        <f>Bilans_E_AMS_Kyoto_run3_MTE!T501+Bilans_E_AMS_Kyoto_run3_MTE!U501</f>
        <v>241.4786584909825</v>
      </c>
      <c r="Q92" s="714">
        <f>Bilans_E_AMS_Kyoto_run3_MTE!V501</f>
        <v>44.619368166332919</v>
      </c>
      <c r="R92" s="714">
        <f>Bilans_E_AMS_Kyoto_run3_MTE!W501</f>
        <v>-64.652591069811592</v>
      </c>
      <c r="S92" s="714">
        <f>Bilans_E_AMS_Kyoto_run3_MTE!X501</f>
        <v>0</v>
      </c>
      <c r="T92" s="714">
        <f>Bilans_E_AMS_Kyoto_run3_MTE!Y501</f>
        <v>-5.9960624842525414</v>
      </c>
      <c r="U92" s="714">
        <f>Bilans_E_AMS_Kyoto_run3_MTE!Z501</f>
        <v>2309.3697814110537</v>
      </c>
      <c r="V92" s="701"/>
      <c r="W92" s="701"/>
    </row>
    <row r="93" spans="1:23" x14ac:dyDescent="0.25">
      <c r="A93" s="701"/>
      <c r="B93" s="701"/>
      <c r="C93" s="715"/>
      <c r="D93" s="716"/>
      <c r="E93" s="716"/>
      <c r="F93" s="716"/>
      <c r="G93" s="716"/>
      <c r="H93" s="716"/>
      <c r="I93" s="716"/>
      <c r="J93" s="716"/>
      <c r="K93" s="716"/>
      <c r="L93" s="716"/>
      <c r="M93" s="716"/>
      <c r="N93" s="716"/>
      <c r="O93" s="716"/>
      <c r="P93" s="716">
        <f>Bilans_E_AMS_Kyoto_run3_MTE!T502+Bilans_E_AMS_Kyoto_run3_MTE!U502</f>
        <v>0</v>
      </c>
      <c r="Q93" s="716"/>
      <c r="R93" s="716"/>
      <c r="S93" s="716"/>
      <c r="T93" s="716"/>
      <c r="U93" s="716"/>
      <c r="V93" s="701"/>
      <c r="W93" s="701"/>
    </row>
    <row r="94" spans="1:23" x14ac:dyDescent="0.25">
      <c r="A94" s="701" t="s">
        <v>494</v>
      </c>
      <c r="B94" s="701"/>
      <c r="C94" s="717" t="s">
        <v>67</v>
      </c>
      <c r="D94" s="711">
        <f>Bilans_E_AMS_Kyoto_run3_MTE!H503</f>
        <v>0</v>
      </c>
      <c r="E94" s="711">
        <f>Bilans_E_AMS_Kyoto_run3_MTE!I503</f>
        <v>0</v>
      </c>
      <c r="F94" s="711">
        <f>Bilans_E_AMS_Kyoto_run3_MTE!J503</f>
        <v>0</v>
      </c>
      <c r="G94" s="711">
        <f>Bilans_E_AMS_Kyoto_run3_MTE!K503</f>
        <v>0</v>
      </c>
      <c r="H94" s="711">
        <f>Bilans_E_AMS_Kyoto_run3_MTE!L503</f>
        <v>0</v>
      </c>
      <c r="I94" s="711">
        <f>Bilans_E_AMS_Kyoto_run3_MTE!M503</f>
        <v>0</v>
      </c>
      <c r="J94" s="711">
        <f>Bilans_E_AMS_Kyoto_run3_MTE!N503</f>
        <v>0</v>
      </c>
      <c r="K94" s="711">
        <f>Bilans_E_AMS_Kyoto_run3_MTE!O503</f>
        <v>0</v>
      </c>
      <c r="L94" s="711">
        <f>Bilans_E_AMS_Kyoto_run3_MTE!P503</f>
        <v>0</v>
      </c>
      <c r="M94" s="711">
        <f>Bilans_E_AMS_Kyoto_run3_MTE!Q503</f>
        <v>0</v>
      </c>
      <c r="N94" s="711">
        <f>Bilans_E_AMS_Kyoto_run3_MTE!R503</f>
        <v>0</v>
      </c>
      <c r="O94" s="711">
        <f>Bilans_E_AMS_Kyoto_run3_MTE!S503</f>
        <v>0</v>
      </c>
      <c r="P94" s="711">
        <f>Bilans_E_AMS_Kyoto_run3_MTE!T503+Bilans_E_AMS_Kyoto_run3_MTE!U503</f>
        <v>0</v>
      </c>
      <c r="Q94" s="711">
        <f>Bilans_E_AMS_Kyoto_run3_MTE!V503</f>
        <v>0</v>
      </c>
      <c r="R94" s="711">
        <f>Bilans_E_AMS_Kyoto_run3_MTE!W503</f>
        <v>0</v>
      </c>
      <c r="S94" s="711">
        <f>Bilans_E_AMS_Kyoto_run3_MTE!X503</f>
        <v>0</v>
      </c>
      <c r="T94" s="711">
        <f>Bilans_E_AMS_Kyoto_run3_MTE!Y503</f>
        <v>0</v>
      </c>
      <c r="U94" s="711">
        <f>Bilans_E_AMS_Kyoto_run3_MTE!Z503</f>
        <v>0</v>
      </c>
      <c r="V94" s="701"/>
      <c r="W94" s="701"/>
    </row>
    <row r="95" spans="1:23" x14ac:dyDescent="0.25">
      <c r="A95" s="701" t="s">
        <v>495</v>
      </c>
      <c r="B95" s="701"/>
      <c r="C95" s="717" t="s">
        <v>347</v>
      </c>
      <c r="D95" s="711">
        <f>Bilans_E_AMS_Kyoto_run3_MTE!H504</f>
        <v>0</v>
      </c>
      <c r="E95" s="711">
        <f>Bilans_E_AMS_Kyoto_run3_MTE!I504</f>
        <v>0</v>
      </c>
      <c r="F95" s="711">
        <f>Bilans_E_AMS_Kyoto_run3_MTE!J504</f>
        <v>0</v>
      </c>
      <c r="G95" s="711">
        <f>Bilans_E_AMS_Kyoto_run3_MTE!K504</f>
        <v>0</v>
      </c>
      <c r="H95" s="711">
        <f>Bilans_E_AMS_Kyoto_run3_MTE!L504</f>
        <v>2.2309947234042489E-3</v>
      </c>
      <c r="I95" s="711">
        <f>Bilans_E_AMS_Kyoto_run3_MTE!M504</f>
        <v>0</v>
      </c>
      <c r="J95" s="711">
        <f>Bilans_E_AMS_Kyoto_run3_MTE!N504</f>
        <v>1014.6070909090909</v>
      </c>
      <c r="K95" s="711">
        <f>Bilans_E_AMS_Kyoto_run3_MTE!O504</f>
        <v>462.06687945929309</v>
      </c>
      <c r="L95" s="711">
        <f>Bilans_E_AMS_Kyoto_run3_MTE!P504</f>
        <v>17.968425297338086</v>
      </c>
      <c r="M95" s="711">
        <f>Bilans_E_AMS_Kyoto_run3_MTE!Q504</f>
        <v>5.3124785537967538</v>
      </c>
      <c r="N95" s="711">
        <f>Bilans_E_AMS_Kyoto_run3_MTE!R504</f>
        <v>6.3451610040287907</v>
      </c>
      <c r="O95" s="711">
        <f>Bilans_E_AMS_Kyoto_run3_MTE!S504</f>
        <v>0.11597760068741178</v>
      </c>
      <c r="P95" s="711">
        <f>Bilans_E_AMS_Kyoto_run3_MTE!T504+Bilans_E_AMS_Kyoto_run3_MTE!U504</f>
        <v>0</v>
      </c>
      <c r="Q95" s="711">
        <f>Bilans_E_AMS_Kyoto_run3_MTE!V504</f>
        <v>6.4766550958451852</v>
      </c>
      <c r="R95" s="711">
        <f>Bilans_E_AMS_Kyoto_run3_MTE!W504</f>
        <v>-813.99806516168439</v>
      </c>
      <c r="S95" s="711">
        <f>Bilans_E_AMS_Kyoto_run3_MTE!X504</f>
        <v>0</v>
      </c>
      <c r="T95" s="711">
        <f>Bilans_E_AMS_Kyoto_run3_MTE!Y504</f>
        <v>0</v>
      </c>
      <c r="U95" s="711">
        <f>Bilans_E_AMS_Kyoto_run3_MTE!Z504</f>
        <v>698.89683375311927</v>
      </c>
      <c r="V95" s="701"/>
      <c r="W95" s="701"/>
    </row>
    <row r="96" spans="1:23" x14ac:dyDescent="0.25">
      <c r="A96" s="701" t="s">
        <v>496</v>
      </c>
      <c r="B96" s="701"/>
      <c r="C96" s="717" t="s">
        <v>348</v>
      </c>
      <c r="D96" s="711">
        <f>Bilans_E_AMS_Kyoto_run3_MTE!H505</f>
        <v>0</v>
      </c>
      <c r="E96" s="711">
        <f>Bilans_E_AMS_Kyoto_run3_MTE!I505</f>
        <v>0</v>
      </c>
      <c r="F96" s="711">
        <f>Bilans_E_AMS_Kyoto_run3_MTE!J505</f>
        <v>0</v>
      </c>
      <c r="G96" s="711">
        <f>Bilans_E_AMS_Kyoto_run3_MTE!K505</f>
        <v>0</v>
      </c>
      <c r="H96" s="711">
        <f>Bilans_E_AMS_Kyoto_run3_MTE!L505</f>
        <v>10.095185583157674</v>
      </c>
      <c r="I96" s="711">
        <f>Bilans_E_AMS_Kyoto_run3_MTE!M505</f>
        <v>0.18354882878468498</v>
      </c>
      <c r="J96" s="711">
        <f>Bilans_E_AMS_Kyoto_run3_MTE!N505</f>
        <v>6.5107047778232934</v>
      </c>
      <c r="K96" s="711">
        <f>Bilans_E_AMS_Kyoto_run3_MTE!O505</f>
        <v>0</v>
      </c>
      <c r="L96" s="711">
        <f>Bilans_E_AMS_Kyoto_run3_MTE!P505</f>
        <v>23.787457206103085</v>
      </c>
      <c r="M96" s="711">
        <f>Bilans_E_AMS_Kyoto_run3_MTE!Q505</f>
        <v>12.007971884882547</v>
      </c>
      <c r="N96" s="711">
        <f>Bilans_E_AMS_Kyoto_run3_MTE!R505</f>
        <v>0</v>
      </c>
      <c r="O96" s="711">
        <f>Bilans_E_AMS_Kyoto_run3_MTE!S505</f>
        <v>8.0912599085817618</v>
      </c>
      <c r="P96" s="711">
        <f>Bilans_E_AMS_Kyoto_run3_MTE!T505+Bilans_E_AMS_Kyoto_run3_MTE!U505</f>
        <v>19.703135322463453</v>
      </c>
      <c r="Q96" s="711">
        <f>Bilans_E_AMS_Kyoto_run3_MTE!V505</f>
        <v>12.221648755322821</v>
      </c>
      <c r="R96" s="711">
        <f>Bilans_E_AMS_Kyoto_run3_MTE!W505</f>
        <v>0</v>
      </c>
      <c r="S96" s="711">
        <f>Bilans_E_AMS_Kyoto_run3_MTE!X505</f>
        <v>-86.369990218724851</v>
      </c>
      <c r="T96" s="711">
        <f>Bilans_E_AMS_Kyoto_run3_MTE!Y505</f>
        <v>0</v>
      </c>
      <c r="U96" s="711">
        <f>Bilans_E_AMS_Kyoto_run3_MTE!Z505</f>
        <v>6.2309220483944614</v>
      </c>
      <c r="V96" s="701"/>
      <c r="W96" s="701"/>
    </row>
    <row r="97" spans="1:23" x14ac:dyDescent="0.25">
      <c r="A97" s="701" t="s">
        <v>497</v>
      </c>
      <c r="B97" s="701"/>
      <c r="C97" s="717" t="s">
        <v>349</v>
      </c>
      <c r="D97" s="711">
        <f>Bilans_E_AMS_Kyoto_run3_MTE!H506</f>
        <v>0</v>
      </c>
      <c r="E97" s="711">
        <f>Bilans_E_AMS_Kyoto_run3_MTE!I506</f>
        <v>0</v>
      </c>
      <c r="F97" s="711">
        <f>Bilans_E_AMS_Kyoto_run3_MTE!J506</f>
        <v>0</v>
      </c>
      <c r="G97" s="711">
        <f>Bilans_E_AMS_Kyoto_run3_MTE!K506</f>
        <v>0</v>
      </c>
      <c r="H97" s="711">
        <f>Bilans_E_AMS_Kyoto_run3_MTE!L506</f>
        <v>0</v>
      </c>
      <c r="I97" s="711">
        <f>Bilans_E_AMS_Kyoto_run3_MTE!M506</f>
        <v>0</v>
      </c>
      <c r="J97" s="711">
        <f>Bilans_E_AMS_Kyoto_run3_MTE!N506</f>
        <v>0</v>
      </c>
      <c r="K97" s="711">
        <f>Bilans_E_AMS_Kyoto_run3_MTE!O506</f>
        <v>0</v>
      </c>
      <c r="L97" s="711">
        <f>Bilans_E_AMS_Kyoto_run3_MTE!P506</f>
        <v>149.36314864907311</v>
      </c>
      <c r="M97" s="711">
        <f>Bilans_E_AMS_Kyoto_run3_MTE!Q506</f>
        <v>12.851297568088029</v>
      </c>
      <c r="N97" s="711">
        <f>Bilans_E_AMS_Kyoto_run3_MTE!R506</f>
        <v>0</v>
      </c>
      <c r="O97" s="711">
        <f>Bilans_E_AMS_Kyoto_run3_MTE!S506</f>
        <v>-81.192550335578574</v>
      </c>
      <c r="P97" s="711">
        <f>Bilans_E_AMS_Kyoto_run3_MTE!T506+Bilans_E_AMS_Kyoto_run3_MTE!U506</f>
        <v>0</v>
      </c>
      <c r="Q97" s="711">
        <f>Bilans_E_AMS_Kyoto_run3_MTE!V506</f>
        <v>0</v>
      </c>
      <c r="R97" s="711">
        <f>Bilans_E_AMS_Kyoto_run3_MTE!W506</f>
        <v>0</v>
      </c>
      <c r="S97" s="711">
        <f>Bilans_E_AMS_Kyoto_run3_MTE!X506</f>
        <v>0</v>
      </c>
      <c r="T97" s="711">
        <f>Bilans_E_AMS_Kyoto_run3_MTE!Y506</f>
        <v>0</v>
      </c>
      <c r="U97" s="711">
        <f>Bilans_E_AMS_Kyoto_run3_MTE!Z506</f>
        <v>81.021895881582566</v>
      </c>
      <c r="V97" s="701"/>
      <c r="W97" s="701"/>
    </row>
    <row r="98" spans="1:23" x14ac:dyDescent="0.25">
      <c r="A98" s="701" t="s">
        <v>498</v>
      </c>
      <c r="B98" s="701"/>
      <c r="C98" s="717" t="s">
        <v>350</v>
      </c>
      <c r="D98" s="711">
        <f>Bilans_E_AMS_Kyoto_run3_MTE!H507</f>
        <v>0</v>
      </c>
      <c r="E98" s="711">
        <f>Bilans_E_AMS_Kyoto_run3_MTE!I507</f>
        <v>0</v>
      </c>
      <c r="F98" s="711">
        <f>Bilans_E_AMS_Kyoto_run3_MTE!J507</f>
        <v>0</v>
      </c>
      <c r="G98" s="711">
        <f>Bilans_E_AMS_Kyoto_run3_MTE!K507</f>
        <v>0</v>
      </c>
      <c r="H98" s="711">
        <f>Bilans_E_AMS_Kyoto_run3_MTE!L507</f>
        <v>0</v>
      </c>
      <c r="I98" s="711">
        <f>Bilans_E_AMS_Kyoto_run3_MTE!M507</f>
        <v>-3.7466899829342335</v>
      </c>
      <c r="J98" s="711">
        <f>Bilans_E_AMS_Kyoto_run3_MTE!N507</f>
        <v>0</v>
      </c>
      <c r="K98" s="711">
        <f>Bilans_E_AMS_Kyoto_run3_MTE!O507</f>
        <v>0</v>
      </c>
      <c r="L98" s="711">
        <f>Bilans_E_AMS_Kyoto_run3_MTE!P507</f>
        <v>0</v>
      </c>
      <c r="M98" s="711">
        <f>Bilans_E_AMS_Kyoto_run3_MTE!Q507</f>
        <v>0</v>
      </c>
      <c r="N98" s="711">
        <f>Bilans_E_AMS_Kyoto_run3_MTE!R507</f>
        <v>0</v>
      </c>
      <c r="O98" s="711">
        <f>Bilans_E_AMS_Kyoto_run3_MTE!S507</f>
        <v>0</v>
      </c>
      <c r="P98" s="711">
        <f>Bilans_E_AMS_Kyoto_run3_MTE!T507+Bilans_E_AMS_Kyoto_run3_MTE!U507</f>
        <v>0</v>
      </c>
      <c r="Q98" s="711">
        <f>Bilans_E_AMS_Kyoto_run3_MTE!V507</f>
        <v>0</v>
      </c>
      <c r="R98" s="711">
        <f>Bilans_E_AMS_Kyoto_run3_MTE!W507</f>
        <v>0</v>
      </c>
      <c r="S98" s="711">
        <f>Bilans_E_AMS_Kyoto_run3_MTE!X507</f>
        <v>0</v>
      </c>
      <c r="T98" s="711">
        <f>Bilans_E_AMS_Kyoto_run3_MTE!Y507</f>
        <v>5.1930977473126321</v>
      </c>
      <c r="U98" s="711">
        <f>Bilans_E_AMS_Kyoto_run3_MTE!Z507</f>
        <v>1.4464077643783986</v>
      </c>
      <c r="V98" s="701"/>
      <c r="W98" s="701"/>
    </row>
    <row r="99" spans="1:23" x14ac:dyDescent="0.25">
      <c r="A99" s="701" t="s">
        <v>499</v>
      </c>
      <c r="B99" s="701"/>
      <c r="C99" s="717" t="s">
        <v>72</v>
      </c>
      <c r="D99" s="711">
        <f>Bilans_E_AMS_Kyoto_run3_MTE!H508</f>
        <v>0</v>
      </c>
      <c r="E99" s="711">
        <f>Bilans_E_AMS_Kyoto_run3_MTE!I508</f>
        <v>148.77345828425325</v>
      </c>
      <c r="F99" s="711">
        <f>Bilans_E_AMS_Kyoto_run3_MTE!J508</f>
        <v>-147.28572370141072</v>
      </c>
      <c r="G99" s="711">
        <f>Bilans_E_AMS_Kyoto_run3_MTE!K508</f>
        <v>0</v>
      </c>
      <c r="H99" s="711">
        <f>Bilans_E_AMS_Kyoto_run3_MTE!L508</f>
        <v>0</v>
      </c>
      <c r="I99" s="711">
        <f>Bilans_E_AMS_Kyoto_run3_MTE!M508</f>
        <v>0</v>
      </c>
      <c r="J99" s="711">
        <f>Bilans_E_AMS_Kyoto_run3_MTE!N508</f>
        <v>0</v>
      </c>
      <c r="K99" s="711">
        <f>Bilans_E_AMS_Kyoto_run3_MTE!O508</f>
        <v>0</v>
      </c>
      <c r="L99" s="711">
        <f>Bilans_E_AMS_Kyoto_run3_MTE!P508</f>
        <v>0</v>
      </c>
      <c r="M99" s="711">
        <f>Bilans_E_AMS_Kyoto_run3_MTE!Q508</f>
        <v>0</v>
      </c>
      <c r="N99" s="711">
        <f>Bilans_E_AMS_Kyoto_run3_MTE!R508</f>
        <v>0</v>
      </c>
      <c r="O99" s="711">
        <f>Bilans_E_AMS_Kyoto_run3_MTE!S508</f>
        <v>0</v>
      </c>
      <c r="P99" s="711">
        <f>Bilans_E_AMS_Kyoto_run3_MTE!T508+Bilans_E_AMS_Kyoto_run3_MTE!U508</f>
        <v>0</v>
      </c>
      <c r="Q99" s="711">
        <f>Bilans_E_AMS_Kyoto_run3_MTE!V508</f>
        <v>0</v>
      </c>
      <c r="R99" s="711">
        <f>Bilans_E_AMS_Kyoto_run3_MTE!W508</f>
        <v>0</v>
      </c>
      <c r="S99" s="711">
        <f>Bilans_E_AMS_Kyoto_run3_MTE!X508</f>
        <v>0</v>
      </c>
      <c r="T99" s="711">
        <f>Bilans_E_AMS_Kyoto_run3_MTE!Y508</f>
        <v>0</v>
      </c>
      <c r="U99" s="711">
        <f>Bilans_E_AMS_Kyoto_run3_MTE!Z508</f>
        <v>1.4877345828425348</v>
      </c>
      <c r="V99" s="701"/>
      <c r="W99" s="701"/>
    </row>
    <row r="100" spans="1:23" x14ac:dyDescent="0.25">
      <c r="A100" s="701" t="s">
        <v>500</v>
      </c>
      <c r="B100" s="701"/>
      <c r="C100" s="717" t="s">
        <v>351</v>
      </c>
      <c r="D100" s="711">
        <f>Bilans_E_AMS_Kyoto_run3_MTE!H509</f>
        <v>0</v>
      </c>
      <c r="E100" s="711">
        <f>Bilans_E_AMS_Kyoto_run3_MTE!I509</f>
        <v>0</v>
      </c>
      <c r="F100" s="711">
        <f>Bilans_E_AMS_Kyoto_run3_MTE!J509</f>
        <v>0</v>
      </c>
      <c r="G100" s="711">
        <f>Bilans_E_AMS_Kyoto_run3_MTE!K509</f>
        <v>0</v>
      </c>
      <c r="H100" s="711">
        <f>Bilans_E_AMS_Kyoto_run3_MTE!L509</f>
        <v>0</v>
      </c>
      <c r="I100" s="711">
        <f>Bilans_E_AMS_Kyoto_run3_MTE!M509</f>
        <v>0</v>
      </c>
      <c r="J100" s="711">
        <f>Bilans_E_AMS_Kyoto_run3_MTE!N509</f>
        <v>0</v>
      </c>
      <c r="K100" s="711">
        <f>Bilans_E_AMS_Kyoto_run3_MTE!O509</f>
        <v>0</v>
      </c>
      <c r="L100" s="711">
        <f>Bilans_E_AMS_Kyoto_run3_MTE!P509</f>
        <v>102.29704163456771</v>
      </c>
      <c r="M100" s="711">
        <f>Bilans_E_AMS_Kyoto_run3_MTE!Q509</f>
        <v>7.2727272727272725</v>
      </c>
      <c r="N100" s="711">
        <f>Bilans_E_AMS_Kyoto_run3_MTE!R509</f>
        <v>-61.183830654875514</v>
      </c>
      <c r="O100" s="711">
        <f>Bilans_E_AMS_Kyoto_run3_MTE!S509</f>
        <v>0</v>
      </c>
      <c r="P100" s="711">
        <f>Bilans_E_AMS_Kyoto_run3_MTE!T509+Bilans_E_AMS_Kyoto_run3_MTE!U509</f>
        <v>0</v>
      </c>
      <c r="Q100" s="711">
        <f>Bilans_E_AMS_Kyoto_run3_MTE!V509</f>
        <v>0</v>
      </c>
      <c r="R100" s="711">
        <f>Bilans_E_AMS_Kyoto_run3_MTE!W509</f>
        <v>0</v>
      </c>
      <c r="S100" s="711">
        <f>Bilans_E_AMS_Kyoto_run3_MTE!X509</f>
        <v>0</v>
      </c>
      <c r="T100" s="711">
        <f>Bilans_E_AMS_Kyoto_run3_MTE!Y509</f>
        <v>0</v>
      </c>
      <c r="U100" s="711">
        <f>Bilans_E_AMS_Kyoto_run3_MTE!Z509</f>
        <v>48.385938252419457</v>
      </c>
      <c r="V100" s="701"/>
      <c r="W100" s="701"/>
    </row>
    <row r="101" spans="1:23" x14ac:dyDescent="0.25">
      <c r="A101" s="701" t="s">
        <v>501</v>
      </c>
      <c r="B101" s="701"/>
      <c r="C101" s="717" t="s">
        <v>352</v>
      </c>
      <c r="D101" s="711">
        <f>Bilans_E_AMS_Kyoto_run3_MTE!H510</f>
        <v>0</v>
      </c>
      <c r="E101" s="711">
        <f>Bilans_E_AMS_Kyoto_run3_MTE!I510</f>
        <v>0</v>
      </c>
      <c r="F101" s="711">
        <f>Bilans_E_AMS_Kyoto_run3_MTE!J510</f>
        <v>0</v>
      </c>
      <c r="G101" s="711">
        <f>Bilans_E_AMS_Kyoto_run3_MTE!K510</f>
        <v>-14.619486217725157</v>
      </c>
      <c r="H101" s="711">
        <f>Bilans_E_AMS_Kyoto_run3_MTE!L510</f>
        <v>0</v>
      </c>
      <c r="I101" s="711">
        <f>Bilans_E_AMS_Kyoto_run3_MTE!M510</f>
        <v>0</v>
      </c>
      <c r="J101" s="711">
        <f>Bilans_E_AMS_Kyoto_run3_MTE!N510</f>
        <v>0</v>
      </c>
      <c r="K101" s="711">
        <f>Bilans_E_AMS_Kyoto_run3_MTE!O510</f>
        <v>0</v>
      </c>
      <c r="L101" s="711">
        <f>Bilans_E_AMS_Kyoto_run3_MTE!P510</f>
        <v>0</v>
      </c>
      <c r="M101" s="711">
        <f>Bilans_E_AMS_Kyoto_run3_MTE!Q510</f>
        <v>0</v>
      </c>
      <c r="N101" s="711">
        <f>Bilans_E_AMS_Kyoto_run3_MTE!R510</f>
        <v>0</v>
      </c>
      <c r="O101" s="711">
        <f>Bilans_E_AMS_Kyoto_run3_MTE!S510</f>
        <v>0</v>
      </c>
      <c r="P101" s="711">
        <f>Bilans_E_AMS_Kyoto_run3_MTE!T510+Bilans_E_AMS_Kyoto_run3_MTE!U510</f>
        <v>0</v>
      </c>
      <c r="Q101" s="711">
        <f>Bilans_E_AMS_Kyoto_run3_MTE!V510</f>
        <v>0</v>
      </c>
      <c r="R101" s="711">
        <f>Bilans_E_AMS_Kyoto_run3_MTE!W510</f>
        <v>0</v>
      </c>
      <c r="S101" s="711">
        <f>Bilans_E_AMS_Kyoto_run3_MTE!X510</f>
        <v>0</v>
      </c>
      <c r="T101" s="711">
        <f>Bilans_E_AMS_Kyoto_run3_MTE!Y510</f>
        <v>24.331434839497675</v>
      </c>
      <c r="U101" s="711">
        <f>Bilans_E_AMS_Kyoto_run3_MTE!Z510</f>
        <v>9.7119486217725175</v>
      </c>
      <c r="V101" s="701"/>
      <c r="W101" s="701"/>
    </row>
    <row r="102" spans="1:23" x14ac:dyDescent="0.25">
      <c r="A102" s="701" t="s">
        <v>502</v>
      </c>
      <c r="B102" s="701"/>
      <c r="C102" s="717" t="s">
        <v>73</v>
      </c>
      <c r="D102" s="711">
        <f>Bilans_E_AMS_Kyoto_run3_MTE!H511</f>
        <v>0</v>
      </c>
      <c r="E102" s="711">
        <f>Bilans_E_AMS_Kyoto_run3_MTE!I511</f>
        <v>0</v>
      </c>
      <c r="F102" s="711">
        <f>Bilans_E_AMS_Kyoto_run3_MTE!J511</f>
        <v>0</v>
      </c>
      <c r="G102" s="711">
        <f>Bilans_E_AMS_Kyoto_run3_MTE!K511</f>
        <v>0</v>
      </c>
      <c r="H102" s="711">
        <f>Bilans_E_AMS_Kyoto_run3_MTE!L511</f>
        <v>0</v>
      </c>
      <c r="I102" s="711">
        <f>Bilans_E_AMS_Kyoto_run3_MTE!M511</f>
        <v>0</v>
      </c>
      <c r="J102" s="711">
        <f>Bilans_E_AMS_Kyoto_run3_MTE!N511</f>
        <v>0</v>
      </c>
      <c r="K102" s="711">
        <f>Bilans_E_AMS_Kyoto_run3_MTE!O511</f>
        <v>0</v>
      </c>
      <c r="L102" s="711">
        <f>Bilans_E_AMS_Kyoto_run3_MTE!P511</f>
        <v>0</v>
      </c>
      <c r="M102" s="711">
        <f>Bilans_E_AMS_Kyoto_run3_MTE!Q511</f>
        <v>0</v>
      </c>
      <c r="N102" s="711">
        <f>Bilans_E_AMS_Kyoto_run3_MTE!R511</f>
        <v>0</v>
      </c>
      <c r="O102" s="711">
        <f>Bilans_E_AMS_Kyoto_run3_MTE!S511</f>
        <v>0</v>
      </c>
      <c r="P102" s="711">
        <f>Bilans_E_AMS_Kyoto_run3_MTE!T511+Bilans_E_AMS_Kyoto_run3_MTE!U511</f>
        <v>0</v>
      </c>
      <c r="Q102" s="711">
        <f>Bilans_E_AMS_Kyoto_run3_MTE!V511</f>
        <v>0</v>
      </c>
      <c r="R102" s="711">
        <f>Bilans_E_AMS_Kyoto_run3_MTE!W511</f>
        <v>88.6114421596901</v>
      </c>
      <c r="S102" s="711">
        <f>Bilans_E_AMS_Kyoto_run3_MTE!X511</f>
        <v>0</v>
      </c>
      <c r="T102" s="711">
        <f>Bilans_E_AMS_Kyoto_run3_MTE!Y511</f>
        <v>-62.249538117182297</v>
      </c>
      <c r="U102" s="711">
        <f>Bilans_E_AMS_Kyoto_run3_MTE!Z511</f>
        <v>26.361904042507803</v>
      </c>
      <c r="V102" s="701"/>
      <c r="W102" s="701"/>
    </row>
    <row r="103" spans="1:23" x14ac:dyDescent="0.25">
      <c r="A103" s="701" t="s">
        <v>503</v>
      </c>
      <c r="B103" s="701"/>
      <c r="C103" s="717" t="s">
        <v>353</v>
      </c>
      <c r="D103" s="711">
        <f>Bilans_E_AMS_Kyoto_run3_MTE!H512</f>
        <v>0</v>
      </c>
      <c r="E103" s="711">
        <f>Bilans_E_AMS_Kyoto_run3_MTE!I512</f>
        <v>-5.1997356607688232</v>
      </c>
      <c r="F103" s="711">
        <f>Bilans_E_AMS_Kyoto_run3_MTE!J512</f>
        <v>6.948298230027091</v>
      </c>
      <c r="G103" s="711">
        <f>Bilans_E_AMS_Kyoto_run3_MTE!K512</f>
        <v>0</v>
      </c>
      <c r="H103" s="711">
        <f>Bilans_E_AMS_Kyoto_run3_MTE!L512</f>
        <v>0</v>
      </c>
      <c r="I103" s="711">
        <f>Bilans_E_AMS_Kyoto_run3_MTE!M512</f>
        <v>0</v>
      </c>
      <c r="J103" s="711">
        <f>Bilans_E_AMS_Kyoto_run3_MTE!N512</f>
        <v>0</v>
      </c>
      <c r="K103" s="711">
        <f>Bilans_E_AMS_Kyoto_run3_MTE!O512</f>
        <v>0</v>
      </c>
      <c r="L103" s="711">
        <f>Bilans_E_AMS_Kyoto_run3_MTE!P512</f>
        <v>0</v>
      </c>
      <c r="M103" s="711">
        <f>Bilans_E_AMS_Kyoto_run3_MTE!Q512</f>
        <v>0</v>
      </c>
      <c r="N103" s="711">
        <f>Bilans_E_AMS_Kyoto_run3_MTE!R512</f>
        <v>0</v>
      </c>
      <c r="O103" s="711">
        <f>Bilans_E_AMS_Kyoto_run3_MTE!S512</f>
        <v>0</v>
      </c>
      <c r="P103" s="711">
        <f>Bilans_E_AMS_Kyoto_run3_MTE!T512+Bilans_E_AMS_Kyoto_run3_MTE!U512</f>
        <v>0</v>
      </c>
      <c r="Q103" s="711">
        <f>Bilans_E_AMS_Kyoto_run3_MTE!V512</f>
        <v>0</v>
      </c>
      <c r="R103" s="711">
        <f>Bilans_E_AMS_Kyoto_run3_MTE!W512</f>
        <v>0</v>
      </c>
      <c r="S103" s="711">
        <f>Bilans_E_AMS_Kyoto_run3_MTE!X512</f>
        <v>0</v>
      </c>
      <c r="T103" s="711">
        <f>Bilans_E_AMS_Kyoto_run3_MTE!Y512</f>
        <v>0</v>
      </c>
      <c r="U103" s="711">
        <f>Bilans_E_AMS_Kyoto_run3_MTE!Z512</f>
        <v>1.7485625692582678</v>
      </c>
      <c r="V103" s="701"/>
      <c r="W103" s="701"/>
    </row>
    <row r="104" spans="1:23" x14ac:dyDescent="0.25">
      <c r="A104" s="701" t="s">
        <v>504</v>
      </c>
      <c r="B104" s="701"/>
      <c r="C104" s="717" t="s">
        <v>75</v>
      </c>
      <c r="D104" s="711">
        <f>Bilans_E_AMS_Kyoto_run3_MTE!H513</f>
        <v>0</v>
      </c>
      <c r="E104" s="711">
        <f>Bilans_E_AMS_Kyoto_run3_MTE!I513</f>
        <v>0</v>
      </c>
      <c r="F104" s="711">
        <f>Bilans_E_AMS_Kyoto_run3_MTE!J513</f>
        <v>5.2004760110645112</v>
      </c>
      <c r="G104" s="711">
        <f>Bilans_E_AMS_Kyoto_run3_MTE!K513</f>
        <v>0</v>
      </c>
      <c r="H104" s="711">
        <f>Bilans_E_AMS_Kyoto_run3_MTE!L513</f>
        <v>0</v>
      </c>
      <c r="I104" s="711">
        <f>Bilans_E_AMS_Kyoto_run3_MTE!M513</f>
        <v>0</v>
      </c>
      <c r="J104" s="711">
        <f>Bilans_E_AMS_Kyoto_run3_MTE!N513</f>
        <v>0</v>
      </c>
      <c r="K104" s="711">
        <f>Bilans_E_AMS_Kyoto_run3_MTE!O513</f>
        <v>0</v>
      </c>
      <c r="L104" s="711">
        <f>Bilans_E_AMS_Kyoto_run3_MTE!P513</f>
        <v>0</v>
      </c>
      <c r="M104" s="711">
        <f>Bilans_E_AMS_Kyoto_run3_MTE!Q513</f>
        <v>0</v>
      </c>
      <c r="N104" s="711">
        <f>Bilans_E_AMS_Kyoto_run3_MTE!R513</f>
        <v>0</v>
      </c>
      <c r="O104" s="711">
        <f>Bilans_E_AMS_Kyoto_run3_MTE!S513</f>
        <v>0</v>
      </c>
      <c r="P104" s="711">
        <f>Bilans_E_AMS_Kyoto_run3_MTE!T513+Bilans_E_AMS_Kyoto_run3_MTE!U513</f>
        <v>0</v>
      </c>
      <c r="Q104" s="711">
        <f>Bilans_E_AMS_Kyoto_run3_MTE!V513</f>
        <v>0</v>
      </c>
      <c r="R104" s="711">
        <f>Bilans_E_AMS_Kyoto_run3_MTE!W513</f>
        <v>38.430337038531441</v>
      </c>
      <c r="S104" s="711">
        <f>Bilans_E_AMS_Kyoto_run3_MTE!X513</f>
        <v>0</v>
      </c>
      <c r="T104" s="711">
        <f>Bilans_E_AMS_Kyoto_run3_MTE!Y513</f>
        <v>1.4650612498705113</v>
      </c>
      <c r="U104" s="711">
        <f>Bilans_E_AMS_Kyoto_run3_MTE!Z513</f>
        <v>45.095874299466459</v>
      </c>
      <c r="V104" s="701"/>
      <c r="W104" s="701"/>
    </row>
    <row r="105" spans="1:23" x14ac:dyDescent="0.25">
      <c r="A105" s="701" t="s">
        <v>505</v>
      </c>
      <c r="B105" s="701"/>
      <c r="C105" s="717" t="s">
        <v>76</v>
      </c>
      <c r="D105" s="711">
        <f>Bilans_E_AMS_Kyoto_run3_MTE!H514</f>
        <v>0</v>
      </c>
      <c r="E105" s="711">
        <f>Bilans_E_AMS_Kyoto_run3_MTE!I514</f>
        <v>0</v>
      </c>
      <c r="F105" s="711">
        <f>Bilans_E_AMS_Kyoto_run3_MTE!J514</f>
        <v>0</v>
      </c>
      <c r="G105" s="711">
        <f>Bilans_E_AMS_Kyoto_run3_MTE!K514</f>
        <v>0</v>
      </c>
      <c r="H105" s="711">
        <f>Bilans_E_AMS_Kyoto_run3_MTE!L514</f>
        <v>0.87272798956791087</v>
      </c>
      <c r="I105" s="711">
        <f>Bilans_E_AMS_Kyoto_run3_MTE!M514</f>
        <v>1.5867781628507469E-2</v>
      </c>
      <c r="J105" s="711">
        <f>Bilans_E_AMS_Kyoto_run3_MTE!N514</f>
        <v>0</v>
      </c>
      <c r="K105" s="711">
        <f>Bilans_E_AMS_Kyoto_run3_MTE!O514</f>
        <v>0</v>
      </c>
      <c r="L105" s="711">
        <f>Bilans_E_AMS_Kyoto_run3_MTE!P514</f>
        <v>0</v>
      </c>
      <c r="M105" s="711">
        <f>Bilans_E_AMS_Kyoto_run3_MTE!Q514</f>
        <v>0</v>
      </c>
      <c r="N105" s="711">
        <f>Bilans_E_AMS_Kyoto_run3_MTE!R514</f>
        <v>0</v>
      </c>
      <c r="O105" s="711">
        <f>Bilans_E_AMS_Kyoto_run3_MTE!S514</f>
        <v>0.6981823916543286</v>
      </c>
      <c r="P105" s="711">
        <f>Bilans_E_AMS_Kyoto_run3_MTE!T514+Bilans_E_AMS_Kyoto_run3_MTE!U514</f>
        <v>0</v>
      </c>
      <c r="Q105" s="711">
        <f>Bilans_E_AMS_Kyoto_run3_MTE!V514</f>
        <v>0</v>
      </c>
      <c r="R105" s="711">
        <f>Bilans_E_AMS_Kyoto_run3_MTE!W514</f>
        <v>61.224106337294323</v>
      </c>
      <c r="S105" s="711">
        <f>Bilans_E_AMS_Kyoto_run3_MTE!X514</f>
        <v>6.697680379771108</v>
      </c>
      <c r="T105" s="711">
        <f>Bilans_E_AMS_Kyoto_run3_MTE!Y514</f>
        <v>0</v>
      </c>
      <c r="U105" s="711">
        <f>Bilans_E_AMS_Kyoto_run3_MTE!Z514</f>
        <v>69.508564879916179</v>
      </c>
      <c r="V105" s="701"/>
      <c r="W105" s="701"/>
    </row>
    <row r="106" spans="1:23" x14ac:dyDescent="0.25">
      <c r="A106" s="701" t="s">
        <v>506</v>
      </c>
      <c r="B106" s="701"/>
      <c r="C106" s="713" t="s">
        <v>77</v>
      </c>
      <c r="D106" s="714">
        <f>Bilans_E_AMS_Kyoto_run3_MTE!H515</f>
        <v>0</v>
      </c>
      <c r="E106" s="714">
        <f>Bilans_E_AMS_Kyoto_run3_MTE!I515</f>
        <v>143.57372262348443</v>
      </c>
      <c r="F106" s="714">
        <f>Bilans_E_AMS_Kyoto_run3_MTE!J515</f>
        <v>-135.1369494603191</v>
      </c>
      <c r="G106" s="714">
        <f>Bilans_E_AMS_Kyoto_run3_MTE!K515</f>
        <v>-14.619486217725157</v>
      </c>
      <c r="H106" s="714">
        <f>Bilans_E_AMS_Kyoto_run3_MTE!L515</f>
        <v>10.97014456744899</v>
      </c>
      <c r="I106" s="714">
        <f>Bilans_E_AMS_Kyoto_run3_MTE!M515</f>
        <v>-3.5472733725210412</v>
      </c>
      <c r="J106" s="714">
        <f>Bilans_E_AMS_Kyoto_run3_MTE!N515</f>
        <v>1021.1177956869142</v>
      </c>
      <c r="K106" s="714">
        <f>Bilans_E_AMS_Kyoto_run3_MTE!O515</f>
        <v>462.06687945929309</v>
      </c>
      <c r="L106" s="714">
        <f>Bilans_E_AMS_Kyoto_run3_MTE!P515</f>
        <v>293.41607278708199</v>
      </c>
      <c r="M106" s="714">
        <f>Bilans_E_AMS_Kyoto_run3_MTE!Q515</f>
        <v>37.444475279494604</v>
      </c>
      <c r="N106" s="714">
        <f>Bilans_E_AMS_Kyoto_run3_MTE!R515</f>
        <v>-54.838669650846725</v>
      </c>
      <c r="O106" s="714">
        <f>Bilans_E_AMS_Kyoto_run3_MTE!S515</f>
        <v>-72.287130434655069</v>
      </c>
      <c r="P106" s="714">
        <f>Bilans_E_AMS_Kyoto_run3_MTE!T515+Bilans_E_AMS_Kyoto_run3_MTE!U515</f>
        <v>19.703135322463453</v>
      </c>
      <c r="Q106" s="714">
        <f>Bilans_E_AMS_Kyoto_run3_MTE!V515</f>
        <v>18.698303851168006</v>
      </c>
      <c r="R106" s="714">
        <f>Bilans_E_AMS_Kyoto_run3_MTE!W515</f>
        <v>-625.73217962616854</v>
      </c>
      <c r="S106" s="714">
        <f>Bilans_E_AMS_Kyoto_run3_MTE!X515</f>
        <v>-79.672309838953737</v>
      </c>
      <c r="T106" s="714">
        <f>Bilans_E_AMS_Kyoto_run3_MTE!Y515</f>
        <v>-31.259944280501475</v>
      </c>
      <c r="U106" s="714">
        <f>Bilans_E_AMS_Kyoto_run3_MTE!Z515</f>
        <v>989.89658669565813</v>
      </c>
      <c r="V106" s="701"/>
      <c r="W106" s="701"/>
    </row>
    <row r="107" spans="1:23" x14ac:dyDescent="0.25">
      <c r="A107" s="701"/>
      <c r="B107" s="701"/>
      <c r="C107" s="715"/>
      <c r="D107" s="716"/>
      <c r="E107" s="716"/>
      <c r="F107" s="716"/>
      <c r="G107" s="716"/>
      <c r="H107" s="716"/>
      <c r="I107" s="716"/>
      <c r="J107" s="716"/>
      <c r="K107" s="716"/>
      <c r="L107" s="716"/>
      <c r="M107" s="716"/>
      <c r="N107" s="716"/>
      <c r="O107" s="716"/>
      <c r="P107" s="716">
        <f>Bilans_E_AMS_Kyoto_run3_MTE!T516+Bilans_E_AMS_Kyoto_run3_MTE!U516</f>
        <v>0</v>
      </c>
      <c r="Q107" s="716"/>
      <c r="R107" s="716"/>
      <c r="S107" s="716"/>
      <c r="T107" s="716"/>
      <c r="U107" s="716"/>
      <c r="V107" s="701"/>
      <c r="W107" s="701"/>
    </row>
    <row r="108" spans="1:23" x14ac:dyDescent="0.25">
      <c r="A108" s="701" t="s">
        <v>507</v>
      </c>
      <c r="B108" s="701"/>
      <c r="C108" s="717" t="s">
        <v>78</v>
      </c>
      <c r="D108" s="711">
        <f>Bilans_E_AMS_Kyoto_run3_MTE!H517</f>
        <v>7.2040588378906256E-2</v>
      </c>
      <c r="E108" s="711">
        <f>Bilans_E_AMS_Kyoto_run3_MTE!I517</f>
        <v>0</v>
      </c>
      <c r="F108" s="711">
        <f>Bilans_E_AMS_Kyoto_run3_MTE!J517</f>
        <v>0.19057103431692568</v>
      </c>
      <c r="G108" s="711">
        <f>Bilans_E_AMS_Kyoto_run3_MTE!K517</f>
        <v>0</v>
      </c>
      <c r="H108" s="711">
        <f>Bilans_E_AMS_Kyoto_run3_MTE!L517</f>
        <v>28.795611186743677</v>
      </c>
      <c r="I108" s="711">
        <f>Bilans_E_AMS_Kyoto_run3_MTE!M517</f>
        <v>0.52355656703170317</v>
      </c>
      <c r="J108" s="711">
        <f>Bilans_E_AMS_Kyoto_run3_MTE!N517</f>
        <v>0</v>
      </c>
      <c r="K108" s="711">
        <f>Bilans_E_AMS_Kyoto_run3_MTE!O517</f>
        <v>0</v>
      </c>
      <c r="L108" s="711">
        <f>Bilans_E_AMS_Kyoto_run3_MTE!P517</f>
        <v>34.871553027324289</v>
      </c>
      <c r="M108" s="711">
        <f>Bilans_E_AMS_Kyoto_run3_MTE!Q517</f>
        <v>8.043964025546213</v>
      </c>
      <c r="N108" s="711">
        <f>Bilans_E_AMS_Kyoto_run3_MTE!R517</f>
        <v>0</v>
      </c>
      <c r="O108" s="711">
        <f>Bilans_E_AMS_Kyoto_run3_MTE!S517</f>
        <v>23.077839156426684</v>
      </c>
      <c r="P108" s="711">
        <f>Bilans_E_AMS_Kyoto_run3_MTE!T517+Bilans_E_AMS_Kyoto_run3_MTE!U517</f>
        <v>13.633620117187499</v>
      </c>
      <c r="Q108" s="711">
        <f>Bilans_E_AMS_Kyoto_run3_MTE!V517</f>
        <v>8.4299170840015686E-4</v>
      </c>
      <c r="R108" s="711">
        <f>Bilans_E_AMS_Kyoto_run3_MTE!W517</f>
        <v>158.64644753930071</v>
      </c>
      <c r="S108" s="711">
        <f>Bilans_E_AMS_Kyoto_run3_MTE!X517</f>
        <v>19.544256457993722</v>
      </c>
      <c r="T108" s="711">
        <f>Bilans_E_AMS_Kyoto_run3_MTE!Y517</f>
        <v>13.641840820312501</v>
      </c>
      <c r="U108" s="711">
        <f>Bilans_E_AMS_Kyoto_run3_MTE!Z517</f>
        <v>301.0421435122712</v>
      </c>
      <c r="V108" s="701"/>
      <c r="W108" s="701"/>
    </row>
    <row r="109" spans="1:23" x14ac:dyDescent="0.25">
      <c r="A109" s="701" t="s">
        <v>508</v>
      </c>
      <c r="B109" s="701"/>
      <c r="C109" s="717" t="s">
        <v>79</v>
      </c>
      <c r="D109" s="711">
        <f>Bilans_E_AMS_Kyoto_run3_MTE!H518</f>
        <v>0</v>
      </c>
      <c r="E109" s="711">
        <f>Bilans_E_AMS_Kyoto_run3_MTE!I518</f>
        <v>0</v>
      </c>
      <c r="F109" s="711">
        <f>Bilans_E_AMS_Kyoto_run3_MTE!J518</f>
        <v>27.842691184610331</v>
      </c>
      <c r="G109" s="711">
        <f>Bilans_E_AMS_Kyoto_run3_MTE!K518</f>
        <v>2</v>
      </c>
      <c r="H109" s="711">
        <f>Bilans_E_AMS_Kyoto_run3_MTE!L518</f>
        <v>4.1475118700352498</v>
      </c>
      <c r="I109" s="711">
        <f>Bilans_E_AMS_Kyoto_run3_MTE!M518</f>
        <v>7.5409306727913641E-2</v>
      </c>
      <c r="J109" s="711">
        <f>Bilans_E_AMS_Kyoto_run3_MTE!N518</f>
        <v>0</v>
      </c>
      <c r="K109" s="711">
        <f>Bilans_E_AMS_Kyoto_run3_MTE!O518</f>
        <v>0</v>
      </c>
      <c r="L109" s="711">
        <f>Bilans_E_AMS_Kyoto_run3_MTE!P518</f>
        <v>0</v>
      </c>
      <c r="M109" s="711">
        <f>Bilans_E_AMS_Kyoto_run3_MTE!Q518</f>
        <v>0</v>
      </c>
      <c r="N109" s="711">
        <f>Bilans_E_AMS_Kyoto_run3_MTE!R518</f>
        <v>29.027871012193479</v>
      </c>
      <c r="O109" s="711">
        <f>Bilans_E_AMS_Kyoto_run3_MTE!S518</f>
        <v>3.3180094960281998</v>
      </c>
      <c r="P109" s="711">
        <f>Bilans_E_AMS_Kyoto_run3_MTE!T518+Bilans_E_AMS_Kyoto_run3_MTE!U518</f>
        <v>0</v>
      </c>
      <c r="Q109" s="711">
        <f>Bilans_E_AMS_Kyoto_run3_MTE!V518</f>
        <v>0</v>
      </c>
      <c r="R109" s="711">
        <f>Bilans_E_AMS_Kyoto_run3_MTE!W518</f>
        <v>121.41640074189371</v>
      </c>
      <c r="S109" s="711">
        <f>Bilans_E_AMS_Kyoto_run3_MTE!X518</f>
        <v>0</v>
      </c>
      <c r="T109" s="711">
        <f>Bilans_E_AMS_Kyoto_run3_MTE!Y518</f>
        <v>6.7088833627788453</v>
      </c>
      <c r="U109" s="711">
        <f>Bilans_E_AMS_Kyoto_run3_MTE!Z518</f>
        <v>194.53677697426772</v>
      </c>
      <c r="V109" s="701"/>
      <c r="W109" s="701"/>
    </row>
    <row r="110" spans="1:23" x14ac:dyDescent="0.25">
      <c r="A110" s="701" t="s">
        <v>509</v>
      </c>
      <c r="B110" s="701"/>
      <c r="C110" s="717" t="s">
        <v>80</v>
      </c>
      <c r="D110" s="711">
        <f>Bilans_E_AMS_Kyoto_run3_MTE!H519</f>
        <v>0</v>
      </c>
      <c r="E110" s="711">
        <f>Bilans_E_AMS_Kyoto_run3_MTE!I519</f>
        <v>0</v>
      </c>
      <c r="F110" s="711">
        <f>Bilans_E_AMS_Kyoto_run3_MTE!J519</f>
        <v>0.1823284194363245</v>
      </c>
      <c r="G110" s="711">
        <f>Bilans_E_AMS_Kyoto_run3_MTE!K519</f>
        <v>0</v>
      </c>
      <c r="H110" s="711">
        <f>Bilans_E_AMS_Kyoto_run3_MTE!L519</f>
        <v>19.208488158214077</v>
      </c>
      <c r="I110" s="711">
        <f>Bilans_E_AMS_Kyoto_run3_MTE!M519</f>
        <v>0.34924523924025591</v>
      </c>
      <c r="J110" s="711">
        <f>Bilans_E_AMS_Kyoto_run3_MTE!N519</f>
        <v>0</v>
      </c>
      <c r="K110" s="711">
        <f>Bilans_E_AMS_Kyoto_run3_MTE!O519</f>
        <v>0</v>
      </c>
      <c r="L110" s="711">
        <f>Bilans_E_AMS_Kyoto_run3_MTE!P519</f>
        <v>41.860643688874312</v>
      </c>
      <c r="M110" s="711">
        <f>Bilans_E_AMS_Kyoto_run3_MTE!Q519</f>
        <v>0</v>
      </c>
      <c r="N110" s="711">
        <f>Bilans_E_AMS_Kyoto_run3_MTE!R519</f>
        <v>0</v>
      </c>
      <c r="O110" s="711">
        <f>Bilans_E_AMS_Kyoto_run3_MTE!S519</f>
        <v>15.366790526571261</v>
      </c>
      <c r="P110" s="711">
        <f>Bilans_E_AMS_Kyoto_run3_MTE!T519+Bilans_E_AMS_Kyoto_run3_MTE!U519</f>
        <v>148.3231165331799</v>
      </c>
      <c r="Q110" s="711">
        <f>Bilans_E_AMS_Kyoto_run3_MTE!V519</f>
        <v>12.136362038143677</v>
      </c>
      <c r="R110" s="711">
        <f>Bilans_E_AMS_Kyoto_run3_MTE!W519</f>
        <v>138.96099758278416</v>
      </c>
      <c r="S110" s="711">
        <f>Bilans_E_AMS_Kyoto_run3_MTE!X519</f>
        <v>37.481794053722915</v>
      </c>
      <c r="T110" s="711">
        <f>Bilans_E_AMS_Kyoto_run3_MTE!Y519</f>
        <v>0</v>
      </c>
      <c r="U110" s="711">
        <f>Bilans_E_AMS_Kyoto_run3_MTE!Z519</f>
        <v>413.86976624016694</v>
      </c>
      <c r="V110" s="701"/>
      <c r="W110" s="701"/>
    </row>
    <row r="111" spans="1:23" x14ac:dyDescent="0.25">
      <c r="A111" s="701" t="s">
        <v>510</v>
      </c>
      <c r="B111" s="701"/>
      <c r="C111" s="717" t="s">
        <v>81</v>
      </c>
      <c r="D111" s="711">
        <f>Bilans_E_AMS_Kyoto_run3_MTE!H520</f>
        <v>0</v>
      </c>
      <c r="E111" s="711">
        <f>Bilans_E_AMS_Kyoto_run3_MTE!I520</f>
        <v>0</v>
      </c>
      <c r="F111" s="711">
        <f>Bilans_E_AMS_Kyoto_run3_MTE!J520</f>
        <v>0.39199311709923457</v>
      </c>
      <c r="G111" s="711">
        <f>Bilans_E_AMS_Kyoto_run3_MTE!K520</f>
        <v>0</v>
      </c>
      <c r="H111" s="711">
        <f>Bilans_E_AMS_Kyoto_run3_MTE!L520</f>
        <v>9.9162417754913825</v>
      </c>
      <c r="I111" s="711">
        <f>Bilans_E_AMS_Kyoto_run3_MTE!M520</f>
        <v>0.18029530500893423</v>
      </c>
      <c r="J111" s="711">
        <f>Bilans_E_AMS_Kyoto_run3_MTE!N520</f>
        <v>0</v>
      </c>
      <c r="K111" s="711">
        <f>Bilans_E_AMS_Kyoto_run3_MTE!O520</f>
        <v>0</v>
      </c>
      <c r="L111" s="711">
        <f>Bilans_E_AMS_Kyoto_run3_MTE!P520</f>
        <v>0.48410239694179807</v>
      </c>
      <c r="M111" s="711">
        <f>Bilans_E_AMS_Kyoto_run3_MTE!Q520</f>
        <v>0</v>
      </c>
      <c r="N111" s="711">
        <f>Bilans_E_AMS_Kyoto_run3_MTE!R520</f>
        <v>0</v>
      </c>
      <c r="O111" s="711">
        <f>Bilans_E_AMS_Kyoto_run3_MTE!S520</f>
        <v>7.9329934203931058</v>
      </c>
      <c r="P111" s="711">
        <f>Bilans_E_AMS_Kyoto_run3_MTE!T520+Bilans_E_AMS_Kyoto_run3_MTE!U520</f>
        <v>58.56878651815164</v>
      </c>
      <c r="Q111" s="711">
        <f>Bilans_E_AMS_Kyoto_run3_MTE!V520</f>
        <v>12.039845592065015</v>
      </c>
      <c r="R111" s="711">
        <f>Bilans_E_AMS_Kyoto_run3_MTE!W520</f>
        <v>122.64919061404242</v>
      </c>
      <c r="S111" s="711">
        <f>Bilans_E_AMS_Kyoto_run3_MTE!X520</f>
        <v>22.646226401731536</v>
      </c>
      <c r="T111" s="711">
        <f>Bilans_E_AMS_Kyoto_run3_MTE!Y520</f>
        <v>0</v>
      </c>
      <c r="U111" s="711">
        <f>Bilans_E_AMS_Kyoto_run3_MTE!Z520</f>
        <v>234.80967514092507</v>
      </c>
      <c r="V111" s="701"/>
      <c r="W111" s="701"/>
    </row>
    <row r="112" spans="1:23" x14ac:dyDescent="0.25">
      <c r="A112" s="701" t="s">
        <v>511</v>
      </c>
      <c r="B112" s="701"/>
      <c r="C112" s="717" t="s">
        <v>82</v>
      </c>
      <c r="D112" s="711">
        <f>Bilans_E_AMS_Kyoto_run3_MTE!H521</f>
        <v>0</v>
      </c>
      <c r="E112" s="711">
        <f>Bilans_E_AMS_Kyoto_run3_MTE!I521</f>
        <v>0</v>
      </c>
      <c r="F112" s="711">
        <f>Bilans_E_AMS_Kyoto_run3_MTE!J521</f>
        <v>5.4571309143050808</v>
      </c>
      <c r="G112" s="711">
        <f>Bilans_E_AMS_Kyoto_run3_MTE!K521</f>
        <v>0</v>
      </c>
      <c r="H112" s="711">
        <f>Bilans_E_AMS_Kyoto_run3_MTE!L521</f>
        <v>0.56206289562711365</v>
      </c>
      <c r="I112" s="711">
        <f>Bilans_E_AMS_Kyoto_run3_MTE!M521</f>
        <v>1.0219325375038429E-2</v>
      </c>
      <c r="J112" s="711">
        <f>Bilans_E_AMS_Kyoto_run3_MTE!N521</f>
        <v>0</v>
      </c>
      <c r="K112" s="711">
        <f>Bilans_E_AMS_Kyoto_run3_MTE!O521</f>
        <v>0</v>
      </c>
      <c r="L112" s="711">
        <f>Bilans_E_AMS_Kyoto_run3_MTE!P521</f>
        <v>17.783972013033864</v>
      </c>
      <c r="M112" s="711">
        <f>Bilans_E_AMS_Kyoto_run3_MTE!Q521</f>
        <v>0</v>
      </c>
      <c r="N112" s="711">
        <f>Bilans_E_AMS_Kyoto_run3_MTE!R521</f>
        <v>8.2374051734864402</v>
      </c>
      <c r="O112" s="711">
        <f>Bilans_E_AMS_Kyoto_run3_MTE!S521</f>
        <v>0.44965031650169085</v>
      </c>
      <c r="P112" s="711">
        <f>Bilans_E_AMS_Kyoto_run3_MTE!T521+Bilans_E_AMS_Kyoto_run3_MTE!U521</f>
        <v>1.25</v>
      </c>
      <c r="Q112" s="711">
        <f>Bilans_E_AMS_Kyoto_run3_MTE!V521</f>
        <v>1.7440136932478227</v>
      </c>
      <c r="R112" s="711">
        <f>Bilans_E_AMS_Kyoto_run3_MTE!W521</f>
        <v>10.36655207833598</v>
      </c>
      <c r="S112" s="711">
        <f>Bilans_E_AMS_Kyoto_run3_MTE!X521</f>
        <v>0</v>
      </c>
      <c r="T112" s="711">
        <f>Bilans_E_AMS_Kyoto_run3_MTE!Y521</f>
        <v>0.55589052141355966</v>
      </c>
      <c r="U112" s="711">
        <f>Bilans_E_AMS_Kyoto_run3_MTE!Z521</f>
        <v>46.416896931326583</v>
      </c>
      <c r="V112" s="701"/>
      <c r="W112" s="701"/>
    </row>
    <row r="113" spans="1:23" x14ac:dyDescent="0.25">
      <c r="A113" s="701" t="s">
        <v>512</v>
      </c>
      <c r="B113" s="701"/>
      <c r="C113" s="717" t="s">
        <v>354</v>
      </c>
      <c r="D113" s="711">
        <f>Bilans_E_AMS_Kyoto_run3_MTE!H522</f>
        <v>0</v>
      </c>
      <c r="E113" s="711">
        <f>Bilans_E_AMS_Kyoto_run3_MTE!I522</f>
        <v>0</v>
      </c>
      <c r="F113" s="711">
        <f>Bilans_E_AMS_Kyoto_run3_MTE!J522</f>
        <v>0</v>
      </c>
      <c r="G113" s="711">
        <f>Bilans_E_AMS_Kyoto_run3_MTE!K522</f>
        <v>0</v>
      </c>
      <c r="H113" s="711">
        <f>Bilans_E_AMS_Kyoto_run3_MTE!L522</f>
        <v>0</v>
      </c>
      <c r="I113" s="711">
        <f>Bilans_E_AMS_Kyoto_run3_MTE!M522</f>
        <v>0</v>
      </c>
      <c r="J113" s="711">
        <f>Bilans_E_AMS_Kyoto_run3_MTE!N522</f>
        <v>0</v>
      </c>
      <c r="K113" s="711">
        <f>Bilans_E_AMS_Kyoto_run3_MTE!O522</f>
        <v>0</v>
      </c>
      <c r="L113" s="711">
        <f>Bilans_E_AMS_Kyoto_run3_MTE!P522</f>
        <v>0</v>
      </c>
      <c r="M113" s="711">
        <f>Bilans_E_AMS_Kyoto_run3_MTE!Q522</f>
        <v>0</v>
      </c>
      <c r="N113" s="711">
        <f>Bilans_E_AMS_Kyoto_run3_MTE!R522</f>
        <v>0</v>
      </c>
      <c r="O113" s="711">
        <f>Bilans_E_AMS_Kyoto_run3_MTE!S522</f>
        <v>0</v>
      </c>
      <c r="P113" s="711">
        <f>Bilans_E_AMS_Kyoto_run3_MTE!T522+Bilans_E_AMS_Kyoto_run3_MTE!U522</f>
        <v>0</v>
      </c>
      <c r="Q113" s="711">
        <f>Bilans_E_AMS_Kyoto_run3_MTE!V522</f>
        <v>0</v>
      </c>
      <c r="R113" s="711">
        <f>Bilans_E_AMS_Kyoto_run3_MTE!W522</f>
        <v>9.0399999999999991</v>
      </c>
      <c r="S113" s="711">
        <f>Bilans_E_AMS_Kyoto_run3_MTE!X522</f>
        <v>0</v>
      </c>
      <c r="T113" s="711">
        <f>Bilans_E_AMS_Kyoto_run3_MTE!Y522</f>
        <v>0</v>
      </c>
      <c r="U113" s="711">
        <f>Bilans_E_AMS_Kyoto_run3_MTE!Z522</f>
        <v>9.0399999999999991</v>
      </c>
      <c r="V113" s="701"/>
      <c r="W113" s="701"/>
    </row>
    <row r="114" spans="1:23" x14ac:dyDescent="0.25">
      <c r="A114" s="701" t="s">
        <v>513</v>
      </c>
      <c r="B114" s="701"/>
      <c r="C114" s="713" t="s">
        <v>83</v>
      </c>
      <c r="D114" s="714">
        <f>Bilans_E_AMS_Kyoto_run3_MTE!H523</f>
        <v>7.2040588378906256E-2</v>
      </c>
      <c r="E114" s="714">
        <f>Bilans_E_AMS_Kyoto_run3_MTE!I523</f>
        <v>0</v>
      </c>
      <c r="F114" s="714">
        <f>Bilans_E_AMS_Kyoto_run3_MTE!J523</f>
        <v>34.064714669767895</v>
      </c>
      <c r="G114" s="714">
        <f>Bilans_E_AMS_Kyoto_run3_MTE!K523</f>
        <v>2</v>
      </c>
      <c r="H114" s="714">
        <f>Bilans_E_AMS_Kyoto_run3_MTE!L523</f>
        <v>62.629915886111512</v>
      </c>
      <c r="I114" s="714">
        <f>Bilans_E_AMS_Kyoto_run3_MTE!M523</f>
        <v>1.1387257433838454</v>
      </c>
      <c r="J114" s="714">
        <f>Bilans_E_AMS_Kyoto_run3_MTE!N523</f>
        <v>0</v>
      </c>
      <c r="K114" s="714">
        <f>Bilans_E_AMS_Kyoto_run3_MTE!O523</f>
        <v>0</v>
      </c>
      <c r="L114" s="714">
        <f>Bilans_E_AMS_Kyoto_run3_MTE!P523</f>
        <v>95.000271126174255</v>
      </c>
      <c r="M114" s="714">
        <f>Bilans_E_AMS_Kyoto_run3_MTE!Q523</f>
        <v>8.043964025546213</v>
      </c>
      <c r="N114" s="714">
        <f>Bilans_E_AMS_Kyoto_run3_MTE!R523</f>
        <v>37.265276185679923</v>
      </c>
      <c r="O114" s="714">
        <f>Bilans_E_AMS_Kyoto_run3_MTE!S523</f>
        <v>50.145282915920937</v>
      </c>
      <c r="P114" s="714">
        <f>Bilans_E_AMS_Kyoto_run3_MTE!T523+Bilans_E_AMS_Kyoto_run3_MTE!U523</f>
        <v>221.77552316851904</v>
      </c>
      <c r="Q114" s="714">
        <f>Bilans_E_AMS_Kyoto_run3_MTE!V523</f>
        <v>25.921064315164912</v>
      </c>
      <c r="R114" s="714">
        <f>Bilans_E_AMS_Kyoto_run3_MTE!W523</f>
        <v>561.07958855635695</v>
      </c>
      <c r="S114" s="714">
        <f>Bilans_E_AMS_Kyoto_run3_MTE!X523</f>
        <v>79.672276913448172</v>
      </c>
      <c r="T114" s="714">
        <f>Bilans_E_AMS_Kyoto_run3_MTE!Y523</f>
        <v>20.906614704504904</v>
      </c>
      <c r="U114" s="714">
        <f>Bilans_E_AMS_Kyoto_run3_MTE!Z523</f>
        <v>1199.7152587989574</v>
      </c>
      <c r="V114" s="701"/>
      <c r="W114" s="701"/>
    </row>
    <row r="115" spans="1:23" x14ac:dyDescent="0.25">
      <c r="A115" s="701" t="s">
        <v>514</v>
      </c>
      <c r="B115" s="701"/>
      <c r="C115" s="710" t="s">
        <v>84</v>
      </c>
      <c r="D115" s="711">
        <f>Bilans_E_AMS_Kyoto_run3_MTE!H524</f>
        <v>0</v>
      </c>
      <c r="E115" s="711">
        <f>Bilans_E_AMS_Kyoto_run3_MTE!I524</f>
        <v>0</v>
      </c>
      <c r="F115" s="711">
        <f>Bilans_E_AMS_Kyoto_run3_MTE!J524</f>
        <v>96.394045128661887</v>
      </c>
      <c r="G115" s="711">
        <f>Bilans_E_AMS_Kyoto_run3_MTE!K524</f>
        <v>3.4901848637372384</v>
      </c>
      <c r="H115" s="711">
        <f>Bilans_E_AMS_Kyoto_run3_MTE!L524</f>
        <v>9.7025025927356783</v>
      </c>
      <c r="I115" s="711">
        <f>Bilans_E_AMS_Kyoto_run3_MTE!M524</f>
        <v>0</v>
      </c>
      <c r="J115" s="711">
        <f>Bilans_E_AMS_Kyoto_run3_MTE!N524</f>
        <v>0</v>
      </c>
      <c r="K115" s="711">
        <f>Bilans_E_AMS_Kyoto_run3_MTE!O524</f>
        <v>0</v>
      </c>
      <c r="L115" s="711">
        <f>Bilans_E_AMS_Kyoto_run3_MTE!P524</f>
        <v>0.55051822222324442</v>
      </c>
      <c r="M115" s="711">
        <f>Bilans_E_AMS_Kyoto_run3_MTE!Q524</f>
        <v>0</v>
      </c>
      <c r="N115" s="711">
        <f>Bilans_E_AMS_Kyoto_run3_MTE!R524</f>
        <v>5.2633850918308207</v>
      </c>
      <c r="O115" s="711">
        <f>Bilans_E_AMS_Kyoto_run3_MTE!S524</f>
        <v>0</v>
      </c>
      <c r="P115" s="711">
        <f>Bilans_E_AMS_Kyoto_run3_MTE!T524+Bilans_E_AMS_Kyoto_run3_MTE!U524</f>
        <v>0</v>
      </c>
      <c r="Q115" s="711">
        <f>Bilans_E_AMS_Kyoto_run3_MTE!V524</f>
        <v>0</v>
      </c>
      <c r="R115" s="711">
        <f>Bilans_E_AMS_Kyoto_run3_MTE!W524</f>
        <v>0</v>
      </c>
      <c r="S115" s="711">
        <f>Bilans_E_AMS_Kyoto_run3_MTE!X524</f>
        <v>0</v>
      </c>
      <c r="T115" s="711">
        <f>Bilans_E_AMS_Kyoto_run3_MTE!Y524</f>
        <v>4.3572670917440366</v>
      </c>
      <c r="U115" s="711">
        <f>Bilans_E_AMS_Kyoto_run3_MTE!Z524</f>
        <v>119.75790299093292</v>
      </c>
      <c r="V115" s="701"/>
      <c r="W115" s="701"/>
    </row>
    <row r="116" spans="1:23" x14ac:dyDescent="0.25">
      <c r="A116" s="701" t="s">
        <v>515</v>
      </c>
      <c r="B116" s="701"/>
      <c r="C116" s="713" t="s">
        <v>85</v>
      </c>
      <c r="D116" s="714">
        <f>Bilans_E_AMS_Kyoto_run3_MTE!H525</f>
        <v>7.2040588378906256E-2</v>
      </c>
      <c r="E116" s="714">
        <f>Bilans_E_AMS_Kyoto_run3_MTE!I525</f>
        <v>0</v>
      </c>
      <c r="F116" s="714">
        <f>Bilans_E_AMS_Kyoto_run3_MTE!J525</f>
        <v>130.45875979842978</v>
      </c>
      <c r="G116" s="714">
        <f>Bilans_E_AMS_Kyoto_run3_MTE!K525</f>
        <v>5.4901848637372384</v>
      </c>
      <c r="H116" s="714">
        <f>Bilans_E_AMS_Kyoto_run3_MTE!L525</f>
        <v>72.332418478847188</v>
      </c>
      <c r="I116" s="714">
        <f>Bilans_E_AMS_Kyoto_run3_MTE!M525</f>
        <v>1.1387257433838454</v>
      </c>
      <c r="J116" s="714">
        <f>Bilans_E_AMS_Kyoto_run3_MTE!N525</f>
        <v>0</v>
      </c>
      <c r="K116" s="714">
        <f>Bilans_E_AMS_Kyoto_run3_MTE!O525</f>
        <v>0</v>
      </c>
      <c r="L116" s="714">
        <f>Bilans_E_AMS_Kyoto_run3_MTE!P525</f>
        <v>95.550789348397501</v>
      </c>
      <c r="M116" s="714">
        <f>Bilans_E_AMS_Kyoto_run3_MTE!Q525</f>
        <v>8.043964025546213</v>
      </c>
      <c r="N116" s="714">
        <f>Bilans_E_AMS_Kyoto_run3_MTE!R525</f>
        <v>42.528661277510743</v>
      </c>
      <c r="O116" s="714">
        <f>Bilans_E_AMS_Kyoto_run3_MTE!S525</f>
        <v>50.145282915920937</v>
      </c>
      <c r="P116" s="714">
        <f>Bilans_E_AMS_Kyoto_run3_MTE!T525+Bilans_E_AMS_Kyoto_run3_MTE!U525</f>
        <v>221.77552316851904</v>
      </c>
      <c r="Q116" s="714">
        <f>Bilans_E_AMS_Kyoto_run3_MTE!V525</f>
        <v>25.921064315164912</v>
      </c>
      <c r="R116" s="714">
        <f>Bilans_E_AMS_Kyoto_run3_MTE!W525</f>
        <v>561.07958855635695</v>
      </c>
      <c r="S116" s="714">
        <f>Bilans_E_AMS_Kyoto_run3_MTE!X525</f>
        <v>79.672276913448172</v>
      </c>
      <c r="T116" s="714">
        <f>Bilans_E_AMS_Kyoto_run3_MTE!Y525</f>
        <v>25.263881796248938</v>
      </c>
      <c r="U116" s="714">
        <f>Bilans_E_AMS_Kyoto_run3_MTE!Z525</f>
        <v>1319.4731617898904</v>
      </c>
      <c r="V116" s="701"/>
      <c r="W116" s="701"/>
    </row>
    <row r="117" spans="1:23" x14ac:dyDescent="0.25">
      <c r="A117" s="701"/>
      <c r="B117" s="701"/>
      <c r="C117" s="701"/>
      <c r="D117" s="701">
        <f>Bilans_E_AMS_Kyoto_run3_MTE!H526</f>
        <v>0</v>
      </c>
      <c r="E117" s="701">
        <f>Bilans_E_AMS_Kyoto_run3_MTE!I526</f>
        <v>0</v>
      </c>
      <c r="F117" s="701">
        <f>Bilans_E_AMS_Kyoto_run3_MTE!J526</f>
        <v>-7.1054273576010019E-15</v>
      </c>
      <c r="G117" s="701">
        <f>Bilans_E_AMS_Kyoto_run3_MTE!K526</f>
        <v>0</v>
      </c>
      <c r="H117" s="701">
        <f>Bilans_E_AMS_Kyoto_run3_MTE!L526</f>
        <v>4.0563540423477207E-5</v>
      </c>
      <c r="I117" s="701">
        <f>Bilans_E_AMS_Kyoto_run3_MTE!M526</f>
        <v>-4.0563540425697653E-5</v>
      </c>
      <c r="J117" s="701">
        <f>Bilans_E_AMS_Kyoto_run3_MTE!N526</f>
        <v>0</v>
      </c>
      <c r="K117" s="701">
        <f>Bilans_E_AMS_Kyoto_run3_MTE!O526</f>
        <v>0</v>
      </c>
      <c r="L117" s="701">
        <f>Bilans_E_AMS_Kyoto_run3_MTE!P526</f>
        <v>0</v>
      </c>
      <c r="M117" s="701">
        <f>Bilans_E_AMS_Kyoto_run3_MTE!Q526</f>
        <v>0</v>
      </c>
      <c r="N117" s="701">
        <f>Bilans_E_AMS_Kyoto_run3_MTE!R526</f>
        <v>0</v>
      </c>
      <c r="O117" s="701">
        <f>Bilans_E_AMS_Kyoto_run3_MTE!S526</f>
        <v>0</v>
      </c>
      <c r="P117" s="701">
        <f>Bilans_E_AMS_Kyoto_run3_MTE!T526+Bilans_E_AMS_Kyoto_run3_MTE!U526</f>
        <v>0</v>
      </c>
      <c r="Q117" s="701">
        <f>Bilans_E_AMS_Kyoto_run3_MTE!V526</f>
        <v>0</v>
      </c>
      <c r="R117" s="701">
        <f>Bilans_E_AMS_Kyoto_run3_MTE!W526</f>
        <v>0</v>
      </c>
      <c r="S117" s="701">
        <f>Bilans_E_AMS_Kyoto_run3_MTE!X526</f>
        <v>-3.2925505564662672E-5</v>
      </c>
      <c r="T117" s="701">
        <f>Bilans_E_AMS_Kyoto_run3_MTE!Y526</f>
        <v>0</v>
      </c>
      <c r="U117" s="701">
        <f>Bilans_E_AMS_Kyoto_run3_MTE!Z526</f>
        <v>-3.2925505365710706E-5</v>
      </c>
      <c r="V117" s="701"/>
      <c r="W117" s="701"/>
    </row>
    <row r="118" spans="1:23" x14ac:dyDescent="0.25">
      <c r="A118" s="701"/>
      <c r="B118" s="701"/>
      <c r="C118" s="701"/>
      <c r="D118" s="701"/>
      <c r="E118" s="701"/>
      <c r="F118" s="701"/>
      <c r="G118" s="701"/>
      <c r="H118" s="701"/>
      <c r="I118" s="701"/>
      <c r="J118" s="701"/>
      <c r="K118" s="701"/>
      <c r="L118" s="701"/>
      <c r="M118" s="701"/>
      <c r="N118" s="701"/>
      <c r="O118" s="701"/>
      <c r="P118" s="701"/>
      <c r="Q118" s="701"/>
      <c r="R118" s="701"/>
      <c r="S118" s="701"/>
      <c r="T118" s="701"/>
      <c r="U118" s="701"/>
      <c r="V118" s="701"/>
      <c r="W118" s="701"/>
    </row>
    <row r="119" spans="1:23" x14ac:dyDescent="0.25">
      <c r="A119" s="707"/>
      <c r="B119" s="707"/>
      <c r="C119" s="708" t="s">
        <v>89</v>
      </c>
      <c r="D119" s="707"/>
      <c r="E119" s="707"/>
      <c r="F119" s="707"/>
      <c r="G119" s="707"/>
      <c r="H119" s="707"/>
      <c r="I119" s="707"/>
      <c r="J119" s="707"/>
      <c r="K119" s="707"/>
      <c r="L119" s="707"/>
      <c r="M119" s="707"/>
      <c r="N119" s="707"/>
      <c r="O119" s="707"/>
      <c r="P119" s="707"/>
      <c r="Q119" s="707"/>
      <c r="R119" s="707"/>
      <c r="S119" s="707"/>
      <c r="T119" s="707"/>
      <c r="U119" s="707"/>
      <c r="V119" s="707"/>
      <c r="W119" s="707"/>
    </row>
    <row r="120" spans="1:23" x14ac:dyDescent="0.25">
      <c r="A120" s="701"/>
      <c r="B120" s="701"/>
      <c r="C120" s="701"/>
      <c r="D120" s="701"/>
      <c r="E120" s="701"/>
      <c r="F120" s="701"/>
      <c r="G120" s="701"/>
      <c r="H120" s="701"/>
      <c r="I120" s="701"/>
      <c r="J120" s="701"/>
      <c r="K120" s="701"/>
      <c r="L120" s="701"/>
      <c r="M120" s="701"/>
      <c r="N120" s="701"/>
      <c r="O120" s="701"/>
      <c r="P120" s="701"/>
      <c r="Q120" s="701"/>
      <c r="R120" s="701"/>
      <c r="S120" s="701"/>
      <c r="T120" s="701"/>
      <c r="U120" s="701"/>
      <c r="V120" s="701"/>
      <c r="W120" s="701"/>
    </row>
    <row r="121" spans="1:23" x14ac:dyDescent="0.25">
      <c r="A121" s="701"/>
      <c r="B121" s="701"/>
      <c r="C121" s="780" t="s">
        <v>128</v>
      </c>
      <c r="D121" s="775" t="s">
        <v>42</v>
      </c>
      <c r="E121" s="775" t="s">
        <v>52</v>
      </c>
      <c r="F121" s="775" t="s">
        <v>53</v>
      </c>
      <c r="G121" s="775" t="s">
        <v>482</v>
      </c>
      <c r="H121" s="775" t="s">
        <v>32</v>
      </c>
      <c r="I121" s="775" t="s">
        <v>483</v>
      </c>
      <c r="J121" s="775" t="s">
        <v>20</v>
      </c>
      <c r="K121" s="775" t="s">
        <v>55</v>
      </c>
      <c r="L121" s="777" t="s">
        <v>56</v>
      </c>
      <c r="M121" s="778"/>
      <c r="N121" s="778"/>
      <c r="O121" s="778"/>
      <c r="P121" s="778"/>
      <c r="Q121" s="779"/>
      <c r="R121" s="775" t="s">
        <v>57</v>
      </c>
      <c r="S121" s="775" t="s">
        <v>58</v>
      </c>
      <c r="T121" s="775" t="s">
        <v>31</v>
      </c>
      <c r="U121" s="775" t="s">
        <v>10</v>
      </c>
      <c r="V121" s="701"/>
      <c r="W121" s="701"/>
    </row>
    <row r="122" spans="1:23" ht="67.5" x14ac:dyDescent="0.25">
      <c r="A122" s="701" t="s">
        <v>486</v>
      </c>
      <c r="B122" s="701"/>
      <c r="C122" s="781"/>
      <c r="D122" s="776"/>
      <c r="E122" s="776"/>
      <c r="F122" s="776"/>
      <c r="G122" s="776"/>
      <c r="H122" s="776"/>
      <c r="I122" s="776"/>
      <c r="J122" s="776"/>
      <c r="K122" s="776"/>
      <c r="L122" s="709" t="s">
        <v>335</v>
      </c>
      <c r="M122" s="709" t="s">
        <v>40</v>
      </c>
      <c r="N122" s="709" t="s">
        <v>343</v>
      </c>
      <c r="O122" s="709" t="s">
        <v>344</v>
      </c>
      <c r="P122" s="719" t="s">
        <v>610</v>
      </c>
      <c r="Q122" s="709" t="s">
        <v>346</v>
      </c>
      <c r="R122" s="776"/>
      <c r="S122" s="776"/>
      <c r="T122" s="776"/>
      <c r="U122" s="776"/>
      <c r="V122" s="701"/>
      <c r="W122" s="701"/>
    </row>
    <row r="123" spans="1:23" x14ac:dyDescent="0.25">
      <c r="A123" s="701" t="s">
        <v>487</v>
      </c>
      <c r="B123" s="701"/>
      <c r="C123" s="710" t="s">
        <v>59</v>
      </c>
      <c r="D123" s="711">
        <f>Bilans_E_AMS_Kyoto_run3_MTE!H532</f>
        <v>0</v>
      </c>
      <c r="E123" s="711">
        <f>Bilans_E_AMS_Kyoto_run3_MTE!I532</f>
        <v>0</v>
      </c>
      <c r="F123" s="711">
        <f>Bilans_E_AMS_Kyoto_run3_MTE!J532</f>
        <v>0</v>
      </c>
      <c r="G123" s="711">
        <f>Bilans_E_AMS_Kyoto_run3_MTE!K532</f>
        <v>0</v>
      </c>
      <c r="H123" s="711">
        <f>Bilans_E_AMS_Kyoto_run3_MTE!L532</f>
        <v>0</v>
      </c>
      <c r="I123" s="711">
        <f>Bilans_E_AMS_Kyoto_run3_MTE!M532</f>
        <v>0</v>
      </c>
      <c r="J123" s="711">
        <f>Bilans_E_AMS_Kyoto_run3_MTE!N532</f>
        <v>807.37795933495636</v>
      </c>
      <c r="K123" s="711">
        <f>Bilans_E_AMS_Kyoto_run3_MTE!O532</f>
        <v>553.99388589395949</v>
      </c>
      <c r="L123" s="711">
        <f>Bilans_E_AMS_Kyoto_run3_MTE!P532</f>
        <v>401.60616442653316</v>
      </c>
      <c r="M123" s="711">
        <f>Bilans_E_AMS_Kyoto_run3_MTE!Q532</f>
        <v>43.888349788112322</v>
      </c>
      <c r="N123" s="711">
        <f>Bilans_E_AMS_Kyoto_run3_MTE!R532</f>
        <v>0</v>
      </c>
      <c r="O123" s="711">
        <f>Bilans_E_AMS_Kyoto_run3_MTE!S532</f>
        <v>0</v>
      </c>
      <c r="P123" s="711">
        <f>Bilans_E_AMS_Kyoto_run3_MTE!T532+Bilans_E_AMS_Kyoto_run3_MTE!U532</f>
        <v>274.41854375041947</v>
      </c>
      <c r="Q123" s="711">
        <f>Bilans_E_AMS_Kyoto_run3_MTE!V532</f>
        <v>50.723080686002739</v>
      </c>
      <c r="R123" s="711">
        <f>Bilans_E_AMS_Kyoto_run3_MTE!W532</f>
        <v>0</v>
      </c>
      <c r="S123" s="711">
        <f>Bilans_E_AMS_Kyoto_run3_MTE!X532</f>
        <v>0</v>
      </c>
      <c r="T123" s="711">
        <f>Bilans_E_AMS_Kyoto_run3_MTE!Y532</f>
        <v>0</v>
      </c>
      <c r="U123" s="711">
        <f>Bilans_E_AMS_Kyoto_run3_MTE!Z532</f>
        <v>2132.0079838799838</v>
      </c>
      <c r="V123" s="701"/>
      <c r="W123" s="701"/>
    </row>
    <row r="124" spans="1:23" x14ac:dyDescent="0.25">
      <c r="A124" s="701" t="s">
        <v>488</v>
      </c>
      <c r="B124" s="701"/>
      <c r="C124" s="710" t="s">
        <v>60</v>
      </c>
      <c r="D124" s="712">
        <f>Bilans_E_AMS_Kyoto_run3_MTE!H533</f>
        <v>0</v>
      </c>
      <c r="E124" s="712">
        <f>Bilans_E_AMS_Kyoto_run3_MTE!I533</f>
        <v>58.863651738299311</v>
      </c>
      <c r="F124" s="712">
        <f>Bilans_E_AMS_Kyoto_run3_MTE!J533</f>
        <v>45.756672067678878</v>
      </c>
      <c r="G124" s="712">
        <f>Bilans_E_AMS_Kyoto_run3_MTE!K533</f>
        <v>12.032159045744653</v>
      </c>
      <c r="H124" s="712">
        <f>Bilans_E_AMS_Kyoto_run3_MTE!L533</f>
        <v>7.019987079045241</v>
      </c>
      <c r="I124" s="712">
        <f>Bilans_E_AMS_Kyoto_run3_MTE!M533</f>
        <v>0</v>
      </c>
      <c r="J124" s="712">
        <f>Bilans_E_AMS_Kyoto_run3_MTE!N533</f>
        <v>0</v>
      </c>
      <c r="K124" s="712">
        <f>Bilans_E_AMS_Kyoto_run3_MTE!O533</f>
        <v>0</v>
      </c>
      <c r="L124" s="712">
        <f>Bilans_E_AMS_Kyoto_run3_MTE!P533</f>
        <v>22.470468893714155</v>
      </c>
      <c r="M124" s="712">
        <f>Bilans_E_AMS_Kyoto_run3_MTE!Q533</f>
        <v>0</v>
      </c>
      <c r="N124" s="712">
        <f>Bilans_E_AMS_Kyoto_run3_MTE!R533</f>
        <v>0</v>
      </c>
      <c r="O124" s="712">
        <f>Bilans_E_AMS_Kyoto_run3_MTE!S533</f>
        <v>0</v>
      </c>
      <c r="P124" s="712">
        <f>Bilans_E_AMS_Kyoto_run3_MTE!T533+Bilans_E_AMS_Kyoto_run3_MTE!U533</f>
        <v>0</v>
      </c>
      <c r="Q124" s="712">
        <f>Bilans_E_AMS_Kyoto_run3_MTE!V533</f>
        <v>0</v>
      </c>
      <c r="R124" s="712">
        <f>Bilans_E_AMS_Kyoto_run3_MTE!W533</f>
        <v>0</v>
      </c>
      <c r="S124" s="712">
        <f>Bilans_E_AMS_Kyoto_run3_MTE!X533</f>
        <v>0</v>
      </c>
      <c r="T124" s="712">
        <f>Bilans_E_AMS_Kyoto_run3_MTE!Y533</f>
        <v>0</v>
      </c>
      <c r="U124" s="712">
        <f>Bilans_E_AMS_Kyoto_run3_MTE!Z533</f>
        <v>146.14293882448223</v>
      </c>
      <c r="V124" s="701"/>
      <c r="W124" s="701"/>
    </row>
    <row r="125" spans="1:23" x14ac:dyDescent="0.25">
      <c r="A125" s="701" t="s">
        <v>489</v>
      </c>
      <c r="B125" s="701"/>
      <c r="C125" s="710" t="s">
        <v>61</v>
      </c>
      <c r="D125" s="712">
        <f>Bilans_E_AMS_Kyoto_run3_MTE!H534</f>
        <v>0</v>
      </c>
      <c r="E125" s="712">
        <f>Bilans_E_AMS_Kyoto_run3_MTE!I534</f>
        <v>0</v>
      </c>
      <c r="F125" s="712">
        <f>Bilans_E_AMS_Kyoto_run3_MTE!J534</f>
        <v>0</v>
      </c>
      <c r="G125" s="712">
        <f>Bilans_E_AMS_Kyoto_run3_MTE!K534</f>
        <v>0</v>
      </c>
      <c r="H125" s="712">
        <f>Bilans_E_AMS_Kyoto_run3_MTE!L534</f>
        <v>0</v>
      </c>
      <c r="I125" s="712">
        <f>Bilans_E_AMS_Kyoto_run3_MTE!M534</f>
        <v>0</v>
      </c>
      <c r="J125" s="712">
        <f>Bilans_E_AMS_Kyoto_run3_MTE!N534</f>
        <v>0</v>
      </c>
      <c r="K125" s="712">
        <f>Bilans_E_AMS_Kyoto_run3_MTE!O534</f>
        <v>0</v>
      </c>
      <c r="L125" s="712">
        <f>Bilans_E_AMS_Kyoto_run3_MTE!P534</f>
        <v>0</v>
      </c>
      <c r="M125" s="712">
        <f>Bilans_E_AMS_Kyoto_run3_MTE!Q534</f>
        <v>0</v>
      </c>
      <c r="N125" s="712">
        <f>Bilans_E_AMS_Kyoto_run3_MTE!R534</f>
        <v>-12.102055378039722</v>
      </c>
      <c r="O125" s="712">
        <f>Bilans_E_AMS_Kyoto_run3_MTE!S534</f>
        <v>-3.7955214595352373</v>
      </c>
      <c r="P125" s="712">
        <f>Bilans_E_AMS_Kyoto_run3_MTE!T534+Bilans_E_AMS_Kyoto_run3_MTE!U534</f>
        <v>0</v>
      </c>
      <c r="Q125" s="712">
        <f>Bilans_E_AMS_Kyoto_run3_MTE!V534</f>
        <v>0</v>
      </c>
      <c r="R125" s="712">
        <f>Bilans_E_AMS_Kyoto_run3_MTE!W534</f>
        <v>-28.679288227585289</v>
      </c>
      <c r="S125" s="712">
        <f>Bilans_E_AMS_Kyoto_run3_MTE!X534</f>
        <v>0</v>
      </c>
      <c r="T125" s="712">
        <f>Bilans_E_AMS_Kyoto_run3_MTE!Y534</f>
        <v>0</v>
      </c>
      <c r="U125" s="712">
        <f>Bilans_E_AMS_Kyoto_run3_MTE!Z534</f>
        <v>-44.576865065160248</v>
      </c>
      <c r="V125" s="701"/>
      <c r="W125" s="701"/>
    </row>
    <row r="126" spans="1:23" x14ac:dyDescent="0.25">
      <c r="A126" s="701" t="s">
        <v>490</v>
      </c>
      <c r="B126" s="701"/>
      <c r="C126" s="710" t="s">
        <v>62</v>
      </c>
      <c r="D126" s="711">
        <f>Bilans_E_AMS_Kyoto_run3_MTE!H535</f>
        <v>0</v>
      </c>
      <c r="E126" s="711">
        <f>Bilans_E_AMS_Kyoto_run3_MTE!I535</f>
        <v>0</v>
      </c>
      <c r="F126" s="711">
        <f>Bilans_E_AMS_Kyoto_run3_MTE!J535</f>
        <v>-1.2057976620084264E-3</v>
      </c>
      <c r="G126" s="711">
        <f>Bilans_E_AMS_Kyoto_run3_MTE!K535</f>
        <v>-2.8026264036035151</v>
      </c>
      <c r="H126" s="711">
        <f>Bilans_E_AMS_Kyoto_run3_MTE!L535</f>
        <v>0</v>
      </c>
      <c r="I126" s="711">
        <f>Bilans_E_AMS_Kyoto_run3_MTE!M535</f>
        <v>-2.8026264036035156</v>
      </c>
      <c r="J126" s="711">
        <f>Bilans_E_AMS_Kyoto_run3_MTE!N535</f>
        <v>0</v>
      </c>
      <c r="K126" s="711">
        <f>Bilans_E_AMS_Kyoto_run3_MTE!O535</f>
        <v>0</v>
      </c>
      <c r="L126" s="711">
        <f>Bilans_E_AMS_Kyoto_run3_MTE!P535</f>
        <v>0</v>
      </c>
      <c r="M126" s="711">
        <f>Bilans_E_AMS_Kyoto_run3_MTE!Q535</f>
        <v>0</v>
      </c>
      <c r="N126" s="711">
        <f>Bilans_E_AMS_Kyoto_run3_MTE!R535</f>
        <v>0</v>
      </c>
      <c r="O126" s="711">
        <f>Bilans_E_AMS_Kyoto_run3_MTE!S535</f>
        <v>-2.4289428831230464</v>
      </c>
      <c r="P126" s="711">
        <f>Bilans_E_AMS_Kyoto_run3_MTE!T535+Bilans_E_AMS_Kyoto_run3_MTE!U535</f>
        <v>0</v>
      </c>
      <c r="Q126" s="711">
        <f>Bilans_E_AMS_Kyoto_run3_MTE!V535</f>
        <v>0</v>
      </c>
      <c r="R126" s="711">
        <f>Bilans_E_AMS_Kyoto_run3_MTE!W535</f>
        <v>0</v>
      </c>
      <c r="S126" s="711">
        <f>Bilans_E_AMS_Kyoto_run3_MTE!X535</f>
        <v>0</v>
      </c>
      <c r="T126" s="711">
        <f>Bilans_E_AMS_Kyoto_run3_MTE!Y535</f>
        <v>-1.3066910843207444</v>
      </c>
      <c r="U126" s="711">
        <f>Bilans_E_AMS_Kyoto_run3_MTE!Z535</f>
        <v>-9.342092572312831</v>
      </c>
      <c r="V126" s="701"/>
      <c r="W126" s="701"/>
    </row>
    <row r="127" spans="1:23" x14ac:dyDescent="0.25">
      <c r="A127" s="701" t="s">
        <v>491</v>
      </c>
      <c r="B127" s="701"/>
      <c r="C127" s="710" t="s">
        <v>63</v>
      </c>
      <c r="D127" s="711">
        <f>Bilans_E_AMS_Kyoto_run3_MTE!H536</f>
        <v>0</v>
      </c>
      <c r="E127" s="711">
        <f>Bilans_E_AMS_Kyoto_run3_MTE!I536</f>
        <v>0</v>
      </c>
      <c r="F127" s="711">
        <f>Bilans_E_AMS_Kyoto_run3_MTE!J536</f>
        <v>-7</v>
      </c>
      <c r="G127" s="711">
        <f>Bilans_E_AMS_Kyoto_run3_MTE!K536</f>
        <v>-25</v>
      </c>
      <c r="H127" s="711">
        <f>Bilans_E_AMS_Kyoto_run3_MTE!L536</f>
        <v>0</v>
      </c>
      <c r="I127" s="711">
        <f>Bilans_E_AMS_Kyoto_run3_MTE!M536</f>
        <v>0</v>
      </c>
      <c r="J127" s="711">
        <f>Bilans_E_AMS_Kyoto_run3_MTE!N536</f>
        <v>0</v>
      </c>
      <c r="K127" s="711">
        <f>Bilans_E_AMS_Kyoto_run3_MTE!O536</f>
        <v>0</v>
      </c>
      <c r="L127" s="711">
        <f>Bilans_E_AMS_Kyoto_run3_MTE!P536</f>
        <v>0</v>
      </c>
      <c r="M127" s="711">
        <f>Bilans_E_AMS_Kyoto_run3_MTE!Q536</f>
        <v>0</v>
      </c>
      <c r="N127" s="711">
        <f>Bilans_E_AMS_Kyoto_run3_MTE!R536</f>
        <v>-17</v>
      </c>
      <c r="O127" s="711">
        <f>Bilans_E_AMS_Kyoto_run3_MTE!S536</f>
        <v>0</v>
      </c>
      <c r="P127" s="711">
        <f>Bilans_E_AMS_Kyoto_run3_MTE!T536+Bilans_E_AMS_Kyoto_run3_MTE!U536</f>
        <v>0</v>
      </c>
      <c r="Q127" s="711">
        <f>Bilans_E_AMS_Kyoto_run3_MTE!V536</f>
        <v>0</v>
      </c>
      <c r="R127" s="711">
        <f>Bilans_E_AMS_Kyoto_run3_MTE!W536</f>
        <v>0</v>
      </c>
      <c r="S127" s="711">
        <f>Bilans_E_AMS_Kyoto_run3_MTE!X536</f>
        <v>0</v>
      </c>
      <c r="T127" s="711">
        <f>Bilans_E_AMS_Kyoto_run3_MTE!Y536</f>
        <v>-8</v>
      </c>
      <c r="U127" s="711">
        <f>Bilans_E_AMS_Kyoto_run3_MTE!Z536</f>
        <v>-57</v>
      </c>
      <c r="V127" s="701"/>
      <c r="W127" s="701"/>
    </row>
    <row r="128" spans="1:23" x14ac:dyDescent="0.25">
      <c r="A128" s="701" t="s">
        <v>492</v>
      </c>
      <c r="B128" s="701"/>
      <c r="C128" s="710" t="s">
        <v>64</v>
      </c>
      <c r="D128" s="712">
        <f>Bilans_E_AMS_Kyoto_run3_MTE!H537</f>
        <v>0</v>
      </c>
      <c r="E128" s="712">
        <f>Bilans_E_AMS_Kyoto_run3_MTE!I537</f>
        <v>0</v>
      </c>
      <c r="F128" s="712">
        <f>Bilans_E_AMS_Kyoto_run3_MTE!J537</f>
        <v>0</v>
      </c>
      <c r="G128" s="712">
        <f>Bilans_E_AMS_Kyoto_run3_MTE!K537</f>
        <v>0</v>
      </c>
      <c r="H128" s="712">
        <f>Bilans_E_AMS_Kyoto_run3_MTE!L537</f>
        <v>0</v>
      </c>
      <c r="I128" s="712">
        <f>Bilans_E_AMS_Kyoto_run3_MTE!M537</f>
        <v>0</v>
      </c>
      <c r="J128" s="712">
        <f>Bilans_E_AMS_Kyoto_run3_MTE!N537</f>
        <v>0</v>
      </c>
      <c r="K128" s="712">
        <f>Bilans_E_AMS_Kyoto_run3_MTE!O537</f>
        <v>0</v>
      </c>
      <c r="L128" s="712">
        <f>Bilans_E_AMS_Kyoto_run3_MTE!P537</f>
        <v>0</v>
      </c>
      <c r="M128" s="712">
        <f>Bilans_E_AMS_Kyoto_run3_MTE!Q537</f>
        <v>0</v>
      </c>
      <c r="N128" s="712">
        <f>Bilans_E_AMS_Kyoto_run3_MTE!R537</f>
        <v>0</v>
      </c>
      <c r="O128" s="712">
        <f>Bilans_E_AMS_Kyoto_run3_MTE!S537</f>
        <v>0</v>
      </c>
      <c r="P128" s="712">
        <f>Bilans_E_AMS_Kyoto_run3_MTE!T537+Bilans_E_AMS_Kyoto_run3_MTE!U537</f>
        <v>0</v>
      </c>
      <c r="Q128" s="712">
        <f>Bilans_E_AMS_Kyoto_run3_MTE!V537</f>
        <v>0</v>
      </c>
      <c r="R128" s="712">
        <f>Bilans_E_AMS_Kyoto_run3_MTE!W537</f>
        <v>0</v>
      </c>
      <c r="S128" s="712">
        <f>Bilans_E_AMS_Kyoto_run3_MTE!X537</f>
        <v>0</v>
      </c>
      <c r="T128" s="712">
        <f>Bilans_E_AMS_Kyoto_run3_MTE!Y537</f>
        <v>0</v>
      </c>
      <c r="U128" s="712">
        <f>Bilans_E_AMS_Kyoto_run3_MTE!Z537</f>
        <v>0</v>
      </c>
      <c r="V128" s="701"/>
      <c r="W128" s="701"/>
    </row>
    <row r="129" spans="1:23" x14ac:dyDescent="0.25">
      <c r="A129" s="701" t="s">
        <v>493</v>
      </c>
      <c r="B129" s="701"/>
      <c r="C129" s="713" t="s">
        <v>65</v>
      </c>
      <c r="D129" s="714">
        <f>Bilans_E_AMS_Kyoto_run3_MTE!H538</f>
        <v>0</v>
      </c>
      <c r="E129" s="714">
        <f>Bilans_E_AMS_Kyoto_run3_MTE!I538</f>
        <v>58.863651738299311</v>
      </c>
      <c r="F129" s="714">
        <f>Bilans_E_AMS_Kyoto_run3_MTE!J538</f>
        <v>38.755466270016868</v>
      </c>
      <c r="G129" s="714">
        <f>Bilans_E_AMS_Kyoto_run3_MTE!K538</f>
        <v>-15.770467357858863</v>
      </c>
      <c r="H129" s="714">
        <f>Bilans_E_AMS_Kyoto_run3_MTE!L538</f>
        <v>7.019987079045241</v>
      </c>
      <c r="I129" s="714">
        <f>Bilans_E_AMS_Kyoto_run3_MTE!M538</f>
        <v>-2.8026264036035156</v>
      </c>
      <c r="J129" s="714">
        <f>Bilans_E_AMS_Kyoto_run3_MTE!N538</f>
        <v>807.37795933495636</v>
      </c>
      <c r="K129" s="714">
        <f>Bilans_E_AMS_Kyoto_run3_MTE!O538</f>
        <v>553.99388589395949</v>
      </c>
      <c r="L129" s="714">
        <f>Bilans_E_AMS_Kyoto_run3_MTE!P538</f>
        <v>424.07663332024731</v>
      </c>
      <c r="M129" s="714">
        <f>Bilans_E_AMS_Kyoto_run3_MTE!Q538</f>
        <v>43.888349788112322</v>
      </c>
      <c r="N129" s="714">
        <f>Bilans_E_AMS_Kyoto_run3_MTE!R538</f>
        <v>-29.102055378039722</v>
      </c>
      <c r="O129" s="714">
        <f>Bilans_E_AMS_Kyoto_run3_MTE!S538</f>
        <v>-6.2244643426582833</v>
      </c>
      <c r="P129" s="714">
        <f>Bilans_E_AMS_Kyoto_run3_MTE!T538+Bilans_E_AMS_Kyoto_run3_MTE!U538</f>
        <v>274.41854375041947</v>
      </c>
      <c r="Q129" s="714">
        <f>Bilans_E_AMS_Kyoto_run3_MTE!V538</f>
        <v>50.723080686002739</v>
      </c>
      <c r="R129" s="714">
        <f>Bilans_E_AMS_Kyoto_run3_MTE!W538</f>
        <v>-28.679288227585289</v>
      </c>
      <c r="S129" s="714">
        <f>Bilans_E_AMS_Kyoto_run3_MTE!X538</f>
        <v>0</v>
      </c>
      <c r="T129" s="714">
        <f>Bilans_E_AMS_Kyoto_run3_MTE!Y538</f>
        <v>-9.3066910843207449</v>
      </c>
      <c r="U129" s="714">
        <f>Bilans_E_AMS_Kyoto_run3_MTE!Z538</f>
        <v>2167.2319650669929</v>
      </c>
      <c r="V129" s="701"/>
      <c r="W129" s="701"/>
    </row>
    <row r="130" spans="1:23" x14ac:dyDescent="0.25">
      <c r="A130" s="701"/>
      <c r="B130" s="701"/>
      <c r="C130" s="715"/>
      <c r="D130" s="716"/>
      <c r="E130" s="716"/>
      <c r="F130" s="716"/>
      <c r="G130" s="716"/>
      <c r="H130" s="716"/>
      <c r="I130" s="716"/>
      <c r="J130" s="716"/>
      <c r="K130" s="716"/>
      <c r="L130" s="716"/>
      <c r="M130" s="716"/>
      <c r="N130" s="716"/>
      <c r="O130" s="716"/>
      <c r="P130" s="716">
        <f>Bilans_E_AMS_Kyoto_run3_MTE!T539+Bilans_E_AMS_Kyoto_run3_MTE!U539</f>
        <v>0</v>
      </c>
      <c r="Q130" s="716"/>
      <c r="R130" s="716"/>
      <c r="S130" s="716"/>
      <c r="T130" s="716"/>
      <c r="U130" s="716"/>
      <c r="V130" s="701"/>
      <c r="W130" s="701"/>
    </row>
    <row r="131" spans="1:23" x14ac:dyDescent="0.25">
      <c r="A131" s="701" t="s">
        <v>494</v>
      </c>
      <c r="B131" s="701"/>
      <c r="C131" s="717" t="s">
        <v>67</v>
      </c>
      <c r="D131" s="711">
        <f>Bilans_E_AMS_Kyoto_run3_MTE!H540</f>
        <v>0</v>
      </c>
      <c r="E131" s="711">
        <f>Bilans_E_AMS_Kyoto_run3_MTE!I540</f>
        <v>0</v>
      </c>
      <c r="F131" s="711">
        <f>Bilans_E_AMS_Kyoto_run3_MTE!J540</f>
        <v>0</v>
      </c>
      <c r="G131" s="711">
        <f>Bilans_E_AMS_Kyoto_run3_MTE!K540</f>
        <v>0</v>
      </c>
      <c r="H131" s="711">
        <f>Bilans_E_AMS_Kyoto_run3_MTE!L540</f>
        <v>0</v>
      </c>
      <c r="I131" s="711">
        <f>Bilans_E_AMS_Kyoto_run3_MTE!M540</f>
        <v>0</v>
      </c>
      <c r="J131" s="711">
        <f>Bilans_E_AMS_Kyoto_run3_MTE!N540</f>
        <v>0</v>
      </c>
      <c r="K131" s="711">
        <f>Bilans_E_AMS_Kyoto_run3_MTE!O540</f>
        <v>0</v>
      </c>
      <c r="L131" s="711">
        <f>Bilans_E_AMS_Kyoto_run3_MTE!P540</f>
        <v>0</v>
      </c>
      <c r="M131" s="711">
        <f>Bilans_E_AMS_Kyoto_run3_MTE!Q540</f>
        <v>0</v>
      </c>
      <c r="N131" s="711">
        <f>Bilans_E_AMS_Kyoto_run3_MTE!R540</f>
        <v>0</v>
      </c>
      <c r="O131" s="711">
        <f>Bilans_E_AMS_Kyoto_run3_MTE!S540</f>
        <v>0</v>
      </c>
      <c r="P131" s="711">
        <f>Bilans_E_AMS_Kyoto_run3_MTE!T540+Bilans_E_AMS_Kyoto_run3_MTE!U540</f>
        <v>0</v>
      </c>
      <c r="Q131" s="711">
        <f>Bilans_E_AMS_Kyoto_run3_MTE!V540</f>
        <v>0</v>
      </c>
      <c r="R131" s="711">
        <f>Bilans_E_AMS_Kyoto_run3_MTE!W540</f>
        <v>0</v>
      </c>
      <c r="S131" s="711">
        <f>Bilans_E_AMS_Kyoto_run3_MTE!X540</f>
        <v>0</v>
      </c>
      <c r="T131" s="711">
        <f>Bilans_E_AMS_Kyoto_run3_MTE!Y540</f>
        <v>0</v>
      </c>
      <c r="U131" s="711">
        <f>Bilans_E_AMS_Kyoto_run3_MTE!Z540</f>
        <v>0</v>
      </c>
      <c r="V131" s="701"/>
      <c r="W131" s="701"/>
    </row>
    <row r="132" spans="1:23" x14ac:dyDescent="0.25">
      <c r="A132" s="701" t="s">
        <v>495</v>
      </c>
      <c r="B132" s="701"/>
      <c r="C132" s="717" t="s">
        <v>347</v>
      </c>
      <c r="D132" s="711">
        <f>Bilans_E_AMS_Kyoto_run3_MTE!H541</f>
        <v>0</v>
      </c>
      <c r="E132" s="711">
        <f>Bilans_E_AMS_Kyoto_run3_MTE!I541</f>
        <v>0</v>
      </c>
      <c r="F132" s="711">
        <f>Bilans_E_AMS_Kyoto_run3_MTE!J541</f>
        <v>0</v>
      </c>
      <c r="G132" s="711">
        <f>Bilans_E_AMS_Kyoto_run3_MTE!K541</f>
        <v>0</v>
      </c>
      <c r="H132" s="711">
        <f>Bilans_E_AMS_Kyoto_run3_MTE!L541</f>
        <v>0</v>
      </c>
      <c r="I132" s="711">
        <f>Bilans_E_AMS_Kyoto_run3_MTE!M541</f>
        <v>0</v>
      </c>
      <c r="J132" s="711">
        <f>Bilans_E_AMS_Kyoto_run3_MTE!N541</f>
        <v>797.92981818181818</v>
      </c>
      <c r="K132" s="711">
        <f>Bilans_E_AMS_Kyoto_run3_MTE!O541</f>
        <v>553.99388589395949</v>
      </c>
      <c r="L132" s="711">
        <f>Bilans_E_AMS_Kyoto_run3_MTE!P541</f>
        <v>18.017312138261726</v>
      </c>
      <c r="M132" s="711">
        <f>Bilans_E_AMS_Kyoto_run3_MTE!Q541</f>
        <v>5.0359913785352379</v>
      </c>
      <c r="N132" s="711">
        <f>Bilans_E_AMS_Kyoto_run3_MTE!R541</f>
        <v>6.5561937148871507</v>
      </c>
      <c r="O132" s="711">
        <f>Bilans_E_AMS_Kyoto_run3_MTE!S541</f>
        <v>0.11704136254218823</v>
      </c>
      <c r="P132" s="711">
        <f>Bilans_E_AMS_Kyoto_run3_MTE!T541+Bilans_E_AMS_Kyoto_run3_MTE!U541</f>
        <v>0</v>
      </c>
      <c r="Q132" s="711">
        <f>Bilans_E_AMS_Kyoto_run3_MTE!V541</f>
        <v>6.7631767445353068</v>
      </c>
      <c r="R132" s="711">
        <f>Bilans_E_AMS_Kyoto_run3_MTE!W541</f>
        <v>-834.6881786149205</v>
      </c>
      <c r="S132" s="711">
        <f>Bilans_E_AMS_Kyoto_run3_MTE!X541</f>
        <v>0</v>
      </c>
      <c r="T132" s="711">
        <f>Bilans_E_AMS_Kyoto_run3_MTE!Y541</f>
        <v>0</v>
      </c>
      <c r="U132" s="711">
        <f>Bilans_E_AMS_Kyoto_run3_MTE!Z541</f>
        <v>553.72524079961875</v>
      </c>
      <c r="V132" s="701"/>
      <c r="W132" s="701"/>
    </row>
    <row r="133" spans="1:23" x14ac:dyDescent="0.25">
      <c r="A133" s="701" t="s">
        <v>496</v>
      </c>
      <c r="B133" s="701"/>
      <c r="C133" s="717" t="s">
        <v>348</v>
      </c>
      <c r="D133" s="711">
        <f>Bilans_E_AMS_Kyoto_run3_MTE!H542</f>
        <v>0</v>
      </c>
      <c r="E133" s="711">
        <f>Bilans_E_AMS_Kyoto_run3_MTE!I542</f>
        <v>0</v>
      </c>
      <c r="F133" s="711">
        <f>Bilans_E_AMS_Kyoto_run3_MTE!J542</f>
        <v>0</v>
      </c>
      <c r="G133" s="711">
        <f>Bilans_E_AMS_Kyoto_run3_MTE!K542</f>
        <v>0</v>
      </c>
      <c r="H133" s="711">
        <f>Bilans_E_AMS_Kyoto_run3_MTE!L542</f>
        <v>0</v>
      </c>
      <c r="I133" s="711">
        <f>Bilans_E_AMS_Kyoto_run3_MTE!M542</f>
        <v>0.44183816383617902</v>
      </c>
      <c r="J133" s="711">
        <f>Bilans_E_AMS_Kyoto_run3_MTE!N542</f>
        <v>9.448141153138188</v>
      </c>
      <c r="K133" s="711">
        <f>Bilans_E_AMS_Kyoto_run3_MTE!O542</f>
        <v>0</v>
      </c>
      <c r="L133" s="711">
        <f>Bilans_E_AMS_Kyoto_run3_MTE!P542</f>
        <v>23.543561697387847</v>
      </c>
      <c r="M133" s="711">
        <f>Bilans_E_AMS_Kyoto_run3_MTE!Q542</f>
        <v>10.266401321700496</v>
      </c>
      <c r="N133" s="711">
        <f>Bilans_E_AMS_Kyoto_run3_MTE!R542</f>
        <v>0</v>
      </c>
      <c r="O133" s="711">
        <f>Bilans_E_AMS_Kyoto_run3_MTE!S542</f>
        <v>8.4106289047241454</v>
      </c>
      <c r="P133" s="711">
        <f>Bilans_E_AMS_Kyoto_run3_MTE!T542+Bilans_E_AMS_Kyoto_run3_MTE!U542</f>
        <v>22.572621073808037</v>
      </c>
      <c r="Q133" s="711">
        <f>Bilans_E_AMS_Kyoto_run3_MTE!V542</f>
        <v>12.943396433622139</v>
      </c>
      <c r="R133" s="711">
        <f>Bilans_E_AMS_Kyoto_run3_MTE!W542</f>
        <v>0</v>
      </c>
      <c r="S133" s="711">
        <f>Bilans_E_AMS_Kyoto_run3_MTE!X542</f>
        <v>-82.703064296862223</v>
      </c>
      <c r="T133" s="711">
        <f>Bilans_E_AMS_Kyoto_run3_MTE!Y542</f>
        <v>0</v>
      </c>
      <c r="U133" s="711">
        <f>Bilans_E_AMS_Kyoto_run3_MTE!Z542</f>
        <v>4.9235244513548082</v>
      </c>
      <c r="V133" s="701"/>
      <c r="W133" s="701"/>
    </row>
    <row r="134" spans="1:23" x14ac:dyDescent="0.25">
      <c r="A134" s="701" t="s">
        <v>497</v>
      </c>
      <c r="B134" s="701"/>
      <c r="C134" s="717" t="s">
        <v>349</v>
      </c>
      <c r="D134" s="711">
        <f>Bilans_E_AMS_Kyoto_run3_MTE!H543</f>
        <v>0</v>
      </c>
      <c r="E134" s="711">
        <f>Bilans_E_AMS_Kyoto_run3_MTE!I543</f>
        <v>0</v>
      </c>
      <c r="F134" s="711">
        <f>Bilans_E_AMS_Kyoto_run3_MTE!J543</f>
        <v>0</v>
      </c>
      <c r="G134" s="711">
        <f>Bilans_E_AMS_Kyoto_run3_MTE!K543</f>
        <v>0</v>
      </c>
      <c r="H134" s="711">
        <f>Bilans_E_AMS_Kyoto_run3_MTE!L543</f>
        <v>0</v>
      </c>
      <c r="I134" s="711">
        <f>Bilans_E_AMS_Kyoto_run3_MTE!M543</f>
        <v>0</v>
      </c>
      <c r="J134" s="711">
        <f>Bilans_E_AMS_Kyoto_run3_MTE!N543</f>
        <v>0</v>
      </c>
      <c r="K134" s="711">
        <f>Bilans_E_AMS_Kyoto_run3_MTE!O543</f>
        <v>0</v>
      </c>
      <c r="L134" s="711">
        <f>Bilans_E_AMS_Kyoto_run3_MTE!P543</f>
        <v>177.56965686689</v>
      </c>
      <c r="M134" s="711">
        <f>Bilans_E_AMS_Kyoto_run3_MTE!Q543</f>
        <v>14.007374273227594</v>
      </c>
      <c r="N134" s="711">
        <f>Bilans_E_AMS_Kyoto_run3_MTE!R543</f>
        <v>0</v>
      </c>
      <c r="O134" s="711">
        <f>Bilans_E_AMS_Kyoto_run3_MTE!S543</f>
        <v>-95.874066928158982</v>
      </c>
      <c r="P134" s="711">
        <f>Bilans_E_AMS_Kyoto_run3_MTE!T543+Bilans_E_AMS_Kyoto_run3_MTE!U543</f>
        <v>0</v>
      </c>
      <c r="Q134" s="711">
        <f>Bilans_E_AMS_Kyoto_run3_MTE!V543</f>
        <v>0</v>
      </c>
      <c r="R134" s="711">
        <f>Bilans_E_AMS_Kyoto_run3_MTE!W543</f>
        <v>0</v>
      </c>
      <c r="S134" s="711">
        <f>Bilans_E_AMS_Kyoto_run3_MTE!X543</f>
        <v>0</v>
      </c>
      <c r="T134" s="711">
        <f>Bilans_E_AMS_Kyoto_run3_MTE!Y543</f>
        <v>0</v>
      </c>
      <c r="U134" s="711">
        <f>Bilans_E_AMS_Kyoto_run3_MTE!Z543</f>
        <v>95.702964211958601</v>
      </c>
      <c r="V134" s="701"/>
      <c r="W134" s="701"/>
    </row>
    <row r="135" spans="1:23" x14ac:dyDescent="0.25">
      <c r="A135" s="701" t="s">
        <v>498</v>
      </c>
      <c r="B135" s="701"/>
      <c r="C135" s="717" t="s">
        <v>350</v>
      </c>
      <c r="D135" s="711">
        <f>Bilans_E_AMS_Kyoto_run3_MTE!H544</f>
        <v>0</v>
      </c>
      <c r="E135" s="711">
        <f>Bilans_E_AMS_Kyoto_run3_MTE!I544</f>
        <v>0</v>
      </c>
      <c r="F135" s="711">
        <f>Bilans_E_AMS_Kyoto_run3_MTE!J544</f>
        <v>0</v>
      </c>
      <c r="G135" s="711">
        <f>Bilans_E_AMS_Kyoto_run3_MTE!K544</f>
        <v>0</v>
      </c>
      <c r="H135" s="711">
        <f>Bilans_E_AMS_Kyoto_run3_MTE!L544</f>
        <v>0</v>
      </c>
      <c r="I135" s="711">
        <f>Bilans_E_AMS_Kyoto_run3_MTE!M544</f>
        <v>-7.5120211335666909</v>
      </c>
      <c r="J135" s="711">
        <f>Bilans_E_AMS_Kyoto_run3_MTE!N544</f>
        <v>0</v>
      </c>
      <c r="K135" s="711">
        <f>Bilans_E_AMS_Kyoto_run3_MTE!O544</f>
        <v>0</v>
      </c>
      <c r="L135" s="711">
        <f>Bilans_E_AMS_Kyoto_run3_MTE!P544</f>
        <v>0</v>
      </c>
      <c r="M135" s="711">
        <f>Bilans_E_AMS_Kyoto_run3_MTE!Q544</f>
        <v>0</v>
      </c>
      <c r="N135" s="711">
        <f>Bilans_E_AMS_Kyoto_run3_MTE!R544</f>
        <v>0</v>
      </c>
      <c r="O135" s="711">
        <f>Bilans_E_AMS_Kyoto_run3_MTE!S544</f>
        <v>0</v>
      </c>
      <c r="P135" s="711">
        <f>Bilans_E_AMS_Kyoto_run3_MTE!T544+Bilans_E_AMS_Kyoto_run3_MTE!U544</f>
        <v>0</v>
      </c>
      <c r="Q135" s="711">
        <f>Bilans_E_AMS_Kyoto_run3_MTE!V544</f>
        <v>0</v>
      </c>
      <c r="R135" s="711">
        <f>Bilans_E_AMS_Kyoto_run3_MTE!W544</f>
        <v>0</v>
      </c>
      <c r="S135" s="711">
        <f>Bilans_E_AMS_Kyoto_run3_MTE!X544</f>
        <v>0</v>
      </c>
      <c r="T135" s="711">
        <f>Bilans_E_AMS_Kyoto_run3_MTE!Y544</f>
        <v>10.395912432015363</v>
      </c>
      <c r="U135" s="711">
        <f>Bilans_E_AMS_Kyoto_run3_MTE!Z544</f>
        <v>2.8838912984486722</v>
      </c>
      <c r="V135" s="701"/>
      <c r="W135" s="701"/>
    </row>
    <row r="136" spans="1:23" x14ac:dyDescent="0.25">
      <c r="A136" s="701" t="s">
        <v>499</v>
      </c>
      <c r="B136" s="701"/>
      <c r="C136" s="717" t="s">
        <v>72</v>
      </c>
      <c r="D136" s="711">
        <f>Bilans_E_AMS_Kyoto_run3_MTE!H545</f>
        <v>0</v>
      </c>
      <c r="E136" s="711">
        <f>Bilans_E_AMS_Kyoto_run3_MTE!I545</f>
        <v>60.999648796706254</v>
      </c>
      <c r="F136" s="711">
        <f>Bilans_E_AMS_Kyoto_run3_MTE!J545</f>
        <v>-60.389652308739187</v>
      </c>
      <c r="G136" s="711">
        <f>Bilans_E_AMS_Kyoto_run3_MTE!K545</f>
        <v>0</v>
      </c>
      <c r="H136" s="711">
        <f>Bilans_E_AMS_Kyoto_run3_MTE!L545</f>
        <v>0</v>
      </c>
      <c r="I136" s="711">
        <f>Bilans_E_AMS_Kyoto_run3_MTE!M545</f>
        <v>0</v>
      </c>
      <c r="J136" s="711">
        <f>Bilans_E_AMS_Kyoto_run3_MTE!N545</f>
        <v>0</v>
      </c>
      <c r="K136" s="711">
        <f>Bilans_E_AMS_Kyoto_run3_MTE!O545</f>
        <v>0</v>
      </c>
      <c r="L136" s="711">
        <f>Bilans_E_AMS_Kyoto_run3_MTE!P545</f>
        <v>0</v>
      </c>
      <c r="M136" s="711">
        <f>Bilans_E_AMS_Kyoto_run3_MTE!Q545</f>
        <v>0</v>
      </c>
      <c r="N136" s="711">
        <f>Bilans_E_AMS_Kyoto_run3_MTE!R545</f>
        <v>0</v>
      </c>
      <c r="O136" s="711">
        <f>Bilans_E_AMS_Kyoto_run3_MTE!S545</f>
        <v>0</v>
      </c>
      <c r="P136" s="711">
        <f>Bilans_E_AMS_Kyoto_run3_MTE!T545+Bilans_E_AMS_Kyoto_run3_MTE!U545</f>
        <v>0</v>
      </c>
      <c r="Q136" s="711">
        <f>Bilans_E_AMS_Kyoto_run3_MTE!V545</f>
        <v>0</v>
      </c>
      <c r="R136" s="711">
        <f>Bilans_E_AMS_Kyoto_run3_MTE!W545</f>
        <v>0</v>
      </c>
      <c r="S136" s="711">
        <f>Bilans_E_AMS_Kyoto_run3_MTE!X545</f>
        <v>0</v>
      </c>
      <c r="T136" s="711">
        <f>Bilans_E_AMS_Kyoto_run3_MTE!Y545</f>
        <v>0</v>
      </c>
      <c r="U136" s="711">
        <f>Bilans_E_AMS_Kyoto_run3_MTE!Z545</f>
        <v>0.60999648796706651</v>
      </c>
      <c r="V136" s="701"/>
      <c r="W136" s="701"/>
    </row>
    <row r="137" spans="1:23" x14ac:dyDescent="0.25">
      <c r="A137" s="701" t="s">
        <v>500</v>
      </c>
      <c r="B137" s="701"/>
      <c r="C137" s="717" t="s">
        <v>351</v>
      </c>
      <c r="D137" s="711">
        <f>Bilans_E_AMS_Kyoto_run3_MTE!H546</f>
        <v>0</v>
      </c>
      <c r="E137" s="711">
        <f>Bilans_E_AMS_Kyoto_run3_MTE!I546</f>
        <v>0</v>
      </c>
      <c r="F137" s="711">
        <f>Bilans_E_AMS_Kyoto_run3_MTE!J546</f>
        <v>0</v>
      </c>
      <c r="G137" s="711">
        <f>Bilans_E_AMS_Kyoto_run3_MTE!K546</f>
        <v>0</v>
      </c>
      <c r="H137" s="711">
        <f>Bilans_E_AMS_Kyoto_run3_MTE!L546</f>
        <v>0</v>
      </c>
      <c r="I137" s="711">
        <f>Bilans_E_AMS_Kyoto_run3_MTE!M546</f>
        <v>0</v>
      </c>
      <c r="J137" s="711">
        <f>Bilans_E_AMS_Kyoto_run3_MTE!N546</f>
        <v>0</v>
      </c>
      <c r="K137" s="711">
        <f>Bilans_E_AMS_Kyoto_run3_MTE!O546</f>
        <v>0</v>
      </c>
      <c r="L137" s="711">
        <f>Bilans_E_AMS_Kyoto_run3_MTE!P546</f>
        <v>112.15319289997592</v>
      </c>
      <c r="M137" s="711">
        <f>Bilans_E_AMS_Kyoto_run3_MTE!Q546</f>
        <v>7.2727272727272725</v>
      </c>
      <c r="N137" s="711">
        <f>Bilans_E_AMS_Kyoto_run3_MTE!R546</f>
        <v>-66.38461722515251</v>
      </c>
      <c r="O137" s="711">
        <f>Bilans_E_AMS_Kyoto_run3_MTE!S546</f>
        <v>0</v>
      </c>
      <c r="P137" s="711">
        <f>Bilans_E_AMS_Kyoto_run3_MTE!T546+Bilans_E_AMS_Kyoto_run3_MTE!U546</f>
        <v>0</v>
      </c>
      <c r="Q137" s="711">
        <f>Bilans_E_AMS_Kyoto_run3_MTE!V546</f>
        <v>0</v>
      </c>
      <c r="R137" s="711">
        <f>Bilans_E_AMS_Kyoto_run3_MTE!W546</f>
        <v>0</v>
      </c>
      <c r="S137" s="711">
        <f>Bilans_E_AMS_Kyoto_run3_MTE!X546</f>
        <v>0</v>
      </c>
      <c r="T137" s="711">
        <f>Bilans_E_AMS_Kyoto_run3_MTE!Y546</f>
        <v>0</v>
      </c>
      <c r="U137" s="711">
        <f>Bilans_E_AMS_Kyoto_run3_MTE!Z546</f>
        <v>53.041302947550676</v>
      </c>
      <c r="V137" s="701"/>
      <c r="W137" s="701"/>
    </row>
    <row r="138" spans="1:23" x14ac:dyDescent="0.25">
      <c r="A138" s="701" t="s">
        <v>501</v>
      </c>
      <c r="B138" s="701"/>
      <c r="C138" s="717" t="s">
        <v>352</v>
      </c>
      <c r="D138" s="711">
        <f>Bilans_E_AMS_Kyoto_run3_MTE!H547</f>
        <v>0</v>
      </c>
      <c r="E138" s="711">
        <f>Bilans_E_AMS_Kyoto_run3_MTE!I547</f>
        <v>0</v>
      </c>
      <c r="F138" s="711">
        <f>Bilans_E_AMS_Kyoto_run3_MTE!J547</f>
        <v>0</v>
      </c>
      <c r="G138" s="711">
        <f>Bilans_E_AMS_Kyoto_run3_MTE!K547</f>
        <v>-24.740126403603515</v>
      </c>
      <c r="H138" s="711">
        <f>Bilans_E_AMS_Kyoto_run3_MTE!L547</f>
        <v>0</v>
      </c>
      <c r="I138" s="711">
        <f>Bilans_E_AMS_Kyoto_run3_MTE!M547</f>
        <v>0</v>
      </c>
      <c r="J138" s="711">
        <f>Bilans_E_AMS_Kyoto_run3_MTE!N547</f>
        <v>0</v>
      </c>
      <c r="K138" s="711">
        <f>Bilans_E_AMS_Kyoto_run3_MTE!O547</f>
        <v>0</v>
      </c>
      <c r="L138" s="711">
        <f>Bilans_E_AMS_Kyoto_run3_MTE!P547</f>
        <v>0</v>
      </c>
      <c r="M138" s="711">
        <f>Bilans_E_AMS_Kyoto_run3_MTE!Q547</f>
        <v>0</v>
      </c>
      <c r="N138" s="711">
        <f>Bilans_E_AMS_Kyoto_run3_MTE!R547</f>
        <v>0</v>
      </c>
      <c r="O138" s="711">
        <f>Bilans_E_AMS_Kyoto_run3_MTE!S547</f>
        <v>0</v>
      </c>
      <c r="P138" s="711">
        <f>Bilans_E_AMS_Kyoto_run3_MTE!T547+Bilans_E_AMS_Kyoto_run3_MTE!U547</f>
        <v>0</v>
      </c>
      <c r="Q138" s="711">
        <f>Bilans_E_AMS_Kyoto_run3_MTE!V547</f>
        <v>0</v>
      </c>
      <c r="R138" s="711">
        <f>Bilans_E_AMS_Kyoto_run3_MTE!W547</f>
        <v>0</v>
      </c>
      <c r="S138" s="711">
        <f>Bilans_E_AMS_Kyoto_run3_MTE!X547</f>
        <v>0</v>
      </c>
      <c r="T138" s="711">
        <f>Bilans_E_AMS_Kyoto_run3_MTE!Y547</f>
        <v>41.692889043963866</v>
      </c>
      <c r="U138" s="711">
        <f>Bilans_E_AMS_Kyoto_run3_MTE!Z547</f>
        <v>16.952762640360351</v>
      </c>
      <c r="V138" s="701"/>
      <c r="W138" s="701"/>
    </row>
    <row r="139" spans="1:23" x14ac:dyDescent="0.25">
      <c r="A139" s="701" t="s">
        <v>502</v>
      </c>
      <c r="B139" s="701"/>
      <c r="C139" s="717" t="s">
        <v>73</v>
      </c>
      <c r="D139" s="711">
        <f>Bilans_E_AMS_Kyoto_run3_MTE!H548</f>
        <v>0</v>
      </c>
      <c r="E139" s="711">
        <f>Bilans_E_AMS_Kyoto_run3_MTE!I548</f>
        <v>0</v>
      </c>
      <c r="F139" s="711">
        <f>Bilans_E_AMS_Kyoto_run3_MTE!J548</f>
        <v>0</v>
      </c>
      <c r="G139" s="711">
        <f>Bilans_E_AMS_Kyoto_run3_MTE!K548</f>
        <v>0</v>
      </c>
      <c r="H139" s="711">
        <f>Bilans_E_AMS_Kyoto_run3_MTE!L548</f>
        <v>0</v>
      </c>
      <c r="I139" s="711">
        <f>Bilans_E_AMS_Kyoto_run3_MTE!M548</f>
        <v>0</v>
      </c>
      <c r="J139" s="711">
        <f>Bilans_E_AMS_Kyoto_run3_MTE!N548</f>
        <v>0</v>
      </c>
      <c r="K139" s="711">
        <f>Bilans_E_AMS_Kyoto_run3_MTE!O548</f>
        <v>0</v>
      </c>
      <c r="L139" s="711">
        <f>Bilans_E_AMS_Kyoto_run3_MTE!P548</f>
        <v>0</v>
      </c>
      <c r="M139" s="711">
        <f>Bilans_E_AMS_Kyoto_run3_MTE!Q548</f>
        <v>0</v>
      </c>
      <c r="N139" s="711">
        <f>Bilans_E_AMS_Kyoto_run3_MTE!R548</f>
        <v>0</v>
      </c>
      <c r="O139" s="711">
        <f>Bilans_E_AMS_Kyoto_run3_MTE!S548</f>
        <v>0</v>
      </c>
      <c r="P139" s="711">
        <f>Bilans_E_AMS_Kyoto_run3_MTE!T548+Bilans_E_AMS_Kyoto_run3_MTE!U548</f>
        <v>0</v>
      </c>
      <c r="Q139" s="711">
        <f>Bilans_E_AMS_Kyoto_run3_MTE!V548</f>
        <v>0</v>
      </c>
      <c r="R139" s="711">
        <f>Bilans_E_AMS_Kyoto_run3_MTE!W548</f>
        <v>127.55076516290167</v>
      </c>
      <c r="S139" s="711">
        <f>Bilans_E_AMS_Kyoto_run3_MTE!X548</f>
        <v>0</v>
      </c>
      <c r="T139" s="711">
        <f>Bilans_E_AMS_Kyoto_run3_MTE!Y548</f>
        <v>-91.836550917289202</v>
      </c>
      <c r="U139" s="711">
        <f>Bilans_E_AMS_Kyoto_run3_MTE!Z548</f>
        <v>35.714214245612467</v>
      </c>
      <c r="V139" s="701"/>
      <c r="W139" s="701"/>
    </row>
    <row r="140" spans="1:23" x14ac:dyDescent="0.25">
      <c r="A140" s="701" t="s">
        <v>503</v>
      </c>
      <c r="B140" s="701"/>
      <c r="C140" s="717" t="s">
        <v>353</v>
      </c>
      <c r="D140" s="711">
        <f>Bilans_E_AMS_Kyoto_run3_MTE!H549</f>
        <v>0</v>
      </c>
      <c r="E140" s="711">
        <f>Bilans_E_AMS_Kyoto_run3_MTE!I549</f>
        <v>-2.1359970584069448</v>
      </c>
      <c r="F140" s="711">
        <f>Bilans_E_AMS_Kyoto_run3_MTE!J549</f>
        <v>2.9254988687511099</v>
      </c>
      <c r="G140" s="711">
        <f>Bilans_E_AMS_Kyoto_run3_MTE!K549</f>
        <v>0</v>
      </c>
      <c r="H140" s="711">
        <f>Bilans_E_AMS_Kyoto_run3_MTE!L549</f>
        <v>0</v>
      </c>
      <c r="I140" s="711">
        <f>Bilans_E_AMS_Kyoto_run3_MTE!M549</f>
        <v>0</v>
      </c>
      <c r="J140" s="711">
        <f>Bilans_E_AMS_Kyoto_run3_MTE!N549</f>
        <v>0</v>
      </c>
      <c r="K140" s="711">
        <f>Bilans_E_AMS_Kyoto_run3_MTE!O549</f>
        <v>0</v>
      </c>
      <c r="L140" s="711">
        <f>Bilans_E_AMS_Kyoto_run3_MTE!P549</f>
        <v>0</v>
      </c>
      <c r="M140" s="711">
        <f>Bilans_E_AMS_Kyoto_run3_MTE!Q549</f>
        <v>0</v>
      </c>
      <c r="N140" s="711">
        <f>Bilans_E_AMS_Kyoto_run3_MTE!R549</f>
        <v>0</v>
      </c>
      <c r="O140" s="711">
        <f>Bilans_E_AMS_Kyoto_run3_MTE!S549</f>
        <v>0</v>
      </c>
      <c r="P140" s="711">
        <f>Bilans_E_AMS_Kyoto_run3_MTE!T549+Bilans_E_AMS_Kyoto_run3_MTE!U549</f>
        <v>0</v>
      </c>
      <c r="Q140" s="711">
        <f>Bilans_E_AMS_Kyoto_run3_MTE!V549</f>
        <v>0</v>
      </c>
      <c r="R140" s="711">
        <f>Bilans_E_AMS_Kyoto_run3_MTE!W549</f>
        <v>0</v>
      </c>
      <c r="S140" s="711">
        <f>Bilans_E_AMS_Kyoto_run3_MTE!X549</f>
        <v>0</v>
      </c>
      <c r="T140" s="711">
        <f>Bilans_E_AMS_Kyoto_run3_MTE!Y549</f>
        <v>0</v>
      </c>
      <c r="U140" s="711">
        <f>Bilans_E_AMS_Kyoto_run3_MTE!Z549</f>
        <v>0.78950181034416511</v>
      </c>
      <c r="V140" s="701"/>
      <c r="W140" s="701"/>
    </row>
    <row r="141" spans="1:23" x14ac:dyDescent="0.25">
      <c r="A141" s="701" t="s">
        <v>504</v>
      </c>
      <c r="B141" s="701"/>
      <c r="C141" s="717" t="s">
        <v>75</v>
      </c>
      <c r="D141" s="711">
        <f>Bilans_E_AMS_Kyoto_run3_MTE!H550</f>
        <v>0</v>
      </c>
      <c r="E141" s="711">
        <f>Bilans_E_AMS_Kyoto_run3_MTE!I550</f>
        <v>0</v>
      </c>
      <c r="F141" s="711">
        <f>Bilans_E_AMS_Kyoto_run3_MTE!J550</f>
        <v>2.205240968493043</v>
      </c>
      <c r="G141" s="711">
        <f>Bilans_E_AMS_Kyoto_run3_MTE!K550</f>
        <v>0</v>
      </c>
      <c r="H141" s="711">
        <f>Bilans_E_AMS_Kyoto_run3_MTE!L550</f>
        <v>0</v>
      </c>
      <c r="I141" s="711">
        <f>Bilans_E_AMS_Kyoto_run3_MTE!M550</f>
        <v>0</v>
      </c>
      <c r="J141" s="711">
        <f>Bilans_E_AMS_Kyoto_run3_MTE!N550</f>
        <v>0</v>
      </c>
      <c r="K141" s="711">
        <f>Bilans_E_AMS_Kyoto_run3_MTE!O550</f>
        <v>0</v>
      </c>
      <c r="L141" s="711">
        <f>Bilans_E_AMS_Kyoto_run3_MTE!P550</f>
        <v>0</v>
      </c>
      <c r="M141" s="711">
        <f>Bilans_E_AMS_Kyoto_run3_MTE!Q550</f>
        <v>0</v>
      </c>
      <c r="N141" s="711">
        <f>Bilans_E_AMS_Kyoto_run3_MTE!R550</f>
        <v>0</v>
      </c>
      <c r="O141" s="711">
        <f>Bilans_E_AMS_Kyoto_run3_MTE!S550</f>
        <v>0</v>
      </c>
      <c r="P141" s="711">
        <f>Bilans_E_AMS_Kyoto_run3_MTE!T550+Bilans_E_AMS_Kyoto_run3_MTE!U550</f>
        <v>0</v>
      </c>
      <c r="Q141" s="711">
        <f>Bilans_E_AMS_Kyoto_run3_MTE!V550</f>
        <v>0</v>
      </c>
      <c r="R141" s="711">
        <f>Bilans_E_AMS_Kyoto_run3_MTE!W550</f>
        <v>37.68086569149628</v>
      </c>
      <c r="S141" s="711">
        <f>Bilans_E_AMS_Kyoto_run3_MTE!X550</f>
        <v>0</v>
      </c>
      <c r="T141" s="711">
        <f>Bilans_E_AMS_Kyoto_run3_MTE!Y550</f>
        <v>0.6</v>
      </c>
      <c r="U141" s="711">
        <f>Bilans_E_AMS_Kyoto_run3_MTE!Z550</f>
        <v>40.486106659989325</v>
      </c>
      <c r="V141" s="701"/>
      <c r="W141" s="701"/>
    </row>
    <row r="142" spans="1:23" x14ac:dyDescent="0.25">
      <c r="A142" s="701" t="s">
        <v>505</v>
      </c>
      <c r="B142" s="701"/>
      <c r="C142" s="717" t="s">
        <v>76</v>
      </c>
      <c r="D142" s="711">
        <f>Bilans_E_AMS_Kyoto_run3_MTE!H551</f>
        <v>0</v>
      </c>
      <c r="E142" s="711">
        <f>Bilans_E_AMS_Kyoto_run3_MTE!I551</f>
        <v>0</v>
      </c>
      <c r="F142" s="711">
        <f>Bilans_E_AMS_Kyoto_run3_MTE!J551</f>
        <v>0</v>
      </c>
      <c r="G142" s="711">
        <f>Bilans_E_AMS_Kyoto_run3_MTE!K551</f>
        <v>0</v>
      </c>
      <c r="H142" s="711">
        <f>Bilans_E_AMS_Kyoto_run3_MTE!L551</f>
        <v>0</v>
      </c>
      <c r="I142" s="711">
        <f>Bilans_E_AMS_Kyoto_run3_MTE!M551</f>
        <v>5.5842625256480344E-2</v>
      </c>
      <c r="J142" s="711">
        <f>Bilans_E_AMS_Kyoto_run3_MTE!N551</f>
        <v>0</v>
      </c>
      <c r="K142" s="711">
        <f>Bilans_E_AMS_Kyoto_run3_MTE!O551</f>
        <v>0</v>
      </c>
      <c r="L142" s="711">
        <f>Bilans_E_AMS_Kyoto_run3_MTE!P551</f>
        <v>0</v>
      </c>
      <c r="M142" s="711">
        <f>Bilans_E_AMS_Kyoto_run3_MTE!Q551</f>
        <v>0</v>
      </c>
      <c r="N142" s="711">
        <f>Bilans_E_AMS_Kyoto_run3_MTE!R551</f>
        <v>0</v>
      </c>
      <c r="O142" s="711">
        <f>Bilans_E_AMS_Kyoto_run3_MTE!S551</f>
        <v>1.0610098798731264</v>
      </c>
      <c r="P142" s="711">
        <f>Bilans_E_AMS_Kyoto_run3_MTE!T551+Bilans_E_AMS_Kyoto_run3_MTE!U551</f>
        <v>0</v>
      </c>
      <c r="Q142" s="711">
        <f>Bilans_E_AMS_Kyoto_run3_MTE!V551</f>
        <v>0</v>
      </c>
      <c r="R142" s="711">
        <f>Bilans_E_AMS_Kyoto_run3_MTE!W551</f>
        <v>65.840203439882671</v>
      </c>
      <c r="S142" s="711">
        <f>Bilans_E_AMS_Kyoto_run3_MTE!X551</f>
        <v>6.4136709376113741</v>
      </c>
      <c r="T142" s="711">
        <f>Bilans_E_AMS_Kyoto_run3_MTE!Y551</f>
        <v>0</v>
      </c>
      <c r="U142" s="711">
        <f>Bilans_E_AMS_Kyoto_run3_MTE!Z551</f>
        <v>73.370726882623643</v>
      </c>
      <c r="V142" s="701"/>
      <c r="W142" s="701"/>
    </row>
    <row r="143" spans="1:23" x14ac:dyDescent="0.25">
      <c r="A143" s="701" t="s">
        <v>506</v>
      </c>
      <c r="B143" s="701"/>
      <c r="C143" s="713" t="s">
        <v>77</v>
      </c>
      <c r="D143" s="714">
        <f>Bilans_E_AMS_Kyoto_run3_MTE!H552</f>
        <v>0</v>
      </c>
      <c r="E143" s="714">
        <f>Bilans_E_AMS_Kyoto_run3_MTE!I552</f>
        <v>58.863651738299311</v>
      </c>
      <c r="F143" s="714">
        <f>Bilans_E_AMS_Kyoto_run3_MTE!J552</f>
        <v>-55.25891247149503</v>
      </c>
      <c r="G143" s="714">
        <f>Bilans_E_AMS_Kyoto_run3_MTE!K552</f>
        <v>-24.740126403603515</v>
      </c>
      <c r="H143" s="714">
        <f>Bilans_E_AMS_Kyoto_run3_MTE!L552</f>
        <v>0</v>
      </c>
      <c r="I143" s="714">
        <f>Bilans_E_AMS_Kyoto_run3_MTE!M552</f>
        <v>-7.0143403444740313</v>
      </c>
      <c r="J143" s="714">
        <f>Bilans_E_AMS_Kyoto_run3_MTE!N552</f>
        <v>807.37795933495636</v>
      </c>
      <c r="K143" s="714">
        <f>Bilans_E_AMS_Kyoto_run3_MTE!O552</f>
        <v>553.99388589395949</v>
      </c>
      <c r="L143" s="714">
        <f>Bilans_E_AMS_Kyoto_run3_MTE!P552</f>
        <v>331.28372360251547</v>
      </c>
      <c r="M143" s="714">
        <f>Bilans_E_AMS_Kyoto_run3_MTE!Q552</f>
        <v>36.582494246190599</v>
      </c>
      <c r="N143" s="714">
        <f>Bilans_E_AMS_Kyoto_run3_MTE!R552</f>
        <v>-59.82842351026536</v>
      </c>
      <c r="O143" s="714">
        <f>Bilans_E_AMS_Kyoto_run3_MTE!S552</f>
        <v>-86.285386781019525</v>
      </c>
      <c r="P143" s="714">
        <f>Bilans_E_AMS_Kyoto_run3_MTE!T552+Bilans_E_AMS_Kyoto_run3_MTE!U552</f>
        <v>22.572621073808037</v>
      </c>
      <c r="Q143" s="714">
        <f>Bilans_E_AMS_Kyoto_run3_MTE!V552</f>
        <v>19.706573178157445</v>
      </c>
      <c r="R143" s="714">
        <f>Bilans_E_AMS_Kyoto_run3_MTE!W552</f>
        <v>-603.61634432063988</v>
      </c>
      <c r="S143" s="714">
        <f>Bilans_E_AMS_Kyoto_run3_MTE!X552</f>
        <v>-76.289393359250852</v>
      </c>
      <c r="T143" s="714">
        <f>Bilans_E_AMS_Kyoto_run3_MTE!Y552</f>
        <v>-39.147749441309969</v>
      </c>
      <c r="U143" s="714">
        <f>Bilans_E_AMS_Kyoto_run3_MTE!Z552</f>
        <v>878.20023243582853</v>
      </c>
      <c r="V143" s="701"/>
      <c r="W143" s="701"/>
    </row>
    <row r="144" spans="1:23" x14ac:dyDescent="0.25">
      <c r="A144" s="701"/>
      <c r="B144" s="701"/>
      <c r="C144" s="715"/>
      <c r="D144" s="716"/>
      <c r="E144" s="716"/>
      <c r="F144" s="716"/>
      <c r="G144" s="716"/>
      <c r="H144" s="716"/>
      <c r="I144" s="716"/>
      <c r="J144" s="716"/>
      <c r="K144" s="716"/>
      <c r="L144" s="716"/>
      <c r="M144" s="716"/>
      <c r="N144" s="716"/>
      <c r="O144" s="716"/>
      <c r="P144" s="716">
        <f>Bilans_E_AMS_Kyoto_run3_MTE!T553+Bilans_E_AMS_Kyoto_run3_MTE!U553</f>
        <v>0</v>
      </c>
      <c r="Q144" s="716"/>
      <c r="R144" s="716"/>
      <c r="S144" s="716"/>
      <c r="T144" s="716"/>
      <c r="U144" s="716"/>
      <c r="V144" s="701"/>
      <c r="W144" s="701"/>
    </row>
    <row r="145" spans="1:23" x14ac:dyDescent="0.25">
      <c r="A145" s="701" t="s">
        <v>507</v>
      </c>
      <c r="B145" s="701"/>
      <c r="C145" s="717" t="s">
        <v>78</v>
      </c>
      <c r="D145" s="711">
        <f>Bilans_E_AMS_Kyoto_run3_MTE!H554</f>
        <v>0</v>
      </c>
      <c r="E145" s="711">
        <f>Bilans_E_AMS_Kyoto_run3_MTE!I554</f>
        <v>0</v>
      </c>
      <c r="F145" s="711">
        <f>Bilans_E_AMS_Kyoto_run3_MTE!J554</f>
        <v>0</v>
      </c>
      <c r="G145" s="711">
        <f>Bilans_E_AMS_Kyoto_run3_MTE!K554</f>
        <v>0</v>
      </c>
      <c r="H145" s="711">
        <f>Bilans_E_AMS_Kyoto_run3_MTE!L554</f>
        <v>0</v>
      </c>
      <c r="I145" s="711">
        <f>Bilans_E_AMS_Kyoto_run3_MTE!M554</f>
        <v>1.991498553291184</v>
      </c>
      <c r="J145" s="711">
        <f>Bilans_E_AMS_Kyoto_run3_MTE!N554</f>
        <v>0</v>
      </c>
      <c r="K145" s="711">
        <f>Bilans_E_AMS_Kyoto_run3_MTE!O554</f>
        <v>0</v>
      </c>
      <c r="L145" s="711">
        <f>Bilans_E_AMS_Kyoto_run3_MTE!P554</f>
        <v>33.03282021908791</v>
      </c>
      <c r="M145" s="711">
        <f>Bilans_E_AMS_Kyoto_run3_MTE!Q554</f>
        <v>7.3058555419217219</v>
      </c>
      <c r="N145" s="711">
        <f>Bilans_E_AMS_Kyoto_run3_MTE!R554</f>
        <v>0</v>
      </c>
      <c r="O145" s="711">
        <f>Bilans_E_AMS_Kyoto_run3_MTE!S554</f>
        <v>37.880603328687286</v>
      </c>
      <c r="P145" s="711">
        <f>Bilans_E_AMS_Kyoto_run3_MTE!T554+Bilans_E_AMS_Kyoto_run3_MTE!U554</f>
        <v>15.325538085937501</v>
      </c>
      <c r="Q145" s="711">
        <f>Bilans_E_AMS_Kyoto_run3_MTE!V554</f>
        <v>8.5890570413253253E-4</v>
      </c>
      <c r="R145" s="711">
        <f>Bilans_E_AMS_Kyoto_run3_MTE!W554</f>
        <v>160.49759404222942</v>
      </c>
      <c r="S145" s="711">
        <f>Bilans_E_AMS_Kyoto_run3_MTE!X554</f>
        <v>19.118062217384278</v>
      </c>
      <c r="T145" s="711">
        <f>Bilans_E_AMS_Kyoto_run3_MTE!Y554</f>
        <v>15.6045791015625</v>
      </c>
      <c r="U145" s="711">
        <f>Bilans_E_AMS_Kyoto_run3_MTE!Z554</f>
        <v>290.75740999580586</v>
      </c>
      <c r="V145" s="701"/>
      <c r="W145" s="701"/>
    </row>
    <row r="146" spans="1:23" x14ac:dyDescent="0.25">
      <c r="A146" s="701" t="s">
        <v>508</v>
      </c>
      <c r="B146" s="701"/>
      <c r="C146" s="717" t="s">
        <v>79</v>
      </c>
      <c r="D146" s="711">
        <f>Bilans_E_AMS_Kyoto_run3_MTE!H555</f>
        <v>0</v>
      </c>
      <c r="E146" s="711">
        <f>Bilans_E_AMS_Kyoto_run3_MTE!I555</f>
        <v>0</v>
      </c>
      <c r="F146" s="711">
        <f>Bilans_E_AMS_Kyoto_run3_MTE!J555</f>
        <v>2.5646039905747262</v>
      </c>
      <c r="G146" s="711">
        <f>Bilans_E_AMS_Kyoto_run3_MTE!K555</f>
        <v>4.5999999999999996</v>
      </c>
      <c r="H146" s="711">
        <f>Bilans_E_AMS_Kyoto_run3_MTE!L555</f>
        <v>0</v>
      </c>
      <c r="I146" s="711">
        <f>Bilans_E_AMS_Kyoto_run3_MTE!M555</f>
        <v>0.37685077792540578</v>
      </c>
      <c r="J146" s="711">
        <f>Bilans_E_AMS_Kyoto_run3_MTE!N555</f>
        <v>0</v>
      </c>
      <c r="K146" s="711">
        <f>Bilans_E_AMS_Kyoto_run3_MTE!O555</f>
        <v>0</v>
      </c>
      <c r="L146" s="711">
        <f>Bilans_E_AMS_Kyoto_run3_MTE!P555</f>
        <v>0</v>
      </c>
      <c r="M146" s="711">
        <f>Bilans_E_AMS_Kyoto_run3_MTE!Q555</f>
        <v>0</v>
      </c>
      <c r="N146" s="711">
        <f>Bilans_E_AMS_Kyoto_run3_MTE!R555</f>
        <v>17.296930013474249</v>
      </c>
      <c r="O146" s="711">
        <f>Bilans_E_AMS_Kyoto_run3_MTE!S555</f>
        <v>7.1601647805827087</v>
      </c>
      <c r="P146" s="711">
        <f>Bilans_E_AMS_Kyoto_run3_MTE!T555+Bilans_E_AMS_Kyoto_run3_MTE!U555</f>
        <v>0</v>
      </c>
      <c r="Q146" s="711">
        <f>Bilans_E_AMS_Kyoto_run3_MTE!V555</f>
        <v>0</v>
      </c>
      <c r="R146" s="711">
        <f>Bilans_E_AMS_Kyoto_run3_MTE!W555</f>
        <v>129.21827578196925</v>
      </c>
      <c r="S146" s="711">
        <f>Bilans_E_AMS_Kyoto_run3_MTE!X555</f>
        <v>0</v>
      </c>
      <c r="T146" s="711">
        <f>Bilans_E_AMS_Kyoto_run3_MTE!Y555</f>
        <v>6.9357151187722215</v>
      </c>
      <c r="U146" s="711">
        <f>Bilans_E_AMS_Kyoto_run3_MTE!Z555</f>
        <v>168.15254046329855</v>
      </c>
      <c r="V146" s="701"/>
      <c r="W146" s="701"/>
    </row>
    <row r="147" spans="1:23" x14ac:dyDescent="0.25">
      <c r="A147" s="701" t="s">
        <v>509</v>
      </c>
      <c r="B147" s="701"/>
      <c r="C147" s="717" t="s">
        <v>80</v>
      </c>
      <c r="D147" s="711">
        <f>Bilans_E_AMS_Kyoto_run3_MTE!H556</f>
        <v>0</v>
      </c>
      <c r="E147" s="711">
        <f>Bilans_E_AMS_Kyoto_run3_MTE!I556</f>
        <v>0</v>
      </c>
      <c r="F147" s="711">
        <f>Bilans_E_AMS_Kyoto_run3_MTE!J556</f>
        <v>1.33686813190731E-2</v>
      </c>
      <c r="G147" s="711">
        <f>Bilans_E_AMS_Kyoto_run3_MTE!K556</f>
        <v>0</v>
      </c>
      <c r="H147" s="711">
        <f>Bilans_E_AMS_Kyoto_run3_MTE!L556</f>
        <v>0</v>
      </c>
      <c r="I147" s="711">
        <f>Bilans_E_AMS_Kyoto_run3_MTE!M556</f>
        <v>1.363415994018579</v>
      </c>
      <c r="J147" s="711">
        <f>Bilans_E_AMS_Kyoto_run3_MTE!N556</f>
        <v>0</v>
      </c>
      <c r="K147" s="711">
        <f>Bilans_E_AMS_Kyoto_run3_MTE!O556</f>
        <v>0</v>
      </c>
      <c r="L147" s="711">
        <f>Bilans_E_AMS_Kyoto_run3_MTE!P556</f>
        <v>38.670548162755892</v>
      </c>
      <c r="M147" s="711">
        <f>Bilans_E_AMS_Kyoto_run3_MTE!Q556</f>
        <v>0</v>
      </c>
      <c r="N147" s="711">
        <f>Bilans_E_AMS_Kyoto_run3_MTE!R556</f>
        <v>0</v>
      </c>
      <c r="O147" s="711">
        <f>Bilans_E_AMS_Kyoto_run3_MTE!S556</f>
        <v>25.904903886352997</v>
      </c>
      <c r="P147" s="711">
        <f>Bilans_E_AMS_Kyoto_run3_MTE!T556+Bilans_E_AMS_Kyoto_run3_MTE!U556</f>
        <v>170.26801174847219</v>
      </c>
      <c r="Q147" s="711">
        <f>Bilans_E_AMS_Kyoto_run3_MTE!V556</f>
        <v>14.856183742724458</v>
      </c>
      <c r="R147" s="711">
        <f>Bilans_E_AMS_Kyoto_run3_MTE!W556</f>
        <v>135.77624988749807</v>
      </c>
      <c r="S147" s="711">
        <f>Bilans_E_AMS_Kyoto_run3_MTE!X556</f>
        <v>35.160977387086433</v>
      </c>
      <c r="T147" s="711">
        <f>Bilans_E_AMS_Kyoto_run3_MTE!Y556</f>
        <v>0</v>
      </c>
      <c r="U147" s="711">
        <f>Bilans_E_AMS_Kyoto_run3_MTE!Z556</f>
        <v>422.01365949022772</v>
      </c>
      <c r="V147" s="701"/>
      <c r="W147" s="701"/>
    </row>
    <row r="148" spans="1:23" x14ac:dyDescent="0.25">
      <c r="A148" s="701" t="s">
        <v>510</v>
      </c>
      <c r="B148" s="701"/>
      <c r="C148" s="717" t="s">
        <v>81</v>
      </c>
      <c r="D148" s="711">
        <f>Bilans_E_AMS_Kyoto_run3_MTE!H557</f>
        <v>0</v>
      </c>
      <c r="E148" s="711">
        <f>Bilans_E_AMS_Kyoto_run3_MTE!I557</f>
        <v>0</v>
      </c>
      <c r="F148" s="711">
        <f>Bilans_E_AMS_Kyoto_run3_MTE!J557</f>
        <v>5.9571518115922428E-2</v>
      </c>
      <c r="G148" s="711">
        <f>Bilans_E_AMS_Kyoto_run3_MTE!K557</f>
        <v>0</v>
      </c>
      <c r="H148" s="711">
        <f>Bilans_E_AMS_Kyoto_run3_MTE!L557</f>
        <v>0</v>
      </c>
      <c r="I148" s="711">
        <f>Bilans_E_AMS_Kyoto_run3_MTE!M557</f>
        <v>0.44038098063120357</v>
      </c>
      <c r="J148" s="711">
        <f>Bilans_E_AMS_Kyoto_run3_MTE!N557</f>
        <v>0</v>
      </c>
      <c r="K148" s="711">
        <f>Bilans_E_AMS_Kyoto_run3_MTE!O557</f>
        <v>0</v>
      </c>
      <c r="L148" s="711">
        <f>Bilans_E_AMS_Kyoto_run3_MTE!P557</f>
        <v>0.43608334641640845</v>
      </c>
      <c r="M148" s="711">
        <f>Bilans_E_AMS_Kyoto_run3_MTE!Q557</f>
        <v>0</v>
      </c>
      <c r="N148" s="711">
        <f>Bilans_E_AMS_Kyoto_run3_MTE!R557</f>
        <v>0</v>
      </c>
      <c r="O148" s="711">
        <f>Bilans_E_AMS_Kyoto_run3_MTE!S557</f>
        <v>8.3672386319928673</v>
      </c>
      <c r="P148" s="711">
        <f>Bilans_E_AMS_Kyoto_run3_MTE!T557+Bilans_E_AMS_Kyoto_run3_MTE!U557</f>
        <v>64.752372842201794</v>
      </c>
      <c r="Q148" s="711">
        <f>Bilans_E_AMS_Kyoto_run3_MTE!V557</f>
        <v>13.972057854326216</v>
      </c>
      <c r="R148" s="711">
        <f>Bilans_E_AMS_Kyoto_run3_MTE!W557</f>
        <v>123.17781879034489</v>
      </c>
      <c r="S148" s="711">
        <f>Bilans_E_AMS_Kyoto_run3_MTE!X557</f>
        <v>22.010319853686262</v>
      </c>
      <c r="T148" s="711">
        <f>Bilans_E_AMS_Kyoto_run3_MTE!Y557</f>
        <v>0</v>
      </c>
      <c r="U148" s="711">
        <f>Bilans_E_AMS_Kyoto_run3_MTE!Z557</f>
        <v>233.21584381771555</v>
      </c>
      <c r="V148" s="701"/>
      <c r="W148" s="701"/>
    </row>
    <row r="149" spans="1:23" x14ac:dyDescent="0.25">
      <c r="A149" s="701" t="s">
        <v>511</v>
      </c>
      <c r="B149" s="701"/>
      <c r="C149" s="717" t="s">
        <v>82</v>
      </c>
      <c r="D149" s="711">
        <f>Bilans_E_AMS_Kyoto_run3_MTE!H558</f>
        <v>0</v>
      </c>
      <c r="E149" s="711">
        <f>Bilans_E_AMS_Kyoto_run3_MTE!I558</f>
        <v>0</v>
      </c>
      <c r="F149" s="711">
        <f>Bilans_E_AMS_Kyoto_run3_MTE!J558</f>
        <v>0</v>
      </c>
      <c r="G149" s="711">
        <f>Bilans_E_AMS_Kyoto_run3_MTE!K558</f>
        <v>0</v>
      </c>
      <c r="H149" s="711">
        <f>Bilans_E_AMS_Kyoto_run3_MTE!L558</f>
        <v>0</v>
      </c>
      <c r="I149" s="711">
        <f>Bilans_E_AMS_Kyoto_run3_MTE!M558</f>
        <v>3.936904267080979E-2</v>
      </c>
      <c r="J149" s="711">
        <f>Bilans_E_AMS_Kyoto_run3_MTE!N558</f>
        <v>0</v>
      </c>
      <c r="K149" s="711">
        <f>Bilans_E_AMS_Kyoto_run3_MTE!O558</f>
        <v>0</v>
      </c>
      <c r="L149" s="711">
        <f>Bilans_E_AMS_Kyoto_run3_MTE!P558</f>
        <v>20.041612409357288</v>
      </c>
      <c r="M149" s="711">
        <f>Bilans_E_AMS_Kyoto_run3_MTE!Q558</f>
        <v>0</v>
      </c>
      <c r="N149" s="711">
        <f>Bilans_E_AMS_Kyoto_run3_MTE!R558</f>
        <v>6.8596219696114309</v>
      </c>
      <c r="O149" s="711">
        <f>Bilans_E_AMS_Kyoto_run3_MTE!S558</f>
        <v>0.74801181074538581</v>
      </c>
      <c r="P149" s="711">
        <f>Bilans_E_AMS_Kyoto_run3_MTE!T558+Bilans_E_AMS_Kyoto_run3_MTE!U558</f>
        <v>1.5</v>
      </c>
      <c r="Q149" s="711">
        <f>Bilans_E_AMS_Kyoto_run3_MTE!V558</f>
        <v>2.1874070050904897</v>
      </c>
      <c r="R149" s="711">
        <f>Bilans_E_AMS_Kyoto_run3_MTE!W558</f>
        <v>11.227117591013034</v>
      </c>
      <c r="S149" s="711">
        <f>Bilans_E_AMS_Kyoto_run3_MTE!X558</f>
        <v>0</v>
      </c>
      <c r="T149" s="711">
        <f>Bilans_E_AMS_Kyoto_run3_MTE!Y558</f>
        <v>0.67221506893144256</v>
      </c>
      <c r="U149" s="711">
        <f>Bilans_E_AMS_Kyoto_run3_MTE!Z558</f>
        <v>43.275354897419881</v>
      </c>
      <c r="V149" s="701"/>
      <c r="W149" s="701"/>
    </row>
    <row r="150" spans="1:23" x14ac:dyDescent="0.25">
      <c r="A150" s="701" t="s">
        <v>512</v>
      </c>
      <c r="B150" s="701"/>
      <c r="C150" s="717" t="s">
        <v>354</v>
      </c>
      <c r="D150" s="711">
        <f>Bilans_E_AMS_Kyoto_run3_MTE!H559</f>
        <v>0</v>
      </c>
      <c r="E150" s="711">
        <f>Bilans_E_AMS_Kyoto_run3_MTE!I559</f>
        <v>0</v>
      </c>
      <c r="F150" s="711">
        <f>Bilans_E_AMS_Kyoto_run3_MTE!J559</f>
        <v>0</v>
      </c>
      <c r="G150" s="711">
        <f>Bilans_E_AMS_Kyoto_run3_MTE!K559</f>
        <v>0</v>
      </c>
      <c r="H150" s="711">
        <f>Bilans_E_AMS_Kyoto_run3_MTE!L559</f>
        <v>0</v>
      </c>
      <c r="I150" s="711">
        <f>Bilans_E_AMS_Kyoto_run3_MTE!M559</f>
        <v>0</v>
      </c>
      <c r="J150" s="711">
        <f>Bilans_E_AMS_Kyoto_run3_MTE!N559</f>
        <v>0</v>
      </c>
      <c r="K150" s="711">
        <f>Bilans_E_AMS_Kyoto_run3_MTE!O559</f>
        <v>0</v>
      </c>
      <c r="L150" s="711">
        <f>Bilans_E_AMS_Kyoto_run3_MTE!P559</f>
        <v>0</v>
      </c>
      <c r="M150" s="711">
        <f>Bilans_E_AMS_Kyoto_run3_MTE!Q559</f>
        <v>0</v>
      </c>
      <c r="N150" s="711">
        <f>Bilans_E_AMS_Kyoto_run3_MTE!R559</f>
        <v>0</v>
      </c>
      <c r="O150" s="711">
        <f>Bilans_E_AMS_Kyoto_run3_MTE!S559</f>
        <v>0</v>
      </c>
      <c r="P150" s="711">
        <f>Bilans_E_AMS_Kyoto_run3_MTE!T559+Bilans_E_AMS_Kyoto_run3_MTE!U559</f>
        <v>0</v>
      </c>
      <c r="Q150" s="711">
        <f>Bilans_E_AMS_Kyoto_run3_MTE!V559</f>
        <v>0</v>
      </c>
      <c r="R150" s="711">
        <f>Bilans_E_AMS_Kyoto_run3_MTE!W559</f>
        <v>15.04</v>
      </c>
      <c r="S150" s="711">
        <f>Bilans_E_AMS_Kyoto_run3_MTE!X559</f>
        <v>0</v>
      </c>
      <c r="T150" s="711">
        <f>Bilans_E_AMS_Kyoto_run3_MTE!Y559</f>
        <v>0</v>
      </c>
      <c r="U150" s="711">
        <f>Bilans_E_AMS_Kyoto_run3_MTE!Z559</f>
        <v>15.04</v>
      </c>
      <c r="V150" s="701"/>
      <c r="W150" s="701"/>
    </row>
    <row r="151" spans="1:23" x14ac:dyDescent="0.25">
      <c r="A151" s="701" t="s">
        <v>513</v>
      </c>
      <c r="B151" s="701"/>
      <c r="C151" s="713" t="s">
        <v>83</v>
      </c>
      <c r="D151" s="714">
        <f>Bilans_E_AMS_Kyoto_run3_MTE!H560</f>
        <v>0</v>
      </c>
      <c r="E151" s="714">
        <f>Bilans_E_AMS_Kyoto_run3_MTE!I560</f>
        <v>0</v>
      </c>
      <c r="F151" s="714">
        <f>Bilans_E_AMS_Kyoto_run3_MTE!J560</f>
        <v>2.6375441900097218</v>
      </c>
      <c r="G151" s="714">
        <f>Bilans_E_AMS_Kyoto_run3_MTE!K560</f>
        <v>4.5999999999999996</v>
      </c>
      <c r="H151" s="714">
        <f>Bilans_E_AMS_Kyoto_run3_MTE!L560</f>
        <v>0</v>
      </c>
      <c r="I151" s="714">
        <f>Bilans_E_AMS_Kyoto_run3_MTE!M560</f>
        <v>4.2115153485371817</v>
      </c>
      <c r="J151" s="714">
        <f>Bilans_E_AMS_Kyoto_run3_MTE!N560</f>
        <v>0</v>
      </c>
      <c r="K151" s="714">
        <f>Bilans_E_AMS_Kyoto_run3_MTE!O560</f>
        <v>0</v>
      </c>
      <c r="L151" s="714">
        <f>Bilans_E_AMS_Kyoto_run3_MTE!P560</f>
        <v>92.181064137617497</v>
      </c>
      <c r="M151" s="714">
        <f>Bilans_E_AMS_Kyoto_run3_MTE!Q560</f>
        <v>7.3058555419217219</v>
      </c>
      <c r="N151" s="714">
        <f>Bilans_E_AMS_Kyoto_run3_MTE!R560</f>
        <v>24.156551983085681</v>
      </c>
      <c r="O151" s="714">
        <f>Bilans_E_AMS_Kyoto_run3_MTE!S560</f>
        <v>80.060922438361246</v>
      </c>
      <c r="P151" s="714">
        <f>Bilans_E_AMS_Kyoto_run3_MTE!T560+Bilans_E_AMS_Kyoto_run3_MTE!U560</f>
        <v>251.84592267661148</v>
      </c>
      <c r="Q151" s="714">
        <f>Bilans_E_AMS_Kyoto_run3_MTE!V560</f>
        <v>31.016507507845294</v>
      </c>
      <c r="R151" s="714">
        <f>Bilans_E_AMS_Kyoto_run3_MTE!W560</f>
        <v>574.93705609305459</v>
      </c>
      <c r="S151" s="714">
        <f>Bilans_E_AMS_Kyoto_run3_MTE!X560</f>
        <v>76.28935945815698</v>
      </c>
      <c r="T151" s="714">
        <f>Bilans_E_AMS_Kyoto_run3_MTE!Y560</f>
        <v>23.212509289266166</v>
      </c>
      <c r="U151" s="714">
        <f>Bilans_E_AMS_Kyoto_run3_MTE!Z560</f>
        <v>1172.4548086644675</v>
      </c>
      <c r="V151" s="701"/>
      <c r="W151" s="701"/>
    </row>
    <row r="152" spans="1:23" x14ac:dyDescent="0.25">
      <c r="A152" s="701" t="s">
        <v>514</v>
      </c>
      <c r="B152" s="701"/>
      <c r="C152" s="710" t="s">
        <v>84</v>
      </c>
      <c r="D152" s="711">
        <f>Bilans_E_AMS_Kyoto_run3_MTE!H561</f>
        <v>0</v>
      </c>
      <c r="E152" s="711">
        <f>Bilans_E_AMS_Kyoto_run3_MTE!I561</f>
        <v>0</v>
      </c>
      <c r="F152" s="711">
        <f>Bilans_E_AMS_Kyoto_run3_MTE!J561</f>
        <v>91.376834551502185</v>
      </c>
      <c r="G152" s="711">
        <f>Bilans_E_AMS_Kyoto_run3_MTE!K561</f>
        <v>4.3696590457446538</v>
      </c>
      <c r="H152" s="711">
        <f>Bilans_E_AMS_Kyoto_run3_MTE!L561</f>
        <v>7.019987079045241</v>
      </c>
      <c r="I152" s="711">
        <f>Bilans_E_AMS_Kyoto_run3_MTE!M561</f>
        <v>0</v>
      </c>
      <c r="J152" s="711">
        <f>Bilans_E_AMS_Kyoto_run3_MTE!N561</f>
        <v>0</v>
      </c>
      <c r="K152" s="711">
        <f>Bilans_E_AMS_Kyoto_run3_MTE!O561</f>
        <v>0</v>
      </c>
      <c r="L152" s="711">
        <f>Bilans_E_AMS_Kyoto_run3_MTE!P561</f>
        <v>0.61184558011433365</v>
      </c>
      <c r="M152" s="711">
        <f>Bilans_E_AMS_Kyoto_run3_MTE!Q561</f>
        <v>0</v>
      </c>
      <c r="N152" s="711">
        <f>Bilans_E_AMS_Kyoto_run3_MTE!R561</f>
        <v>6.5698161491399585</v>
      </c>
      <c r="O152" s="711">
        <f>Bilans_E_AMS_Kyoto_run3_MTE!S561</f>
        <v>0</v>
      </c>
      <c r="P152" s="711">
        <f>Bilans_E_AMS_Kyoto_run3_MTE!T561+Bilans_E_AMS_Kyoto_run3_MTE!U561</f>
        <v>0</v>
      </c>
      <c r="Q152" s="711">
        <f>Bilans_E_AMS_Kyoto_run3_MTE!V561</f>
        <v>0</v>
      </c>
      <c r="R152" s="711">
        <f>Bilans_E_AMS_Kyoto_run3_MTE!W561</f>
        <v>0</v>
      </c>
      <c r="S152" s="711">
        <f>Bilans_E_AMS_Kyoto_run3_MTE!X561</f>
        <v>0</v>
      </c>
      <c r="T152" s="711">
        <f>Bilans_E_AMS_Kyoto_run3_MTE!Y561</f>
        <v>6.6285490677230623</v>
      </c>
      <c r="U152" s="711">
        <f>Bilans_E_AMS_Kyoto_run3_MTE!Z561</f>
        <v>116.57669147326942</v>
      </c>
      <c r="V152" s="701"/>
      <c r="W152" s="701"/>
    </row>
    <row r="153" spans="1:23" x14ac:dyDescent="0.25">
      <c r="A153" s="701" t="s">
        <v>515</v>
      </c>
      <c r="B153" s="701"/>
      <c r="C153" s="713" t="s">
        <v>85</v>
      </c>
      <c r="D153" s="714">
        <f>Bilans_E_AMS_Kyoto_run3_MTE!H562</f>
        <v>0</v>
      </c>
      <c r="E153" s="714">
        <f>Bilans_E_AMS_Kyoto_run3_MTE!I562</f>
        <v>0</v>
      </c>
      <c r="F153" s="714">
        <f>Bilans_E_AMS_Kyoto_run3_MTE!J562</f>
        <v>94.014378741511905</v>
      </c>
      <c r="G153" s="714">
        <f>Bilans_E_AMS_Kyoto_run3_MTE!K562</f>
        <v>8.9696590457446526</v>
      </c>
      <c r="H153" s="714">
        <f>Bilans_E_AMS_Kyoto_run3_MTE!L562</f>
        <v>7.019987079045241</v>
      </c>
      <c r="I153" s="714">
        <f>Bilans_E_AMS_Kyoto_run3_MTE!M562</f>
        <v>4.2115153485371817</v>
      </c>
      <c r="J153" s="714">
        <f>Bilans_E_AMS_Kyoto_run3_MTE!N562</f>
        <v>0</v>
      </c>
      <c r="K153" s="714">
        <f>Bilans_E_AMS_Kyoto_run3_MTE!O562</f>
        <v>0</v>
      </c>
      <c r="L153" s="714">
        <f>Bilans_E_AMS_Kyoto_run3_MTE!P562</f>
        <v>92.792909717731831</v>
      </c>
      <c r="M153" s="714">
        <f>Bilans_E_AMS_Kyoto_run3_MTE!Q562</f>
        <v>7.3058555419217219</v>
      </c>
      <c r="N153" s="714">
        <f>Bilans_E_AMS_Kyoto_run3_MTE!R562</f>
        <v>30.726368132225637</v>
      </c>
      <c r="O153" s="714">
        <f>Bilans_E_AMS_Kyoto_run3_MTE!S562</f>
        <v>80.060922438361246</v>
      </c>
      <c r="P153" s="714">
        <f>Bilans_E_AMS_Kyoto_run3_MTE!T562+Bilans_E_AMS_Kyoto_run3_MTE!U562</f>
        <v>251.84592267661148</v>
      </c>
      <c r="Q153" s="714">
        <f>Bilans_E_AMS_Kyoto_run3_MTE!V562</f>
        <v>31.016507507845294</v>
      </c>
      <c r="R153" s="714">
        <f>Bilans_E_AMS_Kyoto_run3_MTE!W562</f>
        <v>574.93705609305459</v>
      </c>
      <c r="S153" s="714">
        <f>Bilans_E_AMS_Kyoto_run3_MTE!X562</f>
        <v>76.28935945815698</v>
      </c>
      <c r="T153" s="714">
        <f>Bilans_E_AMS_Kyoto_run3_MTE!Y562</f>
        <v>29.84105835698923</v>
      </c>
      <c r="U153" s="714">
        <f>Bilans_E_AMS_Kyoto_run3_MTE!Z562</f>
        <v>1289.0315001377369</v>
      </c>
      <c r="V153" s="701"/>
      <c r="W153" s="701"/>
    </row>
    <row r="154" spans="1:23" x14ac:dyDescent="0.25">
      <c r="A154" s="701"/>
      <c r="B154" s="701"/>
      <c r="C154" s="701"/>
      <c r="D154" s="701">
        <f>Bilans_E_AMS_Kyoto_run3_MTE!H563</f>
        <v>0</v>
      </c>
      <c r="E154" s="701">
        <f>Bilans_E_AMS_Kyoto_run3_MTE!I563</f>
        <v>0</v>
      </c>
      <c r="F154" s="701">
        <f>Bilans_E_AMS_Kyoto_run3_MTE!J563</f>
        <v>0</v>
      </c>
      <c r="G154" s="701">
        <f>Bilans_E_AMS_Kyoto_run3_MTE!K563</f>
        <v>0</v>
      </c>
      <c r="H154" s="701">
        <f>Bilans_E_AMS_Kyoto_run3_MTE!L563</f>
        <v>0</v>
      </c>
      <c r="I154" s="701">
        <f>Bilans_E_AMS_Kyoto_run3_MTE!M563</f>
        <v>-1.9859233333408E-4</v>
      </c>
      <c r="J154" s="701">
        <f>Bilans_E_AMS_Kyoto_run3_MTE!N563</f>
        <v>0</v>
      </c>
      <c r="K154" s="701">
        <f>Bilans_E_AMS_Kyoto_run3_MTE!O563</f>
        <v>0</v>
      </c>
      <c r="L154" s="701">
        <f>Bilans_E_AMS_Kyoto_run3_MTE!P563</f>
        <v>0</v>
      </c>
      <c r="M154" s="701">
        <f>Bilans_E_AMS_Kyoto_run3_MTE!Q563</f>
        <v>0</v>
      </c>
      <c r="N154" s="701">
        <f>Bilans_E_AMS_Kyoto_run3_MTE!R563</f>
        <v>0</v>
      </c>
      <c r="O154" s="701">
        <f>Bilans_E_AMS_Kyoto_run3_MTE!S563</f>
        <v>0</v>
      </c>
      <c r="P154" s="701">
        <f>Bilans_E_AMS_Kyoto_run3_MTE!T563+Bilans_E_AMS_Kyoto_run3_MTE!U563</f>
        <v>0</v>
      </c>
      <c r="Q154" s="701">
        <f>Bilans_E_AMS_Kyoto_run3_MTE!V563</f>
        <v>0</v>
      </c>
      <c r="R154" s="701">
        <f>Bilans_E_AMS_Kyoto_run3_MTE!W563</f>
        <v>0</v>
      </c>
      <c r="S154" s="701">
        <f>Bilans_E_AMS_Kyoto_run3_MTE!X563</f>
        <v>-3.3901093871691046E-5</v>
      </c>
      <c r="T154" s="701">
        <f>Bilans_E_AMS_Kyoto_run3_MTE!Y563</f>
        <v>0</v>
      </c>
      <c r="U154" s="701">
        <f>Bilans_E_AMS_Kyoto_run3_MTE!Z563</f>
        <v>-2.3249342757480917E-4</v>
      </c>
      <c r="V154" s="701"/>
      <c r="W154" s="701"/>
    </row>
    <row r="155" spans="1:23" x14ac:dyDescent="0.25">
      <c r="A155" s="51"/>
      <c r="B155" s="51"/>
      <c r="C155" s="51"/>
      <c r="D155" s="51"/>
      <c r="E155" s="51"/>
      <c r="F155" s="51"/>
      <c r="G155" s="67"/>
      <c r="H155" s="51"/>
      <c r="I155" s="51"/>
      <c r="J155" s="51"/>
      <c r="K155" s="51"/>
      <c r="L155" s="51"/>
      <c r="M155" s="51"/>
      <c r="N155" s="51"/>
      <c r="O155" s="51"/>
      <c r="P155" s="51"/>
      <c r="Q155" s="51"/>
      <c r="R155" s="51"/>
      <c r="S155" s="51"/>
      <c r="T155" s="51"/>
      <c r="U155" s="51"/>
    </row>
  </sheetData>
  <mergeCells count="56">
    <mergeCell ref="U10:U11"/>
    <mergeCell ref="C10:C11"/>
    <mergeCell ref="D10:D11"/>
    <mergeCell ref="E10:E11"/>
    <mergeCell ref="F10:F11"/>
    <mergeCell ref="G10:G11"/>
    <mergeCell ref="H10:H11"/>
    <mergeCell ref="I10:I11"/>
    <mergeCell ref="J10:J11"/>
    <mergeCell ref="K10:K11"/>
    <mergeCell ref="L10:Q10"/>
    <mergeCell ref="R10:R11"/>
    <mergeCell ref="S10:S11"/>
    <mergeCell ref="T10:T11"/>
    <mergeCell ref="R47:R48"/>
    <mergeCell ref="S47:S48"/>
    <mergeCell ref="C47:C48"/>
    <mergeCell ref="D47:D48"/>
    <mergeCell ref="E47:E48"/>
    <mergeCell ref="F47:F48"/>
    <mergeCell ref="G47:G48"/>
    <mergeCell ref="H47:H48"/>
    <mergeCell ref="T84:T85"/>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H121:H122"/>
    <mergeCell ref="K84:K85"/>
    <mergeCell ref="L84:Q84"/>
    <mergeCell ref="R84:R85"/>
    <mergeCell ref="S84:S85"/>
    <mergeCell ref="C121:C122"/>
    <mergeCell ref="D121:D122"/>
    <mergeCell ref="E121:E122"/>
    <mergeCell ref="F121:F122"/>
    <mergeCell ref="G121:G122"/>
    <mergeCell ref="T121:T122"/>
    <mergeCell ref="U121:U122"/>
    <mergeCell ref="I121:I122"/>
    <mergeCell ref="J121:J122"/>
    <mergeCell ref="K121:K122"/>
    <mergeCell ref="L121:Q121"/>
    <mergeCell ref="R121:R122"/>
    <mergeCell ref="S121:S122"/>
  </mergeCells>
  <pageMargins left="0.7" right="0.7" top="0.75" bottom="0.75" header="0.3" footer="0.3"/>
  <legacy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C3BDD-7A02-47E7-B3A5-087CE663AFA6}">
  <sheetPr>
    <tabColor theme="1" tint="0.249977111117893"/>
  </sheetPr>
  <dimension ref="A1:W81"/>
  <sheetViews>
    <sheetView topLeftCell="A7" zoomScale="85" zoomScaleNormal="85" workbookViewId="0">
      <selection activeCell="C10" sqref="C10:U42"/>
    </sheetView>
  </sheetViews>
  <sheetFormatPr baseColWidth="10" defaultRowHeight="15" x14ac:dyDescent="0.25"/>
  <cols>
    <col min="3" max="3" width="24.28515625" customWidth="1"/>
    <col min="4" max="21" width="12.5703125" customWidth="1"/>
  </cols>
  <sheetData>
    <row r="1" spans="1:23" ht="15.75" x14ac:dyDescent="0.25">
      <c r="A1" s="700"/>
      <c r="B1" s="700"/>
      <c r="C1" s="700"/>
      <c r="D1" s="598" t="s">
        <v>527</v>
      </c>
      <c r="E1" s="598" t="s">
        <v>528</v>
      </c>
      <c r="F1" s="598" t="s">
        <v>529</v>
      </c>
      <c r="G1" s="598" t="s">
        <v>530</v>
      </c>
      <c r="H1" s="598" t="s">
        <v>531</v>
      </c>
      <c r="I1" s="598" t="s">
        <v>532</v>
      </c>
      <c r="J1" s="598" t="s">
        <v>533</v>
      </c>
      <c r="K1" s="598" t="s">
        <v>534</v>
      </c>
      <c r="L1" s="598" t="s">
        <v>535</v>
      </c>
      <c r="M1" s="598" t="s">
        <v>536</v>
      </c>
      <c r="N1" s="598" t="s">
        <v>537</v>
      </c>
      <c r="O1" s="598" t="s">
        <v>538</v>
      </c>
      <c r="P1" s="598" t="s">
        <v>539</v>
      </c>
      <c r="Q1" s="598" t="s">
        <v>541</v>
      </c>
      <c r="R1" s="598" t="s">
        <v>542</v>
      </c>
      <c r="S1" s="598" t="s">
        <v>543</v>
      </c>
      <c r="T1" s="598" t="s">
        <v>606</v>
      </c>
      <c r="U1" s="598" t="s">
        <v>607</v>
      </c>
      <c r="V1" s="700"/>
      <c r="W1" s="700"/>
    </row>
    <row r="2" spans="1:23" x14ac:dyDescent="0.25">
      <c r="A2" s="700"/>
      <c r="B2" s="700"/>
      <c r="C2" s="700"/>
      <c r="D2" s="700" t="s">
        <v>545</v>
      </c>
      <c r="E2" s="701" t="s">
        <v>546</v>
      </c>
      <c r="F2" s="701" t="s">
        <v>547</v>
      </c>
      <c r="G2" s="701" t="s">
        <v>548</v>
      </c>
      <c r="H2" s="701" t="s">
        <v>549</v>
      </c>
      <c r="I2" s="701" t="s">
        <v>550</v>
      </c>
      <c r="J2" s="701" t="s">
        <v>551</v>
      </c>
      <c r="K2" s="701" t="s">
        <v>552</v>
      </c>
      <c r="L2" s="701" t="s">
        <v>553</v>
      </c>
      <c r="M2" s="701" t="s">
        <v>554</v>
      </c>
      <c r="N2" s="701" t="s">
        <v>555</v>
      </c>
      <c r="O2" s="701" t="s">
        <v>556</v>
      </c>
      <c r="P2" s="701" t="s">
        <v>557</v>
      </c>
      <c r="Q2" s="701" t="s">
        <v>558</v>
      </c>
      <c r="R2" s="701" t="s">
        <v>559</v>
      </c>
      <c r="S2" s="701" t="s">
        <v>560</v>
      </c>
      <c r="T2" s="701" t="s">
        <v>561</v>
      </c>
      <c r="U2" s="701" t="s">
        <v>562</v>
      </c>
      <c r="V2" s="700"/>
      <c r="W2" s="700"/>
    </row>
    <row r="3" spans="1:23" ht="18" x14ac:dyDescent="0.25">
      <c r="A3" s="702"/>
      <c r="B3" s="702"/>
      <c r="C3" s="703" t="s">
        <v>406</v>
      </c>
      <c r="D3" s="702"/>
      <c r="E3" s="702"/>
      <c r="F3" s="702"/>
      <c r="G3" s="702"/>
      <c r="H3" s="702"/>
      <c r="I3" s="702"/>
      <c r="J3" s="702"/>
      <c r="K3" s="702"/>
      <c r="L3" s="702"/>
      <c r="M3" s="702"/>
      <c r="N3" s="702"/>
      <c r="O3" s="702"/>
      <c r="P3" s="702"/>
      <c r="Q3" s="702"/>
      <c r="R3" s="702"/>
      <c r="S3" s="702"/>
      <c r="T3" s="702"/>
      <c r="U3" s="702"/>
      <c r="V3" s="702"/>
      <c r="W3" s="702"/>
    </row>
    <row r="4" spans="1:23" x14ac:dyDescent="0.25">
      <c r="A4" s="701"/>
      <c r="B4" s="701"/>
      <c r="C4" s="701"/>
      <c r="D4" s="701"/>
      <c r="E4" s="701"/>
      <c r="F4" s="701"/>
      <c r="G4" s="701"/>
      <c r="H4" s="701"/>
      <c r="I4" s="701"/>
      <c r="J4" s="701"/>
      <c r="K4" s="701"/>
      <c r="L4" s="701"/>
      <c r="M4" s="701"/>
      <c r="N4" s="701"/>
      <c r="O4" s="701"/>
      <c r="P4" s="701"/>
      <c r="Q4" s="701"/>
      <c r="R4" s="701"/>
      <c r="S4" s="701"/>
      <c r="T4" s="701"/>
      <c r="U4" s="701"/>
      <c r="V4" s="701"/>
      <c r="W4" s="701"/>
    </row>
    <row r="5" spans="1:23" ht="15.75" x14ac:dyDescent="0.25">
      <c r="A5" s="704"/>
      <c r="B5" s="701"/>
      <c r="C5" s="705" t="s">
        <v>338</v>
      </c>
      <c r="D5" s="704" t="s">
        <v>481</v>
      </c>
      <c r="E5" s="704"/>
      <c r="F5" s="704"/>
      <c r="G5" s="704"/>
      <c r="H5" s="704"/>
      <c r="I5" s="704"/>
      <c r="J5" s="704"/>
      <c r="K5" s="706"/>
      <c r="L5" s="706"/>
      <c r="M5" s="706"/>
      <c r="N5" s="706"/>
      <c r="O5" s="706"/>
      <c r="P5" s="706"/>
      <c r="Q5" s="706"/>
      <c r="R5" s="704"/>
      <c r="S5" s="704"/>
      <c r="T5" s="704"/>
      <c r="U5" s="704"/>
      <c r="V5" s="704"/>
      <c r="W5" s="704"/>
    </row>
    <row r="6" spans="1:23" ht="15.75" x14ac:dyDescent="0.25">
      <c r="A6" s="704"/>
      <c r="B6" s="701"/>
      <c r="C6" s="705" t="s">
        <v>341</v>
      </c>
      <c r="D6" s="704" t="s">
        <v>342</v>
      </c>
      <c r="E6" s="704"/>
      <c r="F6" s="704"/>
      <c r="G6" s="704"/>
      <c r="H6" s="704"/>
      <c r="I6" s="704"/>
      <c r="J6" s="704"/>
      <c r="K6" s="704"/>
      <c r="L6" s="704"/>
      <c r="M6" s="704"/>
      <c r="N6" s="704"/>
      <c r="O6" s="704"/>
      <c r="P6" s="704"/>
      <c r="Q6" s="704"/>
      <c r="R6" s="704"/>
      <c r="S6" s="704"/>
      <c r="T6" s="704"/>
      <c r="U6" s="704"/>
      <c r="V6" s="704"/>
      <c r="W6" s="704"/>
    </row>
    <row r="7" spans="1:23" x14ac:dyDescent="0.25">
      <c r="A7" s="701"/>
      <c r="B7" s="701"/>
      <c r="C7" s="701"/>
      <c r="D7" s="701"/>
      <c r="E7" s="701"/>
      <c r="F7" s="701"/>
      <c r="G7" s="701"/>
      <c r="H7" s="701"/>
      <c r="I7" s="701"/>
      <c r="J7" s="701"/>
      <c r="K7" s="701"/>
      <c r="L7" s="701"/>
      <c r="M7" s="701"/>
      <c r="N7" s="701"/>
      <c r="O7" s="701"/>
      <c r="P7" s="701"/>
      <c r="Q7" s="701"/>
      <c r="R7" s="701"/>
      <c r="S7" s="701"/>
      <c r="T7" s="701"/>
      <c r="U7" s="701"/>
      <c r="V7" s="701"/>
      <c r="W7" s="701"/>
    </row>
    <row r="8" spans="1:23" x14ac:dyDescent="0.25">
      <c r="A8" s="707"/>
      <c r="B8" s="707"/>
      <c r="C8" s="708" t="s">
        <v>361</v>
      </c>
      <c r="D8" s="707"/>
      <c r="E8" s="707"/>
      <c r="F8" s="707"/>
      <c r="G8" s="707"/>
      <c r="H8" s="707"/>
      <c r="I8" s="707"/>
      <c r="J8" s="707"/>
      <c r="K8" s="707"/>
      <c r="L8" s="707"/>
      <c r="M8" s="707"/>
      <c r="N8" s="707"/>
      <c r="O8" s="707"/>
      <c r="P8" s="707"/>
      <c r="Q8" s="707"/>
      <c r="R8" s="707"/>
      <c r="S8" s="707"/>
      <c r="T8" s="707"/>
      <c r="U8" s="707"/>
      <c r="V8" s="707"/>
      <c r="W8" s="707"/>
    </row>
    <row r="9" spans="1:23" x14ac:dyDescent="0.25">
      <c r="A9" s="701"/>
      <c r="B9" s="701"/>
      <c r="C9" s="701"/>
      <c r="D9" s="701"/>
      <c r="E9" s="701"/>
      <c r="F9" s="701"/>
      <c r="G9" s="701"/>
      <c r="H9" s="701"/>
      <c r="I9" s="701"/>
      <c r="J9" s="701"/>
      <c r="K9" s="701"/>
      <c r="L9" s="701"/>
      <c r="M9" s="701"/>
      <c r="N9" s="701"/>
      <c r="O9" s="701"/>
      <c r="P9" s="701"/>
      <c r="Q9" s="701"/>
      <c r="R9" s="701"/>
      <c r="S9" s="701"/>
      <c r="T9" s="701"/>
      <c r="U9" s="701"/>
      <c r="V9" s="701"/>
      <c r="W9" s="701"/>
    </row>
    <row r="10" spans="1:23" ht="15" customHeight="1" x14ac:dyDescent="0.25">
      <c r="A10" s="701"/>
      <c r="B10" s="701"/>
      <c r="C10" s="780" t="s">
        <v>128</v>
      </c>
      <c r="D10" s="775" t="s">
        <v>42</v>
      </c>
      <c r="E10" s="775" t="s">
        <v>52</v>
      </c>
      <c r="F10" s="775" t="s">
        <v>53</v>
      </c>
      <c r="G10" s="775" t="s">
        <v>482</v>
      </c>
      <c r="H10" s="775" t="s">
        <v>32</v>
      </c>
      <c r="I10" s="775" t="s">
        <v>483</v>
      </c>
      <c r="J10" s="775" t="s">
        <v>20</v>
      </c>
      <c r="K10" s="775" t="s">
        <v>55</v>
      </c>
      <c r="L10" s="777" t="s">
        <v>56</v>
      </c>
      <c r="M10" s="778"/>
      <c r="N10" s="778"/>
      <c r="O10" s="778"/>
      <c r="P10" s="778"/>
      <c r="Q10" s="779"/>
      <c r="R10" s="775" t="s">
        <v>57</v>
      </c>
      <c r="S10" s="775" t="s">
        <v>58</v>
      </c>
      <c r="T10" s="775" t="s">
        <v>31</v>
      </c>
      <c r="U10" s="775" t="s">
        <v>10</v>
      </c>
      <c r="V10" s="701"/>
      <c r="W10" s="701"/>
    </row>
    <row r="11" spans="1:23" ht="67.5" x14ac:dyDescent="0.25">
      <c r="A11" s="701" t="s">
        <v>486</v>
      </c>
      <c r="B11" s="701"/>
      <c r="C11" s="781"/>
      <c r="D11" s="776"/>
      <c r="E11" s="776"/>
      <c r="F11" s="776"/>
      <c r="G11" s="776"/>
      <c r="H11" s="776"/>
      <c r="I11" s="776"/>
      <c r="J11" s="776"/>
      <c r="K11" s="776"/>
      <c r="L11" s="709" t="s">
        <v>335</v>
      </c>
      <c r="M11" s="709" t="s">
        <v>40</v>
      </c>
      <c r="N11" s="709" t="s">
        <v>343</v>
      </c>
      <c r="O11" s="709" t="s">
        <v>344</v>
      </c>
      <c r="P11" s="719" t="s">
        <v>610</v>
      </c>
      <c r="Q11" s="709" t="s">
        <v>346</v>
      </c>
      <c r="R11" s="776"/>
      <c r="S11" s="776"/>
      <c r="T11" s="776"/>
      <c r="U11" s="776"/>
      <c r="V11" s="701"/>
      <c r="W11" s="701"/>
    </row>
    <row r="12" spans="1:23" x14ac:dyDescent="0.25">
      <c r="A12" s="701" t="s">
        <v>487</v>
      </c>
      <c r="B12" s="701"/>
      <c r="C12" s="710" t="s">
        <v>59</v>
      </c>
      <c r="D12" s="421">
        <f>Bilans_E_AMS_Kyoto_run3_MTE!H495</f>
        <v>0</v>
      </c>
      <c r="E12" s="421">
        <f>Bilans_E_AMS_Kyoto_run3_MTE!I495</f>
        <v>0</v>
      </c>
      <c r="F12" s="422">
        <f>Bilans_E_AMS_Kyoto_run3_MTE!J495</f>
        <v>0</v>
      </c>
      <c r="G12" s="611">
        <f>Bilans_E_AMS_Kyoto_run3_MTE!K495</f>
        <v>0</v>
      </c>
      <c r="H12" s="421">
        <f>Bilans_E_AMS_Kyoto_run3_MTE!L495</f>
        <v>0</v>
      </c>
      <c r="I12" s="611">
        <f>Bilans_E_AMS_Kyoto_run3_MTE!M495</f>
        <v>0</v>
      </c>
      <c r="J12" s="422">
        <f>Bilans_E_AMS_Kyoto_run3_MTE!N495</f>
        <v>1021.1177956869142</v>
      </c>
      <c r="K12" s="422">
        <f>Bilans_E_AMS_Kyoto_run3_MTE!O495</f>
        <v>462.06687945929309</v>
      </c>
      <c r="L12" s="422">
        <f>Bilans_E_AMS_Kyoto_run3_MTE!P495</f>
        <v>380.853201250621</v>
      </c>
      <c r="M12" s="422">
        <f>Bilans_E_AMS_Kyoto_run3_MTE!Q495</f>
        <v>45.488439305040814</v>
      </c>
      <c r="N12" s="628">
        <f>Bilans_E_AMS_Kyoto_run3_MTE!R495</f>
        <v>0</v>
      </c>
      <c r="O12" s="628">
        <f>Bilans_E_AMS_Kyoto_run3_MTE!S495</f>
        <v>0</v>
      </c>
      <c r="P12" s="432">
        <f>Bilans_E_AMS_Kyoto_run3_MTE!T495+Bilans_E_AMS_Kyoto_run3_MTE!U495</f>
        <v>241.4786584909825</v>
      </c>
      <c r="Q12" s="509">
        <f>Bilans_E_AMS_Kyoto_run3_MTE!V495</f>
        <v>44.619368166332919</v>
      </c>
      <c r="R12" s="422">
        <f>Bilans_E_AMS_Kyoto_run3_MTE!W495</f>
        <v>0</v>
      </c>
      <c r="S12" s="422">
        <f>Bilans_E_AMS_Kyoto_run3_MTE!X495</f>
        <v>0</v>
      </c>
      <c r="T12" s="422">
        <f>Bilans_E_AMS_Kyoto_run3_MTE!Y495</f>
        <v>0</v>
      </c>
      <c r="U12" s="423">
        <f>Bilans_E_AMS_Kyoto_run3_MTE!Z495</f>
        <v>2195.6243423591845</v>
      </c>
      <c r="V12" s="701"/>
      <c r="W12" s="701"/>
    </row>
    <row r="13" spans="1:23" x14ac:dyDescent="0.25">
      <c r="A13" s="701" t="s">
        <v>488</v>
      </c>
      <c r="B13" s="701"/>
      <c r="C13" s="710" t="s">
        <v>60</v>
      </c>
      <c r="D13" s="422">
        <f>Bilans_E_AMS_Kyoto_run3_MTE!H496</f>
        <v>7.2040588378906256E-2</v>
      </c>
      <c r="E13" s="422">
        <f>Bilans_E_AMS_Kyoto_run3_MTE!I496</f>
        <v>143.57372262348443</v>
      </c>
      <c r="F13" s="422">
        <f>Bilans_E_AMS_Kyoto_run3_MTE!J496</f>
        <v>24.964838256255007</v>
      </c>
      <c r="G13" s="624">
        <f>Bilans_E_AMS_Kyoto_run3_MTE!K496</f>
        <v>8.9901848637372375</v>
      </c>
      <c r="H13" s="422">
        <f>Bilans_E_AMS_Kyoto_run3_MTE!L496</f>
        <v>83.302522482755748</v>
      </c>
      <c r="I13" s="624">
        <f>Bilans_E_AMS_Kyoto_run3_MTE!M496</f>
        <v>0</v>
      </c>
      <c r="J13" s="422">
        <f>Bilans_E_AMS_Kyoto_run3_MTE!N496</f>
        <v>0</v>
      </c>
      <c r="K13" s="422">
        <f>Bilans_E_AMS_Kyoto_run3_MTE!O496</f>
        <v>0</v>
      </c>
      <c r="L13" s="422">
        <f>Bilans_E_AMS_Kyoto_run3_MTE!P496</f>
        <v>8.1136608848584615</v>
      </c>
      <c r="M13" s="422">
        <f>Bilans_E_AMS_Kyoto_run3_MTE!Q496</f>
        <v>0</v>
      </c>
      <c r="N13" s="628">
        <f>Bilans_E_AMS_Kyoto_run3_MTE!R496</f>
        <v>3.6899916266640176</v>
      </c>
      <c r="O13" s="432">
        <f>Bilans_E_AMS_Kyoto_run3_MTE!S496</f>
        <v>0</v>
      </c>
      <c r="P13" s="422">
        <f>Bilans_E_AMS_Kyoto_run3_MTE!T496+Bilans_E_AMS_Kyoto_run3_MTE!U496</f>
        <v>0</v>
      </c>
      <c r="Q13" s="422">
        <f>Bilans_E_AMS_Kyoto_run3_MTE!V496</f>
        <v>0</v>
      </c>
      <c r="R13" s="432">
        <f>Bilans_E_AMS_Kyoto_run3_MTE!W496</f>
        <v>0</v>
      </c>
      <c r="S13" s="422">
        <f>Bilans_E_AMS_Kyoto_run3_MTE!X496</f>
        <v>0</v>
      </c>
      <c r="T13" s="432">
        <f>Bilans_E_AMS_Kyoto_run3_MTE!Y496</f>
        <v>0</v>
      </c>
      <c r="U13" s="423">
        <f>Bilans_E_AMS_Kyoto_run3_MTE!Z496</f>
        <v>272.70696132613381</v>
      </c>
      <c r="V13" s="701"/>
      <c r="W13" s="701"/>
    </row>
    <row r="14" spans="1:23" x14ac:dyDescent="0.25">
      <c r="A14" s="701" t="s">
        <v>489</v>
      </c>
      <c r="B14" s="701"/>
      <c r="C14" s="710" t="s">
        <v>61</v>
      </c>
      <c r="D14" s="422">
        <f>Bilans_E_AMS_Kyoto_run3_MTE!H497</f>
        <v>0</v>
      </c>
      <c r="E14" s="422">
        <f>Bilans_E_AMS_Kyoto_run3_MTE!I497</f>
        <v>0</v>
      </c>
      <c r="F14" s="422">
        <f>Bilans_E_AMS_Kyoto_run3_MTE!J497</f>
        <v>0</v>
      </c>
      <c r="G14" s="624">
        <f>Bilans_E_AMS_Kyoto_run3_MTE!K497</f>
        <v>0</v>
      </c>
      <c r="H14" s="422">
        <f>Bilans_E_AMS_Kyoto_run3_MTE!L497</f>
        <v>0</v>
      </c>
      <c r="I14" s="624">
        <f>Bilans_E_AMS_Kyoto_run3_MTE!M497</f>
        <v>0</v>
      </c>
      <c r="J14" s="422">
        <f>Bilans_E_AMS_Kyoto_run3_MTE!N497</f>
        <v>0</v>
      </c>
      <c r="K14" s="422">
        <f>Bilans_E_AMS_Kyoto_run3_MTE!O497</f>
        <v>0</v>
      </c>
      <c r="L14" s="422">
        <f>Bilans_E_AMS_Kyoto_run3_MTE!P497</f>
        <v>0</v>
      </c>
      <c r="M14" s="422">
        <f>Bilans_E_AMS_Kyoto_run3_MTE!Q497</f>
        <v>0</v>
      </c>
      <c r="N14" s="628">
        <f>Bilans_E_AMS_Kyoto_run3_MTE!R497</f>
        <v>0</v>
      </c>
      <c r="O14" s="432">
        <f>Bilans_E_AMS_Kyoto_run3_MTE!S497</f>
        <v>-20.664907066692336</v>
      </c>
      <c r="P14" s="422">
        <f>Bilans_E_AMS_Kyoto_run3_MTE!T497+Bilans_E_AMS_Kyoto_run3_MTE!U497</f>
        <v>0</v>
      </c>
      <c r="Q14" s="422">
        <f>Bilans_E_AMS_Kyoto_run3_MTE!V497</f>
        <v>0</v>
      </c>
      <c r="R14" s="432">
        <f>Bilans_E_AMS_Kyoto_run3_MTE!W497</f>
        <v>-64.652591069811592</v>
      </c>
      <c r="S14" s="422">
        <f>Bilans_E_AMS_Kyoto_run3_MTE!X497</f>
        <v>0</v>
      </c>
      <c r="T14" s="432">
        <f>Bilans_E_AMS_Kyoto_run3_MTE!Y497</f>
        <v>0</v>
      </c>
      <c r="U14" s="423">
        <f>Bilans_E_AMS_Kyoto_run3_MTE!Z497</f>
        <v>-85.317498136503929</v>
      </c>
      <c r="V14" s="701"/>
      <c r="W14" s="701"/>
    </row>
    <row r="15" spans="1:23" x14ac:dyDescent="0.25">
      <c r="A15" s="701" t="s">
        <v>490</v>
      </c>
      <c r="B15" s="701"/>
      <c r="C15" s="710" t="s">
        <v>62</v>
      </c>
      <c r="D15" s="421">
        <f>Bilans_E_AMS_Kyoto_run3_MTE!H498</f>
        <v>0</v>
      </c>
      <c r="E15" s="421">
        <f>Bilans_E_AMS_Kyoto_run3_MTE!I498</f>
        <v>0</v>
      </c>
      <c r="F15" s="421">
        <f>Bilans_E_AMS_Kyoto_run3_MTE!J498</f>
        <v>-2.6430279181443233</v>
      </c>
      <c r="G15" s="624">
        <f>Bilans_E_AMS_Kyoto_run3_MTE!K498</f>
        <v>-2.1194862177251581</v>
      </c>
      <c r="H15" s="421">
        <f>Bilans_E_AMS_Kyoto_run3_MTE!L498</f>
        <v>0</v>
      </c>
      <c r="I15" s="624">
        <f>Bilans_E_AMS_Kyoto_run3_MTE!M498</f>
        <v>-2.4085070655967704</v>
      </c>
      <c r="J15" s="421">
        <f>Bilans_E_AMS_Kyoto_run3_MTE!N498</f>
        <v>0</v>
      </c>
      <c r="K15" s="421">
        <f>Bilans_E_AMS_Kyoto_run3_MTE!O498</f>
        <v>0</v>
      </c>
      <c r="L15" s="421">
        <f>Bilans_E_AMS_Kyoto_run3_MTE!P498</f>
        <v>0</v>
      </c>
      <c r="M15" s="421">
        <f>Bilans_E_AMS_Kyoto_run3_MTE!Q498</f>
        <v>0</v>
      </c>
      <c r="N15" s="431">
        <f>Bilans_E_AMS_Kyoto_run3_MTE!R498</f>
        <v>0</v>
      </c>
      <c r="O15" s="431">
        <f>Bilans_E_AMS_Kyoto_run3_MTE!S498</f>
        <v>-1.4769404520417975</v>
      </c>
      <c r="P15" s="421">
        <f>Bilans_E_AMS_Kyoto_run3_MTE!T498+Bilans_E_AMS_Kyoto_run3_MTE!U498</f>
        <v>0</v>
      </c>
      <c r="Q15" s="421">
        <f>Bilans_E_AMS_Kyoto_run3_MTE!V498</f>
        <v>0</v>
      </c>
      <c r="R15" s="422">
        <f>Bilans_E_AMS_Kyoto_run3_MTE!W498</f>
        <v>0</v>
      </c>
      <c r="S15" s="422">
        <f>Bilans_E_AMS_Kyoto_run3_MTE!X498</f>
        <v>0</v>
      </c>
      <c r="T15" s="431">
        <f>Bilans_E_AMS_Kyoto_run3_MTE!Y498</f>
        <v>-0.99606248425254151</v>
      </c>
      <c r="U15" s="423">
        <f>Bilans_E_AMS_Kyoto_run3_MTE!Z498</f>
        <v>-9.6440241377605904</v>
      </c>
      <c r="V15" s="701"/>
      <c r="W15" s="701"/>
    </row>
    <row r="16" spans="1:23" x14ac:dyDescent="0.25">
      <c r="A16" s="701" t="s">
        <v>491</v>
      </c>
      <c r="B16" s="701"/>
      <c r="C16" s="710" t="s">
        <v>63</v>
      </c>
      <c r="D16" s="421">
        <f>Bilans_E_AMS_Kyoto_run3_MTE!H499</f>
        <v>0</v>
      </c>
      <c r="E16" s="421">
        <f>Bilans_E_AMS_Kyoto_run3_MTE!I499</f>
        <v>0</v>
      </c>
      <c r="F16" s="421">
        <f>Bilans_E_AMS_Kyoto_run3_MTE!J499</f>
        <v>-26.999999999999996</v>
      </c>
      <c r="G16" s="624">
        <f>Bilans_E_AMS_Kyoto_run3_MTE!K499</f>
        <v>-16</v>
      </c>
      <c r="H16" s="421">
        <f>Bilans_E_AMS_Kyoto_run3_MTE!L499</f>
        <v>0</v>
      </c>
      <c r="I16" s="624">
        <f>Bilans_E_AMS_Kyoto_run3_MTE!M499</f>
        <v>0</v>
      </c>
      <c r="J16" s="421">
        <f>Bilans_E_AMS_Kyoto_run3_MTE!N499</f>
        <v>0</v>
      </c>
      <c r="K16" s="421">
        <f>Bilans_E_AMS_Kyoto_run3_MTE!O499</f>
        <v>0</v>
      </c>
      <c r="L16" s="421">
        <f>Bilans_E_AMS_Kyoto_run3_MTE!P499</f>
        <v>0</v>
      </c>
      <c r="M16" s="421">
        <f>Bilans_E_AMS_Kyoto_run3_MTE!Q499</f>
        <v>0</v>
      </c>
      <c r="N16" s="431">
        <f>Bilans_E_AMS_Kyoto_run3_MTE!R499</f>
        <v>-16</v>
      </c>
      <c r="O16" s="431">
        <f>Bilans_E_AMS_Kyoto_run3_MTE!S499</f>
        <v>0</v>
      </c>
      <c r="P16" s="421">
        <f>Bilans_E_AMS_Kyoto_run3_MTE!T499+Bilans_E_AMS_Kyoto_run3_MTE!U499</f>
        <v>0</v>
      </c>
      <c r="Q16" s="421">
        <f>Bilans_E_AMS_Kyoto_run3_MTE!V499</f>
        <v>0</v>
      </c>
      <c r="R16" s="422">
        <f>Bilans_E_AMS_Kyoto_run3_MTE!W499</f>
        <v>0</v>
      </c>
      <c r="S16" s="422">
        <f>Bilans_E_AMS_Kyoto_run3_MTE!X499</f>
        <v>0</v>
      </c>
      <c r="T16" s="431">
        <f>Bilans_E_AMS_Kyoto_run3_MTE!Y499</f>
        <v>-5</v>
      </c>
      <c r="U16" s="423">
        <f>Bilans_E_AMS_Kyoto_run3_MTE!Z499</f>
        <v>-64</v>
      </c>
      <c r="V16" s="701"/>
      <c r="W16" s="701"/>
    </row>
    <row r="17" spans="1:23" x14ac:dyDescent="0.25">
      <c r="A17" s="701" t="s">
        <v>492</v>
      </c>
      <c r="B17" s="701"/>
      <c r="C17" s="710" t="s">
        <v>64</v>
      </c>
      <c r="D17" s="422">
        <f>Bilans_E_AMS_Kyoto_run3_MTE!H500</f>
        <v>0</v>
      </c>
      <c r="E17" s="422">
        <f>Bilans_E_AMS_Kyoto_run3_MTE!I500</f>
        <v>0</v>
      </c>
      <c r="F17" s="422">
        <f>Bilans_E_AMS_Kyoto_run3_MTE!J500</f>
        <v>0</v>
      </c>
      <c r="G17" s="611">
        <f>Bilans_E_AMS_Kyoto_run3_MTE!K500</f>
        <v>0</v>
      </c>
      <c r="H17" s="422">
        <f>Bilans_E_AMS_Kyoto_run3_MTE!L500</f>
        <v>0</v>
      </c>
      <c r="I17" s="611">
        <f>Bilans_E_AMS_Kyoto_run3_MTE!M500</f>
        <v>0</v>
      </c>
      <c r="J17" s="422">
        <f>Bilans_E_AMS_Kyoto_run3_MTE!N500</f>
        <v>0</v>
      </c>
      <c r="K17" s="422">
        <f>Bilans_E_AMS_Kyoto_run3_MTE!O500</f>
        <v>0</v>
      </c>
      <c r="L17" s="422">
        <f>Bilans_E_AMS_Kyoto_run3_MTE!P500</f>
        <v>0</v>
      </c>
      <c r="M17" s="422">
        <f>Bilans_E_AMS_Kyoto_run3_MTE!Q500</f>
        <v>0</v>
      </c>
      <c r="N17" s="422">
        <f>Bilans_E_AMS_Kyoto_run3_MTE!R500</f>
        <v>0</v>
      </c>
      <c r="O17" s="422">
        <f>Bilans_E_AMS_Kyoto_run3_MTE!S500</f>
        <v>0</v>
      </c>
      <c r="P17" s="422">
        <f>Bilans_E_AMS_Kyoto_run3_MTE!T500+Bilans_E_AMS_Kyoto_run3_MTE!U500</f>
        <v>0</v>
      </c>
      <c r="Q17" s="422">
        <f>Bilans_E_AMS_Kyoto_run3_MTE!V500</f>
        <v>0</v>
      </c>
      <c r="R17" s="422">
        <f>Bilans_E_AMS_Kyoto_run3_MTE!W500</f>
        <v>0</v>
      </c>
      <c r="S17" s="422">
        <f>Bilans_E_AMS_Kyoto_run3_MTE!X500</f>
        <v>0</v>
      </c>
      <c r="T17" s="422">
        <f>Bilans_E_AMS_Kyoto_run3_MTE!Y500</f>
        <v>0</v>
      </c>
      <c r="U17" s="423">
        <f>Bilans_E_AMS_Kyoto_run3_MTE!Z500</f>
        <v>0</v>
      </c>
      <c r="V17" s="701"/>
      <c r="W17" s="701"/>
    </row>
    <row r="18" spans="1:23" x14ac:dyDescent="0.25">
      <c r="A18" s="701" t="s">
        <v>493</v>
      </c>
      <c r="B18" s="701"/>
      <c r="C18" s="713" t="s">
        <v>65</v>
      </c>
      <c r="D18" s="510">
        <f>Bilans_E_AMS_Kyoto_run3_MTE!H501</f>
        <v>7.2040588378906256E-2</v>
      </c>
      <c r="E18" s="510">
        <f>Bilans_E_AMS_Kyoto_run3_MTE!I501</f>
        <v>143.57372262348443</v>
      </c>
      <c r="F18" s="510">
        <f>Bilans_E_AMS_Kyoto_run3_MTE!J501</f>
        <v>-4.6781896618893128</v>
      </c>
      <c r="G18" s="615">
        <f>Bilans_E_AMS_Kyoto_run3_MTE!K501</f>
        <v>-9.1293013539879198</v>
      </c>
      <c r="H18" s="510">
        <f>Bilans_E_AMS_Kyoto_run3_MTE!L501</f>
        <v>83.302522482755748</v>
      </c>
      <c r="I18" s="615">
        <f>Bilans_E_AMS_Kyoto_run3_MTE!M501</f>
        <v>-2.4085070655967704</v>
      </c>
      <c r="J18" s="425">
        <f>Bilans_E_AMS_Kyoto_run3_MTE!N501</f>
        <v>1021.1177956869142</v>
      </c>
      <c r="K18" s="425">
        <f>Bilans_E_AMS_Kyoto_run3_MTE!O501</f>
        <v>462.06687945929309</v>
      </c>
      <c r="L18" s="425">
        <f>Bilans_E_AMS_Kyoto_run3_MTE!P501</f>
        <v>388.96686213547946</v>
      </c>
      <c r="M18" s="510">
        <f>Bilans_E_AMS_Kyoto_run3_MTE!Q501</f>
        <v>45.488439305040814</v>
      </c>
      <c r="N18" s="425">
        <f>Bilans_E_AMS_Kyoto_run3_MTE!R501</f>
        <v>-12.310008373335982</v>
      </c>
      <c r="O18" s="425">
        <f>Bilans_E_AMS_Kyoto_run3_MTE!S501</f>
        <v>-22.141847518734135</v>
      </c>
      <c r="P18" s="425">
        <f>Bilans_E_AMS_Kyoto_run3_MTE!T501+Bilans_E_AMS_Kyoto_run3_MTE!U501</f>
        <v>241.4786584909825</v>
      </c>
      <c r="Q18" s="425">
        <f>Bilans_E_AMS_Kyoto_run3_MTE!V501</f>
        <v>44.619368166332919</v>
      </c>
      <c r="R18" s="425">
        <f>Bilans_E_AMS_Kyoto_run3_MTE!W501</f>
        <v>-64.652591069811592</v>
      </c>
      <c r="S18" s="425">
        <f>Bilans_E_AMS_Kyoto_run3_MTE!X501</f>
        <v>0</v>
      </c>
      <c r="T18" s="425">
        <f>Bilans_E_AMS_Kyoto_run3_MTE!Y501</f>
        <v>-5.9960624842525414</v>
      </c>
      <c r="U18" s="425">
        <f>Bilans_E_AMS_Kyoto_run3_MTE!Z501</f>
        <v>2309.3697814110537</v>
      </c>
      <c r="V18" s="701"/>
      <c r="W18" s="701"/>
    </row>
    <row r="19" spans="1:23" x14ac:dyDescent="0.25">
      <c r="A19" s="701"/>
      <c r="B19" s="701"/>
      <c r="C19" s="715"/>
      <c r="D19" s="427"/>
      <c r="E19" s="492"/>
      <c r="F19" s="492"/>
      <c r="G19" s="617"/>
      <c r="H19" s="492"/>
      <c r="I19" s="617"/>
      <c r="J19" s="427"/>
      <c r="K19" s="427"/>
      <c r="L19" s="427"/>
      <c r="M19" s="492"/>
      <c r="N19" s="427"/>
      <c r="O19" s="427"/>
      <c r="P19" s="427">
        <f>Bilans_E_AMS_Kyoto_run3_MTE!T502+Bilans_E_AMS_Kyoto_run3_MTE!U502</f>
        <v>0</v>
      </c>
      <c r="Q19" s="427"/>
      <c r="R19" s="492"/>
      <c r="S19" s="492"/>
      <c r="T19" s="427"/>
      <c r="U19" s="427"/>
      <c r="V19" s="701"/>
      <c r="W19" s="701"/>
    </row>
    <row r="20" spans="1:23" x14ac:dyDescent="0.25">
      <c r="A20" s="701" t="s">
        <v>494</v>
      </c>
      <c r="B20" s="701"/>
      <c r="C20" s="717" t="s">
        <v>67</v>
      </c>
      <c r="D20" s="421">
        <f>Bilans_E_AMS_Kyoto_run3_MTE!H503</f>
        <v>0</v>
      </c>
      <c r="E20" s="431">
        <f>Bilans_E_AMS_Kyoto_run3_MTE!I503</f>
        <v>0</v>
      </c>
      <c r="F20" s="431">
        <f>Bilans_E_AMS_Kyoto_run3_MTE!J503</f>
        <v>0</v>
      </c>
      <c r="G20" s="611">
        <f>Bilans_E_AMS_Kyoto_run3_MTE!K503</f>
        <v>0</v>
      </c>
      <c r="H20" s="431">
        <f>Bilans_E_AMS_Kyoto_run3_MTE!L503</f>
        <v>0</v>
      </c>
      <c r="I20" s="611">
        <f>Bilans_E_AMS_Kyoto_run3_MTE!M503</f>
        <v>0</v>
      </c>
      <c r="J20" s="421">
        <f>Bilans_E_AMS_Kyoto_run3_MTE!N503</f>
        <v>0</v>
      </c>
      <c r="K20" s="421">
        <f>Bilans_E_AMS_Kyoto_run3_MTE!O503</f>
        <v>0</v>
      </c>
      <c r="L20" s="421">
        <f>Bilans_E_AMS_Kyoto_run3_MTE!P503</f>
        <v>0</v>
      </c>
      <c r="M20" s="431">
        <f>Bilans_E_AMS_Kyoto_run3_MTE!Q503</f>
        <v>0</v>
      </c>
      <c r="N20" s="421">
        <f>Bilans_E_AMS_Kyoto_run3_MTE!R503</f>
        <v>0</v>
      </c>
      <c r="O20" s="421">
        <f>Bilans_E_AMS_Kyoto_run3_MTE!S503</f>
        <v>0</v>
      </c>
      <c r="P20" s="421">
        <f>Bilans_E_AMS_Kyoto_run3_MTE!T503+Bilans_E_AMS_Kyoto_run3_MTE!U503</f>
        <v>0</v>
      </c>
      <c r="Q20" s="421">
        <f>Bilans_E_AMS_Kyoto_run3_MTE!V503</f>
        <v>0</v>
      </c>
      <c r="R20" s="431">
        <f>Bilans_E_AMS_Kyoto_run3_MTE!W503</f>
        <v>0</v>
      </c>
      <c r="S20" s="431">
        <f>Bilans_E_AMS_Kyoto_run3_MTE!X503</f>
        <v>0</v>
      </c>
      <c r="T20" s="422">
        <f>Bilans_E_AMS_Kyoto_run3_MTE!Y503</f>
        <v>0</v>
      </c>
      <c r="U20" s="423">
        <f>Bilans_E_AMS_Kyoto_run3_MTE!Z503</f>
        <v>0</v>
      </c>
      <c r="V20" s="701"/>
      <c r="W20" s="701"/>
    </row>
    <row r="21" spans="1:23" x14ac:dyDescent="0.25">
      <c r="A21" s="701" t="s">
        <v>495</v>
      </c>
      <c r="B21" s="701"/>
      <c r="C21" s="717" t="s">
        <v>347</v>
      </c>
      <c r="D21" s="431">
        <f>Bilans_E_AMS_Kyoto_run3_MTE!H504</f>
        <v>0</v>
      </c>
      <c r="E21" s="421">
        <f>Bilans_E_AMS_Kyoto_run3_MTE!I504</f>
        <v>0</v>
      </c>
      <c r="F21" s="431">
        <f>Bilans_E_AMS_Kyoto_run3_MTE!J504</f>
        <v>0</v>
      </c>
      <c r="G21" s="611">
        <f>Bilans_E_AMS_Kyoto_run3_MTE!K504</f>
        <v>0</v>
      </c>
      <c r="H21" s="431">
        <f>Bilans_E_AMS_Kyoto_run3_MTE!L504</f>
        <v>2.2309947234042489E-3</v>
      </c>
      <c r="I21" s="611">
        <f>Bilans_E_AMS_Kyoto_run3_MTE!M504</f>
        <v>0</v>
      </c>
      <c r="J21" s="431">
        <f>Bilans_E_AMS_Kyoto_run3_MTE!N504</f>
        <v>1014.6070909090909</v>
      </c>
      <c r="K21" s="431">
        <f>Bilans_E_AMS_Kyoto_run3_MTE!O504</f>
        <v>462.06687945929309</v>
      </c>
      <c r="L21" s="431">
        <f>Bilans_E_AMS_Kyoto_run3_MTE!P504</f>
        <v>17.968425297338086</v>
      </c>
      <c r="M21" s="431">
        <f>Bilans_E_AMS_Kyoto_run3_MTE!Q504</f>
        <v>5.3124785537967538</v>
      </c>
      <c r="N21" s="625">
        <f>Bilans_E_AMS_Kyoto_run3_MTE!R504</f>
        <v>6.3451610040287907</v>
      </c>
      <c r="O21" s="431">
        <f>Bilans_E_AMS_Kyoto_run3_MTE!S504</f>
        <v>0.11597760068741178</v>
      </c>
      <c r="P21" s="421">
        <f>Bilans_E_AMS_Kyoto_run3_MTE!T504+Bilans_E_AMS_Kyoto_run3_MTE!U504</f>
        <v>0</v>
      </c>
      <c r="Q21" s="625">
        <f>Bilans_E_AMS_Kyoto_run3_MTE!V504</f>
        <v>6.4766550958451852</v>
      </c>
      <c r="R21" s="421">
        <f>Bilans_E_AMS_Kyoto_run3_MTE!W504</f>
        <v>-813.99806516168439</v>
      </c>
      <c r="S21" s="421">
        <f>Bilans_E_AMS_Kyoto_run3_MTE!X504</f>
        <v>0</v>
      </c>
      <c r="T21" s="432">
        <f>Bilans_E_AMS_Kyoto_run3_MTE!Y504</f>
        <v>0</v>
      </c>
      <c r="U21" s="491">
        <f>Bilans_E_AMS_Kyoto_run3_MTE!Z504</f>
        <v>698.89683375311927</v>
      </c>
      <c r="V21" s="701"/>
      <c r="W21" s="701"/>
    </row>
    <row r="22" spans="1:23" x14ac:dyDescent="0.25">
      <c r="A22" s="701" t="s">
        <v>496</v>
      </c>
      <c r="B22" s="701"/>
      <c r="C22" s="717" t="s">
        <v>348</v>
      </c>
      <c r="D22" s="431">
        <f>Bilans_E_AMS_Kyoto_run3_MTE!H505</f>
        <v>0</v>
      </c>
      <c r="E22" s="421">
        <f>Bilans_E_AMS_Kyoto_run3_MTE!I505</f>
        <v>0</v>
      </c>
      <c r="F22" s="431">
        <f>Bilans_E_AMS_Kyoto_run3_MTE!J505</f>
        <v>0</v>
      </c>
      <c r="G22" s="611">
        <f>Bilans_E_AMS_Kyoto_run3_MTE!K505</f>
        <v>0</v>
      </c>
      <c r="H22" s="431">
        <f>Bilans_E_AMS_Kyoto_run3_MTE!L505</f>
        <v>10.095185583157674</v>
      </c>
      <c r="I22" s="718">
        <f>Bilans_E_AMS_Kyoto_run3_MTE!M505</f>
        <v>0.18354882878468498</v>
      </c>
      <c r="J22" s="718">
        <f>Bilans_E_AMS_Kyoto_run3_MTE!N505</f>
        <v>6.5107047778232934</v>
      </c>
      <c r="K22" s="421">
        <f>Bilans_E_AMS_Kyoto_run3_MTE!O505</f>
        <v>0</v>
      </c>
      <c r="L22" s="431">
        <f>Bilans_E_AMS_Kyoto_run3_MTE!P505</f>
        <v>23.787457206103085</v>
      </c>
      <c r="M22" s="431">
        <f>Bilans_E_AMS_Kyoto_run3_MTE!Q505</f>
        <v>12.007971884882547</v>
      </c>
      <c r="N22" s="421">
        <f>Bilans_E_AMS_Kyoto_run3_MTE!R505</f>
        <v>0</v>
      </c>
      <c r="O22" s="431">
        <f>Bilans_E_AMS_Kyoto_run3_MTE!S505</f>
        <v>8.0912599085817618</v>
      </c>
      <c r="P22" s="718">
        <f>Bilans_E_AMS_Kyoto_run3_MTE!T505+Bilans_E_AMS_Kyoto_run3_MTE!U505</f>
        <v>19.703135322463453</v>
      </c>
      <c r="Q22" s="431">
        <f>Bilans_E_AMS_Kyoto_run3_MTE!V505</f>
        <v>12.221648755322821</v>
      </c>
      <c r="R22" s="421">
        <f>Bilans_E_AMS_Kyoto_run3_MTE!W505</f>
        <v>0</v>
      </c>
      <c r="S22" s="421">
        <f>Bilans_E_AMS_Kyoto_run3_MTE!X505</f>
        <v>-86.369990218724851</v>
      </c>
      <c r="T22" s="432">
        <f>Bilans_E_AMS_Kyoto_run3_MTE!Y505</f>
        <v>0</v>
      </c>
      <c r="U22" s="491">
        <f>Bilans_E_AMS_Kyoto_run3_MTE!Z505</f>
        <v>6.2309220483944614</v>
      </c>
      <c r="V22" s="701"/>
      <c r="W22" s="701"/>
    </row>
    <row r="23" spans="1:23" x14ac:dyDescent="0.25">
      <c r="A23" s="701" t="s">
        <v>497</v>
      </c>
      <c r="B23" s="701"/>
      <c r="C23" s="717" t="s">
        <v>349</v>
      </c>
      <c r="D23" s="421">
        <f>Bilans_E_AMS_Kyoto_run3_MTE!H506</f>
        <v>0</v>
      </c>
      <c r="E23" s="421">
        <f>Bilans_E_AMS_Kyoto_run3_MTE!I506</f>
        <v>0</v>
      </c>
      <c r="F23" s="421">
        <f>Bilans_E_AMS_Kyoto_run3_MTE!J506</f>
        <v>0</v>
      </c>
      <c r="G23" s="611">
        <f>Bilans_E_AMS_Kyoto_run3_MTE!K506</f>
        <v>0</v>
      </c>
      <c r="H23" s="421">
        <f>Bilans_E_AMS_Kyoto_run3_MTE!L506</f>
        <v>0</v>
      </c>
      <c r="I23" s="611">
        <f>Bilans_E_AMS_Kyoto_run3_MTE!M506</f>
        <v>0</v>
      </c>
      <c r="J23" s="421">
        <f>Bilans_E_AMS_Kyoto_run3_MTE!N506</f>
        <v>0</v>
      </c>
      <c r="K23" s="421">
        <f>Bilans_E_AMS_Kyoto_run3_MTE!O506</f>
        <v>0</v>
      </c>
      <c r="L23" s="431">
        <f>Bilans_E_AMS_Kyoto_run3_MTE!P506</f>
        <v>149.36314864907311</v>
      </c>
      <c r="M23" s="718">
        <f>Bilans_E_AMS_Kyoto_run3_MTE!Q506</f>
        <v>12.851297568088029</v>
      </c>
      <c r="N23" s="421">
        <f>Bilans_E_AMS_Kyoto_run3_MTE!R506</f>
        <v>0</v>
      </c>
      <c r="O23" s="421">
        <f>Bilans_E_AMS_Kyoto_run3_MTE!S506</f>
        <v>-81.192550335578574</v>
      </c>
      <c r="P23" s="421">
        <f>Bilans_E_AMS_Kyoto_run3_MTE!T506+Bilans_E_AMS_Kyoto_run3_MTE!U506</f>
        <v>0</v>
      </c>
      <c r="Q23" s="421">
        <f>Bilans_E_AMS_Kyoto_run3_MTE!V506</f>
        <v>0</v>
      </c>
      <c r="R23" s="421">
        <f>Bilans_E_AMS_Kyoto_run3_MTE!W506</f>
        <v>0</v>
      </c>
      <c r="S23" s="421">
        <f>Bilans_E_AMS_Kyoto_run3_MTE!X506</f>
        <v>0</v>
      </c>
      <c r="T23" s="422">
        <f>Bilans_E_AMS_Kyoto_run3_MTE!Y506</f>
        <v>0</v>
      </c>
      <c r="U23" s="491">
        <f>Bilans_E_AMS_Kyoto_run3_MTE!Z506</f>
        <v>81.021895881582566</v>
      </c>
      <c r="V23" s="701"/>
      <c r="W23" s="701"/>
    </row>
    <row r="24" spans="1:23" x14ac:dyDescent="0.25">
      <c r="A24" s="701" t="s">
        <v>498</v>
      </c>
      <c r="B24" s="701"/>
      <c r="C24" s="717" t="s">
        <v>350</v>
      </c>
      <c r="D24" s="421">
        <f>Bilans_E_AMS_Kyoto_run3_MTE!H507</f>
        <v>0</v>
      </c>
      <c r="E24" s="421">
        <f>Bilans_E_AMS_Kyoto_run3_MTE!I507</f>
        <v>0</v>
      </c>
      <c r="F24" s="421">
        <f>Bilans_E_AMS_Kyoto_run3_MTE!J507</f>
        <v>0</v>
      </c>
      <c r="G24" s="611">
        <f>Bilans_E_AMS_Kyoto_run3_MTE!K507</f>
        <v>0</v>
      </c>
      <c r="H24" s="421">
        <f>Bilans_E_AMS_Kyoto_run3_MTE!L507</f>
        <v>0</v>
      </c>
      <c r="I24" s="611">
        <f>Bilans_E_AMS_Kyoto_run3_MTE!M507</f>
        <v>-3.7466899829342335</v>
      </c>
      <c r="J24" s="421">
        <f>Bilans_E_AMS_Kyoto_run3_MTE!N507</f>
        <v>0</v>
      </c>
      <c r="K24" s="421">
        <f>Bilans_E_AMS_Kyoto_run3_MTE!O507</f>
        <v>0</v>
      </c>
      <c r="L24" s="421">
        <f>Bilans_E_AMS_Kyoto_run3_MTE!P507</f>
        <v>0</v>
      </c>
      <c r="M24" s="421">
        <f>Bilans_E_AMS_Kyoto_run3_MTE!Q507</f>
        <v>0</v>
      </c>
      <c r="N24" s="421">
        <f>Bilans_E_AMS_Kyoto_run3_MTE!R507</f>
        <v>0</v>
      </c>
      <c r="O24" s="421">
        <f>Bilans_E_AMS_Kyoto_run3_MTE!S507</f>
        <v>0</v>
      </c>
      <c r="P24" s="421">
        <f>Bilans_E_AMS_Kyoto_run3_MTE!T507+Bilans_E_AMS_Kyoto_run3_MTE!U507</f>
        <v>0</v>
      </c>
      <c r="Q24" s="421">
        <f>Bilans_E_AMS_Kyoto_run3_MTE!V507</f>
        <v>0</v>
      </c>
      <c r="R24" s="421">
        <f>Bilans_E_AMS_Kyoto_run3_MTE!W507</f>
        <v>0</v>
      </c>
      <c r="S24" s="421">
        <f>Bilans_E_AMS_Kyoto_run3_MTE!X507</f>
        <v>0</v>
      </c>
      <c r="T24" s="628">
        <f>Bilans_E_AMS_Kyoto_run3_MTE!Y507</f>
        <v>5.1930977473126321</v>
      </c>
      <c r="U24" s="629">
        <f>Bilans_E_AMS_Kyoto_run3_MTE!Z507</f>
        <v>1.4464077643783986</v>
      </c>
      <c r="V24" s="701"/>
      <c r="W24" s="701"/>
    </row>
    <row r="25" spans="1:23" x14ac:dyDescent="0.25">
      <c r="A25" s="701" t="s">
        <v>499</v>
      </c>
      <c r="B25" s="701"/>
      <c r="C25" s="717" t="s">
        <v>72</v>
      </c>
      <c r="D25" s="421">
        <f>Bilans_E_AMS_Kyoto_run3_MTE!H508</f>
        <v>0</v>
      </c>
      <c r="E25" s="431">
        <f>Bilans_E_AMS_Kyoto_run3_MTE!I508</f>
        <v>148.77345828425325</v>
      </c>
      <c r="F25" s="421">
        <f>Bilans_E_AMS_Kyoto_run3_MTE!J508</f>
        <v>-147.28572370141072</v>
      </c>
      <c r="G25" s="611">
        <f>Bilans_E_AMS_Kyoto_run3_MTE!K508</f>
        <v>0</v>
      </c>
      <c r="H25" s="431">
        <f>Bilans_E_AMS_Kyoto_run3_MTE!L508</f>
        <v>0</v>
      </c>
      <c r="I25" s="611">
        <f>Bilans_E_AMS_Kyoto_run3_MTE!M508</f>
        <v>0</v>
      </c>
      <c r="J25" s="421">
        <f>Bilans_E_AMS_Kyoto_run3_MTE!N508</f>
        <v>0</v>
      </c>
      <c r="K25" s="421">
        <f>Bilans_E_AMS_Kyoto_run3_MTE!O508</f>
        <v>0</v>
      </c>
      <c r="L25" s="421">
        <f>Bilans_E_AMS_Kyoto_run3_MTE!P508</f>
        <v>0</v>
      </c>
      <c r="M25" s="421">
        <f>Bilans_E_AMS_Kyoto_run3_MTE!Q508</f>
        <v>0</v>
      </c>
      <c r="N25" s="421">
        <f>Bilans_E_AMS_Kyoto_run3_MTE!R508</f>
        <v>0</v>
      </c>
      <c r="O25" s="421">
        <f>Bilans_E_AMS_Kyoto_run3_MTE!S508</f>
        <v>0</v>
      </c>
      <c r="P25" s="421">
        <f>Bilans_E_AMS_Kyoto_run3_MTE!T508+Bilans_E_AMS_Kyoto_run3_MTE!U508</f>
        <v>0</v>
      </c>
      <c r="Q25" s="421">
        <f>Bilans_E_AMS_Kyoto_run3_MTE!V508</f>
        <v>0</v>
      </c>
      <c r="R25" s="421">
        <f>Bilans_E_AMS_Kyoto_run3_MTE!W508</f>
        <v>0</v>
      </c>
      <c r="S25" s="421">
        <f>Bilans_E_AMS_Kyoto_run3_MTE!X508</f>
        <v>0</v>
      </c>
      <c r="T25" s="422">
        <f>Bilans_E_AMS_Kyoto_run3_MTE!Y508</f>
        <v>0</v>
      </c>
      <c r="U25" s="491">
        <f>Bilans_E_AMS_Kyoto_run3_MTE!Z508</f>
        <v>1.4877345828425348</v>
      </c>
      <c r="V25" s="701"/>
      <c r="W25" s="701"/>
    </row>
    <row r="26" spans="1:23" x14ac:dyDescent="0.25">
      <c r="A26" s="701" t="s">
        <v>500</v>
      </c>
      <c r="B26" s="701"/>
      <c r="C26" s="717" t="s">
        <v>351</v>
      </c>
      <c r="D26" s="421">
        <f>Bilans_E_AMS_Kyoto_run3_MTE!H509</f>
        <v>0</v>
      </c>
      <c r="E26" s="421">
        <f>Bilans_E_AMS_Kyoto_run3_MTE!I509</f>
        <v>0</v>
      </c>
      <c r="F26" s="421">
        <f>Bilans_E_AMS_Kyoto_run3_MTE!J509</f>
        <v>0</v>
      </c>
      <c r="G26" s="611">
        <f>Bilans_E_AMS_Kyoto_run3_MTE!K509</f>
        <v>0</v>
      </c>
      <c r="H26" s="421">
        <f>Bilans_E_AMS_Kyoto_run3_MTE!L509</f>
        <v>0</v>
      </c>
      <c r="I26" s="611">
        <f>Bilans_E_AMS_Kyoto_run3_MTE!M509</f>
        <v>0</v>
      </c>
      <c r="J26" s="421">
        <f>Bilans_E_AMS_Kyoto_run3_MTE!N509</f>
        <v>0</v>
      </c>
      <c r="K26" s="421">
        <f>Bilans_E_AMS_Kyoto_run3_MTE!O509</f>
        <v>0</v>
      </c>
      <c r="L26" s="625">
        <f>Bilans_E_AMS_Kyoto_run3_MTE!P509</f>
        <v>102.29704163456771</v>
      </c>
      <c r="M26" s="718">
        <f>Bilans_E_AMS_Kyoto_run3_MTE!Q509</f>
        <v>7.2727272727272725</v>
      </c>
      <c r="N26" s="421">
        <f>Bilans_E_AMS_Kyoto_run3_MTE!R509</f>
        <v>-61.183830654875514</v>
      </c>
      <c r="O26" s="421">
        <f>Bilans_E_AMS_Kyoto_run3_MTE!S509</f>
        <v>0</v>
      </c>
      <c r="P26" s="421">
        <f>Bilans_E_AMS_Kyoto_run3_MTE!T509+Bilans_E_AMS_Kyoto_run3_MTE!U509</f>
        <v>0</v>
      </c>
      <c r="Q26" s="421">
        <f>Bilans_E_AMS_Kyoto_run3_MTE!V509</f>
        <v>0</v>
      </c>
      <c r="R26" s="421">
        <f>Bilans_E_AMS_Kyoto_run3_MTE!W509</f>
        <v>0</v>
      </c>
      <c r="S26" s="421">
        <f>Bilans_E_AMS_Kyoto_run3_MTE!X509</f>
        <v>0</v>
      </c>
      <c r="T26" s="422">
        <f>Bilans_E_AMS_Kyoto_run3_MTE!Y509</f>
        <v>0</v>
      </c>
      <c r="U26" s="683">
        <f>Bilans_E_AMS_Kyoto_run3_MTE!Z509</f>
        <v>48.385938252419457</v>
      </c>
      <c r="V26" s="701"/>
      <c r="W26" s="701"/>
    </row>
    <row r="27" spans="1:23" x14ac:dyDescent="0.25">
      <c r="A27" s="701" t="s">
        <v>501</v>
      </c>
      <c r="B27" s="701"/>
      <c r="C27" s="717" t="s">
        <v>352</v>
      </c>
      <c r="D27" s="421">
        <f>Bilans_E_AMS_Kyoto_run3_MTE!H510</f>
        <v>0</v>
      </c>
      <c r="E27" s="421">
        <f>Bilans_E_AMS_Kyoto_run3_MTE!I510</f>
        <v>0</v>
      </c>
      <c r="F27" s="421">
        <f>Bilans_E_AMS_Kyoto_run3_MTE!J510</f>
        <v>0</v>
      </c>
      <c r="G27" s="611">
        <f>Bilans_E_AMS_Kyoto_run3_MTE!K510</f>
        <v>-14.619486217725157</v>
      </c>
      <c r="H27" s="421">
        <f>Bilans_E_AMS_Kyoto_run3_MTE!L510</f>
        <v>0</v>
      </c>
      <c r="I27" s="611">
        <f>Bilans_E_AMS_Kyoto_run3_MTE!M510</f>
        <v>0</v>
      </c>
      <c r="J27" s="421">
        <f>Bilans_E_AMS_Kyoto_run3_MTE!N510</f>
        <v>0</v>
      </c>
      <c r="K27" s="421">
        <f>Bilans_E_AMS_Kyoto_run3_MTE!O510</f>
        <v>0</v>
      </c>
      <c r="L27" s="421">
        <f>Bilans_E_AMS_Kyoto_run3_MTE!P510</f>
        <v>0</v>
      </c>
      <c r="M27" s="421">
        <f>Bilans_E_AMS_Kyoto_run3_MTE!Q510</f>
        <v>0</v>
      </c>
      <c r="N27" s="421">
        <f>Bilans_E_AMS_Kyoto_run3_MTE!R510</f>
        <v>0</v>
      </c>
      <c r="O27" s="421">
        <f>Bilans_E_AMS_Kyoto_run3_MTE!S510</f>
        <v>0</v>
      </c>
      <c r="P27" s="421">
        <f>Bilans_E_AMS_Kyoto_run3_MTE!T510+Bilans_E_AMS_Kyoto_run3_MTE!U510</f>
        <v>0</v>
      </c>
      <c r="Q27" s="421">
        <f>Bilans_E_AMS_Kyoto_run3_MTE!V510</f>
        <v>0</v>
      </c>
      <c r="R27" s="421">
        <f>Bilans_E_AMS_Kyoto_run3_MTE!W510</f>
        <v>0</v>
      </c>
      <c r="S27" s="421">
        <f>Bilans_E_AMS_Kyoto_run3_MTE!X510</f>
        <v>0</v>
      </c>
      <c r="T27" s="627">
        <f>Bilans_E_AMS_Kyoto_run3_MTE!Y510</f>
        <v>24.331434839497675</v>
      </c>
      <c r="U27" s="629">
        <f>Bilans_E_AMS_Kyoto_run3_MTE!Z510</f>
        <v>9.7119486217725175</v>
      </c>
      <c r="V27" s="701"/>
      <c r="W27" s="701"/>
    </row>
    <row r="28" spans="1:23" x14ac:dyDescent="0.25">
      <c r="A28" s="701" t="s">
        <v>502</v>
      </c>
      <c r="B28" s="701"/>
      <c r="C28" s="717" t="s">
        <v>73</v>
      </c>
      <c r="D28" s="421">
        <f>Bilans_E_AMS_Kyoto_run3_MTE!H511</f>
        <v>0</v>
      </c>
      <c r="E28" s="421">
        <f>Bilans_E_AMS_Kyoto_run3_MTE!I511</f>
        <v>0</v>
      </c>
      <c r="F28" s="421">
        <f>Bilans_E_AMS_Kyoto_run3_MTE!J511</f>
        <v>0</v>
      </c>
      <c r="G28" s="611">
        <f>Bilans_E_AMS_Kyoto_run3_MTE!K511</f>
        <v>0</v>
      </c>
      <c r="H28" s="431">
        <f>Bilans_E_AMS_Kyoto_run3_MTE!L511</f>
        <v>0</v>
      </c>
      <c r="I28" s="611">
        <f>Bilans_E_AMS_Kyoto_run3_MTE!M511</f>
        <v>0</v>
      </c>
      <c r="J28" s="421">
        <f>Bilans_E_AMS_Kyoto_run3_MTE!N511</f>
        <v>0</v>
      </c>
      <c r="K28" s="421">
        <f>Bilans_E_AMS_Kyoto_run3_MTE!O511</f>
        <v>0</v>
      </c>
      <c r="L28" s="421">
        <f>Bilans_E_AMS_Kyoto_run3_MTE!P511</f>
        <v>0</v>
      </c>
      <c r="M28" s="431">
        <f>Bilans_E_AMS_Kyoto_run3_MTE!Q511</f>
        <v>0</v>
      </c>
      <c r="N28" s="421">
        <f>Bilans_E_AMS_Kyoto_run3_MTE!R511</f>
        <v>0</v>
      </c>
      <c r="O28" s="431">
        <f>Bilans_E_AMS_Kyoto_run3_MTE!S511</f>
        <v>0</v>
      </c>
      <c r="P28" s="421">
        <f>Bilans_E_AMS_Kyoto_run3_MTE!T511+Bilans_E_AMS_Kyoto_run3_MTE!U511</f>
        <v>0</v>
      </c>
      <c r="Q28" s="421">
        <f>Bilans_E_AMS_Kyoto_run3_MTE!V511</f>
        <v>0</v>
      </c>
      <c r="R28" s="431">
        <f>Bilans_E_AMS_Kyoto_run3_MTE!W511</f>
        <v>88.6114421596901</v>
      </c>
      <c r="S28" s="421">
        <f>Bilans_E_AMS_Kyoto_run3_MTE!X511</f>
        <v>0</v>
      </c>
      <c r="T28" s="509">
        <f>Bilans_E_AMS_Kyoto_run3_MTE!Y511</f>
        <v>-62.249538117182297</v>
      </c>
      <c r="U28" s="491">
        <f>Bilans_E_AMS_Kyoto_run3_MTE!Z511</f>
        <v>26.361904042507803</v>
      </c>
      <c r="V28" s="701"/>
      <c r="W28" s="701"/>
    </row>
    <row r="29" spans="1:23" x14ac:dyDescent="0.25">
      <c r="A29" s="701" t="s">
        <v>503</v>
      </c>
      <c r="B29" s="701"/>
      <c r="C29" s="717" t="s">
        <v>353</v>
      </c>
      <c r="D29" s="431">
        <f>Bilans_E_AMS_Kyoto_run3_MTE!H512</f>
        <v>0</v>
      </c>
      <c r="E29" s="431">
        <f>Bilans_E_AMS_Kyoto_run3_MTE!I512</f>
        <v>-5.1997356607688232</v>
      </c>
      <c r="F29" s="431">
        <f>Bilans_E_AMS_Kyoto_run3_MTE!J512</f>
        <v>6.948298230027091</v>
      </c>
      <c r="G29" s="611">
        <f>Bilans_E_AMS_Kyoto_run3_MTE!K512</f>
        <v>0</v>
      </c>
      <c r="H29" s="431">
        <f>Bilans_E_AMS_Kyoto_run3_MTE!L512</f>
        <v>0</v>
      </c>
      <c r="I29" s="611">
        <f>Bilans_E_AMS_Kyoto_run3_MTE!M512</f>
        <v>0</v>
      </c>
      <c r="J29" s="421">
        <f>Bilans_E_AMS_Kyoto_run3_MTE!N512</f>
        <v>0</v>
      </c>
      <c r="K29" s="421">
        <f>Bilans_E_AMS_Kyoto_run3_MTE!O512</f>
        <v>0</v>
      </c>
      <c r="L29" s="421">
        <f>Bilans_E_AMS_Kyoto_run3_MTE!P512</f>
        <v>0</v>
      </c>
      <c r="M29" s="421">
        <f>Bilans_E_AMS_Kyoto_run3_MTE!Q512</f>
        <v>0</v>
      </c>
      <c r="N29" s="431">
        <f>Bilans_E_AMS_Kyoto_run3_MTE!R512</f>
        <v>0</v>
      </c>
      <c r="O29" s="431">
        <f>Bilans_E_AMS_Kyoto_run3_MTE!S512</f>
        <v>0</v>
      </c>
      <c r="P29" s="421">
        <f>Bilans_E_AMS_Kyoto_run3_MTE!T512+Bilans_E_AMS_Kyoto_run3_MTE!U512</f>
        <v>0</v>
      </c>
      <c r="Q29" s="421">
        <f>Bilans_E_AMS_Kyoto_run3_MTE!V512</f>
        <v>0</v>
      </c>
      <c r="R29" s="421">
        <f>Bilans_E_AMS_Kyoto_run3_MTE!W512</f>
        <v>0</v>
      </c>
      <c r="S29" s="421">
        <f>Bilans_E_AMS_Kyoto_run3_MTE!X512</f>
        <v>0</v>
      </c>
      <c r="T29" s="422">
        <f>Bilans_E_AMS_Kyoto_run3_MTE!Y512</f>
        <v>0</v>
      </c>
      <c r="U29" s="423">
        <f>Bilans_E_AMS_Kyoto_run3_MTE!Z512</f>
        <v>1.7485625692582678</v>
      </c>
      <c r="V29" s="701"/>
      <c r="W29" s="701"/>
    </row>
    <row r="30" spans="1:23" x14ac:dyDescent="0.25">
      <c r="A30" s="701" t="s">
        <v>504</v>
      </c>
      <c r="B30" s="701"/>
      <c r="C30" s="717" t="s">
        <v>75</v>
      </c>
      <c r="D30" s="431">
        <f>Bilans_E_AMS_Kyoto_run3_MTE!H513</f>
        <v>0</v>
      </c>
      <c r="E30" s="421">
        <f>Bilans_E_AMS_Kyoto_run3_MTE!I513</f>
        <v>0</v>
      </c>
      <c r="F30" s="431">
        <f>Bilans_E_AMS_Kyoto_run3_MTE!J513</f>
        <v>5.2004760110645112</v>
      </c>
      <c r="G30" s="611">
        <f>Bilans_E_AMS_Kyoto_run3_MTE!K513</f>
        <v>0</v>
      </c>
      <c r="H30" s="431">
        <f>Bilans_E_AMS_Kyoto_run3_MTE!L513</f>
        <v>0</v>
      </c>
      <c r="I30" s="624">
        <f>Bilans_E_AMS_Kyoto_run3_MTE!M513</f>
        <v>0</v>
      </c>
      <c r="J30" s="421">
        <f>Bilans_E_AMS_Kyoto_run3_MTE!N513</f>
        <v>0</v>
      </c>
      <c r="K30" s="421">
        <f>Bilans_E_AMS_Kyoto_run3_MTE!O513</f>
        <v>0</v>
      </c>
      <c r="L30" s="421">
        <f>Bilans_E_AMS_Kyoto_run3_MTE!P513</f>
        <v>0</v>
      </c>
      <c r="M30" s="421">
        <f>Bilans_E_AMS_Kyoto_run3_MTE!Q513</f>
        <v>0</v>
      </c>
      <c r="N30" s="421">
        <f>Bilans_E_AMS_Kyoto_run3_MTE!R513</f>
        <v>0</v>
      </c>
      <c r="O30" s="431">
        <f>Bilans_E_AMS_Kyoto_run3_MTE!S513</f>
        <v>0</v>
      </c>
      <c r="P30" s="421">
        <f>Bilans_E_AMS_Kyoto_run3_MTE!T513+Bilans_E_AMS_Kyoto_run3_MTE!U513</f>
        <v>0</v>
      </c>
      <c r="Q30" s="421">
        <f>Bilans_E_AMS_Kyoto_run3_MTE!V513</f>
        <v>0</v>
      </c>
      <c r="R30" s="431">
        <f>Bilans_E_AMS_Kyoto_run3_MTE!W513</f>
        <v>38.430337038531441</v>
      </c>
      <c r="S30" s="421">
        <f>Bilans_E_AMS_Kyoto_run3_MTE!X513</f>
        <v>0</v>
      </c>
      <c r="T30" s="718">
        <f>Bilans_E_AMS_Kyoto_run3_MTE!Y513</f>
        <v>1.4650612498705113</v>
      </c>
      <c r="U30" s="423">
        <f>Bilans_E_AMS_Kyoto_run3_MTE!Z513</f>
        <v>45.095874299466459</v>
      </c>
      <c r="V30" s="701"/>
      <c r="W30" s="701"/>
    </row>
    <row r="31" spans="1:23" x14ac:dyDescent="0.25">
      <c r="A31" s="701" t="s">
        <v>505</v>
      </c>
      <c r="B31" s="701"/>
      <c r="C31" s="717" t="s">
        <v>76</v>
      </c>
      <c r="D31" s="421">
        <f>Bilans_E_AMS_Kyoto_run3_MTE!H514</f>
        <v>0</v>
      </c>
      <c r="E31" s="421">
        <f>Bilans_E_AMS_Kyoto_run3_MTE!I514</f>
        <v>0</v>
      </c>
      <c r="F31" s="421">
        <f>Bilans_E_AMS_Kyoto_run3_MTE!J514</f>
        <v>0</v>
      </c>
      <c r="G31" s="611">
        <f>Bilans_E_AMS_Kyoto_run3_MTE!K514</f>
        <v>0</v>
      </c>
      <c r="H31" s="431">
        <f>Bilans_E_AMS_Kyoto_run3_MTE!L514</f>
        <v>0.87272798956791087</v>
      </c>
      <c r="I31" s="624">
        <f>Bilans_E_AMS_Kyoto_run3_MTE!M514</f>
        <v>1.5867781628507469E-2</v>
      </c>
      <c r="J31" s="421">
        <f>Bilans_E_AMS_Kyoto_run3_MTE!N514</f>
        <v>0</v>
      </c>
      <c r="K31" s="421">
        <f>Bilans_E_AMS_Kyoto_run3_MTE!O514</f>
        <v>0</v>
      </c>
      <c r="L31" s="421">
        <f>Bilans_E_AMS_Kyoto_run3_MTE!P514</f>
        <v>0</v>
      </c>
      <c r="M31" s="421">
        <f>Bilans_E_AMS_Kyoto_run3_MTE!Q514</f>
        <v>0</v>
      </c>
      <c r="N31" s="421">
        <f>Bilans_E_AMS_Kyoto_run3_MTE!R514</f>
        <v>0</v>
      </c>
      <c r="O31" s="431">
        <f>Bilans_E_AMS_Kyoto_run3_MTE!S514</f>
        <v>0.6981823916543286</v>
      </c>
      <c r="P31" s="421">
        <f>Bilans_E_AMS_Kyoto_run3_MTE!T514+Bilans_E_AMS_Kyoto_run3_MTE!U514</f>
        <v>0</v>
      </c>
      <c r="Q31" s="421">
        <f>Bilans_E_AMS_Kyoto_run3_MTE!V514</f>
        <v>0</v>
      </c>
      <c r="R31" s="431">
        <f>Bilans_E_AMS_Kyoto_run3_MTE!W514</f>
        <v>61.224106337294323</v>
      </c>
      <c r="S31" s="431">
        <f>Bilans_E_AMS_Kyoto_run3_MTE!X514</f>
        <v>6.697680379771108</v>
      </c>
      <c r="T31" s="432">
        <f>Bilans_E_AMS_Kyoto_run3_MTE!Y514</f>
        <v>0</v>
      </c>
      <c r="U31" s="423">
        <f>Bilans_E_AMS_Kyoto_run3_MTE!Z514</f>
        <v>69.508564879916179</v>
      </c>
      <c r="V31" s="701"/>
      <c r="W31" s="701"/>
    </row>
    <row r="32" spans="1:23" x14ac:dyDescent="0.25">
      <c r="A32" s="701" t="s">
        <v>506</v>
      </c>
      <c r="B32" s="701"/>
      <c r="C32" s="713" t="s">
        <v>77</v>
      </c>
      <c r="D32" s="425">
        <f>Bilans_E_AMS_Kyoto_run3_MTE!H515</f>
        <v>0</v>
      </c>
      <c r="E32" s="425">
        <f>Bilans_E_AMS_Kyoto_run3_MTE!I515</f>
        <v>143.57372262348443</v>
      </c>
      <c r="F32" s="425">
        <f>Bilans_E_AMS_Kyoto_run3_MTE!J515</f>
        <v>-135.1369494603191</v>
      </c>
      <c r="G32" s="615">
        <f>Bilans_E_AMS_Kyoto_run3_MTE!K515</f>
        <v>-14.619486217725157</v>
      </c>
      <c r="H32" s="425">
        <f>Bilans_E_AMS_Kyoto_run3_MTE!L515</f>
        <v>10.97014456744899</v>
      </c>
      <c r="I32" s="615">
        <f>Bilans_E_AMS_Kyoto_run3_MTE!M515</f>
        <v>-3.5472733725210412</v>
      </c>
      <c r="J32" s="425">
        <f>Bilans_E_AMS_Kyoto_run3_MTE!N515</f>
        <v>1021.1177956869142</v>
      </c>
      <c r="K32" s="425">
        <f>Bilans_E_AMS_Kyoto_run3_MTE!O515</f>
        <v>462.06687945929309</v>
      </c>
      <c r="L32" s="425">
        <f>Bilans_E_AMS_Kyoto_run3_MTE!P515</f>
        <v>293.41607278708199</v>
      </c>
      <c r="M32" s="425">
        <f>Bilans_E_AMS_Kyoto_run3_MTE!Q515</f>
        <v>37.444475279494604</v>
      </c>
      <c r="N32" s="425">
        <f>Bilans_E_AMS_Kyoto_run3_MTE!R515</f>
        <v>-54.838669650846725</v>
      </c>
      <c r="O32" s="425">
        <f>Bilans_E_AMS_Kyoto_run3_MTE!S515</f>
        <v>-72.287130434655069</v>
      </c>
      <c r="P32" s="425">
        <f>Bilans_E_AMS_Kyoto_run3_MTE!T515+Bilans_E_AMS_Kyoto_run3_MTE!U515</f>
        <v>19.703135322463453</v>
      </c>
      <c r="Q32" s="425">
        <f>Bilans_E_AMS_Kyoto_run3_MTE!V515</f>
        <v>18.698303851168006</v>
      </c>
      <c r="R32" s="425">
        <f>Bilans_E_AMS_Kyoto_run3_MTE!W515</f>
        <v>-625.73217962616854</v>
      </c>
      <c r="S32" s="425">
        <f>Bilans_E_AMS_Kyoto_run3_MTE!X515</f>
        <v>-79.672309838953737</v>
      </c>
      <c r="T32" s="425">
        <f>Bilans_E_AMS_Kyoto_run3_MTE!Y515</f>
        <v>-31.259944280501475</v>
      </c>
      <c r="U32" s="425">
        <f>Bilans_E_AMS_Kyoto_run3_MTE!Z515</f>
        <v>989.89658669565813</v>
      </c>
      <c r="V32" s="701"/>
      <c r="W32" s="701"/>
    </row>
    <row r="33" spans="1:23" x14ac:dyDescent="0.25">
      <c r="A33" s="701"/>
      <c r="B33" s="701"/>
      <c r="C33" s="715"/>
      <c r="D33" s="427"/>
      <c r="E33" s="427"/>
      <c r="F33" s="427"/>
      <c r="G33" s="617"/>
      <c r="H33" s="427"/>
      <c r="I33" s="617"/>
      <c r="J33" s="427"/>
      <c r="K33" s="427"/>
      <c r="L33" s="427"/>
      <c r="M33" s="427"/>
      <c r="N33" s="427"/>
      <c r="O33" s="427"/>
      <c r="P33" s="427">
        <f>Bilans_E_AMS_Kyoto_run3_MTE!T516+Bilans_E_AMS_Kyoto_run3_MTE!U516</f>
        <v>0</v>
      </c>
      <c r="Q33" s="427"/>
      <c r="R33" s="427"/>
      <c r="S33" s="427"/>
      <c r="T33" s="427"/>
      <c r="U33" s="427"/>
      <c r="V33" s="701"/>
      <c r="W33" s="701"/>
    </row>
    <row r="34" spans="1:23" x14ac:dyDescent="0.25">
      <c r="A34" s="701" t="s">
        <v>507</v>
      </c>
      <c r="B34" s="701"/>
      <c r="C34" s="717" t="s">
        <v>78</v>
      </c>
      <c r="D34" s="431">
        <f>Bilans_E_AMS_Kyoto_run3_MTE!H517</f>
        <v>7.2040588378906256E-2</v>
      </c>
      <c r="E34" s="421">
        <f>Bilans_E_AMS_Kyoto_run3_MTE!I517</f>
        <v>0</v>
      </c>
      <c r="F34" s="431">
        <f>Bilans_E_AMS_Kyoto_run3_MTE!J517</f>
        <v>0.19057103431692568</v>
      </c>
      <c r="G34" s="624">
        <f>Bilans_E_AMS_Kyoto_run3_MTE!K517</f>
        <v>0</v>
      </c>
      <c r="H34" s="431">
        <f>Bilans_E_AMS_Kyoto_run3_MTE!L517</f>
        <v>28.795611186743677</v>
      </c>
      <c r="I34" s="624">
        <f>Bilans_E_AMS_Kyoto_run3_MTE!M517</f>
        <v>0.52355656703170317</v>
      </c>
      <c r="J34" s="421">
        <f>Bilans_E_AMS_Kyoto_run3_MTE!N517</f>
        <v>0</v>
      </c>
      <c r="K34" s="421">
        <f>Bilans_E_AMS_Kyoto_run3_MTE!O517</f>
        <v>0</v>
      </c>
      <c r="L34" s="431">
        <f>Bilans_E_AMS_Kyoto_run3_MTE!P517</f>
        <v>34.871553027324289</v>
      </c>
      <c r="M34" s="431">
        <f>Bilans_E_AMS_Kyoto_run3_MTE!Q517</f>
        <v>8.043964025546213</v>
      </c>
      <c r="N34" s="431">
        <f>Bilans_E_AMS_Kyoto_run3_MTE!R517</f>
        <v>0</v>
      </c>
      <c r="O34" s="431">
        <f>Bilans_E_AMS_Kyoto_run3_MTE!S517</f>
        <v>23.077839156426684</v>
      </c>
      <c r="P34" s="431">
        <f>Bilans_E_AMS_Kyoto_run3_MTE!T517+Bilans_E_AMS_Kyoto_run3_MTE!U517</f>
        <v>13.633620117187499</v>
      </c>
      <c r="Q34" s="431">
        <f>Bilans_E_AMS_Kyoto_run3_MTE!V517</f>
        <v>8.4299170840015686E-4</v>
      </c>
      <c r="R34" s="431">
        <f>Bilans_E_AMS_Kyoto_run3_MTE!W517</f>
        <v>158.64644753930071</v>
      </c>
      <c r="S34" s="431">
        <f>Bilans_E_AMS_Kyoto_run3_MTE!X517</f>
        <v>19.544256457993722</v>
      </c>
      <c r="T34" s="431">
        <f>Bilans_E_AMS_Kyoto_run3_MTE!Y517</f>
        <v>13.641840820312501</v>
      </c>
      <c r="U34" s="429">
        <f>Bilans_E_AMS_Kyoto_run3_MTE!Z517</f>
        <v>301.0421435122712</v>
      </c>
      <c r="V34" s="701"/>
      <c r="W34" s="701"/>
    </row>
    <row r="35" spans="1:23" x14ac:dyDescent="0.25">
      <c r="A35" s="701" t="s">
        <v>508</v>
      </c>
      <c r="B35" s="701"/>
      <c r="C35" s="717" t="s">
        <v>79</v>
      </c>
      <c r="D35" s="431">
        <f>Bilans_E_AMS_Kyoto_run3_MTE!H518</f>
        <v>0</v>
      </c>
      <c r="E35" s="421">
        <f>Bilans_E_AMS_Kyoto_run3_MTE!I518</f>
        <v>0</v>
      </c>
      <c r="F35" s="431">
        <f>Bilans_E_AMS_Kyoto_run3_MTE!J518</f>
        <v>27.842691184610331</v>
      </c>
      <c r="G35" s="624">
        <f>Bilans_E_AMS_Kyoto_run3_MTE!K518</f>
        <v>2</v>
      </c>
      <c r="H35" s="431">
        <f>Bilans_E_AMS_Kyoto_run3_MTE!L518</f>
        <v>4.1475118700352498</v>
      </c>
      <c r="I35" s="624">
        <f>Bilans_E_AMS_Kyoto_run3_MTE!M518</f>
        <v>7.5409306727913641E-2</v>
      </c>
      <c r="J35" s="421">
        <f>Bilans_E_AMS_Kyoto_run3_MTE!N518</f>
        <v>0</v>
      </c>
      <c r="K35" s="421">
        <f>Bilans_E_AMS_Kyoto_run3_MTE!O518</f>
        <v>0</v>
      </c>
      <c r="L35" s="431">
        <f>Bilans_E_AMS_Kyoto_run3_MTE!P518</f>
        <v>0</v>
      </c>
      <c r="M35" s="431">
        <f>Bilans_E_AMS_Kyoto_run3_MTE!Q518</f>
        <v>0</v>
      </c>
      <c r="N35" s="431">
        <f>Bilans_E_AMS_Kyoto_run3_MTE!R518</f>
        <v>29.027871012193479</v>
      </c>
      <c r="O35" s="431">
        <f>Bilans_E_AMS_Kyoto_run3_MTE!S518</f>
        <v>3.3180094960281998</v>
      </c>
      <c r="P35" s="431">
        <f>Bilans_E_AMS_Kyoto_run3_MTE!T518+Bilans_E_AMS_Kyoto_run3_MTE!U518</f>
        <v>0</v>
      </c>
      <c r="Q35" s="431">
        <f>Bilans_E_AMS_Kyoto_run3_MTE!V518</f>
        <v>0</v>
      </c>
      <c r="R35" s="431">
        <f>Bilans_E_AMS_Kyoto_run3_MTE!W518</f>
        <v>121.41640074189371</v>
      </c>
      <c r="S35" s="431">
        <f>Bilans_E_AMS_Kyoto_run3_MTE!X518</f>
        <v>0</v>
      </c>
      <c r="T35" s="431">
        <f>Bilans_E_AMS_Kyoto_run3_MTE!Y518</f>
        <v>6.7088833627788453</v>
      </c>
      <c r="U35" s="429">
        <f>Bilans_E_AMS_Kyoto_run3_MTE!Z518</f>
        <v>194.53677697426772</v>
      </c>
      <c r="V35" s="701"/>
      <c r="W35" s="701"/>
    </row>
    <row r="36" spans="1:23" x14ac:dyDescent="0.25">
      <c r="A36" s="701" t="s">
        <v>509</v>
      </c>
      <c r="B36" s="701"/>
      <c r="C36" s="717" t="s">
        <v>80</v>
      </c>
      <c r="D36" s="431">
        <f>Bilans_E_AMS_Kyoto_run3_MTE!H519</f>
        <v>0</v>
      </c>
      <c r="E36" s="421">
        <f>Bilans_E_AMS_Kyoto_run3_MTE!I519</f>
        <v>0</v>
      </c>
      <c r="F36" s="431">
        <f>Bilans_E_AMS_Kyoto_run3_MTE!J519</f>
        <v>0.1823284194363245</v>
      </c>
      <c r="G36" s="624">
        <f>Bilans_E_AMS_Kyoto_run3_MTE!K519</f>
        <v>0</v>
      </c>
      <c r="H36" s="431">
        <f>Bilans_E_AMS_Kyoto_run3_MTE!L519</f>
        <v>19.208488158214077</v>
      </c>
      <c r="I36" s="624">
        <f>Bilans_E_AMS_Kyoto_run3_MTE!M519</f>
        <v>0.34924523924025591</v>
      </c>
      <c r="J36" s="421">
        <f>Bilans_E_AMS_Kyoto_run3_MTE!N519</f>
        <v>0</v>
      </c>
      <c r="K36" s="421">
        <f>Bilans_E_AMS_Kyoto_run3_MTE!O519</f>
        <v>0</v>
      </c>
      <c r="L36" s="431">
        <f>Bilans_E_AMS_Kyoto_run3_MTE!P519</f>
        <v>41.860643688874312</v>
      </c>
      <c r="M36" s="431">
        <f>Bilans_E_AMS_Kyoto_run3_MTE!Q519</f>
        <v>0</v>
      </c>
      <c r="N36" s="431">
        <f>Bilans_E_AMS_Kyoto_run3_MTE!R519</f>
        <v>0</v>
      </c>
      <c r="O36" s="431">
        <f>Bilans_E_AMS_Kyoto_run3_MTE!S519</f>
        <v>15.366790526571261</v>
      </c>
      <c r="P36" s="431">
        <f>Bilans_E_AMS_Kyoto_run3_MTE!T519+Bilans_E_AMS_Kyoto_run3_MTE!U519</f>
        <v>148.3231165331799</v>
      </c>
      <c r="Q36" s="431">
        <f>Bilans_E_AMS_Kyoto_run3_MTE!V519</f>
        <v>12.136362038143677</v>
      </c>
      <c r="R36" s="431">
        <f>Bilans_E_AMS_Kyoto_run3_MTE!W519</f>
        <v>138.96099758278416</v>
      </c>
      <c r="S36" s="431">
        <f>Bilans_E_AMS_Kyoto_run3_MTE!X519</f>
        <v>37.481794053722915</v>
      </c>
      <c r="T36" s="431">
        <f>Bilans_E_AMS_Kyoto_run3_MTE!Y519</f>
        <v>0</v>
      </c>
      <c r="U36" s="429">
        <f>Bilans_E_AMS_Kyoto_run3_MTE!Z519</f>
        <v>413.86976624016694</v>
      </c>
      <c r="V36" s="701"/>
      <c r="W36" s="701"/>
    </row>
    <row r="37" spans="1:23" x14ac:dyDescent="0.25">
      <c r="A37" s="701" t="s">
        <v>510</v>
      </c>
      <c r="B37" s="701"/>
      <c r="C37" s="717" t="s">
        <v>81</v>
      </c>
      <c r="D37" s="431">
        <f>Bilans_E_AMS_Kyoto_run3_MTE!H520</f>
        <v>0</v>
      </c>
      <c r="E37" s="421">
        <f>Bilans_E_AMS_Kyoto_run3_MTE!I520</f>
        <v>0</v>
      </c>
      <c r="F37" s="431">
        <f>Bilans_E_AMS_Kyoto_run3_MTE!J520</f>
        <v>0.39199311709923457</v>
      </c>
      <c r="G37" s="624">
        <f>Bilans_E_AMS_Kyoto_run3_MTE!K520</f>
        <v>0</v>
      </c>
      <c r="H37" s="431">
        <f>Bilans_E_AMS_Kyoto_run3_MTE!L520</f>
        <v>9.9162417754913825</v>
      </c>
      <c r="I37" s="624">
        <f>Bilans_E_AMS_Kyoto_run3_MTE!M520</f>
        <v>0.18029530500893423</v>
      </c>
      <c r="J37" s="421">
        <f>Bilans_E_AMS_Kyoto_run3_MTE!N520</f>
        <v>0</v>
      </c>
      <c r="K37" s="421">
        <f>Bilans_E_AMS_Kyoto_run3_MTE!O520</f>
        <v>0</v>
      </c>
      <c r="L37" s="431">
        <f>Bilans_E_AMS_Kyoto_run3_MTE!P520</f>
        <v>0.48410239694179807</v>
      </c>
      <c r="M37" s="431">
        <f>Bilans_E_AMS_Kyoto_run3_MTE!Q520</f>
        <v>0</v>
      </c>
      <c r="N37" s="431">
        <f>Bilans_E_AMS_Kyoto_run3_MTE!R520</f>
        <v>0</v>
      </c>
      <c r="O37" s="431">
        <f>Bilans_E_AMS_Kyoto_run3_MTE!S520</f>
        <v>7.9329934203931058</v>
      </c>
      <c r="P37" s="431">
        <f>Bilans_E_AMS_Kyoto_run3_MTE!T520+Bilans_E_AMS_Kyoto_run3_MTE!U520</f>
        <v>58.56878651815164</v>
      </c>
      <c r="Q37" s="431">
        <f>Bilans_E_AMS_Kyoto_run3_MTE!V520</f>
        <v>12.039845592065015</v>
      </c>
      <c r="R37" s="431">
        <f>Bilans_E_AMS_Kyoto_run3_MTE!W520</f>
        <v>122.64919061404242</v>
      </c>
      <c r="S37" s="431">
        <f>Bilans_E_AMS_Kyoto_run3_MTE!X520</f>
        <v>22.646226401731536</v>
      </c>
      <c r="T37" s="431">
        <f>Bilans_E_AMS_Kyoto_run3_MTE!Y520</f>
        <v>0</v>
      </c>
      <c r="U37" s="429">
        <f>Bilans_E_AMS_Kyoto_run3_MTE!Z520</f>
        <v>234.80967514092507</v>
      </c>
      <c r="V37" s="701"/>
      <c r="W37" s="701"/>
    </row>
    <row r="38" spans="1:23" x14ac:dyDescent="0.25">
      <c r="A38" s="701" t="s">
        <v>511</v>
      </c>
      <c r="B38" s="701"/>
      <c r="C38" s="717" t="s">
        <v>82</v>
      </c>
      <c r="D38" s="431">
        <f>Bilans_E_AMS_Kyoto_run3_MTE!H521</f>
        <v>0</v>
      </c>
      <c r="E38" s="421">
        <f>Bilans_E_AMS_Kyoto_run3_MTE!I521</f>
        <v>0</v>
      </c>
      <c r="F38" s="431">
        <f>Bilans_E_AMS_Kyoto_run3_MTE!J521</f>
        <v>5.4571309143050808</v>
      </c>
      <c r="G38" s="624">
        <f>Bilans_E_AMS_Kyoto_run3_MTE!K521</f>
        <v>0</v>
      </c>
      <c r="H38" s="431">
        <f>Bilans_E_AMS_Kyoto_run3_MTE!L521</f>
        <v>0.56206289562711365</v>
      </c>
      <c r="I38" s="624">
        <f>Bilans_E_AMS_Kyoto_run3_MTE!M521</f>
        <v>1.0219325375038429E-2</v>
      </c>
      <c r="J38" s="421">
        <f>Bilans_E_AMS_Kyoto_run3_MTE!N521</f>
        <v>0</v>
      </c>
      <c r="K38" s="421">
        <f>Bilans_E_AMS_Kyoto_run3_MTE!O521</f>
        <v>0</v>
      </c>
      <c r="L38" s="431">
        <f>Bilans_E_AMS_Kyoto_run3_MTE!P521</f>
        <v>17.783972013033864</v>
      </c>
      <c r="M38" s="431">
        <f>Bilans_E_AMS_Kyoto_run3_MTE!Q521</f>
        <v>0</v>
      </c>
      <c r="N38" s="431">
        <f>Bilans_E_AMS_Kyoto_run3_MTE!R521</f>
        <v>8.2374051734864402</v>
      </c>
      <c r="O38" s="431">
        <f>Bilans_E_AMS_Kyoto_run3_MTE!S521</f>
        <v>0.44965031650169085</v>
      </c>
      <c r="P38" s="431">
        <f>Bilans_E_AMS_Kyoto_run3_MTE!T521+Bilans_E_AMS_Kyoto_run3_MTE!U521</f>
        <v>1.25</v>
      </c>
      <c r="Q38" s="431">
        <f>Bilans_E_AMS_Kyoto_run3_MTE!V521</f>
        <v>1.7440136932478227</v>
      </c>
      <c r="R38" s="431">
        <f>Bilans_E_AMS_Kyoto_run3_MTE!W521</f>
        <v>10.36655207833598</v>
      </c>
      <c r="S38" s="431">
        <f>Bilans_E_AMS_Kyoto_run3_MTE!X521</f>
        <v>0</v>
      </c>
      <c r="T38" s="431">
        <f>Bilans_E_AMS_Kyoto_run3_MTE!Y521</f>
        <v>0.55589052141355966</v>
      </c>
      <c r="U38" s="429">
        <f>Bilans_E_AMS_Kyoto_run3_MTE!Z521</f>
        <v>46.416896931326583</v>
      </c>
      <c r="V38" s="701"/>
      <c r="W38" s="701"/>
    </row>
    <row r="39" spans="1:23" x14ac:dyDescent="0.25">
      <c r="A39" s="701" t="s">
        <v>512</v>
      </c>
      <c r="B39" s="701"/>
      <c r="C39" s="717" t="s">
        <v>354</v>
      </c>
      <c r="D39" s="421">
        <f>Bilans_E_AMS_Kyoto_run3_MTE!H522</f>
        <v>0</v>
      </c>
      <c r="E39" s="421">
        <f>Bilans_E_AMS_Kyoto_run3_MTE!I522</f>
        <v>0</v>
      </c>
      <c r="F39" s="421">
        <f>Bilans_E_AMS_Kyoto_run3_MTE!J522</f>
        <v>0</v>
      </c>
      <c r="G39" s="611">
        <f>Bilans_E_AMS_Kyoto_run3_MTE!K522</f>
        <v>0</v>
      </c>
      <c r="H39" s="421">
        <f>Bilans_E_AMS_Kyoto_run3_MTE!L522</f>
        <v>0</v>
      </c>
      <c r="I39" s="611">
        <f>Bilans_E_AMS_Kyoto_run3_MTE!M522</f>
        <v>0</v>
      </c>
      <c r="J39" s="421">
        <f>Bilans_E_AMS_Kyoto_run3_MTE!N522</f>
        <v>0</v>
      </c>
      <c r="K39" s="421">
        <f>Bilans_E_AMS_Kyoto_run3_MTE!O522</f>
        <v>0</v>
      </c>
      <c r="L39" s="421">
        <f>Bilans_E_AMS_Kyoto_run3_MTE!P522</f>
        <v>0</v>
      </c>
      <c r="M39" s="421">
        <f>Bilans_E_AMS_Kyoto_run3_MTE!Q522</f>
        <v>0</v>
      </c>
      <c r="N39" s="421">
        <f>Bilans_E_AMS_Kyoto_run3_MTE!R522</f>
        <v>0</v>
      </c>
      <c r="O39" s="421">
        <f>Bilans_E_AMS_Kyoto_run3_MTE!S522</f>
        <v>0</v>
      </c>
      <c r="P39" s="421">
        <f>Bilans_E_AMS_Kyoto_run3_MTE!T522+Bilans_E_AMS_Kyoto_run3_MTE!U522</f>
        <v>0</v>
      </c>
      <c r="Q39" s="421">
        <f>Bilans_E_AMS_Kyoto_run3_MTE!V522</f>
        <v>0</v>
      </c>
      <c r="R39" s="431">
        <f>Bilans_E_AMS_Kyoto_run3_MTE!W522</f>
        <v>9.0399999999999991</v>
      </c>
      <c r="S39" s="421">
        <f>Bilans_E_AMS_Kyoto_run3_MTE!X522</f>
        <v>0</v>
      </c>
      <c r="T39" s="421">
        <f>Bilans_E_AMS_Kyoto_run3_MTE!Y522</f>
        <v>0</v>
      </c>
      <c r="U39" s="429">
        <f>Bilans_E_AMS_Kyoto_run3_MTE!Z522</f>
        <v>9.0399999999999991</v>
      </c>
      <c r="V39" s="701"/>
      <c r="W39" s="701"/>
    </row>
    <row r="40" spans="1:23" x14ac:dyDescent="0.25">
      <c r="A40" s="701" t="s">
        <v>513</v>
      </c>
      <c r="B40" s="701"/>
      <c r="C40" s="713" t="s">
        <v>83</v>
      </c>
      <c r="D40" s="425">
        <f>Bilans_E_AMS_Kyoto_run3_MTE!H523</f>
        <v>7.2040588378906256E-2</v>
      </c>
      <c r="E40" s="425">
        <f>Bilans_E_AMS_Kyoto_run3_MTE!I523</f>
        <v>0</v>
      </c>
      <c r="F40" s="425">
        <f>Bilans_E_AMS_Kyoto_run3_MTE!J523</f>
        <v>34.064714669767895</v>
      </c>
      <c r="G40" s="615">
        <f>Bilans_E_AMS_Kyoto_run3_MTE!K523</f>
        <v>2</v>
      </c>
      <c r="H40" s="425">
        <f>Bilans_E_AMS_Kyoto_run3_MTE!L523</f>
        <v>62.629915886111512</v>
      </c>
      <c r="I40" s="615">
        <f>Bilans_E_AMS_Kyoto_run3_MTE!M523</f>
        <v>1.1387257433838454</v>
      </c>
      <c r="J40" s="425">
        <f>Bilans_E_AMS_Kyoto_run3_MTE!N523</f>
        <v>0</v>
      </c>
      <c r="K40" s="425">
        <f>Bilans_E_AMS_Kyoto_run3_MTE!O523</f>
        <v>0</v>
      </c>
      <c r="L40" s="425">
        <f>Bilans_E_AMS_Kyoto_run3_MTE!P523</f>
        <v>95.000271126174255</v>
      </c>
      <c r="M40" s="425">
        <f>Bilans_E_AMS_Kyoto_run3_MTE!Q523</f>
        <v>8.043964025546213</v>
      </c>
      <c r="N40" s="425">
        <f>Bilans_E_AMS_Kyoto_run3_MTE!R523</f>
        <v>37.265276185679923</v>
      </c>
      <c r="O40" s="425">
        <f>Bilans_E_AMS_Kyoto_run3_MTE!S523</f>
        <v>50.145282915920937</v>
      </c>
      <c r="P40" s="425">
        <f>Bilans_E_AMS_Kyoto_run3_MTE!T523+Bilans_E_AMS_Kyoto_run3_MTE!U523</f>
        <v>221.77552316851904</v>
      </c>
      <c r="Q40" s="425">
        <f>Bilans_E_AMS_Kyoto_run3_MTE!V523</f>
        <v>25.921064315164912</v>
      </c>
      <c r="R40" s="425">
        <f>Bilans_E_AMS_Kyoto_run3_MTE!W523</f>
        <v>561.07958855635695</v>
      </c>
      <c r="S40" s="425">
        <f>Bilans_E_AMS_Kyoto_run3_MTE!X523</f>
        <v>79.672276913448172</v>
      </c>
      <c r="T40" s="425">
        <f>Bilans_E_AMS_Kyoto_run3_MTE!Y523</f>
        <v>20.906614704504904</v>
      </c>
      <c r="U40" s="425">
        <f>Bilans_E_AMS_Kyoto_run3_MTE!Z523</f>
        <v>1199.7152587989574</v>
      </c>
      <c r="V40" s="701"/>
      <c r="W40" s="701"/>
    </row>
    <row r="41" spans="1:23" x14ac:dyDescent="0.25">
      <c r="A41" s="701" t="s">
        <v>514</v>
      </c>
      <c r="B41" s="701"/>
      <c r="C41" s="710" t="s">
        <v>84</v>
      </c>
      <c r="D41" s="431">
        <f>Bilans_E_AMS_Kyoto_run3_MTE!H524</f>
        <v>0</v>
      </c>
      <c r="E41" s="421">
        <f>Bilans_E_AMS_Kyoto_run3_MTE!I524</f>
        <v>0</v>
      </c>
      <c r="F41" s="431">
        <f>Bilans_E_AMS_Kyoto_run3_MTE!J524</f>
        <v>96.394045128661887</v>
      </c>
      <c r="G41" s="624">
        <f>Bilans_E_AMS_Kyoto_run3_MTE!K524</f>
        <v>3.4901848637372384</v>
      </c>
      <c r="H41" s="431">
        <f>Bilans_E_AMS_Kyoto_run3_MTE!L524</f>
        <v>9.7025025927356783</v>
      </c>
      <c r="I41" s="611">
        <f>Bilans_E_AMS_Kyoto_run3_MTE!M524</f>
        <v>0</v>
      </c>
      <c r="J41" s="421">
        <f>Bilans_E_AMS_Kyoto_run3_MTE!N524</f>
        <v>0</v>
      </c>
      <c r="K41" s="421">
        <f>Bilans_E_AMS_Kyoto_run3_MTE!O524</f>
        <v>0</v>
      </c>
      <c r="L41" s="625">
        <f>Bilans_E_AMS_Kyoto_run3_MTE!P524</f>
        <v>0.55051822222324442</v>
      </c>
      <c r="M41" s="421">
        <f>Bilans_E_AMS_Kyoto_run3_MTE!Q524</f>
        <v>0</v>
      </c>
      <c r="N41" s="431">
        <f>Bilans_E_AMS_Kyoto_run3_MTE!R524</f>
        <v>5.2633850918308207</v>
      </c>
      <c r="O41" s="625">
        <f>Bilans_E_AMS_Kyoto_run3_MTE!S524</f>
        <v>0</v>
      </c>
      <c r="P41" s="421">
        <f>Bilans_E_AMS_Kyoto_run3_MTE!T524+Bilans_E_AMS_Kyoto_run3_MTE!U524</f>
        <v>0</v>
      </c>
      <c r="Q41" s="421">
        <f>Bilans_E_AMS_Kyoto_run3_MTE!V524</f>
        <v>0</v>
      </c>
      <c r="R41" s="421">
        <f>Bilans_E_AMS_Kyoto_run3_MTE!W524</f>
        <v>0</v>
      </c>
      <c r="S41" s="421">
        <f>Bilans_E_AMS_Kyoto_run3_MTE!X524</f>
        <v>0</v>
      </c>
      <c r="T41" s="431">
        <f>Bilans_E_AMS_Kyoto_run3_MTE!Y524</f>
        <v>4.3572670917440366</v>
      </c>
      <c r="U41" s="429">
        <f>Bilans_E_AMS_Kyoto_run3_MTE!Z524</f>
        <v>119.75790299093292</v>
      </c>
      <c r="V41" s="701"/>
      <c r="W41" s="701"/>
    </row>
    <row r="42" spans="1:23" x14ac:dyDescent="0.25">
      <c r="A42" s="701" t="s">
        <v>515</v>
      </c>
      <c r="B42" s="701"/>
      <c r="C42" s="713" t="s">
        <v>85</v>
      </c>
      <c r="D42" s="425">
        <f>Bilans_E_AMS_Kyoto_run3_MTE!H525</f>
        <v>7.2040588378906256E-2</v>
      </c>
      <c r="E42" s="425">
        <f>Bilans_E_AMS_Kyoto_run3_MTE!I525</f>
        <v>0</v>
      </c>
      <c r="F42" s="425">
        <f>Bilans_E_AMS_Kyoto_run3_MTE!J525</f>
        <v>130.45875979842978</v>
      </c>
      <c r="G42" s="615">
        <f>Bilans_E_AMS_Kyoto_run3_MTE!K525</f>
        <v>5.4901848637372384</v>
      </c>
      <c r="H42" s="425">
        <f>Bilans_E_AMS_Kyoto_run3_MTE!L525</f>
        <v>72.332418478847188</v>
      </c>
      <c r="I42" s="615">
        <f>Bilans_E_AMS_Kyoto_run3_MTE!M525</f>
        <v>1.1387257433838454</v>
      </c>
      <c r="J42" s="425">
        <f>Bilans_E_AMS_Kyoto_run3_MTE!N525</f>
        <v>0</v>
      </c>
      <c r="K42" s="425">
        <f>Bilans_E_AMS_Kyoto_run3_MTE!O525</f>
        <v>0</v>
      </c>
      <c r="L42" s="425">
        <f>Bilans_E_AMS_Kyoto_run3_MTE!P525</f>
        <v>95.550789348397501</v>
      </c>
      <c r="M42" s="425">
        <f>Bilans_E_AMS_Kyoto_run3_MTE!Q525</f>
        <v>8.043964025546213</v>
      </c>
      <c r="N42" s="425">
        <f>Bilans_E_AMS_Kyoto_run3_MTE!R525</f>
        <v>42.528661277510743</v>
      </c>
      <c r="O42" s="425">
        <f>Bilans_E_AMS_Kyoto_run3_MTE!S525</f>
        <v>50.145282915920937</v>
      </c>
      <c r="P42" s="425">
        <f>Bilans_E_AMS_Kyoto_run3_MTE!T525+Bilans_E_AMS_Kyoto_run3_MTE!U525</f>
        <v>221.77552316851904</v>
      </c>
      <c r="Q42" s="425">
        <f>Bilans_E_AMS_Kyoto_run3_MTE!V525</f>
        <v>25.921064315164912</v>
      </c>
      <c r="R42" s="425">
        <f>Bilans_E_AMS_Kyoto_run3_MTE!W525</f>
        <v>561.07958855635695</v>
      </c>
      <c r="S42" s="425">
        <f>Bilans_E_AMS_Kyoto_run3_MTE!X525</f>
        <v>79.672276913448172</v>
      </c>
      <c r="T42" s="425">
        <f>Bilans_E_AMS_Kyoto_run3_MTE!Y525</f>
        <v>25.263881796248938</v>
      </c>
      <c r="U42" s="425">
        <f>Bilans_E_AMS_Kyoto_run3_MTE!Z525</f>
        <v>1319.4731617898904</v>
      </c>
      <c r="V42" s="701"/>
      <c r="W42" s="701"/>
    </row>
    <row r="43" spans="1:23" x14ac:dyDescent="0.25">
      <c r="A43" s="701"/>
      <c r="B43" s="701"/>
      <c r="C43" s="701"/>
      <c r="D43" s="701">
        <f>Bilans_E_AMS_Kyoto_run3_MTE!H526</f>
        <v>0</v>
      </c>
      <c r="E43" s="701">
        <f>Bilans_E_AMS_Kyoto_run3_MTE!I526</f>
        <v>0</v>
      </c>
      <c r="F43" s="701">
        <f>Bilans_E_AMS_Kyoto_run3_MTE!J526</f>
        <v>-7.1054273576010019E-15</v>
      </c>
      <c r="G43" s="701">
        <f>Bilans_E_AMS_Kyoto_run3_MTE!K526</f>
        <v>0</v>
      </c>
      <c r="H43" s="701">
        <f>Bilans_E_AMS_Kyoto_run3_MTE!L526</f>
        <v>4.0563540423477207E-5</v>
      </c>
      <c r="I43" s="701">
        <f>Bilans_E_AMS_Kyoto_run3_MTE!M526</f>
        <v>-4.0563540425697653E-5</v>
      </c>
      <c r="J43" s="701">
        <f>Bilans_E_AMS_Kyoto_run3_MTE!N526</f>
        <v>0</v>
      </c>
      <c r="K43" s="701">
        <f>Bilans_E_AMS_Kyoto_run3_MTE!O526</f>
        <v>0</v>
      </c>
      <c r="L43" s="701">
        <f>Bilans_E_AMS_Kyoto_run3_MTE!P526</f>
        <v>0</v>
      </c>
      <c r="M43" s="701">
        <f>Bilans_E_AMS_Kyoto_run3_MTE!Q526</f>
        <v>0</v>
      </c>
      <c r="N43" s="701">
        <f>Bilans_E_AMS_Kyoto_run3_MTE!R526</f>
        <v>0</v>
      </c>
      <c r="O43" s="701">
        <f>Bilans_E_AMS_Kyoto_run3_MTE!S526</f>
        <v>0</v>
      </c>
      <c r="P43" s="701">
        <f>Bilans_E_AMS_Kyoto_run3_MTE!T526+Bilans_E_AMS_Kyoto_run3_MTE!U526</f>
        <v>0</v>
      </c>
      <c r="Q43" s="701">
        <f>Bilans_E_AMS_Kyoto_run3_MTE!V526</f>
        <v>0</v>
      </c>
      <c r="R43" s="701">
        <f>Bilans_E_AMS_Kyoto_run3_MTE!W526</f>
        <v>0</v>
      </c>
      <c r="S43" s="701">
        <f>Bilans_E_AMS_Kyoto_run3_MTE!X526</f>
        <v>-3.2925505564662672E-5</v>
      </c>
      <c r="T43" s="701">
        <f>Bilans_E_AMS_Kyoto_run3_MTE!Y526</f>
        <v>0</v>
      </c>
      <c r="U43" s="701">
        <f>Bilans_E_AMS_Kyoto_run3_MTE!Z526</f>
        <v>-3.2925505365710706E-5</v>
      </c>
      <c r="V43" s="701"/>
      <c r="W43" s="701"/>
    </row>
    <row r="44" spans="1:23" x14ac:dyDescent="0.25">
      <c r="A44" s="701"/>
      <c r="B44" s="701"/>
      <c r="C44" s="701"/>
      <c r="D44" s="701"/>
      <c r="E44" s="701"/>
      <c r="F44" s="701"/>
      <c r="G44" s="701"/>
      <c r="H44" s="701"/>
      <c r="I44" s="701"/>
      <c r="J44" s="701"/>
      <c r="K44" s="701"/>
      <c r="L44" s="701"/>
      <c r="M44" s="701"/>
      <c r="N44" s="701"/>
      <c r="O44" s="701"/>
      <c r="P44" s="701"/>
      <c r="Q44" s="701"/>
      <c r="R44" s="701"/>
      <c r="S44" s="701"/>
      <c r="T44" s="701"/>
      <c r="U44" s="701"/>
      <c r="V44" s="701"/>
      <c r="W44" s="701"/>
    </row>
    <row r="45" spans="1:23" x14ac:dyDescent="0.25">
      <c r="A45" s="707"/>
      <c r="B45" s="707"/>
      <c r="C45" s="708" t="s">
        <v>89</v>
      </c>
      <c r="D45" s="707"/>
      <c r="E45" s="707"/>
      <c r="F45" s="707"/>
      <c r="G45" s="707"/>
      <c r="H45" s="707"/>
      <c r="I45" s="707"/>
      <c r="J45" s="707"/>
      <c r="K45" s="707"/>
      <c r="L45" s="707"/>
      <c r="M45" s="707"/>
      <c r="N45" s="707"/>
      <c r="O45" s="707"/>
      <c r="P45" s="707"/>
      <c r="Q45" s="707"/>
      <c r="R45" s="707"/>
      <c r="S45" s="707"/>
      <c r="T45" s="707"/>
      <c r="U45" s="707"/>
      <c r="V45" s="707"/>
      <c r="W45" s="707"/>
    </row>
    <row r="46" spans="1:23" x14ac:dyDescent="0.25">
      <c r="A46" s="701"/>
      <c r="B46" s="701"/>
      <c r="C46" s="701"/>
      <c r="D46" s="701"/>
      <c r="E46" s="701"/>
      <c r="F46" s="701"/>
      <c r="G46" s="701"/>
      <c r="H46" s="701"/>
      <c r="I46" s="701"/>
      <c r="J46" s="701"/>
      <c r="K46" s="701"/>
      <c r="L46" s="701"/>
      <c r="M46" s="701"/>
      <c r="N46" s="701"/>
      <c r="O46" s="701"/>
      <c r="P46" s="701"/>
      <c r="Q46" s="701"/>
      <c r="R46" s="701"/>
      <c r="S46" s="701"/>
      <c r="T46" s="701"/>
      <c r="U46" s="701"/>
      <c r="V46" s="701"/>
      <c r="W46" s="701"/>
    </row>
    <row r="47" spans="1:23" x14ac:dyDescent="0.25">
      <c r="A47" s="701"/>
      <c r="B47" s="701"/>
      <c r="C47" s="780" t="s">
        <v>128</v>
      </c>
      <c r="D47" s="775" t="s">
        <v>42</v>
      </c>
      <c r="E47" s="775" t="s">
        <v>52</v>
      </c>
      <c r="F47" s="775" t="s">
        <v>53</v>
      </c>
      <c r="G47" s="775" t="s">
        <v>482</v>
      </c>
      <c r="H47" s="775" t="s">
        <v>32</v>
      </c>
      <c r="I47" s="775" t="s">
        <v>483</v>
      </c>
      <c r="J47" s="775" t="s">
        <v>20</v>
      </c>
      <c r="K47" s="775" t="s">
        <v>55</v>
      </c>
      <c r="L47" s="777" t="s">
        <v>56</v>
      </c>
      <c r="M47" s="778"/>
      <c r="N47" s="778"/>
      <c r="O47" s="778"/>
      <c r="P47" s="778"/>
      <c r="Q47" s="779"/>
      <c r="R47" s="775" t="s">
        <v>57</v>
      </c>
      <c r="S47" s="775" t="s">
        <v>58</v>
      </c>
      <c r="T47" s="775" t="s">
        <v>31</v>
      </c>
      <c r="U47" s="775" t="s">
        <v>10</v>
      </c>
      <c r="V47" s="701"/>
      <c r="W47" s="701"/>
    </row>
    <row r="48" spans="1:23" ht="67.5" x14ac:dyDescent="0.25">
      <c r="A48" s="701" t="s">
        <v>486</v>
      </c>
      <c r="B48" s="701"/>
      <c r="C48" s="781"/>
      <c r="D48" s="776"/>
      <c r="E48" s="776"/>
      <c r="F48" s="776"/>
      <c r="G48" s="776"/>
      <c r="H48" s="776"/>
      <c r="I48" s="776"/>
      <c r="J48" s="776"/>
      <c r="K48" s="776"/>
      <c r="L48" s="709" t="s">
        <v>335</v>
      </c>
      <c r="M48" s="709" t="s">
        <v>40</v>
      </c>
      <c r="N48" s="709" t="s">
        <v>343</v>
      </c>
      <c r="O48" s="709" t="s">
        <v>344</v>
      </c>
      <c r="P48" s="719" t="s">
        <v>610</v>
      </c>
      <c r="Q48" s="709" t="s">
        <v>346</v>
      </c>
      <c r="R48" s="776"/>
      <c r="S48" s="776"/>
      <c r="T48" s="776"/>
      <c r="U48" s="776"/>
      <c r="V48" s="701"/>
      <c r="W48" s="701"/>
    </row>
    <row r="49" spans="1:23" x14ac:dyDescent="0.25">
      <c r="A49" s="701" t="s">
        <v>487</v>
      </c>
      <c r="B49" s="701"/>
      <c r="C49" s="710" t="s">
        <v>59</v>
      </c>
      <c r="D49" s="711">
        <f>Bilans_E_AMS_Kyoto_run3_MTE!H532</f>
        <v>0</v>
      </c>
      <c r="E49" s="711">
        <f>Bilans_E_AMS_Kyoto_run3_MTE!I532</f>
        <v>0</v>
      </c>
      <c r="F49" s="711">
        <f>Bilans_E_AMS_Kyoto_run3_MTE!J532</f>
        <v>0</v>
      </c>
      <c r="G49" s="711">
        <f>Bilans_E_AMS_Kyoto_run3_MTE!K532</f>
        <v>0</v>
      </c>
      <c r="H49" s="711">
        <f>Bilans_E_AMS_Kyoto_run3_MTE!L532</f>
        <v>0</v>
      </c>
      <c r="I49" s="711">
        <f>Bilans_E_AMS_Kyoto_run3_MTE!M532</f>
        <v>0</v>
      </c>
      <c r="J49" s="711">
        <f>Bilans_E_AMS_Kyoto_run3_MTE!N532</f>
        <v>807.37795933495636</v>
      </c>
      <c r="K49" s="711">
        <f>Bilans_E_AMS_Kyoto_run3_MTE!O532</f>
        <v>553.99388589395949</v>
      </c>
      <c r="L49" s="711">
        <f>Bilans_E_AMS_Kyoto_run3_MTE!P532</f>
        <v>401.60616442653316</v>
      </c>
      <c r="M49" s="711">
        <f>Bilans_E_AMS_Kyoto_run3_MTE!Q532</f>
        <v>43.888349788112322</v>
      </c>
      <c r="N49" s="711">
        <f>Bilans_E_AMS_Kyoto_run3_MTE!R532</f>
        <v>0</v>
      </c>
      <c r="O49" s="711">
        <f>Bilans_E_AMS_Kyoto_run3_MTE!S532</f>
        <v>0</v>
      </c>
      <c r="P49" s="711">
        <f>Bilans_E_AMS_Kyoto_run3_MTE!T532+Bilans_E_AMS_Kyoto_run3_MTE!U532</f>
        <v>274.41854375041947</v>
      </c>
      <c r="Q49" s="711">
        <f>Bilans_E_AMS_Kyoto_run3_MTE!V532</f>
        <v>50.723080686002739</v>
      </c>
      <c r="R49" s="711">
        <f>Bilans_E_AMS_Kyoto_run3_MTE!W532</f>
        <v>0</v>
      </c>
      <c r="S49" s="711">
        <f>Bilans_E_AMS_Kyoto_run3_MTE!X532</f>
        <v>0</v>
      </c>
      <c r="T49" s="711">
        <f>Bilans_E_AMS_Kyoto_run3_MTE!Y532</f>
        <v>0</v>
      </c>
      <c r="U49" s="711">
        <f>Bilans_E_AMS_Kyoto_run3_MTE!Z532</f>
        <v>2132.0079838799838</v>
      </c>
      <c r="V49" s="701"/>
      <c r="W49" s="701"/>
    </row>
    <row r="50" spans="1:23" x14ac:dyDescent="0.25">
      <c r="A50" s="701" t="s">
        <v>488</v>
      </c>
      <c r="B50" s="701"/>
      <c r="C50" s="710" t="s">
        <v>60</v>
      </c>
      <c r="D50" s="712">
        <f>Bilans_E_AMS_Kyoto_run3_MTE!H533</f>
        <v>0</v>
      </c>
      <c r="E50" s="712">
        <f>Bilans_E_AMS_Kyoto_run3_MTE!I533</f>
        <v>58.863651738299311</v>
      </c>
      <c r="F50" s="712">
        <f>Bilans_E_AMS_Kyoto_run3_MTE!J533</f>
        <v>45.756672067678878</v>
      </c>
      <c r="G50" s="712">
        <f>Bilans_E_AMS_Kyoto_run3_MTE!K533</f>
        <v>12.032159045744653</v>
      </c>
      <c r="H50" s="712">
        <f>Bilans_E_AMS_Kyoto_run3_MTE!L533</f>
        <v>7.019987079045241</v>
      </c>
      <c r="I50" s="712">
        <f>Bilans_E_AMS_Kyoto_run3_MTE!M533</f>
        <v>0</v>
      </c>
      <c r="J50" s="712">
        <f>Bilans_E_AMS_Kyoto_run3_MTE!N533</f>
        <v>0</v>
      </c>
      <c r="K50" s="712">
        <f>Bilans_E_AMS_Kyoto_run3_MTE!O533</f>
        <v>0</v>
      </c>
      <c r="L50" s="712">
        <f>Bilans_E_AMS_Kyoto_run3_MTE!P533</f>
        <v>22.470468893714155</v>
      </c>
      <c r="M50" s="712">
        <f>Bilans_E_AMS_Kyoto_run3_MTE!Q533</f>
        <v>0</v>
      </c>
      <c r="N50" s="712">
        <f>Bilans_E_AMS_Kyoto_run3_MTE!R533</f>
        <v>0</v>
      </c>
      <c r="O50" s="712">
        <f>Bilans_E_AMS_Kyoto_run3_MTE!S533</f>
        <v>0</v>
      </c>
      <c r="P50" s="712">
        <f>Bilans_E_AMS_Kyoto_run3_MTE!T533+Bilans_E_AMS_Kyoto_run3_MTE!U533</f>
        <v>0</v>
      </c>
      <c r="Q50" s="712">
        <f>Bilans_E_AMS_Kyoto_run3_MTE!V533</f>
        <v>0</v>
      </c>
      <c r="R50" s="712">
        <f>Bilans_E_AMS_Kyoto_run3_MTE!W533</f>
        <v>0</v>
      </c>
      <c r="S50" s="712">
        <f>Bilans_E_AMS_Kyoto_run3_MTE!X533</f>
        <v>0</v>
      </c>
      <c r="T50" s="712">
        <f>Bilans_E_AMS_Kyoto_run3_MTE!Y533</f>
        <v>0</v>
      </c>
      <c r="U50" s="712">
        <f>Bilans_E_AMS_Kyoto_run3_MTE!Z533</f>
        <v>146.14293882448223</v>
      </c>
      <c r="V50" s="701"/>
      <c r="W50" s="701"/>
    </row>
    <row r="51" spans="1:23" x14ac:dyDescent="0.25">
      <c r="A51" s="701" t="s">
        <v>489</v>
      </c>
      <c r="B51" s="701"/>
      <c r="C51" s="710" t="s">
        <v>61</v>
      </c>
      <c r="D51" s="712">
        <f>Bilans_E_AMS_Kyoto_run3_MTE!H534</f>
        <v>0</v>
      </c>
      <c r="E51" s="712">
        <f>Bilans_E_AMS_Kyoto_run3_MTE!I534</f>
        <v>0</v>
      </c>
      <c r="F51" s="712">
        <f>Bilans_E_AMS_Kyoto_run3_MTE!J534</f>
        <v>0</v>
      </c>
      <c r="G51" s="712">
        <f>Bilans_E_AMS_Kyoto_run3_MTE!K534</f>
        <v>0</v>
      </c>
      <c r="H51" s="712">
        <f>Bilans_E_AMS_Kyoto_run3_MTE!L534</f>
        <v>0</v>
      </c>
      <c r="I51" s="712">
        <f>Bilans_E_AMS_Kyoto_run3_MTE!M534</f>
        <v>0</v>
      </c>
      <c r="J51" s="712">
        <f>Bilans_E_AMS_Kyoto_run3_MTE!N534</f>
        <v>0</v>
      </c>
      <c r="K51" s="712">
        <f>Bilans_E_AMS_Kyoto_run3_MTE!O534</f>
        <v>0</v>
      </c>
      <c r="L51" s="712">
        <f>Bilans_E_AMS_Kyoto_run3_MTE!P534</f>
        <v>0</v>
      </c>
      <c r="M51" s="712">
        <f>Bilans_E_AMS_Kyoto_run3_MTE!Q534</f>
        <v>0</v>
      </c>
      <c r="N51" s="712">
        <f>Bilans_E_AMS_Kyoto_run3_MTE!R534</f>
        <v>-12.102055378039722</v>
      </c>
      <c r="O51" s="712">
        <f>Bilans_E_AMS_Kyoto_run3_MTE!S534</f>
        <v>-3.7955214595352373</v>
      </c>
      <c r="P51" s="712">
        <f>Bilans_E_AMS_Kyoto_run3_MTE!T534+Bilans_E_AMS_Kyoto_run3_MTE!U534</f>
        <v>0</v>
      </c>
      <c r="Q51" s="712">
        <f>Bilans_E_AMS_Kyoto_run3_MTE!V534</f>
        <v>0</v>
      </c>
      <c r="R51" s="712">
        <f>Bilans_E_AMS_Kyoto_run3_MTE!W534</f>
        <v>-28.679288227585289</v>
      </c>
      <c r="S51" s="712">
        <f>Bilans_E_AMS_Kyoto_run3_MTE!X534</f>
        <v>0</v>
      </c>
      <c r="T51" s="712">
        <f>Bilans_E_AMS_Kyoto_run3_MTE!Y534</f>
        <v>0</v>
      </c>
      <c r="U51" s="712">
        <f>Bilans_E_AMS_Kyoto_run3_MTE!Z534</f>
        <v>-44.576865065160248</v>
      </c>
      <c r="V51" s="701"/>
      <c r="W51" s="701"/>
    </row>
    <row r="52" spans="1:23" x14ac:dyDescent="0.25">
      <c r="A52" s="701" t="s">
        <v>490</v>
      </c>
      <c r="B52" s="701"/>
      <c r="C52" s="710" t="s">
        <v>62</v>
      </c>
      <c r="D52" s="711">
        <f>Bilans_E_AMS_Kyoto_run3_MTE!H535</f>
        <v>0</v>
      </c>
      <c r="E52" s="711">
        <f>Bilans_E_AMS_Kyoto_run3_MTE!I535</f>
        <v>0</v>
      </c>
      <c r="F52" s="711">
        <f>Bilans_E_AMS_Kyoto_run3_MTE!J535</f>
        <v>-1.2057976620084264E-3</v>
      </c>
      <c r="G52" s="711">
        <f>Bilans_E_AMS_Kyoto_run3_MTE!K535</f>
        <v>-2.8026264036035151</v>
      </c>
      <c r="H52" s="711">
        <f>Bilans_E_AMS_Kyoto_run3_MTE!L535</f>
        <v>0</v>
      </c>
      <c r="I52" s="711">
        <f>Bilans_E_AMS_Kyoto_run3_MTE!M535</f>
        <v>-2.8026264036035156</v>
      </c>
      <c r="J52" s="711">
        <f>Bilans_E_AMS_Kyoto_run3_MTE!N535</f>
        <v>0</v>
      </c>
      <c r="K52" s="711">
        <f>Bilans_E_AMS_Kyoto_run3_MTE!O535</f>
        <v>0</v>
      </c>
      <c r="L52" s="711">
        <f>Bilans_E_AMS_Kyoto_run3_MTE!P535</f>
        <v>0</v>
      </c>
      <c r="M52" s="711">
        <f>Bilans_E_AMS_Kyoto_run3_MTE!Q535</f>
        <v>0</v>
      </c>
      <c r="N52" s="711">
        <f>Bilans_E_AMS_Kyoto_run3_MTE!R535</f>
        <v>0</v>
      </c>
      <c r="O52" s="711">
        <f>Bilans_E_AMS_Kyoto_run3_MTE!S535</f>
        <v>-2.4289428831230464</v>
      </c>
      <c r="P52" s="711">
        <f>Bilans_E_AMS_Kyoto_run3_MTE!T535+Bilans_E_AMS_Kyoto_run3_MTE!U535</f>
        <v>0</v>
      </c>
      <c r="Q52" s="711">
        <f>Bilans_E_AMS_Kyoto_run3_MTE!V535</f>
        <v>0</v>
      </c>
      <c r="R52" s="711">
        <f>Bilans_E_AMS_Kyoto_run3_MTE!W535</f>
        <v>0</v>
      </c>
      <c r="S52" s="711">
        <f>Bilans_E_AMS_Kyoto_run3_MTE!X535</f>
        <v>0</v>
      </c>
      <c r="T52" s="711">
        <f>Bilans_E_AMS_Kyoto_run3_MTE!Y535</f>
        <v>-1.3066910843207444</v>
      </c>
      <c r="U52" s="711">
        <f>Bilans_E_AMS_Kyoto_run3_MTE!Z535</f>
        <v>-9.342092572312831</v>
      </c>
      <c r="V52" s="701"/>
      <c r="W52" s="701"/>
    </row>
    <row r="53" spans="1:23" x14ac:dyDescent="0.25">
      <c r="A53" s="701" t="s">
        <v>491</v>
      </c>
      <c r="B53" s="701"/>
      <c r="C53" s="710" t="s">
        <v>63</v>
      </c>
      <c r="D53" s="711">
        <f>Bilans_E_AMS_Kyoto_run3_MTE!H536</f>
        <v>0</v>
      </c>
      <c r="E53" s="711">
        <f>Bilans_E_AMS_Kyoto_run3_MTE!I536</f>
        <v>0</v>
      </c>
      <c r="F53" s="711">
        <f>Bilans_E_AMS_Kyoto_run3_MTE!J536</f>
        <v>-7</v>
      </c>
      <c r="G53" s="711">
        <f>Bilans_E_AMS_Kyoto_run3_MTE!K536</f>
        <v>-25</v>
      </c>
      <c r="H53" s="711">
        <f>Bilans_E_AMS_Kyoto_run3_MTE!L536</f>
        <v>0</v>
      </c>
      <c r="I53" s="711">
        <f>Bilans_E_AMS_Kyoto_run3_MTE!M536</f>
        <v>0</v>
      </c>
      <c r="J53" s="711">
        <f>Bilans_E_AMS_Kyoto_run3_MTE!N536</f>
        <v>0</v>
      </c>
      <c r="K53" s="711">
        <f>Bilans_E_AMS_Kyoto_run3_MTE!O536</f>
        <v>0</v>
      </c>
      <c r="L53" s="711">
        <f>Bilans_E_AMS_Kyoto_run3_MTE!P536</f>
        <v>0</v>
      </c>
      <c r="M53" s="711">
        <f>Bilans_E_AMS_Kyoto_run3_MTE!Q536</f>
        <v>0</v>
      </c>
      <c r="N53" s="711">
        <f>Bilans_E_AMS_Kyoto_run3_MTE!R536</f>
        <v>-17</v>
      </c>
      <c r="O53" s="711">
        <f>Bilans_E_AMS_Kyoto_run3_MTE!S536</f>
        <v>0</v>
      </c>
      <c r="P53" s="711">
        <f>Bilans_E_AMS_Kyoto_run3_MTE!T536+Bilans_E_AMS_Kyoto_run3_MTE!U536</f>
        <v>0</v>
      </c>
      <c r="Q53" s="711">
        <f>Bilans_E_AMS_Kyoto_run3_MTE!V536</f>
        <v>0</v>
      </c>
      <c r="R53" s="711">
        <f>Bilans_E_AMS_Kyoto_run3_MTE!W536</f>
        <v>0</v>
      </c>
      <c r="S53" s="711">
        <f>Bilans_E_AMS_Kyoto_run3_MTE!X536</f>
        <v>0</v>
      </c>
      <c r="T53" s="711">
        <f>Bilans_E_AMS_Kyoto_run3_MTE!Y536</f>
        <v>-8</v>
      </c>
      <c r="U53" s="711">
        <f>Bilans_E_AMS_Kyoto_run3_MTE!Z536</f>
        <v>-57</v>
      </c>
      <c r="V53" s="701"/>
      <c r="W53" s="701"/>
    </row>
    <row r="54" spans="1:23" x14ac:dyDescent="0.25">
      <c r="A54" s="701" t="s">
        <v>492</v>
      </c>
      <c r="B54" s="701"/>
      <c r="C54" s="710" t="s">
        <v>64</v>
      </c>
      <c r="D54" s="712">
        <f>Bilans_E_AMS_Kyoto_run3_MTE!H537</f>
        <v>0</v>
      </c>
      <c r="E54" s="712">
        <f>Bilans_E_AMS_Kyoto_run3_MTE!I537</f>
        <v>0</v>
      </c>
      <c r="F54" s="712">
        <f>Bilans_E_AMS_Kyoto_run3_MTE!J537</f>
        <v>0</v>
      </c>
      <c r="G54" s="712">
        <f>Bilans_E_AMS_Kyoto_run3_MTE!K537</f>
        <v>0</v>
      </c>
      <c r="H54" s="712">
        <f>Bilans_E_AMS_Kyoto_run3_MTE!L537</f>
        <v>0</v>
      </c>
      <c r="I54" s="712">
        <f>Bilans_E_AMS_Kyoto_run3_MTE!M537</f>
        <v>0</v>
      </c>
      <c r="J54" s="712">
        <f>Bilans_E_AMS_Kyoto_run3_MTE!N537</f>
        <v>0</v>
      </c>
      <c r="K54" s="712">
        <f>Bilans_E_AMS_Kyoto_run3_MTE!O537</f>
        <v>0</v>
      </c>
      <c r="L54" s="712">
        <f>Bilans_E_AMS_Kyoto_run3_MTE!P537</f>
        <v>0</v>
      </c>
      <c r="M54" s="712">
        <f>Bilans_E_AMS_Kyoto_run3_MTE!Q537</f>
        <v>0</v>
      </c>
      <c r="N54" s="712">
        <f>Bilans_E_AMS_Kyoto_run3_MTE!R537</f>
        <v>0</v>
      </c>
      <c r="O54" s="712">
        <f>Bilans_E_AMS_Kyoto_run3_MTE!S537</f>
        <v>0</v>
      </c>
      <c r="P54" s="712">
        <f>Bilans_E_AMS_Kyoto_run3_MTE!T537+Bilans_E_AMS_Kyoto_run3_MTE!U537</f>
        <v>0</v>
      </c>
      <c r="Q54" s="712">
        <f>Bilans_E_AMS_Kyoto_run3_MTE!V537</f>
        <v>0</v>
      </c>
      <c r="R54" s="712">
        <f>Bilans_E_AMS_Kyoto_run3_MTE!W537</f>
        <v>0</v>
      </c>
      <c r="S54" s="712">
        <f>Bilans_E_AMS_Kyoto_run3_MTE!X537</f>
        <v>0</v>
      </c>
      <c r="T54" s="712">
        <f>Bilans_E_AMS_Kyoto_run3_MTE!Y537</f>
        <v>0</v>
      </c>
      <c r="U54" s="712">
        <f>Bilans_E_AMS_Kyoto_run3_MTE!Z537</f>
        <v>0</v>
      </c>
      <c r="V54" s="701"/>
      <c r="W54" s="701"/>
    </row>
    <row r="55" spans="1:23" x14ac:dyDescent="0.25">
      <c r="A55" s="701" t="s">
        <v>493</v>
      </c>
      <c r="B55" s="701"/>
      <c r="C55" s="713" t="s">
        <v>65</v>
      </c>
      <c r="D55" s="714">
        <f>Bilans_E_AMS_Kyoto_run3_MTE!H538</f>
        <v>0</v>
      </c>
      <c r="E55" s="714">
        <f>Bilans_E_AMS_Kyoto_run3_MTE!I538</f>
        <v>58.863651738299311</v>
      </c>
      <c r="F55" s="714">
        <f>Bilans_E_AMS_Kyoto_run3_MTE!J538</f>
        <v>38.755466270016868</v>
      </c>
      <c r="G55" s="714">
        <f>Bilans_E_AMS_Kyoto_run3_MTE!K538</f>
        <v>-15.770467357858863</v>
      </c>
      <c r="H55" s="714">
        <f>Bilans_E_AMS_Kyoto_run3_MTE!L538</f>
        <v>7.019987079045241</v>
      </c>
      <c r="I55" s="714">
        <f>Bilans_E_AMS_Kyoto_run3_MTE!M538</f>
        <v>-2.8026264036035156</v>
      </c>
      <c r="J55" s="714">
        <f>Bilans_E_AMS_Kyoto_run3_MTE!N538</f>
        <v>807.37795933495636</v>
      </c>
      <c r="K55" s="714">
        <f>Bilans_E_AMS_Kyoto_run3_MTE!O538</f>
        <v>553.99388589395949</v>
      </c>
      <c r="L55" s="714">
        <f>Bilans_E_AMS_Kyoto_run3_MTE!P538</f>
        <v>424.07663332024731</v>
      </c>
      <c r="M55" s="714">
        <f>Bilans_E_AMS_Kyoto_run3_MTE!Q538</f>
        <v>43.888349788112322</v>
      </c>
      <c r="N55" s="714">
        <f>Bilans_E_AMS_Kyoto_run3_MTE!R538</f>
        <v>-29.102055378039722</v>
      </c>
      <c r="O55" s="714">
        <f>Bilans_E_AMS_Kyoto_run3_MTE!S538</f>
        <v>-6.2244643426582833</v>
      </c>
      <c r="P55" s="714">
        <f>Bilans_E_AMS_Kyoto_run3_MTE!T538+Bilans_E_AMS_Kyoto_run3_MTE!U538</f>
        <v>274.41854375041947</v>
      </c>
      <c r="Q55" s="714">
        <f>Bilans_E_AMS_Kyoto_run3_MTE!V538</f>
        <v>50.723080686002739</v>
      </c>
      <c r="R55" s="714">
        <f>Bilans_E_AMS_Kyoto_run3_MTE!W538</f>
        <v>-28.679288227585289</v>
      </c>
      <c r="S55" s="714">
        <f>Bilans_E_AMS_Kyoto_run3_MTE!X538</f>
        <v>0</v>
      </c>
      <c r="T55" s="714">
        <f>Bilans_E_AMS_Kyoto_run3_MTE!Y538</f>
        <v>-9.3066910843207449</v>
      </c>
      <c r="U55" s="714">
        <f>Bilans_E_AMS_Kyoto_run3_MTE!Z538</f>
        <v>2167.2319650669929</v>
      </c>
      <c r="V55" s="701"/>
      <c r="W55" s="701"/>
    </row>
    <row r="56" spans="1:23" x14ac:dyDescent="0.25">
      <c r="A56" s="701"/>
      <c r="B56" s="701"/>
      <c r="C56" s="715"/>
      <c r="D56" s="716"/>
      <c r="E56" s="716"/>
      <c r="F56" s="716"/>
      <c r="G56" s="716"/>
      <c r="H56" s="716"/>
      <c r="I56" s="716"/>
      <c r="J56" s="716"/>
      <c r="K56" s="716"/>
      <c r="L56" s="716"/>
      <c r="M56" s="716"/>
      <c r="N56" s="716"/>
      <c r="O56" s="716"/>
      <c r="P56" s="716">
        <f>Bilans_E_AMS_Kyoto_run3_MTE!T539+Bilans_E_AMS_Kyoto_run3_MTE!U539</f>
        <v>0</v>
      </c>
      <c r="Q56" s="716"/>
      <c r="R56" s="716"/>
      <c r="S56" s="716"/>
      <c r="T56" s="716"/>
      <c r="U56" s="716"/>
      <c r="V56" s="701"/>
      <c r="W56" s="701"/>
    </row>
    <row r="57" spans="1:23" x14ac:dyDescent="0.25">
      <c r="A57" s="701" t="s">
        <v>494</v>
      </c>
      <c r="B57" s="701"/>
      <c r="C57" s="717" t="s">
        <v>67</v>
      </c>
      <c r="D57" s="711">
        <f>Bilans_E_AMS_Kyoto_run3_MTE!H540</f>
        <v>0</v>
      </c>
      <c r="E57" s="711">
        <f>Bilans_E_AMS_Kyoto_run3_MTE!I540</f>
        <v>0</v>
      </c>
      <c r="F57" s="711">
        <f>Bilans_E_AMS_Kyoto_run3_MTE!J540</f>
        <v>0</v>
      </c>
      <c r="G57" s="711">
        <f>Bilans_E_AMS_Kyoto_run3_MTE!K540</f>
        <v>0</v>
      </c>
      <c r="H57" s="711">
        <f>Bilans_E_AMS_Kyoto_run3_MTE!L540</f>
        <v>0</v>
      </c>
      <c r="I57" s="711">
        <f>Bilans_E_AMS_Kyoto_run3_MTE!M540</f>
        <v>0</v>
      </c>
      <c r="J57" s="711">
        <f>Bilans_E_AMS_Kyoto_run3_MTE!N540</f>
        <v>0</v>
      </c>
      <c r="K57" s="711">
        <f>Bilans_E_AMS_Kyoto_run3_MTE!O540</f>
        <v>0</v>
      </c>
      <c r="L57" s="711">
        <f>Bilans_E_AMS_Kyoto_run3_MTE!P540</f>
        <v>0</v>
      </c>
      <c r="M57" s="711">
        <f>Bilans_E_AMS_Kyoto_run3_MTE!Q540</f>
        <v>0</v>
      </c>
      <c r="N57" s="711">
        <f>Bilans_E_AMS_Kyoto_run3_MTE!R540</f>
        <v>0</v>
      </c>
      <c r="O57" s="711">
        <f>Bilans_E_AMS_Kyoto_run3_MTE!S540</f>
        <v>0</v>
      </c>
      <c r="P57" s="711">
        <f>Bilans_E_AMS_Kyoto_run3_MTE!T540+Bilans_E_AMS_Kyoto_run3_MTE!U540</f>
        <v>0</v>
      </c>
      <c r="Q57" s="711">
        <f>Bilans_E_AMS_Kyoto_run3_MTE!V540</f>
        <v>0</v>
      </c>
      <c r="R57" s="711">
        <f>Bilans_E_AMS_Kyoto_run3_MTE!W540</f>
        <v>0</v>
      </c>
      <c r="S57" s="711">
        <f>Bilans_E_AMS_Kyoto_run3_MTE!X540</f>
        <v>0</v>
      </c>
      <c r="T57" s="711">
        <f>Bilans_E_AMS_Kyoto_run3_MTE!Y540</f>
        <v>0</v>
      </c>
      <c r="U57" s="711">
        <f>Bilans_E_AMS_Kyoto_run3_MTE!Z540</f>
        <v>0</v>
      </c>
      <c r="V57" s="701"/>
      <c r="W57" s="701"/>
    </row>
    <row r="58" spans="1:23" x14ac:dyDescent="0.25">
      <c r="A58" s="701" t="s">
        <v>495</v>
      </c>
      <c r="B58" s="701"/>
      <c r="C58" s="717" t="s">
        <v>347</v>
      </c>
      <c r="D58" s="711">
        <f>Bilans_E_AMS_Kyoto_run3_MTE!H541</f>
        <v>0</v>
      </c>
      <c r="E58" s="711">
        <f>Bilans_E_AMS_Kyoto_run3_MTE!I541</f>
        <v>0</v>
      </c>
      <c r="F58" s="711">
        <f>Bilans_E_AMS_Kyoto_run3_MTE!J541</f>
        <v>0</v>
      </c>
      <c r="G58" s="711">
        <f>Bilans_E_AMS_Kyoto_run3_MTE!K541</f>
        <v>0</v>
      </c>
      <c r="H58" s="711">
        <f>Bilans_E_AMS_Kyoto_run3_MTE!L541</f>
        <v>0</v>
      </c>
      <c r="I58" s="711">
        <f>Bilans_E_AMS_Kyoto_run3_MTE!M541</f>
        <v>0</v>
      </c>
      <c r="J58" s="711">
        <f>Bilans_E_AMS_Kyoto_run3_MTE!N541</f>
        <v>797.92981818181818</v>
      </c>
      <c r="K58" s="711">
        <f>Bilans_E_AMS_Kyoto_run3_MTE!O541</f>
        <v>553.99388589395949</v>
      </c>
      <c r="L58" s="711">
        <f>Bilans_E_AMS_Kyoto_run3_MTE!P541</f>
        <v>18.017312138261726</v>
      </c>
      <c r="M58" s="711">
        <f>Bilans_E_AMS_Kyoto_run3_MTE!Q541</f>
        <v>5.0359913785352379</v>
      </c>
      <c r="N58" s="711">
        <f>Bilans_E_AMS_Kyoto_run3_MTE!R541</f>
        <v>6.5561937148871507</v>
      </c>
      <c r="O58" s="711">
        <f>Bilans_E_AMS_Kyoto_run3_MTE!S541</f>
        <v>0.11704136254218823</v>
      </c>
      <c r="P58" s="711">
        <f>Bilans_E_AMS_Kyoto_run3_MTE!T541+Bilans_E_AMS_Kyoto_run3_MTE!U541</f>
        <v>0</v>
      </c>
      <c r="Q58" s="711">
        <f>Bilans_E_AMS_Kyoto_run3_MTE!V541</f>
        <v>6.7631767445353068</v>
      </c>
      <c r="R58" s="711">
        <f>Bilans_E_AMS_Kyoto_run3_MTE!W541</f>
        <v>-834.6881786149205</v>
      </c>
      <c r="S58" s="711">
        <f>Bilans_E_AMS_Kyoto_run3_MTE!X541</f>
        <v>0</v>
      </c>
      <c r="T58" s="711">
        <f>Bilans_E_AMS_Kyoto_run3_MTE!Y541</f>
        <v>0</v>
      </c>
      <c r="U58" s="711">
        <f>Bilans_E_AMS_Kyoto_run3_MTE!Z541</f>
        <v>553.72524079961875</v>
      </c>
      <c r="V58" s="701"/>
      <c r="W58" s="701"/>
    </row>
    <row r="59" spans="1:23" x14ac:dyDescent="0.25">
      <c r="A59" s="701" t="s">
        <v>496</v>
      </c>
      <c r="B59" s="701"/>
      <c r="C59" s="717" t="s">
        <v>348</v>
      </c>
      <c r="D59" s="711">
        <f>Bilans_E_AMS_Kyoto_run3_MTE!H542</f>
        <v>0</v>
      </c>
      <c r="E59" s="711">
        <f>Bilans_E_AMS_Kyoto_run3_MTE!I542</f>
        <v>0</v>
      </c>
      <c r="F59" s="711">
        <f>Bilans_E_AMS_Kyoto_run3_MTE!J542</f>
        <v>0</v>
      </c>
      <c r="G59" s="711">
        <f>Bilans_E_AMS_Kyoto_run3_MTE!K542</f>
        <v>0</v>
      </c>
      <c r="H59" s="711">
        <f>Bilans_E_AMS_Kyoto_run3_MTE!L542</f>
        <v>0</v>
      </c>
      <c r="I59" s="711">
        <f>Bilans_E_AMS_Kyoto_run3_MTE!M542</f>
        <v>0.44183816383617902</v>
      </c>
      <c r="J59" s="711">
        <f>Bilans_E_AMS_Kyoto_run3_MTE!N542</f>
        <v>9.448141153138188</v>
      </c>
      <c r="K59" s="711">
        <f>Bilans_E_AMS_Kyoto_run3_MTE!O542</f>
        <v>0</v>
      </c>
      <c r="L59" s="711">
        <f>Bilans_E_AMS_Kyoto_run3_MTE!P542</f>
        <v>23.543561697387847</v>
      </c>
      <c r="M59" s="711">
        <f>Bilans_E_AMS_Kyoto_run3_MTE!Q542</f>
        <v>10.266401321700496</v>
      </c>
      <c r="N59" s="711">
        <f>Bilans_E_AMS_Kyoto_run3_MTE!R542</f>
        <v>0</v>
      </c>
      <c r="O59" s="711">
        <f>Bilans_E_AMS_Kyoto_run3_MTE!S542</f>
        <v>8.4106289047241454</v>
      </c>
      <c r="P59" s="711">
        <f>Bilans_E_AMS_Kyoto_run3_MTE!T542+Bilans_E_AMS_Kyoto_run3_MTE!U542</f>
        <v>22.572621073808037</v>
      </c>
      <c r="Q59" s="711">
        <f>Bilans_E_AMS_Kyoto_run3_MTE!V542</f>
        <v>12.943396433622139</v>
      </c>
      <c r="R59" s="711">
        <f>Bilans_E_AMS_Kyoto_run3_MTE!W542</f>
        <v>0</v>
      </c>
      <c r="S59" s="711">
        <f>Bilans_E_AMS_Kyoto_run3_MTE!X542</f>
        <v>-82.703064296862223</v>
      </c>
      <c r="T59" s="711">
        <f>Bilans_E_AMS_Kyoto_run3_MTE!Y542</f>
        <v>0</v>
      </c>
      <c r="U59" s="711">
        <f>Bilans_E_AMS_Kyoto_run3_MTE!Z542</f>
        <v>4.9235244513548082</v>
      </c>
      <c r="V59" s="701"/>
      <c r="W59" s="701"/>
    </row>
    <row r="60" spans="1:23" x14ac:dyDescent="0.25">
      <c r="A60" s="701" t="s">
        <v>497</v>
      </c>
      <c r="B60" s="701"/>
      <c r="C60" s="717" t="s">
        <v>349</v>
      </c>
      <c r="D60" s="711">
        <f>Bilans_E_AMS_Kyoto_run3_MTE!H543</f>
        <v>0</v>
      </c>
      <c r="E60" s="711">
        <f>Bilans_E_AMS_Kyoto_run3_MTE!I543</f>
        <v>0</v>
      </c>
      <c r="F60" s="711">
        <f>Bilans_E_AMS_Kyoto_run3_MTE!J543</f>
        <v>0</v>
      </c>
      <c r="G60" s="711">
        <f>Bilans_E_AMS_Kyoto_run3_MTE!K543</f>
        <v>0</v>
      </c>
      <c r="H60" s="711">
        <f>Bilans_E_AMS_Kyoto_run3_MTE!L543</f>
        <v>0</v>
      </c>
      <c r="I60" s="711">
        <f>Bilans_E_AMS_Kyoto_run3_MTE!M543</f>
        <v>0</v>
      </c>
      <c r="J60" s="711">
        <f>Bilans_E_AMS_Kyoto_run3_MTE!N543</f>
        <v>0</v>
      </c>
      <c r="K60" s="711">
        <f>Bilans_E_AMS_Kyoto_run3_MTE!O543</f>
        <v>0</v>
      </c>
      <c r="L60" s="711">
        <f>Bilans_E_AMS_Kyoto_run3_MTE!P543</f>
        <v>177.56965686689</v>
      </c>
      <c r="M60" s="711">
        <f>Bilans_E_AMS_Kyoto_run3_MTE!Q543</f>
        <v>14.007374273227594</v>
      </c>
      <c r="N60" s="711">
        <f>Bilans_E_AMS_Kyoto_run3_MTE!R543</f>
        <v>0</v>
      </c>
      <c r="O60" s="711">
        <f>Bilans_E_AMS_Kyoto_run3_MTE!S543</f>
        <v>-95.874066928158982</v>
      </c>
      <c r="P60" s="711">
        <f>Bilans_E_AMS_Kyoto_run3_MTE!T543+Bilans_E_AMS_Kyoto_run3_MTE!U543</f>
        <v>0</v>
      </c>
      <c r="Q60" s="711">
        <f>Bilans_E_AMS_Kyoto_run3_MTE!V543</f>
        <v>0</v>
      </c>
      <c r="R60" s="711">
        <f>Bilans_E_AMS_Kyoto_run3_MTE!W543</f>
        <v>0</v>
      </c>
      <c r="S60" s="711">
        <f>Bilans_E_AMS_Kyoto_run3_MTE!X543</f>
        <v>0</v>
      </c>
      <c r="T60" s="711">
        <f>Bilans_E_AMS_Kyoto_run3_MTE!Y543</f>
        <v>0</v>
      </c>
      <c r="U60" s="711">
        <f>Bilans_E_AMS_Kyoto_run3_MTE!Z543</f>
        <v>95.702964211958601</v>
      </c>
      <c r="V60" s="701"/>
      <c r="W60" s="701"/>
    </row>
    <row r="61" spans="1:23" x14ac:dyDescent="0.25">
      <c r="A61" s="701" t="s">
        <v>498</v>
      </c>
      <c r="B61" s="701"/>
      <c r="C61" s="717" t="s">
        <v>350</v>
      </c>
      <c r="D61" s="711">
        <f>Bilans_E_AMS_Kyoto_run3_MTE!H544</f>
        <v>0</v>
      </c>
      <c r="E61" s="711">
        <f>Bilans_E_AMS_Kyoto_run3_MTE!I544</f>
        <v>0</v>
      </c>
      <c r="F61" s="711">
        <f>Bilans_E_AMS_Kyoto_run3_MTE!J544</f>
        <v>0</v>
      </c>
      <c r="G61" s="711">
        <f>Bilans_E_AMS_Kyoto_run3_MTE!K544</f>
        <v>0</v>
      </c>
      <c r="H61" s="711">
        <f>Bilans_E_AMS_Kyoto_run3_MTE!L544</f>
        <v>0</v>
      </c>
      <c r="I61" s="711">
        <f>Bilans_E_AMS_Kyoto_run3_MTE!M544</f>
        <v>-7.5120211335666909</v>
      </c>
      <c r="J61" s="711">
        <f>Bilans_E_AMS_Kyoto_run3_MTE!N544</f>
        <v>0</v>
      </c>
      <c r="K61" s="711">
        <f>Bilans_E_AMS_Kyoto_run3_MTE!O544</f>
        <v>0</v>
      </c>
      <c r="L61" s="711">
        <f>Bilans_E_AMS_Kyoto_run3_MTE!P544</f>
        <v>0</v>
      </c>
      <c r="M61" s="711">
        <f>Bilans_E_AMS_Kyoto_run3_MTE!Q544</f>
        <v>0</v>
      </c>
      <c r="N61" s="711">
        <f>Bilans_E_AMS_Kyoto_run3_MTE!R544</f>
        <v>0</v>
      </c>
      <c r="O61" s="711">
        <f>Bilans_E_AMS_Kyoto_run3_MTE!S544</f>
        <v>0</v>
      </c>
      <c r="P61" s="711">
        <f>Bilans_E_AMS_Kyoto_run3_MTE!T544+Bilans_E_AMS_Kyoto_run3_MTE!U544</f>
        <v>0</v>
      </c>
      <c r="Q61" s="711">
        <f>Bilans_E_AMS_Kyoto_run3_MTE!V544</f>
        <v>0</v>
      </c>
      <c r="R61" s="711">
        <f>Bilans_E_AMS_Kyoto_run3_MTE!W544</f>
        <v>0</v>
      </c>
      <c r="S61" s="711">
        <f>Bilans_E_AMS_Kyoto_run3_MTE!X544</f>
        <v>0</v>
      </c>
      <c r="T61" s="711">
        <f>Bilans_E_AMS_Kyoto_run3_MTE!Y544</f>
        <v>10.395912432015363</v>
      </c>
      <c r="U61" s="711">
        <f>Bilans_E_AMS_Kyoto_run3_MTE!Z544</f>
        <v>2.8838912984486722</v>
      </c>
      <c r="V61" s="701"/>
      <c r="W61" s="701"/>
    </row>
    <row r="62" spans="1:23" x14ac:dyDescent="0.25">
      <c r="A62" s="701" t="s">
        <v>499</v>
      </c>
      <c r="B62" s="701"/>
      <c r="C62" s="717" t="s">
        <v>72</v>
      </c>
      <c r="D62" s="711">
        <f>Bilans_E_AMS_Kyoto_run3_MTE!H545</f>
        <v>0</v>
      </c>
      <c r="E62" s="711">
        <f>Bilans_E_AMS_Kyoto_run3_MTE!I545</f>
        <v>60.999648796706254</v>
      </c>
      <c r="F62" s="711">
        <f>Bilans_E_AMS_Kyoto_run3_MTE!J545</f>
        <v>-60.389652308739187</v>
      </c>
      <c r="G62" s="711">
        <f>Bilans_E_AMS_Kyoto_run3_MTE!K545</f>
        <v>0</v>
      </c>
      <c r="H62" s="711">
        <f>Bilans_E_AMS_Kyoto_run3_MTE!L545</f>
        <v>0</v>
      </c>
      <c r="I62" s="711">
        <f>Bilans_E_AMS_Kyoto_run3_MTE!M545</f>
        <v>0</v>
      </c>
      <c r="J62" s="711">
        <f>Bilans_E_AMS_Kyoto_run3_MTE!N545</f>
        <v>0</v>
      </c>
      <c r="K62" s="711">
        <f>Bilans_E_AMS_Kyoto_run3_MTE!O545</f>
        <v>0</v>
      </c>
      <c r="L62" s="711">
        <f>Bilans_E_AMS_Kyoto_run3_MTE!P545</f>
        <v>0</v>
      </c>
      <c r="M62" s="711">
        <f>Bilans_E_AMS_Kyoto_run3_MTE!Q545</f>
        <v>0</v>
      </c>
      <c r="N62" s="711">
        <f>Bilans_E_AMS_Kyoto_run3_MTE!R545</f>
        <v>0</v>
      </c>
      <c r="O62" s="711">
        <f>Bilans_E_AMS_Kyoto_run3_MTE!S545</f>
        <v>0</v>
      </c>
      <c r="P62" s="711">
        <f>Bilans_E_AMS_Kyoto_run3_MTE!T545+Bilans_E_AMS_Kyoto_run3_MTE!U545</f>
        <v>0</v>
      </c>
      <c r="Q62" s="711">
        <f>Bilans_E_AMS_Kyoto_run3_MTE!V545</f>
        <v>0</v>
      </c>
      <c r="R62" s="711">
        <f>Bilans_E_AMS_Kyoto_run3_MTE!W545</f>
        <v>0</v>
      </c>
      <c r="S62" s="711">
        <f>Bilans_E_AMS_Kyoto_run3_MTE!X545</f>
        <v>0</v>
      </c>
      <c r="T62" s="711">
        <f>Bilans_E_AMS_Kyoto_run3_MTE!Y545</f>
        <v>0</v>
      </c>
      <c r="U62" s="711">
        <f>Bilans_E_AMS_Kyoto_run3_MTE!Z545</f>
        <v>0.60999648796706651</v>
      </c>
      <c r="V62" s="701"/>
      <c r="W62" s="701"/>
    </row>
    <row r="63" spans="1:23" x14ac:dyDescent="0.25">
      <c r="A63" s="701" t="s">
        <v>500</v>
      </c>
      <c r="B63" s="701"/>
      <c r="C63" s="717" t="s">
        <v>351</v>
      </c>
      <c r="D63" s="711">
        <f>Bilans_E_AMS_Kyoto_run3_MTE!H546</f>
        <v>0</v>
      </c>
      <c r="E63" s="711">
        <f>Bilans_E_AMS_Kyoto_run3_MTE!I546</f>
        <v>0</v>
      </c>
      <c r="F63" s="711">
        <f>Bilans_E_AMS_Kyoto_run3_MTE!J546</f>
        <v>0</v>
      </c>
      <c r="G63" s="711">
        <f>Bilans_E_AMS_Kyoto_run3_MTE!K546</f>
        <v>0</v>
      </c>
      <c r="H63" s="711">
        <f>Bilans_E_AMS_Kyoto_run3_MTE!L546</f>
        <v>0</v>
      </c>
      <c r="I63" s="711">
        <f>Bilans_E_AMS_Kyoto_run3_MTE!M546</f>
        <v>0</v>
      </c>
      <c r="J63" s="711">
        <f>Bilans_E_AMS_Kyoto_run3_MTE!N546</f>
        <v>0</v>
      </c>
      <c r="K63" s="711">
        <f>Bilans_E_AMS_Kyoto_run3_MTE!O546</f>
        <v>0</v>
      </c>
      <c r="L63" s="711">
        <f>Bilans_E_AMS_Kyoto_run3_MTE!P546</f>
        <v>112.15319289997592</v>
      </c>
      <c r="M63" s="711">
        <f>Bilans_E_AMS_Kyoto_run3_MTE!Q546</f>
        <v>7.2727272727272725</v>
      </c>
      <c r="N63" s="711">
        <f>Bilans_E_AMS_Kyoto_run3_MTE!R546</f>
        <v>-66.38461722515251</v>
      </c>
      <c r="O63" s="711">
        <f>Bilans_E_AMS_Kyoto_run3_MTE!S546</f>
        <v>0</v>
      </c>
      <c r="P63" s="711">
        <f>Bilans_E_AMS_Kyoto_run3_MTE!T546+Bilans_E_AMS_Kyoto_run3_MTE!U546</f>
        <v>0</v>
      </c>
      <c r="Q63" s="711">
        <f>Bilans_E_AMS_Kyoto_run3_MTE!V546</f>
        <v>0</v>
      </c>
      <c r="R63" s="711">
        <f>Bilans_E_AMS_Kyoto_run3_MTE!W546</f>
        <v>0</v>
      </c>
      <c r="S63" s="711">
        <f>Bilans_E_AMS_Kyoto_run3_MTE!X546</f>
        <v>0</v>
      </c>
      <c r="T63" s="711">
        <f>Bilans_E_AMS_Kyoto_run3_MTE!Y546</f>
        <v>0</v>
      </c>
      <c r="U63" s="711">
        <f>Bilans_E_AMS_Kyoto_run3_MTE!Z546</f>
        <v>53.041302947550676</v>
      </c>
      <c r="V63" s="701"/>
      <c r="W63" s="701"/>
    </row>
    <row r="64" spans="1:23" x14ac:dyDescent="0.25">
      <c r="A64" s="701" t="s">
        <v>501</v>
      </c>
      <c r="B64" s="701"/>
      <c r="C64" s="717" t="s">
        <v>352</v>
      </c>
      <c r="D64" s="711">
        <f>Bilans_E_AMS_Kyoto_run3_MTE!H547</f>
        <v>0</v>
      </c>
      <c r="E64" s="711">
        <f>Bilans_E_AMS_Kyoto_run3_MTE!I547</f>
        <v>0</v>
      </c>
      <c r="F64" s="711">
        <f>Bilans_E_AMS_Kyoto_run3_MTE!J547</f>
        <v>0</v>
      </c>
      <c r="G64" s="711">
        <f>Bilans_E_AMS_Kyoto_run3_MTE!K547</f>
        <v>-24.740126403603515</v>
      </c>
      <c r="H64" s="711">
        <f>Bilans_E_AMS_Kyoto_run3_MTE!L547</f>
        <v>0</v>
      </c>
      <c r="I64" s="711">
        <f>Bilans_E_AMS_Kyoto_run3_MTE!M547</f>
        <v>0</v>
      </c>
      <c r="J64" s="711">
        <f>Bilans_E_AMS_Kyoto_run3_MTE!N547</f>
        <v>0</v>
      </c>
      <c r="K64" s="711">
        <f>Bilans_E_AMS_Kyoto_run3_MTE!O547</f>
        <v>0</v>
      </c>
      <c r="L64" s="711">
        <f>Bilans_E_AMS_Kyoto_run3_MTE!P547</f>
        <v>0</v>
      </c>
      <c r="M64" s="711">
        <f>Bilans_E_AMS_Kyoto_run3_MTE!Q547</f>
        <v>0</v>
      </c>
      <c r="N64" s="711">
        <f>Bilans_E_AMS_Kyoto_run3_MTE!R547</f>
        <v>0</v>
      </c>
      <c r="O64" s="711">
        <f>Bilans_E_AMS_Kyoto_run3_MTE!S547</f>
        <v>0</v>
      </c>
      <c r="P64" s="711">
        <f>Bilans_E_AMS_Kyoto_run3_MTE!T547+Bilans_E_AMS_Kyoto_run3_MTE!U547</f>
        <v>0</v>
      </c>
      <c r="Q64" s="711">
        <f>Bilans_E_AMS_Kyoto_run3_MTE!V547</f>
        <v>0</v>
      </c>
      <c r="R64" s="711">
        <f>Bilans_E_AMS_Kyoto_run3_MTE!W547</f>
        <v>0</v>
      </c>
      <c r="S64" s="711">
        <f>Bilans_E_AMS_Kyoto_run3_MTE!X547</f>
        <v>0</v>
      </c>
      <c r="T64" s="711">
        <f>Bilans_E_AMS_Kyoto_run3_MTE!Y547</f>
        <v>41.692889043963866</v>
      </c>
      <c r="U64" s="711">
        <f>Bilans_E_AMS_Kyoto_run3_MTE!Z547</f>
        <v>16.952762640360351</v>
      </c>
      <c r="V64" s="701"/>
      <c r="W64" s="701"/>
    </row>
    <row r="65" spans="1:23" x14ac:dyDescent="0.25">
      <c r="A65" s="701" t="s">
        <v>502</v>
      </c>
      <c r="B65" s="701"/>
      <c r="C65" s="717" t="s">
        <v>73</v>
      </c>
      <c r="D65" s="711">
        <f>Bilans_E_AMS_Kyoto_run3_MTE!H548</f>
        <v>0</v>
      </c>
      <c r="E65" s="711">
        <f>Bilans_E_AMS_Kyoto_run3_MTE!I548</f>
        <v>0</v>
      </c>
      <c r="F65" s="711">
        <f>Bilans_E_AMS_Kyoto_run3_MTE!J548</f>
        <v>0</v>
      </c>
      <c r="G65" s="711">
        <f>Bilans_E_AMS_Kyoto_run3_MTE!K548</f>
        <v>0</v>
      </c>
      <c r="H65" s="711">
        <f>Bilans_E_AMS_Kyoto_run3_MTE!L548</f>
        <v>0</v>
      </c>
      <c r="I65" s="711">
        <f>Bilans_E_AMS_Kyoto_run3_MTE!M548</f>
        <v>0</v>
      </c>
      <c r="J65" s="711">
        <f>Bilans_E_AMS_Kyoto_run3_MTE!N548</f>
        <v>0</v>
      </c>
      <c r="K65" s="711">
        <f>Bilans_E_AMS_Kyoto_run3_MTE!O548</f>
        <v>0</v>
      </c>
      <c r="L65" s="711">
        <f>Bilans_E_AMS_Kyoto_run3_MTE!P548</f>
        <v>0</v>
      </c>
      <c r="M65" s="711">
        <f>Bilans_E_AMS_Kyoto_run3_MTE!Q548</f>
        <v>0</v>
      </c>
      <c r="N65" s="711">
        <f>Bilans_E_AMS_Kyoto_run3_MTE!R548</f>
        <v>0</v>
      </c>
      <c r="O65" s="711">
        <f>Bilans_E_AMS_Kyoto_run3_MTE!S548</f>
        <v>0</v>
      </c>
      <c r="P65" s="711">
        <f>Bilans_E_AMS_Kyoto_run3_MTE!T548+Bilans_E_AMS_Kyoto_run3_MTE!U548</f>
        <v>0</v>
      </c>
      <c r="Q65" s="711">
        <f>Bilans_E_AMS_Kyoto_run3_MTE!V548</f>
        <v>0</v>
      </c>
      <c r="R65" s="711">
        <f>Bilans_E_AMS_Kyoto_run3_MTE!W548</f>
        <v>127.55076516290167</v>
      </c>
      <c r="S65" s="711">
        <f>Bilans_E_AMS_Kyoto_run3_MTE!X548</f>
        <v>0</v>
      </c>
      <c r="T65" s="711">
        <f>Bilans_E_AMS_Kyoto_run3_MTE!Y548</f>
        <v>-91.836550917289202</v>
      </c>
      <c r="U65" s="711">
        <f>Bilans_E_AMS_Kyoto_run3_MTE!Z548</f>
        <v>35.714214245612467</v>
      </c>
      <c r="V65" s="701"/>
      <c r="W65" s="701"/>
    </row>
    <row r="66" spans="1:23" x14ac:dyDescent="0.25">
      <c r="A66" s="701" t="s">
        <v>503</v>
      </c>
      <c r="B66" s="701"/>
      <c r="C66" s="717" t="s">
        <v>353</v>
      </c>
      <c r="D66" s="711">
        <f>Bilans_E_AMS_Kyoto_run3_MTE!H549</f>
        <v>0</v>
      </c>
      <c r="E66" s="711">
        <f>Bilans_E_AMS_Kyoto_run3_MTE!I549</f>
        <v>-2.1359970584069448</v>
      </c>
      <c r="F66" s="711">
        <f>Bilans_E_AMS_Kyoto_run3_MTE!J549</f>
        <v>2.9254988687511099</v>
      </c>
      <c r="G66" s="711">
        <f>Bilans_E_AMS_Kyoto_run3_MTE!K549</f>
        <v>0</v>
      </c>
      <c r="H66" s="711">
        <f>Bilans_E_AMS_Kyoto_run3_MTE!L549</f>
        <v>0</v>
      </c>
      <c r="I66" s="711">
        <f>Bilans_E_AMS_Kyoto_run3_MTE!M549</f>
        <v>0</v>
      </c>
      <c r="J66" s="711">
        <f>Bilans_E_AMS_Kyoto_run3_MTE!N549</f>
        <v>0</v>
      </c>
      <c r="K66" s="711">
        <f>Bilans_E_AMS_Kyoto_run3_MTE!O549</f>
        <v>0</v>
      </c>
      <c r="L66" s="711">
        <f>Bilans_E_AMS_Kyoto_run3_MTE!P549</f>
        <v>0</v>
      </c>
      <c r="M66" s="711">
        <f>Bilans_E_AMS_Kyoto_run3_MTE!Q549</f>
        <v>0</v>
      </c>
      <c r="N66" s="711">
        <f>Bilans_E_AMS_Kyoto_run3_MTE!R549</f>
        <v>0</v>
      </c>
      <c r="O66" s="711">
        <f>Bilans_E_AMS_Kyoto_run3_MTE!S549</f>
        <v>0</v>
      </c>
      <c r="P66" s="711">
        <f>Bilans_E_AMS_Kyoto_run3_MTE!T549+Bilans_E_AMS_Kyoto_run3_MTE!U549</f>
        <v>0</v>
      </c>
      <c r="Q66" s="711">
        <f>Bilans_E_AMS_Kyoto_run3_MTE!V549</f>
        <v>0</v>
      </c>
      <c r="R66" s="711">
        <f>Bilans_E_AMS_Kyoto_run3_MTE!W549</f>
        <v>0</v>
      </c>
      <c r="S66" s="711">
        <f>Bilans_E_AMS_Kyoto_run3_MTE!X549</f>
        <v>0</v>
      </c>
      <c r="T66" s="711">
        <f>Bilans_E_AMS_Kyoto_run3_MTE!Y549</f>
        <v>0</v>
      </c>
      <c r="U66" s="711">
        <f>Bilans_E_AMS_Kyoto_run3_MTE!Z549</f>
        <v>0.78950181034416511</v>
      </c>
      <c r="V66" s="701"/>
      <c r="W66" s="701"/>
    </row>
    <row r="67" spans="1:23" x14ac:dyDescent="0.25">
      <c r="A67" s="701" t="s">
        <v>504</v>
      </c>
      <c r="B67" s="701"/>
      <c r="C67" s="717" t="s">
        <v>75</v>
      </c>
      <c r="D67" s="711">
        <f>Bilans_E_AMS_Kyoto_run3_MTE!H550</f>
        <v>0</v>
      </c>
      <c r="E67" s="711">
        <f>Bilans_E_AMS_Kyoto_run3_MTE!I550</f>
        <v>0</v>
      </c>
      <c r="F67" s="711">
        <f>Bilans_E_AMS_Kyoto_run3_MTE!J550</f>
        <v>2.205240968493043</v>
      </c>
      <c r="G67" s="711">
        <f>Bilans_E_AMS_Kyoto_run3_MTE!K550</f>
        <v>0</v>
      </c>
      <c r="H67" s="711">
        <f>Bilans_E_AMS_Kyoto_run3_MTE!L550</f>
        <v>0</v>
      </c>
      <c r="I67" s="711">
        <f>Bilans_E_AMS_Kyoto_run3_MTE!M550</f>
        <v>0</v>
      </c>
      <c r="J67" s="711">
        <f>Bilans_E_AMS_Kyoto_run3_MTE!N550</f>
        <v>0</v>
      </c>
      <c r="K67" s="711">
        <f>Bilans_E_AMS_Kyoto_run3_MTE!O550</f>
        <v>0</v>
      </c>
      <c r="L67" s="711">
        <f>Bilans_E_AMS_Kyoto_run3_MTE!P550</f>
        <v>0</v>
      </c>
      <c r="M67" s="711">
        <f>Bilans_E_AMS_Kyoto_run3_MTE!Q550</f>
        <v>0</v>
      </c>
      <c r="N67" s="711">
        <f>Bilans_E_AMS_Kyoto_run3_MTE!R550</f>
        <v>0</v>
      </c>
      <c r="O67" s="711">
        <f>Bilans_E_AMS_Kyoto_run3_MTE!S550</f>
        <v>0</v>
      </c>
      <c r="P67" s="711">
        <f>Bilans_E_AMS_Kyoto_run3_MTE!T550+Bilans_E_AMS_Kyoto_run3_MTE!U550</f>
        <v>0</v>
      </c>
      <c r="Q67" s="711">
        <f>Bilans_E_AMS_Kyoto_run3_MTE!V550</f>
        <v>0</v>
      </c>
      <c r="R67" s="711">
        <f>Bilans_E_AMS_Kyoto_run3_MTE!W550</f>
        <v>37.68086569149628</v>
      </c>
      <c r="S67" s="711">
        <f>Bilans_E_AMS_Kyoto_run3_MTE!X550</f>
        <v>0</v>
      </c>
      <c r="T67" s="711">
        <f>Bilans_E_AMS_Kyoto_run3_MTE!Y550</f>
        <v>0.6</v>
      </c>
      <c r="U67" s="711">
        <f>Bilans_E_AMS_Kyoto_run3_MTE!Z550</f>
        <v>40.486106659989325</v>
      </c>
      <c r="V67" s="701"/>
      <c r="W67" s="701"/>
    </row>
    <row r="68" spans="1:23" x14ac:dyDescent="0.25">
      <c r="A68" s="701" t="s">
        <v>505</v>
      </c>
      <c r="B68" s="701"/>
      <c r="C68" s="717" t="s">
        <v>76</v>
      </c>
      <c r="D68" s="711">
        <f>Bilans_E_AMS_Kyoto_run3_MTE!H551</f>
        <v>0</v>
      </c>
      <c r="E68" s="711">
        <f>Bilans_E_AMS_Kyoto_run3_MTE!I551</f>
        <v>0</v>
      </c>
      <c r="F68" s="711">
        <f>Bilans_E_AMS_Kyoto_run3_MTE!J551</f>
        <v>0</v>
      </c>
      <c r="G68" s="711">
        <f>Bilans_E_AMS_Kyoto_run3_MTE!K551</f>
        <v>0</v>
      </c>
      <c r="H68" s="711">
        <f>Bilans_E_AMS_Kyoto_run3_MTE!L551</f>
        <v>0</v>
      </c>
      <c r="I68" s="711">
        <f>Bilans_E_AMS_Kyoto_run3_MTE!M551</f>
        <v>5.5842625256480344E-2</v>
      </c>
      <c r="J68" s="711">
        <f>Bilans_E_AMS_Kyoto_run3_MTE!N551</f>
        <v>0</v>
      </c>
      <c r="K68" s="711">
        <f>Bilans_E_AMS_Kyoto_run3_MTE!O551</f>
        <v>0</v>
      </c>
      <c r="L68" s="711">
        <f>Bilans_E_AMS_Kyoto_run3_MTE!P551</f>
        <v>0</v>
      </c>
      <c r="M68" s="711">
        <f>Bilans_E_AMS_Kyoto_run3_MTE!Q551</f>
        <v>0</v>
      </c>
      <c r="N68" s="711">
        <f>Bilans_E_AMS_Kyoto_run3_MTE!R551</f>
        <v>0</v>
      </c>
      <c r="O68" s="711">
        <f>Bilans_E_AMS_Kyoto_run3_MTE!S551</f>
        <v>1.0610098798731264</v>
      </c>
      <c r="P68" s="711">
        <f>Bilans_E_AMS_Kyoto_run3_MTE!T551+Bilans_E_AMS_Kyoto_run3_MTE!U551</f>
        <v>0</v>
      </c>
      <c r="Q68" s="711">
        <f>Bilans_E_AMS_Kyoto_run3_MTE!V551</f>
        <v>0</v>
      </c>
      <c r="R68" s="711">
        <f>Bilans_E_AMS_Kyoto_run3_MTE!W551</f>
        <v>65.840203439882671</v>
      </c>
      <c r="S68" s="711">
        <f>Bilans_E_AMS_Kyoto_run3_MTE!X551</f>
        <v>6.4136709376113741</v>
      </c>
      <c r="T68" s="711">
        <f>Bilans_E_AMS_Kyoto_run3_MTE!Y551</f>
        <v>0</v>
      </c>
      <c r="U68" s="711">
        <f>Bilans_E_AMS_Kyoto_run3_MTE!Z551</f>
        <v>73.370726882623643</v>
      </c>
      <c r="V68" s="701"/>
      <c r="W68" s="701"/>
    </row>
    <row r="69" spans="1:23" x14ac:dyDescent="0.25">
      <c r="A69" s="701" t="s">
        <v>506</v>
      </c>
      <c r="B69" s="701"/>
      <c r="C69" s="713" t="s">
        <v>77</v>
      </c>
      <c r="D69" s="714">
        <f>Bilans_E_AMS_Kyoto_run3_MTE!H552</f>
        <v>0</v>
      </c>
      <c r="E69" s="714">
        <f>Bilans_E_AMS_Kyoto_run3_MTE!I552</f>
        <v>58.863651738299311</v>
      </c>
      <c r="F69" s="714">
        <f>Bilans_E_AMS_Kyoto_run3_MTE!J552</f>
        <v>-55.25891247149503</v>
      </c>
      <c r="G69" s="714">
        <f>Bilans_E_AMS_Kyoto_run3_MTE!K552</f>
        <v>-24.740126403603515</v>
      </c>
      <c r="H69" s="714">
        <f>Bilans_E_AMS_Kyoto_run3_MTE!L552</f>
        <v>0</v>
      </c>
      <c r="I69" s="714">
        <f>Bilans_E_AMS_Kyoto_run3_MTE!M552</f>
        <v>-7.0143403444740313</v>
      </c>
      <c r="J69" s="714">
        <f>Bilans_E_AMS_Kyoto_run3_MTE!N552</f>
        <v>807.37795933495636</v>
      </c>
      <c r="K69" s="714">
        <f>Bilans_E_AMS_Kyoto_run3_MTE!O552</f>
        <v>553.99388589395949</v>
      </c>
      <c r="L69" s="714">
        <f>Bilans_E_AMS_Kyoto_run3_MTE!P552</f>
        <v>331.28372360251547</v>
      </c>
      <c r="M69" s="714">
        <f>Bilans_E_AMS_Kyoto_run3_MTE!Q552</f>
        <v>36.582494246190599</v>
      </c>
      <c r="N69" s="714">
        <f>Bilans_E_AMS_Kyoto_run3_MTE!R552</f>
        <v>-59.82842351026536</v>
      </c>
      <c r="O69" s="714">
        <f>Bilans_E_AMS_Kyoto_run3_MTE!S552</f>
        <v>-86.285386781019525</v>
      </c>
      <c r="P69" s="714">
        <f>Bilans_E_AMS_Kyoto_run3_MTE!T552+Bilans_E_AMS_Kyoto_run3_MTE!U552</f>
        <v>22.572621073808037</v>
      </c>
      <c r="Q69" s="714">
        <f>Bilans_E_AMS_Kyoto_run3_MTE!V552</f>
        <v>19.706573178157445</v>
      </c>
      <c r="R69" s="714">
        <f>Bilans_E_AMS_Kyoto_run3_MTE!W552</f>
        <v>-603.61634432063988</v>
      </c>
      <c r="S69" s="714">
        <f>Bilans_E_AMS_Kyoto_run3_MTE!X552</f>
        <v>-76.289393359250852</v>
      </c>
      <c r="T69" s="714">
        <f>Bilans_E_AMS_Kyoto_run3_MTE!Y552</f>
        <v>-39.147749441309969</v>
      </c>
      <c r="U69" s="714">
        <f>Bilans_E_AMS_Kyoto_run3_MTE!Z552</f>
        <v>878.20023243582853</v>
      </c>
      <c r="V69" s="701"/>
      <c r="W69" s="701"/>
    </row>
    <row r="70" spans="1:23" x14ac:dyDescent="0.25">
      <c r="A70" s="701"/>
      <c r="B70" s="701"/>
      <c r="C70" s="715"/>
      <c r="D70" s="716"/>
      <c r="E70" s="716"/>
      <c r="F70" s="716"/>
      <c r="G70" s="716"/>
      <c r="H70" s="716"/>
      <c r="I70" s="716"/>
      <c r="J70" s="716"/>
      <c r="K70" s="716"/>
      <c r="L70" s="716"/>
      <c r="M70" s="716"/>
      <c r="N70" s="716"/>
      <c r="O70" s="716"/>
      <c r="P70" s="716">
        <f>Bilans_E_AMS_Kyoto_run3_MTE!T553+Bilans_E_AMS_Kyoto_run3_MTE!U553</f>
        <v>0</v>
      </c>
      <c r="Q70" s="716"/>
      <c r="R70" s="716"/>
      <c r="S70" s="716"/>
      <c r="T70" s="716"/>
      <c r="U70" s="716"/>
      <c r="V70" s="701"/>
      <c r="W70" s="701"/>
    </row>
    <row r="71" spans="1:23" x14ac:dyDescent="0.25">
      <c r="A71" s="701" t="s">
        <v>507</v>
      </c>
      <c r="B71" s="701"/>
      <c r="C71" s="717" t="s">
        <v>78</v>
      </c>
      <c r="D71" s="711">
        <f>Bilans_E_AMS_Kyoto_run3_MTE!H554</f>
        <v>0</v>
      </c>
      <c r="E71" s="711">
        <f>Bilans_E_AMS_Kyoto_run3_MTE!I554</f>
        <v>0</v>
      </c>
      <c r="F71" s="711">
        <f>Bilans_E_AMS_Kyoto_run3_MTE!J554</f>
        <v>0</v>
      </c>
      <c r="G71" s="711">
        <f>Bilans_E_AMS_Kyoto_run3_MTE!K554</f>
        <v>0</v>
      </c>
      <c r="H71" s="711">
        <f>Bilans_E_AMS_Kyoto_run3_MTE!L554</f>
        <v>0</v>
      </c>
      <c r="I71" s="711">
        <f>Bilans_E_AMS_Kyoto_run3_MTE!M554</f>
        <v>1.991498553291184</v>
      </c>
      <c r="J71" s="711">
        <f>Bilans_E_AMS_Kyoto_run3_MTE!N554</f>
        <v>0</v>
      </c>
      <c r="K71" s="711">
        <f>Bilans_E_AMS_Kyoto_run3_MTE!O554</f>
        <v>0</v>
      </c>
      <c r="L71" s="711">
        <f>Bilans_E_AMS_Kyoto_run3_MTE!P554</f>
        <v>33.03282021908791</v>
      </c>
      <c r="M71" s="711">
        <f>Bilans_E_AMS_Kyoto_run3_MTE!Q554</f>
        <v>7.3058555419217219</v>
      </c>
      <c r="N71" s="711">
        <f>Bilans_E_AMS_Kyoto_run3_MTE!R554</f>
        <v>0</v>
      </c>
      <c r="O71" s="711">
        <f>Bilans_E_AMS_Kyoto_run3_MTE!S554</f>
        <v>37.880603328687286</v>
      </c>
      <c r="P71" s="711">
        <f>Bilans_E_AMS_Kyoto_run3_MTE!T554+Bilans_E_AMS_Kyoto_run3_MTE!U554</f>
        <v>15.325538085937501</v>
      </c>
      <c r="Q71" s="711">
        <f>Bilans_E_AMS_Kyoto_run3_MTE!V554</f>
        <v>8.5890570413253253E-4</v>
      </c>
      <c r="R71" s="711">
        <f>Bilans_E_AMS_Kyoto_run3_MTE!W554</f>
        <v>160.49759404222942</v>
      </c>
      <c r="S71" s="711">
        <f>Bilans_E_AMS_Kyoto_run3_MTE!X554</f>
        <v>19.118062217384278</v>
      </c>
      <c r="T71" s="711">
        <f>Bilans_E_AMS_Kyoto_run3_MTE!Y554</f>
        <v>15.6045791015625</v>
      </c>
      <c r="U71" s="711">
        <f>Bilans_E_AMS_Kyoto_run3_MTE!Z554</f>
        <v>290.75740999580586</v>
      </c>
      <c r="V71" s="701"/>
      <c r="W71" s="701"/>
    </row>
    <row r="72" spans="1:23" x14ac:dyDescent="0.25">
      <c r="A72" s="701" t="s">
        <v>508</v>
      </c>
      <c r="B72" s="701"/>
      <c r="C72" s="717" t="s">
        <v>79</v>
      </c>
      <c r="D72" s="711">
        <f>Bilans_E_AMS_Kyoto_run3_MTE!H555</f>
        <v>0</v>
      </c>
      <c r="E72" s="711">
        <f>Bilans_E_AMS_Kyoto_run3_MTE!I555</f>
        <v>0</v>
      </c>
      <c r="F72" s="711">
        <f>Bilans_E_AMS_Kyoto_run3_MTE!J555</f>
        <v>2.5646039905747262</v>
      </c>
      <c r="G72" s="711">
        <f>Bilans_E_AMS_Kyoto_run3_MTE!K555</f>
        <v>4.5999999999999996</v>
      </c>
      <c r="H72" s="711">
        <f>Bilans_E_AMS_Kyoto_run3_MTE!L555</f>
        <v>0</v>
      </c>
      <c r="I72" s="711">
        <f>Bilans_E_AMS_Kyoto_run3_MTE!M555</f>
        <v>0.37685077792540578</v>
      </c>
      <c r="J72" s="711">
        <f>Bilans_E_AMS_Kyoto_run3_MTE!N555</f>
        <v>0</v>
      </c>
      <c r="K72" s="711">
        <f>Bilans_E_AMS_Kyoto_run3_MTE!O555</f>
        <v>0</v>
      </c>
      <c r="L72" s="711">
        <f>Bilans_E_AMS_Kyoto_run3_MTE!P555</f>
        <v>0</v>
      </c>
      <c r="M72" s="711">
        <f>Bilans_E_AMS_Kyoto_run3_MTE!Q555</f>
        <v>0</v>
      </c>
      <c r="N72" s="711">
        <f>Bilans_E_AMS_Kyoto_run3_MTE!R555</f>
        <v>17.296930013474249</v>
      </c>
      <c r="O72" s="711">
        <f>Bilans_E_AMS_Kyoto_run3_MTE!S555</f>
        <v>7.1601647805827087</v>
      </c>
      <c r="P72" s="711">
        <f>Bilans_E_AMS_Kyoto_run3_MTE!T555+Bilans_E_AMS_Kyoto_run3_MTE!U555</f>
        <v>0</v>
      </c>
      <c r="Q72" s="711">
        <f>Bilans_E_AMS_Kyoto_run3_MTE!V555</f>
        <v>0</v>
      </c>
      <c r="R72" s="711">
        <f>Bilans_E_AMS_Kyoto_run3_MTE!W555</f>
        <v>129.21827578196925</v>
      </c>
      <c r="S72" s="711">
        <f>Bilans_E_AMS_Kyoto_run3_MTE!X555</f>
        <v>0</v>
      </c>
      <c r="T72" s="711">
        <f>Bilans_E_AMS_Kyoto_run3_MTE!Y555</f>
        <v>6.9357151187722215</v>
      </c>
      <c r="U72" s="711">
        <f>Bilans_E_AMS_Kyoto_run3_MTE!Z555</f>
        <v>168.15254046329855</v>
      </c>
      <c r="V72" s="701"/>
      <c r="W72" s="701"/>
    </row>
    <row r="73" spans="1:23" x14ac:dyDescent="0.25">
      <c r="A73" s="701" t="s">
        <v>509</v>
      </c>
      <c r="B73" s="701"/>
      <c r="C73" s="717" t="s">
        <v>80</v>
      </c>
      <c r="D73" s="711">
        <f>Bilans_E_AMS_Kyoto_run3_MTE!H556</f>
        <v>0</v>
      </c>
      <c r="E73" s="711">
        <f>Bilans_E_AMS_Kyoto_run3_MTE!I556</f>
        <v>0</v>
      </c>
      <c r="F73" s="711">
        <f>Bilans_E_AMS_Kyoto_run3_MTE!J556</f>
        <v>1.33686813190731E-2</v>
      </c>
      <c r="G73" s="711">
        <f>Bilans_E_AMS_Kyoto_run3_MTE!K556</f>
        <v>0</v>
      </c>
      <c r="H73" s="711">
        <f>Bilans_E_AMS_Kyoto_run3_MTE!L556</f>
        <v>0</v>
      </c>
      <c r="I73" s="711">
        <f>Bilans_E_AMS_Kyoto_run3_MTE!M556</f>
        <v>1.363415994018579</v>
      </c>
      <c r="J73" s="711">
        <f>Bilans_E_AMS_Kyoto_run3_MTE!N556</f>
        <v>0</v>
      </c>
      <c r="K73" s="711">
        <f>Bilans_E_AMS_Kyoto_run3_MTE!O556</f>
        <v>0</v>
      </c>
      <c r="L73" s="711">
        <f>Bilans_E_AMS_Kyoto_run3_MTE!P556</f>
        <v>38.670548162755892</v>
      </c>
      <c r="M73" s="711">
        <f>Bilans_E_AMS_Kyoto_run3_MTE!Q556</f>
        <v>0</v>
      </c>
      <c r="N73" s="711">
        <f>Bilans_E_AMS_Kyoto_run3_MTE!R556</f>
        <v>0</v>
      </c>
      <c r="O73" s="711">
        <f>Bilans_E_AMS_Kyoto_run3_MTE!S556</f>
        <v>25.904903886352997</v>
      </c>
      <c r="P73" s="711">
        <f>Bilans_E_AMS_Kyoto_run3_MTE!T556+Bilans_E_AMS_Kyoto_run3_MTE!U556</f>
        <v>170.26801174847219</v>
      </c>
      <c r="Q73" s="711">
        <f>Bilans_E_AMS_Kyoto_run3_MTE!V556</f>
        <v>14.856183742724458</v>
      </c>
      <c r="R73" s="711">
        <f>Bilans_E_AMS_Kyoto_run3_MTE!W556</f>
        <v>135.77624988749807</v>
      </c>
      <c r="S73" s="711">
        <f>Bilans_E_AMS_Kyoto_run3_MTE!X556</f>
        <v>35.160977387086433</v>
      </c>
      <c r="T73" s="711">
        <f>Bilans_E_AMS_Kyoto_run3_MTE!Y556</f>
        <v>0</v>
      </c>
      <c r="U73" s="711">
        <f>Bilans_E_AMS_Kyoto_run3_MTE!Z556</f>
        <v>422.01365949022772</v>
      </c>
      <c r="V73" s="701"/>
      <c r="W73" s="701"/>
    </row>
    <row r="74" spans="1:23" x14ac:dyDescent="0.25">
      <c r="A74" s="701" t="s">
        <v>510</v>
      </c>
      <c r="B74" s="701"/>
      <c r="C74" s="717" t="s">
        <v>81</v>
      </c>
      <c r="D74" s="711">
        <f>Bilans_E_AMS_Kyoto_run3_MTE!H557</f>
        <v>0</v>
      </c>
      <c r="E74" s="711">
        <f>Bilans_E_AMS_Kyoto_run3_MTE!I557</f>
        <v>0</v>
      </c>
      <c r="F74" s="711">
        <f>Bilans_E_AMS_Kyoto_run3_MTE!J557</f>
        <v>5.9571518115922428E-2</v>
      </c>
      <c r="G74" s="711">
        <f>Bilans_E_AMS_Kyoto_run3_MTE!K557</f>
        <v>0</v>
      </c>
      <c r="H74" s="711">
        <f>Bilans_E_AMS_Kyoto_run3_MTE!L557</f>
        <v>0</v>
      </c>
      <c r="I74" s="711">
        <f>Bilans_E_AMS_Kyoto_run3_MTE!M557</f>
        <v>0.44038098063120357</v>
      </c>
      <c r="J74" s="711">
        <f>Bilans_E_AMS_Kyoto_run3_MTE!N557</f>
        <v>0</v>
      </c>
      <c r="K74" s="711">
        <f>Bilans_E_AMS_Kyoto_run3_MTE!O557</f>
        <v>0</v>
      </c>
      <c r="L74" s="711">
        <f>Bilans_E_AMS_Kyoto_run3_MTE!P557</f>
        <v>0.43608334641640845</v>
      </c>
      <c r="M74" s="711">
        <f>Bilans_E_AMS_Kyoto_run3_MTE!Q557</f>
        <v>0</v>
      </c>
      <c r="N74" s="711">
        <f>Bilans_E_AMS_Kyoto_run3_MTE!R557</f>
        <v>0</v>
      </c>
      <c r="O74" s="711">
        <f>Bilans_E_AMS_Kyoto_run3_MTE!S557</f>
        <v>8.3672386319928673</v>
      </c>
      <c r="P74" s="711">
        <f>Bilans_E_AMS_Kyoto_run3_MTE!T557+Bilans_E_AMS_Kyoto_run3_MTE!U557</f>
        <v>64.752372842201794</v>
      </c>
      <c r="Q74" s="711">
        <f>Bilans_E_AMS_Kyoto_run3_MTE!V557</f>
        <v>13.972057854326216</v>
      </c>
      <c r="R74" s="711">
        <f>Bilans_E_AMS_Kyoto_run3_MTE!W557</f>
        <v>123.17781879034489</v>
      </c>
      <c r="S74" s="711">
        <f>Bilans_E_AMS_Kyoto_run3_MTE!X557</f>
        <v>22.010319853686262</v>
      </c>
      <c r="T74" s="711">
        <f>Bilans_E_AMS_Kyoto_run3_MTE!Y557</f>
        <v>0</v>
      </c>
      <c r="U74" s="711">
        <f>Bilans_E_AMS_Kyoto_run3_MTE!Z557</f>
        <v>233.21584381771555</v>
      </c>
      <c r="V74" s="701"/>
      <c r="W74" s="701"/>
    </row>
    <row r="75" spans="1:23" x14ac:dyDescent="0.25">
      <c r="A75" s="701" t="s">
        <v>511</v>
      </c>
      <c r="B75" s="701"/>
      <c r="C75" s="717" t="s">
        <v>82</v>
      </c>
      <c r="D75" s="711">
        <f>Bilans_E_AMS_Kyoto_run3_MTE!H558</f>
        <v>0</v>
      </c>
      <c r="E75" s="711">
        <f>Bilans_E_AMS_Kyoto_run3_MTE!I558</f>
        <v>0</v>
      </c>
      <c r="F75" s="711">
        <f>Bilans_E_AMS_Kyoto_run3_MTE!J558</f>
        <v>0</v>
      </c>
      <c r="G75" s="711">
        <f>Bilans_E_AMS_Kyoto_run3_MTE!K558</f>
        <v>0</v>
      </c>
      <c r="H75" s="711">
        <f>Bilans_E_AMS_Kyoto_run3_MTE!L558</f>
        <v>0</v>
      </c>
      <c r="I75" s="711">
        <f>Bilans_E_AMS_Kyoto_run3_MTE!M558</f>
        <v>3.936904267080979E-2</v>
      </c>
      <c r="J75" s="711">
        <f>Bilans_E_AMS_Kyoto_run3_MTE!N558</f>
        <v>0</v>
      </c>
      <c r="K75" s="711">
        <f>Bilans_E_AMS_Kyoto_run3_MTE!O558</f>
        <v>0</v>
      </c>
      <c r="L75" s="711">
        <f>Bilans_E_AMS_Kyoto_run3_MTE!P558</f>
        <v>20.041612409357288</v>
      </c>
      <c r="M75" s="711">
        <f>Bilans_E_AMS_Kyoto_run3_MTE!Q558</f>
        <v>0</v>
      </c>
      <c r="N75" s="711">
        <f>Bilans_E_AMS_Kyoto_run3_MTE!R558</f>
        <v>6.8596219696114309</v>
      </c>
      <c r="O75" s="711">
        <f>Bilans_E_AMS_Kyoto_run3_MTE!S558</f>
        <v>0.74801181074538581</v>
      </c>
      <c r="P75" s="711">
        <f>Bilans_E_AMS_Kyoto_run3_MTE!T558+Bilans_E_AMS_Kyoto_run3_MTE!U558</f>
        <v>1.5</v>
      </c>
      <c r="Q75" s="711">
        <f>Bilans_E_AMS_Kyoto_run3_MTE!V558</f>
        <v>2.1874070050904897</v>
      </c>
      <c r="R75" s="711">
        <f>Bilans_E_AMS_Kyoto_run3_MTE!W558</f>
        <v>11.227117591013034</v>
      </c>
      <c r="S75" s="711">
        <f>Bilans_E_AMS_Kyoto_run3_MTE!X558</f>
        <v>0</v>
      </c>
      <c r="T75" s="711">
        <f>Bilans_E_AMS_Kyoto_run3_MTE!Y558</f>
        <v>0.67221506893144256</v>
      </c>
      <c r="U75" s="711">
        <f>Bilans_E_AMS_Kyoto_run3_MTE!Z558</f>
        <v>43.275354897419881</v>
      </c>
      <c r="V75" s="701"/>
      <c r="W75" s="701"/>
    </row>
    <row r="76" spans="1:23" x14ac:dyDescent="0.25">
      <c r="A76" s="701" t="s">
        <v>512</v>
      </c>
      <c r="B76" s="701"/>
      <c r="C76" s="717" t="s">
        <v>354</v>
      </c>
      <c r="D76" s="711">
        <f>Bilans_E_AMS_Kyoto_run3_MTE!H559</f>
        <v>0</v>
      </c>
      <c r="E76" s="711">
        <f>Bilans_E_AMS_Kyoto_run3_MTE!I559</f>
        <v>0</v>
      </c>
      <c r="F76" s="711">
        <f>Bilans_E_AMS_Kyoto_run3_MTE!J559</f>
        <v>0</v>
      </c>
      <c r="G76" s="711">
        <f>Bilans_E_AMS_Kyoto_run3_MTE!K559</f>
        <v>0</v>
      </c>
      <c r="H76" s="711">
        <f>Bilans_E_AMS_Kyoto_run3_MTE!L559</f>
        <v>0</v>
      </c>
      <c r="I76" s="711">
        <f>Bilans_E_AMS_Kyoto_run3_MTE!M559</f>
        <v>0</v>
      </c>
      <c r="J76" s="711">
        <f>Bilans_E_AMS_Kyoto_run3_MTE!N559</f>
        <v>0</v>
      </c>
      <c r="K76" s="711">
        <f>Bilans_E_AMS_Kyoto_run3_MTE!O559</f>
        <v>0</v>
      </c>
      <c r="L76" s="711">
        <f>Bilans_E_AMS_Kyoto_run3_MTE!P559</f>
        <v>0</v>
      </c>
      <c r="M76" s="711">
        <f>Bilans_E_AMS_Kyoto_run3_MTE!Q559</f>
        <v>0</v>
      </c>
      <c r="N76" s="711">
        <f>Bilans_E_AMS_Kyoto_run3_MTE!R559</f>
        <v>0</v>
      </c>
      <c r="O76" s="711">
        <f>Bilans_E_AMS_Kyoto_run3_MTE!S559</f>
        <v>0</v>
      </c>
      <c r="P76" s="711">
        <f>Bilans_E_AMS_Kyoto_run3_MTE!T559+Bilans_E_AMS_Kyoto_run3_MTE!U559</f>
        <v>0</v>
      </c>
      <c r="Q76" s="711">
        <f>Bilans_E_AMS_Kyoto_run3_MTE!V559</f>
        <v>0</v>
      </c>
      <c r="R76" s="711">
        <f>Bilans_E_AMS_Kyoto_run3_MTE!W559</f>
        <v>15.04</v>
      </c>
      <c r="S76" s="711">
        <f>Bilans_E_AMS_Kyoto_run3_MTE!X559</f>
        <v>0</v>
      </c>
      <c r="T76" s="711">
        <f>Bilans_E_AMS_Kyoto_run3_MTE!Y559</f>
        <v>0</v>
      </c>
      <c r="U76" s="711">
        <f>Bilans_E_AMS_Kyoto_run3_MTE!Z559</f>
        <v>15.04</v>
      </c>
      <c r="V76" s="701"/>
      <c r="W76" s="701"/>
    </row>
    <row r="77" spans="1:23" x14ac:dyDescent="0.25">
      <c r="A77" s="701" t="s">
        <v>513</v>
      </c>
      <c r="B77" s="701"/>
      <c r="C77" s="713" t="s">
        <v>83</v>
      </c>
      <c r="D77" s="714">
        <f>Bilans_E_AMS_Kyoto_run3_MTE!H560</f>
        <v>0</v>
      </c>
      <c r="E77" s="714">
        <f>Bilans_E_AMS_Kyoto_run3_MTE!I560</f>
        <v>0</v>
      </c>
      <c r="F77" s="714">
        <f>Bilans_E_AMS_Kyoto_run3_MTE!J560</f>
        <v>2.6375441900097218</v>
      </c>
      <c r="G77" s="714">
        <f>Bilans_E_AMS_Kyoto_run3_MTE!K560</f>
        <v>4.5999999999999996</v>
      </c>
      <c r="H77" s="714">
        <f>Bilans_E_AMS_Kyoto_run3_MTE!L560</f>
        <v>0</v>
      </c>
      <c r="I77" s="714">
        <f>Bilans_E_AMS_Kyoto_run3_MTE!M560</f>
        <v>4.2115153485371817</v>
      </c>
      <c r="J77" s="714">
        <f>Bilans_E_AMS_Kyoto_run3_MTE!N560</f>
        <v>0</v>
      </c>
      <c r="K77" s="714">
        <f>Bilans_E_AMS_Kyoto_run3_MTE!O560</f>
        <v>0</v>
      </c>
      <c r="L77" s="714">
        <f>Bilans_E_AMS_Kyoto_run3_MTE!P560</f>
        <v>92.181064137617497</v>
      </c>
      <c r="M77" s="714">
        <f>Bilans_E_AMS_Kyoto_run3_MTE!Q560</f>
        <v>7.3058555419217219</v>
      </c>
      <c r="N77" s="714">
        <f>Bilans_E_AMS_Kyoto_run3_MTE!R560</f>
        <v>24.156551983085681</v>
      </c>
      <c r="O77" s="714">
        <f>Bilans_E_AMS_Kyoto_run3_MTE!S560</f>
        <v>80.060922438361246</v>
      </c>
      <c r="P77" s="714">
        <f>Bilans_E_AMS_Kyoto_run3_MTE!T560+Bilans_E_AMS_Kyoto_run3_MTE!U560</f>
        <v>251.84592267661148</v>
      </c>
      <c r="Q77" s="714">
        <f>Bilans_E_AMS_Kyoto_run3_MTE!V560</f>
        <v>31.016507507845294</v>
      </c>
      <c r="R77" s="714">
        <f>Bilans_E_AMS_Kyoto_run3_MTE!W560</f>
        <v>574.93705609305459</v>
      </c>
      <c r="S77" s="714">
        <f>Bilans_E_AMS_Kyoto_run3_MTE!X560</f>
        <v>76.28935945815698</v>
      </c>
      <c r="T77" s="714">
        <f>Bilans_E_AMS_Kyoto_run3_MTE!Y560</f>
        <v>23.212509289266166</v>
      </c>
      <c r="U77" s="714">
        <f>Bilans_E_AMS_Kyoto_run3_MTE!Z560</f>
        <v>1172.4548086644675</v>
      </c>
      <c r="V77" s="701"/>
      <c r="W77" s="701"/>
    </row>
    <row r="78" spans="1:23" x14ac:dyDescent="0.25">
      <c r="A78" s="701" t="s">
        <v>514</v>
      </c>
      <c r="B78" s="701"/>
      <c r="C78" s="710" t="s">
        <v>84</v>
      </c>
      <c r="D78" s="711">
        <f>Bilans_E_AMS_Kyoto_run3_MTE!H561</f>
        <v>0</v>
      </c>
      <c r="E78" s="711">
        <f>Bilans_E_AMS_Kyoto_run3_MTE!I561</f>
        <v>0</v>
      </c>
      <c r="F78" s="711">
        <f>Bilans_E_AMS_Kyoto_run3_MTE!J561</f>
        <v>91.376834551502185</v>
      </c>
      <c r="G78" s="711">
        <f>Bilans_E_AMS_Kyoto_run3_MTE!K561</f>
        <v>4.3696590457446538</v>
      </c>
      <c r="H78" s="711">
        <f>Bilans_E_AMS_Kyoto_run3_MTE!L561</f>
        <v>7.019987079045241</v>
      </c>
      <c r="I78" s="711">
        <f>Bilans_E_AMS_Kyoto_run3_MTE!M561</f>
        <v>0</v>
      </c>
      <c r="J78" s="711">
        <f>Bilans_E_AMS_Kyoto_run3_MTE!N561</f>
        <v>0</v>
      </c>
      <c r="K78" s="711">
        <f>Bilans_E_AMS_Kyoto_run3_MTE!O561</f>
        <v>0</v>
      </c>
      <c r="L78" s="711">
        <f>Bilans_E_AMS_Kyoto_run3_MTE!P561</f>
        <v>0.61184558011433365</v>
      </c>
      <c r="M78" s="711">
        <f>Bilans_E_AMS_Kyoto_run3_MTE!Q561</f>
        <v>0</v>
      </c>
      <c r="N78" s="711">
        <f>Bilans_E_AMS_Kyoto_run3_MTE!R561</f>
        <v>6.5698161491399585</v>
      </c>
      <c r="O78" s="711">
        <f>Bilans_E_AMS_Kyoto_run3_MTE!S561</f>
        <v>0</v>
      </c>
      <c r="P78" s="711">
        <f>Bilans_E_AMS_Kyoto_run3_MTE!T561+Bilans_E_AMS_Kyoto_run3_MTE!U561</f>
        <v>0</v>
      </c>
      <c r="Q78" s="711">
        <f>Bilans_E_AMS_Kyoto_run3_MTE!V561</f>
        <v>0</v>
      </c>
      <c r="R78" s="711">
        <f>Bilans_E_AMS_Kyoto_run3_MTE!W561</f>
        <v>0</v>
      </c>
      <c r="S78" s="711">
        <f>Bilans_E_AMS_Kyoto_run3_MTE!X561</f>
        <v>0</v>
      </c>
      <c r="T78" s="711">
        <f>Bilans_E_AMS_Kyoto_run3_MTE!Y561</f>
        <v>6.6285490677230623</v>
      </c>
      <c r="U78" s="711">
        <f>Bilans_E_AMS_Kyoto_run3_MTE!Z561</f>
        <v>116.57669147326942</v>
      </c>
      <c r="V78" s="701"/>
      <c r="W78" s="701"/>
    </row>
    <row r="79" spans="1:23" x14ac:dyDescent="0.25">
      <c r="A79" s="701" t="s">
        <v>515</v>
      </c>
      <c r="B79" s="701"/>
      <c r="C79" s="713" t="s">
        <v>85</v>
      </c>
      <c r="D79" s="714">
        <f>Bilans_E_AMS_Kyoto_run3_MTE!H562</f>
        <v>0</v>
      </c>
      <c r="E79" s="714">
        <f>Bilans_E_AMS_Kyoto_run3_MTE!I562</f>
        <v>0</v>
      </c>
      <c r="F79" s="714">
        <f>Bilans_E_AMS_Kyoto_run3_MTE!J562</f>
        <v>94.014378741511905</v>
      </c>
      <c r="G79" s="714">
        <f>Bilans_E_AMS_Kyoto_run3_MTE!K562</f>
        <v>8.9696590457446526</v>
      </c>
      <c r="H79" s="714">
        <f>Bilans_E_AMS_Kyoto_run3_MTE!L562</f>
        <v>7.019987079045241</v>
      </c>
      <c r="I79" s="714">
        <f>Bilans_E_AMS_Kyoto_run3_MTE!M562</f>
        <v>4.2115153485371817</v>
      </c>
      <c r="J79" s="714">
        <f>Bilans_E_AMS_Kyoto_run3_MTE!N562</f>
        <v>0</v>
      </c>
      <c r="K79" s="714">
        <f>Bilans_E_AMS_Kyoto_run3_MTE!O562</f>
        <v>0</v>
      </c>
      <c r="L79" s="714">
        <f>Bilans_E_AMS_Kyoto_run3_MTE!P562</f>
        <v>92.792909717731831</v>
      </c>
      <c r="M79" s="714">
        <f>Bilans_E_AMS_Kyoto_run3_MTE!Q562</f>
        <v>7.3058555419217219</v>
      </c>
      <c r="N79" s="714">
        <f>Bilans_E_AMS_Kyoto_run3_MTE!R562</f>
        <v>30.726368132225637</v>
      </c>
      <c r="O79" s="714">
        <f>Bilans_E_AMS_Kyoto_run3_MTE!S562</f>
        <v>80.060922438361246</v>
      </c>
      <c r="P79" s="714">
        <f>Bilans_E_AMS_Kyoto_run3_MTE!T562+Bilans_E_AMS_Kyoto_run3_MTE!U562</f>
        <v>251.84592267661148</v>
      </c>
      <c r="Q79" s="714">
        <f>Bilans_E_AMS_Kyoto_run3_MTE!V562</f>
        <v>31.016507507845294</v>
      </c>
      <c r="R79" s="714">
        <f>Bilans_E_AMS_Kyoto_run3_MTE!W562</f>
        <v>574.93705609305459</v>
      </c>
      <c r="S79" s="714">
        <f>Bilans_E_AMS_Kyoto_run3_MTE!X562</f>
        <v>76.28935945815698</v>
      </c>
      <c r="T79" s="714">
        <f>Bilans_E_AMS_Kyoto_run3_MTE!Y562</f>
        <v>29.84105835698923</v>
      </c>
      <c r="U79" s="714">
        <f>Bilans_E_AMS_Kyoto_run3_MTE!Z562</f>
        <v>1289.0315001377369</v>
      </c>
      <c r="V79" s="701"/>
      <c r="W79" s="701"/>
    </row>
    <row r="80" spans="1:23" x14ac:dyDescent="0.25">
      <c r="A80" s="701"/>
      <c r="B80" s="701"/>
      <c r="C80" s="701"/>
      <c r="D80" s="701">
        <f>Bilans_E_AMS_Kyoto_run3_MTE!H563</f>
        <v>0</v>
      </c>
      <c r="E80" s="701">
        <f>Bilans_E_AMS_Kyoto_run3_MTE!I563</f>
        <v>0</v>
      </c>
      <c r="F80" s="701">
        <f>Bilans_E_AMS_Kyoto_run3_MTE!J563</f>
        <v>0</v>
      </c>
      <c r="G80" s="701">
        <f>Bilans_E_AMS_Kyoto_run3_MTE!K563</f>
        <v>0</v>
      </c>
      <c r="H80" s="701">
        <f>Bilans_E_AMS_Kyoto_run3_MTE!L563</f>
        <v>0</v>
      </c>
      <c r="I80" s="701">
        <f>Bilans_E_AMS_Kyoto_run3_MTE!M563</f>
        <v>-1.9859233333408E-4</v>
      </c>
      <c r="J80" s="701">
        <f>Bilans_E_AMS_Kyoto_run3_MTE!N563</f>
        <v>0</v>
      </c>
      <c r="K80" s="701">
        <f>Bilans_E_AMS_Kyoto_run3_MTE!O563</f>
        <v>0</v>
      </c>
      <c r="L80" s="701">
        <f>Bilans_E_AMS_Kyoto_run3_MTE!P563</f>
        <v>0</v>
      </c>
      <c r="M80" s="701">
        <f>Bilans_E_AMS_Kyoto_run3_MTE!Q563</f>
        <v>0</v>
      </c>
      <c r="N80" s="701">
        <f>Bilans_E_AMS_Kyoto_run3_MTE!R563</f>
        <v>0</v>
      </c>
      <c r="O80" s="701">
        <f>Bilans_E_AMS_Kyoto_run3_MTE!S563</f>
        <v>0</v>
      </c>
      <c r="P80" s="701">
        <f>Bilans_E_AMS_Kyoto_run3_MTE!T563+Bilans_E_AMS_Kyoto_run3_MTE!U563</f>
        <v>0</v>
      </c>
      <c r="Q80" s="701">
        <f>Bilans_E_AMS_Kyoto_run3_MTE!V563</f>
        <v>0</v>
      </c>
      <c r="R80" s="701">
        <f>Bilans_E_AMS_Kyoto_run3_MTE!W563</f>
        <v>0</v>
      </c>
      <c r="S80" s="701">
        <f>Bilans_E_AMS_Kyoto_run3_MTE!X563</f>
        <v>-3.3901093871691046E-5</v>
      </c>
      <c r="T80" s="701">
        <f>Bilans_E_AMS_Kyoto_run3_MTE!Y563</f>
        <v>0</v>
      </c>
      <c r="U80" s="701">
        <f>Bilans_E_AMS_Kyoto_run3_MTE!Z563</f>
        <v>-2.3249342757480917E-4</v>
      </c>
      <c r="V80" s="701"/>
      <c r="W80" s="701"/>
    </row>
    <row r="81" spans="1:21" x14ac:dyDescent="0.25">
      <c r="A81" s="51"/>
      <c r="B81" s="51"/>
      <c r="C81" s="51"/>
      <c r="D81" s="51"/>
      <c r="E81" s="51"/>
      <c r="F81" s="51"/>
      <c r="G81" s="67"/>
      <c r="H81" s="51"/>
      <c r="I81" s="51"/>
      <c r="J81" s="51"/>
      <c r="K81" s="51"/>
      <c r="L81" s="51"/>
      <c r="M81" s="51"/>
      <c r="N81" s="51"/>
      <c r="O81" s="51"/>
      <c r="P81" s="51"/>
      <c r="Q81" s="51"/>
      <c r="R81" s="51"/>
      <c r="S81" s="51"/>
      <c r="T81" s="51"/>
      <c r="U81" s="51"/>
    </row>
  </sheetData>
  <mergeCells count="28">
    <mergeCell ref="S10:S11"/>
    <mergeCell ref="C10:C11"/>
    <mergeCell ref="D10:D11"/>
    <mergeCell ref="E10:E11"/>
    <mergeCell ref="F10:F11"/>
    <mergeCell ref="G10:G11"/>
    <mergeCell ref="H10:H11"/>
    <mergeCell ref="U47:U48"/>
    <mergeCell ref="T10:T11"/>
    <mergeCell ref="U10:U11"/>
    <mergeCell ref="C47:C48"/>
    <mergeCell ref="D47:D48"/>
    <mergeCell ref="E47:E48"/>
    <mergeCell ref="F47:F48"/>
    <mergeCell ref="G47:G48"/>
    <mergeCell ref="H47:H48"/>
    <mergeCell ref="I47:I48"/>
    <mergeCell ref="J47:J48"/>
    <mergeCell ref="I10:I11"/>
    <mergeCell ref="J10:J11"/>
    <mergeCell ref="K10:K11"/>
    <mergeCell ref="L10:Q10"/>
    <mergeCell ref="R10:R11"/>
    <mergeCell ref="K47:K48"/>
    <mergeCell ref="L47:Q47"/>
    <mergeCell ref="R47:R48"/>
    <mergeCell ref="S47:S48"/>
    <mergeCell ref="T47:T48"/>
  </mergeCells>
  <conditionalFormatting sqref="D12:F18 H12:H18 J12:U18">
    <cfRule type="expression" dxfId="378" priority="14">
      <formula>LEN(TRIM(D12))=0</formula>
    </cfRule>
  </conditionalFormatting>
  <conditionalFormatting sqref="D34:F42 H34:H42 J34:U42">
    <cfRule type="expression" dxfId="377" priority="16">
      <formula>LEN(TRIM(D34))=0</formula>
    </cfRule>
  </conditionalFormatting>
  <conditionalFormatting sqref="D12:I42">
    <cfRule type="cellIs" dxfId="376" priority="5" operator="equal">
      <formula>0</formula>
    </cfRule>
  </conditionalFormatting>
  <conditionalFormatting sqref="G12:G18 G34:G42">
    <cfRule type="containsBlanks" dxfId="375" priority="10">
      <formula>LEN(TRIM(G12))=0</formula>
    </cfRule>
  </conditionalFormatting>
  <conditionalFormatting sqref="G20:G32">
    <cfRule type="containsBlanks" dxfId="374" priority="9">
      <formula>LEN(TRIM(G20))=0</formula>
    </cfRule>
  </conditionalFormatting>
  <conditionalFormatting sqref="I12:I18 I34:I42">
    <cfRule type="containsBlanks" dxfId="373" priority="8">
      <formula>LEN(TRIM(I12))=0</formula>
    </cfRule>
  </conditionalFormatting>
  <conditionalFormatting sqref="I20:I21 I23:I32">
    <cfRule type="containsBlanks" dxfId="372" priority="7">
      <formula>LEN(TRIM(I20))=0</formula>
    </cfRule>
  </conditionalFormatting>
  <conditionalFormatting sqref="I22:U22">
    <cfRule type="expression" dxfId="371" priority="6">
      <formula>LEN(TRIM(I22))=0</formula>
    </cfRule>
  </conditionalFormatting>
  <conditionalFormatting sqref="J12:K14">
    <cfRule type="cellIs" dxfId="370" priority="13" operator="equal">
      <formula>0</formula>
    </cfRule>
  </conditionalFormatting>
  <conditionalFormatting sqref="J15:Q16">
    <cfRule type="cellIs" dxfId="369" priority="15" operator="equal">
      <formula>0</formula>
    </cfRule>
  </conditionalFormatting>
  <conditionalFormatting sqref="J18:U42">
    <cfRule type="cellIs" dxfId="368" priority="4" operator="equal">
      <formula>0</formula>
    </cfRule>
  </conditionalFormatting>
  <conditionalFormatting sqref="J20:U21 D20:F32 H20:H32 J23:U32">
    <cfRule type="expression" dxfId="367" priority="11">
      <formula>LEN(TRIM(D20))=0</formula>
    </cfRule>
  </conditionalFormatting>
  <conditionalFormatting sqref="L12:U17 J17:K17">
    <cfRule type="cellIs" dxfId="366" priority="12" operator="equal">
      <formula>0</formula>
    </cfRule>
  </conditionalFormatting>
  <conditionalFormatting sqref="M23">
    <cfRule type="expression" dxfId="365" priority="3">
      <formula>LEN(TRIM(M23))=0</formula>
    </cfRule>
  </conditionalFormatting>
  <conditionalFormatting sqref="M26">
    <cfRule type="expression" dxfId="364" priority="1">
      <formula>LEN(TRIM(M26))=0</formula>
    </cfRule>
  </conditionalFormatting>
  <conditionalFormatting sqref="T30">
    <cfRule type="expression" dxfId="363" priority="2">
      <formula>LEN(TRIM(T30))=0</formula>
    </cfRule>
  </conditionalFormatting>
  <pageMargins left="0.7" right="0.7" top="0.75" bottom="0.75" header="0.3" footer="0.3"/>
  <legacy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AF6A3-1E32-4724-98A0-255894C9F737}">
  <sheetPr>
    <tabColor theme="1" tint="0.249977111117893"/>
  </sheetPr>
  <dimension ref="A1:W44"/>
  <sheetViews>
    <sheetView zoomScale="70" zoomScaleNormal="70" workbookViewId="0">
      <selection activeCell="C10" sqref="C10:U42"/>
    </sheetView>
  </sheetViews>
  <sheetFormatPr baseColWidth="10" defaultRowHeight="15" x14ac:dyDescent="0.25"/>
  <cols>
    <col min="3" max="3" width="24.28515625" customWidth="1"/>
    <col min="4" max="21" width="12.5703125" customWidth="1"/>
  </cols>
  <sheetData>
    <row r="1" spans="1:23" ht="15.75" x14ac:dyDescent="0.25">
      <c r="A1" s="700"/>
      <c r="B1" s="700"/>
      <c r="C1" s="700"/>
      <c r="D1" s="598" t="s">
        <v>527</v>
      </c>
      <c r="E1" s="598" t="s">
        <v>528</v>
      </c>
      <c r="F1" s="598" t="s">
        <v>529</v>
      </c>
      <c r="G1" s="598" t="s">
        <v>530</v>
      </c>
      <c r="H1" s="598" t="s">
        <v>531</v>
      </c>
      <c r="I1" s="598" t="s">
        <v>532</v>
      </c>
      <c r="J1" s="598" t="s">
        <v>533</v>
      </c>
      <c r="K1" s="598" t="s">
        <v>534</v>
      </c>
      <c r="L1" s="598" t="s">
        <v>535</v>
      </c>
      <c r="M1" s="598" t="s">
        <v>536</v>
      </c>
      <c r="N1" s="598" t="s">
        <v>537</v>
      </c>
      <c r="O1" s="598" t="s">
        <v>538</v>
      </c>
      <c r="P1" s="598" t="s">
        <v>539</v>
      </c>
      <c r="Q1" s="598" t="s">
        <v>541</v>
      </c>
      <c r="R1" s="598" t="s">
        <v>542</v>
      </c>
      <c r="S1" s="598" t="s">
        <v>543</v>
      </c>
      <c r="T1" s="598" t="s">
        <v>606</v>
      </c>
      <c r="U1" s="598" t="s">
        <v>607</v>
      </c>
      <c r="V1" s="700"/>
      <c r="W1" s="700"/>
    </row>
    <row r="2" spans="1:23" x14ac:dyDescent="0.25">
      <c r="A2" s="700"/>
      <c r="B2" s="700"/>
      <c r="C2" s="700"/>
      <c r="D2" s="700" t="s">
        <v>545</v>
      </c>
      <c r="E2" s="701" t="s">
        <v>546</v>
      </c>
      <c r="F2" s="701" t="s">
        <v>547</v>
      </c>
      <c r="G2" s="701" t="s">
        <v>548</v>
      </c>
      <c r="H2" s="701" t="s">
        <v>549</v>
      </c>
      <c r="I2" s="701" t="s">
        <v>550</v>
      </c>
      <c r="J2" s="701" t="s">
        <v>551</v>
      </c>
      <c r="K2" s="701" t="s">
        <v>552</v>
      </c>
      <c r="L2" s="701" t="s">
        <v>553</v>
      </c>
      <c r="M2" s="701" t="s">
        <v>554</v>
      </c>
      <c r="N2" s="701" t="s">
        <v>555</v>
      </c>
      <c r="O2" s="701" t="s">
        <v>556</v>
      </c>
      <c r="P2" s="701" t="s">
        <v>557</v>
      </c>
      <c r="Q2" s="701" t="s">
        <v>558</v>
      </c>
      <c r="R2" s="701" t="s">
        <v>559</v>
      </c>
      <c r="S2" s="701" t="s">
        <v>560</v>
      </c>
      <c r="T2" s="701" t="s">
        <v>561</v>
      </c>
      <c r="U2" s="701" t="s">
        <v>562</v>
      </c>
      <c r="V2" s="700"/>
      <c r="W2" s="700"/>
    </row>
    <row r="3" spans="1:23" ht="18" x14ac:dyDescent="0.25">
      <c r="A3" s="702"/>
      <c r="B3" s="702"/>
      <c r="C3" s="703" t="s">
        <v>406</v>
      </c>
      <c r="D3" s="702"/>
      <c r="E3" s="702"/>
      <c r="F3" s="702"/>
      <c r="G3" s="702"/>
      <c r="H3" s="702"/>
      <c r="I3" s="702"/>
      <c r="J3" s="702"/>
      <c r="K3" s="702"/>
      <c r="L3" s="702"/>
      <c r="M3" s="702"/>
      <c r="N3" s="702"/>
      <c r="O3" s="702"/>
      <c r="P3" s="702"/>
      <c r="Q3" s="702"/>
      <c r="R3" s="702"/>
      <c r="S3" s="702"/>
      <c r="T3" s="702"/>
      <c r="U3" s="702"/>
      <c r="V3" s="702"/>
      <c r="W3" s="702"/>
    </row>
    <row r="4" spans="1:23" x14ac:dyDescent="0.25">
      <c r="A4" s="701"/>
      <c r="B4" s="701"/>
      <c r="C4" s="701"/>
      <c r="D4" s="701"/>
      <c r="E4" s="701"/>
      <c r="F4" s="701"/>
      <c r="G4" s="701"/>
      <c r="H4" s="701"/>
      <c r="I4" s="701"/>
      <c r="J4" s="701"/>
      <c r="K4" s="701"/>
      <c r="L4" s="701"/>
      <c r="M4" s="701"/>
      <c r="N4" s="701"/>
      <c r="O4" s="701"/>
      <c r="P4" s="701"/>
      <c r="Q4" s="701"/>
      <c r="R4" s="701"/>
      <c r="S4" s="701"/>
      <c r="T4" s="701"/>
      <c r="U4" s="701"/>
      <c r="V4" s="701"/>
      <c r="W4" s="701"/>
    </row>
    <row r="5" spans="1:23" ht="15.75" x14ac:dyDescent="0.25">
      <c r="A5" s="704"/>
      <c r="B5" s="701"/>
      <c r="C5" s="705" t="s">
        <v>338</v>
      </c>
      <c r="D5" s="704" t="s">
        <v>481</v>
      </c>
      <c r="E5" s="704"/>
      <c r="F5" s="704"/>
      <c r="G5" s="704"/>
      <c r="H5" s="704"/>
      <c r="I5" s="704"/>
      <c r="J5" s="704"/>
      <c r="K5" s="706"/>
      <c r="L5" s="706"/>
      <c r="M5" s="706"/>
      <c r="N5" s="706"/>
      <c r="O5" s="706"/>
      <c r="P5" s="706"/>
      <c r="Q5" s="706"/>
      <c r="R5" s="704"/>
      <c r="S5" s="704"/>
      <c r="T5" s="704"/>
      <c r="U5" s="704"/>
      <c r="V5" s="704"/>
      <c r="W5" s="704"/>
    </row>
    <row r="6" spans="1:23" ht="15.75" x14ac:dyDescent="0.25">
      <c r="A6" s="704"/>
      <c r="B6" s="701"/>
      <c r="C6" s="705" t="s">
        <v>341</v>
      </c>
      <c r="D6" s="704" t="s">
        <v>342</v>
      </c>
      <c r="E6" s="704"/>
      <c r="F6" s="704"/>
      <c r="G6" s="704"/>
      <c r="H6" s="704"/>
      <c r="I6" s="704"/>
      <c r="J6" s="704"/>
      <c r="K6" s="704"/>
      <c r="L6" s="704"/>
      <c r="M6" s="704"/>
      <c r="N6" s="704"/>
      <c r="O6" s="704"/>
      <c r="P6" s="704"/>
      <c r="Q6" s="704"/>
      <c r="R6" s="704"/>
      <c r="S6" s="704"/>
      <c r="T6" s="704"/>
      <c r="U6" s="704"/>
      <c r="V6" s="704"/>
      <c r="W6" s="704"/>
    </row>
    <row r="7" spans="1:23" x14ac:dyDescent="0.25">
      <c r="A7" s="701"/>
      <c r="B7" s="701"/>
      <c r="C7" s="701"/>
      <c r="D7" s="701"/>
      <c r="E7" s="701"/>
      <c r="F7" s="701"/>
      <c r="G7" s="701"/>
      <c r="H7" s="701"/>
      <c r="I7" s="701"/>
      <c r="J7" s="701"/>
      <c r="K7" s="701"/>
      <c r="L7" s="701"/>
      <c r="M7" s="701"/>
      <c r="N7" s="701"/>
      <c r="O7" s="701"/>
      <c r="P7" s="701"/>
      <c r="Q7" s="701"/>
      <c r="R7" s="701"/>
      <c r="S7" s="701"/>
      <c r="T7" s="701"/>
      <c r="U7" s="701"/>
      <c r="V7" s="701"/>
      <c r="W7" s="701"/>
    </row>
    <row r="8" spans="1:23" x14ac:dyDescent="0.25">
      <c r="A8" s="707"/>
      <c r="B8" s="707"/>
      <c r="C8" s="708" t="s">
        <v>89</v>
      </c>
      <c r="D8" s="707"/>
      <c r="E8" s="707"/>
      <c r="F8" s="707"/>
      <c r="G8" s="707"/>
      <c r="H8" s="707"/>
      <c r="I8" s="707"/>
      <c r="J8" s="707"/>
      <c r="K8" s="707"/>
      <c r="L8" s="707"/>
      <c r="M8" s="707"/>
      <c r="N8" s="707"/>
      <c r="O8" s="707"/>
      <c r="P8" s="707"/>
      <c r="Q8" s="707"/>
      <c r="R8" s="707"/>
      <c r="S8" s="707"/>
      <c r="T8" s="707"/>
      <c r="U8" s="707"/>
      <c r="V8" s="707"/>
      <c r="W8" s="707"/>
    </row>
    <row r="9" spans="1:23" x14ac:dyDescent="0.25">
      <c r="A9" s="701"/>
      <c r="B9" s="701"/>
      <c r="C9" s="701"/>
      <c r="D9" s="701"/>
      <c r="E9" s="701"/>
      <c r="F9" s="701"/>
      <c r="G9" s="701"/>
      <c r="H9" s="701"/>
      <c r="I9" s="701"/>
      <c r="J9" s="701"/>
      <c r="K9" s="701"/>
      <c r="L9" s="701"/>
      <c r="M9" s="701"/>
      <c r="N9" s="701"/>
      <c r="O9" s="701"/>
      <c r="P9" s="701"/>
      <c r="Q9" s="701"/>
      <c r="R9" s="701"/>
      <c r="S9" s="701"/>
      <c r="T9" s="701"/>
      <c r="U9" s="701"/>
      <c r="V9" s="701"/>
      <c r="W9" s="701"/>
    </row>
    <row r="10" spans="1:23" x14ac:dyDescent="0.25">
      <c r="A10" s="701"/>
      <c r="B10" s="701"/>
      <c r="C10" s="780" t="s">
        <v>128</v>
      </c>
      <c r="D10" s="775" t="s">
        <v>42</v>
      </c>
      <c r="E10" s="775" t="s">
        <v>52</v>
      </c>
      <c r="F10" s="775" t="s">
        <v>53</v>
      </c>
      <c r="G10" s="775" t="s">
        <v>482</v>
      </c>
      <c r="H10" s="775" t="s">
        <v>32</v>
      </c>
      <c r="I10" s="775" t="s">
        <v>483</v>
      </c>
      <c r="J10" s="775" t="s">
        <v>20</v>
      </c>
      <c r="K10" s="775" t="s">
        <v>55</v>
      </c>
      <c r="L10" s="777" t="s">
        <v>56</v>
      </c>
      <c r="M10" s="778"/>
      <c r="N10" s="778"/>
      <c r="O10" s="778"/>
      <c r="P10" s="778"/>
      <c r="Q10" s="779"/>
      <c r="R10" s="775" t="s">
        <v>57</v>
      </c>
      <c r="S10" s="775" t="s">
        <v>58</v>
      </c>
      <c r="T10" s="775" t="s">
        <v>31</v>
      </c>
      <c r="U10" s="775" t="s">
        <v>10</v>
      </c>
      <c r="V10" s="701"/>
      <c r="W10" s="701"/>
    </row>
    <row r="11" spans="1:23" ht="67.5" x14ac:dyDescent="0.25">
      <c r="A11" s="701" t="s">
        <v>486</v>
      </c>
      <c r="B11" s="701"/>
      <c r="C11" s="781"/>
      <c r="D11" s="776"/>
      <c r="E11" s="776"/>
      <c r="F11" s="776"/>
      <c r="G11" s="776"/>
      <c r="H11" s="776"/>
      <c r="I11" s="776"/>
      <c r="J11" s="776"/>
      <c r="K11" s="776"/>
      <c r="L11" s="709" t="s">
        <v>335</v>
      </c>
      <c r="M11" s="709" t="s">
        <v>40</v>
      </c>
      <c r="N11" s="709" t="s">
        <v>343</v>
      </c>
      <c r="O11" s="709" t="s">
        <v>344</v>
      </c>
      <c r="P11" s="719" t="s">
        <v>610</v>
      </c>
      <c r="Q11" s="709" t="s">
        <v>346</v>
      </c>
      <c r="R11" s="776"/>
      <c r="S11" s="776"/>
      <c r="T11" s="776"/>
      <c r="U11" s="776"/>
      <c r="V11" s="701"/>
      <c r="W11" s="701"/>
    </row>
    <row r="12" spans="1:23" x14ac:dyDescent="0.25">
      <c r="A12" s="701" t="s">
        <v>487</v>
      </c>
      <c r="B12" s="701"/>
      <c r="C12" s="710" t="s">
        <v>59</v>
      </c>
      <c r="D12" s="421">
        <f>Bilans_E_AMS_Kyoto_run3_MTE!H532</f>
        <v>0</v>
      </c>
      <c r="E12" s="421">
        <f>Bilans_E_AMS_Kyoto_run3_MTE!I532</f>
        <v>0</v>
      </c>
      <c r="F12" s="422">
        <f>Bilans_E_AMS_Kyoto_run3_MTE!J532</f>
        <v>0</v>
      </c>
      <c r="G12" s="611">
        <f>Bilans_E_AMS_Kyoto_run3_MTE!K532</f>
        <v>0</v>
      </c>
      <c r="H12" s="421">
        <f>Bilans_E_AMS_Kyoto_run3_MTE!L532</f>
        <v>0</v>
      </c>
      <c r="I12" s="611">
        <f>Bilans_E_AMS_Kyoto_run3_MTE!M532</f>
        <v>0</v>
      </c>
      <c r="J12" s="422">
        <f>Bilans_E_AMS_Kyoto_run3_MTE!N532</f>
        <v>807.37795933495636</v>
      </c>
      <c r="K12" s="422">
        <f>Bilans_E_AMS_Kyoto_run3_MTE!O532</f>
        <v>553.99388589395949</v>
      </c>
      <c r="L12" s="422">
        <f>Bilans_E_AMS_Kyoto_run3_MTE!P532</f>
        <v>401.60616442653316</v>
      </c>
      <c r="M12" s="422">
        <f>Bilans_E_AMS_Kyoto_run3_MTE!Q532</f>
        <v>43.888349788112322</v>
      </c>
      <c r="N12" s="628">
        <f>Bilans_E_AMS_Kyoto_run3_MTE!R532</f>
        <v>0</v>
      </c>
      <c r="O12" s="628">
        <f>Bilans_E_AMS_Kyoto_run3_MTE!S532</f>
        <v>0</v>
      </c>
      <c r="P12" s="432">
        <f>Bilans_E_AMS_Kyoto_run3_MTE!T532+Bilans_E_AMS_Kyoto_run3_MTE!U532</f>
        <v>274.41854375041947</v>
      </c>
      <c r="Q12" s="509">
        <f>Bilans_E_AMS_Kyoto_run3_MTE!V532</f>
        <v>50.723080686002739</v>
      </c>
      <c r="R12" s="422">
        <f>Bilans_E_AMS_Kyoto_run3_MTE!W532</f>
        <v>0</v>
      </c>
      <c r="S12" s="422">
        <f>Bilans_E_AMS_Kyoto_run3_MTE!X532</f>
        <v>0</v>
      </c>
      <c r="T12" s="422">
        <f>Bilans_E_AMS_Kyoto_run3_MTE!Y532</f>
        <v>0</v>
      </c>
      <c r="U12" s="423">
        <f>Bilans_E_AMS_Kyoto_run3_MTE!Z532</f>
        <v>2132.0079838799838</v>
      </c>
      <c r="V12" s="701"/>
      <c r="W12" s="701"/>
    </row>
    <row r="13" spans="1:23" x14ac:dyDescent="0.25">
      <c r="A13" s="701" t="s">
        <v>488</v>
      </c>
      <c r="B13" s="701"/>
      <c r="C13" s="710" t="s">
        <v>60</v>
      </c>
      <c r="D13" s="422">
        <f>Bilans_E_AMS_Kyoto_run3_MTE!H533</f>
        <v>0</v>
      </c>
      <c r="E13" s="422">
        <f>Bilans_E_AMS_Kyoto_run3_MTE!I533</f>
        <v>58.863651738299311</v>
      </c>
      <c r="F13" s="422">
        <f>Bilans_E_AMS_Kyoto_run3_MTE!J533</f>
        <v>45.756672067678878</v>
      </c>
      <c r="G13" s="624">
        <f>Bilans_E_AMS_Kyoto_run3_MTE!K533</f>
        <v>12.032159045744653</v>
      </c>
      <c r="H13" s="422">
        <f>Bilans_E_AMS_Kyoto_run3_MTE!L533</f>
        <v>7.019987079045241</v>
      </c>
      <c r="I13" s="624">
        <f>Bilans_E_AMS_Kyoto_run3_MTE!M533</f>
        <v>0</v>
      </c>
      <c r="J13" s="422">
        <f>Bilans_E_AMS_Kyoto_run3_MTE!N533</f>
        <v>0</v>
      </c>
      <c r="K13" s="422">
        <f>Bilans_E_AMS_Kyoto_run3_MTE!O533</f>
        <v>0</v>
      </c>
      <c r="L13" s="422">
        <f>Bilans_E_AMS_Kyoto_run3_MTE!P533</f>
        <v>22.470468893714155</v>
      </c>
      <c r="M13" s="422">
        <f>Bilans_E_AMS_Kyoto_run3_MTE!Q533</f>
        <v>0</v>
      </c>
      <c r="N13" s="628">
        <f>Bilans_E_AMS_Kyoto_run3_MTE!R533</f>
        <v>0</v>
      </c>
      <c r="O13" s="432">
        <f>Bilans_E_AMS_Kyoto_run3_MTE!S533</f>
        <v>0</v>
      </c>
      <c r="P13" s="422">
        <f>Bilans_E_AMS_Kyoto_run3_MTE!T533+Bilans_E_AMS_Kyoto_run3_MTE!U533</f>
        <v>0</v>
      </c>
      <c r="Q13" s="422">
        <f>Bilans_E_AMS_Kyoto_run3_MTE!V533</f>
        <v>0</v>
      </c>
      <c r="R13" s="432">
        <f>Bilans_E_AMS_Kyoto_run3_MTE!W533</f>
        <v>0</v>
      </c>
      <c r="S13" s="422">
        <f>Bilans_E_AMS_Kyoto_run3_MTE!X533</f>
        <v>0</v>
      </c>
      <c r="T13" s="432">
        <f>Bilans_E_AMS_Kyoto_run3_MTE!Y533</f>
        <v>0</v>
      </c>
      <c r="U13" s="423">
        <f>Bilans_E_AMS_Kyoto_run3_MTE!Z533</f>
        <v>146.14293882448223</v>
      </c>
      <c r="V13" s="701"/>
      <c r="W13" s="701"/>
    </row>
    <row r="14" spans="1:23" x14ac:dyDescent="0.25">
      <c r="A14" s="701" t="s">
        <v>489</v>
      </c>
      <c r="B14" s="701"/>
      <c r="C14" s="710" t="s">
        <v>61</v>
      </c>
      <c r="D14" s="422">
        <f>Bilans_E_AMS_Kyoto_run3_MTE!H534</f>
        <v>0</v>
      </c>
      <c r="E14" s="422">
        <f>Bilans_E_AMS_Kyoto_run3_MTE!I534</f>
        <v>0</v>
      </c>
      <c r="F14" s="422">
        <f>Bilans_E_AMS_Kyoto_run3_MTE!J534</f>
        <v>0</v>
      </c>
      <c r="G14" s="624">
        <f>Bilans_E_AMS_Kyoto_run3_MTE!K534</f>
        <v>0</v>
      </c>
      <c r="H14" s="422">
        <f>Bilans_E_AMS_Kyoto_run3_MTE!L534</f>
        <v>0</v>
      </c>
      <c r="I14" s="624">
        <f>Bilans_E_AMS_Kyoto_run3_MTE!M534</f>
        <v>0</v>
      </c>
      <c r="J14" s="422">
        <f>Bilans_E_AMS_Kyoto_run3_MTE!N534</f>
        <v>0</v>
      </c>
      <c r="K14" s="422">
        <f>Bilans_E_AMS_Kyoto_run3_MTE!O534</f>
        <v>0</v>
      </c>
      <c r="L14" s="422">
        <f>Bilans_E_AMS_Kyoto_run3_MTE!P534</f>
        <v>0</v>
      </c>
      <c r="M14" s="422">
        <f>Bilans_E_AMS_Kyoto_run3_MTE!Q534</f>
        <v>0</v>
      </c>
      <c r="N14" s="628">
        <f>Bilans_E_AMS_Kyoto_run3_MTE!R534</f>
        <v>-12.102055378039722</v>
      </c>
      <c r="O14" s="432">
        <f>Bilans_E_AMS_Kyoto_run3_MTE!S534</f>
        <v>-3.7955214595352373</v>
      </c>
      <c r="P14" s="422">
        <f>Bilans_E_AMS_Kyoto_run3_MTE!T534+Bilans_E_AMS_Kyoto_run3_MTE!U534</f>
        <v>0</v>
      </c>
      <c r="Q14" s="422">
        <f>Bilans_E_AMS_Kyoto_run3_MTE!V534</f>
        <v>0</v>
      </c>
      <c r="R14" s="432">
        <f>Bilans_E_AMS_Kyoto_run3_MTE!W534</f>
        <v>-28.679288227585289</v>
      </c>
      <c r="S14" s="422">
        <f>Bilans_E_AMS_Kyoto_run3_MTE!X534</f>
        <v>0</v>
      </c>
      <c r="T14" s="432">
        <f>Bilans_E_AMS_Kyoto_run3_MTE!Y534</f>
        <v>0</v>
      </c>
      <c r="U14" s="423">
        <f>Bilans_E_AMS_Kyoto_run3_MTE!Z534</f>
        <v>-44.576865065160248</v>
      </c>
      <c r="V14" s="701"/>
      <c r="W14" s="701"/>
    </row>
    <row r="15" spans="1:23" x14ac:dyDescent="0.25">
      <c r="A15" s="701" t="s">
        <v>490</v>
      </c>
      <c r="B15" s="701"/>
      <c r="C15" s="710" t="s">
        <v>62</v>
      </c>
      <c r="D15" s="421">
        <f>Bilans_E_AMS_Kyoto_run3_MTE!H535</f>
        <v>0</v>
      </c>
      <c r="E15" s="421">
        <f>Bilans_E_AMS_Kyoto_run3_MTE!I535</f>
        <v>0</v>
      </c>
      <c r="F15" s="421">
        <f>Bilans_E_AMS_Kyoto_run3_MTE!J535</f>
        <v>-1.2057976620084264E-3</v>
      </c>
      <c r="G15" s="624">
        <f>Bilans_E_AMS_Kyoto_run3_MTE!K535</f>
        <v>-2.8026264036035151</v>
      </c>
      <c r="H15" s="421">
        <f>Bilans_E_AMS_Kyoto_run3_MTE!L535</f>
        <v>0</v>
      </c>
      <c r="I15" s="624">
        <f>Bilans_E_AMS_Kyoto_run3_MTE!M535</f>
        <v>-2.8026264036035156</v>
      </c>
      <c r="J15" s="421">
        <f>Bilans_E_AMS_Kyoto_run3_MTE!N535</f>
        <v>0</v>
      </c>
      <c r="K15" s="421">
        <f>Bilans_E_AMS_Kyoto_run3_MTE!O535</f>
        <v>0</v>
      </c>
      <c r="L15" s="421">
        <f>Bilans_E_AMS_Kyoto_run3_MTE!P535</f>
        <v>0</v>
      </c>
      <c r="M15" s="421">
        <f>Bilans_E_AMS_Kyoto_run3_MTE!Q535</f>
        <v>0</v>
      </c>
      <c r="N15" s="431">
        <f>Bilans_E_AMS_Kyoto_run3_MTE!R535</f>
        <v>0</v>
      </c>
      <c r="O15" s="431">
        <f>Bilans_E_AMS_Kyoto_run3_MTE!S535</f>
        <v>-2.4289428831230464</v>
      </c>
      <c r="P15" s="421">
        <f>Bilans_E_AMS_Kyoto_run3_MTE!T535+Bilans_E_AMS_Kyoto_run3_MTE!U535</f>
        <v>0</v>
      </c>
      <c r="Q15" s="421">
        <f>Bilans_E_AMS_Kyoto_run3_MTE!V535</f>
        <v>0</v>
      </c>
      <c r="R15" s="422">
        <f>Bilans_E_AMS_Kyoto_run3_MTE!W535</f>
        <v>0</v>
      </c>
      <c r="S15" s="422">
        <f>Bilans_E_AMS_Kyoto_run3_MTE!X535</f>
        <v>0</v>
      </c>
      <c r="T15" s="431">
        <f>Bilans_E_AMS_Kyoto_run3_MTE!Y535</f>
        <v>-1.3066910843207444</v>
      </c>
      <c r="U15" s="423">
        <f>Bilans_E_AMS_Kyoto_run3_MTE!Z535</f>
        <v>-9.342092572312831</v>
      </c>
      <c r="V15" s="701"/>
      <c r="W15" s="701"/>
    </row>
    <row r="16" spans="1:23" x14ac:dyDescent="0.25">
      <c r="A16" s="701" t="s">
        <v>491</v>
      </c>
      <c r="B16" s="701"/>
      <c r="C16" s="710" t="s">
        <v>63</v>
      </c>
      <c r="D16" s="421">
        <f>Bilans_E_AMS_Kyoto_run3_MTE!H536</f>
        <v>0</v>
      </c>
      <c r="E16" s="421">
        <f>Bilans_E_AMS_Kyoto_run3_MTE!I536</f>
        <v>0</v>
      </c>
      <c r="F16" s="421">
        <f>Bilans_E_AMS_Kyoto_run3_MTE!J536</f>
        <v>-7</v>
      </c>
      <c r="G16" s="624">
        <f>Bilans_E_AMS_Kyoto_run3_MTE!K536</f>
        <v>-25</v>
      </c>
      <c r="H16" s="421">
        <f>Bilans_E_AMS_Kyoto_run3_MTE!L536</f>
        <v>0</v>
      </c>
      <c r="I16" s="624">
        <f>Bilans_E_AMS_Kyoto_run3_MTE!M536</f>
        <v>0</v>
      </c>
      <c r="J16" s="421">
        <f>Bilans_E_AMS_Kyoto_run3_MTE!N536</f>
        <v>0</v>
      </c>
      <c r="K16" s="421">
        <f>Bilans_E_AMS_Kyoto_run3_MTE!O536</f>
        <v>0</v>
      </c>
      <c r="L16" s="421">
        <f>Bilans_E_AMS_Kyoto_run3_MTE!P536</f>
        <v>0</v>
      </c>
      <c r="M16" s="421">
        <f>Bilans_E_AMS_Kyoto_run3_MTE!Q536</f>
        <v>0</v>
      </c>
      <c r="N16" s="431">
        <f>Bilans_E_AMS_Kyoto_run3_MTE!R536</f>
        <v>-17</v>
      </c>
      <c r="O16" s="431">
        <f>Bilans_E_AMS_Kyoto_run3_MTE!S536</f>
        <v>0</v>
      </c>
      <c r="P16" s="421">
        <f>Bilans_E_AMS_Kyoto_run3_MTE!T536+Bilans_E_AMS_Kyoto_run3_MTE!U536</f>
        <v>0</v>
      </c>
      <c r="Q16" s="421">
        <f>Bilans_E_AMS_Kyoto_run3_MTE!V536</f>
        <v>0</v>
      </c>
      <c r="R16" s="422">
        <f>Bilans_E_AMS_Kyoto_run3_MTE!W536</f>
        <v>0</v>
      </c>
      <c r="S16" s="422">
        <f>Bilans_E_AMS_Kyoto_run3_MTE!X536</f>
        <v>0</v>
      </c>
      <c r="T16" s="431">
        <f>Bilans_E_AMS_Kyoto_run3_MTE!Y536</f>
        <v>-8</v>
      </c>
      <c r="U16" s="423">
        <f>Bilans_E_AMS_Kyoto_run3_MTE!Z536</f>
        <v>-57</v>
      </c>
      <c r="V16" s="701"/>
      <c r="W16" s="701"/>
    </row>
    <row r="17" spans="1:23" x14ac:dyDescent="0.25">
      <c r="A17" s="701" t="s">
        <v>492</v>
      </c>
      <c r="B17" s="701"/>
      <c r="C17" s="710" t="s">
        <v>64</v>
      </c>
      <c r="D17" s="422">
        <f>Bilans_E_AMS_Kyoto_run3_MTE!H537</f>
        <v>0</v>
      </c>
      <c r="E17" s="422">
        <f>Bilans_E_AMS_Kyoto_run3_MTE!I537</f>
        <v>0</v>
      </c>
      <c r="F17" s="422">
        <f>Bilans_E_AMS_Kyoto_run3_MTE!J537</f>
        <v>0</v>
      </c>
      <c r="G17" s="611">
        <f>Bilans_E_AMS_Kyoto_run3_MTE!K537</f>
        <v>0</v>
      </c>
      <c r="H17" s="422">
        <f>Bilans_E_AMS_Kyoto_run3_MTE!L537</f>
        <v>0</v>
      </c>
      <c r="I17" s="611">
        <f>Bilans_E_AMS_Kyoto_run3_MTE!M537</f>
        <v>0</v>
      </c>
      <c r="J17" s="422">
        <f>Bilans_E_AMS_Kyoto_run3_MTE!N537</f>
        <v>0</v>
      </c>
      <c r="K17" s="422">
        <f>Bilans_E_AMS_Kyoto_run3_MTE!O537</f>
        <v>0</v>
      </c>
      <c r="L17" s="422">
        <f>Bilans_E_AMS_Kyoto_run3_MTE!P537</f>
        <v>0</v>
      </c>
      <c r="M17" s="422">
        <f>Bilans_E_AMS_Kyoto_run3_MTE!Q537</f>
        <v>0</v>
      </c>
      <c r="N17" s="422">
        <f>Bilans_E_AMS_Kyoto_run3_MTE!R537</f>
        <v>0</v>
      </c>
      <c r="O17" s="422">
        <f>Bilans_E_AMS_Kyoto_run3_MTE!S537</f>
        <v>0</v>
      </c>
      <c r="P17" s="422">
        <f>Bilans_E_AMS_Kyoto_run3_MTE!T537+Bilans_E_AMS_Kyoto_run3_MTE!U537</f>
        <v>0</v>
      </c>
      <c r="Q17" s="422">
        <f>Bilans_E_AMS_Kyoto_run3_MTE!V537</f>
        <v>0</v>
      </c>
      <c r="R17" s="422">
        <f>Bilans_E_AMS_Kyoto_run3_MTE!W537</f>
        <v>0</v>
      </c>
      <c r="S17" s="422">
        <f>Bilans_E_AMS_Kyoto_run3_MTE!X537</f>
        <v>0</v>
      </c>
      <c r="T17" s="422">
        <f>Bilans_E_AMS_Kyoto_run3_MTE!Y537</f>
        <v>0</v>
      </c>
      <c r="U17" s="423">
        <f>Bilans_E_AMS_Kyoto_run3_MTE!Z537</f>
        <v>0</v>
      </c>
      <c r="V17" s="701"/>
      <c r="W17" s="701"/>
    </row>
    <row r="18" spans="1:23" x14ac:dyDescent="0.25">
      <c r="A18" s="701" t="s">
        <v>493</v>
      </c>
      <c r="B18" s="701"/>
      <c r="C18" s="713" t="s">
        <v>65</v>
      </c>
      <c r="D18" s="510">
        <f>Bilans_E_AMS_Kyoto_run3_MTE!H538</f>
        <v>0</v>
      </c>
      <c r="E18" s="510">
        <f>Bilans_E_AMS_Kyoto_run3_MTE!I538</f>
        <v>58.863651738299311</v>
      </c>
      <c r="F18" s="510">
        <f>Bilans_E_AMS_Kyoto_run3_MTE!J538</f>
        <v>38.755466270016868</v>
      </c>
      <c r="G18" s="615">
        <f>Bilans_E_AMS_Kyoto_run3_MTE!K538</f>
        <v>-15.770467357858863</v>
      </c>
      <c r="H18" s="510">
        <f>Bilans_E_AMS_Kyoto_run3_MTE!L538</f>
        <v>7.019987079045241</v>
      </c>
      <c r="I18" s="615">
        <f>Bilans_E_AMS_Kyoto_run3_MTE!M538</f>
        <v>-2.8026264036035156</v>
      </c>
      <c r="J18" s="425">
        <f>Bilans_E_AMS_Kyoto_run3_MTE!N538</f>
        <v>807.37795933495636</v>
      </c>
      <c r="K18" s="425">
        <f>Bilans_E_AMS_Kyoto_run3_MTE!O538</f>
        <v>553.99388589395949</v>
      </c>
      <c r="L18" s="425">
        <f>Bilans_E_AMS_Kyoto_run3_MTE!P538</f>
        <v>424.07663332024731</v>
      </c>
      <c r="M18" s="510">
        <f>Bilans_E_AMS_Kyoto_run3_MTE!Q538</f>
        <v>43.888349788112322</v>
      </c>
      <c r="N18" s="425">
        <f>Bilans_E_AMS_Kyoto_run3_MTE!R538</f>
        <v>-29.102055378039722</v>
      </c>
      <c r="O18" s="425">
        <f>Bilans_E_AMS_Kyoto_run3_MTE!S538</f>
        <v>-6.2244643426582833</v>
      </c>
      <c r="P18" s="425">
        <f>Bilans_E_AMS_Kyoto_run3_MTE!T538+Bilans_E_AMS_Kyoto_run3_MTE!U538</f>
        <v>274.41854375041947</v>
      </c>
      <c r="Q18" s="425">
        <f>Bilans_E_AMS_Kyoto_run3_MTE!V538</f>
        <v>50.723080686002739</v>
      </c>
      <c r="R18" s="425">
        <f>Bilans_E_AMS_Kyoto_run3_MTE!W538</f>
        <v>-28.679288227585289</v>
      </c>
      <c r="S18" s="425">
        <f>Bilans_E_AMS_Kyoto_run3_MTE!X538</f>
        <v>0</v>
      </c>
      <c r="T18" s="425">
        <f>Bilans_E_AMS_Kyoto_run3_MTE!Y538</f>
        <v>-9.3066910843207449</v>
      </c>
      <c r="U18" s="425">
        <f>Bilans_E_AMS_Kyoto_run3_MTE!Z538</f>
        <v>2167.2319650669929</v>
      </c>
      <c r="V18" s="701"/>
      <c r="W18" s="701"/>
    </row>
    <row r="19" spans="1:23" x14ac:dyDescent="0.25">
      <c r="A19" s="701"/>
      <c r="B19" s="701"/>
      <c r="C19" s="715"/>
      <c r="D19" s="427"/>
      <c r="E19" s="492"/>
      <c r="F19" s="492"/>
      <c r="G19" s="617"/>
      <c r="H19" s="492"/>
      <c r="I19" s="617"/>
      <c r="J19" s="427"/>
      <c r="K19" s="427"/>
      <c r="L19" s="427"/>
      <c r="M19" s="492"/>
      <c r="N19" s="427"/>
      <c r="O19" s="427"/>
      <c r="P19" s="427">
        <f>Bilans_E_AMS_Kyoto_run3_MTE!T539+Bilans_E_AMS_Kyoto_run3_MTE!U539</f>
        <v>0</v>
      </c>
      <c r="Q19" s="427"/>
      <c r="R19" s="492"/>
      <c r="S19" s="492"/>
      <c r="T19" s="427"/>
      <c r="U19" s="427"/>
      <c r="V19" s="701"/>
      <c r="W19" s="701"/>
    </row>
    <row r="20" spans="1:23" x14ac:dyDescent="0.25">
      <c r="A20" s="701" t="s">
        <v>494</v>
      </c>
      <c r="B20" s="701"/>
      <c r="C20" s="717" t="s">
        <v>67</v>
      </c>
      <c r="D20" s="421">
        <f>Bilans_E_AMS_Kyoto_run3_MTE!H540</f>
        <v>0</v>
      </c>
      <c r="E20" s="431">
        <f>Bilans_E_AMS_Kyoto_run3_MTE!I540</f>
        <v>0</v>
      </c>
      <c r="F20" s="431">
        <f>Bilans_E_AMS_Kyoto_run3_MTE!J540</f>
        <v>0</v>
      </c>
      <c r="G20" s="611">
        <f>Bilans_E_AMS_Kyoto_run3_MTE!K540</f>
        <v>0</v>
      </c>
      <c r="H20" s="431">
        <f>Bilans_E_AMS_Kyoto_run3_MTE!L540</f>
        <v>0</v>
      </c>
      <c r="I20" s="611">
        <f>Bilans_E_AMS_Kyoto_run3_MTE!M540</f>
        <v>0</v>
      </c>
      <c r="J20" s="421">
        <f>Bilans_E_AMS_Kyoto_run3_MTE!N540</f>
        <v>0</v>
      </c>
      <c r="K20" s="421">
        <f>Bilans_E_AMS_Kyoto_run3_MTE!O540</f>
        <v>0</v>
      </c>
      <c r="L20" s="421">
        <f>Bilans_E_AMS_Kyoto_run3_MTE!P540</f>
        <v>0</v>
      </c>
      <c r="M20" s="431">
        <f>Bilans_E_AMS_Kyoto_run3_MTE!Q540</f>
        <v>0</v>
      </c>
      <c r="N20" s="421">
        <f>Bilans_E_AMS_Kyoto_run3_MTE!R540</f>
        <v>0</v>
      </c>
      <c r="O20" s="421">
        <f>Bilans_E_AMS_Kyoto_run3_MTE!S540</f>
        <v>0</v>
      </c>
      <c r="P20" s="421">
        <f>Bilans_E_AMS_Kyoto_run3_MTE!T540+Bilans_E_AMS_Kyoto_run3_MTE!U540</f>
        <v>0</v>
      </c>
      <c r="Q20" s="421">
        <f>Bilans_E_AMS_Kyoto_run3_MTE!V540</f>
        <v>0</v>
      </c>
      <c r="R20" s="431">
        <f>Bilans_E_AMS_Kyoto_run3_MTE!W540</f>
        <v>0</v>
      </c>
      <c r="S20" s="431">
        <f>Bilans_E_AMS_Kyoto_run3_MTE!X540</f>
        <v>0</v>
      </c>
      <c r="T20" s="422">
        <f>Bilans_E_AMS_Kyoto_run3_MTE!Y540</f>
        <v>0</v>
      </c>
      <c r="U20" s="423">
        <f>Bilans_E_AMS_Kyoto_run3_MTE!Z540</f>
        <v>0</v>
      </c>
      <c r="V20" s="701"/>
      <c r="W20" s="701"/>
    </row>
    <row r="21" spans="1:23" x14ac:dyDescent="0.25">
      <c r="A21" s="701" t="s">
        <v>495</v>
      </c>
      <c r="B21" s="701"/>
      <c r="C21" s="717" t="s">
        <v>347</v>
      </c>
      <c r="D21" s="431">
        <f>Bilans_E_AMS_Kyoto_run3_MTE!H541</f>
        <v>0</v>
      </c>
      <c r="E21" s="421">
        <f>Bilans_E_AMS_Kyoto_run3_MTE!I541</f>
        <v>0</v>
      </c>
      <c r="F21" s="431">
        <f>Bilans_E_AMS_Kyoto_run3_MTE!J541</f>
        <v>0</v>
      </c>
      <c r="G21" s="611">
        <f>Bilans_E_AMS_Kyoto_run3_MTE!K541</f>
        <v>0</v>
      </c>
      <c r="H21" s="431">
        <f>Bilans_E_AMS_Kyoto_run3_MTE!L541</f>
        <v>0</v>
      </c>
      <c r="I21" s="611">
        <f>Bilans_E_AMS_Kyoto_run3_MTE!M541</f>
        <v>0</v>
      </c>
      <c r="J21" s="431">
        <f>Bilans_E_AMS_Kyoto_run3_MTE!N541</f>
        <v>797.92981818181818</v>
      </c>
      <c r="K21" s="431">
        <f>Bilans_E_AMS_Kyoto_run3_MTE!O541</f>
        <v>553.99388589395949</v>
      </c>
      <c r="L21" s="431">
        <f>Bilans_E_AMS_Kyoto_run3_MTE!P541</f>
        <v>18.017312138261726</v>
      </c>
      <c r="M21" s="431">
        <f>Bilans_E_AMS_Kyoto_run3_MTE!Q541</f>
        <v>5.0359913785352379</v>
      </c>
      <c r="N21" s="625">
        <f>Bilans_E_AMS_Kyoto_run3_MTE!R541</f>
        <v>6.5561937148871507</v>
      </c>
      <c r="O21" s="431">
        <f>Bilans_E_AMS_Kyoto_run3_MTE!S541</f>
        <v>0.11704136254218823</v>
      </c>
      <c r="P21" s="421">
        <f>Bilans_E_AMS_Kyoto_run3_MTE!T541+Bilans_E_AMS_Kyoto_run3_MTE!U541</f>
        <v>0</v>
      </c>
      <c r="Q21" s="625">
        <f>Bilans_E_AMS_Kyoto_run3_MTE!V541</f>
        <v>6.7631767445353068</v>
      </c>
      <c r="R21" s="421">
        <f>Bilans_E_AMS_Kyoto_run3_MTE!W541</f>
        <v>-834.6881786149205</v>
      </c>
      <c r="S21" s="421">
        <f>Bilans_E_AMS_Kyoto_run3_MTE!X541</f>
        <v>0</v>
      </c>
      <c r="T21" s="432">
        <f>Bilans_E_AMS_Kyoto_run3_MTE!Y541</f>
        <v>0</v>
      </c>
      <c r="U21" s="491">
        <f>Bilans_E_AMS_Kyoto_run3_MTE!Z541</f>
        <v>553.72524079961875</v>
      </c>
      <c r="V21" s="701"/>
      <c r="W21" s="701"/>
    </row>
    <row r="22" spans="1:23" x14ac:dyDescent="0.25">
      <c r="A22" s="701" t="s">
        <v>496</v>
      </c>
      <c r="B22" s="701"/>
      <c r="C22" s="717" t="s">
        <v>348</v>
      </c>
      <c r="D22" s="431">
        <f>Bilans_E_AMS_Kyoto_run3_MTE!H542</f>
        <v>0</v>
      </c>
      <c r="E22" s="421">
        <f>Bilans_E_AMS_Kyoto_run3_MTE!I542</f>
        <v>0</v>
      </c>
      <c r="F22" s="431">
        <f>Bilans_E_AMS_Kyoto_run3_MTE!J542</f>
        <v>0</v>
      </c>
      <c r="G22" s="611">
        <f>Bilans_E_AMS_Kyoto_run3_MTE!K542</f>
        <v>0</v>
      </c>
      <c r="H22" s="431">
        <f>Bilans_E_AMS_Kyoto_run3_MTE!L542</f>
        <v>0</v>
      </c>
      <c r="I22" s="718">
        <f>Bilans_E_AMS_Kyoto_run3_MTE!M542</f>
        <v>0.44183816383617902</v>
      </c>
      <c r="J22" s="718">
        <f>Bilans_E_AMS_Kyoto_run3_MTE!N542</f>
        <v>9.448141153138188</v>
      </c>
      <c r="K22" s="421">
        <f>Bilans_E_AMS_Kyoto_run3_MTE!O542</f>
        <v>0</v>
      </c>
      <c r="L22" s="431">
        <f>Bilans_E_AMS_Kyoto_run3_MTE!P542</f>
        <v>23.543561697387847</v>
      </c>
      <c r="M22" s="431">
        <f>Bilans_E_AMS_Kyoto_run3_MTE!Q542</f>
        <v>10.266401321700496</v>
      </c>
      <c r="N22" s="421">
        <f>Bilans_E_AMS_Kyoto_run3_MTE!R542</f>
        <v>0</v>
      </c>
      <c r="O22" s="431">
        <f>Bilans_E_AMS_Kyoto_run3_MTE!S542</f>
        <v>8.4106289047241454</v>
      </c>
      <c r="P22" s="718">
        <f>Bilans_E_AMS_Kyoto_run3_MTE!T542+Bilans_E_AMS_Kyoto_run3_MTE!U542</f>
        <v>22.572621073808037</v>
      </c>
      <c r="Q22" s="431">
        <f>Bilans_E_AMS_Kyoto_run3_MTE!V542</f>
        <v>12.943396433622139</v>
      </c>
      <c r="R22" s="421">
        <f>Bilans_E_AMS_Kyoto_run3_MTE!W542</f>
        <v>0</v>
      </c>
      <c r="S22" s="421">
        <f>Bilans_E_AMS_Kyoto_run3_MTE!X542</f>
        <v>-82.703064296862223</v>
      </c>
      <c r="T22" s="432">
        <f>Bilans_E_AMS_Kyoto_run3_MTE!Y542</f>
        <v>0</v>
      </c>
      <c r="U22" s="491">
        <f>Bilans_E_AMS_Kyoto_run3_MTE!Z542</f>
        <v>4.9235244513548082</v>
      </c>
      <c r="V22" s="701"/>
      <c r="W22" s="701"/>
    </row>
    <row r="23" spans="1:23" x14ac:dyDescent="0.25">
      <c r="A23" s="701" t="s">
        <v>497</v>
      </c>
      <c r="B23" s="701"/>
      <c r="C23" s="717" t="s">
        <v>349</v>
      </c>
      <c r="D23" s="421">
        <f>Bilans_E_AMS_Kyoto_run3_MTE!H543</f>
        <v>0</v>
      </c>
      <c r="E23" s="421">
        <f>Bilans_E_AMS_Kyoto_run3_MTE!I543</f>
        <v>0</v>
      </c>
      <c r="F23" s="421">
        <f>Bilans_E_AMS_Kyoto_run3_MTE!J543</f>
        <v>0</v>
      </c>
      <c r="G23" s="611">
        <f>Bilans_E_AMS_Kyoto_run3_MTE!K543</f>
        <v>0</v>
      </c>
      <c r="H23" s="421">
        <f>Bilans_E_AMS_Kyoto_run3_MTE!L543</f>
        <v>0</v>
      </c>
      <c r="I23" s="611">
        <f>Bilans_E_AMS_Kyoto_run3_MTE!M543</f>
        <v>0</v>
      </c>
      <c r="J23" s="421">
        <f>Bilans_E_AMS_Kyoto_run3_MTE!N543</f>
        <v>0</v>
      </c>
      <c r="K23" s="421">
        <f>Bilans_E_AMS_Kyoto_run3_MTE!O543</f>
        <v>0</v>
      </c>
      <c r="L23" s="431">
        <f>Bilans_E_AMS_Kyoto_run3_MTE!P543</f>
        <v>177.56965686689</v>
      </c>
      <c r="M23" s="718">
        <f>Bilans_E_AMS_Kyoto_run3_MTE!Q543</f>
        <v>14.007374273227594</v>
      </c>
      <c r="N23" s="421">
        <f>Bilans_E_AMS_Kyoto_run3_MTE!R543</f>
        <v>0</v>
      </c>
      <c r="O23" s="421">
        <f>Bilans_E_AMS_Kyoto_run3_MTE!S543</f>
        <v>-95.874066928158982</v>
      </c>
      <c r="P23" s="421">
        <f>Bilans_E_AMS_Kyoto_run3_MTE!T543+Bilans_E_AMS_Kyoto_run3_MTE!U543</f>
        <v>0</v>
      </c>
      <c r="Q23" s="421">
        <f>Bilans_E_AMS_Kyoto_run3_MTE!V543</f>
        <v>0</v>
      </c>
      <c r="R23" s="421">
        <f>Bilans_E_AMS_Kyoto_run3_MTE!W543</f>
        <v>0</v>
      </c>
      <c r="S23" s="421">
        <f>Bilans_E_AMS_Kyoto_run3_MTE!X543</f>
        <v>0</v>
      </c>
      <c r="T23" s="422">
        <f>Bilans_E_AMS_Kyoto_run3_MTE!Y543</f>
        <v>0</v>
      </c>
      <c r="U23" s="491">
        <f>Bilans_E_AMS_Kyoto_run3_MTE!Z543</f>
        <v>95.702964211958601</v>
      </c>
      <c r="V23" s="701"/>
      <c r="W23" s="701"/>
    </row>
    <row r="24" spans="1:23" x14ac:dyDescent="0.25">
      <c r="A24" s="701" t="s">
        <v>498</v>
      </c>
      <c r="B24" s="701"/>
      <c r="C24" s="717" t="s">
        <v>350</v>
      </c>
      <c r="D24" s="421">
        <f>Bilans_E_AMS_Kyoto_run3_MTE!H544</f>
        <v>0</v>
      </c>
      <c r="E24" s="421">
        <f>Bilans_E_AMS_Kyoto_run3_MTE!I544</f>
        <v>0</v>
      </c>
      <c r="F24" s="421">
        <f>Bilans_E_AMS_Kyoto_run3_MTE!J544</f>
        <v>0</v>
      </c>
      <c r="G24" s="611">
        <f>Bilans_E_AMS_Kyoto_run3_MTE!K544</f>
        <v>0</v>
      </c>
      <c r="H24" s="421">
        <f>Bilans_E_AMS_Kyoto_run3_MTE!L544</f>
        <v>0</v>
      </c>
      <c r="I24" s="611">
        <f>Bilans_E_AMS_Kyoto_run3_MTE!M544</f>
        <v>-7.5120211335666909</v>
      </c>
      <c r="J24" s="421">
        <f>Bilans_E_AMS_Kyoto_run3_MTE!N544</f>
        <v>0</v>
      </c>
      <c r="K24" s="421">
        <f>Bilans_E_AMS_Kyoto_run3_MTE!O544</f>
        <v>0</v>
      </c>
      <c r="L24" s="421">
        <f>Bilans_E_AMS_Kyoto_run3_MTE!P544</f>
        <v>0</v>
      </c>
      <c r="M24" s="421">
        <f>Bilans_E_AMS_Kyoto_run3_MTE!Q544</f>
        <v>0</v>
      </c>
      <c r="N24" s="421">
        <f>Bilans_E_AMS_Kyoto_run3_MTE!R544</f>
        <v>0</v>
      </c>
      <c r="O24" s="421">
        <f>Bilans_E_AMS_Kyoto_run3_MTE!S544</f>
        <v>0</v>
      </c>
      <c r="P24" s="421">
        <f>Bilans_E_AMS_Kyoto_run3_MTE!T544+Bilans_E_AMS_Kyoto_run3_MTE!U544</f>
        <v>0</v>
      </c>
      <c r="Q24" s="421">
        <f>Bilans_E_AMS_Kyoto_run3_MTE!V544</f>
        <v>0</v>
      </c>
      <c r="R24" s="421">
        <f>Bilans_E_AMS_Kyoto_run3_MTE!W544</f>
        <v>0</v>
      </c>
      <c r="S24" s="421">
        <f>Bilans_E_AMS_Kyoto_run3_MTE!X544</f>
        <v>0</v>
      </c>
      <c r="T24" s="628">
        <f>Bilans_E_AMS_Kyoto_run3_MTE!Y544</f>
        <v>10.395912432015363</v>
      </c>
      <c r="U24" s="629">
        <f>Bilans_E_AMS_Kyoto_run3_MTE!Z544</f>
        <v>2.8838912984486722</v>
      </c>
      <c r="V24" s="701"/>
      <c r="W24" s="701"/>
    </row>
    <row r="25" spans="1:23" x14ac:dyDescent="0.25">
      <c r="A25" s="701" t="s">
        <v>499</v>
      </c>
      <c r="B25" s="701"/>
      <c r="C25" s="717" t="s">
        <v>72</v>
      </c>
      <c r="D25" s="421">
        <f>Bilans_E_AMS_Kyoto_run3_MTE!H545</f>
        <v>0</v>
      </c>
      <c r="E25" s="431">
        <f>Bilans_E_AMS_Kyoto_run3_MTE!I545</f>
        <v>60.999648796706254</v>
      </c>
      <c r="F25" s="421">
        <f>Bilans_E_AMS_Kyoto_run3_MTE!J545</f>
        <v>-60.389652308739187</v>
      </c>
      <c r="G25" s="611">
        <f>Bilans_E_AMS_Kyoto_run3_MTE!K545</f>
        <v>0</v>
      </c>
      <c r="H25" s="431">
        <f>Bilans_E_AMS_Kyoto_run3_MTE!L545</f>
        <v>0</v>
      </c>
      <c r="I25" s="611">
        <f>Bilans_E_AMS_Kyoto_run3_MTE!M545</f>
        <v>0</v>
      </c>
      <c r="J25" s="421">
        <f>Bilans_E_AMS_Kyoto_run3_MTE!N545</f>
        <v>0</v>
      </c>
      <c r="K25" s="421">
        <f>Bilans_E_AMS_Kyoto_run3_MTE!O545</f>
        <v>0</v>
      </c>
      <c r="L25" s="421">
        <f>Bilans_E_AMS_Kyoto_run3_MTE!P545</f>
        <v>0</v>
      </c>
      <c r="M25" s="421">
        <f>Bilans_E_AMS_Kyoto_run3_MTE!Q545</f>
        <v>0</v>
      </c>
      <c r="N25" s="421">
        <f>Bilans_E_AMS_Kyoto_run3_MTE!R545</f>
        <v>0</v>
      </c>
      <c r="O25" s="421">
        <f>Bilans_E_AMS_Kyoto_run3_MTE!S545</f>
        <v>0</v>
      </c>
      <c r="P25" s="421">
        <f>Bilans_E_AMS_Kyoto_run3_MTE!T545+Bilans_E_AMS_Kyoto_run3_MTE!U545</f>
        <v>0</v>
      </c>
      <c r="Q25" s="421">
        <f>Bilans_E_AMS_Kyoto_run3_MTE!V545</f>
        <v>0</v>
      </c>
      <c r="R25" s="421">
        <f>Bilans_E_AMS_Kyoto_run3_MTE!W545</f>
        <v>0</v>
      </c>
      <c r="S25" s="421">
        <f>Bilans_E_AMS_Kyoto_run3_MTE!X545</f>
        <v>0</v>
      </c>
      <c r="T25" s="422">
        <f>Bilans_E_AMS_Kyoto_run3_MTE!Y545</f>
        <v>0</v>
      </c>
      <c r="U25" s="491">
        <f>Bilans_E_AMS_Kyoto_run3_MTE!Z545</f>
        <v>0.60999648796706651</v>
      </c>
      <c r="V25" s="701"/>
      <c r="W25" s="701"/>
    </row>
    <row r="26" spans="1:23" x14ac:dyDescent="0.25">
      <c r="A26" s="701" t="s">
        <v>500</v>
      </c>
      <c r="B26" s="701"/>
      <c r="C26" s="717" t="s">
        <v>351</v>
      </c>
      <c r="D26" s="421">
        <f>Bilans_E_AMS_Kyoto_run3_MTE!H546</f>
        <v>0</v>
      </c>
      <c r="E26" s="421">
        <f>Bilans_E_AMS_Kyoto_run3_MTE!I546</f>
        <v>0</v>
      </c>
      <c r="F26" s="421">
        <f>Bilans_E_AMS_Kyoto_run3_MTE!J546</f>
        <v>0</v>
      </c>
      <c r="G26" s="611">
        <f>Bilans_E_AMS_Kyoto_run3_MTE!K546</f>
        <v>0</v>
      </c>
      <c r="H26" s="421">
        <f>Bilans_E_AMS_Kyoto_run3_MTE!L546</f>
        <v>0</v>
      </c>
      <c r="I26" s="611">
        <f>Bilans_E_AMS_Kyoto_run3_MTE!M546</f>
        <v>0</v>
      </c>
      <c r="J26" s="421">
        <f>Bilans_E_AMS_Kyoto_run3_MTE!N546</f>
        <v>0</v>
      </c>
      <c r="K26" s="421">
        <f>Bilans_E_AMS_Kyoto_run3_MTE!O546</f>
        <v>0</v>
      </c>
      <c r="L26" s="625">
        <f>Bilans_E_AMS_Kyoto_run3_MTE!P546</f>
        <v>112.15319289997592</v>
      </c>
      <c r="M26" s="718">
        <f>Bilans_E_AMS_Kyoto_run3_MTE!Q546</f>
        <v>7.2727272727272725</v>
      </c>
      <c r="N26" s="421">
        <f>Bilans_E_AMS_Kyoto_run3_MTE!R546</f>
        <v>-66.38461722515251</v>
      </c>
      <c r="O26" s="421">
        <f>Bilans_E_AMS_Kyoto_run3_MTE!S546</f>
        <v>0</v>
      </c>
      <c r="P26" s="421">
        <f>Bilans_E_AMS_Kyoto_run3_MTE!T546+Bilans_E_AMS_Kyoto_run3_MTE!U546</f>
        <v>0</v>
      </c>
      <c r="Q26" s="421">
        <f>Bilans_E_AMS_Kyoto_run3_MTE!V546</f>
        <v>0</v>
      </c>
      <c r="R26" s="421">
        <f>Bilans_E_AMS_Kyoto_run3_MTE!W546</f>
        <v>0</v>
      </c>
      <c r="S26" s="421">
        <f>Bilans_E_AMS_Kyoto_run3_MTE!X546</f>
        <v>0</v>
      </c>
      <c r="T26" s="422">
        <f>Bilans_E_AMS_Kyoto_run3_MTE!Y546</f>
        <v>0</v>
      </c>
      <c r="U26" s="683">
        <f>Bilans_E_AMS_Kyoto_run3_MTE!Z546</f>
        <v>53.041302947550676</v>
      </c>
      <c r="V26" s="701"/>
      <c r="W26" s="701"/>
    </row>
    <row r="27" spans="1:23" x14ac:dyDescent="0.25">
      <c r="A27" s="701" t="s">
        <v>501</v>
      </c>
      <c r="B27" s="701"/>
      <c r="C27" s="717" t="s">
        <v>352</v>
      </c>
      <c r="D27" s="421">
        <f>Bilans_E_AMS_Kyoto_run3_MTE!H547</f>
        <v>0</v>
      </c>
      <c r="E27" s="421">
        <f>Bilans_E_AMS_Kyoto_run3_MTE!I547</f>
        <v>0</v>
      </c>
      <c r="F27" s="421">
        <f>Bilans_E_AMS_Kyoto_run3_MTE!J547</f>
        <v>0</v>
      </c>
      <c r="G27" s="611">
        <f>Bilans_E_AMS_Kyoto_run3_MTE!K547</f>
        <v>-24.740126403603515</v>
      </c>
      <c r="H27" s="421">
        <f>Bilans_E_AMS_Kyoto_run3_MTE!L547</f>
        <v>0</v>
      </c>
      <c r="I27" s="611">
        <f>Bilans_E_AMS_Kyoto_run3_MTE!M547</f>
        <v>0</v>
      </c>
      <c r="J27" s="421">
        <f>Bilans_E_AMS_Kyoto_run3_MTE!N547</f>
        <v>0</v>
      </c>
      <c r="K27" s="421">
        <f>Bilans_E_AMS_Kyoto_run3_MTE!O547</f>
        <v>0</v>
      </c>
      <c r="L27" s="421">
        <f>Bilans_E_AMS_Kyoto_run3_MTE!P547</f>
        <v>0</v>
      </c>
      <c r="M27" s="421">
        <f>Bilans_E_AMS_Kyoto_run3_MTE!Q547</f>
        <v>0</v>
      </c>
      <c r="N27" s="421">
        <f>Bilans_E_AMS_Kyoto_run3_MTE!R547</f>
        <v>0</v>
      </c>
      <c r="O27" s="421">
        <f>Bilans_E_AMS_Kyoto_run3_MTE!S547</f>
        <v>0</v>
      </c>
      <c r="P27" s="421">
        <f>Bilans_E_AMS_Kyoto_run3_MTE!T547+Bilans_E_AMS_Kyoto_run3_MTE!U547</f>
        <v>0</v>
      </c>
      <c r="Q27" s="421">
        <f>Bilans_E_AMS_Kyoto_run3_MTE!V547</f>
        <v>0</v>
      </c>
      <c r="R27" s="421">
        <f>Bilans_E_AMS_Kyoto_run3_MTE!W547</f>
        <v>0</v>
      </c>
      <c r="S27" s="421">
        <f>Bilans_E_AMS_Kyoto_run3_MTE!X547</f>
        <v>0</v>
      </c>
      <c r="T27" s="627">
        <f>Bilans_E_AMS_Kyoto_run3_MTE!Y547</f>
        <v>41.692889043963866</v>
      </c>
      <c r="U27" s="629">
        <f>Bilans_E_AMS_Kyoto_run3_MTE!Z547</f>
        <v>16.952762640360351</v>
      </c>
      <c r="V27" s="701"/>
      <c r="W27" s="701"/>
    </row>
    <row r="28" spans="1:23" x14ac:dyDescent="0.25">
      <c r="A28" s="701" t="s">
        <v>502</v>
      </c>
      <c r="B28" s="701"/>
      <c r="C28" s="717" t="s">
        <v>73</v>
      </c>
      <c r="D28" s="421">
        <f>Bilans_E_AMS_Kyoto_run3_MTE!H548</f>
        <v>0</v>
      </c>
      <c r="E28" s="421">
        <f>Bilans_E_AMS_Kyoto_run3_MTE!I548</f>
        <v>0</v>
      </c>
      <c r="F28" s="421">
        <f>Bilans_E_AMS_Kyoto_run3_MTE!J548</f>
        <v>0</v>
      </c>
      <c r="G28" s="611">
        <f>Bilans_E_AMS_Kyoto_run3_MTE!K548</f>
        <v>0</v>
      </c>
      <c r="H28" s="431">
        <f>Bilans_E_AMS_Kyoto_run3_MTE!L548</f>
        <v>0</v>
      </c>
      <c r="I28" s="611">
        <f>Bilans_E_AMS_Kyoto_run3_MTE!M548</f>
        <v>0</v>
      </c>
      <c r="J28" s="421">
        <f>Bilans_E_AMS_Kyoto_run3_MTE!N548</f>
        <v>0</v>
      </c>
      <c r="K28" s="421">
        <f>Bilans_E_AMS_Kyoto_run3_MTE!O548</f>
        <v>0</v>
      </c>
      <c r="L28" s="421">
        <f>Bilans_E_AMS_Kyoto_run3_MTE!P548</f>
        <v>0</v>
      </c>
      <c r="M28" s="431">
        <f>Bilans_E_AMS_Kyoto_run3_MTE!Q548</f>
        <v>0</v>
      </c>
      <c r="N28" s="421">
        <f>Bilans_E_AMS_Kyoto_run3_MTE!R548</f>
        <v>0</v>
      </c>
      <c r="O28" s="431">
        <f>Bilans_E_AMS_Kyoto_run3_MTE!S548</f>
        <v>0</v>
      </c>
      <c r="P28" s="421">
        <f>Bilans_E_AMS_Kyoto_run3_MTE!T548+Bilans_E_AMS_Kyoto_run3_MTE!U548</f>
        <v>0</v>
      </c>
      <c r="Q28" s="421">
        <f>Bilans_E_AMS_Kyoto_run3_MTE!V548</f>
        <v>0</v>
      </c>
      <c r="R28" s="431">
        <f>Bilans_E_AMS_Kyoto_run3_MTE!W548</f>
        <v>127.55076516290167</v>
      </c>
      <c r="S28" s="421">
        <f>Bilans_E_AMS_Kyoto_run3_MTE!X548</f>
        <v>0</v>
      </c>
      <c r="T28" s="509">
        <f>Bilans_E_AMS_Kyoto_run3_MTE!Y548</f>
        <v>-91.836550917289202</v>
      </c>
      <c r="U28" s="491">
        <f>Bilans_E_AMS_Kyoto_run3_MTE!Z548</f>
        <v>35.714214245612467</v>
      </c>
      <c r="V28" s="701"/>
      <c r="W28" s="701"/>
    </row>
    <row r="29" spans="1:23" x14ac:dyDescent="0.25">
      <c r="A29" s="701" t="s">
        <v>503</v>
      </c>
      <c r="B29" s="701"/>
      <c r="C29" s="717" t="s">
        <v>353</v>
      </c>
      <c r="D29" s="431">
        <f>Bilans_E_AMS_Kyoto_run3_MTE!H549</f>
        <v>0</v>
      </c>
      <c r="E29" s="431">
        <f>Bilans_E_AMS_Kyoto_run3_MTE!I549</f>
        <v>-2.1359970584069448</v>
      </c>
      <c r="F29" s="431">
        <f>Bilans_E_AMS_Kyoto_run3_MTE!J549</f>
        <v>2.9254988687511099</v>
      </c>
      <c r="G29" s="611">
        <f>Bilans_E_AMS_Kyoto_run3_MTE!K549</f>
        <v>0</v>
      </c>
      <c r="H29" s="431">
        <f>Bilans_E_AMS_Kyoto_run3_MTE!L549</f>
        <v>0</v>
      </c>
      <c r="I29" s="611">
        <f>Bilans_E_AMS_Kyoto_run3_MTE!M549</f>
        <v>0</v>
      </c>
      <c r="J29" s="421">
        <f>Bilans_E_AMS_Kyoto_run3_MTE!N549</f>
        <v>0</v>
      </c>
      <c r="K29" s="421">
        <f>Bilans_E_AMS_Kyoto_run3_MTE!O549</f>
        <v>0</v>
      </c>
      <c r="L29" s="421">
        <f>Bilans_E_AMS_Kyoto_run3_MTE!P549</f>
        <v>0</v>
      </c>
      <c r="M29" s="421">
        <f>Bilans_E_AMS_Kyoto_run3_MTE!Q549</f>
        <v>0</v>
      </c>
      <c r="N29" s="431">
        <f>Bilans_E_AMS_Kyoto_run3_MTE!R549</f>
        <v>0</v>
      </c>
      <c r="O29" s="431">
        <f>Bilans_E_AMS_Kyoto_run3_MTE!S549</f>
        <v>0</v>
      </c>
      <c r="P29" s="421">
        <f>Bilans_E_AMS_Kyoto_run3_MTE!T549+Bilans_E_AMS_Kyoto_run3_MTE!U549</f>
        <v>0</v>
      </c>
      <c r="Q29" s="421">
        <f>Bilans_E_AMS_Kyoto_run3_MTE!V549</f>
        <v>0</v>
      </c>
      <c r="R29" s="421">
        <f>Bilans_E_AMS_Kyoto_run3_MTE!W549</f>
        <v>0</v>
      </c>
      <c r="S29" s="421">
        <f>Bilans_E_AMS_Kyoto_run3_MTE!X549</f>
        <v>0</v>
      </c>
      <c r="T29" s="422">
        <f>Bilans_E_AMS_Kyoto_run3_MTE!Y549</f>
        <v>0</v>
      </c>
      <c r="U29" s="423">
        <f>Bilans_E_AMS_Kyoto_run3_MTE!Z549</f>
        <v>0.78950181034416511</v>
      </c>
      <c r="V29" s="701"/>
      <c r="W29" s="701"/>
    </row>
    <row r="30" spans="1:23" x14ac:dyDescent="0.25">
      <c r="A30" s="701" t="s">
        <v>504</v>
      </c>
      <c r="B30" s="701"/>
      <c r="C30" s="717" t="s">
        <v>75</v>
      </c>
      <c r="D30" s="431">
        <f>Bilans_E_AMS_Kyoto_run3_MTE!H550</f>
        <v>0</v>
      </c>
      <c r="E30" s="421">
        <f>Bilans_E_AMS_Kyoto_run3_MTE!I550</f>
        <v>0</v>
      </c>
      <c r="F30" s="431">
        <f>Bilans_E_AMS_Kyoto_run3_MTE!J550</f>
        <v>2.205240968493043</v>
      </c>
      <c r="G30" s="611">
        <f>Bilans_E_AMS_Kyoto_run3_MTE!K550</f>
        <v>0</v>
      </c>
      <c r="H30" s="431">
        <f>Bilans_E_AMS_Kyoto_run3_MTE!L550</f>
        <v>0</v>
      </c>
      <c r="I30" s="624">
        <f>Bilans_E_AMS_Kyoto_run3_MTE!M550</f>
        <v>0</v>
      </c>
      <c r="J30" s="421">
        <f>Bilans_E_AMS_Kyoto_run3_MTE!N550</f>
        <v>0</v>
      </c>
      <c r="K30" s="421">
        <f>Bilans_E_AMS_Kyoto_run3_MTE!O550</f>
        <v>0</v>
      </c>
      <c r="L30" s="421">
        <f>Bilans_E_AMS_Kyoto_run3_MTE!P550</f>
        <v>0</v>
      </c>
      <c r="M30" s="421">
        <f>Bilans_E_AMS_Kyoto_run3_MTE!Q550</f>
        <v>0</v>
      </c>
      <c r="N30" s="421">
        <f>Bilans_E_AMS_Kyoto_run3_MTE!R550</f>
        <v>0</v>
      </c>
      <c r="O30" s="431">
        <f>Bilans_E_AMS_Kyoto_run3_MTE!S550</f>
        <v>0</v>
      </c>
      <c r="P30" s="421">
        <f>Bilans_E_AMS_Kyoto_run3_MTE!T550+Bilans_E_AMS_Kyoto_run3_MTE!U550</f>
        <v>0</v>
      </c>
      <c r="Q30" s="421">
        <f>Bilans_E_AMS_Kyoto_run3_MTE!V550</f>
        <v>0</v>
      </c>
      <c r="R30" s="431">
        <f>Bilans_E_AMS_Kyoto_run3_MTE!W550</f>
        <v>37.68086569149628</v>
      </c>
      <c r="S30" s="421">
        <f>Bilans_E_AMS_Kyoto_run3_MTE!X550</f>
        <v>0</v>
      </c>
      <c r="T30" s="718">
        <f>Bilans_E_AMS_Kyoto_run3_MTE!Y550</f>
        <v>0.6</v>
      </c>
      <c r="U30" s="423">
        <f>Bilans_E_AMS_Kyoto_run3_MTE!Z550</f>
        <v>40.486106659989325</v>
      </c>
      <c r="V30" s="701"/>
      <c r="W30" s="701"/>
    </row>
    <row r="31" spans="1:23" x14ac:dyDescent="0.25">
      <c r="A31" s="701" t="s">
        <v>505</v>
      </c>
      <c r="B31" s="701"/>
      <c r="C31" s="717" t="s">
        <v>76</v>
      </c>
      <c r="D31" s="421">
        <f>Bilans_E_AMS_Kyoto_run3_MTE!H551</f>
        <v>0</v>
      </c>
      <c r="E31" s="421">
        <f>Bilans_E_AMS_Kyoto_run3_MTE!I551</f>
        <v>0</v>
      </c>
      <c r="F31" s="421">
        <f>Bilans_E_AMS_Kyoto_run3_MTE!J551</f>
        <v>0</v>
      </c>
      <c r="G31" s="611">
        <f>Bilans_E_AMS_Kyoto_run3_MTE!K551</f>
        <v>0</v>
      </c>
      <c r="H31" s="431">
        <f>Bilans_E_AMS_Kyoto_run3_MTE!L551</f>
        <v>0</v>
      </c>
      <c r="I31" s="624">
        <f>Bilans_E_AMS_Kyoto_run3_MTE!M551</f>
        <v>5.5842625256480344E-2</v>
      </c>
      <c r="J31" s="421">
        <f>Bilans_E_AMS_Kyoto_run3_MTE!N551</f>
        <v>0</v>
      </c>
      <c r="K31" s="421">
        <f>Bilans_E_AMS_Kyoto_run3_MTE!O551</f>
        <v>0</v>
      </c>
      <c r="L31" s="421">
        <f>Bilans_E_AMS_Kyoto_run3_MTE!P551</f>
        <v>0</v>
      </c>
      <c r="M31" s="421">
        <f>Bilans_E_AMS_Kyoto_run3_MTE!Q551</f>
        <v>0</v>
      </c>
      <c r="N31" s="421">
        <f>Bilans_E_AMS_Kyoto_run3_MTE!R551</f>
        <v>0</v>
      </c>
      <c r="O31" s="431">
        <f>Bilans_E_AMS_Kyoto_run3_MTE!S551</f>
        <v>1.0610098798731264</v>
      </c>
      <c r="P31" s="421">
        <f>Bilans_E_AMS_Kyoto_run3_MTE!T551+Bilans_E_AMS_Kyoto_run3_MTE!U551</f>
        <v>0</v>
      </c>
      <c r="Q31" s="421">
        <f>Bilans_E_AMS_Kyoto_run3_MTE!V551</f>
        <v>0</v>
      </c>
      <c r="R31" s="431">
        <f>Bilans_E_AMS_Kyoto_run3_MTE!W551</f>
        <v>65.840203439882671</v>
      </c>
      <c r="S31" s="431">
        <f>Bilans_E_AMS_Kyoto_run3_MTE!X551</f>
        <v>6.4136709376113741</v>
      </c>
      <c r="T31" s="432">
        <f>Bilans_E_AMS_Kyoto_run3_MTE!Y551</f>
        <v>0</v>
      </c>
      <c r="U31" s="423">
        <f>Bilans_E_AMS_Kyoto_run3_MTE!Z551</f>
        <v>73.370726882623643</v>
      </c>
      <c r="V31" s="701"/>
      <c r="W31" s="701"/>
    </row>
    <row r="32" spans="1:23" x14ac:dyDescent="0.25">
      <c r="A32" s="701" t="s">
        <v>506</v>
      </c>
      <c r="B32" s="701"/>
      <c r="C32" s="713" t="s">
        <v>77</v>
      </c>
      <c r="D32" s="425">
        <f>Bilans_E_AMS_Kyoto_run3_MTE!H552</f>
        <v>0</v>
      </c>
      <c r="E32" s="425">
        <f>Bilans_E_AMS_Kyoto_run3_MTE!I552</f>
        <v>58.863651738299311</v>
      </c>
      <c r="F32" s="425">
        <f>Bilans_E_AMS_Kyoto_run3_MTE!J552</f>
        <v>-55.25891247149503</v>
      </c>
      <c r="G32" s="615">
        <f>Bilans_E_AMS_Kyoto_run3_MTE!K552</f>
        <v>-24.740126403603515</v>
      </c>
      <c r="H32" s="425">
        <f>Bilans_E_AMS_Kyoto_run3_MTE!L552</f>
        <v>0</v>
      </c>
      <c r="I32" s="615">
        <f>Bilans_E_AMS_Kyoto_run3_MTE!M552</f>
        <v>-7.0143403444740313</v>
      </c>
      <c r="J32" s="425">
        <f>Bilans_E_AMS_Kyoto_run3_MTE!N552</f>
        <v>807.37795933495636</v>
      </c>
      <c r="K32" s="425">
        <f>Bilans_E_AMS_Kyoto_run3_MTE!O552</f>
        <v>553.99388589395949</v>
      </c>
      <c r="L32" s="425">
        <f>Bilans_E_AMS_Kyoto_run3_MTE!P552</f>
        <v>331.28372360251547</v>
      </c>
      <c r="M32" s="425">
        <f>Bilans_E_AMS_Kyoto_run3_MTE!Q552</f>
        <v>36.582494246190599</v>
      </c>
      <c r="N32" s="425">
        <f>Bilans_E_AMS_Kyoto_run3_MTE!R552</f>
        <v>-59.82842351026536</v>
      </c>
      <c r="O32" s="425">
        <f>Bilans_E_AMS_Kyoto_run3_MTE!S552</f>
        <v>-86.285386781019525</v>
      </c>
      <c r="P32" s="425">
        <f>Bilans_E_AMS_Kyoto_run3_MTE!T552+Bilans_E_AMS_Kyoto_run3_MTE!U552</f>
        <v>22.572621073808037</v>
      </c>
      <c r="Q32" s="425">
        <f>Bilans_E_AMS_Kyoto_run3_MTE!V552</f>
        <v>19.706573178157445</v>
      </c>
      <c r="R32" s="425">
        <f>Bilans_E_AMS_Kyoto_run3_MTE!W552</f>
        <v>-603.61634432063988</v>
      </c>
      <c r="S32" s="425">
        <f>Bilans_E_AMS_Kyoto_run3_MTE!X552</f>
        <v>-76.289393359250852</v>
      </c>
      <c r="T32" s="425">
        <f>Bilans_E_AMS_Kyoto_run3_MTE!Y552</f>
        <v>-39.147749441309969</v>
      </c>
      <c r="U32" s="425">
        <f>Bilans_E_AMS_Kyoto_run3_MTE!Z552</f>
        <v>878.20023243582853</v>
      </c>
      <c r="V32" s="701"/>
      <c r="W32" s="701"/>
    </row>
    <row r="33" spans="1:23" x14ac:dyDescent="0.25">
      <c r="A33" s="701"/>
      <c r="B33" s="701"/>
      <c r="C33" s="715"/>
      <c r="D33" s="427"/>
      <c r="E33" s="427"/>
      <c r="F33" s="427"/>
      <c r="G33" s="617"/>
      <c r="H33" s="427"/>
      <c r="I33" s="617"/>
      <c r="J33" s="427"/>
      <c r="K33" s="427"/>
      <c r="L33" s="427"/>
      <c r="M33" s="427"/>
      <c r="N33" s="427"/>
      <c r="O33" s="427"/>
      <c r="P33" s="427">
        <f>Bilans_E_AMS_Kyoto_run3_MTE!T553+Bilans_E_AMS_Kyoto_run3_MTE!U553</f>
        <v>0</v>
      </c>
      <c r="Q33" s="427"/>
      <c r="R33" s="427"/>
      <c r="S33" s="427"/>
      <c r="T33" s="427"/>
      <c r="U33" s="427"/>
      <c r="V33" s="701"/>
      <c r="W33" s="701"/>
    </row>
    <row r="34" spans="1:23" x14ac:dyDescent="0.25">
      <c r="A34" s="701" t="s">
        <v>507</v>
      </c>
      <c r="B34" s="701"/>
      <c r="C34" s="717" t="s">
        <v>78</v>
      </c>
      <c r="D34" s="431">
        <f>Bilans_E_AMS_Kyoto_run3_MTE!H554</f>
        <v>0</v>
      </c>
      <c r="E34" s="421">
        <f>Bilans_E_AMS_Kyoto_run3_MTE!I554</f>
        <v>0</v>
      </c>
      <c r="F34" s="431">
        <f>Bilans_E_AMS_Kyoto_run3_MTE!J554</f>
        <v>0</v>
      </c>
      <c r="G34" s="624">
        <f>Bilans_E_AMS_Kyoto_run3_MTE!K554</f>
        <v>0</v>
      </c>
      <c r="H34" s="431">
        <f>Bilans_E_AMS_Kyoto_run3_MTE!L554</f>
        <v>0</v>
      </c>
      <c r="I34" s="624">
        <f>Bilans_E_AMS_Kyoto_run3_MTE!M554</f>
        <v>1.991498553291184</v>
      </c>
      <c r="J34" s="421">
        <f>Bilans_E_AMS_Kyoto_run3_MTE!N554</f>
        <v>0</v>
      </c>
      <c r="K34" s="421">
        <f>Bilans_E_AMS_Kyoto_run3_MTE!O554</f>
        <v>0</v>
      </c>
      <c r="L34" s="431">
        <f>Bilans_E_AMS_Kyoto_run3_MTE!P554</f>
        <v>33.03282021908791</v>
      </c>
      <c r="M34" s="431">
        <f>Bilans_E_AMS_Kyoto_run3_MTE!Q554</f>
        <v>7.3058555419217219</v>
      </c>
      <c r="N34" s="431">
        <f>Bilans_E_AMS_Kyoto_run3_MTE!R554</f>
        <v>0</v>
      </c>
      <c r="O34" s="431">
        <f>Bilans_E_AMS_Kyoto_run3_MTE!S554</f>
        <v>37.880603328687286</v>
      </c>
      <c r="P34" s="431">
        <f>Bilans_E_AMS_Kyoto_run3_MTE!T554+Bilans_E_AMS_Kyoto_run3_MTE!U554</f>
        <v>15.325538085937501</v>
      </c>
      <c r="Q34" s="431">
        <f>Bilans_E_AMS_Kyoto_run3_MTE!V554</f>
        <v>8.5890570413253253E-4</v>
      </c>
      <c r="R34" s="431">
        <f>Bilans_E_AMS_Kyoto_run3_MTE!W554</f>
        <v>160.49759404222942</v>
      </c>
      <c r="S34" s="431">
        <f>Bilans_E_AMS_Kyoto_run3_MTE!X554</f>
        <v>19.118062217384278</v>
      </c>
      <c r="T34" s="431">
        <f>Bilans_E_AMS_Kyoto_run3_MTE!Y554</f>
        <v>15.6045791015625</v>
      </c>
      <c r="U34" s="429">
        <f>Bilans_E_AMS_Kyoto_run3_MTE!Z554</f>
        <v>290.75740999580586</v>
      </c>
      <c r="V34" s="701"/>
      <c r="W34" s="701"/>
    </row>
    <row r="35" spans="1:23" x14ac:dyDescent="0.25">
      <c r="A35" s="701" t="s">
        <v>508</v>
      </c>
      <c r="B35" s="701"/>
      <c r="C35" s="717" t="s">
        <v>79</v>
      </c>
      <c r="D35" s="431">
        <f>Bilans_E_AMS_Kyoto_run3_MTE!H555</f>
        <v>0</v>
      </c>
      <c r="E35" s="421">
        <f>Bilans_E_AMS_Kyoto_run3_MTE!I555</f>
        <v>0</v>
      </c>
      <c r="F35" s="431">
        <f>Bilans_E_AMS_Kyoto_run3_MTE!J555</f>
        <v>2.5646039905747262</v>
      </c>
      <c r="G35" s="624">
        <f>Bilans_E_AMS_Kyoto_run3_MTE!K555</f>
        <v>4.5999999999999996</v>
      </c>
      <c r="H35" s="431">
        <f>Bilans_E_AMS_Kyoto_run3_MTE!L555</f>
        <v>0</v>
      </c>
      <c r="I35" s="624">
        <f>Bilans_E_AMS_Kyoto_run3_MTE!M555</f>
        <v>0.37685077792540578</v>
      </c>
      <c r="J35" s="421">
        <f>Bilans_E_AMS_Kyoto_run3_MTE!N555</f>
        <v>0</v>
      </c>
      <c r="K35" s="421">
        <f>Bilans_E_AMS_Kyoto_run3_MTE!O555</f>
        <v>0</v>
      </c>
      <c r="L35" s="431">
        <f>Bilans_E_AMS_Kyoto_run3_MTE!P555</f>
        <v>0</v>
      </c>
      <c r="M35" s="431">
        <f>Bilans_E_AMS_Kyoto_run3_MTE!Q555</f>
        <v>0</v>
      </c>
      <c r="N35" s="431">
        <f>Bilans_E_AMS_Kyoto_run3_MTE!R555</f>
        <v>17.296930013474249</v>
      </c>
      <c r="O35" s="431">
        <f>Bilans_E_AMS_Kyoto_run3_MTE!S555</f>
        <v>7.1601647805827087</v>
      </c>
      <c r="P35" s="431">
        <f>Bilans_E_AMS_Kyoto_run3_MTE!T555+Bilans_E_AMS_Kyoto_run3_MTE!U555</f>
        <v>0</v>
      </c>
      <c r="Q35" s="431">
        <f>Bilans_E_AMS_Kyoto_run3_MTE!V555</f>
        <v>0</v>
      </c>
      <c r="R35" s="431">
        <f>Bilans_E_AMS_Kyoto_run3_MTE!W555</f>
        <v>129.21827578196925</v>
      </c>
      <c r="S35" s="431">
        <f>Bilans_E_AMS_Kyoto_run3_MTE!X555</f>
        <v>0</v>
      </c>
      <c r="T35" s="431">
        <f>Bilans_E_AMS_Kyoto_run3_MTE!Y555</f>
        <v>6.9357151187722215</v>
      </c>
      <c r="U35" s="429">
        <f>Bilans_E_AMS_Kyoto_run3_MTE!Z555</f>
        <v>168.15254046329855</v>
      </c>
      <c r="V35" s="701"/>
      <c r="W35" s="701"/>
    </row>
    <row r="36" spans="1:23" x14ac:dyDescent="0.25">
      <c r="A36" s="701" t="s">
        <v>509</v>
      </c>
      <c r="B36" s="701"/>
      <c r="C36" s="717" t="s">
        <v>80</v>
      </c>
      <c r="D36" s="431">
        <f>Bilans_E_AMS_Kyoto_run3_MTE!H556</f>
        <v>0</v>
      </c>
      <c r="E36" s="421">
        <f>Bilans_E_AMS_Kyoto_run3_MTE!I556</f>
        <v>0</v>
      </c>
      <c r="F36" s="431">
        <f>Bilans_E_AMS_Kyoto_run3_MTE!J556</f>
        <v>1.33686813190731E-2</v>
      </c>
      <c r="G36" s="624">
        <f>Bilans_E_AMS_Kyoto_run3_MTE!K556</f>
        <v>0</v>
      </c>
      <c r="H36" s="431">
        <f>Bilans_E_AMS_Kyoto_run3_MTE!L556</f>
        <v>0</v>
      </c>
      <c r="I36" s="624">
        <f>Bilans_E_AMS_Kyoto_run3_MTE!M556</f>
        <v>1.363415994018579</v>
      </c>
      <c r="J36" s="421">
        <f>Bilans_E_AMS_Kyoto_run3_MTE!N556</f>
        <v>0</v>
      </c>
      <c r="K36" s="421">
        <f>Bilans_E_AMS_Kyoto_run3_MTE!O556</f>
        <v>0</v>
      </c>
      <c r="L36" s="431">
        <f>Bilans_E_AMS_Kyoto_run3_MTE!P556</f>
        <v>38.670548162755892</v>
      </c>
      <c r="M36" s="431">
        <f>Bilans_E_AMS_Kyoto_run3_MTE!Q556</f>
        <v>0</v>
      </c>
      <c r="N36" s="431">
        <f>Bilans_E_AMS_Kyoto_run3_MTE!R556</f>
        <v>0</v>
      </c>
      <c r="O36" s="431">
        <f>Bilans_E_AMS_Kyoto_run3_MTE!S556</f>
        <v>25.904903886352997</v>
      </c>
      <c r="P36" s="431">
        <f>Bilans_E_AMS_Kyoto_run3_MTE!T556+Bilans_E_AMS_Kyoto_run3_MTE!U556</f>
        <v>170.26801174847219</v>
      </c>
      <c r="Q36" s="431">
        <f>Bilans_E_AMS_Kyoto_run3_MTE!V556</f>
        <v>14.856183742724458</v>
      </c>
      <c r="R36" s="431">
        <f>Bilans_E_AMS_Kyoto_run3_MTE!W556</f>
        <v>135.77624988749807</v>
      </c>
      <c r="S36" s="431">
        <f>Bilans_E_AMS_Kyoto_run3_MTE!X556</f>
        <v>35.160977387086433</v>
      </c>
      <c r="T36" s="431">
        <f>Bilans_E_AMS_Kyoto_run3_MTE!Y556</f>
        <v>0</v>
      </c>
      <c r="U36" s="429">
        <f>Bilans_E_AMS_Kyoto_run3_MTE!Z556</f>
        <v>422.01365949022772</v>
      </c>
      <c r="V36" s="701"/>
      <c r="W36" s="701"/>
    </row>
    <row r="37" spans="1:23" x14ac:dyDescent="0.25">
      <c r="A37" s="701" t="s">
        <v>510</v>
      </c>
      <c r="B37" s="701"/>
      <c r="C37" s="717" t="s">
        <v>81</v>
      </c>
      <c r="D37" s="431">
        <f>Bilans_E_AMS_Kyoto_run3_MTE!H557</f>
        <v>0</v>
      </c>
      <c r="E37" s="421">
        <f>Bilans_E_AMS_Kyoto_run3_MTE!I557</f>
        <v>0</v>
      </c>
      <c r="F37" s="431">
        <f>Bilans_E_AMS_Kyoto_run3_MTE!J557</f>
        <v>5.9571518115922428E-2</v>
      </c>
      <c r="G37" s="624">
        <f>Bilans_E_AMS_Kyoto_run3_MTE!K557</f>
        <v>0</v>
      </c>
      <c r="H37" s="431">
        <f>Bilans_E_AMS_Kyoto_run3_MTE!L557</f>
        <v>0</v>
      </c>
      <c r="I37" s="624">
        <f>Bilans_E_AMS_Kyoto_run3_MTE!M557</f>
        <v>0.44038098063120357</v>
      </c>
      <c r="J37" s="421">
        <f>Bilans_E_AMS_Kyoto_run3_MTE!N557</f>
        <v>0</v>
      </c>
      <c r="K37" s="421">
        <f>Bilans_E_AMS_Kyoto_run3_MTE!O557</f>
        <v>0</v>
      </c>
      <c r="L37" s="431">
        <f>Bilans_E_AMS_Kyoto_run3_MTE!P557</f>
        <v>0.43608334641640845</v>
      </c>
      <c r="M37" s="431">
        <f>Bilans_E_AMS_Kyoto_run3_MTE!Q557</f>
        <v>0</v>
      </c>
      <c r="N37" s="431">
        <f>Bilans_E_AMS_Kyoto_run3_MTE!R557</f>
        <v>0</v>
      </c>
      <c r="O37" s="431">
        <f>Bilans_E_AMS_Kyoto_run3_MTE!S557</f>
        <v>8.3672386319928673</v>
      </c>
      <c r="P37" s="431">
        <f>Bilans_E_AMS_Kyoto_run3_MTE!T557+Bilans_E_AMS_Kyoto_run3_MTE!U557</f>
        <v>64.752372842201794</v>
      </c>
      <c r="Q37" s="431">
        <f>Bilans_E_AMS_Kyoto_run3_MTE!V557</f>
        <v>13.972057854326216</v>
      </c>
      <c r="R37" s="431">
        <f>Bilans_E_AMS_Kyoto_run3_MTE!W557</f>
        <v>123.17781879034489</v>
      </c>
      <c r="S37" s="431">
        <f>Bilans_E_AMS_Kyoto_run3_MTE!X557</f>
        <v>22.010319853686262</v>
      </c>
      <c r="T37" s="431">
        <f>Bilans_E_AMS_Kyoto_run3_MTE!Y557</f>
        <v>0</v>
      </c>
      <c r="U37" s="429">
        <f>Bilans_E_AMS_Kyoto_run3_MTE!Z557</f>
        <v>233.21584381771555</v>
      </c>
      <c r="V37" s="701"/>
      <c r="W37" s="701"/>
    </row>
    <row r="38" spans="1:23" x14ac:dyDescent="0.25">
      <c r="A38" s="701" t="s">
        <v>511</v>
      </c>
      <c r="B38" s="701"/>
      <c r="C38" s="717" t="s">
        <v>82</v>
      </c>
      <c r="D38" s="431">
        <f>Bilans_E_AMS_Kyoto_run3_MTE!H558</f>
        <v>0</v>
      </c>
      <c r="E38" s="421">
        <f>Bilans_E_AMS_Kyoto_run3_MTE!I558</f>
        <v>0</v>
      </c>
      <c r="F38" s="431">
        <f>Bilans_E_AMS_Kyoto_run3_MTE!J558</f>
        <v>0</v>
      </c>
      <c r="G38" s="624">
        <f>Bilans_E_AMS_Kyoto_run3_MTE!K558</f>
        <v>0</v>
      </c>
      <c r="H38" s="431">
        <f>Bilans_E_AMS_Kyoto_run3_MTE!L558</f>
        <v>0</v>
      </c>
      <c r="I38" s="624">
        <f>Bilans_E_AMS_Kyoto_run3_MTE!M558</f>
        <v>3.936904267080979E-2</v>
      </c>
      <c r="J38" s="421">
        <f>Bilans_E_AMS_Kyoto_run3_MTE!N558</f>
        <v>0</v>
      </c>
      <c r="K38" s="421">
        <f>Bilans_E_AMS_Kyoto_run3_MTE!O558</f>
        <v>0</v>
      </c>
      <c r="L38" s="431">
        <f>Bilans_E_AMS_Kyoto_run3_MTE!P558</f>
        <v>20.041612409357288</v>
      </c>
      <c r="M38" s="431">
        <f>Bilans_E_AMS_Kyoto_run3_MTE!Q558</f>
        <v>0</v>
      </c>
      <c r="N38" s="431">
        <f>Bilans_E_AMS_Kyoto_run3_MTE!R558</f>
        <v>6.8596219696114309</v>
      </c>
      <c r="O38" s="431">
        <f>Bilans_E_AMS_Kyoto_run3_MTE!S558</f>
        <v>0.74801181074538581</v>
      </c>
      <c r="P38" s="431">
        <f>Bilans_E_AMS_Kyoto_run3_MTE!T558+Bilans_E_AMS_Kyoto_run3_MTE!U558</f>
        <v>1.5</v>
      </c>
      <c r="Q38" s="431">
        <f>Bilans_E_AMS_Kyoto_run3_MTE!V558</f>
        <v>2.1874070050904897</v>
      </c>
      <c r="R38" s="431">
        <f>Bilans_E_AMS_Kyoto_run3_MTE!W558</f>
        <v>11.227117591013034</v>
      </c>
      <c r="S38" s="431">
        <f>Bilans_E_AMS_Kyoto_run3_MTE!X558</f>
        <v>0</v>
      </c>
      <c r="T38" s="431">
        <f>Bilans_E_AMS_Kyoto_run3_MTE!Y558</f>
        <v>0.67221506893144256</v>
      </c>
      <c r="U38" s="429">
        <f>Bilans_E_AMS_Kyoto_run3_MTE!Z558</f>
        <v>43.275354897419881</v>
      </c>
      <c r="V38" s="701"/>
      <c r="W38" s="701"/>
    </row>
    <row r="39" spans="1:23" x14ac:dyDescent="0.25">
      <c r="A39" s="701" t="s">
        <v>512</v>
      </c>
      <c r="B39" s="701"/>
      <c r="C39" s="717" t="s">
        <v>354</v>
      </c>
      <c r="D39" s="421">
        <f>Bilans_E_AMS_Kyoto_run3_MTE!H559</f>
        <v>0</v>
      </c>
      <c r="E39" s="421">
        <f>Bilans_E_AMS_Kyoto_run3_MTE!I559</f>
        <v>0</v>
      </c>
      <c r="F39" s="421">
        <f>Bilans_E_AMS_Kyoto_run3_MTE!J559</f>
        <v>0</v>
      </c>
      <c r="G39" s="611">
        <f>Bilans_E_AMS_Kyoto_run3_MTE!K559</f>
        <v>0</v>
      </c>
      <c r="H39" s="421">
        <f>Bilans_E_AMS_Kyoto_run3_MTE!L559</f>
        <v>0</v>
      </c>
      <c r="I39" s="611">
        <f>Bilans_E_AMS_Kyoto_run3_MTE!M559</f>
        <v>0</v>
      </c>
      <c r="J39" s="421">
        <f>Bilans_E_AMS_Kyoto_run3_MTE!N559</f>
        <v>0</v>
      </c>
      <c r="K39" s="421">
        <f>Bilans_E_AMS_Kyoto_run3_MTE!O559</f>
        <v>0</v>
      </c>
      <c r="L39" s="421">
        <f>Bilans_E_AMS_Kyoto_run3_MTE!P559</f>
        <v>0</v>
      </c>
      <c r="M39" s="421">
        <f>Bilans_E_AMS_Kyoto_run3_MTE!Q559</f>
        <v>0</v>
      </c>
      <c r="N39" s="421">
        <f>Bilans_E_AMS_Kyoto_run3_MTE!R559</f>
        <v>0</v>
      </c>
      <c r="O39" s="421">
        <f>Bilans_E_AMS_Kyoto_run3_MTE!S559</f>
        <v>0</v>
      </c>
      <c r="P39" s="421">
        <f>Bilans_E_AMS_Kyoto_run3_MTE!T559+Bilans_E_AMS_Kyoto_run3_MTE!U559</f>
        <v>0</v>
      </c>
      <c r="Q39" s="421">
        <f>Bilans_E_AMS_Kyoto_run3_MTE!V559</f>
        <v>0</v>
      </c>
      <c r="R39" s="431">
        <f>Bilans_E_AMS_Kyoto_run3_MTE!W559</f>
        <v>15.04</v>
      </c>
      <c r="S39" s="421">
        <f>Bilans_E_AMS_Kyoto_run3_MTE!X559</f>
        <v>0</v>
      </c>
      <c r="T39" s="421">
        <f>Bilans_E_AMS_Kyoto_run3_MTE!Y559</f>
        <v>0</v>
      </c>
      <c r="U39" s="429">
        <f>Bilans_E_AMS_Kyoto_run3_MTE!Z559</f>
        <v>15.04</v>
      </c>
      <c r="V39" s="701"/>
      <c r="W39" s="701"/>
    </row>
    <row r="40" spans="1:23" x14ac:dyDescent="0.25">
      <c r="A40" s="701" t="s">
        <v>513</v>
      </c>
      <c r="B40" s="701"/>
      <c r="C40" s="713" t="s">
        <v>83</v>
      </c>
      <c r="D40" s="425">
        <f>Bilans_E_AMS_Kyoto_run3_MTE!H560</f>
        <v>0</v>
      </c>
      <c r="E40" s="425">
        <f>Bilans_E_AMS_Kyoto_run3_MTE!I560</f>
        <v>0</v>
      </c>
      <c r="F40" s="425">
        <f>Bilans_E_AMS_Kyoto_run3_MTE!J560</f>
        <v>2.6375441900097218</v>
      </c>
      <c r="G40" s="615">
        <f>Bilans_E_AMS_Kyoto_run3_MTE!K560</f>
        <v>4.5999999999999996</v>
      </c>
      <c r="H40" s="425">
        <f>Bilans_E_AMS_Kyoto_run3_MTE!L560</f>
        <v>0</v>
      </c>
      <c r="I40" s="615">
        <f>Bilans_E_AMS_Kyoto_run3_MTE!M560</f>
        <v>4.2115153485371817</v>
      </c>
      <c r="J40" s="425">
        <f>Bilans_E_AMS_Kyoto_run3_MTE!N560</f>
        <v>0</v>
      </c>
      <c r="K40" s="425">
        <f>Bilans_E_AMS_Kyoto_run3_MTE!O560</f>
        <v>0</v>
      </c>
      <c r="L40" s="425">
        <f>Bilans_E_AMS_Kyoto_run3_MTE!P560</f>
        <v>92.181064137617497</v>
      </c>
      <c r="M40" s="425">
        <f>Bilans_E_AMS_Kyoto_run3_MTE!Q560</f>
        <v>7.3058555419217219</v>
      </c>
      <c r="N40" s="425">
        <f>Bilans_E_AMS_Kyoto_run3_MTE!R560</f>
        <v>24.156551983085681</v>
      </c>
      <c r="O40" s="425">
        <f>Bilans_E_AMS_Kyoto_run3_MTE!S560</f>
        <v>80.060922438361246</v>
      </c>
      <c r="P40" s="425">
        <f>Bilans_E_AMS_Kyoto_run3_MTE!T560+Bilans_E_AMS_Kyoto_run3_MTE!U560</f>
        <v>251.84592267661148</v>
      </c>
      <c r="Q40" s="425">
        <f>Bilans_E_AMS_Kyoto_run3_MTE!V560</f>
        <v>31.016507507845294</v>
      </c>
      <c r="R40" s="425">
        <f>Bilans_E_AMS_Kyoto_run3_MTE!W560</f>
        <v>574.93705609305459</v>
      </c>
      <c r="S40" s="425">
        <f>Bilans_E_AMS_Kyoto_run3_MTE!X560</f>
        <v>76.28935945815698</v>
      </c>
      <c r="T40" s="425">
        <f>Bilans_E_AMS_Kyoto_run3_MTE!Y560</f>
        <v>23.212509289266166</v>
      </c>
      <c r="U40" s="425">
        <f>Bilans_E_AMS_Kyoto_run3_MTE!Z560</f>
        <v>1172.4548086644675</v>
      </c>
      <c r="V40" s="701"/>
      <c r="W40" s="701"/>
    </row>
    <row r="41" spans="1:23" x14ac:dyDescent="0.25">
      <c r="A41" s="701" t="s">
        <v>514</v>
      </c>
      <c r="B41" s="701"/>
      <c r="C41" s="710" t="s">
        <v>84</v>
      </c>
      <c r="D41" s="431">
        <f>Bilans_E_AMS_Kyoto_run3_MTE!H561</f>
        <v>0</v>
      </c>
      <c r="E41" s="421">
        <f>Bilans_E_AMS_Kyoto_run3_MTE!I561</f>
        <v>0</v>
      </c>
      <c r="F41" s="431">
        <f>Bilans_E_AMS_Kyoto_run3_MTE!J561</f>
        <v>91.376834551502185</v>
      </c>
      <c r="G41" s="624">
        <f>Bilans_E_AMS_Kyoto_run3_MTE!K561</f>
        <v>4.3696590457446538</v>
      </c>
      <c r="H41" s="431">
        <f>Bilans_E_AMS_Kyoto_run3_MTE!L561</f>
        <v>7.019987079045241</v>
      </c>
      <c r="I41" s="611">
        <f>Bilans_E_AMS_Kyoto_run3_MTE!M561</f>
        <v>0</v>
      </c>
      <c r="J41" s="421">
        <f>Bilans_E_AMS_Kyoto_run3_MTE!N561</f>
        <v>0</v>
      </c>
      <c r="K41" s="421">
        <f>Bilans_E_AMS_Kyoto_run3_MTE!O561</f>
        <v>0</v>
      </c>
      <c r="L41" s="625">
        <f>Bilans_E_AMS_Kyoto_run3_MTE!P561</f>
        <v>0.61184558011433365</v>
      </c>
      <c r="M41" s="421">
        <f>Bilans_E_AMS_Kyoto_run3_MTE!Q561</f>
        <v>0</v>
      </c>
      <c r="N41" s="431">
        <f>Bilans_E_AMS_Kyoto_run3_MTE!R561</f>
        <v>6.5698161491399585</v>
      </c>
      <c r="O41" s="625">
        <f>Bilans_E_AMS_Kyoto_run3_MTE!S561</f>
        <v>0</v>
      </c>
      <c r="P41" s="421">
        <f>Bilans_E_AMS_Kyoto_run3_MTE!T561+Bilans_E_AMS_Kyoto_run3_MTE!U561</f>
        <v>0</v>
      </c>
      <c r="Q41" s="421">
        <f>Bilans_E_AMS_Kyoto_run3_MTE!V561</f>
        <v>0</v>
      </c>
      <c r="R41" s="421">
        <f>Bilans_E_AMS_Kyoto_run3_MTE!W561</f>
        <v>0</v>
      </c>
      <c r="S41" s="421">
        <f>Bilans_E_AMS_Kyoto_run3_MTE!X561</f>
        <v>0</v>
      </c>
      <c r="T41" s="431">
        <f>Bilans_E_AMS_Kyoto_run3_MTE!Y561</f>
        <v>6.6285490677230623</v>
      </c>
      <c r="U41" s="429">
        <f>Bilans_E_AMS_Kyoto_run3_MTE!Z561</f>
        <v>116.57669147326942</v>
      </c>
      <c r="V41" s="701"/>
      <c r="W41" s="701"/>
    </row>
    <row r="42" spans="1:23" x14ac:dyDescent="0.25">
      <c r="A42" s="701" t="s">
        <v>515</v>
      </c>
      <c r="B42" s="701"/>
      <c r="C42" s="713" t="s">
        <v>85</v>
      </c>
      <c r="D42" s="425">
        <f>Bilans_E_AMS_Kyoto_run3_MTE!H562</f>
        <v>0</v>
      </c>
      <c r="E42" s="425">
        <f>Bilans_E_AMS_Kyoto_run3_MTE!I562</f>
        <v>0</v>
      </c>
      <c r="F42" s="425">
        <f>Bilans_E_AMS_Kyoto_run3_MTE!J562</f>
        <v>94.014378741511905</v>
      </c>
      <c r="G42" s="615">
        <f>Bilans_E_AMS_Kyoto_run3_MTE!K562</f>
        <v>8.9696590457446526</v>
      </c>
      <c r="H42" s="425">
        <f>Bilans_E_AMS_Kyoto_run3_MTE!L562</f>
        <v>7.019987079045241</v>
      </c>
      <c r="I42" s="615">
        <f>Bilans_E_AMS_Kyoto_run3_MTE!M562</f>
        <v>4.2115153485371817</v>
      </c>
      <c r="J42" s="425">
        <f>Bilans_E_AMS_Kyoto_run3_MTE!N562</f>
        <v>0</v>
      </c>
      <c r="K42" s="425">
        <f>Bilans_E_AMS_Kyoto_run3_MTE!O562</f>
        <v>0</v>
      </c>
      <c r="L42" s="425">
        <f>Bilans_E_AMS_Kyoto_run3_MTE!P562</f>
        <v>92.792909717731831</v>
      </c>
      <c r="M42" s="425">
        <f>Bilans_E_AMS_Kyoto_run3_MTE!Q562</f>
        <v>7.3058555419217219</v>
      </c>
      <c r="N42" s="425">
        <f>Bilans_E_AMS_Kyoto_run3_MTE!R562</f>
        <v>30.726368132225637</v>
      </c>
      <c r="O42" s="425">
        <f>Bilans_E_AMS_Kyoto_run3_MTE!S562</f>
        <v>80.060922438361246</v>
      </c>
      <c r="P42" s="425">
        <f>Bilans_E_AMS_Kyoto_run3_MTE!T562+Bilans_E_AMS_Kyoto_run3_MTE!U562</f>
        <v>251.84592267661148</v>
      </c>
      <c r="Q42" s="425">
        <f>Bilans_E_AMS_Kyoto_run3_MTE!V562</f>
        <v>31.016507507845294</v>
      </c>
      <c r="R42" s="425">
        <f>Bilans_E_AMS_Kyoto_run3_MTE!W562</f>
        <v>574.93705609305459</v>
      </c>
      <c r="S42" s="425">
        <f>Bilans_E_AMS_Kyoto_run3_MTE!X562</f>
        <v>76.28935945815698</v>
      </c>
      <c r="T42" s="425">
        <f>Bilans_E_AMS_Kyoto_run3_MTE!Y562</f>
        <v>29.84105835698923</v>
      </c>
      <c r="U42" s="425">
        <f>Bilans_E_AMS_Kyoto_run3_MTE!Z562</f>
        <v>1289.0315001377369</v>
      </c>
      <c r="V42" s="701"/>
      <c r="W42" s="701"/>
    </row>
    <row r="43" spans="1:23" x14ac:dyDescent="0.25">
      <c r="A43" s="701"/>
      <c r="B43" s="701"/>
      <c r="C43" s="701"/>
      <c r="D43" s="701">
        <f>Bilans_E_AMS_Kyoto_run3_MTE!H563</f>
        <v>0</v>
      </c>
      <c r="E43" s="701">
        <f>Bilans_E_AMS_Kyoto_run3_MTE!I563</f>
        <v>0</v>
      </c>
      <c r="F43" s="701">
        <f>Bilans_E_AMS_Kyoto_run3_MTE!J563</f>
        <v>0</v>
      </c>
      <c r="G43" s="701">
        <f>Bilans_E_AMS_Kyoto_run3_MTE!K563</f>
        <v>0</v>
      </c>
      <c r="H43" s="701">
        <f>Bilans_E_AMS_Kyoto_run3_MTE!L563</f>
        <v>0</v>
      </c>
      <c r="I43" s="701">
        <f>Bilans_E_AMS_Kyoto_run3_MTE!M563</f>
        <v>-1.9859233333408E-4</v>
      </c>
      <c r="J43" s="701">
        <f>Bilans_E_AMS_Kyoto_run3_MTE!N563</f>
        <v>0</v>
      </c>
      <c r="K43" s="701">
        <f>Bilans_E_AMS_Kyoto_run3_MTE!O563</f>
        <v>0</v>
      </c>
      <c r="L43" s="701">
        <f>Bilans_E_AMS_Kyoto_run3_MTE!P563</f>
        <v>0</v>
      </c>
      <c r="M43" s="701">
        <f>Bilans_E_AMS_Kyoto_run3_MTE!Q563</f>
        <v>0</v>
      </c>
      <c r="N43" s="701">
        <f>Bilans_E_AMS_Kyoto_run3_MTE!R563</f>
        <v>0</v>
      </c>
      <c r="O43" s="701">
        <f>Bilans_E_AMS_Kyoto_run3_MTE!S563</f>
        <v>0</v>
      </c>
      <c r="P43" s="701">
        <f>Bilans_E_AMS_Kyoto_run3_MTE!T563+Bilans_E_AMS_Kyoto_run3_MTE!U563</f>
        <v>0</v>
      </c>
      <c r="Q43" s="701">
        <f>Bilans_E_AMS_Kyoto_run3_MTE!V563</f>
        <v>0</v>
      </c>
      <c r="R43" s="701">
        <f>Bilans_E_AMS_Kyoto_run3_MTE!W563</f>
        <v>0</v>
      </c>
      <c r="S43" s="701">
        <f>Bilans_E_AMS_Kyoto_run3_MTE!X563</f>
        <v>-3.3901093871691046E-5</v>
      </c>
      <c r="T43" s="701">
        <f>Bilans_E_AMS_Kyoto_run3_MTE!Y563</f>
        <v>0</v>
      </c>
      <c r="U43" s="701">
        <f>Bilans_E_AMS_Kyoto_run3_MTE!Z563</f>
        <v>-2.3249342757480917E-4</v>
      </c>
      <c r="V43" s="701"/>
      <c r="W43" s="701"/>
    </row>
    <row r="44" spans="1:23" x14ac:dyDescent="0.25">
      <c r="A44" s="51"/>
      <c r="B44" s="51"/>
      <c r="C44" s="51"/>
      <c r="D44" s="51"/>
      <c r="E44" s="51"/>
      <c r="F44" s="51"/>
      <c r="G44" s="67"/>
      <c r="H44" s="51"/>
      <c r="I44" s="51"/>
      <c r="J44" s="51"/>
      <c r="K44" s="51"/>
      <c r="L44" s="51"/>
      <c r="M44" s="51"/>
      <c r="N44" s="51"/>
      <c r="O44" s="51"/>
      <c r="P44" s="51"/>
      <c r="Q44" s="51"/>
      <c r="R44" s="51"/>
      <c r="S44" s="51"/>
      <c r="T44" s="51"/>
      <c r="U44" s="51"/>
    </row>
  </sheetData>
  <mergeCells count="14">
    <mergeCell ref="H10:H11"/>
    <mergeCell ref="C10:C11"/>
    <mergeCell ref="D10:D11"/>
    <mergeCell ref="E10:E11"/>
    <mergeCell ref="F10:F11"/>
    <mergeCell ref="G10:G11"/>
    <mergeCell ref="T10:T11"/>
    <mergeCell ref="U10:U11"/>
    <mergeCell ref="I10:I11"/>
    <mergeCell ref="J10:J11"/>
    <mergeCell ref="K10:K11"/>
    <mergeCell ref="L10:Q10"/>
    <mergeCell ref="R10:R11"/>
    <mergeCell ref="S10:S11"/>
  </mergeCells>
  <conditionalFormatting sqref="D12:F18 H12:H18 J12:U18">
    <cfRule type="expression" dxfId="362" priority="14">
      <formula>LEN(TRIM(D12))=0</formula>
    </cfRule>
  </conditionalFormatting>
  <conditionalFormatting sqref="D34:F42 H34:H42 J34:U42">
    <cfRule type="expression" dxfId="361" priority="16">
      <formula>LEN(TRIM(D34))=0</formula>
    </cfRule>
  </conditionalFormatting>
  <conditionalFormatting sqref="D12:I42">
    <cfRule type="cellIs" dxfId="360" priority="5" operator="equal">
      <formula>0</formula>
    </cfRule>
  </conditionalFormatting>
  <conditionalFormatting sqref="G12:G18 G34:G42">
    <cfRule type="containsBlanks" dxfId="359" priority="10">
      <formula>LEN(TRIM(G12))=0</formula>
    </cfRule>
  </conditionalFormatting>
  <conditionalFormatting sqref="G20:G32">
    <cfRule type="containsBlanks" dxfId="358" priority="9">
      <formula>LEN(TRIM(G20))=0</formula>
    </cfRule>
  </conditionalFormatting>
  <conditionalFormatting sqref="I12:I18 I34:I42">
    <cfRule type="containsBlanks" dxfId="357" priority="8">
      <formula>LEN(TRIM(I12))=0</formula>
    </cfRule>
  </conditionalFormatting>
  <conditionalFormatting sqref="I20:I21 I23:I32">
    <cfRule type="containsBlanks" dxfId="356" priority="7">
      <formula>LEN(TRIM(I20))=0</formula>
    </cfRule>
  </conditionalFormatting>
  <conditionalFormatting sqref="I22:U22">
    <cfRule type="expression" dxfId="355" priority="6">
      <formula>LEN(TRIM(I22))=0</formula>
    </cfRule>
  </conditionalFormatting>
  <conditionalFormatting sqref="J12:K14">
    <cfRule type="cellIs" dxfId="354" priority="13" operator="equal">
      <formula>0</formula>
    </cfRule>
  </conditionalFormatting>
  <conditionalFormatting sqref="J15:Q16">
    <cfRule type="cellIs" dxfId="353" priority="15" operator="equal">
      <formula>0</formula>
    </cfRule>
  </conditionalFormatting>
  <conditionalFormatting sqref="J18:U42">
    <cfRule type="cellIs" dxfId="352" priority="4" operator="equal">
      <formula>0</formula>
    </cfRule>
  </conditionalFormatting>
  <conditionalFormatting sqref="J20:U21 D20:F32 H20:H32 J23:U32">
    <cfRule type="expression" dxfId="351" priority="11">
      <formula>LEN(TRIM(D20))=0</formula>
    </cfRule>
  </conditionalFormatting>
  <conditionalFormatting sqref="L12:U17 J17:K17">
    <cfRule type="cellIs" dxfId="350" priority="12" operator="equal">
      <formula>0</formula>
    </cfRule>
  </conditionalFormatting>
  <conditionalFormatting sqref="M23">
    <cfRule type="expression" dxfId="349" priority="3">
      <formula>LEN(TRIM(M23))=0</formula>
    </cfRule>
  </conditionalFormatting>
  <conditionalFormatting sqref="M26">
    <cfRule type="expression" dxfId="348" priority="1">
      <formula>LEN(TRIM(M26))=0</formula>
    </cfRule>
  </conditionalFormatting>
  <conditionalFormatting sqref="T30">
    <cfRule type="expression" dxfId="347" priority="2">
      <formula>LEN(TRIM(T30))=0</formula>
    </cfRule>
  </conditionalFormatting>
  <pageMargins left="0.7" right="0.7" top="0.75" bottom="0.75" header="0.3" footer="0.3"/>
  <legacyDrawing r:id="rId1"/>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B0D23-80D7-4782-8B97-0867933FE522}">
  <sheetPr>
    <tabColor theme="1" tint="0.249977111117893"/>
  </sheetPr>
  <dimension ref="A1:W451"/>
  <sheetViews>
    <sheetView topLeftCell="A384" zoomScale="85" zoomScaleNormal="85" workbookViewId="0">
      <selection activeCell="H393" sqref="H393"/>
    </sheetView>
  </sheetViews>
  <sheetFormatPr baseColWidth="10" defaultRowHeight="15" x14ac:dyDescent="0.25"/>
  <cols>
    <col min="3" max="3" width="24.28515625" customWidth="1"/>
    <col min="4" max="21" width="12.5703125" customWidth="1"/>
  </cols>
  <sheetData>
    <row r="1" spans="1:23" ht="15.75" x14ac:dyDescent="0.25">
      <c r="A1" s="700"/>
      <c r="B1" s="700"/>
      <c r="C1" s="700"/>
      <c r="D1" s="598" t="s">
        <v>527</v>
      </c>
      <c r="E1" s="598" t="s">
        <v>528</v>
      </c>
      <c r="F1" s="598" t="s">
        <v>529</v>
      </c>
      <c r="G1" s="598" t="s">
        <v>530</v>
      </c>
      <c r="H1" s="598" t="s">
        <v>531</v>
      </c>
      <c r="I1" s="598" t="s">
        <v>532</v>
      </c>
      <c r="J1" s="598" t="s">
        <v>533</v>
      </c>
      <c r="K1" s="598" t="s">
        <v>534</v>
      </c>
      <c r="L1" s="598" t="s">
        <v>535</v>
      </c>
      <c r="M1" s="598" t="s">
        <v>536</v>
      </c>
      <c r="N1" s="598" t="s">
        <v>537</v>
      </c>
      <c r="O1" s="598" t="s">
        <v>538</v>
      </c>
      <c r="P1" s="598" t="s">
        <v>539</v>
      </c>
      <c r="Q1" s="598" t="s">
        <v>541</v>
      </c>
      <c r="R1" s="598" t="s">
        <v>542</v>
      </c>
      <c r="S1" s="598" t="s">
        <v>543</v>
      </c>
      <c r="T1" s="598" t="s">
        <v>606</v>
      </c>
      <c r="U1" s="598" t="s">
        <v>607</v>
      </c>
      <c r="V1" s="700"/>
      <c r="W1" s="700"/>
    </row>
    <row r="2" spans="1:23" x14ac:dyDescent="0.25">
      <c r="A2" s="700"/>
      <c r="B2" s="700"/>
      <c r="C2" s="700"/>
      <c r="D2" s="700" t="s">
        <v>545</v>
      </c>
      <c r="E2" s="701" t="s">
        <v>546</v>
      </c>
      <c r="F2" s="701" t="s">
        <v>547</v>
      </c>
      <c r="G2" s="701" t="s">
        <v>548</v>
      </c>
      <c r="H2" s="701" t="s">
        <v>549</v>
      </c>
      <c r="I2" s="701" t="s">
        <v>550</v>
      </c>
      <c r="J2" s="701" t="s">
        <v>551</v>
      </c>
      <c r="K2" s="701" t="s">
        <v>552</v>
      </c>
      <c r="L2" s="701" t="s">
        <v>553</v>
      </c>
      <c r="M2" s="701" t="s">
        <v>554</v>
      </c>
      <c r="N2" s="701" t="s">
        <v>555</v>
      </c>
      <c r="O2" s="701" t="s">
        <v>556</v>
      </c>
      <c r="P2" s="701" t="s">
        <v>557</v>
      </c>
      <c r="Q2" s="701" t="s">
        <v>558</v>
      </c>
      <c r="R2" s="701" t="s">
        <v>559</v>
      </c>
      <c r="S2" s="701" t="s">
        <v>560</v>
      </c>
      <c r="T2" s="701" t="s">
        <v>561</v>
      </c>
      <c r="U2" s="701" t="s">
        <v>562</v>
      </c>
      <c r="V2" s="700"/>
      <c r="W2" s="700"/>
    </row>
    <row r="3" spans="1:23" ht="18" x14ac:dyDescent="0.25">
      <c r="A3" s="702"/>
      <c r="B3" s="702"/>
      <c r="C3" s="703" t="s">
        <v>406</v>
      </c>
      <c r="D3" s="702"/>
      <c r="E3" s="702"/>
      <c r="F3" s="702"/>
      <c r="G3" s="702"/>
      <c r="H3" s="702"/>
      <c r="I3" s="702"/>
      <c r="J3" s="702"/>
      <c r="K3" s="702"/>
      <c r="L3" s="702"/>
      <c r="M3" s="702"/>
      <c r="N3" s="702"/>
      <c r="O3" s="702"/>
      <c r="P3" s="702"/>
      <c r="Q3" s="702"/>
      <c r="R3" s="702"/>
      <c r="S3" s="702"/>
      <c r="T3" s="702"/>
      <c r="U3" s="702"/>
      <c r="V3" s="702"/>
      <c r="W3" s="702"/>
    </row>
    <row r="4" spans="1:23" x14ac:dyDescent="0.25">
      <c r="A4" s="701"/>
      <c r="B4" s="701"/>
      <c r="C4" s="701"/>
      <c r="D4" s="701"/>
      <c r="E4" s="701"/>
      <c r="F4" s="701"/>
      <c r="G4" s="701"/>
      <c r="H4" s="701"/>
      <c r="I4" s="701"/>
      <c r="J4" s="701"/>
      <c r="K4" s="701"/>
      <c r="L4" s="701"/>
      <c r="M4" s="701"/>
      <c r="N4" s="701"/>
      <c r="O4" s="701"/>
      <c r="P4" s="701"/>
      <c r="Q4" s="701"/>
      <c r="R4" s="701"/>
      <c r="S4" s="701"/>
      <c r="T4" s="701"/>
      <c r="U4" s="701"/>
      <c r="V4" s="701"/>
      <c r="W4" s="701"/>
    </row>
    <row r="5" spans="1:23" ht="15.75" x14ac:dyDescent="0.25">
      <c r="A5" s="704"/>
      <c r="B5" s="701"/>
      <c r="C5" s="705" t="s">
        <v>338</v>
      </c>
      <c r="D5" s="704" t="s">
        <v>481</v>
      </c>
      <c r="E5" s="704"/>
      <c r="F5" s="704"/>
      <c r="G5" s="704"/>
      <c r="H5" s="704"/>
      <c r="I5" s="704"/>
      <c r="J5" s="704"/>
      <c r="K5" s="706"/>
      <c r="L5" s="706"/>
      <c r="M5" s="706"/>
      <c r="N5" s="706"/>
      <c r="O5" s="706"/>
      <c r="P5" s="706"/>
      <c r="Q5" s="706"/>
      <c r="R5" s="704"/>
      <c r="S5" s="704"/>
      <c r="T5" s="704"/>
      <c r="U5" s="704"/>
      <c r="V5" s="704"/>
      <c r="W5" s="704"/>
    </row>
    <row r="6" spans="1:23" ht="15.75" x14ac:dyDescent="0.25">
      <c r="A6" s="704"/>
      <c r="B6" s="701"/>
      <c r="C6" s="705" t="s">
        <v>341</v>
      </c>
      <c r="D6" s="704" t="s">
        <v>342</v>
      </c>
      <c r="E6" s="704"/>
      <c r="F6" s="704"/>
      <c r="G6" s="704"/>
      <c r="H6" s="704"/>
      <c r="I6" s="704"/>
      <c r="J6" s="704"/>
      <c r="K6" s="704"/>
      <c r="L6" s="704"/>
      <c r="M6" s="704"/>
      <c r="N6" s="704"/>
      <c r="O6" s="704"/>
      <c r="P6" s="704"/>
      <c r="Q6" s="704"/>
      <c r="R6" s="704"/>
      <c r="S6" s="704"/>
      <c r="T6" s="704"/>
      <c r="U6" s="704"/>
      <c r="V6" s="704"/>
      <c r="W6" s="704"/>
    </row>
    <row r="7" spans="1:23" x14ac:dyDescent="0.25">
      <c r="A7" s="701"/>
      <c r="B7" s="701"/>
      <c r="C7" s="701"/>
      <c r="D7" s="701"/>
      <c r="E7" s="701"/>
      <c r="F7" s="701"/>
      <c r="G7" s="701"/>
      <c r="H7" s="701"/>
      <c r="I7" s="701"/>
      <c r="J7" s="701"/>
      <c r="K7" s="701"/>
      <c r="L7" s="701"/>
      <c r="M7" s="701"/>
      <c r="N7" s="701"/>
      <c r="O7" s="701"/>
      <c r="P7" s="701"/>
      <c r="Q7" s="701"/>
      <c r="R7" s="701"/>
      <c r="S7" s="701"/>
      <c r="T7" s="701"/>
      <c r="U7" s="701"/>
      <c r="V7" s="701"/>
      <c r="W7" s="701"/>
    </row>
    <row r="8" spans="1:23" x14ac:dyDescent="0.25">
      <c r="A8" s="707"/>
      <c r="B8" s="707"/>
      <c r="C8" s="708" t="s">
        <v>566</v>
      </c>
      <c r="D8" s="707"/>
      <c r="E8" s="707"/>
      <c r="F8" s="707"/>
      <c r="G8" s="707"/>
      <c r="H8" s="707"/>
      <c r="I8" s="707"/>
      <c r="J8" s="707"/>
      <c r="K8" s="707"/>
      <c r="L8" s="707"/>
      <c r="M8" s="707"/>
      <c r="N8" s="707"/>
      <c r="O8" s="707"/>
      <c r="P8" s="707"/>
      <c r="Q8" s="707"/>
      <c r="R8" s="707"/>
      <c r="S8" s="707"/>
      <c r="T8" s="707"/>
      <c r="U8" s="707"/>
      <c r="V8" s="707"/>
      <c r="W8" s="707"/>
    </row>
    <row r="9" spans="1:23" x14ac:dyDescent="0.25">
      <c r="A9" s="701"/>
      <c r="B9" s="701"/>
      <c r="C9" s="701"/>
      <c r="D9" s="701"/>
      <c r="E9" s="701"/>
      <c r="F9" s="701"/>
      <c r="G9" s="701"/>
      <c r="H9" s="701"/>
      <c r="I9" s="701"/>
      <c r="J9" s="701"/>
      <c r="K9" s="701"/>
      <c r="L9" s="701"/>
      <c r="M9" s="701"/>
      <c r="N9" s="701"/>
      <c r="O9" s="701"/>
      <c r="P9" s="701"/>
      <c r="Q9" s="701"/>
      <c r="R9" s="701"/>
      <c r="S9" s="701"/>
      <c r="T9" s="701"/>
      <c r="U9" s="701"/>
      <c r="V9" s="701"/>
      <c r="W9" s="701"/>
    </row>
    <row r="10" spans="1:23" x14ac:dyDescent="0.25">
      <c r="A10" s="701"/>
      <c r="B10" s="701"/>
      <c r="C10" s="780" t="s">
        <v>128</v>
      </c>
      <c r="D10" s="775" t="s">
        <v>42</v>
      </c>
      <c r="E10" s="775" t="s">
        <v>52</v>
      </c>
      <c r="F10" s="775" t="s">
        <v>53</v>
      </c>
      <c r="G10" s="775" t="s">
        <v>482</v>
      </c>
      <c r="H10" s="775" t="s">
        <v>32</v>
      </c>
      <c r="I10" s="775" t="s">
        <v>483</v>
      </c>
      <c r="J10" s="775" t="s">
        <v>20</v>
      </c>
      <c r="K10" s="775" t="s">
        <v>55</v>
      </c>
      <c r="L10" s="777" t="s">
        <v>56</v>
      </c>
      <c r="M10" s="778"/>
      <c r="N10" s="778"/>
      <c r="O10" s="778"/>
      <c r="P10" s="778"/>
      <c r="Q10" s="779"/>
      <c r="R10" s="775" t="s">
        <v>57</v>
      </c>
      <c r="S10" s="775" t="s">
        <v>58</v>
      </c>
      <c r="T10" s="775" t="s">
        <v>31</v>
      </c>
      <c r="U10" s="775" t="s">
        <v>10</v>
      </c>
      <c r="V10" s="701"/>
      <c r="W10" s="701"/>
    </row>
    <row r="11" spans="1:23" ht="67.5" x14ac:dyDescent="0.25">
      <c r="A11" s="701" t="s">
        <v>486</v>
      </c>
      <c r="B11" s="701"/>
      <c r="C11" s="781"/>
      <c r="D11" s="776"/>
      <c r="E11" s="776"/>
      <c r="F11" s="776"/>
      <c r="G11" s="776"/>
      <c r="H11" s="776"/>
      <c r="I11" s="776"/>
      <c r="J11" s="776"/>
      <c r="K11" s="776"/>
      <c r="L11" s="709" t="s">
        <v>335</v>
      </c>
      <c r="M11" s="709" t="s">
        <v>40</v>
      </c>
      <c r="N11" s="709" t="s">
        <v>343</v>
      </c>
      <c r="O11" s="709" t="s">
        <v>344</v>
      </c>
      <c r="P11" s="719" t="s">
        <v>610</v>
      </c>
      <c r="Q11" s="709" t="s">
        <v>346</v>
      </c>
      <c r="R11" s="776"/>
      <c r="S11" s="776"/>
      <c r="T11" s="776"/>
      <c r="U11" s="776"/>
      <c r="V11" s="701"/>
      <c r="W11" s="701"/>
    </row>
    <row r="12" spans="1:23" x14ac:dyDescent="0.25">
      <c r="A12" s="701" t="s">
        <v>487</v>
      </c>
      <c r="B12" s="701"/>
      <c r="C12" s="710" t="s">
        <v>59</v>
      </c>
      <c r="D12" s="711">
        <f>Bilans_E_AMS_Kyoto_run3_MTE!H125</f>
        <v>0</v>
      </c>
      <c r="E12" s="711">
        <f>Bilans_E_AMS_Kyoto_run3_MTE!I125</f>
        <v>9.6296400000000002</v>
      </c>
      <c r="F12" s="711">
        <f>Bilans_E_AMS_Kyoto_run3_MTE!J125</f>
        <v>0</v>
      </c>
      <c r="G12" s="711">
        <f>Bilans_E_AMS_Kyoto_run3_MTE!K125</f>
        <v>0</v>
      </c>
      <c r="H12" s="711">
        <f>Bilans_E_AMS_Kyoto_run3_MTE!L125</f>
        <v>0.19305800000000004</v>
      </c>
      <c r="I12" s="711">
        <f>Bilans_E_AMS_Kyoto_run3_MTE!M125</f>
        <v>0</v>
      </c>
      <c r="J12" s="711">
        <f>Bilans_E_AMS_Kyoto_run3_MTE!N125</f>
        <v>1140.366181818182</v>
      </c>
      <c r="K12" s="711">
        <f>Bilans_E_AMS_Kyoto_run3_MTE!O125</f>
        <v>131.59278102869408</v>
      </c>
      <c r="L12" s="711">
        <f>Bilans_E_AMS_Kyoto_run3_MTE!P125</f>
        <v>207.14648009796051</v>
      </c>
      <c r="M12" s="711">
        <f>Bilans_E_AMS_Kyoto_run3_MTE!Q125</f>
        <v>35.562020270643494</v>
      </c>
      <c r="N12" s="711">
        <f>Bilans_E_AMS_Kyoto_run3_MTE!R125</f>
        <v>0.20092572111676185</v>
      </c>
      <c r="O12" s="711">
        <f>Bilans_E_AMS_Kyoto_run3_MTE!S125</f>
        <v>0.14735812244666191</v>
      </c>
      <c r="P12" s="711">
        <f>Bilans_E_AMS_Kyoto_run3_MTE!T125+Bilans_E_AMS_Kyoto_run3_MTE!U125</f>
        <v>62.238627566327246</v>
      </c>
      <c r="Q12" s="711">
        <f>Bilans_E_AMS_Kyoto_run3_MTE!V125</f>
        <v>7.2449612535215584</v>
      </c>
      <c r="R12" s="711">
        <f>Bilans_E_AMS_Kyoto_run3_MTE!W125</f>
        <v>0</v>
      </c>
      <c r="S12" s="711">
        <f>Bilans_E_AMS_Kyoto_run3_MTE!X125</f>
        <v>0</v>
      </c>
      <c r="T12" s="711">
        <f>Bilans_E_AMS_Kyoto_run3_MTE!Y125</f>
        <v>0</v>
      </c>
      <c r="U12" s="711">
        <f>Bilans_E_AMS_Kyoto_run3_MTE!Z125</f>
        <v>1594.3220338788922</v>
      </c>
      <c r="V12" s="701"/>
      <c r="W12" s="701"/>
    </row>
    <row r="13" spans="1:23" x14ac:dyDescent="0.25">
      <c r="A13" s="701" t="s">
        <v>488</v>
      </c>
      <c r="B13" s="701"/>
      <c r="C13" s="710" t="s">
        <v>60</v>
      </c>
      <c r="D13" s="712">
        <f>Bilans_E_AMS_Kyoto_run3_MTE!H126</f>
        <v>56.449131133971783</v>
      </c>
      <c r="E13" s="712">
        <f>Bilans_E_AMS_Kyoto_run3_MTE!I126</f>
        <v>459.91342569717432</v>
      </c>
      <c r="F13" s="712">
        <f>Bilans_E_AMS_Kyoto_run3_MTE!J126</f>
        <v>352.25084451708437</v>
      </c>
      <c r="G13" s="712">
        <f>Bilans_E_AMS_Kyoto_run3_MTE!K126</f>
        <v>0</v>
      </c>
      <c r="H13" s="712">
        <f>Bilans_E_AMS_Kyoto_run3_MTE!L126</f>
        <v>374.27068413629291</v>
      </c>
      <c r="I13" s="712">
        <f>Bilans_E_AMS_Kyoto_run3_MTE!M126</f>
        <v>0</v>
      </c>
      <c r="J13" s="712">
        <f>Bilans_E_AMS_Kyoto_run3_MTE!N126</f>
        <v>0</v>
      </c>
      <c r="K13" s="712">
        <f>Bilans_E_AMS_Kyoto_run3_MTE!O126</f>
        <v>0</v>
      </c>
      <c r="L13" s="712">
        <f>Bilans_E_AMS_Kyoto_run3_MTE!P126</f>
        <v>14.098609892268939</v>
      </c>
      <c r="M13" s="712">
        <f>Bilans_E_AMS_Kyoto_run3_MTE!Q126</f>
        <v>0</v>
      </c>
      <c r="N13" s="712">
        <f>Bilans_E_AMS_Kyoto_run3_MTE!R126</f>
        <v>1.5603352240003341</v>
      </c>
      <c r="O13" s="712">
        <f>Bilans_E_AMS_Kyoto_run3_MTE!S126</f>
        <v>8.1960884730024812</v>
      </c>
      <c r="P13" s="712">
        <f>Bilans_E_AMS_Kyoto_run3_MTE!T126+Bilans_E_AMS_Kyoto_run3_MTE!U126</f>
        <v>0</v>
      </c>
      <c r="Q13" s="712">
        <f>Bilans_E_AMS_Kyoto_run3_MTE!V126</f>
        <v>0</v>
      </c>
      <c r="R13" s="712">
        <f>Bilans_E_AMS_Kyoto_run3_MTE!W126</f>
        <v>0</v>
      </c>
      <c r="S13" s="712">
        <f>Bilans_E_AMS_Kyoto_run3_MTE!X126</f>
        <v>0</v>
      </c>
      <c r="T13" s="712">
        <f>Bilans_E_AMS_Kyoto_run3_MTE!Y126</f>
        <v>0</v>
      </c>
      <c r="U13" s="712">
        <f>Bilans_E_AMS_Kyoto_run3_MTE!Z126</f>
        <v>1266.7391190737951</v>
      </c>
      <c r="V13" s="701"/>
      <c r="W13" s="701"/>
    </row>
    <row r="14" spans="1:23" x14ac:dyDescent="0.25">
      <c r="A14" s="701" t="s">
        <v>489</v>
      </c>
      <c r="B14" s="701"/>
      <c r="C14" s="710" t="s">
        <v>61</v>
      </c>
      <c r="D14" s="712">
        <f>Bilans_E_AMS_Kyoto_run3_MTE!H127</f>
        <v>0</v>
      </c>
      <c r="E14" s="712">
        <f>Bilans_E_AMS_Kyoto_run3_MTE!I127</f>
        <v>0</v>
      </c>
      <c r="F14" s="712">
        <f>Bilans_E_AMS_Kyoto_run3_MTE!J127</f>
        <v>-1.9958158323902644</v>
      </c>
      <c r="G14" s="712">
        <f>Bilans_E_AMS_Kyoto_run3_MTE!K127</f>
        <v>0</v>
      </c>
      <c r="H14" s="712">
        <f>Bilans_E_AMS_Kyoto_run3_MTE!L127</f>
        <v>0</v>
      </c>
      <c r="I14" s="712">
        <f>Bilans_E_AMS_Kyoto_run3_MTE!M127</f>
        <v>0</v>
      </c>
      <c r="J14" s="712">
        <f>Bilans_E_AMS_Kyoto_run3_MTE!N127</f>
        <v>0</v>
      </c>
      <c r="K14" s="712">
        <f>Bilans_E_AMS_Kyoto_run3_MTE!O127</f>
        <v>0</v>
      </c>
      <c r="L14" s="712">
        <f>Bilans_E_AMS_Kyoto_run3_MTE!P127</f>
        <v>0</v>
      </c>
      <c r="M14" s="712">
        <f>Bilans_E_AMS_Kyoto_run3_MTE!Q127</f>
        <v>0</v>
      </c>
      <c r="N14" s="712">
        <f>Bilans_E_AMS_Kyoto_run3_MTE!R127</f>
        <v>0</v>
      </c>
      <c r="O14" s="712">
        <f>Bilans_E_AMS_Kyoto_run3_MTE!S127</f>
        <v>0</v>
      </c>
      <c r="P14" s="712">
        <f>Bilans_E_AMS_Kyoto_run3_MTE!T127+Bilans_E_AMS_Kyoto_run3_MTE!U127</f>
        <v>0</v>
      </c>
      <c r="Q14" s="712">
        <f>Bilans_E_AMS_Kyoto_run3_MTE!V127</f>
        <v>0</v>
      </c>
      <c r="R14" s="712">
        <f>Bilans_E_AMS_Kyoto_run3_MTE!W127</f>
        <v>-78.164281464394662</v>
      </c>
      <c r="S14" s="712">
        <f>Bilans_E_AMS_Kyoto_run3_MTE!X127</f>
        <v>0</v>
      </c>
      <c r="T14" s="712">
        <f>Bilans_E_AMS_Kyoto_run3_MTE!Y127</f>
        <v>0</v>
      </c>
      <c r="U14" s="712">
        <f>Bilans_E_AMS_Kyoto_run3_MTE!Z127</f>
        <v>-80.160097296784926</v>
      </c>
      <c r="V14" s="701"/>
      <c r="W14" s="701"/>
    </row>
    <row r="15" spans="1:23" x14ac:dyDescent="0.25">
      <c r="A15" s="701" t="s">
        <v>490</v>
      </c>
      <c r="B15" s="701"/>
      <c r="C15" s="710" t="s">
        <v>62</v>
      </c>
      <c r="D15" s="711">
        <f>Bilans_E_AMS_Kyoto_run3_MTE!H128</f>
        <v>0</v>
      </c>
      <c r="E15" s="711">
        <f>Bilans_E_AMS_Kyoto_run3_MTE!I128</f>
        <v>0</v>
      </c>
      <c r="F15" s="711">
        <f>Bilans_E_AMS_Kyoto_run3_MTE!J128</f>
        <v>-13.910664986553044</v>
      </c>
      <c r="G15" s="711">
        <f>Bilans_E_AMS_Kyoto_run3_MTE!K128</f>
        <v>0</v>
      </c>
      <c r="H15" s="711">
        <f>Bilans_E_AMS_Kyoto_run3_MTE!L128</f>
        <v>-1.5775055692610036</v>
      </c>
      <c r="I15" s="711">
        <f>Bilans_E_AMS_Kyoto_run3_MTE!M128</f>
        <v>0</v>
      </c>
      <c r="J15" s="711">
        <f>Bilans_E_AMS_Kyoto_run3_MTE!N128</f>
        <v>0</v>
      </c>
      <c r="K15" s="711">
        <f>Bilans_E_AMS_Kyoto_run3_MTE!O128</f>
        <v>0</v>
      </c>
      <c r="L15" s="711">
        <f>Bilans_E_AMS_Kyoto_run3_MTE!P128</f>
        <v>0</v>
      </c>
      <c r="M15" s="711">
        <f>Bilans_E_AMS_Kyoto_run3_MTE!Q128</f>
        <v>0</v>
      </c>
      <c r="N15" s="711">
        <f>Bilans_E_AMS_Kyoto_run3_MTE!R128</f>
        <v>-0.26729594352549763</v>
      </c>
      <c r="O15" s="711">
        <f>Bilans_E_AMS_Kyoto_run3_MTE!S128</f>
        <v>-5.1217713287694921E-2</v>
      </c>
      <c r="P15" s="711">
        <f>Bilans_E_AMS_Kyoto_run3_MTE!T128+Bilans_E_AMS_Kyoto_run3_MTE!U128</f>
        <v>0</v>
      </c>
      <c r="Q15" s="711">
        <f>Bilans_E_AMS_Kyoto_run3_MTE!V128</f>
        <v>0</v>
      </c>
      <c r="R15" s="711">
        <f>Bilans_E_AMS_Kyoto_run3_MTE!W128</f>
        <v>0</v>
      </c>
      <c r="S15" s="711">
        <f>Bilans_E_AMS_Kyoto_run3_MTE!X128</f>
        <v>0</v>
      </c>
      <c r="T15" s="711">
        <f>Bilans_E_AMS_Kyoto_run3_MTE!Y128</f>
        <v>0</v>
      </c>
      <c r="U15" s="711">
        <f>Bilans_E_AMS_Kyoto_run3_MTE!Z128</f>
        <v>-15.806684212627241</v>
      </c>
      <c r="V15" s="701"/>
      <c r="W15" s="701"/>
    </row>
    <row r="16" spans="1:23" x14ac:dyDescent="0.25">
      <c r="A16" s="701" t="s">
        <v>491</v>
      </c>
      <c r="B16" s="701"/>
      <c r="C16" s="710" t="s">
        <v>63</v>
      </c>
      <c r="D16" s="711">
        <f>Bilans_E_AMS_Kyoto_run3_MTE!H129</f>
        <v>0</v>
      </c>
      <c r="E16" s="711">
        <f>Bilans_E_AMS_Kyoto_run3_MTE!I129</f>
        <v>0</v>
      </c>
      <c r="F16" s="711">
        <f>Bilans_E_AMS_Kyoto_run3_MTE!J129</f>
        <v>-77.531119346650016</v>
      </c>
      <c r="G16" s="711">
        <f>Bilans_E_AMS_Kyoto_run3_MTE!K129</f>
        <v>0</v>
      </c>
      <c r="H16" s="711">
        <f>Bilans_E_AMS_Kyoto_run3_MTE!L129</f>
        <v>0</v>
      </c>
      <c r="I16" s="711">
        <f>Bilans_E_AMS_Kyoto_run3_MTE!M129</f>
        <v>0</v>
      </c>
      <c r="J16" s="711">
        <f>Bilans_E_AMS_Kyoto_run3_MTE!N129</f>
        <v>0</v>
      </c>
      <c r="K16" s="711">
        <f>Bilans_E_AMS_Kyoto_run3_MTE!O129</f>
        <v>0</v>
      </c>
      <c r="L16" s="711">
        <f>Bilans_E_AMS_Kyoto_run3_MTE!P129</f>
        <v>0</v>
      </c>
      <c r="M16" s="711">
        <f>Bilans_E_AMS_Kyoto_run3_MTE!Q129</f>
        <v>0</v>
      </c>
      <c r="N16" s="711">
        <f>Bilans_E_AMS_Kyoto_run3_MTE!R129</f>
        <v>-0.80822492568624593</v>
      </c>
      <c r="O16" s="711">
        <f>Bilans_E_AMS_Kyoto_run3_MTE!S129</f>
        <v>0</v>
      </c>
      <c r="P16" s="711">
        <f>Bilans_E_AMS_Kyoto_run3_MTE!T129+Bilans_E_AMS_Kyoto_run3_MTE!U129</f>
        <v>0</v>
      </c>
      <c r="Q16" s="711">
        <f>Bilans_E_AMS_Kyoto_run3_MTE!V129</f>
        <v>0</v>
      </c>
      <c r="R16" s="711">
        <f>Bilans_E_AMS_Kyoto_run3_MTE!W129</f>
        <v>0</v>
      </c>
      <c r="S16" s="711">
        <f>Bilans_E_AMS_Kyoto_run3_MTE!X129</f>
        <v>0</v>
      </c>
      <c r="T16" s="711">
        <f>Bilans_E_AMS_Kyoto_run3_MTE!Y129</f>
        <v>0</v>
      </c>
      <c r="U16" s="711">
        <f>Bilans_E_AMS_Kyoto_run3_MTE!Z129</f>
        <v>-78.339344272336263</v>
      </c>
      <c r="V16" s="701"/>
      <c r="W16" s="701"/>
    </row>
    <row r="17" spans="1:23" x14ac:dyDescent="0.25">
      <c r="A17" s="701" t="s">
        <v>492</v>
      </c>
      <c r="B17" s="701"/>
      <c r="C17" s="710" t="s">
        <v>64</v>
      </c>
      <c r="D17" s="712">
        <f>Bilans_E_AMS_Kyoto_run3_MTE!H130</f>
        <v>9.7684723496666986E-2</v>
      </c>
      <c r="E17" s="712">
        <f>Bilans_E_AMS_Kyoto_run3_MTE!I130</f>
        <v>-5.9567697000000003E-2</v>
      </c>
      <c r="F17" s="712">
        <f>Bilans_E_AMS_Kyoto_run3_MTE!J130</f>
        <v>3.8766666666666671E-2</v>
      </c>
      <c r="G17" s="712">
        <f>Bilans_E_AMS_Kyoto_run3_MTE!K130</f>
        <v>0</v>
      </c>
      <c r="H17" s="712">
        <f>Bilans_E_AMS_Kyoto_run3_MTE!L130</f>
        <v>0</v>
      </c>
      <c r="I17" s="712">
        <f>Bilans_E_AMS_Kyoto_run3_MTE!M130</f>
        <v>0</v>
      </c>
      <c r="J17" s="712">
        <f>Bilans_E_AMS_Kyoto_run3_MTE!N130</f>
        <v>0</v>
      </c>
      <c r="K17" s="712">
        <f>Bilans_E_AMS_Kyoto_run3_MTE!O130</f>
        <v>0</v>
      </c>
      <c r="L17" s="712">
        <f>Bilans_E_AMS_Kyoto_run3_MTE!P130</f>
        <v>0</v>
      </c>
      <c r="M17" s="712">
        <f>Bilans_E_AMS_Kyoto_run3_MTE!Q130</f>
        <v>0</v>
      </c>
      <c r="N17" s="712">
        <f>Bilans_E_AMS_Kyoto_run3_MTE!R130</f>
        <v>0</v>
      </c>
      <c r="O17" s="712">
        <f>Bilans_E_AMS_Kyoto_run3_MTE!S130</f>
        <v>0</v>
      </c>
      <c r="P17" s="712">
        <f>Bilans_E_AMS_Kyoto_run3_MTE!T130+Bilans_E_AMS_Kyoto_run3_MTE!U130</f>
        <v>0</v>
      </c>
      <c r="Q17" s="712">
        <f>Bilans_E_AMS_Kyoto_run3_MTE!V130</f>
        <v>0</v>
      </c>
      <c r="R17" s="712">
        <f>Bilans_E_AMS_Kyoto_run3_MTE!W130</f>
        <v>0</v>
      </c>
      <c r="S17" s="712">
        <f>Bilans_E_AMS_Kyoto_run3_MTE!X130</f>
        <v>0</v>
      </c>
      <c r="T17" s="712">
        <f>Bilans_E_AMS_Kyoto_run3_MTE!Y130</f>
        <v>0</v>
      </c>
      <c r="U17" s="712">
        <f>Bilans_E_AMS_Kyoto_run3_MTE!Z130</f>
        <v>7.6883693163333655E-2</v>
      </c>
      <c r="V17" s="701"/>
      <c r="W17" s="701"/>
    </row>
    <row r="18" spans="1:23" x14ac:dyDescent="0.25">
      <c r="A18" s="701" t="s">
        <v>493</v>
      </c>
      <c r="B18" s="701"/>
      <c r="C18" s="713" t="s">
        <v>65</v>
      </c>
      <c r="D18" s="714">
        <f>Bilans_E_AMS_Kyoto_run3_MTE!H131</f>
        <v>56.546815857468452</v>
      </c>
      <c r="E18" s="714">
        <f>Bilans_E_AMS_Kyoto_run3_MTE!I131</f>
        <v>469.48349800017434</v>
      </c>
      <c r="F18" s="714">
        <f>Bilans_E_AMS_Kyoto_run3_MTE!J131</f>
        <v>258.85201101815767</v>
      </c>
      <c r="G18" s="714">
        <f>Bilans_E_AMS_Kyoto_run3_MTE!K131</f>
        <v>0</v>
      </c>
      <c r="H18" s="714">
        <f>Bilans_E_AMS_Kyoto_run3_MTE!L131</f>
        <v>372.88623656703192</v>
      </c>
      <c r="I18" s="714">
        <f>Bilans_E_AMS_Kyoto_run3_MTE!M131</f>
        <v>0</v>
      </c>
      <c r="J18" s="714">
        <f>Bilans_E_AMS_Kyoto_run3_MTE!N131</f>
        <v>1140.366181818182</v>
      </c>
      <c r="K18" s="714">
        <f>Bilans_E_AMS_Kyoto_run3_MTE!O131</f>
        <v>131.59278102869408</v>
      </c>
      <c r="L18" s="714">
        <f>Bilans_E_AMS_Kyoto_run3_MTE!P131</f>
        <v>221.24508999022945</v>
      </c>
      <c r="M18" s="714">
        <f>Bilans_E_AMS_Kyoto_run3_MTE!Q131</f>
        <v>35.562020270643494</v>
      </c>
      <c r="N18" s="714">
        <f>Bilans_E_AMS_Kyoto_run3_MTE!R131</f>
        <v>0.68574007590535246</v>
      </c>
      <c r="O18" s="714">
        <f>Bilans_E_AMS_Kyoto_run3_MTE!S131</f>
        <v>8.2922288821614476</v>
      </c>
      <c r="P18" s="714">
        <f>Bilans_E_AMS_Kyoto_run3_MTE!T131+Bilans_E_AMS_Kyoto_run3_MTE!U131</f>
        <v>62.238627566327246</v>
      </c>
      <c r="Q18" s="714">
        <f>Bilans_E_AMS_Kyoto_run3_MTE!V131</f>
        <v>7.2449612535215584</v>
      </c>
      <c r="R18" s="714">
        <f>Bilans_E_AMS_Kyoto_run3_MTE!W131</f>
        <v>-78.164281464394662</v>
      </c>
      <c r="S18" s="714">
        <f>Bilans_E_AMS_Kyoto_run3_MTE!X131</f>
        <v>0</v>
      </c>
      <c r="T18" s="714">
        <f>Bilans_E_AMS_Kyoto_run3_MTE!Y131</f>
        <v>0</v>
      </c>
      <c r="U18" s="714">
        <f>Bilans_E_AMS_Kyoto_run3_MTE!Z131</f>
        <v>2686.8319108641022</v>
      </c>
      <c r="V18" s="701"/>
      <c r="W18" s="701"/>
    </row>
    <row r="19" spans="1:23" x14ac:dyDescent="0.25">
      <c r="A19" s="701"/>
      <c r="B19" s="701"/>
      <c r="C19" s="715"/>
      <c r="D19" s="716"/>
      <c r="E19" s="716"/>
      <c r="F19" s="716"/>
      <c r="G19" s="716"/>
      <c r="H19" s="716"/>
      <c r="I19" s="716"/>
      <c r="J19" s="716"/>
      <c r="K19" s="716"/>
      <c r="L19" s="716"/>
      <c r="M19" s="716"/>
      <c r="N19" s="716"/>
      <c r="O19" s="716"/>
      <c r="P19" s="716">
        <f>Bilans_E_AMS_Kyoto_run3_MTE!T132+Bilans_E_AMS_Kyoto_run3_MTE!U132</f>
        <v>0</v>
      </c>
      <c r="Q19" s="716"/>
      <c r="R19" s="716"/>
      <c r="S19" s="716"/>
      <c r="T19" s="716"/>
      <c r="U19" s="716"/>
      <c r="V19" s="701"/>
      <c r="W19" s="701"/>
    </row>
    <row r="20" spans="1:23" x14ac:dyDescent="0.25">
      <c r="A20" s="701" t="s">
        <v>494</v>
      </c>
      <c r="B20" s="701"/>
      <c r="C20" s="717" t="s">
        <v>67</v>
      </c>
      <c r="D20" s="711">
        <f>Bilans_E_AMS_Kyoto_run3_MTE!H133</f>
        <v>-3.0825798148311137</v>
      </c>
      <c r="E20" s="711">
        <f>Bilans_E_AMS_Kyoto_run3_MTE!I133</f>
        <v>2.8212894888263103</v>
      </c>
      <c r="F20" s="711">
        <f>Bilans_E_AMS_Kyoto_run3_MTE!J133</f>
        <v>-1.7473592425063453</v>
      </c>
      <c r="G20" s="711">
        <f>Bilans_E_AMS_Kyoto_run3_MTE!K133</f>
        <v>0</v>
      </c>
      <c r="H20" s="711">
        <f>Bilans_E_AMS_Kyoto_run3_MTE!L133</f>
        <v>-1.6538705</v>
      </c>
      <c r="I20" s="711">
        <f>Bilans_E_AMS_Kyoto_run3_MTE!M133</f>
        <v>0</v>
      </c>
      <c r="J20" s="711">
        <f>Bilans_E_AMS_Kyoto_run3_MTE!N133</f>
        <v>0</v>
      </c>
      <c r="K20" s="711">
        <f>Bilans_E_AMS_Kyoto_run3_MTE!O133</f>
        <v>0</v>
      </c>
      <c r="L20" s="711">
        <f>Bilans_E_AMS_Kyoto_run3_MTE!P133</f>
        <v>0</v>
      </c>
      <c r="M20" s="711">
        <f>Bilans_E_AMS_Kyoto_run3_MTE!Q133</f>
        <v>0</v>
      </c>
      <c r="N20" s="711">
        <f>Bilans_E_AMS_Kyoto_run3_MTE!R133</f>
        <v>0</v>
      </c>
      <c r="O20" s="711">
        <f>Bilans_E_AMS_Kyoto_run3_MTE!S133</f>
        <v>0</v>
      </c>
      <c r="P20" s="711">
        <f>Bilans_E_AMS_Kyoto_run3_MTE!T133+Bilans_E_AMS_Kyoto_run3_MTE!U133</f>
        <v>0</v>
      </c>
      <c r="Q20" s="711">
        <f>Bilans_E_AMS_Kyoto_run3_MTE!V133</f>
        <v>0</v>
      </c>
      <c r="R20" s="711">
        <f>Bilans_E_AMS_Kyoto_run3_MTE!W133</f>
        <v>1.3259114621158057</v>
      </c>
      <c r="S20" s="711">
        <f>Bilans_E_AMS_Kyoto_run3_MTE!X133</f>
        <v>0</v>
      </c>
      <c r="T20" s="711">
        <f>Bilans_E_AMS_Kyoto_run3_MTE!Y133</f>
        <v>0</v>
      </c>
      <c r="U20" s="711">
        <f>Bilans_E_AMS_Kyoto_run3_MTE!Z133</f>
        <v>-2.3366086063953428</v>
      </c>
      <c r="V20" s="701"/>
      <c r="W20" s="701"/>
    </row>
    <row r="21" spans="1:23" x14ac:dyDescent="0.25">
      <c r="A21" s="701" t="s">
        <v>495</v>
      </c>
      <c r="B21" s="701"/>
      <c r="C21" s="717" t="s">
        <v>347</v>
      </c>
      <c r="D21" s="711">
        <f>Bilans_E_AMS_Kyoto_run3_MTE!H134</f>
        <v>18.311780352949967</v>
      </c>
      <c r="E21" s="711">
        <f>Bilans_E_AMS_Kyoto_run3_MTE!I134</f>
        <v>0</v>
      </c>
      <c r="F21" s="711">
        <f>Bilans_E_AMS_Kyoto_run3_MTE!J134</f>
        <v>15.165240241505963</v>
      </c>
      <c r="G21" s="711">
        <f>Bilans_E_AMS_Kyoto_run3_MTE!K134</f>
        <v>0</v>
      </c>
      <c r="H21" s="711">
        <f>Bilans_E_AMS_Kyoto_run3_MTE!L134</f>
        <v>67.367598770454535</v>
      </c>
      <c r="I21" s="711">
        <f>Bilans_E_AMS_Kyoto_run3_MTE!M134</f>
        <v>0</v>
      </c>
      <c r="J21" s="711">
        <f>Bilans_E_AMS_Kyoto_run3_MTE!N134</f>
        <v>893.12435757575759</v>
      </c>
      <c r="K21" s="711">
        <f>Bilans_E_AMS_Kyoto_run3_MTE!O134</f>
        <v>103.16408551808999</v>
      </c>
      <c r="L21" s="711">
        <f>Bilans_E_AMS_Kyoto_run3_MTE!P134</f>
        <v>17.818256090214604</v>
      </c>
      <c r="M21" s="711">
        <f>Bilans_E_AMS_Kyoto_run3_MTE!Q134</f>
        <v>11.678824122543197</v>
      </c>
      <c r="N21" s="711">
        <f>Bilans_E_AMS_Kyoto_run3_MTE!R134</f>
        <v>0</v>
      </c>
      <c r="O21" s="711">
        <f>Bilans_E_AMS_Kyoto_run3_MTE!S134</f>
        <v>7.6579342108323267</v>
      </c>
      <c r="P21" s="711">
        <f>Bilans_E_AMS_Kyoto_run3_MTE!T134+Bilans_E_AMS_Kyoto_run3_MTE!U134</f>
        <v>0</v>
      </c>
      <c r="Q21" s="711">
        <f>Bilans_E_AMS_Kyoto_run3_MTE!V134</f>
        <v>1.4120030957408569</v>
      </c>
      <c r="R21" s="711">
        <f>Bilans_E_AMS_Kyoto_run3_MTE!W134</f>
        <v>-469.03899444986422</v>
      </c>
      <c r="S21" s="711">
        <f>Bilans_E_AMS_Kyoto_run3_MTE!X134</f>
        <v>0</v>
      </c>
      <c r="T21" s="711">
        <f>Bilans_E_AMS_Kyoto_run3_MTE!Y134</f>
        <v>0</v>
      </c>
      <c r="U21" s="711">
        <f>Bilans_E_AMS_Kyoto_run3_MTE!Z134</f>
        <v>666.6610855282247</v>
      </c>
      <c r="V21" s="701"/>
      <c r="W21" s="701"/>
    </row>
    <row r="22" spans="1:23" x14ac:dyDescent="0.25">
      <c r="A22" s="701" t="s">
        <v>496</v>
      </c>
      <c r="B22" s="701"/>
      <c r="C22" s="717" t="s">
        <v>348</v>
      </c>
      <c r="D22" s="711">
        <f>Bilans_E_AMS_Kyoto_run3_MTE!H135</f>
        <v>1.6487919881779634</v>
      </c>
      <c r="E22" s="711">
        <f>Bilans_E_AMS_Kyoto_run3_MTE!I135</f>
        <v>0</v>
      </c>
      <c r="F22" s="711">
        <f>Bilans_E_AMS_Kyoto_run3_MTE!J135</f>
        <v>2.5787453844178874</v>
      </c>
      <c r="G22" s="711">
        <f>Bilans_E_AMS_Kyoto_run3_MTE!K135</f>
        <v>0</v>
      </c>
      <c r="H22" s="711">
        <f>Bilans_E_AMS_Kyoto_run3_MTE!L135</f>
        <v>20.52222797954547</v>
      </c>
      <c r="I22" s="711">
        <f>Bilans_E_AMS_Kyoto_run3_MTE!M135</f>
        <v>0</v>
      </c>
      <c r="J22" s="711">
        <f>Bilans_E_AMS_Kyoto_run3_MTE!N135</f>
        <v>0</v>
      </c>
      <c r="K22" s="711">
        <f>Bilans_E_AMS_Kyoto_run3_MTE!O135</f>
        <v>0</v>
      </c>
      <c r="L22" s="711">
        <f>Bilans_E_AMS_Kyoto_run3_MTE!P135</f>
        <v>11.194215004913776</v>
      </c>
      <c r="M22" s="711">
        <f>Bilans_E_AMS_Kyoto_run3_MTE!Q135</f>
        <v>16.899907723058416</v>
      </c>
      <c r="N22" s="711">
        <f>Bilans_E_AMS_Kyoto_run3_MTE!R135</f>
        <v>0</v>
      </c>
      <c r="O22" s="711">
        <f>Bilans_E_AMS_Kyoto_run3_MTE!S135</f>
        <v>3.393995842292195</v>
      </c>
      <c r="P22" s="711">
        <f>Bilans_E_AMS_Kyoto_run3_MTE!T135+Bilans_E_AMS_Kyoto_run3_MTE!U135</f>
        <v>0.501695</v>
      </c>
      <c r="Q22" s="711">
        <f>Bilans_E_AMS_Kyoto_run3_MTE!V135</f>
        <v>3.7445681273157776</v>
      </c>
      <c r="R22" s="711">
        <f>Bilans_E_AMS_Kyoto_run3_MTE!W135</f>
        <v>0</v>
      </c>
      <c r="S22" s="711">
        <f>Bilans_E_AMS_Kyoto_run3_MTE!X135</f>
        <v>-51.024139226089801</v>
      </c>
      <c r="T22" s="711">
        <f>Bilans_E_AMS_Kyoto_run3_MTE!Y135</f>
        <v>0</v>
      </c>
      <c r="U22" s="711">
        <f>Bilans_E_AMS_Kyoto_run3_MTE!Z135</f>
        <v>9.4600078236316847</v>
      </c>
      <c r="V22" s="701"/>
      <c r="W22" s="701"/>
    </row>
    <row r="23" spans="1:23" x14ac:dyDescent="0.25">
      <c r="A23" s="701" t="s">
        <v>497</v>
      </c>
      <c r="B23" s="701"/>
      <c r="C23" s="717" t="s">
        <v>349</v>
      </c>
      <c r="D23" s="711">
        <f>Bilans_E_AMS_Kyoto_run3_MTE!H136</f>
        <v>0</v>
      </c>
      <c r="E23" s="711">
        <f>Bilans_E_AMS_Kyoto_run3_MTE!I136</f>
        <v>0</v>
      </c>
      <c r="F23" s="711">
        <f>Bilans_E_AMS_Kyoto_run3_MTE!J136</f>
        <v>0</v>
      </c>
      <c r="G23" s="711">
        <f>Bilans_E_AMS_Kyoto_run3_MTE!K136</f>
        <v>0</v>
      </c>
      <c r="H23" s="711">
        <f>Bilans_E_AMS_Kyoto_run3_MTE!L136</f>
        <v>-3.9044474999999998</v>
      </c>
      <c r="I23" s="711">
        <f>Bilans_E_AMS_Kyoto_run3_MTE!M136</f>
        <v>0</v>
      </c>
      <c r="J23" s="711">
        <f>Bilans_E_AMS_Kyoto_run3_MTE!N136</f>
        <v>0</v>
      </c>
      <c r="K23" s="711">
        <f>Bilans_E_AMS_Kyoto_run3_MTE!O136</f>
        <v>0</v>
      </c>
      <c r="L23" s="711">
        <f>Bilans_E_AMS_Kyoto_run3_MTE!P136</f>
        <v>0</v>
      </c>
      <c r="M23" s="711">
        <f>Bilans_E_AMS_Kyoto_run3_MTE!Q136</f>
        <v>0</v>
      </c>
      <c r="N23" s="711">
        <f>Bilans_E_AMS_Kyoto_run3_MTE!R136</f>
        <v>0</v>
      </c>
      <c r="O23" s="711">
        <f>Bilans_E_AMS_Kyoto_run3_MTE!S136</f>
        <v>-18.98</v>
      </c>
      <c r="P23" s="711">
        <f>Bilans_E_AMS_Kyoto_run3_MTE!T136+Bilans_E_AMS_Kyoto_run3_MTE!U136</f>
        <v>0</v>
      </c>
      <c r="Q23" s="711">
        <f>Bilans_E_AMS_Kyoto_run3_MTE!V136</f>
        <v>0</v>
      </c>
      <c r="R23" s="711">
        <f>Bilans_E_AMS_Kyoto_run3_MTE!W136</f>
        <v>0</v>
      </c>
      <c r="S23" s="711">
        <f>Bilans_E_AMS_Kyoto_run3_MTE!X136</f>
        <v>0</v>
      </c>
      <c r="T23" s="711">
        <f>Bilans_E_AMS_Kyoto_run3_MTE!Y136</f>
        <v>0</v>
      </c>
      <c r="U23" s="711">
        <f>Bilans_E_AMS_Kyoto_run3_MTE!Z136</f>
        <v>-22.8844475</v>
      </c>
      <c r="V23" s="701"/>
      <c r="W23" s="701"/>
    </row>
    <row r="24" spans="1:23" x14ac:dyDescent="0.25">
      <c r="A24" s="701" t="s">
        <v>498</v>
      </c>
      <c r="B24" s="701"/>
      <c r="C24" s="717" t="s">
        <v>350</v>
      </c>
      <c r="D24" s="711">
        <f>Bilans_E_AMS_Kyoto_run3_MTE!H137</f>
        <v>0</v>
      </c>
      <c r="E24" s="711">
        <f>Bilans_E_AMS_Kyoto_run3_MTE!I137</f>
        <v>0</v>
      </c>
      <c r="F24" s="711">
        <f>Bilans_E_AMS_Kyoto_run3_MTE!J137</f>
        <v>0</v>
      </c>
      <c r="G24" s="711">
        <f>Bilans_E_AMS_Kyoto_run3_MTE!K137</f>
        <v>0</v>
      </c>
      <c r="H24" s="711">
        <f>Bilans_E_AMS_Kyoto_run3_MTE!L137</f>
        <v>0</v>
      </c>
      <c r="I24" s="711">
        <f>Bilans_E_AMS_Kyoto_run3_MTE!M137</f>
        <v>0</v>
      </c>
      <c r="J24" s="711">
        <f>Bilans_E_AMS_Kyoto_run3_MTE!N137</f>
        <v>0</v>
      </c>
      <c r="K24" s="711">
        <f>Bilans_E_AMS_Kyoto_run3_MTE!O137</f>
        <v>0</v>
      </c>
      <c r="L24" s="711">
        <f>Bilans_E_AMS_Kyoto_run3_MTE!P137</f>
        <v>0</v>
      </c>
      <c r="M24" s="711">
        <f>Bilans_E_AMS_Kyoto_run3_MTE!Q137</f>
        <v>0</v>
      </c>
      <c r="N24" s="711">
        <f>Bilans_E_AMS_Kyoto_run3_MTE!R137</f>
        <v>0</v>
      </c>
      <c r="O24" s="711">
        <f>Bilans_E_AMS_Kyoto_run3_MTE!S137</f>
        <v>0</v>
      </c>
      <c r="P24" s="711">
        <f>Bilans_E_AMS_Kyoto_run3_MTE!T137+Bilans_E_AMS_Kyoto_run3_MTE!U137</f>
        <v>0</v>
      </c>
      <c r="Q24" s="711">
        <f>Bilans_E_AMS_Kyoto_run3_MTE!V137</f>
        <v>0</v>
      </c>
      <c r="R24" s="711">
        <f>Bilans_E_AMS_Kyoto_run3_MTE!W137</f>
        <v>0</v>
      </c>
      <c r="S24" s="711">
        <f>Bilans_E_AMS_Kyoto_run3_MTE!X137</f>
        <v>0</v>
      </c>
      <c r="T24" s="711">
        <f>Bilans_E_AMS_Kyoto_run3_MTE!Y137</f>
        <v>0</v>
      </c>
      <c r="U24" s="711">
        <f>Bilans_E_AMS_Kyoto_run3_MTE!Z137</f>
        <v>0</v>
      </c>
      <c r="V24" s="701"/>
      <c r="W24" s="701"/>
    </row>
    <row r="25" spans="1:23" x14ac:dyDescent="0.25">
      <c r="A25" s="701" t="s">
        <v>499</v>
      </c>
      <c r="B25" s="701"/>
      <c r="C25" s="717" t="s">
        <v>72</v>
      </c>
      <c r="D25" s="711">
        <f>Bilans_E_AMS_Kyoto_run3_MTE!H138</f>
        <v>0</v>
      </c>
      <c r="E25" s="711">
        <f>Bilans_E_AMS_Kyoto_run3_MTE!I138</f>
        <v>506.29013802437532</v>
      </c>
      <c r="F25" s="711">
        <f>Bilans_E_AMS_Kyoto_run3_MTE!J138</f>
        <v>-499.70096879681989</v>
      </c>
      <c r="G25" s="711">
        <f>Bilans_E_AMS_Kyoto_run3_MTE!K138</f>
        <v>0</v>
      </c>
      <c r="H25" s="711">
        <f>Bilans_E_AMS_Kyoto_run3_MTE!L138</f>
        <v>0</v>
      </c>
      <c r="I25" s="711">
        <f>Bilans_E_AMS_Kyoto_run3_MTE!M138</f>
        <v>0</v>
      </c>
      <c r="J25" s="711">
        <f>Bilans_E_AMS_Kyoto_run3_MTE!N138</f>
        <v>0</v>
      </c>
      <c r="K25" s="711">
        <f>Bilans_E_AMS_Kyoto_run3_MTE!O138</f>
        <v>0</v>
      </c>
      <c r="L25" s="711">
        <f>Bilans_E_AMS_Kyoto_run3_MTE!P138</f>
        <v>0</v>
      </c>
      <c r="M25" s="711">
        <f>Bilans_E_AMS_Kyoto_run3_MTE!Q138</f>
        <v>0</v>
      </c>
      <c r="N25" s="711">
        <f>Bilans_E_AMS_Kyoto_run3_MTE!R138</f>
        <v>0</v>
      </c>
      <c r="O25" s="711">
        <f>Bilans_E_AMS_Kyoto_run3_MTE!S138</f>
        <v>0</v>
      </c>
      <c r="P25" s="711">
        <f>Bilans_E_AMS_Kyoto_run3_MTE!T138+Bilans_E_AMS_Kyoto_run3_MTE!U138</f>
        <v>0</v>
      </c>
      <c r="Q25" s="711">
        <f>Bilans_E_AMS_Kyoto_run3_MTE!V138</f>
        <v>0</v>
      </c>
      <c r="R25" s="711">
        <f>Bilans_E_AMS_Kyoto_run3_MTE!W138</f>
        <v>0</v>
      </c>
      <c r="S25" s="711">
        <f>Bilans_E_AMS_Kyoto_run3_MTE!X138</f>
        <v>0</v>
      </c>
      <c r="T25" s="711">
        <f>Bilans_E_AMS_Kyoto_run3_MTE!Y138</f>
        <v>0</v>
      </c>
      <c r="U25" s="711">
        <f>Bilans_E_AMS_Kyoto_run3_MTE!Z138</f>
        <v>6.5891692275554306</v>
      </c>
      <c r="V25" s="701"/>
      <c r="W25" s="701"/>
    </row>
    <row r="26" spans="1:23" x14ac:dyDescent="0.25">
      <c r="A26" s="701" t="s">
        <v>500</v>
      </c>
      <c r="B26" s="701"/>
      <c r="C26" s="717" t="s">
        <v>351</v>
      </c>
      <c r="D26" s="711">
        <f>Bilans_E_AMS_Kyoto_run3_MTE!H139</f>
        <v>0</v>
      </c>
      <c r="E26" s="711">
        <f>Bilans_E_AMS_Kyoto_run3_MTE!I139</f>
        <v>0</v>
      </c>
      <c r="F26" s="711">
        <f>Bilans_E_AMS_Kyoto_run3_MTE!J139</f>
        <v>0</v>
      </c>
      <c r="G26" s="711">
        <f>Bilans_E_AMS_Kyoto_run3_MTE!K139</f>
        <v>0</v>
      </c>
      <c r="H26" s="711">
        <f>Bilans_E_AMS_Kyoto_run3_MTE!L139</f>
        <v>0</v>
      </c>
      <c r="I26" s="711">
        <f>Bilans_E_AMS_Kyoto_run3_MTE!M139</f>
        <v>0</v>
      </c>
      <c r="J26" s="711">
        <f>Bilans_E_AMS_Kyoto_run3_MTE!N139</f>
        <v>0</v>
      </c>
      <c r="K26" s="711">
        <f>Bilans_E_AMS_Kyoto_run3_MTE!O139</f>
        <v>0</v>
      </c>
      <c r="L26" s="711">
        <f>Bilans_E_AMS_Kyoto_run3_MTE!P139</f>
        <v>0</v>
      </c>
      <c r="M26" s="711">
        <f>Bilans_E_AMS_Kyoto_run3_MTE!Q139</f>
        <v>0</v>
      </c>
      <c r="N26" s="711">
        <f>Bilans_E_AMS_Kyoto_run3_MTE!R139</f>
        <v>-21.853352497140708</v>
      </c>
      <c r="O26" s="711">
        <f>Bilans_E_AMS_Kyoto_run3_MTE!S139</f>
        <v>0</v>
      </c>
      <c r="P26" s="711">
        <f>Bilans_E_AMS_Kyoto_run3_MTE!T139+Bilans_E_AMS_Kyoto_run3_MTE!U139</f>
        <v>0</v>
      </c>
      <c r="Q26" s="711">
        <f>Bilans_E_AMS_Kyoto_run3_MTE!V139</f>
        <v>0</v>
      </c>
      <c r="R26" s="711">
        <f>Bilans_E_AMS_Kyoto_run3_MTE!W139</f>
        <v>0</v>
      </c>
      <c r="S26" s="711">
        <f>Bilans_E_AMS_Kyoto_run3_MTE!X139</f>
        <v>0</v>
      </c>
      <c r="T26" s="711">
        <f>Bilans_E_AMS_Kyoto_run3_MTE!Y139</f>
        <v>0</v>
      </c>
      <c r="U26" s="711">
        <f>Bilans_E_AMS_Kyoto_run3_MTE!Z139</f>
        <v>-21.853352497140708</v>
      </c>
      <c r="V26" s="701"/>
      <c r="W26" s="701"/>
    </row>
    <row r="27" spans="1:23" x14ac:dyDescent="0.25">
      <c r="A27" s="701" t="s">
        <v>501</v>
      </c>
      <c r="B27" s="701"/>
      <c r="C27" s="717" t="s">
        <v>352</v>
      </c>
      <c r="D27" s="711">
        <f>Bilans_E_AMS_Kyoto_run3_MTE!H140</f>
        <v>0</v>
      </c>
      <c r="E27" s="711">
        <f>Bilans_E_AMS_Kyoto_run3_MTE!I140</f>
        <v>0</v>
      </c>
      <c r="F27" s="711">
        <f>Bilans_E_AMS_Kyoto_run3_MTE!J140</f>
        <v>0</v>
      </c>
      <c r="G27" s="711">
        <f>Bilans_E_AMS_Kyoto_run3_MTE!K140</f>
        <v>0</v>
      </c>
      <c r="H27" s="711">
        <f>Bilans_E_AMS_Kyoto_run3_MTE!L140</f>
        <v>0</v>
      </c>
      <c r="I27" s="711">
        <f>Bilans_E_AMS_Kyoto_run3_MTE!M140</f>
        <v>0</v>
      </c>
      <c r="J27" s="711">
        <f>Bilans_E_AMS_Kyoto_run3_MTE!N140</f>
        <v>0</v>
      </c>
      <c r="K27" s="711">
        <f>Bilans_E_AMS_Kyoto_run3_MTE!O140</f>
        <v>0</v>
      </c>
      <c r="L27" s="711">
        <f>Bilans_E_AMS_Kyoto_run3_MTE!P140</f>
        <v>0</v>
      </c>
      <c r="M27" s="711">
        <f>Bilans_E_AMS_Kyoto_run3_MTE!Q140</f>
        <v>0</v>
      </c>
      <c r="N27" s="711">
        <f>Bilans_E_AMS_Kyoto_run3_MTE!R140</f>
        <v>0</v>
      </c>
      <c r="O27" s="711">
        <f>Bilans_E_AMS_Kyoto_run3_MTE!S140</f>
        <v>0</v>
      </c>
      <c r="P27" s="711">
        <f>Bilans_E_AMS_Kyoto_run3_MTE!T140+Bilans_E_AMS_Kyoto_run3_MTE!U140</f>
        <v>0</v>
      </c>
      <c r="Q27" s="711">
        <f>Bilans_E_AMS_Kyoto_run3_MTE!V140</f>
        <v>0</v>
      </c>
      <c r="R27" s="711">
        <f>Bilans_E_AMS_Kyoto_run3_MTE!W140</f>
        <v>0</v>
      </c>
      <c r="S27" s="711">
        <f>Bilans_E_AMS_Kyoto_run3_MTE!X140</f>
        <v>0</v>
      </c>
      <c r="T27" s="711">
        <f>Bilans_E_AMS_Kyoto_run3_MTE!Y140</f>
        <v>0</v>
      </c>
      <c r="U27" s="711">
        <f>Bilans_E_AMS_Kyoto_run3_MTE!Z140</f>
        <v>0</v>
      </c>
      <c r="V27" s="701"/>
      <c r="W27" s="701"/>
    </row>
    <row r="28" spans="1:23" x14ac:dyDescent="0.25">
      <c r="A28" s="701" t="s">
        <v>502</v>
      </c>
      <c r="B28" s="701"/>
      <c r="C28" s="717" t="s">
        <v>73</v>
      </c>
      <c r="D28" s="711">
        <f>Bilans_E_AMS_Kyoto_run3_MTE!H141</f>
        <v>0</v>
      </c>
      <c r="E28" s="711">
        <f>Bilans_E_AMS_Kyoto_run3_MTE!I141</f>
        <v>0</v>
      </c>
      <c r="F28" s="711">
        <f>Bilans_E_AMS_Kyoto_run3_MTE!J141</f>
        <v>0</v>
      </c>
      <c r="G28" s="711">
        <f>Bilans_E_AMS_Kyoto_run3_MTE!K141</f>
        <v>0</v>
      </c>
      <c r="H28" s="711">
        <f>Bilans_E_AMS_Kyoto_run3_MTE!L141</f>
        <v>0</v>
      </c>
      <c r="I28" s="711">
        <f>Bilans_E_AMS_Kyoto_run3_MTE!M141</f>
        <v>0</v>
      </c>
      <c r="J28" s="711">
        <f>Bilans_E_AMS_Kyoto_run3_MTE!N141</f>
        <v>0</v>
      </c>
      <c r="K28" s="711">
        <f>Bilans_E_AMS_Kyoto_run3_MTE!O141</f>
        <v>0</v>
      </c>
      <c r="L28" s="711">
        <f>Bilans_E_AMS_Kyoto_run3_MTE!P141</f>
        <v>0</v>
      </c>
      <c r="M28" s="711">
        <f>Bilans_E_AMS_Kyoto_run3_MTE!Q141</f>
        <v>0</v>
      </c>
      <c r="N28" s="711">
        <f>Bilans_E_AMS_Kyoto_run3_MTE!R141</f>
        <v>0</v>
      </c>
      <c r="O28" s="711">
        <f>Bilans_E_AMS_Kyoto_run3_MTE!S141</f>
        <v>0</v>
      </c>
      <c r="P28" s="711">
        <f>Bilans_E_AMS_Kyoto_run3_MTE!T141+Bilans_E_AMS_Kyoto_run3_MTE!U141</f>
        <v>0</v>
      </c>
      <c r="Q28" s="711">
        <f>Bilans_E_AMS_Kyoto_run3_MTE!V141</f>
        <v>0</v>
      </c>
      <c r="R28" s="711">
        <f>Bilans_E_AMS_Kyoto_run3_MTE!W141</f>
        <v>0</v>
      </c>
      <c r="S28" s="711">
        <f>Bilans_E_AMS_Kyoto_run3_MTE!X141</f>
        <v>0</v>
      </c>
      <c r="T28" s="711">
        <f>Bilans_E_AMS_Kyoto_run3_MTE!Y141</f>
        <v>0</v>
      </c>
      <c r="U28" s="711">
        <f>Bilans_E_AMS_Kyoto_run3_MTE!Z141</f>
        <v>0</v>
      </c>
      <c r="V28" s="701"/>
      <c r="W28" s="701"/>
    </row>
    <row r="29" spans="1:23" x14ac:dyDescent="0.25">
      <c r="A29" s="701" t="s">
        <v>503</v>
      </c>
      <c r="B29" s="701"/>
      <c r="C29" s="717" t="s">
        <v>353</v>
      </c>
      <c r="D29" s="711">
        <f>Bilans_E_AMS_Kyoto_run3_MTE!H142</f>
        <v>27.649311354549997</v>
      </c>
      <c r="E29" s="711">
        <f>Bilans_E_AMS_Kyoto_run3_MTE!I142</f>
        <v>-13.754507404173998</v>
      </c>
      <c r="F29" s="711">
        <f>Bilans_E_AMS_Kyoto_run3_MTE!J142</f>
        <v>12.248818838309996</v>
      </c>
      <c r="G29" s="711">
        <f>Bilans_E_AMS_Kyoto_run3_MTE!K142</f>
        <v>0</v>
      </c>
      <c r="H29" s="711">
        <f>Bilans_E_AMS_Kyoto_run3_MTE!L142</f>
        <v>0</v>
      </c>
      <c r="I29" s="711">
        <f>Bilans_E_AMS_Kyoto_run3_MTE!M142</f>
        <v>0</v>
      </c>
      <c r="J29" s="711">
        <f>Bilans_E_AMS_Kyoto_run3_MTE!N142</f>
        <v>0</v>
      </c>
      <c r="K29" s="711">
        <f>Bilans_E_AMS_Kyoto_run3_MTE!O142</f>
        <v>0</v>
      </c>
      <c r="L29" s="711">
        <f>Bilans_E_AMS_Kyoto_run3_MTE!P142</f>
        <v>0</v>
      </c>
      <c r="M29" s="711">
        <f>Bilans_E_AMS_Kyoto_run3_MTE!Q142</f>
        <v>0</v>
      </c>
      <c r="N29" s="711">
        <f>Bilans_E_AMS_Kyoto_run3_MTE!R142</f>
        <v>0</v>
      </c>
      <c r="O29" s="711">
        <f>Bilans_E_AMS_Kyoto_run3_MTE!S142</f>
        <v>0</v>
      </c>
      <c r="P29" s="711">
        <f>Bilans_E_AMS_Kyoto_run3_MTE!T142+Bilans_E_AMS_Kyoto_run3_MTE!U142</f>
        <v>0</v>
      </c>
      <c r="Q29" s="711">
        <f>Bilans_E_AMS_Kyoto_run3_MTE!V142</f>
        <v>0</v>
      </c>
      <c r="R29" s="711">
        <f>Bilans_E_AMS_Kyoto_run3_MTE!W142</f>
        <v>0</v>
      </c>
      <c r="S29" s="711">
        <f>Bilans_E_AMS_Kyoto_run3_MTE!X142</f>
        <v>0</v>
      </c>
      <c r="T29" s="711">
        <f>Bilans_E_AMS_Kyoto_run3_MTE!Y142</f>
        <v>0</v>
      </c>
      <c r="U29" s="711">
        <f>Bilans_E_AMS_Kyoto_run3_MTE!Z142</f>
        <v>26.143622788685995</v>
      </c>
      <c r="V29" s="701"/>
      <c r="W29" s="701"/>
    </row>
    <row r="30" spans="1:23" x14ac:dyDescent="0.25">
      <c r="A30" s="701" t="s">
        <v>504</v>
      </c>
      <c r="B30" s="701"/>
      <c r="C30" s="717" t="s">
        <v>75</v>
      </c>
      <c r="D30" s="711">
        <f>Bilans_E_AMS_Kyoto_run3_MTE!H143</f>
        <v>14.335724444444445</v>
      </c>
      <c r="E30" s="711">
        <f>Bilans_E_AMS_Kyoto_run3_MTE!I143</f>
        <v>0</v>
      </c>
      <c r="F30" s="711">
        <f>Bilans_E_AMS_Kyoto_run3_MTE!J143</f>
        <v>16.070601013170002</v>
      </c>
      <c r="G30" s="711">
        <f>Bilans_E_AMS_Kyoto_run3_MTE!K143</f>
        <v>0</v>
      </c>
      <c r="H30" s="711">
        <f>Bilans_E_AMS_Kyoto_run3_MTE!L143</f>
        <v>5.0310437499999994</v>
      </c>
      <c r="I30" s="711">
        <f>Bilans_E_AMS_Kyoto_run3_MTE!M143</f>
        <v>0</v>
      </c>
      <c r="J30" s="711">
        <f>Bilans_E_AMS_Kyoto_run3_MTE!N143</f>
        <v>0</v>
      </c>
      <c r="K30" s="711">
        <f>Bilans_E_AMS_Kyoto_run3_MTE!O143</f>
        <v>0</v>
      </c>
      <c r="L30" s="711">
        <f>Bilans_E_AMS_Kyoto_run3_MTE!P143</f>
        <v>0</v>
      </c>
      <c r="M30" s="711">
        <f>Bilans_E_AMS_Kyoto_run3_MTE!Q143</f>
        <v>0</v>
      </c>
      <c r="N30" s="711">
        <f>Bilans_E_AMS_Kyoto_run3_MTE!R143</f>
        <v>0</v>
      </c>
      <c r="O30" s="711">
        <f>Bilans_E_AMS_Kyoto_run3_MTE!S143</f>
        <v>8.0085509378214112E-2</v>
      </c>
      <c r="P30" s="711">
        <f>Bilans_E_AMS_Kyoto_run3_MTE!T143+Bilans_E_AMS_Kyoto_run3_MTE!U143</f>
        <v>0</v>
      </c>
      <c r="Q30" s="711">
        <f>Bilans_E_AMS_Kyoto_run3_MTE!V143</f>
        <v>0</v>
      </c>
      <c r="R30" s="711">
        <f>Bilans_E_AMS_Kyoto_run3_MTE!W143</f>
        <v>32.490290432316492</v>
      </c>
      <c r="S30" s="711">
        <f>Bilans_E_AMS_Kyoto_run3_MTE!X143</f>
        <v>0</v>
      </c>
      <c r="T30" s="711">
        <f>Bilans_E_AMS_Kyoto_run3_MTE!Y143</f>
        <v>0</v>
      </c>
      <c r="U30" s="711">
        <f>Bilans_E_AMS_Kyoto_run3_MTE!Z143</f>
        <v>68.007745149309159</v>
      </c>
      <c r="V30" s="701"/>
      <c r="W30" s="701"/>
    </row>
    <row r="31" spans="1:23" x14ac:dyDescent="0.25">
      <c r="A31" s="701" t="s">
        <v>505</v>
      </c>
      <c r="B31" s="701"/>
      <c r="C31" s="717" t="s">
        <v>76</v>
      </c>
      <c r="D31" s="711">
        <f>Bilans_E_AMS_Kyoto_run3_MTE!H144</f>
        <v>0</v>
      </c>
      <c r="E31" s="711">
        <f>Bilans_E_AMS_Kyoto_run3_MTE!I144</f>
        <v>0</v>
      </c>
      <c r="F31" s="711">
        <f>Bilans_E_AMS_Kyoto_run3_MTE!J144</f>
        <v>0</v>
      </c>
      <c r="G31" s="711">
        <f>Bilans_E_AMS_Kyoto_run3_MTE!K144</f>
        <v>0</v>
      </c>
      <c r="H31" s="711">
        <f>Bilans_E_AMS_Kyoto_run3_MTE!L144</f>
        <v>4.1836710000000004</v>
      </c>
      <c r="I31" s="711">
        <f>Bilans_E_AMS_Kyoto_run3_MTE!M144</f>
        <v>0</v>
      </c>
      <c r="J31" s="711">
        <f>Bilans_E_AMS_Kyoto_run3_MTE!N144</f>
        <v>0</v>
      </c>
      <c r="K31" s="711">
        <f>Bilans_E_AMS_Kyoto_run3_MTE!O144</f>
        <v>0</v>
      </c>
      <c r="L31" s="711">
        <f>Bilans_E_AMS_Kyoto_run3_MTE!P144</f>
        <v>0</v>
      </c>
      <c r="M31" s="711">
        <f>Bilans_E_AMS_Kyoto_run3_MTE!Q144</f>
        <v>0</v>
      </c>
      <c r="N31" s="711">
        <f>Bilans_E_AMS_Kyoto_run3_MTE!R144</f>
        <v>0</v>
      </c>
      <c r="O31" s="711">
        <f>Bilans_E_AMS_Kyoto_run3_MTE!S144</f>
        <v>6.6596801728441027E-2</v>
      </c>
      <c r="P31" s="711">
        <f>Bilans_E_AMS_Kyoto_run3_MTE!T144+Bilans_E_AMS_Kyoto_run3_MTE!U144</f>
        <v>0</v>
      </c>
      <c r="Q31" s="711">
        <f>Bilans_E_AMS_Kyoto_run3_MTE!V144</f>
        <v>0</v>
      </c>
      <c r="R31" s="711">
        <f>Bilans_E_AMS_Kyoto_run3_MTE!W144</f>
        <v>35.786149887014702</v>
      </c>
      <c r="S31" s="711">
        <f>Bilans_E_AMS_Kyoto_run3_MTE!X144</f>
        <v>4.7290335700757451</v>
      </c>
      <c r="T31" s="711">
        <f>Bilans_E_AMS_Kyoto_run3_MTE!Y144</f>
        <v>0</v>
      </c>
      <c r="U31" s="711">
        <f>Bilans_E_AMS_Kyoto_run3_MTE!Z144</f>
        <v>44.765451258818885</v>
      </c>
      <c r="V31" s="701"/>
      <c r="W31" s="701"/>
    </row>
    <row r="32" spans="1:23" x14ac:dyDescent="0.25">
      <c r="A32" s="701" t="s">
        <v>506</v>
      </c>
      <c r="B32" s="701"/>
      <c r="C32" s="713" t="s">
        <v>77</v>
      </c>
      <c r="D32" s="714">
        <f>Bilans_E_AMS_Kyoto_run3_MTE!H145</f>
        <v>58.863028325291261</v>
      </c>
      <c r="E32" s="714">
        <f>Bilans_E_AMS_Kyoto_run3_MTE!I145</f>
        <v>495.35692010902767</v>
      </c>
      <c r="F32" s="714">
        <f>Bilans_E_AMS_Kyoto_run3_MTE!J145</f>
        <v>-455.38492256192239</v>
      </c>
      <c r="G32" s="714">
        <f>Bilans_E_AMS_Kyoto_run3_MTE!K145</f>
        <v>0</v>
      </c>
      <c r="H32" s="714">
        <f>Bilans_E_AMS_Kyoto_run3_MTE!L145</f>
        <v>91.546223500000011</v>
      </c>
      <c r="I32" s="714">
        <f>Bilans_E_AMS_Kyoto_run3_MTE!M145</f>
        <v>0</v>
      </c>
      <c r="J32" s="714">
        <f>Bilans_E_AMS_Kyoto_run3_MTE!N145</f>
        <v>893.12435757575759</v>
      </c>
      <c r="K32" s="714">
        <f>Bilans_E_AMS_Kyoto_run3_MTE!O145</f>
        <v>103.16408551808999</v>
      </c>
      <c r="L32" s="714">
        <f>Bilans_E_AMS_Kyoto_run3_MTE!P145</f>
        <v>29.01247109512838</v>
      </c>
      <c r="M32" s="714">
        <f>Bilans_E_AMS_Kyoto_run3_MTE!Q145</f>
        <v>28.578731845601613</v>
      </c>
      <c r="N32" s="714">
        <f>Bilans_E_AMS_Kyoto_run3_MTE!R145</f>
        <v>-21.853352497140708</v>
      </c>
      <c r="O32" s="714">
        <f>Bilans_E_AMS_Kyoto_run3_MTE!S145</f>
        <v>-7.7813876357688239</v>
      </c>
      <c r="P32" s="714">
        <f>Bilans_E_AMS_Kyoto_run3_MTE!T145+Bilans_E_AMS_Kyoto_run3_MTE!U145</f>
        <v>0.501695</v>
      </c>
      <c r="Q32" s="714">
        <f>Bilans_E_AMS_Kyoto_run3_MTE!V145</f>
        <v>5.1565712230566341</v>
      </c>
      <c r="R32" s="714">
        <f>Bilans_E_AMS_Kyoto_run3_MTE!W145</f>
        <v>-399.43664266841722</v>
      </c>
      <c r="S32" s="714">
        <f>Bilans_E_AMS_Kyoto_run3_MTE!X145</f>
        <v>-46.295105656014059</v>
      </c>
      <c r="T32" s="714">
        <f>Bilans_E_AMS_Kyoto_run3_MTE!Y145</f>
        <v>0</v>
      </c>
      <c r="U32" s="714">
        <f>Bilans_E_AMS_Kyoto_run3_MTE!Z145</f>
        <v>774.55267317268988</v>
      </c>
      <c r="V32" s="701"/>
      <c r="W32" s="701"/>
    </row>
    <row r="33" spans="1:23" x14ac:dyDescent="0.25">
      <c r="A33" s="701"/>
      <c r="B33" s="701"/>
      <c r="C33" s="715"/>
      <c r="D33" s="716"/>
      <c r="E33" s="716"/>
      <c r="F33" s="716"/>
      <c r="G33" s="716"/>
      <c r="H33" s="716"/>
      <c r="I33" s="716"/>
      <c r="J33" s="716"/>
      <c r="K33" s="716"/>
      <c r="L33" s="716"/>
      <c r="M33" s="716"/>
      <c r="N33" s="716"/>
      <c r="O33" s="716"/>
      <c r="P33" s="716">
        <f>Bilans_E_AMS_Kyoto_run3_MTE!T146+Bilans_E_AMS_Kyoto_run3_MTE!U146</f>
        <v>0</v>
      </c>
      <c r="Q33" s="716"/>
      <c r="R33" s="716"/>
      <c r="S33" s="716"/>
      <c r="T33" s="716"/>
      <c r="U33" s="716"/>
      <c r="V33" s="701"/>
      <c r="W33" s="701"/>
    </row>
    <row r="34" spans="1:23" x14ac:dyDescent="0.25">
      <c r="A34" s="701" t="s">
        <v>507</v>
      </c>
      <c r="B34" s="701"/>
      <c r="C34" s="717" t="s">
        <v>78</v>
      </c>
      <c r="D34" s="711">
        <f>Bilans_E_AMS_Kyoto_run3_MTE!H147</f>
        <v>7.3736578567600004</v>
      </c>
      <c r="E34" s="711">
        <f>Bilans_E_AMS_Kyoto_run3_MTE!I147</f>
        <v>0</v>
      </c>
      <c r="F34" s="711">
        <f>Bilans_E_AMS_Kyoto_run3_MTE!J147</f>
        <v>28.082156139158617</v>
      </c>
      <c r="G34" s="711">
        <f>Bilans_E_AMS_Kyoto_run3_MTE!K147</f>
        <v>0</v>
      </c>
      <c r="H34" s="711">
        <f>Bilans_E_AMS_Kyoto_run3_MTE!L147</f>
        <v>105.9180134466818</v>
      </c>
      <c r="I34" s="711">
        <f>Bilans_E_AMS_Kyoto_run3_MTE!M147</f>
        <v>0</v>
      </c>
      <c r="J34" s="711">
        <f>Bilans_E_AMS_Kyoto_run3_MTE!N147</f>
        <v>0</v>
      </c>
      <c r="K34" s="711">
        <f>Bilans_E_AMS_Kyoto_run3_MTE!O147</f>
        <v>0</v>
      </c>
      <c r="L34" s="711">
        <f>Bilans_E_AMS_Kyoto_run3_MTE!P147</f>
        <v>15.598758157208902</v>
      </c>
      <c r="M34" s="711">
        <f>Bilans_E_AMS_Kyoto_run3_MTE!Q147</f>
        <v>4.4111640413155317</v>
      </c>
      <c r="N34" s="711">
        <f>Bilans_E_AMS_Kyoto_run3_MTE!R147</f>
        <v>0.88961453134373869</v>
      </c>
      <c r="O34" s="711">
        <f>Bilans_E_AMS_Kyoto_run3_MTE!S147</f>
        <v>2.6352375275716398</v>
      </c>
      <c r="P34" s="711">
        <f>Bilans_E_AMS_Kyoto_run3_MTE!T147+Bilans_E_AMS_Kyoto_run3_MTE!U147</f>
        <v>0</v>
      </c>
      <c r="Q34" s="711">
        <f>Bilans_E_AMS_Kyoto_run3_MTE!V147</f>
        <v>2.4289355835523621E-2</v>
      </c>
      <c r="R34" s="711">
        <f>Bilans_E_AMS_Kyoto_run3_MTE!W147</f>
        <v>107.70936491078457</v>
      </c>
      <c r="S34" s="711">
        <f>Bilans_E_AMS_Kyoto_run3_MTE!X147</f>
        <v>21.846264931445535</v>
      </c>
      <c r="T34" s="711">
        <f>Bilans_E_AMS_Kyoto_run3_MTE!Y147</f>
        <v>0</v>
      </c>
      <c r="U34" s="711">
        <f>Bilans_E_AMS_Kyoto_run3_MTE!Z147</f>
        <v>294.48852089810589</v>
      </c>
      <c r="V34" s="701"/>
      <c r="W34" s="701"/>
    </row>
    <row r="35" spans="1:23" x14ac:dyDescent="0.25">
      <c r="A35" s="701" t="s">
        <v>508</v>
      </c>
      <c r="B35" s="701"/>
      <c r="C35" s="717" t="s">
        <v>79</v>
      </c>
      <c r="D35" s="711">
        <f>Bilans_E_AMS_Kyoto_run3_MTE!H148</f>
        <v>0</v>
      </c>
      <c r="E35" s="711">
        <f>Bilans_E_AMS_Kyoto_run3_MTE!I148</f>
        <v>0</v>
      </c>
      <c r="F35" s="711">
        <f>Bilans_E_AMS_Kyoto_run3_MTE!J148</f>
        <v>448.64421529961959</v>
      </c>
      <c r="G35" s="711">
        <f>Bilans_E_AMS_Kyoto_run3_MTE!K148</f>
        <v>0</v>
      </c>
      <c r="H35" s="711">
        <f>Bilans_E_AMS_Kyoto_run3_MTE!L148</f>
        <v>3.6492752022856041</v>
      </c>
      <c r="I35" s="711">
        <f>Bilans_E_AMS_Kyoto_run3_MTE!M148</f>
        <v>0</v>
      </c>
      <c r="J35" s="711">
        <f>Bilans_E_AMS_Kyoto_run3_MTE!N148</f>
        <v>0</v>
      </c>
      <c r="K35" s="711">
        <f>Bilans_E_AMS_Kyoto_run3_MTE!O148</f>
        <v>0</v>
      </c>
      <c r="L35" s="711">
        <f>Bilans_E_AMS_Kyoto_run3_MTE!P148</f>
        <v>0</v>
      </c>
      <c r="M35" s="711">
        <f>Bilans_E_AMS_Kyoto_run3_MTE!Q148</f>
        <v>0</v>
      </c>
      <c r="N35" s="711">
        <f>Bilans_E_AMS_Kyoto_run3_MTE!R148</f>
        <v>36.012531806280798</v>
      </c>
      <c r="O35" s="711">
        <f>Bilans_E_AMS_Kyoto_run3_MTE!S148</f>
        <v>5.9029797714396391E-2</v>
      </c>
      <c r="P35" s="711">
        <f>Bilans_E_AMS_Kyoto_run3_MTE!T148+Bilans_E_AMS_Kyoto_run3_MTE!U148</f>
        <v>0</v>
      </c>
      <c r="Q35" s="711">
        <f>Bilans_E_AMS_Kyoto_run3_MTE!V148</f>
        <v>0</v>
      </c>
      <c r="R35" s="711">
        <f>Bilans_E_AMS_Kyoto_run3_MTE!W148</f>
        <v>10.17460307</v>
      </c>
      <c r="S35" s="711">
        <f>Bilans_E_AMS_Kyoto_run3_MTE!X148</f>
        <v>0</v>
      </c>
      <c r="T35" s="711">
        <f>Bilans_E_AMS_Kyoto_run3_MTE!Y148</f>
        <v>0</v>
      </c>
      <c r="U35" s="711">
        <f>Bilans_E_AMS_Kyoto_run3_MTE!Z148</f>
        <v>498.53965517590035</v>
      </c>
      <c r="V35" s="701"/>
      <c r="W35" s="701"/>
    </row>
    <row r="36" spans="1:23" x14ac:dyDescent="0.25">
      <c r="A36" s="701" t="s">
        <v>509</v>
      </c>
      <c r="B36" s="701"/>
      <c r="C36" s="717" t="s">
        <v>80</v>
      </c>
      <c r="D36" s="711">
        <f>Bilans_E_AMS_Kyoto_run3_MTE!H149</f>
        <v>0.30791956671000004</v>
      </c>
      <c r="E36" s="711">
        <f>Bilans_E_AMS_Kyoto_run3_MTE!I149</f>
        <v>0</v>
      </c>
      <c r="F36" s="711">
        <f>Bilans_E_AMS_Kyoto_run3_MTE!J149</f>
        <v>40.800473894782456</v>
      </c>
      <c r="G36" s="711">
        <f>Bilans_E_AMS_Kyoto_run3_MTE!K149</f>
        <v>0</v>
      </c>
      <c r="H36" s="711">
        <f>Bilans_E_AMS_Kyoto_run3_MTE!L149</f>
        <v>108.79962887872408</v>
      </c>
      <c r="I36" s="711">
        <f>Bilans_E_AMS_Kyoto_run3_MTE!M149</f>
        <v>0</v>
      </c>
      <c r="J36" s="711">
        <f>Bilans_E_AMS_Kyoto_run3_MTE!N149</f>
        <v>0</v>
      </c>
      <c r="K36" s="711">
        <f>Bilans_E_AMS_Kyoto_run3_MTE!O149</f>
        <v>0</v>
      </c>
      <c r="L36" s="711">
        <f>Bilans_E_AMS_Kyoto_run3_MTE!P149</f>
        <v>69.611392402361105</v>
      </c>
      <c r="M36" s="711">
        <f>Bilans_E_AMS_Kyoto_run3_MTE!Q149</f>
        <v>0</v>
      </c>
      <c r="N36" s="711">
        <f>Bilans_E_AMS_Kyoto_run3_MTE!R149</f>
        <v>0</v>
      </c>
      <c r="O36" s="711">
        <f>Bilans_E_AMS_Kyoto_run3_MTE!S149</f>
        <v>1.7319017945159534</v>
      </c>
      <c r="P36" s="711">
        <f>Bilans_E_AMS_Kyoto_run3_MTE!T149+Bilans_E_AMS_Kyoto_run3_MTE!U149</f>
        <v>39.362218333333338</v>
      </c>
      <c r="Q36" s="711">
        <f>Bilans_E_AMS_Kyoto_run3_MTE!V149</f>
        <v>2.3811032385222219</v>
      </c>
      <c r="R36" s="711">
        <f>Bilans_E_AMS_Kyoto_run3_MTE!W149</f>
        <v>155.70090902270002</v>
      </c>
      <c r="S36" s="711">
        <f>Bilans_E_AMS_Kyoto_run3_MTE!X149</f>
        <v>14.53032638888889</v>
      </c>
      <c r="T36" s="711">
        <f>Bilans_E_AMS_Kyoto_run3_MTE!Y149</f>
        <v>0</v>
      </c>
      <c r="U36" s="711">
        <f>Bilans_E_AMS_Kyoto_run3_MTE!Z149</f>
        <v>433.22587352053807</v>
      </c>
      <c r="V36" s="701"/>
      <c r="W36" s="701"/>
    </row>
    <row r="37" spans="1:23" x14ac:dyDescent="0.25">
      <c r="A37" s="701" t="s">
        <v>510</v>
      </c>
      <c r="B37" s="701"/>
      <c r="C37" s="717" t="s">
        <v>81</v>
      </c>
      <c r="D37" s="711">
        <f>Bilans_E_AMS_Kyoto_run3_MTE!H150</f>
        <v>0.38187951663999997</v>
      </c>
      <c r="E37" s="711">
        <f>Bilans_E_AMS_Kyoto_run3_MTE!I150</f>
        <v>0</v>
      </c>
      <c r="F37" s="711">
        <f>Bilans_E_AMS_Kyoto_run3_MTE!J150</f>
        <v>24.334721638979133</v>
      </c>
      <c r="G37" s="711">
        <f>Bilans_E_AMS_Kyoto_run3_MTE!K150</f>
        <v>0</v>
      </c>
      <c r="H37" s="711">
        <f>Bilans_E_AMS_Kyoto_run3_MTE!L150</f>
        <v>62.26259302462671</v>
      </c>
      <c r="I37" s="711">
        <f>Bilans_E_AMS_Kyoto_run3_MTE!M150</f>
        <v>0</v>
      </c>
      <c r="J37" s="711">
        <f>Bilans_E_AMS_Kyoto_run3_MTE!N150</f>
        <v>0</v>
      </c>
      <c r="K37" s="711">
        <f>Bilans_E_AMS_Kyoto_run3_MTE!O150</f>
        <v>0</v>
      </c>
      <c r="L37" s="711">
        <f>Bilans_E_AMS_Kyoto_run3_MTE!P150</f>
        <v>3.0398772222222226</v>
      </c>
      <c r="M37" s="711">
        <f>Bilans_E_AMS_Kyoto_run3_MTE!Q150</f>
        <v>3.2413059191745655</v>
      </c>
      <c r="N37" s="711">
        <f>Bilans_E_AMS_Kyoto_run3_MTE!R150</f>
        <v>0</v>
      </c>
      <c r="O37" s="711">
        <f>Bilans_E_AMS_Kyoto_run3_MTE!S150</f>
        <v>2.5666319475955128</v>
      </c>
      <c r="P37" s="711">
        <f>Bilans_E_AMS_Kyoto_run3_MTE!T150+Bilans_E_AMS_Kyoto_run3_MTE!U150</f>
        <v>4.8885494444444442</v>
      </c>
      <c r="Q37" s="711">
        <f>Bilans_E_AMS_Kyoto_run3_MTE!V150</f>
        <v>0.34430494489178276</v>
      </c>
      <c r="R37" s="711">
        <f>Bilans_E_AMS_Kyoto_run3_MTE!W150</f>
        <v>132.93221924988228</v>
      </c>
      <c r="S37" s="711">
        <f>Bilans_E_AMS_Kyoto_run3_MTE!X150</f>
        <v>9.7167455555555549</v>
      </c>
      <c r="T37" s="711">
        <f>Bilans_E_AMS_Kyoto_run3_MTE!Y150</f>
        <v>0</v>
      </c>
      <c r="U37" s="711">
        <f>Bilans_E_AMS_Kyoto_run3_MTE!Z150</f>
        <v>243.70882846401221</v>
      </c>
      <c r="V37" s="701"/>
      <c r="W37" s="701"/>
    </row>
    <row r="38" spans="1:23" x14ac:dyDescent="0.25">
      <c r="A38" s="701" t="s">
        <v>511</v>
      </c>
      <c r="B38" s="701"/>
      <c r="C38" s="717" t="s">
        <v>82</v>
      </c>
      <c r="D38" s="711">
        <f>Bilans_E_AMS_Kyoto_run3_MTE!H151</f>
        <v>1.9208852320000001E-2</v>
      </c>
      <c r="E38" s="711">
        <f>Bilans_E_AMS_Kyoto_run3_MTE!I151</f>
        <v>0</v>
      </c>
      <c r="F38" s="711">
        <f>Bilans_E_AMS_Kyoto_run3_MTE!J151</f>
        <v>39.034317458267438</v>
      </c>
      <c r="G38" s="711">
        <f>Bilans_E_AMS_Kyoto_run3_MTE!K151</f>
        <v>0</v>
      </c>
      <c r="H38" s="711">
        <f>Bilans_E_AMS_Kyoto_run3_MTE!L151</f>
        <v>1.9218747169511943</v>
      </c>
      <c r="I38" s="711">
        <f>Bilans_E_AMS_Kyoto_run3_MTE!M151</f>
        <v>0</v>
      </c>
      <c r="J38" s="711">
        <f>Bilans_E_AMS_Kyoto_run3_MTE!N151</f>
        <v>0</v>
      </c>
      <c r="K38" s="711">
        <f>Bilans_E_AMS_Kyoto_run3_MTE!O151</f>
        <v>0</v>
      </c>
      <c r="L38" s="711">
        <f>Bilans_E_AMS_Kyoto_run3_MTE!P151</f>
        <v>1.8407267824809543</v>
      </c>
      <c r="M38" s="711">
        <f>Bilans_E_AMS_Kyoto_run3_MTE!Q151</f>
        <v>0</v>
      </c>
      <c r="N38" s="711">
        <f>Bilans_E_AMS_Kyoto_run3_MTE!R151</f>
        <v>2.0636367479060382</v>
      </c>
      <c r="O38" s="711">
        <f>Bilans_E_AMS_Kyoto_run3_MTE!S151</f>
        <v>1.8016780587066257</v>
      </c>
      <c r="P38" s="711">
        <f>Bilans_E_AMS_Kyoto_run3_MTE!T151+Bilans_E_AMS_Kyoto_run3_MTE!U151</f>
        <v>0</v>
      </c>
      <c r="Q38" s="711">
        <f>Bilans_E_AMS_Kyoto_run3_MTE!V151</f>
        <v>0.29211333333333334</v>
      </c>
      <c r="R38" s="711">
        <f>Bilans_E_AMS_Kyoto_run3_MTE!W151</f>
        <v>7.8640694150503041</v>
      </c>
      <c r="S38" s="711">
        <f>Bilans_E_AMS_Kyoto_run3_MTE!X151</f>
        <v>0.2334725</v>
      </c>
      <c r="T38" s="711">
        <f>Bilans_E_AMS_Kyoto_run3_MTE!Y151</f>
        <v>0</v>
      </c>
      <c r="U38" s="711">
        <f>Bilans_E_AMS_Kyoto_run3_MTE!Z151</f>
        <v>55.071097865015886</v>
      </c>
      <c r="V38" s="701"/>
      <c r="W38" s="701"/>
    </row>
    <row r="39" spans="1:23" x14ac:dyDescent="0.25">
      <c r="A39" s="701" t="s">
        <v>512</v>
      </c>
      <c r="B39" s="701"/>
      <c r="C39" s="717" t="s">
        <v>354</v>
      </c>
      <c r="D39" s="711">
        <f>Bilans_E_AMS_Kyoto_run3_MTE!H152</f>
        <v>0</v>
      </c>
      <c r="E39" s="711">
        <f>Bilans_E_AMS_Kyoto_run3_MTE!I152</f>
        <v>0</v>
      </c>
      <c r="F39" s="711">
        <f>Bilans_E_AMS_Kyoto_run3_MTE!J152</f>
        <v>0</v>
      </c>
      <c r="G39" s="711">
        <f>Bilans_E_AMS_Kyoto_run3_MTE!K152</f>
        <v>0</v>
      </c>
      <c r="H39" s="711">
        <f>Bilans_E_AMS_Kyoto_run3_MTE!L152</f>
        <v>0</v>
      </c>
      <c r="I39" s="711">
        <f>Bilans_E_AMS_Kyoto_run3_MTE!M152</f>
        <v>0</v>
      </c>
      <c r="J39" s="711">
        <f>Bilans_E_AMS_Kyoto_run3_MTE!N152</f>
        <v>0</v>
      </c>
      <c r="K39" s="711">
        <f>Bilans_E_AMS_Kyoto_run3_MTE!O152</f>
        <v>0</v>
      </c>
      <c r="L39" s="711">
        <f>Bilans_E_AMS_Kyoto_run3_MTE!P152</f>
        <v>0</v>
      </c>
      <c r="M39" s="711">
        <f>Bilans_E_AMS_Kyoto_run3_MTE!Q152</f>
        <v>0</v>
      </c>
      <c r="N39" s="711">
        <f>Bilans_E_AMS_Kyoto_run3_MTE!R152</f>
        <v>0</v>
      </c>
      <c r="O39" s="711">
        <f>Bilans_E_AMS_Kyoto_run3_MTE!S152</f>
        <v>0</v>
      </c>
      <c r="P39" s="711">
        <f>Bilans_E_AMS_Kyoto_run3_MTE!T152+Bilans_E_AMS_Kyoto_run3_MTE!U152</f>
        <v>0</v>
      </c>
      <c r="Q39" s="711">
        <f>Bilans_E_AMS_Kyoto_run3_MTE!V152</f>
        <v>0</v>
      </c>
      <c r="R39" s="711">
        <f>Bilans_E_AMS_Kyoto_run3_MTE!W152</f>
        <v>0</v>
      </c>
      <c r="S39" s="711">
        <f>Bilans_E_AMS_Kyoto_run3_MTE!X152</f>
        <v>0</v>
      </c>
      <c r="T39" s="711">
        <f>Bilans_E_AMS_Kyoto_run3_MTE!Y152</f>
        <v>0</v>
      </c>
      <c r="U39" s="711">
        <f>Bilans_E_AMS_Kyoto_run3_MTE!Z152</f>
        <v>0</v>
      </c>
      <c r="V39" s="701"/>
      <c r="W39" s="701"/>
    </row>
    <row r="40" spans="1:23" x14ac:dyDescent="0.25">
      <c r="A40" s="701" t="s">
        <v>513</v>
      </c>
      <c r="B40" s="701"/>
      <c r="C40" s="713" t="s">
        <v>83</v>
      </c>
      <c r="D40" s="714">
        <f>Bilans_E_AMS_Kyoto_run3_MTE!H153</f>
        <v>8.0826657924300012</v>
      </c>
      <c r="E40" s="714">
        <f>Bilans_E_AMS_Kyoto_run3_MTE!I153</f>
        <v>0</v>
      </c>
      <c r="F40" s="714">
        <f>Bilans_E_AMS_Kyoto_run3_MTE!J153</f>
        <v>580.8958844308072</v>
      </c>
      <c r="G40" s="714">
        <f>Bilans_E_AMS_Kyoto_run3_MTE!K153</f>
        <v>0</v>
      </c>
      <c r="H40" s="714">
        <f>Bilans_E_AMS_Kyoto_run3_MTE!L153</f>
        <v>282.55138526926942</v>
      </c>
      <c r="I40" s="714">
        <f>Bilans_E_AMS_Kyoto_run3_MTE!M153</f>
        <v>0</v>
      </c>
      <c r="J40" s="714">
        <f>Bilans_E_AMS_Kyoto_run3_MTE!N153</f>
        <v>0</v>
      </c>
      <c r="K40" s="714">
        <f>Bilans_E_AMS_Kyoto_run3_MTE!O153</f>
        <v>0</v>
      </c>
      <c r="L40" s="714">
        <f>Bilans_E_AMS_Kyoto_run3_MTE!P153</f>
        <v>90.090754564273183</v>
      </c>
      <c r="M40" s="714">
        <f>Bilans_E_AMS_Kyoto_run3_MTE!Q153</f>
        <v>7.6524699604900972</v>
      </c>
      <c r="N40" s="714">
        <f>Bilans_E_AMS_Kyoto_run3_MTE!R153</f>
        <v>38.965783085530575</v>
      </c>
      <c r="O40" s="714">
        <f>Bilans_E_AMS_Kyoto_run3_MTE!S153</f>
        <v>8.7944791261041289</v>
      </c>
      <c r="P40" s="714">
        <f>Bilans_E_AMS_Kyoto_run3_MTE!T153+Bilans_E_AMS_Kyoto_run3_MTE!U153</f>
        <v>44.250767777777781</v>
      </c>
      <c r="Q40" s="714">
        <f>Bilans_E_AMS_Kyoto_run3_MTE!V153</f>
        <v>3.0418108725828619</v>
      </c>
      <c r="R40" s="714">
        <f>Bilans_E_AMS_Kyoto_run3_MTE!W153</f>
        <v>414.38116566841722</v>
      </c>
      <c r="S40" s="714">
        <f>Bilans_E_AMS_Kyoto_run3_MTE!X153</f>
        <v>46.326809375889979</v>
      </c>
      <c r="T40" s="714">
        <f>Bilans_E_AMS_Kyoto_run3_MTE!Y153</f>
        <v>0</v>
      </c>
      <c r="U40" s="714">
        <f>Bilans_E_AMS_Kyoto_run3_MTE!Z153</f>
        <v>1525.0339759235724</v>
      </c>
      <c r="V40" s="701"/>
      <c r="W40" s="701"/>
    </row>
    <row r="41" spans="1:23" x14ac:dyDescent="0.25">
      <c r="A41" s="701" t="s">
        <v>514</v>
      </c>
      <c r="B41" s="701"/>
      <c r="C41" s="710" t="s">
        <v>84</v>
      </c>
      <c r="D41" s="711">
        <f>Bilans_E_AMS_Kyoto_run3_MTE!H154</f>
        <v>3.0122638424699995</v>
      </c>
      <c r="E41" s="711">
        <f>Bilans_E_AMS_Kyoto_run3_MTE!I154</f>
        <v>0</v>
      </c>
      <c r="F41" s="711">
        <f>Bilans_E_AMS_Kyoto_run3_MTE!J154</f>
        <v>107.6231430405753</v>
      </c>
      <c r="G41" s="711">
        <f>Bilans_E_AMS_Kyoto_run3_MTE!K154</f>
        <v>0</v>
      </c>
      <c r="H41" s="711">
        <f>Bilans_E_AMS_Kyoto_run3_MTE!L154</f>
        <v>9.983953224619464</v>
      </c>
      <c r="I41" s="711">
        <f>Bilans_E_AMS_Kyoto_run3_MTE!M154</f>
        <v>0</v>
      </c>
      <c r="J41" s="711">
        <f>Bilans_E_AMS_Kyoto_run3_MTE!N154</f>
        <v>0</v>
      </c>
      <c r="K41" s="711">
        <f>Bilans_E_AMS_Kyoto_run3_MTE!O154</f>
        <v>0</v>
      </c>
      <c r="L41" s="711">
        <f>Bilans_E_AMS_Kyoto_run3_MTE!P154</f>
        <v>0</v>
      </c>
      <c r="M41" s="711">
        <f>Bilans_E_AMS_Kyoto_run3_MTE!Q154</f>
        <v>0</v>
      </c>
      <c r="N41" s="711">
        <f>Bilans_E_AMS_Kyoto_run3_MTE!R154</f>
        <v>0</v>
      </c>
      <c r="O41" s="711">
        <f>Bilans_E_AMS_Kyoto_run3_MTE!S154</f>
        <v>0.1614980253805364</v>
      </c>
      <c r="P41" s="711">
        <f>Bilans_E_AMS_Kyoto_run3_MTE!T154+Bilans_E_AMS_Kyoto_run3_MTE!U154</f>
        <v>0</v>
      </c>
      <c r="Q41" s="711">
        <f>Bilans_E_AMS_Kyoto_run3_MTE!V154</f>
        <v>0</v>
      </c>
      <c r="R41" s="711">
        <f>Bilans_E_AMS_Kyoto_run3_MTE!W154</f>
        <v>0</v>
      </c>
      <c r="S41" s="711">
        <f>Bilans_E_AMS_Kyoto_run3_MTE!X154</f>
        <v>0.46611803222029996</v>
      </c>
      <c r="T41" s="711">
        <f>Bilans_E_AMS_Kyoto_run3_MTE!Y154</f>
        <v>0</v>
      </c>
      <c r="U41" s="711">
        <f>Bilans_E_AMS_Kyoto_run3_MTE!Z154</f>
        <v>121.24697616526561</v>
      </c>
      <c r="V41" s="701"/>
      <c r="W41" s="701"/>
    </row>
    <row r="42" spans="1:23" x14ac:dyDescent="0.25">
      <c r="A42" s="701" t="s">
        <v>515</v>
      </c>
      <c r="B42" s="701"/>
      <c r="C42" s="713" t="s">
        <v>85</v>
      </c>
      <c r="D42" s="714">
        <f>Bilans_E_AMS_Kyoto_run3_MTE!H155</f>
        <v>11.094929634900002</v>
      </c>
      <c r="E42" s="714">
        <f>Bilans_E_AMS_Kyoto_run3_MTE!I155</f>
        <v>0</v>
      </c>
      <c r="F42" s="714">
        <f>Bilans_E_AMS_Kyoto_run3_MTE!J155</f>
        <v>688.51902747138251</v>
      </c>
      <c r="G42" s="714">
        <f>Bilans_E_AMS_Kyoto_run3_MTE!K155</f>
        <v>0</v>
      </c>
      <c r="H42" s="714">
        <f>Bilans_E_AMS_Kyoto_run3_MTE!L155</f>
        <v>292.5353384938889</v>
      </c>
      <c r="I42" s="714">
        <f>Bilans_E_AMS_Kyoto_run3_MTE!M155</f>
        <v>0</v>
      </c>
      <c r="J42" s="714">
        <f>Bilans_E_AMS_Kyoto_run3_MTE!N155</f>
        <v>0</v>
      </c>
      <c r="K42" s="714">
        <f>Bilans_E_AMS_Kyoto_run3_MTE!O155</f>
        <v>0</v>
      </c>
      <c r="L42" s="714">
        <f>Bilans_E_AMS_Kyoto_run3_MTE!P155</f>
        <v>90.090754564273183</v>
      </c>
      <c r="M42" s="714">
        <f>Bilans_E_AMS_Kyoto_run3_MTE!Q155</f>
        <v>7.6524699604900972</v>
      </c>
      <c r="N42" s="714">
        <f>Bilans_E_AMS_Kyoto_run3_MTE!R155</f>
        <v>38.965783085530575</v>
      </c>
      <c r="O42" s="714">
        <f>Bilans_E_AMS_Kyoto_run3_MTE!S155</f>
        <v>8.9559771514846656</v>
      </c>
      <c r="P42" s="714">
        <f>Bilans_E_AMS_Kyoto_run3_MTE!T155+Bilans_E_AMS_Kyoto_run3_MTE!U155</f>
        <v>44.250767777777781</v>
      </c>
      <c r="Q42" s="714">
        <f>Bilans_E_AMS_Kyoto_run3_MTE!V155</f>
        <v>3.0418108725828619</v>
      </c>
      <c r="R42" s="714">
        <f>Bilans_E_AMS_Kyoto_run3_MTE!W155</f>
        <v>414.38116566841722</v>
      </c>
      <c r="S42" s="714">
        <f>Bilans_E_AMS_Kyoto_run3_MTE!X155</f>
        <v>46.79292740811028</v>
      </c>
      <c r="T42" s="714">
        <f>Bilans_E_AMS_Kyoto_run3_MTE!Y155</f>
        <v>0</v>
      </c>
      <c r="U42" s="714">
        <f>Bilans_E_AMS_Kyoto_run3_MTE!Z155</f>
        <v>1646.2809520888379</v>
      </c>
      <c r="V42" s="701"/>
      <c r="W42" s="701"/>
    </row>
    <row r="43" spans="1:23" x14ac:dyDescent="0.25">
      <c r="A43" s="701"/>
      <c r="B43" s="701"/>
      <c r="C43" s="701"/>
      <c r="D43" s="701">
        <f>Bilans_E_AMS_Kyoto_run3_MTE!H156</f>
        <v>0</v>
      </c>
      <c r="E43" s="701">
        <f>Bilans_E_AMS_Kyoto_run3_MTE!I156</f>
        <v>0</v>
      </c>
      <c r="F43" s="701">
        <f>Bilans_E_AMS_Kyoto_run3_MTE!J156</f>
        <v>0</v>
      </c>
      <c r="G43" s="701">
        <f>Bilans_E_AMS_Kyoto_run3_MTE!K156</f>
        <v>0</v>
      </c>
      <c r="H43" s="701">
        <f>Bilans_E_AMS_Kyoto_run3_MTE!L156</f>
        <v>0</v>
      </c>
      <c r="I43" s="701">
        <f>Bilans_E_AMS_Kyoto_run3_MTE!M156</f>
        <v>0</v>
      </c>
      <c r="J43" s="701">
        <f>Bilans_E_AMS_Kyoto_run3_MTE!N156</f>
        <v>0</v>
      </c>
      <c r="K43" s="701">
        <f>Bilans_E_AMS_Kyoto_run3_MTE!O156</f>
        <v>0</v>
      </c>
      <c r="L43" s="701">
        <f>Bilans_E_AMS_Kyoto_run3_MTE!P156</f>
        <v>0</v>
      </c>
      <c r="M43" s="701">
        <f>Bilans_E_AMS_Kyoto_run3_MTE!Q156</f>
        <v>0</v>
      </c>
      <c r="N43" s="701">
        <f>Bilans_E_AMS_Kyoto_run3_MTE!R156</f>
        <v>0</v>
      </c>
      <c r="O43" s="701">
        <f>Bilans_E_AMS_Kyoto_run3_MTE!S156</f>
        <v>0</v>
      </c>
      <c r="P43" s="701">
        <f>Bilans_E_AMS_Kyoto_run3_MTE!T156+Bilans_E_AMS_Kyoto_run3_MTE!U156</f>
        <v>0</v>
      </c>
      <c r="Q43" s="701">
        <f>Bilans_E_AMS_Kyoto_run3_MTE!V156</f>
        <v>0</v>
      </c>
      <c r="R43" s="701">
        <f>Bilans_E_AMS_Kyoto_run3_MTE!W156</f>
        <v>0</v>
      </c>
      <c r="S43" s="701">
        <f>Bilans_E_AMS_Kyoto_run3_MTE!X156</f>
        <v>0</v>
      </c>
      <c r="T43" s="701">
        <f>Bilans_E_AMS_Kyoto_run3_MTE!Y156</f>
        <v>0</v>
      </c>
      <c r="U43" s="701">
        <f>Bilans_E_AMS_Kyoto_run3_MTE!Z156</f>
        <v>0</v>
      </c>
      <c r="V43" s="701"/>
      <c r="W43" s="701"/>
    </row>
    <row r="44" spans="1:23" x14ac:dyDescent="0.25">
      <c r="A44" s="701"/>
      <c r="B44" s="701"/>
      <c r="C44" s="701"/>
      <c r="D44" s="701"/>
      <c r="E44" s="701"/>
      <c r="F44" s="701"/>
      <c r="G44" s="701"/>
      <c r="H44" s="701"/>
      <c r="I44" s="701"/>
      <c r="J44" s="701"/>
      <c r="K44" s="701"/>
      <c r="L44" s="701"/>
      <c r="M44" s="701"/>
      <c r="N44" s="701"/>
      <c r="O44" s="701"/>
      <c r="P44" s="701"/>
      <c r="Q44" s="701"/>
      <c r="R44" s="701"/>
      <c r="S44" s="701"/>
      <c r="T44" s="701"/>
      <c r="U44" s="701"/>
      <c r="V44" s="701"/>
      <c r="W44" s="701"/>
    </row>
    <row r="45" spans="1:23" x14ac:dyDescent="0.25">
      <c r="A45" s="707"/>
      <c r="B45" s="707"/>
      <c r="C45" s="708" t="s">
        <v>355</v>
      </c>
      <c r="D45" s="707"/>
      <c r="E45" s="707"/>
      <c r="F45" s="707"/>
      <c r="G45" s="707"/>
      <c r="H45" s="707"/>
      <c r="I45" s="707"/>
      <c r="J45" s="707"/>
      <c r="K45" s="707"/>
      <c r="L45" s="707"/>
      <c r="M45" s="707"/>
      <c r="N45" s="707"/>
      <c r="O45" s="707"/>
      <c r="P45" s="707"/>
      <c r="Q45" s="707"/>
      <c r="R45" s="707"/>
      <c r="S45" s="707"/>
      <c r="T45" s="707"/>
      <c r="U45" s="707"/>
      <c r="V45" s="707"/>
      <c r="W45" s="707"/>
    </row>
    <row r="46" spans="1:23" x14ac:dyDescent="0.25">
      <c r="A46" s="701"/>
      <c r="B46" s="701"/>
      <c r="C46" s="701"/>
      <c r="D46" s="701"/>
      <c r="E46" s="701"/>
      <c r="F46" s="701"/>
      <c r="G46" s="701"/>
      <c r="H46" s="701"/>
      <c r="I46" s="701"/>
      <c r="J46" s="701"/>
      <c r="K46" s="701"/>
      <c r="L46" s="701"/>
      <c r="M46" s="701"/>
      <c r="N46" s="701"/>
      <c r="O46" s="701"/>
      <c r="P46" s="701"/>
      <c r="Q46" s="701"/>
      <c r="R46" s="701"/>
      <c r="S46" s="701"/>
      <c r="T46" s="701"/>
      <c r="U46" s="701"/>
      <c r="V46" s="701"/>
      <c r="W46" s="701"/>
    </row>
    <row r="47" spans="1:23" x14ac:dyDescent="0.25">
      <c r="A47" s="701"/>
      <c r="B47" s="701"/>
      <c r="C47" s="780" t="s">
        <v>128</v>
      </c>
      <c r="D47" s="775" t="s">
        <v>42</v>
      </c>
      <c r="E47" s="775" t="s">
        <v>52</v>
      </c>
      <c r="F47" s="775" t="s">
        <v>53</v>
      </c>
      <c r="G47" s="775" t="s">
        <v>482</v>
      </c>
      <c r="H47" s="775" t="s">
        <v>32</v>
      </c>
      <c r="I47" s="775" t="s">
        <v>483</v>
      </c>
      <c r="J47" s="775" t="s">
        <v>20</v>
      </c>
      <c r="K47" s="775" t="s">
        <v>55</v>
      </c>
      <c r="L47" s="777" t="s">
        <v>56</v>
      </c>
      <c r="M47" s="778"/>
      <c r="N47" s="778"/>
      <c r="O47" s="778"/>
      <c r="P47" s="778"/>
      <c r="Q47" s="779"/>
      <c r="R47" s="775" t="s">
        <v>57</v>
      </c>
      <c r="S47" s="775" t="s">
        <v>58</v>
      </c>
      <c r="T47" s="775" t="s">
        <v>31</v>
      </c>
      <c r="U47" s="775" t="s">
        <v>10</v>
      </c>
      <c r="V47" s="701"/>
      <c r="W47" s="701"/>
    </row>
    <row r="48" spans="1:23" ht="67.5" x14ac:dyDescent="0.25">
      <c r="A48" s="701" t="s">
        <v>486</v>
      </c>
      <c r="B48" s="701"/>
      <c r="C48" s="781"/>
      <c r="D48" s="776"/>
      <c r="E48" s="776"/>
      <c r="F48" s="776"/>
      <c r="G48" s="776"/>
      <c r="H48" s="776"/>
      <c r="I48" s="776"/>
      <c r="J48" s="776"/>
      <c r="K48" s="776"/>
      <c r="L48" s="709" t="s">
        <v>335</v>
      </c>
      <c r="M48" s="709" t="s">
        <v>40</v>
      </c>
      <c r="N48" s="709" t="s">
        <v>343</v>
      </c>
      <c r="O48" s="709" t="s">
        <v>344</v>
      </c>
      <c r="P48" s="719" t="s">
        <v>610</v>
      </c>
      <c r="Q48" s="709" t="s">
        <v>346</v>
      </c>
      <c r="R48" s="776"/>
      <c r="S48" s="776"/>
      <c r="T48" s="776"/>
      <c r="U48" s="776"/>
      <c r="V48" s="701"/>
      <c r="W48" s="701"/>
    </row>
    <row r="49" spans="1:23" x14ac:dyDescent="0.25">
      <c r="A49" s="701" t="s">
        <v>487</v>
      </c>
      <c r="B49" s="701"/>
      <c r="C49" s="710" t="s">
        <v>59</v>
      </c>
      <c r="D49" s="711">
        <f>Bilans_E_AMS_Kyoto_run3_MTE!H162</f>
        <v>0</v>
      </c>
      <c r="E49" s="711">
        <f>Bilans_E_AMS_Kyoto_run3_MTE!I162</f>
        <v>9.6296400000000002</v>
      </c>
      <c r="F49" s="711">
        <f>Bilans_E_AMS_Kyoto_run3_MTE!J162</f>
        <v>0</v>
      </c>
      <c r="G49" s="711">
        <f>Bilans_E_AMS_Kyoto_run3_MTE!K162</f>
        <v>0</v>
      </c>
      <c r="H49" s="711">
        <f>Bilans_E_AMS_Kyoto_run3_MTE!L162</f>
        <v>0.19305800000000004</v>
      </c>
      <c r="I49" s="711">
        <f>Bilans_E_AMS_Kyoto_run3_MTE!M162</f>
        <v>0</v>
      </c>
      <c r="J49" s="711">
        <f>Bilans_E_AMS_Kyoto_run3_MTE!N162</f>
        <v>1140.3030303030305</v>
      </c>
      <c r="K49" s="711">
        <f>Bilans_E_AMS_Kyoto_run3_MTE!O162</f>
        <v>130.20616810165527</v>
      </c>
      <c r="L49" s="711">
        <f>Bilans_E_AMS_Kyoto_run3_MTE!P162</f>
        <v>231.77157453342517</v>
      </c>
      <c r="M49" s="711">
        <f>Bilans_E_AMS_Kyoto_run3_MTE!Q162</f>
        <v>37.305059000918774</v>
      </c>
      <c r="N49" s="711">
        <f>Bilans_E_AMS_Kyoto_run3_MTE!R162</f>
        <v>1.2541050018668516</v>
      </c>
      <c r="O49" s="711">
        <f>Bilans_E_AMS_Kyoto_run3_MTE!S162</f>
        <v>0.16066538698047411</v>
      </c>
      <c r="P49" s="711">
        <f>Bilans_E_AMS_Kyoto_run3_MTE!T162+Bilans_E_AMS_Kyoto_run3_MTE!U162</f>
        <v>67.494138588067926</v>
      </c>
      <c r="Q49" s="711">
        <f>Bilans_E_AMS_Kyoto_run3_MTE!V162</f>
        <v>9.7029989112058512</v>
      </c>
      <c r="R49" s="711">
        <f>Bilans_E_AMS_Kyoto_run3_MTE!W162</f>
        <v>0</v>
      </c>
      <c r="S49" s="711">
        <f>Bilans_E_AMS_Kyoto_run3_MTE!X162</f>
        <v>0</v>
      </c>
      <c r="T49" s="711">
        <f>Bilans_E_AMS_Kyoto_run3_MTE!Y162</f>
        <v>0</v>
      </c>
      <c r="U49" s="711">
        <f>Bilans_E_AMS_Kyoto_run3_MTE!Z162</f>
        <v>1628.020437827151</v>
      </c>
      <c r="V49" s="701"/>
      <c r="W49" s="701"/>
    </row>
    <row r="50" spans="1:23" x14ac:dyDescent="0.25">
      <c r="A50" s="701" t="s">
        <v>488</v>
      </c>
      <c r="B50" s="701"/>
      <c r="C50" s="710" t="s">
        <v>60</v>
      </c>
      <c r="D50" s="712">
        <f>Bilans_E_AMS_Kyoto_run3_MTE!H163</f>
        <v>47.160350476489363</v>
      </c>
      <c r="E50" s="712">
        <f>Bilans_E_AMS_Kyoto_run3_MTE!I163</f>
        <v>451.87886928996238</v>
      </c>
      <c r="F50" s="712">
        <f>Bilans_E_AMS_Kyoto_run3_MTE!J163</f>
        <v>331.32526443206382</v>
      </c>
      <c r="G50" s="712">
        <f>Bilans_E_AMS_Kyoto_run3_MTE!K163</f>
        <v>0</v>
      </c>
      <c r="H50" s="712">
        <f>Bilans_E_AMS_Kyoto_run3_MTE!L163</f>
        <v>378.98816878459513</v>
      </c>
      <c r="I50" s="712">
        <f>Bilans_E_AMS_Kyoto_run3_MTE!M163</f>
        <v>0</v>
      </c>
      <c r="J50" s="712">
        <f>Bilans_E_AMS_Kyoto_run3_MTE!N163</f>
        <v>0</v>
      </c>
      <c r="K50" s="712">
        <f>Bilans_E_AMS_Kyoto_run3_MTE!O163</f>
        <v>0</v>
      </c>
      <c r="L50" s="712">
        <f>Bilans_E_AMS_Kyoto_run3_MTE!P163</f>
        <v>1.7064184013992112</v>
      </c>
      <c r="M50" s="712">
        <f>Bilans_E_AMS_Kyoto_run3_MTE!Q163</f>
        <v>0</v>
      </c>
      <c r="N50" s="712">
        <f>Bilans_E_AMS_Kyoto_run3_MTE!R163</f>
        <v>4.468802584504088</v>
      </c>
      <c r="O50" s="712">
        <f>Bilans_E_AMS_Kyoto_run3_MTE!S163</f>
        <v>0</v>
      </c>
      <c r="P50" s="712">
        <f>Bilans_E_AMS_Kyoto_run3_MTE!T163+Bilans_E_AMS_Kyoto_run3_MTE!U163</f>
        <v>0</v>
      </c>
      <c r="Q50" s="712">
        <f>Bilans_E_AMS_Kyoto_run3_MTE!V163</f>
        <v>0</v>
      </c>
      <c r="R50" s="712">
        <f>Bilans_E_AMS_Kyoto_run3_MTE!W163</f>
        <v>0</v>
      </c>
      <c r="S50" s="712">
        <f>Bilans_E_AMS_Kyoto_run3_MTE!X163</f>
        <v>0</v>
      </c>
      <c r="T50" s="712">
        <f>Bilans_E_AMS_Kyoto_run3_MTE!Y163</f>
        <v>0</v>
      </c>
      <c r="U50" s="712">
        <f>Bilans_E_AMS_Kyoto_run3_MTE!Z163</f>
        <v>1215.5278739690139</v>
      </c>
      <c r="V50" s="701"/>
      <c r="W50" s="701"/>
    </row>
    <row r="51" spans="1:23" x14ac:dyDescent="0.25">
      <c r="A51" s="701" t="s">
        <v>489</v>
      </c>
      <c r="B51" s="701"/>
      <c r="C51" s="710" t="s">
        <v>61</v>
      </c>
      <c r="D51" s="712">
        <f>Bilans_E_AMS_Kyoto_run3_MTE!H164</f>
        <v>0</v>
      </c>
      <c r="E51" s="712">
        <f>Bilans_E_AMS_Kyoto_run3_MTE!I164</f>
        <v>0</v>
      </c>
      <c r="F51" s="712">
        <f>Bilans_E_AMS_Kyoto_run3_MTE!J164</f>
        <v>3.2427923384532278</v>
      </c>
      <c r="G51" s="712">
        <f>Bilans_E_AMS_Kyoto_run3_MTE!K164</f>
        <v>0</v>
      </c>
      <c r="H51" s="712">
        <f>Bilans_E_AMS_Kyoto_run3_MTE!L164</f>
        <v>0</v>
      </c>
      <c r="I51" s="712">
        <f>Bilans_E_AMS_Kyoto_run3_MTE!M164</f>
        <v>0</v>
      </c>
      <c r="J51" s="712">
        <f>Bilans_E_AMS_Kyoto_run3_MTE!N164</f>
        <v>0</v>
      </c>
      <c r="K51" s="712">
        <f>Bilans_E_AMS_Kyoto_run3_MTE!O164</f>
        <v>0</v>
      </c>
      <c r="L51" s="712">
        <f>Bilans_E_AMS_Kyoto_run3_MTE!P164</f>
        <v>-12.38137239347526</v>
      </c>
      <c r="M51" s="712">
        <f>Bilans_E_AMS_Kyoto_run3_MTE!Q164</f>
        <v>0</v>
      </c>
      <c r="N51" s="712">
        <f>Bilans_E_AMS_Kyoto_run3_MTE!R164</f>
        <v>0</v>
      </c>
      <c r="O51" s="712">
        <f>Bilans_E_AMS_Kyoto_run3_MTE!S164</f>
        <v>-0.8245514716811293</v>
      </c>
      <c r="P51" s="712">
        <f>Bilans_E_AMS_Kyoto_run3_MTE!T164+Bilans_E_AMS_Kyoto_run3_MTE!U164</f>
        <v>0</v>
      </c>
      <c r="Q51" s="712">
        <f>Bilans_E_AMS_Kyoto_run3_MTE!V164</f>
        <v>0</v>
      </c>
      <c r="R51" s="712">
        <f>Bilans_E_AMS_Kyoto_run3_MTE!W164</f>
        <v>-75.129808237977386</v>
      </c>
      <c r="S51" s="712">
        <f>Bilans_E_AMS_Kyoto_run3_MTE!X164</f>
        <v>0</v>
      </c>
      <c r="T51" s="712">
        <f>Bilans_E_AMS_Kyoto_run3_MTE!Y164</f>
        <v>0</v>
      </c>
      <c r="U51" s="712">
        <f>Bilans_E_AMS_Kyoto_run3_MTE!Z164</f>
        <v>-85.092939764680551</v>
      </c>
      <c r="V51" s="701"/>
      <c r="W51" s="701"/>
    </row>
    <row r="52" spans="1:23" x14ac:dyDescent="0.25">
      <c r="A52" s="701" t="s">
        <v>490</v>
      </c>
      <c r="B52" s="701"/>
      <c r="C52" s="710" t="s">
        <v>62</v>
      </c>
      <c r="D52" s="711">
        <f>Bilans_E_AMS_Kyoto_run3_MTE!H165</f>
        <v>0</v>
      </c>
      <c r="E52" s="711">
        <f>Bilans_E_AMS_Kyoto_run3_MTE!I165</f>
        <v>0</v>
      </c>
      <c r="F52" s="711">
        <f>Bilans_E_AMS_Kyoto_run3_MTE!J165</f>
        <v>-12.596352093479073</v>
      </c>
      <c r="G52" s="711">
        <f>Bilans_E_AMS_Kyoto_run3_MTE!K165</f>
        <v>0</v>
      </c>
      <c r="H52" s="711">
        <f>Bilans_E_AMS_Kyoto_run3_MTE!L165</f>
        <v>-1.0737730085364068</v>
      </c>
      <c r="I52" s="711">
        <f>Bilans_E_AMS_Kyoto_run3_MTE!M165</f>
        <v>0</v>
      </c>
      <c r="J52" s="711">
        <f>Bilans_E_AMS_Kyoto_run3_MTE!N165</f>
        <v>0</v>
      </c>
      <c r="K52" s="711">
        <f>Bilans_E_AMS_Kyoto_run3_MTE!O165</f>
        <v>0</v>
      </c>
      <c r="L52" s="711">
        <f>Bilans_E_AMS_Kyoto_run3_MTE!P165</f>
        <v>0</v>
      </c>
      <c r="M52" s="711">
        <f>Bilans_E_AMS_Kyoto_run3_MTE!Q165</f>
        <v>0</v>
      </c>
      <c r="N52" s="711">
        <f>Bilans_E_AMS_Kyoto_run3_MTE!R165</f>
        <v>0</v>
      </c>
      <c r="O52" s="711">
        <f>Bilans_E_AMS_Kyoto_run3_MTE!S165</f>
        <v>0</v>
      </c>
      <c r="P52" s="711">
        <f>Bilans_E_AMS_Kyoto_run3_MTE!T165+Bilans_E_AMS_Kyoto_run3_MTE!U165</f>
        <v>0</v>
      </c>
      <c r="Q52" s="711">
        <f>Bilans_E_AMS_Kyoto_run3_MTE!V165</f>
        <v>0</v>
      </c>
      <c r="R52" s="711">
        <f>Bilans_E_AMS_Kyoto_run3_MTE!W165</f>
        <v>0</v>
      </c>
      <c r="S52" s="711">
        <f>Bilans_E_AMS_Kyoto_run3_MTE!X165</f>
        <v>0</v>
      </c>
      <c r="T52" s="711">
        <f>Bilans_E_AMS_Kyoto_run3_MTE!Y165</f>
        <v>0</v>
      </c>
      <c r="U52" s="711">
        <f>Bilans_E_AMS_Kyoto_run3_MTE!Z165</f>
        <v>-13.670125102015479</v>
      </c>
      <c r="V52" s="701"/>
      <c r="W52" s="701"/>
    </row>
    <row r="53" spans="1:23" x14ac:dyDescent="0.25">
      <c r="A53" s="701" t="s">
        <v>491</v>
      </c>
      <c r="B53" s="701"/>
      <c r="C53" s="710" t="s">
        <v>63</v>
      </c>
      <c r="D53" s="711">
        <f>Bilans_E_AMS_Kyoto_run3_MTE!H166</f>
        <v>0</v>
      </c>
      <c r="E53" s="711">
        <f>Bilans_E_AMS_Kyoto_run3_MTE!I166</f>
        <v>0</v>
      </c>
      <c r="F53" s="711">
        <f>Bilans_E_AMS_Kyoto_run3_MTE!J166</f>
        <v>-62.400561722234599</v>
      </c>
      <c r="G53" s="711">
        <f>Bilans_E_AMS_Kyoto_run3_MTE!K166</f>
        <v>0</v>
      </c>
      <c r="H53" s="711">
        <f>Bilans_E_AMS_Kyoto_run3_MTE!L166</f>
        <v>0</v>
      </c>
      <c r="I53" s="711">
        <f>Bilans_E_AMS_Kyoto_run3_MTE!M166</f>
        <v>0</v>
      </c>
      <c r="J53" s="711">
        <f>Bilans_E_AMS_Kyoto_run3_MTE!N166</f>
        <v>0</v>
      </c>
      <c r="K53" s="711">
        <f>Bilans_E_AMS_Kyoto_run3_MTE!O166</f>
        <v>0</v>
      </c>
      <c r="L53" s="711">
        <f>Bilans_E_AMS_Kyoto_run3_MTE!P166</f>
        <v>0</v>
      </c>
      <c r="M53" s="711">
        <f>Bilans_E_AMS_Kyoto_run3_MTE!Q166</f>
        <v>0</v>
      </c>
      <c r="N53" s="711">
        <f>Bilans_E_AMS_Kyoto_run3_MTE!R166</f>
        <v>-0.63296548425477106</v>
      </c>
      <c r="O53" s="711">
        <f>Bilans_E_AMS_Kyoto_run3_MTE!S166</f>
        <v>0</v>
      </c>
      <c r="P53" s="711">
        <f>Bilans_E_AMS_Kyoto_run3_MTE!T166+Bilans_E_AMS_Kyoto_run3_MTE!U166</f>
        <v>0</v>
      </c>
      <c r="Q53" s="711">
        <f>Bilans_E_AMS_Kyoto_run3_MTE!V166</f>
        <v>0</v>
      </c>
      <c r="R53" s="711">
        <f>Bilans_E_AMS_Kyoto_run3_MTE!W166</f>
        <v>0</v>
      </c>
      <c r="S53" s="711">
        <f>Bilans_E_AMS_Kyoto_run3_MTE!X166</f>
        <v>0</v>
      </c>
      <c r="T53" s="711">
        <f>Bilans_E_AMS_Kyoto_run3_MTE!Y166</f>
        <v>0</v>
      </c>
      <c r="U53" s="711">
        <f>Bilans_E_AMS_Kyoto_run3_MTE!Z166</f>
        <v>-63.033527206489367</v>
      </c>
      <c r="V53" s="701"/>
      <c r="W53" s="701"/>
    </row>
    <row r="54" spans="1:23" x14ac:dyDescent="0.25">
      <c r="A54" s="701" t="s">
        <v>492</v>
      </c>
      <c r="B54" s="701"/>
      <c r="C54" s="710" t="s">
        <v>64</v>
      </c>
      <c r="D54" s="712">
        <f>Bilans_E_AMS_Kyoto_run3_MTE!H167</f>
        <v>9.7684723496666986E-2</v>
      </c>
      <c r="E54" s="712">
        <f>Bilans_E_AMS_Kyoto_run3_MTE!I167</f>
        <v>-5.9567697000000003E-2</v>
      </c>
      <c r="F54" s="712">
        <f>Bilans_E_AMS_Kyoto_run3_MTE!J167</f>
        <v>3.8766666666666671E-2</v>
      </c>
      <c r="G54" s="712">
        <f>Bilans_E_AMS_Kyoto_run3_MTE!K167</f>
        <v>0</v>
      </c>
      <c r="H54" s="712">
        <f>Bilans_E_AMS_Kyoto_run3_MTE!L167</f>
        <v>0</v>
      </c>
      <c r="I54" s="712">
        <f>Bilans_E_AMS_Kyoto_run3_MTE!M167</f>
        <v>0</v>
      </c>
      <c r="J54" s="712">
        <f>Bilans_E_AMS_Kyoto_run3_MTE!N167</f>
        <v>0</v>
      </c>
      <c r="K54" s="712">
        <f>Bilans_E_AMS_Kyoto_run3_MTE!O167</f>
        <v>0</v>
      </c>
      <c r="L54" s="712">
        <f>Bilans_E_AMS_Kyoto_run3_MTE!P167</f>
        <v>0</v>
      </c>
      <c r="M54" s="712">
        <f>Bilans_E_AMS_Kyoto_run3_MTE!Q167</f>
        <v>0</v>
      </c>
      <c r="N54" s="712">
        <f>Bilans_E_AMS_Kyoto_run3_MTE!R167</f>
        <v>0</v>
      </c>
      <c r="O54" s="712">
        <f>Bilans_E_AMS_Kyoto_run3_MTE!S167</f>
        <v>0</v>
      </c>
      <c r="P54" s="712">
        <f>Bilans_E_AMS_Kyoto_run3_MTE!T167+Bilans_E_AMS_Kyoto_run3_MTE!U167</f>
        <v>0</v>
      </c>
      <c r="Q54" s="712">
        <f>Bilans_E_AMS_Kyoto_run3_MTE!V167</f>
        <v>0</v>
      </c>
      <c r="R54" s="712">
        <f>Bilans_E_AMS_Kyoto_run3_MTE!W167</f>
        <v>0</v>
      </c>
      <c r="S54" s="712">
        <f>Bilans_E_AMS_Kyoto_run3_MTE!X167</f>
        <v>0</v>
      </c>
      <c r="T54" s="712">
        <f>Bilans_E_AMS_Kyoto_run3_MTE!Y167</f>
        <v>0</v>
      </c>
      <c r="U54" s="712">
        <f>Bilans_E_AMS_Kyoto_run3_MTE!Z167</f>
        <v>7.6883693163333655E-2</v>
      </c>
      <c r="V54" s="701"/>
      <c r="W54" s="701"/>
    </row>
    <row r="55" spans="1:23" x14ac:dyDescent="0.25">
      <c r="A55" s="701" t="s">
        <v>493</v>
      </c>
      <c r="B55" s="701"/>
      <c r="C55" s="713" t="s">
        <v>65</v>
      </c>
      <c r="D55" s="714">
        <f>Bilans_E_AMS_Kyoto_run3_MTE!H168</f>
        <v>47.258035199986033</v>
      </c>
      <c r="E55" s="714">
        <f>Bilans_E_AMS_Kyoto_run3_MTE!I168</f>
        <v>461.4489415929624</v>
      </c>
      <c r="F55" s="714">
        <f>Bilans_E_AMS_Kyoto_run3_MTE!J168</f>
        <v>259.60990962147002</v>
      </c>
      <c r="G55" s="714">
        <f>Bilans_E_AMS_Kyoto_run3_MTE!K168</f>
        <v>0</v>
      </c>
      <c r="H55" s="714">
        <f>Bilans_E_AMS_Kyoto_run3_MTE!L168</f>
        <v>378.10745377605872</v>
      </c>
      <c r="I55" s="714">
        <f>Bilans_E_AMS_Kyoto_run3_MTE!M168</f>
        <v>0</v>
      </c>
      <c r="J55" s="714">
        <f>Bilans_E_AMS_Kyoto_run3_MTE!N168</f>
        <v>1140.3030303030305</v>
      </c>
      <c r="K55" s="714">
        <f>Bilans_E_AMS_Kyoto_run3_MTE!O168</f>
        <v>130.20616810165527</v>
      </c>
      <c r="L55" s="714">
        <f>Bilans_E_AMS_Kyoto_run3_MTE!P168</f>
        <v>221.09662054134913</v>
      </c>
      <c r="M55" s="714">
        <f>Bilans_E_AMS_Kyoto_run3_MTE!Q168</f>
        <v>37.305059000918774</v>
      </c>
      <c r="N55" s="714">
        <f>Bilans_E_AMS_Kyoto_run3_MTE!R168</f>
        <v>5.0899421021161686</v>
      </c>
      <c r="O55" s="714">
        <f>Bilans_E_AMS_Kyoto_run3_MTE!S168</f>
        <v>-0.66388608470065513</v>
      </c>
      <c r="P55" s="714">
        <f>Bilans_E_AMS_Kyoto_run3_MTE!T168+Bilans_E_AMS_Kyoto_run3_MTE!U168</f>
        <v>67.494138588067926</v>
      </c>
      <c r="Q55" s="714">
        <f>Bilans_E_AMS_Kyoto_run3_MTE!V168</f>
        <v>9.7029989112058512</v>
      </c>
      <c r="R55" s="714">
        <f>Bilans_E_AMS_Kyoto_run3_MTE!W168</f>
        <v>-75.129808237977386</v>
      </c>
      <c r="S55" s="714">
        <f>Bilans_E_AMS_Kyoto_run3_MTE!X168</f>
        <v>0</v>
      </c>
      <c r="T55" s="714">
        <f>Bilans_E_AMS_Kyoto_run3_MTE!Y168</f>
        <v>0</v>
      </c>
      <c r="U55" s="714">
        <f>Bilans_E_AMS_Kyoto_run3_MTE!Z168</f>
        <v>2681.8286034161429</v>
      </c>
      <c r="V55" s="701"/>
      <c r="W55" s="701"/>
    </row>
    <row r="56" spans="1:23" x14ac:dyDescent="0.25">
      <c r="A56" s="701"/>
      <c r="B56" s="701"/>
      <c r="C56" s="715"/>
      <c r="D56" s="716"/>
      <c r="E56" s="716"/>
      <c r="F56" s="716"/>
      <c r="G56" s="716"/>
      <c r="H56" s="716"/>
      <c r="I56" s="716"/>
      <c r="J56" s="716"/>
      <c r="K56" s="716"/>
      <c r="L56" s="716"/>
      <c r="M56" s="716"/>
      <c r="N56" s="716"/>
      <c r="O56" s="716"/>
      <c r="P56" s="716">
        <f>Bilans_E_AMS_Kyoto_run3_MTE!T169+Bilans_E_AMS_Kyoto_run3_MTE!U169</f>
        <v>0</v>
      </c>
      <c r="Q56" s="716"/>
      <c r="R56" s="716"/>
      <c r="S56" s="716"/>
      <c r="T56" s="716"/>
      <c r="U56" s="716"/>
      <c r="V56" s="701"/>
      <c r="W56" s="701"/>
    </row>
    <row r="57" spans="1:23" x14ac:dyDescent="0.25">
      <c r="A57" s="701" t="s">
        <v>494</v>
      </c>
      <c r="B57" s="701"/>
      <c r="C57" s="717" t="s">
        <v>67</v>
      </c>
      <c r="D57" s="711">
        <f>Bilans_E_AMS_Kyoto_run3_MTE!H170</f>
        <v>0</v>
      </c>
      <c r="E57" s="711">
        <f>Bilans_E_AMS_Kyoto_run3_MTE!I170</f>
        <v>4.3623690669338813E-2</v>
      </c>
      <c r="F57" s="711">
        <f>Bilans_E_AMS_Kyoto_run3_MTE!J170</f>
        <v>-0.43976848620269193</v>
      </c>
      <c r="G57" s="711">
        <f>Bilans_E_AMS_Kyoto_run3_MTE!K170</f>
        <v>0</v>
      </c>
      <c r="H57" s="711">
        <f>Bilans_E_AMS_Kyoto_run3_MTE!L170</f>
        <v>0</v>
      </c>
      <c r="I57" s="711">
        <f>Bilans_E_AMS_Kyoto_run3_MTE!M170</f>
        <v>0</v>
      </c>
      <c r="J57" s="711">
        <f>Bilans_E_AMS_Kyoto_run3_MTE!N170</f>
        <v>0</v>
      </c>
      <c r="K57" s="711">
        <f>Bilans_E_AMS_Kyoto_run3_MTE!O170</f>
        <v>0</v>
      </c>
      <c r="L57" s="711">
        <f>Bilans_E_AMS_Kyoto_run3_MTE!P170</f>
        <v>0</v>
      </c>
      <c r="M57" s="711">
        <f>Bilans_E_AMS_Kyoto_run3_MTE!Q170</f>
        <v>0</v>
      </c>
      <c r="N57" s="711">
        <f>Bilans_E_AMS_Kyoto_run3_MTE!R170</f>
        <v>0</v>
      </c>
      <c r="O57" s="711">
        <f>Bilans_E_AMS_Kyoto_run3_MTE!S170</f>
        <v>0</v>
      </c>
      <c r="P57" s="711">
        <f>Bilans_E_AMS_Kyoto_run3_MTE!T170+Bilans_E_AMS_Kyoto_run3_MTE!U170</f>
        <v>0</v>
      </c>
      <c r="Q57" s="711">
        <f>Bilans_E_AMS_Kyoto_run3_MTE!V170</f>
        <v>0</v>
      </c>
      <c r="R57" s="711">
        <f>Bilans_E_AMS_Kyoto_run3_MTE!W170</f>
        <v>0.19176325930063415</v>
      </c>
      <c r="S57" s="711">
        <f>Bilans_E_AMS_Kyoto_run3_MTE!X170</f>
        <v>0</v>
      </c>
      <c r="T57" s="711">
        <f>Bilans_E_AMS_Kyoto_run3_MTE!Y170</f>
        <v>0</v>
      </c>
      <c r="U57" s="711">
        <f>Bilans_E_AMS_Kyoto_run3_MTE!Z170</f>
        <v>-0.20438153623271899</v>
      </c>
      <c r="V57" s="701"/>
      <c r="W57" s="701"/>
    </row>
    <row r="58" spans="1:23" x14ac:dyDescent="0.25">
      <c r="A58" s="701" t="s">
        <v>495</v>
      </c>
      <c r="B58" s="701"/>
      <c r="C58" s="717" t="s">
        <v>347</v>
      </c>
      <c r="D58" s="711">
        <f>Bilans_E_AMS_Kyoto_run3_MTE!H171</f>
        <v>9.5913599017962916</v>
      </c>
      <c r="E58" s="711">
        <f>Bilans_E_AMS_Kyoto_run3_MTE!I171</f>
        <v>0</v>
      </c>
      <c r="F58" s="711">
        <f>Bilans_E_AMS_Kyoto_run3_MTE!J171</f>
        <v>8.1133049525470469</v>
      </c>
      <c r="G58" s="711">
        <f>Bilans_E_AMS_Kyoto_run3_MTE!K171</f>
        <v>0</v>
      </c>
      <c r="H58" s="711">
        <f>Bilans_E_AMS_Kyoto_run3_MTE!L171</f>
        <v>56.544852595880776</v>
      </c>
      <c r="I58" s="711">
        <f>Bilans_E_AMS_Kyoto_run3_MTE!M171</f>
        <v>0</v>
      </c>
      <c r="J58" s="711">
        <f>Bilans_E_AMS_Kyoto_run3_MTE!N171</f>
        <v>1140.3030303030305</v>
      </c>
      <c r="K58" s="711">
        <f>Bilans_E_AMS_Kyoto_run3_MTE!O171</f>
        <v>130.20616810165527</v>
      </c>
      <c r="L58" s="711">
        <f>Bilans_E_AMS_Kyoto_run3_MTE!P171</f>
        <v>11.146900070965362</v>
      </c>
      <c r="M58" s="711">
        <f>Bilans_E_AMS_Kyoto_run3_MTE!Q171</f>
        <v>7.9664341186397536</v>
      </c>
      <c r="N58" s="711">
        <f>Bilans_E_AMS_Kyoto_run3_MTE!R171</f>
        <v>3.7008210788065874</v>
      </c>
      <c r="O58" s="711">
        <f>Bilans_E_AMS_Kyoto_run3_MTE!S171</f>
        <v>7.539554687040062</v>
      </c>
      <c r="P58" s="711">
        <f>Bilans_E_AMS_Kyoto_run3_MTE!T171+Bilans_E_AMS_Kyoto_run3_MTE!U171</f>
        <v>0</v>
      </c>
      <c r="Q58" s="711">
        <f>Bilans_E_AMS_Kyoto_run3_MTE!V171</f>
        <v>0.58332819125492874</v>
      </c>
      <c r="R58" s="711">
        <f>Bilans_E_AMS_Kyoto_run3_MTE!W171</f>
        <v>-555.63067239728423</v>
      </c>
      <c r="S58" s="711">
        <f>Bilans_E_AMS_Kyoto_run3_MTE!X171</f>
        <v>0</v>
      </c>
      <c r="T58" s="711">
        <f>Bilans_E_AMS_Kyoto_run3_MTE!Y171</f>
        <v>0</v>
      </c>
      <c r="U58" s="711">
        <f>Bilans_E_AMS_Kyoto_run3_MTE!Z171</f>
        <v>820.06508160433202</v>
      </c>
      <c r="V58" s="701"/>
      <c r="W58" s="701"/>
    </row>
    <row r="59" spans="1:23" x14ac:dyDescent="0.25">
      <c r="A59" s="701" t="s">
        <v>496</v>
      </c>
      <c r="B59" s="701"/>
      <c r="C59" s="717" t="s">
        <v>348</v>
      </c>
      <c r="D59" s="711">
        <f>Bilans_E_AMS_Kyoto_run3_MTE!H172</f>
        <v>0.67844189975224567</v>
      </c>
      <c r="E59" s="711">
        <f>Bilans_E_AMS_Kyoto_run3_MTE!I172</f>
        <v>0</v>
      </c>
      <c r="F59" s="711">
        <f>Bilans_E_AMS_Kyoto_run3_MTE!J172</f>
        <v>2.658988310925126</v>
      </c>
      <c r="G59" s="711">
        <f>Bilans_E_AMS_Kyoto_run3_MTE!K172</f>
        <v>0</v>
      </c>
      <c r="H59" s="711">
        <f>Bilans_E_AMS_Kyoto_run3_MTE!L172</f>
        <v>19.429894179428665</v>
      </c>
      <c r="I59" s="711">
        <f>Bilans_E_AMS_Kyoto_run3_MTE!M172</f>
        <v>0</v>
      </c>
      <c r="J59" s="711">
        <f>Bilans_E_AMS_Kyoto_run3_MTE!N172</f>
        <v>0</v>
      </c>
      <c r="K59" s="711">
        <f>Bilans_E_AMS_Kyoto_run3_MTE!O172</f>
        <v>0</v>
      </c>
      <c r="L59" s="711">
        <f>Bilans_E_AMS_Kyoto_run3_MTE!P172</f>
        <v>18.808573921863989</v>
      </c>
      <c r="M59" s="711">
        <f>Bilans_E_AMS_Kyoto_run3_MTE!Q172</f>
        <v>10.482739098537605</v>
      </c>
      <c r="N59" s="711">
        <f>Bilans_E_AMS_Kyoto_run3_MTE!R172</f>
        <v>0</v>
      </c>
      <c r="O59" s="711">
        <f>Bilans_E_AMS_Kyoto_run3_MTE!S172</f>
        <v>2.9558578730887866</v>
      </c>
      <c r="P59" s="711">
        <f>Bilans_E_AMS_Kyoto_run3_MTE!T172+Bilans_E_AMS_Kyoto_run3_MTE!U172</f>
        <v>1.2517894765449027</v>
      </c>
      <c r="Q59" s="711">
        <f>Bilans_E_AMS_Kyoto_run3_MTE!V172</f>
        <v>3.3768189784020444</v>
      </c>
      <c r="R59" s="711">
        <f>Bilans_E_AMS_Kyoto_run3_MTE!W172</f>
        <v>0</v>
      </c>
      <c r="S59" s="711">
        <f>Bilans_E_AMS_Kyoto_run3_MTE!X172</f>
        <v>-51.828891247443657</v>
      </c>
      <c r="T59" s="711">
        <f>Bilans_E_AMS_Kyoto_run3_MTE!Y172</f>
        <v>0</v>
      </c>
      <c r="U59" s="711">
        <f>Bilans_E_AMS_Kyoto_run3_MTE!Z172</f>
        <v>7.8142124910997097</v>
      </c>
      <c r="V59" s="701"/>
      <c r="W59" s="701"/>
    </row>
    <row r="60" spans="1:23" x14ac:dyDescent="0.25">
      <c r="A60" s="701" t="s">
        <v>497</v>
      </c>
      <c r="B60" s="701"/>
      <c r="C60" s="717" t="s">
        <v>349</v>
      </c>
      <c r="D60" s="711">
        <f>Bilans_E_AMS_Kyoto_run3_MTE!H173</f>
        <v>0</v>
      </c>
      <c r="E60" s="711">
        <f>Bilans_E_AMS_Kyoto_run3_MTE!I173</f>
        <v>0</v>
      </c>
      <c r="F60" s="711">
        <f>Bilans_E_AMS_Kyoto_run3_MTE!J173</f>
        <v>0</v>
      </c>
      <c r="G60" s="711">
        <f>Bilans_E_AMS_Kyoto_run3_MTE!K173</f>
        <v>0</v>
      </c>
      <c r="H60" s="711">
        <f>Bilans_E_AMS_Kyoto_run3_MTE!L173</f>
        <v>0</v>
      </c>
      <c r="I60" s="711">
        <f>Bilans_E_AMS_Kyoto_run3_MTE!M173</f>
        <v>0</v>
      </c>
      <c r="J60" s="711">
        <f>Bilans_E_AMS_Kyoto_run3_MTE!N173</f>
        <v>0</v>
      </c>
      <c r="K60" s="711">
        <f>Bilans_E_AMS_Kyoto_run3_MTE!O173</f>
        <v>0</v>
      </c>
      <c r="L60" s="711">
        <f>Bilans_E_AMS_Kyoto_run3_MTE!P173</f>
        <v>32.511400855810329</v>
      </c>
      <c r="M60" s="711">
        <f>Bilans_E_AMS_Kyoto_run3_MTE!Q173</f>
        <v>7.330340261763121</v>
      </c>
      <c r="N60" s="711">
        <f>Bilans_E_AMS_Kyoto_run3_MTE!R173</f>
        <v>0</v>
      </c>
      <c r="O60" s="711">
        <f>Bilans_E_AMS_Kyoto_run3_MTE!S173</f>
        <v>-19.920870558786724</v>
      </c>
      <c r="P60" s="711">
        <f>Bilans_E_AMS_Kyoto_run3_MTE!T173+Bilans_E_AMS_Kyoto_run3_MTE!U173</f>
        <v>0</v>
      </c>
      <c r="Q60" s="711">
        <f>Bilans_E_AMS_Kyoto_run3_MTE!V173</f>
        <v>0</v>
      </c>
      <c r="R60" s="711">
        <f>Bilans_E_AMS_Kyoto_run3_MTE!W173</f>
        <v>0</v>
      </c>
      <c r="S60" s="711">
        <f>Bilans_E_AMS_Kyoto_run3_MTE!X173</f>
        <v>0</v>
      </c>
      <c r="T60" s="711">
        <f>Bilans_E_AMS_Kyoto_run3_MTE!Y173</f>
        <v>0</v>
      </c>
      <c r="U60" s="711">
        <f>Bilans_E_AMS_Kyoto_run3_MTE!Z173</f>
        <v>19.920870558786724</v>
      </c>
      <c r="V60" s="701"/>
      <c r="W60" s="701"/>
    </row>
    <row r="61" spans="1:23" x14ac:dyDescent="0.25">
      <c r="A61" s="701" t="s">
        <v>498</v>
      </c>
      <c r="B61" s="701"/>
      <c r="C61" s="717" t="s">
        <v>350</v>
      </c>
      <c r="D61" s="711">
        <f>Bilans_E_AMS_Kyoto_run3_MTE!H174</f>
        <v>0</v>
      </c>
      <c r="E61" s="711">
        <f>Bilans_E_AMS_Kyoto_run3_MTE!I174</f>
        <v>0</v>
      </c>
      <c r="F61" s="711">
        <f>Bilans_E_AMS_Kyoto_run3_MTE!J174</f>
        <v>0</v>
      </c>
      <c r="G61" s="711">
        <f>Bilans_E_AMS_Kyoto_run3_MTE!K174</f>
        <v>0</v>
      </c>
      <c r="H61" s="711">
        <f>Bilans_E_AMS_Kyoto_run3_MTE!L174</f>
        <v>0</v>
      </c>
      <c r="I61" s="711">
        <f>Bilans_E_AMS_Kyoto_run3_MTE!M174</f>
        <v>0</v>
      </c>
      <c r="J61" s="711">
        <f>Bilans_E_AMS_Kyoto_run3_MTE!N174</f>
        <v>0</v>
      </c>
      <c r="K61" s="711">
        <f>Bilans_E_AMS_Kyoto_run3_MTE!O174</f>
        <v>0</v>
      </c>
      <c r="L61" s="711">
        <f>Bilans_E_AMS_Kyoto_run3_MTE!P174</f>
        <v>0</v>
      </c>
      <c r="M61" s="711">
        <f>Bilans_E_AMS_Kyoto_run3_MTE!Q174</f>
        <v>0</v>
      </c>
      <c r="N61" s="711">
        <f>Bilans_E_AMS_Kyoto_run3_MTE!R174</f>
        <v>0</v>
      </c>
      <c r="O61" s="711">
        <f>Bilans_E_AMS_Kyoto_run3_MTE!S174</f>
        <v>0</v>
      </c>
      <c r="P61" s="711">
        <f>Bilans_E_AMS_Kyoto_run3_MTE!T174+Bilans_E_AMS_Kyoto_run3_MTE!U174</f>
        <v>0</v>
      </c>
      <c r="Q61" s="711">
        <f>Bilans_E_AMS_Kyoto_run3_MTE!V174</f>
        <v>0</v>
      </c>
      <c r="R61" s="711">
        <f>Bilans_E_AMS_Kyoto_run3_MTE!W174</f>
        <v>0</v>
      </c>
      <c r="S61" s="711">
        <f>Bilans_E_AMS_Kyoto_run3_MTE!X174</f>
        <v>0</v>
      </c>
      <c r="T61" s="711">
        <f>Bilans_E_AMS_Kyoto_run3_MTE!Y174</f>
        <v>0</v>
      </c>
      <c r="U61" s="711">
        <f>Bilans_E_AMS_Kyoto_run3_MTE!Z174</f>
        <v>0</v>
      </c>
      <c r="V61" s="701"/>
      <c r="W61" s="701"/>
    </row>
    <row r="62" spans="1:23" x14ac:dyDescent="0.25">
      <c r="A62" s="701" t="s">
        <v>499</v>
      </c>
      <c r="B62" s="701"/>
      <c r="C62" s="717" t="s">
        <v>72</v>
      </c>
      <c r="D62" s="711">
        <f>Bilans_E_AMS_Kyoto_run3_MTE!H175</f>
        <v>0</v>
      </c>
      <c r="E62" s="711">
        <f>Bilans_E_AMS_Kyoto_run3_MTE!I175</f>
        <v>478.25354833804903</v>
      </c>
      <c r="F62" s="711">
        <f>Bilans_E_AMS_Kyoto_run3_MTE!J175</f>
        <v>-473.49866967284896</v>
      </c>
      <c r="G62" s="711">
        <f>Bilans_E_AMS_Kyoto_run3_MTE!K175</f>
        <v>0</v>
      </c>
      <c r="H62" s="711">
        <f>Bilans_E_AMS_Kyoto_run3_MTE!L175</f>
        <v>0</v>
      </c>
      <c r="I62" s="711">
        <f>Bilans_E_AMS_Kyoto_run3_MTE!M175</f>
        <v>0</v>
      </c>
      <c r="J62" s="711">
        <f>Bilans_E_AMS_Kyoto_run3_MTE!N175</f>
        <v>0</v>
      </c>
      <c r="K62" s="711">
        <f>Bilans_E_AMS_Kyoto_run3_MTE!O175</f>
        <v>0</v>
      </c>
      <c r="L62" s="711">
        <f>Bilans_E_AMS_Kyoto_run3_MTE!P175</f>
        <v>0</v>
      </c>
      <c r="M62" s="711">
        <f>Bilans_E_AMS_Kyoto_run3_MTE!Q175</f>
        <v>0</v>
      </c>
      <c r="N62" s="711">
        <f>Bilans_E_AMS_Kyoto_run3_MTE!R175</f>
        <v>0</v>
      </c>
      <c r="O62" s="711">
        <f>Bilans_E_AMS_Kyoto_run3_MTE!S175</f>
        <v>0</v>
      </c>
      <c r="P62" s="711">
        <f>Bilans_E_AMS_Kyoto_run3_MTE!T175+Bilans_E_AMS_Kyoto_run3_MTE!U175</f>
        <v>0</v>
      </c>
      <c r="Q62" s="711">
        <f>Bilans_E_AMS_Kyoto_run3_MTE!V175</f>
        <v>0</v>
      </c>
      <c r="R62" s="711">
        <f>Bilans_E_AMS_Kyoto_run3_MTE!W175</f>
        <v>0</v>
      </c>
      <c r="S62" s="711">
        <f>Bilans_E_AMS_Kyoto_run3_MTE!X175</f>
        <v>0</v>
      </c>
      <c r="T62" s="711">
        <f>Bilans_E_AMS_Kyoto_run3_MTE!Y175</f>
        <v>0</v>
      </c>
      <c r="U62" s="711">
        <f>Bilans_E_AMS_Kyoto_run3_MTE!Z175</f>
        <v>4.7548786652000672</v>
      </c>
      <c r="V62" s="701"/>
      <c r="W62" s="701"/>
    </row>
    <row r="63" spans="1:23" x14ac:dyDescent="0.25">
      <c r="A63" s="701" t="s">
        <v>500</v>
      </c>
      <c r="B63" s="701"/>
      <c r="C63" s="717" t="s">
        <v>351</v>
      </c>
      <c r="D63" s="711">
        <f>Bilans_E_AMS_Kyoto_run3_MTE!H176</f>
        <v>0</v>
      </c>
      <c r="E63" s="711">
        <f>Bilans_E_AMS_Kyoto_run3_MTE!I176</f>
        <v>0</v>
      </c>
      <c r="F63" s="711">
        <f>Bilans_E_AMS_Kyoto_run3_MTE!J176</f>
        <v>0</v>
      </c>
      <c r="G63" s="711">
        <f>Bilans_E_AMS_Kyoto_run3_MTE!K176</f>
        <v>0</v>
      </c>
      <c r="H63" s="711">
        <f>Bilans_E_AMS_Kyoto_run3_MTE!L176</f>
        <v>0</v>
      </c>
      <c r="I63" s="711">
        <f>Bilans_E_AMS_Kyoto_run3_MTE!M176</f>
        <v>0</v>
      </c>
      <c r="J63" s="711">
        <f>Bilans_E_AMS_Kyoto_run3_MTE!N176</f>
        <v>0</v>
      </c>
      <c r="K63" s="711">
        <f>Bilans_E_AMS_Kyoto_run3_MTE!O176</f>
        <v>0</v>
      </c>
      <c r="L63" s="711">
        <f>Bilans_E_AMS_Kyoto_run3_MTE!P176</f>
        <v>58.184329601780206</v>
      </c>
      <c r="M63" s="711">
        <f>Bilans_E_AMS_Kyoto_run3_MTE!Q176</f>
        <v>7.2727272727272725</v>
      </c>
      <c r="N63" s="711">
        <f>Bilans_E_AMS_Kyoto_run3_MTE!R176</f>
        <v>-38.183199462797297</v>
      </c>
      <c r="O63" s="711">
        <f>Bilans_E_AMS_Kyoto_run3_MTE!S176</f>
        <v>0</v>
      </c>
      <c r="P63" s="711">
        <f>Bilans_E_AMS_Kyoto_run3_MTE!T176+Bilans_E_AMS_Kyoto_run3_MTE!U176</f>
        <v>0</v>
      </c>
      <c r="Q63" s="711">
        <f>Bilans_E_AMS_Kyoto_run3_MTE!V176</f>
        <v>0</v>
      </c>
      <c r="R63" s="711">
        <f>Bilans_E_AMS_Kyoto_run3_MTE!W176</f>
        <v>0</v>
      </c>
      <c r="S63" s="711">
        <f>Bilans_E_AMS_Kyoto_run3_MTE!X176</f>
        <v>0</v>
      </c>
      <c r="T63" s="711">
        <f>Bilans_E_AMS_Kyoto_run3_MTE!Y176</f>
        <v>0</v>
      </c>
      <c r="U63" s="711">
        <f>Bilans_E_AMS_Kyoto_run3_MTE!Z176</f>
        <v>27.273857411710175</v>
      </c>
      <c r="V63" s="701"/>
      <c r="W63" s="701"/>
    </row>
    <row r="64" spans="1:23" x14ac:dyDescent="0.25">
      <c r="A64" s="701" t="s">
        <v>501</v>
      </c>
      <c r="B64" s="701"/>
      <c r="C64" s="717" t="s">
        <v>352</v>
      </c>
      <c r="D64" s="711">
        <f>Bilans_E_AMS_Kyoto_run3_MTE!H177</f>
        <v>0</v>
      </c>
      <c r="E64" s="711">
        <f>Bilans_E_AMS_Kyoto_run3_MTE!I177</f>
        <v>0</v>
      </c>
      <c r="F64" s="711">
        <f>Bilans_E_AMS_Kyoto_run3_MTE!J177</f>
        <v>0</v>
      </c>
      <c r="G64" s="711">
        <f>Bilans_E_AMS_Kyoto_run3_MTE!K177</f>
        <v>0</v>
      </c>
      <c r="H64" s="711">
        <f>Bilans_E_AMS_Kyoto_run3_MTE!L177</f>
        <v>0</v>
      </c>
      <c r="I64" s="711">
        <f>Bilans_E_AMS_Kyoto_run3_MTE!M177</f>
        <v>0</v>
      </c>
      <c r="J64" s="711">
        <f>Bilans_E_AMS_Kyoto_run3_MTE!N177</f>
        <v>0</v>
      </c>
      <c r="K64" s="711">
        <f>Bilans_E_AMS_Kyoto_run3_MTE!O177</f>
        <v>0</v>
      </c>
      <c r="L64" s="711">
        <f>Bilans_E_AMS_Kyoto_run3_MTE!P177</f>
        <v>0</v>
      </c>
      <c r="M64" s="711">
        <f>Bilans_E_AMS_Kyoto_run3_MTE!Q177</f>
        <v>0</v>
      </c>
      <c r="N64" s="711">
        <f>Bilans_E_AMS_Kyoto_run3_MTE!R177</f>
        <v>0</v>
      </c>
      <c r="O64" s="711">
        <f>Bilans_E_AMS_Kyoto_run3_MTE!S177</f>
        <v>0</v>
      </c>
      <c r="P64" s="711">
        <f>Bilans_E_AMS_Kyoto_run3_MTE!T177+Bilans_E_AMS_Kyoto_run3_MTE!U177</f>
        <v>0</v>
      </c>
      <c r="Q64" s="711">
        <f>Bilans_E_AMS_Kyoto_run3_MTE!V177</f>
        <v>0</v>
      </c>
      <c r="R64" s="711">
        <f>Bilans_E_AMS_Kyoto_run3_MTE!W177</f>
        <v>0</v>
      </c>
      <c r="S64" s="711">
        <f>Bilans_E_AMS_Kyoto_run3_MTE!X177</f>
        <v>0</v>
      </c>
      <c r="T64" s="711">
        <f>Bilans_E_AMS_Kyoto_run3_MTE!Y177</f>
        <v>0</v>
      </c>
      <c r="U64" s="711">
        <f>Bilans_E_AMS_Kyoto_run3_MTE!Z177</f>
        <v>0</v>
      </c>
      <c r="V64" s="701"/>
      <c r="W64" s="701"/>
    </row>
    <row r="65" spans="1:23" x14ac:dyDescent="0.25">
      <c r="A65" s="701" t="s">
        <v>502</v>
      </c>
      <c r="B65" s="701"/>
      <c r="C65" s="717" t="s">
        <v>73</v>
      </c>
      <c r="D65" s="711">
        <f>Bilans_E_AMS_Kyoto_run3_MTE!H178</f>
        <v>0</v>
      </c>
      <c r="E65" s="711">
        <f>Bilans_E_AMS_Kyoto_run3_MTE!I178</f>
        <v>0</v>
      </c>
      <c r="F65" s="711">
        <f>Bilans_E_AMS_Kyoto_run3_MTE!J178</f>
        <v>0</v>
      </c>
      <c r="G65" s="711">
        <f>Bilans_E_AMS_Kyoto_run3_MTE!K178</f>
        <v>0</v>
      </c>
      <c r="H65" s="711">
        <f>Bilans_E_AMS_Kyoto_run3_MTE!L178</f>
        <v>0</v>
      </c>
      <c r="I65" s="711">
        <f>Bilans_E_AMS_Kyoto_run3_MTE!M178</f>
        <v>0</v>
      </c>
      <c r="J65" s="711">
        <f>Bilans_E_AMS_Kyoto_run3_MTE!N178</f>
        <v>0</v>
      </c>
      <c r="K65" s="711">
        <f>Bilans_E_AMS_Kyoto_run3_MTE!O178</f>
        <v>0</v>
      </c>
      <c r="L65" s="711">
        <f>Bilans_E_AMS_Kyoto_run3_MTE!P178</f>
        <v>0</v>
      </c>
      <c r="M65" s="711">
        <f>Bilans_E_AMS_Kyoto_run3_MTE!Q178</f>
        <v>0</v>
      </c>
      <c r="N65" s="711">
        <f>Bilans_E_AMS_Kyoto_run3_MTE!R178</f>
        <v>0</v>
      </c>
      <c r="O65" s="711">
        <f>Bilans_E_AMS_Kyoto_run3_MTE!S178</f>
        <v>0</v>
      </c>
      <c r="P65" s="711">
        <f>Bilans_E_AMS_Kyoto_run3_MTE!T178+Bilans_E_AMS_Kyoto_run3_MTE!U178</f>
        <v>0</v>
      </c>
      <c r="Q65" s="711">
        <f>Bilans_E_AMS_Kyoto_run3_MTE!V178</f>
        <v>0</v>
      </c>
      <c r="R65" s="711">
        <f>Bilans_E_AMS_Kyoto_run3_MTE!W178</f>
        <v>0.6333169666013263</v>
      </c>
      <c r="S65" s="711">
        <f>Bilans_E_AMS_Kyoto_run3_MTE!X178</f>
        <v>0</v>
      </c>
      <c r="T65" s="711">
        <f>Bilans_E_AMS_Kyoto_run3_MTE!Y178</f>
        <v>-0.41165602829086212</v>
      </c>
      <c r="U65" s="711">
        <f>Bilans_E_AMS_Kyoto_run3_MTE!Z178</f>
        <v>0.22166093831046418</v>
      </c>
      <c r="V65" s="701"/>
      <c r="W65" s="701"/>
    </row>
    <row r="66" spans="1:23" x14ac:dyDescent="0.25">
      <c r="A66" s="701" t="s">
        <v>503</v>
      </c>
      <c r="B66" s="701"/>
      <c r="C66" s="717" t="s">
        <v>353</v>
      </c>
      <c r="D66" s="711">
        <f>Bilans_E_AMS_Kyoto_run3_MTE!H179</f>
        <v>22.186039218749997</v>
      </c>
      <c r="E66" s="711">
        <f>Bilans_E_AMS_Kyoto_run3_MTE!I179</f>
        <v>-16.848187530076672</v>
      </c>
      <c r="F66" s="711">
        <f>Bilans_E_AMS_Kyoto_run3_MTE!J179</f>
        <v>22.099560730399304</v>
      </c>
      <c r="G66" s="711">
        <f>Bilans_E_AMS_Kyoto_run3_MTE!K179</f>
        <v>0</v>
      </c>
      <c r="H66" s="711">
        <f>Bilans_E_AMS_Kyoto_run3_MTE!L179</f>
        <v>0</v>
      </c>
      <c r="I66" s="711">
        <f>Bilans_E_AMS_Kyoto_run3_MTE!M179</f>
        <v>0</v>
      </c>
      <c r="J66" s="711">
        <f>Bilans_E_AMS_Kyoto_run3_MTE!N179</f>
        <v>0</v>
      </c>
      <c r="K66" s="711">
        <f>Bilans_E_AMS_Kyoto_run3_MTE!O179</f>
        <v>0</v>
      </c>
      <c r="L66" s="711">
        <f>Bilans_E_AMS_Kyoto_run3_MTE!P179</f>
        <v>0</v>
      </c>
      <c r="M66" s="711">
        <f>Bilans_E_AMS_Kyoto_run3_MTE!Q179</f>
        <v>0</v>
      </c>
      <c r="N66" s="711">
        <f>Bilans_E_AMS_Kyoto_run3_MTE!R179</f>
        <v>0</v>
      </c>
      <c r="O66" s="711">
        <f>Bilans_E_AMS_Kyoto_run3_MTE!S179</f>
        <v>0</v>
      </c>
      <c r="P66" s="711">
        <f>Bilans_E_AMS_Kyoto_run3_MTE!T179+Bilans_E_AMS_Kyoto_run3_MTE!U179</f>
        <v>0</v>
      </c>
      <c r="Q66" s="711">
        <f>Bilans_E_AMS_Kyoto_run3_MTE!V179</f>
        <v>0</v>
      </c>
      <c r="R66" s="711">
        <f>Bilans_E_AMS_Kyoto_run3_MTE!W179</f>
        <v>0</v>
      </c>
      <c r="S66" s="711">
        <f>Bilans_E_AMS_Kyoto_run3_MTE!X179</f>
        <v>0</v>
      </c>
      <c r="T66" s="711">
        <f>Bilans_E_AMS_Kyoto_run3_MTE!Y179</f>
        <v>0</v>
      </c>
      <c r="U66" s="711">
        <f>Bilans_E_AMS_Kyoto_run3_MTE!Z179</f>
        <v>27.437412419072629</v>
      </c>
      <c r="V66" s="701"/>
      <c r="W66" s="701"/>
    </row>
    <row r="67" spans="1:23" x14ac:dyDescent="0.25">
      <c r="A67" s="701" t="s">
        <v>504</v>
      </c>
      <c r="B67" s="701"/>
      <c r="C67" s="717" t="s">
        <v>75</v>
      </c>
      <c r="D67" s="711">
        <f>Bilans_E_AMS_Kyoto_run3_MTE!H180</f>
        <v>8.6279041406250006</v>
      </c>
      <c r="E67" s="711">
        <f>Bilans_E_AMS_Kyoto_run3_MTE!I180</f>
        <v>0</v>
      </c>
      <c r="F67" s="711">
        <f>Bilans_E_AMS_Kyoto_run3_MTE!J180</f>
        <v>16.515643139511226</v>
      </c>
      <c r="G67" s="711">
        <f>Bilans_E_AMS_Kyoto_run3_MTE!K180</f>
        <v>0</v>
      </c>
      <c r="H67" s="711">
        <f>Bilans_E_AMS_Kyoto_run3_MTE!L180</f>
        <v>4.2276573347989057</v>
      </c>
      <c r="I67" s="711">
        <f>Bilans_E_AMS_Kyoto_run3_MTE!M180</f>
        <v>0</v>
      </c>
      <c r="J67" s="711">
        <f>Bilans_E_AMS_Kyoto_run3_MTE!N180</f>
        <v>0</v>
      </c>
      <c r="K67" s="711">
        <f>Bilans_E_AMS_Kyoto_run3_MTE!O180</f>
        <v>0</v>
      </c>
      <c r="L67" s="711">
        <f>Bilans_E_AMS_Kyoto_run3_MTE!P180</f>
        <v>0</v>
      </c>
      <c r="M67" s="711">
        <f>Bilans_E_AMS_Kyoto_run3_MTE!Q180</f>
        <v>0</v>
      </c>
      <c r="N67" s="711">
        <f>Bilans_E_AMS_Kyoto_run3_MTE!R180</f>
        <v>0</v>
      </c>
      <c r="O67" s="711">
        <f>Bilans_E_AMS_Kyoto_run3_MTE!S180</f>
        <v>0.12549883030494347</v>
      </c>
      <c r="P67" s="711">
        <f>Bilans_E_AMS_Kyoto_run3_MTE!T180+Bilans_E_AMS_Kyoto_run3_MTE!U180</f>
        <v>0</v>
      </c>
      <c r="Q67" s="711">
        <f>Bilans_E_AMS_Kyoto_run3_MTE!V180</f>
        <v>0</v>
      </c>
      <c r="R67" s="711">
        <f>Bilans_E_AMS_Kyoto_run3_MTE!W180</f>
        <v>33.231447681695045</v>
      </c>
      <c r="S67" s="711">
        <f>Bilans_E_AMS_Kyoto_run3_MTE!X180</f>
        <v>0</v>
      </c>
      <c r="T67" s="711">
        <f>Bilans_E_AMS_Kyoto_run3_MTE!Y180</f>
        <v>0.33333333333333331</v>
      </c>
      <c r="U67" s="711">
        <f>Bilans_E_AMS_Kyoto_run3_MTE!Z180</f>
        <v>63.061484460268453</v>
      </c>
      <c r="V67" s="701"/>
      <c r="W67" s="701"/>
    </row>
    <row r="68" spans="1:23" x14ac:dyDescent="0.25">
      <c r="A68" s="701" t="s">
        <v>505</v>
      </c>
      <c r="B68" s="701"/>
      <c r="C68" s="717" t="s">
        <v>76</v>
      </c>
      <c r="D68" s="711">
        <f>Bilans_E_AMS_Kyoto_run3_MTE!H181</f>
        <v>0</v>
      </c>
      <c r="E68" s="711">
        <f>Bilans_E_AMS_Kyoto_run3_MTE!I181</f>
        <v>0</v>
      </c>
      <c r="F68" s="711">
        <f>Bilans_E_AMS_Kyoto_run3_MTE!J181</f>
        <v>0</v>
      </c>
      <c r="G68" s="711">
        <f>Bilans_E_AMS_Kyoto_run3_MTE!K181</f>
        <v>0</v>
      </c>
      <c r="H68" s="711">
        <f>Bilans_E_AMS_Kyoto_run3_MTE!L181</f>
        <v>4.4532768259942888</v>
      </c>
      <c r="I68" s="711">
        <f>Bilans_E_AMS_Kyoto_run3_MTE!M181</f>
        <v>0</v>
      </c>
      <c r="J68" s="711">
        <f>Bilans_E_AMS_Kyoto_run3_MTE!N181</f>
        <v>0</v>
      </c>
      <c r="K68" s="711">
        <f>Bilans_E_AMS_Kyoto_run3_MTE!O181</f>
        <v>0</v>
      </c>
      <c r="L68" s="711">
        <f>Bilans_E_AMS_Kyoto_run3_MTE!P181</f>
        <v>0</v>
      </c>
      <c r="M68" s="711">
        <f>Bilans_E_AMS_Kyoto_run3_MTE!Q181</f>
        <v>0</v>
      </c>
      <c r="N68" s="711">
        <f>Bilans_E_AMS_Kyoto_run3_MTE!R181</f>
        <v>0</v>
      </c>
      <c r="O68" s="711">
        <f>Bilans_E_AMS_Kyoto_run3_MTE!S181</f>
        <v>0.13219638878631548</v>
      </c>
      <c r="P68" s="711">
        <f>Bilans_E_AMS_Kyoto_run3_MTE!T181+Bilans_E_AMS_Kyoto_run3_MTE!U181</f>
        <v>0</v>
      </c>
      <c r="Q68" s="711">
        <f>Bilans_E_AMS_Kyoto_run3_MTE!V181</f>
        <v>0</v>
      </c>
      <c r="R68" s="711">
        <f>Bilans_E_AMS_Kyoto_run3_MTE!W181</f>
        <v>39.294538086384733</v>
      </c>
      <c r="S68" s="711">
        <f>Bilans_E_AMS_Kyoto_run3_MTE!X181</f>
        <v>4.0190531050512117</v>
      </c>
      <c r="T68" s="711">
        <f>Bilans_E_AMS_Kyoto_run3_MTE!Y181</f>
        <v>0</v>
      </c>
      <c r="U68" s="711">
        <f>Bilans_E_AMS_Kyoto_run3_MTE!Z181</f>
        <v>47.899064406216553</v>
      </c>
      <c r="V68" s="701"/>
      <c r="W68" s="701"/>
    </row>
    <row r="69" spans="1:23" x14ac:dyDescent="0.25">
      <c r="A69" s="701" t="s">
        <v>506</v>
      </c>
      <c r="B69" s="701"/>
      <c r="C69" s="713" t="s">
        <v>77</v>
      </c>
      <c r="D69" s="714">
        <f>Bilans_E_AMS_Kyoto_run3_MTE!H182</f>
        <v>41.083745160923534</v>
      </c>
      <c r="E69" s="714">
        <f>Bilans_E_AMS_Kyoto_run3_MTE!I182</f>
        <v>461.44898449864172</v>
      </c>
      <c r="F69" s="714">
        <f>Bilans_E_AMS_Kyoto_run3_MTE!J182</f>
        <v>-424.55094102566898</v>
      </c>
      <c r="G69" s="714">
        <f>Bilans_E_AMS_Kyoto_run3_MTE!K182</f>
        <v>0</v>
      </c>
      <c r="H69" s="714">
        <f>Bilans_E_AMS_Kyoto_run3_MTE!L182</f>
        <v>84.655680936102641</v>
      </c>
      <c r="I69" s="714">
        <f>Bilans_E_AMS_Kyoto_run3_MTE!M182</f>
        <v>0</v>
      </c>
      <c r="J69" s="714">
        <f>Bilans_E_AMS_Kyoto_run3_MTE!N182</f>
        <v>1140.3030303030305</v>
      </c>
      <c r="K69" s="714">
        <f>Bilans_E_AMS_Kyoto_run3_MTE!O182</f>
        <v>130.20616810165527</v>
      </c>
      <c r="L69" s="714">
        <f>Bilans_E_AMS_Kyoto_run3_MTE!P182</f>
        <v>120.65120445041988</v>
      </c>
      <c r="M69" s="714">
        <f>Bilans_E_AMS_Kyoto_run3_MTE!Q182</f>
        <v>33.052240751667753</v>
      </c>
      <c r="N69" s="714">
        <f>Bilans_E_AMS_Kyoto_run3_MTE!R182</f>
        <v>-34.482378383990707</v>
      </c>
      <c r="O69" s="714">
        <f>Bilans_E_AMS_Kyoto_run3_MTE!S182</f>
        <v>-9.1677627795666172</v>
      </c>
      <c r="P69" s="714">
        <f>Bilans_E_AMS_Kyoto_run3_MTE!T182+Bilans_E_AMS_Kyoto_run3_MTE!U182</f>
        <v>1.2517894765449027</v>
      </c>
      <c r="Q69" s="714">
        <f>Bilans_E_AMS_Kyoto_run3_MTE!V182</f>
        <v>3.960147169656973</v>
      </c>
      <c r="R69" s="714">
        <f>Bilans_E_AMS_Kyoto_run3_MTE!W182</f>
        <v>-482.27960640330252</v>
      </c>
      <c r="S69" s="714">
        <f>Bilans_E_AMS_Kyoto_run3_MTE!X182</f>
        <v>-47.809838142392444</v>
      </c>
      <c r="T69" s="714">
        <f>Bilans_E_AMS_Kyoto_run3_MTE!Y182</f>
        <v>-7.8322694957528805E-2</v>
      </c>
      <c r="U69" s="714">
        <f>Bilans_E_AMS_Kyoto_run3_MTE!Z182</f>
        <v>1018.2441414187642</v>
      </c>
      <c r="V69" s="701"/>
      <c r="W69" s="701"/>
    </row>
    <row r="70" spans="1:23" x14ac:dyDescent="0.25">
      <c r="A70" s="701"/>
      <c r="B70" s="701"/>
      <c r="C70" s="715"/>
      <c r="D70" s="716"/>
      <c r="E70" s="716"/>
      <c r="F70" s="716"/>
      <c r="G70" s="716"/>
      <c r="H70" s="716"/>
      <c r="I70" s="716"/>
      <c r="J70" s="716"/>
      <c r="K70" s="716"/>
      <c r="L70" s="716"/>
      <c r="M70" s="716"/>
      <c r="N70" s="716"/>
      <c r="O70" s="716"/>
      <c r="P70" s="716">
        <f>Bilans_E_AMS_Kyoto_run3_MTE!T183+Bilans_E_AMS_Kyoto_run3_MTE!U183</f>
        <v>0</v>
      </c>
      <c r="Q70" s="716"/>
      <c r="R70" s="716"/>
      <c r="S70" s="716"/>
      <c r="T70" s="716"/>
      <c r="U70" s="716"/>
      <c r="V70" s="701"/>
      <c r="W70" s="701"/>
    </row>
    <row r="71" spans="1:23" x14ac:dyDescent="0.25">
      <c r="A71" s="701" t="s">
        <v>507</v>
      </c>
      <c r="B71" s="701"/>
      <c r="C71" s="717" t="s">
        <v>78</v>
      </c>
      <c r="D71" s="711">
        <f>Bilans_E_AMS_Kyoto_run3_MTE!H184</f>
        <v>6.1742900390625</v>
      </c>
      <c r="E71" s="711">
        <f>Bilans_E_AMS_Kyoto_run3_MTE!I184</f>
        <v>0</v>
      </c>
      <c r="F71" s="711">
        <f>Bilans_E_AMS_Kyoto_run3_MTE!J184</f>
        <v>28.594443446449898</v>
      </c>
      <c r="G71" s="711">
        <f>Bilans_E_AMS_Kyoto_run3_MTE!K184</f>
        <v>0</v>
      </c>
      <c r="H71" s="711">
        <f>Bilans_E_AMS_Kyoto_run3_MTE!L184</f>
        <v>99.987618923412043</v>
      </c>
      <c r="I71" s="711">
        <f>Bilans_E_AMS_Kyoto_run3_MTE!M184</f>
        <v>0</v>
      </c>
      <c r="J71" s="711">
        <f>Bilans_E_AMS_Kyoto_run3_MTE!N184</f>
        <v>0</v>
      </c>
      <c r="K71" s="711">
        <f>Bilans_E_AMS_Kyoto_run3_MTE!O184</f>
        <v>0</v>
      </c>
      <c r="L71" s="711">
        <f>Bilans_E_AMS_Kyoto_run3_MTE!P184</f>
        <v>20.013743119160708</v>
      </c>
      <c r="M71" s="711">
        <f>Bilans_E_AMS_Kyoto_run3_MTE!Q184</f>
        <v>4.2427461177010644</v>
      </c>
      <c r="N71" s="711">
        <f>Bilans_E_AMS_Kyoto_run3_MTE!R184</f>
        <v>0.93084916373849025</v>
      </c>
      <c r="O71" s="711">
        <f>Bilans_E_AMS_Kyoto_run3_MTE!S184</f>
        <v>2.990254090280855</v>
      </c>
      <c r="P71" s="711">
        <f>Bilans_E_AMS_Kyoto_run3_MTE!T184+Bilans_E_AMS_Kyoto_run3_MTE!U184</f>
        <v>0</v>
      </c>
      <c r="Q71" s="711">
        <f>Bilans_E_AMS_Kyoto_run3_MTE!V184</f>
        <v>4.5058902280570805E-4</v>
      </c>
      <c r="R71" s="711">
        <f>Bilans_E_AMS_Kyoto_run3_MTE!W184</f>
        <v>103.00128036008387</v>
      </c>
      <c r="S71" s="711">
        <f>Bilans_E_AMS_Kyoto_run3_MTE!X184</f>
        <v>17.635997064742035</v>
      </c>
      <c r="T71" s="711">
        <f>Bilans_E_AMS_Kyoto_run3_MTE!Y184</f>
        <v>0</v>
      </c>
      <c r="U71" s="711">
        <f>Bilans_E_AMS_Kyoto_run3_MTE!Z184</f>
        <v>283.57167291365425</v>
      </c>
      <c r="V71" s="701"/>
      <c r="W71" s="701"/>
    </row>
    <row r="72" spans="1:23" x14ac:dyDescent="0.25">
      <c r="A72" s="701" t="s">
        <v>508</v>
      </c>
      <c r="B72" s="701"/>
      <c r="C72" s="717" t="s">
        <v>79</v>
      </c>
      <c r="D72" s="711">
        <f>Bilans_E_AMS_Kyoto_run3_MTE!H185</f>
        <v>0</v>
      </c>
      <c r="E72" s="711">
        <f>Bilans_E_AMS_Kyoto_run3_MTE!I185</f>
        <v>0</v>
      </c>
      <c r="F72" s="711">
        <f>Bilans_E_AMS_Kyoto_run3_MTE!J185</f>
        <v>450.58645617012593</v>
      </c>
      <c r="G72" s="711">
        <f>Bilans_E_AMS_Kyoto_run3_MTE!K185</f>
        <v>0</v>
      </c>
      <c r="H72" s="711">
        <f>Bilans_E_AMS_Kyoto_run3_MTE!L185</f>
        <v>3.5908114194330008</v>
      </c>
      <c r="I72" s="711">
        <f>Bilans_E_AMS_Kyoto_run3_MTE!M185</f>
        <v>0</v>
      </c>
      <c r="J72" s="711">
        <f>Bilans_E_AMS_Kyoto_run3_MTE!N185</f>
        <v>0</v>
      </c>
      <c r="K72" s="711">
        <f>Bilans_E_AMS_Kyoto_run3_MTE!O185</f>
        <v>0</v>
      </c>
      <c r="L72" s="711">
        <f>Bilans_E_AMS_Kyoto_run3_MTE!P185</f>
        <v>0</v>
      </c>
      <c r="M72" s="711">
        <f>Bilans_E_AMS_Kyoto_run3_MTE!Q185</f>
        <v>0</v>
      </c>
      <c r="N72" s="711">
        <f>Bilans_E_AMS_Kyoto_run3_MTE!R185</f>
        <v>36.211175075619899</v>
      </c>
      <c r="O72" s="711">
        <f>Bilans_E_AMS_Kyoto_run3_MTE!S185</f>
        <v>0.10659393543443622</v>
      </c>
      <c r="P72" s="711">
        <f>Bilans_E_AMS_Kyoto_run3_MTE!T185+Bilans_E_AMS_Kyoto_run3_MTE!U185</f>
        <v>0</v>
      </c>
      <c r="Q72" s="711">
        <f>Bilans_E_AMS_Kyoto_run3_MTE!V185</f>
        <v>0</v>
      </c>
      <c r="R72" s="711">
        <f>Bilans_E_AMS_Kyoto_run3_MTE!W185</f>
        <v>13.447110558006974</v>
      </c>
      <c r="S72" s="711">
        <f>Bilans_E_AMS_Kyoto_run3_MTE!X185</f>
        <v>0</v>
      </c>
      <c r="T72" s="711">
        <f>Bilans_E_AMS_Kyoto_run3_MTE!Y185</f>
        <v>0</v>
      </c>
      <c r="U72" s="711">
        <f>Bilans_E_AMS_Kyoto_run3_MTE!Z185</f>
        <v>503.94214715862023</v>
      </c>
      <c r="V72" s="701"/>
      <c r="W72" s="701"/>
    </row>
    <row r="73" spans="1:23" x14ac:dyDescent="0.25">
      <c r="A73" s="701" t="s">
        <v>509</v>
      </c>
      <c r="B73" s="701"/>
      <c r="C73" s="717" t="s">
        <v>80</v>
      </c>
      <c r="D73" s="711">
        <f>Bilans_E_AMS_Kyoto_run3_MTE!H186</f>
        <v>0</v>
      </c>
      <c r="E73" s="711">
        <f>Bilans_E_AMS_Kyoto_run3_MTE!I186</f>
        <v>0</v>
      </c>
      <c r="F73" s="711">
        <f>Bilans_E_AMS_Kyoto_run3_MTE!J186</f>
        <v>37.989040848618878</v>
      </c>
      <c r="G73" s="711">
        <f>Bilans_E_AMS_Kyoto_run3_MTE!K186</f>
        <v>0</v>
      </c>
      <c r="H73" s="711">
        <f>Bilans_E_AMS_Kyoto_run3_MTE!L186</f>
        <v>110.53870949254768</v>
      </c>
      <c r="I73" s="711">
        <f>Bilans_E_AMS_Kyoto_run3_MTE!M186</f>
        <v>0</v>
      </c>
      <c r="J73" s="711">
        <f>Bilans_E_AMS_Kyoto_run3_MTE!N186</f>
        <v>0</v>
      </c>
      <c r="K73" s="711">
        <f>Bilans_E_AMS_Kyoto_run3_MTE!O186</f>
        <v>0</v>
      </c>
      <c r="L73" s="711">
        <f>Bilans_E_AMS_Kyoto_run3_MTE!P186</f>
        <v>77.649161359941488</v>
      </c>
      <c r="M73" s="711">
        <f>Bilans_E_AMS_Kyoto_run3_MTE!Q186</f>
        <v>0</v>
      </c>
      <c r="N73" s="711">
        <f>Bilans_E_AMS_Kyoto_run3_MTE!R186</f>
        <v>0</v>
      </c>
      <c r="O73" s="711">
        <f>Bilans_E_AMS_Kyoto_run3_MTE!S186</f>
        <v>3.2813630921656869</v>
      </c>
      <c r="P73" s="711">
        <f>Bilans_E_AMS_Kyoto_run3_MTE!T186+Bilans_E_AMS_Kyoto_run3_MTE!U186</f>
        <v>49.821924717249296</v>
      </c>
      <c r="Q73" s="711">
        <f>Bilans_E_AMS_Kyoto_run3_MTE!V186</f>
        <v>2.8618874630600963</v>
      </c>
      <c r="R73" s="711">
        <f>Bilans_E_AMS_Kyoto_run3_MTE!W186</f>
        <v>154.83297768687936</v>
      </c>
      <c r="S73" s="711">
        <f>Bilans_E_AMS_Kyoto_run3_MTE!X186</f>
        <v>16.208688156863516</v>
      </c>
      <c r="T73" s="711">
        <f>Bilans_E_AMS_Kyoto_run3_MTE!Y186</f>
        <v>0</v>
      </c>
      <c r="U73" s="711">
        <f>Bilans_E_AMS_Kyoto_run3_MTE!Z186</f>
        <v>453.18375281732602</v>
      </c>
      <c r="V73" s="701"/>
      <c r="W73" s="701"/>
    </row>
    <row r="74" spans="1:23" x14ac:dyDescent="0.25">
      <c r="A74" s="701" t="s">
        <v>510</v>
      </c>
      <c r="B74" s="701"/>
      <c r="C74" s="717" t="s">
        <v>81</v>
      </c>
      <c r="D74" s="711">
        <f>Bilans_E_AMS_Kyoto_run3_MTE!H187</f>
        <v>0</v>
      </c>
      <c r="E74" s="711">
        <f>Bilans_E_AMS_Kyoto_run3_MTE!I187</f>
        <v>0</v>
      </c>
      <c r="F74" s="711">
        <f>Bilans_E_AMS_Kyoto_run3_MTE!J187</f>
        <v>24.438455541959776</v>
      </c>
      <c r="G74" s="711">
        <f>Bilans_E_AMS_Kyoto_run3_MTE!K187</f>
        <v>0</v>
      </c>
      <c r="H74" s="711">
        <f>Bilans_E_AMS_Kyoto_run3_MTE!L187</f>
        <v>66.269472745102405</v>
      </c>
      <c r="I74" s="711">
        <f>Bilans_E_AMS_Kyoto_run3_MTE!M187</f>
        <v>0</v>
      </c>
      <c r="J74" s="711">
        <f>Bilans_E_AMS_Kyoto_run3_MTE!N187</f>
        <v>0</v>
      </c>
      <c r="K74" s="711">
        <f>Bilans_E_AMS_Kyoto_run3_MTE!O187</f>
        <v>0</v>
      </c>
      <c r="L74" s="711">
        <f>Bilans_E_AMS_Kyoto_run3_MTE!P187</f>
        <v>0.36773887950875994</v>
      </c>
      <c r="M74" s="711">
        <f>Bilans_E_AMS_Kyoto_run3_MTE!Q187</f>
        <v>0</v>
      </c>
      <c r="N74" s="711">
        <f>Bilans_E_AMS_Kyoto_run3_MTE!R187</f>
        <v>0</v>
      </c>
      <c r="O74" s="711">
        <f>Bilans_E_AMS_Kyoto_run3_MTE!S187</f>
        <v>1.9672221885105263</v>
      </c>
      <c r="P74" s="711">
        <f>Bilans_E_AMS_Kyoto_run3_MTE!T187+Bilans_E_AMS_Kyoto_run3_MTE!U187</f>
        <v>16.270424394273732</v>
      </c>
      <c r="Q74" s="711">
        <f>Bilans_E_AMS_Kyoto_run3_MTE!V187</f>
        <v>2.6256616796676382</v>
      </c>
      <c r="R74" s="711">
        <f>Bilans_E_AMS_Kyoto_run3_MTE!W187</f>
        <v>127.47303589741009</v>
      </c>
      <c r="S74" s="711">
        <f>Bilans_E_AMS_Kyoto_run3_MTE!X187</f>
        <v>13.96515292078689</v>
      </c>
      <c r="T74" s="711">
        <f>Bilans_E_AMS_Kyoto_run3_MTE!Y187</f>
        <v>0</v>
      </c>
      <c r="U74" s="711">
        <f>Bilans_E_AMS_Kyoto_run3_MTE!Z187</f>
        <v>253.37716424721984</v>
      </c>
      <c r="V74" s="701"/>
      <c r="W74" s="701"/>
    </row>
    <row r="75" spans="1:23" x14ac:dyDescent="0.25">
      <c r="A75" s="701" t="s">
        <v>511</v>
      </c>
      <c r="B75" s="701"/>
      <c r="C75" s="717" t="s">
        <v>82</v>
      </c>
      <c r="D75" s="711">
        <f>Bilans_E_AMS_Kyoto_run3_MTE!H188</f>
        <v>0</v>
      </c>
      <c r="E75" s="711">
        <f>Bilans_E_AMS_Kyoto_run3_MTE!I188</f>
        <v>0</v>
      </c>
      <c r="F75" s="711">
        <f>Bilans_E_AMS_Kyoto_run3_MTE!J188</f>
        <v>36.976399437991013</v>
      </c>
      <c r="G75" s="711">
        <f>Bilans_E_AMS_Kyoto_run3_MTE!K188</f>
        <v>0</v>
      </c>
      <c r="H75" s="711">
        <f>Bilans_E_AMS_Kyoto_run3_MTE!L188</f>
        <v>2.5696285094610212</v>
      </c>
      <c r="I75" s="711">
        <f>Bilans_E_AMS_Kyoto_run3_MTE!M188</f>
        <v>0</v>
      </c>
      <c r="J75" s="711">
        <f>Bilans_E_AMS_Kyoto_run3_MTE!N188</f>
        <v>0</v>
      </c>
      <c r="K75" s="711">
        <f>Bilans_E_AMS_Kyoto_run3_MTE!O188</f>
        <v>0</v>
      </c>
      <c r="L75" s="711">
        <f>Bilans_E_AMS_Kyoto_run3_MTE!P188</f>
        <v>2.3925466209960313</v>
      </c>
      <c r="M75" s="711">
        <f>Bilans_E_AMS_Kyoto_run3_MTE!Q188</f>
        <v>0</v>
      </c>
      <c r="N75" s="711">
        <f>Bilans_E_AMS_Kyoto_run3_MTE!R188</f>
        <v>2.3864124631637864</v>
      </c>
      <c r="O75" s="711">
        <f>Bilans_E_AMS_Kyoto_run3_MTE!S188</f>
        <v>7.6279922121676155E-2</v>
      </c>
      <c r="P75" s="711">
        <f>Bilans_E_AMS_Kyoto_run3_MTE!T188+Bilans_E_AMS_Kyoto_run3_MTE!U188</f>
        <v>0.15</v>
      </c>
      <c r="Q75" s="711">
        <f>Bilans_E_AMS_Kyoto_run3_MTE!V188</f>
        <v>0.25485200979833694</v>
      </c>
      <c r="R75" s="711">
        <f>Bilans_E_AMS_Kyoto_run3_MTE!W188</f>
        <v>8.3953936629447945</v>
      </c>
      <c r="S75" s="711">
        <f>Bilans_E_AMS_Kyoto_run3_MTE!X188</f>
        <v>0</v>
      </c>
      <c r="T75" s="711">
        <f>Bilans_E_AMS_Kyoto_run3_MTE!Y188</f>
        <v>7.2251431107793529E-2</v>
      </c>
      <c r="U75" s="711">
        <f>Bilans_E_AMS_Kyoto_run3_MTE!Z188</f>
        <v>53.273764057584451</v>
      </c>
      <c r="V75" s="701"/>
      <c r="W75" s="701"/>
    </row>
    <row r="76" spans="1:23" x14ac:dyDescent="0.25">
      <c r="A76" s="701" t="s">
        <v>512</v>
      </c>
      <c r="B76" s="701"/>
      <c r="C76" s="717" t="s">
        <v>354</v>
      </c>
      <c r="D76" s="711">
        <f>Bilans_E_AMS_Kyoto_run3_MTE!H189</f>
        <v>0</v>
      </c>
      <c r="E76" s="711">
        <f>Bilans_E_AMS_Kyoto_run3_MTE!I189</f>
        <v>0</v>
      </c>
      <c r="F76" s="711">
        <f>Bilans_E_AMS_Kyoto_run3_MTE!J189</f>
        <v>0</v>
      </c>
      <c r="G76" s="711">
        <f>Bilans_E_AMS_Kyoto_run3_MTE!K189</f>
        <v>0</v>
      </c>
      <c r="H76" s="711">
        <f>Bilans_E_AMS_Kyoto_run3_MTE!L189</f>
        <v>0</v>
      </c>
      <c r="I76" s="711">
        <f>Bilans_E_AMS_Kyoto_run3_MTE!M189</f>
        <v>0</v>
      </c>
      <c r="J76" s="711">
        <f>Bilans_E_AMS_Kyoto_run3_MTE!N189</f>
        <v>0</v>
      </c>
      <c r="K76" s="711">
        <f>Bilans_E_AMS_Kyoto_run3_MTE!O189</f>
        <v>0</v>
      </c>
      <c r="L76" s="711">
        <f>Bilans_E_AMS_Kyoto_run3_MTE!P189</f>
        <v>0</v>
      </c>
      <c r="M76" s="711">
        <f>Bilans_E_AMS_Kyoto_run3_MTE!Q189</f>
        <v>0</v>
      </c>
      <c r="N76" s="711">
        <f>Bilans_E_AMS_Kyoto_run3_MTE!R189</f>
        <v>0</v>
      </c>
      <c r="O76" s="711">
        <f>Bilans_E_AMS_Kyoto_run3_MTE!S189</f>
        <v>0</v>
      </c>
      <c r="P76" s="711">
        <f>Bilans_E_AMS_Kyoto_run3_MTE!T189+Bilans_E_AMS_Kyoto_run3_MTE!U189</f>
        <v>0</v>
      </c>
      <c r="Q76" s="711">
        <f>Bilans_E_AMS_Kyoto_run3_MTE!V189</f>
        <v>0</v>
      </c>
      <c r="R76" s="711">
        <f>Bilans_E_AMS_Kyoto_run3_MTE!W189</f>
        <v>0</v>
      </c>
      <c r="S76" s="711">
        <f>Bilans_E_AMS_Kyoto_run3_MTE!X189</f>
        <v>0</v>
      </c>
      <c r="T76" s="711">
        <f>Bilans_E_AMS_Kyoto_run3_MTE!Y189</f>
        <v>0</v>
      </c>
      <c r="U76" s="711">
        <f>Bilans_E_AMS_Kyoto_run3_MTE!Z189</f>
        <v>0</v>
      </c>
      <c r="V76" s="701"/>
      <c r="W76" s="701"/>
    </row>
    <row r="77" spans="1:23" x14ac:dyDescent="0.25">
      <c r="A77" s="701" t="s">
        <v>513</v>
      </c>
      <c r="B77" s="701"/>
      <c r="C77" s="713" t="s">
        <v>83</v>
      </c>
      <c r="D77" s="714">
        <f>Bilans_E_AMS_Kyoto_run3_MTE!H190</f>
        <v>6.1742900390625</v>
      </c>
      <c r="E77" s="714">
        <f>Bilans_E_AMS_Kyoto_run3_MTE!I190</f>
        <v>0</v>
      </c>
      <c r="F77" s="714">
        <f>Bilans_E_AMS_Kyoto_run3_MTE!J190</f>
        <v>578.58479544514557</v>
      </c>
      <c r="G77" s="714">
        <f>Bilans_E_AMS_Kyoto_run3_MTE!K190</f>
        <v>0</v>
      </c>
      <c r="H77" s="714">
        <f>Bilans_E_AMS_Kyoto_run3_MTE!L190</f>
        <v>282.95624108995617</v>
      </c>
      <c r="I77" s="714">
        <f>Bilans_E_AMS_Kyoto_run3_MTE!M190</f>
        <v>0</v>
      </c>
      <c r="J77" s="714">
        <f>Bilans_E_AMS_Kyoto_run3_MTE!N190</f>
        <v>0</v>
      </c>
      <c r="K77" s="714">
        <f>Bilans_E_AMS_Kyoto_run3_MTE!O190</f>
        <v>0</v>
      </c>
      <c r="L77" s="714">
        <f>Bilans_E_AMS_Kyoto_run3_MTE!P190</f>
        <v>100.42318997960699</v>
      </c>
      <c r="M77" s="714">
        <f>Bilans_E_AMS_Kyoto_run3_MTE!Q190</f>
        <v>4.2427461177010644</v>
      </c>
      <c r="N77" s="714">
        <f>Bilans_E_AMS_Kyoto_run3_MTE!R190</f>
        <v>39.528436702522178</v>
      </c>
      <c r="O77" s="714">
        <f>Bilans_E_AMS_Kyoto_run3_MTE!S190</f>
        <v>8.4217132285131804</v>
      </c>
      <c r="P77" s="714">
        <f>Bilans_E_AMS_Kyoto_run3_MTE!T190+Bilans_E_AMS_Kyoto_run3_MTE!U190</f>
        <v>66.242349111523026</v>
      </c>
      <c r="Q77" s="714">
        <f>Bilans_E_AMS_Kyoto_run3_MTE!V190</f>
        <v>5.7428517415488773</v>
      </c>
      <c r="R77" s="714">
        <f>Bilans_E_AMS_Kyoto_run3_MTE!W190</f>
        <v>407.14979816532514</v>
      </c>
      <c r="S77" s="714">
        <f>Bilans_E_AMS_Kyoto_run3_MTE!X190</f>
        <v>47.809838142392444</v>
      </c>
      <c r="T77" s="714">
        <f>Bilans_E_AMS_Kyoto_run3_MTE!Y190</f>
        <v>7.2251431107793529E-2</v>
      </c>
      <c r="U77" s="714">
        <f>Bilans_E_AMS_Kyoto_run3_MTE!Z190</f>
        <v>1547.3485011944047</v>
      </c>
      <c r="V77" s="701"/>
      <c r="W77" s="701"/>
    </row>
    <row r="78" spans="1:23" x14ac:dyDescent="0.25">
      <c r="A78" s="701" t="s">
        <v>514</v>
      </c>
      <c r="B78" s="701"/>
      <c r="C78" s="710" t="s">
        <v>84</v>
      </c>
      <c r="D78" s="711">
        <f>Bilans_E_AMS_Kyoto_run3_MTE!H191</f>
        <v>0</v>
      </c>
      <c r="E78" s="711">
        <f>Bilans_E_AMS_Kyoto_run3_MTE!I191</f>
        <v>0</v>
      </c>
      <c r="F78" s="711">
        <f>Bilans_E_AMS_Kyoto_run3_MTE!J191</f>
        <v>105.53728853532679</v>
      </c>
      <c r="G78" s="711">
        <f>Bilans_E_AMS_Kyoto_run3_MTE!K191</f>
        <v>0</v>
      </c>
      <c r="H78" s="711">
        <f>Bilans_E_AMS_Kyoto_run3_MTE!L191</f>
        <v>10.495531750000001</v>
      </c>
      <c r="I78" s="711">
        <f>Bilans_E_AMS_Kyoto_run3_MTE!M191</f>
        <v>0</v>
      </c>
      <c r="J78" s="711">
        <f>Bilans_E_AMS_Kyoto_run3_MTE!N191</f>
        <v>0</v>
      </c>
      <c r="K78" s="711">
        <f>Bilans_E_AMS_Kyoto_run3_MTE!O191</f>
        <v>0</v>
      </c>
      <c r="L78" s="711">
        <f>Bilans_E_AMS_Kyoto_run3_MTE!P191</f>
        <v>2.2226111322227553E-2</v>
      </c>
      <c r="M78" s="711">
        <f>Bilans_E_AMS_Kyoto_run3_MTE!Q191</f>
        <v>0</v>
      </c>
      <c r="N78" s="711">
        <f>Bilans_E_AMS_Kyoto_run3_MTE!R191</f>
        <v>4.3883783584696544E-2</v>
      </c>
      <c r="O78" s="711">
        <f>Bilans_E_AMS_Kyoto_run3_MTE!S191</f>
        <v>0</v>
      </c>
      <c r="P78" s="711">
        <f>Bilans_E_AMS_Kyoto_run3_MTE!T191+Bilans_E_AMS_Kyoto_run3_MTE!U191</f>
        <v>0</v>
      </c>
      <c r="Q78" s="711">
        <f>Bilans_E_AMS_Kyoto_run3_MTE!V191</f>
        <v>0</v>
      </c>
      <c r="R78" s="711">
        <f>Bilans_E_AMS_Kyoto_run3_MTE!W191</f>
        <v>0</v>
      </c>
      <c r="S78" s="711">
        <f>Bilans_E_AMS_Kyoto_run3_MTE!X191</f>
        <v>0</v>
      </c>
      <c r="T78" s="711">
        <f>Bilans_E_AMS_Kyoto_run3_MTE!Y191</f>
        <v>6.0712638497352599E-3</v>
      </c>
      <c r="U78" s="711">
        <f>Bilans_E_AMS_Kyoto_run3_MTE!Z191</f>
        <v>116.10500144408344</v>
      </c>
      <c r="V78" s="701"/>
      <c r="W78" s="701"/>
    </row>
    <row r="79" spans="1:23" x14ac:dyDescent="0.25">
      <c r="A79" s="701" t="s">
        <v>515</v>
      </c>
      <c r="B79" s="701"/>
      <c r="C79" s="713" t="s">
        <v>85</v>
      </c>
      <c r="D79" s="714">
        <f>Bilans_E_AMS_Kyoto_run3_MTE!H192</f>
        <v>6.1742900390625</v>
      </c>
      <c r="E79" s="714">
        <f>Bilans_E_AMS_Kyoto_run3_MTE!I192</f>
        <v>0</v>
      </c>
      <c r="F79" s="714">
        <f>Bilans_E_AMS_Kyoto_run3_MTE!J192</f>
        <v>684.12208398047233</v>
      </c>
      <c r="G79" s="714">
        <f>Bilans_E_AMS_Kyoto_run3_MTE!K192</f>
        <v>0</v>
      </c>
      <c r="H79" s="714">
        <f>Bilans_E_AMS_Kyoto_run3_MTE!L192</f>
        <v>293.45177283995616</v>
      </c>
      <c r="I79" s="714">
        <f>Bilans_E_AMS_Kyoto_run3_MTE!M192</f>
        <v>0</v>
      </c>
      <c r="J79" s="714">
        <f>Bilans_E_AMS_Kyoto_run3_MTE!N192</f>
        <v>0</v>
      </c>
      <c r="K79" s="714">
        <f>Bilans_E_AMS_Kyoto_run3_MTE!O192</f>
        <v>0</v>
      </c>
      <c r="L79" s="714">
        <f>Bilans_E_AMS_Kyoto_run3_MTE!P192</f>
        <v>100.44541609092921</v>
      </c>
      <c r="M79" s="714">
        <f>Bilans_E_AMS_Kyoto_run3_MTE!Q192</f>
        <v>4.2427461177010644</v>
      </c>
      <c r="N79" s="714">
        <f>Bilans_E_AMS_Kyoto_run3_MTE!R192</f>
        <v>39.572320486106875</v>
      </c>
      <c r="O79" s="714">
        <f>Bilans_E_AMS_Kyoto_run3_MTE!S192</f>
        <v>8.4217132285131804</v>
      </c>
      <c r="P79" s="714">
        <f>Bilans_E_AMS_Kyoto_run3_MTE!T192+Bilans_E_AMS_Kyoto_run3_MTE!U192</f>
        <v>66.242349111523026</v>
      </c>
      <c r="Q79" s="714">
        <f>Bilans_E_AMS_Kyoto_run3_MTE!V192</f>
        <v>5.7428517415488773</v>
      </c>
      <c r="R79" s="714">
        <f>Bilans_E_AMS_Kyoto_run3_MTE!W192</f>
        <v>407.14979816532514</v>
      </c>
      <c r="S79" s="714">
        <f>Bilans_E_AMS_Kyoto_run3_MTE!X192</f>
        <v>47.809838142392444</v>
      </c>
      <c r="T79" s="714">
        <f>Bilans_E_AMS_Kyoto_run3_MTE!Y192</f>
        <v>7.8322694957528791E-2</v>
      </c>
      <c r="U79" s="714">
        <f>Bilans_E_AMS_Kyoto_run3_MTE!Z192</f>
        <v>1663.4535026384881</v>
      </c>
      <c r="V79" s="701"/>
      <c r="W79" s="701"/>
    </row>
    <row r="80" spans="1:23" x14ac:dyDescent="0.25">
      <c r="A80" s="701"/>
      <c r="B80" s="701"/>
      <c r="C80" s="701"/>
      <c r="D80" s="701">
        <f>Bilans_E_AMS_Kyoto_run3_MTE!H193</f>
        <v>0</v>
      </c>
      <c r="E80" s="701">
        <f>Bilans_E_AMS_Kyoto_run3_MTE!I193</f>
        <v>4.2905679322302603E-5</v>
      </c>
      <c r="F80" s="701">
        <f>Bilans_E_AMS_Kyoto_run3_MTE!J193</f>
        <v>-3.876666666667461E-2</v>
      </c>
      <c r="G80" s="701">
        <f>Bilans_E_AMS_Kyoto_run3_MTE!K193</f>
        <v>0</v>
      </c>
      <c r="H80" s="701">
        <f>Bilans_E_AMS_Kyoto_run3_MTE!L193</f>
        <v>0</v>
      </c>
      <c r="I80" s="701">
        <f>Bilans_E_AMS_Kyoto_run3_MTE!M193</f>
        <v>0</v>
      </c>
      <c r="J80" s="701">
        <f>Bilans_E_AMS_Kyoto_run3_MTE!N193</f>
        <v>0</v>
      </c>
      <c r="K80" s="701">
        <f>Bilans_E_AMS_Kyoto_run3_MTE!O193</f>
        <v>0</v>
      </c>
      <c r="L80" s="701">
        <f>Bilans_E_AMS_Kyoto_run3_MTE!P193</f>
        <v>0</v>
      </c>
      <c r="M80" s="701">
        <f>Bilans_E_AMS_Kyoto_run3_MTE!Q193</f>
        <v>-1.0072131549954122E-2</v>
      </c>
      <c r="N80" s="701">
        <f>Bilans_E_AMS_Kyoto_run3_MTE!R193</f>
        <v>0</v>
      </c>
      <c r="O80" s="701">
        <f>Bilans_E_AMS_Kyoto_run3_MTE!S193</f>
        <v>-8.2163466352781711E-2</v>
      </c>
      <c r="P80" s="701">
        <f>Bilans_E_AMS_Kyoto_run3_MTE!T193+Bilans_E_AMS_Kyoto_run3_MTE!U193</f>
        <v>0</v>
      </c>
      <c r="Q80" s="701">
        <f>Bilans_E_AMS_Kyoto_run3_MTE!V193</f>
        <v>0</v>
      </c>
      <c r="R80" s="701">
        <f>Bilans_E_AMS_Kyoto_run3_MTE!W193</f>
        <v>0</v>
      </c>
      <c r="S80" s="701">
        <f>Bilans_E_AMS_Kyoto_run3_MTE!X193</f>
        <v>0</v>
      </c>
      <c r="T80" s="701">
        <f>Bilans_E_AMS_Kyoto_run3_MTE!Y193</f>
        <v>-1.3877787807814457E-17</v>
      </c>
      <c r="U80" s="701">
        <f>Bilans_E_AMS_Kyoto_run3_MTE!Z193</f>
        <v>-0.13095935889032262</v>
      </c>
      <c r="V80" s="701"/>
      <c r="W80" s="701"/>
    </row>
    <row r="81" spans="1:23" x14ac:dyDescent="0.25">
      <c r="A81" s="701"/>
      <c r="B81" s="701"/>
      <c r="C81" s="701"/>
      <c r="D81" s="701"/>
      <c r="E81" s="701"/>
      <c r="F81" s="701"/>
      <c r="G81" s="701"/>
      <c r="H81" s="701"/>
      <c r="I81" s="701"/>
      <c r="J81" s="701"/>
      <c r="K81" s="701"/>
      <c r="L81" s="701"/>
      <c r="M81" s="701"/>
      <c r="N81" s="701"/>
      <c r="O81" s="701"/>
      <c r="P81" s="701"/>
      <c r="Q81" s="701"/>
      <c r="R81" s="701"/>
      <c r="S81" s="701"/>
      <c r="T81" s="701"/>
      <c r="U81" s="701"/>
      <c r="V81" s="701"/>
      <c r="W81" s="701"/>
    </row>
    <row r="82" spans="1:23" x14ac:dyDescent="0.25">
      <c r="A82" s="707"/>
      <c r="B82" s="707"/>
      <c r="C82" s="708" t="s">
        <v>87</v>
      </c>
      <c r="D82" s="707"/>
      <c r="E82" s="707"/>
      <c r="F82" s="707"/>
      <c r="G82" s="707"/>
      <c r="H82" s="707"/>
      <c r="I82" s="707"/>
      <c r="J82" s="707"/>
      <c r="K82" s="707"/>
      <c r="L82" s="707"/>
      <c r="M82" s="707"/>
      <c r="N82" s="707"/>
      <c r="O82" s="707"/>
      <c r="P82" s="707"/>
      <c r="Q82" s="707"/>
      <c r="R82" s="707"/>
      <c r="S82" s="707"/>
      <c r="T82" s="707"/>
      <c r="U82" s="707"/>
      <c r="V82" s="707"/>
      <c r="W82" s="707"/>
    </row>
    <row r="83" spans="1:23" x14ac:dyDescent="0.25">
      <c r="A83" s="701"/>
      <c r="B83" s="701"/>
      <c r="C83" s="701"/>
      <c r="D83" s="701"/>
      <c r="E83" s="701"/>
      <c r="F83" s="701"/>
      <c r="G83" s="701"/>
      <c r="H83" s="701"/>
      <c r="I83" s="701"/>
      <c r="J83" s="701"/>
      <c r="K83" s="701"/>
      <c r="L83" s="701"/>
      <c r="M83" s="701"/>
      <c r="N83" s="701"/>
      <c r="O83" s="701"/>
      <c r="P83" s="701"/>
      <c r="Q83" s="701"/>
      <c r="R83" s="701"/>
      <c r="S83" s="701"/>
      <c r="T83" s="701"/>
      <c r="U83" s="701"/>
      <c r="V83" s="701"/>
      <c r="W83" s="701"/>
    </row>
    <row r="84" spans="1:23" x14ac:dyDescent="0.25">
      <c r="A84" s="701"/>
      <c r="B84" s="701"/>
      <c r="C84" s="780" t="s">
        <v>128</v>
      </c>
      <c r="D84" s="775" t="s">
        <v>42</v>
      </c>
      <c r="E84" s="775" t="s">
        <v>52</v>
      </c>
      <c r="F84" s="775" t="s">
        <v>53</v>
      </c>
      <c r="G84" s="775" t="s">
        <v>482</v>
      </c>
      <c r="H84" s="775" t="s">
        <v>32</v>
      </c>
      <c r="I84" s="775" t="s">
        <v>483</v>
      </c>
      <c r="J84" s="775" t="s">
        <v>20</v>
      </c>
      <c r="K84" s="775" t="s">
        <v>55</v>
      </c>
      <c r="L84" s="777" t="s">
        <v>56</v>
      </c>
      <c r="M84" s="778"/>
      <c r="N84" s="778"/>
      <c r="O84" s="778"/>
      <c r="P84" s="778"/>
      <c r="Q84" s="779"/>
      <c r="R84" s="775" t="s">
        <v>57</v>
      </c>
      <c r="S84" s="775" t="s">
        <v>58</v>
      </c>
      <c r="T84" s="775" t="s">
        <v>31</v>
      </c>
      <c r="U84" s="775" t="s">
        <v>10</v>
      </c>
      <c r="V84" s="701"/>
      <c r="W84" s="701"/>
    </row>
    <row r="85" spans="1:23" ht="67.5" x14ac:dyDescent="0.25">
      <c r="A85" s="701" t="s">
        <v>486</v>
      </c>
      <c r="B85" s="701"/>
      <c r="C85" s="781"/>
      <c r="D85" s="776"/>
      <c r="E85" s="776"/>
      <c r="F85" s="776"/>
      <c r="G85" s="776"/>
      <c r="H85" s="776"/>
      <c r="I85" s="776"/>
      <c r="J85" s="776"/>
      <c r="K85" s="776"/>
      <c r="L85" s="709" t="s">
        <v>335</v>
      </c>
      <c r="M85" s="709" t="s">
        <v>40</v>
      </c>
      <c r="N85" s="709" t="s">
        <v>343</v>
      </c>
      <c r="O85" s="709" t="s">
        <v>344</v>
      </c>
      <c r="P85" s="719" t="s">
        <v>610</v>
      </c>
      <c r="Q85" s="709" t="s">
        <v>346</v>
      </c>
      <c r="R85" s="776"/>
      <c r="S85" s="776"/>
      <c r="T85" s="776"/>
      <c r="U85" s="776"/>
      <c r="V85" s="701"/>
      <c r="W85" s="701"/>
    </row>
    <row r="86" spans="1:23" x14ac:dyDescent="0.25">
      <c r="A86" s="701" t="s">
        <v>487</v>
      </c>
      <c r="B86" s="701"/>
      <c r="C86" s="710" t="s">
        <v>59</v>
      </c>
      <c r="D86" s="711">
        <f>Bilans_E_AMS_Kyoto_run3_MTE!H199</f>
        <v>0</v>
      </c>
      <c r="E86" s="711">
        <f>Bilans_E_AMS_Kyoto_run3_MTE!I199</f>
        <v>9.5366</v>
      </c>
      <c r="F86" s="711">
        <f>Bilans_E_AMS_Kyoto_run3_MTE!J199</f>
        <v>0</v>
      </c>
      <c r="G86" s="711">
        <f>Bilans_E_AMS_Kyoto_run3_MTE!K199</f>
        <v>0</v>
      </c>
      <c r="H86" s="711">
        <f>Bilans_E_AMS_Kyoto_run3_MTE!L199</f>
        <v>0.19771000000000002</v>
      </c>
      <c r="I86" s="711">
        <f>Bilans_E_AMS_Kyoto_run3_MTE!M199</f>
        <v>0</v>
      </c>
      <c r="J86" s="711">
        <f>Bilans_E_AMS_Kyoto_run3_MTE!N199</f>
        <v>1181.6974545454545</v>
      </c>
      <c r="K86" s="711">
        <f>Bilans_E_AMS_Kyoto_run3_MTE!O199</f>
        <v>152.67647201623672</v>
      </c>
      <c r="L86" s="711">
        <f>Bilans_E_AMS_Kyoto_run3_MTE!P199</f>
        <v>240.45551837402905</v>
      </c>
      <c r="M86" s="711">
        <f>Bilans_E_AMS_Kyoto_run3_MTE!Q199</f>
        <v>40.848850213190957</v>
      </c>
      <c r="N86" s="711">
        <f>Bilans_E_AMS_Kyoto_run3_MTE!R199</f>
        <v>0</v>
      </c>
      <c r="O86" s="711">
        <f>Bilans_E_AMS_Kyoto_run3_MTE!S199</f>
        <v>0</v>
      </c>
      <c r="P86" s="711">
        <f>Bilans_E_AMS_Kyoto_run3_MTE!T199+Bilans_E_AMS_Kyoto_run3_MTE!U199</f>
        <v>84.272548180504785</v>
      </c>
      <c r="Q86" s="711">
        <f>Bilans_E_AMS_Kyoto_run3_MTE!V199</f>
        <v>13.904545403817705</v>
      </c>
      <c r="R86" s="711">
        <f>Bilans_E_AMS_Kyoto_run3_MTE!W199</f>
        <v>0</v>
      </c>
      <c r="S86" s="711">
        <f>Bilans_E_AMS_Kyoto_run3_MTE!X199</f>
        <v>0</v>
      </c>
      <c r="T86" s="711">
        <f>Bilans_E_AMS_Kyoto_run3_MTE!Y199</f>
        <v>0</v>
      </c>
      <c r="U86" s="711">
        <f>Bilans_E_AMS_Kyoto_run3_MTE!Z199</f>
        <v>1723.5896987332337</v>
      </c>
      <c r="V86" s="701"/>
      <c r="W86" s="701"/>
    </row>
    <row r="87" spans="1:23" x14ac:dyDescent="0.25">
      <c r="A87" s="701" t="s">
        <v>488</v>
      </c>
      <c r="B87" s="701"/>
      <c r="C87" s="710" t="s">
        <v>60</v>
      </c>
      <c r="D87" s="712">
        <f>Bilans_E_AMS_Kyoto_run3_MTE!H200</f>
        <v>46.39845744407102</v>
      </c>
      <c r="E87" s="712">
        <f>Bilans_E_AMS_Kyoto_run3_MTE!I200</f>
        <v>474.83289369848728</v>
      </c>
      <c r="F87" s="712">
        <f>Bilans_E_AMS_Kyoto_run3_MTE!J200</f>
        <v>270.74194246183629</v>
      </c>
      <c r="G87" s="712">
        <f>Bilans_E_AMS_Kyoto_run3_MTE!K200</f>
        <v>0</v>
      </c>
      <c r="H87" s="712">
        <f>Bilans_E_AMS_Kyoto_run3_MTE!L200</f>
        <v>368.94829767408402</v>
      </c>
      <c r="I87" s="712">
        <f>Bilans_E_AMS_Kyoto_run3_MTE!M200</f>
        <v>0</v>
      </c>
      <c r="J87" s="712">
        <f>Bilans_E_AMS_Kyoto_run3_MTE!N200</f>
        <v>0</v>
      </c>
      <c r="K87" s="712">
        <f>Bilans_E_AMS_Kyoto_run3_MTE!O200</f>
        <v>0</v>
      </c>
      <c r="L87" s="712">
        <f>Bilans_E_AMS_Kyoto_run3_MTE!P200</f>
        <v>0</v>
      </c>
      <c r="M87" s="712">
        <f>Bilans_E_AMS_Kyoto_run3_MTE!Q200</f>
        <v>0</v>
      </c>
      <c r="N87" s="712">
        <f>Bilans_E_AMS_Kyoto_run3_MTE!R200</f>
        <v>7.0928336129737843</v>
      </c>
      <c r="O87" s="712">
        <f>Bilans_E_AMS_Kyoto_run3_MTE!S200</f>
        <v>0.66678198444484238</v>
      </c>
      <c r="P87" s="712">
        <f>Bilans_E_AMS_Kyoto_run3_MTE!T200+Bilans_E_AMS_Kyoto_run3_MTE!U200</f>
        <v>0</v>
      </c>
      <c r="Q87" s="712">
        <f>Bilans_E_AMS_Kyoto_run3_MTE!V200</f>
        <v>0</v>
      </c>
      <c r="R87" s="712">
        <f>Bilans_E_AMS_Kyoto_run3_MTE!W200</f>
        <v>0</v>
      </c>
      <c r="S87" s="712">
        <f>Bilans_E_AMS_Kyoto_run3_MTE!X200</f>
        <v>0</v>
      </c>
      <c r="T87" s="712">
        <f>Bilans_E_AMS_Kyoto_run3_MTE!Y200</f>
        <v>0</v>
      </c>
      <c r="U87" s="712">
        <f>Bilans_E_AMS_Kyoto_run3_MTE!Z200</f>
        <v>1168.6812068758975</v>
      </c>
      <c r="V87" s="701"/>
      <c r="W87" s="701"/>
    </row>
    <row r="88" spans="1:23" x14ac:dyDescent="0.25">
      <c r="A88" s="701" t="s">
        <v>489</v>
      </c>
      <c r="B88" s="701"/>
      <c r="C88" s="710" t="s">
        <v>61</v>
      </c>
      <c r="D88" s="712">
        <f>Bilans_E_AMS_Kyoto_run3_MTE!H201</f>
        <v>0</v>
      </c>
      <c r="E88" s="712">
        <f>Bilans_E_AMS_Kyoto_run3_MTE!I201</f>
        <v>0</v>
      </c>
      <c r="F88" s="712">
        <f>Bilans_E_AMS_Kyoto_run3_MTE!J201</f>
        <v>0</v>
      </c>
      <c r="G88" s="712">
        <f>Bilans_E_AMS_Kyoto_run3_MTE!K201</f>
        <v>0</v>
      </c>
      <c r="H88" s="712">
        <f>Bilans_E_AMS_Kyoto_run3_MTE!L201</f>
        <v>0</v>
      </c>
      <c r="I88" s="712">
        <f>Bilans_E_AMS_Kyoto_run3_MTE!M201</f>
        <v>0</v>
      </c>
      <c r="J88" s="712">
        <f>Bilans_E_AMS_Kyoto_run3_MTE!N201</f>
        <v>0</v>
      </c>
      <c r="K88" s="712">
        <f>Bilans_E_AMS_Kyoto_run3_MTE!O201</f>
        <v>0</v>
      </c>
      <c r="L88" s="712">
        <f>Bilans_E_AMS_Kyoto_run3_MTE!P201</f>
        <v>-0.66130930084236184</v>
      </c>
      <c r="M88" s="712">
        <f>Bilans_E_AMS_Kyoto_run3_MTE!Q201</f>
        <v>0</v>
      </c>
      <c r="N88" s="712">
        <f>Bilans_E_AMS_Kyoto_run3_MTE!R201</f>
        <v>0</v>
      </c>
      <c r="O88" s="712">
        <f>Bilans_E_AMS_Kyoto_run3_MTE!S201</f>
        <v>0</v>
      </c>
      <c r="P88" s="712">
        <f>Bilans_E_AMS_Kyoto_run3_MTE!T201+Bilans_E_AMS_Kyoto_run3_MTE!U201</f>
        <v>0</v>
      </c>
      <c r="Q88" s="712">
        <f>Bilans_E_AMS_Kyoto_run3_MTE!V201</f>
        <v>0</v>
      </c>
      <c r="R88" s="712">
        <f>Bilans_E_AMS_Kyoto_run3_MTE!W201</f>
        <v>-86.192023090421856</v>
      </c>
      <c r="S88" s="712">
        <f>Bilans_E_AMS_Kyoto_run3_MTE!X201</f>
        <v>0</v>
      </c>
      <c r="T88" s="712">
        <f>Bilans_E_AMS_Kyoto_run3_MTE!Y201</f>
        <v>0</v>
      </c>
      <c r="U88" s="712">
        <f>Bilans_E_AMS_Kyoto_run3_MTE!Z201</f>
        <v>-86.853332391264217</v>
      </c>
      <c r="V88" s="701"/>
      <c r="W88" s="701"/>
    </row>
    <row r="89" spans="1:23" x14ac:dyDescent="0.25">
      <c r="A89" s="701" t="s">
        <v>490</v>
      </c>
      <c r="B89" s="701"/>
      <c r="C89" s="710" t="s">
        <v>62</v>
      </c>
      <c r="D89" s="711">
        <f>Bilans_E_AMS_Kyoto_run3_MTE!H202</f>
        <v>0</v>
      </c>
      <c r="E89" s="711">
        <f>Bilans_E_AMS_Kyoto_run3_MTE!I202</f>
        <v>0</v>
      </c>
      <c r="F89" s="711">
        <f>Bilans_E_AMS_Kyoto_run3_MTE!J202</f>
        <v>-10.653162793901119</v>
      </c>
      <c r="G89" s="711">
        <f>Bilans_E_AMS_Kyoto_run3_MTE!K202</f>
        <v>0</v>
      </c>
      <c r="H89" s="711">
        <f>Bilans_E_AMS_Kyoto_run3_MTE!L202</f>
        <v>-1.6855739087490105</v>
      </c>
      <c r="I89" s="711">
        <f>Bilans_E_AMS_Kyoto_run3_MTE!M202</f>
        <v>0</v>
      </c>
      <c r="J89" s="711">
        <f>Bilans_E_AMS_Kyoto_run3_MTE!N202</f>
        <v>0</v>
      </c>
      <c r="K89" s="711">
        <f>Bilans_E_AMS_Kyoto_run3_MTE!O202</f>
        <v>0</v>
      </c>
      <c r="L89" s="711">
        <f>Bilans_E_AMS_Kyoto_run3_MTE!P202</f>
        <v>0</v>
      </c>
      <c r="M89" s="711">
        <f>Bilans_E_AMS_Kyoto_run3_MTE!Q202</f>
        <v>0</v>
      </c>
      <c r="N89" s="711">
        <f>Bilans_E_AMS_Kyoto_run3_MTE!R202</f>
        <v>0</v>
      </c>
      <c r="O89" s="711">
        <f>Bilans_E_AMS_Kyoto_run3_MTE!S202</f>
        <v>-0.18728598986100117</v>
      </c>
      <c r="P89" s="711">
        <f>Bilans_E_AMS_Kyoto_run3_MTE!T202+Bilans_E_AMS_Kyoto_run3_MTE!U202</f>
        <v>0</v>
      </c>
      <c r="Q89" s="711">
        <f>Bilans_E_AMS_Kyoto_run3_MTE!V202</f>
        <v>0</v>
      </c>
      <c r="R89" s="711">
        <f>Bilans_E_AMS_Kyoto_run3_MTE!W202</f>
        <v>0</v>
      </c>
      <c r="S89" s="711">
        <f>Bilans_E_AMS_Kyoto_run3_MTE!X202</f>
        <v>0</v>
      </c>
      <c r="T89" s="711">
        <f>Bilans_E_AMS_Kyoto_run3_MTE!Y202</f>
        <v>0</v>
      </c>
      <c r="U89" s="711">
        <f>Bilans_E_AMS_Kyoto_run3_MTE!Z202</f>
        <v>-12.52602269251113</v>
      </c>
      <c r="V89" s="701"/>
      <c r="W89" s="701"/>
    </row>
    <row r="90" spans="1:23" x14ac:dyDescent="0.25">
      <c r="A90" s="701" t="s">
        <v>491</v>
      </c>
      <c r="B90" s="701"/>
      <c r="C90" s="710" t="s">
        <v>63</v>
      </c>
      <c r="D90" s="711">
        <f>Bilans_E_AMS_Kyoto_run3_MTE!H203</f>
        <v>0</v>
      </c>
      <c r="E90" s="711">
        <f>Bilans_E_AMS_Kyoto_run3_MTE!I203</f>
        <v>0</v>
      </c>
      <c r="F90" s="711">
        <f>Bilans_E_AMS_Kyoto_run3_MTE!J203</f>
        <v>-70</v>
      </c>
      <c r="G90" s="711">
        <f>Bilans_E_AMS_Kyoto_run3_MTE!K203</f>
        <v>0</v>
      </c>
      <c r="H90" s="711">
        <f>Bilans_E_AMS_Kyoto_run3_MTE!L203</f>
        <v>0</v>
      </c>
      <c r="I90" s="711">
        <f>Bilans_E_AMS_Kyoto_run3_MTE!M203</f>
        <v>0</v>
      </c>
      <c r="J90" s="711">
        <f>Bilans_E_AMS_Kyoto_run3_MTE!N203</f>
        <v>0</v>
      </c>
      <c r="K90" s="711">
        <f>Bilans_E_AMS_Kyoto_run3_MTE!O203</f>
        <v>0</v>
      </c>
      <c r="L90" s="711">
        <f>Bilans_E_AMS_Kyoto_run3_MTE!P203</f>
        <v>0</v>
      </c>
      <c r="M90" s="711">
        <f>Bilans_E_AMS_Kyoto_run3_MTE!Q203</f>
        <v>0</v>
      </c>
      <c r="N90" s="711">
        <f>Bilans_E_AMS_Kyoto_run3_MTE!R203</f>
        <v>-1</v>
      </c>
      <c r="O90" s="711">
        <f>Bilans_E_AMS_Kyoto_run3_MTE!S203</f>
        <v>0</v>
      </c>
      <c r="P90" s="711">
        <f>Bilans_E_AMS_Kyoto_run3_MTE!T203+Bilans_E_AMS_Kyoto_run3_MTE!U203</f>
        <v>0</v>
      </c>
      <c r="Q90" s="711">
        <f>Bilans_E_AMS_Kyoto_run3_MTE!V203</f>
        <v>0</v>
      </c>
      <c r="R90" s="711">
        <f>Bilans_E_AMS_Kyoto_run3_MTE!W203</f>
        <v>0</v>
      </c>
      <c r="S90" s="711">
        <f>Bilans_E_AMS_Kyoto_run3_MTE!X203</f>
        <v>0</v>
      </c>
      <c r="T90" s="711">
        <f>Bilans_E_AMS_Kyoto_run3_MTE!Y203</f>
        <v>0</v>
      </c>
      <c r="U90" s="711">
        <f>Bilans_E_AMS_Kyoto_run3_MTE!Z203</f>
        <v>-71</v>
      </c>
      <c r="V90" s="701"/>
      <c r="W90" s="701"/>
    </row>
    <row r="91" spans="1:23" x14ac:dyDescent="0.25">
      <c r="A91" s="701" t="s">
        <v>492</v>
      </c>
      <c r="B91" s="701"/>
      <c r="C91" s="710" t="s">
        <v>64</v>
      </c>
      <c r="D91" s="712">
        <f>Bilans_E_AMS_Kyoto_run3_MTE!H204</f>
        <v>0</v>
      </c>
      <c r="E91" s="712">
        <f>Bilans_E_AMS_Kyoto_run3_MTE!I204</f>
        <v>0</v>
      </c>
      <c r="F91" s="712">
        <f>Bilans_E_AMS_Kyoto_run3_MTE!J204</f>
        <v>0</v>
      </c>
      <c r="G91" s="712">
        <f>Bilans_E_AMS_Kyoto_run3_MTE!K204</f>
        <v>0</v>
      </c>
      <c r="H91" s="712">
        <f>Bilans_E_AMS_Kyoto_run3_MTE!L204</f>
        <v>0</v>
      </c>
      <c r="I91" s="712">
        <f>Bilans_E_AMS_Kyoto_run3_MTE!M204</f>
        <v>0</v>
      </c>
      <c r="J91" s="712">
        <f>Bilans_E_AMS_Kyoto_run3_MTE!N204</f>
        <v>0</v>
      </c>
      <c r="K91" s="712">
        <f>Bilans_E_AMS_Kyoto_run3_MTE!O204</f>
        <v>0</v>
      </c>
      <c r="L91" s="712">
        <f>Bilans_E_AMS_Kyoto_run3_MTE!P204</f>
        <v>0</v>
      </c>
      <c r="M91" s="712">
        <f>Bilans_E_AMS_Kyoto_run3_MTE!Q204</f>
        <v>0</v>
      </c>
      <c r="N91" s="712">
        <f>Bilans_E_AMS_Kyoto_run3_MTE!R204</f>
        <v>0</v>
      </c>
      <c r="O91" s="712">
        <f>Bilans_E_AMS_Kyoto_run3_MTE!S204</f>
        <v>0</v>
      </c>
      <c r="P91" s="712">
        <f>Bilans_E_AMS_Kyoto_run3_MTE!T204+Bilans_E_AMS_Kyoto_run3_MTE!U204</f>
        <v>0</v>
      </c>
      <c r="Q91" s="712">
        <f>Bilans_E_AMS_Kyoto_run3_MTE!V204</f>
        <v>0</v>
      </c>
      <c r="R91" s="712">
        <f>Bilans_E_AMS_Kyoto_run3_MTE!W204</f>
        <v>0</v>
      </c>
      <c r="S91" s="712">
        <f>Bilans_E_AMS_Kyoto_run3_MTE!X204</f>
        <v>0</v>
      </c>
      <c r="T91" s="712">
        <f>Bilans_E_AMS_Kyoto_run3_MTE!Y204</f>
        <v>0</v>
      </c>
      <c r="U91" s="712">
        <f>Bilans_E_AMS_Kyoto_run3_MTE!Z204</f>
        <v>0</v>
      </c>
      <c r="V91" s="701"/>
      <c r="W91" s="701"/>
    </row>
    <row r="92" spans="1:23" x14ac:dyDescent="0.25">
      <c r="A92" s="701" t="s">
        <v>493</v>
      </c>
      <c r="B92" s="701"/>
      <c r="C92" s="713" t="s">
        <v>65</v>
      </c>
      <c r="D92" s="714">
        <f>Bilans_E_AMS_Kyoto_run3_MTE!H205</f>
        <v>46.39845744407102</v>
      </c>
      <c r="E92" s="714">
        <f>Bilans_E_AMS_Kyoto_run3_MTE!I205</f>
        <v>484.3694936984873</v>
      </c>
      <c r="F92" s="714">
        <f>Bilans_E_AMS_Kyoto_run3_MTE!J205</f>
        <v>190.08877966793517</v>
      </c>
      <c r="G92" s="714">
        <f>Bilans_E_AMS_Kyoto_run3_MTE!K205</f>
        <v>0</v>
      </c>
      <c r="H92" s="714">
        <f>Bilans_E_AMS_Kyoto_run3_MTE!L205</f>
        <v>367.46043376533498</v>
      </c>
      <c r="I92" s="714">
        <f>Bilans_E_AMS_Kyoto_run3_MTE!M205</f>
        <v>0</v>
      </c>
      <c r="J92" s="714">
        <f>Bilans_E_AMS_Kyoto_run3_MTE!N205</f>
        <v>1181.6974545454545</v>
      </c>
      <c r="K92" s="714">
        <f>Bilans_E_AMS_Kyoto_run3_MTE!O205</f>
        <v>152.67647201623672</v>
      </c>
      <c r="L92" s="714">
        <f>Bilans_E_AMS_Kyoto_run3_MTE!P205</f>
        <v>239.79420907318669</v>
      </c>
      <c r="M92" s="714">
        <f>Bilans_E_AMS_Kyoto_run3_MTE!Q205</f>
        <v>40.848850213190957</v>
      </c>
      <c r="N92" s="714">
        <f>Bilans_E_AMS_Kyoto_run3_MTE!R205</f>
        <v>6.0928336129737843</v>
      </c>
      <c r="O92" s="714">
        <f>Bilans_E_AMS_Kyoto_run3_MTE!S205</f>
        <v>0.47949599458384118</v>
      </c>
      <c r="P92" s="714">
        <f>Bilans_E_AMS_Kyoto_run3_MTE!T205+Bilans_E_AMS_Kyoto_run3_MTE!U205</f>
        <v>84.272548180504785</v>
      </c>
      <c r="Q92" s="714">
        <f>Bilans_E_AMS_Kyoto_run3_MTE!V205</f>
        <v>13.904545403817705</v>
      </c>
      <c r="R92" s="714">
        <f>Bilans_E_AMS_Kyoto_run3_MTE!W205</f>
        <v>-86.192023090421856</v>
      </c>
      <c r="S92" s="714">
        <f>Bilans_E_AMS_Kyoto_run3_MTE!X205</f>
        <v>0</v>
      </c>
      <c r="T92" s="714">
        <f>Bilans_E_AMS_Kyoto_run3_MTE!Y205</f>
        <v>0</v>
      </c>
      <c r="U92" s="714">
        <f>Bilans_E_AMS_Kyoto_run3_MTE!Z205</f>
        <v>2721.8915505253558</v>
      </c>
      <c r="V92" s="701"/>
      <c r="W92" s="701"/>
    </row>
    <row r="93" spans="1:23" x14ac:dyDescent="0.25">
      <c r="A93" s="701"/>
      <c r="B93" s="701"/>
      <c r="C93" s="715"/>
      <c r="D93" s="716"/>
      <c r="E93" s="716"/>
      <c r="F93" s="716"/>
      <c r="G93" s="716"/>
      <c r="H93" s="716"/>
      <c r="I93" s="716"/>
      <c r="J93" s="716"/>
      <c r="K93" s="716"/>
      <c r="L93" s="716"/>
      <c r="M93" s="716"/>
      <c r="N93" s="716"/>
      <c r="O93" s="716"/>
      <c r="P93" s="716">
        <f>Bilans_E_AMS_Kyoto_run3_MTE!T206+Bilans_E_AMS_Kyoto_run3_MTE!U206</f>
        <v>0</v>
      </c>
      <c r="Q93" s="716"/>
      <c r="R93" s="716"/>
      <c r="S93" s="716"/>
      <c r="T93" s="716"/>
      <c r="U93" s="716"/>
      <c r="V93" s="701"/>
      <c r="W93" s="701"/>
    </row>
    <row r="94" spans="1:23" x14ac:dyDescent="0.25">
      <c r="A94" s="701" t="s">
        <v>494</v>
      </c>
      <c r="B94" s="701"/>
      <c r="C94" s="717" t="s">
        <v>67</v>
      </c>
      <c r="D94" s="711">
        <f>Bilans_E_AMS_Kyoto_run3_MTE!H207</f>
        <v>0</v>
      </c>
      <c r="E94" s="711">
        <f>Bilans_E_AMS_Kyoto_run3_MTE!I207</f>
        <v>0</v>
      </c>
      <c r="F94" s="711">
        <f>Bilans_E_AMS_Kyoto_run3_MTE!J207</f>
        <v>0</v>
      </c>
      <c r="G94" s="711">
        <f>Bilans_E_AMS_Kyoto_run3_MTE!K207</f>
        <v>0</v>
      </c>
      <c r="H94" s="711">
        <f>Bilans_E_AMS_Kyoto_run3_MTE!L207</f>
        <v>0</v>
      </c>
      <c r="I94" s="711">
        <f>Bilans_E_AMS_Kyoto_run3_MTE!M207</f>
        <v>0</v>
      </c>
      <c r="J94" s="711">
        <f>Bilans_E_AMS_Kyoto_run3_MTE!N207</f>
        <v>0</v>
      </c>
      <c r="K94" s="711">
        <f>Bilans_E_AMS_Kyoto_run3_MTE!O207</f>
        <v>0</v>
      </c>
      <c r="L94" s="711">
        <f>Bilans_E_AMS_Kyoto_run3_MTE!P207</f>
        <v>0</v>
      </c>
      <c r="M94" s="711">
        <f>Bilans_E_AMS_Kyoto_run3_MTE!Q207</f>
        <v>0</v>
      </c>
      <c r="N94" s="711">
        <f>Bilans_E_AMS_Kyoto_run3_MTE!R207</f>
        <v>0</v>
      </c>
      <c r="O94" s="711">
        <f>Bilans_E_AMS_Kyoto_run3_MTE!S207</f>
        <v>0</v>
      </c>
      <c r="P94" s="711">
        <f>Bilans_E_AMS_Kyoto_run3_MTE!T207+Bilans_E_AMS_Kyoto_run3_MTE!U207</f>
        <v>0</v>
      </c>
      <c r="Q94" s="711">
        <f>Bilans_E_AMS_Kyoto_run3_MTE!V207</f>
        <v>0</v>
      </c>
      <c r="R94" s="711">
        <f>Bilans_E_AMS_Kyoto_run3_MTE!W207</f>
        <v>0</v>
      </c>
      <c r="S94" s="711">
        <f>Bilans_E_AMS_Kyoto_run3_MTE!X207</f>
        <v>0</v>
      </c>
      <c r="T94" s="711">
        <f>Bilans_E_AMS_Kyoto_run3_MTE!Y207</f>
        <v>0</v>
      </c>
      <c r="U94" s="711">
        <f>Bilans_E_AMS_Kyoto_run3_MTE!Z207</f>
        <v>0</v>
      </c>
      <c r="V94" s="701"/>
      <c r="W94" s="701"/>
    </row>
    <row r="95" spans="1:23" x14ac:dyDescent="0.25">
      <c r="A95" s="701" t="s">
        <v>495</v>
      </c>
      <c r="B95" s="701"/>
      <c r="C95" s="717" t="s">
        <v>347</v>
      </c>
      <c r="D95" s="711">
        <f>Bilans_E_AMS_Kyoto_run3_MTE!H208</f>
        <v>0</v>
      </c>
      <c r="E95" s="711">
        <f>Bilans_E_AMS_Kyoto_run3_MTE!I208</f>
        <v>0</v>
      </c>
      <c r="F95" s="711">
        <f>Bilans_E_AMS_Kyoto_run3_MTE!J208</f>
        <v>2.9245488391069152</v>
      </c>
      <c r="G95" s="711">
        <f>Bilans_E_AMS_Kyoto_run3_MTE!K208</f>
        <v>0</v>
      </c>
      <c r="H95" s="711">
        <f>Bilans_E_AMS_Kyoto_run3_MTE!L208</f>
        <v>56.866475004905659</v>
      </c>
      <c r="I95" s="711">
        <f>Bilans_E_AMS_Kyoto_run3_MTE!M208</f>
        <v>0</v>
      </c>
      <c r="J95" s="711">
        <f>Bilans_E_AMS_Kyoto_run3_MTE!N208</f>
        <v>1181.6974545454545</v>
      </c>
      <c r="K95" s="711">
        <f>Bilans_E_AMS_Kyoto_run3_MTE!O208</f>
        <v>152.67647201623672</v>
      </c>
      <c r="L95" s="711">
        <f>Bilans_E_AMS_Kyoto_run3_MTE!P208</f>
        <v>13.326474331194433</v>
      </c>
      <c r="M95" s="711">
        <f>Bilans_E_AMS_Kyoto_run3_MTE!Q208</f>
        <v>7.616750828340038</v>
      </c>
      <c r="N95" s="711">
        <f>Bilans_E_AMS_Kyoto_run3_MTE!R208</f>
        <v>5.5512316182098811</v>
      </c>
      <c r="O95" s="711">
        <f>Bilans_E_AMS_Kyoto_run3_MTE!S208</f>
        <v>8.2002577205628917</v>
      </c>
      <c r="P95" s="711">
        <f>Bilans_E_AMS_Kyoto_run3_MTE!T208+Bilans_E_AMS_Kyoto_run3_MTE!U208</f>
        <v>0</v>
      </c>
      <c r="Q95" s="711">
        <f>Bilans_E_AMS_Kyoto_run3_MTE!V208</f>
        <v>0.31861460974897526</v>
      </c>
      <c r="R95" s="711">
        <f>Bilans_E_AMS_Kyoto_run3_MTE!W208</f>
        <v>-590.93772044979494</v>
      </c>
      <c r="S95" s="711">
        <f>Bilans_E_AMS_Kyoto_run3_MTE!X208</f>
        <v>0</v>
      </c>
      <c r="T95" s="711">
        <f>Bilans_E_AMS_Kyoto_run3_MTE!Y208</f>
        <v>0</v>
      </c>
      <c r="U95" s="711">
        <f>Bilans_E_AMS_Kyoto_run3_MTE!Z208</f>
        <v>838.24055906396495</v>
      </c>
      <c r="V95" s="701"/>
      <c r="W95" s="701"/>
    </row>
    <row r="96" spans="1:23" x14ac:dyDescent="0.25">
      <c r="A96" s="701" t="s">
        <v>496</v>
      </c>
      <c r="B96" s="701"/>
      <c r="C96" s="717" t="s">
        <v>348</v>
      </c>
      <c r="D96" s="711">
        <f>Bilans_E_AMS_Kyoto_run3_MTE!H209</f>
        <v>0.30889396750851739</v>
      </c>
      <c r="E96" s="711">
        <f>Bilans_E_AMS_Kyoto_run3_MTE!I209</f>
        <v>0</v>
      </c>
      <c r="F96" s="711">
        <f>Bilans_E_AMS_Kyoto_run3_MTE!J209</f>
        <v>1.3037931857947018</v>
      </c>
      <c r="G96" s="711">
        <f>Bilans_E_AMS_Kyoto_run3_MTE!K209</f>
        <v>0</v>
      </c>
      <c r="H96" s="711">
        <f>Bilans_E_AMS_Kyoto_run3_MTE!L209</f>
        <v>19.006397060702763</v>
      </c>
      <c r="I96" s="711">
        <f>Bilans_E_AMS_Kyoto_run3_MTE!M209</f>
        <v>0</v>
      </c>
      <c r="J96" s="711">
        <f>Bilans_E_AMS_Kyoto_run3_MTE!N209</f>
        <v>0</v>
      </c>
      <c r="K96" s="711">
        <f>Bilans_E_AMS_Kyoto_run3_MTE!O209</f>
        <v>0</v>
      </c>
      <c r="L96" s="711">
        <f>Bilans_E_AMS_Kyoto_run3_MTE!P209</f>
        <v>19.963453378354124</v>
      </c>
      <c r="M96" s="711">
        <f>Bilans_E_AMS_Kyoto_run3_MTE!Q209</f>
        <v>11.85327321743026</v>
      </c>
      <c r="N96" s="711">
        <f>Bilans_E_AMS_Kyoto_run3_MTE!R209</f>
        <v>0</v>
      </c>
      <c r="O96" s="711">
        <f>Bilans_E_AMS_Kyoto_run3_MTE!S209</f>
        <v>3.1139937286877846</v>
      </c>
      <c r="P96" s="711">
        <f>Bilans_E_AMS_Kyoto_run3_MTE!T209+Bilans_E_AMS_Kyoto_run3_MTE!U209</f>
        <v>2.9294344243040014</v>
      </c>
      <c r="Q96" s="711">
        <f>Bilans_E_AMS_Kyoto_run3_MTE!V209</f>
        <v>6.057358935027354</v>
      </c>
      <c r="R96" s="711">
        <f>Bilans_E_AMS_Kyoto_run3_MTE!W209</f>
        <v>0</v>
      </c>
      <c r="S96" s="711">
        <f>Bilans_E_AMS_Kyoto_run3_MTE!X209</f>
        <v>-56.820162173543274</v>
      </c>
      <c r="T96" s="711">
        <f>Bilans_E_AMS_Kyoto_run3_MTE!Y209</f>
        <v>0</v>
      </c>
      <c r="U96" s="711">
        <f>Bilans_E_AMS_Kyoto_run3_MTE!Z209</f>
        <v>7.7164357242662405</v>
      </c>
      <c r="V96" s="701"/>
      <c r="W96" s="701"/>
    </row>
    <row r="97" spans="1:23" x14ac:dyDescent="0.25">
      <c r="A97" s="701" t="s">
        <v>497</v>
      </c>
      <c r="B97" s="701"/>
      <c r="C97" s="717" t="s">
        <v>349</v>
      </c>
      <c r="D97" s="711">
        <f>Bilans_E_AMS_Kyoto_run3_MTE!H210</f>
        <v>0</v>
      </c>
      <c r="E97" s="711">
        <f>Bilans_E_AMS_Kyoto_run3_MTE!I210</f>
        <v>0</v>
      </c>
      <c r="F97" s="711">
        <f>Bilans_E_AMS_Kyoto_run3_MTE!J210</f>
        <v>0</v>
      </c>
      <c r="G97" s="711">
        <f>Bilans_E_AMS_Kyoto_run3_MTE!K210</f>
        <v>0</v>
      </c>
      <c r="H97" s="711">
        <f>Bilans_E_AMS_Kyoto_run3_MTE!L210</f>
        <v>0</v>
      </c>
      <c r="I97" s="711">
        <f>Bilans_E_AMS_Kyoto_run3_MTE!M210</f>
        <v>0</v>
      </c>
      <c r="J97" s="711">
        <f>Bilans_E_AMS_Kyoto_run3_MTE!N210</f>
        <v>0</v>
      </c>
      <c r="K97" s="711">
        <f>Bilans_E_AMS_Kyoto_run3_MTE!O210</f>
        <v>0</v>
      </c>
      <c r="L97" s="711">
        <f>Bilans_E_AMS_Kyoto_run3_MTE!P210</f>
        <v>42.951158190071588</v>
      </c>
      <c r="M97" s="711">
        <f>Bilans_E_AMS_Kyoto_run3_MTE!Q210</f>
        <v>7.9775918284298335</v>
      </c>
      <c r="N97" s="711">
        <f>Bilans_E_AMS_Kyoto_run3_MTE!R210</f>
        <v>0</v>
      </c>
      <c r="O97" s="711">
        <f>Bilans_E_AMS_Kyoto_run3_MTE!S210</f>
        <v>-25.540585507819397</v>
      </c>
      <c r="P97" s="711">
        <f>Bilans_E_AMS_Kyoto_run3_MTE!T210+Bilans_E_AMS_Kyoto_run3_MTE!U210</f>
        <v>0</v>
      </c>
      <c r="Q97" s="711">
        <f>Bilans_E_AMS_Kyoto_run3_MTE!V210</f>
        <v>0</v>
      </c>
      <c r="R97" s="711">
        <f>Bilans_E_AMS_Kyoto_run3_MTE!W210</f>
        <v>0</v>
      </c>
      <c r="S97" s="711">
        <f>Bilans_E_AMS_Kyoto_run3_MTE!X210</f>
        <v>0</v>
      </c>
      <c r="T97" s="711">
        <f>Bilans_E_AMS_Kyoto_run3_MTE!Y210</f>
        <v>0</v>
      </c>
      <c r="U97" s="711">
        <f>Bilans_E_AMS_Kyoto_run3_MTE!Z210</f>
        <v>25.388164510682021</v>
      </c>
      <c r="V97" s="701"/>
      <c r="W97" s="701"/>
    </row>
    <row r="98" spans="1:23" x14ac:dyDescent="0.25">
      <c r="A98" s="701" t="s">
        <v>498</v>
      </c>
      <c r="B98" s="701"/>
      <c r="C98" s="717" t="s">
        <v>350</v>
      </c>
      <c r="D98" s="711">
        <f>Bilans_E_AMS_Kyoto_run3_MTE!H211</f>
        <v>0</v>
      </c>
      <c r="E98" s="711">
        <f>Bilans_E_AMS_Kyoto_run3_MTE!I211</f>
        <v>0</v>
      </c>
      <c r="F98" s="711">
        <f>Bilans_E_AMS_Kyoto_run3_MTE!J211</f>
        <v>0</v>
      </c>
      <c r="G98" s="711">
        <f>Bilans_E_AMS_Kyoto_run3_MTE!K211</f>
        <v>0</v>
      </c>
      <c r="H98" s="711">
        <f>Bilans_E_AMS_Kyoto_run3_MTE!L211</f>
        <v>0</v>
      </c>
      <c r="I98" s="711">
        <f>Bilans_E_AMS_Kyoto_run3_MTE!M211</f>
        <v>0</v>
      </c>
      <c r="J98" s="711">
        <f>Bilans_E_AMS_Kyoto_run3_MTE!N211</f>
        <v>0</v>
      </c>
      <c r="K98" s="711">
        <f>Bilans_E_AMS_Kyoto_run3_MTE!O211</f>
        <v>0</v>
      </c>
      <c r="L98" s="711">
        <f>Bilans_E_AMS_Kyoto_run3_MTE!P211</f>
        <v>0</v>
      </c>
      <c r="M98" s="711">
        <f>Bilans_E_AMS_Kyoto_run3_MTE!Q211</f>
        <v>0</v>
      </c>
      <c r="N98" s="711">
        <f>Bilans_E_AMS_Kyoto_run3_MTE!R211</f>
        <v>0</v>
      </c>
      <c r="O98" s="711">
        <f>Bilans_E_AMS_Kyoto_run3_MTE!S211</f>
        <v>0</v>
      </c>
      <c r="P98" s="711">
        <f>Bilans_E_AMS_Kyoto_run3_MTE!T211+Bilans_E_AMS_Kyoto_run3_MTE!U211</f>
        <v>0</v>
      </c>
      <c r="Q98" s="711">
        <f>Bilans_E_AMS_Kyoto_run3_MTE!V211</f>
        <v>0</v>
      </c>
      <c r="R98" s="711">
        <f>Bilans_E_AMS_Kyoto_run3_MTE!W211</f>
        <v>0</v>
      </c>
      <c r="S98" s="711">
        <f>Bilans_E_AMS_Kyoto_run3_MTE!X211</f>
        <v>0</v>
      </c>
      <c r="T98" s="711">
        <f>Bilans_E_AMS_Kyoto_run3_MTE!Y211</f>
        <v>0</v>
      </c>
      <c r="U98" s="711">
        <f>Bilans_E_AMS_Kyoto_run3_MTE!Z211</f>
        <v>0</v>
      </c>
      <c r="V98" s="701"/>
      <c r="W98" s="701"/>
    </row>
    <row r="99" spans="1:23" x14ac:dyDescent="0.25">
      <c r="A99" s="701" t="s">
        <v>499</v>
      </c>
      <c r="B99" s="701"/>
      <c r="C99" s="717" t="s">
        <v>72</v>
      </c>
      <c r="D99" s="711">
        <f>Bilans_E_AMS_Kyoto_run3_MTE!H212</f>
        <v>0</v>
      </c>
      <c r="E99" s="711">
        <f>Bilans_E_AMS_Kyoto_run3_MTE!I212</f>
        <v>502.02103372564807</v>
      </c>
      <c r="F99" s="711">
        <f>Bilans_E_AMS_Kyoto_run3_MTE!J212</f>
        <v>-497.00082338839161</v>
      </c>
      <c r="G99" s="711">
        <f>Bilans_E_AMS_Kyoto_run3_MTE!K212</f>
        <v>0</v>
      </c>
      <c r="H99" s="711">
        <f>Bilans_E_AMS_Kyoto_run3_MTE!L212</f>
        <v>0</v>
      </c>
      <c r="I99" s="711">
        <f>Bilans_E_AMS_Kyoto_run3_MTE!M212</f>
        <v>0</v>
      </c>
      <c r="J99" s="711">
        <f>Bilans_E_AMS_Kyoto_run3_MTE!N212</f>
        <v>0</v>
      </c>
      <c r="K99" s="711">
        <f>Bilans_E_AMS_Kyoto_run3_MTE!O212</f>
        <v>0</v>
      </c>
      <c r="L99" s="711">
        <f>Bilans_E_AMS_Kyoto_run3_MTE!P212</f>
        <v>0</v>
      </c>
      <c r="M99" s="711">
        <f>Bilans_E_AMS_Kyoto_run3_MTE!Q212</f>
        <v>0</v>
      </c>
      <c r="N99" s="711">
        <f>Bilans_E_AMS_Kyoto_run3_MTE!R212</f>
        <v>0</v>
      </c>
      <c r="O99" s="711">
        <f>Bilans_E_AMS_Kyoto_run3_MTE!S212</f>
        <v>0</v>
      </c>
      <c r="P99" s="711">
        <f>Bilans_E_AMS_Kyoto_run3_MTE!T212+Bilans_E_AMS_Kyoto_run3_MTE!U212</f>
        <v>0</v>
      </c>
      <c r="Q99" s="711">
        <f>Bilans_E_AMS_Kyoto_run3_MTE!V212</f>
        <v>0</v>
      </c>
      <c r="R99" s="711">
        <f>Bilans_E_AMS_Kyoto_run3_MTE!W212</f>
        <v>0</v>
      </c>
      <c r="S99" s="711">
        <f>Bilans_E_AMS_Kyoto_run3_MTE!X212</f>
        <v>0</v>
      </c>
      <c r="T99" s="711">
        <f>Bilans_E_AMS_Kyoto_run3_MTE!Y212</f>
        <v>0</v>
      </c>
      <c r="U99" s="711">
        <f>Bilans_E_AMS_Kyoto_run3_MTE!Z212</f>
        <v>5.0202103372564579</v>
      </c>
      <c r="V99" s="701"/>
      <c r="W99" s="701"/>
    </row>
    <row r="100" spans="1:23" x14ac:dyDescent="0.25">
      <c r="A100" s="701" t="s">
        <v>500</v>
      </c>
      <c r="B100" s="701"/>
      <c r="C100" s="717" t="s">
        <v>351</v>
      </c>
      <c r="D100" s="711">
        <f>Bilans_E_AMS_Kyoto_run3_MTE!H213</f>
        <v>0</v>
      </c>
      <c r="E100" s="711">
        <f>Bilans_E_AMS_Kyoto_run3_MTE!I213</f>
        <v>0</v>
      </c>
      <c r="F100" s="711">
        <f>Bilans_E_AMS_Kyoto_run3_MTE!J213</f>
        <v>0</v>
      </c>
      <c r="G100" s="711">
        <f>Bilans_E_AMS_Kyoto_run3_MTE!K213</f>
        <v>0</v>
      </c>
      <c r="H100" s="711">
        <f>Bilans_E_AMS_Kyoto_run3_MTE!L213</f>
        <v>0</v>
      </c>
      <c r="I100" s="711">
        <f>Bilans_E_AMS_Kyoto_run3_MTE!M213</f>
        <v>0</v>
      </c>
      <c r="J100" s="711">
        <f>Bilans_E_AMS_Kyoto_run3_MTE!N213</f>
        <v>0</v>
      </c>
      <c r="K100" s="711">
        <f>Bilans_E_AMS_Kyoto_run3_MTE!O213</f>
        <v>0</v>
      </c>
      <c r="L100" s="711">
        <f>Bilans_E_AMS_Kyoto_run3_MTE!P213</f>
        <v>57.841115986080837</v>
      </c>
      <c r="M100" s="711">
        <f>Bilans_E_AMS_Kyoto_run3_MTE!Q213</f>
        <v>7.2727272727272725</v>
      </c>
      <c r="N100" s="711">
        <f>Bilans_E_AMS_Kyoto_run3_MTE!R213</f>
        <v>-39.93186194133186</v>
      </c>
      <c r="O100" s="711">
        <f>Bilans_E_AMS_Kyoto_run3_MTE!S213</f>
        <v>0</v>
      </c>
      <c r="P100" s="711">
        <f>Bilans_E_AMS_Kyoto_run3_MTE!T213+Bilans_E_AMS_Kyoto_run3_MTE!U213</f>
        <v>0</v>
      </c>
      <c r="Q100" s="711">
        <f>Bilans_E_AMS_Kyoto_run3_MTE!V213</f>
        <v>0</v>
      </c>
      <c r="R100" s="711">
        <f>Bilans_E_AMS_Kyoto_run3_MTE!W213</f>
        <v>0</v>
      </c>
      <c r="S100" s="711">
        <f>Bilans_E_AMS_Kyoto_run3_MTE!X213</f>
        <v>0</v>
      </c>
      <c r="T100" s="711">
        <f>Bilans_E_AMS_Kyoto_run3_MTE!Y213</f>
        <v>0</v>
      </c>
      <c r="U100" s="711">
        <f>Bilans_E_AMS_Kyoto_run3_MTE!Z213</f>
        <v>25.181981317476243</v>
      </c>
      <c r="V100" s="701"/>
      <c r="W100" s="701"/>
    </row>
    <row r="101" spans="1:23" x14ac:dyDescent="0.25">
      <c r="A101" s="701" t="s">
        <v>501</v>
      </c>
      <c r="B101" s="701"/>
      <c r="C101" s="717" t="s">
        <v>352</v>
      </c>
      <c r="D101" s="711">
        <f>Bilans_E_AMS_Kyoto_run3_MTE!H214</f>
        <v>0</v>
      </c>
      <c r="E101" s="711">
        <f>Bilans_E_AMS_Kyoto_run3_MTE!I214</f>
        <v>0</v>
      </c>
      <c r="F101" s="711">
        <f>Bilans_E_AMS_Kyoto_run3_MTE!J214</f>
        <v>0</v>
      </c>
      <c r="G101" s="711">
        <f>Bilans_E_AMS_Kyoto_run3_MTE!K214</f>
        <v>0</v>
      </c>
      <c r="H101" s="711">
        <f>Bilans_E_AMS_Kyoto_run3_MTE!L214</f>
        <v>0</v>
      </c>
      <c r="I101" s="711">
        <f>Bilans_E_AMS_Kyoto_run3_MTE!M214</f>
        <v>0</v>
      </c>
      <c r="J101" s="711">
        <f>Bilans_E_AMS_Kyoto_run3_MTE!N214</f>
        <v>0</v>
      </c>
      <c r="K101" s="711">
        <f>Bilans_E_AMS_Kyoto_run3_MTE!O214</f>
        <v>0</v>
      </c>
      <c r="L101" s="711">
        <f>Bilans_E_AMS_Kyoto_run3_MTE!P214</f>
        <v>0</v>
      </c>
      <c r="M101" s="711">
        <f>Bilans_E_AMS_Kyoto_run3_MTE!Q214</f>
        <v>0</v>
      </c>
      <c r="N101" s="711">
        <f>Bilans_E_AMS_Kyoto_run3_MTE!R214</f>
        <v>0</v>
      </c>
      <c r="O101" s="711">
        <f>Bilans_E_AMS_Kyoto_run3_MTE!S214</f>
        <v>0</v>
      </c>
      <c r="P101" s="711">
        <f>Bilans_E_AMS_Kyoto_run3_MTE!T214+Bilans_E_AMS_Kyoto_run3_MTE!U214</f>
        <v>0</v>
      </c>
      <c r="Q101" s="711">
        <f>Bilans_E_AMS_Kyoto_run3_MTE!V214</f>
        <v>0</v>
      </c>
      <c r="R101" s="711">
        <f>Bilans_E_AMS_Kyoto_run3_MTE!W214</f>
        <v>0</v>
      </c>
      <c r="S101" s="711">
        <f>Bilans_E_AMS_Kyoto_run3_MTE!X214</f>
        <v>0</v>
      </c>
      <c r="T101" s="711">
        <f>Bilans_E_AMS_Kyoto_run3_MTE!Y214</f>
        <v>0</v>
      </c>
      <c r="U101" s="711">
        <f>Bilans_E_AMS_Kyoto_run3_MTE!Z214</f>
        <v>0</v>
      </c>
      <c r="V101" s="701"/>
      <c r="W101" s="701"/>
    </row>
    <row r="102" spans="1:23" x14ac:dyDescent="0.25">
      <c r="A102" s="701" t="s">
        <v>502</v>
      </c>
      <c r="B102" s="701"/>
      <c r="C102" s="717" t="s">
        <v>73</v>
      </c>
      <c r="D102" s="711">
        <f>Bilans_E_AMS_Kyoto_run3_MTE!H215</f>
        <v>0</v>
      </c>
      <c r="E102" s="711">
        <f>Bilans_E_AMS_Kyoto_run3_MTE!I215</f>
        <v>0</v>
      </c>
      <c r="F102" s="711">
        <f>Bilans_E_AMS_Kyoto_run3_MTE!J215</f>
        <v>0</v>
      </c>
      <c r="G102" s="711">
        <f>Bilans_E_AMS_Kyoto_run3_MTE!K215</f>
        <v>0</v>
      </c>
      <c r="H102" s="711">
        <f>Bilans_E_AMS_Kyoto_run3_MTE!L215</f>
        <v>0</v>
      </c>
      <c r="I102" s="711">
        <f>Bilans_E_AMS_Kyoto_run3_MTE!M215</f>
        <v>0</v>
      </c>
      <c r="J102" s="711">
        <f>Bilans_E_AMS_Kyoto_run3_MTE!N215</f>
        <v>0</v>
      </c>
      <c r="K102" s="711">
        <f>Bilans_E_AMS_Kyoto_run3_MTE!O215</f>
        <v>0</v>
      </c>
      <c r="L102" s="711">
        <f>Bilans_E_AMS_Kyoto_run3_MTE!P215</f>
        <v>0</v>
      </c>
      <c r="M102" s="711">
        <f>Bilans_E_AMS_Kyoto_run3_MTE!Q215</f>
        <v>0</v>
      </c>
      <c r="N102" s="711">
        <f>Bilans_E_AMS_Kyoto_run3_MTE!R215</f>
        <v>0</v>
      </c>
      <c r="O102" s="711">
        <f>Bilans_E_AMS_Kyoto_run3_MTE!S215</f>
        <v>0</v>
      </c>
      <c r="P102" s="711">
        <f>Bilans_E_AMS_Kyoto_run3_MTE!T215+Bilans_E_AMS_Kyoto_run3_MTE!U215</f>
        <v>0</v>
      </c>
      <c r="Q102" s="711">
        <f>Bilans_E_AMS_Kyoto_run3_MTE!V215</f>
        <v>0</v>
      </c>
      <c r="R102" s="711">
        <f>Bilans_E_AMS_Kyoto_run3_MTE!W215</f>
        <v>1.9046603946177385</v>
      </c>
      <c r="S102" s="711">
        <f>Bilans_E_AMS_Kyoto_run3_MTE!X215</f>
        <v>0</v>
      </c>
      <c r="T102" s="711">
        <f>Bilans_E_AMS_Kyoto_run3_MTE!Y215</f>
        <v>-1.2380292565015301</v>
      </c>
      <c r="U102" s="711">
        <f>Bilans_E_AMS_Kyoto_run3_MTE!Z215</f>
        <v>0.66663113811620844</v>
      </c>
      <c r="V102" s="701"/>
      <c r="W102" s="701"/>
    </row>
    <row r="103" spans="1:23" x14ac:dyDescent="0.25">
      <c r="A103" s="701" t="s">
        <v>503</v>
      </c>
      <c r="B103" s="701"/>
      <c r="C103" s="717" t="s">
        <v>353</v>
      </c>
      <c r="D103" s="711">
        <f>Bilans_E_AMS_Kyoto_run3_MTE!H216</f>
        <v>29.661880078125002</v>
      </c>
      <c r="E103" s="711">
        <f>Bilans_E_AMS_Kyoto_run3_MTE!I216</f>
        <v>-17.651540027160753</v>
      </c>
      <c r="F103" s="711">
        <f>Bilans_E_AMS_Kyoto_run3_MTE!J216</f>
        <v>23.197502909780482</v>
      </c>
      <c r="G103" s="711">
        <f>Bilans_E_AMS_Kyoto_run3_MTE!K216</f>
        <v>0</v>
      </c>
      <c r="H103" s="711">
        <f>Bilans_E_AMS_Kyoto_run3_MTE!L216</f>
        <v>0</v>
      </c>
      <c r="I103" s="711">
        <f>Bilans_E_AMS_Kyoto_run3_MTE!M216</f>
        <v>0</v>
      </c>
      <c r="J103" s="711">
        <f>Bilans_E_AMS_Kyoto_run3_MTE!N216</f>
        <v>0</v>
      </c>
      <c r="K103" s="711">
        <f>Bilans_E_AMS_Kyoto_run3_MTE!O216</f>
        <v>0</v>
      </c>
      <c r="L103" s="711">
        <f>Bilans_E_AMS_Kyoto_run3_MTE!P216</f>
        <v>0</v>
      </c>
      <c r="M103" s="711">
        <f>Bilans_E_AMS_Kyoto_run3_MTE!Q216</f>
        <v>0</v>
      </c>
      <c r="N103" s="711">
        <f>Bilans_E_AMS_Kyoto_run3_MTE!R216</f>
        <v>0</v>
      </c>
      <c r="O103" s="711">
        <f>Bilans_E_AMS_Kyoto_run3_MTE!S216</f>
        <v>0</v>
      </c>
      <c r="P103" s="711">
        <f>Bilans_E_AMS_Kyoto_run3_MTE!T216+Bilans_E_AMS_Kyoto_run3_MTE!U216</f>
        <v>0</v>
      </c>
      <c r="Q103" s="711">
        <f>Bilans_E_AMS_Kyoto_run3_MTE!V216</f>
        <v>0</v>
      </c>
      <c r="R103" s="711">
        <f>Bilans_E_AMS_Kyoto_run3_MTE!W216</f>
        <v>0</v>
      </c>
      <c r="S103" s="711">
        <f>Bilans_E_AMS_Kyoto_run3_MTE!X216</f>
        <v>0</v>
      </c>
      <c r="T103" s="711">
        <f>Bilans_E_AMS_Kyoto_run3_MTE!Y216</f>
        <v>0</v>
      </c>
      <c r="U103" s="711">
        <f>Bilans_E_AMS_Kyoto_run3_MTE!Z216</f>
        <v>35.207842960744728</v>
      </c>
      <c r="V103" s="701"/>
      <c r="W103" s="701"/>
    </row>
    <row r="104" spans="1:23" x14ac:dyDescent="0.25">
      <c r="A104" s="701" t="s">
        <v>504</v>
      </c>
      <c r="B104" s="701"/>
      <c r="C104" s="717" t="s">
        <v>75</v>
      </c>
      <c r="D104" s="711">
        <f>Bilans_E_AMS_Kyoto_run3_MTE!H217</f>
        <v>11.535175585937502</v>
      </c>
      <c r="E104" s="711">
        <f>Bilans_E_AMS_Kyoto_run3_MTE!I217</f>
        <v>0</v>
      </c>
      <c r="F104" s="711">
        <f>Bilans_E_AMS_Kyoto_run3_MTE!J217</f>
        <v>17.330610826083333</v>
      </c>
      <c r="G104" s="711">
        <f>Bilans_E_AMS_Kyoto_run3_MTE!K217</f>
        <v>0</v>
      </c>
      <c r="H104" s="711">
        <f>Bilans_E_AMS_Kyoto_run3_MTE!L217</f>
        <v>3.72904093688493</v>
      </c>
      <c r="I104" s="711">
        <f>Bilans_E_AMS_Kyoto_run3_MTE!M217</f>
        <v>0</v>
      </c>
      <c r="J104" s="711">
        <f>Bilans_E_AMS_Kyoto_run3_MTE!N217</f>
        <v>0</v>
      </c>
      <c r="K104" s="711">
        <f>Bilans_E_AMS_Kyoto_run3_MTE!O217</f>
        <v>0</v>
      </c>
      <c r="L104" s="711">
        <f>Bilans_E_AMS_Kyoto_run3_MTE!P217</f>
        <v>0</v>
      </c>
      <c r="M104" s="711">
        <f>Bilans_E_AMS_Kyoto_run3_MTE!Q217</f>
        <v>0</v>
      </c>
      <c r="N104" s="711">
        <f>Bilans_E_AMS_Kyoto_run3_MTE!R217</f>
        <v>0</v>
      </c>
      <c r="O104" s="711">
        <f>Bilans_E_AMS_Kyoto_run3_MTE!S217</f>
        <v>0.19626531246762791</v>
      </c>
      <c r="P104" s="711">
        <f>Bilans_E_AMS_Kyoto_run3_MTE!T217+Bilans_E_AMS_Kyoto_run3_MTE!U217</f>
        <v>0</v>
      </c>
      <c r="Q104" s="711">
        <f>Bilans_E_AMS_Kyoto_run3_MTE!V217</f>
        <v>0</v>
      </c>
      <c r="R104" s="711">
        <f>Bilans_E_AMS_Kyoto_run3_MTE!W217</f>
        <v>34.180514899221805</v>
      </c>
      <c r="S104" s="711">
        <f>Bilans_E_AMS_Kyoto_run3_MTE!X217</f>
        <v>0</v>
      </c>
      <c r="T104" s="711">
        <f>Bilans_E_AMS_Kyoto_run3_MTE!Y217</f>
        <v>1</v>
      </c>
      <c r="U104" s="711">
        <f>Bilans_E_AMS_Kyoto_run3_MTE!Z217</f>
        <v>67.971607560595203</v>
      </c>
      <c r="V104" s="701"/>
      <c r="W104" s="701"/>
    </row>
    <row r="105" spans="1:23" x14ac:dyDescent="0.25">
      <c r="A105" s="701" t="s">
        <v>505</v>
      </c>
      <c r="B105" s="701"/>
      <c r="C105" s="717" t="s">
        <v>76</v>
      </c>
      <c r="D105" s="711">
        <f>Bilans_E_AMS_Kyoto_run3_MTE!H218</f>
        <v>0</v>
      </c>
      <c r="E105" s="711">
        <f>Bilans_E_AMS_Kyoto_run3_MTE!I218</f>
        <v>0</v>
      </c>
      <c r="F105" s="711">
        <f>Bilans_E_AMS_Kyoto_run3_MTE!J218</f>
        <v>0</v>
      </c>
      <c r="G105" s="711">
        <f>Bilans_E_AMS_Kyoto_run3_MTE!K218</f>
        <v>0</v>
      </c>
      <c r="H105" s="711">
        <f>Bilans_E_AMS_Kyoto_run3_MTE!L218</f>
        <v>4.280937627144942</v>
      </c>
      <c r="I105" s="711">
        <f>Bilans_E_AMS_Kyoto_run3_MTE!M218</f>
        <v>0</v>
      </c>
      <c r="J105" s="711">
        <f>Bilans_E_AMS_Kyoto_run3_MTE!N218</f>
        <v>0</v>
      </c>
      <c r="K105" s="711">
        <f>Bilans_E_AMS_Kyoto_run3_MTE!O218</f>
        <v>0</v>
      </c>
      <c r="L105" s="711">
        <f>Bilans_E_AMS_Kyoto_run3_MTE!P218</f>
        <v>0</v>
      </c>
      <c r="M105" s="711">
        <f>Bilans_E_AMS_Kyoto_run3_MTE!Q218</f>
        <v>0</v>
      </c>
      <c r="N105" s="711">
        <f>Bilans_E_AMS_Kyoto_run3_MTE!R218</f>
        <v>0</v>
      </c>
      <c r="O105" s="711">
        <f>Bilans_E_AMS_Kyoto_run3_MTE!S218</f>
        <v>0.22531250669183908</v>
      </c>
      <c r="P105" s="711">
        <f>Bilans_E_AMS_Kyoto_run3_MTE!T218+Bilans_E_AMS_Kyoto_run3_MTE!U218</f>
        <v>0</v>
      </c>
      <c r="Q105" s="711">
        <f>Bilans_E_AMS_Kyoto_run3_MTE!V218</f>
        <v>0</v>
      </c>
      <c r="R105" s="711">
        <f>Bilans_E_AMS_Kyoto_run3_MTE!W218</f>
        <v>41.266202819137604</v>
      </c>
      <c r="S105" s="711">
        <f>Bilans_E_AMS_Kyoto_run3_MTE!X218</f>
        <v>4.4071739193324495</v>
      </c>
      <c r="T105" s="711">
        <f>Bilans_E_AMS_Kyoto_run3_MTE!Y218</f>
        <v>0</v>
      </c>
      <c r="U105" s="711">
        <f>Bilans_E_AMS_Kyoto_run3_MTE!Z218</f>
        <v>50.179626872306834</v>
      </c>
      <c r="V105" s="701"/>
      <c r="W105" s="701"/>
    </row>
    <row r="106" spans="1:23" x14ac:dyDescent="0.25">
      <c r="A106" s="701" t="s">
        <v>506</v>
      </c>
      <c r="B106" s="701"/>
      <c r="C106" s="713" t="s">
        <v>77</v>
      </c>
      <c r="D106" s="714">
        <f>Bilans_E_AMS_Kyoto_run3_MTE!H219</f>
        <v>41.505949631571021</v>
      </c>
      <c r="E106" s="714">
        <f>Bilans_E_AMS_Kyoto_run3_MTE!I219</f>
        <v>484.3694936984873</v>
      </c>
      <c r="F106" s="714">
        <f>Bilans_E_AMS_Kyoto_run3_MTE!J219</f>
        <v>-452.24436762762616</v>
      </c>
      <c r="G106" s="714">
        <f>Bilans_E_AMS_Kyoto_run3_MTE!K219</f>
        <v>0</v>
      </c>
      <c r="H106" s="714">
        <f>Bilans_E_AMS_Kyoto_run3_MTE!L219</f>
        <v>83.882850629638284</v>
      </c>
      <c r="I106" s="714">
        <f>Bilans_E_AMS_Kyoto_run3_MTE!M219</f>
        <v>0</v>
      </c>
      <c r="J106" s="714">
        <f>Bilans_E_AMS_Kyoto_run3_MTE!N219</f>
        <v>1181.6974545454545</v>
      </c>
      <c r="K106" s="714">
        <f>Bilans_E_AMS_Kyoto_run3_MTE!O219</f>
        <v>152.67647201623672</v>
      </c>
      <c r="L106" s="714">
        <f>Bilans_E_AMS_Kyoto_run3_MTE!P219</f>
        <v>134.08220188570098</v>
      </c>
      <c r="M106" s="714">
        <f>Bilans_E_AMS_Kyoto_run3_MTE!Q219</f>
        <v>34.720343146927405</v>
      </c>
      <c r="N106" s="714">
        <f>Bilans_E_AMS_Kyoto_run3_MTE!R219</f>
        <v>-34.380630323121977</v>
      </c>
      <c r="O106" s="714">
        <f>Bilans_E_AMS_Kyoto_run3_MTE!S219</f>
        <v>-13.804756239409254</v>
      </c>
      <c r="P106" s="714">
        <f>Bilans_E_AMS_Kyoto_run3_MTE!T219+Bilans_E_AMS_Kyoto_run3_MTE!U219</f>
        <v>2.9294344243040014</v>
      </c>
      <c r="Q106" s="714">
        <f>Bilans_E_AMS_Kyoto_run3_MTE!V219</f>
        <v>6.375973544776329</v>
      </c>
      <c r="R106" s="714">
        <f>Bilans_E_AMS_Kyoto_run3_MTE!W219</f>
        <v>-513.58634233681778</v>
      </c>
      <c r="S106" s="714">
        <f>Bilans_E_AMS_Kyoto_run3_MTE!X219</f>
        <v>-52.412988254210823</v>
      </c>
      <c r="T106" s="714">
        <f>Bilans_E_AMS_Kyoto_run3_MTE!Y219</f>
        <v>-0.23802925650153006</v>
      </c>
      <c r="U106" s="714">
        <f>Bilans_E_AMS_Kyoto_run3_MTE!Z219</f>
        <v>1055.573059485409</v>
      </c>
      <c r="V106" s="701"/>
      <c r="W106" s="701"/>
    </row>
    <row r="107" spans="1:23" x14ac:dyDescent="0.25">
      <c r="A107" s="701"/>
      <c r="B107" s="701"/>
      <c r="C107" s="715"/>
      <c r="D107" s="716"/>
      <c r="E107" s="716"/>
      <c r="F107" s="716"/>
      <c r="G107" s="716"/>
      <c r="H107" s="716"/>
      <c r="I107" s="716"/>
      <c r="J107" s="716"/>
      <c r="K107" s="716"/>
      <c r="L107" s="716"/>
      <c r="M107" s="716"/>
      <c r="N107" s="716"/>
      <c r="O107" s="716"/>
      <c r="P107" s="716">
        <f>Bilans_E_AMS_Kyoto_run3_MTE!T220+Bilans_E_AMS_Kyoto_run3_MTE!U220</f>
        <v>0</v>
      </c>
      <c r="Q107" s="716"/>
      <c r="R107" s="716"/>
      <c r="S107" s="716"/>
      <c r="T107" s="716"/>
      <c r="U107" s="716"/>
      <c r="V107" s="701"/>
      <c r="W107" s="701"/>
    </row>
    <row r="108" spans="1:23" x14ac:dyDescent="0.25">
      <c r="A108" s="701" t="s">
        <v>507</v>
      </c>
      <c r="B108" s="701"/>
      <c r="C108" s="717" t="s">
        <v>78</v>
      </c>
      <c r="D108" s="711">
        <f>Bilans_E_AMS_Kyoto_run3_MTE!H221</f>
        <v>4.8925078124999999</v>
      </c>
      <c r="E108" s="711">
        <f>Bilans_E_AMS_Kyoto_run3_MTE!I221</f>
        <v>0</v>
      </c>
      <c r="F108" s="711">
        <f>Bilans_E_AMS_Kyoto_run3_MTE!J221</f>
        <v>24.165235131191906</v>
      </c>
      <c r="G108" s="711">
        <f>Bilans_E_AMS_Kyoto_run3_MTE!K221</f>
        <v>0</v>
      </c>
      <c r="H108" s="711">
        <f>Bilans_E_AMS_Kyoto_run3_MTE!L221</f>
        <v>94.084094813654275</v>
      </c>
      <c r="I108" s="711">
        <f>Bilans_E_AMS_Kyoto_run3_MTE!M221</f>
        <v>0</v>
      </c>
      <c r="J108" s="711">
        <f>Bilans_E_AMS_Kyoto_run3_MTE!N221</f>
        <v>0</v>
      </c>
      <c r="K108" s="711">
        <f>Bilans_E_AMS_Kyoto_run3_MTE!O221</f>
        <v>0</v>
      </c>
      <c r="L108" s="711">
        <f>Bilans_E_AMS_Kyoto_run3_MTE!P221</f>
        <v>26.937463537570867</v>
      </c>
      <c r="M108" s="711">
        <f>Bilans_E_AMS_Kyoto_run3_MTE!Q221</f>
        <v>6.1285070662635537</v>
      </c>
      <c r="N108" s="711">
        <f>Bilans_E_AMS_Kyoto_run3_MTE!R221</f>
        <v>0.93174084898654219</v>
      </c>
      <c r="O108" s="711">
        <f>Bilans_E_AMS_Kyoto_run3_MTE!S221</f>
        <v>4.9753349470269299</v>
      </c>
      <c r="P108" s="711">
        <f>Bilans_E_AMS_Kyoto_run3_MTE!T221+Bilans_E_AMS_Kyoto_run3_MTE!U221</f>
        <v>1.390278564453125</v>
      </c>
      <c r="Q108" s="711">
        <f>Bilans_E_AMS_Kyoto_run3_MTE!V221</f>
        <v>4.7991131198633983E-4</v>
      </c>
      <c r="R108" s="711">
        <f>Bilans_E_AMS_Kyoto_run3_MTE!W221</f>
        <v>120.70181135843518</v>
      </c>
      <c r="S108" s="711">
        <f>Bilans_E_AMS_Kyoto_run3_MTE!X221</f>
        <v>18.813292152120741</v>
      </c>
      <c r="T108" s="711">
        <f>Bilans_E_AMS_Kyoto_run3_MTE!Y221</f>
        <v>0.1368032684326172</v>
      </c>
      <c r="U108" s="711">
        <f>Bilans_E_AMS_Kyoto_run3_MTE!Z221</f>
        <v>303.1575494119478</v>
      </c>
      <c r="V108" s="701"/>
      <c r="W108" s="701"/>
    </row>
    <row r="109" spans="1:23" x14ac:dyDescent="0.25">
      <c r="A109" s="701" t="s">
        <v>508</v>
      </c>
      <c r="B109" s="701"/>
      <c r="C109" s="717" t="s">
        <v>79</v>
      </c>
      <c r="D109" s="711">
        <f>Bilans_E_AMS_Kyoto_run3_MTE!H222</f>
        <v>0</v>
      </c>
      <c r="E109" s="711">
        <f>Bilans_E_AMS_Kyoto_run3_MTE!I222</f>
        <v>0</v>
      </c>
      <c r="F109" s="711">
        <f>Bilans_E_AMS_Kyoto_run3_MTE!J222</f>
        <v>419.79556605067489</v>
      </c>
      <c r="G109" s="711">
        <f>Bilans_E_AMS_Kyoto_run3_MTE!K222</f>
        <v>0</v>
      </c>
      <c r="H109" s="711">
        <f>Bilans_E_AMS_Kyoto_run3_MTE!L222</f>
        <v>4.0169244395410075</v>
      </c>
      <c r="I109" s="711">
        <f>Bilans_E_AMS_Kyoto_run3_MTE!M222</f>
        <v>0</v>
      </c>
      <c r="J109" s="711">
        <f>Bilans_E_AMS_Kyoto_run3_MTE!N222</f>
        <v>0</v>
      </c>
      <c r="K109" s="711">
        <f>Bilans_E_AMS_Kyoto_run3_MTE!O222</f>
        <v>0</v>
      </c>
      <c r="L109" s="711">
        <f>Bilans_E_AMS_Kyoto_run3_MTE!P222</f>
        <v>0</v>
      </c>
      <c r="M109" s="711">
        <f>Bilans_E_AMS_Kyoto_run3_MTE!Q222</f>
        <v>0</v>
      </c>
      <c r="N109" s="711">
        <f>Bilans_E_AMS_Kyoto_run3_MTE!R222</f>
        <v>36.659680118734968</v>
      </c>
      <c r="O109" s="711">
        <f>Bilans_E_AMS_Kyoto_run3_MTE!S222</f>
        <v>0.21141707576531621</v>
      </c>
      <c r="P109" s="711">
        <f>Bilans_E_AMS_Kyoto_run3_MTE!T222+Bilans_E_AMS_Kyoto_run3_MTE!U222</f>
        <v>0</v>
      </c>
      <c r="Q109" s="711">
        <f>Bilans_E_AMS_Kyoto_run3_MTE!V222</f>
        <v>0</v>
      </c>
      <c r="R109" s="711">
        <f>Bilans_E_AMS_Kyoto_run3_MTE!W222</f>
        <v>16.904139208606786</v>
      </c>
      <c r="S109" s="711">
        <f>Bilans_E_AMS_Kyoto_run3_MTE!X222</f>
        <v>0</v>
      </c>
      <c r="T109" s="711">
        <f>Bilans_E_AMS_Kyoto_run3_MTE!Y222</f>
        <v>0</v>
      </c>
      <c r="U109" s="711">
        <f>Bilans_E_AMS_Kyoto_run3_MTE!Z222</f>
        <v>477.58772689332301</v>
      </c>
      <c r="V109" s="701"/>
      <c r="W109" s="701"/>
    </row>
    <row r="110" spans="1:23" x14ac:dyDescent="0.25">
      <c r="A110" s="701" t="s">
        <v>509</v>
      </c>
      <c r="B110" s="701"/>
      <c r="C110" s="717" t="s">
        <v>80</v>
      </c>
      <c r="D110" s="711">
        <f>Bilans_E_AMS_Kyoto_run3_MTE!H223</f>
        <v>0</v>
      </c>
      <c r="E110" s="711">
        <f>Bilans_E_AMS_Kyoto_run3_MTE!I223</f>
        <v>0</v>
      </c>
      <c r="F110" s="711">
        <f>Bilans_E_AMS_Kyoto_run3_MTE!J223</f>
        <v>30.264105073000309</v>
      </c>
      <c r="G110" s="711">
        <f>Bilans_E_AMS_Kyoto_run3_MTE!K223</f>
        <v>0</v>
      </c>
      <c r="H110" s="711">
        <f>Bilans_E_AMS_Kyoto_run3_MTE!L223</f>
        <v>109.4222854593897</v>
      </c>
      <c r="I110" s="711">
        <f>Bilans_E_AMS_Kyoto_run3_MTE!M223</f>
        <v>0</v>
      </c>
      <c r="J110" s="711">
        <f>Bilans_E_AMS_Kyoto_run3_MTE!N223</f>
        <v>0</v>
      </c>
      <c r="K110" s="711">
        <f>Bilans_E_AMS_Kyoto_run3_MTE!O223</f>
        <v>0</v>
      </c>
      <c r="L110" s="711">
        <f>Bilans_E_AMS_Kyoto_run3_MTE!P223</f>
        <v>73.413726167362853</v>
      </c>
      <c r="M110" s="711">
        <f>Bilans_E_AMS_Kyoto_run3_MTE!Q223</f>
        <v>0</v>
      </c>
      <c r="N110" s="711">
        <f>Bilans_E_AMS_Kyoto_run3_MTE!R223</f>
        <v>0</v>
      </c>
      <c r="O110" s="711">
        <f>Bilans_E_AMS_Kyoto_run3_MTE!S223</f>
        <v>5.7590676557573532</v>
      </c>
      <c r="P110" s="711">
        <f>Bilans_E_AMS_Kyoto_run3_MTE!T223+Bilans_E_AMS_Kyoto_run3_MTE!U223</f>
        <v>58.81291503857112</v>
      </c>
      <c r="Q110" s="711">
        <f>Bilans_E_AMS_Kyoto_run3_MTE!V223</f>
        <v>3.6562035035050702</v>
      </c>
      <c r="R110" s="711">
        <f>Bilans_E_AMS_Kyoto_run3_MTE!W223</f>
        <v>155.95540999328384</v>
      </c>
      <c r="S110" s="711">
        <f>Bilans_E_AMS_Kyoto_run3_MTE!X223</f>
        <v>17.330040012113464</v>
      </c>
      <c r="T110" s="711">
        <f>Bilans_E_AMS_Kyoto_run3_MTE!Y223</f>
        <v>0</v>
      </c>
      <c r="U110" s="711">
        <f>Bilans_E_AMS_Kyoto_run3_MTE!Z223</f>
        <v>454.61375290298366</v>
      </c>
      <c r="V110" s="701"/>
      <c r="W110" s="701"/>
    </row>
    <row r="111" spans="1:23" x14ac:dyDescent="0.25">
      <c r="A111" s="701" t="s">
        <v>510</v>
      </c>
      <c r="B111" s="701"/>
      <c r="C111" s="717" t="s">
        <v>81</v>
      </c>
      <c r="D111" s="711">
        <f>Bilans_E_AMS_Kyoto_run3_MTE!H224</f>
        <v>0</v>
      </c>
      <c r="E111" s="711">
        <f>Bilans_E_AMS_Kyoto_run3_MTE!I224</f>
        <v>0</v>
      </c>
      <c r="F111" s="711">
        <f>Bilans_E_AMS_Kyoto_run3_MTE!J224</f>
        <v>18.302012365463629</v>
      </c>
      <c r="G111" s="711">
        <f>Bilans_E_AMS_Kyoto_run3_MTE!K224</f>
        <v>0</v>
      </c>
      <c r="H111" s="711">
        <f>Bilans_E_AMS_Kyoto_run3_MTE!L224</f>
        <v>60.4894671340926</v>
      </c>
      <c r="I111" s="711">
        <f>Bilans_E_AMS_Kyoto_run3_MTE!M224</f>
        <v>0</v>
      </c>
      <c r="J111" s="711">
        <f>Bilans_E_AMS_Kyoto_run3_MTE!N224</f>
        <v>0</v>
      </c>
      <c r="K111" s="711">
        <f>Bilans_E_AMS_Kyoto_run3_MTE!O224</f>
        <v>0</v>
      </c>
      <c r="L111" s="711">
        <f>Bilans_E_AMS_Kyoto_run3_MTE!P224</f>
        <v>0.46982123257429881</v>
      </c>
      <c r="M111" s="711">
        <f>Bilans_E_AMS_Kyoto_run3_MTE!Q224</f>
        <v>0</v>
      </c>
      <c r="N111" s="711">
        <f>Bilans_E_AMS_Kyoto_run3_MTE!R224</f>
        <v>0</v>
      </c>
      <c r="O111" s="711">
        <f>Bilans_E_AMS_Kyoto_run3_MTE!S224</f>
        <v>3.1836561649522426</v>
      </c>
      <c r="P111" s="711">
        <f>Bilans_E_AMS_Kyoto_run3_MTE!T224+Bilans_E_AMS_Kyoto_run3_MTE!U224</f>
        <v>20.889920153176526</v>
      </c>
      <c r="Q111" s="711">
        <f>Bilans_E_AMS_Kyoto_run3_MTE!V224</f>
        <v>3.5112271315974612</v>
      </c>
      <c r="R111" s="711">
        <f>Bilans_E_AMS_Kyoto_run3_MTE!W224</f>
        <v>125.61536332451628</v>
      </c>
      <c r="S111" s="711">
        <f>Bilans_E_AMS_Kyoto_run3_MTE!X224</f>
        <v>16.26962770883793</v>
      </c>
      <c r="T111" s="711">
        <f>Bilans_E_AMS_Kyoto_run3_MTE!Y224</f>
        <v>0</v>
      </c>
      <c r="U111" s="711">
        <f>Bilans_E_AMS_Kyoto_run3_MTE!Z224</f>
        <v>248.73109521521098</v>
      </c>
      <c r="V111" s="701"/>
      <c r="W111" s="701"/>
    </row>
    <row r="112" spans="1:23" x14ac:dyDescent="0.25">
      <c r="A112" s="701" t="s">
        <v>511</v>
      </c>
      <c r="B112" s="701"/>
      <c r="C112" s="717" t="s">
        <v>82</v>
      </c>
      <c r="D112" s="711">
        <f>Bilans_E_AMS_Kyoto_run3_MTE!H225</f>
        <v>0</v>
      </c>
      <c r="E112" s="711">
        <f>Bilans_E_AMS_Kyoto_run3_MTE!I225</f>
        <v>0</v>
      </c>
      <c r="F112" s="711">
        <f>Bilans_E_AMS_Kyoto_run3_MTE!J225</f>
        <v>35.262359218486715</v>
      </c>
      <c r="G112" s="711">
        <f>Bilans_E_AMS_Kyoto_run3_MTE!K225</f>
        <v>0</v>
      </c>
      <c r="H112" s="711">
        <f>Bilans_E_AMS_Kyoto_run3_MTE!L225</f>
        <v>2.2638116386535292</v>
      </c>
      <c r="I112" s="711">
        <f>Bilans_E_AMS_Kyoto_run3_MTE!M225</f>
        <v>0</v>
      </c>
      <c r="J112" s="711">
        <f>Bilans_E_AMS_Kyoto_run3_MTE!N225</f>
        <v>0</v>
      </c>
      <c r="K112" s="711">
        <f>Bilans_E_AMS_Kyoto_run3_MTE!O225</f>
        <v>0</v>
      </c>
      <c r="L112" s="711">
        <f>Bilans_E_AMS_Kyoto_run3_MTE!P225</f>
        <v>4.8413821640415255</v>
      </c>
      <c r="M112" s="711">
        <f>Bilans_E_AMS_Kyoto_run3_MTE!Q225</f>
        <v>0</v>
      </c>
      <c r="N112" s="711">
        <f>Bilans_E_AMS_Kyoto_run3_MTE!R225</f>
        <v>2.7934691016396722</v>
      </c>
      <c r="O112" s="711">
        <f>Bilans_E_AMS_Kyoto_run3_MTE!S225</f>
        <v>0.1191479809817647</v>
      </c>
      <c r="P112" s="711">
        <f>Bilans_E_AMS_Kyoto_run3_MTE!T225+Bilans_E_AMS_Kyoto_run3_MTE!U225</f>
        <v>0.25</v>
      </c>
      <c r="Q112" s="711">
        <f>Bilans_E_AMS_Kyoto_run3_MTE!V225</f>
        <v>0.36066131262685786</v>
      </c>
      <c r="R112" s="711">
        <f>Bilans_E_AMS_Kyoto_run3_MTE!W225</f>
        <v>8.2175953615538209</v>
      </c>
      <c r="S112" s="711">
        <f>Bilans_E_AMS_Kyoto_run3_MTE!X225</f>
        <v>0</v>
      </c>
      <c r="T112" s="711">
        <f>Bilans_E_AMS_Kyoto_run3_MTE!Y225</f>
        <v>0.10122598806891285</v>
      </c>
      <c r="U112" s="711">
        <f>Bilans_E_AMS_Kyoto_run3_MTE!Z225</f>
        <v>54.209652766052798</v>
      </c>
      <c r="V112" s="701"/>
      <c r="W112" s="701"/>
    </row>
    <row r="113" spans="1:23" x14ac:dyDescent="0.25">
      <c r="A113" s="701" t="s">
        <v>512</v>
      </c>
      <c r="B113" s="701"/>
      <c r="C113" s="717" t="s">
        <v>354</v>
      </c>
      <c r="D113" s="711">
        <f>Bilans_E_AMS_Kyoto_run3_MTE!H226</f>
        <v>0</v>
      </c>
      <c r="E113" s="711">
        <f>Bilans_E_AMS_Kyoto_run3_MTE!I226</f>
        <v>0</v>
      </c>
      <c r="F113" s="711">
        <f>Bilans_E_AMS_Kyoto_run3_MTE!J226</f>
        <v>0</v>
      </c>
      <c r="G113" s="711">
        <f>Bilans_E_AMS_Kyoto_run3_MTE!K226</f>
        <v>0</v>
      </c>
      <c r="H113" s="711">
        <f>Bilans_E_AMS_Kyoto_run3_MTE!L226</f>
        <v>0</v>
      </c>
      <c r="I113" s="711">
        <f>Bilans_E_AMS_Kyoto_run3_MTE!M226</f>
        <v>0</v>
      </c>
      <c r="J113" s="711">
        <f>Bilans_E_AMS_Kyoto_run3_MTE!N226</f>
        <v>0</v>
      </c>
      <c r="K113" s="711">
        <f>Bilans_E_AMS_Kyoto_run3_MTE!O226</f>
        <v>0</v>
      </c>
      <c r="L113" s="711">
        <f>Bilans_E_AMS_Kyoto_run3_MTE!P226</f>
        <v>0</v>
      </c>
      <c r="M113" s="711">
        <f>Bilans_E_AMS_Kyoto_run3_MTE!Q226</f>
        <v>0</v>
      </c>
      <c r="N113" s="711">
        <f>Bilans_E_AMS_Kyoto_run3_MTE!R226</f>
        <v>0</v>
      </c>
      <c r="O113" s="711">
        <f>Bilans_E_AMS_Kyoto_run3_MTE!S226</f>
        <v>0</v>
      </c>
      <c r="P113" s="711">
        <f>Bilans_E_AMS_Kyoto_run3_MTE!T226+Bilans_E_AMS_Kyoto_run3_MTE!U226</f>
        <v>0</v>
      </c>
      <c r="Q113" s="711">
        <f>Bilans_E_AMS_Kyoto_run3_MTE!V226</f>
        <v>0</v>
      </c>
      <c r="R113" s="711">
        <f>Bilans_E_AMS_Kyoto_run3_MTE!W226</f>
        <v>0</v>
      </c>
      <c r="S113" s="711">
        <f>Bilans_E_AMS_Kyoto_run3_MTE!X226</f>
        <v>0</v>
      </c>
      <c r="T113" s="711">
        <f>Bilans_E_AMS_Kyoto_run3_MTE!Y226</f>
        <v>0</v>
      </c>
      <c r="U113" s="711">
        <f>Bilans_E_AMS_Kyoto_run3_MTE!Z226</f>
        <v>0</v>
      </c>
      <c r="V113" s="701"/>
      <c r="W113" s="701"/>
    </row>
    <row r="114" spans="1:23" x14ac:dyDescent="0.25">
      <c r="A114" s="701" t="s">
        <v>513</v>
      </c>
      <c r="B114" s="701"/>
      <c r="C114" s="713" t="s">
        <v>83</v>
      </c>
      <c r="D114" s="714">
        <f>Bilans_E_AMS_Kyoto_run3_MTE!H227</f>
        <v>4.8925078124999999</v>
      </c>
      <c r="E114" s="714">
        <f>Bilans_E_AMS_Kyoto_run3_MTE!I227</f>
        <v>0</v>
      </c>
      <c r="F114" s="714">
        <f>Bilans_E_AMS_Kyoto_run3_MTE!J227</f>
        <v>527.7892778388175</v>
      </c>
      <c r="G114" s="714">
        <f>Bilans_E_AMS_Kyoto_run3_MTE!K227</f>
        <v>0</v>
      </c>
      <c r="H114" s="714">
        <f>Bilans_E_AMS_Kyoto_run3_MTE!L227</f>
        <v>270.27658348533112</v>
      </c>
      <c r="I114" s="714">
        <f>Bilans_E_AMS_Kyoto_run3_MTE!M227</f>
        <v>0</v>
      </c>
      <c r="J114" s="714">
        <f>Bilans_E_AMS_Kyoto_run3_MTE!N227</f>
        <v>0</v>
      </c>
      <c r="K114" s="714">
        <f>Bilans_E_AMS_Kyoto_run3_MTE!O227</f>
        <v>0</v>
      </c>
      <c r="L114" s="714">
        <f>Bilans_E_AMS_Kyoto_run3_MTE!P227</f>
        <v>105.66239310154954</v>
      </c>
      <c r="M114" s="714">
        <f>Bilans_E_AMS_Kyoto_run3_MTE!Q227</f>
        <v>6.1285070662635537</v>
      </c>
      <c r="N114" s="714">
        <f>Bilans_E_AMS_Kyoto_run3_MTE!R227</f>
        <v>40.384890069361184</v>
      </c>
      <c r="O114" s="714">
        <f>Bilans_E_AMS_Kyoto_run3_MTE!S227</f>
        <v>14.248623824483609</v>
      </c>
      <c r="P114" s="714">
        <f>Bilans_E_AMS_Kyoto_run3_MTE!T227+Bilans_E_AMS_Kyoto_run3_MTE!U227</f>
        <v>81.343113756200779</v>
      </c>
      <c r="Q114" s="714">
        <f>Bilans_E_AMS_Kyoto_run3_MTE!V227</f>
        <v>7.5285718590413762</v>
      </c>
      <c r="R114" s="714">
        <f>Bilans_E_AMS_Kyoto_run3_MTE!W227</f>
        <v>427.39431924639592</v>
      </c>
      <c r="S114" s="714">
        <f>Bilans_E_AMS_Kyoto_run3_MTE!X227</f>
        <v>52.41295987307214</v>
      </c>
      <c r="T114" s="714">
        <f>Bilans_E_AMS_Kyoto_run3_MTE!Y227</f>
        <v>0.23802925650153006</v>
      </c>
      <c r="U114" s="714">
        <f>Bilans_E_AMS_Kyoto_run3_MTE!Z227</f>
        <v>1538.2997771895184</v>
      </c>
      <c r="V114" s="701"/>
      <c r="W114" s="701"/>
    </row>
    <row r="115" spans="1:23" x14ac:dyDescent="0.25">
      <c r="A115" s="701" t="s">
        <v>514</v>
      </c>
      <c r="B115" s="701"/>
      <c r="C115" s="710" t="s">
        <v>84</v>
      </c>
      <c r="D115" s="711">
        <f>Bilans_E_AMS_Kyoto_run3_MTE!H228</f>
        <v>0</v>
      </c>
      <c r="E115" s="711">
        <f>Bilans_E_AMS_Kyoto_run3_MTE!I228</f>
        <v>0</v>
      </c>
      <c r="F115" s="711">
        <f>Bilans_E_AMS_Kyoto_run3_MTE!J228</f>
        <v>114.54386945674393</v>
      </c>
      <c r="G115" s="711">
        <f>Bilans_E_AMS_Kyoto_run3_MTE!K228</f>
        <v>0</v>
      </c>
      <c r="H115" s="711">
        <f>Bilans_E_AMS_Kyoto_run3_MTE!L228</f>
        <v>13.300999650365602</v>
      </c>
      <c r="I115" s="711">
        <f>Bilans_E_AMS_Kyoto_run3_MTE!M228</f>
        <v>0</v>
      </c>
      <c r="J115" s="711">
        <f>Bilans_E_AMS_Kyoto_run3_MTE!N228</f>
        <v>0</v>
      </c>
      <c r="K115" s="711">
        <f>Bilans_E_AMS_Kyoto_run3_MTE!O228</f>
        <v>0</v>
      </c>
      <c r="L115" s="711">
        <f>Bilans_E_AMS_Kyoto_run3_MTE!P228</f>
        <v>4.9614085936159999E-2</v>
      </c>
      <c r="M115" s="711">
        <f>Bilans_E_AMS_Kyoto_run3_MTE!Q228</f>
        <v>0</v>
      </c>
      <c r="N115" s="711">
        <f>Bilans_E_AMS_Kyoto_run3_MTE!R228</f>
        <v>8.8573866734579565E-2</v>
      </c>
      <c r="O115" s="711">
        <f>Bilans_E_AMS_Kyoto_run3_MTE!S228</f>
        <v>0</v>
      </c>
      <c r="P115" s="711">
        <f>Bilans_E_AMS_Kyoto_run3_MTE!T228+Bilans_E_AMS_Kyoto_run3_MTE!U228</f>
        <v>0</v>
      </c>
      <c r="Q115" s="711">
        <f>Bilans_E_AMS_Kyoto_run3_MTE!V228</f>
        <v>0</v>
      </c>
      <c r="R115" s="711">
        <f>Bilans_E_AMS_Kyoto_run3_MTE!W228</f>
        <v>0</v>
      </c>
      <c r="S115" s="711">
        <f>Bilans_E_AMS_Kyoto_run3_MTE!X228</f>
        <v>0</v>
      </c>
      <c r="T115" s="711">
        <f>Bilans_E_AMS_Kyoto_run3_MTE!Y228</f>
        <v>0</v>
      </c>
      <c r="U115" s="711">
        <f>Bilans_E_AMS_Kyoto_run3_MTE!Z228</f>
        <v>127.98305705978026</v>
      </c>
      <c r="V115" s="701"/>
      <c r="W115" s="701"/>
    </row>
    <row r="116" spans="1:23" x14ac:dyDescent="0.25">
      <c r="A116" s="701" t="s">
        <v>515</v>
      </c>
      <c r="B116" s="701"/>
      <c r="C116" s="713" t="s">
        <v>85</v>
      </c>
      <c r="D116" s="714">
        <f>Bilans_E_AMS_Kyoto_run3_MTE!H229</f>
        <v>4.8925078124999999</v>
      </c>
      <c r="E116" s="714">
        <f>Bilans_E_AMS_Kyoto_run3_MTE!I229</f>
        <v>0</v>
      </c>
      <c r="F116" s="714">
        <f>Bilans_E_AMS_Kyoto_run3_MTE!J229</f>
        <v>642.33314729556139</v>
      </c>
      <c r="G116" s="714">
        <f>Bilans_E_AMS_Kyoto_run3_MTE!K229</f>
        <v>0</v>
      </c>
      <c r="H116" s="714">
        <f>Bilans_E_AMS_Kyoto_run3_MTE!L229</f>
        <v>283.57758313569673</v>
      </c>
      <c r="I116" s="714">
        <f>Bilans_E_AMS_Kyoto_run3_MTE!M229</f>
        <v>0</v>
      </c>
      <c r="J116" s="714">
        <f>Bilans_E_AMS_Kyoto_run3_MTE!N229</f>
        <v>0</v>
      </c>
      <c r="K116" s="714">
        <f>Bilans_E_AMS_Kyoto_run3_MTE!O229</f>
        <v>0</v>
      </c>
      <c r="L116" s="714">
        <f>Bilans_E_AMS_Kyoto_run3_MTE!P229</f>
        <v>105.7120071874857</v>
      </c>
      <c r="M116" s="714">
        <f>Bilans_E_AMS_Kyoto_run3_MTE!Q229</f>
        <v>6.1285070662635537</v>
      </c>
      <c r="N116" s="714">
        <f>Bilans_E_AMS_Kyoto_run3_MTE!R229</f>
        <v>40.473463936095762</v>
      </c>
      <c r="O116" s="714">
        <f>Bilans_E_AMS_Kyoto_run3_MTE!S229</f>
        <v>14.248623824483609</v>
      </c>
      <c r="P116" s="714">
        <f>Bilans_E_AMS_Kyoto_run3_MTE!T229+Bilans_E_AMS_Kyoto_run3_MTE!U229</f>
        <v>81.343113756200779</v>
      </c>
      <c r="Q116" s="714">
        <f>Bilans_E_AMS_Kyoto_run3_MTE!V229</f>
        <v>7.5285718590413762</v>
      </c>
      <c r="R116" s="714">
        <f>Bilans_E_AMS_Kyoto_run3_MTE!W229</f>
        <v>427.39431924639592</v>
      </c>
      <c r="S116" s="714">
        <f>Bilans_E_AMS_Kyoto_run3_MTE!X229</f>
        <v>52.41295987307214</v>
      </c>
      <c r="T116" s="714">
        <f>Bilans_E_AMS_Kyoto_run3_MTE!Y229</f>
        <v>0.23802925650153006</v>
      </c>
      <c r="U116" s="714">
        <f>Bilans_E_AMS_Kyoto_run3_MTE!Z229</f>
        <v>1666.2828342492987</v>
      </c>
      <c r="V116" s="701"/>
      <c r="W116" s="701"/>
    </row>
    <row r="117" spans="1:23" x14ac:dyDescent="0.25">
      <c r="A117" s="701"/>
      <c r="B117" s="701"/>
      <c r="C117" s="701"/>
      <c r="D117" s="701">
        <f>Bilans_E_AMS_Kyoto_run3_MTE!H230</f>
        <v>0</v>
      </c>
      <c r="E117" s="701">
        <f>Bilans_E_AMS_Kyoto_run3_MTE!I230</f>
        <v>0</v>
      </c>
      <c r="F117" s="701">
        <f>Bilans_E_AMS_Kyoto_run3_MTE!J230</f>
        <v>0</v>
      </c>
      <c r="G117" s="701">
        <f>Bilans_E_AMS_Kyoto_run3_MTE!K230</f>
        <v>0</v>
      </c>
      <c r="H117" s="701">
        <f>Bilans_E_AMS_Kyoto_run3_MTE!L230</f>
        <v>0</v>
      </c>
      <c r="I117" s="701">
        <f>Bilans_E_AMS_Kyoto_run3_MTE!M230</f>
        <v>0</v>
      </c>
      <c r="J117" s="701">
        <f>Bilans_E_AMS_Kyoto_run3_MTE!N230</f>
        <v>0</v>
      </c>
      <c r="K117" s="701">
        <f>Bilans_E_AMS_Kyoto_run3_MTE!O230</f>
        <v>0</v>
      </c>
      <c r="L117" s="701">
        <f>Bilans_E_AMS_Kyoto_run3_MTE!P230</f>
        <v>0</v>
      </c>
      <c r="M117" s="701">
        <f>Bilans_E_AMS_Kyoto_run3_MTE!Q230</f>
        <v>0</v>
      </c>
      <c r="N117" s="701">
        <f>Bilans_E_AMS_Kyoto_run3_MTE!R230</f>
        <v>0</v>
      </c>
      <c r="O117" s="701">
        <f>Bilans_E_AMS_Kyoto_run3_MTE!S230</f>
        <v>-3.5628409509486869E-2</v>
      </c>
      <c r="P117" s="701">
        <f>Bilans_E_AMS_Kyoto_run3_MTE!T230+Bilans_E_AMS_Kyoto_run3_MTE!U230</f>
        <v>0</v>
      </c>
      <c r="Q117" s="701">
        <f>Bilans_E_AMS_Kyoto_run3_MTE!V230</f>
        <v>0</v>
      </c>
      <c r="R117" s="701">
        <f>Bilans_E_AMS_Kyoto_run3_MTE!W230</f>
        <v>0</v>
      </c>
      <c r="S117" s="701">
        <f>Bilans_E_AMS_Kyoto_run3_MTE!X230</f>
        <v>-2.8381138683641893E-5</v>
      </c>
      <c r="T117" s="701">
        <f>Bilans_E_AMS_Kyoto_run3_MTE!Y230</f>
        <v>0</v>
      </c>
      <c r="U117" s="701">
        <f>Bilans_E_AMS_Kyoto_run3_MTE!Z230</f>
        <v>-3.565679064786309E-2</v>
      </c>
      <c r="V117" s="701"/>
      <c r="W117" s="701"/>
    </row>
    <row r="118" spans="1:23" x14ac:dyDescent="0.25">
      <c r="A118" s="701"/>
      <c r="B118" s="701"/>
      <c r="C118" s="701"/>
      <c r="D118" s="701"/>
      <c r="E118" s="701"/>
      <c r="F118" s="701"/>
      <c r="G118" s="701"/>
      <c r="H118" s="701"/>
      <c r="I118" s="701"/>
      <c r="J118" s="701"/>
      <c r="K118" s="701"/>
      <c r="L118" s="701"/>
      <c r="M118" s="701"/>
      <c r="N118" s="701"/>
      <c r="O118" s="701"/>
      <c r="P118" s="701"/>
      <c r="Q118" s="701"/>
      <c r="R118" s="701"/>
      <c r="S118" s="701"/>
      <c r="T118" s="701"/>
      <c r="U118" s="701"/>
      <c r="V118" s="701"/>
      <c r="W118" s="701"/>
    </row>
    <row r="119" spans="1:23" x14ac:dyDescent="0.25">
      <c r="A119" s="707"/>
      <c r="B119" s="707"/>
      <c r="C119" s="708" t="s">
        <v>356</v>
      </c>
      <c r="D119" s="707"/>
      <c r="E119" s="707"/>
      <c r="F119" s="707"/>
      <c r="G119" s="707"/>
      <c r="H119" s="707"/>
      <c r="I119" s="707"/>
      <c r="J119" s="707"/>
      <c r="K119" s="707"/>
      <c r="L119" s="707"/>
      <c r="M119" s="707"/>
      <c r="N119" s="707"/>
      <c r="O119" s="707"/>
      <c r="P119" s="707"/>
      <c r="Q119" s="707"/>
      <c r="R119" s="707"/>
      <c r="S119" s="707"/>
      <c r="T119" s="707"/>
      <c r="U119" s="707"/>
      <c r="V119" s="707"/>
      <c r="W119" s="707"/>
    </row>
    <row r="120" spans="1:23" x14ac:dyDescent="0.25">
      <c r="A120" s="701"/>
      <c r="B120" s="701"/>
      <c r="C120" s="701"/>
      <c r="D120" s="701"/>
      <c r="E120" s="701"/>
      <c r="F120" s="701"/>
      <c r="G120" s="701"/>
      <c r="H120" s="701"/>
      <c r="I120" s="701"/>
      <c r="J120" s="701"/>
      <c r="K120" s="701"/>
      <c r="L120" s="701"/>
      <c r="M120" s="701"/>
      <c r="N120" s="701"/>
      <c r="O120" s="701"/>
      <c r="P120" s="701"/>
      <c r="Q120" s="701"/>
      <c r="R120" s="701"/>
      <c r="S120" s="701"/>
      <c r="T120" s="701"/>
      <c r="U120" s="701"/>
      <c r="V120" s="701"/>
      <c r="W120" s="701"/>
    </row>
    <row r="121" spans="1:23" x14ac:dyDescent="0.25">
      <c r="A121" s="701"/>
      <c r="B121" s="701"/>
      <c r="C121" s="780" t="s">
        <v>128</v>
      </c>
      <c r="D121" s="775" t="s">
        <v>42</v>
      </c>
      <c r="E121" s="775" t="s">
        <v>52</v>
      </c>
      <c r="F121" s="775" t="s">
        <v>53</v>
      </c>
      <c r="G121" s="775" t="s">
        <v>482</v>
      </c>
      <c r="H121" s="775" t="s">
        <v>32</v>
      </c>
      <c r="I121" s="775" t="s">
        <v>483</v>
      </c>
      <c r="J121" s="775" t="s">
        <v>20</v>
      </c>
      <c r="K121" s="775" t="s">
        <v>55</v>
      </c>
      <c r="L121" s="777" t="s">
        <v>56</v>
      </c>
      <c r="M121" s="778"/>
      <c r="N121" s="778"/>
      <c r="O121" s="778"/>
      <c r="P121" s="778"/>
      <c r="Q121" s="779"/>
      <c r="R121" s="775" t="s">
        <v>57</v>
      </c>
      <c r="S121" s="775" t="s">
        <v>58</v>
      </c>
      <c r="T121" s="775" t="s">
        <v>31</v>
      </c>
      <c r="U121" s="775" t="s">
        <v>10</v>
      </c>
      <c r="V121" s="701"/>
      <c r="W121" s="701"/>
    </row>
    <row r="122" spans="1:23" ht="67.5" x14ac:dyDescent="0.25">
      <c r="A122" s="701" t="s">
        <v>486</v>
      </c>
      <c r="B122" s="701"/>
      <c r="C122" s="781"/>
      <c r="D122" s="776"/>
      <c r="E122" s="776"/>
      <c r="F122" s="776"/>
      <c r="G122" s="776"/>
      <c r="H122" s="776"/>
      <c r="I122" s="776"/>
      <c r="J122" s="776"/>
      <c r="K122" s="776"/>
      <c r="L122" s="709" t="s">
        <v>335</v>
      </c>
      <c r="M122" s="709" t="s">
        <v>40</v>
      </c>
      <c r="N122" s="709" t="s">
        <v>343</v>
      </c>
      <c r="O122" s="709" t="s">
        <v>344</v>
      </c>
      <c r="P122" s="719" t="s">
        <v>610</v>
      </c>
      <c r="Q122" s="709" t="s">
        <v>346</v>
      </c>
      <c r="R122" s="776"/>
      <c r="S122" s="776"/>
      <c r="T122" s="776"/>
      <c r="U122" s="776"/>
      <c r="V122" s="701"/>
      <c r="W122" s="701"/>
    </row>
    <row r="123" spans="1:23" x14ac:dyDescent="0.25">
      <c r="A123" s="701" t="s">
        <v>487</v>
      </c>
      <c r="B123" s="701"/>
      <c r="C123" s="710" t="s">
        <v>59</v>
      </c>
      <c r="D123" s="711">
        <f>Bilans_E_AMS_Kyoto_run3_MTE!H236</f>
        <v>0</v>
      </c>
      <c r="E123" s="711">
        <f>Bilans_E_AMS_Kyoto_run3_MTE!I236</f>
        <v>9.5366</v>
      </c>
      <c r="F123" s="711">
        <f>Bilans_E_AMS_Kyoto_run3_MTE!J236</f>
        <v>0</v>
      </c>
      <c r="G123" s="711">
        <f>Bilans_E_AMS_Kyoto_run3_MTE!K236</f>
        <v>0</v>
      </c>
      <c r="H123" s="711">
        <f>Bilans_E_AMS_Kyoto_run3_MTE!L236</f>
        <v>0.19771000000000002</v>
      </c>
      <c r="I123" s="711">
        <f>Bilans_E_AMS_Kyoto_run3_MTE!M236</f>
        <v>0</v>
      </c>
      <c r="J123" s="711">
        <f>Bilans_E_AMS_Kyoto_run3_MTE!N236</f>
        <v>1175.008</v>
      </c>
      <c r="K123" s="711">
        <f>Bilans_E_AMS_Kyoto_run3_MTE!O236</f>
        <v>187.71649074759767</v>
      </c>
      <c r="L123" s="711">
        <f>Bilans_E_AMS_Kyoto_run3_MTE!P236</f>
        <v>270.72826025037881</v>
      </c>
      <c r="M123" s="711">
        <f>Bilans_E_AMS_Kyoto_run3_MTE!Q236</f>
        <v>45.897084258145583</v>
      </c>
      <c r="N123" s="711">
        <f>Bilans_E_AMS_Kyoto_run3_MTE!R236</f>
        <v>0</v>
      </c>
      <c r="O123" s="711">
        <f>Bilans_E_AMS_Kyoto_run3_MTE!S236</f>
        <v>0</v>
      </c>
      <c r="P123" s="711">
        <f>Bilans_E_AMS_Kyoto_run3_MTE!T236+Bilans_E_AMS_Kyoto_run3_MTE!U236</f>
        <v>112.54177827352326</v>
      </c>
      <c r="Q123" s="711">
        <f>Bilans_E_AMS_Kyoto_run3_MTE!V236</f>
        <v>18.694423964001231</v>
      </c>
      <c r="R123" s="711">
        <f>Bilans_E_AMS_Kyoto_run3_MTE!W236</f>
        <v>0</v>
      </c>
      <c r="S123" s="711">
        <f>Bilans_E_AMS_Kyoto_run3_MTE!X236</f>
        <v>0</v>
      </c>
      <c r="T123" s="711">
        <f>Bilans_E_AMS_Kyoto_run3_MTE!Y236</f>
        <v>0</v>
      </c>
      <c r="U123" s="711">
        <f>Bilans_E_AMS_Kyoto_run3_MTE!Z236</f>
        <v>1820.3203474936468</v>
      </c>
      <c r="V123" s="701"/>
      <c r="W123" s="701"/>
    </row>
    <row r="124" spans="1:23" x14ac:dyDescent="0.25">
      <c r="A124" s="701" t="s">
        <v>488</v>
      </c>
      <c r="B124" s="701"/>
      <c r="C124" s="710" t="s">
        <v>60</v>
      </c>
      <c r="D124" s="712">
        <f>Bilans_E_AMS_Kyoto_run3_MTE!H237</f>
        <v>31.56033221100661</v>
      </c>
      <c r="E124" s="712">
        <f>Bilans_E_AMS_Kyoto_run3_MTE!I237</f>
        <v>423.65248565453913</v>
      </c>
      <c r="F124" s="712">
        <f>Bilans_E_AMS_Kyoto_run3_MTE!J237</f>
        <v>228.49107773749739</v>
      </c>
      <c r="G124" s="712">
        <f>Bilans_E_AMS_Kyoto_run3_MTE!K237</f>
        <v>0</v>
      </c>
      <c r="H124" s="712">
        <f>Bilans_E_AMS_Kyoto_run3_MTE!L237</f>
        <v>310.81966457442218</v>
      </c>
      <c r="I124" s="712">
        <f>Bilans_E_AMS_Kyoto_run3_MTE!M237</f>
        <v>0</v>
      </c>
      <c r="J124" s="712">
        <f>Bilans_E_AMS_Kyoto_run3_MTE!N237</f>
        <v>0</v>
      </c>
      <c r="K124" s="712">
        <f>Bilans_E_AMS_Kyoto_run3_MTE!O237</f>
        <v>0</v>
      </c>
      <c r="L124" s="712">
        <f>Bilans_E_AMS_Kyoto_run3_MTE!P237</f>
        <v>0</v>
      </c>
      <c r="M124" s="712">
        <f>Bilans_E_AMS_Kyoto_run3_MTE!Q237</f>
        <v>0</v>
      </c>
      <c r="N124" s="712">
        <f>Bilans_E_AMS_Kyoto_run3_MTE!R237</f>
        <v>5.9340151643868637</v>
      </c>
      <c r="O124" s="712">
        <f>Bilans_E_AMS_Kyoto_run3_MTE!S237</f>
        <v>10.245803282523816</v>
      </c>
      <c r="P124" s="712">
        <f>Bilans_E_AMS_Kyoto_run3_MTE!T237+Bilans_E_AMS_Kyoto_run3_MTE!U237</f>
        <v>0</v>
      </c>
      <c r="Q124" s="712">
        <f>Bilans_E_AMS_Kyoto_run3_MTE!V237</f>
        <v>0</v>
      </c>
      <c r="R124" s="712">
        <f>Bilans_E_AMS_Kyoto_run3_MTE!W237</f>
        <v>0</v>
      </c>
      <c r="S124" s="712">
        <f>Bilans_E_AMS_Kyoto_run3_MTE!X237</f>
        <v>0</v>
      </c>
      <c r="T124" s="712">
        <f>Bilans_E_AMS_Kyoto_run3_MTE!Y237</f>
        <v>0</v>
      </c>
      <c r="U124" s="712">
        <f>Bilans_E_AMS_Kyoto_run3_MTE!Z237</f>
        <v>1010.703378624376</v>
      </c>
      <c r="V124" s="701"/>
      <c r="W124" s="701"/>
    </row>
    <row r="125" spans="1:23" x14ac:dyDescent="0.25">
      <c r="A125" s="701" t="s">
        <v>489</v>
      </c>
      <c r="B125" s="701"/>
      <c r="C125" s="710" t="s">
        <v>61</v>
      </c>
      <c r="D125" s="712">
        <f>Bilans_E_AMS_Kyoto_run3_MTE!H238</f>
        <v>0</v>
      </c>
      <c r="E125" s="712">
        <f>Bilans_E_AMS_Kyoto_run3_MTE!I238</f>
        <v>0</v>
      </c>
      <c r="F125" s="712">
        <f>Bilans_E_AMS_Kyoto_run3_MTE!J238</f>
        <v>0</v>
      </c>
      <c r="G125" s="712">
        <f>Bilans_E_AMS_Kyoto_run3_MTE!K238</f>
        <v>-0.15000000000000002</v>
      </c>
      <c r="H125" s="712">
        <f>Bilans_E_AMS_Kyoto_run3_MTE!L238</f>
        <v>0</v>
      </c>
      <c r="I125" s="712">
        <f>Bilans_E_AMS_Kyoto_run3_MTE!M238</f>
        <v>0</v>
      </c>
      <c r="J125" s="712">
        <f>Bilans_E_AMS_Kyoto_run3_MTE!N238</f>
        <v>0</v>
      </c>
      <c r="K125" s="712">
        <f>Bilans_E_AMS_Kyoto_run3_MTE!O238</f>
        <v>0</v>
      </c>
      <c r="L125" s="712">
        <f>Bilans_E_AMS_Kyoto_run3_MTE!P238</f>
        <v>-1.1067692486901137</v>
      </c>
      <c r="M125" s="712">
        <f>Bilans_E_AMS_Kyoto_run3_MTE!Q238</f>
        <v>0</v>
      </c>
      <c r="N125" s="712">
        <f>Bilans_E_AMS_Kyoto_run3_MTE!R238</f>
        <v>0</v>
      </c>
      <c r="O125" s="712">
        <f>Bilans_E_AMS_Kyoto_run3_MTE!S238</f>
        <v>0</v>
      </c>
      <c r="P125" s="712">
        <f>Bilans_E_AMS_Kyoto_run3_MTE!T238+Bilans_E_AMS_Kyoto_run3_MTE!U238</f>
        <v>0</v>
      </c>
      <c r="Q125" s="712">
        <f>Bilans_E_AMS_Kyoto_run3_MTE!V238</f>
        <v>0</v>
      </c>
      <c r="R125" s="712">
        <f>Bilans_E_AMS_Kyoto_run3_MTE!W238</f>
        <v>-74.597074661503257</v>
      </c>
      <c r="S125" s="712">
        <f>Bilans_E_AMS_Kyoto_run3_MTE!X238</f>
        <v>0</v>
      </c>
      <c r="T125" s="712">
        <f>Bilans_E_AMS_Kyoto_run3_MTE!Y238</f>
        <v>0</v>
      </c>
      <c r="U125" s="712">
        <f>Bilans_E_AMS_Kyoto_run3_MTE!Z238</f>
        <v>-75.853843910193376</v>
      </c>
      <c r="V125" s="701"/>
      <c r="W125" s="701"/>
    </row>
    <row r="126" spans="1:23" x14ac:dyDescent="0.25">
      <c r="A126" s="701" t="s">
        <v>490</v>
      </c>
      <c r="B126" s="701"/>
      <c r="C126" s="710" t="s">
        <v>62</v>
      </c>
      <c r="D126" s="711">
        <f>Bilans_E_AMS_Kyoto_run3_MTE!H239</f>
        <v>0</v>
      </c>
      <c r="E126" s="711">
        <f>Bilans_E_AMS_Kyoto_run3_MTE!I239</f>
        <v>0</v>
      </c>
      <c r="F126" s="711">
        <f>Bilans_E_AMS_Kyoto_run3_MTE!J239</f>
        <v>-9.5738305718287435</v>
      </c>
      <c r="G126" s="711">
        <f>Bilans_E_AMS_Kyoto_run3_MTE!K239</f>
        <v>-0.13812944417760184</v>
      </c>
      <c r="H126" s="711">
        <f>Bilans_E_AMS_Kyoto_run3_MTE!L239</f>
        <v>-1.5870151763057716</v>
      </c>
      <c r="I126" s="711">
        <f>Bilans_E_AMS_Kyoto_run3_MTE!M239</f>
        <v>-0.12645508616383627</v>
      </c>
      <c r="J126" s="711">
        <f>Bilans_E_AMS_Kyoto_run3_MTE!N239</f>
        <v>0</v>
      </c>
      <c r="K126" s="711">
        <f>Bilans_E_AMS_Kyoto_run3_MTE!O239</f>
        <v>0</v>
      </c>
      <c r="L126" s="711">
        <f>Bilans_E_AMS_Kyoto_run3_MTE!P239</f>
        <v>0</v>
      </c>
      <c r="M126" s="711">
        <f>Bilans_E_AMS_Kyoto_run3_MTE!Q239</f>
        <v>0</v>
      </c>
      <c r="N126" s="711">
        <f>Bilans_E_AMS_Kyoto_run3_MTE!R239</f>
        <v>0</v>
      </c>
      <c r="O126" s="711">
        <f>Bilans_E_AMS_Kyoto_run3_MTE!S239</f>
        <v>-0.4604322926990882</v>
      </c>
      <c r="P126" s="711">
        <f>Bilans_E_AMS_Kyoto_run3_MTE!T239+Bilans_E_AMS_Kyoto_run3_MTE!U239</f>
        <v>0</v>
      </c>
      <c r="Q126" s="711">
        <f>Bilans_E_AMS_Kyoto_run3_MTE!V239</f>
        <v>0</v>
      </c>
      <c r="R126" s="711">
        <f>Bilans_E_AMS_Kyoto_run3_MTE!W239</f>
        <v>0</v>
      </c>
      <c r="S126" s="711">
        <f>Bilans_E_AMS_Kyoto_run3_MTE!X239</f>
        <v>0</v>
      </c>
      <c r="T126" s="711">
        <f>Bilans_E_AMS_Kyoto_run3_MTE!Y239</f>
        <v>-5.1110724267898235E-2</v>
      </c>
      <c r="U126" s="711">
        <f>Bilans_E_AMS_Kyoto_run3_MTE!Z239</f>
        <v>-11.936973295442941</v>
      </c>
      <c r="V126" s="701"/>
      <c r="W126" s="701"/>
    </row>
    <row r="127" spans="1:23" x14ac:dyDescent="0.25">
      <c r="A127" s="701" t="s">
        <v>491</v>
      </c>
      <c r="B127" s="701"/>
      <c r="C127" s="710" t="s">
        <v>63</v>
      </c>
      <c r="D127" s="711">
        <f>Bilans_E_AMS_Kyoto_run3_MTE!H240</f>
        <v>0</v>
      </c>
      <c r="E127" s="711">
        <f>Bilans_E_AMS_Kyoto_run3_MTE!I240</f>
        <v>0</v>
      </c>
      <c r="F127" s="711">
        <f>Bilans_E_AMS_Kyoto_run3_MTE!J240</f>
        <v>-70</v>
      </c>
      <c r="G127" s="711">
        <f>Bilans_E_AMS_Kyoto_run3_MTE!K240</f>
        <v>-0.6</v>
      </c>
      <c r="H127" s="711">
        <f>Bilans_E_AMS_Kyoto_run3_MTE!L240</f>
        <v>0</v>
      </c>
      <c r="I127" s="711">
        <f>Bilans_E_AMS_Kyoto_run3_MTE!M240</f>
        <v>0</v>
      </c>
      <c r="J127" s="711">
        <f>Bilans_E_AMS_Kyoto_run3_MTE!N240</f>
        <v>0</v>
      </c>
      <c r="K127" s="711">
        <f>Bilans_E_AMS_Kyoto_run3_MTE!O240</f>
        <v>0</v>
      </c>
      <c r="L127" s="711">
        <f>Bilans_E_AMS_Kyoto_run3_MTE!P240</f>
        <v>0</v>
      </c>
      <c r="M127" s="711">
        <f>Bilans_E_AMS_Kyoto_run3_MTE!Q240</f>
        <v>0</v>
      </c>
      <c r="N127" s="711">
        <f>Bilans_E_AMS_Kyoto_run3_MTE!R240</f>
        <v>-2.8</v>
      </c>
      <c r="O127" s="711">
        <f>Bilans_E_AMS_Kyoto_run3_MTE!S240</f>
        <v>0</v>
      </c>
      <c r="P127" s="711">
        <f>Bilans_E_AMS_Kyoto_run3_MTE!T240+Bilans_E_AMS_Kyoto_run3_MTE!U240</f>
        <v>0</v>
      </c>
      <c r="Q127" s="711">
        <f>Bilans_E_AMS_Kyoto_run3_MTE!V240</f>
        <v>0</v>
      </c>
      <c r="R127" s="711">
        <f>Bilans_E_AMS_Kyoto_run3_MTE!W240</f>
        <v>0</v>
      </c>
      <c r="S127" s="711">
        <f>Bilans_E_AMS_Kyoto_run3_MTE!X240</f>
        <v>0</v>
      </c>
      <c r="T127" s="711">
        <f>Bilans_E_AMS_Kyoto_run3_MTE!Y240</f>
        <v>0</v>
      </c>
      <c r="U127" s="711">
        <f>Bilans_E_AMS_Kyoto_run3_MTE!Z240</f>
        <v>-73.399999999999991</v>
      </c>
      <c r="V127" s="701"/>
      <c r="W127" s="701"/>
    </row>
    <row r="128" spans="1:23" x14ac:dyDescent="0.25">
      <c r="A128" s="701" t="s">
        <v>492</v>
      </c>
      <c r="B128" s="701"/>
      <c r="C128" s="710" t="s">
        <v>64</v>
      </c>
      <c r="D128" s="712">
        <f>Bilans_E_AMS_Kyoto_run3_MTE!H241</f>
        <v>0</v>
      </c>
      <c r="E128" s="712">
        <f>Bilans_E_AMS_Kyoto_run3_MTE!I241</f>
        <v>0</v>
      </c>
      <c r="F128" s="712">
        <f>Bilans_E_AMS_Kyoto_run3_MTE!J241</f>
        <v>0</v>
      </c>
      <c r="G128" s="712">
        <f>Bilans_E_AMS_Kyoto_run3_MTE!K241</f>
        <v>0</v>
      </c>
      <c r="H128" s="712">
        <f>Bilans_E_AMS_Kyoto_run3_MTE!L241</f>
        <v>0</v>
      </c>
      <c r="I128" s="712">
        <f>Bilans_E_AMS_Kyoto_run3_MTE!M241</f>
        <v>0</v>
      </c>
      <c r="J128" s="712">
        <f>Bilans_E_AMS_Kyoto_run3_MTE!N241</f>
        <v>0</v>
      </c>
      <c r="K128" s="712">
        <f>Bilans_E_AMS_Kyoto_run3_MTE!O241</f>
        <v>0</v>
      </c>
      <c r="L128" s="712">
        <f>Bilans_E_AMS_Kyoto_run3_MTE!P241</f>
        <v>0</v>
      </c>
      <c r="M128" s="712">
        <f>Bilans_E_AMS_Kyoto_run3_MTE!Q241</f>
        <v>0</v>
      </c>
      <c r="N128" s="712">
        <f>Bilans_E_AMS_Kyoto_run3_MTE!R241</f>
        <v>0</v>
      </c>
      <c r="O128" s="712">
        <f>Bilans_E_AMS_Kyoto_run3_MTE!S241</f>
        <v>0</v>
      </c>
      <c r="P128" s="712">
        <f>Bilans_E_AMS_Kyoto_run3_MTE!T241+Bilans_E_AMS_Kyoto_run3_MTE!U241</f>
        <v>0</v>
      </c>
      <c r="Q128" s="712">
        <f>Bilans_E_AMS_Kyoto_run3_MTE!V241</f>
        <v>0</v>
      </c>
      <c r="R128" s="712">
        <f>Bilans_E_AMS_Kyoto_run3_MTE!W241</f>
        <v>0</v>
      </c>
      <c r="S128" s="712">
        <f>Bilans_E_AMS_Kyoto_run3_MTE!X241</f>
        <v>0</v>
      </c>
      <c r="T128" s="712">
        <f>Bilans_E_AMS_Kyoto_run3_MTE!Y241</f>
        <v>0</v>
      </c>
      <c r="U128" s="712">
        <f>Bilans_E_AMS_Kyoto_run3_MTE!Z241</f>
        <v>0</v>
      </c>
      <c r="V128" s="701"/>
      <c r="W128" s="701"/>
    </row>
    <row r="129" spans="1:23" x14ac:dyDescent="0.25">
      <c r="A129" s="701" t="s">
        <v>493</v>
      </c>
      <c r="B129" s="701"/>
      <c r="C129" s="713" t="s">
        <v>65</v>
      </c>
      <c r="D129" s="714">
        <f>Bilans_E_AMS_Kyoto_run3_MTE!H242</f>
        <v>31.56033221100661</v>
      </c>
      <c r="E129" s="714">
        <f>Bilans_E_AMS_Kyoto_run3_MTE!I242</f>
        <v>433.18908565453916</v>
      </c>
      <c r="F129" s="714">
        <f>Bilans_E_AMS_Kyoto_run3_MTE!J242</f>
        <v>148.91724716566864</v>
      </c>
      <c r="G129" s="714">
        <f>Bilans_E_AMS_Kyoto_run3_MTE!K242</f>
        <v>-0.88812944417760187</v>
      </c>
      <c r="H129" s="714">
        <f>Bilans_E_AMS_Kyoto_run3_MTE!L242</f>
        <v>309.43035939811637</v>
      </c>
      <c r="I129" s="714">
        <f>Bilans_E_AMS_Kyoto_run3_MTE!M242</f>
        <v>-0.12645508616383627</v>
      </c>
      <c r="J129" s="714">
        <f>Bilans_E_AMS_Kyoto_run3_MTE!N242</f>
        <v>1175.008</v>
      </c>
      <c r="K129" s="714">
        <f>Bilans_E_AMS_Kyoto_run3_MTE!O242</f>
        <v>187.71649074759767</v>
      </c>
      <c r="L129" s="714">
        <f>Bilans_E_AMS_Kyoto_run3_MTE!P242</f>
        <v>269.6214910016887</v>
      </c>
      <c r="M129" s="714">
        <f>Bilans_E_AMS_Kyoto_run3_MTE!Q242</f>
        <v>45.897084258145583</v>
      </c>
      <c r="N129" s="714">
        <f>Bilans_E_AMS_Kyoto_run3_MTE!R242</f>
        <v>3.1340151643868639</v>
      </c>
      <c r="O129" s="714">
        <f>Bilans_E_AMS_Kyoto_run3_MTE!S242</f>
        <v>9.7853709898247274</v>
      </c>
      <c r="P129" s="714">
        <f>Bilans_E_AMS_Kyoto_run3_MTE!T242+Bilans_E_AMS_Kyoto_run3_MTE!U242</f>
        <v>112.54177827352326</v>
      </c>
      <c r="Q129" s="714">
        <f>Bilans_E_AMS_Kyoto_run3_MTE!V242</f>
        <v>18.694423964001231</v>
      </c>
      <c r="R129" s="714">
        <f>Bilans_E_AMS_Kyoto_run3_MTE!W242</f>
        <v>-74.597074661503257</v>
      </c>
      <c r="S129" s="714">
        <f>Bilans_E_AMS_Kyoto_run3_MTE!X242</f>
        <v>0</v>
      </c>
      <c r="T129" s="714">
        <f>Bilans_E_AMS_Kyoto_run3_MTE!Y242</f>
        <v>-5.1110724267898235E-2</v>
      </c>
      <c r="U129" s="714">
        <f>Bilans_E_AMS_Kyoto_run3_MTE!Z242</f>
        <v>2669.8329089123863</v>
      </c>
      <c r="V129" s="701"/>
      <c r="W129" s="701"/>
    </row>
    <row r="130" spans="1:23" x14ac:dyDescent="0.25">
      <c r="A130" s="701"/>
      <c r="B130" s="701"/>
      <c r="C130" s="715"/>
      <c r="D130" s="716"/>
      <c r="E130" s="716"/>
      <c r="F130" s="716"/>
      <c r="G130" s="716"/>
      <c r="H130" s="716"/>
      <c r="I130" s="716"/>
      <c r="J130" s="716"/>
      <c r="K130" s="716"/>
      <c r="L130" s="716"/>
      <c r="M130" s="716"/>
      <c r="N130" s="716"/>
      <c r="O130" s="716"/>
      <c r="P130" s="716">
        <f>Bilans_E_AMS_Kyoto_run3_MTE!T243+Bilans_E_AMS_Kyoto_run3_MTE!U243</f>
        <v>0</v>
      </c>
      <c r="Q130" s="716"/>
      <c r="R130" s="716"/>
      <c r="S130" s="716"/>
      <c r="T130" s="716"/>
      <c r="U130" s="716"/>
      <c r="V130" s="701"/>
      <c r="W130" s="701"/>
    </row>
    <row r="131" spans="1:23" x14ac:dyDescent="0.25">
      <c r="A131" s="701" t="s">
        <v>494</v>
      </c>
      <c r="B131" s="701"/>
      <c r="C131" s="717" t="s">
        <v>67</v>
      </c>
      <c r="D131" s="711">
        <f>Bilans_E_AMS_Kyoto_run3_MTE!H244</f>
        <v>0</v>
      </c>
      <c r="E131" s="711">
        <f>Bilans_E_AMS_Kyoto_run3_MTE!I244</f>
        <v>0</v>
      </c>
      <c r="F131" s="711">
        <f>Bilans_E_AMS_Kyoto_run3_MTE!J244</f>
        <v>0</v>
      </c>
      <c r="G131" s="711">
        <f>Bilans_E_AMS_Kyoto_run3_MTE!K244</f>
        <v>0</v>
      </c>
      <c r="H131" s="711">
        <f>Bilans_E_AMS_Kyoto_run3_MTE!L244</f>
        <v>0</v>
      </c>
      <c r="I131" s="711">
        <f>Bilans_E_AMS_Kyoto_run3_MTE!M244</f>
        <v>0</v>
      </c>
      <c r="J131" s="711">
        <f>Bilans_E_AMS_Kyoto_run3_MTE!N244</f>
        <v>0</v>
      </c>
      <c r="K131" s="711">
        <f>Bilans_E_AMS_Kyoto_run3_MTE!O244</f>
        <v>0</v>
      </c>
      <c r="L131" s="711">
        <f>Bilans_E_AMS_Kyoto_run3_MTE!P244</f>
        <v>0</v>
      </c>
      <c r="M131" s="711">
        <f>Bilans_E_AMS_Kyoto_run3_MTE!Q244</f>
        <v>0</v>
      </c>
      <c r="N131" s="711">
        <f>Bilans_E_AMS_Kyoto_run3_MTE!R244</f>
        <v>0</v>
      </c>
      <c r="O131" s="711">
        <f>Bilans_E_AMS_Kyoto_run3_MTE!S244</f>
        <v>0</v>
      </c>
      <c r="P131" s="711">
        <f>Bilans_E_AMS_Kyoto_run3_MTE!T244+Bilans_E_AMS_Kyoto_run3_MTE!U244</f>
        <v>0</v>
      </c>
      <c r="Q131" s="711">
        <f>Bilans_E_AMS_Kyoto_run3_MTE!V244</f>
        <v>0</v>
      </c>
      <c r="R131" s="711">
        <f>Bilans_E_AMS_Kyoto_run3_MTE!W244</f>
        <v>0</v>
      </c>
      <c r="S131" s="711">
        <f>Bilans_E_AMS_Kyoto_run3_MTE!X244</f>
        <v>0</v>
      </c>
      <c r="T131" s="711">
        <f>Bilans_E_AMS_Kyoto_run3_MTE!Y244</f>
        <v>0</v>
      </c>
      <c r="U131" s="711">
        <f>Bilans_E_AMS_Kyoto_run3_MTE!Z244</f>
        <v>0</v>
      </c>
      <c r="V131" s="701"/>
      <c r="W131" s="701"/>
    </row>
    <row r="132" spans="1:23" x14ac:dyDescent="0.25">
      <c r="A132" s="701" t="s">
        <v>495</v>
      </c>
      <c r="B132" s="701"/>
      <c r="C132" s="717" t="s">
        <v>347</v>
      </c>
      <c r="D132" s="711">
        <f>Bilans_E_AMS_Kyoto_run3_MTE!H245</f>
        <v>0</v>
      </c>
      <c r="E132" s="711">
        <f>Bilans_E_AMS_Kyoto_run3_MTE!I245</f>
        <v>0</v>
      </c>
      <c r="F132" s="711">
        <f>Bilans_E_AMS_Kyoto_run3_MTE!J245</f>
        <v>1.6370023545014427</v>
      </c>
      <c r="G132" s="711">
        <f>Bilans_E_AMS_Kyoto_run3_MTE!K245</f>
        <v>0</v>
      </c>
      <c r="H132" s="711">
        <f>Bilans_E_AMS_Kyoto_run3_MTE!L245</f>
        <v>52.55573442014758</v>
      </c>
      <c r="I132" s="711">
        <f>Bilans_E_AMS_Kyoto_run3_MTE!M245</f>
        <v>0</v>
      </c>
      <c r="J132" s="711">
        <f>Bilans_E_AMS_Kyoto_run3_MTE!N245</f>
        <v>1175.008</v>
      </c>
      <c r="K132" s="711">
        <f>Bilans_E_AMS_Kyoto_run3_MTE!O245</f>
        <v>187.71649074759767</v>
      </c>
      <c r="L132" s="711">
        <f>Bilans_E_AMS_Kyoto_run3_MTE!P245</f>
        <v>13.303812367551458</v>
      </c>
      <c r="M132" s="711">
        <f>Bilans_E_AMS_Kyoto_run3_MTE!Q245</f>
        <v>6.8324809145411169</v>
      </c>
      <c r="N132" s="711">
        <f>Bilans_E_AMS_Kyoto_run3_MTE!R245</f>
        <v>4.867247129818443</v>
      </c>
      <c r="O132" s="711">
        <f>Bilans_E_AMS_Kyoto_run3_MTE!S245</f>
        <v>11.312131727734517</v>
      </c>
      <c r="P132" s="711">
        <f>Bilans_E_AMS_Kyoto_run3_MTE!T245+Bilans_E_AMS_Kyoto_run3_MTE!U245</f>
        <v>0</v>
      </c>
      <c r="Q132" s="711">
        <f>Bilans_E_AMS_Kyoto_run3_MTE!V245</f>
        <v>0.1274458438995901</v>
      </c>
      <c r="R132" s="711">
        <f>Bilans_E_AMS_Kyoto_run3_MTE!W245</f>
        <v>-623.12460271743248</v>
      </c>
      <c r="S132" s="711">
        <f>Bilans_E_AMS_Kyoto_run3_MTE!X245</f>
        <v>0</v>
      </c>
      <c r="T132" s="711">
        <f>Bilans_E_AMS_Kyoto_run3_MTE!Y245</f>
        <v>0</v>
      </c>
      <c r="U132" s="711">
        <f>Bilans_E_AMS_Kyoto_run3_MTE!Z245</f>
        <v>830.2357427883594</v>
      </c>
      <c r="V132" s="701"/>
      <c r="W132" s="701"/>
    </row>
    <row r="133" spans="1:23" x14ac:dyDescent="0.25">
      <c r="A133" s="701" t="s">
        <v>496</v>
      </c>
      <c r="B133" s="701"/>
      <c r="C133" s="717" t="s">
        <v>348</v>
      </c>
      <c r="D133" s="711">
        <f>Bilans_E_AMS_Kyoto_run3_MTE!H246</f>
        <v>0.13467107819411372</v>
      </c>
      <c r="E133" s="711">
        <f>Bilans_E_AMS_Kyoto_run3_MTE!I246</f>
        <v>0</v>
      </c>
      <c r="F133" s="711">
        <f>Bilans_E_AMS_Kyoto_run3_MTE!J246</f>
        <v>0.52506612841034428</v>
      </c>
      <c r="G133" s="711">
        <f>Bilans_E_AMS_Kyoto_run3_MTE!K246</f>
        <v>0</v>
      </c>
      <c r="H133" s="711">
        <f>Bilans_E_AMS_Kyoto_run3_MTE!L246</f>
        <v>19.432145084898821</v>
      </c>
      <c r="I133" s="711">
        <f>Bilans_E_AMS_Kyoto_run3_MTE!M246</f>
        <v>0</v>
      </c>
      <c r="J133" s="711">
        <f>Bilans_E_AMS_Kyoto_run3_MTE!N246</f>
        <v>0</v>
      </c>
      <c r="K133" s="711">
        <f>Bilans_E_AMS_Kyoto_run3_MTE!O246</f>
        <v>0</v>
      </c>
      <c r="L133" s="711">
        <f>Bilans_E_AMS_Kyoto_run3_MTE!P246</f>
        <v>22.121134883246068</v>
      </c>
      <c r="M133" s="711">
        <f>Bilans_E_AMS_Kyoto_run3_MTE!Q246</f>
        <v>14.207576096436197</v>
      </c>
      <c r="N133" s="711">
        <f>Bilans_E_AMS_Kyoto_run3_MTE!R246</f>
        <v>0</v>
      </c>
      <c r="O133" s="711">
        <f>Bilans_E_AMS_Kyoto_run3_MTE!S246</f>
        <v>4.3596905995520387</v>
      </c>
      <c r="P133" s="711">
        <f>Bilans_E_AMS_Kyoto_run3_MTE!T246+Bilans_E_AMS_Kyoto_run3_MTE!U246</f>
        <v>4.1667830272384689</v>
      </c>
      <c r="Q133" s="711">
        <f>Bilans_E_AMS_Kyoto_run3_MTE!V246</f>
        <v>8.0512503201458188</v>
      </c>
      <c r="R133" s="711">
        <f>Bilans_E_AMS_Kyoto_run3_MTE!W246</f>
        <v>0</v>
      </c>
      <c r="S133" s="711">
        <f>Bilans_E_AMS_Kyoto_run3_MTE!X246</f>
        <v>-64.903157384138837</v>
      </c>
      <c r="T133" s="711">
        <f>Bilans_E_AMS_Kyoto_run3_MTE!Y246</f>
        <v>0</v>
      </c>
      <c r="U133" s="711">
        <f>Bilans_E_AMS_Kyoto_run3_MTE!Z246</f>
        <v>8.0951598339830468</v>
      </c>
      <c r="V133" s="701"/>
      <c r="W133" s="701"/>
    </row>
    <row r="134" spans="1:23" x14ac:dyDescent="0.25">
      <c r="A134" s="701" t="s">
        <v>497</v>
      </c>
      <c r="B134" s="701"/>
      <c r="C134" s="717" t="s">
        <v>349</v>
      </c>
      <c r="D134" s="711">
        <f>Bilans_E_AMS_Kyoto_run3_MTE!H247</f>
        <v>0</v>
      </c>
      <c r="E134" s="711">
        <f>Bilans_E_AMS_Kyoto_run3_MTE!I247</f>
        <v>0</v>
      </c>
      <c r="F134" s="711">
        <f>Bilans_E_AMS_Kyoto_run3_MTE!J247</f>
        <v>0</v>
      </c>
      <c r="G134" s="711">
        <f>Bilans_E_AMS_Kyoto_run3_MTE!K247</f>
        <v>0</v>
      </c>
      <c r="H134" s="711">
        <f>Bilans_E_AMS_Kyoto_run3_MTE!L247</f>
        <v>0</v>
      </c>
      <c r="I134" s="711">
        <f>Bilans_E_AMS_Kyoto_run3_MTE!M247</f>
        <v>0</v>
      </c>
      <c r="J134" s="711">
        <f>Bilans_E_AMS_Kyoto_run3_MTE!N247</f>
        <v>0</v>
      </c>
      <c r="K134" s="711">
        <f>Bilans_E_AMS_Kyoto_run3_MTE!O247</f>
        <v>0</v>
      </c>
      <c r="L134" s="711">
        <f>Bilans_E_AMS_Kyoto_run3_MTE!P247</f>
        <v>58.507459847608104</v>
      </c>
      <c r="M134" s="711">
        <f>Bilans_E_AMS_Kyoto_run3_MTE!Q247</f>
        <v>8.987596372567852</v>
      </c>
      <c r="N134" s="711">
        <f>Bilans_E_AMS_Kyoto_run3_MTE!R247</f>
        <v>0</v>
      </c>
      <c r="O134" s="711">
        <f>Bilans_E_AMS_Kyoto_run3_MTE!S247</f>
        <v>-33.609138102748922</v>
      </c>
      <c r="P134" s="711">
        <f>Bilans_E_AMS_Kyoto_run3_MTE!T247+Bilans_E_AMS_Kyoto_run3_MTE!U247</f>
        <v>0</v>
      </c>
      <c r="Q134" s="711">
        <f>Bilans_E_AMS_Kyoto_run3_MTE!V247</f>
        <v>0</v>
      </c>
      <c r="R134" s="711">
        <f>Bilans_E_AMS_Kyoto_run3_MTE!W247</f>
        <v>0</v>
      </c>
      <c r="S134" s="711">
        <f>Bilans_E_AMS_Kyoto_run3_MTE!X247</f>
        <v>0</v>
      </c>
      <c r="T134" s="711">
        <f>Bilans_E_AMS_Kyoto_run3_MTE!Y247</f>
        <v>0</v>
      </c>
      <c r="U134" s="711">
        <f>Bilans_E_AMS_Kyoto_run3_MTE!Z247</f>
        <v>33.885918117427032</v>
      </c>
      <c r="V134" s="701"/>
      <c r="W134" s="701"/>
    </row>
    <row r="135" spans="1:23" x14ac:dyDescent="0.25">
      <c r="A135" s="701" t="s">
        <v>498</v>
      </c>
      <c r="B135" s="701"/>
      <c r="C135" s="717" t="s">
        <v>350</v>
      </c>
      <c r="D135" s="711">
        <f>Bilans_E_AMS_Kyoto_run3_MTE!H248</f>
        <v>0</v>
      </c>
      <c r="E135" s="711">
        <f>Bilans_E_AMS_Kyoto_run3_MTE!I248</f>
        <v>0</v>
      </c>
      <c r="F135" s="711">
        <f>Bilans_E_AMS_Kyoto_run3_MTE!J248</f>
        <v>0</v>
      </c>
      <c r="G135" s="711">
        <f>Bilans_E_AMS_Kyoto_run3_MTE!K248</f>
        <v>0</v>
      </c>
      <c r="H135" s="711">
        <f>Bilans_E_AMS_Kyoto_run3_MTE!L248</f>
        <v>0</v>
      </c>
      <c r="I135" s="711">
        <f>Bilans_E_AMS_Kyoto_run3_MTE!M248</f>
        <v>-0.12645508616383627</v>
      </c>
      <c r="J135" s="711">
        <f>Bilans_E_AMS_Kyoto_run3_MTE!N248</f>
        <v>0</v>
      </c>
      <c r="K135" s="711">
        <f>Bilans_E_AMS_Kyoto_run3_MTE!O248</f>
        <v>0</v>
      </c>
      <c r="L135" s="711">
        <f>Bilans_E_AMS_Kyoto_run3_MTE!P248</f>
        <v>0</v>
      </c>
      <c r="M135" s="711">
        <f>Bilans_E_AMS_Kyoto_run3_MTE!Q248</f>
        <v>0</v>
      </c>
      <c r="N135" s="711">
        <f>Bilans_E_AMS_Kyoto_run3_MTE!R248</f>
        <v>0</v>
      </c>
      <c r="O135" s="711">
        <f>Bilans_E_AMS_Kyoto_run3_MTE!S248</f>
        <v>0</v>
      </c>
      <c r="P135" s="711">
        <f>Bilans_E_AMS_Kyoto_run3_MTE!T248+Bilans_E_AMS_Kyoto_run3_MTE!U248</f>
        <v>0</v>
      </c>
      <c r="Q135" s="711">
        <f>Bilans_E_AMS_Kyoto_run3_MTE!V248</f>
        <v>0</v>
      </c>
      <c r="R135" s="711">
        <f>Bilans_E_AMS_Kyoto_run3_MTE!W248</f>
        <v>0</v>
      </c>
      <c r="S135" s="711">
        <f>Bilans_E_AMS_Kyoto_run3_MTE!X248</f>
        <v>0</v>
      </c>
      <c r="T135" s="711">
        <f>Bilans_E_AMS_Kyoto_run3_MTE!Y248</f>
        <v>0.17563206411643928</v>
      </c>
      <c r="U135" s="711">
        <f>Bilans_E_AMS_Kyoto_run3_MTE!Z248</f>
        <v>4.9176977952603007E-2</v>
      </c>
      <c r="V135" s="701"/>
      <c r="W135" s="701"/>
    </row>
    <row r="136" spans="1:23" x14ac:dyDescent="0.25">
      <c r="A136" s="701" t="s">
        <v>499</v>
      </c>
      <c r="B136" s="701"/>
      <c r="C136" s="717" t="s">
        <v>72</v>
      </c>
      <c r="D136" s="711">
        <f>Bilans_E_AMS_Kyoto_run3_MTE!H249</f>
        <v>0</v>
      </c>
      <c r="E136" s="711">
        <f>Bilans_E_AMS_Kyoto_run3_MTE!I249</f>
        <v>448.96671017017962</v>
      </c>
      <c r="F136" s="711">
        <f>Bilans_E_AMS_Kyoto_run3_MTE!J249</f>
        <v>-444.47704306847783</v>
      </c>
      <c r="G136" s="711">
        <f>Bilans_E_AMS_Kyoto_run3_MTE!K249</f>
        <v>0</v>
      </c>
      <c r="H136" s="711">
        <f>Bilans_E_AMS_Kyoto_run3_MTE!L249</f>
        <v>0</v>
      </c>
      <c r="I136" s="711">
        <f>Bilans_E_AMS_Kyoto_run3_MTE!M249</f>
        <v>0</v>
      </c>
      <c r="J136" s="711">
        <f>Bilans_E_AMS_Kyoto_run3_MTE!N249</f>
        <v>0</v>
      </c>
      <c r="K136" s="711">
        <f>Bilans_E_AMS_Kyoto_run3_MTE!O249</f>
        <v>0</v>
      </c>
      <c r="L136" s="711">
        <f>Bilans_E_AMS_Kyoto_run3_MTE!P249</f>
        <v>0</v>
      </c>
      <c r="M136" s="711">
        <f>Bilans_E_AMS_Kyoto_run3_MTE!Q249</f>
        <v>0</v>
      </c>
      <c r="N136" s="711">
        <f>Bilans_E_AMS_Kyoto_run3_MTE!R249</f>
        <v>0</v>
      </c>
      <c r="O136" s="711">
        <f>Bilans_E_AMS_Kyoto_run3_MTE!S249</f>
        <v>0</v>
      </c>
      <c r="P136" s="711">
        <f>Bilans_E_AMS_Kyoto_run3_MTE!T249+Bilans_E_AMS_Kyoto_run3_MTE!U249</f>
        <v>0</v>
      </c>
      <c r="Q136" s="711">
        <f>Bilans_E_AMS_Kyoto_run3_MTE!V249</f>
        <v>0</v>
      </c>
      <c r="R136" s="711">
        <f>Bilans_E_AMS_Kyoto_run3_MTE!W249</f>
        <v>0</v>
      </c>
      <c r="S136" s="711">
        <f>Bilans_E_AMS_Kyoto_run3_MTE!X249</f>
        <v>0</v>
      </c>
      <c r="T136" s="711">
        <f>Bilans_E_AMS_Kyoto_run3_MTE!Y249</f>
        <v>0</v>
      </c>
      <c r="U136" s="711">
        <f>Bilans_E_AMS_Kyoto_run3_MTE!Z249</f>
        <v>4.4896671017017979</v>
      </c>
      <c r="V136" s="701"/>
      <c r="W136" s="701"/>
    </row>
    <row r="137" spans="1:23" x14ac:dyDescent="0.25">
      <c r="A137" s="701" t="s">
        <v>500</v>
      </c>
      <c r="B137" s="701"/>
      <c r="C137" s="717" t="s">
        <v>351</v>
      </c>
      <c r="D137" s="711">
        <f>Bilans_E_AMS_Kyoto_run3_MTE!H250</f>
        <v>0</v>
      </c>
      <c r="E137" s="711">
        <f>Bilans_E_AMS_Kyoto_run3_MTE!I250</f>
        <v>0</v>
      </c>
      <c r="F137" s="711">
        <f>Bilans_E_AMS_Kyoto_run3_MTE!J250</f>
        <v>0</v>
      </c>
      <c r="G137" s="711">
        <f>Bilans_E_AMS_Kyoto_run3_MTE!K250</f>
        <v>0</v>
      </c>
      <c r="H137" s="711">
        <f>Bilans_E_AMS_Kyoto_run3_MTE!L250</f>
        <v>0</v>
      </c>
      <c r="I137" s="711">
        <f>Bilans_E_AMS_Kyoto_run3_MTE!M250</f>
        <v>0</v>
      </c>
      <c r="J137" s="711">
        <f>Bilans_E_AMS_Kyoto_run3_MTE!N250</f>
        <v>0</v>
      </c>
      <c r="K137" s="711">
        <f>Bilans_E_AMS_Kyoto_run3_MTE!O250</f>
        <v>0</v>
      </c>
      <c r="L137" s="711">
        <f>Bilans_E_AMS_Kyoto_run3_MTE!P250</f>
        <v>67.718596792248618</v>
      </c>
      <c r="M137" s="711">
        <f>Bilans_E_AMS_Kyoto_run3_MTE!Q250</f>
        <v>7.2727272727272725</v>
      </c>
      <c r="N137" s="711">
        <f>Bilans_E_AMS_Kyoto_run3_MTE!R250</f>
        <v>-43.275160646366466</v>
      </c>
      <c r="O137" s="711">
        <f>Bilans_E_AMS_Kyoto_run3_MTE!S250</f>
        <v>0</v>
      </c>
      <c r="P137" s="711">
        <f>Bilans_E_AMS_Kyoto_run3_MTE!T250+Bilans_E_AMS_Kyoto_run3_MTE!U250</f>
        <v>0</v>
      </c>
      <c r="Q137" s="711">
        <f>Bilans_E_AMS_Kyoto_run3_MTE!V250</f>
        <v>0</v>
      </c>
      <c r="R137" s="711">
        <f>Bilans_E_AMS_Kyoto_run3_MTE!W250</f>
        <v>0</v>
      </c>
      <c r="S137" s="711">
        <f>Bilans_E_AMS_Kyoto_run3_MTE!X250</f>
        <v>0</v>
      </c>
      <c r="T137" s="711">
        <f>Bilans_E_AMS_Kyoto_run3_MTE!Y250</f>
        <v>0</v>
      </c>
      <c r="U137" s="711">
        <f>Bilans_E_AMS_Kyoto_run3_MTE!Z250</f>
        <v>31.716163418609419</v>
      </c>
      <c r="V137" s="701"/>
      <c r="W137" s="701"/>
    </row>
    <row r="138" spans="1:23" x14ac:dyDescent="0.25">
      <c r="A138" s="701" t="s">
        <v>501</v>
      </c>
      <c r="B138" s="701"/>
      <c r="C138" s="717" t="s">
        <v>352</v>
      </c>
      <c r="D138" s="711">
        <f>Bilans_E_AMS_Kyoto_run3_MTE!H251</f>
        <v>0</v>
      </c>
      <c r="E138" s="711">
        <f>Bilans_E_AMS_Kyoto_run3_MTE!I251</f>
        <v>0</v>
      </c>
      <c r="F138" s="711">
        <f>Bilans_E_AMS_Kyoto_run3_MTE!J251</f>
        <v>0</v>
      </c>
      <c r="G138" s="711">
        <f>Bilans_E_AMS_Kyoto_run3_MTE!K251</f>
        <v>-0.88812944417760187</v>
      </c>
      <c r="H138" s="711">
        <f>Bilans_E_AMS_Kyoto_run3_MTE!L251</f>
        <v>0</v>
      </c>
      <c r="I138" s="711">
        <f>Bilans_E_AMS_Kyoto_run3_MTE!M251</f>
        <v>0</v>
      </c>
      <c r="J138" s="711">
        <f>Bilans_E_AMS_Kyoto_run3_MTE!N251</f>
        <v>0</v>
      </c>
      <c r="K138" s="711">
        <f>Bilans_E_AMS_Kyoto_run3_MTE!O251</f>
        <v>0</v>
      </c>
      <c r="L138" s="711">
        <f>Bilans_E_AMS_Kyoto_run3_MTE!P251</f>
        <v>0</v>
      </c>
      <c r="M138" s="711">
        <f>Bilans_E_AMS_Kyoto_run3_MTE!Q251</f>
        <v>0</v>
      </c>
      <c r="N138" s="711">
        <f>Bilans_E_AMS_Kyoto_run3_MTE!R251</f>
        <v>0</v>
      </c>
      <c r="O138" s="711">
        <f>Bilans_E_AMS_Kyoto_run3_MTE!S251</f>
        <v>0</v>
      </c>
      <c r="P138" s="711">
        <f>Bilans_E_AMS_Kyoto_run3_MTE!T251+Bilans_E_AMS_Kyoto_run3_MTE!U251</f>
        <v>0</v>
      </c>
      <c r="Q138" s="711">
        <f>Bilans_E_AMS_Kyoto_run3_MTE!V251</f>
        <v>0</v>
      </c>
      <c r="R138" s="711">
        <f>Bilans_E_AMS_Kyoto_run3_MTE!W251</f>
        <v>0</v>
      </c>
      <c r="S138" s="711">
        <f>Bilans_E_AMS_Kyoto_run3_MTE!X251</f>
        <v>0</v>
      </c>
      <c r="T138" s="711">
        <f>Bilans_E_AMS_Kyoto_run3_MTE!Y251</f>
        <v>1.471942388595362</v>
      </c>
      <c r="U138" s="711">
        <f>Bilans_E_AMS_Kyoto_run3_MTE!Z251</f>
        <v>0.5838129444177601</v>
      </c>
      <c r="V138" s="701"/>
      <c r="W138" s="701"/>
    </row>
    <row r="139" spans="1:23" x14ac:dyDescent="0.25">
      <c r="A139" s="701" t="s">
        <v>502</v>
      </c>
      <c r="B139" s="701"/>
      <c r="C139" s="717" t="s">
        <v>73</v>
      </c>
      <c r="D139" s="711">
        <f>Bilans_E_AMS_Kyoto_run3_MTE!H252</f>
        <v>0</v>
      </c>
      <c r="E139" s="711">
        <f>Bilans_E_AMS_Kyoto_run3_MTE!I252</f>
        <v>0</v>
      </c>
      <c r="F139" s="711">
        <f>Bilans_E_AMS_Kyoto_run3_MTE!J252</f>
        <v>0</v>
      </c>
      <c r="G139" s="711">
        <f>Bilans_E_AMS_Kyoto_run3_MTE!K252</f>
        <v>0</v>
      </c>
      <c r="H139" s="711">
        <f>Bilans_E_AMS_Kyoto_run3_MTE!L252</f>
        <v>0</v>
      </c>
      <c r="I139" s="711">
        <f>Bilans_E_AMS_Kyoto_run3_MTE!M252</f>
        <v>0</v>
      </c>
      <c r="J139" s="711">
        <f>Bilans_E_AMS_Kyoto_run3_MTE!N252</f>
        <v>0</v>
      </c>
      <c r="K139" s="711">
        <f>Bilans_E_AMS_Kyoto_run3_MTE!O252</f>
        <v>0</v>
      </c>
      <c r="L139" s="711">
        <f>Bilans_E_AMS_Kyoto_run3_MTE!P252</f>
        <v>0</v>
      </c>
      <c r="M139" s="711">
        <f>Bilans_E_AMS_Kyoto_run3_MTE!Q252</f>
        <v>0</v>
      </c>
      <c r="N139" s="711">
        <f>Bilans_E_AMS_Kyoto_run3_MTE!R252</f>
        <v>0</v>
      </c>
      <c r="O139" s="711">
        <f>Bilans_E_AMS_Kyoto_run3_MTE!S252</f>
        <v>0</v>
      </c>
      <c r="P139" s="711">
        <f>Bilans_E_AMS_Kyoto_run3_MTE!T252+Bilans_E_AMS_Kyoto_run3_MTE!U252</f>
        <v>0</v>
      </c>
      <c r="Q139" s="711">
        <f>Bilans_E_AMS_Kyoto_run3_MTE!V252</f>
        <v>0</v>
      </c>
      <c r="R139" s="711">
        <f>Bilans_E_AMS_Kyoto_run3_MTE!W252</f>
        <v>10.660292909136944</v>
      </c>
      <c r="S139" s="711">
        <f>Bilans_E_AMS_Kyoto_run3_MTE!X252</f>
        <v>0</v>
      </c>
      <c r="T139" s="711">
        <f>Bilans_E_AMS_Kyoto_run3_MTE!Y252</f>
        <v>-6.9291903909390138</v>
      </c>
      <c r="U139" s="711">
        <f>Bilans_E_AMS_Kyoto_run3_MTE!Z252</f>
        <v>3.7311025181979298</v>
      </c>
      <c r="V139" s="701"/>
      <c r="W139" s="701"/>
    </row>
    <row r="140" spans="1:23" x14ac:dyDescent="0.25">
      <c r="A140" s="701" t="s">
        <v>503</v>
      </c>
      <c r="B140" s="701"/>
      <c r="C140" s="717" t="s">
        <v>353</v>
      </c>
      <c r="D140" s="711">
        <f>Bilans_E_AMS_Kyoto_run3_MTE!H253</f>
        <v>20.799923203124997</v>
      </c>
      <c r="E140" s="711">
        <f>Bilans_E_AMS_Kyoto_run3_MTE!I253</f>
        <v>-15.77762451564047</v>
      </c>
      <c r="F140" s="711">
        <f>Bilans_E_AMS_Kyoto_run3_MTE!J253</f>
        <v>20.75596720074418</v>
      </c>
      <c r="G140" s="711">
        <f>Bilans_E_AMS_Kyoto_run3_MTE!K253</f>
        <v>0</v>
      </c>
      <c r="H140" s="711">
        <f>Bilans_E_AMS_Kyoto_run3_MTE!L253</f>
        <v>0</v>
      </c>
      <c r="I140" s="711">
        <f>Bilans_E_AMS_Kyoto_run3_MTE!M253</f>
        <v>0</v>
      </c>
      <c r="J140" s="711">
        <f>Bilans_E_AMS_Kyoto_run3_MTE!N253</f>
        <v>0</v>
      </c>
      <c r="K140" s="711">
        <f>Bilans_E_AMS_Kyoto_run3_MTE!O253</f>
        <v>0</v>
      </c>
      <c r="L140" s="711">
        <f>Bilans_E_AMS_Kyoto_run3_MTE!P253</f>
        <v>0</v>
      </c>
      <c r="M140" s="711">
        <f>Bilans_E_AMS_Kyoto_run3_MTE!Q253</f>
        <v>0</v>
      </c>
      <c r="N140" s="711">
        <f>Bilans_E_AMS_Kyoto_run3_MTE!R253</f>
        <v>0</v>
      </c>
      <c r="O140" s="711">
        <f>Bilans_E_AMS_Kyoto_run3_MTE!S253</f>
        <v>0</v>
      </c>
      <c r="P140" s="711">
        <f>Bilans_E_AMS_Kyoto_run3_MTE!T253+Bilans_E_AMS_Kyoto_run3_MTE!U253</f>
        <v>0</v>
      </c>
      <c r="Q140" s="711">
        <f>Bilans_E_AMS_Kyoto_run3_MTE!V253</f>
        <v>0</v>
      </c>
      <c r="R140" s="711">
        <f>Bilans_E_AMS_Kyoto_run3_MTE!W253</f>
        <v>0</v>
      </c>
      <c r="S140" s="711">
        <f>Bilans_E_AMS_Kyoto_run3_MTE!X253</f>
        <v>0</v>
      </c>
      <c r="T140" s="711">
        <f>Bilans_E_AMS_Kyoto_run3_MTE!Y253</f>
        <v>0</v>
      </c>
      <c r="U140" s="711">
        <f>Bilans_E_AMS_Kyoto_run3_MTE!Z253</f>
        <v>25.778265888228709</v>
      </c>
      <c r="V140" s="701"/>
      <c r="W140" s="701"/>
    </row>
    <row r="141" spans="1:23" x14ac:dyDescent="0.25">
      <c r="A141" s="701" t="s">
        <v>504</v>
      </c>
      <c r="B141" s="701"/>
      <c r="C141" s="717" t="s">
        <v>75</v>
      </c>
      <c r="D141" s="711">
        <f>Bilans_E_AMS_Kyoto_run3_MTE!H254</f>
        <v>8.0888590234375002</v>
      </c>
      <c r="E141" s="711">
        <f>Bilans_E_AMS_Kyoto_run3_MTE!I254</f>
        <v>0</v>
      </c>
      <c r="F141" s="711">
        <f>Bilans_E_AMS_Kyoto_run3_MTE!J254</f>
        <v>15.507167335345123</v>
      </c>
      <c r="G141" s="711">
        <f>Bilans_E_AMS_Kyoto_run3_MTE!K254</f>
        <v>0</v>
      </c>
      <c r="H141" s="711">
        <f>Bilans_E_AMS_Kyoto_run3_MTE!L254</f>
        <v>1.8033798544929234</v>
      </c>
      <c r="I141" s="711">
        <f>Bilans_E_AMS_Kyoto_run3_MTE!M254</f>
        <v>0</v>
      </c>
      <c r="J141" s="711">
        <f>Bilans_E_AMS_Kyoto_run3_MTE!N254</f>
        <v>0</v>
      </c>
      <c r="K141" s="711">
        <f>Bilans_E_AMS_Kyoto_run3_MTE!O254</f>
        <v>0</v>
      </c>
      <c r="L141" s="711">
        <f>Bilans_E_AMS_Kyoto_run3_MTE!P254</f>
        <v>0</v>
      </c>
      <c r="M141" s="711">
        <f>Bilans_E_AMS_Kyoto_run3_MTE!Q254</f>
        <v>0</v>
      </c>
      <c r="N141" s="711">
        <f>Bilans_E_AMS_Kyoto_run3_MTE!R254</f>
        <v>0</v>
      </c>
      <c r="O141" s="711">
        <f>Bilans_E_AMS_Kyoto_run3_MTE!S254</f>
        <v>0.2228896449373276</v>
      </c>
      <c r="P141" s="711">
        <f>Bilans_E_AMS_Kyoto_run3_MTE!T254+Bilans_E_AMS_Kyoto_run3_MTE!U254</f>
        <v>0</v>
      </c>
      <c r="Q141" s="711">
        <f>Bilans_E_AMS_Kyoto_run3_MTE!V254</f>
        <v>0</v>
      </c>
      <c r="R141" s="711">
        <f>Bilans_E_AMS_Kyoto_run3_MTE!W254</f>
        <v>33.838220662100142</v>
      </c>
      <c r="S141" s="711">
        <f>Bilans_E_AMS_Kyoto_run3_MTE!X254</f>
        <v>0</v>
      </c>
      <c r="T141" s="711">
        <f>Bilans_E_AMS_Kyoto_run3_MTE!Y254</f>
        <v>2.38</v>
      </c>
      <c r="U141" s="711">
        <f>Bilans_E_AMS_Kyoto_run3_MTE!Z254</f>
        <v>61.840516520313024</v>
      </c>
      <c r="V141" s="701"/>
      <c r="W141" s="701"/>
    </row>
    <row r="142" spans="1:23" x14ac:dyDescent="0.25">
      <c r="A142" s="701" t="s">
        <v>505</v>
      </c>
      <c r="B142" s="701"/>
      <c r="C142" s="717" t="s">
        <v>76</v>
      </c>
      <c r="D142" s="711">
        <f>Bilans_E_AMS_Kyoto_run3_MTE!H255</f>
        <v>0</v>
      </c>
      <c r="E142" s="711">
        <f>Bilans_E_AMS_Kyoto_run3_MTE!I255</f>
        <v>0</v>
      </c>
      <c r="F142" s="711">
        <f>Bilans_E_AMS_Kyoto_run3_MTE!J255</f>
        <v>0</v>
      </c>
      <c r="G142" s="711">
        <f>Bilans_E_AMS_Kyoto_run3_MTE!K255</f>
        <v>0</v>
      </c>
      <c r="H142" s="711">
        <f>Bilans_E_AMS_Kyoto_run3_MTE!L255</f>
        <v>3.5796312708000495</v>
      </c>
      <c r="I142" s="711">
        <f>Bilans_E_AMS_Kyoto_run3_MTE!M255</f>
        <v>0</v>
      </c>
      <c r="J142" s="711">
        <f>Bilans_E_AMS_Kyoto_run3_MTE!N255</f>
        <v>0</v>
      </c>
      <c r="K142" s="711">
        <f>Bilans_E_AMS_Kyoto_run3_MTE!O255</f>
        <v>0</v>
      </c>
      <c r="L142" s="711">
        <f>Bilans_E_AMS_Kyoto_run3_MTE!P255</f>
        <v>0</v>
      </c>
      <c r="M142" s="711">
        <f>Bilans_E_AMS_Kyoto_run3_MTE!Q255</f>
        <v>0</v>
      </c>
      <c r="N142" s="711">
        <f>Bilans_E_AMS_Kyoto_run3_MTE!R255</f>
        <v>0</v>
      </c>
      <c r="O142" s="711">
        <f>Bilans_E_AMS_Kyoto_run3_MTE!S255</f>
        <v>0.44242633684045557</v>
      </c>
      <c r="P142" s="711">
        <f>Bilans_E_AMS_Kyoto_run3_MTE!T255+Bilans_E_AMS_Kyoto_run3_MTE!U255</f>
        <v>0</v>
      </c>
      <c r="Q142" s="711">
        <f>Bilans_E_AMS_Kyoto_run3_MTE!V255</f>
        <v>0</v>
      </c>
      <c r="R142" s="711">
        <f>Bilans_E_AMS_Kyoto_run3_MTE!W255</f>
        <v>44.846872959494924</v>
      </c>
      <c r="S142" s="711">
        <f>Bilans_E_AMS_Kyoto_run3_MTE!X255</f>
        <v>5.0336373229827123</v>
      </c>
      <c r="T142" s="711">
        <f>Bilans_E_AMS_Kyoto_run3_MTE!Y255</f>
        <v>0</v>
      </c>
      <c r="U142" s="711">
        <f>Bilans_E_AMS_Kyoto_run3_MTE!Z255</f>
        <v>53.902567890118142</v>
      </c>
      <c r="V142" s="701"/>
      <c r="W142" s="701"/>
    </row>
    <row r="143" spans="1:23" x14ac:dyDescent="0.25">
      <c r="A143" s="701" t="s">
        <v>506</v>
      </c>
      <c r="B143" s="701"/>
      <c r="C143" s="713" t="s">
        <v>77</v>
      </c>
      <c r="D143" s="714">
        <f>Bilans_E_AMS_Kyoto_run3_MTE!H256</f>
        <v>29.023453304756611</v>
      </c>
      <c r="E143" s="714">
        <f>Bilans_E_AMS_Kyoto_run3_MTE!I256</f>
        <v>433.18908565453916</v>
      </c>
      <c r="F143" s="714">
        <f>Bilans_E_AMS_Kyoto_run3_MTE!J256</f>
        <v>-406.05184004947677</v>
      </c>
      <c r="G143" s="714">
        <f>Bilans_E_AMS_Kyoto_run3_MTE!K256</f>
        <v>-0.88812944417760187</v>
      </c>
      <c r="H143" s="714">
        <f>Bilans_E_AMS_Kyoto_run3_MTE!L256</f>
        <v>77.370890630339375</v>
      </c>
      <c r="I143" s="714">
        <f>Bilans_E_AMS_Kyoto_run3_MTE!M256</f>
        <v>-0.12645508616383627</v>
      </c>
      <c r="J143" s="714">
        <f>Bilans_E_AMS_Kyoto_run3_MTE!N256</f>
        <v>1175.008</v>
      </c>
      <c r="K143" s="714">
        <f>Bilans_E_AMS_Kyoto_run3_MTE!O256</f>
        <v>187.71649074759767</v>
      </c>
      <c r="L143" s="714">
        <f>Bilans_E_AMS_Kyoto_run3_MTE!P256</f>
        <v>161.65100389065424</v>
      </c>
      <c r="M143" s="714">
        <f>Bilans_E_AMS_Kyoto_run3_MTE!Q256</f>
        <v>37.300380656272438</v>
      </c>
      <c r="N143" s="714">
        <f>Bilans_E_AMS_Kyoto_run3_MTE!R256</f>
        <v>-38.407913516548021</v>
      </c>
      <c r="O143" s="714">
        <f>Bilans_E_AMS_Kyoto_run3_MTE!S256</f>
        <v>-17.271999793684582</v>
      </c>
      <c r="P143" s="714">
        <f>Bilans_E_AMS_Kyoto_run3_MTE!T256+Bilans_E_AMS_Kyoto_run3_MTE!U256</f>
        <v>4.1667830272384689</v>
      </c>
      <c r="Q143" s="714">
        <f>Bilans_E_AMS_Kyoto_run3_MTE!V256</f>
        <v>8.1786961640454088</v>
      </c>
      <c r="R143" s="714">
        <f>Bilans_E_AMS_Kyoto_run3_MTE!W256</f>
        <v>-533.77921618670041</v>
      </c>
      <c r="S143" s="714">
        <f>Bilans_E_AMS_Kyoto_run3_MTE!X256</f>
        <v>-59.869520061156123</v>
      </c>
      <c r="T143" s="714">
        <f>Bilans_E_AMS_Kyoto_run3_MTE!Y256</f>
        <v>-2.9016159382272129</v>
      </c>
      <c r="U143" s="714">
        <f>Bilans_E_AMS_Kyoto_run3_MTE!Z256</f>
        <v>1054.308093999309</v>
      </c>
      <c r="V143" s="701"/>
      <c r="W143" s="701"/>
    </row>
    <row r="144" spans="1:23" x14ac:dyDescent="0.25">
      <c r="A144" s="701"/>
      <c r="B144" s="701"/>
      <c r="C144" s="715"/>
      <c r="D144" s="716"/>
      <c r="E144" s="716"/>
      <c r="F144" s="716"/>
      <c r="G144" s="716"/>
      <c r="H144" s="716"/>
      <c r="I144" s="716"/>
      <c r="J144" s="716"/>
      <c r="K144" s="716"/>
      <c r="L144" s="716"/>
      <c r="M144" s="716"/>
      <c r="N144" s="716"/>
      <c r="O144" s="716"/>
      <c r="P144" s="716">
        <f>Bilans_E_AMS_Kyoto_run3_MTE!T257+Bilans_E_AMS_Kyoto_run3_MTE!U257</f>
        <v>0</v>
      </c>
      <c r="Q144" s="716"/>
      <c r="R144" s="716"/>
      <c r="S144" s="716"/>
      <c r="T144" s="716"/>
      <c r="U144" s="716"/>
      <c r="V144" s="701"/>
      <c r="W144" s="701"/>
    </row>
    <row r="145" spans="1:23" x14ac:dyDescent="0.25">
      <c r="A145" s="701" t="s">
        <v>507</v>
      </c>
      <c r="B145" s="701"/>
      <c r="C145" s="717" t="s">
        <v>78</v>
      </c>
      <c r="D145" s="711">
        <f>Bilans_E_AMS_Kyoto_run3_MTE!H258</f>
        <v>2.5368789062500001</v>
      </c>
      <c r="E145" s="711">
        <f>Bilans_E_AMS_Kyoto_run3_MTE!I258</f>
        <v>0</v>
      </c>
      <c r="F145" s="711">
        <f>Bilans_E_AMS_Kyoto_run3_MTE!J258</f>
        <v>16.464256134501195</v>
      </c>
      <c r="G145" s="711">
        <f>Bilans_E_AMS_Kyoto_run3_MTE!K258</f>
        <v>0</v>
      </c>
      <c r="H145" s="711">
        <f>Bilans_E_AMS_Kyoto_run3_MTE!L258</f>
        <v>76.25556175347657</v>
      </c>
      <c r="I145" s="711">
        <f>Bilans_E_AMS_Kyoto_run3_MTE!M258</f>
        <v>0</v>
      </c>
      <c r="J145" s="711">
        <f>Bilans_E_AMS_Kyoto_run3_MTE!N258</f>
        <v>0</v>
      </c>
      <c r="K145" s="711">
        <f>Bilans_E_AMS_Kyoto_run3_MTE!O258</f>
        <v>0</v>
      </c>
      <c r="L145" s="711">
        <f>Bilans_E_AMS_Kyoto_run3_MTE!P258</f>
        <v>35.20744335762226</v>
      </c>
      <c r="M145" s="711">
        <f>Bilans_E_AMS_Kyoto_run3_MTE!Q258</f>
        <v>8.5967036018731431</v>
      </c>
      <c r="N145" s="711">
        <f>Bilans_E_AMS_Kyoto_run3_MTE!R258</f>
        <v>0.95792109934790093</v>
      </c>
      <c r="O145" s="711">
        <f>Bilans_E_AMS_Kyoto_run3_MTE!S258</f>
        <v>9.4506810662915637</v>
      </c>
      <c r="P145" s="711">
        <f>Bilans_E_AMS_Kyoto_run3_MTE!T258+Bilans_E_AMS_Kyoto_run3_MTE!U258</f>
        <v>3.4855932617187499</v>
      </c>
      <c r="Q145" s="711">
        <f>Bilans_E_AMS_Kyoto_run3_MTE!V258</f>
        <v>5.2671642446208732E-4</v>
      </c>
      <c r="R145" s="711">
        <f>Bilans_E_AMS_Kyoto_run3_MTE!W258</f>
        <v>137.10141781088788</v>
      </c>
      <c r="S145" s="711">
        <f>Bilans_E_AMS_Kyoto_run3_MTE!X258</f>
        <v>19.328552980825005</v>
      </c>
      <c r="T145" s="711">
        <f>Bilans_E_AMS_Kyoto_run3_MTE!Y258</f>
        <v>1.4790939941406249</v>
      </c>
      <c r="U145" s="711">
        <f>Bilans_E_AMS_Kyoto_run3_MTE!Z258</f>
        <v>310.86463068335939</v>
      </c>
      <c r="V145" s="701"/>
      <c r="W145" s="701"/>
    </row>
    <row r="146" spans="1:23" x14ac:dyDescent="0.25">
      <c r="A146" s="701" t="s">
        <v>508</v>
      </c>
      <c r="B146" s="701"/>
      <c r="C146" s="717" t="s">
        <v>79</v>
      </c>
      <c r="D146" s="711">
        <f>Bilans_E_AMS_Kyoto_run3_MTE!H259</f>
        <v>0</v>
      </c>
      <c r="E146" s="711">
        <f>Bilans_E_AMS_Kyoto_run3_MTE!I259</f>
        <v>0</v>
      </c>
      <c r="F146" s="711">
        <f>Bilans_E_AMS_Kyoto_run3_MTE!J259</f>
        <v>364.30566934999553</v>
      </c>
      <c r="G146" s="711">
        <f>Bilans_E_AMS_Kyoto_run3_MTE!K259</f>
        <v>0</v>
      </c>
      <c r="H146" s="711">
        <f>Bilans_E_AMS_Kyoto_run3_MTE!L259</f>
        <v>4.9934721794589949</v>
      </c>
      <c r="I146" s="711">
        <f>Bilans_E_AMS_Kyoto_run3_MTE!M259</f>
        <v>0</v>
      </c>
      <c r="J146" s="711">
        <f>Bilans_E_AMS_Kyoto_run3_MTE!N259</f>
        <v>0</v>
      </c>
      <c r="K146" s="711">
        <f>Bilans_E_AMS_Kyoto_run3_MTE!O259</f>
        <v>0</v>
      </c>
      <c r="L146" s="711">
        <f>Bilans_E_AMS_Kyoto_run3_MTE!P259</f>
        <v>0</v>
      </c>
      <c r="M146" s="711">
        <f>Bilans_E_AMS_Kyoto_run3_MTE!Q259</f>
        <v>0</v>
      </c>
      <c r="N146" s="711">
        <f>Bilans_E_AMS_Kyoto_run3_MTE!R259</f>
        <v>36.866001172977988</v>
      </c>
      <c r="O146" s="711">
        <f>Bilans_E_AMS_Kyoto_run3_MTE!S259</f>
        <v>0.61717071880953867</v>
      </c>
      <c r="P146" s="711">
        <f>Bilans_E_AMS_Kyoto_run3_MTE!T259+Bilans_E_AMS_Kyoto_run3_MTE!U259</f>
        <v>0</v>
      </c>
      <c r="Q146" s="711">
        <f>Bilans_E_AMS_Kyoto_run3_MTE!V259</f>
        <v>0</v>
      </c>
      <c r="R146" s="711">
        <f>Bilans_E_AMS_Kyoto_run3_MTE!W259</f>
        <v>27.389081420893032</v>
      </c>
      <c r="S146" s="711">
        <f>Bilans_E_AMS_Kyoto_run3_MTE!X259</f>
        <v>0</v>
      </c>
      <c r="T146" s="711">
        <f>Bilans_E_AMS_Kyoto_run3_MTE!Y259</f>
        <v>0.58290015650478255</v>
      </c>
      <c r="U146" s="711">
        <f>Bilans_E_AMS_Kyoto_run3_MTE!Z259</f>
        <v>434.75429499863981</v>
      </c>
      <c r="V146" s="701"/>
      <c r="W146" s="701"/>
    </row>
    <row r="147" spans="1:23" x14ac:dyDescent="0.25">
      <c r="A147" s="701" t="s">
        <v>509</v>
      </c>
      <c r="B147" s="701"/>
      <c r="C147" s="717" t="s">
        <v>80</v>
      </c>
      <c r="D147" s="711">
        <f>Bilans_E_AMS_Kyoto_run3_MTE!H260</f>
        <v>0</v>
      </c>
      <c r="E147" s="711">
        <f>Bilans_E_AMS_Kyoto_run3_MTE!I260</f>
        <v>0</v>
      </c>
      <c r="F147" s="711">
        <f>Bilans_E_AMS_Kyoto_run3_MTE!J260</f>
        <v>17.201623841536829</v>
      </c>
      <c r="G147" s="711">
        <f>Bilans_E_AMS_Kyoto_run3_MTE!K260</f>
        <v>0</v>
      </c>
      <c r="H147" s="711">
        <f>Bilans_E_AMS_Kyoto_run3_MTE!L260</f>
        <v>84.721695827213523</v>
      </c>
      <c r="I147" s="711">
        <f>Bilans_E_AMS_Kyoto_run3_MTE!M260</f>
        <v>0</v>
      </c>
      <c r="J147" s="711">
        <f>Bilans_E_AMS_Kyoto_run3_MTE!N260</f>
        <v>0</v>
      </c>
      <c r="K147" s="711">
        <f>Bilans_E_AMS_Kyoto_run3_MTE!O260</f>
        <v>0</v>
      </c>
      <c r="L147" s="711">
        <f>Bilans_E_AMS_Kyoto_run3_MTE!P260</f>
        <v>63.543536708801859</v>
      </c>
      <c r="M147" s="711">
        <f>Bilans_E_AMS_Kyoto_run3_MTE!Q260</f>
        <v>0</v>
      </c>
      <c r="N147" s="711">
        <f>Bilans_E_AMS_Kyoto_run3_MTE!R260</f>
        <v>0</v>
      </c>
      <c r="O147" s="711">
        <f>Bilans_E_AMS_Kyoto_run3_MTE!S260</f>
        <v>10.471220832576952</v>
      </c>
      <c r="P147" s="711">
        <f>Bilans_E_AMS_Kyoto_run3_MTE!T260+Bilans_E_AMS_Kyoto_run3_MTE!U260</f>
        <v>76.561231385743284</v>
      </c>
      <c r="Q147" s="711">
        <f>Bilans_E_AMS_Kyoto_run3_MTE!V260</f>
        <v>5.1637337172047761</v>
      </c>
      <c r="R147" s="711">
        <f>Bilans_E_AMS_Kyoto_run3_MTE!W260</f>
        <v>163.30202311057991</v>
      </c>
      <c r="S147" s="711">
        <f>Bilans_E_AMS_Kyoto_run3_MTE!X260</f>
        <v>21.019199389729597</v>
      </c>
      <c r="T147" s="711">
        <f>Bilans_E_AMS_Kyoto_run3_MTE!Y260</f>
        <v>0</v>
      </c>
      <c r="U147" s="711">
        <f>Bilans_E_AMS_Kyoto_run3_MTE!Z260</f>
        <v>441.98426481338669</v>
      </c>
      <c r="V147" s="701"/>
      <c r="W147" s="701"/>
    </row>
    <row r="148" spans="1:23" x14ac:dyDescent="0.25">
      <c r="A148" s="701" t="s">
        <v>510</v>
      </c>
      <c r="B148" s="701"/>
      <c r="C148" s="717" t="s">
        <v>81</v>
      </c>
      <c r="D148" s="711">
        <f>Bilans_E_AMS_Kyoto_run3_MTE!H261</f>
        <v>0</v>
      </c>
      <c r="E148" s="711">
        <f>Bilans_E_AMS_Kyoto_run3_MTE!I261</f>
        <v>0</v>
      </c>
      <c r="F148" s="711">
        <f>Bilans_E_AMS_Kyoto_run3_MTE!J261</f>
        <v>9.5095127655801548</v>
      </c>
      <c r="G148" s="711">
        <f>Bilans_E_AMS_Kyoto_run3_MTE!K261</f>
        <v>0</v>
      </c>
      <c r="H148" s="711">
        <f>Bilans_E_AMS_Kyoto_run3_MTE!L261</f>
        <v>50.83012863398811</v>
      </c>
      <c r="I148" s="711">
        <f>Bilans_E_AMS_Kyoto_run3_MTE!M261</f>
        <v>0</v>
      </c>
      <c r="J148" s="711">
        <f>Bilans_E_AMS_Kyoto_run3_MTE!N261</f>
        <v>0</v>
      </c>
      <c r="K148" s="711">
        <f>Bilans_E_AMS_Kyoto_run3_MTE!O261</f>
        <v>0</v>
      </c>
      <c r="L148" s="711">
        <f>Bilans_E_AMS_Kyoto_run3_MTE!P261</f>
        <v>0.5857399217546202</v>
      </c>
      <c r="M148" s="711">
        <f>Bilans_E_AMS_Kyoto_run3_MTE!Q261</f>
        <v>0</v>
      </c>
      <c r="N148" s="711">
        <f>Bilans_E_AMS_Kyoto_run3_MTE!R261</f>
        <v>0</v>
      </c>
      <c r="O148" s="711">
        <f>Bilans_E_AMS_Kyoto_run3_MTE!S261</f>
        <v>6.282375449144598</v>
      </c>
      <c r="P148" s="711">
        <f>Bilans_E_AMS_Kyoto_run3_MTE!T261+Bilans_E_AMS_Kyoto_run3_MTE!U261</f>
        <v>27.92817059882276</v>
      </c>
      <c r="Q148" s="711">
        <f>Bilans_E_AMS_Kyoto_run3_MTE!V261</f>
        <v>4.8320920994569443</v>
      </c>
      <c r="R148" s="711">
        <f>Bilans_E_AMS_Kyoto_run3_MTE!W261</f>
        <v>123.43882708375831</v>
      </c>
      <c r="S148" s="711">
        <f>Bilans_E_AMS_Kyoto_run3_MTE!X261</f>
        <v>19.521738588223698</v>
      </c>
      <c r="T148" s="711">
        <f>Bilans_E_AMS_Kyoto_run3_MTE!Y261</f>
        <v>0</v>
      </c>
      <c r="U148" s="711">
        <f>Bilans_E_AMS_Kyoto_run3_MTE!Z261</f>
        <v>242.92858514072918</v>
      </c>
      <c r="V148" s="701"/>
      <c r="W148" s="701"/>
    </row>
    <row r="149" spans="1:23" x14ac:dyDescent="0.25">
      <c r="A149" s="701" t="s">
        <v>511</v>
      </c>
      <c r="B149" s="701"/>
      <c r="C149" s="717" t="s">
        <v>82</v>
      </c>
      <c r="D149" s="711">
        <f>Bilans_E_AMS_Kyoto_run3_MTE!H262</f>
        <v>0</v>
      </c>
      <c r="E149" s="711">
        <f>Bilans_E_AMS_Kyoto_run3_MTE!I262</f>
        <v>0</v>
      </c>
      <c r="F149" s="711">
        <f>Bilans_E_AMS_Kyoto_run3_MTE!J262</f>
        <v>32.521780239930585</v>
      </c>
      <c r="G149" s="711">
        <f>Bilans_E_AMS_Kyoto_run3_MTE!K262</f>
        <v>0</v>
      </c>
      <c r="H149" s="711">
        <f>Bilans_E_AMS_Kyoto_run3_MTE!L262</f>
        <v>1.7697973975256258</v>
      </c>
      <c r="I149" s="711">
        <f>Bilans_E_AMS_Kyoto_run3_MTE!M262</f>
        <v>0</v>
      </c>
      <c r="J149" s="711">
        <f>Bilans_E_AMS_Kyoto_run3_MTE!N262</f>
        <v>0</v>
      </c>
      <c r="K149" s="711">
        <f>Bilans_E_AMS_Kyoto_run3_MTE!O262</f>
        <v>0</v>
      </c>
      <c r="L149" s="711">
        <f>Bilans_E_AMS_Kyoto_run3_MTE!P262</f>
        <v>8.5431833600547655</v>
      </c>
      <c r="M149" s="711">
        <f>Bilans_E_AMS_Kyoto_run3_MTE!Q262</f>
        <v>0</v>
      </c>
      <c r="N149" s="711">
        <f>Bilans_E_AMS_Kyoto_run3_MTE!R262</f>
        <v>3.5579100416915854</v>
      </c>
      <c r="O149" s="711">
        <f>Bilans_E_AMS_Kyoto_run3_MTE!S262</f>
        <v>0.21873900418856049</v>
      </c>
      <c r="P149" s="711">
        <f>Bilans_E_AMS_Kyoto_run3_MTE!T262+Bilans_E_AMS_Kyoto_run3_MTE!U262</f>
        <v>0.4</v>
      </c>
      <c r="Q149" s="711">
        <f>Bilans_E_AMS_Kyoto_run3_MTE!V262</f>
        <v>0.5193752668696392</v>
      </c>
      <c r="R149" s="711">
        <f>Bilans_E_AMS_Kyoto_run3_MTE!W262</f>
        <v>7.9507920990780674</v>
      </c>
      <c r="S149" s="711">
        <f>Bilans_E_AMS_Kyoto_run3_MTE!X262</f>
        <v>0</v>
      </c>
      <c r="T149" s="711">
        <f>Bilans_E_AMS_Kyoto_run3_MTE!Y262</f>
        <v>0.14468782351059181</v>
      </c>
      <c r="U149" s="711">
        <f>Bilans_E_AMS_Kyoto_run3_MTE!Z262</f>
        <v>55.626265232849427</v>
      </c>
      <c r="V149" s="701"/>
      <c r="W149" s="701"/>
    </row>
    <row r="150" spans="1:23" x14ac:dyDescent="0.25">
      <c r="A150" s="701" t="s">
        <v>512</v>
      </c>
      <c r="B150" s="701"/>
      <c r="C150" s="717" t="s">
        <v>354</v>
      </c>
      <c r="D150" s="711">
        <f>Bilans_E_AMS_Kyoto_run3_MTE!H263</f>
        <v>0</v>
      </c>
      <c r="E150" s="711">
        <f>Bilans_E_AMS_Kyoto_run3_MTE!I263</f>
        <v>0</v>
      </c>
      <c r="F150" s="711">
        <f>Bilans_E_AMS_Kyoto_run3_MTE!J263</f>
        <v>0</v>
      </c>
      <c r="G150" s="711">
        <f>Bilans_E_AMS_Kyoto_run3_MTE!K263</f>
        <v>0</v>
      </c>
      <c r="H150" s="711">
        <f>Bilans_E_AMS_Kyoto_run3_MTE!L263</f>
        <v>0</v>
      </c>
      <c r="I150" s="711">
        <f>Bilans_E_AMS_Kyoto_run3_MTE!M263</f>
        <v>0</v>
      </c>
      <c r="J150" s="711">
        <f>Bilans_E_AMS_Kyoto_run3_MTE!N263</f>
        <v>0</v>
      </c>
      <c r="K150" s="711">
        <f>Bilans_E_AMS_Kyoto_run3_MTE!O263</f>
        <v>0</v>
      </c>
      <c r="L150" s="711">
        <f>Bilans_E_AMS_Kyoto_run3_MTE!P263</f>
        <v>0</v>
      </c>
      <c r="M150" s="711">
        <f>Bilans_E_AMS_Kyoto_run3_MTE!Q263</f>
        <v>0</v>
      </c>
      <c r="N150" s="711">
        <f>Bilans_E_AMS_Kyoto_run3_MTE!R263</f>
        <v>0</v>
      </c>
      <c r="O150" s="711">
        <f>Bilans_E_AMS_Kyoto_run3_MTE!S263</f>
        <v>0</v>
      </c>
      <c r="P150" s="711">
        <f>Bilans_E_AMS_Kyoto_run3_MTE!T263+Bilans_E_AMS_Kyoto_run3_MTE!U263</f>
        <v>0</v>
      </c>
      <c r="Q150" s="711">
        <f>Bilans_E_AMS_Kyoto_run3_MTE!V263</f>
        <v>0</v>
      </c>
      <c r="R150" s="711">
        <f>Bilans_E_AMS_Kyoto_run3_MTE!W263</f>
        <v>0</v>
      </c>
      <c r="S150" s="711">
        <f>Bilans_E_AMS_Kyoto_run3_MTE!X263</f>
        <v>0</v>
      </c>
      <c r="T150" s="711">
        <f>Bilans_E_AMS_Kyoto_run3_MTE!Y263</f>
        <v>0</v>
      </c>
      <c r="U150" s="711">
        <f>Bilans_E_AMS_Kyoto_run3_MTE!Z263</f>
        <v>0</v>
      </c>
      <c r="V150" s="701"/>
      <c r="W150" s="701"/>
    </row>
    <row r="151" spans="1:23" x14ac:dyDescent="0.25">
      <c r="A151" s="701" t="s">
        <v>513</v>
      </c>
      <c r="B151" s="701"/>
      <c r="C151" s="713" t="s">
        <v>83</v>
      </c>
      <c r="D151" s="714">
        <f>Bilans_E_AMS_Kyoto_run3_MTE!H264</f>
        <v>2.5368789062500001</v>
      </c>
      <c r="E151" s="714">
        <f>Bilans_E_AMS_Kyoto_run3_MTE!I264</f>
        <v>0</v>
      </c>
      <c r="F151" s="714">
        <f>Bilans_E_AMS_Kyoto_run3_MTE!J264</f>
        <v>440.00284233154429</v>
      </c>
      <c r="G151" s="714">
        <f>Bilans_E_AMS_Kyoto_run3_MTE!K264</f>
        <v>0</v>
      </c>
      <c r="H151" s="714">
        <f>Bilans_E_AMS_Kyoto_run3_MTE!L264</f>
        <v>218.57065579166283</v>
      </c>
      <c r="I151" s="714">
        <f>Bilans_E_AMS_Kyoto_run3_MTE!M264</f>
        <v>0</v>
      </c>
      <c r="J151" s="714">
        <f>Bilans_E_AMS_Kyoto_run3_MTE!N264</f>
        <v>0</v>
      </c>
      <c r="K151" s="714">
        <f>Bilans_E_AMS_Kyoto_run3_MTE!O264</f>
        <v>0</v>
      </c>
      <c r="L151" s="714">
        <f>Bilans_E_AMS_Kyoto_run3_MTE!P264</f>
        <v>107.87990334823351</v>
      </c>
      <c r="M151" s="714">
        <f>Bilans_E_AMS_Kyoto_run3_MTE!Q264</f>
        <v>8.5967036018731431</v>
      </c>
      <c r="N151" s="714">
        <f>Bilans_E_AMS_Kyoto_run3_MTE!R264</f>
        <v>41.381832314017473</v>
      </c>
      <c r="O151" s="714">
        <f>Bilans_E_AMS_Kyoto_run3_MTE!S264</f>
        <v>27.040187071011211</v>
      </c>
      <c r="P151" s="714">
        <f>Bilans_E_AMS_Kyoto_run3_MTE!T264+Bilans_E_AMS_Kyoto_run3_MTE!U264</f>
        <v>108.3749952462848</v>
      </c>
      <c r="Q151" s="714">
        <f>Bilans_E_AMS_Kyoto_run3_MTE!V264</f>
        <v>10.515727799955821</v>
      </c>
      <c r="R151" s="714">
        <f>Bilans_E_AMS_Kyoto_run3_MTE!W264</f>
        <v>459.18214152519721</v>
      </c>
      <c r="S151" s="714">
        <f>Bilans_E_AMS_Kyoto_run3_MTE!X264</f>
        <v>59.8694909587783</v>
      </c>
      <c r="T151" s="714">
        <f>Bilans_E_AMS_Kyoto_run3_MTE!Y264</f>
        <v>2.2066819741559995</v>
      </c>
      <c r="U151" s="714">
        <f>Bilans_E_AMS_Kyoto_run3_MTE!Z264</f>
        <v>1486.1580408689645</v>
      </c>
      <c r="V151" s="701"/>
      <c r="W151" s="701"/>
    </row>
    <row r="152" spans="1:23" x14ac:dyDescent="0.25">
      <c r="A152" s="701" t="s">
        <v>514</v>
      </c>
      <c r="B152" s="701"/>
      <c r="C152" s="710" t="s">
        <v>84</v>
      </c>
      <c r="D152" s="711">
        <f>Bilans_E_AMS_Kyoto_run3_MTE!H265</f>
        <v>0</v>
      </c>
      <c r="E152" s="711">
        <f>Bilans_E_AMS_Kyoto_run3_MTE!I265</f>
        <v>0</v>
      </c>
      <c r="F152" s="711">
        <f>Bilans_E_AMS_Kyoto_run3_MTE!J265</f>
        <v>114.96624488360118</v>
      </c>
      <c r="G152" s="711">
        <f>Bilans_E_AMS_Kyoto_run3_MTE!K265</f>
        <v>0</v>
      </c>
      <c r="H152" s="711">
        <f>Bilans_E_AMS_Kyoto_run3_MTE!L265</f>
        <v>13.488812976114151</v>
      </c>
      <c r="I152" s="711">
        <f>Bilans_E_AMS_Kyoto_run3_MTE!M265</f>
        <v>0</v>
      </c>
      <c r="J152" s="711">
        <f>Bilans_E_AMS_Kyoto_run3_MTE!N265</f>
        <v>0</v>
      </c>
      <c r="K152" s="711">
        <f>Bilans_E_AMS_Kyoto_run3_MTE!O265</f>
        <v>0</v>
      </c>
      <c r="L152" s="711">
        <f>Bilans_E_AMS_Kyoto_run3_MTE!P265</f>
        <v>9.0583762800977241E-2</v>
      </c>
      <c r="M152" s="711">
        <f>Bilans_E_AMS_Kyoto_run3_MTE!Q265</f>
        <v>0</v>
      </c>
      <c r="N152" s="711">
        <f>Bilans_E_AMS_Kyoto_run3_MTE!R265</f>
        <v>0.16009636691741183</v>
      </c>
      <c r="O152" s="711">
        <f>Bilans_E_AMS_Kyoto_run3_MTE!S265</f>
        <v>0</v>
      </c>
      <c r="P152" s="711">
        <f>Bilans_E_AMS_Kyoto_run3_MTE!T265+Bilans_E_AMS_Kyoto_run3_MTE!U265</f>
        <v>0</v>
      </c>
      <c r="Q152" s="711">
        <f>Bilans_E_AMS_Kyoto_run3_MTE!V265</f>
        <v>0</v>
      </c>
      <c r="R152" s="711">
        <f>Bilans_E_AMS_Kyoto_run3_MTE!W265</f>
        <v>0</v>
      </c>
      <c r="S152" s="711">
        <f>Bilans_E_AMS_Kyoto_run3_MTE!X265</f>
        <v>0</v>
      </c>
      <c r="T152" s="711">
        <f>Bilans_E_AMS_Kyoto_run3_MTE!Y265</f>
        <v>0.64382323980331424</v>
      </c>
      <c r="U152" s="711">
        <f>Bilans_E_AMS_Kyoto_run3_MTE!Z265</f>
        <v>129.34956122923703</v>
      </c>
      <c r="V152" s="701"/>
      <c r="W152" s="701"/>
    </row>
    <row r="153" spans="1:23" x14ac:dyDescent="0.25">
      <c r="A153" s="701" t="s">
        <v>515</v>
      </c>
      <c r="B153" s="701"/>
      <c r="C153" s="713" t="s">
        <v>85</v>
      </c>
      <c r="D153" s="714">
        <f>Bilans_E_AMS_Kyoto_run3_MTE!H266</f>
        <v>2.5368789062500001</v>
      </c>
      <c r="E153" s="714">
        <f>Bilans_E_AMS_Kyoto_run3_MTE!I266</f>
        <v>0</v>
      </c>
      <c r="F153" s="714">
        <f>Bilans_E_AMS_Kyoto_run3_MTE!J266</f>
        <v>554.96908721514546</v>
      </c>
      <c r="G153" s="714">
        <f>Bilans_E_AMS_Kyoto_run3_MTE!K266</f>
        <v>0</v>
      </c>
      <c r="H153" s="714">
        <f>Bilans_E_AMS_Kyoto_run3_MTE!L266</f>
        <v>232.05946876777699</v>
      </c>
      <c r="I153" s="714">
        <f>Bilans_E_AMS_Kyoto_run3_MTE!M266</f>
        <v>0</v>
      </c>
      <c r="J153" s="714">
        <f>Bilans_E_AMS_Kyoto_run3_MTE!N266</f>
        <v>0</v>
      </c>
      <c r="K153" s="714">
        <f>Bilans_E_AMS_Kyoto_run3_MTE!O266</f>
        <v>0</v>
      </c>
      <c r="L153" s="714">
        <f>Bilans_E_AMS_Kyoto_run3_MTE!P266</f>
        <v>107.97048711103449</v>
      </c>
      <c r="M153" s="714">
        <f>Bilans_E_AMS_Kyoto_run3_MTE!Q266</f>
        <v>8.5967036018731431</v>
      </c>
      <c r="N153" s="714">
        <f>Bilans_E_AMS_Kyoto_run3_MTE!R266</f>
        <v>41.541928680934888</v>
      </c>
      <c r="O153" s="714">
        <f>Bilans_E_AMS_Kyoto_run3_MTE!S266</f>
        <v>27.040187071011211</v>
      </c>
      <c r="P153" s="714">
        <f>Bilans_E_AMS_Kyoto_run3_MTE!T266+Bilans_E_AMS_Kyoto_run3_MTE!U266</f>
        <v>108.3749952462848</v>
      </c>
      <c r="Q153" s="714">
        <f>Bilans_E_AMS_Kyoto_run3_MTE!V266</f>
        <v>10.515727799955821</v>
      </c>
      <c r="R153" s="714">
        <f>Bilans_E_AMS_Kyoto_run3_MTE!W266</f>
        <v>459.18214152519721</v>
      </c>
      <c r="S153" s="714">
        <f>Bilans_E_AMS_Kyoto_run3_MTE!X266</f>
        <v>59.8694909587783</v>
      </c>
      <c r="T153" s="714">
        <f>Bilans_E_AMS_Kyoto_run3_MTE!Y266</f>
        <v>2.8505052139593139</v>
      </c>
      <c r="U153" s="714">
        <f>Bilans_E_AMS_Kyoto_run3_MTE!Z266</f>
        <v>1615.5076020982015</v>
      </c>
      <c r="V153" s="701"/>
      <c r="W153" s="701"/>
    </row>
    <row r="154" spans="1:23" x14ac:dyDescent="0.25">
      <c r="A154" s="701"/>
      <c r="B154" s="701"/>
      <c r="C154" s="701"/>
      <c r="D154" s="701">
        <f>Bilans_E_AMS_Kyoto_run3_MTE!H267</f>
        <v>0</v>
      </c>
      <c r="E154" s="701">
        <f>Bilans_E_AMS_Kyoto_run3_MTE!I267</f>
        <v>0</v>
      </c>
      <c r="F154" s="701">
        <f>Bilans_E_AMS_Kyoto_run3_MTE!J267</f>
        <v>0</v>
      </c>
      <c r="G154" s="701">
        <f>Bilans_E_AMS_Kyoto_run3_MTE!K267</f>
        <v>0</v>
      </c>
      <c r="H154" s="701">
        <f>Bilans_E_AMS_Kyoto_run3_MTE!L267</f>
        <v>0</v>
      </c>
      <c r="I154" s="701">
        <f>Bilans_E_AMS_Kyoto_run3_MTE!M267</f>
        <v>0</v>
      </c>
      <c r="J154" s="701">
        <f>Bilans_E_AMS_Kyoto_run3_MTE!N267</f>
        <v>0</v>
      </c>
      <c r="K154" s="701">
        <f>Bilans_E_AMS_Kyoto_run3_MTE!O267</f>
        <v>0</v>
      </c>
      <c r="L154" s="701">
        <f>Bilans_E_AMS_Kyoto_run3_MTE!P267</f>
        <v>0</v>
      </c>
      <c r="M154" s="701">
        <f>Bilans_E_AMS_Kyoto_run3_MTE!Q267</f>
        <v>0</v>
      </c>
      <c r="N154" s="701">
        <f>Bilans_E_AMS_Kyoto_run3_MTE!R267</f>
        <v>0</v>
      </c>
      <c r="O154" s="701">
        <f>Bilans_E_AMS_Kyoto_run3_MTE!S267</f>
        <v>-1.7183712498098913E-2</v>
      </c>
      <c r="P154" s="701">
        <f>Bilans_E_AMS_Kyoto_run3_MTE!T267+Bilans_E_AMS_Kyoto_run3_MTE!U267</f>
        <v>0</v>
      </c>
      <c r="Q154" s="701">
        <f>Bilans_E_AMS_Kyoto_run3_MTE!V267</f>
        <v>0</v>
      </c>
      <c r="R154" s="701">
        <f>Bilans_E_AMS_Kyoto_run3_MTE!W267</f>
        <v>0</v>
      </c>
      <c r="S154" s="701">
        <f>Bilans_E_AMS_Kyoto_run3_MTE!X267</f>
        <v>-2.9102377823164716E-5</v>
      </c>
      <c r="T154" s="701">
        <f>Bilans_E_AMS_Kyoto_run3_MTE!Y267</f>
        <v>-7.4246164771807344E-16</v>
      </c>
      <c r="U154" s="701">
        <f>Bilans_E_AMS_Kyoto_run3_MTE!Z267</f>
        <v>-1.7212814876074845E-2</v>
      </c>
      <c r="V154" s="701"/>
      <c r="W154" s="701"/>
    </row>
    <row r="155" spans="1:23" x14ac:dyDescent="0.25">
      <c r="A155" s="701"/>
      <c r="B155" s="701"/>
      <c r="C155" s="701"/>
      <c r="D155" s="701"/>
      <c r="E155" s="701"/>
      <c r="F155" s="701"/>
      <c r="G155" s="701"/>
      <c r="H155" s="701"/>
      <c r="I155" s="701"/>
      <c r="J155" s="701"/>
      <c r="K155" s="701"/>
      <c r="L155" s="701"/>
      <c r="M155" s="701"/>
      <c r="N155" s="701"/>
      <c r="O155" s="701"/>
      <c r="P155" s="701"/>
      <c r="Q155" s="701"/>
      <c r="R155" s="701"/>
      <c r="S155" s="701"/>
      <c r="T155" s="701"/>
      <c r="U155" s="701"/>
      <c r="V155" s="701"/>
      <c r="W155" s="701"/>
    </row>
    <row r="156" spans="1:23" x14ac:dyDescent="0.25">
      <c r="A156" s="707"/>
      <c r="B156" s="707"/>
      <c r="C156" s="708" t="s">
        <v>88</v>
      </c>
      <c r="D156" s="707"/>
      <c r="E156" s="707"/>
      <c r="F156" s="707"/>
      <c r="G156" s="707"/>
      <c r="H156" s="707"/>
      <c r="I156" s="707"/>
      <c r="J156" s="707"/>
      <c r="K156" s="707"/>
      <c r="L156" s="707"/>
      <c r="M156" s="707"/>
      <c r="N156" s="707"/>
      <c r="O156" s="707"/>
      <c r="P156" s="707"/>
      <c r="Q156" s="707"/>
      <c r="R156" s="707"/>
      <c r="S156" s="707"/>
      <c r="T156" s="707"/>
      <c r="U156" s="707"/>
      <c r="V156" s="707"/>
      <c r="W156" s="707"/>
    </row>
    <row r="157" spans="1:23" x14ac:dyDescent="0.25">
      <c r="A157" s="701"/>
      <c r="B157" s="701"/>
      <c r="C157" s="701"/>
      <c r="D157" s="701"/>
      <c r="E157" s="701"/>
      <c r="F157" s="701"/>
      <c r="G157" s="701"/>
      <c r="H157" s="701"/>
      <c r="I157" s="701"/>
      <c r="J157" s="701"/>
      <c r="K157" s="701"/>
      <c r="L157" s="701"/>
      <c r="M157" s="701"/>
      <c r="N157" s="701"/>
      <c r="O157" s="701"/>
      <c r="P157" s="701"/>
      <c r="Q157" s="701"/>
      <c r="R157" s="701"/>
      <c r="S157" s="701"/>
      <c r="T157" s="701"/>
      <c r="U157" s="701"/>
      <c r="V157" s="701"/>
      <c r="W157" s="701"/>
    </row>
    <row r="158" spans="1:23" x14ac:dyDescent="0.25">
      <c r="A158" s="701"/>
      <c r="B158" s="701"/>
      <c r="C158" s="780" t="s">
        <v>128</v>
      </c>
      <c r="D158" s="775" t="s">
        <v>42</v>
      </c>
      <c r="E158" s="775" t="s">
        <v>52</v>
      </c>
      <c r="F158" s="775" t="s">
        <v>53</v>
      </c>
      <c r="G158" s="775" t="s">
        <v>482</v>
      </c>
      <c r="H158" s="775" t="s">
        <v>32</v>
      </c>
      <c r="I158" s="775" t="s">
        <v>483</v>
      </c>
      <c r="J158" s="775" t="s">
        <v>20</v>
      </c>
      <c r="K158" s="775" t="s">
        <v>55</v>
      </c>
      <c r="L158" s="777" t="s">
        <v>56</v>
      </c>
      <c r="M158" s="778"/>
      <c r="N158" s="778"/>
      <c r="O158" s="778"/>
      <c r="P158" s="778"/>
      <c r="Q158" s="779"/>
      <c r="R158" s="775" t="s">
        <v>57</v>
      </c>
      <c r="S158" s="775" t="s">
        <v>58</v>
      </c>
      <c r="T158" s="775" t="s">
        <v>31</v>
      </c>
      <c r="U158" s="775" t="s">
        <v>10</v>
      </c>
      <c r="V158" s="701"/>
      <c r="W158" s="701"/>
    </row>
    <row r="159" spans="1:23" ht="67.5" x14ac:dyDescent="0.25">
      <c r="A159" s="701" t="s">
        <v>486</v>
      </c>
      <c r="B159" s="701"/>
      <c r="C159" s="781"/>
      <c r="D159" s="776"/>
      <c r="E159" s="776"/>
      <c r="F159" s="776"/>
      <c r="G159" s="776"/>
      <c r="H159" s="776"/>
      <c r="I159" s="776"/>
      <c r="J159" s="776"/>
      <c r="K159" s="776"/>
      <c r="L159" s="709" t="s">
        <v>335</v>
      </c>
      <c r="M159" s="709" t="s">
        <v>40</v>
      </c>
      <c r="N159" s="709" t="s">
        <v>343</v>
      </c>
      <c r="O159" s="709" t="s">
        <v>344</v>
      </c>
      <c r="P159" s="719" t="s">
        <v>610</v>
      </c>
      <c r="Q159" s="709" t="s">
        <v>346</v>
      </c>
      <c r="R159" s="776"/>
      <c r="S159" s="776"/>
      <c r="T159" s="776"/>
      <c r="U159" s="776"/>
      <c r="V159" s="701"/>
      <c r="W159" s="701"/>
    </row>
    <row r="160" spans="1:23" x14ac:dyDescent="0.25">
      <c r="A160" s="701" t="s">
        <v>487</v>
      </c>
      <c r="B160" s="701"/>
      <c r="C160" s="710" t="s">
        <v>59</v>
      </c>
      <c r="D160" s="711">
        <f>Bilans_E_AMS_Kyoto_run3_MTE!H273</f>
        <v>0</v>
      </c>
      <c r="E160" s="711">
        <f>Bilans_E_AMS_Kyoto_run3_MTE!I273</f>
        <v>9.5366</v>
      </c>
      <c r="F160" s="711">
        <f>Bilans_E_AMS_Kyoto_run3_MTE!J273</f>
        <v>0</v>
      </c>
      <c r="G160" s="711">
        <f>Bilans_E_AMS_Kyoto_run3_MTE!K273</f>
        <v>0</v>
      </c>
      <c r="H160" s="711">
        <f>Bilans_E_AMS_Kyoto_run3_MTE!L273</f>
        <v>0.19771000000000002</v>
      </c>
      <c r="I160" s="711">
        <f>Bilans_E_AMS_Kyoto_run3_MTE!M273</f>
        <v>0</v>
      </c>
      <c r="J160" s="711">
        <f>Bilans_E_AMS_Kyoto_run3_MTE!N273</f>
        <v>1170.5483636363635</v>
      </c>
      <c r="K160" s="711">
        <f>Bilans_E_AMS_Kyoto_run3_MTE!O273</f>
        <v>211.05320151197157</v>
      </c>
      <c r="L160" s="711">
        <f>Bilans_E_AMS_Kyoto_run3_MTE!P273</f>
        <v>290.91008816794533</v>
      </c>
      <c r="M160" s="711">
        <f>Bilans_E_AMS_Kyoto_run3_MTE!Q273</f>
        <v>51.094236462375186</v>
      </c>
      <c r="N160" s="711">
        <f>Bilans_E_AMS_Kyoto_run3_MTE!R273</f>
        <v>0</v>
      </c>
      <c r="O160" s="711">
        <f>Bilans_E_AMS_Kyoto_run3_MTE!S273</f>
        <v>0</v>
      </c>
      <c r="P160" s="711">
        <f>Bilans_E_AMS_Kyoto_run3_MTE!T273+Bilans_E_AMS_Kyoto_run3_MTE!U273</f>
        <v>129.75938144805454</v>
      </c>
      <c r="Q160" s="711">
        <f>Bilans_E_AMS_Kyoto_run3_MTE!V273</f>
        <v>22.58468388139195</v>
      </c>
      <c r="R160" s="711">
        <f>Bilans_E_AMS_Kyoto_run3_MTE!W273</f>
        <v>0</v>
      </c>
      <c r="S160" s="711">
        <f>Bilans_E_AMS_Kyoto_run3_MTE!X273</f>
        <v>0</v>
      </c>
      <c r="T160" s="711">
        <f>Bilans_E_AMS_Kyoto_run3_MTE!Y273</f>
        <v>0</v>
      </c>
      <c r="U160" s="711">
        <f>Bilans_E_AMS_Kyoto_run3_MTE!Z273</f>
        <v>1885.6842651081022</v>
      </c>
      <c r="V160" s="701"/>
      <c r="W160" s="701"/>
    </row>
    <row r="161" spans="1:23" x14ac:dyDescent="0.25">
      <c r="A161" s="701" t="s">
        <v>488</v>
      </c>
      <c r="B161" s="701"/>
      <c r="C161" s="710" t="s">
        <v>60</v>
      </c>
      <c r="D161" s="712">
        <f>Bilans_E_AMS_Kyoto_run3_MTE!H274</f>
        <v>22.464942871093751</v>
      </c>
      <c r="E161" s="712">
        <f>Bilans_E_AMS_Kyoto_run3_MTE!I274</f>
        <v>389.53221362524027</v>
      </c>
      <c r="F161" s="712">
        <f>Bilans_E_AMS_Kyoto_run3_MTE!J274</f>
        <v>202.97851930888072</v>
      </c>
      <c r="G161" s="712">
        <f>Bilans_E_AMS_Kyoto_run3_MTE!K274</f>
        <v>0</v>
      </c>
      <c r="H161" s="712">
        <f>Bilans_E_AMS_Kyoto_run3_MTE!L274</f>
        <v>267.33328549941001</v>
      </c>
      <c r="I161" s="712">
        <f>Bilans_E_AMS_Kyoto_run3_MTE!M274</f>
        <v>0</v>
      </c>
      <c r="J161" s="712">
        <f>Bilans_E_AMS_Kyoto_run3_MTE!N274</f>
        <v>0</v>
      </c>
      <c r="K161" s="712">
        <f>Bilans_E_AMS_Kyoto_run3_MTE!O274</f>
        <v>0</v>
      </c>
      <c r="L161" s="712">
        <f>Bilans_E_AMS_Kyoto_run3_MTE!P274</f>
        <v>4.0538456241052359</v>
      </c>
      <c r="M161" s="712">
        <f>Bilans_E_AMS_Kyoto_run3_MTE!Q274</f>
        <v>0</v>
      </c>
      <c r="N161" s="712">
        <f>Bilans_E_AMS_Kyoto_run3_MTE!R274</f>
        <v>5.1043186047972853</v>
      </c>
      <c r="O161" s="712">
        <f>Bilans_E_AMS_Kyoto_run3_MTE!S274</f>
        <v>12.337837782216525</v>
      </c>
      <c r="P161" s="712">
        <f>Bilans_E_AMS_Kyoto_run3_MTE!T274+Bilans_E_AMS_Kyoto_run3_MTE!U274</f>
        <v>0</v>
      </c>
      <c r="Q161" s="712">
        <f>Bilans_E_AMS_Kyoto_run3_MTE!V274</f>
        <v>0</v>
      </c>
      <c r="R161" s="712">
        <f>Bilans_E_AMS_Kyoto_run3_MTE!W274</f>
        <v>0</v>
      </c>
      <c r="S161" s="712">
        <f>Bilans_E_AMS_Kyoto_run3_MTE!X274</f>
        <v>0</v>
      </c>
      <c r="T161" s="712">
        <f>Bilans_E_AMS_Kyoto_run3_MTE!Y274</f>
        <v>0</v>
      </c>
      <c r="U161" s="712">
        <f>Bilans_E_AMS_Kyoto_run3_MTE!Z274</f>
        <v>903.80496331574375</v>
      </c>
      <c r="V161" s="701"/>
      <c r="W161" s="701"/>
    </row>
    <row r="162" spans="1:23" x14ac:dyDescent="0.25">
      <c r="A162" s="701" t="s">
        <v>489</v>
      </c>
      <c r="B162" s="701"/>
      <c r="C162" s="710" t="s">
        <v>61</v>
      </c>
      <c r="D162" s="712">
        <f>Bilans_E_AMS_Kyoto_run3_MTE!H275</f>
        <v>0</v>
      </c>
      <c r="E162" s="712">
        <f>Bilans_E_AMS_Kyoto_run3_MTE!I275</f>
        <v>0</v>
      </c>
      <c r="F162" s="712">
        <f>Bilans_E_AMS_Kyoto_run3_MTE!J275</f>
        <v>0</v>
      </c>
      <c r="G162" s="712">
        <f>Bilans_E_AMS_Kyoto_run3_MTE!K275</f>
        <v>-0.25</v>
      </c>
      <c r="H162" s="712">
        <f>Bilans_E_AMS_Kyoto_run3_MTE!L275</f>
        <v>0</v>
      </c>
      <c r="I162" s="712">
        <f>Bilans_E_AMS_Kyoto_run3_MTE!M275</f>
        <v>0</v>
      </c>
      <c r="J162" s="712">
        <f>Bilans_E_AMS_Kyoto_run3_MTE!N275</f>
        <v>0</v>
      </c>
      <c r="K162" s="712">
        <f>Bilans_E_AMS_Kyoto_run3_MTE!O275</f>
        <v>0</v>
      </c>
      <c r="L162" s="712">
        <f>Bilans_E_AMS_Kyoto_run3_MTE!P275</f>
        <v>0</v>
      </c>
      <c r="M162" s="712">
        <f>Bilans_E_AMS_Kyoto_run3_MTE!Q275</f>
        <v>0</v>
      </c>
      <c r="N162" s="712">
        <f>Bilans_E_AMS_Kyoto_run3_MTE!R275</f>
        <v>0</v>
      </c>
      <c r="O162" s="712">
        <f>Bilans_E_AMS_Kyoto_run3_MTE!S275</f>
        <v>0</v>
      </c>
      <c r="P162" s="712">
        <f>Bilans_E_AMS_Kyoto_run3_MTE!T275+Bilans_E_AMS_Kyoto_run3_MTE!U275</f>
        <v>0</v>
      </c>
      <c r="Q162" s="712">
        <f>Bilans_E_AMS_Kyoto_run3_MTE!V275</f>
        <v>0</v>
      </c>
      <c r="R162" s="712">
        <f>Bilans_E_AMS_Kyoto_run3_MTE!W275</f>
        <v>-57.004792385507699</v>
      </c>
      <c r="S162" s="712">
        <f>Bilans_E_AMS_Kyoto_run3_MTE!X275</f>
        <v>0</v>
      </c>
      <c r="T162" s="712">
        <f>Bilans_E_AMS_Kyoto_run3_MTE!Y275</f>
        <v>0</v>
      </c>
      <c r="U162" s="712">
        <f>Bilans_E_AMS_Kyoto_run3_MTE!Z275</f>
        <v>-57.254792385507699</v>
      </c>
      <c r="V162" s="701"/>
      <c r="W162" s="701"/>
    </row>
    <row r="163" spans="1:23" x14ac:dyDescent="0.25">
      <c r="A163" s="701" t="s">
        <v>490</v>
      </c>
      <c r="B163" s="701"/>
      <c r="C163" s="710" t="s">
        <v>62</v>
      </c>
      <c r="D163" s="711">
        <f>Bilans_E_AMS_Kyoto_run3_MTE!H276</f>
        <v>0</v>
      </c>
      <c r="E163" s="711">
        <f>Bilans_E_AMS_Kyoto_run3_MTE!I276</f>
        <v>0</v>
      </c>
      <c r="F163" s="711">
        <f>Bilans_E_AMS_Kyoto_run3_MTE!J276</f>
        <v>-8.8542757571138289</v>
      </c>
      <c r="G163" s="711">
        <f>Bilans_E_AMS_Kyoto_run3_MTE!K276</f>
        <v>-0.23021574029600306</v>
      </c>
      <c r="H163" s="711">
        <f>Bilans_E_AMS_Kyoto_run3_MTE!L276</f>
        <v>-1.4644559448503458</v>
      </c>
      <c r="I163" s="711">
        <f>Bilans_E_AMS_Kyoto_run3_MTE!M276</f>
        <v>-0.23021574029600303</v>
      </c>
      <c r="J163" s="711">
        <f>Bilans_E_AMS_Kyoto_run3_MTE!N276</f>
        <v>0</v>
      </c>
      <c r="K163" s="711">
        <f>Bilans_E_AMS_Kyoto_run3_MTE!O276</f>
        <v>0</v>
      </c>
      <c r="L163" s="711">
        <f>Bilans_E_AMS_Kyoto_run3_MTE!P276</f>
        <v>0</v>
      </c>
      <c r="M163" s="711">
        <f>Bilans_E_AMS_Kyoto_run3_MTE!Q276</f>
        <v>0</v>
      </c>
      <c r="N163" s="711">
        <f>Bilans_E_AMS_Kyoto_run3_MTE!R276</f>
        <v>0</v>
      </c>
      <c r="O163" s="711">
        <f>Bilans_E_AMS_Kyoto_run3_MTE!S276</f>
        <v>-0.67992597439480318</v>
      </c>
      <c r="P163" s="711">
        <f>Bilans_E_AMS_Kyoto_run3_MTE!T276+Bilans_E_AMS_Kyoto_run3_MTE!U276</f>
        <v>0</v>
      </c>
      <c r="Q163" s="711">
        <f>Bilans_E_AMS_Kyoto_run3_MTE!V276</f>
        <v>0</v>
      </c>
      <c r="R163" s="711">
        <f>Bilans_E_AMS_Kyoto_run3_MTE!W276</f>
        <v>0</v>
      </c>
      <c r="S163" s="711">
        <f>Bilans_E_AMS_Kyoto_run3_MTE!X276</f>
        <v>0</v>
      </c>
      <c r="T163" s="711">
        <f>Bilans_E_AMS_Kyoto_run3_MTE!Y276</f>
        <v>-8.5184540446497051E-2</v>
      </c>
      <c r="U163" s="711">
        <f>Bilans_E_AMS_Kyoto_run3_MTE!Z276</f>
        <v>-11.544273697397482</v>
      </c>
      <c r="V163" s="701"/>
      <c r="W163" s="701"/>
    </row>
    <row r="164" spans="1:23" x14ac:dyDescent="0.25">
      <c r="A164" s="701" t="s">
        <v>491</v>
      </c>
      <c r="B164" s="701"/>
      <c r="C164" s="710" t="s">
        <v>63</v>
      </c>
      <c r="D164" s="711">
        <f>Bilans_E_AMS_Kyoto_run3_MTE!H277</f>
        <v>0</v>
      </c>
      <c r="E164" s="711">
        <f>Bilans_E_AMS_Kyoto_run3_MTE!I277</f>
        <v>0</v>
      </c>
      <c r="F164" s="711">
        <f>Bilans_E_AMS_Kyoto_run3_MTE!J277</f>
        <v>-70</v>
      </c>
      <c r="G164" s="711">
        <f>Bilans_E_AMS_Kyoto_run3_MTE!K277</f>
        <v>-1</v>
      </c>
      <c r="H164" s="711">
        <f>Bilans_E_AMS_Kyoto_run3_MTE!L277</f>
        <v>0</v>
      </c>
      <c r="I164" s="711">
        <f>Bilans_E_AMS_Kyoto_run3_MTE!M277</f>
        <v>0</v>
      </c>
      <c r="J164" s="711">
        <f>Bilans_E_AMS_Kyoto_run3_MTE!N277</f>
        <v>0</v>
      </c>
      <c r="K164" s="711">
        <f>Bilans_E_AMS_Kyoto_run3_MTE!O277</f>
        <v>0</v>
      </c>
      <c r="L164" s="711">
        <f>Bilans_E_AMS_Kyoto_run3_MTE!P277</f>
        <v>0</v>
      </c>
      <c r="M164" s="711">
        <f>Bilans_E_AMS_Kyoto_run3_MTE!Q277</f>
        <v>0</v>
      </c>
      <c r="N164" s="711">
        <f>Bilans_E_AMS_Kyoto_run3_MTE!R277</f>
        <v>-4</v>
      </c>
      <c r="O164" s="711">
        <f>Bilans_E_AMS_Kyoto_run3_MTE!S277</f>
        <v>0</v>
      </c>
      <c r="P164" s="711">
        <f>Bilans_E_AMS_Kyoto_run3_MTE!T277+Bilans_E_AMS_Kyoto_run3_MTE!U277</f>
        <v>0</v>
      </c>
      <c r="Q164" s="711">
        <f>Bilans_E_AMS_Kyoto_run3_MTE!V277</f>
        <v>0</v>
      </c>
      <c r="R164" s="711">
        <f>Bilans_E_AMS_Kyoto_run3_MTE!W277</f>
        <v>0</v>
      </c>
      <c r="S164" s="711">
        <f>Bilans_E_AMS_Kyoto_run3_MTE!X277</f>
        <v>0</v>
      </c>
      <c r="T164" s="711">
        <f>Bilans_E_AMS_Kyoto_run3_MTE!Y277</f>
        <v>0</v>
      </c>
      <c r="U164" s="711">
        <f>Bilans_E_AMS_Kyoto_run3_MTE!Z277</f>
        <v>-75</v>
      </c>
      <c r="V164" s="701"/>
      <c r="W164" s="701"/>
    </row>
    <row r="165" spans="1:23" x14ac:dyDescent="0.25">
      <c r="A165" s="701" t="s">
        <v>492</v>
      </c>
      <c r="B165" s="701"/>
      <c r="C165" s="710" t="s">
        <v>64</v>
      </c>
      <c r="D165" s="712">
        <f>Bilans_E_AMS_Kyoto_run3_MTE!H278</f>
        <v>0</v>
      </c>
      <c r="E165" s="712">
        <f>Bilans_E_AMS_Kyoto_run3_MTE!I278</f>
        <v>0</v>
      </c>
      <c r="F165" s="712">
        <f>Bilans_E_AMS_Kyoto_run3_MTE!J278</f>
        <v>0</v>
      </c>
      <c r="G165" s="712">
        <f>Bilans_E_AMS_Kyoto_run3_MTE!K278</f>
        <v>0</v>
      </c>
      <c r="H165" s="712">
        <f>Bilans_E_AMS_Kyoto_run3_MTE!L278</f>
        <v>0</v>
      </c>
      <c r="I165" s="712">
        <f>Bilans_E_AMS_Kyoto_run3_MTE!M278</f>
        <v>0</v>
      </c>
      <c r="J165" s="712">
        <f>Bilans_E_AMS_Kyoto_run3_MTE!N278</f>
        <v>0</v>
      </c>
      <c r="K165" s="712">
        <f>Bilans_E_AMS_Kyoto_run3_MTE!O278</f>
        <v>0</v>
      </c>
      <c r="L165" s="712">
        <f>Bilans_E_AMS_Kyoto_run3_MTE!P278</f>
        <v>0</v>
      </c>
      <c r="M165" s="712">
        <f>Bilans_E_AMS_Kyoto_run3_MTE!Q278</f>
        <v>0</v>
      </c>
      <c r="N165" s="712">
        <f>Bilans_E_AMS_Kyoto_run3_MTE!R278</f>
        <v>0</v>
      </c>
      <c r="O165" s="712">
        <f>Bilans_E_AMS_Kyoto_run3_MTE!S278</f>
        <v>0</v>
      </c>
      <c r="P165" s="712">
        <f>Bilans_E_AMS_Kyoto_run3_MTE!T278+Bilans_E_AMS_Kyoto_run3_MTE!U278</f>
        <v>0</v>
      </c>
      <c r="Q165" s="712">
        <f>Bilans_E_AMS_Kyoto_run3_MTE!V278</f>
        <v>0</v>
      </c>
      <c r="R165" s="712">
        <f>Bilans_E_AMS_Kyoto_run3_MTE!W278</f>
        <v>0</v>
      </c>
      <c r="S165" s="712">
        <f>Bilans_E_AMS_Kyoto_run3_MTE!X278</f>
        <v>0</v>
      </c>
      <c r="T165" s="712">
        <f>Bilans_E_AMS_Kyoto_run3_MTE!Y278</f>
        <v>0</v>
      </c>
      <c r="U165" s="712">
        <f>Bilans_E_AMS_Kyoto_run3_MTE!Z278</f>
        <v>0</v>
      </c>
      <c r="V165" s="701"/>
      <c r="W165" s="701"/>
    </row>
    <row r="166" spans="1:23" x14ac:dyDescent="0.25">
      <c r="A166" s="701" t="s">
        <v>493</v>
      </c>
      <c r="B166" s="701"/>
      <c r="C166" s="713" t="s">
        <v>65</v>
      </c>
      <c r="D166" s="714">
        <f>Bilans_E_AMS_Kyoto_run3_MTE!H279</f>
        <v>22.464942871093751</v>
      </c>
      <c r="E166" s="714">
        <f>Bilans_E_AMS_Kyoto_run3_MTE!I279</f>
        <v>399.0688136252403</v>
      </c>
      <c r="F166" s="714">
        <f>Bilans_E_AMS_Kyoto_run3_MTE!J279</f>
        <v>124.12424355176688</v>
      </c>
      <c r="G166" s="714">
        <f>Bilans_E_AMS_Kyoto_run3_MTE!K279</f>
        <v>-1.480215740296003</v>
      </c>
      <c r="H166" s="714">
        <f>Bilans_E_AMS_Kyoto_run3_MTE!L279</f>
        <v>266.06653955455965</v>
      </c>
      <c r="I166" s="714">
        <f>Bilans_E_AMS_Kyoto_run3_MTE!M279</f>
        <v>-0.23021574029600303</v>
      </c>
      <c r="J166" s="714">
        <f>Bilans_E_AMS_Kyoto_run3_MTE!N279</f>
        <v>1170.5483636363635</v>
      </c>
      <c r="K166" s="714">
        <f>Bilans_E_AMS_Kyoto_run3_MTE!O279</f>
        <v>211.05320151197157</v>
      </c>
      <c r="L166" s="714">
        <f>Bilans_E_AMS_Kyoto_run3_MTE!P279</f>
        <v>294.96393379205057</v>
      </c>
      <c r="M166" s="714">
        <f>Bilans_E_AMS_Kyoto_run3_MTE!Q279</f>
        <v>51.094236462375186</v>
      </c>
      <c r="N166" s="714">
        <f>Bilans_E_AMS_Kyoto_run3_MTE!R279</f>
        <v>1.1043186047972853</v>
      </c>
      <c r="O166" s="714">
        <f>Bilans_E_AMS_Kyoto_run3_MTE!S279</f>
        <v>11.657911807821721</v>
      </c>
      <c r="P166" s="714">
        <f>Bilans_E_AMS_Kyoto_run3_MTE!T279+Bilans_E_AMS_Kyoto_run3_MTE!U279</f>
        <v>129.75938144805454</v>
      </c>
      <c r="Q166" s="714">
        <f>Bilans_E_AMS_Kyoto_run3_MTE!V279</f>
        <v>22.58468388139195</v>
      </c>
      <c r="R166" s="714">
        <f>Bilans_E_AMS_Kyoto_run3_MTE!W279</f>
        <v>-57.004792385507699</v>
      </c>
      <c r="S166" s="714">
        <f>Bilans_E_AMS_Kyoto_run3_MTE!X279</f>
        <v>0</v>
      </c>
      <c r="T166" s="714">
        <f>Bilans_E_AMS_Kyoto_run3_MTE!Y279</f>
        <v>-8.5184540446497051E-2</v>
      </c>
      <c r="U166" s="714">
        <f>Bilans_E_AMS_Kyoto_run3_MTE!Z279</f>
        <v>2645.6901623409408</v>
      </c>
      <c r="V166" s="701"/>
      <c r="W166" s="701"/>
    </row>
    <row r="167" spans="1:23" x14ac:dyDescent="0.25">
      <c r="A167" s="701"/>
      <c r="B167" s="701"/>
      <c r="C167" s="715"/>
      <c r="D167" s="716"/>
      <c r="E167" s="716"/>
      <c r="F167" s="716"/>
      <c r="G167" s="716"/>
      <c r="H167" s="716"/>
      <c r="I167" s="716"/>
      <c r="J167" s="716"/>
      <c r="K167" s="716"/>
      <c r="L167" s="716"/>
      <c r="M167" s="716"/>
      <c r="N167" s="716"/>
      <c r="O167" s="716"/>
      <c r="P167" s="716">
        <f>Bilans_E_AMS_Kyoto_run3_MTE!T280+Bilans_E_AMS_Kyoto_run3_MTE!U280</f>
        <v>0</v>
      </c>
      <c r="Q167" s="716"/>
      <c r="R167" s="716"/>
      <c r="S167" s="716"/>
      <c r="T167" s="716"/>
      <c r="U167" s="716"/>
      <c r="V167" s="701"/>
      <c r="W167" s="701"/>
    </row>
    <row r="168" spans="1:23" x14ac:dyDescent="0.25">
      <c r="A168" s="701" t="s">
        <v>494</v>
      </c>
      <c r="B168" s="701"/>
      <c r="C168" s="717" t="s">
        <v>67</v>
      </c>
      <c r="D168" s="711">
        <f>Bilans_E_AMS_Kyoto_run3_MTE!H281</f>
        <v>0</v>
      </c>
      <c r="E168" s="711">
        <f>Bilans_E_AMS_Kyoto_run3_MTE!I281</f>
        <v>0</v>
      </c>
      <c r="F168" s="711">
        <f>Bilans_E_AMS_Kyoto_run3_MTE!J281</f>
        <v>0</v>
      </c>
      <c r="G168" s="711">
        <f>Bilans_E_AMS_Kyoto_run3_MTE!K281</f>
        <v>0</v>
      </c>
      <c r="H168" s="711">
        <f>Bilans_E_AMS_Kyoto_run3_MTE!L281</f>
        <v>0</v>
      </c>
      <c r="I168" s="711">
        <f>Bilans_E_AMS_Kyoto_run3_MTE!M281</f>
        <v>0</v>
      </c>
      <c r="J168" s="711">
        <f>Bilans_E_AMS_Kyoto_run3_MTE!N281</f>
        <v>0</v>
      </c>
      <c r="K168" s="711">
        <f>Bilans_E_AMS_Kyoto_run3_MTE!O281</f>
        <v>0</v>
      </c>
      <c r="L168" s="711">
        <f>Bilans_E_AMS_Kyoto_run3_MTE!P281</f>
        <v>0</v>
      </c>
      <c r="M168" s="711">
        <f>Bilans_E_AMS_Kyoto_run3_MTE!Q281</f>
        <v>0</v>
      </c>
      <c r="N168" s="711">
        <f>Bilans_E_AMS_Kyoto_run3_MTE!R281</f>
        <v>0</v>
      </c>
      <c r="O168" s="711">
        <f>Bilans_E_AMS_Kyoto_run3_MTE!S281</f>
        <v>0</v>
      </c>
      <c r="P168" s="711">
        <f>Bilans_E_AMS_Kyoto_run3_MTE!T281+Bilans_E_AMS_Kyoto_run3_MTE!U281</f>
        <v>0</v>
      </c>
      <c r="Q168" s="711">
        <f>Bilans_E_AMS_Kyoto_run3_MTE!V281</f>
        <v>0</v>
      </c>
      <c r="R168" s="711">
        <f>Bilans_E_AMS_Kyoto_run3_MTE!W281</f>
        <v>0</v>
      </c>
      <c r="S168" s="711">
        <f>Bilans_E_AMS_Kyoto_run3_MTE!X281</f>
        <v>0</v>
      </c>
      <c r="T168" s="711">
        <f>Bilans_E_AMS_Kyoto_run3_MTE!Y281</f>
        <v>0</v>
      </c>
      <c r="U168" s="711">
        <f>Bilans_E_AMS_Kyoto_run3_MTE!Z281</f>
        <v>0</v>
      </c>
      <c r="V168" s="701"/>
      <c r="W168" s="701"/>
    </row>
    <row r="169" spans="1:23" x14ac:dyDescent="0.25">
      <c r="A169" s="701" t="s">
        <v>495</v>
      </c>
      <c r="B169" s="701"/>
      <c r="C169" s="717" t="s">
        <v>347</v>
      </c>
      <c r="D169" s="711">
        <f>Bilans_E_AMS_Kyoto_run3_MTE!H282</f>
        <v>0</v>
      </c>
      <c r="E169" s="711">
        <f>Bilans_E_AMS_Kyoto_run3_MTE!I282</f>
        <v>0</v>
      </c>
      <c r="F169" s="711">
        <f>Bilans_E_AMS_Kyoto_run3_MTE!J282</f>
        <v>0.77863803143112786</v>
      </c>
      <c r="G169" s="711">
        <f>Bilans_E_AMS_Kyoto_run3_MTE!K282</f>
        <v>0</v>
      </c>
      <c r="H169" s="711">
        <f>Bilans_E_AMS_Kyoto_run3_MTE!L282</f>
        <v>37.284874621454541</v>
      </c>
      <c r="I169" s="711">
        <f>Bilans_E_AMS_Kyoto_run3_MTE!M282</f>
        <v>0</v>
      </c>
      <c r="J169" s="711">
        <f>Bilans_E_AMS_Kyoto_run3_MTE!N282</f>
        <v>1170.5483636363635</v>
      </c>
      <c r="K169" s="711">
        <f>Bilans_E_AMS_Kyoto_run3_MTE!O282</f>
        <v>211.05320151197157</v>
      </c>
      <c r="L169" s="711">
        <f>Bilans_E_AMS_Kyoto_run3_MTE!P282</f>
        <v>13.643826551456822</v>
      </c>
      <c r="M169" s="711">
        <f>Bilans_E_AMS_Kyoto_run3_MTE!Q282</f>
        <v>6.3714737362755738</v>
      </c>
      <c r="N169" s="711">
        <f>Bilans_E_AMS_Kyoto_run3_MTE!R282</f>
        <v>4.4112574708908179</v>
      </c>
      <c r="O169" s="711">
        <f>Bilans_E_AMS_Kyoto_run3_MTE!S282</f>
        <v>11.131476471231387</v>
      </c>
      <c r="P169" s="711">
        <f>Bilans_E_AMS_Kyoto_run3_MTE!T282+Bilans_E_AMS_Kyoto_run3_MTE!U282</f>
        <v>0</v>
      </c>
      <c r="Q169" s="711">
        <f>Bilans_E_AMS_Kyoto_run3_MTE!V282</f>
        <v>0</v>
      </c>
      <c r="R169" s="711">
        <f>Bilans_E_AMS_Kyoto_run3_MTE!W282</f>
        <v>-636.49198102617061</v>
      </c>
      <c r="S169" s="711">
        <f>Bilans_E_AMS_Kyoto_run3_MTE!X282</f>
        <v>0</v>
      </c>
      <c r="T169" s="711">
        <f>Bilans_E_AMS_Kyoto_run3_MTE!Y282</f>
        <v>0</v>
      </c>
      <c r="U169" s="711">
        <f>Bilans_E_AMS_Kyoto_run3_MTE!Z282</f>
        <v>818.73113100490491</v>
      </c>
      <c r="V169" s="701"/>
      <c r="W169" s="701"/>
    </row>
    <row r="170" spans="1:23" x14ac:dyDescent="0.25">
      <c r="A170" s="701" t="s">
        <v>496</v>
      </c>
      <c r="B170" s="701"/>
      <c r="C170" s="717" t="s">
        <v>348</v>
      </c>
      <c r="D170" s="711">
        <f>Bilans_E_AMS_Kyoto_run3_MTE!H283</f>
        <v>0</v>
      </c>
      <c r="E170" s="711">
        <f>Bilans_E_AMS_Kyoto_run3_MTE!I283</f>
        <v>0</v>
      </c>
      <c r="F170" s="711">
        <f>Bilans_E_AMS_Kyoto_run3_MTE!J283</f>
        <v>0</v>
      </c>
      <c r="G170" s="711">
        <f>Bilans_E_AMS_Kyoto_run3_MTE!K283</f>
        <v>0</v>
      </c>
      <c r="H170" s="711">
        <f>Bilans_E_AMS_Kyoto_run3_MTE!L283</f>
        <v>21.01937665904569</v>
      </c>
      <c r="I170" s="711">
        <f>Bilans_E_AMS_Kyoto_run3_MTE!M283</f>
        <v>0</v>
      </c>
      <c r="J170" s="711">
        <f>Bilans_E_AMS_Kyoto_run3_MTE!N283</f>
        <v>0</v>
      </c>
      <c r="K170" s="711">
        <f>Bilans_E_AMS_Kyoto_run3_MTE!O283</f>
        <v>0</v>
      </c>
      <c r="L170" s="711">
        <f>Bilans_E_AMS_Kyoto_run3_MTE!P283</f>
        <v>25.438759695297328</v>
      </c>
      <c r="M170" s="711">
        <f>Bilans_E_AMS_Kyoto_run3_MTE!Q283</f>
        <v>17.519848610972289</v>
      </c>
      <c r="N170" s="711">
        <f>Bilans_E_AMS_Kyoto_run3_MTE!R283</f>
        <v>0</v>
      </c>
      <c r="O170" s="711">
        <f>Bilans_E_AMS_Kyoto_run3_MTE!S283</f>
        <v>5.5617593110833985</v>
      </c>
      <c r="P170" s="711">
        <f>Bilans_E_AMS_Kyoto_run3_MTE!T283+Bilans_E_AMS_Kyoto_run3_MTE!U283</f>
        <v>5.5922659753689832</v>
      </c>
      <c r="Q170" s="711">
        <f>Bilans_E_AMS_Kyoto_run3_MTE!V283</f>
        <v>10.223550533524911</v>
      </c>
      <c r="R170" s="711">
        <f>Bilans_E_AMS_Kyoto_run3_MTE!W283</f>
        <v>0</v>
      </c>
      <c r="S170" s="711">
        <f>Bilans_E_AMS_Kyoto_run3_MTE!X283</f>
        <v>-76.161434631032037</v>
      </c>
      <c r="T170" s="711">
        <f>Bilans_E_AMS_Kyoto_run3_MTE!Y283</f>
        <v>0</v>
      </c>
      <c r="U170" s="711">
        <f>Bilans_E_AMS_Kyoto_run3_MTE!Z283</f>
        <v>9.194126154260573</v>
      </c>
      <c r="V170" s="701"/>
      <c r="W170" s="701"/>
    </row>
    <row r="171" spans="1:23" x14ac:dyDescent="0.25">
      <c r="A171" s="701" t="s">
        <v>497</v>
      </c>
      <c r="B171" s="701"/>
      <c r="C171" s="717" t="s">
        <v>349</v>
      </c>
      <c r="D171" s="711">
        <f>Bilans_E_AMS_Kyoto_run3_MTE!H284</f>
        <v>0</v>
      </c>
      <c r="E171" s="711">
        <f>Bilans_E_AMS_Kyoto_run3_MTE!I284</f>
        <v>0</v>
      </c>
      <c r="F171" s="711">
        <f>Bilans_E_AMS_Kyoto_run3_MTE!J284</f>
        <v>0</v>
      </c>
      <c r="G171" s="711">
        <f>Bilans_E_AMS_Kyoto_run3_MTE!K284</f>
        <v>0</v>
      </c>
      <c r="H171" s="711">
        <f>Bilans_E_AMS_Kyoto_run3_MTE!L284</f>
        <v>0</v>
      </c>
      <c r="I171" s="711">
        <f>Bilans_E_AMS_Kyoto_run3_MTE!M284</f>
        <v>0</v>
      </c>
      <c r="J171" s="711">
        <f>Bilans_E_AMS_Kyoto_run3_MTE!N284</f>
        <v>0</v>
      </c>
      <c r="K171" s="711">
        <f>Bilans_E_AMS_Kyoto_run3_MTE!O284</f>
        <v>0</v>
      </c>
      <c r="L171" s="711">
        <f>Bilans_E_AMS_Kyoto_run3_MTE!P284</f>
        <v>68.878327619299128</v>
      </c>
      <c r="M171" s="711">
        <f>Bilans_E_AMS_Kyoto_run3_MTE!Q284</f>
        <v>9.6609327353265275</v>
      </c>
      <c r="N171" s="711">
        <f>Bilans_E_AMS_Kyoto_run3_MTE!R284</f>
        <v>0</v>
      </c>
      <c r="O171" s="711">
        <f>Bilans_E_AMS_Kyoto_run3_MTE!S284</f>
        <v>-39.337598681233651</v>
      </c>
      <c r="P171" s="711">
        <f>Bilans_E_AMS_Kyoto_run3_MTE!T284+Bilans_E_AMS_Kyoto_run3_MTE!U284</f>
        <v>0</v>
      </c>
      <c r="Q171" s="711">
        <f>Bilans_E_AMS_Kyoto_run3_MTE!V284</f>
        <v>0</v>
      </c>
      <c r="R171" s="711">
        <f>Bilans_E_AMS_Kyoto_run3_MTE!W284</f>
        <v>0</v>
      </c>
      <c r="S171" s="711">
        <f>Bilans_E_AMS_Kyoto_run3_MTE!X284</f>
        <v>0</v>
      </c>
      <c r="T171" s="711">
        <f>Bilans_E_AMS_Kyoto_run3_MTE!Y284</f>
        <v>0</v>
      </c>
      <c r="U171" s="711">
        <f>Bilans_E_AMS_Kyoto_run3_MTE!Z284</f>
        <v>39.201661673392003</v>
      </c>
      <c r="V171" s="701"/>
      <c r="W171" s="701"/>
    </row>
    <row r="172" spans="1:23" x14ac:dyDescent="0.25">
      <c r="A172" s="701" t="s">
        <v>498</v>
      </c>
      <c r="B172" s="701"/>
      <c r="C172" s="717" t="s">
        <v>350</v>
      </c>
      <c r="D172" s="711">
        <f>Bilans_E_AMS_Kyoto_run3_MTE!H285</f>
        <v>0</v>
      </c>
      <c r="E172" s="711">
        <f>Bilans_E_AMS_Kyoto_run3_MTE!I285</f>
        <v>0</v>
      </c>
      <c r="F172" s="711">
        <f>Bilans_E_AMS_Kyoto_run3_MTE!J285</f>
        <v>0</v>
      </c>
      <c r="G172" s="711">
        <f>Bilans_E_AMS_Kyoto_run3_MTE!K285</f>
        <v>0</v>
      </c>
      <c r="H172" s="711">
        <f>Bilans_E_AMS_Kyoto_run3_MTE!L285</f>
        <v>0</v>
      </c>
      <c r="I172" s="711">
        <f>Bilans_E_AMS_Kyoto_run3_MTE!M285</f>
        <v>-0.23021574029600303</v>
      </c>
      <c r="J172" s="711">
        <f>Bilans_E_AMS_Kyoto_run3_MTE!N285</f>
        <v>0</v>
      </c>
      <c r="K172" s="711">
        <f>Bilans_E_AMS_Kyoto_run3_MTE!O285</f>
        <v>0</v>
      </c>
      <c r="L172" s="711">
        <f>Bilans_E_AMS_Kyoto_run3_MTE!P285</f>
        <v>0</v>
      </c>
      <c r="M172" s="711">
        <f>Bilans_E_AMS_Kyoto_run3_MTE!Q285</f>
        <v>0</v>
      </c>
      <c r="N172" s="711">
        <f>Bilans_E_AMS_Kyoto_run3_MTE!R285</f>
        <v>0</v>
      </c>
      <c r="O172" s="711">
        <f>Bilans_E_AMS_Kyoto_run3_MTE!S285</f>
        <v>0</v>
      </c>
      <c r="P172" s="711">
        <f>Bilans_E_AMS_Kyoto_run3_MTE!T285+Bilans_E_AMS_Kyoto_run3_MTE!U285</f>
        <v>0</v>
      </c>
      <c r="Q172" s="711">
        <f>Bilans_E_AMS_Kyoto_run3_MTE!V285</f>
        <v>0</v>
      </c>
      <c r="R172" s="711">
        <f>Bilans_E_AMS_Kyoto_run3_MTE!W285</f>
        <v>0</v>
      </c>
      <c r="S172" s="711">
        <f>Bilans_E_AMS_Kyoto_run3_MTE!X285</f>
        <v>0</v>
      </c>
      <c r="T172" s="711">
        <f>Bilans_E_AMS_Kyoto_run3_MTE!Y285</f>
        <v>0.31974408374444868</v>
      </c>
      <c r="U172" s="711">
        <f>Bilans_E_AMS_Kyoto_run3_MTE!Z285</f>
        <v>8.9528343448445652E-2</v>
      </c>
      <c r="V172" s="701"/>
      <c r="W172" s="701"/>
    </row>
    <row r="173" spans="1:23" x14ac:dyDescent="0.25">
      <c r="A173" s="701" t="s">
        <v>499</v>
      </c>
      <c r="B173" s="701"/>
      <c r="C173" s="717" t="s">
        <v>72</v>
      </c>
      <c r="D173" s="711">
        <f>Bilans_E_AMS_Kyoto_run3_MTE!H286</f>
        <v>0</v>
      </c>
      <c r="E173" s="711">
        <f>Bilans_E_AMS_Kyoto_run3_MTE!I286</f>
        <v>413.59716113320059</v>
      </c>
      <c r="F173" s="711">
        <f>Bilans_E_AMS_Kyoto_run3_MTE!J286</f>
        <v>-409.46118952186856</v>
      </c>
      <c r="G173" s="711">
        <f>Bilans_E_AMS_Kyoto_run3_MTE!K286</f>
        <v>0</v>
      </c>
      <c r="H173" s="711">
        <f>Bilans_E_AMS_Kyoto_run3_MTE!L286</f>
        <v>0</v>
      </c>
      <c r="I173" s="711">
        <f>Bilans_E_AMS_Kyoto_run3_MTE!M286</f>
        <v>0</v>
      </c>
      <c r="J173" s="711">
        <f>Bilans_E_AMS_Kyoto_run3_MTE!N286</f>
        <v>0</v>
      </c>
      <c r="K173" s="711">
        <f>Bilans_E_AMS_Kyoto_run3_MTE!O286</f>
        <v>0</v>
      </c>
      <c r="L173" s="711">
        <f>Bilans_E_AMS_Kyoto_run3_MTE!P286</f>
        <v>0</v>
      </c>
      <c r="M173" s="711">
        <f>Bilans_E_AMS_Kyoto_run3_MTE!Q286</f>
        <v>0</v>
      </c>
      <c r="N173" s="711">
        <f>Bilans_E_AMS_Kyoto_run3_MTE!R286</f>
        <v>0</v>
      </c>
      <c r="O173" s="711">
        <f>Bilans_E_AMS_Kyoto_run3_MTE!S286</f>
        <v>0</v>
      </c>
      <c r="P173" s="711">
        <f>Bilans_E_AMS_Kyoto_run3_MTE!T286+Bilans_E_AMS_Kyoto_run3_MTE!U286</f>
        <v>0</v>
      </c>
      <c r="Q173" s="711">
        <f>Bilans_E_AMS_Kyoto_run3_MTE!V286</f>
        <v>0</v>
      </c>
      <c r="R173" s="711">
        <f>Bilans_E_AMS_Kyoto_run3_MTE!W286</f>
        <v>0</v>
      </c>
      <c r="S173" s="711">
        <f>Bilans_E_AMS_Kyoto_run3_MTE!X286</f>
        <v>0</v>
      </c>
      <c r="T173" s="711">
        <f>Bilans_E_AMS_Kyoto_run3_MTE!Y286</f>
        <v>0</v>
      </c>
      <c r="U173" s="711">
        <f>Bilans_E_AMS_Kyoto_run3_MTE!Z286</f>
        <v>4.1359716113320246</v>
      </c>
      <c r="V173" s="701"/>
      <c r="W173" s="701"/>
    </row>
    <row r="174" spans="1:23" x14ac:dyDescent="0.25">
      <c r="A174" s="701" t="s">
        <v>500</v>
      </c>
      <c r="B174" s="701"/>
      <c r="C174" s="717" t="s">
        <v>351</v>
      </c>
      <c r="D174" s="711">
        <f>Bilans_E_AMS_Kyoto_run3_MTE!H287</f>
        <v>0</v>
      </c>
      <c r="E174" s="711">
        <f>Bilans_E_AMS_Kyoto_run3_MTE!I287</f>
        <v>0</v>
      </c>
      <c r="F174" s="711">
        <f>Bilans_E_AMS_Kyoto_run3_MTE!J287</f>
        <v>0</v>
      </c>
      <c r="G174" s="711">
        <f>Bilans_E_AMS_Kyoto_run3_MTE!K287</f>
        <v>0</v>
      </c>
      <c r="H174" s="711">
        <f>Bilans_E_AMS_Kyoto_run3_MTE!L287</f>
        <v>0</v>
      </c>
      <c r="I174" s="711">
        <f>Bilans_E_AMS_Kyoto_run3_MTE!M287</f>
        <v>0</v>
      </c>
      <c r="J174" s="711">
        <f>Bilans_E_AMS_Kyoto_run3_MTE!N287</f>
        <v>0</v>
      </c>
      <c r="K174" s="711">
        <f>Bilans_E_AMS_Kyoto_run3_MTE!O287</f>
        <v>0</v>
      </c>
      <c r="L174" s="711">
        <f>Bilans_E_AMS_Kyoto_run3_MTE!P287</f>
        <v>74.303583996360487</v>
      </c>
      <c r="M174" s="711">
        <f>Bilans_E_AMS_Kyoto_run3_MTE!Q287</f>
        <v>7.2727272727272725</v>
      </c>
      <c r="N174" s="711">
        <f>Bilans_E_AMS_Kyoto_run3_MTE!R287</f>
        <v>-45.504026449722858</v>
      </c>
      <c r="O174" s="711">
        <f>Bilans_E_AMS_Kyoto_run3_MTE!S287</f>
        <v>0</v>
      </c>
      <c r="P174" s="711">
        <f>Bilans_E_AMS_Kyoto_run3_MTE!T287+Bilans_E_AMS_Kyoto_run3_MTE!U287</f>
        <v>0</v>
      </c>
      <c r="Q174" s="711">
        <f>Bilans_E_AMS_Kyoto_run3_MTE!V287</f>
        <v>0</v>
      </c>
      <c r="R174" s="711">
        <f>Bilans_E_AMS_Kyoto_run3_MTE!W287</f>
        <v>0</v>
      </c>
      <c r="S174" s="711">
        <f>Bilans_E_AMS_Kyoto_run3_MTE!X287</f>
        <v>0</v>
      </c>
      <c r="T174" s="711">
        <f>Bilans_E_AMS_Kyoto_run3_MTE!Y287</f>
        <v>0</v>
      </c>
      <c r="U174" s="711">
        <f>Bilans_E_AMS_Kyoto_run3_MTE!Z287</f>
        <v>36.072284819364896</v>
      </c>
      <c r="V174" s="701"/>
      <c r="W174" s="701"/>
    </row>
    <row r="175" spans="1:23" x14ac:dyDescent="0.25">
      <c r="A175" s="701" t="s">
        <v>501</v>
      </c>
      <c r="B175" s="701"/>
      <c r="C175" s="717" t="s">
        <v>352</v>
      </c>
      <c r="D175" s="711">
        <f>Bilans_E_AMS_Kyoto_run3_MTE!H288</f>
        <v>0</v>
      </c>
      <c r="E175" s="711">
        <f>Bilans_E_AMS_Kyoto_run3_MTE!I288</f>
        <v>0</v>
      </c>
      <c r="F175" s="711">
        <f>Bilans_E_AMS_Kyoto_run3_MTE!J288</f>
        <v>0</v>
      </c>
      <c r="G175" s="711">
        <f>Bilans_E_AMS_Kyoto_run3_MTE!K288</f>
        <v>-1.480215740296003</v>
      </c>
      <c r="H175" s="711">
        <f>Bilans_E_AMS_Kyoto_run3_MTE!L288</f>
        <v>0</v>
      </c>
      <c r="I175" s="711">
        <f>Bilans_E_AMS_Kyoto_run3_MTE!M288</f>
        <v>0</v>
      </c>
      <c r="J175" s="711">
        <f>Bilans_E_AMS_Kyoto_run3_MTE!N288</f>
        <v>0</v>
      </c>
      <c r="K175" s="711">
        <f>Bilans_E_AMS_Kyoto_run3_MTE!O288</f>
        <v>0</v>
      </c>
      <c r="L175" s="711">
        <f>Bilans_E_AMS_Kyoto_run3_MTE!P288</f>
        <v>0</v>
      </c>
      <c r="M175" s="711">
        <f>Bilans_E_AMS_Kyoto_run3_MTE!Q288</f>
        <v>0</v>
      </c>
      <c r="N175" s="711">
        <f>Bilans_E_AMS_Kyoto_run3_MTE!R288</f>
        <v>0</v>
      </c>
      <c r="O175" s="711">
        <f>Bilans_E_AMS_Kyoto_run3_MTE!S288</f>
        <v>0</v>
      </c>
      <c r="P175" s="711">
        <f>Bilans_E_AMS_Kyoto_run3_MTE!T288+Bilans_E_AMS_Kyoto_run3_MTE!U288</f>
        <v>0</v>
      </c>
      <c r="Q175" s="711">
        <f>Bilans_E_AMS_Kyoto_run3_MTE!V288</f>
        <v>0</v>
      </c>
      <c r="R175" s="711">
        <f>Bilans_E_AMS_Kyoto_run3_MTE!W288</f>
        <v>0</v>
      </c>
      <c r="S175" s="711">
        <f>Bilans_E_AMS_Kyoto_run3_MTE!X288</f>
        <v>0</v>
      </c>
      <c r="T175" s="711">
        <f>Bilans_E_AMS_Kyoto_run3_MTE!Y288</f>
        <v>2.4532373143256034</v>
      </c>
      <c r="U175" s="711">
        <f>Bilans_E_AMS_Kyoto_run3_MTE!Z288</f>
        <v>0.97302157402960043</v>
      </c>
      <c r="V175" s="701"/>
      <c r="W175" s="701"/>
    </row>
    <row r="176" spans="1:23" x14ac:dyDescent="0.25">
      <c r="A176" s="701" t="s">
        <v>502</v>
      </c>
      <c r="B176" s="701"/>
      <c r="C176" s="717" t="s">
        <v>73</v>
      </c>
      <c r="D176" s="711">
        <f>Bilans_E_AMS_Kyoto_run3_MTE!H289</f>
        <v>0</v>
      </c>
      <c r="E176" s="711">
        <f>Bilans_E_AMS_Kyoto_run3_MTE!I289</f>
        <v>0</v>
      </c>
      <c r="F176" s="711">
        <f>Bilans_E_AMS_Kyoto_run3_MTE!J289</f>
        <v>0</v>
      </c>
      <c r="G176" s="711">
        <f>Bilans_E_AMS_Kyoto_run3_MTE!K289</f>
        <v>0</v>
      </c>
      <c r="H176" s="711">
        <f>Bilans_E_AMS_Kyoto_run3_MTE!L289</f>
        <v>0</v>
      </c>
      <c r="I176" s="711">
        <f>Bilans_E_AMS_Kyoto_run3_MTE!M289</f>
        <v>0</v>
      </c>
      <c r="J176" s="711">
        <f>Bilans_E_AMS_Kyoto_run3_MTE!N289</f>
        <v>0</v>
      </c>
      <c r="K176" s="711">
        <f>Bilans_E_AMS_Kyoto_run3_MTE!O289</f>
        <v>0</v>
      </c>
      <c r="L176" s="711">
        <f>Bilans_E_AMS_Kyoto_run3_MTE!P289</f>
        <v>0</v>
      </c>
      <c r="M176" s="711">
        <f>Bilans_E_AMS_Kyoto_run3_MTE!Q289</f>
        <v>0</v>
      </c>
      <c r="N176" s="711">
        <f>Bilans_E_AMS_Kyoto_run3_MTE!R289</f>
        <v>0</v>
      </c>
      <c r="O176" s="711">
        <f>Bilans_E_AMS_Kyoto_run3_MTE!S289</f>
        <v>0</v>
      </c>
      <c r="P176" s="711">
        <f>Bilans_E_AMS_Kyoto_run3_MTE!T289+Bilans_E_AMS_Kyoto_run3_MTE!U289</f>
        <v>0</v>
      </c>
      <c r="Q176" s="711">
        <f>Bilans_E_AMS_Kyoto_run3_MTE!V289</f>
        <v>0</v>
      </c>
      <c r="R176" s="711">
        <f>Bilans_E_AMS_Kyoto_run3_MTE!W289</f>
        <v>18.526359506641338</v>
      </c>
      <c r="S176" s="711">
        <f>Bilans_E_AMS_Kyoto_run3_MTE!X289</f>
        <v>0</v>
      </c>
      <c r="T176" s="711">
        <f>Bilans_E_AMS_Kyoto_run3_MTE!Y289</f>
        <v>-12.042133679316869</v>
      </c>
      <c r="U176" s="711">
        <f>Bilans_E_AMS_Kyoto_run3_MTE!Z289</f>
        <v>6.4842258273244688</v>
      </c>
      <c r="V176" s="701"/>
      <c r="W176" s="701"/>
    </row>
    <row r="177" spans="1:23" x14ac:dyDescent="0.25">
      <c r="A177" s="701" t="s">
        <v>503</v>
      </c>
      <c r="B177" s="701"/>
      <c r="C177" s="717" t="s">
        <v>353</v>
      </c>
      <c r="D177" s="711">
        <f>Bilans_E_AMS_Kyoto_run3_MTE!H290</f>
        <v>15.5082364453125</v>
      </c>
      <c r="E177" s="711">
        <f>Bilans_E_AMS_Kyoto_run3_MTE!I290</f>
        <v>-14.528347507960277</v>
      </c>
      <c r="F177" s="711">
        <f>Bilans_E_AMS_Kyoto_run3_MTE!J290</f>
        <v>19.128276728053308</v>
      </c>
      <c r="G177" s="711">
        <f>Bilans_E_AMS_Kyoto_run3_MTE!K290</f>
        <v>0</v>
      </c>
      <c r="H177" s="711">
        <f>Bilans_E_AMS_Kyoto_run3_MTE!L290</f>
        <v>0</v>
      </c>
      <c r="I177" s="711">
        <f>Bilans_E_AMS_Kyoto_run3_MTE!M290</f>
        <v>0</v>
      </c>
      <c r="J177" s="711">
        <f>Bilans_E_AMS_Kyoto_run3_MTE!N290</f>
        <v>0</v>
      </c>
      <c r="K177" s="711">
        <f>Bilans_E_AMS_Kyoto_run3_MTE!O290</f>
        <v>0</v>
      </c>
      <c r="L177" s="711">
        <f>Bilans_E_AMS_Kyoto_run3_MTE!P290</f>
        <v>0</v>
      </c>
      <c r="M177" s="711">
        <f>Bilans_E_AMS_Kyoto_run3_MTE!Q290</f>
        <v>0</v>
      </c>
      <c r="N177" s="711">
        <f>Bilans_E_AMS_Kyoto_run3_MTE!R290</f>
        <v>0</v>
      </c>
      <c r="O177" s="711">
        <f>Bilans_E_AMS_Kyoto_run3_MTE!S290</f>
        <v>0</v>
      </c>
      <c r="P177" s="711">
        <f>Bilans_E_AMS_Kyoto_run3_MTE!T290+Bilans_E_AMS_Kyoto_run3_MTE!U290</f>
        <v>0</v>
      </c>
      <c r="Q177" s="711">
        <f>Bilans_E_AMS_Kyoto_run3_MTE!V290</f>
        <v>0</v>
      </c>
      <c r="R177" s="711">
        <f>Bilans_E_AMS_Kyoto_run3_MTE!W290</f>
        <v>0</v>
      </c>
      <c r="S177" s="711">
        <f>Bilans_E_AMS_Kyoto_run3_MTE!X290</f>
        <v>0</v>
      </c>
      <c r="T177" s="711">
        <f>Bilans_E_AMS_Kyoto_run3_MTE!Y290</f>
        <v>0</v>
      </c>
      <c r="U177" s="711">
        <f>Bilans_E_AMS_Kyoto_run3_MTE!Z290</f>
        <v>20.108165665405529</v>
      </c>
      <c r="V177" s="701"/>
      <c r="W177" s="701"/>
    </row>
    <row r="178" spans="1:23" x14ac:dyDescent="0.25">
      <c r="A178" s="701" t="s">
        <v>504</v>
      </c>
      <c r="B178" s="701"/>
      <c r="C178" s="717" t="s">
        <v>75</v>
      </c>
      <c r="D178" s="711">
        <f>Bilans_E_AMS_Kyoto_run3_MTE!H291</f>
        <v>6.0309808398437506</v>
      </c>
      <c r="E178" s="711">
        <f>Bilans_E_AMS_Kyoto_run3_MTE!I291</f>
        <v>0</v>
      </c>
      <c r="F178" s="711">
        <f>Bilans_E_AMS_Kyoto_run3_MTE!J291</f>
        <v>14.291538341519651</v>
      </c>
      <c r="G178" s="711">
        <f>Bilans_E_AMS_Kyoto_run3_MTE!K291</f>
        <v>0</v>
      </c>
      <c r="H178" s="711">
        <f>Bilans_E_AMS_Kyoto_run3_MTE!L291</f>
        <v>0.64620824955973954</v>
      </c>
      <c r="I178" s="711">
        <f>Bilans_E_AMS_Kyoto_run3_MTE!M291</f>
        <v>0</v>
      </c>
      <c r="J178" s="711">
        <f>Bilans_E_AMS_Kyoto_run3_MTE!N291</f>
        <v>0</v>
      </c>
      <c r="K178" s="711">
        <f>Bilans_E_AMS_Kyoto_run3_MTE!O291</f>
        <v>0</v>
      </c>
      <c r="L178" s="711">
        <f>Bilans_E_AMS_Kyoto_run3_MTE!P291</f>
        <v>0</v>
      </c>
      <c r="M178" s="711">
        <f>Bilans_E_AMS_Kyoto_run3_MTE!Q291</f>
        <v>0</v>
      </c>
      <c r="N178" s="711">
        <f>Bilans_E_AMS_Kyoto_run3_MTE!R291</f>
        <v>0</v>
      </c>
      <c r="O178" s="711">
        <f>Bilans_E_AMS_Kyoto_run3_MTE!S291</f>
        <v>0.11403674992230699</v>
      </c>
      <c r="P178" s="711">
        <f>Bilans_E_AMS_Kyoto_run3_MTE!T291+Bilans_E_AMS_Kyoto_run3_MTE!U291</f>
        <v>0</v>
      </c>
      <c r="Q178" s="711">
        <f>Bilans_E_AMS_Kyoto_run3_MTE!V291</f>
        <v>0</v>
      </c>
      <c r="R178" s="711">
        <f>Bilans_E_AMS_Kyoto_run3_MTE!W291</f>
        <v>33.092757599701173</v>
      </c>
      <c r="S178" s="711">
        <f>Bilans_E_AMS_Kyoto_run3_MTE!X291</f>
        <v>0</v>
      </c>
      <c r="T178" s="711">
        <f>Bilans_E_AMS_Kyoto_run3_MTE!Y291</f>
        <v>3.3</v>
      </c>
      <c r="U178" s="711">
        <f>Bilans_E_AMS_Kyoto_run3_MTE!Z291</f>
        <v>57.475521780546615</v>
      </c>
      <c r="V178" s="701"/>
      <c r="W178" s="701"/>
    </row>
    <row r="179" spans="1:23" x14ac:dyDescent="0.25">
      <c r="A179" s="701" t="s">
        <v>505</v>
      </c>
      <c r="B179" s="701"/>
      <c r="C179" s="717" t="s">
        <v>76</v>
      </c>
      <c r="D179" s="711">
        <f>Bilans_E_AMS_Kyoto_run3_MTE!H292</f>
        <v>0</v>
      </c>
      <c r="E179" s="711">
        <f>Bilans_E_AMS_Kyoto_run3_MTE!I292</f>
        <v>0</v>
      </c>
      <c r="F179" s="711">
        <f>Bilans_E_AMS_Kyoto_run3_MTE!J292</f>
        <v>0</v>
      </c>
      <c r="G179" s="711">
        <f>Bilans_E_AMS_Kyoto_run3_MTE!K292</f>
        <v>0</v>
      </c>
      <c r="H179" s="711">
        <f>Bilans_E_AMS_Kyoto_run3_MTE!L292</f>
        <v>3.0578662862517128</v>
      </c>
      <c r="I179" s="711">
        <f>Bilans_E_AMS_Kyoto_run3_MTE!M292</f>
        <v>0</v>
      </c>
      <c r="J179" s="711">
        <f>Bilans_E_AMS_Kyoto_run3_MTE!N292</f>
        <v>0</v>
      </c>
      <c r="K179" s="711">
        <f>Bilans_E_AMS_Kyoto_run3_MTE!O292</f>
        <v>0</v>
      </c>
      <c r="L179" s="711">
        <f>Bilans_E_AMS_Kyoto_run3_MTE!P292</f>
        <v>0</v>
      </c>
      <c r="M179" s="711">
        <f>Bilans_E_AMS_Kyoto_run3_MTE!Q292</f>
        <v>0</v>
      </c>
      <c r="N179" s="711">
        <f>Bilans_E_AMS_Kyoto_run3_MTE!R292</f>
        <v>0</v>
      </c>
      <c r="O179" s="711">
        <f>Bilans_E_AMS_Kyoto_run3_MTE!S292</f>
        <v>0.53962346227971403</v>
      </c>
      <c r="P179" s="711">
        <f>Bilans_E_AMS_Kyoto_run3_MTE!T292+Bilans_E_AMS_Kyoto_run3_MTE!U292</f>
        <v>0</v>
      </c>
      <c r="Q179" s="711">
        <f>Bilans_E_AMS_Kyoto_run3_MTE!V292</f>
        <v>0</v>
      </c>
      <c r="R179" s="711">
        <f>Bilans_E_AMS_Kyoto_run3_MTE!W292</f>
        <v>47.37908571808331</v>
      </c>
      <c r="S179" s="711">
        <f>Bilans_E_AMS_Kyoto_run3_MTE!X292</f>
        <v>5.9061205117744695</v>
      </c>
      <c r="T179" s="711">
        <f>Bilans_E_AMS_Kyoto_run3_MTE!Y292</f>
        <v>0</v>
      </c>
      <c r="U179" s="711">
        <f>Bilans_E_AMS_Kyoto_run3_MTE!Z292</f>
        <v>56.882695978389201</v>
      </c>
      <c r="V179" s="701"/>
      <c r="W179" s="701"/>
    </row>
    <row r="180" spans="1:23" x14ac:dyDescent="0.25">
      <c r="A180" s="701" t="s">
        <v>506</v>
      </c>
      <c r="B180" s="701"/>
      <c r="C180" s="713" t="s">
        <v>77</v>
      </c>
      <c r="D180" s="714">
        <f>Bilans_E_AMS_Kyoto_run3_MTE!H293</f>
        <v>21.539217285156251</v>
      </c>
      <c r="E180" s="714">
        <f>Bilans_E_AMS_Kyoto_run3_MTE!I293</f>
        <v>399.0688136252403</v>
      </c>
      <c r="F180" s="714">
        <f>Bilans_E_AMS_Kyoto_run3_MTE!J293</f>
        <v>-375.26273642086448</v>
      </c>
      <c r="G180" s="714">
        <f>Bilans_E_AMS_Kyoto_run3_MTE!K293</f>
        <v>-1.480215740296003</v>
      </c>
      <c r="H180" s="714">
        <f>Bilans_E_AMS_Kyoto_run3_MTE!L293</f>
        <v>62.008325816311682</v>
      </c>
      <c r="I180" s="714">
        <f>Bilans_E_AMS_Kyoto_run3_MTE!M293</f>
        <v>-0.23021574029600303</v>
      </c>
      <c r="J180" s="714">
        <f>Bilans_E_AMS_Kyoto_run3_MTE!N293</f>
        <v>1170.5483636363635</v>
      </c>
      <c r="K180" s="714">
        <f>Bilans_E_AMS_Kyoto_run3_MTE!O293</f>
        <v>211.05320151197157</v>
      </c>
      <c r="L180" s="714">
        <f>Bilans_E_AMS_Kyoto_run3_MTE!P293</f>
        <v>182.26449786241375</v>
      </c>
      <c r="M180" s="714">
        <f>Bilans_E_AMS_Kyoto_run3_MTE!Q293</f>
        <v>40.824982355301664</v>
      </c>
      <c r="N180" s="714">
        <f>Bilans_E_AMS_Kyoto_run3_MTE!R293</f>
        <v>-41.092768978832041</v>
      </c>
      <c r="O180" s="714">
        <f>Bilans_E_AMS_Kyoto_run3_MTE!S293</f>
        <v>-21.990702686716844</v>
      </c>
      <c r="P180" s="714">
        <f>Bilans_E_AMS_Kyoto_run3_MTE!T293+Bilans_E_AMS_Kyoto_run3_MTE!U293</f>
        <v>5.5922659753689832</v>
      </c>
      <c r="Q180" s="714">
        <f>Bilans_E_AMS_Kyoto_run3_MTE!V293</f>
        <v>10.223550533524911</v>
      </c>
      <c r="R180" s="714">
        <f>Bilans_E_AMS_Kyoto_run3_MTE!W293</f>
        <v>-537.49377820174482</v>
      </c>
      <c r="S180" s="714">
        <f>Bilans_E_AMS_Kyoto_run3_MTE!X293</f>
        <v>-70.255314119257562</v>
      </c>
      <c r="T180" s="714">
        <f>Bilans_E_AMS_Kyoto_run3_MTE!Y293</f>
        <v>-5.9691522812468181</v>
      </c>
      <c r="U180" s="714">
        <f>Bilans_E_AMS_Kyoto_run3_MTE!Z293</f>
        <v>1049.3483344323984</v>
      </c>
      <c r="V180" s="701"/>
      <c r="W180" s="701"/>
    </row>
    <row r="181" spans="1:23" x14ac:dyDescent="0.25">
      <c r="A181" s="701"/>
      <c r="B181" s="701"/>
      <c r="C181" s="715"/>
      <c r="D181" s="716"/>
      <c r="E181" s="716"/>
      <c r="F181" s="716"/>
      <c r="G181" s="716"/>
      <c r="H181" s="716"/>
      <c r="I181" s="716"/>
      <c r="J181" s="716"/>
      <c r="K181" s="716"/>
      <c r="L181" s="716"/>
      <c r="M181" s="716"/>
      <c r="N181" s="716"/>
      <c r="O181" s="716"/>
      <c r="P181" s="716">
        <f>Bilans_E_AMS_Kyoto_run3_MTE!T294+Bilans_E_AMS_Kyoto_run3_MTE!U294</f>
        <v>0</v>
      </c>
      <c r="Q181" s="716"/>
      <c r="R181" s="716"/>
      <c r="S181" s="716"/>
      <c r="T181" s="716"/>
      <c r="U181" s="716"/>
      <c r="V181" s="701"/>
      <c r="W181" s="701"/>
    </row>
    <row r="182" spans="1:23" x14ac:dyDescent="0.25">
      <c r="A182" s="701" t="s">
        <v>507</v>
      </c>
      <c r="B182" s="701"/>
      <c r="C182" s="717" t="s">
        <v>78</v>
      </c>
      <c r="D182" s="711">
        <f>Bilans_E_AMS_Kyoto_run3_MTE!H295</f>
        <v>0.92572558593749998</v>
      </c>
      <c r="E182" s="711">
        <f>Bilans_E_AMS_Kyoto_run3_MTE!I295</f>
        <v>0</v>
      </c>
      <c r="F182" s="711">
        <f>Bilans_E_AMS_Kyoto_run3_MTE!J295</f>
        <v>11.411404613984462</v>
      </c>
      <c r="G182" s="711">
        <f>Bilans_E_AMS_Kyoto_run3_MTE!K295</f>
        <v>0</v>
      </c>
      <c r="H182" s="711">
        <f>Bilans_E_AMS_Kyoto_run3_MTE!L295</f>
        <v>66.339251368389611</v>
      </c>
      <c r="I182" s="711">
        <f>Bilans_E_AMS_Kyoto_run3_MTE!M295</f>
        <v>0</v>
      </c>
      <c r="J182" s="711">
        <f>Bilans_E_AMS_Kyoto_run3_MTE!N295</f>
        <v>0</v>
      </c>
      <c r="K182" s="711">
        <f>Bilans_E_AMS_Kyoto_run3_MTE!O295</f>
        <v>0</v>
      </c>
      <c r="L182" s="711">
        <f>Bilans_E_AMS_Kyoto_run3_MTE!P295</f>
        <v>40.443549417210768</v>
      </c>
      <c r="M182" s="711">
        <f>Bilans_E_AMS_Kyoto_run3_MTE!Q295</f>
        <v>10.269254107073522</v>
      </c>
      <c r="N182" s="711">
        <f>Bilans_E_AMS_Kyoto_run3_MTE!R295</f>
        <v>0.94472173154286976</v>
      </c>
      <c r="O182" s="711">
        <f>Bilans_E_AMS_Kyoto_run3_MTE!S295</f>
        <v>11.734293648614692</v>
      </c>
      <c r="P182" s="711">
        <f>Bilans_E_AMS_Kyoto_run3_MTE!T295+Bilans_E_AMS_Kyoto_run3_MTE!U295</f>
        <v>4.88145654296875</v>
      </c>
      <c r="Q182" s="711">
        <f>Bilans_E_AMS_Kyoto_run3_MTE!V295</f>
        <v>5.5791983277925228E-4</v>
      </c>
      <c r="R182" s="711">
        <f>Bilans_E_AMS_Kyoto_run3_MTE!W295</f>
        <v>149.97591807761651</v>
      </c>
      <c r="S182" s="711">
        <f>Bilans_E_AMS_Kyoto_run3_MTE!X295</f>
        <v>19.64973892074547</v>
      </c>
      <c r="T182" s="711">
        <f>Bilans_E_AMS_Kyoto_run3_MTE!Y295</f>
        <v>3.6016970214843749</v>
      </c>
      <c r="U182" s="711">
        <f>Bilans_E_AMS_Kyoto_run3_MTE!Z295</f>
        <v>320.17756895540128</v>
      </c>
      <c r="V182" s="701"/>
      <c r="W182" s="701"/>
    </row>
    <row r="183" spans="1:23" x14ac:dyDescent="0.25">
      <c r="A183" s="701" t="s">
        <v>508</v>
      </c>
      <c r="B183" s="701"/>
      <c r="C183" s="717" t="s">
        <v>79</v>
      </c>
      <c r="D183" s="711">
        <f>Bilans_E_AMS_Kyoto_run3_MTE!H296</f>
        <v>0</v>
      </c>
      <c r="E183" s="711">
        <f>Bilans_E_AMS_Kyoto_run3_MTE!I296</f>
        <v>0</v>
      </c>
      <c r="F183" s="711">
        <f>Bilans_E_AMS_Kyoto_run3_MTE!J296</f>
        <v>327.31240488287597</v>
      </c>
      <c r="G183" s="711">
        <f>Bilans_E_AMS_Kyoto_run3_MTE!K296</f>
        <v>0</v>
      </c>
      <c r="H183" s="711">
        <f>Bilans_E_AMS_Kyoto_run3_MTE!L296</f>
        <v>5.5523505805401721</v>
      </c>
      <c r="I183" s="711">
        <f>Bilans_E_AMS_Kyoto_run3_MTE!M296</f>
        <v>0</v>
      </c>
      <c r="J183" s="711">
        <f>Bilans_E_AMS_Kyoto_run3_MTE!N296</f>
        <v>0</v>
      </c>
      <c r="K183" s="711">
        <f>Bilans_E_AMS_Kyoto_run3_MTE!O296</f>
        <v>0</v>
      </c>
      <c r="L183" s="711">
        <f>Bilans_E_AMS_Kyoto_run3_MTE!P296</f>
        <v>0</v>
      </c>
      <c r="M183" s="711">
        <f>Bilans_E_AMS_Kyoto_run3_MTE!Q296</f>
        <v>0</v>
      </c>
      <c r="N183" s="711">
        <f>Bilans_E_AMS_Kyoto_run3_MTE!R296</f>
        <v>37.003548542473339</v>
      </c>
      <c r="O183" s="711">
        <f>Bilans_E_AMS_Kyoto_run3_MTE!S296</f>
        <v>0.97982657303650089</v>
      </c>
      <c r="P183" s="711">
        <f>Bilans_E_AMS_Kyoto_run3_MTE!T296+Bilans_E_AMS_Kyoto_run3_MTE!U296</f>
        <v>0</v>
      </c>
      <c r="Q183" s="711">
        <f>Bilans_E_AMS_Kyoto_run3_MTE!V296</f>
        <v>0</v>
      </c>
      <c r="R183" s="711">
        <f>Bilans_E_AMS_Kyoto_run3_MTE!W296</f>
        <v>34.37904289575053</v>
      </c>
      <c r="S183" s="711">
        <f>Bilans_E_AMS_Kyoto_run3_MTE!X296</f>
        <v>0</v>
      </c>
      <c r="T183" s="711">
        <f>Bilans_E_AMS_Kyoto_run3_MTE!Y296</f>
        <v>0.97150026084130414</v>
      </c>
      <c r="U183" s="711">
        <f>Bilans_E_AMS_Kyoto_run3_MTE!Z296</f>
        <v>406.19867373551784</v>
      </c>
      <c r="V183" s="701"/>
      <c r="W183" s="701"/>
    </row>
    <row r="184" spans="1:23" x14ac:dyDescent="0.25">
      <c r="A184" s="701" t="s">
        <v>509</v>
      </c>
      <c r="B184" s="701"/>
      <c r="C184" s="717" t="s">
        <v>80</v>
      </c>
      <c r="D184" s="711">
        <f>Bilans_E_AMS_Kyoto_run3_MTE!H297</f>
        <v>0</v>
      </c>
      <c r="E184" s="711">
        <f>Bilans_E_AMS_Kyoto_run3_MTE!I297</f>
        <v>0</v>
      </c>
      <c r="F184" s="711">
        <f>Bilans_E_AMS_Kyoto_run3_MTE!J297</f>
        <v>11.051911751931332</v>
      </c>
      <c r="G184" s="711">
        <f>Bilans_E_AMS_Kyoto_run3_MTE!K297</f>
        <v>0</v>
      </c>
      <c r="H184" s="711">
        <f>Bilans_E_AMS_Kyoto_run3_MTE!L297</f>
        <v>72.334107180080835</v>
      </c>
      <c r="I184" s="711">
        <f>Bilans_E_AMS_Kyoto_run3_MTE!M297</f>
        <v>0</v>
      </c>
      <c r="J184" s="711">
        <f>Bilans_E_AMS_Kyoto_run3_MTE!N297</f>
        <v>0</v>
      </c>
      <c r="K184" s="711">
        <f>Bilans_E_AMS_Kyoto_run3_MTE!O297</f>
        <v>0</v>
      </c>
      <c r="L184" s="711">
        <f>Bilans_E_AMS_Kyoto_run3_MTE!P297</f>
        <v>60.462677002926597</v>
      </c>
      <c r="M184" s="711">
        <f>Bilans_E_AMS_Kyoto_run3_MTE!Q297</f>
        <v>0</v>
      </c>
      <c r="N184" s="711">
        <f>Bilans_E_AMS_Kyoto_run3_MTE!R297</f>
        <v>0</v>
      </c>
      <c r="O184" s="711">
        <f>Bilans_E_AMS_Kyoto_run3_MTE!S297</f>
        <v>12.764842443543676</v>
      </c>
      <c r="P184" s="711">
        <f>Bilans_E_AMS_Kyoto_run3_MTE!T297+Bilans_E_AMS_Kyoto_run3_MTE!U297</f>
        <v>86.174932209680449</v>
      </c>
      <c r="Q184" s="711">
        <f>Bilans_E_AMS_Kyoto_run3_MTE!V297</f>
        <v>6.0227221136395004</v>
      </c>
      <c r="R184" s="711">
        <f>Bilans_E_AMS_Kyoto_run3_MTE!W297</f>
        <v>166.37329866218946</v>
      </c>
      <c r="S184" s="711">
        <f>Bilans_E_AMS_Kyoto_run3_MTE!X297</f>
        <v>28.91573310749396</v>
      </c>
      <c r="T184" s="711">
        <f>Bilans_E_AMS_Kyoto_run3_MTE!Y297</f>
        <v>0</v>
      </c>
      <c r="U184" s="711">
        <f>Bilans_E_AMS_Kyoto_run3_MTE!Z297</f>
        <v>444.10022447148577</v>
      </c>
      <c r="V184" s="701"/>
      <c r="W184" s="701"/>
    </row>
    <row r="185" spans="1:23" x14ac:dyDescent="0.25">
      <c r="A185" s="701" t="s">
        <v>510</v>
      </c>
      <c r="B185" s="701"/>
      <c r="C185" s="717" t="s">
        <v>81</v>
      </c>
      <c r="D185" s="711">
        <f>Bilans_E_AMS_Kyoto_run3_MTE!H298</f>
        <v>0</v>
      </c>
      <c r="E185" s="711">
        <f>Bilans_E_AMS_Kyoto_run3_MTE!I298</f>
        <v>0</v>
      </c>
      <c r="F185" s="711">
        <f>Bilans_E_AMS_Kyoto_run3_MTE!J298</f>
        <v>3.647846365657839</v>
      </c>
      <c r="G185" s="711">
        <f>Bilans_E_AMS_Kyoto_run3_MTE!K298</f>
        <v>0</v>
      </c>
      <c r="H185" s="711">
        <f>Bilans_E_AMS_Kyoto_run3_MTE!L298</f>
        <v>44.827944248312576</v>
      </c>
      <c r="I185" s="711">
        <f>Bilans_E_AMS_Kyoto_run3_MTE!M298</f>
        <v>0</v>
      </c>
      <c r="J185" s="711">
        <f>Bilans_E_AMS_Kyoto_run3_MTE!N298</f>
        <v>0</v>
      </c>
      <c r="K185" s="711">
        <f>Bilans_E_AMS_Kyoto_run3_MTE!O298</f>
        <v>0</v>
      </c>
      <c r="L185" s="711">
        <f>Bilans_E_AMS_Kyoto_run3_MTE!P298</f>
        <v>0.66301904787483434</v>
      </c>
      <c r="M185" s="711">
        <f>Bilans_E_AMS_Kyoto_run3_MTE!Q298</f>
        <v>0</v>
      </c>
      <c r="N185" s="711">
        <f>Bilans_E_AMS_Kyoto_run3_MTE!R298</f>
        <v>0</v>
      </c>
      <c r="O185" s="711">
        <f>Bilans_E_AMS_Kyoto_run3_MTE!S298</f>
        <v>7.9108136908786895</v>
      </c>
      <c r="P185" s="711">
        <f>Bilans_E_AMS_Kyoto_run3_MTE!T298+Bilans_E_AMS_Kyoto_run3_MTE!U298</f>
        <v>32.610726720036368</v>
      </c>
      <c r="Q185" s="711">
        <f>Bilans_E_AMS_Kyoto_run3_MTE!V298</f>
        <v>5.7126687446965985</v>
      </c>
      <c r="R185" s="711">
        <f>Bilans_E_AMS_Kyoto_run3_MTE!W298</f>
        <v>121.98780292325297</v>
      </c>
      <c r="S185" s="711">
        <f>Bilans_E_AMS_Kyoto_run3_MTE!X298</f>
        <v>21.68981250781421</v>
      </c>
      <c r="T185" s="711">
        <f>Bilans_E_AMS_Kyoto_run3_MTE!Y298</f>
        <v>0</v>
      </c>
      <c r="U185" s="711">
        <f>Bilans_E_AMS_Kyoto_run3_MTE!Z298</f>
        <v>239.05063424852409</v>
      </c>
      <c r="V185" s="701"/>
      <c r="W185" s="701"/>
    </row>
    <row r="186" spans="1:23" x14ac:dyDescent="0.25">
      <c r="A186" s="701" t="s">
        <v>511</v>
      </c>
      <c r="B186" s="701"/>
      <c r="C186" s="717" t="s">
        <v>82</v>
      </c>
      <c r="D186" s="711">
        <f>Bilans_E_AMS_Kyoto_run3_MTE!H299</f>
        <v>0</v>
      </c>
      <c r="E186" s="711">
        <f>Bilans_E_AMS_Kyoto_run3_MTE!I299</f>
        <v>0</v>
      </c>
      <c r="F186" s="711">
        <f>Bilans_E_AMS_Kyoto_run3_MTE!J299</f>
        <v>30.726482620518151</v>
      </c>
      <c r="G186" s="711">
        <f>Bilans_E_AMS_Kyoto_run3_MTE!K299</f>
        <v>0</v>
      </c>
      <c r="H186" s="711">
        <f>Bilans_E_AMS_Kyoto_run3_MTE!L299</f>
        <v>1.4667494513017647</v>
      </c>
      <c r="I186" s="711">
        <f>Bilans_E_AMS_Kyoto_run3_MTE!M299</f>
        <v>0</v>
      </c>
      <c r="J186" s="711">
        <f>Bilans_E_AMS_Kyoto_run3_MTE!N299</f>
        <v>0</v>
      </c>
      <c r="K186" s="711">
        <f>Bilans_E_AMS_Kyoto_run3_MTE!O299</f>
        <v>0</v>
      </c>
      <c r="L186" s="711">
        <f>Bilans_E_AMS_Kyoto_run3_MTE!P299</f>
        <v>11.011050824063592</v>
      </c>
      <c r="M186" s="711">
        <f>Bilans_E_AMS_Kyoto_run3_MTE!Q299</f>
        <v>0</v>
      </c>
      <c r="N186" s="711">
        <f>Bilans_E_AMS_Kyoto_run3_MTE!R299</f>
        <v>4.0387192002052101</v>
      </c>
      <c r="O186" s="711">
        <f>Bilans_E_AMS_Kyoto_run3_MTE!S299</f>
        <v>0.2588381384650173</v>
      </c>
      <c r="P186" s="711">
        <f>Bilans_E_AMS_Kyoto_run3_MTE!T299+Bilans_E_AMS_Kyoto_run3_MTE!U299</f>
        <v>0.5</v>
      </c>
      <c r="Q186" s="711">
        <f>Bilans_E_AMS_Kyoto_run3_MTE!V299</f>
        <v>0.62518456969816016</v>
      </c>
      <c r="R186" s="711">
        <f>Bilans_E_AMS_Kyoto_run3_MTE!W299</f>
        <v>7.7729232574275695</v>
      </c>
      <c r="S186" s="711">
        <f>Bilans_E_AMS_Kyoto_run3_MTE!X299</f>
        <v>0</v>
      </c>
      <c r="T186" s="711">
        <f>Bilans_E_AMS_Kyoto_run3_MTE!Y299</f>
        <v>0.17366238047171115</v>
      </c>
      <c r="U186" s="711">
        <f>Bilans_E_AMS_Kyoto_run3_MTE!Z299</f>
        <v>56.573610442151178</v>
      </c>
      <c r="V186" s="701"/>
      <c r="W186" s="701"/>
    </row>
    <row r="187" spans="1:23" x14ac:dyDescent="0.25">
      <c r="A187" s="701" t="s">
        <v>512</v>
      </c>
      <c r="B187" s="701"/>
      <c r="C187" s="717" t="s">
        <v>354</v>
      </c>
      <c r="D187" s="711">
        <f>Bilans_E_AMS_Kyoto_run3_MTE!H300</f>
        <v>0</v>
      </c>
      <c r="E187" s="711">
        <f>Bilans_E_AMS_Kyoto_run3_MTE!I300</f>
        <v>0</v>
      </c>
      <c r="F187" s="711">
        <f>Bilans_E_AMS_Kyoto_run3_MTE!J300</f>
        <v>0</v>
      </c>
      <c r="G187" s="711">
        <f>Bilans_E_AMS_Kyoto_run3_MTE!K300</f>
        <v>0</v>
      </c>
      <c r="H187" s="711">
        <f>Bilans_E_AMS_Kyoto_run3_MTE!L300</f>
        <v>0</v>
      </c>
      <c r="I187" s="711">
        <f>Bilans_E_AMS_Kyoto_run3_MTE!M300</f>
        <v>0</v>
      </c>
      <c r="J187" s="711">
        <f>Bilans_E_AMS_Kyoto_run3_MTE!N300</f>
        <v>0</v>
      </c>
      <c r="K187" s="711">
        <f>Bilans_E_AMS_Kyoto_run3_MTE!O300</f>
        <v>0</v>
      </c>
      <c r="L187" s="711">
        <f>Bilans_E_AMS_Kyoto_run3_MTE!P300</f>
        <v>0</v>
      </c>
      <c r="M187" s="711">
        <f>Bilans_E_AMS_Kyoto_run3_MTE!Q300</f>
        <v>0</v>
      </c>
      <c r="N187" s="711">
        <f>Bilans_E_AMS_Kyoto_run3_MTE!R300</f>
        <v>0</v>
      </c>
      <c r="O187" s="711">
        <f>Bilans_E_AMS_Kyoto_run3_MTE!S300</f>
        <v>0</v>
      </c>
      <c r="P187" s="711">
        <f>Bilans_E_AMS_Kyoto_run3_MTE!T300+Bilans_E_AMS_Kyoto_run3_MTE!U300</f>
        <v>0</v>
      </c>
      <c r="Q187" s="711">
        <f>Bilans_E_AMS_Kyoto_run3_MTE!V300</f>
        <v>0</v>
      </c>
      <c r="R187" s="711">
        <f>Bilans_E_AMS_Kyoto_run3_MTE!W300</f>
        <v>0</v>
      </c>
      <c r="S187" s="711">
        <f>Bilans_E_AMS_Kyoto_run3_MTE!X300</f>
        <v>0</v>
      </c>
      <c r="T187" s="711">
        <f>Bilans_E_AMS_Kyoto_run3_MTE!Y300</f>
        <v>0</v>
      </c>
      <c r="U187" s="711">
        <f>Bilans_E_AMS_Kyoto_run3_MTE!Z300</f>
        <v>0</v>
      </c>
      <c r="V187" s="701"/>
      <c r="W187" s="701"/>
    </row>
    <row r="188" spans="1:23" x14ac:dyDescent="0.25">
      <c r="A188" s="701" t="s">
        <v>513</v>
      </c>
      <c r="B188" s="701"/>
      <c r="C188" s="713" t="s">
        <v>83</v>
      </c>
      <c r="D188" s="714">
        <f>Bilans_E_AMS_Kyoto_run3_MTE!H301</f>
        <v>0.92572558593749998</v>
      </c>
      <c r="E188" s="714">
        <f>Bilans_E_AMS_Kyoto_run3_MTE!I301</f>
        <v>0</v>
      </c>
      <c r="F188" s="714">
        <f>Bilans_E_AMS_Kyoto_run3_MTE!J301</f>
        <v>384.15005023496775</v>
      </c>
      <c r="G188" s="714">
        <f>Bilans_E_AMS_Kyoto_run3_MTE!K301</f>
        <v>0</v>
      </c>
      <c r="H188" s="714">
        <f>Bilans_E_AMS_Kyoto_run3_MTE!L301</f>
        <v>190.52040282862495</v>
      </c>
      <c r="I188" s="714">
        <f>Bilans_E_AMS_Kyoto_run3_MTE!M301</f>
        <v>0</v>
      </c>
      <c r="J188" s="714">
        <f>Bilans_E_AMS_Kyoto_run3_MTE!N301</f>
        <v>0</v>
      </c>
      <c r="K188" s="714">
        <f>Bilans_E_AMS_Kyoto_run3_MTE!O301</f>
        <v>0</v>
      </c>
      <c r="L188" s="714">
        <f>Bilans_E_AMS_Kyoto_run3_MTE!P301</f>
        <v>112.58029629207579</v>
      </c>
      <c r="M188" s="714">
        <f>Bilans_E_AMS_Kyoto_run3_MTE!Q301</f>
        <v>10.269254107073522</v>
      </c>
      <c r="N188" s="714">
        <f>Bilans_E_AMS_Kyoto_run3_MTE!R301</f>
        <v>41.986989474221417</v>
      </c>
      <c r="O188" s="714">
        <f>Bilans_E_AMS_Kyoto_run3_MTE!S301</f>
        <v>33.648614494538577</v>
      </c>
      <c r="P188" s="714">
        <f>Bilans_E_AMS_Kyoto_run3_MTE!T301+Bilans_E_AMS_Kyoto_run3_MTE!U301</f>
        <v>124.16711547268557</v>
      </c>
      <c r="Q188" s="714">
        <f>Bilans_E_AMS_Kyoto_run3_MTE!V301</f>
        <v>12.361133347867039</v>
      </c>
      <c r="R188" s="714">
        <f>Bilans_E_AMS_Kyoto_run3_MTE!W301</f>
        <v>480.488985816237</v>
      </c>
      <c r="S188" s="714">
        <f>Bilans_E_AMS_Kyoto_run3_MTE!X301</f>
        <v>70.255284536053637</v>
      </c>
      <c r="T188" s="714">
        <f>Bilans_E_AMS_Kyoto_run3_MTE!Y301</f>
        <v>4.74685966279739</v>
      </c>
      <c r="U188" s="714">
        <f>Bilans_E_AMS_Kyoto_run3_MTE!Z301</f>
        <v>1466.1007118530802</v>
      </c>
      <c r="V188" s="701"/>
      <c r="W188" s="701"/>
    </row>
    <row r="189" spans="1:23" x14ac:dyDescent="0.25">
      <c r="A189" s="701" t="s">
        <v>514</v>
      </c>
      <c r="B189" s="701"/>
      <c r="C189" s="710" t="s">
        <v>84</v>
      </c>
      <c r="D189" s="711">
        <f>Bilans_E_AMS_Kyoto_run3_MTE!H302</f>
        <v>0</v>
      </c>
      <c r="E189" s="711">
        <f>Bilans_E_AMS_Kyoto_run3_MTE!I302</f>
        <v>0</v>
      </c>
      <c r="F189" s="711">
        <f>Bilans_E_AMS_Kyoto_run3_MTE!J302</f>
        <v>115.2369297376637</v>
      </c>
      <c r="G189" s="711">
        <f>Bilans_E_AMS_Kyoto_run3_MTE!K302</f>
        <v>0</v>
      </c>
      <c r="H189" s="711">
        <f>Bilans_E_AMS_Kyoto_run3_MTE!L302</f>
        <v>13.537810909623058</v>
      </c>
      <c r="I189" s="711">
        <f>Bilans_E_AMS_Kyoto_run3_MTE!M302</f>
        <v>0</v>
      </c>
      <c r="J189" s="711">
        <f>Bilans_E_AMS_Kyoto_run3_MTE!N302</f>
        <v>0</v>
      </c>
      <c r="K189" s="711">
        <f>Bilans_E_AMS_Kyoto_run3_MTE!O302</f>
        <v>0</v>
      </c>
      <c r="L189" s="711">
        <f>Bilans_E_AMS_Kyoto_run3_MTE!P302</f>
        <v>0.11913963756098579</v>
      </c>
      <c r="M189" s="711">
        <f>Bilans_E_AMS_Kyoto_run3_MTE!Q302</f>
        <v>0</v>
      </c>
      <c r="N189" s="711">
        <f>Bilans_E_AMS_Kyoto_run3_MTE!R302</f>
        <v>0.21009810940790719</v>
      </c>
      <c r="O189" s="711">
        <f>Bilans_E_AMS_Kyoto_run3_MTE!S302</f>
        <v>0</v>
      </c>
      <c r="P189" s="711">
        <f>Bilans_E_AMS_Kyoto_run3_MTE!T302+Bilans_E_AMS_Kyoto_run3_MTE!U302</f>
        <v>0</v>
      </c>
      <c r="Q189" s="711">
        <f>Bilans_E_AMS_Kyoto_run3_MTE!V302</f>
        <v>0</v>
      </c>
      <c r="R189" s="711">
        <f>Bilans_E_AMS_Kyoto_run3_MTE!W302</f>
        <v>0</v>
      </c>
      <c r="S189" s="711">
        <f>Bilans_E_AMS_Kyoto_run3_MTE!X302</f>
        <v>0</v>
      </c>
      <c r="T189" s="711">
        <f>Bilans_E_AMS_Kyoto_run3_MTE!Y302</f>
        <v>1.1371080780029297</v>
      </c>
      <c r="U189" s="711">
        <f>Bilans_E_AMS_Kyoto_run3_MTE!Z302</f>
        <v>130.24108647225859</v>
      </c>
      <c r="V189" s="701"/>
      <c r="W189" s="701"/>
    </row>
    <row r="190" spans="1:23" x14ac:dyDescent="0.25">
      <c r="A190" s="701" t="s">
        <v>515</v>
      </c>
      <c r="B190" s="701"/>
      <c r="C190" s="713" t="s">
        <v>85</v>
      </c>
      <c r="D190" s="714">
        <f>Bilans_E_AMS_Kyoto_run3_MTE!H303</f>
        <v>0.92572558593749998</v>
      </c>
      <c r="E190" s="714">
        <f>Bilans_E_AMS_Kyoto_run3_MTE!I303</f>
        <v>0</v>
      </c>
      <c r="F190" s="714">
        <f>Bilans_E_AMS_Kyoto_run3_MTE!J303</f>
        <v>499.38697997263148</v>
      </c>
      <c r="G190" s="714">
        <f>Bilans_E_AMS_Kyoto_run3_MTE!K303</f>
        <v>0</v>
      </c>
      <c r="H190" s="714">
        <f>Bilans_E_AMS_Kyoto_run3_MTE!L303</f>
        <v>204.05821373824801</v>
      </c>
      <c r="I190" s="714">
        <f>Bilans_E_AMS_Kyoto_run3_MTE!M303</f>
        <v>0</v>
      </c>
      <c r="J190" s="714">
        <f>Bilans_E_AMS_Kyoto_run3_MTE!N303</f>
        <v>0</v>
      </c>
      <c r="K190" s="714">
        <f>Bilans_E_AMS_Kyoto_run3_MTE!O303</f>
        <v>0</v>
      </c>
      <c r="L190" s="714">
        <f>Bilans_E_AMS_Kyoto_run3_MTE!P303</f>
        <v>112.69943592963678</v>
      </c>
      <c r="M190" s="714">
        <f>Bilans_E_AMS_Kyoto_run3_MTE!Q303</f>
        <v>10.269254107073522</v>
      </c>
      <c r="N190" s="714">
        <f>Bilans_E_AMS_Kyoto_run3_MTE!R303</f>
        <v>42.197087583629326</v>
      </c>
      <c r="O190" s="714">
        <f>Bilans_E_AMS_Kyoto_run3_MTE!S303</f>
        <v>33.648614494538577</v>
      </c>
      <c r="P190" s="714">
        <f>Bilans_E_AMS_Kyoto_run3_MTE!T303+Bilans_E_AMS_Kyoto_run3_MTE!U303</f>
        <v>124.16711547268557</v>
      </c>
      <c r="Q190" s="714">
        <f>Bilans_E_AMS_Kyoto_run3_MTE!V303</f>
        <v>12.361133347867039</v>
      </c>
      <c r="R190" s="714">
        <f>Bilans_E_AMS_Kyoto_run3_MTE!W303</f>
        <v>480.488985816237</v>
      </c>
      <c r="S190" s="714">
        <f>Bilans_E_AMS_Kyoto_run3_MTE!X303</f>
        <v>70.255284536053637</v>
      </c>
      <c r="T190" s="714">
        <f>Bilans_E_AMS_Kyoto_run3_MTE!Y303</f>
        <v>5.8839677408003199</v>
      </c>
      <c r="U190" s="714">
        <f>Bilans_E_AMS_Kyoto_run3_MTE!Z303</f>
        <v>1596.3417983253387</v>
      </c>
      <c r="V190" s="701"/>
      <c r="W190" s="701"/>
    </row>
    <row r="191" spans="1:23" x14ac:dyDescent="0.25">
      <c r="A191" s="701"/>
      <c r="B191" s="701"/>
      <c r="C191" s="701"/>
      <c r="D191" s="701">
        <f>Bilans_E_AMS_Kyoto_run3_MTE!H304</f>
        <v>0</v>
      </c>
      <c r="E191" s="701">
        <f>Bilans_E_AMS_Kyoto_run3_MTE!I304</f>
        <v>0</v>
      </c>
      <c r="F191" s="701">
        <f>Bilans_E_AMS_Kyoto_run3_MTE!J304</f>
        <v>1.1368683772161603E-13</v>
      </c>
      <c r="G191" s="701">
        <f>Bilans_E_AMS_Kyoto_run3_MTE!K304</f>
        <v>0</v>
      </c>
      <c r="H191" s="701">
        <f>Bilans_E_AMS_Kyoto_run3_MTE!L304</f>
        <v>0</v>
      </c>
      <c r="I191" s="701">
        <f>Bilans_E_AMS_Kyoto_run3_MTE!M304</f>
        <v>0</v>
      </c>
      <c r="J191" s="701">
        <f>Bilans_E_AMS_Kyoto_run3_MTE!N304</f>
        <v>0</v>
      </c>
      <c r="K191" s="701">
        <f>Bilans_E_AMS_Kyoto_run3_MTE!O304</f>
        <v>0</v>
      </c>
      <c r="L191" s="701">
        <f>Bilans_E_AMS_Kyoto_run3_MTE!P304</f>
        <v>0</v>
      </c>
      <c r="M191" s="701">
        <f>Bilans_E_AMS_Kyoto_run3_MTE!Q304</f>
        <v>0</v>
      </c>
      <c r="N191" s="701">
        <f>Bilans_E_AMS_Kyoto_run3_MTE!R304</f>
        <v>0</v>
      </c>
      <c r="O191" s="701">
        <f>Bilans_E_AMS_Kyoto_run3_MTE!S304</f>
        <v>0</v>
      </c>
      <c r="P191" s="701">
        <f>Bilans_E_AMS_Kyoto_run3_MTE!T304+Bilans_E_AMS_Kyoto_run3_MTE!U304</f>
        <v>0</v>
      </c>
      <c r="Q191" s="701">
        <f>Bilans_E_AMS_Kyoto_run3_MTE!V304</f>
        <v>0</v>
      </c>
      <c r="R191" s="701">
        <f>Bilans_E_AMS_Kyoto_run3_MTE!W304</f>
        <v>-1.1368683772161603E-13</v>
      </c>
      <c r="S191" s="701">
        <f>Bilans_E_AMS_Kyoto_run3_MTE!X304</f>
        <v>-2.9583203925653834E-5</v>
      </c>
      <c r="T191" s="701">
        <f>Bilans_E_AMS_Kyoto_run3_MTE!Y304</f>
        <v>-1.0963452368173421E-15</v>
      </c>
      <c r="U191" s="701">
        <f>Bilans_E_AMS_Kyoto_run3_MTE!Z304</f>
        <v>-2.9583203740912722E-5</v>
      </c>
      <c r="V191" s="701"/>
      <c r="W191" s="701"/>
    </row>
    <row r="192" spans="1:23" x14ac:dyDescent="0.25">
      <c r="A192" s="701"/>
      <c r="B192" s="701"/>
      <c r="C192" s="701"/>
      <c r="D192" s="701"/>
      <c r="E192" s="701"/>
      <c r="F192" s="701"/>
      <c r="G192" s="701"/>
      <c r="H192" s="701"/>
      <c r="I192" s="701"/>
      <c r="J192" s="701"/>
      <c r="K192" s="701"/>
      <c r="L192" s="701"/>
      <c r="M192" s="701"/>
      <c r="N192" s="701"/>
      <c r="O192" s="701"/>
      <c r="P192" s="701"/>
      <c r="Q192" s="701"/>
      <c r="R192" s="701"/>
      <c r="S192" s="701"/>
      <c r="T192" s="701"/>
      <c r="U192" s="701"/>
      <c r="V192" s="701"/>
      <c r="W192" s="701"/>
    </row>
    <row r="193" spans="1:23" x14ac:dyDescent="0.25">
      <c r="A193" s="707"/>
      <c r="B193" s="707"/>
      <c r="C193" s="708" t="s">
        <v>357</v>
      </c>
      <c r="D193" s="707"/>
      <c r="E193" s="707"/>
      <c r="F193" s="707"/>
      <c r="G193" s="707"/>
      <c r="H193" s="707"/>
      <c r="I193" s="707"/>
      <c r="J193" s="707"/>
      <c r="K193" s="707"/>
      <c r="L193" s="707"/>
      <c r="M193" s="707"/>
      <c r="N193" s="707"/>
      <c r="O193" s="707"/>
      <c r="P193" s="707"/>
      <c r="Q193" s="707"/>
      <c r="R193" s="707"/>
      <c r="S193" s="707"/>
      <c r="T193" s="707"/>
      <c r="U193" s="707"/>
      <c r="V193" s="707"/>
      <c r="W193" s="707"/>
    </row>
    <row r="194" spans="1:23" x14ac:dyDescent="0.25">
      <c r="A194" s="701"/>
      <c r="B194" s="701"/>
      <c r="C194" s="701"/>
      <c r="D194" s="701"/>
      <c r="E194" s="701"/>
      <c r="F194" s="701"/>
      <c r="G194" s="701"/>
      <c r="H194" s="701"/>
      <c r="I194" s="701"/>
      <c r="J194" s="701"/>
      <c r="K194" s="701"/>
      <c r="L194" s="701"/>
      <c r="M194" s="701"/>
      <c r="N194" s="701"/>
      <c r="O194" s="701"/>
      <c r="P194" s="701"/>
      <c r="Q194" s="701"/>
      <c r="R194" s="701"/>
      <c r="S194" s="701"/>
      <c r="T194" s="701"/>
      <c r="U194" s="701"/>
      <c r="V194" s="701"/>
      <c r="W194" s="701"/>
    </row>
    <row r="195" spans="1:23" x14ac:dyDescent="0.25">
      <c r="A195" s="701"/>
      <c r="B195" s="701"/>
      <c r="C195" s="780" t="s">
        <v>128</v>
      </c>
      <c r="D195" s="775" t="s">
        <v>42</v>
      </c>
      <c r="E195" s="775" t="s">
        <v>52</v>
      </c>
      <c r="F195" s="775" t="s">
        <v>53</v>
      </c>
      <c r="G195" s="775" t="s">
        <v>482</v>
      </c>
      <c r="H195" s="775" t="s">
        <v>32</v>
      </c>
      <c r="I195" s="775" t="s">
        <v>483</v>
      </c>
      <c r="J195" s="775" t="s">
        <v>20</v>
      </c>
      <c r="K195" s="775" t="s">
        <v>55</v>
      </c>
      <c r="L195" s="777" t="s">
        <v>56</v>
      </c>
      <c r="M195" s="778"/>
      <c r="N195" s="778"/>
      <c r="O195" s="778"/>
      <c r="P195" s="778"/>
      <c r="Q195" s="779"/>
      <c r="R195" s="775" t="s">
        <v>57</v>
      </c>
      <c r="S195" s="775" t="s">
        <v>58</v>
      </c>
      <c r="T195" s="775" t="s">
        <v>31</v>
      </c>
      <c r="U195" s="775" t="s">
        <v>10</v>
      </c>
      <c r="V195" s="701"/>
      <c r="W195" s="701"/>
    </row>
    <row r="196" spans="1:23" ht="67.5" x14ac:dyDescent="0.25">
      <c r="A196" s="701" t="s">
        <v>486</v>
      </c>
      <c r="B196" s="701"/>
      <c r="C196" s="781"/>
      <c r="D196" s="776"/>
      <c r="E196" s="776"/>
      <c r="F196" s="776"/>
      <c r="G196" s="776"/>
      <c r="H196" s="776"/>
      <c r="I196" s="776"/>
      <c r="J196" s="776"/>
      <c r="K196" s="776"/>
      <c r="L196" s="709" t="s">
        <v>335</v>
      </c>
      <c r="M196" s="709" t="s">
        <v>40</v>
      </c>
      <c r="N196" s="709" t="s">
        <v>343</v>
      </c>
      <c r="O196" s="709" t="s">
        <v>344</v>
      </c>
      <c r="P196" s="719" t="s">
        <v>610</v>
      </c>
      <c r="Q196" s="709" t="s">
        <v>346</v>
      </c>
      <c r="R196" s="776"/>
      <c r="S196" s="776"/>
      <c r="T196" s="776"/>
      <c r="U196" s="776"/>
      <c r="V196" s="701"/>
      <c r="W196" s="701"/>
    </row>
    <row r="197" spans="1:23" x14ac:dyDescent="0.25">
      <c r="A197" s="701" t="s">
        <v>487</v>
      </c>
      <c r="B197" s="701"/>
      <c r="C197" s="710" t="s">
        <v>59</v>
      </c>
      <c r="D197" s="711">
        <f>Bilans_E_AMS_Kyoto_run3_MTE!H310</f>
        <v>0</v>
      </c>
      <c r="E197" s="711">
        <f>Bilans_E_AMS_Kyoto_run3_MTE!I310</f>
        <v>6.6756200000000003</v>
      </c>
      <c r="F197" s="711">
        <f>Bilans_E_AMS_Kyoto_run3_MTE!J310</f>
        <v>0</v>
      </c>
      <c r="G197" s="711">
        <f>Bilans_E_AMS_Kyoto_run3_MTE!K310</f>
        <v>0</v>
      </c>
      <c r="H197" s="711">
        <f>Bilans_E_AMS_Kyoto_run3_MTE!L310</f>
        <v>0.13839700000000002</v>
      </c>
      <c r="I197" s="711">
        <f>Bilans_E_AMS_Kyoto_run3_MTE!M310</f>
        <v>0</v>
      </c>
      <c r="J197" s="711">
        <f>Bilans_E_AMS_Kyoto_run3_MTE!N310</f>
        <v>1165.8657454545453</v>
      </c>
      <c r="K197" s="711">
        <f>Bilans_E_AMS_Kyoto_run3_MTE!O310</f>
        <v>264.18035739757391</v>
      </c>
      <c r="L197" s="711">
        <f>Bilans_E_AMS_Kyoto_run3_MTE!P310</f>
        <v>307.7744422597346</v>
      </c>
      <c r="M197" s="711">
        <f>Bilans_E_AMS_Kyoto_run3_MTE!Q310</f>
        <v>51.405271738220549</v>
      </c>
      <c r="N197" s="711">
        <f>Bilans_E_AMS_Kyoto_run3_MTE!R310</f>
        <v>0</v>
      </c>
      <c r="O197" s="711">
        <f>Bilans_E_AMS_Kyoto_run3_MTE!S310</f>
        <v>0</v>
      </c>
      <c r="P197" s="711">
        <f>Bilans_E_AMS_Kyoto_run3_MTE!T310+Bilans_E_AMS_Kyoto_run3_MTE!U310</f>
        <v>151.46298386421165</v>
      </c>
      <c r="Q197" s="711">
        <f>Bilans_E_AMS_Kyoto_run3_MTE!V310</f>
        <v>29.323733806781338</v>
      </c>
      <c r="R197" s="711">
        <f>Bilans_E_AMS_Kyoto_run3_MTE!W310</f>
        <v>0</v>
      </c>
      <c r="S197" s="711">
        <f>Bilans_E_AMS_Kyoto_run3_MTE!X310</f>
        <v>0</v>
      </c>
      <c r="T197" s="711">
        <f>Bilans_E_AMS_Kyoto_run3_MTE!Y310</f>
        <v>0</v>
      </c>
      <c r="U197" s="711">
        <f>Bilans_E_AMS_Kyoto_run3_MTE!Z310</f>
        <v>1976.8265515210674</v>
      </c>
      <c r="V197" s="701"/>
      <c r="W197" s="701"/>
    </row>
    <row r="198" spans="1:23" x14ac:dyDescent="0.25">
      <c r="A198" s="701" t="s">
        <v>488</v>
      </c>
      <c r="B198" s="701"/>
      <c r="C198" s="710" t="s">
        <v>60</v>
      </c>
      <c r="D198" s="712">
        <f>Bilans_E_AMS_Kyoto_run3_MTE!H311</f>
        <v>16.733972167968751</v>
      </c>
      <c r="E198" s="712">
        <f>Bilans_E_AMS_Kyoto_run3_MTE!I311</f>
        <v>341.17156490138257</v>
      </c>
      <c r="F198" s="712">
        <f>Bilans_E_AMS_Kyoto_run3_MTE!J311</f>
        <v>153.01857569335476</v>
      </c>
      <c r="G198" s="712">
        <f>Bilans_E_AMS_Kyoto_run3_MTE!K311</f>
        <v>1.5907003975249192</v>
      </c>
      <c r="H198" s="712">
        <f>Bilans_E_AMS_Kyoto_run3_MTE!L311</f>
        <v>229.24655706350896</v>
      </c>
      <c r="I198" s="712">
        <f>Bilans_E_AMS_Kyoto_run3_MTE!M311</f>
        <v>0</v>
      </c>
      <c r="J198" s="712">
        <f>Bilans_E_AMS_Kyoto_run3_MTE!N311</f>
        <v>0</v>
      </c>
      <c r="K198" s="712">
        <f>Bilans_E_AMS_Kyoto_run3_MTE!O311</f>
        <v>0</v>
      </c>
      <c r="L198" s="712">
        <f>Bilans_E_AMS_Kyoto_run3_MTE!P311</f>
        <v>2.5625656464325743</v>
      </c>
      <c r="M198" s="712">
        <f>Bilans_E_AMS_Kyoto_run3_MTE!Q311</f>
        <v>0</v>
      </c>
      <c r="N198" s="712">
        <f>Bilans_E_AMS_Kyoto_run3_MTE!R311</f>
        <v>11.177777544289128</v>
      </c>
      <c r="O198" s="712">
        <f>Bilans_E_AMS_Kyoto_run3_MTE!S311</f>
        <v>5.1524616534363687</v>
      </c>
      <c r="P198" s="712">
        <f>Bilans_E_AMS_Kyoto_run3_MTE!T311+Bilans_E_AMS_Kyoto_run3_MTE!U311</f>
        <v>0</v>
      </c>
      <c r="Q198" s="712">
        <f>Bilans_E_AMS_Kyoto_run3_MTE!V311</f>
        <v>0</v>
      </c>
      <c r="R198" s="712">
        <f>Bilans_E_AMS_Kyoto_run3_MTE!W311</f>
        <v>0</v>
      </c>
      <c r="S198" s="712">
        <f>Bilans_E_AMS_Kyoto_run3_MTE!X311</f>
        <v>0</v>
      </c>
      <c r="T198" s="712">
        <f>Bilans_E_AMS_Kyoto_run3_MTE!Y311</f>
        <v>0</v>
      </c>
      <c r="U198" s="712">
        <f>Bilans_E_AMS_Kyoto_run3_MTE!Z311</f>
        <v>760.65417506789811</v>
      </c>
      <c r="V198" s="701"/>
      <c r="W198" s="701"/>
    </row>
    <row r="199" spans="1:23" x14ac:dyDescent="0.25">
      <c r="A199" s="701" t="s">
        <v>489</v>
      </c>
      <c r="B199" s="701"/>
      <c r="C199" s="710" t="s">
        <v>61</v>
      </c>
      <c r="D199" s="712">
        <f>Bilans_E_AMS_Kyoto_run3_MTE!H312</f>
        <v>0</v>
      </c>
      <c r="E199" s="712">
        <f>Bilans_E_AMS_Kyoto_run3_MTE!I312</f>
        <v>0</v>
      </c>
      <c r="F199" s="712">
        <f>Bilans_E_AMS_Kyoto_run3_MTE!J312</f>
        <v>0</v>
      </c>
      <c r="G199" s="712">
        <f>Bilans_E_AMS_Kyoto_run3_MTE!K312</f>
        <v>0</v>
      </c>
      <c r="H199" s="712">
        <f>Bilans_E_AMS_Kyoto_run3_MTE!L312</f>
        <v>0</v>
      </c>
      <c r="I199" s="712">
        <f>Bilans_E_AMS_Kyoto_run3_MTE!M312</f>
        <v>0</v>
      </c>
      <c r="J199" s="712">
        <f>Bilans_E_AMS_Kyoto_run3_MTE!N312</f>
        <v>0</v>
      </c>
      <c r="K199" s="712">
        <f>Bilans_E_AMS_Kyoto_run3_MTE!O312</f>
        <v>0</v>
      </c>
      <c r="L199" s="712">
        <f>Bilans_E_AMS_Kyoto_run3_MTE!P312</f>
        <v>0</v>
      </c>
      <c r="M199" s="712">
        <f>Bilans_E_AMS_Kyoto_run3_MTE!Q312</f>
        <v>0</v>
      </c>
      <c r="N199" s="712">
        <f>Bilans_E_AMS_Kyoto_run3_MTE!R312</f>
        <v>0</v>
      </c>
      <c r="O199" s="712">
        <f>Bilans_E_AMS_Kyoto_run3_MTE!S312</f>
        <v>0</v>
      </c>
      <c r="P199" s="712">
        <f>Bilans_E_AMS_Kyoto_run3_MTE!T312+Bilans_E_AMS_Kyoto_run3_MTE!U312</f>
        <v>0</v>
      </c>
      <c r="Q199" s="712">
        <f>Bilans_E_AMS_Kyoto_run3_MTE!V312</f>
        <v>0</v>
      </c>
      <c r="R199" s="712">
        <f>Bilans_E_AMS_Kyoto_run3_MTE!W312</f>
        <v>-83.337259091529631</v>
      </c>
      <c r="S199" s="712">
        <f>Bilans_E_AMS_Kyoto_run3_MTE!X312</f>
        <v>0</v>
      </c>
      <c r="T199" s="712">
        <f>Bilans_E_AMS_Kyoto_run3_MTE!Y312</f>
        <v>0</v>
      </c>
      <c r="U199" s="712">
        <f>Bilans_E_AMS_Kyoto_run3_MTE!Z312</f>
        <v>-83.337259091529631</v>
      </c>
      <c r="V199" s="701"/>
      <c r="W199" s="701"/>
    </row>
    <row r="200" spans="1:23" x14ac:dyDescent="0.25">
      <c r="A200" s="701" t="s">
        <v>490</v>
      </c>
      <c r="B200" s="701"/>
      <c r="C200" s="710" t="s">
        <v>62</v>
      </c>
      <c r="D200" s="711">
        <f>Bilans_E_AMS_Kyoto_run3_MTE!H313</f>
        <v>0</v>
      </c>
      <c r="E200" s="711">
        <f>Bilans_E_AMS_Kyoto_run3_MTE!I313</f>
        <v>0</v>
      </c>
      <c r="F200" s="711">
        <f>Bilans_E_AMS_Kyoto_run3_MTE!J313</f>
        <v>-7.8555551160476131</v>
      </c>
      <c r="G200" s="711">
        <f>Bilans_E_AMS_Kyoto_run3_MTE!K313</f>
        <v>-0.3373161064337088</v>
      </c>
      <c r="H200" s="711">
        <f>Bilans_E_AMS_Kyoto_run3_MTE!L313</f>
        <v>-0.96725165809085023</v>
      </c>
      <c r="I200" s="711">
        <f>Bilans_E_AMS_Kyoto_run3_MTE!M313</f>
        <v>-0.4644109471147348</v>
      </c>
      <c r="J200" s="711">
        <f>Bilans_E_AMS_Kyoto_run3_MTE!N313</f>
        <v>0</v>
      </c>
      <c r="K200" s="711">
        <f>Bilans_E_AMS_Kyoto_run3_MTE!O313</f>
        <v>0</v>
      </c>
      <c r="L200" s="711">
        <f>Bilans_E_AMS_Kyoto_run3_MTE!P313</f>
        <v>0</v>
      </c>
      <c r="M200" s="711">
        <f>Bilans_E_AMS_Kyoto_run3_MTE!Q313</f>
        <v>0</v>
      </c>
      <c r="N200" s="711">
        <f>Bilans_E_AMS_Kyoto_run3_MTE!R313</f>
        <v>0</v>
      </c>
      <c r="O200" s="711">
        <f>Bilans_E_AMS_Kyoto_run3_MTE!S313</f>
        <v>-0.87837701634115894</v>
      </c>
      <c r="P200" s="711">
        <f>Bilans_E_AMS_Kyoto_run3_MTE!T313+Bilans_E_AMS_Kyoto_run3_MTE!U313</f>
        <v>0</v>
      </c>
      <c r="Q200" s="711">
        <f>Bilans_E_AMS_Kyoto_run3_MTE!V313</f>
        <v>0</v>
      </c>
      <c r="R200" s="711">
        <f>Bilans_E_AMS_Kyoto_run3_MTE!W313</f>
        <v>0</v>
      </c>
      <c r="S200" s="711">
        <f>Bilans_E_AMS_Kyoto_run3_MTE!X313</f>
        <v>0</v>
      </c>
      <c r="T200" s="711">
        <f>Bilans_E_AMS_Kyoto_run3_MTE!Y313</f>
        <v>-0.26185876214866849</v>
      </c>
      <c r="U200" s="711">
        <f>Bilans_E_AMS_Kyoto_run3_MTE!Z313</f>
        <v>-10.764769606176733</v>
      </c>
      <c r="V200" s="701"/>
      <c r="W200" s="701"/>
    </row>
    <row r="201" spans="1:23" x14ac:dyDescent="0.25">
      <c r="A201" s="701" t="s">
        <v>491</v>
      </c>
      <c r="B201" s="701"/>
      <c r="C201" s="710" t="s">
        <v>63</v>
      </c>
      <c r="D201" s="711">
        <f>Bilans_E_AMS_Kyoto_run3_MTE!H314</f>
        <v>0</v>
      </c>
      <c r="E201" s="711">
        <f>Bilans_E_AMS_Kyoto_run3_MTE!I314</f>
        <v>0</v>
      </c>
      <c r="F201" s="711">
        <f>Bilans_E_AMS_Kyoto_run3_MTE!J314</f>
        <v>-61.6</v>
      </c>
      <c r="G201" s="711">
        <f>Bilans_E_AMS_Kyoto_run3_MTE!K314</f>
        <v>-2.8</v>
      </c>
      <c r="H201" s="711">
        <f>Bilans_E_AMS_Kyoto_run3_MTE!L314</f>
        <v>0</v>
      </c>
      <c r="I201" s="711">
        <f>Bilans_E_AMS_Kyoto_run3_MTE!M314</f>
        <v>0</v>
      </c>
      <c r="J201" s="711">
        <f>Bilans_E_AMS_Kyoto_run3_MTE!N314</f>
        <v>0</v>
      </c>
      <c r="K201" s="711">
        <f>Bilans_E_AMS_Kyoto_run3_MTE!O314</f>
        <v>0</v>
      </c>
      <c r="L201" s="711">
        <f>Bilans_E_AMS_Kyoto_run3_MTE!P314</f>
        <v>0</v>
      </c>
      <c r="M201" s="711">
        <f>Bilans_E_AMS_Kyoto_run3_MTE!Q314</f>
        <v>0</v>
      </c>
      <c r="N201" s="711">
        <f>Bilans_E_AMS_Kyoto_run3_MTE!R314</f>
        <v>-8.1999999999999993</v>
      </c>
      <c r="O201" s="711">
        <f>Bilans_E_AMS_Kyoto_run3_MTE!S314</f>
        <v>0</v>
      </c>
      <c r="P201" s="711">
        <f>Bilans_E_AMS_Kyoto_run3_MTE!T314+Bilans_E_AMS_Kyoto_run3_MTE!U314</f>
        <v>0</v>
      </c>
      <c r="Q201" s="711">
        <f>Bilans_E_AMS_Kyoto_run3_MTE!V314</f>
        <v>0</v>
      </c>
      <c r="R201" s="711">
        <f>Bilans_E_AMS_Kyoto_run3_MTE!W314</f>
        <v>0</v>
      </c>
      <c r="S201" s="711">
        <f>Bilans_E_AMS_Kyoto_run3_MTE!X314</f>
        <v>0</v>
      </c>
      <c r="T201" s="711">
        <f>Bilans_E_AMS_Kyoto_run3_MTE!Y314</f>
        <v>-0.6</v>
      </c>
      <c r="U201" s="711">
        <f>Bilans_E_AMS_Kyoto_run3_MTE!Z314</f>
        <v>-73.2</v>
      </c>
      <c r="V201" s="701"/>
      <c r="W201" s="701"/>
    </row>
    <row r="202" spans="1:23" x14ac:dyDescent="0.25">
      <c r="A202" s="701" t="s">
        <v>492</v>
      </c>
      <c r="B202" s="701"/>
      <c r="C202" s="710" t="s">
        <v>64</v>
      </c>
      <c r="D202" s="712">
        <f>Bilans_E_AMS_Kyoto_run3_MTE!H315</f>
        <v>0</v>
      </c>
      <c r="E202" s="712">
        <f>Bilans_E_AMS_Kyoto_run3_MTE!I315</f>
        <v>0</v>
      </c>
      <c r="F202" s="712">
        <f>Bilans_E_AMS_Kyoto_run3_MTE!J315</f>
        <v>0</v>
      </c>
      <c r="G202" s="712">
        <f>Bilans_E_AMS_Kyoto_run3_MTE!K315</f>
        <v>0</v>
      </c>
      <c r="H202" s="712">
        <f>Bilans_E_AMS_Kyoto_run3_MTE!L315</f>
        <v>0</v>
      </c>
      <c r="I202" s="712">
        <f>Bilans_E_AMS_Kyoto_run3_MTE!M315</f>
        <v>0</v>
      </c>
      <c r="J202" s="712">
        <f>Bilans_E_AMS_Kyoto_run3_MTE!N315</f>
        <v>0</v>
      </c>
      <c r="K202" s="712">
        <f>Bilans_E_AMS_Kyoto_run3_MTE!O315</f>
        <v>0</v>
      </c>
      <c r="L202" s="712">
        <f>Bilans_E_AMS_Kyoto_run3_MTE!P315</f>
        <v>0</v>
      </c>
      <c r="M202" s="712">
        <f>Bilans_E_AMS_Kyoto_run3_MTE!Q315</f>
        <v>0</v>
      </c>
      <c r="N202" s="712">
        <f>Bilans_E_AMS_Kyoto_run3_MTE!R315</f>
        <v>0</v>
      </c>
      <c r="O202" s="712">
        <f>Bilans_E_AMS_Kyoto_run3_MTE!S315</f>
        <v>0</v>
      </c>
      <c r="P202" s="712">
        <f>Bilans_E_AMS_Kyoto_run3_MTE!T315+Bilans_E_AMS_Kyoto_run3_MTE!U315</f>
        <v>0</v>
      </c>
      <c r="Q202" s="712">
        <f>Bilans_E_AMS_Kyoto_run3_MTE!V315</f>
        <v>0</v>
      </c>
      <c r="R202" s="712">
        <f>Bilans_E_AMS_Kyoto_run3_MTE!W315</f>
        <v>0</v>
      </c>
      <c r="S202" s="712">
        <f>Bilans_E_AMS_Kyoto_run3_MTE!X315</f>
        <v>0</v>
      </c>
      <c r="T202" s="712">
        <f>Bilans_E_AMS_Kyoto_run3_MTE!Y315</f>
        <v>0</v>
      </c>
      <c r="U202" s="712">
        <f>Bilans_E_AMS_Kyoto_run3_MTE!Z315</f>
        <v>0</v>
      </c>
      <c r="V202" s="701"/>
      <c r="W202" s="701"/>
    </row>
    <row r="203" spans="1:23" x14ac:dyDescent="0.25">
      <c r="A203" s="701" t="s">
        <v>493</v>
      </c>
      <c r="B203" s="701"/>
      <c r="C203" s="713" t="s">
        <v>65</v>
      </c>
      <c r="D203" s="714">
        <f>Bilans_E_AMS_Kyoto_run3_MTE!H316</f>
        <v>16.733972167968751</v>
      </c>
      <c r="E203" s="714">
        <f>Bilans_E_AMS_Kyoto_run3_MTE!I316</f>
        <v>347.84718490138255</v>
      </c>
      <c r="F203" s="714">
        <f>Bilans_E_AMS_Kyoto_run3_MTE!J316</f>
        <v>83.563020577307157</v>
      </c>
      <c r="G203" s="714">
        <f>Bilans_E_AMS_Kyoto_run3_MTE!K316</f>
        <v>-1.5466157089087895</v>
      </c>
      <c r="H203" s="714">
        <f>Bilans_E_AMS_Kyoto_run3_MTE!L316</f>
        <v>228.41770240541811</v>
      </c>
      <c r="I203" s="714">
        <f>Bilans_E_AMS_Kyoto_run3_MTE!M316</f>
        <v>-0.4644109471147348</v>
      </c>
      <c r="J203" s="714">
        <f>Bilans_E_AMS_Kyoto_run3_MTE!N316</f>
        <v>1165.8657454545453</v>
      </c>
      <c r="K203" s="714">
        <f>Bilans_E_AMS_Kyoto_run3_MTE!O316</f>
        <v>264.18035739757391</v>
      </c>
      <c r="L203" s="714">
        <f>Bilans_E_AMS_Kyoto_run3_MTE!P316</f>
        <v>310.33700790616717</v>
      </c>
      <c r="M203" s="714">
        <f>Bilans_E_AMS_Kyoto_run3_MTE!Q316</f>
        <v>51.405271738220549</v>
      </c>
      <c r="N203" s="714">
        <f>Bilans_E_AMS_Kyoto_run3_MTE!R316</f>
        <v>2.977777544289129</v>
      </c>
      <c r="O203" s="714">
        <f>Bilans_E_AMS_Kyoto_run3_MTE!S316</f>
        <v>4.2740846370952097</v>
      </c>
      <c r="P203" s="714">
        <f>Bilans_E_AMS_Kyoto_run3_MTE!T316+Bilans_E_AMS_Kyoto_run3_MTE!U316</f>
        <v>151.46298386421165</v>
      </c>
      <c r="Q203" s="714">
        <f>Bilans_E_AMS_Kyoto_run3_MTE!V316</f>
        <v>29.323733806781338</v>
      </c>
      <c r="R203" s="714">
        <f>Bilans_E_AMS_Kyoto_run3_MTE!W316</f>
        <v>-83.337259091529631</v>
      </c>
      <c r="S203" s="714">
        <f>Bilans_E_AMS_Kyoto_run3_MTE!X316</f>
        <v>0</v>
      </c>
      <c r="T203" s="714">
        <f>Bilans_E_AMS_Kyoto_run3_MTE!Y316</f>
        <v>-0.86185876214866841</v>
      </c>
      <c r="U203" s="714">
        <f>Bilans_E_AMS_Kyoto_run3_MTE!Z316</f>
        <v>2570.1786978912592</v>
      </c>
      <c r="V203" s="701"/>
      <c r="W203" s="701"/>
    </row>
    <row r="204" spans="1:23" x14ac:dyDescent="0.25">
      <c r="A204" s="701"/>
      <c r="B204" s="701"/>
      <c r="C204" s="715"/>
      <c r="D204" s="716"/>
      <c r="E204" s="716"/>
      <c r="F204" s="716"/>
      <c r="G204" s="716"/>
      <c r="H204" s="716"/>
      <c r="I204" s="716"/>
      <c r="J204" s="716"/>
      <c r="K204" s="716"/>
      <c r="L204" s="716"/>
      <c r="M204" s="716"/>
      <c r="N204" s="716"/>
      <c r="O204" s="716"/>
      <c r="P204" s="716">
        <f>Bilans_E_AMS_Kyoto_run3_MTE!T317+Bilans_E_AMS_Kyoto_run3_MTE!U317</f>
        <v>0</v>
      </c>
      <c r="Q204" s="716"/>
      <c r="R204" s="716"/>
      <c r="S204" s="716"/>
      <c r="T204" s="716"/>
      <c r="U204" s="716"/>
      <c r="V204" s="701"/>
      <c r="W204" s="701"/>
    </row>
    <row r="205" spans="1:23" x14ac:dyDescent="0.25">
      <c r="A205" s="701" t="s">
        <v>494</v>
      </c>
      <c r="B205" s="701"/>
      <c r="C205" s="717" t="s">
        <v>67</v>
      </c>
      <c r="D205" s="711">
        <f>Bilans_E_AMS_Kyoto_run3_MTE!H318</f>
        <v>0</v>
      </c>
      <c r="E205" s="711">
        <f>Bilans_E_AMS_Kyoto_run3_MTE!I318</f>
        <v>0</v>
      </c>
      <c r="F205" s="711">
        <f>Bilans_E_AMS_Kyoto_run3_MTE!J318</f>
        <v>0</v>
      </c>
      <c r="G205" s="711">
        <f>Bilans_E_AMS_Kyoto_run3_MTE!K318</f>
        <v>0</v>
      </c>
      <c r="H205" s="711">
        <f>Bilans_E_AMS_Kyoto_run3_MTE!L318</f>
        <v>0</v>
      </c>
      <c r="I205" s="711">
        <f>Bilans_E_AMS_Kyoto_run3_MTE!M318</f>
        <v>0</v>
      </c>
      <c r="J205" s="711">
        <f>Bilans_E_AMS_Kyoto_run3_MTE!N318</f>
        <v>0</v>
      </c>
      <c r="K205" s="711">
        <f>Bilans_E_AMS_Kyoto_run3_MTE!O318</f>
        <v>0</v>
      </c>
      <c r="L205" s="711">
        <f>Bilans_E_AMS_Kyoto_run3_MTE!P318</f>
        <v>0</v>
      </c>
      <c r="M205" s="711">
        <f>Bilans_E_AMS_Kyoto_run3_MTE!Q318</f>
        <v>0</v>
      </c>
      <c r="N205" s="711">
        <f>Bilans_E_AMS_Kyoto_run3_MTE!R318</f>
        <v>0</v>
      </c>
      <c r="O205" s="711">
        <f>Bilans_E_AMS_Kyoto_run3_MTE!S318</f>
        <v>0</v>
      </c>
      <c r="P205" s="711">
        <f>Bilans_E_AMS_Kyoto_run3_MTE!T318+Bilans_E_AMS_Kyoto_run3_MTE!U318</f>
        <v>0</v>
      </c>
      <c r="Q205" s="711">
        <f>Bilans_E_AMS_Kyoto_run3_MTE!V318</f>
        <v>0</v>
      </c>
      <c r="R205" s="711">
        <f>Bilans_E_AMS_Kyoto_run3_MTE!W318</f>
        <v>0</v>
      </c>
      <c r="S205" s="711">
        <f>Bilans_E_AMS_Kyoto_run3_MTE!X318</f>
        <v>0</v>
      </c>
      <c r="T205" s="711">
        <f>Bilans_E_AMS_Kyoto_run3_MTE!Y318</f>
        <v>0</v>
      </c>
      <c r="U205" s="711">
        <f>Bilans_E_AMS_Kyoto_run3_MTE!Z318</f>
        <v>0</v>
      </c>
      <c r="V205" s="701"/>
      <c r="W205" s="701"/>
    </row>
    <row r="206" spans="1:23" x14ac:dyDescent="0.25">
      <c r="A206" s="701" t="s">
        <v>495</v>
      </c>
      <c r="B206" s="701"/>
      <c r="C206" s="717" t="s">
        <v>347</v>
      </c>
      <c r="D206" s="711">
        <f>Bilans_E_AMS_Kyoto_run3_MTE!H319</f>
        <v>0</v>
      </c>
      <c r="E206" s="711">
        <f>Bilans_E_AMS_Kyoto_run3_MTE!I319</f>
        <v>0</v>
      </c>
      <c r="F206" s="711">
        <f>Bilans_E_AMS_Kyoto_run3_MTE!J319</f>
        <v>0.79278558393774012</v>
      </c>
      <c r="G206" s="711">
        <f>Bilans_E_AMS_Kyoto_run3_MTE!K319</f>
        <v>0</v>
      </c>
      <c r="H206" s="711">
        <f>Bilans_E_AMS_Kyoto_run3_MTE!L319</f>
        <v>30.18998354898655</v>
      </c>
      <c r="I206" s="711">
        <f>Bilans_E_AMS_Kyoto_run3_MTE!M319</f>
        <v>0</v>
      </c>
      <c r="J206" s="711">
        <f>Bilans_E_AMS_Kyoto_run3_MTE!N319</f>
        <v>1165.8657454545453</v>
      </c>
      <c r="K206" s="711">
        <f>Bilans_E_AMS_Kyoto_run3_MTE!O319</f>
        <v>264.18035739757391</v>
      </c>
      <c r="L206" s="711">
        <f>Bilans_E_AMS_Kyoto_run3_MTE!P319</f>
        <v>15.154623225490525</v>
      </c>
      <c r="M206" s="711">
        <f>Bilans_E_AMS_Kyoto_run3_MTE!Q319</f>
        <v>6.1000995181555853</v>
      </c>
      <c r="N206" s="711">
        <f>Bilans_E_AMS_Kyoto_run3_MTE!R319</f>
        <v>4.7819832265678626</v>
      </c>
      <c r="O206" s="711">
        <f>Bilans_E_AMS_Kyoto_run3_MTE!S319</f>
        <v>9.8298837124563363</v>
      </c>
      <c r="P206" s="711">
        <f>Bilans_E_AMS_Kyoto_run3_MTE!T319+Bilans_E_AMS_Kyoto_run3_MTE!U319</f>
        <v>0</v>
      </c>
      <c r="Q206" s="711">
        <f>Bilans_E_AMS_Kyoto_run3_MTE!V319</f>
        <v>1.6766395861963883</v>
      </c>
      <c r="R206" s="711">
        <f>Bilans_E_AMS_Kyoto_run3_MTE!W319</f>
        <v>-685.02208017428939</v>
      </c>
      <c r="S206" s="711">
        <f>Bilans_E_AMS_Kyoto_run3_MTE!X319</f>
        <v>0</v>
      </c>
      <c r="T206" s="711">
        <f>Bilans_E_AMS_Kyoto_run3_MTE!Y319</f>
        <v>0</v>
      </c>
      <c r="U206" s="711">
        <f>Bilans_E_AMS_Kyoto_run3_MTE!Z319</f>
        <v>813.55002107962082</v>
      </c>
      <c r="V206" s="701"/>
      <c r="W206" s="701"/>
    </row>
    <row r="207" spans="1:23" x14ac:dyDescent="0.25">
      <c r="A207" s="701" t="s">
        <v>496</v>
      </c>
      <c r="B207" s="701"/>
      <c r="C207" s="717" t="s">
        <v>348</v>
      </c>
      <c r="D207" s="711">
        <f>Bilans_E_AMS_Kyoto_run3_MTE!H320</f>
        <v>0</v>
      </c>
      <c r="E207" s="711">
        <f>Bilans_E_AMS_Kyoto_run3_MTE!I320</f>
        <v>0</v>
      </c>
      <c r="F207" s="711">
        <f>Bilans_E_AMS_Kyoto_run3_MTE!J320</f>
        <v>0</v>
      </c>
      <c r="G207" s="711">
        <f>Bilans_E_AMS_Kyoto_run3_MTE!K320</f>
        <v>0</v>
      </c>
      <c r="H207" s="711">
        <f>Bilans_E_AMS_Kyoto_run3_MTE!L320</f>
        <v>21.478521490079181</v>
      </c>
      <c r="I207" s="711">
        <f>Bilans_E_AMS_Kyoto_run3_MTE!M320</f>
        <v>0</v>
      </c>
      <c r="J207" s="711">
        <f>Bilans_E_AMS_Kyoto_run3_MTE!N320</f>
        <v>0</v>
      </c>
      <c r="K207" s="711">
        <f>Bilans_E_AMS_Kyoto_run3_MTE!O320</f>
        <v>0</v>
      </c>
      <c r="L207" s="711">
        <f>Bilans_E_AMS_Kyoto_run3_MTE!P320</f>
        <v>25.278971287489433</v>
      </c>
      <c r="M207" s="711">
        <f>Bilans_E_AMS_Kyoto_run3_MTE!Q320</f>
        <v>17.945678264512264</v>
      </c>
      <c r="N207" s="711">
        <f>Bilans_E_AMS_Kyoto_run3_MTE!R320</f>
        <v>0</v>
      </c>
      <c r="O207" s="711">
        <f>Bilans_E_AMS_Kyoto_run3_MTE!S320</f>
        <v>6.0065134029812235</v>
      </c>
      <c r="P207" s="711">
        <f>Bilans_E_AMS_Kyoto_run3_MTE!T320+Bilans_E_AMS_Kyoto_run3_MTE!U320</f>
        <v>10.417559156149544</v>
      </c>
      <c r="Q207" s="711">
        <f>Bilans_E_AMS_Kyoto_run3_MTE!V320</f>
        <v>12.465752150616991</v>
      </c>
      <c r="R207" s="711">
        <f>Bilans_E_AMS_Kyoto_run3_MTE!W320</f>
        <v>0</v>
      </c>
      <c r="S207" s="711">
        <f>Bilans_E_AMS_Kyoto_run3_MTE!X320</f>
        <v>-84.590071614239946</v>
      </c>
      <c r="T207" s="711">
        <f>Bilans_E_AMS_Kyoto_run3_MTE!Y320</f>
        <v>0</v>
      </c>
      <c r="U207" s="711">
        <f>Bilans_E_AMS_Kyoto_run3_MTE!Z320</f>
        <v>9.0029241375887068</v>
      </c>
      <c r="V207" s="701"/>
      <c r="W207" s="701"/>
    </row>
    <row r="208" spans="1:23" x14ac:dyDescent="0.25">
      <c r="A208" s="701" t="s">
        <v>497</v>
      </c>
      <c r="B208" s="701"/>
      <c r="C208" s="717" t="s">
        <v>349</v>
      </c>
      <c r="D208" s="711">
        <f>Bilans_E_AMS_Kyoto_run3_MTE!H321</f>
        <v>0</v>
      </c>
      <c r="E208" s="711">
        <f>Bilans_E_AMS_Kyoto_run3_MTE!I321</f>
        <v>0</v>
      </c>
      <c r="F208" s="711">
        <f>Bilans_E_AMS_Kyoto_run3_MTE!J321</f>
        <v>0</v>
      </c>
      <c r="G208" s="711">
        <f>Bilans_E_AMS_Kyoto_run3_MTE!K321</f>
        <v>0</v>
      </c>
      <c r="H208" s="711">
        <f>Bilans_E_AMS_Kyoto_run3_MTE!L321</f>
        <v>0</v>
      </c>
      <c r="I208" s="711">
        <f>Bilans_E_AMS_Kyoto_run3_MTE!M321</f>
        <v>0</v>
      </c>
      <c r="J208" s="711">
        <f>Bilans_E_AMS_Kyoto_run3_MTE!N321</f>
        <v>0</v>
      </c>
      <c r="K208" s="711">
        <f>Bilans_E_AMS_Kyoto_run3_MTE!O321</f>
        <v>0</v>
      </c>
      <c r="L208" s="711">
        <f>Bilans_E_AMS_Kyoto_run3_MTE!P321</f>
        <v>84.566495903586969</v>
      </c>
      <c r="M208" s="711">
        <f>Bilans_E_AMS_Kyoto_run3_MTE!Q321</f>
        <v>10.27121917361311</v>
      </c>
      <c r="N208" s="711">
        <f>Bilans_E_AMS_Kyoto_run3_MTE!R321</f>
        <v>0</v>
      </c>
      <c r="O208" s="711">
        <f>Bilans_E_AMS_Kyoto_run3_MTE!S321</f>
        <v>-47.494303640463748</v>
      </c>
      <c r="P208" s="711">
        <f>Bilans_E_AMS_Kyoto_run3_MTE!T321+Bilans_E_AMS_Kyoto_run3_MTE!U321</f>
        <v>0</v>
      </c>
      <c r="Q208" s="711">
        <f>Bilans_E_AMS_Kyoto_run3_MTE!V321</f>
        <v>0</v>
      </c>
      <c r="R208" s="711">
        <f>Bilans_E_AMS_Kyoto_run3_MTE!W321</f>
        <v>0</v>
      </c>
      <c r="S208" s="711">
        <f>Bilans_E_AMS_Kyoto_run3_MTE!X321</f>
        <v>0</v>
      </c>
      <c r="T208" s="711">
        <f>Bilans_E_AMS_Kyoto_run3_MTE!Y321</f>
        <v>0</v>
      </c>
      <c r="U208" s="711">
        <f>Bilans_E_AMS_Kyoto_run3_MTE!Z321</f>
        <v>47.343411436736325</v>
      </c>
      <c r="V208" s="701"/>
      <c r="W208" s="701"/>
    </row>
    <row r="209" spans="1:23" x14ac:dyDescent="0.25">
      <c r="A209" s="701" t="s">
        <v>498</v>
      </c>
      <c r="B209" s="701"/>
      <c r="C209" s="717" t="s">
        <v>350</v>
      </c>
      <c r="D209" s="711">
        <f>Bilans_E_AMS_Kyoto_run3_MTE!H322</f>
        <v>0</v>
      </c>
      <c r="E209" s="711">
        <f>Bilans_E_AMS_Kyoto_run3_MTE!I322</f>
        <v>0</v>
      </c>
      <c r="F209" s="711">
        <f>Bilans_E_AMS_Kyoto_run3_MTE!J322</f>
        <v>0</v>
      </c>
      <c r="G209" s="711">
        <f>Bilans_E_AMS_Kyoto_run3_MTE!K322</f>
        <v>0</v>
      </c>
      <c r="H209" s="711">
        <f>Bilans_E_AMS_Kyoto_run3_MTE!L322</f>
        <v>0</v>
      </c>
      <c r="I209" s="711">
        <f>Bilans_E_AMS_Kyoto_run3_MTE!M322</f>
        <v>-0.4644109471147348</v>
      </c>
      <c r="J209" s="711">
        <f>Bilans_E_AMS_Kyoto_run3_MTE!N322</f>
        <v>0</v>
      </c>
      <c r="K209" s="711">
        <f>Bilans_E_AMS_Kyoto_run3_MTE!O322</f>
        <v>0</v>
      </c>
      <c r="L209" s="711">
        <f>Bilans_E_AMS_Kyoto_run3_MTE!P322</f>
        <v>0</v>
      </c>
      <c r="M209" s="711">
        <f>Bilans_E_AMS_Kyoto_run3_MTE!Q322</f>
        <v>0</v>
      </c>
      <c r="N209" s="711">
        <f>Bilans_E_AMS_Kyoto_run3_MTE!R322</f>
        <v>0</v>
      </c>
      <c r="O209" s="711">
        <f>Bilans_E_AMS_Kyoto_run3_MTE!S322</f>
        <v>0</v>
      </c>
      <c r="P209" s="711">
        <f>Bilans_E_AMS_Kyoto_run3_MTE!T322+Bilans_E_AMS_Kyoto_run3_MTE!U322</f>
        <v>0</v>
      </c>
      <c r="Q209" s="711">
        <f>Bilans_E_AMS_Kyoto_run3_MTE!V322</f>
        <v>0</v>
      </c>
      <c r="R209" s="711">
        <f>Bilans_E_AMS_Kyoto_run3_MTE!W322</f>
        <v>0</v>
      </c>
      <c r="S209" s="711">
        <f>Bilans_E_AMS_Kyoto_run3_MTE!X322</f>
        <v>0</v>
      </c>
      <c r="T209" s="711">
        <f>Bilans_E_AMS_Kyoto_run3_MTE!Y322</f>
        <v>0.64501520432602055</v>
      </c>
      <c r="U209" s="711">
        <f>Bilans_E_AMS_Kyoto_run3_MTE!Z322</f>
        <v>0.18060425721128576</v>
      </c>
      <c r="V209" s="701"/>
      <c r="W209" s="701"/>
    </row>
    <row r="210" spans="1:23" x14ac:dyDescent="0.25">
      <c r="A210" s="701" t="s">
        <v>499</v>
      </c>
      <c r="B210" s="701"/>
      <c r="C210" s="717" t="s">
        <v>72</v>
      </c>
      <c r="D210" s="711">
        <f>Bilans_E_AMS_Kyoto_run3_MTE!H323</f>
        <v>0</v>
      </c>
      <c r="E210" s="711">
        <f>Bilans_E_AMS_Kyoto_run3_MTE!I323</f>
        <v>360.49746740112505</v>
      </c>
      <c r="F210" s="711">
        <f>Bilans_E_AMS_Kyoto_run3_MTE!J323</f>
        <v>-356.89249272711379</v>
      </c>
      <c r="G210" s="711">
        <f>Bilans_E_AMS_Kyoto_run3_MTE!K323</f>
        <v>0</v>
      </c>
      <c r="H210" s="711">
        <f>Bilans_E_AMS_Kyoto_run3_MTE!L323</f>
        <v>0</v>
      </c>
      <c r="I210" s="711">
        <f>Bilans_E_AMS_Kyoto_run3_MTE!M323</f>
        <v>0</v>
      </c>
      <c r="J210" s="711">
        <f>Bilans_E_AMS_Kyoto_run3_MTE!N323</f>
        <v>0</v>
      </c>
      <c r="K210" s="711">
        <f>Bilans_E_AMS_Kyoto_run3_MTE!O323</f>
        <v>0</v>
      </c>
      <c r="L210" s="711">
        <f>Bilans_E_AMS_Kyoto_run3_MTE!P323</f>
        <v>0</v>
      </c>
      <c r="M210" s="711">
        <f>Bilans_E_AMS_Kyoto_run3_MTE!Q323</f>
        <v>0</v>
      </c>
      <c r="N210" s="711">
        <f>Bilans_E_AMS_Kyoto_run3_MTE!R323</f>
        <v>0</v>
      </c>
      <c r="O210" s="711">
        <f>Bilans_E_AMS_Kyoto_run3_MTE!S323</f>
        <v>0</v>
      </c>
      <c r="P210" s="711">
        <f>Bilans_E_AMS_Kyoto_run3_MTE!T323+Bilans_E_AMS_Kyoto_run3_MTE!U323</f>
        <v>0</v>
      </c>
      <c r="Q210" s="711">
        <f>Bilans_E_AMS_Kyoto_run3_MTE!V323</f>
        <v>0</v>
      </c>
      <c r="R210" s="711">
        <f>Bilans_E_AMS_Kyoto_run3_MTE!W323</f>
        <v>0</v>
      </c>
      <c r="S210" s="711">
        <f>Bilans_E_AMS_Kyoto_run3_MTE!X323</f>
        <v>0</v>
      </c>
      <c r="T210" s="711">
        <f>Bilans_E_AMS_Kyoto_run3_MTE!Y323</f>
        <v>0</v>
      </c>
      <c r="U210" s="711">
        <f>Bilans_E_AMS_Kyoto_run3_MTE!Z323</f>
        <v>3.6049746740112596</v>
      </c>
      <c r="V210" s="701"/>
      <c r="W210" s="701"/>
    </row>
    <row r="211" spans="1:23" x14ac:dyDescent="0.25">
      <c r="A211" s="701" t="s">
        <v>500</v>
      </c>
      <c r="B211" s="701"/>
      <c r="C211" s="717" t="s">
        <v>351</v>
      </c>
      <c r="D211" s="711">
        <f>Bilans_E_AMS_Kyoto_run3_MTE!H324</f>
        <v>0</v>
      </c>
      <c r="E211" s="711">
        <f>Bilans_E_AMS_Kyoto_run3_MTE!I324</f>
        <v>0</v>
      </c>
      <c r="F211" s="711">
        <f>Bilans_E_AMS_Kyoto_run3_MTE!J324</f>
        <v>0</v>
      </c>
      <c r="G211" s="711">
        <f>Bilans_E_AMS_Kyoto_run3_MTE!K324</f>
        <v>0</v>
      </c>
      <c r="H211" s="711">
        <f>Bilans_E_AMS_Kyoto_run3_MTE!L324</f>
        <v>0</v>
      </c>
      <c r="I211" s="711">
        <f>Bilans_E_AMS_Kyoto_run3_MTE!M324</f>
        <v>0</v>
      </c>
      <c r="J211" s="711">
        <f>Bilans_E_AMS_Kyoto_run3_MTE!N324</f>
        <v>0</v>
      </c>
      <c r="K211" s="711">
        <f>Bilans_E_AMS_Kyoto_run3_MTE!O324</f>
        <v>0</v>
      </c>
      <c r="L211" s="711">
        <f>Bilans_E_AMS_Kyoto_run3_MTE!P324</f>
        <v>79.688188573831496</v>
      </c>
      <c r="M211" s="711">
        <f>Bilans_E_AMS_Kyoto_run3_MTE!Q324</f>
        <v>7.2727272727272725</v>
      </c>
      <c r="N211" s="711">
        <f>Bilans_E_AMS_Kyoto_run3_MTE!R324</f>
        <v>-48.502301880066618</v>
      </c>
      <c r="O211" s="711">
        <f>Bilans_E_AMS_Kyoto_run3_MTE!S324</f>
        <v>0</v>
      </c>
      <c r="P211" s="711">
        <f>Bilans_E_AMS_Kyoto_run3_MTE!T324+Bilans_E_AMS_Kyoto_run3_MTE!U324</f>
        <v>0</v>
      </c>
      <c r="Q211" s="711">
        <f>Bilans_E_AMS_Kyoto_run3_MTE!V324</f>
        <v>0</v>
      </c>
      <c r="R211" s="711">
        <f>Bilans_E_AMS_Kyoto_run3_MTE!W324</f>
        <v>0</v>
      </c>
      <c r="S211" s="711">
        <f>Bilans_E_AMS_Kyoto_run3_MTE!X324</f>
        <v>0</v>
      </c>
      <c r="T211" s="711">
        <f>Bilans_E_AMS_Kyoto_run3_MTE!Y324</f>
        <v>0</v>
      </c>
      <c r="U211" s="711">
        <f>Bilans_E_AMS_Kyoto_run3_MTE!Z324</f>
        <v>38.458613966492145</v>
      </c>
      <c r="V211" s="701"/>
      <c r="W211" s="701"/>
    </row>
    <row r="212" spans="1:23" x14ac:dyDescent="0.25">
      <c r="A212" s="701" t="s">
        <v>501</v>
      </c>
      <c r="B212" s="701"/>
      <c r="C212" s="717" t="s">
        <v>352</v>
      </c>
      <c r="D212" s="711">
        <f>Bilans_E_AMS_Kyoto_run3_MTE!H325</f>
        <v>0</v>
      </c>
      <c r="E212" s="711">
        <f>Bilans_E_AMS_Kyoto_run3_MTE!I325</f>
        <v>0</v>
      </c>
      <c r="F212" s="711">
        <f>Bilans_E_AMS_Kyoto_run3_MTE!J325</f>
        <v>0</v>
      </c>
      <c r="G212" s="711">
        <f>Bilans_E_AMS_Kyoto_run3_MTE!K325</f>
        <v>-2.3373161064337085</v>
      </c>
      <c r="H212" s="711">
        <f>Bilans_E_AMS_Kyoto_run3_MTE!L325</f>
        <v>0</v>
      </c>
      <c r="I212" s="711">
        <f>Bilans_E_AMS_Kyoto_run3_MTE!M325</f>
        <v>0</v>
      </c>
      <c r="J212" s="711">
        <f>Bilans_E_AMS_Kyoto_run3_MTE!N325</f>
        <v>0</v>
      </c>
      <c r="K212" s="711">
        <f>Bilans_E_AMS_Kyoto_run3_MTE!O325</f>
        <v>0</v>
      </c>
      <c r="L212" s="711">
        <f>Bilans_E_AMS_Kyoto_run3_MTE!P325</f>
        <v>0</v>
      </c>
      <c r="M212" s="711">
        <f>Bilans_E_AMS_Kyoto_run3_MTE!Q325</f>
        <v>0</v>
      </c>
      <c r="N212" s="711">
        <f>Bilans_E_AMS_Kyoto_run3_MTE!R325</f>
        <v>0</v>
      </c>
      <c r="O212" s="711">
        <f>Bilans_E_AMS_Kyoto_run3_MTE!S325</f>
        <v>0</v>
      </c>
      <c r="P212" s="711">
        <f>Bilans_E_AMS_Kyoto_run3_MTE!T325+Bilans_E_AMS_Kyoto_run3_MTE!U325</f>
        <v>0</v>
      </c>
      <c r="Q212" s="711">
        <f>Bilans_E_AMS_Kyoto_run3_MTE!V325</f>
        <v>0</v>
      </c>
      <c r="R212" s="711">
        <f>Bilans_E_AMS_Kyoto_run3_MTE!W325</f>
        <v>0</v>
      </c>
      <c r="S212" s="711">
        <f>Bilans_E_AMS_Kyoto_run3_MTE!X325</f>
        <v>0</v>
      </c>
      <c r="T212" s="711">
        <f>Bilans_E_AMS_Kyoto_run3_MTE!Y325</f>
        <v>3.8910477170770799</v>
      </c>
      <c r="U212" s="711">
        <f>Bilans_E_AMS_Kyoto_run3_MTE!Z325</f>
        <v>1.5537316106433714</v>
      </c>
      <c r="V212" s="701"/>
      <c r="W212" s="701"/>
    </row>
    <row r="213" spans="1:23" x14ac:dyDescent="0.25">
      <c r="A213" s="701" t="s">
        <v>502</v>
      </c>
      <c r="B213" s="701"/>
      <c r="C213" s="717" t="s">
        <v>73</v>
      </c>
      <c r="D213" s="711">
        <f>Bilans_E_AMS_Kyoto_run3_MTE!H326</f>
        <v>0</v>
      </c>
      <c r="E213" s="711">
        <f>Bilans_E_AMS_Kyoto_run3_MTE!I326</f>
        <v>0</v>
      </c>
      <c r="F213" s="711">
        <f>Bilans_E_AMS_Kyoto_run3_MTE!J326</f>
        <v>0</v>
      </c>
      <c r="G213" s="711">
        <f>Bilans_E_AMS_Kyoto_run3_MTE!K326</f>
        <v>0</v>
      </c>
      <c r="H213" s="711">
        <f>Bilans_E_AMS_Kyoto_run3_MTE!L326</f>
        <v>0</v>
      </c>
      <c r="I213" s="711">
        <f>Bilans_E_AMS_Kyoto_run3_MTE!M326</f>
        <v>0</v>
      </c>
      <c r="J213" s="711">
        <f>Bilans_E_AMS_Kyoto_run3_MTE!N326</f>
        <v>0</v>
      </c>
      <c r="K213" s="711">
        <f>Bilans_E_AMS_Kyoto_run3_MTE!O326</f>
        <v>0</v>
      </c>
      <c r="L213" s="711">
        <f>Bilans_E_AMS_Kyoto_run3_MTE!P326</f>
        <v>0</v>
      </c>
      <c r="M213" s="711">
        <f>Bilans_E_AMS_Kyoto_run3_MTE!Q326</f>
        <v>0</v>
      </c>
      <c r="N213" s="711">
        <f>Bilans_E_AMS_Kyoto_run3_MTE!R326</f>
        <v>0</v>
      </c>
      <c r="O213" s="711">
        <f>Bilans_E_AMS_Kyoto_run3_MTE!S326</f>
        <v>0</v>
      </c>
      <c r="P213" s="711">
        <f>Bilans_E_AMS_Kyoto_run3_MTE!T326+Bilans_E_AMS_Kyoto_run3_MTE!U326</f>
        <v>0</v>
      </c>
      <c r="Q213" s="711">
        <f>Bilans_E_AMS_Kyoto_run3_MTE!V326</f>
        <v>0</v>
      </c>
      <c r="R213" s="711">
        <f>Bilans_E_AMS_Kyoto_run3_MTE!W326</f>
        <v>26.742532147251133</v>
      </c>
      <c r="S213" s="711">
        <f>Bilans_E_AMS_Kyoto_run3_MTE!X326</f>
        <v>0</v>
      </c>
      <c r="T213" s="711">
        <f>Bilans_E_AMS_Kyoto_run3_MTE!Y326</f>
        <v>-17.663442483259374</v>
      </c>
      <c r="U213" s="711">
        <f>Bilans_E_AMS_Kyoto_run3_MTE!Z326</f>
        <v>9.0790896639917591</v>
      </c>
      <c r="V213" s="701"/>
      <c r="W213" s="701"/>
    </row>
    <row r="214" spans="1:23" x14ac:dyDescent="0.25">
      <c r="A214" s="701" t="s">
        <v>503</v>
      </c>
      <c r="B214" s="701"/>
      <c r="C214" s="717" t="s">
        <v>353</v>
      </c>
      <c r="D214" s="711">
        <f>Bilans_E_AMS_Kyoto_run3_MTE!H327</f>
        <v>11.528678671874999</v>
      </c>
      <c r="E214" s="711">
        <f>Bilans_E_AMS_Kyoto_run3_MTE!I327</f>
        <v>-12.650282499742492</v>
      </c>
      <c r="F214" s="711">
        <f>Bilans_E_AMS_Kyoto_run3_MTE!J327</f>
        <v>16.688969946378961</v>
      </c>
      <c r="G214" s="711">
        <f>Bilans_E_AMS_Kyoto_run3_MTE!K327</f>
        <v>0</v>
      </c>
      <c r="H214" s="711">
        <f>Bilans_E_AMS_Kyoto_run3_MTE!L327</f>
        <v>0</v>
      </c>
      <c r="I214" s="711">
        <f>Bilans_E_AMS_Kyoto_run3_MTE!M327</f>
        <v>0</v>
      </c>
      <c r="J214" s="711">
        <f>Bilans_E_AMS_Kyoto_run3_MTE!N327</f>
        <v>0</v>
      </c>
      <c r="K214" s="711">
        <f>Bilans_E_AMS_Kyoto_run3_MTE!O327</f>
        <v>0</v>
      </c>
      <c r="L214" s="711">
        <f>Bilans_E_AMS_Kyoto_run3_MTE!P327</f>
        <v>0</v>
      </c>
      <c r="M214" s="711">
        <f>Bilans_E_AMS_Kyoto_run3_MTE!Q327</f>
        <v>0</v>
      </c>
      <c r="N214" s="711">
        <f>Bilans_E_AMS_Kyoto_run3_MTE!R327</f>
        <v>0</v>
      </c>
      <c r="O214" s="711">
        <f>Bilans_E_AMS_Kyoto_run3_MTE!S327</f>
        <v>0</v>
      </c>
      <c r="P214" s="711">
        <f>Bilans_E_AMS_Kyoto_run3_MTE!T327+Bilans_E_AMS_Kyoto_run3_MTE!U327</f>
        <v>0</v>
      </c>
      <c r="Q214" s="711">
        <f>Bilans_E_AMS_Kyoto_run3_MTE!V327</f>
        <v>0</v>
      </c>
      <c r="R214" s="711">
        <f>Bilans_E_AMS_Kyoto_run3_MTE!W327</f>
        <v>0</v>
      </c>
      <c r="S214" s="711">
        <f>Bilans_E_AMS_Kyoto_run3_MTE!X327</f>
        <v>0</v>
      </c>
      <c r="T214" s="711">
        <f>Bilans_E_AMS_Kyoto_run3_MTE!Y327</f>
        <v>0</v>
      </c>
      <c r="U214" s="711">
        <f>Bilans_E_AMS_Kyoto_run3_MTE!Z327</f>
        <v>15.567366118511469</v>
      </c>
      <c r="V214" s="701"/>
      <c r="W214" s="701"/>
    </row>
    <row r="215" spans="1:23" x14ac:dyDescent="0.25">
      <c r="A215" s="701" t="s">
        <v>504</v>
      </c>
      <c r="B215" s="701"/>
      <c r="C215" s="717" t="s">
        <v>75</v>
      </c>
      <c r="D215" s="711">
        <f>Bilans_E_AMS_Kyoto_run3_MTE!H328</f>
        <v>4.4833750390625005</v>
      </c>
      <c r="E215" s="711">
        <f>Bilans_E_AMS_Kyoto_run3_MTE!I328</f>
        <v>0</v>
      </c>
      <c r="F215" s="711">
        <f>Bilans_E_AMS_Kyoto_run3_MTE!J328</f>
        <v>12.470199463438197</v>
      </c>
      <c r="G215" s="711">
        <f>Bilans_E_AMS_Kyoto_run3_MTE!K328</f>
        <v>0</v>
      </c>
      <c r="H215" s="711">
        <f>Bilans_E_AMS_Kyoto_run3_MTE!L328</f>
        <v>0.24936035983011146</v>
      </c>
      <c r="I215" s="711">
        <f>Bilans_E_AMS_Kyoto_run3_MTE!M328</f>
        <v>0</v>
      </c>
      <c r="J215" s="711">
        <f>Bilans_E_AMS_Kyoto_run3_MTE!N328</f>
        <v>0</v>
      </c>
      <c r="K215" s="711">
        <f>Bilans_E_AMS_Kyoto_run3_MTE!O328</f>
        <v>0</v>
      </c>
      <c r="L215" s="711">
        <f>Bilans_E_AMS_Kyoto_run3_MTE!P328</f>
        <v>0</v>
      </c>
      <c r="M215" s="711">
        <f>Bilans_E_AMS_Kyoto_run3_MTE!Q328</f>
        <v>0</v>
      </c>
      <c r="N215" s="711">
        <f>Bilans_E_AMS_Kyoto_run3_MTE!R328</f>
        <v>0</v>
      </c>
      <c r="O215" s="711">
        <f>Bilans_E_AMS_Kyoto_run3_MTE!S328</f>
        <v>5.4737639962707384E-2</v>
      </c>
      <c r="P215" s="711">
        <f>Bilans_E_AMS_Kyoto_run3_MTE!T328+Bilans_E_AMS_Kyoto_run3_MTE!U328</f>
        <v>0</v>
      </c>
      <c r="Q215" s="711">
        <f>Bilans_E_AMS_Kyoto_run3_MTE!V328</f>
        <v>0</v>
      </c>
      <c r="R215" s="711">
        <f>Bilans_E_AMS_Kyoto_run3_MTE!W328</f>
        <v>34.269297847213949</v>
      </c>
      <c r="S215" s="711">
        <f>Bilans_E_AMS_Kyoto_run3_MTE!X328</f>
        <v>0</v>
      </c>
      <c r="T215" s="711">
        <f>Bilans_E_AMS_Kyoto_run3_MTE!Y328</f>
        <v>3.2371102497669209</v>
      </c>
      <c r="U215" s="711">
        <f>Bilans_E_AMS_Kyoto_run3_MTE!Z328</f>
        <v>54.764080599274386</v>
      </c>
      <c r="V215" s="701"/>
      <c r="W215" s="701"/>
    </row>
    <row r="216" spans="1:23" x14ac:dyDescent="0.25">
      <c r="A216" s="701" t="s">
        <v>505</v>
      </c>
      <c r="B216" s="701"/>
      <c r="C216" s="717" t="s">
        <v>76</v>
      </c>
      <c r="D216" s="711">
        <f>Bilans_E_AMS_Kyoto_run3_MTE!H329</f>
        <v>0</v>
      </c>
      <c r="E216" s="711">
        <f>Bilans_E_AMS_Kyoto_run3_MTE!I329</f>
        <v>0</v>
      </c>
      <c r="F216" s="711">
        <f>Bilans_E_AMS_Kyoto_run3_MTE!J329</f>
        <v>0</v>
      </c>
      <c r="G216" s="711">
        <f>Bilans_E_AMS_Kyoto_run3_MTE!K329</f>
        <v>0</v>
      </c>
      <c r="H216" s="711">
        <f>Bilans_E_AMS_Kyoto_run3_MTE!L329</f>
        <v>2.5945073025125769</v>
      </c>
      <c r="I216" s="711">
        <f>Bilans_E_AMS_Kyoto_run3_MTE!M329</f>
        <v>0</v>
      </c>
      <c r="J216" s="711">
        <f>Bilans_E_AMS_Kyoto_run3_MTE!N329</f>
        <v>0</v>
      </c>
      <c r="K216" s="711">
        <f>Bilans_E_AMS_Kyoto_run3_MTE!O329</f>
        <v>0</v>
      </c>
      <c r="L216" s="711">
        <f>Bilans_E_AMS_Kyoto_run3_MTE!P329</f>
        <v>0</v>
      </c>
      <c r="M216" s="711">
        <f>Bilans_E_AMS_Kyoto_run3_MTE!Q329</f>
        <v>0</v>
      </c>
      <c r="N216" s="711">
        <f>Bilans_E_AMS_Kyoto_run3_MTE!R329</f>
        <v>0</v>
      </c>
      <c r="O216" s="711">
        <f>Bilans_E_AMS_Kyoto_run3_MTE!S329</f>
        <v>0.56952599323446806</v>
      </c>
      <c r="P216" s="711">
        <f>Bilans_E_AMS_Kyoto_run3_MTE!T329+Bilans_E_AMS_Kyoto_run3_MTE!U329</f>
        <v>0</v>
      </c>
      <c r="Q216" s="711">
        <f>Bilans_E_AMS_Kyoto_run3_MTE!V329</f>
        <v>0</v>
      </c>
      <c r="R216" s="711">
        <f>Bilans_E_AMS_Kyoto_run3_MTE!W329</f>
        <v>49.185048043405324</v>
      </c>
      <c r="S216" s="711">
        <f>Bilans_E_AMS_Kyoto_run3_MTE!X329</f>
        <v>6.5593635854558805</v>
      </c>
      <c r="T216" s="711">
        <f>Bilans_E_AMS_Kyoto_run3_MTE!Y329</f>
        <v>0</v>
      </c>
      <c r="U216" s="711">
        <f>Bilans_E_AMS_Kyoto_run3_MTE!Z329</f>
        <v>58.908444924608247</v>
      </c>
      <c r="V216" s="701"/>
      <c r="W216" s="701"/>
    </row>
    <row r="217" spans="1:23" x14ac:dyDescent="0.25">
      <c r="A217" s="701" t="s">
        <v>506</v>
      </c>
      <c r="B217" s="701"/>
      <c r="C217" s="713" t="s">
        <v>77</v>
      </c>
      <c r="D217" s="714">
        <f>Bilans_E_AMS_Kyoto_run3_MTE!H330</f>
        <v>16.012053710937501</v>
      </c>
      <c r="E217" s="714">
        <f>Bilans_E_AMS_Kyoto_run3_MTE!I330</f>
        <v>347.84718490138255</v>
      </c>
      <c r="F217" s="714">
        <f>Bilans_E_AMS_Kyoto_run3_MTE!J330</f>
        <v>-326.94053773335889</v>
      </c>
      <c r="G217" s="714">
        <f>Bilans_E_AMS_Kyoto_run3_MTE!K330</f>
        <v>-2.3373161064337085</v>
      </c>
      <c r="H217" s="714">
        <f>Bilans_E_AMS_Kyoto_run3_MTE!L330</f>
        <v>54.512372701408424</v>
      </c>
      <c r="I217" s="714">
        <f>Bilans_E_AMS_Kyoto_run3_MTE!M330</f>
        <v>-0.4644109471147348</v>
      </c>
      <c r="J217" s="714">
        <f>Bilans_E_AMS_Kyoto_run3_MTE!N330</f>
        <v>1165.8657454545453</v>
      </c>
      <c r="K217" s="714">
        <f>Bilans_E_AMS_Kyoto_run3_MTE!O330</f>
        <v>264.18035739757391</v>
      </c>
      <c r="L217" s="714">
        <f>Bilans_E_AMS_Kyoto_run3_MTE!P330</f>
        <v>204.68827899039843</v>
      </c>
      <c r="M217" s="714">
        <f>Bilans_E_AMS_Kyoto_run3_MTE!Q330</f>
        <v>41.589724229008233</v>
      </c>
      <c r="N217" s="714">
        <f>Bilans_E_AMS_Kyoto_run3_MTE!R330</f>
        <v>-43.720318653498758</v>
      </c>
      <c r="O217" s="714">
        <f>Bilans_E_AMS_Kyoto_run3_MTE!S330</f>
        <v>-31.033642891829015</v>
      </c>
      <c r="P217" s="714">
        <f>Bilans_E_AMS_Kyoto_run3_MTE!T330+Bilans_E_AMS_Kyoto_run3_MTE!U330</f>
        <v>10.417559156149544</v>
      </c>
      <c r="Q217" s="714">
        <f>Bilans_E_AMS_Kyoto_run3_MTE!V330</f>
        <v>14.14239173681338</v>
      </c>
      <c r="R217" s="714">
        <f>Bilans_E_AMS_Kyoto_run3_MTE!W330</f>
        <v>-574.82520213641897</v>
      </c>
      <c r="S217" s="714">
        <f>Bilans_E_AMS_Kyoto_run3_MTE!X330</f>
        <v>-78.030708028784062</v>
      </c>
      <c r="T217" s="714">
        <f>Bilans_E_AMS_Kyoto_run3_MTE!Y330</f>
        <v>-9.8902693120893517</v>
      </c>
      <c r="U217" s="714">
        <f>Bilans_E_AMS_Kyoto_run3_MTE!Z330</f>
        <v>1052.0132624686898</v>
      </c>
      <c r="V217" s="701"/>
      <c r="W217" s="701"/>
    </row>
    <row r="218" spans="1:23" x14ac:dyDescent="0.25">
      <c r="A218" s="701"/>
      <c r="B218" s="701"/>
      <c r="C218" s="715"/>
      <c r="D218" s="716"/>
      <c r="E218" s="716"/>
      <c r="F218" s="716"/>
      <c r="G218" s="716"/>
      <c r="H218" s="716"/>
      <c r="I218" s="716"/>
      <c r="J218" s="716"/>
      <c r="K218" s="716"/>
      <c r="L218" s="716"/>
      <c r="M218" s="716"/>
      <c r="N218" s="716"/>
      <c r="O218" s="716"/>
      <c r="P218" s="716">
        <f>Bilans_E_AMS_Kyoto_run3_MTE!T331+Bilans_E_AMS_Kyoto_run3_MTE!U331</f>
        <v>0</v>
      </c>
      <c r="Q218" s="716"/>
      <c r="R218" s="716"/>
      <c r="S218" s="716"/>
      <c r="T218" s="716"/>
      <c r="U218" s="716"/>
      <c r="V218" s="701"/>
      <c r="W218" s="701"/>
    </row>
    <row r="219" spans="1:23" x14ac:dyDescent="0.25">
      <c r="A219" s="701" t="s">
        <v>507</v>
      </c>
      <c r="B219" s="701"/>
      <c r="C219" s="717" t="s">
        <v>78</v>
      </c>
      <c r="D219" s="711">
        <f>Bilans_E_AMS_Kyoto_run3_MTE!H332</f>
        <v>0.72191845703125002</v>
      </c>
      <c r="E219" s="711">
        <f>Bilans_E_AMS_Kyoto_run3_MTE!I332</f>
        <v>0</v>
      </c>
      <c r="F219" s="711">
        <f>Bilans_E_AMS_Kyoto_run3_MTE!J332</f>
        <v>8.6275641405514261</v>
      </c>
      <c r="G219" s="711">
        <f>Bilans_E_AMS_Kyoto_run3_MTE!K332</f>
        <v>0</v>
      </c>
      <c r="H219" s="711">
        <f>Bilans_E_AMS_Kyoto_run3_MTE!L332</f>
        <v>60.118843099403179</v>
      </c>
      <c r="I219" s="711">
        <f>Bilans_E_AMS_Kyoto_run3_MTE!M332</f>
        <v>0</v>
      </c>
      <c r="J219" s="711">
        <f>Bilans_E_AMS_Kyoto_run3_MTE!N332</f>
        <v>0</v>
      </c>
      <c r="K219" s="711">
        <f>Bilans_E_AMS_Kyoto_run3_MTE!O332</f>
        <v>0</v>
      </c>
      <c r="L219" s="711">
        <f>Bilans_E_AMS_Kyoto_run3_MTE!P332</f>
        <v>39.297286819626784</v>
      </c>
      <c r="M219" s="711">
        <f>Bilans_E_AMS_Kyoto_run3_MTE!Q332</f>
        <v>9.815547509212319</v>
      </c>
      <c r="N219" s="711">
        <f>Bilans_E_AMS_Kyoto_run3_MTE!R332</f>
        <v>0.93232860735581835</v>
      </c>
      <c r="O219" s="711">
        <f>Bilans_E_AMS_Kyoto_run3_MTE!S332</f>
        <v>13.22814546550425</v>
      </c>
      <c r="P219" s="711">
        <f>Bilans_E_AMS_Kyoto_run3_MTE!T332+Bilans_E_AMS_Kyoto_run3_MTE!U332</f>
        <v>6.7746367187500001</v>
      </c>
      <c r="Q219" s="711">
        <f>Bilans_E_AMS_Kyoto_run3_MTE!V332</f>
        <v>6.3863689419622622E-4</v>
      </c>
      <c r="R219" s="711">
        <f>Bilans_E_AMS_Kyoto_run3_MTE!W332</f>
        <v>152.36640904233067</v>
      </c>
      <c r="S219" s="711">
        <f>Bilans_E_AMS_Kyoto_run3_MTE!X332</f>
        <v>19.594153264133379</v>
      </c>
      <c r="T219" s="711">
        <f>Bilans_E_AMS_Kyoto_run3_MTE!Y332</f>
        <v>5.5380712890624997</v>
      </c>
      <c r="U219" s="711">
        <f>Bilans_E_AMS_Kyoto_run3_MTE!Z332</f>
        <v>317.01554304985569</v>
      </c>
      <c r="V219" s="701"/>
      <c r="W219" s="701"/>
    </row>
    <row r="220" spans="1:23" x14ac:dyDescent="0.25">
      <c r="A220" s="701" t="s">
        <v>508</v>
      </c>
      <c r="B220" s="701"/>
      <c r="C220" s="717" t="s">
        <v>79</v>
      </c>
      <c r="D220" s="711">
        <f>Bilans_E_AMS_Kyoto_run3_MTE!H333</f>
        <v>0</v>
      </c>
      <c r="E220" s="711">
        <f>Bilans_E_AMS_Kyoto_run3_MTE!I333</f>
        <v>0</v>
      </c>
      <c r="F220" s="711">
        <f>Bilans_E_AMS_Kyoto_run3_MTE!J333</f>
        <v>257.95105394329198</v>
      </c>
      <c r="G220" s="711">
        <f>Bilans_E_AMS_Kyoto_run3_MTE!K333</f>
        <v>0</v>
      </c>
      <c r="H220" s="711">
        <f>Bilans_E_AMS_Kyoto_run3_MTE!L333</f>
        <v>5.8847606933541083</v>
      </c>
      <c r="I220" s="711">
        <f>Bilans_E_AMS_Kyoto_run3_MTE!M333</f>
        <v>0</v>
      </c>
      <c r="J220" s="711">
        <f>Bilans_E_AMS_Kyoto_run3_MTE!N333</f>
        <v>0</v>
      </c>
      <c r="K220" s="711">
        <f>Bilans_E_AMS_Kyoto_run3_MTE!O333</f>
        <v>0</v>
      </c>
      <c r="L220" s="711">
        <f>Bilans_E_AMS_Kyoto_run3_MTE!P333</f>
        <v>0</v>
      </c>
      <c r="M220" s="711">
        <f>Bilans_E_AMS_Kyoto_run3_MTE!Q333</f>
        <v>0</v>
      </c>
      <c r="N220" s="711">
        <f>Bilans_E_AMS_Kyoto_run3_MTE!R333</f>
        <v>39.412078743974838</v>
      </c>
      <c r="O220" s="711">
        <f>Bilans_E_AMS_Kyoto_run3_MTE!S333</f>
        <v>1.2917767375655358</v>
      </c>
      <c r="P220" s="711">
        <f>Bilans_E_AMS_Kyoto_run3_MTE!T333+Bilans_E_AMS_Kyoto_run3_MTE!U333</f>
        <v>0</v>
      </c>
      <c r="Q220" s="711">
        <f>Bilans_E_AMS_Kyoto_run3_MTE!V333</f>
        <v>0</v>
      </c>
      <c r="R220" s="711">
        <f>Bilans_E_AMS_Kyoto_run3_MTE!W333</f>
        <v>52.662599620962098</v>
      </c>
      <c r="S220" s="711">
        <f>Bilans_E_AMS_Kyoto_run3_MTE!X333</f>
        <v>0</v>
      </c>
      <c r="T220" s="711">
        <f>Bilans_E_AMS_Kyoto_run3_MTE!Y333</f>
        <v>1.8899673831959209</v>
      </c>
      <c r="U220" s="711">
        <f>Bilans_E_AMS_Kyoto_run3_MTE!Z333</f>
        <v>359.09223712234456</v>
      </c>
      <c r="V220" s="701"/>
      <c r="W220" s="701"/>
    </row>
    <row r="221" spans="1:23" x14ac:dyDescent="0.25">
      <c r="A221" s="701" t="s">
        <v>509</v>
      </c>
      <c r="B221" s="701"/>
      <c r="C221" s="717" t="s">
        <v>80</v>
      </c>
      <c r="D221" s="711">
        <f>Bilans_E_AMS_Kyoto_run3_MTE!H334</f>
        <v>0</v>
      </c>
      <c r="E221" s="711">
        <f>Bilans_E_AMS_Kyoto_run3_MTE!I334</f>
        <v>0</v>
      </c>
      <c r="F221" s="711">
        <f>Bilans_E_AMS_Kyoto_run3_MTE!J334</f>
        <v>4.4871361996085151</v>
      </c>
      <c r="G221" s="711">
        <f>Bilans_E_AMS_Kyoto_run3_MTE!K334</f>
        <v>0</v>
      </c>
      <c r="H221" s="711">
        <f>Bilans_E_AMS_Kyoto_run3_MTE!L334</f>
        <v>56.445665913049908</v>
      </c>
      <c r="I221" s="711">
        <f>Bilans_E_AMS_Kyoto_run3_MTE!M334</f>
        <v>0</v>
      </c>
      <c r="J221" s="711">
        <f>Bilans_E_AMS_Kyoto_run3_MTE!N334</f>
        <v>0</v>
      </c>
      <c r="K221" s="711">
        <f>Bilans_E_AMS_Kyoto_run3_MTE!O334</f>
        <v>0</v>
      </c>
      <c r="L221" s="711">
        <f>Bilans_E_AMS_Kyoto_run3_MTE!P334</f>
        <v>53.14163083232755</v>
      </c>
      <c r="M221" s="711">
        <f>Bilans_E_AMS_Kyoto_run3_MTE!Q334</f>
        <v>0</v>
      </c>
      <c r="N221" s="711">
        <f>Bilans_E_AMS_Kyoto_run3_MTE!R334</f>
        <v>0</v>
      </c>
      <c r="O221" s="711">
        <f>Bilans_E_AMS_Kyoto_run3_MTE!S334</f>
        <v>12.390512029693882</v>
      </c>
      <c r="P221" s="711">
        <f>Bilans_E_AMS_Kyoto_run3_MTE!T334+Bilans_E_AMS_Kyoto_run3_MTE!U334</f>
        <v>95.189251128952151</v>
      </c>
      <c r="Q221" s="711">
        <f>Bilans_E_AMS_Kyoto_run3_MTE!V334</f>
        <v>7.3206839966503274</v>
      </c>
      <c r="R221" s="711">
        <f>Bilans_E_AMS_Kyoto_run3_MTE!W334</f>
        <v>156.27303977046446</v>
      </c>
      <c r="S221" s="711">
        <f>Bilans_E_AMS_Kyoto_run3_MTE!X334</f>
        <v>35.751867080837265</v>
      </c>
      <c r="T221" s="711">
        <f>Bilans_E_AMS_Kyoto_run3_MTE!Y334</f>
        <v>0</v>
      </c>
      <c r="U221" s="711">
        <f>Bilans_E_AMS_Kyoto_run3_MTE!Z334</f>
        <v>420.99978695158404</v>
      </c>
      <c r="V221" s="701"/>
      <c r="W221" s="701"/>
    </row>
    <row r="222" spans="1:23" x14ac:dyDescent="0.25">
      <c r="A222" s="701" t="s">
        <v>510</v>
      </c>
      <c r="B222" s="701"/>
      <c r="C222" s="717" t="s">
        <v>81</v>
      </c>
      <c r="D222" s="711">
        <f>Bilans_E_AMS_Kyoto_run3_MTE!H335</f>
        <v>0</v>
      </c>
      <c r="E222" s="711">
        <f>Bilans_E_AMS_Kyoto_run3_MTE!I335</f>
        <v>0</v>
      </c>
      <c r="F222" s="711">
        <f>Bilans_E_AMS_Kyoto_run3_MTE!J335</f>
        <v>2.7608540872674436</v>
      </c>
      <c r="G222" s="711">
        <f>Bilans_E_AMS_Kyoto_run3_MTE!K335</f>
        <v>0</v>
      </c>
      <c r="H222" s="711">
        <f>Bilans_E_AMS_Kyoto_run3_MTE!L335</f>
        <v>36.954753731916043</v>
      </c>
      <c r="I222" s="711">
        <f>Bilans_E_AMS_Kyoto_run3_MTE!M335</f>
        <v>0</v>
      </c>
      <c r="J222" s="711">
        <f>Bilans_E_AMS_Kyoto_run3_MTE!N335</f>
        <v>0</v>
      </c>
      <c r="K222" s="711">
        <f>Bilans_E_AMS_Kyoto_run3_MTE!O335</f>
        <v>0</v>
      </c>
      <c r="L222" s="711">
        <f>Bilans_E_AMS_Kyoto_run3_MTE!P335</f>
        <v>0.62415819926103555</v>
      </c>
      <c r="M222" s="711">
        <f>Bilans_E_AMS_Kyoto_run3_MTE!Q335</f>
        <v>0</v>
      </c>
      <c r="N222" s="711">
        <f>Bilans_E_AMS_Kyoto_run3_MTE!R335</f>
        <v>0</v>
      </c>
      <c r="O222" s="711">
        <f>Bilans_E_AMS_Kyoto_run3_MTE!S335</f>
        <v>8.1120191118840097</v>
      </c>
      <c r="P222" s="711">
        <f>Bilans_E_AMS_Kyoto_run3_MTE!T335+Bilans_E_AMS_Kyoto_run3_MTE!U335</f>
        <v>38.431536860359955</v>
      </c>
      <c r="Q222" s="711">
        <f>Bilans_E_AMS_Kyoto_run3_MTE!V335</f>
        <v>7.0322041232131749</v>
      </c>
      <c r="R222" s="711">
        <f>Bilans_E_AMS_Kyoto_run3_MTE!W335</f>
        <v>121.89305236123509</v>
      </c>
      <c r="S222" s="711">
        <f>Bilans_E_AMS_Kyoto_run3_MTE!X335</f>
        <v>22.684657409761833</v>
      </c>
      <c r="T222" s="711">
        <f>Bilans_E_AMS_Kyoto_run3_MTE!Y335</f>
        <v>0</v>
      </c>
      <c r="U222" s="711">
        <f>Bilans_E_AMS_Kyoto_run3_MTE!Z335</f>
        <v>238.49323588489858</v>
      </c>
      <c r="V222" s="701"/>
      <c r="W222" s="701"/>
    </row>
    <row r="223" spans="1:23" x14ac:dyDescent="0.25">
      <c r="A223" s="701" t="s">
        <v>511</v>
      </c>
      <c r="B223" s="701"/>
      <c r="C223" s="717" t="s">
        <v>82</v>
      </c>
      <c r="D223" s="711">
        <f>Bilans_E_AMS_Kyoto_run3_MTE!H336</f>
        <v>0</v>
      </c>
      <c r="E223" s="711">
        <f>Bilans_E_AMS_Kyoto_run3_MTE!I336</f>
        <v>0</v>
      </c>
      <c r="F223" s="711">
        <f>Bilans_E_AMS_Kyoto_run3_MTE!J336</f>
        <v>25.562238728089401</v>
      </c>
      <c r="G223" s="711">
        <f>Bilans_E_AMS_Kyoto_run3_MTE!K336</f>
        <v>0</v>
      </c>
      <c r="H223" s="711">
        <f>Bilans_E_AMS_Kyoto_run3_MTE!L336</f>
        <v>1.2995823950376393</v>
      </c>
      <c r="I223" s="711">
        <f>Bilans_E_AMS_Kyoto_run3_MTE!M336</f>
        <v>0</v>
      </c>
      <c r="J223" s="711">
        <f>Bilans_E_AMS_Kyoto_run3_MTE!N336</f>
        <v>0</v>
      </c>
      <c r="K223" s="711">
        <f>Bilans_E_AMS_Kyoto_run3_MTE!O336</f>
        <v>0</v>
      </c>
      <c r="L223" s="711">
        <f>Bilans_E_AMS_Kyoto_run3_MTE!P336</f>
        <v>12.365635061857649</v>
      </c>
      <c r="M223" s="711">
        <f>Bilans_E_AMS_Kyoto_run3_MTE!Q336</f>
        <v>0</v>
      </c>
      <c r="N223" s="711">
        <f>Bilans_E_AMS_Kyoto_run3_MTE!R336</f>
        <v>5.004323315399402</v>
      </c>
      <c r="O223" s="711">
        <f>Bilans_E_AMS_Kyoto_run3_MTE!S336</f>
        <v>0.28527418427655493</v>
      </c>
      <c r="P223" s="711">
        <f>Bilans_E_AMS_Kyoto_run3_MTE!T336+Bilans_E_AMS_Kyoto_run3_MTE!U336</f>
        <v>0.65</v>
      </c>
      <c r="Q223" s="711">
        <f>Bilans_E_AMS_Kyoto_run3_MTE!V336</f>
        <v>0.82781531321025892</v>
      </c>
      <c r="R223" s="711">
        <f>Bilans_E_AMS_Kyoto_run3_MTE!W336</f>
        <v>8.2928422498969727</v>
      </c>
      <c r="S223" s="711">
        <f>Bilans_E_AMS_Kyoto_run3_MTE!X336</f>
        <v>0</v>
      </c>
      <c r="T223" s="711">
        <f>Bilans_E_AMS_Kyoto_run3_MTE!Y336</f>
        <v>0.25343345849890081</v>
      </c>
      <c r="U223" s="711">
        <f>Bilans_E_AMS_Kyoto_run3_MTE!Z336</f>
        <v>54.541144706266778</v>
      </c>
      <c r="V223" s="701"/>
      <c r="W223" s="701"/>
    </row>
    <row r="224" spans="1:23" x14ac:dyDescent="0.25">
      <c r="A224" s="701" t="s">
        <v>512</v>
      </c>
      <c r="B224" s="701"/>
      <c r="C224" s="717" t="s">
        <v>354</v>
      </c>
      <c r="D224" s="711">
        <f>Bilans_E_AMS_Kyoto_run3_MTE!H337</f>
        <v>0</v>
      </c>
      <c r="E224" s="711">
        <f>Bilans_E_AMS_Kyoto_run3_MTE!I337</f>
        <v>0</v>
      </c>
      <c r="F224" s="711">
        <f>Bilans_E_AMS_Kyoto_run3_MTE!J337</f>
        <v>0</v>
      </c>
      <c r="G224" s="711">
        <f>Bilans_E_AMS_Kyoto_run3_MTE!K337</f>
        <v>0</v>
      </c>
      <c r="H224" s="711">
        <f>Bilans_E_AMS_Kyoto_run3_MTE!L337</f>
        <v>0</v>
      </c>
      <c r="I224" s="711">
        <f>Bilans_E_AMS_Kyoto_run3_MTE!M337</f>
        <v>0</v>
      </c>
      <c r="J224" s="711">
        <f>Bilans_E_AMS_Kyoto_run3_MTE!N337</f>
        <v>0</v>
      </c>
      <c r="K224" s="711">
        <f>Bilans_E_AMS_Kyoto_run3_MTE!O337</f>
        <v>0</v>
      </c>
      <c r="L224" s="711">
        <f>Bilans_E_AMS_Kyoto_run3_MTE!P337</f>
        <v>0</v>
      </c>
      <c r="M224" s="711">
        <f>Bilans_E_AMS_Kyoto_run3_MTE!Q337</f>
        <v>0</v>
      </c>
      <c r="N224" s="711">
        <f>Bilans_E_AMS_Kyoto_run3_MTE!R337</f>
        <v>0</v>
      </c>
      <c r="O224" s="711">
        <f>Bilans_E_AMS_Kyoto_run3_MTE!S337</f>
        <v>0</v>
      </c>
      <c r="P224" s="711">
        <f>Bilans_E_AMS_Kyoto_run3_MTE!T337+Bilans_E_AMS_Kyoto_run3_MTE!U337</f>
        <v>0</v>
      </c>
      <c r="Q224" s="711">
        <f>Bilans_E_AMS_Kyoto_run3_MTE!V337</f>
        <v>0</v>
      </c>
      <c r="R224" s="711">
        <f>Bilans_E_AMS_Kyoto_run3_MTE!W337</f>
        <v>0</v>
      </c>
      <c r="S224" s="711">
        <f>Bilans_E_AMS_Kyoto_run3_MTE!X337</f>
        <v>0</v>
      </c>
      <c r="T224" s="711">
        <f>Bilans_E_AMS_Kyoto_run3_MTE!Y337</f>
        <v>0</v>
      </c>
      <c r="U224" s="711">
        <f>Bilans_E_AMS_Kyoto_run3_MTE!Z337</f>
        <v>0</v>
      </c>
      <c r="V224" s="701"/>
      <c r="W224" s="701"/>
    </row>
    <row r="225" spans="1:23" x14ac:dyDescent="0.25">
      <c r="A225" s="701" t="s">
        <v>513</v>
      </c>
      <c r="B225" s="701"/>
      <c r="C225" s="713" t="s">
        <v>83</v>
      </c>
      <c r="D225" s="714">
        <f>Bilans_E_AMS_Kyoto_run3_MTE!H338</f>
        <v>0.72191845703125002</v>
      </c>
      <c r="E225" s="714">
        <f>Bilans_E_AMS_Kyoto_run3_MTE!I338</f>
        <v>0</v>
      </c>
      <c r="F225" s="714">
        <f>Bilans_E_AMS_Kyoto_run3_MTE!J338</f>
        <v>299.38884709880881</v>
      </c>
      <c r="G225" s="714">
        <f>Bilans_E_AMS_Kyoto_run3_MTE!K338</f>
        <v>0</v>
      </c>
      <c r="H225" s="714">
        <f>Bilans_E_AMS_Kyoto_run3_MTE!L338</f>
        <v>160.7036058327609</v>
      </c>
      <c r="I225" s="714">
        <f>Bilans_E_AMS_Kyoto_run3_MTE!M338</f>
        <v>0</v>
      </c>
      <c r="J225" s="714">
        <f>Bilans_E_AMS_Kyoto_run3_MTE!N338</f>
        <v>0</v>
      </c>
      <c r="K225" s="714">
        <f>Bilans_E_AMS_Kyoto_run3_MTE!O338</f>
        <v>0</v>
      </c>
      <c r="L225" s="714">
        <f>Bilans_E_AMS_Kyoto_run3_MTE!P338</f>
        <v>105.42871091307302</v>
      </c>
      <c r="M225" s="714">
        <f>Bilans_E_AMS_Kyoto_run3_MTE!Q338</f>
        <v>9.815547509212319</v>
      </c>
      <c r="N225" s="714">
        <f>Bilans_E_AMS_Kyoto_run3_MTE!R338</f>
        <v>45.348730666730063</v>
      </c>
      <c r="O225" s="714">
        <f>Bilans_E_AMS_Kyoto_run3_MTE!S338</f>
        <v>35.307727528924232</v>
      </c>
      <c r="P225" s="714">
        <f>Bilans_E_AMS_Kyoto_run3_MTE!T338+Bilans_E_AMS_Kyoto_run3_MTE!U338</f>
        <v>141.04542470806211</v>
      </c>
      <c r="Q225" s="714">
        <f>Bilans_E_AMS_Kyoto_run3_MTE!V338</f>
        <v>15.181342069967958</v>
      </c>
      <c r="R225" s="714">
        <f>Bilans_E_AMS_Kyoto_run3_MTE!W338</f>
        <v>491.48794304488933</v>
      </c>
      <c r="S225" s="714">
        <f>Bilans_E_AMS_Kyoto_run3_MTE!X338</f>
        <v>78.030677754732466</v>
      </c>
      <c r="T225" s="714">
        <f>Bilans_E_AMS_Kyoto_run3_MTE!Y338</f>
        <v>7.6814721307573208</v>
      </c>
      <c r="U225" s="714">
        <f>Bilans_E_AMS_Kyoto_run3_MTE!Z338</f>
        <v>1390.1419477149495</v>
      </c>
      <c r="V225" s="701"/>
      <c r="W225" s="701"/>
    </row>
    <row r="226" spans="1:23" x14ac:dyDescent="0.25">
      <c r="A226" s="701" t="s">
        <v>514</v>
      </c>
      <c r="B226" s="701"/>
      <c r="C226" s="710" t="s">
        <v>84</v>
      </c>
      <c r="D226" s="711">
        <f>Bilans_E_AMS_Kyoto_run3_MTE!H339</f>
        <v>0</v>
      </c>
      <c r="E226" s="711">
        <f>Bilans_E_AMS_Kyoto_run3_MTE!I339</f>
        <v>0</v>
      </c>
      <c r="F226" s="711">
        <f>Bilans_E_AMS_Kyoto_run3_MTE!J339</f>
        <v>111.11471121185716</v>
      </c>
      <c r="G226" s="711">
        <f>Bilans_E_AMS_Kyoto_run3_MTE!K339</f>
        <v>0.79070039752491883</v>
      </c>
      <c r="H226" s="711">
        <f>Bilans_E_AMS_Kyoto_run3_MTE!L339</f>
        <v>13.201723871248829</v>
      </c>
      <c r="I226" s="711">
        <f>Bilans_E_AMS_Kyoto_run3_MTE!M339</f>
        <v>0</v>
      </c>
      <c r="J226" s="711">
        <f>Bilans_E_AMS_Kyoto_run3_MTE!N339</f>
        <v>0</v>
      </c>
      <c r="K226" s="711">
        <f>Bilans_E_AMS_Kyoto_run3_MTE!O339</f>
        <v>0</v>
      </c>
      <c r="L226" s="711">
        <f>Bilans_E_AMS_Kyoto_run3_MTE!P339</f>
        <v>0.22001800269575944</v>
      </c>
      <c r="M226" s="711">
        <f>Bilans_E_AMS_Kyoto_run3_MTE!Q339</f>
        <v>0</v>
      </c>
      <c r="N226" s="711">
        <f>Bilans_E_AMS_Kyoto_run3_MTE!R339</f>
        <v>1.3493655310578188</v>
      </c>
      <c r="O226" s="711">
        <f>Bilans_E_AMS_Kyoto_run3_MTE!S339</f>
        <v>0</v>
      </c>
      <c r="P226" s="711">
        <f>Bilans_E_AMS_Kyoto_run3_MTE!T339+Bilans_E_AMS_Kyoto_run3_MTE!U339</f>
        <v>0</v>
      </c>
      <c r="Q226" s="711">
        <f>Bilans_E_AMS_Kyoto_run3_MTE!V339</f>
        <v>0</v>
      </c>
      <c r="R226" s="711">
        <f>Bilans_E_AMS_Kyoto_run3_MTE!W339</f>
        <v>0</v>
      </c>
      <c r="S226" s="711">
        <f>Bilans_E_AMS_Kyoto_run3_MTE!X339</f>
        <v>0</v>
      </c>
      <c r="T226" s="711">
        <f>Bilans_E_AMS_Kyoto_run3_MTE!Y339</f>
        <v>1.3469384191833629</v>
      </c>
      <c r="U226" s="711">
        <f>Bilans_E_AMS_Kyoto_run3_MTE!Z339</f>
        <v>128.02345743356784</v>
      </c>
      <c r="V226" s="701"/>
      <c r="W226" s="701"/>
    </row>
    <row r="227" spans="1:23" x14ac:dyDescent="0.25">
      <c r="A227" s="701" t="s">
        <v>515</v>
      </c>
      <c r="B227" s="701"/>
      <c r="C227" s="713" t="s">
        <v>85</v>
      </c>
      <c r="D227" s="714">
        <f>Bilans_E_AMS_Kyoto_run3_MTE!H340</f>
        <v>0.72191845703125002</v>
      </c>
      <c r="E227" s="714">
        <f>Bilans_E_AMS_Kyoto_run3_MTE!I340</f>
        <v>0</v>
      </c>
      <c r="F227" s="714">
        <f>Bilans_E_AMS_Kyoto_run3_MTE!J340</f>
        <v>410.50355831066599</v>
      </c>
      <c r="G227" s="714">
        <f>Bilans_E_AMS_Kyoto_run3_MTE!K340</f>
        <v>0.79070039752491883</v>
      </c>
      <c r="H227" s="714">
        <f>Bilans_E_AMS_Kyoto_run3_MTE!L340</f>
        <v>173.90532970400972</v>
      </c>
      <c r="I227" s="714">
        <f>Bilans_E_AMS_Kyoto_run3_MTE!M340</f>
        <v>0</v>
      </c>
      <c r="J227" s="714">
        <f>Bilans_E_AMS_Kyoto_run3_MTE!N340</f>
        <v>0</v>
      </c>
      <c r="K227" s="714">
        <f>Bilans_E_AMS_Kyoto_run3_MTE!O340</f>
        <v>0</v>
      </c>
      <c r="L227" s="714">
        <f>Bilans_E_AMS_Kyoto_run3_MTE!P340</f>
        <v>105.64872891576877</v>
      </c>
      <c r="M227" s="714">
        <f>Bilans_E_AMS_Kyoto_run3_MTE!Q340</f>
        <v>9.815547509212319</v>
      </c>
      <c r="N227" s="714">
        <f>Bilans_E_AMS_Kyoto_run3_MTE!R340</f>
        <v>46.698096197787883</v>
      </c>
      <c r="O227" s="714">
        <f>Bilans_E_AMS_Kyoto_run3_MTE!S340</f>
        <v>35.307727528924232</v>
      </c>
      <c r="P227" s="714">
        <f>Bilans_E_AMS_Kyoto_run3_MTE!T340+Bilans_E_AMS_Kyoto_run3_MTE!U340</f>
        <v>141.04542470806211</v>
      </c>
      <c r="Q227" s="714">
        <f>Bilans_E_AMS_Kyoto_run3_MTE!V340</f>
        <v>15.181342069967958</v>
      </c>
      <c r="R227" s="714">
        <f>Bilans_E_AMS_Kyoto_run3_MTE!W340</f>
        <v>491.48794304488933</v>
      </c>
      <c r="S227" s="714">
        <f>Bilans_E_AMS_Kyoto_run3_MTE!X340</f>
        <v>78.030677754732466</v>
      </c>
      <c r="T227" s="714">
        <f>Bilans_E_AMS_Kyoto_run3_MTE!Y340</f>
        <v>9.0284105499406841</v>
      </c>
      <c r="U227" s="714">
        <f>Bilans_E_AMS_Kyoto_run3_MTE!Z340</f>
        <v>1518.1654051485175</v>
      </c>
      <c r="V227" s="701"/>
      <c r="W227" s="701"/>
    </row>
    <row r="228" spans="1:23" x14ac:dyDescent="0.25">
      <c r="A228" s="701"/>
      <c r="B228" s="701"/>
      <c r="C228" s="701"/>
      <c r="D228" s="701">
        <f>Bilans_E_AMS_Kyoto_run3_MTE!H341</f>
        <v>0</v>
      </c>
      <c r="E228" s="701">
        <f>Bilans_E_AMS_Kyoto_run3_MTE!I341</f>
        <v>0</v>
      </c>
      <c r="F228" s="701">
        <f>Bilans_E_AMS_Kyoto_run3_MTE!J341</f>
        <v>0</v>
      </c>
      <c r="G228" s="701">
        <f>Bilans_E_AMS_Kyoto_run3_MTE!K341</f>
        <v>0</v>
      </c>
      <c r="H228" s="701">
        <f>Bilans_E_AMS_Kyoto_run3_MTE!L341</f>
        <v>0</v>
      </c>
      <c r="I228" s="701">
        <f>Bilans_E_AMS_Kyoto_run3_MTE!M341</f>
        <v>0</v>
      </c>
      <c r="J228" s="701">
        <f>Bilans_E_AMS_Kyoto_run3_MTE!N341</f>
        <v>0</v>
      </c>
      <c r="K228" s="701">
        <f>Bilans_E_AMS_Kyoto_run3_MTE!O341</f>
        <v>0</v>
      </c>
      <c r="L228" s="701">
        <f>Bilans_E_AMS_Kyoto_run3_MTE!P341</f>
        <v>0</v>
      </c>
      <c r="M228" s="701">
        <f>Bilans_E_AMS_Kyoto_run3_MTE!Q341</f>
        <v>0</v>
      </c>
      <c r="N228" s="701">
        <f>Bilans_E_AMS_Kyoto_run3_MTE!R341</f>
        <v>-3.5527136788005009E-15</v>
      </c>
      <c r="O228" s="701">
        <f>Bilans_E_AMS_Kyoto_run3_MTE!S341</f>
        <v>7.9936057773011271E-15</v>
      </c>
      <c r="P228" s="701">
        <f>Bilans_E_AMS_Kyoto_run3_MTE!T341+Bilans_E_AMS_Kyoto_run3_MTE!U341</f>
        <v>0</v>
      </c>
      <c r="Q228" s="701">
        <f>Bilans_E_AMS_Kyoto_run3_MTE!V341</f>
        <v>0</v>
      </c>
      <c r="R228" s="701">
        <f>Bilans_E_AMS_Kyoto_run3_MTE!W341</f>
        <v>0</v>
      </c>
      <c r="S228" s="701">
        <f>Bilans_E_AMS_Kyoto_run3_MTE!X341</f>
        <v>-3.0274051596279605E-5</v>
      </c>
      <c r="T228" s="701">
        <f>Bilans_E_AMS_Kyoto_run3_MTE!Y341</f>
        <v>8.8817841970012523E-16</v>
      </c>
      <c r="U228" s="701">
        <f>Bilans_E_AMS_Kyoto_run3_MTE!Z341</f>
        <v>-3.0274051823653281E-5</v>
      </c>
      <c r="V228" s="701"/>
      <c r="W228" s="701"/>
    </row>
    <row r="229" spans="1:23" x14ac:dyDescent="0.25">
      <c r="A229" s="701"/>
      <c r="B229" s="701"/>
      <c r="C229" s="701"/>
      <c r="D229" s="701"/>
      <c r="E229" s="701"/>
      <c r="F229" s="701"/>
      <c r="G229" s="701"/>
      <c r="H229" s="701"/>
      <c r="I229" s="701"/>
      <c r="J229" s="701"/>
      <c r="K229" s="701"/>
      <c r="L229" s="701"/>
      <c r="M229" s="701"/>
      <c r="N229" s="701"/>
      <c r="O229" s="701"/>
      <c r="P229" s="701"/>
      <c r="Q229" s="701"/>
      <c r="R229" s="701"/>
      <c r="S229" s="701"/>
      <c r="T229" s="701"/>
      <c r="U229" s="701"/>
      <c r="V229" s="701"/>
      <c r="W229" s="701"/>
    </row>
    <row r="230" spans="1:23" x14ac:dyDescent="0.25">
      <c r="A230" s="707"/>
      <c r="B230" s="707"/>
      <c r="C230" s="708" t="s">
        <v>358</v>
      </c>
      <c r="D230" s="707"/>
      <c r="E230" s="707"/>
      <c r="F230" s="707"/>
      <c r="G230" s="707"/>
      <c r="H230" s="707"/>
      <c r="I230" s="707"/>
      <c r="J230" s="707"/>
      <c r="K230" s="707"/>
      <c r="L230" s="707"/>
      <c r="M230" s="707"/>
      <c r="N230" s="707"/>
      <c r="O230" s="707"/>
      <c r="P230" s="707"/>
      <c r="Q230" s="707"/>
      <c r="R230" s="707"/>
      <c r="S230" s="707"/>
      <c r="T230" s="707"/>
      <c r="U230" s="707"/>
      <c r="V230" s="707"/>
      <c r="W230" s="707"/>
    </row>
    <row r="231" spans="1:23" x14ac:dyDescent="0.25">
      <c r="A231" s="701"/>
      <c r="B231" s="701"/>
      <c r="C231" s="701"/>
      <c r="D231" s="701"/>
      <c r="E231" s="701"/>
      <c r="F231" s="701"/>
      <c r="G231" s="701"/>
      <c r="H231" s="701"/>
      <c r="I231" s="701"/>
      <c r="J231" s="701"/>
      <c r="K231" s="701"/>
      <c r="L231" s="701"/>
      <c r="M231" s="701"/>
      <c r="N231" s="701"/>
      <c r="O231" s="701"/>
      <c r="P231" s="701"/>
      <c r="Q231" s="701"/>
      <c r="R231" s="701"/>
      <c r="S231" s="701"/>
      <c r="T231" s="701"/>
      <c r="U231" s="701"/>
      <c r="V231" s="701"/>
      <c r="W231" s="701"/>
    </row>
    <row r="232" spans="1:23" x14ac:dyDescent="0.25">
      <c r="A232" s="701"/>
      <c r="B232" s="701"/>
      <c r="C232" s="780" t="s">
        <v>128</v>
      </c>
      <c r="D232" s="775" t="s">
        <v>42</v>
      </c>
      <c r="E232" s="775" t="s">
        <v>52</v>
      </c>
      <c r="F232" s="775" t="s">
        <v>53</v>
      </c>
      <c r="G232" s="775" t="s">
        <v>482</v>
      </c>
      <c r="H232" s="775" t="s">
        <v>32</v>
      </c>
      <c r="I232" s="775" t="s">
        <v>483</v>
      </c>
      <c r="J232" s="775" t="s">
        <v>20</v>
      </c>
      <c r="K232" s="775" t="s">
        <v>55</v>
      </c>
      <c r="L232" s="777" t="s">
        <v>56</v>
      </c>
      <c r="M232" s="778"/>
      <c r="N232" s="778"/>
      <c r="O232" s="778"/>
      <c r="P232" s="778"/>
      <c r="Q232" s="779"/>
      <c r="R232" s="775" t="s">
        <v>57</v>
      </c>
      <c r="S232" s="775" t="s">
        <v>58</v>
      </c>
      <c r="T232" s="775" t="s">
        <v>31</v>
      </c>
      <c r="U232" s="775" t="s">
        <v>10</v>
      </c>
      <c r="V232" s="701"/>
      <c r="W232" s="701"/>
    </row>
    <row r="233" spans="1:23" ht="67.5" x14ac:dyDescent="0.25">
      <c r="A233" s="701" t="s">
        <v>486</v>
      </c>
      <c r="B233" s="701"/>
      <c r="C233" s="781"/>
      <c r="D233" s="776"/>
      <c r="E233" s="776"/>
      <c r="F233" s="776"/>
      <c r="G233" s="776"/>
      <c r="H233" s="776"/>
      <c r="I233" s="776"/>
      <c r="J233" s="776"/>
      <c r="K233" s="776"/>
      <c r="L233" s="709" t="s">
        <v>335</v>
      </c>
      <c r="M233" s="709" t="s">
        <v>40</v>
      </c>
      <c r="N233" s="709" t="s">
        <v>343</v>
      </c>
      <c r="O233" s="709" t="s">
        <v>344</v>
      </c>
      <c r="P233" s="719" t="s">
        <v>610</v>
      </c>
      <c r="Q233" s="709" t="s">
        <v>346</v>
      </c>
      <c r="R233" s="776"/>
      <c r="S233" s="776"/>
      <c r="T233" s="776"/>
      <c r="U233" s="776"/>
      <c r="V233" s="701"/>
      <c r="W233" s="701"/>
    </row>
    <row r="234" spans="1:23" x14ac:dyDescent="0.25">
      <c r="A234" s="701" t="s">
        <v>487</v>
      </c>
      <c r="B234" s="701"/>
      <c r="C234" s="710" t="s">
        <v>59</v>
      </c>
      <c r="D234" s="711">
        <f>Bilans_E_AMS_Kyoto_run3_MTE!H347</f>
        <v>0</v>
      </c>
      <c r="E234" s="711">
        <f>Bilans_E_AMS_Kyoto_run3_MTE!I347</f>
        <v>4.7683</v>
      </c>
      <c r="F234" s="711">
        <f>Bilans_E_AMS_Kyoto_run3_MTE!J347</f>
        <v>0</v>
      </c>
      <c r="G234" s="711">
        <f>Bilans_E_AMS_Kyoto_run3_MTE!K347</f>
        <v>0</v>
      </c>
      <c r="H234" s="711">
        <f>Bilans_E_AMS_Kyoto_run3_MTE!L347</f>
        <v>9.8855000000000012E-2</v>
      </c>
      <c r="I234" s="711">
        <f>Bilans_E_AMS_Kyoto_run3_MTE!M347</f>
        <v>0</v>
      </c>
      <c r="J234" s="711">
        <f>Bilans_E_AMS_Kyoto_run3_MTE!N347</f>
        <v>1162.7439999999999</v>
      </c>
      <c r="K234" s="711">
        <f>Bilans_E_AMS_Kyoto_run3_MTE!O347</f>
        <v>299.59846132130883</v>
      </c>
      <c r="L234" s="711">
        <f>Bilans_E_AMS_Kyoto_run3_MTE!P347</f>
        <v>319.01734498759413</v>
      </c>
      <c r="M234" s="711">
        <f>Bilans_E_AMS_Kyoto_run3_MTE!Q347</f>
        <v>51.348490193266947</v>
      </c>
      <c r="N234" s="711">
        <f>Bilans_E_AMS_Kyoto_run3_MTE!R347</f>
        <v>0</v>
      </c>
      <c r="O234" s="711">
        <f>Bilans_E_AMS_Kyoto_run3_MTE!S347</f>
        <v>0</v>
      </c>
      <c r="P234" s="711">
        <f>Bilans_E_AMS_Kyoto_run3_MTE!T347+Bilans_E_AMS_Kyoto_run3_MTE!U347</f>
        <v>171.39585425670967</v>
      </c>
      <c r="Q234" s="711">
        <f>Bilans_E_AMS_Kyoto_run3_MTE!V347</f>
        <v>34.299691863986411</v>
      </c>
      <c r="R234" s="711">
        <f>Bilans_E_AMS_Kyoto_run3_MTE!W347</f>
        <v>0</v>
      </c>
      <c r="S234" s="711">
        <f>Bilans_E_AMS_Kyoto_run3_MTE!X347</f>
        <v>0</v>
      </c>
      <c r="T234" s="711">
        <f>Bilans_E_AMS_Kyoto_run3_MTE!Y347</f>
        <v>0</v>
      </c>
      <c r="U234" s="711">
        <f>Bilans_E_AMS_Kyoto_run3_MTE!Z347</f>
        <v>2043.2709976228659</v>
      </c>
      <c r="V234" s="701"/>
      <c r="W234" s="701"/>
    </row>
    <row r="235" spans="1:23" x14ac:dyDescent="0.25">
      <c r="A235" s="701" t="s">
        <v>488</v>
      </c>
      <c r="B235" s="701"/>
      <c r="C235" s="710" t="s">
        <v>60</v>
      </c>
      <c r="D235" s="712">
        <f>Bilans_E_AMS_Kyoto_run3_MTE!H348</f>
        <v>13.10897607421875</v>
      </c>
      <c r="E235" s="712">
        <f>Bilans_E_AMS_Kyoto_run3_MTE!I348</f>
        <v>308.93113241881071</v>
      </c>
      <c r="F235" s="712">
        <f>Bilans_E_AMS_Kyoto_run3_MTE!J348</f>
        <v>121.08575062075425</v>
      </c>
      <c r="G235" s="712">
        <f>Bilans_E_AMS_Kyoto_run3_MTE!K348</f>
        <v>2.7939885995123079</v>
      </c>
      <c r="H235" s="712">
        <f>Bilans_E_AMS_Kyoto_run3_MTE!L348</f>
        <v>208.53518235241728</v>
      </c>
      <c r="I235" s="712">
        <f>Bilans_E_AMS_Kyoto_run3_MTE!M348</f>
        <v>0</v>
      </c>
      <c r="J235" s="712">
        <f>Bilans_E_AMS_Kyoto_run3_MTE!N348</f>
        <v>0</v>
      </c>
      <c r="K235" s="712">
        <f>Bilans_E_AMS_Kyoto_run3_MTE!O348</f>
        <v>0</v>
      </c>
      <c r="L235" s="712">
        <f>Bilans_E_AMS_Kyoto_run3_MTE!P348</f>
        <v>3.9620965723904646</v>
      </c>
      <c r="M235" s="712">
        <f>Bilans_E_AMS_Kyoto_run3_MTE!Q348</f>
        <v>0</v>
      </c>
      <c r="N235" s="712">
        <f>Bilans_E_AMS_Kyoto_run3_MTE!R348</f>
        <v>15.040491481755694</v>
      </c>
      <c r="O235" s="712">
        <f>Bilans_E_AMS_Kyoto_run3_MTE!S348</f>
        <v>7.9892327206458447E-2</v>
      </c>
      <c r="P235" s="712">
        <f>Bilans_E_AMS_Kyoto_run3_MTE!T348+Bilans_E_AMS_Kyoto_run3_MTE!U348</f>
        <v>0</v>
      </c>
      <c r="Q235" s="712">
        <f>Bilans_E_AMS_Kyoto_run3_MTE!V348</f>
        <v>0</v>
      </c>
      <c r="R235" s="712">
        <f>Bilans_E_AMS_Kyoto_run3_MTE!W348</f>
        <v>0</v>
      </c>
      <c r="S235" s="712">
        <f>Bilans_E_AMS_Kyoto_run3_MTE!X348</f>
        <v>0</v>
      </c>
      <c r="T235" s="712">
        <f>Bilans_E_AMS_Kyoto_run3_MTE!Y348</f>
        <v>0</v>
      </c>
      <c r="U235" s="712">
        <f>Bilans_E_AMS_Kyoto_run3_MTE!Z348</f>
        <v>673.53751044706598</v>
      </c>
      <c r="V235" s="701"/>
      <c r="W235" s="701"/>
    </row>
    <row r="236" spans="1:23" x14ac:dyDescent="0.25">
      <c r="A236" s="701" t="s">
        <v>489</v>
      </c>
      <c r="B236" s="701"/>
      <c r="C236" s="710" t="s">
        <v>61</v>
      </c>
      <c r="D236" s="712">
        <f>Bilans_E_AMS_Kyoto_run3_MTE!H349</f>
        <v>0</v>
      </c>
      <c r="E236" s="712">
        <f>Bilans_E_AMS_Kyoto_run3_MTE!I349</f>
        <v>0</v>
      </c>
      <c r="F236" s="712">
        <f>Bilans_E_AMS_Kyoto_run3_MTE!J349</f>
        <v>0</v>
      </c>
      <c r="G236" s="712">
        <f>Bilans_E_AMS_Kyoto_run3_MTE!K349</f>
        <v>0</v>
      </c>
      <c r="H236" s="712">
        <f>Bilans_E_AMS_Kyoto_run3_MTE!L349</f>
        <v>0</v>
      </c>
      <c r="I236" s="712">
        <f>Bilans_E_AMS_Kyoto_run3_MTE!M349</f>
        <v>0</v>
      </c>
      <c r="J236" s="712">
        <f>Bilans_E_AMS_Kyoto_run3_MTE!N349</f>
        <v>0</v>
      </c>
      <c r="K236" s="712">
        <f>Bilans_E_AMS_Kyoto_run3_MTE!O349</f>
        <v>0</v>
      </c>
      <c r="L236" s="712">
        <f>Bilans_E_AMS_Kyoto_run3_MTE!P349</f>
        <v>0</v>
      </c>
      <c r="M236" s="712">
        <f>Bilans_E_AMS_Kyoto_run3_MTE!Q349</f>
        <v>0</v>
      </c>
      <c r="N236" s="712">
        <f>Bilans_E_AMS_Kyoto_run3_MTE!R349</f>
        <v>0</v>
      </c>
      <c r="O236" s="712">
        <f>Bilans_E_AMS_Kyoto_run3_MTE!S349</f>
        <v>0</v>
      </c>
      <c r="P236" s="712">
        <f>Bilans_E_AMS_Kyoto_run3_MTE!T349+Bilans_E_AMS_Kyoto_run3_MTE!U349</f>
        <v>0</v>
      </c>
      <c r="Q236" s="712">
        <f>Bilans_E_AMS_Kyoto_run3_MTE!V349</f>
        <v>0</v>
      </c>
      <c r="R236" s="712">
        <f>Bilans_E_AMS_Kyoto_run3_MTE!W349</f>
        <v>-95.466033511784872</v>
      </c>
      <c r="S236" s="712">
        <f>Bilans_E_AMS_Kyoto_run3_MTE!X349</f>
        <v>0</v>
      </c>
      <c r="T236" s="712">
        <f>Bilans_E_AMS_Kyoto_run3_MTE!Y349</f>
        <v>0</v>
      </c>
      <c r="U236" s="712">
        <f>Bilans_E_AMS_Kyoto_run3_MTE!Z349</f>
        <v>-95.466033511784872</v>
      </c>
      <c r="V236" s="701"/>
      <c r="W236" s="701"/>
    </row>
    <row r="237" spans="1:23" x14ac:dyDescent="0.25">
      <c r="A237" s="701" t="s">
        <v>490</v>
      </c>
      <c r="B237" s="701"/>
      <c r="C237" s="710" t="s">
        <v>62</v>
      </c>
      <c r="D237" s="711">
        <f>Bilans_E_AMS_Kyoto_run3_MTE!H350</f>
        <v>0</v>
      </c>
      <c r="E237" s="711">
        <f>Bilans_E_AMS_Kyoto_run3_MTE!I350</f>
        <v>0</v>
      </c>
      <c r="F237" s="711">
        <f>Bilans_E_AMS_Kyoto_run3_MTE!J350</f>
        <v>-7.1897413553368033</v>
      </c>
      <c r="G237" s="711">
        <f>Bilans_E_AMS_Kyoto_run3_MTE!K350</f>
        <v>-0.40871635052551269</v>
      </c>
      <c r="H237" s="711">
        <f>Bilans_E_AMS_Kyoto_run3_MTE!L350</f>
        <v>-0.64998497552234569</v>
      </c>
      <c r="I237" s="711">
        <f>Bilans_E_AMS_Kyoto_run3_MTE!M350</f>
        <v>-0.61307452578826904</v>
      </c>
      <c r="J237" s="711">
        <f>Bilans_E_AMS_Kyoto_run3_MTE!N350</f>
        <v>0</v>
      </c>
      <c r="K237" s="711">
        <f>Bilans_E_AMS_Kyoto_run3_MTE!O350</f>
        <v>0</v>
      </c>
      <c r="L237" s="711">
        <f>Bilans_E_AMS_Kyoto_run3_MTE!P350</f>
        <v>0</v>
      </c>
      <c r="M237" s="711">
        <f>Bilans_E_AMS_Kyoto_run3_MTE!Q350</f>
        <v>0</v>
      </c>
      <c r="N237" s="711">
        <f>Bilans_E_AMS_Kyoto_run3_MTE!R350</f>
        <v>0</v>
      </c>
      <c r="O237" s="711">
        <f>Bilans_E_AMS_Kyoto_run3_MTE!S350</f>
        <v>-1.0039414282398573</v>
      </c>
      <c r="P237" s="711">
        <f>Bilans_E_AMS_Kyoto_run3_MTE!T350+Bilans_E_AMS_Kyoto_run3_MTE!U350</f>
        <v>0</v>
      </c>
      <c r="Q237" s="711">
        <f>Bilans_E_AMS_Kyoto_run3_MTE!V350</f>
        <v>0</v>
      </c>
      <c r="R237" s="711">
        <f>Bilans_E_AMS_Kyoto_run3_MTE!W350</f>
        <v>0</v>
      </c>
      <c r="S237" s="711">
        <f>Bilans_E_AMS_Kyoto_run3_MTE!X350</f>
        <v>0</v>
      </c>
      <c r="T237" s="711">
        <f>Bilans_E_AMS_Kyoto_run3_MTE!Y350</f>
        <v>-0.37964157661678277</v>
      </c>
      <c r="U237" s="711">
        <f>Bilans_E_AMS_Kyoto_run3_MTE!Z350</f>
        <v>-10.24510021202957</v>
      </c>
      <c r="V237" s="701"/>
      <c r="W237" s="701"/>
    </row>
    <row r="238" spans="1:23" x14ac:dyDescent="0.25">
      <c r="A238" s="701" t="s">
        <v>491</v>
      </c>
      <c r="B238" s="701"/>
      <c r="C238" s="710" t="s">
        <v>63</v>
      </c>
      <c r="D238" s="711">
        <f>Bilans_E_AMS_Kyoto_run3_MTE!H351</f>
        <v>0</v>
      </c>
      <c r="E238" s="711">
        <f>Bilans_E_AMS_Kyoto_run3_MTE!I351</f>
        <v>0</v>
      </c>
      <c r="F238" s="711">
        <f>Bilans_E_AMS_Kyoto_run3_MTE!J351</f>
        <v>-56</v>
      </c>
      <c r="G238" s="711">
        <f>Bilans_E_AMS_Kyoto_run3_MTE!K351</f>
        <v>-4</v>
      </c>
      <c r="H238" s="711">
        <f>Bilans_E_AMS_Kyoto_run3_MTE!L351</f>
        <v>0</v>
      </c>
      <c r="I238" s="711">
        <f>Bilans_E_AMS_Kyoto_run3_MTE!M351</f>
        <v>0</v>
      </c>
      <c r="J238" s="711">
        <f>Bilans_E_AMS_Kyoto_run3_MTE!N351</f>
        <v>0</v>
      </c>
      <c r="K238" s="711">
        <f>Bilans_E_AMS_Kyoto_run3_MTE!O351</f>
        <v>0</v>
      </c>
      <c r="L238" s="711">
        <f>Bilans_E_AMS_Kyoto_run3_MTE!P351</f>
        <v>0</v>
      </c>
      <c r="M238" s="711">
        <f>Bilans_E_AMS_Kyoto_run3_MTE!Q351</f>
        <v>0</v>
      </c>
      <c r="N238" s="711">
        <f>Bilans_E_AMS_Kyoto_run3_MTE!R351</f>
        <v>-11</v>
      </c>
      <c r="O238" s="711">
        <f>Bilans_E_AMS_Kyoto_run3_MTE!S351</f>
        <v>0</v>
      </c>
      <c r="P238" s="711">
        <f>Bilans_E_AMS_Kyoto_run3_MTE!T351+Bilans_E_AMS_Kyoto_run3_MTE!U351</f>
        <v>0</v>
      </c>
      <c r="Q238" s="711">
        <f>Bilans_E_AMS_Kyoto_run3_MTE!V351</f>
        <v>0</v>
      </c>
      <c r="R238" s="711">
        <f>Bilans_E_AMS_Kyoto_run3_MTE!W351</f>
        <v>0</v>
      </c>
      <c r="S238" s="711">
        <f>Bilans_E_AMS_Kyoto_run3_MTE!X351</f>
        <v>0</v>
      </c>
      <c r="T238" s="711">
        <f>Bilans_E_AMS_Kyoto_run3_MTE!Y351</f>
        <v>-1</v>
      </c>
      <c r="U238" s="711">
        <f>Bilans_E_AMS_Kyoto_run3_MTE!Z351</f>
        <v>-72</v>
      </c>
      <c r="V238" s="701"/>
      <c r="W238" s="701"/>
    </row>
    <row r="239" spans="1:23" x14ac:dyDescent="0.25">
      <c r="A239" s="701" t="s">
        <v>492</v>
      </c>
      <c r="B239" s="701"/>
      <c r="C239" s="710" t="s">
        <v>64</v>
      </c>
      <c r="D239" s="712">
        <f>Bilans_E_AMS_Kyoto_run3_MTE!H352</f>
        <v>0</v>
      </c>
      <c r="E239" s="712">
        <f>Bilans_E_AMS_Kyoto_run3_MTE!I352</f>
        <v>0</v>
      </c>
      <c r="F239" s="712">
        <f>Bilans_E_AMS_Kyoto_run3_MTE!J352</f>
        <v>0</v>
      </c>
      <c r="G239" s="712">
        <f>Bilans_E_AMS_Kyoto_run3_MTE!K352</f>
        <v>0</v>
      </c>
      <c r="H239" s="712">
        <f>Bilans_E_AMS_Kyoto_run3_MTE!L352</f>
        <v>0</v>
      </c>
      <c r="I239" s="712">
        <f>Bilans_E_AMS_Kyoto_run3_MTE!M352</f>
        <v>0</v>
      </c>
      <c r="J239" s="712">
        <f>Bilans_E_AMS_Kyoto_run3_MTE!N352</f>
        <v>0</v>
      </c>
      <c r="K239" s="712">
        <f>Bilans_E_AMS_Kyoto_run3_MTE!O352</f>
        <v>0</v>
      </c>
      <c r="L239" s="712">
        <f>Bilans_E_AMS_Kyoto_run3_MTE!P352</f>
        <v>0</v>
      </c>
      <c r="M239" s="712">
        <f>Bilans_E_AMS_Kyoto_run3_MTE!Q352</f>
        <v>0</v>
      </c>
      <c r="N239" s="712">
        <f>Bilans_E_AMS_Kyoto_run3_MTE!R352</f>
        <v>0</v>
      </c>
      <c r="O239" s="712">
        <f>Bilans_E_AMS_Kyoto_run3_MTE!S352</f>
        <v>0</v>
      </c>
      <c r="P239" s="712">
        <f>Bilans_E_AMS_Kyoto_run3_MTE!T352+Bilans_E_AMS_Kyoto_run3_MTE!U352</f>
        <v>0</v>
      </c>
      <c r="Q239" s="712">
        <f>Bilans_E_AMS_Kyoto_run3_MTE!V352</f>
        <v>0</v>
      </c>
      <c r="R239" s="712">
        <f>Bilans_E_AMS_Kyoto_run3_MTE!W352</f>
        <v>0</v>
      </c>
      <c r="S239" s="712">
        <f>Bilans_E_AMS_Kyoto_run3_MTE!X352</f>
        <v>0</v>
      </c>
      <c r="T239" s="712">
        <f>Bilans_E_AMS_Kyoto_run3_MTE!Y352</f>
        <v>0</v>
      </c>
      <c r="U239" s="712">
        <f>Bilans_E_AMS_Kyoto_run3_MTE!Z352</f>
        <v>0</v>
      </c>
      <c r="V239" s="701"/>
      <c r="W239" s="701"/>
    </row>
    <row r="240" spans="1:23" x14ac:dyDescent="0.25">
      <c r="A240" s="701" t="s">
        <v>493</v>
      </c>
      <c r="B240" s="701"/>
      <c r="C240" s="713" t="s">
        <v>65</v>
      </c>
      <c r="D240" s="714">
        <f>Bilans_E_AMS_Kyoto_run3_MTE!H353</f>
        <v>13.10897607421875</v>
      </c>
      <c r="E240" s="714">
        <f>Bilans_E_AMS_Kyoto_run3_MTE!I353</f>
        <v>313.69943241881072</v>
      </c>
      <c r="F240" s="714">
        <f>Bilans_E_AMS_Kyoto_run3_MTE!J353</f>
        <v>57.896009265417447</v>
      </c>
      <c r="G240" s="714">
        <f>Bilans_E_AMS_Kyoto_run3_MTE!K353</f>
        <v>-1.6147277510132048</v>
      </c>
      <c r="H240" s="714">
        <f>Bilans_E_AMS_Kyoto_run3_MTE!L353</f>
        <v>207.98405237689491</v>
      </c>
      <c r="I240" s="714">
        <f>Bilans_E_AMS_Kyoto_run3_MTE!M353</f>
        <v>-0.61307452578826904</v>
      </c>
      <c r="J240" s="714">
        <f>Bilans_E_AMS_Kyoto_run3_MTE!N353</f>
        <v>1162.7439999999999</v>
      </c>
      <c r="K240" s="714">
        <f>Bilans_E_AMS_Kyoto_run3_MTE!O353</f>
        <v>299.59846132130883</v>
      </c>
      <c r="L240" s="714">
        <f>Bilans_E_AMS_Kyoto_run3_MTE!P353</f>
        <v>322.97944155998459</v>
      </c>
      <c r="M240" s="714">
        <f>Bilans_E_AMS_Kyoto_run3_MTE!Q353</f>
        <v>51.348490193266947</v>
      </c>
      <c r="N240" s="714">
        <f>Bilans_E_AMS_Kyoto_run3_MTE!R353</f>
        <v>4.0404914817556943</v>
      </c>
      <c r="O240" s="714">
        <f>Bilans_E_AMS_Kyoto_run3_MTE!S353</f>
        <v>-0.92404910103339888</v>
      </c>
      <c r="P240" s="714">
        <f>Bilans_E_AMS_Kyoto_run3_MTE!T353+Bilans_E_AMS_Kyoto_run3_MTE!U353</f>
        <v>171.39585425670967</v>
      </c>
      <c r="Q240" s="714">
        <f>Bilans_E_AMS_Kyoto_run3_MTE!V353</f>
        <v>34.299691863986411</v>
      </c>
      <c r="R240" s="714">
        <f>Bilans_E_AMS_Kyoto_run3_MTE!W353</f>
        <v>-95.466033511784872</v>
      </c>
      <c r="S240" s="714">
        <f>Bilans_E_AMS_Kyoto_run3_MTE!X353</f>
        <v>0</v>
      </c>
      <c r="T240" s="714">
        <f>Bilans_E_AMS_Kyoto_run3_MTE!Y353</f>
        <v>-1.3796415766167827</v>
      </c>
      <c r="U240" s="714">
        <f>Bilans_E_AMS_Kyoto_run3_MTE!Z353</f>
        <v>2539.0973743461172</v>
      </c>
      <c r="V240" s="701"/>
      <c r="W240" s="701"/>
    </row>
    <row r="241" spans="1:23" x14ac:dyDescent="0.25">
      <c r="A241" s="701"/>
      <c r="B241" s="701"/>
      <c r="C241" s="715"/>
      <c r="D241" s="716"/>
      <c r="E241" s="716"/>
      <c r="F241" s="716"/>
      <c r="G241" s="716"/>
      <c r="H241" s="716"/>
      <c r="I241" s="716"/>
      <c r="J241" s="716"/>
      <c r="K241" s="716"/>
      <c r="L241" s="716"/>
      <c r="M241" s="716"/>
      <c r="N241" s="716"/>
      <c r="O241" s="716"/>
      <c r="P241" s="716">
        <f>Bilans_E_AMS_Kyoto_run3_MTE!T354+Bilans_E_AMS_Kyoto_run3_MTE!U354</f>
        <v>0</v>
      </c>
      <c r="Q241" s="716"/>
      <c r="R241" s="716"/>
      <c r="S241" s="716"/>
      <c r="T241" s="716"/>
      <c r="U241" s="716"/>
      <c r="V241" s="701"/>
      <c r="W241" s="701"/>
    </row>
    <row r="242" spans="1:23" x14ac:dyDescent="0.25">
      <c r="A242" s="701" t="s">
        <v>494</v>
      </c>
      <c r="B242" s="701"/>
      <c r="C242" s="717" t="s">
        <v>67</v>
      </c>
      <c r="D242" s="711">
        <f>Bilans_E_AMS_Kyoto_run3_MTE!H355</f>
        <v>0</v>
      </c>
      <c r="E242" s="711">
        <f>Bilans_E_AMS_Kyoto_run3_MTE!I355</f>
        <v>0</v>
      </c>
      <c r="F242" s="711">
        <f>Bilans_E_AMS_Kyoto_run3_MTE!J355</f>
        <v>0</v>
      </c>
      <c r="G242" s="711">
        <f>Bilans_E_AMS_Kyoto_run3_MTE!K355</f>
        <v>0</v>
      </c>
      <c r="H242" s="711">
        <f>Bilans_E_AMS_Kyoto_run3_MTE!L355</f>
        <v>0</v>
      </c>
      <c r="I242" s="711">
        <f>Bilans_E_AMS_Kyoto_run3_MTE!M355</f>
        <v>0</v>
      </c>
      <c r="J242" s="711">
        <f>Bilans_E_AMS_Kyoto_run3_MTE!N355</f>
        <v>0</v>
      </c>
      <c r="K242" s="711">
        <f>Bilans_E_AMS_Kyoto_run3_MTE!O355</f>
        <v>0</v>
      </c>
      <c r="L242" s="711">
        <f>Bilans_E_AMS_Kyoto_run3_MTE!P355</f>
        <v>0</v>
      </c>
      <c r="M242" s="711">
        <f>Bilans_E_AMS_Kyoto_run3_MTE!Q355</f>
        <v>0</v>
      </c>
      <c r="N242" s="711">
        <f>Bilans_E_AMS_Kyoto_run3_MTE!R355</f>
        <v>0</v>
      </c>
      <c r="O242" s="711">
        <f>Bilans_E_AMS_Kyoto_run3_MTE!S355</f>
        <v>0</v>
      </c>
      <c r="P242" s="711">
        <f>Bilans_E_AMS_Kyoto_run3_MTE!T355+Bilans_E_AMS_Kyoto_run3_MTE!U355</f>
        <v>0</v>
      </c>
      <c r="Q242" s="711">
        <f>Bilans_E_AMS_Kyoto_run3_MTE!V355</f>
        <v>0</v>
      </c>
      <c r="R242" s="711">
        <f>Bilans_E_AMS_Kyoto_run3_MTE!W355</f>
        <v>0</v>
      </c>
      <c r="S242" s="711">
        <f>Bilans_E_AMS_Kyoto_run3_MTE!X355</f>
        <v>0</v>
      </c>
      <c r="T242" s="711">
        <f>Bilans_E_AMS_Kyoto_run3_MTE!Y355</f>
        <v>0</v>
      </c>
      <c r="U242" s="711">
        <f>Bilans_E_AMS_Kyoto_run3_MTE!Z355</f>
        <v>0</v>
      </c>
      <c r="V242" s="701"/>
      <c r="W242" s="701"/>
    </row>
    <row r="243" spans="1:23" x14ac:dyDescent="0.25">
      <c r="A243" s="701" t="s">
        <v>495</v>
      </c>
      <c r="B243" s="701"/>
      <c r="C243" s="717" t="s">
        <v>347</v>
      </c>
      <c r="D243" s="711">
        <f>Bilans_E_AMS_Kyoto_run3_MTE!H356</f>
        <v>0</v>
      </c>
      <c r="E243" s="711">
        <f>Bilans_E_AMS_Kyoto_run3_MTE!I356</f>
        <v>0</v>
      </c>
      <c r="F243" s="711">
        <f>Bilans_E_AMS_Kyoto_run3_MTE!J356</f>
        <v>0.802217285608815</v>
      </c>
      <c r="G243" s="711">
        <f>Bilans_E_AMS_Kyoto_run3_MTE!K356</f>
        <v>0</v>
      </c>
      <c r="H243" s="711">
        <f>Bilans_E_AMS_Kyoto_run3_MTE!L356</f>
        <v>25.778498998044444</v>
      </c>
      <c r="I243" s="711">
        <f>Bilans_E_AMS_Kyoto_run3_MTE!M356</f>
        <v>0</v>
      </c>
      <c r="J243" s="711">
        <f>Bilans_E_AMS_Kyoto_run3_MTE!N356</f>
        <v>1162.7439999999999</v>
      </c>
      <c r="K243" s="711">
        <f>Bilans_E_AMS_Kyoto_run3_MTE!O356</f>
        <v>299.59846132130883</v>
      </c>
      <c r="L243" s="711">
        <f>Bilans_E_AMS_Kyoto_run3_MTE!P356</f>
        <v>15.921747993621487</v>
      </c>
      <c r="M243" s="711">
        <f>Bilans_E_AMS_Kyoto_run3_MTE!Q356</f>
        <v>5.93692826914703</v>
      </c>
      <c r="N243" s="711">
        <f>Bilans_E_AMS_Kyoto_run3_MTE!R356</f>
        <v>5.0291337303525587</v>
      </c>
      <c r="O243" s="711">
        <f>Bilans_E_AMS_Kyoto_run3_MTE!S356</f>
        <v>8.748119861379541</v>
      </c>
      <c r="P243" s="711">
        <f>Bilans_E_AMS_Kyoto_run3_MTE!T356+Bilans_E_AMS_Kyoto_run3_MTE!U356</f>
        <v>0</v>
      </c>
      <c r="Q243" s="711">
        <f>Bilans_E_AMS_Kyoto_run3_MTE!V356</f>
        <v>2.7943993103273139</v>
      </c>
      <c r="R243" s="711">
        <f>Bilans_E_AMS_Kyoto_run3_MTE!W356</f>
        <v>-717.37547960636846</v>
      </c>
      <c r="S243" s="711">
        <f>Bilans_E_AMS_Kyoto_run3_MTE!X356</f>
        <v>0</v>
      </c>
      <c r="T243" s="711">
        <f>Bilans_E_AMS_Kyoto_run3_MTE!Y356</f>
        <v>0</v>
      </c>
      <c r="U243" s="711">
        <f>Bilans_E_AMS_Kyoto_run3_MTE!Z356</f>
        <v>809.97802716342164</v>
      </c>
      <c r="V243" s="701"/>
      <c r="W243" s="701"/>
    </row>
    <row r="244" spans="1:23" x14ac:dyDescent="0.25">
      <c r="A244" s="701" t="s">
        <v>496</v>
      </c>
      <c r="B244" s="701"/>
      <c r="C244" s="717" t="s">
        <v>348</v>
      </c>
      <c r="D244" s="711">
        <f>Bilans_E_AMS_Kyoto_run3_MTE!H357</f>
        <v>0</v>
      </c>
      <c r="E244" s="711">
        <f>Bilans_E_AMS_Kyoto_run3_MTE!I357</f>
        <v>0</v>
      </c>
      <c r="F244" s="711">
        <f>Bilans_E_AMS_Kyoto_run3_MTE!J357</f>
        <v>0</v>
      </c>
      <c r="G244" s="711">
        <f>Bilans_E_AMS_Kyoto_run3_MTE!K357</f>
        <v>0</v>
      </c>
      <c r="H244" s="711">
        <f>Bilans_E_AMS_Kyoto_run3_MTE!L357</f>
        <v>21.610761712544495</v>
      </c>
      <c r="I244" s="711">
        <f>Bilans_E_AMS_Kyoto_run3_MTE!M357</f>
        <v>0</v>
      </c>
      <c r="J244" s="711">
        <f>Bilans_E_AMS_Kyoto_run3_MTE!N357</f>
        <v>0</v>
      </c>
      <c r="K244" s="711">
        <f>Bilans_E_AMS_Kyoto_run3_MTE!O357</f>
        <v>0</v>
      </c>
      <c r="L244" s="711">
        <f>Bilans_E_AMS_Kyoto_run3_MTE!P357</f>
        <v>24.785104378649287</v>
      </c>
      <c r="M244" s="711">
        <f>Bilans_E_AMS_Kyoto_run3_MTE!Q357</f>
        <v>17.95996245859666</v>
      </c>
      <c r="N244" s="711">
        <f>Bilans_E_AMS_Kyoto_run3_MTE!R357</f>
        <v>0</v>
      </c>
      <c r="O244" s="711">
        <f>Bilans_E_AMS_Kyoto_run3_MTE!S357</f>
        <v>6.3205787341877624</v>
      </c>
      <c r="P244" s="711">
        <f>Bilans_E_AMS_Kyoto_run3_MTE!T357+Bilans_E_AMS_Kyoto_run3_MTE!U357</f>
        <v>14.160487242314748</v>
      </c>
      <c r="Q244" s="711">
        <f>Bilans_E_AMS_Kyoto_run3_MTE!V357</f>
        <v>14.189843081655606</v>
      </c>
      <c r="R244" s="711">
        <f>Bilans_E_AMS_Kyoto_run3_MTE!W357</f>
        <v>0</v>
      </c>
      <c r="S244" s="711">
        <f>Bilans_E_AMS_Kyoto_run3_MTE!X357</f>
        <v>-90.295152964101419</v>
      </c>
      <c r="T244" s="711">
        <f>Bilans_E_AMS_Kyoto_run3_MTE!Y357</f>
        <v>0</v>
      </c>
      <c r="U244" s="711">
        <f>Bilans_E_AMS_Kyoto_run3_MTE!Z357</f>
        <v>8.7315846438471425</v>
      </c>
      <c r="V244" s="701"/>
      <c r="W244" s="701"/>
    </row>
    <row r="245" spans="1:23" x14ac:dyDescent="0.25">
      <c r="A245" s="701" t="s">
        <v>497</v>
      </c>
      <c r="B245" s="701"/>
      <c r="C245" s="717" t="s">
        <v>349</v>
      </c>
      <c r="D245" s="711">
        <f>Bilans_E_AMS_Kyoto_run3_MTE!H358</f>
        <v>0</v>
      </c>
      <c r="E245" s="711">
        <f>Bilans_E_AMS_Kyoto_run3_MTE!I358</f>
        <v>0</v>
      </c>
      <c r="F245" s="711">
        <f>Bilans_E_AMS_Kyoto_run3_MTE!J358</f>
        <v>0</v>
      </c>
      <c r="G245" s="711">
        <f>Bilans_E_AMS_Kyoto_run3_MTE!K358</f>
        <v>0</v>
      </c>
      <c r="H245" s="711">
        <f>Bilans_E_AMS_Kyoto_run3_MTE!L358</f>
        <v>0</v>
      </c>
      <c r="I245" s="711">
        <f>Bilans_E_AMS_Kyoto_run3_MTE!M358</f>
        <v>0</v>
      </c>
      <c r="J245" s="711">
        <f>Bilans_E_AMS_Kyoto_run3_MTE!N358</f>
        <v>0</v>
      </c>
      <c r="K245" s="711">
        <f>Bilans_E_AMS_Kyoto_run3_MTE!O358</f>
        <v>0</v>
      </c>
      <c r="L245" s="711">
        <f>Bilans_E_AMS_Kyoto_run3_MTE!P358</f>
        <v>95.025274759778867</v>
      </c>
      <c r="M245" s="711">
        <f>Bilans_E_AMS_Kyoto_run3_MTE!Q358</f>
        <v>10.678076799137498</v>
      </c>
      <c r="N245" s="711">
        <f>Bilans_E_AMS_Kyoto_run3_MTE!R358</f>
        <v>0</v>
      </c>
      <c r="O245" s="711">
        <f>Bilans_E_AMS_Kyoto_run3_MTE!S358</f>
        <v>-52.932106946617139</v>
      </c>
      <c r="P245" s="711">
        <f>Bilans_E_AMS_Kyoto_run3_MTE!T358+Bilans_E_AMS_Kyoto_run3_MTE!U358</f>
        <v>0</v>
      </c>
      <c r="Q245" s="711">
        <f>Bilans_E_AMS_Kyoto_run3_MTE!V358</f>
        <v>0</v>
      </c>
      <c r="R245" s="711">
        <f>Bilans_E_AMS_Kyoto_run3_MTE!W358</f>
        <v>0</v>
      </c>
      <c r="S245" s="711">
        <f>Bilans_E_AMS_Kyoto_run3_MTE!X358</f>
        <v>0</v>
      </c>
      <c r="T245" s="711">
        <f>Bilans_E_AMS_Kyoto_run3_MTE!Y358</f>
        <v>0</v>
      </c>
      <c r="U245" s="711">
        <f>Bilans_E_AMS_Kyoto_run3_MTE!Z358</f>
        <v>52.771244612299228</v>
      </c>
      <c r="V245" s="701"/>
      <c r="W245" s="701"/>
    </row>
    <row r="246" spans="1:23" x14ac:dyDescent="0.25">
      <c r="A246" s="701" t="s">
        <v>498</v>
      </c>
      <c r="B246" s="701"/>
      <c r="C246" s="717" t="s">
        <v>350</v>
      </c>
      <c r="D246" s="711">
        <f>Bilans_E_AMS_Kyoto_run3_MTE!H359</f>
        <v>0</v>
      </c>
      <c r="E246" s="711">
        <f>Bilans_E_AMS_Kyoto_run3_MTE!I359</f>
        <v>0</v>
      </c>
      <c r="F246" s="711">
        <f>Bilans_E_AMS_Kyoto_run3_MTE!J359</f>
        <v>0</v>
      </c>
      <c r="G246" s="711">
        <f>Bilans_E_AMS_Kyoto_run3_MTE!K359</f>
        <v>0</v>
      </c>
      <c r="H246" s="711">
        <f>Bilans_E_AMS_Kyoto_run3_MTE!L359</f>
        <v>0</v>
      </c>
      <c r="I246" s="711">
        <f>Bilans_E_AMS_Kyoto_run3_MTE!M359</f>
        <v>-0.61307452578826904</v>
      </c>
      <c r="J246" s="711">
        <f>Bilans_E_AMS_Kyoto_run3_MTE!N359</f>
        <v>0</v>
      </c>
      <c r="K246" s="711">
        <f>Bilans_E_AMS_Kyoto_run3_MTE!O359</f>
        <v>0</v>
      </c>
      <c r="L246" s="711">
        <f>Bilans_E_AMS_Kyoto_run3_MTE!P359</f>
        <v>0</v>
      </c>
      <c r="M246" s="711">
        <f>Bilans_E_AMS_Kyoto_run3_MTE!Q359</f>
        <v>0</v>
      </c>
      <c r="N246" s="711">
        <f>Bilans_E_AMS_Kyoto_run3_MTE!R359</f>
        <v>0</v>
      </c>
      <c r="O246" s="711">
        <f>Bilans_E_AMS_Kyoto_run3_MTE!S359</f>
        <v>0</v>
      </c>
      <c r="P246" s="711">
        <f>Bilans_E_AMS_Kyoto_run3_MTE!T359+Bilans_E_AMS_Kyoto_run3_MTE!U359</f>
        <v>0</v>
      </c>
      <c r="Q246" s="711">
        <f>Bilans_E_AMS_Kyoto_run3_MTE!V359</f>
        <v>0</v>
      </c>
      <c r="R246" s="711">
        <f>Bilans_E_AMS_Kyoto_run3_MTE!W359</f>
        <v>0</v>
      </c>
      <c r="S246" s="711">
        <f>Bilans_E_AMS_Kyoto_run3_MTE!X359</f>
        <v>0</v>
      </c>
      <c r="T246" s="711">
        <f>Bilans_E_AMS_Kyoto_run3_MTE!Y359</f>
        <v>0.85149239692815148</v>
      </c>
      <c r="U246" s="711">
        <f>Bilans_E_AMS_Kyoto_run3_MTE!Z359</f>
        <v>0.23841787113988244</v>
      </c>
      <c r="V246" s="701"/>
      <c r="W246" s="701"/>
    </row>
    <row r="247" spans="1:23" x14ac:dyDescent="0.25">
      <c r="A247" s="701" t="s">
        <v>499</v>
      </c>
      <c r="B247" s="701"/>
      <c r="C247" s="717" t="s">
        <v>72</v>
      </c>
      <c r="D247" s="711">
        <f>Bilans_E_AMS_Kyoto_run3_MTE!H360</f>
        <v>0</v>
      </c>
      <c r="E247" s="711">
        <f>Bilans_E_AMS_Kyoto_run3_MTE!I360</f>
        <v>325.09767157974136</v>
      </c>
      <c r="F247" s="711">
        <f>Bilans_E_AMS_Kyoto_run3_MTE!J360</f>
        <v>-321.84669486394392</v>
      </c>
      <c r="G247" s="711">
        <f>Bilans_E_AMS_Kyoto_run3_MTE!K360</f>
        <v>0</v>
      </c>
      <c r="H247" s="711">
        <f>Bilans_E_AMS_Kyoto_run3_MTE!L360</f>
        <v>0</v>
      </c>
      <c r="I247" s="711">
        <f>Bilans_E_AMS_Kyoto_run3_MTE!M360</f>
        <v>0</v>
      </c>
      <c r="J247" s="711">
        <f>Bilans_E_AMS_Kyoto_run3_MTE!N360</f>
        <v>0</v>
      </c>
      <c r="K247" s="711">
        <f>Bilans_E_AMS_Kyoto_run3_MTE!O360</f>
        <v>0</v>
      </c>
      <c r="L247" s="711">
        <f>Bilans_E_AMS_Kyoto_run3_MTE!P360</f>
        <v>0</v>
      </c>
      <c r="M247" s="711">
        <f>Bilans_E_AMS_Kyoto_run3_MTE!Q360</f>
        <v>0</v>
      </c>
      <c r="N247" s="711">
        <f>Bilans_E_AMS_Kyoto_run3_MTE!R360</f>
        <v>0</v>
      </c>
      <c r="O247" s="711">
        <f>Bilans_E_AMS_Kyoto_run3_MTE!S360</f>
        <v>0</v>
      </c>
      <c r="P247" s="711">
        <f>Bilans_E_AMS_Kyoto_run3_MTE!T360+Bilans_E_AMS_Kyoto_run3_MTE!U360</f>
        <v>0</v>
      </c>
      <c r="Q247" s="711">
        <f>Bilans_E_AMS_Kyoto_run3_MTE!V360</f>
        <v>0</v>
      </c>
      <c r="R247" s="711">
        <f>Bilans_E_AMS_Kyoto_run3_MTE!W360</f>
        <v>0</v>
      </c>
      <c r="S247" s="711">
        <f>Bilans_E_AMS_Kyoto_run3_MTE!X360</f>
        <v>0</v>
      </c>
      <c r="T247" s="711">
        <f>Bilans_E_AMS_Kyoto_run3_MTE!Y360</f>
        <v>0</v>
      </c>
      <c r="U247" s="711">
        <f>Bilans_E_AMS_Kyoto_run3_MTE!Z360</f>
        <v>3.2509767157974352</v>
      </c>
      <c r="V247" s="701"/>
      <c r="W247" s="701"/>
    </row>
    <row r="248" spans="1:23" x14ac:dyDescent="0.25">
      <c r="A248" s="701" t="s">
        <v>500</v>
      </c>
      <c r="B248" s="701"/>
      <c r="C248" s="717" t="s">
        <v>351</v>
      </c>
      <c r="D248" s="711">
        <f>Bilans_E_AMS_Kyoto_run3_MTE!H361</f>
        <v>0</v>
      </c>
      <c r="E248" s="711">
        <f>Bilans_E_AMS_Kyoto_run3_MTE!I361</f>
        <v>0</v>
      </c>
      <c r="F248" s="711">
        <f>Bilans_E_AMS_Kyoto_run3_MTE!J361</f>
        <v>0</v>
      </c>
      <c r="G248" s="711">
        <f>Bilans_E_AMS_Kyoto_run3_MTE!K361</f>
        <v>0</v>
      </c>
      <c r="H248" s="711">
        <f>Bilans_E_AMS_Kyoto_run3_MTE!L361</f>
        <v>0</v>
      </c>
      <c r="I248" s="711">
        <f>Bilans_E_AMS_Kyoto_run3_MTE!M361</f>
        <v>0</v>
      </c>
      <c r="J248" s="711">
        <f>Bilans_E_AMS_Kyoto_run3_MTE!N361</f>
        <v>0</v>
      </c>
      <c r="K248" s="711">
        <f>Bilans_E_AMS_Kyoto_run3_MTE!O361</f>
        <v>0</v>
      </c>
      <c r="L248" s="711">
        <f>Bilans_E_AMS_Kyoto_run3_MTE!P361</f>
        <v>83.277924958812179</v>
      </c>
      <c r="M248" s="711">
        <f>Bilans_E_AMS_Kyoto_run3_MTE!Q361</f>
        <v>7.2727272727272725</v>
      </c>
      <c r="N248" s="711">
        <f>Bilans_E_AMS_Kyoto_run3_MTE!R361</f>
        <v>-50.501152166962441</v>
      </c>
      <c r="O248" s="711">
        <f>Bilans_E_AMS_Kyoto_run3_MTE!S361</f>
        <v>0</v>
      </c>
      <c r="P248" s="711">
        <f>Bilans_E_AMS_Kyoto_run3_MTE!T361+Bilans_E_AMS_Kyoto_run3_MTE!U361</f>
        <v>0</v>
      </c>
      <c r="Q248" s="711">
        <f>Bilans_E_AMS_Kyoto_run3_MTE!V361</f>
        <v>0</v>
      </c>
      <c r="R248" s="711">
        <f>Bilans_E_AMS_Kyoto_run3_MTE!W361</f>
        <v>0</v>
      </c>
      <c r="S248" s="711">
        <f>Bilans_E_AMS_Kyoto_run3_MTE!X361</f>
        <v>0</v>
      </c>
      <c r="T248" s="711">
        <f>Bilans_E_AMS_Kyoto_run3_MTE!Y361</f>
        <v>0</v>
      </c>
      <c r="U248" s="711">
        <f>Bilans_E_AMS_Kyoto_run3_MTE!Z361</f>
        <v>40.049500064577003</v>
      </c>
      <c r="V248" s="701"/>
      <c r="W248" s="701"/>
    </row>
    <row r="249" spans="1:23" x14ac:dyDescent="0.25">
      <c r="A249" s="701" t="s">
        <v>501</v>
      </c>
      <c r="B249" s="701"/>
      <c r="C249" s="717" t="s">
        <v>352</v>
      </c>
      <c r="D249" s="711">
        <f>Bilans_E_AMS_Kyoto_run3_MTE!H362</f>
        <v>0</v>
      </c>
      <c r="E249" s="711">
        <f>Bilans_E_AMS_Kyoto_run3_MTE!I362</f>
        <v>0</v>
      </c>
      <c r="F249" s="711">
        <f>Bilans_E_AMS_Kyoto_run3_MTE!J362</f>
        <v>0</v>
      </c>
      <c r="G249" s="711">
        <f>Bilans_E_AMS_Kyoto_run3_MTE!K362</f>
        <v>-2.9087163505255127</v>
      </c>
      <c r="H249" s="711">
        <f>Bilans_E_AMS_Kyoto_run3_MTE!L362</f>
        <v>0</v>
      </c>
      <c r="I249" s="711">
        <f>Bilans_E_AMS_Kyoto_run3_MTE!M362</f>
        <v>0</v>
      </c>
      <c r="J249" s="711">
        <f>Bilans_E_AMS_Kyoto_run3_MTE!N362</f>
        <v>0</v>
      </c>
      <c r="K249" s="711">
        <f>Bilans_E_AMS_Kyoto_run3_MTE!O362</f>
        <v>0</v>
      </c>
      <c r="L249" s="711">
        <f>Bilans_E_AMS_Kyoto_run3_MTE!P362</f>
        <v>0</v>
      </c>
      <c r="M249" s="711">
        <f>Bilans_E_AMS_Kyoto_run3_MTE!Q362</f>
        <v>0</v>
      </c>
      <c r="N249" s="711">
        <f>Bilans_E_AMS_Kyoto_run3_MTE!R362</f>
        <v>0</v>
      </c>
      <c r="O249" s="711">
        <f>Bilans_E_AMS_Kyoto_run3_MTE!S362</f>
        <v>0</v>
      </c>
      <c r="P249" s="711">
        <f>Bilans_E_AMS_Kyoto_run3_MTE!T362+Bilans_E_AMS_Kyoto_run3_MTE!U362</f>
        <v>0</v>
      </c>
      <c r="Q249" s="711">
        <f>Bilans_E_AMS_Kyoto_run3_MTE!V362</f>
        <v>0</v>
      </c>
      <c r="R249" s="711">
        <f>Bilans_E_AMS_Kyoto_run3_MTE!W362</f>
        <v>0</v>
      </c>
      <c r="S249" s="711">
        <f>Bilans_E_AMS_Kyoto_run3_MTE!X362</f>
        <v>0</v>
      </c>
      <c r="T249" s="711">
        <f>Bilans_E_AMS_Kyoto_run3_MTE!Y362</f>
        <v>4.8495879855780641</v>
      </c>
      <c r="U249" s="711">
        <f>Bilans_E_AMS_Kyoto_run3_MTE!Z362</f>
        <v>1.9408716350525514</v>
      </c>
      <c r="V249" s="701"/>
      <c r="W249" s="701"/>
    </row>
    <row r="250" spans="1:23" x14ac:dyDescent="0.25">
      <c r="A250" s="701" t="s">
        <v>502</v>
      </c>
      <c r="B250" s="701"/>
      <c r="C250" s="717" t="s">
        <v>73</v>
      </c>
      <c r="D250" s="711">
        <f>Bilans_E_AMS_Kyoto_run3_MTE!H363</f>
        <v>0</v>
      </c>
      <c r="E250" s="711">
        <f>Bilans_E_AMS_Kyoto_run3_MTE!I363</f>
        <v>0</v>
      </c>
      <c r="F250" s="711">
        <f>Bilans_E_AMS_Kyoto_run3_MTE!J363</f>
        <v>0</v>
      </c>
      <c r="G250" s="711">
        <f>Bilans_E_AMS_Kyoto_run3_MTE!K363</f>
        <v>0</v>
      </c>
      <c r="H250" s="711">
        <f>Bilans_E_AMS_Kyoto_run3_MTE!L363</f>
        <v>0</v>
      </c>
      <c r="I250" s="711">
        <f>Bilans_E_AMS_Kyoto_run3_MTE!M363</f>
        <v>0</v>
      </c>
      <c r="J250" s="711">
        <f>Bilans_E_AMS_Kyoto_run3_MTE!N363</f>
        <v>0</v>
      </c>
      <c r="K250" s="711">
        <f>Bilans_E_AMS_Kyoto_run3_MTE!O363</f>
        <v>0</v>
      </c>
      <c r="L250" s="711">
        <f>Bilans_E_AMS_Kyoto_run3_MTE!P363</f>
        <v>0</v>
      </c>
      <c r="M250" s="711">
        <f>Bilans_E_AMS_Kyoto_run3_MTE!Q363</f>
        <v>0</v>
      </c>
      <c r="N250" s="711">
        <f>Bilans_E_AMS_Kyoto_run3_MTE!R363</f>
        <v>0</v>
      </c>
      <c r="O250" s="711">
        <f>Bilans_E_AMS_Kyoto_run3_MTE!S363</f>
        <v>0</v>
      </c>
      <c r="P250" s="711">
        <f>Bilans_E_AMS_Kyoto_run3_MTE!T363+Bilans_E_AMS_Kyoto_run3_MTE!U363</f>
        <v>0</v>
      </c>
      <c r="Q250" s="711">
        <f>Bilans_E_AMS_Kyoto_run3_MTE!V363</f>
        <v>0</v>
      </c>
      <c r="R250" s="711">
        <f>Bilans_E_AMS_Kyoto_run3_MTE!W363</f>
        <v>32.352563963788228</v>
      </c>
      <c r="S250" s="711">
        <f>Bilans_E_AMS_Kyoto_run3_MTE!X363</f>
        <v>0</v>
      </c>
      <c r="T250" s="711">
        <f>Bilans_E_AMS_Kyoto_run3_MTE!Y363</f>
        <v>-21.595336445828643</v>
      </c>
      <c r="U250" s="711">
        <f>Bilans_E_AMS_Kyoto_run3_MTE!Z363</f>
        <v>10.757227517959585</v>
      </c>
      <c r="V250" s="701"/>
      <c r="W250" s="701"/>
    </row>
    <row r="251" spans="1:23" x14ac:dyDescent="0.25">
      <c r="A251" s="701" t="s">
        <v>503</v>
      </c>
      <c r="B251" s="701"/>
      <c r="C251" s="717" t="s">
        <v>353</v>
      </c>
      <c r="D251" s="711">
        <f>Bilans_E_AMS_Kyoto_run3_MTE!H364</f>
        <v>9.0096813281249997</v>
      </c>
      <c r="E251" s="711">
        <f>Bilans_E_AMS_Kyoto_run3_MTE!I364</f>
        <v>-11.398239160930634</v>
      </c>
      <c r="F251" s="711">
        <f>Bilans_E_AMS_Kyoto_run3_MTE!J364</f>
        <v>15.062765425262727</v>
      </c>
      <c r="G251" s="711">
        <f>Bilans_E_AMS_Kyoto_run3_MTE!K364</f>
        <v>0</v>
      </c>
      <c r="H251" s="711">
        <f>Bilans_E_AMS_Kyoto_run3_MTE!L364</f>
        <v>0</v>
      </c>
      <c r="I251" s="711">
        <f>Bilans_E_AMS_Kyoto_run3_MTE!M364</f>
        <v>0</v>
      </c>
      <c r="J251" s="711">
        <f>Bilans_E_AMS_Kyoto_run3_MTE!N364</f>
        <v>0</v>
      </c>
      <c r="K251" s="711">
        <f>Bilans_E_AMS_Kyoto_run3_MTE!O364</f>
        <v>0</v>
      </c>
      <c r="L251" s="711">
        <f>Bilans_E_AMS_Kyoto_run3_MTE!P364</f>
        <v>0</v>
      </c>
      <c r="M251" s="711">
        <f>Bilans_E_AMS_Kyoto_run3_MTE!Q364</f>
        <v>0</v>
      </c>
      <c r="N251" s="711">
        <f>Bilans_E_AMS_Kyoto_run3_MTE!R364</f>
        <v>0</v>
      </c>
      <c r="O251" s="711">
        <f>Bilans_E_AMS_Kyoto_run3_MTE!S364</f>
        <v>0</v>
      </c>
      <c r="P251" s="711">
        <f>Bilans_E_AMS_Kyoto_run3_MTE!T364+Bilans_E_AMS_Kyoto_run3_MTE!U364</f>
        <v>0</v>
      </c>
      <c r="Q251" s="711">
        <f>Bilans_E_AMS_Kyoto_run3_MTE!V364</f>
        <v>0</v>
      </c>
      <c r="R251" s="711">
        <f>Bilans_E_AMS_Kyoto_run3_MTE!W364</f>
        <v>0</v>
      </c>
      <c r="S251" s="711">
        <f>Bilans_E_AMS_Kyoto_run3_MTE!X364</f>
        <v>0</v>
      </c>
      <c r="T251" s="711">
        <f>Bilans_E_AMS_Kyoto_run3_MTE!Y364</f>
        <v>0</v>
      </c>
      <c r="U251" s="711">
        <f>Bilans_E_AMS_Kyoto_run3_MTE!Z364</f>
        <v>12.674207592457092</v>
      </c>
      <c r="V251" s="701"/>
      <c r="W251" s="701"/>
    </row>
    <row r="252" spans="1:23" x14ac:dyDescent="0.25">
      <c r="A252" s="701" t="s">
        <v>504</v>
      </c>
      <c r="B252" s="701"/>
      <c r="C252" s="717" t="s">
        <v>75</v>
      </c>
      <c r="D252" s="711">
        <f>Bilans_E_AMS_Kyoto_run3_MTE!H365</f>
        <v>3.5037649609375006</v>
      </c>
      <c r="E252" s="711">
        <f>Bilans_E_AMS_Kyoto_run3_MTE!I365</f>
        <v>0</v>
      </c>
      <c r="F252" s="711">
        <f>Bilans_E_AMS_Kyoto_run3_MTE!J365</f>
        <v>11.25597354471723</v>
      </c>
      <c r="G252" s="711">
        <f>Bilans_E_AMS_Kyoto_run3_MTE!K365</f>
        <v>0</v>
      </c>
      <c r="H252" s="711">
        <f>Bilans_E_AMS_Kyoto_run3_MTE!L365</f>
        <v>0</v>
      </c>
      <c r="I252" s="711">
        <f>Bilans_E_AMS_Kyoto_run3_MTE!M365</f>
        <v>0</v>
      </c>
      <c r="J252" s="711">
        <f>Bilans_E_AMS_Kyoto_run3_MTE!N365</f>
        <v>0</v>
      </c>
      <c r="K252" s="711">
        <f>Bilans_E_AMS_Kyoto_run3_MTE!O365</f>
        <v>0</v>
      </c>
      <c r="L252" s="711">
        <f>Bilans_E_AMS_Kyoto_run3_MTE!P365</f>
        <v>0</v>
      </c>
      <c r="M252" s="711">
        <f>Bilans_E_AMS_Kyoto_run3_MTE!Q365</f>
        <v>0</v>
      </c>
      <c r="N252" s="711">
        <f>Bilans_E_AMS_Kyoto_run3_MTE!R365</f>
        <v>0</v>
      </c>
      <c r="O252" s="711">
        <f>Bilans_E_AMS_Kyoto_run3_MTE!S365</f>
        <v>0</v>
      </c>
      <c r="P252" s="711">
        <f>Bilans_E_AMS_Kyoto_run3_MTE!T365+Bilans_E_AMS_Kyoto_run3_MTE!U365</f>
        <v>0</v>
      </c>
      <c r="Q252" s="711">
        <f>Bilans_E_AMS_Kyoto_run3_MTE!V365</f>
        <v>0</v>
      </c>
      <c r="R252" s="711">
        <f>Bilans_E_AMS_Kyoto_run3_MTE!W365</f>
        <v>35.053658012222463</v>
      </c>
      <c r="S252" s="711">
        <f>Bilans_E_AMS_Kyoto_run3_MTE!X365</f>
        <v>0</v>
      </c>
      <c r="T252" s="711">
        <f>Bilans_E_AMS_Kyoto_run3_MTE!Y365</f>
        <v>3.1951837496115347</v>
      </c>
      <c r="U252" s="711">
        <f>Bilans_E_AMS_Kyoto_run3_MTE!Z365</f>
        <v>53.008580267488732</v>
      </c>
      <c r="V252" s="701"/>
      <c r="W252" s="701"/>
    </row>
    <row r="253" spans="1:23" x14ac:dyDescent="0.25">
      <c r="A253" s="701" t="s">
        <v>505</v>
      </c>
      <c r="B253" s="701"/>
      <c r="C253" s="717" t="s">
        <v>76</v>
      </c>
      <c r="D253" s="711">
        <f>Bilans_E_AMS_Kyoto_run3_MTE!H366</f>
        <v>0</v>
      </c>
      <c r="E253" s="711">
        <f>Bilans_E_AMS_Kyoto_run3_MTE!I366</f>
        <v>0</v>
      </c>
      <c r="F253" s="711">
        <f>Bilans_E_AMS_Kyoto_run3_MTE!J366</f>
        <v>0</v>
      </c>
      <c r="G253" s="711">
        <f>Bilans_E_AMS_Kyoto_run3_MTE!K366</f>
        <v>0</v>
      </c>
      <c r="H253" s="711">
        <f>Bilans_E_AMS_Kyoto_run3_MTE!L366</f>
        <v>2.3417362535553745</v>
      </c>
      <c r="I253" s="711">
        <f>Bilans_E_AMS_Kyoto_run3_MTE!M366</f>
        <v>0</v>
      </c>
      <c r="J253" s="711">
        <f>Bilans_E_AMS_Kyoto_run3_MTE!N366</f>
        <v>0</v>
      </c>
      <c r="K253" s="711">
        <f>Bilans_E_AMS_Kyoto_run3_MTE!O366</f>
        <v>0</v>
      </c>
      <c r="L253" s="711">
        <f>Bilans_E_AMS_Kyoto_run3_MTE!P366</f>
        <v>0</v>
      </c>
      <c r="M253" s="711">
        <f>Bilans_E_AMS_Kyoto_run3_MTE!Q366</f>
        <v>0</v>
      </c>
      <c r="N253" s="711">
        <f>Bilans_E_AMS_Kyoto_run3_MTE!R366</f>
        <v>0</v>
      </c>
      <c r="O253" s="711">
        <f>Bilans_E_AMS_Kyoto_run3_MTE!S366</f>
        <v>0.58543406338884363</v>
      </c>
      <c r="P253" s="711">
        <f>Bilans_E_AMS_Kyoto_run3_MTE!T366+Bilans_E_AMS_Kyoto_run3_MTE!U366</f>
        <v>0</v>
      </c>
      <c r="Q253" s="711">
        <f>Bilans_E_AMS_Kyoto_run3_MTE!V366</f>
        <v>0</v>
      </c>
      <c r="R253" s="711">
        <f>Bilans_E_AMS_Kyoto_run3_MTE!W366</f>
        <v>50.833401683684251</v>
      </c>
      <c r="S253" s="711">
        <f>Bilans_E_AMS_Kyoto_run3_MTE!X366</f>
        <v>7.00152240179274</v>
      </c>
      <c r="T253" s="711">
        <f>Bilans_E_AMS_Kyoto_run3_MTE!Y366</f>
        <v>0</v>
      </c>
      <c r="U253" s="711">
        <f>Bilans_E_AMS_Kyoto_run3_MTE!Z366</f>
        <v>60.762094402421212</v>
      </c>
      <c r="V253" s="701"/>
      <c r="W253" s="701"/>
    </row>
    <row r="254" spans="1:23" x14ac:dyDescent="0.25">
      <c r="A254" s="701" t="s">
        <v>506</v>
      </c>
      <c r="B254" s="701"/>
      <c r="C254" s="713" t="s">
        <v>77</v>
      </c>
      <c r="D254" s="714">
        <f>Bilans_E_AMS_Kyoto_run3_MTE!H367</f>
        <v>12.5134462890625</v>
      </c>
      <c r="E254" s="714">
        <f>Bilans_E_AMS_Kyoto_run3_MTE!I367</f>
        <v>313.69943241881072</v>
      </c>
      <c r="F254" s="714">
        <f>Bilans_E_AMS_Kyoto_run3_MTE!J367</f>
        <v>-294.72573860835513</v>
      </c>
      <c r="G254" s="714">
        <f>Bilans_E_AMS_Kyoto_run3_MTE!K367</f>
        <v>-2.9087163505255127</v>
      </c>
      <c r="H254" s="714">
        <f>Bilans_E_AMS_Kyoto_run3_MTE!L367</f>
        <v>49.730996964144317</v>
      </c>
      <c r="I254" s="714">
        <f>Bilans_E_AMS_Kyoto_run3_MTE!M367</f>
        <v>-0.61307452578826904</v>
      </c>
      <c r="J254" s="714">
        <f>Bilans_E_AMS_Kyoto_run3_MTE!N367</f>
        <v>1162.7439999999999</v>
      </c>
      <c r="K254" s="714">
        <f>Bilans_E_AMS_Kyoto_run3_MTE!O367</f>
        <v>299.59846132130883</v>
      </c>
      <c r="L254" s="714">
        <f>Bilans_E_AMS_Kyoto_run3_MTE!P367</f>
        <v>219.01005209086182</v>
      </c>
      <c r="M254" s="714">
        <f>Bilans_E_AMS_Kyoto_run3_MTE!Q367</f>
        <v>41.847694799608462</v>
      </c>
      <c r="N254" s="714">
        <f>Bilans_E_AMS_Kyoto_run3_MTE!R367</f>
        <v>-45.472018436609886</v>
      </c>
      <c r="O254" s="714">
        <f>Bilans_E_AMS_Kyoto_run3_MTE!S367</f>
        <v>-37.277974287660989</v>
      </c>
      <c r="P254" s="714">
        <f>Bilans_E_AMS_Kyoto_run3_MTE!T367+Bilans_E_AMS_Kyoto_run3_MTE!U367</f>
        <v>14.160487242314748</v>
      </c>
      <c r="Q254" s="714">
        <f>Bilans_E_AMS_Kyoto_run3_MTE!V367</f>
        <v>16.984242391982921</v>
      </c>
      <c r="R254" s="714">
        <f>Bilans_E_AMS_Kyoto_run3_MTE!W367</f>
        <v>-599.13585594667347</v>
      </c>
      <c r="S254" s="714">
        <f>Bilans_E_AMS_Kyoto_run3_MTE!X367</f>
        <v>-83.293630562308678</v>
      </c>
      <c r="T254" s="714">
        <f>Bilans_E_AMS_Kyoto_run3_MTE!Y367</f>
        <v>-12.699072313710893</v>
      </c>
      <c r="U254" s="714">
        <f>Bilans_E_AMS_Kyoto_run3_MTE!Z367</f>
        <v>1054.1627324864614</v>
      </c>
      <c r="V254" s="701"/>
      <c r="W254" s="701"/>
    </row>
    <row r="255" spans="1:23" x14ac:dyDescent="0.25">
      <c r="A255" s="701"/>
      <c r="B255" s="701"/>
      <c r="C255" s="715"/>
      <c r="D255" s="716"/>
      <c r="E255" s="716"/>
      <c r="F255" s="716"/>
      <c r="G255" s="716"/>
      <c r="H255" s="716"/>
      <c r="I255" s="716"/>
      <c r="J255" s="716"/>
      <c r="K255" s="716"/>
      <c r="L255" s="716"/>
      <c r="M255" s="716"/>
      <c r="N255" s="716"/>
      <c r="O255" s="716"/>
      <c r="P255" s="716">
        <f>Bilans_E_AMS_Kyoto_run3_MTE!T368+Bilans_E_AMS_Kyoto_run3_MTE!U368</f>
        <v>0</v>
      </c>
      <c r="Q255" s="716"/>
      <c r="R255" s="716"/>
      <c r="S255" s="716"/>
      <c r="T255" s="716"/>
      <c r="U255" s="716"/>
      <c r="V255" s="701"/>
      <c r="W255" s="701"/>
    </row>
    <row r="256" spans="1:23" x14ac:dyDescent="0.25">
      <c r="A256" s="701" t="s">
        <v>507</v>
      </c>
      <c r="B256" s="701"/>
      <c r="C256" s="717" t="s">
        <v>78</v>
      </c>
      <c r="D256" s="711">
        <f>Bilans_E_AMS_Kyoto_run3_MTE!H369</f>
        <v>0.59552978515624999</v>
      </c>
      <c r="E256" s="711">
        <f>Bilans_E_AMS_Kyoto_run3_MTE!I369</f>
        <v>0</v>
      </c>
      <c r="F256" s="711">
        <f>Bilans_E_AMS_Kyoto_run3_MTE!J369</f>
        <v>6.9248578185022795</v>
      </c>
      <c r="G256" s="711">
        <f>Bilans_E_AMS_Kyoto_run3_MTE!K369</f>
        <v>0</v>
      </c>
      <c r="H256" s="711">
        <f>Bilans_E_AMS_Kyoto_run3_MTE!L369</f>
        <v>56.056015641570937</v>
      </c>
      <c r="I256" s="711">
        <f>Bilans_E_AMS_Kyoto_run3_MTE!M369</f>
        <v>0</v>
      </c>
      <c r="J256" s="711">
        <f>Bilans_E_AMS_Kyoto_run3_MTE!N369</f>
        <v>0</v>
      </c>
      <c r="K256" s="711">
        <f>Bilans_E_AMS_Kyoto_run3_MTE!O369</f>
        <v>0</v>
      </c>
      <c r="L256" s="711">
        <f>Bilans_E_AMS_Kyoto_run3_MTE!P369</f>
        <v>38.482812658254467</v>
      </c>
      <c r="M256" s="711">
        <f>Bilans_E_AMS_Kyoto_run3_MTE!Q369</f>
        <v>9.5007953936584837</v>
      </c>
      <c r="N256" s="711">
        <f>Bilans_E_AMS_Kyoto_run3_MTE!R369</f>
        <v>0.86864625843500676</v>
      </c>
      <c r="O256" s="711">
        <f>Bilans_E_AMS_Kyoto_run3_MTE!S369</f>
        <v>14.047969700298927</v>
      </c>
      <c r="P256" s="711">
        <f>Bilans_E_AMS_Kyoto_run3_MTE!T369+Bilans_E_AMS_Kyoto_run3_MTE!U369</f>
        <v>7.96939501953125</v>
      </c>
      <c r="Q256" s="711">
        <f>Bilans_E_AMS_Kyoto_run3_MTE!V369</f>
        <v>6.9244826847420892E-4</v>
      </c>
      <c r="R256" s="711">
        <f>Bilans_E_AMS_Kyoto_run3_MTE!W369</f>
        <v>153.63376409766943</v>
      </c>
      <c r="S256" s="711">
        <f>Bilans_E_AMS_Kyoto_run3_MTE!X369</f>
        <v>19.531581585374159</v>
      </c>
      <c r="T256" s="711">
        <f>Bilans_E_AMS_Kyoto_run3_MTE!Y369</f>
        <v>7.0234057617187498</v>
      </c>
      <c r="U256" s="711">
        <f>Bilans_E_AMS_Kyoto_run3_MTE!Z369</f>
        <v>314.63546616843843</v>
      </c>
      <c r="V256" s="701"/>
      <c r="W256" s="701"/>
    </row>
    <row r="257" spans="1:23" x14ac:dyDescent="0.25">
      <c r="A257" s="701" t="s">
        <v>508</v>
      </c>
      <c r="B257" s="701"/>
      <c r="C257" s="717" t="s">
        <v>79</v>
      </c>
      <c r="D257" s="711">
        <f>Bilans_E_AMS_Kyoto_run3_MTE!H370</f>
        <v>0</v>
      </c>
      <c r="E257" s="711">
        <f>Bilans_E_AMS_Kyoto_run3_MTE!I370</f>
        <v>0</v>
      </c>
      <c r="F257" s="711">
        <f>Bilans_E_AMS_Kyoto_run3_MTE!J370</f>
        <v>211.71015331690265</v>
      </c>
      <c r="G257" s="711">
        <f>Bilans_E_AMS_Kyoto_run3_MTE!K370</f>
        <v>0</v>
      </c>
      <c r="H257" s="711">
        <f>Bilans_E_AMS_Kyoto_run3_MTE!L370</f>
        <v>6.084888759318634</v>
      </c>
      <c r="I257" s="711">
        <f>Bilans_E_AMS_Kyoto_run3_MTE!M370</f>
        <v>0</v>
      </c>
      <c r="J257" s="711">
        <f>Bilans_E_AMS_Kyoto_run3_MTE!N370</f>
        <v>0</v>
      </c>
      <c r="K257" s="711">
        <f>Bilans_E_AMS_Kyoto_run3_MTE!O370</f>
        <v>0</v>
      </c>
      <c r="L257" s="711">
        <f>Bilans_E_AMS_Kyoto_run3_MTE!P370</f>
        <v>0</v>
      </c>
      <c r="M257" s="711">
        <f>Bilans_E_AMS_Kyoto_run3_MTE!Q370</f>
        <v>0</v>
      </c>
      <c r="N257" s="711">
        <f>Bilans_E_AMS_Kyoto_run3_MTE!R370</f>
        <v>41.017765544975838</v>
      </c>
      <c r="O257" s="711">
        <f>Bilans_E_AMS_Kyoto_run3_MTE!S370</f>
        <v>1.5212221898296585</v>
      </c>
      <c r="P257" s="711">
        <f>Bilans_E_AMS_Kyoto_run3_MTE!T370+Bilans_E_AMS_Kyoto_run3_MTE!U370</f>
        <v>0</v>
      </c>
      <c r="Q257" s="711">
        <f>Bilans_E_AMS_Kyoto_run3_MTE!V370</f>
        <v>0</v>
      </c>
      <c r="R257" s="711">
        <f>Bilans_E_AMS_Kyoto_run3_MTE!W370</f>
        <v>64.85163743776981</v>
      </c>
      <c r="S257" s="711">
        <f>Bilans_E_AMS_Kyoto_run3_MTE!X370</f>
        <v>0</v>
      </c>
      <c r="T257" s="711">
        <f>Bilans_E_AMS_Kyoto_run3_MTE!Y370</f>
        <v>2.5022787980989989</v>
      </c>
      <c r="U257" s="711">
        <f>Bilans_E_AMS_Kyoto_run3_MTE!Z370</f>
        <v>327.68794604689555</v>
      </c>
      <c r="V257" s="701"/>
      <c r="W257" s="701"/>
    </row>
    <row r="258" spans="1:23" x14ac:dyDescent="0.25">
      <c r="A258" s="701" t="s">
        <v>509</v>
      </c>
      <c r="B258" s="701"/>
      <c r="C258" s="717" t="s">
        <v>80</v>
      </c>
      <c r="D258" s="711">
        <f>Bilans_E_AMS_Kyoto_run3_MTE!H371</f>
        <v>0</v>
      </c>
      <c r="E258" s="711">
        <f>Bilans_E_AMS_Kyoto_run3_MTE!I371</f>
        <v>0</v>
      </c>
      <c r="F258" s="711">
        <f>Bilans_E_AMS_Kyoto_run3_MTE!J371</f>
        <v>1.1922779453513948</v>
      </c>
      <c r="G258" s="711">
        <f>Bilans_E_AMS_Kyoto_run3_MTE!K371</f>
        <v>0</v>
      </c>
      <c r="H258" s="711">
        <f>Bilans_E_AMS_Kyoto_run3_MTE!L371</f>
        <v>49.984411570621333</v>
      </c>
      <c r="I258" s="711">
        <f>Bilans_E_AMS_Kyoto_run3_MTE!M371</f>
        <v>0</v>
      </c>
      <c r="J258" s="711">
        <f>Bilans_E_AMS_Kyoto_run3_MTE!N371</f>
        <v>0</v>
      </c>
      <c r="K258" s="711">
        <f>Bilans_E_AMS_Kyoto_run3_MTE!O371</f>
        <v>0</v>
      </c>
      <c r="L258" s="711">
        <f>Bilans_E_AMS_Kyoto_run3_MTE!P371</f>
        <v>51.327953484818188</v>
      </c>
      <c r="M258" s="711">
        <f>Bilans_E_AMS_Kyoto_run3_MTE!Q371</f>
        <v>0</v>
      </c>
      <c r="N258" s="711">
        <f>Bilans_E_AMS_Kyoto_run3_MTE!R371</f>
        <v>0</v>
      </c>
      <c r="O258" s="711">
        <f>Bilans_E_AMS_Kyoto_run3_MTE!S371</f>
        <v>12.496102892655333</v>
      </c>
      <c r="P258" s="711">
        <f>Bilans_E_AMS_Kyoto_run3_MTE!T371+Bilans_E_AMS_Kyoto_run3_MTE!U371</f>
        <v>106.12788282579821</v>
      </c>
      <c r="Q258" s="711">
        <f>Bilans_E_AMS_Kyoto_run3_MTE!V371</f>
        <v>8.4399601726258009</v>
      </c>
      <c r="R258" s="711">
        <f>Bilans_E_AMS_Kyoto_run3_MTE!W371</f>
        <v>154.71508066801636</v>
      </c>
      <c r="S258" s="711">
        <f>Bilans_E_AMS_Kyoto_run3_MTE!X371</f>
        <v>40.414130897924252</v>
      </c>
      <c r="T258" s="711">
        <f>Bilans_E_AMS_Kyoto_run3_MTE!Y371</f>
        <v>0</v>
      </c>
      <c r="U258" s="711">
        <f>Bilans_E_AMS_Kyoto_run3_MTE!Z371</f>
        <v>424.69780045781079</v>
      </c>
      <c r="V258" s="701"/>
      <c r="W258" s="701"/>
    </row>
    <row r="259" spans="1:23" x14ac:dyDescent="0.25">
      <c r="A259" s="701" t="s">
        <v>510</v>
      </c>
      <c r="B259" s="701"/>
      <c r="C259" s="717" t="s">
        <v>81</v>
      </c>
      <c r="D259" s="711">
        <f>Bilans_E_AMS_Kyoto_run3_MTE!H372</f>
        <v>0</v>
      </c>
      <c r="E259" s="711">
        <f>Bilans_E_AMS_Kyoto_run3_MTE!I372</f>
        <v>0</v>
      </c>
      <c r="F259" s="711">
        <f>Bilans_E_AMS_Kyoto_run3_MTE!J372</f>
        <v>2.1695259016738468</v>
      </c>
      <c r="G259" s="711">
        <f>Bilans_E_AMS_Kyoto_run3_MTE!K372</f>
        <v>0</v>
      </c>
      <c r="H259" s="711">
        <f>Bilans_E_AMS_Kyoto_run3_MTE!L372</f>
        <v>31.961692890831412</v>
      </c>
      <c r="I259" s="711">
        <f>Bilans_E_AMS_Kyoto_run3_MTE!M372</f>
        <v>0</v>
      </c>
      <c r="J259" s="711">
        <f>Bilans_E_AMS_Kyoto_run3_MTE!N372</f>
        <v>0</v>
      </c>
      <c r="K259" s="711">
        <f>Bilans_E_AMS_Kyoto_run3_MTE!O372</f>
        <v>0</v>
      </c>
      <c r="L259" s="711">
        <f>Bilans_E_AMS_Kyoto_run3_MTE!P372</f>
        <v>0.59825096685183632</v>
      </c>
      <c r="M259" s="711">
        <f>Bilans_E_AMS_Kyoto_run3_MTE!Q372</f>
        <v>0</v>
      </c>
      <c r="N259" s="711">
        <f>Bilans_E_AMS_Kyoto_run3_MTE!R372</f>
        <v>0</v>
      </c>
      <c r="O259" s="711">
        <f>Bilans_E_AMS_Kyoto_run3_MTE!S372</f>
        <v>7.9904232227078529</v>
      </c>
      <c r="P259" s="711">
        <f>Bilans_E_AMS_Kyoto_run3_MTE!T372+Bilans_E_AMS_Kyoto_run3_MTE!U372</f>
        <v>42.388089169065466</v>
      </c>
      <c r="Q259" s="711">
        <f>Bilans_E_AMS_Kyoto_run3_MTE!V372</f>
        <v>7.9118943755575595</v>
      </c>
      <c r="R259" s="711">
        <f>Bilans_E_AMS_Kyoto_run3_MTE!W372</f>
        <v>121.82988531988985</v>
      </c>
      <c r="S259" s="711">
        <f>Bilans_E_AMS_Kyoto_run3_MTE!X372</f>
        <v>23.34788734439358</v>
      </c>
      <c r="T259" s="711">
        <f>Bilans_E_AMS_Kyoto_run3_MTE!Y372</f>
        <v>0</v>
      </c>
      <c r="U259" s="711">
        <f>Bilans_E_AMS_Kyoto_run3_MTE!Z372</f>
        <v>238.19764919097142</v>
      </c>
      <c r="V259" s="701"/>
      <c r="W259" s="701"/>
    </row>
    <row r="260" spans="1:23" x14ac:dyDescent="0.25">
      <c r="A260" s="701" t="s">
        <v>511</v>
      </c>
      <c r="B260" s="701"/>
      <c r="C260" s="717" t="s">
        <v>82</v>
      </c>
      <c r="D260" s="711">
        <f>Bilans_E_AMS_Kyoto_run3_MTE!H373</f>
        <v>0</v>
      </c>
      <c r="E260" s="711">
        <f>Bilans_E_AMS_Kyoto_run3_MTE!I373</f>
        <v>0</v>
      </c>
      <c r="F260" s="711">
        <f>Bilans_E_AMS_Kyoto_run3_MTE!J373</f>
        <v>22.236615834161011</v>
      </c>
      <c r="G260" s="711">
        <f>Bilans_E_AMS_Kyoto_run3_MTE!K373</f>
        <v>0</v>
      </c>
      <c r="H260" s="711">
        <f>Bilans_E_AMS_Kyoto_run3_MTE!L373</f>
        <v>1.1928287245433082</v>
      </c>
      <c r="I260" s="711">
        <f>Bilans_E_AMS_Kyoto_run3_MTE!M373</f>
        <v>0</v>
      </c>
      <c r="J260" s="711">
        <f>Bilans_E_AMS_Kyoto_run3_MTE!N373</f>
        <v>0</v>
      </c>
      <c r="K260" s="711">
        <f>Bilans_E_AMS_Kyoto_run3_MTE!O373</f>
        <v>0</v>
      </c>
      <c r="L260" s="711">
        <f>Bilans_E_AMS_Kyoto_run3_MTE!P373</f>
        <v>13.268691220387016</v>
      </c>
      <c r="M260" s="711">
        <f>Bilans_E_AMS_Kyoto_run3_MTE!Q373</f>
        <v>0</v>
      </c>
      <c r="N260" s="711">
        <f>Bilans_E_AMS_Kyoto_run3_MTE!R373</f>
        <v>5.5416929804733215</v>
      </c>
      <c r="O260" s="711">
        <f>Bilans_E_AMS_Kyoto_run3_MTE!S373</f>
        <v>0.29820718113582706</v>
      </c>
      <c r="P260" s="711">
        <f>Bilans_E_AMS_Kyoto_run3_MTE!T373+Bilans_E_AMS_Kyoto_run3_MTE!U373</f>
        <v>0.75</v>
      </c>
      <c r="Q260" s="711">
        <f>Bilans_E_AMS_Kyoto_run3_MTE!V373</f>
        <v>0.96290247555165809</v>
      </c>
      <c r="R260" s="711">
        <f>Bilans_E_AMS_Kyoto_run3_MTE!W373</f>
        <v>8.6394549115432451</v>
      </c>
      <c r="S260" s="711">
        <f>Bilans_E_AMS_Kyoto_run3_MTE!X373</f>
        <v>0</v>
      </c>
      <c r="T260" s="711">
        <f>Bilans_E_AMS_Kyoto_run3_MTE!Y373</f>
        <v>0.30661417718369394</v>
      </c>
      <c r="U260" s="711">
        <f>Bilans_E_AMS_Kyoto_run3_MTE!Z373</f>
        <v>53.197007504979084</v>
      </c>
      <c r="V260" s="701"/>
      <c r="W260" s="701"/>
    </row>
    <row r="261" spans="1:23" x14ac:dyDescent="0.25">
      <c r="A261" s="701" t="s">
        <v>512</v>
      </c>
      <c r="B261" s="701"/>
      <c r="C261" s="717" t="s">
        <v>354</v>
      </c>
      <c r="D261" s="711">
        <f>Bilans_E_AMS_Kyoto_run3_MTE!H374</f>
        <v>0</v>
      </c>
      <c r="E261" s="711">
        <f>Bilans_E_AMS_Kyoto_run3_MTE!I374</f>
        <v>0</v>
      </c>
      <c r="F261" s="711">
        <f>Bilans_E_AMS_Kyoto_run3_MTE!J374</f>
        <v>0</v>
      </c>
      <c r="G261" s="711">
        <f>Bilans_E_AMS_Kyoto_run3_MTE!K374</f>
        <v>0</v>
      </c>
      <c r="H261" s="711">
        <f>Bilans_E_AMS_Kyoto_run3_MTE!L374</f>
        <v>0</v>
      </c>
      <c r="I261" s="711">
        <f>Bilans_E_AMS_Kyoto_run3_MTE!M374</f>
        <v>0</v>
      </c>
      <c r="J261" s="711">
        <f>Bilans_E_AMS_Kyoto_run3_MTE!N374</f>
        <v>0</v>
      </c>
      <c r="K261" s="711">
        <f>Bilans_E_AMS_Kyoto_run3_MTE!O374</f>
        <v>0</v>
      </c>
      <c r="L261" s="711">
        <f>Bilans_E_AMS_Kyoto_run3_MTE!P374</f>
        <v>0</v>
      </c>
      <c r="M261" s="711">
        <f>Bilans_E_AMS_Kyoto_run3_MTE!Q374</f>
        <v>0</v>
      </c>
      <c r="N261" s="711">
        <f>Bilans_E_AMS_Kyoto_run3_MTE!R374</f>
        <v>0</v>
      </c>
      <c r="O261" s="711">
        <f>Bilans_E_AMS_Kyoto_run3_MTE!S374</f>
        <v>0</v>
      </c>
      <c r="P261" s="711">
        <f>Bilans_E_AMS_Kyoto_run3_MTE!T374+Bilans_E_AMS_Kyoto_run3_MTE!U374</f>
        <v>0</v>
      </c>
      <c r="Q261" s="711">
        <f>Bilans_E_AMS_Kyoto_run3_MTE!V374</f>
        <v>0</v>
      </c>
      <c r="R261" s="711">
        <f>Bilans_E_AMS_Kyoto_run3_MTE!W374</f>
        <v>0</v>
      </c>
      <c r="S261" s="711">
        <f>Bilans_E_AMS_Kyoto_run3_MTE!X374</f>
        <v>0</v>
      </c>
      <c r="T261" s="711">
        <f>Bilans_E_AMS_Kyoto_run3_MTE!Y374</f>
        <v>0</v>
      </c>
      <c r="U261" s="711">
        <f>Bilans_E_AMS_Kyoto_run3_MTE!Z374</f>
        <v>0</v>
      </c>
      <c r="V261" s="701"/>
      <c r="W261" s="701"/>
    </row>
    <row r="262" spans="1:23" x14ac:dyDescent="0.25">
      <c r="A262" s="701" t="s">
        <v>513</v>
      </c>
      <c r="B262" s="701"/>
      <c r="C262" s="713" t="s">
        <v>83</v>
      </c>
      <c r="D262" s="714">
        <f>Bilans_E_AMS_Kyoto_run3_MTE!H375</f>
        <v>0.59552978515624999</v>
      </c>
      <c r="E262" s="714">
        <f>Bilans_E_AMS_Kyoto_run3_MTE!I375</f>
        <v>0</v>
      </c>
      <c r="F262" s="714">
        <f>Bilans_E_AMS_Kyoto_run3_MTE!J375</f>
        <v>244.23343081659118</v>
      </c>
      <c r="G262" s="714">
        <f>Bilans_E_AMS_Kyoto_run3_MTE!K375</f>
        <v>0</v>
      </c>
      <c r="H262" s="714">
        <f>Bilans_E_AMS_Kyoto_run3_MTE!L375</f>
        <v>145.27983758688563</v>
      </c>
      <c r="I262" s="714">
        <f>Bilans_E_AMS_Kyoto_run3_MTE!M375</f>
        <v>0</v>
      </c>
      <c r="J262" s="714">
        <f>Bilans_E_AMS_Kyoto_run3_MTE!N375</f>
        <v>0</v>
      </c>
      <c r="K262" s="714">
        <f>Bilans_E_AMS_Kyoto_run3_MTE!O375</f>
        <v>0</v>
      </c>
      <c r="L262" s="714">
        <f>Bilans_E_AMS_Kyoto_run3_MTE!P375</f>
        <v>103.6777083303115</v>
      </c>
      <c r="M262" s="714">
        <f>Bilans_E_AMS_Kyoto_run3_MTE!Q375</f>
        <v>9.5007953936584837</v>
      </c>
      <c r="N262" s="714">
        <f>Bilans_E_AMS_Kyoto_run3_MTE!R375</f>
        <v>47.428104783884166</v>
      </c>
      <c r="O262" s="714">
        <f>Bilans_E_AMS_Kyoto_run3_MTE!S375</f>
        <v>36.353925186627599</v>
      </c>
      <c r="P262" s="714">
        <f>Bilans_E_AMS_Kyoto_run3_MTE!T375+Bilans_E_AMS_Kyoto_run3_MTE!U375</f>
        <v>157.23536701439491</v>
      </c>
      <c r="Q262" s="714">
        <f>Bilans_E_AMS_Kyoto_run3_MTE!V375</f>
        <v>17.315449472003493</v>
      </c>
      <c r="R262" s="714">
        <f>Bilans_E_AMS_Kyoto_run3_MTE!W375</f>
        <v>503.66982243488866</v>
      </c>
      <c r="S262" s="714">
        <f>Bilans_E_AMS_Kyoto_run3_MTE!X375</f>
        <v>83.293599827691992</v>
      </c>
      <c r="T262" s="714">
        <f>Bilans_E_AMS_Kyoto_run3_MTE!Y375</f>
        <v>9.832298737001441</v>
      </c>
      <c r="U262" s="714">
        <f>Bilans_E_AMS_Kyoto_run3_MTE!Z375</f>
        <v>1358.4158693690954</v>
      </c>
      <c r="V262" s="701"/>
      <c r="W262" s="701"/>
    </row>
    <row r="263" spans="1:23" x14ac:dyDescent="0.25">
      <c r="A263" s="701" t="s">
        <v>514</v>
      </c>
      <c r="B263" s="701"/>
      <c r="C263" s="710" t="s">
        <v>84</v>
      </c>
      <c r="D263" s="711">
        <f>Bilans_E_AMS_Kyoto_run3_MTE!H376</f>
        <v>0</v>
      </c>
      <c r="E263" s="711">
        <f>Bilans_E_AMS_Kyoto_run3_MTE!I376</f>
        <v>0</v>
      </c>
      <c r="F263" s="711">
        <f>Bilans_E_AMS_Kyoto_run3_MTE!J376</f>
        <v>108.38831705718137</v>
      </c>
      <c r="G263" s="711">
        <f>Bilans_E_AMS_Kyoto_run3_MTE!K376</f>
        <v>1.2939885995123082</v>
      </c>
      <c r="H263" s="711">
        <f>Bilans_E_AMS_Kyoto_run3_MTE!L376</f>
        <v>12.973217825865042</v>
      </c>
      <c r="I263" s="711">
        <f>Bilans_E_AMS_Kyoto_run3_MTE!M376</f>
        <v>0</v>
      </c>
      <c r="J263" s="711">
        <f>Bilans_E_AMS_Kyoto_run3_MTE!N376</f>
        <v>0</v>
      </c>
      <c r="K263" s="711">
        <f>Bilans_E_AMS_Kyoto_run3_MTE!O376</f>
        <v>0</v>
      </c>
      <c r="L263" s="711">
        <f>Bilans_E_AMS_Kyoto_run3_MTE!P376</f>
        <v>0.29168113881125463</v>
      </c>
      <c r="M263" s="711">
        <f>Bilans_E_AMS_Kyoto_run3_MTE!Q376</f>
        <v>0</v>
      </c>
      <c r="N263" s="711">
        <f>Bilans_E_AMS_Kyoto_run3_MTE!R376</f>
        <v>2.0844051344814138</v>
      </c>
      <c r="O263" s="711">
        <f>Bilans_E_AMS_Kyoto_run3_MTE!S376</f>
        <v>0</v>
      </c>
      <c r="P263" s="711">
        <f>Bilans_E_AMS_Kyoto_run3_MTE!T376+Bilans_E_AMS_Kyoto_run3_MTE!U376</f>
        <v>0</v>
      </c>
      <c r="Q263" s="711">
        <f>Bilans_E_AMS_Kyoto_run3_MTE!V376</f>
        <v>0</v>
      </c>
      <c r="R263" s="711">
        <f>Bilans_E_AMS_Kyoto_run3_MTE!W376</f>
        <v>0</v>
      </c>
      <c r="S263" s="711">
        <f>Bilans_E_AMS_Kyoto_run3_MTE!X376</f>
        <v>0</v>
      </c>
      <c r="T263" s="711">
        <f>Bilans_E_AMS_Kyoto_run3_MTE!Y376</f>
        <v>1.487132000092672</v>
      </c>
      <c r="U263" s="711">
        <f>Bilans_E_AMS_Kyoto_run3_MTE!Z376</f>
        <v>126.51874175594406</v>
      </c>
      <c r="V263" s="701"/>
      <c r="W263" s="701"/>
    </row>
    <row r="264" spans="1:23" x14ac:dyDescent="0.25">
      <c r="A264" s="701" t="s">
        <v>515</v>
      </c>
      <c r="B264" s="701"/>
      <c r="C264" s="713" t="s">
        <v>85</v>
      </c>
      <c r="D264" s="714">
        <f>Bilans_E_AMS_Kyoto_run3_MTE!H377</f>
        <v>0.59552978515624999</v>
      </c>
      <c r="E264" s="714">
        <f>Bilans_E_AMS_Kyoto_run3_MTE!I377</f>
        <v>0</v>
      </c>
      <c r="F264" s="714">
        <f>Bilans_E_AMS_Kyoto_run3_MTE!J377</f>
        <v>352.62174787377256</v>
      </c>
      <c r="G264" s="714">
        <f>Bilans_E_AMS_Kyoto_run3_MTE!K377</f>
        <v>1.2939885995123082</v>
      </c>
      <c r="H264" s="714">
        <f>Bilans_E_AMS_Kyoto_run3_MTE!L377</f>
        <v>158.25305541275068</v>
      </c>
      <c r="I264" s="714">
        <f>Bilans_E_AMS_Kyoto_run3_MTE!M377</f>
        <v>0</v>
      </c>
      <c r="J264" s="714">
        <f>Bilans_E_AMS_Kyoto_run3_MTE!N377</f>
        <v>0</v>
      </c>
      <c r="K264" s="714">
        <f>Bilans_E_AMS_Kyoto_run3_MTE!O377</f>
        <v>0</v>
      </c>
      <c r="L264" s="714">
        <f>Bilans_E_AMS_Kyoto_run3_MTE!P377</f>
        <v>103.96938946912276</v>
      </c>
      <c r="M264" s="714">
        <f>Bilans_E_AMS_Kyoto_run3_MTE!Q377</f>
        <v>9.5007953936584837</v>
      </c>
      <c r="N264" s="714">
        <f>Bilans_E_AMS_Kyoto_run3_MTE!R377</f>
        <v>49.512509918365581</v>
      </c>
      <c r="O264" s="714">
        <f>Bilans_E_AMS_Kyoto_run3_MTE!S377</f>
        <v>36.353925186627599</v>
      </c>
      <c r="P264" s="714">
        <f>Bilans_E_AMS_Kyoto_run3_MTE!T377+Bilans_E_AMS_Kyoto_run3_MTE!U377</f>
        <v>157.23536701439491</v>
      </c>
      <c r="Q264" s="714">
        <f>Bilans_E_AMS_Kyoto_run3_MTE!V377</f>
        <v>17.315449472003493</v>
      </c>
      <c r="R264" s="714">
        <f>Bilans_E_AMS_Kyoto_run3_MTE!W377</f>
        <v>503.66982243488866</v>
      </c>
      <c r="S264" s="714">
        <f>Bilans_E_AMS_Kyoto_run3_MTE!X377</f>
        <v>83.293599827691992</v>
      </c>
      <c r="T264" s="714">
        <f>Bilans_E_AMS_Kyoto_run3_MTE!Y377</f>
        <v>11.319430737094113</v>
      </c>
      <c r="U264" s="714">
        <f>Bilans_E_AMS_Kyoto_run3_MTE!Z377</f>
        <v>1484.9346111250395</v>
      </c>
      <c r="V264" s="701"/>
      <c r="W264" s="701"/>
    </row>
    <row r="265" spans="1:23" x14ac:dyDescent="0.25">
      <c r="A265" s="701"/>
      <c r="B265" s="701"/>
      <c r="C265" s="701"/>
      <c r="D265" s="701">
        <f>Bilans_E_AMS_Kyoto_run3_MTE!H378</f>
        <v>0</v>
      </c>
      <c r="E265" s="701">
        <f>Bilans_E_AMS_Kyoto_run3_MTE!I378</f>
        <v>0</v>
      </c>
      <c r="F265" s="701">
        <f>Bilans_E_AMS_Kyoto_run3_MTE!J378</f>
        <v>0</v>
      </c>
      <c r="G265" s="701">
        <f>Bilans_E_AMS_Kyoto_run3_MTE!K378</f>
        <v>0</v>
      </c>
      <c r="H265" s="701">
        <f>Bilans_E_AMS_Kyoto_run3_MTE!L378</f>
        <v>0</v>
      </c>
      <c r="I265" s="701">
        <f>Bilans_E_AMS_Kyoto_run3_MTE!M378</f>
        <v>0</v>
      </c>
      <c r="J265" s="701">
        <f>Bilans_E_AMS_Kyoto_run3_MTE!N378</f>
        <v>0</v>
      </c>
      <c r="K265" s="701">
        <f>Bilans_E_AMS_Kyoto_run3_MTE!O378</f>
        <v>0</v>
      </c>
      <c r="L265" s="701">
        <f>Bilans_E_AMS_Kyoto_run3_MTE!P378</f>
        <v>0</v>
      </c>
      <c r="M265" s="701">
        <f>Bilans_E_AMS_Kyoto_run3_MTE!Q378</f>
        <v>0</v>
      </c>
      <c r="N265" s="701">
        <f>Bilans_E_AMS_Kyoto_run3_MTE!R378</f>
        <v>0</v>
      </c>
      <c r="O265" s="701">
        <f>Bilans_E_AMS_Kyoto_run3_MTE!S378</f>
        <v>9.1038288019262836E-15</v>
      </c>
      <c r="P265" s="701">
        <f>Bilans_E_AMS_Kyoto_run3_MTE!T378+Bilans_E_AMS_Kyoto_run3_MTE!U378</f>
        <v>0</v>
      </c>
      <c r="Q265" s="701">
        <f>Bilans_E_AMS_Kyoto_run3_MTE!V378</f>
        <v>0</v>
      </c>
      <c r="R265" s="701">
        <f>Bilans_E_AMS_Kyoto_run3_MTE!W378</f>
        <v>0</v>
      </c>
      <c r="S265" s="701">
        <f>Bilans_E_AMS_Kyoto_run3_MTE!X378</f>
        <v>-3.0734616686345362E-5</v>
      </c>
      <c r="T265" s="701">
        <f>Bilans_E_AMS_Kyoto_run3_MTE!Y378</f>
        <v>2.2204460492503131E-15</v>
      </c>
      <c r="U265" s="701">
        <f>Bilans_E_AMS_Kyoto_run3_MTE!Z378</f>
        <v>-3.0734616302652285E-5</v>
      </c>
      <c r="V265" s="701"/>
      <c r="W265" s="701"/>
    </row>
    <row r="266" spans="1:23" x14ac:dyDescent="0.25">
      <c r="A266" s="701"/>
      <c r="B266" s="701"/>
      <c r="C266" s="701"/>
      <c r="D266" s="701"/>
      <c r="E266" s="701"/>
      <c r="F266" s="701"/>
      <c r="G266" s="701"/>
      <c r="H266" s="701"/>
      <c r="I266" s="701"/>
      <c r="J266" s="701"/>
      <c r="K266" s="701"/>
      <c r="L266" s="701"/>
      <c r="M266" s="701"/>
      <c r="N266" s="701"/>
      <c r="O266" s="701"/>
      <c r="P266" s="701"/>
      <c r="Q266" s="701"/>
      <c r="R266" s="701"/>
      <c r="S266" s="701"/>
      <c r="T266" s="701"/>
      <c r="U266" s="701"/>
      <c r="V266" s="701"/>
      <c r="W266" s="701"/>
    </row>
    <row r="267" spans="1:23" x14ac:dyDescent="0.25">
      <c r="A267" s="707"/>
      <c r="B267" s="707"/>
      <c r="C267" s="708" t="s">
        <v>359</v>
      </c>
      <c r="D267" s="707"/>
      <c r="E267" s="707"/>
      <c r="F267" s="707"/>
      <c r="G267" s="707"/>
      <c r="H267" s="707"/>
      <c r="I267" s="707"/>
      <c r="J267" s="707"/>
      <c r="K267" s="707"/>
      <c r="L267" s="707"/>
      <c r="M267" s="707"/>
      <c r="N267" s="707"/>
      <c r="O267" s="707"/>
      <c r="P267" s="707"/>
      <c r="Q267" s="707"/>
      <c r="R267" s="707"/>
      <c r="S267" s="707"/>
      <c r="T267" s="707"/>
      <c r="U267" s="707"/>
      <c r="V267" s="707"/>
      <c r="W267" s="707"/>
    </row>
    <row r="268" spans="1:23" x14ac:dyDescent="0.25">
      <c r="A268" s="701"/>
      <c r="B268" s="701"/>
      <c r="C268" s="701"/>
      <c r="D268" s="701"/>
      <c r="E268" s="701"/>
      <c r="F268" s="701"/>
      <c r="G268" s="701"/>
      <c r="H268" s="701"/>
      <c r="I268" s="701"/>
      <c r="J268" s="701"/>
      <c r="K268" s="701"/>
      <c r="L268" s="701"/>
      <c r="M268" s="701"/>
      <c r="N268" s="701"/>
      <c r="O268" s="701"/>
      <c r="P268" s="701"/>
      <c r="Q268" s="701"/>
      <c r="R268" s="701"/>
      <c r="S268" s="701"/>
      <c r="T268" s="701"/>
      <c r="U268" s="701"/>
      <c r="V268" s="701"/>
      <c r="W268" s="701"/>
    </row>
    <row r="269" spans="1:23" x14ac:dyDescent="0.25">
      <c r="A269" s="701"/>
      <c r="B269" s="701"/>
      <c r="C269" s="780" t="s">
        <v>128</v>
      </c>
      <c r="D269" s="775" t="s">
        <v>42</v>
      </c>
      <c r="E269" s="775" t="s">
        <v>52</v>
      </c>
      <c r="F269" s="775" t="s">
        <v>53</v>
      </c>
      <c r="G269" s="775" t="s">
        <v>482</v>
      </c>
      <c r="H269" s="775" t="s">
        <v>32</v>
      </c>
      <c r="I269" s="775" t="s">
        <v>483</v>
      </c>
      <c r="J269" s="775" t="s">
        <v>20</v>
      </c>
      <c r="K269" s="775" t="s">
        <v>55</v>
      </c>
      <c r="L269" s="777" t="s">
        <v>56</v>
      </c>
      <c r="M269" s="778"/>
      <c r="N269" s="778"/>
      <c r="O269" s="778"/>
      <c r="P269" s="778"/>
      <c r="Q269" s="779"/>
      <c r="R269" s="775" t="s">
        <v>57</v>
      </c>
      <c r="S269" s="775" t="s">
        <v>58</v>
      </c>
      <c r="T269" s="775" t="s">
        <v>31</v>
      </c>
      <c r="U269" s="775" t="s">
        <v>10</v>
      </c>
      <c r="V269" s="701"/>
      <c r="W269" s="701"/>
    </row>
    <row r="270" spans="1:23" ht="67.5" x14ac:dyDescent="0.25">
      <c r="A270" s="701" t="s">
        <v>486</v>
      </c>
      <c r="B270" s="701"/>
      <c r="C270" s="781"/>
      <c r="D270" s="776"/>
      <c r="E270" s="776"/>
      <c r="F270" s="776"/>
      <c r="G270" s="776"/>
      <c r="H270" s="776"/>
      <c r="I270" s="776"/>
      <c r="J270" s="776"/>
      <c r="K270" s="776"/>
      <c r="L270" s="709" t="s">
        <v>335</v>
      </c>
      <c r="M270" s="709" t="s">
        <v>40</v>
      </c>
      <c r="N270" s="709" t="s">
        <v>343</v>
      </c>
      <c r="O270" s="709" t="s">
        <v>344</v>
      </c>
      <c r="P270" s="719" t="s">
        <v>610</v>
      </c>
      <c r="Q270" s="709" t="s">
        <v>346</v>
      </c>
      <c r="R270" s="776"/>
      <c r="S270" s="776"/>
      <c r="T270" s="776"/>
      <c r="U270" s="776"/>
      <c r="V270" s="701"/>
      <c r="W270" s="701"/>
    </row>
    <row r="271" spans="1:23" x14ac:dyDescent="0.25">
      <c r="A271" s="701" t="s">
        <v>487</v>
      </c>
      <c r="B271" s="701"/>
      <c r="C271" s="710" t="s">
        <v>59</v>
      </c>
      <c r="D271" s="711">
        <f>Bilans_E_AMS_Kyoto_run3_MTE!H384</f>
        <v>0</v>
      </c>
      <c r="E271" s="711">
        <f>Bilans_E_AMS_Kyoto_run3_MTE!I384</f>
        <v>1.9073199999999999</v>
      </c>
      <c r="F271" s="711">
        <f>Bilans_E_AMS_Kyoto_run3_MTE!J384</f>
        <v>0</v>
      </c>
      <c r="G271" s="711">
        <f>Bilans_E_AMS_Kyoto_run3_MTE!K384</f>
        <v>0</v>
      </c>
      <c r="H271" s="711">
        <f>Bilans_E_AMS_Kyoto_run3_MTE!L384</f>
        <v>3.9542000000000008E-2</v>
      </c>
      <c r="I271" s="711">
        <f>Bilans_E_AMS_Kyoto_run3_MTE!M384</f>
        <v>0</v>
      </c>
      <c r="J271" s="711">
        <f>Bilans_E_AMS_Kyoto_run3_MTE!N384</f>
        <v>1195.4990290598246</v>
      </c>
      <c r="K271" s="711">
        <f>Bilans_E_AMS_Kyoto_run3_MTE!O384</f>
        <v>352.81639892204078</v>
      </c>
      <c r="L271" s="711">
        <f>Bilans_E_AMS_Kyoto_run3_MTE!P384</f>
        <v>334.74141553105153</v>
      </c>
      <c r="M271" s="711">
        <f>Bilans_E_AMS_Kyoto_run3_MTE!Q384</f>
        <v>49.102811616128875</v>
      </c>
      <c r="N271" s="711">
        <f>Bilans_E_AMS_Kyoto_run3_MTE!R384</f>
        <v>0</v>
      </c>
      <c r="O271" s="711">
        <f>Bilans_E_AMS_Kyoto_run3_MTE!S384</f>
        <v>0</v>
      </c>
      <c r="P271" s="711">
        <f>Bilans_E_AMS_Kyoto_run3_MTE!T384+Bilans_E_AMS_Kyoto_run3_MTE!U384</f>
        <v>200.79978234592807</v>
      </c>
      <c r="Q271" s="711">
        <f>Bilans_E_AMS_Kyoto_run3_MTE!V384</f>
        <v>40.778741630012433</v>
      </c>
      <c r="R271" s="711">
        <f>Bilans_E_AMS_Kyoto_run3_MTE!W384</f>
        <v>0</v>
      </c>
      <c r="S271" s="711">
        <f>Bilans_E_AMS_Kyoto_run3_MTE!X384</f>
        <v>0</v>
      </c>
      <c r="T271" s="711">
        <f>Bilans_E_AMS_Kyoto_run3_MTE!Y384</f>
        <v>0</v>
      </c>
      <c r="U271" s="711">
        <f>Bilans_E_AMS_Kyoto_run3_MTE!Z384</f>
        <v>2175.6850411049863</v>
      </c>
      <c r="V271" s="701"/>
      <c r="W271" s="701"/>
    </row>
    <row r="272" spans="1:23" x14ac:dyDescent="0.25">
      <c r="A272" s="701" t="s">
        <v>488</v>
      </c>
      <c r="B272" s="701"/>
      <c r="C272" s="710" t="s">
        <v>60</v>
      </c>
      <c r="D272" s="712">
        <f>Bilans_E_AMS_Kyoto_run3_MTE!H385</f>
        <v>12.531065673828124</v>
      </c>
      <c r="E272" s="712">
        <f>Bilans_E_AMS_Kyoto_run3_MTE!I385</f>
        <v>260.68864136173096</v>
      </c>
      <c r="F272" s="712">
        <f>Bilans_E_AMS_Kyoto_run3_MTE!J385</f>
        <v>79.769139628982202</v>
      </c>
      <c r="G272" s="712">
        <f>Bilans_E_AMS_Kyoto_run3_MTE!K385</f>
        <v>5.3845155133024489</v>
      </c>
      <c r="H272" s="712">
        <f>Bilans_E_AMS_Kyoto_run3_MTE!L385</f>
        <v>146.10919430668767</v>
      </c>
      <c r="I272" s="712">
        <f>Bilans_E_AMS_Kyoto_run3_MTE!M385</f>
        <v>0</v>
      </c>
      <c r="J272" s="712">
        <f>Bilans_E_AMS_Kyoto_run3_MTE!N385</f>
        <v>0</v>
      </c>
      <c r="K272" s="712">
        <f>Bilans_E_AMS_Kyoto_run3_MTE!O385</f>
        <v>0</v>
      </c>
      <c r="L272" s="712">
        <f>Bilans_E_AMS_Kyoto_run3_MTE!P385</f>
        <v>6.5955281469378519</v>
      </c>
      <c r="M272" s="712">
        <f>Bilans_E_AMS_Kyoto_run3_MTE!Q385</f>
        <v>0</v>
      </c>
      <c r="N272" s="712">
        <f>Bilans_E_AMS_Kyoto_run3_MTE!R385</f>
        <v>13.786836239318319</v>
      </c>
      <c r="O272" s="712">
        <f>Bilans_E_AMS_Kyoto_run3_MTE!S385</f>
        <v>4.2024164944931641</v>
      </c>
      <c r="P272" s="712">
        <f>Bilans_E_AMS_Kyoto_run3_MTE!T385+Bilans_E_AMS_Kyoto_run3_MTE!U385</f>
        <v>0</v>
      </c>
      <c r="Q272" s="712">
        <f>Bilans_E_AMS_Kyoto_run3_MTE!V385</f>
        <v>0</v>
      </c>
      <c r="R272" s="712">
        <f>Bilans_E_AMS_Kyoto_run3_MTE!W385</f>
        <v>0</v>
      </c>
      <c r="S272" s="712">
        <f>Bilans_E_AMS_Kyoto_run3_MTE!X385</f>
        <v>0</v>
      </c>
      <c r="T272" s="712">
        <f>Bilans_E_AMS_Kyoto_run3_MTE!Y385</f>
        <v>0</v>
      </c>
      <c r="U272" s="712">
        <f>Bilans_E_AMS_Kyoto_run3_MTE!Z385</f>
        <v>529.06733736528076</v>
      </c>
      <c r="V272" s="701"/>
      <c r="W272" s="701"/>
    </row>
    <row r="273" spans="1:23" x14ac:dyDescent="0.25">
      <c r="A273" s="701" t="s">
        <v>489</v>
      </c>
      <c r="B273" s="701"/>
      <c r="C273" s="710" t="s">
        <v>61</v>
      </c>
      <c r="D273" s="712">
        <f>Bilans_E_AMS_Kyoto_run3_MTE!H386</f>
        <v>0</v>
      </c>
      <c r="E273" s="712">
        <f>Bilans_E_AMS_Kyoto_run3_MTE!I386</f>
        <v>0</v>
      </c>
      <c r="F273" s="712">
        <f>Bilans_E_AMS_Kyoto_run3_MTE!J386</f>
        <v>0</v>
      </c>
      <c r="G273" s="712">
        <f>Bilans_E_AMS_Kyoto_run3_MTE!K386</f>
        <v>0</v>
      </c>
      <c r="H273" s="712">
        <f>Bilans_E_AMS_Kyoto_run3_MTE!L386</f>
        <v>0</v>
      </c>
      <c r="I273" s="712">
        <f>Bilans_E_AMS_Kyoto_run3_MTE!M386</f>
        <v>0</v>
      </c>
      <c r="J273" s="712">
        <f>Bilans_E_AMS_Kyoto_run3_MTE!N386</f>
        <v>0</v>
      </c>
      <c r="K273" s="712">
        <f>Bilans_E_AMS_Kyoto_run3_MTE!O386</f>
        <v>0</v>
      </c>
      <c r="L273" s="712">
        <f>Bilans_E_AMS_Kyoto_run3_MTE!P386</f>
        <v>0</v>
      </c>
      <c r="M273" s="712">
        <f>Bilans_E_AMS_Kyoto_run3_MTE!Q386</f>
        <v>0</v>
      </c>
      <c r="N273" s="712">
        <f>Bilans_E_AMS_Kyoto_run3_MTE!R386</f>
        <v>0</v>
      </c>
      <c r="O273" s="712">
        <f>Bilans_E_AMS_Kyoto_run3_MTE!S386</f>
        <v>0</v>
      </c>
      <c r="P273" s="712">
        <f>Bilans_E_AMS_Kyoto_run3_MTE!T386+Bilans_E_AMS_Kyoto_run3_MTE!U386</f>
        <v>0</v>
      </c>
      <c r="Q273" s="712">
        <f>Bilans_E_AMS_Kyoto_run3_MTE!V386</f>
        <v>0</v>
      </c>
      <c r="R273" s="712">
        <f>Bilans_E_AMS_Kyoto_run3_MTE!W386</f>
        <v>-112.47635741768158</v>
      </c>
      <c r="S273" s="712">
        <f>Bilans_E_AMS_Kyoto_run3_MTE!X386</f>
        <v>0</v>
      </c>
      <c r="T273" s="712">
        <f>Bilans_E_AMS_Kyoto_run3_MTE!Y386</f>
        <v>0</v>
      </c>
      <c r="U273" s="712">
        <f>Bilans_E_AMS_Kyoto_run3_MTE!Z386</f>
        <v>-112.47635741768158</v>
      </c>
      <c r="V273" s="701"/>
      <c r="W273" s="701"/>
    </row>
    <row r="274" spans="1:23" x14ac:dyDescent="0.25">
      <c r="A274" s="701" t="s">
        <v>490</v>
      </c>
      <c r="B274" s="701"/>
      <c r="C274" s="710" t="s">
        <v>62</v>
      </c>
      <c r="D274" s="711">
        <f>Bilans_E_AMS_Kyoto_run3_MTE!H387</f>
        <v>0</v>
      </c>
      <c r="E274" s="711">
        <f>Bilans_E_AMS_Kyoto_run3_MTE!I387</f>
        <v>0</v>
      </c>
      <c r="F274" s="711">
        <f>Bilans_E_AMS_Kyoto_run3_MTE!J387</f>
        <v>-6.4368278477343406</v>
      </c>
      <c r="G274" s="711">
        <f>Bilans_E_AMS_Kyoto_run3_MTE!K387</f>
        <v>-0.75904465097595197</v>
      </c>
      <c r="H274" s="711">
        <f>Bilans_E_AMS_Kyoto_run3_MTE!L387</f>
        <v>-0.26617313205703391</v>
      </c>
      <c r="I274" s="711">
        <f>Bilans_E_AMS_Kyoto_run3_MTE!M387</f>
        <v>-0.83753949174200382</v>
      </c>
      <c r="J274" s="711">
        <f>Bilans_E_AMS_Kyoto_run3_MTE!N387</f>
        <v>0</v>
      </c>
      <c r="K274" s="711">
        <f>Bilans_E_AMS_Kyoto_run3_MTE!O387</f>
        <v>0</v>
      </c>
      <c r="L274" s="711">
        <f>Bilans_E_AMS_Kyoto_run3_MTE!P387</f>
        <v>0</v>
      </c>
      <c r="M274" s="711">
        <f>Bilans_E_AMS_Kyoto_run3_MTE!Q387</f>
        <v>0</v>
      </c>
      <c r="N274" s="711">
        <f>Bilans_E_AMS_Kyoto_run3_MTE!R387</f>
        <v>0</v>
      </c>
      <c r="O274" s="711">
        <f>Bilans_E_AMS_Kyoto_run3_MTE!S387</f>
        <v>-1.2171669369544087</v>
      </c>
      <c r="P274" s="711">
        <f>Bilans_E_AMS_Kyoto_run3_MTE!T387+Bilans_E_AMS_Kyoto_run3_MTE!U387</f>
        <v>0</v>
      </c>
      <c r="Q274" s="711">
        <f>Bilans_E_AMS_Kyoto_run3_MTE!V387</f>
        <v>0</v>
      </c>
      <c r="R274" s="711">
        <f>Bilans_E_AMS_Kyoto_run3_MTE!W387</f>
        <v>0</v>
      </c>
      <c r="S274" s="711">
        <f>Bilans_E_AMS_Kyoto_run3_MTE!X387</f>
        <v>0</v>
      </c>
      <c r="T274" s="711">
        <f>Bilans_E_AMS_Kyoto_run3_MTE!Y387</f>
        <v>-0.55033649946810814</v>
      </c>
      <c r="U274" s="711">
        <f>Bilans_E_AMS_Kyoto_run3_MTE!Z387</f>
        <v>-10.067088558931845</v>
      </c>
      <c r="V274" s="701"/>
      <c r="W274" s="701"/>
    </row>
    <row r="275" spans="1:23" x14ac:dyDescent="0.25">
      <c r="A275" s="701" t="s">
        <v>491</v>
      </c>
      <c r="B275" s="701"/>
      <c r="C275" s="710" t="s">
        <v>63</v>
      </c>
      <c r="D275" s="711">
        <f>Bilans_E_AMS_Kyoto_run3_MTE!H388</f>
        <v>0</v>
      </c>
      <c r="E275" s="711">
        <f>Bilans_E_AMS_Kyoto_run3_MTE!I388</f>
        <v>0</v>
      </c>
      <c r="F275" s="711">
        <f>Bilans_E_AMS_Kyoto_run3_MTE!J388</f>
        <v>-46.4</v>
      </c>
      <c r="G275" s="711">
        <f>Bilans_E_AMS_Kyoto_run3_MTE!K388</f>
        <v>-6.4</v>
      </c>
      <c r="H275" s="711">
        <f>Bilans_E_AMS_Kyoto_run3_MTE!L388</f>
        <v>0</v>
      </c>
      <c r="I275" s="711">
        <f>Bilans_E_AMS_Kyoto_run3_MTE!M388</f>
        <v>0</v>
      </c>
      <c r="J275" s="711">
        <f>Bilans_E_AMS_Kyoto_run3_MTE!N388</f>
        <v>0</v>
      </c>
      <c r="K275" s="711">
        <f>Bilans_E_AMS_Kyoto_run3_MTE!O388</f>
        <v>0</v>
      </c>
      <c r="L275" s="711">
        <f>Bilans_E_AMS_Kyoto_run3_MTE!P388</f>
        <v>0</v>
      </c>
      <c r="M275" s="711">
        <f>Bilans_E_AMS_Kyoto_run3_MTE!Q388</f>
        <v>0</v>
      </c>
      <c r="N275" s="711">
        <f>Bilans_E_AMS_Kyoto_run3_MTE!R388</f>
        <v>-13.4</v>
      </c>
      <c r="O275" s="711">
        <f>Bilans_E_AMS_Kyoto_run3_MTE!S388</f>
        <v>0</v>
      </c>
      <c r="P275" s="711">
        <f>Bilans_E_AMS_Kyoto_run3_MTE!T388+Bilans_E_AMS_Kyoto_run3_MTE!U388</f>
        <v>0</v>
      </c>
      <c r="Q275" s="711">
        <f>Bilans_E_AMS_Kyoto_run3_MTE!V388</f>
        <v>0</v>
      </c>
      <c r="R275" s="711">
        <f>Bilans_E_AMS_Kyoto_run3_MTE!W388</f>
        <v>0</v>
      </c>
      <c r="S275" s="711">
        <f>Bilans_E_AMS_Kyoto_run3_MTE!X388</f>
        <v>0</v>
      </c>
      <c r="T275" s="711">
        <f>Bilans_E_AMS_Kyoto_run3_MTE!Y388</f>
        <v>-2.2000000000000002</v>
      </c>
      <c r="U275" s="711">
        <f>Bilans_E_AMS_Kyoto_run3_MTE!Z388</f>
        <v>-68.400000000000006</v>
      </c>
      <c r="V275" s="701"/>
      <c r="W275" s="701"/>
    </row>
    <row r="276" spans="1:23" x14ac:dyDescent="0.25">
      <c r="A276" s="701" t="s">
        <v>492</v>
      </c>
      <c r="B276" s="701"/>
      <c r="C276" s="710" t="s">
        <v>64</v>
      </c>
      <c r="D276" s="712">
        <f>Bilans_E_AMS_Kyoto_run3_MTE!H389</f>
        <v>0</v>
      </c>
      <c r="E276" s="712">
        <f>Bilans_E_AMS_Kyoto_run3_MTE!I389</f>
        <v>0</v>
      </c>
      <c r="F276" s="712">
        <f>Bilans_E_AMS_Kyoto_run3_MTE!J389</f>
        <v>0</v>
      </c>
      <c r="G276" s="712">
        <f>Bilans_E_AMS_Kyoto_run3_MTE!K389</f>
        <v>0</v>
      </c>
      <c r="H276" s="712">
        <f>Bilans_E_AMS_Kyoto_run3_MTE!L389</f>
        <v>0</v>
      </c>
      <c r="I276" s="712">
        <f>Bilans_E_AMS_Kyoto_run3_MTE!M389</f>
        <v>0</v>
      </c>
      <c r="J276" s="712">
        <f>Bilans_E_AMS_Kyoto_run3_MTE!N389</f>
        <v>0</v>
      </c>
      <c r="K276" s="712">
        <f>Bilans_E_AMS_Kyoto_run3_MTE!O389</f>
        <v>0</v>
      </c>
      <c r="L276" s="712">
        <f>Bilans_E_AMS_Kyoto_run3_MTE!P389</f>
        <v>0</v>
      </c>
      <c r="M276" s="712">
        <f>Bilans_E_AMS_Kyoto_run3_MTE!Q389</f>
        <v>0</v>
      </c>
      <c r="N276" s="712">
        <f>Bilans_E_AMS_Kyoto_run3_MTE!R389</f>
        <v>0</v>
      </c>
      <c r="O276" s="712">
        <f>Bilans_E_AMS_Kyoto_run3_MTE!S389</f>
        <v>0</v>
      </c>
      <c r="P276" s="712">
        <f>Bilans_E_AMS_Kyoto_run3_MTE!T389+Bilans_E_AMS_Kyoto_run3_MTE!U389</f>
        <v>0</v>
      </c>
      <c r="Q276" s="712">
        <f>Bilans_E_AMS_Kyoto_run3_MTE!V389</f>
        <v>0</v>
      </c>
      <c r="R276" s="712">
        <f>Bilans_E_AMS_Kyoto_run3_MTE!W389</f>
        <v>0</v>
      </c>
      <c r="S276" s="712">
        <f>Bilans_E_AMS_Kyoto_run3_MTE!X389</f>
        <v>0</v>
      </c>
      <c r="T276" s="712">
        <f>Bilans_E_AMS_Kyoto_run3_MTE!Y389</f>
        <v>0</v>
      </c>
      <c r="U276" s="712">
        <f>Bilans_E_AMS_Kyoto_run3_MTE!Z389</f>
        <v>0</v>
      </c>
      <c r="V276" s="701"/>
      <c r="W276" s="701"/>
    </row>
    <row r="277" spans="1:23" x14ac:dyDescent="0.25">
      <c r="A277" s="701" t="s">
        <v>493</v>
      </c>
      <c r="B277" s="701"/>
      <c r="C277" s="713" t="s">
        <v>65</v>
      </c>
      <c r="D277" s="714">
        <f>Bilans_E_AMS_Kyoto_run3_MTE!H390</f>
        <v>12.531065673828124</v>
      </c>
      <c r="E277" s="714">
        <f>Bilans_E_AMS_Kyoto_run3_MTE!I390</f>
        <v>262.59596136173099</v>
      </c>
      <c r="F277" s="714">
        <f>Bilans_E_AMS_Kyoto_run3_MTE!J390</f>
        <v>26.932311781247869</v>
      </c>
      <c r="G277" s="714">
        <f>Bilans_E_AMS_Kyoto_run3_MTE!K390</f>
        <v>-1.7745291376735031</v>
      </c>
      <c r="H277" s="714">
        <f>Bilans_E_AMS_Kyoto_run3_MTE!L390</f>
        <v>145.88256317463066</v>
      </c>
      <c r="I277" s="714">
        <f>Bilans_E_AMS_Kyoto_run3_MTE!M390</f>
        <v>-0.83753949174200382</v>
      </c>
      <c r="J277" s="714">
        <f>Bilans_E_AMS_Kyoto_run3_MTE!N390</f>
        <v>1195.4990290598246</v>
      </c>
      <c r="K277" s="714">
        <f>Bilans_E_AMS_Kyoto_run3_MTE!O390</f>
        <v>352.81639892204078</v>
      </c>
      <c r="L277" s="714">
        <f>Bilans_E_AMS_Kyoto_run3_MTE!P390</f>
        <v>341.33694367798938</v>
      </c>
      <c r="M277" s="714">
        <f>Bilans_E_AMS_Kyoto_run3_MTE!Q390</f>
        <v>49.102811616128875</v>
      </c>
      <c r="N277" s="714">
        <f>Bilans_E_AMS_Kyoto_run3_MTE!R390</f>
        <v>0.38683623931831868</v>
      </c>
      <c r="O277" s="714">
        <f>Bilans_E_AMS_Kyoto_run3_MTE!S390</f>
        <v>2.9852495575387552</v>
      </c>
      <c r="P277" s="714">
        <f>Bilans_E_AMS_Kyoto_run3_MTE!T390+Bilans_E_AMS_Kyoto_run3_MTE!U390</f>
        <v>200.79978234592807</v>
      </c>
      <c r="Q277" s="714">
        <f>Bilans_E_AMS_Kyoto_run3_MTE!V390</f>
        <v>40.778741630012433</v>
      </c>
      <c r="R277" s="714">
        <f>Bilans_E_AMS_Kyoto_run3_MTE!W390</f>
        <v>-112.47635741768158</v>
      </c>
      <c r="S277" s="714">
        <f>Bilans_E_AMS_Kyoto_run3_MTE!X390</f>
        <v>0</v>
      </c>
      <c r="T277" s="714">
        <f>Bilans_E_AMS_Kyoto_run3_MTE!Y390</f>
        <v>-2.7503364994681085</v>
      </c>
      <c r="U277" s="714">
        <f>Bilans_E_AMS_Kyoto_run3_MTE!Z390</f>
        <v>2513.8089324936536</v>
      </c>
      <c r="V277" s="701"/>
      <c r="W277" s="701"/>
    </row>
    <row r="278" spans="1:23" x14ac:dyDescent="0.25">
      <c r="A278" s="701"/>
      <c r="B278" s="701"/>
      <c r="C278" s="715"/>
      <c r="D278" s="716"/>
      <c r="E278" s="716"/>
      <c r="F278" s="716"/>
      <c r="G278" s="716"/>
      <c r="H278" s="716"/>
      <c r="I278" s="716"/>
      <c r="J278" s="716"/>
      <c r="K278" s="716"/>
      <c r="L278" s="716"/>
      <c r="M278" s="716"/>
      <c r="N278" s="716"/>
      <c r="O278" s="716"/>
      <c r="P278" s="716">
        <f>Bilans_E_AMS_Kyoto_run3_MTE!T391+Bilans_E_AMS_Kyoto_run3_MTE!U391</f>
        <v>0</v>
      </c>
      <c r="Q278" s="716"/>
      <c r="R278" s="716"/>
      <c r="S278" s="716"/>
      <c r="T278" s="716"/>
      <c r="U278" s="716"/>
      <c r="V278" s="701"/>
      <c r="W278" s="701"/>
    </row>
    <row r="279" spans="1:23" x14ac:dyDescent="0.25">
      <c r="A279" s="701" t="s">
        <v>494</v>
      </c>
      <c r="B279" s="701"/>
      <c r="C279" s="717" t="s">
        <v>67</v>
      </c>
      <c r="D279" s="711">
        <f>Bilans_E_AMS_Kyoto_run3_MTE!H392</f>
        <v>0</v>
      </c>
      <c r="E279" s="711">
        <f>Bilans_E_AMS_Kyoto_run3_MTE!I392</f>
        <v>0</v>
      </c>
      <c r="F279" s="711">
        <f>Bilans_E_AMS_Kyoto_run3_MTE!J392</f>
        <v>0</v>
      </c>
      <c r="G279" s="711">
        <f>Bilans_E_AMS_Kyoto_run3_MTE!K392</f>
        <v>0</v>
      </c>
      <c r="H279" s="711">
        <f>Bilans_E_AMS_Kyoto_run3_MTE!L392</f>
        <v>0</v>
      </c>
      <c r="I279" s="711">
        <f>Bilans_E_AMS_Kyoto_run3_MTE!M392</f>
        <v>0</v>
      </c>
      <c r="J279" s="711">
        <f>Bilans_E_AMS_Kyoto_run3_MTE!N392</f>
        <v>0</v>
      </c>
      <c r="K279" s="711">
        <f>Bilans_E_AMS_Kyoto_run3_MTE!O392</f>
        <v>0</v>
      </c>
      <c r="L279" s="711">
        <f>Bilans_E_AMS_Kyoto_run3_MTE!P392</f>
        <v>0</v>
      </c>
      <c r="M279" s="711">
        <f>Bilans_E_AMS_Kyoto_run3_MTE!Q392</f>
        <v>0</v>
      </c>
      <c r="N279" s="711">
        <f>Bilans_E_AMS_Kyoto_run3_MTE!R392</f>
        <v>0</v>
      </c>
      <c r="O279" s="711">
        <f>Bilans_E_AMS_Kyoto_run3_MTE!S392</f>
        <v>0</v>
      </c>
      <c r="P279" s="711">
        <f>Bilans_E_AMS_Kyoto_run3_MTE!T392+Bilans_E_AMS_Kyoto_run3_MTE!U392</f>
        <v>0</v>
      </c>
      <c r="Q279" s="711">
        <f>Bilans_E_AMS_Kyoto_run3_MTE!V392</f>
        <v>0</v>
      </c>
      <c r="R279" s="711">
        <f>Bilans_E_AMS_Kyoto_run3_MTE!W392</f>
        <v>0</v>
      </c>
      <c r="S279" s="711">
        <f>Bilans_E_AMS_Kyoto_run3_MTE!X392</f>
        <v>0</v>
      </c>
      <c r="T279" s="711">
        <f>Bilans_E_AMS_Kyoto_run3_MTE!Y392</f>
        <v>0</v>
      </c>
      <c r="U279" s="711">
        <f>Bilans_E_AMS_Kyoto_run3_MTE!Z392</f>
        <v>0</v>
      </c>
      <c r="V279" s="701"/>
      <c r="W279" s="701"/>
    </row>
    <row r="280" spans="1:23" x14ac:dyDescent="0.25">
      <c r="A280" s="701" t="s">
        <v>495</v>
      </c>
      <c r="B280" s="701"/>
      <c r="C280" s="717" t="s">
        <v>347</v>
      </c>
      <c r="D280" s="711">
        <f>Bilans_E_AMS_Kyoto_run3_MTE!H393</f>
        <v>0</v>
      </c>
      <c r="E280" s="711">
        <f>Bilans_E_AMS_Kyoto_run3_MTE!I393</f>
        <v>0</v>
      </c>
      <c r="F280" s="711">
        <f>Bilans_E_AMS_Kyoto_run3_MTE!J393</f>
        <v>0.36057808628354604</v>
      </c>
      <c r="G280" s="711">
        <f>Bilans_E_AMS_Kyoto_run3_MTE!K393</f>
        <v>0</v>
      </c>
      <c r="H280" s="711">
        <f>Bilans_E_AMS_Kyoto_run3_MTE!L393</f>
        <v>8.6510705990175421</v>
      </c>
      <c r="I280" s="711">
        <f>Bilans_E_AMS_Kyoto_run3_MTE!M393</f>
        <v>0</v>
      </c>
      <c r="J280" s="711">
        <f>Bilans_E_AMS_Kyoto_run3_MTE!N393</f>
        <v>1193.4597454545453</v>
      </c>
      <c r="K280" s="711">
        <f>Bilans_E_AMS_Kyoto_run3_MTE!O393</f>
        <v>352.81639892204078</v>
      </c>
      <c r="L280" s="711">
        <f>Bilans_E_AMS_Kyoto_run3_MTE!P393</f>
        <v>17.169316423280179</v>
      </c>
      <c r="M280" s="711">
        <f>Bilans_E_AMS_Kyoto_run3_MTE!Q393</f>
        <v>5.7366833077088035</v>
      </c>
      <c r="N280" s="711">
        <f>Bilans_E_AMS_Kyoto_run3_MTE!R393</f>
        <v>5.3878161949008447</v>
      </c>
      <c r="O280" s="711">
        <f>Bilans_E_AMS_Kyoto_run3_MTE!S393</f>
        <v>5.0608301808950129</v>
      </c>
      <c r="P280" s="711">
        <f>Bilans_E_AMS_Kyoto_run3_MTE!T393+Bilans_E_AMS_Kyoto_run3_MTE!U393</f>
        <v>0</v>
      </c>
      <c r="Q280" s="711">
        <f>Bilans_E_AMS_Kyoto_run3_MTE!V393</f>
        <v>4.9774137725284184</v>
      </c>
      <c r="R280" s="711">
        <f>Bilans_E_AMS_Kyoto_run3_MTE!W393</f>
        <v>-770.22733582540855</v>
      </c>
      <c r="S280" s="711">
        <f>Bilans_E_AMS_Kyoto_run3_MTE!X393</f>
        <v>0</v>
      </c>
      <c r="T280" s="711">
        <f>Bilans_E_AMS_Kyoto_run3_MTE!Y393</f>
        <v>0</v>
      </c>
      <c r="U280" s="711">
        <f>Bilans_E_AMS_Kyoto_run3_MTE!Z393</f>
        <v>823.39251711579163</v>
      </c>
      <c r="V280" s="701"/>
      <c r="W280" s="701"/>
    </row>
    <row r="281" spans="1:23" x14ac:dyDescent="0.25">
      <c r="A281" s="701" t="s">
        <v>496</v>
      </c>
      <c r="B281" s="701"/>
      <c r="C281" s="717" t="s">
        <v>348</v>
      </c>
      <c r="D281" s="711">
        <f>Bilans_E_AMS_Kyoto_run3_MTE!H394</f>
        <v>0</v>
      </c>
      <c r="E281" s="711">
        <f>Bilans_E_AMS_Kyoto_run3_MTE!I394</f>
        <v>0</v>
      </c>
      <c r="F281" s="711">
        <f>Bilans_E_AMS_Kyoto_run3_MTE!J394</f>
        <v>0</v>
      </c>
      <c r="G281" s="711">
        <f>Bilans_E_AMS_Kyoto_run3_MTE!K394</f>
        <v>0</v>
      </c>
      <c r="H281" s="711">
        <f>Bilans_E_AMS_Kyoto_run3_MTE!L394</f>
        <v>16.741941849061199</v>
      </c>
      <c r="I281" s="711">
        <f>Bilans_E_AMS_Kyoto_run3_MTE!M394</f>
        <v>0</v>
      </c>
      <c r="J281" s="711">
        <f>Bilans_E_AMS_Kyoto_run3_MTE!N394</f>
        <v>2.0392836052791781</v>
      </c>
      <c r="K281" s="711">
        <f>Bilans_E_AMS_Kyoto_run3_MTE!O394</f>
        <v>0</v>
      </c>
      <c r="L281" s="711">
        <f>Bilans_E_AMS_Kyoto_run3_MTE!P394</f>
        <v>24.508111114586647</v>
      </c>
      <c r="M281" s="711">
        <f>Bilans_E_AMS_Kyoto_run3_MTE!Q394</f>
        <v>15.713393249215271</v>
      </c>
      <c r="N281" s="711">
        <f>Bilans_E_AMS_Kyoto_run3_MTE!R394</f>
        <v>0</v>
      </c>
      <c r="O281" s="711">
        <f>Bilans_E_AMS_Kyoto_run3_MTE!S394</f>
        <v>8.2544124688387157</v>
      </c>
      <c r="P281" s="711">
        <f>Bilans_E_AMS_Kyoto_run3_MTE!T394+Bilans_E_AMS_Kyoto_run3_MTE!U394</f>
        <v>15.880539172662751</v>
      </c>
      <c r="Q281" s="711">
        <f>Bilans_E_AMS_Kyoto_run3_MTE!V394</f>
        <v>15.123327125815617</v>
      </c>
      <c r="R281" s="711">
        <f>Bilans_E_AMS_Kyoto_run3_MTE!W394</f>
        <v>0</v>
      </c>
      <c r="S281" s="711">
        <f>Bilans_E_AMS_Kyoto_run3_MTE!X394</f>
        <v>-90.455475584151912</v>
      </c>
      <c r="T281" s="711">
        <f>Bilans_E_AMS_Kyoto_run3_MTE!Y394</f>
        <v>0</v>
      </c>
      <c r="U281" s="711">
        <f>Bilans_E_AMS_Kyoto_run3_MTE!Z394</f>
        <v>7.8055330013074666</v>
      </c>
      <c r="V281" s="701"/>
      <c r="W281" s="701"/>
    </row>
    <row r="282" spans="1:23" x14ac:dyDescent="0.25">
      <c r="A282" s="701" t="s">
        <v>497</v>
      </c>
      <c r="B282" s="701"/>
      <c r="C282" s="717" t="s">
        <v>349</v>
      </c>
      <c r="D282" s="711">
        <f>Bilans_E_AMS_Kyoto_run3_MTE!H395</f>
        <v>0</v>
      </c>
      <c r="E282" s="711">
        <f>Bilans_E_AMS_Kyoto_run3_MTE!I395</f>
        <v>0</v>
      </c>
      <c r="F282" s="711">
        <f>Bilans_E_AMS_Kyoto_run3_MTE!J395</f>
        <v>0</v>
      </c>
      <c r="G282" s="711">
        <f>Bilans_E_AMS_Kyoto_run3_MTE!K395</f>
        <v>0</v>
      </c>
      <c r="H282" s="711">
        <f>Bilans_E_AMS_Kyoto_run3_MTE!L395</f>
        <v>0</v>
      </c>
      <c r="I282" s="711">
        <f>Bilans_E_AMS_Kyoto_run3_MTE!M395</f>
        <v>0</v>
      </c>
      <c r="J282" s="711">
        <f>Bilans_E_AMS_Kyoto_run3_MTE!N395</f>
        <v>0</v>
      </c>
      <c r="K282" s="711">
        <f>Bilans_E_AMS_Kyoto_run3_MTE!O395</f>
        <v>0</v>
      </c>
      <c r="L282" s="711">
        <f>Bilans_E_AMS_Kyoto_run3_MTE!P395</f>
        <v>110.70220449796281</v>
      </c>
      <c r="M282" s="711">
        <f>Bilans_E_AMS_Kyoto_run3_MTE!Q395</f>
        <v>11.288363237424081</v>
      </c>
      <c r="N282" s="711">
        <f>Bilans_E_AMS_Kyoto_run3_MTE!R395</f>
        <v>0</v>
      </c>
      <c r="O282" s="711">
        <f>Bilans_E_AMS_Kyoto_run3_MTE!S395</f>
        <v>-61.07757335974334</v>
      </c>
      <c r="P282" s="711">
        <f>Bilans_E_AMS_Kyoto_run3_MTE!T395+Bilans_E_AMS_Kyoto_run3_MTE!U395</f>
        <v>0</v>
      </c>
      <c r="Q282" s="711">
        <f>Bilans_E_AMS_Kyoto_run3_MTE!V395</f>
        <v>0</v>
      </c>
      <c r="R282" s="711">
        <f>Bilans_E_AMS_Kyoto_run3_MTE!W395</f>
        <v>0</v>
      </c>
      <c r="S282" s="711">
        <f>Bilans_E_AMS_Kyoto_run3_MTE!X395</f>
        <v>0</v>
      </c>
      <c r="T282" s="711">
        <f>Bilans_E_AMS_Kyoto_run3_MTE!Y395</f>
        <v>0</v>
      </c>
      <c r="U282" s="711">
        <f>Bilans_E_AMS_Kyoto_run3_MTE!Z395</f>
        <v>60.912994375643549</v>
      </c>
      <c r="V282" s="701"/>
      <c r="W282" s="701"/>
    </row>
    <row r="283" spans="1:23" x14ac:dyDescent="0.25">
      <c r="A283" s="701" t="s">
        <v>498</v>
      </c>
      <c r="B283" s="701"/>
      <c r="C283" s="717" t="s">
        <v>350</v>
      </c>
      <c r="D283" s="711">
        <f>Bilans_E_AMS_Kyoto_run3_MTE!H396</f>
        <v>0</v>
      </c>
      <c r="E283" s="711">
        <f>Bilans_E_AMS_Kyoto_run3_MTE!I396</f>
        <v>0</v>
      </c>
      <c r="F283" s="711">
        <f>Bilans_E_AMS_Kyoto_run3_MTE!J396</f>
        <v>0</v>
      </c>
      <c r="G283" s="711">
        <f>Bilans_E_AMS_Kyoto_run3_MTE!K396</f>
        <v>0</v>
      </c>
      <c r="H283" s="711">
        <f>Bilans_E_AMS_Kyoto_run3_MTE!L396</f>
        <v>0</v>
      </c>
      <c r="I283" s="711">
        <f>Bilans_E_AMS_Kyoto_run3_MTE!M396</f>
        <v>-0.83753949174200382</v>
      </c>
      <c r="J283" s="711">
        <f>Bilans_E_AMS_Kyoto_run3_MTE!N396</f>
        <v>0</v>
      </c>
      <c r="K283" s="711">
        <f>Bilans_E_AMS_Kyoto_run3_MTE!O396</f>
        <v>0</v>
      </c>
      <c r="L283" s="711">
        <f>Bilans_E_AMS_Kyoto_run3_MTE!P396</f>
        <v>0</v>
      </c>
      <c r="M283" s="711">
        <f>Bilans_E_AMS_Kyoto_run3_MTE!Q396</f>
        <v>0</v>
      </c>
      <c r="N283" s="711">
        <f>Bilans_E_AMS_Kyoto_run3_MTE!R396</f>
        <v>0</v>
      </c>
      <c r="O283" s="711">
        <f>Bilans_E_AMS_Kyoto_run3_MTE!S396</f>
        <v>0</v>
      </c>
      <c r="P283" s="711">
        <f>Bilans_E_AMS_Kyoto_run3_MTE!T396+Bilans_E_AMS_Kyoto_run3_MTE!U396</f>
        <v>0</v>
      </c>
      <c r="Q283" s="711">
        <f>Bilans_E_AMS_Kyoto_run3_MTE!V396</f>
        <v>0</v>
      </c>
      <c r="R283" s="711">
        <f>Bilans_E_AMS_Kyoto_run3_MTE!W396</f>
        <v>0</v>
      </c>
      <c r="S283" s="711">
        <f>Bilans_E_AMS_Kyoto_run3_MTE!X396</f>
        <v>0</v>
      </c>
      <c r="T283" s="711">
        <f>Bilans_E_AMS_Kyoto_run3_MTE!Y396</f>
        <v>1.1632492940861165</v>
      </c>
      <c r="U283" s="711">
        <f>Bilans_E_AMS_Kyoto_run3_MTE!Z396</f>
        <v>0.32570980234411273</v>
      </c>
      <c r="V283" s="701"/>
      <c r="W283" s="701"/>
    </row>
    <row r="284" spans="1:23" x14ac:dyDescent="0.25">
      <c r="A284" s="701" t="s">
        <v>499</v>
      </c>
      <c r="B284" s="701"/>
      <c r="C284" s="717" t="s">
        <v>72</v>
      </c>
      <c r="D284" s="711">
        <f>Bilans_E_AMS_Kyoto_run3_MTE!H397</f>
        <v>0</v>
      </c>
      <c r="E284" s="711">
        <f>Bilans_E_AMS_Kyoto_run3_MTE!I397</f>
        <v>272.12802990456925</v>
      </c>
      <c r="F284" s="711">
        <f>Bilans_E_AMS_Kyoto_run3_MTE!J397</f>
        <v>-269.40674960552354</v>
      </c>
      <c r="G284" s="711">
        <f>Bilans_E_AMS_Kyoto_run3_MTE!K397</f>
        <v>0</v>
      </c>
      <c r="H284" s="711">
        <f>Bilans_E_AMS_Kyoto_run3_MTE!L397</f>
        <v>0</v>
      </c>
      <c r="I284" s="711">
        <f>Bilans_E_AMS_Kyoto_run3_MTE!M397</f>
        <v>0</v>
      </c>
      <c r="J284" s="711">
        <f>Bilans_E_AMS_Kyoto_run3_MTE!N397</f>
        <v>0</v>
      </c>
      <c r="K284" s="711">
        <f>Bilans_E_AMS_Kyoto_run3_MTE!O397</f>
        <v>0</v>
      </c>
      <c r="L284" s="711">
        <f>Bilans_E_AMS_Kyoto_run3_MTE!P397</f>
        <v>0</v>
      </c>
      <c r="M284" s="711">
        <f>Bilans_E_AMS_Kyoto_run3_MTE!Q397</f>
        <v>0</v>
      </c>
      <c r="N284" s="711">
        <f>Bilans_E_AMS_Kyoto_run3_MTE!R397</f>
        <v>0</v>
      </c>
      <c r="O284" s="711">
        <f>Bilans_E_AMS_Kyoto_run3_MTE!S397</f>
        <v>0</v>
      </c>
      <c r="P284" s="711">
        <f>Bilans_E_AMS_Kyoto_run3_MTE!T397+Bilans_E_AMS_Kyoto_run3_MTE!U397</f>
        <v>0</v>
      </c>
      <c r="Q284" s="711">
        <f>Bilans_E_AMS_Kyoto_run3_MTE!V397</f>
        <v>0</v>
      </c>
      <c r="R284" s="711">
        <f>Bilans_E_AMS_Kyoto_run3_MTE!W397</f>
        <v>0</v>
      </c>
      <c r="S284" s="711">
        <f>Bilans_E_AMS_Kyoto_run3_MTE!X397</f>
        <v>0</v>
      </c>
      <c r="T284" s="711">
        <f>Bilans_E_AMS_Kyoto_run3_MTE!Y397</f>
        <v>0</v>
      </c>
      <c r="U284" s="711">
        <f>Bilans_E_AMS_Kyoto_run3_MTE!Z397</f>
        <v>2.7212802990457021</v>
      </c>
      <c r="V284" s="701"/>
      <c r="W284" s="701"/>
    </row>
    <row r="285" spans="1:23" x14ac:dyDescent="0.25">
      <c r="A285" s="701" t="s">
        <v>500</v>
      </c>
      <c r="B285" s="701"/>
      <c r="C285" s="717" t="s">
        <v>351</v>
      </c>
      <c r="D285" s="711">
        <f>Bilans_E_AMS_Kyoto_run3_MTE!H398</f>
        <v>0</v>
      </c>
      <c r="E285" s="711">
        <f>Bilans_E_AMS_Kyoto_run3_MTE!I398</f>
        <v>0</v>
      </c>
      <c r="F285" s="711">
        <f>Bilans_E_AMS_Kyoto_run3_MTE!J398</f>
        <v>0</v>
      </c>
      <c r="G285" s="711">
        <f>Bilans_E_AMS_Kyoto_run3_MTE!K398</f>
        <v>0</v>
      </c>
      <c r="H285" s="711">
        <f>Bilans_E_AMS_Kyoto_run3_MTE!L398</f>
        <v>0</v>
      </c>
      <c r="I285" s="711">
        <f>Bilans_E_AMS_Kyoto_run3_MTE!M398</f>
        <v>0</v>
      </c>
      <c r="J285" s="711">
        <f>Bilans_E_AMS_Kyoto_run3_MTE!N398</f>
        <v>0</v>
      </c>
      <c r="K285" s="711">
        <f>Bilans_E_AMS_Kyoto_run3_MTE!O398</f>
        <v>0</v>
      </c>
      <c r="L285" s="711">
        <f>Bilans_E_AMS_Kyoto_run3_MTE!P398</f>
        <v>88.639921652360655</v>
      </c>
      <c r="M285" s="711">
        <f>Bilans_E_AMS_Kyoto_run3_MTE!Q398</f>
        <v>7.2727272727272725</v>
      </c>
      <c r="N285" s="711">
        <f>Bilans_E_AMS_Kyoto_run3_MTE!R398</f>
        <v>-53.457042752935592</v>
      </c>
      <c r="O285" s="711">
        <f>Bilans_E_AMS_Kyoto_run3_MTE!S398</f>
        <v>0</v>
      </c>
      <c r="P285" s="711">
        <f>Bilans_E_AMS_Kyoto_run3_MTE!T398+Bilans_E_AMS_Kyoto_run3_MTE!U398</f>
        <v>0</v>
      </c>
      <c r="Q285" s="711">
        <f>Bilans_E_AMS_Kyoto_run3_MTE!V398</f>
        <v>0</v>
      </c>
      <c r="R285" s="711">
        <f>Bilans_E_AMS_Kyoto_run3_MTE!W398</f>
        <v>0</v>
      </c>
      <c r="S285" s="711">
        <f>Bilans_E_AMS_Kyoto_run3_MTE!X398</f>
        <v>0</v>
      </c>
      <c r="T285" s="711">
        <f>Bilans_E_AMS_Kyoto_run3_MTE!Y398</f>
        <v>0</v>
      </c>
      <c r="U285" s="711">
        <f>Bilans_E_AMS_Kyoto_run3_MTE!Z398</f>
        <v>42.455606172152329</v>
      </c>
      <c r="V285" s="701"/>
      <c r="W285" s="701"/>
    </row>
    <row r="286" spans="1:23" x14ac:dyDescent="0.25">
      <c r="A286" s="701" t="s">
        <v>501</v>
      </c>
      <c r="B286" s="701"/>
      <c r="C286" s="717" t="s">
        <v>352</v>
      </c>
      <c r="D286" s="711">
        <f>Bilans_E_AMS_Kyoto_run3_MTE!H399</f>
        <v>0</v>
      </c>
      <c r="E286" s="711">
        <f>Bilans_E_AMS_Kyoto_run3_MTE!I399</f>
        <v>0</v>
      </c>
      <c r="F286" s="711">
        <f>Bilans_E_AMS_Kyoto_run3_MTE!J399</f>
        <v>0</v>
      </c>
      <c r="G286" s="711">
        <f>Bilans_E_AMS_Kyoto_run3_MTE!K399</f>
        <v>-4.3840446509759525</v>
      </c>
      <c r="H286" s="711">
        <f>Bilans_E_AMS_Kyoto_run3_MTE!L399</f>
        <v>0</v>
      </c>
      <c r="I286" s="711">
        <f>Bilans_E_AMS_Kyoto_run3_MTE!M399</f>
        <v>0</v>
      </c>
      <c r="J286" s="711">
        <f>Bilans_E_AMS_Kyoto_run3_MTE!N399</f>
        <v>0</v>
      </c>
      <c r="K286" s="711">
        <f>Bilans_E_AMS_Kyoto_run3_MTE!O399</f>
        <v>0</v>
      </c>
      <c r="L286" s="711">
        <f>Bilans_E_AMS_Kyoto_run3_MTE!P399</f>
        <v>0</v>
      </c>
      <c r="M286" s="711">
        <f>Bilans_E_AMS_Kyoto_run3_MTE!Q399</f>
        <v>0</v>
      </c>
      <c r="N286" s="711">
        <f>Bilans_E_AMS_Kyoto_run3_MTE!R399</f>
        <v>0</v>
      </c>
      <c r="O286" s="711">
        <f>Bilans_E_AMS_Kyoto_run3_MTE!S399</f>
        <v>0</v>
      </c>
      <c r="P286" s="711">
        <f>Bilans_E_AMS_Kyoto_run3_MTE!T399+Bilans_E_AMS_Kyoto_run3_MTE!U399</f>
        <v>0</v>
      </c>
      <c r="Q286" s="711">
        <f>Bilans_E_AMS_Kyoto_run3_MTE!V399</f>
        <v>0</v>
      </c>
      <c r="R286" s="711">
        <f>Bilans_E_AMS_Kyoto_run3_MTE!W399</f>
        <v>0</v>
      </c>
      <c r="S286" s="711">
        <f>Bilans_E_AMS_Kyoto_run3_MTE!X399</f>
        <v>0</v>
      </c>
      <c r="T286" s="711">
        <f>Bilans_E_AMS_Kyoto_run3_MTE!Y399</f>
        <v>7.2149491160735479</v>
      </c>
      <c r="U286" s="711">
        <f>Bilans_E_AMS_Kyoto_run3_MTE!Z399</f>
        <v>2.8309044650975954</v>
      </c>
      <c r="V286" s="701"/>
      <c r="W286" s="701"/>
    </row>
    <row r="287" spans="1:23" x14ac:dyDescent="0.25">
      <c r="A287" s="701" t="s">
        <v>502</v>
      </c>
      <c r="B287" s="701"/>
      <c r="C287" s="717" t="s">
        <v>73</v>
      </c>
      <c r="D287" s="711">
        <f>Bilans_E_AMS_Kyoto_run3_MTE!H400</f>
        <v>0</v>
      </c>
      <c r="E287" s="711">
        <f>Bilans_E_AMS_Kyoto_run3_MTE!I400</f>
        <v>0</v>
      </c>
      <c r="F287" s="711">
        <f>Bilans_E_AMS_Kyoto_run3_MTE!J400</f>
        <v>0</v>
      </c>
      <c r="G287" s="711">
        <f>Bilans_E_AMS_Kyoto_run3_MTE!K400</f>
        <v>0</v>
      </c>
      <c r="H287" s="711">
        <f>Bilans_E_AMS_Kyoto_run3_MTE!L400</f>
        <v>0</v>
      </c>
      <c r="I287" s="711">
        <f>Bilans_E_AMS_Kyoto_run3_MTE!M400</f>
        <v>0</v>
      </c>
      <c r="J287" s="711">
        <f>Bilans_E_AMS_Kyoto_run3_MTE!N400</f>
        <v>0</v>
      </c>
      <c r="K287" s="711">
        <f>Bilans_E_AMS_Kyoto_run3_MTE!O400</f>
        <v>0</v>
      </c>
      <c r="L287" s="711">
        <f>Bilans_E_AMS_Kyoto_run3_MTE!P400</f>
        <v>0</v>
      </c>
      <c r="M287" s="711">
        <f>Bilans_E_AMS_Kyoto_run3_MTE!Q400</f>
        <v>0</v>
      </c>
      <c r="N287" s="711">
        <f>Bilans_E_AMS_Kyoto_run3_MTE!R400</f>
        <v>0</v>
      </c>
      <c r="O287" s="711">
        <f>Bilans_E_AMS_Kyoto_run3_MTE!S400</f>
        <v>0</v>
      </c>
      <c r="P287" s="711">
        <f>Bilans_E_AMS_Kyoto_run3_MTE!T400+Bilans_E_AMS_Kyoto_run3_MTE!U400</f>
        <v>0</v>
      </c>
      <c r="Q287" s="711">
        <f>Bilans_E_AMS_Kyoto_run3_MTE!V400</f>
        <v>0</v>
      </c>
      <c r="R287" s="711">
        <f>Bilans_E_AMS_Kyoto_run3_MTE!W400</f>
        <v>40.8329668197633</v>
      </c>
      <c r="S287" s="711">
        <f>Bilans_E_AMS_Kyoto_run3_MTE!X400</f>
        <v>0</v>
      </c>
      <c r="T287" s="711">
        <f>Bilans_E_AMS_Kyoto_run3_MTE!Y400</f>
        <v>-27.684751503799522</v>
      </c>
      <c r="U287" s="711">
        <f>Bilans_E_AMS_Kyoto_run3_MTE!Z400</f>
        <v>13.148215315963778</v>
      </c>
      <c r="V287" s="701"/>
      <c r="W287" s="701"/>
    </row>
    <row r="288" spans="1:23" x14ac:dyDescent="0.25">
      <c r="A288" s="701" t="s">
        <v>503</v>
      </c>
      <c r="B288" s="701"/>
      <c r="C288" s="717" t="s">
        <v>353</v>
      </c>
      <c r="D288" s="711">
        <f>Bilans_E_AMS_Kyoto_run3_MTE!H401</f>
        <v>8.7196264453124996</v>
      </c>
      <c r="E288" s="711">
        <f>Bilans_E_AMS_Kyoto_run3_MTE!I401</f>
        <v>-9.5320685428382639</v>
      </c>
      <c r="F288" s="711">
        <f>Bilans_E_AMS_Kyoto_run3_MTE!J401</f>
        <v>12.621512149777095</v>
      </c>
      <c r="G288" s="711">
        <f>Bilans_E_AMS_Kyoto_run3_MTE!K401</f>
        <v>0</v>
      </c>
      <c r="H288" s="711">
        <f>Bilans_E_AMS_Kyoto_run3_MTE!L401</f>
        <v>0</v>
      </c>
      <c r="I288" s="711">
        <f>Bilans_E_AMS_Kyoto_run3_MTE!M401</f>
        <v>0</v>
      </c>
      <c r="J288" s="711">
        <f>Bilans_E_AMS_Kyoto_run3_MTE!N401</f>
        <v>0</v>
      </c>
      <c r="K288" s="711">
        <f>Bilans_E_AMS_Kyoto_run3_MTE!O401</f>
        <v>0</v>
      </c>
      <c r="L288" s="711">
        <f>Bilans_E_AMS_Kyoto_run3_MTE!P401</f>
        <v>0</v>
      </c>
      <c r="M288" s="711">
        <f>Bilans_E_AMS_Kyoto_run3_MTE!Q401</f>
        <v>0</v>
      </c>
      <c r="N288" s="711">
        <f>Bilans_E_AMS_Kyoto_run3_MTE!R401</f>
        <v>0</v>
      </c>
      <c r="O288" s="711">
        <f>Bilans_E_AMS_Kyoto_run3_MTE!S401</f>
        <v>0</v>
      </c>
      <c r="P288" s="711">
        <f>Bilans_E_AMS_Kyoto_run3_MTE!T401+Bilans_E_AMS_Kyoto_run3_MTE!U401</f>
        <v>0</v>
      </c>
      <c r="Q288" s="711">
        <f>Bilans_E_AMS_Kyoto_run3_MTE!V401</f>
        <v>0</v>
      </c>
      <c r="R288" s="711">
        <f>Bilans_E_AMS_Kyoto_run3_MTE!W401</f>
        <v>0</v>
      </c>
      <c r="S288" s="711">
        <f>Bilans_E_AMS_Kyoto_run3_MTE!X401</f>
        <v>0</v>
      </c>
      <c r="T288" s="711">
        <f>Bilans_E_AMS_Kyoto_run3_MTE!Y401</f>
        <v>0</v>
      </c>
      <c r="U288" s="711">
        <f>Bilans_E_AMS_Kyoto_run3_MTE!Z401</f>
        <v>11.809070052251331</v>
      </c>
      <c r="V288" s="701"/>
      <c r="W288" s="701"/>
    </row>
    <row r="289" spans="1:23" x14ac:dyDescent="0.25">
      <c r="A289" s="701" t="s">
        <v>504</v>
      </c>
      <c r="B289" s="701"/>
      <c r="C289" s="717" t="s">
        <v>75</v>
      </c>
      <c r="D289" s="711">
        <f>Bilans_E_AMS_Kyoto_run3_MTE!H402</f>
        <v>3.3909658398437501</v>
      </c>
      <c r="E289" s="711">
        <f>Bilans_E_AMS_Kyoto_run3_MTE!I402</f>
        <v>0</v>
      </c>
      <c r="F289" s="711">
        <f>Bilans_E_AMS_Kyoto_run3_MTE!J402</f>
        <v>9.432796735269573</v>
      </c>
      <c r="G289" s="711">
        <f>Bilans_E_AMS_Kyoto_run3_MTE!K402</f>
        <v>0</v>
      </c>
      <c r="H289" s="711">
        <f>Bilans_E_AMS_Kyoto_run3_MTE!L402</f>
        <v>0</v>
      </c>
      <c r="I289" s="711">
        <f>Bilans_E_AMS_Kyoto_run3_MTE!M402</f>
        <v>0</v>
      </c>
      <c r="J289" s="711">
        <f>Bilans_E_AMS_Kyoto_run3_MTE!N402</f>
        <v>0</v>
      </c>
      <c r="K289" s="711">
        <f>Bilans_E_AMS_Kyoto_run3_MTE!O402</f>
        <v>0</v>
      </c>
      <c r="L289" s="711">
        <f>Bilans_E_AMS_Kyoto_run3_MTE!P402</f>
        <v>0</v>
      </c>
      <c r="M289" s="711">
        <f>Bilans_E_AMS_Kyoto_run3_MTE!Q402</f>
        <v>0</v>
      </c>
      <c r="N289" s="711">
        <f>Bilans_E_AMS_Kyoto_run3_MTE!R402</f>
        <v>0</v>
      </c>
      <c r="O289" s="711">
        <f>Bilans_E_AMS_Kyoto_run3_MTE!S402</f>
        <v>0</v>
      </c>
      <c r="P289" s="711">
        <f>Bilans_E_AMS_Kyoto_run3_MTE!T402+Bilans_E_AMS_Kyoto_run3_MTE!U402</f>
        <v>0</v>
      </c>
      <c r="Q289" s="711">
        <f>Bilans_E_AMS_Kyoto_run3_MTE!V402</f>
        <v>0</v>
      </c>
      <c r="R289" s="711">
        <f>Bilans_E_AMS_Kyoto_run3_MTE!W402</f>
        <v>37.320812200670765</v>
      </c>
      <c r="S289" s="711">
        <f>Bilans_E_AMS_Kyoto_run3_MTE!X402</f>
        <v>0</v>
      </c>
      <c r="T289" s="711">
        <f>Bilans_E_AMS_Kyoto_run3_MTE!Y402</f>
        <v>2.676146999689228</v>
      </c>
      <c r="U289" s="711">
        <f>Bilans_E_AMS_Kyoto_run3_MTE!Z402</f>
        <v>52.820721775473316</v>
      </c>
      <c r="V289" s="701"/>
      <c r="W289" s="701"/>
    </row>
    <row r="290" spans="1:23" x14ac:dyDescent="0.25">
      <c r="A290" s="701" t="s">
        <v>505</v>
      </c>
      <c r="B290" s="701"/>
      <c r="C290" s="717" t="s">
        <v>76</v>
      </c>
      <c r="D290" s="711">
        <f>Bilans_E_AMS_Kyoto_run3_MTE!H403</f>
        <v>0</v>
      </c>
      <c r="E290" s="711">
        <f>Bilans_E_AMS_Kyoto_run3_MTE!I403</f>
        <v>0</v>
      </c>
      <c r="F290" s="711">
        <f>Bilans_E_AMS_Kyoto_run3_MTE!J403</f>
        <v>0</v>
      </c>
      <c r="G290" s="711">
        <f>Bilans_E_AMS_Kyoto_run3_MTE!K403</f>
        <v>0</v>
      </c>
      <c r="H290" s="711">
        <f>Bilans_E_AMS_Kyoto_run3_MTE!L403</f>
        <v>1.5888753550805288</v>
      </c>
      <c r="I290" s="711">
        <f>Bilans_E_AMS_Kyoto_run3_MTE!M403</f>
        <v>0</v>
      </c>
      <c r="J290" s="711">
        <f>Bilans_E_AMS_Kyoto_run3_MTE!N403</f>
        <v>0</v>
      </c>
      <c r="K290" s="711">
        <f>Bilans_E_AMS_Kyoto_run3_MTE!O403</f>
        <v>0</v>
      </c>
      <c r="L290" s="711">
        <f>Bilans_E_AMS_Kyoto_run3_MTE!P403</f>
        <v>0</v>
      </c>
      <c r="M290" s="711">
        <f>Bilans_E_AMS_Kyoto_run3_MTE!Q403</f>
        <v>0</v>
      </c>
      <c r="N290" s="711">
        <f>Bilans_E_AMS_Kyoto_run3_MTE!R403</f>
        <v>0</v>
      </c>
      <c r="O290" s="711">
        <f>Bilans_E_AMS_Kyoto_run3_MTE!S403</f>
        <v>0.74770604944966079</v>
      </c>
      <c r="P290" s="711">
        <f>Bilans_E_AMS_Kyoto_run3_MTE!T403+Bilans_E_AMS_Kyoto_run3_MTE!U403</f>
        <v>0</v>
      </c>
      <c r="Q290" s="711">
        <f>Bilans_E_AMS_Kyoto_run3_MTE!V403</f>
        <v>0</v>
      </c>
      <c r="R290" s="711">
        <f>Bilans_E_AMS_Kyoto_run3_MTE!W403</f>
        <v>53.75602745291291</v>
      </c>
      <c r="S290" s="711">
        <f>Bilans_E_AMS_Kyoto_run3_MTE!X403</f>
        <v>7.0140473976328979</v>
      </c>
      <c r="T290" s="711">
        <f>Bilans_E_AMS_Kyoto_run3_MTE!Y403</f>
        <v>0</v>
      </c>
      <c r="U290" s="711">
        <f>Bilans_E_AMS_Kyoto_run3_MTE!Z403</f>
        <v>63.106656255075997</v>
      </c>
      <c r="V290" s="701"/>
      <c r="W290" s="701"/>
    </row>
    <row r="291" spans="1:23" x14ac:dyDescent="0.25">
      <c r="A291" s="701" t="s">
        <v>506</v>
      </c>
      <c r="B291" s="701"/>
      <c r="C291" s="713" t="s">
        <v>77</v>
      </c>
      <c r="D291" s="714">
        <f>Bilans_E_AMS_Kyoto_run3_MTE!H404</f>
        <v>12.110592285156249</v>
      </c>
      <c r="E291" s="714">
        <f>Bilans_E_AMS_Kyoto_run3_MTE!I404</f>
        <v>262.59596136173099</v>
      </c>
      <c r="F291" s="714">
        <f>Bilans_E_AMS_Kyoto_run3_MTE!J404</f>
        <v>-246.9918626341933</v>
      </c>
      <c r="G291" s="714">
        <f>Bilans_E_AMS_Kyoto_run3_MTE!K404</f>
        <v>-4.3840446509759525</v>
      </c>
      <c r="H291" s="714">
        <f>Bilans_E_AMS_Kyoto_run3_MTE!L404</f>
        <v>26.981887803159271</v>
      </c>
      <c r="I291" s="714">
        <f>Bilans_E_AMS_Kyoto_run3_MTE!M404</f>
        <v>-0.83753949174200382</v>
      </c>
      <c r="J291" s="714">
        <f>Bilans_E_AMS_Kyoto_run3_MTE!N404</f>
        <v>1195.4990290598246</v>
      </c>
      <c r="K291" s="714">
        <f>Bilans_E_AMS_Kyoto_run3_MTE!O404</f>
        <v>352.81639892204078</v>
      </c>
      <c r="L291" s="714">
        <f>Bilans_E_AMS_Kyoto_run3_MTE!P404</f>
        <v>241.01955368819029</v>
      </c>
      <c r="M291" s="714">
        <f>Bilans_E_AMS_Kyoto_run3_MTE!Q404</f>
        <v>40.011167067075426</v>
      </c>
      <c r="N291" s="714">
        <f>Bilans_E_AMS_Kyoto_run3_MTE!R404</f>
        <v>-48.06922655803475</v>
      </c>
      <c r="O291" s="714">
        <f>Bilans_E_AMS_Kyoto_run3_MTE!S404</f>
        <v>-47.014624660559946</v>
      </c>
      <c r="P291" s="714">
        <f>Bilans_E_AMS_Kyoto_run3_MTE!T404+Bilans_E_AMS_Kyoto_run3_MTE!U404</f>
        <v>15.880539172662751</v>
      </c>
      <c r="Q291" s="714">
        <f>Bilans_E_AMS_Kyoto_run3_MTE!V404</f>
        <v>20.100740898344036</v>
      </c>
      <c r="R291" s="714">
        <f>Bilans_E_AMS_Kyoto_run3_MTE!W404</f>
        <v>-638.31752935206157</v>
      </c>
      <c r="S291" s="714">
        <f>Bilans_E_AMS_Kyoto_run3_MTE!X404</f>
        <v>-83.441428186519019</v>
      </c>
      <c r="T291" s="714">
        <f>Bilans_E_AMS_Kyoto_run3_MTE!Y404</f>
        <v>-16.630406093950629</v>
      </c>
      <c r="U291" s="714">
        <f>Bilans_E_AMS_Kyoto_run3_MTE!Z404</f>
        <v>1081.3292086301467</v>
      </c>
      <c r="V291" s="701"/>
      <c r="W291" s="701"/>
    </row>
    <row r="292" spans="1:23" x14ac:dyDescent="0.25">
      <c r="A292" s="701"/>
      <c r="B292" s="701"/>
      <c r="C292" s="715"/>
      <c r="D292" s="716"/>
      <c r="E292" s="716"/>
      <c r="F292" s="716"/>
      <c r="G292" s="716"/>
      <c r="H292" s="716"/>
      <c r="I292" s="716"/>
      <c r="J292" s="716"/>
      <c r="K292" s="716"/>
      <c r="L292" s="716"/>
      <c r="M292" s="716"/>
      <c r="N292" s="716"/>
      <c r="O292" s="716"/>
      <c r="P292" s="716">
        <f>Bilans_E_AMS_Kyoto_run3_MTE!T405+Bilans_E_AMS_Kyoto_run3_MTE!U405</f>
        <v>0</v>
      </c>
      <c r="Q292" s="716"/>
      <c r="R292" s="716"/>
      <c r="S292" s="716"/>
      <c r="T292" s="716"/>
      <c r="U292" s="716"/>
      <c r="V292" s="701"/>
      <c r="W292" s="701"/>
    </row>
    <row r="293" spans="1:23" x14ac:dyDescent="0.25">
      <c r="A293" s="701" t="s">
        <v>507</v>
      </c>
      <c r="B293" s="701"/>
      <c r="C293" s="717" t="s">
        <v>78</v>
      </c>
      <c r="D293" s="711">
        <f>Bilans_E_AMS_Kyoto_run3_MTE!H406</f>
        <v>0.420473388671875</v>
      </c>
      <c r="E293" s="711">
        <f>Bilans_E_AMS_Kyoto_run3_MTE!I406</f>
        <v>0</v>
      </c>
      <c r="F293" s="711">
        <f>Bilans_E_AMS_Kyoto_run3_MTE!J406</f>
        <v>4.5652166127933009</v>
      </c>
      <c r="G293" s="711">
        <f>Bilans_E_AMS_Kyoto_run3_MTE!K406</f>
        <v>0</v>
      </c>
      <c r="H293" s="711">
        <f>Bilans_E_AMS_Kyoto_run3_MTE!L406</f>
        <v>44.193879337952673</v>
      </c>
      <c r="I293" s="711">
        <f>Bilans_E_AMS_Kyoto_run3_MTE!M406</f>
        <v>0</v>
      </c>
      <c r="J293" s="711">
        <f>Bilans_E_AMS_Kyoto_run3_MTE!N406</f>
        <v>0</v>
      </c>
      <c r="K293" s="711">
        <f>Bilans_E_AMS_Kyoto_run3_MTE!O406</f>
        <v>0</v>
      </c>
      <c r="L293" s="711">
        <f>Bilans_E_AMS_Kyoto_run3_MTE!P406</f>
        <v>37.859111409249969</v>
      </c>
      <c r="M293" s="711">
        <f>Bilans_E_AMS_Kyoto_run3_MTE!Q406</f>
        <v>9.091644549053445</v>
      </c>
      <c r="N293" s="711">
        <f>Bilans_E_AMS_Kyoto_run3_MTE!R406</f>
        <v>0.79775456348402363</v>
      </c>
      <c r="O293" s="711">
        <f>Bilans_E_AMS_Kyoto_run3_MTE!S406</f>
        <v>20.833903688960643</v>
      </c>
      <c r="P293" s="711">
        <f>Bilans_E_AMS_Kyoto_run3_MTE!T406+Bilans_E_AMS_Kyoto_run3_MTE!U406</f>
        <v>9.7897363281250005</v>
      </c>
      <c r="Q293" s="711">
        <f>Bilans_E_AMS_Kyoto_run3_MTE!V406</f>
        <v>7.4990210834655101E-4</v>
      </c>
      <c r="R293" s="711">
        <f>Bilans_E_AMS_Kyoto_run3_MTE!W406</f>
        <v>154.61632550799115</v>
      </c>
      <c r="S293" s="711">
        <f>Bilans_E_AMS_Kyoto_run3_MTE!X406</f>
        <v>19.58585971983296</v>
      </c>
      <c r="T293" s="711">
        <f>Bilans_E_AMS_Kyoto_run3_MTE!Y406</f>
        <v>8.1097109374999992</v>
      </c>
      <c r="U293" s="711">
        <f>Bilans_E_AMS_Kyoto_run3_MTE!Z406</f>
        <v>309.86436594572336</v>
      </c>
      <c r="V293" s="701"/>
      <c r="W293" s="701"/>
    </row>
    <row r="294" spans="1:23" x14ac:dyDescent="0.25">
      <c r="A294" s="701" t="s">
        <v>508</v>
      </c>
      <c r="B294" s="701"/>
      <c r="C294" s="717" t="s">
        <v>79</v>
      </c>
      <c r="D294" s="711">
        <f>Bilans_E_AMS_Kyoto_run3_MTE!H407</f>
        <v>0</v>
      </c>
      <c r="E294" s="711">
        <f>Bilans_E_AMS_Kyoto_run3_MTE!I407</f>
        <v>0</v>
      </c>
      <c r="F294" s="711">
        <f>Bilans_E_AMS_Kyoto_run3_MTE!J407</f>
        <v>145.74847122117117</v>
      </c>
      <c r="G294" s="711">
        <f>Bilans_E_AMS_Kyoto_run3_MTE!K407</f>
        <v>0.6</v>
      </c>
      <c r="H294" s="711">
        <f>Bilans_E_AMS_Kyoto_run3_MTE!L407</f>
        <v>5.158710288451207</v>
      </c>
      <c r="I294" s="711">
        <f>Bilans_E_AMS_Kyoto_run3_MTE!M407</f>
        <v>0</v>
      </c>
      <c r="J294" s="711">
        <f>Bilans_E_AMS_Kyoto_run3_MTE!N407</f>
        <v>0</v>
      </c>
      <c r="K294" s="711">
        <f>Bilans_E_AMS_Kyoto_run3_MTE!O407</f>
        <v>0</v>
      </c>
      <c r="L294" s="711">
        <f>Bilans_E_AMS_Kyoto_run3_MTE!P407</f>
        <v>0</v>
      </c>
      <c r="M294" s="711">
        <f>Bilans_E_AMS_Kyoto_run3_MTE!Q407</f>
        <v>0</v>
      </c>
      <c r="N294" s="711">
        <f>Bilans_E_AMS_Kyoto_run3_MTE!R407</f>
        <v>37.983450784080269</v>
      </c>
      <c r="O294" s="711">
        <f>Bilans_E_AMS_Kyoto_run3_MTE!S407</f>
        <v>2.4276283710358628</v>
      </c>
      <c r="P294" s="711">
        <f>Bilans_E_AMS_Kyoto_run3_MTE!T407+Bilans_E_AMS_Kyoto_run3_MTE!U407</f>
        <v>0</v>
      </c>
      <c r="Q294" s="711">
        <f>Bilans_E_AMS_Kyoto_run3_MTE!V407</f>
        <v>0</v>
      </c>
      <c r="R294" s="711">
        <f>Bilans_E_AMS_Kyoto_run3_MTE!W407</f>
        <v>85.093782574296696</v>
      </c>
      <c r="S294" s="711">
        <f>Bilans_E_AMS_Kyoto_run3_MTE!X407</f>
        <v>0</v>
      </c>
      <c r="T294" s="711">
        <f>Bilans_E_AMS_Kyoto_run3_MTE!Y407</f>
        <v>3.6734052555319421</v>
      </c>
      <c r="U294" s="711">
        <f>Bilans_E_AMS_Kyoto_run3_MTE!Z407</f>
        <v>280.68544849456714</v>
      </c>
      <c r="V294" s="701"/>
      <c r="W294" s="701"/>
    </row>
    <row r="295" spans="1:23" x14ac:dyDescent="0.25">
      <c r="A295" s="701" t="s">
        <v>509</v>
      </c>
      <c r="B295" s="701"/>
      <c r="C295" s="717" t="s">
        <v>80</v>
      </c>
      <c r="D295" s="711">
        <f>Bilans_E_AMS_Kyoto_run3_MTE!H408</f>
        <v>0</v>
      </c>
      <c r="E295" s="711">
        <f>Bilans_E_AMS_Kyoto_run3_MTE!I408</f>
        <v>0</v>
      </c>
      <c r="F295" s="711">
        <f>Bilans_E_AMS_Kyoto_run3_MTE!J408</f>
        <v>0.67200053608066723</v>
      </c>
      <c r="G295" s="711">
        <f>Bilans_E_AMS_Kyoto_run3_MTE!K408</f>
        <v>0</v>
      </c>
      <c r="H295" s="711">
        <f>Bilans_E_AMS_Kyoto_run3_MTE!L408</f>
        <v>33.793440313703563</v>
      </c>
      <c r="I295" s="711">
        <f>Bilans_E_AMS_Kyoto_run3_MTE!M408</f>
        <v>0</v>
      </c>
      <c r="J295" s="711">
        <f>Bilans_E_AMS_Kyoto_run3_MTE!N408</f>
        <v>0</v>
      </c>
      <c r="K295" s="711">
        <f>Bilans_E_AMS_Kyoto_run3_MTE!O408</f>
        <v>0</v>
      </c>
      <c r="L295" s="711">
        <f>Bilans_E_AMS_Kyoto_run3_MTE!P408</f>
        <v>46.869025063770188</v>
      </c>
      <c r="M295" s="711">
        <f>Bilans_E_AMS_Kyoto_run3_MTE!Q408</f>
        <v>0</v>
      </c>
      <c r="N295" s="711">
        <f>Bilans_E_AMS_Kyoto_run3_MTE!R408</f>
        <v>0</v>
      </c>
      <c r="O295" s="711">
        <f>Bilans_E_AMS_Kyoto_run3_MTE!S408</f>
        <v>15.902795441742857</v>
      </c>
      <c r="P295" s="711">
        <f>Bilans_E_AMS_Kyoto_run3_MTE!T408+Bilans_E_AMS_Kyoto_run3_MTE!U408</f>
        <v>126.0368711002035</v>
      </c>
      <c r="Q295" s="711">
        <f>Bilans_E_AMS_Kyoto_run3_MTE!V408</f>
        <v>10.28748002838279</v>
      </c>
      <c r="R295" s="711">
        <f>Bilans_E_AMS_Kyoto_run3_MTE!W408</f>
        <v>153.25630739971572</v>
      </c>
      <c r="S295" s="711">
        <f>Bilans_E_AMS_Kyoto_run3_MTE!X408</f>
        <v>40.560183148779373</v>
      </c>
      <c r="T295" s="711">
        <f>Bilans_E_AMS_Kyoto_run3_MTE!Y408</f>
        <v>0</v>
      </c>
      <c r="U295" s="711">
        <f>Bilans_E_AMS_Kyoto_run3_MTE!Z408</f>
        <v>427.3781030323787</v>
      </c>
      <c r="V295" s="701"/>
      <c r="W295" s="701"/>
    </row>
    <row r="296" spans="1:23" x14ac:dyDescent="0.25">
      <c r="A296" s="701" t="s">
        <v>510</v>
      </c>
      <c r="B296" s="701"/>
      <c r="C296" s="717" t="s">
        <v>81</v>
      </c>
      <c r="D296" s="711">
        <f>Bilans_E_AMS_Kyoto_run3_MTE!H409</f>
        <v>0</v>
      </c>
      <c r="E296" s="711">
        <f>Bilans_E_AMS_Kyoto_run3_MTE!I409</f>
        <v>0</v>
      </c>
      <c r="F296" s="711">
        <f>Bilans_E_AMS_Kyoto_run3_MTE!J409</f>
        <v>1.3024591903190665</v>
      </c>
      <c r="G296" s="711">
        <f>Bilans_E_AMS_Kyoto_run3_MTE!K409</f>
        <v>0</v>
      </c>
      <c r="H296" s="711">
        <f>Bilans_E_AMS_Kyoto_run3_MTE!L409</f>
        <v>22.107329443509556</v>
      </c>
      <c r="I296" s="711">
        <f>Bilans_E_AMS_Kyoto_run3_MTE!M409</f>
        <v>0</v>
      </c>
      <c r="J296" s="711">
        <f>Bilans_E_AMS_Kyoto_run3_MTE!N409</f>
        <v>0</v>
      </c>
      <c r="K296" s="711">
        <f>Bilans_E_AMS_Kyoto_run3_MTE!O409</f>
        <v>0</v>
      </c>
      <c r="L296" s="711">
        <f>Bilans_E_AMS_Kyoto_run3_MTE!P409</f>
        <v>0.55939285776182701</v>
      </c>
      <c r="M296" s="711">
        <f>Bilans_E_AMS_Kyoto_run3_MTE!Q409</f>
        <v>0</v>
      </c>
      <c r="N296" s="711">
        <f>Bilans_E_AMS_Kyoto_run3_MTE!R409</f>
        <v>0</v>
      </c>
      <c r="O296" s="711">
        <f>Bilans_E_AMS_Kyoto_run3_MTE!S409</f>
        <v>10.403449149886853</v>
      </c>
      <c r="P296" s="711">
        <f>Bilans_E_AMS_Kyoto_run3_MTE!T409+Bilans_E_AMS_Kyoto_run3_MTE!U409</f>
        <v>48.192635744936815</v>
      </c>
      <c r="Q296" s="711">
        <f>Bilans_E_AMS_Kyoto_run3_MTE!V409</f>
        <v>9.224237582113501</v>
      </c>
      <c r="R296" s="711">
        <f>Bilans_E_AMS_Kyoto_run3_MTE!W409</f>
        <v>121.55538254836378</v>
      </c>
      <c r="S296" s="711">
        <f>Bilans_E_AMS_Kyoto_run3_MTE!X409</f>
        <v>23.29535389238076</v>
      </c>
      <c r="T296" s="711">
        <f>Bilans_E_AMS_Kyoto_run3_MTE!Y409</f>
        <v>0</v>
      </c>
      <c r="U296" s="711">
        <f>Bilans_E_AMS_Kyoto_run3_MTE!Z409</f>
        <v>236.64024040927217</v>
      </c>
      <c r="V296" s="701"/>
      <c r="W296" s="701"/>
    </row>
    <row r="297" spans="1:23" x14ac:dyDescent="0.25">
      <c r="A297" s="701" t="s">
        <v>511</v>
      </c>
      <c r="B297" s="701"/>
      <c r="C297" s="717" t="s">
        <v>82</v>
      </c>
      <c r="D297" s="711">
        <f>Bilans_E_AMS_Kyoto_run3_MTE!H410</f>
        <v>0</v>
      </c>
      <c r="E297" s="711">
        <f>Bilans_E_AMS_Kyoto_run3_MTE!I410</f>
        <v>0</v>
      </c>
      <c r="F297" s="711">
        <f>Bilans_E_AMS_Kyoto_run3_MTE!J410</f>
        <v>17.072371941732264</v>
      </c>
      <c r="G297" s="711">
        <f>Bilans_E_AMS_Kyoto_run3_MTE!K410</f>
        <v>0</v>
      </c>
      <c r="H297" s="711">
        <f>Bilans_E_AMS_Kyoto_run3_MTE!L410</f>
        <v>0.9182073287540522</v>
      </c>
      <c r="I297" s="711">
        <f>Bilans_E_AMS_Kyoto_run3_MTE!M410</f>
        <v>0</v>
      </c>
      <c r="J297" s="711">
        <f>Bilans_E_AMS_Kyoto_run3_MTE!N410</f>
        <v>0</v>
      </c>
      <c r="K297" s="711">
        <f>Bilans_E_AMS_Kyoto_run3_MTE!O410</f>
        <v>0</v>
      </c>
      <c r="L297" s="711">
        <f>Bilans_E_AMS_Kyoto_run3_MTE!P410</f>
        <v>14.623275458181073</v>
      </c>
      <c r="M297" s="711">
        <f>Bilans_E_AMS_Kyoto_run3_MTE!Q410</f>
        <v>0</v>
      </c>
      <c r="N297" s="711">
        <f>Bilans_E_AMS_Kyoto_run3_MTE!R410</f>
        <v>6.5072970956675134</v>
      </c>
      <c r="O297" s="711">
        <f>Bilans_E_AMS_Kyoto_run3_MTE!S410</f>
        <v>0.43209756647249531</v>
      </c>
      <c r="P297" s="711">
        <f>Bilans_E_AMS_Kyoto_run3_MTE!T410+Bilans_E_AMS_Kyoto_run3_MTE!U410</f>
        <v>0.9</v>
      </c>
      <c r="Q297" s="711">
        <f>Bilans_E_AMS_Kyoto_run3_MTE!V410</f>
        <v>1.1655332190637568</v>
      </c>
      <c r="R297" s="711">
        <f>Bilans_E_AMS_Kyoto_run3_MTE!W410</f>
        <v>9.1593739040126536</v>
      </c>
      <c r="S297" s="711">
        <f>Bilans_E_AMS_Kyoto_run3_MTE!X410</f>
        <v>0</v>
      </c>
      <c r="T297" s="711">
        <f>Bilans_E_AMS_Kyoto_run3_MTE!Y410</f>
        <v>0.38638525521088363</v>
      </c>
      <c r="U297" s="711">
        <f>Bilans_E_AMS_Kyoto_run3_MTE!Z410</f>
        <v>51.164541769094683</v>
      </c>
      <c r="V297" s="701"/>
      <c r="W297" s="701"/>
    </row>
    <row r="298" spans="1:23" x14ac:dyDescent="0.25">
      <c r="A298" s="701" t="s">
        <v>512</v>
      </c>
      <c r="B298" s="701"/>
      <c r="C298" s="717" t="s">
        <v>354</v>
      </c>
      <c r="D298" s="711">
        <f>Bilans_E_AMS_Kyoto_run3_MTE!H411</f>
        <v>0</v>
      </c>
      <c r="E298" s="711">
        <f>Bilans_E_AMS_Kyoto_run3_MTE!I411</f>
        <v>0</v>
      </c>
      <c r="F298" s="711">
        <f>Bilans_E_AMS_Kyoto_run3_MTE!J411</f>
        <v>0</v>
      </c>
      <c r="G298" s="711">
        <f>Bilans_E_AMS_Kyoto_run3_MTE!K411</f>
        <v>0</v>
      </c>
      <c r="H298" s="711">
        <f>Bilans_E_AMS_Kyoto_run3_MTE!L411</f>
        <v>0</v>
      </c>
      <c r="I298" s="711">
        <f>Bilans_E_AMS_Kyoto_run3_MTE!M411</f>
        <v>0</v>
      </c>
      <c r="J298" s="711">
        <f>Bilans_E_AMS_Kyoto_run3_MTE!N411</f>
        <v>0</v>
      </c>
      <c r="K298" s="711">
        <f>Bilans_E_AMS_Kyoto_run3_MTE!O411</f>
        <v>0</v>
      </c>
      <c r="L298" s="711">
        <f>Bilans_E_AMS_Kyoto_run3_MTE!P411</f>
        <v>0</v>
      </c>
      <c r="M298" s="711">
        <f>Bilans_E_AMS_Kyoto_run3_MTE!Q411</f>
        <v>0</v>
      </c>
      <c r="N298" s="711">
        <f>Bilans_E_AMS_Kyoto_run3_MTE!R411</f>
        <v>0</v>
      </c>
      <c r="O298" s="711">
        <f>Bilans_E_AMS_Kyoto_run3_MTE!S411</f>
        <v>0</v>
      </c>
      <c r="P298" s="711">
        <f>Bilans_E_AMS_Kyoto_run3_MTE!T411+Bilans_E_AMS_Kyoto_run3_MTE!U411</f>
        <v>0</v>
      </c>
      <c r="Q298" s="711">
        <f>Bilans_E_AMS_Kyoto_run3_MTE!V411</f>
        <v>0</v>
      </c>
      <c r="R298" s="711">
        <f>Bilans_E_AMS_Kyoto_run3_MTE!W411</f>
        <v>2.16</v>
      </c>
      <c r="S298" s="711">
        <f>Bilans_E_AMS_Kyoto_run3_MTE!X411</f>
        <v>0</v>
      </c>
      <c r="T298" s="711">
        <f>Bilans_E_AMS_Kyoto_run3_MTE!Y411</f>
        <v>0</v>
      </c>
      <c r="U298" s="711">
        <f>Bilans_E_AMS_Kyoto_run3_MTE!Z411</f>
        <v>2.16</v>
      </c>
      <c r="V298" s="701"/>
      <c r="W298" s="701"/>
    </row>
    <row r="299" spans="1:23" x14ac:dyDescent="0.25">
      <c r="A299" s="701" t="s">
        <v>513</v>
      </c>
      <c r="B299" s="701"/>
      <c r="C299" s="713" t="s">
        <v>83</v>
      </c>
      <c r="D299" s="714">
        <f>Bilans_E_AMS_Kyoto_run3_MTE!H412</f>
        <v>0.420473388671875</v>
      </c>
      <c r="E299" s="714">
        <f>Bilans_E_AMS_Kyoto_run3_MTE!I412</f>
        <v>0</v>
      </c>
      <c r="F299" s="714">
        <f>Bilans_E_AMS_Kyoto_run3_MTE!J412</f>
        <v>169.36051950209648</v>
      </c>
      <c r="G299" s="714">
        <f>Bilans_E_AMS_Kyoto_run3_MTE!K412</f>
        <v>0.6</v>
      </c>
      <c r="H299" s="714">
        <f>Bilans_E_AMS_Kyoto_run3_MTE!L412</f>
        <v>106.17156671237105</v>
      </c>
      <c r="I299" s="714">
        <f>Bilans_E_AMS_Kyoto_run3_MTE!M412</f>
        <v>0</v>
      </c>
      <c r="J299" s="714">
        <f>Bilans_E_AMS_Kyoto_run3_MTE!N412</f>
        <v>0</v>
      </c>
      <c r="K299" s="714">
        <f>Bilans_E_AMS_Kyoto_run3_MTE!O412</f>
        <v>0</v>
      </c>
      <c r="L299" s="714">
        <f>Bilans_E_AMS_Kyoto_run3_MTE!P412</f>
        <v>99.910804788963048</v>
      </c>
      <c r="M299" s="714">
        <f>Bilans_E_AMS_Kyoto_run3_MTE!Q412</f>
        <v>9.091644549053445</v>
      </c>
      <c r="N299" s="714">
        <f>Bilans_E_AMS_Kyoto_run3_MTE!R412</f>
        <v>45.288502443231806</v>
      </c>
      <c r="O299" s="714">
        <f>Bilans_E_AMS_Kyoto_run3_MTE!S412</f>
        <v>49.999874218098711</v>
      </c>
      <c r="P299" s="714">
        <f>Bilans_E_AMS_Kyoto_run3_MTE!T412+Bilans_E_AMS_Kyoto_run3_MTE!U412</f>
        <v>184.9192431732653</v>
      </c>
      <c r="Q299" s="714">
        <f>Bilans_E_AMS_Kyoto_run3_MTE!V412</f>
        <v>20.678000731668394</v>
      </c>
      <c r="R299" s="714">
        <f>Bilans_E_AMS_Kyoto_run3_MTE!W412</f>
        <v>525.84117193437999</v>
      </c>
      <c r="S299" s="714">
        <f>Bilans_E_AMS_Kyoto_run3_MTE!X412</f>
        <v>83.441396760993086</v>
      </c>
      <c r="T299" s="714">
        <f>Bilans_E_AMS_Kyoto_run3_MTE!Y412</f>
        <v>12.169501448242825</v>
      </c>
      <c r="U299" s="714">
        <f>Bilans_E_AMS_Kyoto_run3_MTE!Z412</f>
        <v>1307.8926996510361</v>
      </c>
      <c r="V299" s="701"/>
      <c r="W299" s="701"/>
    </row>
    <row r="300" spans="1:23" x14ac:dyDescent="0.25">
      <c r="A300" s="701" t="s">
        <v>514</v>
      </c>
      <c r="B300" s="701"/>
      <c r="C300" s="710" t="s">
        <v>84</v>
      </c>
      <c r="D300" s="711">
        <f>Bilans_E_AMS_Kyoto_run3_MTE!H413</f>
        <v>0</v>
      </c>
      <c r="E300" s="711">
        <f>Bilans_E_AMS_Kyoto_run3_MTE!I413</f>
        <v>0</v>
      </c>
      <c r="F300" s="711">
        <f>Bilans_E_AMS_Kyoto_run3_MTE!J413</f>
        <v>104.56365491334468</v>
      </c>
      <c r="G300" s="711">
        <f>Bilans_E_AMS_Kyoto_run3_MTE!K413</f>
        <v>2.0095155133024498</v>
      </c>
      <c r="H300" s="711">
        <f>Bilans_E_AMS_Kyoto_run3_MTE!L413</f>
        <v>12.7291086591003</v>
      </c>
      <c r="I300" s="711">
        <f>Bilans_E_AMS_Kyoto_run3_MTE!M413</f>
        <v>0</v>
      </c>
      <c r="J300" s="711">
        <f>Bilans_E_AMS_Kyoto_run3_MTE!N413</f>
        <v>0</v>
      </c>
      <c r="K300" s="711">
        <f>Bilans_E_AMS_Kyoto_run3_MTE!O413</f>
        <v>0</v>
      </c>
      <c r="L300" s="711">
        <f>Bilans_E_AMS_Kyoto_run3_MTE!P413</f>
        <v>0.40658520083603628</v>
      </c>
      <c r="M300" s="711">
        <f>Bilans_E_AMS_Kyoto_run3_MTE!Q413</f>
        <v>0</v>
      </c>
      <c r="N300" s="711">
        <f>Bilans_E_AMS_Kyoto_run3_MTE!R413</f>
        <v>3.1675603541212554</v>
      </c>
      <c r="O300" s="711">
        <f>Bilans_E_AMS_Kyoto_run3_MTE!S413</f>
        <v>0</v>
      </c>
      <c r="P300" s="711">
        <f>Bilans_E_AMS_Kyoto_run3_MTE!T413+Bilans_E_AMS_Kyoto_run3_MTE!U413</f>
        <v>0</v>
      </c>
      <c r="Q300" s="711">
        <f>Bilans_E_AMS_Kyoto_run3_MTE!V413</f>
        <v>0</v>
      </c>
      <c r="R300" s="711">
        <f>Bilans_E_AMS_Kyoto_run3_MTE!W413</f>
        <v>0</v>
      </c>
      <c r="S300" s="711">
        <f>Bilans_E_AMS_Kyoto_run3_MTE!X413</f>
        <v>0</v>
      </c>
      <c r="T300" s="711">
        <f>Bilans_E_AMS_Kyoto_run3_MTE!Y413</f>
        <v>1.710568146239696</v>
      </c>
      <c r="U300" s="711">
        <f>Bilans_E_AMS_Kyoto_run3_MTE!Z413</f>
        <v>124.58699278694441</v>
      </c>
      <c r="V300" s="701"/>
      <c r="W300" s="701"/>
    </row>
    <row r="301" spans="1:23" x14ac:dyDescent="0.25">
      <c r="A301" s="701" t="s">
        <v>515</v>
      </c>
      <c r="B301" s="701"/>
      <c r="C301" s="713" t="s">
        <v>85</v>
      </c>
      <c r="D301" s="714">
        <f>Bilans_E_AMS_Kyoto_run3_MTE!H414</f>
        <v>0.420473388671875</v>
      </c>
      <c r="E301" s="714">
        <f>Bilans_E_AMS_Kyoto_run3_MTE!I414</f>
        <v>0</v>
      </c>
      <c r="F301" s="714">
        <f>Bilans_E_AMS_Kyoto_run3_MTE!J414</f>
        <v>273.92417441544114</v>
      </c>
      <c r="G301" s="714">
        <f>Bilans_E_AMS_Kyoto_run3_MTE!K414</f>
        <v>2.6095155133024499</v>
      </c>
      <c r="H301" s="714">
        <f>Bilans_E_AMS_Kyoto_run3_MTE!L414</f>
        <v>118.90067537147135</v>
      </c>
      <c r="I301" s="714">
        <f>Bilans_E_AMS_Kyoto_run3_MTE!M414</f>
        <v>0</v>
      </c>
      <c r="J301" s="714">
        <f>Bilans_E_AMS_Kyoto_run3_MTE!N414</f>
        <v>0</v>
      </c>
      <c r="K301" s="714">
        <f>Bilans_E_AMS_Kyoto_run3_MTE!O414</f>
        <v>0</v>
      </c>
      <c r="L301" s="714">
        <f>Bilans_E_AMS_Kyoto_run3_MTE!P414</f>
        <v>100.31738998979908</v>
      </c>
      <c r="M301" s="714">
        <f>Bilans_E_AMS_Kyoto_run3_MTE!Q414</f>
        <v>9.091644549053445</v>
      </c>
      <c r="N301" s="714">
        <f>Bilans_E_AMS_Kyoto_run3_MTE!R414</f>
        <v>48.456062797353063</v>
      </c>
      <c r="O301" s="714">
        <f>Bilans_E_AMS_Kyoto_run3_MTE!S414</f>
        <v>49.999874218098711</v>
      </c>
      <c r="P301" s="714">
        <f>Bilans_E_AMS_Kyoto_run3_MTE!T414+Bilans_E_AMS_Kyoto_run3_MTE!U414</f>
        <v>184.9192431732653</v>
      </c>
      <c r="Q301" s="714">
        <f>Bilans_E_AMS_Kyoto_run3_MTE!V414</f>
        <v>20.678000731668394</v>
      </c>
      <c r="R301" s="714">
        <f>Bilans_E_AMS_Kyoto_run3_MTE!W414</f>
        <v>525.84117193437999</v>
      </c>
      <c r="S301" s="714">
        <f>Bilans_E_AMS_Kyoto_run3_MTE!X414</f>
        <v>83.441396760993086</v>
      </c>
      <c r="T301" s="714">
        <f>Bilans_E_AMS_Kyoto_run3_MTE!Y414</f>
        <v>13.880069594482521</v>
      </c>
      <c r="U301" s="714">
        <f>Bilans_E_AMS_Kyoto_run3_MTE!Z414</f>
        <v>1432.4796924379805</v>
      </c>
      <c r="V301" s="701"/>
      <c r="W301" s="701"/>
    </row>
    <row r="302" spans="1:23" x14ac:dyDescent="0.25">
      <c r="A302" s="701"/>
      <c r="B302" s="701"/>
      <c r="C302" s="701"/>
      <c r="D302" s="701">
        <f>Bilans_E_AMS_Kyoto_run3_MTE!H415</f>
        <v>0</v>
      </c>
      <c r="E302" s="701">
        <f>Bilans_E_AMS_Kyoto_run3_MTE!I415</f>
        <v>0</v>
      </c>
      <c r="F302" s="701">
        <f>Bilans_E_AMS_Kyoto_run3_MTE!J415</f>
        <v>0</v>
      </c>
      <c r="G302" s="701">
        <f>Bilans_E_AMS_Kyoto_run3_MTE!K415</f>
        <v>0</v>
      </c>
      <c r="H302" s="701">
        <f>Bilans_E_AMS_Kyoto_run3_MTE!L415</f>
        <v>0</v>
      </c>
      <c r="I302" s="701">
        <f>Bilans_E_AMS_Kyoto_run3_MTE!M415</f>
        <v>0</v>
      </c>
      <c r="J302" s="701">
        <f>Bilans_E_AMS_Kyoto_run3_MTE!N415</f>
        <v>0</v>
      </c>
      <c r="K302" s="701">
        <f>Bilans_E_AMS_Kyoto_run3_MTE!O415</f>
        <v>0</v>
      </c>
      <c r="L302" s="701">
        <f>Bilans_E_AMS_Kyoto_run3_MTE!P415</f>
        <v>0</v>
      </c>
      <c r="M302" s="701">
        <f>Bilans_E_AMS_Kyoto_run3_MTE!Q415</f>
        <v>0</v>
      </c>
      <c r="N302" s="701">
        <f>Bilans_E_AMS_Kyoto_run3_MTE!R415</f>
        <v>-5.3290705182007514E-15</v>
      </c>
      <c r="O302" s="701">
        <f>Bilans_E_AMS_Kyoto_run3_MTE!S415</f>
        <v>9.7699626167013776E-15</v>
      </c>
      <c r="P302" s="701">
        <f>Bilans_E_AMS_Kyoto_run3_MTE!T415+Bilans_E_AMS_Kyoto_run3_MTE!U415</f>
        <v>0</v>
      </c>
      <c r="Q302" s="701">
        <f>Bilans_E_AMS_Kyoto_run3_MTE!V415</f>
        <v>0</v>
      </c>
      <c r="R302" s="701">
        <f>Bilans_E_AMS_Kyoto_run3_MTE!W415</f>
        <v>0</v>
      </c>
      <c r="S302" s="701">
        <f>Bilans_E_AMS_Kyoto_run3_MTE!X415</f>
        <v>-3.1425525932604614E-5</v>
      </c>
      <c r="T302" s="701">
        <f>Bilans_E_AMS_Kyoto_run3_MTE!Y415</f>
        <v>0</v>
      </c>
      <c r="U302" s="701">
        <f>Bilans_E_AMS_Kyoto_run3_MTE!Z415</f>
        <v>-3.1425526685779914E-5</v>
      </c>
      <c r="V302" s="701"/>
      <c r="W302" s="701"/>
    </row>
    <row r="303" spans="1:23" x14ac:dyDescent="0.25">
      <c r="A303" s="701"/>
      <c r="B303" s="701"/>
      <c r="C303" s="701"/>
      <c r="D303" s="701"/>
      <c r="E303" s="701"/>
      <c r="F303" s="701"/>
      <c r="G303" s="701"/>
      <c r="H303" s="701"/>
      <c r="I303" s="701"/>
      <c r="J303" s="701"/>
      <c r="K303" s="701"/>
      <c r="L303" s="701"/>
      <c r="M303" s="701"/>
      <c r="N303" s="701"/>
      <c r="O303" s="701"/>
      <c r="P303" s="701"/>
      <c r="Q303" s="701"/>
      <c r="R303" s="701"/>
      <c r="S303" s="701"/>
      <c r="T303" s="701"/>
      <c r="U303" s="701"/>
      <c r="V303" s="701"/>
      <c r="W303" s="701"/>
    </row>
    <row r="304" spans="1:23" x14ac:dyDescent="0.25">
      <c r="A304" s="707"/>
      <c r="B304" s="707"/>
      <c r="C304" s="708" t="s">
        <v>360</v>
      </c>
      <c r="D304" s="707"/>
      <c r="E304" s="707"/>
      <c r="F304" s="707"/>
      <c r="G304" s="707"/>
      <c r="H304" s="707"/>
      <c r="I304" s="707"/>
      <c r="J304" s="707"/>
      <c r="K304" s="707"/>
      <c r="L304" s="707"/>
      <c r="M304" s="707"/>
      <c r="N304" s="707"/>
      <c r="O304" s="707"/>
      <c r="P304" s="707"/>
      <c r="Q304" s="707"/>
      <c r="R304" s="707"/>
      <c r="S304" s="707"/>
      <c r="T304" s="707"/>
      <c r="U304" s="707"/>
      <c r="V304" s="707"/>
      <c r="W304" s="707"/>
    </row>
    <row r="305" spans="1:23" x14ac:dyDescent="0.25">
      <c r="A305" s="701"/>
      <c r="B305" s="701"/>
      <c r="C305" s="701"/>
      <c r="D305" s="701"/>
      <c r="E305" s="701"/>
      <c r="F305" s="701"/>
      <c r="G305" s="701"/>
      <c r="H305" s="701"/>
      <c r="I305" s="701"/>
      <c r="J305" s="701"/>
      <c r="K305" s="701"/>
      <c r="L305" s="701"/>
      <c r="M305" s="701"/>
      <c r="N305" s="701"/>
      <c r="O305" s="701"/>
      <c r="P305" s="701"/>
      <c r="Q305" s="701"/>
      <c r="R305" s="701"/>
      <c r="S305" s="701"/>
      <c r="T305" s="701"/>
      <c r="U305" s="701"/>
      <c r="V305" s="701"/>
      <c r="W305" s="701"/>
    </row>
    <row r="306" spans="1:23" x14ac:dyDescent="0.25">
      <c r="A306" s="701"/>
      <c r="B306" s="701"/>
      <c r="C306" s="780" t="s">
        <v>128</v>
      </c>
      <c r="D306" s="775" t="s">
        <v>42</v>
      </c>
      <c r="E306" s="775" t="s">
        <v>52</v>
      </c>
      <c r="F306" s="775" t="s">
        <v>53</v>
      </c>
      <c r="G306" s="775" t="s">
        <v>482</v>
      </c>
      <c r="H306" s="775" t="s">
        <v>32</v>
      </c>
      <c r="I306" s="775" t="s">
        <v>483</v>
      </c>
      <c r="J306" s="775" t="s">
        <v>20</v>
      </c>
      <c r="K306" s="775" t="s">
        <v>55</v>
      </c>
      <c r="L306" s="777" t="s">
        <v>56</v>
      </c>
      <c r="M306" s="778"/>
      <c r="N306" s="778"/>
      <c r="O306" s="778"/>
      <c r="P306" s="778"/>
      <c r="Q306" s="779"/>
      <c r="R306" s="775" t="s">
        <v>57</v>
      </c>
      <c r="S306" s="775" t="s">
        <v>58</v>
      </c>
      <c r="T306" s="775" t="s">
        <v>31</v>
      </c>
      <c r="U306" s="775" t="s">
        <v>10</v>
      </c>
      <c r="V306" s="701"/>
      <c r="W306" s="701"/>
    </row>
    <row r="307" spans="1:23" ht="67.5" x14ac:dyDescent="0.25">
      <c r="A307" s="701" t="s">
        <v>486</v>
      </c>
      <c r="B307" s="701"/>
      <c r="C307" s="781"/>
      <c r="D307" s="776"/>
      <c r="E307" s="776"/>
      <c r="F307" s="776"/>
      <c r="G307" s="776"/>
      <c r="H307" s="776"/>
      <c r="I307" s="776"/>
      <c r="J307" s="776"/>
      <c r="K307" s="776"/>
      <c r="L307" s="709" t="s">
        <v>335</v>
      </c>
      <c r="M307" s="709" t="s">
        <v>40</v>
      </c>
      <c r="N307" s="709" t="s">
        <v>343</v>
      </c>
      <c r="O307" s="709" t="s">
        <v>344</v>
      </c>
      <c r="P307" s="719" t="s">
        <v>610</v>
      </c>
      <c r="Q307" s="709" t="s">
        <v>346</v>
      </c>
      <c r="R307" s="776"/>
      <c r="S307" s="776"/>
      <c r="T307" s="776"/>
      <c r="U307" s="776"/>
      <c r="V307" s="701"/>
      <c r="W307" s="701"/>
    </row>
    <row r="308" spans="1:23" x14ac:dyDescent="0.25">
      <c r="A308" s="701" t="s">
        <v>487</v>
      </c>
      <c r="B308" s="701"/>
      <c r="C308" s="710" t="s">
        <v>59</v>
      </c>
      <c r="D308" s="711">
        <f>Bilans_E_AMS_Kyoto_run3_MTE!H421</f>
        <v>0</v>
      </c>
      <c r="E308" s="711">
        <f>Bilans_E_AMS_Kyoto_run3_MTE!I421</f>
        <v>0</v>
      </c>
      <c r="F308" s="711">
        <f>Bilans_E_AMS_Kyoto_run3_MTE!J421</f>
        <v>0</v>
      </c>
      <c r="G308" s="711">
        <f>Bilans_E_AMS_Kyoto_run3_MTE!K421</f>
        <v>0</v>
      </c>
      <c r="H308" s="711">
        <f>Bilans_E_AMS_Kyoto_run3_MTE!L421</f>
        <v>0</v>
      </c>
      <c r="I308" s="711">
        <f>Bilans_E_AMS_Kyoto_run3_MTE!M421</f>
        <v>0</v>
      </c>
      <c r="J308" s="711">
        <f>Bilans_E_AMS_Kyoto_run3_MTE!N421</f>
        <v>1217.3350254612858</v>
      </c>
      <c r="K308" s="711">
        <f>Bilans_E_AMS_Kyoto_run3_MTE!O421</f>
        <v>388.29502398919544</v>
      </c>
      <c r="L308" s="711">
        <f>Bilans_E_AMS_Kyoto_run3_MTE!P421</f>
        <v>345.22412922668985</v>
      </c>
      <c r="M308" s="711">
        <f>Bilans_E_AMS_Kyoto_run3_MTE!Q421</f>
        <v>47.572914538902204</v>
      </c>
      <c r="N308" s="711">
        <f>Bilans_E_AMS_Kyoto_run3_MTE!R421</f>
        <v>0</v>
      </c>
      <c r="O308" s="711">
        <f>Bilans_E_AMS_Kyoto_run3_MTE!S421</f>
        <v>0</v>
      </c>
      <c r="P308" s="711">
        <f>Bilans_E_AMS_Kyoto_run3_MTE!T421+Bilans_E_AMS_Kyoto_run3_MTE!U421</f>
        <v>217.97798120035498</v>
      </c>
      <c r="Q308" s="711">
        <f>Bilans_E_AMS_Kyoto_run3_MTE!V421</f>
        <v>44.670610017190697</v>
      </c>
      <c r="R308" s="711">
        <f>Bilans_E_AMS_Kyoto_run3_MTE!W421</f>
        <v>0</v>
      </c>
      <c r="S308" s="711">
        <f>Bilans_E_AMS_Kyoto_run3_MTE!X421</f>
        <v>0</v>
      </c>
      <c r="T308" s="711">
        <f>Bilans_E_AMS_Kyoto_run3_MTE!Y421</f>
        <v>0</v>
      </c>
      <c r="U308" s="711">
        <f>Bilans_E_AMS_Kyoto_run3_MTE!Z421</f>
        <v>2261.0756844336188</v>
      </c>
      <c r="V308" s="701"/>
      <c r="W308" s="701"/>
    </row>
    <row r="309" spans="1:23" x14ac:dyDescent="0.25">
      <c r="A309" s="701" t="s">
        <v>488</v>
      </c>
      <c r="B309" s="701"/>
      <c r="C309" s="710" t="s">
        <v>60</v>
      </c>
      <c r="D309" s="712">
        <f>Bilans_E_AMS_Kyoto_run3_MTE!H422</f>
        <v>12.152793945312501</v>
      </c>
      <c r="E309" s="712">
        <f>Bilans_E_AMS_Kyoto_run3_MTE!I422</f>
        <v>228.52698065701114</v>
      </c>
      <c r="F309" s="712">
        <f>Bilans_E_AMS_Kyoto_run3_MTE!J422</f>
        <v>52.757657499876444</v>
      </c>
      <c r="G309" s="712">
        <f>Bilans_E_AMS_Kyoto_run3_MTE!K422</f>
        <v>7.0861725721851325</v>
      </c>
      <c r="H309" s="712">
        <f>Bilans_E_AMS_Kyoto_run3_MTE!L422</f>
        <v>109.90340859679944</v>
      </c>
      <c r="I309" s="712">
        <f>Bilans_E_AMS_Kyoto_run3_MTE!M422</f>
        <v>0</v>
      </c>
      <c r="J309" s="712">
        <f>Bilans_E_AMS_Kyoto_run3_MTE!N422</f>
        <v>0</v>
      </c>
      <c r="K309" s="712">
        <f>Bilans_E_AMS_Kyoto_run3_MTE!O422</f>
        <v>0</v>
      </c>
      <c r="L309" s="712">
        <f>Bilans_E_AMS_Kyoto_run3_MTE!P422</f>
        <v>8.3609545225008901</v>
      </c>
      <c r="M309" s="712">
        <f>Bilans_E_AMS_Kyoto_run3_MTE!Q422</f>
        <v>0</v>
      </c>
      <c r="N309" s="712">
        <f>Bilans_E_AMS_Kyoto_run3_MTE!R422</f>
        <v>12.640823760452299</v>
      </c>
      <c r="O309" s="712">
        <f>Bilans_E_AMS_Kyoto_run3_MTE!S422</f>
        <v>0</v>
      </c>
      <c r="P309" s="712">
        <f>Bilans_E_AMS_Kyoto_run3_MTE!T422+Bilans_E_AMS_Kyoto_run3_MTE!U422</f>
        <v>0</v>
      </c>
      <c r="Q309" s="712">
        <f>Bilans_E_AMS_Kyoto_run3_MTE!V422</f>
        <v>0</v>
      </c>
      <c r="R309" s="712">
        <f>Bilans_E_AMS_Kyoto_run3_MTE!W422</f>
        <v>0</v>
      </c>
      <c r="S309" s="712">
        <f>Bilans_E_AMS_Kyoto_run3_MTE!X422</f>
        <v>0</v>
      </c>
      <c r="T309" s="712">
        <f>Bilans_E_AMS_Kyoto_run3_MTE!Y422</f>
        <v>0</v>
      </c>
      <c r="U309" s="712">
        <f>Bilans_E_AMS_Kyoto_run3_MTE!Z422</f>
        <v>431.42879155413789</v>
      </c>
      <c r="V309" s="701"/>
      <c r="W309" s="701"/>
    </row>
    <row r="310" spans="1:23" x14ac:dyDescent="0.25">
      <c r="A310" s="701" t="s">
        <v>489</v>
      </c>
      <c r="B310" s="701"/>
      <c r="C310" s="710" t="s">
        <v>61</v>
      </c>
      <c r="D310" s="712">
        <f>Bilans_E_AMS_Kyoto_run3_MTE!H423</f>
        <v>0</v>
      </c>
      <c r="E310" s="712">
        <f>Bilans_E_AMS_Kyoto_run3_MTE!I423</f>
        <v>0</v>
      </c>
      <c r="F310" s="712">
        <f>Bilans_E_AMS_Kyoto_run3_MTE!J423</f>
        <v>0</v>
      </c>
      <c r="G310" s="712">
        <f>Bilans_E_AMS_Kyoto_run3_MTE!K423</f>
        <v>0</v>
      </c>
      <c r="H310" s="712">
        <f>Bilans_E_AMS_Kyoto_run3_MTE!L423</f>
        <v>0</v>
      </c>
      <c r="I310" s="712">
        <f>Bilans_E_AMS_Kyoto_run3_MTE!M423</f>
        <v>0</v>
      </c>
      <c r="J310" s="712">
        <f>Bilans_E_AMS_Kyoto_run3_MTE!N423</f>
        <v>0</v>
      </c>
      <c r="K310" s="712">
        <f>Bilans_E_AMS_Kyoto_run3_MTE!O423</f>
        <v>0</v>
      </c>
      <c r="L310" s="712">
        <f>Bilans_E_AMS_Kyoto_run3_MTE!P423</f>
        <v>0</v>
      </c>
      <c r="M310" s="712">
        <f>Bilans_E_AMS_Kyoto_run3_MTE!Q423</f>
        <v>0</v>
      </c>
      <c r="N310" s="712">
        <f>Bilans_E_AMS_Kyoto_run3_MTE!R423</f>
        <v>0</v>
      </c>
      <c r="O310" s="712">
        <f>Bilans_E_AMS_Kyoto_run3_MTE!S423</f>
        <v>-7.7990691835452708E-2</v>
      </c>
      <c r="P310" s="712">
        <f>Bilans_E_AMS_Kyoto_run3_MTE!T423+Bilans_E_AMS_Kyoto_run3_MTE!U423</f>
        <v>0</v>
      </c>
      <c r="Q310" s="712">
        <f>Bilans_E_AMS_Kyoto_run3_MTE!V423</f>
        <v>0</v>
      </c>
      <c r="R310" s="712">
        <f>Bilans_E_AMS_Kyoto_run3_MTE!W423</f>
        <v>-125.47851234932489</v>
      </c>
      <c r="S310" s="712">
        <f>Bilans_E_AMS_Kyoto_run3_MTE!X423</f>
        <v>0</v>
      </c>
      <c r="T310" s="712">
        <f>Bilans_E_AMS_Kyoto_run3_MTE!Y423</f>
        <v>0</v>
      </c>
      <c r="U310" s="712">
        <f>Bilans_E_AMS_Kyoto_run3_MTE!Z423</f>
        <v>-125.55650304116034</v>
      </c>
      <c r="V310" s="701"/>
      <c r="W310" s="701"/>
    </row>
    <row r="311" spans="1:23" x14ac:dyDescent="0.25">
      <c r="A311" s="701" t="s">
        <v>490</v>
      </c>
      <c r="B311" s="701"/>
      <c r="C311" s="710" t="s">
        <v>62</v>
      </c>
      <c r="D311" s="711">
        <f>Bilans_E_AMS_Kyoto_run3_MTE!H424</f>
        <v>0</v>
      </c>
      <c r="E311" s="711">
        <f>Bilans_E_AMS_Kyoto_run3_MTE!I424</f>
        <v>0</v>
      </c>
      <c r="F311" s="711">
        <f>Bilans_E_AMS_Kyoto_run3_MTE!J424</f>
        <v>-5.9348855093326982</v>
      </c>
      <c r="G311" s="711">
        <f>Bilans_E_AMS_Kyoto_run3_MTE!K424</f>
        <v>-0.99259685127624486</v>
      </c>
      <c r="H311" s="711">
        <f>Bilans_E_AMS_Kyoto_run3_MTE!L424</f>
        <v>0</v>
      </c>
      <c r="I311" s="711">
        <f>Bilans_E_AMS_Kyoto_run3_MTE!M424</f>
        <v>-0.99259685127624475</v>
      </c>
      <c r="J311" s="711">
        <f>Bilans_E_AMS_Kyoto_run3_MTE!N424</f>
        <v>0</v>
      </c>
      <c r="K311" s="711">
        <f>Bilans_E_AMS_Kyoto_run3_MTE!O424</f>
        <v>0</v>
      </c>
      <c r="L311" s="711">
        <f>Bilans_E_AMS_Kyoto_run3_MTE!P424</f>
        <v>0</v>
      </c>
      <c r="M311" s="711">
        <f>Bilans_E_AMS_Kyoto_run3_MTE!Q424</f>
        <v>0</v>
      </c>
      <c r="N311" s="711">
        <f>Bilans_E_AMS_Kyoto_run3_MTE!R424</f>
        <v>0</v>
      </c>
      <c r="O311" s="711">
        <f>Bilans_E_AMS_Kyoto_run3_MTE!S424</f>
        <v>-1.3642017969458513</v>
      </c>
      <c r="P311" s="711">
        <f>Bilans_E_AMS_Kyoto_run3_MTE!T424+Bilans_E_AMS_Kyoto_run3_MTE!U424</f>
        <v>0</v>
      </c>
      <c r="Q311" s="711">
        <f>Bilans_E_AMS_Kyoto_run3_MTE!V424</f>
        <v>0</v>
      </c>
      <c r="R311" s="711">
        <f>Bilans_E_AMS_Kyoto_run3_MTE!W424</f>
        <v>0</v>
      </c>
      <c r="S311" s="711">
        <f>Bilans_E_AMS_Kyoto_run3_MTE!X424</f>
        <v>0</v>
      </c>
      <c r="T311" s="711">
        <f>Bilans_E_AMS_Kyoto_run3_MTE!Y424</f>
        <v>-0.66413311470232494</v>
      </c>
      <c r="U311" s="711">
        <f>Bilans_E_AMS_Kyoto_run3_MTE!Z424</f>
        <v>-9.9484141235333645</v>
      </c>
      <c r="V311" s="701"/>
      <c r="W311" s="701"/>
    </row>
    <row r="312" spans="1:23" x14ac:dyDescent="0.25">
      <c r="A312" s="701" t="s">
        <v>491</v>
      </c>
      <c r="B312" s="701"/>
      <c r="C312" s="710" t="s">
        <v>63</v>
      </c>
      <c r="D312" s="711">
        <f>Bilans_E_AMS_Kyoto_run3_MTE!H425</f>
        <v>0</v>
      </c>
      <c r="E312" s="711">
        <f>Bilans_E_AMS_Kyoto_run3_MTE!I425</f>
        <v>0</v>
      </c>
      <c r="F312" s="711">
        <f>Bilans_E_AMS_Kyoto_run3_MTE!J425</f>
        <v>-40</v>
      </c>
      <c r="G312" s="711">
        <f>Bilans_E_AMS_Kyoto_run3_MTE!K425</f>
        <v>-8</v>
      </c>
      <c r="H312" s="711">
        <f>Bilans_E_AMS_Kyoto_run3_MTE!L425</f>
        <v>0</v>
      </c>
      <c r="I312" s="711">
        <f>Bilans_E_AMS_Kyoto_run3_MTE!M425</f>
        <v>0</v>
      </c>
      <c r="J312" s="711">
        <f>Bilans_E_AMS_Kyoto_run3_MTE!N425</f>
        <v>0</v>
      </c>
      <c r="K312" s="711">
        <f>Bilans_E_AMS_Kyoto_run3_MTE!O425</f>
        <v>0</v>
      </c>
      <c r="L312" s="711">
        <f>Bilans_E_AMS_Kyoto_run3_MTE!P425</f>
        <v>0</v>
      </c>
      <c r="M312" s="711">
        <f>Bilans_E_AMS_Kyoto_run3_MTE!Q425</f>
        <v>0</v>
      </c>
      <c r="N312" s="711">
        <f>Bilans_E_AMS_Kyoto_run3_MTE!R425</f>
        <v>-15</v>
      </c>
      <c r="O312" s="711">
        <f>Bilans_E_AMS_Kyoto_run3_MTE!S425</f>
        <v>0</v>
      </c>
      <c r="P312" s="711">
        <f>Bilans_E_AMS_Kyoto_run3_MTE!T425+Bilans_E_AMS_Kyoto_run3_MTE!U425</f>
        <v>0</v>
      </c>
      <c r="Q312" s="711">
        <f>Bilans_E_AMS_Kyoto_run3_MTE!V425</f>
        <v>0</v>
      </c>
      <c r="R312" s="711">
        <f>Bilans_E_AMS_Kyoto_run3_MTE!W425</f>
        <v>0</v>
      </c>
      <c r="S312" s="711">
        <f>Bilans_E_AMS_Kyoto_run3_MTE!X425</f>
        <v>0</v>
      </c>
      <c r="T312" s="711">
        <f>Bilans_E_AMS_Kyoto_run3_MTE!Y425</f>
        <v>-3.0000000000000004</v>
      </c>
      <c r="U312" s="711">
        <f>Bilans_E_AMS_Kyoto_run3_MTE!Z425</f>
        <v>-66</v>
      </c>
      <c r="V312" s="701"/>
      <c r="W312" s="701"/>
    </row>
    <row r="313" spans="1:23" x14ac:dyDescent="0.25">
      <c r="A313" s="701" t="s">
        <v>492</v>
      </c>
      <c r="B313" s="701"/>
      <c r="C313" s="710" t="s">
        <v>64</v>
      </c>
      <c r="D313" s="712">
        <f>Bilans_E_AMS_Kyoto_run3_MTE!H426</f>
        <v>0</v>
      </c>
      <c r="E313" s="712">
        <f>Bilans_E_AMS_Kyoto_run3_MTE!I426</f>
        <v>0</v>
      </c>
      <c r="F313" s="712">
        <f>Bilans_E_AMS_Kyoto_run3_MTE!J426</f>
        <v>0</v>
      </c>
      <c r="G313" s="712">
        <f>Bilans_E_AMS_Kyoto_run3_MTE!K426</f>
        <v>0</v>
      </c>
      <c r="H313" s="712">
        <f>Bilans_E_AMS_Kyoto_run3_MTE!L426</f>
        <v>0</v>
      </c>
      <c r="I313" s="712">
        <f>Bilans_E_AMS_Kyoto_run3_MTE!M426</f>
        <v>0</v>
      </c>
      <c r="J313" s="712">
        <f>Bilans_E_AMS_Kyoto_run3_MTE!N426</f>
        <v>0</v>
      </c>
      <c r="K313" s="712">
        <f>Bilans_E_AMS_Kyoto_run3_MTE!O426</f>
        <v>0</v>
      </c>
      <c r="L313" s="712">
        <f>Bilans_E_AMS_Kyoto_run3_MTE!P426</f>
        <v>0</v>
      </c>
      <c r="M313" s="712">
        <f>Bilans_E_AMS_Kyoto_run3_MTE!Q426</f>
        <v>0</v>
      </c>
      <c r="N313" s="712">
        <f>Bilans_E_AMS_Kyoto_run3_MTE!R426</f>
        <v>0</v>
      </c>
      <c r="O313" s="712">
        <f>Bilans_E_AMS_Kyoto_run3_MTE!S426</f>
        <v>0</v>
      </c>
      <c r="P313" s="712">
        <f>Bilans_E_AMS_Kyoto_run3_MTE!T426+Bilans_E_AMS_Kyoto_run3_MTE!U426</f>
        <v>0</v>
      </c>
      <c r="Q313" s="712">
        <f>Bilans_E_AMS_Kyoto_run3_MTE!V426</f>
        <v>0</v>
      </c>
      <c r="R313" s="712">
        <f>Bilans_E_AMS_Kyoto_run3_MTE!W426</f>
        <v>0</v>
      </c>
      <c r="S313" s="712">
        <f>Bilans_E_AMS_Kyoto_run3_MTE!X426</f>
        <v>0</v>
      </c>
      <c r="T313" s="712">
        <f>Bilans_E_AMS_Kyoto_run3_MTE!Y426</f>
        <v>0</v>
      </c>
      <c r="U313" s="712">
        <f>Bilans_E_AMS_Kyoto_run3_MTE!Z426</f>
        <v>0</v>
      </c>
      <c r="V313" s="701"/>
      <c r="W313" s="701"/>
    </row>
    <row r="314" spans="1:23" x14ac:dyDescent="0.25">
      <c r="A314" s="701" t="s">
        <v>493</v>
      </c>
      <c r="B314" s="701"/>
      <c r="C314" s="713" t="s">
        <v>65</v>
      </c>
      <c r="D314" s="714">
        <f>Bilans_E_AMS_Kyoto_run3_MTE!H427</f>
        <v>12.152793945312501</v>
      </c>
      <c r="E314" s="714">
        <f>Bilans_E_AMS_Kyoto_run3_MTE!I427</f>
        <v>228.52698065701114</v>
      </c>
      <c r="F314" s="714">
        <f>Bilans_E_AMS_Kyoto_run3_MTE!J427</f>
        <v>6.8227719905437425</v>
      </c>
      <c r="G314" s="714">
        <f>Bilans_E_AMS_Kyoto_run3_MTE!K427</f>
        <v>-1.9064242790911123</v>
      </c>
      <c r="H314" s="714">
        <f>Bilans_E_AMS_Kyoto_run3_MTE!L427</f>
        <v>109.90340859679944</v>
      </c>
      <c r="I314" s="714">
        <f>Bilans_E_AMS_Kyoto_run3_MTE!M427</f>
        <v>-0.99259685127624475</v>
      </c>
      <c r="J314" s="714">
        <f>Bilans_E_AMS_Kyoto_run3_MTE!N427</f>
        <v>1217.3350254612858</v>
      </c>
      <c r="K314" s="714">
        <f>Bilans_E_AMS_Kyoto_run3_MTE!O427</f>
        <v>388.29502398919544</v>
      </c>
      <c r="L314" s="714">
        <f>Bilans_E_AMS_Kyoto_run3_MTE!P427</f>
        <v>353.58508374919074</v>
      </c>
      <c r="M314" s="714">
        <f>Bilans_E_AMS_Kyoto_run3_MTE!Q427</f>
        <v>47.572914538902204</v>
      </c>
      <c r="N314" s="714">
        <f>Bilans_E_AMS_Kyoto_run3_MTE!R427</f>
        <v>-2.3591762395477005</v>
      </c>
      <c r="O314" s="714">
        <f>Bilans_E_AMS_Kyoto_run3_MTE!S427</f>
        <v>-1.442192488781304</v>
      </c>
      <c r="P314" s="714">
        <f>Bilans_E_AMS_Kyoto_run3_MTE!T427+Bilans_E_AMS_Kyoto_run3_MTE!U427</f>
        <v>217.97798120035498</v>
      </c>
      <c r="Q314" s="714">
        <f>Bilans_E_AMS_Kyoto_run3_MTE!V427</f>
        <v>44.670610017190697</v>
      </c>
      <c r="R314" s="714">
        <f>Bilans_E_AMS_Kyoto_run3_MTE!W427</f>
        <v>-125.47851234932489</v>
      </c>
      <c r="S314" s="714">
        <f>Bilans_E_AMS_Kyoto_run3_MTE!X427</f>
        <v>0</v>
      </c>
      <c r="T314" s="714">
        <f>Bilans_E_AMS_Kyoto_run3_MTE!Y427</f>
        <v>-3.6641331147023255</v>
      </c>
      <c r="U314" s="714">
        <f>Bilans_E_AMS_Kyoto_run3_MTE!Z427</f>
        <v>2490.9995588230627</v>
      </c>
      <c r="V314" s="701"/>
      <c r="W314" s="701"/>
    </row>
    <row r="315" spans="1:23" x14ac:dyDescent="0.25">
      <c r="A315" s="701"/>
      <c r="B315" s="701"/>
      <c r="C315" s="715"/>
      <c r="D315" s="716"/>
      <c r="E315" s="716"/>
      <c r="F315" s="716"/>
      <c r="G315" s="716"/>
      <c r="H315" s="716"/>
      <c r="I315" s="716"/>
      <c r="J315" s="716"/>
      <c r="K315" s="716"/>
      <c r="L315" s="716"/>
      <c r="M315" s="716"/>
      <c r="N315" s="716"/>
      <c r="O315" s="716"/>
      <c r="P315" s="716">
        <f>Bilans_E_AMS_Kyoto_run3_MTE!T428+Bilans_E_AMS_Kyoto_run3_MTE!U428</f>
        <v>0</v>
      </c>
      <c r="Q315" s="716"/>
      <c r="R315" s="716"/>
      <c r="S315" s="716"/>
      <c r="T315" s="716"/>
      <c r="U315" s="716"/>
      <c r="V315" s="701"/>
      <c r="W315" s="701"/>
    </row>
    <row r="316" spans="1:23" x14ac:dyDescent="0.25">
      <c r="A316" s="701" t="s">
        <v>494</v>
      </c>
      <c r="B316" s="701"/>
      <c r="C316" s="717" t="s">
        <v>67</v>
      </c>
      <c r="D316" s="711">
        <f>Bilans_E_AMS_Kyoto_run3_MTE!H429</f>
        <v>0</v>
      </c>
      <c r="E316" s="711">
        <f>Bilans_E_AMS_Kyoto_run3_MTE!I429</f>
        <v>0</v>
      </c>
      <c r="F316" s="711">
        <f>Bilans_E_AMS_Kyoto_run3_MTE!J429</f>
        <v>0</v>
      </c>
      <c r="G316" s="711">
        <f>Bilans_E_AMS_Kyoto_run3_MTE!K429</f>
        <v>0</v>
      </c>
      <c r="H316" s="711">
        <f>Bilans_E_AMS_Kyoto_run3_MTE!L429</f>
        <v>0</v>
      </c>
      <c r="I316" s="711">
        <f>Bilans_E_AMS_Kyoto_run3_MTE!M429</f>
        <v>0</v>
      </c>
      <c r="J316" s="711">
        <f>Bilans_E_AMS_Kyoto_run3_MTE!N429</f>
        <v>0</v>
      </c>
      <c r="K316" s="711">
        <f>Bilans_E_AMS_Kyoto_run3_MTE!O429</f>
        <v>0</v>
      </c>
      <c r="L316" s="711">
        <f>Bilans_E_AMS_Kyoto_run3_MTE!P429</f>
        <v>0</v>
      </c>
      <c r="M316" s="711">
        <f>Bilans_E_AMS_Kyoto_run3_MTE!Q429</f>
        <v>0</v>
      </c>
      <c r="N316" s="711">
        <f>Bilans_E_AMS_Kyoto_run3_MTE!R429</f>
        <v>0</v>
      </c>
      <c r="O316" s="711">
        <f>Bilans_E_AMS_Kyoto_run3_MTE!S429</f>
        <v>0</v>
      </c>
      <c r="P316" s="711">
        <f>Bilans_E_AMS_Kyoto_run3_MTE!T429+Bilans_E_AMS_Kyoto_run3_MTE!U429</f>
        <v>0</v>
      </c>
      <c r="Q316" s="711">
        <f>Bilans_E_AMS_Kyoto_run3_MTE!V429</f>
        <v>0</v>
      </c>
      <c r="R316" s="711">
        <f>Bilans_E_AMS_Kyoto_run3_MTE!W429</f>
        <v>0</v>
      </c>
      <c r="S316" s="711">
        <f>Bilans_E_AMS_Kyoto_run3_MTE!X429</f>
        <v>0</v>
      </c>
      <c r="T316" s="711">
        <f>Bilans_E_AMS_Kyoto_run3_MTE!Y429</f>
        <v>0</v>
      </c>
      <c r="U316" s="711">
        <f>Bilans_E_AMS_Kyoto_run3_MTE!Z429</f>
        <v>0</v>
      </c>
      <c r="V316" s="701"/>
      <c r="W316" s="701"/>
    </row>
    <row r="317" spans="1:23" x14ac:dyDescent="0.25">
      <c r="A317" s="701" t="s">
        <v>495</v>
      </c>
      <c r="B317" s="701"/>
      <c r="C317" s="717" t="s">
        <v>347</v>
      </c>
      <c r="D317" s="711">
        <f>Bilans_E_AMS_Kyoto_run3_MTE!H430</f>
        <v>0</v>
      </c>
      <c r="E317" s="711">
        <f>Bilans_E_AMS_Kyoto_run3_MTE!I430</f>
        <v>0</v>
      </c>
      <c r="F317" s="711">
        <f>Bilans_E_AMS_Kyoto_run3_MTE!J430</f>
        <v>6.6151953400033478E-2</v>
      </c>
      <c r="G317" s="711">
        <f>Bilans_E_AMS_Kyoto_run3_MTE!K430</f>
        <v>0</v>
      </c>
      <c r="H317" s="711">
        <f>Bilans_E_AMS_Kyoto_run3_MTE!L430</f>
        <v>2.4867213913043404E-3</v>
      </c>
      <c r="I317" s="711">
        <f>Bilans_E_AMS_Kyoto_run3_MTE!M430</f>
        <v>0</v>
      </c>
      <c r="J317" s="711">
        <f>Bilans_E_AMS_Kyoto_run3_MTE!N430</f>
        <v>1213.9369090909088</v>
      </c>
      <c r="K317" s="711">
        <f>Bilans_E_AMS_Kyoto_run3_MTE!O430</f>
        <v>388.29502398919544</v>
      </c>
      <c r="L317" s="711">
        <f>Bilans_E_AMS_Kyoto_run3_MTE!P430</f>
        <v>17.586826213678588</v>
      </c>
      <c r="M317" s="711">
        <f>Bilans_E_AMS_Kyoto_run3_MTE!Q430</f>
        <v>5.6133813254305416</v>
      </c>
      <c r="N317" s="711">
        <f>Bilans_E_AMS_Kyoto_run3_MTE!R430</f>
        <v>5.6269378379330357</v>
      </c>
      <c r="O317" s="711">
        <f>Bilans_E_AMS_Kyoto_run3_MTE!S430</f>
        <v>0.11555796351278441</v>
      </c>
      <c r="P317" s="711">
        <f>Bilans_E_AMS_Kyoto_run3_MTE!T430+Bilans_E_AMS_Kyoto_run3_MTE!U430</f>
        <v>0</v>
      </c>
      <c r="Q317" s="711">
        <f>Bilans_E_AMS_Kyoto_run3_MTE!V430</f>
        <v>6.4327567473291545</v>
      </c>
      <c r="R317" s="711">
        <f>Bilans_E_AMS_Kyoto_run3_MTE!W430</f>
        <v>-805.46190663810182</v>
      </c>
      <c r="S317" s="711">
        <f>Bilans_E_AMS_Kyoto_run3_MTE!X430</f>
        <v>0</v>
      </c>
      <c r="T317" s="711">
        <f>Bilans_E_AMS_Kyoto_run3_MTE!Y430</f>
        <v>0</v>
      </c>
      <c r="U317" s="711">
        <f>Bilans_E_AMS_Kyoto_run3_MTE!Z430</f>
        <v>832.21412520467777</v>
      </c>
      <c r="V317" s="701"/>
      <c r="W317" s="701"/>
    </row>
    <row r="318" spans="1:23" x14ac:dyDescent="0.25">
      <c r="A318" s="701" t="s">
        <v>496</v>
      </c>
      <c r="B318" s="701"/>
      <c r="C318" s="717" t="s">
        <v>348</v>
      </c>
      <c r="D318" s="711">
        <f>Bilans_E_AMS_Kyoto_run3_MTE!H431</f>
        <v>0</v>
      </c>
      <c r="E318" s="711">
        <f>Bilans_E_AMS_Kyoto_run3_MTE!I431</f>
        <v>0</v>
      </c>
      <c r="F318" s="711">
        <f>Bilans_E_AMS_Kyoto_run3_MTE!J431</f>
        <v>0</v>
      </c>
      <c r="G318" s="711">
        <f>Bilans_E_AMS_Kyoto_run3_MTE!K431</f>
        <v>0</v>
      </c>
      <c r="H318" s="711">
        <f>Bilans_E_AMS_Kyoto_run3_MTE!L431</f>
        <v>13.794883526882547</v>
      </c>
      <c r="I318" s="711">
        <f>Bilans_E_AMS_Kyoto_run3_MTE!M431</f>
        <v>0</v>
      </c>
      <c r="J318" s="711">
        <f>Bilans_E_AMS_Kyoto_run3_MTE!N431</f>
        <v>3.3981163703769028</v>
      </c>
      <c r="K318" s="711">
        <f>Bilans_E_AMS_Kyoto_run3_MTE!O431</f>
        <v>0</v>
      </c>
      <c r="L318" s="711">
        <f>Bilans_E_AMS_Kyoto_run3_MTE!P431</f>
        <v>24.198351271875673</v>
      </c>
      <c r="M318" s="711">
        <f>Bilans_E_AMS_Kyoto_run3_MTE!Q431</f>
        <v>14.187375488735356</v>
      </c>
      <c r="N318" s="711">
        <f>Bilans_E_AMS_Kyoto_run3_MTE!R431</f>
        <v>0</v>
      </c>
      <c r="O318" s="711">
        <f>Bilans_E_AMS_Kyoto_run3_MTE!S431</f>
        <v>9.211082811707719</v>
      </c>
      <c r="P318" s="711">
        <f>Bilans_E_AMS_Kyoto_run3_MTE!T431+Bilans_E_AMS_Kyoto_run3_MTE!U431</f>
        <v>17.004200785241363</v>
      </c>
      <c r="Q318" s="711">
        <f>Bilans_E_AMS_Kyoto_run3_MTE!V431</f>
        <v>15.724500904765749</v>
      </c>
      <c r="R318" s="711">
        <f>Bilans_E_AMS_Kyoto_run3_MTE!W431</f>
        <v>0</v>
      </c>
      <c r="S318" s="711">
        <f>Bilans_E_AMS_Kyoto_run3_MTE!X431</f>
        <v>-90.436442741744855</v>
      </c>
      <c r="T318" s="711">
        <f>Bilans_E_AMS_Kyoto_run3_MTE!Y431</f>
        <v>0</v>
      </c>
      <c r="U318" s="711">
        <f>Bilans_E_AMS_Kyoto_run3_MTE!Z431</f>
        <v>7.0820684178404321</v>
      </c>
      <c r="V318" s="701"/>
      <c r="W318" s="701"/>
    </row>
    <row r="319" spans="1:23" x14ac:dyDescent="0.25">
      <c r="A319" s="701" t="s">
        <v>497</v>
      </c>
      <c r="B319" s="701"/>
      <c r="C319" s="717" t="s">
        <v>349</v>
      </c>
      <c r="D319" s="711">
        <f>Bilans_E_AMS_Kyoto_run3_MTE!H432</f>
        <v>0</v>
      </c>
      <c r="E319" s="711">
        <f>Bilans_E_AMS_Kyoto_run3_MTE!I432</f>
        <v>0</v>
      </c>
      <c r="F319" s="711">
        <f>Bilans_E_AMS_Kyoto_run3_MTE!J432</f>
        <v>0</v>
      </c>
      <c r="G319" s="711">
        <f>Bilans_E_AMS_Kyoto_run3_MTE!K432</f>
        <v>0</v>
      </c>
      <c r="H319" s="711">
        <f>Bilans_E_AMS_Kyoto_run3_MTE!L432</f>
        <v>0</v>
      </c>
      <c r="I319" s="711">
        <f>Bilans_E_AMS_Kyoto_run3_MTE!M432</f>
        <v>0</v>
      </c>
      <c r="J319" s="711">
        <f>Bilans_E_AMS_Kyoto_run3_MTE!N432</f>
        <v>0</v>
      </c>
      <c r="K319" s="711">
        <f>Bilans_E_AMS_Kyoto_run3_MTE!O432</f>
        <v>0</v>
      </c>
      <c r="L319" s="711">
        <f>Bilans_E_AMS_Kyoto_run3_MTE!P432</f>
        <v>121.15349099008552</v>
      </c>
      <c r="M319" s="711">
        <f>Bilans_E_AMS_Kyoto_run3_MTE!Q432</f>
        <v>11.695220862948467</v>
      </c>
      <c r="N319" s="711">
        <f>Bilans_E_AMS_Kyoto_run3_MTE!R432</f>
        <v>0</v>
      </c>
      <c r="O319" s="711">
        <f>Bilans_E_AMS_Kyoto_run3_MTE!S432</f>
        <v>-66.507884301827488</v>
      </c>
      <c r="P319" s="711">
        <f>Bilans_E_AMS_Kyoto_run3_MTE!T432+Bilans_E_AMS_Kyoto_run3_MTE!U432</f>
        <v>0</v>
      </c>
      <c r="Q319" s="711">
        <f>Bilans_E_AMS_Kyoto_run3_MTE!V432</f>
        <v>0</v>
      </c>
      <c r="R319" s="711">
        <f>Bilans_E_AMS_Kyoto_run3_MTE!W432</f>
        <v>0</v>
      </c>
      <c r="S319" s="711">
        <f>Bilans_E_AMS_Kyoto_run3_MTE!X432</f>
        <v>0</v>
      </c>
      <c r="T319" s="711">
        <f>Bilans_E_AMS_Kyoto_run3_MTE!Y432</f>
        <v>0</v>
      </c>
      <c r="U319" s="711">
        <f>Bilans_E_AMS_Kyoto_run3_MTE!Z432</f>
        <v>66.340827551206502</v>
      </c>
      <c r="V319" s="701"/>
      <c r="W319" s="701"/>
    </row>
    <row r="320" spans="1:23" x14ac:dyDescent="0.25">
      <c r="A320" s="701" t="s">
        <v>498</v>
      </c>
      <c r="B320" s="701"/>
      <c r="C320" s="717" t="s">
        <v>350</v>
      </c>
      <c r="D320" s="711">
        <f>Bilans_E_AMS_Kyoto_run3_MTE!H433</f>
        <v>0</v>
      </c>
      <c r="E320" s="711">
        <f>Bilans_E_AMS_Kyoto_run3_MTE!I433</f>
        <v>0</v>
      </c>
      <c r="F320" s="711">
        <f>Bilans_E_AMS_Kyoto_run3_MTE!J433</f>
        <v>0</v>
      </c>
      <c r="G320" s="711">
        <f>Bilans_E_AMS_Kyoto_run3_MTE!K433</f>
        <v>0</v>
      </c>
      <c r="H320" s="711">
        <f>Bilans_E_AMS_Kyoto_run3_MTE!L433</f>
        <v>0</v>
      </c>
      <c r="I320" s="711">
        <f>Bilans_E_AMS_Kyoto_run3_MTE!M433</f>
        <v>-0.99259685127624475</v>
      </c>
      <c r="J320" s="711">
        <f>Bilans_E_AMS_Kyoto_run3_MTE!N433</f>
        <v>0</v>
      </c>
      <c r="K320" s="711">
        <f>Bilans_E_AMS_Kyoto_run3_MTE!O433</f>
        <v>0</v>
      </c>
      <c r="L320" s="711">
        <f>Bilans_E_AMS_Kyoto_run3_MTE!P433</f>
        <v>0</v>
      </c>
      <c r="M320" s="711">
        <f>Bilans_E_AMS_Kyoto_run3_MTE!Q433</f>
        <v>0</v>
      </c>
      <c r="N320" s="711">
        <f>Bilans_E_AMS_Kyoto_run3_MTE!R433</f>
        <v>0</v>
      </c>
      <c r="O320" s="711">
        <f>Bilans_E_AMS_Kyoto_run3_MTE!S433</f>
        <v>0</v>
      </c>
      <c r="P320" s="711">
        <f>Bilans_E_AMS_Kyoto_run3_MTE!T433+Bilans_E_AMS_Kyoto_run3_MTE!U433</f>
        <v>0</v>
      </c>
      <c r="Q320" s="711">
        <f>Bilans_E_AMS_Kyoto_run3_MTE!V433</f>
        <v>0</v>
      </c>
      <c r="R320" s="711">
        <f>Bilans_E_AMS_Kyoto_run3_MTE!W433</f>
        <v>0</v>
      </c>
      <c r="S320" s="711">
        <f>Bilans_E_AMS_Kyoto_run3_MTE!X433</f>
        <v>0</v>
      </c>
      <c r="T320" s="711">
        <f>Bilans_E_AMS_Kyoto_run3_MTE!Y433</f>
        <v>1.3786067378836733</v>
      </c>
      <c r="U320" s="711">
        <f>Bilans_E_AMS_Kyoto_run3_MTE!Z433</f>
        <v>0.38600988660742852</v>
      </c>
      <c r="V320" s="701"/>
      <c r="W320" s="701"/>
    </row>
    <row r="321" spans="1:23" x14ac:dyDescent="0.25">
      <c r="A321" s="701" t="s">
        <v>499</v>
      </c>
      <c r="B321" s="701"/>
      <c r="C321" s="717" t="s">
        <v>72</v>
      </c>
      <c r="D321" s="711">
        <f>Bilans_E_AMS_Kyoto_run3_MTE!H434</f>
        <v>0</v>
      </c>
      <c r="E321" s="711">
        <f>Bilans_E_AMS_Kyoto_run3_MTE!I434</f>
        <v>236.81493545445448</v>
      </c>
      <c r="F321" s="711">
        <f>Bilans_E_AMS_Kyoto_run3_MTE!J434</f>
        <v>-234.44678609990993</v>
      </c>
      <c r="G321" s="711">
        <f>Bilans_E_AMS_Kyoto_run3_MTE!K434</f>
        <v>0</v>
      </c>
      <c r="H321" s="711">
        <f>Bilans_E_AMS_Kyoto_run3_MTE!L434</f>
        <v>0</v>
      </c>
      <c r="I321" s="711">
        <f>Bilans_E_AMS_Kyoto_run3_MTE!M434</f>
        <v>0</v>
      </c>
      <c r="J321" s="711">
        <f>Bilans_E_AMS_Kyoto_run3_MTE!N434</f>
        <v>0</v>
      </c>
      <c r="K321" s="711">
        <f>Bilans_E_AMS_Kyoto_run3_MTE!O434</f>
        <v>0</v>
      </c>
      <c r="L321" s="711">
        <f>Bilans_E_AMS_Kyoto_run3_MTE!P434</f>
        <v>0</v>
      </c>
      <c r="M321" s="711">
        <f>Bilans_E_AMS_Kyoto_run3_MTE!Q434</f>
        <v>0</v>
      </c>
      <c r="N321" s="711">
        <f>Bilans_E_AMS_Kyoto_run3_MTE!R434</f>
        <v>0</v>
      </c>
      <c r="O321" s="711">
        <f>Bilans_E_AMS_Kyoto_run3_MTE!S434</f>
        <v>0</v>
      </c>
      <c r="P321" s="711">
        <f>Bilans_E_AMS_Kyoto_run3_MTE!T434+Bilans_E_AMS_Kyoto_run3_MTE!U434</f>
        <v>0</v>
      </c>
      <c r="Q321" s="711">
        <f>Bilans_E_AMS_Kyoto_run3_MTE!V434</f>
        <v>0</v>
      </c>
      <c r="R321" s="711">
        <f>Bilans_E_AMS_Kyoto_run3_MTE!W434</f>
        <v>0</v>
      </c>
      <c r="S321" s="711">
        <f>Bilans_E_AMS_Kyoto_run3_MTE!X434</f>
        <v>0</v>
      </c>
      <c r="T321" s="711">
        <f>Bilans_E_AMS_Kyoto_run3_MTE!Y434</f>
        <v>0</v>
      </c>
      <c r="U321" s="711">
        <f>Bilans_E_AMS_Kyoto_run3_MTE!Z434</f>
        <v>2.3681493545445562</v>
      </c>
      <c r="V321" s="701"/>
      <c r="W321" s="701"/>
    </row>
    <row r="322" spans="1:23" x14ac:dyDescent="0.25">
      <c r="A322" s="701" t="s">
        <v>500</v>
      </c>
      <c r="B322" s="701"/>
      <c r="C322" s="717" t="s">
        <v>351</v>
      </c>
      <c r="D322" s="711">
        <f>Bilans_E_AMS_Kyoto_run3_MTE!H435</f>
        <v>0</v>
      </c>
      <c r="E322" s="711">
        <f>Bilans_E_AMS_Kyoto_run3_MTE!I435</f>
        <v>0</v>
      </c>
      <c r="F322" s="711">
        <f>Bilans_E_AMS_Kyoto_run3_MTE!J435</f>
        <v>0</v>
      </c>
      <c r="G322" s="711">
        <f>Bilans_E_AMS_Kyoto_run3_MTE!K435</f>
        <v>0</v>
      </c>
      <c r="H322" s="711">
        <f>Bilans_E_AMS_Kyoto_run3_MTE!L435</f>
        <v>0</v>
      </c>
      <c r="I322" s="711">
        <f>Bilans_E_AMS_Kyoto_run3_MTE!M435</f>
        <v>0</v>
      </c>
      <c r="J322" s="711">
        <f>Bilans_E_AMS_Kyoto_run3_MTE!N435</f>
        <v>0</v>
      </c>
      <c r="K322" s="711">
        <f>Bilans_E_AMS_Kyoto_run3_MTE!O435</f>
        <v>0</v>
      </c>
      <c r="L322" s="711">
        <f>Bilans_E_AMS_Kyoto_run3_MTE!P435</f>
        <v>92.214586114726359</v>
      </c>
      <c r="M322" s="711">
        <f>Bilans_E_AMS_Kyoto_run3_MTE!Q435</f>
        <v>7.2727272727272725</v>
      </c>
      <c r="N322" s="711">
        <f>Bilans_E_AMS_Kyoto_run3_MTE!R435</f>
        <v>-55.427636476917691</v>
      </c>
      <c r="O322" s="711">
        <f>Bilans_E_AMS_Kyoto_run3_MTE!S435</f>
        <v>0</v>
      </c>
      <c r="P322" s="711">
        <f>Bilans_E_AMS_Kyoto_run3_MTE!T435+Bilans_E_AMS_Kyoto_run3_MTE!U435</f>
        <v>0</v>
      </c>
      <c r="Q322" s="711">
        <f>Bilans_E_AMS_Kyoto_run3_MTE!V435</f>
        <v>0</v>
      </c>
      <c r="R322" s="711">
        <f>Bilans_E_AMS_Kyoto_run3_MTE!W435</f>
        <v>0</v>
      </c>
      <c r="S322" s="711">
        <f>Bilans_E_AMS_Kyoto_run3_MTE!X435</f>
        <v>0</v>
      </c>
      <c r="T322" s="711">
        <f>Bilans_E_AMS_Kyoto_run3_MTE!Y435</f>
        <v>0</v>
      </c>
      <c r="U322" s="711">
        <f>Bilans_E_AMS_Kyoto_run3_MTE!Z435</f>
        <v>44.059676910535934</v>
      </c>
      <c r="V322" s="701"/>
      <c r="W322" s="701"/>
    </row>
    <row r="323" spans="1:23" x14ac:dyDescent="0.25">
      <c r="A323" s="701" t="s">
        <v>501</v>
      </c>
      <c r="B323" s="701"/>
      <c r="C323" s="717" t="s">
        <v>352</v>
      </c>
      <c r="D323" s="711">
        <f>Bilans_E_AMS_Kyoto_run3_MTE!H436</f>
        <v>0</v>
      </c>
      <c r="E323" s="711">
        <f>Bilans_E_AMS_Kyoto_run3_MTE!I436</f>
        <v>0</v>
      </c>
      <c r="F323" s="711">
        <f>Bilans_E_AMS_Kyoto_run3_MTE!J436</f>
        <v>0</v>
      </c>
      <c r="G323" s="711">
        <f>Bilans_E_AMS_Kyoto_run3_MTE!K436</f>
        <v>-5.3675968512762449</v>
      </c>
      <c r="H323" s="711">
        <f>Bilans_E_AMS_Kyoto_run3_MTE!L436</f>
        <v>0</v>
      </c>
      <c r="I323" s="711">
        <f>Bilans_E_AMS_Kyoto_run3_MTE!M436</f>
        <v>0</v>
      </c>
      <c r="J323" s="711">
        <f>Bilans_E_AMS_Kyoto_run3_MTE!N436</f>
        <v>0</v>
      </c>
      <c r="K323" s="711">
        <f>Bilans_E_AMS_Kyoto_run3_MTE!O436</f>
        <v>0</v>
      </c>
      <c r="L323" s="711">
        <f>Bilans_E_AMS_Kyoto_run3_MTE!P436</f>
        <v>0</v>
      </c>
      <c r="M323" s="711">
        <f>Bilans_E_AMS_Kyoto_run3_MTE!Q436</f>
        <v>0</v>
      </c>
      <c r="N323" s="711">
        <f>Bilans_E_AMS_Kyoto_run3_MTE!R436</f>
        <v>0</v>
      </c>
      <c r="O323" s="711">
        <f>Bilans_E_AMS_Kyoto_run3_MTE!S436</f>
        <v>0</v>
      </c>
      <c r="P323" s="711">
        <f>Bilans_E_AMS_Kyoto_run3_MTE!T436+Bilans_E_AMS_Kyoto_run3_MTE!U436</f>
        <v>0</v>
      </c>
      <c r="Q323" s="711">
        <f>Bilans_E_AMS_Kyoto_run3_MTE!V436</f>
        <v>0</v>
      </c>
      <c r="R323" s="711">
        <f>Bilans_E_AMS_Kyoto_run3_MTE!W436</f>
        <v>0</v>
      </c>
      <c r="S323" s="711">
        <f>Bilans_E_AMS_Kyoto_run3_MTE!X436</f>
        <v>0</v>
      </c>
      <c r="T323" s="711">
        <f>Bilans_E_AMS_Kyoto_run3_MTE!Y436</f>
        <v>8.7918565364038699</v>
      </c>
      <c r="U323" s="711">
        <f>Bilans_E_AMS_Kyoto_run3_MTE!Z436</f>
        <v>3.424259685127625</v>
      </c>
      <c r="V323" s="701"/>
      <c r="W323" s="701"/>
    </row>
    <row r="324" spans="1:23" x14ac:dyDescent="0.25">
      <c r="A324" s="701" t="s">
        <v>502</v>
      </c>
      <c r="B324" s="701"/>
      <c r="C324" s="717" t="s">
        <v>73</v>
      </c>
      <c r="D324" s="711">
        <f>Bilans_E_AMS_Kyoto_run3_MTE!H437</f>
        <v>0</v>
      </c>
      <c r="E324" s="711">
        <f>Bilans_E_AMS_Kyoto_run3_MTE!I437</f>
        <v>0</v>
      </c>
      <c r="F324" s="711">
        <f>Bilans_E_AMS_Kyoto_run3_MTE!J437</f>
        <v>0</v>
      </c>
      <c r="G324" s="711">
        <f>Bilans_E_AMS_Kyoto_run3_MTE!K437</f>
        <v>0</v>
      </c>
      <c r="H324" s="711">
        <f>Bilans_E_AMS_Kyoto_run3_MTE!L437</f>
        <v>0</v>
      </c>
      <c r="I324" s="711">
        <f>Bilans_E_AMS_Kyoto_run3_MTE!M437</f>
        <v>0</v>
      </c>
      <c r="J324" s="711">
        <f>Bilans_E_AMS_Kyoto_run3_MTE!N437</f>
        <v>0</v>
      </c>
      <c r="K324" s="711">
        <f>Bilans_E_AMS_Kyoto_run3_MTE!O437</f>
        <v>0</v>
      </c>
      <c r="L324" s="711">
        <f>Bilans_E_AMS_Kyoto_run3_MTE!P437</f>
        <v>0</v>
      </c>
      <c r="M324" s="711">
        <f>Bilans_E_AMS_Kyoto_run3_MTE!Q437</f>
        <v>0</v>
      </c>
      <c r="N324" s="711">
        <f>Bilans_E_AMS_Kyoto_run3_MTE!R437</f>
        <v>0</v>
      </c>
      <c r="O324" s="711">
        <f>Bilans_E_AMS_Kyoto_run3_MTE!S437</f>
        <v>0</v>
      </c>
      <c r="P324" s="711">
        <f>Bilans_E_AMS_Kyoto_run3_MTE!T437+Bilans_E_AMS_Kyoto_run3_MTE!U437</f>
        <v>0</v>
      </c>
      <c r="Q324" s="711">
        <f>Bilans_E_AMS_Kyoto_run3_MTE!V437</f>
        <v>0</v>
      </c>
      <c r="R324" s="711">
        <f>Bilans_E_AMS_Kyoto_run3_MTE!W437</f>
        <v>46.345987464156821</v>
      </c>
      <c r="S324" s="711">
        <f>Bilans_E_AMS_Kyoto_run3_MTE!X437</f>
        <v>0</v>
      </c>
      <c r="T324" s="711">
        <f>Bilans_E_AMS_Kyoto_run3_MTE!Y437</f>
        <v>-31.747001412947427</v>
      </c>
      <c r="U324" s="711">
        <f>Bilans_E_AMS_Kyoto_run3_MTE!Z437</f>
        <v>14.598986051209394</v>
      </c>
      <c r="V324" s="701"/>
      <c r="W324" s="701"/>
    </row>
    <row r="325" spans="1:23" x14ac:dyDescent="0.25">
      <c r="A325" s="701" t="s">
        <v>503</v>
      </c>
      <c r="B325" s="701"/>
      <c r="C325" s="717" t="s">
        <v>353</v>
      </c>
      <c r="D325" s="711">
        <f>Bilans_E_AMS_Kyoto_run3_MTE!H438</f>
        <v>8.5250206054687503</v>
      </c>
      <c r="E325" s="711">
        <f>Bilans_E_AMS_Kyoto_run3_MTE!I438</f>
        <v>-8.2879547974433478</v>
      </c>
      <c r="F325" s="711">
        <f>Bilans_E_AMS_Kyoto_run3_MTE!J438</f>
        <v>10.994009966120005</v>
      </c>
      <c r="G325" s="711">
        <f>Bilans_E_AMS_Kyoto_run3_MTE!K438</f>
        <v>0</v>
      </c>
      <c r="H325" s="711">
        <f>Bilans_E_AMS_Kyoto_run3_MTE!L438</f>
        <v>0</v>
      </c>
      <c r="I325" s="711">
        <f>Bilans_E_AMS_Kyoto_run3_MTE!M438</f>
        <v>0</v>
      </c>
      <c r="J325" s="711">
        <f>Bilans_E_AMS_Kyoto_run3_MTE!N438</f>
        <v>0</v>
      </c>
      <c r="K325" s="711">
        <f>Bilans_E_AMS_Kyoto_run3_MTE!O438</f>
        <v>0</v>
      </c>
      <c r="L325" s="711">
        <f>Bilans_E_AMS_Kyoto_run3_MTE!P438</f>
        <v>0</v>
      </c>
      <c r="M325" s="711">
        <f>Bilans_E_AMS_Kyoto_run3_MTE!Q438</f>
        <v>0</v>
      </c>
      <c r="N325" s="711">
        <f>Bilans_E_AMS_Kyoto_run3_MTE!R438</f>
        <v>0</v>
      </c>
      <c r="O325" s="711">
        <f>Bilans_E_AMS_Kyoto_run3_MTE!S438</f>
        <v>0</v>
      </c>
      <c r="P325" s="711">
        <f>Bilans_E_AMS_Kyoto_run3_MTE!T438+Bilans_E_AMS_Kyoto_run3_MTE!U438</f>
        <v>0</v>
      </c>
      <c r="Q325" s="711">
        <f>Bilans_E_AMS_Kyoto_run3_MTE!V438</f>
        <v>0</v>
      </c>
      <c r="R325" s="711">
        <f>Bilans_E_AMS_Kyoto_run3_MTE!W438</f>
        <v>0</v>
      </c>
      <c r="S325" s="711">
        <f>Bilans_E_AMS_Kyoto_run3_MTE!X438</f>
        <v>0</v>
      </c>
      <c r="T325" s="711">
        <f>Bilans_E_AMS_Kyoto_run3_MTE!Y438</f>
        <v>0</v>
      </c>
      <c r="U325" s="711">
        <f>Bilans_E_AMS_Kyoto_run3_MTE!Z438</f>
        <v>11.231075774145408</v>
      </c>
      <c r="V325" s="701"/>
      <c r="W325" s="701"/>
    </row>
    <row r="326" spans="1:23" x14ac:dyDescent="0.25">
      <c r="A326" s="701" t="s">
        <v>504</v>
      </c>
      <c r="B326" s="701"/>
      <c r="C326" s="717" t="s">
        <v>75</v>
      </c>
      <c r="D326" s="711">
        <f>Bilans_E_AMS_Kyoto_run3_MTE!H439</f>
        <v>3.3152857910156257</v>
      </c>
      <c r="E326" s="711">
        <f>Bilans_E_AMS_Kyoto_run3_MTE!I439</f>
        <v>0</v>
      </c>
      <c r="F326" s="711">
        <f>Bilans_E_AMS_Kyoto_run3_MTE!J439</f>
        <v>8.217345528971137</v>
      </c>
      <c r="G326" s="711">
        <f>Bilans_E_AMS_Kyoto_run3_MTE!K439</f>
        <v>0</v>
      </c>
      <c r="H326" s="711">
        <f>Bilans_E_AMS_Kyoto_run3_MTE!L439</f>
        <v>0</v>
      </c>
      <c r="I326" s="711">
        <f>Bilans_E_AMS_Kyoto_run3_MTE!M439</f>
        <v>0</v>
      </c>
      <c r="J326" s="711">
        <f>Bilans_E_AMS_Kyoto_run3_MTE!N439</f>
        <v>0</v>
      </c>
      <c r="K326" s="711">
        <f>Bilans_E_AMS_Kyoto_run3_MTE!O439</f>
        <v>0</v>
      </c>
      <c r="L326" s="711">
        <f>Bilans_E_AMS_Kyoto_run3_MTE!P439</f>
        <v>0</v>
      </c>
      <c r="M326" s="711">
        <f>Bilans_E_AMS_Kyoto_run3_MTE!Q439</f>
        <v>0</v>
      </c>
      <c r="N326" s="711">
        <f>Bilans_E_AMS_Kyoto_run3_MTE!R439</f>
        <v>0</v>
      </c>
      <c r="O326" s="711">
        <f>Bilans_E_AMS_Kyoto_run3_MTE!S439</f>
        <v>0</v>
      </c>
      <c r="P326" s="711">
        <f>Bilans_E_AMS_Kyoto_run3_MTE!T439+Bilans_E_AMS_Kyoto_run3_MTE!U439</f>
        <v>0</v>
      </c>
      <c r="Q326" s="711">
        <f>Bilans_E_AMS_Kyoto_run3_MTE!V439</f>
        <v>0</v>
      </c>
      <c r="R326" s="711">
        <f>Bilans_E_AMS_Kyoto_run3_MTE!W439</f>
        <v>38.800105175182054</v>
      </c>
      <c r="S326" s="711">
        <f>Bilans_E_AMS_Kyoto_run3_MTE!X439</f>
        <v>0</v>
      </c>
      <c r="T326" s="711">
        <f>Bilans_E_AMS_Kyoto_run3_MTE!Y439</f>
        <v>2.3301224997410235</v>
      </c>
      <c r="U326" s="711">
        <f>Bilans_E_AMS_Kyoto_run3_MTE!Z439</f>
        <v>52.66285899490984</v>
      </c>
      <c r="V326" s="701"/>
      <c r="W326" s="701"/>
    </row>
    <row r="327" spans="1:23" x14ac:dyDescent="0.25">
      <c r="A327" s="701" t="s">
        <v>505</v>
      </c>
      <c r="B327" s="701"/>
      <c r="C327" s="717" t="s">
        <v>76</v>
      </c>
      <c r="D327" s="711">
        <f>Bilans_E_AMS_Kyoto_run3_MTE!H440</f>
        <v>0</v>
      </c>
      <c r="E327" s="711">
        <f>Bilans_E_AMS_Kyoto_run3_MTE!I440</f>
        <v>0</v>
      </c>
      <c r="F327" s="711">
        <f>Bilans_E_AMS_Kyoto_run3_MTE!J440</f>
        <v>0</v>
      </c>
      <c r="G327" s="711">
        <f>Bilans_E_AMS_Kyoto_run3_MTE!K440</f>
        <v>0</v>
      </c>
      <c r="H327" s="711">
        <f>Bilans_E_AMS_Kyoto_run3_MTE!L440</f>
        <v>1.1543235485411594</v>
      </c>
      <c r="I327" s="711">
        <f>Bilans_E_AMS_Kyoto_run3_MTE!M440</f>
        <v>0</v>
      </c>
      <c r="J327" s="711">
        <f>Bilans_E_AMS_Kyoto_run3_MTE!N440</f>
        <v>0</v>
      </c>
      <c r="K327" s="711">
        <f>Bilans_E_AMS_Kyoto_run3_MTE!O440</f>
        <v>0</v>
      </c>
      <c r="L327" s="711">
        <f>Bilans_E_AMS_Kyoto_run3_MTE!P440</f>
        <v>0</v>
      </c>
      <c r="M327" s="711">
        <f>Bilans_E_AMS_Kyoto_run3_MTE!Q440</f>
        <v>0</v>
      </c>
      <c r="N327" s="711">
        <f>Bilans_E_AMS_Kyoto_run3_MTE!R440</f>
        <v>0</v>
      </c>
      <c r="O327" s="711">
        <f>Bilans_E_AMS_Kyoto_run3_MTE!S440</f>
        <v>0.76954903236077299</v>
      </c>
      <c r="P327" s="711">
        <f>Bilans_E_AMS_Kyoto_run3_MTE!T440+Bilans_E_AMS_Kyoto_run3_MTE!U440</f>
        <v>0</v>
      </c>
      <c r="Q327" s="711">
        <f>Bilans_E_AMS_Kyoto_run3_MTE!V440</f>
        <v>0</v>
      </c>
      <c r="R327" s="711">
        <f>Bilans_E_AMS_Kyoto_run3_MTE!W440</f>
        <v>55.568340190332414</v>
      </c>
      <c r="S327" s="711">
        <f>Bilans_E_AMS_Kyoto_run3_MTE!X440</f>
        <v>7.0126401757775509</v>
      </c>
      <c r="T327" s="711">
        <f>Bilans_E_AMS_Kyoto_run3_MTE!Y440</f>
        <v>0</v>
      </c>
      <c r="U327" s="711">
        <f>Bilans_E_AMS_Kyoto_run3_MTE!Z440</f>
        <v>64.504852947011898</v>
      </c>
      <c r="V327" s="701"/>
      <c r="W327" s="701"/>
    </row>
    <row r="328" spans="1:23" x14ac:dyDescent="0.25">
      <c r="A328" s="701" t="s">
        <v>506</v>
      </c>
      <c r="B328" s="701"/>
      <c r="C328" s="713" t="s">
        <v>77</v>
      </c>
      <c r="D328" s="714">
        <f>Bilans_E_AMS_Kyoto_run3_MTE!H441</f>
        <v>11.840306396484376</v>
      </c>
      <c r="E328" s="714">
        <f>Bilans_E_AMS_Kyoto_run3_MTE!I441</f>
        <v>228.52698065701114</v>
      </c>
      <c r="F328" s="714">
        <f>Bilans_E_AMS_Kyoto_run3_MTE!J441</f>
        <v>-215.16927865141872</v>
      </c>
      <c r="G328" s="714">
        <f>Bilans_E_AMS_Kyoto_run3_MTE!K441</f>
        <v>-5.3675968512762449</v>
      </c>
      <c r="H328" s="714">
        <f>Bilans_E_AMS_Kyoto_run3_MTE!L441</f>
        <v>14.951693796815011</v>
      </c>
      <c r="I328" s="714">
        <f>Bilans_E_AMS_Kyoto_run3_MTE!M441</f>
        <v>-0.99259685127624475</v>
      </c>
      <c r="J328" s="714">
        <f>Bilans_E_AMS_Kyoto_run3_MTE!N441</f>
        <v>1217.3350254612858</v>
      </c>
      <c r="K328" s="714">
        <f>Bilans_E_AMS_Kyoto_run3_MTE!O441</f>
        <v>388.29502398919544</v>
      </c>
      <c r="L328" s="714">
        <f>Bilans_E_AMS_Kyoto_run3_MTE!P441</f>
        <v>255.15325459036612</v>
      </c>
      <c r="M328" s="714">
        <f>Bilans_E_AMS_Kyoto_run3_MTE!Q441</f>
        <v>38.768704949841634</v>
      </c>
      <c r="N328" s="714">
        <f>Bilans_E_AMS_Kyoto_run3_MTE!R441</f>
        <v>-49.800698638984656</v>
      </c>
      <c r="O328" s="714">
        <f>Bilans_E_AMS_Kyoto_run3_MTE!S441</f>
        <v>-56.411694494246213</v>
      </c>
      <c r="P328" s="714">
        <f>Bilans_E_AMS_Kyoto_run3_MTE!T441+Bilans_E_AMS_Kyoto_run3_MTE!U441</f>
        <v>17.004200785241363</v>
      </c>
      <c r="Q328" s="714">
        <f>Bilans_E_AMS_Kyoto_run3_MTE!V441</f>
        <v>22.157257652094906</v>
      </c>
      <c r="R328" s="714">
        <f>Bilans_E_AMS_Kyoto_run3_MTE!W441</f>
        <v>-664.74747380843064</v>
      </c>
      <c r="S328" s="714">
        <f>Bilans_E_AMS_Kyoto_run3_MTE!X441</f>
        <v>-83.423802565967307</v>
      </c>
      <c r="T328" s="714">
        <f>Bilans_E_AMS_Kyoto_run3_MTE!Y441</f>
        <v>-19.246415638918862</v>
      </c>
      <c r="U328" s="714">
        <f>Bilans_E_AMS_Kyoto_run3_MTE!Z441</f>
        <v>1098.8728907778168</v>
      </c>
      <c r="V328" s="701"/>
      <c r="W328" s="701"/>
    </row>
    <row r="329" spans="1:23" x14ac:dyDescent="0.25">
      <c r="A329" s="701"/>
      <c r="B329" s="701"/>
      <c r="C329" s="715"/>
      <c r="D329" s="716"/>
      <c r="E329" s="716"/>
      <c r="F329" s="716"/>
      <c r="G329" s="716"/>
      <c r="H329" s="716"/>
      <c r="I329" s="716"/>
      <c r="J329" s="716"/>
      <c r="K329" s="716"/>
      <c r="L329" s="716"/>
      <c r="M329" s="716"/>
      <c r="N329" s="716"/>
      <c r="O329" s="716"/>
      <c r="P329" s="716">
        <f>Bilans_E_AMS_Kyoto_run3_MTE!T442+Bilans_E_AMS_Kyoto_run3_MTE!U442</f>
        <v>0</v>
      </c>
      <c r="Q329" s="716"/>
      <c r="R329" s="716"/>
      <c r="S329" s="716"/>
      <c r="T329" s="716"/>
      <c r="U329" s="716"/>
      <c r="V329" s="701"/>
      <c r="W329" s="701"/>
    </row>
    <row r="330" spans="1:23" x14ac:dyDescent="0.25">
      <c r="A330" s="701" t="s">
        <v>507</v>
      </c>
      <c r="B330" s="701"/>
      <c r="C330" s="717" t="s">
        <v>78</v>
      </c>
      <c r="D330" s="711">
        <f>Bilans_E_AMS_Kyoto_run3_MTE!H443</f>
        <v>0.31248754882812502</v>
      </c>
      <c r="E330" s="711">
        <f>Bilans_E_AMS_Kyoto_run3_MTE!I443</f>
        <v>0</v>
      </c>
      <c r="F330" s="711">
        <f>Bilans_E_AMS_Kyoto_run3_MTE!J443</f>
        <v>3.1554639427466697</v>
      </c>
      <c r="G330" s="711">
        <f>Bilans_E_AMS_Kyoto_run3_MTE!K443</f>
        <v>0</v>
      </c>
      <c r="H330" s="711">
        <f>Bilans_E_AMS_Kyoto_run3_MTE!L443</f>
        <v>37.01033714688981</v>
      </c>
      <c r="I330" s="711">
        <f>Bilans_E_AMS_Kyoto_run3_MTE!M443</f>
        <v>0</v>
      </c>
      <c r="J330" s="711">
        <f>Bilans_E_AMS_Kyoto_run3_MTE!N443</f>
        <v>0</v>
      </c>
      <c r="K330" s="711">
        <f>Bilans_E_AMS_Kyoto_run3_MTE!O443</f>
        <v>0</v>
      </c>
      <c r="L330" s="711">
        <f>Bilans_E_AMS_Kyoto_run3_MTE!P443</f>
        <v>37.391289864504934</v>
      </c>
      <c r="M330" s="711">
        <f>Bilans_E_AMS_Kyoto_run3_MTE!Q443</f>
        <v>8.8042095890605694</v>
      </c>
      <c r="N330" s="711">
        <f>Bilans_E_AMS_Kyoto_run3_MTE!R443</f>
        <v>0.65571165030445222</v>
      </c>
      <c r="O330" s="711">
        <f>Bilans_E_AMS_Kyoto_run3_MTE!S443</f>
        <v>24.712220905509611</v>
      </c>
      <c r="P330" s="711">
        <f>Bilans_E_AMS_Kyoto_run3_MTE!T443+Bilans_E_AMS_Kyoto_run3_MTE!U443</f>
        <v>10.938740234375</v>
      </c>
      <c r="Q330" s="711">
        <f>Bilans_E_AMS_Kyoto_run3_MTE!V443</f>
        <v>7.8820466826144567E-4</v>
      </c>
      <c r="R330" s="711">
        <f>Bilans_E_AMS_Kyoto_run3_MTE!W443</f>
        <v>154.95335920514725</v>
      </c>
      <c r="S330" s="711">
        <f>Bilans_E_AMS_Kyoto_run3_MTE!X443</f>
        <v>19.589550837757145</v>
      </c>
      <c r="T330" s="711">
        <f>Bilans_E_AMS_Kyoto_run3_MTE!Y443</f>
        <v>8.8214501953125009</v>
      </c>
      <c r="U330" s="711">
        <f>Bilans_E_AMS_Kyoto_run3_MTE!Z443</f>
        <v>306.34560932510431</v>
      </c>
      <c r="V330" s="701"/>
      <c r="W330" s="701"/>
    </row>
    <row r="331" spans="1:23" x14ac:dyDescent="0.25">
      <c r="A331" s="701" t="s">
        <v>508</v>
      </c>
      <c r="B331" s="701"/>
      <c r="C331" s="717" t="s">
        <v>79</v>
      </c>
      <c r="D331" s="711">
        <f>Bilans_E_AMS_Kyoto_run3_MTE!H444</f>
        <v>0</v>
      </c>
      <c r="E331" s="711">
        <f>Bilans_E_AMS_Kyoto_run3_MTE!I444</f>
        <v>0</v>
      </c>
      <c r="F331" s="711">
        <f>Bilans_E_AMS_Kyoto_run3_MTE!J444</f>
        <v>101.77401649068347</v>
      </c>
      <c r="G331" s="711">
        <f>Bilans_E_AMS_Kyoto_run3_MTE!K444</f>
        <v>1</v>
      </c>
      <c r="H331" s="711">
        <f>Bilans_E_AMS_Kyoto_run3_MTE!L444</f>
        <v>4.5438942798277537</v>
      </c>
      <c r="I331" s="711">
        <f>Bilans_E_AMS_Kyoto_run3_MTE!M444</f>
        <v>0</v>
      </c>
      <c r="J331" s="711">
        <f>Bilans_E_AMS_Kyoto_run3_MTE!N444</f>
        <v>0</v>
      </c>
      <c r="K331" s="711">
        <f>Bilans_E_AMS_Kyoto_run3_MTE!O444</f>
        <v>0</v>
      </c>
      <c r="L331" s="711">
        <f>Bilans_E_AMS_Kyoto_run3_MTE!P444</f>
        <v>0</v>
      </c>
      <c r="M331" s="711">
        <f>Bilans_E_AMS_Kyoto_run3_MTE!Q444</f>
        <v>0</v>
      </c>
      <c r="N331" s="711">
        <f>Bilans_E_AMS_Kyoto_run3_MTE!R444</f>
        <v>35.960574276816558</v>
      </c>
      <c r="O331" s="711">
        <f>Bilans_E_AMS_Kyoto_run3_MTE!S444</f>
        <v>3.0292628532185026</v>
      </c>
      <c r="P331" s="711">
        <f>Bilans_E_AMS_Kyoto_run3_MTE!T444+Bilans_E_AMS_Kyoto_run3_MTE!U444</f>
        <v>0</v>
      </c>
      <c r="Q331" s="711">
        <f>Bilans_E_AMS_Kyoto_run3_MTE!V444</f>
        <v>0</v>
      </c>
      <c r="R331" s="711">
        <f>Bilans_E_AMS_Kyoto_run3_MTE!W444</f>
        <v>98.588545998647945</v>
      </c>
      <c r="S331" s="711">
        <f>Bilans_E_AMS_Kyoto_run3_MTE!X444</f>
        <v>0</v>
      </c>
      <c r="T331" s="711">
        <f>Bilans_E_AMS_Kyoto_run3_MTE!Y444</f>
        <v>4.4541562271539039</v>
      </c>
      <c r="U331" s="711">
        <f>Bilans_E_AMS_Kyoto_run3_MTE!Z444</f>
        <v>249.35045012634814</v>
      </c>
      <c r="V331" s="701"/>
      <c r="W331" s="701"/>
    </row>
    <row r="332" spans="1:23" x14ac:dyDescent="0.25">
      <c r="A332" s="701" t="s">
        <v>509</v>
      </c>
      <c r="B332" s="701"/>
      <c r="C332" s="717" t="s">
        <v>80</v>
      </c>
      <c r="D332" s="711">
        <f>Bilans_E_AMS_Kyoto_run3_MTE!H445</f>
        <v>0</v>
      </c>
      <c r="E332" s="711">
        <f>Bilans_E_AMS_Kyoto_run3_MTE!I445</f>
        <v>0</v>
      </c>
      <c r="F332" s="711">
        <f>Bilans_E_AMS_Kyoto_run3_MTE!J445</f>
        <v>0.45829125770018231</v>
      </c>
      <c r="G332" s="711">
        <f>Bilans_E_AMS_Kyoto_run3_MTE!K445</f>
        <v>0</v>
      </c>
      <c r="H332" s="711">
        <f>Bilans_E_AMS_Kyoto_run3_MTE!L445</f>
        <v>23.558204689169596</v>
      </c>
      <c r="I332" s="711">
        <f>Bilans_E_AMS_Kyoto_run3_MTE!M445</f>
        <v>0</v>
      </c>
      <c r="J332" s="711">
        <f>Bilans_E_AMS_Kyoto_run3_MTE!N445</f>
        <v>0</v>
      </c>
      <c r="K332" s="711">
        <f>Bilans_E_AMS_Kyoto_run3_MTE!O445</f>
        <v>0</v>
      </c>
      <c r="L332" s="711">
        <f>Bilans_E_AMS_Kyoto_run3_MTE!P445</f>
        <v>44.494417008077924</v>
      </c>
      <c r="M332" s="711">
        <f>Bilans_E_AMS_Kyoto_run3_MTE!Q445</f>
        <v>0</v>
      </c>
      <c r="N332" s="711">
        <f>Bilans_E_AMS_Kyoto_run3_MTE!R445</f>
        <v>0</v>
      </c>
      <c r="O332" s="711">
        <f>Bilans_E_AMS_Kyoto_run3_MTE!S445</f>
        <v>15.705469792779732</v>
      </c>
      <c r="P332" s="711">
        <f>Bilans_E_AMS_Kyoto_run3_MTE!T445+Bilans_E_AMS_Kyoto_run3_MTE!U445</f>
        <v>136.92844956569715</v>
      </c>
      <c r="Q332" s="711">
        <f>Bilans_E_AMS_Kyoto_run3_MTE!V445</f>
        <v>11.112810725871574</v>
      </c>
      <c r="R332" s="711">
        <f>Bilans_E_AMS_Kyoto_run3_MTE!W445</f>
        <v>151.24868898897191</v>
      </c>
      <c r="S332" s="711">
        <f>Bilans_E_AMS_Kyoto_run3_MTE!X445</f>
        <v>40.573888251039236</v>
      </c>
      <c r="T332" s="711">
        <f>Bilans_E_AMS_Kyoto_run3_MTE!Y445</f>
        <v>0</v>
      </c>
      <c r="U332" s="711">
        <f>Bilans_E_AMS_Kyoto_run3_MTE!Z445</f>
        <v>424.0802202793073</v>
      </c>
      <c r="V332" s="701"/>
      <c r="W332" s="701"/>
    </row>
    <row r="333" spans="1:23" x14ac:dyDescent="0.25">
      <c r="A333" s="701" t="s">
        <v>510</v>
      </c>
      <c r="B333" s="701"/>
      <c r="C333" s="717" t="s">
        <v>81</v>
      </c>
      <c r="D333" s="711">
        <f>Bilans_E_AMS_Kyoto_run3_MTE!H446</f>
        <v>0</v>
      </c>
      <c r="E333" s="711">
        <f>Bilans_E_AMS_Kyoto_run3_MTE!I446</f>
        <v>0</v>
      </c>
      <c r="F333" s="711">
        <f>Bilans_E_AMS_Kyoto_run3_MTE!J446</f>
        <v>0.72441471608254671</v>
      </c>
      <c r="G333" s="711">
        <f>Bilans_E_AMS_Kyoto_run3_MTE!K446</f>
        <v>0</v>
      </c>
      <c r="H333" s="711">
        <f>Bilans_E_AMS_Kyoto_run3_MTE!L446</f>
        <v>16.529932147980702</v>
      </c>
      <c r="I333" s="711">
        <f>Bilans_E_AMS_Kyoto_run3_MTE!M446</f>
        <v>0</v>
      </c>
      <c r="J333" s="711">
        <f>Bilans_E_AMS_Kyoto_run3_MTE!N446</f>
        <v>0</v>
      </c>
      <c r="K333" s="711">
        <f>Bilans_E_AMS_Kyoto_run3_MTE!O446</f>
        <v>0</v>
      </c>
      <c r="L333" s="711">
        <f>Bilans_E_AMS_Kyoto_run3_MTE!P446</f>
        <v>0.53348745170182088</v>
      </c>
      <c r="M333" s="711">
        <f>Bilans_E_AMS_Kyoto_run3_MTE!Q446</f>
        <v>0</v>
      </c>
      <c r="N333" s="711">
        <f>Bilans_E_AMS_Kyoto_run3_MTE!R446</f>
        <v>0</v>
      </c>
      <c r="O333" s="711">
        <f>Bilans_E_AMS_Kyoto_run3_MTE!S446</f>
        <v>11.019954765320469</v>
      </c>
      <c r="P333" s="711">
        <f>Bilans_E_AMS_Kyoto_run3_MTE!T446+Bilans_E_AMS_Kyoto_run3_MTE!U446</f>
        <v>52.106590615041483</v>
      </c>
      <c r="Q333" s="711">
        <f>Bilans_E_AMS_Kyoto_run3_MTE!V446</f>
        <v>10.099133053150796</v>
      </c>
      <c r="R333" s="711">
        <f>Bilans_E_AMS_Kyoto_run3_MTE!W446</f>
        <v>121.37238070067973</v>
      </c>
      <c r="S333" s="711">
        <f>Bilans_E_AMS_Kyoto_run3_MTE!X446</f>
        <v>23.260331591038877</v>
      </c>
      <c r="T333" s="711">
        <f>Bilans_E_AMS_Kyoto_run3_MTE!Y446</f>
        <v>0</v>
      </c>
      <c r="U333" s="711">
        <f>Bilans_E_AMS_Kyoto_run3_MTE!Z446</f>
        <v>235.6462250409964</v>
      </c>
      <c r="V333" s="701"/>
      <c r="W333" s="701"/>
    </row>
    <row r="334" spans="1:23" x14ac:dyDescent="0.25">
      <c r="A334" s="701" t="s">
        <v>511</v>
      </c>
      <c r="B334" s="701"/>
      <c r="C334" s="717" t="s">
        <v>82</v>
      </c>
      <c r="D334" s="711">
        <f>Bilans_E_AMS_Kyoto_run3_MTE!H447</f>
        <v>0</v>
      </c>
      <c r="E334" s="711">
        <f>Bilans_E_AMS_Kyoto_run3_MTE!I447</f>
        <v>0</v>
      </c>
      <c r="F334" s="711">
        <f>Bilans_E_AMS_Kyoto_run3_MTE!J447</f>
        <v>13.844421020879521</v>
      </c>
      <c r="G334" s="711">
        <f>Bilans_E_AMS_Kyoto_run3_MTE!K447</f>
        <v>0</v>
      </c>
      <c r="H334" s="711">
        <f>Bilans_E_AMS_Kyoto_run3_MTE!L447</f>
        <v>0.75389053295489317</v>
      </c>
      <c r="I334" s="711">
        <f>Bilans_E_AMS_Kyoto_run3_MTE!M447</f>
        <v>0</v>
      </c>
      <c r="J334" s="711">
        <f>Bilans_E_AMS_Kyoto_run3_MTE!N447</f>
        <v>0</v>
      </c>
      <c r="K334" s="711">
        <f>Bilans_E_AMS_Kyoto_run3_MTE!O447</f>
        <v>0</v>
      </c>
      <c r="L334" s="711">
        <f>Bilans_E_AMS_Kyoto_run3_MTE!P447</f>
        <v>15.52633161671044</v>
      </c>
      <c r="M334" s="711">
        <f>Bilans_E_AMS_Kyoto_run3_MTE!Q447</f>
        <v>0</v>
      </c>
      <c r="N334" s="711">
        <f>Bilans_E_AMS_Kyoto_run3_MTE!R447</f>
        <v>6.9560280843062596</v>
      </c>
      <c r="O334" s="711">
        <f>Bilans_E_AMS_Kyoto_run3_MTE!S447</f>
        <v>0.50259368863659548</v>
      </c>
      <c r="P334" s="711">
        <f>Bilans_E_AMS_Kyoto_run3_MTE!T447+Bilans_E_AMS_Kyoto_run3_MTE!U447</f>
        <v>1</v>
      </c>
      <c r="Q334" s="711">
        <f>Bilans_E_AMS_Kyoto_run3_MTE!V447</f>
        <v>1.300620381405156</v>
      </c>
      <c r="R334" s="711">
        <f>Bilans_E_AMS_Kyoto_run3_MTE!W447</f>
        <v>9.5059865656589242</v>
      </c>
      <c r="S334" s="711">
        <f>Bilans_E_AMS_Kyoto_run3_MTE!X447</f>
        <v>0</v>
      </c>
      <c r="T334" s="711">
        <f>Bilans_E_AMS_Kyoto_run3_MTE!Y447</f>
        <v>0.43956597389567681</v>
      </c>
      <c r="U334" s="711">
        <f>Bilans_E_AMS_Kyoto_run3_MTE!Z447</f>
        <v>49.829437864447456</v>
      </c>
      <c r="V334" s="701"/>
      <c r="W334" s="701"/>
    </row>
    <row r="335" spans="1:23" x14ac:dyDescent="0.25">
      <c r="A335" s="701" t="s">
        <v>512</v>
      </c>
      <c r="B335" s="701"/>
      <c r="C335" s="717" t="s">
        <v>354</v>
      </c>
      <c r="D335" s="711">
        <f>Bilans_E_AMS_Kyoto_run3_MTE!H448</f>
        <v>0</v>
      </c>
      <c r="E335" s="711">
        <f>Bilans_E_AMS_Kyoto_run3_MTE!I448</f>
        <v>0</v>
      </c>
      <c r="F335" s="711">
        <f>Bilans_E_AMS_Kyoto_run3_MTE!J448</f>
        <v>0</v>
      </c>
      <c r="G335" s="711">
        <f>Bilans_E_AMS_Kyoto_run3_MTE!K448</f>
        <v>0</v>
      </c>
      <c r="H335" s="711">
        <f>Bilans_E_AMS_Kyoto_run3_MTE!L448</f>
        <v>0</v>
      </c>
      <c r="I335" s="711">
        <f>Bilans_E_AMS_Kyoto_run3_MTE!M448</f>
        <v>0</v>
      </c>
      <c r="J335" s="711">
        <f>Bilans_E_AMS_Kyoto_run3_MTE!N448</f>
        <v>0</v>
      </c>
      <c r="K335" s="711">
        <f>Bilans_E_AMS_Kyoto_run3_MTE!O448</f>
        <v>0</v>
      </c>
      <c r="L335" s="711">
        <f>Bilans_E_AMS_Kyoto_run3_MTE!P448</f>
        <v>0</v>
      </c>
      <c r="M335" s="711">
        <f>Bilans_E_AMS_Kyoto_run3_MTE!Q448</f>
        <v>0</v>
      </c>
      <c r="N335" s="711">
        <f>Bilans_E_AMS_Kyoto_run3_MTE!R448</f>
        <v>0</v>
      </c>
      <c r="O335" s="711">
        <f>Bilans_E_AMS_Kyoto_run3_MTE!S448</f>
        <v>0</v>
      </c>
      <c r="P335" s="711">
        <f>Bilans_E_AMS_Kyoto_run3_MTE!T448+Bilans_E_AMS_Kyoto_run3_MTE!U448</f>
        <v>0</v>
      </c>
      <c r="Q335" s="711">
        <f>Bilans_E_AMS_Kyoto_run3_MTE!V448</f>
        <v>0</v>
      </c>
      <c r="R335" s="711">
        <f>Bilans_E_AMS_Kyoto_run3_MTE!W448</f>
        <v>3.6</v>
      </c>
      <c r="S335" s="711">
        <f>Bilans_E_AMS_Kyoto_run3_MTE!X448</f>
        <v>0</v>
      </c>
      <c r="T335" s="711">
        <f>Bilans_E_AMS_Kyoto_run3_MTE!Y448</f>
        <v>0</v>
      </c>
      <c r="U335" s="711">
        <f>Bilans_E_AMS_Kyoto_run3_MTE!Z448</f>
        <v>3.6</v>
      </c>
      <c r="V335" s="701"/>
      <c r="W335" s="701"/>
    </row>
    <row r="336" spans="1:23" x14ac:dyDescent="0.25">
      <c r="A336" s="701" t="s">
        <v>513</v>
      </c>
      <c r="B336" s="701"/>
      <c r="C336" s="713" t="s">
        <v>83</v>
      </c>
      <c r="D336" s="714">
        <f>Bilans_E_AMS_Kyoto_run3_MTE!H449</f>
        <v>0.31248754882812502</v>
      </c>
      <c r="E336" s="714">
        <f>Bilans_E_AMS_Kyoto_run3_MTE!I449</f>
        <v>0</v>
      </c>
      <c r="F336" s="714">
        <f>Bilans_E_AMS_Kyoto_run3_MTE!J449</f>
        <v>119.95660742809238</v>
      </c>
      <c r="G336" s="714">
        <f>Bilans_E_AMS_Kyoto_run3_MTE!K449</f>
        <v>1</v>
      </c>
      <c r="H336" s="714">
        <f>Bilans_E_AMS_Kyoto_run3_MTE!L449</f>
        <v>82.396258796822764</v>
      </c>
      <c r="I336" s="714">
        <f>Bilans_E_AMS_Kyoto_run3_MTE!M449</f>
        <v>0</v>
      </c>
      <c r="J336" s="714">
        <f>Bilans_E_AMS_Kyoto_run3_MTE!N449</f>
        <v>0</v>
      </c>
      <c r="K336" s="714">
        <f>Bilans_E_AMS_Kyoto_run3_MTE!O449</f>
        <v>0</v>
      </c>
      <c r="L336" s="714">
        <f>Bilans_E_AMS_Kyoto_run3_MTE!P449</f>
        <v>97.945525940995111</v>
      </c>
      <c r="M336" s="714">
        <f>Bilans_E_AMS_Kyoto_run3_MTE!Q449</f>
        <v>8.8042095890605694</v>
      </c>
      <c r="N336" s="714">
        <f>Bilans_E_AMS_Kyoto_run3_MTE!R449</f>
        <v>43.572314011427274</v>
      </c>
      <c r="O336" s="714">
        <f>Bilans_E_AMS_Kyoto_run3_MTE!S449</f>
        <v>54.969502005464911</v>
      </c>
      <c r="P336" s="714">
        <f>Bilans_E_AMS_Kyoto_run3_MTE!T449+Bilans_E_AMS_Kyoto_run3_MTE!U449</f>
        <v>200.97378041511362</v>
      </c>
      <c r="Q336" s="714">
        <f>Bilans_E_AMS_Kyoto_run3_MTE!V449</f>
        <v>22.513352365095788</v>
      </c>
      <c r="R336" s="714">
        <f>Bilans_E_AMS_Kyoto_run3_MTE!W449</f>
        <v>539.26896145910575</v>
      </c>
      <c r="S336" s="714">
        <f>Bilans_E_AMS_Kyoto_run3_MTE!X449</f>
        <v>83.423770679835258</v>
      </c>
      <c r="T336" s="714">
        <f>Bilans_E_AMS_Kyoto_run3_MTE!Y449</f>
        <v>13.715172396362082</v>
      </c>
      <c r="U336" s="714">
        <f>Bilans_E_AMS_Kyoto_run3_MTE!Z449</f>
        <v>1268.8519426362036</v>
      </c>
      <c r="V336" s="701"/>
      <c r="W336" s="701"/>
    </row>
    <row r="337" spans="1:23" x14ac:dyDescent="0.25">
      <c r="A337" s="701" t="s">
        <v>514</v>
      </c>
      <c r="B337" s="701"/>
      <c r="C337" s="710" t="s">
        <v>84</v>
      </c>
      <c r="D337" s="711">
        <f>Bilans_E_AMS_Kyoto_run3_MTE!H450</f>
        <v>0</v>
      </c>
      <c r="E337" s="711">
        <f>Bilans_E_AMS_Kyoto_run3_MTE!I450</f>
        <v>0</v>
      </c>
      <c r="F337" s="711">
        <f>Bilans_E_AMS_Kyoto_run3_MTE!J450</f>
        <v>102.03544321387012</v>
      </c>
      <c r="G337" s="711">
        <f>Bilans_E_AMS_Kyoto_run3_MTE!K450</f>
        <v>2.4611725721851321</v>
      </c>
      <c r="H337" s="711">
        <f>Bilans_E_AMS_Kyoto_run3_MTE!L450</f>
        <v>12.555456003161671</v>
      </c>
      <c r="I337" s="711">
        <f>Bilans_E_AMS_Kyoto_run3_MTE!M450</f>
        <v>0</v>
      </c>
      <c r="J337" s="711">
        <f>Bilans_E_AMS_Kyoto_run3_MTE!N450</f>
        <v>0</v>
      </c>
      <c r="K337" s="711">
        <f>Bilans_E_AMS_Kyoto_run3_MTE!O450</f>
        <v>0</v>
      </c>
      <c r="L337" s="711">
        <f>Bilans_E_AMS_Kyoto_run3_MTE!P450</f>
        <v>0.48630321782953712</v>
      </c>
      <c r="M337" s="711">
        <f>Bilans_E_AMS_Kyoto_run3_MTE!Q450</f>
        <v>0</v>
      </c>
      <c r="N337" s="711">
        <f>Bilans_E_AMS_Kyoto_run3_MTE!R450</f>
        <v>3.8692083880096835</v>
      </c>
      <c r="O337" s="711">
        <f>Bilans_E_AMS_Kyoto_run3_MTE!S450</f>
        <v>0</v>
      </c>
      <c r="P337" s="711">
        <f>Bilans_E_AMS_Kyoto_run3_MTE!T450+Bilans_E_AMS_Kyoto_run3_MTE!U450</f>
        <v>0</v>
      </c>
      <c r="Q337" s="711">
        <f>Bilans_E_AMS_Kyoto_run3_MTE!V450</f>
        <v>0</v>
      </c>
      <c r="R337" s="711">
        <f>Bilans_E_AMS_Kyoto_run3_MTE!W450</f>
        <v>0</v>
      </c>
      <c r="S337" s="711">
        <f>Bilans_E_AMS_Kyoto_run3_MTE!X450</f>
        <v>0</v>
      </c>
      <c r="T337" s="711">
        <f>Bilans_E_AMS_Kyoto_run3_MTE!Y450</f>
        <v>1.8671101278544562</v>
      </c>
      <c r="U337" s="711">
        <f>Bilans_E_AMS_Kyoto_run3_MTE!Z450</f>
        <v>123.27469352291061</v>
      </c>
      <c r="V337" s="701"/>
      <c r="W337" s="701"/>
    </row>
    <row r="338" spans="1:23" x14ac:dyDescent="0.25">
      <c r="A338" s="701" t="s">
        <v>515</v>
      </c>
      <c r="B338" s="701"/>
      <c r="C338" s="713" t="s">
        <v>85</v>
      </c>
      <c r="D338" s="714">
        <f>Bilans_E_AMS_Kyoto_run3_MTE!H451</f>
        <v>0.31248754882812502</v>
      </c>
      <c r="E338" s="714">
        <f>Bilans_E_AMS_Kyoto_run3_MTE!I451</f>
        <v>0</v>
      </c>
      <c r="F338" s="714">
        <f>Bilans_E_AMS_Kyoto_run3_MTE!J451</f>
        <v>221.99205064196252</v>
      </c>
      <c r="G338" s="714">
        <f>Bilans_E_AMS_Kyoto_run3_MTE!K451</f>
        <v>3.4611725721851321</v>
      </c>
      <c r="H338" s="714">
        <f>Bilans_E_AMS_Kyoto_run3_MTE!L451</f>
        <v>94.95171479998443</v>
      </c>
      <c r="I338" s="714">
        <f>Bilans_E_AMS_Kyoto_run3_MTE!M451</f>
        <v>0</v>
      </c>
      <c r="J338" s="714">
        <f>Bilans_E_AMS_Kyoto_run3_MTE!N451</f>
        <v>0</v>
      </c>
      <c r="K338" s="714">
        <f>Bilans_E_AMS_Kyoto_run3_MTE!O451</f>
        <v>0</v>
      </c>
      <c r="L338" s="714">
        <f>Bilans_E_AMS_Kyoto_run3_MTE!P451</f>
        <v>98.431829158824655</v>
      </c>
      <c r="M338" s="714">
        <f>Bilans_E_AMS_Kyoto_run3_MTE!Q451</f>
        <v>8.8042095890605694</v>
      </c>
      <c r="N338" s="714">
        <f>Bilans_E_AMS_Kyoto_run3_MTE!R451</f>
        <v>47.441522399436955</v>
      </c>
      <c r="O338" s="714">
        <f>Bilans_E_AMS_Kyoto_run3_MTE!S451</f>
        <v>54.969502005464911</v>
      </c>
      <c r="P338" s="714">
        <f>Bilans_E_AMS_Kyoto_run3_MTE!T451+Bilans_E_AMS_Kyoto_run3_MTE!U451</f>
        <v>200.97378041511362</v>
      </c>
      <c r="Q338" s="714">
        <f>Bilans_E_AMS_Kyoto_run3_MTE!V451</f>
        <v>22.513352365095788</v>
      </c>
      <c r="R338" s="714">
        <f>Bilans_E_AMS_Kyoto_run3_MTE!W451</f>
        <v>539.26896145910575</v>
      </c>
      <c r="S338" s="714">
        <f>Bilans_E_AMS_Kyoto_run3_MTE!X451</f>
        <v>83.423770679835258</v>
      </c>
      <c r="T338" s="714">
        <f>Bilans_E_AMS_Kyoto_run3_MTE!Y451</f>
        <v>15.582282524216538</v>
      </c>
      <c r="U338" s="714">
        <f>Bilans_E_AMS_Kyoto_run3_MTE!Z451</f>
        <v>1392.1266361591142</v>
      </c>
      <c r="V338" s="701"/>
      <c r="W338" s="701"/>
    </row>
    <row r="339" spans="1:23" x14ac:dyDescent="0.25">
      <c r="A339" s="701"/>
      <c r="B339" s="701"/>
      <c r="C339" s="701"/>
      <c r="D339" s="701">
        <f>Bilans_E_AMS_Kyoto_run3_MTE!H452</f>
        <v>0</v>
      </c>
      <c r="E339" s="701">
        <f>Bilans_E_AMS_Kyoto_run3_MTE!I452</f>
        <v>0</v>
      </c>
      <c r="F339" s="701">
        <f>Bilans_E_AMS_Kyoto_run3_MTE!J452</f>
        <v>5.6843418860808015E-14</v>
      </c>
      <c r="G339" s="701">
        <f>Bilans_E_AMS_Kyoto_run3_MTE!K452</f>
        <v>0</v>
      </c>
      <c r="H339" s="701">
        <f>Bilans_E_AMS_Kyoto_run3_MTE!L452</f>
        <v>0</v>
      </c>
      <c r="I339" s="701">
        <f>Bilans_E_AMS_Kyoto_run3_MTE!M452</f>
        <v>0</v>
      </c>
      <c r="J339" s="701">
        <f>Bilans_E_AMS_Kyoto_run3_MTE!N452</f>
        <v>0</v>
      </c>
      <c r="K339" s="701">
        <f>Bilans_E_AMS_Kyoto_run3_MTE!O452</f>
        <v>0</v>
      </c>
      <c r="L339" s="701">
        <f>Bilans_E_AMS_Kyoto_run3_MTE!P452</f>
        <v>0</v>
      </c>
      <c r="M339" s="701">
        <f>Bilans_E_AMS_Kyoto_run3_MTE!Q452</f>
        <v>0</v>
      </c>
      <c r="N339" s="701">
        <f>Bilans_E_AMS_Kyoto_run3_MTE!R452</f>
        <v>0</v>
      </c>
      <c r="O339" s="701">
        <f>Bilans_E_AMS_Kyoto_run3_MTE!S452</f>
        <v>1.9984014443252818E-15</v>
      </c>
      <c r="P339" s="701">
        <f>Bilans_E_AMS_Kyoto_run3_MTE!T452+Bilans_E_AMS_Kyoto_run3_MTE!U452</f>
        <v>0</v>
      </c>
      <c r="Q339" s="701">
        <f>Bilans_E_AMS_Kyoto_run3_MTE!V452</f>
        <v>0</v>
      </c>
      <c r="R339" s="701">
        <f>Bilans_E_AMS_Kyoto_run3_MTE!W452</f>
        <v>0</v>
      </c>
      <c r="S339" s="701">
        <f>Bilans_E_AMS_Kyoto_run3_MTE!X452</f>
        <v>-3.1886132049407934E-5</v>
      </c>
      <c r="T339" s="701">
        <f>Bilans_E_AMS_Kyoto_run3_MTE!Y452</f>
        <v>0</v>
      </c>
      <c r="U339" s="701">
        <f>Bilans_E_AMS_Kyoto_run3_MTE!Z452</f>
        <v>-3.1886131637293147E-5</v>
      </c>
      <c r="V339" s="701"/>
      <c r="W339" s="701"/>
    </row>
    <row r="340" spans="1:23" x14ac:dyDescent="0.25">
      <c r="A340" s="701"/>
      <c r="B340" s="701"/>
      <c r="C340" s="701"/>
      <c r="D340" s="701"/>
      <c r="E340" s="701"/>
      <c r="F340" s="701"/>
      <c r="G340" s="701"/>
      <c r="H340" s="701"/>
      <c r="I340" s="701"/>
      <c r="J340" s="701"/>
      <c r="K340" s="701"/>
      <c r="L340" s="701"/>
      <c r="M340" s="701"/>
      <c r="N340" s="701"/>
      <c r="O340" s="701"/>
      <c r="P340" s="701"/>
      <c r="Q340" s="701"/>
      <c r="R340" s="701"/>
      <c r="S340" s="701"/>
      <c r="T340" s="701"/>
      <c r="U340" s="701"/>
      <c r="V340" s="701"/>
      <c r="W340" s="701"/>
    </row>
    <row r="341" spans="1:23" x14ac:dyDescent="0.25">
      <c r="A341" s="707"/>
      <c r="B341" s="707"/>
      <c r="C341" s="708" t="s">
        <v>518</v>
      </c>
      <c r="D341" s="707"/>
      <c r="E341" s="707"/>
      <c r="F341" s="707"/>
      <c r="G341" s="707"/>
      <c r="H341" s="707"/>
      <c r="I341" s="707"/>
      <c r="J341" s="707"/>
      <c r="K341" s="707"/>
      <c r="L341" s="707"/>
      <c r="M341" s="707"/>
      <c r="N341" s="707"/>
      <c r="O341" s="707"/>
      <c r="P341" s="707"/>
      <c r="Q341" s="707"/>
      <c r="R341" s="707"/>
      <c r="S341" s="707"/>
      <c r="T341" s="707"/>
      <c r="U341" s="707"/>
      <c r="V341" s="707"/>
      <c r="W341" s="707"/>
    </row>
    <row r="342" spans="1:23" x14ac:dyDescent="0.25">
      <c r="A342" s="701"/>
      <c r="B342" s="701"/>
      <c r="C342" s="701"/>
      <c r="D342" s="701"/>
      <c r="E342" s="701"/>
      <c r="F342" s="701"/>
      <c r="G342" s="701"/>
      <c r="H342" s="701"/>
      <c r="I342" s="701"/>
      <c r="J342" s="701"/>
      <c r="K342" s="701"/>
      <c r="L342" s="701"/>
      <c r="M342" s="701"/>
      <c r="N342" s="701"/>
      <c r="O342" s="701"/>
      <c r="P342" s="701"/>
      <c r="Q342" s="701"/>
      <c r="R342" s="701"/>
      <c r="S342" s="701"/>
      <c r="T342" s="701"/>
      <c r="U342" s="701"/>
      <c r="V342" s="701"/>
      <c r="W342" s="701"/>
    </row>
    <row r="343" spans="1:23" x14ac:dyDescent="0.25">
      <c r="A343" s="701"/>
      <c r="B343" s="701"/>
      <c r="C343" s="780" t="s">
        <v>128</v>
      </c>
      <c r="D343" s="775" t="s">
        <v>42</v>
      </c>
      <c r="E343" s="775" t="s">
        <v>52</v>
      </c>
      <c r="F343" s="775" t="s">
        <v>53</v>
      </c>
      <c r="G343" s="775" t="s">
        <v>482</v>
      </c>
      <c r="H343" s="775" t="s">
        <v>32</v>
      </c>
      <c r="I343" s="775" t="s">
        <v>483</v>
      </c>
      <c r="J343" s="775" t="s">
        <v>20</v>
      </c>
      <c r="K343" s="775" t="s">
        <v>55</v>
      </c>
      <c r="L343" s="777" t="s">
        <v>56</v>
      </c>
      <c r="M343" s="778"/>
      <c r="N343" s="778"/>
      <c r="O343" s="778"/>
      <c r="P343" s="778"/>
      <c r="Q343" s="779"/>
      <c r="R343" s="775" t="s">
        <v>57</v>
      </c>
      <c r="S343" s="775" t="s">
        <v>58</v>
      </c>
      <c r="T343" s="775" t="s">
        <v>31</v>
      </c>
      <c r="U343" s="775" t="s">
        <v>10</v>
      </c>
      <c r="V343" s="701"/>
      <c r="W343" s="701"/>
    </row>
    <row r="344" spans="1:23" ht="67.5" x14ac:dyDescent="0.25">
      <c r="A344" s="701" t="s">
        <v>486</v>
      </c>
      <c r="B344" s="701"/>
      <c r="C344" s="781"/>
      <c r="D344" s="776"/>
      <c r="E344" s="776"/>
      <c r="F344" s="776"/>
      <c r="G344" s="776"/>
      <c r="H344" s="776"/>
      <c r="I344" s="776"/>
      <c r="J344" s="776"/>
      <c r="K344" s="776"/>
      <c r="L344" s="709" t="s">
        <v>335</v>
      </c>
      <c r="M344" s="709" t="s">
        <v>40</v>
      </c>
      <c r="N344" s="709" t="s">
        <v>343</v>
      </c>
      <c r="O344" s="709" t="s">
        <v>344</v>
      </c>
      <c r="P344" s="719" t="s">
        <v>610</v>
      </c>
      <c r="Q344" s="709" t="s">
        <v>346</v>
      </c>
      <c r="R344" s="776"/>
      <c r="S344" s="776"/>
      <c r="T344" s="776"/>
      <c r="U344" s="776"/>
      <c r="V344" s="701"/>
      <c r="W344" s="701"/>
    </row>
    <row r="345" spans="1:23" x14ac:dyDescent="0.25">
      <c r="A345" s="701" t="s">
        <v>487</v>
      </c>
      <c r="B345" s="701"/>
      <c r="C345" s="710" t="s">
        <v>59</v>
      </c>
      <c r="D345" s="711">
        <f>Bilans_E_AMS_Kyoto_run3_MTE!H458</f>
        <v>0</v>
      </c>
      <c r="E345" s="711">
        <f>Bilans_E_AMS_Kyoto_run3_MTE!I458</f>
        <v>0</v>
      </c>
      <c r="F345" s="711">
        <f>Bilans_E_AMS_Kyoto_run3_MTE!J458</f>
        <v>0</v>
      </c>
      <c r="G345" s="711">
        <f>Bilans_E_AMS_Kyoto_run3_MTE!K458</f>
        <v>0</v>
      </c>
      <c r="H345" s="711">
        <f>Bilans_E_AMS_Kyoto_run3_MTE!L458</f>
        <v>0</v>
      </c>
      <c r="I345" s="711">
        <f>Bilans_E_AMS_Kyoto_run3_MTE!M458</f>
        <v>0</v>
      </c>
      <c r="J345" s="711">
        <f>Bilans_E_AMS_Kyoto_run3_MTE!N458</f>
        <v>1099.5846392966657</v>
      </c>
      <c r="K345" s="711">
        <f>Bilans_E_AMS_Kyoto_run3_MTE!O458</f>
        <v>432.558137271254</v>
      </c>
      <c r="L345" s="711">
        <f>Bilans_E_AMS_Kyoto_run3_MTE!P458</f>
        <v>366.60157244104857</v>
      </c>
      <c r="M345" s="711">
        <f>Bilans_E_AMS_Kyoto_run3_MTE!Q458</f>
        <v>46.101085198672763</v>
      </c>
      <c r="N345" s="711">
        <f>Bilans_E_AMS_Kyoto_run3_MTE!R458</f>
        <v>0</v>
      </c>
      <c r="O345" s="711">
        <f>Bilans_E_AMS_Kyoto_run3_MTE!S458</f>
        <v>0</v>
      </c>
      <c r="P345" s="711">
        <f>Bilans_E_AMS_Kyoto_run3_MTE!T458+Bilans_E_AMS_Kyoto_run3_MTE!U458</f>
        <v>228.80859050100952</v>
      </c>
      <c r="Q345" s="711">
        <f>Bilans_E_AMS_Kyoto_run3_MTE!V458</f>
        <v>44.117114546253134</v>
      </c>
      <c r="R345" s="711">
        <f>Bilans_E_AMS_Kyoto_run3_MTE!W458</f>
        <v>0</v>
      </c>
      <c r="S345" s="711">
        <f>Bilans_E_AMS_Kyoto_run3_MTE!X458</f>
        <v>0</v>
      </c>
      <c r="T345" s="711">
        <f>Bilans_E_AMS_Kyoto_run3_MTE!Y458</f>
        <v>0</v>
      </c>
      <c r="U345" s="711">
        <f>Bilans_E_AMS_Kyoto_run3_MTE!Z458</f>
        <v>2217.7711392549036</v>
      </c>
      <c r="V345" s="701"/>
      <c r="W345" s="701"/>
    </row>
    <row r="346" spans="1:23" x14ac:dyDescent="0.25">
      <c r="A346" s="701" t="s">
        <v>488</v>
      </c>
      <c r="B346" s="701"/>
      <c r="C346" s="710" t="s">
        <v>60</v>
      </c>
      <c r="D346" s="712">
        <f>Bilans_E_AMS_Kyoto_run3_MTE!H459</f>
        <v>4.7190318603515626</v>
      </c>
      <c r="E346" s="712">
        <f>Bilans_E_AMS_Kyoto_run3_MTE!I459</f>
        <v>177.55502583689511</v>
      </c>
      <c r="F346" s="712">
        <f>Bilans_E_AMS_Kyoto_run3_MTE!J459</f>
        <v>35.526382887078427</v>
      </c>
      <c r="G346" s="712">
        <f>Bilans_E_AMS_Kyoto_run3_MTE!K459</f>
        <v>8.2447057853181924</v>
      </c>
      <c r="H346" s="712">
        <f>Bilans_E_AMS_Kyoto_run3_MTE!L459</f>
        <v>93.790704319687649</v>
      </c>
      <c r="I346" s="712">
        <f>Bilans_E_AMS_Kyoto_run3_MTE!M459</f>
        <v>0</v>
      </c>
      <c r="J346" s="712">
        <f>Bilans_E_AMS_Kyoto_run3_MTE!N459</f>
        <v>0</v>
      </c>
      <c r="K346" s="712">
        <f>Bilans_E_AMS_Kyoto_run3_MTE!O459</f>
        <v>0</v>
      </c>
      <c r="L346" s="712">
        <f>Bilans_E_AMS_Kyoto_run3_MTE!P459</f>
        <v>7.7767614364420297</v>
      </c>
      <c r="M346" s="712">
        <f>Bilans_E_AMS_Kyoto_run3_MTE!Q459</f>
        <v>0</v>
      </c>
      <c r="N346" s="712">
        <f>Bilans_E_AMS_Kyoto_run3_MTE!R459</f>
        <v>7.7564977806323299</v>
      </c>
      <c r="O346" s="712">
        <f>Bilans_E_AMS_Kyoto_run3_MTE!S459</f>
        <v>0</v>
      </c>
      <c r="P346" s="712">
        <f>Bilans_E_AMS_Kyoto_run3_MTE!T459+Bilans_E_AMS_Kyoto_run3_MTE!U459</f>
        <v>0</v>
      </c>
      <c r="Q346" s="712">
        <f>Bilans_E_AMS_Kyoto_run3_MTE!V459</f>
        <v>0</v>
      </c>
      <c r="R346" s="712">
        <f>Bilans_E_AMS_Kyoto_run3_MTE!W459</f>
        <v>0</v>
      </c>
      <c r="S346" s="712">
        <f>Bilans_E_AMS_Kyoto_run3_MTE!X459</f>
        <v>0</v>
      </c>
      <c r="T346" s="712">
        <f>Bilans_E_AMS_Kyoto_run3_MTE!Y459</f>
        <v>0</v>
      </c>
      <c r="U346" s="712">
        <f>Bilans_E_AMS_Kyoto_run3_MTE!Z459</f>
        <v>335.3691099064053</v>
      </c>
      <c r="V346" s="701"/>
      <c r="W346" s="701"/>
    </row>
    <row r="347" spans="1:23" x14ac:dyDescent="0.25">
      <c r="A347" s="701" t="s">
        <v>489</v>
      </c>
      <c r="B347" s="701"/>
      <c r="C347" s="710" t="s">
        <v>61</v>
      </c>
      <c r="D347" s="712">
        <f>Bilans_E_AMS_Kyoto_run3_MTE!H460</f>
        <v>0</v>
      </c>
      <c r="E347" s="712">
        <f>Bilans_E_AMS_Kyoto_run3_MTE!I460</f>
        <v>0</v>
      </c>
      <c r="F347" s="712">
        <f>Bilans_E_AMS_Kyoto_run3_MTE!J460</f>
        <v>0</v>
      </c>
      <c r="G347" s="712">
        <f>Bilans_E_AMS_Kyoto_run3_MTE!K460</f>
        <v>0</v>
      </c>
      <c r="H347" s="712">
        <f>Bilans_E_AMS_Kyoto_run3_MTE!L460</f>
        <v>0</v>
      </c>
      <c r="I347" s="712">
        <f>Bilans_E_AMS_Kyoto_run3_MTE!M460</f>
        <v>0</v>
      </c>
      <c r="J347" s="712">
        <f>Bilans_E_AMS_Kyoto_run3_MTE!N460</f>
        <v>0</v>
      </c>
      <c r="K347" s="712">
        <f>Bilans_E_AMS_Kyoto_run3_MTE!O460</f>
        <v>0</v>
      </c>
      <c r="L347" s="712">
        <f>Bilans_E_AMS_Kyoto_run3_MTE!P460</f>
        <v>0</v>
      </c>
      <c r="M347" s="712">
        <f>Bilans_E_AMS_Kyoto_run3_MTE!Q460</f>
        <v>0</v>
      </c>
      <c r="N347" s="712">
        <f>Bilans_E_AMS_Kyoto_run3_MTE!R460</f>
        <v>0</v>
      </c>
      <c r="O347" s="712">
        <f>Bilans_E_AMS_Kyoto_run3_MTE!S460</f>
        <v>-11.927582935629047</v>
      </c>
      <c r="P347" s="712">
        <f>Bilans_E_AMS_Kyoto_run3_MTE!T460+Bilans_E_AMS_Kyoto_run3_MTE!U460</f>
        <v>0</v>
      </c>
      <c r="Q347" s="712">
        <f>Bilans_E_AMS_Kyoto_run3_MTE!V460</f>
        <v>0</v>
      </c>
      <c r="R347" s="712">
        <f>Bilans_E_AMS_Kyoto_run3_MTE!W460</f>
        <v>-91.926243378286927</v>
      </c>
      <c r="S347" s="712">
        <f>Bilans_E_AMS_Kyoto_run3_MTE!X460</f>
        <v>0</v>
      </c>
      <c r="T347" s="712">
        <f>Bilans_E_AMS_Kyoto_run3_MTE!Y460</f>
        <v>0</v>
      </c>
      <c r="U347" s="712">
        <f>Bilans_E_AMS_Kyoto_run3_MTE!Z460</f>
        <v>-103.85382631391597</v>
      </c>
      <c r="V347" s="701"/>
      <c r="W347" s="701"/>
    </row>
    <row r="348" spans="1:23" x14ac:dyDescent="0.25">
      <c r="A348" s="701" t="s">
        <v>490</v>
      </c>
      <c r="B348" s="701"/>
      <c r="C348" s="710" t="s">
        <v>62</v>
      </c>
      <c r="D348" s="711">
        <f>Bilans_E_AMS_Kyoto_run3_MTE!H461</f>
        <v>0</v>
      </c>
      <c r="E348" s="711">
        <f>Bilans_E_AMS_Kyoto_run3_MTE!I461</f>
        <v>0</v>
      </c>
      <c r="F348" s="711">
        <f>Bilans_E_AMS_Kyoto_run3_MTE!J461</f>
        <v>-3.9597709546196729</v>
      </c>
      <c r="G348" s="711">
        <f>Bilans_E_AMS_Kyoto_run3_MTE!K461</f>
        <v>-1.6687304711455928</v>
      </c>
      <c r="H348" s="711">
        <f>Bilans_E_AMS_Kyoto_run3_MTE!L461</f>
        <v>0</v>
      </c>
      <c r="I348" s="711">
        <f>Bilans_E_AMS_Kyoto_run3_MTE!M461</f>
        <v>-1.7692389987108714</v>
      </c>
      <c r="J348" s="711">
        <f>Bilans_E_AMS_Kyoto_run3_MTE!N461</f>
        <v>0</v>
      </c>
      <c r="K348" s="711">
        <f>Bilans_E_AMS_Kyoto_run3_MTE!O461</f>
        <v>0</v>
      </c>
      <c r="L348" s="711">
        <f>Bilans_E_AMS_Kyoto_run3_MTE!P461</f>
        <v>0</v>
      </c>
      <c r="M348" s="711">
        <f>Bilans_E_AMS_Kyoto_run3_MTE!Q461</f>
        <v>0</v>
      </c>
      <c r="N348" s="711">
        <f>Bilans_E_AMS_Kyoto_run3_MTE!R461</f>
        <v>0</v>
      </c>
      <c r="O348" s="711">
        <f>Bilans_E_AMS_Kyoto_run3_MTE!S461</f>
        <v>-1.504748971161108</v>
      </c>
      <c r="P348" s="711">
        <f>Bilans_E_AMS_Kyoto_run3_MTE!T461+Bilans_E_AMS_Kyoto_run3_MTE!U461</f>
        <v>0</v>
      </c>
      <c r="Q348" s="711">
        <f>Bilans_E_AMS_Kyoto_run3_MTE!V461</f>
        <v>0</v>
      </c>
      <c r="R348" s="711">
        <f>Bilans_E_AMS_Kyoto_run3_MTE!W461</f>
        <v>0</v>
      </c>
      <c r="S348" s="711">
        <f>Bilans_E_AMS_Kyoto_run3_MTE!X461</f>
        <v>0</v>
      </c>
      <c r="T348" s="711">
        <f>Bilans_E_AMS_Kyoto_run3_MTE!Y461</f>
        <v>-0.86329073643245491</v>
      </c>
      <c r="U348" s="711">
        <f>Bilans_E_AMS_Kyoto_run3_MTE!Z461</f>
        <v>-9.7657801320697004</v>
      </c>
      <c r="V348" s="701"/>
      <c r="W348" s="701"/>
    </row>
    <row r="349" spans="1:23" x14ac:dyDescent="0.25">
      <c r="A349" s="701" t="s">
        <v>491</v>
      </c>
      <c r="B349" s="701"/>
      <c r="C349" s="710" t="s">
        <v>63</v>
      </c>
      <c r="D349" s="711">
        <f>Bilans_E_AMS_Kyoto_run3_MTE!H462</f>
        <v>0</v>
      </c>
      <c r="E349" s="711">
        <f>Bilans_E_AMS_Kyoto_run3_MTE!I462</f>
        <v>0</v>
      </c>
      <c r="F349" s="711">
        <f>Bilans_E_AMS_Kyoto_run3_MTE!J462</f>
        <v>-32.199999999999996</v>
      </c>
      <c r="G349" s="711">
        <f>Bilans_E_AMS_Kyoto_run3_MTE!K462</f>
        <v>-12.8</v>
      </c>
      <c r="H349" s="711">
        <f>Bilans_E_AMS_Kyoto_run3_MTE!L462</f>
        <v>0</v>
      </c>
      <c r="I349" s="711">
        <f>Bilans_E_AMS_Kyoto_run3_MTE!M462</f>
        <v>0</v>
      </c>
      <c r="J349" s="711">
        <f>Bilans_E_AMS_Kyoto_run3_MTE!N462</f>
        <v>0</v>
      </c>
      <c r="K349" s="711">
        <f>Bilans_E_AMS_Kyoto_run3_MTE!O462</f>
        <v>0</v>
      </c>
      <c r="L349" s="711">
        <f>Bilans_E_AMS_Kyoto_run3_MTE!P462</f>
        <v>0</v>
      </c>
      <c r="M349" s="711">
        <f>Bilans_E_AMS_Kyoto_run3_MTE!Q462</f>
        <v>0</v>
      </c>
      <c r="N349" s="711">
        <f>Bilans_E_AMS_Kyoto_run3_MTE!R462</f>
        <v>-15.600000000000001</v>
      </c>
      <c r="O349" s="711">
        <f>Bilans_E_AMS_Kyoto_run3_MTE!S462</f>
        <v>0</v>
      </c>
      <c r="P349" s="711">
        <f>Bilans_E_AMS_Kyoto_run3_MTE!T462+Bilans_E_AMS_Kyoto_run3_MTE!U462</f>
        <v>0</v>
      </c>
      <c r="Q349" s="711">
        <f>Bilans_E_AMS_Kyoto_run3_MTE!V462</f>
        <v>0</v>
      </c>
      <c r="R349" s="711">
        <f>Bilans_E_AMS_Kyoto_run3_MTE!W462</f>
        <v>0</v>
      </c>
      <c r="S349" s="711">
        <f>Bilans_E_AMS_Kyoto_run3_MTE!X462</f>
        <v>0</v>
      </c>
      <c r="T349" s="711">
        <f>Bilans_E_AMS_Kyoto_run3_MTE!Y462</f>
        <v>-4.2</v>
      </c>
      <c r="U349" s="711">
        <f>Bilans_E_AMS_Kyoto_run3_MTE!Z462</f>
        <v>-64.8</v>
      </c>
      <c r="V349" s="701"/>
      <c r="W349" s="701"/>
    </row>
    <row r="350" spans="1:23" x14ac:dyDescent="0.25">
      <c r="A350" s="701" t="s">
        <v>492</v>
      </c>
      <c r="B350" s="701"/>
      <c r="C350" s="710" t="s">
        <v>64</v>
      </c>
      <c r="D350" s="712">
        <f>Bilans_E_AMS_Kyoto_run3_MTE!H463</f>
        <v>0</v>
      </c>
      <c r="E350" s="712">
        <f>Bilans_E_AMS_Kyoto_run3_MTE!I463</f>
        <v>0</v>
      </c>
      <c r="F350" s="712">
        <f>Bilans_E_AMS_Kyoto_run3_MTE!J463</f>
        <v>0</v>
      </c>
      <c r="G350" s="712">
        <f>Bilans_E_AMS_Kyoto_run3_MTE!K463</f>
        <v>0</v>
      </c>
      <c r="H350" s="712">
        <f>Bilans_E_AMS_Kyoto_run3_MTE!L463</f>
        <v>0</v>
      </c>
      <c r="I350" s="712">
        <f>Bilans_E_AMS_Kyoto_run3_MTE!M463</f>
        <v>0</v>
      </c>
      <c r="J350" s="712">
        <f>Bilans_E_AMS_Kyoto_run3_MTE!N463</f>
        <v>0</v>
      </c>
      <c r="K350" s="712">
        <f>Bilans_E_AMS_Kyoto_run3_MTE!O463</f>
        <v>0</v>
      </c>
      <c r="L350" s="712">
        <f>Bilans_E_AMS_Kyoto_run3_MTE!P463</f>
        <v>0</v>
      </c>
      <c r="M350" s="712">
        <f>Bilans_E_AMS_Kyoto_run3_MTE!Q463</f>
        <v>0</v>
      </c>
      <c r="N350" s="712">
        <f>Bilans_E_AMS_Kyoto_run3_MTE!R463</f>
        <v>0</v>
      </c>
      <c r="O350" s="712">
        <f>Bilans_E_AMS_Kyoto_run3_MTE!S463</f>
        <v>0</v>
      </c>
      <c r="P350" s="712">
        <f>Bilans_E_AMS_Kyoto_run3_MTE!T463+Bilans_E_AMS_Kyoto_run3_MTE!U463</f>
        <v>0</v>
      </c>
      <c r="Q350" s="712">
        <f>Bilans_E_AMS_Kyoto_run3_MTE!V463</f>
        <v>0</v>
      </c>
      <c r="R350" s="712">
        <f>Bilans_E_AMS_Kyoto_run3_MTE!W463</f>
        <v>0</v>
      </c>
      <c r="S350" s="712">
        <f>Bilans_E_AMS_Kyoto_run3_MTE!X463</f>
        <v>0</v>
      </c>
      <c r="T350" s="712">
        <f>Bilans_E_AMS_Kyoto_run3_MTE!Y463</f>
        <v>0</v>
      </c>
      <c r="U350" s="712">
        <f>Bilans_E_AMS_Kyoto_run3_MTE!Z463</f>
        <v>0</v>
      </c>
      <c r="V350" s="701"/>
      <c r="W350" s="701"/>
    </row>
    <row r="351" spans="1:23" x14ac:dyDescent="0.25">
      <c r="A351" s="701" t="s">
        <v>493</v>
      </c>
      <c r="B351" s="701"/>
      <c r="C351" s="713" t="s">
        <v>65</v>
      </c>
      <c r="D351" s="714">
        <f>Bilans_E_AMS_Kyoto_run3_MTE!H464</f>
        <v>4.7190318603515626</v>
      </c>
      <c r="E351" s="714">
        <f>Bilans_E_AMS_Kyoto_run3_MTE!I464</f>
        <v>177.55502583689511</v>
      </c>
      <c r="F351" s="714">
        <f>Bilans_E_AMS_Kyoto_run3_MTE!J464</f>
        <v>-0.63338806754124022</v>
      </c>
      <c r="G351" s="714">
        <f>Bilans_E_AMS_Kyoto_run3_MTE!K464</f>
        <v>-6.2240246858274011</v>
      </c>
      <c r="H351" s="714">
        <f>Bilans_E_AMS_Kyoto_run3_MTE!L464</f>
        <v>93.790704319687649</v>
      </c>
      <c r="I351" s="714">
        <f>Bilans_E_AMS_Kyoto_run3_MTE!M464</f>
        <v>-1.7692389987108714</v>
      </c>
      <c r="J351" s="714">
        <f>Bilans_E_AMS_Kyoto_run3_MTE!N464</f>
        <v>1099.5846392966657</v>
      </c>
      <c r="K351" s="714">
        <f>Bilans_E_AMS_Kyoto_run3_MTE!O464</f>
        <v>432.558137271254</v>
      </c>
      <c r="L351" s="714">
        <f>Bilans_E_AMS_Kyoto_run3_MTE!P464</f>
        <v>374.3783338774906</v>
      </c>
      <c r="M351" s="714">
        <f>Bilans_E_AMS_Kyoto_run3_MTE!Q464</f>
        <v>46.101085198672763</v>
      </c>
      <c r="N351" s="714">
        <f>Bilans_E_AMS_Kyoto_run3_MTE!R464</f>
        <v>-7.8435022193676716</v>
      </c>
      <c r="O351" s="714">
        <f>Bilans_E_AMS_Kyoto_run3_MTE!S464</f>
        <v>-13.432331906790155</v>
      </c>
      <c r="P351" s="714">
        <f>Bilans_E_AMS_Kyoto_run3_MTE!T464+Bilans_E_AMS_Kyoto_run3_MTE!U464</f>
        <v>228.80859050100952</v>
      </c>
      <c r="Q351" s="714">
        <f>Bilans_E_AMS_Kyoto_run3_MTE!V464</f>
        <v>44.117114546253134</v>
      </c>
      <c r="R351" s="714">
        <f>Bilans_E_AMS_Kyoto_run3_MTE!W464</f>
        <v>-91.926243378286927</v>
      </c>
      <c r="S351" s="714">
        <f>Bilans_E_AMS_Kyoto_run3_MTE!X464</f>
        <v>0</v>
      </c>
      <c r="T351" s="714">
        <f>Bilans_E_AMS_Kyoto_run3_MTE!Y464</f>
        <v>-5.0632907364324549</v>
      </c>
      <c r="U351" s="714">
        <f>Bilans_E_AMS_Kyoto_run3_MTE!Z464</f>
        <v>2374.7206427153233</v>
      </c>
      <c r="V351" s="701"/>
      <c r="W351" s="701"/>
    </row>
    <row r="352" spans="1:23" x14ac:dyDescent="0.25">
      <c r="A352" s="701"/>
      <c r="B352" s="701"/>
      <c r="C352" s="715"/>
      <c r="D352" s="716"/>
      <c r="E352" s="716"/>
      <c r="F352" s="716"/>
      <c r="G352" s="716"/>
      <c r="H352" s="716"/>
      <c r="I352" s="716"/>
      <c r="J352" s="716"/>
      <c r="K352" s="716"/>
      <c r="L352" s="716"/>
      <c r="M352" s="716"/>
      <c r="N352" s="716"/>
      <c r="O352" s="716"/>
      <c r="P352" s="716">
        <f>Bilans_E_AMS_Kyoto_run3_MTE!T465+Bilans_E_AMS_Kyoto_run3_MTE!U465</f>
        <v>0</v>
      </c>
      <c r="Q352" s="716"/>
      <c r="R352" s="716"/>
      <c r="S352" s="716"/>
      <c r="T352" s="716"/>
      <c r="U352" s="716"/>
      <c r="V352" s="701"/>
      <c r="W352" s="701"/>
    </row>
    <row r="353" spans="1:23" x14ac:dyDescent="0.25">
      <c r="A353" s="701" t="s">
        <v>494</v>
      </c>
      <c r="B353" s="701"/>
      <c r="C353" s="717" t="s">
        <v>67</v>
      </c>
      <c r="D353" s="711">
        <f>Bilans_E_AMS_Kyoto_run3_MTE!H466</f>
        <v>0</v>
      </c>
      <c r="E353" s="711">
        <f>Bilans_E_AMS_Kyoto_run3_MTE!I466</f>
        <v>0</v>
      </c>
      <c r="F353" s="711">
        <f>Bilans_E_AMS_Kyoto_run3_MTE!J466</f>
        <v>0</v>
      </c>
      <c r="G353" s="711">
        <f>Bilans_E_AMS_Kyoto_run3_MTE!K466</f>
        <v>0</v>
      </c>
      <c r="H353" s="711">
        <f>Bilans_E_AMS_Kyoto_run3_MTE!L466</f>
        <v>0</v>
      </c>
      <c r="I353" s="711">
        <f>Bilans_E_AMS_Kyoto_run3_MTE!M466</f>
        <v>0</v>
      </c>
      <c r="J353" s="711">
        <f>Bilans_E_AMS_Kyoto_run3_MTE!N466</f>
        <v>0</v>
      </c>
      <c r="K353" s="711">
        <f>Bilans_E_AMS_Kyoto_run3_MTE!O466</f>
        <v>0</v>
      </c>
      <c r="L353" s="711">
        <f>Bilans_E_AMS_Kyoto_run3_MTE!P466</f>
        <v>0</v>
      </c>
      <c r="M353" s="711">
        <f>Bilans_E_AMS_Kyoto_run3_MTE!Q466</f>
        <v>0</v>
      </c>
      <c r="N353" s="711">
        <f>Bilans_E_AMS_Kyoto_run3_MTE!R466</f>
        <v>0</v>
      </c>
      <c r="O353" s="711">
        <f>Bilans_E_AMS_Kyoto_run3_MTE!S466</f>
        <v>0</v>
      </c>
      <c r="P353" s="711">
        <f>Bilans_E_AMS_Kyoto_run3_MTE!T466+Bilans_E_AMS_Kyoto_run3_MTE!U466</f>
        <v>0</v>
      </c>
      <c r="Q353" s="711">
        <f>Bilans_E_AMS_Kyoto_run3_MTE!V466</f>
        <v>0</v>
      </c>
      <c r="R353" s="711">
        <f>Bilans_E_AMS_Kyoto_run3_MTE!W466</f>
        <v>0</v>
      </c>
      <c r="S353" s="711">
        <f>Bilans_E_AMS_Kyoto_run3_MTE!X466</f>
        <v>0</v>
      </c>
      <c r="T353" s="711">
        <f>Bilans_E_AMS_Kyoto_run3_MTE!Y466</f>
        <v>0</v>
      </c>
      <c r="U353" s="711">
        <f>Bilans_E_AMS_Kyoto_run3_MTE!Z466</f>
        <v>0</v>
      </c>
      <c r="V353" s="701"/>
      <c r="W353" s="701"/>
    </row>
    <row r="354" spans="1:23" x14ac:dyDescent="0.25">
      <c r="A354" s="701" t="s">
        <v>495</v>
      </c>
      <c r="B354" s="701"/>
      <c r="C354" s="717" t="s">
        <v>347</v>
      </c>
      <c r="D354" s="711">
        <f>Bilans_E_AMS_Kyoto_run3_MTE!H467</f>
        <v>0</v>
      </c>
      <c r="E354" s="711">
        <f>Bilans_E_AMS_Kyoto_run3_MTE!I467</f>
        <v>0</v>
      </c>
      <c r="F354" s="711">
        <f>Bilans_E_AMS_Kyoto_run3_MTE!J467</f>
        <v>2.6460781360013397E-2</v>
      </c>
      <c r="G354" s="711">
        <f>Bilans_E_AMS_Kyoto_run3_MTE!K467</f>
        <v>0</v>
      </c>
      <c r="H354" s="711">
        <f>Bilans_E_AMS_Kyoto_run3_MTE!L467</f>
        <v>2.3319683433476327E-3</v>
      </c>
      <c r="I354" s="711">
        <f>Bilans_E_AMS_Kyoto_run3_MTE!M467</f>
        <v>0</v>
      </c>
      <c r="J354" s="711">
        <f>Bilans_E_AMS_Kyoto_run3_MTE!N467</f>
        <v>1094.3390181818181</v>
      </c>
      <c r="K354" s="711">
        <f>Bilans_E_AMS_Kyoto_run3_MTE!O467</f>
        <v>432.558137271254</v>
      </c>
      <c r="L354" s="711">
        <f>Bilans_E_AMS_Kyoto_run3_MTE!P467</f>
        <v>17.878777557508954</v>
      </c>
      <c r="M354" s="711">
        <f>Bilans_E_AMS_Kyoto_run3_MTE!Q467</f>
        <v>5.4304217786079292</v>
      </c>
      <c r="N354" s="711">
        <f>Bilans_E_AMS_Kyoto_run3_MTE!R467</f>
        <v>6.0578717375904887</v>
      </c>
      <c r="O354" s="711">
        <f>Bilans_E_AMS_Kyoto_run3_MTE!S467</f>
        <v>0.11581039979962704</v>
      </c>
      <c r="P354" s="711">
        <f>Bilans_E_AMS_Kyoto_run3_MTE!T467+Bilans_E_AMS_Kyoto_run3_MTE!U467</f>
        <v>0</v>
      </c>
      <c r="Q354" s="711">
        <f>Bilans_E_AMS_Kyoto_run3_MTE!V467</f>
        <v>6.4590957564387725</v>
      </c>
      <c r="R354" s="711">
        <f>Bilans_E_AMS_Kyoto_run3_MTE!W467</f>
        <v>-810.5836017522513</v>
      </c>
      <c r="S354" s="711">
        <f>Bilans_E_AMS_Kyoto_run3_MTE!X467</f>
        <v>0</v>
      </c>
      <c r="T354" s="711">
        <f>Bilans_E_AMS_Kyoto_run3_MTE!Y467</f>
        <v>0</v>
      </c>
      <c r="U354" s="711">
        <f>Bilans_E_AMS_Kyoto_run3_MTE!Z467</f>
        <v>752.28432368046992</v>
      </c>
      <c r="V354" s="701"/>
      <c r="W354" s="701"/>
    </row>
    <row r="355" spans="1:23" x14ac:dyDescent="0.25">
      <c r="A355" s="701" t="s">
        <v>496</v>
      </c>
      <c r="B355" s="701"/>
      <c r="C355" s="717" t="s">
        <v>348</v>
      </c>
      <c r="D355" s="711">
        <f>Bilans_E_AMS_Kyoto_run3_MTE!H468</f>
        <v>0</v>
      </c>
      <c r="E355" s="711">
        <f>Bilans_E_AMS_Kyoto_run3_MTE!I468</f>
        <v>0</v>
      </c>
      <c r="F355" s="711">
        <f>Bilans_E_AMS_Kyoto_run3_MTE!J468</f>
        <v>0</v>
      </c>
      <c r="G355" s="711">
        <f>Bilans_E_AMS_Kyoto_run3_MTE!K468</f>
        <v>0</v>
      </c>
      <c r="H355" s="711">
        <f>Bilans_E_AMS_Kyoto_run3_MTE!L468</f>
        <v>11.361302050509126</v>
      </c>
      <c r="I355" s="711">
        <f>Bilans_E_AMS_Kyoto_run3_MTE!M468</f>
        <v>0.11959265316325396</v>
      </c>
      <c r="J355" s="711">
        <f>Bilans_E_AMS_Kyoto_run3_MTE!N468</f>
        <v>5.2456211148474967</v>
      </c>
      <c r="K355" s="711">
        <f>Bilans_E_AMS_Kyoto_run3_MTE!O468</f>
        <v>0</v>
      </c>
      <c r="L355" s="711">
        <f>Bilans_E_AMS_Kyoto_run3_MTE!P468</f>
        <v>23.710249533581198</v>
      </c>
      <c r="M355" s="711">
        <f>Bilans_E_AMS_Kyoto_run3_MTE!Q468</f>
        <v>12.653124911951959</v>
      </c>
      <c r="N355" s="711">
        <f>Bilans_E_AMS_Kyoto_run3_MTE!R468</f>
        <v>0</v>
      </c>
      <c r="O355" s="711">
        <f>Bilans_E_AMS_Kyoto_run3_MTE!S468</f>
        <v>8.4660785396177261</v>
      </c>
      <c r="P355" s="711">
        <f>Bilans_E_AMS_Kyoto_run3_MTE!T468+Bilans_E_AMS_Kyoto_run3_MTE!U468</f>
        <v>18.404716933116433</v>
      </c>
      <c r="Q355" s="711">
        <f>Bilans_E_AMS_Kyoto_run3_MTE!V468</f>
        <v>13.404801159439005</v>
      </c>
      <c r="R355" s="711">
        <f>Bilans_E_AMS_Kyoto_run3_MTE!W468</f>
        <v>0</v>
      </c>
      <c r="S355" s="711">
        <f>Bilans_E_AMS_Kyoto_run3_MTE!X468</f>
        <v>-86.867525789433259</v>
      </c>
      <c r="T355" s="711">
        <f>Bilans_E_AMS_Kyoto_run3_MTE!Y468</f>
        <v>0</v>
      </c>
      <c r="U355" s="711">
        <f>Bilans_E_AMS_Kyoto_run3_MTE!Z468</f>
        <v>6.4979611067929426</v>
      </c>
      <c r="V355" s="701"/>
      <c r="W355" s="701"/>
    </row>
    <row r="356" spans="1:23" x14ac:dyDescent="0.25">
      <c r="A356" s="701" t="s">
        <v>497</v>
      </c>
      <c r="B356" s="701"/>
      <c r="C356" s="717" t="s">
        <v>349</v>
      </c>
      <c r="D356" s="711">
        <f>Bilans_E_AMS_Kyoto_run3_MTE!H469</f>
        <v>0</v>
      </c>
      <c r="E356" s="711">
        <f>Bilans_E_AMS_Kyoto_run3_MTE!I469</f>
        <v>0</v>
      </c>
      <c r="F356" s="711">
        <f>Bilans_E_AMS_Kyoto_run3_MTE!J469</f>
        <v>0</v>
      </c>
      <c r="G356" s="711">
        <f>Bilans_E_AMS_Kyoto_run3_MTE!K469</f>
        <v>0</v>
      </c>
      <c r="H356" s="711">
        <f>Bilans_E_AMS_Kyoto_run3_MTE!L469</f>
        <v>0</v>
      </c>
      <c r="I356" s="711">
        <f>Bilans_E_AMS_Kyoto_run3_MTE!M469</f>
        <v>0</v>
      </c>
      <c r="J356" s="711">
        <f>Bilans_E_AMS_Kyoto_run3_MTE!N469</f>
        <v>0</v>
      </c>
      <c r="K356" s="711">
        <f>Bilans_E_AMS_Kyoto_run3_MTE!O469</f>
        <v>0</v>
      </c>
      <c r="L356" s="711">
        <f>Bilans_E_AMS_Kyoto_run3_MTE!P469</f>
        <v>138.07928558547806</v>
      </c>
      <c r="M356" s="711">
        <f>Bilans_E_AMS_Kyoto_run3_MTE!Q469</f>
        <v>12.388866886032204</v>
      </c>
      <c r="N356" s="711">
        <f>Bilans_E_AMS_Kyoto_run3_MTE!R469</f>
        <v>0</v>
      </c>
      <c r="O356" s="711">
        <f>Bilans_E_AMS_Kyoto_run3_MTE!S469</f>
        <v>-75.318683922078151</v>
      </c>
      <c r="P356" s="711">
        <f>Bilans_E_AMS_Kyoto_run3_MTE!T469+Bilans_E_AMS_Kyoto_run3_MTE!U469</f>
        <v>0</v>
      </c>
      <c r="Q356" s="711">
        <f>Bilans_E_AMS_Kyoto_run3_MTE!V469</f>
        <v>0</v>
      </c>
      <c r="R356" s="711">
        <f>Bilans_E_AMS_Kyoto_run3_MTE!W469</f>
        <v>0</v>
      </c>
      <c r="S356" s="711">
        <f>Bilans_E_AMS_Kyoto_run3_MTE!X469</f>
        <v>0</v>
      </c>
      <c r="T356" s="711">
        <f>Bilans_E_AMS_Kyoto_run3_MTE!Y469</f>
        <v>0</v>
      </c>
      <c r="U356" s="711">
        <f>Bilans_E_AMS_Kyoto_run3_MTE!Z469</f>
        <v>75.149468549432129</v>
      </c>
      <c r="V356" s="701"/>
      <c r="W356" s="701"/>
    </row>
    <row r="357" spans="1:23" x14ac:dyDescent="0.25">
      <c r="A357" s="701" t="s">
        <v>498</v>
      </c>
      <c r="B357" s="701"/>
      <c r="C357" s="717" t="s">
        <v>350</v>
      </c>
      <c r="D357" s="711">
        <f>Bilans_E_AMS_Kyoto_run3_MTE!H470</f>
        <v>0</v>
      </c>
      <c r="E357" s="711">
        <f>Bilans_E_AMS_Kyoto_run3_MTE!I470</f>
        <v>0</v>
      </c>
      <c r="F357" s="711">
        <f>Bilans_E_AMS_Kyoto_run3_MTE!J470</f>
        <v>0</v>
      </c>
      <c r="G357" s="711">
        <f>Bilans_E_AMS_Kyoto_run3_MTE!K470</f>
        <v>0</v>
      </c>
      <c r="H357" s="711">
        <f>Bilans_E_AMS_Kyoto_run3_MTE!L470</f>
        <v>0</v>
      </c>
      <c r="I357" s="711">
        <f>Bilans_E_AMS_Kyoto_run3_MTE!M470</f>
        <v>-2.6425947059180688</v>
      </c>
      <c r="J357" s="711">
        <f>Bilans_E_AMS_Kyoto_run3_MTE!N470</f>
        <v>0</v>
      </c>
      <c r="K357" s="711">
        <f>Bilans_E_AMS_Kyoto_run3_MTE!O470</f>
        <v>0</v>
      </c>
      <c r="L357" s="711">
        <f>Bilans_E_AMS_Kyoto_run3_MTE!P470</f>
        <v>0</v>
      </c>
      <c r="M357" s="711">
        <f>Bilans_E_AMS_Kyoto_run3_MTE!Q470</f>
        <v>0</v>
      </c>
      <c r="N357" s="711">
        <f>Bilans_E_AMS_Kyoto_run3_MTE!R470</f>
        <v>0</v>
      </c>
      <c r="O357" s="711">
        <f>Bilans_E_AMS_Kyoto_run3_MTE!S470</f>
        <v>0</v>
      </c>
      <c r="P357" s="711">
        <f>Bilans_E_AMS_Kyoto_run3_MTE!T470+Bilans_E_AMS_Kyoto_run3_MTE!U470</f>
        <v>0</v>
      </c>
      <c r="Q357" s="711">
        <f>Bilans_E_AMS_Kyoto_run3_MTE!V470</f>
        <v>0</v>
      </c>
      <c r="R357" s="711">
        <f>Bilans_E_AMS_Kyoto_run3_MTE!W470</f>
        <v>0</v>
      </c>
      <c r="S357" s="711">
        <f>Bilans_E_AMS_Kyoto_run3_MTE!X470</f>
        <v>0</v>
      </c>
      <c r="T357" s="711">
        <f>Bilans_E_AMS_Kyoto_run3_MTE!Y470</f>
        <v>3.6634319020026336</v>
      </c>
      <c r="U357" s="711">
        <f>Bilans_E_AMS_Kyoto_run3_MTE!Z470</f>
        <v>1.0208371960845648</v>
      </c>
      <c r="V357" s="701"/>
      <c r="W357" s="701"/>
    </row>
    <row r="358" spans="1:23" x14ac:dyDescent="0.25">
      <c r="A358" s="701" t="s">
        <v>499</v>
      </c>
      <c r="B358" s="701"/>
      <c r="C358" s="717" t="s">
        <v>72</v>
      </c>
      <c r="D358" s="711">
        <f>Bilans_E_AMS_Kyoto_run3_MTE!H471</f>
        <v>0</v>
      </c>
      <c r="E358" s="711">
        <f>Bilans_E_AMS_Kyoto_run3_MTE!I471</f>
        <v>183.99004915233374</v>
      </c>
      <c r="F358" s="711">
        <f>Bilans_E_AMS_Kyoto_run3_MTE!J471</f>
        <v>-182.1501486608104</v>
      </c>
      <c r="G358" s="711">
        <f>Bilans_E_AMS_Kyoto_run3_MTE!K471</f>
        <v>0</v>
      </c>
      <c r="H358" s="711">
        <f>Bilans_E_AMS_Kyoto_run3_MTE!L471</f>
        <v>0</v>
      </c>
      <c r="I358" s="711">
        <f>Bilans_E_AMS_Kyoto_run3_MTE!M471</f>
        <v>0</v>
      </c>
      <c r="J358" s="711">
        <f>Bilans_E_AMS_Kyoto_run3_MTE!N471</f>
        <v>0</v>
      </c>
      <c r="K358" s="711">
        <f>Bilans_E_AMS_Kyoto_run3_MTE!O471</f>
        <v>0</v>
      </c>
      <c r="L358" s="711">
        <f>Bilans_E_AMS_Kyoto_run3_MTE!P471</f>
        <v>0</v>
      </c>
      <c r="M358" s="711">
        <f>Bilans_E_AMS_Kyoto_run3_MTE!Q471</f>
        <v>0</v>
      </c>
      <c r="N358" s="711">
        <f>Bilans_E_AMS_Kyoto_run3_MTE!R471</f>
        <v>0</v>
      </c>
      <c r="O358" s="711">
        <f>Bilans_E_AMS_Kyoto_run3_MTE!S471</f>
        <v>0</v>
      </c>
      <c r="P358" s="711">
        <f>Bilans_E_AMS_Kyoto_run3_MTE!T471+Bilans_E_AMS_Kyoto_run3_MTE!U471</f>
        <v>0</v>
      </c>
      <c r="Q358" s="711">
        <f>Bilans_E_AMS_Kyoto_run3_MTE!V471</f>
        <v>0</v>
      </c>
      <c r="R358" s="711">
        <f>Bilans_E_AMS_Kyoto_run3_MTE!W471</f>
        <v>0</v>
      </c>
      <c r="S358" s="711">
        <f>Bilans_E_AMS_Kyoto_run3_MTE!X471</f>
        <v>0</v>
      </c>
      <c r="T358" s="711">
        <f>Bilans_E_AMS_Kyoto_run3_MTE!Y471</f>
        <v>0</v>
      </c>
      <c r="U358" s="711">
        <f>Bilans_E_AMS_Kyoto_run3_MTE!Z471</f>
        <v>1.8399004915233377</v>
      </c>
      <c r="V358" s="701"/>
      <c r="W358" s="701"/>
    </row>
    <row r="359" spans="1:23" x14ac:dyDescent="0.25">
      <c r="A359" s="701" t="s">
        <v>500</v>
      </c>
      <c r="B359" s="701"/>
      <c r="C359" s="717" t="s">
        <v>351</v>
      </c>
      <c r="D359" s="711">
        <f>Bilans_E_AMS_Kyoto_run3_MTE!H472</f>
        <v>0</v>
      </c>
      <c r="E359" s="711">
        <f>Bilans_E_AMS_Kyoto_run3_MTE!I472</f>
        <v>0</v>
      </c>
      <c r="F359" s="711">
        <f>Bilans_E_AMS_Kyoto_run3_MTE!J472</f>
        <v>0</v>
      </c>
      <c r="G359" s="711">
        <f>Bilans_E_AMS_Kyoto_run3_MTE!K472</f>
        <v>0</v>
      </c>
      <c r="H359" s="711">
        <f>Bilans_E_AMS_Kyoto_run3_MTE!L472</f>
        <v>0</v>
      </c>
      <c r="I359" s="711">
        <f>Bilans_E_AMS_Kyoto_run3_MTE!M472</f>
        <v>0</v>
      </c>
      <c r="J359" s="711">
        <f>Bilans_E_AMS_Kyoto_run3_MTE!N472</f>
        <v>0</v>
      </c>
      <c r="K359" s="711">
        <f>Bilans_E_AMS_Kyoto_run3_MTE!O472</f>
        <v>0</v>
      </c>
      <c r="L359" s="711">
        <f>Bilans_E_AMS_Kyoto_run3_MTE!P472</f>
        <v>98.264059426631164</v>
      </c>
      <c r="M359" s="711">
        <f>Bilans_E_AMS_Kyoto_run3_MTE!Q472</f>
        <v>7.2727272727272725</v>
      </c>
      <c r="N359" s="711">
        <f>Bilans_E_AMS_Kyoto_run3_MTE!R472</f>
        <v>-58.881352983692381</v>
      </c>
      <c r="O359" s="711">
        <f>Bilans_E_AMS_Kyoto_run3_MTE!S472</f>
        <v>0</v>
      </c>
      <c r="P359" s="711">
        <f>Bilans_E_AMS_Kyoto_run3_MTE!T472+Bilans_E_AMS_Kyoto_run3_MTE!U472</f>
        <v>0</v>
      </c>
      <c r="Q359" s="711">
        <f>Bilans_E_AMS_Kyoto_run3_MTE!V472</f>
        <v>0</v>
      </c>
      <c r="R359" s="711">
        <f>Bilans_E_AMS_Kyoto_run3_MTE!W472</f>
        <v>0</v>
      </c>
      <c r="S359" s="711">
        <f>Bilans_E_AMS_Kyoto_run3_MTE!X472</f>
        <v>0</v>
      </c>
      <c r="T359" s="711">
        <f>Bilans_E_AMS_Kyoto_run3_MTE!Y472</f>
        <v>0</v>
      </c>
      <c r="U359" s="711">
        <f>Bilans_E_AMS_Kyoto_run3_MTE!Z472</f>
        <v>46.655433715666049</v>
      </c>
      <c r="V359" s="701"/>
      <c r="W359" s="701"/>
    </row>
    <row r="360" spans="1:23" x14ac:dyDescent="0.25">
      <c r="A360" s="701" t="s">
        <v>501</v>
      </c>
      <c r="B360" s="701"/>
      <c r="C360" s="717" t="s">
        <v>352</v>
      </c>
      <c r="D360" s="711">
        <f>Bilans_E_AMS_Kyoto_run3_MTE!H473</f>
        <v>0</v>
      </c>
      <c r="E360" s="711">
        <f>Bilans_E_AMS_Kyoto_run3_MTE!I473</f>
        <v>0</v>
      </c>
      <c r="F360" s="711">
        <f>Bilans_E_AMS_Kyoto_run3_MTE!J473</f>
        <v>0</v>
      </c>
      <c r="G360" s="711">
        <f>Bilans_E_AMS_Kyoto_run3_MTE!K473</f>
        <v>-10.918730471145594</v>
      </c>
      <c r="H360" s="711">
        <f>Bilans_E_AMS_Kyoto_run3_MTE!L473</f>
        <v>0</v>
      </c>
      <c r="I360" s="711">
        <f>Bilans_E_AMS_Kyoto_run3_MTE!M473</f>
        <v>0</v>
      </c>
      <c r="J360" s="711">
        <f>Bilans_E_AMS_Kyoto_run3_MTE!N473</f>
        <v>0</v>
      </c>
      <c r="K360" s="711">
        <f>Bilans_E_AMS_Kyoto_run3_MTE!O473</f>
        <v>0</v>
      </c>
      <c r="L360" s="711">
        <f>Bilans_E_AMS_Kyoto_run3_MTE!P473</f>
        <v>0</v>
      </c>
      <c r="M360" s="711">
        <f>Bilans_E_AMS_Kyoto_run3_MTE!Q473</f>
        <v>0</v>
      </c>
      <c r="N360" s="711">
        <f>Bilans_E_AMS_Kyoto_run3_MTE!R473</f>
        <v>0</v>
      </c>
      <c r="O360" s="711">
        <f>Bilans_E_AMS_Kyoto_run3_MTE!S473</f>
        <v>0</v>
      </c>
      <c r="P360" s="711">
        <f>Bilans_E_AMS_Kyoto_run3_MTE!T473+Bilans_E_AMS_Kyoto_run3_MTE!U473</f>
        <v>0</v>
      </c>
      <c r="Q360" s="711">
        <f>Bilans_E_AMS_Kyoto_run3_MTE!V473</f>
        <v>0</v>
      </c>
      <c r="R360" s="711">
        <f>Bilans_E_AMS_Kyoto_run3_MTE!W473</f>
        <v>0</v>
      </c>
      <c r="S360" s="711">
        <f>Bilans_E_AMS_Kyoto_run3_MTE!X473</f>
        <v>0</v>
      </c>
      <c r="T360" s="711">
        <f>Bilans_E_AMS_Kyoto_run3_MTE!Y473</f>
        <v>18.115603518260158</v>
      </c>
      <c r="U360" s="711">
        <f>Bilans_E_AMS_Kyoto_run3_MTE!Z473</f>
        <v>7.1968730471145648</v>
      </c>
      <c r="V360" s="701"/>
      <c r="W360" s="701"/>
    </row>
    <row r="361" spans="1:23" x14ac:dyDescent="0.25">
      <c r="A361" s="701" t="s">
        <v>502</v>
      </c>
      <c r="B361" s="701"/>
      <c r="C361" s="717" t="s">
        <v>73</v>
      </c>
      <c r="D361" s="711">
        <f>Bilans_E_AMS_Kyoto_run3_MTE!H474</f>
        <v>0</v>
      </c>
      <c r="E361" s="711">
        <f>Bilans_E_AMS_Kyoto_run3_MTE!I474</f>
        <v>0</v>
      </c>
      <c r="F361" s="711">
        <f>Bilans_E_AMS_Kyoto_run3_MTE!J474</f>
        <v>0</v>
      </c>
      <c r="G361" s="711">
        <f>Bilans_E_AMS_Kyoto_run3_MTE!K474</f>
        <v>0</v>
      </c>
      <c r="H361" s="711">
        <f>Bilans_E_AMS_Kyoto_run3_MTE!L474</f>
        <v>0</v>
      </c>
      <c r="I361" s="711">
        <f>Bilans_E_AMS_Kyoto_run3_MTE!M474</f>
        <v>0</v>
      </c>
      <c r="J361" s="711">
        <f>Bilans_E_AMS_Kyoto_run3_MTE!N474</f>
        <v>0</v>
      </c>
      <c r="K361" s="711">
        <f>Bilans_E_AMS_Kyoto_run3_MTE!O474</f>
        <v>0</v>
      </c>
      <c r="L361" s="711">
        <f>Bilans_E_AMS_Kyoto_run3_MTE!P474</f>
        <v>0</v>
      </c>
      <c r="M361" s="711">
        <f>Bilans_E_AMS_Kyoto_run3_MTE!Q474</f>
        <v>0</v>
      </c>
      <c r="N361" s="711">
        <f>Bilans_E_AMS_Kyoto_run3_MTE!R474</f>
        <v>0</v>
      </c>
      <c r="O361" s="711">
        <f>Bilans_E_AMS_Kyoto_run3_MTE!S474</f>
        <v>0</v>
      </c>
      <c r="P361" s="711">
        <f>Bilans_E_AMS_Kyoto_run3_MTE!T474+Bilans_E_AMS_Kyoto_run3_MTE!U474</f>
        <v>0</v>
      </c>
      <c r="Q361" s="711">
        <f>Bilans_E_AMS_Kyoto_run3_MTE!V474</f>
        <v>0</v>
      </c>
      <c r="R361" s="711">
        <f>Bilans_E_AMS_Kyoto_run3_MTE!W474</f>
        <v>71.82433773705074</v>
      </c>
      <c r="S361" s="711">
        <f>Bilans_E_AMS_Kyoto_run3_MTE!X474</f>
        <v>0</v>
      </c>
      <c r="T361" s="711">
        <f>Bilans_E_AMS_Kyoto_run3_MTE!Y474</f>
        <v>-49.953826896118791</v>
      </c>
      <c r="U361" s="711">
        <f>Bilans_E_AMS_Kyoto_run3_MTE!Z474</f>
        <v>21.870510840931949</v>
      </c>
      <c r="V361" s="701"/>
      <c r="W361" s="701"/>
    </row>
    <row r="362" spans="1:23" x14ac:dyDescent="0.25">
      <c r="A362" s="701" t="s">
        <v>503</v>
      </c>
      <c r="B362" s="701"/>
      <c r="C362" s="717" t="s">
        <v>353</v>
      </c>
      <c r="D362" s="711">
        <f>Bilans_E_AMS_Kyoto_run3_MTE!H475</f>
        <v>3.2800345312500001</v>
      </c>
      <c r="E362" s="711">
        <f>Bilans_E_AMS_Kyoto_run3_MTE!I475</f>
        <v>-6.4350233154386336</v>
      </c>
      <c r="F362" s="711">
        <f>Bilans_E_AMS_Kyoto_run3_MTE!J475</f>
        <v>8.5665829244642584</v>
      </c>
      <c r="G362" s="711">
        <f>Bilans_E_AMS_Kyoto_run3_MTE!K475</f>
        <v>0</v>
      </c>
      <c r="H362" s="711">
        <f>Bilans_E_AMS_Kyoto_run3_MTE!L475</f>
        <v>0</v>
      </c>
      <c r="I362" s="711">
        <f>Bilans_E_AMS_Kyoto_run3_MTE!M475</f>
        <v>0</v>
      </c>
      <c r="J362" s="711">
        <f>Bilans_E_AMS_Kyoto_run3_MTE!N475</f>
        <v>0</v>
      </c>
      <c r="K362" s="711">
        <f>Bilans_E_AMS_Kyoto_run3_MTE!O475</f>
        <v>0</v>
      </c>
      <c r="L362" s="711">
        <f>Bilans_E_AMS_Kyoto_run3_MTE!P475</f>
        <v>0</v>
      </c>
      <c r="M362" s="711">
        <f>Bilans_E_AMS_Kyoto_run3_MTE!Q475</f>
        <v>0</v>
      </c>
      <c r="N362" s="711">
        <f>Bilans_E_AMS_Kyoto_run3_MTE!R475</f>
        <v>0</v>
      </c>
      <c r="O362" s="711">
        <f>Bilans_E_AMS_Kyoto_run3_MTE!S475</f>
        <v>0</v>
      </c>
      <c r="P362" s="711">
        <f>Bilans_E_AMS_Kyoto_run3_MTE!T475+Bilans_E_AMS_Kyoto_run3_MTE!U475</f>
        <v>0</v>
      </c>
      <c r="Q362" s="711">
        <f>Bilans_E_AMS_Kyoto_run3_MTE!V475</f>
        <v>0</v>
      </c>
      <c r="R362" s="711">
        <f>Bilans_E_AMS_Kyoto_run3_MTE!W475</f>
        <v>0</v>
      </c>
      <c r="S362" s="711">
        <f>Bilans_E_AMS_Kyoto_run3_MTE!X475</f>
        <v>0</v>
      </c>
      <c r="T362" s="711">
        <f>Bilans_E_AMS_Kyoto_run3_MTE!Y475</f>
        <v>0</v>
      </c>
      <c r="U362" s="711">
        <f>Bilans_E_AMS_Kyoto_run3_MTE!Z475</f>
        <v>5.4115941402756249</v>
      </c>
      <c r="V362" s="701"/>
      <c r="W362" s="701"/>
    </row>
    <row r="363" spans="1:23" x14ac:dyDescent="0.25">
      <c r="A363" s="701" t="s">
        <v>504</v>
      </c>
      <c r="B363" s="701"/>
      <c r="C363" s="717" t="s">
        <v>75</v>
      </c>
      <c r="D363" s="711">
        <f>Bilans_E_AMS_Kyoto_run3_MTE!H476</f>
        <v>1.2755689843750002</v>
      </c>
      <c r="E363" s="711">
        <f>Bilans_E_AMS_Kyoto_run3_MTE!I476</f>
        <v>0</v>
      </c>
      <c r="F363" s="711">
        <f>Bilans_E_AMS_Kyoto_run3_MTE!J476</f>
        <v>6.4072238182271617</v>
      </c>
      <c r="G363" s="711">
        <f>Bilans_E_AMS_Kyoto_run3_MTE!K476</f>
        <v>0</v>
      </c>
      <c r="H363" s="711">
        <f>Bilans_E_AMS_Kyoto_run3_MTE!L476</f>
        <v>0</v>
      </c>
      <c r="I363" s="711">
        <f>Bilans_E_AMS_Kyoto_run3_MTE!M476</f>
        <v>0</v>
      </c>
      <c r="J363" s="711">
        <f>Bilans_E_AMS_Kyoto_run3_MTE!N476</f>
        <v>0</v>
      </c>
      <c r="K363" s="711">
        <f>Bilans_E_AMS_Kyoto_run3_MTE!O476</f>
        <v>0</v>
      </c>
      <c r="L363" s="711">
        <f>Bilans_E_AMS_Kyoto_run3_MTE!P476</f>
        <v>0</v>
      </c>
      <c r="M363" s="711">
        <f>Bilans_E_AMS_Kyoto_run3_MTE!Q476</f>
        <v>0</v>
      </c>
      <c r="N363" s="711">
        <f>Bilans_E_AMS_Kyoto_run3_MTE!R476</f>
        <v>0</v>
      </c>
      <c r="O363" s="711">
        <f>Bilans_E_AMS_Kyoto_run3_MTE!S476</f>
        <v>0</v>
      </c>
      <c r="P363" s="711">
        <f>Bilans_E_AMS_Kyoto_run3_MTE!T476+Bilans_E_AMS_Kyoto_run3_MTE!U476</f>
        <v>0</v>
      </c>
      <c r="Q363" s="711">
        <f>Bilans_E_AMS_Kyoto_run3_MTE!V476</f>
        <v>0</v>
      </c>
      <c r="R363" s="711">
        <f>Bilans_E_AMS_Kyoto_run3_MTE!W476</f>
        <v>38.57687969589584</v>
      </c>
      <c r="S363" s="711">
        <f>Bilans_E_AMS_Kyoto_run3_MTE!X476</f>
        <v>0</v>
      </c>
      <c r="T363" s="711">
        <f>Bilans_E_AMS_Kyoto_run3_MTE!Y476</f>
        <v>1.8110857498187163</v>
      </c>
      <c r="U363" s="711">
        <f>Bilans_E_AMS_Kyoto_run3_MTE!Z476</f>
        <v>48.070758248316722</v>
      </c>
      <c r="V363" s="701"/>
      <c r="W363" s="701"/>
    </row>
    <row r="364" spans="1:23" x14ac:dyDescent="0.25">
      <c r="A364" s="701" t="s">
        <v>505</v>
      </c>
      <c r="B364" s="701"/>
      <c r="C364" s="717" t="s">
        <v>76</v>
      </c>
      <c r="D364" s="711">
        <f>Bilans_E_AMS_Kyoto_run3_MTE!H477</f>
        <v>0</v>
      </c>
      <c r="E364" s="711">
        <f>Bilans_E_AMS_Kyoto_run3_MTE!I477</f>
        <v>0</v>
      </c>
      <c r="F364" s="711">
        <f>Bilans_E_AMS_Kyoto_run3_MTE!J477</f>
        <v>0</v>
      </c>
      <c r="G364" s="711">
        <f>Bilans_E_AMS_Kyoto_run3_MTE!K477</f>
        <v>0</v>
      </c>
      <c r="H364" s="711">
        <f>Bilans_E_AMS_Kyoto_run3_MTE!L477</f>
        <v>0.98381967017411598</v>
      </c>
      <c r="I364" s="711">
        <f>Bilans_E_AMS_Kyoto_run3_MTE!M477</f>
        <v>1.0355996528148588E-2</v>
      </c>
      <c r="J364" s="711">
        <f>Bilans_E_AMS_Kyoto_run3_MTE!N477</f>
        <v>0</v>
      </c>
      <c r="K364" s="711">
        <f>Bilans_E_AMS_Kyoto_run3_MTE!O477</f>
        <v>0</v>
      </c>
      <c r="L364" s="711">
        <f>Bilans_E_AMS_Kyoto_run3_MTE!P477</f>
        <v>0</v>
      </c>
      <c r="M364" s="711">
        <f>Bilans_E_AMS_Kyoto_run3_MTE!Q477</f>
        <v>0</v>
      </c>
      <c r="N364" s="711">
        <f>Bilans_E_AMS_Kyoto_run3_MTE!R477</f>
        <v>0</v>
      </c>
      <c r="O364" s="711">
        <f>Bilans_E_AMS_Kyoto_run3_MTE!S477</f>
        <v>0.73182375465583349</v>
      </c>
      <c r="P364" s="711">
        <f>Bilans_E_AMS_Kyoto_run3_MTE!T477+Bilans_E_AMS_Kyoto_run3_MTE!U477</f>
        <v>0</v>
      </c>
      <c r="Q364" s="711">
        <f>Bilans_E_AMS_Kyoto_run3_MTE!V477</f>
        <v>0</v>
      </c>
      <c r="R364" s="711">
        <f>Bilans_E_AMS_Kyoto_run3_MTE!W477</f>
        <v>58.720759743857542</v>
      </c>
      <c r="S364" s="711">
        <f>Bilans_E_AMS_Kyoto_run3_MTE!X477</f>
        <v>6.7361736922382924</v>
      </c>
      <c r="T364" s="711">
        <f>Bilans_E_AMS_Kyoto_run3_MTE!Y477</f>
        <v>0</v>
      </c>
      <c r="U364" s="711">
        <f>Bilans_E_AMS_Kyoto_run3_MTE!Z477</f>
        <v>67.182932857453935</v>
      </c>
      <c r="V364" s="701"/>
      <c r="W364" s="701"/>
    </row>
    <row r="365" spans="1:23" x14ac:dyDescent="0.25">
      <c r="A365" s="701" t="s">
        <v>506</v>
      </c>
      <c r="B365" s="701"/>
      <c r="C365" s="713" t="s">
        <v>77</v>
      </c>
      <c r="D365" s="714">
        <f>Bilans_E_AMS_Kyoto_run3_MTE!H478</f>
        <v>4.5556035156250001</v>
      </c>
      <c r="E365" s="714">
        <f>Bilans_E_AMS_Kyoto_run3_MTE!I478</f>
        <v>177.55502583689511</v>
      </c>
      <c r="F365" s="714">
        <f>Bilans_E_AMS_Kyoto_run3_MTE!J478</f>
        <v>-167.14988113675898</v>
      </c>
      <c r="G365" s="714">
        <f>Bilans_E_AMS_Kyoto_run3_MTE!K478</f>
        <v>-10.918730471145594</v>
      </c>
      <c r="H365" s="714">
        <f>Bilans_E_AMS_Kyoto_run3_MTE!L478</f>
        <v>12.34745368902659</v>
      </c>
      <c r="I365" s="714">
        <f>Bilans_E_AMS_Kyoto_run3_MTE!M478</f>
        <v>-2.5126460562266661</v>
      </c>
      <c r="J365" s="714">
        <f>Bilans_E_AMS_Kyoto_run3_MTE!N478</f>
        <v>1099.5846392966657</v>
      </c>
      <c r="K365" s="714">
        <f>Bilans_E_AMS_Kyoto_run3_MTE!O478</f>
        <v>432.558137271254</v>
      </c>
      <c r="L365" s="714">
        <f>Bilans_E_AMS_Kyoto_run3_MTE!P478</f>
        <v>277.93237210319938</v>
      </c>
      <c r="M365" s="714">
        <f>Bilans_E_AMS_Kyoto_run3_MTE!Q478</f>
        <v>37.745140849319363</v>
      </c>
      <c r="N365" s="714">
        <f>Bilans_E_AMS_Kyoto_run3_MTE!R478</f>
        <v>-52.823481246101892</v>
      </c>
      <c r="O365" s="714">
        <f>Bilans_E_AMS_Kyoto_run3_MTE!S478</f>
        <v>-66.004971228004962</v>
      </c>
      <c r="P365" s="714">
        <f>Bilans_E_AMS_Kyoto_run3_MTE!T478+Bilans_E_AMS_Kyoto_run3_MTE!U478</f>
        <v>18.404716933116433</v>
      </c>
      <c r="Q365" s="714">
        <f>Bilans_E_AMS_Kyoto_run3_MTE!V478</f>
        <v>19.863896915877778</v>
      </c>
      <c r="R365" s="714">
        <f>Bilans_E_AMS_Kyoto_run3_MTE!W478</f>
        <v>-641.4616245754471</v>
      </c>
      <c r="S365" s="714">
        <f>Bilans_E_AMS_Kyoto_run3_MTE!X478</f>
        <v>-80.131352097194963</v>
      </c>
      <c r="T365" s="714">
        <f>Bilans_E_AMS_Kyoto_run3_MTE!Y478</f>
        <v>-26.363705726037281</v>
      </c>
      <c r="U365" s="714">
        <f>Bilans_E_AMS_Kyoto_run3_MTE!Z478</f>
        <v>1033.1805938740617</v>
      </c>
      <c r="V365" s="701"/>
      <c r="W365" s="701"/>
    </row>
    <row r="366" spans="1:23" x14ac:dyDescent="0.25">
      <c r="A366" s="701"/>
      <c r="B366" s="701"/>
      <c r="C366" s="715"/>
      <c r="D366" s="716"/>
      <c r="E366" s="716"/>
      <c r="F366" s="716"/>
      <c r="G366" s="716"/>
      <c r="H366" s="716"/>
      <c r="I366" s="716"/>
      <c r="J366" s="716"/>
      <c r="K366" s="716"/>
      <c r="L366" s="716"/>
      <c r="M366" s="716"/>
      <c r="N366" s="716"/>
      <c r="O366" s="716"/>
      <c r="P366" s="716">
        <f>Bilans_E_AMS_Kyoto_run3_MTE!T479+Bilans_E_AMS_Kyoto_run3_MTE!U479</f>
        <v>0</v>
      </c>
      <c r="Q366" s="716"/>
      <c r="R366" s="716"/>
      <c r="S366" s="716"/>
      <c r="T366" s="716"/>
      <c r="U366" s="716"/>
      <c r="V366" s="701"/>
      <c r="W366" s="701"/>
    </row>
    <row r="367" spans="1:23" x14ac:dyDescent="0.25">
      <c r="A367" s="701" t="s">
        <v>507</v>
      </c>
      <c r="B367" s="701"/>
      <c r="C367" s="717" t="s">
        <v>78</v>
      </c>
      <c r="D367" s="711">
        <f>Bilans_E_AMS_Kyoto_run3_MTE!H480</f>
        <v>0.16342834472656248</v>
      </c>
      <c r="E367" s="711">
        <f>Bilans_E_AMS_Kyoto_run3_MTE!I480</f>
        <v>0</v>
      </c>
      <c r="F367" s="711">
        <f>Bilans_E_AMS_Kyoto_run3_MTE!J480</f>
        <v>1.192335444968337</v>
      </c>
      <c r="G367" s="711">
        <f>Bilans_E_AMS_Kyoto_run3_MTE!K480</f>
        <v>0</v>
      </c>
      <c r="H367" s="711">
        <f>Bilans_E_AMS_Kyoto_run3_MTE!L480</f>
        <v>32.001904580711056</v>
      </c>
      <c r="I367" s="711">
        <f>Bilans_E_AMS_Kyoto_run3_MTE!M480</f>
        <v>0.33686215348116894</v>
      </c>
      <c r="J367" s="711">
        <f>Bilans_E_AMS_Kyoto_run3_MTE!N480</f>
        <v>0</v>
      </c>
      <c r="K367" s="711">
        <f>Bilans_E_AMS_Kyoto_run3_MTE!O480</f>
        <v>0</v>
      </c>
      <c r="L367" s="711">
        <f>Bilans_E_AMS_Kyoto_run3_MTE!P480</f>
        <v>35.925037819448683</v>
      </c>
      <c r="M367" s="711">
        <f>Bilans_E_AMS_Kyoto_run3_MTE!Q480</f>
        <v>8.355944349353404</v>
      </c>
      <c r="N367" s="711">
        <f>Bilans_E_AMS_Kyoto_run3_MTE!R480</f>
        <v>0.41126405446607639</v>
      </c>
      <c r="O367" s="711">
        <f>Bilans_E_AMS_Kyoto_run3_MTE!S480</f>
        <v>23.845200759921546</v>
      </c>
      <c r="P367" s="711">
        <f>Bilans_E_AMS_Kyoto_run3_MTE!T480+Bilans_E_AMS_Kyoto_run3_MTE!U480</f>
        <v>12.595482421874999</v>
      </c>
      <c r="Q367" s="711">
        <f>Bilans_E_AMS_Kyoto_run3_MTE!V480</f>
        <v>8.2107689234467234E-4</v>
      </c>
      <c r="R367" s="711">
        <f>Bilans_E_AMS_Kyoto_run3_MTE!W480</f>
        <v>157.38101577829286</v>
      </c>
      <c r="S367" s="711">
        <f>Bilans_E_AMS_Kyoto_run3_MTE!X480</f>
        <v>19.581895205138572</v>
      </c>
      <c r="T367" s="711">
        <f>Bilans_E_AMS_Kyoto_run3_MTE!Y480</f>
        <v>11.602856445312501</v>
      </c>
      <c r="U367" s="711">
        <f>Bilans_E_AMS_Kyoto_run3_MTE!Z480</f>
        <v>303.39404843458811</v>
      </c>
      <c r="V367" s="701"/>
      <c r="W367" s="701"/>
    </row>
    <row r="368" spans="1:23" x14ac:dyDescent="0.25">
      <c r="A368" s="701" t="s">
        <v>508</v>
      </c>
      <c r="B368" s="701"/>
      <c r="C368" s="717" t="s">
        <v>79</v>
      </c>
      <c r="D368" s="711">
        <f>Bilans_E_AMS_Kyoto_run3_MTE!H481</f>
        <v>0</v>
      </c>
      <c r="E368" s="711">
        <f>Bilans_E_AMS_Kyoto_run3_MTE!I481</f>
        <v>0</v>
      </c>
      <c r="F368" s="711">
        <f>Bilans_E_AMS_Kyoto_run3_MTE!J481</f>
        <v>57.415221307039587</v>
      </c>
      <c r="G368" s="711">
        <f>Bilans_E_AMS_Kyoto_run3_MTE!K481</f>
        <v>1.6</v>
      </c>
      <c r="H368" s="711">
        <f>Bilans_E_AMS_Kyoto_run3_MTE!L481</f>
        <v>4.3056781164291928</v>
      </c>
      <c r="I368" s="711">
        <f>Bilans_E_AMS_Kyoto_run3_MTE!M481</f>
        <v>4.5322927541359921E-2</v>
      </c>
      <c r="J368" s="711">
        <f>Bilans_E_AMS_Kyoto_run3_MTE!N481</f>
        <v>0</v>
      </c>
      <c r="K368" s="711">
        <f>Bilans_E_AMS_Kyoto_run3_MTE!O481</f>
        <v>0</v>
      </c>
      <c r="L368" s="711">
        <f>Bilans_E_AMS_Kyoto_run3_MTE!P481</f>
        <v>0</v>
      </c>
      <c r="M368" s="711">
        <f>Bilans_E_AMS_Kyoto_run3_MTE!Q481</f>
        <v>0</v>
      </c>
      <c r="N368" s="711">
        <f>Bilans_E_AMS_Kyoto_run3_MTE!R481</f>
        <v>31.800952318042711</v>
      </c>
      <c r="O368" s="711">
        <f>Bilans_E_AMS_Kyoto_run3_MTE!S481</f>
        <v>3.2028202129227674</v>
      </c>
      <c r="P368" s="711">
        <f>Bilans_E_AMS_Kyoto_run3_MTE!T481+Bilans_E_AMS_Kyoto_run3_MTE!U481</f>
        <v>0</v>
      </c>
      <c r="Q368" s="711">
        <f>Bilans_E_AMS_Kyoto_run3_MTE!V481</f>
        <v>0</v>
      </c>
      <c r="R368" s="711">
        <f>Bilans_E_AMS_Kyoto_run3_MTE!W481</f>
        <v>112.28525884459542</v>
      </c>
      <c r="S368" s="711">
        <f>Bilans_E_AMS_Kyoto_run3_MTE!X481</f>
        <v>0</v>
      </c>
      <c r="T368" s="711">
        <f>Bilans_E_AMS_Kyoto_run3_MTE!Y481</f>
        <v>5.8069925085288689</v>
      </c>
      <c r="U368" s="711">
        <f>Bilans_E_AMS_Kyoto_run3_MTE!Z481</f>
        <v>216.46224623509994</v>
      </c>
      <c r="V368" s="701"/>
      <c r="W368" s="701"/>
    </row>
    <row r="369" spans="1:23" x14ac:dyDescent="0.25">
      <c r="A369" s="701" t="s">
        <v>509</v>
      </c>
      <c r="B369" s="701"/>
      <c r="C369" s="717" t="s">
        <v>80</v>
      </c>
      <c r="D369" s="711">
        <f>Bilans_E_AMS_Kyoto_run3_MTE!H482</f>
        <v>0</v>
      </c>
      <c r="E369" s="711">
        <f>Bilans_E_AMS_Kyoto_run3_MTE!I482</f>
        <v>0</v>
      </c>
      <c r="F369" s="711">
        <f>Bilans_E_AMS_Kyoto_run3_MTE!J482</f>
        <v>0.29271355474186761</v>
      </c>
      <c r="G369" s="711">
        <f>Bilans_E_AMS_Kyoto_run3_MTE!K482</f>
        <v>0</v>
      </c>
      <c r="H369" s="711">
        <f>Bilans_E_AMS_Kyoto_run3_MTE!L482</f>
        <v>21.230302820629564</v>
      </c>
      <c r="I369" s="711">
        <f>Bilans_E_AMS_Kyoto_run3_MTE!M482</f>
        <v>0.22347687179610068</v>
      </c>
      <c r="J369" s="711">
        <f>Bilans_E_AMS_Kyoto_run3_MTE!N482</f>
        <v>0</v>
      </c>
      <c r="K369" s="711">
        <f>Bilans_E_AMS_Kyoto_run3_MTE!O482</f>
        <v>0</v>
      </c>
      <c r="L369" s="711">
        <f>Bilans_E_AMS_Kyoto_run3_MTE!P482</f>
        <v>42.610592667556531</v>
      </c>
      <c r="M369" s="711">
        <f>Bilans_E_AMS_Kyoto_run3_MTE!Q482</f>
        <v>0</v>
      </c>
      <c r="N369" s="711">
        <f>Bilans_E_AMS_Kyoto_run3_MTE!R482</f>
        <v>0</v>
      </c>
      <c r="O369" s="711">
        <f>Bilans_E_AMS_Kyoto_run3_MTE!S482</f>
        <v>15.792365606924447</v>
      </c>
      <c r="P369" s="711">
        <f>Bilans_E_AMS_Kyoto_run3_MTE!T482+Bilans_E_AMS_Kyoto_run3_MTE!U482</f>
        <v>140.68580630413436</v>
      </c>
      <c r="Q369" s="711">
        <f>Bilans_E_AMS_Kyoto_run3_MTE!V482</f>
        <v>11.422179608472932</v>
      </c>
      <c r="R369" s="711">
        <f>Bilans_E_AMS_Kyoto_run3_MTE!W482</f>
        <v>140.84431405230941</v>
      </c>
      <c r="S369" s="711">
        <f>Bilans_E_AMS_Kyoto_run3_MTE!X482</f>
        <v>37.657555904845751</v>
      </c>
      <c r="T369" s="711">
        <f>Bilans_E_AMS_Kyoto_run3_MTE!Y482</f>
        <v>0</v>
      </c>
      <c r="U369" s="711">
        <f>Bilans_E_AMS_Kyoto_run3_MTE!Z482</f>
        <v>410.75930739141103</v>
      </c>
      <c r="V369" s="701"/>
      <c r="W369" s="701"/>
    </row>
    <row r="370" spans="1:23" x14ac:dyDescent="0.25">
      <c r="A370" s="701" t="s">
        <v>510</v>
      </c>
      <c r="B370" s="701"/>
      <c r="C370" s="717" t="s">
        <v>81</v>
      </c>
      <c r="D370" s="711">
        <f>Bilans_E_AMS_Kyoto_run3_MTE!H483</f>
        <v>0</v>
      </c>
      <c r="E370" s="711">
        <f>Bilans_E_AMS_Kyoto_run3_MTE!I483</f>
        <v>0</v>
      </c>
      <c r="F370" s="711">
        <f>Bilans_E_AMS_Kyoto_run3_MTE!J483</f>
        <v>0.52496175669255951</v>
      </c>
      <c r="G370" s="711">
        <f>Bilans_E_AMS_Kyoto_run3_MTE!K483</f>
        <v>0</v>
      </c>
      <c r="H370" s="711">
        <f>Bilans_E_AMS_Kyoto_run3_MTE!L483</f>
        <v>12.447473647538219</v>
      </c>
      <c r="I370" s="711">
        <f>Bilans_E_AMS_Kyoto_run3_MTE!M483</f>
        <v>0.13102603839513913</v>
      </c>
      <c r="J370" s="711">
        <f>Bilans_E_AMS_Kyoto_run3_MTE!N483</f>
        <v>0</v>
      </c>
      <c r="K370" s="711">
        <f>Bilans_E_AMS_Kyoto_run3_MTE!O483</f>
        <v>0</v>
      </c>
      <c r="L370" s="711">
        <f>Bilans_E_AMS_Kyoto_run3_MTE!P483</f>
        <v>0.50385641884580723</v>
      </c>
      <c r="M370" s="711">
        <f>Bilans_E_AMS_Kyoto_run3_MTE!Q483</f>
        <v>0</v>
      </c>
      <c r="N370" s="711">
        <f>Bilans_E_AMS_Kyoto_run3_MTE!R483</f>
        <v>0</v>
      </c>
      <c r="O370" s="711">
        <f>Bilans_E_AMS_Kyoto_run3_MTE!S483</f>
        <v>9.2591733799231637</v>
      </c>
      <c r="P370" s="711">
        <f>Bilans_E_AMS_Kyoto_run3_MTE!T483+Bilans_E_AMS_Kyoto_run3_MTE!U483</f>
        <v>55.972584841883723</v>
      </c>
      <c r="Q370" s="711">
        <f>Bilans_E_AMS_Kyoto_run3_MTE!V483</f>
        <v>11.263560576499328</v>
      </c>
      <c r="R370" s="711">
        <f>Bilans_E_AMS_Kyoto_run3_MTE!W483</f>
        <v>122.13846664869735</v>
      </c>
      <c r="S370" s="711">
        <f>Bilans_E_AMS_Kyoto_run3_MTE!X483</f>
        <v>22.891868477454477</v>
      </c>
      <c r="T370" s="711">
        <f>Bilans_E_AMS_Kyoto_run3_MTE!Y483</f>
        <v>0</v>
      </c>
      <c r="U370" s="711">
        <f>Bilans_E_AMS_Kyoto_run3_MTE!Z483</f>
        <v>235.13297178592975</v>
      </c>
      <c r="V370" s="701"/>
      <c r="W370" s="701"/>
    </row>
    <row r="371" spans="1:23" x14ac:dyDescent="0.25">
      <c r="A371" s="701" t="s">
        <v>511</v>
      </c>
      <c r="B371" s="701"/>
      <c r="C371" s="717" t="s">
        <v>82</v>
      </c>
      <c r="D371" s="711">
        <f>Bilans_E_AMS_Kyoto_run3_MTE!H484</f>
        <v>0</v>
      </c>
      <c r="E371" s="711">
        <f>Bilans_E_AMS_Kyoto_run3_MTE!I484</f>
        <v>0</v>
      </c>
      <c r="F371" s="711">
        <f>Bilans_E_AMS_Kyoto_run3_MTE!J484</f>
        <v>8.4604278538625355</v>
      </c>
      <c r="G371" s="711">
        <f>Bilans_E_AMS_Kyoto_run3_MTE!K484</f>
        <v>0</v>
      </c>
      <c r="H371" s="711">
        <f>Bilans_E_AMS_Kyoto_run3_MTE!L484</f>
        <v>0.63597933034917353</v>
      </c>
      <c r="I371" s="711">
        <f>Bilans_E_AMS_Kyoto_run3_MTE!M484</f>
        <v>6.6945192668334047E-3</v>
      </c>
      <c r="J371" s="711">
        <f>Bilans_E_AMS_Kyoto_run3_MTE!N484</f>
        <v>0</v>
      </c>
      <c r="K371" s="711">
        <f>Bilans_E_AMS_Kyoto_run3_MTE!O484</f>
        <v>0</v>
      </c>
      <c r="L371" s="711">
        <f>Bilans_E_AMS_Kyoto_run3_MTE!P484</f>
        <v>16.880915854504494</v>
      </c>
      <c r="M371" s="711">
        <f>Bilans_E_AMS_Kyoto_run3_MTE!Q484</f>
        <v>0</v>
      </c>
      <c r="N371" s="711">
        <f>Bilans_E_AMS_Kyoto_run3_MTE!R484</f>
        <v>8.0439535729809908</v>
      </c>
      <c r="O371" s="711">
        <f>Bilans_E_AMS_Kyoto_run3_MTE!S484</f>
        <v>0.47307936152289393</v>
      </c>
      <c r="P371" s="711">
        <f>Bilans_E_AMS_Kyoto_run3_MTE!T484+Bilans_E_AMS_Kyoto_run3_MTE!U484</f>
        <v>1.1499999999999999</v>
      </c>
      <c r="Q371" s="711">
        <f>Bilans_E_AMS_Kyoto_run3_MTE!V484</f>
        <v>1.5666563685107562</v>
      </c>
      <c r="R371" s="711">
        <f>Bilans_E_AMS_Kyoto_run3_MTE!W484</f>
        <v>10.022325873265157</v>
      </c>
      <c r="S371" s="711">
        <f>Bilans_E_AMS_Kyoto_run3_MTE!X484</f>
        <v>0</v>
      </c>
      <c r="T371" s="711">
        <f>Bilans_E_AMS_Kyoto_run3_MTE!Y484</f>
        <v>0.50936070240640652</v>
      </c>
      <c r="U371" s="711">
        <f>Bilans_E_AMS_Kyoto_run3_MTE!Z484</f>
        <v>47.74939343666923</v>
      </c>
      <c r="V371" s="701"/>
      <c r="W371" s="701"/>
    </row>
    <row r="372" spans="1:23" x14ac:dyDescent="0.25">
      <c r="A372" s="701" t="s">
        <v>512</v>
      </c>
      <c r="B372" s="701"/>
      <c r="C372" s="717" t="s">
        <v>354</v>
      </c>
      <c r="D372" s="711">
        <f>Bilans_E_AMS_Kyoto_run3_MTE!H485</f>
        <v>0</v>
      </c>
      <c r="E372" s="711">
        <f>Bilans_E_AMS_Kyoto_run3_MTE!I485</f>
        <v>0</v>
      </c>
      <c r="F372" s="711">
        <f>Bilans_E_AMS_Kyoto_run3_MTE!J485</f>
        <v>0</v>
      </c>
      <c r="G372" s="711">
        <f>Bilans_E_AMS_Kyoto_run3_MTE!K485</f>
        <v>0</v>
      </c>
      <c r="H372" s="711">
        <f>Bilans_E_AMS_Kyoto_run3_MTE!L485</f>
        <v>0</v>
      </c>
      <c r="I372" s="711">
        <f>Bilans_E_AMS_Kyoto_run3_MTE!M485</f>
        <v>0</v>
      </c>
      <c r="J372" s="711">
        <f>Bilans_E_AMS_Kyoto_run3_MTE!N485</f>
        <v>0</v>
      </c>
      <c r="K372" s="711">
        <f>Bilans_E_AMS_Kyoto_run3_MTE!O485</f>
        <v>0</v>
      </c>
      <c r="L372" s="711">
        <f>Bilans_E_AMS_Kyoto_run3_MTE!P485</f>
        <v>0</v>
      </c>
      <c r="M372" s="711">
        <f>Bilans_E_AMS_Kyoto_run3_MTE!Q485</f>
        <v>0</v>
      </c>
      <c r="N372" s="711">
        <f>Bilans_E_AMS_Kyoto_run3_MTE!R485</f>
        <v>0</v>
      </c>
      <c r="O372" s="711">
        <f>Bilans_E_AMS_Kyoto_run3_MTE!S485</f>
        <v>0</v>
      </c>
      <c r="P372" s="711">
        <f>Bilans_E_AMS_Kyoto_run3_MTE!T485+Bilans_E_AMS_Kyoto_run3_MTE!U485</f>
        <v>0</v>
      </c>
      <c r="Q372" s="711">
        <f>Bilans_E_AMS_Kyoto_run3_MTE!V485</f>
        <v>0</v>
      </c>
      <c r="R372" s="711">
        <f>Bilans_E_AMS_Kyoto_run3_MTE!W485</f>
        <v>6.8640000000000008</v>
      </c>
      <c r="S372" s="711">
        <f>Bilans_E_AMS_Kyoto_run3_MTE!X485</f>
        <v>0</v>
      </c>
      <c r="T372" s="711">
        <f>Bilans_E_AMS_Kyoto_run3_MTE!Y485</f>
        <v>0</v>
      </c>
      <c r="U372" s="711">
        <f>Bilans_E_AMS_Kyoto_run3_MTE!Z485</f>
        <v>6.8640000000000008</v>
      </c>
      <c r="V372" s="701"/>
      <c r="W372" s="701"/>
    </row>
    <row r="373" spans="1:23" x14ac:dyDescent="0.25">
      <c r="A373" s="701" t="s">
        <v>513</v>
      </c>
      <c r="B373" s="701"/>
      <c r="C373" s="713" t="s">
        <v>83</v>
      </c>
      <c r="D373" s="714">
        <f>Bilans_E_AMS_Kyoto_run3_MTE!H486</f>
        <v>0.16342834472656248</v>
      </c>
      <c r="E373" s="714">
        <f>Bilans_E_AMS_Kyoto_run3_MTE!I486</f>
        <v>0</v>
      </c>
      <c r="F373" s="714">
        <f>Bilans_E_AMS_Kyoto_run3_MTE!J486</f>
        <v>67.885659917304892</v>
      </c>
      <c r="G373" s="714">
        <f>Bilans_E_AMS_Kyoto_run3_MTE!K486</f>
        <v>1.6</v>
      </c>
      <c r="H373" s="714">
        <f>Bilans_E_AMS_Kyoto_run3_MTE!L486</f>
        <v>70.621338495657199</v>
      </c>
      <c r="I373" s="714">
        <f>Bilans_E_AMS_Kyoto_run3_MTE!M486</f>
        <v>0.74338251048060211</v>
      </c>
      <c r="J373" s="714">
        <f>Bilans_E_AMS_Kyoto_run3_MTE!N486</f>
        <v>0</v>
      </c>
      <c r="K373" s="714">
        <f>Bilans_E_AMS_Kyoto_run3_MTE!O486</f>
        <v>0</v>
      </c>
      <c r="L373" s="714">
        <f>Bilans_E_AMS_Kyoto_run3_MTE!P486</f>
        <v>95.920402760355529</v>
      </c>
      <c r="M373" s="714">
        <f>Bilans_E_AMS_Kyoto_run3_MTE!Q486</f>
        <v>8.355944349353404</v>
      </c>
      <c r="N373" s="714">
        <f>Bilans_E_AMS_Kyoto_run3_MTE!R486</f>
        <v>40.256169945489773</v>
      </c>
      <c r="O373" s="714">
        <f>Bilans_E_AMS_Kyoto_run3_MTE!S486</f>
        <v>52.572639321214815</v>
      </c>
      <c r="P373" s="714">
        <f>Bilans_E_AMS_Kyoto_run3_MTE!T486+Bilans_E_AMS_Kyoto_run3_MTE!U486</f>
        <v>210.4038735678931</v>
      </c>
      <c r="Q373" s="714">
        <f>Bilans_E_AMS_Kyoto_run3_MTE!V486</f>
        <v>24.25321763037536</v>
      </c>
      <c r="R373" s="714">
        <f>Bilans_E_AMS_Kyoto_run3_MTE!W486</f>
        <v>549.53538119716018</v>
      </c>
      <c r="S373" s="714">
        <f>Bilans_E_AMS_Kyoto_run3_MTE!X486</f>
        <v>80.131319587438796</v>
      </c>
      <c r="T373" s="714">
        <f>Bilans_E_AMS_Kyoto_run3_MTE!Y486</f>
        <v>17.919209656247777</v>
      </c>
      <c r="U373" s="714">
        <f>Bilans_E_AMS_Kyoto_run3_MTE!Z486</f>
        <v>1220.361967283698</v>
      </c>
      <c r="V373" s="701"/>
      <c r="W373" s="701"/>
    </row>
    <row r="374" spans="1:23" x14ac:dyDescent="0.25">
      <c r="A374" s="701" t="s">
        <v>514</v>
      </c>
      <c r="B374" s="701"/>
      <c r="C374" s="710" t="s">
        <v>84</v>
      </c>
      <c r="D374" s="711">
        <f>Bilans_E_AMS_Kyoto_run3_MTE!H487</f>
        <v>0</v>
      </c>
      <c r="E374" s="711">
        <f>Bilans_E_AMS_Kyoto_run3_MTE!I487</f>
        <v>0</v>
      </c>
      <c r="F374" s="711">
        <f>Bilans_E_AMS_Kyoto_run3_MTE!J487</f>
        <v>98.630833151912839</v>
      </c>
      <c r="G374" s="711">
        <f>Bilans_E_AMS_Kyoto_run3_MTE!K487</f>
        <v>3.094705785318189</v>
      </c>
      <c r="H374" s="711">
        <f>Bilans_E_AMS_Kyoto_run3_MTE!L487</f>
        <v>10.821936682039073</v>
      </c>
      <c r="I374" s="711">
        <f>Bilans_E_AMS_Kyoto_run3_MTE!M487</f>
        <v>0</v>
      </c>
      <c r="J374" s="711">
        <f>Bilans_E_AMS_Kyoto_run3_MTE!N487</f>
        <v>0</v>
      </c>
      <c r="K374" s="711">
        <f>Bilans_E_AMS_Kyoto_run3_MTE!O487</f>
        <v>0</v>
      </c>
      <c r="L374" s="711">
        <f>Bilans_E_AMS_Kyoto_run3_MTE!P487</f>
        <v>0.52555901393570603</v>
      </c>
      <c r="M374" s="711">
        <f>Bilans_E_AMS_Kyoto_run3_MTE!Q487</f>
        <v>0</v>
      </c>
      <c r="N374" s="711">
        <f>Bilans_E_AMS_Kyoto_run3_MTE!R487</f>
        <v>4.7238090812444442</v>
      </c>
      <c r="O374" s="711">
        <f>Bilans_E_AMS_Kyoto_run3_MTE!S487</f>
        <v>0</v>
      </c>
      <c r="P374" s="711">
        <f>Bilans_E_AMS_Kyoto_run3_MTE!T487+Bilans_E_AMS_Kyoto_run3_MTE!U487</f>
        <v>0</v>
      </c>
      <c r="Q374" s="711">
        <f>Bilans_E_AMS_Kyoto_run3_MTE!V487</f>
        <v>0</v>
      </c>
      <c r="R374" s="711">
        <f>Bilans_E_AMS_Kyoto_run3_MTE!W487</f>
        <v>0</v>
      </c>
      <c r="S374" s="711">
        <f>Bilans_E_AMS_Kyoto_run3_MTE!X487</f>
        <v>0</v>
      </c>
      <c r="T374" s="711">
        <f>Bilans_E_AMS_Kyoto_run3_MTE!Y487</f>
        <v>3.3812053333570531</v>
      </c>
      <c r="U374" s="711">
        <f>Bilans_E_AMS_Kyoto_run3_MTE!Z487</f>
        <v>121.17804904780731</v>
      </c>
      <c r="V374" s="701"/>
      <c r="W374" s="701"/>
    </row>
    <row r="375" spans="1:23" x14ac:dyDescent="0.25">
      <c r="A375" s="701" t="s">
        <v>515</v>
      </c>
      <c r="B375" s="701"/>
      <c r="C375" s="713" t="s">
        <v>85</v>
      </c>
      <c r="D375" s="714">
        <f>Bilans_E_AMS_Kyoto_run3_MTE!H488</f>
        <v>0.16342834472656248</v>
      </c>
      <c r="E375" s="714">
        <f>Bilans_E_AMS_Kyoto_run3_MTE!I488</f>
        <v>0</v>
      </c>
      <c r="F375" s="714">
        <f>Bilans_E_AMS_Kyoto_run3_MTE!J488</f>
        <v>166.51649306921774</v>
      </c>
      <c r="G375" s="714">
        <f>Bilans_E_AMS_Kyoto_run3_MTE!K488</f>
        <v>4.6947057853181891</v>
      </c>
      <c r="H375" s="714">
        <f>Bilans_E_AMS_Kyoto_run3_MTE!L488</f>
        <v>81.443275177696279</v>
      </c>
      <c r="I375" s="714">
        <f>Bilans_E_AMS_Kyoto_run3_MTE!M488</f>
        <v>0.74338251048060211</v>
      </c>
      <c r="J375" s="714">
        <f>Bilans_E_AMS_Kyoto_run3_MTE!N488</f>
        <v>0</v>
      </c>
      <c r="K375" s="714">
        <f>Bilans_E_AMS_Kyoto_run3_MTE!O488</f>
        <v>0</v>
      </c>
      <c r="L375" s="714">
        <f>Bilans_E_AMS_Kyoto_run3_MTE!P488</f>
        <v>96.445961774291234</v>
      </c>
      <c r="M375" s="714">
        <f>Bilans_E_AMS_Kyoto_run3_MTE!Q488</f>
        <v>8.355944349353404</v>
      </c>
      <c r="N375" s="714">
        <f>Bilans_E_AMS_Kyoto_run3_MTE!R488</f>
        <v>44.97997902673422</v>
      </c>
      <c r="O375" s="714">
        <f>Bilans_E_AMS_Kyoto_run3_MTE!S488</f>
        <v>52.572639321214815</v>
      </c>
      <c r="P375" s="714">
        <f>Bilans_E_AMS_Kyoto_run3_MTE!T488+Bilans_E_AMS_Kyoto_run3_MTE!U488</f>
        <v>210.4038735678931</v>
      </c>
      <c r="Q375" s="714">
        <f>Bilans_E_AMS_Kyoto_run3_MTE!V488</f>
        <v>24.25321763037536</v>
      </c>
      <c r="R375" s="714">
        <f>Bilans_E_AMS_Kyoto_run3_MTE!W488</f>
        <v>549.53538119716018</v>
      </c>
      <c r="S375" s="714">
        <f>Bilans_E_AMS_Kyoto_run3_MTE!X488</f>
        <v>80.131319587438796</v>
      </c>
      <c r="T375" s="714">
        <f>Bilans_E_AMS_Kyoto_run3_MTE!Y488</f>
        <v>21.300414989604828</v>
      </c>
      <c r="U375" s="714">
        <f>Bilans_E_AMS_Kyoto_run3_MTE!Z488</f>
        <v>1341.5400163315053</v>
      </c>
      <c r="V375" s="701"/>
      <c r="W375" s="701"/>
    </row>
    <row r="376" spans="1:23" x14ac:dyDescent="0.25">
      <c r="A376" s="701"/>
      <c r="B376" s="701"/>
      <c r="C376" s="701"/>
      <c r="D376" s="701">
        <f>Bilans_E_AMS_Kyoto_run3_MTE!H489</f>
        <v>0</v>
      </c>
      <c r="E376" s="701">
        <f>Bilans_E_AMS_Kyoto_run3_MTE!I489</f>
        <v>0</v>
      </c>
      <c r="F376" s="701">
        <f>Bilans_E_AMS_Kyoto_run3_MTE!J489</f>
        <v>7.1054273576010019E-15</v>
      </c>
      <c r="G376" s="701">
        <f>Bilans_E_AMS_Kyoto_run3_MTE!K489</f>
        <v>0</v>
      </c>
      <c r="H376" s="701">
        <f>Bilans_E_AMS_Kyoto_run3_MTE!L489</f>
        <v>2.4547035224031788E-5</v>
      </c>
      <c r="I376" s="701">
        <f>Bilans_E_AMS_Kyoto_run3_MTE!M489</f>
        <v>-2.4547035192501454E-5</v>
      </c>
      <c r="J376" s="701">
        <f>Bilans_E_AMS_Kyoto_run3_MTE!N489</f>
        <v>0</v>
      </c>
      <c r="K376" s="701">
        <f>Bilans_E_AMS_Kyoto_run3_MTE!O489</f>
        <v>0</v>
      </c>
      <c r="L376" s="701">
        <f>Bilans_E_AMS_Kyoto_run3_MTE!P489</f>
        <v>0</v>
      </c>
      <c r="M376" s="701">
        <f>Bilans_E_AMS_Kyoto_run3_MTE!Q489</f>
        <v>0</v>
      </c>
      <c r="N376" s="701">
        <f>Bilans_E_AMS_Kyoto_run3_MTE!R489</f>
        <v>0</v>
      </c>
      <c r="O376" s="701">
        <f>Bilans_E_AMS_Kyoto_run3_MTE!S489</f>
        <v>0</v>
      </c>
      <c r="P376" s="701">
        <f>Bilans_E_AMS_Kyoto_run3_MTE!T489+Bilans_E_AMS_Kyoto_run3_MTE!U489</f>
        <v>0</v>
      </c>
      <c r="Q376" s="701">
        <f>Bilans_E_AMS_Kyoto_run3_MTE!V489</f>
        <v>0</v>
      </c>
      <c r="R376" s="701">
        <f>Bilans_E_AMS_Kyoto_run3_MTE!W489</f>
        <v>0</v>
      </c>
      <c r="S376" s="701">
        <f>Bilans_E_AMS_Kyoto_run3_MTE!X489</f>
        <v>-3.2509756167087289E-5</v>
      </c>
      <c r="T376" s="701">
        <f>Bilans_E_AMS_Kyoto_run3_MTE!Y489</f>
        <v>0</v>
      </c>
      <c r="U376" s="701">
        <f>Bilans_E_AMS_Kyoto_run3_MTE!Z489</f>
        <v>-3.2509756238141563E-5</v>
      </c>
      <c r="V376" s="701"/>
      <c r="W376" s="701"/>
    </row>
    <row r="377" spans="1:23" x14ac:dyDescent="0.25">
      <c r="A377" s="701"/>
      <c r="B377" s="701"/>
      <c r="C377" s="701"/>
      <c r="D377" s="701"/>
      <c r="E377" s="701"/>
      <c r="F377" s="701"/>
      <c r="G377" s="701"/>
      <c r="H377" s="701"/>
      <c r="I377" s="701"/>
      <c r="J377" s="701"/>
      <c r="K377" s="701"/>
      <c r="L377" s="701"/>
      <c r="M377" s="701"/>
      <c r="N377" s="701"/>
      <c r="O377" s="701"/>
      <c r="P377" s="701"/>
      <c r="Q377" s="701"/>
      <c r="R377" s="701"/>
      <c r="S377" s="701"/>
      <c r="T377" s="701"/>
      <c r="U377" s="701"/>
      <c r="V377" s="701"/>
      <c r="W377" s="701"/>
    </row>
    <row r="378" spans="1:23" x14ac:dyDescent="0.25">
      <c r="A378" s="707"/>
      <c r="B378" s="707"/>
      <c r="C378" s="708" t="s">
        <v>361</v>
      </c>
      <c r="D378" s="707"/>
      <c r="E378" s="707"/>
      <c r="F378" s="707"/>
      <c r="G378" s="707"/>
      <c r="H378" s="707"/>
      <c r="I378" s="707"/>
      <c r="J378" s="707"/>
      <c r="K378" s="707"/>
      <c r="L378" s="707"/>
      <c r="M378" s="707"/>
      <c r="N378" s="707"/>
      <c r="O378" s="707"/>
      <c r="P378" s="707"/>
      <c r="Q378" s="707"/>
      <c r="R378" s="707"/>
      <c r="S378" s="707"/>
      <c r="T378" s="707"/>
      <c r="U378" s="707"/>
      <c r="V378" s="707"/>
      <c r="W378" s="707"/>
    </row>
    <row r="379" spans="1:23" x14ac:dyDescent="0.25">
      <c r="A379" s="701"/>
      <c r="B379" s="701"/>
      <c r="C379" s="701"/>
      <c r="D379" s="701"/>
      <c r="E379" s="701"/>
      <c r="F379" s="701"/>
      <c r="G379" s="701"/>
      <c r="H379" s="701"/>
      <c r="I379" s="701"/>
      <c r="J379" s="701"/>
      <c r="K379" s="701"/>
      <c r="L379" s="701"/>
      <c r="M379" s="701"/>
      <c r="N379" s="701"/>
      <c r="O379" s="701"/>
      <c r="P379" s="701"/>
      <c r="Q379" s="701"/>
      <c r="R379" s="701"/>
      <c r="S379" s="701"/>
      <c r="T379" s="701"/>
      <c r="U379" s="701"/>
      <c r="V379" s="701"/>
      <c r="W379" s="701"/>
    </row>
    <row r="380" spans="1:23" x14ac:dyDescent="0.25">
      <c r="A380" s="701"/>
      <c r="B380" s="701"/>
      <c r="C380" s="780" t="s">
        <v>128</v>
      </c>
      <c r="D380" s="775" t="s">
        <v>42</v>
      </c>
      <c r="E380" s="775" t="s">
        <v>52</v>
      </c>
      <c r="F380" s="775" t="s">
        <v>53</v>
      </c>
      <c r="G380" s="775" t="s">
        <v>482</v>
      </c>
      <c r="H380" s="775" t="s">
        <v>32</v>
      </c>
      <c r="I380" s="775" t="s">
        <v>483</v>
      </c>
      <c r="J380" s="775" t="s">
        <v>20</v>
      </c>
      <c r="K380" s="775" t="s">
        <v>55</v>
      </c>
      <c r="L380" s="777" t="s">
        <v>56</v>
      </c>
      <c r="M380" s="778"/>
      <c r="N380" s="778"/>
      <c r="O380" s="778"/>
      <c r="P380" s="778"/>
      <c r="Q380" s="779"/>
      <c r="R380" s="775" t="s">
        <v>57</v>
      </c>
      <c r="S380" s="775" t="s">
        <v>58</v>
      </c>
      <c r="T380" s="775" t="s">
        <v>31</v>
      </c>
      <c r="U380" s="775" t="s">
        <v>10</v>
      </c>
      <c r="V380" s="701"/>
      <c r="W380" s="701"/>
    </row>
    <row r="381" spans="1:23" ht="67.5" x14ac:dyDescent="0.25">
      <c r="A381" s="701" t="s">
        <v>486</v>
      </c>
      <c r="B381" s="701"/>
      <c r="C381" s="781"/>
      <c r="D381" s="776"/>
      <c r="E381" s="776"/>
      <c r="F381" s="776"/>
      <c r="G381" s="776"/>
      <c r="H381" s="776"/>
      <c r="I381" s="776"/>
      <c r="J381" s="776"/>
      <c r="K381" s="776"/>
      <c r="L381" s="709" t="s">
        <v>335</v>
      </c>
      <c r="M381" s="709" t="s">
        <v>40</v>
      </c>
      <c r="N381" s="709" t="s">
        <v>343</v>
      </c>
      <c r="O381" s="709" t="s">
        <v>344</v>
      </c>
      <c r="P381" s="719" t="s">
        <v>610</v>
      </c>
      <c r="Q381" s="709" t="s">
        <v>346</v>
      </c>
      <c r="R381" s="776"/>
      <c r="S381" s="776"/>
      <c r="T381" s="776"/>
      <c r="U381" s="776"/>
      <c r="V381" s="701"/>
      <c r="W381" s="701"/>
    </row>
    <row r="382" spans="1:23" x14ac:dyDescent="0.25">
      <c r="A382" s="701" t="s">
        <v>487</v>
      </c>
      <c r="B382" s="701"/>
      <c r="C382" s="710" t="s">
        <v>59</v>
      </c>
      <c r="D382" s="711">
        <f>Bilans_E_AMS_Kyoto_run3_MTE!H495</f>
        <v>0</v>
      </c>
      <c r="E382" s="711">
        <f>Bilans_E_AMS_Kyoto_run3_MTE!I495</f>
        <v>0</v>
      </c>
      <c r="F382" s="711">
        <f>Bilans_E_AMS_Kyoto_run3_MTE!J495</f>
        <v>0</v>
      </c>
      <c r="G382" s="711">
        <f>Bilans_E_AMS_Kyoto_run3_MTE!K495</f>
        <v>0</v>
      </c>
      <c r="H382" s="711">
        <f>Bilans_E_AMS_Kyoto_run3_MTE!L495</f>
        <v>0</v>
      </c>
      <c r="I382" s="711">
        <f>Bilans_E_AMS_Kyoto_run3_MTE!M495</f>
        <v>0</v>
      </c>
      <c r="J382" s="711">
        <f>Bilans_E_AMS_Kyoto_run3_MTE!N495</f>
        <v>1021.1177956869142</v>
      </c>
      <c r="K382" s="711">
        <f>Bilans_E_AMS_Kyoto_run3_MTE!O495</f>
        <v>462.06687945929309</v>
      </c>
      <c r="L382" s="711">
        <f>Bilans_E_AMS_Kyoto_run3_MTE!P495</f>
        <v>380.853201250621</v>
      </c>
      <c r="M382" s="711">
        <f>Bilans_E_AMS_Kyoto_run3_MTE!Q495</f>
        <v>45.488439305040814</v>
      </c>
      <c r="N382" s="711">
        <f>Bilans_E_AMS_Kyoto_run3_MTE!R495</f>
        <v>0</v>
      </c>
      <c r="O382" s="711">
        <f>Bilans_E_AMS_Kyoto_run3_MTE!S495</f>
        <v>0</v>
      </c>
      <c r="P382" s="711">
        <f>Bilans_E_AMS_Kyoto_run3_MTE!T495+Bilans_E_AMS_Kyoto_run3_MTE!U495</f>
        <v>241.4786584909825</v>
      </c>
      <c r="Q382" s="711">
        <f>Bilans_E_AMS_Kyoto_run3_MTE!V495</f>
        <v>44.619368166332919</v>
      </c>
      <c r="R382" s="711">
        <f>Bilans_E_AMS_Kyoto_run3_MTE!W495</f>
        <v>0</v>
      </c>
      <c r="S382" s="711">
        <f>Bilans_E_AMS_Kyoto_run3_MTE!X495</f>
        <v>0</v>
      </c>
      <c r="T382" s="711">
        <f>Bilans_E_AMS_Kyoto_run3_MTE!Y495</f>
        <v>0</v>
      </c>
      <c r="U382" s="711">
        <f>Bilans_E_AMS_Kyoto_run3_MTE!Z495</f>
        <v>2195.6243423591845</v>
      </c>
      <c r="V382" s="701"/>
      <c r="W382" s="701"/>
    </row>
    <row r="383" spans="1:23" x14ac:dyDescent="0.25">
      <c r="A383" s="701" t="s">
        <v>488</v>
      </c>
      <c r="B383" s="701"/>
      <c r="C383" s="710" t="s">
        <v>60</v>
      </c>
      <c r="D383" s="712">
        <f>Bilans_E_AMS_Kyoto_run3_MTE!H496</f>
        <v>7.2040588378906256E-2</v>
      </c>
      <c r="E383" s="712">
        <f>Bilans_E_AMS_Kyoto_run3_MTE!I496</f>
        <v>143.57372262348443</v>
      </c>
      <c r="F383" s="712">
        <f>Bilans_E_AMS_Kyoto_run3_MTE!J496</f>
        <v>24.964838256255007</v>
      </c>
      <c r="G383" s="712">
        <f>Bilans_E_AMS_Kyoto_run3_MTE!K496</f>
        <v>8.9901848637372375</v>
      </c>
      <c r="H383" s="712">
        <f>Bilans_E_AMS_Kyoto_run3_MTE!L496</f>
        <v>83.302522482755748</v>
      </c>
      <c r="I383" s="712">
        <f>Bilans_E_AMS_Kyoto_run3_MTE!M496</f>
        <v>0</v>
      </c>
      <c r="J383" s="712">
        <f>Bilans_E_AMS_Kyoto_run3_MTE!N496</f>
        <v>0</v>
      </c>
      <c r="K383" s="712">
        <f>Bilans_E_AMS_Kyoto_run3_MTE!O496</f>
        <v>0</v>
      </c>
      <c r="L383" s="712">
        <f>Bilans_E_AMS_Kyoto_run3_MTE!P496</f>
        <v>8.1136608848584615</v>
      </c>
      <c r="M383" s="712">
        <f>Bilans_E_AMS_Kyoto_run3_MTE!Q496</f>
        <v>0</v>
      </c>
      <c r="N383" s="712">
        <f>Bilans_E_AMS_Kyoto_run3_MTE!R496</f>
        <v>3.6899916266640176</v>
      </c>
      <c r="O383" s="712">
        <f>Bilans_E_AMS_Kyoto_run3_MTE!S496</f>
        <v>0</v>
      </c>
      <c r="P383" s="712">
        <f>Bilans_E_AMS_Kyoto_run3_MTE!T496+Bilans_E_AMS_Kyoto_run3_MTE!U496</f>
        <v>0</v>
      </c>
      <c r="Q383" s="712">
        <f>Bilans_E_AMS_Kyoto_run3_MTE!V496</f>
        <v>0</v>
      </c>
      <c r="R383" s="712">
        <f>Bilans_E_AMS_Kyoto_run3_MTE!W496</f>
        <v>0</v>
      </c>
      <c r="S383" s="712">
        <f>Bilans_E_AMS_Kyoto_run3_MTE!X496</f>
        <v>0</v>
      </c>
      <c r="T383" s="712">
        <f>Bilans_E_AMS_Kyoto_run3_MTE!Y496</f>
        <v>0</v>
      </c>
      <c r="U383" s="712">
        <f>Bilans_E_AMS_Kyoto_run3_MTE!Z496</f>
        <v>272.70696132613381</v>
      </c>
      <c r="V383" s="701"/>
      <c r="W383" s="701"/>
    </row>
    <row r="384" spans="1:23" x14ac:dyDescent="0.25">
      <c r="A384" s="701" t="s">
        <v>489</v>
      </c>
      <c r="B384" s="701"/>
      <c r="C384" s="710" t="s">
        <v>61</v>
      </c>
      <c r="D384" s="712">
        <f>Bilans_E_AMS_Kyoto_run3_MTE!H497</f>
        <v>0</v>
      </c>
      <c r="E384" s="712">
        <f>Bilans_E_AMS_Kyoto_run3_MTE!I497</f>
        <v>0</v>
      </c>
      <c r="F384" s="712">
        <f>Bilans_E_AMS_Kyoto_run3_MTE!J497</f>
        <v>0</v>
      </c>
      <c r="G384" s="712">
        <f>Bilans_E_AMS_Kyoto_run3_MTE!K497</f>
        <v>0</v>
      </c>
      <c r="H384" s="712">
        <f>Bilans_E_AMS_Kyoto_run3_MTE!L497</f>
        <v>0</v>
      </c>
      <c r="I384" s="712">
        <f>Bilans_E_AMS_Kyoto_run3_MTE!M497</f>
        <v>0</v>
      </c>
      <c r="J384" s="712">
        <f>Bilans_E_AMS_Kyoto_run3_MTE!N497</f>
        <v>0</v>
      </c>
      <c r="K384" s="712">
        <f>Bilans_E_AMS_Kyoto_run3_MTE!O497</f>
        <v>0</v>
      </c>
      <c r="L384" s="712">
        <f>Bilans_E_AMS_Kyoto_run3_MTE!P497</f>
        <v>0</v>
      </c>
      <c r="M384" s="712">
        <f>Bilans_E_AMS_Kyoto_run3_MTE!Q497</f>
        <v>0</v>
      </c>
      <c r="N384" s="712">
        <f>Bilans_E_AMS_Kyoto_run3_MTE!R497</f>
        <v>0</v>
      </c>
      <c r="O384" s="712">
        <f>Bilans_E_AMS_Kyoto_run3_MTE!S497</f>
        <v>-20.664907066692336</v>
      </c>
      <c r="P384" s="712">
        <f>Bilans_E_AMS_Kyoto_run3_MTE!T497+Bilans_E_AMS_Kyoto_run3_MTE!U497</f>
        <v>0</v>
      </c>
      <c r="Q384" s="712">
        <f>Bilans_E_AMS_Kyoto_run3_MTE!V497</f>
        <v>0</v>
      </c>
      <c r="R384" s="712">
        <f>Bilans_E_AMS_Kyoto_run3_MTE!W497</f>
        <v>-64.652591069811592</v>
      </c>
      <c r="S384" s="712">
        <f>Bilans_E_AMS_Kyoto_run3_MTE!X497</f>
        <v>0</v>
      </c>
      <c r="T384" s="712">
        <f>Bilans_E_AMS_Kyoto_run3_MTE!Y497</f>
        <v>0</v>
      </c>
      <c r="U384" s="712">
        <f>Bilans_E_AMS_Kyoto_run3_MTE!Z497</f>
        <v>-85.317498136503929</v>
      </c>
      <c r="V384" s="701"/>
      <c r="W384" s="701"/>
    </row>
    <row r="385" spans="1:23" x14ac:dyDescent="0.25">
      <c r="A385" s="701" t="s">
        <v>490</v>
      </c>
      <c r="B385" s="701"/>
      <c r="C385" s="710" t="s">
        <v>62</v>
      </c>
      <c r="D385" s="711">
        <f>Bilans_E_AMS_Kyoto_run3_MTE!H498</f>
        <v>0</v>
      </c>
      <c r="E385" s="711">
        <f>Bilans_E_AMS_Kyoto_run3_MTE!I498</f>
        <v>0</v>
      </c>
      <c r="F385" s="711">
        <f>Bilans_E_AMS_Kyoto_run3_MTE!J498</f>
        <v>-2.6430279181443233</v>
      </c>
      <c r="G385" s="711">
        <f>Bilans_E_AMS_Kyoto_run3_MTE!K498</f>
        <v>-2.1194862177251581</v>
      </c>
      <c r="H385" s="711">
        <f>Bilans_E_AMS_Kyoto_run3_MTE!L498</f>
        <v>0</v>
      </c>
      <c r="I385" s="711">
        <f>Bilans_E_AMS_Kyoto_run3_MTE!M498</f>
        <v>-2.4085070655967704</v>
      </c>
      <c r="J385" s="711">
        <f>Bilans_E_AMS_Kyoto_run3_MTE!N498</f>
        <v>0</v>
      </c>
      <c r="K385" s="711">
        <f>Bilans_E_AMS_Kyoto_run3_MTE!O498</f>
        <v>0</v>
      </c>
      <c r="L385" s="711">
        <f>Bilans_E_AMS_Kyoto_run3_MTE!P498</f>
        <v>0</v>
      </c>
      <c r="M385" s="711">
        <f>Bilans_E_AMS_Kyoto_run3_MTE!Q498</f>
        <v>0</v>
      </c>
      <c r="N385" s="711">
        <f>Bilans_E_AMS_Kyoto_run3_MTE!R498</f>
        <v>0</v>
      </c>
      <c r="O385" s="711">
        <f>Bilans_E_AMS_Kyoto_run3_MTE!S498</f>
        <v>-1.4769404520417975</v>
      </c>
      <c r="P385" s="711">
        <f>Bilans_E_AMS_Kyoto_run3_MTE!T498+Bilans_E_AMS_Kyoto_run3_MTE!U498</f>
        <v>0</v>
      </c>
      <c r="Q385" s="711">
        <f>Bilans_E_AMS_Kyoto_run3_MTE!V498</f>
        <v>0</v>
      </c>
      <c r="R385" s="711">
        <f>Bilans_E_AMS_Kyoto_run3_MTE!W498</f>
        <v>0</v>
      </c>
      <c r="S385" s="711">
        <f>Bilans_E_AMS_Kyoto_run3_MTE!X498</f>
        <v>0</v>
      </c>
      <c r="T385" s="711">
        <f>Bilans_E_AMS_Kyoto_run3_MTE!Y498</f>
        <v>-0.99606248425254151</v>
      </c>
      <c r="U385" s="711">
        <f>Bilans_E_AMS_Kyoto_run3_MTE!Z498</f>
        <v>-9.6440241377605904</v>
      </c>
      <c r="V385" s="701"/>
      <c r="W385" s="701"/>
    </row>
    <row r="386" spans="1:23" x14ac:dyDescent="0.25">
      <c r="A386" s="701" t="s">
        <v>491</v>
      </c>
      <c r="B386" s="701"/>
      <c r="C386" s="710" t="s">
        <v>63</v>
      </c>
      <c r="D386" s="711">
        <f>Bilans_E_AMS_Kyoto_run3_MTE!H499</f>
        <v>0</v>
      </c>
      <c r="E386" s="711">
        <f>Bilans_E_AMS_Kyoto_run3_MTE!I499</f>
        <v>0</v>
      </c>
      <c r="F386" s="711">
        <f>Bilans_E_AMS_Kyoto_run3_MTE!J499</f>
        <v>-26.999999999999996</v>
      </c>
      <c r="G386" s="711">
        <f>Bilans_E_AMS_Kyoto_run3_MTE!K499</f>
        <v>-16</v>
      </c>
      <c r="H386" s="711">
        <f>Bilans_E_AMS_Kyoto_run3_MTE!L499</f>
        <v>0</v>
      </c>
      <c r="I386" s="711">
        <f>Bilans_E_AMS_Kyoto_run3_MTE!M499</f>
        <v>0</v>
      </c>
      <c r="J386" s="711">
        <f>Bilans_E_AMS_Kyoto_run3_MTE!N499</f>
        <v>0</v>
      </c>
      <c r="K386" s="711">
        <f>Bilans_E_AMS_Kyoto_run3_MTE!O499</f>
        <v>0</v>
      </c>
      <c r="L386" s="711">
        <f>Bilans_E_AMS_Kyoto_run3_MTE!P499</f>
        <v>0</v>
      </c>
      <c r="M386" s="711">
        <f>Bilans_E_AMS_Kyoto_run3_MTE!Q499</f>
        <v>0</v>
      </c>
      <c r="N386" s="711">
        <f>Bilans_E_AMS_Kyoto_run3_MTE!R499</f>
        <v>-16</v>
      </c>
      <c r="O386" s="711">
        <f>Bilans_E_AMS_Kyoto_run3_MTE!S499</f>
        <v>0</v>
      </c>
      <c r="P386" s="711">
        <f>Bilans_E_AMS_Kyoto_run3_MTE!T499+Bilans_E_AMS_Kyoto_run3_MTE!U499</f>
        <v>0</v>
      </c>
      <c r="Q386" s="711">
        <f>Bilans_E_AMS_Kyoto_run3_MTE!V499</f>
        <v>0</v>
      </c>
      <c r="R386" s="711">
        <f>Bilans_E_AMS_Kyoto_run3_MTE!W499</f>
        <v>0</v>
      </c>
      <c r="S386" s="711">
        <f>Bilans_E_AMS_Kyoto_run3_MTE!X499</f>
        <v>0</v>
      </c>
      <c r="T386" s="711">
        <f>Bilans_E_AMS_Kyoto_run3_MTE!Y499</f>
        <v>-5</v>
      </c>
      <c r="U386" s="711">
        <f>Bilans_E_AMS_Kyoto_run3_MTE!Z499</f>
        <v>-64</v>
      </c>
      <c r="V386" s="701"/>
      <c r="W386" s="701"/>
    </row>
    <row r="387" spans="1:23" x14ac:dyDescent="0.25">
      <c r="A387" s="701" t="s">
        <v>492</v>
      </c>
      <c r="B387" s="701"/>
      <c r="C387" s="710" t="s">
        <v>64</v>
      </c>
      <c r="D387" s="712">
        <f>Bilans_E_AMS_Kyoto_run3_MTE!H500</f>
        <v>0</v>
      </c>
      <c r="E387" s="712">
        <f>Bilans_E_AMS_Kyoto_run3_MTE!I500</f>
        <v>0</v>
      </c>
      <c r="F387" s="712">
        <f>Bilans_E_AMS_Kyoto_run3_MTE!J500</f>
        <v>0</v>
      </c>
      <c r="G387" s="712">
        <f>Bilans_E_AMS_Kyoto_run3_MTE!K500</f>
        <v>0</v>
      </c>
      <c r="H387" s="712">
        <f>Bilans_E_AMS_Kyoto_run3_MTE!L500</f>
        <v>0</v>
      </c>
      <c r="I387" s="712">
        <f>Bilans_E_AMS_Kyoto_run3_MTE!M500</f>
        <v>0</v>
      </c>
      <c r="J387" s="712">
        <f>Bilans_E_AMS_Kyoto_run3_MTE!N500</f>
        <v>0</v>
      </c>
      <c r="K387" s="712">
        <f>Bilans_E_AMS_Kyoto_run3_MTE!O500</f>
        <v>0</v>
      </c>
      <c r="L387" s="712">
        <f>Bilans_E_AMS_Kyoto_run3_MTE!P500</f>
        <v>0</v>
      </c>
      <c r="M387" s="712">
        <f>Bilans_E_AMS_Kyoto_run3_MTE!Q500</f>
        <v>0</v>
      </c>
      <c r="N387" s="712">
        <f>Bilans_E_AMS_Kyoto_run3_MTE!R500</f>
        <v>0</v>
      </c>
      <c r="O387" s="712">
        <f>Bilans_E_AMS_Kyoto_run3_MTE!S500</f>
        <v>0</v>
      </c>
      <c r="P387" s="712">
        <f>Bilans_E_AMS_Kyoto_run3_MTE!T500+Bilans_E_AMS_Kyoto_run3_MTE!U500</f>
        <v>0</v>
      </c>
      <c r="Q387" s="712">
        <f>Bilans_E_AMS_Kyoto_run3_MTE!V500</f>
        <v>0</v>
      </c>
      <c r="R387" s="712">
        <f>Bilans_E_AMS_Kyoto_run3_MTE!W500</f>
        <v>0</v>
      </c>
      <c r="S387" s="712">
        <f>Bilans_E_AMS_Kyoto_run3_MTE!X500</f>
        <v>0</v>
      </c>
      <c r="T387" s="712">
        <f>Bilans_E_AMS_Kyoto_run3_MTE!Y500</f>
        <v>0</v>
      </c>
      <c r="U387" s="712">
        <f>Bilans_E_AMS_Kyoto_run3_MTE!Z500</f>
        <v>0</v>
      </c>
      <c r="V387" s="701"/>
      <c r="W387" s="701"/>
    </row>
    <row r="388" spans="1:23" x14ac:dyDescent="0.25">
      <c r="A388" s="701" t="s">
        <v>493</v>
      </c>
      <c r="B388" s="701"/>
      <c r="C388" s="713" t="s">
        <v>65</v>
      </c>
      <c r="D388" s="714">
        <f>Bilans_E_AMS_Kyoto_run3_MTE!H501</f>
        <v>7.2040588378906256E-2</v>
      </c>
      <c r="E388" s="714">
        <f>Bilans_E_AMS_Kyoto_run3_MTE!I501</f>
        <v>143.57372262348443</v>
      </c>
      <c r="F388" s="714">
        <f>Bilans_E_AMS_Kyoto_run3_MTE!J501</f>
        <v>-4.6781896618893128</v>
      </c>
      <c r="G388" s="714">
        <f>Bilans_E_AMS_Kyoto_run3_MTE!K501</f>
        <v>-9.1293013539879198</v>
      </c>
      <c r="H388" s="714">
        <f>Bilans_E_AMS_Kyoto_run3_MTE!L501</f>
        <v>83.302522482755748</v>
      </c>
      <c r="I388" s="714">
        <f>Bilans_E_AMS_Kyoto_run3_MTE!M501</f>
        <v>-2.4085070655967704</v>
      </c>
      <c r="J388" s="714">
        <f>Bilans_E_AMS_Kyoto_run3_MTE!N501</f>
        <v>1021.1177956869142</v>
      </c>
      <c r="K388" s="714">
        <f>Bilans_E_AMS_Kyoto_run3_MTE!O501</f>
        <v>462.06687945929309</v>
      </c>
      <c r="L388" s="714">
        <f>Bilans_E_AMS_Kyoto_run3_MTE!P501</f>
        <v>388.96686213547946</v>
      </c>
      <c r="M388" s="714">
        <f>Bilans_E_AMS_Kyoto_run3_MTE!Q501</f>
        <v>45.488439305040814</v>
      </c>
      <c r="N388" s="714">
        <f>Bilans_E_AMS_Kyoto_run3_MTE!R501</f>
        <v>-12.310008373335982</v>
      </c>
      <c r="O388" s="714">
        <f>Bilans_E_AMS_Kyoto_run3_MTE!S501</f>
        <v>-22.141847518734135</v>
      </c>
      <c r="P388" s="714">
        <f>Bilans_E_AMS_Kyoto_run3_MTE!T501+Bilans_E_AMS_Kyoto_run3_MTE!U501</f>
        <v>241.4786584909825</v>
      </c>
      <c r="Q388" s="714">
        <f>Bilans_E_AMS_Kyoto_run3_MTE!V501</f>
        <v>44.619368166332919</v>
      </c>
      <c r="R388" s="714">
        <f>Bilans_E_AMS_Kyoto_run3_MTE!W501</f>
        <v>-64.652591069811592</v>
      </c>
      <c r="S388" s="714">
        <f>Bilans_E_AMS_Kyoto_run3_MTE!X501</f>
        <v>0</v>
      </c>
      <c r="T388" s="714">
        <f>Bilans_E_AMS_Kyoto_run3_MTE!Y501</f>
        <v>-5.9960624842525414</v>
      </c>
      <c r="U388" s="714">
        <f>Bilans_E_AMS_Kyoto_run3_MTE!Z501</f>
        <v>2309.3697814110537</v>
      </c>
      <c r="V388" s="701"/>
      <c r="W388" s="701"/>
    </row>
    <row r="389" spans="1:23" x14ac:dyDescent="0.25">
      <c r="A389" s="701"/>
      <c r="B389" s="701"/>
      <c r="C389" s="715"/>
      <c r="D389" s="716"/>
      <c r="E389" s="716"/>
      <c r="F389" s="716"/>
      <c r="G389" s="716"/>
      <c r="H389" s="716"/>
      <c r="I389" s="716"/>
      <c r="J389" s="716"/>
      <c r="K389" s="716"/>
      <c r="L389" s="716"/>
      <c r="M389" s="716"/>
      <c r="N389" s="716"/>
      <c r="O389" s="716"/>
      <c r="P389" s="716">
        <f>Bilans_E_AMS_Kyoto_run3_MTE!T502+Bilans_E_AMS_Kyoto_run3_MTE!U502</f>
        <v>0</v>
      </c>
      <c r="Q389" s="716"/>
      <c r="R389" s="716"/>
      <c r="S389" s="716"/>
      <c r="T389" s="716"/>
      <c r="U389" s="716"/>
      <c r="V389" s="701"/>
      <c r="W389" s="701"/>
    </row>
    <row r="390" spans="1:23" x14ac:dyDescent="0.25">
      <c r="A390" s="701" t="s">
        <v>494</v>
      </c>
      <c r="B390" s="701"/>
      <c r="C390" s="717" t="s">
        <v>67</v>
      </c>
      <c r="D390" s="711">
        <f>Bilans_E_AMS_Kyoto_run3_MTE!H503</f>
        <v>0</v>
      </c>
      <c r="E390" s="711">
        <f>Bilans_E_AMS_Kyoto_run3_MTE!I503</f>
        <v>0</v>
      </c>
      <c r="F390" s="711">
        <f>Bilans_E_AMS_Kyoto_run3_MTE!J503</f>
        <v>0</v>
      </c>
      <c r="G390" s="711">
        <f>Bilans_E_AMS_Kyoto_run3_MTE!K503</f>
        <v>0</v>
      </c>
      <c r="H390" s="711">
        <f>Bilans_E_AMS_Kyoto_run3_MTE!L503</f>
        <v>0</v>
      </c>
      <c r="I390" s="711">
        <f>Bilans_E_AMS_Kyoto_run3_MTE!M503</f>
        <v>0</v>
      </c>
      <c r="J390" s="711">
        <f>Bilans_E_AMS_Kyoto_run3_MTE!N503</f>
        <v>0</v>
      </c>
      <c r="K390" s="711">
        <f>Bilans_E_AMS_Kyoto_run3_MTE!O503</f>
        <v>0</v>
      </c>
      <c r="L390" s="711">
        <f>Bilans_E_AMS_Kyoto_run3_MTE!P503</f>
        <v>0</v>
      </c>
      <c r="M390" s="711">
        <f>Bilans_E_AMS_Kyoto_run3_MTE!Q503</f>
        <v>0</v>
      </c>
      <c r="N390" s="711">
        <f>Bilans_E_AMS_Kyoto_run3_MTE!R503</f>
        <v>0</v>
      </c>
      <c r="O390" s="711">
        <f>Bilans_E_AMS_Kyoto_run3_MTE!S503</f>
        <v>0</v>
      </c>
      <c r="P390" s="711">
        <f>Bilans_E_AMS_Kyoto_run3_MTE!T503+Bilans_E_AMS_Kyoto_run3_MTE!U503</f>
        <v>0</v>
      </c>
      <c r="Q390" s="711">
        <f>Bilans_E_AMS_Kyoto_run3_MTE!V503</f>
        <v>0</v>
      </c>
      <c r="R390" s="711">
        <f>Bilans_E_AMS_Kyoto_run3_MTE!W503</f>
        <v>0</v>
      </c>
      <c r="S390" s="711">
        <f>Bilans_E_AMS_Kyoto_run3_MTE!X503</f>
        <v>0</v>
      </c>
      <c r="T390" s="711">
        <f>Bilans_E_AMS_Kyoto_run3_MTE!Y503</f>
        <v>0</v>
      </c>
      <c r="U390" s="711">
        <f>Bilans_E_AMS_Kyoto_run3_MTE!Z503</f>
        <v>0</v>
      </c>
      <c r="V390" s="701"/>
      <c r="W390" s="701"/>
    </row>
    <row r="391" spans="1:23" x14ac:dyDescent="0.25">
      <c r="A391" s="701" t="s">
        <v>495</v>
      </c>
      <c r="B391" s="701"/>
      <c r="C391" s="717" t="s">
        <v>347</v>
      </c>
      <c r="D391" s="711">
        <f>Bilans_E_AMS_Kyoto_run3_MTE!H504</f>
        <v>0</v>
      </c>
      <c r="E391" s="711">
        <f>Bilans_E_AMS_Kyoto_run3_MTE!I504</f>
        <v>0</v>
      </c>
      <c r="F391" s="711">
        <f>Bilans_E_AMS_Kyoto_run3_MTE!J504</f>
        <v>0</v>
      </c>
      <c r="G391" s="711">
        <f>Bilans_E_AMS_Kyoto_run3_MTE!K504</f>
        <v>0</v>
      </c>
      <c r="H391" s="711">
        <f>Bilans_E_AMS_Kyoto_run3_MTE!L504</f>
        <v>2.2309947234042489E-3</v>
      </c>
      <c r="I391" s="711">
        <f>Bilans_E_AMS_Kyoto_run3_MTE!M504</f>
        <v>0</v>
      </c>
      <c r="J391" s="711">
        <f>Bilans_E_AMS_Kyoto_run3_MTE!N504</f>
        <v>1014.6070909090909</v>
      </c>
      <c r="K391" s="711">
        <f>Bilans_E_AMS_Kyoto_run3_MTE!O504</f>
        <v>462.06687945929309</v>
      </c>
      <c r="L391" s="711">
        <f>Bilans_E_AMS_Kyoto_run3_MTE!P504</f>
        <v>17.968425297338086</v>
      </c>
      <c r="M391" s="711">
        <f>Bilans_E_AMS_Kyoto_run3_MTE!Q504</f>
        <v>5.3124785537967538</v>
      </c>
      <c r="N391" s="711">
        <f>Bilans_E_AMS_Kyoto_run3_MTE!R504</f>
        <v>6.3451610040287907</v>
      </c>
      <c r="O391" s="711">
        <f>Bilans_E_AMS_Kyoto_run3_MTE!S504</f>
        <v>0.11597760068741178</v>
      </c>
      <c r="P391" s="711">
        <f>Bilans_E_AMS_Kyoto_run3_MTE!T504+Bilans_E_AMS_Kyoto_run3_MTE!U504</f>
        <v>0</v>
      </c>
      <c r="Q391" s="711">
        <f>Bilans_E_AMS_Kyoto_run3_MTE!V504</f>
        <v>6.4766550958451852</v>
      </c>
      <c r="R391" s="711">
        <f>Bilans_E_AMS_Kyoto_run3_MTE!W504</f>
        <v>-813.99806516168439</v>
      </c>
      <c r="S391" s="711">
        <f>Bilans_E_AMS_Kyoto_run3_MTE!X504</f>
        <v>0</v>
      </c>
      <c r="T391" s="711">
        <f>Bilans_E_AMS_Kyoto_run3_MTE!Y504</f>
        <v>0</v>
      </c>
      <c r="U391" s="711">
        <f>Bilans_E_AMS_Kyoto_run3_MTE!Z504</f>
        <v>698.89683375311927</v>
      </c>
      <c r="V391" s="701"/>
      <c r="W391" s="701"/>
    </row>
    <row r="392" spans="1:23" x14ac:dyDescent="0.25">
      <c r="A392" s="701" t="s">
        <v>496</v>
      </c>
      <c r="B392" s="701"/>
      <c r="C392" s="717" t="s">
        <v>348</v>
      </c>
      <c r="D392" s="711">
        <f>Bilans_E_AMS_Kyoto_run3_MTE!H505</f>
        <v>0</v>
      </c>
      <c r="E392" s="711">
        <f>Bilans_E_AMS_Kyoto_run3_MTE!I505</f>
        <v>0</v>
      </c>
      <c r="F392" s="711">
        <f>Bilans_E_AMS_Kyoto_run3_MTE!J505</f>
        <v>0</v>
      </c>
      <c r="G392" s="711">
        <f>Bilans_E_AMS_Kyoto_run3_MTE!K505</f>
        <v>0</v>
      </c>
      <c r="H392" s="711">
        <f>Bilans_E_AMS_Kyoto_run3_MTE!L505</f>
        <v>10.095185583157674</v>
      </c>
      <c r="I392" s="711">
        <f>Bilans_E_AMS_Kyoto_run3_MTE!M505</f>
        <v>0.18354882878468498</v>
      </c>
      <c r="J392" s="711">
        <f>Bilans_E_AMS_Kyoto_run3_MTE!N505</f>
        <v>6.5107047778232934</v>
      </c>
      <c r="K392" s="711">
        <f>Bilans_E_AMS_Kyoto_run3_MTE!O505</f>
        <v>0</v>
      </c>
      <c r="L392" s="711">
        <f>Bilans_E_AMS_Kyoto_run3_MTE!P505</f>
        <v>23.787457206103085</v>
      </c>
      <c r="M392" s="711">
        <f>Bilans_E_AMS_Kyoto_run3_MTE!Q505</f>
        <v>12.007971884882547</v>
      </c>
      <c r="N392" s="711">
        <f>Bilans_E_AMS_Kyoto_run3_MTE!R505</f>
        <v>0</v>
      </c>
      <c r="O392" s="711">
        <f>Bilans_E_AMS_Kyoto_run3_MTE!S505</f>
        <v>8.0912599085817618</v>
      </c>
      <c r="P392" s="711">
        <f>Bilans_E_AMS_Kyoto_run3_MTE!T505+Bilans_E_AMS_Kyoto_run3_MTE!U505</f>
        <v>19.703135322463453</v>
      </c>
      <c r="Q392" s="711">
        <f>Bilans_E_AMS_Kyoto_run3_MTE!V505</f>
        <v>12.221648755322821</v>
      </c>
      <c r="R392" s="711">
        <f>Bilans_E_AMS_Kyoto_run3_MTE!W505</f>
        <v>0</v>
      </c>
      <c r="S392" s="711">
        <f>Bilans_E_AMS_Kyoto_run3_MTE!X505</f>
        <v>-86.369990218724851</v>
      </c>
      <c r="T392" s="711">
        <f>Bilans_E_AMS_Kyoto_run3_MTE!Y505</f>
        <v>0</v>
      </c>
      <c r="U392" s="711">
        <f>Bilans_E_AMS_Kyoto_run3_MTE!Z505</f>
        <v>6.2309220483944614</v>
      </c>
      <c r="V392" s="701"/>
      <c r="W392" s="701"/>
    </row>
    <row r="393" spans="1:23" x14ac:dyDescent="0.25">
      <c r="A393" s="701" t="s">
        <v>497</v>
      </c>
      <c r="B393" s="701"/>
      <c r="C393" s="717" t="s">
        <v>349</v>
      </c>
      <c r="D393" s="711">
        <f>Bilans_E_AMS_Kyoto_run3_MTE!H506</f>
        <v>0</v>
      </c>
      <c r="E393" s="711">
        <f>Bilans_E_AMS_Kyoto_run3_MTE!I506</f>
        <v>0</v>
      </c>
      <c r="F393" s="711">
        <f>Bilans_E_AMS_Kyoto_run3_MTE!J506</f>
        <v>0</v>
      </c>
      <c r="G393" s="711">
        <f>Bilans_E_AMS_Kyoto_run3_MTE!K506</f>
        <v>0</v>
      </c>
      <c r="H393" s="711">
        <f>Bilans_E_AMS_Kyoto_run3_MTE!L506</f>
        <v>0</v>
      </c>
      <c r="I393" s="711">
        <f>Bilans_E_AMS_Kyoto_run3_MTE!M506</f>
        <v>0</v>
      </c>
      <c r="J393" s="711">
        <f>Bilans_E_AMS_Kyoto_run3_MTE!N506</f>
        <v>0</v>
      </c>
      <c r="K393" s="711">
        <f>Bilans_E_AMS_Kyoto_run3_MTE!O506</f>
        <v>0</v>
      </c>
      <c r="L393" s="711">
        <f>Bilans_E_AMS_Kyoto_run3_MTE!P506</f>
        <v>149.36314864907311</v>
      </c>
      <c r="M393" s="711">
        <f>Bilans_E_AMS_Kyoto_run3_MTE!Q506</f>
        <v>12.851297568088029</v>
      </c>
      <c r="N393" s="711">
        <f>Bilans_E_AMS_Kyoto_run3_MTE!R506</f>
        <v>0</v>
      </c>
      <c r="O393" s="711">
        <f>Bilans_E_AMS_Kyoto_run3_MTE!S506</f>
        <v>-81.192550335578574</v>
      </c>
      <c r="P393" s="711">
        <f>Bilans_E_AMS_Kyoto_run3_MTE!T506+Bilans_E_AMS_Kyoto_run3_MTE!U506</f>
        <v>0</v>
      </c>
      <c r="Q393" s="711">
        <f>Bilans_E_AMS_Kyoto_run3_MTE!V506</f>
        <v>0</v>
      </c>
      <c r="R393" s="711">
        <f>Bilans_E_AMS_Kyoto_run3_MTE!W506</f>
        <v>0</v>
      </c>
      <c r="S393" s="711">
        <f>Bilans_E_AMS_Kyoto_run3_MTE!X506</f>
        <v>0</v>
      </c>
      <c r="T393" s="711">
        <f>Bilans_E_AMS_Kyoto_run3_MTE!Y506</f>
        <v>0</v>
      </c>
      <c r="U393" s="711">
        <f>Bilans_E_AMS_Kyoto_run3_MTE!Z506</f>
        <v>81.021895881582566</v>
      </c>
      <c r="V393" s="701"/>
      <c r="W393" s="701"/>
    </row>
    <row r="394" spans="1:23" x14ac:dyDescent="0.25">
      <c r="A394" s="701" t="s">
        <v>498</v>
      </c>
      <c r="B394" s="701"/>
      <c r="C394" s="717" t="s">
        <v>350</v>
      </c>
      <c r="D394" s="711">
        <f>Bilans_E_AMS_Kyoto_run3_MTE!H507</f>
        <v>0</v>
      </c>
      <c r="E394" s="711">
        <f>Bilans_E_AMS_Kyoto_run3_MTE!I507</f>
        <v>0</v>
      </c>
      <c r="F394" s="711">
        <f>Bilans_E_AMS_Kyoto_run3_MTE!J507</f>
        <v>0</v>
      </c>
      <c r="G394" s="711">
        <f>Bilans_E_AMS_Kyoto_run3_MTE!K507</f>
        <v>0</v>
      </c>
      <c r="H394" s="711">
        <f>Bilans_E_AMS_Kyoto_run3_MTE!L507</f>
        <v>0</v>
      </c>
      <c r="I394" s="711">
        <f>Bilans_E_AMS_Kyoto_run3_MTE!M507</f>
        <v>-3.7466899829342335</v>
      </c>
      <c r="J394" s="711">
        <f>Bilans_E_AMS_Kyoto_run3_MTE!N507</f>
        <v>0</v>
      </c>
      <c r="K394" s="711">
        <f>Bilans_E_AMS_Kyoto_run3_MTE!O507</f>
        <v>0</v>
      </c>
      <c r="L394" s="711">
        <f>Bilans_E_AMS_Kyoto_run3_MTE!P507</f>
        <v>0</v>
      </c>
      <c r="M394" s="711">
        <f>Bilans_E_AMS_Kyoto_run3_MTE!Q507</f>
        <v>0</v>
      </c>
      <c r="N394" s="711">
        <f>Bilans_E_AMS_Kyoto_run3_MTE!R507</f>
        <v>0</v>
      </c>
      <c r="O394" s="711">
        <f>Bilans_E_AMS_Kyoto_run3_MTE!S507</f>
        <v>0</v>
      </c>
      <c r="P394" s="711">
        <f>Bilans_E_AMS_Kyoto_run3_MTE!T507+Bilans_E_AMS_Kyoto_run3_MTE!U507</f>
        <v>0</v>
      </c>
      <c r="Q394" s="711">
        <f>Bilans_E_AMS_Kyoto_run3_MTE!V507</f>
        <v>0</v>
      </c>
      <c r="R394" s="711">
        <f>Bilans_E_AMS_Kyoto_run3_MTE!W507</f>
        <v>0</v>
      </c>
      <c r="S394" s="711">
        <f>Bilans_E_AMS_Kyoto_run3_MTE!X507</f>
        <v>0</v>
      </c>
      <c r="T394" s="711">
        <f>Bilans_E_AMS_Kyoto_run3_MTE!Y507</f>
        <v>5.1930977473126321</v>
      </c>
      <c r="U394" s="711">
        <f>Bilans_E_AMS_Kyoto_run3_MTE!Z507</f>
        <v>1.4464077643783986</v>
      </c>
      <c r="V394" s="701"/>
      <c r="W394" s="701"/>
    </row>
    <row r="395" spans="1:23" x14ac:dyDescent="0.25">
      <c r="A395" s="701" t="s">
        <v>499</v>
      </c>
      <c r="B395" s="701"/>
      <c r="C395" s="717" t="s">
        <v>72</v>
      </c>
      <c r="D395" s="711">
        <f>Bilans_E_AMS_Kyoto_run3_MTE!H508</f>
        <v>0</v>
      </c>
      <c r="E395" s="711">
        <f>Bilans_E_AMS_Kyoto_run3_MTE!I508</f>
        <v>148.77345828425325</v>
      </c>
      <c r="F395" s="711">
        <f>Bilans_E_AMS_Kyoto_run3_MTE!J508</f>
        <v>-147.28572370141072</v>
      </c>
      <c r="G395" s="711">
        <f>Bilans_E_AMS_Kyoto_run3_MTE!K508</f>
        <v>0</v>
      </c>
      <c r="H395" s="711">
        <f>Bilans_E_AMS_Kyoto_run3_MTE!L508</f>
        <v>0</v>
      </c>
      <c r="I395" s="711">
        <f>Bilans_E_AMS_Kyoto_run3_MTE!M508</f>
        <v>0</v>
      </c>
      <c r="J395" s="711">
        <f>Bilans_E_AMS_Kyoto_run3_MTE!N508</f>
        <v>0</v>
      </c>
      <c r="K395" s="711">
        <f>Bilans_E_AMS_Kyoto_run3_MTE!O508</f>
        <v>0</v>
      </c>
      <c r="L395" s="711">
        <f>Bilans_E_AMS_Kyoto_run3_MTE!P508</f>
        <v>0</v>
      </c>
      <c r="M395" s="711">
        <f>Bilans_E_AMS_Kyoto_run3_MTE!Q508</f>
        <v>0</v>
      </c>
      <c r="N395" s="711">
        <f>Bilans_E_AMS_Kyoto_run3_MTE!R508</f>
        <v>0</v>
      </c>
      <c r="O395" s="711">
        <f>Bilans_E_AMS_Kyoto_run3_MTE!S508</f>
        <v>0</v>
      </c>
      <c r="P395" s="711">
        <f>Bilans_E_AMS_Kyoto_run3_MTE!T508+Bilans_E_AMS_Kyoto_run3_MTE!U508</f>
        <v>0</v>
      </c>
      <c r="Q395" s="711">
        <f>Bilans_E_AMS_Kyoto_run3_MTE!V508</f>
        <v>0</v>
      </c>
      <c r="R395" s="711">
        <f>Bilans_E_AMS_Kyoto_run3_MTE!W508</f>
        <v>0</v>
      </c>
      <c r="S395" s="711">
        <f>Bilans_E_AMS_Kyoto_run3_MTE!X508</f>
        <v>0</v>
      </c>
      <c r="T395" s="711">
        <f>Bilans_E_AMS_Kyoto_run3_MTE!Y508</f>
        <v>0</v>
      </c>
      <c r="U395" s="711">
        <f>Bilans_E_AMS_Kyoto_run3_MTE!Z508</f>
        <v>1.4877345828425348</v>
      </c>
      <c r="V395" s="701"/>
      <c r="W395" s="701"/>
    </row>
    <row r="396" spans="1:23" x14ac:dyDescent="0.25">
      <c r="A396" s="701" t="s">
        <v>500</v>
      </c>
      <c r="B396" s="701"/>
      <c r="C396" s="717" t="s">
        <v>351</v>
      </c>
      <c r="D396" s="711">
        <f>Bilans_E_AMS_Kyoto_run3_MTE!H509</f>
        <v>0</v>
      </c>
      <c r="E396" s="711">
        <f>Bilans_E_AMS_Kyoto_run3_MTE!I509</f>
        <v>0</v>
      </c>
      <c r="F396" s="711">
        <f>Bilans_E_AMS_Kyoto_run3_MTE!J509</f>
        <v>0</v>
      </c>
      <c r="G396" s="711">
        <f>Bilans_E_AMS_Kyoto_run3_MTE!K509</f>
        <v>0</v>
      </c>
      <c r="H396" s="711">
        <f>Bilans_E_AMS_Kyoto_run3_MTE!L509</f>
        <v>0</v>
      </c>
      <c r="I396" s="711">
        <f>Bilans_E_AMS_Kyoto_run3_MTE!M509</f>
        <v>0</v>
      </c>
      <c r="J396" s="711">
        <f>Bilans_E_AMS_Kyoto_run3_MTE!N509</f>
        <v>0</v>
      </c>
      <c r="K396" s="711">
        <f>Bilans_E_AMS_Kyoto_run3_MTE!O509</f>
        <v>0</v>
      </c>
      <c r="L396" s="711">
        <f>Bilans_E_AMS_Kyoto_run3_MTE!P509</f>
        <v>102.29704163456771</v>
      </c>
      <c r="M396" s="711">
        <f>Bilans_E_AMS_Kyoto_run3_MTE!Q509</f>
        <v>7.2727272727272725</v>
      </c>
      <c r="N396" s="711">
        <f>Bilans_E_AMS_Kyoto_run3_MTE!R509</f>
        <v>-61.183830654875514</v>
      </c>
      <c r="O396" s="711">
        <f>Bilans_E_AMS_Kyoto_run3_MTE!S509</f>
        <v>0</v>
      </c>
      <c r="P396" s="711">
        <f>Bilans_E_AMS_Kyoto_run3_MTE!T509+Bilans_E_AMS_Kyoto_run3_MTE!U509</f>
        <v>0</v>
      </c>
      <c r="Q396" s="711">
        <f>Bilans_E_AMS_Kyoto_run3_MTE!V509</f>
        <v>0</v>
      </c>
      <c r="R396" s="711">
        <f>Bilans_E_AMS_Kyoto_run3_MTE!W509</f>
        <v>0</v>
      </c>
      <c r="S396" s="711">
        <f>Bilans_E_AMS_Kyoto_run3_MTE!X509</f>
        <v>0</v>
      </c>
      <c r="T396" s="711">
        <f>Bilans_E_AMS_Kyoto_run3_MTE!Y509</f>
        <v>0</v>
      </c>
      <c r="U396" s="711">
        <f>Bilans_E_AMS_Kyoto_run3_MTE!Z509</f>
        <v>48.385938252419457</v>
      </c>
      <c r="V396" s="701"/>
      <c r="W396" s="701"/>
    </row>
    <row r="397" spans="1:23" x14ac:dyDescent="0.25">
      <c r="A397" s="701" t="s">
        <v>501</v>
      </c>
      <c r="B397" s="701"/>
      <c r="C397" s="717" t="s">
        <v>352</v>
      </c>
      <c r="D397" s="711">
        <f>Bilans_E_AMS_Kyoto_run3_MTE!H510</f>
        <v>0</v>
      </c>
      <c r="E397" s="711">
        <f>Bilans_E_AMS_Kyoto_run3_MTE!I510</f>
        <v>0</v>
      </c>
      <c r="F397" s="711">
        <f>Bilans_E_AMS_Kyoto_run3_MTE!J510</f>
        <v>0</v>
      </c>
      <c r="G397" s="711">
        <f>Bilans_E_AMS_Kyoto_run3_MTE!K510</f>
        <v>-14.619486217725157</v>
      </c>
      <c r="H397" s="711">
        <f>Bilans_E_AMS_Kyoto_run3_MTE!L510</f>
        <v>0</v>
      </c>
      <c r="I397" s="711">
        <f>Bilans_E_AMS_Kyoto_run3_MTE!M510</f>
        <v>0</v>
      </c>
      <c r="J397" s="711">
        <f>Bilans_E_AMS_Kyoto_run3_MTE!N510</f>
        <v>0</v>
      </c>
      <c r="K397" s="711">
        <f>Bilans_E_AMS_Kyoto_run3_MTE!O510</f>
        <v>0</v>
      </c>
      <c r="L397" s="711">
        <f>Bilans_E_AMS_Kyoto_run3_MTE!P510</f>
        <v>0</v>
      </c>
      <c r="M397" s="711">
        <f>Bilans_E_AMS_Kyoto_run3_MTE!Q510</f>
        <v>0</v>
      </c>
      <c r="N397" s="711">
        <f>Bilans_E_AMS_Kyoto_run3_MTE!R510</f>
        <v>0</v>
      </c>
      <c r="O397" s="711">
        <f>Bilans_E_AMS_Kyoto_run3_MTE!S510</f>
        <v>0</v>
      </c>
      <c r="P397" s="711">
        <f>Bilans_E_AMS_Kyoto_run3_MTE!T510+Bilans_E_AMS_Kyoto_run3_MTE!U510</f>
        <v>0</v>
      </c>
      <c r="Q397" s="711">
        <f>Bilans_E_AMS_Kyoto_run3_MTE!V510</f>
        <v>0</v>
      </c>
      <c r="R397" s="711">
        <f>Bilans_E_AMS_Kyoto_run3_MTE!W510</f>
        <v>0</v>
      </c>
      <c r="S397" s="711">
        <f>Bilans_E_AMS_Kyoto_run3_MTE!X510</f>
        <v>0</v>
      </c>
      <c r="T397" s="711">
        <f>Bilans_E_AMS_Kyoto_run3_MTE!Y510</f>
        <v>24.331434839497675</v>
      </c>
      <c r="U397" s="711">
        <f>Bilans_E_AMS_Kyoto_run3_MTE!Z510</f>
        <v>9.7119486217725175</v>
      </c>
      <c r="V397" s="701"/>
      <c r="W397" s="701"/>
    </row>
    <row r="398" spans="1:23" x14ac:dyDescent="0.25">
      <c r="A398" s="701" t="s">
        <v>502</v>
      </c>
      <c r="B398" s="701"/>
      <c r="C398" s="717" t="s">
        <v>73</v>
      </c>
      <c r="D398" s="711">
        <f>Bilans_E_AMS_Kyoto_run3_MTE!H511</f>
        <v>0</v>
      </c>
      <c r="E398" s="711">
        <f>Bilans_E_AMS_Kyoto_run3_MTE!I511</f>
        <v>0</v>
      </c>
      <c r="F398" s="711">
        <f>Bilans_E_AMS_Kyoto_run3_MTE!J511</f>
        <v>0</v>
      </c>
      <c r="G398" s="711">
        <f>Bilans_E_AMS_Kyoto_run3_MTE!K511</f>
        <v>0</v>
      </c>
      <c r="H398" s="711">
        <f>Bilans_E_AMS_Kyoto_run3_MTE!L511</f>
        <v>0</v>
      </c>
      <c r="I398" s="711">
        <f>Bilans_E_AMS_Kyoto_run3_MTE!M511</f>
        <v>0</v>
      </c>
      <c r="J398" s="711">
        <f>Bilans_E_AMS_Kyoto_run3_MTE!N511</f>
        <v>0</v>
      </c>
      <c r="K398" s="711">
        <f>Bilans_E_AMS_Kyoto_run3_MTE!O511</f>
        <v>0</v>
      </c>
      <c r="L398" s="711">
        <f>Bilans_E_AMS_Kyoto_run3_MTE!P511</f>
        <v>0</v>
      </c>
      <c r="M398" s="711">
        <f>Bilans_E_AMS_Kyoto_run3_MTE!Q511</f>
        <v>0</v>
      </c>
      <c r="N398" s="711">
        <f>Bilans_E_AMS_Kyoto_run3_MTE!R511</f>
        <v>0</v>
      </c>
      <c r="O398" s="711">
        <f>Bilans_E_AMS_Kyoto_run3_MTE!S511</f>
        <v>0</v>
      </c>
      <c r="P398" s="711">
        <f>Bilans_E_AMS_Kyoto_run3_MTE!T511+Bilans_E_AMS_Kyoto_run3_MTE!U511</f>
        <v>0</v>
      </c>
      <c r="Q398" s="711">
        <f>Bilans_E_AMS_Kyoto_run3_MTE!V511</f>
        <v>0</v>
      </c>
      <c r="R398" s="711">
        <f>Bilans_E_AMS_Kyoto_run3_MTE!W511</f>
        <v>88.6114421596901</v>
      </c>
      <c r="S398" s="711">
        <f>Bilans_E_AMS_Kyoto_run3_MTE!X511</f>
        <v>0</v>
      </c>
      <c r="T398" s="711">
        <f>Bilans_E_AMS_Kyoto_run3_MTE!Y511</f>
        <v>-62.249538117182297</v>
      </c>
      <c r="U398" s="711">
        <f>Bilans_E_AMS_Kyoto_run3_MTE!Z511</f>
        <v>26.361904042507803</v>
      </c>
      <c r="V398" s="701"/>
      <c r="W398" s="701"/>
    </row>
    <row r="399" spans="1:23" x14ac:dyDescent="0.25">
      <c r="A399" s="701" t="s">
        <v>503</v>
      </c>
      <c r="B399" s="701"/>
      <c r="C399" s="717" t="s">
        <v>353</v>
      </c>
      <c r="D399" s="711">
        <f>Bilans_E_AMS_Kyoto_run3_MTE!H512</f>
        <v>0</v>
      </c>
      <c r="E399" s="711">
        <f>Bilans_E_AMS_Kyoto_run3_MTE!I512</f>
        <v>-5.1997356607688232</v>
      </c>
      <c r="F399" s="711">
        <f>Bilans_E_AMS_Kyoto_run3_MTE!J512</f>
        <v>6.948298230027091</v>
      </c>
      <c r="G399" s="711">
        <f>Bilans_E_AMS_Kyoto_run3_MTE!K512</f>
        <v>0</v>
      </c>
      <c r="H399" s="711">
        <f>Bilans_E_AMS_Kyoto_run3_MTE!L512</f>
        <v>0</v>
      </c>
      <c r="I399" s="711">
        <f>Bilans_E_AMS_Kyoto_run3_MTE!M512</f>
        <v>0</v>
      </c>
      <c r="J399" s="711">
        <f>Bilans_E_AMS_Kyoto_run3_MTE!N512</f>
        <v>0</v>
      </c>
      <c r="K399" s="711">
        <f>Bilans_E_AMS_Kyoto_run3_MTE!O512</f>
        <v>0</v>
      </c>
      <c r="L399" s="711">
        <f>Bilans_E_AMS_Kyoto_run3_MTE!P512</f>
        <v>0</v>
      </c>
      <c r="M399" s="711">
        <f>Bilans_E_AMS_Kyoto_run3_MTE!Q512</f>
        <v>0</v>
      </c>
      <c r="N399" s="711">
        <f>Bilans_E_AMS_Kyoto_run3_MTE!R512</f>
        <v>0</v>
      </c>
      <c r="O399" s="711">
        <f>Bilans_E_AMS_Kyoto_run3_MTE!S512</f>
        <v>0</v>
      </c>
      <c r="P399" s="711">
        <f>Bilans_E_AMS_Kyoto_run3_MTE!T512+Bilans_E_AMS_Kyoto_run3_MTE!U512</f>
        <v>0</v>
      </c>
      <c r="Q399" s="711">
        <f>Bilans_E_AMS_Kyoto_run3_MTE!V512</f>
        <v>0</v>
      </c>
      <c r="R399" s="711">
        <f>Bilans_E_AMS_Kyoto_run3_MTE!W512</f>
        <v>0</v>
      </c>
      <c r="S399" s="711">
        <f>Bilans_E_AMS_Kyoto_run3_MTE!X512</f>
        <v>0</v>
      </c>
      <c r="T399" s="711">
        <f>Bilans_E_AMS_Kyoto_run3_MTE!Y512</f>
        <v>0</v>
      </c>
      <c r="U399" s="711">
        <f>Bilans_E_AMS_Kyoto_run3_MTE!Z512</f>
        <v>1.7485625692582678</v>
      </c>
      <c r="V399" s="701"/>
      <c r="W399" s="701"/>
    </row>
    <row r="400" spans="1:23" x14ac:dyDescent="0.25">
      <c r="A400" s="701" t="s">
        <v>504</v>
      </c>
      <c r="B400" s="701"/>
      <c r="C400" s="717" t="s">
        <v>75</v>
      </c>
      <c r="D400" s="711">
        <f>Bilans_E_AMS_Kyoto_run3_MTE!H513</f>
        <v>0</v>
      </c>
      <c r="E400" s="711">
        <f>Bilans_E_AMS_Kyoto_run3_MTE!I513</f>
        <v>0</v>
      </c>
      <c r="F400" s="711">
        <f>Bilans_E_AMS_Kyoto_run3_MTE!J513</f>
        <v>5.2004760110645112</v>
      </c>
      <c r="G400" s="711">
        <f>Bilans_E_AMS_Kyoto_run3_MTE!K513</f>
        <v>0</v>
      </c>
      <c r="H400" s="711">
        <f>Bilans_E_AMS_Kyoto_run3_MTE!L513</f>
        <v>0</v>
      </c>
      <c r="I400" s="711">
        <f>Bilans_E_AMS_Kyoto_run3_MTE!M513</f>
        <v>0</v>
      </c>
      <c r="J400" s="711">
        <f>Bilans_E_AMS_Kyoto_run3_MTE!N513</f>
        <v>0</v>
      </c>
      <c r="K400" s="711">
        <f>Bilans_E_AMS_Kyoto_run3_MTE!O513</f>
        <v>0</v>
      </c>
      <c r="L400" s="711">
        <f>Bilans_E_AMS_Kyoto_run3_MTE!P513</f>
        <v>0</v>
      </c>
      <c r="M400" s="711">
        <f>Bilans_E_AMS_Kyoto_run3_MTE!Q513</f>
        <v>0</v>
      </c>
      <c r="N400" s="711">
        <f>Bilans_E_AMS_Kyoto_run3_MTE!R513</f>
        <v>0</v>
      </c>
      <c r="O400" s="711">
        <f>Bilans_E_AMS_Kyoto_run3_MTE!S513</f>
        <v>0</v>
      </c>
      <c r="P400" s="711">
        <f>Bilans_E_AMS_Kyoto_run3_MTE!T513+Bilans_E_AMS_Kyoto_run3_MTE!U513</f>
        <v>0</v>
      </c>
      <c r="Q400" s="711">
        <f>Bilans_E_AMS_Kyoto_run3_MTE!V513</f>
        <v>0</v>
      </c>
      <c r="R400" s="711">
        <f>Bilans_E_AMS_Kyoto_run3_MTE!W513</f>
        <v>38.430337038531441</v>
      </c>
      <c r="S400" s="711">
        <f>Bilans_E_AMS_Kyoto_run3_MTE!X513</f>
        <v>0</v>
      </c>
      <c r="T400" s="711">
        <f>Bilans_E_AMS_Kyoto_run3_MTE!Y513</f>
        <v>1.4650612498705113</v>
      </c>
      <c r="U400" s="711">
        <f>Bilans_E_AMS_Kyoto_run3_MTE!Z513</f>
        <v>45.095874299466459</v>
      </c>
      <c r="V400" s="701"/>
      <c r="W400" s="701"/>
    </row>
    <row r="401" spans="1:23" x14ac:dyDescent="0.25">
      <c r="A401" s="701" t="s">
        <v>505</v>
      </c>
      <c r="B401" s="701"/>
      <c r="C401" s="717" t="s">
        <v>76</v>
      </c>
      <c r="D401" s="711">
        <f>Bilans_E_AMS_Kyoto_run3_MTE!H514</f>
        <v>0</v>
      </c>
      <c r="E401" s="711">
        <f>Bilans_E_AMS_Kyoto_run3_MTE!I514</f>
        <v>0</v>
      </c>
      <c r="F401" s="711">
        <f>Bilans_E_AMS_Kyoto_run3_MTE!J514</f>
        <v>0</v>
      </c>
      <c r="G401" s="711">
        <f>Bilans_E_AMS_Kyoto_run3_MTE!K514</f>
        <v>0</v>
      </c>
      <c r="H401" s="711">
        <f>Bilans_E_AMS_Kyoto_run3_MTE!L514</f>
        <v>0.87272798956791087</v>
      </c>
      <c r="I401" s="711">
        <f>Bilans_E_AMS_Kyoto_run3_MTE!M514</f>
        <v>1.5867781628507469E-2</v>
      </c>
      <c r="J401" s="711">
        <f>Bilans_E_AMS_Kyoto_run3_MTE!N514</f>
        <v>0</v>
      </c>
      <c r="K401" s="711">
        <f>Bilans_E_AMS_Kyoto_run3_MTE!O514</f>
        <v>0</v>
      </c>
      <c r="L401" s="711">
        <f>Bilans_E_AMS_Kyoto_run3_MTE!P514</f>
        <v>0</v>
      </c>
      <c r="M401" s="711">
        <f>Bilans_E_AMS_Kyoto_run3_MTE!Q514</f>
        <v>0</v>
      </c>
      <c r="N401" s="711">
        <f>Bilans_E_AMS_Kyoto_run3_MTE!R514</f>
        <v>0</v>
      </c>
      <c r="O401" s="711">
        <f>Bilans_E_AMS_Kyoto_run3_MTE!S514</f>
        <v>0.6981823916543286</v>
      </c>
      <c r="P401" s="711">
        <f>Bilans_E_AMS_Kyoto_run3_MTE!T514+Bilans_E_AMS_Kyoto_run3_MTE!U514</f>
        <v>0</v>
      </c>
      <c r="Q401" s="711">
        <f>Bilans_E_AMS_Kyoto_run3_MTE!V514</f>
        <v>0</v>
      </c>
      <c r="R401" s="711">
        <f>Bilans_E_AMS_Kyoto_run3_MTE!W514</f>
        <v>61.224106337294323</v>
      </c>
      <c r="S401" s="711">
        <f>Bilans_E_AMS_Kyoto_run3_MTE!X514</f>
        <v>6.697680379771108</v>
      </c>
      <c r="T401" s="711">
        <f>Bilans_E_AMS_Kyoto_run3_MTE!Y514</f>
        <v>0</v>
      </c>
      <c r="U401" s="711">
        <f>Bilans_E_AMS_Kyoto_run3_MTE!Z514</f>
        <v>69.508564879916179</v>
      </c>
      <c r="V401" s="701"/>
      <c r="W401" s="701"/>
    </row>
    <row r="402" spans="1:23" x14ac:dyDescent="0.25">
      <c r="A402" s="701" t="s">
        <v>506</v>
      </c>
      <c r="B402" s="701"/>
      <c r="C402" s="713" t="s">
        <v>77</v>
      </c>
      <c r="D402" s="714">
        <f>Bilans_E_AMS_Kyoto_run3_MTE!H515</f>
        <v>0</v>
      </c>
      <c r="E402" s="714">
        <f>Bilans_E_AMS_Kyoto_run3_MTE!I515</f>
        <v>143.57372262348443</v>
      </c>
      <c r="F402" s="714">
        <f>Bilans_E_AMS_Kyoto_run3_MTE!J515</f>
        <v>-135.1369494603191</v>
      </c>
      <c r="G402" s="714">
        <f>Bilans_E_AMS_Kyoto_run3_MTE!K515</f>
        <v>-14.619486217725157</v>
      </c>
      <c r="H402" s="714">
        <f>Bilans_E_AMS_Kyoto_run3_MTE!L515</f>
        <v>10.97014456744899</v>
      </c>
      <c r="I402" s="714">
        <f>Bilans_E_AMS_Kyoto_run3_MTE!M515</f>
        <v>-3.5472733725210412</v>
      </c>
      <c r="J402" s="714">
        <f>Bilans_E_AMS_Kyoto_run3_MTE!N515</f>
        <v>1021.1177956869142</v>
      </c>
      <c r="K402" s="714">
        <f>Bilans_E_AMS_Kyoto_run3_MTE!O515</f>
        <v>462.06687945929309</v>
      </c>
      <c r="L402" s="714">
        <f>Bilans_E_AMS_Kyoto_run3_MTE!P515</f>
        <v>293.41607278708199</v>
      </c>
      <c r="M402" s="714">
        <f>Bilans_E_AMS_Kyoto_run3_MTE!Q515</f>
        <v>37.444475279494604</v>
      </c>
      <c r="N402" s="714">
        <f>Bilans_E_AMS_Kyoto_run3_MTE!R515</f>
        <v>-54.838669650846725</v>
      </c>
      <c r="O402" s="714">
        <f>Bilans_E_AMS_Kyoto_run3_MTE!S515</f>
        <v>-72.287130434655069</v>
      </c>
      <c r="P402" s="714">
        <f>Bilans_E_AMS_Kyoto_run3_MTE!T515+Bilans_E_AMS_Kyoto_run3_MTE!U515</f>
        <v>19.703135322463453</v>
      </c>
      <c r="Q402" s="714">
        <f>Bilans_E_AMS_Kyoto_run3_MTE!V515</f>
        <v>18.698303851168006</v>
      </c>
      <c r="R402" s="714">
        <f>Bilans_E_AMS_Kyoto_run3_MTE!W515</f>
        <v>-625.73217962616854</v>
      </c>
      <c r="S402" s="714">
        <f>Bilans_E_AMS_Kyoto_run3_MTE!X515</f>
        <v>-79.672309838953737</v>
      </c>
      <c r="T402" s="714">
        <f>Bilans_E_AMS_Kyoto_run3_MTE!Y515</f>
        <v>-31.259944280501475</v>
      </c>
      <c r="U402" s="714">
        <f>Bilans_E_AMS_Kyoto_run3_MTE!Z515</f>
        <v>989.89658669565813</v>
      </c>
      <c r="V402" s="701"/>
      <c r="W402" s="701"/>
    </row>
    <row r="403" spans="1:23" x14ac:dyDescent="0.25">
      <c r="A403" s="701"/>
      <c r="B403" s="701"/>
      <c r="C403" s="715"/>
      <c r="D403" s="716"/>
      <c r="E403" s="716"/>
      <c r="F403" s="716"/>
      <c r="G403" s="716"/>
      <c r="H403" s="716"/>
      <c r="I403" s="716"/>
      <c r="J403" s="716"/>
      <c r="K403" s="716"/>
      <c r="L403" s="716"/>
      <c r="M403" s="716"/>
      <c r="N403" s="716"/>
      <c r="O403" s="716"/>
      <c r="P403" s="716">
        <f>Bilans_E_AMS_Kyoto_run3_MTE!T516+Bilans_E_AMS_Kyoto_run3_MTE!U516</f>
        <v>0</v>
      </c>
      <c r="Q403" s="716"/>
      <c r="R403" s="716"/>
      <c r="S403" s="716"/>
      <c r="T403" s="716"/>
      <c r="U403" s="716"/>
      <c r="V403" s="701"/>
      <c r="W403" s="701"/>
    </row>
    <row r="404" spans="1:23" x14ac:dyDescent="0.25">
      <c r="A404" s="701" t="s">
        <v>507</v>
      </c>
      <c r="B404" s="701"/>
      <c r="C404" s="717" t="s">
        <v>78</v>
      </c>
      <c r="D404" s="711">
        <f>Bilans_E_AMS_Kyoto_run3_MTE!H517</f>
        <v>7.2040588378906256E-2</v>
      </c>
      <c r="E404" s="711">
        <f>Bilans_E_AMS_Kyoto_run3_MTE!I517</f>
        <v>0</v>
      </c>
      <c r="F404" s="711">
        <f>Bilans_E_AMS_Kyoto_run3_MTE!J517</f>
        <v>0.19057103431692568</v>
      </c>
      <c r="G404" s="711">
        <f>Bilans_E_AMS_Kyoto_run3_MTE!K517</f>
        <v>0</v>
      </c>
      <c r="H404" s="711">
        <f>Bilans_E_AMS_Kyoto_run3_MTE!L517</f>
        <v>28.795611186743677</v>
      </c>
      <c r="I404" s="711">
        <f>Bilans_E_AMS_Kyoto_run3_MTE!M517</f>
        <v>0.52355656703170317</v>
      </c>
      <c r="J404" s="711">
        <f>Bilans_E_AMS_Kyoto_run3_MTE!N517</f>
        <v>0</v>
      </c>
      <c r="K404" s="711">
        <f>Bilans_E_AMS_Kyoto_run3_MTE!O517</f>
        <v>0</v>
      </c>
      <c r="L404" s="711">
        <f>Bilans_E_AMS_Kyoto_run3_MTE!P517</f>
        <v>34.871553027324289</v>
      </c>
      <c r="M404" s="711">
        <f>Bilans_E_AMS_Kyoto_run3_MTE!Q517</f>
        <v>8.043964025546213</v>
      </c>
      <c r="N404" s="711">
        <f>Bilans_E_AMS_Kyoto_run3_MTE!R517</f>
        <v>0</v>
      </c>
      <c r="O404" s="711">
        <f>Bilans_E_AMS_Kyoto_run3_MTE!S517</f>
        <v>23.077839156426684</v>
      </c>
      <c r="P404" s="711">
        <f>Bilans_E_AMS_Kyoto_run3_MTE!T517+Bilans_E_AMS_Kyoto_run3_MTE!U517</f>
        <v>13.633620117187499</v>
      </c>
      <c r="Q404" s="711">
        <f>Bilans_E_AMS_Kyoto_run3_MTE!V517</f>
        <v>8.4299170840015686E-4</v>
      </c>
      <c r="R404" s="711">
        <f>Bilans_E_AMS_Kyoto_run3_MTE!W517</f>
        <v>158.64644753930071</v>
      </c>
      <c r="S404" s="711">
        <f>Bilans_E_AMS_Kyoto_run3_MTE!X517</f>
        <v>19.544256457993722</v>
      </c>
      <c r="T404" s="711">
        <f>Bilans_E_AMS_Kyoto_run3_MTE!Y517</f>
        <v>13.641840820312501</v>
      </c>
      <c r="U404" s="711">
        <f>Bilans_E_AMS_Kyoto_run3_MTE!Z517</f>
        <v>301.0421435122712</v>
      </c>
      <c r="V404" s="701"/>
      <c r="W404" s="701"/>
    </row>
    <row r="405" spans="1:23" x14ac:dyDescent="0.25">
      <c r="A405" s="701" t="s">
        <v>508</v>
      </c>
      <c r="B405" s="701"/>
      <c r="C405" s="717" t="s">
        <v>79</v>
      </c>
      <c r="D405" s="711">
        <f>Bilans_E_AMS_Kyoto_run3_MTE!H518</f>
        <v>0</v>
      </c>
      <c r="E405" s="711">
        <f>Bilans_E_AMS_Kyoto_run3_MTE!I518</f>
        <v>0</v>
      </c>
      <c r="F405" s="711">
        <f>Bilans_E_AMS_Kyoto_run3_MTE!J518</f>
        <v>27.842691184610331</v>
      </c>
      <c r="G405" s="711">
        <f>Bilans_E_AMS_Kyoto_run3_MTE!K518</f>
        <v>2</v>
      </c>
      <c r="H405" s="711">
        <f>Bilans_E_AMS_Kyoto_run3_MTE!L518</f>
        <v>4.1475118700352498</v>
      </c>
      <c r="I405" s="711">
        <f>Bilans_E_AMS_Kyoto_run3_MTE!M518</f>
        <v>7.5409306727913641E-2</v>
      </c>
      <c r="J405" s="711">
        <f>Bilans_E_AMS_Kyoto_run3_MTE!N518</f>
        <v>0</v>
      </c>
      <c r="K405" s="711">
        <f>Bilans_E_AMS_Kyoto_run3_MTE!O518</f>
        <v>0</v>
      </c>
      <c r="L405" s="711">
        <f>Bilans_E_AMS_Kyoto_run3_MTE!P518</f>
        <v>0</v>
      </c>
      <c r="M405" s="711">
        <f>Bilans_E_AMS_Kyoto_run3_MTE!Q518</f>
        <v>0</v>
      </c>
      <c r="N405" s="711">
        <f>Bilans_E_AMS_Kyoto_run3_MTE!R518</f>
        <v>29.027871012193479</v>
      </c>
      <c r="O405" s="711">
        <f>Bilans_E_AMS_Kyoto_run3_MTE!S518</f>
        <v>3.3180094960281998</v>
      </c>
      <c r="P405" s="711">
        <f>Bilans_E_AMS_Kyoto_run3_MTE!T518+Bilans_E_AMS_Kyoto_run3_MTE!U518</f>
        <v>0</v>
      </c>
      <c r="Q405" s="711">
        <f>Bilans_E_AMS_Kyoto_run3_MTE!V518</f>
        <v>0</v>
      </c>
      <c r="R405" s="711">
        <f>Bilans_E_AMS_Kyoto_run3_MTE!W518</f>
        <v>121.41640074189371</v>
      </c>
      <c r="S405" s="711">
        <f>Bilans_E_AMS_Kyoto_run3_MTE!X518</f>
        <v>0</v>
      </c>
      <c r="T405" s="711">
        <f>Bilans_E_AMS_Kyoto_run3_MTE!Y518</f>
        <v>6.7088833627788453</v>
      </c>
      <c r="U405" s="711">
        <f>Bilans_E_AMS_Kyoto_run3_MTE!Z518</f>
        <v>194.53677697426772</v>
      </c>
      <c r="V405" s="701"/>
      <c r="W405" s="701"/>
    </row>
    <row r="406" spans="1:23" x14ac:dyDescent="0.25">
      <c r="A406" s="701" t="s">
        <v>509</v>
      </c>
      <c r="B406" s="701"/>
      <c r="C406" s="717" t="s">
        <v>80</v>
      </c>
      <c r="D406" s="711">
        <f>Bilans_E_AMS_Kyoto_run3_MTE!H519</f>
        <v>0</v>
      </c>
      <c r="E406" s="711">
        <f>Bilans_E_AMS_Kyoto_run3_MTE!I519</f>
        <v>0</v>
      </c>
      <c r="F406" s="711">
        <f>Bilans_E_AMS_Kyoto_run3_MTE!J519</f>
        <v>0.1823284194363245</v>
      </c>
      <c r="G406" s="711">
        <f>Bilans_E_AMS_Kyoto_run3_MTE!K519</f>
        <v>0</v>
      </c>
      <c r="H406" s="711">
        <f>Bilans_E_AMS_Kyoto_run3_MTE!L519</f>
        <v>19.208488158214077</v>
      </c>
      <c r="I406" s="711">
        <f>Bilans_E_AMS_Kyoto_run3_MTE!M519</f>
        <v>0.34924523924025591</v>
      </c>
      <c r="J406" s="711">
        <f>Bilans_E_AMS_Kyoto_run3_MTE!N519</f>
        <v>0</v>
      </c>
      <c r="K406" s="711">
        <f>Bilans_E_AMS_Kyoto_run3_MTE!O519</f>
        <v>0</v>
      </c>
      <c r="L406" s="711">
        <f>Bilans_E_AMS_Kyoto_run3_MTE!P519</f>
        <v>41.860643688874312</v>
      </c>
      <c r="M406" s="711">
        <f>Bilans_E_AMS_Kyoto_run3_MTE!Q519</f>
        <v>0</v>
      </c>
      <c r="N406" s="711">
        <f>Bilans_E_AMS_Kyoto_run3_MTE!R519</f>
        <v>0</v>
      </c>
      <c r="O406" s="711">
        <f>Bilans_E_AMS_Kyoto_run3_MTE!S519</f>
        <v>15.366790526571261</v>
      </c>
      <c r="P406" s="711">
        <f>Bilans_E_AMS_Kyoto_run3_MTE!T519+Bilans_E_AMS_Kyoto_run3_MTE!U519</f>
        <v>148.3231165331799</v>
      </c>
      <c r="Q406" s="711">
        <f>Bilans_E_AMS_Kyoto_run3_MTE!V519</f>
        <v>12.136362038143677</v>
      </c>
      <c r="R406" s="711">
        <f>Bilans_E_AMS_Kyoto_run3_MTE!W519</f>
        <v>138.96099758278416</v>
      </c>
      <c r="S406" s="711">
        <f>Bilans_E_AMS_Kyoto_run3_MTE!X519</f>
        <v>37.481794053722915</v>
      </c>
      <c r="T406" s="711">
        <f>Bilans_E_AMS_Kyoto_run3_MTE!Y519</f>
        <v>0</v>
      </c>
      <c r="U406" s="711">
        <f>Bilans_E_AMS_Kyoto_run3_MTE!Z519</f>
        <v>413.86976624016694</v>
      </c>
      <c r="V406" s="701"/>
      <c r="W406" s="701"/>
    </row>
    <row r="407" spans="1:23" x14ac:dyDescent="0.25">
      <c r="A407" s="701" t="s">
        <v>510</v>
      </c>
      <c r="B407" s="701"/>
      <c r="C407" s="717" t="s">
        <v>81</v>
      </c>
      <c r="D407" s="711">
        <f>Bilans_E_AMS_Kyoto_run3_MTE!H520</f>
        <v>0</v>
      </c>
      <c r="E407" s="711">
        <f>Bilans_E_AMS_Kyoto_run3_MTE!I520</f>
        <v>0</v>
      </c>
      <c r="F407" s="711">
        <f>Bilans_E_AMS_Kyoto_run3_MTE!J520</f>
        <v>0.39199311709923457</v>
      </c>
      <c r="G407" s="711">
        <f>Bilans_E_AMS_Kyoto_run3_MTE!K520</f>
        <v>0</v>
      </c>
      <c r="H407" s="711">
        <f>Bilans_E_AMS_Kyoto_run3_MTE!L520</f>
        <v>9.9162417754913825</v>
      </c>
      <c r="I407" s="711">
        <f>Bilans_E_AMS_Kyoto_run3_MTE!M520</f>
        <v>0.18029530500893423</v>
      </c>
      <c r="J407" s="711">
        <f>Bilans_E_AMS_Kyoto_run3_MTE!N520</f>
        <v>0</v>
      </c>
      <c r="K407" s="711">
        <f>Bilans_E_AMS_Kyoto_run3_MTE!O520</f>
        <v>0</v>
      </c>
      <c r="L407" s="711">
        <f>Bilans_E_AMS_Kyoto_run3_MTE!P520</f>
        <v>0.48410239694179807</v>
      </c>
      <c r="M407" s="711">
        <f>Bilans_E_AMS_Kyoto_run3_MTE!Q520</f>
        <v>0</v>
      </c>
      <c r="N407" s="711">
        <f>Bilans_E_AMS_Kyoto_run3_MTE!R520</f>
        <v>0</v>
      </c>
      <c r="O407" s="711">
        <f>Bilans_E_AMS_Kyoto_run3_MTE!S520</f>
        <v>7.9329934203931058</v>
      </c>
      <c r="P407" s="711">
        <f>Bilans_E_AMS_Kyoto_run3_MTE!T520+Bilans_E_AMS_Kyoto_run3_MTE!U520</f>
        <v>58.56878651815164</v>
      </c>
      <c r="Q407" s="711">
        <f>Bilans_E_AMS_Kyoto_run3_MTE!V520</f>
        <v>12.039845592065015</v>
      </c>
      <c r="R407" s="711">
        <f>Bilans_E_AMS_Kyoto_run3_MTE!W520</f>
        <v>122.64919061404242</v>
      </c>
      <c r="S407" s="711">
        <f>Bilans_E_AMS_Kyoto_run3_MTE!X520</f>
        <v>22.646226401731536</v>
      </c>
      <c r="T407" s="711">
        <f>Bilans_E_AMS_Kyoto_run3_MTE!Y520</f>
        <v>0</v>
      </c>
      <c r="U407" s="711">
        <f>Bilans_E_AMS_Kyoto_run3_MTE!Z520</f>
        <v>234.80967514092507</v>
      </c>
      <c r="V407" s="701"/>
      <c r="W407" s="701"/>
    </row>
    <row r="408" spans="1:23" x14ac:dyDescent="0.25">
      <c r="A408" s="701" t="s">
        <v>511</v>
      </c>
      <c r="B408" s="701"/>
      <c r="C408" s="717" t="s">
        <v>82</v>
      </c>
      <c r="D408" s="711">
        <f>Bilans_E_AMS_Kyoto_run3_MTE!H521</f>
        <v>0</v>
      </c>
      <c r="E408" s="711">
        <f>Bilans_E_AMS_Kyoto_run3_MTE!I521</f>
        <v>0</v>
      </c>
      <c r="F408" s="711">
        <f>Bilans_E_AMS_Kyoto_run3_MTE!J521</f>
        <v>5.4571309143050808</v>
      </c>
      <c r="G408" s="711">
        <f>Bilans_E_AMS_Kyoto_run3_MTE!K521</f>
        <v>0</v>
      </c>
      <c r="H408" s="711">
        <f>Bilans_E_AMS_Kyoto_run3_MTE!L521</f>
        <v>0.56206289562711365</v>
      </c>
      <c r="I408" s="711">
        <f>Bilans_E_AMS_Kyoto_run3_MTE!M521</f>
        <v>1.0219325375038429E-2</v>
      </c>
      <c r="J408" s="711">
        <f>Bilans_E_AMS_Kyoto_run3_MTE!N521</f>
        <v>0</v>
      </c>
      <c r="K408" s="711">
        <f>Bilans_E_AMS_Kyoto_run3_MTE!O521</f>
        <v>0</v>
      </c>
      <c r="L408" s="711">
        <f>Bilans_E_AMS_Kyoto_run3_MTE!P521</f>
        <v>17.783972013033864</v>
      </c>
      <c r="M408" s="711">
        <f>Bilans_E_AMS_Kyoto_run3_MTE!Q521</f>
        <v>0</v>
      </c>
      <c r="N408" s="711">
        <f>Bilans_E_AMS_Kyoto_run3_MTE!R521</f>
        <v>8.2374051734864402</v>
      </c>
      <c r="O408" s="711">
        <f>Bilans_E_AMS_Kyoto_run3_MTE!S521</f>
        <v>0.44965031650169085</v>
      </c>
      <c r="P408" s="711">
        <f>Bilans_E_AMS_Kyoto_run3_MTE!T521+Bilans_E_AMS_Kyoto_run3_MTE!U521</f>
        <v>1.25</v>
      </c>
      <c r="Q408" s="711">
        <f>Bilans_E_AMS_Kyoto_run3_MTE!V521</f>
        <v>1.7440136932478227</v>
      </c>
      <c r="R408" s="711">
        <f>Bilans_E_AMS_Kyoto_run3_MTE!W521</f>
        <v>10.36655207833598</v>
      </c>
      <c r="S408" s="711">
        <f>Bilans_E_AMS_Kyoto_run3_MTE!X521</f>
        <v>0</v>
      </c>
      <c r="T408" s="711">
        <f>Bilans_E_AMS_Kyoto_run3_MTE!Y521</f>
        <v>0.55589052141355966</v>
      </c>
      <c r="U408" s="711">
        <f>Bilans_E_AMS_Kyoto_run3_MTE!Z521</f>
        <v>46.416896931326583</v>
      </c>
      <c r="V408" s="701"/>
      <c r="W408" s="701"/>
    </row>
    <row r="409" spans="1:23" x14ac:dyDescent="0.25">
      <c r="A409" s="701" t="s">
        <v>512</v>
      </c>
      <c r="B409" s="701"/>
      <c r="C409" s="717" t="s">
        <v>354</v>
      </c>
      <c r="D409" s="711">
        <f>Bilans_E_AMS_Kyoto_run3_MTE!H522</f>
        <v>0</v>
      </c>
      <c r="E409" s="711">
        <f>Bilans_E_AMS_Kyoto_run3_MTE!I522</f>
        <v>0</v>
      </c>
      <c r="F409" s="711">
        <f>Bilans_E_AMS_Kyoto_run3_MTE!J522</f>
        <v>0</v>
      </c>
      <c r="G409" s="711">
        <f>Bilans_E_AMS_Kyoto_run3_MTE!K522</f>
        <v>0</v>
      </c>
      <c r="H409" s="711">
        <f>Bilans_E_AMS_Kyoto_run3_MTE!L522</f>
        <v>0</v>
      </c>
      <c r="I409" s="711">
        <f>Bilans_E_AMS_Kyoto_run3_MTE!M522</f>
        <v>0</v>
      </c>
      <c r="J409" s="711">
        <f>Bilans_E_AMS_Kyoto_run3_MTE!N522</f>
        <v>0</v>
      </c>
      <c r="K409" s="711">
        <f>Bilans_E_AMS_Kyoto_run3_MTE!O522</f>
        <v>0</v>
      </c>
      <c r="L409" s="711">
        <f>Bilans_E_AMS_Kyoto_run3_MTE!P522</f>
        <v>0</v>
      </c>
      <c r="M409" s="711">
        <f>Bilans_E_AMS_Kyoto_run3_MTE!Q522</f>
        <v>0</v>
      </c>
      <c r="N409" s="711">
        <f>Bilans_E_AMS_Kyoto_run3_MTE!R522</f>
        <v>0</v>
      </c>
      <c r="O409" s="711">
        <f>Bilans_E_AMS_Kyoto_run3_MTE!S522</f>
        <v>0</v>
      </c>
      <c r="P409" s="711">
        <f>Bilans_E_AMS_Kyoto_run3_MTE!T522+Bilans_E_AMS_Kyoto_run3_MTE!U522</f>
        <v>0</v>
      </c>
      <c r="Q409" s="711">
        <f>Bilans_E_AMS_Kyoto_run3_MTE!V522</f>
        <v>0</v>
      </c>
      <c r="R409" s="711">
        <f>Bilans_E_AMS_Kyoto_run3_MTE!W522</f>
        <v>9.0399999999999991</v>
      </c>
      <c r="S409" s="711">
        <f>Bilans_E_AMS_Kyoto_run3_MTE!X522</f>
        <v>0</v>
      </c>
      <c r="T409" s="711">
        <f>Bilans_E_AMS_Kyoto_run3_MTE!Y522</f>
        <v>0</v>
      </c>
      <c r="U409" s="711">
        <f>Bilans_E_AMS_Kyoto_run3_MTE!Z522</f>
        <v>9.0399999999999991</v>
      </c>
      <c r="V409" s="701"/>
      <c r="W409" s="701"/>
    </row>
    <row r="410" spans="1:23" x14ac:dyDescent="0.25">
      <c r="A410" s="701" t="s">
        <v>513</v>
      </c>
      <c r="B410" s="701"/>
      <c r="C410" s="713" t="s">
        <v>83</v>
      </c>
      <c r="D410" s="714">
        <f>Bilans_E_AMS_Kyoto_run3_MTE!H523</f>
        <v>7.2040588378906256E-2</v>
      </c>
      <c r="E410" s="714">
        <f>Bilans_E_AMS_Kyoto_run3_MTE!I523</f>
        <v>0</v>
      </c>
      <c r="F410" s="714">
        <f>Bilans_E_AMS_Kyoto_run3_MTE!J523</f>
        <v>34.064714669767895</v>
      </c>
      <c r="G410" s="714">
        <f>Bilans_E_AMS_Kyoto_run3_MTE!K523</f>
        <v>2</v>
      </c>
      <c r="H410" s="714">
        <f>Bilans_E_AMS_Kyoto_run3_MTE!L523</f>
        <v>62.629915886111512</v>
      </c>
      <c r="I410" s="714">
        <f>Bilans_E_AMS_Kyoto_run3_MTE!M523</f>
        <v>1.1387257433838454</v>
      </c>
      <c r="J410" s="714">
        <f>Bilans_E_AMS_Kyoto_run3_MTE!N523</f>
        <v>0</v>
      </c>
      <c r="K410" s="714">
        <f>Bilans_E_AMS_Kyoto_run3_MTE!O523</f>
        <v>0</v>
      </c>
      <c r="L410" s="714">
        <f>Bilans_E_AMS_Kyoto_run3_MTE!P523</f>
        <v>95.000271126174255</v>
      </c>
      <c r="M410" s="714">
        <f>Bilans_E_AMS_Kyoto_run3_MTE!Q523</f>
        <v>8.043964025546213</v>
      </c>
      <c r="N410" s="714">
        <f>Bilans_E_AMS_Kyoto_run3_MTE!R523</f>
        <v>37.265276185679923</v>
      </c>
      <c r="O410" s="714">
        <f>Bilans_E_AMS_Kyoto_run3_MTE!S523</f>
        <v>50.145282915920937</v>
      </c>
      <c r="P410" s="714">
        <f>Bilans_E_AMS_Kyoto_run3_MTE!T523+Bilans_E_AMS_Kyoto_run3_MTE!U523</f>
        <v>221.77552316851904</v>
      </c>
      <c r="Q410" s="714">
        <f>Bilans_E_AMS_Kyoto_run3_MTE!V523</f>
        <v>25.921064315164912</v>
      </c>
      <c r="R410" s="714">
        <f>Bilans_E_AMS_Kyoto_run3_MTE!W523</f>
        <v>561.07958855635695</v>
      </c>
      <c r="S410" s="714">
        <f>Bilans_E_AMS_Kyoto_run3_MTE!X523</f>
        <v>79.672276913448172</v>
      </c>
      <c r="T410" s="714">
        <f>Bilans_E_AMS_Kyoto_run3_MTE!Y523</f>
        <v>20.906614704504904</v>
      </c>
      <c r="U410" s="714">
        <f>Bilans_E_AMS_Kyoto_run3_MTE!Z523</f>
        <v>1199.7152587989574</v>
      </c>
      <c r="V410" s="701"/>
      <c r="W410" s="701"/>
    </row>
    <row r="411" spans="1:23" x14ac:dyDescent="0.25">
      <c r="A411" s="701" t="s">
        <v>514</v>
      </c>
      <c r="B411" s="701"/>
      <c r="C411" s="710" t="s">
        <v>84</v>
      </c>
      <c r="D411" s="711">
        <f>Bilans_E_AMS_Kyoto_run3_MTE!H524</f>
        <v>0</v>
      </c>
      <c r="E411" s="711">
        <f>Bilans_E_AMS_Kyoto_run3_MTE!I524</f>
        <v>0</v>
      </c>
      <c r="F411" s="711">
        <f>Bilans_E_AMS_Kyoto_run3_MTE!J524</f>
        <v>96.394045128661887</v>
      </c>
      <c r="G411" s="711">
        <f>Bilans_E_AMS_Kyoto_run3_MTE!K524</f>
        <v>3.4901848637372384</v>
      </c>
      <c r="H411" s="711">
        <f>Bilans_E_AMS_Kyoto_run3_MTE!L524</f>
        <v>9.7025025927356783</v>
      </c>
      <c r="I411" s="711">
        <f>Bilans_E_AMS_Kyoto_run3_MTE!M524</f>
        <v>0</v>
      </c>
      <c r="J411" s="711">
        <f>Bilans_E_AMS_Kyoto_run3_MTE!N524</f>
        <v>0</v>
      </c>
      <c r="K411" s="711">
        <f>Bilans_E_AMS_Kyoto_run3_MTE!O524</f>
        <v>0</v>
      </c>
      <c r="L411" s="711">
        <f>Bilans_E_AMS_Kyoto_run3_MTE!P524</f>
        <v>0.55051822222324442</v>
      </c>
      <c r="M411" s="711">
        <f>Bilans_E_AMS_Kyoto_run3_MTE!Q524</f>
        <v>0</v>
      </c>
      <c r="N411" s="711">
        <f>Bilans_E_AMS_Kyoto_run3_MTE!R524</f>
        <v>5.2633850918308207</v>
      </c>
      <c r="O411" s="711">
        <f>Bilans_E_AMS_Kyoto_run3_MTE!S524</f>
        <v>0</v>
      </c>
      <c r="P411" s="711">
        <f>Bilans_E_AMS_Kyoto_run3_MTE!T524+Bilans_E_AMS_Kyoto_run3_MTE!U524</f>
        <v>0</v>
      </c>
      <c r="Q411" s="711">
        <f>Bilans_E_AMS_Kyoto_run3_MTE!V524</f>
        <v>0</v>
      </c>
      <c r="R411" s="711">
        <f>Bilans_E_AMS_Kyoto_run3_MTE!W524</f>
        <v>0</v>
      </c>
      <c r="S411" s="711">
        <f>Bilans_E_AMS_Kyoto_run3_MTE!X524</f>
        <v>0</v>
      </c>
      <c r="T411" s="711">
        <f>Bilans_E_AMS_Kyoto_run3_MTE!Y524</f>
        <v>4.3572670917440366</v>
      </c>
      <c r="U411" s="711">
        <f>Bilans_E_AMS_Kyoto_run3_MTE!Z524</f>
        <v>119.75790299093292</v>
      </c>
      <c r="V411" s="701"/>
      <c r="W411" s="701"/>
    </row>
    <row r="412" spans="1:23" x14ac:dyDescent="0.25">
      <c r="A412" s="701" t="s">
        <v>515</v>
      </c>
      <c r="B412" s="701"/>
      <c r="C412" s="713" t="s">
        <v>85</v>
      </c>
      <c r="D412" s="714">
        <f>Bilans_E_AMS_Kyoto_run3_MTE!H525</f>
        <v>7.2040588378906256E-2</v>
      </c>
      <c r="E412" s="714">
        <f>Bilans_E_AMS_Kyoto_run3_MTE!I525</f>
        <v>0</v>
      </c>
      <c r="F412" s="714">
        <f>Bilans_E_AMS_Kyoto_run3_MTE!J525</f>
        <v>130.45875979842978</v>
      </c>
      <c r="G412" s="714">
        <f>Bilans_E_AMS_Kyoto_run3_MTE!K525</f>
        <v>5.4901848637372384</v>
      </c>
      <c r="H412" s="714">
        <f>Bilans_E_AMS_Kyoto_run3_MTE!L525</f>
        <v>72.332418478847188</v>
      </c>
      <c r="I412" s="714">
        <f>Bilans_E_AMS_Kyoto_run3_MTE!M525</f>
        <v>1.1387257433838454</v>
      </c>
      <c r="J412" s="714">
        <f>Bilans_E_AMS_Kyoto_run3_MTE!N525</f>
        <v>0</v>
      </c>
      <c r="K412" s="714">
        <f>Bilans_E_AMS_Kyoto_run3_MTE!O525</f>
        <v>0</v>
      </c>
      <c r="L412" s="714">
        <f>Bilans_E_AMS_Kyoto_run3_MTE!P525</f>
        <v>95.550789348397501</v>
      </c>
      <c r="M412" s="714">
        <f>Bilans_E_AMS_Kyoto_run3_MTE!Q525</f>
        <v>8.043964025546213</v>
      </c>
      <c r="N412" s="714">
        <f>Bilans_E_AMS_Kyoto_run3_MTE!R525</f>
        <v>42.528661277510743</v>
      </c>
      <c r="O412" s="714">
        <f>Bilans_E_AMS_Kyoto_run3_MTE!S525</f>
        <v>50.145282915920937</v>
      </c>
      <c r="P412" s="714">
        <f>Bilans_E_AMS_Kyoto_run3_MTE!T525+Bilans_E_AMS_Kyoto_run3_MTE!U525</f>
        <v>221.77552316851904</v>
      </c>
      <c r="Q412" s="714">
        <f>Bilans_E_AMS_Kyoto_run3_MTE!V525</f>
        <v>25.921064315164912</v>
      </c>
      <c r="R412" s="714">
        <f>Bilans_E_AMS_Kyoto_run3_MTE!W525</f>
        <v>561.07958855635695</v>
      </c>
      <c r="S412" s="714">
        <f>Bilans_E_AMS_Kyoto_run3_MTE!X525</f>
        <v>79.672276913448172</v>
      </c>
      <c r="T412" s="714">
        <f>Bilans_E_AMS_Kyoto_run3_MTE!Y525</f>
        <v>25.263881796248938</v>
      </c>
      <c r="U412" s="714">
        <f>Bilans_E_AMS_Kyoto_run3_MTE!Z525</f>
        <v>1319.4731617898904</v>
      </c>
      <c r="V412" s="701"/>
      <c r="W412" s="701"/>
    </row>
    <row r="413" spans="1:23" x14ac:dyDescent="0.25">
      <c r="A413" s="701"/>
      <c r="B413" s="701"/>
      <c r="C413" s="701"/>
      <c r="D413" s="701">
        <f>Bilans_E_AMS_Kyoto_run3_MTE!H526</f>
        <v>0</v>
      </c>
      <c r="E413" s="701">
        <f>Bilans_E_AMS_Kyoto_run3_MTE!I526</f>
        <v>0</v>
      </c>
      <c r="F413" s="701">
        <f>Bilans_E_AMS_Kyoto_run3_MTE!J526</f>
        <v>-7.1054273576010019E-15</v>
      </c>
      <c r="G413" s="701">
        <f>Bilans_E_AMS_Kyoto_run3_MTE!K526</f>
        <v>0</v>
      </c>
      <c r="H413" s="701">
        <f>Bilans_E_AMS_Kyoto_run3_MTE!L526</f>
        <v>4.0563540423477207E-5</v>
      </c>
      <c r="I413" s="701">
        <f>Bilans_E_AMS_Kyoto_run3_MTE!M526</f>
        <v>-4.0563540425697653E-5</v>
      </c>
      <c r="J413" s="701">
        <f>Bilans_E_AMS_Kyoto_run3_MTE!N526</f>
        <v>0</v>
      </c>
      <c r="K413" s="701">
        <f>Bilans_E_AMS_Kyoto_run3_MTE!O526</f>
        <v>0</v>
      </c>
      <c r="L413" s="701">
        <f>Bilans_E_AMS_Kyoto_run3_MTE!P526</f>
        <v>0</v>
      </c>
      <c r="M413" s="701">
        <f>Bilans_E_AMS_Kyoto_run3_MTE!Q526</f>
        <v>0</v>
      </c>
      <c r="N413" s="701">
        <f>Bilans_E_AMS_Kyoto_run3_MTE!R526</f>
        <v>0</v>
      </c>
      <c r="O413" s="701">
        <f>Bilans_E_AMS_Kyoto_run3_MTE!S526</f>
        <v>0</v>
      </c>
      <c r="P413" s="701">
        <f>Bilans_E_AMS_Kyoto_run3_MTE!T526+Bilans_E_AMS_Kyoto_run3_MTE!U526</f>
        <v>0</v>
      </c>
      <c r="Q413" s="701">
        <f>Bilans_E_AMS_Kyoto_run3_MTE!V526</f>
        <v>0</v>
      </c>
      <c r="R413" s="701">
        <f>Bilans_E_AMS_Kyoto_run3_MTE!W526</f>
        <v>0</v>
      </c>
      <c r="S413" s="701">
        <f>Bilans_E_AMS_Kyoto_run3_MTE!X526</f>
        <v>-3.2925505564662672E-5</v>
      </c>
      <c r="T413" s="701">
        <f>Bilans_E_AMS_Kyoto_run3_MTE!Y526</f>
        <v>0</v>
      </c>
      <c r="U413" s="701">
        <f>Bilans_E_AMS_Kyoto_run3_MTE!Z526</f>
        <v>-3.2925505365710706E-5</v>
      </c>
      <c r="V413" s="701"/>
      <c r="W413" s="701"/>
    </row>
    <row r="414" spans="1:23" x14ac:dyDescent="0.25">
      <c r="A414" s="701"/>
      <c r="B414" s="701"/>
      <c r="C414" s="701"/>
      <c r="D414" s="701"/>
      <c r="E414" s="701"/>
      <c r="F414" s="701"/>
      <c r="G414" s="701"/>
      <c r="H414" s="701"/>
      <c r="I414" s="701"/>
      <c r="J414" s="701"/>
      <c r="K414" s="701"/>
      <c r="L414" s="701"/>
      <c r="M414" s="701"/>
      <c r="N414" s="701"/>
      <c r="O414" s="701"/>
      <c r="P414" s="701"/>
      <c r="Q414" s="701"/>
      <c r="R414" s="701"/>
      <c r="S414" s="701"/>
      <c r="T414" s="701"/>
      <c r="U414" s="701"/>
      <c r="V414" s="701"/>
      <c r="W414" s="701"/>
    </row>
    <row r="415" spans="1:23" x14ac:dyDescent="0.25">
      <c r="A415" s="707"/>
      <c r="B415" s="707"/>
      <c r="C415" s="708" t="s">
        <v>89</v>
      </c>
      <c r="D415" s="707"/>
      <c r="E415" s="707"/>
      <c r="F415" s="707"/>
      <c r="G415" s="707"/>
      <c r="H415" s="707"/>
      <c r="I415" s="707"/>
      <c r="J415" s="707"/>
      <c r="K415" s="707"/>
      <c r="L415" s="707"/>
      <c r="M415" s="707"/>
      <c r="N415" s="707"/>
      <c r="O415" s="707"/>
      <c r="P415" s="707"/>
      <c r="Q415" s="707"/>
      <c r="R415" s="707"/>
      <c r="S415" s="707"/>
      <c r="T415" s="707"/>
      <c r="U415" s="707"/>
      <c r="V415" s="707"/>
      <c r="W415" s="707"/>
    </row>
    <row r="416" spans="1:23" x14ac:dyDescent="0.25">
      <c r="A416" s="701"/>
      <c r="B416" s="701"/>
      <c r="C416" s="701"/>
      <c r="D416" s="701"/>
      <c r="E416" s="701"/>
      <c r="F416" s="701"/>
      <c r="G416" s="701"/>
      <c r="H416" s="701"/>
      <c r="I416" s="701"/>
      <c r="J416" s="701"/>
      <c r="K416" s="701"/>
      <c r="L416" s="701"/>
      <c r="M416" s="701"/>
      <c r="N416" s="701"/>
      <c r="O416" s="701"/>
      <c r="P416" s="701"/>
      <c r="Q416" s="701"/>
      <c r="R416" s="701"/>
      <c r="S416" s="701"/>
      <c r="T416" s="701"/>
      <c r="U416" s="701"/>
      <c r="V416" s="701"/>
      <c r="W416" s="701"/>
    </row>
    <row r="417" spans="1:23" x14ac:dyDescent="0.25">
      <c r="A417" s="701"/>
      <c r="B417" s="701"/>
      <c r="C417" s="780" t="s">
        <v>128</v>
      </c>
      <c r="D417" s="775" t="s">
        <v>42</v>
      </c>
      <c r="E417" s="775" t="s">
        <v>52</v>
      </c>
      <c r="F417" s="775" t="s">
        <v>53</v>
      </c>
      <c r="G417" s="775" t="s">
        <v>482</v>
      </c>
      <c r="H417" s="775" t="s">
        <v>32</v>
      </c>
      <c r="I417" s="775" t="s">
        <v>483</v>
      </c>
      <c r="J417" s="775" t="s">
        <v>20</v>
      </c>
      <c r="K417" s="775" t="s">
        <v>55</v>
      </c>
      <c r="L417" s="777" t="s">
        <v>56</v>
      </c>
      <c r="M417" s="778"/>
      <c r="N417" s="778"/>
      <c r="O417" s="778"/>
      <c r="P417" s="778"/>
      <c r="Q417" s="779"/>
      <c r="R417" s="775" t="s">
        <v>57</v>
      </c>
      <c r="S417" s="775" t="s">
        <v>58</v>
      </c>
      <c r="T417" s="775" t="s">
        <v>31</v>
      </c>
      <c r="U417" s="775" t="s">
        <v>10</v>
      </c>
      <c r="V417" s="701"/>
      <c r="W417" s="701"/>
    </row>
    <row r="418" spans="1:23" ht="67.5" x14ac:dyDescent="0.25">
      <c r="A418" s="701" t="s">
        <v>486</v>
      </c>
      <c r="B418" s="701"/>
      <c r="C418" s="781"/>
      <c r="D418" s="776"/>
      <c r="E418" s="776"/>
      <c r="F418" s="776"/>
      <c r="G418" s="776"/>
      <c r="H418" s="776"/>
      <c r="I418" s="776"/>
      <c r="J418" s="776"/>
      <c r="K418" s="776"/>
      <c r="L418" s="709" t="s">
        <v>335</v>
      </c>
      <c r="M418" s="709" t="s">
        <v>40</v>
      </c>
      <c r="N418" s="709" t="s">
        <v>343</v>
      </c>
      <c r="O418" s="709" t="s">
        <v>344</v>
      </c>
      <c r="P418" s="719" t="s">
        <v>610</v>
      </c>
      <c r="Q418" s="709" t="s">
        <v>346</v>
      </c>
      <c r="R418" s="776"/>
      <c r="S418" s="776"/>
      <c r="T418" s="776"/>
      <c r="U418" s="776"/>
      <c r="V418" s="701"/>
      <c r="W418" s="701"/>
    </row>
    <row r="419" spans="1:23" x14ac:dyDescent="0.25">
      <c r="A419" s="701" t="s">
        <v>487</v>
      </c>
      <c r="B419" s="701"/>
      <c r="C419" s="710" t="s">
        <v>59</v>
      </c>
      <c r="D419" s="711">
        <f>Bilans_E_AMS_Kyoto_run3_MTE!H532</f>
        <v>0</v>
      </c>
      <c r="E419" s="711">
        <f>Bilans_E_AMS_Kyoto_run3_MTE!I532</f>
        <v>0</v>
      </c>
      <c r="F419" s="711">
        <f>Bilans_E_AMS_Kyoto_run3_MTE!J532</f>
        <v>0</v>
      </c>
      <c r="G419" s="711">
        <f>Bilans_E_AMS_Kyoto_run3_MTE!K532</f>
        <v>0</v>
      </c>
      <c r="H419" s="711">
        <f>Bilans_E_AMS_Kyoto_run3_MTE!L532</f>
        <v>0</v>
      </c>
      <c r="I419" s="711">
        <f>Bilans_E_AMS_Kyoto_run3_MTE!M532</f>
        <v>0</v>
      </c>
      <c r="J419" s="711">
        <f>Bilans_E_AMS_Kyoto_run3_MTE!N532</f>
        <v>807.37795933495636</v>
      </c>
      <c r="K419" s="711">
        <f>Bilans_E_AMS_Kyoto_run3_MTE!O532</f>
        <v>553.99388589395949</v>
      </c>
      <c r="L419" s="711">
        <f>Bilans_E_AMS_Kyoto_run3_MTE!P532</f>
        <v>401.60616442653316</v>
      </c>
      <c r="M419" s="711">
        <f>Bilans_E_AMS_Kyoto_run3_MTE!Q532</f>
        <v>43.888349788112322</v>
      </c>
      <c r="N419" s="711">
        <f>Bilans_E_AMS_Kyoto_run3_MTE!R532</f>
        <v>0</v>
      </c>
      <c r="O419" s="711">
        <f>Bilans_E_AMS_Kyoto_run3_MTE!S532</f>
        <v>0</v>
      </c>
      <c r="P419" s="711">
        <f>Bilans_E_AMS_Kyoto_run3_MTE!T532+Bilans_E_AMS_Kyoto_run3_MTE!U532</f>
        <v>274.41854375041947</v>
      </c>
      <c r="Q419" s="711">
        <f>Bilans_E_AMS_Kyoto_run3_MTE!V532</f>
        <v>50.723080686002739</v>
      </c>
      <c r="R419" s="711">
        <f>Bilans_E_AMS_Kyoto_run3_MTE!W532</f>
        <v>0</v>
      </c>
      <c r="S419" s="711">
        <f>Bilans_E_AMS_Kyoto_run3_MTE!X532</f>
        <v>0</v>
      </c>
      <c r="T419" s="711">
        <f>Bilans_E_AMS_Kyoto_run3_MTE!Y532</f>
        <v>0</v>
      </c>
      <c r="U419" s="711">
        <f>Bilans_E_AMS_Kyoto_run3_MTE!Z532</f>
        <v>2132.0079838799838</v>
      </c>
      <c r="V419" s="701"/>
      <c r="W419" s="701"/>
    </row>
    <row r="420" spans="1:23" x14ac:dyDescent="0.25">
      <c r="A420" s="701" t="s">
        <v>488</v>
      </c>
      <c r="B420" s="701"/>
      <c r="C420" s="710" t="s">
        <v>60</v>
      </c>
      <c r="D420" s="712">
        <f>Bilans_E_AMS_Kyoto_run3_MTE!H533</f>
        <v>0</v>
      </c>
      <c r="E420" s="712">
        <f>Bilans_E_AMS_Kyoto_run3_MTE!I533</f>
        <v>58.863651738299311</v>
      </c>
      <c r="F420" s="712">
        <f>Bilans_E_AMS_Kyoto_run3_MTE!J533</f>
        <v>45.756672067678878</v>
      </c>
      <c r="G420" s="712">
        <f>Bilans_E_AMS_Kyoto_run3_MTE!K533</f>
        <v>12.032159045744653</v>
      </c>
      <c r="H420" s="712">
        <f>Bilans_E_AMS_Kyoto_run3_MTE!L533</f>
        <v>7.019987079045241</v>
      </c>
      <c r="I420" s="712">
        <f>Bilans_E_AMS_Kyoto_run3_MTE!M533</f>
        <v>0</v>
      </c>
      <c r="J420" s="712">
        <f>Bilans_E_AMS_Kyoto_run3_MTE!N533</f>
        <v>0</v>
      </c>
      <c r="K420" s="712">
        <f>Bilans_E_AMS_Kyoto_run3_MTE!O533</f>
        <v>0</v>
      </c>
      <c r="L420" s="712">
        <f>Bilans_E_AMS_Kyoto_run3_MTE!P533</f>
        <v>22.470468893714155</v>
      </c>
      <c r="M420" s="712">
        <f>Bilans_E_AMS_Kyoto_run3_MTE!Q533</f>
        <v>0</v>
      </c>
      <c r="N420" s="712">
        <f>Bilans_E_AMS_Kyoto_run3_MTE!R533</f>
        <v>0</v>
      </c>
      <c r="O420" s="712">
        <f>Bilans_E_AMS_Kyoto_run3_MTE!S533</f>
        <v>0</v>
      </c>
      <c r="P420" s="712">
        <f>Bilans_E_AMS_Kyoto_run3_MTE!T533+Bilans_E_AMS_Kyoto_run3_MTE!U533</f>
        <v>0</v>
      </c>
      <c r="Q420" s="712">
        <f>Bilans_E_AMS_Kyoto_run3_MTE!V533</f>
        <v>0</v>
      </c>
      <c r="R420" s="712">
        <f>Bilans_E_AMS_Kyoto_run3_MTE!W533</f>
        <v>0</v>
      </c>
      <c r="S420" s="712">
        <f>Bilans_E_AMS_Kyoto_run3_MTE!X533</f>
        <v>0</v>
      </c>
      <c r="T420" s="712">
        <f>Bilans_E_AMS_Kyoto_run3_MTE!Y533</f>
        <v>0</v>
      </c>
      <c r="U420" s="712">
        <f>Bilans_E_AMS_Kyoto_run3_MTE!Z533</f>
        <v>146.14293882448223</v>
      </c>
      <c r="V420" s="701"/>
      <c r="W420" s="701"/>
    </row>
    <row r="421" spans="1:23" x14ac:dyDescent="0.25">
      <c r="A421" s="701" t="s">
        <v>489</v>
      </c>
      <c r="B421" s="701"/>
      <c r="C421" s="710" t="s">
        <v>61</v>
      </c>
      <c r="D421" s="712">
        <f>Bilans_E_AMS_Kyoto_run3_MTE!H534</f>
        <v>0</v>
      </c>
      <c r="E421" s="712">
        <f>Bilans_E_AMS_Kyoto_run3_MTE!I534</f>
        <v>0</v>
      </c>
      <c r="F421" s="712">
        <f>Bilans_E_AMS_Kyoto_run3_MTE!J534</f>
        <v>0</v>
      </c>
      <c r="G421" s="712">
        <f>Bilans_E_AMS_Kyoto_run3_MTE!K534</f>
        <v>0</v>
      </c>
      <c r="H421" s="712">
        <f>Bilans_E_AMS_Kyoto_run3_MTE!L534</f>
        <v>0</v>
      </c>
      <c r="I421" s="712">
        <f>Bilans_E_AMS_Kyoto_run3_MTE!M534</f>
        <v>0</v>
      </c>
      <c r="J421" s="712">
        <f>Bilans_E_AMS_Kyoto_run3_MTE!N534</f>
        <v>0</v>
      </c>
      <c r="K421" s="712">
        <f>Bilans_E_AMS_Kyoto_run3_MTE!O534</f>
        <v>0</v>
      </c>
      <c r="L421" s="712">
        <f>Bilans_E_AMS_Kyoto_run3_MTE!P534</f>
        <v>0</v>
      </c>
      <c r="M421" s="712">
        <f>Bilans_E_AMS_Kyoto_run3_MTE!Q534</f>
        <v>0</v>
      </c>
      <c r="N421" s="712">
        <f>Bilans_E_AMS_Kyoto_run3_MTE!R534</f>
        <v>-12.102055378039722</v>
      </c>
      <c r="O421" s="712">
        <f>Bilans_E_AMS_Kyoto_run3_MTE!S534</f>
        <v>-3.7955214595352373</v>
      </c>
      <c r="P421" s="712">
        <f>Bilans_E_AMS_Kyoto_run3_MTE!T534+Bilans_E_AMS_Kyoto_run3_MTE!U534</f>
        <v>0</v>
      </c>
      <c r="Q421" s="712">
        <f>Bilans_E_AMS_Kyoto_run3_MTE!V534</f>
        <v>0</v>
      </c>
      <c r="R421" s="712">
        <f>Bilans_E_AMS_Kyoto_run3_MTE!W534</f>
        <v>-28.679288227585289</v>
      </c>
      <c r="S421" s="712">
        <f>Bilans_E_AMS_Kyoto_run3_MTE!X534</f>
        <v>0</v>
      </c>
      <c r="T421" s="712">
        <f>Bilans_E_AMS_Kyoto_run3_MTE!Y534</f>
        <v>0</v>
      </c>
      <c r="U421" s="712">
        <f>Bilans_E_AMS_Kyoto_run3_MTE!Z534</f>
        <v>-44.576865065160248</v>
      </c>
      <c r="V421" s="701"/>
      <c r="W421" s="701"/>
    </row>
    <row r="422" spans="1:23" x14ac:dyDescent="0.25">
      <c r="A422" s="701" t="s">
        <v>490</v>
      </c>
      <c r="B422" s="701"/>
      <c r="C422" s="710" t="s">
        <v>62</v>
      </c>
      <c r="D422" s="711">
        <f>Bilans_E_AMS_Kyoto_run3_MTE!H535</f>
        <v>0</v>
      </c>
      <c r="E422" s="711">
        <f>Bilans_E_AMS_Kyoto_run3_MTE!I535</f>
        <v>0</v>
      </c>
      <c r="F422" s="711">
        <f>Bilans_E_AMS_Kyoto_run3_MTE!J535</f>
        <v>-1.2057976620084264E-3</v>
      </c>
      <c r="G422" s="711">
        <f>Bilans_E_AMS_Kyoto_run3_MTE!K535</f>
        <v>-2.8026264036035151</v>
      </c>
      <c r="H422" s="711">
        <f>Bilans_E_AMS_Kyoto_run3_MTE!L535</f>
        <v>0</v>
      </c>
      <c r="I422" s="711">
        <f>Bilans_E_AMS_Kyoto_run3_MTE!M535</f>
        <v>-2.8026264036035156</v>
      </c>
      <c r="J422" s="711">
        <f>Bilans_E_AMS_Kyoto_run3_MTE!N535</f>
        <v>0</v>
      </c>
      <c r="K422" s="711">
        <f>Bilans_E_AMS_Kyoto_run3_MTE!O535</f>
        <v>0</v>
      </c>
      <c r="L422" s="711">
        <f>Bilans_E_AMS_Kyoto_run3_MTE!P535</f>
        <v>0</v>
      </c>
      <c r="M422" s="711">
        <f>Bilans_E_AMS_Kyoto_run3_MTE!Q535</f>
        <v>0</v>
      </c>
      <c r="N422" s="711">
        <f>Bilans_E_AMS_Kyoto_run3_MTE!R535</f>
        <v>0</v>
      </c>
      <c r="O422" s="711">
        <f>Bilans_E_AMS_Kyoto_run3_MTE!S535</f>
        <v>-2.4289428831230464</v>
      </c>
      <c r="P422" s="711">
        <f>Bilans_E_AMS_Kyoto_run3_MTE!T535+Bilans_E_AMS_Kyoto_run3_MTE!U535</f>
        <v>0</v>
      </c>
      <c r="Q422" s="711">
        <f>Bilans_E_AMS_Kyoto_run3_MTE!V535</f>
        <v>0</v>
      </c>
      <c r="R422" s="711">
        <f>Bilans_E_AMS_Kyoto_run3_MTE!W535</f>
        <v>0</v>
      </c>
      <c r="S422" s="711">
        <f>Bilans_E_AMS_Kyoto_run3_MTE!X535</f>
        <v>0</v>
      </c>
      <c r="T422" s="711">
        <f>Bilans_E_AMS_Kyoto_run3_MTE!Y535</f>
        <v>-1.3066910843207444</v>
      </c>
      <c r="U422" s="711">
        <f>Bilans_E_AMS_Kyoto_run3_MTE!Z535</f>
        <v>-9.342092572312831</v>
      </c>
      <c r="V422" s="701"/>
      <c r="W422" s="701"/>
    </row>
    <row r="423" spans="1:23" x14ac:dyDescent="0.25">
      <c r="A423" s="701" t="s">
        <v>491</v>
      </c>
      <c r="B423" s="701"/>
      <c r="C423" s="710" t="s">
        <v>63</v>
      </c>
      <c r="D423" s="711">
        <f>Bilans_E_AMS_Kyoto_run3_MTE!H536</f>
        <v>0</v>
      </c>
      <c r="E423" s="711">
        <f>Bilans_E_AMS_Kyoto_run3_MTE!I536</f>
        <v>0</v>
      </c>
      <c r="F423" s="711">
        <f>Bilans_E_AMS_Kyoto_run3_MTE!J536</f>
        <v>-7</v>
      </c>
      <c r="G423" s="711">
        <f>Bilans_E_AMS_Kyoto_run3_MTE!K536</f>
        <v>-25</v>
      </c>
      <c r="H423" s="711">
        <f>Bilans_E_AMS_Kyoto_run3_MTE!L536</f>
        <v>0</v>
      </c>
      <c r="I423" s="711">
        <f>Bilans_E_AMS_Kyoto_run3_MTE!M536</f>
        <v>0</v>
      </c>
      <c r="J423" s="711">
        <f>Bilans_E_AMS_Kyoto_run3_MTE!N536</f>
        <v>0</v>
      </c>
      <c r="K423" s="711">
        <f>Bilans_E_AMS_Kyoto_run3_MTE!O536</f>
        <v>0</v>
      </c>
      <c r="L423" s="711">
        <f>Bilans_E_AMS_Kyoto_run3_MTE!P536</f>
        <v>0</v>
      </c>
      <c r="M423" s="711">
        <f>Bilans_E_AMS_Kyoto_run3_MTE!Q536</f>
        <v>0</v>
      </c>
      <c r="N423" s="711">
        <f>Bilans_E_AMS_Kyoto_run3_MTE!R536</f>
        <v>-17</v>
      </c>
      <c r="O423" s="711">
        <f>Bilans_E_AMS_Kyoto_run3_MTE!S536</f>
        <v>0</v>
      </c>
      <c r="P423" s="711">
        <f>Bilans_E_AMS_Kyoto_run3_MTE!T536+Bilans_E_AMS_Kyoto_run3_MTE!U536</f>
        <v>0</v>
      </c>
      <c r="Q423" s="711">
        <f>Bilans_E_AMS_Kyoto_run3_MTE!V536</f>
        <v>0</v>
      </c>
      <c r="R423" s="711">
        <f>Bilans_E_AMS_Kyoto_run3_MTE!W536</f>
        <v>0</v>
      </c>
      <c r="S423" s="711">
        <f>Bilans_E_AMS_Kyoto_run3_MTE!X536</f>
        <v>0</v>
      </c>
      <c r="T423" s="711">
        <f>Bilans_E_AMS_Kyoto_run3_MTE!Y536</f>
        <v>-8</v>
      </c>
      <c r="U423" s="711">
        <f>Bilans_E_AMS_Kyoto_run3_MTE!Z536</f>
        <v>-57</v>
      </c>
      <c r="V423" s="701"/>
      <c r="W423" s="701"/>
    </row>
    <row r="424" spans="1:23" x14ac:dyDescent="0.25">
      <c r="A424" s="701" t="s">
        <v>492</v>
      </c>
      <c r="B424" s="701"/>
      <c r="C424" s="710" t="s">
        <v>64</v>
      </c>
      <c r="D424" s="712">
        <f>Bilans_E_AMS_Kyoto_run3_MTE!H537</f>
        <v>0</v>
      </c>
      <c r="E424" s="712">
        <f>Bilans_E_AMS_Kyoto_run3_MTE!I537</f>
        <v>0</v>
      </c>
      <c r="F424" s="712">
        <f>Bilans_E_AMS_Kyoto_run3_MTE!J537</f>
        <v>0</v>
      </c>
      <c r="G424" s="712">
        <f>Bilans_E_AMS_Kyoto_run3_MTE!K537</f>
        <v>0</v>
      </c>
      <c r="H424" s="712">
        <f>Bilans_E_AMS_Kyoto_run3_MTE!L537</f>
        <v>0</v>
      </c>
      <c r="I424" s="712">
        <f>Bilans_E_AMS_Kyoto_run3_MTE!M537</f>
        <v>0</v>
      </c>
      <c r="J424" s="712">
        <f>Bilans_E_AMS_Kyoto_run3_MTE!N537</f>
        <v>0</v>
      </c>
      <c r="K424" s="712">
        <f>Bilans_E_AMS_Kyoto_run3_MTE!O537</f>
        <v>0</v>
      </c>
      <c r="L424" s="712">
        <f>Bilans_E_AMS_Kyoto_run3_MTE!P537</f>
        <v>0</v>
      </c>
      <c r="M424" s="712">
        <f>Bilans_E_AMS_Kyoto_run3_MTE!Q537</f>
        <v>0</v>
      </c>
      <c r="N424" s="712">
        <f>Bilans_E_AMS_Kyoto_run3_MTE!R537</f>
        <v>0</v>
      </c>
      <c r="O424" s="712">
        <f>Bilans_E_AMS_Kyoto_run3_MTE!S537</f>
        <v>0</v>
      </c>
      <c r="P424" s="712">
        <f>Bilans_E_AMS_Kyoto_run3_MTE!T537+Bilans_E_AMS_Kyoto_run3_MTE!U537</f>
        <v>0</v>
      </c>
      <c r="Q424" s="712">
        <f>Bilans_E_AMS_Kyoto_run3_MTE!V537</f>
        <v>0</v>
      </c>
      <c r="R424" s="712">
        <f>Bilans_E_AMS_Kyoto_run3_MTE!W537</f>
        <v>0</v>
      </c>
      <c r="S424" s="712">
        <f>Bilans_E_AMS_Kyoto_run3_MTE!X537</f>
        <v>0</v>
      </c>
      <c r="T424" s="712">
        <f>Bilans_E_AMS_Kyoto_run3_MTE!Y537</f>
        <v>0</v>
      </c>
      <c r="U424" s="712">
        <f>Bilans_E_AMS_Kyoto_run3_MTE!Z537</f>
        <v>0</v>
      </c>
      <c r="V424" s="701"/>
      <c r="W424" s="701"/>
    </row>
    <row r="425" spans="1:23" x14ac:dyDescent="0.25">
      <c r="A425" s="701" t="s">
        <v>493</v>
      </c>
      <c r="B425" s="701"/>
      <c r="C425" s="713" t="s">
        <v>65</v>
      </c>
      <c r="D425" s="714">
        <f>Bilans_E_AMS_Kyoto_run3_MTE!H538</f>
        <v>0</v>
      </c>
      <c r="E425" s="714">
        <f>Bilans_E_AMS_Kyoto_run3_MTE!I538</f>
        <v>58.863651738299311</v>
      </c>
      <c r="F425" s="714">
        <f>Bilans_E_AMS_Kyoto_run3_MTE!J538</f>
        <v>38.755466270016868</v>
      </c>
      <c r="G425" s="714">
        <f>Bilans_E_AMS_Kyoto_run3_MTE!K538</f>
        <v>-15.770467357858863</v>
      </c>
      <c r="H425" s="714">
        <f>Bilans_E_AMS_Kyoto_run3_MTE!L538</f>
        <v>7.019987079045241</v>
      </c>
      <c r="I425" s="714">
        <f>Bilans_E_AMS_Kyoto_run3_MTE!M538</f>
        <v>-2.8026264036035156</v>
      </c>
      <c r="J425" s="714">
        <f>Bilans_E_AMS_Kyoto_run3_MTE!N538</f>
        <v>807.37795933495636</v>
      </c>
      <c r="K425" s="714">
        <f>Bilans_E_AMS_Kyoto_run3_MTE!O538</f>
        <v>553.99388589395949</v>
      </c>
      <c r="L425" s="714">
        <f>Bilans_E_AMS_Kyoto_run3_MTE!P538</f>
        <v>424.07663332024731</v>
      </c>
      <c r="M425" s="714">
        <f>Bilans_E_AMS_Kyoto_run3_MTE!Q538</f>
        <v>43.888349788112322</v>
      </c>
      <c r="N425" s="714">
        <f>Bilans_E_AMS_Kyoto_run3_MTE!R538</f>
        <v>-29.102055378039722</v>
      </c>
      <c r="O425" s="714">
        <f>Bilans_E_AMS_Kyoto_run3_MTE!S538</f>
        <v>-6.2244643426582833</v>
      </c>
      <c r="P425" s="714">
        <f>Bilans_E_AMS_Kyoto_run3_MTE!T538+Bilans_E_AMS_Kyoto_run3_MTE!U538</f>
        <v>274.41854375041947</v>
      </c>
      <c r="Q425" s="714">
        <f>Bilans_E_AMS_Kyoto_run3_MTE!V538</f>
        <v>50.723080686002739</v>
      </c>
      <c r="R425" s="714">
        <f>Bilans_E_AMS_Kyoto_run3_MTE!W538</f>
        <v>-28.679288227585289</v>
      </c>
      <c r="S425" s="714">
        <f>Bilans_E_AMS_Kyoto_run3_MTE!X538</f>
        <v>0</v>
      </c>
      <c r="T425" s="714">
        <f>Bilans_E_AMS_Kyoto_run3_MTE!Y538</f>
        <v>-9.3066910843207449</v>
      </c>
      <c r="U425" s="714">
        <f>Bilans_E_AMS_Kyoto_run3_MTE!Z538</f>
        <v>2167.2319650669929</v>
      </c>
      <c r="V425" s="701"/>
      <c r="W425" s="701"/>
    </row>
    <row r="426" spans="1:23" x14ac:dyDescent="0.25">
      <c r="A426" s="701"/>
      <c r="B426" s="701"/>
      <c r="C426" s="715"/>
      <c r="D426" s="716"/>
      <c r="E426" s="716"/>
      <c r="F426" s="716"/>
      <c r="G426" s="716"/>
      <c r="H426" s="716"/>
      <c r="I426" s="716"/>
      <c r="J426" s="716"/>
      <c r="K426" s="716"/>
      <c r="L426" s="716"/>
      <c r="M426" s="716"/>
      <c r="N426" s="716"/>
      <c r="O426" s="716"/>
      <c r="P426" s="716">
        <f>Bilans_E_AMS_Kyoto_run3_MTE!T539+Bilans_E_AMS_Kyoto_run3_MTE!U539</f>
        <v>0</v>
      </c>
      <c r="Q426" s="716"/>
      <c r="R426" s="716"/>
      <c r="S426" s="716"/>
      <c r="T426" s="716"/>
      <c r="U426" s="716"/>
      <c r="V426" s="701"/>
      <c r="W426" s="701"/>
    </row>
    <row r="427" spans="1:23" x14ac:dyDescent="0.25">
      <c r="A427" s="701" t="s">
        <v>494</v>
      </c>
      <c r="B427" s="701"/>
      <c r="C427" s="717" t="s">
        <v>67</v>
      </c>
      <c r="D427" s="711">
        <f>Bilans_E_AMS_Kyoto_run3_MTE!H540</f>
        <v>0</v>
      </c>
      <c r="E427" s="711">
        <f>Bilans_E_AMS_Kyoto_run3_MTE!I540</f>
        <v>0</v>
      </c>
      <c r="F427" s="711">
        <f>Bilans_E_AMS_Kyoto_run3_MTE!J540</f>
        <v>0</v>
      </c>
      <c r="G427" s="711">
        <f>Bilans_E_AMS_Kyoto_run3_MTE!K540</f>
        <v>0</v>
      </c>
      <c r="H427" s="711">
        <f>Bilans_E_AMS_Kyoto_run3_MTE!L540</f>
        <v>0</v>
      </c>
      <c r="I427" s="711">
        <f>Bilans_E_AMS_Kyoto_run3_MTE!M540</f>
        <v>0</v>
      </c>
      <c r="J427" s="711">
        <f>Bilans_E_AMS_Kyoto_run3_MTE!N540</f>
        <v>0</v>
      </c>
      <c r="K427" s="711">
        <f>Bilans_E_AMS_Kyoto_run3_MTE!O540</f>
        <v>0</v>
      </c>
      <c r="L427" s="711">
        <f>Bilans_E_AMS_Kyoto_run3_MTE!P540</f>
        <v>0</v>
      </c>
      <c r="M427" s="711">
        <f>Bilans_E_AMS_Kyoto_run3_MTE!Q540</f>
        <v>0</v>
      </c>
      <c r="N427" s="711">
        <f>Bilans_E_AMS_Kyoto_run3_MTE!R540</f>
        <v>0</v>
      </c>
      <c r="O427" s="711">
        <f>Bilans_E_AMS_Kyoto_run3_MTE!S540</f>
        <v>0</v>
      </c>
      <c r="P427" s="711">
        <f>Bilans_E_AMS_Kyoto_run3_MTE!T540+Bilans_E_AMS_Kyoto_run3_MTE!U540</f>
        <v>0</v>
      </c>
      <c r="Q427" s="711">
        <f>Bilans_E_AMS_Kyoto_run3_MTE!V540</f>
        <v>0</v>
      </c>
      <c r="R427" s="711">
        <f>Bilans_E_AMS_Kyoto_run3_MTE!W540</f>
        <v>0</v>
      </c>
      <c r="S427" s="711">
        <f>Bilans_E_AMS_Kyoto_run3_MTE!X540</f>
        <v>0</v>
      </c>
      <c r="T427" s="711">
        <f>Bilans_E_AMS_Kyoto_run3_MTE!Y540</f>
        <v>0</v>
      </c>
      <c r="U427" s="711">
        <f>Bilans_E_AMS_Kyoto_run3_MTE!Z540</f>
        <v>0</v>
      </c>
      <c r="V427" s="701"/>
      <c r="W427" s="701"/>
    </row>
    <row r="428" spans="1:23" x14ac:dyDescent="0.25">
      <c r="A428" s="701" t="s">
        <v>495</v>
      </c>
      <c r="B428" s="701"/>
      <c r="C428" s="717" t="s">
        <v>347</v>
      </c>
      <c r="D428" s="711">
        <f>Bilans_E_AMS_Kyoto_run3_MTE!H541</f>
        <v>0</v>
      </c>
      <c r="E428" s="711">
        <f>Bilans_E_AMS_Kyoto_run3_MTE!I541</f>
        <v>0</v>
      </c>
      <c r="F428" s="711">
        <f>Bilans_E_AMS_Kyoto_run3_MTE!J541</f>
        <v>0</v>
      </c>
      <c r="G428" s="711">
        <f>Bilans_E_AMS_Kyoto_run3_MTE!K541</f>
        <v>0</v>
      </c>
      <c r="H428" s="711">
        <f>Bilans_E_AMS_Kyoto_run3_MTE!L541</f>
        <v>0</v>
      </c>
      <c r="I428" s="711">
        <f>Bilans_E_AMS_Kyoto_run3_MTE!M541</f>
        <v>0</v>
      </c>
      <c r="J428" s="711">
        <f>Bilans_E_AMS_Kyoto_run3_MTE!N541</f>
        <v>797.92981818181818</v>
      </c>
      <c r="K428" s="711">
        <f>Bilans_E_AMS_Kyoto_run3_MTE!O541</f>
        <v>553.99388589395949</v>
      </c>
      <c r="L428" s="711">
        <f>Bilans_E_AMS_Kyoto_run3_MTE!P541</f>
        <v>18.017312138261726</v>
      </c>
      <c r="M428" s="711">
        <f>Bilans_E_AMS_Kyoto_run3_MTE!Q541</f>
        <v>5.0359913785352379</v>
      </c>
      <c r="N428" s="711">
        <f>Bilans_E_AMS_Kyoto_run3_MTE!R541</f>
        <v>6.5561937148871507</v>
      </c>
      <c r="O428" s="711">
        <f>Bilans_E_AMS_Kyoto_run3_MTE!S541</f>
        <v>0.11704136254218823</v>
      </c>
      <c r="P428" s="711">
        <f>Bilans_E_AMS_Kyoto_run3_MTE!T541+Bilans_E_AMS_Kyoto_run3_MTE!U541</f>
        <v>0</v>
      </c>
      <c r="Q428" s="711">
        <f>Bilans_E_AMS_Kyoto_run3_MTE!V541</f>
        <v>6.7631767445353068</v>
      </c>
      <c r="R428" s="711">
        <f>Bilans_E_AMS_Kyoto_run3_MTE!W541</f>
        <v>-834.6881786149205</v>
      </c>
      <c r="S428" s="711">
        <f>Bilans_E_AMS_Kyoto_run3_MTE!X541</f>
        <v>0</v>
      </c>
      <c r="T428" s="711">
        <f>Bilans_E_AMS_Kyoto_run3_MTE!Y541</f>
        <v>0</v>
      </c>
      <c r="U428" s="711">
        <f>Bilans_E_AMS_Kyoto_run3_MTE!Z541</f>
        <v>553.72524079961875</v>
      </c>
      <c r="V428" s="701"/>
      <c r="W428" s="701"/>
    </row>
    <row r="429" spans="1:23" x14ac:dyDescent="0.25">
      <c r="A429" s="701" t="s">
        <v>496</v>
      </c>
      <c r="B429" s="701"/>
      <c r="C429" s="717" t="s">
        <v>348</v>
      </c>
      <c r="D429" s="711">
        <f>Bilans_E_AMS_Kyoto_run3_MTE!H542</f>
        <v>0</v>
      </c>
      <c r="E429" s="711">
        <f>Bilans_E_AMS_Kyoto_run3_MTE!I542</f>
        <v>0</v>
      </c>
      <c r="F429" s="711">
        <f>Bilans_E_AMS_Kyoto_run3_MTE!J542</f>
        <v>0</v>
      </c>
      <c r="G429" s="711">
        <f>Bilans_E_AMS_Kyoto_run3_MTE!K542</f>
        <v>0</v>
      </c>
      <c r="H429" s="711">
        <f>Bilans_E_AMS_Kyoto_run3_MTE!L542</f>
        <v>0</v>
      </c>
      <c r="I429" s="711">
        <f>Bilans_E_AMS_Kyoto_run3_MTE!M542</f>
        <v>0.44183816383617902</v>
      </c>
      <c r="J429" s="711">
        <f>Bilans_E_AMS_Kyoto_run3_MTE!N542</f>
        <v>9.448141153138188</v>
      </c>
      <c r="K429" s="711">
        <f>Bilans_E_AMS_Kyoto_run3_MTE!O542</f>
        <v>0</v>
      </c>
      <c r="L429" s="711">
        <f>Bilans_E_AMS_Kyoto_run3_MTE!P542</f>
        <v>23.543561697387847</v>
      </c>
      <c r="M429" s="711">
        <f>Bilans_E_AMS_Kyoto_run3_MTE!Q542</f>
        <v>10.266401321700496</v>
      </c>
      <c r="N429" s="711">
        <f>Bilans_E_AMS_Kyoto_run3_MTE!R542</f>
        <v>0</v>
      </c>
      <c r="O429" s="711">
        <f>Bilans_E_AMS_Kyoto_run3_MTE!S542</f>
        <v>8.4106289047241454</v>
      </c>
      <c r="P429" s="711">
        <f>Bilans_E_AMS_Kyoto_run3_MTE!T542+Bilans_E_AMS_Kyoto_run3_MTE!U542</f>
        <v>22.572621073808037</v>
      </c>
      <c r="Q429" s="711">
        <f>Bilans_E_AMS_Kyoto_run3_MTE!V542</f>
        <v>12.943396433622139</v>
      </c>
      <c r="R429" s="711">
        <f>Bilans_E_AMS_Kyoto_run3_MTE!W542</f>
        <v>0</v>
      </c>
      <c r="S429" s="711">
        <f>Bilans_E_AMS_Kyoto_run3_MTE!X542</f>
        <v>-82.703064296862223</v>
      </c>
      <c r="T429" s="711">
        <f>Bilans_E_AMS_Kyoto_run3_MTE!Y542</f>
        <v>0</v>
      </c>
      <c r="U429" s="711">
        <f>Bilans_E_AMS_Kyoto_run3_MTE!Z542</f>
        <v>4.9235244513548082</v>
      </c>
      <c r="V429" s="701"/>
      <c r="W429" s="701"/>
    </row>
    <row r="430" spans="1:23" x14ac:dyDescent="0.25">
      <c r="A430" s="701" t="s">
        <v>497</v>
      </c>
      <c r="B430" s="701"/>
      <c r="C430" s="717" t="s">
        <v>349</v>
      </c>
      <c r="D430" s="711">
        <f>Bilans_E_AMS_Kyoto_run3_MTE!H543</f>
        <v>0</v>
      </c>
      <c r="E430" s="711">
        <f>Bilans_E_AMS_Kyoto_run3_MTE!I543</f>
        <v>0</v>
      </c>
      <c r="F430" s="711">
        <f>Bilans_E_AMS_Kyoto_run3_MTE!J543</f>
        <v>0</v>
      </c>
      <c r="G430" s="711">
        <f>Bilans_E_AMS_Kyoto_run3_MTE!K543</f>
        <v>0</v>
      </c>
      <c r="H430" s="711">
        <f>Bilans_E_AMS_Kyoto_run3_MTE!L543</f>
        <v>0</v>
      </c>
      <c r="I430" s="711">
        <f>Bilans_E_AMS_Kyoto_run3_MTE!M543</f>
        <v>0</v>
      </c>
      <c r="J430" s="711">
        <f>Bilans_E_AMS_Kyoto_run3_MTE!N543</f>
        <v>0</v>
      </c>
      <c r="K430" s="711">
        <f>Bilans_E_AMS_Kyoto_run3_MTE!O543</f>
        <v>0</v>
      </c>
      <c r="L430" s="711">
        <f>Bilans_E_AMS_Kyoto_run3_MTE!P543</f>
        <v>177.56965686689</v>
      </c>
      <c r="M430" s="711">
        <f>Bilans_E_AMS_Kyoto_run3_MTE!Q543</f>
        <v>14.007374273227594</v>
      </c>
      <c r="N430" s="711">
        <f>Bilans_E_AMS_Kyoto_run3_MTE!R543</f>
        <v>0</v>
      </c>
      <c r="O430" s="711">
        <f>Bilans_E_AMS_Kyoto_run3_MTE!S543</f>
        <v>-95.874066928158982</v>
      </c>
      <c r="P430" s="711">
        <f>Bilans_E_AMS_Kyoto_run3_MTE!T543+Bilans_E_AMS_Kyoto_run3_MTE!U543</f>
        <v>0</v>
      </c>
      <c r="Q430" s="711">
        <f>Bilans_E_AMS_Kyoto_run3_MTE!V543</f>
        <v>0</v>
      </c>
      <c r="R430" s="711">
        <f>Bilans_E_AMS_Kyoto_run3_MTE!W543</f>
        <v>0</v>
      </c>
      <c r="S430" s="711">
        <f>Bilans_E_AMS_Kyoto_run3_MTE!X543</f>
        <v>0</v>
      </c>
      <c r="T430" s="711">
        <f>Bilans_E_AMS_Kyoto_run3_MTE!Y543</f>
        <v>0</v>
      </c>
      <c r="U430" s="711">
        <f>Bilans_E_AMS_Kyoto_run3_MTE!Z543</f>
        <v>95.702964211958601</v>
      </c>
      <c r="V430" s="701"/>
      <c r="W430" s="701"/>
    </row>
    <row r="431" spans="1:23" x14ac:dyDescent="0.25">
      <c r="A431" s="701" t="s">
        <v>498</v>
      </c>
      <c r="B431" s="701"/>
      <c r="C431" s="717" t="s">
        <v>350</v>
      </c>
      <c r="D431" s="711">
        <f>Bilans_E_AMS_Kyoto_run3_MTE!H544</f>
        <v>0</v>
      </c>
      <c r="E431" s="711">
        <f>Bilans_E_AMS_Kyoto_run3_MTE!I544</f>
        <v>0</v>
      </c>
      <c r="F431" s="711">
        <f>Bilans_E_AMS_Kyoto_run3_MTE!J544</f>
        <v>0</v>
      </c>
      <c r="G431" s="711">
        <f>Bilans_E_AMS_Kyoto_run3_MTE!K544</f>
        <v>0</v>
      </c>
      <c r="H431" s="711">
        <f>Bilans_E_AMS_Kyoto_run3_MTE!L544</f>
        <v>0</v>
      </c>
      <c r="I431" s="711">
        <f>Bilans_E_AMS_Kyoto_run3_MTE!M544</f>
        <v>-7.5120211335666909</v>
      </c>
      <c r="J431" s="711">
        <f>Bilans_E_AMS_Kyoto_run3_MTE!N544</f>
        <v>0</v>
      </c>
      <c r="K431" s="711">
        <f>Bilans_E_AMS_Kyoto_run3_MTE!O544</f>
        <v>0</v>
      </c>
      <c r="L431" s="711">
        <f>Bilans_E_AMS_Kyoto_run3_MTE!P544</f>
        <v>0</v>
      </c>
      <c r="M431" s="711">
        <f>Bilans_E_AMS_Kyoto_run3_MTE!Q544</f>
        <v>0</v>
      </c>
      <c r="N431" s="711">
        <f>Bilans_E_AMS_Kyoto_run3_MTE!R544</f>
        <v>0</v>
      </c>
      <c r="O431" s="711">
        <f>Bilans_E_AMS_Kyoto_run3_MTE!S544</f>
        <v>0</v>
      </c>
      <c r="P431" s="711">
        <f>Bilans_E_AMS_Kyoto_run3_MTE!T544+Bilans_E_AMS_Kyoto_run3_MTE!U544</f>
        <v>0</v>
      </c>
      <c r="Q431" s="711">
        <f>Bilans_E_AMS_Kyoto_run3_MTE!V544</f>
        <v>0</v>
      </c>
      <c r="R431" s="711">
        <f>Bilans_E_AMS_Kyoto_run3_MTE!W544</f>
        <v>0</v>
      </c>
      <c r="S431" s="711">
        <f>Bilans_E_AMS_Kyoto_run3_MTE!X544</f>
        <v>0</v>
      </c>
      <c r="T431" s="711">
        <f>Bilans_E_AMS_Kyoto_run3_MTE!Y544</f>
        <v>10.395912432015363</v>
      </c>
      <c r="U431" s="711">
        <f>Bilans_E_AMS_Kyoto_run3_MTE!Z544</f>
        <v>2.8838912984486722</v>
      </c>
      <c r="V431" s="701"/>
      <c r="W431" s="701"/>
    </row>
    <row r="432" spans="1:23" x14ac:dyDescent="0.25">
      <c r="A432" s="701" t="s">
        <v>499</v>
      </c>
      <c r="B432" s="701"/>
      <c r="C432" s="717" t="s">
        <v>72</v>
      </c>
      <c r="D432" s="711">
        <f>Bilans_E_AMS_Kyoto_run3_MTE!H545</f>
        <v>0</v>
      </c>
      <c r="E432" s="711">
        <f>Bilans_E_AMS_Kyoto_run3_MTE!I545</f>
        <v>60.999648796706254</v>
      </c>
      <c r="F432" s="711">
        <f>Bilans_E_AMS_Kyoto_run3_MTE!J545</f>
        <v>-60.389652308739187</v>
      </c>
      <c r="G432" s="711">
        <f>Bilans_E_AMS_Kyoto_run3_MTE!K545</f>
        <v>0</v>
      </c>
      <c r="H432" s="711">
        <f>Bilans_E_AMS_Kyoto_run3_MTE!L545</f>
        <v>0</v>
      </c>
      <c r="I432" s="711">
        <f>Bilans_E_AMS_Kyoto_run3_MTE!M545</f>
        <v>0</v>
      </c>
      <c r="J432" s="711">
        <f>Bilans_E_AMS_Kyoto_run3_MTE!N545</f>
        <v>0</v>
      </c>
      <c r="K432" s="711">
        <f>Bilans_E_AMS_Kyoto_run3_MTE!O545</f>
        <v>0</v>
      </c>
      <c r="L432" s="711">
        <f>Bilans_E_AMS_Kyoto_run3_MTE!P545</f>
        <v>0</v>
      </c>
      <c r="M432" s="711">
        <f>Bilans_E_AMS_Kyoto_run3_MTE!Q545</f>
        <v>0</v>
      </c>
      <c r="N432" s="711">
        <f>Bilans_E_AMS_Kyoto_run3_MTE!R545</f>
        <v>0</v>
      </c>
      <c r="O432" s="711">
        <f>Bilans_E_AMS_Kyoto_run3_MTE!S545</f>
        <v>0</v>
      </c>
      <c r="P432" s="711">
        <f>Bilans_E_AMS_Kyoto_run3_MTE!T545+Bilans_E_AMS_Kyoto_run3_MTE!U545</f>
        <v>0</v>
      </c>
      <c r="Q432" s="711">
        <f>Bilans_E_AMS_Kyoto_run3_MTE!V545</f>
        <v>0</v>
      </c>
      <c r="R432" s="711">
        <f>Bilans_E_AMS_Kyoto_run3_MTE!W545</f>
        <v>0</v>
      </c>
      <c r="S432" s="711">
        <f>Bilans_E_AMS_Kyoto_run3_MTE!X545</f>
        <v>0</v>
      </c>
      <c r="T432" s="711">
        <f>Bilans_E_AMS_Kyoto_run3_MTE!Y545</f>
        <v>0</v>
      </c>
      <c r="U432" s="711">
        <f>Bilans_E_AMS_Kyoto_run3_MTE!Z545</f>
        <v>0.60999648796706651</v>
      </c>
      <c r="V432" s="701"/>
      <c r="W432" s="701"/>
    </row>
    <row r="433" spans="1:23" x14ac:dyDescent="0.25">
      <c r="A433" s="701" t="s">
        <v>500</v>
      </c>
      <c r="B433" s="701"/>
      <c r="C433" s="717" t="s">
        <v>351</v>
      </c>
      <c r="D433" s="711">
        <f>Bilans_E_AMS_Kyoto_run3_MTE!H546</f>
        <v>0</v>
      </c>
      <c r="E433" s="711">
        <f>Bilans_E_AMS_Kyoto_run3_MTE!I546</f>
        <v>0</v>
      </c>
      <c r="F433" s="711">
        <f>Bilans_E_AMS_Kyoto_run3_MTE!J546</f>
        <v>0</v>
      </c>
      <c r="G433" s="711">
        <f>Bilans_E_AMS_Kyoto_run3_MTE!K546</f>
        <v>0</v>
      </c>
      <c r="H433" s="711">
        <f>Bilans_E_AMS_Kyoto_run3_MTE!L546</f>
        <v>0</v>
      </c>
      <c r="I433" s="711">
        <f>Bilans_E_AMS_Kyoto_run3_MTE!M546</f>
        <v>0</v>
      </c>
      <c r="J433" s="711">
        <f>Bilans_E_AMS_Kyoto_run3_MTE!N546</f>
        <v>0</v>
      </c>
      <c r="K433" s="711">
        <f>Bilans_E_AMS_Kyoto_run3_MTE!O546</f>
        <v>0</v>
      </c>
      <c r="L433" s="711">
        <f>Bilans_E_AMS_Kyoto_run3_MTE!P546</f>
        <v>112.15319289997592</v>
      </c>
      <c r="M433" s="711">
        <f>Bilans_E_AMS_Kyoto_run3_MTE!Q546</f>
        <v>7.2727272727272725</v>
      </c>
      <c r="N433" s="711">
        <f>Bilans_E_AMS_Kyoto_run3_MTE!R546</f>
        <v>-66.38461722515251</v>
      </c>
      <c r="O433" s="711">
        <f>Bilans_E_AMS_Kyoto_run3_MTE!S546</f>
        <v>0</v>
      </c>
      <c r="P433" s="711">
        <f>Bilans_E_AMS_Kyoto_run3_MTE!T546+Bilans_E_AMS_Kyoto_run3_MTE!U546</f>
        <v>0</v>
      </c>
      <c r="Q433" s="711">
        <f>Bilans_E_AMS_Kyoto_run3_MTE!V546</f>
        <v>0</v>
      </c>
      <c r="R433" s="711">
        <f>Bilans_E_AMS_Kyoto_run3_MTE!W546</f>
        <v>0</v>
      </c>
      <c r="S433" s="711">
        <f>Bilans_E_AMS_Kyoto_run3_MTE!X546</f>
        <v>0</v>
      </c>
      <c r="T433" s="711">
        <f>Bilans_E_AMS_Kyoto_run3_MTE!Y546</f>
        <v>0</v>
      </c>
      <c r="U433" s="711">
        <f>Bilans_E_AMS_Kyoto_run3_MTE!Z546</f>
        <v>53.041302947550676</v>
      </c>
      <c r="V433" s="701"/>
      <c r="W433" s="701"/>
    </row>
    <row r="434" spans="1:23" x14ac:dyDescent="0.25">
      <c r="A434" s="701" t="s">
        <v>501</v>
      </c>
      <c r="B434" s="701"/>
      <c r="C434" s="717" t="s">
        <v>352</v>
      </c>
      <c r="D434" s="711">
        <f>Bilans_E_AMS_Kyoto_run3_MTE!H547</f>
        <v>0</v>
      </c>
      <c r="E434" s="711">
        <f>Bilans_E_AMS_Kyoto_run3_MTE!I547</f>
        <v>0</v>
      </c>
      <c r="F434" s="711">
        <f>Bilans_E_AMS_Kyoto_run3_MTE!J547</f>
        <v>0</v>
      </c>
      <c r="G434" s="711">
        <f>Bilans_E_AMS_Kyoto_run3_MTE!K547</f>
        <v>-24.740126403603515</v>
      </c>
      <c r="H434" s="711">
        <f>Bilans_E_AMS_Kyoto_run3_MTE!L547</f>
        <v>0</v>
      </c>
      <c r="I434" s="711">
        <f>Bilans_E_AMS_Kyoto_run3_MTE!M547</f>
        <v>0</v>
      </c>
      <c r="J434" s="711">
        <f>Bilans_E_AMS_Kyoto_run3_MTE!N547</f>
        <v>0</v>
      </c>
      <c r="K434" s="711">
        <f>Bilans_E_AMS_Kyoto_run3_MTE!O547</f>
        <v>0</v>
      </c>
      <c r="L434" s="711">
        <f>Bilans_E_AMS_Kyoto_run3_MTE!P547</f>
        <v>0</v>
      </c>
      <c r="M434" s="711">
        <f>Bilans_E_AMS_Kyoto_run3_MTE!Q547</f>
        <v>0</v>
      </c>
      <c r="N434" s="711">
        <f>Bilans_E_AMS_Kyoto_run3_MTE!R547</f>
        <v>0</v>
      </c>
      <c r="O434" s="711">
        <f>Bilans_E_AMS_Kyoto_run3_MTE!S547</f>
        <v>0</v>
      </c>
      <c r="P434" s="711">
        <f>Bilans_E_AMS_Kyoto_run3_MTE!T547+Bilans_E_AMS_Kyoto_run3_MTE!U547</f>
        <v>0</v>
      </c>
      <c r="Q434" s="711">
        <f>Bilans_E_AMS_Kyoto_run3_MTE!V547</f>
        <v>0</v>
      </c>
      <c r="R434" s="711">
        <f>Bilans_E_AMS_Kyoto_run3_MTE!W547</f>
        <v>0</v>
      </c>
      <c r="S434" s="711">
        <f>Bilans_E_AMS_Kyoto_run3_MTE!X547</f>
        <v>0</v>
      </c>
      <c r="T434" s="711">
        <f>Bilans_E_AMS_Kyoto_run3_MTE!Y547</f>
        <v>41.692889043963866</v>
      </c>
      <c r="U434" s="711">
        <f>Bilans_E_AMS_Kyoto_run3_MTE!Z547</f>
        <v>16.952762640360351</v>
      </c>
      <c r="V434" s="701"/>
      <c r="W434" s="701"/>
    </row>
    <row r="435" spans="1:23" x14ac:dyDescent="0.25">
      <c r="A435" s="701" t="s">
        <v>502</v>
      </c>
      <c r="B435" s="701"/>
      <c r="C435" s="717" t="s">
        <v>73</v>
      </c>
      <c r="D435" s="711">
        <f>Bilans_E_AMS_Kyoto_run3_MTE!H548</f>
        <v>0</v>
      </c>
      <c r="E435" s="711">
        <f>Bilans_E_AMS_Kyoto_run3_MTE!I548</f>
        <v>0</v>
      </c>
      <c r="F435" s="711">
        <f>Bilans_E_AMS_Kyoto_run3_MTE!J548</f>
        <v>0</v>
      </c>
      <c r="G435" s="711">
        <f>Bilans_E_AMS_Kyoto_run3_MTE!K548</f>
        <v>0</v>
      </c>
      <c r="H435" s="711">
        <f>Bilans_E_AMS_Kyoto_run3_MTE!L548</f>
        <v>0</v>
      </c>
      <c r="I435" s="711">
        <f>Bilans_E_AMS_Kyoto_run3_MTE!M548</f>
        <v>0</v>
      </c>
      <c r="J435" s="711">
        <f>Bilans_E_AMS_Kyoto_run3_MTE!N548</f>
        <v>0</v>
      </c>
      <c r="K435" s="711">
        <f>Bilans_E_AMS_Kyoto_run3_MTE!O548</f>
        <v>0</v>
      </c>
      <c r="L435" s="711">
        <f>Bilans_E_AMS_Kyoto_run3_MTE!P548</f>
        <v>0</v>
      </c>
      <c r="M435" s="711">
        <f>Bilans_E_AMS_Kyoto_run3_MTE!Q548</f>
        <v>0</v>
      </c>
      <c r="N435" s="711">
        <f>Bilans_E_AMS_Kyoto_run3_MTE!R548</f>
        <v>0</v>
      </c>
      <c r="O435" s="711">
        <f>Bilans_E_AMS_Kyoto_run3_MTE!S548</f>
        <v>0</v>
      </c>
      <c r="P435" s="711">
        <f>Bilans_E_AMS_Kyoto_run3_MTE!T548+Bilans_E_AMS_Kyoto_run3_MTE!U548</f>
        <v>0</v>
      </c>
      <c r="Q435" s="711">
        <f>Bilans_E_AMS_Kyoto_run3_MTE!V548</f>
        <v>0</v>
      </c>
      <c r="R435" s="711">
        <f>Bilans_E_AMS_Kyoto_run3_MTE!W548</f>
        <v>127.55076516290167</v>
      </c>
      <c r="S435" s="711">
        <f>Bilans_E_AMS_Kyoto_run3_MTE!X548</f>
        <v>0</v>
      </c>
      <c r="T435" s="711">
        <f>Bilans_E_AMS_Kyoto_run3_MTE!Y548</f>
        <v>-91.836550917289202</v>
      </c>
      <c r="U435" s="711">
        <f>Bilans_E_AMS_Kyoto_run3_MTE!Z548</f>
        <v>35.714214245612467</v>
      </c>
      <c r="V435" s="701"/>
      <c r="W435" s="701"/>
    </row>
    <row r="436" spans="1:23" x14ac:dyDescent="0.25">
      <c r="A436" s="701" t="s">
        <v>503</v>
      </c>
      <c r="B436" s="701"/>
      <c r="C436" s="717" t="s">
        <v>353</v>
      </c>
      <c r="D436" s="711">
        <f>Bilans_E_AMS_Kyoto_run3_MTE!H549</f>
        <v>0</v>
      </c>
      <c r="E436" s="711">
        <f>Bilans_E_AMS_Kyoto_run3_MTE!I549</f>
        <v>-2.1359970584069448</v>
      </c>
      <c r="F436" s="711">
        <f>Bilans_E_AMS_Kyoto_run3_MTE!J549</f>
        <v>2.9254988687511099</v>
      </c>
      <c r="G436" s="711">
        <f>Bilans_E_AMS_Kyoto_run3_MTE!K549</f>
        <v>0</v>
      </c>
      <c r="H436" s="711">
        <f>Bilans_E_AMS_Kyoto_run3_MTE!L549</f>
        <v>0</v>
      </c>
      <c r="I436" s="711">
        <f>Bilans_E_AMS_Kyoto_run3_MTE!M549</f>
        <v>0</v>
      </c>
      <c r="J436" s="711">
        <f>Bilans_E_AMS_Kyoto_run3_MTE!N549</f>
        <v>0</v>
      </c>
      <c r="K436" s="711">
        <f>Bilans_E_AMS_Kyoto_run3_MTE!O549</f>
        <v>0</v>
      </c>
      <c r="L436" s="711">
        <f>Bilans_E_AMS_Kyoto_run3_MTE!P549</f>
        <v>0</v>
      </c>
      <c r="M436" s="711">
        <f>Bilans_E_AMS_Kyoto_run3_MTE!Q549</f>
        <v>0</v>
      </c>
      <c r="N436" s="711">
        <f>Bilans_E_AMS_Kyoto_run3_MTE!R549</f>
        <v>0</v>
      </c>
      <c r="O436" s="711">
        <f>Bilans_E_AMS_Kyoto_run3_MTE!S549</f>
        <v>0</v>
      </c>
      <c r="P436" s="711">
        <f>Bilans_E_AMS_Kyoto_run3_MTE!T549+Bilans_E_AMS_Kyoto_run3_MTE!U549</f>
        <v>0</v>
      </c>
      <c r="Q436" s="711">
        <f>Bilans_E_AMS_Kyoto_run3_MTE!V549</f>
        <v>0</v>
      </c>
      <c r="R436" s="711">
        <f>Bilans_E_AMS_Kyoto_run3_MTE!W549</f>
        <v>0</v>
      </c>
      <c r="S436" s="711">
        <f>Bilans_E_AMS_Kyoto_run3_MTE!X549</f>
        <v>0</v>
      </c>
      <c r="T436" s="711">
        <f>Bilans_E_AMS_Kyoto_run3_MTE!Y549</f>
        <v>0</v>
      </c>
      <c r="U436" s="711">
        <f>Bilans_E_AMS_Kyoto_run3_MTE!Z549</f>
        <v>0.78950181034416511</v>
      </c>
      <c r="V436" s="701"/>
      <c r="W436" s="701"/>
    </row>
    <row r="437" spans="1:23" x14ac:dyDescent="0.25">
      <c r="A437" s="701" t="s">
        <v>504</v>
      </c>
      <c r="B437" s="701"/>
      <c r="C437" s="717" t="s">
        <v>75</v>
      </c>
      <c r="D437" s="711">
        <f>Bilans_E_AMS_Kyoto_run3_MTE!H550</f>
        <v>0</v>
      </c>
      <c r="E437" s="711">
        <f>Bilans_E_AMS_Kyoto_run3_MTE!I550</f>
        <v>0</v>
      </c>
      <c r="F437" s="711">
        <f>Bilans_E_AMS_Kyoto_run3_MTE!J550</f>
        <v>2.205240968493043</v>
      </c>
      <c r="G437" s="711">
        <f>Bilans_E_AMS_Kyoto_run3_MTE!K550</f>
        <v>0</v>
      </c>
      <c r="H437" s="711">
        <f>Bilans_E_AMS_Kyoto_run3_MTE!L550</f>
        <v>0</v>
      </c>
      <c r="I437" s="711">
        <f>Bilans_E_AMS_Kyoto_run3_MTE!M550</f>
        <v>0</v>
      </c>
      <c r="J437" s="711">
        <f>Bilans_E_AMS_Kyoto_run3_MTE!N550</f>
        <v>0</v>
      </c>
      <c r="K437" s="711">
        <f>Bilans_E_AMS_Kyoto_run3_MTE!O550</f>
        <v>0</v>
      </c>
      <c r="L437" s="711">
        <f>Bilans_E_AMS_Kyoto_run3_MTE!P550</f>
        <v>0</v>
      </c>
      <c r="M437" s="711">
        <f>Bilans_E_AMS_Kyoto_run3_MTE!Q550</f>
        <v>0</v>
      </c>
      <c r="N437" s="711">
        <f>Bilans_E_AMS_Kyoto_run3_MTE!R550</f>
        <v>0</v>
      </c>
      <c r="O437" s="711">
        <f>Bilans_E_AMS_Kyoto_run3_MTE!S550</f>
        <v>0</v>
      </c>
      <c r="P437" s="711">
        <f>Bilans_E_AMS_Kyoto_run3_MTE!T550+Bilans_E_AMS_Kyoto_run3_MTE!U550</f>
        <v>0</v>
      </c>
      <c r="Q437" s="711">
        <f>Bilans_E_AMS_Kyoto_run3_MTE!V550</f>
        <v>0</v>
      </c>
      <c r="R437" s="711">
        <f>Bilans_E_AMS_Kyoto_run3_MTE!W550</f>
        <v>37.68086569149628</v>
      </c>
      <c r="S437" s="711">
        <f>Bilans_E_AMS_Kyoto_run3_MTE!X550</f>
        <v>0</v>
      </c>
      <c r="T437" s="711">
        <f>Bilans_E_AMS_Kyoto_run3_MTE!Y550</f>
        <v>0.6</v>
      </c>
      <c r="U437" s="711">
        <f>Bilans_E_AMS_Kyoto_run3_MTE!Z550</f>
        <v>40.486106659989325</v>
      </c>
      <c r="V437" s="701"/>
      <c r="W437" s="701"/>
    </row>
    <row r="438" spans="1:23" x14ac:dyDescent="0.25">
      <c r="A438" s="701" t="s">
        <v>505</v>
      </c>
      <c r="B438" s="701"/>
      <c r="C438" s="717" t="s">
        <v>76</v>
      </c>
      <c r="D438" s="711">
        <f>Bilans_E_AMS_Kyoto_run3_MTE!H551</f>
        <v>0</v>
      </c>
      <c r="E438" s="711">
        <f>Bilans_E_AMS_Kyoto_run3_MTE!I551</f>
        <v>0</v>
      </c>
      <c r="F438" s="711">
        <f>Bilans_E_AMS_Kyoto_run3_MTE!J551</f>
        <v>0</v>
      </c>
      <c r="G438" s="711">
        <f>Bilans_E_AMS_Kyoto_run3_MTE!K551</f>
        <v>0</v>
      </c>
      <c r="H438" s="711">
        <f>Bilans_E_AMS_Kyoto_run3_MTE!L551</f>
        <v>0</v>
      </c>
      <c r="I438" s="711">
        <f>Bilans_E_AMS_Kyoto_run3_MTE!M551</f>
        <v>5.5842625256480344E-2</v>
      </c>
      <c r="J438" s="711">
        <f>Bilans_E_AMS_Kyoto_run3_MTE!N551</f>
        <v>0</v>
      </c>
      <c r="K438" s="711">
        <f>Bilans_E_AMS_Kyoto_run3_MTE!O551</f>
        <v>0</v>
      </c>
      <c r="L438" s="711">
        <f>Bilans_E_AMS_Kyoto_run3_MTE!P551</f>
        <v>0</v>
      </c>
      <c r="M438" s="711">
        <f>Bilans_E_AMS_Kyoto_run3_MTE!Q551</f>
        <v>0</v>
      </c>
      <c r="N438" s="711">
        <f>Bilans_E_AMS_Kyoto_run3_MTE!R551</f>
        <v>0</v>
      </c>
      <c r="O438" s="711">
        <f>Bilans_E_AMS_Kyoto_run3_MTE!S551</f>
        <v>1.0610098798731264</v>
      </c>
      <c r="P438" s="711">
        <f>Bilans_E_AMS_Kyoto_run3_MTE!T551+Bilans_E_AMS_Kyoto_run3_MTE!U551</f>
        <v>0</v>
      </c>
      <c r="Q438" s="711">
        <f>Bilans_E_AMS_Kyoto_run3_MTE!V551</f>
        <v>0</v>
      </c>
      <c r="R438" s="711">
        <f>Bilans_E_AMS_Kyoto_run3_MTE!W551</f>
        <v>65.840203439882671</v>
      </c>
      <c r="S438" s="711">
        <f>Bilans_E_AMS_Kyoto_run3_MTE!X551</f>
        <v>6.4136709376113741</v>
      </c>
      <c r="T438" s="711">
        <f>Bilans_E_AMS_Kyoto_run3_MTE!Y551</f>
        <v>0</v>
      </c>
      <c r="U438" s="711">
        <f>Bilans_E_AMS_Kyoto_run3_MTE!Z551</f>
        <v>73.370726882623643</v>
      </c>
      <c r="V438" s="701"/>
      <c r="W438" s="701"/>
    </row>
    <row r="439" spans="1:23" x14ac:dyDescent="0.25">
      <c r="A439" s="701" t="s">
        <v>506</v>
      </c>
      <c r="B439" s="701"/>
      <c r="C439" s="713" t="s">
        <v>77</v>
      </c>
      <c r="D439" s="714">
        <f>Bilans_E_AMS_Kyoto_run3_MTE!H552</f>
        <v>0</v>
      </c>
      <c r="E439" s="714">
        <f>Bilans_E_AMS_Kyoto_run3_MTE!I552</f>
        <v>58.863651738299311</v>
      </c>
      <c r="F439" s="714">
        <f>Bilans_E_AMS_Kyoto_run3_MTE!J552</f>
        <v>-55.25891247149503</v>
      </c>
      <c r="G439" s="714">
        <f>Bilans_E_AMS_Kyoto_run3_MTE!K552</f>
        <v>-24.740126403603515</v>
      </c>
      <c r="H439" s="714">
        <f>Bilans_E_AMS_Kyoto_run3_MTE!L552</f>
        <v>0</v>
      </c>
      <c r="I439" s="714">
        <f>Bilans_E_AMS_Kyoto_run3_MTE!M552</f>
        <v>-7.0143403444740313</v>
      </c>
      <c r="J439" s="714">
        <f>Bilans_E_AMS_Kyoto_run3_MTE!N552</f>
        <v>807.37795933495636</v>
      </c>
      <c r="K439" s="714">
        <f>Bilans_E_AMS_Kyoto_run3_MTE!O552</f>
        <v>553.99388589395949</v>
      </c>
      <c r="L439" s="714">
        <f>Bilans_E_AMS_Kyoto_run3_MTE!P552</f>
        <v>331.28372360251547</v>
      </c>
      <c r="M439" s="714">
        <f>Bilans_E_AMS_Kyoto_run3_MTE!Q552</f>
        <v>36.582494246190599</v>
      </c>
      <c r="N439" s="714">
        <f>Bilans_E_AMS_Kyoto_run3_MTE!R552</f>
        <v>-59.82842351026536</v>
      </c>
      <c r="O439" s="714">
        <f>Bilans_E_AMS_Kyoto_run3_MTE!S552</f>
        <v>-86.285386781019525</v>
      </c>
      <c r="P439" s="714">
        <f>Bilans_E_AMS_Kyoto_run3_MTE!T552+Bilans_E_AMS_Kyoto_run3_MTE!U552</f>
        <v>22.572621073808037</v>
      </c>
      <c r="Q439" s="714">
        <f>Bilans_E_AMS_Kyoto_run3_MTE!V552</f>
        <v>19.706573178157445</v>
      </c>
      <c r="R439" s="714">
        <f>Bilans_E_AMS_Kyoto_run3_MTE!W552</f>
        <v>-603.61634432063988</v>
      </c>
      <c r="S439" s="714">
        <f>Bilans_E_AMS_Kyoto_run3_MTE!X552</f>
        <v>-76.289393359250852</v>
      </c>
      <c r="T439" s="714">
        <f>Bilans_E_AMS_Kyoto_run3_MTE!Y552</f>
        <v>-39.147749441309969</v>
      </c>
      <c r="U439" s="714">
        <f>Bilans_E_AMS_Kyoto_run3_MTE!Z552</f>
        <v>878.20023243582853</v>
      </c>
      <c r="V439" s="701"/>
      <c r="W439" s="701"/>
    </row>
    <row r="440" spans="1:23" x14ac:dyDescent="0.25">
      <c r="A440" s="701"/>
      <c r="B440" s="701"/>
      <c r="C440" s="715"/>
      <c r="D440" s="716"/>
      <c r="E440" s="716"/>
      <c r="F440" s="716"/>
      <c r="G440" s="716"/>
      <c r="H440" s="716"/>
      <c r="I440" s="716"/>
      <c r="J440" s="716"/>
      <c r="K440" s="716"/>
      <c r="L440" s="716"/>
      <c r="M440" s="716"/>
      <c r="N440" s="716"/>
      <c r="O440" s="716"/>
      <c r="P440" s="716">
        <f>Bilans_E_AMS_Kyoto_run3_MTE!T553+Bilans_E_AMS_Kyoto_run3_MTE!U553</f>
        <v>0</v>
      </c>
      <c r="Q440" s="716"/>
      <c r="R440" s="716"/>
      <c r="S440" s="716"/>
      <c r="T440" s="716"/>
      <c r="U440" s="716"/>
      <c r="V440" s="701"/>
      <c r="W440" s="701"/>
    </row>
    <row r="441" spans="1:23" x14ac:dyDescent="0.25">
      <c r="A441" s="701" t="s">
        <v>507</v>
      </c>
      <c r="B441" s="701"/>
      <c r="C441" s="717" t="s">
        <v>78</v>
      </c>
      <c r="D441" s="711">
        <f>Bilans_E_AMS_Kyoto_run3_MTE!H554</f>
        <v>0</v>
      </c>
      <c r="E441" s="711">
        <f>Bilans_E_AMS_Kyoto_run3_MTE!I554</f>
        <v>0</v>
      </c>
      <c r="F441" s="711">
        <f>Bilans_E_AMS_Kyoto_run3_MTE!J554</f>
        <v>0</v>
      </c>
      <c r="G441" s="711">
        <f>Bilans_E_AMS_Kyoto_run3_MTE!K554</f>
        <v>0</v>
      </c>
      <c r="H441" s="711">
        <f>Bilans_E_AMS_Kyoto_run3_MTE!L554</f>
        <v>0</v>
      </c>
      <c r="I441" s="711">
        <f>Bilans_E_AMS_Kyoto_run3_MTE!M554</f>
        <v>1.991498553291184</v>
      </c>
      <c r="J441" s="711">
        <f>Bilans_E_AMS_Kyoto_run3_MTE!N554</f>
        <v>0</v>
      </c>
      <c r="K441" s="711">
        <f>Bilans_E_AMS_Kyoto_run3_MTE!O554</f>
        <v>0</v>
      </c>
      <c r="L441" s="711">
        <f>Bilans_E_AMS_Kyoto_run3_MTE!P554</f>
        <v>33.03282021908791</v>
      </c>
      <c r="M441" s="711">
        <f>Bilans_E_AMS_Kyoto_run3_MTE!Q554</f>
        <v>7.3058555419217219</v>
      </c>
      <c r="N441" s="711">
        <f>Bilans_E_AMS_Kyoto_run3_MTE!R554</f>
        <v>0</v>
      </c>
      <c r="O441" s="711">
        <f>Bilans_E_AMS_Kyoto_run3_MTE!S554</f>
        <v>37.880603328687286</v>
      </c>
      <c r="P441" s="711">
        <f>Bilans_E_AMS_Kyoto_run3_MTE!T554+Bilans_E_AMS_Kyoto_run3_MTE!U554</f>
        <v>15.325538085937501</v>
      </c>
      <c r="Q441" s="711">
        <f>Bilans_E_AMS_Kyoto_run3_MTE!V554</f>
        <v>8.5890570413253253E-4</v>
      </c>
      <c r="R441" s="711">
        <f>Bilans_E_AMS_Kyoto_run3_MTE!W554</f>
        <v>160.49759404222942</v>
      </c>
      <c r="S441" s="711">
        <f>Bilans_E_AMS_Kyoto_run3_MTE!X554</f>
        <v>19.118062217384278</v>
      </c>
      <c r="T441" s="711">
        <f>Bilans_E_AMS_Kyoto_run3_MTE!Y554</f>
        <v>15.6045791015625</v>
      </c>
      <c r="U441" s="711">
        <f>Bilans_E_AMS_Kyoto_run3_MTE!Z554</f>
        <v>290.75740999580586</v>
      </c>
      <c r="V441" s="701"/>
      <c r="W441" s="701"/>
    </row>
    <row r="442" spans="1:23" x14ac:dyDescent="0.25">
      <c r="A442" s="701" t="s">
        <v>508</v>
      </c>
      <c r="B442" s="701"/>
      <c r="C442" s="717" t="s">
        <v>79</v>
      </c>
      <c r="D442" s="711">
        <f>Bilans_E_AMS_Kyoto_run3_MTE!H555</f>
        <v>0</v>
      </c>
      <c r="E442" s="711">
        <f>Bilans_E_AMS_Kyoto_run3_MTE!I555</f>
        <v>0</v>
      </c>
      <c r="F442" s="711">
        <f>Bilans_E_AMS_Kyoto_run3_MTE!J555</f>
        <v>2.5646039905747262</v>
      </c>
      <c r="G442" s="711">
        <f>Bilans_E_AMS_Kyoto_run3_MTE!K555</f>
        <v>4.5999999999999996</v>
      </c>
      <c r="H442" s="711">
        <f>Bilans_E_AMS_Kyoto_run3_MTE!L555</f>
        <v>0</v>
      </c>
      <c r="I442" s="711">
        <f>Bilans_E_AMS_Kyoto_run3_MTE!M555</f>
        <v>0.37685077792540578</v>
      </c>
      <c r="J442" s="711">
        <f>Bilans_E_AMS_Kyoto_run3_MTE!N555</f>
        <v>0</v>
      </c>
      <c r="K442" s="711">
        <f>Bilans_E_AMS_Kyoto_run3_MTE!O555</f>
        <v>0</v>
      </c>
      <c r="L442" s="711">
        <f>Bilans_E_AMS_Kyoto_run3_MTE!P555</f>
        <v>0</v>
      </c>
      <c r="M442" s="711">
        <f>Bilans_E_AMS_Kyoto_run3_MTE!Q555</f>
        <v>0</v>
      </c>
      <c r="N442" s="711">
        <f>Bilans_E_AMS_Kyoto_run3_MTE!R555</f>
        <v>17.296930013474249</v>
      </c>
      <c r="O442" s="711">
        <f>Bilans_E_AMS_Kyoto_run3_MTE!S555</f>
        <v>7.1601647805827087</v>
      </c>
      <c r="P442" s="711">
        <f>Bilans_E_AMS_Kyoto_run3_MTE!T555+Bilans_E_AMS_Kyoto_run3_MTE!U555</f>
        <v>0</v>
      </c>
      <c r="Q442" s="711">
        <f>Bilans_E_AMS_Kyoto_run3_MTE!V555</f>
        <v>0</v>
      </c>
      <c r="R442" s="711">
        <f>Bilans_E_AMS_Kyoto_run3_MTE!W555</f>
        <v>129.21827578196925</v>
      </c>
      <c r="S442" s="711">
        <f>Bilans_E_AMS_Kyoto_run3_MTE!X555</f>
        <v>0</v>
      </c>
      <c r="T442" s="711">
        <f>Bilans_E_AMS_Kyoto_run3_MTE!Y555</f>
        <v>6.9357151187722215</v>
      </c>
      <c r="U442" s="711">
        <f>Bilans_E_AMS_Kyoto_run3_MTE!Z555</f>
        <v>168.15254046329855</v>
      </c>
      <c r="V442" s="701"/>
      <c r="W442" s="701"/>
    </row>
    <row r="443" spans="1:23" x14ac:dyDescent="0.25">
      <c r="A443" s="701" t="s">
        <v>509</v>
      </c>
      <c r="B443" s="701"/>
      <c r="C443" s="717" t="s">
        <v>80</v>
      </c>
      <c r="D443" s="711">
        <f>Bilans_E_AMS_Kyoto_run3_MTE!H556</f>
        <v>0</v>
      </c>
      <c r="E443" s="711">
        <f>Bilans_E_AMS_Kyoto_run3_MTE!I556</f>
        <v>0</v>
      </c>
      <c r="F443" s="711">
        <f>Bilans_E_AMS_Kyoto_run3_MTE!J556</f>
        <v>1.33686813190731E-2</v>
      </c>
      <c r="G443" s="711">
        <f>Bilans_E_AMS_Kyoto_run3_MTE!K556</f>
        <v>0</v>
      </c>
      <c r="H443" s="711">
        <f>Bilans_E_AMS_Kyoto_run3_MTE!L556</f>
        <v>0</v>
      </c>
      <c r="I443" s="711">
        <f>Bilans_E_AMS_Kyoto_run3_MTE!M556</f>
        <v>1.363415994018579</v>
      </c>
      <c r="J443" s="711">
        <f>Bilans_E_AMS_Kyoto_run3_MTE!N556</f>
        <v>0</v>
      </c>
      <c r="K443" s="711">
        <f>Bilans_E_AMS_Kyoto_run3_MTE!O556</f>
        <v>0</v>
      </c>
      <c r="L443" s="711">
        <f>Bilans_E_AMS_Kyoto_run3_MTE!P556</f>
        <v>38.670548162755892</v>
      </c>
      <c r="M443" s="711">
        <f>Bilans_E_AMS_Kyoto_run3_MTE!Q556</f>
        <v>0</v>
      </c>
      <c r="N443" s="711">
        <f>Bilans_E_AMS_Kyoto_run3_MTE!R556</f>
        <v>0</v>
      </c>
      <c r="O443" s="711">
        <f>Bilans_E_AMS_Kyoto_run3_MTE!S556</f>
        <v>25.904903886352997</v>
      </c>
      <c r="P443" s="711">
        <f>Bilans_E_AMS_Kyoto_run3_MTE!T556+Bilans_E_AMS_Kyoto_run3_MTE!U556</f>
        <v>170.26801174847219</v>
      </c>
      <c r="Q443" s="711">
        <f>Bilans_E_AMS_Kyoto_run3_MTE!V556</f>
        <v>14.856183742724458</v>
      </c>
      <c r="R443" s="711">
        <f>Bilans_E_AMS_Kyoto_run3_MTE!W556</f>
        <v>135.77624988749807</v>
      </c>
      <c r="S443" s="711">
        <f>Bilans_E_AMS_Kyoto_run3_MTE!X556</f>
        <v>35.160977387086433</v>
      </c>
      <c r="T443" s="711">
        <f>Bilans_E_AMS_Kyoto_run3_MTE!Y556</f>
        <v>0</v>
      </c>
      <c r="U443" s="711">
        <f>Bilans_E_AMS_Kyoto_run3_MTE!Z556</f>
        <v>422.01365949022772</v>
      </c>
      <c r="V443" s="701"/>
      <c r="W443" s="701"/>
    </row>
    <row r="444" spans="1:23" x14ac:dyDescent="0.25">
      <c r="A444" s="701" t="s">
        <v>510</v>
      </c>
      <c r="B444" s="701"/>
      <c r="C444" s="717" t="s">
        <v>81</v>
      </c>
      <c r="D444" s="711">
        <f>Bilans_E_AMS_Kyoto_run3_MTE!H557</f>
        <v>0</v>
      </c>
      <c r="E444" s="711">
        <f>Bilans_E_AMS_Kyoto_run3_MTE!I557</f>
        <v>0</v>
      </c>
      <c r="F444" s="711">
        <f>Bilans_E_AMS_Kyoto_run3_MTE!J557</f>
        <v>5.9571518115922428E-2</v>
      </c>
      <c r="G444" s="711">
        <f>Bilans_E_AMS_Kyoto_run3_MTE!K557</f>
        <v>0</v>
      </c>
      <c r="H444" s="711">
        <f>Bilans_E_AMS_Kyoto_run3_MTE!L557</f>
        <v>0</v>
      </c>
      <c r="I444" s="711">
        <f>Bilans_E_AMS_Kyoto_run3_MTE!M557</f>
        <v>0.44038098063120357</v>
      </c>
      <c r="J444" s="711">
        <f>Bilans_E_AMS_Kyoto_run3_MTE!N557</f>
        <v>0</v>
      </c>
      <c r="K444" s="711">
        <f>Bilans_E_AMS_Kyoto_run3_MTE!O557</f>
        <v>0</v>
      </c>
      <c r="L444" s="711">
        <f>Bilans_E_AMS_Kyoto_run3_MTE!P557</f>
        <v>0.43608334641640845</v>
      </c>
      <c r="M444" s="711">
        <f>Bilans_E_AMS_Kyoto_run3_MTE!Q557</f>
        <v>0</v>
      </c>
      <c r="N444" s="711">
        <f>Bilans_E_AMS_Kyoto_run3_MTE!R557</f>
        <v>0</v>
      </c>
      <c r="O444" s="711">
        <f>Bilans_E_AMS_Kyoto_run3_MTE!S557</f>
        <v>8.3672386319928673</v>
      </c>
      <c r="P444" s="711">
        <f>Bilans_E_AMS_Kyoto_run3_MTE!T557+Bilans_E_AMS_Kyoto_run3_MTE!U557</f>
        <v>64.752372842201794</v>
      </c>
      <c r="Q444" s="711">
        <f>Bilans_E_AMS_Kyoto_run3_MTE!V557</f>
        <v>13.972057854326216</v>
      </c>
      <c r="R444" s="711">
        <f>Bilans_E_AMS_Kyoto_run3_MTE!W557</f>
        <v>123.17781879034489</v>
      </c>
      <c r="S444" s="711">
        <f>Bilans_E_AMS_Kyoto_run3_MTE!X557</f>
        <v>22.010319853686262</v>
      </c>
      <c r="T444" s="711">
        <f>Bilans_E_AMS_Kyoto_run3_MTE!Y557</f>
        <v>0</v>
      </c>
      <c r="U444" s="711">
        <f>Bilans_E_AMS_Kyoto_run3_MTE!Z557</f>
        <v>233.21584381771555</v>
      </c>
      <c r="V444" s="701"/>
      <c r="W444" s="701"/>
    </row>
    <row r="445" spans="1:23" x14ac:dyDescent="0.25">
      <c r="A445" s="701" t="s">
        <v>511</v>
      </c>
      <c r="B445" s="701"/>
      <c r="C445" s="717" t="s">
        <v>82</v>
      </c>
      <c r="D445" s="711">
        <f>Bilans_E_AMS_Kyoto_run3_MTE!H558</f>
        <v>0</v>
      </c>
      <c r="E445" s="711">
        <f>Bilans_E_AMS_Kyoto_run3_MTE!I558</f>
        <v>0</v>
      </c>
      <c r="F445" s="711">
        <f>Bilans_E_AMS_Kyoto_run3_MTE!J558</f>
        <v>0</v>
      </c>
      <c r="G445" s="711">
        <f>Bilans_E_AMS_Kyoto_run3_MTE!K558</f>
        <v>0</v>
      </c>
      <c r="H445" s="711">
        <f>Bilans_E_AMS_Kyoto_run3_MTE!L558</f>
        <v>0</v>
      </c>
      <c r="I445" s="711">
        <f>Bilans_E_AMS_Kyoto_run3_MTE!M558</f>
        <v>3.936904267080979E-2</v>
      </c>
      <c r="J445" s="711">
        <f>Bilans_E_AMS_Kyoto_run3_MTE!N558</f>
        <v>0</v>
      </c>
      <c r="K445" s="711">
        <f>Bilans_E_AMS_Kyoto_run3_MTE!O558</f>
        <v>0</v>
      </c>
      <c r="L445" s="711">
        <f>Bilans_E_AMS_Kyoto_run3_MTE!P558</f>
        <v>20.041612409357288</v>
      </c>
      <c r="M445" s="711">
        <f>Bilans_E_AMS_Kyoto_run3_MTE!Q558</f>
        <v>0</v>
      </c>
      <c r="N445" s="711">
        <f>Bilans_E_AMS_Kyoto_run3_MTE!R558</f>
        <v>6.8596219696114309</v>
      </c>
      <c r="O445" s="711">
        <f>Bilans_E_AMS_Kyoto_run3_MTE!S558</f>
        <v>0.74801181074538581</v>
      </c>
      <c r="P445" s="711">
        <f>Bilans_E_AMS_Kyoto_run3_MTE!T558+Bilans_E_AMS_Kyoto_run3_MTE!U558</f>
        <v>1.5</v>
      </c>
      <c r="Q445" s="711">
        <f>Bilans_E_AMS_Kyoto_run3_MTE!V558</f>
        <v>2.1874070050904897</v>
      </c>
      <c r="R445" s="711">
        <f>Bilans_E_AMS_Kyoto_run3_MTE!W558</f>
        <v>11.227117591013034</v>
      </c>
      <c r="S445" s="711">
        <f>Bilans_E_AMS_Kyoto_run3_MTE!X558</f>
        <v>0</v>
      </c>
      <c r="T445" s="711">
        <f>Bilans_E_AMS_Kyoto_run3_MTE!Y558</f>
        <v>0.67221506893144256</v>
      </c>
      <c r="U445" s="711">
        <f>Bilans_E_AMS_Kyoto_run3_MTE!Z558</f>
        <v>43.275354897419881</v>
      </c>
      <c r="V445" s="701"/>
      <c r="W445" s="701"/>
    </row>
    <row r="446" spans="1:23" x14ac:dyDescent="0.25">
      <c r="A446" s="701" t="s">
        <v>512</v>
      </c>
      <c r="B446" s="701"/>
      <c r="C446" s="717" t="s">
        <v>354</v>
      </c>
      <c r="D446" s="711">
        <f>Bilans_E_AMS_Kyoto_run3_MTE!H559</f>
        <v>0</v>
      </c>
      <c r="E446" s="711">
        <f>Bilans_E_AMS_Kyoto_run3_MTE!I559</f>
        <v>0</v>
      </c>
      <c r="F446" s="711">
        <f>Bilans_E_AMS_Kyoto_run3_MTE!J559</f>
        <v>0</v>
      </c>
      <c r="G446" s="711">
        <f>Bilans_E_AMS_Kyoto_run3_MTE!K559</f>
        <v>0</v>
      </c>
      <c r="H446" s="711">
        <f>Bilans_E_AMS_Kyoto_run3_MTE!L559</f>
        <v>0</v>
      </c>
      <c r="I446" s="711">
        <f>Bilans_E_AMS_Kyoto_run3_MTE!M559</f>
        <v>0</v>
      </c>
      <c r="J446" s="711">
        <f>Bilans_E_AMS_Kyoto_run3_MTE!N559</f>
        <v>0</v>
      </c>
      <c r="K446" s="711">
        <f>Bilans_E_AMS_Kyoto_run3_MTE!O559</f>
        <v>0</v>
      </c>
      <c r="L446" s="711">
        <f>Bilans_E_AMS_Kyoto_run3_MTE!P559</f>
        <v>0</v>
      </c>
      <c r="M446" s="711">
        <f>Bilans_E_AMS_Kyoto_run3_MTE!Q559</f>
        <v>0</v>
      </c>
      <c r="N446" s="711">
        <f>Bilans_E_AMS_Kyoto_run3_MTE!R559</f>
        <v>0</v>
      </c>
      <c r="O446" s="711">
        <f>Bilans_E_AMS_Kyoto_run3_MTE!S559</f>
        <v>0</v>
      </c>
      <c r="P446" s="711">
        <f>Bilans_E_AMS_Kyoto_run3_MTE!T559+Bilans_E_AMS_Kyoto_run3_MTE!U559</f>
        <v>0</v>
      </c>
      <c r="Q446" s="711">
        <f>Bilans_E_AMS_Kyoto_run3_MTE!V559</f>
        <v>0</v>
      </c>
      <c r="R446" s="711">
        <f>Bilans_E_AMS_Kyoto_run3_MTE!W559</f>
        <v>15.04</v>
      </c>
      <c r="S446" s="711">
        <f>Bilans_E_AMS_Kyoto_run3_MTE!X559</f>
        <v>0</v>
      </c>
      <c r="T446" s="711">
        <f>Bilans_E_AMS_Kyoto_run3_MTE!Y559</f>
        <v>0</v>
      </c>
      <c r="U446" s="711">
        <f>Bilans_E_AMS_Kyoto_run3_MTE!Z559</f>
        <v>15.04</v>
      </c>
      <c r="V446" s="701"/>
      <c r="W446" s="701"/>
    </row>
    <row r="447" spans="1:23" x14ac:dyDescent="0.25">
      <c r="A447" s="701" t="s">
        <v>513</v>
      </c>
      <c r="B447" s="701"/>
      <c r="C447" s="713" t="s">
        <v>83</v>
      </c>
      <c r="D447" s="714">
        <f>Bilans_E_AMS_Kyoto_run3_MTE!H560</f>
        <v>0</v>
      </c>
      <c r="E447" s="714">
        <f>Bilans_E_AMS_Kyoto_run3_MTE!I560</f>
        <v>0</v>
      </c>
      <c r="F447" s="714">
        <f>Bilans_E_AMS_Kyoto_run3_MTE!J560</f>
        <v>2.6375441900097218</v>
      </c>
      <c r="G447" s="714">
        <f>Bilans_E_AMS_Kyoto_run3_MTE!K560</f>
        <v>4.5999999999999996</v>
      </c>
      <c r="H447" s="714">
        <f>Bilans_E_AMS_Kyoto_run3_MTE!L560</f>
        <v>0</v>
      </c>
      <c r="I447" s="714">
        <f>Bilans_E_AMS_Kyoto_run3_MTE!M560</f>
        <v>4.2115153485371817</v>
      </c>
      <c r="J447" s="714">
        <f>Bilans_E_AMS_Kyoto_run3_MTE!N560</f>
        <v>0</v>
      </c>
      <c r="K447" s="714">
        <f>Bilans_E_AMS_Kyoto_run3_MTE!O560</f>
        <v>0</v>
      </c>
      <c r="L447" s="714">
        <f>Bilans_E_AMS_Kyoto_run3_MTE!P560</f>
        <v>92.181064137617497</v>
      </c>
      <c r="M447" s="714">
        <f>Bilans_E_AMS_Kyoto_run3_MTE!Q560</f>
        <v>7.3058555419217219</v>
      </c>
      <c r="N447" s="714">
        <f>Bilans_E_AMS_Kyoto_run3_MTE!R560</f>
        <v>24.156551983085681</v>
      </c>
      <c r="O447" s="714">
        <f>Bilans_E_AMS_Kyoto_run3_MTE!S560</f>
        <v>80.060922438361246</v>
      </c>
      <c r="P447" s="714">
        <f>Bilans_E_AMS_Kyoto_run3_MTE!T560+Bilans_E_AMS_Kyoto_run3_MTE!U560</f>
        <v>251.84592267661148</v>
      </c>
      <c r="Q447" s="714">
        <f>Bilans_E_AMS_Kyoto_run3_MTE!V560</f>
        <v>31.016507507845294</v>
      </c>
      <c r="R447" s="714">
        <f>Bilans_E_AMS_Kyoto_run3_MTE!W560</f>
        <v>574.93705609305459</v>
      </c>
      <c r="S447" s="714">
        <f>Bilans_E_AMS_Kyoto_run3_MTE!X560</f>
        <v>76.28935945815698</v>
      </c>
      <c r="T447" s="714">
        <f>Bilans_E_AMS_Kyoto_run3_MTE!Y560</f>
        <v>23.212509289266166</v>
      </c>
      <c r="U447" s="714">
        <f>Bilans_E_AMS_Kyoto_run3_MTE!Z560</f>
        <v>1172.4548086644675</v>
      </c>
      <c r="V447" s="701"/>
      <c r="W447" s="701"/>
    </row>
    <row r="448" spans="1:23" x14ac:dyDescent="0.25">
      <c r="A448" s="701" t="s">
        <v>514</v>
      </c>
      <c r="B448" s="701"/>
      <c r="C448" s="710" t="s">
        <v>84</v>
      </c>
      <c r="D448" s="711">
        <f>Bilans_E_AMS_Kyoto_run3_MTE!H561</f>
        <v>0</v>
      </c>
      <c r="E448" s="711">
        <f>Bilans_E_AMS_Kyoto_run3_MTE!I561</f>
        <v>0</v>
      </c>
      <c r="F448" s="711">
        <f>Bilans_E_AMS_Kyoto_run3_MTE!J561</f>
        <v>91.376834551502185</v>
      </c>
      <c r="G448" s="711">
        <f>Bilans_E_AMS_Kyoto_run3_MTE!K561</f>
        <v>4.3696590457446538</v>
      </c>
      <c r="H448" s="711">
        <f>Bilans_E_AMS_Kyoto_run3_MTE!L561</f>
        <v>7.019987079045241</v>
      </c>
      <c r="I448" s="711">
        <f>Bilans_E_AMS_Kyoto_run3_MTE!M561</f>
        <v>0</v>
      </c>
      <c r="J448" s="711">
        <f>Bilans_E_AMS_Kyoto_run3_MTE!N561</f>
        <v>0</v>
      </c>
      <c r="K448" s="711">
        <f>Bilans_E_AMS_Kyoto_run3_MTE!O561</f>
        <v>0</v>
      </c>
      <c r="L448" s="711">
        <f>Bilans_E_AMS_Kyoto_run3_MTE!P561</f>
        <v>0.61184558011433365</v>
      </c>
      <c r="M448" s="711">
        <f>Bilans_E_AMS_Kyoto_run3_MTE!Q561</f>
        <v>0</v>
      </c>
      <c r="N448" s="711">
        <f>Bilans_E_AMS_Kyoto_run3_MTE!R561</f>
        <v>6.5698161491399585</v>
      </c>
      <c r="O448" s="711">
        <f>Bilans_E_AMS_Kyoto_run3_MTE!S561</f>
        <v>0</v>
      </c>
      <c r="P448" s="711">
        <f>Bilans_E_AMS_Kyoto_run3_MTE!T561+Bilans_E_AMS_Kyoto_run3_MTE!U561</f>
        <v>0</v>
      </c>
      <c r="Q448" s="711">
        <f>Bilans_E_AMS_Kyoto_run3_MTE!V561</f>
        <v>0</v>
      </c>
      <c r="R448" s="711">
        <f>Bilans_E_AMS_Kyoto_run3_MTE!W561</f>
        <v>0</v>
      </c>
      <c r="S448" s="711">
        <f>Bilans_E_AMS_Kyoto_run3_MTE!X561</f>
        <v>0</v>
      </c>
      <c r="T448" s="711">
        <f>Bilans_E_AMS_Kyoto_run3_MTE!Y561</f>
        <v>6.6285490677230623</v>
      </c>
      <c r="U448" s="711">
        <f>Bilans_E_AMS_Kyoto_run3_MTE!Z561</f>
        <v>116.57669147326942</v>
      </c>
      <c r="V448" s="701"/>
      <c r="W448" s="701"/>
    </row>
    <row r="449" spans="1:23" x14ac:dyDescent="0.25">
      <c r="A449" s="701" t="s">
        <v>515</v>
      </c>
      <c r="B449" s="701"/>
      <c r="C449" s="713" t="s">
        <v>85</v>
      </c>
      <c r="D449" s="714">
        <f>Bilans_E_AMS_Kyoto_run3_MTE!H562</f>
        <v>0</v>
      </c>
      <c r="E449" s="714">
        <f>Bilans_E_AMS_Kyoto_run3_MTE!I562</f>
        <v>0</v>
      </c>
      <c r="F449" s="714">
        <f>Bilans_E_AMS_Kyoto_run3_MTE!J562</f>
        <v>94.014378741511905</v>
      </c>
      <c r="G449" s="714">
        <f>Bilans_E_AMS_Kyoto_run3_MTE!K562</f>
        <v>8.9696590457446526</v>
      </c>
      <c r="H449" s="714">
        <f>Bilans_E_AMS_Kyoto_run3_MTE!L562</f>
        <v>7.019987079045241</v>
      </c>
      <c r="I449" s="714">
        <f>Bilans_E_AMS_Kyoto_run3_MTE!M562</f>
        <v>4.2115153485371817</v>
      </c>
      <c r="J449" s="714">
        <f>Bilans_E_AMS_Kyoto_run3_MTE!N562</f>
        <v>0</v>
      </c>
      <c r="K449" s="714">
        <f>Bilans_E_AMS_Kyoto_run3_MTE!O562</f>
        <v>0</v>
      </c>
      <c r="L449" s="714">
        <f>Bilans_E_AMS_Kyoto_run3_MTE!P562</f>
        <v>92.792909717731831</v>
      </c>
      <c r="M449" s="714">
        <f>Bilans_E_AMS_Kyoto_run3_MTE!Q562</f>
        <v>7.3058555419217219</v>
      </c>
      <c r="N449" s="714">
        <f>Bilans_E_AMS_Kyoto_run3_MTE!R562</f>
        <v>30.726368132225637</v>
      </c>
      <c r="O449" s="714">
        <f>Bilans_E_AMS_Kyoto_run3_MTE!S562</f>
        <v>80.060922438361246</v>
      </c>
      <c r="P449" s="714">
        <f>Bilans_E_AMS_Kyoto_run3_MTE!T562+Bilans_E_AMS_Kyoto_run3_MTE!U562</f>
        <v>251.84592267661148</v>
      </c>
      <c r="Q449" s="714">
        <f>Bilans_E_AMS_Kyoto_run3_MTE!V562</f>
        <v>31.016507507845294</v>
      </c>
      <c r="R449" s="714">
        <f>Bilans_E_AMS_Kyoto_run3_MTE!W562</f>
        <v>574.93705609305459</v>
      </c>
      <c r="S449" s="714">
        <f>Bilans_E_AMS_Kyoto_run3_MTE!X562</f>
        <v>76.28935945815698</v>
      </c>
      <c r="T449" s="714">
        <f>Bilans_E_AMS_Kyoto_run3_MTE!Y562</f>
        <v>29.84105835698923</v>
      </c>
      <c r="U449" s="714">
        <f>Bilans_E_AMS_Kyoto_run3_MTE!Z562</f>
        <v>1289.0315001377369</v>
      </c>
      <c r="V449" s="701"/>
      <c r="W449" s="701"/>
    </row>
    <row r="450" spans="1:23" x14ac:dyDescent="0.25">
      <c r="A450" s="701"/>
      <c r="B450" s="701"/>
      <c r="C450" s="701"/>
      <c r="D450" s="701">
        <f>Bilans_E_AMS_Kyoto_run3_MTE!H563</f>
        <v>0</v>
      </c>
      <c r="E450" s="701">
        <f>Bilans_E_AMS_Kyoto_run3_MTE!I563</f>
        <v>0</v>
      </c>
      <c r="F450" s="701">
        <f>Bilans_E_AMS_Kyoto_run3_MTE!J563</f>
        <v>0</v>
      </c>
      <c r="G450" s="701">
        <f>Bilans_E_AMS_Kyoto_run3_MTE!K563</f>
        <v>0</v>
      </c>
      <c r="H450" s="701">
        <f>Bilans_E_AMS_Kyoto_run3_MTE!L563</f>
        <v>0</v>
      </c>
      <c r="I450" s="701">
        <f>Bilans_E_AMS_Kyoto_run3_MTE!M563</f>
        <v>-1.9859233333408E-4</v>
      </c>
      <c r="J450" s="701">
        <f>Bilans_E_AMS_Kyoto_run3_MTE!N563</f>
        <v>0</v>
      </c>
      <c r="K450" s="701">
        <f>Bilans_E_AMS_Kyoto_run3_MTE!O563</f>
        <v>0</v>
      </c>
      <c r="L450" s="701">
        <f>Bilans_E_AMS_Kyoto_run3_MTE!P563</f>
        <v>0</v>
      </c>
      <c r="M450" s="701">
        <f>Bilans_E_AMS_Kyoto_run3_MTE!Q563</f>
        <v>0</v>
      </c>
      <c r="N450" s="701">
        <f>Bilans_E_AMS_Kyoto_run3_MTE!R563</f>
        <v>0</v>
      </c>
      <c r="O450" s="701">
        <f>Bilans_E_AMS_Kyoto_run3_MTE!S563</f>
        <v>0</v>
      </c>
      <c r="P450" s="701">
        <f>Bilans_E_AMS_Kyoto_run3_MTE!T563+Bilans_E_AMS_Kyoto_run3_MTE!U563</f>
        <v>0</v>
      </c>
      <c r="Q450" s="701">
        <f>Bilans_E_AMS_Kyoto_run3_MTE!V563</f>
        <v>0</v>
      </c>
      <c r="R450" s="701">
        <f>Bilans_E_AMS_Kyoto_run3_MTE!W563</f>
        <v>0</v>
      </c>
      <c r="S450" s="701">
        <f>Bilans_E_AMS_Kyoto_run3_MTE!X563</f>
        <v>-3.3901093871691046E-5</v>
      </c>
      <c r="T450" s="701">
        <f>Bilans_E_AMS_Kyoto_run3_MTE!Y563</f>
        <v>0</v>
      </c>
      <c r="U450" s="701">
        <f>Bilans_E_AMS_Kyoto_run3_MTE!Z563</f>
        <v>-2.3249342757480917E-4</v>
      </c>
      <c r="V450" s="701"/>
      <c r="W450" s="701"/>
    </row>
    <row r="451" spans="1:23" x14ac:dyDescent="0.25">
      <c r="A451" s="51"/>
      <c r="B451" s="51"/>
      <c r="C451" s="51"/>
      <c r="D451" s="51"/>
      <c r="E451" s="51"/>
      <c r="F451" s="51"/>
      <c r="G451" s="67"/>
      <c r="H451" s="51"/>
      <c r="I451" s="51"/>
      <c r="J451" s="51"/>
      <c r="K451" s="51"/>
      <c r="L451" s="51"/>
      <c r="M451" s="51"/>
      <c r="N451" s="51"/>
      <c r="O451" s="51"/>
      <c r="P451" s="51"/>
      <c r="Q451" s="51"/>
      <c r="R451" s="51"/>
      <c r="S451" s="51"/>
      <c r="T451" s="51"/>
      <c r="U451" s="51"/>
    </row>
  </sheetData>
  <mergeCells count="168">
    <mergeCell ref="K417:K418"/>
    <mergeCell ref="L417:Q417"/>
    <mergeCell ref="R417:R418"/>
    <mergeCell ref="S417:S418"/>
    <mergeCell ref="T417:T418"/>
    <mergeCell ref="U417:U418"/>
    <mergeCell ref="T380:T381"/>
    <mergeCell ref="U380:U381"/>
    <mergeCell ref="C417:C418"/>
    <mergeCell ref="D417:D418"/>
    <mergeCell ref="E417:E418"/>
    <mergeCell ref="F417:F418"/>
    <mergeCell ref="G417:G418"/>
    <mergeCell ref="H417:H418"/>
    <mergeCell ref="I417:I418"/>
    <mergeCell ref="J417:J418"/>
    <mergeCell ref="I380:I381"/>
    <mergeCell ref="J380:J381"/>
    <mergeCell ref="K380:K381"/>
    <mergeCell ref="L380:Q380"/>
    <mergeCell ref="R380:R381"/>
    <mergeCell ref="S380:S381"/>
    <mergeCell ref="C380:C381"/>
    <mergeCell ref="D380:D381"/>
    <mergeCell ref="E380:E381"/>
    <mergeCell ref="F380:F381"/>
    <mergeCell ref="G380:G381"/>
    <mergeCell ref="H380:H381"/>
    <mergeCell ref="K343:K344"/>
    <mergeCell ref="L343:Q343"/>
    <mergeCell ref="R343:R344"/>
    <mergeCell ref="S343:S344"/>
    <mergeCell ref="T343:T344"/>
    <mergeCell ref="U343:U344"/>
    <mergeCell ref="T306:T307"/>
    <mergeCell ref="U306:U307"/>
    <mergeCell ref="C343:C344"/>
    <mergeCell ref="D343:D344"/>
    <mergeCell ref="E343:E344"/>
    <mergeCell ref="F343:F344"/>
    <mergeCell ref="G343:G344"/>
    <mergeCell ref="H343:H344"/>
    <mergeCell ref="I343:I344"/>
    <mergeCell ref="J343:J344"/>
    <mergeCell ref="I306:I307"/>
    <mergeCell ref="J306:J307"/>
    <mergeCell ref="K306:K307"/>
    <mergeCell ref="L306:Q306"/>
    <mergeCell ref="R306:R307"/>
    <mergeCell ref="S306:S307"/>
    <mergeCell ref="C306:C307"/>
    <mergeCell ref="D306:D307"/>
    <mergeCell ref="E306:E307"/>
    <mergeCell ref="F306:F307"/>
    <mergeCell ref="G306:G307"/>
    <mergeCell ref="H306:H307"/>
    <mergeCell ref="K269:K270"/>
    <mergeCell ref="L269:Q269"/>
    <mergeCell ref="R269:R270"/>
    <mergeCell ref="S269:S270"/>
    <mergeCell ref="T269:T270"/>
    <mergeCell ref="U269:U270"/>
    <mergeCell ref="T232:T233"/>
    <mergeCell ref="U232:U233"/>
    <mergeCell ref="C269:C270"/>
    <mergeCell ref="D269:D270"/>
    <mergeCell ref="E269:E270"/>
    <mergeCell ref="F269:F270"/>
    <mergeCell ref="G269:G270"/>
    <mergeCell ref="H269:H270"/>
    <mergeCell ref="I269:I270"/>
    <mergeCell ref="J269:J270"/>
    <mergeCell ref="I232:I233"/>
    <mergeCell ref="J232:J233"/>
    <mergeCell ref="K232:K233"/>
    <mergeCell ref="L232:Q232"/>
    <mergeCell ref="R232:R233"/>
    <mergeCell ref="S232:S233"/>
    <mergeCell ref="C232:C233"/>
    <mergeCell ref="D232:D233"/>
    <mergeCell ref="E232:E233"/>
    <mergeCell ref="F232:F233"/>
    <mergeCell ref="G232:G233"/>
    <mergeCell ref="H232:H233"/>
    <mergeCell ref="K195:K196"/>
    <mergeCell ref="L195:Q195"/>
    <mergeCell ref="R195:R196"/>
    <mergeCell ref="S195:S196"/>
    <mergeCell ref="T195:T196"/>
    <mergeCell ref="U195:U196"/>
    <mergeCell ref="T158:T159"/>
    <mergeCell ref="U158:U159"/>
    <mergeCell ref="C195:C196"/>
    <mergeCell ref="D195:D196"/>
    <mergeCell ref="E195:E196"/>
    <mergeCell ref="F195:F196"/>
    <mergeCell ref="G195:G196"/>
    <mergeCell ref="H195:H196"/>
    <mergeCell ref="I195:I196"/>
    <mergeCell ref="J195:J196"/>
    <mergeCell ref="I158:I159"/>
    <mergeCell ref="J158:J159"/>
    <mergeCell ref="K158:K159"/>
    <mergeCell ref="L158:Q158"/>
    <mergeCell ref="R158:R159"/>
    <mergeCell ref="S158:S159"/>
    <mergeCell ref="C158:C159"/>
    <mergeCell ref="D158:D159"/>
    <mergeCell ref="E158:E159"/>
    <mergeCell ref="F158:F159"/>
    <mergeCell ref="G158:G159"/>
    <mergeCell ref="H158:H159"/>
    <mergeCell ref="K121:K122"/>
    <mergeCell ref="L121:Q121"/>
    <mergeCell ref="R121:R122"/>
    <mergeCell ref="S121:S122"/>
    <mergeCell ref="T121:T122"/>
    <mergeCell ref="U121:U122"/>
    <mergeCell ref="T84:T85"/>
    <mergeCell ref="U84:U85"/>
    <mergeCell ref="C121:C122"/>
    <mergeCell ref="D121:D122"/>
    <mergeCell ref="E121:E122"/>
    <mergeCell ref="F121:F122"/>
    <mergeCell ref="G121:G122"/>
    <mergeCell ref="H121:H122"/>
    <mergeCell ref="I121:I122"/>
    <mergeCell ref="J121:J122"/>
    <mergeCell ref="I84:I85"/>
    <mergeCell ref="J84:J85"/>
    <mergeCell ref="K84:K85"/>
    <mergeCell ref="L84:Q84"/>
    <mergeCell ref="R84:R85"/>
    <mergeCell ref="S84:S85"/>
    <mergeCell ref="C84:C85"/>
    <mergeCell ref="D84:D85"/>
    <mergeCell ref="E84:E85"/>
    <mergeCell ref="F84:F85"/>
    <mergeCell ref="G84:G85"/>
    <mergeCell ref="H84:H85"/>
    <mergeCell ref="K47:K48"/>
    <mergeCell ref="L47:Q47"/>
    <mergeCell ref="R47:R48"/>
    <mergeCell ref="S47:S48"/>
    <mergeCell ref="T47:T48"/>
    <mergeCell ref="U47:U48"/>
    <mergeCell ref="T10:T11"/>
    <mergeCell ref="U10:U11"/>
    <mergeCell ref="C47:C48"/>
    <mergeCell ref="D47:D48"/>
    <mergeCell ref="E47:E48"/>
    <mergeCell ref="F47:F48"/>
    <mergeCell ref="G47:G48"/>
    <mergeCell ref="H47:H48"/>
    <mergeCell ref="I47:I48"/>
    <mergeCell ref="J47:J48"/>
    <mergeCell ref="I10:I11"/>
    <mergeCell ref="J10:J11"/>
    <mergeCell ref="K10:K11"/>
    <mergeCell ref="L10:Q10"/>
    <mergeCell ref="R10:R11"/>
    <mergeCell ref="S10:S11"/>
    <mergeCell ref="C10:C11"/>
    <mergeCell ref="D10:D11"/>
    <mergeCell ref="E10:E11"/>
    <mergeCell ref="F10:F11"/>
    <mergeCell ref="G10:G11"/>
    <mergeCell ref="H10:H11"/>
  </mergeCells>
  <pageMargins left="0.7" right="0.7" top="0.75" bottom="0.75" header="0.3" footer="0.3"/>
  <legacy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9A216-A60E-4EB9-911B-94B9792CE9D3}">
  <dimension ref="F1:AA564"/>
  <sheetViews>
    <sheetView topLeftCell="A532" workbookViewId="0">
      <selection activeCell="E561" sqref="E561"/>
    </sheetView>
  </sheetViews>
  <sheetFormatPr baseColWidth="10" defaultRowHeight="15" x14ac:dyDescent="0.25"/>
  <sheetData>
    <row r="1" spans="6:27" ht="15.75" x14ac:dyDescent="0.25">
      <c r="H1" s="598" t="s">
        <v>527</v>
      </c>
      <c r="I1" s="598" t="s">
        <v>528</v>
      </c>
      <c r="J1" s="598" t="s">
        <v>529</v>
      </c>
      <c r="K1" s="598" t="s">
        <v>530</v>
      </c>
      <c r="L1" s="598" t="s">
        <v>531</v>
      </c>
      <c r="M1" s="598" t="s">
        <v>532</v>
      </c>
      <c r="N1" s="598" t="s">
        <v>533</v>
      </c>
      <c r="O1" s="598" t="s">
        <v>534</v>
      </c>
      <c r="P1" s="598" t="s">
        <v>535</v>
      </c>
      <c r="Q1" s="598" t="s">
        <v>536</v>
      </c>
      <c r="R1" s="598" t="s">
        <v>537</v>
      </c>
      <c r="S1" s="598" t="s">
        <v>538</v>
      </c>
      <c r="T1" s="598" t="s">
        <v>539</v>
      </c>
      <c r="U1" s="598" t="s">
        <v>540</v>
      </c>
      <c r="V1" s="598" t="s">
        <v>541</v>
      </c>
      <c r="W1" s="598" t="s">
        <v>542</v>
      </c>
      <c r="X1" s="598" t="s">
        <v>543</v>
      </c>
      <c r="Y1" s="598" t="s">
        <v>606</v>
      </c>
      <c r="Z1" s="598" t="s">
        <v>607</v>
      </c>
    </row>
    <row r="2" spans="6:27" x14ac:dyDescent="0.25">
      <c r="H2" t="s">
        <v>545</v>
      </c>
      <c r="I2" s="51" t="s">
        <v>546</v>
      </c>
      <c r="J2" s="51" t="s">
        <v>547</v>
      </c>
      <c r="K2" s="51" t="s">
        <v>548</v>
      </c>
      <c r="L2" s="51" t="s">
        <v>549</v>
      </c>
      <c r="M2" s="51" t="s">
        <v>550</v>
      </c>
      <c r="N2" s="51" t="s">
        <v>551</v>
      </c>
      <c r="O2" s="51" t="s">
        <v>552</v>
      </c>
      <c r="P2" s="51" t="s">
        <v>553</v>
      </c>
      <c r="Q2" s="51" t="s">
        <v>554</v>
      </c>
      <c r="R2" s="51" t="s">
        <v>555</v>
      </c>
      <c r="S2" s="51" t="s">
        <v>556</v>
      </c>
      <c r="T2" s="51" t="s">
        <v>557</v>
      </c>
      <c r="U2" s="51" t="s">
        <v>608</v>
      </c>
      <c r="V2" s="51" t="s">
        <v>558</v>
      </c>
      <c r="W2" s="51" t="s">
        <v>559</v>
      </c>
      <c r="X2" s="51" t="s">
        <v>560</v>
      </c>
      <c r="Y2" s="51" t="s">
        <v>561</v>
      </c>
      <c r="Z2" s="51" t="s">
        <v>562</v>
      </c>
    </row>
    <row r="4" spans="6:27" ht="18.75" x14ac:dyDescent="0.3">
      <c r="F4" s="599"/>
      <c r="G4" s="600" t="s">
        <v>406</v>
      </c>
      <c r="H4" s="599"/>
      <c r="I4" s="599"/>
      <c r="J4" s="599"/>
      <c r="K4" s="599"/>
      <c r="L4" s="599"/>
      <c r="M4" s="599"/>
      <c r="N4" s="599"/>
      <c r="O4" s="599"/>
      <c r="P4" s="599"/>
      <c r="Q4" s="599"/>
      <c r="R4" s="599"/>
      <c r="S4" s="599"/>
      <c r="T4" s="599"/>
      <c r="U4" s="599"/>
      <c r="V4" s="599"/>
      <c r="W4" s="599"/>
      <c r="X4" s="599"/>
      <c r="Y4" s="599"/>
      <c r="Z4" s="599"/>
      <c r="AA4" s="599"/>
    </row>
    <row r="5" spans="6:27" x14ac:dyDescent="0.25">
      <c r="F5" s="51"/>
      <c r="G5" s="51"/>
      <c r="H5" s="51"/>
      <c r="I5" s="51"/>
      <c r="J5" s="51"/>
      <c r="K5" s="51"/>
      <c r="L5" s="51"/>
      <c r="M5" s="51"/>
      <c r="N5" s="51"/>
      <c r="O5" s="51"/>
      <c r="P5" s="51"/>
      <c r="Q5" s="51"/>
      <c r="R5" s="51"/>
      <c r="S5" s="51"/>
      <c r="T5" s="51"/>
      <c r="U5" s="51"/>
      <c r="V5" s="51"/>
      <c r="W5" s="51"/>
      <c r="X5" s="51"/>
      <c r="Y5" s="51"/>
      <c r="Z5" s="51"/>
      <c r="AA5" s="51"/>
    </row>
    <row r="6" spans="6:27" ht="15.75" x14ac:dyDescent="0.25">
      <c r="F6" s="51"/>
      <c r="G6" s="603" t="s">
        <v>338</v>
      </c>
      <c r="H6" s="602" t="s">
        <v>481</v>
      </c>
      <c r="I6" s="602"/>
      <c r="J6" s="602"/>
      <c r="K6" s="602"/>
      <c r="L6" s="602"/>
      <c r="M6" s="602"/>
      <c r="N6" s="602"/>
      <c r="O6" s="604"/>
      <c r="P6" s="604"/>
      <c r="Q6" s="604"/>
      <c r="R6" s="604"/>
      <c r="S6" s="604"/>
      <c r="T6" s="604"/>
      <c r="U6" s="604"/>
      <c r="V6" s="604"/>
      <c r="W6" s="602"/>
      <c r="X6" s="602"/>
      <c r="Y6" s="602"/>
      <c r="Z6" s="602"/>
      <c r="AA6" s="602"/>
    </row>
    <row r="7" spans="6:27" ht="15.75" x14ac:dyDescent="0.25">
      <c r="F7" s="51"/>
      <c r="G7" s="603" t="s">
        <v>341</v>
      </c>
      <c r="H7" s="602" t="s">
        <v>342</v>
      </c>
      <c r="I7" s="602"/>
      <c r="J7" s="602"/>
      <c r="K7" s="602"/>
      <c r="L7" s="602"/>
      <c r="M7" s="602"/>
      <c r="N7" s="602"/>
      <c r="O7" s="602"/>
      <c r="P7" s="602"/>
      <c r="Q7" s="602"/>
      <c r="R7" s="602"/>
      <c r="S7" s="602"/>
      <c r="T7" s="602"/>
      <c r="U7" s="602"/>
      <c r="V7" s="602"/>
      <c r="W7" s="602"/>
      <c r="X7" s="602"/>
      <c r="Y7" s="602"/>
      <c r="Z7" s="602"/>
      <c r="AA7" s="602"/>
    </row>
    <row r="8" spans="6:27" x14ac:dyDescent="0.25">
      <c r="F8" s="51"/>
      <c r="G8" s="51"/>
      <c r="H8" s="51"/>
      <c r="I8" s="51"/>
      <c r="J8" s="51"/>
      <c r="K8" s="51"/>
      <c r="L8" s="51"/>
      <c r="M8" s="51"/>
      <c r="N8" s="51"/>
      <c r="O8" s="51"/>
      <c r="P8" s="51"/>
      <c r="Q8" s="51"/>
      <c r="R8" s="51"/>
      <c r="S8" s="51"/>
      <c r="T8" s="51"/>
      <c r="U8" s="51"/>
      <c r="V8" s="51"/>
      <c r="W8" s="51"/>
      <c r="X8" s="51"/>
      <c r="Y8" s="51"/>
      <c r="Z8" s="51"/>
      <c r="AA8" s="51"/>
    </row>
    <row r="9" spans="6:27" x14ac:dyDescent="0.25">
      <c r="F9" s="51"/>
      <c r="G9" s="51"/>
      <c r="H9" s="51"/>
      <c r="I9" s="51"/>
      <c r="J9" s="51"/>
      <c r="K9" s="51"/>
      <c r="L9" s="51"/>
      <c r="M9" s="51"/>
      <c r="N9" s="51"/>
      <c r="O9" s="51"/>
      <c r="P9" s="51"/>
      <c r="Q9" s="51"/>
      <c r="R9" s="51"/>
      <c r="S9" s="51"/>
      <c r="T9" s="51"/>
      <c r="U9" s="51"/>
      <c r="V9" s="51"/>
      <c r="W9" s="51"/>
      <c r="X9" s="51"/>
      <c r="Y9" s="51"/>
      <c r="Z9" s="51"/>
      <c r="AA9" s="51"/>
    </row>
    <row r="10" spans="6:27" x14ac:dyDescent="0.25">
      <c r="F10" s="606"/>
      <c r="G10" s="607" t="s">
        <v>407</v>
      </c>
      <c r="H10" s="606"/>
      <c r="I10" s="606"/>
      <c r="J10" s="606"/>
      <c r="K10" s="606"/>
      <c r="L10" s="606"/>
      <c r="M10" s="606"/>
      <c r="N10" s="606"/>
      <c r="O10" s="606"/>
      <c r="P10" s="606"/>
      <c r="Q10" s="606"/>
      <c r="R10" s="606"/>
      <c r="S10" s="606"/>
      <c r="T10" s="606"/>
      <c r="U10" s="606"/>
      <c r="V10" s="606"/>
      <c r="W10" s="606"/>
      <c r="X10" s="606"/>
      <c r="Y10" s="606"/>
      <c r="Z10" s="606"/>
      <c r="AA10" s="606"/>
    </row>
    <row r="11" spans="6:27" x14ac:dyDescent="0.25">
      <c r="F11" s="51"/>
      <c r="G11" s="51"/>
      <c r="H11" s="51"/>
      <c r="I11" s="51"/>
      <c r="J11" s="51"/>
      <c r="K11" s="51"/>
      <c r="L11" s="51"/>
      <c r="M11" s="51"/>
      <c r="N11" s="51"/>
      <c r="O11" s="51"/>
      <c r="P11" s="51"/>
      <c r="Q11" s="51"/>
      <c r="R11" s="51"/>
      <c r="S11" s="51"/>
      <c r="T11" s="51"/>
      <c r="U11" s="51"/>
      <c r="V11" s="51"/>
      <c r="W11" s="51"/>
      <c r="X11" s="51"/>
      <c r="Y11" s="51"/>
      <c r="Z11" s="51"/>
      <c r="AA11" s="51"/>
    </row>
    <row r="12" spans="6:27" x14ac:dyDescent="0.25">
      <c r="F12" s="51"/>
      <c r="G12" s="764" t="s">
        <v>128</v>
      </c>
      <c r="H12" s="753" t="s">
        <v>42</v>
      </c>
      <c r="I12" s="753" t="s">
        <v>52</v>
      </c>
      <c r="J12" s="753" t="s">
        <v>53</v>
      </c>
      <c r="K12" s="753" t="s">
        <v>482</v>
      </c>
      <c r="L12" s="753" t="s">
        <v>32</v>
      </c>
      <c r="M12" s="753" t="s">
        <v>483</v>
      </c>
      <c r="N12" s="753" t="s">
        <v>20</v>
      </c>
      <c r="O12" s="753" t="s">
        <v>55</v>
      </c>
      <c r="P12" s="761" t="s">
        <v>56</v>
      </c>
      <c r="Q12" s="762"/>
      <c r="R12" s="762"/>
      <c r="S12" s="762"/>
      <c r="T12" s="762"/>
      <c r="U12" s="762"/>
      <c r="V12" s="763"/>
      <c r="W12" s="753" t="s">
        <v>57</v>
      </c>
      <c r="X12" s="753" t="s">
        <v>58</v>
      </c>
      <c r="Y12" s="753" t="s">
        <v>31</v>
      </c>
      <c r="Z12" s="753" t="s">
        <v>10</v>
      </c>
      <c r="AA12" s="51"/>
    </row>
    <row r="13" spans="6:27" ht="36" x14ac:dyDescent="0.25">
      <c r="F13" s="51"/>
      <c r="G13" s="765"/>
      <c r="H13" s="754"/>
      <c r="I13" s="754"/>
      <c r="J13" s="754"/>
      <c r="K13" s="754"/>
      <c r="L13" s="754"/>
      <c r="M13" s="754"/>
      <c r="N13" s="754"/>
      <c r="O13" s="754"/>
      <c r="P13" s="608" t="s">
        <v>335</v>
      </c>
      <c r="Q13" s="608" t="s">
        <v>40</v>
      </c>
      <c r="R13" s="608" t="s">
        <v>343</v>
      </c>
      <c r="S13" s="608" t="s">
        <v>344</v>
      </c>
      <c r="T13" s="609" t="s">
        <v>345</v>
      </c>
      <c r="U13" s="609" t="s">
        <v>609</v>
      </c>
      <c r="V13" s="608" t="s">
        <v>346</v>
      </c>
      <c r="W13" s="754"/>
      <c r="X13" s="754"/>
      <c r="Y13" s="754"/>
      <c r="Z13" s="754"/>
      <c r="AA13" s="51"/>
    </row>
    <row r="14" spans="6:27" x14ac:dyDescent="0.25">
      <c r="F14" s="51"/>
      <c r="G14" s="610" t="s">
        <v>59</v>
      </c>
      <c r="H14" s="611">
        <v>0</v>
      </c>
      <c r="I14" s="611">
        <v>11.595553697293001</v>
      </c>
      <c r="J14" s="612">
        <v>0</v>
      </c>
      <c r="K14" s="611">
        <v>0</v>
      </c>
      <c r="L14" s="611">
        <v>0.16688824999999999</v>
      </c>
      <c r="M14" s="611">
        <v>0</v>
      </c>
      <c r="N14" s="612">
        <v>1209.1260212121213</v>
      </c>
      <c r="O14" s="612">
        <v>104.3311966741735</v>
      </c>
      <c r="P14" s="612">
        <v>120.67293388888929</v>
      </c>
      <c r="Q14" s="612">
        <v>34.900820833333334</v>
      </c>
      <c r="R14" s="612">
        <v>0</v>
      </c>
      <c r="S14" s="612">
        <v>9.0983058888888646</v>
      </c>
      <c r="T14" s="612">
        <v>31.698274999999999</v>
      </c>
      <c r="U14" s="612">
        <v>31.698274999999999</v>
      </c>
      <c r="V14" s="612">
        <v>7.5310224999999988</v>
      </c>
      <c r="W14" s="612">
        <v>0</v>
      </c>
      <c r="X14" s="612">
        <v>0</v>
      </c>
      <c r="Y14" s="612">
        <v>0</v>
      </c>
      <c r="Z14" s="613">
        <v>1560.8192929446991</v>
      </c>
      <c r="AA14" s="51"/>
    </row>
    <row r="15" spans="6:27" x14ac:dyDescent="0.25">
      <c r="F15" s="51"/>
      <c r="G15" s="610" t="s">
        <v>60</v>
      </c>
      <c r="H15" s="612">
        <v>84.727843146635564</v>
      </c>
      <c r="I15" s="612">
        <v>578.28949050727442</v>
      </c>
      <c r="J15" s="612">
        <v>535.06419481988212</v>
      </c>
      <c r="K15" s="611">
        <v>0</v>
      </c>
      <c r="L15" s="612">
        <v>568.75187100000016</v>
      </c>
      <c r="M15" s="611">
        <v>0</v>
      </c>
      <c r="N15" s="612">
        <v>0</v>
      </c>
      <c r="O15" s="612">
        <v>0</v>
      </c>
      <c r="P15" s="612">
        <v>2.7591261111111107</v>
      </c>
      <c r="Q15" s="612">
        <v>0</v>
      </c>
      <c r="R15" s="612">
        <v>19.183841687689483</v>
      </c>
      <c r="S15" s="612">
        <v>0</v>
      </c>
      <c r="T15" s="612">
        <v>0</v>
      </c>
      <c r="U15" s="612">
        <v>0</v>
      </c>
      <c r="V15" s="612">
        <v>0</v>
      </c>
      <c r="W15" s="612">
        <v>15.63175</v>
      </c>
      <c r="X15" s="612">
        <v>0</v>
      </c>
      <c r="Y15" s="612">
        <v>0</v>
      </c>
      <c r="Z15" s="613">
        <v>1804.4081172725928</v>
      </c>
      <c r="AA15" s="51"/>
    </row>
    <row r="16" spans="6:27" x14ac:dyDescent="0.25">
      <c r="F16" s="51"/>
      <c r="G16" s="610" t="s">
        <v>61</v>
      </c>
      <c r="H16" s="612">
        <v>-4.7877500119999999E-2</v>
      </c>
      <c r="I16" s="612">
        <v>-1.599063909936</v>
      </c>
      <c r="J16" s="612">
        <v>-205.43265045753787</v>
      </c>
      <c r="K16" s="611">
        <v>0</v>
      </c>
      <c r="L16" s="612">
        <v>-112.63352224999998</v>
      </c>
      <c r="M16" s="611">
        <v>0</v>
      </c>
      <c r="N16" s="612">
        <v>0</v>
      </c>
      <c r="O16" s="612">
        <v>0</v>
      </c>
      <c r="P16" s="612">
        <v>-2.3667455555555552</v>
      </c>
      <c r="Q16" s="612">
        <v>0</v>
      </c>
      <c r="R16" s="612">
        <v>-8.0445142984108866</v>
      </c>
      <c r="S16" s="612">
        <v>0</v>
      </c>
      <c r="T16" s="612">
        <v>0</v>
      </c>
      <c r="U16" s="612">
        <v>0</v>
      </c>
      <c r="V16" s="612">
        <v>0</v>
      </c>
      <c r="W16" s="612">
        <v>-73.298799000000002</v>
      </c>
      <c r="X16" s="612">
        <v>0</v>
      </c>
      <c r="Y16" s="612">
        <v>0</v>
      </c>
      <c r="Z16" s="613">
        <v>-403.42317297156035</v>
      </c>
      <c r="AA16" s="51"/>
    </row>
    <row r="17" spans="6:27" x14ac:dyDescent="0.25">
      <c r="F17" s="51"/>
      <c r="G17" s="610" t="s">
        <v>62</v>
      </c>
      <c r="H17" s="611">
        <v>0</v>
      </c>
      <c r="I17" s="611">
        <v>0</v>
      </c>
      <c r="J17" s="611">
        <v>-19.747038815182684</v>
      </c>
      <c r="K17" s="611">
        <v>0</v>
      </c>
      <c r="L17" s="611">
        <v>0</v>
      </c>
      <c r="M17" s="611">
        <v>0</v>
      </c>
      <c r="N17" s="611">
        <v>0</v>
      </c>
      <c r="O17" s="611">
        <v>0</v>
      </c>
      <c r="P17" s="611">
        <v>0</v>
      </c>
      <c r="Q17" s="611">
        <v>0</v>
      </c>
      <c r="R17" s="611">
        <v>0</v>
      </c>
      <c r="S17" s="611">
        <v>0</v>
      </c>
      <c r="T17" s="611">
        <v>0</v>
      </c>
      <c r="U17" s="611">
        <v>0</v>
      </c>
      <c r="V17" s="611">
        <v>0</v>
      </c>
      <c r="W17" s="612">
        <v>0</v>
      </c>
      <c r="X17" s="612">
        <v>0</v>
      </c>
      <c r="Y17" s="611">
        <v>0</v>
      </c>
      <c r="Z17" s="613">
        <v>-19.747038815182684</v>
      </c>
      <c r="AA17" s="51"/>
    </row>
    <row r="18" spans="6:27" x14ac:dyDescent="0.25">
      <c r="F18" s="51"/>
      <c r="G18" s="610" t="s">
        <v>63</v>
      </c>
      <c r="H18" s="611">
        <v>0</v>
      </c>
      <c r="I18" s="611">
        <v>0</v>
      </c>
      <c r="J18" s="611">
        <v>-71.966617693689969</v>
      </c>
      <c r="K18" s="611">
        <v>0</v>
      </c>
      <c r="L18" s="611">
        <v>0</v>
      </c>
      <c r="M18" s="611">
        <v>0</v>
      </c>
      <c r="N18" s="611">
        <v>0</v>
      </c>
      <c r="O18" s="611">
        <v>0</v>
      </c>
      <c r="P18" s="611">
        <v>0</v>
      </c>
      <c r="Q18" s="611">
        <v>0</v>
      </c>
      <c r="R18" s="611">
        <v>0</v>
      </c>
      <c r="S18" s="611">
        <v>0</v>
      </c>
      <c r="T18" s="611">
        <v>0</v>
      </c>
      <c r="U18" s="611">
        <v>0</v>
      </c>
      <c r="V18" s="611">
        <v>0</v>
      </c>
      <c r="W18" s="612">
        <v>0</v>
      </c>
      <c r="X18" s="612">
        <v>0</v>
      </c>
      <c r="Y18" s="611">
        <v>0</v>
      </c>
      <c r="Z18" s="613">
        <v>-71.966617693689969</v>
      </c>
      <c r="AA18" s="51"/>
    </row>
    <row r="19" spans="6:27" x14ac:dyDescent="0.25">
      <c r="F19" s="51"/>
      <c r="G19" s="610" t="s">
        <v>64</v>
      </c>
      <c r="H19" s="612">
        <v>0.41223964042222283</v>
      </c>
      <c r="I19" s="612">
        <v>1.3710702337312513</v>
      </c>
      <c r="J19" s="612">
        <v>1.3272538188370329</v>
      </c>
      <c r="K19" s="611">
        <v>0</v>
      </c>
      <c r="L19" s="612">
        <v>-19.664768250000005</v>
      </c>
      <c r="M19" s="611">
        <v>0</v>
      </c>
      <c r="N19" s="612">
        <v>0</v>
      </c>
      <c r="O19" s="612">
        <v>0</v>
      </c>
      <c r="P19" s="612">
        <v>0</v>
      </c>
      <c r="Q19" s="612">
        <v>0</v>
      </c>
      <c r="R19" s="612">
        <v>0</v>
      </c>
      <c r="S19" s="612">
        <v>0</v>
      </c>
      <c r="T19" s="612">
        <v>0</v>
      </c>
      <c r="U19" s="612">
        <v>0</v>
      </c>
      <c r="V19" s="612">
        <v>0</v>
      </c>
      <c r="W19" s="612">
        <v>0</v>
      </c>
      <c r="X19" s="612">
        <v>0</v>
      </c>
      <c r="Y19" s="612">
        <v>0</v>
      </c>
      <c r="Z19" s="613">
        <v>-16.554204557009498</v>
      </c>
      <c r="AA19" s="51"/>
    </row>
    <row r="20" spans="6:27" x14ac:dyDescent="0.25">
      <c r="F20" s="51"/>
      <c r="G20" s="614" t="s">
        <v>65</v>
      </c>
      <c r="H20" s="615">
        <v>85.092205286937798</v>
      </c>
      <c r="I20" s="615">
        <v>589.65705052836267</v>
      </c>
      <c r="J20" s="615">
        <v>239.24514167230862</v>
      </c>
      <c r="K20" s="615">
        <v>0</v>
      </c>
      <c r="L20" s="615">
        <v>436.62046875000021</v>
      </c>
      <c r="M20" s="615">
        <v>0</v>
      </c>
      <c r="N20" s="615">
        <v>1209.1260212121213</v>
      </c>
      <c r="O20" s="615">
        <v>104.3311966741735</v>
      </c>
      <c r="P20" s="615">
        <v>121.06531444444485</v>
      </c>
      <c r="Q20" s="615">
        <v>34.900820833333334</v>
      </c>
      <c r="R20" s="615">
        <v>11.139327389278597</v>
      </c>
      <c r="S20" s="615">
        <v>9.0983058888888646</v>
      </c>
      <c r="T20" s="615">
        <v>31.698274999999999</v>
      </c>
      <c r="U20" s="615">
        <v>31.698274999999999</v>
      </c>
      <c r="V20" s="615">
        <v>7.5310224999999988</v>
      </c>
      <c r="W20" s="615">
        <v>-57.667049000000006</v>
      </c>
      <c r="X20" s="615">
        <v>0</v>
      </c>
      <c r="Y20" s="615">
        <v>0</v>
      </c>
      <c r="Z20" s="615">
        <v>2853.5363761798494</v>
      </c>
      <c r="AA20" s="51"/>
    </row>
    <row r="21" spans="6:27" x14ac:dyDescent="0.25">
      <c r="F21" s="51"/>
      <c r="G21" s="616"/>
      <c r="H21" s="617"/>
      <c r="I21" s="617"/>
      <c r="J21" s="617"/>
      <c r="K21" s="617"/>
      <c r="L21" s="617"/>
      <c r="M21" s="617"/>
      <c r="N21" s="617"/>
      <c r="O21" s="617"/>
      <c r="P21" s="617"/>
      <c r="Q21" s="617"/>
      <c r="R21" s="617"/>
      <c r="S21" s="617"/>
      <c r="T21" s="617"/>
      <c r="U21" s="617"/>
      <c r="V21" s="617"/>
      <c r="W21" s="617"/>
      <c r="X21" s="617"/>
      <c r="Y21" s="617"/>
      <c r="Z21" s="617"/>
      <c r="AA21" s="51"/>
    </row>
    <row r="22" spans="6:27" x14ac:dyDescent="0.25">
      <c r="F22" s="51"/>
      <c r="G22" s="618" t="s">
        <v>67</v>
      </c>
      <c r="H22" s="611">
        <v>3.6318872869800032</v>
      </c>
      <c r="I22" s="611">
        <v>10.787016352492323</v>
      </c>
      <c r="J22" s="611">
        <v>16.441628886851458</v>
      </c>
      <c r="K22" s="611">
        <v>0</v>
      </c>
      <c r="L22" s="611">
        <v>-1.2134132500000001</v>
      </c>
      <c r="M22" s="611">
        <v>0</v>
      </c>
      <c r="N22" s="611">
        <v>0</v>
      </c>
      <c r="O22" s="611">
        <v>0</v>
      </c>
      <c r="P22" s="611">
        <v>0</v>
      </c>
      <c r="Q22" s="611">
        <v>-0.39035819434438856</v>
      </c>
      <c r="R22" s="611">
        <v>0.39056626803326822</v>
      </c>
      <c r="S22" s="611">
        <v>0</v>
      </c>
      <c r="T22" s="611">
        <v>0</v>
      </c>
      <c r="U22" s="611">
        <v>0</v>
      </c>
      <c r="V22" s="611">
        <v>0</v>
      </c>
      <c r="W22" s="611">
        <v>4.6315588193812136</v>
      </c>
      <c r="X22" s="611">
        <v>0</v>
      </c>
      <c r="Y22" s="612">
        <v>0</v>
      </c>
      <c r="Z22" s="613">
        <v>34.278886169393878</v>
      </c>
      <c r="AA22" s="51"/>
    </row>
    <row r="23" spans="6:27" x14ac:dyDescent="0.25">
      <c r="F23" s="51"/>
      <c r="G23" s="618" t="s">
        <v>347</v>
      </c>
      <c r="H23" s="611">
        <v>17.443753714840586</v>
      </c>
      <c r="I23" s="611">
        <v>0</v>
      </c>
      <c r="J23" s="611">
        <v>13.62708829242459</v>
      </c>
      <c r="K23" s="611">
        <v>0</v>
      </c>
      <c r="L23" s="611">
        <v>62.931904980327779</v>
      </c>
      <c r="M23" s="611">
        <v>0</v>
      </c>
      <c r="N23" s="611">
        <v>1209.1260212121213</v>
      </c>
      <c r="O23" s="611">
        <v>104.3311966741735</v>
      </c>
      <c r="P23" s="611">
        <v>17.794147670554988</v>
      </c>
      <c r="Q23" s="611">
        <v>12.388866225144911</v>
      </c>
      <c r="R23" s="611">
        <v>0</v>
      </c>
      <c r="S23" s="611">
        <v>4.8474406033333333</v>
      </c>
      <c r="T23" s="611">
        <v>0</v>
      </c>
      <c r="U23" s="611">
        <v>0</v>
      </c>
      <c r="V23" s="611">
        <v>1.1825205542668356</v>
      </c>
      <c r="W23" s="611">
        <v>-566.17178776794128</v>
      </c>
      <c r="X23" s="611">
        <v>0</v>
      </c>
      <c r="Y23" s="612">
        <v>0</v>
      </c>
      <c r="Z23" s="613">
        <v>877.50115215924654</v>
      </c>
      <c r="AA23" s="51"/>
    </row>
    <row r="24" spans="6:27" x14ac:dyDescent="0.25">
      <c r="F24" s="51"/>
      <c r="G24" s="618" t="s">
        <v>348</v>
      </c>
      <c r="H24" s="611">
        <v>1.9109444951460814</v>
      </c>
      <c r="I24" s="611">
        <v>0</v>
      </c>
      <c r="J24" s="611">
        <v>0.26671791988070115</v>
      </c>
      <c r="K24" s="611">
        <v>0</v>
      </c>
      <c r="L24" s="611">
        <v>20.764778769672215</v>
      </c>
      <c r="M24" s="611">
        <v>0</v>
      </c>
      <c r="N24" s="611">
        <v>0</v>
      </c>
      <c r="O24" s="611">
        <v>0</v>
      </c>
      <c r="P24" s="611">
        <v>8.5293872999380707</v>
      </c>
      <c r="Q24" s="611">
        <v>16.588146755013483</v>
      </c>
      <c r="R24" s="611">
        <v>0</v>
      </c>
      <c r="S24" s="611">
        <v>2.852532452222222</v>
      </c>
      <c r="T24" s="611">
        <v>0.25919055555555554</v>
      </c>
      <c r="U24" s="611">
        <v>0.25919055555555554</v>
      </c>
      <c r="V24" s="611">
        <v>3.5768259901376065</v>
      </c>
      <c r="W24" s="611">
        <v>0</v>
      </c>
      <c r="X24" s="611">
        <v>-46.772072780777776</v>
      </c>
      <c r="Y24" s="612">
        <v>0</v>
      </c>
      <c r="Z24" s="613">
        <v>8.2356420123437175</v>
      </c>
      <c r="AA24" s="51"/>
    </row>
    <row r="25" spans="6:27" x14ac:dyDescent="0.25">
      <c r="F25" s="51"/>
      <c r="G25" s="618" t="s">
        <v>349</v>
      </c>
      <c r="H25" s="611">
        <v>0</v>
      </c>
      <c r="I25" s="611">
        <v>0</v>
      </c>
      <c r="J25" s="611">
        <v>0</v>
      </c>
      <c r="K25" s="611">
        <v>0</v>
      </c>
      <c r="L25" s="611">
        <v>0</v>
      </c>
      <c r="M25" s="611">
        <v>0</v>
      </c>
      <c r="N25" s="611">
        <v>0</v>
      </c>
      <c r="O25" s="611">
        <v>0</v>
      </c>
      <c r="P25" s="611">
        <v>0</v>
      </c>
      <c r="Q25" s="611">
        <v>0</v>
      </c>
      <c r="R25" s="611">
        <v>0</v>
      </c>
      <c r="S25" s="611">
        <v>-1.1106240000000001</v>
      </c>
      <c r="T25" s="611">
        <v>0</v>
      </c>
      <c r="U25" s="611">
        <v>0</v>
      </c>
      <c r="V25" s="611">
        <v>0</v>
      </c>
      <c r="W25" s="611">
        <v>0</v>
      </c>
      <c r="X25" s="611">
        <v>0</v>
      </c>
      <c r="Y25" s="612">
        <v>0</v>
      </c>
      <c r="Z25" s="613">
        <v>-1.1106240000000001</v>
      </c>
      <c r="AA25" s="51"/>
    </row>
    <row r="26" spans="6:27" x14ac:dyDescent="0.25">
      <c r="F26" s="51"/>
      <c r="G26" s="618" t="s">
        <v>350</v>
      </c>
      <c r="H26" s="611">
        <v>0</v>
      </c>
      <c r="I26" s="611">
        <v>0</v>
      </c>
      <c r="J26" s="611">
        <v>0</v>
      </c>
      <c r="K26" s="611">
        <v>0</v>
      </c>
      <c r="L26" s="611">
        <v>0</v>
      </c>
      <c r="M26" s="611">
        <v>0</v>
      </c>
      <c r="N26" s="611">
        <v>0</v>
      </c>
      <c r="O26" s="611">
        <v>0</v>
      </c>
      <c r="P26" s="611">
        <v>0</v>
      </c>
      <c r="Q26" s="611">
        <v>0</v>
      </c>
      <c r="R26" s="611">
        <v>0</v>
      </c>
      <c r="S26" s="611">
        <v>0</v>
      </c>
      <c r="T26" s="611">
        <v>0</v>
      </c>
      <c r="U26" s="611">
        <v>0</v>
      </c>
      <c r="V26" s="611">
        <v>0</v>
      </c>
      <c r="W26" s="611">
        <v>0</v>
      </c>
      <c r="X26" s="611">
        <v>0</v>
      </c>
      <c r="Y26" s="612">
        <v>0</v>
      </c>
      <c r="Z26" s="613">
        <v>0</v>
      </c>
      <c r="AA26" s="51"/>
    </row>
    <row r="27" spans="6:27" x14ac:dyDescent="0.25">
      <c r="F27" s="51"/>
      <c r="G27" s="618" t="s">
        <v>72</v>
      </c>
      <c r="H27" s="611">
        <v>0</v>
      </c>
      <c r="I27" s="611">
        <v>607.94319903666315</v>
      </c>
      <c r="J27" s="611">
        <v>-602.93238189654937</v>
      </c>
      <c r="K27" s="611">
        <v>0</v>
      </c>
      <c r="L27" s="611">
        <v>0</v>
      </c>
      <c r="M27" s="611">
        <v>0</v>
      </c>
      <c r="N27" s="611">
        <v>0</v>
      </c>
      <c r="O27" s="611">
        <v>0</v>
      </c>
      <c r="P27" s="611">
        <v>0</v>
      </c>
      <c r="Q27" s="611">
        <v>0</v>
      </c>
      <c r="R27" s="611">
        <v>0</v>
      </c>
      <c r="S27" s="611">
        <v>0</v>
      </c>
      <c r="T27" s="611">
        <v>0</v>
      </c>
      <c r="U27" s="611">
        <v>0</v>
      </c>
      <c r="V27" s="611">
        <v>0</v>
      </c>
      <c r="W27" s="611">
        <v>0</v>
      </c>
      <c r="X27" s="611">
        <v>0</v>
      </c>
      <c r="Y27" s="612">
        <v>0</v>
      </c>
      <c r="Z27" s="613">
        <v>5.0108171401137724</v>
      </c>
      <c r="AA27" s="51"/>
    </row>
    <row r="28" spans="6:27" x14ac:dyDescent="0.25">
      <c r="F28" s="51"/>
      <c r="G28" s="618" t="s">
        <v>351</v>
      </c>
      <c r="H28" s="611">
        <v>0</v>
      </c>
      <c r="I28" s="611">
        <v>0</v>
      </c>
      <c r="J28" s="611">
        <v>0</v>
      </c>
      <c r="K28" s="611">
        <v>0</v>
      </c>
      <c r="L28" s="611">
        <v>0</v>
      </c>
      <c r="M28" s="611">
        <v>0</v>
      </c>
      <c r="N28" s="611">
        <v>0</v>
      </c>
      <c r="O28" s="611">
        <v>0</v>
      </c>
      <c r="P28" s="611">
        <v>0</v>
      </c>
      <c r="Q28" s="611">
        <v>0</v>
      </c>
      <c r="R28" s="611">
        <v>-29.34529096854553</v>
      </c>
      <c r="S28" s="611">
        <v>0</v>
      </c>
      <c r="T28" s="611">
        <v>0</v>
      </c>
      <c r="U28" s="611">
        <v>0</v>
      </c>
      <c r="V28" s="611">
        <v>0</v>
      </c>
      <c r="W28" s="611">
        <v>0</v>
      </c>
      <c r="X28" s="611">
        <v>0</v>
      </c>
      <c r="Y28" s="612">
        <v>0</v>
      </c>
      <c r="Z28" s="613">
        <v>-29.34529096854553</v>
      </c>
      <c r="AA28" s="51"/>
    </row>
    <row r="29" spans="6:27" x14ac:dyDescent="0.25">
      <c r="F29" s="51"/>
      <c r="G29" s="618" t="s">
        <v>352</v>
      </c>
      <c r="H29" s="611">
        <v>0</v>
      </c>
      <c r="I29" s="611">
        <v>0</v>
      </c>
      <c r="J29" s="611">
        <v>0</v>
      </c>
      <c r="K29" s="611">
        <v>0</v>
      </c>
      <c r="L29" s="611">
        <v>0</v>
      </c>
      <c r="M29" s="611">
        <v>0</v>
      </c>
      <c r="N29" s="611">
        <v>0</v>
      </c>
      <c r="O29" s="611">
        <v>0</v>
      </c>
      <c r="P29" s="611">
        <v>0</v>
      </c>
      <c r="Q29" s="611">
        <v>0</v>
      </c>
      <c r="R29" s="611">
        <v>0</v>
      </c>
      <c r="S29" s="611">
        <v>0</v>
      </c>
      <c r="T29" s="611">
        <v>0</v>
      </c>
      <c r="U29" s="611">
        <v>0</v>
      </c>
      <c r="V29" s="611">
        <v>0</v>
      </c>
      <c r="W29" s="611">
        <v>0</v>
      </c>
      <c r="X29" s="611">
        <v>0</v>
      </c>
      <c r="Y29" s="612">
        <v>0</v>
      </c>
      <c r="Z29" s="613">
        <v>0</v>
      </c>
      <c r="AA29" s="51"/>
    </row>
    <row r="30" spans="6:27" x14ac:dyDescent="0.25">
      <c r="F30" s="51"/>
      <c r="G30" s="618" t="s">
        <v>73</v>
      </c>
      <c r="H30" s="611">
        <v>0</v>
      </c>
      <c r="I30" s="611">
        <v>0</v>
      </c>
      <c r="J30" s="611">
        <v>0</v>
      </c>
      <c r="K30" s="611">
        <v>0</v>
      </c>
      <c r="L30" s="611">
        <v>0</v>
      </c>
      <c r="M30" s="611">
        <v>0</v>
      </c>
      <c r="N30" s="611">
        <v>0</v>
      </c>
      <c r="O30" s="611">
        <v>0</v>
      </c>
      <c r="P30" s="611">
        <v>0</v>
      </c>
      <c r="Q30" s="611">
        <v>0</v>
      </c>
      <c r="R30" s="611">
        <v>0</v>
      </c>
      <c r="S30" s="611">
        <v>0</v>
      </c>
      <c r="T30" s="611">
        <v>0</v>
      </c>
      <c r="U30" s="611">
        <v>0</v>
      </c>
      <c r="V30" s="611">
        <v>0</v>
      </c>
      <c r="W30" s="611">
        <v>0</v>
      </c>
      <c r="X30" s="611">
        <v>0</v>
      </c>
      <c r="Y30" s="612">
        <v>0</v>
      </c>
      <c r="Z30" s="613">
        <v>0</v>
      </c>
      <c r="AA30" s="51"/>
    </row>
    <row r="31" spans="6:27" x14ac:dyDescent="0.25">
      <c r="F31" s="51"/>
      <c r="G31" s="618" t="s">
        <v>353</v>
      </c>
      <c r="H31" s="611">
        <v>32.750811529533344</v>
      </c>
      <c r="I31" s="611">
        <v>-29.152970396099011</v>
      </c>
      <c r="J31" s="611">
        <v>28.064488458099014</v>
      </c>
      <c r="K31" s="611">
        <v>0</v>
      </c>
      <c r="L31" s="611">
        <v>0</v>
      </c>
      <c r="M31" s="611">
        <v>0</v>
      </c>
      <c r="N31" s="611">
        <v>0</v>
      </c>
      <c r="O31" s="611">
        <v>0</v>
      </c>
      <c r="P31" s="611">
        <v>0</v>
      </c>
      <c r="Q31" s="611">
        <v>0</v>
      </c>
      <c r="R31" s="611">
        <v>0</v>
      </c>
      <c r="S31" s="611">
        <v>0</v>
      </c>
      <c r="T31" s="611">
        <v>0</v>
      </c>
      <c r="U31" s="611">
        <v>0</v>
      </c>
      <c r="V31" s="611">
        <v>0</v>
      </c>
      <c r="W31" s="611">
        <v>0</v>
      </c>
      <c r="X31" s="611">
        <v>0</v>
      </c>
      <c r="Y31" s="612">
        <v>0</v>
      </c>
      <c r="Z31" s="613">
        <v>31.662329591533346</v>
      </c>
      <c r="AA31" s="51"/>
    </row>
    <row r="32" spans="6:27" x14ac:dyDescent="0.25">
      <c r="F32" s="51"/>
      <c r="G32" s="618" t="s">
        <v>75</v>
      </c>
      <c r="H32" s="611">
        <v>15.211467777777777</v>
      </c>
      <c r="I32" s="611">
        <v>0</v>
      </c>
      <c r="J32" s="611">
        <v>17.163531653267256</v>
      </c>
      <c r="K32" s="611">
        <v>0</v>
      </c>
      <c r="L32" s="611">
        <v>6.4721602499999999</v>
      </c>
      <c r="M32" s="611">
        <v>0</v>
      </c>
      <c r="N32" s="611">
        <v>0</v>
      </c>
      <c r="O32" s="611">
        <v>0</v>
      </c>
      <c r="P32" s="611">
        <v>0</v>
      </c>
      <c r="Q32" s="611">
        <v>0</v>
      </c>
      <c r="R32" s="611">
        <v>0</v>
      </c>
      <c r="S32" s="611">
        <v>0</v>
      </c>
      <c r="T32" s="611">
        <v>0</v>
      </c>
      <c r="U32" s="611">
        <v>0</v>
      </c>
      <c r="V32" s="611">
        <v>0</v>
      </c>
      <c r="W32" s="611">
        <v>34.075655948560012</v>
      </c>
      <c r="X32" s="611">
        <v>0</v>
      </c>
      <c r="Y32" s="612">
        <v>0</v>
      </c>
      <c r="Z32" s="613">
        <v>72.922815629605054</v>
      </c>
      <c r="AA32" s="51"/>
    </row>
    <row r="33" spans="6:27" x14ac:dyDescent="0.25">
      <c r="F33" s="51"/>
      <c r="G33" s="618" t="s">
        <v>76</v>
      </c>
      <c r="H33" s="611">
        <v>0</v>
      </c>
      <c r="I33" s="611">
        <v>0</v>
      </c>
      <c r="J33" s="611">
        <v>0</v>
      </c>
      <c r="K33" s="611">
        <v>0</v>
      </c>
      <c r="L33" s="611">
        <v>4.9770604999999994</v>
      </c>
      <c r="M33" s="611">
        <v>0</v>
      </c>
      <c r="N33" s="611">
        <v>0</v>
      </c>
      <c r="O33" s="611">
        <v>0</v>
      </c>
      <c r="P33" s="611">
        <v>0</v>
      </c>
      <c r="Q33" s="611">
        <v>0</v>
      </c>
      <c r="R33" s="611">
        <v>0</v>
      </c>
      <c r="S33" s="611">
        <v>0</v>
      </c>
      <c r="T33" s="611">
        <v>0</v>
      </c>
      <c r="U33" s="611">
        <v>0</v>
      </c>
      <c r="V33" s="611">
        <v>0</v>
      </c>
      <c r="W33" s="611">
        <v>38.092724000000004</v>
      </c>
      <c r="X33" s="611">
        <v>3.667636947251947</v>
      </c>
      <c r="Y33" s="612">
        <v>0</v>
      </c>
      <c r="Z33" s="613">
        <v>46.737421447251954</v>
      </c>
      <c r="AA33" s="51"/>
    </row>
    <row r="34" spans="6:27" x14ac:dyDescent="0.25">
      <c r="F34" s="51"/>
      <c r="G34" s="614" t="s">
        <v>77</v>
      </c>
      <c r="H34" s="615">
        <v>70.94886480427779</v>
      </c>
      <c r="I34" s="615">
        <v>589.57724499305652</v>
      </c>
      <c r="J34" s="615">
        <v>-527.3689266860265</v>
      </c>
      <c r="K34" s="615">
        <v>0</v>
      </c>
      <c r="L34" s="615">
        <v>93.932491249999984</v>
      </c>
      <c r="M34" s="615">
        <v>0</v>
      </c>
      <c r="N34" s="615">
        <v>1209.1260212121213</v>
      </c>
      <c r="O34" s="615">
        <v>104.3311966741735</v>
      </c>
      <c r="P34" s="615">
        <v>26.323534970493061</v>
      </c>
      <c r="Q34" s="615">
        <v>28.586654785814009</v>
      </c>
      <c r="R34" s="615">
        <v>-28.954724700512262</v>
      </c>
      <c r="S34" s="615">
        <v>6.5893490555555561</v>
      </c>
      <c r="T34" s="615">
        <v>0.25919055555555554</v>
      </c>
      <c r="U34" s="615">
        <v>0.25919055555555554</v>
      </c>
      <c r="V34" s="615">
        <v>4.7593465444044423</v>
      </c>
      <c r="W34" s="615">
        <v>-489.37184900000005</v>
      </c>
      <c r="X34" s="615">
        <v>-43.104435833525834</v>
      </c>
      <c r="Y34" s="615">
        <v>0</v>
      </c>
      <c r="Z34" s="615">
        <v>1045.8931491809426</v>
      </c>
      <c r="AA34" s="51"/>
    </row>
    <row r="35" spans="6:27" x14ac:dyDescent="0.25">
      <c r="F35" s="51"/>
      <c r="G35" s="616"/>
      <c r="H35" s="617"/>
      <c r="I35" s="617"/>
      <c r="J35" s="617"/>
      <c r="K35" s="617"/>
      <c r="L35" s="617"/>
      <c r="M35" s="617"/>
      <c r="N35" s="617"/>
      <c r="O35" s="617"/>
      <c r="P35" s="617"/>
      <c r="Q35" s="617"/>
      <c r="R35" s="617"/>
      <c r="S35" s="617"/>
      <c r="T35" s="617"/>
      <c r="U35" s="617"/>
      <c r="V35" s="617"/>
      <c r="W35" s="617"/>
      <c r="X35" s="617"/>
      <c r="Y35" s="617"/>
      <c r="Z35" s="617"/>
      <c r="AA35" s="51"/>
    </row>
    <row r="36" spans="6:27" x14ac:dyDescent="0.25">
      <c r="F36" s="51"/>
      <c r="G36" s="618" t="s">
        <v>78</v>
      </c>
      <c r="H36" s="611">
        <v>10.318644626420003</v>
      </c>
      <c r="I36" s="611">
        <v>0</v>
      </c>
      <c r="J36" s="611">
        <v>31.798889573736361</v>
      </c>
      <c r="K36" s="611">
        <v>0</v>
      </c>
      <c r="L36" s="611">
        <v>122.13725650000002</v>
      </c>
      <c r="M36" s="611">
        <v>0</v>
      </c>
      <c r="N36" s="611">
        <v>0</v>
      </c>
      <c r="O36" s="611">
        <v>0</v>
      </c>
      <c r="P36" s="611">
        <v>15.07633527777778</v>
      </c>
      <c r="Q36" s="611">
        <v>4.5361330555555552</v>
      </c>
      <c r="R36" s="611">
        <v>1.0714586421915442</v>
      </c>
      <c r="S36" s="611">
        <v>0.59537055555555551</v>
      </c>
      <c r="T36" s="611">
        <v>0</v>
      </c>
      <c r="U36" s="611">
        <v>0</v>
      </c>
      <c r="V36" s="611">
        <v>1.4743611111111112E-2</v>
      </c>
      <c r="W36" s="611">
        <v>115.65608999999999</v>
      </c>
      <c r="X36" s="611">
        <v>18.599047500192498</v>
      </c>
      <c r="Y36" s="611">
        <v>0</v>
      </c>
      <c r="Z36" s="619">
        <v>319.80396934254043</v>
      </c>
      <c r="AA36" s="51"/>
    </row>
    <row r="37" spans="6:27" x14ac:dyDescent="0.25">
      <c r="F37" s="51"/>
      <c r="G37" s="618" t="s">
        <v>79</v>
      </c>
      <c r="H37" s="611">
        <v>0</v>
      </c>
      <c r="I37" s="611">
        <v>0</v>
      </c>
      <c r="J37" s="611">
        <v>475.96335269237244</v>
      </c>
      <c r="K37" s="611">
        <v>0</v>
      </c>
      <c r="L37" s="611">
        <v>1.8942870000000003</v>
      </c>
      <c r="M37" s="611">
        <v>0</v>
      </c>
      <c r="N37" s="611">
        <v>0</v>
      </c>
      <c r="O37" s="611">
        <v>0</v>
      </c>
      <c r="P37" s="611">
        <v>0</v>
      </c>
      <c r="Q37" s="611">
        <v>0</v>
      </c>
      <c r="R37" s="611">
        <v>37.188256545358975</v>
      </c>
      <c r="S37" s="611">
        <v>0</v>
      </c>
      <c r="T37" s="611">
        <v>0</v>
      </c>
      <c r="U37" s="611">
        <v>0</v>
      </c>
      <c r="V37" s="611">
        <v>0</v>
      </c>
      <c r="W37" s="611">
        <v>10.07993007</v>
      </c>
      <c r="X37" s="611">
        <v>0</v>
      </c>
      <c r="Y37" s="611">
        <v>0</v>
      </c>
      <c r="Z37" s="619">
        <v>525.12582630773147</v>
      </c>
      <c r="AA37" s="51"/>
    </row>
    <row r="38" spans="6:27" x14ac:dyDescent="0.25">
      <c r="F38" s="51"/>
      <c r="G38" s="618" t="s">
        <v>80</v>
      </c>
      <c r="H38" s="611">
        <v>0.28361423905000005</v>
      </c>
      <c r="I38" s="611">
        <v>0</v>
      </c>
      <c r="J38" s="611">
        <v>50.740146891881786</v>
      </c>
      <c r="K38" s="611">
        <v>0</v>
      </c>
      <c r="L38" s="611">
        <v>132.15121725</v>
      </c>
      <c r="M38" s="611">
        <v>0</v>
      </c>
      <c r="N38" s="611">
        <v>0</v>
      </c>
      <c r="O38" s="611">
        <v>0</v>
      </c>
      <c r="P38" s="611">
        <v>74.953719722222218</v>
      </c>
      <c r="Q38" s="611">
        <v>0</v>
      </c>
      <c r="R38" s="611">
        <v>0</v>
      </c>
      <c r="S38" s="611">
        <v>0</v>
      </c>
      <c r="T38" s="611">
        <v>26.665051666666663</v>
      </c>
      <c r="U38" s="611">
        <v>26.665051666666663</v>
      </c>
      <c r="V38" s="611">
        <v>1.98639250004</v>
      </c>
      <c r="W38" s="611">
        <v>159.72207699999998</v>
      </c>
      <c r="X38" s="611">
        <v>14.980747222222222</v>
      </c>
      <c r="Y38" s="611">
        <v>0</v>
      </c>
      <c r="Z38" s="619">
        <v>488.14801815874955</v>
      </c>
      <c r="AA38" s="51"/>
    </row>
    <row r="39" spans="6:27" x14ac:dyDescent="0.25">
      <c r="F39" s="51"/>
      <c r="G39" s="618" t="s">
        <v>81</v>
      </c>
      <c r="H39" s="611">
        <v>0.40432760307999993</v>
      </c>
      <c r="I39" s="611">
        <v>0</v>
      </c>
      <c r="J39" s="611">
        <v>33.030604242320379</v>
      </c>
      <c r="K39" s="611">
        <v>0</v>
      </c>
      <c r="L39" s="611">
        <v>70.504948999999996</v>
      </c>
      <c r="M39" s="611">
        <v>0</v>
      </c>
      <c r="N39" s="611">
        <v>0</v>
      </c>
      <c r="O39" s="611">
        <v>0</v>
      </c>
      <c r="P39" s="611">
        <v>3.0152302777777784</v>
      </c>
      <c r="Q39" s="611">
        <v>1.7780329919637734</v>
      </c>
      <c r="R39" s="611">
        <v>0</v>
      </c>
      <c r="S39" s="611">
        <v>1.4820169444444444</v>
      </c>
      <c r="T39" s="611">
        <v>4.7740327777777782</v>
      </c>
      <c r="U39" s="611">
        <v>4.7740327777777782</v>
      </c>
      <c r="V39" s="611">
        <v>0.35231138888888891</v>
      </c>
      <c r="W39" s="611">
        <v>137.76728493000002</v>
      </c>
      <c r="X39" s="611">
        <v>9.3080608333333341</v>
      </c>
      <c r="Y39" s="611">
        <v>0</v>
      </c>
      <c r="Z39" s="619">
        <v>267.1908837673642</v>
      </c>
      <c r="AA39" s="51"/>
    </row>
    <row r="40" spans="6:27" x14ac:dyDescent="0.25">
      <c r="F40" s="51"/>
      <c r="G40" s="618" t="s">
        <v>82</v>
      </c>
      <c r="H40" s="611">
        <v>1.6738093710000002E-2</v>
      </c>
      <c r="I40" s="611">
        <v>0</v>
      </c>
      <c r="J40" s="611">
        <v>35.508479849329859</v>
      </c>
      <c r="K40" s="611">
        <v>0</v>
      </c>
      <c r="L40" s="611">
        <v>2.1960534999999997</v>
      </c>
      <c r="M40" s="611">
        <v>0</v>
      </c>
      <c r="N40" s="611">
        <v>0</v>
      </c>
      <c r="O40" s="611">
        <v>0</v>
      </c>
      <c r="P40" s="611">
        <v>1.6964935406677779</v>
      </c>
      <c r="Q40" s="611">
        <v>0</v>
      </c>
      <c r="R40" s="611">
        <v>1.834336902240338</v>
      </c>
      <c r="S40" s="611">
        <v>0.43157000000000006</v>
      </c>
      <c r="T40" s="611">
        <v>0</v>
      </c>
      <c r="U40" s="611">
        <v>0</v>
      </c>
      <c r="V40" s="611">
        <v>0.29222750000000003</v>
      </c>
      <c r="W40" s="611">
        <v>8.4794180000000026</v>
      </c>
      <c r="X40" s="611">
        <v>0.21658055555555558</v>
      </c>
      <c r="Y40" s="611">
        <v>0</v>
      </c>
      <c r="Z40" s="619">
        <v>50.671897941503538</v>
      </c>
      <c r="AA40" s="51"/>
    </row>
    <row r="41" spans="6:27" x14ac:dyDescent="0.25">
      <c r="F41" s="51"/>
      <c r="G41" s="618" t="s">
        <v>354</v>
      </c>
      <c r="H41" s="611">
        <v>0</v>
      </c>
      <c r="I41" s="611">
        <v>0</v>
      </c>
      <c r="J41" s="611">
        <v>0</v>
      </c>
      <c r="K41" s="611">
        <v>0</v>
      </c>
      <c r="L41" s="611">
        <v>0</v>
      </c>
      <c r="M41" s="611">
        <v>0</v>
      </c>
      <c r="N41" s="611">
        <v>0</v>
      </c>
      <c r="O41" s="611">
        <v>0</v>
      </c>
      <c r="P41" s="611">
        <v>0</v>
      </c>
      <c r="Q41" s="611">
        <v>0</v>
      </c>
      <c r="R41" s="611">
        <v>0</v>
      </c>
      <c r="S41" s="611">
        <v>0</v>
      </c>
      <c r="T41" s="611">
        <v>0</v>
      </c>
      <c r="U41" s="611">
        <v>0</v>
      </c>
      <c r="V41" s="611">
        <v>0</v>
      </c>
      <c r="W41" s="611">
        <v>0</v>
      </c>
      <c r="X41" s="611">
        <v>0</v>
      </c>
      <c r="Y41" s="611">
        <v>0</v>
      </c>
      <c r="Z41" s="619">
        <v>0</v>
      </c>
      <c r="AA41" s="51"/>
    </row>
    <row r="42" spans="6:27" x14ac:dyDescent="0.25">
      <c r="F42" s="51"/>
      <c r="G42" s="614" t="s">
        <v>83</v>
      </c>
      <c r="H42" s="615">
        <v>11.023324562260003</v>
      </c>
      <c r="I42" s="615">
        <v>0</v>
      </c>
      <c r="J42" s="615">
        <v>627.04147324964083</v>
      </c>
      <c r="K42" s="615">
        <v>0</v>
      </c>
      <c r="L42" s="615">
        <v>328.88376325000007</v>
      </c>
      <c r="M42" s="615">
        <v>0</v>
      </c>
      <c r="N42" s="615">
        <v>0</v>
      </c>
      <c r="O42" s="615">
        <v>0</v>
      </c>
      <c r="P42" s="615">
        <v>94.741778818445553</v>
      </c>
      <c r="Q42" s="615">
        <v>6.3141660475193291</v>
      </c>
      <c r="R42" s="615">
        <v>40.094052089790857</v>
      </c>
      <c r="S42" s="615">
        <v>2.5089575000000002</v>
      </c>
      <c r="T42" s="615">
        <v>31.43908444444444</v>
      </c>
      <c r="U42" s="615">
        <v>31.43908444444444</v>
      </c>
      <c r="V42" s="615">
        <v>2.6456750000400002</v>
      </c>
      <c r="W42" s="615">
        <v>431.70480000000003</v>
      </c>
      <c r="X42" s="615">
        <v>43.104436111303606</v>
      </c>
      <c r="Y42" s="615">
        <v>0</v>
      </c>
      <c r="Z42" s="615">
        <v>1650.9405955178891</v>
      </c>
      <c r="AA42" s="51"/>
    </row>
    <row r="43" spans="6:27" x14ac:dyDescent="0.25">
      <c r="F43" s="51"/>
      <c r="G43" s="610" t="s">
        <v>84</v>
      </c>
      <c r="H43" s="611">
        <v>3.1200159203999993</v>
      </c>
      <c r="I43" s="611">
        <v>0</v>
      </c>
      <c r="J43" s="611">
        <v>139.5725242203051</v>
      </c>
      <c r="K43" s="611">
        <v>0</v>
      </c>
      <c r="L43" s="611">
        <v>13.804214250000001</v>
      </c>
      <c r="M43" s="611">
        <v>0</v>
      </c>
      <c r="N43" s="611">
        <v>0</v>
      </c>
      <c r="O43" s="611">
        <v>0</v>
      </c>
      <c r="P43" s="611">
        <v>0</v>
      </c>
      <c r="Q43" s="611">
        <v>0</v>
      </c>
      <c r="R43" s="611">
        <v>0</v>
      </c>
      <c r="S43" s="611">
        <v>0</v>
      </c>
      <c r="T43" s="611">
        <v>0</v>
      </c>
      <c r="U43" s="611">
        <v>0</v>
      </c>
      <c r="V43" s="611">
        <v>0</v>
      </c>
      <c r="W43" s="611">
        <v>0</v>
      </c>
      <c r="X43" s="611">
        <v>0</v>
      </c>
      <c r="Y43" s="611">
        <v>0</v>
      </c>
      <c r="Z43" s="619">
        <v>156.49675439070509</v>
      </c>
      <c r="AA43" s="51"/>
    </row>
    <row r="44" spans="6:27" x14ac:dyDescent="0.25">
      <c r="F44" s="51"/>
      <c r="G44" s="614" t="s">
        <v>85</v>
      </c>
      <c r="H44" s="615">
        <v>14.143340482660001</v>
      </c>
      <c r="I44" s="615">
        <v>0</v>
      </c>
      <c r="J44" s="615">
        <v>766.61399746994596</v>
      </c>
      <c r="K44" s="615">
        <v>0</v>
      </c>
      <c r="L44" s="615">
        <v>342.6879775000001</v>
      </c>
      <c r="M44" s="615">
        <v>0</v>
      </c>
      <c r="N44" s="615">
        <v>0</v>
      </c>
      <c r="O44" s="615">
        <v>0</v>
      </c>
      <c r="P44" s="615">
        <v>94.741778818445553</v>
      </c>
      <c r="Q44" s="615">
        <v>6.3141660475193291</v>
      </c>
      <c r="R44" s="615">
        <v>40.094052089790857</v>
      </c>
      <c r="S44" s="615">
        <v>2.5089575000000002</v>
      </c>
      <c r="T44" s="615">
        <v>31.43908444444444</v>
      </c>
      <c r="U44" s="615">
        <v>31.43908444444444</v>
      </c>
      <c r="V44" s="615">
        <v>2.6456750000400002</v>
      </c>
      <c r="W44" s="615">
        <v>431.70480000000003</v>
      </c>
      <c r="X44" s="615">
        <v>43.104436111303606</v>
      </c>
      <c r="Y44" s="615">
        <v>0</v>
      </c>
      <c r="Z44" s="615">
        <v>1807.4373499085941</v>
      </c>
      <c r="AA44" s="51"/>
    </row>
    <row r="45" spans="6:27" x14ac:dyDescent="0.25">
      <c r="F45" s="51"/>
      <c r="G45" s="51"/>
      <c r="H45" s="67"/>
      <c r="I45" s="67"/>
      <c r="J45" s="67"/>
      <c r="K45" s="67"/>
      <c r="L45" s="67"/>
      <c r="M45" s="51"/>
      <c r="N45" s="67"/>
      <c r="O45" s="67"/>
      <c r="P45" s="67"/>
      <c r="Q45" s="67"/>
      <c r="R45" s="67"/>
      <c r="S45" s="67"/>
      <c r="T45" s="67"/>
      <c r="U45" s="67"/>
      <c r="V45" s="67"/>
      <c r="W45" s="67"/>
      <c r="X45" s="67"/>
      <c r="Y45" s="67"/>
      <c r="Z45" s="67"/>
      <c r="AA45" s="51"/>
    </row>
    <row r="46" spans="6:27" x14ac:dyDescent="0.25">
      <c r="F46" s="51"/>
      <c r="G46" s="51"/>
      <c r="H46" s="51"/>
      <c r="I46" s="51"/>
      <c r="J46" s="51"/>
      <c r="K46" s="51"/>
      <c r="L46" s="51"/>
      <c r="M46" s="51"/>
      <c r="N46" s="51"/>
      <c r="O46" s="51"/>
      <c r="P46" s="51"/>
      <c r="Q46" s="51"/>
      <c r="R46" s="51"/>
      <c r="S46" s="51"/>
      <c r="T46" s="51"/>
      <c r="U46" s="51"/>
      <c r="V46" s="51"/>
      <c r="W46" s="51"/>
      <c r="X46" s="51"/>
      <c r="Y46" s="51"/>
      <c r="Z46" s="51"/>
      <c r="AA46" s="51"/>
    </row>
    <row r="47" spans="6:27" x14ac:dyDescent="0.25">
      <c r="F47" s="606"/>
      <c r="G47" s="607" t="s">
        <v>86</v>
      </c>
      <c r="H47" s="606"/>
      <c r="I47" s="606"/>
      <c r="J47" s="606"/>
      <c r="K47" s="606"/>
      <c r="L47" s="606"/>
      <c r="M47" s="606"/>
      <c r="N47" s="606"/>
      <c r="O47" s="606"/>
      <c r="P47" s="606"/>
      <c r="Q47" s="606"/>
      <c r="R47" s="606"/>
      <c r="S47" s="606"/>
      <c r="T47" s="606"/>
      <c r="U47" s="606"/>
      <c r="V47" s="606"/>
      <c r="W47" s="606"/>
      <c r="X47" s="606"/>
      <c r="Y47" s="606"/>
      <c r="Z47" s="606"/>
      <c r="AA47" s="606"/>
    </row>
    <row r="48" spans="6:27" x14ac:dyDescent="0.25">
      <c r="F48" s="51"/>
      <c r="G48" s="51"/>
      <c r="H48" s="51"/>
      <c r="I48" s="51"/>
      <c r="J48" s="51"/>
      <c r="K48" s="51"/>
      <c r="L48" s="51"/>
      <c r="M48" s="51"/>
      <c r="N48" s="51"/>
      <c r="O48" s="51"/>
      <c r="P48" s="51"/>
      <c r="Q48" s="51"/>
      <c r="R48" s="51"/>
      <c r="S48" s="51"/>
      <c r="T48" s="51"/>
      <c r="U48" s="51"/>
      <c r="V48" s="51"/>
      <c r="W48" s="51"/>
      <c r="X48" s="51"/>
      <c r="Y48" s="51"/>
      <c r="Z48" s="51"/>
      <c r="AA48" s="51"/>
    </row>
    <row r="49" spans="6:27" x14ac:dyDescent="0.25">
      <c r="F49" s="51"/>
      <c r="G49" s="764" t="s">
        <v>128</v>
      </c>
      <c r="H49" s="753" t="s">
        <v>42</v>
      </c>
      <c r="I49" s="753" t="s">
        <v>52</v>
      </c>
      <c r="J49" s="753" t="s">
        <v>53</v>
      </c>
      <c r="K49" s="753" t="s">
        <v>482</v>
      </c>
      <c r="L49" s="753" t="s">
        <v>32</v>
      </c>
      <c r="M49" s="753" t="s">
        <v>483</v>
      </c>
      <c r="N49" s="753" t="s">
        <v>20</v>
      </c>
      <c r="O49" s="753" t="s">
        <v>55</v>
      </c>
      <c r="P49" s="761" t="s">
        <v>56</v>
      </c>
      <c r="Q49" s="762"/>
      <c r="R49" s="762"/>
      <c r="S49" s="762"/>
      <c r="T49" s="762"/>
      <c r="U49" s="762"/>
      <c r="V49" s="763"/>
      <c r="W49" s="753" t="s">
        <v>57</v>
      </c>
      <c r="X49" s="753" t="s">
        <v>58</v>
      </c>
      <c r="Y49" s="753" t="s">
        <v>31</v>
      </c>
      <c r="Z49" s="753" t="s">
        <v>10</v>
      </c>
      <c r="AA49" s="51"/>
    </row>
    <row r="50" spans="6:27" ht="36" x14ac:dyDescent="0.25">
      <c r="F50" s="51"/>
      <c r="G50" s="765"/>
      <c r="H50" s="754"/>
      <c r="I50" s="754"/>
      <c r="J50" s="754"/>
      <c r="K50" s="754"/>
      <c r="L50" s="754"/>
      <c r="M50" s="754"/>
      <c r="N50" s="754"/>
      <c r="O50" s="754"/>
      <c r="P50" s="608" t="s">
        <v>335</v>
      </c>
      <c r="Q50" s="608" t="s">
        <v>40</v>
      </c>
      <c r="R50" s="608" t="s">
        <v>343</v>
      </c>
      <c r="S50" s="608" t="s">
        <v>344</v>
      </c>
      <c r="T50" s="609" t="s">
        <v>345</v>
      </c>
      <c r="U50" s="609" t="s">
        <v>609</v>
      </c>
      <c r="V50" s="608" t="s">
        <v>346</v>
      </c>
      <c r="W50" s="754"/>
      <c r="X50" s="754"/>
      <c r="Y50" s="754"/>
      <c r="Z50" s="754"/>
      <c r="AA50" s="51"/>
    </row>
    <row r="51" spans="6:27" x14ac:dyDescent="0.25">
      <c r="F51" s="51"/>
      <c r="G51" s="610" t="s">
        <v>59</v>
      </c>
      <c r="H51" s="611">
        <v>0</v>
      </c>
      <c r="I51" s="611">
        <v>9.7977867342210008</v>
      </c>
      <c r="J51" s="620">
        <v>0</v>
      </c>
      <c r="K51" s="611">
        <v>0</v>
      </c>
      <c r="L51" s="611">
        <v>0.18111850000000002</v>
      </c>
      <c r="M51" s="611">
        <v>0</v>
      </c>
      <c r="N51" s="620">
        <v>1072.2208090909091</v>
      </c>
      <c r="O51" s="620">
        <v>115.72304451809002</v>
      </c>
      <c r="P51" s="620">
        <v>114.24305924309468</v>
      </c>
      <c r="Q51" s="620">
        <v>33.631608055405756</v>
      </c>
      <c r="R51" s="620">
        <v>0</v>
      </c>
      <c r="S51" s="620">
        <v>9.2815441223735728</v>
      </c>
      <c r="T51" s="620">
        <v>32.908596666666668</v>
      </c>
      <c r="U51" s="620">
        <v>32.908596666666668</v>
      </c>
      <c r="V51" s="620">
        <v>8.1133079726239394</v>
      </c>
      <c r="W51" s="620">
        <v>0</v>
      </c>
      <c r="X51" s="620">
        <v>0</v>
      </c>
      <c r="Y51" s="620">
        <v>0</v>
      </c>
      <c r="Z51" s="621">
        <v>1429.0094715700513</v>
      </c>
      <c r="AA51" s="51"/>
    </row>
    <row r="52" spans="6:27" x14ac:dyDescent="0.25">
      <c r="F52" s="51"/>
      <c r="G52" s="610" t="s">
        <v>60</v>
      </c>
      <c r="H52" s="620">
        <v>59.346560356893349</v>
      </c>
      <c r="I52" s="620">
        <v>394.73997109464659</v>
      </c>
      <c r="J52" s="620">
        <v>515.26337584814883</v>
      </c>
      <c r="K52" s="611">
        <v>0</v>
      </c>
      <c r="L52" s="620">
        <v>479.42224425000006</v>
      </c>
      <c r="M52" s="611">
        <v>0</v>
      </c>
      <c r="N52" s="620">
        <v>0</v>
      </c>
      <c r="O52" s="620">
        <v>0</v>
      </c>
      <c r="P52" s="620">
        <v>2.6631252777777781</v>
      </c>
      <c r="Q52" s="620">
        <v>0</v>
      </c>
      <c r="R52" s="620">
        <v>13.962014778928699</v>
      </c>
      <c r="S52" s="620">
        <v>0</v>
      </c>
      <c r="T52" s="620">
        <v>0</v>
      </c>
      <c r="U52" s="620">
        <v>0</v>
      </c>
      <c r="V52" s="620">
        <v>0</v>
      </c>
      <c r="W52" s="620">
        <v>19.536102</v>
      </c>
      <c r="X52" s="620">
        <v>0</v>
      </c>
      <c r="Y52" s="620">
        <v>0</v>
      </c>
      <c r="Z52" s="621">
        <v>1484.9333936063952</v>
      </c>
      <c r="AA52" s="51"/>
    </row>
    <row r="53" spans="6:27" x14ac:dyDescent="0.25">
      <c r="F53" s="51"/>
      <c r="G53" s="610" t="s">
        <v>61</v>
      </c>
      <c r="H53" s="620">
        <v>-9.6972882210000014E-2</v>
      </c>
      <c r="I53" s="620">
        <v>-1.4488664385590002</v>
      </c>
      <c r="J53" s="620">
        <v>-154.00833143808623</v>
      </c>
      <c r="K53" s="611">
        <v>0</v>
      </c>
      <c r="L53" s="620">
        <v>-95.022441999999998</v>
      </c>
      <c r="M53" s="611">
        <v>0</v>
      </c>
      <c r="N53" s="620">
        <v>0</v>
      </c>
      <c r="O53" s="620">
        <v>0</v>
      </c>
      <c r="P53" s="620">
        <v>-2.0287163888888888</v>
      </c>
      <c r="Q53" s="620">
        <v>0</v>
      </c>
      <c r="R53" s="620">
        <v>-7.1333416709442901</v>
      </c>
      <c r="S53" s="620">
        <v>0</v>
      </c>
      <c r="T53" s="620">
        <v>0</v>
      </c>
      <c r="U53" s="620">
        <v>0</v>
      </c>
      <c r="V53" s="620">
        <v>0</v>
      </c>
      <c r="W53" s="620">
        <v>-64.575296000000009</v>
      </c>
      <c r="X53" s="620">
        <v>0</v>
      </c>
      <c r="Y53" s="620">
        <v>0</v>
      </c>
      <c r="Z53" s="621">
        <v>-324.31396681868841</v>
      </c>
      <c r="AA53" s="51"/>
    </row>
    <row r="54" spans="6:27" x14ac:dyDescent="0.25">
      <c r="F54" s="51"/>
      <c r="G54" s="610" t="s">
        <v>62</v>
      </c>
      <c r="H54" s="611">
        <v>0</v>
      </c>
      <c r="I54" s="611">
        <v>0</v>
      </c>
      <c r="J54" s="611">
        <v>-11.254966292131096</v>
      </c>
      <c r="K54" s="611">
        <v>0</v>
      </c>
      <c r="L54" s="611">
        <v>0</v>
      </c>
      <c r="M54" s="611">
        <v>0</v>
      </c>
      <c r="N54" s="611">
        <v>0</v>
      </c>
      <c r="O54" s="611">
        <v>0</v>
      </c>
      <c r="P54" s="611">
        <v>0</v>
      </c>
      <c r="Q54" s="611">
        <v>0</v>
      </c>
      <c r="R54" s="611">
        <v>0</v>
      </c>
      <c r="S54" s="611">
        <v>0</v>
      </c>
      <c r="T54" s="611">
        <v>0</v>
      </c>
      <c r="U54" s="611">
        <v>0</v>
      </c>
      <c r="V54" s="611">
        <v>0</v>
      </c>
      <c r="W54" s="620">
        <v>0</v>
      </c>
      <c r="X54" s="620">
        <v>0</v>
      </c>
      <c r="Y54" s="611">
        <v>0</v>
      </c>
      <c r="Z54" s="621">
        <v>-11.254966292131096</v>
      </c>
      <c r="AA54" s="51"/>
    </row>
    <row r="55" spans="6:27" x14ac:dyDescent="0.25">
      <c r="F55" s="51"/>
      <c r="G55" s="610" t="s">
        <v>63</v>
      </c>
      <c r="H55" s="611">
        <v>0</v>
      </c>
      <c r="I55" s="611">
        <v>0</v>
      </c>
      <c r="J55" s="611">
        <v>-30.293164942593918</v>
      </c>
      <c r="K55" s="611">
        <v>0</v>
      </c>
      <c r="L55" s="611">
        <v>0</v>
      </c>
      <c r="M55" s="611">
        <v>0</v>
      </c>
      <c r="N55" s="611">
        <v>0</v>
      </c>
      <c r="O55" s="611">
        <v>0</v>
      </c>
      <c r="P55" s="611">
        <v>0</v>
      </c>
      <c r="Q55" s="611">
        <v>0</v>
      </c>
      <c r="R55" s="611">
        <v>0</v>
      </c>
      <c r="S55" s="611">
        <v>0</v>
      </c>
      <c r="T55" s="611">
        <v>0</v>
      </c>
      <c r="U55" s="611">
        <v>0</v>
      </c>
      <c r="V55" s="611">
        <v>0</v>
      </c>
      <c r="W55" s="620">
        <v>0</v>
      </c>
      <c r="X55" s="620">
        <v>0</v>
      </c>
      <c r="Y55" s="611">
        <v>0</v>
      </c>
      <c r="Z55" s="621">
        <v>-30.293164942593918</v>
      </c>
      <c r="AA55" s="51"/>
    </row>
    <row r="56" spans="6:27" x14ac:dyDescent="0.25">
      <c r="F56" s="51"/>
      <c r="G56" s="610" t="s">
        <v>64</v>
      </c>
      <c r="H56" s="620">
        <v>2.2754338241033341</v>
      </c>
      <c r="I56" s="620">
        <v>1.7895047303380001</v>
      </c>
      <c r="J56" s="620">
        <v>-1.4741451662241043</v>
      </c>
      <c r="K56" s="611">
        <v>0</v>
      </c>
      <c r="L56" s="620">
        <v>21.247482000000002</v>
      </c>
      <c r="M56" s="611">
        <v>0</v>
      </c>
      <c r="N56" s="620">
        <v>0</v>
      </c>
      <c r="O56" s="620">
        <v>0</v>
      </c>
      <c r="P56" s="620">
        <v>0</v>
      </c>
      <c r="Q56" s="620">
        <v>0</v>
      </c>
      <c r="R56" s="620">
        <v>0</v>
      </c>
      <c r="S56" s="620">
        <v>0</v>
      </c>
      <c r="T56" s="620">
        <v>0</v>
      </c>
      <c r="U56" s="620">
        <v>0</v>
      </c>
      <c r="V56" s="620">
        <v>0</v>
      </c>
      <c r="W56" s="620">
        <v>0</v>
      </c>
      <c r="X56" s="620">
        <v>0</v>
      </c>
      <c r="Y56" s="620">
        <v>0</v>
      </c>
      <c r="Z56" s="621">
        <v>23.83827538821723</v>
      </c>
      <c r="AA56" s="51"/>
    </row>
    <row r="57" spans="6:27" x14ac:dyDescent="0.25">
      <c r="F57" s="51"/>
      <c r="G57" s="614" t="s">
        <v>65</v>
      </c>
      <c r="H57" s="622">
        <v>61.525021298786683</v>
      </c>
      <c r="I57" s="622">
        <v>404.87839612064664</v>
      </c>
      <c r="J57" s="622">
        <v>318.2327680091135</v>
      </c>
      <c r="K57" s="615">
        <v>0</v>
      </c>
      <c r="L57" s="622">
        <v>405.82840275000007</v>
      </c>
      <c r="M57" s="615">
        <v>0</v>
      </c>
      <c r="N57" s="622">
        <v>1072.2208090909091</v>
      </c>
      <c r="O57" s="622">
        <v>115.72304451809002</v>
      </c>
      <c r="P57" s="622">
        <v>114.87746813198356</v>
      </c>
      <c r="Q57" s="622">
        <v>33.631608055405756</v>
      </c>
      <c r="R57" s="622">
        <v>6.8286731079844092</v>
      </c>
      <c r="S57" s="622">
        <v>9.2815441223735728</v>
      </c>
      <c r="T57" s="622">
        <v>32.908596666666668</v>
      </c>
      <c r="U57" s="622">
        <v>32.908596666666668</v>
      </c>
      <c r="V57" s="622">
        <v>8.1133079726239394</v>
      </c>
      <c r="W57" s="622">
        <v>-45.039194000000009</v>
      </c>
      <c r="X57" s="622">
        <v>0</v>
      </c>
      <c r="Y57" s="622">
        <v>0</v>
      </c>
      <c r="Z57" s="622">
        <v>2571.9190425112502</v>
      </c>
      <c r="AA57" s="51"/>
    </row>
    <row r="58" spans="6:27" x14ac:dyDescent="0.25">
      <c r="F58" s="51"/>
      <c r="G58" s="616"/>
      <c r="H58" s="623"/>
      <c r="I58" s="623"/>
      <c r="J58" s="623"/>
      <c r="K58" s="617"/>
      <c r="L58" s="623"/>
      <c r="M58" s="617"/>
      <c r="N58" s="623"/>
      <c r="O58" s="623"/>
      <c r="P58" s="623"/>
      <c r="Q58" s="623"/>
      <c r="R58" s="623"/>
      <c r="S58" s="623"/>
      <c r="T58" s="623"/>
      <c r="U58" s="623"/>
      <c r="V58" s="623"/>
      <c r="W58" s="623"/>
      <c r="X58" s="623"/>
      <c r="Y58" s="623"/>
      <c r="Z58" s="623"/>
      <c r="AA58" s="51"/>
    </row>
    <row r="59" spans="6:27" x14ac:dyDescent="0.25">
      <c r="F59" s="51"/>
      <c r="G59" s="618" t="s">
        <v>67</v>
      </c>
      <c r="H59" s="611">
        <v>-3.1696853392377875</v>
      </c>
      <c r="I59" s="611">
        <v>7.594656734105321</v>
      </c>
      <c r="J59" s="611">
        <v>3.8234994290490683</v>
      </c>
      <c r="K59" s="611">
        <v>0</v>
      </c>
      <c r="L59" s="611">
        <v>-0.68950250000000013</v>
      </c>
      <c r="M59" s="611">
        <v>0</v>
      </c>
      <c r="N59" s="611">
        <v>0</v>
      </c>
      <c r="O59" s="611">
        <v>0</v>
      </c>
      <c r="P59" s="611">
        <v>0</v>
      </c>
      <c r="Q59" s="611">
        <v>0</v>
      </c>
      <c r="R59" s="611">
        <v>0</v>
      </c>
      <c r="S59" s="611">
        <v>0</v>
      </c>
      <c r="T59" s="611">
        <v>0</v>
      </c>
      <c r="U59" s="611">
        <v>0</v>
      </c>
      <c r="V59" s="611">
        <v>0</v>
      </c>
      <c r="W59" s="611">
        <v>2.0843062301020092</v>
      </c>
      <c r="X59" s="611">
        <v>0</v>
      </c>
      <c r="Y59" s="620">
        <v>0</v>
      </c>
      <c r="Z59" s="621">
        <v>9.6432745540186104</v>
      </c>
      <c r="AA59" s="51"/>
    </row>
    <row r="60" spans="6:27" x14ac:dyDescent="0.25">
      <c r="F60" s="51"/>
      <c r="G60" s="618" t="s">
        <v>347</v>
      </c>
      <c r="H60" s="611">
        <v>14.864431241687887</v>
      </c>
      <c r="I60" s="611">
        <v>0</v>
      </c>
      <c r="J60" s="611">
        <v>13.418152502737103</v>
      </c>
      <c r="K60" s="611">
        <v>0</v>
      </c>
      <c r="L60" s="611">
        <v>55.436136268601025</v>
      </c>
      <c r="M60" s="611">
        <v>0</v>
      </c>
      <c r="N60" s="611">
        <v>1072.2208090909091</v>
      </c>
      <c r="O60" s="611">
        <v>115.67142051809002</v>
      </c>
      <c r="P60" s="611">
        <v>17.347825951117827</v>
      </c>
      <c r="Q60" s="611">
        <v>11.678824122543197</v>
      </c>
      <c r="R60" s="611">
        <v>0</v>
      </c>
      <c r="S60" s="611">
        <v>5.2886919634287652</v>
      </c>
      <c r="T60" s="611">
        <v>0</v>
      </c>
      <c r="U60" s="611">
        <v>0</v>
      </c>
      <c r="V60" s="611">
        <v>1.3922112325408571</v>
      </c>
      <c r="W60" s="611">
        <v>-527.28039181222232</v>
      </c>
      <c r="X60" s="611">
        <v>0</v>
      </c>
      <c r="Y60" s="620">
        <v>0</v>
      </c>
      <c r="Z60" s="621">
        <v>780.03811107943341</v>
      </c>
      <c r="AA60" s="51"/>
    </row>
    <row r="61" spans="6:27" x14ac:dyDescent="0.25">
      <c r="F61" s="51"/>
      <c r="G61" s="618" t="s">
        <v>348</v>
      </c>
      <c r="H61" s="611">
        <v>1.5729367626898902</v>
      </c>
      <c r="I61" s="611">
        <v>0</v>
      </c>
      <c r="J61" s="611">
        <v>0.20358189452574635</v>
      </c>
      <c r="K61" s="611">
        <v>0</v>
      </c>
      <c r="L61" s="611">
        <v>21.08911448139898</v>
      </c>
      <c r="M61" s="611">
        <v>0</v>
      </c>
      <c r="N61" s="611">
        <v>0</v>
      </c>
      <c r="O61" s="611">
        <v>0</v>
      </c>
      <c r="P61" s="611">
        <v>7.8982729217883261</v>
      </c>
      <c r="Q61" s="611">
        <v>16.49482411485047</v>
      </c>
      <c r="R61" s="611">
        <v>0</v>
      </c>
      <c r="S61" s="611">
        <v>3.0673174902469076</v>
      </c>
      <c r="T61" s="611">
        <v>0.25705111111111106</v>
      </c>
      <c r="U61" s="611">
        <v>0.25705111111111106</v>
      </c>
      <c r="V61" s="611">
        <v>3.9939867016268904</v>
      </c>
      <c r="W61" s="611">
        <v>0</v>
      </c>
      <c r="X61" s="611">
        <v>-45.831488617908406</v>
      </c>
      <c r="Y61" s="620">
        <v>0</v>
      </c>
      <c r="Z61" s="621">
        <v>9.0026479714410215</v>
      </c>
      <c r="AA61" s="51"/>
    </row>
    <row r="62" spans="6:27" x14ac:dyDescent="0.25">
      <c r="F62" s="51"/>
      <c r="G62" s="618" t="s">
        <v>349</v>
      </c>
      <c r="H62" s="611">
        <v>0</v>
      </c>
      <c r="I62" s="611">
        <v>0</v>
      </c>
      <c r="J62" s="611">
        <v>0</v>
      </c>
      <c r="K62" s="611">
        <v>0</v>
      </c>
      <c r="L62" s="611">
        <v>0</v>
      </c>
      <c r="M62" s="611">
        <v>0</v>
      </c>
      <c r="N62" s="611">
        <v>0</v>
      </c>
      <c r="O62" s="611">
        <v>0</v>
      </c>
      <c r="P62" s="611">
        <v>0</v>
      </c>
      <c r="Q62" s="611">
        <v>0</v>
      </c>
      <c r="R62" s="611">
        <v>0</v>
      </c>
      <c r="S62" s="611">
        <v>-1.9873640000000001</v>
      </c>
      <c r="T62" s="611">
        <v>0</v>
      </c>
      <c r="U62" s="611">
        <v>0</v>
      </c>
      <c r="V62" s="611">
        <v>0</v>
      </c>
      <c r="W62" s="611">
        <v>0</v>
      </c>
      <c r="X62" s="611">
        <v>0</v>
      </c>
      <c r="Y62" s="620">
        <v>0</v>
      </c>
      <c r="Z62" s="621">
        <v>-1.9873640000000001</v>
      </c>
      <c r="AA62" s="51"/>
    </row>
    <row r="63" spans="6:27" x14ac:dyDescent="0.25">
      <c r="F63" s="51"/>
      <c r="G63" s="618" t="s">
        <v>350</v>
      </c>
      <c r="H63" s="611">
        <v>0</v>
      </c>
      <c r="I63" s="611">
        <v>0</v>
      </c>
      <c r="J63" s="611">
        <v>0</v>
      </c>
      <c r="K63" s="611">
        <v>0</v>
      </c>
      <c r="L63" s="611">
        <v>0</v>
      </c>
      <c r="M63" s="611">
        <v>0</v>
      </c>
      <c r="N63" s="611">
        <v>0</v>
      </c>
      <c r="O63" s="611">
        <v>0</v>
      </c>
      <c r="P63" s="611">
        <v>0</v>
      </c>
      <c r="Q63" s="611">
        <v>0</v>
      </c>
      <c r="R63" s="611">
        <v>0</v>
      </c>
      <c r="S63" s="611">
        <v>0</v>
      </c>
      <c r="T63" s="611">
        <v>0</v>
      </c>
      <c r="U63" s="611">
        <v>0</v>
      </c>
      <c r="V63" s="611">
        <v>0</v>
      </c>
      <c r="W63" s="611">
        <v>0</v>
      </c>
      <c r="X63" s="611">
        <v>0</v>
      </c>
      <c r="Y63" s="620">
        <v>0</v>
      </c>
      <c r="Z63" s="621">
        <v>0</v>
      </c>
      <c r="AA63" s="51"/>
    </row>
    <row r="64" spans="6:27" x14ac:dyDescent="0.25">
      <c r="F64" s="51"/>
      <c r="G64" s="618" t="s">
        <v>72</v>
      </c>
      <c r="H64" s="611">
        <v>0</v>
      </c>
      <c r="I64" s="611">
        <v>440.59076600316865</v>
      </c>
      <c r="J64" s="611">
        <v>-437.66600779015403</v>
      </c>
      <c r="K64" s="611">
        <v>0</v>
      </c>
      <c r="L64" s="611">
        <v>0</v>
      </c>
      <c r="M64" s="611">
        <v>0</v>
      </c>
      <c r="N64" s="611">
        <v>0</v>
      </c>
      <c r="O64" s="611">
        <v>0</v>
      </c>
      <c r="P64" s="611">
        <v>0</v>
      </c>
      <c r="Q64" s="611">
        <v>0</v>
      </c>
      <c r="R64" s="611">
        <v>0</v>
      </c>
      <c r="S64" s="611">
        <v>0</v>
      </c>
      <c r="T64" s="611">
        <v>0</v>
      </c>
      <c r="U64" s="611">
        <v>0</v>
      </c>
      <c r="V64" s="611">
        <v>0</v>
      </c>
      <c r="W64" s="611">
        <v>0</v>
      </c>
      <c r="X64" s="611">
        <v>0</v>
      </c>
      <c r="Y64" s="620">
        <v>0</v>
      </c>
      <c r="Z64" s="621">
        <v>2.924758213014627</v>
      </c>
      <c r="AA64" s="51"/>
    </row>
    <row r="65" spans="6:27" x14ac:dyDescent="0.25">
      <c r="F65" s="51"/>
      <c r="G65" s="618" t="s">
        <v>351</v>
      </c>
      <c r="H65" s="611">
        <v>0</v>
      </c>
      <c r="I65" s="611">
        <v>0</v>
      </c>
      <c r="J65" s="611">
        <v>0</v>
      </c>
      <c r="K65" s="611">
        <v>0</v>
      </c>
      <c r="L65" s="611">
        <v>0</v>
      </c>
      <c r="M65" s="611">
        <v>0</v>
      </c>
      <c r="N65" s="611">
        <v>0</v>
      </c>
      <c r="O65" s="611">
        <v>0</v>
      </c>
      <c r="P65" s="611">
        <v>0</v>
      </c>
      <c r="Q65" s="611">
        <v>0</v>
      </c>
      <c r="R65" s="611">
        <v>-27.31624937979873</v>
      </c>
      <c r="S65" s="611">
        <v>0</v>
      </c>
      <c r="T65" s="611">
        <v>0</v>
      </c>
      <c r="U65" s="611">
        <v>0</v>
      </c>
      <c r="V65" s="611">
        <v>0</v>
      </c>
      <c r="W65" s="611">
        <v>0</v>
      </c>
      <c r="X65" s="611">
        <v>0</v>
      </c>
      <c r="Y65" s="620">
        <v>0</v>
      </c>
      <c r="Z65" s="621">
        <v>-27.31624937979873</v>
      </c>
      <c r="AA65" s="51"/>
    </row>
    <row r="66" spans="6:27" x14ac:dyDescent="0.25">
      <c r="F66" s="51"/>
      <c r="G66" s="618" t="s">
        <v>352</v>
      </c>
      <c r="H66" s="611">
        <v>0</v>
      </c>
      <c r="I66" s="611">
        <v>0</v>
      </c>
      <c r="J66" s="611">
        <v>0</v>
      </c>
      <c r="K66" s="611">
        <v>0</v>
      </c>
      <c r="L66" s="611">
        <v>0</v>
      </c>
      <c r="M66" s="611">
        <v>0</v>
      </c>
      <c r="N66" s="611">
        <v>0</v>
      </c>
      <c r="O66" s="611">
        <v>0</v>
      </c>
      <c r="P66" s="611">
        <v>0</v>
      </c>
      <c r="Q66" s="611">
        <v>0</v>
      </c>
      <c r="R66" s="611">
        <v>0</v>
      </c>
      <c r="S66" s="611">
        <v>0</v>
      </c>
      <c r="T66" s="611">
        <v>0</v>
      </c>
      <c r="U66" s="611">
        <v>0</v>
      </c>
      <c r="V66" s="611">
        <v>0</v>
      </c>
      <c r="W66" s="611">
        <v>0</v>
      </c>
      <c r="X66" s="611">
        <v>0</v>
      </c>
      <c r="Y66" s="620">
        <v>0</v>
      </c>
      <c r="Z66" s="621">
        <v>0</v>
      </c>
      <c r="AA66" s="51"/>
    </row>
    <row r="67" spans="6:27" x14ac:dyDescent="0.25">
      <c r="F67" s="51"/>
      <c r="G67" s="618" t="s">
        <v>73</v>
      </c>
      <c r="H67" s="611">
        <v>0</v>
      </c>
      <c r="I67" s="611">
        <v>0</v>
      </c>
      <c r="J67" s="611">
        <v>0</v>
      </c>
      <c r="K67" s="611">
        <v>0</v>
      </c>
      <c r="L67" s="611">
        <v>0</v>
      </c>
      <c r="M67" s="611">
        <v>0</v>
      </c>
      <c r="N67" s="611">
        <v>0</v>
      </c>
      <c r="O67" s="611">
        <v>0</v>
      </c>
      <c r="P67" s="611">
        <v>0</v>
      </c>
      <c r="Q67" s="611">
        <v>0</v>
      </c>
      <c r="R67" s="611">
        <v>0</v>
      </c>
      <c r="S67" s="611">
        <v>0</v>
      </c>
      <c r="T67" s="611">
        <v>0</v>
      </c>
      <c r="U67" s="611">
        <v>0</v>
      </c>
      <c r="V67" s="611">
        <v>0</v>
      </c>
      <c r="W67" s="611">
        <v>0</v>
      </c>
      <c r="X67" s="611">
        <v>0</v>
      </c>
      <c r="Y67" s="620">
        <v>0</v>
      </c>
      <c r="Z67" s="621">
        <v>0</v>
      </c>
      <c r="AA67" s="51"/>
    </row>
    <row r="68" spans="6:27" x14ac:dyDescent="0.25">
      <c r="F68" s="51"/>
      <c r="G68" s="618" t="s">
        <v>353</v>
      </c>
      <c r="H68" s="611">
        <v>24.856875540426671</v>
      </c>
      <c r="I68" s="611">
        <v>-42.586921310488997</v>
      </c>
      <c r="J68" s="611">
        <v>41.670112128488995</v>
      </c>
      <c r="K68" s="611">
        <v>0</v>
      </c>
      <c r="L68" s="611">
        <v>0</v>
      </c>
      <c r="M68" s="611">
        <v>0</v>
      </c>
      <c r="N68" s="611">
        <v>0</v>
      </c>
      <c r="O68" s="611">
        <v>0</v>
      </c>
      <c r="P68" s="611">
        <v>0</v>
      </c>
      <c r="Q68" s="611">
        <v>0</v>
      </c>
      <c r="R68" s="611">
        <v>0</v>
      </c>
      <c r="S68" s="611">
        <v>0</v>
      </c>
      <c r="T68" s="611">
        <v>0</v>
      </c>
      <c r="U68" s="611">
        <v>0</v>
      </c>
      <c r="V68" s="611">
        <v>0</v>
      </c>
      <c r="W68" s="611">
        <v>0</v>
      </c>
      <c r="X68" s="611">
        <v>0</v>
      </c>
      <c r="Y68" s="620">
        <v>0</v>
      </c>
      <c r="Z68" s="621">
        <v>23.94006635842667</v>
      </c>
      <c r="AA68" s="51"/>
    </row>
    <row r="69" spans="6:27" x14ac:dyDescent="0.25">
      <c r="F69" s="51"/>
      <c r="G69" s="618" t="s">
        <v>75</v>
      </c>
      <c r="H69" s="611">
        <v>10.864485000000002</v>
      </c>
      <c r="I69" s="611">
        <v>0</v>
      </c>
      <c r="J69" s="611">
        <v>12.156002809978</v>
      </c>
      <c r="K69" s="611">
        <v>0</v>
      </c>
      <c r="L69" s="611">
        <v>6.2612449999999988</v>
      </c>
      <c r="M69" s="611">
        <v>0</v>
      </c>
      <c r="N69" s="611">
        <v>0</v>
      </c>
      <c r="O69" s="611">
        <v>0</v>
      </c>
      <c r="P69" s="611">
        <v>0</v>
      </c>
      <c r="Q69" s="611">
        <v>0</v>
      </c>
      <c r="R69" s="611">
        <v>0</v>
      </c>
      <c r="S69" s="611">
        <v>0</v>
      </c>
      <c r="T69" s="611">
        <v>0</v>
      </c>
      <c r="U69" s="611">
        <v>0</v>
      </c>
      <c r="V69" s="611">
        <v>0</v>
      </c>
      <c r="W69" s="611">
        <v>32.903944582120353</v>
      </c>
      <c r="X69" s="611">
        <v>0</v>
      </c>
      <c r="Y69" s="620">
        <v>0</v>
      </c>
      <c r="Z69" s="621">
        <v>62.185677392098356</v>
      </c>
      <c r="AA69" s="51"/>
    </row>
    <row r="70" spans="6:27" x14ac:dyDescent="0.25">
      <c r="F70" s="51"/>
      <c r="G70" s="618" t="s">
        <v>76</v>
      </c>
      <c r="H70" s="611">
        <v>0</v>
      </c>
      <c r="I70" s="611">
        <v>0</v>
      </c>
      <c r="J70" s="611">
        <v>0</v>
      </c>
      <c r="K70" s="611">
        <v>0</v>
      </c>
      <c r="L70" s="611">
        <v>3.9080132499999998</v>
      </c>
      <c r="M70" s="611">
        <v>0</v>
      </c>
      <c r="N70" s="611">
        <v>0</v>
      </c>
      <c r="O70" s="611">
        <v>0</v>
      </c>
      <c r="P70" s="611">
        <v>0</v>
      </c>
      <c r="Q70" s="611">
        <v>0</v>
      </c>
      <c r="R70" s="611">
        <v>0</v>
      </c>
      <c r="S70" s="611">
        <v>0</v>
      </c>
      <c r="T70" s="611">
        <v>0</v>
      </c>
      <c r="U70" s="611">
        <v>0</v>
      </c>
      <c r="V70" s="611">
        <v>0</v>
      </c>
      <c r="W70" s="611">
        <v>35.893531999999993</v>
      </c>
      <c r="X70" s="611">
        <v>4.1669160064579911</v>
      </c>
      <c r="Y70" s="620">
        <v>0</v>
      </c>
      <c r="Z70" s="621">
        <v>43.968461256457978</v>
      </c>
      <c r="AA70" s="51"/>
    </row>
    <row r="71" spans="6:27" x14ac:dyDescent="0.25">
      <c r="F71" s="51"/>
      <c r="G71" s="614" t="s">
        <v>77</v>
      </c>
      <c r="H71" s="622">
        <v>48.989043205566659</v>
      </c>
      <c r="I71" s="622">
        <v>405.59850142678499</v>
      </c>
      <c r="J71" s="622">
        <v>-366.39465902537512</v>
      </c>
      <c r="K71" s="615">
        <v>0</v>
      </c>
      <c r="L71" s="622">
        <v>86.005006499999993</v>
      </c>
      <c r="M71" s="615">
        <v>0</v>
      </c>
      <c r="N71" s="622">
        <v>1072.2208090909091</v>
      </c>
      <c r="O71" s="622">
        <v>115.67142051809002</v>
      </c>
      <c r="P71" s="622">
        <v>25.246098872906153</v>
      </c>
      <c r="Q71" s="622">
        <v>28.173648237393667</v>
      </c>
      <c r="R71" s="622">
        <v>-27.31624937979873</v>
      </c>
      <c r="S71" s="622">
        <v>6.3686454536756729</v>
      </c>
      <c r="T71" s="622">
        <v>0.25705111111111106</v>
      </c>
      <c r="U71" s="622">
        <v>0.25705111111111106</v>
      </c>
      <c r="V71" s="622">
        <v>5.3861979341677477</v>
      </c>
      <c r="W71" s="622">
        <v>-456.39860899999996</v>
      </c>
      <c r="X71" s="622">
        <v>-41.664572611450417</v>
      </c>
      <c r="Y71" s="622">
        <v>0</v>
      </c>
      <c r="Z71" s="622">
        <v>902.39938344509198</v>
      </c>
      <c r="AA71" s="51"/>
    </row>
    <row r="72" spans="6:27" x14ac:dyDescent="0.25">
      <c r="F72" s="51"/>
      <c r="G72" s="616"/>
      <c r="H72" s="623">
        <v>0</v>
      </c>
      <c r="I72" s="623">
        <v>0</v>
      </c>
      <c r="J72" s="623">
        <v>0</v>
      </c>
      <c r="K72" s="617"/>
      <c r="L72" s="623">
        <v>0</v>
      </c>
      <c r="M72" s="617"/>
      <c r="N72" s="623">
        <v>0</v>
      </c>
      <c r="O72" s="623">
        <v>0</v>
      </c>
      <c r="P72" s="623">
        <v>0</v>
      </c>
      <c r="Q72" s="623">
        <v>0</v>
      </c>
      <c r="R72" s="623">
        <v>0</v>
      </c>
      <c r="S72" s="623">
        <v>0</v>
      </c>
      <c r="T72" s="623">
        <v>0</v>
      </c>
      <c r="U72" s="623">
        <v>0</v>
      </c>
      <c r="V72" s="623">
        <v>0</v>
      </c>
      <c r="W72" s="623">
        <v>0</v>
      </c>
      <c r="X72" s="623">
        <v>0</v>
      </c>
      <c r="Y72" s="623">
        <v>0</v>
      </c>
      <c r="Z72" s="623">
        <v>0</v>
      </c>
      <c r="AA72" s="51"/>
    </row>
    <row r="73" spans="6:27" x14ac:dyDescent="0.25">
      <c r="F73" s="51"/>
      <c r="G73" s="618" t="s">
        <v>78</v>
      </c>
      <c r="H73" s="611">
        <v>9.103168484740003</v>
      </c>
      <c r="I73" s="611">
        <v>0</v>
      </c>
      <c r="J73" s="611">
        <v>30.742620872292591</v>
      </c>
      <c r="K73" s="611">
        <v>0</v>
      </c>
      <c r="L73" s="611">
        <v>115.67477925</v>
      </c>
      <c r="M73" s="611">
        <v>0</v>
      </c>
      <c r="N73" s="611">
        <v>0</v>
      </c>
      <c r="O73" s="611">
        <v>0</v>
      </c>
      <c r="P73" s="611">
        <v>15.652087601653344</v>
      </c>
      <c r="Q73" s="611">
        <v>3.5686448746488644</v>
      </c>
      <c r="R73" s="611">
        <v>1.0751813257923004</v>
      </c>
      <c r="S73" s="611">
        <v>0.92719655758676645</v>
      </c>
      <c r="T73" s="611">
        <v>0</v>
      </c>
      <c r="U73" s="611">
        <v>0</v>
      </c>
      <c r="V73" s="611">
        <v>1.540935583552362E-2</v>
      </c>
      <c r="W73" s="611">
        <v>105.80333299999998</v>
      </c>
      <c r="X73" s="611">
        <v>17.474535389228187</v>
      </c>
      <c r="Y73" s="611">
        <v>0</v>
      </c>
      <c r="Z73" s="619">
        <v>300.03695671177758</v>
      </c>
      <c r="AA73" s="51"/>
    </row>
    <row r="74" spans="6:27" x14ac:dyDescent="0.25">
      <c r="F74" s="51"/>
      <c r="G74" s="618" t="s">
        <v>79</v>
      </c>
      <c r="H74" s="611">
        <v>0</v>
      </c>
      <c r="I74" s="611">
        <v>0</v>
      </c>
      <c r="J74" s="611">
        <v>403.3628036386425</v>
      </c>
      <c r="K74" s="611">
        <v>0</v>
      </c>
      <c r="L74" s="611">
        <v>2.2477145000000003</v>
      </c>
      <c r="M74" s="611">
        <v>0</v>
      </c>
      <c r="N74" s="611">
        <v>0</v>
      </c>
      <c r="O74" s="611">
        <v>0</v>
      </c>
      <c r="P74" s="611">
        <v>0</v>
      </c>
      <c r="Q74" s="611">
        <v>0</v>
      </c>
      <c r="R74" s="611">
        <v>30.751352031352695</v>
      </c>
      <c r="S74" s="611">
        <v>0</v>
      </c>
      <c r="T74" s="611">
        <v>0</v>
      </c>
      <c r="U74" s="611">
        <v>0</v>
      </c>
      <c r="V74" s="611">
        <v>0</v>
      </c>
      <c r="W74" s="611">
        <v>8.3371990700000005</v>
      </c>
      <c r="X74" s="611">
        <v>0</v>
      </c>
      <c r="Y74" s="611">
        <v>0</v>
      </c>
      <c r="Z74" s="619">
        <v>444.6990692399952</v>
      </c>
      <c r="AA74" s="51"/>
    </row>
    <row r="75" spans="6:27" x14ac:dyDescent="0.25">
      <c r="F75" s="51"/>
      <c r="G75" s="618" t="s">
        <v>80</v>
      </c>
      <c r="H75" s="611">
        <v>0.24074954804999998</v>
      </c>
      <c r="I75" s="611">
        <v>0</v>
      </c>
      <c r="J75" s="611">
        <v>50.312051197940285</v>
      </c>
      <c r="K75" s="611">
        <v>0</v>
      </c>
      <c r="L75" s="611">
        <v>125.05981225000002</v>
      </c>
      <c r="M75" s="611">
        <v>0</v>
      </c>
      <c r="N75" s="611">
        <v>0</v>
      </c>
      <c r="O75" s="611">
        <v>0</v>
      </c>
      <c r="P75" s="611">
        <v>69.406708888888886</v>
      </c>
      <c r="Q75" s="611">
        <v>0</v>
      </c>
      <c r="R75" s="611">
        <v>0</v>
      </c>
      <c r="S75" s="611">
        <v>0</v>
      </c>
      <c r="T75" s="611">
        <v>28.099863055555552</v>
      </c>
      <c r="U75" s="611">
        <v>28.099863055555552</v>
      </c>
      <c r="V75" s="611">
        <v>2.0645206826866662</v>
      </c>
      <c r="W75" s="611">
        <v>161.49853200000001</v>
      </c>
      <c r="X75" s="611">
        <v>14.411899999999999</v>
      </c>
      <c r="Y75" s="611">
        <v>0</v>
      </c>
      <c r="Z75" s="619">
        <v>479.19400067867701</v>
      </c>
      <c r="AA75" s="51"/>
    </row>
    <row r="76" spans="6:27" x14ac:dyDescent="0.25">
      <c r="F76" s="51"/>
      <c r="G76" s="618" t="s">
        <v>81</v>
      </c>
      <c r="H76" s="611">
        <v>0.35525487623000002</v>
      </c>
      <c r="I76" s="611">
        <v>0</v>
      </c>
      <c r="J76" s="611">
        <v>31.907501208676987</v>
      </c>
      <c r="K76" s="611">
        <v>0</v>
      </c>
      <c r="L76" s="611">
        <v>62.61667825</v>
      </c>
      <c r="M76" s="611">
        <v>0</v>
      </c>
      <c r="N76" s="611">
        <v>0</v>
      </c>
      <c r="O76" s="611">
        <v>0</v>
      </c>
      <c r="P76" s="611">
        <v>2.8232277777777779</v>
      </c>
      <c r="Q76" s="611">
        <v>2.2859468815788357</v>
      </c>
      <c r="R76" s="611">
        <v>0</v>
      </c>
      <c r="S76" s="611">
        <v>1.4745088888888889</v>
      </c>
      <c r="T76" s="611">
        <v>4.5516825000000001</v>
      </c>
      <c r="U76" s="611">
        <v>4.5516825000000001</v>
      </c>
      <c r="V76" s="611">
        <v>0.35485889253622721</v>
      </c>
      <c r="W76" s="611">
        <v>127.64086592999999</v>
      </c>
      <c r="X76" s="611">
        <v>9.5887644444444451</v>
      </c>
      <c r="Y76" s="611">
        <v>0</v>
      </c>
      <c r="Z76" s="619">
        <v>248.15097215013316</v>
      </c>
      <c r="AA76" s="51"/>
    </row>
    <row r="77" spans="6:27" x14ac:dyDescent="0.25">
      <c r="F77" s="51"/>
      <c r="G77" s="618" t="s">
        <v>82</v>
      </c>
      <c r="H77" s="611">
        <v>1.5371382629999998E-2</v>
      </c>
      <c r="I77" s="611">
        <v>0</v>
      </c>
      <c r="J77" s="611">
        <v>37.352212663167997</v>
      </c>
      <c r="K77" s="611">
        <v>0</v>
      </c>
      <c r="L77" s="611">
        <v>2.1964755</v>
      </c>
      <c r="M77" s="611">
        <v>0</v>
      </c>
      <c r="N77" s="611">
        <v>0</v>
      </c>
      <c r="O77" s="611">
        <v>0</v>
      </c>
      <c r="P77" s="611">
        <v>1.7493453935920653</v>
      </c>
      <c r="Q77" s="611">
        <v>0</v>
      </c>
      <c r="R77" s="611">
        <v>1.9048961095281811</v>
      </c>
      <c r="S77" s="611">
        <v>0.51119305555555561</v>
      </c>
      <c r="T77" s="611">
        <v>0</v>
      </c>
      <c r="U77" s="611">
        <v>0</v>
      </c>
      <c r="V77" s="611">
        <v>0.29232166666666665</v>
      </c>
      <c r="W77" s="611">
        <v>8.079485</v>
      </c>
      <c r="X77" s="611">
        <v>0.18937333333333334</v>
      </c>
      <c r="Y77" s="611">
        <v>0</v>
      </c>
      <c r="Z77" s="619">
        <v>52.290674104473801</v>
      </c>
      <c r="AA77" s="51"/>
    </row>
    <row r="78" spans="6:27" x14ac:dyDescent="0.25">
      <c r="F78" s="51"/>
      <c r="G78" s="618" t="s">
        <v>354</v>
      </c>
      <c r="H78" s="611">
        <v>0</v>
      </c>
      <c r="I78" s="611">
        <v>0</v>
      </c>
      <c r="J78" s="611">
        <v>0</v>
      </c>
      <c r="K78" s="611">
        <v>0</v>
      </c>
      <c r="L78" s="611">
        <v>0</v>
      </c>
      <c r="M78" s="611">
        <v>0</v>
      </c>
      <c r="N78" s="611">
        <v>0</v>
      </c>
      <c r="O78" s="611">
        <v>0</v>
      </c>
      <c r="P78" s="611">
        <v>0</v>
      </c>
      <c r="Q78" s="611">
        <v>0</v>
      </c>
      <c r="R78" s="611">
        <v>0</v>
      </c>
      <c r="S78" s="611">
        <v>0</v>
      </c>
      <c r="T78" s="611">
        <v>0</v>
      </c>
      <c r="U78" s="611">
        <v>0</v>
      </c>
      <c r="V78" s="611">
        <v>0</v>
      </c>
      <c r="W78" s="611">
        <v>0</v>
      </c>
      <c r="X78" s="611">
        <v>0</v>
      </c>
      <c r="Y78" s="611">
        <v>0</v>
      </c>
      <c r="Z78" s="619">
        <v>0</v>
      </c>
      <c r="AA78" s="51"/>
    </row>
    <row r="79" spans="6:27" x14ac:dyDescent="0.25">
      <c r="F79" s="51"/>
      <c r="G79" s="614" t="s">
        <v>83</v>
      </c>
      <c r="H79" s="622">
        <v>9.714544291650002</v>
      </c>
      <c r="I79" s="622">
        <v>0</v>
      </c>
      <c r="J79" s="622">
        <v>553.67718958072032</v>
      </c>
      <c r="K79" s="615">
        <v>0</v>
      </c>
      <c r="L79" s="622">
        <v>307.79545975000002</v>
      </c>
      <c r="M79" s="615">
        <v>0</v>
      </c>
      <c r="N79" s="622">
        <v>0</v>
      </c>
      <c r="O79" s="622">
        <v>0</v>
      </c>
      <c r="P79" s="622">
        <v>89.631369661912075</v>
      </c>
      <c r="Q79" s="622">
        <v>5.8545917562277001</v>
      </c>
      <c r="R79" s="622">
        <v>33.731429466673177</v>
      </c>
      <c r="S79" s="622">
        <v>2.912898502031211</v>
      </c>
      <c r="T79" s="622">
        <v>32.65154555555555</v>
      </c>
      <c r="U79" s="622">
        <v>32.65154555555555</v>
      </c>
      <c r="V79" s="622">
        <v>2.7271105977250838</v>
      </c>
      <c r="W79" s="622">
        <v>411.35941500000001</v>
      </c>
      <c r="X79" s="622">
        <v>41.664573167005969</v>
      </c>
      <c r="Y79" s="622">
        <v>0</v>
      </c>
      <c r="Z79" s="622">
        <v>1524.3716728850566</v>
      </c>
      <c r="AA79" s="51"/>
    </row>
    <row r="80" spans="6:27" x14ac:dyDescent="0.25">
      <c r="F80" s="51"/>
      <c r="G80" s="610" t="s">
        <v>84</v>
      </c>
      <c r="H80" s="611">
        <v>2.8214338015700005</v>
      </c>
      <c r="I80" s="611">
        <v>0</v>
      </c>
      <c r="J80" s="611">
        <v>130.9502374537683</v>
      </c>
      <c r="K80" s="611">
        <v>0</v>
      </c>
      <c r="L80" s="611">
        <v>12.027936500000001</v>
      </c>
      <c r="M80" s="611">
        <v>0</v>
      </c>
      <c r="N80" s="611">
        <v>0</v>
      </c>
      <c r="O80" s="611">
        <v>0</v>
      </c>
      <c r="P80" s="611">
        <v>0</v>
      </c>
      <c r="Q80" s="611">
        <v>0</v>
      </c>
      <c r="R80" s="611">
        <v>0</v>
      </c>
      <c r="S80" s="611">
        <v>0</v>
      </c>
      <c r="T80" s="611">
        <v>0</v>
      </c>
      <c r="U80" s="611">
        <v>0</v>
      </c>
      <c r="V80" s="611">
        <v>0</v>
      </c>
      <c r="W80" s="611">
        <v>0</v>
      </c>
      <c r="X80" s="611">
        <v>0</v>
      </c>
      <c r="Y80" s="611">
        <v>0</v>
      </c>
      <c r="Z80" s="619">
        <v>145.79960775533831</v>
      </c>
      <c r="AA80" s="51"/>
    </row>
    <row r="81" spans="6:27" x14ac:dyDescent="0.25">
      <c r="F81" s="51"/>
      <c r="G81" s="614" t="s">
        <v>85</v>
      </c>
      <c r="H81" s="622">
        <v>12.535978093220002</v>
      </c>
      <c r="I81" s="622">
        <v>0</v>
      </c>
      <c r="J81" s="622">
        <v>684.62742703448862</v>
      </c>
      <c r="K81" s="615">
        <v>0</v>
      </c>
      <c r="L81" s="622">
        <v>319.82339625000003</v>
      </c>
      <c r="M81" s="615">
        <v>0</v>
      </c>
      <c r="N81" s="622">
        <v>0</v>
      </c>
      <c r="O81" s="622">
        <v>0</v>
      </c>
      <c r="P81" s="622">
        <v>89.631369661912075</v>
      </c>
      <c r="Q81" s="622">
        <v>5.8545917562277001</v>
      </c>
      <c r="R81" s="622">
        <v>33.731429466673177</v>
      </c>
      <c r="S81" s="622">
        <v>2.912898502031211</v>
      </c>
      <c r="T81" s="622">
        <v>32.65154555555555</v>
      </c>
      <c r="U81" s="622">
        <v>32.65154555555555</v>
      </c>
      <c r="V81" s="622">
        <v>2.7271105977250838</v>
      </c>
      <c r="W81" s="622">
        <v>411.35941500000001</v>
      </c>
      <c r="X81" s="622">
        <v>41.664573167005969</v>
      </c>
      <c r="Y81" s="622">
        <v>0</v>
      </c>
      <c r="Z81" s="622">
        <v>1670.1712806403948</v>
      </c>
      <c r="AA81" s="51"/>
    </row>
    <row r="82" spans="6:27" x14ac:dyDescent="0.25">
      <c r="F82" s="51"/>
      <c r="G82" s="51"/>
      <c r="H82" s="51"/>
      <c r="I82" s="51"/>
      <c r="J82" s="51"/>
      <c r="K82" s="67">
        <v>0</v>
      </c>
      <c r="L82" s="51"/>
      <c r="M82" s="51"/>
      <c r="N82" s="51"/>
      <c r="O82" s="51"/>
      <c r="P82" s="51"/>
      <c r="Q82" s="51"/>
      <c r="R82" s="51"/>
      <c r="S82" s="51"/>
      <c r="T82" s="51"/>
      <c r="U82" s="51"/>
      <c r="V82" s="51"/>
      <c r="W82" s="51"/>
      <c r="X82" s="51"/>
      <c r="Y82" s="51"/>
      <c r="Z82" s="51"/>
      <c r="AA82" s="51"/>
    </row>
    <row r="83" spans="6:27" x14ac:dyDescent="0.25">
      <c r="F83" s="51"/>
      <c r="G83" s="51"/>
      <c r="H83" s="51"/>
      <c r="I83" s="51"/>
      <c r="J83" s="51"/>
      <c r="K83" s="51"/>
      <c r="L83" s="51"/>
      <c r="M83" s="51"/>
      <c r="N83" s="51"/>
      <c r="O83" s="51"/>
      <c r="P83" s="51"/>
      <c r="Q83" s="51"/>
      <c r="R83" s="51"/>
      <c r="S83" s="51"/>
      <c r="T83" s="51"/>
      <c r="U83" s="51"/>
      <c r="V83" s="51"/>
      <c r="W83" s="51"/>
      <c r="X83" s="51"/>
      <c r="Y83" s="51"/>
      <c r="Z83" s="51"/>
      <c r="AA83" s="51"/>
    </row>
    <row r="84" spans="6:27" x14ac:dyDescent="0.25">
      <c r="F84" s="606"/>
      <c r="G84" s="607" t="s">
        <v>563</v>
      </c>
      <c r="H84" s="606"/>
      <c r="I84" s="606"/>
      <c r="J84" s="606"/>
      <c r="K84" s="606"/>
      <c r="L84" s="606"/>
      <c r="M84" s="606"/>
      <c r="N84" s="606"/>
      <c r="O84" s="606"/>
      <c r="P84" s="606"/>
      <c r="Q84" s="606"/>
      <c r="R84" s="606"/>
      <c r="S84" s="606"/>
      <c r="T84" s="606"/>
      <c r="U84" s="606"/>
      <c r="V84" s="606"/>
      <c r="W84" s="606"/>
      <c r="X84" s="606"/>
      <c r="Y84" s="606"/>
      <c r="Z84" s="606"/>
      <c r="AA84" s="606"/>
    </row>
    <row r="85" spans="6:27" x14ac:dyDescent="0.25">
      <c r="F85" s="51"/>
      <c r="G85" s="51"/>
      <c r="H85" s="51"/>
      <c r="I85" s="51"/>
      <c r="J85" s="51"/>
      <c r="K85" s="51"/>
      <c r="L85" s="51"/>
      <c r="M85" s="51"/>
      <c r="N85" s="51"/>
      <c r="O85" s="51"/>
      <c r="P85" s="51"/>
      <c r="Q85" s="51"/>
      <c r="R85" s="51"/>
      <c r="S85" s="51"/>
      <c r="T85" s="51"/>
      <c r="U85" s="51"/>
      <c r="V85" s="51"/>
      <c r="W85" s="51"/>
      <c r="X85" s="51"/>
      <c r="Y85" s="51"/>
      <c r="Z85" s="51"/>
      <c r="AA85" s="51"/>
    </row>
    <row r="86" spans="6:27" x14ac:dyDescent="0.25">
      <c r="F86" s="51"/>
      <c r="G86" s="764" t="s">
        <v>128</v>
      </c>
      <c r="H86" s="753" t="s">
        <v>42</v>
      </c>
      <c r="I86" s="753" t="s">
        <v>52</v>
      </c>
      <c r="J86" s="753" t="s">
        <v>53</v>
      </c>
      <c r="K86" s="753" t="s">
        <v>482</v>
      </c>
      <c r="L86" s="753" t="s">
        <v>32</v>
      </c>
      <c r="M86" s="753" t="s">
        <v>483</v>
      </c>
      <c r="N86" s="753" t="s">
        <v>20</v>
      </c>
      <c r="O86" s="753" t="s">
        <v>55</v>
      </c>
      <c r="P86" s="761" t="s">
        <v>56</v>
      </c>
      <c r="Q86" s="762"/>
      <c r="R86" s="762"/>
      <c r="S86" s="762"/>
      <c r="T86" s="762"/>
      <c r="U86" s="762"/>
      <c r="V86" s="763"/>
      <c r="W86" s="753" t="s">
        <v>57</v>
      </c>
      <c r="X86" s="753" t="s">
        <v>58</v>
      </c>
      <c r="Y86" s="753" t="s">
        <v>31</v>
      </c>
      <c r="Z86" s="753" t="s">
        <v>10</v>
      </c>
      <c r="AA86" s="51"/>
    </row>
    <row r="87" spans="6:27" ht="36" x14ac:dyDescent="0.25">
      <c r="F87" s="51"/>
      <c r="G87" s="765"/>
      <c r="H87" s="754"/>
      <c r="I87" s="754"/>
      <c r="J87" s="754"/>
      <c r="K87" s="754"/>
      <c r="L87" s="754"/>
      <c r="M87" s="754"/>
      <c r="N87" s="754"/>
      <c r="O87" s="754"/>
      <c r="P87" s="608" t="s">
        <v>335</v>
      </c>
      <c r="Q87" s="608" t="s">
        <v>40</v>
      </c>
      <c r="R87" s="608" t="s">
        <v>343</v>
      </c>
      <c r="S87" s="608" t="s">
        <v>344</v>
      </c>
      <c r="T87" s="609" t="s">
        <v>345</v>
      </c>
      <c r="U87" s="609" t="s">
        <v>609</v>
      </c>
      <c r="V87" s="608" t="s">
        <v>346</v>
      </c>
      <c r="W87" s="754"/>
      <c r="X87" s="754"/>
      <c r="Y87" s="754"/>
      <c r="Z87" s="754"/>
      <c r="AA87" s="51"/>
    </row>
    <row r="88" spans="6:27" x14ac:dyDescent="0.25">
      <c r="F88" s="51"/>
      <c r="G88" s="610" t="s">
        <v>59</v>
      </c>
      <c r="H88" s="611">
        <v>0</v>
      </c>
      <c r="I88" s="611">
        <v>9.7687711891069995</v>
      </c>
      <c r="J88" s="620">
        <v>0</v>
      </c>
      <c r="K88" s="611">
        <v>0</v>
      </c>
      <c r="L88" s="611">
        <v>0.20697699999999999</v>
      </c>
      <c r="M88" s="611">
        <v>0</v>
      </c>
      <c r="N88" s="620">
        <v>893.12435757575759</v>
      </c>
      <c r="O88" s="620">
        <v>103.21570951808999</v>
      </c>
      <c r="P88" s="620">
        <v>117.31225560106823</v>
      </c>
      <c r="Q88" s="620">
        <v>36.087037700583139</v>
      </c>
      <c r="R88" s="620">
        <v>0</v>
      </c>
      <c r="S88" s="620">
        <v>0.2235843445957727</v>
      </c>
      <c r="T88" s="620">
        <v>44.752462777777779</v>
      </c>
      <c r="U88" s="620">
        <v>0</v>
      </c>
      <c r="V88" s="620">
        <v>8.1983815400839397</v>
      </c>
      <c r="W88" s="620">
        <v>0</v>
      </c>
      <c r="X88" s="620">
        <v>0</v>
      </c>
      <c r="Y88" s="620">
        <v>0</v>
      </c>
      <c r="Z88" s="621">
        <v>1212.8895372470633</v>
      </c>
      <c r="AA88" s="51"/>
    </row>
    <row r="89" spans="6:27" x14ac:dyDescent="0.25">
      <c r="F89" s="51"/>
      <c r="G89" s="610" t="s">
        <v>60</v>
      </c>
      <c r="H89" s="620">
        <v>73.009115262073337</v>
      </c>
      <c r="I89" s="620">
        <v>488.95201882775257</v>
      </c>
      <c r="J89" s="620">
        <v>477.06716105129891</v>
      </c>
      <c r="K89" s="611">
        <v>0</v>
      </c>
      <c r="L89" s="620">
        <v>575.54527200000007</v>
      </c>
      <c r="M89" s="611">
        <v>0</v>
      </c>
      <c r="N89" s="620">
        <v>0</v>
      </c>
      <c r="O89" s="620">
        <v>0</v>
      </c>
      <c r="P89" s="620">
        <v>4.910486184722223</v>
      </c>
      <c r="Q89" s="620">
        <v>-6.8775587524907012E-5</v>
      </c>
      <c r="R89" s="620">
        <v>22.686979777846386</v>
      </c>
      <c r="S89" s="620">
        <v>0</v>
      </c>
      <c r="T89" s="620">
        <v>0</v>
      </c>
      <c r="U89" s="620">
        <v>0</v>
      </c>
      <c r="V89" s="620">
        <v>0</v>
      </c>
      <c r="W89" s="620">
        <v>52.437269000000001</v>
      </c>
      <c r="X89" s="620">
        <v>0</v>
      </c>
      <c r="Y89" s="620">
        <v>0</v>
      </c>
      <c r="Z89" s="621">
        <v>1694.6082333281058</v>
      </c>
      <c r="AA89" s="51"/>
    </row>
    <row r="90" spans="6:27" x14ac:dyDescent="0.25">
      <c r="F90" s="51"/>
      <c r="G90" s="610" t="s">
        <v>61</v>
      </c>
      <c r="H90" s="620">
        <v>-6.6680977160000016E-2</v>
      </c>
      <c r="I90" s="620">
        <v>-0.592113315867</v>
      </c>
      <c r="J90" s="620">
        <v>-162.54636445095773</v>
      </c>
      <c r="K90" s="611">
        <v>0</v>
      </c>
      <c r="L90" s="620">
        <v>-154.17159475000003</v>
      </c>
      <c r="M90" s="611">
        <v>0</v>
      </c>
      <c r="N90" s="620">
        <v>0</v>
      </c>
      <c r="O90" s="620">
        <v>0</v>
      </c>
      <c r="P90" s="620">
        <v>-2.5931308486111111</v>
      </c>
      <c r="Q90" s="620">
        <v>0</v>
      </c>
      <c r="R90" s="620">
        <v>-5.5745491894565156</v>
      </c>
      <c r="S90" s="620">
        <v>0</v>
      </c>
      <c r="T90" s="620">
        <v>0</v>
      </c>
      <c r="U90" s="620">
        <v>0</v>
      </c>
      <c r="V90" s="620">
        <v>0</v>
      </c>
      <c r="W90" s="620">
        <v>-37.492745999999997</v>
      </c>
      <c r="X90" s="620">
        <v>0</v>
      </c>
      <c r="Y90" s="620">
        <v>0</v>
      </c>
      <c r="Z90" s="621">
        <v>-363.03717953205239</v>
      </c>
      <c r="AA90" s="51"/>
    </row>
    <row r="91" spans="6:27" x14ac:dyDescent="0.25">
      <c r="F91" s="51"/>
      <c r="G91" s="610" t="s">
        <v>62</v>
      </c>
      <c r="H91" s="611">
        <v>0</v>
      </c>
      <c r="I91" s="611">
        <v>0</v>
      </c>
      <c r="J91" s="611">
        <v>-13.877421699920152</v>
      </c>
      <c r="K91" s="611">
        <v>0</v>
      </c>
      <c r="L91" s="611">
        <v>0</v>
      </c>
      <c r="M91" s="611">
        <v>0</v>
      </c>
      <c r="N91" s="611">
        <v>0</v>
      </c>
      <c r="O91" s="611">
        <v>0</v>
      </c>
      <c r="P91" s="611">
        <v>0</v>
      </c>
      <c r="Q91" s="611">
        <v>0</v>
      </c>
      <c r="R91" s="611">
        <v>0</v>
      </c>
      <c r="S91" s="611">
        <v>0</v>
      </c>
      <c r="T91" s="611">
        <v>0</v>
      </c>
      <c r="U91" s="611">
        <v>0</v>
      </c>
      <c r="V91" s="611">
        <v>0</v>
      </c>
      <c r="W91" s="620">
        <v>0</v>
      </c>
      <c r="X91" s="620">
        <v>0</v>
      </c>
      <c r="Y91" s="611">
        <v>0</v>
      </c>
      <c r="Z91" s="621">
        <v>-13.877421699920152</v>
      </c>
      <c r="AA91" s="51"/>
    </row>
    <row r="92" spans="6:27" x14ac:dyDescent="0.25">
      <c r="F92" s="51"/>
      <c r="G92" s="610" t="s">
        <v>63</v>
      </c>
      <c r="H92" s="611">
        <v>0</v>
      </c>
      <c r="I92" s="611">
        <v>0</v>
      </c>
      <c r="J92" s="611">
        <v>-63.573866272667004</v>
      </c>
      <c r="K92" s="611">
        <v>0</v>
      </c>
      <c r="L92" s="611">
        <v>0</v>
      </c>
      <c r="M92" s="611">
        <v>0</v>
      </c>
      <c r="N92" s="611">
        <v>0</v>
      </c>
      <c r="O92" s="611">
        <v>0</v>
      </c>
      <c r="P92" s="611">
        <v>0</v>
      </c>
      <c r="Q92" s="611">
        <v>0</v>
      </c>
      <c r="R92" s="611">
        <v>0</v>
      </c>
      <c r="S92" s="611">
        <v>0</v>
      </c>
      <c r="T92" s="611">
        <v>0</v>
      </c>
      <c r="U92" s="611">
        <v>0</v>
      </c>
      <c r="V92" s="611">
        <v>0</v>
      </c>
      <c r="W92" s="620">
        <v>0</v>
      </c>
      <c r="X92" s="620">
        <v>0</v>
      </c>
      <c r="Y92" s="611">
        <v>0</v>
      </c>
      <c r="Z92" s="621">
        <v>-63.573866272667004</v>
      </c>
      <c r="AA92" s="51"/>
    </row>
    <row r="93" spans="6:27" x14ac:dyDescent="0.25">
      <c r="F93" s="51"/>
      <c r="G93" s="610" t="s">
        <v>64</v>
      </c>
      <c r="H93" s="620">
        <v>-2.9844763247220669</v>
      </c>
      <c r="I93" s="620">
        <v>-2.771756591965</v>
      </c>
      <c r="J93" s="620">
        <v>3.1594595371718968</v>
      </c>
      <c r="K93" s="611">
        <v>0</v>
      </c>
      <c r="L93" s="620">
        <v>-35.140381000000005</v>
      </c>
      <c r="M93" s="611">
        <v>0</v>
      </c>
      <c r="N93" s="620">
        <v>0</v>
      </c>
      <c r="O93" s="620">
        <v>0</v>
      </c>
      <c r="P93" s="620">
        <v>0</v>
      </c>
      <c r="Q93" s="620">
        <v>0</v>
      </c>
      <c r="R93" s="620">
        <v>0</v>
      </c>
      <c r="S93" s="620">
        <v>0</v>
      </c>
      <c r="T93" s="620">
        <v>0</v>
      </c>
      <c r="U93" s="620">
        <v>0</v>
      </c>
      <c r="V93" s="620">
        <v>0</v>
      </c>
      <c r="W93" s="620">
        <v>0</v>
      </c>
      <c r="X93" s="620">
        <v>0</v>
      </c>
      <c r="Y93" s="620">
        <v>0</v>
      </c>
      <c r="Z93" s="621">
        <v>-37.737154379515175</v>
      </c>
      <c r="AA93" s="51"/>
    </row>
    <row r="94" spans="6:27" x14ac:dyDescent="0.25">
      <c r="F94" s="51"/>
      <c r="G94" s="614" t="s">
        <v>65</v>
      </c>
      <c r="H94" s="622">
        <v>69.957957960191266</v>
      </c>
      <c r="I94" s="622">
        <v>495.35692010902756</v>
      </c>
      <c r="J94" s="622">
        <v>240.22896816492596</v>
      </c>
      <c r="K94" s="615">
        <v>0</v>
      </c>
      <c r="L94" s="622">
        <v>386.44027325000008</v>
      </c>
      <c r="M94" s="615">
        <v>0</v>
      </c>
      <c r="N94" s="622">
        <v>893.12435757575759</v>
      </c>
      <c r="O94" s="622">
        <v>103.21570951808999</v>
      </c>
      <c r="P94" s="622">
        <v>119.62961093717934</v>
      </c>
      <c r="Q94" s="622">
        <v>36.086968924995617</v>
      </c>
      <c r="R94" s="622">
        <v>17.11243058838987</v>
      </c>
      <c r="S94" s="622">
        <v>0.2235843445957727</v>
      </c>
      <c r="T94" s="622">
        <v>44.752462777777779</v>
      </c>
      <c r="U94" s="622">
        <v>0</v>
      </c>
      <c r="V94" s="622">
        <v>8.1983815400839397</v>
      </c>
      <c r="W94" s="622">
        <v>14.944523000000004</v>
      </c>
      <c r="X94" s="622">
        <v>0</v>
      </c>
      <c r="Y94" s="622">
        <v>0</v>
      </c>
      <c r="Z94" s="622">
        <v>2429.2721486910141</v>
      </c>
      <c r="AA94" s="51"/>
    </row>
    <row r="95" spans="6:27" x14ac:dyDescent="0.25">
      <c r="F95" s="51"/>
      <c r="G95" s="616"/>
      <c r="H95" s="623"/>
      <c r="I95" s="623"/>
      <c r="J95" s="623"/>
      <c r="K95" s="617"/>
      <c r="L95" s="623"/>
      <c r="M95" s="617"/>
      <c r="N95" s="623"/>
      <c r="O95" s="623"/>
      <c r="P95" s="623"/>
      <c r="Q95" s="623"/>
      <c r="R95" s="623"/>
      <c r="S95" s="623"/>
      <c r="T95" s="623"/>
      <c r="U95" s="623"/>
      <c r="V95" s="623"/>
      <c r="W95" s="623"/>
      <c r="X95" s="623"/>
      <c r="Y95" s="623"/>
      <c r="Z95" s="623"/>
      <c r="AA95" s="51"/>
    </row>
    <row r="96" spans="6:27" x14ac:dyDescent="0.25">
      <c r="F96" s="51"/>
      <c r="G96" s="618" t="s">
        <v>67</v>
      </c>
      <c r="H96" s="611">
        <v>-3.2172036633544465</v>
      </c>
      <c r="I96" s="611">
        <v>8.6918816645701593</v>
      </c>
      <c r="J96" s="611">
        <v>-9.9818947214287643</v>
      </c>
      <c r="K96" s="611">
        <v>0</v>
      </c>
      <c r="L96" s="611">
        <v>-1.9</v>
      </c>
      <c r="M96" s="611">
        <v>0</v>
      </c>
      <c r="N96" s="611">
        <v>0</v>
      </c>
      <c r="O96" s="611">
        <v>0</v>
      </c>
      <c r="P96" s="611">
        <v>0</v>
      </c>
      <c r="Q96" s="611">
        <v>0</v>
      </c>
      <c r="R96" s="611">
        <v>0</v>
      </c>
      <c r="S96" s="611">
        <v>0</v>
      </c>
      <c r="T96" s="611">
        <v>0</v>
      </c>
      <c r="U96" s="611">
        <v>0</v>
      </c>
      <c r="V96" s="611">
        <v>0</v>
      </c>
      <c r="W96" s="611">
        <v>0.88498001334329668</v>
      </c>
      <c r="X96" s="611">
        <v>0</v>
      </c>
      <c r="Y96" s="620">
        <v>0</v>
      </c>
      <c r="Z96" s="621">
        <v>-5.5222367068697551</v>
      </c>
      <c r="AA96" s="51"/>
    </row>
    <row r="97" spans="6:27" x14ac:dyDescent="0.25">
      <c r="F97" s="51"/>
      <c r="G97" s="618" t="s">
        <v>347</v>
      </c>
      <c r="H97" s="611">
        <v>22.704674555627779</v>
      </c>
      <c r="I97" s="611">
        <v>0</v>
      </c>
      <c r="J97" s="611">
        <v>14.162400323007727</v>
      </c>
      <c r="K97" s="611">
        <v>0</v>
      </c>
      <c r="L97" s="611">
        <v>50.9</v>
      </c>
      <c r="M97" s="611">
        <v>0</v>
      </c>
      <c r="N97" s="611">
        <v>1149.579672727273</v>
      </c>
      <c r="O97" s="611">
        <v>112.63656667417351</v>
      </c>
      <c r="P97" s="611">
        <v>16.450581812821277</v>
      </c>
      <c r="Q97" s="611">
        <v>11.637452619387753</v>
      </c>
      <c r="R97" s="611">
        <v>0</v>
      </c>
      <c r="S97" s="611">
        <v>6.4652317833333326</v>
      </c>
      <c r="T97" s="611">
        <v>0</v>
      </c>
      <c r="U97" s="611">
        <v>0</v>
      </c>
      <c r="V97" s="611">
        <v>1.1831153542668358</v>
      </c>
      <c r="W97" s="611">
        <v>-551.22381363018587</v>
      </c>
      <c r="X97" s="611">
        <v>0</v>
      </c>
      <c r="Y97" s="620">
        <v>0</v>
      </c>
      <c r="Z97" s="621">
        <v>834.49588221970532</v>
      </c>
      <c r="AA97" s="51"/>
    </row>
    <row r="98" spans="6:27" x14ac:dyDescent="0.25">
      <c r="F98" s="51"/>
      <c r="G98" s="618" t="s">
        <v>348</v>
      </c>
      <c r="H98" s="611">
        <v>1.7</v>
      </c>
      <c r="I98" s="611">
        <v>0</v>
      </c>
      <c r="J98" s="611">
        <v>2.8</v>
      </c>
      <c r="K98" s="611">
        <v>0</v>
      </c>
      <c r="L98" s="611">
        <v>22.3</v>
      </c>
      <c r="M98" s="611">
        <v>0</v>
      </c>
      <c r="N98" s="611">
        <v>0</v>
      </c>
      <c r="O98" s="611">
        <v>0</v>
      </c>
      <c r="P98" s="611">
        <v>11.128112602116227</v>
      </c>
      <c r="Q98" s="611">
        <v>16.032427320770637</v>
      </c>
      <c r="R98" s="611">
        <v>0</v>
      </c>
      <c r="S98" s="611">
        <v>3.0469379388888891</v>
      </c>
      <c r="T98" s="611">
        <v>0.33911500000000006</v>
      </c>
      <c r="U98" s="611">
        <v>0.33911500000000006</v>
      </c>
      <c r="V98" s="611">
        <v>4.0327325495864983</v>
      </c>
      <c r="W98" s="611">
        <v>0</v>
      </c>
      <c r="X98" s="611">
        <v>-53.146607042756457</v>
      </c>
      <c r="Y98" s="620">
        <v>0</v>
      </c>
      <c r="Z98" s="621">
        <v>8.5718333686057946</v>
      </c>
      <c r="AA98" s="51"/>
    </row>
    <row r="99" spans="6:27" x14ac:dyDescent="0.25">
      <c r="F99" s="51"/>
      <c r="G99" s="618" t="s">
        <v>349</v>
      </c>
      <c r="H99" s="611">
        <v>0</v>
      </c>
      <c r="I99" s="611">
        <v>0</v>
      </c>
      <c r="J99" s="611">
        <v>0</v>
      </c>
      <c r="K99" s="611">
        <v>0</v>
      </c>
      <c r="L99" s="611">
        <v>0</v>
      </c>
      <c r="M99" s="611">
        <v>0</v>
      </c>
      <c r="N99" s="611">
        <v>0</v>
      </c>
      <c r="O99" s="611">
        <v>0</v>
      </c>
      <c r="P99" s="611">
        <v>3.9044474999999998</v>
      </c>
      <c r="Q99" s="611">
        <v>0</v>
      </c>
      <c r="R99" s="611">
        <v>0</v>
      </c>
      <c r="S99" s="611">
        <v>-3.9044474999999998</v>
      </c>
      <c r="T99" s="611">
        <v>0</v>
      </c>
      <c r="U99" s="611">
        <v>0</v>
      </c>
      <c r="V99" s="611">
        <v>0</v>
      </c>
      <c r="W99" s="611">
        <v>0</v>
      </c>
      <c r="X99" s="611">
        <v>0</v>
      </c>
      <c r="Y99" s="620">
        <v>0</v>
      </c>
      <c r="Z99" s="621">
        <v>0</v>
      </c>
      <c r="AA99" s="51"/>
    </row>
    <row r="100" spans="6:27" x14ac:dyDescent="0.25">
      <c r="F100" s="51"/>
      <c r="G100" s="618" t="s">
        <v>350</v>
      </c>
      <c r="H100" s="611">
        <v>0</v>
      </c>
      <c r="I100" s="611">
        <v>0</v>
      </c>
      <c r="J100" s="611">
        <v>0</v>
      </c>
      <c r="K100" s="611">
        <v>0</v>
      </c>
      <c r="L100" s="611">
        <v>0</v>
      </c>
      <c r="M100" s="611">
        <v>0</v>
      </c>
      <c r="N100" s="611">
        <v>0</v>
      </c>
      <c r="O100" s="611">
        <v>0</v>
      </c>
      <c r="P100" s="611">
        <v>0</v>
      </c>
      <c r="Q100" s="611">
        <v>0</v>
      </c>
      <c r="R100" s="611">
        <v>0</v>
      </c>
      <c r="S100" s="611">
        <v>0</v>
      </c>
      <c r="T100" s="611">
        <v>0</v>
      </c>
      <c r="U100" s="611">
        <v>0</v>
      </c>
      <c r="V100" s="611">
        <v>0</v>
      </c>
      <c r="W100" s="611">
        <v>0</v>
      </c>
      <c r="X100" s="611">
        <v>0</v>
      </c>
      <c r="Y100" s="620">
        <v>0</v>
      </c>
      <c r="Z100" s="621">
        <v>0</v>
      </c>
      <c r="AA100" s="51"/>
    </row>
    <row r="101" spans="6:27" x14ac:dyDescent="0.25">
      <c r="F101" s="51"/>
      <c r="G101" s="618" t="s">
        <v>72</v>
      </c>
      <c r="H101" s="611">
        <v>0</v>
      </c>
      <c r="I101" s="611">
        <v>437.56801221871012</v>
      </c>
      <c r="J101" s="611">
        <v>-432.65891268749499</v>
      </c>
      <c r="K101" s="611">
        <v>0</v>
      </c>
      <c r="L101" s="611">
        <v>0</v>
      </c>
      <c r="M101" s="611">
        <v>0</v>
      </c>
      <c r="N101" s="611">
        <v>0</v>
      </c>
      <c r="O101" s="611">
        <v>0</v>
      </c>
      <c r="P101" s="611">
        <v>0</v>
      </c>
      <c r="Q101" s="611">
        <v>0</v>
      </c>
      <c r="R101" s="611">
        <v>0</v>
      </c>
      <c r="S101" s="611">
        <v>0</v>
      </c>
      <c r="T101" s="611">
        <v>0</v>
      </c>
      <c r="U101" s="611">
        <v>0</v>
      </c>
      <c r="V101" s="611">
        <v>0</v>
      </c>
      <c r="W101" s="611">
        <v>0</v>
      </c>
      <c r="X101" s="611">
        <v>0</v>
      </c>
      <c r="Y101" s="620">
        <v>0</v>
      </c>
      <c r="Z101" s="621">
        <v>4.9090995312151335</v>
      </c>
      <c r="AA101" s="51"/>
    </row>
    <row r="102" spans="6:27" x14ac:dyDescent="0.25">
      <c r="F102" s="51"/>
      <c r="G102" s="618" t="s">
        <v>351</v>
      </c>
      <c r="H102" s="611">
        <v>0</v>
      </c>
      <c r="I102" s="611">
        <v>0</v>
      </c>
      <c r="J102" s="611">
        <v>0</v>
      </c>
      <c r="K102" s="611">
        <v>0</v>
      </c>
      <c r="L102" s="611">
        <v>0</v>
      </c>
      <c r="M102" s="611">
        <v>0</v>
      </c>
      <c r="N102" s="611">
        <v>0</v>
      </c>
      <c r="O102" s="611">
        <v>0</v>
      </c>
      <c r="P102" s="611">
        <v>0</v>
      </c>
      <c r="Q102" s="611">
        <v>0</v>
      </c>
      <c r="R102" s="611">
        <v>0</v>
      </c>
      <c r="S102" s="611">
        <v>0</v>
      </c>
      <c r="T102" s="611">
        <v>0</v>
      </c>
      <c r="U102" s="611">
        <v>0</v>
      </c>
      <c r="V102" s="611">
        <v>0</v>
      </c>
      <c r="W102" s="611">
        <v>0</v>
      </c>
      <c r="X102" s="611">
        <v>0</v>
      </c>
      <c r="Y102" s="620">
        <v>0</v>
      </c>
      <c r="Z102" s="621">
        <v>0</v>
      </c>
      <c r="AA102" s="51"/>
    </row>
    <row r="103" spans="6:27" x14ac:dyDescent="0.25">
      <c r="F103" s="51"/>
      <c r="G103" s="618" t="s">
        <v>352</v>
      </c>
      <c r="H103" s="611">
        <v>0</v>
      </c>
      <c r="I103" s="611">
        <v>0</v>
      </c>
      <c r="J103" s="611">
        <v>0</v>
      </c>
      <c r="K103" s="611">
        <v>0</v>
      </c>
      <c r="L103" s="611">
        <v>0</v>
      </c>
      <c r="M103" s="611">
        <v>0</v>
      </c>
      <c r="N103" s="611">
        <v>0</v>
      </c>
      <c r="O103" s="611">
        <v>0</v>
      </c>
      <c r="P103" s="611">
        <v>0</v>
      </c>
      <c r="Q103" s="611">
        <v>0</v>
      </c>
      <c r="R103" s="611">
        <v>0</v>
      </c>
      <c r="S103" s="611">
        <v>0</v>
      </c>
      <c r="T103" s="611">
        <v>0</v>
      </c>
      <c r="U103" s="611">
        <v>0</v>
      </c>
      <c r="V103" s="611">
        <v>0</v>
      </c>
      <c r="W103" s="611">
        <v>0</v>
      </c>
      <c r="X103" s="611">
        <v>0</v>
      </c>
      <c r="Y103" s="620">
        <v>0</v>
      </c>
      <c r="Z103" s="621">
        <v>0</v>
      </c>
      <c r="AA103" s="51"/>
    </row>
    <row r="104" spans="6:27" x14ac:dyDescent="0.25">
      <c r="F104" s="51"/>
      <c r="G104" s="618" t="s">
        <v>73</v>
      </c>
      <c r="H104" s="611">
        <v>0</v>
      </c>
      <c r="I104" s="611">
        <v>0</v>
      </c>
      <c r="J104" s="611">
        <v>0</v>
      </c>
      <c r="K104" s="611">
        <v>0</v>
      </c>
      <c r="L104" s="611">
        <v>0</v>
      </c>
      <c r="M104" s="611">
        <v>0</v>
      </c>
      <c r="N104" s="611">
        <v>0</v>
      </c>
      <c r="O104" s="611">
        <v>0</v>
      </c>
      <c r="P104" s="611">
        <v>0</v>
      </c>
      <c r="Q104" s="611">
        <v>0</v>
      </c>
      <c r="R104" s="611">
        <v>0</v>
      </c>
      <c r="S104" s="611">
        <v>0</v>
      </c>
      <c r="T104" s="611">
        <v>0</v>
      </c>
      <c r="U104" s="611">
        <v>0</v>
      </c>
      <c r="V104" s="611">
        <v>0</v>
      </c>
      <c r="W104" s="611">
        <v>0</v>
      </c>
      <c r="X104" s="611">
        <v>0</v>
      </c>
      <c r="Y104" s="620">
        <v>0</v>
      </c>
      <c r="Z104" s="621">
        <v>0</v>
      </c>
      <c r="AA104" s="51"/>
    </row>
    <row r="105" spans="6:27" x14ac:dyDescent="0.25">
      <c r="F105" s="51"/>
      <c r="G105" s="618" t="s">
        <v>353</v>
      </c>
      <c r="H105" s="611">
        <v>32.414169646176781</v>
      </c>
      <c r="I105" s="611">
        <v>-27.441633567884001</v>
      </c>
      <c r="J105" s="611">
        <v>26.423718579649009</v>
      </c>
      <c r="K105" s="611">
        <v>0</v>
      </c>
      <c r="L105" s="611">
        <v>0</v>
      </c>
      <c r="M105" s="611">
        <v>0</v>
      </c>
      <c r="N105" s="611">
        <v>0</v>
      </c>
      <c r="O105" s="611">
        <v>0</v>
      </c>
      <c r="P105" s="611">
        <v>0</v>
      </c>
      <c r="Q105" s="611">
        <v>0</v>
      </c>
      <c r="R105" s="611">
        <v>0</v>
      </c>
      <c r="S105" s="611">
        <v>0</v>
      </c>
      <c r="T105" s="611">
        <v>0</v>
      </c>
      <c r="U105" s="611">
        <v>0</v>
      </c>
      <c r="V105" s="611">
        <v>0</v>
      </c>
      <c r="W105" s="611">
        <v>0</v>
      </c>
      <c r="X105" s="611">
        <v>0</v>
      </c>
      <c r="Y105" s="620">
        <v>0</v>
      </c>
      <c r="Z105" s="621">
        <v>31.396254657941789</v>
      </c>
      <c r="AA105" s="51"/>
    </row>
    <row r="106" spans="6:27" x14ac:dyDescent="0.25">
      <c r="F106" s="51"/>
      <c r="G106" s="618" t="s">
        <v>75</v>
      </c>
      <c r="H106" s="611">
        <v>12.946757886319885</v>
      </c>
      <c r="I106" s="611">
        <v>0</v>
      </c>
      <c r="J106" s="611">
        <v>10.589802527221</v>
      </c>
      <c r="K106" s="611">
        <v>0</v>
      </c>
      <c r="L106" s="611">
        <v>5.5572169999999996</v>
      </c>
      <c r="M106" s="611">
        <v>0</v>
      </c>
      <c r="N106" s="611">
        <v>0</v>
      </c>
      <c r="O106" s="611">
        <v>0</v>
      </c>
      <c r="P106" s="611">
        <v>0</v>
      </c>
      <c r="Q106" s="611">
        <v>0</v>
      </c>
      <c r="R106" s="611">
        <v>0</v>
      </c>
      <c r="S106" s="611">
        <v>0</v>
      </c>
      <c r="T106" s="611">
        <v>0</v>
      </c>
      <c r="U106" s="611">
        <v>0</v>
      </c>
      <c r="V106" s="611">
        <v>0</v>
      </c>
      <c r="W106" s="611">
        <v>33.303206492431578</v>
      </c>
      <c r="X106" s="611">
        <v>0</v>
      </c>
      <c r="Y106" s="620">
        <v>0</v>
      </c>
      <c r="Z106" s="621">
        <v>62.396983905972462</v>
      </c>
      <c r="AA106" s="51"/>
    </row>
    <row r="107" spans="6:27" x14ac:dyDescent="0.25">
      <c r="F107" s="51"/>
      <c r="G107" s="618" t="s">
        <v>76</v>
      </c>
      <c r="H107" s="611">
        <v>0</v>
      </c>
      <c r="I107" s="611">
        <v>0</v>
      </c>
      <c r="J107" s="611">
        <v>0</v>
      </c>
      <c r="K107" s="611">
        <v>0</v>
      </c>
      <c r="L107" s="611">
        <v>3.5778432499999999</v>
      </c>
      <c r="M107" s="611">
        <v>0</v>
      </c>
      <c r="N107" s="611">
        <v>0</v>
      </c>
      <c r="O107" s="611">
        <v>0</v>
      </c>
      <c r="P107" s="611">
        <v>0</v>
      </c>
      <c r="Q107" s="611">
        <v>0</v>
      </c>
      <c r="R107" s="611">
        <v>0</v>
      </c>
      <c r="S107" s="611">
        <v>0</v>
      </c>
      <c r="T107" s="611">
        <v>0</v>
      </c>
      <c r="U107" s="611">
        <v>0</v>
      </c>
      <c r="V107" s="611">
        <v>0</v>
      </c>
      <c r="W107" s="611">
        <v>39.12444228345425</v>
      </c>
      <c r="X107" s="611">
        <v>4.9402489163743386</v>
      </c>
      <c r="Y107" s="620">
        <v>0</v>
      </c>
      <c r="Z107" s="621">
        <v>47.642534449828588</v>
      </c>
      <c r="AA107" s="51"/>
    </row>
    <row r="108" spans="6:27" x14ac:dyDescent="0.25">
      <c r="F108" s="51"/>
      <c r="G108" s="614" t="s">
        <v>77</v>
      </c>
      <c r="H108" s="622">
        <v>66.548398424769999</v>
      </c>
      <c r="I108" s="622">
        <v>418.81826031539623</v>
      </c>
      <c r="J108" s="622">
        <v>-388.66488597904601</v>
      </c>
      <c r="K108" s="615">
        <v>0</v>
      </c>
      <c r="L108" s="622">
        <v>80.435060249999992</v>
      </c>
      <c r="M108" s="615">
        <v>0</v>
      </c>
      <c r="N108" s="622">
        <v>1149.579672727273</v>
      </c>
      <c r="O108" s="622">
        <v>112.63656667417351</v>
      </c>
      <c r="P108" s="622">
        <v>31.483141914937502</v>
      </c>
      <c r="Q108" s="622">
        <v>27.669879940158388</v>
      </c>
      <c r="R108" s="622">
        <v>0</v>
      </c>
      <c r="S108" s="622">
        <v>5.6077222222222218</v>
      </c>
      <c r="T108" s="622">
        <v>0.33911500000000006</v>
      </c>
      <c r="U108" s="622">
        <v>0.33911500000000006</v>
      </c>
      <c r="V108" s="622">
        <v>5.2158479038533336</v>
      </c>
      <c r="W108" s="622">
        <v>-477.91118484095665</v>
      </c>
      <c r="X108" s="622">
        <v>-48.206358126382121</v>
      </c>
      <c r="Y108" s="622">
        <v>0</v>
      </c>
      <c r="Z108" s="622">
        <v>983.89035142639932</v>
      </c>
      <c r="AA108" s="51"/>
    </row>
    <row r="109" spans="6:27" x14ac:dyDescent="0.25">
      <c r="F109" s="51"/>
      <c r="G109" s="616"/>
      <c r="H109" s="623"/>
      <c r="I109" s="623"/>
      <c r="J109" s="623"/>
      <c r="K109" s="617"/>
      <c r="L109" s="623"/>
      <c r="M109" s="617"/>
      <c r="N109" s="623"/>
      <c r="O109" s="623"/>
      <c r="P109" s="623"/>
      <c r="Q109" s="623"/>
      <c r="R109" s="623"/>
      <c r="S109" s="623"/>
      <c r="T109" s="623"/>
      <c r="U109" s="623"/>
      <c r="V109" s="623"/>
      <c r="W109" s="623"/>
      <c r="X109" s="623"/>
      <c r="Y109" s="623"/>
      <c r="Z109" s="623"/>
      <c r="AA109" s="51"/>
    </row>
    <row r="110" spans="6:27" x14ac:dyDescent="0.25">
      <c r="F110" s="51"/>
      <c r="G110" s="618" t="s">
        <v>78</v>
      </c>
      <c r="H110" s="611">
        <v>10.499518224319999</v>
      </c>
      <c r="I110" s="611">
        <v>0</v>
      </c>
      <c r="J110" s="611">
        <v>29.416179425607226</v>
      </c>
      <c r="K110" s="611">
        <v>0</v>
      </c>
      <c r="L110" s="611">
        <v>122.68129450000001</v>
      </c>
      <c r="M110" s="611">
        <v>0</v>
      </c>
      <c r="N110" s="611">
        <v>0</v>
      </c>
      <c r="O110" s="611">
        <v>0</v>
      </c>
      <c r="P110" s="611">
        <v>15.007241944444445</v>
      </c>
      <c r="Q110" s="611">
        <v>4.5080899999999993</v>
      </c>
      <c r="R110" s="611">
        <v>0.90818192591922298</v>
      </c>
      <c r="S110" s="611">
        <v>0.7288891666666667</v>
      </c>
      <c r="T110" s="611">
        <v>0</v>
      </c>
      <c r="U110" s="611">
        <v>0</v>
      </c>
      <c r="V110" s="611">
        <v>2.3466111111111111E-2</v>
      </c>
      <c r="W110" s="611">
        <v>112.74074204167756</v>
      </c>
      <c r="X110" s="611">
        <v>20.288037293048792</v>
      </c>
      <c r="Y110" s="611">
        <v>0</v>
      </c>
      <c r="Z110" s="619">
        <v>316.80164063279506</v>
      </c>
      <c r="AA110" s="51"/>
    </row>
    <row r="111" spans="6:27" x14ac:dyDescent="0.25">
      <c r="F111" s="51"/>
      <c r="G111" s="618" t="s">
        <v>79</v>
      </c>
      <c r="H111" s="611">
        <v>0</v>
      </c>
      <c r="I111" s="611">
        <v>0</v>
      </c>
      <c r="J111" s="611">
        <v>455.73907855508537</v>
      </c>
      <c r="K111" s="611">
        <v>0</v>
      </c>
      <c r="L111" s="611">
        <v>3.1643742499999998</v>
      </c>
      <c r="M111" s="611">
        <v>0</v>
      </c>
      <c r="N111" s="611">
        <v>0</v>
      </c>
      <c r="O111" s="611">
        <v>0</v>
      </c>
      <c r="P111" s="611">
        <v>0</v>
      </c>
      <c r="Q111" s="611">
        <v>0</v>
      </c>
      <c r="R111" s="611">
        <v>33.682313987219715</v>
      </c>
      <c r="S111" s="611">
        <v>0</v>
      </c>
      <c r="T111" s="611">
        <v>0</v>
      </c>
      <c r="U111" s="611">
        <v>0</v>
      </c>
      <c r="V111" s="611">
        <v>0</v>
      </c>
      <c r="W111" s="611">
        <v>9.5062570700000002</v>
      </c>
      <c r="X111" s="611">
        <v>0</v>
      </c>
      <c r="Y111" s="611">
        <v>0</v>
      </c>
      <c r="Z111" s="619">
        <v>502.0920238623051</v>
      </c>
      <c r="AA111" s="51"/>
    </row>
    <row r="112" spans="6:27" x14ac:dyDescent="0.25">
      <c r="F112" s="51"/>
      <c r="G112" s="618" t="s">
        <v>80</v>
      </c>
      <c r="H112" s="611">
        <v>0.30392462681999999</v>
      </c>
      <c r="I112" s="611">
        <v>0</v>
      </c>
      <c r="J112" s="611">
        <v>48.420737334519657</v>
      </c>
      <c r="K112" s="611">
        <v>0</v>
      </c>
      <c r="L112" s="611">
        <v>137.47295825</v>
      </c>
      <c r="M112" s="611">
        <v>0</v>
      </c>
      <c r="N112" s="611">
        <v>0</v>
      </c>
      <c r="O112" s="611">
        <v>0</v>
      </c>
      <c r="P112" s="611">
        <v>79.436266183333316</v>
      </c>
      <c r="Q112" s="611">
        <v>0</v>
      </c>
      <c r="R112" s="611">
        <v>0</v>
      </c>
      <c r="S112" s="611">
        <v>0</v>
      </c>
      <c r="T112" s="611">
        <v>37.229244444444447</v>
      </c>
      <c r="U112" s="611">
        <v>37.229244444444447</v>
      </c>
      <c r="V112" s="611">
        <v>2.0012324114533335</v>
      </c>
      <c r="W112" s="611">
        <v>169.647731859684</v>
      </c>
      <c r="X112" s="611">
        <v>17.049854444444446</v>
      </c>
      <c r="Y112" s="611">
        <v>0</v>
      </c>
      <c r="Z112" s="619">
        <v>528.79119399914362</v>
      </c>
      <c r="AA112" s="51"/>
    </row>
    <row r="113" spans="6:27" x14ac:dyDescent="0.25">
      <c r="F113" s="51"/>
      <c r="G113" s="618" t="s">
        <v>81</v>
      </c>
      <c r="H113" s="611">
        <v>0.42171975636000003</v>
      </c>
      <c r="I113" s="611">
        <v>0</v>
      </c>
      <c r="J113" s="611">
        <v>31.848490363564004</v>
      </c>
      <c r="K113" s="611">
        <v>0</v>
      </c>
      <c r="L113" s="611">
        <v>75.02500775</v>
      </c>
      <c r="M113" s="611">
        <v>0</v>
      </c>
      <c r="N113" s="611">
        <v>0</v>
      </c>
      <c r="O113" s="611">
        <v>0</v>
      </c>
      <c r="P113" s="611">
        <v>3.518470555555556</v>
      </c>
      <c r="Q113" s="611">
        <v>2.6955142783343735</v>
      </c>
      <c r="R113" s="611">
        <v>0</v>
      </c>
      <c r="S113" s="611">
        <v>1.5720347222222222</v>
      </c>
      <c r="T113" s="611">
        <v>5.4113150000000001</v>
      </c>
      <c r="U113" s="611">
        <v>5.4113150000000001</v>
      </c>
      <c r="V113" s="611">
        <v>0.36038522262222222</v>
      </c>
      <c r="W113" s="611">
        <v>133.43843185863599</v>
      </c>
      <c r="X113" s="611">
        <v>10.601388055555557</v>
      </c>
      <c r="Y113" s="611">
        <v>0</v>
      </c>
      <c r="Z113" s="619">
        <v>270.30407256284997</v>
      </c>
      <c r="AA113" s="51"/>
    </row>
    <row r="114" spans="6:27" x14ac:dyDescent="0.25">
      <c r="F114" s="51"/>
      <c r="G114" s="618" t="s">
        <v>82</v>
      </c>
      <c r="H114" s="611">
        <v>1.645683379E-2</v>
      </c>
      <c r="I114" s="611">
        <v>0</v>
      </c>
      <c r="J114" s="611">
        <v>37.64130659695499</v>
      </c>
      <c r="K114" s="611">
        <v>0</v>
      </c>
      <c r="L114" s="611">
        <v>2.6142742499999998</v>
      </c>
      <c r="M114" s="611">
        <v>0</v>
      </c>
      <c r="N114" s="611">
        <v>0</v>
      </c>
      <c r="O114" s="611">
        <v>0</v>
      </c>
      <c r="P114" s="611">
        <v>1.8067343740011113</v>
      </c>
      <c r="Q114" s="611">
        <v>0</v>
      </c>
      <c r="R114" s="611">
        <v>2.1134212030118888</v>
      </c>
      <c r="S114" s="611">
        <v>0.64352166666666666</v>
      </c>
      <c r="T114" s="611">
        <v>0</v>
      </c>
      <c r="U114" s="611">
        <v>0</v>
      </c>
      <c r="V114" s="611">
        <v>0.29224250000000002</v>
      </c>
      <c r="W114" s="611">
        <v>7.6857720109592274</v>
      </c>
      <c r="X114" s="611">
        <v>0.26707805555555553</v>
      </c>
      <c r="Y114" s="611">
        <v>0</v>
      </c>
      <c r="Z114" s="619">
        <v>53.080807490939442</v>
      </c>
      <c r="AA114" s="51"/>
    </row>
    <row r="115" spans="6:27" x14ac:dyDescent="0.25">
      <c r="F115" s="51"/>
      <c r="G115" s="618" t="s">
        <v>354</v>
      </c>
      <c r="H115" s="611">
        <v>0</v>
      </c>
      <c r="I115" s="611">
        <v>0</v>
      </c>
      <c r="J115" s="611">
        <v>0</v>
      </c>
      <c r="K115" s="611">
        <v>0</v>
      </c>
      <c r="L115" s="611">
        <v>0</v>
      </c>
      <c r="M115" s="611">
        <v>0</v>
      </c>
      <c r="N115" s="611">
        <v>0</v>
      </c>
      <c r="O115" s="611">
        <v>0</v>
      </c>
      <c r="P115" s="611">
        <v>0</v>
      </c>
      <c r="Q115" s="611">
        <v>0</v>
      </c>
      <c r="R115" s="611">
        <v>0</v>
      </c>
      <c r="S115" s="611">
        <v>0</v>
      </c>
      <c r="T115" s="611">
        <v>0</v>
      </c>
      <c r="U115" s="611">
        <v>0</v>
      </c>
      <c r="V115" s="611">
        <v>0</v>
      </c>
      <c r="W115" s="611">
        <v>0</v>
      </c>
      <c r="X115" s="611">
        <v>0</v>
      </c>
      <c r="Y115" s="611">
        <v>0</v>
      </c>
      <c r="Z115" s="619">
        <v>0</v>
      </c>
      <c r="AA115" s="51"/>
    </row>
    <row r="116" spans="6:27" x14ac:dyDescent="0.25">
      <c r="F116" s="51"/>
      <c r="G116" s="614" t="s">
        <v>83</v>
      </c>
      <c r="H116" s="622">
        <v>11.24161944129</v>
      </c>
      <c r="I116" s="622">
        <v>0</v>
      </c>
      <c r="J116" s="622">
        <v>603.06579227573127</v>
      </c>
      <c r="K116" s="615">
        <v>0</v>
      </c>
      <c r="L116" s="622">
        <v>340.95790899999997</v>
      </c>
      <c r="M116" s="615">
        <v>0</v>
      </c>
      <c r="N116" s="622">
        <v>0</v>
      </c>
      <c r="O116" s="622">
        <v>0</v>
      </c>
      <c r="P116" s="622">
        <v>99.768713057334423</v>
      </c>
      <c r="Q116" s="622">
        <v>7.2036042783343728</v>
      </c>
      <c r="R116" s="622">
        <v>36.703917116150826</v>
      </c>
      <c r="S116" s="622">
        <v>2.9444455555555553</v>
      </c>
      <c r="T116" s="622">
        <v>42.640559444444449</v>
      </c>
      <c r="U116" s="622">
        <v>42.640559444444449</v>
      </c>
      <c r="V116" s="622">
        <v>2.6773262451866668</v>
      </c>
      <c r="W116" s="622">
        <v>433.01893484095683</v>
      </c>
      <c r="X116" s="622">
        <v>48.206357848604355</v>
      </c>
      <c r="Y116" s="622">
        <v>0</v>
      </c>
      <c r="Z116" s="622">
        <v>1671.0697385480332</v>
      </c>
      <c r="AA116" s="51"/>
    </row>
    <row r="117" spans="6:27" x14ac:dyDescent="0.25">
      <c r="F117" s="51"/>
      <c r="G117" s="610" t="s">
        <v>84</v>
      </c>
      <c r="H117" s="611">
        <v>3.2100486466300007</v>
      </c>
      <c r="I117" s="611">
        <v>0</v>
      </c>
      <c r="J117" s="611">
        <v>139.4576510270841</v>
      </c>
      <c r="K117" s="611">
        <v>0</v>
      </c>
      <c r="L117" s="611">
        <v>12.877187000000003</v>
      </c>
      <c r="M117" s="611">
        <v>0</v>
      </c>
      <c r="N117" s="611">
        <v>0</v>
      </c>
      <c r="O117" s="611">
        <v>0</v>
      </c>
      <c r="P117" s="611">
        <v>0</v>
      </c>
      <c r="Q117" s="611">
        <v>0</v>
      </c>
      <c r="R117" s="611">
        <v>0</v>
      </c>
      <c r="S117" s="611">
        <v>0</v>
      </c>
      <c r="T117" s="611">
        <v>0</v>
      </c>
      <c r="U117" s="611">
        <v>0</v>
      </c>
      <c r="V117" s="611">
        <v>0</v>
      </c>
      <c r="W117" s="611">
        <v>0</v>
      </c>
      <c r="X117" s="611">
        <v>0.65340598733210598</v>
      </c>
      <c r="Y117" s="611">
        <v>0</v>
      </c>
      <c r="Z117" s="619">
        <v>156.1982926610462</v>
      </c>
      <c r="AA117" s="51"/>
    </row>
    <row r="118" spans="6:27" x14ac:dyDescent="0.25">
      <c r="F118" s="51"/>
      <c r="G118" s="614" t="s">
        <v>85</v>
      </c>
      <c r="H118" s="622">
        <v>14.451668087920002</v>
      </c>
      <c r="I118" s="622">
        <v>0</v>
      </c>
      <c r="J118" s="622">
        <v>742.52344330281539</v>
      </c>
      <c r="K118" s="615">
        <v>0</v>
      </c>
      <c r="L118" s="622">
        <v>353.83509599999996</v>
      </c>
      <c r="M118" s="615">
        <v>0</v>
      </c>
      <c r="N118" s="622">
        <v>0</v>
      </c>
      <c r="O118" s="622">
        <v>0</v>
      </c>
      <c r="P118" s="622">
        <v>99.768713057334423</v>
      </c>
      <c r="Q118" s="622">
        <v>7.2036042783343728</v>
      </c>
      <c r="R118" s="622">
        <v>36.703917116150826</v>
      </c>
      <c r="S118" s="622">
        <v>2.9444455555555553</v>
      </c>
      <c r="T118" s="622">
        <v>42.640559444444449</v>
      </c>
      <c r="U118" s="622">
        <v>42.640559444444449</v>
      </c>
      <c r="V118" s="622">
        <v>2.6773262451866668</v>
      </c>
      <c r="W118" s="622">
        <v>433.01893484095683</v>
      </c>
      <c r="X118" s="622">
        <v>48.859763835936462</v>
      </c>
      <c r="Y118" s="622">
        <v>0</v>
      </c>
      <c r="Z118" s="622">
        <v>1827.2680312090795</v>
      </c>
      <c r="AA118" s="51"/>
    </row>
    <row r="119" spans="6:27" x14ac:dyDescent="0.25">
      <c r="F119" s="51"/>
      <c r="G119" s="51"/>
      <c r="H119" s="51"/>
      <c r="I119" s="51"/>
      <c r="J119" s="51"/>
      <c r="K119" s="67">
        <v>0</v>
      </c>
      <c r="L119" s="51"/>
      <c r="M119" s="51"/>
      <c r="N119" s="51"/>
      <c r="O119" s="51"/>
      <c r="P119" s="51"/>
      <c r="Q119" s="51"/>
      <c r="R119" s="51"/>
      <c r="S119" s="51"/>
      <c r="T119" s="51"/>
      <c r="U119" s="51"/>
      <c r="V119" s="51"/>
      <c r="W119" s="51"/>
      <c r="X119" s="51"/>
      <c r="Y119" s="51"/>
      <c r="Z119" s="51"/>
      <c r="AA119" s="51"/>
    </row>
    <row r="120" spans="6:27" x14ac:dyDescent="0.25">
      <c r="F120" s="51"/>
      <c r="G120" s="51"/>
      <c r="H120" s="51"/>
      <c r="I120" s="51"/>
      <c r="J120" s="51"/>
      <c r="K120" s="51"/>
      <c r="L120" s="51"/>
      <c r="M120" s="51"/>
      <c r="N120" s="51"/>
      <c r="O120" s="51"/>
      <c r="P120" s="51"/>
      <c r="Q120" s="51"/>
      <c r="R120" s="51"/>
      <c r="S120" s="51"/>
      <c r="T120" s="51"/>
      <c r="U120" s="51"/>
      <c r="V120" s="51"/>
      <c r="W120" s="51"/>
      <c r="X120" s="51"/>
      <c r="Y120" s="51"/>
      <c r="Z120" s="51"/>
      <c r="AA120" s="51"/>
    </row>
    <row r="121" spans="6:27" x14ac:dyDescent="0.25">
      <c r="F121" s="606"/>
      <c r="G121" s="607" t="s">
        <v>566</v>
      </c>
      <c r="H121" s="606"/>
      <c r="I121" s="606"/>
      <c r="J121" s="606"/>
      <c r="K121" s="606"/>
      <c r="L121" s="606"/>
      <c r="M121" s="606"/>
      <c r="N121" s="606"/>
      <c r="O121" s="606"/>
      <c r="P121" s="606"/>
      <c r="Q121" s="606"/>
      <c r="R121" s="606"/>
      <c r="S121" s="606"/>
      <c r="T121" s="606"/>
      <c r="U121" s="606"/>
      <c r="V121" s="606"/>
      <c r="W121" s="606"/>
      <c r="X121" s="606"/>
      <c r="Y121" s="606"/>
      <c r="Z121" s="606"/>
      <c r="AA121" s="606"/>
    </row>
    <row r="122" spans="6:27" x14ac:dyDescent="0.25">
      <c r="F122" s="51"/>
      <c r="G122" s="51"/>
      <c r="H122" s="51"/>
      <c r="I122" s="51"/>
      <c r="J122" s="51"/>
      <c r="K122" s="51"/>
      <c r="L122" s="51"/>
      <c r="M122" s="51"/>
      <c r="N122" s="51"/>
      <c r="O122" s="51"/>
      <c r="P122" s="51"/>
      <c r="Q122" s="51"/>
      <c r="R122" s="51"/>
      <c r="S122" s="51"/>
      <c r="T122" s="51"/>
      <c r="U122" s="51"/>
      <c r="V122" s="51"/>
      <c r="W122" s="51"/>
      <c r="X122" s="51"/>
      <c r="Y122" s="51"/>
      <c r="Z122" s="51"/>
      <c r="AA122" s="51"/>
    </row>
    <row r="123" spans="6:27" x14ac:dyDescent="0.25">
      <c r="F123" s="51"/>
      <c r="G123" s="764" t="s">
        <v>128</v>
      </c>
      <c r="H123" s="753" t="s">
        <v>42</v>
      </c>
      <c r="I123" s="753" t="s">
        <v>52</v>
      </c>
      <c r="J123" s="753" t="s">
        <v>53</v>
      </c>
      <c r="K123" s="753" t="s">
        <v>482</v>
      </c>
      <c r="L123" s="753" t="s">
        <v>32</v>
      </c>
      <c r="M123" s="753" t="s">
        <v>483</v>
      </c>
      <c r="N123" s="753" t="s">
        <v>20</v>
      </c>
      <c r="O123" s="753" t="s">
        <v>55</v>
      </c>
      <c r="P123" s="761" t="s">
        <v>56</v>
      </c>
      <c r="Q123" s="762"/>
      <c r="R123" s="762"/>
      <c r="S123" s="762"/>
      <c r="T123" s="762"/>
      <c r="U123" s="762"/>
      <c r="V123" s="763"/>
      <c r="W123" s="753" t="s">
        <v>57</v>
      </c>
      <c r="X123" s="753" t="s">
        <v>58</v>
      </c>
      <c r="Y123" s="753" t="s">
        <v>31</v>
      </c>
      <c r="Z123" s="753" t="s">
        <v>10</v>
      </c>
      <c r="AA123" s="51"/>
    </row>
    <row r="124" spans="6:27" ht="36" x14ac:dyDescent="0.25">
      <c r="F124" s="51"/>
      <c r="G124" s="765"/>
      <c r="H124" s="754"/>
      <c r="I124" s="754"/>
      <c r="J124" s="754"/>
      <c r="K124" s="754"/>
      <c r="L124" s="754"/>
      <c r="M124" s="754"/>
      <c r="N124" s="754"/>
      <c r="O124" s="754"/>
      <c r="P124" s="608" t="s">
        <v>335</v>
      </c>
      <c r="Q124" s="608" t="s">
        <v>40</v>
      </c>
      <c r="R124" s="608" t="s">
        <v>343</v>
      </c>
      <c r="S124" s="608" t="s">
        <v>344</v>
      </c>
      <c r="T124" s="609" t="s">
        <v>345</v>
      </c>
      <c r="U124" s="609" t="s">
        <v>609</v>
      </c>
      <c r="V124" s="608" t="s">
        <v>346</v>
      </c>
      <c r="W124" s="754"/>
      <c r="X124" s="754"/>
      <c r="Y124" s="754"/>
      <c r="Z124" s="754"/>
      <c r="AA124" s="51"/>
    </row>
    <row r="125" spans="6:27" x14ac:dyDescent="0.25">
      <c r="F125" s="51"/>
      <c r="G125" s="610" t="s">
        <v>59</v>
      </c>
      <c r="H125" s="611">
        <v>0</v>
      </c>
      <c r="I125" s="611">
        <v>9.6296400000000002</v>
      </c>
      <c r="J125" s="620">
        <v>0</v>
      </c>
      <c r="K125" s="611">
        <v>0</v>
      </c>
      <c r="L125" s="611">
        <v>0.19305800000000004</v>
      </c>
      <c r="M125" s="611">
        <v>0</v>
      </c>
      <c r="N125" s="620">
        <v>1140.366181818182</v>
      </c>
      <c r="O125" s="620">
        <v>131.59278102869408</v>
      </c>
      <c r="P125" s="620">
        <v>207.14648009796051</v>
      </c>
      <c r="Q125" s="620">
        <v>35.562020270643494</v>
      </c>
      <c r="R125" s="620">
        <v>0.20092572111676185</v>
      </c>
      <c r="S125" s="620">
        <v>0.14735812244666191</v>
      </c>
      <c r="T125" s="620">
        <v>61.630419198718137</v>
      </c>
      <c r="U125" s="620">
        <v>0.60820836760911123</v>
      </c>
      <c r="V125" s="620">
        <v>7.2449612535215584</v>
      </c>
      <c r="W125" s="620">
        <v>0</v>
      </c>
      <c r="X125" s="620">
        <v>0</v>
      </c>
      <c r="Y125" s="620">
        <v>0</v>
      </c>
      <c r="Z125" s="621">
        <v>1594.3220338788922</v>
      </c>
      <c r="AA125" s="51"/>
    </row>
    <row r="126" spans="6:27" x14ac:dyDescent="0.25">
      <c r="F126" s="51"/>
      <c r="G126" s="610" t="s">
        <v>60</v>
      </c>
      <c r="H126" s="620">
        <v>56.449131133971783</v>
      </c>
      <c r="I126" s="620">
        <v>459.91342569717432</v>
      </c>
      <c r="J126" s="620">
        <v>352.25084451708437</v>
      </c>
      <c r="K126" s="611">
        <v>0</v>
      </c>
      <c r="L126" s="620">
        <v>374.27068413629291</v>
      </c>
      <c r="M126" s="611">
        <v>0</v>
      </c>
      <c r="N126" s="620">
        <v>0</v>
      </c>
      <c r="O126" s="620">
        <v>0</v>
      </c>
      <c r="P126" s="620">
        <v>14.098609892268939</v>
      </c>
      <c r="Q126" s="620">
        <v>0</v>
      </c>
      <c r="R126" s="620">
        <v>1.5603352240003341</v>
      </c>
      <c r="S126" s="620">
        <v>8.1960884730024812</v>
      </c>
      <c r="T126" s="620">
        <v>0</v>
      </c>
      <c r="U126" s="620">
        <v>0</v>
      </c>
      <c r="V126" s="620">
        <v>0</v>
      </c>
      <c r="W126" s="620">
        <v>0</v>
      </c>
      <c r="X126" s="620">
        <v>0</v>
      </c>
      <c r="Y126" s="620">
        <v>0</v>
      </c>
      <c r="Z126" s="621">
        <v>1266.7391190737951</v>
      </c>
      <c r="AA126" s="51"/>
    </row>
    <row r="127" spans="6:27" x14ac:dyDescent="0.25">
      <c r="F127" s="51"/>
      <c r="G127" s="610" t="s">
        <v>61</v>
      </c>
      <c r="H127" s="620">
        <v>0</v>
      </c>
      <c r="I127" s="620">
        <v>0</v>
      </c>
      <c r="J127" s="620">
        <v>-1.9958158323902644</v>
      </c>
      <c r="K127" s="611">
        <v>0</v>
      </c>
      <c r="L127" s="620">
        <v>0</v>
      </c>
      <c r="M127" s="611">
        <v>0</v>
      </c>
      <c r="N127" s="620">
        <v>0</v>
      </c>
      <c r="O127" s="620">
        <v>0</v>
      </c>
      <c r="P127" s="620">
        <v>0</v>
      </c>
      <c r="Q127" s="620">
        <v>0</v>
      </c>
      <c r="R127" s="620">
        <v>0</v>
      </c>
      <c r="S127" s="620">
        <v>0</v>
      </c>
      <c r="T127" s="620">
        <v>0</v>
      </c>
      <c r="U127" s="620">
        <v>0</v>
      </c>
      <c r="V127" s="620">
        <v>0</v>
      </c>
      <c r="W127" s="620">
        <v>-78.164281464394662</v>
      </c>
      <c r="X127" s="620">
        <v>0</v>
      </c>
      <c r="Y127" s="620">
        <v>0</v>
      </c>
      <c r="Z127" s="621">
        <v>-80.160097296784926</v>
      </c>
      <c r="AA127" s="51"/>
    </row>
    <row r="128" spans="6:27" x14ac:dyDescent="0.25">
      <c r="F128" s="51"/>
      <c r="G128" s="610" t="s">
        <v>62</v>
      </c>
      <c r="H128" s="611">
        <v>0</v>
      </c>
      <c r="I128" s="611">
        <v>0</v>
      </c>
      <c r="J128" s="611">
        <v>-13.910664986553044</v>
      </c>
      <c r="K128" s="611">
        <v>0</v>
      </c>
      <c r="L128" s="611">
        <v>-1.5775055692610036</v>
      </c>
      <c r="M128" s="611">
        <v>0</v>
      </c>
      <c r="N128" s="611">
        <v>0</v>
      </c>
      <c r="O128" s="611">
        <v>0</v>
      </c>
      <c r="P128" s="611">
        <v>0</v>
      </c>
      <c r="Q128" s="611">
        <v>0</v>
      </c>
      <c r="R128" s="611">
        <v>-0.26729594352549763</v>
      </c>
      <c r="S128" s="611">
        <v>-5.1217713287694921E-2</v>
      </c>
      <c r="T128" s="611">
        <v>0</v>
      </c>
      <c r="U128" s="611">
        <v>0</v>
      </c>
      <c r="V128" s="611">
        <v>0</v>
      </c>
      <c r="W128" s="620">
        <v>0</v>
      </c>
      <c r="X128" s="620">
        <v>0</v>
      </c>
      <c r="Y128" s="611">
        <v>0</v>
      </c>
      <c r="Z128" s="621">
        <v>-15.806684212627241</v>
      </c>
      <c r="AA128" s="51"/>
    </row>
    <row r="129" spans="6:27" x14ac:dyDescent="0.25">
      <c r="F129" s="51"/>
      <c r="G129" s="610" t="s">
        <v>63</v>
      </c>
      <c r="H129" s="611">
        <v>0</v>
      </c>
      <c r="I129" s="611">
        <v>0</v>
      </c>
      <c r="J129" s="611">
        <v>-77.531119346650016</v>
      </c>
      <c r="K129" s="611">
        <v>0</v>
      </c>
      <c r="L129" s="611">
        <v>0</v>
      </c>
      <c r="M129" s="611">
        <v>0</v>
      </c>
      <c r="N129" s="611">
        <v>0</v>
      </c>
      <c r="O129" s="611">
        <v>0</v>
      </c>
      <c r="P129" s="611">
        <v>0</v>
      </c>
      <c r="Q129" s="611">
        <v>0</v>
      </c>
      <c r="R129" s="611">
        <v>-0.80822492568624593</v>
      </c>
      <c r="S129" s="611">
        <v>0</v>
      </c>
      <c r="T129" s="611">
        <v>0</v>
      </c>
      <c r="U129" s="611">
        <v>0</v>
      </c>
      <c r="V129" s="611">
        <v>0</v>
      </c>
      <c r="W129" s="620">
        <v>0</v>
      </c>
      <c r="X129" s="620">
        <v>0</v>
      </c>
      <c r="Y129" s="611">
        <v>0</v>
      </c>
      <c r="Z129" s="621">
        <v>-78.339344272336263</v>
      </c>
      <c r="AA129" s="51"/>
    </row>
    <row r="130" spans="6:27" x14ac:dyDescent="0.25">
      <c r="F130" s="51"/>
      <c r="G130" s="610" t="s">
        <v>64</v>
      </c>
      <c r="H130" s="620">
        <v>9.7684723496666986E-2</v>
      </c>
      <c r="I130" s="620">
        <v>-5.9567697000000003E-2</v>
      </c>
      <c r="J130" s="620">
        <v>3.8766666666666671E-2</v>
      </c>
      <c r="K130" s="611">
        <v>0</v>
      </c>
      <c r="L130" s="620">
        <v>0</v>
      </c>
      <c r="M130" s="611">
        <v>0</v>
      </c>
      <c r="N130" s="620">
        <v>0</v>
      </c>
      <c r="O130" s="620">
        <v>0</v>
      </c>
      <c r="P130" s="620">
        <v>0</v>
      </c>
      <c r="Q130" s="620">
        <v>0</v>
      </c>
      <c r="R130" s="620">
        <v>0</v>
      </c>
      <c r="S130" s="620">
        <v>0</v>
      </c>
      <c r="T130" s="620">
        <v>0</v>
      </c>
      <c r="U130" s="620">
        <v>0</v>
      </c>
      <c r="V130" s="620">
        <v>0</v>
      </c>
      <c r="W130" s="620">
        <v>0</v>
      </c>
      <c r="X130" s="620">
        <v>0</v>
      </c>
      <c r="Y130" s="620">
        <v>0</v>
      </c>
      <c r="Z130" s="621">
        <v>7.6883693163333655E-2</v>
      </c>
      <c r="AA130" s="51"/>
    </row>
    <row r="131" spans="6:27" x14ac:dyDescent="0.25">
      <c r="F131" s="51"/>
      <c r="G131" s="614" t="s">
        <v>65</v>
      </c>
      <c r="H131" s="622">
        <v>56.546815857468452</v>
      </c>
      <c r="I131" s="622">
        <v>469.48349800017434</v>
      </c>
      <c r="J131" s="622">
        <v>258.85201101815767</v>
      </c>
      <c r="K131" s="615">
        <v>0</v>
      </c>
      <c r="L131" s="622">
        <v>372.88623656703192</v>
      </c>
      <c r="M131" s="615">
        <v>0</v>
      </c>
      <c r="N131" s="622">
        <v>1140.366181818182</v>
      </c>
      <c r="O131" s="622">
        <v>131.59278102869408</v>
      </c>
      <c r="P131" s="622">
        <v>221.24508999022945</v>
      </c>
      <c r="Q131" s="622">
        <v>35.562020270643494</v>
      </c>
      <c r="R131" s="622">
        <v>0.68574007590535246</v>
      </c>
      <c r="S131" s="622">
        <v>8.2922288821614476</v>
      </c>
      <c r="T131" s="622">
        <v>61.630419198718137</v>
      </c>
      <c r="U131" s="622">
        <v>0.60820836760911123</v>
      </c>
      <c r="V131" s="622">
        <v>7.2449612535215584</v>
      </c>
      <c r="W131" s="622">
        <v>-78.164281464394662</v>
      </c>
      <c r="X131" s="622">
        <v>0</v>
      </c>
      <c r="Y131" s="622">
        <v>0</v>
      </c>
      <c r="Z131" s="622">
        <v>2686.8319108641022</v>
      </c>
      <c r="AA131" s="51"/>
    </row>
    <row r="132" spans="6:27" x14ac:dyDescent="0.25">
      <c r="F132" s="51"/>
      <c r="G132" s="616"/>
      <c r="H132" s="623"/>
      <c r="I132" s="623"/>
      <c r="J132" s="623"/>
      <c r="K132" s="617"/>
      <c r="L132" s="623"/>
      <c r="M132" s="617"/>
      <c r="N132" s="623"/>
      <c r="O132" s="623"/>
      <c r="P132" s="623"/>
      <c r="Q132" s="623"/>
      <c r="R132" s="623"/>
      <c r="S132" s="623"/>
      <c r="T132" s="623"/>
      <c r="U132" s="623"/>
      <c r="V132" s="623"/>
      <c r="W132" s="623"/>
      <c r="X132" s="623"/>
      <c r="Y132" s="623"/>
      <c r="Z132" s="623"/>
      <c r="AA132" s="51"/>
    </row>
    <row r="133" spans="6:27" x14ac:dyDescent="0.25">
      <c r="F133" s="51"/>
      <c r="G133" s="618" t="s">
        <v>67</v>
      </c>
      <c r="H133" s="611">
        <v>-3.0825798148311137</v>
      </c>
      <c r="I133" s="611">
        <v>2.8212894888263103</v>
      </c>
      <c r="J133" s="611">
        <v>-1.7473592425063453</v>
      </c>
      <c r="K133" s="611">
        <v>0</v>
      </c>
      <c r="L133" s="611">
        <v>-1.6538705</v>
      </c>
      <c r="M133" s="611">
        <v>0</v>
      </c>
      <c r="N133" s="611">
        <v>0</v>
      </c>
      <c r="O133" s="611">
        <v>0</v>
      </c>
      <c r="P133" s="611">
        <v>0</v>
      </c>
      <c r="Q133" s="611">
        <v>0</v>
      </c>
      <c r="R133" s="611">
        <v>0</v>
      </c>
      <c r="S133" s="611">
        <v>0</v>
      </c>
      <c r="T133" s="611">
        <v>0</v>
      </c>
      <c r="U133" s="611">
        <v>0</v>
      </c>
      <c r="V133" s="611">
        <v>0</v>
      </c>
      <c r="W133" s="611">
        <v>1.3259114621158057</v>
      </c>
      <c r="X133" s="611">
        <v>0</v>
      </c>
      <c r="Y133" s="620">
        <v>0</v>
      </c>
      <c r="Z133" s="621">
        <v>-2.3366086063953428</v>
      </c>
      <c r="AA133" s="51"/>
    </row>
    <row r="134" spans="6:27" x14ac:dyDescent="0.25">
      <c r="F134" s="51"/>
      <c r="G134" s="618" t="s">
        <v>347</v>
      </c>
      <c r="H134" s="611">
        <v>18.311780352949967</v>
      </c>
      <c r="I134" s="611">
        <v>0</v>
      </c>
      <c r="J134" s="611">
        <v>15.165240241505963</v>
      </c>
      <c r="K134" s="611">
        <v>0</v>
      </c>
      <c r="L134" s="611">
        <v>67.367598770454535</v>
      </c>
      <c r="M134" s="611">
        <v>0</v>
      </c>
      <c r="N134" s="611">
        <v>893.12435757575759</v>
      </c>
      <c r="O134" s="611">
        <v>103.16408551808999</v>
      </c>
      <c r="P134" s="611">
        <v>17.818256090214604</v>
      </c>
      <c r="Q134" s="611">
        <v>11.678824122543197</v>
      </c>
      <c r="R134" s="611">
        <v>0</v>
      </c>
      <c r="S134" s="611">
        <v>7.6579342108323267</v>
      </c>
      <c r="T134" s="611">
        <v>0</v>
      </c>
      <c r="U134" s="611">
        <v>0</v>
      </c>
      <c r="V134" s="611">
        <v>1.4120030957408569</v>
      </c>
      <c r="W134" s="611">
        <v>-469.03899444986422</v>
      </c>
      <c r="X134" s="611">
        <v>0</v>
      </c>
      <c r="Y134" s="620">
        <v>0</v>
      </c>
      <c r="Z134" s="621">
        <v>666.6610855282247</v>
      </c>
      <c r="AA134" s="51"/>
    </row>
    <row r="135" spans="6:27" x14ac:dyDescent="0.25">
      <c r="F135" s="51"/>
      <c r="G135" s="618" t="s">
        <v>348</v>
      </c>
      <c r="H135" s="611">
        <v>1.6487919881779634</v>
      </c>
      <c r="I135" s="611">
        <v>0</v>
      </c>
      <c r="J135" s="611">
        <v>2.5787453844178874</v>
      </c>
      <c r="K135" s="611">
        <v>0</v>
      </c>
      <c r="L135" s="611">
        <v>20.52222797954547</v>
      </c>
      <c r="M135" s="611">
        <v>0</v>
      </c>
      <c r="N135" s="611">
        <v>0</v>
      </c>
      <c r="O135" s="611">
        <v>0</v>
      </c>
      <c r="P135" s="611">
        <v>11.194215004913776</v>
      </c>
      <c r="Q135" s="611">
        <v>16.899907723058416</v>
      </c>
      <c r="R135" s="611">
        <v>0</v>
      </c>
      <c r="S135" s="611">
        <v>3.393995842292195</v>
      </c>
      <c r="T135" s="611">
        <v>0.501695</v>
      </c>
      <c r="U135" s="611">
        <v>0</v>
      </c>
      <c r="V135" s="611">
        <v>3.7445681273157776</v>
      </c>
      <c r="W135" s="611">
        <v>0</v>
      </c>
      <c r="X135" s="611">
        <v>-51.024139226089801</v>
      </c>
      <c r="Y135" s="620">
        <v>0</v>
      </c>
      <c r="Z135" s="621">
        <v>9.4600078236316847</v>
      </c>
      <c r="AA135" s="51"/>
    </row>
    <row r="136" spans="6:27" x14ac:dyDescent="0.25">
      <c r="F136" s="51"/>
      <c r="G136" s="618" t="s">
        <v>349</v>
      </c>
      <c r="H136" s="611">
        <v>0</v>
      </c>
      <c r="I136" s="611">
        <v>0</v>
      </c>
      <c r="J136" s="611">
        <v>0</v>
      </c>
      <c r="K136" s="611">
        <v>0</v>
      </c>
      <c r="L136" s="611">
        <v>-3.9044474999999998</v>
      </c>
      <c r="M136" s="611">
        <v>0</v>
      </c>
      <c r="N136" s="611">
        <v>0</v>
      </c>
      <c r="O136" s="611">
        <v>0</v>
      </c>
      <c r="P136" s="611">
        <v>0</v>
      </c>
      <c r="Q136" s="611">
        <v>0</v>
      </c>
      <c r="R136" s="611">
        <v>0</v>
      </c>
      <c r="S136" s="611">
        <v>-18.98</v>
      </c>
      <c r="T136" s="611">
        <v>0</v>
      </c>
      <c r="U136" s="611">
        <v>0</v>
      </c>
      <c r="V136" s="611">
        <v>0</v>
      </c>
      <c r="W136" s="611">
        <v>0</v>
      </c>
      <c r="X136" s="611">
        <v>0</v>
      </c>
      <c r="Y136" s="620">
        <v>0</v>
      </c>
      <c r="Z136" s="621">
        <v>-22.8844475</v>
      </c>
      <c r="AA136" s="51"/>
    </row>
    <row r="137" spans="6:27" x14ac:dyDescent="0.25">
      <c r="F137" s="51"/>
      <c r="G137" s="618" t="s">
        <v>350</v>
      </c>
      <c r="H137" s="611">
        <v>0</v>
      </c>
      <c r="I137" s="611">
        <v>0</v>
      </c>
      <c r="J137" s="611">
        <v>0</v>
      </c>
      <c r="K137" s="611">
        <v>0</v>
      </c>
      <c r="L137" s="611">
        <v>0</v>
      </c>
      <c r="M137" s="611">
        <v>0</v>
      </c>
      <c r="N137" s="611">
        <v>0</v>
      </c>
      <c r="O137" s="611">
        <v>0</v>
      </c>
      <c r="P137" s="611">
        <v>0</v>
      </c>
      <c r="Q137" s="611">
        <v>0</v>
      </c>
      <c r="R137" s="611">
        <v>0</v>
      </c>
      <c r="S137" s="611">
        <v>0</v>
      </c>
      <c r="T137" s="611">
        <v>0</v>
      </c>
      <c r="U137" s="611">
        <v>0</v>
      </c>
      <c r="V137" s="611">
        <v>0</v>
      </c>
      <c r="W137" s="611">
        <v>0</v>
      </c>
      <c r="X137" s="611">
        <v>0</v>
      </c>
      <c r="Y137" s="620">
        <v>0</v>
      </c>
      <c r="Z137" s="621">
        <v>0</v>
      </c>
      <c r="AA137" s="51"/>
    </row>
    <row r="138" spans="6:27" x14ac:dyDescent="0.25">
      <c r="F138" s="51"/>
      <c r="G138" s="618" t="s">
        <v>72</v>
      </c>
      <c r="H138" s="611">
        <v>0</v>
      </c>
      <c r="I138" s="611">
        <v>506.29013802437532</v>
      </c>
      <c r="J138" s="611">
        <v>-499.70096879681989</v>
      </c>
      <c r="K138" s="611">
        <v>0</v>
      </c>
      <c r="L138" s="611">
        <v>0</v>
      </c>
      <c r="M138" s="611">
        <v>0</v>
      </c>
      <c r="N138" s="611">
        <v>0</v>
      </c>
      <c r="O138" s="611">
        <v>0</v>
      </c>
      <c r="P138" s="611">
        <v>0</v>
      </c>
      <c r="Q138" s="611">
        <v>0</v>
      </c>
      <c r="R138" s="611">
        <v>0</v>
      </c>
      <c r="S138" s="611">
        <v>0</v>
      </c>
      <c r="T138" s="611">
        <v>0</v>
      </c>
      <c r="U138" s="611">
        <v>0</v>
      </c>
      <c r="V138" s="611">
        <v>0</v>
      </c>
      <c r="W138" s="611">
        <v>0</v>
      </c>
      <c r="X138" s="611">
        <v>0</v>
      </c>
      <c r="Y138" s="620">
        <v>0</v>
      </c>
      <c r="Z138" s="621">
        <v>6.5891692275554306</v>
      </c>
      <c r="AA138" s="51"/>
    </row>
    <row r="139" spans="6:27" x14ac:dyDescent="0.25">
      <c r="F139" s="51"/>
      <c r="G139" s="618" t="s">
        <v>351</v>
      </c>
      <c r="H139" s="611">
        <v>0</v>
      </c>
      <c r="I139" s="611">
        <v>0</v>
      </c>
      <c r="J139" s="611">
        <v>0</v>
      </c>
      <c r="K139" s="611">
        <v>0</v>
      </c>
      <c r="L139" s="611">
        <v>0</v>
      </c>
      <c r="M139" s="611">
        <v>0</v>
      </c>
      <c r="N139" s="611">
        <v>0</v>
      </c>
      <c r="O139" s="611">
        <v>0</v>
      </c>
      <c r="P139" s="611">
        <v>0</v>
      </c>
      <c r="Q139" s="611">
        <v>0</v>
      </c>
      <c r="R139" s="611">
        <v>-21.853352497140708</v>
      </c>
      <c r="S139" s="611">
        <v>0</v>
      </c>
      <c r="T139" s="611">
        <v>0</v>
      </c>
      <c r="U139" s="611">
        <v>0</v>
      </c>
      <c r="V139" s="611">
        <v>0</v>
      </c>
      <c r="W139" s="611">
        <v>0</v>
      </c>
      <c r="X139" s="611">
        <v>0</v>
      </c>
      <c r="Y139" s="620">
        <v>0</v>
      </c>
      <c r="Z139" s="621">
        <v>-21.853352497140708</v>
      </c>
      <c r="AA139" s="51"/>
    </row>
    <row r="140" spans="6:27" x14ac:dyDescent="0.25">
      <c r="F140" s="51"/>
      <c r="G140" s="618" t="s">
        <v>352</v>
      </c>
      <c r="H140" s="611">
        <v>0</v>
      </c>
      <c r="I140" s="611">
        <v>0</v>
      </c>
      <c r="J140" s="611">
        <v>0</v>
      </c>
      <c r="K140" s="611">
        <v>0</v>
      </c>
      <c r="L140" s="611">
        <v>0</v>
      </c>
      <c r="M140" s="611">
        <v>0</v>
      </c>
      <c r="N140" s="611">
        <v>0</v>
      </c>
      <c r="O140" s="611">
        <v>0</v>
      </c>
      <c r="P140" s="611">
        <v>0</v>
      </c>
      <c r="Q140" s="611">
        <v>0</v>
      </c>
      <c r="R140" s="611">
        <v>0</v>
      </c>
      <c r="S140" s="611">
        <v>0</v>
      </c>
      <c r="T140" s="611">
        <v>0</v>
      </c>
      <c r="U140" s="611">
        <v>0</v>
      </c>
      <c r="V140" s="611">
        <v>0</v>
      </c>
      <c r="W140" s="611">
        <v>0</v>
      </c>
      <c r="X140" s="611">
        <v>0</v>
      </c>
      <c r="Y140" s="620">
        <v>0</v>
      </c>
      <c r="Z140" s="621">
        <v>0</v>
      </c>
      <c r="AA140" s="51"/>
    </row>
    <row r="141" spans="6:27" x14ac:dyDescent="0.25">
      <c r="F141" s="51"/>
      <c r="G141" s="618" t="s">
        <v>73</v>
      </c>
      <c r="H141" s="611">
        <v>0</v>
      </c>
      <c r="I141" s="611">
        <v>0</v>
      </c>
      <c r="J141" s="611">
        <v>0</v>
      </c>
      <c r="K141" s="611">
        <v>0</v>
      </c>
      <c r="L141" s="611">
        <v>0</v>
      </c>
      <c r="M141" s="611">
        <v>0</v>
      </c>
      <c r="N141" s="611">
        <v>0</v>
      </c>
      <c r="O141" s="611">
        <v>0</v>
      </c>
      <c r="P141" s="611">
        <v>0</v>
      </c>
      <c r="Q141" s="611">
        <v>0</v>
      </c>
      <c r="R141" s="611">
        <v>0</v>
      </c>
      <c r="S141" s="611">
        <v>0</v>
      </c>
      <c r="T141" s="611">
        <v>0</v>
      </c>
      <c r="U141" s="611">
        <v>0</v>
      </c>
      <c r="V141" s="611">
        <v>0</v>
      </c>
      <c r="W141" s="611">
        <v>0</v>
      </c>
      <c r="X141" s="611">
        <v>0</v>
      </c>
      <c r="Y141" s="620">
        <v>0</v>
      </c>
      <c r="Z141" s="621">
        <v>0</v>
      </c>
      <c r="AA141" s="51"/>
    </row>
    <row r="142" spans="6:27" x14ac:dyDescent="0.25">
      <c r="F142" s="51"/>
      <c r="G142" s="618" t="s">
        <v>353</v>
      </c>
      <c r="H142" s="611">
        <v>27.649311354549997</v>
      </c>
      <c r="I142" s="611">
        <v>-13.754507404173998</v>
      </c>
      <c r="J142" s="611">
        <v>12.248818838309996</v>
      </c>
      <c r="K142" s="611">
        <v>0</v>
      </c>
      <c r="L142" s="611">
        <v>0</v>
      </c>
      <c r="M142" s="611">
        <v>0</v>
      </c>
      <c r="N142" s="611">
        <v>0</v>
      </c>
      <c r="O142" s="611">
        <v>0</v>
      </c>
      <c r="P142" s="611">
        <v>0</v>
      </c>
      <c r="Q142" s="611">
        <v>0</v>
      </c>
      <c r="R142" s="611">
        <v>0</v>
      </c>
      <c r="S142" s="611">
        <v>0</v>
      </c>
      <c r="T142" s="611">
        <v>0</v>
      </c>
      <c r="U142" s="611">
        <v>0</v>
      </c>
      <c r="V142" s="611">
        <v>0</v>
      </c>
      <c r="W142" s="611">
        <v>0</v>
      </c>
      <c r="X142" s="611">
        <v>0</v>
      </c>
      <c r="Y142" s="620">
        <v>0</v>
      </c>
      <c r="Z142" s="621">
        <v>26.143622788685995</v>
      </c>
      <c r="AA142" s="51"/>
    </row>
    <row r="143" spans="6:27" x14ac:dyDescent="0.25">
      <c r="F143" s="51"/>
      <c r="G143" s="618" t="s">
        <v>75</v>
      </c>
      <c r="H143" s="611">
        <v>14.335724444444445</v>
      </c>
      <c r="I143" s="611">
        <v>0</v>
      </c>
      <c r="J143" s="611">
        <v>16.070601013170002</v>
      </c>
      <c r="K143" s="611">
        <v>0</v>
      </c>
      <c r="L143" s="611">
        <v>5.0310437499999994</v>
      </c>
      <c r="M143" s="611">
        <v>0</v>
      </c>
      <c r="N143" s="611">
        <v>0</v>
      </c>
      <c r="O143" s="611">
        <v>0</v>
      </c>
      <c r="P143" s="611">
        <v>0</v>
      </c>
      <c r="Q143" s="611">
        <v>0</v>
      </c>
      <c r="R143" s="611">
        <v>0</v>
      </c>
      <c r="S143" s="611">
        <v>8.0085509378214112E-2</v>
      </c>
      <c r="T143" s="611">
        <v>0</v>
      </c>
      <c r="U143" s="611">
        <v>0</v>
      </c>
      <c r="V143" s="611">
        <v>0</v>
      </c>
      <c r="W143" s="611">
        <v>32.490290432316492</v>
      </c>
      <c r="X143" s="611">
        <v>0</v>
      </c>
      <c r="Y143" s="620">
        <v>0</v>
      </c>
      <c r="Z143" s="621">
        <v>68.007745149309159</v>
      </c>
      <c r="AA143" s="51"/>
    </row>
    <row r="144" spans="6:27" x14ac:dyDescent="0.25">
      <c r="F144" s="51"/>
      <c r="G144" s="618" t="s">
        <v>76</v>
      </c>
      <c r="H144" s="611">
        <v>0</v>
      </c>
      <c r="I144" s="611">
        <v>0</v>
      </c>
      <c r="J144" s="611">
        <v>0</v>
      </c>
      <c r="K144" s="611">
        <v>0</v>
      </c>
      <c r="L144" s="611">
        <v>4.1836710000000004</v>
      </c>
      <c r="M144" s="611">
        <v>0</v>
      </c>
      <c r="N144" s="611">
        <v>0</v>
      </c>
      <c r="O144" s="611">
        <v>0</v>
      </c>
      <c r="P144" s="611">
        <v>0</v>
      </c>
      <c r="Q144" s="611">
        <v>0</v>
      </c>
      <c r="R144" s="611">
        <v>0</v>
      </c>
      <c r="S144" s="611">
        <v>6.6596801728441027E-2</v>
      </c>
      <c r="T144" s="611">
        <v>0</v>
      </c>
      <c r="U144" s="611">
        <v>0</v>
      </c>
      <c r="V144" s="611">
        <v>0</v>
      </c>
      <c r="W144" s="611">
        <v>35.786149887014702</v>
      </c>
      <c r="X144" s="611">
        <v>4.7290335700757451</v>
      </c>
      <c r="Y144" s="620">
        <v>0</v>
      </c>
      <c r="Z144" s="621">
        <v>44.765451258818885</v>
      </c>
      <c r="AA144" s="51"/>
    </row>
    <row r="145" spans="6:27" x14ac:dyDescent="0.25">
      <c r="F145" s="51"/>
      <c r="G145" s="614" t="s">
        <v>77</v>
      </c>
      <c r="H145" s="622">
        <v>58.863028325291261</v>
      </c>
      <c r="I145" s="622">
        <v>495.35692010902767</v>
      </c>
      <c r="J145" s="622">
        <v>-455.38492256192239</v>
      </c>
      <c r="K145" s="615">
        <v>0</v>
      </c>
      <c r="L145" s="622">
        <v>91.546223500000011</v>
      </c>
      <c r="M145" s="615">
        <v>0</v>
      </c>
      <c r="N145" s="622">
        <v>893.12435757575759</v>
      </c>
      <c r="O145" s="622">
        <v>103.16408551808999</v>
      </c>
      <c r="P145" s="622">
        <v>29.01247109512838</v>
      </c>
      <c r="Q145" s="622">
        <v>28.578731845601613</v>
      </c>
      <c r="R145" s="622">
        <v>-21.853352497140708</v>
      </c>
      <c r="S145" s="622">
        <v>-7.7813876357688239</v>
      </c>
      <c r="T145" s="622">
        <v>0.501695</v>
      </c>
      <c r="U145" s="622">
        <v>0</v>
      </c>
      <c r="V145" s="622">
        <v>5.1565712230566341</v>
      </c>
      <c r="W145" s="622">
        <v>-399.43664266841722</v>
      </c>
      <c r="X145" s="622">
        <v>-46.295105656014059</v>
      </c>
      <c r="Y145" s="622">
        <v>0</v>
      </c>
      <c r="Z145" s="622">
        <v>774.55267317268988</v>
      </c>
      <c r="AA145" s="51"/>
    </row>
    <row r="146" spans="6:27" x14ac:dyDescent="0.25">
      <c r="F146" s="51"/>
      <c r="G146" s="616"/>
      <c r="H146" s="623"/>
      <c r="I146" s="623"/>
      <c r="J146" s="623"/>
      <c r="K146" s="617"/>
      <c r="L146" s="623"/>
      <c r="M146" s="617"/>
      <c r="N146" s="623"/>
      <c r="O146" s="623"/>
      <c r="P146" s="623"/>
      <c r="Q146" s="623"/>
      <c r="R146" s="623"/>
      <c r="S146" s="623"/>
      <c r="T146" s="623"/>
      <c r="U146" s="623"/>
      <c r="V146" s="623"/>
      <c r="W146" s="623"/>
      <c r="X146" s="623"/>
      <c r="Y146" s="623"/>
      <c r="Z146" s="623"/>
      <c r="AA146" s="51"/>
    </row>
    <row r="147" spans="6:27" x14ac:dyDescent="0.25">
      <c r="F147" s="51"/>
      <c r="G147" s="618" t="s">
        <v>78</v>
      </c>
      <c r="H147" s="611">
        <v>7.3736578567600004</v>
      </c>
      <c r="I147" s="611">
        <v>0</v>
      </c>
      <c r="J147" s="611">
        <v>28.082156139158617</v>
      </c>
      <c r="K147" s="611">
        <v>0</v>
      </c>
      <c r="L147" s="611">
        <v>105.9180134466818</v>
      </c>
      <c r="M147" s="611">
        <v>0</v>
      </c>
      <c r="N147" s="611">
        <v>0</v>
      </c>
      <c r="O147" s="611">
        <v>0</v>
      </c>
      <c r="P147" s="611">
        <v>15.598758157208902</v>
      </c>
      <c r="Q147" s="611">
        <v>4.4111640413155317</v>
      </c>
      <c r="R147" s="611">
        <v>0.88961453134373869</v>
      </c>
      <c r="S147" s="611">
        <v>2.6352375275716398</v>
      </c>
      <c r="T147" s="611">
        <v>0</v>
      </c>
      <c r="U147" s="611">
        <v>0</v>
      </c>
      <c r="V147" s="611">
        <v>2.4289355835523621E-2</v>
      </c>
      <c r="W147" s="611">
        <v>107.70936491078457</v>
      </c>
      <c r="X147" s="611">
        <v>21.846264931445535</v>
      </c>
      <c r="Y147" s="611">
        <v>0</v>
      </c>
      <c r="Z147" s="619">
        <v>294.48852089810589</v>
      </c>
      <c r="AA147" s="51"/>
    </row>
    <row r="148" spans="6:27" x14ac:dyDescent="0.25">
      <c r="F148" s="51"/>
      <c r="G148" s="618" t="s">
        <v>79</v>
      </c>
      <c r="H148" s="611">
        <v>0</v>
      </c>
      <c r="I148" s="611">
        <v>0</v>
      </c>
      <c r="J148" s="611">
        <v>448.64421529961959</v>
      </c>
      <c r="K148" s="611">
        <v>0</v>
      </c>
      <c r="L148" s="611">
        <v>3.6492752022856041</v>
      </c>
      <c r="M148" s="611">
        <v>0</v>
      </c>
      <c r="N148" s="611">
        <v>0</v>
      </c>
      <c r="O148" s="611">
        <v>0</v>
      </c>
      <c r="P148" s="611">
        <v>0</v>
      </c>
      <c r="Q148" s="611">
        <v>0</v>
      </c>
      <c r="R148" s="611">
        <v>36.012531806280798</v>
      </c>
      <c r="S148" s="611">
        <v>5.9029797714396391E-2</v>
      </c>
      <c r="T148" s="611">
        <v>0</v>
      </c>
      <c r="U148" s="611">
        <v>0</v>
      </c>
      <c r="V148" s="611">
        <v>0</v>
      </c>
      <c r="W148" s="611">
        <v>10.17460307</v>
      </c>
      <c r="X148" s="611">
        <v>0</v>
      </c>
      <c r="Y148" s="611">
        <v>0</v>
      </c>
      <c r="Z148" s="619">
        <v>498.53965517590035</v>
      </c>
      <c r="AA148" s="51"/>
    </row>
    <row r="149" spans="6:27" x14ac:dyDescent="0.25">
      <c r="F149" s="51"/>
      <c r="G149" s="618" t="s">
        <v>80</v>
      </c>
      <c r="H149" s="611">
        <v>0.30791956671000004</v>
      </c>
      <c r="I149" s="611">
        <v>0</v>
      </c>
      <c r="J149" s="611">
        <v>40.800473894782456</v>
      </c>
      <c r="K149" s="611">
        <v>0</v>
      </c>
      <c r="L149" s="611">
        <v>108.79962887872408</v>
      </c>
      <c r="M149" s="611">
        <v>0</v>
      </c>
      <c r="N149" s="611">
        <v>0</v>
      </c>
      <c r="O149" s="611">
        <v>0</v>
      </c>
      <c r="P149" s="611">
        <v>69.611392402361105</v>
      </c>
      <c r="Q149" s="611">
        <v>0</v>
      </c>
      <c r="R149" s="611">
        <v>0</v>
      </c>
      <c r="S149" s="611">
        <v>1.7319017945159534</v>
      </c>
      <c r="T149" s="611">
        <v>39.362218333333338</v>
      </c>
      <c r="U149" s="611">
        <v>0</v>
      </c>
      <c r="V149" s="611">
        <v>2.3811032385222219</v>
      </c>
      <c r="W149" s="611">
        <v>155.70090902270002</v>
      </c>
      <c r="X149" s="611">
        <v>14.53032638888889</v>
      </c>
      <c r="Y149" s="611">
        <v>0</v>
      </c>
      <c r="Z149" s="619">
        <v>433.22587352053807</v>
      </c>
      <c r="AA149" s="51"/>
    </row>
    <row r="150" spans="6:27" x14ac:dyDescent="0.25">
      <c r="F150" s="51"/>
      <c r="G150" s="618" t="s">
        <v>81</v>
      </c>
      <c r="H150" s="611">
        <v>0.38187951663999997</v>
      </c>
      <c r="I150" s="611">
        <v>0</v>
      </c>
      <c r="J150" s="611">
        <v>24.334721638979133</v>
      </c>
      <c r="K150" s="611">
        <v>0</v>
      </c>
      <c r="L150" s="611">
        <v>62.26259302462671</v>
      </c>
      <c r="M150" s="611">
        <v>0</v>
      </c>
      <c r="N150" s="611">
        <v>0</v>
      </c>
      <c r="O150" s="611">
        <v>0</v>
      </c>
      <c r="P150" s="611">
        <v>3.0398772222222226</v>
      </c>
      <c r="Q150" s="611">
        <v>3.2413059191745655</v>
      </c>
      <c r="R150" s="611">
        <v>0</v>
      </c>
      <c r="S150" s="611">
        <v>2.5666319475955128</v>
      </c>
      <c r="T150" s="611">
        <v>4.8885494444444442</v>
      </c>
      <c r="U150" s="611">
        <v>0</v>
      </c>
      <c r="V150" s="611">
        <v>0.34430494489178276</v>
      </c>
      <c r="W150" s="611">
        <v>132.93221924988228</v>
      </c>
      <c r="X150" s="611">
        <v>9.7167455555555549</v>
      </c>
      <c r="Y150" s="611">
        <v>0</v>
      </c>
      <c r="Z150" s="619">
        <v>243.70882846401221</v>
      </c>
      <c r="AA150" s="51"/>
    </row>
    <row r="151" spans="6:27" x14ac:dyDescent="0.25">
      <c r="F151" s="51"/>
      <c r="G151" s="618" t="s">
        <v>82</v>
      </c>
      <c r="H151" s="611">
        <v>1.9208852320000001E-2</v>
      </c>
      <c r="I151" s="611">
        <v>0</v>
      </c>
      <c r="J151" s="611">
        <v>39.034317458267438</v>
      </c>
      <c r="K151" s="611">
        <v>0</v>
      </c>
      <c r="L151" s="611">
        <v>1.9218747169511943</v>
      </c>
      <c r="M151" s="611">
        <v>0</v>
      </c>
      <c r="N151" s="611">
        <v>0</v>
      </c>
      <c r="O151" s="611">
        <v>0</v>
      </c>
      <c r="P151" s="611">
        <v>1.8407267824809543</v>
      </c>
      <c r="Q151" s="611">
        <v>0</v>
      </c>
      <c r="R151" s="611">
        <v>2.0636367479060382</v>
      </c>
      <c r="S151" s="611">
        <v>1.8016780587066257</v>
      </c>
      <c r="T151" s="611">
        <v>0</v>
      </c>
      <c r="U151" s="611">
        <v>0</v>
      </c>
      <c r="V151" s="611">
        <v>0.29211333333333334</v>
      </c>
      <c r="W151" s="611">
        <v>7.8640694150503041</v>
      </c>
      <c r="X151" s="611">
        <v>0.2334725</v>
      </c>
      <c r="Y151" s="611">
        <v>0</v>
      </c>
      <c r="Z151" s="619">
        <v>55.071097865015886</v>
      </c>
      <c r="AA151" s="51"/>
    </row>
    <row r="152" spans="6:27" x14ac:dyDescent="0.25">
      <c r="F152" s="51"/>
      <c r="G152" s="618" t="s">
        <v>354</v>
      </c>
      <c r="H152" s="611">
        <v>0</v>
      </c>
      <c r="I152" s="611">
        <v>0</v>
      </c>
      <c r="J152" s="611">
        <v>0</v>
      </c>
      <c r="K152" s="611">
        <v>0</v>
      </c>
      <c r="L152" s="611">
        <v>0</v>
      </c>
      <c r="M152" s="611">
        <v>0</v>
      </c>
      <c r="N152" s="611">
        <v>0</v>
      </c>
      <c r="O152" s="611">
        <v>0</v>
      </c>
      <c r="P152" s="611">
        <v>0</v>
      </c>
      <c r="Q152" s="611">
        <v>0</v>
      </c>
      <c r="R152" s="611">
        <v>0</v>
      </c>
      <c r="S152" s="611">
        <v>0</v>
      </c>
      <c r="T152" s="611">
        <v>0</v>
      </c>
      <c r="U152" s="611">
        <v>0</v>
      </c>
      <c r="V152" s="611">
        <v>0</v>
      </c>
      <c r="W152" s="611">
        <v>0</v>
      </c>
      <c r="X152" s="611">
        <v>0</v>
      </c>
      <c r="Y152" s="611">
        <v>0</v>
      </c>
      <c r="Z152" s="619">
        <v>0</v>
      </c>
      <c r="AA152" s="51"/>
    </row>
    <row r="153" spans="6:27" x14ac:dyDescent="0.25">
      <c r="F153" s="51"/>
      <c r="G153" s="614" t="s">
        <v>83</v>
      </c>
      <c r="H153" s="622">
        <v>8.0826657924300012</v>
      </c>
      <c r="I153" s="622">
        <v>0</v>
      </c>
      <c r="J153" s="622">
        <v>580.8958844308072</v>
      </c>
      <c r="K153" s="615">
        <v>0</v>
      </c>
      <c r="L153" s="622">
        <v>282.55138526926942</v>
      </c>
      <c r="M153" s="615">
        <v>0</v>
      </c>
      <c r="N153" s="622">
        <v>0</v>
      </c>
      <c r="O153" s="622">
        <v>0</v>
      </c>
      <c r="P153" s="622">
        <v>90.090754564273183</v>
      </c>
      <c r="Q153" s="622">
        <v>7.6524699604900972</v>
      </c>
      <c r="R153" s="622">
        <v>38.965783085530575</v>
      </c>
      <c r="S153" s="622">
        <v>8.7944791261041289</v>
      </c>
      <c r="T153" s="622">
        <v>44.250767777777781</v>
      </c>
      <c r="U153" s="622">
        <v>0</v>
      </c>
      <c r="V153" s="622">
        <v>3.0418108725828619</v>
      </c>
      <c r="W153" s="622">
        <v>414.38116566841722</v>
      </c>
      <c r="X153" s="622">
        <v>46.326809375889979</v>
      </c>
      <c r="Y153" s="622">
        <v>0</v>
      </c>
      <c r="Z153" s="622">
        <v>1525.0339759235724</v>
      </c>
      <c r="AA153" s="51"/>
    </row>
    <row r="154" spans="6:27" x14ac:dyDescent="0.25">
      <c r="F154" s="51"/>
      <c r="G154" s="610" t="s">
        <v>84</v>
      </c>
      <c r="H154" s="611">
        <v>3.0122638424699995</v>
      </c>
      <c r="I154" s="611">
        <v>0</v>
      </c>
      <c r="J154" s="611">
        <v>107.6231430405753</v>
      </c>
      <c r="K154" s="611">
        <v>0</v>
      </c>
      <c r="L154" s="611">
        <v>9.983953224619464</v>
      </c>
      <c r="M154" s="611">
        <v>0</v>
      </c>
      <c r="N154" s="611">
        <v>0</v>
      </c>
      <c r="O154" s="611">
        <v>0</v>
      </c>
      <c r="P154" s="611">
        <v>0</v>
      </c>
      <c r="Q154" s="611">
        <v>0</v>
      </c>
      <c r="R154" s="611">
        <v>0</v>
      </c>
      <c r="S154" s="611">
        <v>0.1614980253805364</v>
      </c>
      <c r="T154" s="611">
        <v>0</v>
      </c>
      <c r="U154" s="611">
        <v>0</v>
      </c>
      <c r="V154" s="611">
        <v>0</v>
      </c>
      <c r="W154" s="611">
        <v>0</v>
      </c>
      <c r="X154" s="611">
        <v>0.46611803222029996</v>
      </c>
      <c r="Y154" s="611">
        <v>0</v>
      </c>
      <c r="Z154" s="619">
        <v>121.24697616526561</v>
      </c>
      <c r="AA154" s="51"/>
    </row>
    <row r="155" spans="6:27" x14ac:dyDescent="0.25">
      <c r="F155" s="51"/>
      <c r="G155" s="614" t="s">
        <v>85</v>
      </c>
      <c r="H155" s="622">
        <v>11.094929634900002</v>
      </c>
      <c r="I155" s="622">
        <v>0</v>
      </c>
      <c r="J155" s="622">
        <v>688.51902747138251</v>
      </c>
      <c r="K155" s="615">
        <v>0</v>
      </c>
      <c r="L155" s="622">
        <v>292.5353384938889</v>
      </c>
      <c r="M155" s="615">
        <v>0</v>
      </c>
      <c r="N155" s="622">
        <v>0</v>
      </c>
      <c r="O155" s="622">
        <v>0</v>
      </c>
      <c r="P155" s="622">
        <v>90.090754564273183</v>
      </c>
      <c r="Q155" s="622">
        <v>7.6524699604900972</v>
      </c>
      <c r="R155" s="622">
        <v>38.965783085530575</v>
      </c>
      <c r="S155" s="622">
        <v>8.9559771514846656</v>
      </c>
      <c r="T155" s="622">
        <v>44.250767777777781</v>
      </c>
      <c r="U155" s="622">
        <v>0</v>
      </c>
      <c r="V155" s="622">
        <v>3.0418108725828619</v>
      </c>
      <c r="W155" s="622">
        <v>414.38116566841722</v>
      </c>
      <c r="X155" s="622">
        <v>46.79292740811028</v>
      </c>
      <c r="Y155" s="622">
        <v>0</v>
      </c>
      <c r="Z155" s="622">
        <v>1646.2809520888379</v>
      </c>
      <c r="AA155" s="51"/>
    </row>
    <row r="156" spans="6:27" x14ac:dyDescent="0.25">
      <c r="F156" s="51"/>
      <c r="G156" s="51"/>
      <c r="H156" s="51"/>
      <c r="I156" s="51"/>
      <c r="J156" s="51"/>
      <c r="K156" s="67">
        <v>0</v>
      </c>
      <c r="L156" s="51"/>
      <c r="M156" s="51"/>
      <c r="N156" s="51"/>
      <c r="O156" s="51"/>
      <c r="P156" s="51"/>
      <c r="Q156" s="51"/>
      <c r="R156" s="51"/>
      <c r="S156" s="51"/>
      <c r="T156" s="51"/>
      <c r="U156" s="51"/>
      <c r="V156" s="51"/>
      <c r="W156" s="51"/>
      <c r="X156" s="51"/>
      <c r="Y156" s="51"/>
      <c r="Z156" s="51"/>
      <c r="AA156" s="51"/>
    </row>
    <row r="157" spans="6:27" x14ac:dyDescent="0.25">
      <c r="F157" s="51"/>
      <c r="G157" s="51"/>
      <c r="H157" s="51"/>
      <c r="I157" s="51"/>
      <c r="J157" s="51"/>
      <c r="K157" s="51"/>
      <c r="L157" s="51"/>
      <c r="M157" s="51"/>
      <c r="N157" s="51"/>
      <c r="O157" s="51"/>
      <c r="P157" s="51"/>
      <c r="Q157" s="51"/>
      <c r="R157" s="51"/>
      <c r="S157" s="51"/>
      <c r="T157" s="51"/>
      <c r="U157" s="51"/>
      <c r="V157" s="51"/>
      <c r="W157" s="51"/>
      <c r="X157" s="51"/>
      <c r="Y157" s="51"/>
      <c r="Z157" s="51"/>
      <c r="AA157" s="51"/>
    </row>
    <row r="158" spans="6:27" x14ac:dyDescent="0.25">
      <c r="F158" s="606"/>
      <c r="G158" s="607" t="s">
        <v>355</v>
      </c>
      <c r="H158" s="606"/>
      <c r="I158" s="606"/>
      <c r="J158" s="606"/>
      <c r="K158" s="606"/>
      <c r="L158" s="606"/>
      <c r="M158" s="606"/>
      <c r="N158" s="606"/>
      <c r="O158" s="606"/>
      <c r="P158" s="606"/>
      <c r="Q158" s="606"/>
      <c r="R158" s="606"/>
      <c r="S158" s="606"/>
      <c r="T158" s="606"/>
      <c r="U158" s="606"/>
      <c r="V158" s="606"/>
      <c r="W158" s="606"/>
      <c r="X158" s="606"/>
      <c r="Y158" s="606"/>
      <c r="Z158" s="606"/>
      <c r="AA158" s="606"/>
    </row>
    <row r="159" spans="6:27" x14ac:dyDescent="0.25">
      <c r="F159" s="51"/>
      <c r="G159" s="51"/>
      <c r="H159" s="51"/>
      <c r="I159" s="51"/>
      <c r="J159" s="51"/>
      <c r="K159" s="51"/>
      <c r="L159" s="51"/>
      <c r="M159" s="51"/>
      <c r="N159" s="51"/>
      <c r="O159" s="51"/>
      <c r="P159" s="51"/>
      <c r="Q159" s="51"/>
      <c r="R159" s="51"/>
      <c r="S159" s="51"/>
      <c r="T159" s="51"/>
      <c r="U159" s="51"/>
      <c r="V159" s="51"/>
      <c r="W159" s="51"/>
      <c r="X159" s="51"/>
      <c r="Y159" s="51"/>
      <c r="Z159" s="51"/>
      <c r="AA159" s="51"/>
    </row>
    <row r="160" spans="6:27" x14ac:dyDescent="0.25">
      <c r="F160" s="51"/>
      <c r="G160" s="764" t="s">
        <v>128</v>
      </c>
      <c r="H160" s="753" t="s">
        <v>42</v>
      </c>
      <c r="I160" s="753" t="s">
        <v>52</v>
      </c>
      <c r="J160" s="753" t="s">
        <v>53</v>
      </c>
      <c r="K160" s="753" t="s">
        <v>482</v>
      </c>
      <c r="L160" s="753" t="s">
        <v>32</v>
      </c>
      <c r="M160" s="753" t="s">
        <v>483</v>
      </c>
      <c r="N160" s="753" t="s">
        <v>20</v>
      </c>
      <c r="O160" s="753" t="s">
        <v>55</v>
      </c>
      <c r="P160" s="761" t="s">
        <v>56</v>
      </c>
      <c r="Q160" s="762"/>
      <c r="R160" s="762"/>
      <c r="S160" s="762"/>
      <c r="T160" s="762"/>
      <c r="U160" s="762"/>
      <c r="V160" s="763"/>
      <c r="W160" s="753" t="s">
        <v>57</v>
      </c>
      <c r="X160" s="753" t="s">
        <v>58</v>
      </c>
      <c r="Y160" s="753" t="s">
        <v>31</v>
      </c>
      <c r="Z160" s="753" t="s">
        <v>10</v>
      </c>
      <c r="AA160" s="51"/>
    </row>
    <row r="161" spans="6:27" ht="36" x14ac:dyDescent="0.25">
      <c r="F161" s="51"/>
      <c r="G161" s="765"/>
      <c r="H161" s="754"/>
      <c r="I161" s="754"/>
      <c r="J161" s="754"/>
      <c r="K161" s="754"/>
      <c r="L161" s="754"/>
      <c r="M161" s="754"/>
      <c r="N161" s="754"/>
      <c r="O161" s="754"/>
      <c r="P161" s="608" t="s">
        <v>335</v>
      </c>
      <c r="Q161" s="608" t="s">
        <v>40</v>
      </c>
      <c r="R161" s="608" t="s">
        <v>343</v>
      </c>
      <c r="S161" s="608" t="s">
        <v>344</v>
      </c>
      <c r="T161" s="609" t="s">
        <v>345</v>
      </c>
      <c r="U161" s="609" t="s">
        <v>609</v>
      </c>
      <c r="V161" s="608" t="s">
        <v>346</v>
      </c>
      <c r="W161" s="754"/>
      <c r="X161" s="754"/>
      <c r="Y161" s="754"/>
      <c r="Z161" s="754"/>
      <c r="AA161" s="51"/>
    </row>
    <row r="162" spans="6:27" x14ac:dyDescent="0.25">
      <c r="F162" s="51"/>
      <c r="G162" s="610" t="s">
        <v>59</v>
      </c>
      <c r="H162" s="611">
        <v>0</v>
      </c>
      <c r="I162" s="611">
        <v>9.6296400000000002</v>
      </c>
      <c r="J162" s="611">
        <v>0</v>
      </c>
      <c r="K162" s="611">
        <v>0</v>
      </c>
      <c r="L162" s="611">
        <v>0.19305800000000004</v>
      </c>
      <c r="M162" s="611">
        <v>0</v>
      </c>
      <c r="N162" s="612">
        <v>1140.3030303030305</v>
      </c>
      <c r="O162" s="612">
        <v>130.20616810165527</v>
      </c>
      <c r="P162" s="612">
        <v>231.77157453342517</v>
      </c>
      <c r="Q162" s="612">
        <v>37.305059000918774</v>
      </c>
      <c r="R162" s="611">
        <v>1.2541050018668516</v>
      </c>
      <c r="S162" s="611">
        <v>0.16066538698047411</v>
      </c>
      <c r="T162" s="612">
        <v>67.109218655331375</v>
      </c>
      <c r="U162" s="612">
        <v>0.38491993273655017</v>
      </c>
      <c r="V162" s="612">
        <v>9.7029989112058512</v>
      </c>
      <c r="W162" s="611">
        <v>0</v>
      </c>
      <c r="X162" s="611">
        <v>0</v>
      </c>
      <c r="Y162" s="611">
        <v>0</v>
      </c>
      <c r="Z162" s="613">
        <v>1628.020437827151</v>
      </c>
      <c r="AA162" s="51"/>
    </row>
    <row r="163" spans="6:27" x14ac:dyDescent="0.25">
      <c r="F163" s="51"/>
      <c r="G163" s="610" t="s">
        <v>60</v>
      </c>
      <c r="H163" s="611">
        <v>47.160350476489363</v>
      </c>
      <c r="I163" s="611">
        <v>451.87886928996238</v>
      </c>
      <c r="J163" s="611">
        <v>331.32526443206382</v>
      </c>
      <c r="K163" s="611">
        <v>0</v>
      </c>
      <c r="L163" s="611">
        <v>378.98816878459513</v>
      </c>
      <c r="M163" s="611">
        <v>0</v>
      </c>
      <c r="N163" s="611">
        <v>0</v>
      </c>
      <c r="O163" s="611">
        <v>0</v>
      </c>
      <c r="P163" s="611">
        <v>1.7064184013992112</v>
      </c>
      <c r="Q163" s="611">
        <v>0</v>
      </c>
      <c r="R163" s="611">
        <v>4.468802584504088</v>
      </c>
      <c r="S163" s="611">
        <v>0</v>
      </c>
      <c r="T163" s="611">
        <v>0</v>
      </c>
      <c r="U163" s="611">
        <v>0</v>
      </c>
      <c r="V163" s="611">
        <v>0</v>
      </c>
      <c r="W163" s="611">
        <v>0</v>
      </c>
      <c r="X163" s="611">
        <v>0</v>
      </c>
      <c r="Y163" s="611">
        <v>0</v>
      </c>
      <c r="Z163" s="613">
        <v>1215.5278739690139</v>
      </c>
      <c r="AA163" s="51"/>
    </row>
    <row r="164" spans="6:27" x14ac:dyDescent="0.25">
      <c r="F164" s="51"/>
      <c r="G164" s="610" t="s">
        <v>61</v>
      </c>
      <c r="H164" s="611">
        <v>0</v>
      </c>
      <c r="I164" s="611">
        <v>0</v>
      </c>
      <c r="J164" s="611">
        <v>3.2427923384532278</v>
      </c>
      <c r="K164" s="611">
        <v>0</v>
      </c>
      <c r="L164" s="611">
        <v>0</v>
      </c>
      <c r="M164" s="611">
        <v>0</v>
      </c>
      <c r="N164" s="611">
        <v>0</v>
      </c>
      <c r="O164" s="611">
        <v>0</v>
      </c>
      <c r="P164" s="611">
        <v>-12.38137239347526</v>
      </c>
      <c r="Q164" s="611">
        <v>0</v>
      </c>
      <c r="R164" s="611">
        <v>0</v>
      </c>
      <c r="S164" s="611">
        <v>-0.8245514716811293</v>
      </c>
      <c r="T164" s="611">
        <v>0</v>
      </c>
      <c r="U164" s="611">
        <v>0</v>
      </c>
      <c r="V164" s="611">
        <v>0</v>
      </c>
      <c r="W164" s="611">
        <v>-75.129808237977386</v>
      </c>
      <c r="X164" s="611">
        <v>0</v>
      </c>
      <c r="Y164" s="611">
        <v>0</v>
      </c>
      <c r="Z164" s="613">
        <v>-85.092939764680551</v>
      </c>
      <c r="AA164" s="51"/>
    </row>
    <row r="165" spans="6:27" x14ac:dyDescent="0.25">
      <c r="F165" s="51"/>
      <c r="G165" s="610" t="s">
        <v>62</v>
      </c>
      <c r="H165" s="611">
        <v>0</v>
      </c>
      <c r="I165" s="611">
        <v>0</v>
      </c>
      <c r="J165" s="611">
        <v>-12.596352093479073</v>
      </c>
      <c r="K165" s="611">
        <v>0</v>
      </c>
      <c r="L165" s="611">
        <v>-1.0737730085364068</v>
      </c>
      <c r="M165" s="611">
        <v>0</v>
      </c>
      <c r="N165" s="611">
        <v>0</v>
      </c>
      <c r="O165" s="611">
        <v>0</v>
      </c>
      <c r="P165" s="611">
        <v>0</v>
      </c>
      <c r="Q165" s="611">
        <v>0</v>
      </c>
      <c r="R165" s="611">
        <v>0</v>
      </c>
      <c r="S165" s="611">
        <v>0</v>
      </c>
      <c r="T165" s="611">
        <v>0</v>
      </c>
      <c r="U165" s="611">
        <v>0</v>
      </c>
      <c r="V165" s="611">
        <v>0</v>
      </c>
      <c r="W165" s="611">
        <v>0</v>
      </c>
      <c r="X165" s="611">
        <v>0</v>
      </c>
      <c r="Y165" s="611">
        <v>0</v>
      </c>
      <c r="Z165" s="613">
        <v>-13.670125102015479</v>
      </c>
      <c r="AA165" s="51"/>
    </row>
    <row r="166" spans="6:27" x14ac:dyDescent="0.25">
      <c r="F166" s="51"/>
      <c r="G166" s="610" t="s">
        <v>63</v>
      </c>
      <c r="H166" s="611">
        <v>0</v>
      </c>
      <c r="I166" s="611">
        <v>0</v>
      </c>
      <c r="J166" s="611">
        <v>-62.400561722234599</v>
      </c>
      <c r="K166" s="611">
        <v>0</v>
      </c>
      <c r="L166" s="611">
        <v>0</v>
      </c>
      <c r="M166" s="611">
        <v>0</v>
      </c>
      <c r="N166" s="611">
        <v>0</v>
      </c>
      <c r="O166" s="611">
        <v>0</v>
      </c>
      <c r="P166" s="611">
        <v>0</v>
      </c>
      <c r="Q166" s="611">
        <v>0</v>
      </c>
      <c r="R166" s="611">
        <v>-0.63296548425477106</v>
      </c>
      <c r="S166" s="611">
        <v>0</v>
      </c>
      <c r="T166" s="611">
        <v>0</v>
      </c>
      <c r="U166" s="611">
        <v>0</v>
      </c>
      <c r="V166" s="611">
        <v>0</v>
      </c>
      <c r="W166" s="611">
        <v>0</v>
      </c>
      <c r="X166" s="611">
        <v>0</v>
      </c>
      <c r="Y166" s="611">
        <v>0</v>
      </c>
      <c r="Z166" s="613">
        <v>-63.033527206489367</v>
      </c>
      <c r="AA166" s="51"/>
    </row>
    <row r="167" spans="6:27" x14ac:dyDescent="0.25">
      <c r="F167" s="51"/>
      <c r="G167" s="610" t="s">
        <v>64</v>
      </c>
      <c r="H167" s="611">
        <v>9.7684723496666986E-2</v>
      </c>
      <c r="I167" s="611">
        <v>-5.9567697000000003E-2</v>
      </c>
      <c r="J167" s="611">
        <v>3.8766666666666671E-2</v>
      </c>
      <c r="K167" s="611">
        <v>0</v>
      </c>
      <c r="L167" s="611">
        <v>0</v>
      </c>
      <c r="M167" s="611">
        <v>0</v>
      </c>
      <c r="N167" s="611">
        <v>0</v>
      </c>
      <c r="O167" s="611">
        <v>0</v>
      </c>
      <c r="P167" s="611">
        <v>0</v>
      </c>
      <c r="Q167" s="611">
        <v>0</v>
      </c>
      <c r="R167" s="611">
        <v>0</v>
      </c>
      <c r="S167" s="611">
        <v>0</v>
      </c>
      <c r="T167" s="611">
        <v>0</v>
      </c>
      <c r="U167" s="611">
        <v>0</v>
      </c>
      <c r="V167" s="611">
        <v>0</v>
      </c>
      <c r="W167" s="611">
        <v>0</v>
      </c>
      <c r="X167" s="611">
        <v>0</v>
      </c>
      <c r="Y167" s="611">
        <v>0</v>
      </c>
      <c r="Z167" s="613">
        <v>7.6883693163333655E-2</v>
      </c>
      <c r="AA167" s="51"/>
    </row>
    <row r="168" spans="6:27" x14ac:dyDescent="0.25">
      <c r="F168" s="51"/>
      <c r="G168" s="614" t="s">
        <v>65</v>
      </c>
      <c r="H168" s="615">
        <v>47.258035199986033</v>
      </c>
      <c r="I168" s="615">
        <v>461.4489415929624</v>
      </c>
      <c r="J168" s="615">
        <v>259.60990962147002</v>
      </c>
      <c r="K168" s="615">
        <v>0</v>
      </c>
      <c r="L168" s="615">
        <v>378.10745377605872</v>
      </c>
      <c r="M168" s="615">
        <v>0</v>
      </c>
      <c r="N168" s="615">
        <v>1140.3030303030305</v>
      </c>
      <c r="O168" s="615">
        <v>130.20616810165527</v>
      </c>
      <c r="P168" s="615">
        <v>221.09662054134913</v>
      </c>
      <c r="Q168" s="615">
        <v>37.305059000918774</v>
      </c>
      <c r="R168" s="615">
        <v>5.0899421021161686</v>
      </c>
      <c r="S168" s="615">
        <v>-0.66388608470065513</v>
      </c>
      <c r="T168" s="615">
        <v>67.109218655331375</v>
      </c>
      <c r="U168" s="615">
        <v>0.38491993273655017</v>
      </c>
      <c r="V168" s="615">
        <v>9.7029989112058512</v>
      </c>
      <c r="W168" s="615">
        <v>-75.129808237977386</v>
      </c>
      <c r="X168" s="615">
        <v>0</v>
      </c>
      <c r="Y168" s="615">
        <v>0</v>
      </c>
      <c r="Z168" s="615">
        <v>2681.8286034161429</v>
      </c>
      <c r="AA168" s="51"/>
    </row>
    <row r="169" spans="6:27" x14ac:dyDescent="0.25">
      <c r="F169" s="51"/>
      <c r="G169" s="616"/>
      <c r="H169" s="617"/>
      <c r="I169" s="617"/>
      <c r="J169" s="617"/>
      <c r="K169" s="617"/>
      <c r="L169" s="623"/>
      <c r="M169" s="617"/>
      <c r="N169" s="617"/>
      <c r="O169" s="617"/>
      <c r="P169" s="617"/>
      <c r="Q169" s="617"/>
      <c r="R169" s="617"/>
      <c r="S169" s="617"/>
      <c r="T169" s="617"/>
      <c r="U169" s="617"/>
      <c r="V169" s="617"/>
      <c r="W169" s="617"/>
      <c r="X169" s="617"/>
      <c r="Y169" s="617"/>
      <c r="Z169" s="617"/>
      <c r="AA169" s="51"/>
    </row>
    <row r="170" spans="6:27" x14ac:dyDescent="0.25">
      <c r="F170" s="51"/>
      <c r="G170" s="618" t="s">
        <v>67</v>
      </c>
      <c r="H170" s="611">
        <v>0</v>
      </c>
      <c r="I170" s="611">
        <v>4.3623690669338813E-2</v>
      </c>
      <c r="J170" s="611">
        <v>-0.43976848620269193</v>
      </c>
      <c r="K170" s="611">
        <v>0</v>
      </c>
      <c r="L170" s="611">
        <v>0</v>
      </c>
      <c r="M170" s="611">
        <v>0</v>
      </c>
      <c r="N170" s="611">
        <v>0</v>
      </c>
      <c r="O170" s="611">
        <v>0</v>
      </c>
      <c r="P170" s="611">
        <v>0</v>
      </c>
      <c r="Q170" s="611">
        <v>0</v>
      </c>
      <c r="R170" s="611">
        <v>0</v>
      </c>
      <c r="S170" s="611">
        <v>0</v>
      </c>
      <c r="T170" s="611">
        <v>0</v>
      </c>
      <c r="U170" s="611">
        <v>0</v>
      </c>
      <c r="V170" s="611">
        <v>0</v>
      </c>
      <c r="W170" s="611">
        <v>0.19176325930063415</v>
      </c>
      <c r="X170" s="611">
        <v>0</v>
      </c>
      <c r="Y170" s="611">
        <v>0</v>
      </c>
      <c r="Z170" s="619">
        <v>-0.20438153623271899</v>
      </c>
      <c r="AA170" s="51"/>
    </row>
    <row r="171" spans="6:27" x14ac:dyDescent="0.25">
      <c r="F171" s="51"/>
      <c r="G171" s="618" t="s">
        <v>347</v>
      </c>
      <c r="H171" s="611">
        <v>9.5913599017962916</v>
      </c>
      <c r="I171" s="611">
        <v>0</v>
      </c>
      <c r="J171" s="611">
        <v>8.1133049525470469</v>
      </c>
      <c r="K171" s="611">
        <v>0</v>
      </c>
      <c r="L171" s="611">
        <v>56.544852595880776</v>
      </c>
      <c r="M171" s="611">
        <v>0</v>
      </c>
      <c r="N171" s="611">
        <v>1140.3030303030305</v>
      </c>
      <c r="O171" s="611">
        <v>130.20616810165527</v>
      </c>
      <c r="P171" s="611">
        <v>11.146900070965362</v>
      </c>
      <c r="Q171" s="611">
        <v>7.9664341186397536</v>
      </c>
      <c r="R171" s="611">
        <v>3.7008210788065874</v>
      </c>
      <c r="S171" s="611">
        <v>7.539554687040062</v>
      </c>
      <c r="T171" s="611">
        <v>0</v>
      </c>
      <c r="U171" s="611">
        <v>0</v>
      </c>
      <c r="V171" s="611">
        <v>0.58332819125492874</v>
      </c>
      <c r="W171" s="611">
        <v>-555.63067239728423</v>
      </c>
      <c r="X171" s="611">
        <v>0</v>
      </c>
      <c r="Y171" s="611">
        <v>0</v>
      </c>
      <c r="Z171" s="619">
        <v>820.06508160433202</v>
      </c>
      <c r="AA171" s="51"/>
    </row>
    <row r="172" spans="6:27" x14ac:dyDescent="0.25">
      <c r="F172" s="51"/>
      <c r="G172" s="618" t="s">
        <v>348</v>
      </c>
      <c r="H172" s="611">
        <v>0.67844189975224567</v>
      </c>
      <c r="I172" s="611">
        <v>0</v>
      </c>
      <c r="J172" s="611">
        <v>2.658988310925126</v>
      </c>
      <c r="K172" s="611">
        <v>0</v>
      </c>
      <c r="L172" s="611">
        <v>19.429894179428665</v>
      </c>
      <c r="M172" s="611">
        <v>0</v>
      </c>
      <c r="N172" s="611">
        <v>0</v>
      </c>
      <c r="O172" s="611">
        <v>0</v>
      </c>
      <c r="P172" s="611">
        <v>18.808573921863989</v>
      </c>
      <c r="Q172" s="611">
        <v>10.482739098537605</v>
      </c>
      <c r="R172" s="611">
        <v>0</v>
      </c>
      <c r="S172" s="611">
        <v>2.9558578730887866</v>
      </c>
      <c r="T172" s="611">
        <v>0.86686954380835257</v>
      </c>
      <c r="U172" s="611">
        <v>0.38491993273655017</v>
      </c>
      <c r="V172" s="611">
        <v>3.3768189784020444</v>
      </c>
      <c r="W172" s="611">
        <v>0</v>
      </c>
      <c r="X172" s="611">
        <v>-51.828891247443657</v>
      </c>
      <c r="Y172" s="611">
        <v>0</v>
      </c>
      <c r="Z172" s="619">
        <v>7.8142124910997097</v>
      </c>
      <c r="AA172" s="51"/>
    </row>
    <row r="173" spans="6:27" x14ac:dyDescent="0.25">
      <c r="F173" s="51"/>
      <c r="G173" s="618" t="s">
        <v>349</v>
      </c>
      <c r="H173" s="611">
        <v>0</v>
      </c>
      <c r="I173" s="611">
        <v>0</v>
      </c>
      <c r="J173" s="611">
        <v>0</v>
      </c>
      <c r="K173" s="611">
        <v>0</v>
      </c>
      <c r="L173" s="611">
        <v>0</v>
      </c>
      <c r="M173" s="611">
        <v>0</v>
      </c>
      <c r="N173" s="611">
        <v>0</v>
      </c>
      <c r="O173" s="611">
        <v>0</v>
      </c>
      <c r="P173" s="611">
        <v>32.511400855810329</v>
      </c>
      <c r="Q173" s="611">
        <v>7.330340261763121</v>
      </c>
      <c r="R173" s="611">
        <v>0</v>
      </c>
      <c r="S173" s="611">
        <v>-19.920870558786724</v>
      </c>
      <c r="T173" s="611">
        <v>0</v>
      </c>
      <c r="U173" s="611">
        <v>0</v>
      </c>
      <c r="V173" s="611">
        <v>0</v>
      </c>
      <c r="W173" s="611">
        <v>0</v>
      </c>
      <c r="X173" s="611">
        <v>0</v>
      </c>
      <c r="Y173" s="611">
        <v>0</v>
      </c>
      <c r="Z173" s="619">
        <v>19.920870558786724</v>
      </c>
      <c r="AA173" s="51"/>
    </row>
    <row r="174" spans="6:27" x14ac:dyDescent="0.25">
      <c r="F174" s="51"/>
      <c r="G174" s="618" t="s">
        <v>350</v>
      </c>
      <c r="H174" s="611">
        <v>0</v>
      </c>
      <c r="I174" s="611">
        <v>0</v>
      </c>
      <c r="J174" s="611">
        <v>0</v>
      </c>
      <c r="K174" s="611">
        <v>0</v>
      </c>
      <c r="L174" s="611">
        <v>0</v>
      </c>
      <c r="M174" s="611">
        <v>0</v>
      </c>
      <c r="N174" s="611">
        <v>0</v>
      </c>
      <c r="O174" s="611">
        <v>0</v>
      </c>
      <c r="P174" s="611">
        <v>0</v>
      </c>
      <c r="Q174" s="611">
        <v>0</v>
      </c>
      <c r="R174" s="611">
        <v>0</v>
      </c>
      <c r="S174" s="611">
        <v>0</v>
      </c>
      <c r="T174" s="611">
        <v>0</v>
      </c>
      <c r="U174" s="611">
        <v>0</v>
      </c>
      <c r="V174" s="611">
        <v>0</v>
      </c>
      <c r="W174" s="611">
        <v>0</v>
      </c>
      <c r="X174" s="611">
        <v>0</v>
      </c>
      <c r="Y174" s="611">
        <v>0</v>
      </c>
      <c r="Z174" s="619">
        <v>0</v>
      </c>
      <c r="AA174" s="51"/>
    </row>
    <row r="175" spans="6:27" x14ac:dyDescent="0.25">
      <c r="F175" s="51"/>
      <c r="G175" s="618" t="s">
        <v>72</v>
      </c>
      <c r="H175" s="611">
        <v>0</v>
      </c>
      <c r="I175" s="611">
        <v>478.25354833804903</v>
      </c>
      <c r="J175" s="611">
        <v>-473.49866967284896</v>
      </c>
      <c r="K175" s="611">
        <v>0</v>
      </c>
      <c r="L175" s="611">
        <v>0</v>
      </c>
      <c r="M175" s="611">
        <v>0</v>
      </c>
      <c r="N175" s="611">
        <v>0</v>
      </c>
      <c r="O175" s="611">
        <v>0</v>
      </c>
      <c r="P175" s="611">
        <v>0</v>
      </c>
      <c r="Q175" s="611">
        <v>0</v>
      </c>
      <c r="R175" s="611">
        <v>0</v>
      </c>
      <c r="S175" s="611">
        <v>0</v>
      </c>
      <c r="T175" s="611">
        <v>0</v>
      </c>
      <c r="U175" s="611">
        <v>0</v>
      </c>
      <c r="V175" s="611">
        <v>0</v>
      </c>
      <c r="W175" s="611">
        <v>0</v>
      </c>
      <c r="X175" s="611">
        <v>0</v>
      </c>
      <c r="Y175" s="611">
        <v>0</v>
      </c>
      <c r="Z175" s="619">
        <v>4.7548786652000672</v>
      </c>
      <c r="AA175" s="51"/>
    </row>
    <row r="176" spans="6:27" x14ac:dyDescent="0.25">
      <c r="F176" s="51"/>
      <c r="G176" s="618" t="s">
        <v>351</v>
      </c>
      <c r="H176" s="611">
        <v>0</v>
      </c>
      <c r="I176" s="611">
        <v>0</v>
      </c>
      <c r="J176" s="611">
        <v>0</v>
      </c>
      <c r="K176" s="611">
        <v>0</v>
      </c>
      <c r="L176" s="611">
        <v>0</v>
      </c>
      <c r="M176" s="611">
        <v>0</v>
      </c>
      <c r="N176" s="611">
        <v>0</v>
      </c>
      <c r="O176" s="611">
        <v>0</v>
      </c>
      <c r="P176" s="611">
        <v>58.184329601780206</v>
      </c>
      <c r="Q176" s="611">
        <v>7.2727272727272725</v>
      </c>
      <c r="R176" s="611">
        <v>-38.183199462797297</v>
      </c>
      <c r="S176" s="611">
        <v>0</v>
      </c>
      <c r="T176" s="611">
        <v>0</v>
      </c>
      <c r="U176" s="611">
        <v>0</v>
      </c>
      <c r="V176" s="611">
        <v>0</v>
      </c>
      <c r="W176" s="611">
        <v>0</v>
      </c>
      <c r="X176" s="611">
        <v>0</v>
      </c>
      <c r="Y176" s="611">
        <v>0</v>
      </c>
      <c r="Z176" s="619">
        <v>27.273857411710175</v>
      </c>
      <c r="AA176" s="51"/>
    </row>
    <row r="177" spans="6:27" x14ac:dyDescent="0.25">
      <c r="F177" s="51"/>
      <c r="G177" s="618" t="s">
        <v>352</v>
      </c>
      <c r="H177" s="611">
        <v>0</v>
      </c>
      <c r="I177" s="611">
        <v>0</v>
      </c>
      <c r="J177" s="611">
        <v>0</v>
      </c>
      <c r="K177" s="611">
        <v>0</v>
      </c>
      <c r="L177" s="611">
        <v>0</v>
      </c>
      <c r="M177" s="611">
        <v>0</v>
      </c>
      <c r="N177" s="611">
        <v>0</v>
      </c>
      <c r="O177" s="611">
        <v>0</v>
      </c>
      <c r="P177" s="611">
        <v>0</v>
      </c>
      <c r="Q177" s="611">
        <v>0</v>
      </c>
      <c r="R177" s="611">
        <v>0</v>
      </c>
      <c r="S177" s="611">
        <v>0</v>
      </c>
      <c r="T177" s="611">
        <v>0</v>
      </c>
      <c r="U177" s="611">
        <v>0</v>
      </c>
      <c r="V177" s="611">
        <v>0</v>
      </c>
      <c r="W177" s="611">
        <v>0</v>
      </c>
      <c r="X177" s="611">
        <v>0</v>
      </c>
      <c r="Y177" s="611">
        <v>0</v>
      </c>
      <c r="Z177" s="619">
        <v>0</v>
      </c>
      <c r="AA177" s="51"/>
    </row>
    <row r="178" spans="6:27" x14ac:dyDescent="0.25">
      <c r="F178" s="51"/>
      <c r="G178" s="618" t="s">
        <v>73</v>
      </c>
      <c r="H178" s="611">
        <v>0</v>
      </c>
      <c r="I178" s="611">
        <v>0</v>
      </c>
      <c r="J178" s="611">
        <v>0</v>
      </c>
      <c r="K178" s="611">
        <v>0</v>
      </c>
      <c r="L178" s="611">
        <v>0</v>
      </c>
      <c r="M178" s="611">
        <v>0</v>
      </c>
      <c r="N178" s="611">
        <v>0</v>
      </c>
      <c r="O178" s="611">
        <v>0</v>
      </c>
      <c r="P178" s="611">
        <v>0</v>
      </c>
      <c r="Q178" s="611">
        <v>0</v>
      </c>
      <c r="R178" s="611">
        <v>0</v>
      </c>
      <c r="S178" s="611">
        <v>0</v>
      </c>
      <c r="T178" s="611">
        <v>0</v>
      </c>
      <c r="U178" s="611">
        <v>0</v>
      </c>
      <c r="V178" s="611">
        <v>0</v>
      </c>
      <c r="W178" s="611">
        <v>0.6333169666013263</v>
      </c>
      <c r="X178" s="611">
        <v>0</v>
      </c>
      <c r="Y178" s="611">
        <v>-0.41165602829086212</v>
      </c>
      <c r="Z178" s="619">
        <v>0.22166093831046418</v>
      </c>
      <c r="AA178" s="51"/>
    </row>
    <row r="179" spans="6:27" x14ac:dyDescent="0.25">
      <c r="F179" s="51"/>
      <c r="G179" s="618" t="s">
        <v>353</v>
      </c>
      <c r="H179" s="611">
        <v>22.186039218749997</v>
      </c>
      <c r="I179" s="611">
        <v>-16.848187530076672</v>
      </c>
      <c r="J179" s="611">
        <v>22.099560730399304</v>
      </c>
      <c r="K179" s="611">
        <v>0</v>
      </c>
      <c r="L179" s="611">
        <v>0</v>
      </c>
      <c r="M179" s="611">
        <v>0</v>
      </c>
      <c r="N179" s="611">
        <v>0</v>
      </c>
      <c r="O179" s="611">
        <v>0</v>
      </c>
      <c r="P179" s="611">
        <v>0</v>
      </c>
      <c r="Q179" s="611">
        <v>0</v>
      </c>
      <c r="R179" s="611">
        <v>0</v>
      </c>
      <c r="S179" s="611">
        <v>0</v>
      </c>
      <c r="T179" s="611">
        <v>0</v>
      </c>
      <c r="U179" s="611">
        <v>0</v>
      </c>
      <c r="V179" s="611">
        <v>0</v>
      </c>
      <c r="W179" s="611">
        <v>0</v>
      </c>
      <c r="X179" s="611">
        <v>0</v>
      </c>
      <c r="Y179" s="611">
        <v>0</v>
      </c>
      <c r="Z179" s="619">
        <v>27.437412419072629</v>
      </c>
      <c r="AA179" s="51"/>
    </row>
    <row r="180" spans="6:27" x14ac:dyDescent="0.25">
      <c r="F180" s="51"/>
      <c r="G180" s="618" t="s">
        <v>75</v>
      </c>
      <c r="H180" s="611">
        <v>8.6279041406250006</v>
      </c>
      <c r="I180" s="611">
        <v>0</v>
      </c>
      <c r="J180" s="611">
        <v>16.515643139511226</v>
      </c>
      <c r="K180" s="611">
        <v>0</v>
      </c>
      <c r="L180" s="611">
        <v>4.2276573347989057</v>
      </c>
      <c r="M180" s="611">
        <v>0</v>
      </c>
      <c r="N180" s="611">
        <v>0</v>
      </c>
      <c r="O180" s="611">
        <v>0</v>
      </c>
      <c r="P180" s="611">
        <v>0</v>
      </c>
      <c r="Q180" s="611">
        <v>0</v>
      </c>
      <c r="R180" s="611">
        <v>0</v>
      </c>
      <c r="S180" s="611">
        <v>0.12549883030494347</v>
      </c>
      <c r="T180" s="611">
        <v>0</v>
      </c>
      <c r="U180" s="611">
        <v>0</v>
      </c>
      <c r="V180" s="611">
        <v>0</v>
      </c>
      <c r="W180" s="611">
        <v>33.231447681695045</v>
      </c>
      <c r="X180" s="611">
        <v>0</v>
      </c>
      <c r="Y180" s="611">
        <v>0.33333333333333331</v>
      </c>
      <c r="Z180" s="619">
        <v>63.061484460268453</v>
      </c>
      <c r="AA180" s="51"/>
    </row>
    <row r="181" spans="6:27" x14ac:dyDescent="0.25">
      <c r="F181" s="51"/>
      <c r="G181" s="618" t="s">
        <v>76</v>
      </c>
      <c r="H181" s="611">
        <v>0</v>
      </c>
      <c r="I181" s="611">
        <v>0</v>
      </c>
      <c r="J181" s="611">
        <v>0</v>
      </c>
      <c r="K181" s="611">
        <v>0</v>
      </c>
      <c r="L181" s="611">
        <v>4.4532768259942888</v>
      </c>
      <c r="M181" s="611">
        <v>0</v>
      </c>
      <c r="N181" s="611">
        <v>0</v>
      </c>
      <c r="O181" s="611">
        <v>0</v>
      </c>
      <c r="P181" s="611">
        <v>0</v>
      </c>
      <c r="Q181" s="611">
        <v>0</v>
      </c>
      <c r="R181" s="611">
        <v>0</v>
      </c>
      <c r="S181" s="611">
        <v>0.13219638878631548</v>
      </c>
      <c r="T181" s="611">
        <v>0</v>
      </c>
      <c r="U181" s="611">
        <v>0</v>
      </c>
      <c r="V181" s="611">
        <v>0</v>
      </c>
      <c r="W181" s="611">
        <v>39.294538086384733</v>
      </c>
      <c r="X181" s="611">
        <v>4.0190531050512117</v>
      </c>
      <c r="Y181" s="611">
        <v>0</v>
      </c>
      <c r="Z181" s="619">
        <v>47.899064406216553</v>
      </c>
      <c r="AA181" s="51"/>
    </row>
    <row r="182" spans="6:27" x14ac:dyDescent="0.25">
      <c r="F182" s="51"/>
      <c r="G182" s="614" t="s">
        <v>77</v>
      </c>
      <c r="H182" s="615">
        <v>41.083745160923534</v>
      </c>
      <c r="I182" s="615">
        <v>461.44898449864172</v>
      </c>
      <c r="J182" s="615">
        <v>-424.55094102566898</v>
      </c>
      <c r="K182" s="615">
        <v>0</v>
      </c>
      <c r="L182" s="615">
        <v>84.655680936102641</v>
      </c>
      <c r="M182" s="615">
        <v>0</v>
      </c>
      <c r="N182" s="615">
        <v>1140.3030303030305</v>
      </c>
      <c r="O182" s="615">
        <v>130.20616810165527</v>
      </c>
      <c r="P182" s="615">
        <v>120.65120445041988</v>
      </c>
      <c r="Q182" s="615">
        <v>33.052240751667753</v>
      </c>
      <c r="R182" s="615">
        <v>-34.482378383990707</v>
      </c>
      <c r="S182" s="615">
        <v>-9.1677627795666172</v>
      </c>
      <c r="T182" s="615">
        <v>0.86686954380835257</v>
      </c>
      <c r="U182" s="615">
        <v>0.38491993273655017</v>
      </c>
      <c r="V182" s="615">
        <v>3.960147169656973</v>
      </c>
      <c r="W182" s="615">
        <v>-482.27960640330252</v>
      </c>
      <c r="X182" s="615">
        <v>-47.809838142392444</v>
      </c>
      <c r="Y182" s="615">
        <v>-7.8322694957528805E-2</v>
      </c>
      <c r="Z182" s="615">
        <v>1018.2441414187642</v>
      </c>
      <c r="AA182" s="51"/>
    </row>
    <row r="183" spans="6:27" x14ac:dyDescent="0.25">
      <c r="F183" s="51"/>
      <c r="G183" s="616"/>
      <c r="H183" s="617"/>
      <c r="I183" s="617"/>
      <c r="J183" s="617"/>
      <c r="K183" s="617"/>
      <c r="L183" s="623"/>
      <c r="M183" s="617"/>
      <c r="N183" s="617"/>
      <c r="O183" s="617"/>
      <c r="P183" s="617"/>
      <c r="Q183" s="617"/>
      <c r="R183" s="617"/>
      <c r="S183" s="617"/>
      <c r="T183" s="617"/>
      <c r="U183" s="617"/>
      <c r="V183" s="617"/>
      <c r="W183" s="617"/>
      <c r="X183" s="617"/>
      <c r="Y183" s="617"/>
      <c r="Z183" s="617"/>
      <c r="AA183" s="51"/>
    </row>
    <row r="184" spans="6:27" x14ac:dyDescent="0.25">
      <c r="F184" s="51"/>
      <c r="G184" s="618" t="s">
        <v>78</v>
      </c>
      <c r="H184" s="611">
        <v>6.1742900390625</v>
      </c>
      <c r="I184" s="611">
        <v>0</v>
      </c>
      <c r="J184" s="611">
        <v>28.594443446449898</v>
      </c>
      <c r="K184" s="681">
        <v>0</v>
      </c>
      <c r="L184" s="611">
        <v>99.987618923412043</v>
      </c>
      <c r="M184" s="611">
        <v>0</v>
      </c>
      <c r="N184" s="611">
        <v>0</v>
      </c>
      <c r="O184" s="611">
        <v>0</v>
      </c>
      <c r="P184" s="611">
        <v>20.013743119160708</v>
      </c>
      <c r="Q184" s="611">
        <v>4.2427461177010644</v>
      </c>
      <c r="R184" s="611">
        <v>0.93084916373849025</v>
      </c>
      <c r="S184" s="611">
        <v>2.990254090280855</v>
      </c>
      <c r="T184" s="611">
        <v>0</v>
      </c>
      <c r="U184" s="611">
        <v>0</v>
      </c>
      <c r="V184" s="611">
        <v>4.5058902280570805E-4</v>
      </c>
      <c r="W184" s="611">
        <v>103.00128036008387</v>
      </c>
      <c r="X184" s="611">
        <v>17.635997064742035</v>
      </c>
      <c r="Y184" s="611">
        <v>0</v>
      </c>
      <c r="Z184" s="619">
        <v>283.57167291365425</v>
      </c>
      <c r="AA184" s="51"/>
    </row>
    <row r="185" spans="6:27" x14ac:dyDescent="0.25">
      <c r="F185" s="51"/>
      <c r="G185" s="618" t="s">
        <v>79</v>
      </c>
      <c r="H185" s="611">
        <v>0</v>
      </c>
      <c r="I185" s="611">
        <v>0</v>
      </c>
      <c r="J185" s="611">
        <v>450.58645617012593</v>
      </c>
      <c r="K185" s="681">
        <v>0</v>
      </c>
      <c r="L185" s="611">
        <v>3.5908114194330008</v>
      </c>
      <c r="M185" s="611">
        <v>0</v>
      </c>
      <c r="N185" s="611">
        <v>0</v>
      </c>
      <c r="O185" s="611">
        <v>0</v>
      </c>
      <c r="P185" s="611">
        <v>0</v>
      </c>
      <c r="Q185" s="611">
        <v>0</v>
      </c>
      <c r="R185" s="611">
        <v>36.211175075619899</v>
      </c>
      <c r="S185" s="611">
        <v>0.10659393543443622</v>
      </c>
      <c r="T185" s="611">
        <v>0</v>
      </c>
      <c r="U185" s="611">
        <v>0</v>
      </c>
      <c r="V185" s="611">
        <v>0</v>
      </c>
      <c r="W185" s="611">
        <v>13.447110558006974</v>
      </c>
      <c r="X185" s="611">
        <v>0</v>
      </c>
      <c r="Y185" s="611">
        <v>0</v>
      </c>
      <c r="Z185" s="619">
        <v>503.94214715862023</v>
      </c>
      <c r="AA185" s="51"/>
    </row>
    <row r="186" spans="6:27" x14ac:dyDescent="0.25">
      <c r="F186" s="51"/>
      <c r="G186" s="618" t="s">
        <v>80</v>
      </c>
      <c r="H186" s="611">
        <v>0</v>
      </c>
      <c r="I186" s="611">
        <v>0</v>
      </c>
      <c r="J186" s="611">
        <v>37.989040848618878</v>
      </c>
      <c r="K186" s="681">
        <v>0</v>
      </c>
      <c r="L186" s="611">
        <v>110.53870949254768</v>
      </c>
      <c r="M186" s="611">
        <v>0</v>
      </c>
      <c r="N186" s="611">
        <v>0</v>
      </c>
      <c r="O186" s="611">
        <v>0</v>
      </c>
      <c r="P186" s="611">
        <v>77.649161359941488</v>
      </c>
      <c r="Q186" s="611">
        <v>0</v>
      </c>
      <c r="R186" s="611">
        <v>0</v>
      </c>
      <c r="S186" s="611">
        <v>3.2813630921656869</v>
      </c>
      <c r="T186" s="611">
        <v>49.821924717249296</v>
      </c>
      <c r="U186" s="611">
        <v>0</v>
      </c>
      <c r="V186" s="611">
        <v>2.8618874630600963</v>
      </c>
      <c r="W186" s="611">
        <v>154.83297768687936</v>
      </c>
      <c r="X186" s="611">
        <v>16.208688156863516</v>
      </c>
      <c r="Y186" s="611">
        <v>0</v>
      </c>
      <c r="Z186" s="619">
        <v>453.18375281732602</v>
      </c>
      <c r="AA186" s="51"/>
    </row>
    <row r="187" spans="6:27" x14ac:dyDescent="0.25">
      <c r="F187" s="51"/>
      <c r="G187" s="618" t="s">
        <v>81</v>
      </c>
      <c r="H187" s="611">
        <v>0</v>
      </c>
      <c r="I187" s="611">
        <v>0</v>
      </c>
      <c r="J187" s="611">
        <v>24.438455541959776</v>
      </c>
      <c r="K187" s="681">
        <v>0</v>
      </c>
      <c r="L187" s="611">
        <v>66.269472745102405</v>
      </c>
      <c r="M187" s="611">
        <v>0</v>
      </c>
      <c r="N187" s="611">
        <v>0</v>
      </c>
      <c r="O187" s="611">
        <v>0</v>
      </c>
      <c r="P187" s="611">
        <v>0.36773887950875994</v>
      </c>
      <c r="Q187" s="611">
        <v>0</v>
      </c>
      <c r="R187" s="611">
        <v>0</v>
      </c>
      <c r="S187" s="611">
        <v>1.9672221885105263</v>
      </c>
      <c r="T187" s="611">
        <v>16.270424394273732</v>
      </c>
      <c r="U187" s="611">
        <v>0</v>
      </c>
      <c r="V187" s="611">
        <v>2.6256616796676382</v>
      </c>
      <c r="W187" s="611">
        <v>127.47303589741009</v>
      </c>
      <c r="X187" s="611">
        <v>13.96515292078689</v>
      </c>
      <c r="Y187" s="611">
        <v>0</v>
      </c>
      <c r="Z187" s="619">
        <v>253.37716424721984</v>
      </c>
      <c r="AA187" s="51"/>
    </row>
    <row r="188" spans="6:27" x14ac:dyDescent="0.25">
      <c r="F188" s="51"/>
      <c r="G188" s="618" t="s">
        <v>82</v>
      </c>
      <c r="H188" s="611">
        <v>0</v>
      </c>
      <c r="I188" s="611">
        <v>0</v>
      </c>
      <c r="J188" s="611">
        <v>36.976399437991013</v>
      </c>
      <c r="K188" s="681">
        <v>0</v>
      </c>
      <c r="L188" s="611">
        <v>2.5696285094610212</v>
      </c>
      <c r="M188" s="611">
        <v>0</v>
      </c>
      <c r="N188" s="611">
        <v>0</v>
      </c>
      <c r="O188" s="611">
        <v>0</v>
      </c>
      <c r="P188" s="611">
        <v>2.3925466209960313</v>
      </c>
      <c r="Q188" s="611">
        <v>0</v>
      </c>
      <c r="R188" s="611">
        <v>2.3864124631637864</v>
      </c>
      <c r="S188" s="611">
        <v>7.6279922121676155E-2</v>
      </c>
      <c r="T188" s="611">
        <v>0.15</v>
      </c>
      <c r="U188" s="611">
        <v>0</v>
      </c>
      <c r="V188" s="611">
        <v>0.25485200979833694</v>
      </c>
      <c r="W188" s="611">
        <v>8.3953936629447945</v>
      </c>
      <c r="X188" s="611">
        <v>0</v>
      </c>
      <c r="Y188" s="611">
        <v>7.2251431107793529E-2</v>
      </c>
      <c r="Z188" s="619">
        <v>53.273764057584451</v>
      </c>
      <c r="AA188" s="51"/>
    </row>
    <row r="189" spans="6:27" x14ac:dyDescent="0.25">
      <c r="F189" s="51"/>
      <c r="G189" s="618" t="s">
        <v>354</v>
      </c>
      <c r="H189" s="611">
        <v>0</v>
      </c>
      <c r="I189" s="611">
        <v>0</v>
      </c>
      <c r="J189" s="611">
        <v>0</v>
      </c>
      <c r="K189" s="611">
        <v>0</v>
      </c>
      <c r="L189" s="611">
        <v>0</v>
      </c>
      <c r="M189" s="611">
        <v>0</v>
      </c>
      <c r="N189" s="611">
        <v>0</v>
      </c>
      <c r="O189" s="611">
        <v>0</v>
      </c>
      <c r="P189" s="611">
        <v>0</v>
      </c>
      <c r="Q189" s="611">
        <v>0</v>
      </c>
      <c r="R189" s="611">
        <v>0</v>
      </c>
      <c r="S189" s="611">
        <v>0</v>
      </c>
      <c r="T189" s="611">
        <v>0</v>
      </c>
      <c r="U189" s="611">
        <v>0</v>
      </c>
      <c r="V189" s="611">
        <v>0</v>
      </c>
      <c r="W189" s="611">
        <v>0</v>
      </c>
      <c r="X189" s="611">
        <v>0</v>
      </c>
      <c r="Y189" s="611">
        <v>0</v>
      </c>
      <c r="Z189" s="619">
        <v>0</v>
      </c>
      <c r="AA189" s="51"/>
    </row>
    <row r="190" spans="6:27" x14ac:dyDescent="0.25">
      <c r="F190" s="51"/>
      <c r="G190" s="614" t="s">
        <v>83</v>
      </c>
      <c r="H190" s="615">
        <v>6.1742900390625</v>
      </c>
      <c r="I190" s="615">
        <v>0</v>
      </c>
      <c r="J190" s="615">
        <v>578.58479544514557</v>
      </c>
      <c r="K190" s="615">
        <v>0</v>
      </c>
      <c r="L190" s="615">
        <v>282.95624108995617</v>
      </c>
      <c r="M190" s="615">
        <v>0</v>
      </c>
      <c r="N190" s="615">
        <v>0</v>
      </c>
      <c r="O190" s="615">
        <v>0</v>
      </c>
      <c r="P190" s="615">
        <v>100.42318997960699</v>
      </c>
      <c r="Q190" s="615">
        <v>4.2427461177010644</v>
      </c>
      <c r="R190" s="615">
        <v>39.528436702522178</v>
      </c>
      <c r="S190" s="615">
        <v>8.4217132285131804</v>
      </c>
      <c r="T190" s="615">
        <v>66.242349111523026</v>
      </c>
      <c r="U190" s="615">
        <v>0</v>
      </c>
      <c r="V190" s="615">
        <v>5.7428517415488773</v>
      </c>
      <c r="W190" s="615">
        <v>407.14979816532514</v>
      </c>
      <c r="X190" s="615">
        <v>47.809838142392444</v>
      </c>
      <c r="Y190" s="615">
        <v>7.2251431107793529E-2</v>
      </c>
      <c r="Z190" s="615">
        <v>1547.3485011944047</v>
      </c>
      <c r="AA190" s="51"/>
    </row>
    <row r="191" spans="6:27" x14ac:dyDescent="0.25">
      <c r="F191" s="51"/>
      <c r="G191" s="610" t="s">
        <v>84</v>
      </c>
      <c r="H191" s="611">
        <v>0</v>
      </c>
      <c r="I191" s="611">
        <v>0</v>
      </c>
      <c r="J191" s="611">
        <v>105.53728853532679</v>
      </c>
      <c r="K191" s="611">
        <v>0</v>
      </c>
      <c r="L191" s="611">
        <v>10.495531750000001</v>
      </c>
      <c r="M191" s="611">
        <v>0</v>
      </c>
      <c r="N191" s="611">
        <v>0</v>
      </c>
      <c r="O191" s="611">
        <v>0</v>
      </c>
      <c r="P191" s="611">
        <v>2.2226111322227553E-2</v>
      </c>
      <c r="Q191" s="611">
        <v>0</v>
      </c>
      <c r="R191" s="611">
        <v>4.3883783584696544E-2</v>
      </c>
      <c r="S191" s="611">
        <v>0</v>
      </c>
      <c r="T191" s="611">
        <v>0</v>
      </c>
      <c r="U191" s="611">
        <v>0</v>
      </c>
      <c r="V191" s="611">
        <v>0</v>
      </c>
      <c r="W191" s="611">
        <v>0</v>
      </c>
      <c r="X191" s="611">
        <v>0</v>
      </c>
      <c r="Y191" s="611">
        <v>6.0712638497352599E-3</v>
      </c>
      <c r="Z191" s="619">
        <v>116.10500144408344</v>
      </c>
      <c r="AA191" s="51"/>
    </row>
    <row r="192" spans="6:27" x14ac:dyDescent="0.25">
      <c r="F192" s="51"/>
      <c r="G192" s="614" t="s">
        <v>85</v>
      </c>
      <c r="H192" s="615">
        <v>6.1742900390625</v>
      </c>
      <c r="I192" s="615">
        <v>0</v>
      </c>
      <c r="J192" s="615">
        <v>684.12208398047233</v>
      </c>
      <c r="K192" s="615">
        <v>0</v>
      </c>
      <c r="L192" s="615">
        <v>293.45177283995616</v>
      </c>
      <c r="M192" s="615">
        <v>0</v>
      </c>
      <c r="N192" s="615">
        <v>0</v>
      </c>
      <c r="O192" s="615">
        <v>0</v>
      </c>
      <c r="P192" s="615">
        <v>100.44541609092921</v>
      </c>
      <c r="Q192" s="615">
        <v>4.2427461177010644</v>
      </c>
      <c r="R192" s="615">
        <v>39.572320486106875</v>
      </c>
      <c r="S192" s="615">
        <v>8.4217132285131804</v>
      </c>
      <c r="T192" s="615">
        <v>66.242349111523026</v>
      </c>
      <c r="U192" s="615">
        <v>0</v>
      </c>
      <c r="V192" s="615">
        <v>5.7428517415488773</v>
      </c>
      <c r="W192" s="615">
        <v>407.14979816532514</v>
      </c>
      <c r="X192" s="615">
        <v>47.809838142392444</v>
      </c>
      <c r="Y192" s="615">
        <v>7.8322694957528791E-2</v>
      </c>
      <c r="Z192" s="615">
        <v>1663.4535026384881</v>
      </c>
      <c r="AA192" s="51"/>
    </row>
    <row r="193" spans="6:27" x14ac:dyDescent="0.25">
      <c r="F193" s="51"/>
      <c r="G193" s="51"/>
      <c r="H193" s="67">
        <v>0</v>
      </c>
      <c r="I193" s="67">
        <v>4.2905679322302603E-5</v>
      </c>
      <c r="J193" s="67">
        <v>-3.876666666667461E-2</v>
      </c>
      <c r="K193" s="67">
        <v>0</v>
      </c>
      <c r="L193" s="67">
        <v>0</v>
      </c>
      <c r="M193" s="67">
        <v>0</v>
      </c>
      <c r="N193" s="67">
        <v>0</v>
      </c>
      <c r="O193" s="67">
        <v>0</v>
      </c>
      <c r="P193" s="67">
        <v>0</v>
      </c>
      <c r="Q193" s="67">
        <v>-1.0072131549954122E-2</v>
      </c>
      <c r="R193" s="67">
        <v>0</v>
      </c>
      <c r="S193" s="67">
        <v>-8.2163466352781711E-2</v>
      </c>
      <c r="T193" s="67">
        <v>0</v>
      </c>
      <c r="U193" s="67">
        <v>0</v>
      </c>
      <c r="V193" s="67">
        <v>0</v>
      </c>
      <c r="W193" s="67">
        <v>0</v>
      </c>
      <c r="X193" s="67">
        <v>0</v>
      </c>
      <c r="Y193" s="67">
        <v>-1.3877787807814457E-17</v>
      </c>
      <c r="Z193" s="67">
        <v>-0.13095935889032262</v>
      </c>
      <c r="AA193" s="51"/>
    </row>
    <row r="194" spans="6:27" x14ac:dyDescent="0.25">
      <c r="F194" s="51"/>
      <c r="G194" s="51"/>
      <c r="H194" s="51"/>
      <c r="I194" s="51"/>
      <c r="J194" s="51"/>
      <c r="K194" s="51"/>
      <c r="L194" s="51"/>
      <c r="M194" s="51"/>
      <c r="N194" s="51"/>
      <c r="O194" s="51"/>
      <c r="P194" s="51"/>
      <c r="Q194" s="51"/>
      <c r="R194" s="51"/>
      <c r="S194" s="51"/>
      <c r="T194" s="51"/>
      <c r="U194" s="51"/>
      <c r="V194" s="51"/>
      <c r="W194" s="51"/>
      <c r="X194" s="51"/>
      <c r="Y194" s="51"/>
      <c r="Z194" s="51"/>
      <c r="AA194" s="51"/>
    </row>
    <row r="195" spans="6:27" x14ac:dyDescent="0.25">
      <c r="F195" s="606"/>
      <c r="G195" s="607" t="s">
        <v>87</v>
      </c>
      <c r="H195" s="606"/>
      <c r="I195" s="606"/>
      <c r="J195" s="606"/>
      <c r="K195" s="606"/>
      <c r="L195" s="606"/>
      <c r="M195" s="606"/>
      <c r="N195" s="606"/>
      <c r="O195" s="606"/>
      <c r="P195" s="606"/>
      <c r="Q195" s="606"/>
      <c r="R195" s="606"/>
      <c r="S195" s="606"/>
      <c r="T195" s="606"/>
      <c r="U195" s="606"/>
      <c r="V195" s="606"/>
      <c r="W195" s="606"/>
      <c r="X195" s="606"/>
      <c r="Y195" s="606"/>
      <c r="Z195" s="606"/>
      <c r="AA195" s="606"/>
    </row>
    <row r="196" spans="6:27" x14ac:dyDescent="0.25">
      <c r="F196" s="51"/>
      <c r="G196" s="51"/>
      <c r="H196" s="51"/>
      <c r="I196" s="51"/>
      <c r="J196" s="51"/>
      <c r="K196" s="51"/>
      <c r="L196" s="51"/>
      <c r="M196" s="51"/>
      <c r="N196" s="51"/>
      <c r="O196" s="51"/>
      <c r="P196" s="51"/>
      <c r="Q196" s="51"/>
      <c r="R196" s="51"/>
      <c r="S196" s="51"/>
      <c r="T196" s="51"/>
      <c r="U196" s="51"/>
      <c r="V196" s="51"/>
      <c r="W196" s="51"/>
      <c r="X196" s="51"/>
      <c r="Y196" s="51"/>
      <c r="Z196" s="51"/>
      <c r="AA196" s="51"/>
    </row>
    <row r="197" spans="6:27" x14ac:dyDescent="0.25">
      <c r="F197" s="51"/>
      <c r="G197" s="764" t="s">
        <v>128</v>
      </c>
      <c r="H197" s="753" t="s">
        <v>42</v>
      </c>
      <c r="I197" s="753" t="s">
        <v>52</v>
      </c>
      <c r="J197" s="753" t="s">
        <v>53</v>
      </c>
      <c r="K197" s="753" t="s">
        <v>482</v>
      </c>
      <c r="L197" s="753" t="s">
        <v>32</v>
      </c>
      <c r="M197" s="753" t="s">
        <v>483</v>
      </c>
      <c r="N197" s="753" t="s">
        <v>20</v>
      </c>
      <c r="O197" s="753" t="s">
        <v>55</v>
      </c>
      <c r="P197" s="761" t="s">
        <v>56</v>
      </c>
      <c r="Q197" s="762"/>
      <c r="R197" s="762"/>
      <c r="S197" s="762"/>
      <c r="T197" s="762"/>
      <c r="U197" s="762"/>
      <c r="V197" s="763"/>
      <c r="W197" s="753" t="s">
        <v>57</v>
      </c>
      <c r="X197" s="753" t="s">
        <v>58</v>
      </c>
      <c r="Y197" s="753" t="s">
        <v>31</v>
      </c>
      <c r="Z197" s="753" t="s">
        <v>10</v>
      </c>
      <c r="AA197" s="51"/>
    </row>
    <row r="198" spans="6:27" ht="36" x14ac:dyDescent="0.25">
      <c r="F198" s="51"/>
      <c r="G198" s="765"/>
      <c r="H198" s="754"/>
      <c r="I198" s="754"/>
      <c r="J198" s="754"/>
      <c r="K198" s="754"/>
      <c r="L198" s="754"/>
      <c r="M198" s="754"/>
      <c r="N198" s="754"/>
      <c r="O198" s="754"/>
      <c r="P198" s="608" t="s">
        <v>335</v>
      </c>
      <c r="Q198" s="608" t="s">
        <v>40</v>
      </c>
      <c r="R198" s="608" t="s">
        <v>343</v>
      </c>
      <c r="S198" s="608" t="s">
        <v>344</v>
      </c>
      <c r="T198" s="609" t="s">
        <v>345</v>
      </c>
      <c r="U198" s="609" t="s">
        <v>609</v>
      </c>
      <c r="V198" s="608" t="s">
        <v>346</v>
      </c>
      <c r="W198" s="754"/>
      <c r="X198" s="754"/>
      <c r="Y198" s="754"/>
      <c r="Z198" s="754"/>
      <c r="AA198" s="51"/>
    </row>
    <row r="199" spans="6:27" x14ac:dyDescent="0.25">
      <c r="F199" s="51"/>
      <c r="G199" s="610" t="s">
        <v>59</v>
      </c>
      <c r="H199" s="611">
        <v>0</v>
      </c>
      <c r="I199" s="611">
        <v>9.5366</v>
      </c>
      <c r="J199" s="611">
        <v>0</v>
      </c>
      <c r="K199" s="611">
        <v>0</v>
      </c>
      <c r="L199" s="611">
        <v>0.19771000000000002</v>
      </c>
      <c r="M199" s="611">
        <v>0</v>
      </c>
      <c r="N199" s="612">
        <v>1181.6974545454545</v>
      </c>
      <c r="O199" s="612">
        <v>152.67647201623672</v>
      </c>
      <c r="P199" s="611">
        <v>240.45551837402905</v>
      </c>
      <c r="Q199" s="612">
        <v>40.848850213190957</v>
      </c>
      <c r="R199" s="611">
        <v>0</v>
      </c>
      <c r="S199" s="611">
        <v>0</v>
      </c>
      <c r="T199" s="612">
        <v>81.719012978435387</v>
      </c>
      <c r="U199" s="612">
        <v>2.5535352020693955</v>
      </c>
      <c r="V199" s="612">
        <v>13.904545403817705</v>
      </c>
      <c r="W199" s="611">
        <v>0</v>
      </c>
      <c r="X199" s="611">
        <v>0</v>
      </c>
      <c r="Y199" s="611">
        <v>0</v>
      </c>
      <c r="Z199" s="613">
        <v>1723.5896987332337</v>
      </c>
      <c r="AA199" s="51"/>
    </row>
    <row r="200" spans="6:27" x14ac:dyDescent="0.25">
      <c r="F200" s="51"/>
      <c r="G200" s="610" t="s">
        <v>60</v>
      </c>
      <c r="H200" s="611">
        <v>46.39845744407102</v>
      </c>
      <c r="I200" s="611">
        <v>474.83289369848728</v>
      </c>
      <c r="J200" s="611">
        <v>270.74194246183629</v>
      </c>
      <c r="K200" s="611">
        <v>0</v>
      </c>
      <c r="L200" s="620">
        <v>368.94829767408402</v>
      </c>
      <c r="M200" s="611">
        <v>0</v>
      </c>
      <c r="N200" s="611">
        <v>0</v>
      </c>
      <c r="O200" s="611">
        <v>0</v>
      </c>
      <c r="P200" s="611">
        <v>0</v>
      </c>
      <c r="Q200" s="611">
        <v>0</v>
      </c>
      <c r="R200" s="611">
        <v>7.0928336129737843</v>
      </c>
      <c r="S200" s="611">
        <v>0.66678198444484238</v>
      </c>
      <c r="T200" s="611">
        <v>0</v>
      </c>
      <c r="U200" s="611">
        <v>0</v>
      </c>
      <c r="V200" s="611">
        <v>0</v>
      </c>
      <c r="W200" s="611">
        <v>0</v>
      </c>
      <c r="X200" s="611">
        <v>0</v>
      </c>
      <c r="Y200" s="611">
        <v>0</v>
      </c>
      <c r="Z200" s="613">
        <v>1168.6812068758975</v>
      </c>
      <c r="AA200" s="51"/>
    </row>
    <row r="201" spans="6:27" x14ac:dyDescent="0.25">
      <c r="F201" s="51"/>
      <c r="G201" s="610" t="s">
        <v>61</v>
      </c>
      <c r="H201" s="611">
        <v>0</v>
      </c>
      <c r="I201" s="611">
        <v>0</v>
      </c>
      <c r="J201" s="611">
        <v>0</v>
      </c>
      <c r="K201" s="611">
        <v>0</v>
      </c>
      <c r="L201" s="611">
        <v>0</v>
      </c>
      <c r="M201" s="611">
        <v>0</v>
      </c>
      <c r="N201" s="611">
        <v>0</v>
      </c>
      <c r="O201" s="611">
        <v>0</v>
      </c>
      <c r="P201" s="611">
        <v>-0.66130930084236184</v>
      </c>
      <c r="Q201" s="611">
        <v>0</v>
      </c>
      <c r="R201" s="611">
        <v>0</v>
      </c>
      <c r="S201" s="611">
        <v>0</v>
      </c>
      <c r="T201" s="611">
        <v>0</v>
      </c>
      <c r="U201" s="611">
        <v>0</v>
      </c>
      <c r="V201" s="611">
        <v>0</v>
      </c>
      <c r="W201" s="611">
        <v>-86.192023090421856</v>
      </c>
      <c r="X201" s="611">
        <v>0</v>
      </c>
      <c r="Y201" s="611">
        <v>0</v>
      </c>
      <c r="Z201" s="613">
        <v>-86.853332391264217</v>
      </c>
      <c r="AA201" s="51"/>
    </row>
    <row r="202" spans="6:27" x14ac:dyDescent="0.25">
      <c r="F202" s="51"/>
      <c r="G202" s="610" t="s">
        <v>62</v>
      </c>
      <c r="H202" s="611">
        <v>0</v>
      </c>
      <c r="I202" s="611">
        <v>0</v>
      </c>
      <c r="J202" s="611">
        <v>-10.653162793901119</v>
      </c>
      <c r="K202" s="611">
        <v>0</v>
      </c>
      <c r="L202" s="611">
        <v>-1.6855739087490105</v>
      </c>
      <c r="M202" s="611">
        <v>0</v>
      </c>
      <c r="N202" s="611">
        <v>0</v>
      </c>
      <c r="O202" s="611">
        <v>0</v>
      </c>
      <c r="P202" s="611">
        <v>0</v>
      </c>
      <c r="Q202" s="611">
        <v>0</v>
      </c>
      <c r="R202" s="611">
        <v>0</v>
      </c>
      <c r="S202" s="611">
        <v>-0.18728598986100117</v>
      </c>
      <c r="T202" s="611">
        <v>0</v>
      </c>
      <c r="U202" s="611">
        <v>0</v>
      </c>
      <c r="V202" s="611">
        <v>0</v>
      </c>
      <c r="W202" s="611">
        <v>0</v>
      </c>
      <c r="X202" s="611">
        <v>0</v>
      </c>
      <c r="Y202" s="611">
        <v>0</v>
      </c>
      <c r="Z202" s="613">
        <v>-12.52602269251113</v>
      </c>
      <c r="AA202" s="51"/>
    </row>
    <row r="203" spans="6:27" x14ac:dyDescent="0.25">
      <c r="F203" s="51"/>
      <c r="G203" s="610" t="s">
        <v>63</v>
      </c>
      <c r="H203" s="611">
        <v>0</v>
      </c>
      <c r="I203" s="611">
        <v>0</v>
      </c>
      <c r="J203" s="611">
        <v>-70</v>
      </c>
      <c r="K203" s="611">
        <v>0</v>
      </c>
      <c r="L203" s="611">
        <v>0</v>
      </c>
      <c r="M203" s="611">
        <v>0</v>
      </c>
      <c r="N203" s="611">
        <v>0</v>
      </c>
      <c r="O203" s="611">
        <v>0</v>
      </c>
      <c r="P203" s="611">
        <v>0</v>
      </c>
      <c r="Q203" s="611">
        <v>0</v>
      </c>
      <c r="R203" s="611">
        <v>-1</v>
      </c>
      <c r="S203" s="611">
        <v>0</v>
      </c>
      <c r="T203" s="611">
        <v>0</v>
      </c>
      <c r="U203" s="611">
        <v>0</v>
      </c>
      <c r="V203" s="611">
        <v>0</v>
      </c>
      <c r="W203" s="611">
        <v>0</v>
      </c>
      <c r="X203" s="611">
        <v>0</v>
      </c>
      <c r="Y203" s="611">
        <v>0</v>
      </c>
      <c r="Z203" s="613">
        <v>-71</v>
      </c>
      <c r="AA203" s="51"/>
    </row>
    <row r="204" spans="6:27" x14ac:dyDescent="0.25">
      <c r="F204" s="51"/>
      <c r="G204" s="610" t="s">
        <v>64</v>
      </c>
      <c r="H204" s="611">
        <v>0</v>
      </c>
      <c r="I204" s="611">
        <v>0</v>
      </c>
      <c r="J204" s="611">
        <v>0</v>
      </c>
      <c r="K204" s="611">
        <v>0</v>
      </c>
      <c r="L204" s="611">
        <v>0</v>
      </c>
      <c r="M204" s="611">
        <v>0</v>
      </c>
      <c r="N204" s="611">
        <v>0</v>
      </c>
      <c r="O204" s="611">
        <v>0</v>
      </c>
      <c r="P204" s="611">
        <v>0</v>
      </c>
      <c r="Q204" s="611">
        <v>0</v>
      </c>
      <c r="R204" s="611">
        <v>0</v>
      </c>
      <c r="S204" s="611">
        <v>0</v>
      </c>
      <c r="T204" s="611">
        <v>0</v>
      </c>
      <c r="U204" s="611">
        <v>0</v>
      </c>
      <c r="V204" s="611">
        <v>0</v>
      </c>
      <c r="W204" s="611">
        <v>0</v>
      </c>
      <c r="X204" s="611">
        <v>0</v>
      </c>
      <c r="Y204" s="611">
        <v>0</v>
      </c>
      <c r="Z204" s="613">
        <v>0</v>
      </c>
      <c r="AA204" s="51"/>
    </row>
    <row r="205" spans="6:27" x14ac:dyDescent="0.25">
      <c r="F205" s="51"/>
      <c r="G205" s="614" t="s">
        <v>65</v>
      </c>
      <c r="H205" s="615">
        <v>46.39845744407102</v>
      </c>
      <c r="I205" s="615">
        <v>484.3694936984873</v>
      </c>
      <c r="J205" s="615">
        <v>190.08877966793517</v>
      </c>
      <c r="K205" s="615">
        <v>0</v>
      </c>
      <c r="L205" s="615">
        <v>367.46043376533498</v>
      </c>
      <c r="M205" s="615">
        <v>0</v>
      </c>
      <c r="N205" s="615">
        <v>1181.6974545454545</v>
      </c>
      <c r="O205" s="615">
        <v>152.67647201623672</v>
      </c>
      <c r="P205" s="615">
        <v>239.79420907318669</v>
      </c>
      <c r="Q205" s="615">
        <v>40.848850213190957</v>
      </c>
      <c r="R205" s="615">
        <v>6.0928336129737843</v>
      </c>
      <c r="S205" s="615">
        <v>0.47949599458384118</v>
      </c>
      <c r="T205" s="615">
        <v>81.719012978435387</v>
      </c>
      <c r="U205" s="615">
        <v>2.5535352020693955</v>
      </c>
      <c r="V205" s="615">
        <v>13.904545403817705</v>
      </c>
      <c r="W205" s="615">
        <v>-86.192023090421856</v>
      </c>
      <c r="X205" s="615">
        <v>0</v>
      </c>
      <c r="Y205" s="615">
        <v>0</v>
      </c>
      <c r="Z205" s="615">
        <v>2721.8915505253558</v>
      </c>
      <c r="AA205" s="51"/>
    </row>
    <row r="206" spans="6:27" x14ac:dyDescent="0.25">
      <c r="F206" s="51"/>
      <c r="G206" s="616"/>
      <c r="H206" s="617"/>
      <c r="I206" s="617"/>
      <c r="J206" s="617"/>
      <c r="K206" s="617"/>
      <c r="L206" s="617"/>
      <c r="M206" s="617"/>
      <c r="N206" s="617"/>
      <c r="O206" s="617"/>
      <c r="P206" s="617"/>
      <c r="Q206" s="617"/>
      <c r="R206" s="617"/>
      <c r="S206" s="617"/>
      <c r="T206" s="617"/>
      <c r="U206" s="617"/>
      <c r="V206" s="617"/>
      <c r="W206" s="617"/>
      <c r="X206" s="617"/>
      <c r="Y206" s="617"/>
      <c r="Z206" s="617"/>
      <c r="AA206" s="51"/>
    </row>
    <row r="207" spans="6:27" x14ac:dyDescent="0.25">
      <c r="F207" s="51"/>
      <c r="G207" s="618" t="s">
        <v>67</v>
      </c>
      <c r="H207" s="611">
        <v>0</v>
      </c>
      <c r="I207" s="611">
        <v>0</v>
      </c>
      <c r="J207" s="611">
        <v>0</v>
      </c>
      <c r="K207" s="611">
        <v>0</v>
      </c>
      <c r="L207" s="611">
        <v>0</v>
      </c>
      <c r="M207" s="611">
        <v>0</v>
      </c>
      <c r="N207" s="611">
        <v>0</v>
      </c>
      <c r="O207" s="611">
        <v>0</v>
      </c>
      <c r="P207" s="611">
        <v>0</v>
      </c>
      <c r="Q207" s="611">
        <v>0</v>
      </c>
      <c r="R207" s="611">
        <v>0</v>
      </c>
      <c r="S207" s="611">
        <v>0</v>
      </c>
      <c r="T207" s="611">
        <v>0</v>
      </c>
      <c r="U207" s="611">
        <v>0</v>
      </c>
      <c r="V207" s="611">
        <v>0</v>
      </c>
      <c r="W207" s="611">
        <v>0</v>
      </c>
      <c r="X207" s="611">
        <v>0</v>
      </c>
      <c r="Y207" s="611">
        <v>0</v>
      </c>
      <c r="Z207" s="619">
        <v>0</v>
      </c>
      <c r="AA207" s="51"/>
    </row>
    <row r="208" spans="6:27" x14ac:dyDescent="0.25">
      <c r="F208" s="51"/>
      <c r="G208" s="618" t="s">
        <v>347</v>
      </c>
      <c r="H208" s="611">
        <v>0</v>
      </c>
      <c r="I208" s="611">
        <v>0</v>
      </c>
      <c r="J208" s="611">
        <v>2.9245488391069152</v>
      </c>
      <c r="K208" s="611">
        <v>0</v>
      </c>
      <c r="L208" s="611">
        <v>56.866475004905659</v>
      </c>
      <c r="M208" s="611">
        <v>0</v>
      </c>
      <c r="N208" s="611">
        <v>1181.6974545454545</v>
      </c>
      <c r="O208" s="611">
        <v>152.67647201623672</v>
      </c>
      <c r="P208" s="611">
        <v>13.326474331194433</v>
      </c>
      <c r="Q208" s="611">
        <v>7.616750828340038</v>
      </c>
      <c r="R208" s="611">
        <v>5.5512316182098811</v>
      </c>
      <c r="S208" s="611">
        <v>8.2002577205628917</v>
      </c>
      <c r="T208" s="611">
        <v>0</v>
      </c>
      <c r="U208" s="611">
        <v>0</v>
      </c>
      <c r="V208" s="611">
        <v>0.31861460974897526</v>
      </c>
      <c r="W208" s="611">
        <v>-590.93772044979494</v>
      </c>
      <c r="X208" s="611">
        <v>0</v>
      </c>
      <c r="Y208" s="611">
        <v>0</v>
      </c>
      <c r="Z208" s="619">
        <v>838.24055906396495</v>
      </c>
      <c r="AA208" s="51"/>
    </row>
    <row r="209" spans="6:27" x14ac:dyDescent="0.25">
      <c r="F209" s="51"/>
      <c r="G209" s="618" t="s">
        <v>348</v>
      </c>
      <c r="H209" s="611">
        <v>0.30889396750851739</v>
      </c>
      <c r="I209" s="611">
        <v>0</v>
      </c>
      <c r="J209" s="611">
        <v>1.3037931857947018</v>
      </c>
      <c r="K209" s="611">
        <v>0</v>
      </c>
      <c r="L209" s="611">
        <v>19.006397060702763</v>
      </c>
      <c r="M209" s="611">
        <v>0</v>
      </c>
      <c r="N209" s="611">
        <v>0</v>
      </c>
      <c r="O209" s="611">
        <v>0</v>
      </c>
      <c r="P209" s="611">
        <v>19.963453378354124</v>
      </c>
      <c r="Q209" s="611">
        <v>11.85327321743026</v>
      </c>
      <c r="R209" s="611">
        <v>0</v>
      </c>
      <c r="S209" s="611">
        <v>3.1139937286877846</v>
      </c>
      <c r="T209" s="611">
        <v>0.37589922223460576</v>
      </c>
      <c r="U209" s="611">
        <v>2.5535352020693955</v>
      </c>
      <c r="V209" s="611">
        <v>6.057358935027354</v>
      </c>
      <c r="W209" s="611">
        <v>0</v>
      </c>
      <c r="X209" s="620">
        <v>-56.820162173543274</v>
      </c>
      <c r="Y209" s="611">
        <v>0</v>
      </c>
      <c r="Z209" s="619">
        <v>7.7164357242662405</v>
      </c>
      <c r="AA209" s="51"/>
    </row>
    <row r="210" spans="6:27" x14ac:dyDescent="0.25">
      <c r="F210" s="51"/>
      <c r="G210" s="618" t="s">
        <v>349</v>
      </c>
      <c r="H210" s="611">
        <v>0</v>
      </c>
      <c r="I210" s="611">
        <v>0</v>
      </c>
      <c r="J210" s="611">
        <v>0</v>
      </c>
      <c r="K210" s="611">
        <v>0</v>
      </c>
      <c r="L210" s="611">
        <v>0</v>
      </c>
      <c r="M210" s="611">
        <v>0</v>
      </c>
      <c r="N210" s="611">
        <v>0</v>
      </c>
      <c r="O210" s="611">
        <v>0</v>
      </c>
      <c r="P210" s="611">
        <v>42.951158190071588</v>
      </c>
      <c r="Q210" s="611">
        <v>7.9775918284298335</v>
      </c>
      <c r="R210" s="611">
        <v>0</v>
      </c>
      <c r="S210" s="611">
        <v>-25.540585507819397</v>
      </c>
      <c r="T210" s="611">
        <v>0</v>
      </c>
      <c r="U210" s="611">
        <v>0</v>
      </c>
      <c r="V210" s="611">
        <v>0</v>
      </c>
      <c r="W210" s="611">
        <v>0</v>
      </c>
      <c r="X210" s="611">
        <v>0</v>
      </c>
      <c r="Y210" s="611">
        <v>0</v>
      </c>
      <c r="Z210" s="619">
        <v>25.388164510682021</v>
      </c>
      <c r="AA210" s="51"/>
    </row>
    <row r="211" spans="6:27" x14ac:dyDescent="0.25">
      <c r="F211" s="51"/>
      <c r="G211" s="618" t="s">
        <v>350</v>
      </c>
      <c r="H211" s="611">
        <v>0</v>
      </c>
      <c r="I211" s="611">
        <v>0</v>
      </c>
      <c r="J211" s="611">
        <v>0</v>
      </c>
      <c r="K211" s="611">
        <v>0</v>
      </c>
      <c r="L211" s="611">
        <v>0</v>
      </c>
      <c r="M211" s="620">
        <v>0</v>
      </c>
      <c r="N211" s="611">
        <v>0</v>
      </c>
      <c r="O211" s="611">
        <v>0</v>
      </c>
      <c r="P211" s="611">
        <v>0</v>
      </c>
      <c r="Q211" s="611">
        <v>0</v>
      </c>
      <c r="R211" s="611">
        <v>0</v>
      </c>
      <c r="S211" s="611">
        <v>0</v>
      </c>
      <c r="T211" s="611">
        <v>0</v>
      </c>
      <c r="U211" s="611">
        <v>0</v>
      </c>
      <c r="V211" s="611">
        <v>0</v>
      </c>
      <c r="W211" s="611">
        <v>0</v>
      </c>
      <c r="X211" s="611">
        <v>0</v>
      </c>
      <c r="Y211" s="611">
        <v>0</v>
      </c>
      <c r="Z211" s="619">
        <v>0</v>
      </c>
      <c r="AA211" s="51"/>
    </row>
    <row r="212" spans="6:27" x14ac:dyDescent="0.25">
      <c r="F212" s="51"/>
      <c r="G212" s="618" t="s">
        <v>72</v>
      </c>
      <c r="H212" s="611">
        <v>0</v>
      </c>
      <c r="I212" s="611">
        <v>502.02103372564807</v>
      </c>
      <c r="J212" s="611">
        <v>-497.00082338839161</v>
      </c>
      <c r="K212" s="611">
        <v>0</v>
      </c>
      <c r="L212" s="611">
        <v>0</v>
      </c>
      <c r="M212" s="611">
        <v>0</v>
      </c>
      <c r="N212" s="611">
        <v>0</v>
      </c>
      <c r="O212" s="611">
        <v>0</v>
      </c>
      <c r="P212" s="611">
        <v>0</v>
      </c>
      <c r="Q212" s="611">
        <v>0</v>
      </c>
      <c r="R212" s="611">
        <v>0</v>
      </c>
      <c r="S212" s="611">
        <v>0</v>
      </c>
      <c r="T212" s="611">
        <v>0</v>
      </c>
      <c r="U212" s="611">
        <v>0</v>
      </c>
      <c r="V212" s="611">
        <v>0</v>
      </c>
      <c r="W212" s="611">
        <v>0</v>
      </c>
      <c r="X212" s="611">
        <v>0</v>
      </c>
      <c r="Y212" s="611">
        <v>0</v>
      </c>
      <c r="Z212" s="619">
        <v>5.0202103372564579</v>
      </c>
      <c r="AA212" s="51"/>
    </row>
    <row r="213" spans="6:27" x14ac:dyDescent="0.25">
      <c r="F213" s="51"/>
      <c r="G213" s="618" t="s">
        <v>351</v>
      </c>
      <c r="H213" s="611">
        <v>0</v>
      </c>
      <c r="I213" s="611">
        <v>0</v>
      </c>
      <c r="J213" s="611">
        <v>0</v>
      </c>
      <c r="K213" s="611">
        <v>0</v>
      </c>
      <c r="L213" s="611">
        <v>0</v>
      </c>
      <c r="M213" s="611">
        <v>0</v>
      </c>
      <c r="N213" s="611">
        <v>0</v>
      </c>
      <c r="O213" s="611">
        <v>0</v>
      </c>
      <c r="P213" s="611">
        <v>57.841115986080837</v>
      </c>
      <c r="Q213" s="611">
        <v>7.2727272727272725</v>
      </c>
      <c r="R213" s="620">
        <v>-39.93186194133186</v>
      </c>
      <c r="S213" s="611">
        <v>0</v>
      </c>
      <c r="T213" s="611">
        <v>0</v>
      </c>
      <c r="U213" s="611">
        <v>0</v>
      </c>
      <c r="V213" s="611">
        <v>0</v>
      </c>
      <c r="W213" s="611">
        <v>0</v>
      </c>
      <c r="X213" s="611">
        <v>0</v>
      </c>
      <c r="Y213" s="611">
        <v>0</v>
      </c>
      <c r="Z213" s="619">
        <v>25.181981317476243</v>
      </c>
      <c r="AA213" s="51"/>
    </row>
    <row r="214" spans="6:27" x14ac:dyDescent="0.25">
      <c r="F214" s="51"/>
      <c r="G214" s="618" t="s">
        <v>352</v>
      </c>
      <c r="H214" s="611">
        <v>0</v>
      </c>
      <c r="I214" s="611">
        <v>0</v>
      </c>
      <c r="J214" s="611">
        <v>0</v>
      </c>
      <c r="K214" s="611">
        <v>0</v>
      </c>
      <c r="L214" s="611">
        <v>0</v>
      </c>
      <c r="M214" s="611">
        <v>0</v>
      </c>
      <c r="N214" s="611">
        <v>0</v>
      </c>
      <c r="O214" s="611">
        <v>0</v>
      </c>
      <c r="P214" s="611">
        <v>0</v>
      </c>
      <c r="Q214" s="611">
        <v>0</v>
      </c>
      <c r="R214" s="611">
        <v>0</v>
      </c>
      <c r="S214" s="611">
        <v>0</v>
      </c>
      <c r="T214" s="611">
        <v>0</v>
      </c>
      <c r="U214" s="611">
        <v>0</v>
      </c>
      <c r="V214" s="611">
        <v>0</v>
      </c>
      <c r="W214" s="611">
        <v>0</v>
      </c>
      <c r="X214" s="611">
        <v>0</v>
      </c>
      <c r="Y214" s="611">
        <v>0</v>
      </c>
      <c r="Z214" s="619">
        <v>0</v>
      </c>
      <c r="AA214" s="51"/>
    </row>
    <row r="215" spans="6:27" x14ac:dyDescent="0.25">
      <c r="F215" s="51"/>
      <c r="G215" s="618" t="s">
        <v>73</v>
      </c>
      <c r="H215" s="611">
        <v>0</v>
      </c>
      <c r="I215" s="611">
        <v>0</v>
      </c>
      <c r="J215" s="611">
        <v>0</v>
      </c>
      <c r="K215" s="611">
        <v>0</v>
      </c>
      <c r="L215" s="611">
        <v>0</v>
      </c>
      <c r="M215" s="611">
        <v>0</v>
      </c>
      <c r="N215" s="611">
        <v>0</v>
      </c>
      <c r="O215" s="611">
        <v>0</v>
      </c>
      <c r="P215" s="611">
        <v>0</v>
      </c>
      <c r="Q215" s="611">
        <v>0</v>
      </c>
      <c r="R215" s="611">
        <v>0</v>
      </c>
      <c r="S215" s="611">
        <v>0</v>
      </c>
      <c r="T215" s="611">
        <v>0</v>
      </c>
      <c r="U215" s="611">
        <v>0</v>
      </c>
      <c r="V215" s="611">
        <v>0</v>
      </c>
      <c r="W215" s="611">
        <v>1.9046603946177385</v>
      </c>
      <c r="X215" s="611">
        <v>0</v>
      </c>
      <c r="Y215" s="611">
        <v>-1.2380292565015301</v>
      </c>
      <c r="Z215" s="619">
        <v>0.66663113811620844</v>
      </c>
      <c r="AA215" s="51"/>
    </row>
    <row r="216" spans="6:27" x14ac:dyDescent="0.25">
      <c r="F216" s="51"/>
      <c r="G216" s="618" t="s">
        <v>353</v>
      </c>
      <c r="H216" s="611">
        <v>29.661880078125002</v>
      </c>
      <c r="I216" s="611">
        <v>-17.651540027160753</v>
      </c>
      <c r="J216" s="611">
        <v>23.197502909780482</v>
      </c>
      <c r="K216" s="611">
        <v>0</v>
      </c>
      <c r="L216" s="611">
        <v>0</v>
      </c>
      <c r="M216" s="611">
        <v>0</v>
      </c>
      <c r="N216" s="611">
        <v>0</v>
      </c>
      <c r="O216" s="611">
        <v>0</v>
      </c>
      <c r="P216" s="611">
        <v>0</v>
      </c>
      <c r="Q216" s="611">
        <v>0</v>
      </c>
      <c r="R216" s="611">
        <v>0</v>
      </c>
      <c r="S216" s="611">
        <v>0</v>
      </c>
      <c r="T216" s="611">
        <v>0</v>
      </c>
      <c r="U216" s="611">
        <v>0</v>
      </c>
      <c r="V216" s="611">
        <v>0</v>
      </c>
      <c r="W216" s="611">
        <v>0</v>
      </c>
      <c r="X216" s="611">
        <v>0</v>
      </c>
      <c r="Y216" s="611">
        <v>0</v>
      </c>
      <c r="Z216" s="619">
        <v>35.207842960744728</v>
      </c>
      <c r="AA216" s="51"/>
    </row>
    <row r="217" spans="6:27" x14ac:dyDescent="0.25">
      <c r="F217" s="51"/>
      <c r="G217" s="618" t="s">
        <v>75</v>
      </c>
      <c r="H217" s="611">
        <v>11.535175585937502</v>
      </c>
      <c r="I217" s="611">
        <v>0</v>
      </c>
      <c r="J217" s="611">
        <v>17.330610826083333</v>
      </c>
      <c r="K217" s="611">
        <v>0</v>
      </c>
      <c r="L217" s="611">
        <v>3.72904093688493</v>
      </c>
      <c r="M217" s="611">
        <v>0</v>
      </c>
      <c r="N217" s="611">
        <v>0</v>
      </c>
      <c r="O217" s="611">
        <v>0</v>
      </c>
      <c r="P217" s="611">
        <v>0</v>
      </c>
      <c r="Q217" s="611">
        <v>0</v>
      </c>
      <c r="R217" s="611">
        <v>0</v>
      </c>
      <c r="S217" s="611">
        <v>0.19626531246762791</v>
      </c>
      <c r="T217" s="611">
        <v>0</v>
      </c>
      <c r="U217" s="611">
        <v>0</v>
      </c>
      <c r="V217" s="611">
        <v>0</v>
      </c>
      <c r="W217" s="620">
        <v>34.180514899221805</v>
      </c>
      <c r="X217" s="611">
        <v>0</v>
      </c>
      <c r="Y217" s="611">
        <v>1</v>
      </c>
      <c r="Z217" s="619">
        <v>67.971607560595203</v>
      </c>
      <c r="AA217" s="51"/>
    </row>
    <row r="218" spans="6:27" x14ac:dyDescent="0.25">
      <c r="F218" s="51"/>
      <c r="G218" s="618" t="s">
        <v>76</v>
      </c>
      <c r="H218" s="611">
        <v>0</v>
      </c>
      <c r="I218" s="611">
        <v>0</v>
      </c>
      <c r="J218" s="611">
        <v>0</v>
      </c>
      <c r="K218" s="611">
        <v>0</v>
      </c>
      <c r="L218" s="611">
        <v>4.280937627144942</v>
      </c>
      <c r="M218" s="611">
        <v>0</v>
      </c>
      <c r="N218" s="611">
        <v>0</v>
      </c>
      <c r="O218" s="611">
        <v>0</v>
      </c>
      <c r="P218" s="611">
        <v>0</v>
      </c>
      <c r="Q218" s="611">
        <v>0</v>
      </c>
      <c r="R218" s="611">
        <v>0</v>
      </c>
      <c r="S218" s="611">
        <v>0.22531250669183908</v>
      </c>
      <c r="T218" s="611">
        <v>0</v>
      </c>
      <c r="U218" s="611">
        <v>0</v>
      </c>
      <c r="V218" s="611">
        <v>0</v>
      </c>
      <c r="W218" s="611">
        <v>41.266202819137604</v>
      </c>
      <c r="X218" s="611">
        <v>4.4071739193324495</v>
      </c>
      <c r="Y218" s="611">
        <v>0</v>
      </c>
      <c r="Z218" s="619">
        <v>50.179626872306834</v>
      </c>
      <c r="AA218" s="51"/>
    </row>
    <row r="219" spans="6:27" x14ac:dyDescent="0.25">
      <c r="F219" s="51"/>
      <c r="G219" s="614" t="s">
        <v>77</v>
      </c>
      <c r="H219" s="615">
        <v>41.505949631571021</v>
      </c>
      <c r="I219" s="615">
        <v>484.3694936984873</v>
      </c>
      <c r="J219" s="615">
        <v>-452.24436762762616</v>
      </c>
      <c r="K219" s="615">
        <v>0</v>
      </c>
      <c r="L219" s="615">
        <v>83.882850629638284</v>
      </c>
      <c r="M219" s="615">
        <v>0</v>
      </c>
      <c r="N219" s="615">
        <v>1181.6974545454545</v>
      </c>
      <c r="O219" s="615">
        <v>152.67647201623672</v>
      </c>
      <c r="P219" s="615">
        <v>134.08220188570098</v>
      </c>
      <c r="Q219" s="615">
        <v>34.720343146927405</v>
      </c>
      <c r="R219" s="615">
        <v>-34.380630323121977</v>
      </c>
      <c r="S219" s="615">
        <v>-13.804756239409254</v>
      </c>
      <c r="T219" s="615">
        <v>0.37589922223460576</v>
      </c>
      <c r="U219" s="615">
        <v>2.5535352020693955</v>
      </c>
      <c r="V219" s="615">
        <v>6.375973544776329</v>
      </c>
      <c r="W219" s="615">
        <v>-513.58634233681778</v>
      </c>
      <c r="X219" s="615">
        <v>-52.412988254210823</v>
      </c>
      <c r="Y219" s="615">
        <v>-0.23802925650153006</v>
      </c>
      <c r="Z219" s="615">
        <v>1055.573059485409</v>
      </c>
      <c r="AA219" s="51"/>
    </row>
    <row r="220" spans="6:27" x14ac:dyDescent="0.25">
      <c r="F220" s="51"/>
      <c r="G220" s="616"/>
      <c r="H220" s="617"/>
      <c r="I220" s="617"/>
      <c r="J220" s="617"/>
      <c r="K220" s="617"/>
      <c r="L220" s="617"/>
      <c r="M220" s="617"/>
      <c r="N220" s="617"/>
      <c r="O220" s="617"/>
      <c r="P220" s="617"/>
      <c r="Q220" s="617"/>
      <c r="R220" s="617"/>
      <c r="S220" s="617"/>
      <c r="T220" s="617"/>
      <c r="U220" s="617"/>
      <c r="V220" s="617"/>
      <c r="W220" s="617"/>
      <c r="X220" s="617"/>
      <c r="Y220" s="617"/>
      <c r="Z220" s="617"/>
      <c r="AA220" s="51"/>
    </row>
    <row r="221" spans="6:27" x14ac:dyDescent="0.25">
      <c r="F221" s="51"/>
      <c r="G221" s="618" t="s">
        <v>78</v>
      </c>
      <c r="H221" s="611">
        <v>4.8925078124999999</v>
      </c>
      <c r="I221" s="611">
        <v>0</v>
      </c>
      <c r="J221" s="611">
        <v>24.165235131191906</v>
      </c>
      <c r="K221" s="611">
        <v>0</v>
      </c>
      <c r="L221" s="611">
        <v>94.084094813654275</v>
      </c>
      <c r="M221" s="620">
        <v>0</v>
      </c>
      <c r="N221" s="611">
        <v>0</v>
      </c>
      <c r="O221" s="611">
        <v>0</v>
      </c>
      <c r="P221" s="611">
        <v>26.937463537570867</v>
      </c>
      <c r="Q221" s="611">
        <v>6.1285070662635537</v>
      </c>
      <c r="R221" s="611">
        <v>0.93174084898654219</v>
      </c>
      <c r="S221" s="611">
        <v>4.9753349470269299</v>
      </c>
      <c r="T221" s="611">
        <v>1.390278564453125</v>
      </c>
      <c r="U221" s="611">
        <v>0</v>
      </c>
      <c r="V221" s="611">
        <v>4.7991131198633983E-4</v>
      </c>
      <c r="W221" s="611">
        <v>120.70181135843518</v>
      </c>
      <c r="X221" s="611">
        <v>18.813292152120741</v>
      </c>
      <c r="Y221" s="611">
        <v>0.1368032684326172</v>
      </c>
      <c r="Z221" s="619">
        <v>303.1575494119478</v>
      </c>
      <c r="AA221" s="51"/>
    </row>
    <row r="222" spans="6:27" x14ac:dyDescent="0.25">
      <c r="F222" s="51"/>
      <c r="G222" s="618" t="s">
        <v>79</v>
      </c>
      <c r="H222" s="611">
        <v>0</v>
      </c>
      <c r="I222" s="611">
        <v>0</v>
      </c>
      <c r="J222" s="611">
        <v>419.79556605067489</v>
      </c>
      <c r="K222" s="611">
        <v>0</v>
      </c>
      <c r="L222" s="611">
        <v>4.0169244395410075</v>
      </c>
      <c r="M222" s="620">
        <v>0</v>
      </c>
      <c r="N222" s="611">
        <v>0</v>
      </c>
      <c r="O222" s="611">
        <v>0</v>
      </c>
      <c r="P222" s="611">
        <v>0</v>
      </c>
      <c r="Q222" s="611">
        <v>0</v>
      </c>
      <c r="R222" s="611">
        <v>36.659680118734968</v>
      </c>
      <c r="S222" s="611">
        <v>0.21141707576531621</v>
      </c>
      <c r="T222" s="611">
        <v>0</v>
      </c>
      <c r="U222" s="611">
        <v>0</v>
      </c>
      <c r="V222" s="611">
        <v>0</v>
      </c>
      <c r="W222" s="611">
        <v>16.904139208606786</v>
      </c>
      <c r="X222" s="611">
        <v>0</v>
      </c>
      <c r="Y222" s="611">
        <v>0</v>
      </c>
      <c r="Z222" s="619">
        <v>477.58772689332301</v>
      </c>
      <c r="AA222" s="51"/>
    </row>
    <row r="223" spans="6:27" x14ac:dyDescent="0.25">
      <c r="F223" s="51"/>
      <c r="G223" s="618" t="s">
        <v>80</v>
      </c>
      <c r="H223" s="611">
        <v>0</v>
      </c>
      <c r="I223" s="611">
        <v>0</v>
      </c>
      <c r="J223" s="611">
        <v>30.264105073000309</v>
      </c>
      <c r="K223" s="611">
        <v>0</v>
      </c>
      <c r="L223" s="611">
        <v>109.4222854593897</v>
      </c>
      <c r="M223" s="620">
        <v>0</v>
      </c>
      <c r="N223" s="611">
        <v>0</v>
      </c>
      <c r="O223" s="611">
        <v>0</v>
      </c>
      <c r="P223" s="611">
        <v>73.413726167362853</v>
      </c>
      <c r="Q223" s="611">
        <v>0</v>
      </c>
      <c r="R223" s="611">
        <v>0</v>
      </c>
      <c r="S223" s="611">
        <v>5.7590676557573532</v>
      </c>
      <c r="T223" s="611">
        <v>58.81291503857112</v>
      </c>
      <c r="U223" s="611">
        <v>0</v>
      </c>
      <c r="V223" s="611">
        <v>3.6562035035050702</v>
      </c>
      <c r="W223" s="611">
        <v>155.95540999328384</v>
      </c>
      <c r="X223" s="611">
        <v>17.330040012113464</v>
      </c>
      <c r="Y223" s="611">
        <v>0</v>
      </c>
      <c r="Z223" s="619">
        <v>454.61375290298366</v>
      </c>
      <c r="AA223" s="51"/>
    </row>
    <row r="224" spans="6:27" x14ac:dyDescent="0.25">
      <c r="F224" s="51"/>
      <c r="G224" s="618" t="s">
        <v>81</v>
      </c>
      <c r="H224" s="611">
        <v>0</v>
      </c>
      <c r="I224" s="611">
        <v>0</v>
      </c>
      <c r="J224" s="611">
        <v>18.302012365463629</v>
      </c>
      <c r="K224" s="611">
        <v>0</v>
      </c>
      <c r="L224" s="611">
        <v>60.4894671340926</v>
      </c>
      <c r="M224" s="620">
        <v>0</v>
      </c>
      <c r="N224" s="611">
        <v>0</v>
      </c>
      <c r="O224" s="611">
        <v>0</v>
      </c>
      <c r="P224" s="611">
        <v>0.46982123257429881</v>
      </c>
      <c r="Q224" s="611">
        <v>0</v>
      </c>
      <c r="R224" s="611">
        <v>0</v>
      </c>
      <c r="S224" s="611">
        <v>3.1836561649522426</v>
      </c>
      <c r="T224" s="611">
        <v>20.889920153176526</v>
      </c>
      <c r="U224" s="611">
        <v>0</v>
      </c>
      <c r="V224" s="611">
        <v>3.5112271315974612</v>
      </c>
      <c r="W224" s="611">
        <v>125.61536332451628</v>
      </c>
      <c r="X224" s="611">
        <v>16.26962770883793</v>
      </c>
      <c r="Y224" s="611">
        <v>0</v>
      </c>
      <c r="Z224" s="619">
        <v>248.73109521521098</v>
      </c>
      <c r="AA224" s="51"/>
    </row>
    <row r="225" spans="6:27" x14ac:dyDescent="0.25">
      <c r="F225" s="51"/>
      <c r="G225" s="618" t="s">
        <v>82</v>
      </c>
      <c r="H225" s="611">
        <v>0</v>
      </c>
      <c r="I225" s="611">
        <v>0</v>
      </c>
      <c r="J225" s="611">
        <v>35.262359218486715</v>
      </c>
      <c r="K225" s="611">
        <v>0</v>
      </c>
      <c r="L225" s="611">
        <v>2.2638116386535292</v>
      </c>
      <c r="M225" s="620">
        <v>0</v>
      </c>
      <c r="N225" s="611">
        <v>0</v>
      </c>
      <c r="O225" s="611">
        <v>0</v>
      </c>
      <c r="P225" s="611">
        <v>4.8413821640415255</v>
      </c>
      <c r="Q225" s="611">
        <v>0</v>
      </c>
      <c r="R225" s="611">
        <v>2.7934691016396722</v>
      </c>
      <c r="S225" s="611">
        <v>0.1191479809817647</v>
      </c>
      <c r="T225" s="611">
        <v>0.25</v>
      </c>
      <c r="U225" s="611">
        <v>0</v>
      </c>
      <c r="V225" s="611">
        <v>0.36066131262685786</v>
      </c>
      <c r="W225" s="611">
        <v>8.2175953615538209</v>
      </c>
      <c r="X225" s="611">
        <v>0</v>
      </c>
      <c r="Y225" s="611">
        <v>0.10122598806891285</v>
      </c>
      <c r="Z225" s="619">
        <v>54.209652766052798</v>
      </c>
      <c r="AA225" s="51"/>
    </row>
    <row r="226" spans="6:27" x14ac:dyDescent="0.25">
      <c r="F226" s="51"/>
      <c r="G226" s="618" t="s">
        <v>354</v>
      </c>
      <c r="H226" s="611">
        <v>0</v>
      </c>
      <c r="I226" s="611">
        <v>0</v>
      </c>
      <c r="J226" s="611">
        <v>0</v>
      </c>
      <c r="K226" s="611">
        <v>0</v>
      </c>
      <c r="L226" s="611">
        <v>0</v>
      </c>
      <c r="M226" s="611">
        <v>0</v>
      </c>
      <c r="N226" s="611">
        <v>0</v>
      </c>
      <c r="O226" s="611">
        <v>0</v>
      </c>
      <c r="P226" s="611">
        <v>0</v>
      </c>
      <c r="Q226" s="611">
        <v>0</v>
      </c>
      <c r="R226" s="611">
        <v>0</v>
      </c>
      <c r="S226" s="611">
        <v>0</v>
      </c>
      <c r="T226" s="611">
        <v>0</v>
      </c>
      <c r="U226" s="611">
        <v>0</v>
      </c>
      <c r="V226" s="611">
        <v>0</v>
      </c>
      <c r="W226" s="611">
        <v>0</v>
      </c>
      <c r="X226" s="611">
        <v>0</v>
      </c>
      <c r="Y226" s="611">
        <v>0</v>
      </c>
      <c r="Z226" s="619">
        <v>0</v>
      </c>
      <c r="AA226" s="51"/>
    </row>
    <row r="227" spans="6:27" x14ac:dyDescent="0.25">
      <c r="F227" s="51"/>
      <c r="G227" s="614" t="s">
        <v>83</v>
      </c>
      <c r="H227" s="615">
        <v>4.8925078124999999</v>
      </c>
      <c r="I227" s="615">
        <v>0</v>
      </c>
      <c r="J227" s="615">
        <v>527.7892778388175</v>
      </c>
      <c r="K227" s="615">
        <v>0</v>
      </c>
      <c r="L227" s="615">
        <v>270.27658348533112</v>
      </c>
      <c r="M227" s="615">
        <v>0</v>
      </c>
      <c r="N227" s="615">
        <v>0</v>
      </c>
      <c r="O227" s="615">
        <v>0</v>
      </c>
      <c r="P227" s="615">
        <v>105.66239310154954</v>
      </c>
      <c r="Q227" s="615">
        <v>6.1285070662635537</v>
      </c>
      <c r="R227" s="615">
        <v>40.384890069361184</v>
      </c>
      <c r="S227" s="615">
        <v>14.248623824483609</v>
      </c>
      <c r="T227" s="615">
        <v>81.343113756200779</v>
      </c>
      <c r="U227" s="615">
        <v>0</v>
      </c>
      <c r="V227" s="615">
        <v>7.5285718590413762</v>
      </c>
      <c r="W227" s="615">
        <v>427.39431924639592</v>
      </c>
      <c r="X227" s="615">
        <v>52.41295987307214</v>
      </c>
      <c r="Y227" s="615">
        <v>0.23802925650153006</v>
      </c>
      <c r="Z227" s="615">
        <v>1538.2997771895184</v>
      </c>
      <c r="AA227" s="51"/>
    </row>
    <row r="228" spans="6:27" x14ac:dyDescent="0.25">
      <c r="F228" s="51"/>
      <c r="G228" s="610" t="s">
        <v>84</v>
      </c>
      <c r="H228" s="611">
        <v>0</v>
      </c>
      <c r="I228" s="611">
        <v>0</v>
      </c>
      <c r="J228" s="611">
        <v>114.54386945674393</v>
      </c>
      <c r="K228" s="611">
        <v>0</v>
      </c>
      <c r="L228" s="611">
        <v>13.300999650365602</v>
      </c>
      <c r="M228" s="611">
        <v>0</v>
      </c>
      <c r="N228" s="611">
        <v>0</v>
      </c>
      <c r="O228" s="611">
        <v>0</v>
      </c>
      <c r="P228" s="720">
        <v>4.9614085936159999E-2</v>
      </c>
      <c r="Q228" s="611">
        <v>0</v>
      </c>
      <c r="R228" s="611">
        <v>8.8573866734579565E-2</v>
      </c>
      <c r="S228" s="611">
        <v>0</v>
      </c>
      <c r="T228" s="611">
        <v>0</v>
      </c>
      <c r="U228" s="611">
        <v>0</v>
      </c>
      <c r="V228" s="611">
        <v>0</v>
      </c>
      <c r="W228" s="611">
        <v>0</v>
      </c>
      <c r="X228" s="611">
        <v>0</v>
      </c>
      <c r="Y228" s="611">
        <v>0</v>
      </c>
      <c r="Z228" s="619">
        <v>127.98305705978026</v>
      </c>
      <c r="AA228" s="51"/>
    </row>
    <row r="229" spans="6:27" x14ac:dyDescent="0.25">
      <c r="F229" s="51"/>
      <c r="G229" s="614" t="s">
        <v>85</v>
      </c>
      <c r="H229" s="615">
        <v>4.8925078124999999</v>
      </c>
      <c r="I229" s="615">
        <v>0</v>
      </c>
      <c r="J229" s="615">
        <v>642.33314729556139</v>
      </c>
      <c r="K229" s="615">
        <v>0</v>
      </c>
      <c r="L229" s="615">
        <v>283.57758313569673</v>
      </c>
      <c r="M229" s="615">
        <v>0</v>
      </c>
      <c r="N229" s="615">
        <v>0</v>
      </c>
      <c r="O229" s="615">
        <v>0</v>
      </c>
      <c r="P229" s="615">
        <v>105.7120071874857</v>
      </c>
      <c r="Q229" s="615">
        <v>6.1285070662635537</v>
      </c>
      <c r="R229" s="615">
        <v>40.473463936095762</v>
      </c>
      <c r="S229" s="615">
        <v>14.248623824483609</v>
      </c>
      <c r="T229" s="615">
        <v>81.343113756200779</v>
      </c>
      <c r="U229" s="615">
        <v>0</v>
      </c>
      <c r="V229" s="615">
        <v>7.5285718590413762</v>
      </c>
      <c r="W229" s="615">
        <v>427.39431924639592</v>
      </c>
      <c r="X229" s="615">
        <v>52.41295987307214</v>
      </c>
      <c r="Y229" s="615">
        <v>0.23802925650153006</v>
      </c>
      <c r="Z229" s="615">
        <v>1666.2828342492987</v>
      </c>
      <c r="AA229" s="51"/>
    </row>
    <row r="230" spans="6:27" x14ac:dyDescent="0.25">
      <c r="F230" s="51"/>
      <c r="G230" s="51"/>
      <c r="H230" s="67">
        <v>0</v>
      </c>
      <c r="I230" s="67">
        <v>0</v>
      </c>
      <c r="J230" s="67">
        <v>0</v>
      </c>
      <c r="K230" s="67">
        <v>0</v>
      </c>
      <c r="L230" s="67">
        <v>0</v>
      </c>
      <c r="M230" s="67">
        <v>0</v>
      </c>
      <c r="N230" s="67">
        <v>0</v>
      </c>
      <c r="O230" s="67">
        <v>0</v>
      </c>
      <c r="P230" s="67">
        <v>0</v>
      </c>
      <c r="Q230" s="67">
        <v>0</v>
      </c>
      <c r="R230" s="67">
        <v>0</v>
      </c>
      <c r="S230" s="67">
        <v>-3.5628409509486869E-2</v>
      </c>
      <c r="T230" s="67">
        <v>0</v>
      </c>
      <c r="U230" s="67">
        <v>0</v>
      </c>
      <c r="V230" s="67">
        <v>0</v>
      </c>
      <c r="W230" s="67">
        <v>0</v>
      </c>
      <c r="X230" s="721">
        <v>-2.8381138683641893E-5</v>
      </c>
      <c r="Y230" s="67">
        <v>0</v>
      </c>
      <c r="Z230" s="67">
        <v>-3.565679064786309E-2</v>
      </c>
      <c r="AA230" s="51"/>
    </row>
    <row r="231" spans="6:27" x14ac:dyDescent="0.25">
      <c r="F231" s="51"/>
      <c r="G231" s="51"/>
      <c r="H231" s="51"/>
      <c r="I231" s="51"/>
      <c r="J231" s="51"/>
      <c r="K231" s="51"/>
      <c r="L231" s="51"/>
      <c r="M231" s="51"/>
      <c r="N231" s="51"/>
      <c r="O231" s="51"/>
      <c r="P231" s="51"/>
      <c r="Q231" s="51"/>
      <c r="R231" s="51"/>
      <c r="S231" s="51"/>
      <c r="T231" s="51"/>
      <c r="U231" s="51"/>
      <c r="V231" s="51"/>
      <c r="W231" s="51"/>
      <c r="X231" s="51"/>
      <c r="Y231" s="51"/>
      <c r="Z231" s="51"/>
      <c r="AA231" s="51"/>
    </row>
    <row r="232" spans="6:27" x14ac:dyDescent="0.25">
      <c r="F232" s="606"/>
      <c r="G232" s="607" t="s">
        <v>356</v>
      </c>
      <c r="H232" s="606"/>
      <c r="I232" s="606"/>
      <c r="J232" s="606"/>
      <c r="K232" s="606"/>
      <c r="L232" s="606"/>
      <c r="M232" s="606"/>
      <c r="N232" s="606"/>
      <c r="O232" s="606"/>
      <c r="P232" s="606"/>
      <c r="Q232" s="606"/>
      <c r="R232" s="606"/>
      <c r="S232" s="606"/>
      <c r="T232" s="606"/>
      <c r="U232" s="606"/>
      <c r="V232" s="606"/>
      <c r="W232" s="606"/>
      <c r="X232" s="606"/>
      <c r="Y232" s="606"/>
      <c r="Z232" s="606"/>
      <c r="AA232" s="606"/>
    </row>
    <row r="233" spans="6:27" x14ac:dyDescent="0.25">
      <c r="F233" s="51"/>
      <c r="G233" s="51"/>
      <c r="H233" s="51"/>
      <c r="I233" s="51"/>
      <c r="J233" s="51"/>
      <c r="K233" s="51"/>
      <c r="L233" s="51"/>
      <c r="M233" s="51"/>
      <c r="N233" s="51"/>
      <c r="O233" s="51"/>
      <c r="P233" s="51"/>
      <c r="Q233" s="51"/>
      <c r="R233" s="51"/>
      <c r="S233" s="51"/>
      <c r="T233" s="51"/>
      <c r="U233" s="51"/>
      <c r="V233" s="51"/>
      <c r="W233" s="51"/>
      <c r="X233" s="51"/>
      <c r="Y233" s="51"/>
      <c r="Z233" s="51"/>
      <c r="AA233" s="51"/>
    </row>
    <row r="234" spans="6:27" x14ac:dyDescent="0.25">
      <c r="F234" s="51"/>
      <c r="G234" s="764" t="s">
        <v>128</v>
      </c>
      <c r="H234" s="753" t="s">
        <v>42</v>
      </c>
      <c r="I234" s="753" t="s">
        <v>52</v>
      </c>
      <c r="J234" s="753" t="s">
        <v>53</v>
      </c>
      <c r="K234" s="753" t="s">
        <v>482</v>
      </c>
      <c r="L234" s="753" t="s">
        <v>32</v>
      </c>
      <c r="M234" s="753" t="s">
        <v>483</v>
      </c>
      <c r="N234" s="753" t="s">
        <v>20</v>
      </c>
      <c r="O234" s="753" t="s">
        <v>55</v>
      </c>
      <c r="P234" s="761" t="s">
        <v>56</v>
      </c>
      <c r="Q234" s="762"/>
      <c r="R234" s="762"/>
      <c r="S234" s="762"/>
      <c r="T234" s="762"/>
      <c r="U234" s="762"/>
      <c r="V234" s="763"/>
      <c r="W234" s="753" t="s">
        <v>57</v>
      </c>
      <c r="X234" s="753" t="s">
        <v>58</v>
      </c>
      <c r="Y234" s="753" t="s">
        <v>31</v>
      </c>
      <c r="Z234" s="753" t="s">
        <v>10</v>
      </c>
      <c r="AA234" s="51"/>
    </row>
    <row r="235" spans="6:27" ht="36" x14ac:dyDescent="0.25">
      <c r="F235" s="51"/>
      <c r="G235" s="765"/>
      <c r="H235" s="754"/>
      <c r="I235" s="754"/>
      <c r="J235" s="754"/>
      <c r="K235" s="754"/>
      <c r="L235" s="754"/>
      <c r="M235" s="754"/>
      <c r="N235" s="754"/>
      <c r="O235" s="754"/>
      <c r="P235" s="608" t="s">
        <v>335</v>
      </c>
      <c r="Q235" s="608" t="s">
        <v>40</v>
      </c>
      <c r="R235" s="608" t="s">
        <v>343</v>
      </c>
      <c r="S235" s="608" t="s">
        <v>344</v>
      </c>
      <c r="T235" s="609" t="s">
        <v>345</v>
      </c>
      <c r="U235" s="609" t="s">
        <v>609</v>
      </c>
      <c r="V235" s="608" t="s">
        <v>346</v>
      </c>
      <c r="W235" s="754"/>
      <c r="X235" s="754"/>
      <c r="Y235" s="754"/>
      <c r="Z235" s="754"/>
      <c r="AA235" s="51"/>
    </row>
    <row r="236" spans="6:27" x14ac:dyDescent="0.25">
      <c r="F236" s="51"/>
      <c r="G236" s="610" t="s">
        <v>59</v>
      </c>
      <c r="H236" s="611">
        <v>0</v>
      </c>
      <c r="I236" s="611">
        <v>9.5366</v>
      </c>
      <c r="J236" s="611">
        <v>0</v>
      </c>
      <c r="K236" s="611">
        <v>0</v>
      </c>
      <c r="L236" s="611">
        <v>0.19771000000000002</v>
      </c>
      <c r="M236" s="611">
        <v>0</v>
      </c>
      <c r="N236" s="612">
        <v>1175.008</v>
      </c>
      <c r="O236" s="612">
        <v>187.71649074759767</v>
      </c>
      <c r="P236" s="611">
        <v>270.72826025037881</v>
      </c>
      <c r="Q236" s="612">
        <v>45.897084258145583</v>
      </c>
      <c r="R236" s="611">
        <v>0</v>
      </c>
      <c r="S236" s="611">
        <v>0</v>
      </c>
      <c r="T236" s="612">
        <v>108.55629281898206</v>
      </c>
      <c r="U236" s="612">
        <v>3.9854854545412057</v>
      </c>
      <c r="V236" s="612">
        <v>18.694423964001231</v>
      </c>
      <c r="W236" s="611">
        <v>0</v>
      </c>
      <c r="X236" s="611">
        <v>0</v>
      </c>
      <c r="Y236" s="611">
        <v>0</v>
      </c>
      <c r="Z236" s="613">
        <v>1820.3203474936468</v>
      </c>
      <c r="AA236" s="51"/>
    </row>
    <row r="237" spans="6:27" x14ac:dyDescent="0.25">
      <c r="F237" s="51"/>
      <c r="G237" s="610" t="s">
        <v>60</v>
      </c>
      <c r="H237" s="611">
        <v>31.56033221100661</v>
      </c>
      <c r="I237" s="611">
        <v>423.65248565453913</v>
      </c>
      <c r="J237" s="611">
        <v>228.49107773749739</v>
      </c>
      <c r="K237" s="611">
        <v>0</v>
      </c>
      <c r="L237" s="620">
        <v>310.81966457442218</v>
      </c>
      <c r="M237" s="611">
        <v>0</v>
      </c>
      <c r="N237" s="611">
        <v>0</v>
      </c>
      <c r="O237" s="611">
        <v>0</v>
      </c>
      <c r="P237" s="611">
        <v>0</v>
      </c>
      <c r="Q237" s="611">
        <v>0</v>
      </c>
      <c r="R237" s="611">
        <v>5.9340151643868637</v>
      </c>
      <c r="S237" s="611">
        <v>10.245803282523816</v>
      </c>
      <c r="T237" s="611">
        <v>0</v>
      </c>
      <c r="U237" s="611">
        <v>0</v>
      </c>
      <c r="V237" s="611">
        <v>0</v>
      </c>
      <c r="W237" s="611">
        <v>0</v>
      </c>
      <c r="X237" s="611">
        <v>0</v>
      </c>
      <c r="Y237" s="611">
        <v>0</v>
      </c>
      <c r="Z237" s="613">
        <v>1010.703378624376</v>
      </c>
      <c r="AA237" s="51"/>
    </row>
    <row r="238" spans="6:27" x14ac:dyDescent="0.25">
      <c r="F238" s="51"/>
      <c r="G238" s="610" t="s">
        <v>61</v>
      </c>
      <c r="H238" s="611">
        <v>0</v>
      </c>
      <c r="I238" s="611">
        <v>0</v>
      </c>
      <c r="J238" s="611">
        <v>0</v>
      </c>
      <c r="K238" s="611">
        <v>-0.15000000000000002</v>
      </c>
      <c r="L238" s="611">
        <v>0</v>
      </c>
      <c r="M238" s="611">
        <v>0</v>
      </c>
      <c r="N238" s="611">
        <v>0</v>
      </c>
      <c r="O238" s="611">
        <v>0</v>
      </c>
      <c r="P238" s="611">
        <v>-1.1067692486901137</v>
      </c>
      <c r="Q238" s="611">
        <v>0</v>
      </c>
      <c r="R238" s="611">
        <v>0</v>
      </c>
      <c r="S238" s="611">
        <v>0</v>
      </c>
      <c r="T238" s="611">
        <v>0</v>
      </c>
      <c r="U238" s="611">
        <v>0</v>
      </c>
      <c r="V238" s="611">
        <v>0</v>
      </c>
      <c r="W238" s="611">
        <v>-74.597074661503257</v>
      </c>
      <c r="X238" s="611">
        <v>0</v>
      </c>
      <c r="Y238" s="611">
        <v>0</v>
      </c>
      <c r="Z238" s="613">
        <v>-75.853843910193376</v>
      </c>
      <c r="AA238" s="51"/>
    </row>
    <row r="239" spans="6:27" x14ac:dyDescent="0.25">
      <c r="F239" s="51"/>
      <c r="G239" s="610" t="s">
        <v>62</v>
      </c>
      <c r="H239" s="611">
        <v>0</v>
      </c>
      <c r="I239" s="611">
        <v>0</v>
      </c>
      <c r="J239" s="611">
        <v>-9.5738305718287435</v>
      </c>
      <c r="K239" s="611">
        <v>-0.13812944417760184</v>
      </c>
      <c r="L239" s="611">
        <v>-1.5870151763057716</v>
      </c>
      <c r="M239" s="611">
        <v>-0.12645508616383627</v>
      </c>
      <c r="N239" s="611">
        <v>0</v>
      </c>
      <c r="O239" s="611">
        <v>0</v>
      </c>
      <c r="P239" s="611">
        <v>0</v>
      </c>
      <c r="Q239" s="611">
        <v>0</v>
      </c>
      <c r="R239" s="611">
        <v>0</v>
      </c>
      <c r="S239" s="611">
        <v>-0.4604322926990882</v>
      </c>
      <c r="T239" s="611">
        <v>0</v>
      </c>
      <c r="U239" s="611">
        <v>0</v>
      </c>
      <c r="V239" s="611">
        <v>0</v>
      </c>
      <c r="W239" s="611">
        <v>0</v>
      </c>
      <c r="X239" s="611">
        <v>0</v>
      </c>
      <c r="Y239" s="611">
        <v>-5.1110724267898235E-2</v>
      </c>
      <c r="Z239" s="613">
        <v>-11.936973295442941</v>
      </c>
      <c r="AA239" s="51"/>
    </row>
    <row r="240" spans="6:27" x14ac:dyDescent="0.25">
      <c r="F240" s="51"/>
      <c r="G240" s="610" t="s">
        <v>63</v>
      </c>
      <c r="H240" s="611">
        <v>0</v>
      </c>
      <c r="I240" s="611">
        <v>0</v>
      </c>
      <c r="J240" s="611">
        <v>-70</v>
      </c>
      <c r="K240" s="611">
        <v>-0.6</v>
      </c>
      <c r="L240" s="611">
        <v>0</v>
      </c>
      <c r="M240" s="611">
        <v>0</v>
      </c>
      <c r="N240" s="611">
        <v>0</v>
      </c>
      <c r="O240" s="611">
        <v>0</v>
      </c>
      <c r="P240" s="611">
        <v>0</v>
      </c>
      <c r="Q240" s="611">
        <v>0</v>
      </c>
      <c r="R240" s="611">
        <v>-2.8</v>
      </c>
      <c r="S240" s="611">
        <v>0</v>
      </c>
      <c r="T240" s="611">
        <v>0</v>
      </c>
      <c r="U240" s="611">
        <v>0</v>
      </c>
      <c r="V240" s="611">
        <v>0</v>
      </c>
      <c r="W240" s="611">
        <v>0</v>
      </c>
      <c r="X240" s="611">
        <v>0</v>
      </c>
      <c r="Y240" s="611">
        <v>0</v>
      </c>
      <c r="Z240" s="613">
        <v>-73.399999999999991</v>
      </c>
      <c r="AA240" s="51"/>
    </row>
    <row r="241" spans="6:27" x14ac:dyDescent="0.25">
      <c r="F241" s="51"/>
      <c r="G241" s="610" t="s">
        <v>64</v>
      </c>
      <c r="H241" s="611">
        <v>0</v>
      </c>
      <c r="I241" s="611">
        <v>0</v>
      </c>
      <c r="J241" s="611">
        <v>0</v>
      </c>
      <c r="K241" s="611">
        <v>0</v>
      </c>
      <c r="L241" s="611">
        <v>0</v>
      </c>
      <c r="M241" s="611">
        <v>0</v>
      </c>
      <c r="N241" s="611">
        <v>0</v>
      </c>
      <c r="O241" s="611">
        <v>0</v>
      </c>
      <c r="P241" s="611">
        <v>0</v>
      </c>
      <c r="Q241" s="611">
        <v>0</v>
      </c>
      <c r="R241" s="611">
        <v>0</v>
      </c>
      <c r="S241" s="611">
        <v>0</v>
      </c>
      <c r="T241" s="611">
        <v>0</v>
      </c>
      <c r="U241" s="611">
        <v>0</v>
      </c>
      <c r="V241" s="611">
        <v>0</v>
      </c>
      <c r="W241" s="611">
        <v>0</v>
      </c>
      <c r="X241" s="611">
        <v>0</v>
      </c>
      <c r="Y241" s="611">
        <v>0</v>
      </c>
      <c r="Z241" s="613">
        <v>0</v>
      </c>
      <c r="AA241" s="51"/>
    </row>
    <row r="242" spans="6:27" x14ac:dyDescent="0.25">
      <c r="F242" s="51"/>
      <c r="G242" s="614" t="s">
        <v>65</v>
      </c>
      <c r="H242" s="615">
        <v>31.56033221100661</v>
      </c>
      <c r="I242" s="615">
        <v>433.18908565453916</v>
      </c>
      <c r="J242" s="615">
        <v>148.91724716566864</v>
      </c>
      <c r="K242" s="615">
        <v>-0.88812944417760187</v>
      </c>
      <c r="L242" s="615">
        <v>309.43035939811637</v>
      </c>
      <c r="M242" s="615">
        <v>-0.12645508616383627</v>
      </c>
      <c r="N242" s="615">
        <v>1175.008</v>
      </c>
      <c r="O242" s="615">
        <v>187.71649074759767</v>
      </c>
      <c r="P242" s="615">
        <v>269.6214910016887</v>
      </c>
      <c r="Q242" s="615">
        <v>45.897084258145583</v>
      </c>
      <c r="R242" s="615">
        <v>3.1340151643868639</v>
      </c>
      <c r="S242" s="615">
        <v>9.7853709898247274</v>
      </c>
      <c r="T242" s="615">
        <v>108.55629281898206</v>
      </c>
      <c r="U242" s="615">
        <v>3.9854854545412057</v>
      </c>
      <c r="V242" s="615">
        <v>18.694423964001231</v>
      </c>
      <c r="W242" s="615">
        <v>-74.597074661503257</v>
      </c>
      <c r="X242" s="615">
        <v>0</v>
      </c>
      <c r="Y242" s="615">
        <v>-5.1110724267898235E-2</v>
      </c>
      <c r="Z242" s="615">
        <v>2669.8329089123863</v>
      </c>
      <c r="AA242" s="51"/>
    </row>
    <row r="243" spans="6:27" x14ac:dyDescent="0.25">
      <c r="F243" s="51"/>
      <c r="G243" s="616"/>
      <c r="H243" s="617"/>
      <c r="I243" s="617"/>
      <c r="J243" s="617"/>
      <c r="K243" s="617"/>
      <c r="L243" s="617"/>
      <c r="M243" s="617"/>
      <c r="N243" s="617"/>
      <c r="O243" s="617"/>
      <c r="P243" s="617"/>
      <c r="Q243" s="617"/>
      <c r="R243" s="617"/>
      <c r="S243" s="617"/>
      <c r="T243" s="617"/>
      <c r="U243" s="617"/>
      <c r="V243" s="617"/>
      <c r="W243" s="617"/>
      <c r="X243" s="617"/>
      <c r="Y243" s="617"/>
      <c r="Z243" s="617"/>
      <c r="AA243" s="51"/>
    </row>
    <row r="244" spans="6:27" x14ac:dyDescent="0.25">
      <c r="F244" s="51"/>
      <c r="G244" s="618" t="s">
        <v>67</v>
      </c>
      <c r="H244" s="611">
        <v>0</v>
      </c>
      <c r="I244" s="611">
        <v>0</v>
      </c>
      <c r="J244" s="611">
        <v>0</v>
      </c>
      <c r="K244" s="611">
        <v>0</v>
      </c>
      <c r="L244" s="611">
        <v>0</v>
      </c>
      <c r="M244" s="611">
        <v>0</v>
      </c>
      <c r="N244" s="611">
        <v>0</v>
      </c>
      <c r="O244" s="611">
        <v>0</v>
      </c>
      <c r="P244" s="611">
        <v>0</v>
      </c>
      <c r="Q244" s="611">
        <v>0</v>
      </c>
      <c r="R244" s="611">
        <v>0</v>
      </c>
      <c r="S244" s="611">
        <v>0</v>
      </c>
      <c r="T244" s="611">
        <v>0</v>
      </c>
      <c r="U244" s="611">
        <v>0</v>
      </c>
      <c r="V244" s="611">
        <v>0</v>
      </c>
      <c r="W244" s="611">
        <v>0</v>
      </c>
      <c r="X244" s="611">
        <v>0</v>
      </c>
      <c r="Y244" s="611">
        <v>0</v>
      </c>
      <c r="Z244" s="619">
        <v>0</v>
      </c>
      <c r="AA244" s="51"/>
    </row>
    <row r="245" spans="6:27" x14ac:dyDescent="0.25">
      <c r="F245" s="51"/>
      <c r="G245" s="618" t="s">
        <v>347</v>
      </c>
      <c r="H245" s="611">
        <v>0</v>
      </c>
      <c r="I245" s="611">
        <v>0</v>
      </c>
      <c r="J245" s="611">
        <v>1.6370023545014427</v>
      </c>
      <c r="K245" s="611">
        <v>0</v>
      </c>
      <c r="L245" s="611">
        <v>52.55573442014758</v>
      </c>
      <c r="M245" s="611">
        <v>0</v>
      </c>
      <c r="N245" s="611">
        <v>1175.008</v>
      </c>
      <c r="O245" s="611">
        <v>187.71649074759767</v>
      </c>
      <c r="P245" s="611">
        <v>13.303812367551458</v>
      </c>
      <c r="Q245" s="611">
        <v>6.8324809145411169</v>
      </c>
      <c r="R245" s="611">
        <v>4.867247129818443</v>
      </c>
      <c r="S245" s="611">
        <v>11.312131727734517</v>
      </c>
      <c r="T245" s="611">
        <v>0</v>
      </c>
      <c r="U245" s="611">
        <v>0</v>
      </c>
      <c r="V245" s="611">
        <v>0.1274458438995901</v>
      </c>
      <c r="W245" s="611">
        <v>-623.12460271743248</v>
      </c>
      <c r="X245" s="611">
        <v>0</v>
      </c>
      <c r="Y245" s="611">
        <v>0</v>
      </c>
      <c r="Z245" s="619">
        <v>830.2357427883594</v>
      </c>
      <c r="AA245" s="51"/>
    </row>
    <row r="246" spans="6:27" x14ac:dyDescent="0.25">
      <c r="F246" s="51"/>
      <c r="G246" s="618" t="s">
        <v>348</v>
      </c>
      <c r="H246" s="611">
        <v>0.13467107819411372</v>
      </c>
      <c r="I246" s="611">
        <v>0</v>
      </c>
      <c r="J246" s="611">
        <v>0.52506612841034428</v>
      </c>
      <c r="K246" s="611">
        <v>0</v>
      </c>
      <c r="L246" s="611">
        <v>19.432145084898821</v>
      </c>
      <c r="M246" s="611">
        <v>0</v>
      </c>
      <c r="N246" s="611">
        <v>0</v>
      </c>
      <c r="O246" s="611">
        <v>0</v>
      </c>
      <c r="P246" s="611">
        <v>22.121134883246068</v>
      </c>
      <c r="Q246" s="611">
        <v>14.207576096436197</v>
      </c>
      <c r="R246" s="611">
        <v>0</v>
      </c>
      <c r="S246" s="611">
        <v>4.3596905995520387</v>
      </c>
      <c r="T246" s="611">
        <v>0.18129757269726363</v>
      </c>
      <c r="U246" s="611">
        <v>3.9854854545412057</v>
      </c>
      <c r="V246" s="611">
        <v>8.0512503201458188</v>
      </c>
      <c r="W246" s="611">
        <v>0</v>
      </c>
      <c r="X246" s="620">
        <v>-64.903157384138837</v>
      </c>
      <c r="Y246" s="611">
        <v>0</v>
      </c>
      <c r="Z246" s="619">
        <v>8.0951598339830468</v>
      </c>
      <c r="AA246" s="51"/>
    </row>
    <row r="247" spans="6:27" x14ac:dyDescent="0.25">
      <c r="F247" s="51"/>
      <c r="G247" s="618" t="s">
        <v>349</v>
      </c>
      <c r="H247" s="611">
        <v>0</v>
      </c>
      <c r="I247" s="611">
        <v>0</v>
      </c>
      <c r="J247" s="611">
        <v>0</v>
      </c>
      <c r="K247" s="611">
        <v>0</v>
      </c>
      <c r="L247" s="611">
        <v>0</v>
      </c>
      <c r="M247" s="611">
        <v>0</v>
      </c>
      <c r="N247" s="611">
        <v>0</v>
      </c>
      <c r="O247" s="611">
        <v>0</v>
      </c>
      <c r="P247" s="611">
        <v>58.507459847608104</v>
      </c>
      <c r="Q247" s="611">
        <v>8.987596372567852</v>
      </c>
      <c r="R247" s="611">
        <v>0</v>
      </c>
      <c r="S247" s="611">
        <v>-33.609138102748922</v>
      </c>
      <c r="T247" s="611">
        <v>0</v>
      </c>
      <c r="U247" s="611">
        <v>0</v>
      </c>
      <c r="V247" s="611">
        <v>0</v>
      </c>
      <c r="W247" s="611">
        <v>0</v>
      </c>
      <c r="X247" s="611">
        <v>0</v>
      </c>
      <c r="Y247" s="611">
        <v>0</v>
      </c>
      <c r="Z247" s="619">
        <v>33.885918117427032</v>
      </c>
      <c r="AA247" s="51"/>
    </row>
    <row r="248" spans="6:27" x14ac:dyDescent="0.25">
      <c r="F248" s="51"/>
      <c r="G248" s="618" t="s">
        <v>350</v>
      </c>
      <c r="H248" s="611">
        <v>0</v>
      </c>
      <c r="I248" s="611">
        <v>0</v>
      </c>
      <c r="J248" s="611">
        <v>0</v>
      </c>
      <c r="K248" s="611">
        <v>0</v>
      </c>
      <c r="L248" s="611">
        <v>0</v>
      </c>
      <c r="M248" s="620">
        <v>-0.12645508616383627</v>
      </c>
      <c r="N248" s="611">
        <v>0</v>
      </c>
      <c r="O248" s="611">
        <v>0</v>
      </c>
      <c r="P248" s="611">
        <v>0</v>
      </c>
      <c r="Q248" s="611">
        <v>0</v>
      </c>
      <c r="R248" s="611">
        <v>0</v>
      </c>
      <c r="S248" s="611">
        <v>0</v>
      </c>
      <c r="T248" s="611">
        <v>0</v>
      </c>
      <c r="U248" s="611">
        <v>0</v>
      </c>
      <c r="V248" s="611">
        <v>0</v>
      </c>
      <c r="W248" s="611">
        <v>0</v>
      </c>
      <c r="X248" s="611">
        <v>0</v>
      </c>
      <c r="Y248" s="611">
        <v>0.17563206411643928</v>
      </c>
      <c r="Z248" s="619">
        <v>4.9176977952603007E-2</v>
      </c>
      <c r="AA248" s="51"/>
    </row>
    <row r="249" spans="6:27" x14ac:dyDescent="0.25">
      <c r="F249" s="51"/>
      <c r="G249" s="618" t="s">
        <v>72</v>
      </c>
      <c r="H249" s="611">
        <v>0</v>
      </c>
      <c r="I249" s="611">
        <v>448.96671017017962</v>
      </c>
      <c r="J249" s="611">
        <v>-444.47704306847783</v>
      </c>
      <c r="K249" s="611">
        <v>0</v>
      </c>
      <c r="L249" s="611">
        <v>0</v>
      </c>
      <c r="M249" s="611">
        <v>0</v>
      </c>
      <c r="N249" s="611">
        <v>0</v>
      </c>
      <c r="O249" s="611">
        <v>0</v>
      </c>
      <c r="P249" s="611">
        <v>0</v>
      </c>
      <c r="Q249" s="611">
        <v>0</v>
      </c>
      <c r="R249" s="611">
        <v>0</v>
      </c>
      <c r="S249" s="611">
        <v>0</v>
      </c>
      <c r="T249" s="611">
        <v>0</v>
      </c>
      <c r="U249" s="611">
        <v>0</v>
      </c>
      <c r="V249" s="611">
        <v>0</v>
      </c>
      <c r="W249" s="611">
        <v>0</v>
      </c>
      <c r="X249" s="611">
        <v>0</v>
      </c>
      <c r="Y249" s="611">
        <v>0</v>
      </c>
      <c r="Z249" s="619">
        <v>4.4896671017017979</v>
      </c>
      <c r="AA249" s="51"/>
    </row>
    <row r="250" spans="6:27" x14ac:dyDescent="0.25">
      <c r="F250" s="51"/>
      <c r="G250" s="618" t="s">
        <v>351</v>
      </c>
      <c r="H250" s="611">
        <v>0</v>
      </c>
      <c r="I250" s="611">
        <v>0</v>
      </c>
      <c r="J250" s="611">
        <v>0</v>
      </c>
      <c r="K250" s="611">
        <v>0</v>
      </c>
      <c r="L250" s="611">
        <v>0</v>
      </c>
      <c r="M250" s="611">
        <v>0</v>
      </c>
      <c r="N250" s="611">
        <v>0</v>
      </c>
      <c r="O250" s="611">
        <v>0</v>
      </c>
      <c r="P250" s="611">
        <v>67.718596792248618</v>
      </c>
      <c r="Q250" s="611">
        <v>7.2727272727272725</v>
      </c>
      <c r="R250" s="620">
        <v>-43.275160646366466</v>
      </c>
      <c r="S250" s="611">
        <v>0</v>
      </c>
      <c r="T250" s="611">
        <v>0</v>
      </c>
      <c r="U250" s="611">
        <v>0</v>
      </c>
      <c r="V250" s="611">
        <v>0</v>
      </c>
      <c r="W250" s="611">
        <v>0</v>
      </c>
      <c r="X250" s="611">
        <v>0</v>
      </c>
      <c r="Y250" s="611">
        <v>0</v>
      </c>
      <c r="Z250" s="619">
        <v>31.716163418609419</v>
      </c>
      <c r="AA250" s="51"/>
    </row>
    <row r="251" spans="6:27" x14ac:dyDescent="0.25">
      <c r="F251" s="51"/>
      <c r="G251" s="618" t="s">
        <v>352</v>
      </c>
      <c r="H251" s="611">
        <v>0</v>
      </c>
      <c r="I251" s="611">
        <v>0</v>
      </c>
      <c r="J251" s="611">
        <v>0</v>
      </c>
      <c r="K251" s="611">
        <v>-0.88812944417760187</v>
      </c>
      <c r="L251" s="611">
        <v>0</v>
      </c>
      <c r="M251" s="611">
        <v>0</v>
      </c>
      <c r="N251" s="611">
        <v>0</v>
      </c>
      <c r="O251" s="611">
        <v>0</v>
      </c>
      <c r="P251" s="611">
        <v>0</v>
      </c>
      <c r="Q251" s="611">
        <v>0</v>
      </c>
      <c r="R251" s="611">
        <v>0</v>
      </c>
      <c r="S251" s="611">
        <v>0</v>
      </c>
      <c r="T251" s="611">
        <v>0</v>
      </c>
      <c r="U251" s="611">
        <v>0</v>
      </c>
      <c r="V251" s="611">
        <v>0</v>
      </c>
      <c r="W251" s="611">
        <v>0</v>
      </c>
      <c r="X251" s="611">
        <v>0</v>
      </c>
      <c r="Y251" s="611">
        <v>1.471942388595362</v>
      </c>
      <c r="Z251" s="619">
        <v>0.5838129444177601</v>
      </c>
      <c r="AA251" s="51"/>
    </row>
    <row r="252" spans="6:27" x14ac:dyDescent="0.25">
      <c r="F252" s="51"/>
      <c r="G252" s="618" t="s">
        <v>73</v>
      </c>
      <c r="H252" s="611">
        <v>0</v>
      </c>
      <c r="I252" s="611">
        <v>0</v>
      </c>
      <c r="J252" s="611">
        <v>0</v>
      </c>
      <c r="K252" s="611">
        <v>0</v>
      </c>
      <c r="L252" s="611">
        <v>0</v>
      </c>
      <c r="M252" s="611">
        <v>0</v>
      </c>
      <c r="N252" s="611">
        <v>0</v>
      </c>
      <c r="O252" s="611">
        <v>0</v>
      </c>
      <c r="P252" s="611">
        <v>0</v>
      </c>
      <c r="Q252" s="611">
        <v>0</v>
      </c>
      <c r="R252" s="611">
        <v>0</v>
      </c>
      <c r="S252" s="611">
        <v>0</v>
      </c>
      <c r="T252" s="611">
        <v>0</v>
      </c>
      <c r="U252" s="611">
        <v>0</v>
      </c>
      <c r="V252" s="611">
        <v>0</v>
      </c>
      <c r="W252" s="611">
        <v>10.660292909136944</v>
      </c>
      <c r="X252" s="611">
        <v>0</v>
      </c>
      <c r="Y252" s="611">
        <v>-6.9291903909390138</v>
      </c>
      <c r="Z252" s="619">
        <v>3.7311025181979298</v>
      </c>
      <c r="AA252" s="51"/>
    </row>
    <row r="253" spans="6:27" x14ac:dyDescent="0.25">
      <c r="F253" s="51"/>
      <c r="G253" s="618" t="s">
        <v>353</v>
      </c>
      <c r="H253" s="611">
        <v>20.799923203124997</v>
      </c>
      <c r="I253" s="611">
        <v>-15.77762451564047</v>
      </c>
      <c r="J253" s="611">
        <v>20.75596720074418</v>
      </c>
      <c r="K253" s="611">
        <v>0</v>
      </c>
      <c r="L253" s="611">
        <v>0</v>
      </c>
      <c r="M253" s="611">
        <v>0</v>
      </c>
      <c r="N253" s="611">
        <v>0</v>
      </c>
      <c r="O253" s="611">
        <v>0</v>
      </c>
      <c r="P253" s="611">
        <v>0</v>
      </c>
      <c r="Q253" s="611">
        <v>0</v>
      </c>
      <c r="R253" s="611">
        <v>0</v>
      </c>
      <c r="S253" s="611">
        <v>0</v>
      </c>
      <c r="T253" s="611">
        <v>0</v>
      </c>
      <c r="U253" s="611">
        <v>0</v>
      </c>
      <c r="V253" s="611">
        <v>0</v>
      </c>
      <c r="W253" s="611">
        <v>0</v>
      </c>
      <c r="X253" s="611">
        <v>0</v>
      </c>
      <c r="Y253" s="611">
        <v>0</v>
      </c>
      <c r="Z253" s="619">
        <v>25.778265888228709</v>
      </c>
      <c r="AA253" s="51"/>
    </row>
    <row r="254" spans="6:27" x14ac:dyDescent="0.25">
      <c r="F254" s="51"/>
      <c r="G254" s="618" t="s">
        <v>75</v>
      </c>
      <c r="H254" s="611">
        <v>8.0888590234375002</v>
      </c>
      <c r="I254" s="611">
        <v>0</v>
      </c>
      <c r="J254" s="611">
        <v>15.507167335345123</v>
      </c>
      <c r="K254" s="611">
        <v>0</v>
      </c>
      <c r="L254" s="611">
        <v>1.8033798544929234</v>
      </c>
      <c r="M254" s="611">
        <v>0</v>
      </c>
      <c r="N254" s="611">
        <v>0</v>
      </c>
      <c r="O254" s="611">
        <v>0</v>
      </c>
      <c r="P254" s="611">
        <v>0</v>
      </c>
      <c r="Q254" s="611">
        <v>0</v>
      </c>
      <c r="R254" s="611">
        <v>0</v>
      </c>
      <c r="S254" s="611">
        <v>0.2228896449373276</v>
      </c>
      <c r="T254" s="611">
        <v>0</v>
      </c>
      <c r="U254" s="611">
        <v>0</v>
      </c>
      <c r="V254" s="611">
        <v>0</v>
      </c>
      <c r="W254" s="620">
        <v>33.838220662100142</v>
      </c>
      <c r="X254" s="611">
        <v>0</v>
      </c>
      <c r="Y254" s="611">
        <v>2.38</v>
      </c>
      <c r="Z254" s="619">
        <v>61.840516520313024</v>
      </c>
      <c r="AA254" s="51"/>
    </row>
    <row r="255" spans="6:27" x14ac:dyDescent="0.25">
      <c r="F255" s="51"/>
      <c r="G255" s="618" t="s">
        <v>76</v>
      </c>
      <c r="H255" s="611">
        <v>0</v>
      </c>
      <c r="I255" s="611">
        <v>0</v>
      </c>
      <c r="J255" s="611">
        <v>0</v>
      </c>
      <c r="K255" s="611">
        <v>0</v>
      </c>
      <c r="L255" s="611">
        <v>3.5796312708000495</v>
      </c>
      <c r="M255" s="611">
        <v>0</v>
      </c>
      <c r="N255" s="611">
        <v>0</v>
      </c>
      <c r="O255" s="611">
        <v>0</v>
      </c>
      <c r="P255" s="611">
        <v>0</v>
      </c>
      <c r="Q255" s="611">
        <v>0</v>
      </c>
      <c r="R255" s="611">
        <v>0</v>
      </c>
      <c r="S255" s="611">
        <v>0.44242633684045557</v>
      </c>
      <c r="T255" s="611">
        <v>0</v>
      </c>
      <c r="U255" s="611">
        <v>0</v>
      </c>
      <c r="V255" s="611">
        <v>0</v>
      </c>
      <c r="W255" s="611">
        <v>44.846872959494924</v>
      </c>
      <c r="X255" s="611">
        <v>5.0336373229827123</v>
      </c>
      <c r="Y255" s="611">
        <v>0</v>
      </c>
      <c r="Z255" s="619">
        <v>53.902567890118142</v>
      </c>
      <c r="AA255" s="51"/>
    </row>
    <row r="256" spans="6:27" x14ac:dyDescent="0.25">
      <c r="F256" s="51"/>
      <c r="G256" s="614" t="s">
        <v>77</v>
      </c>
      <c r="H256" s="615">
        <v>29.023453304756611</v>
      </c>
      <c r="I256" s="615">
        <v>433.18908565453916</v>
      </c>
      <c r="J256" s="615">
        <v>-406.05184004947677</v>
      </c>
      <c r="K256" s="615">
        <v>-0.88812944417760187</v>
      </c>
      <c r="L256" s="615">
        <v>77.370890630339375</v>
      </c>
      <c r="M256" s="615">
        <v>-0.12645508616383627</v>
      </c>
      <c r="N256" s="615">
        <v>1175.008</v>
      </c>
      <c r="O256" s="615">
        <v>187.71649074759767</v>
      </c>
      <c r="P256" s="615">
        <v>161.65100389065424</v>
      </c>
      <c r="Q256" s="615">
        <v>37.300380656272438</v>
      </c>
      <c r="R256" s="615">
        <v>-38.407913516548021</v>
      </c>
      <c r="S256" s="615">
        <v>-17.271999793684582</v>
      </c>
      <c r="T256" s="615">
        <v>0.18129757269726363</v>
      </c>
      <c r="U256" s="615">
        <v>3.9854854545412057</v>
      </c>
      <c r="V256" s="615">
        <v>8.1786961640454088</v>
      </c>
      <c r="W256" s="615">
        <v>-533.77921618670041</v>
      </c>
      <c r="X256" s="615">
        <v>-59.869520061156123</v>
      </c>
      <c r="Y256" s="615">
        <v>-2.9016159382272129</v>
      </c>
      <c r="Z256" s="615">
        <v>1054.308093999309</v>
      </c>
      <c r="AA256" s="51"/>
    </row>
    <row r="257" spans="6:27" x14ac:dyDescent="0.25">
      <c r="F257" s="51"/>
      <c r="G257" s="616"/>
      <c r="H257" s="617"/>
      <c r="I257" s="617"/>
      <c r="J257" s="617"/>
      <c r="K257" s="617"/>
      <c r="L257" s="617"/>
      <c r="M257" s="617"/>
      <c r="N257" s="617"/>
      <c r="O257" s="617"/>
      <c r="P257" s="617"/>
      <c r="Q257" s="617"/>
      <c r="R257" s="617"/>
      <c r="S257" s="617"/>
      <c r="T257" s="617"/>
      <c r="U257" s="617"/>
      <c r="V257" s="617"/>
      <c r="W257" s="617"/>
      <c r="X257" s="617"/>
      <c r="Y257" s="617"/>
      <c r="Z257" s="617"/>
      <c r="AA257" s="51"/>
    </row>
    <row r="258" spans="6:27" x14ac:dyDescent="0.25">
      <c r="F258" s="51"/>
      <c r="G258" s="618" t="s">
        <v>78</v>
      </c>
      <c r="H258" s="611">
        <v>2.5368789062500001</v>
      </c>
      <c r="I258" s="611">
        <v>0</v>
      </c>
      <c r="J258" s="611">
        <v>16.464256134501195</v>
      </c>
      <c r="K258" s="611">
        <v>0</v>
      </c>
      <c r="L258" s="611">
        <v>76.25556175347657</v>
      </c>
      <c r="M258" s="620">
        <v>0</v>
      </c>
      <c r="N258" s="611">
        <v>0</v>
      </c>
      <c r="O258" s="611">
        <v>0</v>
      </c>
      <c r="P258" s="611">
        <v>35.20744335762226</v>
      </c>
      <c r="Q258" s="611">
        <v>8.5967036018731431</v>
      </c>
      <c r="R258" s="611">
        <v>0.95792109934790093</v>
      </c>
      <c r="S258" s="611">
        <v>9.4506810662915637</v>
      </c>
      <c r="T258" s="611">
        <v>3.4855932617187499</v>
      </c>
      <c r="U258" s="611">
        <v>0</v>
      </c>
      <c r="V258" s="611">
        <v>5.2671642446208732E-4</v>
      </c>
      <c r="W258" s="611">
        <v>137.10141781088788</v>
      </c>
      <c r="X258" s="611">
        <v>19.328552980825005</v>
      </c>
      <c r="Y258" s="611">
        <v>1.4790939941406249</v>
      </c>
      <c r="Z258" s="619">
        <v>310.86463068335939</v>
      </c>
      <c r="AA258" s="51"/>
    </row>
    <row r="259" spans="6:27" x14ac:dyDescent="0.25">
      <c r="F259" s="51"/>
      <c r="G259" s="618" t="s">
        <v>79</v>
      </c>
      <c r="H259" s="611">
        <v>0</v>
      </c>
      <c r="I259" s="611">
        <v>0</v>
      </c>
      <c r="J259" s="611">
        <v>364.30566934999553</v>
      </c>
      <c r="K259" s="611">
        <v>0</v>
      </c>
      <c r="L259" s="611">
        <v>4.9934721794589949</v>
      </c>
      <c r="M259" s="620">
        <v>0</v>
      </c>
      <c r="N259" s="611">
        <v>0</v>
      </c>
      <c r="O259" s="611">
        <v>0</v>
      </c>
      <c r="P259" s="611">
        <v>0</v>
      </c>
      <c r="Q259" s="611">
        <v>0</v>
      </c>
      <c r="R259" s="611">
        <v>36.866001172977988</v>
      </c>
      <c r="S259" s="611">
        <v>0.61717071880953867</v>
      </c>
      <c r="T259" s="611">
        <v>0</v>
      </c>
      <c r="U259" s="611">
        <v>0</v>
      </c>
      <c r="V259" s="611">
        <v>0</v>
      </c>
      <c r="W259" s="611">
        <v>27.389081420893032</v>
      </c>
      <c r="X259" s="611">
        <v>0</v>
      </c>
      <c r="Y259" s="611">
        <v>0.58290015650478255</v>
      </c>
      <c r="Z259" s="619">
        <v>434.75429499863981</v>
      </c>
      <c r="AA259" s="51"/>
    </row>
    <row r="260" spans="6:27" x14ac:dyDescent="0.25">
      <c r="F260" s="51"/>
      <c r="G260" s="618" t="s">
        <v>80</v>
      </c>
      <c r="H260" s="611">
        <v>0</v>
      </c>
      <c r="I260" s="611">
        <v>0</v>
      </c>
      <c r="J260" s="611">
        <v>17.201623841536829</v>
      </c>
      <c r="K260" s="611">
        <v>0</v>
      </c>
      <c r="L260" s="611">
        <v>84.721695827213523</v>
      </c>
      <c r="M260" s="620">
        <v>0</v>
      </c>
      <c r="N260" s="611">
        <v>0</v>
      </c>
      <c r="O260" s="611">
        <v>0</v>
      </c>
      <c r="P260" s="611">
        <v>63.543536708801859</v>
      </c>
      <c r="Q260" s="611">
        <v>0</v>
      </c>
      <c r="R260" s="611">
        <v>0</v>
      </c>
      <c r="S260" s="611">
        <v>10.471220832576952</v>
      </c>
      <c r="T260" s="611">
        <v>76.561231385743284</v>
      </c>
      <c r="U260" s="611">
        <v>0</v>
      </c>
      <c r="V260" s="611">
        <v>5.1637337172047761</v>
      </c>
      <c r="W260" s="611">
        <v>163.30202311057991</v>
      </c>
      <c r="X260" s="611">
        <v>21.019199389729597</v>
      </c>
      <c r="Y260" s="611">
        <v>0</v>
      </c>
      <c r="Z260" s="619">
        <v>441.98426481338669</v>
      </c>
      <c r="AA260" s="51"/>
    </row>
    <row r="261" spans="6:27" x14ac:dyDescent="0.25">
      <c r="F261" s="51"/>
      <c r="G261" s="618" t="s">
        <v>81</v>
      </c>
      <c r="H261" s="611">
        <v>0</v>
      </c>
      <c r="I261" s="611">
        <v>0</v>
      </c>
      <c r="J261" s="611">
        <v>9.5095127655801548</v>
      </c>
      <c r="K261" s="611">
        <v>0</v>
      </c>
      <c r="L261" s="611">
        <v>50.83012863398811</v>
      </c>
      <c r="M261" s="620">
        <v>0</v>
      </c>
      <c r="N261" s="611">
        <v>0</v>
      </c>
      <c r="O261" s="611">
        <v>0</v>
      </c>
      <c r="P261" s="611">
        <v>0.5857399217546202</v>
      </c>
      <c r="Q261" s="611">
        <v>0</v>
      </c>
      <c r="R261" s="611">
        <v>0</v>
      </c>
      <c r="S261" s="611">
        <v>6.282375449144598</v>
      </c>
      <c r="T261" s="611">
        <v>27.92817059882276</v>
      </c>
      <c r="U261" s="611">
        <v>0</v>
      </c>
      <c r="V261" s="611">
        <v>4.8320920994569443</v>
      </c>
      <c r="W261" s="611">
        <v>123.43882708375831</v>
      </c>
      <c r="X261" s="611">
        <v>19.521738588223698</v>
      </c>
      <c r="Y261" s="611">
        <v>0</v>
      </c>
      <c r="Z261" s="619">
        <v>242.92858514072918</v>
      </c>
      <c r="AA261" s="51"/>
    </row>
    <row r="262" spans="6:27" x14ac:dyDescent="0.25">
      <c r="F262" s="51"/>
      <c r="G262" s="618" t="s">
        <v>82</v>
      </c>
      <c r="H262" s="611">
        <v>0</v>
      </c>
      <c r="I262" s="611">
        <v>0</v>
      </c>
      <c r="J262" s="611">
        <v>32.521780239930585</v>
      </c>
      <c r="K262" s="611">
        <v>0</v>
      </c>
      <c r="L262" s="611">
        <v>1.7697973975256258</v>
      </c>
      <c r="M262" s="620">
        <v>0</v>
      </c>
      <c r="N262" s="611">
        <v>0</v>
      </c>
      <c r="O262" s="611">
        <v>0</v>
      </c>
      <c r="P262" s="611">
        <v>8.5431833600547655</v>
      </c>
      <c r="Q262" s="611">
        <v>0</v>
      </c>
      <c r="R262" s="611">
        <v>3.5579100416915854</v>
      </c>
      <c r="S262" s="611">
        <v>0.21873900418856049</v>
      </c>
      <c r="T262" s="611">
        <v>0.4</v>
      </c>
      <c r="U262" s="611">
        <v>0</v>
      </c>
      <c r="V262" s="611">
        <v>0.5193752668696392</v>
      </c>
      <c r="W262" s="611">
        <v>7.9507920990780674</v>
      </c>
      <c r="X262" s="611">
        <v>0</v>
      </c>
      <c r="Y262" s="611">
        <v>0.14468782351059181</v>
      </c>
      <c r="Z262" s="619">
        <v>55.626265232849427</v>
      </c>
      <c r="AA262" s="51"/>
    </row>
    <row r="263" spans="6:27" x14ac:dyDescent="0.25">
      <c r="F263" s="51"/>
      <c r="G263" s="618" t="s">
        <v>354</v>
      </c>
      <c r="H263" s="611">
        <v>0</v>
      </c>
      <c r="I263" s="611">
        <v>0</v>
      </c>
      <c r="J263" s="611">
        <v>0</v>
      </c>
      <c r="K263" s="611">
        <v>0</v>
      </c>
      <c r="L263" s="611">
        <v>0</v>
      </c>
      <c r="M263" s="611">
        <v>0</v>
      </c>
      <c r="N263" s="611">
        <v>0</v>
      </c>
      <c r="O263" s="611">
        <v>0</v>
      </c>
      <c r="P263" s="611">
        <v>0</v>
      </c>
      <c r="Q263" s="611">
        <v>0</v>
      </c>
      <c r="R263" s="611">
        <v>0</v>
      </c>
      <c r="S263" s="611">
        <v>0</v>
      </c>
      <c r="T263" s="611">
        <v>0</v>
      </c>
      <c r="U263" s="611">
        <v>0</v>
      </c>
      <c r="V263" s="611">
        <v>0</v>
      </c>
      <c r="W263" s="611">
        <v>0</v>
      </c>
      <c r="X263" s="611">
        <v>0</v>
      </c>
      <c r="Y263" s="611">
        <v>0</v>
      </c>
      <c r="Z263" s="619">
        <v>0</v>
      </c>
      <c r="AA263" s="51"/>
    </row>
    <row r="264" spans="6:27" x14ac:dyDescent="0.25">
      <c r="F264" s="51"/>
      <c r="G264" s="614" t="s">
        <v>83</v>
      </c>
      <c r="H264" s="615">
        <v>2.5368789062500001</v>
      </c>
      <c r="I264" s="615">
        <v>0</v>
      </c>
      <c r="J264" s="615">
        <v>440.00284233154429</v>
      </c>
      <c r="K264" s="615">
        <v>0</v>
      </c>
      <c r="L264" s="615">
        <v>218.57065579166283</v>
      </c>
      <c r="M264" s="615">
        <v>0</v>
      </c>
      <c r="N264" s="615">
        <v>0</v>
      </c>
      <c r="O264" s="615">
        <v>0</v>
      </c>
      <c r="P264" s="615">
        <v>107.87990334823351</v>
      </c>
      <c r="Q264" s="615">
        <v>8.5967036018731431</v>
      </c>
      <c r="R264" s="615">
        <v>41.381832314017473</v>
      </c>
      <c r="S264" s="615">
        <v>27.040187071011211</v>
      </c>
      <c r="T264" s="615">
        <v>108.3749952462848</v>
      </c>
      <c r="U264" s="615">
        <v>0</v>
      </c>
      <c r="V264" s="615">
        <v>10.515727799955821</v>
      </c>
      <c r="W264" s="615">
        <v>459.18214152519721</v>
      </c>
      <c r="X264" s="615">
        <v>59.8694909587783</v>
      </c>
      <c r="Y264" s="615">
        <v>2.2066819741559995</v>
      </c>
      <c r="Z264" s="615">
        <v>1486.1580408689645</v>
      </c>
      <c r="AA264" s="51"/>
    </row>
    <row r="265" spans="6:27" x14ac:dyDescent="0.25">
      <c r="F265" s="51"/>
      <c r="G265" s="610" t="s">
        <v>84</v>
      </c>
      <c r="H265" s="611">
        <v>0</v>
      </c>
      <c r="I265" s="611">
        <v>0</v>
      </c>
      <c r="J265" s="611">
        <v>114.96624488360118</v>
      </c>
      <c r="K265" s="611">
        <v>0</v>
      </c>
      <c r="L265" s="611">
        <v>13.488812976114151</v>
      </c>
      <c r="M265" s="611">
        <v>0</v>
      </c>
      <c r="N265" s="611">
        <v>0</v>
      </c>
      <c r="O265" s="611">
        <v>0</v>
      </c>
      <c r="P265" s="720">
        <v>9.0583762800977241E-2</v>
      </c>
      <c r="Q265" s="611">
        <v>0</v>
      </c>
      <c r="R265" s="611">
        <v>0.16009636691741183</v>
      </c>
      <c r="S265" s="611">
        <v>0</v>
      </c>
      <c r="T265" s="611">
        <v>0</v>
      </c>
      <c r="U265" s="611">
        <v>0</v>
      </c>
      <c r="V265" s="611">
        <v>0</v>
      </c>
      <c r="W265" s="611">
        <v>0</v>
      </c>
      <c r="X265" s="611">
        <v>0</v>
      </c>
      <c r="Y265" s="611">
        <v>0.64382323980331424</v>
      </c>
      <c r="Z265" s="619">
        <v>129.34956122923703</v>
      </c>
      <c r="AA265" s="51"/>
    </row>
    <row r="266" spans="6:27" x14ac:dyDescent="0.25">
      <c r="F266" s="51"/>
      <c r="G266" s="614" t="s">
        <v>85</v>
      </c>
      <c r="H266" s="615">
        <v>2.5368789062500001</v>
      </c>
      <c r="I266" s="615">
        <v>0</v>
      </c>
      <c r="J266" s="615">
        <v>554.96908721514546</v>
      </c>
      <c r="K266" s="615">
        <v>0</v>
      </c>
      <c r="L266" s="615">
        <v>232.05946876777699</v>
      </c>
      <c r="M266" s="615">
        <v>0</v>
      </c>
      <c r="N266" s="615">
        <v>0</v>
      </c>
      <c r="O266" s="615">
        <v>0</v>
      </c>
      <c r="P266" s="615">
        <v>107.97048711103449</v>
      </c>
      <c r="Q266" s="615">
        <v>8.5967036018731431</v>
      </c>
      <c r="R266" s="615">
        <v>41.541928680934888</v>
      </c>
      <c r="S266" s="615">
        <v>27.040187071011211</v>
      </c>
      <c r="T266" s="615">
        <v>108.3749952462848</v>
      </c>
      <c r="U266" s="615">
        <v>0</v>
      </c>
      <c r="V266" s="615">
        <v>10.515727799955821</v>
      </c>
      <c r="W266" s="615">
        <v>459.18214152519721</v>
      </c>
      <c r="X266" s="615">
        <v>59.8694909587783</v>
      </c>
      <c r="Y266" s="615">
        <v>2.8505052139593139</v>
      </c>
      <c r="Z266" s="615">
        <v>1615.5076020982015</v>
      </c>
      <c r="AA266" s="51"/>
    </row>
    <row r="267" spans="6:27" x14ac:dyDescent="0.25">
      <c r="F267" s="51"/>
      <c r="G267" s="51"/>
      <c r="H267" s="67">
        <v>0</v>
      </c>
      <c r="I267" s="67">
        <v>0</v>
      </c>
      <c r="J267" s="67">
        <v>0</v>
      </c>
      <c r="K267" s="67">
        <v>0</v>
      </c>
      <c r="L267" s="67">
        <v>0</v>
      </c>
      <c r="M267" s="67">
        <v>0</v>
      </c>
      <c r="N267" s="67">
        <v>0</v>
      </c>
      <c r="O267" s="67">
        <v>0</v>
      </c>
      <c r="P267" s="67">
        <v>0</v>
      </c>
      <c r="Q267" s="67">
        <v>0</v>
      </c>
      <c r="R267" s="67">
        <v>0</v>
      </c>
      <c r="S267" s="67">
        <v>-1.7183712498098913E-2</v>
      </c>
      <c r="T267" s="67">
        <v>0</v>
      </c>
      <c r="U267" s="67">
        <v>0</v>
      </c>
      <c r="V267" s="67">
        <v>0</v>
      </c>
      <c r="W267" s="67">
        <v>0</v>
      </c>
      <c r="X267" s="721">
        <v>-2.9102377823164716E-5</v>
      </c>
      <c r="Y267" s="67">
        <v>-7.4246164771807344E-16</v>
      </c>
      <c r="Z267" s="67">
        <v>-1.7212814876074845E-2</v>
      </c>
      <c r="AA267" s="51"/>
    </row>
    <row r="268" spans="6:27" x14ac:dyDescent="0.25">
      <c r="F268" s="51"/>
      <c r="G268" s="51"/>
      <c r="H268" s="51"/>
      <c r="I268" s="51"/>
      <c r="J268" s="51"/>
      <c r="K268" s="67"/>
      <c r="L268" s="51"/>
      <c r="M268" s="51"/>
      <c r="N268" s="51"/>
      <c r="O268" s="51"/>
      <c r="P268" s="51"/>
      <c r="Q268" s="51"/>
      <c r="R268" s="51"/>
      <c r="S268" s="51"/>
      <c r="T268" s="51"/>
      <c r="U268" s="51"/>
      <c r="V268" s="51"/>
      <c r="W268" s="51"/>
      <c r="X268" s="51"/>
      <c r="Y268" s="51"/>
      <c r="Z268" s="51"/>
      <c r="AA268" s="51"/>
    </row>
    <row r="269" spans="6:27" x14ac:dyDescent="0.25">
      <c r="F269" s="606"/>
      <c r="G269" s="607" t="s">
        <v>88</v>
      </c>
      <c r="H269" s="606"/>
      <c r="I269" s="606"/>
      <c r="J269" s="606"/>
      <c r="K269" s="682"/>
      <c r="L269" s="606"/>
      <c r="M269" s="606"/>
      <c r="N269" s="606"/>
      <c r="O269" s="606"/>
      <c r="P269" s="606"/>
      <c r="Q269" s="606"/>
      <c r="R269" s="606"/>
      <c r="S269" s="606"/>
      <c r="T269" s="606"/>
      <c r="U269" s="606"/>
      <c r="V269" s="606"/>
      <c r="W269" s="606"/>
      <c r="X269" s="606"/>
      <c r="Y269" s="606"/>
      <c r="Z269" s="606"/>
      <c r="AA269" s="606"/>
    </row>
    <row r="270" spans="6:27" x14ac:dyDescent="0.25">
      <c r="F270" s="51"/>
      <c r="G270" s="51"/>
      <c r="H270" s="51"/>
      <c r="I270" s="51"/>
      <c r="J270" s="51"/>
      <c r="K270" s="67"/>
      <c r="L270" s="51"/>
      <c r="M270" s="51"/>
      <c r="N270" s="51"/>
      <c r="O270" s="51"/>
      <c r="P270" s="51"/>
      <c r="Q270" s="51"/>
      <c r="R270" s="51"/>
      <c r="S270" s="51"/>
      <c r="T270" s="51"/>
      <c r="U270" s="51"/>
      <c r="V270" s="51"/>
      <c r="W270" s="51"/>
      <c r="X270" s="51"/>
      <c r="Y270" s="51"/>
      <c r="Z270" s="51"/>
      <c r="AA270" s="51"/>
    </row>
    <row r="271" spans="6:27" x14ac:dyDescent="0.25">
      <c r="F271" s="51"/>
      <c r="G271" s="764" t="s">
        <v>128</v>
      </c>
      <c r="H271" s="753" t="s">
        <v>42</v>
      </c>
      <c r="I271" s="753" t="s">
        <v>52</v>
      </c>
      <c r="J271" s="753" t="s">
        <v>53</v>
      </c>
      <c r="K271" s="766" t="s">
        <v>482</v>
      </c>
      <c r="L271" s="753" t="s">
        <v>32</v>
      </c>
      <c r="M271" s="753" t="s">
        <v>483</v>
      </c>
      <c r="N271" s="753" t="s">
        <v>20</v>
      </c>
      <c r="O271" s="753" t="s">
        <v>55</v>
      </c>
      <c r="P271" s="761" t="s">
        <v>56</v>
      </c>
      <c r="Q271" s="762"/>
      <c r="R271" s="762"/>
      <c r="S271" s="762"/>
      <c r="T271" s="762"/>
      <c r="U271" s="762"/>
      <c r="V271" s="763"/>
      <c r="W271" s="753" t="s">
        <v>57</v>
      </c>
      <c r="X271" s="753" t="s">
        <v>58</v>
      </c>
      <c r="Y271" s="753" t="s">
        <v>31</v>
      </c>
      <c r="Z271" s="753" t="s">
        <v>10</v>
      </c>
      <c r="AA271" s="51"/>
    </row>
    <row r="272" spans="6:27" ht="36" x14ac:dyDescent="0.25">
      <c r="F272" s="51"/>
      <c r="G272" s="765"/>
      <c r="H272" s="754"/>
      <c r="I272" s="754"/>
      <c r="J272" s="754"/>
      <c r="K272" s="767"/>
      <c r="L272" s="754"/>
      <c r="M272" s="754"/>
      <c r="N272" s="754"/>
      <c r="O272" s="754"/>
      <c r="P272" s="608" t="s">
        <v>335</v>
      </c>
      <c r="Q272" s="608" t="s">
        <v>40</v>
      </c>
      <c r="R272" s="608" t="s">
        <v>343</v>
      </c>
      <c r="S272" s="608" t="s">
        <v>344</v>
      </c>
      <c r="T272" s="609" t="s">
        <v>345</v>
      </c>
      <c r="U272" s="609" t="s">
        <v>609</v>
      </c>
      <c r="V272" s="608" t="s">
        <v>346</v>
      </c>
      <c r="W272" s="754"/>
      <c r="X272" s="754"/>
      <c r="Y272" s="754"/>
      <c r="Z272" s="754"/>
      <c r="AA272" s="51"/>
    </row>
    <row r="273" spans="6:27" x14ac:dyDescent="0.25">
      <c r="F273" s="51"/>
      <c r="G273" s="610" t="s">
        <v>59</v>
      </c>
      <c r="H273" s="611">
        <v>0</v>
      </c>
      <c r="I273" s="611">
        <v>9.5366</v>
      </c>
      <c r="J273" s="611">
        <v>0</v>
      </c>
      <c r="K273" s="611">
        <v>0</v>
      </c>
      <c r="L273" s="611">
        <v>0.19771000000000002</v>
      </c>
      <c r="M273" s="611">
        <v>0</v>
      </c>
      <c r="N273" s="612">
        <v>1170.5483636363635</v>
      </c>
      <c r="O273" s="612">
        <v>211.05320151197157</v>
      </c>
      <c r="P273" s="611">
        <v>290.91008816794533</v>
      </c>
      <c r="Q273" s="612">
        <v>51.094236462375186</v>
      </c>
      <c r="R273" s="611">
        <v>0</v>
      </c>
      <c r="S273" s="611">
        <v>0</v>
      </c>
      <c r="T273" s="612">
        <v>124.16711547268557</v>
      </c>
      <c r="U273" s="612">
        <v>5.5922659753689832</v>
      </c>
      <c r="V273" s="612">
        <v>22.58468388139195</v>
      </c>
      <c r="W273" s="611">
        <v>0</v>
      </c>
      <c r="X273" s="611">
        <v>0</v>
      </c>
      <c r="Y273" s="611">
        <v>0</v>
      </c>
      <c r="Z273" s="613">
        <v>1885.6842651081022</v>
      </c>
      <c r="AA273" s="51"/>
    </row>
    <row r="274" spans="6:27" x14ac:dyDescent="0.25">
      <c r="F274" s="51"/>
      <c r="G274" s="610" t="s">
        <v>60</v>
      </c>
      <c r="H274" s="611">
        <v>22.464942871093751</v>
      </c>
      <c r="I274" s="611">
        <v>389.53221362524027</v>
      </c>
      <c r="J274" s="611">
        <v>202.97851930888072</v>
      </c>
      <c r="K274" s="611">
        <v>0</v>
      </c>
      <c r="L274" s="620">
        <v>267.33328549941001</v>
      </c>
      <c r="M274" s="611">
        <v>0</v>
      </c>
      <c r="N274" s="611">
        <v>0</v>
      </c>
      <c r="O274" s="611">
        <v>0</v>
      </c>
      <c r="P274" s="611">
        <v>4.0538456241052359</v>
      </c>
      <c r="Q274" s="611">
        <v>0</v>
      </c>
      <c r="R274" s="611">
        <v>5.1043186047972853</v>
      </c>
      <c r="S274" s="611">
        <v>12.337837782216525</v>
      </c>
      <c r="T274" s="611">
        <v>0</v>
      </c>
      <c r="U274" s="611">
        <v>0</v>
      </c>
      <c r="V274" s="611">
        <v>0</v>
      </c>
      <c r="W274" s="611">
        <v>0</v>
      </c>
      <c r="X274" s="611">
        <v>0</v>
      </c>
      <c r="Y274" s="611">
        <v>0</v>
      </c>
      <c r="Z274" s="613">
        <v>903.80496331574375</v>
      </c>
      <c r="AA274" s="51"/>
    </row>
    <row r="275" spans="6:27" x14ac:dyDescent="0.25">
      <c r="F275" s="51"/>
      <c r="G275" s="610" t="s">
        <v>61</v>
      </c>
      <c r="H275" s="611">
        <v>0</v>
      </c>
      <c r="I275" s="611">
        <v>0</v>
      </c>
      <c r="J275" s="611">
        <v>0</v>
      </c>
      <c r="K275" s="611">
        <v>-0.25</v>
      </c>
      <c r="L275" s="611">
        <v>0</v>
      </c>
      <c r="M275" s="611">
        <v>0</v>
      </c>
      <c r="N275" s="611">
        <v>0</v>
      </c>
      <c r="O275" s="611">
        <v>0</v>
      </c>
      <c r="P275" s="611">
        <v>0</v>
      </c>
      <c r="Q275" s="611">
        <v>0</v>
      </c>
      <c r="R275" s="611">
        <v>0</v>
      </c>
      <c r="S275" s="611">
        <v>0</v>
      </c>
      <c r="T275" s="611">
        <v>0</v>
      </c>
      <c r="U275" s="611">
        <v>0</v>
      </c>
      <c r="V275" s="611">
        <v>0</v>
      </c>
      <c r="W275" s="611">
        <v>-57.004792385507699</v>
      </c>
      <c r="X275" s="611">
        <v>0</v>
      </c>
      <c r="Y275" s="611">
        <v>0</v>
      </c>
      <c r="Z275" s="613">
        <v>-57.254792385507699</v>
      </c>
      <c r="AA275" s="51"/>
    </row>
    <row r="276" spans="6:27" x14ac:dyDescent="0.25">
      <c r="F276" s="51"/>
      <c r="G276" s="610" t="s">
        <v>62</v>
      </c>
      <c r="H276" s="611">
        <v>0</v>
      </c>
      <c r="I276" s="611">
        <v>0</v>
      </c>
      <c r="J276" s="611">
        <v>-8.8542757571138289</v>
      </c>
      <c r="K276" s="611">
        <v>-0.23021574029600306</v>
      </c>
      <c r="L276" s="611">
        <v>-1.4644559448503458</v>
      </c>
      <c r="M276" s="611">
        <v>-0.23021574029600303</v>
      </c>
      <c r="N276" s="611">
        <v>0</v>
      </c>
      <c r="O276" s="611">
        <v>0</v>
      </c>
      <c r="P276" s="611">
        <v>0</v>
      </c>
      <c r="Q276" s="611">
        <v>0</v>
      </c>
      <c r="R276" s="611">
        <v>0</v>
      </c>
      <c r="S276" s="611">
        <v>-0.67992597439480318</v>
      </c>
      <c r="T276" s="611">
        <v>0</v>
      </c>
      <c r="U276" s="611">
        <v>0</v>
      </c>
      <c r="V276" s="611">
        <v>0</v>
      </c>
      <c r="W276" s="611">
        <v>0</v>
      </c>
      <c r="X276" s="611">
        <v>0</v>
      </c>
      <c r="Y276" s="611">
        <v>-8.5184540446497051E-2</v>
      </c>
      <c r="Z276" s="613">
        <v>-11.544273697397482</v>
      </c>
      <c r="AA276" s="51"/>
    </row>
    <row r="277" spans="6:27" x14ac:dyDescent="0.25">
      <c r="F277" s="51"/>
      <c r="G277" s="610" t="s">
        <v>63</v>
      </c>
      <c r="H277" s="611">
        <v>0</v>
      </c>
      <c r="I277" s="611">
        <v>0</v>
      </c>
      <c r="J277" s="611">
        <v>-70</v>
      </c>
      <c r="K277" s="611">
        <v>-1</v>
      </c>
      <c r="L277" s="611">
        <v>0</v>
      </c>
      <c r="M277" s="611">
        <v>0</v>
      </c>
      <c r="N277" s="611">
        <v>0</v>
      </c>
      <c r="O277" s="611">
        <v>0</v>
      </c>
      <c r="P277" s="611">
        <v>0</v>
      </c>
      <c r="Q277" s="611">
        <v>0</v>
      </c>
      <c r="R277" s="611">
        <v>-4</v>
      </c>
      <c r="S277" s="611">
        <v>0</v>
      </c>
      <c r="T277" s="611">
        <v>0</v>
      </c>
      <c r="U277" s="611">
        <v>0</v>
      </c>
      <c r="V277" s="611">
        <v>0</v>
      </c>
      <c r="W277" s="611">
        <v>0</v>
      </c>
      <c r="X277" s="611">
        <v>0</v>
      </c>
      <c r="Y277" s="611">
        <v>0</v>
      </c>
      <c r="Z277" s="613">
        <v>-75</v>
      </c>
      <c r="AA277" s="51"/>
    </row>
    <row r="278" spans="6:27" x14ac:dyDescent="0.25">
      <c r="F278" s="51"/>
      <c r="G278" s="610" t="s">
        <v>64</v>
      </c>
      <c r="H278" s="611">
        <v>0</v>
      </c>
      <c r="I278" s="611">
        <v>0</v>
      </c>
      <c r="J278" s="611">
        <v>0</v>
      </c>
      <c r="K278" s="611">
        <v>0</v>
      </c>
      <c r="L278" s="611">
        <v>0</v>
      </c>
      <c r="M278" s="611">
        <v>0</v>
      </c>
      <c r="N278" s="611">
        <v>0</v>
      </c>
      <c r="O278" s="611">
        <v>0</v>
      </c>
      <c r="P278" s="611">
        <v>0</v>
      </c>
      <c r="Q278" s="611">
        <v>0</v>
      </c>
      <c r="R278" s="611">
        <v>0</v>
      </c>
      <c r="S278" s="611">
        <v>0</v>
      </c>
      <c r="T278" s="611">
        <v>0</v>
      </c>
      <c r="U278" s="611">
        <v>0</v>
      </c>
      <c r="V278" s="611">
        <v>0</v>
      </c>
      <c r="W278" s="611">
        <v>0</v>
      </c>
      <c r="X278" s="611">
        <v>0</v>
      </c>
      <c r="Y278" s="611">
        <v>0</v>
      </c>
      <c r="Z278" s="613">
        <v>0</v>
      </c>
      <c r="AA278" s="51"/>
    </row>
    <row r="279" spans="6:27" x14ac:dyDescent="0.25">
      <c r="F279" s="51"/>
      <c r="G279" s="614" t="s">
        <v>65</v>
      </c>
      <c r="H279" s="615">
        <v>22.464942871093751</v>
      </c>
      <c r="I279" s="615">
        <v>399.0688136252403</v>
      </c>
      <c r="J279" s="615">
        <v>124.12424355176688</v>
      </c>
      <c r="K279" s="615">
        <v>-1.480215740296003</v>
      </c>
      <c r="L279" s="615">
        <v>266.06653955455965</v>
      </c>
      <c r="M279" s="615">
        <v>-0.23021574029600303</v>
      </c>
      <c r="N279" s="615">
        <v>1170.5483636363635</v>
      </c>
      <c r="O279" s="615">
        <v>211.05320151197157</v>
      </c>
      <c r="P279" s="615">
        <v>294.96393379205057</v>
      </c>
      <c r="Q279" s="615">
        <v>51.094236462375186</v>
      </c>
      <c r="R279" s="615">
        <v>1.1043186047972853</v>
      </c>
      <c r="S279" s="615">
        <v>11.657911807821721</v>
      </c>
      <c r="T279" s="615">
        <v>124.16711547268557</v>
      </c>
      <c r="U279" s="615">
        <v>5.5922659753689832</v>
      </c>
      <c r="V279" s="615">
        <v>22.58468388139195</v>
      </c>
      <c r="W279" s="615">
        <v>-57.004792385507699</v>
      </c>
      <c r="X279" s="615">
        <v>0</v>
      </c>
      <c r="Y279" s="615">
        <v>-8.5184540446497051E-2</v>
      </c>
      <c r="Z279" s="615">
        <v>2645.6901623409408</v>
      </c>
      <c r="AA279" s="51"/>
    </row>
    <row r="280" spans="6:27" x14ac:dyDescent="0.25">
      <c r="F280" s="51"/>
      <c r="G280" s="616"/>
      <c r="H280" s="617"/>
      <c r="I280" s="617"/>
      <c r="J280" s="617"/>
      <c r="K280" s="617"/>
      <c r="L280" s="617"/>
      <c r="M280" s="617"/>
      <c r="N280" s="617"/>
      <c r="O280" s="617"/>
      <c r="P280" s="617"/>
      <c r="Q280" s="617"/>
      <c r="R280" s="617"/>
      <c r="S280" s="617"/>
      <c r="T280" s="617"/>
      <c r="U280" s="617"/>
      <c r="V280" s="617"/>
      <c r="W280" s="617"/>
      <c r="X280" s="617"/>
      <c r="Y280" s="617"/>
      <c r="Z280" s="617"/>
      <c r="AA280" s="51"/>
    </row>
    <row r="281" spans="6:27" x14ac:dyDescent="0.25">
      <c r="F281" s="51"/>
      <c r="G281" s="618" t="s">
        <v>67</v>
      </c>
      <c r="H281" s="611">
        <v>0</v>
      </c>
      <c r="I281" s="611">
        <v>0</v>
      </c>
      <c r="J281" s="611">
        <v>0</v>
      </c>
      <c r="K281" s="611">
        <v>0</v>
      </c>
      <c r="L281" s="611">
        <v>0</v>
      </c>
      <c r="M281" s="611">
        <v>0</v>
      </c>
      <c r="N281" s="611">
        <v>0</v>
      </c>
      <c r="O281" s="611">
        <v>0</v>
      </c>
      <c r="P281" s="611">
        <v>0</v>
      </c>
      <c r="Q281" s="611">
        <v>0</v>
      </c>
      <c r="R281" s="611">
        <v>0</v>
      </c>
      <c r="S281" s="611">
        <v>0</v>
      </c>
      <c r="T281" s="611">
        <v>0</v>
      </c>
      <c r="U281" s="611">
        <v>0</v>
      </c>
      <c r="V281" s="611">
        <v>0</v>
      </c>
      <c r="W281" s="611">
        <v>0</v>
      </c>
      <c r="X281" s="611">
        <v>0</v>
      </c>
      <c r="Y281" s="611">
        <v>0</v>
      </c>
      <c r="Z281" s="619">
        <v>0</v>
      </c>
      <c r="AA281" s="51"/>
    </row>
    <row r="282" spans="6:27" x14ac:dyDescent="0.25">
      <c r="F282" s="51"/>
      <c r="G282" s="618" t="s">
        <v>347</v>
      </c>
      <c r="H282" s="611">
        <v>0</v>
      </c>
      <c r="I282" s="611">
        <v>0</v>
      </c>
      <c r="J282" s="611">
        <v>0.77863803143112786</v>
      </c>
      <c r="K282" s="611">
        <v>0</v>
      </c>
      <c r="L282" s="611">
        <v>37.284874621454541</v>
      </c>
      <c r="M282" s="611">
        <v>0</v>
      </c>
      <c r="N282" s="611">
        <v>1170.5483636363635</v>
      </c>
      <c r="O282" s="611">
        <v>211.05320151197157</v>
      </c>
      <c r="P282" s="611">
        <v>13.643826551456822</v>
      </c>
      <c r="Q282" s="611">
        <v>6.3714737362755738</v>
      </c>
      <c r="R282" s="611">
        <v>4.4112574708908179</v>
      </c>
      <c r="S282" s="611">
        <v>11.131476471231387</v>
      </c>
      <c r="T282" s="611">
        <v>0</v>
      </c>
      <c r="U282" s="611">
        <v>0</v>
      </c>
      <c r="V282" s="611">
        <v>0</v>
      </c>
      <c r="W282" s="611">
        <v>-636.49198102617061</v>
      </c>
      <c r="X282" s="611">
        <v>0</v>
      </c>
      <c r="Y282" s="611">
        <v>0</v>
      </c>
      <c r="Z282" s="619">
        <v>818.73113100490491</v>
      </c>
      <c r="AA282" s="51"/>
    </row>
    <row r="283" spans="6:27" x14ac:dyDescent="0.25">
      <c r="F283" s="51"/>
      <c r="G283" s="618" t="s">
        <v>348</v>
      </c>
      <c r="H283" s="611">
        <v>0</v>
      </c>
      <c r="I283" s="611">
        <v>0</v>
      </c>
      <c r="J283" s="611">
        <v>0</v>
      </c>
      <c r="K283" s="611">
        <v>0</v>
      </c>
      <c r="L283" s="611">
        <v>21.01937665904569</v>
      </c>
      <c r="M283" s="611">
        <v>0</v>
      </c>
      <c r="N283" s="611">
        <v>0</v>
      </c>
      <c r="O283" s="611">
        <v>0</v>
      </c>
      <c r="P283" s="611">
        <v>25.438759695297328</v>
      </c>
      <c r="Q283" s="611">
        <v>17.519848610972289</v>
      </c>
      <c r="R283" s="611">
        <v>0</v>
      </c>
      <c r="S283" s="611">
        <v>5.5617593110833985</v>
      </c>
      <c r="T283" s="611">
        <v>0</v>
      </c>
      <c r="U283" s="611">
        <v>5.5922659753689832</v>
      </c>
      <c r="V283" s="611">
        <v>10.223550533524911</v>
      </c>
      <c r="W283" s="611">
        <v>0</v>
      </c>
      <c r="X283" s="620">
        <v>-76.161434631032037</v>
      </c>
      <c r="Y283" s="611">
        <v>0</v>
      </c>
      <c r="Z283" s="619">
        <v>9.194126154260573</v>
      </c>
      <c r="AA283" s="51"/>
    </row>
    <row r="284" spans="6:27" x14ac:dyDescent="0.25">
      <c r="F284" s="51"/>
      <c r="G284" s="618" t="s">
        <v>349</v>
      </c>
      <c r="H284" s="611">
        <v>0</v>
      </c>
      <c r="I284" s="611">
        <v>0</v>
      </c>
      <c r="J284" s="611">
        <v>0</v>
      </c>
      <c r="K284" s="611">
        <v>0</v>
      </c>
      <c r="L284" s="611">
        <v>0</v>
      </c>
      <c r="M284" s="611">
        <v>0</v>
      </c>
      <c r="N284" s="611">
        <v>0</v>
      </c>
      <c r="O284" s="611">
        <v>0</v>
      </c>
      <c r="P284" s="611">
        <v>68.878327619299128</v>
      </c>
      <c r="Q284" s="611">
        <v>9.6609327353265275</v>
      </c>
      <c r="R284" s="611">
        <v>0</v>
      </c>
      <c r="S284" s="611">
        <v>-39.337598681233651</v>
      </c>
      <c r="T284" s="611">
        <v>0</v>
      </c>
      <c r="U284" s="611">
        <v>0</v>
      </c>
      <c r="V284" s="611">
        <v>0</v>
      </c>
      <c r="W284" s="611">
        <v>0</v>
      </c>
      <c r="X284" s="611">
        <v>0</v>
      </c>
      <c r="Y284" s="611">
        <v>0</v>
      </c>
      <c r="Z284" s="619">
        <v>39.201661673392003</v>
      </c>
      <c r="AA284" s="51"/>
    </row>
    <row r="285" spans="6:27" x14ac:dyDescent="0.25">
      <c r="F285" s="51"/>
      <c r="G285" s="618" t="s">
        <v>350</v>
      </c>
      <c r="H285" s="611">
        <v>0</v>
      </c>
      <c r="I285" s="611">
        <v>0</v>
      </c>
      <c r="J285" s="611">
        <v>0</v>
      </c>
      <c r="K285" s="611">
        <v>0</v>
      </c>
      <c r="L285" s="611">
        <v>0</v>
      </c>
      <c r="M285" s="620">
        <v>-0.23021574029600303</v>
      </c>
      <c r="N285" s="611">
        <v>0</v>
      </c>
      <c r="O285" s="611">
        <v>0</v>
      </c>
      <c r="P285" s="611">
        <v>0</v>
      </c>
      <c r="Q285" s="611">
        <v>0</v>
      </c>
      <c r="R285" s="611">
        <v>0</v>
      </c>
      <c r="S285" s="611">
        <v>0</v>
      </c>
      <c r="T285" s="611">
        <v>0</v>
      </c>
      <c r="U285" s="611">
        <v>0</v>
      </c>
      <c r="V285" s="611">
        <v>0</v>
      </c>
      <c r="W285" s="611">
        <v>0</v>
      </c>
      <c r="X285" s="611">
        <v>0</v>
      </c>
      <c r="Y285" s="611">
        <v>0.31974408374444868</v>
      </c>
      <c r="Z285" s="619">
        <v>8.9528343448445652E-2</v>
      </c>
      <c r="AA285" s="51"/>
    </row>
    <row r="286" spans="6:27" x14ac:dyDescent="0.25">
      <c r="F286" s="51"/>
      <c r="G286" s="618" t="s">
        <v>72</v>
      </c>
      <c r="H286" s="611">
        <v>0</v>
      </c>
      <c r="I286" s="611">
        <v>413.59716113320059</v>
      </c>
      <c r="J286" s="611">
        <v>-409.46118952186856</v>
      </c>
      <c r="K286" s="611">
        <v>0</v>
      </c>
      <c r="L286" s="611">
        <v>0</v>
      </c>
      <c r="M286" s="611">
        <v>0</v>
      </c>
      <c r="N286" s="611">
        <v>0</v>
      </c>
      <c r="O286" s="611">
        <v>0</v>
      </c>
      <c r="P286" s="611">
        <v>0</v>
      </c>
      <c r="Q286" s="611">
        <v>0</v>
      </c>
      <c r="R286" s="611">
        <v>0</v>
      </c>
      <c r="S286" s="611">
        <v>0</v>
      </c>
      <c r="T286" s="611">
        <v>0</v>
      </c>
      <c r="U286" s="611">
        <v>0</v>
      </c>
      <c r="V286" s="611">
        <v>0</v>
      </c>
      <c r="W286" s="611">
        <v>0</v>
      </c>
      <c r="X286" s="611">
        <v>0</v>
      </c>
      <c r="Y286" s="611">
        <v>0</v>
      </c>
      <c r="Z286" s="619">
        <v>4.1359716113320246</v>
      </c>
      <c r="AA286" s="51"/>
    </row>
    <row r="287" spans="6:27" x14ac:dyDescent="0.25">
      <c r="F287" s="51"/>
      <c r="G287" s="618" t="s">
        <v>351</v>
      </c>
      <c r="H287" s="611">
        <v>0</v>
      </c>
      <c r="I287" s="611">
        <v>0</v>
      </c>
      <c r="J287" s="611">
        <v>0</v>
      </c>
      <c r="K287" s="611">
        <v>0</v>
      </c>
      <c r="L287" s="611">
        <v>0</v>
      </c>
      <c r="M287" s="611">
        <v>0</v>
      </c>
      <c r="N287" s="611">
        <v>0</v>
      </c>
      <c r="O287" s="611">
        <v>0</v>
      </c>
      <c r="P287" s="611">
        <v>74.303583996360487</v>
      </c>
      <c r="Q287" s="611">
        <v>7.2727272727272725</v>
      </c>
      <c r="R287" s="620">
        <v>-45.504026449722858</v>
      </c>
      <c r="S287" s="611">
        <v>0</v>
      </c>
      <c r="T287" s="611">
        <v>0</v>
      </c>
      <c r="U287" s="611">
        <v>0</v>
      </c>
      <c r="V287" s="611">
        <v>0</v>
      </c>
      <c r="W287" s="611">
        <v>0</v>
      </c>
      <c r="X287" s="611">
        <v>0</v>
      </c>
      <c r="Y287" s="611">
        <v>0</v>
      </c>
      <c r="Z287" s="619">
        <v>36.072284819364896</v>
      </c>
      <c r="AA287" s="51"/>
    </row>
    <row r="288" spans="6:27" x14ac:dyDescent="0.25">
      <c r="F288" s="51"/>
      <c r="G288" s="618" t="s">
        <v>352</v>
      </c>
      <c r="H288" s="611">
        <v>0</v>
      </c>
      <c r="I288" s="611">
        <v>0</v>
      </c>
      <c r="J288" s="611">
        <v>0</v>
      </c>
      <c r="K288" s="611">
        <v>-1.480215740296003</v>
      </c>
      <c r="L288" s="611">
        <v>0</v>
      </c>
      <c r="M288" s="611">
        <v>0</v>
      </c>
      <c r="N288" s="611">
        <v>0</v>
      </c>
      <c r="O288" s="611">
        <v>0</v>
      </c>
      <c r="P288" s="611">
        <v>0</v>
      </c>
      <c r="Q288" s="611">
        <v>0</v>
      </c>
      <c r="R288" s="611">
        <v>0</v>
      </c>
      <c r="S288" s="611">
        <v>0</v>
      </c>
      <c r="T288" s="611">
        <v>0</v>
      </c>
      <c r="U288" s="611">
        <v>0</v>
      </c>
      <c r="V288" s="611">
        <v>0</v>
      </c>
      <c r="W288" s="611">
        <v>0</v>
      </c>
      <c r="X288" s="611">
        <v>0</v>
      </c>
      <c r="Y288" s="611">
        <v>2.4532373143256034</v>
      </c>
      <c r="Z288" s="619">
        <v>0.97302157402960043</v>
      </c>
      <c r="AA288" s="51"/>
    </row>
    <row r="289" spans="6:27" x14ac:dyDescent="0.25">
      <c r="F289" s="51"/>
      <c r="G289" s="618" t="s">
        <v>73</v>
      </c>
      <c r="H289" s="611">
        <v>0</v>
      </c>
      <c r="I289" s="611">
        <v>0</v>
      </c>
      <c r="J289" s="611">
        <v>0</v>
      </c>
      <c r="K289" s="611">
        <v>0</v>
      </c>
      <c r="L289" s="611">
        <v>0</v>
      </c>
      <c r="M289" s="611">
        <v>0</v>
      </c>
      <c r="N289" s="611">
        <v>0</v>
      </c>
      <c r="O289" s="611">
        <v>0</v>
      </c>
      <c r="P289" s="611">
        <v>0</v>
      </c>
      <c r="Q289" s="611">
        <v>0</v>
      </c>
      <c r="R289" s="611">
        <v>0</v>
      </c>
      <c r="S289" s="611">
        <v>0</v>
      </c>
      <c r="T289" s="611">
        <v>0</v>
      </c>
      <c r="U289" s="611">
        <v>0</v>
      </c>
      <c r="V289" s="611">
        <v>0</v>
      </c>
      <c r="W289" s="611">
        <v>18.526359506641338</v>
      </c>
      <c r="X289" s="611">
        <v>0</v>
      </c>
      <c r="Y289" s="611">
        <v>-12.042133679316869</v>
      </c>
      <c r="Z289" s="619">
        <v>6.4842258273244688</v>
      </c>
      <c r="AA289" s="51"/>
    </row>
    <row r="290" spans="6:27" x14ac:dyDescent="0.25">
      <c r="F290" s="51"/>
      <c r="G290" s="618" t="s">
        <v>353</v>
      </c>
      <c r="H290" s="611">
        <v>15.5082364453125</v>
      </c>
      <c r="I290" s="611">
        <v>-14.528347507960277</v>
      </c>
      <c r="J290" s="611">
        <v>19.128276728053308</v>
      </c>
      <c r="K290" s="611">
        <v>0</v>
      </c>
      <c r="L290" s="611">
        <v>0</v>
      </c>
      <c r="M290" s="611">
        <v>0</v>
      </c>
      <c r="N290" s="611">
        <v>0</v>
      </c>
      <c r="O290" s="611">
        <v>0</v>
      </c>
      <c r="P290" s="611">
        <v>0</v>
      </c>
      <c r="Q290" s="611">
        <v>0</v>
      </c>
      <c r="R290" s="611">
        <v>0</v>
      </c>
      <c r="S290" s="611">
        <v>0</v>
      </c>
      <c r="T290" s="611">
        <v>0</v>
      </c>
      <c r="U290" s="611">
        <v>0</v>
      </c>
      <c r="V290" s="611">
        <v>0</v>
      </c>
      <c r="W290" s="611">
        <v>0</v>
      </c>
      <c r="X290" s="611">
        <v>0</v>
      </c>
      <c r="Y290" s="611">
        <v>0</v>
      </c>
      <c r="Z290" s="619">
        <v>20.108165665405529</v>
      </c>
      <c r="AA290" s="51"/>
    </row>
    <row r="291" spans="6:27" x14ac:dyDescent="0.25">
      <c r="F291" s="51"/>
      <c r="G291" s="618" t="s">
        <v>75</v>
      </c>
      <c r="H291" s="611">
        <v>6.0309808398437506</v>
      </c>
      <c r="I291" s="611">
        <v>0</v>
      </c>
      <c r="J291" s="611">
        <v>14.291538341519651</v>
      </c>
      <c r="K291" s="611">
        <v>0</v>
      </c>
      <c r="L291" s="611">
        <v>0.64620824955973954</v>
      </c>
      <c r="M291" s="611">
        <v>0</v>
      </c>
      <c r="N291" s="611">
        <v>0</v>
      </c>
      <c r="O291" s="611">
        <v>0</v>
      </c>
      <c r="P291" s="611">
        <v>0</v>
      </c>
      <c r="Q291" s="611">
        <v>0</v>
      </c>
      <c r="R291" s="611">
        <v>0</v>
      </c>
      <c r="S291" s="611">
        <v>0.11403674992230699</v>
      </c>
      <c r="T291" s="611">
        <v>0</v>
      </c>
      <c r="U291" s="611">
        <v>0</v>
      </c>
      <c r="V291" s="611">
        <v>0</v>
      </c>
      <c r="W291" s="620">
        <v>33.092757599701173</v>
      </c>
      <c r="X291" s="611">
        <v>0</v>
      </c>
      <c r="Y291" s="611">
        <v>3.3</v>
      </c>
      <c r="Z291" s="619">
        <v>57.475521780546615</v>
      </c>
      <c r="AA291" s="51"/>
    </row>
    <row r="292" spans="6:27" x14ac:dyDescent="0.25">
      <c r="F292" s="51"/>
      <c r="G292" s="618" t="s">
        <v>76</v>
      </c>
      <c r="H292" s="611">
        <v>0</v>
      </c>
      <c r="I292" s="611">
        <v>0</v>
      </c>
      <c r="J292" s="611">
        <v>0</v>
      </c>
      <c r="K292" s="611">
        <v>0</v>
      </c>
      <c r="L292" s="611">
        <v>3.0578662862517128</v>
      </c>
      <c r="M292" s="611">
        <v>0</v>
      </c>
      <c r="N292" s="611">
        <v>0</v>
      </c>
      <c r="O292" s="611">
        <v>0</v>
      </c>
      <c r="P292" s="611">
        <v>0</v>
      </c>
      <c r="Q292" s="611">
        <v>0</v>
      </c>
      <c r="R292" s="611">
        <v>0</v>
      </c>
      <c r="S292" s="611">
        <v>0.53962346227971403</v>
      </c>
      <c r="T292" s="611">
        <v>0</v>
      </c>
      <c r="U292" s="611">
        <v>0</v>
      </c>
      <c r="V292" s="611">
        <v>0</v>
      </c>
      <c r="W292" s="611">
        <v>47.37908571808331</v>
      </c>
      <c r="X292" s="611">
        <v>5.9061205117744695</v>
      </c>
      <c r="Y292" s="611">
        <v>0</v>
      </c>
      <c r="Z292" s="619">
        <v>56.882695978389201</v>
      </c>
      <c r="AA292" s="51"/>
    </row>
    <row r="293" spans="6:27" x14ac:dyDescent="0.25">
      <c r="F293" s="51"/>
      <c r="G293" s="614" t="s">
        <v>77</v>
      </c>
      <c r="H293" s="615">
        <v>21.539217285156251</v>
      </c>
      <c r="I293" s="615">
        <v>399.0688136252403</v>
      </c>
      <c r="J293" s="615">
        <v>-375.26273642086448</v>
      </c>
      <c r="K293" s="615">
        <v>-1.480215740296003</v>
      </c>
      <c r="L293" s="615">
        <v>62.008325816311682</v>
      </c>
      <c r="M293" s="615">
        <v>-0.23021574029600303</v>
      </c>
      <c r="N293" s="615">
        <v>1170.5483636363635</v>
      </c>
      <c r="O293" s="615">
        <v>211.05320151197157</v>
      </c>
      <c r="P293" s="615">
        <v>182.26449786241375</v>
      </c>
      <c r="Q293" s="615">
        <v>40.824982355301664</v>
      </c>
      <c r="R293" s="615">
        <v>-41.092768978832041</v>
      </c>
      <c r="S293" s="615">
        <v>-21.990702686716844</v>
      </c>
      <c r="T293" s="615">
        <v>0</v>
      </c>
      <c r="U293" s="615">
        <v>5.5922659753689832</v>
      </c>
      <c r="V293" s="615">
        <v>10.223550533524911</v>
      </c>
      <c r="W293" s="615">
        <v>-537.49377820174482</v>
      </c>
      <c r="X293" s="615">
        <v>-70.255314119257562</v>
      </c>
      <c r="Y293" s="615">
        <v>-5.9691522812468181</v>
      </c>
      <c r="Z293" s="615">
        <v>1049.3483344323984</v>
      </c>
      <c r="AA293" s="51"/>
    </row>
    <row r="294" spans="6:27" x14ac:dyDescent="0.25">
      <c r="F294" s="51"/>
      <c r="G294" s="616"/>
      <c r="H294" s="617"/>
      <c r="I294" s="617"/>
      <c r="J294" s="617"/>
      <c r="K294" s="617"/>
      <c r="L294" s="617"/>
      <c r="M294" s="617"/>
      <c r="N294" s="617"/>
      <c r="O294" s="617"/>
      <c r="P294" s="617"/>
      <c r="Q294" s="617"/>
      <c r="R294" s="617"/>
      <c r="S294" s="617"/>
      <c r="T294" s="617"/>
      <c r="U294" s="617"/>
      <c r="V294" s="617"/>
      <c r="W294" s="617"/>
      <c r="X294" s="617"/>
      <c r="Y294" s="617"/>
      <c r="Z294" s="617"/>
      <c r="AA294" s="51"/>
    </row>
    <row r="295" spans="6:27" x14ac:dyDescent="0.25">
      <c r="F295" s="51"/>
      <c r="G295" s="618" t="s">
        <v>78</v>
      </c>
      <c r="H295" s="611">
        <v>0.92572558593749998</v>
      </c>
      <c r="I295" s="611">
        <v>0</v>
      </c>
      <c r="J295" s="611">
        <v>11.411404613984462</v>
      </c>
      <c r="K295" s="611">
        <v>0</v>
      </c>
      <c r="L295" s="611">
        <v>66.339251368389611</v>
      </c>
      <c r="M295" s="620">
        <v>0</v>
      </c>
      <c r="N295" s="611">
        <v>0</v>
      </c>
      <c r="O295" s="611">
        <v>0</v>
      </c>
      <c r="P295" s="611">
        <v>40.443549417210768</v>
      </c>
      <c r="Q295" s="611">
        <v>10.269254107073522</v>
      </c>
      <c r="R295" s="611">
        <v>0.94472173154286976</v>
      </c>
      <c r="S295" s="611">
        <v>11.734293648614692</v>
      </c>
      <c r="T295" s="611">
        <v>4.88145654296875</v>
      </c>
      <c r="U295" s="611">
        <v>0</v>
      </c>
      <c r="V295" s="611">
        <v>5.5791983277925228E-4</v>
      </c>
      <c r="W295" s="611">
        <v>149.97591807761651</v>
      </c>
      <c r="X295" s="611">
        <v>19.64973892074547</v>
      </c>
      <c r="Y295" s="611">
        <v>3.6016970214843749</v>
      </c>
      <c r="Z295" s="619">
        <v>320.17756895540128</v>
      </c>
      <c r="AA295" s="51"/>
    </row>
    <row r="296" spans="6:27" x14ac:dyDescent="0.25">
      <c r="F296" s="51"/>
      <c r="G296" s="618" t="s">
        <v>79</v>
      </c>
      <c r="H296" s="611">
        <v>0</v>
      </c>
      <c r="I296" s="611">
        <v>0</v>
      </c>
      <c r="J296" s="611">
        <v>327.31240488287597</v>
      </c>
      <c r="K296" s="611">
        <v>0</v>
      </c>
      <c r="L296" s="611">
        <v>5.5523505805401721</v>
      </c>
      <c r="M296" s="620">
        <v>0</v>
      </c>
      <c r="N296" s="611">
        <v>0</v>
      </c>
      <c r="O296" s="611">
        <v>0</v>
      </c>
      <c r="P296" s="611">
        <v>0</v>
      </c>
      <c r="Q296" s="611">
        <v>0</v>
      </c>
      <c r="R296" s="611">
        <v>37.003548542473339</v>
      </c>
      <c r="S296" s="611">
        <v>0.97982657303650089</v>
      </c>
      <c r="T296" s="611">
        <v>0</v>
      </c>
      <c r="U296" s="611">
        <v>0</v>
      </c>
      <c r="V296" s="611">
        <v>0</v>
      </c>
      <c r="W296" s="611">
        <v>34.37904289575053</v>
      </c>
      <c r="X296" s="611">
        <v>0</v>
      </c>
      <c r="Y296" s="611">
        <v>0.97150026084130414</v>
      </c>
      <c r="Z296" s="619">
        <v>406.19867373551784</v>
      </c>
      <c r="AA296" s="51"/>
    </row>
    <row r="297" spans="6:27" x14ac:dyDescent="0.25">
      <c r="F297" s="51"/>
      <c r="G297" s="618" t="s">
        <v>80</v>
      </c>
      <c r="H297" s="611">
        <v>0</v>
      </c>
      <c r="I297" s="611">
        <v>0</v>
      </c>
      <c r="J297" s="611">
        <v>11.051911751931332</v>
      </c>
      <c r="K297" s="611">
        <v>0</v>
      </c>
      <c r="L297" s="611">
        <v>72.334107180080835</v>
      </c>
      <c r="M297" s="620">
        <v>0</v>
      </c>
      <c r="N297" s="611">
        <v>0</v>
      </c>
      <c r="O297" s="611">
        <v>0</v>
      </c>
      <c r="P297" s="611">
        <v>60.462677002926597</v>
      </c>
      <c r="Q297" s="611">
        <v>0</v>
      </c>
      <c r="R297" s="611">
        <v>0</v>
      </c>
      <c r="S297" s="611">
        <v>12.764842443543676</v>
      </c>
      <c r="T297" s="611">
        <v>86.174932209680449</v>
      </c>
      <c r="U297" s="611">
        <v>0</v>
      </c>
      <c r="V297" s="611">
        <v>6.0227221136395004</v>
      </c>
      <c r="W297" s="611">
        <v>166.37329866218946</v>
      </c>
      <c r="X297" s="611">
        <v>28.91573310749396</v>
      </c>
      <c r="Y297" s="611">
        <v>0</v>
      </c>
      <c r="Z297" s="619">
        <v>444.10022447148577</v>
      </c>
      <c r="AA297" s="51"/>
    </row>
    <row r="298" spans="6:27" x14ac:dyDescent="0.25">
      <c r="F298" s="51"/>
      <c r="G298" s="618" t="s">
        <v>81</v>
      </c>
      <c r="H298" s="611">
        <v>0</v>
      </c>
      <c r="I298" s="611">
        <v>0</v>
      </c>
      <c r="J298" s="611">
        <v>3.647846365657839</v>
      </c>
      <c r="K298" s="611">
        <v>0</v>
      </c>
      <c r="L298" s="611">
        <v>44.827944248312576</v>
      </c>
      <c r="M298" s="620">
        <v>0</v>
      </c>
      <c r="N298" s="611">
        <v>0</v>
      </c>
      <c r="O298" s="611">
        <v>0</v>
      </c>
      <c r="P298" s="611">
        <v>0.66301904787483434</v>
      </c>
      <c r="Q298" s="611">
        <v>0</v>
      </c>
      <c r="R298" s="611">
        <v>0</v>
      </c>
      <c r="S298" s="611">
        <v>7.9108136908786895</v>
      </c>
      <c r="T298" s="611">
        <v>32.610726720036368</v>
      </c>
      <c r="U298" s="611">
        <v>0</v>
      </c>
      <c r="V298" s="611">
        <v>5.7126687446965985</v>
      </c>
      <c r="W298" s="611">
        <v>121.98780292325297</v>
      </c>
      <c r="X298" s="611">
        <v>21.68981250781421</v>
      </c>
      <c r="Y298" s="611">
        <v>0</v>
      </c>
      <c r="Z298" s="619">
        <v>239.05063424852409</v>
      </c>
      <c r="AA298" s="51"/>
    </row>
    <row r="299" spans="6:27" x14ac:dyDescent="0.25">
      <c r="F299" s="51"/>
      <c r="G299" s="618" t="s">
        <v>82</v>
      </c>
      <c r="H299" s="611">
        <v>0</v>
      </c>
      <c r="I299" s="611">
        <v>0</v>
      </c>
      <c r="J299" s="611">
        <v>30.726482620518151</v>
      </c>
      <c r="K299" s="611">
        <v>0</v>
      </c>
      <c r="L299" s="611">
        <v>1.4667494513017647</v>
      </c>
      <c r="M299" s="620">
        <v>0</v>
      </c>
      <c r="N299" s="611">
        <v>0</v>
      </c>
      <c r="O299" s="611">
        <v>0</v>
      </c>
      <c r="P299" s="611">
        <v>11.011050824063592</v>
      </c>
      <c r="Q299" s="611">
        <v>0</v>
      </c>
      <c r="R299" s="611">
        <v>4.0387192002052101</v>
      </c>
      <c r="S299" s="611">
        <v>0.2588381384650173</v>
      </c>
      <c r="T299" s="611">
        <v>0.5</v>
      </c>
      <c r="U299" s="611">
        <v>0</v>
      </c>
      <c r="V299" s="611">
        <v>0.62518456969816016</v>
      </c>
      <c r="W299" s="611">
        <v>7.7729232574275695</v>
      </c>
      <c r="X299" s="611">
        <v>0</v>
      </c>
      <c r="Y299" s="611">
        <v>0.17366238047171115</v>
      </c>
      <c r="Z299" s="619">
        <v>56.573610442151178</v>
      </c>
      <c r="AA299" s="51"/>
    </row>
    <row r="300" spans="6:27" x14ac:dyDescent="0.25">
      <c r="F300" s="51"/>
      <c r="G300" s="618" t="s">
        <v>354</v>
      </c>
      <c r="H300" s="611">
        <v>0</v>
      </c>
      <c r="I300" s="611">
        <v>0</v>
      </c>
      <c r="J300" s="611">
        <v>0</v>
      </c>
      <c r="K300" s="611">
        <v>0</v>
      </c>
      <c r="L300" s="611">
        <v>0</v>
      </c>
      <c r="M300" s="611">
        <v>0</v>
      </c>
      <c r="N300" s="611">
        <v>0</v>
      </c>
      <c r="O300" s="611">
        <v>0</v>
      </c>
      <c r="P300" s="611">
        <v>0</v>
      </c>
      <c r="Q300" s="611">
        <v>0</v>
      </c>
      <c r="R300" s="611">
        <v>0</v>
      </c>
      <c r="S300" s="611">
        <v>0</v>
      </c>
      <c r="T300" s="611">
        <v>0</v>
      </c>
      <c r="U300" s="611">
        <v>0</v>
      </c>
      <c r="V300" s="611">
        <v>0</v>
      </c>
      <c r="W300" s="611">
        <v>0</v>
      </c>
      <c r="X300" s="611">
        <v>0</v>
      </c>
      <c r="Y300" s="611">
        <v>0</v>
      </c>
      <c r="Z300" s="619">
        <v>0</v>
      </c>
      <c r="AA300" s="51"/>
    </row>
    <row r="301" spans="6:27" x14ac:dyDescent="0.25">
      <c r="F301" s="51"/>
      <c r="G301" s="614" t="s">
        <v>83</v>
      </c>
      <c r="H301" s="615">
        <v>0.92572558593749998</v>
      </c>
      <c r="I301" s="615">
        <v>0</v>
      </c>
      <c r="J301" s="615">
        <v>384.15005023496775</v>
      </c>
      <c r="K301" s="615">
        <v>0</v>
      </c>
      <c r="L301" s="615">
        <v>190.52040282862495</v>
      </c>
      <c r="M301" s="615">
        <v>0</v>
      </c>
      <c r="N301" s="615">
        <v>0</v>
      </c>
      <c r="O301" s="615">
        <v>0</v>
      </c>
      <c r="P301" s="615">
        <v>112.58029629207579</v>
      </c>
      <c r="Q301" s="615">
        <v>10.269254107073522</v>
      </c>
      <c r="R301" s="615">
        <v>41.986989474221417</v>
      </c>
      <c r="S301" s="615">
        <v>33.648614494538577</v>
      </c>
      <c r="T301" s="615">
        <v>124.16711547268557</v>
      </c>
      <c r="U301" s="615">
        <v>0</v>
      </c>
      <c r="V301" s="615">
        <v>12.361133347867039</v>
      </c>
      <c r="W301" s="615">
        <v>480.488985816237</v>
      </c>
      <c r="X301" s="615">
        <v>70.255284536053637</v>
      </c>
      <c r="Y301" s="615">
        <v>4.74685966279739</v>
      </c>
      <c r="Z301" s="615">
        <v>1466.1007118530802</v>
      </c>
      <c r="AA301" s="51"/>
    </row>
    <row r="302" spans="6:27" x14ac:dyDescent="0.25">
      <c r="F302" s="51"/>
      <c r="G302" s="610" t="s">
        <v>84</v>
      </c>
      <c r="H302" s="611">
        <v>0</v>
      </c>
      <c r="I302" s="611">
        <v>0</v>
      </c>
      <c r="J302" s="611">
        <v>115.2369297376637</v>
      </c>
      <c r="K302" s="611">
        <v>0</v>
      </c>
      <c r="L302" s="611">
        <v>13.537810909623058</v>
      </c>
      <c r="M302" s="611">
        <v>0</v>
      </c>
      <c r="N302" s="611">
        <v>0</v>
      </c>
      <c r="O302" s="611">
        <v>0</v>
      </c>
      <c r="P302" s="720">
        <v>0.11913963756098579</v>
      </c>
      <c r="Q302" s="611">
        <v>0</v>
      </c>
      <c r="R302" s="611">
        <v>0.21009810940790719</v>
      </c>
      <c r="S302" s="611">
        <v>0</v>
      </c>
      <c r="T302" s="611">
        <v>0</v>
      </c>
      <c r="U302" s="611">
        <v>0</v>
      </c>
      <c r="V302" s="611">
        <v>0</v>
      </c>
      <c r="W302" s="611">
        <v>0</v>
      </c>
      <c r="X302" s="611">
        <v>0</v>
      </c>
      <c r="Y302" s="611">
        <v>1.1371080780029297</v>
      </c>
      <c r="Z302" s="619">
        <v>130.24108647225859</v>
      </c>
      <c r="AA302" s="51"/>
    </row>
    <row r="303" spans="6:27" x14ac:dyDescent="0.25">
      <c r="F303" s="51"/>
      <c r="G303" s="614" t="s">
        <v>85</v>
      </c>
      <c r="H303" s="615">
        <v>0.92572558593749998</v>
      </c>
      <c r="I303" s="615">
        <v>0</v>
      </c>
      <c r="J303" s="615">
        <v>499.38697997263148</v>
      </c>
      <c r="K303" s="615">
        <v>0</v>
      </c>
      <c r="L303" s="615">
        <v>204.05821373824801</v>
      </c>
      <c r="M303" s="615">
        <v>0</v>
      </c>
      <c r="N303" s="615">
        <v>0</v>
      </c>
      <c r="O303" s="615">
        <v>0</v>
      </c>
      <c r="P303" s="615">
        <v>112.69943592963678</v>
      </c>
      <c r="Q303" s="615">
        <v>10.269254107073522</v>
      </c>
      <c r="R303" s="615">
        <v>42.197087583629326</v>
      </c>
      <c r="S303" s="615">
        <v>33.648614494538577</v>
      </c>
      <c r="T303" s="615">
        <v>124.16711547268557</v>
      </c>
      <c r="U303" s="615">
        <v>0</v>
      </c>
      <c r="V303" s="615">
        <v>12.361133347867039</v>
      </c>
      <c r="W303" s="615">
        <v>480.488985816237</v>
      </c>
      <c r="X303" s="615">
        <v>70.255284536053637</v>
      </c>
      <c r="Y303" s="615">
        <v>5.8839677408003199</v>
      </c>
      <c r="Z303" s="615">
        <v>1596.3417983253387</v>
      </c>
      <c r="AA303" s="51"/>
    </row>
    <row r="304" spans="6:27" x14ac:dyDescent="0.25">
      <c r="F304" s="51"/>
      <c r="G304" s="51"/>
      <c r="H304" s="67">
        <v>0</v>
      </c>
      <c r="I304" s="67">
        <v>0</v>
      </c>
      <c r="J304" s="67">
        <v>1.1368683772161603E-13</v>
      </c>
      <c r="K304" s="67">
        <v>0</v>
      </c>
      <c r="L304" s="67">
        <v>0</v>
      </c>
      <c r="M304" s="67">
        <v>0</v>
      </c>
      <c r="N304" s="67">
        <v>0</v>
      </c>
      <c r="O304" s="67">
        <v>0</v>
      </c>
      <c r="P304" s="67">
        <v>0</v>
      </c>
      <c r="Q304" s="67">
        <v>0</v>
      </c>
      <c r="R304" s="67">
        <v>0</v>
      </c>
      <c r="S304" s="67">
        <v>0</v>
      </c>
      <c r="T304" s="67">
        <v>0</v>
      </c>
      <c r="U304" s="67">
        <v>0</v>
      </c>
      <c r="V304" s="67">
        <v>0</v>
      </c>
      <c r="W304" s="67">
        <v>-1.1368683772161603E-13</v>
      </c>
      <c r="X304" s="721">
        <v>-2.9583203925653834E-5</v>
      </c>
      <c r="Y304" s="67">
        <v>-1.0963452368173421E-15</v>
      </c>
      <c r="Z304" s="67">
        <v>-2.9583203740912722E-5</v>
      </c>
      <c r="AA304" s="51"/>
    </row>
    <row r="305" spans="6:27" x14ac:dyDescent="0.25">
      <c r="F305" s="51"/>
      <c r="G305" s="51"/>
      <c r="H305" s="51"/>
      <c r="I305" s="51"/>
      <c r="J305" s="51"/>
      <c r="K305" s="67"/>
      <c r="L305" s="51"/>
      <c r="M305" s="51"/>
      <c r="N305" s="51"/>
      <c r="O305" s="51"/>
      <c r="P305" s="51"/>
      <c r="Q305" s="51"/>
      <c r="R305" s="51"/>
      <c r="S305" s="51"/>
      <c r="T305" s="51"/>
      <c r="U305" s="51"/>
      <c r="V305" s="51"/>
      <c r="W305" s="51"/>
      <c r="X305" s="51"/>
      <c r="Y305" s="51"/>
      <c r="Z305" s="51"/>
      <c r="AA305" s="51"/>
    </row>
    <row r="306" spans="6:27" x14ac:dyDescent="0.25">
      <c r="F306" s="606"/>
      <c r="G306" s="607" t="s">
        <v>357</v>
      </c>
      <c r="H306" s="606"/>
      <c r="I306" s="606"/>
      <c r="J306" s="606"/>
      <c r="K306" s="682"/>
      <c r="L306" s="606"/>
      <c r="M306" s="606"/>
      <c r="N306" s="606"/>
      <c r="O306" s="606"/>
      <c r="P306" s="606"/>
      <c r="Q306" s="606"/>
      <c r="R306" s="606"/>
      <c r="S306" s="606"/>
      <c r="T306" s="606"/>
      <c r="U306" s="606"/>
      <c r="V306" s="606"/>
      <c r="W306" s="606"/>
      <c r="X306" s="606"/>
      <c r="Y306" s="606"/>
      <c r="Z306" s="606"/>
      <c r="AA306" s="606"/>
    </row>
    <row r="307" spans="6:27" x14ac:dyDescent="0.25">
      <c r="F307" s="51"/>
      <c r="G307" s="51"/>
      <c r="H307" s="51"/>
      <c r="I307" s="51"/>
      <c r="J307" s="51"/>
      <c r="K307" s="67"/>
      <c r="L307" s="51"/>
      <c r="M307" s="51"/>
      <c r="N307" s="51"/>
      <c r="O307" s="51"/>
      <c r="P307" s="51"/>
      <c r="Q307" s="51"/>
      <c r="R307" s="51"/>
      <c r="S307" s="51"/>
      <c r="T307" s="51"/>
      <c r="U307" s="51"/>
      <c r="V307" s="51"/>
      <c r="W307" s="51"/>
      <c r="X307" s="51"/>
      <c r="Y307" s="51"/>
      <c r="Z307" s="51"/>
      <c r="AA307" s="51"/>
    </row>
    <row r="308" spans="6:27" x14ac:dyDescent="0.25">
      <c r="F308" s="51"/>
      <c r="G308" s="764" t="s">
        <v>128</v>
      </c>
      <c r="H308" s="753" t="s">
        <v>42</v>
      </c>
      <c r="I308" s="753" t="s">
        <v>52</v>
      </c>
      <c r="J308" s="753" t="s">
        <v>53</v>
      </c>
      <c r="K308" s="766" t="s">
        <v>482</v>
      </c>
      <c r="L308" s="753" t="s">
        <v>32</v>
      </c>
      <c r="M308" s="753" t="s">
        <v>483</v>
      </c>
      <c r="N308" s="753" t="s">
        <v>20</v>
      </c>
      <c r="O308" s="753" t="s">
        <v>55</v>
      </c>
      <c r="P308" s="761" t="s">
        <v>56</v>
      </c>
      <c r="Q308" s="762"/>
      <c r="R308" s="762"/>
      <c r="S308" s="762"/>
      <c r="T308" s="762"/>
      <c r="U308" s="762"/>
      <c r="V308" s="763"/>
      <c r="W308" s="753" t="s">
        <v>57</v>
      </c>
      <c r="X308" s="753" t="s">
        <v>58</v>
      </c>
      <c r="Y308" s="753" t="s">
        <v>31</v>
      </c>
      <c r="Z308" s="753" t="s">
        <v>10</v>
      </c>
      <c r="AA308" s="51"/>
    </row>
    <row r="309" spans="6:27" ht="36" x14ac:dyDescent="0.25">
      <c r="F309" s="51"/>
      <c r="G309" s="765"/>
      <c r="H309" s="754"/>
      <c r="I309" s="754"/>
      <c r="J309" s="754"/>
      <c r="K309" s="767"/>
      <c r="L309" s="754"/>
      <c r="M309" s="754"/>
      <c r="N309" s="754"/>
      <c r="O309" s="754"/>
      <c r="P309" s="608" t="s">
        <v>335</v>
      </c>
      <c r="Q309" s="608" t="s">
        <v>40</v>
      </c>
      <c r="R309" s="608" t="s">
        <v>343</v>
      </c>
      <c r="S309" s="608" t="s">
        <v>344</v>
      </c>
      <c r="T309" s="609" t="s">
        <v>345</v>
      </c>
      <c r="U309" s="609" t="s">
        <v>609</v>
      </c>
      <c r="V309" s="608" t="s">
        <v>346</v>
      </c>
      <c r="W309" s="754"/>
      <c r="X309" s="754"/>
      <c r="Y309" s="754"/>
      <c r="Z309" s="754"/>
      <c r="AA309" s="51"/>
    </row>
    <row r="310" spans="6:27" x14ac:dyDescent="0.25">
      <c r="F310" s="51"/>
      <c r="G310" s="610" t="s">
        <v>59</v>
      </c>
      <c r="H310" s="611">
        <v>0</v>
      </c>
      <c r="I310" s="611">
        <v>6.6756200000000003</v>
      </c>
      <c r="J310" s="611">
        <v>0</v>
      </c>
      <c r="K310" s="611">
        <v>0</v>
      </c>
      <c r="L310" s="611">
        <v>0.13839700000000002</v>
      </c>
      <c r="M310" s="611">
        <v>0</v>
      </c>
      <c r="N310" s="612">
        <v>1165.8657454545453</v>
      </c>
      <c r="O310" s="612">
        <v>264.18035739757391</v>
      </c>
      <c r="P310" s="611">
        <v>307.7744422597346</v>
      </c>
      <c r="Q310" s="612">
        <v>51.405271738220549</v>
      </c>
      <c r="R310" s="611">
        <v>0</v>
      </c>
      <c r="S310" s="611">
        <v>0</v>
      </c>
      <c r="T310" s="612">
        <v>141.04542470806211</v>
      </c>
      <c r="U310" s="612">
        <v>10.417559156149544</v>
      </c>
      <c r="V310" s="612">
        <v>29.323733806781338</v>
      </c>
      <c r="W310" s="611">
        <v>0</v>
      </c>
      <c r="X310" s="611">
        <v>0</v>
      </c>
      <c r="Y310" s="611">
        <v>0</v>
      </c>
      <c r="Z310" s="613">
        <v>1976.8265515210674</v>
      </c>
      <c r="AA310" s="51"/>
    </row>
    <row r="311" spans="6:27" x14ac:dyDescent="0.25">
      <c r="F311" s="51"/>
      <c r="G311" s="610" t="s">
        <v>60</v>
      </c>
      <c r="H311" s="611">
        <v>16.733972167968751</v>
      </c>
      <c r="I311" s="611">
        <v>341.17156490138257</v>
      </c>
      <c r="J311" s="611">
        <v>153.01857569335476</v>
      </c>
      <c r="K311" s="611">
        <v>1.5907003975249192</v>
      </c>
      <c r="L311" s="620">
        <v>229.24655706350896</v>
      </c>
      <c r="M311" s="611">
        <v>0</v>
      </c>
      <c r="N311" s="611">
        <v>0</v>
      </c>
      <c r="O311" s="611">
        <v>0</v>
      </c>
      <c r="P311" s="611">
        <v>2.5625656464325743</v>
      </c>
      <c r="Q311" s="611">
        <v>0</v>
      </c>
      <c r="R311" s="611">
        <v>11.177777544289128</v>
      </c>
      <c r="S311" s="611">
        <v>5.1524616534363687</v>
      </c>
      <c r="T311" s="611">
        <v>0</v>
      </c>
      <c r="U311" s="611">
        <v>0</v>
      </c>
      <c r="V311" s="611">
        <v>0</v>
      </c>
      <c r="W311" s="611">
        <v>0</v>
      </c>
      <c r="X311" s="611">
        <v>0</v>
      </c>
      <c r="Y311" s="611">
        <v>0</v>
      </c>
      <c r="Z311" s="613">
        <v>760.65417506789811</v>
      </c>
      <c r="AA311" s="51"/>
    </row>
    <row r="312" spans="6:27" x14ac:dyDescent="0.25">
      <c r="F312" s="51"/>
      <c r="G312" s="610" t="s">
        <v>61</v>
      </c>
      <c r="H312" s="611">
        <v>0</v>
      </c>
      <c r="I312" s="611">
        <v>0</v>
      </c>
      <c r="J312" s="611">
        <v>0</v>
      </c>
      <c r="K312" s="611">
        <v>0</v>
      </c>
      <c r="L312" s="611">
        <v>0</v>
      </c>
      <c r="M312" s="611">
        <v>0</v>
      </c>
      <c r="N312" s="611">
        <v>0</v>
      </c>
      <c r="O312" s="611">
        <v>0</v>
      </c>
      <c r="P312" s="611">
        <v>0</v>
      </c>
      <c r="Q312" s="611">
        <v>0</v>
      </c>
      <c r="R312" s="611">
        <v>0</v>
      </c>
      <c r="S312" s="611">
        <v>0</v>
      </c>
      <c r="T312" s="611">
        <v>0</v>
      </c>
      <c r="U312" s="611">
        <v>0</v>
      </c>
      <c r="V312" s="611">
        <v>0</v>
      </c>
      <c r="W312" s="611">
        <v>-83.337259091529631</v>
      </c>
      <c r="X312" s="611">
        <v>0</v>
      </c>
      <c r="Y312" s="611">
        <v>0</v>
      </c>
      <c r="Z312" s="613">
        <v>-83.337259091529631</v>
      </c>
      <c r="AA312" s="51"/>
    </row>
    <row r="313" spans="6:27" x14ac:dyDescent="0.25">
      <c r="F313" s="51"/>
      <c r="G313" s="610" t="s">
        <v>62</v>
      </c>
      <c r="H313" s="611">
        <v>0</v>
      </c>
      <c r="I313" s="611">
        <v>0</v>
      </c>
      <c r="J313" s="611">
        <v>-7.8555551160476131</v>
      </c>
      <c r="K313" s="611">
        <v>-0.3373161064337088</v>
      </c>
      <c r="L313" s="611">
        <v>-0.96725165809085023</v>
      </c>
      <c r="M313" s="611">
        <v>-0.4644109471147348</v>
      </c>
      <c r="N313" s="611">
        <v>0</v>
      </c>
      <c r="O313" s="611">
        <v>0</v>
      </c>
      <c r="P313" s="611">
        <v>0</v>
      </c>
      <c r="Q313" s="611">
        <v>0</v>
      </c>
      <c r="R313" s="611">
        <v>0</v>
      </c>
      <c r="S313" s="611">
        <v>-0.87837701634115894</v>
      </c>
      <c r="T313" s="611">
        <v>0</v>
      </c>
      <c r="U313" s="611">
        <v>0</v>
      </c>
      <c r="V313" s="611">
        <v>0</v>
      </c>
      <c r="W313" s="611">
        <v>0</v>
      </c>
      <c r="X313" s="611">
        <v>0</v>
      </c>
      <c r="Y313" s="611">
        <v>-0.26185876214866849</v>
      </c>
      <c r="Z313" s="613">
        <v>-10.764769606176733</v>
      </c>
      <c r="AA313" s="51"/>
    </row>
    <row r="314" spans="6:27" x14ac:dyDescent="0.25">
      <c r="F314" s="51"/>
      <c r="G314" s="610" t="s">
        <v>63</v>
      </c>
      <c r="H314" s="611">
        <v>0</v>
      </c>
      <c r="I314" s="611">
        <v>0</v>
      </c>
      <c r="J314" s="611">
        <v>-61.6</v>
      </c>
      <c r="K314" s="611">
        <v>-2.8</v>
      </c>
      <c r="L314" s="611">
        <v>0</v>
      </c>
      <c r="M314" s="611">
        <v>0</v>
      </c>
      <c r="N314" s="611">
        <v>0</v>
      </c>
      <c r="O314" s="611">
        <v>0</v>
      </c>
      <c r="P314" s="611">
        <v>0</v>
      </c>
      <c r="Q314" s="611">
        <v>0</v>
      </c>
      <c r="R314" s="611">
        <v>-8.1999999999999993</v>
      </c>
      <c r="S314" s="611">
        <v>0</v>
      </c>
      <c r="T314" s="611">
        <v>0</v>
      </c>
      <c r="U314" s="611">
        <v>0</v>
      </c>
      <c r="V314" s="611">
        <v>0</v>
      </c>
      <c r="W314" s="611">
        <v>0</v>
      </c>
      <c r="X314" s="611">
        <v>0</v>
      </c>
      <c r="Y314" s="611">
        <v>-0.6</v>
      </c>
      <c r="Z314" s="613">
        <v>-73.2</v>
      </c>
      <c r="AA314" s="51"/>
    </row>
    <row r="315" spans="6:27" x14ac:dyDescent="0.25">
      <c r="F315" s="51"/>
      <c r="G315" s="610" t="s">
        <v>64</v>
      </c>
      <c r="H315" s="611">
        <v>0</v>
      </c>
      <c r="I315" s="611">
        <v>0</v>
      </c>
      <c r="J315" s="611">
        <v>0</v>
      </c>
      <c r="K315" s="611">
        <v>0</v>
      </c>
      <c r="L315" s="611">
        <v>0</v>
      </c>
      <c r="M315" s="611">
        <v>0</v>
      </c>
      <c r="N315" s="611">
        <v>0</v>
      </c>
      <c r="O315" s="611">
        <v>0</v>
      </c>
      <c r="P315" s="611">
        <v>0</v>
      </c>
      <c r="Q315" s="611">
        <v>0</v>
      </c>
      <c r="R315" s="611">
        <v>0</v>
      </c>
      <c r="S315" s="611">
        <v>0</v>
      </c>
      <c r="T315" s="611">
        <v>0</v>
      </c>
      <c r="U315" s="611">
        <v>0</v>
      </c>
      <c r="V315" s="611">
        <v>0</v>
      </c>
      <c r="W315" s="611">
        <v>0</v>
      </c>
      <c r="X315" s="611">
        <v>0</v>
      </c>
      <c r="Y315" s="611">
        <v>0</v>
      </c>
      <c r="Z315" s="613">
        <v>0</v>
      </c>
      <c r="AA315" s="51"/>
    </row>
    <row r="316" spans="6:27" x14ac:dyDescent="0.25">
      <c r="F316" s="51"/>
      <c r="G316" s="614" t="s">
        <v>65</v>
      </c>
      <c r="H316" s="615">
        <v>16.733972167968751</v>
      </c>
      <c r="I316" s="615">
        <v>347.84718490138255</v>
      </c>
      <c r="J316" s="615">
        <v>83.563020577307157</v>
      </c>
      <c r="K316" s="615">
        <v>-1.5466157089087895</v>
      </c>
      <c r="L316" s="615">
        <v>228.41770240541811</v>
      </c>
      <c r="M316" s="615">
        <v>-0.4644109471147348</v>
      </c>
      <c r="N316" s="615">
        <v>1165.8657454545453</v>
      </c>
      <c r="O316" s="615">
        <v>264.18035739757391</v>
      </c>
      <c r="P316" s="615">
        <v>310.33700790616717</v>
      </c>
      <c r="Q316" s="615">
        <v>51.405271738220549</v>
      </c>
      <c r="R316" s="615">
        <v>2.977777544289129</v>
      </c>
      <c r="S316" s="615">
        <v>4.2740846370952097</v>
      </c>
      <c r="T316" s="615">
        <v>141.04542470806211</v>
      </c>
      <c r="U316" s="615">
        <v>10.417559156149544</v>
      </c>
      <c r="V316" s="615">
        <v>29.323733806781338</v>
      </c>
      <c r="W316" s="615">
        <v>-83.337259091529631</v>
      </c>
      <c r="X316" s="615">
        <v>0</v>
      </c>
      <c r="Y316" s="615">
        <v>-0.86185876214866841</v>
      </c>
      <c r="Z316" s="615">
        <v>2570.1786978912592</v>
      </c>
      <c r="AA316" s="51"/>
    </row>
    <row r="317" spans="6:27" x14ac:dyDescent="0.25">
      <c r="F317" s="51"/>
      <c r="G317" s="616"/>
      <c r="H317" s="617"/>
      <c r="I317" s="617"/>
      <c r="J317" s="617"/>
      <c r="K317" s="617"/>
      <c r="L317" s="617"/>
      <c r="M317" s="617"/>
      <c r="N317" s="617"/>
      <c r="O317" s="617"/>
      <c r="P317" s="617"/>
      <c r="Q317" s="617"/>
      <c r="R317" s="617"/>
      <c r="S317" s="617"/>
      <c r="T317" s="617"/>
      <c r="U317" s="617"/>
      <c r="V317" s="617"/>
      <c r="W317" s="617"/>
      <c r="X317" s="617"/>
      <c r="Y317" s="617"/>
      <c r="Z317" s="617"/>
      <c r="AA317" s="51"/>
    </row>
    <row r="318" spans="6:27" x14ac:dyDescent="0.25">
      <c r="F318" s="51"/>
      <c r="G318" s="618" t="s">
        <v>67</v>
      </c>
      <c r="H318" s="611">
        <v>0</v>
      </c>
      <c r="I318" s="611">
        <v>0</v>
      </c>
      <c r="J318" s="611">
        <v>0</v>
      </c>
      <c r="K318" s="611">
        <v>0</v>
      </c>
      <c r="L318" s="611">
        <v>0</v>
      </c>
      <c r="M318" s="611">
        <v>0</v>
      </c>
      <c r="N318" s="611">
        <v>0</v>
      </c>
      <c r="O318" s="611">
        <v>0</v>
      </c>
      <c r="P318" s="611">
        <v>0</v>
      </c>
      <c r="Q318" s="611">
        <v>0</v>
      </c>
      <c r="R318" s="611">
        <v>0</v>
      </c>
      <c r="S318" s="611">
        <v>0</v>
      </c>
      <c r="T318" s="611">
        <v>0</v>
      </c>
      <c r="U318" s="611">
        <v>0</v>
      </c>
      <c r="V318" s="611">
        <v>0</v>
      </c>
      <c r="W318" s="611">
        <v>0</v>
      </c>
      <c r="X318" s="611">
        <v>0</v>
      </c>
      <c r="Y318" s="611">
        <v>0</v>
      </c>
      <c r="Z318" s="619">
        <v>0</v>
      </c>
      <c r="AA318" s="51"/>
    </row>
    <row r="319" spans="6:27" x14ac:dyDescent="0.25">
      <c r="F319" s="51"/>
      <c r="G319" s="618" t="s">
        <v>347</v>
      </c>
      <c r="H319" s="611">
        <v>0</v>
      </c>
      <c r="I319" s="611">
        <v>0</v>
      </c>
      <c r="J319" s="611">
        <v>0.79278558393774012</v>
      </c>
      <c r="K319" s="611">
        <v>0</v>
      </c>
      <c r="L319" s="611">
        <v>30.18998354898655</v>
      </c>
      <c r="M319" s="611">
        <v>0</v>
      </c>
      <c r="N319" s="611">
        <v>1165.8657454545453</v>
      </c>
      <c r="O319" s="611">
        <v>264.18035739757391</v>
      </c>
      <c r="P319" s="611">
        <v>15.154623225490525</v>
      </c>
      <c r="Q319" s="611">
        <v>6.1000995181555853</v>
      </c>
      <c r="R319" s="611">
        <v>4.7819832265678626</v>
      </c>
      <c r="S319" s="611">
        <v>9.8298837124563363</v>
      </c>
      <c r="T319" s="611">
        <v>0</v>
      </c>
      <c r="U319" s="611">
        <v>0</v>
      </c>
      <c r="V319" s="611">
        <v>1.6766395861963883</v>
      </c>
      <c r="W319" s="611">
        <v>-685.02208017428939</v>
      </c>
      <c r="X319" s="611">
        <v>0</v>
      </c>
      <c r="Y319" s="611">
        <v>0</v>
      </c>
      <c r="Z319" s="619">
        <v>813.55002107962082</v>
      </c>
      <c r="AA319" s="51"/>
    </row>
    <row r="320" spans="6:27" x14ac:dyDescent="0.25">
      <c r="F320" s="51"/>
      <c r="G320" s="618" t="s">
        <v>348</v>
      </c>
      <c r="H320" s="611">
        <v>0</v>
      </c>
      <c r="I320" s="611">
        <v>0</v>
      </c>
      <c r="J320" s="611">
        <v>0</v>
      </c>
      <c r="K320" s="611">
        <v>0</v>
      </c>
      <c r="L320" s="611">
        <v>21.478521490079181</v>
      </c>
      <c r="M320" s="611">
        <v>0</v>
      </c>
      <c r="N320" s="611">
        <v>0</v>
      </c>
      <c r="O320" s="611">
        <v>0</v>
      </c>
      <c r="P320" s="611">
        <v>25.278971287489433</v>
      </c>
      <c r="Q320" s="611">
        <v>17.945678264512264</v>
      </c>
      <c r="R320" s="611">
        <v>0</v>
      </c>
      <c r="S320" s="611">
        <v>6.0065134029812235</v>
      </c>
      <c r="T320" s="611">
        <v>0</v>
      </c>
      <c r="U320" s="611">
        <v>10.417559156149544</v>
      </c>
      <c r="V320" s="611">
        <v>12.465752150616991</v>
      </c>
      <c r="W320" s="611">
        <v>0</v>
      </c>
      <c r="X320" s="620">
        <v>-84.590071614239946</v>
      </c>
      <c r="Y320" s="611">
        <v>0</v>
      </c>
      <c r="Z320" s="619">
        <v>9.0029241375887068</v>
      </c>
      <c r="AA320" s="51"/>
    </row>
    <row r="321" spans="6:27" x14ac:dyDescent="0.25">
      <c r="F321" s="51"/>
      <c r="G321" s="618" t="s">
        <v>349</v>
      </c>
      <c r="H321" s="611">
        <v>0</v>
      </c>
      <c r="I321" s="611">
        <v>0</v>
      </c>
      <c r="J321" s="611">
        <v>0</v>
      </c>
      <c r="K321" s="611">
        <v>0</v>
      </c>
      <c r="L321" s="611">
        <v>0</v>
      </c>
      <c r="M321" s="611">
        <v>0</v>
      </c>
      <c r="N321" s="611">
        <v>0</v>
      </c>
      <c r="O321" s="611">
        <v>0</v>
      </c>
      <c r="P321" s="611">
        <v>84.566495903586969</v>
      </c>
      <c r="Q321" s="611">
        <v>10.27121917361311</v>
      </c>
      <c r="R321" s="611">
        <v>0</v>
      </c>
      <c r="S321" s="611">
        <v>-47.494303640463748</v>
      </c>
      <c r="T321" s="611">
        <v>0</v>
      </c>
      <c r="U321" s="611">
        <v>0</v>
      </c>
      <c r="V321" s="611">
        <v>0</v>
      </c>
      <c r="W321" s="611">
        <v>0</v>
      </c>
      <c r="X321" s="611">
        <v>0</v>
      </c>
      <c r="Y321" s="611">
        <v>0</v>
      </c>
      <c r="Z321" s="619">
        <v>47.343411436736325</v>
      </c>
      <c r="AA321" s="51"/>
    </row>
    <row r="322" spans="6:27" x14ac:dyDescent="0.25">
      <c r="F322" s="51"/>
      <c r="G322" s="618" t="s">
        <v>350</v>
      </c>
      <c r="H322" s="611">
        <v>0</v>
      </c>
      <c r="I322" s="611">
        <v>0</v>
      </c>
      <c r="J322" s="611">
        <v>0</v>
      </c>
      <c r="K322" s="611">
        <v>0</v>
      </c>
      <c r="L322" s="611">
        <v>0</v>
      </c>
      <c r="M322" s="620">
        <v>-0.4644109471147348</v>
      </c>
      <c r="N322" s="611">
        <v>0</v>
      </c>
      <c r="O322" s="611">
        <v>0</v>
      </c>
      <c r="P322" s="611">
        <v>0</v>
      </c>
      <c r="Q322" s="611">
        <v>0</v>
      </c>
      <c r="R322" s="611">
        <v>0</v>
      </c>
      <c r="S322" s="611">
        <v>0</v>
      </c>
      <c r="T322" s="611">
        <v>0</v>
      </c>
      <c r="U322" s="611">
        <v>0</v>
      </c>
      <c r="V322" s="611">
        <v>0</v>
      </c>
      <c r="W322" s="611">
        <v>0</v>
      </c>
      <c r="X322" s="611">
        <v>0</v>
      </c>
      <c r="Y322" s="611">
        <v>0.64501520432602055</v>
      </c>
      <c r="Z322" s="619">
        <v>0.18060425721128576</v>
      </c>
      <c r="AA322" s="51"/>
    </row>
    <row r="323" spans="6:27" x14ac:dyDescent="0.25">
      <c r="F323" s="51"/>
      <c r="G323" s="618" t="s">
        <v>72</v>
      </c>
      <c r="H323" s="611">
        <v>0</v>
      </c>
      <c r="I323" s="611">
        <v>360.49746740112505</v>
      </c>
      <c r="J323" s="611">
        <v>-356.89249272711379</v>
      </c>
      <c r="K323" s="611">
        <v>0</v>
      </c>
      <c r="L323" s="611">
        <v>0</v>
      </c>
      <c r="M323" s="611">
        <v>0</v>
      </c>
      <c r="N323" s="611">
        <v>0</v>
      </c>
      <c r="O323" s="611">
        <v>0</v>
      </c>
      <c r="P323" s="611">
        <v>0</v>
      </c>
      <c r="Q323" s="611">
        <v>0</v>
      </c>
      <c r="R323" s="611">
        <v>0</v>
      </c>
      <c r="S323" s="611">
        <v>0</v>
      </c>
      <c r="T323" s="611">
        <v>0</v>
      </c>
      <c r="U323" s="611">
        <v>0</v>
      </c>
      <c r="V323" s="611">
        <v>0</v>
      </c>
      <c r="W323" s="611">
        <v>0</v>
      </c>
      <c r="X323" s="611">
        <v>0</v>
      </c>
      <c r="Y323" s="611">
        <v>0</v>
      </c>
      <c r="Z323" s="619">
        <v>3.6049746740112596</v>
      </c>
      <c r="AA323" s="51"/>
    </row>
    <row r="324" spans="6:27" x14ac:dyDescent="0.25">
      <c r="F324" s="51"/>
      <c r="G324" s="618" t="s">
        <v>351</v>
      </c>
      <c r="H324" s="611">
        <v>0</v>
      </c>
      <c r="I324" s="611">
        <v>0</v>
      </c>
      <c r="J324" s="611">
        <v>0</v>
      </c>
      <c r="K324" s="611">
        <v>0</v>
      </c>
      <c r="L324" s="611">
        <v>0</v>
      </c>
      <c r="M324" s="611">
        <v>0</v>
      </c>
      <c r="N324" s="611">
        <v>0</v>
      </c>
      <c r="O324" s="611">
        <v>0</v>
      </c>
      <c r="P324" s="611">
        <v>79.688188573831496</v>
      </c>
      <c r="Q324" s="611">
        <v>7.2727272727272725</v>
      </c>
      <c r="R324" s="620">
        <v>-48.502301880066618</v>
      </c>
      <c r="S324" s="611">
        <v>0</v>
      </c>
      <c r="T324" s="611">
        <v>0</v>
      </c>
      <c r="U324" s="611">
        <v>0</v>
      </c>
      <c r="V324" s="611">
        <v>0</v>
      </c>
      <c r="W324" s="611">
        <v>0</v>
      </c>
      <c r="X324" s="611">
        <v>0</v>
      </c>
      <c r="Y324" s="611">
        <v>0</v>
      </c>
      <c r="Z324" s="619">
        <v>38.458613966492145</v>
      </c>
      <c r="AA324" s="51"/>
    </row>
    <row r="325" spans="6:27" x14ac:dyDescent="0.25">
      <c r="F325" s="51"/>
      <c r="G325" s="618" t="s">
        <v>352</v>
      </c>
      <c r="H325" s="611">
        <v>0</v>
      </c>
      <c r="I325" s="611">
        <v>0</v>
      </c>
      <c r="J325" s="611">
        <v>0</v>
      </c>
      <c r="K325" s="611">
        <v>-2.3373161064337085</v>
      </c>
      <c r="L325" s="611">
        <v>0</v>
      </c>
      <c r="M325" s="611">
        <v>0</v>
      </c>
      <c r="N325" s="611">
        <v>0</v>
      </c>
      <c r="O325" s="611">
        <v>0</v>
      </c>
      <c r="P325" s="611">
        <v>0</v>
      </c>
      <c r="Q325" s="611">
        <v>0</v>
      </c>
      <c r="R325" s="611">
        <v>0</v>
      </c>
      <c r="S325" s="611">
        <v>0</v>
      </c>
      <c r="T325" s="611">
        <v>0</v>
      </c>
      <c r="U325" s="611">
        <v>0</v>
      </c>
      <c r="V325" s="611">
        <v>0</v>
      </c>
      <c r="W325" s="611">
        <v>0</v>
      </c>
      <c r="X325" s="611">
        <v>0</v>
      </c>
      <c r="Y325" s="611">
        <v>3.8910477170770799</v>
      </c>
      <c r="Z325" s="619">
        <v>1.5537316106433714</v>
      </c>
      <c r="AA325" s="51"/>
    </row>
    <row r="326" spans="6:27" x14ac:dyDescent="0.25">
      <c r="F326" s="51"/>
      <c r="G326" s="618" t="s">
        <v>73</v>
      </c>
      <c r="H326" s="611">
        <v>0</v>
      </c>
      <c r="I326" s="611">
        <v>0</v>
      </c>
      <c r="J326" s="611">
        <v>0</v>
      </c>
      <c r="K326" s="611">
        <v>0</v>
      </c>
      <c r="L326" s="611">
        <v>0</v>
      </c>
      <c r="M326" s="611">
        <v>0</v>
      </c>
      <c r="N326" s="611">
        <v>0</v>
      </c>
      <c r="O326" s="611">
        <v>0</v>
      </c>
      <c r="P326" s="611">
        <v>0</v>
      </c>
      <c r="Q326" s="611">
        <v>0</v>
      </c>
      <c r="R326" s="611">
        <v>0</v>
      </c>
      <c r="S326" s="611">
        <v>0</v>
      </c>
      <c r="T326" s="611">
        <v>0</v>
      </c>
      <c r="U326" s="611">
        <v>0</v>
      </c>
      <c r="V326" s="611">
        <v>0</v>
      </c>
      <c r="W326" s="611">
        <v>26.742532147251133</v>
      </c>
      <c r="X326" s="611">
        <v>0</v>
      </c>
      <c r="Y326" s="611">
        <v>-17.663442483259374</v>
      </c>
      <c r="Z326" s="619">
        <v>9.0790896639917591</v>
      </c>
      <c r="AA326" s="51"/>
    </row>
    <row r="327" spans="6:27" x14ac:dyDescent="0.25">
      <c r="F327" s="51"/>
      <c r="G327" s="618" t="s">
        <v>353</v>
      </c>
      <c r="H327" s="611">
        <v>11.528678671874999</v>
      </c>
      <c r="I327" s="611">
        <v>-12.650282499742492</v>
      </c>
      <c r="J327" s="611">
        <v>16.688969946378961</v>
      </c>
      <c r="K327" s="611">
        <v>0</v>
      </c>
      <c r="L327" s="611">
        <v>0</v>
      </c>
      <c r="M327" s="611">
        <v>0</v>
      </c>
      <c r="N327" s="611">
        <v>0</v>
      </c>
      <c r="O327" s="611">
        <v>0</v>
      </c>
      <c r="P327" s="611">
        <v>0</v>
      </c>
      <c r="Q327" s="611">
        <v>0</v>
      </c>
      <c r="R327" s="611">
        <v>0</v>
      </c>
      <c r="S327" s="611">
        <v>0</v>
      </c>
      <c r="T327" s="611">
        <v>0</v>
      </c>
      <c r="U327" s="611">
        <v>0</v>
      </c>
      <c r="V327" s="611">
        <v>0</v>
      </c>
      <c r="W327" s="611">
        <v>0</v>
      </c>
      <c r="X327" s="611">
        <v>0</v>
      </c>
      <c r="Y327" s="611">
        <v>0</v>
      </c>
      <c r="Z327" s="619">
        <v>15.567366118511469</v>
      </c>
      <c r="AA327" s="51"/>
    </row>
    <row r="328" spans="6:27" x14ac:dyDescent="0.25">
      <c r="F328" s="51"/>
      <c r="G328" s="618" t="s">
        <v>75</v>
      </c>
      <c r="H328" s="611">
        <v>4.4833750390625005</v>
      </c>
      <c r="I328" s="611">
        <v>0</v>
      </c>
      <c r="J328" s="611">
        <v>12.470199463438197</v>
      </c>
      <c r="K328" s="611">
        <v>0</v>
      </c>
      <c r="L328" s="611">
        <v>0.24936035983011146</v>
      </c>
      <c r="M328" s="611">
        <v>0</v>
      </c>
      <c r="N328" s="611">
        <v>0</v>
      </c>
      <c r="O328" s="611">
        <v>0</v>
      </c>
      <c r="P328" s="611">
        <v>0</v>
      </c>
      <c r="Q328" s="611">
        <v>0</v>
      </c>
      <c r="R328" s="611">
        <v>0</v>
      </c>
      <c r="S328" s="611">
        <v>5.4737639962707384E-2</v>
      </c>
      <c r="T328" s="611">
        <v>0</v>
      </c>
      <c r="U328" s="611">
        <v>0</v>
      </c>
      <c r="V328" s="611">
        <v>0</v>
      </c>
      <c r="W328" s="620">
        <v>34.269297847213949</v>
      </c>
      <c r="X328" s="611">
        <v>0</v>
      </c>
      <c r="Y328" s="611">
        <v>3.2371102497669209</v>
      </c>
      <c r="Z328" s="619">
        <v>54.764080599274386</v>
      </c>
      <c r="AA328" s="51"/>
    </row>
    <row r="329" spans="6:27" x14ac:dyDescent="0.25">
      <c r="F329" s="51"/>
      <c r="G329" s="618" t="s">
        <v>76</v>
      </c>
      <c r="H329" s="611">
        <v>0</v>
      </c>
      <c r="I329" s="611">
        <v>0</v>
      </c>
      <c r="J329" s="611">
        <v>0</v>
      </c>
      <c r="K329" s="611">
        <v>0</v>
      </c>
      <c r="L329" s="611">
        <v>2.5945073025125769</v>
      </c>
      <c r="M329" s="611">
        <v>0</v>
      </c>
      <c r="N329" s="611">
        <v>0</v>
      </c>
      <c r="O329" s="611">
        <v>0</v>
      </c>
      <c r="P329" s="611">
        <v>0</v>
      </c>
      <c r="Q329" s="611">
        <v>0</v>
      </c>
      <c r="R329" s="611">
        <v>0</v>
      </c>
      <c r="S329" s="611">
        <v>0.56952599323446806</v>
      </c>
      <c r="T329" s="611">
        <v>0</v>
      </c>
      <c r="U329" s="611">
        <v>0</v>
      </c>
      <c r="V329" s="611">
        <v>0</v>
      </c>
      <c r="W329" s="611">
        <v>49.185048043405324</v>
      </c>
      <c r="X329" s="611">
        <v>6.5593635854558805</v>
      </c>
      <c r="Y329" s="611">
        <v>0</v>
      </c>
      <c r="Z329" s="619">
        <v>58.908444924608247</v>
      </c>
      <c r="AA329" s="51"/>
    </row>
    <row r="330" spans="6:27" x14ac:dyDescent="0.25">
      <c r="F330" s="51"/>
      <c r="G330" s="614" t="s">
        <v>77</v>
      </c>
      <c r="H330" s="615">
        <v>16.012053710937501</v>
      </c>
      <c r="I330" s="615">
        <v>347.84718490138255</v>
      </c>
      <c r="J330" s="615">
        <v>-326.94053773335889</v>
      </c>
      <c r="K330" s="615">
        <v>-2.3373161064337085</v>
      </c>
      <c r="L330" s="615">
        <v>54.512372701408424</v>
      </c>
      <c r="M330" s="615">
        <v>-0.4644109471147348</v>
      </c>
      <c r="N330" s="615">
        <v>1165.8657454545453</v>
      </c>
      <c r="O330" s="615">
        <v>264.18035739757391</v>
      </c>
      <c r="P330" s="615">
        <v>204.68827899039843</v>
      </c>
      <c r="Q330" s="615">
        <v>41.589724229008233</v>
      </c>
      <c r="R330" s="615">
        <v>-43.720318653498758</v>
      </c>
      <c r="S330" s="615">
        <v>-31.033642891829015</v>
      </c>
      <c r="T330" s="615">
        <v>0</v>
      </c>
      <c r="U330" s="615">
        <v>10.417559156149544</v>
      </c>
      <c r="V330" s="615">
        <v>14.14239173681338</v>
      </c>
      <c r="W330" s="615">
        <v>-574.82520213641897</v>
      </c>
      <c r="X330" s="615">
        <v>-78.030708028784062</v>
      </c>
      <c r="Y330" s="615">
        <v>-9.8902693120893517</v>
      </c>
      <c r="Z330" s="615">
        <v>1052.0132624686898</v>
      </c>
      <c r="AA330" s="51"/>
    </row>
    <row r="331" spans="6:27" x14ac:dyDescent="0.25">
      <c r="F331" s="51"/>
      <c r="G331" s="616"/>
      <c r="H331" s="617"/>
      <c r="I331" s="617"/>
      <c r="J331" s="617"/>
      <c r="K331" s="617"/>
      <c r="L331" s="617"/>
      <c r="M331" s="617"/>
      <c r="N331" s="617"/>
      <c r="O331" s="617"/>
      <c r="P331" s="617"/>
      <c r="Q331" s="617"/>
      <c r="R331" s="617"/>
      <c r="S331" s="617"/>
      <c r="T331" s="617"/>
      <c r="U331" s="617"/>
      <c r="V331" s="617"/>
      <c r="W331" s="617"/>
      <c r="X331" s="617"/>
      <c r="Y331" s="617"/>
      <c r="Z331" s="617"/>
      <c r="AA331" s="51"/>
    </row>
    <row r="332" spans="6:27" x14ac:dyDescent="0.25">
      <c r="F332" s="51"/>
      <c r="G332" s="618" t="s">
        <v>78</v>
      </c>
      <c r="H332" s="611">
        <v>0.72191845703125002</v>
      </c>
      <c r="I332" s="611">
        <v>0</v>
      </c>
      <c r="J332" s="611">
        <v>8.6275641405514261</v>
      </c>
      <c r="K332" s="611">
        <v>0</v>
      </c>
      <c r="L332" s="611">
        <v>60.118843099403179</v>
      </c>
      <c r="M332" s="620">
        <v>0</v>
      </c>
      <c r="N332" s="611">
        <v>0</v>
      </c>
      <c r="O332" s="611">
        <v>0</v>
      </c>
      <c r="P332" s="611">
        <v>39.297286819626784</v>
      </c>
      <c r="Q332" s="611">
        <v>9.815547509212319</v>
      </c>
      <c r="R332" s="611">
        <v>0.93232860735581835</v>
      </c>
      <c r="S332" s="611">
        <v>13.22814546550425</v>
      </c>
      <c r="T332" s="611">
        <v>6.7746367187500001</v>
      </c>
      <c r="U332" s="611">
        <v>0</v>
      </c>
      <c r="V332" s="611">
        <v>6.3863689419622622E-4</v>
      </c>
      <c r="W332" s="611">
        <v>152.36640904233067</v>
      </c>
      <c r="X332" s="611">
        <v>19.594153264133379</v>
      </c>
      <c r="Y332" s="611">
        <v>5.5380712890624997</v>
      </c>
      <c r="Z332" s="619">
        <v>317.01554304985569</v>
      </c>
      <c r="AA332" s="51"/>
    </row>
    <row r="333" spans="6:27" x14ac:dyDescent="0.25">
      <c r="F333" s="51"/>
      <c r="G333" s="618" t="s">
        <v>79</v>
      </c>
      <c r="H333" s="611">
        <v>0</v>
      </c>
      <c r="I333" s="611">
        <v>0</v>
      </c>
      <c r="J333" s="611">
        <v>257.95105394329198</v>
      </c>
      <c r="K333" s="611">
        <v>0</v>
      </c>
      <c r="L333" s="611">
        <v>5.8847606933541083</v>
      </c>
      <c r="M333" s="620">
        <v>0</v>
      </c>
      <c r="N333" s="611">
        <v>0</v>
      </c>
      <c r="O333" s="611">
        <v>0</v>
      </c>
      <c r="P333" s="611">
        <v>0</v>
      </c>
      <c r="Q333" s="611">
        <v>0</v>
      </c>
      <c r="R333" s="611">
        <v>39.412078743974838</v>
      </c>
      <c r="S333" s="611">
        <v>1.2917767375655358</v>
      </c>
      <c r="T333" s="611">
        <v>0</v>
      </c>
      <c r="U333" s="611">
        <v>0</v>
      </c>
      <c r="V333" s="611">
        <v>0</v>
      </c>
      <c r="W333" s="611">
        <v>52.662599620962098</v>
      </c>
      <c r="X333" s="611">
        <v>0</v>
      </c>
      <c r="Y333" s="611">
        <v>1.8899673831959209</v>
      </c>
      <c r="Z333" s="619">
        <v>359.09223712234456</v>
      </c>
      <c r="AA333" s="51"/>
    </row>
    <row r="334" spans="6:27" x14ac:dyDescent="0.25">
      <c r="F334" s="51"/>
      <c r="G334" s="618" t="s">
        <v>80</v>
      </c>
      <c r="H334" s="611">
        <v>0</v>
      </c>
      <c r="I334" s="611">
        <v>0</v>
      </c>
      <c r="J334" s="611">
        <v>4.4871361996085151</v>
      </c>
      <c r="K334" s="611">
        <v>0</v>
      </c>
      <c r="L334" s="611">
        <v>56.445665913049908</v>
      </c>
      <c r="M334" s="620">
        <v>0</v>
      </c>
      <c r="N334" s="611">
        <v>0</v>
      </c>
      <c r="O334" s="611">
        <v>0</v>
      </c>
      <c r="P334" s="611">
        <v>53.14163083232755</v>
      </c>
      <c r="Q334" s="611">
        <v>0</v>
      </c>
      <c r="R334" s="611">
        <v>0</v>
      </c>
      <c r="S334" s="611">
        <v>12.390512029693882</v>
      </c>
      <c r="T334" s="611">
        <v>95.189251128952151</v>
      </c>
      <c r="U334" s="611">
        <v>0</v>
      </c>
      <c r="V334" s="611">
        <v>7.3206839966503274</v>
      </c>
      <c r="W334" s="611">
        <v>156.27303977046446</v>
      </c>
      <c r="X334" s="611">
        <v>35.751867080837265</v>
      </c>
      <c r="Y334" s="611">
        <v>0</v>
      </c>
      <c r="Z334" s="619">
        <v>420.99978695158404</v>
      </c>
      <c r="AA334" s="51"/>
    </row>
    <row r="335" spans="6:27" x14ac:dyDescent="0.25">
      <c r="F335" s="51"/>
      <c r="G335" s="618" t="s">
        <v>81</v>
      </c>
      <c r="H335" s="611">
        <v>0</v>
      </c>
      <c r="I335" s="611">
        <v>0</v>
      </c>
      <c r="J335" s="611">
        <v>2.7608540872674436</v>
      </c>
      <c r="K335" s="611">
        <v>0</v>
      </c>
      <c r="L335" s="611">
        <v>36.954753731916043</v>
      </c>
      <c r="M335" s="620">
        <v>0</v>
      </c>
      <c r="N335" s="611">
        <v>0</v>
      </c>
      <c r="O335" s="611">
        <v>0</v>
      </c>
      <c r="P335" s="611">
        <v>0.62415819926103555</v>
      </c>
      <c r="Q335" s="611">
        <v>0</v>
      </c>
      <c r="R335" s="611">
        <v>0</v>
      </c>
      <c r="S335" s="611">
        <v>8.1120191118840097</v>
      </c>
      <c r="T335" s="611">
        <v>38.431536860359955</v>
      </c>
      <c r="U335" s="611">
        <v>0</v>
      </c>
      <c r="V335" s="611">
        <v>7.0322041232131749</v>
      </c>
      <c r="W335" s="611">
        <v>121.89305236123509</v>
      </c>
      <c r="X335" s="611">
        <v>22.684657409761833</v>
      </c>
      <c r="Y335" s="611">
        <v>0</v>
      </c>
      <c r="Z335" s="619">
        <v>238.49323588489858</v>
      </c>
      <c r="AA335" s="51"/>
    </row>
    <row r="336" spans="6:27" x14ac:dyDescent="0.25">
      <c r="F336" s="51"/>
      <c r="G336" s="618" t="s">
        <v>82</v>
      </c>
      <c r="H336" s="611">
        <v>0</v>
      </c>
      <c r="I336" s="611">
        <v>0</v>
      </c>
      <c r="J336" s="611">
        <v>25.562238728089401</v>
      </c>
      <c r="K336" s="611">
        <v>0</v>
      </c>
      <c r="L336" s="611">
        <v>1.2995823950376393</v>
      </c>
      <c r="M336" s="620">
        <v>0</v>
      </c>
      <c r="N336" s="611">
        <v>0</v>
      </c>
      <c r="O336" s="611">
        <v>0</v>
      </c>
      <c r="P336" s="611">
        <v>12.365635061857649</v>
      </c>
      <c r="Q336" s="611">
        <v>0</v>
      </c>
      <c r="R336" s="611">
        <v>5.004323315399402</v>
      </c>
      <c r="S336" s="611">
        <v>0.28527418427655493</v>
      </c>
      <c r="T336" s="611">
        <v>0.65</v>
      </c>
      <c r="U336" s="611">
        <v>0</v>
      </c>
      <c r="V336" s="611">
        <v>0.82781531321025892</v>
      </c>
      <c r="W336" s="611">
        <v>8.2928422498969727</v>
      </c>
      <c r="X336" s="611">
        <v>0</v>
      </c>
      <c r="Y336" s="611">
        <v>0.25343345849890081</v>
      </c>
      <c r="Z336" s="619">
        <v>54.541144706266778</v>
      </c>
      <c r="AA336" s="51"/>
    </row>
    <row r="337" spans="6:27" x14ac:dyDescent="0.25">
      <c r="F337" s="51"/>
      <c r="G337" s="618" t="s">
        <v>354</v>
      </c>
      <c r="H337" s="611">
        <v>0</v>
      </c>
      <c r="I337" s="611">
        <v>0</v>
      </c>
      <c r="J337" s="611">
        <v>0</v>
      </c>
      <c r="K337" s="611">
        <v>0</v>
      </c>
      <c r="L337" s="611">
        <v>0</v>
      </c>
      <c r="M337" s="611">
        <v>0</v>
      </c>
      <c r="N337" s="611">
        <v>0</v>
      </c>
      <c r="O337" s="611">
        <v>0</v>
      </c>
      <c r="P337" s="611">
        <v>0</v>
      </c>
      <c r="Q337" s="611">
        <v>0</v>
      </c>
      <c r="R337" s="611">
        <v>0</v>
      </c>
      <c r="S337" s="611">
        <v>0</v>
      </c>
      <c r="T337" s="611">
        <v>0</v>
      </c>
      <c r="U337" s="611">
        <v>0</v>
      </c>
      <c r="V337" s="611">
        <v>0</v>
      </c>
      <c r="W337" s="611">
        <v>0</v>
      </c>
      <c r="X337" s="611">
        <v>0</v>
      </c>
      <c r="Y337" s="611">
        <v>0</v>
      </c>
      <c r="Z337" s="619">
        <v>0</v>
      </c>
      <c r="AA337" s="51"/>
    </row>
    <row r="338" spans="6:27" x14ac:dyDescent="0.25">
      <c r="F338" s="51"/>
      <c r="G338" s="614" t="s">
        <v>83</v>
      </c>
      <c r="H338" s="615">
        <v>0.72191845703125002</v>
      </c>
      <c r="I338" s="615">
        <v>0</v>
      </c>
      <c r="J338" s="615">
        <v>299.38884709880881</v>
      </c>
      <c r="K338" s="615">
        <v>0</v>
      </c>
      <c r="L338" s="615">
        <v>160.7036058327609</v>
      </c>
      <c r="M338" s="615">
        <v>0</v>
      </c>
      <c r="N338" s="615">
        <v>0</v>
      </c>
      <c r="O338" s="615">
        <v>0</v>
      </c>
      <c r="P338" s="615">
        <v>105.42871091307302</v>
      </c>
      <c r="Q338" s="615">
        <v>9.815547509212319</v>
      </c>
      <c r="R338" s="615">
        <v>45.348730666730063</v>
      </c>
      <c r="S338" s="615">
        <v>35.307727528924232</v>
      </c>
      <c r="T338" s="615">
        <v>141.04542470806211</v>
      </c>
      <c r="U338" s="615">
        <v>0</v>
      </c>
      <c r="V338" s="615">
        <v>15.181342069967958</v>
      </c>
      <c r="W338" s="615">
        <v>491.48794304488933</v>
      </c>
      <c r="X338" s="615">
        <v>78.030677754732466</v>
      </c>
      <c r="Y338" s="615">
        <v>7.6814721307573208</v>
      </c>
      <c r="Z338" s="615">
        <v>1390.1419477149495</v>
      </c>
      <c r="AA338" s="51"/>
    </row>
    <row r="339" spans="6:27" x14ac:dyDescent="0.25">
      <c r="F339" s="51"/>
      <c r="G339" s="610" t="s">
        <v>84</v>
      </c>
      <c r="H339" s="611">
        <v>0</v>
      </c>
      <c r="I339" s="611">
        <v>0</v>
      </c>
      <c r="J339" s="611">
        <v>111.11471121185716</v>
      </c>
      <c r="K339" s="611">
        <v>0.79070039752491883</v>
      </c>
      <c r="L339" s="611">
        <v>13.201723871248829</v>
      </c>
      <c r="M339" s="611">
        <v>0</v>
      </c>
      <c r="N339" s="611">
        <v>0</v>
      </c>
      <c r="O339" s="611">
        <v>0</v>
      </c>
      <c r="P339" s="720">
        <v>0.22001800269575944</v>
      </c>
      <c r="Q339" s="611">
        <v>0</v>
      </c>
      <c r="R339" s="611">
        <v>1.3493655310578188</v>
      </c>
      <c r="S339" s="611">
        <v>0</v>
      </c>
      <c r="T339" s="611">
        <v>0</v>
      </c>
      <c r="U339" s="611">
        <v>0</v>
      </c>
      <c r="V339" s="611">
        <v>0</v>
      </c>
      <c r="W339" s="611">
        <v>0</v>
      </c>
      <c r="X339" s="611">
        <v>0</v>
      </c>
      <c r="Y339" s="611">
        <v>1.3469384191833629</v>
      </c>
      <c r="Z339" s="619">
        <v>128.02345743356784</v>
      </c>
      <c r="AA339" s="51"/>
    </row>
    <row r="340" spans="6:27" x14ac:dyDescent="0.25">
      <c r="F340" s="51"/>
      <c r="G340" s="614" t="s">
        <v>85</v>
      </c>
      <c r="H340" s="615">
        <v>0.72191845703125002</v>
      </c>
      <c r="I340" s="615">
        <v>0</v>
      </c>
      <c r="J340" s="615">
        <v>410.50355831066599</v>
      </c>
      <c r="K340" s="615">
        <v>0.79070039752491883</v>
      </c>
      <c r="L340" s="615">
        <v>173.90532970400972</v>
      </c>
      <c r="M340" s="615">
        <v>0</v>
      </c>
      <c r="N340" s="615">
        <v>0</v>
      </c>
      <c r="O340" s="615">
        <v>0</v>
      </c>
      <c r="P340" s="615">
        <v>105.64872891576877</v>
      </c>
      <c r="Q340" s="615">
        <v>9.815547509212319</v>
      </c>
      <c r="R340" s="615">
        <v>46.698096197787883</v>
      </c>
      <c r="S340" s="615">
        <v>35.307727528924232</v>
      </c>
      <c r="T340" s="615">
        <v>141.04542470806211</v>
      </c>
      <c r="U340" s="615">
        <v>0</v>
      </c>
      <c r="V340" s="615">
        <v>15.181342069967958</v>
      </c>
      <c r="W340" s="615">
        <v>491.48794304488933</v>
      </c>
      <c r="X340" s="615">
        <v>78.030677754732466</v>
      </c>
      <c r="Y340" s="615">
        <v>9.0284105499406841</v>
      </c>
      <c r="Z340" s="615">
        <v>1518.1654051485175</v>
      </c>
      <c r="AA340" s="51"/>
    </row>
    <row r="341" spans="6:27" x14ac:dyDescent="0.25">
      <c r="F341" s="51"/>
      <c r="G341" s="51"/>
      <c r="H341" s="67">
        <v>0</v>
      </c>
      <c r="I341" s="67">
        <v>0</v>
      </c>
      <c r="J341" s="67">
        <v>0</v>
      </c>
      <c r="K341" s="67">
        <v>0</v>
      </c>
      <c r="L341" s="67">
        <v>0</v>
      </c>
      <c r="M341" s="67">
        <v>0</v>
      </c>
      <c r="N341" s="67">
        <v>0</v>
      </c>
      <c r="O341" s="67">
        <v>0</v>
      </c>
      <c r="P341" s="67">
        <v>0</v>
      </c>
      <c r="Q341" s="67">
        <v>0</v>
      </c>
      <c r="R341" s="67">
        <v>-3.5527136788005009E-15</v>
      </c>
      <c r="S341" s="67">
        <v>7.9936057773011271E-15</v>
      </c>
      <c r="T341" s="67">
        <v>0</v>
      </c>
      <c r="U341" s="67">
        <v>0</v>
      </c>
      <c r="V341" s="67">
        <v>0</v>
      </c>
      <c r="W341" s="67">
        <v>0</v>
      </c>
      <c r="X341" s="721">
        <v>-3.0274051596279605E-5</v>
      </c>
      <c r="Y341" s="67">
        <v>8.8817841970012523E-16</v>
      </c>
      <c r="Z341" s="67">
        <v>-3.0274051823653281E-5</v>
      </c>
      <c r="AA341" s="51"/>
    </row>
    <row r="342" spans="6:27" x14ac:dyDescent="0.25">
      <c r="F342" s="51"/>
      <c r="G342" s="51"/>
      <c r="H342" s="51"/>
      <c r="I342" s="51"/>
      <c r="J342" s="51"/>
      <c r="K342" s="67"/>
      <c r="L342" s="51"/>
      <c r="M342" s="51"/>
      <c r="N342" s="51"/>
      <c r="O342" s="51"/>
      <c r="P342" s="51"/>
      <c r="Q342" s="51"/>
      <c r="R342" s="51"/>
      <c r="S342" s="51"/>
      <c r="T342" s="51"/>
      <c r="U342" s="51"/>
      <c r="V342" s="51"/>
      <c r="W342" s="51"/>
      <c r="X342" s="51"/>
      <c r="Y342" s="51"/>
      <c r="Z342" s="51"/>
      <c r="AA342" s="51"/>
    </row>
    <row r="343" spans="6:27" x14ac:dyDescent="0.25">
      <c r="F343" s="606"/>
      <c r="G343" s="607" t="s">
        <v>358</v>
      </c>
      <c r="H343" s="606"/>
      <c r="I343" s="606"/>
      <c r="J343" s="606"/>
      <c r="K343" s="682"/>
      <c r="L343" s="606"/>
      <c r="M343" s="606"/>
      <c r="N343" s="606"/>
      <c r="O343" s="606"/>
      <c r="P343" s="606"/>
      <c r="Q343" s="606"/>
      <c r="R343" s="606"/>
      <c r="S343" s="606"/>
      <c r="T343" s="606"/>
      <c r="U343" s="606"/>
      <c r="V343" s="606"/>
      <c r="W343" s="606"/>
      <c r="X343" s="606"/>
      <c r="Y343" s="606"/>
      <c r="Z343" s="606"/>
      <c r="AA343" s="606"/>
    </row>
    <row r="344" spans="6:27" x14ac:dyDescent="0.25">
      <c r="F344" s="51"/>
      <c r="G344" s="51"/>
      <c r="H344" s="51"/>
      <c r="I344" s="51"/>
      <c r="J344" s="51"/>
      <c r="K344" s="67"/>
      <c r="L344" s="51"/>
      <c r="M344" s="51"/>
      <c r="N344" s="51"/>
      <c r="O344" s="51"/>
      <c r="P344" s="51"/>
      <c r="Q344" s="51"/>
      <c r="R344" s="51"/>
      <c r="S344" s="51"/>
      <c r="T344" s="51"/>
      <c r="U344" s="51"/>
      <c r="V344" s="51"/>
      <c r="W344" s="51"/>
      <c r="X344" s="51"/>
      <c r="Y344" s="51"/>
      <c r="Z344" s="51"/>
      <c r="AA344" s="51"/>
    </row>
    <row r="345" spans="6:27" x14ac:dyDescent="0.25">
      <c r="F345" s="51"/>
      <c r="G345" s="764" t="s">
        <v>128</v>
      </c>
      <c r="H345" s="753" t="s">
        <v>42</v>
      </c>
      <c r="I345" s="753" t="s">
        <v>52</v>
      </c>
      <c r="J345" s="753" t="s">
        <v>53</v>
      </c>
      <c r="K345" s="766" t="s">
        <v>482</v>
      </c>
      <c r="L345" s="753" t="s">
        <v>32</v>
      </c>
      <c r="M345" s="753" t="s">
        <v>483</v>
      </c>
      <c r="N345" s="753" t="s">
        <v>20</v>
      </c>
      <c r="O345" s="753" t="s">
        <v>55</v>
      </c>
      <c r="P345" s="761" t="s">
        <v>56</v>
      </c>
      <c r="Q345" s="762"/>
      <c r="R345" s="762"/>
      <c r="S345" s="762"/>
      <c r="T345" s="762"/>
      <c r="U345" s="762"/>
      <c r="V345" s="763"/>
      <c r="W345" s="753" t="s">
        <v>57</v>
      </c>
      <c r="X345" s="753" t="s">
        <v>58</v>
      </c>
      <c r="Y345" s="753" t="s">
        <v>31</v>
      </c>
      <c r="Z345" s="753" t="s">
        <v>10</v>
      </c>
      <c r="AA345" s="51"/>
    </row>
    <row r="346" spans="6:27" ht="36" x14ac:dyDescent="0.25">
      <c r="F346" s="51"/>
      <c r="G346" s="765"/>
      <c r="H346" s="754"/>
      <c r="I346" s="754"/>
      <c r="J346" s="754"/>
      <c r="K346" s="767"/>
      <c r="L346" s="754"/>
      <c r="M346" s="754"/>
      <c r="N346" s="754"/>
      <c r="O346" s="754"/>
      <c r="P346" s="608" t="s">
        <v>335</v>
      </c>
      <c r="Q346" s="608" t="s">
        <v>40</v>
      </c>
      <c r="R346" s="608" t="s">
        <v>343</v>
      </c>
      <c r="S346" s="608" t="s">
        <v>344</v>
      </c>
      <c r="T346" s="609" t="s">
        <v>345</v>
      </c>
      <c r="U346" s="609" t="s">
        <v>609</v>
      </c>
      <c r="V346" s="608" t="s">
        <v>346</v>
      </c>
      <c r="W346" s="754"/>
      <c r="X346" s="754"/>
      <c r="Y346" s="754"/>
      <c r="Z346" s="754"/>
      <c r="AA346" s="51"/>
    </row>
    <row r="347" spans="6:27" x14ac:dyDescent="0.25">
      <c r="F347" s="51"/>
      <c r="G347" s="610" t="s">
        <v>59</v>
      </c>
      <c r="H347" s="611">
        <v>0</v>
      </c>
      <c r="I347" s="611">
        <v>4.7683</v>
      </c>
      <c r="J347" s="611">
        <v>0</v>
      </c>
      <c r="K347" s="611">
        <v>0</v>
      </c>
      <c r="L347" s="611">
        <v>9.8855000000000012E-2</v>
      </c>
      <c r="M347" s="611">
        <v>0</v>
      </c>
      <c r="N347" s="612">
        <v>1162.7439999999999</v>
      </c>
      <c r="O347" s="612">
        <v>299.59846132130883</v>
      </c>
      <c r="P347" s="611">
        <v>319.01734498759413</v>
      </c>
      <c r="Q347" s="612">
        <v>51.348490193266947</v>
      </c>
      <c r="R347" s="611">
        <v>0</v>
      </c>
      <c r="S347" s="611">
        <v>0</v>
      </c>
      <c r="T347" s="612">
        <v>157.23536701439491</v>
      </c>
      <c r="U347" s="612">
        <v>14.160487242314748</v>
      </c>
      <c r="V347" s="612">
        <v>34.299691863986411</v>
      </c>
      <c r="W347" s="611">
        <v>0</v>
      </c>
      <c r="X347" s="611">
        <v>0</v>
      </c>
      <c r="Y347" s="611">
        <v>0</v>
      </c>
      <c r="Z347" s="613">
        <v>2043.2709976228659</v>
      </c>
      <c r="AA347" s="51"/>
    </row>
    <row r="348" spans="6:27" x14ac:dyDescent="0.25">
      <c r="F348" s="51"/>
      <c r="G348" s="610" t="s">
        <v>60</v>
      </c>
      <c r="H348" s="611">
        <v>13.10897607421875</v>
      </c>
      <c r="I348" s="611">
        <v>308.93113241881071</v>
      </c>
      <c r="J348" s="611">
        <v>121.08575062075425</v>
      </c>
      <c r="K348" s="611">
        <v>2.7939885995123079</v>
      </c>
      <c r="L348" s="620">
        <v>208.53518235241728</v>
      </c>
      <c r="M348" s="611">
        <v>0</v>
      </c>
      <c r="N348" s="611">
        <v>0</v>
      </c>
      <c r="O348" s="611">
        <v>0</v>
      </c>
      <c r="P348" s="611">
        <v>3.9620965723904646</v>
      </c>
      <c r="Q348" s="611">
        <v>0</v>
      </c>
      <c r="R348" s="611">
        <v>15.040491481755694</v>
      </c>
      <c r="S348" s="611">
        <v>7.9892327206458447E-2</v>
      </c>
      <c r="T348" s="611">
        <v>0</v>
      </c>
      <c r="U348" s="611">
        <v>0</v>
      </c>
      <c r="V348" s="611">
        <v>0</v>
      </c>
      <c r="W348" s="611">
        <v>0</v>
      </c>
      <c r="X348" s="611">
        <v>0</v>
      </c>
      <c r="Y348" s="611">
        <v>0</v>
      </c>
      <c r="Z348" s="613">
        <v>673.53751044706598</v>
      </c>
      <c r="AA348" s="51"/>
    </row>
    <row r="349" spans="6:27" x14ac:dyDescent="0.25">
      <c r="F349" s="51"/>
      <c r="G349" s="610" t="s">
        <v>61</v>
      </c>
      <c r="H349" s="611">
        <v>0</v>
      </c>
      <c r="I349" s="611">
        <v>0</v>
      </c>
      <c r="J349" s="611">
        <v>0</v>
      </c>
      <c r="K349" s="611">
        <v>0</v>
      </c>
      <c r="L349" s="611">
        <v>0</v>
      </c>
      <c r="M349" s="611">
        <v>0</v>
      </c>
      <c r="N349" s="611">
        <v>0</v>
      </c>
      <c r="O349" s="611">
        <v>0</v>
      </c>
      <c r="P349" s="611">
        <v>0</v>
      </c>
      <c r="Q349" s="611">
        <v>0</v>
      </c>
      <c r="R349" s="611">
        <v>0</v>
      </c>
      <c r="S349" s="611">
        <v>0</v>
      </c>
      <c r="T349" s="611">
        <v>0</v>
      </c>
      <c r="U349" s="611">
        <v>0</v>
      </c>
      <c r="V349" s="611">
        <v>0</v>
      </c>
      <c r="W349" s="611">
        <v>-95.466033511784872</v>
      </c>
      <c r="X349" s="611">
        <v>0</v>
      </c>
      <c r="Y349" s="611">
        <v>0</v>
      </c>
      <c r="Z349" s="613">
        <v>-95.466033511784872</v>
      </c>
      <c r="AA349" s="51"/>
    </row>
    <row r="350" spans="6:27" x14ac:dyDescent="0.25">
      <c r="F350" s="51"/>
      <c r="G350" s="610" t="s">
        <v>62</v>
      </c>
      <c r="H350" s="611">
        <v>0</v>
      </c>
      <c r="I350" s="611">
        <v>0</v>
      </c>
      <c r="J350" s="611">
        <v>-7.1897413553368033</v>
      </c>
      <c r="K350" s="611">
        <v>-0.40871635052551269</v>
      </c>
      <c r="L350" s="611">
        <v>-0.64998497552234569</v>
      </c>
      <c r="M350" s="611">
        <v>-0.61307452578826904</v>
      </c>
      <c r="N350" s="611">
        <v>0</v>
      </c>
      <c r="O350" s="611">
        <v>0</v>
      </c>
      <c r="P350" s="611">
        <v>0</v>
      </c>
      <c r="Q350" s="611">
        <v>0</v>
      </c>
      <c r="R350" s="611">
        <v>0</v>
      </c>
      <c r="S350" s="611">
        <v>-1.0039414282398573</v>
      </c>
      <c r="T350" s="611">
        <v>0</v>
      </c>
      <c r="U350" s="611">
        <v>0</v>
      </c>
      <c r="V350" s="611">
        <v>0</v>
      </c>
      <c r="W350" s="611">
        <v>0</v>
      </c>
      <c r="X350" s="611">
        <v>0</v>
      </c>
      <c r="Y350" s="611">
        <v>-0.37964157661678277</v>
      </c>
      <c r="Z350" s="613">
        <v>-10.24510021202957</v>
      </c>
      <c r="AA350" s="51"/>
    </row>
    <row r="351" spans="6:27" x14ac:dyDescent="0.25">
      <c r="F351" s="51"/>
      <c r="G351" s="610" t="s">
        <v>63</v>
      </c>
      <c r="H351" s="611">
        <v>0</v>
      </c>
      <c r="I351" s="611">
        <v>0</v>
      </c>
      <c r="J351" s="611">
        <v>-56</v>
      </c>
      <c r="K351" s="611">
        <v>-4</v>
      </c>
      <c r="L351" s="611">
        <v>0</v>
      </c>
      <c r="M351" s="611">
        <v>0</v>
      </c>
      <c r="N351" s="611">
        <v>0</v>
      </c>
      <c r="O351" s="611">
        <v>0</v>
      </c>
      <c r="P351" s="611">
        <v>0</v>
      </c>
      <c r="Q351" s="611">
        <v>0</v>
      </c>
      <c r="R351" s="611">
        <v>-11</v>
      </c>
      <c r="S351" s="611">
        <v>0</v>
      </c>
      <c r="T351" s="611">
        <v>0</v>
      </c>
      <c r="U351" s="611">
        <v>0</v>
      </c>
      <c r="V351" s="611">
        <v>0</v>
      </c>
      <c r="W351" s="611">
        <v>0</v>
      </c>
      <c r="X351" s="611">
        <v>0</v>
      </c>
      <c r="Y351" s="611">
        <v>-1</v>
      </c>
      <c r="Z351" s="613">
        <v>-72</v>
      </c>
      <c r="AA351" s="51"/>
    </row>
    <row r="352" spans="6:27" x14ac:dyDescent="0.25">
      <c r="F352" s="51"/>
      <c r="G352" s="610" t="s">
        <v>64</v>
      </c>
      <c r="H352" s="611">
        <v>0</v>
      </c>
      <c r="I352" s="611">
        <v>0</v>
      </c>
      <c r="J352" s="611">
        <v>0</v>
      </c>
      <c r="K352" s="611">
        <v>0</v>
      </c>
      <c r="L352" s="611">
        <v>0</v>
      </c>
      <c r="M352" s="611">
        <v>0</v>
      </c>
      <c r="N352" s="611">
        <v>0</v>
      </c>
      <c r="O352" s="611">
        <v>0</v>
      </c>
      <c r="P352" s="611">
        <v>0</v>
      </c>
      <c r="Q352" s="611">
        <v>0</v>
      </c>
      <c r="R352" s="611">
        <v>0</v>
      </c>
      <c r="S352" s="611">
        <v>0</v>
      </c>
      <c r="T352" s="611">
        <v>0</v>
      </c>
      <c r="U352" s="611">
        <v>0</v>
      </c>
      <c r="V352" s="611">
        <v>0</v>
      </c>
      <c r="W352" s="611">
        <v>0</v>
      </c>
      <c r="X352" s="611">
        <v>0</v>
      </c>
      <c r="Y352" s="611">
        <v>0</v>
      </c>
      <c r="Z352" s="613">
        <v>0</v>
      </c>
      <c r="AA352" s="51"/>
    </row>
    <row r="353" spans="6:27" x14ac:dyDescent="0.25">
      <c r="F353" s="51"/>
      <c r="G353" s="614" t="s">
        <v>65</v>
      </c>
      <c r="H353" s="615">
        <v>13.10897607421875</v>
      </c>
      <c r="I353" s="615">
        <v>313.69943241881072</v>
      </c>
      <c r="J353" s="615">
        <v>57.896009265417447</v>
      </c>
      <c r="K353" s="615">
        <v>-1.6147277510132048</v>
      </c>
      <c r="L353" s="615">
        <v>207.98405237689491</v>
      </c>
      <c r="M353" s="615">
        <v>-0.61307452578826904</v>
      </c>
      <c r="N353" s="615">
        <v>1162.7439999999999</v>
      </c>
      <c r="O353" s="615">
        <v>299.59846132130883</v>
      </c>
      <c r="P353" s="615">
        <v>322.97944155998459</v>
      </c>
      <c r="Q353" s="615">
        <v>51.348490193266947</v>
      </c>
      <c r="R353" s="615">
        <v>4.0404914817556943</v>
      </c>
      <c r="S353" s="615">
        <v>-0.92404910103339888</v>
      </c>
      <c r="T353" s="615">
        <v>157.23536701439491</v>
      </c>
      <c r="U353" s="615">
        <v>14.160487242314748</v>
      </c>
      <c r="V353" s="615">
        <v>34.299691863986411</v>
      </c>
      <c r="W353" s="615">
        <v>-95.466033511784872</v>
      </c>
      <c r="X353" s="615">
        <v>0</v>
      </c>
      <c r="Y353" s="615">
        <v>-1.3796415766167827</v>
      </c>
      <c r="Z353" s="615">
        <v>2539.0973743461172</v>
      </c>
      <c r="AA353" s="51"/>
    </row>
    <row r="354" spans="6:27" x14ac:dyDescent="0.25">
      <c r="F354" s="51"/>
      <c r="G354" s="616"/>
      <c r="H354" s="617"/>
      <c r="I354" s="617"/>
      <c r="J354" s="617"/>
      <c r="K354" s="617"/>
      <c r="L354" s="617"/>
      <c r="M354" s="617"/>
      <c r="N354" s="617"/>
      <c r="O354" s="617"/>
      <c r="P354" s="617"/>
      <c r="Q354" s="617"/>
      <c r="R354" s="617"/>
      <c r="S354" s="617"/>
      <c r="T354" s="617"/>
      <c r="U354" s="617"/>
      <c r="V354" s="617"/>
      <c r="W354" s="617"/>
      <c r="X354" s="617"/>
      <c r="Y354" s="617"/>
      <c r="Z354" s="617"/>
      <c r="AA354" s="51"/>
    </row>
    <row r="355" spans="6:27" x14ac:dyDescent="0.25">
      <c r="F355" s="51"/>
      <c r="G355" s="618" t="s">
        <v>67</v>
      </c>
      <c r="H355" s="611">
        <v>0</v>
      </c>
      <c r="I355" s="611">
        <v>0</v>
      </c>
      <c r="J355" s="611">
        <v>0</v>
      </c>
      <c r="K355" s="611">
        <v>0</v>
      </c>
      <c r="L355" s="611">
        <v>0</v>
      </c>
      <c r="M355" s="611">
        <v>0</v>
      </c>
      <c r="N355" s="611">
        <v>0</v>
      </c>
      <c r="O355" s="611">
        <v>0</v>
      </c>
      <c r="P355" s="611">
        <v>0</v>
      </c>
      <c r="Q355" s="611">
        <v>0</v>
      </c>
      <c r="R355" s="611">
        <v>0</v>
      </c>
      <c r="S355" s="611">
        <v>0</v>
      </c>
      <c r="T355" s="611">
        <v>0</v>
      </c>
      <c r="U355" s="611">
        <v>0</v>
      </c>
      <c r="V355" s="611">
        <v>0</v>
      </c>
      <c r="W355" s="611">
        <v>0</v>
      </c>
      <c r="X355" s="611">
        <v>0</v>
      </c>
      <c r="Y355" s="611">
        <v>0</v>
      </c>
      <c r="Z355" s="619">
        <v>0</v>
      </c>
      <c r="AA355" s="51"/>
    </row>
    <row r="356" spans="6:27" x14ac:dyDescent="0.25">
      <c r="F356" s="51"/>
      <c r="G356" s="618" t="s">
        <v>347</v>
      </c>
      <c r="H356" s="611">
        <v>0</v>
      </c>
      <c r="I356" s="611">
        <v>0</v>
      </c>
      <c r="J356" s="611">
        <v>0.802217285608815</v>
      </c>
      <c r="K356" s="611">
        <v>0</v>
      </c>
      <c r="L356" s="611">
        <v>25.778498998044444</v>
      </c>
      <c r="M356" s="611">
        <v>0</v>
      </c>
      <c r="N356" s="611">
        <v>1162.7439999999999</v>
      </c>
      <c r="O356" s="611">
        <v>299.59846132130883</v>
      </c>
      <c r="P356" s="611">
        <v>15.921747993621487</v>
      </c>
      <c r="Q356" s="611">
        <v>5.93692826914703</v>
      </c>
      <c r="R356" s="611">
        <v>5.0291337303525587</v>
      </c>
      <c r="S356" s="611">
        <v>8.748119861379541</v>
      </c>
      <c r="T356" s="611">
        <v>0</v>
      </c>
      <c r="U356" s="611">
        <v>0</v>
      </c>
      <c r="V356" s="611">
        <v>2.7943993103273139</v>
      </c>
      <c r="W356" s="611">
        <v>-717.37547960636846</v>
      </c>
      <c r="X356" s="611">
        <v>0</v>
      </c>
      <c r="Y356" s="611">
        <v>0</v>
      </c>
      <c r="Z356" s="619">
        <v>809.97802716342164</v>
      </c>
      <c r="AA356" s="51"/>
    </row>
    <row r="357" spans="6:27" x14ac:dyDescent="0.25">
      <c r="F357" s="51"/>
      <c r="G357" s="618" t="s">
        <v>348</v>
      </c>
      <c r="H357" s="611">
        <v>0</v>
      </c>
      <c r="I357" s="611">
        <v>0</v>
      </c>
      <c r="J357" s="611">
        <v>0</v>
      </c>
      <c r="K357" s="611">
        <v>0</v>
      </c>
      <c r="L357" s="611">
        <v>21.610761712544495</v>
      </c>
      <c r="M357" s="611">
        <v>0</v>
      </c>
      <c r="N357" s="611">
        <v>0</v>
      </c>
      <c r="O357" s="611">
        <v>0</v>
      </c>
      <c r="P357" s="611">
        <v>24.785104378649287</v>
      </c>
      <c r="Q357" s="611">
        <v>17.95996245859666</v>
      </c>
      <c r="R357" s="611">
        <v>0</v>
      </c>
      <c r="S357" s="611">
        <v>6.3205787341877624</v>
      </c>
      <c r="T357" s="611">
        <v>0</v>
      </c>
      <c r="U357" s="611">
        <v>14.160487242314748</v>
      </c>
      <c r="V357" s="611">
        <v>14.189843081655606</v>
      </c>
      <c r="W357" s="611">
        <v>0</v>
      </c>
      <c r="X357" s="620">
        <v>-90.295152964101419</v>
      </c>
      <c r="Y357" s="611">
        <v>0</v>
      </c>
      <c r="Z357" s="619">
        <v>8.7315846438471425</v>
      </c>
      <c r="AA357" s="51"/>
    </row>
    <row r="358" spans="6:27" x14ac:dyDescent="0.25">
      <c r="F358" s="51"/>
      <c r="G358" s="618" t="s">
        <v>349</v>
      </c>
      <c r="H358" s="611">
        <v>0</v>
      </c>
      <c r="I358" s="611">
        <v>0</v>
      </c>
      <c r="J358" s="611">
        <v>0</v>
      </c>
      <c r="K358" s="611">
        <v>0</v>
      </c>
      <c r="L358" s="611">
        <v>0</v>
      </c>
      <c r="M358" s="611">
        <v>0</v>
      </c>
      <c r="N358" s="611">
        <v>0</v>
      </c>
      <c r="O358" s="611">
        <v>0</v>
      </c>
      <c r="P358" s="611">
        <v>95.025274759778867</v>
      </c>
      <c r="Q358" s="611">
        <v>10.678076799137498</v>
      </c>
      <c r="R358" s="611">
        <v>0</v>
      </c>
      <c r="S358" s="611">
        <v>-52.932106946617139</v>
      </c>
      <c r="T358" s="611">
        <v>0</v>
      </c>
      <c r="U358" s="611">
        <v>0</v>
      </c>
      <c r="V358" s="611">
        <v>0</v>
      </c>
      <c r="W358" s="611">
        <v>0</v>
      </c>
      <c r="X358" s="611">
        <v>0</v>
      </c>
      <c r="Y358" s="611">
        <v>0</v>
      </c>
      <c r="Z358" s="619">
        <v>52.771244612299228</v>
      </c>
      <c r="AA358" s="51"/>
    </row>
    <row r="359" spans="6:27" x14ac:dyDescent="0.25">
      <c r="F359" s="51"/>
      <c r="G359" s="618" t="s">
        <v>350</v>
      </c>
      <c r="H359" s="611">
        <v>0</v>
      </c>
      <c r="I359" s="611">
        <v>0</v>
      </c>
      <c r="J359" s="611">
        <v>0</v>
      </c>
      <c r="K359" s="611">
        <v>0</v>
      </c>
      <c r="L359" s="611">
        <v>0</v>
      </c>
      <c r="M359" s="620">
        <v>-0.61307452578826904</v>
      </c>
      <c r="N359" s="611">
        <v>0</v>
      </c>
      <c r="O359" s="611">
        <v>0</v>
      </c>
      <c r="P359" s="611">
        <v>0</v>
      </c>
      <c r="Q359" s="611">
        <v>0</v>
      </c>
      <c r="R359" s="611">
        <v>0</v>
      </c>
      <c r="S359" s="611">
        <v>0</v>
      </c>
      <c r="T359" s="611">
        <v>0</v>
      </c>
      <c r="U359" s="611">
        <v>0</v>
      </c>
      <c r="V359" s="611">
        <v>0</v>
      </c>
      <c r="W359" s="611">
        <v>0</v>
      </c>
      <c r="X359" s="611">
        <v>0</v>
      </c>
      <c r="Y359" s="611">
        <v>0.85149239692815148</v>
      </c>
      <c r="Z359" s="619">
        <v>0.23841787113988244</v>
      </c>
      <c r="AA359" s="51"/>
    </row>
    <row r="360" spans="6:27" x14ac:dyDescent="0.25">
      <c r="F360" s="51"/>
      <c r="G360" s="618" t="s">
        <v>72</v>
      </c>
      <c r="H360" s="611">
        <v>0</v>
      </c>
      <c r="I360" s="611">
        <v>325.09767157974136</v>
      </c>
      <c r="J360" s="611">
        <v>-321.84669486394392</v>
      </c>
      <c r="K360" s="611">
        <v>0</v>
      </c>
      <c r="L360" s="611">
        <v>0</v>
      </c>
      <c r="M360" s="611">
        <v>0</v>
      </c>
      <c r="N360" s="611">
        <v>0</v>
      </c>
      <c r="O360" s="611">
        <v>0</v>
      </c>
      <c r="P360" s="611">
        <v>0</v>
      </c>
      <c r="Q360" s="611">
        <v>0</v>
      </c>
      <c r="R360" s="611">
        <v>0</v>
      </c>
      <c r="S360" s="611">
        <v>0</v>
      </c>
      <c r="T360" s="611">
        <v>0</v>
      </c>
      <c r="U360" s="611">
        <v>0</v>
      </c>
      <c r="V360" s="611">
        <v>0</v>
      </c>
      <c r="W360" s="611">
        <v>0</v>
      </c>
      <c r="X360" s="611">
        <v>0</v>
      </c>
      <c r="Y360" s="611">
        <v>0</v>
      </c>
      <c r="Z360" s="619">
        <v>3.2509767157974352</v>
      </c>
      <c r="AA360" s="51"/>
    </row>
    <row r="361" spans="6:27" x14ac:dyDescent="0.25">
      <c r="F361" s="51"/>
      <c r="G361" s="618" t="s">
        <v>351</v>
      </c>
      <c r="H361" s="611">
        <v>0</v>
      </c>
      <c r="I361" s="611">
        <v>0</v>
      </c>
      <c r="J361" s="611">
        <v>0</v>
      </c>
      <c r="K361" s="611">
        <v>0</v>
      </c>
      <c r="L361" s="611">
        <v>0</v>
      </c>
      <c r="M361" s="611">
        <v>0</v>
      </c>
      <c r="N361" s="611">
        <v>0</v>
      </c>
      <c r="O361" s="611">
        <v>0</v>
      </c>
      <c r="P361" s="611">
        <v>83.277924958812179</v>
      </c>
      <c r="Q361" s="611">
        <v>7.2727272727272725</v>
      </c>
      <c r="R361" s="620">
        <v>-50.501152166962441</v>
      </c>
      <c r="S361" s="611">
        <v>0</v>
      </c>
      <c r="T361" s="611">
        <v>0</v>
      </c>
      <c r="U361" s="611">
        <v>0</v>
      </c>
      <c r="V361" s="611">
        <v>0</v>
      </c>
      <c r="W361" s="611">
        <v>0</v>
      </c>
      <c r="X361" s="611">
        <v>0</v>
      </c>
      <c r="Y361" s="611">
        <v>0</v>
      </c>
      <c r="Z361" s="619">
        <v>40.049500064577003</v>
      </c>
      <c r="AA361" s="51"/>
    </row>
    <row r="362" spans="6:27" x14ac:dyDescent="0.25">
      <c r="F362" s="51"/>
      <c r="G362" s="618" t="s">
        <v>352</v>
      </c>
      <c r="H362" s="611">
        <v>0</v>
      </c>
      <c r="I362" s="611">
        <v>0</v>
      </c>
      <c r="J362" s="611">
        <v>0</v>
      </c>
      <c r="K362" s="611">
        <v>-2.9087163505255127</v>
      </c>
      <c r="L362" s="611">
        <v>0</v>
      </c>
      <c r="M362" s="611">
        <v>0</v>
      </c>
      <c r="N362" s="611">
        <v>0</v>
      </c>
      <c r="O362" s="611">
        <v>0</v>
      </c>
      <c r="P362" s="611">
        <v>0</v>
      </c>
      <c r="Q362" s="611">
        <v>0</v>
      </c>
      <c r="R362" s="611">
        <v>0</v>
      </c>
      <c r="S362" s="611">
        <v>0</v>
      </c>
      <c r="T362" s="611">
        <v>0</v>
      </c>
      <c r="U362" s="611">
        <v>0</v>
      </c>
      <c r="V362" s="611">
        <v>0</v>
      </c>
      <c r="W362" s="611">
        <v>0</v>
      </c>
      <c r="X362" s="611">
        <v>0</v>
      </c>
      <c r="Y362" s="611">
        <v>4.8495879855780641</v>
      </c>
      <c r="Z362" s="619">
        <v>1.9408716350525514</v>
      </c>
      <c r="AA362" s="51"/>
    </row>
    <row r="363" spans="6:27" x14ac:dyDescent="0.25">
      <c r="F363" s="51"/>
      <c r="G363" s="618" t="s">
        <v>73</v>
      </c>
      <c r="H363" s="611">
        <v>0</v>
      </c>
      <c r="I363" s="611">
        <v>0</v>
      </c>
      <c r="J363" s="611">
        <v>0</v>
      </c>
      <c r="K363" s="611">
        <v>0</v>
      </c>
      <c r="L363" s="611">
        <v>0</v>
      </c>
      <c r="M363" s="611">
        <v>0</v>
      </c>
      <c r="N363" s="611">
        <v>0</v>
      </c>
      <c r="O363" s="611">
        <v>0</v>
      </c>
      <c r="P363" s="611">
        <v>0</v>
      </c>
      <c r="Q363" s="611">
        <v>0</v>
      </c>
      <c r="R363" s="611">
        <v>0</v>
      </c>
      <c r="S363" s="611">
        <v>0</v>
      </c>
      <c r="T363" s="611">
        <v>0</v>
      </c>
      <c r="U363" s="611">
        <v>0</v>
      </c>
      <c r="V363" s="611">
        <v>0</v>
      </c>
      <c r="W363" s="611">
        <v>32.352563963788228</v>
      </c>
      <c r="X363" s="611">
        <v>0</v>
      </c>
      <c r="Y363" s="611">
        <v>-21.595336445828643</v>
      </c>
      <c r="Z363" s="619">
        <v>10.757227517959585</v>
      </c>
      <c r="AA363" s="51"/>
    </row>
    <row r="364" spans="6:27" x14ac:dyDescent="0.25">
      <c r="F364" s="51"/>
      <c r="G364" s="618" t="s">
        <v>353</v>
      </c>
      <c r="H364" s="611">
        <v>9.0096813281249997</v>
      </c>
      <c r="I364" s="611">
        <v>-11.398239160930634</v>
      </c>
      <c r="J364" s="611">
        <v>15.062765425262727</v>
      </c>
      <c r="K364" s="611">
        <v>0</v>
      </c>
      <c r="L364" s="611">
        <v>0</v>
      </c>
      <c r="M364" s="611">
        <v>0</v>
      </c>
      <c r="N364" s="611">
        <v>0</v>
      </c>
      <c r="O364" s="611">
        <v>0</v>
      </c>
      <c r="P364" s="611">
        <v>0</v>
      </c>
      <c r="Q364" s="611">
        <v>0</v>
      </c>
      <c r="R364" s="611">
        <v>0</v>
      </c>
      <c r="S364" s="611">
        <v>0</v>
      </c>
      <c r="T364" s="611">
        <v>0</v>
      </c>
      <c r="U364" s="611">
        <v>0</v>
      </c>
      <c r="V364" s="611">
        <v>0</v>
      </c>
      <c r="W364" s="611">
        <v>0</v>
      </c>
      <c r="X364" s="611">
        <v>0</v>
      </c>
      <c r="Y364" s="611">
        <v>0</v>
      </c>
      <c r="Z364" s="619">
        <v>12.674207592457092</v>
      </c>
      <c r="AA364" s="51"/>
    </row>
    <row r="365" spans="6:27" x14ac:dyDescent="0.25">
      <c r="F365" s="51"/>
      <c r="G365" s="618" t="s">
        <v>75</v>
      </c>
      <c r="H365" s="611">
        <v>3.5037649609375006</v>
      </c>
      <c r="I365" s="611">
        <v>0</v>
      </c>
      <c r="J365" s="611">
        <v>11.25597354471723</v>
      </c>
      <c r="K365" s="611">
        <v>0</v>
      </c>
      <c r="L365" s="611">
        <v>0</v>
      </c>
      <c r="M365" s="611">
        <v>0</v>
      </c>
      <c r="N365" s="611">
        <v>0</v>
      </c>
      <c r="O365" s="611">
        <v>0</v>
      </c>
      <c r="P365" s="611">
        <v>0</v>
      </c>
      <c r="Q365" s="611">
        <v>0</v>
      </c>
      <c r="R365" s="611">
        <v>0</v>
      </c>
      <c r="S365" s="611">
        <v>0</v>
      </c>
      <c r="T365" s="611">
        <v>0</v>
      </c>
      <c r="U365" s="611">
        <v>0</v>
      </c>
      <c r="V365" s="611">
        <v>0</v>
      </c>
      <c r="W365" s="620">
        <v>35.053658012222463</v>
      </c>
      <c r="X365" s="611">
        <v>0</v>
      </c>
      <c r="Y365" s="611">
        <v>3.1951837496115347</v>
      </c>
      <c r="Z365" s="619">
        <v>53.008580267488732</v>
      </c>
      <c r="AA365" s="51"/>
    </row>
    <row r="366" spans="6:27" x14ac:dyDescent="0.25">
      <c r="F366" s="51"/>
      <c r="G366" s="618" t="s">
        <v>76</v>
      </c>
      <c r="H366" s="611">
        <v>0</v>
      </c>
      <c r="I366" s="611">
        <v>0</v>
      </c>
      <c r="J366" s="611">
        <v>0</v>
      </c>
      <c r="K366" s="611">
        <v>0</v>
      </c>
      <c r="L366" s="611">
        <v>2.3417362535553745</v>
      </c>
      <c r="M366" s="611">
        <v>0</v>
      </c>
      <c r="N366" s="611">
        <v>0</v>
      </c>
      <c r="O366" s="611">
        <v>0</v>
      </c>
      <c r="P366" s="611">
        <v>0</v>
      </c>
      <c r="Q366" s="611">
        <v>0</v>
      </c>
      <c r="R366" s="611">
        <v>0</v>
      </c>
      <c r="S366" s="611">
        <v>0.58543406338884363</v>
      </c>
      <c r="T366" s="611">
        <v>0</v>
      </c>
      <c r="U366" s="611">
        <v>0</v>
      </c>
      <c r="V366" s="611">
        <v>0</v>
      </c>
      <c r="W366" s="611">
        <v>50.833401683684251</v>
      </c>
      <c r="X366" s="611">
        <v>7.00152240179274</v>
      </c>
      <c r="Y366" s="611">
        <v>0</v>
      </c>
      <c r="Z366" s="619">
        <v>60.762094402421212</v>
      </c>
      <c r="AA366" s="51"/>
    </row>
    <row r="367" spans="6:27" x14ac:dyDescent="0.25">
      <c r="F367" s="51"/>
      <c r="G367" s="614" t="s">
        <v>77</v>
      </c>
      <c r="H367" s="615">
        <v>12.5134462890625</v>
      </c>
      <c r="I367" s="615">
        <v>313.69943241881072</v>
      </c>
      <c r="J367" s="615">
        <v>-294.72573860835513</v>
      </c>
      <c r="K367" s="615">
        <v>-2.9087163505255127</v>
      </c>
      <c r="L367" s="615">
        <v>49.730996964144317</v>
      </c>
      <c r="M367" s="615">
        <v>-0.61307452578826904</v>
      </c>
      <c r="N367" s="615">
        <v>1162.7439999999999</v>
      </c>
      <c r="O367" s="615">
        <v>299.59846132130883</v>
      </c>
      <c r="P367" s="615">
        <v>219.01005209086182</v>
      </c>
      <c r="Q367" s="615">
        <v>41.847694799608462</v>
      </c>
      <c r="R367" s="615">
        <v>-45.472018436609886</v>
      </c>
      <c r="S367" s="615">
        <v>-37.277974287660989</v>
      </c>
      <c r="T367" s="615">
        <v>0</v>
      </c>
      <c r="U367" s="615">
        <v>14.160487242314748</v>
      </c>
      <c r="V367" s="615">
        <v>16.984242391982921</v>
      </c>
      <c r="W367" s="615">
        <v>-599.13585594667347</v>
      </c>
      <c r="X367" s="615">
        <v>-83.293630562308678</v>
      </c>
      <c r="Y367" s="615">
        <v>-12.699072313710893</v>
      </c>
      <c r="Z367" s="615">
        <v>1054.1627324864614</v>
      </c>
      <c r="AA367" s="51"/>
    </row>
    <row r="368" spans="6:27" x14ac:dyDescent="0.25">
      <c r="F368" s="51"/>
      <c r="G368" s="616"/>
      <c r="H368" s="617"/>
      <c r="I368" s="617"/>
      <c r="J368" s="617"/>
      <c r="K368" s="617"/>
      <c r="L368" s="617"/>
      <c r="M368" s="617"/>
      <c r="N368" s="617"/>
      <c r="O368" s="617"/>
      <c r="P368" s="617"/>
      <c r="Q368" s="617"/>
      <c r="R368" s="617"/>
      <c r="S368" s="617"/>
      <c r="T368" s="617"/>
      <c r="U368" s="617"/>
      <c r="V368" s="617"/>
      <c r="W368" s="617"/>
      <c r="X368" s="617"/>
      <c r="Y368" s="617"/>
      <c r="Z368" s="617"/>
      <c r="AA368" s="51"/>
    </row>
    <row r="369" spans="6:27" x14ac:dyDescent="0.25">
      <c r="F369" s="51"/>
      <c r="G369" s="618" t="s">
        <v>78</v>
      </c>
      <c r="H369" s="611">
        <v>0.59552978515624999</v>
      </c>
      <c r="I369" s="611">
        <v>0</v>
      </c>
      <c r="J369" s="611">
        <v>6.9248578185022795</v>
      </c>
      <c r="K369" s="611">
        <v>0</v>
      </c>
      <c r="L369" s="611">
        <v>56.056015641570937</v>
      </c>
      <c r="M369" s="620">
        <v>0</v>
      </c>
      <c r="N369" s="611">
        <v>0</v>
      </c>
      <c r="O369" s="611">
        <v>0</v>
      </c>
      <c r="P369" s="611">
        <v>38.482812658254467</v>
      </c>
      <c r="Q369" s="611">
        <v>9.5007953936584837</v>
      </c>
      <c r="R369" s="611">
        <v>0.86864625843500676</v>
      </c>
      <c r="S369" s="611">
        <v>14.047969700298927</v>
      </c>
      <c r="T369" s="611">
        <v>7.96939501953125</v>
      </c>
      <c r="U369" s="611">
        <v>0</v>
      </c>
      <c r="V369" s="611">
        <v>6.9244826847420892E-4</v>
      </c>
      <c r="W369" s="611">
        <v>153.63376409766943</v>
      </c>
      <c r="X369" s="611">
        <v>19.531581585374159</v>
      </c>
      <c r="Y369" s="611">
        <v>7.0234057617187498</v>
      </c>
      <c r="Z369" s="619">
        <v>314.63546616843843</v>
      </c>
      <c r="AA369" s="51"/>
    </row>
    <row r="370" spans="6:27" x14ac:dyDescent="0.25">
      <c r="F370" s="51"/>
      <c r="G370" s="618" t="s">
        <v>79</v>
      </c>
      <c r="H370" s="611">
        <v>0</v>
      </c>
      <c r="I370" s="611">
        <v>0</v>
      </c>
      <c r="J370" s="611">
        <v>211.71015331690265</v>
      </c>
      <c r="K370" s="611">
        <v>0</v>
      </c>
      <c r="L370" s="611">
        <v>6.084888759318634</v>
      </c>
      <c r="M370" s="620">
        <v>0</v>
      </c>
      <c r="N370" s="611">
        <v>0</v>
      </c>
      <c r="O370" s="611">
        <v>0</v>
      </c>
      <c r="P370" s="611">
        <v>0</v>
      </c>
      <c r="Q370" s="611">
        <v>0</v>
      </c>
      <c r="R370" s="611">
        <v>41.017765544975838</v>
      </c>
      <c r="S370" s="611">
        <v>1.5212221898296585</v>
      </c>
      <c r="T370" s="611">
        <v>0</v>
      </c>
      <c r="U370" s="611">
        <v>0</v>
      </c>
      <c r="V370" s="611">
        <v>0</v>
      </c>
      <c r="W370" s="611">
        <v>64.85163743776981</v>
      </c>
      <c r="X370" s="611">
        <v>0</v>
      </c>
      <c r="Y370" s="611">
        <v>2.5022787980989989</v>
      </c>
      <c r="Z370" s="619">
        <v>327.68794604689555</v>
      </c>
      <c r="AA370" s="51"/>
    </row>
    <row r="371" spans="6:27" x14ac:dyDescent="0.25">
      <c r="F371" s="51"/>
      <c r="G371" s="618" t="s">
        <v>80</v>
      </c>
      <c r="H371" s="611">
        <v>0</v>
      </c>
      <c r="I371" s="611">
        <v>0</v>
      </c>
      <c r="J371" s="611">
        <v>1.1922779453513948</v>
      </c>
      <c r="K371" s="611">
        <v>0</v>
      </c>
      <c r="L371" s="611">
        <v>49.984411570621333</v>
      </c>
      <c r="M371" s="620">
        <v>0</v>
      </c>
      <c r="N371" s="611">
        <v>0</v>
      </c>
      <c r="O371" s="611">
        <v>0</v>
      </c>
      <c r="P371" s="611">
        <v>51.327953484818188</v>
      </c>
      <c r="Q371" s="611">
        <v>0</v>
      </c>
      <c r="R371" s="611">
        <v>0</v>
      </c>
      <c r="S371" s="611">
        <v>12.496102892655333</v>
      </c>
      <c r="T371" s="611">
        <v>106.12788282579821</v>
      </c>
      <c r="U371" s="611">
        <v>0</v>
      </c>
      <c r="V371" s="611">
        <v>8.4399601726258009</v>
      </c>
      <c r="W371" s="611">
        <v>154.71508066801636</v>
      </c>
      <c r="X371" s="611">
        <v>40.414130897924252</v>
      </c>
      <c r="Y371" s="611">
        <v>0</v>
      </c>
      <c r="Z371" s="619">
        <v>424.69780045781079</v>
      </c>
      <c r="AA371" s="51"/>
    </row>
    <row r="372" spans="6:27" x14ac:dyDescent="0.25">
      <c r="F372" s="51"/>
      <c r="G372" s="618" t="s">
        <v>81</v>
      </c>
      <c r="H372" s="611">
        <v>0</v>
      </c>
      <c r="I372" s="611">
        <v>0</v>
      </c>
      <c r="J372" s="611">
        <v>2.1695259016738468</v>
      </c>
      <c r="K372" s="611">
        <v>0</v>
      </c>
      <c r="L372" s="611">
        <v>31.961692890831412</v>
      </c>
      <c r="M372" s="620">
        <v>0</v>
      </c>
      <c r="N372" s="611">
        <v>0</v>
      </c>
      <c r="O372" s="611">
        <v>0</v>
      </c>
      <c r="P372" s="611">
        <v>0.59825096685183632</v>
      </c>
      <c r="Q372" s="611">
        <v>0</v>
      </c>
      <c r="R372" s="611">
        <v>0</v>
      </c>
      <c r="S372" s="611">
        <v>7.9904232227078529</v>
      </c>
      <c r="T372" s="611">
        <v>42.388089169065466</v>
      </c>
      <c r="U372" s="611">
        <v>0</v>
      </c>
      <c r="V372" s="611">
        <v>7.9118943755575595</v>
      </c>
      <c r="W372" s="611">
        <v>121.82988531988985</v>
      </c>
      <c r="X372" s="611">
        <v>23.34788734439358</v>
      </c>
      <c r="Y372" s="611">
        <v>0</v>
      </c>
      <c r="Z372" s="619">
        <v>238.19764919097142</v>
      </c>
      <c r="AA372" s="51"/>
    </row>
    <row r="373" spans="6:27" x14ac:dyDescent="0.25">
      <c r="F373" s="51"/>
      <c r="G373" s="618" t="s">
        <v>82</v>
      </c>
      <c r="H373" s="611">
        <v>0</v>
      </c>
      <c r="I373" s="611">
        <v>0</v>
      </c>
      <c r="J373" s="611">
        <v>22.236615834161011</v>
      </c>
      <c r="K373" s="611">
        <v>0</v>
      </c>
      <c r="L373" s="611">
        <v>1.1928287245433082</v>
      </c>
      <c r="M373" s="620">
        <v>0</v>
      </c>
      <c r="N373" s="611">
        <v>0</v>
      </c>
      <c r="O373" s="611">
        <v>0</v>
      </c>
      <c r="P373" s="611">
        <v>13.268691220387016</v>
      </c>
      <c r="Q373" s="611">
        <v>0</v>
      </c>
      <c r="R373" s="611">
        <v>5.5416929804733215</v>
      </c>
      <c r="S373" s="611">
        <v>0.29820718113582706</v>
      </c>
      <c r="T373" s="611">
        <v>0.75</v>
      </c>
      <c r="U373" s="611">
        <v>0</v>
      </c>
      <c r="V373" s="611">
        <v>0.96290247555165809</v>
      </c>
      <c r="W373" s="611">
        <v>8.6394549115432451</v>
      </c>
      <c r="X373" s="611">
        <v>0</v>
      </c>
      <c r="Y373" s="611">
        <v>0.30661417718369394</v>
      </c>
      <c r="Z373" s="619">
        <v>53.197007504979084</v>
      </c>
      <c r="AA373" s="51"/>
    </row>
    <row r="374" spans="6:27" x14ac:dyDescent="0.25">
      <c r="F374" s="51"/>
      <c r="G374" s="618" t="s">
        <v>354</v>
      </c>
      <c r="H374" s="611">
        <v>0</v>
      </c>
      <c r="I374" s="611">
        <v>0</v>
      </c>
      <c r="J374" s="611">
        <v>0</v>
      </c>
      <c r="K374" s="611">
        <v>0</v>
      </c>
      <c r="L374" s="611">
        <v>0</v>
      </c>
      <c r="M374" s="611">
        <v>0</v>
      </c>
      <c r="N374" s="611">
        <v>0</v>
      </c>
      <c r="O374" s="611">
        <v>0</v>
      </c>
      <c r="P374" s="611">
        <v>0</v>
      </c>
      <c r="Q374" s="611">
        <v>0</v>
      </c>
      <c r="R374" s="611">
        <v>0</v>
      </c>
      <c r="S374" s="611">
        <v>0</v>
      </c>
      <c r="T374" s="611">
        <v>0</v>
      </c>
      <c r="U374" s="611">
        <v>0</v>
      </c>
      <c r="V374" s="611">
        <v>0</v>
      </c>
      <c r="W374" s="611">
        <v>0</v>
      </c>
      <c r="X374" s="611">
        <v>0</v>
      </c>
      <c r="Y374" s="611">
        <v>0</v>
      </c>
      <c r="Z374" s="619">
        <v>0</v>
      </c>
      <c r="AA374" s="51"/>
    </row>
    <row r="375" spans="6:27" x14ac:dyDescent="0.25">
      <c r="F375" s="51"/>
      <c r="G375" s="614" t="s">
        <v>83</v>
      </c>
      <c r="H375" s="615">
        <v>0.59552978515624999</v>
      </c>
      <c r="I375" s="615">
        <v>0</v>
      </c>
      <c r="J375" s="615">
        <v>244.23343081659118</v>
      </c>
      <c r="K375" s="615">
        <v>0</v>
      </c>
      <c r="L375" s="615">
        <v>145.27983758688563</v>
      </c>
      <c r="M375" s="615">
        <v>0</v>
      </c>
      <c r="N375" s="615">
        <v>0</v>
      </c>
      <c r="O375" s="615">
        <v>0</v>
      </c>
      <c r="P375" s="615">
        <v>103.6777083303115</v>
      </c>
      <c r="Q375" s="615">
        <v>9.5007953936584837</v>
      </c>
      <c r="R375" s="615">
        <v>47.428104783884166</v>
      </c>
      <c r="S375" s="615">
        <v>36.353925186627599</v>
      </c>
      <c r="T375" s="615">
        <v>157.23536701439491</v>
      </c>
      <c r="U375" s="615">
        <v>0</v>
      </c>
      <c r="V375" s="615">
        <v>17.315449472003493</v>
      </c>
      <c r="W375" s="615">
        <v>503.66982243488866</v>
      </c>
      <c r="X375" s="615">
        <v>83.293599827691992</v>
      </c>
      <c r="Y375" s="615">
        <v>9.832298737001441</v>
      </c>
      <c r="Z375" s="615">
        <v>1358.4158693690954</v>
      </c>
      <c r="AA375" s="51"/>
    </row>
    <row r="376" spans="6:27" x14ac:dyDescent="0.25">
      <c r="F376" s="51"/>
      <c r="G376" s="610" t="s">
        <v>84</v>
      </c>
      <c r="H376" s="611">
        <v>0</v>
      </c>
      <c r="I376" s="611">
        <v>0</v>
      </c>
      <c r="J376" s="611">
        <v>108.38831705718137</v>
      </c>
      <c r="K376" s="611">
        <v>1.2939885995123082</v>
      </c>
      <c r="L376" s="611">
        <v>12.973217825865042</v>
      </c>
      <c r="M376" s="611">
        <v>0</v>
      </c>
      <c r="N376" s="611">
        <v>0</v>
      </c>
      <c r="O376" s="611">
        <v>0</v>
      </c>
      <c r="P376" s="720">
        <v>0.29168113881125463</v>
      </c>
      <c r="Q376" s="611">
        <v>0</v>
      </c>
      <c r="R376" s="611">
        <v>2.0844051344814138</v>
      </c>
      <c r="S376" s="611">
        <v>0</v>
      </c>
      <c r="T376" s="611">
        <v>0</v>
      </c>
      <c r="U376" s="611">
        <v>0</v>
      </c>
      <c r="V376" s="611">
        <v>0</v>
      </c>
      <c r="W376" s="611">
        <v>0</v>
      </c>
      <c r="X376" s="611">
        <v>0</v>
      </c>
      <c r="Y376" s="611">
        <v>1.487132000092672</v>
      </c>
      <c r="Z376" s="619">
        <v>126.51874175594406</v>
      </c>
      <c r="AA376" s="51"/>
    </row>
    <row r="377" spans="6:27" x14ac:dyDescent="0.25">
      <c r="F377" s="51"/>
      <c r="G377" s="614" t="s">
        <v>85</v>
      </c>
      <c r="H377" s="615">
        <v>0.59552978515624999</v>
      </c>
      <c r="I377" s="615">
        <v>0</v>
      </c>
      <c r="J377" s="615">
        <v>352.62174787377256</v>
      </c>
      <c r="K377" s="615">
        <v>1.2939885995123082</v>
      </c>
      <c r="L377" s="615">
        <v>158.25305541275068</v>
      </c>
      <c r="M377" s="615">
        <v>0</v>
      </c>
      <c r="N377" s="615">
        <v>0</v>
      </c>
      <c r="O377" s="615">
        <v>0</v>
      </c>
      <c r="P377" s="615">
        <v>103.96938946912276</v>
      </c>
      <c r="Q377" s="615">
        <v>9.5007953936584837</v>
      </c>
      <c r="R377" s="615">
        <v>49.512509918365581</v>
      </c>
      <c r="S377" s="615">
        <v>36.353925186627599</v>
      </c>
      <c r="T377" s="615">
        <v>157.23536701439491</v>
      </c>
      <c r="U377" s="615">
        <v>0</v>
      </c>
      <c r="V377" s="615">
        <v>17.315449472003493</v>
      </c>
      <c r="W377" s="615">
        <v>503.66982243488866</v>
      </c>
      <c r="X377" s="615">
        <v>83.293599827691992</v>
      </c>
      <c r="Y377" s="615">
        <v>11.319430737094113</v>
      </c>
      <c r="Z377" s="615">
        <v>1484.9346111250395</v>
      </c>
      <c r="AA377" s="51"/>
    </row>
    <row r="378" spans="6:27" x14ac:dyDescent="0.25">
      <c r="F378" s="51"/>
      <c r="G378" s="51"/>
      <c r="H378" s="67">
        <v>0</v>
      </c>
      <c r="I378" s="67">
        <v>0</v>
      </c>
      <c r="J378" s="67">
        <v>0</v>
      </c>
      <c r="K378" s="67">
        <v>0</v>
      </c>
      <c r="L378" s="67">
        <v>0</v>
      </c>
      <c r="M378" s="67">
        <v>0</v>
      </c>
      <c r="N378" s="67">
        <v>0</v>
      </c>
      <c r="O378" s="67">
        <v>0</v>
      </c>
      <c r="P378" s="67">
        <v>0</v>
      </c>
      <c r="Q378" s="67">
        <v>0</v>
      </c>
      <c r="R378" s="67">
        <v>0</v>
      </c>
      <c r="S378" s="67">
        <v>9.1038288019262836E-15</v>
      </c>
      <c r="T378" s="67">
        <v>0</v>
      </c>
      <c r="U378" s="67">
        <v>0</v>
      </c>
      <c r="V378" s="67">
        <v>0</v>
      </c>
      <c r="W378" s="67">
        <v>0</v>
      </c>
      <c r="X378" s="721">
        <v>-3.0734616686345362E-5</v>
      </c>
      <c r="Y378" s="67">
        <v>2.2204460492503131E-15</v>
      </c>
      <c r="Z378" s="67">
        <v>-3.0734616302652285E-5</v>
      </c>
      <c r="AA378" s="51"/>
    </row>
    <row r="379" spans="6:27" x14ac:dyDescent="0.25">
      <c r="F379" s="51"/>
      <c r="G379" s="51"/>
      <c r="H379" s="51"/>
      <c r="I379" s="51"/>
      <c r="J379" s="51"/>
      <c r="K379" s="67"/>
      <c r="L379" s="51"/>
      <c r="M379" s="51"/>
      <c r="N379" s="51"/>
      <c r="O379" s="51"/>
      <c r="P379" s="51"/>
      <c r="Q379" s="51"/>
      <c r="R379" s="51"/>
      <c r="S379" s="51"/>
      <c r="T379" s="51"/>
      <c r="U379" s="51"/>
      <c r="V379" s="51"/>
      <c r="W379" s="51"/>
      <c r="X379" s="51"/>
      <c r="Y379" s="51"/>
      <c r="Z379" s="51"/>
      <c r="AA379" s="51"/>
    </row>
    <row r="380" spans="6:27" x14ac:dyDescent="0.25">
      <c r="F380" s="606"/>
      <c r="G380" s="607" t="s">
        <v>359</v>
      </c>
      <c r="H380" s="606"/>
      <c r="I380" s="606"/>
      <c r="J380" s="606"/>
      <c r="K380" s="682"/>
      <c r="L380" s="606"/>
      <c r="M380" s="606"/>
      <c r="N380" s="606"/>
      <c r="O380" s="606"/>
      <c r="P380" s="606"/>
      <c r="Q380" s="606"/>
      <c r="R380" s="606"/>
      <c r="S380" s="606"/>
      <c r="T380" s="606"/>
      <c r="U380" s="606"/>
      <c r="V380" s="606"/>
      <c r="W380" s="606"/>
      <c r="X380" s="606"/>
      <c r="Y380" s="606"/>
      <c r="Z380" s="606"/>
      <c r="AA380" s="606"/>
    </row>
    <row r="381" spans="6:27" x14ac:dyDescent="0.25">
      <c r="F381" s="51"/>
      <c r="G381" s="51"/>
      <c r="H381" s="51"/>
      <c r="I381" s="51"/>
      <c r="J381" s="51"/>
      <c r="K381" s="67"/>
      <c r="L381" s="51"/>
      <c r="M381" s="51"/>
      <c r="N381" s="51"/>
      <c r="O381" s="51"/>
      <c r="P381" s="51"/>
      <c r="Q381" s="51"/>
      <c r="R381" s="51"/>
      <c r="S381" s="51"/>
      <c r="T381" s="51"/>
      <c r="U381" s="51"/>
      <c r="V381" s="51"/>
      <c r="W381" s="51"/>
      <c r="X381" s="51"/>
      <c r="Y381" s="51"/>
      <c r="Z381" s="51"/>
      <c r="AA381" s="51"/>
    </row>
    <row r="382" spans="6:27" x14ac:dyDescent="0.25">
      <c r="F382" s="51"/>
      <c r="G382" s="764" t="s">
        <v>128</v>
      </c>
      <c r="H382" s="753" t="s">
        <v>42</v>
      </c>
      <c r="I382" s="753" t="s">
        <v>52</v>
      </c>
      <c r="J382" s="753" t="s">
        <v>53</v>
      </c>
      <c r="K382" s="766" t="s">
        <v>482</v>
      </c>
      <c r="L382" s="753" t="s">
        <v>32</v>
      </c>
      <c r="M382" s="753" t="s">
        <v>483</v>
      </c>
      <c r="N382" s="753" t="s">
        <v>20</v>
      </c>
      <c r="O382" s="753" t="s">
        <v>55</v>
      </c>
      <c r="P382" s="761" t="s">
        <v>56</v>
      </c>
      <c r="Q382" s="762"/>
      <c r="R382" s="762"/>
      <c r="S382" s="762"/>
      <c r="T382" s="762"/>
      <c r="U382" s="762"/>
      <c r="V382" s="763"/>
      <c r="W382" s="753" t="s">
        <v>57</v>
      </c>
      <c r="X382" s="753" t="s">
        <v>58</v>
      </c>
      <c r="Y382" s="753" t="s">
        <v>31</v>
      </c>
      <c r="Z382" s="753" t="s">
        <v>10</v>
      </c>
      <c r="AA382" s="51"/>
    </row>
    <row r="383" spans="6:27" ht="36" x14ac:dyDescent="0.25">
      <c r="F383" s="51"/>
      <c r="G383" s="765"/>
      <c r="H383" s="754"/>
      <c r="I383" s="754"/>
      <c r="J383" s="754"/>
      <c r="K383" s="767"/>
      <c r="L383" s="754"/>
      <c r="M383" s="754"/>
      <c r="N383" s="754"/>
      <c r="O383" s="754"/>
      <c r="P383" s="608" t="s">
        <v>335</v>
      </c>
      <c r="Q383" s="608" t="s">
        <v>40</v>
      </c>
      <c r="R383" s="608" t="s">
        <v>343</v>
      </c>
      <c r="S383" s="608" t="s">
        <v>344</v>
      </c>
      <c r="T383" s="609" t="s">
        <v>345</v>
      </c>
      <c r="U383" s="609" t="s">
        <v>609</v>
      </c>
      <c r="V383" s="608" t="s">
        <v>346</v>
      </c>
      <c r="W383" s="754"/>
      <c r="X383" s="754"/>
      <c r="Y383" s="754"/>
      <c r="Z383" s="754"/>
      <c r="AA383" s="51"/>
    </row>
    <row r="384" spans="6:27" x14ac:dyDescent="0.25">
      <c r="F384" s="51"/>
      <c r="G384" s="610" t="s">
        <v>59</v>
      </c>
      <c r="H384" s="611">
        <v>0</v>
      </c>
      <c r="I384" s="611">
        <v>1.9073199999999999</v>
      </c>
      <c r="J384" s="611">
        <v>0</v>
      </c>
      <c r="K384" s="611">
        <v>0</v>
      </c>
      <c r="L384" s="611">
        <v>3.9542000000000008E-2</v>
      </c>
      <c r="M384" s="611">
        <v>0</v>
      </c>
      <c r="N384" s="612">
        <v>1195.4990290598246</v>
      </c>
      <c r="O384" s="612">
        <v>352.81639892204078</v>
      </c>
      <c r="P384" s="611">
        <v>334.74141553105153</v>
      </c>
      <c r="Q384" s="612">
        <v>49.102811616128875</v>
      </c>
      <c r="R384" s="611">
        <v>0</v>
      </c>
      <c r="S384" s="611">
        <v>0</v>
      </c>
      <c r="T384" s="612">
        <v>186.99861038382366</v>
      </c>
      <c r="U384" s="612">
        <v>13.801171962104394</v>
      </c>
      <c r="V384" s="612">
        <v>40.778741630012433</v>
      </c>
      <c r="W384" s="611">
        <v>0</v>
      </c>
      <c r="X384" s="611">
        <v>0</v>
      </c>
      <c r="Y384" s="611">
        <v>0</v>
      </c>
      <c r="Z384" s="613">
        <v>2175.6850411049863</v>
      </c>
      <c r="AA384" s="51"/>
    </row>
    <row r="385" spans="6:27" x14ac:dyDescent="0.25">
      <c r="F385" s="51"/>
      <c r="G385" s="610" t="s">
        <v>60</v>
      </c>
      <c r="H385" s="611">
        <v>12.531065673828124</v>
      </c>
      <c r="I385" s="611">
        <v>260.68864136173096</v>
      </c>
      <c r="J385" s="611">
        <v>79.769139628982202</v>
      </c>
      <c r="K385" s="611">
        <v>5.3845155133024489</v>
      </c>
      <c r="L385" s="620">
        <v>146.10919430668767</v>
      </c>
      <c r="M385" s="611">
        <v>0</v>
      </c>
      <c r="N385" s="611">
        <v>0</v>
      </c>
      <c r="O385" s="611">
        <v>0</v>
      </c>
      <c r="P385" s="611">
        <v>6.5955281469378519</v>
      </c>
      <c r="Q385" s="611">
        <v>0</v>
      </c>
      <c r="R385" s="611">
        <v>13.786836239318319</v>
      </c>
      <c r="S385" s="611">
        <v>4.2024164944931641</v>
      </c>
      <c r="T385" s="611">
        <v>0</v>
      </c>
      <c r="U385" s="611">
        <v>0</v>
      </c>
      <c r="V385" s="611">
        <v>0</v>
      </c>
      <c r="W385" s="611">
        <v>0</v>
      </c>
      <c r="X385" s="611">
        <v>0</v>
      </c>
      <c r="Y385" s="611">
        <v>0</v>
      </c>
      <c r="Z385" s="613">
        <v>529.06733736528076</v>
      </c>
      <c r="AA385" s="51"/>
    </row>
    <row r="386" spans="6:27" x14ac:dyDescent="0.25">
      <c r="F386" s="51"/>
      <c r="G386" s="610" t="s">
        <v>61</v>
      </c>
      <c r="H386" s="611">
        <v>0</v>
      </c>
      <c r="I386" s="611">
        <v>0</v>
      </c>
      <c r="J386" s="611">
        <v>0</v>
      </c>
      <c r="K386" s="611">
        <v>0</v>
      </c>
      <c r="L386" s="611">
        <v>0</v>
      </c>
      <c r="M386" s="611">
        <v>0</v>
      </c>
      <c r="N386" s="611">
        <v>0</v>
      </c>
      <c r="O386" s="611">
        <v>0</v>
      </c>
      <c r="P386" s="611">
        <v>0</v>
      </c>
      <c r="Q386" s="611">
        <v>0</v>
      </c>
      <c r="R386" s="611">
        <v>0</v>
      </c>
      <c r="S386" s="611">
        <v>0</v>
      </c>
      <c r="T386" s="611">
        <v>0</v>
      </c>
      <c r="U386" s="611">
        <v>0</v>
      </c>
      <c r="V386" s="611">
        <v>0</v>
      </c>
      <c r="W386" s="611">
        <v>-112.47635741768158</v>
      </c>
      <c r="X386" s="611">
        <v>0</v>
      </c>
      <c r="Y386" s="611">
        <v>0</v>
      </c>
      <c r="Z386" s="613">
        <v>-112.47635741768158</v>
      </c>
      <c r="AA386" s="51"/>
    </row>
    <row r="387" spans="6:27" x14ac:dyDescent="0.25">
      <c r="F387" s="51"/>
      <c r="G387" s="610" t="s">
        <v>62</v>
      </c>
      <c r="H387" s="611">
        <v>0</v>
      </c>
      <c r="I387" s="611">
        <v>0</v>
      </c>
      <c r="J387" s="611">
        <v>-6.4368278477343406</v>
      </c>
      <c r="K387" s="611">
        <v>-0.75904465097595197</v>
      </c>
      <c r="L387" s="611">
        <v>-0.26617313205703391</v>
      </c>
      <c r="M387" s="611">
        <v>-0.83753949174200382</v>
      </c>
      <c r="N387" s="611">
        <v>0</v>
      </c>
      <c r="O387" s="611">
        <v>0</v>
      </c>
      <c r="P387" s="611">
        <v>0</v>
      </c>
      <c r="Q387" s="611">
        <v>0</v>
      </c>
      <c r="R387" s="611">
        <v>0</v>
      </c>
      <c r="S387" s="611">
        <v>-1.2171669369544087</v>
      </c>
      <c r="T387" s="611">
        <v>0</v>
      </c>
      <c r="U387" s="611">
        <v>0</v>
      </c>
      <c r="V387" s="611">
        <v>0</v>
      </c>
      <c r="W387" s="611">
        <v>0</v>
      </c>
      <c r="X387" s="611">
        <v>0</v>
      </c>
      <c r="Y387" s="611">
        <v>-0.55033649946810814</v>
      </c>
      <c r="Z387" s="613">
        <v>-10.067088558931845</v>
      </c>
      <c r="AA387" s="51"/>
    </row>
    <row r="388" spans="6:27" x14ac:dyDescent="0.25">
      <c r="F388" s="51"/>
      <c r="G388" s="610" t="s">
        <v>63</v>
      </c>
      <c r="H388" s="611">
        <v>0</v>
      </c>
      <c r="I388" s="611">
        <v>0</v>
      </c>
      <c r="J388" s="611">
        <v>-46.4</v>
      </c>
      <c r="K388" s="611">
        <v>-6.4</v>
      </c>
      <c r="L388" s="611">
        <v>0</v>
      </c>
      <c r="M388" s="611">
        <v>0</v>
      </c>
      <c r="N388" s="611">
        <v>0</v>
      </c>
      <c r="O388" s="611">
        <v>0</v>
      </c>
      <c r="P388" s="611">
        <v>0</v>
      </c>
      <c r="Q388" s="611">
        <v>0</v>
      </c>
      <c r="R388" s="611">
        <v>-13.4</v>
      </c>
      <c r="S388" s="611">
        <v>0</v>
      </c>
      <c r="T388" s="611">
        <v>0</v>
      </c>
      <c r="U388" s="611">
        <v>0</v>
      </c>
      <c r="V388" s="611">
        <v>0</v>
      </c>
      <c r="W388" s="611">
        <v>0</v>
      </c>
      <c r="X388" s="611">
        <v>0</v>
      </c>
      <c r="Y388" s="611">
        <v>-2.2000000000000002</v>
      </c>
      <c r="Z388" s="613">
        <v>-68.400000000000006</v>
      </c>
      <c r="AA388" s="51"/>
    </row>
    <row r="389" spans="6:27" x14ac:dyDescent="0.25">
      <c r="F389" s="51"/>
      <c r="G389" s="610" t="s">
        <v>64</v>
      </c>
      <c r="H389" s="611">
        <v>0</v>
      </c>
      <c r="I389" s="611">
        <v>0</v>
      </c>
      <c r="J389" s="611">
        <v>0</v>
      </c>
      <c r="K389" s="611">
        <v>0</v>
      </c>
      <c r="L389" s="611">
        <v>0</v>
      </c>
      <c r="M389" s="611">
        <v>0</v>
      </c>
      <c r="N389" s="611">
        <v>0</v>
      </c>
      <c r="O389" s="611">
        <v>0</v>
      </c>
      <c r="P389" s="611">
        <v>0</v>
      </c>
      <c r="Q389" s="611">
        <v>0</v>
      </c>
      <c r="R389" s="611">
        <v>0</v>
      </c>
      <c r="S389" s="611">
        <v>0</v>
      </c>
      <c r="T389" s="611">
        <v>0</v>
      </c>
      <c r="U389" s="611">
        <v>0</v>
      </c>
      <c r="V389" s="611">
        <v>0</v>
      </c>
      <c r="W389" s="611">
        <v>0</v>
      </c>
      <c r="X389" s="611">
        <v>0</v>
      </c>
      <c r="Y389" s="611">
        <v>0</v>
      </c>
      <c r="Z389" s="613">
        <v>0</v>
      </c>
      <c r="AA389" s="51"/>
    </row>
    <row r="390" spans="6:27" x14ac:dyDescent="0.25">
      <c r="F390" s="51"/>
      <c r="G390" s="614" t="s">
        <v>65</v>
      </c>
      <c r="H390" s="615">
        <v>12.531065673828124</v>
      </c>
      <c r="I390" s="615">
        <v>262.59596136173099</v>
      </c>
      <c r="J390" s="615">
        <v>26.932311781247869</v>
      </c>
      <c r="K390" s="615">
        <v>-1.7745291376735031</v>
      </c>
      <c r="L390" s="615">
        <v>145.88256317463066</v>
      </c>
      <c r="M390" s="615">
        <v>-0.83753949174200382</v>
      </c>
      <c r="N390" s="615">
        <v>1195.4990290598246</v>
      </c>
      <c r="O390" s="615">
        <v>352.81639892204078</v>
      </c>
      <c r="P390" s="615">
        <v>341.33694367798938</v>
      </c>
      <c r="Q390" s="615">
        <v>49.102811616128875</v>
      </c>
      <c r="R390" s="615">
        <v>0.38683623931831868</v>
      </c>
      <c r="S390" s="615">
        <v>2.9852495575387552</v>
      </c>
      <c r="T390" s="615">
        <v>186.99861038382366</v>
      </c>
      <c r="U390" s="615">
        <v>13.801171962104394</v>
      </c>
      <c r="V390" s="615">
        <v>40.778741630012433</v>
      </c>
      <c r="W390" s="615">
        <v>-112.47635741768158</v>
      </c>
      <c r="X390" s="615">
        <v>0</v>
      </c>
      <c r="Y390" s="615">
        <v>-2.7503364994681085</v>
      </c>
      <c r="Z390" s="615">
        <v>2513.8089324936536</v>
      </c>
      <c r="AA390" s="51"/>
    </row>
    <row r="391" spans="6:27" x14ac:dyDescent="0.25">
      <c r="F391" s="51"/>
      <c r="G391" s="616"/>
      <c r="H391" s="617"/>
      <c r="I391" s="617"/>
      <c r="J391" s="617"/>
      <c r="K391" s="617"/>
      <c r="L391" s="617"/>
      <c r="M391" s="617"/>
      <c r="N391" s="617"/>
      <c r="O391" s="617"/>
      <c r="P391" s="617"/>
      <c r="Q391" s="617"/>
      <c r="R391" s="617"/>
      <c r="S391" s="617"/>
      <c r="T391" s="617"/>
      <c r="U391" s="617"/>
      <c r="V391" s="617"/>
      <c r="W391" s="617"/>
      <c r="X391" s="617"/>
      <c r="Y391" s="617"/>
      <c r="Z391" s="617"/>
      <c r="AA391" s="51"/>
    </row>
    <row r="392" spans="6:27" x14ac:dyDescent="0.25">
      <c r="F392" s="51"/>
      <c r="G392" s="618" t="s">
        <v>67</v>
      </c>
      <c r="H392" s="611">
        <v>0</v>
      </c>
      <c r="I392" s="611">
        <v>0</v>
      </c>
      <c r="J392" s="611">
        <v>0</v>
      </c>
      <c r="K392" s="611">
        <v>0</v>
      </c>
      <c r="L392" s="611">
        <v>0</v>
      </c>
      <c r="M392" s="611">
        <v>0</v>
      </c>
      <c r="N392" s="611">
        <v>0</v>
      </c>
      <c r="O392" s="611">
        <v>0</v>
      </c>
      <c r="P392" s="611">
        <v>0</v>
      </c>
      <c r="Q392" s="611">
        <v>0</v>
      </c>
      <c r="R392" s="611">
        <v>0</v>
      </c>
      <c r="S392" s="611">
        <v>0</v>
      </c>
      <c r="T392" s="611">
        <v>0</v>
      </c>
      <c r="U392" s="611">
        <v>0</v>
      </c>
      <c r="V392" s="611">
        <v>0</v>
      </c>
      <c r="W392" s="611">
        <v>0</v>
      </c>
      <c r="X392" s="611">
        <v>0</v>
      </c>
      <c r="Y392" s="611">
        <v>0</v>
      </c>
      <c r="Z392" s="619">
        <v>0</v>
      </c>
      <c r="AA392" s="51"/>
    </row>
    <row r="393" spans="6:27" x14ac:dyDescent="0.25">
      <c r="F393" s="51"/>
      <c r="G393" s="618" t="s">
        <v>347</v>
      </c>
      <c r="H393" s="611">
        <v>0</v>
      </c>
      <c r="I393" s="611">
        <v>0</v>
      </c>
      <c r="J393" s="611">
        <v>0.36057808628354604</v>
      </c>
      <c r="K393" s="611">
        <v>0</v>
      </c>
      <c r="L393" s="611">
        <v>8.6510705990175421</v>
      </c>
      <c r="M393" s="611">
        <v>0</v>
      </c>
      <c r="N393" s="611">
        <v>1193.4597454545453</v>
      </c>
      <c r="O393" s="611">
        <v>352.81639892204078</v>
      </c>
      <c r="P393" s="611">
        <v>17.169316423280179</v>
      </c>
      <c r="Q393" s="611">
        <v>5.7366833077088035</v>
      </c>
      <c r="R393" s="611">
        <v>5.3878161949008447</v>
      </c>
      <c r="S393" s="611">
        <v>5.0608301808950129</v>
      </c>
      <c r="T393" s="611">
        <v>0</v>
      </c>
      <c r="U393" s="611">
        <v>0</v>
      </c>
      <c r="V393" s="611">
        <v>4.9774137725284184</v>
      </c>
      <c r="W393" s="611">
        <v>-770.22733582540855</v>
      </c>
      <c r="X393" s="611">
        <v>0</v>
      </c>
      <c r="Y393" s="611">
        <v>0</v>
      </c>
      <c r="Z393" s="619">
        <v>823.39251711579163</v>
      </c>
      <c r="AA393" s="51"/>
    </row>
    <row r="394" spans="6:27" x14ac:dyDescent="0.25">
      <c r="F394" s="51"/>
      <c r="G394" s="618" t="s">
        <v>348</v>
      </c>
      <c r="H394" s="611">
        <v>0</v>
      </c>
      <c r="I394" s="611">
        <v>0</v>
      </c>
      <c r="J394" s="611">
        <v>0</v>
      </c>
      <c r="K394" s="611">
        <v>0</v>
      </c>
      <c r="L394" s="611">
        <v>16.741941849061199</v>
      </c>
      <c r="M394" s="611">
        <v>0</v>
      </c>
      <c r="N394" s="611">
        <v>2.0392836052791781</v>
      </c>
      <c r="O394" s="611">
        <v>0</v>
      </c>
      <c r="P394" s="611">
        <v>24.508111114586647</v>
      </c>
      <c r="Q394" s="611">
        <v>15.713393249215271</v>
      </c>
      <c r="R394" s="611">
        <v>0</v>
      </c>
      <c r="S394" s="611">
        <v>8.2544124688387157</v>
      </c>
      <c r="T394" s="611">
        <v>2.079367210558356</v>
      </c>
      <c r="U394" s="611">
        <v>13.801171962104394</v>
      </c>
      <c r="V394" s="611">
        <v>15.123327125815617</v>
      </c>
      <c r="W394" s="611">
        <v>0</v>
      </c>
      <c r="X394" s="620">
        <v>-90.455475584151912</v>
      </c>
      <c r="Y394" s="611">
        <v>0</v>
      </c>
      <c r="Z394" s="619">
        <v>7.8055330013074666</v>
      </c>
      <c r="AA394" s="51"/>
    </row>
    <row r="395" spans="6:27" x14ac:dyDescent="0.25">
      <c r="F395" s="51"/>
      <c r="G395" s="618" t="s">
        <v>349</v>
      </c>
      <c r="H395" s="611">
        <v>0</v>
      </c>
      <c r="I395" s="611">
        <v>0</v>
      </c>
      <c r="J395" s="611">
        <v>0</v>
      </c>
      <c r="K395" s="611">
        <v>0</v>
      </c>
      <c r="L395" s="611">
        <v>0</v>
      </c>
      <c r="M395" s="611">
        <v>0</v>
      </c>
      <c r="N395" s="611">
        <v>0</v>
      </c>
      <c r="O395" s="611">
        <v>0</v>
      </c>
      <c r="P395" s="611">
        <v>110.70220449796281</v>
      </c>
      <c r="Q395" s="611">
        <v>11.288363237424081</v>
      </c>
      <c r="R395" s="611">
        <v>0</v>
      </c>
      <c r="S395" s="611">
        <v>-61.07757335974334</v>
      </c>
      <c r="T395" s="611">
        <v>0</v>
      </c>
      <c r="U395" s="611">
        <v>0</v>
      </c>
      <c r="V395" s="611">
        <v>0</v>
      </c>
      <c r="W395" s="611">
        <v>0</v>
      </c>
      <c r="X395" s="611">
        <v>0</v>
      </c>
      <c r="Y395" s="611">
        <v>0</v>
      </c>
      <c r="Z395" s="619">
        <v>60.912994375643549</v>
      </c>
      <c r="AA395" s="51"/>
    </row>
    <row r="396" spans="6:27" x14ac:dyDescent="0.25">
      <c r="F396" s="51"/>
      <c r="G396" s="618" t="s">
        <v>350</v>
      </c>
      <c r="H396" s="611">
        <v>0</v>
      </c>
      <c r="I396" s="611">
        <v>0</v>
      </c>
      <c r="J396" s="611">
        <v>0</v>
      </c>
      <c r="K396" s="611">
        <v>0</v>
      </c>
      <c r="L396" s="611">
        <v>0</v>
      </c>
      <c r="M396" s="620">
        <v>-0.83753949174200382</v>
      </c>
      <c r="N396" s="611">
        <v>0</v>
      </c>
      <c r="O396" s="611">
        <v>0</v>
      </c>
      <c r="P396" s="611">
        <v>0</v>
      </c>
      <c r="Q396" s="611">
        <v>0</v>
      </c>
      <c r="R396" s="611">
        <v>0</v>
      </c>
      <c r="S396" s="611">
        <v>0</v>
      </c>
      <c r="T396" s="611">
        <v>0</v>
      </c>
      <c r="U396" s="611">
        <v>0</v>
      </c>
      <c r="V396" s="611">
        <v>0</v>
      </c>
      <c r="W396" s="611">
        <v>0</v>
      </c>
      <c r="X396" s="611">
        <v>0</v>
      </c>
      <c r="Y396" s="611">
        <v>1.1632492940861165</v>
      </c>
      <c r="Z396" s="619">
        <v>0.32570980234411273</v>
      </c>
      <c r="AA396" s="51"/>
    </row>
    <row r="397" spans="6:27" x14ac:dyDescent="0.25">
      <c r="F397" s="51"/>
      <c r="G397" s="618" t="s">
        <v>72</v>
      </c>
      <c r="H397" s="611">
        <v>0</v>
      </c>
      <c r="I397" s="611">
        <v>272.12802990456925</v>
      </c>
      <c r="J397" s="611">
        <v>-269.40674960552354</v>
      </c>
      <c r="K397" s="611">
        <v>0</v>
      </c>
      <c r="L397" s="611">
        <v>0</v>
      </c>
      <c r="M397" s="611">
        <v>0</v>
      </c>
      <c r="N397" s="611">
        <v>0</v>
      </c>
      <c r="O397" s="611">
        <v>0</v>
      </c>
      <c r="P397" s="611">
        <v>0</v>
      </c>
      <c r="Q397" s="611">
        <v>0</v>
      </c>
      <c r="R397" s="611">
        <v>0</v>
      </c>
      <c r="S397" s="611">
        <v>0</v>
      </c>
      <c r="T397" s="611">
        <v>0</v>
      </c>
      <c r="U397" s="611">
        <v>0</v>
      </c>
      <c r="V397" s="611">
        <v>0</v>
      </c>
      <c r="W397" s="611">
        <v>0</v>
      </c>
      <c r="X397" s="611">
        <v>0</v>
      </c>
      <c r="Y397" s="611">
        <v>0</v>
      </c>
      <c r="Z397" s="619">
        <v>2.7212802990457021</v>
      </c>
      <c r="AA397" s="51"/>
    </row>
    <row r="398" spans="6:27" x14ac:dyDescent="0.25">
      <c r="F398" s="51"/>
      <c r="G398" s="618" t="s">
        <v>351</v>
      </c>
      <c r="H398" s="611">
        <v>0</v>
      </c>
      <c r="I398" s="611">
        <v>0</v>
      </c>
      <c r="J398" s="611">
        <v>0</v>
      </c>
      <c r="K398" s="611">
        <v>0</v>
      </c>
      <c r="L398" s="611">
        <v>0</v>
      </c>
      <c r="M398" s="611">
        <v>0</v>
      </c>
      <c r="N398" s="611">
        <v>0</v>
      </c>
      <c r="O398" s="611">
        <v>0</v>
      </c>
      <c r="P398" s="611">
        <v>88.639921652360655</v>
      </c>
      <c r="Q398" s="611">
        <v>7.2727272727272725</v>
      </c>
      <c r="R398" s="620">
        <v>-53.457042752935592</v>
      </c>
      <c r="S398" s="611">
        <v>0</v>
      </c>
      <c r="T398" s="611">
        <v>0</v>
      </c>
      <c r="U398" s="611">
        <v>0</v>
      </c>
      <c r="V398" s="611">
        <v>0</v>
      </c>
      <c r="W398" s="611">
        <v>0</v>
      </c>
      <c r="X398" s="611">
        <v>0</v>
      </c>
      <c r="Y398" s="611">
        <v>0</v>
      </c>
      <c r="Z398" s="619">
        <v>42.455606172152329</v>
      </c>
      <c r="AA398" s="51"/>
    </row>
    <row r="399" spans="6:27" x14ac:dyDescent="0.25">
      <c r="F399" s="51"/>
      <c r="G399" s="618" t="s">
        <v>352</v>
      </c>
      <c r="H399" s="611">
        <v>0</v>
      </c>
      <c r="I399" s="611">
        <v>0</v>
      </c>
      <c r="J399" s="611">
        <v>0</v>
      </c>
      <c r="K399" s="611">
        <v>-4.3840446509759525</v>
      </c>
      <c r="L399" s="611">
        <v>0</v>
      </c>
      <c r="M399" s="611">
        <v>0</v>
      </c>
      <c r="N399" s="611">
        <v>0</v>
      </c>
      <c r="O399" s="611">
        <v>0</v>
      </c>
      <c r="P399" s="611">
        <v>0</v>
      </c>
      <c r="Q399" s="611">
        <v>0</v>
      </c>
      <c r="R399" s="611">
        <v>0</v>
      </c>
      <c r="S399" s="611">
        <v>0</v>
      </c>
      <c r="T399" s="611">
        <v>0</v>
      </c>
      <c r="U399" s="611">
        <v>0</v>
      </c>
      <c r="V399" s="611">
        <v>0</v>
      </c>
      <c r="W399" s="611">
        <v>0</v>
      </c>
      <c r="X399" s="611">
        <v>0</v>
      </c>
      <c r="Y399" s="611">
        <v>7.2149491160735479</v>
      </c>
      <c r="Z399" s="619">
        <v>2.8309044650975954</v>
      </c>
      <c r="AA399" s="51"/>
    </row>
    <row r="400" spans="6:27" x14ac:dyDescent="0.25">
      <c r="F400" s="51"/>
      <c r="G400" s="618" t="s">
        <v>73</v>
      </c>
      <c r="H400" s="611">
        <v>0</v>
      </c>
      <c r="I400" s="611">
        <v>0</v>
      </c>
      <c r="J400" s="611">
        <v>0</v>
      </c>
      <c r="K400" s="611">
        <v>0</v>
      </c>
      <c r="L400" s="611">
        <v>0</v>
      </c>
      <c r="M400" s="611">
        <v>0</v>
      </c>
      <c r="N400" s="611">
        <v>0</v>
      </c>
      <c r="O400" s="611">
        <v>0</v>
      </c>
      <c r="P400" s="611">
        <v>0</v>
      </c>
      <c r="Q400" s="611">
        <v>0</v>
      </c>
      <c r="R400" s="611">
        <v>0</v>
      </c>
      <c r="S400" s="611">
        <v>0</v>
      </c>
      <c r="T400" s="611">
        <v>0</v>
      </c>
      <c r="U400" s="611">
        <v>0</v>
      </c>
      <c r="V400" s="611">
        <v>0</v>
      </c>
      <c r="W400" s="611">
        <v>40.8329668197633</v>
      </c>
      <c r="X400" s="611">
        <v>0</v>
      </c>
      <c r="Y400" s="611">
        <v>-27.684751503799522</v>
      </c>
      <c r="Z400" s="619">
        <v>13.148215315963778</v>
      </c>
      <c r="AA400" s="51"/>
    </row>
    <row r="401" spans="6:27" x14ac:dyDescent="0.25">
      <c r="F401" s="51"/>
      <c r="G401" s="618" t="s">
        <v>353</v>
      </c>
      <c r="H401" s="611">
        <v>8.7196264453124996</v>
      </c>
      <c r="I401" s="611">
        <v>-9.5320685428382639</v>
      </c>
      <c r="J401" s="611">
        <v>12.621512149777095</v>
      </c>
      <c r="K401" s="611">
        <v>0</v>
      </c>
      <c r="L401" s="611">
        <v>0</v>
      </c>
      <c r="M401" s="611">
        <v>0</v>
      </c>
      <c r="N401" s="611">
        <v>0</v>
      </c>
      <c r="O401" s="611">
        <v>0</v>
      </c>
      <c r="P401" s="611">
        <v>0</v>
      </c>
      <c r="Q401" s="611">
        <v>0</v>
      </c>
      <c r="R401" s="611">
        <v>0</v>
      </c>
      <c r="S401" s="611">
        <v>0</v>
      </c>
      <c r="T401" s="611">
        <v>0</v>
      </c>
      <c r="U401" s="611">
        <v>0</v>
      </c>
      <c r="V401" s="611">
        <v>0</v>
      </c>
      <c r="W401" s="611">
        <v>0</v>
      </c>
      <c r="X401" s="611">
        <v>0</v>
      </c>
      <c r="Y401" s="611">
        <v>0</v>
      </c>
      <c r="Z401" s="619">
        <v>11.809070052251331</v>
      </c>
      <c r="AA401" s="51"/>
    </row>
    <row r="402" spans="6:27" x14ac:dyDescent="0.25">
      <c r="F402" s="51"/>
      <c r="G402" s="618" t="s">
        <v>75</v>
      </c>
      <c r="H402" s="611">
        <v>3.3909658398437501</v>
      </c>
      <c r="I402" s="611">
        <v>0</v>
      </c>
      <c r="J402" s="611">
        <v>9.432796735269573</v>
      </c>
      <c r="K402" s="611">
        <v>0</v>
      </c>
      <c r="L402" s="611">
        <v>0</v>
      </c>
      <c r="M402" s="611">
        <v>0</v>
      </c>
      <c r="N402" s="611">
        <v>0</v>
      </c>
      <c r="O402" s="611">
        <v>0</v>
      </c>
      <c r="P402" s="611">
        <v>0</v>
      </c>
      <c r="Q402" s="611">
        <v>0</v>
      </c>
      <c r="R402" s="611">
        <v>0</v>
      </c>
      <c r="S402" s="611">
        <v>0</v>
      </c>
      <c r="T402" s="611">
        <v>0</v>
      </c>
      <c r="U402" s="611">
        <v>0</v>
      </c>
      <c r="V402" s="611">
        <v>0</v>
      </c>
      <c r="W402" s="620">
        <v>37.320812200670765</v>
      </c>
      <c r="X402" s="611">
        <v>0</v>
      </c>
      <c r="Y402" s="611">
        <v>2.676146999689228</v>
      </c>
      <c r="Z402" s="619">
        <v>52.820721775473316</v>
      </c>
      <c r="AA402" s="51"/>
    </row>
    <row r="403" spans="6:27" x14ac:dyDescent="0.25">
      <c r="F403" s="51"/>
      <c r="G403" s="618" t="s">
        <v>76</v>
      </c>
      <c r="H403" s="611">
        <v>0</v>
      </c>
      <c r="I403" s="611">
        <v>0</v>
      </c>
      <c r="J403" s="611">
        <v>0</v>
      </c>
      <c r="K403" s="611">
        <v>0</v>
      </c>
      <c r="L403" s="611">
        <v>1.5888753550805288</v>
      </c>
      <c r="M403" s="611">
        <v>0</v>
      </c>
      <c r="N403" s="611">
        <v>0</v>
      </c>
      <c r="O403" s="611">
        <v>0</v>
      </c>
      <c r="P403" s="611">
        <v>0</v>
      </c>
      <c r="Q403" s="611">
        <v>0</v>
      </c>
      <c r="R403" s="611">
        <v>0</v>
      </c>
      <c r="S403" s="611">
        <v>0.74770604944966079</v>
      </c>
      <c r="T403" s="611">
        <v>0</v>
      </c>
      <c r="U403" s="611">
        <v>0</v>
      </c>
      <c r="V403" s="611">
        <v>0</v>
      </c>
      <c r="W403" s="611">
        <v>53.75602745291291</v>
      </c>
      <c r="X403" s="611">
        <v>7.0140473976328979</v>
      </c>
      <c r="Y403" s="611">
        <v>0</v>
      </c>
      <c r="Z403" s="619">
        <v>63.106656255075997</v>
      </c>
      <c r="AA403" s="51"/>
    </row>
    <row r="404" spans="6:27" x14ac:dyDescent="0.25">
      <c r="F404" s="51"/>
      <c r="G404" s="614" t="s">
        <v>77</v>
      </c>
      <c r="H404" s="615">
        <v>12.110592285156249</v>
      </c>
      <c r="I404" s="615">
        <v>262.59596136173099</v>
      </c>
      <c r="J404" s="615">
        <v>-246.9918626341933</v>
      </c>
      <c r="K404" s="615">
        <v>-4.3840446509759525</v>
      </c>
      <c r="L404" s="615">
        <v>26.981887803159271</v>
      </c>
      <c r="M404" s="615">
        <v>-0.83753949174200382</v>
      </c>
      <c r="N404" s="615">
        <v>1195.4990290598246</v>
      </c>
      <c r="O404" s="615">
        <v>352.81639892204078</v>
      </c>
      <c r="P404" s="615">
        <v>241.01955368819029</v>
      </c>
      <c r="Q404" s="615">
        <v>40.011167067075426</v>
      </c>
      <c r="R404" s="615">
        <v>-48.06922655803475</v>
      </c>
      <c r="S404" s="615">
        <v>-47.014624660559946</v>
      </c>
      <c r="T404" s="615">
        <v>2.079367210558356</v>
      </c>
      <c r="U404" s="615">
        <v>13.801171962104394</v>
      </c>
      <c r="V404" s="615">
        <v>20.100740898344036</v>
      </c>
      <c r="W404" s="615">
        <v>-638.31752935206157</v>
      </c>
      <c r="X404" s="615">
        <v>-83.441428186519019</v>
      </c>
      <c r="Y404" s="615">
        <v>-16.630406093950629</v>
      </c>
      <c r="Z404" s="615">
        <v>1081.3292086301467</v>
      </c>
      <c r="AA404" s="51"/>
    </row>
    <row r="405" spans="6:27" x14ac:dyDescent="0.25">
      <c r="F405" s="51"/>
      <c r="G405" s="616"/>
      <c r="H405" s="617"/>
      <c r="I405" s="617"/>
      <c r="J405" s="617"/>
      <c r="K405" s="617"/>
      <c r="L405" s="617"/>
      <c r="M405" s="617"/>
      <c r="N405" s="617"/>
      <c r="O405" s="617"/>
      <c r="P405" s="617"/>
      <c r="Q405" s="617"/>
      <c r="R405" s="617"/>
      <c r="S405" s="617"/>
      <c r="T405" s="617"/>
      <c r="U405" s="617"/>
      <c r="V405" s="617"/>
      <c r="W405" s="617"/>
      <c r="X405" s="617"/>
      <c r="Y405" s="617"/>
      <c r="Z405" s="617"/>
      <c r="AA405" s="51"/>
    </row>
    <row r="406" spans="6:27" x14ac:dyDescent="0.25">
      <c r="F406" s="51"/>
      <c r="G406" s="618" t="s">
        <v>78</v>
      </c>
      <c r="H406" s="611">
        <v>0.420473388671875</v>
      </c>
      <c r="I406" s="611">
        <v>0</v>
      </c>
      <c r="J406" s="611">
        <v>4.5652166127933009</v>
      </c>
      <c r="K406" s="611">
        <v>0</v>
      </c>
      <c r="L406" s="611">
        <v>44.193879337952673</v>
      </c>
      <c r="M406" s="620">
        <v>0</v>
      </c>
      <c r="N406" s="611">
        <v>0</v>
      </c>
      <c r="O406" s="611">
        <v>0</v>
      </c>
      <c r="P406" s="611">
        <v>37.859111409249969</v>
      </c>
      <c r="Q406" s="611">
        <v>9.091644549053445</v>
      </c>
      <c r="R406" s="611">
        <v>0.79775456348402363</v>
      </c>
      <c r="S406" s="611">
        <v>20.833903688960643</v>
      </c>
      <c r="T406" s="611">
        <v>9.7897363281250005</v>
      </c>
      <c r="U406" s="611">
        <v>0</v>
      </c>
      <c r="V406" s="611">
        <v>7.4990210834655101E-4</v>
      </c>
      <c r="W406" s="611">
        <v>154.61632550799115</v>
      </c>
      <c r="X406" s="611">
        <v>19.58585971983296</v>
      </c>
      <c r="Y406" s="611">
        <v>8.1097109374999992</v>
      </c>
      <c r="Z406" s="619">
        <v>309.86436594572336</v>
      </c>
      <c r="AA406" s="51"/>
    </row>
    <row r="407" spans="6:27" x14ac:dyDescent="0.25">
      <c r="F407" s="51"/>
      <c r="G407" s="618" t="s">
        <v>79</v>
      </c>
      <c r="H407" s="611">
        <v>0</v>
      </c>
      <c r="I407" s="611">
        <v>0</v>
      </c>
      <c r="J407" s="611">
        <v>145.74847122117117</v>
      </c>
      <c r="K407" s="611">
        <v>0.6</v>
      </c>
      <c r="L407" s="611">
        <v>5.158710288451207</v>
      </c>
      <c r="M407" s="620">
        <v>0</v>
      </c>
      <c r="N407" s="611">
        <v>0</v>
      </c>
      <c r="O407" s="611">
        <v>0</v>
      </c>
      <c r="P407" s="611">
        <v>0</v>
      </c>
      <c r="Q407" s="611">
        <v>0</v>
      </c>
      <c r="R407" s="611">
        <v>37.983450784080269</v>
      </c>
      <c r="S407" s="611">
        <v>2.4276283710358628</v>
      </c>
      <c r="T407" s="611">
        <v>0</v>
      </c>
      <c r="U407" s="611">
        <v>0</v>
      </c>
      <c r="V407" s="611">
        <v>0</v>
      </c>
      <c r="W407" s="611">
        <v>85.093782574296696</v>
      </c>
      <c r="X407" s="611">
        <v>0</v>
      </c>
      <c r="Y407" s="611">
        <v>3.6734052555319421</v>
      </c>
      <c r="Z407" s="619">
        <v>280.68544849456714</v>
      </c>
      <c r="AA407" s="51"/>
    </row>
    <row r="408" spans="6:27" x14ac:dyDescent="0.25">
      <c r="F408" s="51"/>
      <c r="G408" s="618" t="s">
        <v>80</v>
      </c>
      <c r="H408" s="611">
        <v>0</v>
      </c>
      <c r="I408" s="611">
        <v>0</v>
      </c>
      <c r="J408" s="611">
        <v>0.67200053608066723</v>
      </c>
      <c r="K408" s="611">
        <v>0</v>
      </c>
      <c r="L408" s="611">
        <v>33.793440313703563</v>
      </c>
      <c r="M408" s="620">
        <v>0</v>
      </c>
      <c r="N408" s="611">
        <v>0</v>
      </c>
      <c r="O408" s="611">
        <v>0</v>
      </c>
      <c r="P408" s="611">
        <v>46.869025063770188</v>
      </c>
      <c r="Q408" s="611">
        <v>0</v>
      </c>
      <c r="R408" s="611">
        <v>0</v>
      </c>
      <c r="S408" s="611">
        <v>15.902795441742857</v>
      </c>
      <c r="T408" s="611">
        <v>126.0368711002035</v>
      </c>
      <c r="U408" s="611">
        <v>0</v>
      </c>
      <c r="V408" s="611">
        <v>10.28748002838279</v>
      </c>
      <c r="W408" s="611">
        <v>153.25630739971572</v>
      </c>
      <c r="X408" s="611">
        <v>40.560183148779373</v>
      </c>
      <c r="Y408" s="611">
        <v>0</v>
      </c>
      <c r="Z408" s="619">
        <v>427.3781030323787</v>
      </c>
      <c r="AA408" s="51"/>
    </row>
    <row r="409" spans="6:27" x14ac:dyDescent="0.25">
      <c r="F409" s="51"/>
      <c r="G409" s="618" t="s">
        <v>81</v>
      </c>
      <c r="H409" s="611">
        <v>0</v>
      </c>
      <c r="I409" s="611">
        <v>0</v>
      </c>
      <c r="J409" s="611">
        <v>1.3024591903190665</v>
      </c>
      <c r="K409" s="611">
        <v>0</v>
      </c>
      <c r="L409" s="611">
        <v>22.107329443509556</v>
      </c>
      <c r="M409" s="620">
        <v>0</v>
      </c>
      <c r="N409" s="611">
        <v>0</v>
      </c>
      <c r="O409" s="611">
        <v>0</v>
      </c>
      <c r="P409" s="611">
        <v>0.55939285776182701</v>
      </c>
      <c r="Q409" s="611">
        <v>0</v>
      </c>
      <c r="R409" s="611">
        <v>0</v>
      </c>
      <c r="S409" s="611">
        <v>10.403449149886853</v>
      </c>
      <c r="T409" s="611">
        <v>48.192635744936815</v>
      </c>
      <c r="U409" s="611">
        <v>0</v>
      </c>
      <c r="V409" s="611">
        <v>9.224237582113501</v>
      </c>
      <c r="W409" s="611">
        <v>121.55538254836378</v>
      </c>
      <c r="X409" s="611">
        <v>23.29535389238076</v>
      </c>
      <c r="Y409" s="611">
        <v>0</v>
      </c>
      <c r="Z409" s="619">
        <v>236.64024040927217</v>
      </c>
      <c r="AA409" s="51"/>
    </row>
    <row r="410" spans="6:27" x14ac:dyDescent="0.25">
      <c r="F410" s="51"/>
      <c r="G410" s="618" t="s">
        <v>82</v>
      </c>
      <c r="H410" s="611">
        <v>0</v>
      </c>
      <c r="I410" s="611">
        <v>0</v>
      </c>
      <c r="J410" s="611">
        <v>17.072371941732264</v>
      </c>
      <c r="K410" s="611">
        <v>0</v>
      </c>
      <c r="L410" s="611">
        <v>0.9182073287540522</v>
      </c>
      <c r="M410" s="620">
        <v>0</v>
      </c>
      <c r="N410" s="611">
        <v>0</v>
      </c>
      <c r="O410" s="611">
        <v>0</v>
      </c>
      <c r="P410" s="611">
        <v>14.623275458181073</v>
      </c>
      <c r="Q410" s="611">
        <v>0</v>
      </c>
      <c r="R410" s="611">
        <v>6.5072970956675134</v>
      </c>
      <c r="S410" s="611">
        <v>0.43209756647249531</v>
      </c>
      <c r="T410" s="611">
        <v>0.9</v>
      </c>
      <c r="U410" s="611">
        <v>0</v>
      </c>
      <c r="V410" s="611">
        <v>1.1655332190637568</v>
      </c>
      <c r="W410" s="611">
        <v>9.1593739040126536</v>
      </c>
      <c r="X410" s="611">
        <v>0</v>
      </c>
      <c r="Y410" s="611">
        <v>0.38638525521088363</v>
      </c>
      <c r="Z410" s="619">
        <v>51.164541769094683</v>
      </c>
      <c r="AA410" s="51"/>
    </row>
    <row r="411" spans="6:27" x14ac:dyDescent="0.25">
      <c r="F411" s="51"/>
      <c r="G411" s="618" t="s">
        <v>354</v>
      </c>
      <c r="H411" s="611">
        <v>0</v>
      </c>
      <c r="I411" s="611">
        <v>0</v>
      </c>
      <c r="J411" s="611">
        <v>0</v>
      </c>
      <c r="K411" s="611">
        <v>0</v>
      </c>
      <c r="L411" s="611">
        <v>0</v>
      </c>
      <c r="M411" s="611">
        <v>0</v>
      </c>
      <c r="N411" s="611">
        <v>0</v>
      </c>
      <c r="O411" s="611">
        <v>0</v>
      </c>
      <c r="P411" s="611">
        <v>0</v>
      </c>
      <c r="Q411" s="611">
        <v>0</v>
      </c>
      <c r="R411" s="611">
        <v>0</v>
      </c>
      <c r="S411" s="611">
        <v>0</v>
      </c>
      <c r="T411" s="611">
        <v>0</v>
      </c>
      <c r="U411" s="611">
        <v>0</v>
      </c>
      <c r="V411" s="611">
        <v>0</v>
      </c>
      <c r="W411" s="611">
        <v>2.16</v>
      </c>
      <c r="X411" s="611">
        <v>0</v>
      </c>
      <c r="Y411" s="611">
        <v>0</v>
      </c>
      <c r="Z411" s="619">
        <v>2.16</v>
      </c>
      <c r="AA411" s="51"/>
    </row>
    <row r="412" spans="6:27" x14ac:dyDescent="0.25">
      <c r="F412" s="51"/>
      <c r="G412" s="614" t="s">
        <v>83</v>
      </c>
      <c r="H412" s="615">
        <v>0.420473388671875</v>
      </c>
      <c r="I412" s="615">
        <v>0</v>
      </c>
      <c r="J412" s="615">
        <v>169.36051950209648</v>
      </c>
      <c r="K412" s="615">
        <v>0.6</v>
      </c>
      <c r="L412" s="615">
        <v>106.17156671237105</v>
      </c>
      <c r="M412" s="615">
        <v>0</v>
      </c>
      <c r="N412" s="615">
        <v>0</v>
      </c>
      <c r="O412" s="615">
        <v>0</v>
      </c>
      <c r="P412" s="615">
        <v>99.910804788963048</v>
      </c>
      <c r="Q412" s="615">
        <v>9.091644549053445</v>
      </c>
      <c r="R412" s="615">
        <v>45.288502443231806</v>
      </c>
      <c r="S412" s="615">
        <v>49.999874218098711</v>
      </c>
      <c r="T412" s="615">
        <v>184.9192431732653</v>
      </c>
      <c r="U412" s="615">
        <v>0</v>
      </c>
      <c r="V412" s="615">
        <v>20.678000731668394</v>
      </c>
      <c r="W412" s="615">
        <v>525.84117193437999</v>
      </c>
      <c r="X412" s="615">
        <v>83.441396760993086</v>
      </c>
      <c r="Y412" s="615">
        <v>12.169501448242825</v>
      </c>
      <c r="Z412" s="615">
        <v>1307.8926996510361</v>
      </c>
      <c r="AA412" s="51"/>
    </row>
    <row r="413" spans="6:27" x14ac:dyDescent="0.25">
      <c r="F413" s="51"/>
      <c r="G413" s="610" t="s">
        <v>84</v>
      </c>
      <c r="H413" s="611">
        <v>0</v>
      </c>
      <c r="I413" s="611">
        <v>0</v>
      </c>
      <c r="J413" s="611">
        <v>104.56365491334468</v>
      </c>
      <c r="K413" s="611">
        <v>2.0095155133024498</v>
      </c>
      <c r="L413" s="611">
        <v>12.7291086591003</v>
      </c>
      <c r="M413" s="611">
        <v>0</v>
      </c>
      <c r="N413" s="611">
        <v>0</v>
      </c>
      <c r="O413" s="611">
        <v>0</v>
      </c>
      <c r="P413" s="720">
        <v>0.40658520083603628</v>
      </c>
      <c r="Q413" s="611">
        <v>0</v>
      </c>
      <c r="R413" s="611">
        <v>3.1675603541212554</v>
      </c>
      <c r="S413" s="611">
        <v>0</v>
      </c>
      <c r="T413" s="611">
        <v>0</v>
      </c>
      <c r="U413" s="611">
        <v>0</v>
      </c>
      <c r="V413" s="611">
        <v>0</v>
      </c>
      <c r="W413" s="611">
        <v>0</v>
      </c>
      <c r="X413" s="611">
        <v>0</v>
      </c>
      <c r="Y413" s="611">
        <v>1.710568146239696</v>
      </c>
      <c r="Z413" s="619">
        <v>124.58699278694441</v>
      </c>
      <c r="AA413" s="51"/>
    </row>
    <row r="414" spans="6:27" x14ac:dyDescent="0.25">
      <c r="F414" s="51"/>
      <c r="G414" s="614" t="s">
        <v>85</v>
      </c>
      <c r="H414" s="615">
        <v>0.420473388671875</v>
      </c>
      <c r="I414" s="615">
        <v>0</v>
      </c>
      <c r="J414" s="615">
        <v>273.92417441544114</v>
      </c>
      <c r="K414" s="615">
        <v>2.6095155133024499</v>
      </c>
      <c r="L414" s="615">
        <v>118.90067537147135</v>
      </c>
      <c r="M414" s="615">
        <v>0</v>
      </c>
      <c r="N414" s="615">
        <v>0</v>
      </c>
      <c r="O414" s="615">
        <v>0</v>
      </c>
      <c r="P414" s="615">
        <v>100.31738998979908</v>
      </c>
      <c r="Q414" s="615">
        <v>9.091644549053445</v>
      </c>
      <c r="R414" s="615">
        <v>48.456062797353063</v>
      </c>
      <c r="S414" s="615">
        <v>49.999874218098711</v>
      </c>
      <c r="T414" s="615">
        <v>184.9192431732653</v>
      </c>
      <c r="U414" s="615">
        <v>0</v>
      </c>
      <c r="V414" s="615">
        <v>20.678000731668394</v>
      </c>
      <c r="W414" s="615">
        <v>525.84117193437999</v>
      </c>
      <c r="X414" s="615">
        <v>83.441396760993086</v>
      </c>
      <c r="Y414" s="615">
        <v>13.880069594482521</v>
      </c>
      <c r="Z414" s="615">
        <v>1432.4796924379805</v>
      </c>
      <c r="AA414" s="51"/>
    </row>
    <row r="415" spans="6:27" x14ac:dyDescent="0.25">
      <c r="F415" s="51"/>
      <c r="G415" s="51"/>
      <c r="H415" s="67">
        <v>0</v>
      </c>
      <c r="I415" s="67">
        <v>0</v>
      </c>
      <c r="J415" s="67">
        <v>0</v>
      </c>
      <c r="K415" s="67">
        <v>0</v>
      </c>
      <c r="L415" s="67">
        <v>0</v>
      </c>
      <c r="M415" s="67">
        <v>0</v>
      </c>
      <c r="N415" s="67">
        <v>0</v>
      </c>
      <c r="O415" s="67">
        <v>0</v>
      </c>
      <c r="P415" s="67">
        <v>0</v>
      </c>
      <c r="Q415" s="67">
        <v>0</v>
      </c>
      <c r="R415" s="67">
        <v>-5.3290705182007514E-15</v>
      </c>
      <c r="S415" s="67">
        <v>9.7699626167013776E-15</v>
      </c>
      <c r="T415" s="67">
        <v>0</v>
      </c>
      <c r="U415" s="67">
        <v>0</v>
      </c>
      <c r="V415" s="67">
        <v>0</v>
      </c>
      <c r="W415" s="67">
        <v>0</v>
      </c>
      <c r="X415" s="721">
        <v>-3.1425525932604614E-5</v>
      </c>
      <c r="Y415" s="67">
        <v>0</v>
      </c>
      <c r="Z415" s="67">
        <v>-3.1425526685779914E-5</v>
      </c>
      <c r="AA415" s="51"/>
    </row>
    <row r="416" spans="6:27" x14ac:dyDescent="0.25">
      <c r="F416" s="51"/>
      <c r="G416" s="51"/>
      <c r="H416" s="51"/>
      <c r="I416" s="51"/>
      <c r="J416" s="51"/>
      <c r="K416" s="67"/>
      <c r="L416" s="51"/>
      <c r="M416" s="51"/>
      <c r="N416" s="51"/>
      <c r="O416" s="51"/>
      <c r="P416" s="51"/>
      <c r="Q416" s="51"/>
      <c r="R416" s="51"/>
      <c r="S416" s="51"/>
      <c r="T416" s="51"/>
      <c r="U416" s="51"/>
      <c r="V416" s="51"/>
      <c r="W416" s="51"/>
      <c r="X416" s="51"/>
      <c r="Y416" s="51"/>
      <c r="Z416" s="51"/>
      <c r="AA416" s="51"/>
    </row>
    <row r="417" spans="6:27" x14ac:dyDescent="0.25">
      <c r="F417" s="606"/>
      <c r="G417" s="607" t="s">
        <v>360</v>
      </c>
      <c r="H417" s="606"/>
      <c r="I417" s="606"/>
      <c r="J417" s="606"/>
      <c r="K417" s="682"/>
      <c r="L417" s="606"/>
      <c r="M417" s="606"/>
      <c r="N417" s="606"/>
      <c r="O417" s="606"/>
      <c r="P417" s="606"/>
      <c r="Q417" s="606"/>
      <c r="R417" s="606"/>
      <c r="S417" s="606"/>
      <c r="T417" s="606"/>
      <c r="U417" s="606"/>
      <c r="V417" s="606"/>
      <c r="W417" s="606"/>
      <c r="X417" s="606"/>
      <c r="Y417" s="606"/>
      <c r="Z417" s="606"/>
      <c r="AA417" s="606"/>
    </row>
    <row r="418" spans="6:27" x14ac:dyDescent="0.25">
      <c r="F418" s="51"/>
      <c r="G418" s="51"/>
      <c r="H418" s="51"/>
      <c r="I418" s="51"/>
      <c r="J418" s="51"/>
      <c r="K418" s="67"/>
      <c r="L418" s="51"/>
      <c r="M418" s="51"/>
      <c r="N418" s="51"/>
      <c r="O418" s="51"/>
      <c r="P418" s="51"/>
      <c r="Q418" s="51"/>
      <c r="R418" s="51"/>
      <c r="S418" s="51"/>
      <c r="T418" s="51"/>
      <c r="U418" s="51"/>
      <c r="V418" s="51"/>
      <c r="W418" s="51"/>
      <c r="X418" s="51"/>
      <c r="Y418" s="51"/>
      <c r="Z418" s="51"/>
      <c r="AA418" s="51"/>
    </row>
    <row r="419" spans="6:27" x14ac:dyDescent="0.25">
      <c r="F419" s="51"/>
      <c r="G419" s="764" t="s">
        <v>128</v>
      </c>
      <c r="H419" s="753" t="s">
        <v>42</v>
      </c>
      <c r="I419" s="753" t="s">
        <v>52</v>
      </c>
      <c r="J419" s="753" t="s">
        <v>53</v>
      </c>
      <c r="K419" s="766" t="s">
        <v>482</v>
      </c>
      <c r="L419" s="753" t="s">
        <v>32</v>
      </c>
      <c r="M419" s="753" t="s">
        <v>483</v>
      </c>
      <c r="N419" s="753" t="s">
        <v>20</v>
      </c>
      <c r="O419" s="753" t="s">
        <v>55</v>
      </c>
      <c r="P419" s="761" t="s">
        <v>56</v>
      </c>
      <c r="Q419" s="762"/>
      <c r="R419" s="762"/>
      <c r="S419" s="762"/>
      <c r="T419" s="762"/>
      <c r="U419" s="762"/>
      <c r="V419" s="763"/>
      <c r="W419" s="753" t="s">
        <v>57</v>
      </c>
      <c r="X419" s="753" t="s">
        <v>58</v>
      </c>
      <c r="Y419" s="753" t="s">
        <v>31</v>
      </c>
      <c r="Z419" s="753" t="s">
        <v>10</v>
      </c>
      <c r="AA419" s="51"/>
    </row>
    <row r="420" spans="6:27" ht="36" x14ac:dyDescent="0.25">
      <c r="F420" s="51"/>
      <c r="G420" s="765"/>
      <c r="H420" s="754"/>
      <c r="I420" s="754"/>
      <c r="J420" s="754"/>
      <c r="K420" s="767"/>
      <c r="L420" s="754"/>
      <c r="M420" s="754"/>
      <c r="N420" s="754"/>
      <c r="O420" s="754"/>
      <c r="P420" s="608" t="s">
        <v>335</v>
      </c>
      <c r="Q420" s="608" t="s">
        <v>40</v>
      </c>
      <c r="R420" s="608" t="s">
        <v>343</v>
      </c>
      <c r="S420" s="608" t="s">
        <v>344</v>
      </c>
      <c r="T420" s="609" t="s">
        <v>345</v>
      </c>
      <c r="U420" s="609" t="s">
        <v>609</v>
      </c>
      <c r="V420" s="608" t="s">
        <v>346</v>
      </c>
      <c r="W420" s="754"/>
      <c r="X420" s="754"/>
      <c r="Y420" s="754"/>
      <c r="Z420" s="754"/>
      <c r="AA420" s="51"/>
    </row>
    <row r="421" spans="6:27" x14ac:dyDescent="0.25">
      <c r="F421" s="51"/>
      <c r="G421" s="610" t="s">
        <v>59</v>
      </c>
      <c r="H421" s="611">
        <v>0</v>
      </c>
      <c r="I421" s="611">
        <v>0</v>
      </c>
      <c r="J421" s="611">
        <v>0</v>
      </c>
      <c r="K421" s="611">
        <v>0</v>
      </c>
      <c r="L421" s="611">
        <v>0</v>
      </c>
      <c r="M421" s="611">
        <v>0</v>
      </c>
      <c r="N421" s="612">
        <v>1217.3350254612858</v>
      </c>
      <c r="O421" s="612">
        <v>388.29502398919544</v>
      </c>
      <c r="P421" s="611">
        <v>345.22412922668985</v>
      </c>
      <c r="Q421" s="612">
        <v>47.572914538902204</v>
      </c>
      <c r="R421" s="611">
        <v>0</v>
      </c>
      <c r="S421" s="611">
        <v>0</v>
      </c>
      <c r="T421" s="612">
        <v>204.43801315586742</v>
      </c>
      <c r="U421" s="612">
        <v>13.539968044487557</v>
      </c>
      <c r="V421" s="612">
        <v>44.670610017190697</v>
      </c>
      <c r="W421" s="611">
        <v>0</v>
      </c>
      <c r="X421" s="611">
        <v>0</v>
      </c>
      <c r="Y421" s="611">
        <v>0</v>
      </c>
      <c r="Z421" s="613">
        <v>2261.0756844336188</v>
      </c>
      <c r="AA421" s="51"/>
    </row>
    <row r="422" spans="6:27" x14ac:dyDescent="0.25">
      <c r="F422" s="51"/>
      <c r="G422" s="610" t="s">
        <v>60</v>
      </c>
      <c r="H422" s="611">
        <v>12.152793945312501</v>
      </c>
      <c r="I422" s="611">
        <v>228.52698065701114</v>
      </c>
      <c r="J422" s="611">
        <v>52.757657499876444</v>
      </c>
      <c r="K422" s="611">
        <v>7.0861725721851325</v>
      </c>
      <c r="L422" s="620">
        <v>109.90340859679944</v>
      </c>
      <c r="M422" s="611">
        <v>0</v>
      </c>
      <c r="N422" s="611">
        <v>0</v>
      </c>
      <c r="O422" s="611">
        <v>0</v>
      </c>
      <c r="P422" s="611">
        <v>8.3609545225008901</v>
      </c>
      <c r="Q422" s="611">
        <v>0</v>
      </c>
      <c r="R422" s="611">
        <v>12.640823760452299</v>
      </c>
      <c r="S422" s="611">
        <v>0</v>
      </c>
      <c r="T422" s="611">
        <v>0</v>
      </c>
      <c r="U422" s="611">
        <v>0</v>
      </c>
      <c r="V422" s="611">
        <v>0</v>
      </c>
      <c r="W422" s="611">
        <v>0</v>
      </c>
      <c r="X422" s="611">
        <v>0</v>
      </c>
      <c r="Y422" s="611">
        <v>0</v>
      </c>
      <c r="Z422" s="613">
        <v>431.42879155413789</v>
      </c>
      <c r="AA422" s="51"/>
    </row>
    <row r="423" spans="6:27" x14ac:dyDescent="0.25">
      <c r="F423" s="51"/>
      <c r="G423" s="610" t="s">
        <v>61</v>
      </c>
      <c r="H423" s="611">
        <v>0</v>
      </c>
      <c r="I423" s="611">
        <v>0</v>
      </c>
      <c r="J423" s="611">
        <v>0</v>
      </c>
      <c r="K423" s="611">
        <v>0</v>
      </c>
      <c r="L423" s="611">
        <v>0</v>
      </c>
      <c r="M423" s="611">
        <v>0</v>
      </c>
      <c r="N423" s="611">
        <v>0</v>
      </c>
      <c r="O423" s="611">
        <v>0</v>
      </c>
      <c r="P423" s="611">
        <v>0</v>
      </c>
      <c r="Q423" s="611">
        <v>0</v>
      </c>
      <c r="R423" s="611">
        <v>0</v>
      </c>
      <c r="S423" s="611">
        <v>-7.7990691835452708E-2</v>
      </c>
      <c r="T423" s="611">
        <v>0</v>
      </c>
      <c r="U423" s="611">
        <v>0</v>
      </c>
      <c r="V423" s="611">
        <v>0</v>
      </c>
      <c r="W423" s="611">
        <v>-125.47851234932489</v>
      </c>
      <c r="X423" s="611">
        <v>0</v>
      </c>
      <c r="Y423" s="611">
        <v>0</v>
      </c>
      <c r="Z423" s="613">
        <v>-125.55650304116034</v>
      </c>
      <c r="AA423" s="51"/>
    </row>
    <row r="424" spans="6:27" x14ac:dyDescent="0.25">
      <c r="F424" s="51"/>
      <c r="G424" s="610" t="s">
        <v>62</v>
      </c>
      <c r="H424" s="611">
        <v>0</v>
      </c>
      <c r="I424" s="611">
        <v>0</v>
      </c>
      <c r="J424" s="611">
        <v>-5.9348855093326982</v>
      </c>
      <c r="K424" s="611">
        <v>-0.99259685127624486</v>
      </c>
      <c r="L424" s="611">
        <v>0</v>
      </c>
      <c r="M424" s="611">
        <v>-0.99259685127624475</v>
      </c>
      <c r="N424" s="611">
        <v>0</v>
      </c>
      <c r="O424" s="611">
        <v>0</v>
      </c>
      <c r="P424" s="611">
        <v>0</v>
      </c>
      <c r="Q424" s="611">
        <v>0</v>
      </c>
      <c r="R424" s="611">
        <v>0</v>
      </c>
      <c r="S424" s="611">
        <v>-1.3642017969458513</v>
      </c>
      <c r="T424" s="611">
        <v>0</v>
      </c>
      <c r="U424" s="611">
        <v>0</v>
      </c>
      <c r="V424" s="611">
        <v>0</v>
      </c>
      <c r="W424" s="611">
        <v>0</v>
      </c>
      <c r="X424" s="611">
        <v>0</v>
      </c>
      <c r="Y424" s="611">
        <v>-0.66413311470232494</v>
      </c>
      <c r="Z424" s="613">
        <v>-9.9484141235333645</v>
      </c>
      <c r="AA424" s="51"/>
    </row>
    <row r="425" spans="6:27" x14ac:dyDescent="0.25">
      <c r="F425" s="51"/>
      <c r="G425" s="610" t="s">
        <v>63</v>
      </c>
      <c r="H425" s="611">
        <v>0</v>
      </c>
      <c r="I425" s="611">
        <v>0</v>
      </c>
      <c r="J425" s="611">
        <v>-40</v>
      </c>
      <c r="K425" s="611">
        <v>-8</v>
      </c>
      <c r="L425" s="611">
        <v>0</v>
      </c>
      <c r="M425" s="611">
        <v>0</v>
      </c>
      <c r="N425" s="611">
        <v>0</v>
      </c>
      <c r="O425" s="611">
        <v>0</v>
      </c>
      <c r="P425" s="611">
        <v>0</v>
      </c>
      <c r="Q425" s="611">
        <v>0</v>
      </c>
      <c r="R425" s="611">
        <v>-15</v>
      </c>
      <c r="S425" s="611">
        <v>0</v>
      </c>
      <c r="T425" s="611">
        <v>0</v>
      </c>
      <c r="U425" s="611">
        <v>0</v>
      </c>
      <c r="V425" s="611">
        <v>0</v>
      </c>
      <c r="W425" s="611">
        <v>0</v>
      </c>
      <c r="X425" s="611">
        <v>0</v>
      </c>
      <c r="Y425" s="611">
        <v>-3.0000000000000004</v>
      </c>
      <c r="Z425" s="613">
        <v>-66</v>
      </c>
      <c r="AA425" s="51"/>
    </row>
    <row r="426" spans="6:27" x14ac:dyDescent="0.25">
      <c r="F426" s="51"/>
      <c r="G426" s="610" t="s">
        <v>64</v>
      </c>
      <c r="H426" s="611">
        <v>0</v>
      </c>
      <c r="I426" s="611">
        <v>0</v>
      </c>
      <c r="J426" s="611">
        <v>0</v>
      </c>
      <c r="K426" s="611">
        <v>0</v>
      </c>
      <c r="L426" s="611">
        <v>0</v>
      </c>
      <c r="M426" s="611">
        <v>0</v>
      </c>
      <c r="N426" s="611">
        <v>0</v>
      </c>
      <c r="O426" s="611">
        <v>0</v>
      </c>
      <c r="P426" s="611">
        <v>0</v>
      </c>
      <c r="Q426" s="611">
        <v>0</v>
      </c>
      <c r="R426" s="611">
        <v>0</v>
      </c>
      <c r="S426" s="611">
        <v>0</v>
      </c>
      <c r="T426" s="611">
        <v>0</v>
      </c>
      <c r="U426" s="611">
        <v>0</v>
      </c>
      <c r="V426" s="611">
        <v>0</v>
      </c>
      <c r="W426" s="611">
        <v>0</v>
      </c>
      <c r="X426" s="611">
        <v>0</v>
      </c>
      <c r="Y426" s="611">
        <v>0</v>
      </c>
      <c r="Z426" s="613">
        <v>0</v>
      </c>
      <c r="AA426" s="51"/>
    </row>
    <row r="427" spans="6:27" x14ac:dyDescent="0.25">
      <c r="F427" s="51"/>
      <c r="G427" s="614" t="s">
        <v>65</v>
      </c>
      <c r="H427" s="615">
        <v>12.152793945312501</v>
      </c>
      <c r="I427" s="615">
        <v>228.52698065701114</v>
      </c>
      <c r="J427" s="615">
        <v>6.8227719905437425</v>
      </c>
      <c r="K427" s="615">
        <v>-1.9064242790911123</v>
      </c>
      <c r="L427" s="615">
        <v>109.90340859679944</v>
      </c>
      <c r="M427" s="615">
        <v>-0.99259685127624475</v>
      </c>
      <c r="N427" s="615">
        <v>1217.3350254612858</v>
      </c>
      <c r="O427" s="615">
        <v>388.29502398919544</v>
      </c>
      <c r="P427" s="615">
        <v>353.58508374919074</v>
      </c>
      <c r="Q427" s="615">
        <v>47.572914538902204</v>
      </c>
      <c r="R427" s="615">
        <v>-2.3591762395477005</v>
      </c>
      <c r="S427" s="615">
        <v>-1.442192488781304</v>
      </c>
      <c r="T427" s="615">
        <v>204.43801315586742</v>
      </c>
      <c r="U427" s="615">
        <v>13.539968044487557</v>
      </c>
      <c r="V427" s="615">
        <v>44.670610017190697</v>
      </c>
      <c r="W427" s="615">
        <v>-125.47851234932489</v>
      </c>
      <c r="X427" s="615">
        <v>0</v>
      </c>
      <c r="Y427" s="615">
        <v>-3.6641331147023255</v>
      </c>
      <c r="Z427" s="615">
        <v>2490.9995588230627</v>
      </c>
      <c r="AA427" s="51"/>
    </row>
    <row r="428" spans="6:27" x14ac:dyDescent="0.25">
      <c r="F428" s="51"/>
      <c r="G428" s="616"/>
      <c r="H428" s="617"/>
      <c r="I428" s="617"/>
      <c r="J428" s="617"/>
      <c r="K428" s="617"/>
      <c r="L428" s="617"/>
      <c r="M428" s="617"/>
      <c r="N428" s="617"/>
      <c r="O428" s="617"/>
      <c r="P428" s="617"/>
      <c r="Q428" s="617"/>
      <c r="R428" s="617"/>
      <c r="S428" s="617"/>
      <c r="T428" s="617"/>
      <c r="U428" s="617"/>
      <c r="V428" s="617"/>
      <c r="W428" s="617"/>
      <c r="X428" s="617"/>
      <c r="Y428" s="617"/>
      <c r="Z428" s="617"/>
      <c r="AA428" s="51"/>
    </row>
    <row r="429" spans="6:27" x14ac:dyDescent="0.25">
      <c r="F429" s="51"/>
      <c r="G429" s="618" t="s">
        <v>67</v>
      </c>
      <c r="H429" s="611">
        <v>0</v>
      </c>
      <c r="I429" s="611">
        <v>0</v>
      </c>
      <c r="J429" s="611">
        <v>0</v>
      </c>
      <c r="K429" s="611">
        <v>0</v>
      </c>
      <c r="L429" s="611">
        <v>0</v>
      </c>
      <c r="M429" s="611">
        <v>0</v>
      </c>
      <c r="N429" s="611">
        <v>0</v>
      </c>
      <c r="O429" s="611">
        <v>0</v>
      </c>
      <c r="P429" s="611">
        <v>0</v>
      </c>
      <c r="Q429" s="611">
        <v>0</v>
      </c>
      <c r="R429" s="611">
        <v>0</v>
      </c>
      <c r="S429" s="611">
        <v>0</v>
      </c>
      <c r="T429" s="611">
        <v>0</v>
      </c>
      <c r="U429" s="611">
        <v>0</v>
      </c>
      <c r="V429" s="611">
        <v>0</v>
      </c>
      <c r="W429" s="611">
        <v>0</v>
      </c>
      <c r="X429" s="611">
        <v>0</v>
      </c>
      <c r="Y429" s="611">
        <v>0</v>
      </c>
      <c r="Z429" s="619">
        <v>0</v>
      </c>
      <c r="AA429" s="51"/>
    </row>
    <row r="430" spans="6:27" x14ac:dyDescent="0.25">
      <c r="F430" s="51"/>
      <c r="G430" s="618" t="s">
        <v>347</v>
      </c>
      <c r="H430" s="611">
        <v>0</v>
      </c>
      <c r="I430" s="611">
        <v>0</v>
      </c>
      <c r="J430" s="611">
        <v>6.6151953400033478E-2</v>
      </c>
      <c r="K430" s="611">
        <v>0</v>
      </c>
      <c r="L430" s="611">
        <v>2.4867213913043404E-3</v>
      </c>
      <c r="M430" s="611">
        <v>0</v>
      </c>
      <c r="N430" s="611">
        <v>1213.9369090909088</v>
      </c>
      <c r="O430" s="611">
        <v>388.29502398919544</v>
      </c>
      <c r="P430" s="611">
        <v>17.586826213678588</v>
      </c>
      <c r="Q430" s="611">
        <v>5.6133813254305416</v>
      </c>
      <c r="R430" s="611">
        <v>5.6269378379330357</v>
      </c>
      <c r="S430" s="611">
        <v>0.11555796351278441</v>
      </c>
      <c r="T430" s="611">
        <v>0</v>
      </c>
      <c r="U430" s="611">
        <v>0</v>
      </c>
      <c r="V430" s="611">
        <v>6.4327567473291545</v>
      </c>
      <c r="W430" s="611">
        <v>-805.46190663810182</v>
      </c>
      <c r="X430" s="611">
        <v>0</v>
      </c>
      <c r="Y430" s="611">
        <v>0</v>
      </c>
      <c r="Z430" s="619">
        <v>832.21412520467777</v>
      </c>
      <c r="AA430" s="51"/>
    </row>
    <row r="431" spans="6:27" x14ac:dyDescent="0.25">
      <c r="F431" s="51"/>
      <c r="G431" s="618" t="s">
        <v>348</v>
      </c>
      <c r="H431" s="611">
        <v>0</v>
      </c>
      <c r="I431" s="611">
        <v>0</v>
      </c>
      <c r="J431" s="611">
        <v>0</v>
      </c>
      <c r="K431" s="611">
        <v>0</v>
      </c>
      <c r="L431" s="611">
        <v>13.794883526882547</v>
      </c>
      <c r="M431" s="611">
        <v>0</v>
      </c>
      <c r="N431" s="611">
        <v>3.3981163703769028</v>
      </c>
      <c r="O431" s="611">
        <v>0</v>
      </c>
      <c r="P431" s="611">
        <v>24.198351271875673</v>
      </c>
      <c r="Q431" s="611">
        <v>14.187375488735356</v>
      </c>
      <c r="R431" s="611">
        <v>0</v>
      </c>
      <c r="S431" s="611">
        <v>9.211082811707719</v>
      </c>
      <c r="T431" s="611">
        <v>3.4642327407538054</v>
      </c>
      <c r="U431" s="611">
        <v>13.539968044487557</v>
      </c>
      <c r="V431" s="611">
        <v>15.724500904765749</v>
      </c>
      <c r="W431" s="611">
        <v>0</v>
      </c>
      <c r="X431" s="620">
        <v>-90.436442741744855</v>
      </c>
      <c r="Y431" s="611">
        <v>0</v>
      </c>
      <c r="Z431" s="619">
        <v>7.0820684178404321</v>
      </c>
      <c r="AA431" s="51"/>
    </row>
    <row r="432" spans="6:27" x14ac:dyDescent="0.25">
      <c r="F432" s="51"/>
      <c r="G432" s="618" t="s">
        <v>349</v>
      </c>
      <c r="H432" s="611">
        <v>0</v>
      </c>
      <c r="I432" s="611">
        <v>0</v>
      </c>
      <c r="J432" s="611">
        <v>0</v>
      </c>
      <c r="K432" s="611">
        <v>0</v>
      </c>
      <c r="L432" s="611">
        <v>0</v>
      </c>
      <c r="M432" s="611">
        <v>0</v>
      </c>
      <c r="N432" s="611">
        <v>0</v>
      </c>
      <c r="O432" s="611">
        <v>0</v>
      </c>
      <c r="P432" s="611">
        <v>121.15349099008552</v>
      </c>
      <c r="Q432" s="611">
        <v>11.695220862948467</v>
      </c>
      <c r="R432" s="611">
        <v>0</v>
      </c>
      <c r="S432" s="611">
        <v>-66.507884301827488</v>
      </c>
      <c r="T432" s="611">
        <v>0</v>
      </c>
      <c r="U432" s="611">
        <v>0</v>
      </c>
      <c r="V432" s="611">
        <v>0</v>
      </c>
      <c r="W432" s="611">
        <v>0</v>
      </c>
      <c r="X432" s="611">
        <v>0</v>
      </c>
      <c r="Y432" s="611">
        <v>0</v>
      </c>
      <c r="Z432" s="619">
        <v>66.340827551206502</v>
      </c>
      <c r="AA432" s="51"/>
    </row>
    <row r="433" spans="6:27" x14ac:dyDescent="0.25">
      <c r="F433" s="51"/>
      <c r="G433" s="618" t="s">
        <v>350</v>
      </c>
      <c r="H433" s="611">
        <v>0</v>
      </c>
      <c r="I433" s="611">
        <v>0</v>
      </c>
      <c r="J433" s="611">
        <v>0</v>
      </c>
      <c r="K433" s="611">
        <v>0</v>
      </c>
      <c r="L433" s="611">
        <v>0</v>
      </c>
      <c r="M433" s="620">
        <v>-0.99259685127624475</v>
      </c>
      <c r="N433" s="611">
        <v>0</v>
      </c>
      <c r="O433" s="611">
        <v>0</v>
      </c>
      <c r="P433" s="611">
        <v>0</v>
      </c>
      <c r="Q433" s="611">
        <v>0</v>
      </c>
      <c r="R433" s="611">
        <v>0</v>
      </c>
      <c r="S433" s="611">
        <v>0</v>
      </c>
      <c r="T433" s="611">
        <v>0</v>
      </c>
      <c r="U433" s="611">
        <v>0</v>
      </c>
      <c r="V433" s="611">
        <v>0</v>
      </c>
      <c r="W433" s="611">
        <v>0</v>
      </c>
      <c r="X433" s="611">
        <v>0</v>
      </c>
      <c r="Y433" s="611">
        <v>1.3786067378836733</v>
      </c>
      <c r="Z433" s="619">
        <v>0.38600988660742852</v>
      </c>
      <c r="AA433" s="51"/>
    </row>
    <row r="434" spans="6:27" x14ac:dyDescent="0.25">
      <c r="F434" s="51"/>
      <c r="G434" s="618" t="s">
        <v>72</v>
      </c>
      <c r="H434" s="611">
        <v>0</v>
      </c>
      <c r="I434" s="611">
        <v>236.81493545445448</v>
      </c>
      <c r="J434" s="611">
        <v>-234.44678609990993</v>
      </c>
      <c r="K434" s="611">
        <v>0</v>
      </c>
      <c r="L434" s="611">
        <v>0</v>
      </c>
      <c r="M434" s="611">
        <v>0</v>
      </c>
      <c r="N434" s="611">
        <v>0</v>
      </c>
      <c r="O434" s="611">
        <v>0</v>
      </c>
      <c r="P434" s="611">
        <v>0</v>
      </c>
      <c r="Q434" s="611">
        <v>0</v>
      </c>
      <c r="R434" s="611">
        <v>0</v>
      </c>
      <c r="S434" s="611">
        <v>0</v>
      </c>
      <c r="T434" s="611">
        <v>0</v>
      </c>
      <c r="U434" s="611">
        <v>0</v>
      </c>
      <c r="V434" s="611">
        <v>0</v>
      </c>
      <c r="W434" s="611">
        <v>0</v>
      </c>
      <c r="X434" s="611">
        <v>0</v>
      </c>
      <c r="Y434" s="611">
        <v>0</v>
      </c>
      <c r="Z434" s="619">
        <v>2.3681493545445562</v>
      </c>
      <c r="AA434" s="51"/>
    </row>
    <row r="435" spans="6:27" x14ac:dyDescent="0.25">
      <c r="F435" s="51"/>
      <c r="G435" s="618" t="s">
        <v>351</v>
      </c>
      <c r="H435" s="611">
        <v>0</v>
      </c>
      <c r="I435" s="611">
        <v>0</v>
      </c>
      <c r="J435" s="611">
        <v>0</v>
      </c>
      <c r="K435" s="611">
        <v>0</v>
      </c>
      <c r="L435" s="611">
        <v>0</v>
      </c>
      <c r="M435" s="611">
        <v>0</v>
      </c>
      <c r="N435" s="611">
        <v>0</v>
      </c>
      <c r="O435" s="611">
        <v>0</v>
      </c>
      <c r="P435" s="611">
        <v>92.214586114726359</v>
      </c>
      <c r="Q435" s="611">
        <v>7.2727272727272725</v>
      </c>
      <c r="R435" s="620">
        <v>-55.427636476917691</v>
      </c>
      <c r="S435" s="611">
        <v>0</v>
      </c>
      <c r="T435" s="611">
        <v>0</v>
      </c>
      <c r="U435" s="611">
        <v>0</v>
      </c>
      <c r="V435" s="611">
        <v>0</v>
      </c>
      <c r="W435" s="611">
        <v>0</v>
      </c>
      <c r="X435" s="611">
        <v>0</v>
      </c>
      <c r="Y435" s="611">
        <v>0</v>
      </c>
      <c r="Z435" s="619">
        <v>44.059676910535934</v>
      </c>
      <c r="AA435" s="51"/>
    </row>
    <row r="436" spans="6:27" x14ac:dyDescent="0.25">
      <c r="F436" s="51"/>
      <c r="G436" s="618" t="s">
        <v>352</v>
      </c>
      <c r="H436" s="611">
        <v>0</v>
      </c>
      <c r="I436" s="611">
        <v>0</v>
      </c>
      <c r="J436" s="611">
        <v>0</v>
      </c>
      <c r="K436" s="611">
        <v>-5.3675968512762449</v>
      </c>
      <c r="L436" s="611">
        <v>0</v>
      </c>
      <c r="M436" s="611">
        <v>0</v>
      </c>
      <c r="N436" s="611">
        <v>0</v>
      </c>
      <c r="O436" s="611">
        <v>0</v>
      </c>
      <c r="P436" s="611">
        <v>0</v>
      </c>
      <c r="Q436" s="611">
        <v>0</v>
      </c>
      <c r="R436" s="611">
        <v>0</v>
      </c>
      <c r="S436" s="611">
        <v>0</v>
      </c>
      <c r="T436" s="611">
        <v>0</v>
      </c>
      <c r="U436" s="611">
        <v>0</v>
      </c>
      <c r="V436" s="611">
        <v>0</v>
      </c>
      <c r="W436" s="611">
        <v>0</v>
      </c>
      <c r="X436" s="611">
        <v>0</v>
      </c>
      <c r="Y436" s="611">
        <v>8.7918565364038699</v>
      </c>
      <c r="Z436" s="619">
        <v>3.424259685127625</v>
      </c>
      <c r="AA436" s="51"/>
    </row>
    <row r="437" spans="6:27" x14ac:dyDescent="0.25">
      <c r="F437" s="51"/>
      <c r="G437" s="618" t="s">
        <v>73</v>
      </c>
      <c r="H437" s="611">
        <v>0</v>
      </c>
      <c r="I437" s="611">
        <v>0</v>
      </c>
      <c r="J437" s="611">
        <v>0</v>
      </c>
      <c r="K437" s="611">
        <v>0</v>
      </c>
      <c r="L437" s="611">
        <v>0</v>
      </c>
      <c r="M437" s="611">
        <v>0</v>
      </c>
      <c r="N437" s="611">
        <v>0</v>
      </c>
      <c r="O437" s="611">
        <v>0</v>
      </c>
      <c r="P437" s="611">
        <v>0</v>
      </c>
      <c r="Q437" s="611">
        <v>0</v>
      </c>
      <c r="R437" s="611">
        <v>0</v>
      </c>
      <c r="S437" s="611">
        <v>0</v>
      </c>
      <c r="T437" s="611">
        <v>0</v>
      </c>
      <c r="U437" s="611">
        <v>0</v>
      </c>
      <c r="V437" s="611">
        <v>0</v>
      </c>
      <c r="W437" s="611">
        <v>46.345987464156821</v>
      </c>
      <c r="X437" s="611">
        <v>0</v>
      </c>
      <c r="Y437" s="611">
        <v>-31.747001412947427</v>
      </c>
      <c r="Z437" s="619">
        <v>14.598986051209394</v>
      </c>
      <c r="AA437" s="51"/>
    </row>
    <row r="438" spans="6:27" x14ac:dyDescent="0.25">
      <c r="F438" s="51"/>
      <c r="G438" s="618" t="s">
        <v>353</v>
      </c>
      <c r="H438" s="611">
        <v>8.5250206054687503</v>
      </c>
      <c r="I438" s="611">
        <v>-8.2879547974433478</v>
      </c>
      <c r="J438" s="611">
        <v>10.994009966120005</v>
      </c>
      <c r="K438" s="611">
        <v>0</v>
      </c>
      <c r="L438" s="611">
        <v>0</v>
      </c>
      <c r="M438" s="611">
        <v>0</v>
      </c>
      <c r="N438" s="611">
        <v>0</v>
      </c>
      <c r="O438" s="611">
        <v>0</v>
      </c>
      <c r="P438" s="611">
        <v>0</v>
      </c>
      <c r="Q438" s="611">
        <v>0</v>
      </c>
      <c r="R438" s="611">
        <v>0</v>
      </c>
      <c r="S438" s="611">
        <v>0</v>
      </c>
      <c r="T438" s="611">
        <v>0</v>
      </c>
      <c r="U438" s="611">
        <v>0</v>
      </c>
      <c r="V438" s="611">
        <v>0</v>
      </c>
      <c r="W438" s="611">
        <v>0</v>
      </c>
      <c r="X438" s="611">
        <v>0</v>
      </c>
      <c r="Y438" s="611">
        <v>0</v>
      </c>
      <c r="Z438" s="619">
        <v>11.231075774145408</v>
      </c>
      <c r="AA438" s="51"/>
    </row>
    <row r="439" spans="6:27" x14ac:dyDescent="0.25">
      <c r="F439" s="51"/>
      <c r="G439" s="618" t="s">
        <v>75</v>
      </c>
      <c r="H439" s="611">
        <v>3.3152857910156257</v>
      </c>
      <c r="I439" s="611">
        <v>0</v>
      </c>
      <c r="J439" s="611">
        <v>8.217345528971137</v>
      </c>
      <c r="K439" s="611">
        <v>0</v>
      </c>
      <c r="L439" s="611">
        <v>0</v>
      </c>
      <c r="M439" s="611">
        <v>0</v>
      </c>
      <c r="N439" s="611">
        <v>0</v>
      </c>
      <c r="O439" s="611">
        <v>0</v>
      </c>
      <c r="P439" s="611">
        <v>0</v>
      </c>
      <c r="Q439" s="611">
        <v>0</v>
      </c>
      <c r="R439" s="611">
        <v>0</v>
      </c>
      <c r="S439" s="611">
        <v>0</v>
      </c>
      <c r="T439" s="611">
        <v>0</v>
      </c>
      <c r="U439" s="611">
        <v>0</v>
      </c>
      <c r="V439" s="611">
        <v>0</v>
      </c>
      <c r="W439" s="620">
        <v>38.800105175182054</v>
      </c>
      <c r="X439" s="611">
        <v>0</v>
      </c>
      <c r="Y439" s="611">
        <v>2.3301224997410235</v>
      </c>
      <c r="Z439" s="619">
        <v>52.66285899490984</v>
      </c>
      <c r="AA439" s="51"/>
    </row>
    <row r="440" spans="6:27" x14ac:dyDescent="0.25">
      <c r="F440" s="51"/>
      <c r="G440" s="618" t="s">
        <v>76</v>
      </c>
      <c r="H440" s="611">
        <v>0</v>
      </c>
      <c r="I440" s="611">
        <v>0</v>
      </c>
      <c r="J440" s="611">
        <v>0</v>
      </c>
      <c r="K440" s="611">
        <v>0</v>
      </c>
      <c r="L440" s="611">
        <v>1.1543235485411594</v>
      </c>
      <c r="M440" s="611">
        <v>0</v>
      </c>
      <c r="N440" s="611">
        <v>0</v>
      </c>
      <c r="O440" s="611">
        <v>0</v>
      </c>
      <c r="P440" s="611">
        <v>0</v>
      </c>
      <c r="Q440" s="611">
        <v>0</v>
      </c>
      <c r="R440" s="611">
        <v>0</v>
      </c>
      <c r="S440" s="611">
        <v>0.76954903236077299</v>
      </c>
      <c r="T440" s="611">
        <v>0</v>
      </c>
      <c r="U440" s="611">
        <v>0</v>
      </c>
      <c r="V440" s="611">
        <v>0</v>
      </c>
      <c r="W440" s="611">
        <v>55.568340190332414</v>
      </c>
      <c r="X440" s="611">
        <v>7.0126401757775509</v>
      </c>
      <c r="Y440" s="611">
        <v>0</v>
      </c>
      <c r="Z440" s="619">
        <v>64.504852947011898</v>
      </c>
      <c r="AA440" s="51"/>
    </row>
    <row r="441" spans="6:27" x14ac:dyDescent="0.25">
      <c r="F441" s="51"/>
      <c r="G441" s="614" t="s">
        <v>77</v>
      </c>
      <c r="H441" s="615">
        <v>11.840306396484376</v>
      </c>
      <c r="I441" s="615">
        <v>228.52698065701114</v>
      </c>
      <c r="J441" s="615">
        <v>-215.16927865141872</v>
      </c>
      <c r="K441" s="615">
        <v>-5.3675968512762449</v>
      </c>
      <c r="L441" s="615">
        <v>14.951693796815011</v>
      </c>
      <c r="M441" s="615">
        <v>-0.99259685127624475</v>
      </c>
      <c r="N441" s="615">
        <v>1217.3350254612858</v>
      </c>
      <c r="O441" s="615">
        <v>388.29502398919544</v>
      </c>
      <c r="P441" s="615">
        <v>255.15325459036612</v>
      </c>
      <c r="Q441" s="615">
        <v>38.768704949841634</v>
      </c>
      <c r="R441" s="615">
        <v>-49.800698638984656</v>
      </c>
      <c r="S441" s="615">
        <v>-56.411694494246213</v>
      </c>
      <c r="T441" s="615">
        <v>3.4642327407538054</v>
      </c>
      <c r="U441" s="615">
        <v>13.539968044487557</v>
      </c>
      <c r="V441" s="615">
        <v>22.157257652094906</v>
      </c>
      <c r="W441" s="615">
        <v>-664.74747380843064</v>
      </c>
      <c r="X441" s="615">
        <v>-83.423802565967307</v>
      </c>
      <c r="Y441" s="615">
        <v>-19.246415638918862</v>
      </c>
      <c r="Z441" s="615">
        <v>1098.8728907778168</v>
      </c>
      <c r="AA441" s="51"/>
    </row>
    <row r="442" spans="6:27" x14ac:dyDescent="0.25">
      <c r="F442" s="51"/>
      <c r="G442" s="616"/>
      <c r="H442" s="617"/>
      <c r="I442" s="617"/>
      <c r="J442" s="617"/>
      <c r="K442" s="617"/>
      <c r="L442" s="617"/>
      <c r="M442" s="617"/>
      <c r="N442" s="617"/>
      <c r="O442" s="617"/>
      <c r="P442" s="617"/>
      <c r="Q442" s="617"/>
      <c r="R442" s="617"/>
      <c r="S442" s="617"/>
      <c r="T442" s="617"/>
      <c r="U442" s="617"/>
      <c r="V442" s="617"/>
      <c r="W442" s="617"/>
      <c r="X442" s="617"/>
      <c r="Y442" s="617"/>
      <c r="Z442" s="617"/>
      <c r="AA442" s="51"/>
    </row>
    <row r="443" spans="6:27" x14ac:dyDescent="0.25">
      <c r="F443" s="51"/>
      <c r="G443" s="618" t="s">
        <v>78</v>
      </c>
      <c r="H443" s="611">
        <v>0.31248754882812502</v>
      </c>
      <c r="I443" s="611">
        <v>0</v>
      </c>
      <c r="J443" s="611">
        <v>3.1554639427466697</v>
      </c>
      <c r="K443" s="611">
        <v>0</v>
      </c>
      <c r="L443" s="611">
        <v>37.01033714688981</v>
      </c>
      <c r="M443" s="620">
        <v>0</v>
      </c>
      <c r="N443" s="611">
        <v>0</v>
      </c>
      <c r="O443" s="611">
        <v>0</v>
      </c>
      <c r="P443" s="611">
        <v>37.391289864504934</v>
      </c>
      <c r="Q443" s="611">
        <v>8.8042095890605694</v>
      </c>
      <c r="R443" s="611">
        <v>0.65571165030445222</v>
      </c>
      <c r="S443" s="611">
        <v>24.712220905509611</v>
      </c>
      <c r="T443" s="611">
        <v>10.938740234375</v>
      </c>
      <c r="U443" s="611">
        <v>0</v>
      </c>
      <c r="V443" s="611">
        <v>7.8820466826144567E-4</v>
      </c>
      <c r="W443" s="611">
        <v>154.95335920514725</v>
      </c>
      <c r="X443" s="611">
        <v>19.589550837757145</v>
      </c>
      <c r="Y443" s="611">
        <v>8.8214501953125009</v>
      </c>
      <c r="Z443" s="619">
        <v>306.34560932510431</v>
      </c>
      <c r="AA443" s="51"/>
    </row>
    <row r="444" spans="6:27" x14ac:dyDescent="0.25">
      <c r="F444" s="51"/>
      <c r="G444" s="618" t="s">
        <v>79</v>
      </c>
      <c r="H444" s="611">
        <v>0</v>
      </c>
      <c r="I444" s="611">
        <v>0</v>
      </c>
      <c r="J444" s="611">
        <v>101.77401649068347</v>
      </c>
      <c r="K444" s="611">
        <v>1</v>
      </c>
      <c r="L444" s="611">
        <v>4.5438942798277537</v>
      </c>
      <c r="M444" s="620">
        <v>0</v>
      </c>
      <c r="N444" s="611">
        <v>0</v>
      </c>
      <c r="O444" s="611">
        <v>0</v>
      </c>
      <c r="P444" s="611">
        <v>0</v>
      </c>
      <c r="Q444" s="611">
        <v>0</v>
      </c>
      <c r="R444" s="611">
        <v>35.960574276816558</v>
      </c>
      <c r="S444" s="611">
        <v>3.0292628532185026</v>
      </c>
      <c r="T444" s="611">
        <v>0</v>
      </c>
      <c r="U444" s="611">
        <v>0</v>
      </c>
      <c r="V444" s="611">
        <v>0</v>
      </c>
      <c r="W444" s="611">
        <v>98.588545998647945</v>
      </c>
      <c r="X444" s="611">
        <v>0</v>
      </c>
      <c r="Y444" s="611">
        <v>4.4541562271539039</v>
      </c>
      <c r="Z444" s="619">
        <v>249.35045012634814</v>
      </c>
      <c r="AA444" s="51"/>
    </row>
    <row r="445" spans="6:27" x14ac:dyDescent="0.25">
      <c r="F445" s="51"/>
      <c r="G445" s="618" t="s">
        <v>80</v>
      </c>
      <c r="H445" s="611">
        <v>0</v>
      </c>
      <c r="I445" s="611">
        <v>0</v>
      </c>
      <c r="J445" s="611">
        <v>0.45829125770018231</v>
      </c>
      <c r="K445" s="611">
        <v>0</v>
      </c>
      <c r="L445" s="611">
        <v>23.558204689169596</v>
      </c>
      <c r="M445" s="620">
        <v>0</v>
      </c>
      <c r="N445" s="611">
        <v>0</v>
      </c>
      <c r="O445" s="611">
        <v>0</v>
      </c>
      <c r="P445" s="611">
        <v>44.494417008077924</v>
      </c>
      <c r="Q445" s="611">
        <v>0</v>
      </c>
      <c r="R445" s="611">
        <v>0</v>
      </c>
      <c r="S445" s="611">
        <v>15.705469792779732</v>
      </c>
      <c r="T445" s="611">
        <v>136.92844956569715</v>
      </c>
      <c r="U445" s="611">
        <v>0</v>
      </c>
      <c r="V445" s="611">
        <v>11.112810725871574</v>
      </c>
      <c r="W445" s="611">
        <v>151.24868898897191</v>
      </c>
      <c r="X445" s="611">
        <v>40.573888251039236</v>
      </c>
      <c r="Y445" s="611">
        <v>0</v>
      </c>
      <c r="Z445" s="619">
        <v>424.0802202793073</v>
      </c>
      <c r="AA445" s="51"/>
    </row>
    <row r="446" spans="6:27" x14ac:dyDescent="0.25">
      <c r="F446" s="51"/>
      <c r="G446" s="618" t="s">
        <v>81</v>
      </c>
      <c r="H446" s="611">
        <v>0</v>
      </c>
      <c r="I446" s="611">
        <v>0</v>
      </c>
      <c r="J446" s="611">
        <v>0.72441471608254671</v>
      </c>
      <c r="K446" s="611">
        <v>0</v>
      </c>
      <c r="L446" s="611">
        <v>16.529932147980702</v>
      </c>
      <c r="M446" s="620">
        <v>0</v>
      </c>
      <c r="N446" s="611">
        <v>0</v>
      </c>
      <c r="O446" s="611">
        <v>0</v>
      </c>
      <c r="P446" s="611">
        <v>0.53348745170182088</v>
      </c>
      <c r="Q446" s="611">
        <v>0</v>
      </c>
      <c r="R446" s="611">
        <v>0</v>
      </c>
      <c r="S446" s="611">
        <v>11.019954765320469</v>
      </c>
      <c r="T446" s="611">
        <v>52.106590615041483</v>
      </c>
      <c r="U446" s="611">
        <v>0</v>
      </c>
      <c r="V446" s="611">
        <v>10.099133053150796</v>
      </c>
      <c r="W446" s="611">
        <v>121.37238070067973</v>
      </c>
      <c r="X446" s="611">
        <v>23.260331591038877</v>
      </c>
      <c r="Y446" s="611">
        <v>0</v>
      </c>
      <c r="Z446" s="619">
        <v>235.6462250409964</v>
      </c>
      <c r="AA446" s="51"/>
    </row>
    <row r="447" spans="6:27" x14ac:dyDescent="0.25">
      <c r="F447" s="51"/>
      <c r="G447" s="618" t="s">
        <v>82</v>
      </c>
      <c r="H447" s="611">
        <v>0</v>
      </c>
      <c r="I447" s="611">
        <v>0</v>
      </c>
      <c r="J447" s="611">
        <v>13.844421020879521</v>
      </c>
      <c r="K447" s="611">
        <v>0</v>
      </c>
      <c r="L447" s="611">
        <v>0.75389053295489317</v>
      </c>
      <c r="M447" s="620">
        <v>0</v>
      </c>
      <c r="N447" s="611">
        <v>0</v>
      </c>
      <c r="O447" s="611">
        <v>0</v>
      </c>
      <c r="P447" s="611">
        <v>15.52633161671044</v>
      </c>
      <c r="Q447" s="611">
        <v>0</v>
      </c>
      <c r="R447" s="611">
        <v>6.9560280843062596</v>
      </c>
      <c r="S447" s="611">
        <v>0.50259368863659548</v>
      </c>
      <c r="T447" s="611">
        <v>1</v>
      </c>
      <c r="U447" s="611">
        <v>0</v>
      </c>
      <c r="V447" s="611">
        <v>1.300620381405156</v>
      </c>
      <c r="W447" s="611">
        <v>9.5059865656589242</v>
      </c>
      <c r="X447" s="611">
        <v>0</v>
      </c>
      <c r="Y447" s="611">
        <v>0.43956597389567681</v>
      </c>
      <c r="Z447" s="619">
        <v>49.829437864447456</v>
      </c>
      <c r="AA447" s="51"/>
    </row>
    <row r="448" spans="6:27" x14ac:dyDescent="0.25">
      <c r="F448" s="51"/>
      <c r="G448" s="618" t="s">
        <v>354</v>
      </c>
      <c r="H448" s="611">
        <v>0</v>
      </c>
      <c r="I448" s="611">
        <v>0</v>
      </c>
      <c r="J448" s="611">
        <v>0</v>
      </c>
      <c r="K448" s="611">
        <v>0</v>
      </c>
      <c r="L448" s="611">
        <v>0</v>
      </c>
      <c r="M448" s="611">
        <v>0</v>
      </c>
      <c r="N448" s="611">
        <v>0</v>
      </c>
      <c r="O448" s="611">
        <v>0</v>
      </c>
      <c r="P448" s="611">
        <v>0</v>
      </c>
      <c r="Q448" s="611">
        <v>0</v>
      </c>
      <c r="R448" s="611">
        <v>0</v>
      </c>
      <c r="S448" s="611">
        <v>0</v>
      </c>
      <c r="T448" s="611">
        <v>0</v>
      </c>
      <c r="U448" s="611">
        <v>0</v>
      </c>
      <c r="V448" s="611">
        <v>0</v>
      </c>
      <c r="W448" s="611">
        <v>3.6</v>
      </c>
      <c r="X448" s="611">
        <v>0</v>
      </c>
      <c r="Y448" s="611">
        <v>0</v>
      </c>
      <c r="Z448" s="619">
        <v>3.6</v>
      </c>
      <c r="AA448" s="51"/>
    </row>
    <row r="449" spans="6:27" x14ac:dyDescent="0.25">
      <c r="F449" s="51"/>
      <c r="G449" s="614" t="s">
        <v>83</v>
      </c>
      <c r="H449" s="615">
        <v>0.31248754882812502</v>
      </c>
      <c r="I449" s="615">
        <v>0</v>
      </c>
      <c r="J449" s="615">
        <v>119.95660742809238</v>
      </c>
      <c r="K449" s="615">
        <v>1</v>
      </c>
      <c r="L449" s="615">
        <v>82.396258796822764</v>
      </c>
      <c r="M449" s="615">
        <v>0</v>
      </c>
      <c r="N449" s="615">
        <v>0</v>
      </c>
      <c r="O449" s="615">
        <v>0</v>
      </c>
      <c r="P449" s="615">
        <v>97.945525940995111</v>
      </c>
      <c r="Q449" s="615">
        <v>8.8042095890605694</v>
      </c>
      <c r="R449" s="615">
        <v>43.572314011427274</v>
      </c>
      <c r="S449" s="615">
        <v>54.969502005464911</v>
      </c>
      <c r="T449" s="615">
        <v>200.97378041511362</v>
      </c>
      <c r="U449" s="615">
        <v>0</v>
      </c>
      <c r="V449" s="615">
        <v>22.513352365095788</v>
      </c>
      <c r="W449" s="615">
        <v>539.26896145910575</v>
      </c>
      <c r="X449" s="615">
        <v>83.423770679835258</v>
      </c>
      <c r="Y449" s="615">
        <v>13.715172396362082</v>
      </c>
      <c r="Z449" s="615">
        <v>1268.8519426362036</v>
      </c>
      <c r="AA449" s="51"/>
    </row>
    <row r="450" spans="6:27" x14ac:dyDescent="0.25">
      <c r="F450" s="51"/>
      <c r="G450" s="610" t="s">
        <v>84</v>
      </c>
      <c r="H450" s="611">
        <v>0</v>
      </c>
      <c r="I450" s="611">
        <v>0</v>
      </c>
      <c r="J450" s="611">
        <v>102.03544321387012</v>
      </c>
      <c r="K450" s="611">
        <v>2.4611725721851321</v>
      </c>
      <c r="L450" s="611">
        <v>12.555456003161671</v>
      </c>
      <c r="M450" s="611">
        <v>0</v>
      </c>
      <c r="N450" s="611">
        <v>0</v>
      </c>
      <c r="O450" s="611">
        <v>0</v>
      </c>
      <c r="P450" s="720">
        <v>0.48630321782953712</v>
      </c>
      <c r="Q450" s="611">
        <v>0</v>
      </c>
      <c r="R450" s="611">
        <v>3.8692083880096835</v>
      </c>
      <c r="S450" s="611">
        <v>0</v>
      </c>
      <c r="T450" s="611">
        <v>0</v>
      </c>
      <c r="U450" s="611">
        <v>0</v>
      </c>
      <c r="V450" s="611">
        <v>0</v>
      </c>
      <c r="W450" s="611">
        <v>0</v>
      </c>
      <c r="X450" s="611">
        <v>0</v>
      </c>
      <c r="Y450" s="611">
        <v>1.8671101278544562</v>
      </c>
      <c r="Z450" s="619">
        <v>123.27469352291061</v>
      </c>
      <c r="AA450" s="51"/>
    </row>
    <row r="451" spans="6:27" x14ac:dyDescent="0.25">
      <c r="F451" s="51"/>
      <c r="G451" s="614" t="s">
        <v>85</v>
      </c>
      <c r="H451" s="615">
        <v>0.31248754882812502</v>
      </c>
      <c r="I451" s="615">
        <v>0</v>
      </c>
      <c r="J451" s="615">
        <v>221.99205064196252</v>
      </c>
      <c r="K451" s="615">
        <v>3.4611725721851321</v>
      </c>
      <c r="L451" s="615">
        <v>94.95171479998443</v>
      </c>
      <c r="M451" s="615">
        <v>0</v>
      </c>
      <c r="N451" s="615">
        <v>0</v>
      </c>
      <c r="O451" s="615">
        <v>0</v>
      </c>
      <c r="P451" s="615">
        <v>98.431829158824655</v>
      </c>
      <c r="Q451" s="615">
        <v>8.8042095890605694</v>
      </c>
      <c r="R451" s="615">
        <v>47.441522399436955</v>
      </c>
      <c r="S451" s="615">
        <v>54.969502005464911</v>
      </c>
      <c r="T451" s="615">
        <v>200.97378041511362</v>
      </c>
      <c r="U451" s="615">
        <v>0</v>
      </c>
      <c r="V451" s="615">
        <v>22.513352365095788</v>
      </c>
      <c r="W451" s="615">
        <v>539.26896145910575</v>
      </c>
      <c r="X451" s="615">
        <v>83.423770679835258</v>
      </c>
      <c r="Y451" s="615">
        <v>15.582282524216538</v>
      </c>
      <c r="Z451" s="615">
        <v>1392.1266361591142</v>
      </c>
      <c r="AA451" s="51"/>
    </row>
    <row r="452" spans="6:27" x14ac:dyDescent="0.25">
      <c r="F452" s="51"/>
      <c r="G452" s="51"/>
      <c r="H452" s="67">
        <v>0</v>
      </c>
      <c r="I452" s="67">
        <v>0</v>
      </c>
      <c r="J452" s="67">
        <v>5.6843418860808015E-14</v>
      </c>
      <c r="K452" s="67">
        <v>0</v>
      </c>
      <c r="L452" s="67">
        <v>0</v>
      </c>
      <c r="M452" s="67">
        <v>0</v>
      </c>
      <c r="N452" s="67">
        <v>0</v>
      </c>
      <c r="O452" s="67">
        <v>0</v>
      </c>
      <c r="P452" s="67">
        <v>0</v>
      </c>
      <c r="Q452" s="67">
        <v>0</v>
      </c>
      <c r="R452" s="67">
        <v>0</v>
      </c>
      <c r="S452" s="67">
        <v>1.9984014443252818E-15</v>
      </c>
      <c r="T452" s="67">
        <v>0</v>
      </c>
      <c r="U452" s="67">
        <v>0</v>
      </c>
      <c r="V452" s="67">
        <v>0</v>
      </c>
      <c r="W452" s="67">
        <v>0</v>
      </c>
      <c r="X452" s="721">
        <v>-3.1886132049407934E-5</v>
      </c>
      <c r="Y452" s="67">
        <v>0</v>
      </c>
      <c r="Z452" s="67">
        <v>-3.1886131637293147E-5</v>
      </c>
      <c r="AA452" s="51"/>
    </row>
    <row r="453" spans="6:27" x14ac:dyDescent="0.25">
      <c r="F453" s="51"/>
      <c r="G453" s="51"/>
      <c r="H453" s="51"/>
      <c r="I453" s="51"/>
      <c r="J453" s="51"/>
      <c r="K453" s="67"/>
      <c r="L453" s="51"/>
      <c r="M453" s="51"/>
      <c r="N453" s="51"/>
      <c r="O453" s="51"/>
      <c r="P453" s="51"/>
      <c r="Q453" s="51"/>
      <c r="R453" s="51"/>
      <c r="S453" s="51"/>
      <c r="T453" s="51"/>
      <c r="U453" s="51"/>
      <c r="V453" s="51"/>
      <c r="W453" s="51"/>
      <c r="X453" s="51"/>
      <c r="Y453" s="51"/>
      <c r="Z453" s="51"/>
      <c r="AA453" s="51"/>
    </row>
    <row r="454" spans="6:27" x14ac:dyDescent="0.25">
      <c r="F454" s="606"/>
      <c r="G454" s="607" t="s">
        <v>518</v>
      </c>
      <c r="H454" s="606"/>
      <c r="I454" s="606"/>
      <c r="J454" s="606"/>
      <c r="K454" s="682"/>
      <c r="L454" s="606"/>
      <c r="M454" s="606"/>
      <c r="N454" s="606"/>
      <c r="O454" s="606"/>
      <c r="P454" s="606"/>
      <c r="Q454" s="606"/>
      <c r="R454" s="606"/>
      <c r="S454" s="606"/>
      <c r="T454" s="606"/>
      <c r="U454" s="606"/>
      <c r="V454" s="606"/>
      <c r="W454" s="606"/>
      <c r="X454" s="606"/>
      <c r="Y454" s="606"/>
      <c r="Z454" s="606"/>
      <c r="AA454" s="606"/>
    </row>
    <row r="455" spans="6:27" x14ac:dyDescent="0.25">
      <c r="F455" s="51"/>
      <c r="G455" s="51"/>
      <c r="H455" s="51"/>
      <c r="I455" s="51"/>
      <c r="J455" s="51"/>
      <c r="K455" s="67"/>
      <c r="L455" s="51"/>
      <c r="M455" s="51"/>
      <c r="N455" s="51"/>
      <c r="O455" s="51"/>
      <c r="P455" s="51"/>
      <c r="Q455" s="51"/>
      <c r="R455" s="51"/>
      <c r="S455" s="51"/>
      <c r="T455" s="51"/>
      <c r="U455" s="51"/>
      <c r="V455" s="51"/>
      <c r="W455" s="51"/>
      <c r="X455" s="51"/>
      <c r="Y455" s="51"/>
      <c r="Z455" s="51"/>
      <c r="AA455" s="51"/>
    </row>
    <row r="456" spans="6:27" x14ac:dyDescent="0.25">
      <c r="F456" s="51"/>
      <c r="G456" s="764" t="s">
        <v>128</v>
      </c>
      <c r="H456" s="753" t="s">
        <v>42</v>
      </c>
      <c r="I456" s="753" t="s">
        <v>52</v>
      </c>
      <c r="J456" s="753" t="s">
        <v>53</v>
      </c>
      <c r="K456" s="766" t="s">
        <v>482</v>
      </c>
      <c r="L456" s="753" t="s">
        <v>32</v>
      </c>
      <c r="M456" s="753" t="s">
        <v>483</v>
      </c>
      <c r="N456" s="753" t="s">
        <v>20</v>
      </c>
      <c r="O456" s="753" t="s">
        <v>55</v>
      </c>
      <c r="P456" s="761" t="s">
        <v>56</v>
      </c>
      <c r="Q456" s="762"/>
      <c r="R456" s="762"/>
      <c r="S456" s="762"/>
      <c r="T456" s="762"/>
      <c r="U456" s="762"/>
      <c r="V456" s="763"/>
      <c r="W456" s="753" t="s">
        <v>57</v>
      </c>
      <c r="X456" s="753" t="s">
        <v>58</v>
      </c>
      <c r="Y456" s="753" t="s">
        <v>31</v>
      </c>
      <c r="Z456" s="753" t="s">
        <v>10</v>
      </c>
      <c r="AA456" s="51"/>
    </row>
    <row r="457" spans="6:27" ht="36" x14ac:dyDescent="0.25">
      <c r="F457" s="51"/>
      <c r="G457" s="765"/>
      <c r="H457" s="754"/>
      <c r="I457" s="754"/>
      <c r="J457" s="754"/>
      <c r="K457" s="767"/>
      <c r="L457" s="754"/>
      <c r="M457" s="754"/>
      <c r="N457" s="754"/>
      <c r="O457" s="754"/>
      <c r="P457" s="608" t="s">
        <v>335</v>
      </c>
      <c r="Q457" s="608" t="s">
        <v>40</v>
      </c>
      <c r="R457" s="608" t="s">
        <v>343</v>
      </c>
      <c r="S457" s="608" t="s">
        <v>344</v>
      </c>
      <c r="T457" s="609" t="s">
        <v>345</v>
      </c>
      <c r="U457" s="609" t="s">
        <v>609</v>
      </c>
      <c r="V457" s="608" t="s">
        <v>346</v>
      </c>
      <c r="W457" s="754"/>
      <c r="X457" s="754"/>
      <c r="Y457" s="754"/>
      <c r="Z457" s="754"/>
      <c r="AA457" s="51"/>
    </row>
    <row r="458" spans="6:27" x14ac:dyDescent="0.25">
      <c r="F458" s="51"/>
      <c r="G458" s="610" t="s">
        <v>59</v>
      </c>
      <c r="H458" s="611">
        <v>0</v>
      </c>
      <c r="I458" s="611">
        <v>0</v>
      </c>
      <c r="J458" s="611">
        <v>0</v>
      </c>
      <c r="K458" s="611">
        <v>0</v>
      </c>
      <c r="L458" s="611">
        <v>0</v>
      </c>
      <c r="M458" s="611">
        <v>0</v>
      </c>
      <c r="N458" s="612">
        <v>1099.5846392966657</v>
      </c>
      <c r="O458" s="612">
        <v>432.558137271254</v>
      </c>
      <c r="P458" s="720">
        <v>366.60157244104857</v>
      </c>
      <c r="Q458" s="612">
        <v>46.101085198672763</v>
      </c>
      <c r="R458" s="611">
        <v>0</v>
      </c>
      <c r="S458" s="611">
        <v>0</v>
      </c>
      <c r="T458" s="612">
        <v>215.56391579758809</v>
      </c>
      <c r="U458" s="612">
        <v>13.244674703421438</v>
      </c>
      <c r="V458" s="612">
        <v>44.117114546253134</v>
      </c>
      <c r="W458" s="611">
        <v>0</v>
      </c>
      <c r="X458" s="611">
        <v>0</v>
      </c>
      <c r="Y458" s="611">
        <v>0</v>
      </c>
      <c r="Z458" s="613">
        <v>2217.7711392549036</v>
      </c>
      <c r="AA458" s="51"/>
    </row>
    <row r="459" spans="6:27" x14ac:dyDescent="0.25">
      <c r="F459" s="51"/>
      <c r="G459" s="610" t="s">
        <v>60</v>
      </c>
      <c r="H459" s="611">
        <v>4.7190318603515626</v>
      </c>
      <c r="I459" s="611">
        <v>177.55502583689511</v>
      </c>
      <c r="J459" s="611">
        <v>35.526382887078427</v>
      </c>
      <c r="K459" s="611">
        <v>8.2447057853181924</v>
      </c>
      <c r="L459" s="620">
        <v>93.790704319687649</v>
      </c>
      <c r="M459" s="611">
        <v>0</v>
      </c>
      <c r="N459" s="611">
        <v>0</v>
      </c>
      <c r="O459" s="611">
        <v>0</v>
      </c>
      <c r="P459" s="720">
        <v>7.7767614364420297</v>
      </c>
      <c r="Q459" s="611">
        <v>0</v>
      </c>
      <c r="R459" s="611">
        <v>7.7564977806323299</v>
      </c>
      <c r="S459" s="611">
        <v>0</v>
      </c>
      <c r="T459" s="611">
        <v>0</v>
      </c>
      <c r="U459" s="611">
        <v>0</v>
      </c>
      <c r="V459" s="611">
        <v>0</v>
      </c>
      <c r="W459" s="611">
        <v>0</v>
      </c>
      <c r="X459" s="611">
        <v>0</v>
      </c>
      <c r="Y459" s="611">
        <v>0</v>
      </c>
      <c r="Z459" s="613">
        <v>335.3691099064053</v>
      </c>
      <c r="AA459" s="51"/>
    </row>
    <row r="460" spans="6:27" x14ac:dyDescent="0.25">
      <c r="F460" s="51"/>
      <c r="G460" s="610" t="s">
        <v>61</v>
      </c>
      <c r="H460" s="611">
        <v>0</v>
      </c>
      <c r="I460" s="611">
        <v>0</v>
      </c>
      <c r="J460" s="611">
        <v>0</v>
      </c>
      <c r="K460" s="611">
        <v>0</v>
      </c>
      <c r="L460" s="611">
        <v>0</v>
      </c>
      <c r="M460" s="611">
        <v>0</v>
      </c>
      <c r="N460" s="611">
        <v>0</v>
      </c>
      <c r="O460" s="611">
        <v>0</v>
      </c>
      <c r="P460" s="611">
        <v>0</v>
      </c>
      <c r="Q460" s="611">
        <v>0</v>
      </c>
      <c r="R460" s="611">
        <v>0</v>
      </c>
      <c r="S460" s="611">
        <v>-11.927582935629047</v>
      </c>
      <c r="T460" s="611">
        <v>0</v>
      </c>
      <c r="U460" s="611">
        <v>0</v>
      </c>
      <c r="V460" s="611">
        <v>0</v>
      </c>
      <c r="W460" s="611">
        <v>-91.926243378286927</v>
      </c>
      <c r="X460" s="611">
        <v>0</v>
      </c>
      <c r="Y460" s="611">
        <v>0</v>
      </c>
      <c r="Z460" s="613">
        <v>-103.85382631391597</v>
      </c>
      <c r="AA460" s="51"/>
    </row>
    <row r="461" spans="6:27" x14ac:dyDescent="0.25">
      <c r="F461" s="51"/>
      <c r="G461" s="610" t="s">
        <v>62</v>
      </c>
      <c r="H461" s="611">
        <v>0</v>
      </c>
      <c r="I461" s="611">
        <v>0</v>
      </c>
      <c r="J461" s="611">
        <v>-3.9597709546196729</v>
      </c>
      <c r="K461" s="611">
        <v>-1.6687304711455928</v>
      </c>
      <c r="L461" s="611">
        <v>0</v>
      </c>
      <c r="M461" s="611">
        <v>-1.7692389987108714</v>
      </c>
      <c r="N461" s="611">
        <v>0</v>
      </c>
      <c r="O461" s="611">
        <v>0</v>
      </c>
      <c r="P461" s="611">
        <v>0</v>
      </c>
      <c r="Q461" s="611">
        <v>0</v>
      </c>
      <c r="R461" s="611">
        <v>0</v>
      </c>
      <c r="S461" s="611">
        <v>-1.504748971161108</v>
      </c>
      <c r="T461" s="611">
        <v>0</v>
      </c>
      <c r="U461" s="611">
        <v>0</v>
      </c>
      <c r="V461" s="611">
        <v>0</v>
      </c>
      <c r="W461" s="611">
        <v>0</v>
      </c>
      <c r="X461" s="611">
        <v>0</v>
      </c>
      <c r="Y461" s="611">
        <v>-0.86329073643245491</v>
      </c>
      <c r="Z461" s="613">
        <v>-9.7657801320697004</v>
      </c>
      <c r="AA461" s="51"/>
    </row>
    <row r="462" spans="6:27" x14ac:dyDescent="0.25">
      <c r="F462" s="51"/>
      <c r="G462" s="610" t="s">
        <v>63</v>
      </c>
      <c r="H462" s="611">
        <v>0</v>
      </c>
      <c r="I462" s="611">
        <v>0</v>
      </c>
      <c r="J462" s="611">
        <v>-32.199999999999996</v>
      </c>
      <c r="K462" s="611">
        <v>-12.8</v>
      </c>
      <c r="L462" s="611">
        <v>0</v>
      </c>
      <c r="M462" s="611">
        <v>0</v>
      </c>
      <c r="N462" s="611">
        <v>0</v>
      </c>
      <c r="O462" s="611">
        <v>0</v>
      </c>
      <c r="P462" s="611">
        <v>0</v>
      </c>
      <c r="Q462" s="611">
        <v>0</v>
      </c>
      <c r="R462" s="611">
        <v>-15.600000000000001</v>
      </c>
      <c r="S462" s="611">
        <v>0</v>
      </c>
      <c r="T462" s="611">
        <v>0</v>
      </c>
      <c r="U462" s="611">
        <v>0</v>
      </c>
      <c r="V462" s="611">
        <v>0</v>
      </c>
      <c r="W462" s="611">
        <v>0</v>
      </c>
      <c r="X462" s="611">
        <v>0</v>
      </c>
      <c r="Y462" s="611">
        <v>-4.2</v>
      </c>
      <c r="Z462" s="613">
        <v>-64.8</v>
      </c>
      <c r="AA462" s="51"/>
    </row>
    <row r="463" spans="6:27" x14ac:dyDescent="0.25">
      <c r="F463" s="51"/>
      <c r="G463" s="610" t="s">
        <v>64</v>
      </c>
      <c r="H463" s="611">
        <v>0</v>
      </c>
      <c r="I463" s="611">
        <v>0</v>
      </c>
      <c r="J463" s="611">
        <v>0</v>
      </c>
      <c r="K463" s="611">
        <v>0</v>
      </c>
      <c r="L463" s="611">
        <v>0</v>
      </c>
      <c r="M463" s="611">
        <v>0</v>
      </c>
      <c r="N463" s="611">
        <v>0</v>
      </c>
      <c r="O463" s="611">
        <v>0</v>
      </c>
      <c r="P463" s="611">
        <v>0</v>
      </c>
      <c r="Q463" s="611">
        <v>0</v>
      </c>
      <c r="R463" s="611">
        <v>0</v>
      </c>
      <c r="S463" s="611">
        <v>0</v>
      </c>
      <c r="T463" s="611">
        <v>0</v>
      </c>
      <c r="U463" s="611">
        <v>0</v>
      </c>
      <c r="V463" s="611">
        <v>0</v>
      </c>
      <c r="W463" s="611">
        <v>0</v>
      </c>
      <c r="X463" s="611">
        <v>0</v>
      </c>
      <c r="Y463" s="611">
        <v>0</v>
      </c>
      <c r="Z463" s="613">
        <v>0</v>
      </c>
      <c r="AA463" s="51"/>
    </row>
    <row r="464" spans="6:27" x14ac:dyDescent="0.25">
      <c r="F464" s="51"/>
      <c r="G464" s="614" t="s">
        <v>65</v>
      </c>
      <c r="H464" s="615">
        <v>4.7190318603515626</v>
      </c>
      <c r="I464" s="615">
        <v>177.55502583689511</v>
      </c>
      <c r="J464" s="615">
        <v>-0.63338806754124022</v>
      </c>
      <c r="K464" s="615">
        <v>-6.2240246858274011</v>
      </c>
      <c r="L464" s="615">
        <v>93.790704319687649</v>
      </c>
      <c r="M464" s="615">
        <v>-1.7692389987108714</v>
      </c>
      <c r="N464" s="615">
        <v>1099.5846392966657</v>
      </c>
      <c r="O464" s="615">
        <v>432.558137271254</v>
      </c>
      <c r="P464" s="615">
        <v>374.3783338774906</v>
      </c>
      <c r="Q464" s="615">
        <v>46.101085198672763</v>
      </c>
      <c r="R464" s="615">
        <v>-7.8435022193676716</v>
      </c>
      <c r="S464" s="615">
        <v>-13.432331906790155</v>
      </c>
      <c r="T464" s="615">
        <v>215.56391579758809</v>
      </c>
      <c r="U464" s="615">
        <v>13.244674703421438</v>
      </c>
      <c r="V464" s="615">
        <v>44.117114546253134</v>
      </c>
      <c r="W464" s="615">
        <v>-91.926243378286927</v>
      </c>
      <c r="X464" s="615">
        <v>0</v>
      </c>
      <c r="Y464" s="615">
        <v>-5.0632907364324549</v>
      </c>
      <c r="Z464" s="615">
        <v>2374.7206427153233</v>
      </c>
      <c r="AA464" s="51"/>
    </row>
    <row r="465" spans="6:27" x14ac:dyDescent="0.25">
      <c r="F465" s="51"/>
      <c r="G465" s="616"/>
      <c r="H465" s="617"/>
      <c r="I465" s="617"/>
      <c r="J465" s="617"/>
      <c r="K465" s="617"/>
      <c r="L465" s="617"/>
      <c r="M465" s="617"/>
      <c r="N465" s="617"/>
      <c r="O465" s="617"/>
      <c r="P465" s="617"/>
      <c r="Q465" s="617"/>
      <c r="R465" s="617"/>
      <c r="S465" s="617"/>
      <c r="T465" s="617"/>
      <c r="U465" s="617"/>
      <c r="V465" s="617"/>
      <c r="W465" s="617"/>
      <c r="X465" s="617"/>
      <c r="Y465" s="617"/>
      <c r="Z465" s="617"/>
      <c r="AA465" s="51"/>
    </row>
    <row r="466" spans="6:27" x14ac:dyDescent="0.25">
      <c r="F466" s="51"/>
      <c r="G466" s="618" t="s">
        <v>67</v>
      </c>
      <c r="H466" s="611">
        <v>0</v>
      </c>
      <c r="I466" s="611">
        <v>0</v>
      </c>
      <c r="J466" s="611">
        <v>0</v>
      </c>
      <c r="K466" s="611">
        <v>0</v>
      </c>
      <c r="L466" s="611">
        <v>0</v>
      </c>
      <c r="M466" s="611">
        <v>0</v>
      </c>
      <c r="N466" s="611">
        <v>0</v>
      </c>
      <c r="O466" s="611">
        <v>0</v>
      </c>
      <c r="P466" s="611">
        <v>0</v>
      </c>
      <c r="Q466" s="611">
        <v>0</v>
      </c>
      <c r="R466" s="611">
        <v>0</v>
      </c>
      <c r="S466" s="611">
        <v>0</v>
      </c>
      <c r="T466" s="611">
        <v>0</v>
      </c>
      <c r="U466" s="611">
        <v>0</v>
      </c>
      <c r="V466" s="611">
        <v>0</v>
      </c>
      <c r="W466" s="611">
        <v>0</v>
      </c>
      <c r="X466" s="611">
        <v>0</v>
      </c>
      <c r="Y466" s="611">
        <v>0</v>
      </c>
      <c r="Z466" s="619">
        <v>0</v>
      </c>
      <c r="AA466" s="51"/>
    </row>
    <row r="467" spans="6:27" x14ac:dyDescent="0.25">
      <c r="F467" s="51"/>
      <c r="G467" s="618" t="s">
        <v>347</v>
      </c>
      <c r="H467" s="611">
        <v>0</v>
      </c>
      <c r="I467" s="611">
        <v>0</v>
      </c>
      <c r="J467" s="611">
        <v>2.6460781360013397E-2</v>
      </c>
      <c r="K467" s="611">
        <v>0</v>
      </c>
      <c r="L467" s="611">
        <v>2.3319683433476327E-3</v>
      </c>
      <c r="M467" s="611">
        <v>0</v>
      </c>
      <c r="N467" s="611">
        <v>1094.3390181818181</v>
      </c>
      <c r="O467" s="611">
        <v>432.558137271254</v>
      </c>
      <c r="P467" s="611">
        <v>17.878777557508954</v>
      </c>
      <c r="Q467" s="611">
        <v>5.4304217786079292</v>
      </c>
      <c r="R467" s="611">
        <v>6.0578717375904887</v>
      </c>
      <c r="S467" s="611">
        <v>0.11581039979962704</v>
      </c>
      <c r="T467" s="611">
        <v>0</v>
      </c>
      <c r="U467" s="611">
        <v>0</v>
      </c>
      <c r="V467" s="611">
        <v>6.4590957564387725</v>
      </c>
      <c r="W467" s="611">
        <v>-810.5836017522513</v>
      </c>
      <c r="X467" s="611">
        <v>0</v>
      </c>
      <c r="Y467" s="611">
        <v>0</v>
      </c>
      <c r="Z467" s="619">
        <v>752.28432368046992</v>
      </c>
      <c r="AA467" s="51"/>
    </row>
    <row r="468" spans="6:27" x14ac:dyDescent="0.25">
      <c r="F468" s="51"/>
      <c r="G468" s="618" t="s">
        <v>348</v>
      </c>
      <c r="H468" s="611">
        <v>0</v>
      </c>
      <c r="I468" s="611">
        <v>0</v>
      </c>
      <c r="J468" s="611">
        <v>0</v>
      </c>
      <c r="K468" s="611">
        <v>0</v>
      </c>
      <c r="L468" s="611">
        <v>11.361302050509126</v>
      </c>
      <c r="M468" s="611">
        <v>0.11959265316325396</v>
      </c>
      <c r="N468" s="611">
        <v>5.2456211148474967</v>
      </c>
      <c r="O468" s="611">
        <v>0</v>
      </c>
      <c r="P468" s="611">
        <v>23.710249533581198</v>
      </c>
      <c r="Q468" s="611">
        <v>12.653124911951959</v>
      </c>
      <c r="R468" s="611">
        <v>0</v>
      </c>
      <c r="S468" s="611">
        <v>8.4660785396177261</v>
      </c>
      <c r="T468" s="611">
        <v>5.1600422296949935</v>
      </c>
      <c r="U468" s="611">
        <v>13.244674703421438</v>
      </c>
      <c r="V468" s="611">
        <v>13.404801159439005</v>
      </c>
      <c r="W468" s="611">
        <v>0</v>
      </c>
      <c r="X468" s="620">
        <v>-86.867525789433259</v>
      </c>
      <c r="Y468" s="611">
        <v>0</v>
      </c>
      <c r="Z468" s="619">
        <v>6.4979611067929426</v>
      </c>
      <c r="AA468" s="51"/>
    </row>
    <row r="469" spans="6:27" x14ac:dyDescent="0.25">
      <c r="F469" s="51"/>
      <c r="G469" s="618" t="s">
        <v>349</v>
      </c>
      <c r="H469" s="611">
        <v>0</v>
      </c>
      <c r="I469" s="611">
        <v>0</v>
      </c>
      <c r="J469" s="611">
        <v>0</v>
      </c>
      <c r="K469" s="611">
        <v>0</v>
      </c>
      <c r="L469" s="611">
        <v>0</v>
      </c>
      <c r="M469" s="611">
        <v>0</v>
      </c>
      <c r="N469" s="611">
        <v>0</v>
      </c>
      <c r="O469" s="611">
        <v>0</v>
      </c>
      <c r="P469" s="611">
        <v>138.07928558547806</v>
      </c>
      <c r="Q469" s="611">
        <v>12.388866886032204</v>
      </c>
      <c r="R469" s="611">
        <v>0</v>
      </c>
      <c r="S469" s="611">
        <v>-75.318683922078151</v>
      </c>
      <c r="T469" s="611">
        <v>0</v>
      </c>
      <c r="U469" s="611">
        <v>0</v>
      </c>
      <c r="V469" s="611">
        <v>0</v>
      </c>
      <c r="W469" s="611">
        <v>0</v>
      </c>
      <c r="X469" s="611">
        <v>0</v>
      </c>
      <c r="Y469" s="611">
        <v>0</v>
      </c>
      <c r="Z469" s="619">
        <v>75.149468549432129</v>
      </c>
      <c r="AA469" s="51"/>
    </row>
    <row r="470" spans="6:27" x14ac:dyDescent="0.25">
      <c r="F470" s="51"/>
      <c r="G470" s="618" t="s">
        <v>350</v>
      </c>
      <c r="H470" s="611">
        <v>0</v>
      </c>
      <c r="I470" s="611">
        <v>0</v>
      </c>
      <c r="J470" s="611">
        <v>0</v>
      </c>
      <c r="K470" s="611">
        <v>0</v>
      </c>
      <c r="L470" s="611">
        <v>0</v>
      </c>
      <c r="M470" s="620">
        <v>-2.6425947059180688</v>
      </c>
      <c r="N470" s="611">
        <v>0</v>
      </c>
      <c r="O470" s="611">
        <v>0</v>
      </c>
      <c r="P470" s="611">
        <v>0</v>
      </c>
      <c r="Q470" s="611">
        <v>0</v>
      </c>
      <c r="R470" s="611">
        <v>0</v>
      </c>
      <c r="S470" s="611">
        <v>0</v>
      </c>
      <c r="T470" s="611">
        <v>0</v>
      </c>
      <c r="U470" s="611">
        <v>0</v>
      </c>
      <c r="V470" s="611">
        <v>0</v>
      </c>
      <c r="W470" s="611">
        <v>0</v>
      </c>
      <c r="X470" s="611">
        <v>0</v>
      </c>
      <c r="Y470" s="611">
        <v>3.6634319020026336</v>
      </c>
      <c r="Z470" s="619">
        <v>1.0208371960845648</v>
      </c>
      <c r="AA470" s="51"/>
    </row>
    <row r="471" spans="6:27" x14ac:dyDescent="0.25">
      <c r="F471" s="51"/>
      <c r="G471" s="618" t="s">
        <v>72</v>
      </c>
      <c r="H471" s="611">
        <v>0</v>
      </c>
      <c r="I471" s="611">
        <v>183.99004915233374</v>
      </c>
      <c r="J471" s="611">
        <v>-182.1501486608104</v>
      </c>
      <c r="K471" s="611">
        <v>0</v>
      </c>
      <c r="L471" s="611">
        <v>0</v>
      </c>
      <c r="M471" s="611">
        <v>0</v>
      </c>
      <c r="N471" s="611">
        <v>0</v>
      </c>
      <c r="O471" s="611">
        <v>0</v>
      </c>
      <c r="P471" s="611">
        <v>0</v>
      </c>
      <c r="Q471" s="611">
        <v>0</v>
      </c>
      <c r="R471" s="611">
        <v>0</v>
      </c>
      <c r="S471" s="611">
        <v>0</v>
      </c>
      <c r="T471" s="611">
        <v>0</v>
      </c>
      <c r="U471" s="611">
        <v>0</v>
      </c>
      <c r="V471" s="611">
        <v>0</v>
      </c>
      <c r="W471" s="611">
        <v>0</v>
      </c>
      <c r="X471" s="611">
        <v>0</v>
      </c>
      <c r="Y471" s="611">
        <v>0</v>
      </c>
      <c r="Z471" s="619">
        <v>1.8399004915233377</v>
      </c>
      <c r="AA471" s="51"/>
    </row>
    <row r="472" spans="6:27" x14ac:dyDescent="0.25">
      <c r="F472" s="51"/>
      <c r="G472" s="618" t="s">
        <v>351</v>
      </c>
      <c r="H472" s="611">
        <v>0</v>
      </c>
      <c r="I472" s="611">
        <v>0</v>
      </c>
      <c r="J472" s="611">
        <v>0</v>
      </c>
      <c r="K472" s="611">
        <v>0</v>
      </c>
      <c r="L472" s="611">
        <v>0</v>
      </c>
      <c r="M472" s="611">
        <v>0</v>
      </c>
      <c r="N472" s="611">
        <v>0</v>
      </c>
      <c r="O472" s="611">
        <v>0</v>
      </c>
      <c r="P472" s="611">
        <v>98.264059426631164</v>
      </c>
      <c r="Q472" s="611">
        <v>7.2727272727272725</v>
      </c>
      <c r="R472" s="620">
        <v>-58.881352983692381</v>
      </c>
      <c r="S472" s="611">
        <v>0</v>
      </c>
      <c r="T472" s="611">
        <v>0</v>
      </c>
      <c r="U472" s="611">
        <v>0</v>
      </c>
      <c r="V472" s="611">
        <v>0</v>
      </c>
      <c r="W472" s="611">
        <v>0</v>
      </c>
      <c r="X472" s="611">
        <v>0</v>
      </c>
      <c r="Y472" s="611">
        <v>0</v>
      </c>
      <c r="Z472" s="619">
        <v>46.655433715666049</v>
      </c>
      <c r="AA472" s="51"/>
    </row>
    <row r="473" spans="6:27" x14ac:dyDescent="0.25">
      <c r="F473" s="51"/>
      <c r="G473" s="618" t="s">
        <v>352</v>
      </c>
      <c r="H473" s="611">
        <v>0</v>
      </c>
      <c r="I473" s="611">
        <v>0</v>
      </c>
      <c r="J473" s="611">
        <v>0</v>
      </c>
      <c r="K473" s="611">
        <v>-10.918730471145594</v>
      </c>
      <c r="L473" s="611">
        <v>0</v>
      </c>
      <c r="M473" s="611">
        <v>0</v>
      </c>
      <c r="N473" s="611">
        <v>0</v>
      </c>
      <c r="O473" s="611">
        <v>0</v>
      </c>
      <c r="P473" s="611">
        <v>0</v>
      </c>
      <c r="Q473" s="611">
        <v>0</v>
      </c>
      <c r="R473" s="611">
        <v>0</v>
      </c>
      <c r="S473" s="611">
        <v>0</v>
      </c>
      <c r="T473" s="611">
        <v>0</v>
      </c>
      <c r="U473" s="611">
        <v>0</v>
      </c>
      <c r="V473" s="611">
        <v>0</v>
      </c>
      <c r="W473" s="611">
        <v>0</v>
      </c>
      <c r="X473" s="611">
        <v>0</v>
      </c>
      <c r="Y473" s="611">
        <v>18.115603518260158</v>
      </c>
      <c r="Z473" s="619">
        <v>7.1968730471145648</v>
      </c>
      <c r="AA473" s="51"/>
    </row>
    <row r="474" spans="6:27" x14ac:dyDescent="0.25">
      <c r="F474" s="51"/>
      <c r="G474" s="618" t="s">
        <v>73</v>
      </c>
      <c r="H474" s="611">
        <v>0</v>
      </c>
      <c r="I474" s="611">
        <v>0</v>
      </c>
      <c r="J474" s="611">
        <v>0</v>
      </c>
      <c r="K474" s="611">
        <v>0</v>
      </c>
      <c r="L474" s="611">
        <v>0</v>
      </c>
      <c r="M474" s="611">
        <v>0</v>
      </c>
      <c r="N474" s="611">
        <v>0</v>
      </c>
      <c r="O474" s="611">
        <v>0</v>
      </c>
      <c r="P474" s="611">
        <v>0</v>
      </c>
      <c r="Q474" s="611">
        <v>0</v>
      </c>
      <c r="R474" s="611">
        <v>0</v>
      </c>
      <c r="S474" s="611">
        <v>0</v>
      </c>
      <c r="T474" s="611">
        <v>0</v>
      </c>
      <c r="U474" s="611">
        <v>0</v>
      </c>
      <c r="V474" s="611">
        <v>0</v>
      </c>
      <c r="W474" s="611">
        <v>71.82433773705074</v>
      </c>
      <c r="X474" s="611">
        <v>0</v>
      </c>
      <c r="Y474" s="611">
        <v>-49.953826896118791</v>
      </c>
      <c r="Z474" s="619">
        <v>21.870510840931949</v>
      </c>
      <c r="AA474" s="51"/>
    </row>
    <row r="475" spans="6:27" x14ac:dyDescent="0.25">
      <c r="F475" s="51"/>
      <c r="G475" s="618" t="s">
        <v>353</v>
      </c>
      <c r="H475" s="611">
        <v>3.2800345312500001</v>
      </c>
      <c r="I475" s="611">
        <v>-6.4350233154386336</v>
      </c>
      <c r="J475" s="611">
        <v>8.5665829244642584</v>
      </c>
      <c r="K475" s="611">
        <v>0</v>
      </c>
      <c r="L475" s="611">
        <v>0</v>
      </c>
      <c r="M475" s="611">
        <v>0</v>
      </c>
      <c r="N475" s="611">
        <v>0</v>
      </c>
      <c r="O475" s="611">
        <v>0</v>
      </c>
      <c r="P475" s="611">
        <v>0</v>
      </c>
      <c r="Q475" s="611">
        <v>0</v>
      </c>
      <c r="R475" s="611">
        <v>0</v>
      </c>
      <c r="S475" s="611">
        <v>0</v>
      </c>
      <c r="T475" s="611">
        <v>0</v>
      </c>
      <c r="U475" s="611">
        <v>0</v>
      </c>
      <c r="V475" s="611">
        <v>0</v>
      </c>
      <c r="W475" s="611">
        <v>0</v>
      </c>
      <c r="X475" s="611">
        <v>0</v>
      </c>
      <c r="Y475" s="611">
        <v>0</v>
      </c>
      <c r="Z475" s="619">
        <v>5.4115941402756249</v>
      </c>
      <c r="AA475" s="51"/>
    </row>
    <row r="476" spans="6:27" x14ac:dyDescent="0.25">
      <c r="F476" s="51"/>
      <c r="G476" s="618" t="s">
        <v>75</v>
      </c>
      <c r="H476" s="611">
        <v>1.2755689843750002</v>
      </c>
      <c r="I476" s="611">
        <v>0</v>
      </c>
      <c r="J476" s="611">
        <v>6.4072238182271617</v>
      </c>
      <c r="K476" s="611">
        <v>0</v>
      </c>
      <c r="L476" s="611">
        <v>0</v>
      </c>
      <c r="M476" s="611">
        <v>0</v>
      </c>
      <c r="N476" s="611">
        <v>0</v>
      </c>
      <c r="O476" s="611">
        <v>0</v>
      </c>
      <c r="P476" s="611">
        <v>0</v>
      </c>
      <c r="Q476" s="611">
        <v>0</v>
      </c>
      <c r="R476" s="611">
        <v>0</v>
      </c>
      <c r="S476" s="611">
        <v>0</v>
      </c>
      <c r="T476" s="611">
        <v>0</v>
      </c>
      <c r="U476" s="611">
        <v>0</v>
      </c>
      <c r="V476" s="611">
        <v>0</v>
      </c>
      <c r="W476" s="620">
        <v>38.57687969589584</v>
      </c>
      <c r="X476" s="611">
        <v>0</v>
      </c>
      <c r="Y476" s="611">
        <v>1.8110857498187163</v>
      </c>
      <c r="Z476" s="619">
        <v>48.070758248316722</v>
      </c>
      <c r="AA476" s="51"/>
    </row>
    <row r="477" spans="6:27" x14ac:dyDescent="0.25">
      <c r="F477" s="51"/>
      <c r="G477" s="618" t="s">
        <v>76</v>
      </c>
      <c r="H477" s="611">
        <v>0</v>
      </c>
      <c r="I477" s="611">
        <v>0</v>
      </c>
      <c r="J477" s="611">
        <v>0</v>
      </c>
      <c r="K477" s="611">
        <v>0</v>
      </c>
      <c r="L477" s="611">
        <v>0.98381967017411598</v>
      </c>
      <c r="M477" s="611">
        <v>1.0355996528148588E-2</v>
      </c>
      <c r="N477" s="611">
        <v>0</v>
      </c>
      <c r="O477" s="611">
        <v>0</v>
      </c>
      <c r="P477" s="611">
        <v>0</v>
      </c>
      <c r="Q477" s="611">
        <v>0</v>
      </c>
      <c r="R477" s="611">
        <v>0</v>
      </c>
      <c r="S477" s="611">
        <v>0.73182375465583349</v>
      </c>
      <c r="T477" s="611">
        <v>0</v>
      </c>
      <c r="U477" s="611">
        <v>0</v>
      </c>
      <c r="V477" s="611">
        <v>0</v>
      </c>
      <c r="W477" s="611">
        <v>58.720759743857542</v>
      </c>
      <c r="X477" s="611">
        <v>6.7361736922382924</v>
      </c>
      <c r="Y477" s="611">
        <v>0</v>
      </c>
      <c r="Z477" s="619">
        <v>67.182932857453935</v>
      </c>
      <c r="AA477" s="51"/>
    </row>
    <row r="478" spans="6:27" x14ac:dyDescent="0.25">
      <c r="F478" s="51"/>
      <c r="G478" s="614" t="s">
        <v>77</v>
      </c>
      <c r="H478" s="615">
        <v>4.5556035156250001</v>
      </c>
      <c r="I478" s="615">
        <v>177.55502583689511</v>
      </c>
      <c r="J478" s="615">
        <v>-167.14988113675898</v>
      </c>
      <c r="K478" s="615">
        <v>-10.918730471145594</v>
      </c>
      <c r="L478" s="615">
        <v>12.34745368902659</v>
      </c>
      <c r="M478" s="615">
        <v>-2.5126460562266661</v>
      </c>
      <c r="N478" s="615">
        <v>1099.5846392966657</v>
      </c>
      <c r="O478" s="615">
        <v>432.558137271254</v>
      </c>
      <c r="P478" s="615">
        <v>277.93237210319938</v>
      </c>
      <c r="Q478" s="615">
        <v>37.745140849319363</v>
      </c>
      <c r="R478" s="615">
        <v>-52.823481246101892</v>
      </c>
      <c r="S478" s="615">
        <v>-66.004971228004962</v>
      </c>
      <c r="T478" s="615">
        <v>5.1600422296949935</v>
      </c>
      <c r="U478" s="615">
        <v>13.244674703421438</v>
      </c>
      <c r="V478" s="615">
        <v>19.863896915877778</v>
      </c>
      <c r="W478" s="615">
        <v>-641.4616245754471</v>
      </c>
      <c r="X478" s="615">
        <v>-80.131352097194963</v>
      </c>
      <c r="Y478" s="615">
        <v>-26.363705726037281</v>
      </c>
      <c r="Z478" s="615">
        <v>1033.1805938740617</v>
      </c>
      <c r="AA478" s="51"/>
    </row>
    <row r="479" spans="6:27" x14ac:dyDescent="0.25">
      <c r="F479" s="51"/>
      <c r="G479" s="616"/>
      <c r="H479" s="617"/>
      <c r="I479" s="617"/>
      <c r="J479" s="617"/>
      <c r="K479" s="617"/>
      <c r="L479" s="617"/>
      <c r="M479" s="617"/>
      <c r="N479" s="617"/>
      <c r="O479" s="617"/>
      <c r="P479" s="617"/>
      <c r="Q479" s="617"/>
      <c r="R479" s="617"/>
      <c r="S479" s="617"/>
      <c r="T479" s="617"/>
      <c r="U479" s="617"/>
      <c r="V479" s="617"/>
      <c r="W479" s="617"/>
      <c r="X479" s="617"/>
      <c r="Y479" s="617"/>
      <c r="Z479" s="617"/>
      <c r="AA479" s="51"/>
    </row>
    <row r="480" spans="6:27" x14ac:dyDescent="0.25">
      <c r="F480" s="51"/>
      <c r="G480" s="618" t="s">
        <v>78</v>
      </c>
      <c r="H480" s="611">
        <v>0.16342834472656248</v>
      </c>
      <c r="I480" s="611">
        <v>0</v>
      </c>
      <c r="J480" s="611">
        <v>1.192335444968337</v>
      </c>
      <c r="K480" s="611">
        <v>0</v>
      </c>
      <c r="L480" s="611">
        <v>32.001904580711056</v>
      </c>
      <c r="M480" s="620">
        <v>0.33686215348116894</v>
      </c>
      <c r="N480" s="611">
        <v>0</v>
      </c>
      <c r="O480" s="611">
        <v>0</v>
      </c>
      <c r="P480" s="611">
        <v>35.925037819448683</v>
      </c>
      <c r="Q480" s="611">
        <v>8.355944349353404</v>
      </c>
      <c r="R480" s="611">
        <v>0.41126405446607639</v>
      </c>
      <c r="S480" s="611">
        <v>23.845200759921546</v>
      </c>
      <c r="T480" s="611">
        <v>12.595482421874999</v>
      </c>
      <c r="U480" s="611">
        <v>0</v>
      </c>
      <c r="V480" s="611">
        <v>8.2107689234467234E-4</v>
      </c>
      <c r="W480" s="611">
        <v>157.38101577829286</v>
      </c>
      <c r="X480" s="611">
        <v>19.581895205138572</v>
      </c>
      <c r="Y480" s="611">
        <v>11.602856445312501</v>
      </c>
      <c r="Z480" s="619">
        <v>303.39404843458811</v>
      </c>
      <c r="AA480" s="51"/>
    </row>
    <row r="481" spans="6:27" x14ac:dyDescent="0.25">
      <c r="F481" s="51"/>
      <c r="G481" s="618" t="s">
        <v>79</v>
      </c>
      <c r="H481" s="611">
        <v>0</v>
      </c>
      <c r="I481" s="611">
        <v>0</v>
      </c>
      <c r="J481" s="611">
        <v>57.415221307039587</v>
      </c>
      <c r="K481" s="611">
        <v>1.6</v>
      </c>
      <c r="L481" s="611">
        <v>4.3056781164291928</v>
      </c>
      <c r="M481" s="620">
        <v>4.5322927541359921E-2</v>
      </c>
      <c r="N481" s="611">
        <v>0</v>
      </c>
      <c r="O481" s="611">
        <v>0</v>
      </c>
      <c r="P481" s="611">
        <v>0</v>
      </c>
      <c r="Q481" s="611">
        <v>0</v>
      </c>
      <c r="R481" s="611">
        <v>31.800952318042711</v>
      </c>
      <c r="S481" s="611">
        <v>3.2028202129227674</v>
      </c>
      <c r="T481" s="611">
        <v>0</v>
      </c>
      <c r="U481" s="611">
        <v>0</v>
      </c>
      <c r="V481" s="611">
        <v>0</v>
      </c>
      <c r="W481" s="611">
        <v>112.28525884459542</v>
      </c>
      <c r="X481" s="611">
        <v>0</v>
      </c>
      <c r="Y481" s="611">
        <v>5.8069925085288689</v>
      </c>
      <c r="Z481" s="619">
        <v>216.46224623509994</v>
      </c>
      <c r="AA481" s="51"/>
    </row>
    <row r="482" spans="6:27" x14ac:dyDescent="0.25">
      <c r="F482" s="51"/>
      <c r="G482" s="618" t="s">
        <v>80</v>
      </c>
      <c r="H482" s="611">
        <v>0</v>
      </c>
      <c r="I482" s="611">
        <v>0</v>
      </c>
      <c r="J482" s="611">
        <v>0.29271355474186761</v>
      </c>
      <c r="K482" s="611">
        <v>0</v>
      </c>
      <c r="L482" s="611">
        <v>21.230302820629564</v>
      </c>
      <c r="M482" s="620">
        <v>0.22347687179610068</v>
      </c>
      <c r="N482" s="611">
        <v>0</v>
      </c>
      <c r="O482" s="611">
        <v>0</v>
      </c>
      <c r="P482" s="611">
        <v>42.610592667556531</v>
      </c>
      <c r="Q482" s="611">
        <v>0</v>
      </c>
      <c r="R482" s="611">
        <v>0</v>
      </c>
      <c r="S482" s="611">
        <v>15.792365606924447</v>
      </c>
      <c r="T482" s="611">
        <v>140.68580630413436</v>
      </c>
      <c r="U482" s="611">
        <v>0</v>
      </c>
      <c r="V482" s="611">
        <v>11.422179608472932</v>
      </c>
      <c r="W482" s="611">
        <v>140.84431405230941</v>
      </c>
      <c r="X482" s="611">
        <v>37.657555904845751</v>
      </c>
      <c r="Y482" s="611">
        <v>0</v>
      </c>
      <c r="Z482" s="619">
        <v>410.75930739141103</v>
      </c>
      <c r="AA482" s="51"/>
    </row>
    <row r="483" spans="6:27" x14ac:dyDescent="0.25">
      <c r="F483" s="51"/>
      <c r="G483" s="618" t="s">
        <v>81</v>
      </c>
      <c r="H483" s="611">
        <v>0</v>
      </c>
      <c r="I483" s="611">
        <v>0</v>
      </c>
      <c r="J483" s="611">
        <v>0.52496175669255951</v>
      </c>
      <c r="K483" s="611">
        <v>0</v>
      </c>
      <c r="L483" s="611">
        <v>12.447473647538219</v>
      </c>
      <c r="M483" s="620">
        <v>0.13102603839513913</v>
      </c>
      <c r="N483" s="611">
        <v>0</v>
      </c>
      <c r="O483" s="611">
        <v>0</v>
      </c>
      <c r="P483" s="611">
        <v>0.50385641884580723</v>
      </c>
      <c r="Q483" s="611">
        <v>0</v>
      </c>
      <c r="R483" s="611">
        <v>0</v>
      </c>
      <c r="S483" s="611">
        <v>9.2591733799231637</v>
      </c>
      <c r="T483" s="611">
        <v>55.972584841883723</v>
      </c>
      <c r="U483" s="611">
        <v>0</v>
      </c>
      <c r="V483" s="611">
        <v>11.263560576499328</v>
      </c>
      <c r="W483" s="611">
        <v>122.13846664869735</v>
      </c>
      <c r="X483" s="611">
        <v>22.891868477454477</v>
      </c>
      <c r="Y483" s="611">
        <v>0</v>
      </c>
      <c r="Z483" s="619">
        <v>235.13297178592975</v>
      </c>
      <c r="AA483" s="51"/>
    </row>
    <row r="484" spans="6:27" x14ac:dyDescent="0.25">
      <c r="F484" s="51"/>
      <c r="G484" s="618" t="s">
        <v>82</v>
      </c>
      <c r="H484" s="611">
        <v>0</v>
      </c>
      <c r="I484" s="611">
        <v>0</v>
      </c>
      <c r="J484" s="611">
        <v>8.4604278538625355</v>
      </c>
      <c r="K484" s="611">
        <v>0</v>
      </c>
      <c r="L484" s="611">
        <v>0.63597933034917353</v>
      </c>
      <c r="M484" s="620">
        <v>6.6945192668334047E-3</v>
      </c>
      <c r="N484" s="611">
        <v>0</v>
      </c>
      <c r="O484" s="611">
        <v>0</v>
      </c>
      <c r="P484" s="611">
        <v>16.880915854504494</v>
      </c>
      <c r="Q484" s="611">
        <v>0</v>
      </c>
      <c r="R484" s="611">
        <v>8.0439535729809908</v>
      </c>
      <c r="S484" s="611">
        <v>0.47307936152289393</v>
      </c>
      <c r="T484" s="611">
        <v>1.1499999999999999</v>
      </c>
      <c r="U484" s="611">
        <v>0</v>
      </c>
      <c r="V484" s="611">
        <v>1.5666563685107562</v>
      </c>
      <c r="W484" s="611">
        <v>10.022325873265157</v>
      </c>
      <c r="X484" s="611">
        <v>0</v>
      </c>
      <c r="Y484" s="611">
        <v>0.50936070240640652</v>
      </c>
      <c r="Z484" s="619">
        <v>47.74939343666923</v>
      </c>
      <c r="AA484" s="51"/>
    </row>
    <row r="485" spans="6:27" x14ac:dyDescent="0.25">
      <c r="F485" s="51"/>
      <c r="G485" s="618" t="s">
        <v>354</v>
      </c>
      <c r="H485" s="611">
        <v>0</v>
      </c>
      <c r="I485" s="611">
        <v>0</v>
      </c>
      <c r="J485" s="611">
        <v>0</v>
      </c>
      <c r="K485" s="611">
        <v>0</v>
      </c>
      <c r="L485" s="611">
        <v>0</v>
      </c>
      <c r="M485" s="611">
        <v>0</v>
      </c>
      <c r="N485" s="611">
        <v>0</v>
      </c>
      <c r="O485" s="611">
        <v>0</v>
      </c>
      <c r="P485" s="611">
        <v>0</v>
      </c>
      <c r="Q485" s="611">
        <v>0</v>
      </c>
      <c r="R485" s="611">
        <v>0</v>
      </c>
      <c r="S485" s="611">
        <v>0</v>
      </c>
      <c r="T485" s="611">
        <v>0</v>
      </c>
      <c r="U485" s="611">
        <v>0</v>
      </c>
      <c r="V485" s="611">
        <v>0</v>
      </c>
      <c r="W485" s="611">
        <v>6.8640000000000008</v>
      </c>
      <c r="X485" s="611">
        <v>0</v>
      </c>
      <c r="Y485" s="611">
        <v>0</v>
      </c>
      <c r="Z485" s="619">
        <v>6.8640000000000008</v>
      </c>
      <c r="AA485" s="51"/>
    </row>
    <row r="486" spans="6:27" x14ac:dyDescent="0.25">
      <c r="F486" s="51"/>
      <c r="G486" s="614" t="s">
        <v>83</v>
      </c>
      <c r="H486" s="615">
        <v>0.16342834472656248</v>
      </c>
      <c r="I486" s="615">
        <v>0</v>
      </c>
      <c r="J486" s="615">
        <v>67.885659917304892</v>
      </c>
      <c r="K486" s="615">
        <v>1.6</v>
      </c>
      <c r="L486" s="615">
        <v>70.621338495657199</v>
      </c>
      <c r="M486" s="615">
        <v>0.74338251048060211</v>
      </c>
      <c r="N486" s="615">
        <v>0</v>
      </c>
      <c r="O486" s="615">
        <v>0</v>
      </c>
      <c r="P486" s="615">
        <v>95.920402760355529</v>
      </c>
      <c r="Q486" s="615">
        <v>8.355944349353404</v>
      </c>
      <c r="R486" s="615">
        <v>40.256169945489773</v>
      </c>
      <c r="S486" s="615">
        <v>52.572639321214815</v>
      </c>
      <c r="T486" s="615">
        <v>210.4038735678931</v>
      </c>
      <c r="U486" s="615">
        <v>0</v>
      </c>
      <c r="V486" s="615">
        <v>24.25321763037536</v>
      </c>
      <c r="W486" s="615">
        <v>549.53538119716018</v>
      </c>
      <c r="X486" s="615">
        <v>80.131319587438796</v>
      </c>
      <c r="Y486" s="615">
        <v>17.919209656247777</v>
      </c>
      <c r="Z486" s="615">
        <v>1220.361967283698</v>
      </c>
      <c r="AA486" s="51"/>
    </row>
    <row r="487" spans="6:27" x14ac:dyDescent="0.25">
      <c r="F487" s="51"/>
      <c r="G487" s="610" t="s">
        <v>84</v>
      </c>
      <c r="H487" s="611">
        <v>0</v>
      </c>
      <c r="I487" s="611">
        <v>0</v>
      </c>
      <c r="J487" s="611">
        <v>98.630833151912839</v>
      </c>
      <c r="K487" s="611">
        <v>3.094705785318189</v>
      </c>
      <c r="L487" s="611">
        <v>10.821936682039073</v>
      </c>
      <c r="M487" s="611">
        <v>0</v>
      </c>
      <c r="N487" s="611">
        <v>0</v>
      </c>
      <c r="O487" s="611">
        <v>0</v>
      </c>
      <c r="P487" s="720">
        <v>0.52555901393570603</v>
      </c>
      <c r="Q487" s="611">
        <v>0</v>
      </c>
      <c r="R487" s="611">
        <v>4.7238090812444442</v>
      </c>
      <c r="S487" s="611">
        <v>0</v>
      </c>
      <c r="T487" s="611">
        <v>0</v>
      </c>
      <c r="U487" s="611">
        <v>0</v>
      </c>
      <c r="V487" s="611">
        <v>0</v>
      </c>
      <c r="W487" s="611">
        <v>0</v>
      </c>
      <c r="X487" s="611">
        <v>0</v>
      </c>
      <c r="Y487" s="611">
        <v>3.3812053333570531</v>
      </c>
      <c r="Z487" s="619">
        <v>121.17804904780731</v>
      </c>
      <c r="AA487" s="51"/>
    </row>
    <row r="488" spans="6:27" x14ac:dyDescent="0.25">
      <c r="F488" s="51"/>
      <c r="G488" s="614" t="s">
        <v>85</v>
      </c>
      <c r="H488" s="615">
        <v>0.16342834472656248</v>
      </c>
      <c r="I488" s="615">
        <v>0</v>
      </c>
      <c r="J488" s="615">
        <v>166.51649306921774</v>
      </c>
      <c r="K488" s="615">
        <v>4.6947057853181891</v>
      </c>
      <c r="L488" s="615">
        <v>81.443275177696279</v>
      </c>
      <c r="M488" s="615">
        <v>0.74338251048060211</v>
      </c>
      <c r="N488" s="615">
        <v>0</v>
      </c>
      <c r="O488" s="615">
        <v>0</v>
      </c>
      <c r="P488" s="615">
        <v>96.445961774291234</v>
      </c>
      <c r="Q488" s="615">
        <v>8.355944349353404</v>
      </c>
      <c r="R488" s="615">
        <v>44.97997902673422</v>
      </c>
      <c r="S488" s="615">
        <v>52.572639321214815</v>
      </c>
      <c r="T488" s="615">
        <v>210.4038735678931</v>
      </c>
      <c r="U488" s="615">
        <v>0</v>
      </c>
      <c r="V488" s="615">
        <v>24.25321763037536</v>
      </c>
      <c r="W488" s="615">
        <v>549.53538119716018</v>
      </c>
      <c r="X488" s="615">
        <v>80.131319587438796</v>
      </c>
      <c r="Y488" s="615">
        <v>21.300414989604828</v>
      </c>
      <c r="Z488" s="615">
        <v>1341.5400163315053</v>
      </c>
      <c r="AA488" s="51"/>
    </row>
    <row r="489" spans="6:27" x14ac:dyDescent="0.25">
      <c r="F489" s="51"/>
      <c r="G489" s="51"/>
      <c r="H489" s="67">
        <v>0</v>
      </c>
      <c r="I489" s="67">
        <v>0</v>
      </c>
      <c r="J489" s="67">
        <v>7.1054273576010019E-15</v>
      </c>
      <c r="K489" s="67">
        <v>0</v>
      </c>
      <c r="L489" s="67">
        <v>2.4547035224031788E-5</v>
      </c>
      <c r="M489" s="67">
        <v>-2.4547035192501454E-5</v>
      </c>
      <c r="N489" s="67">
        <v>0</v>
      </c>
      <c r="O489" s="67">
        <v>0</v>
      </c>
      <c r="P489" s="67">
        <v>0</v>
      </c>
      <c r="Q489" s="67">
        <v>0</v>
      </c>
      <c r="R489" s="67">
        <v>0</v>
      </c>
      <c r="S489" s="722">
        <v>0</v>
      </c>
      <c r="T489" s="67">
        <v>0</v>
      </c>
      <c r="U489" s="67">
        <v>0</v>
      </c>
      <c r="V489" s="67">
        <v>0</v>
      </c>
      <c r="W489" s="67">
        <v>0</v>
      </c>
      <c r="X489" s="721">
        <v>-3.2509756167087289E-5</v>
      </c>
      <c r="Y489" s="67">
        <v>0</v>
      </c>
      <c r="Z489" s="67">
        <v>-3.2509756238141563E-5</v>
      </c>
      <c r="AA489" s="51"/>
    </row>
    <row r="490" spans="6:27" x14ac:dyDescent="0.25">
      <c r="F490" s="51"/>
      <c r="G490" s="51"/>
      <c r="H490" s="51"/>
      <c r="I490" s="51"/>
      <c r="J490" s="51"/>
      <c r="K490" s="67"/>
      <c r="L490" s="51"/>
      <c r="M490" s="51"/>
      <c r="N490" s="51"/>
      <c r="O490" s="51"/>
      <c r="P490" s="51"/>
      <c r="Q490" s="51"/>
      <c r="R490" s="51"/>
      <c r="S490" s="51"/>
      <c r="T490" s="51"/>
      <c r="U490" s="51"/>
      <c r="V490" s="51"/>
      <c r="W490" s="51"/>
      <c r="X490" s="51"/>
      <c r="Y490" s="51"/>
      <c r="Z490" s="51"/>
      <c r="AA490" s="51"/>
    </row>
    <row r="491" spans="6:27" x14ac:dyDescent="0.25">
      <c r="F491" s="606"/>
      <c r="G491" s="607" t="s">
        <v>361</v>
      </c>
      <c r="H491" s="606"/>
      <c r="I491" s="606"/>
      <c r="J491" s="606"/>
      <c r="K491" s="682"/>
      <c r="L491" s="606"/>
      <c r="M491" s="606"/>
      <c r="N491" s="606"/>
      <c r="O491" s="606"/>
      <c r="P491" s="606"/>
      <c r="Q491" s="606"/>
      <c r="R491" s="606"/>
      <c r="S491" s="606"/>
      <c r="T491" s="606"/>
      <c r="U491" s="606"/>
      <c r="V491" s="606"/>
      <c r="W491" s="606"/>
      <c r="X491" s="606"/>
      <c r="Y491" s="606"/>
      <c r="Z491" s="606"/>
      <c r="AA491" s="606"/>
    </row>
    <row r="492" spans="6:27" x14ac:dyDescent="0.25">
      <c r="F492" s="51"/>
      <c r="G492" s="51"/>
      <c r="H492" s="51"/>
      <c r="I492" s="51"/>
      <c r="J492" s="51"/>
      <c r="K492" s="67"/>
      <c r="L492" s="51"/>
      <c r="M492" s="51"/>
      <c r="N492" s="51"/>
      <c r="O492" s="51"/>
      <c r="P492" s="51"/>
      <c r="Q492" s="51"/>
      <c r="R492" s="51"/>
      <c r="S492" s="51"/>
      <c r="T492" s="51"/>
      <c r="U492" s="51"/>
      <c r="V492" s="51"/>
      <c r="W492" s="51"/>
      <c r="X492" s="51"/>
      <c r="Y492" s="51"/>
      <c r="Z492" s="51"/>
      <c r="AA492" s="51"/>
    </row>
    <row r="493" spans="6:27" x14ac:dyDescent="0.25">
      <c r="F493" s="51"/>
      <c r="G493" s="764" t="s">
        <v>128</v>
      </c>
      <c r="H493" s="753" t="s">
        <v>42</v>
      </c>
      <c r="I493" s="753" t="s">
        <v>52</v>
      </c>
      <c r="J493" s="753" t="s">
        <v>53</v>
      </c>
      <c r="K493" s="766" t="s">
        <v>482</v>
      </c>
      <c r="L493" s="753" t="s">
        <v>32</v>
      </c>
      <c r="M493" s="753" t="s">
        <v>483</v>
      </c>
      <c r="N493" s="753" t="s">
        <v>20</v>
      </c>
      <c r="O493" s="753" t="s">
        <v>55</v>
      </c>
      <c r="P493" s="761" t="s">
        <v>56</v>
      </c>
      <c r="Q493" s="762"/>
      <c r="R493" s="762"/>
      <c r="S493" s="762"/>
      <c r="T493" s="762"/>
      <c r="U493" s="762"/>
      <c r="V493" s="763"/>
      <c r="W493" s="753" t="s">
        <v>57</v>
      </c>
      <c r="X493" s="753" t="s">
        <v>58</v>
      </c>
      <c r="Y493" s="753" t="s">
        <v>31</v>
      </c>
      <c r="Z493" s="753" t="s">
        <v>10</v>
      </c>
      <c r="AA493" s="51"/>
    </row>
    <row r="494" spans="6:27" ht="36" x14ac:dyDescent="0.25">
      <c r="F494" s="51"/>
      <c r="G494" s="765"/>
      <c r="H494" s="754"/>
      <c r="I494" s="754"/>
      <c r="J494" s="754"/>
      <c r="K494" s="767"/>
      <c r="L494" s="754"/>
      <c r="M494" s="754"/>
      <c r="N494" s="754"/>
      <c r="O494" s="754"/>
      <c r="P494" s="608" t="s">
        <v>335</v>
      </c>
      <c r="Q494" s="608" t="s">
        <v>40</v>
      </c>
      <c r="R494" s="608" t="s">
        <v>343</v>
      </c>
      <c r="S494" s="608" t="s">
        <v>344</v>
      </c>
      <c r="T494" s="609" t="s">
        <v>345</v>
      </c>
      <c r="U494" s="609" t="s">
        <v>609</v>
      </c>
      <c r="V494" s="608" t="s">
        <v>346</v>
      </c>
      <c r="W494" s="754"/>
      <c r="X494" s="754"/>
      <c r="Y494" s="754"/>
      <c r="Z494" s="754"/>
      <c r="AA494" s="51"/>
    </row>
    <row r="495" spans="6:27" x14ac:dyDescent="0.25">
      <c r="F495" s="51"/>
      <c r="G495" s="610" t="s">
        <v>59</v>
      </c>
      <c r="H495" s="611">
        <v>0</v>
      </c>
      <c r="I495" s="611">
        <v>0</v>
      </c>
      <c r="J495" s="611">
        <v>0</v>
      </c>
      <c r="K495" s="611">
        <v>0</v>
      </c>
      <c r="L495" s="611">
        <v>0</v>
      </c>
      <c r="M495" s="611">
        <v>0</v>
      </c>
      <c r="N495" s="612">
        <v>1021.1177956869142</v>
      </c>
      <c r="O495" s="612">
        <v>462.06687945929309</v>
      </c>
      <c r="P495" s="611">
        <v>380.853201250621</v>
      </c>
      <c r="Q495" s="612">
        <v>45.488439305040814</v>
      </c>
      <c r="R495" s="611">
        <v>0</v>
      </c>
      <c r="S495" s="611">
        <v>0</v>
      </c>
      <c r="T495" s="612">
        <v>228.13293272416564</v>
      </c>
      <c r="U495" s="612">
        <v>13.345725766816866</v>
      </c>
      <c r="V495" s="612">
        <v>44.619368166332919</v>
      </c>
      <c r="W495" s="611">
        <v>0</v>
      </c>
      <c r="X495" s="611">
        <v>0</v>
      </c>
      <c r="Y495" s="611">
        <v>0</v>
      </c>
      <c r="Z495" s="613">
        <v>2195.6243423591845</v>
      </c>
      <c r="AA495" s="51"/>
    </row>
    <row r="496" spans="6:27" x14ac:dyDescent="0.25">
      <c r="F496" s="51"/>
      <c r="G496" s="610" t="s">
        <v>60</v>
      </c>
      <c r="H496" s="611">
        <v>7.2040588378906256E-2</v>
      </c>
      <c r="I496" s="611">
        <v>143.57372262348443</v>
      </c>
      <c r="J496" s="611">
        <v>24.964838256255007</v>
      </c>
      <c r="K496" s="611">
        <v>8.9901848637372375</v>
      </c>
      <c r="L496" s="620">
        <v>83.302522482755748</v>
      </c>
      <c r="M496" s="611">
        <v>0</v>
      </c>
      <c r="N496" s="611">
        <v>0</v>
      </c>
      <c r="O496" s="611">
        <v>0</v>
      </c>
      <c r="P496" s="611">
        <v>8.1136608848584615</v>
      </c>
      <c r="Q496" s="611">
        <v>0</v>
      </c>
      <c r="R496" s="611">
        <v>3.6899916266640176</v>
      </c>
      <c r="S496" s="611">
        <v>0</v>
      </c>
      <c r="T496" s="611">
        <v>0</v>
      </c>
      <c r="U496" s="611">
        <v>0</v>
      </c>
      <c r="V496" s="611">
        <v>0</v>
      </c>
      <c r="W496" s="611">
        <v>0</v>
      </c>
      <c r="X496" s="611">
        <v>0</v>
      </c>
      <c r="Y496" s="611">
        <v>0</v>
      </c>
      <c r="Z496" s="613">
        <v>272.70696132613381</v>
      </c>
      <c r="AA496" s="51"/>
    </row>
    <row r="497" spans="6:27" x14ac:dyDescent="0.25">
      <c r="F497" s="51"/>
      <c r="G497" s="610" t="s">
        <v>61</v>
      </c>
      <c r="H497" s="611">
        <v>0</v>
      </c>
      <c r="I497" s="611">
        <v>0</v>
      </c>
      <c r="J497" s="611">
        <v>0</v>
      </c>
      <c r="K497" s="611">
        <v>0</v>
      </c>
      <c r="L497" s="611">
        <v>0</v>
      </c>
      <c r="M497" s="611">
        <v>0</v>
      </c>
      <c r="N497" s="611">
        <v>0</v>
      </c>
      <c r="O497" s="611">
        <v>0</v>
      </c>
      <c r="P497" s="611">
        <v>0</v>
      </c>
      <c r="Q497" s="611">
        <v>0</v>
      </c>
      <c r="R497" s="611">
        <v>0</v>
      </c>
      <c r="S497" s="611">
        <v>-20.664907066692336</v>
      </c>
      <c r="T497" s="611">
        <v>0</v>
      </c>
      <c r="U497" s="611">
        <v>0</v>
      </c>
      <c r="V497" s="611">
        <v>0</v>
      </c>
      <c r="W497" s="611">
        <v>-64.652591069811592</v>
      </c>
      <c r="X497" s="611">
        <v>0</v>
      </c>
      <c r="Y497" s="611">
        <v>0</v>
      </c>
      <c r="Z497" s="613">
        <v>-85.317498136503929</v>
      </c>
      <c r="AA497" s="51"/>
    </row>
    <row r="498" spans="6:27" x14ac:dyDescent="0.25">
      <c r="F498" s="51"/>
      <c r="G498" s="610" t="s">
        <v>62</v>
      </c>
      <c r="H498" s="611">
        <v>0</v>
      </c>
      <c r="I498" s="611">
        <v>0</v>
      </c>
      <c r="J498" s="611">
        <v>-2.6430279181443233</v>
      </c>
      <c r="K498" s="611">
        <v>-2.1194862177251581</v>
      </c>
      <c r="L498" s="611">
        <v>0</v>
      </c>
      <c r="M498" s="611">
        <v>-2.4085070655967704</v>
      </c>
      <c r="N498" s="611">
        <v>0</v>
      </c>
      <c r="O498" s="611">
        <v>0</v>
      </c>
      <c r="P498" s="611">
        <v>0</v>
      </c>
      <c r="Q498" s="611">
        <v>0</v>
      </c>
      <c r="R498" s="611">
        <v>0</v>
      </c>
      <c r="S498" s="611">
        <v>-1.4769404520417975</v>
      </c>
      <c r="T498" s="611">
        <v>0</v>
      </c>
      <c r="U498" s="611">
        <v>0</v>
      </c>
      <c r="V498" s="611">
        <v>0</v>
      </c>
      <c r="W498" s="611">
        <v>0</v>
      </c>
      <c r="X498" s="611">
        <v>0</v>
      </c>
      <c r="Y498" s="611">
        <v>-0.99606248425254151</v>
      </c>
      <c r="Z498" s="613">
        <v>-9.6440241377605904</v>
      </c>
      <c r="AA498" s="51"/>
    </row>
    <row r="499" spans="6:27" x14ac:dyDescent="0.25">
      <c r="F499" s="51"/>
      <c r="G499" s="610" t="s">
        <v>63</v>
      </c>
      <c r="H499" s="611">
        <v>0</v>
      </c>
      <c r="I499" s="611">
        <v>0</v>
      </c>
      <c r="J499" s="611">
        <v>-26.999999999999996</v>
      </c>
      <c r="K499" s="611">
        <v>-16</v>
      </c>
      <c r="L499" s="611">
        <v>0</v>
      </c>
      <c r="M499" s="611">
        <v>0</v>
      </c>
      <c r="N499" s="611">
        <v>0</v>
      </c>
      <c r="O499" s="611">
        <v>0</v>
      </c>
      <c r="P499" s="611">
        <v>0</v>
      </c>
      <c r="Q499" s="611">
        <v>0</v>
      </c>
      <c r="R499" s="611">
        <v>-16</v>
      </c>
      <c r="S499" s="611">
        <v>0</v>
      </c>
      <c r="T499" s="611">
        <v>0</v>
      </c>
      <c r="U499" s="611">
        <v>0</v>
      </c>
      <c r="V499" s="611">
        <v>0</v>
      </c>
      <c r="W499" s="611">
        <v>0</v>
      </c>
      <c r="X499" s="611">
        <v>0</v>
      </c>
      <c r="Y499" s="611">
        <v>-5</v>
      </c>
      <c r="Z499" s="613">
        <v>-64</v>
      </c>
      <c r="AA499" s="51"/>
    </row>
    <row r="500" spans="6:27" x14ac:dyDescent="0.25">
      <c r="F500" s="51"/>
      <c r="G500" s="610" t="s">
        <v>64</v>
      </c>
      <c r="H500" s="611">
        <v>0</v>
      </c>
      <c r="I500" s="611">
        <v>0</v>
      </c>
      <c r="J500" s="611">
        <v>0</v>
      </c>
      <c r="K500" s="611">
        <v>0</v>
      </c>
      <c r="L500" s="611">
        <v>0</v>
      </c>
      <c r="M500" s="611">
        <v>0</v>
      </c>
      <c r="N500" s="611">
        <v>0</v>
      </c>
      <c r="O500" s="611">
        <v>0</v>
      </c>
      <c r="P500" s="611">
        <v>0</v>
      </c>
      <c r="Q500" s="611">
        <v>0</v>
      </c>
      <c r="R500" s="611">
        <v>0</v>
      </c>
      <c r="S500" s="611">
        <v>0</v>
      </c>
      <c r="T500" s="611">
        <v>0</v>
      </c>
      <c r="U500" s="611">
        <v>0</v>
      </c>
      <c r="V500" s="611">
        <v>0</v>
      </c>
      <c r="W500" s="611">
        <v>0</v>
      </c>
      <c r="X500" s="611">
        <v>0</v>
      </c>
      <c r="Y500" s="611">
        <v>0</v>
      </c>
      <c r="Z500" s="613">
        <v>0</v>
      </c>
      <c r="AA500" s="51"/>
    </row>
    <row r="501" spans="6:27" x14ac:dyDescent="0.25">
      <c r="F501" s="51"/>
      <c r="G501" s="614" t="s">
        <v>65</v>
      </c>
      <c r="H501" s="615">
        <v>7.2040588378906256E-2</v>
      </c>
      <c r="I501" s="615">
        <v>143.57372262348443</v>
      </c>
      <c r="J501" s="615">
        <v>-4.6781896618893128</v>
      </c>
      <c r="K501" s="615">
        <v>-9.1293013539879198</v>
      </c>
      <c r="L501" s="615">
        <v>83.302522482755748</v>
      </c>
      <c r="M501" s="615">
        <v>-2.4085070655967704</v>
      </c>
      <c r="N501" s="615">
        <v>1021.1177956869142</v>
      </c>
      <c r="O501" s="615">
        <v>462.06687945929309</v>
      </c>
      <c r="P501" s="615">
        <v>388.96686213547946</v>
      </c>
      <c r="Q501" s="615">
        <v>45.488439305040814</v>
      </c>
      <c r="R501" s="615">
        <v>-12.310008373335982</v>
      </c>
      <c r="S501" s="615">
        <v>-22.141847518734135</v>
      </c>
      <c r="T501" s="615">
        <v>228.13293272416564</v>
      </c>
      <c r="U501" s="615">
        <v>13.345725766816866</v>
      </c>
      <c r="V501" s="615">
        <v>44.619368166332919</v>
      </c>
      <c r="W501" s="615">
        <v>-64.652591069811592</v>
      </c>
      <c r="X501" s="615">
        <v>0</v>
      </c>
      <c r="Y501" s="615">
        <v>-5.9960624842525414</v>
      </c>
      <c r="Z501" s="615">
        <v>2309.3697814110537</v>
      </c>
      <c r="AA501" s="51"/>
    </row>
    <row r="502" spans="6:27" x14ac:dyDescent="0.25">
      <c r="F502" s="51"/>
      <c r="G502" s="616"/>
      <c r="H502" s="617"/>
      <c r="I502" s="617"/>
      <c r="J502" s="617"/>
      <c r="K502" s="617"/>
      <c r="L502" s="617"/>
      <c r="M502" s="617"/>
      <c r="N502" s="617"/>
      <c r="O502" s="617"/>
      <c r="P502" s="617"/>
      <c r="Q502" s="617"/>
      <c r="R502" s="617"/>
      <c r="S502" s="617"/>
      <c r="T502" s="617"/>
      <c r="U502" s="617"/>
      <c r="V502" s="617"/>
      <c r="W502" s="617"/>
      <c r="X502" s="617"/>
      <c r="Y502" s="617"/>
      <c r="Z502" s="617"/>
      <c r="AA502" s="51"/>
    </row>
    <row r="503" spans="6:27" x14ac:dyDescent="0.25">
      <c r="F503" s="51"/>
      <c r="G503" s="618" t="s">
        <v>67</v>
      </c>
      <c r="H503" s="611">
        <v>0</v>
      </c>
      <c r="I503" s="611">
        <v>0</v>
      </c>
      <c r="J503" s="611">
        <v>0</v>
      </c>
      <c r="K503" s="611">
        <v>0</v>
      </c>
      <c r="L503" s="611">
        <v>0</v>
      </c>
      <c r="M503" s="611">
        <v>0</v>
      </c>
      <c r="N503" s="611">
        <v>0</v>
      </c>
      <c r="O503" s="611">
        <v>0</v>
      </c>
      <c r="P503" s="611">
        <v>0</v>
      </c>
      <c r="Q503" s="611">
        <v>0</v>
      </c>
      <c r="R503" s="611">
        <v>0</v>
      </c>
      <c r="S503" s="611">
        <v>0</v>
      </c>
      <c r="T503" s="611">
        <v>0</v>
      </c>
      <c r="U503" s="611">
        <v>0</v>
      </c>
      <c r="V503" s="611">
        <v>0</v>
      </c>
      <c r="W503" s="611">
        <v>0</v>
      </c>
      <c r="X503" s="611">
        <v>0</v>
      </c>
      <c r="Y503" s="611">
        <v>0</v>
      </c>
      <c r="Z503" s="619">
        <v>0</v>
      </c>
      <c r="AA503" s="51"/>
    </row>
    <row r="504" spans="6:27" x14ac:dyDescent="0.25">
      <c r="F504" s="51"/>
      <c r="G504" s="618" t="s">
        <v>347</v>
      </c>
      <c r="H504" s="611">
        <v>0</v>
      </c>
      <c r="I504" s="611">
        <v>0</v>
      </c>
      <c r="J504" s="611">
        <v>0</v>
      </c>
      <c r="K504" s="611">
        <v>0</v>
      </c>
      <c r="L504" s="611">
        <v>2.2309947234042489E-3</v>
      </c>
      <c r="M504" s="611">
        <v>0</v>
      </c>
      <c r="N504" s="611">
        <v>1014.6070909090909</v>
      </c>
      <c r="O504" s="611">
        <v>462.06687945929309</v>
      </c>
      <c r="P504" s="611">
        <v>17.968425297338086</v>
      </c>
      <c r="Q504" s="611">
        <v>5.3124785537967538</v>
      </c>
      <c r="R504" s="611">
        <v>6.3451610040287907</v>
      </c>
      <c r="S504" s="611">
        <v>0.11597760068741178</v>
      </c>
      <c r="T504" s="611">
        <v>0</v>
      </c>
      <c r="U504" s="611">
        <v>0</v>
      </c>
      <c r="V504" s="611">
        <v>6.4766550958451852</v>
      </c>
      <c r="W504" s="611">
        <v>-813.99806516168439</v>
      </c>
      <c r="X504" s="611">
        <v>0</v>
      </c>
      <c r="Y504" s="611">
        <v>0</v>
      </c>
      <c r="Z504" s="619">
        <v>698.89683375311927</v>
      </c>
      <c r="AA504" s="51"/>
    </row>
    <row r="505" spans="6:27" x14ac:dyDescent="0.25">
      <c r="F505" s="51"/>
      <c r="G505" s="618" t="s">
        <v>348</v>
      </c>
      <c r="H505" s="611">
        <v>0</v>
      </c>
      <c r="I505" s="611">
        <v>0</v>
      </c>
      <c r="J505" s="611">
        <v>0</v>
      </c>
      <c r="K505" s="611">
        <v>0</v>
      </c>
      <c r="L505" s="611">
        <v>10.095185583157674</v>
      </c>
      <c r="M505" s="611">
        <v>0.18354882878468498</v>
      </c>
      <c r="N505" s="611">
        <v>6.5107047778232934</v>
      </c>
      <c r="O505" s="611">
        <v>0</v>
      </c>
      <c r="P505" s="611">
        <v>23.787457206103085</v>
      </c>
      <c r="Q505" s="611">
        <v>12.007971884882547</v>
      </c>
      <c r="R505" s="611">
        <v>0</v>
      </c>
      <c r="S505" s="611">
        <v>8.0912599085817618</v>
      </c>
      <c r="T505" s="611">
        <v>6.3574095556465853</v>
      </c>
      <c r="U505" s="611">
        <v>13.345725766816866</v>
      </c>
      <c r="V505" s="611">
        <v>12.221648755322821</v>
      </c>
      <c r="W505" s="611">
        <v>0</v>
      </c>
      <c r="X505" s="620">
        <v>-86.369990218724851</v>
      </c>
      <c r="Y505" s="611">
        <v>0</v>
      </c>
      <c r="Z505" s="619">
        <v>6.2309220483944614</v>
      </c>
      <c r="AA505" s="51"/>
    </row>
    <row r="506" spans="6:27" x14ac:dyDescent="0.25">
      <c r="F506" s="51"/>
      <c r="G506" s="618" t="s">
        <v>349</v>
      </c>
      <c r="H506" s="611">
        <v>0</v>
      </c>
      <c r="I506" s="611">
        <v>0</v>
      </c>
      <c r="J506" s="611">
        <v>0</v>
      </c>
      <c r="K506" s="611">
        <v>0</v>
      </c>
      <c r="L506" s="611">
        <v>0</v>
      </c>
      <c r="M506" s="611">
        <v>0</v>
      </c>
      <c r="N506" s="611">
        <v>0</v>
      </c>
      <c r="O506" s="611">
        <v>0</v>
      </c>
      <c r="P506" s="611">
        <v>149.36314864907311</v>
      </c>
      <c r="Q506" s="611">
        <v>12.851297568088029</v>
      </c>
      <c r="R506" s="611">
        <v>0</v>
      </c>
      <c r="S506" s="611">
        <v>-81.192550335578574</v>
      </c>
      <c r="T506" s="611">
        <v>0</v>
      </c>
      <c r="U506" s="611">
        <v>0</v>
      </c>
      <c r="V506" s="611">
        <v>0</v>
      </c>
      <c r="W506" s="611">
        <v>0</v>
      </c>
      <c r="X506" s="611">
        <v>0</v>
      </c>
      <c r="Y506" s="611">
        <v>0</v>
      </c>
      <c r="Z506" s="619">
        <v>81.021895881582566</v>
      </c>
      <c r="AA506" s="51"/>
    </row>
    <row r="507" spans="6:27" x14ac:dyDescent="0.25">
      <c r="F507" s="51"/>
      <c r="G507" s="618" t="s">
        <v>350</v>
      </c>
      <c r="H507" s="611">
        <v>0</v>
      </c>
      <c r="I507" s="611">
        <v>0</v>
      </c>
      <c r="J507" s="611">
        <v>0</v>
      </c>
      <c r="K507" s="611">
        <v>0</v>
      </c>
      <c r="L507" s="611">
        <v>0</v>
      </c>
      <c r="M507" s="620">
        <v>-3.7466899829342335</v>
      </c>
      <c r="N507" s="611">
        <v>0</v>
      </c>
      <c r="O507" s="611">
        <v>0</v>
      </c>
      <c r="P507" s="611">
        <v>0</v>
      </c>
      <c r="Q507" s="611">
        <v>0</v>
      </c>
      <c r="R507" s="611">
        <v>0</v>
      </c>
      <c r="S507" s="611">
        <v>0</v>
      </c>
      <c r="T507" s="611">
        <v>0</v>
      </c>
      <c r="U507" s="611">
        <v>0</v>
      </c>
      <c r="V507" s="611">
        <v>0</v>
      </c>
      <c r="W507" s="611">
        <v>0</v>
      </c>
      <c r="X507" s="611">
        <v>0</v>
      </c>
      <c r="Y507" s="611">
        <v>5.1930977473126321</v>
      </c>
      <c r="Z507" s="619">
        <v>1.4464077643783986</v>
      </c>
      <c r="AA507" s="51"/>
    </row>
    <row r="508" spans="6:27" x14ac:dyDescent="0.25">
      <c r="F508" s="51"/>
      <c r="G508" s="618" t="s">
        <v>72</v>
      </c>
      <c r="H508" s="611">
        <v>0</v>
      </c>
      <c r="I508" s="611">
        <v>148.77345828425325</v>
      </c>
      <c r="J508" s="611">
        <v>-147.28572370141072</v>
      </c>
      <c r="K508" s="611">
        <v>0</v>
      </c>
      <c r="L508" s="611">
        <v>0</v>
      </c>
      <c r="M508" s="611">
        <v>0</v>
      </c>
      <c r="N508" s="611">
        <v>0</v>
      </c>
      <c r="O508" s="611">
        <v>0</v>
      </c>
      <c r="P508" s="611">
        <v>0</v>
      </c>
      <c r="Q508" s="611">
        <v>0</v>
      </c>
      <c r="R508" s="611">
        <v>0</v>
      </c>
      <c r="S508" s="611">
        <v>0</v>
      </c>
      <c r="T508" s="611">
        <v>0</v>
      </c>
      <c r="U508" s="611">
        <v>0</v>
      </c>
      <c r="V508" s="611">
        <v>0</v>
      </c>
      <c r="W508" s="611">
        <v>0</v>
      </c>
      <c r="X508" s="611">
        <v>0</v>
      </c>
      <c r="Y508" s="611">
        <v>0</v>
      </c>
      <c r="Z508" s="619">
        <v>1.4877345828425348</v>
      </c>
      <c r="AA508" s="51"/>
    </row>
    <row r="509" spans="6:27" x14ac:dyDescent="0.25">
      <c r="F509" s="51"/>
      <c r="G509" s="618" t="s">
        <v>351</v>
      </c>
      <c r="H509" s="611">
        <v>0</v>
      </c>
      <c r="I509" s="611">
        <v>0</v>
      </c>
      <c r="J509" s="611">
        <v>0</v>
      </c>
      <c r="K509" s="611">
        <v>0</v>
      </c>
      <c r="L509" s="611">
        <v>0</v>
      </c>
      <c r="M509" s="611">
        <v>0</v>
      </c>
      <c r="N509" s="611">
        <v>0</v>
      </c>
      <c r="O509" s="611">
        <v>0</v>
      </c>
      <c r="P509" s="611">
        <v>102.29704163456771</v>
      </c>
      <c r="Q509" s="611">
        <v>7.2727272727272725</v>
      </c>
      <c r="R509" s="620">
        <v>-61.183830654875514</v>
      </c>
      <c r="S509" s="611">
        <v>0</v>
      </c>
      <c r="T509" s="611">
        <v>0</v>
      </c>
      <c r="U509" s="611">
        <v>0</v>
      </c>
      <c r="V509" s="611">
        <v>0</v>
      </c>
      <c r="W509" s="611">
        <v>0</v>
      </c>
      <c r="X509" s="611">
        <v>0</v>
      </c>
      <c r="Y509" s="611">
        <v>0</v>
      </c>
      <c r="Z509" s="619">
        <v>48.385938252419457</v>
      </c>
      <c r="AA509" s="51"/>
    </row>
    <row r="510" spans="6:27" x14ac:dyDescent="0.25">
      <c r="F510" s="51"/>
      <c r="G510" s="618" t="s">
        <v>352</v>
      </c>
      <c r="H510" s="611">
        <v>0</v>
      </c>
      <c r="I510" s="611">
        <v>0</v>
      </c>
      <c r="J510" s="611">
        <v>0</v>
      </c>
      <c r="K510" s="611">
        <v>-14.619486217725157</v>
      </c>
      <c r="L510" s="611">
        <v>0</v>
      </c>
      <c r="M510" s="611">
        <v>0</v>
      </c>
      <c r="N510" s="611">
        <v>0</v>
      </c>
      <c r="O510" s="611">
        <v>0</v>
      </c>
      <c r="P510" s="611">
        <v>0</v>
      </c>
      <c r="Q510" s="611">
        <v>0</v>
      </c>
      <c r="R510" s="611">
        <v>0</v>
      </c>
      <c r="S510" s="611">
        <v>0</v>
      </c>
      <c r="T510" s="611">
        <v>0</v>
      </c>
      <c r="U510" s="611">
        <v>0</v>
      </c>
      <c r="V510" s="611">
        <v>0</v>
      </c>
      <c r="W510" s="611">
        <v>0</v>
      </c>
      <c r="X510" s="611">
        <v>0</v>
      </c>
      <c r="Y510" s="611">
        <v>24.331434839497675</v>
      </c>
      <c r="Z510" s="619">
        <v>9.7119486217725175</v>
      </c>
      <c r="AA510" s="51"/>
    </row>
    <row r="511" spans="6:27" x14ac:dyDescent="0.25">
      <c r="F511" s="51"/>
      <c r="G511" s="618" t="s">
        <v>73</v>
      </c>
      <c r="H511" s="611">
        <v>0</v>
      </c>
      <c r="I511" s="611">
        <v>0</v>
      </c>
      <c r="J511" s="611">
        <v>0</v>
      </c>
      <c r="K511" s="611">
        <v>0</v>
      </c>
      <c r="L511" s="611">
        <v>0</v>
      </c>
      <c r="M511" s="611">
        <v>0</v>
      </c>
      <c r="N511" s="611">
        <v>0</v>
      </c>
      <c r="O511" s="611">
        <v>0</v>
      </c>
      <c r="P511" s="611">
        <v>0</v>
      </c>
      <c r="Q511" s="611">
        <v>0</v>
      </c>
      <c r="R511" s="611">
        <v>0</v>
      </c>
      <c r="S511" s="611">
        <v>0</v>
      </c>
      <c r="T511" s="611">
        <v>0</v>
      </c>
      <c r="U511" s="611">
        <v>0</v>
      </c>
      <c r="V511" s="611">
        <v>0</v>
      </c>
      <c r="W511" s="611">
        <v>88.6114421596901</v>
      </c>
      <c r="X511" s="611">
        <v>0</v>
      </c>
      <c r="Y511" s="611">
        <v>-62.249538117182297</v>
      </c>
      <c r="Z511" s="619">
        <v>26.361904042507803</v>
      </c>
      <c r="AA511" s="51"/>
    </row>
    <row r="512" spans="6:27" x14ac:dyDescent="0.25">
      <c r="F512" s="51"/>
      <c r="G512" s="618" t="s">
        <v>353</v>
      </c>
      <c r="H512" s="611">
        <v>0</v>
      </c>
      <c r="I512" s="611">
        <v>-5.1997356607688232</v>
      </c>
      <c r="J512" s="611">
        <v>6.948298230027091</v>
      </c>
      <c r="K512" s="611">
        <v>0</v>
      </c>
      <c r="L512" s="611">
        <v>0</v>
      </c>
      <c r="M512" s="611">
        <v>0</v>
      </c>
      <c r="N512" s="611">
        <v>0</v>
      </c>
      <c r="O512" s="611">
        <v>0</v>
      </c>
      <c r="P512" s="611">
        <v>0</v>
      </c>
      <c r="Q512" s="611">
        <v>0</v>
      </c>
      <c r="R512" s="611">
        <v>0</v>
      </c>
      <c r="S512" s="611">
        <v>0</v>
      </c>
      <c r="T512" s="611">
        <v>0</v>
      </c>
      <c r="U512" s="611">
        <v>0</v>
      </c>
      <c r="V512" s="611">
        <v>0</v>
      </c>
      <c r="W512" s="611">
        <v>0</v>
      </c>
      <c r="X512" s="611">
        <v>0</v>
      </c>
      <c r="Y512" s="611">
        <v>0</v>
      </c>
      <c r="Z512" s="619">
        <v>1.7485625692582678</v>
      </c>
      <c r="AA512" s="51"/>
    </row>
    <row r="513" spans="6:27" x14ac:dyDescent="0.25">
      <c r="F513" s="51"/>
      <c r="G513" s="618" t="s">
        <v>75</v>
      </c>
      <c r="H513" s="611">
        <v>0</v>
      </c>
      <c r="I513" s="611">
        <v>0</v>
      </c>
      <c r="J513" s="611">
        <v>5.2004760110645112</v>
      </c>
      <c r="K513" s="611">
        <v>0</v>
      </c>
      <c r="L513" s="611">
        <v>0</v>
      </c>
      <c r="M513" s="611">
        <v>0</v>
      </c>
      <c r="N513" s="611">
        <v>0</v>
      </c>
      <c r="O513" s="611">
        <v>0</v>
      </c>
      <c r="P513" s="611">
        <v>0</v>
      </c>
      <c r="Q513" s="611">
        <v>0</v>
      </c>
      <c r="R513" s="611">
        <v>0</v>
      </c>
      <c r="S513" s="611">
        <v>0</v>
      </c>
      <c r="T513" s="611">
        <v>0</v>
      </c>
      <c r="U513" s="611">
        <v>0</v>
      </c>
      <c r="V513" s="611">
        <v>0</v>
      </c>
      <c r="W513" s="620">
        <v>38.430337038531441</v>
      </c>
      <c r="X513" s="611">
        <v>0</v>
      </c>
      <c r="Y513" s="611">
        <v>1.4650612498705113</v>
      </c>
      <c r="Z513" s="619">
        <v>45.095874299466459</v>
      </c>
      <c r="AA513" s="51"/>
    </row>
    <row r="514" spans="6:27" x14ac:dyDescent="0.25">
      <c r="F514" s="51"/>
      <c r="G514" s="618" t="s">
        <v>76</v>
      </c>
      <c r="H514" s="611">
        <v>0</v>
      </c>
      <c r="I514" s="611">
        <v>0</v>
      </c>
      <c r="J514" s="611">
        <v>0</v>
      </c>
      <c r="K514" s="611">
        <v>0</v>
      </c>
      <c r="L514" s="611">
        <v>0.87272798956791087</v>
      </c>
      <c r="M514" s="611">
        <v>1.5867781628507469E-2</v>
      </c>
      <c r="N514" s="611">
        <v>0</v>
      </c>
      <c r="O514" s="611">
        <v>0</v>
      </c>
      <c r="P514" s="611">
        <v>0</v>
      </c>
      <c r="Q514" s="611">
        <v>0</v>
      </c>
      <c r="R514" s="611">
        <v>0</v>
      </c>
      <c r="S514" s="611">
        <v>0.6981823916543286</v>
      </c>
      <c r="T514" s="611">
        <v>0</v>
      </c>
      <c r="U514" s="611">
        <v>0</v>
      </c>
      <c r="V514" s="611">
        <v>0</v>
      </c>
      <c r="W514" s="611">
        <v>61.224106337294323</v>
      </c>
      <c r="X514" s="611">
        <v>6.697680379771108</v>
      </c>
      <c r="Y514" s="611">
        <v>0</v>
      </c>
      <c r="Z514" s="619">
        <v>69.508564879916179</v>
      </c>
      <c r="AA514" s="51"/>
    </row>
    <row r="515" spans="6:27" x14ac:dyDescent="0.25">
      <c r="F515" s="51"/>
      <c r="G515" s="614" t="s">
        <v>77</v>
      </c>
      <c r="H515" s="615">
        <v>0</v>
      </c>
      <c r="I515" s="615">
        <v>143.57372262348443</v>
      </c>
      <c r="J515" s="615">
        <v>-135.1369494603191</v>
      </c>
      <c r="K515" s="615">
        <v>-14.619486217725157</v>
      </c>
      <c r="L515" s="615">
        <v>10.97014456744899</v>
      </c>
      <c r="M515" s="615">
        <v>-3.5472733725210412</v>
      </c>
      <c r="N515" s="615">
        <v>1021.1177956869142</v>
      </c>
      <c r="O515" s="615">
        <v>462.06687945929309</v>
      </c>
      <c r="P515" s="615">
        <v>293.41607278708199</v>
      </c>
      <c r="Q515" s="615">
        <v>37.444475279494604</v>
      </c>
      <c r="R515" s="615">
        <v>-54.838669650846725</v>
      </c>
      <c r="S515" s="615">
        <v>-72.287130434655069</v>
      </c>
      <c r="T515" s="615">
        <v>6.3574095556465853</v>
      </c>
      <c r="U515" s="615">
        <v>13.345725766816866</v>
      </c>
      <c r="V515" s="615">
        <v>18.698303851168006</v>
      </c>
      <c r="W515" s="615">
        <v>-625.73217962616854</v>
      </c>
      <c r="X515" s="615">
        <v>-79.672309838953737</v>
      </c>
      <c r="Y515" s="615">
        <v>-31.259944280501475</v>
      </c>
      <c r="Z515" s="615">
        <v>989.89658669565813</v>
      </c>
      <c r="AA515" s="51"/>
    </row>
    <row r="516" spans="6:27" x14ac:dyDescent="0.25">
      <c r="F516" s="51"/>
      <c r="G516" s="616"/>
      <c r="H516" s="617"/>
      <c r="I516" s="617"/>
      <c r="J516" s="617"/>
      <c r="K516" s="617"/>
      <c r="L516" s="617"/>
      <c r="M516" s="617"/>
      <c r="N516" s="617"/>
      <c r="O516" s="617"/>
      <c r="P516" s="617"/>
      <c r="Q516" s="617"/>
      <c r="R516" s="617"/>
      <c r="S516" s="617"/>
      <c r="T516" s="617"/>
      <c r="U516" s="617"/>
      <c r="V516" s="617"/>
      <c r="W516" s="617"/>
      <c r="X516" s="617"/>
      <c r="Y516" s="617"/>
      <c r="Z516" s="617"/>
      <c r="AA516" s="51"/>
    </row>
    <row r="517" spans="6:27" x14ac:dyDescent="0.25">
      <c r="F517" s="51"/>
      <c r="G517" s="618" t="s">
        <v>78</v>
      </c>
      <c r="H517" s="611">
        <v>7.2040588378906256E-2</v>
      </c>
      <c r="I517" s="611">
        <v>0</v>
      </c>
      <c r="J517" s="611">
        <v>0.19057103431692568</v>
      </c>
      <c r="K517" s="611">
        <v>0</v>
      </c>
      <c r="L517" s="611">
        <v>28.795611186743677</v>
      </c>
      <c r="M517" s="620">
        <v>0.52355656703170317</v>
      </c>
      <c r="N517" s="611">
        <v>0</v>
      </c>
      <c r="O517" s="611">
        <v>0</v>
      </c>
      <c r="P517" s="611">
        <v>34.871553027324289</v>
      </c>
      <c r="Q517" s="611">
        <v>8.043964025546213</v>
      </c>
      <c r="R517" s="611">
        <v>0</v>
      </c>
      <c r="S517" s="611">
        <v>23.077839156426684</v>
      </c>
      <c r="T517" s="611">
        <v>13.633620117187499</v>
      </c>
      <c r="U517" s="611">
        <v>0</v>
      </c>
      <c r="V517" s="611">
        <v>8.4299170840015686E-4</v>
      </c>
      <c r="W517" s="611">
        <v>158.64644753930071</v>
      </c>
      <c r="X517" s="611">
        <v>19.544256457993722</v>
      </c>
      <c r="Y517" s="611">
        <v>13.641840820312501</v>
      </c>
      <c r="Z517" s="619">
        <v>301.0421435122712</v>
      </c>
      <c r="AA517" s="51"/>
    </row>
    <row r="518" spans="6:27" x14ac:dyDescent="0.25">
      <c r="F518" s="51"/>
      <c r="G518" s="618" t="s">
        <v>79</v>
      </c>
      <c r="H518" s="611">
        <v>0</v>
      </c>
      <c r="I518" s="611">
        <v>0</v>
      </c>
      <c r="J518" s="611">
        <v>27.842691184610331</v>
      </c>
      <c r="K518" s="611">
        <v>2</v>
      </c>
      <c r="L518" s="611">
        <v>4.1475118700352498</v>
      </c>
      <c r="M518" s="620">
        <v>7.5409306727913641E-2</v>
      </c>
      <c r="N518" s="611">
        <v>0</v>
      </c>
      <c r="O518" s="611">
        <v>0</v>
      </c>
      <c r="P518" s="611">
        <v>0</v>
      </c>
      <c r="Q518" s="611">
        <v>0</v>
      </c>
      <c r="R518" s="611">
        <v>29.027871012193479</v>
      </c>
      <c r="S518" s="611">
        <v>3.3180094960281998</v>
      </c>
      <c r="T518" s="611">
        <v>0</v>
      </c>
      <c r="U518" s="611">
        <v>0</v>
      </c>
      <c r="V518" s="611">
        <v>0</v>
      </c>
      <c r="W518" s="611">
        <v>121.41640074189371</v>
      </c>
      <c r="X518" s="611">
        <v>0</v>
      </c>
      <c r="Y518" s="611">
        <v>6.7088833627788453</v>
      </c>
      <c r="Z518" s="619">
        <v>194.53677697426772</v>
      </c>
      <c r="AA518" s="51"/>
    </row>
    <row r="519" spans="6:27" x14ac:dyDescent="0.25">
      <c r="F519" s="51"/>
      <c r="G519" s="618" t="s">
        <v>80</v>
      </c>
      <c r="H519" s="611">
        <v>0</v>
      </c>
      <c r="I519" s="611">
        <v>0</v>
      </c>
      <c r="J519" s="611">
        <v>0.1823284194363245</v>
      </c>
      <c r="K519" s="611">
        <v>0</v>
      </c>
      <c r="L519" s="611">
        <v>19.208488158214077</v>
      </c>
      <c r="M519" s="620">
        <v>0.34924523924025591</v>
      </c>
      <c r="N519" s="611">
        <v>0</v>
      </c>
      <c r="O519" s="611">
        <v>0</v>
      </c>
      <c r="P519" s="611">
        <v>41.860643688874312</v>
      </c>
      <c r="Q519" s="611">
        <v>0</v>
      </c>
      <c r="R519" s="611">
        <v>0</v>
      </c>
      <c r="S519" s="611">
        <v>15.366790526571261</v>
      </c>
      <c r="T519" s="611">
        <v>148.3231165331799</v>
      </c>
      <c r="U519" s="611">
        <v>0</v>
      </c>
      <c r="V519" s="611">
        <v>12.136362038143677</v>
      </c>
      <c r="W519" s="611">
        <v>138.96099758278416</v>
      </c>
      <c r="X519" s="611">
        <v>37.481794053722915</v>
      </c>
      <c r="Y519" s="611">
        <v>0</v>
      </c>
      <c r="Z519" s="619">
        <v>413.86976624016694</v>
      </c>
      <c r="AA519" s="51"/>
    </row>
    <row r="520" spans="6:27" x14ac:dyDescent="0.25">
      <c r="F520" s="51"/>
      <c r="G520" s="618" t="s">
        <v>81</v>
      </c>
      <c r="H520" s="611">
        <v>0</v>
      </c>
      <c r="I520" s="611">
        <v>0</v>
      </c>
      <c r="J520" s="611">
        <v>0.39199311709923457</v>
      </c>
      <c r="K520" s="611">
        <v>0</v>
      </c>
      <c r="L520" s="611">
        <v>9.9162417754913825</v>
      </c>
      <c r="M520" s="620">
        <v>0.18029530500893423</v>
      </c>
      <c r="N520" s="611">
        <v>0</v>
      </c>
      <c r="O520" s="611">
        <v>0</v>
      </c>
      <c r="P520" s="611">
        <v>0.48410239694179807</v>
      </c>
      <c r="Q520" s="611">
        <v>0</v>
      </c>
      <c r="R520" s="611">
        <v>0</v>
      </c>
      <c r="S520" s="611">
        <v>7.9329934203931058</v>
      </c>
      <c r="T520" s="611">
        <v>58.56878651815164</v>
      </c>
      <c r="U520" s="611">
        <v>0</v>
      </c>
      <c r="V520" s="611">
        <v>12.039845592065015</v>
      </c>
      <c r="W520" s="611">
        <v>122.64919061404242</v>
      </c>
      <c r="X520" s="611">
        <v>22.646226401731536</v>
      </c>
      <c r="Y520" s="611">
        <v>0</v>
      </c>
      <c r="Z520" s="619">
        <v>234.80967514092507</v>
      </c>
      <c r="AA520" s="51"/>
    </row>
    <row r="521" spans="6:27" x14ac:dyDescent="0.25">
      <c r="F521" s="51"/>
      <c r="G521" s="618" t="s">
        <v>82</v>
      </c>
      <c r="H521" s="611">
        <v>0</v>
      </c>
      <c r="I521" s="611">
        <v>0</v>
      </c>
      <c r="J521" s="611">
        <v>5.4571309143050808</v>
      </c>
      <c r="K521" s="611">
        <v>0</v>
      </c>
      <c r="L521" s="611">
        <v>0.56206289562711365</v>
      </c>
      <c r="M521" s="620">
        <v>1.0219325375038429E-2</v>
      </c>
      <c r="N521" s="611">
        <v>0</v>
      </c>
      <c r="O521" s="611">
        <v>0</v>
      </c>
      <c r="P521" s="611">
        <v>17.783972013033864</v>
      </c>
      <c r="Q521" s="611">
        <v>0</v>
      </c>
      <c r="R521" s="611">
        <v>8.2374051734864402</v>
      </c>
      <c r="S521" s="611">
        <v>0.44965031650169085</v>
      </c>
      <c r="T521" s="611">
        <v>1.25</v>
      </c>
      <c r="U521" s="611">
        <v>0</v>
      </c>
      <c r="V521" s="611">
        <v>1.7440136932478227</v>
      </c>
      <c r="W521" s="611">
        <v>10.36655207833598</v>
      </c>
      <c r="X521" s="611">
        <v>0</v>
      </c>
      <c r="Y521" s="611">
        <v>0.55589052141355966</v>
      </c>
      <c r="Z521" s="619">
        <v>46.416896931326583</v>
      </c>
      <c r="AA521" s="51"/>
    </row>
    <row r="522" spans="6:27" x14ac:dyDescent="0.25">
      <c r="F522" s="51"/>
      <c r="G522" s="618" t="s">
        <v>354</v>
      </c>
      <c r="H522" s="611">
        <v>0</v>
      </c>
      <c r="I522" s="611">
        <v>0</v>
      </c>
      <c r="J522" s="611">
        <v>0</v>
      </c>
      <c r="K522" s="611">
        <v>0</v>
      </c>
      <c r="L522" s="611">
        <v>0</v>
      </c>
      <c r="M522" s="611">
        <v>0</v>
      </c>
      <c r="N522" s="611">
        <v>0</v>
      </c>
      <c r="O522" s="611">
        <v>0</v>
      </c>
      <c r="P522" s="611">
        <v>0</v>
      </c>
      <c r="Q522" s="611">
        <v>0</v>
      </c>
      <c r="R522" s="611">
        <v>0</v>
      </c>
      <c r="S522" s="611">
        <v>0</v>
      </c>
      <c r="T522" s="611">
        <v>0</v>
      </c>
      <c r="U522" s="611">
        <v>0</v>
      </c>
      <c r="V522" s="611">
        <v>0</v>
      </c>
      <c r="W522" s="611">
        <v>9.0399999999999991</v>
      </c>
      <c r="X522" s="611">
        <v>0</v>
      </c>
      <c r="Y522" s="611">
        <v>0</v>
      </c>
      <c r="Z522" s="619">
        <v>9.0399999999999991</v>
      </c>
      <c r="AA522" s="51"/>
    </row>
    <row r="523" spans="6:27" x14ac:dyDescent="0.25">
      <c r="F523" s="51"/>
      <c r="G523" s="614" t="s">
        <v>83</v>
      </c>
      <c r="H523" s="615">
        <v>7.2040588378906256E-2</v>
      </c>
      <c r="I523" s="615">
        <v>0</v>
      </c>
      <c r="J523" s="615">
        <v>34.064714669767895</v>
      </c>
      <c r="K523" s="615">
        <v>2</v>
      </c>
      <c r="L523" s="615">
        <v>62.629915886111512</v>
      </c>
      <c r="M523" s="615">
        <v>1.1387257433838454</v>
      </c>
      <c r="N523" s="615">
        <v>0</v>
      </c>
      <c r="O523" s="615">
        <v>0</v>
      </c>
      <c r="P523" s="615">
        <v>95.000271126174255</v>
      </c>
      <c r="Q523" s="615">
        <v>8.043964025546213</v>
      </c>
      <c r="R523" s="615">
        <v>37.265276185679923</v>
      </c>
      <c r="S523" s="615">
        <v>50.145282915920937</v>
      </c>
      <c r="T523" s="615">
        <v>221.77552316851904</v>
      </c>
      <c r="U523" s="615">
        <v>0</v>
      </c>
      <c r="V523" s="615">
        <v>25.921064315164912</v>
      </c>
      <c r="W523" s="615">
        <v>561.07958855635695</v>
      </c>
      <c r="X523" s="615">
        <v>79.672276913448172</v>
      </c>
      <c r="Y523" s="615">
        <v>20.906614704504904</v>
      </c>
      <c r="Z523" s="615">
        <v>1199.7152587989574</v>
      </c>
      <c r="AA523" s="51"/>
    </row>
    <row r="524" spans="6:27" x14ac:dyDescent="0.25">
      <c r="F524" s="51"/>
      <c r="G524" s="610" t="s">
        <v>84</v>
      </c>
      <c r="H524" s="611">
        <v>0</v>
      </c>
      <c r="I524" s="611">
        <v>0</v>
      </c>
      <c r="J524" s="611">
        <v>96.394045128661887</v>
      </c>
      <c r="K524" s="611">
        <v>3.4901848637372384</v>
      </c>
      <c r="L524" s="611">
        <v>9.7025025927356783</v>
      </c>
      <c r="M524" s="611">
        <v>0</v>
      </c>
      <c r="N524" s="611">
        <v>0</v>
      </c>
      <c r="O524" s="611">
        <v>0</v>
      </c>
      <c r="P524" s="720">
        <v>0.55051822222324442</v>
      </c>
      <c r="Q524" s="611">
        <v>0</v>
      </c>
      <c r="R524" s="611">
        <v>5.2633850918308207</v>
      </c>
      <c r="S524" s="611">
        <v>0</v>
      </c>
      <c r="T524" s="611">
        <v>0</v>
      </c>
      <c r="U524" s="611">
        <v>0</v>
      </c>
      <c r="V524" s="611">
        <v>0</v>
      </c>
      <c r="W524" s="611">
        <v>0</v>
      </c>
      <c r="X524" s="611">
        <v>0</v>
      </c>
      <c r="Y524" s="611">
        <v>4.3572670917440366</v>
      </c>
      <c r="Z524" s="619">
        <v>119.75790299093292</v>
      </c>
      <c r="AA524" s="51"/>
    </row>
    <row r="525" spans="6:27" x14ac:dyDescent="0.25">
      <c r="F525" s="51"/>
      <c r="G525" s="614" t="s">
        <v>85</v>
      </c>
      <c r="H525" s="615">
        <v>7.2040588378906256E-2</v>
      </c>
      <c r="I525" s="615">
        <v>0</v>
      </c>
      <c r="J525" s="615">
        <v>130.45875979842978</v>
      </c>
      <c r="K525" s="615">
        <v>5.4901848637372384</v>
      </c>
      <c r="L525" s="615">
        <v>72.332418478847188</v>
      </c>
      <c r="M525" s="615">
        <v>1.1387257433838454</v>
      </c>
      <c r="N525" s="615">
        <v>0</v>
      </c>
      <c r="O525" s="615">
        <v>0</v>
      </c>
      <c r="P525" s="615">
        <v>95.550789348397501</v>
      </c>
      <c r="Q525" s="615">
        <v>8.043964025546213</v>
      </c>
      <c r="R525" s="615">
        <v>42.528661277510743</v>
      </c>
      <c r="S525" s="615">
        <v>50.145282915920937</v>
      </c>
      <c r="T525" s="615">
        <v>221.77552316851904</v>
      </c>
      <c r="U525" s="615">
        <v>0</v>
      </c>
      <c r="V525" s="615">
        <v>25.921064315164912</v>
      </c>
      <c r="W525" s="615">
        <v>561.07958855635695</v>
      </c>
      <c r="X525" s="615">
        <v>79.672276913448172</v>
      </c>
      <c r="Y525" s="615">
        <v>25.263881796248938</v>
      </c>
      <c r="Z525" s="615">
        <v>1319.4731617898904</v>
      </c>
      <c r="AA525" s="51"/>
    </row>
    <row r="526" spans="6:27" x14ac:dyDescent="0.25">
      <c r="F526" s="51"/>
      <c r="G526" s="51"/>
      <c r="H526" s="722">
        <v>0</v>
      </c>
      <c r="I526" s="722">
        <v>0</v>
      </c>
      <c r="J526" s="722">
        <v>-7.1054273576010019E-15</v>
      </c>
      <c r="K526" s="722">
        <v>0</v>
      </c>
      <c r="L526" s="722">
        <v>4.0563540423477207E-5</v>
      </c>
      <c r="M526" s="722">
        <v>-4.0563540425697653E-5</v>
      </c>
      <c r="N526" s="722">
        <v>0</v>
      </c>
      <c r="O526" s="722">
        <v>0</v>
      </c>
      <c r="P526" s="722">
        <v>0</v>
      </c>
      <c r="Q526" s="722">
        <v>0</v>
      </c>
      <c r="R526" s="722">
        <v>0</v>
      </c>
      <c r="S526" s="722">
        <v>0</v>
      </c>
      <c r="T526" s="722">
        <v>0</v>
      </c>
      <c r="U526" s="722">
        <v>0</v>
      </c>
      <c r="V526" s="722">
        <v>0</v>
      </c>
      <c r="W526" s="722">
        <v>0</v>
      </c>
      <c r="X526" s="723">
        <v>-3.2925505564662672E-5</v>
      </c>
      <c r="Y526" s="722">
        <v>0</v>
      </c>
      <c r="Z526" s="722">
        <v>-3.2925505365710706E-5</v>
      </c>
      <c r="AA526" s="51"/>
    </row>
    <row r="527" spans="6:27" x14ac:dyDescent="0.25">
      <c r="F527" s="51"/>
      <c r="G527" s="51"/>
      <c r="H527" s="51"/>
      <c r="I527" s="51"/>
      <c r="J527" s="51"/>
      <c r="K527" s="67"/>
      <c r="L527" s="51"/>
      <c r="M527" s="51"/>
      <c r="N527" s="51"/>
      <c r="O527" s="51"/>
      <c r="P527" s="51"/>
      <c r="Q527" s="51"/>
      <c r="R527" s="51"/>
      <c r="S527" s="722"/>
      <c r="T527" s="51"/>
      <c r="U527" s="51"/>
      <c r="V527" s="51"/>
      <c r="W527" s="51"/>
      <c r="X527" s="51"/>
      <c r="Y527" s="51"/>
      <c r="Z527" s="51"/>
      <c r="AA527" s="51"/>
    </row>
    <row r="528" spans="6:27" x14ac:dyDescent="0.25">
      <c r="F528" s="606"/>
      <c r="G528" s="607" t="s">
        <v>89</v>
      </c>
      <c r="H528" s="606"/>
      <c r="I528" s="606"/>
      <c r="J528" s="606"/>
      <c r="K528" s="682"/>
      <c r="L528" s="606"/>
      <c r="M528" s="606"/>
      <c r="N528" s="606"/>
      <c r="O528" s="606"/>
      <c r="P528" s="606"/>
      <c r="Q528" s="606"/>
      <c r="R528" s="606"/>
      <c r="S528" s="606"/>
      <c r="T528" s="606"/>
      <c r="U528" s="606"/>
      <c r="V528" s="606"/>
      <c r="W528" s="606"/>
      <c r="X528" s="606"/>
      <c r="Y528" s="606"/>
      <c r="Z528" s="606"/>
      <c r="AA528" s="606"/>
    </row>
    <row r="529" spans="6:27" x14ac:dyDescent="0.25">
      <c r="F529" s="51"/>
      <c r="G529" s="51"/>
      <c r="H529" s="51"/>
      <c r="I529" s="51"/>
      <c r="J529" s="51"/>
      <c r="K529" s="67"/>
      <c r="L529" s="51"/>
      <c r="M529" s="51"/>
      <c r="N529" s="51"/>
      <c r="O529" s="51"/>
      <c r="P529" s="51"/>
      <c r="Q529" s="51"/>
      <c r="R529" s="51"/>
      <c r="S529" s="51"/>
      <c r="T529" s="51"/>
      <c r="U529" s="51"/>
      <c r="V529" s="51"/>
      <c r="W529" s="51"/>
      <c r="X529" s="51"/>
      <c r="Y529" s="51"/>
      <c r="Z529" s="51"/>
      <c r="AA529" s="51"/>
    </row>
    <row r="530" spans="6:27" x14ac:dyDescent="0.25">
      <c r="F530" s="51"/>
      <c r="G530" s="764" t="s">
        <v>128</v>
      </c>
      <c r="H530" s="753" t="s">
        <v>42</v>
      </c>
      <c r="I530" s="753" t="s">
        <v>52</v>
      </c>
      <c r="J530" s="753" t="s">
        <v>53</v>
      </c>
      <c r="K530" s="766" t="s">
        <v>482</v>
      </c>
      <c r="L530" s="753" t="s">
        <v>32</v>
      </c>
      <c r="M530" s="753" t="s">
        <v>483</v>
      </c>
      <c r="N530" s="753" t="s">
        <v>20</v>
      </c>
      <c r="O530" s="753" t="s">
        <v>55</v>
      </c>
      <c r="P530" s="761" t="s">
        <v>56</v>
      </c>
      <c r="Q530" s="762"/>
      <c r="R530" s="762"/>
      <c r="S530" s="762"/>
      <c r="T530" s="762"/>
      <c r="U530" s="762"/>
      <c r="V530" s="763"/>
      <c r="W530" s="753" t="s">
        <v>57</v>
      </c>
      <c r="X530" s="753" t="s">
        <v>58</v>
      </c>
      <c r="Y530" s="753" t="s">
        <v>31</v>
      </c>
      <c r="Z530" s="753" t="s">
        <v>10</v>
      </c>
      <c r="AA530" s="51"/>
    </row>
    <row r="531" spans="6:27" ht="36" x14ac:dyDescent="0.25">
      <c r="F531" s="51"/>
      <c r="G531" s="765"/>
      <c r="H531" s="754"/>
      <c r="I531" s="754"/>
      <c r="J531" s="754"/>
      <c r="K531" s="767"/>
      <c r="L531" s="754"/>
      <c r="M531" s="754"/>
      <c r="N531" s="754"/>
      <c r="O531" s="754"/>
      <c r="P531" s="608" t="s">
        <v>335</v>
      </c>
      <c r="Q531" s="608" t="s">
        <v>40</v>
      </c>
      <c r="R531" s="608" t="s">
        <v>343</v>
      </c>
      <c r="S531" s="608" t="s">
        <v>344</v>
      </c>
      <c r="T531" s="609" t="s">
        <v>345</v>
      </c>
      <c r="U531" s="609" t="s">
        <v>609</v>
      </c>
      <c r="V531" s="608" t="s">
        <v>346</v>
      </c>
      <c r="W531" s="754"/>
      <c r="X531" s="754"/>
      <c r="Y531" s="754"/>
      <c r="Z531" s="754"/>
      <c r="AA531" s="51"/>
    </row>
    <row r="532" spans="6:27" x14ac:dyDescent="0.25">
      <c r="F532" s="51"/>
      <c r="G532" s="610" t="s">
        <v>59</v>
      </c>
      <c r="H532" s="611">
        <v>0</v>
      </c>
      <c r="I532" s="611">
        <v>0</v>
      </c>
      <c r="J532" s="611">
        <v>0</v>
      </c>
      <c r="K532" s="611">
        <v>0</v>
      </c>
      <c r="L532" s="611">
        <v>0</v>
      </c>
      <c r="M532" s="681">
        <v>0</v>
      </c>
      <c r="N532" s="612">
        <v>807.37795933495636</v>
      </c>
      <c r="O532" s="612">
        <v>553.99388589395949</v>
      </c>
      <c r="P532" s="611">
        <v>401.60616442653316</v>
      </c>
      <c r="Q532" s="612">
        <v>43.888349788112322</v>
      </c>
      <c r="R532" s="611">
        <v>0</v>
      </c>
      <c r="S532" s="611">
        <v>0</v>
      </c>
      <c r="T532" s="612">
        <v>260.74620498288783</v>
      </c>
      <c r="U532" s="612">
        <v>13.672338767531656</v>
      </c>
      <c r="V532" s="612">
        <v>50.723080686002739</v>
      </c>
      <c r="W532" s="611">
        <v>0</v>
      </c>
      <c r="X532" s="611">
        <v>0</v>
      </c>
      <c r="Y532" s="611">
        <v>0</v>
      </c>
      <c r="Z532" s="613">
        <v>2132.0079838799838</v>
      </c>
      <c r="AA532" s="51"/>
    </row>
    <row r="533" spans="6:27" x14ac:dyDescent="0.25">
      <c r="F533" s="51"/>
      <c r="G533" s="610" t="s">
        <v>60</v>
      </c>
      <c r="H533" s="611">
        <v>0</v>
      </c>
      <c r="I533" s="611">
        <v>58.863651738299311</v>
      </c>
      <c r="J533" s="611">
        <v>45.756672067678878</v>
      </c>
      <c r="K533" s="611">
        <v>12.032159045744653</v>
      </c>
      <c r="L533" s="620">
        <v>7.019987079045241</v>
      </c>
      <c r="M533" s="681">
        <v>0</v>
      </c>
      <c r="N533" s="611">
        <v>0</v>
      </c>
      <c r="O533" s="611">
        <v>0</v>
      </c>
      <c r="P533" s="611">
        <v>22.470468893714155</v>
      </c>
      <c r="Q533" s="611">
        <v>0</v>
      </c>
      <c r="R533" s="611">
        <v>0</v>
      </c>
      <c r="S533" s="611">
        <v>0</v>
      </c>
      <c r="T533" s="611">
        <v>0</v>
      </c>
      <c r="U533" s="611">
        <v>0</v>
      </c>
      <c r="V533" s="611">
        <v>0</v>
      </c>
      <c r="W533" s="611">
        <v>0</v>
      </c>
      <c r="X533" s="611">
        <v>0</v>
      </c>
      <c r="Y533" s="611">
        <v>0</v>
      </c>
      <c r="Z533" s="613">
        <v>146.14293882448223</v>
      </c>
      <c r="AA533" s="51"/>
    </row>
    <row r="534" spans="6:27" x14ac:dyDescent="0.25">
      <c r="F534" s="51"/>
      <c r="G534" s="610" t="s">
        <v>61</v>
      </c>
      <c r="H534" s="611">
        <v>0</v>
      </c>
      <c r="I534" s="611">
        <v>0</v>
      </c>
      <c r="J534" s="611">
        <v>0</v>
      </c>
      <c r="K534" s="611">
        <v>0</v>
      </c>
      <c r="L534" s="611">
        <v>0</v>
      </c>
      <c r="M534" s="681">
        <v>0</v>
      </c>
      <c r="N534" s="611">
        <v>0</v>
      </c>
      <c r="O534" s="611">
        <v>0</v>
      </c>
      <c r="P534" s="611">
        <v>0</v>
      </c>
      <c r="Q534" s="611">
        <v>0</v>
      </c>
      <c r="R534" s="611">
        <v>-12.102055378039722</v>
      </c>
      <c r="S534" s="681">
        <v>-3.7955214595352373</v>
      </c>
      <c r="T534" s="611">
        <v>0</v>
      </c>
      <c r="U534" s="611">
        <v>0</v>
      </c>
      <c r="V534" s="611">
        <v>0</v>
      </c>
      <c r="W534" s="611">
        <v>-28.679288227585289</v>
      </c>
      <c r="X534" s="611">
        <v>0</v>
      </c>
      <c r="Y534" s="611">
        <v>0</v>
      </c>
      <c r="Z534" s="613">
        <v>-44.576865065160248</v>
      </c>
      <c r="AA534" s="51"/>
    </row>
    <row r="535" spans="6:27" x14ac:dyDescent="0.25">
      <c r="F535" s="51"/>
      <c r="G535" s="610" t="s">
        <v>62</v>
      </c>
      <c r="H535" s="611">
        <v>0</v>
      </c>
      <c r="I535" s="611">
        <v>0</v>
      </c>
      <c r="J535" s="611">
        <v>-1.2057976620084264E-3</v>
      </c>
      <c r="K535" s="611">
        <v>-2.8026264036035151</v>
      </c>
      <c r="L535" s="611">
        <v>0</v>
      </c>
      <c r="M535" s="681">
        <v>-2.8026264036035156</v>
      </c>
      <c r="N535" s="611">
        <v>0</v>
      </c>
      <c r="O535" s="611">
        <v>0</v>
      </c>
      <c r="P535" s="611">
        <v>0</v>
      </c>
      <c r="Q535" s="611">
        <v>0</v>
      </c>
      <c r="R535" s="611">
        <v>0</v>
      </c>
      <c r="S535" s="681">
        <v>-2.4289428831230464</v>
      </c>
      <c r="T535" s="611">
        <v>0</v>
      </c>
      <c r="U535" s="611">
        <v>0</v>
      </c>
      <c r="V535" s="611">
        <v>0</v>
      </c>
      <c r="W535" s="611">
        <v>0</v>
      </c>
      <c r="X535" s="611">
        <v>0</v>
      </c>
      <c r="Y535" s="611">
        <v>-1.3066910843207444</v>
      </c>
      <c r="Z535" s="613">
        <v>-9.342092572312831</v>
      </c>
      <c r="AA535" s="51"/>
    </row>
    <row r="536" spans="6:27" x14ac:dyDescent="0.25">
      <c r="F536" s="51"/>
      <c r="G536" s="610" t="s">
        <v>63</v>
      </c>
      <c r="H536" s="611">
        <v>0</v>
      </c>
      <c r="I536" s="611">
        <v>0</v>
      </c>
      <c r="J536" s="611">
        <v>-7</v>
      </c>
      <c r="K536" s="611">
        <v>-25</v>
      </c>
      <c r="L536" s="611">
        <v>0</v>
      </c>
      <c r="M536" s="681">
        <v>0</v>
      </c>
      <c r="N536" s="611">
        <v>0</v>
      </c>
      <c r="O536" s="611">
        <v>0</v>
      </c>
      <c r="P536" s="611">
        <v>0</v>
      </c>
      <c r="Q536" s="611">
        <v>0</v>
      </c>
      <c r="R536" s="611">
        <v>-17</v>
      </c>
      <c r="S536" s="611">
        <v>0</v>
      </c>
      <c r="T536" s="611">
        <v>0</v>
      </c>
      <c r="U536" s="611">
        <v>0</v>
      </c>
      <c r="V536" s="611">
        <v>0</v>
      </c>
      <c r="W536" s="611">
        <v>0</v>
      </c>
      <c r="X536" s="611">
        <v>0</v>
      </c>
      <c r="Y536" s="611">
        <v>-8</v>
      </c>
      <c r="Z536" s="613">
        <v>-57</v>
      </c>
      <c r="AA536" s="51"/>
    </row>
    <row r="537" spans="6:27" x14ac:dyDescent="0.25">
      <c r="F537" s="51"/>
      <c r="G537" s="610" t="s">
        <v>64</v>
      </c>
      <c r="H537" s="611">
        <v>0</v>
      </c>
      <c r="I537" s="611">
        <v>0</v>
      </c>
      <c r="J537" s="611">
        <v>0</v>
      </c>
      <c r="K537" s="611">
        <v>0</v>
      </c>
      <c r="L537" s="611">
        <v>0</v>
      </c>
      <c r="M537" s="681">
        <v>0</v>
      </c>
      <c r="N537" s="611">
        <v>0</v>
      </c>
      <c r="O537" s="611">
        <v>0</v>
      </c>
      <c r="P537" s="611">
        <v>0</v>
      </c>
      <c r="Q537" s="611">
        <v>0</v>
      </c>
      <c r="R537" s="611">
        <v>0</v>
      </c>
      <c r="S537" s="611">
        <v>0</v>
      </c>
      <c r="T537" s="611">
        <v>0</v>
      </c>
      <c r="U537" s="611">
        <v>0</v>
      </c>
      <c r="V537" s="611">
        <v>0</v>
      </c>
      <c r="W537" s="611">
        <v>0</v>
      </c>
      <c r="X537" s="611">
        <v>0</v>
      </c>
      <c r="Y537" s="611">
        <v>0</v>
      </c>
      <c r="Z537" s="613">
        <v>0</v>
      </c>
      <c r="AA537" s="51"/>
    </row>
    <row r="538" spans="6:27" x14ac:dyDescent="0.25">
      <c r="F538" s="51"/>
      <c r="G538" s="614" t="s">
        <v>65</v>
      </c>
      <c r="H538" s="615">
        <v>0</v>
      </c>
      <c r="I538" s="615">
        <v>58.863651738299311</v>
      </c>
      <c r="J538" s="615">
        <v>38.755466270016868</v>
      </c>
      <c r="K538" s="615">
        <v>-15.770467357858863</v>
      </c>
      <c r="L538" s="615">
        <v>7.019987079045241</v>
      </c>
      <c r="M538" s="691">
        <v>-2.8026264036035156</v>
      </c>
      <c r="N538" s="615">
        <v>807.37795933495636</v>
      </c>
      <c r="O538" s="615">
        <v>553.99388589395949</v>
      </c>
      <c r="P538" s="615">
        <v>424.07663332024731</v>
      </c>
      <c r="Q538" s="615">
        <v>43.888349788112322</v>
      </c>
      <c r="R538" s="615">
        <v>-29.102055378039722</v>
      </c>
      <c r="S538" s="615">
        <v>-6.2244643426582833</v>
      </c>
      <c r="T538" s="615">
        <v>260.74620498288783</v>
      </c>
      <c r="U538" s="615">
        <v>13.672338767531656</v>
      </c>
      <c r="V538" s="615">
        <v>50.723080686002739</v>
      </c>
      <c r="W538" s="615">
        <v>-28.679288227585289</v>
      </c>
      <c r="X538" s="615">
        <v>0</v>
      </c>
      <c r="Y538" s="615">
        <v>-9.3066910843207449</v>
      </c>
      <c r="Z538" s="615">
        <v>2167.2319650669929</v>
      </c>
      <c r="AA538" s="51"/>
    </row>
    <row r="539" spans="6:27" x14ac:dyDescent="0.25">
      <c r="F539" s="51"/>
      <c r="G539" s="616"/>
      <c r="H539" s="617"/>
      <c r="I539" s="617"/>
      <c r="J539" s="617"/>
      <c r="K539" s="617"/>
      <c r="L539" s="617"/>
      <c r="M539" s="685"/>
      <c r="N539" s="617"/>
      <c r="O539" s="617"/>
      <c r="P539" s="617"/>
      <c r="Q539" s="617"/>
      <c r="R539" s="617"/>
      <c r="S539" s="617"/>
      <c r="T539" s="617"/>
      <c r="U539" s="617"/>
      <c r="V539" s="617"/>
      <c r="W539" s="617"/>
      <c r="X539" s="617"/>
      <c r="Y539" s="617"/>
      <c r="Z539" s="617"/>
      <c r="AA539" s="51"/>
    </row>
    <row r="540" spans="6:27" x14ac:dyDescent="0.25">
      <c r="F540" s="51"/>
      <c r="G540" s="618" t="s">
        <v>67</v>
      </c>
      <c r="H540" s="611">
        <v>0</v>
      </c>
      <c r="I540" s="611">
        <v>0</v>
      </c>
      <c r="J540" s="611">
        <v>0</v>
      </c>
      <c r="K540" s="611">
        <v>0</v>
      </c>
      <c r="L540" s="611">
        <v>0</v>
      </c>
      <c r="M540" s="681">
        <v>0</v>
      </c>
      <c r="N540" s="611">
        <v>0</v>
      </c>
      <c r="O540" s="611">
        <v>0</v>
      </c>
      <c r="P540" s="611">
        <v>0</v>
      </c>
      <c r="Q540" s="611">
        <v>0</v>
      </c>
      <c r="R540" s="611">
        <v>0</v>
      </c>
      <c r="S540" s="611">
        <v>0</v>
      </c>
      <c r="T540" s="611">
        <v>0</v>
      </c>
      <c r="U540" s="611">
        <v>0</v>
      </c>
      <c r="V540" s="611">
        <v>0</v>
      </c>
      <c r="W540" s="611">
        <v>0</v>
      </c>
      <c r="X540" s="611">
        <v>0</v>
      </c>
      <c r="Y540" s="611">
        <v>0</v>
      </c>
      <c r="Z540" s="619">
        <v>0</v>
      </c>
      <c r="AA540" s="51"/>
    </row>
    <row r="541" spans="6:27" x14ac:dyDescent="0.25">
      <c r="F541" s="51"/>
      <c r="G541" s="618" t="s">
        <v>347</v>
      </c>
      <c r="H541" s="611">
        <v>0</v>
      </c>
      <c r="I541" s="611">
        <v>0</v>
      </c>
      <c r="J541" s="611">
        <v>0</v>
      </c>
      <c r="K541" s="611">
        <v>0</v>
      </c>
      <c r="L541" s="611">
        <v>0</v>
      </c>
      <c r="M541" s="681">
        <v>0</v>
      </c>
      <c r="N541" s="611">
        <v>797.92981818181818</v>
      </c>
      <c r="O541" s="611">
        <v>553.99388589395949</v>
      </c>
      <c r="P541" s="611">
        <v>18.017312138261726</v>
      </c>
      <c r="Q541" s="611">
        <v>5.0359913785352379</v>
      </c>
      <c r="R541" s="611">
        <v>6.5561937148871507</v>
      </c>
      <c r="S541" s="611">
        <v>0.11704136254218823</v>
      </c>
      <c r="T541" s="611">
        <v>0</v>
      </c>
      <c r="U541" s="611">
        <v>0</v>
      </c>
      <c r="V541" s="611">
        <v>6.7631767445353068</v>
      </c>
      <c r="W541" s="611">
        <v>-834.6881786149205</v>
      </c>
      <c r="X541" s="611">
        <v>0</v>
      </c>
      <c r="Y541" s="611">
        <v>0</v>
      </c>
      <c r="Z541" s="619">
        <v>553.72524079961875</v>
      </c>
      <c r="AA541" s="51"/>
    </row>
    <row r="542" spans="6:27" x14ac:dyDescent="0.25">
      <c r="F542" s="51"/>
      <c r="G542" s="618" t="s">
        <v>348</v>
      </c>
      <c r="H542" s="611">
        <v>0</v>
      </c>
      <c r="I542" s="611">
        <v>0</v>
      </c>
      <c r="J542" s="611">
        <v>0</v>
      </c>
      <c r="K542" s="611">
        <v>0</v>
      </c>
      <c r="L542" s="611">
        <v>0</v>
      </c>
      <c r="M542" s="681">
        <v>0.44183816383617902</v>
      </c>
      <c r="N542" s="611">
        <v>9.448141153138188</v>
      </c>
      <c r="O542" s="611">
        <v>0</v>
      </c>
      <c r="P542" s="611">
        <v>23.543561697387847</v>
      </c>
      <c r="Q542" s="611">
        <v>10.266401321700496</v>
      </c>
      <c r="R542" s="611">
        <v>0</v>
      </c>
      <c r="S542" s="611">
        <v>8.4106289047241454</v>
      </c>
      <c r="T542" s="611">
        <v>8.9002823062763792</v>
      </c>
      <c r="U542" s="611">
        <v>13.672338767531656</v>
      </c>
      <c r="V542" s="611">
        <v>12.943396433622139</v>
      </c>
      <c r="W542" s="611">
        <v>0</v>
      </c>
      <c r="X542" s="620">
        <v>-82.703064296862223</v>
      </c>
      <c r="Y542" s="611">
        <v>0</v>
      </c>
      <c r="Z542" s="619">
        <v>4.9235244513548082</v>
      </c>
      <c r="AA542" s="51"/>
    </row>
    <row r="543" spans="6:27" x14ac:dyDescent="0.25">
      <c r="F543" s="51"/>
      <c r="G543" s="618" t="s">
        <v>349</v>
      </c>
      <c r="H543" s="611">
        <v>0</v>
      </c>
      <c r="I543" s="611">
        <v>0</v>
      </c>
      <c r="J543" s="611">
        <v>0</v>
      </c>
      <c r="K543" s="611">
        <v>0</v>
      </c>
      <c r="L543" s="611">
        <v>0</v>
      </c>
      <c r="M543" s="681">
        <v>0</v>
      </c>
      <c r="N543" s="611">
        <v>0</v>
      </c>
      <c r="O543" s="611">
        <v>0</v>
      </c>
      <c r="P543" s="611">
        <v>177.56965686689</v>
      </c>
      <c r="Q543" s="611">
        <v>14.007374273227594</v>
      </c>
      <c r="R543" s="611">
        <v>0</v>
      </c>
      <c r="S543" s="611">
        <v>-95.874066928158982</v>
      </c>
      <c r="T543" s="611">
        <v>0</v>
      </c>
      <c r="U543" s="611">
        <v>0</v>
      </c>
      <c r="V543" s="611">
        <v>0</v>
      </c>
      <c r="W543" s="611">
        <v>0</v>
      </c>
      <c r="X543" s="611">
        <v>0</v>
      </c>
      <c r="Y543" s="611">
        <v>0</v>
      </c>
      <c r="Z543" s="619">
        <v>95.702964211958601</v>
      </c>
      <c r="AA543" s="51"/>
    </row>
    <row r="544" spans="6:27" x14ac:dyDescent="0.25">
      <c r="F544" s="51"/>
      <c r="G544" s="618" t="s">
        <v>350</v>
      </c>
      <c r="H544" s="611">
        <v>0</v>
      </c>
      <c r="I544" s="611">
        <v>0</v>
      </c>
      <c r="J544" s="611">
        <v>0</v>
      </c>
      <c r="K544" s="611">
        <v>0</v>
      </c>
      <c r="L544" s="611">
        <v>0</v>
      </c>
      <c r="M544" s="724">
        <v>-7.5120211335666909</v>
      </c>
      <c r="N544" s="611">
        <v>0</v>
      </c>
      <c r="O544" s="611">
        <v>0</v>
      </c>
      <c r="P544" s="611">
        <v>0</v>
      </c>
      <c r="Q544" s="611">
        <v>0</v>
      </c>
      <c r="R544" s="611">
        <v>0</v>
      </c>
      <c r="S544" s="611">
        <v>0</v>
      </c>
      <c r="T544" s="611">
        <v>0</v>
      </c>
      <c r="U544" s="611">
        <v>0</v>
      </c>
      <c r="V544" s="611">
        <v>0</v>
      </c>
      <c r="W544" s="611">
        <v>0</v>
      </c>
      <c r="X544" s="611">
        <v>0</v>
      </c>
      <c r="Y544" s="611">
        <v>10.395912432015363</v>
      </c>
      <c r="Z544" s="619">
        <v>2.8838912984486722</v>
      </c>
      <c r="AA544" s="51"/>
    </row>
    <row r="545" spans="6:27" x14ac:dyDescent="0.25">
      <c r="F545" s="51"/>
      <c r="G545" s="618" t="s">
        <v>72</v>
      </c>
      <c r="H545" s="611">
        <v>0</v>
      </c>
      <c r="I545" s="611">
        <v>60.999648796706254</v>
      </c>
      <c r="J545" s="611">
        <v>-60.389652308739187</v>
      </c>
      <c r="K545" s="611">
        <v>0</v>
      </c>
      <c r="L545" s="611">
        <v>0</v>
      </c>
      <c r="M545" s="681">
        <v>0</v>
      </c>
      <c r="N545" s="611">
        <v>0</v>
      </c>
      <c r="O545" s="611">
        <v>0</v>
      </c>
      <c r="P545" s="611">
        <v>0</v>
      </c>
      <c r="Q545" s="611">
        <v>0</v>
      </c>
      <c r="R545" s="611">
        <v>0</v>
      </c>
      <c r="S545" s="611">
        <v>0</v>
      </c>
      <c r="T545" s="611">
        <v>0</v>
      </c>
      <c r="U545" s="611">
        <v>0</v>
      </c>
      <c r="V545" s="611">
        <v>0</v>
      </c>
      <c r="W545" s="611">
        <v>0</v>
      </c>
      <c r="X545" s="611">
        <v>0</v>
      </c>
      <c r="Y545" s="611">
        <v>0</v>
      </c>
      <c r="Z545" s="619">
        <v>0.60999648796706651</v>
      </c>
      <c r="AA545" s="51"/>
    </row>
    <row r="546" spans="6:27" x14ac:dyDescent="0.25">
      <c r="F546" s="51"/>
      <c r="G546" s="618" t="s">
        <v>351</v>
      </c>
      <c r="H546" s="611">
        <v>0</v>
      </c>
      <c r="I546" s="611">
        <v>0</v>
      </c>
      <c r="J546" s="611">
        <v>0</v>
      </c>
      <c r="K546" s="611">
        <v>0</v>
      </c>
      <c r="L546" s="611">
        <v>0</v>
      </c>
      <c r="M546" s="681">
        <v>0</v>
      </c>
      <c r="N546" s="611">
        <v>0</v>
      </c>
      <c r="O546" s="611">
        <v>0</v>
      </c>
      <c r="P546" s="611">
        <v>112.15319289997592</v>
      </c>
      <c r="Q546" s="611">
        <v>7.2727272727272725</v>
      </c>
      <c r="R546" s="620">
        <v>-66.38461722515251</v>
      </c>
      <c r="S546" s="611">
        <v>0</v>
      </c>
      <c r="T546" s="611">
        <v>0</v>
      </c>
      <c r="U546" s="611">
        <v>0</v>
      </c>
      <c r="V546" s="611">
        <v>0</v>
      </c>
      <c r="W546" s="611">
        <v>0</v>
      </c>
      <c r="X546" s="611">
        <v>0</v>
      </c>
      <c r="Y546" s="611">
        <v>0</v>
      </c>
      <c r="Z546" s="619">
        <v>53.041302947550676</v>
      </c>
      <c r="AA546" s="51"/>
    </row>
    <row r="547" spans="6:27" x14ac:dyDescent="0.25">
      <c r="F547" s="51"/>
      <c r="G547" s="618" t="s">
        <v>352</v>
      </c>
      <c r="H547" s="611">
        <v>0</v>
      </c>
      <c r="I547" s="611">
        <v>0</v>
      </c>
      <c r="J547" s="611">
        <v>0</v>
      </c>
      <c r="K547" s="611">
        <v>-24.740126403603515</v>
      </c>
      <c r="L547" s="611">
        <v>0</v>
      </c>
      <c r="M547" s="681">
        <v>0</v>
      </c>
      <c r="N547" s="611">
        <v>0</v>
      </c>
      <c r="O547" s="611">
        <v>0</v>
      </c>
      <c r="P547" s="611">
        <v>0</v>
      </c>
      <c r="Q547" s="611">
        <v>0</v>
      </c>
      <c r="R547" s="611">
        <v>0</v>
      </c>
      <c r="S547" s="611">
        <v>0</v>
      </c>
      <c r="T547" s="611">
        <v>0</v>
      </c>
      <c r="U547" s="611">
        <v>0</v>
      </c>
      <c r="V547" s="611">
        <v>0</v>
      </c>
      <c r="W547" s="611">
        <v>0</v>
      </c>
      <c r="X547" s="611">
        <v>0</v>
      </c>
      <c r="Y547" s="611">
        <v>41.692889043963866</v>
      </c>
      <c r="Z547" s="619">
        <v>16.952762640360351</v>
      </c>
      <c r="AA547" s="51"/>
    </row>
    <row r="548" spans="6:27" x14ac:dyDescent="0.25">
      <c r="F548" s="51"/>
      <c r="G548" s="618" t="s">
        <v>73</v>
      </c>
      <c r="H548" s="611">
        <v>0</v>
      </c>
      <c r="I548" s="611">
        <v>0</v>
      </c>
      <c r="J548" s="611">
        <v>0</v>
      </c>
      <c r="K548" s="611">
        <v>0</v>
      </c>
      <c r="L548" s="611">
        <v>0</v>
      </c>
      <c r="M548" s="681">
        <v>0</v>
      </c>
      <c r="N548" s="611">
        <v>0</v>
      </c>
      <c r="O548" s="611">
        <v>0</v>
      </c>
      <c r="P548" s="611">
        <v>0</v>
      </c>
      <c r="Q548" s="611">
        <v>0</v>
      </c>
      <c r="R548" s="611">
        <v>0</v>
      </c>
      <c r="S548" s="611">
        <v>0</v>
      </c>
      <c r="T548" s="611">
        <v>0</v>
      </c>
      <c r="U548" s="611">
        <v>0</v>
      </c>
      <c r="V548" s="611">
        <v>0</v>
      </c>
      <c r="W548" s="611">
        <v>127.55076516290167</v>
      </c>
      <c r="X548" s="611">
        <v>0</v>
      </c>
      <c r="Y548" s="611">
        <v>-91.836550917289202</v>
      </c>
      <c r="Z548" s="619">
        <v>35.714214245612467</v>
      </c>
      <c r="AA548" s="51"/>
    </row>
    <row r="549" spans="6:27" x14ac:dyDescent="0.25">
      <c r="F549" s="51"/>
      <c r="G549" s="618" t="s">
        <v>353</v>
      </c>
      <c r="H549" s="611">
        <v>0</v>
      </c>
      <c r="I549" s="611">
        <v>-2.1359970584069448</v>
      </c>
      <c r="J549" s="611">
        <v>2.9254988687511099</v>
      </c>
      <c r="K549" s="611">
        <v>0</v>
      </c>
      <c r="L549" s="611">
        <v>0</v>
      </c>
      <c r="M549" s="681">
        <v>0</v>
      </c>
      <c r="N549" s="611">
        <v>0</v>
      </c>
      <c r="O549" s="611">
        <v>0</v>
      </c>
      <c r="P549" s="611">
        <v>0</v>
      </c>
      <c r="Q549" s="611">
        <v>0</v>
      </c>
      <c r="R549" s="611">
        <v>0</v>
      </c>
      <c r="S549" s="611">
        <v>0</v>
      </c>
      <c r="T549" s="611">
        <v>0</v>
      </c>
      <c r="U549" s="611">
        <v>0</v>
      </c>
      <c r="V549" s="611">
        <v>0</v>
      </c>
      <c r="W549" s="611">
        <v>0</v>
      </c>
      <c r="X549" s="611">
        <v>0</v>
      </c>
      <c r="Y549" s="611">
        <v>0</v>
      </c>
      <c r="Z549" s="619">
        <v>0.78950181034416511</v>
      </c>
      <c r="AA549" s="51"/>
    </row>
    <row r="550" spans="6:27" x14ac:dyDescent="0.25">
      <c r="F550" s="51"/>
      <c r="G550" s="618" t="s">
        <v>75</v>
      </c>
      <c r="H550" s="611">
        <v>0</v>
      </c>
      <c r="I550" s="611">
        <v>0</v>
      </c>
      <c r="J550" s="611">
        <v>2.205240968493043</v>
      </c>
      <c r="K550" s="611">
        <v>0</v>
      </c>
      <c r="L550" s="611">
        <v>0</v>
      </c>
      <c r="M550" s="681">
        <v>0</v>
      </c>
      <c r="N550" s="611">
        <v>0</v>
      </c>
      <c r="O550" s="611">
        <v>0</v>
      </c>
      <c r="P550" s="611">
        <v>0</v>
      </c>
      <c r="Q550" s="611">
        <v>0</v>
      </c>
      <c r="R550" s="611">
        <v>0</v>
      </c>
      <c r="S550" s="611">
        <v>0</v>
      </c>
      <c r="T550" s="611">
        <v>0</v>
      </c>
      <c r="U550" s="611">
        <v>0</v>
      </c>
      <c r="V550" s="611">
        <v>0</v>
      </c>
      <c r="W550" s="620">
        <v>37.68086569149628</v>
      </c>
      <c r="X550" s="611">
        <v>0</v>
      </c>
      <c r="Y550" s="611">
        <v>0.6</v>
      </c>
      <c r="Z550" s="619">
        <v>40.486106659989325</v>
      </c>
      <c r="AA550" s="51"/>
    </row>
    <row r="551" spans="6:27" x14ac:dyDescent="0.25">
      <c r="F551" s="51"/>
      <c r="G551" s="618" t="s">
        <v>76</v>
      </c>
      <c r="H551" s="611">
        <v>0</v>
      </c>
      <c r="I551" s="611">
        <v>0</v>
      </c>
      <c r="J551" s="611">
        <v>0</v>
      </c>
      <c r="K551" s="611">
        <v>0</v>
      </c>
      <c r="L551" s="611">
        <v>0</v>
      </c>
      <c r="M551" s="681">
        <v>5.5842625256480344E-2</v>
      </c>
      <c r="N551" s="611">
        <v>0</v>
      </c>
      <c r="O551" s="611">
        <v>0</v>
      </c>
      <c r="P551" s="611">
        <v>0</v>
      </c>
      <c r="Q551" s="611">
        <v>0</v>
      </c>
      <c r="R551" s="611">
        <v>0</v>
      </c>
      <c r="S551" s="611">
        <v>1.0610098798731264</v>
      </c>
      <c r="T551" s="611">
        <v>0</v>
      </c>
      <c r="U551" s="611">
        <v>0</v>
      </c>
      <c r="V551" s="611">
        <v>0</v>
      </c>
      <c r="W551" s="611">
        <v>65.840203439882671</v>
      </c>
      <c r="X551" s="611">
        <v>6.4136709376113741</v>
      </c>
      <c r="Y551" s="611">
        <v>0</v>
      </c>
      <c r="Z551" s="619">
        <v>73.370726882623643</v>
      </c>
      <c r="AA551" s="51"/>
    </row>
    <row r="552" spans="6:27" x14ac:dyDescent="0.25">
      <c r="F552" s="51"/>
      <c r="G552" s="614" t="s">
        <v>77</v>
      </c>
      <c r="H552" s="615">
        <v>0</v>
      </c>
      <c r="I552" s="615">
        <v>58.863651738299311</v>
      </c>
      <c r="J552" s="615">
        <v>-55.25891247149503</v>
      </c>
      <c r="K552" s="615">
        <v>-24.740126403603515</v>
      </c>
      <c r="L552" s="615">
        <v>0</v>
      </c>
      <c r="M552" s="725">
        <v>-7.0143403444740313</v>
      </c>
      <c r="N552" s="622">
        <v>807.37795933495636</v>
      </c>
      <c r="O552" s="622">
        <v>553.99388589395949</v>
      </c>
      <c r="P552" s="622">
        <v>331.28372360251547</v>
      </c>
      <c r="Q552" s="622">
        <v>36.582494246190599</v>
      </c>
      <c r="R552" s="622">
        <v>-59.82842351026536</v>
      </c>
      <c r="S552" s="615">
        <v>-86.285386781019525</v>
      </c>
      <c r="T552" s="615">
        <v>8.9002823062763792</v>
      </c>
      <c r="U552" s="615">
        <v>13.672338767531656</v>
      </c>
      <c r="V552" s="615">
        <v>19.706573178157445</v>
      </c>
      <c r="W552" s="615">
        <v>-603.61634432063988</v>
      </c>
      <c r="X552" s="615">
        <v>-76.289393359250852</v>
      </c>
      <c r="Y552" s="615">
        <v>-39.147749441309969</v>
      </c>
      <c r="Z552" s="615">
        <v>878.20023243582853</v>
      </c>
      <c r="AA552" s="51"/>
    </row>
    <row r="553" spans="6:27" x14ac:dyDescent="0.25">
      <c r="F553" s="51"/>
      <c r="G553" s="616"/>
      <c r="H553" s="617"/>
      <c r="I553" s="617"/>
      <c r="J553" s="617"/>
      <c r="K553" s="617"/>
      <c r="L553" s="617"/>
      <c r="M553" s="726"/>
      <c r="N553" s="623"/>
      <c r="O553" s="623"/>
      <c r="P553" s="623"/>
      <c r="Q553" s="623"/>
      <c r="R553" s="623"/>
      <c r="S553" s="617"/>
      <c r="T553" s="617"/>
      <c r="U553" s="617"/>
      <c r="V553" s="617"/>
      <c r="W553" s="617"/>
      <c r="X553" s="617"/>
      <c r="Y553" s="617"/>
      <c r="Z553" s="617"/>
      <c r="AA553" s="51"/>
    </row>
    <row r="554" spans="6:27" x14ac:dyDescent="0.25">
      <c r="F554" s="51"/>
      <c r="G554" s="618" t="s">
        <v>78</v>
      </c>
      <c r="H554" s="611">
        <v>0</v>
      </c>
      <c r="I554" s="611">
        <v>0</v>
      </c>
      <c r="J554" s="611">
        <v>0</v>
      </c>
      <c r="K554" s="611">
        <v>0</v>
      </c>
      <c r="L554" s="611">
        <v>0</v>
      </c>
      <c r="M554" s="724">
        <v>1.991498553291184</v>
      </c>
      <c r="N554" s="611">
        <v>0</v>
      </c>
      <c r="O554" s="611">
        <v>0</v>
      </c>
      <c r="P554" s="611">
        <v>33.03282021908791</v>
      </c>
      <c r="Q554" s="611">
        <v>7.3058555419217219</v>
      </c>
      <c r="R554" s="611">
        <v>0</v>
      </c>
      <c r="S554" s="611">
        <v>37.880603328687286</v>
      </c>
      <c r="T554" s="611">
        <v>15.325538085937501</v>
      </c>
      <c r="U554" s="611">
        <v>0</v>
      </c>
      <c r="V554" s="611">
        <v>8.5890570413253253E-4</v>
      </c>
      <c r="W554" s="611">
        <v>160.49759404222942</v>
      </c>
      <c r="X554" s="611">
        <v>19.118062217384278</v>
      </c>
      <c r="Y554" s="611">
        <v>15.6045791015625</v>
      </c>
      <c r="Z554" s="619">
        <v>290.75740999580586</v>
      </c>
      <c r="AA554" s="51"/>
    </row>
    <row r="555" spans="6:27" x14ac:dyDescent="0.25">
      <c r="F555" s="51"/>
      <c r="G555" s="618" t="s">
        <v>79</v>
      </c>
      <c r="H555" s="611">
        <v>0</v>
      </c>
      <c r="I555" s="611">
        <v>0</v>
      </c>
      <c r="J555" s="611">
        <v>2.5646039905747262</v>
      </c>
      <c r="K555" s="611">
        <v>4.5999999999999996</v>
      </c>
      <c r="L555" s="611">
        <v>0</v>
      </c>
      <c r="M555" s="724">
        <v>0.37685077792540578</v>
      </c>
      <c r="N555" s="611">
        <v>0</v>
      </c>
      <c r="O555" s="611">
        <v>0</v>
      </c>
      <c r="P555" s="611">
        <v>0</v>
      </c>
      <c r="Q555" s="611">
        <v>0</v>
      </c>
      <c r="R555" s="611">
        <v>17.296930013474249</v>
      </c>
      <c r="S555" s="611">
        <v>7.1601647805827087</v>
      </c>
      <c r="T555" s="611">
        <v>0</v>
      </c>
      <c r="U555" s="611">
        <v>0</v>
      </c>
      <c r="V555" s="611">
        <v>0</v>
      </c>
      <c r="W555" s="611">
        <v>129.21827578196925</v>
      </c>
      <c r="X555" s="611">
        <v>0</v>
      </c>
      <c r="Y555" s="611">
        <v>6.9357151187722215</v>
      </c>
      <c r="Z555" s="619">
        <v>168.15254046329855</v>
      </c>
      <c r="AA555" s="51"/>
    </row>
    <row r="556" spans="6:27" x14ac:dyDescent="0.25">
      <c r="F556" s="51"/>
      <c r="G556" s="618" t="s">
        <v>80</v>
      </c>
      <c r="H556" s="611">
        <v>0</v>
      </c>
      <c r="I556" s="611">
        <v>0</v>
      </c>
      <c r="J556" s="611">
        <v>1.33686813190731E-2</v>
      </c>
      <c r="K556" s="611">
        <v>0</v>
      </c>
      <c r="L556" s="611">
        <v>0</v>
      </c>
      <c r="M556" s="724">
        <v>1.363415994018579</v>
      </c>
      <c r="N556" s="611">
        <v>0</v>
      </c>
      <c r="O556" s="611">
        <v>0</v>
      </c>
      <c r="P556" s="611">
        <v>38.670548162755892</v>
      </c>
      <c r="Q556" s="611">
        <v>0</v>
      </c>
      <c r="R556" s="611">
        <v>0</v>
      </c>
      <c r="S556" s="611">
        <v>25.904903886352997</v>
      </c>
      <c r="T556" s="611">
        <v>170.26801174847219</v>
      </c>
      <c r="U556" s="611">
        <v>0</v>
      </c>
      <c r="V556" s="611">
        <v>14.856183742724458</v>
      </c>
      <c r="W556" s="611">
        <v>135.77624988749807</v>
      </c>
      <c r="X556" s="611">
        <v>35.160977387086433</v>
      </c>
      <c r="Y556" s="611">
        <v>0</v>
      </c>
      <c r="Z556" s="619">
        <v>422.01365949022772</v>
      </c>
      <c r="AA556" s="51"/>
    </row>
    <row r="557" spans="6:27" x14ac:dyDescent="0.25">
      <c r="F557" s="51"/>
      <c r="G557" s="618" t="s">
        <v>81</v>
      </c>
      <c r="H557" s="611">
        <v>0</v>
      </c>
      <c r="I557" s="611">
        <v>0</v>
      </c>
      <c r="J557" s="611">
        <v>5.9571518115922428E-2</v>
      </c>
      <c r="K557" s="611">
        <v>0</v>
      </c>
      <c r="L557" s="611">
        <v>0</v>
      </c>
      <c r="M557" s="724">
        <v>0.44038098063120357</v>
      </c>
      <c r="N557" s="611">
        <v>0</v>
      </c>
      <c r="O557" s="611">
        <v>0</v>
      </c>
      <c r="P557" s="611">
        <v>0.43608334641640845</v>
      </c>
      <c r="Q557" s="611">
        <v>0</v>
      </c>
      <c r="R557" s="611">
        <v>0</v>
      </c>
      <c r="S557" s="611">
        <v>8.3672386319928673</v>
      </c>
      <c r="T557" s="611">
        <v>64.752372842201794</v>
      </c>
      <c r="U557" s="611">
        <v>0</v>
      </c>
      <c r="V557" s="611">
        <v>13.972057854326216</v>
      </c>
      <c r="W557" s="611">
        <v>123.17781879034489</v>
      </c>
      <c r="X557" s="611">
        <v>22.010319853686262</v>
      </c>
      <c r="Y557" s="611">
        <v>0</v>
      </c>
      <c r="Z557" s="619">
        <v>233.21584381771555</v>
      </c>
      <c r="AA557" s="51"/>
    </row>
    <row r="558" spans="6:27" x14ac:dyDescent="0.25">
      <c r="F558" s="51"/>
      <c r="G558" s="618" t="s">
        <v>82</v>
      </c>
      <c r="H558" s="611">
        <v>0</v>
      </c>
      <c r="I558" s="611">
        <v>0</v>
      </c>
      <c r="J558" s="611">
        <v>0</v>
      </c>
      <c r="K558" s="611">
        <v>0</v>
      </c>
      <c r="L558" s="611">
        <v>0</v>
      </c>
      <c r="M558" s="724">
        <v>3.936904267080979E-2</v>
      </c>
      <c r="N558" s="611">
        <v>0</v>
      </c>
      <c r="O558" s="611">
        <v>0</v>
      </c>
      <c r="P558" s="611">
        <v>20.041612409357288</v>
      </c>
      <c r="Q558" s="611">
        <v>0</v>
      </c>
      <c r="R558" s="611">
        <v>6.8596219696114309</v>
      </c>
      <c r="S558" s="611">
        <v>0.74801181074538581</v>
      </c>
      <c r="T558" s="611">
        <v>1.5</v>
      </c>
      <c r="U558" s="611">
        <v>0</v>
      </c>
      <c r="V558" s="611">
        <v>2.1874070050904897</v>
      </c>
      <c r="W558" s="611">
        <v>11.227117591013034</v>
      </c>
      <c r="X558" s="611">
        <v>0</v>
      </c>
      <c r="Y558" s="611">
        <v>0.67221506893144256</v>
      </c>
      <c r="Z558" s="619">
        <v>43.275354897419881</v>
      </c>
      <c r="AA558" s="51"/>
    </row>
    <row r="559" spans="6:27" x14ac:dyDescent="0.25">
      <c r="F559" s="51"/>
      <c r="G559" s="618" t="s">
        <v>354</v>
      </c>
      <c r="H559" s="611">
        <v>0</v>
      </c>
      <c r="I559" s="611">
        <v>0</v>
      </c>
      <c r="J559" s="611">
        <v>0</v>
      </c>
      <c r="K559" s="611">
        <v>0</v>
      </c>
      <c r="L559" s="611">
        <v>0</v>
      </c>
      <c r="M559" s="681">
        <v>0</v>
      </c>
      <c r="N559" s="611">
        <v>0</v>
      </c>
      <c r="O559" s="611">
        <v>0</v>
      </c>
      <c r="P559" s="611">
        <v>0</v>
      </c>
      <c r="Q559" s="611">
        <v>0</v>
      </c>
      <c r="R559" s="611">
        <v>0</v>
      </c>
      <c r="S559" s="611">
        <v>0</v>
      </c>
      <c r="T559" s="611">
        <v>0</v>
      </c>
      <c r="U559" s="611">
        <v>0</v>
      </c>
      <c r="V559" s="611">
        <v>0</v>
      </c>
      <c r="W559" s="611">
        <v>15.04</v>
      </c>
      <c r="X559" s="611">
        <v>0</v>
      </c>
      <c r="Y559" s="611">
        <v>0</v>
      </c>
      <c r="Z559" s="619">
        <v>15.04</v>
      </c>
      <c r="AA559" s="51"/>
    </row>
    <row r="560" spans="6:27" x14ac:dyDescent="0.25">
      <c r="F560" s="51"/>
      <c r="G560" s="614" t="s">
        <v>83</v>
      </c>
      <c r="H560" s="615">
        <v>0</v>
      </c>
      <c r="I560" s="615">
        <v>0</v>
      </c>
      <c r="J560" s="615">
        <v>2.6375441900097218</v>
      </c>
      <c r="K560" s="615">
        <v>4.5999999999999996</v>
      </c>
      <c r="L560" s="615">
        <v>0</v>
      </c>
      <c r="M560" s="725">
        <v>4.2115153485371817</v>
      </c>
      <c r="N560" s="622">
        <v>0</v>
      </c>
      <c r="O560" s="622">
        <v>0</v>
      </c>
      <c r="P560" s="622">
        <v>92.181064137617497</v>
      </c>
      <c r="Q560" s="622">
        <v>7.3058555419217219</v>
      </c>
      <c r="R560" s="622">
        <v>24.156551983085681</v>
      </c>
      <c r="S560" s="615">
        <v>80.060922438361246</v>
      </c>
      <c r="T560" s="615">
        <v>251.84592267661148</v>
      </c>
      <c r="U560" s="615">
        <v>0</v>
      </c>
      <c r="V560" s="615">
        <v>31.016507507845294</v>
      </c>
      <c r="W560" s="615">
        <v>574.93705609305459</v>
      </c>
      <c r="X560" s="615">
        <v>76.28935945815698</v>
      </c>
      <c r="Y560" s="615">
        <v>23.212509289266166</v>
      </c>
      <c r="Z560" s="615">
        <v>1172.4548086644675</v>
      </c>
      <c r="AA560" s="51"/>
    </row>
    <row r="561" spans="6:27" x14ac:dyDescent="0.25">
      <c r="F561" s="51"/>
      <c r="G561" s="610" t="s">
        <v>84</v>
      </c>
      <c r="H561" s="611">
        <v>0</v>
      </c>
      <c r="I561" s="611">
        <v>0</v>
      </c>
      <c r="J561" s="611">
        <v>91.376834551502185</v>
      </c>
      <c r="K561" s="611">
        <v>4.3696590457446538</v>
      </c>
      <c r="L561" s="611">
        <v>7.019987079045241</v>
      </c>
      <c r="M561" s="681">
        <v>0</v>
      </c>
      <c r="N561" s="611">
        <v>0</v>
      </c>
      <c r="O561" s="611">
        <v>0</v>
      </c>
      <c r="P561" s="611">
        <v>0.61184558011433365</v>
      </c>
      <c r="Q561" s="611">
        <v>0</v>
      </c>
      <c r="R561" s="611">
        <v>6.5698161491399585</v>
      </c>
      <c r="S561" s="611">
        <v>0</v>
      </c>
      <c r="T561" s="611">
        <v>0</v>
      </c>
      <c r="U561" s="611">
        <v>0</v>
      </c>
      <c r="V561" s="611">
        <v>0</v>
      </c>
      <c r="W561" s="611">
        <v>0</v>
      </c>
      <c r="X561" s="611">
        <v>0</v>
      </c>
      <c r="Y561" s="611">
        <v>6.6285490677230623</v>
      </c>
      <c r="Z561" s="619">
        <v>116.57669147326942</v>
      </c>
      <c r="AA561" s="51"/>
    </row>
    <row r="562" spans="6:27" x14ac:dyDescent="0.25">
      <c r="F562" s="51"/>
      <c r="G562" s="614" t="s">
        <v>85</v>
      </c>
      <c r="H562" s="615">
        <v>0</v>
      </c>
      <c r="I562" s="615">
        <v>0</v>
      </c>
      <c r="J562" s="615">
        <v>94.014378741511905</v>
      </c>
      <c r="K562" s="615">
        <v>8.9696590457446526</v>
      </c>
      <c r="L562" s="615">
        <v>7.019987079045241</v>
      </c>
      <c r="M562" s="691">
        <v>4.2115153485371817</v>
      </c>
      <c r="N562" s="615">
        <v>0</v>
      </c>
      <c r="O562" s="615">
        <v>0</v>
      </c>
      <c r="P562" s="615">
        <v>92.792909717731831</v>
      </c>
      <c r="Q562" s="615">
        <v>7.3058555419217219</v>
      </c>
      <c r="R562" s="615">
        <v>30.726368132225637</v>
      </c>
      <c r="S562" s="615">
        <v>80.060922438361246</v>
      </c>
      <c r="T562" s="615">
        <v>251.84592267661148</v>
      </c>
      <c r="U562" s="615">
        <v>0</v>
      </c>
      <c r="V562" s="615">
        <v>31.016507507845294</v>
      </c>
      <c r="W562" s="615">
        <v>574.93705609305459</v>
      </c>
      <c r="X562" s="615">
        <v>76.28935945815698</v>
      </c>
      <c r="Y562" s="615">
        <v>29.84105835698923</v>
      </c>
      <c r="Z562" s="615">
        <v>1289.0315001377369</v>
      </c>
      <c r="AA562" s="51"/>
    </row>
    <row r="563" spans="6:27" x14ac:dyDescent="0.25">
      <c r="F563" s="51"/>
      <c r="G563" s="51"/>
      <c r="H563" s="67">
        <v>0</v>
      </c>
      <c r="I563" s="67">
        <v>0</v>
      </c>
      <c r="J563" s="67">
        <v>0</v>
      </c>
      <c r="K563" s="67">
        <v>0</v>
      </c>
      <c r="L563" s="67">
        <v>0</v>
      </c>
      <c r="M563" s="67">
        <v>-1.9859233333408E-4</v>
      </c>
      <c r="N563" s="67">
        <v>0</v>
      </c>
      <c r="O563" s="67">
        <v>0</v>
      </c>
      <c r="P563" s="67">
        <v>0</v>
      </c>
      <c r="Q563" s="67">
        <v>0</v>
      </c>
      <c r="R563" s="67">
        <v>0</v>
      </c>
      <c r="S563" s="722">
        <v>0</v>
      </c>
      <c r="T563" s="67">
        <v>0</v>
      </c>
      <c r="U563" s="67">
        <v>0</v>
      </c>
      <c r="V563" s="67">
        <v>0</v>
      </c>
      <c r="W563" s="67">
        <v>0</v>
      </c>
      <c r="X563" s="721">
        <v>-3.3901093871691046E-5</v>
      </c>
      <c r="Y563" s="67">
        <v>0</v>
      </c>
      <c r="Z563" s="67">
        <v>-2.3249342757480917E-4</v>
      </c>
      <c r="AA563" s="51"/>
    </row>
    <row r="564" spans="6:27" x14ac:dyDescent="0.25">
      <c r="F564" s="51"/>
      <c r="G564" s="51"/>
      <c r="H564" s="51"/>
      <c r="I564" s="51"/>
      <c r="J564" s="51"/>
      <c r="K564" s="51"/>
      <c r="L564" s="51"/>
      <c r="M564" s="51"/>
      <c r="N564" s="51"/>
      <c r="O564" s="51"/>
      <c r="P564" s="51"/>
      <c r="Q564" s="51"/>
      <c r="R564" s="51"/>
      <c r="S564" s="51"/>
      <c r="T564" s="51"/>
      <c r="U564" s="51"/>
      <c r="V564" s="51"/>
      <c r="W564" s="51"/>
      <c r="X564" s="51"/>
      <c r="Y564" s="51"/>
      <c r="Z564" s="51"/>
      <c r="AA564" s="51"/>
    </row>
  </sheetData>
  <mergeCells count="210">
    <mergeCell ref="P49:V49"/>
    <mergeCell ref="W49:W50"/>
    <mergeCell ref="X49:X50"/>
    <mergeCell ref="Y49:Y50"/>
    <mergeCell ref="Z49:Z50"/>
    <mergeCell ref="Y12:Y13"/>
    <mergeCell ref="Z12:Z13"/>
    <mergeCell ref="G49:G50"/>
    <mergeCell ref="H49:H50"/>
    <mergeCell ref="I49:I50"/>
    <mergeCell ref="J49:J50"/>
    <mergeCell ref="K49:K50"/>
    <mergeCell ref="L49:L50"/>
    <mergeCell ref="M49:M50"/>
    <mergeCell ref="N49:N50"/>
    <mergeCell ref="M12:M13"/>
    <mergeCell ref="N12:N13"/>
    <mergeCell ref="O12:O13"/>
    <mergeCell ref="P12:V12"/>
    <mergeCell ref="W12:W13"/>
    <mergeCell ref="X12:X13"/>
    <mergeCell ref="G12:G13"/>
    <mergeCell ref="H12:H13"/>
    <mergeCell ref="I12:I13"/>
    <mergeCell ref="J12:J13"/>
    <mergeCell ref="K12:K13"/>
    <mergeCell ref="L12:L13"/>
    <mergeCell ref="O49:O50"/>
    <mergeCell ref="Z123:Z124"/>
    <mergeCell ref="Y86:Y87"/>
    <mergeCell ref="Z86:Z87"/>
    <mergeCell ref="G123:G124"/>
    <mergeCell ref="H123:H124"/>
    <mergeCell ref="I123:I124"/>
    <mergeCell ref="J123:J124"/>
    <mergeCell ref="K123:K124"/>
    <mergeCell ref="L123:L124"/>
    <mergeCell ref="M123:M124"/>
    <mergeCell ref="N123:N124"/>
    <mergeCell ref="M86:M87"/>
    <mergeCell ref="N86:N87"/>
    <mergeCell ref="O86:O87"/>
    <mergeCell ref="P86:V86"/>
    <mergeCell ref="W86:W87"/>
    <mergeCell ref="X86:X87"/>
    <mergeCell ref="G86:G87"/>
    <mergeCell ref="H86:H87"/>
    <mergeCell ref="I86:I87"/>
    <mergeCell ref="J86:J87"/>
    <mergeCell ref="K86:K87"/>
    <mergeCell ref="L86:L87"/>
    <mergeCell ref="I160:I161"/>
    <mergeCell ref="J160:J161"/>
    <mergeCell ref="K160:K161"/>
    <mergeCell ref="L160:L161"/>
    <mergeCell ref="O123:O124"/>
    <mergeCell ref="P123:V123"/>
    <mergeCell ref="W123:W124"/>
    <mergeCell ref="X123:X124"/>
    <mergeCell ref="Y123:Y124"/>
    <mergeCell ref="O197:O198"/>
    <mergeCell ref="P197:V197"/>
    <mergeCell ref="W197:W198"/>
    <mergeCell ref="X197:X198"/>
    <mergeCell ref="Y197:Y198"/>
    <mergeCell ref="Z197:Z198"/>
    <mergeCell ref="Y160:Y161"/>
    <mergeCell ref="Z160:Z161"/>
    <mergeCell ref="O160:O161"/>
    <mergeCell ref="P160:V160"/>
    <mergeCell ref="W160:W161"/>
    <mergeCell ref="X160:X161"/>
    <mergeCell ref="G197:G198"/>
    <mergeCell ref="H197:H198"/>
    <mergeCell ref="I197:I198"/>
    <mergeCell ref="J197:J198"/>
    <mergeCell ref="K197:K198"/>
    <mergeCell ref="L197:L198"/>
    <mergeCell ref="M197:M198"/>
    <mergeCell ref="N197:N198"/>
    <mergeCell ref="M160:M161"/>
    <mergeCell ref="N160:N161"/>
    <mergeCell ref="G160:G161"/>
    <mergeCell ref="H160:H161"/>
    <mergeCell ref="Z271:Z272"/>
    <mergeCell ref="Y234:Y235"/>
    <mergeCell ref="Z234:Z235"/>
    <mergeCell ref="G271:G272"/>
    <mergeCell ref="H271:H272"/>
    <mergeCell ref="I271:I272"/>
    <mergeCell ref="J271:J272"/>
    <mergeCell ref="K271:K272"/>
    <mergeCell ref="L271:L272"/>
    <mergeCell ref="M271:M272"/>
    <mergeCell ref="N271:N272"/>
    <mergeCell ref="M234:M235"/>
    <mergeCell ref="N234:N235"/>
    <mergeCell ref="O234:O235"/>
    <mergeCell ref="P234:V234"/>
    <mergeCell ref="W234:W235"/>
    <mergeCell ref="X234:X235"/>
    <mergeCell ref="G234:G235"/>
    <mergeCell ref="H234:H235"/>
    <mergeCell ref="I234:I235"/>
    <mergeCell ref="J234:J235"/>
    <mergeCell ref="K234:K235"/>
    <mergeCell ref="L234:L235"/>
    <mergeCell ref="I308:I309"/>
    <mergeCell ref="J308:J309"/>
    <mergeCell ref="K308:K309"/>
    <mergeCell ref="L308:L309"/>
    <mergeCell ref="O271:O272"/>
    <mergeCell ref="P271:V271"/>
    <mergeCell ref="W271:W272"/>
    <mergeCell ref="X271:X272"/>
    <mergeCell ref="Y271:Y272"/>
    <mergeCell ref="O345:O346"/>
    <mergeCell ref="P345:V345"/>
    <mergeCell ref="W345:W346"/>
    <mergeCell ref="X345:X346"/>
    <mergeCell ref="Y345:Y346"/>
    <mergeCell ref="Z345:Z346"/>
    <mergeCell ref="Y308:Y309"/>
    <mergeCell ref="Z308:Z309"/>
    <mergeCell ref="G345:G346"/>
    <mergeCell ref="H345:H346"/>
    <mergeCell ref="I345:I346"/>
    <mergeCell ref="J345:J346"/>
    <mergeCell ref="K345:K346"/>
    <mergeCell ref="L345:L346"/>
    <mergeCell ref="M345:M346"/>
    <mergeCell ref="N345:N346"/>
    <mergeCell ref="M308:M309"/>
    <mergeCell ref="N308:N309"/>
    <mergeCell ref="O308:O309"/>
    <mergeCell ref="P308:V308"/>
    <mergeCell ref="W308:W309"/>
    <mergeCell ref="X308:X309"/>
    <mergeCell ref="G308:G309"/>
    <mergeCell ref="H308:H309"/>
    <mergeCell ref="Z419:Z420"/>
    <mergeCell ref="Y382:Y383"/>
    <mergeCell ref="Z382:Z383"/>
    <mergeCell ref="G419:G420"/>
    <mergeCell ref="H419:H420"/>
    <mergeCell ref="I419:I420"/>
    <mergeCell ref="J419:J420"/>
    <mergeCell ref="K419:K420"/>
    <mergeCell ref="L419:L420"/>
    <mergeCell ref="M419:M420"/>
    <mergeCell ref="N419:N420"/>
    <mergeCell ref="M382:M383"/>
    <mergeCell ref="N382:N383"/>
    <mergeCell ref="O382:O383"/>
    <mergeCell ref="P382:V382"/>
    <mergeCell ref="W382:W383"/>
    <mergeCell ref="X382:X383"/>
    <mergeCell ref="G382:G383"/>
    <mergeCell ref="H382:H383"/>
    <mergeCell ref="I382:I383"/>
    <mergeCell ref="J382:J383"/>
    <mergeCell ref="K382:K383"/>
    <mergeCell ref="L382:L383"/>
    <mergeCell ref="I456:I457"/>
    <mergeCell ref="J456:J457"/>
    <mergeCell ref="K456:K457"/>
    <mergeCell ref="L456:L457"/>
    <mergeCell ref="O419:O420"/>
    <mergeCell ref="P419:V419"/>
    <mergeCell ref="W419:W420"/>
    <mergeCell ref="X419:X420"/>
    <mergeCell ref="Y419:Y420"/>
    <mergeCell ref="O493:O494"/>
    <mergeCell ref="P493:V493"/>
    <mergeCell ref="W493:W494"/>
    <mergeCell ref="X493:X494"/>
    <mergeCell ref="Y493:Y494"/>
    <mergeCell ref="Z493:Z494"/>
    <mergeCell ref="Y456:Y457"/>
    <mergeCell ref="Z456:Z457"/>
    <mergeCell ref="G493:G494"/>
    <mergeCell ref="H493:H494"/>
    <mergeCell ref="I493:I494"/>
    <mergeCell ref="J493:J494"/>
    <mergeCell ref="K493:K494"/>
    <mergeCell ref="L493:L494"/>
    <mergeCell ref="M493:M494"/>
    <mergeCell ref="N493:N494"/>
    <mergeCell ref="M456:M457"/>
    <mergeCell ref="N456:N457"/>
    <mergeCell ref="O456:O457"/>
    <mergeCell ref="P456:V456"/>
    <mergeCell ref="W456:W457"/>
    <mergeCell ref="X456:X457"/>
    <mergeCell ref="G456:G457"/>
    <mergeCell ref="H456:H457"/>
    <mergeCell ref="Y530:Y531"/>
    <mergeCell ref="Z530:Z531"/>
    <mergeCell ref="M530:M531"/>
    <mergeCell ref="N530:N531"/>
    <mergeCell ref="O530:O531"/>
    <mergeCell ref="P530:V530"/>
    <mergeCell ref="W530:W531"/>
    <mergeCell ref="X530:X531"/>
    <mergeCell ref="G530:G531"/>
    <mergeCell ref="H530:H531"/>
    <mergeCell ref="I530:I531"/>
    <mergeCell ref="J530:J531"/>
    <mergeCell ref="K530:K531"/>
    <mergeCell ref="L530:L531"/>
  </mergeCells>
  <conditionalFormatting sqref="H14:M44">
    <cfRule type="cellIs" dxfId="346" priority="63" operator="equal">
      <formula>0</formula>
    </cfRule>
  </conditionalFormatting>
  <conditionalFormatting sqref="H51:M81">
    <cfRule type="cellIs" dxfId="345" priority="60" operator="equal">
      <formula>0</formula>
    </cfRule>
  </conditionalFormatting>
  <conditionalFormatting sqref="H88:M118">
    <cfRule type="cellIs" dxfId="344" priority="51" operator="equal">
      <formula>0</formula>
    </cfRule>
  </conditionalFormatting>
  <conditionalFormatting sqref="H125:M155">
    <cfRule type="cellIs" dxfId="343" priority="36" operator="equal">
      <formula>0</formula>
    </cfRule>
  </conditionalFormatting>
  <conditionalFormatting sqref="H14:Z20 H36:Z44">
    <cfRule type="containsBlanks" dxfId="342" priority="65">
      <formula>LEN(TRIM(H14))=0</formula>
    </cfRule>
  </conditionalFormatting>
  <conditionalFormatting sqref="H22:Z34">
    <cfRule type="containsBlanks" dxfId="341" priority="64">
      <formula>LEN(TRIM(H22))=0</formula>
    </cfRule>
  </conditionalFormatting>
  <conditionalFormatting sqref="H51:Z57 H73:Z81">
    <cfRule type="containsBlanks" dxfId="340" priority="62">
      <formula>LEN(TRIM(H51))=0</formula>
    </cfRule>
  </conditionalFormatting>
  <conditionalFormatting sqref="H59:Z71">
    <cfRule type="containsBlanks" dxfId="339" priority="61">
      <formula>LEN(TRIM(H59))=0</formula>
    </cfRule>
  </conditionalFormatting>
  <conditionalFormatting sqref="H88:Z94 H110:Z118">
    <cfRule type="containsBlanks" dxfId="338" priority="53">
      <formula>LEN(TRIM(H88))=0</formula>
    </cfRule>
  </conditionalFormatting>
  <conditionalFormatting sqref="H96:Z108">
    <cfRule type="containsBlanks" dxfId="337" priority="52">
      <formula>LEN(TRIM(H96))=0</formula>
    </cfRule>
  </conditionalFormatting>
  <conditionalFormatting sqref="H125:Z131 H147:Z155">
    <cfRule type="containsBlanks" dxfId="336" priority="38">
      <formula>LEN(TRIM(H125))=0</formula>
    </cfRule>
  </conditionalFormatting>
  <conditionalFormatting sqref="H133:Z145">
    <cfRule type="containsBlanks" dxfId="335" priority="37">
      <formula>LEN(TRIM(H133))=0</formula>
    </cfRule>
  </conditionalFormatting>
  <conditionalFormatting sqref="H162:Z168">
    <cfRule type="containsBlanks" dxfId="334" priority="45">
      <formula>LEN(TRIM(H162))=0</formula>
    </cfRule>
  </conditionalFormatting>
  <conditionalFormatting sqref="H162:Z192">
    <cfRule type="cellIs" dxfId="333" priority="46" operator="equal">
      <formula>0</formula>
    </cfRule>
  </conditionalFormatting>
  <conditionalFormatting sqref="H170:Z182">
    <cfRule type="containsBlanks" dxfId="332" priority="47">
      <formula>LEN(TRIM(H170))=0</formula>
    </cfRule>
  </conditionalFormatting>
  <conditionalFormatting sqref="H184:Z192">
    <cfRule type="containsBlanks" dxfId="331" priority="48">
      <formula>LEN(TRIM(H184))=0</formula>
    </cfRule>
  </conditionalFormatting>
  <conditionalFormatting sqref="H199:Z205 H236:Z242 H273:Z279 H310:Z316 H347:Z353 H384:Z390">
    <cfRule type="containsBlanks" dxfId="330" priority="2">
      <formula>LEN(TRIM(H199))=0</formula>
    </cfRule>
  </conditionalFormatting>
  <conditionalFormatting sqref="H199:Z229 H236:Z266 H273:Z303 H310:Z340 H347:Z377 H384:Z414">
    <cfRule type="cellIs" dxfId="329" priority="1" operator="equal">
      <formula>0</formula>
    </cfRule>
  </conditionalFormatting>
  <conditionalFormatting sqref="H207:Z219 H244:Z256 H281:Z293 H318:Z330 H355:Z367 H392:Z404">
    <cfRule type="containsBlanks" dxfId="328" priority="3">
      <formula>LEN(TRIM(H207))=0</formula>
    </cfRule>
  </conditionalFormatting>
  <conditionalFormatting sqref="H221:Z229 H258:Z266 H295:Z303 H332:Z340 H369:Z377 H406:Z414">
    <cfRule type="containsBlanks" dxfId="327" priority="4">
      <formula>LEN(TRIM(H221))=0</formula>
    </cfRule>
  </conditionalFormatting>
  <conditionalFormatting sqref="H421:Z427">
    <cfRule type="containsBlanks" dxfId="326" priority="9">
      <formula>LEN(TRIM(H421))=0</formula>
    </cfRule>
  </conditionalFormatting>
  <conditionalFormatting sqref="H421:Z451">
    <cfRule type="cellIs" dxfId="325" priority="8" operator="equal">
      <formula>0</formula>
    </cfRule>
  </conditionalFormatting>
  <conditionalFormatting sqref="H429:Z441">
    <cfRule type="containsBlanks" dxfId="324" priority="10">
      <formula>LEN(TRIM(H429))=0</formula>
    </cfRule>
  </conditionalFormatting>
  <conditionalFormatting sqref="H443:Z451">
    <cfRule type="containsBlanks" dxfId="323" priority="11">
      <formula>LEN(TRIM(H443))=0</formula>
    </cfRule>
  </conditionalFormatting>
  <conditionalFormatting sqref="H458:Z464">
    <cfRule type="containsBlanks" dxfId="322" priority="16">
      <formula>LEN(TRIM(H458))=0</formula>
    </cfRule>
  </conditionalFormatting>
  <conditionalFormatting sqref="H458:Z488">
    <cfRule type="cellIs" dxfId="321" priority="15" operator="equal">
      <formula>0</formula>
    </cfRule>
  </conditionalFormatting>
  <conditionalFormatting sqref="H466:Z478">
    <cfRule type="containsBlanks" dxfId="320" priority="17">
      <formula>LEN(TRIM(H466))=0</formula>
    </cfRule>
  </conditionalFormatting>
  <conditionalFormatting sqref="H480:Z488">
    <cfRule type="containsBlanks" dxfId="319" priority="18">
      <formula>LEN(TRIM(H480))=0</formula>
    </cfRule>
  </conditionalFormatting>
  <conditionalFormatting sqref="H495:Z501">
    <cfRule type="containsBlanks" dxfId="318" priority="23">
      <formula>LEN(TRIM(H495))=0</formula>
    </cfRule>
  </conditionalFormatting>
  <conditionalFormatting sqref="H495:Z525">
    <cfRule type="cellIs" dxfId="317" priority="22" operator="equal">
      <formula>0</formula>
    </cfRule>
  </conditionalFormatting>
  <conditionalFormatting sqref="H503:Z515">
    <cfRule type="containsBlanks" dxfId="316" priority="24">
      <formula>LEN(TRIM(H503))=0</formula>
    </cfRule>
  </conditionalFormatting>
  <conditionalFormatting sqref="H517:Z525">
    <cfRule type="containsBlanks" dxfId="315" priority="25">
      <formula>LEN(TRIM(H517))=0</formula>
    </cfRule>
  </conditionalFormatting>
  <conditionalFormatting sqref="H532:Z538">
    <cfRule type="containsBlanks" dxfId="314" priority="30">
      <formula>LEN(TRIM(H532))=0</formula>
    </cfRule>
  </conditionalFormatting>
  <conditionalFormatting sqref="H532:Z562">
    <cfRule type="cellIs" dxfId="313" priority="29" operator="equal">
      <formula>0</formula>
    </cfRule>
  </conditionalFormatting>
  <conditionalFormatting sqref="H540:Z552">
    <cfRule type="containsBlanks" dxfId="312" priority="31">
      <formula>LEN(TRIM(H540))=0</formula>
    </cfRule>
  </conditionalFormatting>
  <conditionalFormatting sqref="H554:Z562">
    <cfRule type="containsBlanks" dxfId="311" priority="32">
      <formula>LEN(TRIM(H554))=0</formula>
    </cfRule>
  </conditionalFormatting>
  <conditionalFormatting sqref="J200:J201 J237:J238 J274:J275 J311:J312 J348:J349 J385:J386">
    <cfRule type="cellIs" dxfId="310" priority="6" operator="equal">
      <formula>0</formula>
    </cfRule>
  </conditionalFormatting>
  <conditionalFormatting sqref="J422:J423">
    <cfRule type="cellIs" dxfId="309" priority="13" operator="equal">
      <formula>0</formula>
    </cfRule>
  </conditionalFormatting>
  <conditionalFormatting sqref="J459:J460">
    <cfRule type="cellIs" dxfId="308" priority="20" operator="equal">
      <formula>0</formula>
    </cfRule>
  </conditionalFormatting>
  <conditionalFormatting sqref="J496:J497">
    <cfRule type="cellIs" dxfId="307" priority="27" operator="equal">
      <formula>0</formula>
    </cfRule>
  </conditionalFormatting>
  <conditionalFormatting sqref="J533:J534">
    <cfRule type="cellIs" dxfId="306" priority="34" operator="equal">
      <formula>0</formula>
    </cfRule>
  </conditionalFormatting>
  <conditionalFormatting sqref="N14:O16">
    <cfRule type="cellIs" dxfId="305" priority="70" operator="equal">
      <formula>0</formula>
    </cfRule>
  </conditionalFormatting>
  <conditionalFormatting sqref="N19:O19">
    <cfRule type="cellIs" dxfId="304" priority="71" operator="equal">
      <formula>0</formula>
    </cfRule>
  </conditionalFormatting>
  <conditionalFormatting sqref="N51:O53">
    <cfRule type="cellIs" dxfId="303" priority="74" operator="equal">
      <formula>0</formula>
    </cfRule>
  </conditionalFormatting>
  <conditionalFormatting sqref="N56:O56">
    <cfRule type="cellIs" dxfId="302" priority="76" operator="equal">
      <formula>0</formula>
    </cfRule>
  </conditionalFormatting>
  <conditionalFormatting sqref="N88:O90">
    <cfRule type="cellIs" dxfId="301" priority="57" operator="equal">
      <formula>0</formula>
    </cfRule>
  </conditionalFormatting>
  <conditionalFormatting sqref="N93:O93">
    <cfRule type="cellIs" dxfId="300" priority="59" operator="equal">
      <formula>0</formula>
    </cfRule>
  </conditionalFormatting>
  <conditionalFormatting sqref="N125:O127">
    <cfRule type="cellIs" dxfId="299" priority="42" operator="equal">
      <formula>0</formula>
    </cfRule>
  </conditionalFormatting>
  <conditionalFormatting sqref="N130:O130">
    <cfRule type="cellIs" dxfId="298" priority="44" operator="equal">
      <formula>0</formula>
    </cfRule>
  </conditionalFormatting>
  <conditionalFormatting sqref="N17:V18">
    <cfRule type="cellIs" dxfId="297" priority="68" operator="equal">
      <formula>0</formula>
    </cfRule>
  </conditionalFormatting>
  <conditionalFormatting sqref="N54:V55">
    <cfRule type="cellIs" dxfId="296" priority="72" operator="equal">
      <formula>0</formula>
    </cfRule>
  </conditionalFormatting>
  <conditionalFormatting sqref="N91:V92">
    <cfRule type="cellIs" dxfId="295" priority="55" operator="equal">
      <formula>0</formula>
    </cfRule>
  </conditionalFormatting>
  <conditionalFormatting sqref="N128:V129">
    <cfRule type="cellIs" dxfId="294" priority="40" operator="equal">
      <formula>0</formula>
    </cfRule>
  </conditionalFormatting>
  <conditionalFormatting sqref="N20:Z44">
    <cfRule type="cellIs" dxfId="293" priority="67" operator="equal">
      <formula>0</formula>
    </cfRule>
  </conditionalFormatting>
  <conditionalFormatting sqref="N57:Z81">
    <cfRule type="cellIs" dxfId="292" priority="66" operator="equal">
      <formula>0</formula>
    </cfRule>
  </conditionalFormatting>
  <conditionalFormatting sqref="N94:Z118">
    <cfRule type="cellIs" dxfId="291" priority="54" operator="equal">
      <formula>0</formula>
    </cfRule>
  </conditionalFormatting>
  <conditionalFormatting sqref="N131:Z155">
    <cfRule type="cellIs" dxfId="290" priority="39" operator="equal">
      <formula>0</formula>
    </cfRule>
  </conditionalFormatting>
  <conditionalFormatting sqref="P13:V13">
    <cfRule type="cellIs" dxfId="289" priority="77" operator="equal">
      <formula>0</formula>
    </cfRule>
  </conditionalFormatting>
  <conditionalFormatting sqref="P50:V50">
    <cfRule type="cellIs" dxfId="288" priority="75" operator="equal">
      <formula>0</formula>
    </cfRule>
  </conditionalFormatting>
  <conditionalFormatting sqref="P87:V87">
    <cfRule type="cellIs" dxfId="287" priority="58" operator="equal">
      <formula>0</formula>
    </cfRule>
  </conditionalFormatting>
  <conditionalFormatting sqref="P124:V124">
    <cfRule type="cellIs" dxfId="286" priority="43" operator="equal">
      <formula>0</formula>
    </cfRule>
  </conditionalFormatting>
  <conditionalFormatting sqref="P161:V161">
    <cfRule type="cellIs" dxfId="285" priority="88" operator="equal">
      <formula>0</formula>
    </cfRule>
  </conditionalFormatting>
  <conditionalFormatting sqref="P198:V198">
    <cfRule type="cellIs" dxfId="284" priority="87" operator="equal">
      <formula>0</formula>
    </cfRule>
  </conditionalFormatting>
  <conditionalFormatting sqref="P235:V235">
    <cfRule type="cellIs" dxfId="283" priority="86" operator="equal">
      <formula>0</formula>
    </cfRule>
  </conditionalFormatting>
  <conditionalFormatting sqref="P272:V272">
    <cfRule type="cellIs" dxfId="282" priority="85" operator="equal">
      <formula>0</formula>
    </cfRule>
  </conditionalFormatting>
  <conditionalFormatting sqref="P309:V309">
    <cfRule type="cellIs" dxfId="281" priority="84" operator="equal">
      <formula>0</formula>
    </cfRule>
  </conditionalFormatting>
  <conditionalFormatting sqref="P346:V346">
    <cfRule type="cellIs" dxfId="280" priority="83" operator="equal">
      <formula>0</formula>
    </cfRule>
  </conditionalFormatting>
  <conditionalFormatting sqref="P383:V383">
    <cfRule type="cellIs" dxfId="279" priority="82" operator="equal">
      <formula>0</formula>
    </cfRule>
  </conditionalFormatting>
  <conditionalFormatting sqref="P420:V420">
    <cfRule type="cellIs" dxfId="278" priority="81" operator="equal">
      <formula>0</formula>
    </cfRule>
  </conditionalFormatting>
  <conditionalFormatting sqref="P457:V457">
    <cfRule type="cellIs" dxfId="277" priority="80" operator="equal">
      <formula>0</formula>
    </cfRule>
  </conditionalFormatting>
  <conditionalFormatting sqref="P494:V494">
    <cfRule type="cellIs" dxfId="276" priority="79" operator="equal">
      <formula>0</formula>
    </cfRule>
  </conditionalFormatting>
  <conditionalFormatting sqref="P531:V531">
    <cfRule type="cellIs" dxfId="275" priority="78" operator="equal">
      <formula>0</formula>
    </cfRule>
  </conditionalFormatting>
  <conditionalFormatting sqref="P14:Z19">
    <cfRule type="cellIs" dxfId="274" priority="69" operator="equal">
      <formula>0</formula>
    </cfRule>
  </conditionalFormatting>
  <conditionalFormatting sqref="P51:Z56">
    <cfRule type="cellIs" dxfId="273" priority="73" operator="equal">
      <formula>0</formula>
    </cfRule>
  </conditionalFormatting>
  <conditionalFormatting sqref="P88:Z93">
    <cfRule type="cellIs" dxfId="272" priority="56" operator="equal">
      <formula>0</formula>
    </cfRule>
  </conditionalFormatting>
  <conditionalFormatting sqref="P125:Z130">
    <cfRule type="cellIs" dxfId="271" priority="41" operator="equal">
      <formula>0</formula>
    </cfRule>
  </conditionalFormatting>
  <conditionalFormatting sqref="T163:V167">
    <cfRule type="cellIs" dxfId="270" priority="49" operator="equal">
      <formula>0</formula>
    </cfRule>
  </conditionalFormatting>
  <conditionalFormatting sqref="T200:V204 T237:V241 T274:V278 T311:V315 T348:V352 T385:V389">
    <cfRule type="cellIs" dxfId="269" priority="5" operator="equal">
      <formula>0</formula>
    </cfRule>
  </conditionalFormatting>
  <conditionalFormatting sqref="T422:V426">
    <cfRule type="cellIs" dxfId="268" priority="12" operator="equal">
      <formula>0</formula>
    </cfRule>
  </conditionalFormatting>
  <conditionalFormatting sqref="T459:V463">
    <cfRule type="cellIs" dxfId="267" priority="19" operator="equal">
      <formula>0</formula>
    </cfRule>
  </conditionalFormatting>
  <conditionalFormatting sqref="T496:V500">
    <cfRule type="cellIs" dxfId="266" priority="26" operator="equal">
      <formula>0</formula>
    </cfRule>
  </conditionalFormatting>
  <conditionalFormatting sqref="T533:V537">
    <cfRule type="cellIs" dxfId="265" priority="33" operator="equal">
      <formula>0</formula>
    </cfRule>
  </conditionalFormatting>
  <conditionalFormatting sqref="W162:W164">
    <cfRule type="cellIs" dxfId="264" priority="50" operator="equal">
      <formula>0</formula>
    </cfRule>
  </conditionalFormatting>
  <conditionalFormatting sqref="W199:W201 W236:W238 W273:W275 W310:W312 W347:W349 W384:W386">
    <cfRule type="cellIs" dxfId="263" priority="7" operator="equal">
      <formula>0</formula>
    </cfRule>
  </conditionalFormatting>
  <conditionalFormatting sqref="W421:W423">
    <cfRule type="cellIs" dxfId="262" priority="14" operator="equal">
      <formula>0</formula>
    </cfRule>
  </conditionalFormatting>
  <conditionalFormatting sqref="W458:W460">
    <cfRule type="cellIs" dxfId="261" priority="21" operator="equal">
      <formula>0</formula>
    </cfRule>
  </conditionalFormatting>
  <conditionalFormatting sqref="W495:W497">
    <cfRule type="cellIs" dxfId="260" priority="28" operator="equal">
      <formula>0</formula>
    </cfRule>
  </conditionalFormatting>
  <conditionalFormatting sqref="W532:W534">
    <cfRule type="cellIs" dxfId="259" priority="35" operator="equal">
      <formula>0</formula>
    </cfRule>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87011-AA74-4090-B5F0-F1D11D713FDB}">
  <dimension ref="A1:AA564"/>
  <sheetViews>
    <sheetView topLeftCell="A532" workbookViewId="0">
      <selection activeCell="N546" sqref="N546"/>
    </sheetView>
  </sheetViews>
  <sheetFormatPr baseColWidth="10" defaultRowHeight="15" x14ac:dyDescent="0.25"/>
  <sheetData>
    <row r="1" spans="1:27" ht="15.75" x14ac:dyDescent="0.25">
      <c r="H1" s="598" t="s">
        <v>527</v>
      </c>
      <c r="I1" s="598" t="s">
        <v>528</v>
      </c>
      <c r="J1" s="598" t="s">
        <v>529</v>
      </c>
      <c r="K1" s="598" t="s">
        <v>530</v>
      </c>
      <c r="L1" s="598" t="s">
        <v>531</v>
      </c>
      <c r="M1" s="598" t="s">
        <v>532</v>
      </c>
      <c r="N1" s="598" t="s">
        <v>533</v>
      </c>
      <c r="O1" s="598" t="s">
        <v>534</v>
      </c>
      <c r="P1" s="598" t="s">
        <v>535</v>
      </c>
      <c r="Q1" s="598" t="s">
        <v>536</v>
      </c>
      <c r="R1" s="598" t="s">
        <v>537</v>
      </c>
      <c r="S1" s="598" t="s">
        <v>538</v>
      </c>
      <c r="T1" s="598" t="s">
        <v>539</v>
      </c>
      <c r="U1" s="598" t="s">
        <v>540</v>
      </c>
      <c r="V1" s="598" t="s">
        <v>541</v>
      </c>
      <c r="W1" s="598" t="s">
        <v>542</v>
      </c>
      <c r="X1" s="598" t="s">
        <v>543</v>
      </c>
      <c r="Y1" s="598" t="s">
        <v>606</v>
      </c>
      <c r="Z1" s="598" t="s">
        <v>607</v>
      </c>
    </row>
    <row r="2" spans="1:27" x14ac:dyDescent="0.25">
      <c r="H2" t="s">
        <v>545</v>
      </c>
      <c r="I2" s="51" t="s">
        <v>546</v>
      </c>
      <c r="J2" s="51" t="s">
        <v>547</v>
      </c>
      <c r="K2" s="51" t="s">
        <v>548</v>
      </c>
      <c r="L2" s="51" t="s">
        <v>549</v>
      </c>
      <c r="M2" s="51" t="s">
        <v>550</v>
      </c>
      <c r="N2" s="51" t="s">
        <v>551</v>
      </c>
      <c r="O2" s="51" t="s">
        <v>552</v>
      </c>
      <c r="P2" s="51" t="s">
        <v>553</v>
      </c>
      <c r="Q2" s="51" t="s">
        <v>554</v>
      </c>
      <c r="R2" s="51" t="s">
        <v>555</v>
      </c>
      <c r="S2" s="51" t="s">
        <v>556</v>
      </c>
      <c r="T2" s="51" t="s">
        <v>557</v>
      </c>
      <c r="U2" s="51" t="s">
        <v>608</v>
      </c>
      <c r="V2" s="51" t="s">
        <v>558</v>
      </c>
      <c r="W2" s="51" t="s">
        <v>559</v>
      </c>
      <c r="X2" s="51" t="s">
        <v>560</v>
      </c>
      <c r="Y2" s="51" t="s">
        <v>561</v>
      </c>
      <c r="Z2" s="51" t="s">
        <v>562</v>
      </c>
    </row>
    <row r="4" spans="1:27" ht="18.75" x14ac:dyDescent="0.3">
      <c r="A4" s="599"/>
      <c r="B4" s="599"/>
      <c r="C4" s="599"/>
      <c r="D4" s="599"/>
      <c r="E4" s="599"/>
      <c r="F4" s="599"/>
      <c r="G4" s="600" t="s">
        <v>406</v>
      </c>
      <c r="H4" s="599"/>
      <c r="I4" s="599"/>
      <c r="J4" s="599"/>
      <c r="K4" s="599"/>
      <c r="L4" s="599"/>
      <c r="M4" s="599"/>
      <c r="N4" s="599"/>
      <c r="O4" s="599"/>
      <c r="P4" s="599"/>
      <c r="Q4" s="599"/>
      <c r="R4" s="599"/>
      <c r="S4" s="599"/>
      <c r="T4" s="599"/>
      <c r="U4" s="599"/>
      <c r="V4" s="599"/>
      <c r="W4" s="599"/>
      <c r="X4" s="599"/>
      <c r="Y4" s="599"/>
      <c r="Z4" s="599"/>
      <c r="AA4" s="599"/>
    </row>
    <row r="5" spans="1:27" x14ac:dyDescent="0.25">
      <c r="A5" s="51"/>
      <c r="B5" s="51"/>
      <c r="C5" s="51"/>
      <c r="D5" s="51"/>
      <c r="E5" s="51"/>
      <c r="F5" s="51"/>
      <c r="G5" s="51"/>
      <c r="H5" s="51"/>
      <c r="I5" s="51"/>
      <c r="J5" s="51"/>
      <c r="K5" s="51"/>
      <c r="L5" s="51"/>
      <c r="M5" s="51"/>
      <c r="N5" s="51"/>
      <c r="O5" s="51"/>
      <c r="P5" s="51"/>
      <c r="Q5" s="51"/>
      <c r="R5" s="51"/>
      <c r="S5" s="51"/>
      <c r="T5" s="51"/>
      <c r="U5" s="51"/>
      <c r="V5" s="51"/>
      <c r="W5" s="51"/>
      <c r="X5" s="51"/>
      <c r="Y5" s="51"/>
      <c r="Z5" s="51"/>
      <c r="AA5" s="51"/>
    </row>
    <row r="6" spans="1:27" ht="15.75" x14ac:dyDescent="0.25">
      <c r="A6" s="602"/>
      <c r="B6" s="602"/>
      <c r="C6" s="602"/>
      <c r="D6" s="602"/>
      <c r="E6" s="602"/>
      <c r="F6" s="51"/>
      <c r="G6" s="603" t="s">
        <v>338</v>
      </c>
      <c r="H6" s="602" t="s">
        <v>481</v>
      </c>
      <c r="I6" s="602"/>
      <c r="J6" s="602"/>
      <c r="K6" s="602"/>
      <c r="L6" s="602"/>
      <c r="M6" s="602"/>
      <c r="N6" s="602"/>
      <c r="O6" s="604"/>
      <c r="P6" s="604"/>
      <c r="Q6" s="604"/>
      <c r="R6" s="604"/>
      <c r="S6" s="604"/>
      <c r="T6" s="604"/>
      <c r="U6" s="604"/>
      <c r="V6" s="604"/>
      <c r="W6" s="602"/>
      <c r="X6" s="602"/>
      <c r="Y6" s="602"/>
      <c r="Z6" s="602"/>
      <c r="AA6" s="602"/>
    </row>
    <row r="7" spans="1:27" ht="15.75" x14ac:dyDescent="0.25">
      <c r="A7" s="602"/>
      <c r="B7" s="602"/>
      <c r="C7" s="602"/>
      <c r="D7" s="602"/>
      <c r="E7" s="602"/>
      <c r="F7" s="51"/>
      <c r="G7" s="603" t="s">
        <v>341</v>
      </c>
      <c r="H7" s="602" t="s">
        <v>342</v>
      </c>
      <c r="I7" s="602"/>
      <c r="J7" s="602"/>
      <c r="K7" s="602"/>
      <c r="L7" s="602"/>
      <c r="M7" s="602"/>
      <c r="N7" s="602"/>
      <c r="O7" s="602"/>
      <c r="P7" s="602"/>
      <c r="Q7" s="602"/>
      <c r="R7" s="602"/>
      <c r="S7" s="602"/>
      <c r="T7" s="602"/>
      <c r="U7" s="602"/>
      <c r="V7" s="602"/>
      <c r="W7" s="602"/>
      <c r="X7" s="602"/>
      <c r="Y7" s="602"/>
      <c r="Z7" s="602"/>
      <c r="AA7" s="602"/>
    </row>
    <row r="8" spans="1:27" x14ac:dyDescent="0.25">
      <c r="A8" s="51"/>
      <c r="B8" s="51"/>
      <c r="C8" s="51"/>
      <c r="D8" s="51"/>
      <c r="E8" s="51"/>
      <c r="F8" s="51"/>
      <c r="G8" s="51"/>
      <c r="H8" s="51"/>
      <c r="I8" s="51"/>
      <c r="J8" s="51"/>
      <c r="K8" s="51"/>
      <c r="L8" s="51"/>
      <c r="M8" s="51"/>
      <c r="N8" s="51"/>
      <c r="O8" s="51"/>
      <c r="P8" s="51"/>
      <c r="Q8" s="51"/>
      <c r="R8" s="51"/>
      <c r="S8" s="51"/>
      <c r="T8" s="51"/>
      <c r="U8" s="51"/>
      <c r="V8" s="51"/>
      <c r="W8" s="51"/>
      <c r="X8" s="51"/>
      <c r="Y8" s="51"/>
      <c r="Z8" s="51"/>
      <c r="AA8" s="51"/>
    </row>
    <row r="9" spans="1:27" x14ac:dyDescent="0.25">
      <c r="A9" s="51"/>
      <c r="B9" s="51"/>
      <c r="C9" s="51"/>
      <c r="D9" s="51"/>
      <c r="E9" s="51"/>
      <c r="F9" s="51"/>
      <c r="G9" s="51"/>
      <c r="H9" s="51"/>
      <c r="I9" s="51"/>
      <c r="J9" s="51"/>
      <c r="K9" s="51"/>
      <c r="L9" s="51"/>
      <c r="M9" s="51"/>
      <c r="N9" s="51"/>
      <c r="O9" s="51"/>
      <c r="P9" s="51"/>
      <c r="Q9" s="51"/>
      <c r="R9" s="51"/>
      <c r="S9" s="51"/>
      <c r="T9" s="51"/>
      <c r="U9" s="51"/>
      <c r="V9" s="51"/>
      <c r="W9" s="51"/>
      <c r="X9" s="51"/>
      <c r="Y9" s="51"/>
      <c r="Z9" s="51"/>
      <c r="AA9" s="51"/>
    </row>
    <row r="10" spans="1:27" x14ac:dyDescent="0.25">
      <c r="A10" s="606"/>
      <c r="B10" s="606"/>
      <c r="C10" s="606"/>
      <c r="D10" s="606"/>
      <c r="E10" s="606"/>
      <c r="F10" s="606"/>
      <c r="G10" s="607" t="s">
        <v>407</v>
      </c>
      <c r="H10" s="606"/>
      <c r="I10" s="606"/>
      <c r="J10" s="606"/>
      <c r="K10" s="606"/>
      <c r="L10" s="606"/>
      <c r="M10" s="606"/>
      <c r="N10" s="606"/>
      <c r="O10" s="606"/>
      <c r="P10" s="606"/>
      <c r="Q10" s="606"/>
      <c r="R10" s="606"/>
      <c r="S10" s="606"/>
      <c r="T10" s="606"/>
      <c r="U10" s="606"/>
      <c r="V10" s="606"/>
      <c r="W10" s="606"/>
      <c r="X10" s="606"/>
      <c r="Y10" s="606"/>
      <c r="Z10" s="606"/>
      <c r="AA10" s="606"/>
    </row>
    <row r="11" spans="1:27" x14ac:dyDescent="0.25">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c r="AA11" s="51"/>
    </row>
    <row r="12" spans="1:27" x14ac:dyDescent="0.25">
      <c r="A12" s="51"/>
      <c r="B12" s="51"/>
      <c r="C12" s="51"/>
      <c r="D12" s="51"/>
      <c r="E12" s="51"/>
      <c r="F12" s="51"/>
      <c r="G12" s="764" t="s">
        <v>128</v>
      </c>
      <c r="H12" s="753" t="s">
        <v>42</v>
      </c>
      <c r="I12" s="753" t="s">
        <v>52</v>
      </c>
      <c r="J12" s="753" t="s">
        <v>53</v>
      </c>
      <c r="K12" s="753" t="s">
        <v>482</v>
      </c>
      <c r="L12" s="753" t="s">
        <v>32</v>
      </c>
      <c r="M12" s="753" t="s">
        <v>483</v>
      </c>
      <c r="N12" s="753" t="s">
        <v>20</v>
      </c>
      <c r="O12" s="753" t="s">
        <v>55</v>
      </c>
      <c r="P12" s="761" t="s">
        <v>56</v>
      </c>
      <c r="Q12" s="762"/>
      <c r="R12" s="762"/>
      <c r="S12" s="762"/>
      <c r="T12" s="762"/>
      <c r="U12" s="762"/>
      <c r="V12" s="763"/>
      <c r="W12" s="753" t="s">
        <v>57</v>
      </c>
      <c r="X12" s="753" t="s">
        <v>58</v>
      </c>
      <c r="Y12" s="753" t="s">
        <v>31</v>
      </c>
      <c r="Z12" s="753" t="s">
        <v>10</v>
      </c>
      <c r="AA12" s="51"/>
    </row>
    <row r="13" spans="1:27" ht="36" x14ac:dyDescent="0.25">
      <c r="A13" s="51"/>
      <c r="B13" s="51" t="s">
        <v>484</v>
      </c>
      <c r="C13" s="51" t="s">
        <v>485</v>
      </c>
      <c r="D13" s="51" t="s">
        <v>486</v>
      </c>
      <c r="E13" s="51"/>
      <c r="F13" s="51"/>
      <c r="G13" s="765"/>
      <c r="H13" s="754"/>
      <c r="I13" s="754"/>
      <c r="J13" s="754"/>
      <c r="K13" s="754"/>
      <c r="L13" s="754"/>
      <c r="M13" s="754"/>
      <c r="N13" s="754"/>
      <c r="O13" s="754"/>
      <c r="P13" s="608" t="s">
        <v>335</v>
      </c>
      <c r="Q13" s="608" t="s">
        <v>40</v>
      </c>
      <c r="R13" s="608" t="s">
        <v>343</v>
      </c>
      <c r="S13" s="608" t="s">
        <v>344</v>
      </c>
      <c r="T13" s="609" t="s">
        <v>345</v>
      </c>
      <c r="U13" s="609" t="s">
        <v>609</v>
      </c>
      <c r="V13" s="608" t="s">
        <v>346</v>
      </c>
      <c r="W13" s="754"/>
      <c r="X13" s="754"/>
      <c r="Y13" s="754"/>
      <c r="Z13" s="754"/>
      <c r="AA13" s="51"/>
    </row>
    <row r="14" spans="1:27" x14ac:dyDescent="0.25">
      <c r="A14" s="51"/>
      <c r="B14" s="51">
        <v>2019</v>
      </c>
      <c r="C14" s="51" t="s">
        <v>47</v>
      </c>
      <c r="D14" s="51" t="s">
        <v>487</v>
      </c>
      <c r="E14" s="51"/>
      <c r="F14" s="51"/>
      <c r="G14" s="610" t="s">
        <v>59</v>
      </c>
      <c r="H14" s="611">
        <v>0</v>
      </c>
      <c r="I14" s="611">
        <v>11.595553697293001</v>
      </c>
      <c r="J14" s="612">
        <v>0</v>
      </c>
      <c r="K14" s="611">
        <v>0</v>
      </c>
      <c r="L14" s="611">
        <v>0.16688824999999999</v>
      </c>
      <c r="M14" s="611">
        <v>0</v>
      </c>
      <c r="N14" s="612">
        <v>1209.1260212121213</v>
      </c>
      <c r="O14" s="612">
        <v>104.3311966741735</v>
      </c>
      <c r="P14" s="612">
        <v>120.67293388888929</v>
      </c>
      <c r="Q14" s="612">
        <v>34.900820833333334</v>
      </c>
      <c r="R14" s="612">
        <v>0</v>
      </c>
      <c r="S14" s="612">
        <v>9.0983058888888646</v>
      </c>
      <c r="T14" s="612">
        <v>31.698274999999999</v>
      </c>
      <c r="U14" s="612">
        <v>31.698274999999999</v>
      </c>
      <c r="V14" s="612">
        <v>7.5310224999999988</v>
      </c>
      <c r="W14" s="612">
        <v>0</v>
      </c>
      <c r="X14" s="612">
        <v>0</v>
      </c>
      <c r="Y14" s="612">
        <v>0</v>
      </c>
      <c r="Z14" s="613">
        <v>1560.8192929446991</v>
      </c>
      <c r="AA14" s="51"/>
    </row>
    <row r="15" spans="1:27" x14ac:dyDescent="0.25">
      <c r="A15" s="51"/>
      <c r="B15" s="51">
        <v>2019</v>
      </c>
      <c r="C15" s="51" t="s">
        <v>47</v>
      </c>
      <c r="D15" s="51" t="s">
        <v>488</v>
      </c>
      <c r="E15" s="51"/>
      <c r="F15" s="51"/>
      <c r="G15" s="610" t="s">
        <v>60</v>
      </c>
      <c r="H15" s="612">
        <v>84.727843146635564</v>
      </c>
      <c r="I15" s="612">
        <v>578.28949050727442</v>
      </c>
      <c r="J15" s="612">
        <v>535.06419481988212</v>
      </c>
      <c r="K15" s="611">
        <v>0</v>
      </c>
      <c r="L15" s="612">
        <v>568.75187100000016</v>
      </c>
      <c r="M15" s="611">
        <v>0</v>
      </c>
      <c r="N15" s="612">
        <v>0</v>
      </c>
      <c r="O15" s="612">
        <v>0</v>
      </c>
      <c r="P15" s="612">
        <v>2.7591261111111107</v>
      </c>
      <c r="Q15" s="612">
        <v>0</v>
      </c>
      <c r="R15" s="612">
        <v>19.183841687689483</v>
      </c>
      <c r="S15" s="612">
        <v>0</v>
      </c>
      <c r="T15" s="612">
        <v>0</v>
      </c>
      <c r="U15" s="612">
        <v>0</v>
      </c>
      <c r="V15" s="612">
        <v>0</v>
      </c>
      <c r="W15" s="612">
        <v>15.63175</v>
      </c>
      <c r="X15" s="612">
        <v>0</v>
      </c>
      <c r="Y15" s="612">
        <v>0</v>
      </c>
      <c r="Z15" s="613">
        <v>1804.4081172725928</v>
      </c>
      <c r="AA15" s="51"/>
    </row>
    <row r="16" spans="1:27" x14ac:dyDescent="0.25">
      <c r="A16" s="51"/>
      <c r="B16" s="51">
        <v>2019</v>
      </c>
      <c r="C16" s="51" t="s">
        <v>47</v>
      </c>
      <c r="D16" s="51" t="s">
        <v>489</v>
      </c>
      <c r="E16" s="51"/>
      <c r="F16" s="51"/>
      <c r="G16" s="610" t="s">
        <v>61</v>
      </c>
      <c r="H16" s="612">
        <v>-4.7877500119999999E-2</v>
      </c>
      <c r="I16" s="612">
        <v>-1.599063909936</v>
      </c>
      <c r="J16" s="612">
        <v>-205.43265045753787</v>
      </c>
      <c r="K16" s="611">
        <v>0</v>
      </c>
      <c r="L16" s="612">
        <v>-112.63352224999998</v>
      </c>
      <c r="M16" s="611">
        <v>0</v>
      </c>
      <c r="N16" s="612">
        <v>0</v>
      </c>
      <c r="O16" s="612">
        <v>0</v>
      </c>
      <c r="P16" s="612">
        <v>-2.3667455555555552</v>
      </c>
      <c r="Q16" s="612">
        <v>0</v>
      </c>
      <c r="R16" s="612">
        <v>-8.0445142984108866</v>
      </c>
      <c r="S16" s="612">
        <v>0</v>
      </c>
      <c r="T16" s="612">
        <v>0</v>
      </c>
      <c r="U16" s="612">
        <v>0</v>
      </c>
      <c r="V16" s="612">
        <v>0</v>
      </c>
      <c r="W16" s="612">
        <v>-73.298799000000002</v>
      </c>
      <c r="X16" s="612">
        <v>0</v>
      </c>
      <c r="Y16" s="612">
        <v>0</v>
      </c>
      <c r="Z16" s="613">
        <v>-403.42317297156035</v>
      </c>
      <c r="AA16" s="51"/>
    </row>
    <row r="17" spans="1:27" x14ac:dyDescent="0.25">
      <c r="A17" s="51"/>
      <c r="B17" s="51">
        <v>2019</v>
      </c>
      <c r="C17" s="51" t="s">
        <v>47</v>
      </c>
      <c r="D17" s="51" t="s">
        <v>490</v>
      </c>
      <c r="E17" s="51"/>
      <c r="F17" s="51"/>
      <c r="G17" s="610" t="s">
        <v>62</v>
      </c>
      <c r="H17" s="611">
        <v>0</v>
      </c>
      <c r="I17" s="611">
        <v>0</v>
      </c>
      <c r="J17" s="611">
        <v>-19.747038815182684</v>
      </c>
      <c r="K17" s="611">
        <v>0</v>
      </c>
      <c r="L17" s="611">
        <v>0</v>
      </c>
      <c r="M17" s="611">
        <v>0</v>
      </c>
      <c r="N17" s="611">
        <v>0</v>
      </c>
      <c r="O17" s="611">
        <v>0</v>
      </c>
      <c r="P17" s="611">
        <v>0</v>
      </c>
      <c r="Q17" s="611">
        <v>0</v>
      </c>
      <c r="R17" s="611">
        <v>0</v>
      </c>
      <c r="S17" s="611">
        <v>0</v>
      </c>
      <c r="T17" s="611">
        <v>0</v>
      </c>
      <c r="U17" s="611">
        <v>0</v>
      </c>
      <c r="V17" s="611">
        <v>0</v>
      </c>
      <c r="W17" s="612">
        <v>0</v>
      </c>
      <c r="X17" s="612">
        <v>0</v>
      </c>
      <c r="Y17" s="611">
        <v>0</v>
      </c>
      <c r="Z17" s="613">
        <v>-19.747038815182684</v>
      </c>
      <c r="AA17" s="51"/>
    </row>
    <row r="18" spans="1:27" x14ac:dyDescent="0.25">
      <c r="A18" s="51"/>
      <c r="B18" s="51">
        <v>2019</v>
      </c>
      <c r="C18" s="51" t="s">
        <v>47</v>
      </c>
      <c r="D18" s="51" t="s">
        <v>491</v>
      </c>
      <c r="E18" s="51"/>
      <c r="F18" s="51"/>
      <c r="G18" s="610" t="s">
        <v>63</v>
      </c>
      <c r="H18" s="611">
        <v>0</v>
      </c>
      <c r="I18" s="611">
        <v>0</v>
      </c>
      <c r="J18" s="611">
        <v>-71.966617693689969</v>
      </c>
      <c r="K18" s="611">
        <v>0</v>
      </c>
      <c r="L18" s="611">
        <v>0</v>
      </c>
      <c r="M18" s="611">
        <v>0</v>
      </c>
      <c r="N18" s="611">
        <v>0</v>
      </c>
      <c r="O18" s="611">
        <v>0</v>
      </c>
      <c r="P18" s="611">
        <v>0</v>
      </c>
      <c r="Q18" s="611">
        <v>0</v>
      </c>
      <c r="R18" s="611">
        <v>0</v>
      </c>
      <c r="S18" s="611">
        <v>0</v>
      </c>
      <c r="T18" s="611">
        <v>0</v>
      </c>
      <c r="U18" s="611">
        <v>0</v>
      </c>
      <c r="V18" s="611">
        <v>0</v>
      </c>
      <c r="W18" s="612">
        <v>0</v>
      </c>
      <c r="X18" s="612">
        <v>0</v>
      </c>
      <c r="Y18" s="611">
        <v>0</v>
      </c>
      <c r="Z18" s="613">
        <v>-71.966617693689969</v>
      </c>
      <c r="AA18" s="51"/>
    </row>
    <row r="19" spans="1:27" x14ac:dyDescent="0.25">
      <c r="A19" s="51"/>
      <c r="B19" s="51">
        <v>2019</v>
      </c>
      <c r="C19" s="51" t="s">
        <v>47</v>
      </c>
      <c r="D19" s="51" t="s">
        <v>492</v>
      </c>
      <c r="E19" s="51"/>
      <c r="F19" s="51"/>
      <c r="G19" s="610" t="s">
        <v>64</v>
      </c>
      <c r="H19" s="612">
        <v>0.41223964042222283</v>
      </c>
      <c r="I19" s="612">
        <v>1.3710702337312513</v>
      </c>
      <c r="J19" s="612">
        <v>1.3272538188370329</v>
      </c>
      <c r="K19" s="611">
        <v>0</v>
      </c>
      <c r="L19" s="612">
        <v>-19.664768250000005</v>
      </c>
      <c r="M19" s="611">
        <v>0</v>
      </c>
      <c r="N19" s="612">
        <v>0</v>
      </c>
      <c r="O19" s="612">
        <v>0</v>
      </c>
      <c r="P19" s="612">
        <v>0</v>
      </c>
      <c r="Q19" s="612">
        <v>0</v>
      </c>
      <c r="R19" s="612">
        <v>0</v>
      </c>
      <c r="S19" s="612">
        <v>0</v>
      </c>
      <c r="T19" s="612">
        <v>0</v>
      </c>
      <c r="U19" s="612">
        <v>0</v>
      </c>
      <c r="V19" s="612">
        <v>0</v>
      </c>
      <c r="W19" s="612">
        <v>0</v>
      </c>
      <c r="X19" s="612">
        <v>0</v>
      </c>
      <c r="Y19" s="612">
        <v>0</v>
      </c>
      <c r="Z19" s="613">
        <v>-16.554204557009498</v>
      </c>
      <c r="AA19" s="51"/>
    </row>
    <row r="20" spans="1:27" x14ac:dyDescent="0.25">
      <c r="A20" s="51"/>
      <c r="B20" s="51">
        <v>2019</v>
      </c>
      <c r="C20" s="51" t="s">
        <v>47</v>
      </c>
      <c r="D20" s="51" t="s">
        <v>493</v>
      </c>
      <c r="E20" s="51"/>
      <c r="F20" s="51"/>
      <c r="G20" s="614" t="s">
        <v>65</v>
      </c>
      <c r="H20" s="615">
        <v>85.092205286937798</v>
      </c>
      <c r="I20" s="615">
        <v>589.65705052836267</v>
      </c>
      <c r="J20" s="615">
        <v>239.24514167230862</v>
      </c>
      <c r="K20" s="615">
        <v>0</v>
      </c>
      <c r="L20" s="615">
        <v>436.62046875000021</v>
      </c>
      <c r="M20" s="615">
        <v>0</v>
      </c>
      <c r="N20" s="615">
        <v>1209.1260212121213</v>
      </c>
      <c r="O20" s="615">
        <v>104.3311966741735</v>
      </c>
      <c r="P20" s="615">
        <v>121.06531444444485</v>
      </c>
      <c r="Q20" s="615">
        <v>34.900820833333334</v>
      </c>
      <c r="R20" s="615">
        <v>11.139327389278597</v>
      </c>
      <c r="S20" s="615">
        <v>9.0983058888888646</v>
      </c>
      <c r="T20" s="615">
        <v>31.698274999999999</v>
      </c>
      <c r="U20" s="615">
        <v>31.698274999999999</v>
      </c>
      <c r="V20" s="615">
        <v>7.5310224999999988</v>
      </c>
      <c r="W20" s="615">
        <v>-57.667049000000006</v>
      </c>
      <c r="X20" s="615">
        <v>0</v>
      </c>
      <c r="Y20" s="615">
        <v>0</v>
      </c>
      <c r="Z20" s="615">
        <v>2853.5363761798494</v>
      </c>
      <c r="AA20" s="51"/>
    </row>
    <row r="21" spans="1:27" x14ac:dyDescent="0.25">
      <c r="A21" s="51"/>
      <c r="B21" s="51"/>
      <c r="C21" s="51"/>
      <c r="D21" s="51"/>
      <c r="E21" s="51"/>
      <c r="F21" s="51"/>
      <c r="G21" s="616"/>
      <c r="H21" s="617"/>
      <c r="I21" s="617"/>
      <c r="J21" s="617"/>
      <c r="K21" s="617"/>
      <c r="L21" s="617"/>
      <c r="M21" s="617"/>
      <c r="N21" s="617"/>
      <c r="O21" s="617"/>
      <c r="P21" s="617"/>
      <c r="Q21" s="617"/>
      <c r="R21" s="617"/>
      <c r="S21" s="617"/>
      <c r="T21" s="617"/>
      <c r="U21" s="617"/>
      <c r="V21" s="617"/>
      <c r="W21" s="617"/>
      <c r="X21" s="617"/>
      <c r="Y21" s="617"/>
      <c r="Z21" s="617"/>
      <c r="AA21" s="51"/>
    </row>
    <row r="22" spans="1:27" x14ac:dyDescent="0.25">
      <c r="A22" s="51"/>
      <c r="B22" s="51">
        <v>2019</v>
      </c>
      <c r="C22" s="51" t="s">
        <v>47</v>
      </c>
      <c r="D22" s="51" t="s">
        <v>494</v>
      </c>
      <c r="E22" s="51"/>
      <c r="F22" s="51"/>
      <c r="G22" s="618" t="s">
        <v>67</v>
      </c>
      <c r="H22" s="611">
        <v>3.6318872869800032</v>
      </c>
      <c r="I22" s="611">
        <v>10.787016352492323</v>
      </c>
      <c r="J22" s="611">
        <v>16.441628886851458</v>
      </c>
      <c r="K22" s="611">
        <v>0</v>
      </c>
      <c r="L22" s="611">
        <v>-1.2134132500000001</v>
      </c>
      <c r="M22" s="611">
        <v>0</v>
      </c>
      <c r="N22" s="611">
        <v>0</v>
      </c>
      <c r="O22" s="611">
        <v>0</v>
      </c>
      <c r="P22" s="611">
        <v>0</v>
      </c>
      <c r="Q22" s="611">
        <v>-0.39035819434438856</v>
      </c>
      <c r="R22" s="611">
        <v>0.39056626803326822</v>
      </c>
      <c r="S22" s="611">
        <v>0</v>
      </c>
      <c r="T22" s="611">
        <v>0</v>
      </c>
      <c r="U22" s="611">
        <v>0</v>
      </c>
      <c r="V22" s="611">
        <v>0</v>
      </c>
      <c r="W22" s="611">
        <v>4.6315588193812136</v>
      </c>
      <c r="X22" s="611">
        <v>0</v>
      </c>
      <c r="Y22" s="612">
        <v>0</v>
      </c>
      <c r="Z22" s="613">
        <v>34.278886169393878</v>
      </c>
      <c r="AA22" s="51"/>
    </row>
    <row r="23" spans="1:27" x14ac:dyDescent="0.25">
      <c r="A23" s="51"/>
      <c r="B23" s="51">
        <v>2019</v>
      </c>
      <c r="C23" s="51" t="s">
        <v>47</v>
      </c>
      <c r="D23" s="51" t="s">
        <v>495</v>
      </c>
      <c r="E23" s="51"/>
      <c r="F23" s="51"/>
      <c r="G23" s="618" t="s">
        <v>347</v>
      </c>
      <c r="H23" s="611">
        <v>17.443753714840586</v>
      </c>
      <c r="I23" s="611">
        <v>0</v>
      </c>
      <c r="J23" s="611">
        <v>13.62708829242459</v>
      </c>
      <c r="K23" s="611">
        <v>0</v>
      </c>
      <c r="L23" s="611">
        <v>62.931904980327779</v>
      </c>
      <c r="M23" s="611">
        <v>0</v>
      </c>
      <c r="N23" s="611">
        <v>1209.1260212121213</v>
      </c>
      <c r="O23" s="611">
        <v>104.3311966741735</v>
      </c>
      <c r="P23" s="611">
        <v>17.794147670554988</v>
      </c>
      <c r="Q23" s="611">
        <v>12.388866225144911</v>
      </c>
      <c r="R23" s="611">
        <v>0</v>
      </c>
      <c r="S23" s="611">
        <v>4.8474406033333333</v>
      </c>
      <c r="T23" s="611">
        <v>0</v>
      </c>
      <c r="U23" s="611">
        <v>0</v>
      </c>
      <c r="V23" s="611">
        <v>1.1825205542668356</v>
      </c>
      <c r="W23" s="611">
        <v>-566.17178776794128</v>
      </c>
      <c r="X23" s="611">
        <v>0</v>
      </c>
      <c r="Y23" s="612">
        <v>0</v>
      </c>
      <c r="Z23" s="613">
        <v>877.50115215924654</v>
      </c>
      <c r="AA23" s="51"/>
    </row>
    <row r="24" spans="1:27" x14ac:dyDescent="0.25">
      <c r="A24" s="51"/>
      <c r="B24" s="51">
        <v>2019</v>
      </c>
      <c r="C24" s="51" t="s">
        <v>47</v>
      </c>
      <c r="D24" s="51" t="s">
        <v>496</v>
      </c>
      <c r="E24" s="51"/>
      <c r="F24" s="51"/>
      <c r="G24" s="618" t="s">
        <v>348</v>
      </c>
      <c r="H24" s="611">
        <v>1.9109444951460814</v>
      </c>
      <c r="I24" s="611">
        <v>0</v>
      </c>
      <c r="J24" s="611">
        <v>0.26671791988070115</v>
      </c>
      <c r="K24" s="611">
        <v>0</v>
      </c>
      <c r="L24" s="611">
        <v>20.764778769672215</v>
      </c>
      <c r="M24" s="611">
        <v>0</v>
      </c>
      <c r="N24" s="611">
        <v>0</v>
      </c>
      <c r="O24" s="611">
        <v>0</v>
      </c>
      <c r="P24" s="611">
        <v>8.5293872999380707</v>
      </c>
      <c r="Q24" s="611">
        <v>16.588146755013483</v>
      </c>
      <c r="R24" s="611">
        <v>0</v>
      </c>
      <c r="S24" s="611">
        <v>2.852532452222222</v>
      </c>
      <c r="T24" s="611">
        <v>0.25919055555555554</v>
      </c>
      <c r="U24" s="611">
        <v>0.25919055555555554</v>
      </c>
      <c r="V24" s="611">
        <v>3.5768259901376065</v>
      </c>
      <c r="W24" s="611">
        <v>0</v>
      </c>
      <c r="X24" s="611">
        <v>-46.772072780777776</v>
      </c>
      <c r="Y24" s="612">
        <v>0</v>
      </c>
      <c r="Z24" s="613">
        <v>8.2356420123437175</v>
      </c>
      <c r="AA24" s="51"/>
    </row>
    <row r="25" spans="1:27" x14ac:dyDescent="0.25">
      <c r="A25" s="51"/>
      <c r="B25" s="51">
        <v>2019</v>
      </c>
      <c r="C25" s="51" t="s">
        <v>47</v>
      </c>
      <c r="D25" s="51" t="s">
        <v>497</v>
      </c>
      <c r="E25" s="51"/>
      <c r="F25" s="51"/>
      <c r="G25" s="618" t="s">
        <v>349</v>
      </c>
      <c r="H25" s="611">
        <v>0</v>
      </c>
      <c r="I25" s="611">
        <v>0</v>
      </c>
      <c r="J25" s="611">
        <v>0</v>
      </c>
      <c r="K25" s="611">
        <v>0</v>
      </c>
      <c r="L25" s="611">
        <v>0</v>
      </c>
      <c r="M25" s="611">
        <v>0</v>
      </c>
      <c r="N25" s="611">
        <v>0</v>
      </c>
      <c r="O25" s="611">
        <v>0</v>
      </c>
      <c r="P25" s="611">
        <v>0</v>
      </c>
      <c r="Q25" s="611">
        <v>0</v>
      </c>
      <c r="R25" s="611">
        <v>0</v>
      </c>
      <c r="S25" s="611">
        <v>-1.1106240000000001</v>
      </c>
      <c r="T25" s="611">
        <v>0</v>
      </c>
      <c r="U25" s="611">
        <v>0</v>
      </c>
      <c r="V25" s="611">
        <v>0</v>
      </c>
      <c r="W25" s="611">
        <v>0</v>
      </c>
      <c r="X25" s="611">
        <v>0</v>
      </c>
      <c r="Y25" s="612">
        <v>0</v>
      </c>
      <c r="Z25" s="613">
        <v>-1.1106240000000001</v>
      </c>
      <c r="AA25" s="51"/>
    </row>
    <row r="26" spans="1:27" x14ac:dyDescent="0.25">
      <c r="A26" s="51"/>
      <c r="B26" s="51">
        <v>2019</v>
      </c>
      <c r="C26" s="51" t="s">
        <v>47</v>
      </c>
      <c r="D26" s="51" t="s">
        <v>498</v>
      </c>
      <c r="E26" s="51"/>
      <c r="F26" s="51"/>
      <c r="G26" s="618" t="s">
        <v>350</v>
      </c>
      <c r="H26" s="611">
        <v>0</v>
      </c>
      <c r="I26" s="611">
        <v>0</v>
      </c>
      <c r="J26" s="611">
        <v>0</v>
      </c>
      <c r="K26" s="611">
        <v>0</v>
      </c>
      <c r="L26" s="611">
        <v>0</v>
      </c>
      <c r="M26" s="611">
        <v>0</v>
      </c>
      <c r="N26" s="611">
        <v>0</v>
      </c>
      <c r="O26" s="611">
        <v>0</v>
      </c>
      <c r="P26" s="611">
        <v>0</v>
      </c>
      <c r="Q26" s="611">
        <v>0</v>
      </c>
      <c r="R26" s="611">
        <v>0</v>
      </c>
      <c r="S26" s="611">
        <v>0</v>
      </c>
      <c r="T26" s="611">
        <v>0</v>
      </c>
      <c r="U26" s="611">
        <v>0</v>
      </c>
      <c r="V26" s="611">
        <v>0</v>
      </c>
      <c r="W26" s="611">
        <v>0</v>
      </c>
      <c r="X26" s="611">
        <v>0</v>
      </c>
      <c r="Y26" s="612">
        <v>0</v>
      </c>
      <c r="Z26" s="613">
        <v>0</v>
      </c>
      <c r="AA26" s="51"/>
    </row>
    <row r="27" spans="1:27" x14ac:dyDescent="0.25">
      <c r="A27" s="51"/>
      <c r="B27" s="51">
        <v>2019</v>
      </c>
      <c r="C27" s="51" t="s">
        <v>47</v>
      </c>
      <c r="D27" s="51" t="s">
        <v>499</v>
      </c>
      <c r="E27" s="51"/>
      <c r="F27" s="51"/>
      <c r="G27" s="618" t="s">
        <v>72</v>
      </c>
      <c r="H27" s="611">
        <v>0</v>
      </c>
      <c r="I27" s="611">
        <v>607.94319903666315</v>
      </c>
      <c r="J27" s="611">
        <v>-602.93238189654937</v>
      </c>
      <c r="K27" s="611">
        <v>0</v>
      </c>
      <c r="L27" s="611">
        <v>0</v>
      </c>
      <c r="M27" s="611">
        <v>0</v>
      </c>
      <c r="N27" s="611">
        <v>0</v>
      </c>
      <c r="O27" s="611">
        <v>0</v>
      </c>
      <c r="P27" s="611">
        <v>0</v>
      </c>
      <c r="Q27" s="611">
        <v>0</v>
      </c>
      <c r="R27" s="611">
        <v>0</v>
      </c>
      <c r="S27" s="611">
        <v>0</v>
      </c>
      <c r="T27" s="611">
        <v>0</v>
      </c>
      <c r="U27" s="611">
        <v>0</v>
      </c>
      <c r="V27" s="611">
        <v>0</v>
      </c>
      <c r="W27" s="611">
        <v>0</v>
      </c>
      <c r="X27" s="611">
        <v>0</v>
      </c>
      <c r="Y27" s="612">
        <v>0</v>
      </c>
      <c r="Z27" s="613">
        <v>5.0108171401137724</v>
      </c>
      <c r="AA27" s="51"/>
    </row>
    <row r="28" spans="1:27" x14ac:dyDescent="0.25">
      <c r="A28" s="51"/>
      <c r="B28" s="51">
        <v>2019</v>
      </c>
      <c r="C28" s="51" t="s">
        <v>47</v>
      </c>
      <c r="D28" s="51" t="s">
        <v>500</v>
      </c>
      <c r="E28" s="51"/>
      <c r="F28" s="51"/>
      <c r="G28" s="618" t="s">
        <v>351</v>
      </c>
      <c r="H28" s="611">
        <v>0</v>
      </c>
      <c r="I28" s="611">
        <v>0</v>
      </c>
      <c r="J28" s="611">
        <v>0</v>
      </c>
      <c r="K28" s="611">
        <v>0</v>
      </c>
      <c r="L28" s="611">
        <v>0</v>
      </c>
      <c r="M28" s="611">
        <v>0</v>
      </c>
      <c r="N28" s="611">
        <v>0</v>
      </c>
      <c r="O28" s="611">
        <v>0</v>
      </c>
      <c r="P28" s="611">
        <v>0</v>
      </c>
      <c r="Q28" s="611">
        <v>0</v>
      </c>
      <c r="R28" s="611">
        <v>-29.34529096854553</v>
      </c>
      <c r="S28" s="611">
        <v>0</v>
      </c>
      <c r="T28" s="611">
        <v>0</v>
      </c>
      <c r="U28" s="611">
        <v>0</v>
      </c>
      <c r="V28" s="611">
        <v>0</v>
      </c>
      <c r="W28" s="611">
        <v>0</v>
      </c>
      <c r="X28" s="611">
        <v>0</v>
      </c>
      <c r="Y28" s="612">
        <v>0</v>
      </c>
      <c r="Z28" s="613">
        <v>-29.34529096854553</v>
      </c>
      <c r="AA28" s="51"/>
    </row>
    <row r="29" spans="1:27" x14ac:dyDescent="0.25">
      <c r="A29" s="51"/>
      <c r="B29" s="51">
        <v>2019</v>
      </c>
      <c r="C29" s="51" t="s">
        <v>47</v>
      </c>
      <c r="D29" s="51" t="s">
        <v>501</v>
      </c>
      <c r="E29" s="51"/>
      <c r="F29" s="51"/>
      <c r="G29" s="618" t="s">
        <v>352</v>
      </c>
      <c r="H29" s="611">
        <v>0</v>
      </c>
      <c r="I29" s="611">
        <v>0</v>
      </c>
      <c r="J29" s="611">
        <v>0</v>
      </c>
      <c r="K29" s="611">
        <v>0</v>
      </c>
      <c r="L29" s="611">
        <v>0</v>
      </c>
      <c r="M29" s="611">
        <v>0</v>
      </c>
      <c r="N29" s="611">
        <v>0</v>
      </c>
      <c r="O29" s="611">
        <v>0</v>
      </c>
      <c r="P29" s="611">
        <v>0</v>
      </c>
      <c r="Q29" s="611">
        <v>0</v>
      </c>
      <c r="R29" s="611">
        <v>0</v>
      </c>
      <c r="S29" s="611">
        <v>0</v>
      </c>
      <c r="T29" s="611">
        <v>0</v>
      </c>
      <c r="U29" s="611">
        <v>0</v>
      </c>
      <c r="V29" s="611">
        <v>0</v>
      </c>
      <c r="W29" s="611">
        <v>0</v>
      </c>
      <c r="X29" s="611">
        <v>0</v>
      </c>
      <c r="Y29" s="612">
        <v>0</v>
      </c>
      <c r="Z29" s="613">
        <v>0</v>
      </c>
      <c r="AA29" s="51"/>
    </row>
    <row r="30" spans="1:27" x14ac:dyDescent="0.25">
      <c r="A30" s="51"/>
      <c r="B30" s="51">
        <v>2019</v>
      </c>
      <c r="C30" s="51" t="s">
        <v>47</v>
      </c>
      <c r="D30" s="51" t="s">
        <v>502</v>
      </c>
      <c r="E30" s="51"/>
      <c r="F30" s="51"/>
      <c r="G30" s="618" t="s">
        <v>73</v>
      </c>
      <c r="H30" s="611">
        <v>0</v>
      </c>
      <c r="I30" s="611">
        <v>0</v>
      </c>
      <c r="J30" s="611">
        <v>0</v>
      </c>
      <c r="K30" s="611">
        <v>0</v>
      </c>
      <c r="L30" s="611">
        <v>0</v>
      </c>
      <c r="M30" s="611">
        <v>0</v>
      </c>
      <c r="N30" s="611">
        <v>0</v>
      </c>
      <c r="O30" s="611">
        <v>0</v>
      </c>
      <c r="P30" s="611">
        <v>0</v>
      </c>
      <c r="Q30" s="611">
        <v>0</v>
      </c>
      <c r="R30" s="611">
        <v>0</v>
      </c>
      <c r="S30" s="611">
        <v>0</v>
      </c>
      <c r="T30" s="611">
        <v>0</v>
      </c>
      <c r="U30" s="611">
        <v>0</v>
      </c>
      <c r="V30" s="611">
        <v>0</v>
      </c>
      <c r="W30" s="611">
        <v>0</v>
      </c>
      <c r="X30" s="611">
        <v>0</v>
      </c>
      <c r="Y30" s="612">
        <v>0</v>
      </c>
      <c r="Z30" s="613">
        <v>0</v>
      </c>
      <c r="AA30" s="51"/>
    </row>
    <row r="31" spans="1:27" x14ac:dyDescent="0.25">
      <c r="A31" s="51"/>
      <c r="B31" s="51">
        <v>2019</v>
      </c>
      <c r="C31" s="51" t="s">
        <v>47</v>
      </c>
      <c r="D31" s="51" t="s">
        <v>503</v>
      </c>
      <c r="E31" s="51"/>
      <c r="F31" s="51"/>
      <c r="G31" s="618" t="s">
        <v>353</v>
      </c>
      <c r="H31" s="611">
        <v>32.750811529533344</v>
      </c>
      <c r="I31" s="611">
        <v>-29.152970396099011</v>
      </c>
      <c r="J31" s="611">
        <v>28.064488458099014</v>
      </c>
      <c r="K31" s="611">
        <v>0</v>
      </c>
      <c r="L31" s="611">
        <v>0</v>
      </c>
      <c r="M31" s="611">
        <v>0</v>
      </c>
      <c r="N31" s="611">
        <v>0</v>
      </c>
      <c r="O31" s="611">
        <v>0</v>
      </c>
      <c r="P31" s="611">
        <v>0</v>
      </c>
      <c r="Q31" s="611">
        <v>0</v>
      </c>
      <c r="R31" s="611">
        <v>0</v>
      </c>
      <c r="S31" s="611">
        <v>0</v>
      </c>
      <c r="T31" s="611">
        <v>0</v>
      </c>
      <c r="U31" s="611">
        <v>0</v>
      </c>
      <c r="V31" s="611">
        <v>0</v>
      </c>
      <c r="W31" s="611">
        <v>0</v>
      </c>
      <c r="X31" s="611">
        <v>0</v>
      </c>
      <c r="Y31" s="612">
        <v>0</v>
      </c>
      <c r="Z31" s="613">
        <v>31.662329591533346</v>
      </c>
      <c r="AA31" s="51"/>
    </row>
    <row r="32" spans="1:27" x14ac:dyDescent="0.25">
      <c r="A32" s="51"/>
      <c r="B32" s="51">
        <v>2019</v>
      </c>
      <c r="C32" s="51" t="s">
        <v>47</v>
      </c>
      <c r="D32" s="51" t="s">
        <v>504</v>
      </c>
      <c r="E32" s="51"/>
      <c r="F32" s="51"/>
      <c r="G32" s="618" t="s">
        <v>75</v>
      </c>
      <c r="H32" s="611">
        <v>15.211467777777777</v>
      </c>
      <c r="I32" s="611">
        <v>0</v>
      </c>
      <c r="J32" s="611">
        <v>17.163531653267256</v>
      </c>
      <c r="K32" s="611">
        <v>0</v>
      </c>
      <c r="L32" s="611">
        <v>6.4721602499999999</v>
      </c>
      <c r="M32" s="611">
        <v>0</v>
      </c>
      <c r="N32" s="611">
        <v>0</v>
      </c>
      <c r="O32" s="611">
        <v>0</v>
      </c>
      <c r="P32" s="611">
        <v>0</v>
      </c>
      <c r="Q32" s="611">
        <v>0</v>
      </c>
      <c r="R32" s="611">
        <v>0</v>
      </c>
      <c r="S32" s="611">
        <v>0</v>
      </c>
      <c r="T32" s="611">
        <v>0</v>
      </c>
      <c r="U32" s="611">
        <v>0</v>
      </c>
      <c r="V32" s="611">
        <v>0</v>
      </c>
      <c r="W32" s="611">
        <v>34.075655948560012</v>
      </c>
      <c r="X32" s="611">
        <v>0</v>
      </c>
      <c r="Y32" s="612">
        <v>0</v>
      </c>
      <c r="Z32" s="613">
        <v>72.922815629605054</v>
      </c>
      <c r="AA32" s="51"/>
    </row>
    <row r="33" spans="1:27" x14ac:dyDescent="0.25">
      <c r="A33" s="51"/>
      <c r="B33" s="51">
        <v>2019</v>
      </c>
      <c r="C33" s="51" t="s">
        <v>47</v>
      </c>
      <c r="D33" s="51" t="s">
        <v>505</v>
      </c>
      <c r="E33" s="51"/>
      <c r="F33" s="51"/>
      <c r="G33" s="618" t="s">
        <v>76</v>
      </c>
      <c r="H33" s="611">
        <v>0</v>
      </c>
      <c r="I33" s="611">
        <v>0</v>
      </c>
      <c r="J33" s="611">
        <v>0</v>
      </c>
      <c r="K33" s="611">
        <v>0</v>
      </c>
      <c r="L33" s="611">
        <v>4.9770604999999994</v>
      </c>
      <c r="M33" s="611">
        <v>0</v>
      </c>
      <c r="N33" s="611">
        <v>0</v>
      </c>
      <c r="O33" s="611">
        <v>0</v>
      </c>
      <c r="P33" s="611">
        <v>0</v>
      </c>
      <c r="Q33" s="611">
        <v>0</v>
      </c>
      <c r="R33" s="611">
        <v>0</v>
      </c>
      <c r="S33" s="611">
        <v>0</v>
      </c>
      <c r="T33" s="611">
        <v>0</v>
      </c>
      <c r="U33" s="611">
        <v>0</v>
      </c>
      <c r="V33" s="611">
        <v>0</v>
      </c>
      <c r="W33" s="611">
        <v>38.092724000000004</v>
      </c>
      <c r="X33" s="611">
        <v>3.667636947251947</v>
      </c>
      <c r="Y33" s="612">
        <v>0</v>
      </c>
      <c r="Z33" s="613">
        <v>46.737421447251954</v>
      </c>
      <c r="AA33" s="51"/>
    </row>
    <row r="34" spans="1:27" x14ac:dyDescent="0.25">
      <c r="A34" s="51"/>
      <c r="B34" s="51">
        <v>2019</v>
      </c>
      <c r="C34" s="51" t="s">
        <v>47</v>
      </c>
      <c r="D34" s="51" t="s">
        <v>506</v>
      </c>
      <c r="E34" s="51"/>
      <c r="F34" s="51"/>
      <c r="G34" s="614" t="s">
        <v>77</v>
      </c>
      <c r="H34" s="615">
        <v>70.94886480427779</v>
      </c>
      <c r="I34" s="615">
        <v>589.57724499305652</v>
      </c>
      <c r="J34" s="615">
        <v>-527.3689266860265</v>
      </c>
      <c r="K34" s="615">
        <v>0</v>
      </c>
      <c r="L34" s="615">
        <v>93.932491249999984</v>
      </c>
      <c r="M34" s="615">
        <v>0</v>
      </c>
      <c r="N34" s="615">
        <v>1209.1260212121213</v>
      </c>
      <c r="O34" s="615">
        <v>104.3311966741735</v>
      </c>
      <c r="P34" s="615">
        <v>26.323534970493061</v>
      </c>
      <c r="Q34" s="615">
        <v>28.586654785814009</v>
      </c>
      <c r="R34" s="615">
        <v>-28.954724700512262</v>
      </c>
      <c r="S34" s="615">
        <v>6.5893490555555561</v>
      </c>
      <c r="T34" s="615">
        <v>0.25919055555555554</v>
      </c>
      <c r="U34" s="615">
        <v>0.25919055555555554</v>
      </c>
      <c r="V34" s="615">
        <v>4.7593465444044423</v>
      </c>
      <c r="W34" s="615">
        <v>-489.37184900000005</v>
      </c>
      <c r="X34" s="615">
        <v>-43.104435833525834</v>
      </c>
      <c r="Y34" s="615">
        <v>0</v>
      </c>
      <c r="Z34" s="615">
        <v>1045.8931491809426</v>
      </c>
      <c r="AA34" s="51"/>
    </row>
    <row r="35" spans="1:27" x14ac:dyDescent="0.25">
      <c r="A35" s="51"/>
      <c r="B35" s="51"/>
      <c r="C35" s="51"/>
      <c r="D35" s="51"/>
      <c r="E35" s="51"/>
      <c r="F35" s="51"/>
      <c r="G35" s="616"/>
      <c r="H35" s="617"/>
      <c r="I35" s="617"/>
      <c r="J35" s="617"/>
      <c r="K35" s="617"/>
      <c r="L35" s="617"/>
      <c r="M35" s="617"/>
      <c r="N35" s="617"/>
      <c r="O35" s="617"/>
      <c r="P35" s="617"/>
      <c r="Q35" s="617"/>
      <c r="R35" s="617"/>
      <c r="S35" s="617"/>
      <c r="T35" s="617"/>
      <c r="U35" s="617"/>
      <c r="V35" s="617"/>
      <c r="W35" s="617"/>
      <c r="X35" s="617"/>
      <c r="Y35" s="617"/>
      <c r="Z35" s="617"/>
      <c r="AA35" s="51"/>
    </row>
    <row r="36" spans="1:27" x14ac:dyDescent="0.25">
      <c r="A36" s="51"/>
      <c r="B36" s="51">
        <v>2019</v>
      </c>
      <c r="C36" s="51" t="s">
        <v>47</v>
      </c>
      <c r="D36" s="51" t="s">
        <v>507</v>
      </c>
      <c r="E36" s="51"/>
      <c r="F36" s="51"/>
      <c r="G36" s="618" t="s">
        <v>78</v>
      </c>
      <c r="H36" s="611">
        <v>10.318644626420003</v>
      </c>
      <c r="I36" s="611">
        <v>0</v>
      </c>
      <c r="J36" s="611">
        <v>31.798889573736361</v>
      </c>
      <c r="K36" s="611">
        <v>0</v>
      </c>
      <c r="L36" s="611">
        <v>122.13725650000002</v>
      </c>
      <c r="M36" s="611">
        <v>0</v>
      </c>
      <c r="N36" s="611">
        <v>0</v>
      </c>
      <c r="O36" s="611">
        <v>0</v>
      </c>
      <c r="P36" s="611">
        <v>15.07633527777778</v>
      </c>
      <c r="Q36" s="611">
        <v>4.5361330555555552</v>
      </c>
      <c r="R36" s="611">
        <v>1.0714586421915442</v>
      </c>
      <c r="S36" s="611">
        <v>0.59537055555555551</v>
      </c>
      <c r="T36" s="611">
        <v>0</v>
      </c>
      <c r="U36" s="611">
        <v>0</v>
      </c>
      <c r="V36" s="611">
        <v>1.4743611111111112E-2</v>
      </c>
      <c r="W36" s="611">
        <v>115.65608999999999</v>
      </c>
      <c r="X36" s="611">
        <v>18.599047500192498</v>
      </c>
      <c r="Y36" s="611">
        <v>0</v>
      </c>
      <c r="Z36" s="619">
        <v>319.80396934254043</v>
      </c>
      <c r="AA36" s="51"/>
    </row>
    <row r="37" spans="1:27" x14ac:dyDescent="0.25">
      <c r="A37" s="51"/>
      <c r="B37" s="51">
        <v>2019</v>
      </c>
      <c r="C37" s="51" t="s">
        <v>47</v>
      </c>
      <c r="D37" s="51" t="s">
        <v>508</v>
      </c>
      <c r="E37" s="51"/>
      <c r="F37" s="51"/>
      <c r="G37" s="618" t="s">
        <v>79</v>
      </c>
      <c r="H37" s="611">
        <v>0</v>
      </c>
      <c r="I37" s="611">
        <v>0</v>
      </c>
      <c r="J37" s="611">
        <v>475.96335269237244</v>
      </c>
      <c r="K37" s="611">
        <v>0</v>
      </c>
      <c r="L37" s="611">
        <v>1.8942870000000003</v>
      </c>
      <c r="M37" s="611">
        <v>0</v>
      </c>
      <c r="N37" s="611">
        <v>0</v>
      </c>
      <c r="O37" s="611">
        <v>0</v>
      </c>
      <c r="P37" s="611">
        <v>0</v>
      </c>
      <c r="Q37" s="611">
        <v>0</v>
      </c>
      <c r="R37" s="611">
        <v>37.188256545358975</v>
      </c>
      <c r="S37" s="611">
        <v>0</v>
      </c>
      <c r="T37" s="611">
        <v>0</v>
      </c>
      <c r="U37" s="611">
        <v>0</v>
      </c>
      <c r="V37" s="611">
        <v>0</v>
      </c>
      <c r="W37" s="611">
        <v>10.07993007</v>
      </c>
      <c r="X37" s="611">
        <v>0</v>
      </c>
      <c r="Y37" s="611">
        <v>0</v>
      </c>
      <c r="Z37" s="619">
        <v>525.12582630773147</v>
      </c>
      <c r="AA37" s="51"/>
    </row>
    <row r="38" spans="1:27" x14ac:dyDescent="0.25">
      <c r="A38" s="51"/>
      <c r="B38" s="51">
        <v>2019</v>
      </c>
      <c r="C38" s="51" t="s">
        <v>47</v>
      </c>
      <c r="D38" s="51" t="s">
        <v>509</v>
      </c>
      <c r="E38" s="51"/>
      <c r="F38" s="51"/>
      <c r="G38" s="618" t="s">
        <v>80</v>
      </c>
      <c r="H38" s="611">
        <v>0.28361423905000005</v>
      </c>
      <c r="I38" s="611">
        <v>0</v>
      </c>
      <c r="J38" s="611">
        <v>50.740146891881786</v>
      </c>
      <c r="K38" s="611">
        <v>0</v>
      </c>
      <c r="L38" s="611">
        <v>132.15121725</v>
      </c>
      <c r="M38" s="611">
        <v>0</v>
      </c>
      <c r="N38" s="611">
        <v>0</v>
      </c>
      <c r="O38" s="611">
        <v>0</v>
      </c>
      <c r="P38" s="611">
        <v>74.953719722222218</v>
      </c>
      <c r="Q38" s="611">
        <v>0</v>
      </c>
      <c r="R38" s="611">
        <v>0</v>
      </c>
      <c r="S38" s="611">
        <v>0</v>
      </c>
      <c r="T38" s="611">
        <v>26.665051666666663</v>
      </c>
      <c r="U38" s="611">
        <v>26.665051666666663</v>
      </c>
      <c r="V38" s="611">
        <v>1.98639250004</v>
      </c>
      <c r="W38" s="611">
        <v>159.72207699999998</v>
      </c>
      <c r="X38" s="611">
        <v>14.980747222222222</v>
      </c>
      <c r="Y38" s="611">
        <v>0</v>
      </c>
      <c r="Z38" s="619">
        <v>488.14801815874955</v>
      </c>
      <c r="AA38" s="51"/>
    </row>
    <row r="39" spans="1:27" x14ac:dyDescent="0.25">
      <c r="A39" s="51"/>
      <c r="B39" s="51">
        <v>2019</v>
      </c>
      <c r="C39" s="51" t="s">
        <v>47</v>
      </c>
      <c r="D39" s="51" t="s">
        <v>510</v>
      </c>
      <c r="E39" s="51"/>
      <c r="F39" s="51"/>
      <c r="G39" s="618" t="s">
        <v>81</v>
      </c>
      <c r="H39" s="611">
        <v>0.40432760307999993</v>
      </c>
      <c r="I39" s="611">
        <v>0</v>
      </c>
      <c r="J39" s="611">
        <v>33.030604242320379</v>
      </c>
      <c r="K39" s="611">
        <v>0</v>
      </c>
      <c r="L39" s="611">
        <v>70.504948999999996</v>
      </c>
      <c r="M39" s="611">
        <v>0</v>
      </c>
      <c r="N39" s="611">
        <v>0</v>
      </c>
      <c r="O39" s="611">
        <v>0</v>
      </c>
      <c r="P39" s="611">
        <v>3.0152302777777784</v>
      </c>
      <c r="Q39" s="611">
        <v>1.7780329919637734</v>
      </c>
      <c r="R39" s="611">
        <v>0</v>
      </c>
      <c r="S39" s="611">
        <v>1.4820169444444444</v>
      </c>
      <c r="T39" s="611">
        <v>4.7740327777777782</v>
      </c>
      <c r="U39" s="611">
        <v>4.7740327777777782</v>
      </c>
      <c r="V39" s="611">
        <v>0.35231138888888891</v>
      </c>
      <c r="W39" s="611">
        <v>137.76728493000002</v>
      </c>
      <c r="X39" s="611">
        <v>9.3080608333333341</v>
      </c>
      <c r="Y39" s="611">
        <v>0</v>
      </c>
      <c r="Z39" s="619">
        <v>267.1908837673642</v>
      </c>
      <c r="AA39" s="51"/>
    </row>
    <row r="40" spans="1:27" x14ac:dyDescent="0.25">
      <c r="A40" s="51"/>
      <c r="B40" s="51">
        <v>2019</v>
      </c>
      <c r="C40" s="51" t="s">
        <v>47</v>
      </c>
      <c r="D40" s="51" t="s">
        <v>511</v>
      </c>
      <c r="E40" s="51"/>
      <c r="F40" s="51"/>
      <c r="G40" s="618" t="s">
        <v>82</v>
      </c>
      <c r="H40" s="611">
        <v>1.6738093710000002E-2</v>
      </c>
      <c r="I40" s="611">
        <v>0</v>
      </c>
      <c r="J40" s="611">
        <v>35.508479849329859</v>
      </c>
      <c r="K40" s="611">
        <v>0</v>
      </c>
      <c r="L40" s="611">
        <v>2.1960534999999997</v>
      </c>
      <c r="M40" s="611">
        <v>0</v>
      </c>
      <c r="N40" s="611">
        <v>0</v>
      </c>
      <c r="O40" s="611">
        <v>0</v>
      </c>
      <c r="P40" s="611">
        <v>1.6964935406677779</v>
      </c>
      <c r="Q40" s="611">
        <v>0</v>
      </c>
      <c r="R40" s="611">
        <v>1.834336902240338</v>
      </c>
      <c r="S40" s="611">
        <v>0.43157000000000006</v>
      </c>
      <c r="T40" s="611">
        <v>0</v>
      </c>
      <c r="U40" s="611">
        <v>0</v>
      </c>
      <c r="V40" s="611">
        <v>0.29222750000000003</v>
      </c>
      <c r="W40" s="611">
        <v>8.4794180000000026</v>
      </c>
      <c r="X40" s="611">
        <v>0.21658055555555558</v>
      </c>
      <c r="Y40" s="611">
        <v>0</v>
      </c>
      <c r="Z40" s="619">
        <v>50.671897941503538</v>
      </c>
      <c r="AA40" s="51"/>
    </row>
    <row r="41" spans="1:27" x14ac:dyDescent="0.25">
      <c r="A41" s="51"/>
      <c r="B41" s="51">
        <v>2019</v>
      </c>
      <c r="C41" s="51" t="s">
        <v>47</v>
      </c>
      <c r="D41" s="51" t="s">
        <v>512</v>
      </c>
      <c r="E41" s="51"/>
      <c r="F41" s="51"/>
      <c r="G41" s="618" t="s">
        <v>354</v>
      </c>
      <c r="H41" s="611">
        <v>0</v>
      </c>
      <c r="I41" s="611">
        <v>0</v>
      </c>
      <c r="J41" s="611">
        <v>0</v>
      </c>
      <c r="K41" s="611">
        <v>0</v>
      </c>
      <c r="L41" s="611">
        <v>0</v>
      </c>
      <c r="M41" s="611">
        <v>0</v>
      </c>
      <c r="N41" s="611">
        <v>0</v>
      </c>
      <c r="O41" s="611">
        <v>0</v>
      </c>
      <c r="P41" s="611">
        <v>0</v>
      </c>
      <c r="Q41" s="611">
        <v>0</v>
      </c>
      <c r="R41" s="611">
        <v>0</v>
      </c>
      <c r="S41" s="611">
        <v>0</v>
      </c>
      <c r="T41" s="611">
        <v>0</v>
      </c>
      <c r="U41" s="611">
        <v>0</v>
      </c>
      <c r="V41" s="611">
        <v>0</v>
      </c>
      <c r="W41" s="611">
        <v>0</v>
      </c>
      <c r="X41" s="611">
        <v>0</v>
      </c>
      <c r="Y41" s="611">
        <v>0</v>
      </c>
      <c r="Z41" s="619">
        <v>0</v>
      </c>
      <c r="AA41" s="51"/>
    </row>
    <row r="42" spans="1:27" x14ac:dyDescent="0.25">
      <c r="A42" s="51"/>
      <c r="B42" s="51">
        <v>2019</v>
      </c>
      <c r="C42" s="51" t="s">
        <v>47</v>
      </c>
      <c r="D42" s="51" t="s">
        <v>513</v>
      </c>
      <c r="E42" s="51"/>
      <c r="F42" s="51"/>
      <c r="G42" s="614" t="s">
        <v>83</v>
      </c>
      <c r="H42" s="615">
        <v>11.023324562260003</v>
      </c>
      <c r="I42" s="615">
        <v>0</v>
      </c>
      <c r="J42" s="615">
        <v>627.04147324964083</v>
      </c>
      <c r="K42" s="615">
        <v>0</v>
      </c>
      <c r="L42" s="615">
        <v>328.88376325000007</v>
      </c>
      <c r="M42" s="615">
        <v>0</v>
      </c>
      <c r="N42" s="615">
        <v>0</v>
      </c>
      <c r="O42" s="615">
        <v>0</v>
      </c>
      <c r="P42" s="615">
        <v>94.741778818445553</v>
      </c>
      <c r="Q42" s="615">
        <v>6.3141660475193291</v>
      </c>
      <c r="R42" s="615">
        <v>40.094052089790857</v>
      </c>
      <c r="S42" s="615">
        <v>2.5089575000000002</v>
      </c>
      <c r="T42" s="615">
        <v>31.43908444444444</v>
      </c>
      <c r="U42" s="615">
        <v>31.43908444444444</v>
      </c>
      <c r="V42" s="615">
        <v>2.6456750000400002</v>
      </c>
      <c r="W42" s="615">
        <v>431.70480000000003</v>
      </c>
      <c r="X42" s="615">
        <v>43.104436111303606</v>
      </c>
      <c r="Y42" s="615">
        <v>0</v>
      </c>
      <c r="Z42" s="615">
        <v>1650.9405955178891</v>
      </c>
      <c r="AA42" s="51"/>
    </row>
    <row r="43" spans="1:27" x14ac:dyDescent="0.25">
      <c r="A43" s="51"/>
      <c r="B43" s="51">
        <v>2019</v>
      </c>
      <c r="C43" s="51" t="s">
        <v>47</v>
      </c>
      <c r="D43" s="51" t="s">
        <v>514</v>
      </c>
      <c r="E43" s="51"/>
      <c r="F43" s="51"/>
      <c r="G43" s="610" t="s">
        <v>84</v>
      </c>
      <c r="H43" s="611">
        <v>3.1200159203999993</v>
      </c>
      <c r="I43" s="611">
        <v>0</v>
      </c>
      <c r="J43" s="611">
        <v>139.5725242203051</v>
      </c>
      <c r="K43" s="611">
        <v>0</v>
      </c>
      <c r="L43" s="611">
        <v>13.804214250000001</v>
      </c>
      <c r="M43" s="611">
        <v>0</v>
      </c>
      <c r="N43" s="611">
        <v>0</v>
      </c>
      <c r="O43" s="611">
        <v>0</v>
      </c>
      <c r="P43" s="611">
        <v>0</v>
      </c>
      <c r="Q43" s="611">
        <v>0</v>
      </c>
      <c r="R43" s="611">
        <v>0</v>
      </c>
      <c r="S43" s="611">
        <v>0</v>
      </c>
      <c r="T43" s="611">
        <v>0</v>
      </c>
      <c r="U43" s="611">
        <v>0</v>
      </c>
      <c r="V43" s="611">
        <v>0</v>
      </c>
      <c r="W43" s="611">
        <v>0</v>
      </c>
      <c r="X43" s="611">
        <v>0</v>
      </c>
      <c r="Y43" s="611">
        <v>0</v>
      </c>
      <c r="Z43" s="619">
        <v>156.49675439070509</v>
      </c>
      <c r="AA43" s="51"/>
    </row>
    <row r="44" spans="1:27" x14ac:dyDescent="0.25">
      <c r="A44" s="51"/>
      <c r="B44" s="51">
        <v>2019</v>
      </c>
      <c r="C44" s="51" t="s">
        <v>47</v>
      </c>
      <c r="D44" s="51" t="s">
        <v>515</v>
      </c>
      <c r="E44" s="51"/>
      <c r="F44" s="51"/>
      <c r="G44" s="614" t="s">
        <v>85</v>
      </c>
      <c r="H44" s="615">
        <v>14.143340482660001</v>
      </c>
      <c r="I44" s="615">
        <v>0</v>
      </c>
      <c r="J44" s="615">
        <v>766.61399746994596</v>
      </c>
      <c r="K44" s="615">
        <v>0</v>
      </c>
      <c r="L44" s="615">
        <v>342.6879775000001</v>
      </c>
      <c r="M44" s="615">
        <v>0</v>
      </c>
      <c r="N44" s="615">
        <v>0</v>
      </c>
      <c r="O44" s="615">
        <v>0</v>
      </c>
      <c r="P44" s="615">
        <v>94.741778818445553</v>
      </c>
      <c r="Q44" s="615">
        <v>6.3141660475193291</v>
      </c>
      <c r="R44" s="615">
        <v>40.094052089790857</v>
      </c>
      <c r="S44" s="615">
        <v>2.5089575000000002</v>
      </c>
      <c r="T44" s="615">
        <v>31.43908444444444</v>
      </c>
      <c r="U44" s="615">
        <v>31.43908444444444</v>
      </c>
      <c r="V44" s="615">
        <v>2.6456750000400002</v>
      </c>
      <c r="W44" s="615">
        <v>431.70480000000003</v>
      </c>
      <c r="X44" s="615">
        <v>43.104436111303606</v>
      </c>
      <c r="Y44" s="615">
        <v>0</v>
      </c>
      <c r="Z44" s="615">
        <v>1807.4373499085941</v>
      </c>
      <c r="AA44" s="51"/>
    </row>
    <row r="45" spans="1:27" x14ac:dyDescent="0.25">
      <c r="A45" s="51"/>
      <c r="B45" s="51"/>
      <c r="C45" s="51"/>
      <c r="D45" s="51"/>
      <c r="E45" s="51"/>
      <c r="F45" s="51"/>
      <c r="G45" s="51"/>
      <c r="H45" s="67"/>
      <c r="I45" s="67"/>
      <c r="J45" s="67"/>
      <c r="K45" s="67"/>
      <c r="L45" s="67"/>
      <c r="M45" s="51"/>
      <c r="N45" s="67"/>
      <c r="O45" s="67"/>
      <c r="P45" s="67"/>
      <c r="Q45" s="67"/>
      <c r="R45" s="67"/>
      <c r="S45" s="67"/>
      <c r="T45" s="67"/>
      <c r="U45" s="67"/>
      <c r="V45" s="67"/>
      <c r="W45" s="67"/>
      <c r="X45" s="67"/>
      <c r="Y45" s="67"/>
      <c r="Z45" s="67"/>
      <c r="AA45" s="51"/>
    </row>
    <row r="46" spans="1:27" x14ac:dyDescent="0.25">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row>
    <row r="47" spans="1:27" x14ac:dyDescent="0.25">
      <c r="A47" s="606"/>
      <c r="B47" s="606"/>
      <c r="C47" s="606"/>
      <c r="D47" s="606"/>
      <c r="E47" s="606"/>
      <c r="F47" s="606"/>
      <c r="G47" s="607" t="s">
        <v>86</v>
      </c>
      <c r="H47" s="606"/>
      <c r="I47" s="606"/>
      <c r="J47" s="606"/>
      <c r="K47" s="606"/>
      <c r="L47" s="606"/>
      <c r="M47" s="606"/>
      <c r="N47" s="606"/>
      <c r="O47" s="606"/>
      <c r="P47" s="606"/>
      <c r="Q47" s="606"/>
      <c r="R47" s="606"/>
      <c r="S47" s="606"/>
      <c r="T47" s="606"/>
      <c r="U47" s="606"/>
      <c r="V47" s="606"/>
      <c r="W47" s="606"/>
      <c r="X47" s="606"/>
      <c r="Y47" s="606"/>
      <c r="Z47" s="606"/>
      <c r="AA47" s="606"/>
    </row>
    <row r="48" spans="1:27" x14ac:dyDescent="0.25">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row>
    <row r="49" spans="1:27" x14ac:dyDescent="0.25">
      <c r="A49" s="51"/>
      <c r="B49" s="51"/>
      <c r="C49" s="51"/>
      <c r="D49" s="51"/>
      <c r="E49" s="51"/>
      <c r="F49" s="51"/>
      <c r="G49" s="764" t="s">
        <v>128</v>
      </c>
      <c r="H49" s="753" t="s">
        <v>42</v>
      </c>
      <c r="I49" s="753" t="s">
        <v>52</v>
      </c>
      <c r="J49" s="753" t="s">
        <v>53</v>
      </c>
      <c r="K49" s="753" t="s">
        <v>482</v>
      </c>
      <c r="L49" s="753" t="s">
        <v>32</v>
      </c>
      <c r="M49" s="753" t="s">
        <v>483</v>
      </c>
      <c r="N49" s="753" t="s">
        <v>20</v>
      </c>
      <c r="O49" s="753" t="s">
        <v>55</v>
      </c>
      <c r="P49" s="761" t="s">
        <v>56</v>
      </c>
      <c r="Q49" s="762"/>
      <c r="R49" s="762"/>
      <c r="S49" s="762"/>
      <c r="T49" s="762"/>
      <c r="U49" s="762"/>
      <c r="V49" s="763"/>
      <c r="W49" s="753" t="s">
        <v>57</v>
      </c>
      <c r="X49" s="753" t="s">
        <v>58</v>
      </c>
      <c r="Y49" s="753" t="s">
        <v>31</v>
      </c>
      <c r="Z49" s="753" t="s">
        <v>10</v>
      </c>
      <c r="AA49" s="51"/>
    </row>
    <row r="50" spans="1:27" ht="36" x14ac:dyDescent="0.25">
      <c r="A50" s="51"/>
      <c r="B50" s="51" t="s">
        <v>484</v>
      </c>
      <c r="C50" s="51" t="s">
        <v>485</v>
      </c>
      <c r="D50" s="51" t="s">
        <v>486</v>
      </c>
      <c r="E50" s="51"/>
      <c r="F50" s="51"/>
      <c r="G50" s="765"/>
      <c r="H50" s="754"/>
      <c r="I50" s="754"/>
      <c r="J50" s="754"/>
      <c r="K50" s="754"/>
      <c r="L50" s="754"/>
      <c r="M50" s="754"/>
      <c r="N50" s="754"/>
      <c r="O50" s="754"/>
      <c r="P50" s="608" t="s">
        <v>335</v>
      </c>
      <c r="Q50" s="608" t="s">
        <v>40</v>
      </c>
      <c r="R50" s="608" t="s">
        <v>343</v>
      </c>
      <c r="S50" s="608" t="s">
        <v>344</v>
      </c>
      <c r="T50" s="609" t="s">
        <v>345</v>
      </c>
      <c r="U50" s="609" t="s">
        <v>609</v>
      </c>
      <c r="V50" s="608" t="s">
        <v>346</v>
      </c>
      <c r="W50" s="754"/>
      <c r="X50" s="754"/>
      <c r="Y50" s="754"/>
      <c r="Z50" s="754"/>
      <c r="AA50" s="51"/>
    </row>
    <row r="51" spans="1:27" x14ac:dyDescent="0.25">
      <c r="A51" s="51"/>
      <c r="B51" s="51">
        <v>2020</v>
      </c>
      <c r="C51" s="51" t="s">
        <v>47</v>
      </c>
      <c r="D51" s="51" t="s">
        <v>487</v>
      </c>
      <c r="E51" s="51"/>
      <c r="F51" s="51"/>
      <c r="G51" s="610" t="s">
        <v>59</v>
      </c>
      <c r="H51" s="611">
        <v>0</v>
      </c>
      <c r="I51" s="611">
        <v>9.7977867342210008</v>
      </c>
      <c r="J51" s="620">
        <v>0</v>
      </c>
      <c r="K51" s="611">
        <v>0</v>
      </c>
      <c r="L51" s="611">
        <v>0.18111850000000002</v>
      </c>
      <c r="M51" s="611">
        <v>0</v>
      </c>
      <c r="N51" s="620">
        <v>1072.2208090909091</v>
      </c>
      <c r="O51" s="620">
        <v>115.72304451809002</v>
      </c>
      <c r="P51" s="620">
        <v>114.24305924309468</v>
      </c>
      <c r="Q51" s="620">
        <v>33.631608055405756</v>
      </c>
      <c r="R51" s="620">
        <v>0</v>
      </c>
      <c r="S51" s="620">
        <v>9.2815441223735728</v>
      </c>
      <c r="T51" s="620">
        <v>32.908596666666668</v>
      </c>
      <c r="U51" s="620">
        <v>32.908596666666668</v>
      </c>
      <c r="V51" s="620">
        <v>8.1133079726239394</v>
      </c>
      <c r="W51" s="620">
        <v>0</v>
      </c>
      <c r="X51" s="620">
        <v>0</v>
      </c>
      <c r="Y51" s="620">
        <v>0</v>
      </c>
      <c r="Z51" s="621">
        <v>1429.0094715700513</v>
      </c>
      <c r="AA51" s="51"/>
    </row>
    <row r="52" spans="1:27" x14ac:dyDescent="0.25">
      <c r="A52" s="51"/>
      <c r="B52" s="51">
        <v>2020</v>
      </c>
      <c r="C52" s="51" t="s">
        <v>47</v>
      </c>
      <c r="D52" s="51" t="s">
        <v>488</v>
      </c>
      <c r="E52" s="51"/>
      <c r="F52" s="51"/>
      <c r="G52" s="610" t="s">
        <v>60</v>
      </c>
      <c r="H52" s="620">
        <v>59.346560356893349</v>
      </c>
      <c r="I52" s="620">
        <v>394.73997109464659</v>
      </c>
      <c r="J52" s="620">
        <v>515.26337584814883</v>
      </c>
      <c r="K52" s="611">
        <v>0</v>
      </c>
      <c r="L52" s="620">
        <v>479.42224425000006</v>
      </c>
      <c r="M52" s="611">
        <v>0</v>
      </c>
      <c r="N52" s="620">
        <v>0</v>
      </c>
      <c r="O52" s="620">
        <v>0</v>
      </c>
      <c r="P52" s="620">
        <v>2.6631252777777781</v>
      </c>
      <c r="Q52" s="620">
        <v>0</v>
      </c>
      <c r="R52" s="620">
        <v>13.962014778928699</v>
      </c>
      <c r="S52" s="620">
        <v>0</v>
      </c>
      <c r="T52" s="620">
        <v>0</v>
      </c>
      <c r="U52" s="620">
        <v>0</v>
      </c>
      <c r="V52" s="620">
        <v>0</v>
      </c>
      <c r="W52" s="620">
        <v>19.536102</v>
      </c>
      <c r="X52" s="620">
        <v>0</v>
      </c>
      <c r="Y52" s="620">
        <v>0</v>
      </c>
      <c r="Z52" s="621">
        <v>1484.9333936063952</v>
      </c>
      <c r="AA52" s="51"/>
    </row>
    <row r="53" spans="1:27" x14ac:dyDescent="0.25">
      <c r="A53" s="51"/>
      <c r="B53" s="51">
        <v>2020</v>
      </c>
      <c r="C53" s="51" t="s">
        <v>47</v>
      </c>
      <c r="D53" s="51" t="s">
        <v>489</v>
      </c>
      <c r="E53" s="51"/>
      <c r="F53" s="51"/>
      <c r="G53" s="610" t="s">
        <v>61</v>
      </c>
      <c r="H53" s="620">
        <v>-9.6972882210000014E-2</v>
      </c>
      <c r="I53" s="620">
        <v>-1.4488664385590002</v>
      </c>
      <c r="J53" s="620">
        <v>-154.00833143808623</v>
      </c>
      <c r="K53" s="611">
        <v>0</v>
      </c>
      <c r="L53" s="620">
        <v>-95.022441999999998</v>
      </c>
      <c r="M53" s="611">
        <v>0</v>
      </c>
      <c r="N53" s="620">
        <v>0</v>
      </c>
      <c r="O53" s="620">
        <v>0</v>
      </c>
      <c r="P53" s="620">
        <v>-2.0287163888888888</v>
      </c>
      <c r="Q53" s="620">
        <v>0</v>
      </c>
      <c r="R53" s="620">
        <v>-7.1333416709442901</v>
      </c>
      <c r="S53" s="620">
        <v>0</v>
      </c>
      <c r="T53" s="620">
        <v>0</v>
      </c>
      <c r="U53" s="620">
        <v>0</v>
      </c>
      <c r="V53" s="620">
        <v>0</v>
      </c>
      <c r="W53" s="620">
        <v>-64.575296000000009</v>
      </c>
      <c r="X53" s="620">
        <v>0</v>
      </c>
      <c r="Y53" s="620">
        <v>0</v>
      </c>
      <c r="Z53" s="621">
        <v>-324.31396681868841</v>
      </c>
      <c r="AA53" s="51"/>
    </row>
    <row r="54" spans="1:27" x14ac:dyDescent="0.25">
      <c r="A54" s="51"/>
      <c r="B54" s="51">
        <v>2020</v>
      </c>
      <c r="C54" s="51" t="s">
        <v>47</v>
      </c>
      <c r="D54" s="51" t="s">
        <v>490</v>
      </c>
      <c r="E54" s="51"/>
      <c r="F54" s="51"/>
      <c r="G54" s="610" t="s">
        <v>62</v>
      </c>
      <c r="H54" s="611">
        <v>0</v>
      </c>
      <c r="I54" s="611">
        <v>0</v>
      </c>
      <c r="J54" s="611">
        <v>-11.254966292131096</v>
      </c>
      <c r="K54" s="611">
        <v>0</v>
      </c>
      <c r="L54" s="611">
        <v>0</v>
      </c>
      <c r="M54" s="611">
        <v>0</v>
      </c>
      <c r="N54" s="611">
        <v>0</v>
      </c>
      <c r="O54" s="611">
        <v>0</v>
      </c>
      <c r="P54" s="611">
        <v>0</v>
      </c>
      <c r="Q54" s="611">
        <v>0</v>
      </c>
      <c r="R54" s="611">
        <v>0</v>
      </c>
      <c r="S54" s="611">
        <v>0</v>
      </c>
      <c r="T54" s="611">
        <v>0</v>
      </c>
      <c r="U54" s="611">
        <v>0</v>
      </c>
      <c r="V54" s="611">
        <v>0</v>
      </c>
      <c r="W54" s="620">
        <v>0</v>
      </c>
      <c r="X54" s="620">
        <v>0</v>
      </c>
      <c r="Y54" s="611">
        <v>0</v>
      </c>
      <c r="Z54" s="621">
        <v>-11.254966292131096</v>
      </c>
      <c r="AA54" s="51"/>
    </row>
    <row r="55" spans="1:27" x14ac:dyDescent="0.25">
      <c r="A55" s="51"/>
      <c r="B55" s="51">
        <v>2020</v>
      </c>
      <c r="C55" s="51" t="s">
        <v>47</v>
      </c>
      <c r="D55" s="51" t="s">
        <v>491</v>
      </c>
      <c r="E55" s="51"/>
      <c r="F55" s="51"/>
      <c r="G55" s="610" t="s">
        <v>63</v>
      </c>
      <c r="H55" s="611">
        <v>0</v>
      </c>
      <c r="I55" s="611">
        <v>0</v>
      </c>
      <c r="J55" s="611">
        <v>-30.293164942593918</v>
      </c>
      <c r="K55" s="611">
        <v>0</v>
      </c>
      <c r="L55" s="611">
        <v>0</v>
      </c>
      <c r="M55" s="611">
        <v>0</v>
      </c>
      <c r="N55" s="611">
        <v>0</v>
      </c>
      <c r="O55" s="611">
        <v>0</v>
      </c>
      <c r="P55" s="611">
        <v>0</v>
      </c>
      <c r="Q55" s="611">
        <v>0</v>
      </c>
      <c r="R55" s="611">
        <v>0</v>
      </c>
      <c r="S55" s="611">
        <v>0</v>
      </c>
      <c r="T55" s="611">
        <v>0</v>
      </c>
      <c r="U55" s="611">
        <v>0</v>
      </c>
      <c r="V55" s="611">
        <v>0</v>
      </c>
      <c r="W55" s="620">
        <v>0</v>
      </c>
      <c r="X55" s="620">
        <v>0</v>
      </c>
      <c r="Y55" s="611">
        <v>0</v>
      </c>
      <c r="Z55" s="621">
        <v>-30.293164942593918</v>
      </c>
      <c r="AA55" s="51"/>
    </row>
    <row r="56" spans="1:27" x14ac:dyDescent="0.25">
      <c r="A56" s="51"/>
      <c r="B56" s="51">
        <v>2020</v>
      </c>
      <c r="C56" s="51" t="s">
        <v>47</v>
      </c>
      <c r="D56" s="51" t="s">
        <v>492</v>
      </c>
      <c r="E56" s="51"/>
      <c r="F56" s="51"/>
      <c r="G56" s="610" t="s">
        <v>64</v>
      </c>
      <c r="H56" s="620">
        <v>2.2754338241033341</v>
      </c>
      <c r="I56" s="620">
        <v>1.7895047303380001</v>
      </c>
      <c r="J56" s="620">
        <v>-1.4741451662241043</v>
      </c>
      <c r="K56" s="611">
        <v>0</v>
      </c>
      <c r="L56" s="620">
        <v>21.247482000000002</v>
      </c>
      <c r="M56" s="611">
        <v>0</v>
      </c>
      <c r="N56" s="620">
        <v>0</v>
      </c>
      <c r="O56" s="620">
        <v>0</v>
      </c>
      <c r="P56" s="620">
        <v>0</v>
      </c>
      <c r="Q56" s="620">
        <v>0</v>
      </c>
      <c r="R56" s="620">
        <v>0</v>
      </c>
      <c r="S56" s="620">
        <v>0</v>
      </c>
      <c r="T56" s="620">
        <v>0</v>
      </c>
      <c r="U56" s="620">
        <v>0</v>
      </c>
      <c r="V56" s="620">
        <v>0</v>
      </c>
      <c r="W56" s="620">
        <v>0</v>
      </c>
      <c r="X56" s="620">
        <v>0</v>
      </c>
      <c r="Y56" s="620">
        <v>0</v>
      </c>
      <c r="Z56" s="621">
        <v>23.83827538821723</v>
      </c>
      <c r="AA56" s="51"/>
    </row>
    <row r="57" spans="1:27" x14ac:dyDescent="0.25">
      <c r="A57" s="51"/>
      <c r="B57" s="51">
        <v>2020</v>
      </c>
      <c r="C57" s="51" t="s">
        <v>47</v>
      </c>
      <c r="D57" s="51" t="s">
        <v>493</v>
      </c>
      <c r="E57" s="51"/>
      <c r="F57" s="51"/>
      <c r="G57" s="614" t="s">
        <v>65</v>
      </c>
      <c r="H57" s="622">
        <v>61.525021298786683</v>
      </c>
      <c r="I57" s="622">
        <v>404.87839612064664</v>
      </c>
      <c r="J57" s="622">
        <v>318.2327680091135</v>
      </c>
      <c r="K57" s="615">
        <v>0</v>
      </c>
      <c r="L57" s="622">
        <v>405.82840275000007</v>
      </c>
      <c r="M57" s="615">
        <v>0</v>
      </c>
      <c r="N57" s="622">
        <v>1072.2208090909091</v>
      </c>
      <c r="O57" s="622">
        <v>115.72304451809002</v>
      </c>
      <c r="P57" s="622">
        <v>114.87746813198356</v>
      </c>
      <c r="Q57" s="622">
        <v>33.631608055405756</v>
      </c>
      <c r="R57" s="622">
        <v>6.8286731079844092</v>
      </c>
      <c r="S57" s="622">
        <v>9.2815441223735728</v>
      </c>
      <c r="T57" s="622">
        <v>32.908596666666668</v>
      </c>
      <c r="U57" s="622">
        <v>32.908596666666668</v>
      </c>
      <c r="V57" s="622">
        <v>8.1133079726239394</v>
      </c>
      <c r="W57" s="622">
        <v>-45.039194000000009</v>
      </c>
      <c r="X57" s="622">
        <v>0</v>
      </c>
      <c r="Y57" s="622">
        <v>0</v>
      </c>
      <c r="Z57" s="622">
        <v>2571.9190425112502</v>
      </c>
      <c r="AA57" s="51"/>
    </row>
    <row r="58" spans="1:27" x14ac:dyDescent="0.25">
      <c r="A58" s="51"/>
      <c r="B58" s="51"/>
      <c r="C58" s="51"/>
      <c r="D58" s="51"/>
      <c r="E58" s="51"/>
      <c r="F58" s="51"/>
      <c r="G58" s="616"/>
      <c r="H58" s="623"/>
      <c r="I58" s="623"/>
      <c r="J58" s="623"/>
      <c r="K58" s="617"/>
      <c r="L58" s="623"/>
      <c r="M58" s="617"/>
      <c r="N58" s="623"/>
      <c r="O58" s="623"/>
      <c r="P58" s="623"/>
      <c r="Q58" s="623"/>
      <c r="R58" s="623"/>
      <c r="S58" s="623"/>
      <c r="T58" s="623"/>
      <c r="U58" s="623"/>
      <c r="V58" s="623"/>
      <c r="W58" s="623"/>
      <c r="X58" s="623"/>
      <c r="Y58" s="623"/>
      <c r="Z58" s="623"/>
      <c r="AA58" s="51"/>
    </row>
    <row r="59" spans="1:27" x14ac:dyDescent="0.25">
      <c r="A59" s="51"/>
      <c r="B59" s="51">
        <v>2020</v>
      </c>
      <c r="C59" s="51" t="s">
        <v>47</v>
      </c>
      <c r="D59" s="51" t="s">
        <v>494</v>
      </c>
      <c r="E59" s="51"/>
      <c r="F59" s="51"/>
      <c r="G59" s="618" t="s">
        <v>67</v>
      </c>
      <c r="H59" s="611">
        <v>-3.1696853392377875</v>
      </c>
      <c r="I59" s="611">
        <v>7.594656734105321</v>
      </c>
      <c r="J59" s="611">
        <v>3.8234994290490683</v>
      </c>
      <c r="K59" s="611">
        <v>0</v>
      </c>
      <c r="L59" s="611">
        <v>-0.68950250000000013</v>
      </c>
      <c r="M59" s="611">
        <v>0</v>
      </c>
      <c r="N59" s="611">
        <v>0</v>
      </c>
      <c r="O59" s="611">
        <v>0</v>
      </c>
      <c r="P59" s="611">
        <v>0</v>
      </c>
      <c r="Q59" s="611">
        <v>0</v>
      </c>
      <c r="R59" s="611">
        <v>0</v>
      </c>
      <c r="S59" s="611">
        <v>0</v>
      </c>
      <c r="T59" s="611">
        <v>0</v>
      </c>
      <c r="U59" s="611">
        <v>0</v>
      </c>
      <c r="V59" s="611">
        <v>0</v>
      </c>
      <c r="W59" s="611">
        <v>2.0843062301020092</v>
      </c>
      <c r="X59" s="611">
        <v>0</v>
      </c>
      <c r="Y59" s="620">
        <v>0</v>
      </c>
      <c r="Z59" s="621">
        <v>9.6432745540186104</v>
      </c>
      <c r="AA59" s="51"/>
    </row>
    <row r="60" spans="1:27" x14ac:dyDescent="0.25">
      <c r="A60" s="51"/>
      <c r="B60" s="51">
        <v>2020</v>
      </c>
      <c r="C60" s="51" t="s">
        <v>47</v>
      </c>
      <c r="D60" s="51" t="s">
        <v>495</v>
      </c>
      <c r="E60" s="51"/>
      <c r="F60" s="51"/>
      <c r="G60" s="618" t="s">
        <v>347</v>
      </c>
      <c r="H60" s="611">
        <v>14.864431241687887</v>
      </c>
      <c r="I60" s="611">
        <v>0</v>
      </c>
      <c r="J60" s="611">
        <v>13.418152502737103</v>
      </c>
      <c r="K60" s="611">
        <v>0</v>
      </c>
      <c r="L60" s="611">
        <v>55.436136268601025</v>
      </c>
      <c r="M60" s="611">
        <v>0</v>
      </c>
      <c r="N60" s="611">
        <v>1072.2208090909091</v>
      </c>
      <c r="O60" s="611">
        <v>115.67142051809002</v>
      </c>
      <c r="P60" s="611">
        <v>17.347825951117827</v>
      </c>
      <c r="Q60" s="611">
        <v>11.678824122543197</v>
      </c>
      <c r="R60" s="611">
        <v>0</v>
      </c>
      <c r="S60" s="611">
        <v>5.2886919634287652</v>
      </c>
      <c r="T60" s="611">
        <v>0</v>
      </c>
      <c r="U60" s="611">
        <v>0</v>
      </c>
      <c r="V60" s="611">
        <v>1.3922112325408571</v>
      </c>
      <c r="W60" s="611">
        <v>-527.28039181222232</v>
      </c>
      <c r="X60" s="611">
        <v>0</v>
      </c>
      <c r="Y60" s="620">
        <v>0</v>
      </c>
      <c r="Z60" s="621">
        <v>780.03811107943341</v>
      </c>
      <c r="AA60" s="51"/>
    </row>
    <row r="61" spans="1:27" x14ac:dyDescent="0.25">
      <c r="A61" s="51"/>
      <c r="B61" s="51">
        <v>2020</v>
      </c>
      <c r="C61" s="51" t="s">
        <v>47</v>
      </c>
      <c r="D61" s="51" t="s">
        <v>496</v>
      </c>
      <c r="E61" s="51"/>
      <c r="F61" s="51"/>
      <c r="G61" s="618" t="s">
        <v>348</v>
      </c>
      <c r="H61" s="611">
        <v>1.5729367626898902</v>
      </c>
      <c r="I61" s="611">
        <v>0</v>
      </c>
      <c r="J61" s="611">
        <v>0.20358189452574635</v>
      </c>
      <c r="K61" s="611">
        <v>0</v>
      </c>
      <c r="L61" s="611">
        <v>21.08911448139898</v>
      </c>
      <c r="M61" s="611">
        <v>0</v>
      </c>
      <c r="N61" s="611">
        <v>0</v>
      </c>
      <c r="O61" s="611">
        <v>0</v>
      </c>
      <c r="P61" s="611">
        <v>7.8982729217883261</v>
      </c>
      <c r="Q61" s="611">
        <v>16.49482411485047</v>
      </c>
      <c r="R61" s="611">
        <v>0</v>
      </c>
      <c r="S61" s="611">
        <v>3.0673174902469076</v>
      </c>
      <c r="T61" s="611">
        <v>0.25705111111111106</v>
      </c>
      <c r="U61" s="611">
        <v>0.25705111111111106</v>
      </c>
      <c r="V61" s="611">
        <v>3.9939867016268904</v>
      </c>
      <c r="W61" s="611">
        <v>0</v>
      </c>
      <c r="X61" s="611">
        <v>-45.831488617908406</v>
      </c>
      <c r="Y61" s="620">
        <v>0</v>
      </c>
      <c r="Z61" s="621">
        <v>9.0026479714410215</v>
      </c>
      <c r="AA61" s="51"/>
    </row>
    <row r="62" spans="1:27" x14ac:dyDescent="0.25">
      <c r="A62" s="51"/>
      <c r="B62" s="51">
        <v>2020</v>
      </c>
      <c r="C62" s="51" t="s">
        <v>47</v>
      </c>
      <c r="D62" s="51" t="s">
        <v>497</v>
      </c>
      <c r="E62" s="51"/>
      <c r="F62" s="51"/>
      <c r="G62" s="618" t="s">
        <v>349</v>
      </c>
      <c r="H62" s="611">
        <v>0</v>
      </c>
      <c r="I62" s="611">
        <v>0</v>
      </c>
      <c r="J62" s="611">
        <v>0</v>
      </c>
      <c r="K62" s="611">
        <v>0</v>
      </c>
      <c r="L62" s="611">
        <v>0</v>
      </c>
      <c r="M62" s="611">
        <v>0</v>
      </c>
      <c r="N62" s="611">
        <v>0</v>
      </c>
      <c r="O62" s="611">
        <v>0</v>
      </c>
      <c r="P62" s="611">
        <v>0</v>
      </c>
      <c r="Q62" s="611">
        <v>0</v>
      </c>
      <c r="R62" s="611">
        <v>0</v>
      </c>
      <c r="S62" s="611">
        <v>-1.9873640000000001</v>
      </c>
      <c r="T62" s="611">
        <v>0</v>
      </c>
      <c r="U62" s="611">
        <v>0</v>
      </c>
      <c r="V62" s="611">
        <v>0</v>
      </c>
      <c r="W62" s="611">
        <v>0</v>
      </c>
      <c r="X62" s="611">
        <v>0</v>
      </c>
      <c r="Y62" s="620">
        <v>0</v>
      </c>
      <c r="Z62" s="621">
        <v>-1.9873640000000001</v>
      </c>
      <c r="AA62" s="51"/>
    </row>
    <row r="63" spans="1:27" x14ac:dyDescent="0.25">
      <c r="A63" s="51"/>
      <c r="B63" s="51">
        <v>2020</v>
      </c>
      <c r="C63" s="51" t="s">
        <v>47</v>
      </c>
      <c r="D63" s="51" t="s">
        <v>498</v>
      </c>
      <c r="E63" s="51"/>
      <c r="F63" s="51"/>
      <c r="G63" s="618" t="s">
        <v>350</v>
      </c>
      <c r="H63" s="611">
        <v>0</v>
      </c>
      <c r="I63" s="611">
        <v>0</v>
      </c>
      <c r="J63" s="611">
        <v>0</v>
      </c>
      <c r="K63" s="611">
        <v>0</v>
      </c>
      <c r="L63" s="611">
        <v>0</v>
      </c>
      <c r="M63" s="611">
        <v>0</v>
      </c>
      <c r="N63" s="611">
        <v>0</v>
      </c>
      <c r="O63" s="611">
        <v>0</v>
      </c>
      <c r="P63" s="611">
        <v>0</v>
      </c>
      <c r="Q63" s="611">
        <v>0</v>
      </c>
      <c r="R63" s="611">
        <v>0</v>
      </c>
      <c r="S63" s="611">
        <v>0</v>
      </c>
      <c r="T63" s="611">
        <v>0</v>
      </c>
      <c r="U63" s="611">
        <v>0</v>
      </c>
      <c r="V63" s="611">
        <v>0</v>
      </c>
      <c r="W63" s="611">
        <v>0</v>
      </c>
      <c r="X63" s="611">
        <v>0</v>
      </c>
      <c r="Y63" s="620">
        <v>0</v>
      </c>
      <c r="Z63" s="621">
        <v>0</v>
      </c>
      <c r="AA63" s="51"/>
    </row>
    <row r="64" spans="1:27" x14ac:dyDescent="0.25">
      <c r="A64" s="51"/>
      <c r="B64" s="51">
        <v>2020</v>
      </c>
      <c r="C64" s="51" t="s">
        <v>47</v>
      </c>
      <c r="D64" s="51" t="s">
        <v>499</v>
      </c>
      <c r="E64" s="51"/>
      <c r="F64" s="51"/>
      <c r="G64" s="618" t="s">
        <v>72</v>
      </c>
      <c r="H64" s="611">
        <v>0</v>
      </c>
      <c r="I64" s="611">
        <v>440.59076600316865</v>
      </c>
      <c r="J64" s="611">
        <v>-437.66600779015403</v>
      </c>
      <c r="K64" s="611">
        <v>0</v>
      </c>
      <c r="L64" s="611">
        <v>0</v>
      </c>
      <c r="M64" s="611">
        <v>0</v>
      </c>
      <c r="N64" s="611">
        <v>0</v>
      </c>
      <c r="O64" s="611">
        <v>0</v>
      </c>
      <c r="P64" s="611">
        <v>0</v>
      </c>
      <c r="Q64" s="611">
        <v>0</v>
      </c>
      <c r="R64" s="611">
        <v>0</v>
      </c>
      <c r="S64" s="611">
        <v>0</v>
      </c>
      <c r="T64" s="611">
        <v>0</v>
      </c>
      <c r="U64" s="611">
        <v>0</v>
      </c>
      <c r="V64" s="611">
        <v>0</v>
      </c>
      <c r="W64" s="611">
        <v>0</v>
      </c>
      <c r="X64" s="611">
        <v>0</v>
      </c>
      <c r="Y64" s="620">
        <v>0</v>
      </c>
      <c r="Z64" s="621">
        <v>2.924758213014627</v>
      </c>
      <c r="AA64" s="51"/>
    </row>
    <row r="65" spans="1:27" x14ac:dyDescent="0.25">
      <c r="A65" s="51"/>
      <c r="B65" s="51">
        <v>2020</v>
      </c>
      <c r="C65" s="51" t="s">
        <v>47</v>
      </c>
      <c r="D65" s="51" t="s">
        <v>500</v>
      </c>
      <c r="E65" s="51"/>
      <c r="F65" s="51"/>
      <c r="G65" s="618" t="s">
        <v>351</v>
      </c>
      <c r="H65" s="611">
        <v>0</v>
      </c>
      <c r="I65" s="611">
        <v>0</v>
      </c>
      <c r="J65" s="611">
        <v>0</v>
      </c>
      <c r="K65" s="611">
        <v>0</v>
      </c>
      <c r="L65" s="611">
        <v>0</v>
      </c>
      <c r="M65" s="611">
        <v>0</v>
      </c>
      <c r="N65" s="611">
        <v>0</v>
      </c>
      <c r="O65" s="611">
        <v>0</v>
      </c>
      <c r="P65" s="611">
        <v>0</v>
      </c>
      <c r="Q65" s="611">
        <v>0</v>
      </c>
      <c r="R65" s="611">
        <v>-27.31624937979873</v>
      </c>
      <c r="S65" s="611">
        <v>0</v>
      </c>
      <c r="T65" s="611">
        <v>0</v>
      </c>
      <c r="U65" s="611">
        <v>0</v>
      </c>
      <c r="V65" s="611">
        <v>0</v>
      </c>
      <c r="W65" s="611">
        <v>0</v>
      </c>
      <c r="X65" s="611">
        <v>0</v>
      </c>
      <c r="Y65" s="620">
        <v>0</v>
      </c>
      <c r="Z65" s="621">
        <v>-27.31624937979873</v>
      </c>
      <c r="AA65" s="51"/>
    </row>
    <row r="66" spans="1:27" x14ac:dyDescent="0.25">
      <c r="A66" s="51"/>
      <c r="B66" s="51">
        <v>2020</v>
      </c>
      <c r="C66" s="51" t="s">
        <v>47</v>
      </c>
      <c r="D66" s="51" t="s">
        <v>501</v>
      </c>
      <c r="E66" s="51"/>
      <c r="F66" s="51"/>
      <c r="G66" s="618" t="s">
        <v>352</v>
      </c>
      <c r="H66" s="611">
        <v>0</v>
      </c>
      <c r="I66" s="611">
        <v>0</v>
      </c>
      <c r="J66" s="611">
        <v>0</v>
      </c>
      <c r="K66" s="611">
        <v>0</v>
      </c>
      <c r="L66" s="611">
        <v>0</v>
      </c>
      <c r="M66" s="611">
        <v>0</v>
      </c>
      <c r="N66" s="611">
        <v>0</v>
      </c>
      <c r="O66" s="611">
        <v>0</v>
      </c>
      <c r="P66" s="611">
        <v>0</v>
      </c>
      <c r="Q66" s="611">
        <v>0</v>
      </c>
      <c r="R66" s="611">
        <v>0</v>
      </c>
      <c r="S66" s="611">
        <v>0</v>
      </c>
      <c r="T66" s="611">
        <v>0</v>
      </c>
      <c r="U66" s="611">
        <v>0</v>
      </c>
      <c r="V66" s="611">
        <v>0</v>
      </c>
      <c r="W66" s="611">
        <v>0</v>
      </c>
      <c r="X66" s="611">
        <v>0</v>
      </c>
      <c r="Y66" s="620">
        <v>0</v>
      </c>
      <c r="Z66" s="621">
        <v>0</v>
      </c>
      <c r="AA66" s="51"/>
    </row>
    <row r="67" spans="1:27" x14ac:dyDescent="0.25">
      <c r="A67" s="51"/>
      <c r="B67" s="51">
        <v>2020</v>
      </c>
      <c r="C67" s="51" t="s">
        <v>47</v>
      </c>
      <c r="D67" s="51" t="s">
        <v>502</v>
      </c>
      <c r="E67" s="51"/>
      <c r="F67" s="51"/>
      <c r="G67" s="618" t="s">
        <v>73</v>
      </c>
      <c r="H67" s="611">
        <v>0</v>
      </c>
      <c r="I67" s="611">
        <v>0</v>
      </c>
      <c r="J67" s="611">
        <v>0</v>
      </c>
      <c r="K67" s="611">
        <v>0</v>
      </c>
      <c r="L67" s="611">
        <v>0</v>
      </c>
      <c r="M67" s="611">
        <v>0</v>
      </c>
      <c r="N67" s="611">
        <v>0</v>
      </c>
      <c r="O67" s="611">
        <v>0</v>
      </c>
      <c r="P67" s="611">
        <v>0</v>
      </c>
      <c r="Q67" s="611">
        <v>0</v>
      </c>
      <c r="R67" s="611">
        <v>0</v>
      </c>
      <c r="S67" s="611">
        <v>0</v>
      </c>
      <c r="T67" s="611">
        <v>0</v>
      </c>
      <c r="U67" s="611">
        <v>0</v>
      </c>
      <c r="V67" s="611">
        <v>0</v>
      </c>
      <c r="W67" s="611">
        <v>0</v>
      </c>
      <c r="X67" s="611">
        <v>0</v>
      </c>
      <c r="Y67" s="620">
        <v>0</v>
      </c>
      <c r="Z67" s="621">
        <v>0</v>
      </c>
      <c r="AA67" s="51"/>
    </row>
    <row r="68" spans="1:27" x14ac:dyDescent="0.25">
      <c r="A68" s="51"/>
      <c r="B68" s="51">
        <v>2020</v>
      </c>
      <c r="C68" s="51" t="s">
        <v>47</v>
      </c>
      <c r="D68" s="51" t="s">
        <v>503</v>
      </c>
      <c r="E68" s="51"/>
      <c r="F68" s="51"/>
      <c r="G68" s="618" t="s">
        <v>353</v>
      </c>
      <c r="H68" s="611">
        <v>24.856875540426671</v>
      </c>
      <c r="I68" s="611">
        <v>-42.586921310488997</v>
      </c>
      <c r="J68" s="611">
        <v>41.670112128488995</v>
      </c>
      <c r="K68" s="611">
        <v>0</v>
      </c>
      <c r="L68" s="611">
        <v>0</v>
      </c>
      <c r="M68" s="611">
        <v>0</v>
      </c>
      <c r="N68" s="611">
        <v>0</v>
      </c>
      <c r="O68" s="611">
        <v>0</v>
      </c>
      <c r="P68" s="611">
        <v>0</v>
      </c>
      <c r="Q68" s="611">
        <v>0</v>
      </c>
      <c r="R68" s="611">
        <v>0</v>
      </c>
      <c r="S68" s="611">
        <v>0</v>
      </c>
      <c r="T68" s="611">
        <v>0</v>
      </c>
      <c r="U68" s="611">
        <v>0</v>
      </c>
      <c r="V68" s="611">
        <v>0</v>
      </c>
      <c r="W68" s="611">
        <v>0</v>
      </c>
      <c r="X68" s="611">
        <v>0</v>
      </c>
      <c r="Y68" s="620">
        <v>0</v>
      </c>
      <c r="Z68" s="621">
        <v>23.94006635842667</v>
      </c>
      <c r="AA68" s="51"/>
    </row>
    <row r="69" spans="1:27" x14ac:dyDescent="0.25">
      <c r="A69" s="51"/>
      <c r="B69" s="51">
        <v>2020</v>
      </c>
      <c r="C69" s="51" t="s">
        <v>47</v>
      </c>
      <c r="D69" s="51" t="s">
        <v>504</v>
      </c>
      <c r="E69" s="51"/>
      <c r="F69" s="51"/>
      <c r="G69" s="618" t="s">
        <v>75</v>
      </c>
      <c r="H69" s="611">
        <v>10.864485000000002</v>
      </c>
      <c r="I69" s="611">
        <v>0</v>
      </c>
      <c r="J69" s="611">
        <v>12.156002809978</v>
      </c>
      <c r="K69" s="611">
        <v>0</v>
      </c>
      <c r="L69" s="611">
        <v>6.2612449999999988</v>
      </c>
      <c r="M69" s="611">
        <v>0</v>
      </c>
      <c r="N69" s="611">
        <v>0</v>
      </c>
      <c r="O69" s="611">
        <v>0</v>
      </c>
      <c r="P69" s="611">
        <v>0</v>
      </c>
      <c r="Q69" s="611">
        <v>0</v>
      </c>
      <c r="R69" s="611">
        <v>0</v>
      </c>
      <c r="S69" s="611">
        <v>0</v>
      </c>
      <c r="T69" s="611">
        <v>0</v>
      </c>
      <c r="U69" s="611">
        <v>0</v>
      </c>
      <c r="V69" s="611">
        <v>0</v>
      </c>
      <c r="W69" s="611">
        <v>32.903944582120353</v>
      </c>
      <c r="X69" s="611">
        <v>0</v>
      </c>
      <c r="Y69" s="620">
        <v>0</v>
      </c>
      <c r="Z69" s="621">
        <v>62.185677392098356</v>
      </c>
      <c r="AA69" s="51"/>
    </row>
    <row r="70" spans="1:27" x14ac:dyDescent="0.25">
      <c r="A70" s="51"/>
      <c r="B70" s="51">
        <v>2020</v>
      </c>
      <c r="C70" s="51" t="s">
        <v>47</v>
      </c>
      <c r="D70" s="51" t="s">
        <v>505</v>
      </c>
      <c r="E70" s="51"/>
      <c r="F70" s="51"/>
      <c r="G70" s="618" t="s">
        <v>76</v>
      </c>
      <c r="H70" s="611">
        <v>0</v>
      </c>
      <c r="I70" s="611">
        <v>0</v>
      </c>
      <c r="J70" s="611">
        <v>0</v>
      </c>
      <c r="K70" s="611">
        <v>0</v>
      </c>
      <c r="L70" s="611">
        <v>3.9080132499999998</v>
      </c>
      <c r="M70" s="611">
        <v>0</v>
      </c>
      <c r="N70" s="611">
        <v>0</v>
      </c>
      <c r="O70" s="611">
        <v>0</v>
      </c>
      <c r="P70" s="611">
        <v>0</v>
      </c>
      <c r="Q70" s="611">
        <v>0</v>
      </c>
      <c r="R70" s="611">
        <v>0</v>
      </c>
      <c r="S70" s="611">
        <v>0</v>
      </c>
      <c r="T70" s="611">
        <v>0</v>
      </c>
      <c r="U70" s="611">
        <v>0</v>
      </c>
      <c r="V70" s="611">
        <v>0</v>
      </c>
      <c r="W70" s="611">
        <v>35.893531999999993</v>
      </c>
      <c r="X70" s="611">
        <v>4.1669160064579911</v>
      </c>
      <c r="Y70" s="620">
        <v>0</v>
      </c>
      <c r="Z70" s="621">
        <v>43.968461256457978</v>
      </c>
      <c r="AA70" s="51"/>
    </row>
    <row r="71" spans="1:27" x14ac:dyDescent="0.25">
      <c r="A71" s="51"/>
      <c r="B71" s="51">
        <v>2020</v>
      </c>
      <c r="C71" s="51" t="s">
        <v>47</v>
      </c>
      <c r="D71" s="51" t="s">
        <v>506</v>
      </c>
      <c r="E71" s="51"/>
      <c r="F71" s="51"/>
      <c r="G71" s="614" t="s">
        <v>77</v>
      </c>
      <c r="H71" s="622">
        <v>48.989043205566659</v>
      </c>
      <c r="I71" s="622">
        <v>405.59850142678499</v>
      </c>
      <c r="J71" s="622">
        <v>-366.39465902537512</v>
      </c>
      <c r="K71" s="615">
        <v>0</v>
      </c>
      <c r="L71" s="622">
        <v>86.005006499999993</v>
      </c>
      <c r="M71" s="615">
        <v>0</v>
      </c>
      <c r="N71" s="622">
        <v>1072.2208090909091</v>
      </c>
      <c r="O71" s="622">
        <v>115.67142051809002</v>
      </c>
      <c r="P71" s="622">
        <v>25.246098872906153</v>
      </c>
      <c r="Q71" s="622">
        <v>28.173648237393667</v>
      </c>
      <c r="R71" s="622">
        <v>-27.31624937979873</v>
      </c>
      <c r="S71" s="622">
        <v>6.3686454536756729</v>
      </c>
      <c r="T71" s="622">
        <v>0.25705111111111106</v>
      </c>
      <c r="U71" s="622">
        <v>0.25705111111111106</v>
      </c>
      <c r="V71" s="622">
        <v>5.3861979341677477</v>
      </c>
      <c r="W71" s="622">
        <v>-456.39860899999996</v>
      </c>
      <c r="X71" s="622">
        <v>-41.664572611450417</v>
      </c>
      <c r="Y71" s="622">
        <v>0</v>
      </c>
      <c r="Z71" s="622">
        <v>902.39938344509198</v>
      </c>
      <c r="AA71" s="51"/>
    </row>
    <row r="72" spans="1:27" x14ac:dyDescent="0.25">
      <c r="A72" s="51"/>
      <c r="B72" s="51"/>
      <c r="C72" s="51"/>
      <c r="D72" s="51"/>
      <c r="E72" s="51"/>
      <c r="F72" s="51"/>
      <c r="G72" s="616"/>
      <c r="H72" s="623">
        <v>0</v>
      </c>
      <c r="I72" s="623">
        <v>0</v>
      </c>
      <c r="J72" s="623">
        <v>0</v>
      </c>
      <c r="K72" s="617"/>
      <c r="L72" s="623">
        <v>0</v>
      </c>
      <c r="M72" s="617"/>
      <c r="N72" s="623">
        <v>0</v>
      </c>
      <c r="O72" s="623">
        <v>0</v>
      </c>
      <c r="P72" s="623">
        <v>0</v>
      </c>
      <c r="Q72" s="623">
        <v>0</v>
      </c>
      <c r="R72" s="623">
        <v>0</v>
      </c>
      <c r="S72" s="623">
        <v>0</v>
      </c>
      <c r="T72" s="623">
        <v>0</v>
      </c>
      <c r="U72" s="623">
        <v>0</v>
      </c>
      <c r="V72" s="623">
        <v>0</v>
      </c>
      <c r="W72" s="623">
        <v>0</v>
      </c>
      <c r="X72" s="623">
        <v>0</v>
      </c>
      <c r="Y72" s="623">
        <v>0</v>
      </c>
      <c r="Z72" s="623">
        <v>0</v>
      </c>
      <c r="AA72" s="51"/>
    </row>
    <row r="73" spans="1:27" x14ac:dyDescent="0.25">
      <c r="A73" s="51"/>
      <c r="B73" s="51">
        <v>2020</v>
      </c>
      <c r="C73" s="51" t="s">
        <v>47</v>
      </c>
      <c r="D73" s="51" t="s">
        <v>507</v>
      </c>
      <c r="E73" s="51"/>
      <c r="F73" s="51"/>
      <c r="G73" s="618" t="s">
        <v>78</v>
      </c>
      <c r="H73" s="611">
        <v>9.103168484740003</v>
      </c>
      <c r="I73" s="611">
        <v>0</v>
      </c>
      <c r="J73" s="611">
        <v>30.742620872292591</v>
      </c>
      <c r="K73" s="611">
        <v>0</v>
      </c>
      <c r="L73" s="611">
        <v>115.67477925</v>
      </c>
      <c r="M73" s="611">
        <v>0</v>
      </c>
      <c r="N73" s="611">
        <v>0</v>
      </c>
      <c r="O73" s="611">
        <v>0</v>
      </c>
      <c r="P73" s="611">
        <v>15.652087601653344</v>
      </c>
      <c r="Q73" s="611">
        <v>3.5686448746488644</v>
      </c>
      <c r="R73" s="611">
        <v>1.0751813257923004</v>
      </c>
      <c r="S73" s="611">
        <v>0.92719655758676645</v>
      </c>
      <c r="T73" s="611">
        <v>0</v>
      </c>
      <c r="U73" s="611">
        <v>0</v>
      </c>
      <c r="V73" s="611">
        <v>1.540935583552362E-2</v>
      </c>
      <c r="W73" s="611">
        <v>105.80333299999998</v>
      </c>
      <c r="X73" s="611">
        <v>17.474535389228187</v>
      </c>
      <c r="Y73" s="611">
        <v>0</v>
      </c>
      <c r="Z73" s="619">
        <v>300.03695671177758</v>
      </c>
      <c r="AA73" s="51"/>
    </row>
    <row r="74" spans="1:27" x14ac:dyDescent="0.25">
      <c r="A74" s="51"/>
      <c r="B74" s="51">
        <v>2020</v>
      </c>
      <c r="C74" s="51" t="s">
        <v>47</v>
      </c>
      <c r="D74" s="51" t="s">
        <v>508</v>
      </c>
      <c r="E74" s="51"/>
      <c r="F74" s="51"/>
      <c r="G74" s="618" t="s">
        <v>79</v>
      </c>
      <c r="H74" s="611">
        <v>0</v>
      </c>
      <c r="I74" s="611">
        <v>0</v>
      </c>
      <c r="J74" s="611">
        <v>403.3628036386425</v>
      </c>
      <c r="K74" s="611">
        <v>0</v>
      </c>
      <c r="L74" s="611">
        <v>2.2477145000000003</v>
      </c>
      <c r="M74" s="611">
        <v>0</v>
      </c>
      <c r="N74" s="611">
        <v>0</v>
      </c>
      <c r="O74" s="611">
        <v>0</v>
      </c>
      <c r="P74" s="611">
        <v>0</v>
      </c>
      <c r="Q74" s="611">
        <v>0</v>
      </c>
      <c r="R74" s="611">
        <v>30.751352031352695</v>
      </c>
      <c r="S74" s="611">
        <v>0</v>
      </c>
      <c r="T74" s="611">
        <v>0</v>
      </c>
      <c r="U74" s="611">
        <v>0</v>
      </c>
      <c r="V74" s="611">
        <v>0</v>
      </c>
      <c r="W74" s="611">
        <v>8.3371990700000005</v>
      </c>
      <c r="X74" s="611">
        <v>0</v>
      </c>
      <c r="Y74" s="611">
        <v>0</v>
      </c>
      <c r="Z74" s="619">
        <v>444.6990692399952</v>
      </c>
      <c r="AA74" s="51"/>
    </row>
    <row r="75" spans="1:27" x14ac:dyDescent="0.25">
      <c r="A75" s="51"/>
      <c r="B75" s="51">
        <v>2020</v>
      </c>
      <c r="C75" s="51" t="s">
        <v>47</v>
      </c>
      <c r="D75" s="51" t="s">
        <v>509</v>
      </c>
      <c r="E75" s="51"/>
      <c r="F75" s="51"/>
      <c r="G75" s="618" t="s">
        <v>80</v>
      </c>
      <c r="H75" s="611">
        <v>0.24074954804999998</v>
      </c>
      <c r="I75" s="611">
        <v>0</v>
      </c>
      <c r="J75" s="611">
        <v>50.312051197940285</v>
      </c>
      <c r="K75" s="611">
        <v>0</v>
      </c>
      <c r="L75" s="611">
        <v>125.05981225000002</v>
      </c>
      <c r="M75" s="611">
        <v>0</v>
      </c>
      <c r="N75" s="611">
        <v>0</v>
      </c>
      <c r="O75" s="611">
        <v>0</v>
      </c>
      <c r="P75" s="611">
        <v>69.406708888888886</v>
      </c>
      <c r="Q75" s="611">
        <v>0</v>
      </c>
      <c r="R75" s="611">
        <v>0</v>
      </c>
      <c r="S75" s="611">
        <v>0</v>
      </c>
      <c r="T75" s="611">
        <v>28.099863055555552</v>
      </c>
      <c r="U75" s="611">
        <v>28.099863055555552</v>
      </c>
      <c r="V75" s="611">
        <v>2.0645206826866662</v>
      </c>
      <c r="W75" s="611">
        <v>161.49853200000001</v>
      </c>
      <c r="X75" s="611">
        <v>14.411899999999999</v>
      </c>
      <c r="Y75" s="611">
        <v>0</v>
      </c>
      <c r="Z75" s="619">
        <v>479.19400067867701</v>
      </c>
      <c r="AA75" s="51"/>
    </row>
    <row r="76" spans="1:27" x14ac:dyDescent="0.25">
      <c r="A76" s="51"/>
      <c r="B76" s="51">
        <v>2020</v>
      </c>
      <c r="C76" s="51" t="s">
        <v>47</v>
      </c>
      <c r="D76" s="51" t="s">
        <v>510</v>
      </c>
      <c r="E76" s="51"/>
      <c r="F76" s="51"/>
      <c r="G76" s="618" t="s">
        <v>81</v>
      </c>
      <c r="H76" s="611">
        <v>0.35525487623000002</v>
      </c>
      <c r="I76" s="611">
        <v>0</v>
      </c>
      <c r="J76" s="611">
        <v>31.907501208676987</v>
      </c>
      <c r="K76" s="611">
        <v>0</v>
      </c>
      <c r="L76" s="611">
        <v>62.61667825</v>
      </c>
      <c r="M76" s="611">
        <v>0</v>
      </c>
      <c r="N76" s="611">
        <v>0</v>
      </c>
      <c r="O76" s="611">
        <v>0</v>
      </c>
      <c r="P76" s="611">
        <v>2.8232277777777779</v>
      </c>
      <c r="Q76" s="611">
        <v>2.2859468815788357</v>
      </c>
      <c r="R76" s="611">
        <v>0</v>
      </c>
      <c r="S76" s="611">
        <v>1.4745088888888889</v>
      </c>
      <c r="T76" s="611">
        <v>4.5516825000000001</v>
      </c>
      <c r="U76" s="611">
        <v>4.5516825000000001</v>
      </c>
      <c r="V76" s="611">
        <v>0.35485889253622721</v>
      </c>
      <c r="W76" s="611">
        <v>127.64086592999999</v>
      </c>
      <c r="X76" s="611">
        <v>9.5887644444444451</v>
      </c>
      <c r="Y76" s="611">
        <v>0</v>
      </c>
      <c r="Z76" s="619">
        <v>248.15097215013316</v>
      </c>
      <c r="AA76" s="51"/>
    </row>
    <row r="77" spans="1:27" x14ac:dyDescent="0.25">
      <c r="A77" s="51"/>
      <c r="B77" s="51">
        <v>2020</v>
      </c>
      <c r="C77" s="51" t="s">
        <v>47</v>
      </c>
      <c r="D77" s="51" t="s">
        <v>511</v>
      </c>
      <c r="E77" s="51"/>
      <c r="F77" s="51"/>
      <c r="G77" s="618" t="s">
        <v>82</v>
      </c>
      <c r="H77" s="611">
        <v>1.5371382629999998E-2</v>
      </c>
      <c r="I77" s="611">
        <v>0</v>
      </c>
      <c r="J77" s="611">
        <v>37.352212663167997</v>
      </c>
      <c r="K77" s="611">
        <v>0</v>
      </c>
      <c r="L77" s="611">
        <v>2.1964755</v>
      </c>
      <c r="M77" s="611">
        <v>0</v>
      </c>
      <c r="N77" s="611">
        <v>0</v>
      </c>
      <c r="O77" s="611">
        <v>0</v>
      </c>
      <c r="P77" s="611">
        <v>1.7493453935920653</v>
      </c>
      <c r="Q77" s="611">
        <v>0</v>
      </c>
      <c r="R77" s="611">
        <v>1.9048961095281811</v>
      </c>
      <c r="S77" s="611">
        <v>0.51119305555555561</v>
      </c>
      <c r="T77" s="611">
        <v>0</v>
      </c>
      <c r="U77" s="611">
        <v>0</v>
      </c>
      <c r="V77" s="611">
        <v>0.29232166666666665</v>
      </c>
      <c r="W77" s="611">
        <v>8.079485</v>
      </c>
      <c r="X77" s="611">
        <v>0.18937333333333334</v>
      </c>
      <c r="Y77" s="611">
        <v>0</v>
      </c>
      <c r="Z77" s="619">
        <v>52.290674104473801</v>
      </c>
      <c r="AA77" s="51"/>
    </row>
    <row r="78" spans="1:27" x14ac:dyDescent="0.25">
      <c r="A78" s="51"/>
      <c r="B78" s="51">
        <v>2020</v>
      </c>
      <c r="C78" s="51" t="s">
        <v>47</v>
      </c>
      <c r="D78" s="51" t="s">
        <v>512</v>
      </c>
      <c r="E78" s="51"/>
      <c r="F78" s="51"/>
      <c r="G78" s="618" t="s">
        <v>354</v>
      </c>
      <c r="H78" s="611">
        <v>0</v>
      </c>
      <c r="I78" s="611">
        <v>0</v>
      </c>
      <c r="J78" s="611">
        <v>0</v>
      </c>
      <c r="K78" s="611">
        <v>0</v>
      </c>
      <c r="L78" s="611">
        <v>0</v>
      </c>
      <c r="M78" s="611">
        <v>0</v>
      </c>
      <c r="N78" s="611">
        <v>0</v>
      </c>
      <c r="O78" s="611">
        <v>0</v>
      </c>
      <c r="P78" s="611">
        <v>0</v>
      </c>
      <c r="Q78" s="611">
        <v>0</v>
      </c>
      <c r="R78" s="611">
        <v>0</v>
      </c>
      <c r="S78" s="611">
        <v>0</v>
      </c>
      <c r="T78" s="611">
        <v>0</v>
      </c>
      <c r="U78" s="611">
        <v>0</v>
      </c>
      <c r="V78" s="611">
        <v>0</v>
      </c>
      <c r="W78" s="611">
        <v>0</v>
      </c>
      <c r="X78" s="611">
        <v>0</v>
      </c>
      <c r="Y78" s="611">
        <v>0</v>
      </c>
      <c r="Z78" s="619">
        <v>0</v>
      </c>
      <c r="AA78" s="51"/>
    </row>
    <row r="79" spans="1:27" x14ac:dyDescent="0.25">
      <c r="A79" s="51"/>
      <c r="B79" s="51">
        <v>2020</v>
      </c>
      <c r="C79" s="51" t="s">
        <v>47</v>
      </c>
      <c r="D79" s="51" t="s">
        <v>513</v>
      </c>
      <c r="E79" s="51"/>
      <c r="F79" s="51"/>
      <c r="G79" s="614" t="s">
        <v>83</v>
      </c>
      <c r="H79" s="622">
        <v>9.714544291650002</v>
      </c>
      <c r="I79" s="622">
        <v>0</v>
      </c>
      <c r="J79" s="622">
        <v>553.67718958072032</v>
      </c>
      <c r="K79" s="615">
        <v>0</v>
      </c>
      <c r="L79" s="622">
        <v>307.79545975000002</v>
      </c>
      <c r="M79" s="615">
        <v>0</v>
      </c>
      <c r="N79" s="622">
        <v>0</v>
      </c>
      <c r="O79" s="622">
        <v>0</v>
      </c>
      <c r="P79" s="622">
        <v>89.631369661912075</v>
      </c>
      <c r="Q79" s="622">
        <v>5.8545917562277001</v>
      </c>
      <c r="R79" s="622">
        <v>33.731429466673177</v>
      </c>
      <c r="S79" s="622">
        <v>2.912898502031211</v>
      </c>
      <c r="T79" s="622">
        <v>32.65154555555555</v>
      </c>
      <c r="U79" s="622">
        <v>32.65154555555555</v>
      </c>
      <c r="V79" s="622">
        <v>2.7271105977250838</v>
      </c>
      <c r="W79" s="622">
        <v>411.35941500000001</v>
      </c>
      <c r="X79" s="622">
        <v>41.664573167005969</v>
      </c>
      <c r="Y79" s="622">
        <v>0</v>
      </c>
      <c r="Z79" s="622">
        <v>1524.3716728850566</v>
      </c>
      <c r="AA79" s="51"/>
    </row>
    <row r="80" spans="1:27" x14ac:dyDescent="0.25">
      <c r="A80" s="51"/>
      <c r="B80" s="51">
        <v>2020</v>
      </c>
      <c r="C80" s="51" t="s">
        <v>47</v>
      </c>
      <c r="D80" s="51" t="s">
        <v>514</v>
      </c>
      <c r="E80" s="51"/>
      <c r="F80" s="51"/>
      <c r="G80" s="610" t="s">
        <v>84</v>
      </c>
      <c r="H80" s="611">
        <v>2.8214338015700005</v>
      </c>
      <c r="I80" s="611">
        <v>0</v>
      </c>
      <c r="J80" s="611">
        <v>130.9502374537683</v>
      </c>
      <c r="K80" s="611">
        <v>0</v>
      </c>
      <c r="L80" s="611">
        <v>12.027936500000001</v>
      </c>
      <c r="M80" s="611">
        <v>0</v>
      </c>
      <c r="N80" s="611">
        <v>0</v>
      </c>
      <c r="O80" s="611">
        <v>0</v>
      </c>
      <c r="P80" s="611">
        <v>0</v>
      </c>
      <c r="Q80" s="611">
        <v>0</v>
      </c>
      <c r="R80" s="611">
        <v>0</v>
      </c>
      <c r="S80" s="611">
        <v>0</v>
      </c>
      <c r="T80" s="611">
        <v>0</v>
      </c>
      <c r="U80" s="611">
        <v>0</v>
      </c>
      <c r="V80" s="611">
        <v>0</v>
      </c>
      <c r="W80" s="611">
        <v>0</v>
      </c>
      <c r="X80" s="611">
        <v>0</v>
      </c>
      <c r="Y80" s="611">
        <v>0</v>
      </c>
      <c r="Z80" s="619">
        <v>145.79960775533831</v>
      </c>
      <c r="AA80" s="51"/>
    </row>
    <row r="81" spans="1:27" x14ac:dyDescent="0.25">
      <c r="A81" s="51"/>
      <c r="B81" s="51">
        <v>2020</v>
      </c>
      <c r="C81" s="51" t="s">
        <v>47</v>
      </c>
      <c r="D81" s="51" t="s">
        <v>515</v>
      </c>
      <c r="E81" s="51"/>
      <c r="F81" s="51"/>
      <c r="G81" s="614" t="s">
        <v>85</v>
      </c>
      <c r="H81" s="622">
        <v>12.535978093220002</v>
      </c>
      <c r="I81" s="622">
        <v>0</v>
      </c>
      <c r="J81" s="622">
        <v>684.62742703448862</v>
      </c>
      <c r="K81" s="615">
        <v>0</v>
      </c>
      <c r="L81" s="622">
        <v>319.82339625000003</v>
      </c>
      <c r="M81" s="615">
        <v>0</v>
      </c>
      <c r="N81" s="622">
        <v>0</v>
      </c>
      <c r="O81" s="622">
        <v>0</v>
      </c>
      <c r="P81" s="622">
        <v>89.631369661912075</v>
      </c>
      <c r="Q81" s="622">
        <v>5.8545917562277001</v>
      </c>
      <c r="R81" s="622">
        <v>33.731429466673177</v>
      </c>
      <c r="S81" s="622">
        <v>2.912898502031211</v>
      </c>
      <c r="T81" s="622">
        <v>32.65154555555555</v>
      </c>
      <c r="U81" s="622">
        <v>32.65154555555555</v>
      </c>
      <c r="V81" s="622">
        <v>2.7271105977250838</v>
      </c>
      <c r="W81" s="622">
        <v>411.35941500000001</v>
      </c>
      <c r="X81" s="622">
        <v>41.664573167005969</v>
      </c>
      <c r="Y81" s="622">
        <v>0</v>
      </c>
      <c r="Z81" s="622">
        <v>1670.1712806403948</v>
      </c>
      <c r="AA81" s="51"/>
    </row>
    <row r="82" spans="1:27" x14ac:dyDescent="0.25">
      <c r="A82" s="51"/>
      <c r="B82" s="51"/>
      <c r="C82" s="51"/>
      <c r="D82" s="51"/>
      <c r="E82" s="51"/>
      <c r="F82" s="51"/>
      <c r="G82" s="51"/>
      <c r="H82" s="51"/>
      <c r="I82" s="51"/>
      <c r="J82" s="51"/>
      <c r="K82" s="67">
        <v>0</v>
      </c>
      <c r="L82" s="51"/>
      <c r="M82" s="51"/>
      <c r="N82" s="51"/>
      <c r="O82" s="51"/>
      <c r="P82" s="51"/>
      <c r="Q82" s="51"/>
      <c r="R82" s="51"/>
      <c r="S82" s="51"/>
      <c r="T82" s="51"/>
      <c r="U82" s="51"/>
      <c r="V82" s="51"/>
      <c r="W82" s="51"/>
      <c r="X82" s="51"/>
      <c r="Y82" s="51"/>
      <c r="Z82" s="51"/>
      <c r="AA82" s="51"/>
    </row>
    <row r="83" spans="1:27" x14ac:dyDescent="0.25">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row>
    <row r="84" spans="1:27" x14ac:dyDescent="0.25">
      <c r="A84" s="606"/>
      <c r="B84" s="606"/>
      <c r="C84" s="606"/>
      <c r="D84" s="606"/>
      <c r="E84" s="606"/>
      <c r="F84" s="606"/>
      <c r="G84" s="607" t="s">
        <v>563</v>
      </c>
      <c r="H84" s="606"/>
      <c r="I84" s="606"/>
      <c r="J84" s="606"/>
      <c r="K84" s="606"/>
      <c r="L84" s="606"/>
      <c r="M84" s="606"/>
      <c r="N84" s="606"/>
      <c r="O84" s="606"/>
      <c r="P84" s="606"/>
      <c r="Q84" s="606"/>
      <c r="R84" s="606"/>
      <c r="S84" s="606"/>
      <c r="T84" s="606"/>
      <c r="U84" s="606"/>
      <c r="V84" s="606"/>
      <c r="W84" s="606"/>
      <c r="X84" s="606"/>
      <c r="Y84" s="606"/>
      <c r="Z84" s="606"/>
      <c r="AA84" s="606"/>
    </row>
    <row r="85" spans="1:27" x14ac:dyDescent="0.2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row>
    <row r="86" spans="1:27" x14ac:dyDescent="0.25">
      <c r="A86" s="51"/>
      <c r="B86" s="51"/>
      <c r="C86" s="51"/>
      <c r="D86" s="51"/>
      <c r="E86" s="51"/>
      <c r="F86" s="51"/>
      <c r="G86" s="764" t="s">
        <v>128</v>
      </c>
      <c r="H86" s="753" t="s">
        <v>42</v>
      </c>
      <c r="I86" s="753" t="s">
        <v>52</v>
      </c>
      <c r="J86" s="753" t="s">
        <v>53</v>
      </c>
      <c r="K86" s="753" t="s">
        <v>482</v>
      </c>
      <c r="L86" s="753" t="s">
        <v>32</v>
      </c>
      <c r="M86" s="753" t="s">
        <v>483</v>
      </c>
      <c r="N86" s="753" t="s">
        <v>20</v>
      </c>
      <c r="O86" s="753" t="s">
        <v>55</v>
      </c>
      <c r="P86" s="761" t="s">
        <v>56</v>
      </c>
      <c r="Q86" s="762"/>
      <c r="R86" s="762"/>
      <c r="S86" s="762"/>
      <c r="T86" s="762"/>
      <c r="U86" s="762"/>
      <c r="V86" s="763"/>
      <c r="W86" s="753" t="s">
        <v>57</v>
      </c>
      <c r="X86" s="753" t="s">
        <v>58</v>
      </c>
      <c r="Y86" s="753" t="s">
        <v>31</v>
      </c>
      <c r="Z86" s="753" t="s">
        <v>10</v>
      </c>
      <c r="AA86" s="51"/>
    </row>
    <row r="87" spans="1:27" ht="36" x14ac:dyDescent="0.25">
      <c r="A87" s="51"/>
      <c r="B87" s="51" t="s">
        <v>484</v>
      </c>
      <c r="C87" s="51" t="s">
        <v>485</v>
      </c>
      <c r="D87" s="51" t="s">
        <v>486</v>
      </c>
      <c r="E87" s="51"/>
      <c r="F87" s="51"/>
      <c r="G87" s="765"/>
      <c r="H87" s="754"/>
      <c r="I87" s="754"/>
      <c r="J87" s="754"/>
      <c r="K87" s="754"/>
      <c r="L87" s="754"/>
      <c r="M87" s="754"/>
      <c r="N87" s="754"/>
      <c r="O87" s="754"/>
      <c r="P87" s="608" t="s">
        <v>335</v>
      </c>
      <c r="Q87" s="608" t="s">
        <v>40</v>
      </c>
      <c r="R87" s="608" t="s">
        <v>343</v>
      </c>
      <c r="S87" s="608" t="s">
        <v>344</v>
      </c>
      <c r="T87" s="609" t="s">
        <v>345</v>
      </c>
      <c r="U87" s="609" t="s">
        <v>609</v>
      </c>
      <c r="V87" s="608" t="s">
        <v>346</v>
      </c>
      <c r="W87" s="754"/>
      <c r="X87" s="754"/>
      <c r="Y87" s="754"/>
      <c r="Z87" s="754"/>
      <c r="AA87" s="51"/>
    </row>
    <row r="88" spans="1:27" x14ac:dyDescent="0.25">
      <c r="A88" s="51"/>
      <c r="B88" s="51">
        <v>2021</v>
      </c>
      <c r="C88" s="51" t="s">
        <v>47</v>
      </c>
      <c r="D88" s="51" t="s">
        <v>487</v>
      </c>
      <c r="E88" s="51"/>
      <c r="F88" s="51"/>
      <c r="G88" s="610" t="s">
        <v>59</v>
      </c>
      <c r="H88" s="611">
        <v>0</v>
      </c>
      <c r="I88" s="611">
        <v>9.7687711891069995</v>
      </c>
      <c r="J88" s="620">
        <v>0</v>
      </c>
      <c r="K88" s="611">
        <v>0</v>
      </c>
      <c r="L88" s="611">
        <v>0.20697699999999999</v>
      </c>
      <c r="M88" s="611">
        <v>0</v>
      </c>
      <c r="N88" s="620">
        <v>893.12435757575759</v>
      </c>
      <c r="O88" s="620">
        <v>103.21570951808999</v>
      </c>
      <c r="P88" s="620">
        <v>117.31225560106823</v>
      </c>
      <c r="Q88" s="620">
        <v>36.087037700583139</v>
      </c>
      <c r="R88" s="620">
        <v>0</v>
      </c>
      <c r="S88" s="620">
        <v>0.2235843445957727</v>
      </c>
      <c r="T88" s="620">
        <v>44.752462777777779</v>
      </c>
      <c r="U88" s="620">
        <v>0</v>
      </c>
      <c r="V88" s="620">
        <v>8.1983815400839397</v>
      </c>
      <c r="W88" s="620">
        <v>0</v>
      </c>
      <c r="X88" s="620">
        <v>0</v>
      </c>
      <c r="Y88" s="620">
        <v>0</v>
      </c>
      <c r="Z88" s="621">
        <v>1212.8895372470633</v>
      </c>
      <c r="AA88" s="51"/>
    </row>
    <row r="89" spans="1:27" x14ac:dyDescent="0.25">
      <c r="A89" s="51"/>
      <c r="B89" s="51">
        <v>2021</v>
      </c>
      <c r="C89" s="51" t="s">
        <v>47</v>
      </c>
      <c r="D89" s="51" t="s">
        <v>488</v>
      </c>
      <c r="E89" s="51"/>
      <c r="F89" s="51"/>
      <c r="G89" s="610" t="s">
        <v>60</v>
      </c>
      <c r="H89" s="620">
        <v>73.009115262073337</v>
      </c>
      <c r="I89" s="620">
        <v>488.95201882775257</v>
      </c>
      <c r="J89" s="620">
        <v>477.06716105129891</v>
      </c>
      <c r="K89" s="611">
        <v>0</v>
      </c>
      <c r="L89" s="620">
        <v>575.54527200000007</v>
      </c>
      <c r="M89" s="611">
        <v>0</v>
      </c>
      <c r="N89" s="620">
        <v>0</v>
      </c>
      <c r="O89" s="620">
        <v>0</v>
      </c>
      <c r="P89" s="620">
        <v>4.910486184722223</v>
      </c>
      <c r="Q89" s="620">
        <v>-6.8775587524907012E-5</v>
      </c>
      <c r="R89" s="620">
        <v>22.686979777846386</v>
      </c>
      <c r="S89" s="620">
        <v>0</v>
      </c>
      <c r="T89" s="620">
        <v>0</v>
      </c>
      <c r="U89" s="620">
        <v>0</v>
      </c>
      <c r="V89" s="620">
        <v>0</v>
      </c>
      <c r="W89" s="620">
        <v>52.437269000000001</v>
      </c>
      <c r="X89" s="620">
        <v>0</v>
      </c>
      <c r="Y89" s="620">
        <v>0</v>
      </c>
      <c r="Z89" s="621">
        <v>1694.6082333281058</v>
      </c>
      <c r="AA89" s="51"/>
    </row>
    <row r="90" spans="1:27" x14ac:dyDescent="0.25">
      <c r="A90" s="51"/>
      <c r="B90" s="51">
        <v>2021</v>
      </c>
      <c r="C90" s="51" t="s">
        <v>47</v>
      </c>
      <c r="D90" s="51" t="s">
        <v>489</v>
      </c>
      <c r="E90" s="51"/>
      <c r="F90" s="51"/>
      <c r="G90" s="610" t="s">
        <v>61</v>
      </c>
      <c r="H90" s="620">
        <v>-6.6680977160000016E-2</v>
      </c>
      <c r="I90" s="620">
        <v>-0.592113315867</v>
      </c>
      <c r="J90" s="620">
        <v>-162.54636445095773</v>
      </c>
      <c r="K90" s="611">
        <v>0</v>
      </c>
      <c r="L90" s="620">
        <v>-154.17159475000003</v>
      </c>
      <c r="M90" s="611">
        <v>0</v>
      </c>
      <c r="N90" s="620">
        <v>0</v>
      </c>
      <c r="O90" s="620">
        <v>0</v>
      </c>
      <c r="P90" s="620">
        <v>-2.5931308486111111</v>
      </c>
      <c r="Q90" s="620">
        <v>0</v>
      </c>
      <c r="R90" s="620">
        <v>-5.5745491894565156</v>
      </c>
      <c r="S90" s="620">
        <v>0</v>
      </c>
      <c r="T90" s="620">
        <v>0</v>
      </c>
      <c r="U90" s="620">
        <v>0</v>
      </c>
      <c r="V90" s="620">
        <v>0</v>
      </c>
      <c r="W90" s="620">
        <v>-37.492745999999997</v>
      </c>
      <c r="X90" s="620">
        <v>0</v>
      </c>
      <c r="Y90" s="620">
        <v>0</v>
      </c>
      <c r="Z90" s="621">
        <v>-363.03717953205239</v>
      </c>
      <c r="AA90" s="51"/>
    </row>
    <row r="91" spans="1:27" x14ac:dyDescent="0.25">
      <c r="A91" s="51"/>
      <c r="B91" s="51">
        <v>2021</v>
      </c>
      <c r="C91" s="51" t="s">
        <v>47</v>
      </c>
      <c r="D91" s="51" t="s">
        <v>490</v>
      </c>
      <c r="E91" s="51"/>
      <c r="F91" s="51"/>
      <c r="G91" s="610" t="s">
        <v>62</v>
      </c>
      <c r="H91" s="611">
        <v>0</v>
      </c>
      <c r="I91" s="611">
        <v>0</v>
      </c>
      <c r="J91" s="611">
        <v>-13.877421699920152</v>
      </c>
      <c r="K91" s="611">
        <v>0</v>
      </c>
      <c r="L91" s="611">
        <v>0</v>
      </c>
      <c r="M91" s="611">
        <v>0</v>
      </c>
      <c r="N91" s="611">
        <v>0</v>
      </c>
      <c r="O91" s="611">
        <v>0</v>
      </c>
      <c r="P91" s="611">
        <v>0</v>
      </c>
      <c r="Q91" s="611">
        <v>0</v>
      </c>
      <c r="R91" s="611">
        <v>0</v>
      </c>
      <c r="S91" s="611">
        <v>0</v>
      </c>
      <c r="T91" s="611">
        <v>0</v>
      </c>
      <c r="U91" s="611">
        <v>0</v>
      </c>
      <c r="V91" s="611">
        <v>0</v>
      </c>
      <c r="W91" s="620">
        <v>0</v>
      </c>
      <c r="X91" s="620">
        <v>0</v>
      </c>
      <c r="Y91" s="611">
        <v>0</v>
      </c>
      <c r="Z91" s="621">
        <v>-13.877421699920152</v>
      </c>
      <c r="AA91" s="51"/>
    </row>
    <row r="92" spans="1:27" x14ac:dyDescent="0.25">
      <c r="A92" s="51"/>
      <c r="B92" s="51">
        <v>2021</v>
      </c>
      <c r="C92" s="51" t="s">
        <v>47</v>
      </c>
      <c r="D92" s="51" t="s">
        <v>491</v>
      </c>
      <c r="E92" s="51"/>
      <c r="F92" s="51"/>
      <c r="G92" s="610" t="s">
        <v>63</v>
      </c>
      <c r="H92" s="611">
        <v>0</v>
      </c>
      <c r="I92" s="611">
        <v>0</v>
      </c>
      <c r="J92" s="611">
        <v>-63.573866272667004</v>
      </c>
      <c r="K92" s="611">
        <v>0</v>
      </c>
      <c r="L92" s="611">
        <v>0</v>
      </c>
      <c r="M92" s="611">
        <v>0</v>
      </c>
      <c r="N92" s="611">
        <v>0</v>
      </c>
      <c r="O92" s="611">
        <v>0</v>
      </c>
      <c r="P92" s="611">
        <v>0</v>
      </c>
      <c r="Q92" s="611">
        <v>0</v>
      </c>
      <c r="R92" s="611">
        <v>0</v>
      </c>
      <c r="S92" s="611">
        <v>0</v>
      </c>
      <c r="T92" s="611">
        <v>0</v>
      </c>
      <c r="U92" s="611">
        <v>0</v>
      </c>
      <c r="V92" s="611">
        <v>0</v>
      </c>
      <c r="W92" s="620">
        <v>0</v>
      </c>
      <c r="X92" s="620">
        <v>0</v>
      </c>
      <c r="Y92" s="611">
        <v>0</v>
      </c>
      <c r="Z92" s="621">
        <v>-63.573866272667004</v>
      </c>
      <c r="AA92" s="51"/>
    </row>
    <row r="93" spans="1:27" x14ac:dyDescent="0.25">
      <c r="A93" s="51"/>
      <c r="B93" s="51">
        <v>2021</v>
      </c>
      <c r="C93" s="51" t="s">
        <v>47</v>
      </c>
      <c r="D93" s="51" t="s">
        <v>492</v>
      </c>
      <c r="E93" s="51"/>
      <c r="F93" s="51"/>
      <c r="G93" s="610" t="s">
        <v>64</v>
      </c>
      <c r="H93" s="620">
        <v>-2.9844763247220669</v>
      </c>
      <c r="I93" s="620">
        <v>-2.771756591965</v>
      </c>
      <c r="J93" s="620">
        <v>3.1594595371718968</v>
      </c>
      <c r="K93" s="611">
        <v>0</v>
      </c>
      <c r="L93" s="620">
        <v>-35.140381000000005</v>
      </c>
      <c r="M93" s="611">
        <v>0</v>
      </c>
      <c r="N93" s="620">
        <v>0</v>
      </c>
      <c r="O93" s="620">
        <v>0</v>
      </c>
      <c r="P93" s="620">
        <v>0</v>
      </c>
      <c r="Q93" s="620">
        <v>0</v>
      </c>
      <c r="R93" s="620">
        <v>0</v>
      </c>
      <c r="S93" s="620">
        <v>0</v>
      </c>
      <c r="T93" s="620">
        <v>0</v>
      </c>
      <c r="U93" s="620">
        <v>0</v>
      </c>
      <c r="V93" s="620">
        <v>0</v>
      </c>
      <c r="W93" s="620">
        <v>0</v>
      </c>
      <c r="X93" s="620">
        <v>0</v>
      </c>
      <c r="Y93" s="620">
        <v>0</v>
      </c>
      <c r="Z93" s="621">
        <v>-37.737154379515175</v>
      </c>
      <c r="AA93" s="51"/>
    </row>
    <row r="94" spans="1:27" x14ac:dyDescent="0.25">
      <c r="A94" s="51"/>
      <c r="B94" s="51">
        <v>2021</v>
      </c>
      <c r="C94" s="51" t="s">
        <v>47</v>
      </c>
      <c r="D94" s="51" t="s">
        <v>493</v>
      </c>
      <c r="E94" s="51"/>
      <c r="F94" s="51"/>
      <c r="G94" s="614" t="s">
        <v>65</v>
      </c>
      <c r="H94" s="622">
        <v>69.957957960191266</v>
      </c>
      <c r="I94" s="622">
        <v>495.35692010902756</v>
      </c>
      <c r="J94" s="622">
        <v>240.22896816492596</v>
      </c>
      <c r="K94" s="615">
        <v>0</v>
      </c>
      <c r="L94" s="622">
        <v>386.44027325000008</v>
      </c>
      <c r="M94" s="615">
        <v>0</v>
      </c>
      <c r="N94" s="622">
        <v>893.12435757575759</v>
      </c>
      <c r="O94" s="622">
        <v>103.21570951808999</v>
      </c>
      <c r="P94" s="622">
        <v>119.62961093717934</v>
      </c>
      <c r="Q94" s="622">
        <v>36.086968924995617</v>
      </c>
      <c r="R94" s="622">
        <v>17.11243058838987</v>
      </c>
      <c r="S94" s="622">
        <v>0.2235843445957727</v>
      </c>
      <c r="T94" s="622">
        <v>44.752462777777779</v>
      </c>
      <c r="U94" s="622">
        <v>0</v>
      </c>
      <c r="V94" s="622">
        <v>8.1983815400839397</v>
      </c>
      <c r="W94" s="622">
        <v>14.944523000000004</v>
      </c>
      <c r="X94" s="622">
        <v>0</v>
      </c>
      <c r="Y94" s="622">
        <v>0</v>
      </c>
      <c r="Z94" s="622">
        <v>2429.2721486910141</v>
      </c>
      <c r="AA94" s="51"/>
    </row>
    <row r="95" spans="1:27" x14ac:dyDescent="0.25">
      <c r="A95" s="51"/>
      <c r="B95" s="51"/>
      <c r="C95" s="51"/>
      <c r="D95" s="51"/>
      <c r="E95" s="51"/>
      <c r="F95" s="51"/>
      <c r="G95" s="616"/>
      <c r="H95" s="623"/>
      <c r="I95" s="623"/>
      <c r="J95" s="623"/>
      <c r="K95" s="617"/>
      <c r="L95" s="623"/>
      <c r="M95" s="617"/>
      <c r="N95" s="623"/>
      <c r="O95" s="623"/>
      <c r="P95" s="623"/>
      <c r="Q95" s="623"/>
      <c r="R95" s="623"/>
      <c r="S95" s="623"/>
      <c r="T95" s="623"/>
      <c r="U95" s="623"/>
      <c r="V95" s="623"/>
      <c r="W95" s="623"/>
      <c r="X95" s="623"/>
      <c r="Y95" s="623"/>
      <c r="Z95" s="623"/>
      <c r="AA95" s="51"/>
    </row>
    <row r="96" spans="1:27" x14ac:dyDescent="0.25">
      <c r="A96" s="51"/>
      <c r="B96" s="51">
        <v>2021</v>
      </c>
      <c r="C96" s="51" t="s">
        <v>47</v>
      </c>
      <c r="D96" s="51" t="s">
        <v>494</v>
      </c>
      <c r="E96" s="51"/>
      <c r="F96" s="51"/>
      <c r="G96" s="618" t="s">
        <v>67</v>
      </c>
      <c r="H96" s="611">
        <v>-3.2172036633544465</v>
      </c>
      <c r="I96" s="611">
        <v>8.6918816645701593</v>
      </c>
      <c r="J96" s="611">
        <v>-9.9818947214287643</v>
      </c>
      <c r="K96" s="611">
        <v>0</v>
      </c>
      <c r="L96" s="611">
        <v>-1.9</v>
      </c>
      <c r="M96" s="611">
        <v>0</v>
      </c>
      <c r="N96" s="611">
        <v>0</v>
      </c>
      <c r="O96" s="611">
        <v>0</v>
      </c>
      <c r="P96" s="611">
        <v>0</v>
      </c>
      <c r="Q96" s="611">
        <v>0</v>
      </c>
      <c r="R96" s="611">
        <v>0</v>
      </c>
      <c r="S96" s="611">
        <v>0</v>
      </c>
      <c r="T96" s="611">
        <v>0</v>
      </c>
      <c r="U96" s="611">
        <v>0</v>
      </c>
      <c r="V96" s="611">
        <v>0</v>
      </c>
      <c r="W96" s="611">
        <v>0.88498001334329668</v>
      </c>
      <c r="X96" s="611">
        <v>0</v>
      </c>
      <c r="Y96" s="620">
        <v>0</v>
      </c>
      <c r="Z96" s="621">
        <v>-5.5222367068697551</v>
      </c>
      <c r="AA96" s="51"/>
    </row>
    <row r="97" spans="1:27" x14ac:dyDescent="0.25">
      <c r="A97" s="51"/>
      <c r="B97" s="51">
        <v>2021</v>
      </c>
      <c r="C97" s="51" t="s">
        <v>47</v>
      </c>
      <c r="D97" s="51" t="s">
        <v>495</v>
      </c>
      <c r="E97" s="51"/>
      <c r="F97" s="51"/>
      <c r="G97" s="618" t="s">
        <v>347</v>
      </c>
      <c r="H97" s="611">
        <v>22.704674555627779</v>
      </c>
      <c r="I97" s="611">
        <v>0</v>
      </c>
      <c r="J97" s="611">
        <v>14.162400323007727</v>
      </c>
      <c r="K97" s="611">
        <v>0</v>
      </c>
      <c r="L97" s="611">
        <v>50.9</v>
      </c>
      <c r="M97" s="611">
        <v>0</v>
      </c>
      <c r="N97" s="611">
        <v>1149.579672727273</v>
      </c>
      <c r="O97" s="611">
        <v>112.63656667417351</v>
      </c>
      <c r="P97" s="611">
        <v>16.450581812821277</v>
      </c>
      <c r="Q97" s="611">
        <v>11.637452619387753</v>
      </c>
      <c r="R97" s="611">
        <v>0</v>
      </c>
      <c r="S97" s="611">
        <v>6.4652317833333326</v>
      </c>
      <c r="T97" s="611">
        <v>0</v>
      </c>
      <c r="U97" s="611">
        <v>0</v>
      </c>
      <c r="V97" s="611">
        <v>1.1831153542668358</v>
      </c>
      <c r="W97" s="611">
        <v>-551.22381363018587</v>
      </c>
      <c r="X97" s="611">
        <v>0</v>
      </c>
      <c r="Y97" s="620">
        <v>0</v>
      </c>
      <c r="Z97" s="621">
        <v>834.49588221970532</v>
      </c>
      <c r="AA97" s="51"/>
    </row>
    <row r="98" spans="1:27" x14ac:dyDescent="0.25">
      <c r="A98" s="51"/>
      <c r="B98" s="51">
        <v>2021</v>
      </c>
      <c r="C98" s="51" t="s">
        <v>47</v>
      </c>
      <c r="D98" s="51" t="s">
        <v>496</v>
      </c>
      <c r="E98" s="51"/>
      <c r="F98" s="51"/>
      <c r="G98" s="618" t="s">
        <v>348</v>
      </c>
      <c r="H98" s="611">
        <v>1.7</v>
      </c>
      <c r="I98" s="611">
        <v>0</v>
      </c>
      <c r="J98" s="611">
        <v>2.8</v>
      </c>
      <c r="K98" s="611">
        <v>0</v>
      </c>
      <c r="L98" s="611">
        <v>22.3</v>
      </c>
      <c r="M98" s="611">
        <v>0</v>
      </c>
      <c r="N98" s="611">
        <v>0</v>
      </c>
      <c r="O98" s="611">
        <v>0</v>
      </c>
      <c r="P98" s="611">
        <v>11.128112602116227</v>
      </c>
      <c r="Q98" s="611">
        <v>16.032427320770637</v>
      </c>
      <c r="R98" s="611">
        <v>0</v>
      </c>
      <c r="S98" s="611">
        <v>3.0469379388888891</v>
      </c>
      <c r="T98" s="611">
        <v>0.33911500000000006</v>
      </c>
      <c r="U98" s="611">
        <v>0.33911500000000006</v>
      </c>
      <c r="V98" s="611">
        <v>4.0327325495864983</v>
      </c>
      <c r="W98" s="611">
        <v>0</v>
      </c>
      <c r="X98" s="611">
        <v>-53.146607042756457</v>
      </c>
      <c r="Y98" s="620">
        <v>0</v>
      </c>
      <c r="Z98" s="621">
        <v>8.5718333686057946</v>
      </c>
      <c r="AA98" s="51"/>
    </row>
    <row r="99" spans="1:27" x14ac:dyDescent="0.25">
      <c r="A99" s="51"/>
      <c r="B99" s="51">
        <v>2021</v>
      </c>
      <c r="C99" s="51" t="s">
        <v>47</v>
      </c>
      <c r="D99" s="51" t="s">
        <v>497</v>
      </c>
      <c r="E99" s="51"/>
      <c r="F99" s="51"/>
      <c r="G99" s="618" t="s">
        <v>349</v>
      </c>
      <c r="H99" s="611">
        <v>0</v>
      </c>
      <c r="I99" s="611">
        <v>0</v>
      </c>
      <c r="J99" s="611">
        <v>0</v>
      </c>
      <c r="K99" s="611">
        <v>0</v>
      </c>
      <c r="L99" s="611">
        <v>0</v>
      </c>
      <c r="M99" s="611">
        <v>0</v>
      </c>
      <c r="N99" s="611">
        <v>0</v>
      </c>
      <c r="O99" s="611">
        <v>0</v>
      </c>
      <c r="P99" s="611">
        <v>3.9044474999999998</v>
      </c>
      <c r="Q99" s="611">
        <v>0</v>
      </c>
      <c r="R99" s="611">
        <v>0</v>
      </c>
      <c r="S99" s="611">
        <v>-3.9044474999999998</v>
      </c>
      <c r="T99" s="611">
        <v>0</v>
      </c>
      <c r="U99" s="611">
        <v>0</v>
      </c>
      <c r="V99" s="611">
        <v>0</v>
      </c>
      <c r="W99" s="611">
        <v>0</v>
      </c>
      <c r="X99" s="611">
        <v>0</v>
      </c>
      <c r="Y99" s="620">
        <v>0</v>
      </c>
      <c r="Z99" s="621">
        <v>0</v>
      </c>
      <c r="AA99" s="51"/>
    </row>
    <row r="100" spans="1:27" x14ac:dyDescent="0.25">
      <c r="A100" s="51"/>
      <c r="B100" s="51">
        <v>2021</v>
      </c>
      <c r="C100" s="51" t="s">
        <v>47</v>
      </c>
      <c r="D100" s="51" t="s">
        <v>498</v>
      </c>
      <c r="E100" s="51"/>
      <c r="F100" s="51"/>
      <c r="G100" s="618" t="s">
        <v>350</v>
      </c>
      <c r="H100" s="611">
        <v>0</v>
      </c>
      <c r="I100" s="611">
        <v>0</v>
      </c>
      <c r="J100" s="611">
        <v>0</v>
      </c>
      <c r="K100" s="611">
        <v>0</v>
      </c>
      <c r="L100" s="611">
        <v>0</v>
      </c>
      <c r="M100" s="611">
        <v>0</v>
      </c>
      <c r="N100" s="611">
        <v>0</v>
      </c>
      <c r="O100" s="611">
        <v>0</v>
      </c>
      <c r="P100" s="611">
        <v>0</v>
      </c>
      <c r="Q100" s="611">
        <v>0</v>
      </c>
      <c r="R100" s="611">
        <v>0</v>
      </c>
      <c r="S100" s="611">
        <v>0</v>
      </c>
      <c r="T100" s="611">
        <v>0</v>
      </c>
      <c r="U100" s="611">
        <v>0</v>
      </c>
      <c r="V100" s="611">
        <v>0</v>
      </c>
      <c r="W100" s="611">
        <v>0</v>
      </c>
      <c r="X100" s="611">
        <v>0</v>
      </c>
      <c r="Y100" s="620">
        <v>0</v>
      </c>
      <c r="Z100" s="621">
        <v>0</v>
      </c>
      <c r="AA100" s="51"/>
    </row>
    <row r="101" spans="1:27" x14ac:dyDescent="0.25">
      <c r="A101" s="51"/>
      <c r="B101" s="51">
        <v>2021</v>
      </c>
      <c r="C101" s="51" t="s">
        <v>47</v>
      </c>
      <c r="D101" s="51" t="s">
        <v>499</v>
      </c>
      <c r="E101" s="51"/>
      <c r="F101" s="51"/>
      <c r="G101" s="618" t="s">
        <v>72</v>
      </c>
      <c r="H101" s="611">
        <v>0</v>
      </c>
      <c r="I101" s="611">
        <v>437.56801221871012</v>
      </c>
      <c r="J101" s="611">
        <v>-432.65891268749499</v>
      </c>
      <c r="K101" s="611">
        <v>0</v>
      </c>
      <c r="L101" s="611">
        <v>0</v>
      </c>
      <c r="M101" s="611">
        <v>0</v>
      </c>
      <c r="N101" s="611">
        <v>0</v>
      </c>
      <c r="O101" s="611">
        <v>0</v>
      </c>
      <c r="P101" s="611">
        <v>0</v>
      </c>
      <c r="Q101" s="611">
        <v>0</v>
      </c>
      <c r="R101" s="611">
        <v>0</v>
      </c>
      <c r="S101" s="611">
        <v>0</v>
      </c>
      <c r="T101" s="611">
        <v>0</v>
      </c>
      <c r="U101" s="611">
        <v>0</v>
      </c>
      <c r="V101" s="611">
        <v>0</v>
      </c>
      <c r="W101" s="611">
        <v>0</v>
      </c>
      <c r="X101" s="611">
        <v>0</v>
      </c>
      <c r="Y101" s="620">
        <v>0</v>
      </c>
      <c r="Z101" s="621">
        <v>4.9090995312151335</v>
      </c>
      <c r="AA101" s="51"/>
    </row>
    <row r="102" spans="1:27" x14ac:dyDescent="0.25">
      <c r="A102" s="51"/>
      <c r="B102" s="51">
        <v>2021</v>
      </c>
      <c r="C102" s="51" t="s">
        <v>47</v>
      </c>
      <c r="D102" s="51" t="s">
        <v>500</v>
      </c>
      <c r="E102" s="51"/>
      <c r="F102" s="51"/>
      <c r="G102" s="618" t="s">
        <v>351</v>
      </c>
      <c r="H102" s="611">
        <v>0</v>
      </c>
      <c r="I102" s="611">
        <v>0</v>
      </c>
      <c r="J102" s="611">
        <v>0</v>
      </c>
      <c r="K102" s="611">
        <v>0</v>
      </c>
      <c r="L102" s="611">
        <v>0</v>
      </c>
      <c r="M102" s="611">
        <v>0</v>
      </c>
      <c r="N102" s="611">
        <v>0</v>
      </c>
      <c r="O102" s="611">
        <v>0</v>
      </c>
      <c r="P102" s="611">
        <v>0</v>
      </c>
      <c r="Q102" s="611">
        <v>0</v>
      </c>
      <c r="R102" s="611">
        <v>0</v>
      </c>
      <c r="S102" s="611">
        <v>0</v>
      </c>
      <c r="T102" s="611">
        <v>0</v>
      </c>
      <c r="U102" s="611">
        <v>0</v>
      </c>
      <c r="V102" s="611">
        <v>0</v>
      </c>
      <c r="W102" s="611">
        <v>0</v>
      </c>
      <c r="X102" s="611">
        <v>0</v>
      </c>
      <c r="Y102" s="620">
        <v>0</v>
      </c>
      <c r="Z102" s="621">
        <v>0</v>
      </c>
      <c r="AA102" s="51"/>
    </row>
    <row r="103" spans="1:27" x14ac:dyDescent="0.25">
      <c r="A103" s="51"/>
      <c r="B103" s="51">
        <v>2021</v>
      </c>
      <c r="C103" s="51" t="s">
        <v>47</v>
      </c>
      <c r="D103" s="51" t="s">
        <v>501</v>
      </c>
      <c r="E103" s="51"/>
      <c r="F103" s="51"/>
      <c r="G103" s="618" t="s">
        <v>352</v>
      </c>
      <c r="H103" s="611">
        <v>0</v>
      </c>
      <c r="I103" s="611">
        <v>0</v>
      </c>
      <c r="J103" s="611">
        <v>0</v>
      </c>
      <c r="K103" s="611">
        <v>0</v>
      </c>
      <c r="L103" s="611">
        <v>0</v>
      </c>
      <c r="M103" s="611">
        <v>0</v>
      </c>
      <c r="N103" s="611">
        <v>0</v>
      </c>
      <c r="O103" s="611">
        <v>0</v>
      </c>
      <c r="P103" s="611">
        <v>0</v>
      </c>
      <c r="Q103" s="611">
        <v>0</v>
      </c>
      <c r="R103" s="611">
        <v>0</v>
      </c>
      <c r="S103" s="611">
        <v>0</v>
      </c>
      <c r="T103" s="611">
        <v>0</v>
      </c>
      <c r="U103" s="611">
        <v>0</v>
      </c>
      <c r="V103" s="611">
        <v>0</v>
      </c>
      <c r="W103" s="611">
        <v>0</v>
      </c>
      <c r="X103" s="611">
        <v>0</v>
      </c>
      <c r="Y103" s="620">
        <v>0</v>
      </c>
      <c r="Z103" s="621">
        <v>0</v>
      </c>
      <c r="AA103" s="51"/>
    </row>
    <row r="104" spans="1:27" x14ac:dyDescent="0.25">
      <c r="A104" s="51"/>
      <c r="B104" s="51">
        <v>2021</v>
      </c>
      <c r="C104" s="51" t="s">
        <v>47</v>
      </c>
      <c r="D104" s="51" t="s">
        <v>502</v>
      </c>
      <c r="E104" s="51"/>
      <c r="F104" s="51"/>
      <c r="G104" s="618" t="s">
        <v>73</v>
      </c>
      <c r="H104" s="611">
        <v>0</v>
      </c>
      <c r="I104" s="611">
        <v>0</v>
      </c>
      <c r="J104" s="611">
        <v>0</v>
      </c>
      <c r="K104" s="611">
        <v>0</v>
      </c>
      <c r="L104" s="611">
        <v>0</v>
      </c>
      <c r="M104" s="611">
        <v>0</v>
      </c>
      <c r="N104" s="611">
        <v>0</v>
      </c>
      <c r="O104" s="611">
        <v>0</v>
      </c>
      <c r="P104" s="611">
        <v>0</v>
      </c>
      <c r="Q104" s="611">
        <v>0</v>
      </c>
      <c r="R104" s="611">
        <v>0</v>
      </c>
      <c r="S104" s="611">
        <v>0</v>
      </c>
      <c r="T104" s="611">
        <v>0</v>
      </c>
      <c r="U104" s="611">
        <v>0</v>
      </c>
      <c r="V104" s="611">
        <v>0</v>
      </c>
      <c r="W104" s="611">
        <v>0</v>
      </c>
      <c r="X104" s="611">
        <v>0</v>
      </c>
      <c r="Y104" s="620">
        <v>0</v>
      </c>
      <c r="Z104" s="621">
        <v>0</v>
      </c>
      <c r="AA104" s="51"/>
    </row>
    <row r="105" spans="1:27" x14ac:dyDescent="0.25">
      <c r="A105" s="51"/>
      <c r="B105" s="51">
        <v>2021</v>
      </c>
      <c r="C105" s="51" t="s">
        <v>47</v>
      </c>
      <c r="D105" s="51" t="s">
        <v>503</v>
      </c>
      <c r="E105" s="51"/>
      <c r="F105" s="51"/>
      <c r="G105" s="618" t="s">
        <v>353</v>
      </c>
      <c r="H105" s="611">
        <v>32.414169646176781</v>
      </c>
      <c r="I105" s="611">
        <v>-27.441633567884001</v>
      </c>
      <c r="J105" s="611">
        <v>26.423718579649009</v>
      </c>
      <c r="K105" s="611">
        <v>0</v>
      </c>
      <c r="L105" s="611">
        <v>0</v>
      </c>
      <c r="M105" s="611">
        <v>0</v>
      </c>
      <c r="N105" s="611">
        <v>0</v>
      </c>
      <c r="O105" s="611">
        <v>0</v>
      </c>
      <c r="P105" s="611">
        <v>0</v>
      </c>
      <c r="Q105" s="611">
        <v>0</v>
      </c>
      <c r="R105" s="611">
        <v>0</v>
      </c>
      <c r="S105" s="611">
        <v>0</v>
      </c>
      <c r="T105" s="611">
        <v>0</v>
      </c>
      <c r="U105" s="611">
        <v>0</v>
      </c>
      <c r="V105" s="611">
        <v>0</v>
      </c>
      <c r="W105" s="611">
        <v>0</v>
      </c>
      <c r="X105" s="611">
        <v>0</v>
      </c>
      <c r="Y105" s="620">
        <v>0</v>
      </c>
      <c r="Z105" s="621">
        <v>31.396254657941789</v>
      </c>
      <c r="AA105" s="51"/>
    </row>
    <row r="106" spans="1:27" x14ac:dyDescent="0.25">
      <c r="A106" s="51"/>
      <c r="B106" s="51">
        <v>2021</v>
      </c>
      <c r="C106" s="51" t="s">
        <v>47</v>
      </c>
      <c r="D106" s="51" t="s">
        <v>504</v>
      </c>
      <c r="E106" s="51"/>
      <c r="F106" s="51"/>
      <c r="G106" s="618" t="s">
        <v>75</v>
      </c>
      <c r="H106" s="611">
        <v>12.946757886319885</v>
      </c>
      <c r="I106" s="611">
        <v>0</v>
      </c>
      <c r="J106" s="611">
        <v>10.589802527221</v>
      </c>
      <c r="K106" s="611">
        <v>0</v>
      </c>
      <c r="L106" s="611">
        <v>5.5572169999999996</v>
      </c>
      <c r="M106" s="611">
        <v>0</v>
      </c>
      <c r="N106" s="611">
        <v>0</v>
      </c>
      <c r="O106" s="611">
        <v>0</v>
      </c>
      <c r="P106" s="611">
        <v>0</v>
      </c>
      <c r="Q106" s="611">
        <v>0</v>
      </c>
      <c r="R106" s="611">
        <v>0</v>
      </c>
      <c r="S106" s="611">
        <v>0</v>
      </c>
      <c r="T106" s="611">
        <v>0</v>
      </c>
      <c r="U106" s="611">
        <v>0</v>
      </c>
      <c r="V106" s="611">
        <v>0</v>
      </c>
      <c r="W106" s="611">
        <v>33.303206492431578</v>
      </c>
      <c r="X106" s="611">
        <v>0</v>
      </c>
      <c r="Y106" s="620">
        <v>0</v>
      </c>
      <c r="Z106" s="621">
        <v>62.396983905972462</v>
      </c>
      <c r="AA106" s="51"/>
    </row>
    <row r="107" spans="1:27" x14ac:dyDescent="0.25">
      <c r="A107" s="51"/>
      <c r="B107" s="51">
        <v>2021</v>
      </c>
      <c r="C107" s="51" t="s">
        <v>47</v>
      </c>
      <c r="D107" s="51" t="s">
        <v>505</v>
      </c>
      <c r="E107" s="51"/>
      <c r="F107" s="51"/>
      <c r="G107" s="618" t="s">
        <v>76</v>
      </c>
      <c r="H107" s="611">
        <v>0</v>
      </c>
      <c r="I107" s="611">
        <v>0</v>
      </c>
      <c r="J107" s="611">
        <v>0</v>
      </c>
      <c r="K107" s="611">
        <v>0</v>
      </c>
      <c r="L107" s="611">
        <v>3.5778432499999999</v>
      </c>
      <c r="M107" s="611">
        <v>0</v>
      </c>
      <c r="N107" s="611">
        <v>0</v>
      </c>
      <c r="O107" s="611">
        <v>0</v>
      </c>
      <c r="P107" s="611">
        <v>0</v>
      </c>
      <c r="Q107" s="611">
        <v>0</v>
      </c>
      <c r="R107" s="611">
        <v>0</v>
      </c>
      <c r="S107" s="611">
        <v>0</v>
      </c>
      <c r="T107" s="611">
        <v>0</v>
      </c>
      <c r="U107" s="611">
        <v>0</v>
      </c>
      <c r="V107" s="611">
        <v>0</v>
      </c>
      <c r="W107" s="611">
        <v>39.12444228345425</v>
      </c>
      <c r="X107" s="611">
        <v>4.9402489163743386</v>
      </c>
      <c r="Y107" s="620">
        <v>0</v>
      </c>
      <c r="Z107" s="621">
        <v>47.642534449828588</v>
      </c>
      <c r="AA107" s="51"/>
    </row>
    <row r="108" spans="1:27" x14ac:dyDescent="0.25">
      <c r="A108" s="51"/>
      <c r="B108" s="51">
        <v>2021</v>
      </c>
      <c r="C108" s="51" t="s">
        <v>47</v>
      </c>
      <c r="D108" s="51" t="s">
        <v>506</v>
      </c>
      <c r="E108" s="51"/>
      <c r="F108" s="51"/>
      <c r="G108" s="614" t="s">
        <v>77</v>
      </c>
      <c r="H108" s="622">
        <v>66.548398424769999</v>
      </c>
      <c r="I108" s="622">
        <v>418.81826031539623</v>
      </c>
      <c r="J108" s="622">
        <v>-388.66488597904601</v>
      </c>
      <c r="K108" s="615">
        <v>0</v>
      </c>
      <c r="L108" s="622">
        <v>80.435060249999992</v>
      </c>
      <c r="M108" s="615">
        <v>0</v>
      </c>
      <c r="N108" s="622">
        <v>1149.579672727273</v>
      </c>
      <c r="O108" s="622">
        <v>112.63656667417351</v>
      </c>
      <c r="P108" s="622">
        <v>31.483141914937502</v>
      </c>
      <c r="Q108" s="622">
        <v>27.669879940158388</v>
      </c>
      <c r="R108" s="622">
        <v>0</v>
      </c>
      <c r="S108" s="622">
        <v>5.6077222222222218</v>
      </c>
      <c r="T108" s="622">
        <v>0.33911500000000006</v>
      </c>
      <c r="U108" s="622">
        <v>0.33911500000000006</v>
      </c>
      <c r="V108" s="622">
        <v>5.2158479038533336</v>
      </c>
      <c r="W108" s="622">
        <v>-477.91118484095665</v>
      </c>
      <c r="X108" s="622">
        <v>-48.206358126382121</v>
      </c>
      <c r="Y108" s="622">
        <v>0</v>
      </c>
      <c r="Z108" s="622">
        <v>983.89035142639932</v>
      </c>
      <c r="AA108" s="51"/>
    </row>
    <row r="109" spans="1:27" x14ac:dyDescent="0.25">
      <c r="A109" s="51"/>
      <c r="B109" s="51"/>
      <c r="C109" s="51"/>
      <c r="D109" s="51"/>
      <c r="E109" s="51"/>
      <c r="F109" s="51"/>
      <c r="G109" s="616"/>
      <c r="H109" s="623"/>
      <c r="I109" s="623"/>
      <c r="J109" s="623"/>
      <c r="K109" s="617"/>
      <c r="L109" s="623"/>
      <c r="M109" s="617"/>
      <c r="N109" s="623"/>
      <c r="O109" s="623"/>
      <c r="P109" s="623"/>
      <c r="Q109" s="623"/>
      <c r="R109" s="623"/>
      <c r="S109" s="623"/>
      <c r="T109" s="623"/>
      <c r="U109" s="623"/>
      <c r="V109" s="623"/>
      <c r="W109" s="623"/>
      <c r="X109" s="623"/>
      <c r="Y109" s="623"/>
      <c r="Z109" s="623"/>
      <c r="AA109" s="51"/>
    </row>
    <row r="110" spans="1:27" x14ac:dyDescent="0.25">
      <c r="A110" s="51"/>
      <c r="B110" s="51">
        <v>2021</v>
      </c>
      <c r="C110" s="51" t="s">
        <v>47</v>
      </c>
      <c r="D110" s="51" t="s">
        <v>507</v>
      </c>
      <c r="E110" s="51"/>
      <c r="F110" s="51"/>
      <c r="G110" s="618" t="s">
        <v>78</v>
      </c>
      <c r="H110" s="611">
        <v>10.499518224319999</v>
      </c>
      <c r="I110" s="611">
        <v>0</v>
      </c>
      <c r="J110" s="611">
        <v>29.416179425607226</v>
      </c>
      <c r="K110" s="611">
        <v>0</v>
      </c>
      <c r="L110" s="611">
        <v>122.68129450000001</v>
      </c>
      <c r="M110" s="611">
        <v>0</v>
      </c>
      <c r="N110" s="611">
        <v>0</v>
      </c>
      <c r="O110" s="611">
        <v>0</v>
      </c>
      <c r="P110" s="611">
        <v>15.007241944444445</v>
      </c>
      <c r="Q110" s="611">
        <v>4.5080899999999993</v>
      </c>
      <c r="R110" s="611">
        <v>0.90818192591922298</v>
      </c>
      <c r="S110" s="611">
        <v>0.7288891666666667</v>
      </c>
      <c r="T110" s="611">
        <v>0</v>
      </c>
      <c r="U110" s="611">
        <v>0</v>
      </c>
      <c r="V110" s="611">
        <v>2.3466111111111111E-2</v>
      </c>
      <c r="W110" s="611">
        <v>112.74074204167756</v>
      </c>
      <c r="X110" s="611">
        <v>20.288037293048792</v>
      </c>
      <c r="Y110" s="611">
        <v>0</v>
      </c>
      <c r="Z110" s="619">
        <v>316.80164063279506</v>
      </c>
      <c r="AA110" s="51"/>
    </row>
    <row r="111" spans="1:27" x14ac:dyDescent="0.25">
      <c r="A111" s="51"/>
      <c r="B111" s="51">
        <v>2021</v>
      </c>
      <c r="C111" s="51" t="s">
        <v>47</v>
      </c>
      <c r="D111" s="51" t="s">
        <v>508</v>
      </c>
      <c r="E111" s="51"/>
      <c r="F111" s="51"/>
      <c r="G111" s="618" t="s">
        <v>79</v>
      </c>
      <c r="H111" s="611">
        <v>0</v>
      </c>
      <c r="I111" s="611">
        <v>0</v>
      </c>
      <c r="J111" s="611">
        <v>455.73907855508537</v>
      </c>
      <c r="K111" s="611">
        <v>0</v>
      </c>
      <c r="L111" s="611">
        <v>3.1643742499999998</v>
      </c>
      <c r="M111" s="611">
        <v>0</v>
      </c>
      <c r="N111" s="611">
        <v>0</v>
      </c>
      <c r="O111" s="611">
        <v>0</v>
      </c>
      <c r="P111" s="611">
        <v>0</v>
      </c>
      <c r="Q111" s="611">
        <v>0</v>
      </c>
      <c r="R111" s="611">
        <v>33.682313987219715</v>
      </c>
      <c r="S111" s="611">
        <v>0</v>
      </c>
      <c r="T111" s="611">
        <v>0</v>
      </c>
      <c r="U111" s="611">
        <v>0</v>
      </c>
      <c r="V111" s="611">
        <v>0</v>
      </c>
      <c r="W111" s="611">
        <v>9.5062570700000002</v>
      </c>
      <c r="X111" s="611">
        <v>0</v>
      </c>
      <c r="Y111" s="611">
        <v>0</v>
      </c>
      <c r="Z111" s="619">
        <v>502.0920238623051</v>
      </c>
      <c r="AA111" s="51"/>
    </row>
    <row r="112" spans="1:27" x14ac:dyDescent="0.25">
      <c r="A112" s="51"/>
      <c r="B112" s="51">
        <v>2021</v>
      </c>
      <c r="C112" s="51" t="s">
        <v>47</v>
      </c>
      <c r="D112" s="51" t="s">
        <v>509</v>
      </c>
      <c r="E112" s="51"/>
      <c r="F112" s="51"/>
      <c r="G112" s="618" t="s">
        <v>80</v>
      </c>
      <c r="H112" s="611">
        <v>0.30392462681999999</v>
      </c>
      <c r="I112" s="611">
        <v>0</v>
      </c>
      <c r="J112" s="611">
        <v>48.420737334519657</v>
      </c>
      <c r="K112" s="611">
        <v>0</v>
      </c>
      <c r="L112" s="611">
        <v>137.47295825</v>
      </c>
      <c r="M112" s="611">
        <v>0</v>
      </c>
      <c r="N112" s="611">
        <v>0</v>
      </c>
      <c r="O112" s="611">
        <v>0</v>
      </c>
      <c r="P112" s="611">
        <v>79.436266183333316</v>
      </c>
      <c r="Q112" s="611">
        <v>0</v>
      </c>
      <c r="R112" s="611">
        <v>0</v>
      </c>
      <c r="S112" s="611">
        <v>0</v>
      </c>
      <c r="T112" s="611">
        <v>37.229244444444447</v>
      </c>
      <c r="U112" s="611">
        <v>37.229244444444447</v>
      </c>
      <c r="V112" s="611">
        <v>2.0012324114533335</v>
      </c>
      <c r="W112" s="611">
        <v>169.647731859684</v>
      </c>
      <c r="X112" s="611">
        <v>17.049854444444446</v>
      </c>
      <c r="Y112" s="611">
        <v>0</v>
      </c>
      <c r="Z112" s="619">
        <v>528.79119399914362</v>
      </c>
      <c r="AA112" s="51"/>
    </row>
    <row r="113" spans="1:27" x14ac:dyDescent="0.25">
      <c r="A113" s="51"/>
      <c r="B113" s="51">
        <v>2021</v>
      </c>
      <c r="C113" s="51" t="s">
        <v>47</v>
      </c>
      <c r="D113" s="51" t="s">
        <v>510</v>
      </c>
      <c r="E113" s="51"/>
      <c r="F113" s="51"/>
      <c r="G113" s="618" t="s">
        <v>81</v>
      </c>
      <c r="H113" s="611">
        <v>0.42171975636000003</v>
      </c>
      <c r="I113" s="611">
        <v>0</v>
      </c>
      <c r="J113" s="611">
        <v>31.848490363564004</v>
      </c>
      <c r="K113" s="611">
        <v>0</v>
      </c>
      <c r="L113" s="611">
        <v>75.02500775</v>
      </c>
      <c r="M113" s="611">
        <v>0</v>
      </c>
      <c r="N113" s="611">
        <v>0</v>
      </c>
      <c r="O113" s="611">
        <v>0</v>
      </c>
      <c r="P113" s="611">
        <v>3.518470555555556</v>
      </c>
      <c r="Q113" s="611">
        <v>2.6955142783343735</v>
      </c>
      <c r="R113" s="611">
        <v>0</v>
      </c>
      <c r="S113" s="611">
        <v>1.5720347222222222</v>
      </c>
      <c r="T113" s="611">
        <v>5.4113150000000001</v>
      </c>
      <c r="U113" s="611">
        <v>5.4113150000000001</v>
      </c>
      <c r="V113" s="611">
        <v>0.36038522262222222</v>
      </c>
      <c r="W113" s="611">
        <v>133.43843185863599</v>
      </c>
      <c r="X113" s="611">
        <v>10.601388055555557</v>
      </c>
      <c r="Y113" s="611">
        <v>0</v>
      </c>
      <c r="Z113" s="619">
        <v>270.30407256284997</v>
      </c>
      <c r="AA113" s="51"/>
    </row>
    <row r="114" spans="1:27" x14ac:dyDescent="0.25">
      <c r="A114" s="51"/>
      <c r="B114" s="51">
        <v>2021</v>
      </c>
      <c r="C114" s="51" t="s">
        <v>47</v>
      </c>
      <c r="D114" s="51" t="s">
        <v>511</v>
      </c>
      <c r="E114" s="51"/>
      <c r="F114" s="51"/>
      <c r="G114" s="618" t="s">
        <v>82</v>
      </c>
      <c r="H114" s="611">
        <v>1.645683379E-2</v>
      </c>
      <c r="I114" s="611">
        <v>0</v>
      </c>
      <c r="J114" s="611">
        <v>37.64130659695499</v>
      </c>
      <c r="K114" s="611">
        <v>0</v>
      </c>
      <c r="L114" s="611">
        <v>2.6142742499999998</v>
      </c>
      <c r="M114" s="611">
        <v>0</v>
      </c>
      <c r="N114" s="611">
        <v>0</v>
      </c>
      <c r="O114" s="611">
        <v>0</v>
      </c>
      <c r="P114" s="611">
        <v>1.8067343740011113</v>
      </c>
      <c r="Q114" s="611">
        <v>0</v>
      </c>
      <c r="R114" s="611">
        <v>2.1134212030118888</v>
      </c>
      <c r="S114" s="611">
        <v>0.64352166666666666</v>
      </c>
      <c r="T114" s="611">
        <v>0</v>
      </c>
      <c r="U114" s="611">
        <v>0</v>
      </c>
      <c r="V114" s="611">
        <v>0.29224250000000002</v>
      </c>
      <c r="W114" s="611">
        <v>7.6857720109592274</v>
      </c>
      <c r="X114" s="611">
        <v>0.26707805555555553</v>
      </c>
      <c r="Y114" s="611">
        <v>0</v>
      </c>
      <c r="Z114" s="619">
        <v>53.080807490939442</v>
      </c>
      <c r="AA114" s="51"/>
    </row>
    <row r="115" spans="1:27" x14ac:dyDescent="0.25">
      <c r="A115" s="51"/>
      <c r="B115" s="51">
        <v>2021</v>
      </c>
      <c r="C115" s="51" t="s">
        <v>47</v>
      </c>
      <c r="D115" s="51" t="s">
        <v>512</v>
      </c>
      <c r="E115" s="51"/>
      <c r="F115" s="51"/>
      <c r="G115" s="618" t="s">
        <v>354</v>
      </c>
      <c r="H115" s="611">
        <v>0</v>
      </c>
      <c r="I115" s="611">
        <v>0</v>
      </c>
      <c r="J115" s="611">
        <v>0</v>
      </c>
      <c r="K115" s="611">
        <v>0</v>
      </c>
      <c r="L115" s="611">
        <v>0</v>
      </c>
      <c r="M115" s="611">
        <v>0</v>
      </c>
      <c r="N115" s="611">
        <v>0</v>
      </c>
      <c r="O115" s="611">
        <v>0</v>
      </c>
      <c r="P115" s="611">
        <v>0</v>
      </c>
      <c r="Q115" s="611">
        <v>0</v>
      </c>
      <c r="R115" s="611">
        <v>0</v>
      </c>
      <c r="S115" s="611">
        <v>0</v>
      </c>
      <c r="T115" s="611">
        <v>0</v>
      </c>
      <c r="U115" s="611">
        <v>0</v>
      </c>
      <c r="V115" s="611">
        <v>0</v>
      </c>
      <c r="W115" s="611">
        <v>0</v>
      </c>
      <c r="X115" s="611">
        <v>0</v>
      </c>
      <c r="Y115" s="611">
        <v>0</v>
      </c>
      <c r="Z115" s="619">
        <v>0</v>
      </c>
      <c r="AA115" s="51"/>
    </row>
    <row r="116" spans="1:27" x14ac:dyDescent="0.25">
      <c r="A116" s="51"/>
      <c r="B116" s="51">
        <v>2021</v>
      </c>
      <c r="C116" s="51" t="s">
        <v>47</v>
      </c>
      <c r="D116" s="51" t="s">
        <v>513</v>
      </c>
      <c r="E116" s="51"/>
      <c r="F116" s="51"/>
      <c r="G116" s="614" t="s">
        <v>83</v>
      </c>
      <c r="H116" s="622">
        <v>11.24161944129</v>
      </c>
      <c r="I116" s="622">
        <v>0</v>
      </c>
      <c r="J116" s="622">
        <v>603.06579227573127</v>
      </c>
      <c r="K116" s="615">
        <v>0</v>
      </c>
      <c r="L116" s="622">
        <v>340.95790899999997</v>
      </c>
      <c r="M116" s="615">
        <v>0</v>
      </c>
      <c r="N116" s="622">
        <v>0</v>
      </c>
      <c r="O116" s="622">
        <v>0</v>
      </c>
      <c r="P116" s="622">
        <v>99.768713057334423</v>
      </c>
      <c r="Q116" s="622">
        <v>7.2036042783343728</v>
      </c>
      <c r="R116" s="622">
        <v>36.703917116150826</v>
      </c>
      <c r="S116" s="622">
        <v>2.9444455555555553</v>
      </c>
      <c r="T116" s="622">
        <v>42.640559444444449</v>
      </c>
      <c r="U116" s="622">
        <v>42.640559444444449</v>
      </c>
      <c r="V116" s="622">
        <v>2.6773262451866668</v>
      </c>
      <c r="W116" s="622">
        <v>433.01893484095683</v>
      </c>
      <c r="X116" s="622">
        <v>48.206357848604355</v>
      </c>
      <c r="Y116" s="622">
        <v>0</v>
      </c>
      <c r="Z116" s="622">
        <v>1671.0697385480332</v>
      </c>
      <c r="AA116" s="51"/>
    </row>
    <row r="117" spans="1:27" x14ac:dyDescent="0.25">
      <c r="A117" s="51"/>
      <c r="B117" s="51">
        <v>2021</v>
      </c>
      <c r="C117" s="51" t="s">
        <v>47</v>
      </c>
      <c r="D117" s="51" t="s">
        <v>514</v>
      </c>
      <c r="E117" s="51"/>
      <c r="F117" s="51"/>
      <c r="G117" s="610" t="s">
        <v>84</v>
      </c>
      <c r="H117" s="611">
        <v>3.2100486466300007</v>
      </c>
      <c r="I117" s="611">
        <v>0</v>
      </c>
      <c r="J117" s="611">
        <v>139.4576510270841</v>
      </c>
      <c r="K117" s="611">
        <v>0</v>
      </c>
      <c r="L117" s="611">
        <v>12.877187000000003</v>
      </c>
      <c r="M117" s="611">
        <v>0</v>
      </c>
      <c r="N117" s="611">
        <v>0</v>
      </c>
      <c r="O117" s="611">
        <v>0</v>
      </c>
      <c r="P117" s="611">
        <v>0</v>
      </c>
      <c r="Q117" s="611">
        <v>0</v>
      </c>
      <c r="R117" s="611">
        <v>0</v>
      </c>
      <c r="S117" s="611">
        <v>0</v>
      </c>
      <c r="T117" s="611">
        <v>0</v>
      </c>
      <c r="U117" s="611">
        <v>0</v>
      </c>
      <c r="V117" s="611">
        <v>0</v>
      </c>
      <c r="W117" s="611">
        <v>0</v>
      </c>
      <c r="X117" s="611">
        <v>0.65340598733210598</v>
      </c>
      <c r="Y117" s="611">
        <v>0</v>
      </c>
      <c r="Z117" s="619">
        <v>156.1982926610462</v>
      </c>
      <c r="AA117" s="51"/>
    </row>
    <row r="118" spans="1:27" x14ac:dyDescent="0.25">
      <c r="A118" s="51"/>
      <c r="B118" s="51">
        <v>2021</v>
      </c>
      <c r="C118" s="51" t="s">
        <v>47</v>
      </c>
      <c r="D118" s="51" t="s">
        <v>515</v>
      </c>
      <c r="E118" s="51"/>
      <c r="F118" s="51"/>
      <c r="G118" s="614" t="s">
        <v>85</v>
      </c>
      <c r="H118" s="622">
        <v>14.451668087920002</v>
      </c>
      <c r="I118" s="622">
        <v>0</v>
      </c>
      <c r="J118" s="622">
        <v>742.52344330281539</v>
      </c>
      <c r="K118" s="615">
        <v>0</v>
      </c>
      <c r="L118" s="622">
        <v>353.83509599999996</v>
      </c>
      <c r="M118" s="615">
        <v>0</v>
      </c>
      <c r="N118" s="622">
        <v>0</v>
      </c>
      <c r="O118" s="622">
        <v>0</v>
      </c>
      <c r="P118" s="622">
        <v>99.768713057334423</v>
      </c>
      <c r="Q118" s="622">
        <v>7.2036042783343728</v>
      </c>
      <c r="R118" s="622">
        <v>36.703917116150826</v>
      </c>
      <c r="S118" s="622">
        <v>2.9444455555555553</v>
      </c>
      <c r="T118" s="622">
        <v>42.640559444444449</v>
      </c>
      <c r="U118" s="622">
        <v>42.640559444444449</v>
      </c>
      <c r="V118" s="622">
        <v>2.6773262451866668</v>
      </c>
      <c r="W118" s="622">
        <v>433.01893484095683</v>
      </c>
      <c r="X118" s="622">
        <v>48.859763835936462</v>
      </c>
      <c r="Y118" s="622">
        <v>0</v>
      </c>
      <c r="Z118" s="622">
        <v>1827.2680312090795</v>
      </c>
      <c r="AA118" s="51"/>
    </row>
    <row r="119" spans="1:27" x14ac:dyDescent="0.25">
      <c r="A119" s="51"/>
      <c r="B119" s="51"/>
      <c r="C119" s="51"/>
      <c r="D119" s="51"/>
      <c r="E119" s="51"/>
      <c r="F119" s="51"/>
      <c r="G119" s="51"/>
      <c r="H119" s="51"/>
      <c r="I119" s="51"/>
      <c r="J119" s="51"/>
      <c r="K119" s="67">
        <v>0</v>
      </c>
      <c r="L119" s="51"/>
      <c r="M119" s="51"/>
      <c r="N119" s="51"/>
      <c r="O119" s="51"/>
      <c r="P119" s="51"/>
      <c r="Q119" s="51"/>
      <c r="R119" s="51"/>
      <c r="S119" s="51"/>
      <c r="T119" s="51"/>
      <c r="U119" s="51"/>
      <c r="V119" s="51"/>
      <c r="W119" s="51"/>
      <c r="X119" s="51"/>
      <c r="Y119" s="51"/>
      <c r="Z119" s="51"/>
      <c r="AA119" s="51"/>
    </row>
    <row r="120" spans="1:27" x14ac:dyDescent="0.25">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row>
    <row r="121" spans="1:27" x14ac:dyDescent="0.25">
      <c r="A121" s="606"/>
      <c r="B121" s="606"/>
      <c r="C121" s="606"/>
      <c r="D121" s="606"/>
      <c r="E121" s="606"/>
      <c r="F121" s="606"/>
      <c r="G121" s="607" t="s">
        <v>566</v>
      </c>
      <c r="H121" s="606"/>
      <c r="I121" s="606"/>
      <c r="J121" s="606"/>
      <c r="K121" s="606"/>
      <c r="L121" s="606"/>
      <c r="M121" s="606"/>
      <c r="N121" s="606"/>
      <c r="O121" s="606"/>
      <c r="P121" s="606"/>
      <c r="Q121" s="606"/>
      <c r="R121" s="606"/>
      <c r="S121" s="606"/>
      <c r="T121" s="606"/>
      <c r="U121" s="606"/>
      <c r="V121" s="606"/>
      <c r="W121" s="606"/>
      <c r="X121" s="606"/>
      <c r="Y121" s="606"/>
      <c r="Z121" s="606"/>
      <c r="AA121" s="606"/>
    </row>
    <row r="122" spans="1:27" x14ac:dyDescent="0.25">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row>
    <row r="123" spans="1:27" x14ac:dyDescent="0.25">
      <c r="A123" s="51"/>
      <c r="B123" s="51"/>
      <c r="C123" s="51"/>
      <c r="D123" s="51"/>
      <c r="E123" s="51"/>
      <c r="F123" s="51"/>
      <c r="G123" s="764" t="s">
        <v>128</v>
      </c>
      <c r="H123" s="753" t="s">
        <v>42</v>
      </c>
      <c r="I123" s="753" t="s">
        <v>52</v>
      </c>
      <c r="J123" s="753" t="s">
        <v>53</v>
      </c>
      <c r="K123" s="753" t="s">
        <v>482</v>
      </c>
      <c r="L123" s="753" t="s">
        <v>32</v>
      </c>
      <c r="M123" s="753" t="s">
        <v>483</v>
      </c>
      <c r="N123" s="753" t="s">
        <v>20</v>
      </c>
      <c r="O123" s="753" t="s">
        <v>55</v>
      </c>
      <c r="P123" s="761" t="s">
        <v>56</v>
      </c>
      <c r="Q123" s="762"/>
      <c r="R123" s="762"/>
      <c r="S123" s="762"/>
      <c r="T123" s="762"/>
      <c r="U123" s="762"/>
      <c r="V123" s="763"/>
      <c r="W123" s="753" t="s">
        <v>57</v>
      </c>
      <c r="X123" s="753" t="s">
        <v>58</v>
      </c>
      <c r="Y123" s="753" t="s">
        <v>31</v>
      </c>
      <c r="Z123" s="753" t="s">
        <v>10</v>
      </c>
      <c r="AA123" s="51"/>
    </row>
    <row r="124" spans="1:27" ht="36" x14ac:dyDescent="0.25">
      <c r="A124" s="51"/>
      <c r="B124" s="51" t="s">
        <v>484</v>
      </c>
      <c r="C124" s="51" t="s">
        <v>485</v>
      </c>
      <c r="D124" s="51" t="s">
        <v>486</v>
      </c>
      <c r="E124" s="51"/>
      <c r="F124" s="51"/>
      <c r="G124" s="765"/>
      <c r="H124" s="754"/>
      <c r="I124" s="754"/>
      <c r="J124" s="754"/>
      <c r="K124" s="754"/>
      <c r="L124" s="754"/>
      <c r="M124" s="754"/>
      <c r="N124" s="754"/>
      <c r="O124" s="754"/>
      <c r="P124" s="608" t="s">
        <v>335</v>
      </c>
      <c r="Q124" s="608" t="s">
        <v>40</v>
      </c>
      <c r="R124" s="608" t="s">
        <v>343</v>
      </c>
      <c r="S124" s="608" t="s">
        <v>344</v>
      </c>
      <c r="T124" s="609" t="s">
        <v>345</v>
      </c>
      <c r="U124" s="609" t="s">
        <v>609</v>
      </c>
      <c r="V124" s="608" t="s">
        <v>346</v>
      </c>
      <c r="W124" s="754"/>
      <c r="X124" s="754"/>
      <c r="Y124" s="754"/>
      <c r="Z124" s="754"/>
      <c r="AA124" s="51"/>
    </row>
    <row r="125" spans="1:27" x14ac:dyDescent="0.25">
      <c r="A125" s="51"/>
      <c r="B125" s="51">
        <v>2022</v>
      </c>
      <c r="C125" s="51" t="s">
        <v>47</v>
      </c>
      <c r="D125" s="51" t="s">
        <v>487</v>
      </c>
      <c r="E125" s="51"/>
      <c r="F125" s="51"/>
      <c r="G125" s="610" t="s">
        <v>59</v>
      </c>
      <c r="H125" s="611">
        <v>0</v>
      </c>
      <c r="I125" s="611">
        <v>9.6296400000000002</v>
      </c>
      <c r="J125" s="620">
        <v>0</v>
      </c>
      <c r="K125" s="611">
        <v>0</v>
      </c>
      <c r="L125" s="611">
        <v>0.19305800000000004</v>
      </c>
      <c r="M125" s="611">
        <v>0</v>
      </c>
      <c r="N125" s="620">
        <v>1140.366181818182</v>
      </c>
      <c r="O125" s="620">
        <v>131.59278102869408</v>
      </c>
      <c r="P125" s="620">
        <v>207.14648009796051</v>
      </c>
      <c r="Q125" s="620">
        <v>35.547734556357774</v>
      </c>
      <c r="R125" s="620">
        <v>0.20092572111676185</v>
      </c>
      <c r="S125" s="620">
        <v>0.14735812244666191</v>
      </c>
      <c r="T125" s="620">
        <v>61.630419198718137</v>
      </c>
      <c r="U125" s="620">
        <v>0.60820836760911123</v>
      </c>
      <c r="V125" s="620">
        <v>7.2449612535215584</v>
      </c>
      <c r="W125" s="620">
        <v>0</v>
      </c>
      <c r="X125" s="620">
        <v>0</v>
      </c>
      <c r="Y125" s="620">
        <v>0</v>
      </c>
      <c r="Z125" s="621">
        <v>1594.3077481646064</v>
      </c>
      <c r="AA125" s="51"/>
    </row>
    <row r="126" spans="1:27" x14ac:dyDescent="0.25">
      <c r="A126" s="51"/>
      <c r="B126" s="51">
        <v>2022</v>
      </c>
      <c r="C126" s="51" t="s">
        <v>47</v>
      </c>
      <c r="D126" s="51" t="s">
        <v>488</v>
      </c>
      <c r="E126" s="51"/>
      <c r="F126" s="51"/>
      <c r="G126" s="610" t="s">
        <v>60</v>
      </c>
      <c r="H126" s="620">
        <v>56.449131133971783</v>
      </c>
      <c r="I126" s="620">
        <v>459.91342569717432</v>
      </c>
      <c r="J126" s="620">
        <v>352.25084451708437</v>
      </c>
      <c r="K126" s="611">
        <v>0</v>
      </c>
      <c r="L126" s="620">
        <v>373.56843519469322</v>
      </c>
      <c r="M126" s="611">
        <v>0</v>
      </c>
      <c r="N126" s="620">
        <v>0</v>
      </c>
      <c r="O126" s="620">
        <v>0</v>
      </c>
      <c r="P126" s="620">
        <v>13.926310917019748</v>
      </c>
      <c r="Q126" s="620">
        <v>0</v>
      </c>
      <c r="R126" s="620">
        <v>1.5603352240003341</v>
      </c>
      <c r="S126" s="620">
        <v>8.1754802717449966</v>
      </c>
      <c r="T126" s="620">
        <v>0</v>
      </c>
      <c r="U126" s="620">
        <v>0</v>
      </c>
      <c r="V126" s="620">
        <v>0</v>
      </c>
      <c r="W126" s="620">
        <v>0</v>
      </c>
      <c r="X126" s="620">
        <v>0</v>
      </c>
      <c r="Y126" s="620">
        <v>0</v>
      </c>
      <c r="Z126" s="621">
        <v>1265.8439629556888</v>
      </c>
      <c r="AA126" s="51"/>
    </row>
    <row r="127" spans="1:27" x14ac:dyDescent="0.25">
      <c r="A127" s="51"/>
      <c r="B127" s="51">
        <v>2022</v>
      </c>
      <c r="C127" s="51" t="s">
        <v>47</v>
      </c>
      <c r="D127" s="51" t="s">
        <v>489</v>
      </c>
      <c r="E127" s="51"/>
      <c r="F127" s="51"/>
      <c r="G127" s="610" t="s">
        <v>61</v>
      </c>
      <c r="H127" s="620">
        <v>0</v>
      </c>
      <c r="I127" s="620">
        <v>0</v>
      </c>
      <c r="J127" s="620">
        <v>-1.9958158323902644</v>
      </c>
      <c r="K127" s="611">
        <v>0</v>
      </c>
      <c r="L127" s="620">
        <v>0</v>
      </c>
      <c r="M127" s="611">
        <v>0</v>
      </c>
      <c r="N127" s="620">
        <v>0</v>
      </c>
      <c r="O127" s="620">
        <v>0</v>
      </c>
      <c r="P127" s="620">
        <v>0</v>
      </c>
      <c r="Q127" s="620">
        <v>0</v>
      </c>
      <c r="R127" s="620">
        <v>0</v>
      </c>
      <c r="S127" s="620">
        <v>0</v>
      </c>
      <c r="T127" s="620">
        <v>0</v>
      </c>
      <c r="U127" s="620">
        <v>0</v>
      </c>
      <c r="V127" s="620">
        <v>0</v>
      </c>
      <c r="W127" s="620">
        <v>-79.10234586688</v>
      </c>
      <c r="X127" s="620">
        <v>0</v>
      </c>
      <c r="Y127" s="620">
        <v>0</v>
      </c>
      <c r="Z127" s="621">
        <v>-81.098161699270264</v>
      </c>
      <c r="AA127" s="51"/>
    </row>
    <row r="128" spans="1:27" x14ac:dyDescent="0.25">
      <c r="A128" s="51"/>
      <c r="B128" s="51">
        <v>2022</v>
      </c>
      <c r="C128" s="51" t="s">
        <v>47</v>
      </c>
      <c r="D128" s="51" t="s">
        <v>490</v>
      </c>
      <c r="E128" s="51"/>
      <c r="F128" s="51"/>
      <c r="G128" s="610" t="s">
        <v>62</v>
      </c>
      <c r="H128" s="611">
        <v>0</v>
      </c>
      <c r="I128" s="611">
        <v>0</v>
      </c>
      <c r="J128" s="611">
        <v>-13.910664986553044</v>
      </c>
      <c r="K128" s="611">
        <v>0</v>
      </c>
      <c r="L128" s="611">
        <v>-1.5775055692610036</v>
      </c>
      <c r="M128" s="611">
        <v>0</v>
      </c>
      <c r="N128" s="611">
        <v>0</v>
      </c>
      <c r="O128" s="611">
        <v>0</v>
      </c>
      <c r="P128" s="611">
        <v>0</v>
      </c>
      <c r="Q128" s="611">
        <v>0</v>
      </c>
      <c r="R128" s="611">
        <v>-0.26729594352549763</v>
      </c>
      <c r="S128" s="611">
        <v>-5.1217713287694921E-2</v>
      </c>
      <c r="T128" s="611">
        <v>0</v>
      </c>
      <c r="U128" s="611">
        <v>0</v>
      </c>
      <c r="V128" s="611">
        <v>0</v>
      </c>
      <c r="W128" s="620">
        <v>0</v>
      </c>
      <c r="X128" s="620">
        <v>0</v>
      </c>
      <c r="Y128" s="611">
        <v>0</v>
      </c>
      <c r="Z128" s="621">
        <v>-15.806684212627241</v>
      </c>
      <c r="AA128" s="51"/>
    </row>
    <row r="129" spans="1:27" x14ac:dyDescent="0.25">
      <c r="A129" s="51"/>
      <c r="B129" s="51">
        <v>2022</v>
      </c>
      <c r="C129" s="51" t="s">
        <v>47</v>
      </c>
      <c r="D129" s="51" t="s">
        <v>491</v>
      </c>
      <c r="E129" s="51"/>
      <c r="F129" s="51"/>
      <c r="G129" s="610" t="s">
        <v>63</v>
      </c>
      <c r="H129" s="611">
        <v>0</v>
      </c>
      <c r="I129" s="611">
        <v>0</v>
      </c>
      <c r="J129" s="611">
        <v>-77.531119346650016</v>
      </c>
      <c r="K129" s="611">
        <v>0</v>
      </c>
      <c r="L129" s="611">
        <v>0</v>
      </c>
      <c r="M129" s="611">
        <v>0</v>
      </c>
      <c r="N129" s="611">
        <v>0</v>
      </c>
      <c r="O129" s="611">
        <v>0</v>
      </c>
      <c r="P129" s="611">
        <v>0</v>
      </c>
      <c r="Q129" s="611">
        <v>0</v>
      </c>
      <c r="R129" s="611">
        <v>-0.80822492568624593</v>
      </c>
      <c r="S129" s="611">
        <v>0</v>
      </c>
      <c r="T129" s="611">
        <v>0</v>
      </c>
      <c r="U129" s="611">
        <v>0</v>
      </c>
      <c r="V129" s="611">
        <v>0</v>
      </c>
      <c r="W129" s="620">
        <v>0</v>
      </c>
      <c r="X129" s="620">
        <v>0</v>
      </c>
      <c r="Y129" s="611">
        <v>0</v>
      </c>
      <c r="Z129" s="621">
        <v>-78.339344272336263</v>
      </c>
      <c r="AA129" s="51"/>
    </row>
    <row r="130" spans="1:27" x14ac:dyDescent="0.25">
      <c r="A130" s="51"/>
      <c r="B130" s="51">
        <v>2022</v>
      </c>
      <c r="C130" s="51" t="s">
        <v>47</v>
      </c>
      <c r="D130" s="51" t="s">
        <v>492</v>
      </c>
      <c r="E130" s="51"/>
      <c r="F130" s="51"/>
      <c r="G130" s="610" t="s">
        <v>64</v>
      </c>
      <c r="H130" s="620">
        <v>9.7684723496666986E-2</v>
      </c>
      <c r="I130" s="620">
        <v>-5.9567697000000003E-2</v>
      </c>
      <c r="J130" s="620">
        <v>3.8766666666666671E-2</v>
      </c>
      <c r="K130" s="611">
        <v>0</v>
      </c>
      <c r="L130" s="620">
        <v>0</v>
      </c>
      <c r="M130" s="611">
        <v>0</v>
      </c>
      <c r="N130" s="620">
        <v>0</v>
      </c>
      <c r="O130" s="620">
        <v>0</v>
      </c>
      <c r="P130" s="620">
        <v>0</v>
      </c>
      <c r="Q130" s="620">
        <v>0</v>
      </c>
      <c r="R130" s="620">
        <v>0</v>
      </c>
      <c r="S130" s="620">
        <v>0</v>
      </c>
      <c r="T130" s="620">
        <v>0</v>
      </c>
      <c r="U130" s="620">
        <v>0</v>
      </c>
      <c r="V130" s="620">
        <v>0</v>
      </c>
      <c r="W130" s="620">
        <v>0</v>
      </c>
      <c r="X130" s="620">
        <v>0</v>
      </c>
      <c r="Y130" s="620">
        <v>0</v>
      </c>
      <c r="Z130" s="621">
        <v>7.6883693163333655E-2</v>
      </c>
      <c r="AA130" s="51"/>
    </row>
    <row r="131" spans="1:27" x14ac:dyDescent="0.25">
      <c r="A131" s="51"/>
      <c r="B131" s="51">
        <v>2022</v>
      </c>
      <c r="C131" s="51" t="s">
        <v>47</v>
      </c>
      <c r="D131" s="51" t="s">
        <v>493</v>
      </c>
      <c r="E131" s="51"/>
      <c r="F131" s="51"/>
      <c r="G131" s="614" t="s">
        <v>65</v>
      </c>
      <c r="H131" s="622">
        <v>56.546815857468452</v>
      </c>
      <c r="I131" s="622">
        <v>469.48349800017434</v>
      </c>
      <c r="J131" s="622">
        <v>258.85201101815767</v>
      </c>
      <c r="K131" s="615">
        <v>0</v>
      </c>
      <c r="L131" s="622">
        <v>372.18398762543222</v>
      </c>
      <c r="M131" s="615">
        <v>0</v>
      </c>
      <c r="N131" s="622">
        <v>1140.366181818182</v>
      </c>
      <c r="O131" s="622">
        <v>131.59278102869408</v>
      </c>
      <c r="P131" s="622">
        <v>221.07279101498025</v>
      </c>
      <c r="Q131" s="622">
        <v>35.547734556357774</v>
      </c>
      <c r="R131" s="622">
        <v>0.68574007590535246</v>
      </c>
      <c r="S131" s="622">
        <v>8.271620680903963</v>
      </c>
      <c r="T131" s="622">
        <v>61.630419198718137</v>
      </c>
      <c r="U131" s="622">
        <v>0.60820836760911123</v>
      </c>
      <c r="V131" s="622">
        <v>7.2449612535215584</v>
      </c>
      <c r="W131" s="622">
        <v>-79.10234586688</v>
      </c>
      <c r="X131" s="622">
        <v>0</v>
      </c>
      <c r="Y131" s="622">
        <v>0</v>
      </c>
      <c r="Z131" s="622">
        <v>2684.9844046292246</v>
      </c>
      <c r="AA131" s="51"/>
    </row>
    <row r="132" spans="1:27" x14ac:dyDescent="0.25">
      <c r="A132" s="51"/>
      <c r="B132" s="51"/>
      <c r="C132" s="51"/>
      <c r="D132" s="51"/>
      <c r="E132" s="51"/>
      <c r="F132" s="51"/>
      <c r="G132" s="616"/>
      <c r="H132" s="623"/>
      <c r="I132" s="623"/>
      <c r="J132" s="623"/>
      <c r="K132" s="617"/>
      <c r="L132" s="623"/>
      <c r="M132" s="617"/>
      <c r="N132" s="623"/>
      <c r="O132" s="623"/>
      <c r="P132" s="623"/>
      <c r="Q132" s="623"/>
      <c r="R132" s="623"/>
      <c r="S132" s="623"/>
      <c r="T132" s="623"/>
      <c r="U132" s="623"/>
      <c r="V132" s="623"/>
      <c r="W132" s="623"/>
      <c r="X132" s="623"/>
      <c r="Y132" s="623"/>
      <c r="Z132" s="623"/>
      <c r="AA132" s="51"/>
    </row>
    <row r="133" spans="1:27" x14ac:dyDescent="0.25">
      <c r="A133" s="51"/>
      <c r="B133" s="51">
        <v>2022</v>
      </c>
      <c r="C133" s="51" t="s">
        <v>47</v>
      </c>
      <c r="D133" s="51" t="s">
        <v>494</v>
      </c>
      <c r="E133" s="51"/>
      <c r="F133" s="51"/>
      <c r="G133" s="618" t="s">
        <v>67</v>
      </c>
      <c r="H133" s="611">
        <v>-3.0825798148311137</v>
      </c>
      <c r="I133" s="611">
        <v>2.8212894888263103</v>
      </c>
      <c r="J133" s="611">
        <v>-1.7473592425063453</v>
      </c>
      <c r="K133" s="611">
        <v>0</v>
      </c>
      <c r="L133" s="611">
        <v>-1.6538705</v>
      </c>
      <c r="M133" s="611">
        <v>0</v>
      </c>
      <c r="N133" s="611">
        <v>0</v>
      </c>
      <c r="O133" s="611">
        <v>0</v>
      </c>
      <c r="P133" s="611">
        <v>0</v>
      </c>
      <c r="Q133" s="611">
        <v>0</v>
      </c>
      <c r="R133" s="611">
        <v>0</v>
      </c>
      <c r="S133" s="611">
        <v>0</v>
      </c>
      <c r="T133" s="611">
        <v>0</v>
      </c>
      <c r="U133" s="611">
        <v>0</v>
      </c>
      <c r="V133" s="611">
        <v>0</v>
      </c>
      <c r="W133" s="611">
        <v>1.3259114621158057</v>
      </c>
      <c r="X133" s="611">
        <v>0</v>
      </c>
      <c r="Y133" s="620">
        <v>0</v>
      </c>
      <c r="Z133" s="621">
        <v>-2.3366086063953428</v>
      </c>
      <c r="AA133" s="51"/>
    </row>
    <row r="134" spans="1:27" x14ac:dyDescent="0.25">
      <c r="A134" s="51"/>
      <c r="B134" s="51">
        <v>2022</v>
      </c>
      <c r="C134" s="51" t="s">
        <v>47</v>
      </c>
      <c r="D134" s="51" t="s">
        <v>495</v>
      </c>
      <c r="E134" s="51"/>
      <c r="F134" s="51"/>
      <c r="G134" s="618" t="s">
        <v>347</v>
      </c>
      <c r="H134" s="611">
        <v>18.311780352949967</v>
      </c>
      <c r="I134" s="611">
        <v>0</v>
      </c>
      <c r="J134" s="611">
        <v>15.165240241505963</v>
      </c>
      <c r="K134" s="611">
        <v>0</v>
      </c>
      <c r="L134" s="611">
        <v>67.367598770454535</v>
      </c>
      <c r="M134" s="611">
        <v>0</v>
      </c>
      <c r="N134" s="611">
        <v>893.12435757575759</v>
      </c>
      <c r="O134" s="611">
        <v>103.16408551808999</v>
      </c>
      <c r="P134" s="611">
        <v>17.818256090214604</v>
      </c>
      <c r="Q134" s="611">
        <v>11.678824122543197</v>
      </c>
      <c r="R134" s="611">
        <v>0</v>
      </c>
      <c r="S134" s="611">
        <v>7.6579342108323267</v>
      </c>
      <c r="T134" s="611">
        <v>0</v>
      </c>
      <c r="U134" s="611">
        <v>0</v>
      </c>
      <c r="V134" s="611">
        <v>1.4120030957408569</v>
      </c>
      <c r="W134" s="611">
        <v>-469.03899444986422</v>
      </c>
      <c r="X134" s="611">
        <v>0</v>
      </c>
      <c r="Y134" s="620">
        <v>0</v>
      </c>
      <c r="Z134" s="621">
        <v>666.6610855282247</v>
      </c>
      <c r="AA134" s="51"/>
    </row>
    <row r="135" spans="1:27" x14ac:dyDescent="0.25">
      <c r="A135" s="51"/>
      <c r="B135" s="51">
        <v>2022</v>
      </c>
      <c r="C135" s="51" t="s">
        <v>47</v>
      </c>
      <c r="D135" s="51" t="s">
        <v>496</v>
      </c>
      <c r="E135" s="51"/>
      <c r="F135" s="51"/>
      <c r="G135" s="618" t="s">
        <v>348</v>
      </c>
      <c r="H135" s="611">
        <v>1.6487919881779634</v>
      </c>
      <c r="I135" s="611">
        <v>0</v>
      </c>
      <c r="J135" s="611">
        <v>2.5787453844178874</v>
      </c>
      <c r="K135" s="611">
        <v>0</v>
      </c>
      <c r="L135" s="611">
        <v>20.52222797954547</v>
      </c>
      <c r="M135" s="611">
        <v>0</v>
      </c>
      <c r="N135" s="611">
        <v>0</v>
      </c>
      <c r="O135" s="611">
        <v>0</v>
      </c>
      <c r="P135" s="611">
        <v>11.194215004913776</v>
      </c>
      <c r="Q135" s="611">
        <v>16.899907723058416</v>
      </c>
      <c r="R135" s="611">
        <v>0</v>
      </c>
      <c r="S135" s="611">
        <v>3.393995842292195</v>
      </c>
      <c r="T135" s="611">
        <v>0.501695</v>
      </c>
      <c r="U135" s="611">
        <v>0</v>
      </c>
      <c r="V135" s="611">
        <v>3.7445681273157776</v>
      </c>
      <c r="W135" s="611">
        <v>0</v>
      </c>
      <c r="X135" s="611">
        <v>-51.024139226089801</v>
      </c>
      <c r="Y135" s="620">
        <v>0</v>
      </c>
      <c r="Z135" s="621">
        <v>9.4600078236316847</v>
      </c>
      <c r="AA135" s="51"/>
    </row>
    <row r="136" spans="1:27" x14ac:dyDescent="0.25">
      <c r="A136" s="51"/>
      <c r="B136" s="51">
        <v>2022</v>
      </c>
      <c r="C136" s="51" t="s">
        <v>47</v>
      </c>
      <c r="D136" s="51" t="s">
        <v>497</v>
      </c>
      <c r="E136" s="51"/>
      <c r="F136" s="51"/>
      <c r="G136" s="618" t="s">
        <v>349</v>
      </c>
      <c r="H136" s="611">
        <v>0</v>
      </c>
      <c r="I136" s="611">
        <v>0</v>
      </c>
      <c r="J136" s="611">
        <v>0</v>
      </c>
      <c r="K136" s="611">
        <v>0</v>
      </c>
      <c r="L136" s="611">
        <v>-3.9044474999999998</v>
      </c>
      <c r="M136" s="611">
        <v>0</v>
      </c>
      <c r="N136" s="611">
        <v>0</v>
      </c>
      <c r="O136" s="611">
        <v>0</v>
      </c>
      <c r="P136" s="611">
        <v>0</v>
      </c>
      <c r="Q136" s="611">
        <v>0</v>
      </c>
      <c r="R136" s="611">
        <v>0</v>
      </c>
      <c r="S136" s="611">
        <v>-18.98</v>
      </c>
      <c r="T136" s="611">
        <v>0</v>
      </c>
      <c r="U136" s="611">
        <v>0</v>
      </c>
      <c r="V136" s="611">
        <v>0</v>
      </c>
      <c r="W136" s="611">
        <v>0</v>
      </c>
      <c r="X136" s="611">
        <v>0</v>
      </c>
      <c r="Y136" s="620">
        <v>0</v>
      </c>
      <c r="Z136" s="621">
        <v>-22.8844475</v>
      </c>
      <c r="AA136" s="51"/>
    </row>
    <row r="137" spans="1:27" x14ac:dyDescent="0.25">
      <c r="A137" s="51"/>
      <c r="B137" s="51">
        <v>2022</v>
      </c>
      <c r="C137" s="51" t="s">
        <v>47</v>
      </c>
      <c r="D137" s="51" t="s">
        <v>498</v>
      </c>
      <c r="E137" s="51"/>
      <c r="F137" s="51"/>
      <c r="G137" s="618" t="s">
        <v>350</v>
      </c>
      <c r="H137" s="611">
        <v>0</v>
      </c>
      <c r="I137" s="611">
        <v>0</v>
      </c>
      <c r="J137" s="611">
        <v>0</v>
      </c>
      <c r="K137" s="611">
        <v>0</v>
      </c>
      <c r="L137" s="611">
        <v>0</v>
      </c>
      <c r="M137" s="611">
        <v>0</v>
      </c>
      <c r="N137" s="611">
        <v>0</v>
      </c>
      <c r="O137" s="611">
        <v>0</v>
      </c>
      <c r="P137" s="611">
        <v>0</v>
      </c>
      <c r="Q137" s="611">
        <v>0</v>
      </c>
      <c r="R137" s="611">
        <v>0</v>
      </c>
      <c r="S137" s="611">
        <v>0</v>
      </c>
      <c r="T137" s="611">
        <v>0</v>
      </c>
      <c r="U137" s="611">
        <v>0</v>
      </c>
      <c r="V137" s="611">
        <v>0</v>
      </c>
      <c r="W137" s="611">
        <v>0</v>
      </c>
      <c r="X137" s="611">
        <v>0</v>
      </c>
      <c r="Y137" s="620">
        <v>0</v>
      </c>
      <c r="Z137" s="621">
        <v>0</v>
      </c>
      <c r="AA137" s="51"/>
    </row>
    <row r="138" spans="1:27" x14ac:dyDescent="0.25">
      <c r="A138" s="51"/>
      <c r="B138" s="51">
        <v>2022</v>
      </c>
      <c r="C138" s="51" t="s">
        <v>47</v>
      </c>
      <c r="D138" s="51" t="s">
        <v>499</v>
      </c>
      <c r="E138" s="51"/>
      <c r="F138" s="51"/>
      <c r="G138" s="618" t="s">
        <v>72</v>
      </c>
      <c r="H138" s="611">
        <v>0</v>
      </c>
      <c r="I138" s="611">
        <v>506.29013802437532</v>
      </c>
      <c r="J138" s="611">
        <v>-499.70096879681989</v>
      </c>
      <c r="K138" s="611">
        <v>0</v>
      </c>
      <c r="L138" s="611">
        <v>0</v>
      </c>
      <c r="M138" s="611">
        <v>0</v>
      </c>
      <c r="N138" s="611">
        <v>0</v>
      </c>
      <c r="O138" s="611">
        <v>0</v>
      </c>
      <c r="P138" s="611">
        <v>0</v>
      </c>
      <c r="Q138" s="611">
        <v>0</v>
      </c>
      <c r="R138" s="611">
        <v>0</v>
      </c>
      <c r="S138" s="611">
        <v>0</v>
      </c>
      <c r="T138" s="611">
        <v>0</v>
      </c>
      <c r="U138" s="611">
        <v>0</v>
      </c>
      <c r="V138" s="611">
        <v>0</v>
      </c>
      <c r="W138" s="611">
        <v>0</v>
      </c>
      <c r="X138" s="611">
        <v>0</v>
      </c>
      <c r="Y138" s="620">
        <v>0</v>
      </c>
      <c r="Z138" s="621">
        <v>6.5891692275554306</v>
      </c>
      <c r="AA138" s="51"/>
    </row>
    <row r="139" spans="1:27" x14ac:dyDescent="0.25">
      <c r="A139" s="51"/>
      <c r="B139" s="51">
        <v>2022</v>
      </c>
      <c r="C139" s="51" t="s">
        <v>47</v>
      </c>
      <c r="D139" s="51" t="s">
        <v>500</v>
      </c>
      <c r="E139" s="51"/>
      <c r="F139" s="51"/>
      <c r="G139" s="618" t="s">
        <v>351</v>
      </c>
      <c r="H139" s="611">
        <v>0</v>
      </c>
      <c r="I139" s="611">
        <v>0</v>
      </c>
      <c r="J139" s="611">
        <v>0</v>
      </c>
      <c r="K139" s="611">
        <v>0</v>
      </c>
      <c r="L139" s="611">
        <v>0</v>
      </c>
      <c r="M139" s="611">
        <v>0</v>
      </c>
      <c r="N139" s="611">
        <v>0</v>
      </c>
      <c r="O139" s="611">
        <v>0</v>
      </c>
      <c r="P139" s="611">
        <v>0</v>
      </c>
      <c r="Q139" s="611">
        <v>0</v>
      </c>
      <c r="R139" s="611">
        <v>-21.853352497140708</v>
      </c>
      <c r="S139" s="611">
        <v>0</v>
      </c>
      <c r="T139" s="611">
        <v>0</v>
      </c>
      <c r="U139" s="611">
        <v>0</v>
      </c>
      <c r="V139" s="611">
        <v>0</v>
      </c>
      <c r="W139" s="611">
        <v>0</v>
      </c>
      <c r="X139" s="611">
        <v>0</v>
      </c>
      <c r="Y139" s="620">
        <v>0</v>
      </c>
      <c r="Z139" s="621">
        <v>-21.853352497140708</v>
      </c>
      <c r="AA139" s="51"/>
    </row>
    <row r="140" spans="1:27" x14ac:dyDescent="0.25">
      <c r="A140" s="51"/>
      <c r="B140" s="51">
        <v>2022</v>
      </c>
      <c r="C140" s="51" t="s">
        <v>47</v>
      </c>
      <c r="D140" s="51" t="s">
        <v>501</v>
      </c>
      <c r="E140" s="51"/>
      <c r="F140" s="51"/>
      <c r="G140" s="618" t="s">
        <v>352</v>
      </c>
      <c r="H140" s="611">
        <v>0</v>
      </c>
      <c r="I140" s="611">
        <v>0</v>
      </c>
      <c r="J140" s="611">
        <v>0</v>
      </c>
      <c r="K140" s="611">
        <v>0</v>
      </c>
      <c r="L140" s="611">
        <v>0</v>
      </c>
      <c r="M140" s="611">
        <v>0</v>
      </c>
      <c r="N140" s="611">
        <v>0</v>
      </c>
      <c r="O140" s="611">
        <v>0</v>
      </c>
      <c r="P140" s="611">
        <v>0</v>
      </c>
      <c r="Q140" s="611">
        <v>0</v>
      </c>
      <c r="R140" s="611">
        <v>0</v>
      </c>
      <c r="S140" s="611">
        <v>0</v>
      </c>
      <c r="T140" s="611">
        <v>0</v>
      </c>
      <c r="U140" s="611">
        <v>0</v>
      </c>
      <c r="V140" s="611">
        <v>0</v>
      </c>
      <c r="W140" s="611">
        <v>0</v>
      </c>
      <c r="X140" s="611">
        <v>0</v>
      </c>
      <c r="Y140" s="620">
        <v>0</v>
      </c>
      <c r="Z140" s="621">
        <v>0</v>
      </c>
      <c r="AA140" s="51"/>
    </row>
    <row r="141" spans="1:27" x14ac:dyDescent="0.25">
      <c r="A141" s="51"/>
      <c r="B141" s="51">
        <v>2022</v>
      </c>
      <c r="C141" s="51" t="s">
        <v>47</v>
      </c>
      <c r="D141" s="51" t="s">
        <v>502</v>
      </c>
      <c r="E141" s="51"/>
      <c r="F141" s="51"/>
      <c r="G141" s="618" t="s">
        <v>73</v>
      </c>
      <c r="H141" s="611">
        <v>0</v>
      </c>
      <c r="I141" s="611">
        <v>0</v>
      </c>
      <c r="J141" s="611">
        <v>0</v>
      </c>
      <c r="K141" s="611">
        <v>0</v>
      </c>
      <c r="L141" s="611">
        <v>0</v>
      </c>
      <c r="M141" s="611">
        <v>0</v>
      </c>
      <c r="N141" s="611">
        <v>0</v>
      </c>
      <c r="O141" s="611">
        <v>0</v>
      </c>
      <c r="P141" s="611">
        <v>0</v>
      </c>
      <c r="Q141" s="611">
        <v>0</v>
      </c>
      <c r="R141" s="611">
        <v>0</v>
      </c>
      <c r="S141" s="611">
        <v>0</v>
      </c>
      <c r="T141" s="611">
        <v>0</v>
      </c>
      <c r="U141" s="611">
        <v>0</v>
      </c>
      <c r="V141" s="611">
        <v>0</v>
      </c>
      <c r="W141" s="611">
        <v>0</v>
      </c>
      <c r="X141" s="611">
        <v>0</v>
      </c>
      <c r="Y141" s="620">
        <v>0</v>
      </c>
      <c r="Z141" s="621">
        <v>0</v>
      </c>
      <c r="AA141" s="51"/>
    </row>
    <row r="142" spans="1:27" x14ac:dyDescent="0.25">
      <c r="A142" s="51"/>
      <c r="B142" s="51">
        <v>2022</v>
      </c>
      <c r="C142" s="51" t="s">
        <v>47</v>
      </c>
      <c r="D142" s="51" t="s">
        <v>503</v>
      </c>
      <c r="E142" s="51"/>
      <c r="F142" s="51"/>
      <c r="G142" s="618" t="s">
        <v>353</v>
      </c>
      <c r="H142" s="611">
        <v>27.649311354549997</v>
      </c>
      <c r="I142" s="611">
        <v>-13.754507404173998</v>
      </c>
      <c r="J142" s="611">
        <v>12.248818838309996</v>
      </c>
      <c r="K142" s="611">
        <v>0</v>
      </c>
      <c r="L142" s="611">
        <v>0</v>
      </c>
      <c r="M142" s="611">
        <v>0</v>
      </c>
      <c r="N142" s="611">
        <v>0</v>
      </c>
      <c r="O142" s="611">
        <v>0</v>
      </c>
      <c r="P142" s="611">
        <v>0</v>
      </c>
      <c r="Q142" s="611">
        <v>0</v>
      </c>
      <c r="R142" s="611">
        <v>0</v>
      </c>
      <c r="S142" s="611">
        <v>0</v>
      </c>
      <c r="T142" s="611">
        <v>0</v>
      </c>
      <c r="U142" s="611">
        <v>0</v>
      </c>
      <c r="V142" s="611">
        <v>0</v>
      </c>
      <c r="W142" s="611">
        <v>0</v>
      </c>
      <c r="X142" s="611">
        <v>0</v>
      </c>
      <c r="Y142" s="620">
        <v>0</v>
      </c>
      <c r="Z142" s="621">
        <v>26.143622788685995</v>
      </c>
      <c r="AA142" s="51"/>
    </row>
    <row r="143" spans="1:27" x14ac:dyDescent="0.25">
      <c r="A143" s="51"/>
      <c r="B143" s="51">
        <v>2022</v>
      </c>
      <c r="C143" s="51" t="s">
        <v>47</v>
      </c>
      <c r="D143" s="51" t="s">
        <v>504</v>
      </c>
      <c r="E143" s="51"/>
      <c r="F143" s="51"/>
      <c r="G143" s="618" t="s">
        <v>75</v>
      </c>
      <c r="H143" s="611">
        <v>14.335724444444445</v>
      </c>
      <c r="I143" s="611">
        <v>0</v>
      </c>
      <c r="J143" s="611">
        <v>16.070601013170002</v>
      </c>
      <c r="K143" s="611">
        <v>0</v>
      </c>
      <c r="L143" s="611">
        <v>5.0310437499999994</v>
      </c>
      <c r="M143" s="611">
        <v>0</v>
      </c>
      <c r="N143" s="611">
        <v>0</v>
      </c>
      <c r="O143" s="611">
        <v>0</v>
      </c>
      <c r="P143" s="611">
        <v>0</v>
      </c>
      <c r="Q143" s="611">
        <v>0</v>
      </c>
      <c r="R143" s="611">
        <v>0</v>
      </c>
      <c r="S143" s="611">
        <v>8.0085509378214112E-2</v>
      </c>
      <c r="T143" s="611">
        <v>0</v>
      </c>
      <c r="U143" s="611">
        <v>0</v>
      </c>
      <c r="V143" s="611">
        <v>0</v>
      </c>
      <c r="W143" s="611">
        <v>32.490290432316492</v>
      </c>
      <c r="X143" s="611">
        <v>0</v>
      </c>
      <c r="Y143" s="620">
        <v>0</v>
      </c>
      <c r="Z143" s="621">
        <v>68.007745149309159</v>
      </c>
      <c r="AA143" s="51"/>
    </row>
    <row r="144" spans="1:27" x14ac:dyDescent="0.25">
      <c r="A144" s="51"/>
      <c r="B144" s="51">
        <v>2022</v>
      </c>
      <c r="C144" s="51" t="s">
        <v>47</v>
      </c>
      <c r="D144" s="51" t="s">
        <v>505</v>
      </c>
      <c r="E144" s="51"/>
      <c r="F144" s="51"/>
      <c r="G144" s="618" t="s">
        <v>76</v>
      </c>
      <c r="H144" s="611">
        <v>0</v>
      </c>
      <c r="I144" s="611">
        <v>0</v>
      </c>
      <c r="J144" s="611">
        <v>0</v>
      </c>
      <c r="K144" s="611">
        <v>0</v>
      </c>
      <c r="L144" s="611">
        <v>4.1836710000000004</v>
      </c>
      <c r="M144" s="611">
        <v>0</v>
      </c>
      <c r="N144" s="611">
        <v>0</v>
      </c>
      <c r="O144" s="611">
        <v>0</v>
      </c>
      <c r="P144" s="611">
        <v>0</v>
      </c>
      <c r="Q144" s="611">
        <v>0</v>
      </c>
      <c r="R144" s="611">
        <v>0</v>
      </c>
      <c r="S144" s="611">
        <v>6.6596801728441027E-2</v>
      </c>
      <c r="T144" s="611">
        <v>0</v>
      </c>
      <c r="U144" s="611">
        <v>0</v>
      </c>
      <c r="V144" s="611">
        <v>0</v>
      </c>
      <c r="W144" s="611">
        <v>35.786149887014702</v>
      </c>
      <c r="X144" s="611">
        <v>4.7290335700757451</v>
      </c>
      <c r="Y144" s="620">
        <v>0</v>
      </c>
      <c r="Z144" s="621">
        <v>44.765451258818885</v>
      </c>
      <c r="AA144" s="51"/>
    </row>
    <row r="145" spans="1:27" x14ac:dyDescent="0.25">
      <c r="A145" s="51"/>
      <c r="B145" s="51">
        <v>2022</v>
      </c>
      <c r="C145" s="51" t="s">
        <v>47</v>
      </c>
      <c r="D145" s="51" t="s">
        <v>506</v>
      </c>
      <c r="E145" s="51"/>
      <c r="F145" s="51"/>
      <c r="G145" s="614" t="s">
        <v>77</v>
      </c>
      <c r="H145" s="622">
        <v>58.863028325291261</v>
      </c>
      <c r="I145" s="622">
        <v>495.35692010902767</v>
      </c>
      <c r="J145" s="622">
        <v>-455.38492256192239</v>
      </c>
      <c r="K145" s="615">
        <v>0</v>
      </c>
      <c r="L145" s="622">
        <v>91.546223500000011</v>
      </c>
      <c r="M145" s="615">
        <v>0</v>
      </c>
      <c r="N145" s="622">
        <v>893.12435757575759</v>
      </c>
      <c r="O145" s="622">
        <v>103.16408551808999</v>
      </c>
      <c r="P145" s="622">
        <v>29.01247109512838</v>
      </c>
      <c r="Q145" s="622">
        <v>28.578731845601613</v>
      </c>
      <c r="R145" s="622">
        <v>-21.853352497140708</v>
      </c>
      <c r="S145" s="622">
        <v>-7.7813876357688239</v>
      </c>
      <c r="T145" s="622">
        <v>0.501695</v>
      </c>
      <c r="U145" s="622">
        <v>0</v>
      </c>
      <c r="V145" s="622">
        <v>5.1565712230566341</v>
      </c>
      <c r="W145" s="622">
        <v>-399.43664266841722</v>
      </c>
      <c r="X145" s="622">
        <v>-46.295105656014059</v>
      </c>
      <c r="Y145" s="622">
        <v>0</v>
      </c>
      <c r="Z145" s="622">
        <v>774.55267317268988</v>
      </c>
      <c r="AA145" s="51"/>
    </row>
    <row r="146" spans="1:27" x14ac:dyDescent="0.25">
      <c r="A146" s="51"/>
      <c r="B146" s="51"/>
      <c r="C146" s="51"/>
      <c r="D146" s="51"/>
      <c r="E146" s="51"/>
      <c r="F146" s="51"/>
      <c r="G146" s="616"/>
      <c r="H146" s="623"/>
      <c r="I146" s="623"/>
      <c r="J146" s="623"/>
      <c r="K146" s="617"/>
      <c r="L146" s="623"/>
      <c r="M146" s="617"/>
      <c r="N146" s="623"/>
      <c r="O146" s="623"/>
      <c r="P146" s="623"/>
      <c r="Q146" s="623"/>
      <c r="R146" s="623"/>
      <c r="S146" s="623"/>
      <c r="T146" s="623"/>
      <c r="U146" s="623"/>
      <c r="V146" s="623"/>
      <c r="W146" s="623"/>
      <c r="X146" s="623"/>
      <c r="Y146" s="623"/>
      <c r="Z146" s="623"/>
      <c r="AA146" s="51"/>
    </row>
    <row r="147" spans="1:27" x14ac:dyDescent="0.25">
      <c r="A147" s="51"/>
      <c r="B147" s="51">
        <v>2022</v>
      </c>
      <c r="C147" s="51" t="s">
        <v>47</v>
      </c>
      <c r="D147" s="51" t="s">
        <v>507</v>
      </c>
      <c r="E147" s="51"/>
      <c r="F147" s="51"/>
      <c r="G147" s="618" t="s">
        <v>78</v>
      </c>
      <c r="H147" s="611">
        <v>7.3736578567600004</v>
      </c>
      <c r="I147" s="611">
        <v>0</v>
      </c>
      <c r="J147" s="611">
        <v>28.082156139158617</v>
      </c>
      <c r="K147" s="611">
        <v>0</v>
      </c>
      <c r="L147" s="611">
        <v>105.9180134466818</v>
      </c>
      <c r="M147" s="611">
        <v>0</v>
      </c>
      <c r="N147" s="611">
        <v>0</v>
      </c>
      <c r="O147" s="611">
        <v>0</v>
      </c>
      <c r="P147" s="611">
        <v>15.598758157208902</v>
      </c>
      <c r="Q147" s="611">
        <v>4.4111640413155317</v>
      </c>
      <c r="R147" s="611">
        <v>0.88961453134373869</v>
      </c>
      <c r="S147" s="611">
        <v>2.6352375275716398</v>
      </c>
      <c r="T147" s="611">
        <v>0</v>
      </c>
      <c r="U147" s="611">
        <v>0</v>
      </c>
      <c r="V147" s="611">
        <v>2.4289355835523621E-2</v>
      </c>
      <c r="W147" s="611">
        <v>107.70936491078457</v>
      </c>
      <c r="X147" s="611">
        <v>21.846264931445535</v>
      </c>
      <c r="Y147" s="611">
        <v>0</v>
      </c>
      <c r="Z147" s="619">
        <v>294.48852089810589</v>
      </c>
      <c r="AA147" s="51"/>
    </row>
    <row r="148" spans="1:27" x14ac:dyDescent="0.25">
      <c r="A148" s="51"/>
      <c r="B148" s="51">
        <v>2022</v>
      </c>
      <c r="C148" s="51" t="s">
        <v>47</v>
      </c>
      <c r="D148" s="51" t="s">
        <v>508</v>
      </c>
      <c r="E148" s="51"/>
      <c r="F148" s="51"/>
      <c r="G148" s="618" t="s">
        <v>79</v>
      </c>
      <c r="H148" s="611">
        <v>0</v>
      </c>
      <c r="I148" s="611">
        <v>0</v>
      </c>
      <c r="J148" s="611">
        <v>448.64421529961959</v>
      </c>
      <c r="K148" s="611">
        <v>0</v>
      </c>
      <c r="L148" s="611">
        <v>3.6492752022856041</v>
      </c>
      <c r="M148" s="611">
        <v>0</v>
      </c>
      <c r="N148" s="611">
        <v>0</v>
      </c>
      <c r="O148" s="611">
        <v>0</v>
      </c>
      <c r="P148" s="611">
        <v>0</v>
      </c>
      <c r="Q148" s="611">
        <v>0</v>
      </c>
      <c r="R148" s="611">
        <v>36.012531806280798</v>
      </c>
      <c r="S148" s="611">
        <v>5.9029797714396391E-2</v>
      </c>
      <c r="T148" s="611">
        <v>0</v>
      </c>
      <c r="U148" s="611">
        <v>0</v>
      </c>
      <c r="V148" s="611">
        <v>0</v>
      </c>
      <c r="W148" s="611">
        <v>10.17460307</v>
      </c>
      <c r="X148" s="611">
        <v>0</v>
      </c>
      <c r="Y148" s="611">
        <v>0</v>
      </c>
      <c r="Z148" s="619">
        <v>498.53965517590035</v>
      </c>
      <c r="AA148" s="51"/>
    </row>
    <row r="149" spans="1:27" x14ac:dyDescent="0.25">
      <c r="A149" s="51"/>
      <c r="B149" s="51">
        <v>2022</v>
      </c>
      <c r="C149" s="51" t="s">
        <v>47</v>
      </c>
      <c r="D149" s="51" t="s">
        <v>509</v>
      </c>
      <c r="E149" s="51"/>
      <c r="F149" s="51"/>
      <c r="G149" s="618" t="s">
        <v>80</v>
      </c>
      <c r="H149" s="611">
        <v>0.30791956671000004</v>
      </c>
      <c r="I149" s="611">
        <v>0</v>
      </c>
      <c r="J149" s="611">
        <v>40.800473894782456</v>
      </c>
      <c r="K149" s="611">
        <v>0</v>
      </c>
      <c r="L149" s="611">
        <v>108.79962887872408</v>
      </c>
      <c r="M149" s="611">
        <v>0</v>
      </c>
      <c r="N149" s="611">
        <v>0</v>
      </c>
      <c r="O149" s="611">
        <v>0</v>
      </c>
      <c r="P149" s="611">
        <v>69.611392402361105</v>
      </c>
      <c r="Q149" s="611">
        <v>0</v>
      </c>
      <c r="R149" s="611">
        <v>0</v>
      </c>
      <c r="S149" s="611">
        <v>1.7319017945159534</v>
      </c>
      <c r="T149" s="611">
        <v>39.362218333333338</v>
      </c>
      <c r="U149" s="611">
        <v>0</v>
      </c>
      <c r="V149" s="611">
        <v>2.3811032385222219</v>
      </c>
      <c r="W149" s="611">
        <v>155.70090902270002</v>
      </c>
      <c r="X149" s="611">
        <v>14.53032638888889</v>
      </c>
      <c r="Y149" s="611">
        <v>0</v>
      </c>
      <c r="Z149" s="619">
        <v>433.22587352053807</v>
      </c>
      <c r="AA149" s="51"/>
    </row>
    <row r="150" spans="1:27" x14ac:dyDescent="0.25">
      <c r="A150" s="51"/>
      <c r="B150" s="51">
        <v>2022</v>
      </c>
      <c r="C150" s="51" t="s">
        <v>47</v>
      </c>
      <c r="D150" s="51" t="s">
        <v>510</v>
      </c>
      <c r="E150" s="51"/>
      <c r="F150" s="51"/>
      <c r="G150" s="618" t="s">
        <v>81</v>
      </c>
      <c r="H150" s="611">
        <v>0.38187951663999997</v>
      </c>
      <c r="I150" s="611">
        <v>0</v>
      </c>
      <c r="J150" s="611">
        <v>24.334721638979133</v>
      </c>
      <c r="K150" s="611">
        <v>0</v>
      </c>
      <c r="L150" s="611">
        <v>62.26259302462671</v>
      </c>
      <c r="M150" s="611">
        <v>0</v>
      </c>
      <c r="N150" s="611">
        <v>0</v>
      </c>
      <c r="O150" s="611">
        <v>0</v>
      </c>
      <c r="P150" s="611">
        <v>3.0398772222222226</v>
      </c>
      <c r="Q150" s="611">
        <v>3.2413059191745655</v>
      </c>
      <c r="R150" s="611">
        <v>0</v>
      </c>
      <c r="S150" s="611">
        <v>2.5666319475955128</v>
      </c>
      <c r="T150" s="611">
        <v>4.8885494444444442</v>
      </c>
      <c r="U150" s="611">
        <v>0</v>
      </c>
      <c r="V150" s="611">
        <v>0.34430494489178276</v>
      </c>
      <c r="W150" s="611">
        <v>132.93221924988228</v>
      </c>
      <c r="X150" s="611">
        <v>9.7167455555555549</v>
      </c>
      <c r="Y150" s="611">
        <v>0</v>
      </c>
      <c r="Z150" s="619">
        <v>243.70882846401221</v>
      </c>
      <c r="AA150" s="51"/>
    </row>
    <row r="151" spans="1:27" x14ac:dyDescent="0.25">
      <c r="A151" s="51"/>
      <c r="B151" s="51">
        <v>2022</v>
      </c>
      <c r="C151" s="51" t="s">
        <v>47</v>
      </c>
      <c r="D151" s="51" t="s">
        <v>511</v>
      </c>
      <c r="E151" s="51"/>
      <c r="F151" s="51"/>
      <c r="G151" s="618" t="s">
        <v>82</v>
      </c>
      <c r="H151" s="611">
        <v>1.9208852320000001E-2</v>
      </c>
      <c r="I151" s="611">
        <v>0</v>
      </c>
      <c r="J151" s="611">
        <v>39.034317458267438</v>
      </c>
      <c r="K151" s="611">
        <v>0</v>
      </c>
      <c r="L151" s="611">
        <v>1.9218747169511943</v>
      </c>
      <c r="M151" s="611">
        <v>0</v>
      </c>
      <c r="N151" s="611">
        <v>0</v>
      </c>
      <c r="O151" s="611">
        <v>0</v>
      </c>
      <c r="P151" s="611">
        <v>1.8407267824809543</v>
      </c>
      <c r="Q151" s="611">
        <v>0</v>
      </c>
      <c r="R151" s="611">
        <v>2.0636367479060382</v>
      </c>
      <c r="S151" s="611">
        <v>1.8016780587066257</v>
      </c>
      <c r="T151" s="611">
        <v>0</v>
      </c>
      <c r="U151" s="611">
        <v>0</v>
      </c>
      <c r="V151" s="611">
        <v>0.29211333333333334</v>
      </c>
      <c r="W151" s="611">
        <v>7.8640694150503041</v>
      </c>
      <c r="X151" s="611">
        <v>0.2334725</v>
      </c>
      <c r="Y151" s="611">
        <v>0</v>
      </c>
      <c r="Z151" s="619">
        <v>55.071097865015886</v>
      </c>
      <c r="AA151" s="51"/>
    </row>
    <row r="152" spans="1:27" x14ac:dyDescent="0.25">
      <c r="A152" s="51"/>
      <c r="B152" s="51">
        <v>2022</v>
      </c>
      <c r="C152" s="51" t="s">
        <v>47</v>
      </c>
      <c r="D152" s="51" t="s">
        <v>512</v>
      </c>
      <c r="E152" s="51"/>
      <c r="F152" s="51"/>
      <c r="G152" s="618" t="s">
        <v>354</v>
      </c>
      <c r="H152" s="611">
        <v>0</v>
      </c>
      <c r="I152" s="611">
        <v>0</v>
      </c>
      <c r="J152" s="611">
        <v>0</v>
      </c>
      <c r="K152" s="611">
        <v>0</v>
      </c>
      <c r="L152" s="611">
        <v>0</v>
      </c>
      <c r="M152" s="611">
        <v>0</v>
      </c>
      <c r="N152" s="611">
        <v>0</v>
      </c>
      <c r="O152" s="611">
        <v>0</v>
      </c>
      <c r="P152" s="611">
        <v>0</v>
      </c>
      <c r="Q152" s="611">
        <v>0</v>
      </c>
      <c r="R152" s="611">
        <v>0</v>
      </c>
      <c r="S152" s="611">
        <v>0</v>
      </c>
      <c r="T152" s="611">
        <v>0</v>
      </c>
      <c r="U152" s="611">
        <v>0</v>
      </c>
      <c r="V152" s="611">
        <v>0</v>
      </c>
      <c r="W152" s="611">
        <v>0</v>
      </c>
      <c r="X152" s="611">
        <v>0</v>
      </c>
      <c r="Y152" s="611">
        <v>0</v>
      </c>
      <c r="Z152" s="619">
        <v>0</v>
      </c>
      <c r="AA152" s="51"/>
    </row>
    <row r="153" spans="1:27" x14ac:dyDescent="0.25">
      <c r="A153" s="51"/>
      <c r="B153" s="51">
        <v>2022</v>
      </c>
      <c r="C153" s="51" t="s">
        <v>47</v>
      </c>
      <c r="D153" s="51" t="s">
        <v>513</v>
      </c>
      <c r="E153" s="51"/>
      <c r="F153" s="51"/>
      <c r="G153" s="614" t="s">
        <v>83</v>
      </c>
      <c r="H153" s="622">
        <v>8.0826657924300012</v>
      </c>
      <c r="I153" s="622">
        <v>0</v>
      </c>
      <c r="J153" s="622">
        <v>580.8958844308072</v>
      </c>
      <c r="K153" s="615">
        <v>0</v>
      </c>
      <c r="L153" s="622">
        <v>282.55138526926942</v>
      </c>
      <c r="M153" s="615">
        <v>0</v>
      </c>
      <c r="N153" s="622">
        <v>0</v>
      </c>
      <c r="O153" s="622">
        <v>0</v>
      </c>
      <c r="P153" s="622">
        <v>90.090754564273183</v>
      </c>
      <c r="Q153" s="622">
        <v>7.6524699604900972</v>
      </c>
      <c r="R153" s="622">
        <v>38.965783085530575</v>
      </c>
      <c r="S153" s="622">
        <v>8.7944791261041289</v>
      </c>
      <c r="T153" s="622">
        <v>44.250767777777781</v>
      </c>
      <c r="U153" s="622">
        <v>0</v>
      </c>
      <c r="V153" s="622">
        <v>3.0418108725828619</v>
      </c>
      <c r="W153" s="622">
        <v>414.38116566841722</v>
      </c>
      <c r="X153" s="622">
        <v>46.326809375889979</v>
      </c>
      <c r="Y153" s="622">
        <v>0</v>
      </c>
      <c r="Z153" s="622">
        <v>1525.0339759235724</v>
      </c>
      <c r="AA153" s="51"/>
    </row>
    <row r="154" spans="1:27" x14ac:dyDescent="0.25">
      <c r="A154" s="51"/>
      <c r="B154" s="51">
        <v>2022</v>
      </c>
      <c r="C154" s="51" t="s">
        <v>47</v>
      </c>
      <c r="D154" s="51" t="s">
        <v>514</v>
      </c>
      <c r="E154" s="51"/>
      <c r="F154" s="51"/>
      <c r="G154" s="610" t="s">
        <v>84</v>
      </c>
      <c r="H154" s="611">
        <v>3.0122638424699995</v>
      </c>
      <c r="I154" s="611">
        <v>0</v>
      </c>
      <c r="J154" s="611">
        <v>107.6231430405753</v>
      </c>
      <c r="K154" s="611">
        <v>0</v>
      </c>
      <c r="L154" s="611">
        <v>9.983953224619464</v>
      </c>
      <c r="M154" s="611">
        <v>0</v>
      </c>
      <c r="N154" s="611">
        <v>0</v>
      </c>
      <c r="O154" s="611">
        <v>0</v>
      </c>
      <c r="P154" s="611">
        <v>0</v>
      </c>
      <c r="Q154" s="611">
        <v>0</v>
      </c>
      <c r="R154" s="611">
        <v>0</v>
      </c>
      <c r="S154" s="611">
        <v>0.1614980253805364</v>
      </c>
      <c r="T154" s="611">
        <v>0</v>
      </c>
      <c r="U154" s="611">
        <v>0</v>
      </c>
      <c r="V154" s="611">
        <v>0</v>
      </c>
      <c r="W154" s="611">
        <v>0</v>
      </c>
      <c r="X154" s="611">
        <v>0.46611803222029996</v>
      </c>
      <c r="Y154" s="611">
        <v>0</v>
      </c>
      <c r="Z154" s="619">
        <v>121.24697616526561</v>
      </c>
      <c r="AA154" s="51"/>
    </row>
    <row r="155" spans="1:27" x14ac:dyDescent="0.25">
      <c r="A155" s="51"/>
      <c r="B155" s="51">
        <v>2022</v>
      </c>
      <c r="C155" s="51" t="s">
        <v>47</v>
      </c>
      <c r="D155" s="51" t="s">
        <v>515</v>
      </c>
      <c r="E155" s="51"/>
      <c r="F155" s="51"/>
      <c r="G155" s="614" t="s">
        <v>85</v>
      </c>
      <c r="H155" s="622">
        <v>11.094929634900002</v>
      </c>
      <c r="I155" s="622">
        <v>0</v>
      </c>
      <c r="J155" s="622">
        <v>688.51902747138251</v>
      </c>
      <c r="K155" s="615">
        <v>0</v>
      </c>
      <c r="L155" s="622">
        <v>292.5353384938889</v>
      </c>
      <c r="M155" s="615">
        <v>0</v>
      </c>
      <c r="N155" s="622">
        <v>0</v>
      </c>
      <c r="O155" s="622">
        <v>0</v>
      </c>
      <c r="P155" s="622">
        <v>90.090754564273183</v>
      </c>
      <c r="Q155" s="622">
        <v>7.6524699604900972</v>
      </c>
      <c r="R155" s="622">
        <v>38.965783085530575</v>
      </c>
      <c r="S155" s="622">
        <v>8.9559771514846656</v>
      </c>
      <c r="T155" s="622">
        <v>44.250767777777781</v>
      </c>
      <c r="U155" s="622">
        <v>0</v>
      </c>
      <c r="V155" s="622">
        <v>3.0418108725828619</v>
      </c>
      <c r="W155" s="622">
        <v>414.38116566841722</v>
      </c>
      <c r="X155" s="622">
        <v>46.79292740811028</v>
      </c>
      <c r="Y155" s="622">
        <v>0</v>
      </c>
      <c r="Z155" s="622">
        <v>1646.2809520888379</v>
      </c>
      <c r="AA155" s="51"/>
    </row>
    <row r="156" spans="1:27" x14ac:dyDescent="0.25">
      <c r="A156" s="51"/>
      <c r="B156" s="51"/>
      <c r="C156" s="51"/>
      <c r="D156" s="51"/>
      <c r="E156" s="51"/>
      <c r="F156" s="51"/>
      <c r="G156" s="51"/>
      <c r="H156" s="51"/>
      <c r="I156" s="51"/>
      <c r="J156" s="51"/>
      <c r="K156" s="67">
        <v>0</v>
      </c>
      <c r="L156" s="51"/>
      <c r="M156" s="51"/>
      <c r="N156" s="51"/>
      <c r="O156" s="51"/>
      <c r="P156" s="51"/>
      <c r="Q156" s="51"/>
      <c r="R156" s="51"/>
      <c r="S156" s="51"/>
      <c r="T156" s="51"/>
      <c r="U156" s="51"/>
      <c r="V156" s="51"/>
      <c r="W156" s="51"/>
      <c r="X156" s="51"/>
      <c r="Y156" s="51"/>
      <c r="Z156" s="51"/>
      <c r="AA156" s="51"/>
    </row>
    <row r="157" spans="1:27" x14ac:dyDescent="0.25">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row>
    <row r="158" spans="1:27" x14ac:dyDescent="0.25">
      <c r="A158" s="606"/>
      <c r="B158" s="606"/>
      <c r="C158" s="606"/>
      <c r="D158" s="606"/>
      <c r="E158" s="606"/>
      <c r="F158" s="606"/>
      <c r="G158" s="607" t="s">
        <v>355</v>
      </c>
      <c r="H158" s="606"/>
      <c r="I158" s="606"/>
      <c r="J158" s="606"/>
      <c r="K158" s="606"/>
      <c r="L158" s="606"/>
      <c r="M158" s="606"/>
      <c r="N158" s="606"/>
      <c r="O158" s="606"/>
      <c r="P158" s="606"/>
      <c r="Q158" s="606"/>
      <c r="R158" s="606"/>
      <c r="S158" s="606"/>
      <c r="T158" s="606"/>
      <c r="U158" s="606"/>
      <c r="V158" s="606"/>
      <c r="W158" s="606"/>
      <c r="X158" s="606"/>
      <c r="Y158" s="606"/>
      <c r="Z158" s="606"/>
      <c r="AA158" s="606"/>
    </row>
    <row r="159" spans="1:27" x14ac:dyDescent="0.25">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row>
    <row r="160" spans="1:27" x14ac:dyDescent="0.25">
      <c r="A160" s="51"/>
      <c r="B160" s="51"/>
      <c r="C160" s="51"/>
      <c r="D160" s="51"/>
      <c r="E160" s="51"/>
      <c r="F160" s="51"/>
      <c r="G160" s="764" t="s">
        <v>128</v>
      </c>
      <c r="H160" s="753" t="s">
        <v>42</v>
      </c>
      <c r="I160" s="753" t="s">
        <v>52</v>
      </c>
      <c r="J160" s="753" t="s">
        <v>53</v>
      </c>
      <c r="K160" s="753" t="s">
        <v>482</v>
      </c>
      <c r="L160" s="753" t="s">
        <v>32</v>
      </c>
      <c r="M160" s="753" t="s">
        <v>483</v>
      </c>
      <c r="N160" s="753" t="s">
        <v>20</v>
      </c>
      <c r="O160" s="753" t="s">
        <v>55</v>
      </c>
      <c r="P160" s="761" t="s">
        <v>56</v>
      </c>
      <c r="Q160" s="762"/>
      <c r="R160" s="762"/>
      <c r="S160" s="762"/>
      <c r="T160" s="762"/>
      <c r="U160" s="762"/>
      <c r="V160" s="763"/>
      <c r="W160" s="753" t="s">
        <v>57</v>
      </c>
      <c r="X160" s="753" t="s">
        <v>58</v>
      </c>
      <c r="Y160" s="753" t="s">
        <v>31</v>
      </c>
      <c r="Z160" s="753" t="s">
        <v>10</v>
      </c>
      <c r="AA160" s="51"/>
    </row>
    <row r="161" spans="1:27" ht="36" x14ac:dyDescent="0.25">
      <c r="A161" s="51" t="s">
        <v>516</v>
      </c>
      <c r="B161" s="51" t="s">
        <v>484</v>
      </c>
      <c r="C161" s="51" t="s">
        <v>485</v>
      </c>
      <c r="D161" s="51" t="s">
        <v>486</v>
      </c>
      <c r="E161" s="51" t="s">
        <v>517</v>
      </c>
      <c r="F161" s="51"/>
      <c r="G161" s="765"/>
      <c r="H161" s="754"/>
      <c r="I161" s="754"/>
      <c r="J161" s="754"/>
      <c r="K161" s="754"/>
      <c r="L161" s="754"/>
      <c r="M161" s="754"/>
      <c r="N161" s="754"/>
      <c r="O161" s="754"/>
      <c r="P161" s="608" t="s">
        <v>335</v>
      </c>
      <c r="Q161" s="608" t="s">
        <v>40</v>
      </c>
      <c r="R161" s="608" t="s">
        <v>343</v>
      </c>
      <c r="S161" s="608" t="s">
        <v>344</v>
      </c>
      <c r="T161" s="609" t="s">
        <v>345</v>
      </c>
      <c r="U161" s="609" t="s">
        <v>609</v>
      </c>
      <c r="V161" s="608" t="s">
        <v>346</v>
      </c>
      <c r="W161" s="754"/>
      <c r="X161" s="754"/>
      <c r="Y161" s="754"/>
      <c r="Z161" s="754"/>
      <c r="AA161" s="51"/>
    </row>
    <row r="162" spans="1:27" x14ac:dyDescent="0.25">
      <c r="A162" s="51">
        <v>6</v>
      </c>
      <c r="B162" s="51">
        <v>2023</v>
      </c>
      <c r="C162" s="51" t="s">
        <v>47</v>
      </c>
      <c r="D162" s="51" t="s">
        <v>487</v>
      </c>
      <c r="E162" s="51" t="s">
        <v>564</v>
      </c>
      <c r="F162" s="51"/>
      <c r="G162" s="610" t="s">
        <v>59</v>
      </c>
      <c r="H162" s="611">
        <v>0</v>
      </c>
      <c r="I162" s="611">
        <v>9.6296400000000002</v>
      </c>
      <c r="J162" s="611">
        <v>0</v>
      </c>
      <c r="K162" s="611">
        <v>0</v>
      </c>
      <c r="L162" s="611">
        <v>0.19305800000000004</v>
      </c>
      <c r="M162" s="611">
        <v>0</v>
      </c>
      <c r="N162" s="612">
        <v>1140.3030303030305</v>
      </c>
      <c r="O162" s="612">
        <v>130.20616810165527</v>
      </c>
      <c r="P162" s="612">
        <v>228.03297690108406</v>
      </c>
      <c r="Q162" s="612">
        <v>23.78283313888014</v>
      </c>
      <c r="R162" s="611">
        <v>1.2541050018668516</v>
      </c>
      <c r="S162" s="611">
        <v>0.16066538698047411</v>
      </c>
      <c r="T162" s="612">
        <v>69.703318731423423</v>
      </c>
      <c r="U162" s="612">
        <v>0.34248384481190902</v>
      </c>
      <c r="V162" s="612">
        <v>9.6567924492046409</v>
      </c>
      <c r="W162" s="611">
        <v>0</v>
      </c>
      <c r="X162" s="611">
        <v>0</v>
      </c>
      <c r="Y162" s="611">
        <v>0</v>
      </c>
      <c r="Z162" s="613">
        <v>1613.2650718589375</v>
      </c>
      <c r="AA162" s="51"/>
    </row>
    <row r="163" spans="1:27" x14ac:dyDescent="0.25">
      <c r="A163" s="51">
        <v>7</v>
      </c>
      <c r="B163" s="51">
        <v>2023</v>
      </c>
      <c r="C163" s="51" t="s">
        <v>47</v>
      </c>
      <c r="D163" s="51" t="s">
        <v>488</v>
      </c>
      <c r="E163" s="51" t="s">
        <v>564</v>
      </c>
      <c r="F163" s="51"/>
      <c r="G163" s="610" t="s">
        <v>60</v>
      </c>
      <c r="H163" s="611">
        <v>57.877269454896961</v>
      </c>
      <c r="I163" s="611">
        <v>451.87886928996238</v>
      </c>
      <c r="J163" s="611">
        <v>331.22809861685107</v>
      </c>
      <c r="K163" s="611">
        <v>0</v>
      </c>
      <c r="L163" s="611">
        <v>379.29114846887768</v>
      </c>
      <c r="M163" s="611">
        <v>0</v>
      </c>
      <c r="N163" s="611">
        <v>0</v>
      </c>
      <c r="O163" s="611">
        <v>0</v>
      </c>
      <c r="P163" s="611">
        <v>14.482909983954094</v>
      </c>
      <c r="Q163" s="611">
        <v>0</v>
      </c>
      <c r="R163" s="611">
        <v>2.4994407570848676</v>
      </c>
      <c r="S163" s="611">
        <v>0</v>
      </c>
      <c r="T163" s="611">
        <v>0</v>
      </c>
      <c r="U163" s="611">
        <v>0</v>
      </c>
      <c r="V163" s="611">
        <v>0</v>
      </c>
      <c r="W163" s="611">
        <v>0</v>
      </c>
      <c r="X163" s="611">
        <v>0</v>
      </c>
      <c r="Y163" s="611">
        <v>0</v>
      </c>
      <c r="Z163" s="613">
        <v>1237.2577365716272</v>
      </c>
      <c r="AA163" s="51"/>
    </row>
    <row r="164" spans="1:27" x14ac:dyDescent="0.25">
      <c r="A164" s="51">
        <v>8</v>
      </c>
      <c r="B164" s="51">
        <v>2023</v>
      </c>
      <c r="C164" s="51" t="s">
        <v>47</v>
      </c>
      <c r="D164" s="51" t="s">
        <v>489</v>
      </c>
      <c r="E164" s="51" t="s">
        <v>564</v>
      </c>
      <c r="F164" s="51"/>
      <c r="G164" s="610" t="s">
        <v>61</v>
      </c>
      <c r="H164" s="611">
        <v>0</v>
      </c>
      <c r="I164" s="611">
        <v>0</v>
      </c>
      <c r="J164" s="611">
        <v>3.2427923384532278</v>
      </c>
      <c r="K164" s="611">
        <v>0</v>
      </c>
      <c r="L164" s="611">
        <v>0</v>
      </c>
      <c r="M164" s="611">
        <v>0</v>
      </c>
      <c r="N164" s="611">
        <v>0</v>
      </c>
      <c r="O164" s="611">
        <v>0</v>
      </c>
      <c r="P164" s="611">
        <v>0</v>
      </c>
      <c r="Q164" s="611">
        <v>0</v>
      </c>
      <c r="R164" s="611">
        <v>-2.2427905669964332E-2</v>
      </c>
      <c r="S164" s="611">
        <v>0</v>
      </c>
      <c r="T164" s="611">
        <v>0</v>
      </c>
      <c r="U164" s="611">
        <v>0</v>
      </c>
      <c r="V164" s="611">
        <v>0</v>
      </c>
      <c r="W164" s="611">
        <v>-77.141579901363173</v>
      </c>
      <c r="X164" s="611">
        <v>0</v>
      </c>
      <c r="Y164" s="611">
        <v>0</v>
      </c>
      <c r="Z164" s="613">
        <v>-73.921215468579902</v>
      </c>
      <c r="AA164" s="51"/>
    </row>
    <row r="165" spans="1:27" x14ac:dyDescent="0.25">
      <c r="A165" s="51">
        <v>9</v>
      </c>
      <c r="B165" s="51">
        <v>2023</v>
      </c>
      <c r="C165" s="51" t="s">
        <v>47</v>
      </c>
      <c r="D165" s="51" t="s">
        <v>490</v>
      </c>
      <c r="E165" s="51" t="s">
        <v>564</v>
      </c>
      <c r="F165" s="51"/>
      <c r="G165" s="610" t="s">
        <v>62</v>
      </c>
      <c r="H165" s="611">
        <v>0</v>
      </c>
      <c r="I165" s="611">
        <v>0</v>
      </c>
      <c r="J165" s="611">
        <v>-12.596352093479073</v>
      </c>
      <c r="K165" s="611">
        <v>0</v>
      </c>
      <c r="L165" s="611">
        <v>-1.0737730085364068</v>
      </c>
      <c r="M165" s="611">
        <v>0</v>
      </c>
      <c r="N165" s="611">
        <v>0</v>
      </c>
      <c r="O165" s="611">
        <v>0</v>
      </c>
      <c r="P165" s="611">
        <v>0</v>
      </c>
      <c r="Q165" s="611">
        <v>0</v>
      </c>
      <c r="R165" s="611">
        <v>0</v>
      </c>
      <c r="S165" s="611">
        <v>0</v>
      </c>
      <c r="T165" s="611">
        <v>0</v>
      </c>
      <c r="U165" s="611">
        <v>0</v>
      </c>
      <c r="V165" s="611">
        <v>0</v>
      </c>
      <c r="W165" s="611">
        <v>0</v>
      </c>
      <c r="X165" s="611">
        <v>0</v>
      </c>
      <c r="Y165" s="611">
        <v>0</v>
      </c>
      <c r="Z165" s="613">
        <v>-13.670125102015479</v>
      </c>
      <c r="AA165" s="51"/>
    </row>
    <row r="166" spans="1:27" x14ac:dyDescent="0.25">
      <c r="A166" s="51">
        <v>10</v>
      </c>
      <c r="B166" s="51">
        <v>2023</v>
      </c>
      <c r="C166" s="51" t="s">
        <v>47</v>
      </c>
      <c r="D166" s="51" t="s">
        <v>491</v>
      </c>
      <c r="E166" s="51" t="s">
        <v>564</v>
      </c>
      <c r="F166" s="51"/>
      <c r="G166" s="610" t="s">
        <v>63</v>
      </c>
      <c r="H166" s="611">
        <v>0</v>
      </c>
      <c r="I166" s="611">
        <v>0</v>
      </c>
      <c r="J166" s="611">
        <v>-62.400561722234599</v>
      </c>
      <c r="K166" s="611">
        <v>0</v>
      </c>
      <c r="L166" s="611">
        <v>0</v>
      </c>
      <c r="M166" s="611">
        <v>0</v>
      </c>
      <c r="N166" s="611">
        <v>0</v>
      </c>
      <c r="O166" s="611">
        <v>0</v>
      </c>
      <c r="P166" s="611">
        <v>0</v>
      </c>
      <c r="Q166" s="611">
        <v>0</v>
      </c>
      <c r="R166" s="611">
        <v>-0.63296548425477106</v>
      </c>
      <c r="S166" s="611">
        <v>0</v>
      </c>
      <c r="T166" s="611">
        <v>0</v>
      </c>
      <c r="U166" s="611">
        <v>0</v>
      </c>
      <c r="V166" s="611">
        <v>0</v>
      </c>
      <c r="W166" s="611">
        <v>0</v>
      </c>
      <c r="X166" s="611">
        <v>0</v>
      </c>
      <c r="Y166" s="611">
        <v>0</v>
      </c>
      <c r="Z166" s="613">
        <v>-63.033527206489367</v>
      </c>
      <c r="AA166" s="51"/>
    </row>
    <row r="167" spans="1:27" x14ac:dyDescent="0.25">
      <c r="A167" s="51">
        <v>11</v>
      </c>
      <c r="B167" s="51">
        <v>2023</v>
      </c>
      <c r="C167" s="51" t="s">
        <v>47</v>
      </c>
      <c r="D167" s="51" t="s">
        <v>492</v>
      </c>
      <c r="E167" s="51" t="s">
        <v>564</v>
      </c>
      <c r="F167" s="51"/>
      <c r="G167" s="610" t="s">
        <v>64</v>
      </c>
      <c r="H167" s="611">
        <v>9.7684723496666986E-2</v>
      </c>
      <c r="I167" s="611">
        <v>-5.9567697000000003E-2</v>
      </c>
      <c r="J167" s="611">
        <v>3.8766666666666671E-2</v>
      </c>
      <c r="K167" s="611">
        <v>0</v>
      </c>
      <c r="L167" s="611">
        <v>0</v>
      </c>
      <c r="M167" s="611">
        <v>0</v>
      </c>
      <c r="N167" s="611">
        <v>0</v>
      </c>
      <c r="O167" s="611">
        <v>0</v>
      </c>
      <c r="P167" s="611">
        <v>0</v>
      </c>
      <c r="Q167" s="611">
        <v>0</v>
      </c>
      <c r="R167" s="611">
        <v>0</v>
      </c>
      <c r="S167" s="611">
        <v>0</v>
      </c>
      <c r="T167" s="611">
        <v>0</v>
      </c>
      <c r="U167" s="611">
        <v>0</v>
      </c>
      <c r="V167" s="611">
        <v>0</v>
      </c>
      <c r="W167" s="611">
        <v>0</v>
      </c>
      <c r="X167" s="611">
        <v>0</v>
      </c>
      <c r="Y167" s="611">
        <v>0</v>
      </c>
      <c r="Z167" s="613">
        <v>7.6883693163333655E-2</v>
      </c>
      <c r="AA167" s="51"/>
    </row>
    <row r="168" spans="1:27" x14ac:dyDescent="0.25">
      <c r="A168" s="51">
        <v>12</v>
      </c>
      <c r="B168" s="51">
        <v>2023</v>
      </c>
      <c r="C168" s="51" t="s">
        <v>47</v>
      </c>
      <c r="D168" s="51" t="s">
        <v>493</v>
      </c>
      <c r="E168" s="51" t="s">
        <v>564</v>
      </c>
      <c r="F168" s="51"/>
      <c r="G168" s="614" t="s">
        <v>65</v>
      </c>
      <c r="H168" s="615">
        <v>57.974954178393631</v>
      </c>
      <c r="I168" s="615">
        <v>461.4489415929624</v>
      </c>
      <c r="J168" s="615">
        <v>259.51274380625728</v>
      </c>
      <c r="K168" s="615">
        <v>0</v>
      </c>
      <c r="L168" s="615">
        <v>378.41043346034127</v>
      </c>
      <c r="M168" s="615">
        <v>0</v>
      </c>
      <c r="N168" s="615">
        <v>1140.3030303030305</v>
      </c>
      <c r="O168" s="615">
        <v>130.20616810165527</v>
      </c>
      <c r="P168" s="615">
        <v>242.51588688503816</v>
      </c>
      <c r="Q168" s="615">
        <v>23.78283313888014</v>
      </c>
      <c r="R168" s="615">
        <v>3.0981523690269839</v>
      </c>
      <c r="S168" s="615">
        <v>0.16066538698047411</v>
      </c>
      <c r="T168" s="615">
        <v>69.703318731423423</v>
      </c>
      <c r="U168" s="615">
        <v>0.34248384481190902</v>
      </c>
      <c r="V168" s="615">
        <v>9.6567924492046409</v>
      </c>
      <c r="W168" s="615">
        <v>-77.141579901363173</v>
      </c>
      <c r="X168" s="615">
        <v>0</v>
      </c>
      <c r="Y168" s="615">
        <v>0</v>
      </c>
      <c r="Z168" s="615">
        <v>2699.9748243466433</v>
      </c>
      <c r="AA168" s="51"/>
    </row>
    <row r="169" spans="1:27" x14ac:dyDescent="0.25">
      <c r="A169" s="51"/>
      <c r="B169" s="51"/>
      <c r="C169" s="51"/>
      <c r="D169" s="51"/>
      <c r="E169" s="51"/>
      <c r="F169" s="51"/>
      <c r="G169" s="616"/>
      <c r="H169" s="617"/>
      <c r="I169" s="617"/>
      <c r="J169" s="617"/>
      <c r="K169" s="617"/>
      <c r="L169" s="623"/>
      <c r="M169" s="617"/>
      <c r="N169" s="617"/>
      <c r="O169" s="617"/>
      <c r="P169" s="617"/>
      <c r="Q169" s="617"/>
      <c r="R169" s="617"/>
      <c r="S169" s="617"/>
      <c r="T169" s="617"/>
      <c r="U169" s="617"/>
      <c r="V169" s="617"/>
      <c r="W169" s="617"/>
      <c r="X169" s="617"/>
      <c r="Y169" s="617"/>
      <c r="Z169" s="617"/>
      <c r="AA169" s="51"/>
    </row>
    <row r="170" spans="1:27" x14ac:dyDescent="0.25">
      <c r="A170" s="51">
        <v>14</v>
      </c>
      <c r="B170" s="51">
        <v>2023</v>
      </c>
      <c r="C170" s="51" t="s">
        <v>47</v>
      </c>
      <c r="D170" s="51" t="s">
        <v>494</v>
      </c>
      <c r="E170" s="51" t="s">
        <v>564</v>
      </c>
      <c r="F170" s="51"/>
      <c r="G170" s="618" t="s">
        <v>67</v>
      </c>
      <c r="H170" s="611">
        <v>0</v>
      </c>
      <c r="I170" s="611">
        <v>4.3623690669338813E-2</v>
      </c>
      <c r="J170" s="611">
        <v>-0.43976848620269193</v>
      </c>
      <c r="K170" s="611">
        <v>0</v>
      </c>
      <c r="L170" s="611">
        <v>0</v>
      </c>
      <c r="M170" s="611">
        <v>0</v>
      </c>
      <c r="N170" s="611">
        <v>0</v>
      </c>
      <c r="O170" s="611">
        <v>0</v>
      </c>
      <c r="P170" s="611">
        <v>0</v>
      </c>
      <c r="Q170" s="611">
        <v>0</v>
      </c>
      <c r="R170" s="611">
        <v>0</v>
      </c>
      <c r="S170" s="611">
        <v>0</v>
      </c>
      <c r="T170" s="611">
        <v>0</v>
      </c>
      <c r="U170" s="611">
        <v>0</v>
      </c>
      <c r="V170" s="611">
        <v>0</v>
      </c>
      <c r="W170" s="611">
        <v>0.19176325930063415</v>
      </c>
      <c r="X170" s="611">
        <v>0</v>
      </c>
      <c r="Y170" s="611">
        <v>0</v>
      </c>
      <c r="Z170" s="619">
        <v>-0.20438153623271899</v>
      </c>
      <c r="AA170" s="51"/>
    </row>
    <row r="171" spans="1:27" x14ac:dyDescent="0.25">
      <c r="A171" s="51">
        <v>15</v>
      </c>
      <c r="B171" s="51">
        <v>2023</v>
      </c>
      <c r="C171" s="51" t="s">
        <v>47</v>
      </c>
      <c r="D171" s="51" t="s">
        <v>495</v>
      </c>
      <c r="E171" s="51" t="s">
        <v>564</v>
      </c>
      <c r="F171" s="51"/>
      <c r="G171" s="618" t="s">
        <v>347</v>
      </c>
      <c r="H171" s="611">
        <v>9.5913599017962916</v>
      </c>
      <c r="I171" s="611">
        <v>0</v>
      </c>
      <c r="J171" s="611">
        <v>8.1133049525470469</v>
      </c>
      <c r="K171" s="611">
        <v>0</v>
      </c>
      <c r="L171" s="611">
        <v>56.544852595880776</v>
      </c>
      <c r="M171" s="611">
        <v>0</v>
      </c>
      <c r="N171" s="611">
        <v>1140.3030303030305</v>
      </c>
      <c r="O171" s="611">
        <v>130.20616810165527</v>
      </c>
      <c r="P171" s="611">
        <v>11.470053856480664</v>
      </c>
      <c r="Q171" s="611">
        <v>7.9664059353020562</v>
      </c>
      <c r="R171" s="611">
        <v>3.7008210788065874</v>
      </c>
      <c r="S171" s="611">
        <v>7.46980279480543</v>
      </c>
      <c r="T171" s="611">
        <v>0</v>
      </c>
      <c r="U171" s="611">
        <v>0</v>
      </c>
      <c r="V171" s="611">
        <v>0.58332819125492874</v>
      </c>
      <c r="W171" s="611">
        <v>-555.56092050504969</v>
      </c>
      <c r="X171" s="611">
        <v>0</v>
      </c>
      <c r="Y171" s="611">
        <v>0</v>
      </c>
      <c r="Z171" s="619">
        <v>820.38820720650972</v>
      </c>
      <c r="AA171" s="51"/>
    </row>
    <row r="172" spans="1:27" x14ac:dyDescent="0.25">
      <c r="A172" s="51">
        <v>16</v>
      </c>
      <c r="B172" s="51">
        <v>2023</v>
      </c>
      <c r="C172" s="51" t="s">
        <v>47</v>
      </c>
      <c r="D172" s="51" t="s">
        <v>496</v>
      </c>
      <c r="E172" s="51" t="s">
        <v>564</v>
      </c>
      <c r="F172" s="51"/>
      <c r="G172" s="618" t="s">
        <v>348</v>
      </c>
      <c r="H172" s="611">
        <v>0.75623164183171476</v>
      </c>
      <c r="I172" s="611">
        <v>0</v>
      </c>
      <c r="J172" s="611">
        <v>2.559550561797753</v>
      </c>
      <c r="K172" s="611">
        <v>0</v>
      </c>
      <c r="L172" s="611">
        <v>19.371023751636709</v>
      </c>
      <c r="M172" s="611">
        <v>0</v>
      </c>
      <c r="N172" s="611">
        <v>0</v>
      </c>
      <c r="O172" s="611">
        <v>0</v>
      </c>
      <c r="P172" s="611">
        <v>19.127707002665826</v>
      </c>
      <c r="Q172" s="611">
        <v>10.484797882258034</v>
      </c>
      <c r="R172" s="611">
        <v>0</v>
      </c>
      <c r="S172" s="611">
        <v>2.9253212675487688</v>
      </c>
      <c r="T172" s="611">
        <v>1.0274515344357271</v>
      </c>
      <c r="U172" s="611">
        <v>0.34248384481190902</v>
      </c>
      <c r="V172" s="611">
        <v>3.2085695271745869</v>
      </c>
      <c r="W172" s="611">
        <v>0</v>
      </c>
      <c r="X172" s="611">
        <v>-51.850323260924682</v>
      </c>
      <c r="Y172" s="611">
        <v>0</v>
      </c>
      <c r="Z172" s="619">
        <v>7.9528137532363488</v>
      </c>
      <c r="AA172" s="51"/>
    </row>
    <row r="173" spans="1:27" x14ac:dyDescent="0.25">
      <c r="A173" s="51">
        <v>17</v>
      </c>
      <c r="B173" s="51">
        <v>2023</v>
      </c>
      <c r="C173" s="51" t="s">
        <v>47</v>
      </c>
      <c r="D173" s="51" t="s">
        <v>497</v>
      </c>
      <c r="E173" s="51" t="s">
        <v>564</v>
      </c>
      <c r="F173" s="51"/>
      <c r="G173" s="618" t="s">
        <v>349</v>
      </c>
      <c r="H173" s="611">
        <v>0</v>
      </c>
      <c r="I173" s="611">
        <v>0</v>
      </c>
      <c r="J173" s="611">
        <v>0</v>
      </c>
      <c r="K173" s="611">
        <v>0</v>
      </c>
      <c r="L173" s="611">
        <v>0</v>
      </c>
      <c r="M173" s="611">
        <v>0</v>
      </c>
      <c r="N173" s="611">
        <v>0</v>
      </c>
      <c r="O173" s="611">
        <v>0</v>
      </c>
      <c r="P173" s="611">
        <v>37.990106853349587</v>
      </c>
      <c r="Q173" s="611">
        <v>0</v>
      </c>
      <c r="R173" s="611">
        <v>0</v>
      </c>
      <c r="S173" s="611">
        <v>-18.995053426674794</v>
      </c>
      <c r="T173" s="611">
        <v>0</v>
      </c>
      <c r="U173" s="611">
        <v>0</v>
      </c>
      <c r="V173" s="611">
        <v>0</v>
      </c>
      <c r="W173" s="611">
        <v>0</v>
      </c>
      <c r="X173" s="611">
        <v>0</v>
      </c>
      <c r="Y173" s="611">
        <v>0</v>
      </c>
      <c r="Z173" s="619">
        <v>18.995053426674794</v>
      </c>
      <c r="AA173" s="51"/>
    </row>
    <row r="174" spans="1:27" x14ac:dyDescent="0.25">
      <c r="A174" s="51">
        <v>18</v>
      </c>
      <c r="B174" s="51">
        <v>2023</v>
      </c>
      <c r="C174" s="51" t="s">
        <v>47</v>
      </c>
      <c r="D174" s="51" t="s">
        <v>498</v>
      </c>
      <c r="E174" s="51" t="s">
        <v>564</v>
      </c>
      <c r="F174" s="51"/>
      <c r="G174" s="618" t="s">
        <v>350</v>
      </c>
      <c r="H174" s="611">
        <v>0</v>
      </c>
      <c r="I174" s="611">
        <v>0</v>
      </c>
      <c r="J174" s="611">
        <v>0</v>
      </c>
      <c r="K174" s="611">
        <v>0</v>
      </c>
      <c r="L174" s="611">
        <v>0</v>
      </c>
      <c r="M174" s="611">
        <v>0</v>
      </c>
      <c r="N174" s="611">
        <v>0</v>
      </c>
      <c r="O174" s="611">
        <v>0</v>
      </c>
      <c r="P174" s="611">
        <v>0</v>
      </c>
      <c r="Q174" s="611">
        <v>0</v>
      </c>
      <c r="R174" s="611">
        <v>0</v>
      </c>
      <c r="S174" s="611">
        <v>0</v>
      </c>
      <c r="T174" s="611">
        <v>0</v>
      </c>
      <c r="U174" s="611">
        <v>0</v>
      </c>
      <c r="V174" s="611">
        <v>0</v>
      </c>
      <c r="W174" s="611">
        <v>0</v>
      </c>
      <c r="X174" s="611">
        <v>0</v>
      </c>
      <c r="Y174" s="611">
        <v>0</v>
      </c>
      <c r="Z174" s="619">
        <v>0</v>
      </c>
      <c r="AA174" s="51"/>
    </row>
    <row r="175" spans="1:27" x14ac:dyDescent="0.25">
      <c r="A175" s="51">
        <v>19</v>
      </c>
      <c r="B175" s="51">
        <v>2023</v>
      </c>
      <c r="C175" s="51" t="s">
        <v>47</v>
      </c>
      <c r="D175" s="51" t="s">
        <v>499</v>
      </c>
      <c r="E175" s="51" t="s">
        <v>564</v>
      </c>
      <c r="F175" s="51"/>
      <c r="G175" s="618" t="s">
        <v>72</v>
      </c>
      <c r="H175" s="611">
        <v>0</v>
      </c>
      <c r="I175" s="611">
        <v>478.25354833804903</v>
      </c>
      <c r="J175" s="611">
        <v>-473.49866967284896</v>
      </c>
      <c r="K175" s="611">
        <v>0</v>
      </c>
      <c r="L175" s="611">
        <v>0</v>
      </c>
      <c r="M175" s="611">
        <v>0</v>
      </c>
      <c r="N175" s="611">
        <v>0</v>
      </c>
      <c r="O175" s="611">
        <v>0</v>
      </c>
      <c r="P175" s="611">
        <v>0</v>
      </c>
      <c r="Q175" s="611">
        <v>0</v>
      </c>
      <c r="R175" s="611">
        <v>0</v>
      </c>
      <c r="S175" s="611">
        <v>0</v>
      </c>
      <c r="T175" s="611">
        <v>0</v>
      </c>
      <c r="U175" s="611">
        <v>0</v>
      </c>
      <c r="V175" s="611">
        <v>0</v>
      </c>
      <c r="W175" s="611">
        <v>0</v>
      </c>
      <c r="X175" s="611">
        <v>0</v>
      </c>
      <c r="Y175" s="611">
        <v>0</v>
      </c>
      <c r="Z175" s="619">
        <v>4.7548786652000672</v>
      </c>
      <c r="AA175" s="51"/>
    </row>
    <row r="176" spans="1:27" x14ac:dyDescent="0.25">
      <c r="A176" s="51">
        <v>20</v>
      </c>
      <c r="B176" s="51">
        <v>2023</v>
      </c>
      <c r="C176" s="51" t="s">
        <v>47</v>
      </c>
      <c r="D176" s="51" t="s">
        <v>500</v>
      </c>
      <c r="E176" s="51" t="s">
        <v>564</v>
      </c>
      <c r="F176" s="51"/>
      <c r="G176" s="618" t="s">
        <v>351</v>
      </c>
      <c r="H176" s="611">
        <v>0</v>
      </c>
      <c r="I176" s="611">
        <v>0</v>
      </c>
      <c r="J176" s="611">
        <v>0</v>
      </c>
      <c r="K176" s="611">
        <v>0</v>
      </c>
      <c r="L176" s="611">
        <v>0</v>
      </c>
      <c r="M176" s="611">
        <v>0</v>
      </c>
      <c r="N176" s="611">
        <v>0</v>
      </c>
      <c r="O176" s="611">
        <v>0</v>
      </c>
      <c r="P176" s="611">
        <v>73.482795005533006</v>
      </c>
      <c r="Q176" s="611">
        <v>0</v>
      </c>
      <c r="R176" s="611">
        <v>-40.415537253043155</v>
      </c>
      <c r="S176" s="611">
        <v>0</v>
      </c>
      <c r="T176" s="611">
        <v>0</v>
      </c>
      <c r="U176" s="611">
        <v>0</v>
      </c>
      <c r="V176" s="611">
        <v>0</v>
      </c>
      <c r="W176" s="611">
        <v>0</v>
      </c>
      <c r="X176" s="611">
        <v>0</v>
      </c>
      <c r="Y176" s="611">
        <v>0</v>
      </c>
      <c r="Z176" s="619">
        <v>33.067257752489851</v>
      </c>
      <c r="AA176" s="51"/>
    </row>
    <row r="177" spans="1:27" x14ac:dyDescent="0.25">
      <c r="A177" s="51">
        <v>21</v>
      </c>
      <c r="B177" s="51">
        <v>2023</v>
      </c>
      <c r="C177" s="51" t="s">
        <v>47</v>
      </c>
      <c r="D177" s="51" t="s">
        <v>501</v>
      </c>
      <c r="E177" s="51" t="s">
        <v>564</v>
      </c>
      <c r="F177" s="51"/>
      <c r="G177" s="618" t="s">
        <v>352</v>
      </c>
      <c r="H177" s="611">
        <v>0</v>
      </c>
      <c r="I177" s="611">
        <v>0</v>
      </c>
      <c r="J177" s="611">
        <v>0</v>
      </c>
      <c r="K177" s="611">
        <v>-0.32154886561665841</v>
      </c>
      <c r="L177" s="611">
        <v>0</v>
      </c>
      <c r="M177" s="611">
        <v>0</v>
      </c>
      <c r="N177" s="611">
        <v>0</v>
      </c>
      <c r="O177" s="611">
        <v>0</v>
      </c>
      <c r="P177" s="611">
        <v>0</v>
      </c>
      <c r="Q177" s="611">
        <v>0</v>
      </c>
      <c r="R177" s="611">
        <v>0</v>
      </c>
      <c r="S177" s="611">
        <v>0</v>
      </c>
      <c r="T177" s="611">
        <v>0</v>
      </c>
      <c r="U177" s="611">
        <v>0</v>
      </c>
      <c r="V177" s="611">
        <v>0</v>
      </c>
      <c r="W177" s="611">
        <v>0</v>
      </c>
      <c r="X177" s="611">
        <v>0</v>
      </c>
      <c r="Y177" s="611">
        <v>0.56592600348531874</v>
      </c>
      <c r="Z177" s="619">
        <v>0.24437713786866033</v>
      </c>
      <c r="AA177" s="51"/>
    </row>
    <row r="178" spans="1:27" x14ac:dyDescent="0.25">
      <c r="A178" s="51">
        <v>22</v>
      </c>
      <c r="B178" s="51">
        <v>2023</v>
      </c>
      <c r="C178" s="51" t="s">
        <v>47</v>
      </c>
      <c r="D178" s="51" t="s">
        <v>502</v>
      </c>
      <c r="E178" s="51" t="s">
        <v>564</v>
      </c>
      <c r="F178" s="51"/>
      <c r="G178" s="618" t="s">
        <v>73</v>
      </c>
      <c r="H178" s="611">
        <v>0</v>
      </c>
      <c r="I178" s="611">
        <v>0</v>
      </c>
      <c r="J178" s="611">
        <v>0</v>
      </c>
      <c r="K178" s="611">
        <v>0</v>
      </c>
      <c r="L178" s="611">
        <v>0</v>
      </c>
      <c r="M178" s="611">
        <v>0</v>
      </c>
      <c r="N178" s="611">
        <v>0</v>
      </c>
      <c r="O178" s="611">
        <v>0</v>
      </c>
      <c r="P178" s="611">
        <v>0</v>
      </c>
      <c r="Q178" s="611">
        <v>0</v>
      </c>
      <c r="R178" s="611">
        <v>0</v>
      </c>
      <c r="S178" s="611">
        <v>0</v>
      </c>
      <c r="T178" s="611">
        <v>0</v>
      </c>
      <c r="U178" s="611">
        <v>0</v>
      </c>
      <c r="V178" s="611">
        <v>0</v>
      </c>
      <c r="W178" s="611">
        <v>-0.37925929486801835</v>
      </c>
      <c r="X178" s="611">
        <v>0</v>
      </c>
      <c r="Y178" s="611">
        <v>0.24651854166421194</v>
      </c>
      <c r="Z178" s="619">
        <v>-0.13274075320380641</v>
      </c>
      <c r="AA178" s="51"/>
    </row>
    <row r="179" spans="1:27" x14ac:dyDescent="0.25">
      <c r="A179" s="51">
        <v>23</v>
      </c>
      <c r="B179" s="51">
        <v>2023</v>
      </c>
      <c r="C179" s="51" t="s">
        <v>47</v>
      </c>
      <c r="D179" s="51" t="s">
        <v>503</v>
      </c>
      <c r="E179" s="51" t="s">
        <v>564</v>
      </c>
      <c r="F179" s="51"/>
      <c r="G179" s="618" t="s">
        <v>353</v>
      </c>
      <c r="H179" s="611">
        <v>21.615378749999998</v>
      </c>
      <c r="I179" s="611">
        <v>-16.848187530076672</v>
      </c>
      <c r="J179" s="611">
        <v>22.099560730399304</v>
      </c>
      <c r="K179" s="611">
        <v>0</v>
      </c>
      <c r="L179" s="611">
        <v>0</v>
      </c>
      <c r="M179" s="611">
        <v>0</v>
      </c>
      <c r="N179" s="611">
        <v>0</v>
      </c>
      <c r="O179" s="611">
        <v>0</v>
      </c>
      <c r="P179" s="611">
        <v>0</v>
      </c>
      <c r="Q179" s="611">
        <v>0</v>
      </c>
      <c r="R179" s="611">
        <v>0</v>
      </c>
      <c r="S179" s="611">
        <v>0</v>
      </c>
      <c r="T179" s="611">
        <v>0</v>
      </c>
      <c r="U179" s="611">
        <v>0</v>
      </c>
      <c r="V179" s="611">
        <v>0</v>
      </c>
      <c r="W179" s="611">
        <v>0</v>
      </c>
      <c r="X179" s="611">
        <v>0</v>
      </c>
      <c r="Y179" s="611">
        <v>0</v>
      </c>
      <c r="Z179" s="619">
        <v>26.86675195032263</v>
      </c>
      <c r="AA179" s="51"/>
    </row>
    <row r="180" spans="1:27" x14ac:dyDescent="0.25">
      <c r="A180" s="51">
        <v>24</v>
      </c>
      <c r="B180" s="51">
        <v>2023</v>
      </c>
      <c r="C180" s="51" t="s">
        <v>47</v>
      </c>
      <c r="D180" s="51" t="s">
        <v>504</v>
      </c>
      <c r="E180" s="51" t="s">
        <v>564</v>
      </c>
      <c r="F180" s="51"/>
      <c r="G180" s="618" t="s">
        <v>75</v>
      </c>
      <c r="H180" s="611">
        <v>8.4059806249999998</v>
      </c>
      <c r="I180" s="611">
        <v>0</v>
      </c>
      <c r="J180" s="611">
        <v>16.515643139511226</v>
      </c>
      <c r="K180" s="611">
        <v>0</v>
      </c>
      <c r="L180" s="611">
        <v>4.6296225274796932</v>
      </c>
      <c r="M180" s="611">
        <v>0</v>
      </c>
      <c r="N180" s="611">
        <v>0</v>
      </c>
      <c r="O180" s="611">
        <v>0</v>
      </c>
      <c r="P180" s="611">
        <v>0</v>
      </c>
      <c r="Q180" s="611">
        <v>0</v>
      </c>
      <c r="R180" s="611">
        <v>0</v>
      </c>
      <c r="S180" s="611">
        <v>0.13743124523590416</v>
      </c>
      <c r="T180" s="611">
        <v>0</v>
      </c>
      <c r="U180" s="611">
        <v>0</v>
      </c>
      <c r="V180" s="611">
        <v>0</v>
      </c>
      <c r="W180" s="611">
        <v>32.253115403956741</v>
      </c>
      <c r="X180" s="611">
        <v>0</v>
      </c>
      <c r="Y180" s="611">
        <v>0</v>
      </c>
      <c r="Z180" s="619">
        <v>61.941792941183564</v>
      </c>
      <c r="AA180" s="51"/>
    </row>
    <row r="181" spans="1:27" x14ac:dyDescent="0.25">
      <c r="A181" s="51">
        <v>25</v>
      </c>
      <c r="B181" s="51">
        <v>2023</v>
      </c>
      <c r="C181" s="51" t="s">
        <v>47</v>
      </c>
      <c r="D181" s="51" t="s">
        <v>505</v>
      </c>
      <c r="E181" s="51" t="s">
        <v>564</v>
      </c>
      <c r="F181" s="51"/>
      <c r="G181" s="618" t="s">
        <v>76</v>
      </c>
      <c r="H181" s="611">
        <v>0</v>
      </c>
      <c r="I181" s="611">
        <v>0</v>
      </c>
      <c r="J181" s="611">
        <v>0</v>
      </c>
      <c r="K181" s="611">
        <v>0</v>
      </c>
      <c r="L181" s="611">
        <v>4.4547885046165803</v>
      </c>
      <c r="M181" s="611">
        <v>0</v>
      </c>
      <c r="N181" s="611">
        <v>0</v>
      </c>
      <c r="O181" s="611">
        <v>0</v>
      </c>
      <c r="P181" s="611">
        <v>0</v>
      </c>
      <c r="Q181" s="611">
        <v>0</v>
      </c>
      <c r="R181" s="611">
        <v>0</v>
      </c>
      <c r="S181" s="611">
        <v>0.13224126326025476</v>
      </c>
      <c r="T181" s="611">
        <v>0</v>
      </c>
      <c r="U181" s="611">
        <v>0</v>
      </c>
      <c r="V181" s="611">
        <v>0</v>
      </c>
      <c r="W181" s="611">
        <v>39.124071779773153</v>
      </c>
      <c r="X181" s="611">
        <v>4.0207138883836908</v>
      </c>
      <c r="Y181" s="611">
        <v>0</v>
      </c>
      <c r="Z181" s="619">
        <v>47.731815436033678</v>
      </c>
      <c r="AA181" s="51"/>
    </row>
    <row r="182" spans="1:27" x14ac:dyDescent="0.25">
      <c r="A182" s="51">
        <v>26</v>
      </c>
      <c r="B182" s="51">
        <v>2023</v>
      </c>
      <c r="C182" s="51" t="s">
        <v>47</v>
      </c>
      <c r="D182" s="51" t="s">
        <v>506</v>
      </c>
      <c r="E182" s="51" t="s">
        <v>564</v>
      </c>
      <c r="F182" s="51"/>
      <c r="G182" s="614" t="s">
        <v>77</v>
      </c>
      <c r="H182" s="615">
        <v>40.368950918628002</v>
      </c>
      <c r="I182" s="615">
        <v>461.44898449864172</v>
      </c>
      <c r="J182" s="615">
        <v>-424.65037877479631</v>
      </c>
      <c r="K182" s="615">
        <v>-0.32154886561665841</v>
      </c>
      <c r="L182" s="615">
        <v>85.000287379613752</v>
      </c>
      <c r="M182" s="615">
        <v>0</v>
      </c>
      <c r="N182" s="615">
        <v>1140.3030303030305</v>
      </c>
      <c r="O182" s="615">
        <v>130.20616810165527</v>
      </c>
      <c r="P182" s="615">
        <v>142.0706627180291</v>
      </c>
      <c r="Q182" s="615">
        <v>18.451203817560092</v>
      </c>
      <c r="R182" s="615">
        <v>-36.714716174236571</v>
      </c>
      <c r="S182" s="615">
        <v>-8.3302568558244356</v>
      </c>
      <c r="T182" s="615">
        <v>1.0274515344357271</v>
      </c>
      <c r="U182" s="615">
        <v>0.34248384481190902</v>
      </c>
      <c r="V182" s="615">
        <v>3.7918977184295155</v>
      </c>
      <c r="W182" s="615">
        <v>-484.37122935688723</v>
      </c>
      <c r="X182" s="615">
        <v>-47.829609372540993</v>
      </c>
      <c r="Y182" s="615">
        <v>0.81244454514953068</v>
      </c>
      <c r="Z182" s="615">
        <v>1021.6058259800827</v>
      </c>
      <c r="AA182" s="51"/>
    </row>
    <row r="183" spans="1:27" x14ac:dyDescent="0.25">
      <c r="A183" s="51"/>
      <c r="B183" s="51"/>
      <c r="C183" s="51"/>
      <c r="D183" s="51"/>
      <c r="E183" s="51"/>
      <c r="F183" s="51"/>
      <c r="G183" s="616"/>
      <c r="H183" s="617"/>
      <c r="I183" s="617"/>
      <c r="J183" s="617"/>
      <c r="K183" s="617"/>
      <c r="L183" s="623"/>
      <c r="M183" s="617"/>
      <c r="N183" s="617"/>
      <c r="O183" s="617"/>
      <c r="P183" s="617"/>
      <c r="Q183" s="617"/>
      <c r="R183" s="617"/>
      <c r="S183" s="617"/>
      <c r="T183" s="617"/>
      <c r="U183" s="617"/>
      <c r="V183" s="617"/>
      <c r="W183" s="617"/>
      <c r="X183" s="617"/>
      <c r="Y183" s="617"/>
      <c r="Z183" s="617"/>
      <c r="AA183" s="51"/>
    </row>
    <row r="184" spans="1:27" x14ac:dyDescent="0.25">
      <c r="A184" s="51">
        <v>28</v>
      </c>
      <c r="B184" s="51">
        <v>2023</v>
      </c>
      <c r="C184" s="51" t="s">
        <v>47</v>
      </c>
      <c r="D184" s="51" t="s">
        <v>507</v>
      </c>
      <c r="E184" s="51" t="s">
        <v>564</v>
      </c>
      <c r="F184" s="51"/>
      <c r="G184" s="618" t="s">
        <v>78</v>
      </c>
      <c r="H184" s="611">
        <v>17.606003259765625</v>
      </c>
      <c r="I184" s="611">
        <v>0</v>
      </c>
      <c r="J184" s="611">
        <v>28.594443446449898</v>
      </c>
      <c r="K184" s="681">
        <v>0</v>
      </c>
      <c r="L184" s="611">
        <v>99.987618923412043</v>
      </c>
      <c r="M184" s="611">
        <v>0</v>
      </c>
      <c r="N184" s="611">
        <v>0</v>
      </c>
      <c r="O184" s="611">
        <v>0</v>
      </c>
      <c r="P184" s="611">
        <v>20.013743119160708</v>
      </c>
      <c r="Q184" s="611">
        <v>5.3215571897700897</v>
      </c>
      <c r="R184" s="611">
        <v>0.84089860431101981</v>
      </c>
      <c r="S184" s="611">
        <v>2.990254090280855</v>
      </c>
      <c r="T184" s="611">
        <v>2.0283477783203123</v>
      </c>
      <c r="U184" s="611">
        <v>0</v>
      </c>
      <c r="V184" s="611">
        <v>4.5058902280570805E-4</v>
      </c>
      <c r="W184" s="611">
        <v>103.00128036008387</v>
      </c>
      <c r="X184" s="611">
        <v>17.635997064742035</v>
      </c>
      <c r="Y184" s="611">
        <v>0.11530402374267579</v>
      </c>
      <c r="Z184" s="619">
        <v>298.13589844906193</v>
      </c>
      <c r="AA184" s="51"/>
    </row>
    <row r="185" spans="1:27" x14ac:dyDescent="0.25">
      <c r="A185" s="51">
        <v>29</v>
      </c>
      <c r="B185" s="51">
        <v>2023</v>
      </c>
      <c r="C185" s="51" t="s">
        <v>47</v>
      </c>
      <c r="D185" s="51" t="s">
        <v>508</v>
      </c>
      <c r="E185" s="51" t="s">
        <v>564</v>
      </c>
      <c r="F185" s="51"/>
      <c r="G185" s="618" t="s">
        <v>79</v>
      </c>
      <c r="H185" s="611">
        <v>0</v>
      </c>
      <c r="I185" s="611">
        <v>0</v>
      </c>
      <c r="J185" s="611">
        <v>450.58645617012593</v>
      </c>
      <c r="K185" s="681">
        <v>0</v>
      </c>
      <c r="L185" s="611">
        <v>3.5908114194330008</v>
      </c>
      <c r="M185" s="611">
        <v>0</v>
      </c>
      <c r="N185" s="611">
        <v>0</v>
      </c>
      <c r="O185" s="611">
        <v>0</v>
      </c>
      <c r="P185" s="611">
        <v>0</v>
      </c>
      <c r="Q185" s="611">
        <v>0</v>
      </c>
      <c r="R185" s="611">
        <v>36.211175075619899</v>
      </c>
      <c r="S185" s="611">
        <v>0.10659393543443622</v>
      </c>
      <c r="T185" s="611">
        <v>0</v>
      </c>
      <c r="U185" s="611">
        <v>0</v>
      </c>
      <c r="V185" s="611">
        <v>0</v>
      </c>
      <c r="W185" s="611">
        <v>13.447110558006974</v>
      </c>
      <c r="X185" s="611">
        <v>0</v>
      </c>
      <c r="Y185" s="611">
        <v>-1</v>
      </c>
      <c r="Z185" s="619">
        <v>502.94214715862023</v>
      </c>
      <c r="AA185" s="51"/>
    </row>
    <row r="186" spans="1:27" x14ac:dyDescent="0.25">
      <c r="A186" s="51">
        <v>30</v>
      </c>
      <c r="B186" s="51">
        <v>2023</v>
      </c>
      <c r="C186" s="51" t="s">
        <v>47</v>
      </c>
      <c r="D186" s="51" t="s">
        <v>509</v>
      </c>
      <c r="E186" s="51" t="s">
        <v>564</v>
      </c>
      <c r="F186" s="51"/>
      <c r="G186" s="618" t="s">
        <v>80</v>
      </c>
      <c r="H186" s="611">
        <v>0</v>
      </c>
      <c r="I186" s="611">
        <v>0</v>
      </c>
      <c r="J186" s="611">
        <v>37.989040848618878</v>
      </c>
      <c r="K186" s="681">
        <v>0</v>
      </c>
      <c r="L186" s="611">
        <v>110.53870949254768</v>
      </c>
      <c r="M186" s="611">
        <v>0</v>
      </c>
      <c r="N186" s="611">
        <v>0</v>
      </c>
      <c r="O186" s="611">
        <v>0</v>
      </c>
      <c r="P186" s="611">
        <v>77.649161359941488</v>
      </c>
      <c r="Q186" s="611">
        <v>0</v>
      </c>
      <c r="R186" s="611">
        <v>0</v>
      </c>
      <c r="S186" s="611">
        <v>3.2813630921656869</v>
      </c>
      <c r="T186" s="611">
        <v>49.821924717249296</v>
      </c>
      <c r="U186" s="611">
        <v>0</v>
      </c>
      <c r="V186" s="611">
        <v>3.324744605917239</v>
      </c>
      <c r="W186" s="611">
        <v>154.83297768687936</v>
      </c>
      <c r="X186" s="611">
        <v>16.208688156863516</v>
      </c>
      <c r="Y186" s="611">
        <v>0</v>
      </c>
      <c r="Z186" s="619">
        <v>453.64660996018318</v>
      </c>
      <c r="AA186" s="51"/>
    </row>
    <row r="187" spans="1:27" x14ac:dyDescent="0.25">
      <c r="A187" s="51">
        <v>31</v>
      </c>
      <c r="B187" s="51">
        <v>2023</v>
      </c>
      <c r="C187" s="51" t="s">
        <v>47</v>
      </c>
      <c r="D187" s="51" t="s">
        <v>510</v>
      </c>
      <c r="E187" s="51" t="s">
        <v>564</v>
      </c>
      <c r="F187" s="51"/>
      <c r="G187" s="618" t="s">
        <v>81</v>
      </c>
      <c r="H187" s="611">
        <v>0</v>
      </c>
      <c r="I187" s="611">
        <v>0</v>
      </c>
      <c r="J187" s="611">
        <v>24.44072747587435</v>
      </c>
      <c r="K187" s="681">
        <v>0</v>
      </c>
      <c r="L187" s="611">
        <v>66.227845985873728</v>
      </c>
      <c r="M187" s="611">
        <v>0</v>
      </c>
      <c r="N187" s="611">
        <v>0</v>
      </c>
      <c r="O187" s="611">
        <v>0</v>
      </c>
      <c r="P187" s="611">
        <v>0.36773887950875994</v>
      </c>
      <c r="Q187" s="611">
        <v>0</v>
      </c>
      <c r="R187" s="611">
        <v>0</v>
      </c>
      <c r="S187" s="611">
        <v>1.965986490066004</v>
      </c>
      <c r="T187" s="611">
        <v>16.675594701418092</v>
      </c>
      <c r="U187" s="611">
        <v>0</v>
      </c>
      <c r="V187" s="611">
        <v>2.284847526036744</v>
      </c>
      <c r="W187" s="611">
        <v>127.55288718760903</v>
      </c>
      <c r="X187" s="611">
        <v>13.984924150935445</v>
      </c>
      <c r="Y187" s="611">
        <v>0</v>
      </c>
      <c r="Z187" s="619">
        <v>253.50055239732217</v>
      </c>
      <c r="AA187" s="51"/>
    </row>
    <row r="188" spans="1:27" x14ac:dyDescent="0.25">
      <c r="A188" s="51">
        <v>32</v>
      </c>
      <c r="B188" s="51">
        <v>2023</v>
      </c>
      <c r="C188" s="51" t="s">
        <v>47</v>
      </c>
      <c r="D188" s="51" t="s">
        <v>511</v>
      </c>
      <c r="E188" s="51" t="s">
        <v>564</v>
      </c>
      <c r="F188" s="51"/>
      <c r="G188" s="618" t="s">
        <v>82</v>
      </c>
      <c r="H188" s="611">
        <v>0</v>
      </c>
      <c r="I188" s="611">
        <v>0</v>
      </c>
      <c r="J188" s="611">
        <v>36.976399437991013</v>
      </c>
      <c r="K188" s="681">
        <v>0</v>
      </c>
      <c r="L188" s="611">
        <v>2.5696285094610212</v>
      </c>
      <c r="M188" s="611">
        <v>0</v>
      </c>
      <c r="N188" s="611">
        <v>0</v>
      </c>
      <c r="O188" s="611">
        <v>0</v>
      </c>
      <c r="P188" s="611">
        <v>2.3925466209960313</v>
      </c>
      <c r="Q188" s="611">
        <v>0</v>
      </c>
      <c r="R188" s="611">
        <v>2.3864124631637864</v>
      </c>
      <c r="S188" s="611">
        <v>7.6279922121676155E-2</v>
      </c>
      <c r="T188" s="611">
        <v>0.15</v>
      </c>
      <c r="U188" s="611">
        <v>0</v>
      </c>
      <c r="V188" s="611">
        <v>0.25485200979833694</v>
      </c>
      <c r="W188" s="611">
        <v>8.3953936629447945</v>
      </c>
      <c r="X188" s="611">
        <v>0</v>
      </c>
      <c r="Y188" s="611">
        <v>7.2251431107793529E-2</v>
      </c>
      <c r="Z188" s="619">
        <v>53.273764057584451</v>
      </c>
      <c r="AA188" s="51"/>
    </row>
    <row r="189" spans="1:27" x14ac:dyDescent="0.25">
      <c r="A189" s="51">
        <v>33</v>
      </c>
      <c r="B189" s="51">
        <v>2023</v>
      </c>
      <c r="C189" s="51" t="s">
        <v>47</v>
      </c>
      <c r="D189" s="51" t="s">
        <v>512</v>
      </c>
      <c r="E189" s="51" t="s">
        <v>564</v>
      </c>
      <c r="F189" s="51"/>
      <c r="G189" s="618" t="s">
        <v>354</v>
      </c>
      <c r="H189" s="611">
        <v>0</v>
      </c>
      <c r="I189" s="611">
        <v>0</v>
      </c>
      <c r="J189" s="611">
        <v>0</v>
      </c>
      <c r="K189" s="611">
        <v>0</v>
      </c>
      <c r="L189" s="611">
        <v>0</v>
      </c>
      <c r="M189" s="611">
        <v>0</v>
      </c>
      <c r="N189" s="611">
        <v>0</v>
      </c>
      <c r="O189" s="611">
        <v>0</v>
      </c>
      <c r="P189" s="611">
        <v>0</v>
      </c>
      <c r="Q189" s="611">
        <v>0</v>
      </c>
      <c r="R189" s="611">
        <v>0</v>
      </c>
      <c r="S189" s="611">
        <v>0</v>
      </c>
      <c r="T189" s="611">
        <v>0</v>
      </c>
      <c r="U189" s="611">
        <v>0</v>
      </c>
      <c r="V189" s="611">
        <v>0</v>
      </c>
      <c r="W189" s="611">
        <v>0</v>
      </c>
      <c r="X189" s="611">
        <v>0</v>
      </c>
      <c r="Y189" s="611">
        <v>0</v>
      </c>
      <c r="Z189" s="619">
        <v>0</v>
      </c>
      <c r="AA189" s="51"/>
    </row>
    <row r="190" spans="1:27" x14ac:dyDescent="0.25">
      <c r="A190" s="51">
        <v>34</v>
      </c>
      <c r="B190" s="51">
        <v>2023</v>
      </c>
      <c r="C190" s="51" t="s">
        <v>47</v>
      </c>
      <c r="D190" s="51" t="s">
        <v>513</v>
      </c>
      <c r="E190" s="51" t="s">
        <v>564</v>
      </c>
      <c r="F190" s="51"/>
      <c r="G190" s="614" t="s">
        <v>83</v>
      </c>
      <c r="H190" s="615">
        <v>17.606003259765625</v>
      </c>
      <c r="I190" s="615">
        <v>0</v>
      </c>
      <c r="J190" s="615">
        <v>578.58706737906016</v>
      </c>
      <c r="K190" s="615">
        <v>0</v>
      </c>
      <c r="L190" s="615">
        <v>282.91461433072749</v>
      </c>
      <c r="M190" s="615">
        <v>0</v>
      </c>
      <c r="N190" s="615">
        <v>0</v>
      </c>
      <c r="O190" s="615">
        <v>0</v>
      </c>
      <c r="P190" s="615">
        <v>100.42318997960699</v>
      </c>
      <c r="Q190" s="615">
        <v>5.3215571897700897</v>
      </c>
      <c r="R190" s="615">
        <v>39.438486143094707</v>
      </c>
      <c r="S190" s="615">
        <v>8.4204775300686592</v>
      </c>
      <c r="T190" s="615">
        <v>68.675867196987696</v>
      </c>
      <c r="U190" s="615">
        <v>0</v>
      </c>
      <c r="V190" s="615">
        <v>5.8648947307751262</v>
      </c>
      <c r="W190" s="615">
        <v>407.22964945552405</v>
      </c>
      <c r="X190" s="615">
        <v>47.829609372541</v>
      </c>
      <c r="Y190" s="615">
        <v>-0.81244454514953068</v>
      </c>
      <c r="Z190" s="615">
        <v>1561.498972022772</v>
      </c>
      <c r="AA190" s="51"/>
    </row>
    <row r="191" spans="1:27" x14ac:dyDescent="0.25">
      <c r="A191" s="51">
        <v>35</v>
      </c>
      <c r="B191" s="51">
        <v>2023</v>
      </c>
      <c r="C191" s="51" t="s">
        <v>47</v>
      </c>
      <c r="D191" s="51" t="s">
        <v>514</v>
      </c>
      <c r="E191" s="51" t="s">
        <v>564</v>
      </c>
      <c r="F191" s="51"/>
      <c r="G191" s="610" t="s">
        <v>84</v>
      </c>
      <c r="H191" s="611">
        <v>0</v>
      </c>
      <c r="I191" s="611">
        <v>0</v>
      </c>
      <c r="J191" s="611">
        <v>105.53728853532679</v>
      </c>
      <c r="K191" s="611">
        <v>0.32154886561665841</v>
      </c>
      <c r="L191" s="611">
        <v>10.495531750000001</v>
      </c>
      <c r="M191" s="611">
        <v>0</v>
      </c>
      <c r="N191" s="611">
        <v>0</v>
      </c>
      <c r="O191" s="611">
        <v>0</v>
      </c>
      <c r="P191" s="611">
        <v>2.2034187402078877E-2</v>
      </c>
      <c r="Q191" s="611">
        <v>0</v>
      </c>
      <c r="R191" s="611">
        <v>0.37438240016884528</v>
      </c>
      <c r="S191" s="611">
        <v>7.0444712736249165E-2</v>
      </c>
      <c r="T191" s="611">
        <v>0</v>
      </c>
      <c r="U191" s="611">
        <v>0</v>
      </c>
      <c r="V191" s="611">
        <v>0</v>
      </c>
      <c r="W191" s="611">
        <v>0</v>
      </c>
      <c r="X191" s="611">
        <v>0</v>
      </c>
      <c r="Y191" s="611">
        <v>0</v>
      </c>
      <c r="Z191" s="619">
        <v>116.82123045125063</v>
      </c>
      <c r="AA191" s="51"/>
    </row>
    <row r="192" spans="1:27" x14ac:dyDescent="0.25">
      <c r="A192" s="51">
        <v>36</v>
      </c>
      <c r="B192" s="51">
        <v>2023</v>
      </c>
      <c r="C192" s="51" t="s">
        <v>47</v>
      </c>
      <c r="D192" s="51" t="s">
        <v>515</v>
      </c>
      <c r="E192" s="51" t="s">
        <v>564</v>
      </c>
      <c r="F192" s="51"/>
      <c r="G192" s="614" t="s">
        <v>85</v>
      </c>
      <c r="H192" s="615">
        <v>17.606003259765625</v>
      </c>
      <c r="I192" s="615">
        <v>0</v>
      </c>
      <c r="J192" s="615">
        <v>684.12435591438691</v>
      </c>
      <c r="K192" s="615">
        <v>0.32154886561665841</v>
      </c>
      <c r="L192" s="615">
        <v>293.41014608072749</v>
      </c>
      <c r="M192" s="615">
        <v>0</v>
      </c>
      <c r="N192" s="615">
        <v>0</v>
      </c>
      <c r="O192" s="615">
        <v>0</v>
      </c>
      <c r="P192" s="615">
        <v>100.44522416700907</v>
      </c>
      <c r="Q192" s="615">
        <v>5.3215571897700897</v>
      </c>
      <c r="R192" s="615">
        <v>39.812868543263555</v>
      </c>
      <c r="S192" s="615">
        <v>8.490922242804908</v>
      </c>
      <c r="T192" s="615">
        <v>68.675867196987696</v>
      </c>
      <c r="U192" s="615">
        <v>0</v>
      </c>
      <c r="V192" s="615">
        <v>5.8648947307751262</v>
      </c>
      <c r="W192" s="615">
        <v>407.22964945552405</v>
      </c>
      <c r="X192" s="615">
        <v>47.829609372541</v>
      </c>
      <c r="Y192" s="615">
        <v>-0.81244454514953068</v>
      </c>
      <c r="Z192" s="615">
        <v>1678.3202024740226</v>
      </c>
      <c r="AA192" s="51"/>
    </row>
    <row r="193" spans="1:27" x14ac:dyDescent="0.25">
      <c r="A193" s="51"/>
      <c r="B193" s="51"/>
      <c r="C193" s="51"/>
      <c r="D193" s="51"/>
      <c r="E193" s="51"/>
      <c r="F193" s="51"/>
      <c r="G193" s="51"/>
      <c r="H193" s="67">
        <v>0</v>
      </c>
      <c r="I193" s="67">
        <v>4.2905679322302603E-5</v>
      </c>
      <c r="J193" s="67">
        <v>-3.876666666667461E-2</v>
      </c>
      <c r="K193" s="67">
        <v>0</v>
      </c>
      <c r="L193" s="67">
        <v>0</v>
      </c>
      <c r="M193" s="67">
        <v>0</v>
      </c>
      <c r="N193" s="67">
        <v>0</v>
      </c>
      <c r="O193" s="67">
        <v>0</v>
      </c>
      <c r="P193" s="67">
        <v>0</v>
      </c>
      <c r="Q193" s="67">
        <v>-1.0072131549957675E-2</v>
      </c>
      <c r="R193" s="67">
        <v>0</v>
      </c>
      <c r="S193" s="67">
        <v>-1.7208456881689926E-15</v>
      </c>
      <c r="T193" s="67">
        <v>0</v>
      </c>
      <c r="U193" s="67">
        <v>0</v>
      </c>
      <c r="V193" s="67">
        <v>0</v>
      </c>
      <c r="W193" s="67">
        <v>0</v>
      </c>
      <c r="X193" s="67">
        <v>7.1054273576010019E-15</v>
      </c>
      <c r="Y193" s="67">
        <v>0</v>
      </c>
      <c r="Z193" s="67">
        <v>-4.879589253823724E-2</v>
      </c>
      <c r="AA193" s="51"/>
    </row>
    <row r="194" spans="1:27" x14ac:dyDescent="0.25">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row>
    <row r="195" spans="1:27" x14ac:dyDescent="0.25">
      <c r="A195" s="606"/>
      <c r="B195" s="606"/>
      <c r="C195" s="606"/>
      <c r="D195" s="606"/>
      <c r="E195" s="606"/>
      <c r="F195" s="606"/>
      <c r="G195" s="607" t="s">
        <v>87</v>
      </c>
      <c r="H195" s="606"/>
      <c r="I195" s="606"/>
      <c r="J195" s="606"/>
      <c r="K195" s="606"/>
      <c r="L195" s="606"/>
      <c r="M195" s="606"/>
      <c r="N195" s="606"/>
      <c r="O195" s="606"/>
      <c r="P195" s="606"/>
      <c r="Q195" s="606"/>
      <c r="R195" s="606"/>
      <c r="S195" s="606"/>
      <c r="T195" s="606"/>
      <c r="U195" s="606"/>
      <c r="V195" s="606"/>
      <c r="W195" s="606"/>
      <c r="X195" s="606"/>
      <c r="Y195" s="606"/>
      <c r="Z195" s="606"/>
      <c r="AA195" s="606"/>
    </row>
    <row r="196" spans="1:27" x14ac:dyDescent="0.25">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row>
    <row r="197" spans="1:27" x14ac:dyDescent="0.25">
      <c r="A197" s="51"/>
      <c r="B197" s="51"/>
      <c r="C197" s="51"/>
      <c r="D197" s="51"/>
      <c r="E197" s="51"/>
      <c r="F197" s="51"/>
      <c r="G197" s="764" t="s">
        <v>128</v>
      </c>
      <c r="H197" s="753" t="s">
        <v>42</v>
      </c>
      <c r="I197" s="753" t="s">
        <v>52</v>
      </c>
      <c r="J197" s="753" t="s">
        <v>53</v>
      </c>
      <c r="K197" s="753" t="s">
        <v>482</v>
      </c>
      <c r="L197" s="753" t="s">
        <v>32</v>
      </c>
      <c r="M197" s="753" t="s">
        <v>483</v>
      </c>
      <c r="N197" s="753" t="s">
        <v>20</v>
      </c>
      <c r="O197" s="753" t="s">
        <v>55</v>
      </c>
      <c r="P197" s="761" t="s">
        <v>56</v>
      </c>
      <c r="Q197" s="762"/>
      <c r="R197" s="762"/>
      <c r="S197" s="762"/>
      <c r="T197" s="762"/>
      <c r="U197" s="762"/>
      <c r="V197" s="763"/>
      <c r="W197" s="753" t="s">
        <v>57</v>
      </c>
      <c r="X197" s="753" t="s">
        <v>58</v>
      </c>
      <c r="Y197" s="753" t="s">
        <v>31</v>
      </c>
      <c r="Z197" s="753" t="s">
        <v>10</v>
      </c>
      <c r="AA197" s="51"/>
    </row>
    <row r="198" spans="1:27" ht="36" x14ac:dyDescent="0.25">
      <c r="A198" s="51"/>
      <c r="B198" s="51"/>
      <c r="C198" s="51"/>
      <c r="D198" s="51" t="s">
        <v>486</v>
      </c>
      <c r="E198" s="51"/>
      <c r="F198" s="51"/>
      <c r="G198" s="765"/>
      <c r="H198" s="754"/>
      <c r="I198" s="754"/>
      <c r="J198" s="754"/>
      <c r="K198" s="754"/>
      <c r="L198" s="754"/>
      <c r="M198" s="754"/>
      <c r="N198" s="754"/>
      <c r="O198" s="754"/>
      <c r="P198" s="608" t="s">
        <v>335</v>
      </c>
      <c r="Q198" s="608" t="s">
        <v>40</v>
      </c>
      <c r="R198" s="608" t="s">
        <v>343</v>
      </c>
      <c r="S198" s="608" t="s">
        <v>344</v>
      </c>
      <c r="T198" s="609" t="s">
        <v>345</v>
      </c>
      <c r="U198" s="609" t="s">
        <v>609</v>
      </c>
      <c r="V198" s="608" t="s">
        <v>346</v>
      </c>
      <c r="W198" s="754"/>
      <c r="X198" s="754"/>
      <c r="Y198" s="754"/>
      <c r="Z198" s="754"/>
      <c r="AA198" s="51"/>
    </row>
    <row r="199" spans="1:27" x14ac:dyDescent="0.25">
      <c r="A199" s="51">
        <v>6</v>
      </c>
      <c r="B199" s="51">
        <v>2025</v>
      </c>
      <c r="C199" s="51" t="s">
        <v>47</v>
      </c>
      <c r="D199" s="51" t="s">
        <v>487</v>
      </c>
      <c r="E199" s="51" t="s">
        <v>564</v>
      </c>
      <c r="F199" s="51"/>
      <c r="G199" s="610" t="s">
        <v>59</v>
      </c>
      <c r="H199" s="611">
        <v>0</v>
      </c>
      <c r="I199" s="611">
        <v>9.5366</v>
      </c>
      <c r="J199" s="611">
        <v>0</v>
      </c>
      <c r="K199" s="611">
        <v>0</v>
      </c>
      <c r="L199" s="611">
        <v>0.19771000000000002</v>
      </c>
      <c r="M199" s="611">
        <v>0</v>
      </c>
      <c r="N199" s="612">
        <v>1181.6974545454545</v>
      </c>
      <c r="O199" s="612">
        <v>152.68138212910313</v>
      </c>
      <c r="P199" s="611">
        <v>236.18610389246712</v>
      </c>
      <c r="Q199" s="612">
        <v>27.935403904661985</v>
      </c>
      <c r="R199" s="611">
        <v>0</v>
      </c>
      <c r="S199" s="611">
        <v>0</v>
      </c>
      <c r="T199" s="612">
        <v>83.788268345919818</v>
      </c>
      <c r="U199" s="612">
        <v>2.6353844031575111</v>
      </c>
      <c r="V199" s="612">
        <v>13.905943015583464</v>
      </c>
      <c r="W199" s="611">
        <v>0</v>
      </c>
      <c r="X199" s="611">
        <v>0</v>
      </c>
      <c r="Y199" s="611">
        <v>0</v>
      </c>
      <c r="Z199" s="613">
        <v>1708.5642502363478</v>
      </c>
      <c r="AA199" s="51"/>
    </row>
    <row r="200" spans="1:27" x14ac:dyDescent="0.25">
      <c r="A200" s="51">
        <v>7</v>
      </c>
      <c r="B200" s="51">
        <v>2025</v>
      </c>
      <c r="C200" s="51" t="s">
        <v>47</v>
      </c>
      <c r="D200" s="51" t="s">
        <v>488</v>
      </c>
      <c r="E200" s="51" t="s">
        <v>564</v>
      </c>
      <c r="F200" s="51"/>
      <c r="G200" s="610" t="s">
        <v>60</v>
      </c>
      <c r="H200" s="611">
        <v>55.455671319957389</v>
      </c>
      <c r="I200" s="611">
        <v>474.83289369848728</v>
      </c>
      <c r="J200" s="611">
        <v>270.2799360166008</v>
      </c>
      <c r="K200" s="611">
        <v>0</v>
      </c>
      <c r="L200" s="620">
        <v>366.35092704109229</v>
      </c>
      <c r="M200" s="611">
        <v>0</v>
      </c>
      <c r="N200" s="611">
        <v>0</v>
      </c>
      <c r="O200" s="611">
        <v>0</v>
      </c>
      <c r="P200" s="611">
        <v>33.931410919859701</v>
      </c>
      <c r="Q200" s="611">
        <v>0</v>
      </c>
      <c r="R200" s="611">
        <v>3.7723486742819077</v>
      </c>
      <c r="S200" s="611">
        <v>0</v>
      </c>
      <c r="T200" s="611">
        <v>0</v>
      </c>
      <c r="U200" s="611">
        <v>0</v>
      </c>
      <c r="V200" s="611">
        <v>0</v>
      </c>
      <c r="W200" s="611">
        <v>0</v>
      </c>
      <c r="X200" s="611">
        <v>0</v>
      </c>
      <c r="Y200" s="611">
        <v>0</v>
      </c>
      <c r="Z200" s="613">
        <v>1204.6231876702791</v>
      </c>
      <c r="AA200" s="51"/>
    </row>
    <row r="201" spans="1:27" x14ac:dyDescent="0.25">
      <c r="A201" s="51">
        <v>8</v>
      </c>
      <c r="B201" s="51">
        <v>2025</v>
      </c>
      <c r="C201" s="51" t="s">
        <v>47</v>
      </c>
      <c r="D201" s="51" t="s">
        <v>489</v>
      </c>
      <c r="E201" s="51" t="s">
        <v>564</v>
      </c>
      <c r="F201" s="51"/>
      <c r="G201" s="610" t="s">
        <v>61</v>
      </c>
      <c r="H201" s="611">
        <v>0</v>
      </c>
      <c r="I201" s="611">
        <v>0</v>
      </c>
      <c r="J201" s="611">
        <v>0</v>
      </c>
      <c r="K201" s="611">
        <v>0</v>
      </c>
      <c r="L201" s="611">
        <v>0</v>
      </c>
      <c r="M201" s="611">
        <v>0</v>
      </c>
      <c r="N201" s="611">
        <v>0</v>
      </c>
      <c r="O201" s="611">
        <v>0</v>
      </c>
      <c r="P201" s="611">
        <v>0</v>
      </c>
      <c r="Q201" s="611">
        <v>0</v>
      </c>
      <c r="R201" s="611">
        <v>0</v>
      </c>
      <c r="S201" s="611">
        <v>0</v>
      </c>
      <c r="T201" s="611">
        <v>0</v>
      </c>
      <c r="U201" s="611">
        <v>0</v>
      </c>
      <c r="V201" s="611">
        <v>0</v>
      </c>
      <c r="W201" s="611">
        <v>-94.760704002929629</v>
      </c>
      <c r="X201" s="611">
        <v>0</v>
      </c>
      <c r="Y201" s="611">
        <v>0</v>
      </c>
      <c r="Z201" s="613">
        <v>-94.760704002929629</v>
      </c>
      <c r="AA201" s="51"/>
    </row>
    <row r="202" spans="1:27" x14ac:dyDescent="0.25">
      <c r="A202" s="51">
        <v>9</v>
      </c>
      <c r="B202" s="51">
        <v>2025</v>
      </c>
      <c r="C202" s="51" t="s">
        <v>47</v>
      </c>
      <c r="D202" s="51" t="s">
        <v>490</v>
      </c>
      <c r="E202" s="51" t="s">
        <v>564</v>
      </c>
      <c r="F202" s="51"/>
      <c r="G202" s="610" t="s">
        <v>62</v>
      </c>
      <c r="H202" s="611">
        <v>0</v>
      </c>
      <c r="I202" s="611">
        <v>0</v>
      </c>
      <c r="J202" s="611">
        <v>-10.653162793901119</v>
      </c>
      <c r="K202" s="611">
        <v>0</v>
      </c>
      <c r="L202" s="611">
        <v>-1.6855739087490105</v>
      </c>
      <c r="M202" s="611">
        <v>0</v>
      </c>
      <c r="N202" s="611">
        <v>0</v>
      </c>
      <c r="O202" s="611">
        <v>0</v>
      </c>
      <c r="P202" s="611">
        <v>0</v>
      </c>
      <c r="Q202" s="611">
        <v>0</v>
      </c>
      <c r="R202" s="611">
        <v>0</v>
      </c>
      <c r="S202" s="611">
        <v>-0.18728598986100117</v>
      </c>
      <c r="T202" s="611">
        <v>0</v>
      </c>
      <c r="U202" s="611">
        <v>0</v>
      </c>
      <c r="V202" s="611">
        <v>0</v>
      </c>
      <c r="W202" s="611">
        <v>0</v>
      </c>
      <c r="X202" s="611">
        <v>0</v>
      </c>
      <c r="Y202" s="611">
        <v>0</v>
      </c>
      <c r="Z202" s="613">
        <v>-12.52602269251113</v>
      </c>
      <c r="AA202" s="51"/>
    </row>
    <row r="203" spans="1:27" x14ac:dyDescent="0.25">
      <c r="A203" s="51">
        <v>10</v>
      </c>
      <c r="B203" s="51">
        <v>2025</v>
      </c>
      <c r="C203" s="51" t="s">
        <v>47</v>
      </c>
      <c r="D203" s="51" t="s">
        <v>491</v>
      </c>
      <c r="E203" s="51" t="s">
        <v>564</v>
      </c>
      <c r="F203" s="51"/>
      <c r="G203" s="610" t="s">
        <v>63</v>
      </c>
      <c r="H203" s="611">
        <v>0</v>
      </c>
      <c r="I203" s="611">
        <v>0</v>
      </c>
      <c r="J203" s="611">
        <v>-70</v>
      </c>
      <c r="K203" s="611">
        <v>0</v>
      </c>
      <c r="L203" s="611">
        <v>0</v>
      </c>
      <c r="M203" s="611">
        <v>0</v>
      </c>
      <c r="N203" s="611">
        <v>0</v>
      </c>
      <c r="O203" s="611">
        <v>0</v>
      </c>
      <c r="P203" s="611">
        <v>0</v>
      </c>
      <c r="Q203" s="611">
        <v>0</v>
      </c>
      <c r="R203" s="611">
        <v>-1</v>
      </c>
      <c r="S203" s="611">
        <v>0</v>
      </c>
      <c r="T203" s="611">
        <v>0</v>
      </c>
      <c r="U203" s="611">
        <v>0</v>
      </c>
      <c r="V203" s="611">
        <v>0</v>
      </c>
      <c r="W203" s="611">
        <v>0</v>
      </c>
      <c r="X203" s="611">
        <v>0</v>
      </c>
      <c r="Y203" s="611">
        <v>0</v>
      </c>
      <c r="Z203" s="613">
        <v>-71</v>
      </c>
      <c r="AA203" s="51"/>
    </row>
    <row r="204" spans="1:27" x14ac:dyDescent="0.25">
      <c r="A204" s="51">
        <v>11</v>
      </c>
      <c r="B204" s="51">
        <v>2025</v>
      </c>
      <c r="C204" s="51" t="s">
        <v>47</v>
      </c>
      <c r="D204" s="51" t="s">
        <v>492</v>
      </c>
      <c r="E204" s="51" t="s">
        <v>564</v>
      </c>
      <c r="F204" s="51"/>
      <c r="G204" s="610" t="s">
        <v>64</v>
      </c>
      <c r="H204" s="611">
        <v>0</v>
      </c>
      <c r="I204" s="611">
        <v>0</v>
      </c>
      <c r="J204" s="611">
        <v>0</v>
      </c>
      <c r="K204" s="611">
        <v>0</v>
      </c>
      <c r="L204" s="611">
        <v>0</v>
      </c>
      <c r="M204" s="611">
        <v>0</v>
      </c>
      <c r="N204" s="611">
        <v>0</v>
      </c>
      <c r="O204" s="611">
        <v>0</v>
      </c>
      <c r="P204" s="611">
        <v>0</v>
      </c>
      <c r="Q204" s="611">
        <v>0</v>
      </c>
      <c r="R204" s="611">
        <v>0</v>
      </c>
      <c r="S204" s="611">
        <v>0</v>
      </c>
      <c r="T204" s="611">
        <v>0</v>
      </c>
      <c r="U204" s="611">
        <v>0</v>
      </c>
      <c r="V204" s="611">
        <v>0</v>
      </c>
      <c r="W204" s="611">
        <v>0</v>
      </c>
      <c r="X204" s="611">
        <v>0</v>
      </c>
      <c r="Y204" s="611">
        <v>0</v>
      </c>
      <c r="Z204" s="613">
        <v>0</v>
      </c>
      <c r="AA204" s="51"/>
    </row>
    <row r="205" spans="1:27" x14ac:dyDescent="0.25">
      <c r="A205" s="51">
        <v>12</v>
      </c>
      <c r="B205" s="51">
        <v>2025</v>
      </c>
      <c r="C205" s="51" t="s">
        <v>47</v>
      </c>
      <c r="D205" s="51" t="s">
        <v>493</v>
      </c>
      <c r="E205" s="51" t="s">
        <v>564</v>
      </c>
      <c r="F205" s="51"/>
      <c r="G205" s="614" t="s">
        <v>65</v>
      </c>
      <c r="H205" s="615">
        <v>55.455671319957389</v>
      </c>
      <c r="I205" s="615">
        <v>484.3694936984873</v>
      </c>
      <c r="J205" s="615">
        <v>189.62677322269968</v>
      </c>
      <c r="K205" s="615">
        <v>0</v>
      </c>
      <c r="L205" s="615">
        <v>364.86306313234326</v>
      </c>
      <c r="M205" s="615">
        <v>0</v>
      </c>
      <c r="N205" s="615">
        <v>1181.6974545454545</v>
      </c>
      <c r="O205" s="615">
        <v>152.68138212910313</v>
      </c>
      <c r="P205" s="615">
        <v>270.11751481232682</v>
      </c>
      <c r="Q205" s="615">
        <v>27.935403904661985</v>
      </c>
      <c r="R205" s="615">
        <v>2.7723486742819077</v>
      </c>
      <c r="S205" s="615">
        <v>-0.18728598986100117</v>
      </c>
      <c r="T205" s="615">
        <v>83.788268345919818</v>
      </c>
      <c r="U205" s="615">
        <v>2.6353844031575111</v>
      </c>
      <c r="V205" s="615">
        <v>13.905943015583464</v>
      </c>
      <c r="W205" s="615">
        <v>-94.760704002929629</v>
      </c>
      <c r="X205" s="615">
        <v>0</v>
      </c>
      <c r="Y205" s="615">
        <v>0</v>
      </c>
      <c r="Z205" s="615">
        <v>2734.9007112111858</v>
      </c>
      <c r="AA205" s="51"/>
    </row>
    <row r="206" spans="1:27" x14ac:dyDescent="0.25">
      <c r="A206" s="51"/>
      <c r="B206" s="51"/>
      <c r="C206" s="51"/>
      <c r="D206" s="51"/>
      <c r="E206" s="51"/>
      <c r="F206" s="51"/>
      <c r="G206" s="616"/>
      <c r="H206" s="617"/>
      <c r="I206" s="617"/>
      <c r="J206" s="617"/>
      <c r="K206" s="617"/>
      <c r="L206" s="617"/>
      <c r="M206" s="617"/>
      <c r="N206" s="617"/>
      <c r="O206" s="617"/>
      <c r="P206" s="617"/>
      <c r="Q206" s="617"/>
      <c r="R206" s="617"/>
      <c r="S206" s="617"/>
      <c r="T206" s="617"/>
      <c r="U206" s="617"/>
      <c r="V206" s="617"/>
      <c r="W206" s="617"/>
      <c r="X206" s="617"/>
      <c r="Y206" s="617"/>
      <c r="Z206" s="617"/>
      <c r="AA206" s="51"/>
    </row>
    <row r="207" spans="1:27" x14ac:dyDescent="0.25">
      <c r="A207" s="51">
        <v>14</v>
      </c>
      <c r="B207" s="51">
        <v>2025</v>
      </c>
      <c r="C207" s="51" t="s">
        <v>47</v>
      </c>
      <c r="D207" s="51" t="s">
        <v>494</v>
      </c>
      <c r="E207" s="51" t="s">
        <v>564</v>
      </c>
      <c r="F207" s="51"/>
      <c r="G207" s="618" t="s">
        <v>67</v>
      </c>
      <c r="H207" s="611">
        <v>0</v>
      </c>
      <c r="I207" s="611">
        <v>0</v>
      </c>
      <c r="J207" s="611">
        <v>0</v>
      </c>
      <c r="K207" s="611">
        <v>0</v>
      </c>
      <c r="L207" s="611">
        <v>0</v>
      </c>
      <c r="M207" s="611">
        <v>0</v>
      </c>
      <c r="N207" s="611">
        <v>0</v>
      </c>
      <c r="O207" s="611">
        <v>0</v>
      </c>
      <c r="P207" s="611">
        <v>0</v>
      </c>
      <c r="Q207" s="611">
        <v>0</v>
      </c>
      <c r="R207" s="611">
        <v>0</v>
      </c>
      <c r="S207" s="611">
        <v>0</v>
      </c>
      <c r="T207" s="611">
        <v>0</v>
      </c>
      <c r="U207" s="611">
        <v>0</v>
      </c>
      <c r="V207" s="611">
        <v>0</v>
      </c>
      <c r="W207" s="611">
        <v>0</v>
      </c>
      <c r="X207" s="611">
        <v>0</v>
      </c>
      <c r="Y207" s="611">
        <v>0</v>
      </c>
      <c r="Z207" s="619">
        <v>0</v>
      </c>
      <c r="AA207" s="51"/>
    </row>
    <row r="208" spans="1:27" x14ac:dyDescent="0.25">
      <c r="A208" s="51">
        <v>15</v>
      </c>
      <c r="B208" s="51">
        <v>2025</v>
      </c>
      <c r="C208" s="51" t="s">
        <v>47</v>
      </c>
      <c r="D208" s="51" t="s">
        <v>495</v>
      </c>
      <c r="E208" s="51" t="s">
        <v>564</v>
      </c>
      <c r="F208" s="51"/>
      <c r="G208" s="618" t="s">
        <v>347</v>
      </c>
      <c r="H208" s="611">
        <v>0</v>
      </c>
      <c r="I208" s="611">
        <v>0</v>
      </c>
      <c r="J208" s="611">
        <v>2.9293808408743214</v>
      </c>
      <c r="K208" s="611">
        <v>0</v>
      </c>
      <c r="L208" s="611">
        <v>61.137055533207516</v>
      </c>
      <c r="M208" s="611">
        <v>0</v>
      </c>
      <c r="N208" s="611">
        <v>1181.6974545454545</v>
      </c>
      <c r="O208" s="611">
        <v>152.68138212910313</v>
      </c>
      <c r="P208" s="611">
        <v>13.064286497000014</v>
      </c>
      <c r="Q208" s="611">
        <v>7.6164936700523498</v>
      </c>
      <c r="R208" s="611">
        <v>5.5512316182098811</v>
      </c>
      <c r="S208" s="611">
        <v>8.3947787178615005</v>
      </c>
      <c r="T208" s="611">
        <v>0</v>
      </c>
      <c r="U208" s="611">
        <v>0</v>
      </c>
      <c r="V208" s="611">
        <v>0.31861460974897526</v>
      </c>
      <c r="W208" s="611">
        <v>-592.63013661616867</v>
      </c>
      <c r="X208" s="611">
        <v>0</v>
      </c>
      <c r="Y208" s="611">
        <v>0</v>
      </c>
      <c r="Z208" s="619">
        <v>840.76054154534347</v>
      </c>
      <c r="AA208" s="51"/>
    </row>
    <row r="209" spans="1:27" x14ac:dyDescent="0.25">
      <c r="A209" s="51">
        <v>16</v>
      </c>
      <c r="B209" s="51">
        <v>2025</v>
      </c>
      <c r="C209" s="51" t="s">
        <v>47</v>
      </c>
      <c r="D209" s="51" t="s">
        <v>496</v>
      </c>
      <c r="E209" s="51" t="s">
        <v>564</v>
      </c>
      <c r="F209" s="51"/>
      <c r="G209" s="618" t="s">
        <v>348</v>
      </c>
      <c r="H209" s="611">
        <v>0.17386363636363636</v>
      </c>
      <c r="I209" s="611">
        <v>0</v>
      </c>
      <c r="J209" s="611">
        <v>1.2606741573033708</v>
      </c>
      <c r="K209" s="611">
        <v>0</v>
      </c>
      <c r="L209" s="611">
        <v>18.771917683331306</v>
      </c>
      <c r="M209" s="611">
        <v>0</v>
      </c>
      <c r="N209" s="611">
        <v>0</v>
      </c>
      <c r="O209" s="611">
        <v>0</v>
      </c>
      <c r="P209" s="611">
        <v>20.17961891488816</v>
      </c>
      <c r="Q209" s="611">
        <v>11.871532181232233</v>
      </c>
      <c r="R209" s="611">
        <v>0</v>
      </c>
      <c r="S209" s="611">
        <v>3.0891689708183376</v>
      </c>
      <c r="T209" s="611">
        <v>0.38823073385958523</v>
      </c>
      <c r="U209" s="611">
        <v>2.6353844031575111</v>
      </c>
      <c r="V209" s="611">
        <v>5.96963727903508</v>
      </c>
      <c r="W209" s="611">
        <v>0</v>
      </c>
      <c r="X209" s="620">
        <v>-56.435051001697879</v>
      </c>
      <c r="Y209" s="611">
        <v>0</v>
      </c>
      <c r="Z209" s="619">
        <v>7.9049769582913356</v>
      </c>
      <c r="AA209" s="51"/>
    </row>
    <row r="210" spans="1:27" x14ac:dyDescent="0.25">
      <c r="A210" s="51">
        <v>17</v>
      </c>
      <c r="B210" s="51">
        <v>2025</v>
      </c>
      <c r="C210" s="51" t="s">
        <v>47</v>
      </c>
      <c r="D210" s="51" t="s">
        <v>497</v>
      </c>
      <c r="E210" s="51" t="s">
        <v>564</v>
      </c>
      <c r="F210" s="51"/>
      <c r="G210" s="618" t="s">
        <v>349</v>
      </c>
      <c r="H210" s="611">
        <v>0</v>
      </c>
      <c r="I210" s="611">
        <v>0</v>
      </c>
      <c r="J210" s="611">
        <v>0</v>
      </c>
      <c r="K210" s="611">
        <v>0</v>
      </c>
      <c r="L210" s="611">
        <v>0</v>
      </c>
      <c r="M210" s="611">
        <v>0</v>
      </c>
      <c r="N210" s="611">
        <v>0</v>
      </c>
      <c r="O210" s="611">
        <v>0</v>
      </c>
      <c r="P210" s="611">
        <v>52.286751809836872</v>
      </c>
      <c r="Q210" s="611">
        <v>0</v>
      </c>
      <c r="R210" s="611">
        <v>0</v>
      </c>
      <c r="S210" s="611">
        <v>-26.143375904918436</v>
      </c>
      <c r="T210" s="611">
        <v>0</v>
      </c>
      <c r="U210" s="611">
        <v>0</v>
      </c>
      <c r="V210" s="611">
        <v>0</v>
      </c>
      <c r="W210" s="611">
        <v>0</v>
      </c>
      <c r="X210" s="611">
        <v>0</v>
      </c>
      <c r="Y210" s="611">
        <v>0</v>
      </c>
      <c r="Z210" s="619">
        <v>26.143375904918436</v>
      </c>
      <c r="AA210" s="51"/>
    </row>
    <row r="211" spans="1:27" x14ac:dyDescent="0.25">
      <c r="A211" s="51">
        <v>18</v>
      </c>
      <c r="B211" s="51">
        <v>2025</v>
      </c>
      <c r="C211" s="51" t="s">
        <v>47</v>
      </c>
      <c r="D211" s="51" t="s">
        <v>498</v>
      </c>
      <c r="E211" s="51" t="s">
        <v>564</v>
      </c>
      <c r="F211" s="51"/>
      <c r="G211" s="618" t="s">
        <v>350</v>
      </c>
      <c r="H211" s="611">
        <v>0</v>
      </c>
      <c r="I211" s="611">
        <v>0</v>
      </c>
      <c r="J211" s="611">
        <v>0</v>
      </c>
      <c r="K211" s="611">
        <v>0</v>
      </c>
      <c r="L211" s="611">
        <v>0</v>
      </c>
      <c r="M211" s="620">
        <v>0</v>
      </c>
      <c r="N211" s="611">
        <v>0</v>
      </c>
      <c r="O211" s="611">
        <v>0</v>
      </c>
      <c r="P211" s="611">
        <v>0</v>
      </c>
      <c r="Q211" s="611">
        <v>0</v>
      </c>
      <c r="R211" s="611">
        <v>0</v>
      </c>
      <c r="S211" s="611">
        <v>0</v>
      </c>
      <c r="T211" s="611">
        <v>0</v>
      </c>
      <c r="U211" s="611">
        <v>0</v>
      </c>
      <c r="V211" s="611">
        <v>0</v>
      </c>
      <c r="W211" s="611">
        <v>0</v>
      </c>
      <c r="X211" s="611">
        <v>0</v>
      </c>
      <c r="Y211" s="611">
        <v>0</v>
      </c>
      <c r="Z211" s="619">
        <v>0</v>
      </c>
      <c r="AA211" s="51"/>
    </row>
    <row r="212" spans="1:27" x14ac:dyDescent="0.25">
      <c r="A212" s="51">
        <v>19</v>
      </c>
      <c r="B212" s="51">
        <v>2025</v>
      </c>
      <c r="C212" s="51" t="s">
        <v>47</v>
      </c>
      <c r="D212" s="51" t="s">
        <v>499</v>
      </c>
      <c r="E212" s="51" t="s">
        <v>564</v>
      </c>
      <c r="F212" s="51"/>
      <c r="G212" s="618" t="s">
        <v>72</v>
      </c>
      <c r="H212" s="611">
        <v>0</v>
      </c>
      <c r="I212" s="611">
        <v>502.02103372564807</v>
      </c>
      <c r="J212" s="611">
        <v>-497.00082338839161</v>
      </c>
      <c r="K212" s="611">
        <v>0</v>
      </c>
      <c r="L212" s="611">
        <v>0</v>
      </c>
      <c r="M212" s="611">
        <v>0</v>
      </c>
      <c r="N212" s="611">
        <v>0</v>
      </c>
      <c r="O212" s="611">
        <v>0</v>
      </c>
      <c r="P212" s="611">
        <v>0</v>
      </c>
      <c r="Q212" s="611">
        <v>0</v>
      </c>
      <c r="R212" s="611">
        <v>0</v>
      </c>
      <c r="S212" s="611">
        <v>0</v>
      </c>
      <c r="T212" s="611">
        <v>0</v>
      </c>
      <c r="U212" s="611">
        <v>0</v>
      </c>
      <c r="V212" s="611">
        <v>0</v>
      </c>
      <c r="W212" s="611">
        <v>0</v>
      </c>
      <c r="X212" s="611">
        <v>0</v>
      </c>
      <c r="Y212" s="611">
        <v>0</v>
      </c>
      <c r="Z212" s="619">
        <v>5.0202103372564579</v>
      </c>
      <c r="AA212" s="51"/>
    </row>
    <row r="213" spans="1:27" x14ac:dyDescent="0.25">
      <c r="A213" s="51">
        <v>20</v>
      </c>
      <c r="B213" s="51">
        <v>2025</v>
      </c>
      <c r="C213" s="51" t="s">
        <v>47</v>
      </c>
      <c r="D213" s="51" t="s">
        <v>500</v>
      </c>
      <c r="E213" s="51" t="s">
        <v>564</v>
      </c>
      <c r="F213" s="51"/>
      <c r="G213" s="618" t="s">
        <v>351</v>
      </c>
      <c r="H213" s="611">
        <v>0</v>
      </c>
      <c r="I213" s="611">
        <v>0</v>
      </c>
      <c r="J213" s="611">
        <v>0</v>
      </c>
      <c r="K213" s="611">
        <v>0</v>
      </c>
      <c r="L213" s="611">
        <v>0</v>
      </c>
      <c r="M213" s="611">
        <v>0</v>
      </c>
      <c r="N213" s="611">
        <v>0</v>
      </c>
      <c r="O213" s="611">
        <v>0</v>
      </c>
      <c r="P213" s="611">
        <v>79.712281113912482</v>
      </c>
      <c r="Q213" s="611">
        <v>0</v>
      </c>
      <c r="R213" s="620">
        <v>-43.841754612651869</v>
      </c>
      <c r="S213" s="611">
        <v>0</v>
      </c>
      <c r="T213" s="611">
        <v>0</v>
      </c>
      <c r="U213" s="611">
        <v>0</v>
      </c>
      <c r="V213" s="611">
        <v>0</v>
      </c>
      <c r="W213" s="611">
        <v>0</v>
      </c>
      <c r="X213" s="611">
        <v>0</v>
      </c>
      <c r="Y213" s="611">
        <v>0</v>
      </c>
      <c r="Z213" s="619">
        <v>35.870526501260613</v>
      </c>
      <c r="AA213" s="51"/>
    </row>
    <row r="214" spans="1:27" x14ac:dyDescent="0.25">
      <c r="A214" s="51">
        <v>21</v>
      </c>
      <c r="B214" s="51">
        <v>2025</v>
      </c>
      <c r="C214" s="51" t="s">
        <v>47</v>
      </c>
      <c r="D214" s="51" t="s">
        <v>501</v>
      </c>
      <c r="E214" s="51" t="s">
        <v>564</v>
      </c>
      <c r="F214" s="51"/>
      <c r="G214" s="618" t="s">
        <v>352</v>
      </c>
      <c r="H214" s="611">
        <v>0</v>
      </c>
      <c r="I214" s="611">
        <v>0</v>
      </c>
      <c r="J214" s="611">
        <v>0</v>
      </c>
      <c r="K214" s="611">
        <v>-0.65384116970035522</v>
      </c>
      <c r="L214" s="611">
        <v>0</v>
      </c>
      <c r="M214" s="611">
        <v>0</v>
      </c>
      <c r="N214" s="611">
        <v>0</v>
      </c>
      <c r="O214" s="611">
        <v>0</v>
      </c>
      <c r="P214" s="611">
        <v>0</v>
      </c>
      <c r="Q214" s="611">
        <v>0</v>
      </c>
      <c r="R214" s="611">
        <v>0</v>
      </c>
      <c r="S214" s="611">
        <v>0</v>
      </c>
      <c r="T214" s="611">
        <v>0</v>
      </c>
      <c r="U214" s="611">
        <v>0</v>
      </c>
      <c r="V214" s="611">
        <v>0</v>
      </c>
      <c r="W214" s="611">
        <v>0</v>
      </c>
      <c r="X214" s="611">
        <v>0</v>
      </c>
      <c r="Y214" s="611">
        <v>1.150760458672625</v>
      </c>
      <c r="Z214" s="619">
        <v>0.49691928897226978</v>
      </c>
      <c r="AA214" s="51"/>
    </row>
    <row r="215" spans="1:27" x14ac:dyDescent="0.25">
      <c r="A215" s="51">
        <v>22</v>
      </c>
      <c r="B215" s="51">
        <v>2025</v>
      </c>
      <c r="C215" s="51" t="s">
        <v>47</v>
      </c>
      <c r="D215" s="51" t="s">
        <v>502</v>
      </c>
      <c r="E215" s="51" t="s">
        <v>564</v>
      </c>
      <c r="F215" s="51"/>
      <c r="G215" s="618" t="s">
        <v>73</v>
      </c>
      <c r="H215" s="611">
        <v>0</v>
      </c>
      <c r="I215" s="611">
        <v>0</v>
      </c>
      <c r="J215" s="611">
        <v>0</v>
      </c>
      <c r="K215" s="611">
        <v>0</v>
      </c>
      <c r="L215" s="611">
        <v>0</v>
      </c>
      <c r="M215" s="611">
        <v>0</v>
      </c>
      <c r="N215" s="611">
        <v>0</v>
      </c>
      <c r="O215" s="611">
        <v>0</v>
      </c>
      <c r="P215" s="611">
        <v>0</v>
      </c>
      <c r="Q215" s="611">
        <v>0</v>
      </c>
      <c r="R215" s="611">
        <v>0</v>
      </c>
      <c r="S215" s="611">
        <v>0</v>
      </c>
      <c r="T215" s="611">
        <v>0</v>
      </c>
      <c r="U215" s="611">
        <v>0</v>
      </c>
      <c r="V215" s="611">
        <v>0</v>
      </c>
      <c r="W215" s="611">
        <v>2.2793385144431113</v>
      </c>
      <c r="X215" s="611">
        <v>0</v>
      </c>
      <c r="Y215" s="611">
        <v>-1.4815700343880223</v>
      </c>
      <c r="Z215" s="619">
        <v>0.79776848005508905</v>
      </c>
      <c r="AA215" s="51"/>
    </row>
    <row r="216" spans="1:27" x14ac:dyDescent="0.25">
      <c r="A216" s="51">
        <v>23</v>
      </c>
      <c r="B216" s="51">
        <v>2025</v>
      </c>
      <c r="C216" s="51" t="s">
        <v>47</v>
      </c>
      <c r="D216" s="51" t="s">
        <v>503</v>
      </c>
      <c r="E216" s="51" t="s">
        <v>564</v>
      </c>
      <c r="F216" s="51"/>
      <c r="G216" s="618" t="s">
        <v>353</v>
      </c>
      <c r="H216" s="611">
        <v>28.802919375000002</v>
      </c>
      <c r="I216" s="611">
        <v>-17.651540027160753</v>
      </c>
      <c r="J216" s="611">
        <v>23.197502909780482</v>
      </c>
      <c r="K216" s="611">
        <v>0</v>
      </c>
      <c r="L216" s="611">
        <v>0</v>
      </c>
      <c r="M216" s="611">
        <v>0</v>
      </c>
      <c r="N216" s="611">
        <v>0</v>
      </c>
      <c r="O216" s="611">
        <v>0</v>
      </c>
      <c r="P216" s="611">
        <v>0</v>
      </c>
      <c r="Q216" s="611">
        <v>0</v>
      </c>
      <c r="R216" s="611">
        <v>0</v>
      </c>
      <c r="S216" s="611">
        <v>0</v>
      </c>
      <c r="T216" s="611">
        <v>0</v>
      </c>
      <c r="U216" s="611">
        <v>0</v>
      </c>
      <c r="V216" s="611">
        <v>0</v>
      </c>
      <c r="W216" s="611">
        <v>0</v>
      </c>
      <c r="X216" s="611">
        <v>0</v>
      </c>
      <c r="Y216" s="611">
        <v>0</v>
      </c>
      <c r="Z216" s="619">
        <v>34.348882257619735</v>
      </c>
      <c r="AA216" s="51"/>
    </row>
    <row r="217" spans="1:27" x14ac:dyDescent="0.25">
      <c r="A217" s="51">
        <v>24</v>
      </c>
      <c r="B217" s="51">
        <v>2025</v>
      </c>
      <c r="C217" s="51" t="s">
        <v>47</v>
      </c>
      <c r="D217" s="51" t="s">
        <v>504</v>
      </c>
      <c r="E217" s="51" t="s">
        <v>564</v>
      </c>
      <c r="F217" s="51"/>
      <c r="G217" s="618" t="s">
        <v>75</v>
      </c>
      <c r="H217" s="611">
        <v>11.201135312500002</v>
      </c>
      <c r="I217" s="611">
        <v>0</v>
      </c>
      <c r="J217" s="611">
        <v>17.330610826083333</v>
      </c>
      <c r="K217" s="611">
        <v>0</v>
      </c>
      <c r="L217" s="611">
        <v>4.806601037825752</v>
      </c>
      <c r="M217" s="611">
        <v>0</v>
      </c>
      <c r="N217" s="611">
        <v>0</v>
      </c>
      <c r="O217" s="611">
        <v>0</v>
      </c>
      <c r="P217" s="611">
        <v>0</v>
      </c>
      <c r="Q217" s="611">
        <v>0</v>
      </c>
      <c r="R217" s="611">
        <v>0</v>
      </c>
      <c r="S217" s="611">
        <v>0.25297900199082907</v>
      </c>
      <c r="T217" s="611">
        <v>0</v>
      </c>
      <c r="U217" s="611">
        <v>0</v>
      </c>
      <c r="V217" s="611">
        <v>0</v>
      </c>
      <c r="W217" s="620">
        <v>33.145901123167427</v>
      </c>
      <c r="X217" s="611">
        <v>0</v>
      </c>
      <c r="Y217" s="611">
        <v>0</v>
      </c>
      <c r="Z217" s="619">
        <v>66.737227301567344</v>
      </c>
      <c r="AA217" s="51"/>
    </row>
    <row r="218" spans="1:27" x14ac:dyDescent="0.25">
      <c r="A218" s="51">
        <v>25</v>
      </c>
      <c r="B218" s="51">
        <v>2025</v>
      </c>
      <c r="C218" s="51" t="s">
        <v>47</v>
      </c>
      <c r="D218" s="51" t="s">
        <v>505</v>
      </c>
      <c r="E218" s="51" t="s">
        <v>564</v>
      </c>
      <c r="F218" s="51"/>
      <c r="G218" s="618" t="s">
        <v>76</v>
      </c>
      <c r="H218" s="611">
        <v>0</v>
      </c>
      <c r="I218" s="611">
        <v>0</v>
      </c>
      <c r="J218" s="611">
        <v>0</v>
      </c>
      <c r="K218" s="611">
        <v>0</v>
      </c>
      <c r="L218" s="611">
        <v>4.2512582630453126</v>
      </c>
      <c r="M218" s="611">
        <v>0</v>
      </c>
      <c r="N218" s="611">
        <v>0</v>
      </c>
      <c r="O218" s="611">
        <v>0</v>
      </c>
      <c r="P218" s="611">
        <v>0</v>
      </c>
      <c r="Q218" s="611">
        <v>0</v>
      </c>
      <c r="R218" s="611">
        <v>0</v>
      </c>
      <c r="S218" s="611">
        <v>0.22375043489712174</v>
      </c>
      <c r="T218" s="611">
        <v>0</v>
      </c>
      <c r="U218" s="611">
        <v>0</v>
      </c>
      <c r="V218" s="611">
        <v>0</v>
      </c>
      <c r="W218" s="611">
        <v>40.704767639363268</v>
      </c>
      <c r="X218" s="611">
        <v>4.3773313562005196</v>
      </c>
      <c r="Y218" s="611">
        <v>0</v>
      </c>
      <c r="Z218" s="619">
        <v>49.557107693506225</v>
      </c>
      <c r="AA218" s="51"/>
    </row>
    <row r="219" spans="1:27" x14ac:dyDescent="0.25">
      <c r="A219" s="51">
        <v>26</v>
      </c>
      <c r="B219" s="51">
        <v>2025</v>
      </c>
      <c r="C219" s="51" t="s">
        <v>47</v>
      </c>
      <c r="D219" s="51" t="s">
        <v>506</v>
      </c>
      <c r="E219" s="51" t="s">
        <v>564</v>
      </c>
      <c r="F219" s="51"/>
      <c r="G219" s="614" t="s">
        <v>77</v>
      </c>
      <c r="H219" s="615">
        <v>40.177918323863643</v>
      </c>
      <c r="I219" s="615">
        <v>484.3694936984873</v>
      </c>
      <c r="J219" s="615">
        <v>-452.2826546543501</v>
      </c>
      <c r="K219" s="615">
        <v>-0.65384116970035522</v>
      </c>
      <c r="L219" s="615">
        <v>88.966832517409898</v>
      </c>
      <c r="M219" s="615">
        <v>0</v>
      </c>
      <c r="N219" s="615">
        <v>1181.6974545454545</v>
      </c>
      <c r="O219" s="615">
        <v>152.68138212910313</v>
      </c>
      <c r="P219" s="615">
        <v>165.24293833563752</v>
      </c>
      <c r="Q219" s="615">
        <v>19.488025851284583</v>
      </c>
      <c r="R219" s="615">
        <v>-38.290522994441986</v>
      </c>
      <c r="S219" s="615">
        <v>-14.182698779350648</v>
      </c>
      <c r="T219" s="615">
        <v>0.38823073385958523</v>
      </c>
      <c r="U219" s="615">
        <v>2.6353844031575111</v>
      </c>
      <c r="V219" s="615">
        <v>6.2882518887840551</v>
      </c>
      <c r="W219" s="615">
        <v>-516.50012933919493</v>
      </c>
      <c r="X219" s="615">
        <v>-52.057719645497357</v>
      </c>
      <c r="Y219" s="615">
        <v>-0.33080957571539726</v>
      </c>
      <c r="Z219" s="615">
        <v>1067.6375362687911</v>
      </c>
      <c r="AA219" s="51"/>
    </row>
    <row r="220" spans="1:27" x14ac:dyDescent="0.25">
      <c r="A220" s="51"/>
      <c r="B220" s="51"/>
      <c r="C220" s="51"/>
      <c r="D220" s="51"/>
      <c r="E220" s="51"/>
      <c r="F220" s="51"/>
      <c r="G220" s="616"/>
      <c r="H220" s="617"/>
      <c r="I220" s="617"/>
      <c r="J220" s="617"/>
      <c r="K220" s="617"/>
      <c r="L220" s="617"/>
      <c r="M220" s="617"/>
      <c r="N220" s="617"/>
      <c r="O220" s="617"/>
      <c r="P220" s="617"/>
      <c r="Q220" s="617"/>
      <c r="R220" s="617"/>
      <c r="S220" s="617"/>
      <c r="T220" s="617"/>
      <c r="U220" s="617"/>
      <c r="V220" s="617"/>
      <c r="W220" s="617"/>
      <c r="X220" s="617"/>
      <c r="Y220" s="617"/>
      <c r="Z220" s="617"/>
      <c r="AA220" s="51"/>
    </row>
    <row r="221" spans="1:27" x14ac:dyDescent="0.25">
      <c r="A221" s="51">
        <v>28</v>
      </c>
      <c r="B221" s="51">
        <v>2025</v>
      </c>
      <c r="C221" s="51" t="s">
        <v>47</v>
      </c>
      <c r="D221" s="51" t="s">
        <v>507</v>
      </c>
      <c r="E221" s="51" t="s">
        <v>564</v>
      </c>
      <c r="F221" s="51"/>
      <c r="G221" s="618" t="s">
        <v>78</v>
      </c>
      <c r="H221" s="611">
        <v>15.277752996093747</v>
      </c>
      <c r="I221" s="611">
        <v>0</v>
      </c>
      <c r="J221" s="611">
        <v>24.765454673057913</v>
      </c>
      <c r="K221" s="611">
        <v>0</v>
      </c>
      <c r="L221" s="611">
        <v>93.604076003061422</v>
      </c>
      <c r="M221" s="620">
        <v>0</v>
      </c>
      <c r="N221" s="611">
        <v>0</v>
      </c>
      <c r="O221" s="611">
        <v>0</v>
      </c>
      <c r="P221" s="611">
        <v>26.383240179579392</v>
      </c>
      <c r="Q221" s="611">
        <v>8.4473780533774026</v>
      </c>
      <c r="R221" s="611">
        <v>0.84924346380025484</v>
      </c>
      <c r="S221" s="611">
        <v>4.95007079910099</v>
      </c>
      <c r="T221" s="611">
        <v>3.93386181640625</v>
      </c>
      <c r="U221" s="611">
        <v>0</v>
      </c>
      <c r="V221" s="611">
        <v>4.7991131198633983E-4</v>
      </c>
      <c r="W221" s="611">
        <v>118.04506330162124</v>
      </c>
      <c r="X221" s="611">
        <v>18.56194377613782</v>
      </c>
      <c r="Y221" s="611">
        <v>0.22958358764648437</v>
      </c>
      <c r="Z221" s="619">
        <v>315.04814856119486</v>
      </c>
      <c r="AA221" s="51"/>
    </row>
    <row r="222" spans="1:27" x14ac:dyDescent="0.25">
      <c r="A222" s="51">
        <v>29</v>
      </c>
      <c r="B222" s="51">
        <v>2025</v>
      </c>
      <c r="C222" s="51" t="s">
        <v>47</v>
      </c>
      <c r="D222" s="51" t="s">
        <v>508</v>
      </c>
      <c r="E222" s="51" t="s">
        <v>564</v>
      </c>
      <c r="F222" s="51"/>
      <c r="G222" s="618" t="s">
        <v>79</v>
      </c>
      <c r="H222" s="611">
        <v>0</v>
      </c>
      <c r="I222" s="611">
        <v>0</v>
      </c>
      <c r="J222" s="611">
        <v>419.79556605067489</v>
      </c>
      <c r="K222" s="611">
        <v>0</v>
      </c>
      <c r="L222" s="611">
        <v>4.0169244395410075</v>
      </c>
      <c r="M222" s="620">
        <v>0</v>
      </c>
      <c r="N222" s="611">
        <v>0</v>
      </c>
      <c r="O222" s="611">
        <v>0</v>
      </c>
      <c r="P222" s="611">
        <v>0</v>
      </c>
      <c r="Q222" s="611">
        <v>0</v>
      </c>
      <c r="R222" s="611">
        <v>36.659680118734968</v>
      </c>
      <c r="S222" s="611">
        <v>0.21141707576531621</v>
      </c>
      <c r="T222" s="611">
        <v>0</v>
      </c>
      <c r="U222" s="611">
        <v>0</v>
      </c>
      <c r="V222" s="611">
        <v>0</v>
      </c>
      <c r="W222" s="611">
        <v>16.904139208606786</v>
      </c>
      <c r="X222" s="611">
        <v>0</v>
      </c>
      <c r="Y222" s="611">
        <v>0</v>
      </c>
      <c r="Z222" s="619">
        <v>477.58772689332301</v>
      </c>
      <c r="AA222" s="51"/>
    </row>
    <row r="223" spans="1:27" x14ac:dyDescent="0.25">
      <c r="A223" s="51">
        <v>30</v>
      </c>
      <c r="B223" s="51">
        <v>2025</v>
      </c>
      <c r="C223" s="51" t="s">
        <v>47</v>
      </c>
      <c r="D223" s="51" t="s">
        <v>509</v>
      </c>
      <c r="E223" s="51" t="s">
        <v>564</v>
      </c>
      <c r="F223" s="51"/>
      <c r="G223" s="618" t="s">
        <v>80</v>
      </c>
      <c r="H223" s="611">
        <v>0</v>
      </c>
      <c r="I223" s="611">
        <v>0</v>
      </c>
      <c r="J223" s="611">
        <v>29.925236596887174</v>
      </c>
      <c r="K223" s="611">
        <v>0</v>
      </c>
      <c r="L223" s="611">
        <v>102.45766885358087</v>
      </c>
      <c r="M223" s="620">
        <v>0</v>
      </c>
      <c r="N223" s="611">
        <v>0</v>
      </c>
      <c r="O223" s="611">
        <v>0</v>
      </c>
      <c r="P223" s="611">
        <v>73.130947235424273</v>
      </c>
      <c r="Q223" s="611">
        <v>0</v>
      </c>
      <c r="R223" s="611">
        <v>0</v>
      </c>
      <c r="S223" s="611">
        <v>5.3925088870305729</v>
      </c>
      <c r="T223" s="611">
        <v>57.658210635595211</v>
      </c>
      <c r="U223" s="611">
        <v>0</v>
      </c>
      <c r="V223" s="611">
        <v>4.3133463606479268</v>
      </c>
      <c r="W223" s="611">
        <v>152.82417865630211</v>
      </c>
      <c r="X223" s="611">
        <v>17.19316772913534</v>
      </c>
      <c r="Y223" s="611">
        <v>0</v>
      </c>
      <c r="Z223" s="619">
        <v>442.89526495460348</v>
      </c>
      <c r="AA223" s="51"/>
    </row>
    <row r="224" spans="1:27" x14ac:dyDescent="0.25">
      <c r="A224" s="51">
        <v>31</v>
      </c>
      <c r="B224" s="51">
        <v>2025</v>
      </c>
      <c r="C224" s="51" t="s">
        <v>47</v>
      </c>
      <c r="D224" s="51" t="s">
        <v>510</v>
      </c>
      <c r="E224" s="51" t="s">
        <v>564</v>
      </c>
      <c r="F224" s="51"/>
      <c r="G224" s="618" t="s">
        <v>81</v>
      </c>
      <c r="H224" s="611">
        <v>0</v>
      </c>
      <c r="I224" s="611">
        <v>0</v>
      </c>
      <c r="J224" s="611">
        <v>18.305798921987922</v>
      </c>
      <c r="K224" s="611">
        <v>0</v>
      </c>
      <c r="L224" s="611">
        <v>60.421601576110028</v>
      </c>
      <c r="M224" s="620">
        <v>0</v>
      </c>
      <c r="N224" s="611">
        <v>0</v>
      </c>
      <c r="O224" s="611">
        <v>0</v>
      </c>
      <c r="P224" s="611">
        <v>0.46982123257429881</v>
      </c>
      <c r="Q224" s="611">
        <v>0</v>
      </c>
      <c r="R224" s="611">
        <v>0</v>
      </c>
      <c r="S224" s="611">
        <v>3.1800842934794753</v>
      </c>
      <c r="T224" s="611">
        <v>21.557965160058771</v>
      </c>
      <c r="U224" s="611">
        <v>0</v>
      </c>
      <c r="V224" s="611">
        <v>2.9432035422126379</v>
      </c>
      <c r="W224" s="611">
        <v>125.74844880818124</v>
      </c>
      <c r="X224" s="611">
        <v>16.302579759085518</v>
      </c>
      <c r="Y224" s="611">
        <v>0</v>
      </c>
      <c r="Z224" s="619">
        <v>248.92950329368989</v>
      </c>
      <c r="AA224" s="51"/>
    </row>
    <row r="225" spans="1:27" x14ac:dyDescent="0.25">
      <c r="A225" s="51">
        <v>32</v>
      </c>
      <c r="B225" s="51">
        <v>2025</v>
      </c>
      <c r="C225" s="51" t="s">
        <v>47</v>
      </c>
      <c r="D225" s="51" t="s">
        <v>511</v>
      </c>
      <c r="E225" s="51" t="s">
        <v>564</v>
      </c>
      <c r="F225" s="51"/>
      <c r="G225" s="618" t="s">
        <v>82</v>
      </c>
      <c r="H225" s="611">
        <v>0</v>
      </c>
      <c r="I225" s="611">
        <v>0</v>
      </c>
      <c r="J225" s="611">
        <v>35.262359218486715</v>
      </c>
      <c r="K225" s="611">
        <v>0</v>
      </c>
      <c r="L225" s="611">
        <v>2.2638116386535292</v>
      </c>
      <c r="M225" s="620">
        <v>0</v>
      </c>
      <c r="N225" s="611">
        <v>0</v>
      </c>
      <c r="O225" s="611">
        <v>0</v>
      </c>
      <c r="P225" s="611">
        <v>4.8413821640415255</v>
      </c>
      <c r="Q225" s="611">
        <v>0</v>
      </c>
      <c r="R225" s="611">
        <v>2.7934691016396722</v>
      </c>
      <c r="S225" s="611">
        <v>0.1191479809817647</v>
      </c>
      <c r="T225" s="611">
        <v>0.25</v>
      </c>
      <c r="U225" s="611">
        <v>0</v>
      </c>
      <c r="V225" s="611">
        <v>0.36066131262685786</v>
      </c>
      <c r="W225" s="611">
        <v>8.2175953615538209</v>
      </c>
      <c r="X225" s="611">
        <v>0</v>
      </c>
      <c r="Y225" s="611">
        <v>0.10122598806891285</v>
      </c>
      <c r="Z225" s="619">
        <v>54.209652766052798</v>
      </c>
      <c r="AA225" s="51"/>
    </row>
    <row r="226" spans="1:27" x14ac:dyDescent="0.25">
      <c r="A226" s="51">
        <v>33</v>
      </c>
      <c r="B226" s="51">
        <v>2025</v>
      </c>
      <c r="C226" s="51" t="s">
        <v>47</v>
      </c>
      <c r="D226" s="51" t="s">
        <v>512</v>
      </c>
      <c r="E226" s="51" t="s">
        <v>564</v>
      </c>
      <c r="F226" s="51"/>
      <c r="G226" s="618" t="s">
        <v>354</v>
      </c>
      <c r="H226" s="611">
        <v>0</v>
      </c>
      <c r="I226" s="611">
        <v>0</v>
      </c>
      <c r="J226" s="611">
        <v>0</v>
      </c>
      <c r="K226" s="611">
        <v>0</v>
      </c>
      <c r="L226" s="611">
        <v>0</v>
      </c>
      <c r="M226" s="611">
        <v>0</v>
      </c>
      <c r="N226" s="611">
        <v>0</v>
      </c>
      <c r="O226" s="611">
        <v>0</v>
      </c>
      <c r="P226" s="611">
        <v>0</v>
      </c>
      <c r="Q226" s="611">
        <v>0</v>
      </c>
      <c r="R226" s="611">
        <v>0</v>
      </c>
      <c r="S226" s="611">
        <v>0</v>
      </c>
      <c r="T226" s="611">
        <v>0</v>
      </c>
      <c r="U226" s="611">
        <v>0</v>
      </c>
      <c r="V226" s="611">
        <v>0</v>
      </c>
      <c r="W226" s="611">
        <v>0</v>
      </c>
      <c r="X226" s="611">
        <v>0</v>
      </c>
      <c r="Y226" s="611">
        <v>0</v>
      </c>
      <c r="Z226" s="619">
        <v>0</v>
      </c>
      <c r="AA226" s="51"/>
    </row>
    <row r="227" spans="1:27" x14ac:dyDescent="0.25">
      <c r="A227" s="51">
        <v>34</v>
      </c>
      <c r="B227" s="51">
        <v>2025</v>
      </c>
      <c r="C227" s="51" t="s">
        <v>47</v>
      </c>
      <c r="D227" s="51" t="s">
        <v>513</v>
      </c>
      <c r="E227" s="51" t="s">
        <v>564</v>
      </c>
      <c r="F227" s="51"/>
      <c r="G227" s="614" t="s">
        <v>83</v>
      </c>
      <c r="H227" s="615">
        <v>15.277752996093747</v>
      </c>
      <c r="I227" s="615">
        <v>0</v>
      </c>
      <c r="J227" s="615">
        <v>528.05441546109455</v>
      </c>
      <c r="K227" s="615">
        <v>0</v>
      </c>
      <c r="L227" s="615">
        <v>262.76408251094688</v>
      </c>
      <c r="M227" s="615">
        <v>0</v>
      </c>
      <c r="N227" s="615">
        <v>0</v>
      </c>
      <c r="O227" s="615">
        <v>0</v>
      </c>
      <c r="P227" s="615">
        <v>104.82539081161949</v>
      </c>
      <c r="Q227" s="615">
        <v>8.4473780533774026</v>
      </c>
      <c r="R227" s="615">
        <v>40.302392684174897</v>
      </c>
      <c r="S227" s="615">
        <v>13.853229036358119</v>
      </c>
      <c r="T227" s="615">
        <v>83.400037612060231</v>
      </c>
      <c r="U227" s="615">
        <v>0</v>
      </c>
      <c r="V227" s="615">
        <v>7.617691126799409</v>
      </c>
      <c r="W227" s="615">
        <v>421.73942533626524</v>
      </c>
      <c r="X227" s="615">
        <v>52.057691264358681</v>
      </c>
      <c r="Y227" s="615">
        <v>0.33080957571539721</v>
      </c>
      <c r="Z227" s="615">
        <v>1538.6702964688639</v>
      </c>
      <c r="AA227" s="51"/>
    </row>
    <row r="228" spans="1:27" x14ac:dyDescent="0.25">
      <c r="A228" s="51">
        <v>35</v>
      </c>
      <c r="B228" s="51">
        <v>2025</v>
      </c>
      <c r="C228" s="51" t="s">
        <v>47</v>
      </c>
      <c r="D228" s="51" t="s">
        <v>514</v>
      </c>
      <c r="E228" s="51" t="s">
        <v>564</v>
      </c>
      <c r="F228" s="51"/>
      <c r="G228" s="610" t="s">
        <v>84</v>
      </c>
      <c r="H228" s="611">
        <v>0</v>
      </c>
      <c r="I228" s="611">
        <v>0</v>
      </c>
      <c r="J228" s="611">
        <v>113.85501241595513</v>
      </c>
      <c r="K228" s="611">
        <v>0.65384116970035522</v>
      </c>
      <c r="L228" s="611">
        <v>13.132148103986484</v>
      </c>
      <c r="M228" s="611">
        <v>0</v>
      </c>
      <c r="N228" s="611">
        <v>0</v>
      </c>
      <c r="O228" s="611">
        <v>0</v>
      </c>
      <c r="P228" s="720">
        <v>4.9185665069845973E-2</v>
      </c>
      <c r="Q228" s="611">
        <v>0</v>
      </c>
      <c r="R228" s="611">
        <v>0.76047898454899909</v>
      </c>
      <c r="S228" s="611">
        <v>0.14218375313152526</v>
      </c>
      <c r="T228" s="611">
        <v>0</v>
      </c>
      <c r="U228" s="611">
        <v>0</v>
      </c>
      <c r="V228" s="611">
        <v>0</v>
      </c>
      <c r="W228" s="611">
        <v>0</v>
      </c>
      <c r="X228" s="611">
        <v>0</v>
      </c>
      <c r="Y228" s="611">
        <v>0</v>
      </c>
      <c r="Z228" s="619">
        <v>128.59285009239233</v>
      </c>
      <c r="AA228" s="51"/>
    </row>
    <row r="229" spans="1:27" x14ac:dyDescent="0.25">
      <c r="A229" s="51">
        <v>36</v>
      </c>
      <c r="B229" s="51">
        <v>2025</v>
      </c>
      <c r="C229" s="51" t="s">
        <v>47</v>
      </c>
      <c r="D229" s="51" t="s">
        <v>515</v>
      </c>
      <c r="E229" s="51" t="s">
        <v>564</v>
      </c>
      <c r="F229" s="51"/>
      <c r="G229" s="614" t="s">
        <v>85</v>
      </c>
      <c r="H229" s="615">
        <v>15.277752996093747</v>
      </c>
      <c r="I229" s="615">
        <v>0</v>
      </c>
      <c r="J229" s="615">
        <v>641.90942787704967</v>
      </c>
      <c r="K229" s="615">
        <v>0.65384116970035522</v>
      </c>
      <c r="L229" s="615">
        <v>275.89623061493336</v>
      </c>
      <c r="M229" s="615">
        <v>0</v>
      </c>
      <c r="N229" s="615">
        <v>0</v>
      </c>
      <c r="O229" s="615">
        <v>0</v>
      </c>
      <c r="P229" s="615">
        <v>104.87457647668933</v>
      </c>
      <c r="Q229" s="615">
        <v>8.4473780533774026</v>
      </c>
      <c r="R229" s="615">
        <v>41.062871668723893</v>
      </c>
      <c r="S229" s="615">
        <v>13.995412789489643</v>
      </c>
      <c r="T229" s="615">
        <v>83.400037612060231</v>
      </c>
      <c r="U229" s="615">
        <v>0</v>
      </c>
      <c r="V229" s="615">
        <v>7.617691126799409</v>
      </c>
      <c r="W229" s="615">
        <v>421.73942533626524</v>
      </c>
      <c r="X229" s="615">
        <v>52.057691264358681</v>
      </c>
      <c r="Y229" s="615">
        <v>0.33080957571539721</v>
      </c>
      <c r="Z229" s="615">
        <v>1667.2631465612562</v>
      </c>
      <c r="AA229" s="51"/>
    </row>
    <row r="230" spans="1:27" x14ac:dyDescent="0.25">
      <c r="A230" s="51"/>
      <c r="B230" s="51"/>
      <c r="C230" s="51"/>
      <c r="D230" s="51"/>
      <c r="E230" s="51"/>
      <c r="F230" s="51"/>
      <c r="G230" s="51"/>
      <c r="H230" s="67">
        <v>0</v>
      </c>
      <c r="I230" s="67">
        <v>0</v>
      </c>
      <c r="J230" s="67">
        <v>0</v>
      </c>
      <c r="K230" s="67">
        <v>0</v>
      </c>
      <c r="L230" s="67">
        <v>0</v>
      </c>
      <c r="M230" s="67">
        <v>0</v>
      </c>
      <c r="N230" s="67">
        <v>0</v>
      </c>
      <c r="O230" s="67">
        <v>0</v>
      </c>
      <c r="P230" s="67">
        <v>0</v>
      </c>
      <c r="Q230" s="67">
        <v>0</v>
      </c>
      <c r="R230" s="67">
        <v>0</v>
      </c>
      <c r="S230" s="67">
        <v>-3.6914915568786455E-15</v>
      </c>
      <c r="T230" s="67">
        <v>0</v>
      </c>
      <c r="U230" s="67">
        <v>0</v>
      </c>
      <c r="V230" s="67">
        <v>0</v>
      </c>
      <c r="W230" s="67">
        <v>0</v>
      </c>
      <c r="X230" s="721">
        <v>-2.8381138676536466E-5</v>
      </c>
      <c r="Y230" s="67">
        <v>-5.5511151231257827E-17</v>
      </c>
      <c r="Z230" s="67">
        <v>-2.8381138690747321E-5</v>
      </c>
      <c r="AA230" s="51"/>
    </row>
    <row r="231" spans="1:27" x14ac:dyDescent="0.25">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row>
    <row r="232" spans="1:27" x14ac:dyDescent="0.25">
      <c r="A232" s="606"/>
      <c r="B232" s="606"/>
      <c r="C232" s="606"/>
      <c r="D232" s="606"/>
      <c r="E232" s="606"/>
      <c r="F232" s="606"/>
      <c r="G232" s="607" t="s">
        <v>356</v>
      </c>
      <c r="H232" s="606"/>
      <c r="I232" s="606"/>
      <c r="J232" s="606"/>
      <c r="K232" s="606"/>
      <c r="L232" s="606"/>
      <c r="M232" s="606"/>
      <c r="N232" s="606"/>
      <c r="O232" s="606"/>
      <c r="P232" s="606"/>
      <c r="Q232" s="606"/>
      <c r="R232" s="606"/>
      <c r="S232" s="606"/>
      <c r="T232" s="606"/>
      <c r="U232" s="606"/>
      <c r="V232" s="606"/>
      <c r="W232" s="606"/>
      <c r="X232" s="606"/>
      <c r="Y232" s="606"/>
      <c r="Z232" s="606"/>
      <c r="AA232" s="606"/>
    </row>
    <row r="233" spans="1:27" x14ac:dyDescent="0.25">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row>
    <row r="234" spans="1:27" x14ac:dyDescent="0.25">
      <c r="A234" s="51"/>
      <c r="B234" s="51"/>
      <c r="C234" s="51"/>
      <c r="D234" s="51"/>
      <c r="E234" s="51"/>
      <c r="F234" s="51"/>
      <c r="G234" s="764" t="s">
        <v>128</v>
      </c>
      <c r="H234" s="753" t="s">
        <v>42</v>
      </c>
      <c r="I234" s="753" t="s">
        <v>52</v>
      </c>
      <c r="J234" s="753" t="s">
        <v>53</v>
      </c>
      <c r="K234" s="753" t="s">
        <v>482</v>
      </c>
      <c r="L234" s="753" t="s">
        <v>32</v>
      </c>
      <c r="M234" s="753" t="s">
        <v>483</v>
      </c>
      <c r="N234" s="753" t="s">
        <v>20</v>
      </c>
      <c r="O234" s="753" t="s">
        <v>55</v>
      </c>
      <c r="P234" s="761" t="s">
        <v>56</v>
      </c>
      <c r="Q234" s="762"/>
      <c r="R234" s="762"/>
      <c r="S234" s="762"/>
      <c r="T234" s="762"/>
      <c r="U234" s="762"/>
      <c r="V234" s="763"/>
      <c r="W234" s="753" t="s">
        <v>57</v>
      </c>
      <c r="X234" s="753" t="s">
        <v>58</v>
      </c>
      <c r="Y234" s="753" t="s">
        <v>31</v>
      </c>
      <c r="Z234" s="753" t="s">
        <v>10</v>
      </c>
      <c r="AA234" s="51"/>
    </row>
    <row r="235" spans="1:27" ht="36" x14ac:dyDescent="0.25">
      <c r="A235" s="51"/>
      <c r="B235" s="51"/>
      <c r="C235" s="51"/>
      <c r="D235" s="51" t="s">
        <v>486</v>
      </c>
      <c r="E235" s="51"/>
      <c r="F235" s="51"/>
      <c r="G235" s="765"/>
      <c r="H235" s="754"/>
      <c r="I235" s="754"/>
      <c r="J235" s="754"/>
      <c r="K235" s="754"/>
      <c r="L235" s="754"/>
      <c r="M235" s="754"/>
      <c r="N235" s="754"/>
      <c r="O235" s="754"/>
      <c r="P235" s="608" t="s">
        <v>335</v>
      </c>
      <c r="Q235" s="608" t="s">
        <v>40</v>
      </c>
      <c r="R235" s="608" t="s">
        <v>343</v>
      </c>
      <c r="S235" s="608" t="s">
        <v>344</v>
      </c>
      <c r="T235" s="609" t="s">
        <v>345</v>
      </c>
      <c r="U235" s="609" t="s">
        <v>609</v>
      </c>
      <c r="V235" s="608" t="s">
        <v>346</v>
      </c>
      <c r="W235" s="754"/>
      <c r="X235" s="754"/>
      <c r="Y235" s="754"/>
      <c r="Z235" s="754"/>
      <c r="AA235" s="51"/>
    </row>
    <row r="236" spans="1:27" x14ac:dyDescent="0.25">
      <c r="A236" s="51">
        <v>6</v>
      </c>
      <c r="B236" s="51">
        <v>2028</v>
      </c>
      <c r="C236" s="51" t="s">
        <v>47</v>
      </c>
      <c r="D236" s="51" t="s">
        <v>487</v>
      </c>
      <c r="E236" s="51" t="s">
        <v>564</v>
      </c>
      <c r="F236" s="51"/>
      <c r="G236" s="610" t="s">
        <v>59</v>
      </c>
      <c r="H236" s="611">
        <v>0</v>
      </c>
      <c r="I236" s="611">
        <v>9.5366</v>
      </c>
      <c r="J236" s="611">
        <v>0</v>
      </c>
      <c r="K236" s="611">
        <v>0</v>
      </c>
      <c r="L236" s="611">
        <v>0.19771000000000002</v>
      </c>
      <c r="M236" s="611">
        <v>0</v>
      </c>
      <c r="N236" s="612">
        <v>1175.008</v>
      </c>
      <c r="O236" s="612">
        <v>183.78609385973064</v>
      </c>
      <c r="P236" s="611">
        <v>267.47343723031673</v>
      </c>
      <c r="Q236" s="612">
        <v>32.620053223849091</v>
      </c>
      <c r="R236" s="611">
        <v>0</v>
      </c>
      <c r="S236" s="611">
        <v>0</v>
      </c>
      <c r="T236" s="612">
        <v>105.81752255151613</v>
      </c>
      <c r="U236" s="612">
        <v>4.0820018778956646</v>
      </c>
      <c r="V236" s="612">
        <v>18.176827139597577</v>
      </c>
      <c r="W236" s="611">
        <v>0</v>
      </c>
      <c r="X236" s="611">
        <v>0</v>
      </c>
      <c r="Y236" s="611">
        <v>0</v>
      </c>
      <c r="Z236" s="613">
        <v>1796.6982458829059</v>
      </c>
      <c r="AA236" s="51"/>
    </row>
    <row r="237" spans="1:27" x14ac:dyDescent="0.25">
      <c r="A237" s="51">
        <v>7</v>
      </c>
      <c r="B237" s="51">
        <v>2028</v>
      </c>
      <c r="C237" s="51" t="s">
        <v>47</v>
      </c>
      <c r="D237" s="51" t="s">
        <v>488</v>
      </c>
      <c r="E237" s="51" t="s">
        <v>564</v>
      </c>
      <c r="F237" s="51"/>
      <c r="G237" s="610" t="s">
        <v>60</v>
      </c>
      <c r="H237" s="611">
        <v>38.608034518998579</v>
      </c>
      <c r="I237" s="611">
        <v>423.65248565453913</v>
      </c>
      <c r="J237" s="611">
        <v>228.8279291061537</v>
      </c>
      <c r="K237" s="611">
        <v>0</v>
      </c>
      <c r="L237" s="620">
        <v>307.71305044635375</v>
      </c>
      <c r="M237" s="611">
        <v>0</v>
      </c>
      <c r="N237" s="611">
        <v>0</v>
      </c>
      <c r="O237" s="611">
        <v>0</v>
      </c>
      <c r="P237" s="611">
        <v>46.298183002520602</v>
      </c>
      <c r="Q237" s="611">
        <v>0</v>
      </c>
      <c r="R237" s="611">
        <v>3.7147079289289024</v>
      </c>
      <c r="S237" s="611">
        <v>0</v>
      </c>
      <c r="T237" s="611">
        <v>0</v>
      </c>
      <c r="U237" s="611">
        <v>0</v>
      </c>
      <c r="V237" s="611">
        <v>0</v>
      </c>
      <c r="W237" s="611">
        <v>0</v>
      </c>
      <c r="X237" s="611">
        <v>0</v>
      </c>
      <c r="Y237" s="611">
        <v>0</v>
      </c>
      <c r="Z237" s="613">
        <v>1048.8143906574946</v>
      </c>
      <c r="AA237" s="51"/>
    </row>
    <row r="238" spans="1:27" x14ac:dyDescent="0.25">
      <c r="A238" s="51">
        <v>8</v>
      </c>
      <c r="B238" s="51">
        <v>2028</v>
      </c>
      <c r="C238" s="51" t="s">
        <v>47</v>
      </c>
      <c r="D238" s="51" t="s">
        <v>489</v>
      </c>
      <c r="E238" s="51" t="s">
        <v>564</v>
      </c>
      <c r="F238" s="51"/>
      <c r="G238" s="610" t="s">
        <v>61</v>
      </c>
      <c r="H238" s="611">
        <v>0</v>
      </c>
      <c r="I238" s="611">
        <v>0</v>
      </c>
      <c r="J238" s="611">
        <v>0</v>
      </c>
      <c r="K238" s="611">
        <v>-0.15000000000000013</v>
      </c>
      <c r="L238" s="611">
        <v>0</v>
      </c>
      <c r="M238" s="611">
        <v>0</v>
      </c>
      <c r="N238" s="611">
        <v>0</v>
      </c>
      <c r="O238" s="611">
        <v>0</v>
      </c>
      <c r="P238" s="611">
        <v>0</v>
      </c>
      <c r="Q238" s="611">
        <v>0</v>
      </c>
      <c r="R238" s="611">
        <v>0</v>
      </c>
      <c r="S238" s="611">
        <v>0</v>
      </c>
      <c r="T238" s="611">
        <v>0</v>
      </c>
      <c r="U238" s="611">
        <v>0</v>
      </c>
      <c r="V238" s="611">
        <v>0</v>
      </c>
      <c r="W238" s="611">
        <v>-89.942551340345176</v>
      </c>
      <c r="X238" s="611">
        <v>0</v>
      </c>
      <c r="Y238" s="611">
        <v>0</v>
      </c>
      <c r="Z238" s="613">
        <v>-90.092551340345182</v>
      </c>
      <c r="AA238" s="51"/>
    </row>
    <row r="239" spans="1:27" x14ac:dyDescent="0.25">
      <c r="A239" s="51">
        <v>9</v>
      </c>
      <c r="B239" s="51">
        <v>2028</v>
      </c>
      <c r="C239" s="51" t="s">
        <v>47</v>
      </c>
      <c r="D239" s="51" t="s">
        <v>490</v>
      </c>
      <c r="E239" s="51" t="s">
        <v>564</v>
      </c>
      <c r="F239" s="51"/>
      <c r="G239" s="610" t="s">
        <v>62</v>
      </c>
      <c r="H239" s="611">
        <v>0</v>
      </c>
      <c r="I239" s="611">
        <v>0</v>
      </c>
      <c r="J239" s="611">
        <v>-9.5738305718287435</v>
      </c>
      <c r="K239" s="611">
        <v>-0.13812944417760184</v>
      </c>
      <c r="L239" s="611">
        <v>-1.5870151763057716</v>
      </c>
      <c r="M239" s="611">
        <v>-0.12645508616383627</v>
      </c>
      <c r="N239" s="611">
        <v>0</v>
      </c>
      <c r="O239" s="611">
        <v>0</v>
      </c>
      <c r="P239" s="611">
        <v>0</v>
      </c>
      <c r="Q239" s="611">
        <v>0</v>
      </c>
      <c r="R239" s="611">
        <v>0</v>
      </c>
      <c r="S239" s="611">
        <v>-0.4604322926990882</v>
      </c>
      <c r="T239" s="611">
        <v>0</v>
      </c>
      <c r="U239" s="611">
        <v>0</v>
      </c>
      <c r="V239" s="611">
        <v>0</v>
      </c>
      <c r="W239" s="611">
        <v>0</v>
      </c>
      <c r="X239" s="611">
        <v>0</v>
      </c>
      <c r="Y239" s="611">
        <v>-5.1110724267898235E-2</v>
      </c>
      <c r="Z239" s="613">
        <v>-11.936973295442941</v>
      </c>
      <c r="AA239" s="51"/>
    </row>
    <row r="240" spans="1:27" x14ac:dyDescent="0.25">
      <c r="A240" s="51">
        <v>10</v>
      </c>
      <c r="B240" s="51">
        <v>2028</v>
      </c>
      <c r="C240" s="51" t="s">
        <v>47</v>
      </c>
      <c r="D240" s="51" t="s">
        <v>491</v>
      </c>
      <c r="E240" s="51" t="s">
        <v>564</v>
      </c>
      <c r="F240" s="51"/>
      <c r="G240" s="610" t="s">
        <v>63</v>
      </c>
      <c r="H240" s="611">
        <v>0</v>
      </c>
      <c r="I240" s="611">
        <v>0</v>
      </c>
      <c r="J240" s="611">
        <v>-70</v>
      </c>
      <c r="K240" s="611">
        <v>-0.6</v>
      </c>
      <c r="L240" s="611">
        <v>0</v>
      </c>
      <c r="M240" s="611">
        <v>0</v>
      </c>
      <c r="N240" s="611">
        <v>0</v>
      </c>
      <c r="O240" s="611">
        <v>0</v>
      </c>
      <c r="P240" s="611">
        <v>0</v>
      </c>
      <c r="Q240" s="611">
        <v>0</v>
      </c>
      <c r="R240" s="611">
        <v>-2.8</v>
      </c>
      <c r="S240" s="611">
        <v>0</v>
      </c>
      <c r="T240" s="611">
        <v>0</v>
      </c>
      <c r="U240" s="611">
        <v>0</v>
      </c>
      <c r="V240" s="611">
        <v>0</v>
      </c>
      <c r="W240" s="611">
        <v>0</v>
      </c>
      <c r="X240" s="611">
        <v>0</v>
      </c>
      <c r="Y240" s="611">
        <v>0</v>
      </c>
      <c r="Z240" s="613">
        <v>-73.399999999999991</v>
      </c>
      <c r="AA240" s="51"/>
    </row>
    <row r="241" spans="1:27" x14ac:dyDescent="0.25">
      <c r="A241" s="51">
        <v>11</v>
      </c>
      <c r="B241" s="51">
        <v>2028</v>
      </c>
      <c r="C241" s="51" t="s">
        <v>47</v>
      </c>
      <c r="D241" s="51" t="s">
        <v>492</v>
      </c>
      <c r="E241" s="51" t="s">
        <v>564</v>
      </c>
      <c r="F241" s="51"/>
      <c r="G241" s="610" t="s">
        <v>64</v>
      </c>
      <c r="H241" s="611">
        <v>0</v>
      </c>
      <c r="I241" s="611">
        <v>0</v>
      </c>
      <c r="J241" s="611">
        <v>0</v>
      </c>
      <c r="K241" s="611">
        <v>0</v>
      </c>
      <c r="L241" s="611">
        <v>0</v>
      </c>
      <c r="M241" s="611">
        <v>0</v>
      </c>
      <c r="N241" s="611">
        <v>0</v>
      </c>
      <c r="O241" s="611">
        <v>0</v>
      </c>
      <c r="P241" s="611">
        <v>0</v>
      </c>
      <c r="Q241" s="611">
        <v>0</v>
      </c>
      <c r="R241" s="611">
        <v>0</v>
      </c>
      <c r="S241" s="611">
        <v>0</v>
      </c>
      <c r="T241" s="611">
        <v>0</v>
      </c>
      <c r="U241" s="611">
        <v>0</v>
      </c>
      <c r="V241" s="611">
        <v>0</v>
      </c>
      <c r="W241" s="611">
        <v>0</v>
      </c>
      <c r="X241" s="611">
        <v>0</v>
      </c>
      <c r="Y241" s="611">
        <v>0</v>
      </c>
      <c r="Z241" s="613">
        <v>0</v>
      </c>
      <c r="AA241" s="51"/>
    </row>
    <row r="242" spans="1:27" x14ac:dyDescent="0.25">
      <c r="A242" s="51">
        <v>12</v>
      </c>
      <c r="B242" s="51">
        <v>2028</v>
      </c>
      <c r="C242" s="51" t="s">
        <v>47</v>
      </c>
      <c r="D242" s="51" t="s">
        <v>493</v>
      </c>
      <c r="E242" s="51" t="s">
        <v>564</v>
      </c>
      <c r="F242" s="51"/>
      <c r="G242" s="614" t="s">
        <v>65</v>
      </c>
      <c r="H242" s="615">
        <v>38.608034518998579</v>
      </c>
      <c r="I242" s="615">
        <v>433.18908565453916</v>
      </c>
      <c r="J242" s="615">
        <v>149.25409853432495</v>
      </c>
      <c r="K242" s="615">
        <v>-0.88812944417760198</v>
      </c>
      <c r="L242" s="615">
        <v>306.32374527004794</v>
      </c>
      <c r="M242" s="615">
        <v>-0.12645508616383627</v>
      </c>
      <c r="N242" s="615">
        <v>1175.008</v>
      </c>
      <c r="O242" s="615">
        <v>183.78609385973064</v>
      </c>
      <c r="P242" s="615">
        <v>313.77162023283734</v>
      </c>
      <c r="Q242" s="615">
        <v>32.620053223849091</v>
      </c>
      <c r="R242" s="615">
        <v>0.91470792892890262</v>
      </c>
      <c r="S242" s="615">
        <v>-0.4604322926990882</v>
      </c>
      <c r="T242" s="615">
        <v>105.81752255151613</v>
      </c>
      <c r="U242" s="615">
        <v>4.0820018778956646</v>
      </c>
      <c r="V242" s="615">
        <v>18.176827139597577</v>
      </c>
      <c r="W242" s="615">
        <v>-89.942551340345176</v>
      </c>
      <c r="X242" s="615">
        <v>0</v>
      </c>
      <c r="Y242" s="615">
        <v>-5.1110724267898235E-2</v>
      </c>
      <c r="Z242" s="615">
        <v>2670.083111904612</v>
      </c>
      <c r="AA242" s="51"/>
    </row>
    <row r="243" spans="1:27" x14ac:dyDescent="0.25">
      <c r="A243" s="51"/>
      <c r="B243" s="51"/>
      <c r="C243" s="51"/>
      <c r="D243" s="51"/>
      <c r="E243" s="51"/>
      <c r="F243" s="51"/>
      <c r="G243" s="616"/>
      <c r="H243" s="617"/>
      <c r="I243" s="617"/>
      <c r="J243" s="617"/>
      <c r="K243" s="617"/>
      <c r="L243" s="617"/>
      <c r="M243" s="617"/>
      <c r="N243" s="617"/>
      <c r="O243" s="617"/>
      <c r="P243" s="617"/>
      <c r="Q243" s="617"/>
      <c r="R243" s="617"/>
      <c r="S243" s="617"/>
      <c r="T243" s="617"/>
      <c r="U243" s="617"/>
      <c r="V243" s="617"/>
      <c r="W243" s="617"/>
      <c r="X243" s="617"/>
      <c r="Y243" s="617"/>
      <c r="Z243" s="617"/>
      <c r="AA243" s="51"/>
    </row>
    <row r="244" spans="1:27" x14ac:dyDescent="0.25">
      <c r="A244" s="51">
        <v>14</v>
      </c>
      <c r="B244" s="51">
        <v>2028</v>
      </c>
      <c r="C244" s="51" t="s">
        <v>47</v>
      </c>
      <c r="D244" s="51" t="s">
        <v>494</v>
      </c>
      <c r="E244" s="51" t="s">
        <v>564</v>
      </c>
      <c r="F244" s="51"/>
      <c r="G244" s="618" t="s">
        <v>67</v>
      </c>
      <c r="H244" s="611">
        <v>0</v>
      </c>
      <c r="I244" s="611">
        <v>0</v>
      </c>
      <c r="J244" s="611">
        <v>0</v>
      </c>
      <c r="K244" s="611">
        <v>0</v>
      </c>
      <c r="L244" s="611">
        <v>0</v>
      </c>
      <c r="M244" s="611">
        <v>0</v>
      </c>
      <c r="N244" s="611">
        <v>0</v>
      </c>
      <c r="O244" s="611">
        <v>0</v>
      </c>
      <c r="P244" s="611">
        <v>0</v>
      </c>
      <c r="Q244" s="611">
        <v>0</v>
      </c>
      <c r="R244" s="611">
        <v>0</v>
      </c>
      <c r="S244" s="611">
        <v>0</v>
      </c>
      <c r="T244" s="611">
        <v>0</v>
      </c>
      <c r="U244" s="611">
        <v>0</v>
      </c>
      <c r="V244" s="611">
        <v>0</v>
      </c>
      <c r="W244" s="611">
        <v>0</v>
      </c>
      <c r="X244" s="611">
        <v>0</v>
      </c>
      <c r="Y244" s="611">
        <v>0</v>
      </c>
      <c r="Z244" s="619">
        <v>0</v>
      </c>
      <c r="AA244" s="51"/>
    </row>
    <row r="245" spans="1:27" x14ac:dyDescent="0.25">
      <c r="A245" s="51">
        <v>15</v>
      </c>
      <c r="B245" s="51">
        <v>2028</v>
      </c>
      <c r="C245" s="51" t="s">
        <v>47</v>
      </c>
      <c r="D245" s="51" t="s">
        <v>495</v>
      </c>
      <c r="E245" s="51" t="s">
        <v>564</v>
      </c>
      <c r="F245" s="51"/>
      <c r="G245" s="618" t="s">
        <v>347</v>
      </c>
      <c r="H245" s="611">
        <v>0</v>
      </c>
      <c r="I245" s="611">
        <v>0</v>
      </c>
      <c r="J245" s="611">
        <v>1.6389351552084053</v>
      </c>
      <c r="K245" s="611">
        <v>0</v>
      </c>
      <c r="L245" s="611">
        <v>52.55573442014758</v>
      </c>
      <c r="M245" s="611">
        <v>0</v>
      </c>
      <c r="N245" s="611">
        <v>1175.008</v>
      </c>
      <c r="O245" s="611">
        <v>183.78609385973064</v>
      </c>
      <c r="P245" s="611">
        <v>13.580308962925699</v>
      </c>
      <c r="Q245" s="611">
        <v>6.8380437921782065</v>
      </c>
      <c r="R245" s="611">
        <v>4.867247129818443</v>
      </c>
      <c r="S245" s="611">
        <v>11.297543778667091</v>
      </c>
      <c r="T245" s="611">
        <v>0</v>
      </c>
      <c r="U245" s="611">
        <v>0</v>
      </c>
      <c r="V245" s="611">
        <v>0.1274458438995901</v>
      </c>
      <c r="W245" s="611">
        <v>-618.49790856307618</v>
      </c>
      <c r="X245" s="611">
        <v>0</v>
      </c>
      <c r="Y245" s="611">
        <v>0</v>
      </c>
      <c r="Z245" s="619">
        <v>831.20144437949989</v>
      </c>
      <c r="AA245" s="51"/>
    </row>
    <row r="246" spans="1:27" x14ac:dyDescent="0.25">
      <c r="A246" s="51">
        <v>16</v>
      </c>
      <c r="B246" s="51">
        <v>2028</v>
      </c>
      <c r="C246" s="51" t="s">
        <v>47</v>
      </c>
      <c r="D246" s="51" t="s">
        <v>496</v>
      </c>
      <c r="E246" s="51" t="s">
        <v>564</v>
      </c>
      <c r="F246" s="51"/>
      <c r="G246" s="618" t="s">
        <v>348</v>
      </c>
      <c r="H246" s="611">
        <v>6.9545454545454535E-2</v>
      </c>
      <c r="I246" s="611">
        <v>0</v>
      </c>
      <c r="J246" s="611">
        <v>0.50426966292134823</v>
      </c>
      <c r="K246" s="611">
        <v>0</v>
      </c>
      <c r="L246" s="611">
        <v>19.101886685786564</v>
      </c>
      <c r="M246" s="611">
        <v>0</v>
      </c>
      <c r="N246" s="611">
        <v>0</v>
      </c>
      <c r="O246" s="611">
        <v>0</v>
      </c>
      <c r="P246" s="611">
        <v>22.34106879909254</v>
      </c>
      <c r="Q246" s="611">
        <v>13.80938904171672</v>
      </c>
      <c r="R246" s="611">
        <v>0</v>
      </c>
      <c r="S246" s="611">
        <v>4.3128511931303732</v>
      </c>
      <c r="T246" s="611">
        <v>0.18474881425105977</v>
      </c>
      <c r="U246" s="611">
        <v>4.0820018778956646</v>
      </c>
      <c r="V246" s="611">
        <v>7.8101102863769309</v>
      </c>
      <c r="W246" s="611">
        <v>0</v>
      </c>
      <c r="X246" s="620">
        <v>-63.81473313408717</v>
      </c>
      <c r="Y246" s="611">
        <v>0</v>
      </c>
      <c r="Z246" s="619">
        <v>8.4011386816294831</v>
      </c>
      <c r="AA246" s="51"/>
    </row>
    <row r="247" spans="1:27" x14ac:dyDescent="0.25">
      <c r="A247" s="51">
        <v>17</v>
      </c>
      <c r="B247" s="51">
        <v>2028</v>
      </c>
      <c r="C247" s="51" t="s">
        <v>47</v>
      </c>
      <c r="D247" s="51" t="s">
        <v>497</v>
      </c>
      <c r="E247" s="51" t="s">
        <v>564</v>
      </c>
      <c r="F247" s="51"/>
      <c r="G247" s="618" t="s">
        <v>349</v>
      </c>
      <c r="H247" s="611">
        <v>0</v>
      </c>
      <c r="I247" s="611">
        <v>0</v>
      </c>
      <c r="J247" s="611">
        <v>0</v>
      </c>
      <c r="K247" s="611">
        <v>0</v>
      </c>
      <c r="L247" s="611">
        <v>0</v>
      </c>
      <c r="M247" s="611">
        <v>0</v>
      </c>
      <c r="N247" s="611">
        <v>0</v>
      </c>
      <c r="O247" s="611">
        <v>0</v>
      </c>
      <c r="P247" s="611">
        <v>87.445861945931355</v>
      </c>
      <c r="Q247" s="611">
        <v>0</v>
      </c>
      <c r="R247" s="611">
        <v>0</v>
      </c>
      <c r="S247" s="611">
        <v>-43.722930972965685</v>
      </c>
      <c r="T247" s="611">
        <v>0</v>
      </c>
      <c r="U247" s="611">
        <v>0</v>
      </c>
      <c r="V247" s="611">
        <v>0</v>
      </c>
      <c r="W247" s="611">
        <v>0</v>
      </c>
      <c r="X247" s="611">
        <v>0</v>
      </c>
      <c r="Y247" s="611">
        <v>0</v>
      </c>
      <c r="Z247" s="619">
        <v>43.722930972965671</v>
      </c>
      <c r="AA247" s="51"/>
    </row>
    <row r="248" spans="1:27" x14ac:dyDescent="0.25">
      <c r="A248" s="51">
        <v>18</v>
      </c>
      <c r="B248" s="51">
        <v>2028</v>
      </c>
      <c r="C248" s="51" t="s">
        <v>47</v>
      </c>
      <c r="D248" s="51" t="s">
        <v>498</v>
      </c>
      <c r="E248" s="51" t="s">
        <v>564</v>
      </c>
      <c r="F248" s="51"/>
      <c r="G248" s="618" t="s">
        <v>350</v>
      </c>
      <c r="H248" s="611">
        <v>0</v>
      </c>
      <c r="I248" s="611">
        <v>0</v>
      </c>
      <c r="J248" s="611">
        <v>0</v>
      </c>
      <c r="K248" s="611">
        <v>0</v>
      </c>
      <c r="L248" s="611">
        <v>0</v>
      </c>
      <c r="M248" s="620">
        <v>-0.12645508616383627</v>
      </c>
      <c r="N248" s="611">
        <v>0</v>
      </c>
      <c r="O248" s="611">
        <v>0</v>
      </c>
      <c r="P248" s="611">
        <v>0</v>
      </c>
      <c r="Q248" s="611">
        <v>0</v>
      </c>
      <c r="R248" s="611">
        <v>0</v>
      </c>
      <c r="S248" s="611">
        <v>0</v>
      </c>
      <c r="T248" s="611">
        <v>0</v>
      </c>
      <c r="U248" s="611">
        <v>0</v>
      </c>
      <c r="V248" s="611">
        <v>0</v>
      </c>
      <c r="W248" s="611">
        <v>0</v>
      </c>
      <c r="X248" s="611">
        <v>0</v>
      </c>
      <c r="Y248" s="611">
        <v>0.17563206411643928</v>
      </c>
      <c r="Z248" s="619">
        <v>4.9176977952603007E-2</v>
      </c>
      <c r="AA248" s="51"/>
    </row>
    <row r="249" spans="1:27" x14ac:dyDescent="0.25">
      <c r="A249" s="51">
        <v>19</v>
      </c>
      <c r="B249" s="51">
        <v>2028</v>
      </c>
      <c r="C249" s="51" t="s">
        <v>47</v>
      </c>
      <c r="D249" s="51" t="s">
        <v>499</v>
      </c>
      <c r="E249" s="51" t="s">
        <v>564</v>
      </c>
      <c r="F249" s="51"/>
      <c r="G249" s="618" t="s">
        <v>72</v>
      </c>
      <c r="H249" s="611">
        <v>0</v>
      </c>
      <c r="I249" s="611">
        <v>448.96671017017962</v>
      </c>
      <c r="J249" s="611">
        <v>-444.47704306847783</v>
      </c>
      <c r="K249" s="611">
        <v>0</v>
      </c>
      <c r="L249" s="611">
        <v>0</v>
      </c>
      <c r="M249" s="611">
        <v>0</v>
      </c>
      <c r="N249" s="611">
        <v>0</v>
      </c>
      <c r="O249" s="611">
        <v>0</v>
      </c>
      <c r="P249" s="611">
        <v>0</v>
      </c>
      <c r="Q249" s="611">
        <v>0</v>
      </c>
      <c r="R249" s="611">
        <v>0</v>
      </c>
      <c r="S249" s="611">
        <v>0</v>
      </c>
      <c r="T249" s="611">
        <v>0</v>
      </c>
      <c r="U249" s="611">
        <v>0</v>
      </c>
      <c r="V249" s="611">
        <v>0</v>
      </c>
      <c r="W249" s="611">
        <v>0</v>
      </c>
      <c r="X249" s="611">
        <v>0</v>
      </c>
      <c r="Y249" s="611">
        <v>0</v>
      </c>
      <c r="Z249" s="619">
        <v>4.4896671017017979</v>
      </c>
      <c r="AA249" s="51"/>
    </row>
    <row r="250" spans="1:27" x14ac:dyDescent="0.25">
      <c r="A250" s="51">
        <v>20</v>
      </c>
      <c r="B250" s="51">
        <v>2028</v>
      </c>
      <c r="C250" s="51" t="s">
        <v>47</v>
      </c>
      <c r="D250" s="51" t="s">
        <v>500</v>
      </c>
      <c r="E250" s="51" t="s">
        <v>564</v>
      </c>
      <c r="F250" s="51"/>
      <c r="G250" s="618" t="s">
        <v>351</v>
      </c>
      <c r="H250" s="611">
        <v>0</v>
      </c>
      <c r="I250" s="611">
        <v>0</v>
      </c>
      <c r="J250" s="611">
        <v>0</v>
      </c>
      <c r="K250" s="611">
        <v>0</v>
      </c>
      <c r="L250" s="611">
        <v>0</v>
      </c>
      <c r="M250" s="611">
        <v>0</v>
      </c>
      <c r="N250" s="611">
        <v>0</v>
      </c>
      <c r="O250" s="611">
        <v>0</v>
      </c>
      <c r="P250" s="611">
        <v>84.439667965618284</v>
      </c>
      <c r="Q250" s="611">
        <v>0</v>
      </c>
      <c r="R250" s="620">
        <v>-46.441817381090061</v>
      </c>
      <c r="S250" s="611">
        <v>0</v>
      </c>
      <c r="T250" s="611">
        <v>0</v>
      </c>
      <c r="U250" s="611">
        <v>0</v>
      </c>
      <c r="V250" s="611">
        <v>0</v>
      </c>
      <c r="W250" s="611">
        <v>0</v>
      </c>
      <c r="X250" s="611">
        <v>0</v>
      </c>
      <c r="Y250" s="611">
        <v>0</v>
      </c>
      <c r="Z250" s="619">
        <v>37.997850584528223</v>
      </c>
      <c r="AA250" s="51"/>
    </row>
    <row r="251" spans="1:27" x14ac:dyDescent="0.25">
      <c r="A251" s="51">
        <v>21</v>
      </c>
      <c r="B251" s="51">
        <v>2028</v>
      </c>
      <c r="C251" s="51" t="s">
        <v>47</v>
      </c>
      <c r="D251" s="51" t="s">
        <v>501</v>
      </c>
      <c r="E251" s="51" t="s">
        <v>564</v>
      </c>
      <c r="F251" s="51"/>
      <c r="G251" s="618" t="s">
        <v>352</v>
      </c>
      <c r="H251" s="611">
        <v>0</v>
      </c>
      <c r="I251" s="611">
        <v>0</v>
      </c>
      <c r="J251" s="611">
        <v>0</v>
      </c>
      <c r="K251" s="611">
        <v>-2.0305389965147405</v>
      </c>
      <c r="L251" s="611">
        <v>0</v>
      </c>
      <c r="M251" s="611">
        <v>0</v>
      </c>
      <c r="N251" s="611">
        <v>0</v>
      </c>
      <c r="O251" s="611">
        <v>0</v>
      </c>
      <c r="P251" s="611">
        <v>0</v>
      </c>
      <c r="Q251" s="611">
        <v>0</v>
      </c>
      <c r="R251" s="611">
        <v>0</v>
      </c>
      <c r="S251" s="611">
        <v>0</v>
      </c>
      <c r="T251" s="611">
        <v>0</v>
      </c>
      <c r="U251" s="611">
        <v>0</v>
      </c>
      <c r="V251" s="611">
        <v>0</v>
      </c>
      <c r="W251" s="611">
        <v>0</v>
      </c>
      <c r="X251" s="611">
        <v>0</v>
      </c>
      <c r="Y251" s="611">
        <v>3.4825832007087256</v>
      </c>
      <c r="Z251" s="619">
        <v>1.4520442041939852</v>
      </c>
      <c r="AA251" s="51"/>
    </row>
    <row r="252" spans="1:27" x14ac:dyDescent="0.25">
      <c r="A252" s="51">
        <v>22</v>
      </c>
      <c r="B252" s="51">
        <v>2028</v>
      </c>
      <c r="C252" s="51" t="s">
        <v>47</v>
      </c>
      <c r="D252" s="51" t="s">
        <v>502</v>
      </c>
      <c r="E252" s="51" t="s">
        <v>564</v>
      </c>
      <c r="F252" s="51"/>
      <c r="G252" s="618" t="s">
        <v>73</v>
      </c>
      <c r="H252" s="611">
        <v>0</v>
      </c>
      <c r="I252" s="611">
        <v>0</v>
      </c>
      <c r="J252" s="611">
        <v>0</v>
      </c>
      <c r="K252" s="611">
        <v>0</v>
      </c>
      <c r="L252" s="611">
        <v>0</v>
      </c>
      <c r="M252" s="611">
        <v>0</v>
      </c>
      <c r="N252" s="611">
        <v>0</v>
      </c>
      <c r="O252" s="611">
        <v>0</v>
      </c>
      <c r="P252" s="611">
        <v>0</v>
      </c>
      <c r="Q252" s="611">
        <v>0</v>
      </c>
      <c r="R252" s="611">
        <v>0</v>
      </c>
      <c r="S252" s="611">
        <v>0</v>
      </c>
      <c r="T252" s="611">
        <v>0</v>
      </c>
      <c r="U252" s="611">
        <v>0</v>
      </c>
      <c r="V252" s="611">
        <v>0</v>
      </c>
      <c r="W252" s="611">
        <v>10.339814117977214</v>
      </c>
      <c r="X252" s="611">
        <v>0</v>
      </c>
      <c r="Y252" s="611">
        <v>-6.7208791766851892</v>
      </c>
      <c r="Z252" s="619">
        <v>3.6189349412920251</v>
      </c>
      <c r="AA252" s="51"/>
    </row>
    <row r="253" spans="1:27" x14ac:dyDescent="0.25">
      <c r="A253" s="51">
        <v>23</v>
      </c>
      <c r="B253" s="51">
        <v>2028</v>
      </c>
      <c r="C253" s="51" t="s">
        <v>47</v>
      </c>
      <c r="D253" s="51" t="s">
        <v>503</v>
      </c>
      <c r="E253" s="51" t="s">
        <v>564</v>
      </c>
      <c r="F253" s="51"/>
      <c r="G253" s="618" t="s">
        <v>353</v>
      </c>
      <c r="H253" s="611">
        <v>20.09207953125</v>
      </c>
      <c r="I253" s="611">
        <v>-15.77762451564047</v>
      </c>
      <c r="J253" s="611">
        <v>20.75596720074418</v>
      </c>
      <c r="K253" s="611">
        <v>0</v>
      </c>
      <c r="L253" s="611">
        <v>0</v>
      </c>
      <c r="M253" s="611">
        <v>0</v>
      </c>
      <c r="N253" s="611">
        <v>0</v>
      </c>
      <c r="O253" s="611">
        <v>0</v>
      </c>
      <c r="P253" s="611">
        <v>0</v>
      </c>
      <c r="Q253" s="611">
        <v>0</v>
      </c>
      <c r="R253" s="611">
        <v>0</v>
      </c>
      <c r="S253" s="611">
        <v>0</v>
      </c>
      <c r="T253" s="611">
        <v>0</v>
      </c>
      <c r="U253" s="611">
        <v>0</v>
      </c>
      <c r="V253" s="611">
        <v>0</v>
      </c>
      <c r="W253" s="611">
        <v>0</v>
      </c>
      <c r="X253" s="611">
        <v>0</v>
      </c>
      <c r="Y253" s="611">
        <v>0</v>
      </c>
      <c r="Z253" s="619">
        <v>25.070422216353712</v>
      </c>
      <c r="AA253" s="51"/>
    </row>
    <row r="254" spans="1:27" x14ac:dyDescent="0.25">
      <c r="A254" s="51">
        <v>24</v>
      </c>
      <c r="B254" s="51">
        <v>2028</v>
      </c>
      <c r="C254" s="51" t="s">
        <v>47</v>
      </c>
      <c r="D254" s="51" t="s">
        <v>504</v>
      </c>
      <c r="E254" s="51" t="s">
        <v>564</v>
      </c>
      <c r="F254" s="51"/>
      <c r="G254" s="618" t="s">
        <v>75</v>
      </c>
      <c r="H254" s="611">
        <v>7.8135864843750014</v>
      </c>
      <c r="I254" s="611">
        <v>0</v>
      </c>
      <c r="J254" s="611">
        <v>15.507167335345123</v>
      </c>
      <c r="K254" s="611">
        <v>0</v>
      </c>
      <c r="L254" s="611">
        <v>4.5030262354367574</v>
      </c>
      <c r="M254" s="611">
        <v>0</v>
      </c>
      <c r="N254" s="611">
        <v>0</v>
      </c>
      <c r="O254" s="611">
        <v>0</v>
      </c>
      <c r="P254" s="611">
        <v>0</v>
      </c>
      <c r="Q254" s="611">
        <v>0</v>
      </c>
      <c r="R254" s="611">
        <v>0</v>
      </c>
      <c r="S254" s="611">
        <v>0.55655380437982394</v>
      </c>
      <c r="T254" s="611">
        <v>0</v>
      </c>
      <c r="U254" s="611">
        <v>0</v>
      </c>
      <c r="V254" s="611">
        <v>0</v>
      </c>
      <c r="W254" s="620">
        <v>32.619915709375256</v>
      </c>
      <c r="X254" s="611">
        <v>0</v>
      </c>
      <c r="Y254" s="611">
        <v>0</v>
      </c>
      <c r="Z254" s="619">
        <v>61.000249568911961</v>
      </c>
      <c r="AA254" s="51"/>
    </row>
    <row r="255" spans="1:27" x14ac:dyDescent="0.25">
      <c r="A255" s="51">
        <v>25</v>
      </c>
      <c r="B255" s="51">
        <v>2028</v>
      </c>
      <c r="C255" s="51" t="s">
        <v>47</v>
      </c>
      <c r="D255" s="51" t="s">
        <v>505</v>
      </c>
      <c r="E255" s="51" t="s">
        <v>564</v>
      </c>
      <c r="F255" s="51"/>
      <c r="G255" s="618" t="s">
        <v>76</v>
      </c>
      <c r="H255" s="611">
        <v>0</v>
      </c>
      <c r="I255" s="611">
        <v>0</v>
      </c>
      <c r="J255" s="611">
        <v>0</v>
      </c>
      <c r="K255" s="611">
        <v>0</v>
      </c>
      <c r="L255" s="611">
        <v>3.5455371380808627</v>
      </c>
      <c r="M255" s="611">
        <v>0</v>
      </c>
      <c r="N255" s="611">
        <v>0</v>
      </c>
      <c r="O255" s="611">
        <v>0</v>
      </c>
      <c r="P255" s="611">
        <v>0</v>
      </c>
      <c r="Q255" s="611">
        <v>0</v>
      </c>
      <c r="R255" s="611">
        <v>0</v>
      </c>
      <c r="S255" s="611">
        <v>0.43821245526842123</v>
      </c>
      <c r="T255" s="611">
        <v>0</v>
      </c>
      <c r="U255" s="611">
        <v>0</v>
      </c>
      <c r="V255" s="611">
        <v>0</v>
      </c>
      <c r="W255" s="611">
        <v>43.212685704300384</v>
      </c>
      <c r="X255" s="611">
        <v>4.9492944844178224</v>
      </c>
      <c r="Y255" s="611">
        <v>0</v>
      </c>
      <c r="Z255" s="619">
        <v>52.145729782067491</v>
      </c>
      <c r="AA255" s="51"/>
    </row>
    <row r="256" spans="1:27" x14ac:dyDescent="0.25">
      <c r="A256" s="51">
        <v>26</v>
      </c>
      <c r="B256" s="51">
        <v>2028</v>
      </c>
      <c r="C256" s="51" t="s">
        <v>47</v>
      </c>
      <c r="D256" s="51" t="s">
        <v>506</v>
      </c>
      <c r="E256" s="51" t="s">
        <v>564</v>
      </c>
      <c r="F256" s="51"/>
      <c r="G256" s="614" t="s">
        <v>77</v>
      </c>
      <c r="H256" s="615">
        <v>27.975211470170457</v>
      </c>
      <c r="I256" s="615">
        <v>433.18908565453916</v>
      </c>
      <c r="J256" s="615">
        <v>-406.0707037142588</v>
      </c>
      <c r="K256" s="615">
        <v>-2.0305389965147405</v>
      </c>
      <c r="L256" s="615">
        <v>79.706184479451764</v>
      </c>
      <c r="M256" s="615">
        <v>-0.12645508616383627</v>
      </c>
      <c r="N256" s="615">
        <v>1175.008</v>
      </c>
      <c r="O256" s="615">
        <v>183.78609385973064</v>
      </c>
      <c r="P256" s="615">
        <v>207.80690767356788</v>
      </c>
      <c r="Q256" s="615">
        <v>20.647432833894925</v>
      </c>
      <c r="R256" s="615">
        <v>-41.574570251271616</v>
      </c>
      <c r="S256" s="615">
        <v>-27.117769741519975</v>
      </c>
      <c r="T256" s="615">
        <v>0.18474881425105977</v>
      </c>
      <c r="U256" s="615">
        <v>4.0820018778956646</v>
      </c>
      <c r="V256" s="615">
        <v>7.937556130276521</v>
      </c>
      <c r="W256" s="615">
        <v>-532.32549303142332</v>
      </c>
      <c r="X256" s="615">
        <v>-58.86543864966935</v>
      </c>
      <c r="Y256" s="615">
        <v>-3.0626639118600245</v>
      </c>
      <c r="Z256" s="615">
        <v>1069.1495894110967</v>
      </c>
      <c r="AA256" s="51"/>
    </row>
    <row r="257" spans="1:27" x14ac:dyDescent="0.25">
      <c r="A257" s="51"/>
      <c r="B257" s="51"/>
      <c r="C257" s="51"/>
      <c r="D257" s="51"/>
      <c r="E257" s="51"/>
      <c r="F257" s="51"/>
      <c r="G257" s="616"/>
      <c r="H257" s="617"/>
      <c r="I257" s="617"/>
      <c r="J257" s="617"/>
      <c r="K257" s="617"/>
      <c r="L257" s="617"/>
      <c r="M257" s="617"/>
      <c r="N257" s="617"/>
      <c r="O257" s="617"/>
      <c r="P257" s="617"/>
      <c r="Q257" s="617"/>
      <c r="R257" s="617"/>
      <c r="S257" s="617"/>
      <c r="T257" s="617"/>
      <c r="U257" s="617"/>
      <c r="V257" s="617"/>
      <c r="W257" s="617"/>
      <c r="X257" s="617"/>
      <c r="Y257" s="617"/>
      <c r="Z257" s="617"/>
      <c r="AA257" s="51"/>
    </row>
    <row r="258" spans="1:27" x14ac:dyDescent="0.25">
      <c r="A258" s="51">
        <v>28</v>
      </c>
      <c r="B258" s="51">
        <v>2028</v>
      </c>
      <c r="C258" s="51" t="s">
        <v>47</v>
      </c>
      <c r="D258" s="51" t="s">
        <v>507</v>
      </c>
      <c r="E258" s="51" t="s">
        <v>564</v>
      </c>
      <c r="F258" s="51"/>
      <c r="G258" s="618" t="s">
        <v>78</v>
      </c>
      <c r="H258" s="611">
        <v>10.632823048828126</v>
      </c>
      <c r="I258" s="611">
        <v>0</v>
      </c>
      <c r="J258" s="611">
        <v>18.222362471319137</v>
      </c>
      <c r="K258" s="611">
        <v>0</v>
      </c>
      <c r="L258" s="611">
        <v>75.173090399874781</v>
      </c>
      <c r="M258" s="620">
        <v>0</v>
      </c>
      <c r="N258" s="611">
        <v>0</v>
      </c>
      <c r="O258" s="611">
        <v>0</v>
      </c>
      <c r="P258" s="611">
        <v>33.761855114974665</v>
      </c>
      <c r="Q258" s="611">
        <v>11.972620389954164</v>
      </c>
      <c r="R258" s="611">
        <v>0.84138007723617436</v>
      </c>
      <c r="S258" s="611">
        <v>9.3168924720261739</v>
      </c>
      <c r="T258" s="611">
        <v>6.80673193359375</v>
      </c>
      <c r="U258" s="611">
        <v>0</v>
      </c>
      <c r="V258" s="611">
        <v>5.2671642446208732E-4</v>
      </c>
      <c r="W258" s="611">
        <v>132.45048257043462</v>
      </c>
      <c r="X258" s="611">
        <v>18.741915771177506</v>
      </c>
      <c r="Y258" s="611">
        <v>1.6401419677734375</v>
      </c>
      <c r="Z258" s="619">
        <v>319.56082293361703</v>
      </c>
      <c r="AA258" s="51"/>
    </row>
    <row r="259" spans="1:27" x14ac:dyDescent="0.25">
      <c r="A259" s="51">
        <v>29</v>
      </c>
      <c r="B259" s="51">
        <v>2028</v>
      </c>
      <c r="C259" s="51" t="s">
        <v>47</v>
      </c>
      <c r="D259" s="51" t="s">
        <v>508</v>
      </c>
      <c r="E259" s="51" t="s">
        <v>564</v>
      </c>
      <c r="F259" s="51"/>
      <c r="G259" s="618" t="s">
        <v>79</v>
      </c>
      <c r="H259" s="611">
        <v>0</v>
      </c>
      <c r="I259" s="611">
        <v>0</v>
      </c>
      <c r="J259" s="611">
        <v>364.30566934999553</v>
      </c>
      <c r="K259" s="611">
        <v>0</v>
      </c>
      <c r="L259" s="611">
        <v>4.9934721794589949</v>
      </c>
      <c r="M259" s="620">
        <v>0</v>
      </c>
      <c r="N259" s="611">
        <v>0</v>
      </c>
      <c r="O259" s="611">
        <v>0</v>
      </c>
      <c r="P259" s="611">
        <v>0</v>
      </c>
      <c r="Q259" s="611">
        <v>0</v>
      </c>
      <c r="R259" s="611">
        <v>36.866001172977988</v>
      </c>
      <c r="S259" s="611">
        <v>0.61717071880953867</v>
      </c>
      <c r="T259" s="611">
        <v>0</v>
      </c>
      <c r="U259" s="611">
        <v>0</v>
      </c>
      <c r="V259" s="611">
        <v>0</v>
      </c>
      <c r="W259" s="611">
        <v>27.389081420893032</v>
      </c>
      <c r="X259" s="611">
        <v>0</v>
      </c>
      <c r="Y259" s="611">
        <v>0.58290015650478255</v>
      </c>
      <c r="Z259" s="619">
        <v>434.75429499863981</v>
      </c>
      <c r="AA259" s="51"/>
    </row>
    <row r="260" spans="1:27" x14ac:dyDescent="0.25">
      <c r="A260" s="51">
        <v>30</v>
      </c>
      <c r="B260" s="51">
        <v>2028</v>
      </c>
      <c r="C260" s="51" t="s">
        <v>47</v>
      </c>
      <c r="D260" s="51" t="s">
        <v>509</v>
      </c>
      <c r="E260" s="51" t="s">
        <v>564</v>
      </c>
      <c r="F260" s="51"/>
      <c r="G260" s="618" t="s">
        <v>80</v>
      </c>
      <c r="H260" s="611">
        <v>0</v>
      </c>
      <c r="I260" s="611">
        <v>0</v>
      </c>
      <c r="J260" s="611">
        <v>17.300403429506911</v>
      </c>
      <c r="K260" s="611">
        <v>0</v>
      </c>
      <c r="L260" s="611">
        <v>80.727102596602222</v>
      </c>
      <c r="M260" s="620">
        <v>0</v>
      </c>
      <c r="N260" s="611">
        <v>0</v>
      </c>
      <c r="O260" s="611">
        <v>0</v>
      </c>
      <c r="P260" s="611">
        <v>62.984132596381187</v>
      </c>
      <c r="Q260" s="611">
        <v>0</v>
      </c>
      <c r="R260" s="611">
        <v>0</v>
      </c>
      <c r="S260" s="611">
        <v>9.9775070625013988</v>
      </c>
      <c r="T260" s="611">
        <v>69.44436896667392</v>
      </c>
      <c r="U260" s="611">
        <v>0</v>
      </c>
      <c r="V260" s="611">
        <v>5.7961146695857284</v>
      </c>
      <c r="W260" s="611">
        <v>150.94259438283962</v>
      </c>
      <c r="X260" s="611">
        <v>20.549031907494186</v>
      </c>
      <c r="Y260" s="611">
        <v>0</v>
      </c>
      <c r="Z260" s="619">
        <v>417.72125561158515</v>
      </c>
      <c r="AA260" s="51"/>
    </row>
    <row r="261" spans="1:27" x14ac:dyDescent="0.25">
      <c r="A261" s="51">
        <v>31</v>
      </c>
      <c r="B261" s="51">
        <v>2028</v>
      </c>
      <c r="C261" s="51" t="s">
        <v>47</v>
      </c>
      <c r="D261" s="51" t="s">
        <v>510</v>
      </c>
      <c r="E261" s="51" t="s">
        <v>564</v>
      </c>
      <c r="F261" s="51"/>
      <c r="G261" s="618" t="s">
        <v>81</v>
      </c>
      <c r="H261" s="611">
        <v>0</v>
      </c>
      <c r="I261" s="611">
        <v>0</v>
      </c>
      <c r="J261" s="611">
        <v>9.5155712560190242</v>
      </c>
      <c r="K261" s="611">
        <v>0</v>
      </c>
      <c r="L261" s="611">
        <v>50.730262936376946</v>
      </c>
      <c r="M261" s="620">
        <v>0</v>
      </c>
      <c r="N261" s="611">
        <v>0</v>
      </c>
      <c r="O261" s="611">
        <v>0</v>
      </c>
      <c r="P261" s="611">
        <v>0.5857399217546202</v>
      </c>
      <c r="Q261" s="611">
        <v>0</v>
      </c>
      <c r="R261" s="611">
        <v>0</v>
      </c>
      <c r="S261" s="611">
        <v>6.2700324977544541</v>
      </c>
      <c r="T261" s="611">
        <v>28.981672836997397</v>
      </c>
      <c r="U261" s="611">
        <v>0</v>
      </c>
      <c r="V261" s="611">
        <v>3.9232543564412272</v>
      </c>
      <c r="W261" s="611">
        <v>123.64999121783286</v>
      </c>
      <c r="X261" s="611">
        <v>19.574461868619835</v>
      </c>
      <c r="Y261" s="611">
        <v>0</v>
      </c>
      <c r="Z261" s="619">
        <v>243.23098689179636</v>
      </c>
      <c r="AA261" s="51"/>
    </row>
    <row r="262" spans="1:27" x14ac:dyDescent="0.25">
      <c r="A262" s="51">
        <v>32</v>
      </c>
      <c r="B262" s="51">
        <v>2028</v>
      </c>
      <c r="C262" s="51" t="s">
        <v>47</v>
      </c>
      <c r="D262" s="51" t="s">
        <v>511</v>
      </c>
      <c r="E262" s="51" t="s">
        <v>564</v>
      </c>
      <c r="F262" s="51"/>
      <c r="G262" s="618" t="s">
        <v>82</v>
      </c>
      <c r="H262" s="611">
        <v>0</v>
      </c>
      <c r="I262" s="611">
        <v>0</v>
      </c>
      <c r="J262" s="611">
        <v>32.644279113114415</v>
      </c>
      <c r="K262" s="611">
        <v>0</v>
      </c>
      <c r="L262" s="611">
        <v>1.7697973975256258</v>
      </c>
      <c r="M262" s="620">
        <v>0</v>
      </c>
      <c r="N262" s="611">
        <v>0</v>
      </c>
      <c r="O262" s="611">
        <v>0</v>
      </c>
      <c r="P262" s="611">
        <v>8.5431833600547655</v>
      </c>
      <c r="Q262" s="611">
        <v>0</v>
      </c>
      <c r="R262" s="611">
        <v>3.4467406074936577</v>
      </c>
      <c r="S262" s="611">
        <v>0.21873900418856049</v>
      </c>
      <c r="T262" s="611">
        <v>0.4</v>
      </c>
      <c r="U262" s="611">
        <v>0</v>
      </c>
      <c r="V262" s="611">
        <v>0.5193752668696392</v>
      </c>
      <c r="W262" s="611">
        <v>7.9507920990780674</v>
      </c>
      <c r="X262" s="611">
        <v>0</v>
      </c>
      <c r="Y262" s="611">
        <v>0.14468782351059181</v>
      </c>
      <c r="Z262" s="619">
        <v>55.63759467183533</v>
      </c>
      <c r="AA262" s="51"/>
    </row>
    <row r="263" spans="1:27" x14ac:dyDescent="0.25">
      <c r="A263" s="51">
        <v>33</v>
      </c>
      <c r="B263" s="51">
        <v>2028</v>
      </c>
      <c r="C263" s="51" t="s">
        <v>47</v>
      </c>
      <c r="D263" s="51" t="s">
        <v>512</v>
      </c>
      <c r="E263" s="51" t="s">
        <v>564</v>
      </c>
      <c r="F263" s="51"/>
      <c r="G263" s="618" t="s">
        <v>354</v>
      </c>
      <c r="H263" s="611">
        <v>0</v>
      </c>
      <c r="I263" s="611">
        <v>0</v>
      </c>
      <c r="J263" s="611">
        <v>0</v>
      </c>
      <c r="K263" s="611">
        <v>0</v>
      </c>
      <c r="L263" s="611">
        <v>0</v>
      </c>
      <c r="M263" s="611">
        <v>0</v>
      </c>
      <c r="N263" s="611">
        <v>0</v>
      </c>
      <c r="O263" s="611">
        <v>0</v>
      </c>
      <c r="P263" s="611">
        <v>0</v>
      </c>
      <c r="Q263" s="611">
        <v>0</v>
      </c>
      <c r="R263" s="611">
        <v>0</v>
      </c>
      <c r="S263" s="611">
        <v>0</v>
      </c>
      <c r="T263" s="611">
        <v>0</v>
      </c>
      <c r="U263" s="611">
        <v>0</v>
      </c>
      <c r="V263" s="611">
        <v>0</v>
      </c>
      <c r="W263" s="611">
        <v>0</v>
      </c>
      <c r="X263" s="611">
        <v>0</v>
      </c>
      <c r="Y263" s="611">
        <v>0</v>
      </c>
      <c r="Z263" s="619">
        <v>0</v>
      </c>
      <c r="AA263" s="51"/>
    </row>
    <row r="264" spans="1:27" x14ac:dyDescent="0.25">
      <c r="A264" s="51">
        <v>34</v>
      </c>
      <c r="B264" s="51">
        <v>2028</v>
      </c>
      <c r="C264" s="51" t="s">
        <v>47</v>
      </c>
      <c r="D264" s="51" t="s">
        <v>513</v>
      </c>
      <c r="E264" s="51" t="s">
        <v>564</v>
      </c>
      <c r="F264" s="51"/>
      <c r="G264" s="614" t="s">
        <v>83</v>
      </c>
      <c r="H264" s="615">
        <v>10.632823048828126</v>
      </c>
      <c r="I264" s="615">
        <v>0</v>
      </c>
      <c r="J264" s="615">
        <v>441.98828561995498</v>
      </c>
      <c r="K264" s="615">
        <v>0</v>
      </c>
      <c r="L264" s="615">
        <v>213.39372550983859</v>
      </c>
      <c r="M264" s="615">
        <v>0</v>
      </c>
      <c r="N264" s="615">
        <v>0</v>
      </c>
      <c r="O264" s="615">
        <v>0</v>
      </c>
      <c r="P264" s="615">
        <v>105.87491099316524</v>
      </c>
      <c r="Q264" s="615">
        <v>11.972620389954164</v>
      </c>
      <c r="R264" s="615">
        <v>41.154121857707821</v>
      </c>
      <c r="S264" s="615">
        <v>26.400341755280124</v>
      </c>
      <c r="T264" s="615">
        <v>105.63277373726507</v>
      </c>
      <c r="U264" s="615">
        <v>0</v>
      </c>
      <c r="V264" s="615">
        <v>10.239271009321056</v>
      </c>
      <c r="W264" s="615">
        <v>442.38294169107814</v>
      </c>
      <c r="X264" s="615">
        <v>58.865409547291527</v>
      </c>
      <c r="Y264" s="615">
        <v>2.3677299477888121</v>
      </c>
      <c r="Z264" s="615">
        <v>1470.9049551074738</v>
      </c>
      <c r="AA264" s="51"/>
    </row>
    <row r="265" spans="1:27" x14ac:dyDescent="0.25">
      <c r="A265" s="51">
        <v>35</v>
      </c>
      <c r="B265" s="51">
        <v>2028</v>
      </c>
      <c r="C265" s="51" t="s">
        <v>47</v>
      </c>
      <c r="D265" s="51" t="s">
        <v>514</v>
      </c>
      <c r="E265" s="51" t="s">
        <v>564</v>
      </c>
      <c r="F265" s="51"/>
      <c r="G265" s="610" t="s">
        <v>84</v>
      </c>
      <c r="H265" s="611">
        <v>0</v>
      </c>
      <c r="I265" s="611">
        <v>0</v>
      </c>
      <c r="J265" s="611">
        <v>113.3365166286287</v>
      </c>
      <c r="K265" s="611">
        <v>1.1424095523371385</v>
      </c>
      <c r="L265" s="611">
        <v>13.223835280757651</v>
      </c>
      <c r="M265" s="611">
        <v>0</v>
      </c>
      <c r="N265" s="611">
        <v>0</v>
      </c>
      <c r="O265" s="611">
        <v>0</v>
      </c>
      <c r="P265" s="720">
        <v>8.9801566104194083E-2</v>
      </c>
      <c r="Q265" s="611">
        <v>0</v>
      </c>
      <c r="R265" s="611">
        <v>1.3351563224927019</v>
      </c>
      <c r="S265" s="611">
        <v>0.25699569354075152</v>
      </c>
      <c r="T265" s="611">
        <v>0</v>
      </c>
      <c r="U265" s="611">
        <v>0</v>
      </c>
      <c r="V265" s="611">
        <v>0</v>
      </c>
      <c r="W265" s="611">
        <v>0</v>
      </c>
      <c r="X265" s="611">
        <v>0</v>
      </c>
      <c r="Y265" s="611">
        <v>0.64382323980331424</v>
      </c>
      <c r="Z265" s="619">
        <v>130.02853828366446</v>
      </c>
      <c r="AA265" s="51"/>
    </row>
    <row r="266" spans="1:27" x14ac:dyDescent="0.25">
      <c r="A266" s="51">
        <v>36</v>
      </c>
      <c r="B266" s="51">
        <v>2028</v>
      </c>
      <c r="C266" s="51" t="s">
        <v>47</v>
      </c>
      <c r="D266" s="51" t="s">
        <v>515</v>
      </c>
      <c r="E266" s="51" t="s">
        <v>564</v>
      </c>
      <c r="F266" s="51"/>
      <c r="G266" s="614" t="s">
        <v>85</v>
      </c>
      <c r="H266" s="615">
        <v>10.632823048828126</v>
      </c>
      <c r="I266" s="615">
        <v>0</v>
      </c>
      <c r="J266" s="615">
        <v>555.32480224858364</v>
      </c>
      <c r="K266" s="615">
        <v>1.1424095523371385</v>
      </c>
      <c r="L266" s="615">
        <v>226.61756079059623</v>
      </c>
      <c r="M266" s="615">
        <v>0</v>
      </c>
      <c r="N266" s="615">
        <v>0</v>
      </c>
      <c r="O266" s="615">
        <v>0</v>
      </c>
      <c r="P266" s="615">
        <v>105.96471255926944</v>
      </c>
      <c r="Q266" s="615">
        <v>11.972620389954164</v>
      </c>
      <c r="R266" s="615">
        <v>42.489278180200522</v>
      </c>
      <c r="S266" s="615">
        <v>26.657337448820876</v>
      </c>
      <c r="T266" s="615">
        <v>105.63277373726507</v>
      </c>
      <c r="U266" s="615">
        <v>0</v>
      </c>
      <c r="V266" s="615">
        <v>10.239271009321056</v>
      </c>
      <c r="W266" s="615">
        <v>442.38294169107814</v>
      </c>
      <c r="X266" s="615">
        <v>58.865409547291527</v>
      </c>
      <c r="Y266" s="615">
        <v>3.0115531875921264</v>
      </c>
      <c r="Z266" s="615">
        <v>1600.9334933911382</v>
      </c>
      <c r="AA266" s="51"/>
    </row>
    <row r="267" spans="1:27" x14ac:dyDescent="0.25">
      <c r="A267" s="51"/>
      <c r="B267" s="51"/>
      <c r="C267" s="51"/>
      <c r="D267" s="51"/>
      <c r="E267" s="51"/>
      <c r="F267" s="51"/>
      <c r="G267" s="51"/>
      <c r="H267" s="67">
        <v>0</v>
      </c>
      <c r="I267" s="67">
        <v>0</v>
      </c>
      <c r="J267" s="67">
        <v>0</v>
      </c>
      <c r="K267" s="67">
        <v>0</v>
      </c>
      <c r="L267" s="67">
        <v>0</v>
      </c>
      <c r="M267" s="67">
        <v>0</v>
      </c>
      <c r="N267" s="67">
        <v>0</v>
      </c>
      <c r="O267" s="67">
        <v>0</v>
      </c>
      <c r="P267" s="67">
        <v>0</v>
      </c>
      <c r="Q267" s="67">
        <v>0</v>
      </c>
      <c r="R267" s="67">
        <v>2.6645352591003757E-15</v>
      </c>
      <c r="S267" s="67">
        <v>-1.1379786002407855E-14</v>
      </c>
      <c r="T267" s="67">
        <v>0</v>
      </c>
      <c r="U267" s="67">
        <v>0</v>
      </c>
      <c r="V267" s="67">
        <v>0</v>
      </c>
      <c r="W267" s="67">
        <v>0</v>
      </c>
      <c r="X267" s="721">
        <v>-2.9102377823164716E-5</v>
      </c>
      <c r="Y267" s="67">
        <v>1.457167719820518E-16</v>
      </c>
      <c r="Z267" s="67">
        <v>-2.910237708420027E-5</v>
      </c>
      <c r="AA267" s="51"/>
    </row>
    <row r="268" spans="1:27" x14ac:dyDescent="0.25">
      <c r="A268" s="51"/>
      <c r="B268" s="51"/>
      <c r="C268" s="51"/>
      <c r="D268" s="51"/>
      <c r="E268" s="51"/>
      <c r="F268" s="51"/>
      <c r="G268" s="51"/>
      <c r="H268" s="51"/>
      <c r="I268" s="51"/>
      <c r="J268" s="51"/>
      <c r="K268" s="67"/>
      <c r="L268" s="51"/>
      <c r="M268" s="51"/>
      <c r="N268" s="51"/>
      <c r="O268" s="51"/>
      <c r="P268" s="51"/>
      <c r="Q268" s="51"/>
      <c r="R268" s="51"/>
      <c r="S268" s="51"/>
      <c r="T268" s="51"/>
      <c r="U268" s="51"/>
      <c r="V268" s="51"/>
      <c r="W268" s="51"/>
      <c r="X268" s="51"/>
      <c r="Y268" s="51"/>
      <c r="Z268" s="51"/>
      <c r="AA268" s="51"/>
    </row>
    <row r="269" spans="1:27" x14ac:dyDescent="0.25">
      <c r="A269" s="606"/>
      <c r="B269" s="606"/>
      <c r="C269" s="606"/>
      <c r="D269" s="606"/>
      <c r="E269" s="606"/>
      <c r="F269" s="606"/>
      <c r="G269" s="607" t="s">
        <v>88</v>
      </c>
      <c r="H269" s="606"/>
      <c r="I269" s="606"/>
      <c r="J269" s="606"/>
      <c r="K269" s="682"/>
      <c r="L269" s="606"/>
      <c r="M269" s="606"/>
      <c r="N269" s="606"/>
      <c r="O269" s="606"/>
      <c r="P269" s="606"/>
      <c r="Q269" s="606"/>
      <c r="R269" s="606"/>
      <c r="S269" s="606"/>
      <c r="T269" s="606"/>
      <c r="U269" s="606"/>
      <c r="V269" s="606"/>
      <c r="W269" s="606"/>
      <c r="X269" s="606"/>
      <c r="Y269" s="606"/>
      <c r="Z269" s="606"/>
      <c r="AA269" s="606"/>
    </row>
    <row r="270" spans="1:27" x14ac:dyDescent="0.25">
      <c r="A270" s="51"/>
      <c r="B270" s="51"/>
      <c r="C270" s="51"/>
      <c r="D270" s="51"/>
      <c r="E270" s="51"/>
      <c r="F270" s="51"/>
      <c r="G270" s="51"/>
      <c r="H270" s="51"/>
      <c r="I270" s="51"/>
      <c r="J270" s="51"/>
      <c r="K270" s="67"/>
      <c r="L270" s="51"/>
      <c r="M270" s="51"/>
      <c r="N270" s="51"/>
      <c r="O270" s="51"/>
      <c r="P270" s="51"/>
      <c r="Q270" s="51"/>
      <c r="R270" s="51"/>
      <c r="S270" s="51"/>
      <c r="T270" s="51"/>
      <c r="U270" s="51"/>
      <c r="V270" s="51"/>
      <c r="W270" s="51"/>
      <c r="X270" s="51"/>
      <c r="Y270" s="51"/>
      <c r="Z270" s="51"/>
      <c r="AA270" s="51"/>
    </row>
    <row r="271" spans="1:27" x14ac:dyDescent="0.25">
      <c r="A271" s="51"/>
      <c r="B271" s="51"/>
      <c r="C271" s="51"/>
      <c r="D271" s="51"/>
      <c r="E271" s="51"/>
      <c r="F271" s="51"/>
      <c r="G271" s="764" t="s">
        <v>128</v>
      </c>
      <c r="H271" s="753" t="s">
        <v>42</v>
      </c>
      <c r="I271" s="753" t="s">
        <v>52</v>
      </c>
      <c r="J271" s="753" t="s">
        <v>53</v>
      </c>
      <c r="K271" s="766" t="s">
        <v>482</v>
      </c>
      <c r="L271" s="753" t="s">
        <v>32</v>
      </c>
      <c r="M271" s="753" t="s">
        <v>483</v>
      </c>
      <c r="N271" s="753" t="s">
        <v>20</v>
      </c>
      <c r="O271" s="753" t="s">
        <v>55</v>
      </c>
      <c r="P271" s="761" t="s">
        <v>56</v>
      </c>
      <c r="Q271" s="762"/>
      <c r="R271" s="762"/>
      <c r="S271" s="762"/>
      <c r="T271" s="762"/>
      <c r="U271" s="762"/>
      <c r="V271" s="763"/>
      <c r="W271" s="753" t="s">
        <v>57</v>
      </c>
      <c r="X271" s="753" t="s">
        <v>58</v>
      </c>
      <c r="Y271" s="753" t="s">
        <v>31</v>
      </c>
      <c r="Z271" s="753" t="s">
        <v>10</v>
      </c>
      <c r="AA271" s="51"/>
    </row>
    <row r="272" spans="1:27" ht="36" x14ac:dyDescent="0.25">
      <c r="A272" s="51"/>
      <c r="B272" s="51"/>
      <c r="C272" s="51"/>
      <c r="D272" s="51" t="s">
        <v>486</v>
      </c>
      <c r="E272" s="51"/>
      <c r="F272" s="51"/>
      <c r="G272" s="765"/>
      <c r="H272" s="754"/>
      <c r="I272" s="754"/>
      <c r="J272" s="754"/>
      <c r="K272" s="767"/>
      <c r="L272" s="754"/>
      <c r="M272" s="754"/>
      <c r="N272" s="754"/>
      <c r="O272" s="754"/>
      <c r="P272" s="608" t="s">
        <v>335</v>
      </c>
      <c r="Q272" s="608" t="s">
        <v>40</v>
      </c>
      <c r="R272" s="608" t="s">
        <v>343</v>
      </c>
      <c r="S272" s="608" t="s">
        <v>344</v>
      </c>
      <c r="T272" s="609" t="s">
        <v>345</v>
      </c>
      <c r="U272" s="609" t="s">
        <v>609</v>
      </c>
      <c r="V272" s="608" t="s">
        <v>346</v>
      </c>
      <c r="W272" s="754"/>
      <c r="X272" s="754"/>
      <c r="Y272" s="754"/>
      <c r="Z272" s="754"/>
      <c r="AA272" s="51"/>
    </row>
    <row r="273" spans="1:27" x14ac:dyDescent="0.25">
      <c r="A273" s="51">
        <v>6</v>
      </c>
      <c r="B273" s="51">
        <v>2030</v>
      </c>
      <c r="C273" s="51" t="s">
        <v>47</v>
      </c>
      <c r="D273" s="51" t="s">
        <v>487</v>
      </c>
      <c r="E273" s="51" t="s">
        <v>564</v>
      </c>
      <c r="F273" s="51"/>
      <c r="G273" s="610" t="s">
        <v>59</v>
      </c>
      <c r="H273" s="611">
        <v>0</v>
      </c>
      <c r="I273" s="611">
        <v>9.5366</v>
      </c>
      <c r="J273" s="611">
        <v>0</v>
      </c>
      <c r="K273" s="611">
        <v>0</v>
      </c>
      <c r="L273" s="611">
        <v>0.19771000000000002</v>
      </c>
      <c r="M273" s="611">
        <v>0</v>
      </c>
      <c r="N273" s="612">
        <v>1170.5483636363635</v>
      </c>
      <c r="O273" s="612">
        <v>204.52346834681566</v>
      </c>
      <c r="P273" s="611">
        <v>288.33165945554975</v>
      </c>
      <c r="Q273" s="612">
        <v>37.22423741862201</v>
      </c>
      <c r="R273" s="611">
        <v>0</v>
      </c>
      <c r="S273" s="611">
        <v>0</v>
      </c>
      <c r="T273" s="612">
        <v>120.7914963779516</v>
      </c>
      <c r="U273" s="612">
        <v>5.7064517046525767</v>
      </c>
      <c r="V273" s="612">
        <v>21.805945722491536</v>
      </c>
      <c r="W273" s="611">
        <v>0</v>
      </c>
      <c r="X273" s="611">
        <v>0</v>
      </c>
      <c r="Y273" s="611">
        <v>0</v>
      </c>
      <c r="Z273" s="613">
        <v>1858.6659326624467</v>
      </c>
      <c r="AA273" s="51"/>
    </row>
    <row r="274" spans="1:27" x14ac:dyDescent="0.25">
      <c r="A274" s="51">
        <v>7</v>
      </c>
      <c r="B274" s="51">
        <v>2030</v>
      </c>
      <c r="C274" s="51" t="s">
        <v>47</v>
      </c>
      <c r="D274" s="51" t="s">
        <v>488</v>
      </c>
      <c r="E274" s="51" t="s">
        <v>564</v>
      </c>
      <c r="F274" s="51"/>
      <c r="G274" s="610" t="s">
        <v>60</v>
      </c>
      <c r="H274" s="611">
        <v>28.320868984375</v>
      </c>
      <c r="I274" s="611">
        <v>389.53221362524027</v>
      </c>
      <c r="J274" s="611">
        <v>203.61980466543554</v>
      </c>
      <c r="K274" s="611">
        <v>0</v>
      </c>
      <c r="L274" s="620">
        <v>275.45425958042927</v>
      </c>
      <c r="M274" s="611">
        <v>0</v>
      </c>
      <c r="N274" s="611">
        <v>0</v>
      </c>
      <c r="O274" s="611">
        <v>0</v>
      </c>
      <c r="P274" s="611">
        <v>55.528857795747115</v>
      </c>
      <c r="Q274" s="611">
        <v>0</v>
      </c>
      <c r="R274" s="611">
        <v>3.6762384543173781</v>
      </c>
      <c r="S274" s="611">
        <v>0</v>
      </c>
      <c r="T274" s="611">
        <v>0</v>
      </c>
      <c r="U274" s="611">
        <v>0</v>
      </c>
      <c r="V274" s="611">
        <v>0</v>
      </c>
      <c r="W274" s="611">
        <v>0</v>
      </c>
      <c r="X274" s="611">
        <v>0</v>
      </c>
      <c r="Y274" s="611">
        <v>0</v>
      </c>
      <c r="Z274" s="613">
        <v>956.1322431055446</v>
      </c>
      <c r="AA274" s="51"/>
    </row>
    <row r="275" spans="1:27" x14ac:dyDescent="0.25">
      <c r="A275" s="51">
        <v>8</v>
      </c>
      <c r="B275" s="51">
        <v>2030</v>
      </c>
      <c r="C275" s="51" t="s">
        <v>47</v>
      </c>
      <c r="D275" s="51" t="s">
        <v>489</v>
      </c>
      <c r="E275" s="51" t="s">
        <v>564</v>
      </c>
      <c r="F275" s="51"/>
      <c r="G275" s="610" t="s">
        <v>61</v>
      </c>
      <c r="H275" s="611">
        <v>0</v>
      </c>
      <c r="I275" s="611">
        <v>0</v>
      </c>
      <c r="J275" s="611">
        <v>0</v>
      </c>
      <c r="K275" s="611">
        <v>-0.25</v>
      </c>
      <c r="L275" s="611">
        <v>0</v>
      </c>
      <c r="M275" s="611">
        <v>0</v>
      </c>
      <c r="N275" s="611">
        <v>0</v>
      </c>
      <c r="O275" s="611">
        <v>0</v>
      </c>
      <c r="P275" s="611">
        <v>0</v>
      </c>
      <c r="Q275" s="611">
        <v>0</v>
      </c>
      <c r="R275" s="611">
        <v>0</v>
      </c>
      <c r="S275" s="611">
        <v>0</v>
      </c>
      <c r="T275" s="611">
        <v>0</v>
      </c>
      <c r="U275" s="611">
        <v>0</v>
      </c>
      <c r="V275" s="611">
        <v>0</v>
      </c>
      <c r="W275" s="611">
        <v>-82.767774862255351</v>
      </c>
      <c r="X275" s="611">
        <v>0</v>
      </c>
      <c r="Y275" s="611">
        <v>0</v>
      </c>
      <c r="Z275" s="613">
        <v>-83.017774862255351</v>
      </c>
      <c r="AA275" s="51"/>
    </row>
    <row r="276" spans="1:27" x14ac:dyDescent="0.25">
      <c r="A276" s="51">
        <v>9</v>
      </c>
      <c r="B276" s="51">
        <v>2030</v>
      </c>
      <c r="C276" s="51" t="s">
        <v>47</v>
      </c>
      <c r="D276" s="51" t="s">
        <v>490</v>
      </c>
      <c r="E276" s="51" t="s">
        <v>564</v>
      </c>
      <c r="F276" s="51"/>
      <c r="G276" s="610" t="s">
        <v>62</v>
      </c>
      <c r="H276" s="611">
        <v>0</v>
      </c>
      <c r="I276" s="611">
        <v>0</v>
      </c>
      <c r="J276" s="611">
        <v>-8.8542757571138289</v>
      </c>
      <c r="K276" s="611">
        <v>-0.23021574029600306</v>
      </c>
      <c r="L276" s="611">
        <v>-1.4644559448503458</v>
      </c>
      <c r="M276" s="611">
        <v>-0.23021574029600303</v>
      </c>
      <c r="N276" s="611">
        <v>0</v>
      </c>
      <c r="O276" s="611">
        <v>0</v>
      </c>
      <c r="P276" s="611">
        <v>0</v>
      </c>
      <c r="Q276" s="611">
        <v>0</v>
      </c>
      <c r="R276" s="611">
        <v>0</v>
      </c>
      <c r="S276" s="611">
        <v>-0.67992597439480318</v>
      </c>
      <c r="T276" s="611">
        <v>0</v>
      </c>
      <c r="U276" s="611">
        <v>0</v>
      </c>
      <c r="V276" s="611">
        <v>0</v>
      </c>
      <c r="W276" s="611">
        <v>0</v>
      </c>
      <c r="X276" s="611">
        <v>0</v>
      </c>
      <c r="Y276" s="611">
        <v>-8.5184540446497051E-2</v>
      </c>
      <c r="Z276" s="613">
        <v>-11.544273697397482</v>
      </c>
      <c r="AA276" s="51"/>
    </row>
    <row r="277" spans="1:27" x14ac:dyDescent="0.25">
      <c r="A277" s="51">
        <v>10</v>
      </c>
      <c r="B277" s="51">
        <v>2030</v>
      </c>
      <c r="C277" s="51" t="s">
        <v>47</v>
      </c>
      <c r="D277" s="51" t="s">
        <v>491</v>
      </c>
      <c r="E277" s="51" t="s">
        <v>564</v>
      </c>
      <c r="F277" s="51"/>
      <c r="G277" s="610" t="s">
        <v>63</v>
      </c>
      <c r="H277" s="611">
        <v>0</v>
      </c>
      <c r="I277" s="611">
        <v>0</v>
      </c>
      <c r="J277" s="611">
        <v>-70</v>
      </c>
      <c r="K277" s="611">
        <v>-1</v>
      </c>
      <c r="L277" s="611">
        <v>0</v>
      </c>
      <c r="M277" s="611">
        <v>0</v>
      </c>
      <c r="N277" s="611">
        <v>0</v>
      </c>
      <c r="O277" s="611">
        <v>0</v>
      </c>
      <c r="P277" s="611">
        <v>0</v>
      </c>
      <c r="Q277" s="611">
        <v>0</v>
      </c>
      <c r="R277" s="611">
        <v>-4</v>
      </c>
      <c r="S277" s="611">
        <v>0</v>
      </c>
      <c r="T277" s="611">
        <v>0</v>
      </c>
      <c r="U277" s="611">
        <v>0</v>
      </c>
      <c r="V277" s="611">
        <v>0</v>
      </c>
      <c r="W277" s="611">
        <v>0</v>
      </c>
      <c r="X277" s="611">
        <v>0</v>
      </c>
      <c r="Y277" s="611">
        <v>0</v>
      </c>
      <c r="Z277" s="613">
        <v>-75</v>
      </c>
      <c r="AA277" s="51"/>
    </row>
    <row r="278" spans="1:27" x14ac:dyDescent="0.25">
      <c r="A278" s="51">
        <v>11</v>
      </c>
      <c r="B278" s="51">
        <v>2030</v>
      </c>
      <c r="C278" s="51" t="s">
        <v>47</v>
      </c>
      <c r="D278" s="51" t="s">
        <v>492</v>
      </c>
      <c r="E278" s="51" t="s">
        <v>564</v>
      </c>
      <c r="F278" s="51"/>
      <c r="G278" s="610" t="s">
        <v>64</v>
      </c>
      <c r="H278" s="611">
        <v>0</v>
      </c>
      <c r="I278" s="611">
        <v>0</v>
      </c>
      <c r="J278" s="611">
        <v>0</v>
      </c>
      <c r="K278" s="611">
        <v>0</v>
      </c>
      <c r="L278" s="611">
        <v>0</v>
      </c>
      <c r="M278" s="611">
        <v>0</v>
      </c>
      <c r="N278" s="611">
        <v>0</v>
      </c>
      <c r="O278" s="611">
        <v>0</v>
      </c>
      <c r="P278" s="611">
        <v>0</v>
      </c>
      <c r="Q278" s="611">
        <v>0</v>
      </c>
      <c r="R278" s="611">
        <v>0</v>
      </c>
      <c r="S278" s="611">
        <v>0</v>
      </c>
      <c r="T278" s="611">
        <v>0</v>
      </c>
      <c r="U278" s="611">
        <v>0</v>
      </c>
      <c r="V278" s="611">
        <v>0</v>
      </c>
      <c r="W278" s="611">
        <v>0</v>
      </c>
      <c r="X278" s="611">
        <v>0</v>
      </c>
      <c r="Y278" s="611">
        <v>0</v>
      </c>
      <c r="Z278" s="613">
        <v>0</v>
      </c>
      <c r="AA278" s="51"/>
    </row>
    <row r="279" spans="1:27" x14ac:dyDescent="0.25">
      <c r="A279" s="51">
        <v>12</v>
      </c>
      <c r="B279" s="51">
        <v>2030</v>
      </c>
      <c r="C279" s="51" t="s">
        <v>47</v>
      </c>
      <c r="D279" s="51" t="s">
        <v>493</v>
      </c>
      <c r="E279" s="51" t="s">
        <v>564</v>
      </c>
      <c r="F279" s="51"/>
      <c r="G279" s="614" t="s">
        <v>65</v>
      </c>
      <c r="H279" s="615">
        <v>28.320868984375</v>
      </c>
      <c r="I279" s="615">
        <v>399.0688136252403</v>
      </c>
      <c r="J279" s="615">
        <v>124.7655289083217</v>
      </c>
      <c r="K279" s="615">
        <v>-1.480215740296003</v>
      </c>
      <c r="L279" s="615">
        <v>274.18751363557891</v>
      </c>
      <c r="M279" s="615">
        <v>-0.23021574029600303</v>
      </c>
      <c r="N279" s="615">
        <v>1170.5483636363635</v>
      </c>
      <c r="O279" s="615">
        <v>204.52346834681566</v>
      </c>
      <c r="P279" s="615">
        <v>343.86051725129687</v>
      </c>
      <c r="Q279" s="615">
        <v>37.22423741862201</v>
      </c>
      <c r="R279" s="615">
        <v>-0.32376154568262194</v>
      </c>
      <c r="S279" s="615">
        <v>-0.67992597439480318</v>
      </c>
      <c r="T279" s="615">
        <v>120.7914963779516</v>
      </c>
      <c r="U279" s="615">
        <v>5.7064517046525767</v>
      </c>
      <c r="V279" s="615">
        <v>21.805945722491536</v>
      </c>
      <c r="W279" s="615">
        <v>-82.767774862255351</v>
      </c>
      <c r="X279" s="615">
        <v>0</v>
      </c>
      <c r="Y279" s="615">
        <v>-8.5184540446497051E-2</v>
      </c>
      <c r="Z279" s="615">
        <v>2645.2361272083385</v>
      </c>
      <c r="AA279" s="51"/>
    </row>
    <row r="280" spans="1:27" x14ac:dyDescent="0.25">
      <c r="A280" s="51"/>
      <c r="B280" s="51"/>
      <c r="C280" s="51"/>
      <c r="D280" s="51"/>
      <c r="E280" s="51"/>
      <c r="F280" s="51"/>
      <c r="G280" s="616"/>
      <c r="H280" s="617"/>
      <c r="I280" s="617"/>
      <c r="J280" s="617"/>
      <c r="K280" s="617"/>
      <c r="L280" s="617"/>
      <c r="M280" s="617"/>
      <c r="N280" s="617"/>
      <c r="O280" s="617"/>
      <c r="P280" s="617"/>
      <c r="Q280" s="617"/>
      <c r="R280" s="617"/>
      <c r="S280" s="617"/>
      <c r="T280" s="617"/>
      <c r="U280" s="617"/>
      <c r="V280" s="617"/>
      <c r="W280" s="617"/>
      <c r="X280" s="617"/>
      <c r="Y280" s="617"/>
      <c r="Z280" s="617"/>
      <c r="AA280" s="51"/>
    </row>
    <row r="281" spans="1:27" x14ac:dyDescent="0.25">
      <c r="A281" s="51">
        <v>14</v>
      </c>
      <c r="B281" s="51">
        <v>2030</v>
      </c>
      <c r="C281" s="51" t="s">
        <v>47</v>
      </c>
      <c r="D281" s="51" t="s">
        <v>494</v>
      </c>
      <c r="E281" s="51" t="s">
        <v>564</v>
      </c>
      <c r="F281" s="51"/>
      <c r="G281" s="618" t="s">
        <v>67</v>
      </c>
      <c r="H281" s="611">
        <v>0</v>
      </c>
      <c r="I281" s="611">
        <v>0</v>
      </c>
      <c r="J281" s="611">
        <v>0</v>
      </c>
      <c r="K281" s="611">
        <v>0</v>
      </c>
      <c r="L281" s="611">
        <v>0</v>
      </c>
      <c r="M281" s="611">
        <v>0</v>
      </c>
      <c r="N281" s="611">
        <v>0</v>
      </c>
      <c r="O281" s="611">
        <v>0</v>
      </c>
      <c r="P281" s="611">
        <v>0</v>
      </c>
      <c r="Q281" s="611">
        <v>0</v>
      </c>
      <c r="R281" s="611">
        <v>0</v>
      </c>
      <c r="S281" s="611">
        <v>0</v>
      </c>
      <c r="T281" s="611">
        <v>0</v>
      </c>
      <c r="U281" s="611">
        <v>0</v>
      </c>
      <c r="V281" s="611">
        <v>0</v>
      </c>
      <c r="W281" s="611">
        <v>0</v>
      </c>
      <c r="X281" s="611">
        <v>0</v>
      </c>
      <c r="Y281" s="611">
        <v>0</v>
      </c>
      <c r="Z281" s="619">
        <v>0</v>
      </c>
      <c r="AA281" s="51"/>
    </row>
    <row r="282" spans="1:27" x14ac:dyDescent="0.25">
      <c r="A282" s="51">
        <v>15</v>
      </c>
      <c r="B282" s="51">
        <v>2030</v>
      </c>
      <c r="C282" s="51" t="s">
        <v>47</v>
      </c>
      <c r="D282" s="51" t="s">
        <v>495</v>
      </c>
      <c r="E282" s="51" t="s">
        <v>564</v>
      </c>
      <c r="F282" s="51"/>
      <c r="G282" s="618" t="s">
        <v>347</v>
      </c>
      <c r="H282" s="611">
        <v>0</v>
      </c>
      <c r="I282" s="611">
        <v>0</v>
      </c>
      <c r="J282" s="611">
        <v>0.77863803143112786</v>
      </c>
      <c r="K282" s="611">
        <v>0</v>
      </c>
      <c r="L282" s="611">
        <v>47.297696585090904</v>
      </c>
      <c r="M282" s="611">
        <v>0</v>
      </c>
      <c r="N282" s="611">
        <v>1170.5483636363635</v>
      </c>
      <c r="O282" s="611">
        <v>204.52346834681566</v>
      </c>
      <c r="P282" s="611">
        <v>14.220378672856977</v>
      </c>
      <c r="Q282" s="611">
        <v>6.382459322587974</v>
      </c>
      <c r="R282" s="611">
        <v>4.4112574708908179</v>
      </c>
      <c r="S282" s="611">
        <v>12.898445053049569</v>
      </c>
      <c r="T282" s="611">
        <v>0</v>
      </c>
      <c r="U282" s="611">
        <v>0</v>
      </c>
      <c r="V282" s="611">
        <v>0</v>
      </c>
      <c r="W282" s="611">
        <v>-635.74398986101471</v>
      </c>
      <c r="X282" s="611">
        <v>0</v>
      </c>
      <c r="Y282" s="611">
        <v>0</v>
      </c>
      <c r="Z282" s="619">
        <v>825.31671725807166</v>
      </c>
      <c r="AA282" s="51"/>
    </row>
    <row r="283" spans="1:27" x14ac:dyDescent="0.25">
      <c r="A283" s="51">
        <v>16</v>
      </c>
      <c r="B283" s="51">
        <v>2030</v>
      </c>
      <c r="C283" s="51" t="s">
        <v>47</v>
      </c>
      <c r="D283" s="51" t="s">
        <v>496</v>
      </c>
      <c r="E283" s="51" t="s">
        <v>564</v>
      </c>
      <c r="F283" s="51"/>
      <c r="G283" s="618" t="s">
        <v>348</v>
      </c>
      <c r="H283" s="611">
        <v>0</v>
      </c>
      <c r="I283" s="611">
        <v>0</v>
      </c>
      <c r="J283" s="611">
        <v>0</v>
      </c>
      <c r="K283" s="611">
        <v>0</v>
      </c>
      <c r="L283" s="611">
        <v>20.622222292682881</v>
      </c>
      <c r="M283" s="611">
        <v>0</v>
      </c>
      <c r="N283" s="611">
        <v>0</v>
      </c>
      <c r="O283" s="611">
        <v>0</v>
      </c>
      <c r="P283" s="611">
        <v>25.303721330745205</v>
      </c>
      <c r="Q283" s="611">
        <v>16.725492790775593</v>
      </c>
      <c r="R283" s="611">
        <v>0</v>
      </c>
      <c r="S283" s="611">
        <v>5.4916732464311382</v>
      </c>
      <c r="T283" s="611">
        <v>0</v>
      </c>
      <c r="U283" s="611">
        <v>5.7064517046525767</v>
      </c>
      <c r="V283" s="611">
        <v>9.8189547914893822</v>
      </c>
      <c r="W283" s="611">
        <v>0</v>
      </c>
      <c r="X283" s="620">
        <v>-74.431805371183899</v>
      </c>
      <c r="Y283" s="611">
        <v>0</v>
      </c>
      <c r="Z283" s="619">
        <v>9.2367107855928765</v>
      </c>
      <c r="AA283" s="51"/>
    </row>
    <row r="284" spans="1:27" x14ac:dyDescent="0.25">
      <c r="A284" s="51">
        <v>17</v>
      </c>
      <c r="B284" s="51">
        <v>2030</v>
      </c>
      <c r="C284" s="51" t="s">
        <v>47</v>
      </c>
      <c r="D284" s="51" t="s">
        <v>497</v>
      </c>
      <c r="E284" s="51" t="s">
        <v>564</v>
      </c>
      <c r="F284" s="51"/>
      <c r="G284" s="618" t="s">
        <v>349</v>
      </c>
      <c r="H284" s="611">
        <v>0</v>
      </c>
      <c r="I284" s="611">
        <v>0</v>
      </c>
      <c r="J284" s="611">
        <v>0</v>
      </c>
      <c r="K284" s="611">
        <v>0</v>
      </c>
      <c r="L284" s="611">
        <v>0</v>
      </c>
      <c r="M284" s="611">
        <v>0</v>
      </c>
      <c r="N284" s="611">
        <v>0</v>
      </c>
      <c r="O284" s="611">
        <v>0</v>
      </c>
      <c r="P284" s="611">
        <v>107.00804484899314</v>
      </c>
      <c r="Q284" s="611">
        <v>0</v>
      </c>
      <c r="R284" s="611">
        <v>0</v>
      </c>
      <c r="S284" s="611">
        <v>-53.504022424496561</v>
      </c>
      <c r="T284" s="611">
        <v>0</v>
      </c>
      <c r="U284" s="611">
        <v>0</v>
      </c>
      <c r="V284" s="611">
        <v>0</v>
      </c>
      <c r="W284" s="611">
        <v>0</v>
      </c>
      <c r="X284" s="611">
        <v>0</v>
      </c>
      <c r="Y284" s="611">
        <v>0</v>
      </c>
      <c r="Z284" s="619">
        <v>53.504022424496576</v>
      </c>
      <c r="AA284" s="51"/>
    </row>
    <row r="285" spans="1:27" x14ac:dyDescent="0.25">
      <c r="A285" s="51">
        <v>18</v>
      </c>
      <c r="B285" s="51">
        <v>2030</v>
      </c>
      <c r="C285" s="51" t="s">
        <v>47</v>
      </c>
      <c r="D285" s="51" t="s">
        <v>498</v>
      </c>
      <c r="E285" s="51" t="s">
        <v>564</v>
      </c>
      <c r="F285" s="51"/>
      <c r="G285" s="618" t="s">
        <v>350</v>
      </c>
      <c r="H285" s="611">
        <v>0</v>
      </c>
      <c r="I285" s="611">
        <v>0</v>
      </c>
      <c r="J285" s="611">
        <v>0</v>
      </c>
      <c r="K285" s="611">
        <v>0</v>
      </c>
      <c r="L285" s="611">
        <v>0</v>
      </c>
      <c r="M285" s="620">
        <v>-0.23021574029600303</v>
      </c>
      <c r="N285" s="611">
        <v>0</v>
      </c>
      <c r="O285" s="611">
        <v>0</v>
      </c>
      <c r="P285" s="611">
        <v>0</v>
      </c>
      <c r="Q285" s="611">
        <v>0</v>
      </c>
      <c r="R285" s="611">
        <v>0</v>
      </c>
      <c r="S285" s="611">
        <v>0</v>
      </c>
      <c r="T285" s="611">
        <v>0</v>
      </c>
      <c r="U285" s="611">
        <v>0</v>
      </c>
      <c r="V285" s="611">
        <v>0</v>
      </c>
      <c r="W285" s="611">
        <v>0</v>
      </c>
      <c r="X285" s="611">
        <v>0</v>
      </c>
      <c r="Y285" s="611">
        <v>0.31974408374444868</v>
      </c>
      <c r="Z285" s="619">
        <v>8.9528343448445652E-2</v>
      </c>
      <c r="AA285" s="51"/>
    </row>
    <row r="286" spans="1:27" x14ac:dyDescent="0.25">
      <c r="A286" s="51">
        <v>19</v>
      </c>
      <c r="B286" s="51">
        <v>2030</v>
      </c>
      <c r="C286" s="51" t="s">
        <v>47</v>
      </c>
      <c r="D286" s="51" t="s">
        <v>499</v>
      </c>
      <c r="E286" s="51" t="s">
        <v>564</v>
      </c>
      <c r="F286" s="51"/>
      <c r="G286" s="618" t="s">
        <v>72</v>
      </c>
      <c r="H286" s="611">
        <v>0</v>
      </c>
      <c r="I286" s="611">
        <v>413.59716113320059</v>
      </c>
      <c r="J286" s="611">
        <v>-409.46118952186856</v>
      </c>
      <c r="K286" s="611">
        <v>0</v>
      </c>
      <c r="L286" s="611">
        <v>0</v>
      </c>
      <c r="M286" s="611">
        <v>0</v>
      </c>
      <c r="N286" s="611">
        <v>0</v>
      </c>
      <c r="O286" s="611">
        <v>0</v>
      </c>
      <c r="P286" s="611">
        <v>0</v>
      </c>
      <c r="Q286" s="611">
        <v>0</v>
      </c>
      <c r="R286" s="611">
        <v>0</v>
      </c>
      <c r="S286" s="611">
        <v>0</v>
      </c>
      <c r="T286" s="611">
        <v>0</v>
      </c>
      <c r="U286" s="611">
        <v>0</v>
      </c>
      <c r="V286" s="611">
        <v>0</v>
      </c>
      <c r="W286" s="611">
        <v>0</v>
      </c>
      <c r="X286" s="611">
        <v>0</v>
      </c>
      <c r="Y286" s="611">
        <v>0</v>
      </c>
      <c r="Z286" s="619">
        <v>4.1359716113320246</v>
      </c>
      <c r="AA286" s="51"/>
    </row>
    <row r="287" spans="1:27" x14ac:dyDescent="0.25">
      <c r="A287" s="51">
        <v>20</v>
      </c>
      <c r="B287" s="51">
        <v>2030</v>
      </c>
      <c r="C287" s="51" t="s">
        <v>47</v>
      </c>
      <c r="D287" s="51" t="s">
        <v>500</v>
      </c>
      <c r="E287" s="51" t="s">
        <v>564</v>
      </c>
      <c r="F287" s="51"/>
      <c r="G287" s="618" t="s">
        <v>351</v>
      </c>
      <c r="H287" s="611">
        <v>0</v>
      </c>
      <c r="I287" s="611">
        <v>0</v>
      </c>
      <c r="J287" s="611">
        <v>0</v>
      </c>
      <c r="K287" s="611">
        <v>0</v>
      </c>
      <c r="L287" s="611">
        <v>0</v>
      </c>
      <c r="M287" s="611">
        <v>0</v>
      </c>
      <c r="N287" s="611">
        <v>0</v>
      </c>
      <c r="O287" s="611">
        <v>0</v>
      </c>
      <c r="P287" s="611">
        <v>87.525523366197945</v>
      </c>
      <c r="Q287" s="611">
        <v>0</v>
      </c>
      <c r="R287" s="620">
        <v>-48.139037851408872</v>
      </c>
      <c r="S287" s="611">
        <v>0</v>
      </c>
      <c r="T287" s="611">
        <v>0</v>
      </c>
      <c r="U287" s="611">
        <v>0</v>
      </c>
      <c r="V287" s="611">
        <v>0</v>
      </c>
      <c r="W287" s="611">
        <v>0</v>
      </c>
      <c r="X287" s="611">
        <v>0</v>
      </c>
      <c r="Y287" s="611">
        <v>0</v>
      </c>
      <c r="Z287" s="619">
        <v>39.386485514789072</v>
      </c>
      <c r="AA287" s="51"/>
    </row>
    <row r="288" spans="1:27" x14ac:dyDescent="0.25">
      <c r="A288" s="51">
        <v>21</v>
      </c>
      <c r="B288" s="51">
        <v>2030</v>
      </c>
      <c r="C288" s="51" t="s">
        <v>47</v>
      </c>
      <c r="D288" s="51" t="s">
        <v>501</v>
      </c>
      <c r="E288" s="51" t="s">
        <v>564</v>
      </c>
      <c r="F288" s="51"/>
      <c r="G288" s="618" t="s">
        <v>352</v>
      </c>
      <c r="H288" s="611">
        <v>0</v>
      </c>
      <c r="I288" s="611">
        <v>0</v>
      </c>
      <c r="J288" s="611">
        <v>0</v>
      </c>
      <c r="K288" s="611">
        <v>-2.9474744550393384</v>
      </c>
      <c r="L288" s="611">
        <v>0</v>
      </c>
      <c r="M288" s="611">
        <v>0</v>
      </c>
      <c r="N288" s="611">
        <v>0</v>
      </c>
      <c r="O288" s="611">
        <v>0</v>
      </c>
      <c r="P288" s="611">
        <v>0</v>
      </c>
      <c r="Q288" s="611">
        <v>0</v>
      </c>
      <c r="R288" s="611">
        <v>0</v>
      </c>
      <c r="S288" s="611">
        <v>0</v>
      </c>
      <c r="T288" s="611">
        <v>0</v>
      </c>
      <c r="U288" s="611">
        <v>0</v>
      </c>
      <c r="V288" s="611">
        <v>0</v>
      </c>
      <c r="W288" s="611">
        <v>0</v>
      </c>
      <c r="X288" s="611">
        <v>0</v>
      </c>
      <c r="Y288" s="611">
        <v>5.0356126522738727</v>
      </c>
      <c r="Z288" s="619">
        <v>2.0881381972345343</v>
      </c>
      <c r="AA288" s="51"/>
    </row>
    <row r="289" spans="1:27" x14ac:dyDescent="0.25">
      <c r="A289" s="51">
        <v>22</v>
      </c>
      <c r="B289" s="51">
        <v>2030</v>
      </c>
      <c r="C289" s="51" t="s">
        <v>47</v>
      </c>
      <c r="D289" s="51" t="s">
        <v>502</v>
      </c>
      <c r="E289" s="51" t="s">
        <v>564</v>
      </c>
      <c r="F289" s="51"/>
      <c r="G289" s="618" t="s">
        <v>73</v>
      </c>
      <c r="H289" s="611">
        <v>0</v>
      </c>
      <c r="I289" s="611">
        <v>0</v>
      </c>
      <c r="J289" s="611">
        <v>0</v>
      </c>
      <c r="K289" s="611">
        <v>0</v>
      </c>
      <c r="L289" s="611">
        <v>0</v>
      </c>
      <c r="M289" s="611">
        <v>0</v>
      </c>
      <c r="N289" s="611">
        <v>0</v>
      </c>
      <c r="O289" s="611">
        <v>0</v>
      </c>
      <c r="P289" s="611">
        <v>0</v>
      </c>
      <c r="Q289" s="611">
        <v>0</v>
      </c>
      <c r="R289" s="611">
        <v>0</v>
      </c>
      <c r="S289" s="611">
        <v>0</v>
      </c>
      <c r="T289" s="611">
        <v>0</v>
      </c>
      <c r="U289" s="611">
        <v>0</v>
      </c>
      <c r="V289" s="611">
        <v>0</v>
      </c>
      <c r="W289" s="611">
        <v>17.481000576441559</v>
      </c>
      <c r="X289" s="611">
        <v>0</v>
      </c>
      <c r="Y289" s="611">
        <v>-11.362650374687014</v>
      </c>
      <c r="Z289" s="619">
        <v>6.118350201754545</v>
      </c>
      <c r="AA289" s="51"/>
    </row>
    <row r="290" spans="1:27" x14ac:dyDescent="0.25">
      <c r="A290" s="51">
        <v>23</v>
      </c>
      <c r="B290" s="51">
        <v>2030</v>
      </c>
      <c r="C290" s="51" t="s">
        <v>47</v>
      </c>
      <c r="D290" s="51" t="s">
        <v>503</v>
      </c>
      <c r="E290" s="51" t="s">
        <v>564</v>
      </c>
      <c r="F290" s="51"/>
      <c r="G290" s="618" t="s">
        <v>353</v>
      </c>
      <c r="H290" s="611">
        <v>14.925639374999999</v>
      </c>
      <c r="I290" s="611">
        <v>-14.528347507960277</v>
      </c>
      <c r="J290" s="611">
        <v>19.128276728053308</v>
      </c>
      <c r="K290" s="611">
        <v>0</v>
      </c>
      <c r="L290" s="611">
        <v>0</v>
      </c>
      <c r="M290" s="611">
        <v>0</v>
      </c>
      <c r="N290" s="611">
        <v>0</v>
      </c>
      <c r="O290" s="611">
        <v>0</v>
      </c>
      <c r="P290" s="611">
        <v>0</v>
      </c>
      <c r="Q290" s="611">
        <v>0</v>
      </c>
      <c r="R290" s="611">
        <v>0</v>
      </c>
      <c r="S290" s="611">
        <v>0</v>
      </c>
      <c r="T290" s="611">
        <v>0</v>
      </c>
      <c r="U290" s="611">
        <v>0</v>
      </c>
      <c r="V290" s="611">
        <v>0</v>
      </c>
      <c r="W290" s="611">
        <v>0</v>
      </c>
      <c r="X290" s="611">
        <v>0</v>
      </c>
      <c r="Y290" s="611">
        <v>0</v>
      </c>
      <c r="Z290" s="619">
        <v>19.525568595093031</v>
      </c>
      <c r="AA290" s="51"/>
    </row>
    <row r="291" spans="1:27" x14ac:dyDescent="0.25">
      <c r="A291" s="51">
        <v>24</v>
      </c>
      <c r="B291" s="51">
        <v>2030</v>
      </c>
      <c r="C291" s="51" t="s">
        <v>47</v>
      </c>
      <c r="D291" s="51" t="s">
        <v>504</v>
      </c>
      <c r="E291" s="51" t="s">
        <v>564</v>
      </c>
      <c r="F291" s="51"/>
      <c r="G291" s="618" t="s">
        <v>75</v>
      </c>
      <c r="H291" s="611">
        <v>5.8044153125000006</v>
      </c>
      <c r="I291" s="611">
        <v>0</v>
      </c>
      <c r="J291" s="611">
        <v>14.291538341519651</v>
      </c>
      <c r="K291" s="611">
        <v>0</v>
      </c>
      <c r="L291" s="611">
        <v>4.3006430338440946</v>
      </c>
      <c r="M291" s="611">
        <v>0</v>
      </c>
      <c r="N291" s="611">
        <v>0</v>
      </c>
      <c r="O291" s="611">
        <v>0</v>
      </c>
      <c r="P291" s="611">
        <v>0</v>
      </c>
      <c r="Q291" s="611">
        <v>0</v>
      </c>
      <c r="R291" s="611">
        <v>0</v>
      </c>
      <c r="S291" s="611">
        <v>0.75893700597248726</v>
      </c>
      <c r="T291" s="611">
        <v>0</v>
      </c>
      <c r="U291" s="611">
        <v>0</v>
      </c>
      <c r="V291" s="611">
        <v>0</v>
      </c>
      <c r="W291" s="620">
        <v>32.252811687116932</v>
      </c>
      <c r="X291" s="611">
        <v>0</v>
      </c>
      <c r="Y291" s="611">
        <v>0</v>
      </c>
      <c r="Z291" s="619">
        <v>57.408345380953165</v>
      </c>
      <c r="AA291" s="51"/>
    </row>
    <row r="292" spans="1:27" x14ac:dyDescent="0.25">
      <c r="A292" s="51">
        <v>25</v>
      </c>
      <c r="B292" s="51">
        <v>2030</v>
      </c>
      <c r="C292" s="51" t="s">
        <v>47</v>
      </c>
      <c r="D292" s="51" t="s">
        <v>505</v>
      </c>
      <c r="E292" s="51" t="s">
        <v>564</v>
      </c>
      <c r="F292" s="51"/>
      <c r="G292" s="618" t="s">
        <v>76</v>
      </c>
      <c r="H292" s="611">
        <v>0</v>
      </c>
      <c r="I292" s="611">
        <v>0</v>
      </c>
      <c r="J292" s="611">
        <v>0</v>
      </c>
      <c r="K292" s="611">
        <v>0</v>
      </c>
      <c r="L292" s="611">
        <v>3.1580738719590165</v>
      </c>
      <c r="M292" s="611">
        <v>0</v>
      </c>
      <c r="N292" s="611">
        <v>0</v>
      </c>
      <c r="O292" s="611">
        <v>0</v>
      </c>
      <c r="P292" s="611">
        <v>0</v>
      </c>
      <c r="Q292" s="611">
        <v>0</v>
      </c>
      <c r="R292" s="611">
        <v>0</v>
      </c>
      <c r="S292" s="611">
        <v>0.55730715387512053</v>
      </c>
      <c r="T292" s="611">
        <v>0</v>
      </c>
      <c r="U292" s="611">
        <v>0</v>
      </c>
      <c r="V292" s="611">
        <v>0</v>
      </c>
      <c r="W292" s="611">
        <v>45.209227907504797</v>
      </c>
      <c r="X292" s="611">
        <v>5.7720902001257217</v>
      </c>
      <c r="Y292" s="611">
        <v>0</v>
      </c>
      <c r="Z292" s="619">
        <v>54.696699133464655</v>
      </c>
      <c r="AA292" s="51"/>
    </row>
    <row r="293" spans="1:27" x14ac:dyDescent="0.25">
      <c r="A293" s="51">
        <v>26</v>
      </c>
      <c r="B293" s="51">
        <v>2030</v>
      </c>
      <c r="C293" s="51" t="s">
        <v>47</v>
      </c>
      <c r="D293" s="51" t="s">
        <v>506</v>
      </c>
      <c r="E293" s="51" t="s">
        <v>564</v>
      </c>
      <c r="F293" s="51"/>
      <c r="G293" s="614" t="s">
        <v>77</v>
      </c>
      <c r="H293" s="615">
        <v>20.730054687500001</v>
      </c>
      <c r="I293" s="615">
        <v>399.0688136252403</v>
      </c>
      <c r="J293" s="615">
        <v>-375.26273642086448</v>
      </c>
      <c r="K293" s="615">
        <v>-2.9474744550393384</v>
      </c>
      <c r="L293" s="615">
        <v>75.378635783576897</v>
      </c>
      <c r="M293" s="615">
        <v>-0.23021574029600303</v>
      </c>
      <c r="N293" s="615">
        <v>1170.5483636363635</v>
      </c>
      <c r="O293" s="615">
        <v>204.52346834681566</v>
      </c>
      <c r="P293" s="615">
        <v>234.05766821879325</v>
      </c>
      <c r="Q293" s="615">
        <v>23.107952113363567</v>
      </c>
      <c r="R293" s="615">
        <v>-43.727780380518055</v>
      </c>
      <c r="S293" s="615">
        <v>-33.797659965168243</v>
      </c>
      <c r="T293" s="615">
        <v>0</v>
      </c>
      <c r="U293" s="615">
        <v>5.7064517046525767</v>
      </c>
      <c r="V293" s="615">
        <v>9.8189547914893822</v>
      </c>
      <c r="W293" s="615">
        <v>-540.80094968995138</v>
      </c>
      <c r="X293" s="615">
        <v>-68.659715171058181</v>
      </c>
      <c r="Y293" s="615">
        <v>-6.0072936386686928</v>
      </c>
      <c r="Z293" s="615">
        <v>1071.5065374462306</v>
      </c>
      <c r="AA293" s="51"/>
    </row>
    <row r="294" spans="1:27" x14ac:dyDescent="0.25">
      <c r="A294" s="51"/>
      <c r="B294" s="51"/>
      <c r="C294" s="51"/>
      <c r="D294" s="51"/>
      <c r="E294" s="51"/>
      <c r="F294" s="51"/>
      <c r="G294" s="616"/>
      <c r="H294" s="617"/>
      <c r="I294" s="617"/>
      <c r="J294" s="617"/>
      <c r="K294" s="617"/>
      <c r="L294" s="617"/>
      <c r="M294" s="617"/>
      <c r="N294" s="617"/>
      <c r="O294" s="617"/>
      <c r="P294" s="617"/>
      <c r="Q294" s="617"/>
      <c r="R294" s="617"/>
      <c r="S294" s="617"/>
      <c r="T294" s="617"/>
      <c r="U294" s="617"/>
      <c r="V294" s="617"/>
      <c r="W294" s="617"/>
      <c r="X294" s="617"/>
      <c r="Y294" s="617"/>
      <c r="Z294" s="617"/>
      <c r="AA294" s="51"/>
    </row>
    <row r="295" spans="1:27" x14ac:dyDescent="0.25">
      <c r="A295" s="51">
        <v>28</v>
      </c>
      <c r="B295" s="51">
        <v>2030</v>
      </c>
      <c r="C295" s="51" t="s">
        <v>47</v>
      </c>
      <c r="D295" s="51" t="s">
        <v>507</v>
      </c>
      <c r="E295" s="51" t="s">
        <v>564</v>
      </c>
      <c r="F295" s="51"/>
      <c r="G295" s="618" t="s">
        <v>78</v>
      </c>
      <c r="H295" s="611">
        <v>7.5908142968750001</v>
      </c>
      <c r="I295" s="611">
        <v>0</v>
      </c>
      <c r="J295" s="611">
        <v>13.975750973200949</v>
      </c>
      <c r="K295" s="611">
        <v>0</v>
      </c>
      <c r="L295" s="611">
        <v>64.333045901846845</v>
      </c>
      <c r="M295" s="620">
        <v>0</v>
      </c>
      <c r="N295" s="611">
        <v>0</v>
      </c>
      <c r="O295" s="611">
        <v>0</v>
      </c>
      <c r="P295" s="611">
        <v>38.477320971383143</v>
      </c>
      <c r="Q295" s="611">
        <v>14.116285305258446</v>
      </c>
      <c r="R295" s="611">
        <v>0.81882375290856257</v>
      </c>
      <c r="S295" s="611">
        <v>11.380257389813027</v>
      </c>
      <c r="T295" s="611">
        <v>8.6685029296875005</v>
      </c>
      <c r="U295" s="611">
        <v>0</v>
      </c>
      <c r="V295" s="611">
        <v>5.5791983277925228E-4</v>
      </c>
      <c r="W295" s="611">
        <v>142.58573570124636</v>
      </c>
      <c r="X295" s="611">
        <v>18.843768578963054</v>
      </c>
      <c r="Y295" s="611">
        <v>3.6398383789062501</v>
      </c>
      <c r="Z295" s="619">
        <v>324.43070209992192</v>
      </c>
      <c r="AA295" s="51"/>
    </row>
    <row r="296" spans="1:27" x14ac:dyDescent="0.25">
      <c r="A296" s="51">
        <v>29</v>
      </c>
      <c r="B296" s="51">
        <v>2030</v>
      </c>
      <c r="C296" s="51" t="s">
        <v>47</v>
      </c>
      <c r="D296" s="51" t="s">
        <v>508</v>
      </c>
      <c r="E296" s="51" t="s">
        <v>564</v>
      </c>
      <c r="F296" s="51"/>
      <c r="G296" s="618" t="s">
        <v>79</v>
      </c>
      <c r="H296" s="611">
        <v>0</v>
      </c>
      <c r="I296" s="611">
        <v>0</v>
      </c>
      <c r="J296" s="611">
        <v>327.31240488287597</v>
      </c>
      <c r="K296" s="611">
        <v>0</v>
      </c>
      <c r="L296" s="611">
        <v>5.5523505805401721</v>
      </c>
      <c r="M296" s="620">
        <v>0</v>
      </c>
      <c r="N296" s="611">
        <v>0</v>
      </c>
      <c r="O296" s="611">
        <v>0</v>
      </c>
      <c r="P296" s="611">
        <v>0</v>
      </c>
      <c r="Q296" s="611">
        <v>0</v>
      </c>
      <c r="R296" s="611">
        <v>37.003548542473339</v>
      </c>
      <c r="S296" s="611">
        <v>0.97982657303650089</v>
      </c>
      <c r="T296" s="611">
        <v>0</v>
      </c>
      <c r="U296" s="611">
        <v>0</v>
      </c>
      <c r="V296" s="611">
        <v>0</v>
      </c>
      <c r="W296" s="611">
        <v>34.37904289575053</v>
      </c>
      <c r="X296" s="611">
        <v>0</v>
      </c>
      <c r="Y296" s="611">
        <v>0.97150026084130414</v>
      </c>
      <c r="Z296" s="619">
        <v>406.19867373551784</v>
      </c>
      <c r="AA296" s="51"/>
    </row>
    <row r="297" spans="1:27" x14ac:dyDescent="0.25">
      <c r="A297" s="51">
        <v>30</v>
      </c>
      <c r="B297" s="51">
        <v>2030</v>
      </c>
      <c r="C297" s="51" t="s">
        <v>47</v>
      </c>
      <c r="D297" s="51" t="s">
        <v>509</v>
      </c>
      <c r="E297" s="51" t="s">
        <v>564</v>
      </c>
      <c r="F297" s="51"/>
      <c r="G297" s="618" t="s">
        <v>80</v>
      </c>
      <c r="H297" s="611">
        <v>0</v>
      </c>
      <c r="I297" s="611">
        <v>0</v>
      </c>
      <c r="J297" s="611">
        <v>11.18733407964614</v>
      </c>
      <c r="K297" s="611">
        <v>0</v>
      </c>
      <c r="L297" s="611">
        <v>69.539323450068096</v>
      </c>
      <c r="M297" s="620">
        <v>0</v>
      </c>
      <c r="N297" s="611">
        <v>0</v>
      </c>
      <c r="O297" s="611">
        <v>0</v>
      </c>
      <c r="P297" s="611">
        <v>59.533347330157852</v>
      </c>
      <c r="Q297" s="611">
        <v>0</v>
      </c>
      <c r="R297" s="611">
        <v>0</v>
      </c>
      <c r="S297" s="611">
        <v>12.271645314717899</v>
      </c>
      <c r="T297" s="611">
        <v>77.706543399595844</v>
      </c>
      <c r="U297" s="611">
        <v>0</v>
      </c>
      <c r="V297" s="611">
        <v>6.7846268755442622</v>
      </c>
      <c r="W297" s="611">
        <v>151.04445348233753</v>
      </c>
      <c r="X297" s="611">
        <v>28.060200400581817</v>
      </c>
      <c r="Y297" s="611">
        <v>0</v>
      </c>
      <c r="Z297" s="619">
        <v>416.1274743326494</v>
      </c>
      <c r="AA297" s="51"/>
    </row>
    <row r="298" spans="1:27" x14ac:dyDescent="0.25">
      <c r="A298" s="51">
        <v>31</v>
      </c>
      <c r="B298" s="51">
        <v>2030</v>
      </c>
      <c r="C298" s="51" t="s">
        <v>47</v>
      </c>
      <c r="D298" s="51" t="s">
        <v>510</v>
      </c>
      <c r="E298" s="51" t="s">
        <v>564</v>
      </c>
      <c r="F298" s="51"/>
      <c r="G298" s="618" t="s">
        <v>81</v>
      </c>
      <c r="H298" s="611">
        <v>0</v>
      </c>
      <c r="I298" s="611">
        <v>0</v>
      </c>
      <c r="J298" s="611">
        <v>3.6554194787064276</v>
      </c>
      <c r="K298" s="611">
        <v>0</v>
      </c>
      <c r="L298" s="611">
        <v>44.709463205585443</v>
      </c>
      <c r="M298" s="620">
        <v>0</v>
      </c>
      <c r="N298" s="611">
        <v>0</v>
      </c>
      <c r="O298" s="611">
        <v>0</v>
      </c>
      <c r="P298" s="611">
        <v>0.66301904787483434</v>
      </c>
      <c r="Q298" s="611">
        <v>0</v>
      </c>
      <c r="R298" s="611">
        <v>0</v>
      </c>
      <c r="S298" s="611">
        <v>7.8899052715739018</v>
      </c>
      <c r="T298" s="611">
        <v>33.916450048668246</v>
      </c>
      <c r="U298" s="611">
        <v>0</v>
      </c>
      <c r="V298" s="611">
        <v>4.5766215659269527</v>
      </c>
      <c r="W298" s="611">
        <v>122.25101949093396</v>
      </c>
      <c r="X298" s="611">
        <v>21.755716608309388</v>
      </c>
      <c r="Y298" s="611">
        <v>0</v>
      </c>
      <c r="Z298" s="619">
        <v>239.41761471757917</v>
      </c>
      <c r="AA298" s="51"/>
    </row>
    <row r="299" spans="1:27" x14ac:dyDescent="0.25">
      <c r="A299" s="51">
        <v>32</v>
      </c>
      <c r="B299" s="51">
        <v>2030</v>
      </c>
      <c r="C299" s="51" t="s">
        <v>47</v>
      </c>
      <c r="D299" s="51" t="s">
        <v>511</v>
      </c>
      <c r="E299" s="51" t="s">
        <v>564</v>
      </c>
      <c r="F299" s="51"/>
      <c r="G299" s="618" t="s">
        <v>82</v>
      </c>
      <c r="H299" s="611">
        <v>0</v>
      </c>
      <c r="I299" s="611">
        <v>0</v>
      </c>
      <c r="J299" s="611">
        <v>30.921826566669441</v>
      </c>
      <c r="K299" s="611">
        <v>0</v>
      </c>
      <c r="L299" s="611">
        <v>1.4667494513017647</v>
      </c>
      <c r="M299" s="620">
        <v>0</v>
      </c>
      <c r="N299" s="611">
        <v>0</v>
      </c>
      <c r="O299" s="611">
        <v>0</v>
      </c>
      <c r="P299" s="611">
        <v>11.011050824063592</v>
      </c>
      <c r="Q299" s="611">
        <v>0</v>
      </c>
      <c r="R299" s="611">
        <v>3.8614418473348646</v>
      </c>
      <c r="S299" s="611">
        <v>0.2588381384650173</v>
      </c>
      <c r="T299" s="611">
        <v>0.5</v>
      </c>
      <c r="U299" s="611">
        <v>0</v>
      </c>
      <c r="V299" s="611">
        <v>0.62518456969816016</v>
      </c>
      <c r="W299" s="611">
        <v>7.7729232574275695</v>
      </c>
      <c r="X299" s="611">
        <v>0</v>
      </c>
      <c r="Y299" s="611">
        <v>0.17366238047171115</v>
      </c>
      <c r="Z299" s="619">
        <v>56.59167703543212</v>
      </c>
      <c r="AA299" s="51"/>
    </row>
    <row r="300" spans="1:27" x14ac:dyDescent="0.25">
      <c r="A300" s="51">
        <v>33</v>
      </c>
      <c r="B300" s="51">
        <v>2030</v>
      </c>
      <c r="C300" s="51" t="s">
        <v>47</v>
      </c>
      <c r="D300" s="51" t="s">
        <v>512</v>
      </c>
      <c r="E300" s="51" t="s">
        <v>564</v>
      </c>
      <c r="F300" s="51"/>
      <c r="G300" s="618" t="s">
        <v>354</v>
      </c>
      <c r="H300" s="611">
        <v>0</v>
      </c>
      <c r="I300" s="611">
        <v>0</v>
      </c>
      <c r="J300" s="611">
        <v>0</v>
      </c>
      <c r="K300" s="611">
        <v>0</v>
      </c>
      <c r="L300" s="611">
        <v>0</v>
      </c>
      <c r="M300" s="611">
        <v>0</v>
      </c>
      <c r="N300" s="611">
        <v>0</v>
      </c>
      <c r="O300" s="611">
        <v>0</v>
      </c>
      <c r="P300" s="611">
        <v>0</v>
      </c>
      <c r="Q300" s="611">
        <v>0</v>
      </c>
      <c r="R300" s="611">
        <v>0</v>
      </c>
      <c r="S300" s="611">
        <v>0</v>
      </c>
      <c r="T300" s="611">
        <v>0</v>
      </c>
      <c r="U300" s="611">
        <v>0</v>
      </c>
      <c r="V300" s="611">
        <v>0</v>
      </c>
      <c r="W300" s="611">
        <v>0</v>
      </c>
      <c r="X300" s="611">
        <v>0</v>
      </c>
      <c r="Y300" s="611">
        <v>0</v>
      </c>
      <c r="Z300" s="619">
        <v>0</v>
      </c>
      <c r="AA300" s="51"/>
    </row>
    <row r="301" spans="1:27" x14ac:dyDescent="0.25">
      <c r="A301" s="51">
        <v>34</v>
      </c>
      <c r="B301" s="51">
        <v>2030</v>
      </c>
      <c r="C301" s="51" t="s">
        <v>47</v>
      </c>
      <c r="D301" s="51" t="s">
        <v>513</v>
      </c>
      <c r="E301" s="51" t="s">
        <v>564</v>
      </c>
      <c r="F301" s="51"/>
      <c r="G301" s="614" t="s">
        <v>83</v>
      </c>
      <c r="H301" s="615">
        <v>7.5908142968750001</v>
      </c>
      <c r="I301" s="615">
        <v>0</v>
      </c>
      <c r="J301" s="615">
        <v>387.05273598109892</v>
      </c>
      <c r="K301" s="615">
        <v>0</v>
      </c>
      <c r="L301" s="615">
        <v>185.60093258934231</v>
      </c>
      <c r="M301" s="615">
        <v>0</v>
      </c>
      <c r="N301" s="615">
        <v>0</v>
      </c>
      <c r="O301" s="615">
        <v>0</v>
      </c>
      <c r="P301" s="615">
        <v>109.68473817347942</v>
      </c>
      <c r="Q301" s="615">
        <v>14.116285305258446</v>
      </c>
      <c r="R301" s="615">
        <v>41.68381414271677</v>
      </c>
      <c r="S301" s="615">
        <v>32.780472687606341</v>
      </c>
      <c r="T301" s="615">
        <v>120.7914963779516</v>
      </c>
      <c r="U301" s="615">
        <v>0</v>
      </c>
      <c r="V301" s="615">
        <v>11.986990931002154</v>
      </c>
      <c r="W301" s="615">
        <v>458.03317482769597</v>
      </c>
      <c r="X301" s="615">
        <v>68.659685587854256</v>
      </c>
      <c r="Y301" s="615">
        <v>4.7850010202192657</v>
      </c>
      <c r="Z301" s="615">
        <v>1442.7661419211006</v>
      </c>
      <c r="AA301" s="51"/>
    </row>
    <row r="302" spans="1:27" x14ac:dyDescent="0.25">
      <c r="A302" s="51">
        <v>35</v>
      </c>
      <c r="B302" s="51">
        <v>2030</v>
      </c>
      <c r="C302" s="51" t="s">
        <v>47</v>
      </c>
      <c r="D302" s="51" t="s">
        <v>514</v>
      </c>
      <c r="E302" s="51" t="s">
        <v>564</v>
      </c>
      <c r="F302" s="51"/>
      <c r="G302" s="610" t="s">
        <v>84</v>
      </c>
      <c r="H302" s="611">
        <v>0</v>
      </c>
      <c r="I302" s="611">
        <v>0</v>
      </c>
      <c r="J302" s="611">
        <v>112.97552934808726</v>
      </c>
      <c r="K302" s="611">
        <v>1.4672587147433351</v>
      </c>
      <c r="L302" s="611">
        <v>13.207945262659734</v>
      </c>
      <c r="M302" s="611">
        <v>0</v>
      </c>
      <c r="N302" s="611">
        <v>0</v>
      </c>
      <c r="O302" s="611">
        <v>0</v>
      </c>
      <c r="P302" s="720">
        <v>0.11811085902414255</v>
      </c>
      <c r="Q302" s="611">
        <v>0</v>
      </c>
      <c r="R302" s="611">
        <v>1.7202046921186662</v>
      </c>
      <c r="S302" s="611">
        <v>0.33726130316710795</v>
      </c>
      <c r="T302" s="611">
        <v>0</v>
      </c>
      <c r="U302" s="611">
        <v>0</v>
      </c>
      <c r="V302" s="611">
        <v>0</v>
      </c>
      <c r="W302" s="611">
        <v>0</v>
      </c>
      <c r="X302" s="611">
        <v>0</v>
      </c>
      <c r="Y302" s="611">
        <v>1.1371080780029297</v>
      </c>
      <c r="Z302" s="619">
        <v>130.9634182578032</v>
      </c>
      <c r="AA302" s="51"/>
    </row>
    <row r="303" spans="1:27" x14ac:dyDescent="0.25">
      <c r="A303" s="51">
        <v>36</v>
      </c>
      <c r="B303" s="51">
        <v>2030</v>
      </c>
      <c r="C303" s="51" t="s">
        <v>47</v>
      </c>
      <c r="D303" s="51" t="s">
        <v>515</v>
      </c>
      <c r="E303" s="51" t="s">
        <v>564</v>
      </c>
      <c r="F303" s="51"/>
      <c r="G303" s="614" t="s">
        <v>85</v>
      </c>
      <c r="H303" s="615">
        <v>7.5908142968750001</v>
      </c>
      <c r="I303" s="615">
        <v>0</v>
      </c>
      <c r="J303" s="615">
        <v>500.02826532918618</v>
      </c>
      <c r="K303" s="615">
        <v>1.4672587147433351</v>
      </c>
      <c r="L303" s="615">
        <v>198.80887785200204</v>
      </c>
      <c r="M303" s="615">
        <v>0</v>
      </c>
      <c r="N303" s="615">
        <v>0</v>
      </c>
      <c r="O303" s="615">
        <v>0</v>
      </c>
      <c r="P303" s="615">
        <v>109.80284903250356</v>
      </c>
      <c r="Q303" s="615">
        <v>14.116285305258446</v>
      </c>
      <c r="R303" s="615">
        <v>43.404018834835433</v>
      </c>
      <c r="S303" s="615">
        <v>33.117733990773452</v>
      </c>
      <c r="T303" s="615">
        <v>120.7914963779516</v>
      </c>
      <c r="U303" s="615">
        <v>0</v>
      </c>
      <c r="V303" s="615">
        <v>11.986990931002154</v>
      </c>
      <c r="W303" s="615">
        <v>458.03317482769597</v>
      </c>
      <c r="X303" s="615">
        <v>68.659685587854256</v>
      </c>
      <c r="Y303" s="615">
        <v>5.9221090982221956</v>
      </c>
      <c r="Z303" s="615">
        <v>1573.7295601789037</v>
      </c>
      <c r="AA303" s="51"/>
    </row>
    <row r="304" spans="1:27" x14ac:dyDescent="0.25">
      <c r="A304" s="51"/>
      <c r="B304" s="51"/>
      <c r="C304" s="51"/>
      <c r="D304" s="51"/>
      <c r="E304" s="51"/>
      <c r="F304" s="51"/>
      <c r="G304" s="51"/>
      <c r="H304" s="67">
        <v>0</v>
      </c>
      <c r="I304" s="67">
        <v>0</v>
      </c>
      <c r="J304" s="67">
        <v>0</v>
      </c>
      <c r="K304" s="67">
        <v>0</v>
      </c>
      <c r="L304" s="67">
        <v>0</v>
      </c>
      <c r="M304" s="67">
        <v>0</v>
      </c>
      <c r="N304" s="67">
        <v>0</v>
      </c>
      <c r="O304" s="67">
        <v>0</v>
      </c>
      <c r="P304" s="67">
        <v>0</v>
      </c>
      <c r="Q304" s="67">
        <v>0</v>
      </c>
      <c r="R304" s="67">
        <v>0</v>
      </c>
      <c r="S304" s="67">
        <v>1.1768364061026659E-14</v>
      </c>
      <c r="T304" s="67">
        <v>0</v>
      </c>
      <c r="U304" s="67">
        <v>0</v>
      </c>
      <c r="V304" s="67">
        <v>0</v>
      </c>
      <c r="W304" s="67">
        <v>0</v>
      </c>
      <c r="X304" s="721">
        <v>-2.9583203925653834E-5</v>
      </c>
      <c r="Y304" s="67">
        <v>-2.0816681711721685E-16</v>
      </c>
      <c r="Z304" s="67">
        <v>-2.9583204195660073E-5</v>
      </c>
      <c r="AA304" s="51"/>
    </row>
    <row r="305" spans="1:27" x14ac:dyDescent="0.25">
      <c r="A305" s="51"/>
      <c r="B305" s="51"/>
      <c r="C305" s="51"/>
      <c r="D305" s="51"/>
      <c r="E305" s="51"/>
      <c r="F305" s="51"/>
      <c r="G305" s="51"/>
      <c r="H305" s="51"/>
      <c r="I305" s="51"/>
      <c r="J305" s="51"/>
      <c r="K305" s="67"/>
      <c r="L305" s="51"/>
      <c r="M305" s="51"/>
      <c r="N305" s="51"/>
      <c r="O305" s="51"/>
      <c r="P305" s="51"/>
      <c r="Q305" s="51"/>
      <c r="R305" s="51"/>
      <c r="S305" s="51"/>
      <c r="T305" s="51"/>
      <c r="U305" s="51"/>
      <c r="V305" s="51"/>
      <c r="W305" s="51"/>
      <c r="X305" s="51"/>
      <c r="Y305" s="51"/>
      <c r="Z305" s="51"/>
      <c r="AA305" s="51"/>
    </row>
    <row r="306" spans="1:27" x14ac:dyDescent="0.25">
      <c r="A306" s="606"/>
      <c r="B306" s="606"/>
      <c r="C306" s="606"/>
      <c r="D306" s="606"/>
      <c r="E306" s="606"/>
      <c r="F306" s="606"/>
      <c r="G306" s="607" t="s">
        <v>357</v>
      </c>
      <c r="H306" s="606"/>
      <c r="I306" s="606"/>
      <c r="J306" s="606"/>
      <c r="K306" s="682"/>
      <c r="L306" s="606"/>
      <c r="M306" s="606"/>
      <c r="N306" s="606"/>
      <c r="O306" s="606"/>
      <c r="P306" s="606"/>
      <c r="Q306" s="606"/>
      <c r="R306" s="606"/>
      <c r="S306" s="606"/>
      <c r="T306" s="606"/>
      <c r="U306" s="606"/>
      <c r="V306" s="606"/>
      <c r="W306" s="606"/>
      <c r="X306" s="606"/>
      <c r="Y306" s="606"/>
      <c r="Z306" s="606"/>
      <c r="AA306" s="606"/>
    </row>
    <row r="307" spans="1:27" x14ac:dyDescent="0.25">
      <c r="A307" s="51"/>
      <c r="B307" s="51"/>
      <c r="C307" s="51"/>
      <c r="D307" s="51"/>
      <c r="E307" s="51"/>
      <c r="F307" s="51"/>
      <c r="G307" s="51"/>
      <c r="H307" s="51"/>
      <c r="I307" s="51"/>
      <c r="J307" s="51"/>
      <c r="K307" s="67"/>
      <c r="L307" s="51"/>
      <c r="M307" s="51"/>
      <c r="N307" s="51"/>
      <c r="O307" s="51"/>
      <c r="P307" s="51"/>
      <c r="Q307" s="51"/>
      <c r="R307" s="51"/>
      <c r="S307" s="51"/>
      <c r="T307" s="51"/>
      <c r="U307" s="51"/>
      <c r="V307" s="51"/>
      <c r="W307" s="51"/>
      <c r="X307" s="51"/>
      <c r="Y307" s="51"/>
      <c r="Z307" s="51"/>
      <c r="AA307" s="51"/>
    </row>
    <row r="308" spans="1:27" x14ac:dyDescent="0.25">
      <c r="A308" s="51"/>
      <c r="B308" s="51"/>
      <c r="C308" s="51"/>
      <c r="D308" s="51"/>
      <c r="E308" s="51"/>
      <c r="F308" s="51"/>
      <c r="G308" s="764" t="s">
        <v>128</v>
      </c>
      <c r="H308" s="753" t="s">
        <v>42</v>
      </c>
      <c r="I308" s="753" t="s">
        <v>52</v>
      </c>
      <c r="J308" s="753" t="s">
        <v>53</v>
      </c>
      <c r="K308" s="766" t="s">
        <v>482</v>
      </c>
      <c r="L308" s="753" t="s">
        <v>32</v>
      </c>
      <c r="M308" s="753" t="s">
        <v>483</v>
      </c>
      <c r="N308" s="753" t="s">
        <v>20</v>
      </c>
      <c r="O308" s="753" t="s">
        <v>55</v>
      </c>
      <c r="P308" s="761" t="s">
        <v>56</v>
      </c>
      <c r="Q308" s="762"/>
      <c r="R308" s="762"/>
      <c r="S308" s="762"/>
      <c r="T308" s="762"/>
      <c r="U308" s="762"/>
      <c r="V308" s="763"/>
      <c r="W308" s="753" t="s">
        <v>57</v>
      </c>
      <c r="X308" s="753" t="s">
        <v>58</v>
      </c>
      <c r="Y308" s="753" t="s">
        <v>31</v>
      </c>
      <c r="Z308" s="753" t="s">
        <v>10</v>
      </c>
      <c r="AA308" s="51"/>
    </row>
    <row r="309" spans="1:27" ht="36" x14ac:dyDescent="0.25">
      <c r="A309" s="51"/>
      <c r="B309" s="51"/>
      <c r="C309" s="51"/>
      <c r="D309" s="51" t="s">
        <v>486</v>
      </c>
      <c r="E309" s="51"/>
      <c r="F309" s="51"/>
      <c r="G309" s="765"/>
      <c r="H309" s="754"/>
      <c r="I309" s="754"/>
      <c r="J309" s="754"/>
      <c r="K309" s="767"/>
      <c r="L309" s="754"/>
      <c r="M309" s="754"/>
      <c r="N309" s="754"/>
      <c r="O309" s="754"/>
      <c r="P309" s="608" t="s">
        <v>335</v>
      </c>
      <c r="Q309" s="608" t="s">
        <v>40</v>
      </c>
      <c r="R309" s="608" t="s">
        <v>343</v>
      </c>
      <c r="S309" s="608" t="s">
        <v>344</v>
      </c>
      <c r="T309" s="609" t="s">
        <v>345</v>
      </c>
      <c r="U309" s="609" t="s">
        <v>609</v>
      </c>
      <c r="V309" s="608" t="s">
        <v>346</v>
      </c>
      <c r="W309" s="754"/>
      <c r="X309" s="754"/>
      <c r="Y309" s="754"/>
      <c r="Z309" s="754"/>
      <c r="AA309" s="51"/>
    </row>
    <row r="310" spans="1:27" x14ac:dyDescent="0.25">
      <c r="A310" s="51">
        <v>6</v>
      </c>
      <c r="B310" s="51">
        <v>2033</v>
      </c>
      <c r="C310" s="51" t="s">
        <v>47</v>
      </c>
      <c r="D310" s="51" t="s">
        <v>487</v>
      </c>
      <c r="E310" s="51" t="s">
        <v>564</v>
      </c>
      <c r="F310" s="51"/>
      <c r="G310" s="610" t="s">
        <v>59</v>
      </c>
      <c r="H310" s="611">
        <v>0</v>
      </c>
      <c r="I310" s="611">
        <v>6.6756200000000003</v>
      </c>
      <c r="J310" s="611">
        <v>0</v>
      </c>
      <c r="K310" s="611">
        <v>0</v>
      </c>
      <c r="L310" s="611">
        <v>0.13839700000000002</v>
      </c>
      <c r="M310" s="611">
        <v>0</v>
      </c>
      <c r="N310" s="612">
        <v>1165.8657454545453</v>
      </c>
      <c r="O310" s="612">
        <v>268.89257128441801</v>
      </c>
      <c r="P310" s="611">
        <v>350.97956818159156</v>
      </c>
      <c r="Q310" s="612">
        <v>37.893448976981986</v>
      </c>
      <c r="R310" s="611">
        <v>0</v>
      </c>
      <c r="S310" s="611">
        <v>0</v>
      </c>
      <c r="T310" s="612">
        <v>143.86463157960236</v>
      </c>
      <c r="U310" s="612">
        <v>10.430927176576887</v>
      </c>
      <c r="V310" s="612">
        <v>29.18864620164419</v>
      </c>
      <c r="W310" s="611">
        <v>0</v>
      </c>
      <c r="X310" s="611">
        <v>0</v>
      </c>
      <c r="Y310" s="611">
        <v>0</v>
      </c>
      <c r="Z310" s="613">
        <v>2013.9295558553599</v>
      </c>
      <c r="AA310" s="51"/>
    </row>
    <row r="311" spans="1:27" x14ac:dyDescent="0.25">
      <c r="A311" s="51">
        <v>7</v>
      </c>
      <c r="B311" s="51">
        <v>2033</v>
      </c>
      <c r="C311" s="51" t="s">
        <v>47</v>
      </c>
      <c r="D311" s="51" t="s">
        <v>488</v>
      </c>
      <c r="E311" s="51" t="s">
        <v>564</v>
      </c>
      <c r="F311" s="51"/>
      <c r="G311" s="610" t="s">
        <v>60</v>
      </c>
      <c r="H311" s="611">
        <v>20.995476620117188</v>
      </c>
      <c r="I311" s="611">
        <v>341.17156490138257</v>
      </c>
      <c r="J311" s="611">
        <v>151.67395350320254</v>
      </c>
      <c r="K311" s="611">
        <v>1.6032073941600355</v>
      </c>
      <c r="L311" s="620">
        <v>234.96874849560447</v>
      </c>
      <c r="M311" s="611">
        <v>0</v>
      </c>
      <c r="N311" s="611">
        <v>0</v>
      </c>
      <c r="O311" s="611">
        <v>0</v>
      </c>
      <c r="P311" s="611">
        <v>7.2127508025348561</v>
      </c>
      <c r="Q311" s="611">
        <v>0</v>
      </c>
      <c r="R311" s="611">
        <v>4.0338993663601599</v>
      </c>
      <c r="S311" s="611">
        <v>0</v>
      </c>
      <c r="T311" s="611">
        <v>0</v>
      </c>
      <c r="U311" s="611">
        <v>0</v>
      </c>
      <c r="V311" s="611">
        <v>0</v>
      </c>
      <c r="W311" s="611">
        <v>0</v>
      </c>
      <c r="X311" s="611">
        <v>0</v>
      </c>
      <c r="Y311" s="611">
        <v>0</v>
      </c>
      <c r="Z311" s="613">
        <v>761.65960108336185</v>
      </c>
      <c r="AA311" s="51"/>
    </row>
    <row r="312" spans="1:27" x14ac:dyDescent="0.25">
      <c r="A312" s="51">
        <v>8</v>
      </c>
      <c r="B312" s="51">
        <v>2033</v>
      </c>
      <c r="C312" s="51" t="s">
        <v>47</v>
      </c>
      <c r="D312" s="51" t="s">
        <v>489</v>
      </c>
      <c r="E312" s="51" t="s">
        <v>564</v>
      </c>
      <c r="F312" s="51"/>
      <c r="G312" s="610" t="s">
        <v>61</v>
      </c>
      <c r="H312" s="611">
        <v>0</v>
      </c>
      <c r="I312" s="611">
        <v>0</v>
      </c>
      <c r="J312" s="611">
        <v>0</v>
      </c>
      <c r="K312" s="611">
        <v>0</v>
      </c>
      <c r="L312" s="611">
        <v>0</v>
      </c>
      <c r="M312" s="611">
        <v>0</v>
      </c>
      <c r="N312" s="611">
        <v>0</v>
      </c>
      <c r="O312" s="611">
        <v>0</v>
      </c>
      <c r="P312" s="611">
        <v>0</v>
      </c>
      <c r="Q312" s="611">
        <v>0</v>
      </c>
      <c r="R312" s="611">
        <v>0</v>
      </c>
      <c r="S312" s="611">
        <v>0</v>
      </c>
      <c r="T312" s="611">
        <v>0</v>
      </c>
      <c r="U312" s="611">
        <v>0</v>
      </c>
      <c r="V312" s="611">
        <v>0</v>
      </c>
      <c r="W312" s="611">
        <v>-109.79189219686305</v>
      </c>
      <c r="X312" s="611">
        <v>0</v>
      </c>
      <c r="Y312" s="611">
        <v>0</v>
      </c>
      <c r="Z312" s="613">
        <v>-109.79189219686305</v>
      </c>
      <c r="AA312" s="51"/>
    </row>
    <row r="313" spans="1:27" x14ac:dyDescent="0.25">
      <c r="A313" s="51">
        <v>9</v>
      </c>
      <c r="B313" s="51">
        <v>2033</v>
      </c>
      <c r="C313" s="51" t="s">
        <v>47</v>
      </c>
      <c r="D313" s="51" t="s">
        <v>490</v>
      </c>
      <c r="E313" s="51" t="s">
        <v>564</v>
      </c>
      <c r="F313" s="51"/>
      <c r="G313" s="610" t="s">
        <v>62</v>
      </c>
      <c r="H313" s="611">
        <v>0</v>
      </c>
      <c r="I313" s="611">
        <v>0</v>
      </c>
      <c r="J313" s="611">
        <v>-7.8555551160476131</v>
      </c>
      <c r="K313" s="611">
        <v>-0.3373161064337088</v>
      </c>
      <c r="L313" s="611">
        <v>-0.96725165809085023</v>
      </c>
      <c r="M313" s="611">
        <v>-0.4644109471147348</v>
      </c>
      <c r="N313" s="611">
        <v>0</v>
      </c>
      <c r="O313" s="611">
        <v>0</v>
      </c>
      <c r="P313" s="611">
        <v>0</v>
      </c>
      <c r="Q313" s="611">
        <v>0</v>
      </c>
      <c r="R313" s="611">
        <v>0</v>
      </c>
      <c r="S313" s="611">
        <v>-0.87837701634115894</v>
      </c>
      <c r="T313" s="611">
        <v>0</v>
      </c>
      <c r="U313" s="611">
        <v>0</v>
      </c>
      <c r="V313" s="611">
        <v>0</v>
      </c>
      <c r="W313" s="611">
        <v>0</v>
      </c>
      <c r="X313" s="611">
        <v>0</v>
      </c>
      <c r="Y313" s="611">
        <v>-0.26185876214866849</v>
      </c>
      <c r="Z313" s="613">
        <v>-10.764769606176733</v>
      </c>
      <c r="AA313" s="51"/>
    </row>
    <row r="314" spans="1:27" x14ac:dyDescent="0.25">
      <c r="A314" s="51">
        <v>10</v>
      </c>
      <c r="B314" s="51">
        <v>2033</v>
      </c>
      <c r="C314" s="51" t="s">
        <v>47</v>
      </c>
      <c r="D314" s="51" t="s">
        <v>491</v>
      </c>
      <c r="E314" s="51" t="s">
        <v>564</v>
      </c>
      <c r="F314" s="51"/>
      <c r="G314" s="610" t="s">
        <v>63</v>
      </c>
      <c r="H314" s="611">
        <v>0</v>
      </c>
      <c r="I314" s="611">
        <v>0</v>
      </c>
      <c r="J314" s="611">
        <v>-61.6</v>
      </c>
      <c r="K314" s="611">
        <v>-2.8</v>
      </c>
      <c r="L314" s="611">
        <v>0</v>
      </c>
      <c r="M314" s="611">
        <v>0</v>
      </c>
      <c r="N314" s="611">
        <v>0</v>
      </c>
      <c r="O314" s="611">
        <v>0</v>
      </c>
      <c r="P314" s="611">
        <v>0</v>
      </c>
      <c r="Q314" s="611">
        <v>0</v>
      </c>
      <c r="R314" s="611">
        <v>-8.1999999999999993</v>
      </c>
      <c r="S314" s="611">
        <v>0</v>
      </c>
      <c r="T314" s="611">
        <v>0</v>
      </c>
      <c r="U314" s="611">
        <v>0</v>
      </c>
      <c r="V314" s="611">
        <v>0</v>
      </c>
      <c r="W314" s="611">
        <v>0</v>
      </c>
      <c r="X314" s="611">
        <v>0</v>
      </c>
      <c r="Y314" s="611">
        <v>-0.6</v>
      </c>
      <c r="Z314" s="613">
        <v>-73.2</v>
      </c>
      <c r="AA314" s="51"/>
    </row>
    <row r="315" spans="1:27" x14ac:dyDescent="0.25">
      <c r="A315" s="51">
        <v>11</v>
      </c>
      <c r="B315" s="51">
        <v>2033</v>
      </c>
      <c r="C315" s="51" t="s">
        <v>47</v>
      </c>
      <c r="D315" s="51" t="s">
        <v>492</v>
      </c>
      <c r="E315" s="51" t="s">
        <v>564</v>
      </c>
      <c r="F315" s="51"/>
      <c r="G315" s="610" t="s">
        <v>64</v>
      </c>
      <c r="H315" s="611">
        <v>0</v>
      </c>
      <c r="I315" s="611">
        <v>0</v>
      </c>
      <c r="J315" s="611">
        <v>0</v>
      </c>
      <c r="K315" s="611">
        <v>0</v>
      </c>
      <c r="L315" s="611">
        <v>0</v>
      </c>
      <c r="M315" s="611">
        <v>0</v>
      </c>
      <c r="N315" s="611">
        <v>0</v>
      </c>
      <c r="O315" s="611">
        <v>0</v>
      </c>
      <c r="P315" s="611">
        <v>0</v>
      </c>
      <c r="Q315" s="611">
        <v>0</v>
      </c>
      <c r="R315" s="611">
        <v>0</v>
      </c>
      <c r="S315" s="611">
        <v>0</v>
      </c>
      <c r="T315" s="611">
        <v>0</v>
      </c>
      <c r="U315" s="611">
        <v>0</v>
      </c>
      <c r="V315" s="611">
        <v>0</v>
      </c>
      <c r="W315" s="611">
        <v>0</v>
      </c>
      <c r="X315" s="611">
        <v>0</v>
      </c>
      <c r="Y315" s="611">
        <v>0</v>
      </c>
      <c r="Z315" s="613">
        <v>0</v>
      </c>
      <c r="AA315" s="51"/>
    </row>
    <row r="316" spans="1:27" x14ac:dyDescent="0.25">
      <c r="A316" s="51">
        <v>12</v>
      </c>
      <c r="B316" s="51">
        <v>2033</v>
      </c>
      <c r="C316" s="51" t="s">
        <v>47</v>
      </c>
      <c r="D316" s="51" t="s">
        <v>493</v>
      </c>
      <c r="E316" s="51" t="s">
        <v>564</v>
      </c>
      <c r="F316" s="51"/>
      <c r="G316" s="614" t="s">
        <v>65</v>
      </c>
      <c r="H316" s="615">
        <v>20.995476620117188</v>
      </c>
      <c r="I316" s="615">
        <v>347.84718490138255</v>
      </c>
      <c r="J316" s="615">
        <v>82.218398387154934</v>
      </c>
      <c r="K316" s="615">
        <v>-1.5341087122736732</v>
      </c>
      <c r="L316" s="615">
        <v>234.13989383751363</v>
      </c>
      <c r="M316" s="615">
        <v>-0.4644109471147348</v>
      </c>
      <c r="N316" s="615">
        <v>1165.8657454545453</v>
      </c>
      <c r="O316" s="615">
        <v>268.89257128441801</v>
      </c>
      <c r="P316" s="615">
        <v>358.19231898412642</v>
      </c>
      <c r="Q316" s="615">
        <v>37.893448976981986</v>
      </c>
      <c r="R316" s="615">
        <v>-4.1661006336398394</v>
      </c>
      <c r="S316" s="615">
        <v>-0.87837701634115894</v>
      </c>
      <c r="T316" s="615">
        <v>143.86463157960236</v>
      </c>
      <c r="U316" s="615">
        <v>10.430927176576887</v>
      </c>
      <c r="V316" s="615">
        <v>29.18864620164419</v>
      </c>
      <c r="W316" s="615">
        <v>-109.79189219686305</v>
      </c>
      <c r="X316" s="615">
        <v>0</v>
      </c>
      <c r="Y316" s="615">
        <v>-0.86185876214866841</v>
      </c>
      <c r="Z316" s="615">
        <v>2581.8324951356822</v>
      </c>
      <c r="AA316" s="51"/>
    </row>
    <row r="317" spans="1:27" x14ac:dyDescent="0.25">
      <c r="A317" s="51"/>
      <c r="B317" s="51"/>
      <c r="C317" s="51"/>
      <c r="D317" s="51"/>
      <c r="E317" s="51"/>
      <c r="F317" s="51"/>
      <c r="G317" s="616"/>
      <c r="H317" s="617"/>
      <c r="I317" s="617"/>
      <c r="J317" s="617"/>
      <c r="K317" s="617"/>
      <c r="L317" s="617"/>
      <c r="M317" s="617"/>
      <c r="N317" s="617"/>
      <c r="O317" s="617"/>
      <c r="P317" s="617"/>
      <c r="Q317" s="617"/>
      <c r="R317" s="617"/>
      <c r="S317" s="617"/>
      <c r="T317" s="617"/>
      <c r="U317" s="617"/>
      <c r="V317" s="617"/>
      <c r="W317" s="617"/>
      <c r="X317" s="617"/>
      <c r="Y317" s="617"/>
      <c r="Z317" s="617"/>
      <c r="AA317" s="51"/>
    </row>
    <row r="318" spans="1:27" x14ac:dyDescent="0.25">
      <c r="A318" s="51">
        <v>14</v>
      </c>
      <c r="B318" s="51">
        <v>2033</v>
      </c>
      <c r="C318" s="51" t="s">
        <v>47</v>
      </c>
      <c r="D318" s="51" t="s">
        <v>494</v>
      </c>
      <c r="E318" s="51" t="s">
        <v>564</v>
      </c>
      <c r="F318" s="51"/>
      <c r="G318" s="618" t="s">
        <v>67</v>
      </c>
      <c r="H318" s="611">
        <v>0</v>
      </c>
      <c r="I318" s="611">
        <v>0</v>
      </c>
      <c r="J318" s="611">
        <v>0</v>
      </c>
      <c r="K318" s="611">
        <v>0</v>
      </c>
      <c r="L318" s="611">
        <v>0</v>
      </c>
      <c r="M318" s="611">
        <v>0</v>
      </c>
      <c r="N318" s="611">
        <v>0</v>
      </c>
      <c r="O318" s="611">
        <v>0</v>
      </c>
      <c r="P318" s="611">
        <v>0</v>
      </c>
      <c r="Q318" s="611">
        <v>0</v>
      </c>
      <c r="R318" s="611">
        <v>0</v>
      </c>
      <c r="S318" s="611">
        <v>0</v>
      </c>
      <c r="T318" s="611">
        <v>0</v>
      </c>
      <c r="U318" s="611">
        <v>0</v>
      </c>
      <c r="V318" s="611">
        <v>0</v>
      </c>
      <c r="W318" s="611">
        <v>0</v>
      </c>
      <c r="X318" s="611">
        <v>0</v>
      </c>
      <c r="Y318" s="611">
        <v>0</v>
      </c>
      <c r="Z318" s="619">
        <v>0</v>
      </c>
      <c r="AA318" s="51"/>
    </row>
    <row r="319" spans="1:27" x14ac:dyDescent="0.25">
      <c r="A319" s="51">
        <v>15</v>
      </c>
      <c r="B319" s="51">
        <v>2033</v>
      </c>
      <c r="C319" s="51" t="s">
        <v>47</v>
      </c>
      <c r="D319" s="51" t="s">
        <v>495</v>
      </c>
      <c r="E319" s="51" t="s">
        <v>564</v>
      </c>
      <c r="F319" s="51"/>
      <c r="G319" s="618" t="s">
        <v>347</v>
      </c>
      <c r="H319" s="611">
        <v>0</v>
      </c>
      <c r="I319" s="611">
        <v>0</v>
      </c>
      <c r="J319" s="611">
        <v>0.79278558393774012</v>
      </c>
      <c r="K319" s="611">
        <v>0</v>
      </c>
      <c r="L319" s="611">
        <v>39.742127218941704</v>
      </c>
      <c r="M319" s="611">
        <v>0</v>
      </c>
      <c r="N319" s="611">
        <v>1165.8657454545453</v>
      </c>
      <c r="O319" s="611">
        <v>268.89257128441801</v>
      </c>
      <c r="P319" s="611">
        <v>15.234760951896032</v>
      </c>
      <c r="Q319" s="611">
        <v>6.1054191927440655</v>
      </c>
      <c r="R319" s="611">
        <v>4.7819832265678626</v>
      </c>
      <c r="S319" s="611">
        <v>11.926695737568444</v>
      </c>
      <c r="T319" s="611">
        <v>0</v>
      </c>
      <c r="U319" s="611">
        <v>0</v>
      </c>
      <c r="V319" s="611">
        <v>1.6766395861963883</v>
      </c>
      <c r="W319" s="611">
        <v>-695.53144406113347</v>
      </c>
      <c r="X319" s="611">
        <v>0</v>
      </c>
      <c r="Y319" s="611">
        <v>0</v>
      </c>
      <c r="Z319" s="619">
        <v>819.48728417568213</v>
      </c>
      <c r="AA319" s="51"/>
    </row>
    <row r="320" spans="1:27" x14ac:dyDescent="0.25">
      <c r="A320" s="51">
        <v>16</v>
      </c>
      <c r="B320" s="51">
        <v>2033</v>
      </c>
      <c r="C320" s="51" t="s">
        <v>47</v>
      </c>
      <c r="D320" s="51" t="s">
        <v>496</v>
      </c>
      <c r="E320" s="51" t="s">
        <v>564</v>
      </c>
      <c r="F320" s="51"/>
      <c r="G320" s="618" t="s">
        <v>348</v>
      </c>
      <c r="H320" s="611">
        <v>0</v>
      </c>
      <c r="I320" s="611">
        <v>0</v>
      </c>
      <c r="J320" s="611">
        <v>0</v>
      </c>
      <c r="K320" s="611">
        <v>0</v>
      </c>
      <c r="L320" s="611">
        <v>20.731263772430712</v>
      </c>
      <c r="M320" s="611">
        <v>0</v>
      </c>
      <c r="N320" s="611">
        <v>0</v>
      </c>
      <c r="O320" s="611">
        <v>0</v>
      </c>
      <c r="P320" s="611">
        <v>25.237665881002133</v>
      </c>
      <c r="Q320" s="611">
        <v>17.543383392685701</v>
      </c>
      <c r="R320" s="611">
        <v>0</v>
      </c>
      <c r="S320" s="611">
        <v>5.8424812210583896</v>
      </c>
      <c r="T320" s="611">
        <v>0</v>
      </c>
      <c r="U320" s="611">
        <v>10.430927176576887</v>
      </c>
      <c r="V320" s="611">
        <v>12.052889383078185</v>
      </c>
      <c r="W320" s="611">
        <v>0</v>
      </c>
      <c r="X320" s="620">
        <v>-82.841177341947869</v>
      </c>
      <c r="Y320" s="611">
        <v>0</v>
      </c>
      <c r="Z320" s="619">
        <v>8.9974334848841409</v>
      </c>
      <c r="AA320" s="51"/>
    </row>
    <row r="321" spans="1:27" x14ac:dyDescent="0.25">
      <c r="A321" s="51">
        <v>17</v>
      </c>
      <c r="B321" s="51">
        <v>2033</v>
      </c>
      <c r="C321" s="51" t="s">
        <v>47</v>
      </c>
      <c r="D321" s="51" t="s">
        <v>497</v>
      </c>
      <c r="E321" s="51" t="s">
        <v>564</v>
      </c>
      <c r="F321" s="51"/>
      <c r="G321" s="618" t="s">
        <v>349</v>
      </c>
      <c r="H321" s="611">
        <v>0</v>
      </c>
      <c r="I321" s="611">
        <v>0</v>
      </c>
      <c r="J321" s="611">
        <v>0</v>
      </c>
      <c r="K321" s="611">
        <v>0</v>
      </c>
      <c r="L321" s="611">
        <v>0</v>
      </c>
      <c r="M321" s="611">
        <v>0</v>
      </c>
      <c r="N321" s="611">
        <v>0</v>
      </c>
      <c r="O321" s="611">
        <v>0</v>
      </c>
      <c r="P321" s="611">
        <v>110.77992464101283</v>
      </c>
      <c r="Q321" s="611">
        <v>0</v>
      </c>
      <c r="R321" s="611">
        <v>0</v>
      </c>
      <c r="S321" s="611">
        <v>-55.389962320506413</v>
      </c>
      <c r="T321" s="611">
        <v>0</v>
      </c>
      <c r="U321" s="611">
        <v>0</v>
      </c>
      <c r="V321" s="611">
        <v>0</v>
      </c>
      <c r="W321" s="611">
        <v>0</v>
      </c>
      <c r="X321" s="611">
        <v>0</v>
      </c>
      <c r="Y321" s="611">
        <v>0</v>
      </c>
      <c r="Z321" s="619">
        <v>55.389962320506413</v>
      </c>
      <c r="AA321" s="51"/>
    </row>
    <row r="322" spans="1:27" x14ac:dyDescent="0.25">
      <c r="A322" s="51">
        <v>18</v>
      </c>
      <c r="B322" s="51">
        <v>2033</v>
      </c>
      <c r="C322" s="51" t="s">
        <v>47</v>
      </c>
      <c r="D322" s="51" t="s">
        <v>498</v>
      </c>
      <c r="E322" s="51" t="s">
        <v>564</v>
      </c>
      <c r="F322" s="51"/>
      <c r="G322" s="618" t="s">
        <v>350</v>
      </c>
      <c r="H322" s="611">
        <v>0</v>
      </c>
      <c r="I322" s="611">
        <v>0</v>
      </c>
      <c r="J322" s="611">
        <v>0</v>
      </c>
      <c r="K322" s="611">
        <v>0</v>
      </c>
      <c r="L322" s="611">
        <v>0</v>
      </c>
      <c r="M322" s="620">
        <v>-0.4644109471147348</v>
      </c>
      <c r="N322" s="611">
        <v>0</v>
      </c>
      <c r="O322" s="611">
        <v>0</v>
      </c>
      <c r="P322" s="611">
        <v>0</v>
      </c>
      <c r="Q322" s="611">
        <v>0</v>
      </c>
      <c r="R322" s="611">
        <v>0</v>
      </c>
      <c r="S322" s="611">
        <v>0</v>
      </c>
      <c r="T322" s="611">
        <v>0</v>
      </c>
      <c r="U322" s="611">
        <v>0</v>
      </c>
      <c r="V322" s="611">
        <v>0</v>
      </c>
      <c r="W322" s="611">
        <v>0</v>
      </c>
      <c r="X322" s="611">
        <v>0</v>
      </c>
      <c r="Y322" s="611">
        <v>0.64501520432602055</v>
      </c>
      <c r="Z322" s="619">
        <v>0.18060425721128576</v>
      </c>
      <c r="AA322" s="51"/>
    </row>
    <row r="323" spans="1:27" x14ac:dyDescent="0.25">
      <c r="A323" s="51">
        <v>19</v>
      </c>
      <c r="B323" s="51">
        <v>2033</v>
      </c>
      <c r="C323" s="51" t="s">
        <v>47</v>
      </c>
      <c r="D323" s="51" t="s">
        <v>499</v>
      </c>
      <c r="E323" s="51" t="s">
        <v>564</v>
      </c>
      <c r="F323" s="51"/>
      <c r="G323" s="618" t="s">
        <v>72</v>
      </c>
      <c r="H323" s="611">
        <v>0</v>
      </c>
      <c r="I323" s="611">
        <v>360.49746740112505</v>
      </c>
      <c r="J323" s="611">
        <v>-356.89249272711379</v>
      </c>
      <c r="K323" s="611">
        <v>0</v>
      </c>
      <c r="L323" s="611">
        <v>0</v>
      </c>
      <c r="M323" s="611">
        <v>0</v>
      </c>
      <c r="N323" s="611">
        <v>0</v>
      </c>
      <c r="O323" s="611">
        <v>0</v>
      </c>
      <c r="P323" s="611">
        <v>0</v>
      </c>
      <c r="Q323" s="611">
        <v>0</v>
      </c>
      <c r="R323" s="611">
        <v>0</v>
      </c>
      <c r="S323" s="611">
        <v>0</v>
      </c>
      <c r="T323" s="611">
        <v>0</v>
      </c>
      <c r="U323" s="611">
        <v>0</v>
      </c>
      <c r="V323" s="611">
        <v>0</v>
      </c>
      <c r="W323" s="611">
        <v>0</v>
      </c>
      <c r="X323" s="611">
        <v>0</v>
      </c>
      <c r="Y323" s="611">
        <v>0</v>
      </c>
      <c r="Z323" s="619">
        <v>3.6049746740112596</v>
      </c>
      <c r="AA323" s="51"/>
    </row>
    <row r="324" spans="1:27" x14ac:dyDescent="0.25">
      <c r="A324" s="51">
        <v>20</v>
      </c>
      <c r="B324" s="51">
        <v>2033</v>
      </c>
      <c r="C324" s="51" t="s">
        <v>47</v>
      </c>
      <c r="D324" s="51" t="s">
        <v>500</v>
      </c>
      <c r="E324" s="51" t="s">
        <v>564</v>
      </c>
      <c r="F324" s="51"/>
      <c r="G324" s="618" t="s">
        <v>351</v>
      </c>
      <c r="H324" s="611">
        <v>0</v>
      </c>
      <c r="I324" s="611">
        <v>0</v>
      </c>
      <c r="J324" s="611">
        <v>0</v>
      </c>
      <c r="K324" s="611">
        <v>0</v>
      </c>
      <c r="L324" s="611">
        <v>0</v>
      </c>
      <c r="M324" s="611">
        <v>0</v>
      </c>
      <c r="N324" s="611">
        <v>0</v>
      </c>
      <c r="O324" s="611">
        <v>0</v>
      </c>
      <c r="P324" s="611">
        <v>105.35379212487781</v>
      </c>
      <c r="Q324" s="611">
        <v>0</v>
      </c>
      <c r="R324" s="620">
        <v>-57.944585668682805</v>
      </c>
      <c r="S324" s="611">
        <v>0</v>
      </c>
      <c r="T324" s="611">
        <v>0</v>
      </c>
      <c r="U324" s="611">
        <v>0</v>
      </c>
      <c r="V324" s="611">
        <v>0</v>
      </c>
      <c r="W324" s="611">
        <v>0</v>
      </c>
      <c r="X324" s="611">
        <v>0</v>
      </c>
      <c r="Y324" s="611">
        <v>0</v>
      </c>
      <c r="Z324" s="619">
        <v>47.409206456195008</v>
      </c>
      <c r="AA324" s="51"/>
    </row>
    <row r="325" spans="1:27" x14ac:dyDescent="0.25">
      <c r="A325" s="51">
        <v>21</v>
      </c>
      <c r="B325" s="51">
        <v>2033</v>
      </c>
      <c r="C325" s="51" t="s">
        <v>47</v>
      </c>
      <c r="D325" s="51" t="s">
        <v>501</v>
      </c>
      <c r="E325" s="51" t="s">
        <v>564</v>
      </c>
      <c r="F325" s="51"/>
      <c r="G325" s="618" t="s">
        <v>352</v>
      </c>
      <c r="H325" s="611">
        <v>0</v>
      </c>
      <c r="I325" s="611">
        <v>0</v>
      </c>
      <c r="J325" s="611">
        <v>0</v>
      </c>
      <c r="K325" s="611">
        <v>-4.0563855699954736</v>
      </c>
      <c r="L325" s="611">
        <v>0</v>
      </c>
      <c r="M325" s="611">
        <v>0</v>
      </c>
      <c r="N325" s="611">
        <v>0</v>
      </c>
      <c r="O325" s="611">
        <v>0</v>
      </c>
      <c r="P325" s="611">
        <v>0</v>
      </c>
      <c r="Q325" s="611">
        <v>0</v>
      </c>
      <c r="R325" s="611">
        <v>0</v>
      </c>
      <c r="S325" s="611">
        <v>0</v>
      </c>
      <c r="T325" s="611">
        <v>0</v>
      </c>
      <c r="U325" s="611">
        <v>0</v>
      </c>
      <c r="V325" s="611">
        <v>0</v>
      </c>
      <c r="W325" s="611">
        <v>0</v>
      </c>
      <c r="X325" s="611">
        <v>0</v>
      </c>
      <c r="Y325" s="611">
        <v>6.9166099729457873</v>
      </c>
      <c r="Z325" s="619">
        <v>2.8602244029503137</v>
      </c>
      <c r="AA325" s="51"/>
    </row>
    <row r="326" spans="1:27" x14ac:dyDescent="0.25">
      <c r="A326" s="51">
        <v>22</v>
      </c>
      <c r="B326" s="51">
        <v>2033</v>
      </c>
      <c r="C326" s="51" t="s">
        <v>47</v>
      </c>
      <c r="D326" s="51" t="s">
        <v>502</v>
      </c>
      <c r="E326" s="51" t="s">
        <v>564</v>
      </c>
      <c r="F326" s="51"/>
      <c r="G326" s="618" t="s">
        <v>73</v>
      </c>
      <c r="H326" s="611">
        <v>0</v>
      </c>
      <c r="I326" s="611">
        <v>0</v>
      </c>
      <c r="J326" s="611">
        <v>0</v>
      </c>
      <c r="K326" s="611">
        <v>0</v>
      </c>
      <c r="L326" s="611">
        <v>0</v>
      </c>
      <c r="M326" s="611">
        <v>0</v>
      </c>
      <c r="N326" s="611">
        <v>0</v>
      </c>
      <c r="O326" s="611">
        <v>0</v>
      </c>
      <c r="P326" s="611">
        <v>0</v>
      </c>
      <c r="Q326" s="611">
        <v>0</v>
      </c>
      <c r="R326" s="611">
        <v>0</v>
      </c>
      <c r="S326" s="611">
        <v>0</v>
      </c>
      <c r="T326" s="611">
        <v>0</v>
      </c>
      <c r="U326" s="611">
        <v>0</v>
      </c>
      <c r="V326" s="611">
        <v>0</v>
      </c>
      <c r="W326" s="611">
        <v>26.559947753179173</v>
      </c>
      <c r="X326" s="611">
        <v>0</v>
      </c>
      <c r="Y326" s="611">
        <v>-17.542845490974845</v>
      </c>
      <c r="Z326" s="619">
        <v>9.0171022622043289</v>
      </c>
      <c r="AA326" s="51"/>
    </row>
    <row r="327" spans="1:27" x14ac:dyDescent="0.25">
      <c r="A327" s="51">
        <v>23</v>
      </c>
      <c r="B327" s="51">
        <v>2033</v>
      </c>
      <c r="C327" s="51" t="s">
        <v>47</v>
      </c>
      <c r="D327" s="51" t="s">
        <v>503</v>
      </c>
      <c r="E327" s="51" t="s">
        <v>564</v>
      </c>
      <c r="F327" s="51"/>
      <c r="G327" s="618" t="s">
        <v>353</v>
      </c>
      <c r="H327" s="611">
        <v>10.984321757812499</v>
      </c>
      <c r="I327" s="611">
        <v>-12.650282499742492</v>
      </c>
      <c r="J327" s="611">
        <v>16.688969946378961</v>
      </c>
      <c r="K327" s="611">
        <v>0</v>
      </c>
      <c r="L327" s="611">
        <v>0</v>
      </c>
      <c r="M327" s="611">
        <v>0</v>
      </c>
      <c r="N327" s="611">
        <v>0</v>
      </c>
      <c r="O327" s="611">
        <v>0</v>
      </c>
      <c r="P327" s="611">
        <v>0</v>
      </c>
      <c r="Q327" s="611">
        <v>0</v>
      </c>
      <c r="R327" s="611">
        <v>0</v>
      </c>
      <c r="S327" s="611">
        <v>0</v>
      </c>
      <c r="T327" s="611">
        <v>0</v>
      </c>
      <c r="U327" s="611">
        <v>0</v>
      </c>
      <c r="V327" s="611">
        <v>0</v>
      </c>
      <c r="W327" s="611">
        <v>0</v>
      </c>
      <c r="X327" s="611">
        <v>0</v>
      </c>
      <c r="Y327" s="611">
        <v>0</v>
      </c>
      <c r="Z327" s="619">
        <v>15.023009204448968</v>
      </c>
      <c r="AA327" s="51"/>
    </row>
    <row r="328" spans="1:27" x14ac:dyDescent="0.25">
      <c r="A328" s="51">
        <v>24</v>
      </c>
      <c r="B328" s="51">
        <v>2033</v>
      </c>
      <c r="C328" s="51" t="s">
        <v>47</v>
      </c>
      <c r="D328" s="51" t="s">
        <v>504</v>
      </c>
      <c r="E328" s="51" t="s">
        <v>564</v>
      </c>
      <c r="F328" s="51"/>
      <c r="G328" s="618" t="s">
        <v>75</v>
      </c>
      <c r="H328" s="611">
        <v>4.2716806835937504</v>
      </c>
      <c r="I328" s="611">
        <v>0</v>
      </c>
      <c r="J328" s="611">
        <v>12.470199463438197</v>
      </c>
      <c r="K328" s="611">
        <v>0</v>
      </c>
      <c r="L328" s="611">
        <v>4.1488556326495969</v>
      </c>
      <c r="M328" s="611">
        <v>0</v>
      </c>
      <c r="N328" s="611">
        <v>0</v>
      </c>
      <c r="O328" s="611">
        <v>0</v>
      </c>
      <c r="P328" s="611">
        <v>0</v>
      </c>
      <c r="Q328" s="611">
        <v>0</v>
      </c>
      <c r="R328" s="611">
        <v>0</v>
      </c>
      <c r="S328" s="611">
        <v>0.91072440716698466</v>
      </c>
      <c r="T328" s="611">
        <v>0</v>
      </c>
      <c r="U328" s="611">
        <v>0</v>
      </c>
      <c r="V328" s="611">
        <v>0</v>
      </c>
      <c r="W328" s="620">
        <v>33.367314405963256</v>
      </c>
      <c r="X328" s="611">
        <v>0</v>
      </c>
      <c r="Y328" s="611">
        <v>0</v>
      </c>
      <c r="Z328" s="619">
        <v>55.168774592811786</v>
      </c>
      <c r="AA328" s="51"/>
    </row>
    <row r="329" spans="1:27" x14ac:dyDescent="0.25">
      <c r="A329" s="51">
        <v>25</v>
      </c>
      <c r="B329" s="51">
        <v>2033</v>
      </c>
      <c r="C329" s="51" t="s">
        <v>47</v>
      </c>
      <c r="D329" s="51" t="s">
        <v>505</v>
      </c>
      <c r="E329" s="51" t="s">
        <v>564</v>
      </c>
      <c r="F329" s="51"/>
      <c r="G329" s="618" t="s">
        <v>76</v>
      </c>
      <c r="H329" s="611">
        <v>0</v>
      </c>
      <c r="I329" s="611">
        <v>0</v>
      </c>
      <c r="J329" s="611">
        <v>0</v>
      </c>
      <c r="K329" s="611">
        <v>0</v>
      </c>
      <c r="L329" s="611">
        <v>2.6758282096671948</v>
      </c>
      <c r="M329" s="611">
        <v>0</v>
      </c>
      <c r="N329" s="611">
        <v>0</v>
      </c>
      <c r="O329" s="611">
        <v>0</v>
      </c>
      <c r="P329" s="611">
        <v>0</v>
      </c>
      <c r="Q329" s="611">
        <v>0</v>
      </c>
      <c r="R329" s="611">
        <v>0</v>
      </c>
      <c r="S329" s="611">
        <v>0.58737692407328657</v>
      </c>
      <c r="T329" s="611">
        <v>0</v>
      </c>
      <c r="U329" s="611">
        <v>0</v>
      </c>
      <c r="V329" s="611">
        <v>0</v>
      </c>
      <c r="W329" s="611">
        <v>47.880526069336412</v>
      </c>
      <c r="X329" s="611">
        <v>6.4238404130642444</v>
      </c>
      <c r="Y329" s="611">
        <v>0</v>
      </c>
      <c r="Z329" s="619">
        <v>57.567571616141137</v>
      </c>
      <c r="AA329" s="51"/>
    </row>
    <row r="330" spans="1:27" x14ac:dyDescent="0.25">
      <c r="A330" s="51">
        <v>26</v>
      </c>
      <c r="B330" s="51">
        <v>2033</v>
      </c>
      <c r="C330" s="51" t="s">
        <v>47</v>
      </c>
      <c r="D330" s="51" t="s">
        <v>506</v>
      </c>
      <c r="E330" s="51" t="s">
        <v>564</v>
      </c>
      <c r="F330" s="51"/>
      <c r="G330" s="614" t="s">
        <v>77</v>
      </c>
      <c r="H330" s="615">
        <v>15.256002441406249</v>
      </c>
      <c r="I330" s="615">
        <v>347.84718490138255</v>
      </c>
      <c r="J330" s="615">
        <v>-326.94053773335889</v>
      </c>
      <c r="K330" s="615">
        <v>-4.0563855699954736</v>
      </c>
      <c r="L330" s="615">
        <v>67.298074833689213</v>
      </c>
      <c r="M330" s="615">
        <v>-0.4644109471147348</v>
      </c>
      <c r="N330" s="615">
        <v>1165.8657454545453</v>
      </c>
      <c r="O330" s="615">
        <v>268.89257128441801</v>
      </c>
      <c r="P330" s="615">
        <v>256.60614359878883</v>
      </c>
      <c r="Q330" s="615">
        <v>23.648802585429767</v>
      </c>
      <c r="R330" s="615">
        <v>-53.162602442114945</v>
      </c>
      <c r="S330" s="615">
        <v>-36.122684030639313</v>
      </c>
      <c r="T330" s="615">
        <v>0</v>
      </c>
      <c r="U330" s="615">
        <v>10.430927176576887</v>
      </c>
      <c r="V330" s="615">
        <v>13.729528969274574</v>
      </c>
      <c r="W330" s="615">
        <v>-587.72365583265469</v>
      </c>
      <c r="X330" s="615">
        <v>-76.417336928883628</v>
      </c>
      <c r="Y330" s="615">
        <v>-9.9812203137030373</v>
      </c>
      <c r="Z330" s="615">
        <v>1074.7061474470465</v>
      </c>
      <c r="AA330" s="51"/>
    </row>
    <row r="331" spans="1:27" x14ac:dyDescent="0.25">
      <c r="A331" s="51"/>
      <c r="B331" s="51"/>
      <c r="C331" s="51"/>
      <c r="D331" s="51"/>
      <c r="E331" s="51"/>
      <c r="F331" s="51"/>
      <c r="G331" s="616"/>
      <c r="H331" s="617"/>
      <c r="I331" s="617"/>
      <c r="J331" s="617"/>
      <c r="K331" s="617"/>
      <c r="L331" s="617"/>
      <c r="M331" s="617"/>
      <c r="N331" s="617"/>
      <c r="O331" s="617"/>
      <c r="P331" s="617"/>
      <c r="Q331" s="617"/>
      <c r="R331" s="617"/>
      <c r="S331" s="617"/>
      <c r="T331" s="617"/>
      <c r="U331" s="617"/>
      <c r="V331" s="617"/>
      <c r="W331" s="617"/>
      <c r="X331" s="617"/>
      <c r="Y331" s="617"/>
      <c r="Z331" s="617"/>
      <c r="AA331" s="51"/>
    </row>
    <row r="332" spans="1:27" x14ac:dyDescent="0.25">
      <c r="A332" s="51">
        <v>28</v>
      </c>
      <c r="B332" s="51">
        <v>2033</v>
      </c>
      <c r="C332" s="51" t="s">
        <v>47</v>
      </c>
      <c r="D332" s="51" t="s">
        <v>507</v>
      </c>
      <c r="E332" s="51" t="s">
        <v>564</v>
      </c>
      <c r="F332" s="51"/>
      <c r="G332" s="618" t="s">
        <v>78</v>
      </c>
      <c r="H332" s="611">
        <v>5.7394741787109371</v>
      </c>
      <c r="I332" s="611">
        <v>0</v>
      </c>
      <c r="J332" s="611">
        <v>10.557201147745456</v>
      </c>
      <c r="K332" s="611">
        <v>0</v>
      </c>
      <c r="L332" s="611">
        <v>57.505615098801954</v>
      </c>
      <c r="M332" s="620">
        <v>0</v>
      </c>
      <c r="N332" s="611">
        <v>0</v>
      </c>
      <c r="O332" s="611">
        <v>0</v>
      </c>
      <c r="P332" s="611">
        <v>36.624775502987376</v>
      </c>
      <c r="Q332" s="611">
        <v>14.244646391552218</v>
      </c>
      <c r="R332" s="611">
        <v>0.85432786558445106</v>
      </c>
      <c r="S332" s="611">
        <v>12.654510050738127</v>
      </c>
      <c r="T332" s="611">
        <v>10.3826748046875</v>
      </c>
      <c r="U332" s="611">
        <v>0</v>
      </c>
      <c r="V332" s="611">
        <v>6.3863689419622622E-4</v>
      </c>
      <c r="W332" s="611">
        <v>147.07763604733651</v>
      </c>
      <c r="X332" s="611">
        <v>18.697420260051103</v>
      </c>
      <c r="Y332" s="611">
        <v>5.5824433593749996</v>
      </c>
      <c r="Z332" s="619">
        <v>319.92136334446485</v>
      </c>
      <c r="AA332" s="51"/>
    </row>
    <row r="333" spans="1:27" x14ac:dyDescent="0.25">
      <c r="A333" s="51">
        <v>29</v>
      </c>
      <c r="B333" s="51">
        <v>2033</v>
      </c>
      <c r="C333" s="51" t="s">
        <v>47</v>
      </c>
      <c r="D333" s="51" t="s">
        <v>508</v>
      </c>
      <c r="E333" s="51" t="s">
        <v>564</v>
      </c>
      <c r="F333" s="51"/>
      <c r="G333" s="618" t="s">
        <v>79</v>
      </c>
      <c r="H333" s="611">
        <v>0</v>
      </c>
      <c r="I333" s="611">
        <v>0</v>
      </c>
      <c r="J333" s="611">
        <v>257.95105394329198</v>
      </c>
      <c r="K333" s="611">
        <v>0</v>
      </c>
      <c r="L333" s="611">
        <v>5.8847606933541083</v>
      </c>
      <c r="M333" s="620">
        <v>0</v>
      </c>
      <c r="N333" s="611">
        <v>0</v>
      </c>
      <c r="O333" s="611">
        <v>0</v>
      </c>
      <c r="P333" s="611">
        <v>0</v>
      </c>
      <c r="Q333" s="611">
        <v>0</v>
      </c>
      <c r="R333" s="611">
        <v>39.412078743974838</v>
      </c>
      <c r="S333" s="611">
        <v>1.2917767375655358</v>
      </c>
      <c r="T333" s="611">
        <v>0</v>
      </c>
      <c r="U333" s="611">
        <v>0</v>
      </c>
      <c r="V333" s="611">
        <v>0</v>
      </c>
      <c r="W333" s="611">
        <v>52.662599620962098</v>
      </c>
      <c r="X333" s="611">
        <v>0</v>
      </c>
      <c r="Y333" s="611">
        <v>1.8899673831959209</v>
      </c>
      <c r="Z333" s="619">
        <v>359.09223712234456</v>
      </c>
      <c r="AA333" s="51"/>
    </row>
    <row r="334" spans="1:27" x14ac:dyDescent="0.25">
      <c r="A334" s="51">
        <v>30</v>
      </c>
      <c r="B334" s="51">
        <v>2033</v>
      </c>
      <c r="C334" s="51" t="s">
        <v>47</v>
      </c>
      <c r="D334" s="51" t="s">
        <v>509</v>
      </c>
      <c r="E334" s="51" t="s">
        <v>564</v>
      </c>
      <c r="F334" s="51"/>
      <c r="G334" s="618" t="s">
        <v>80</v>
      </c>
      <c r="H334" s="611">
        <v>0</v>
      </c>
      <c r="I334" s="611">
        <v>0</v>
      </c>
      <c r="J334" s="611">
        <v>4.4954731596437618</v>
      </c>
      <c r="K334" s="611">
        <v>0</v>
      </c>
      <c r="L334" s="611">
        <v>54.29532705025359</v>
      </c>
      <c r="M334" s="620">
        <v>0</v>
      </c>
      <c r="N334" s="611">
        <v>0</v>
      </c>
      <c r="O334" s="611">
        <v>0</v>
      </c>
      <c r="P334" s="611">
        <v>51.753488488331683</v>
      </c>
      <c r="Q334" s="611">
        <v>0</v>
      </c>
      <c r="R334" s="611">
        <v>0</v>
      </c>
      <c r="S334" s="611">
        <v>11.918486425665421</v>
      </c>
      <c r="T334" s="611">
        <v>90.232051157041525</v>
      </c>
      <c r="U334" s="611">
        <v>0</v>
      </c>
      <c r="V334" s="611">
        <v>8.8749697109360408</v>
      </c>
      <c r="W334" s="611">
        <v>145.98268146422322</v>
      </c>
      <c r="X334" s="611">
        <v>34.626579652325482</v>
      </c>
      <c r="Y334" s="611">
        <v>0</v>
      </c>
      <c r="Z334" s="619">
        <v>402.17905710842069</v>
      </c>
      <c r="AA334" s="51"/>
    </row>
    <row r="335" spans="1:27" x14ac:dyDescent="0.25">
      <c r="A335" s="51">
        <v>31</v>
      </c>
      <c r="B335" s="51">
        <v>2033</v>
      </c>
      <c r="C335" s="51" t="s">
        <v>47</v>
      </c>
      <c r="D335" s="51" t="s">
        <v>510</v>
      </c>
      <c r="E335" s="51" t="s">
        <v>564</v>
      </c>
      <c r="F335" s="51"/>
      <c r="G335" s="618" t="s">
        <v>81</v>
      </c>
      <c r="H335" s="611">
        <v>0</v>
      </c>
      <c r="I335" s="611">
        <v>0</v>
      </c>
      <c r="J335" s="611">
        <v>2.7723072958870265</v>
      </c>
      <c r="K335" s="611">
        <v>0</v>
      </c>
      <c r="L335" s="611">
        <v>35.790681633072182</v>
      </c>
      <c r="M335" s="620">
        <v>0</v>
      </c>
      <c r="N335" s="611">
        <v>0</v>
      </c>
      <c r="O335" s="611">
        <v>0</v>
      </c>
      <c r="P335" s="611">
        <v>0.62415819926103555</v>
      </c>
      <c r="Q335" s="611">
        <v>0</v>
      </c>
      <c r="R335" s="611">
        <v>0</v>
      </c>
      <c r="S335" s="611">
        <v>7.8564910901865757</v>
      </c>
      <c r="T335" s="611">
        <v>42.599905617873333</v>
      </c>
      <c r="U335" s="611">
        <v>0</v>
      </c>
      <c r="V335" s="611">
        <v>5.7556935713291226</v>
      </c>
      <c r="W335" s="611">
        <v>123.03371663930855</v>
      </c>
      <c r="X335" s="611">
        <v>23.09330674245545</v>
      </c>
      <c r="Y335" s="611">
        <v>0</v>
      </c>
      <c r="Z335" s="619">
        <v>241.52626078937325</v>
      </c>
      <c r="AA335" s="51"/>
    </row>
    <row r="336" spans="1:27" x14ac:dyDescent="0.25">
      <c r="A336" s="51">
        <v>32</v>
      </c>
      <c r="B336" s="51">
        <v>2033</v>
      </c>
      <c r="C336" s="51" t="s">
        <v>47</v>
      </c>
      <c r="D336" s="51" t="s">
        <v>511</v>
      </c>
      <c r="E336" s="51" t="s">
        <v>564</v>
      </c>
      <c r="F336" s="51"/>
      <c r="G336" s="618" t="s">
        <v>82</v>
      </c>
      <c r="H336" s="611">
        <v>0</v>
      </c>
      <c r="I336" s="611">
        <v>0</v>
      </c>
      <c r="J336" s="611">
        <v>25.628655669780841</v>
      </c>
      <c r="K336" s="611">
        <v>0</v>
      </c>
      <c r="L336" s="611">
        <v>1.2995823950376393</v>
      </c>
      <c r="M336" s="620">
        <v>0</v>
      </c>
      <c r="N336" s="611">
        <v>0</v>
      </c>
      <c r="O336" s="611">
        <v>0</v>
      </c>
      <c r="P336" s="611">
        <v>12.365635061857649</v>
      </c>
      <c r="Q336" s="611">
        <v>0</v>
      </c>
      <c r="R336" s="611">
        <v>4.9440490154234853</v>
      </c>
      <c r="S336" s="611">
        <v>0.28527418427655493</v>
      </c>
      <c r="T336" s="611">
        <v>0.65</v>
      </c>
      <c r="U336" s="611">
        <v>0</v>
      </c>
      <c r="V336" s="611">
        <v>0.82781531321025892</v>
      </c>
      <c r="W336" s="611">
        <v>8.2928422498969727</v>
      </c>
      <c r="X336" s="611">
        <v>0</v>
      </c>
      <c r="Y336" s="611">
        <v>0.25343345849890081</v>
      </c>
      <c r="Z336" s="619">
        <v>54.547287347982305</v>
      </c>
      <c r="AA336" s="51"/>
    </row>
    <row r="337" spans="1:27" x14ac:dyDescent="0.25">
      <c r="A337" s="51">
        <v>33</v>
      </c>
      <c r="B337" s="51">
        <v>2033</v>
      </c>
      <c r="C337" s="51" t="s">
        <v>47</v>
      </c>
      <c r="D337" s="51" t="s">
        <v>512</v>
      </c>
      <c r="E337" s="51" t="s">
        <v>564</v>
      </c>
      <c r="F337" s="51"/>
      <c r="G337" s="618" t="s">
        <v>354</v>
      </c>
      <c r="H337" s="611">
        <v>0</v>
      </c>
      <c r="I337" s="611">
        <v>0</v>
      </c>
      <c r="J337" s="611">
        <v>0</v>
      </c>
      <c r="K337" s="611">
        <v>0</v>
      </c>
      <c r="L337" s="611">
        <v>0</v>
      </c>
      <c r="M337" s="611">
        <v>0</v>
      </c>
      <c r="N337" s="611">
        <v>0</v>
      </c>
      <c r="O337" s="611">
        <v>0</v>
      </c>
      <c r="P337" s="611">
        <v>0</v>
      </c>
      <c r="Q337" s="611">
        <v>0</v>
      </c>
      <c r="R337" s="611">
        <v>0</v>
      </c>
      <c r="S337" s="611">
        <v>0</v>
      </c>
      <c r="T337" s="611">
        <v>0</v>
      </c>
      <c r="U337" s="611">
        <v>0</v>
      </c>
      <c r="V337" s="611">
        <v>0</v>
      </c>
      <c r="W337" s="611">
        <v>0.88228761406426259</v>
      </c>
      <c r="X337" s="611">
        <v>0</v>
      </c>
      <c r="Y337" s="611">
        <v>0</v>
      </c>
      <c r="Z337" s="619">
        <v>0.88228761406426259</v>
      </c>
      <c r="AA337" s="51"/>
    </row>
    <row r="338" spans="1:27" x14ac:dyDescent="0.25">
      <c r="A338" s="51">
        <v>34</v>
      </c>
      <c r="B338" s="51">
        <v>2033</v>
      </c>
      <c r="C338" s="51" t="s">
        <v>47</v>
      </c>
      <c r="D338" s="51" t="s">
        <v>513</v>
      </c>
      <c r="E338" s="51" t="s">
        <v>564</v>
      </c>
      <c r="F338" s="51"/>
      <c r="G338" s="614" t="s">
        <v>83</v>
      </c>
      <c r="H338" s="615">
        <v>5.7394741787109371</v>
      </c>
      <c r="I338" s="615">
        <v>0</v>
      </c>
      <c r="J338" s="615">
        <v>301.40469121634908</v>
      </c>
      <c r="K338" s="615">
        <v>0</v>
      </c>
      <c r="L338" s="615">
        <v>154.77596687051948</v>
      </c>
      <c r="M338" s="615">
        <v>0</v>
      </c>
      <c r="N338" s="615">
        <v>0</v>
      </c>
      <c r="O338" s="615">
        <v>0</v>
      </c>
      <c r="P338" s="615">
        <v>101.36805725243774</v>
      </c>
      <c r="Q338" s="615">
        <v>14.244646391552218</v>
      </c>
      <c r="R338" s="615">
        <v>45.210455624982778</v>
      </c>
      <c r="S338" s="615">
        <v>34.006538488432213</v>
      </c>
      <c r="T338" s="615">
        <v>143.86463157960236</v>
      </c>
      <c r="U338" s="615">
        <v>0</v>
      </c>
      <c r="V338" s="615">
        <v>15.459117232369618</v>
      </c>
      <c r="W338" s="615">
        <v>477.93176363579158</v>
      </c>
      <c r="X338" s="615">
        <v>76.417306654832032</v>
      </c>
      <c r="Y338" s="615">
        <v>7.7258442010698207</v>
      </c>
      <c r="Z338" s="615">
        <v>1378.1484933266499</v>
      </c>
      <c r="AA338" s="51"/>
    </row>
    <row r="339" spans="1:27" x14ac:dyDescent="0.25">
      <c r="A339" s="51">
        <v>35</v>
      </c>
      <c r="B339" s="51">
        <v>2033</v>
      </c>
      <c r="C339" s="51" t="s">
        <v>47</v>
      </c>
      <c r="D339" s="51" t="s">
        <v>514</v>
      </c>
      <c r="E339" s="51" t="s">
        <v>564</v>
      </c>
      <c r="F339" s="51"/>
      <c r="G339" s="610" t="s">
        <v>84</v>
      </c>
      <c r="H339" s="611">
        <v>0</v>
      </c>
      <c r="I339" s="611">
        <v>0</v>
      </c>
      <c r="J339" s="611">
        <v>107.75424490416471</v>
      </c>
      <c r="K339" s="611">
        <v>2.5222768577218004</v>
      </c>
      <c r="L339" s="611">
        <v>12.065852133304979</v>
      </c>
      <c r="M339" s="611">
        <v>0</v>
      </c>
      <c r="N339" s="611">
        <v>0</v>
      </c>
      <c r="O339" s="611">
        <v>0</v>
      </c>
      <c r="P339" s="720">
        <v>0.2181181328998936</v>
      </c>
      <c r="Q339" s="611">
        <v>0</v>
      </c>
      <c r="R339" s="611">
        <v>3.7860461834923291</v>
      </c>
      <c r="S339" s="611">
        <v>1.2377685258659334</v>
      </c>
      <c r="T339" s="611">
        <v>0</v>
      </c>
      <c r="U339" s="611">
        <v>0</v>
      </c>
      <c r="V339" s="611">
        <v>0</v>
      </c>
      <c r="W339" s="611">
        <v>0</v>
      </c>
      <c r="X339" s="611">
        <v>0</v>
      </c>
      <c r="Y339" s="611">
        <v>1.3935173504845486</v>
      </c>
      <c r="Z339" s="619">
        <v>128.97782408793418</v>
      </c>
      <c r="AA339" s="51"/>
    </row>
    <row r="340" spans="1:27" x14ac:dyDescent="0.25">
      <c r="A340" s="51">
        <v>36</v>
      </c>
      <c r="B340" s="51">
        <v>2033</v>
      </c>
      <c r="C340" s="51" t="s">
        <v>47</v>
      </c>
      <c r="D340" s="51" t="s">
        <v>515</v>
      </c>
      <c r="E340" s="51" t="s">
        <v>564</v>
      </c>
      <c r="F340" s="51"/>
      <c r="G340" s="614" t="s">
        <v>85</v>
      </c>
      <c r="H340" s="615">
        <v>5.7394741787109371</v>
      </c>
      <c r="I340" s="615">
        <v>0</v>
      </c>
      <c r="J340" s="615">
        <v>409.15893612051377</v>
      </c>
      <c r="K340" s="615">
        <v>2.5222768577218004</v>
      </c>
      <c r="L340" s="615">
        <v>166.84181900382447</v>
      </c>
      <c r="M340" s="615">
        <v>0</v>
      </c>
      <c r="N340" s="615">
        <v>0</v>
      </c>
      <c r="O340" s="615">
        <v>0</v>
      </c>
      <c r="P340" s="615">
        <v>101.58617538533763</v>
      </c>
      <c r="Q340" s="615">
        <v>14.244646391552218</v>
      </c>
      <c r="R340" s="615">
        <v>48.996501808475109</v>
      </c>
      <c r="S340" s="615">
        <v>35.244307014298144</v>
      </c>
      <c r="T340" s="615">
        <v>143.86463157960236</v>
      </c>
      <c r="U340" s="615">
        <v>0</v>
      </c>
      <c r="V340" s="615">
        <v>15.459117232369618</v>
      </c>
      <c r="W340" s="615">
        <v>477.93176363579158</v>
      </c>
      <c r="X340" s="615">
        <v>76.417306654832032</v>
      </c>
      <c r="Y340" s="615">
        <v>9.1193615515543698</v>
      </c>
      <c r="Z340" s="615">
        <v>1507.126317414584</v>
      </c>
      <c r="AA340" s="51"/>
    </row>
    <row r="341" spans="1:27" x14ac:dyDescent="0.25">
      <c r="A341" s="51"/>
      <c r="B341" s="51"/>
      <c r="C341" s="51"/>
      <c r="D341" s="51"/>
      <c r="E341" s="51"/>
      <c r="F341" s="51"/>
      <c r="G341" s="51"/>
      <c r="H341" s="67">
        <v>0</v>
      </c>
      <c r="I341" s="67">
        <v>0</v>
      </c>
      <c r="J341" s="67">
        <v>0</v>
      </c>
      <c r="K341" s="67">
        <v>0</v>
      </c>
      <c r="L341" s="67">
        <v>0</v>
      </c>
      <c r="M341" s="67">
        <v>0</v>
      </c>
      <c r="N341" s="67">
        <v>0</v>
      </c>
      <c r="O341" s="67">
        <v>0</v>
      </c>
      <c r="P341" s="67">
        <v>0</v>
      </c>
      <c r="Q341" s="67">
        <v>0</v>
      </c>
      <c r="R341" s="67">
        <v>0</v>
      </c>
      <c r="S341" s="67">
        <v>-9.8809849191638932E-15</v>
      </c>
      <c r="T341" s="67">
        <v>0</v>
      </c>
      <c r="U341" s="67">
        <v>0</v>
      </c>
      <c r="V341" s="67">
        <v>0</v>
      </c>
      <c r="W341" s="67">
        <v>0</v>
      </c>
      <c r="X341" s="721">
        <v>-3.0274051596279605E-5</v>
      </c>
      <c r="Y341" s="67">
        <v>8.8817841970012523E-16</v>
      </c>
      <c r="Z341" s="67">
        <v>-3.027405136890593E-5</v>
      </c>
      <c r="AA341" s="51"/>
    </row>
    <row r="342" spans="1:27" x14ac:dyDescent="0.25">
      <c r="A342" s="51"/>
      <c r="B342" s="51"/>
      <c r="C342" s="51"/>
      <c r="D342" s="51"/>
      <c r="E342" s="51"/>
      <c r="F342" s="51"/>
      <c r="G342" s="51"/>
      <c r="H342" s="51"/>
      <c r="I342" s="51"/>
      <c r="J342" s="51"/>
      <c r="K342" s="67"/>
      <c r="L342" s="51"/>
      <c r="M342" s="51"/>
      <c r="N342" s="51"/>
      <c r="O342" s="51"/>
      <c r="P342" s="51"/>
      <c r="Q342" s="51"/>
      <c r="R342" s="51"/>
      <c r="S342" s="51"/>
      <c r="T342" s="51"/>
      <c r="U342" s="51"/>
      <c r="V342" s="51"/>
      <c r="W342" s="51"/>
      <c r="X342" s="51"/>
      <c r="Y342" s="51"/>
      <c r="Z342" s="51"/>
      <c r="AA342" s="51"/>
    </row>
    <row r="343" spans="1:27" x14ac:dyDescent="0.25">
      <c r="A343" s="606"/>
      <c r="B343" s="606"/>
      <c r="C343" s="606"/>
      <c r="D343" s="606"/>
      <c r="E343" s="606"/>
      <c r="F343" s="606"/>
      <c r="G343" s="607" t="s">
        <v>358</v>
      </c>
      <c r="H343" s="606"/>
      <c r="I343" s="606"/>
      <c r="J343" s="606"/>
      <c r="K343" s="682"/>
      <c r="L343" s="606"/>
      <c r="M343" s="606"/>
      <c r="N343" s="606"/>
      <c r="O343" s="606"/>
      <c r="P343" s="606"/>
      <c r="Q343" s="606"/>
      <c r="R343" s="606"/>
      <c r="S343" s="606"/>
      <c r="T343" s="606"/>
      <c r="U343" s="606"/>
      <c r="V343" s="606"/>
      <c r="W343" s="606"/>
      <c r="X343" s="606"/>
      <c r="Y343" s="606"/>
      <c r="Z343" s="606"/>
      <c r="AA343" s="606"/>
    </row>
    <row r="344" spans="1:27" x14ac:dyDescent="0.25">
      <c r="A344" s="51"/>
      <c r="B344" s="51"/>
      <c r="C344" s="51"/>
      <c r="D344" s="51"/>
      <c r="E344" s="51"/>
      <c r="F344" s="51"/>
      <c r="G344" s="51"/>
      <c r="H344" s="51"/>
      <c r="I344" s="51"/>
      <c r="J344" s="51"/>
      <c r="K344" s="67"/>
      <c r="L344" s="51"/>
      <c r="M344" s="51"/>
      <c r="N344" s="51"/>
      <c r="O344" s="51"/>
      <c r="P344" s="51"/>
      <c r="Q344" s="51"/>
      <c r="R344" s="51"/>
      <c r="S344" s="51"/>
      <c r="T344" s="51"/>
      <c r="U344" s="51"/>
      <c r="V344" s="51"/>
      <c r="W344" s="51"/>
      <c r="X344" s="51"/>
      <c r="Y344" s="51"/>
      <c r="Z344" s="51"/>
      <c r="AA344" s="51"/>
    </row>
    <row r="345" spans="1:27" x14ac:dyDescent="0.25">
      <c r="A345" s="51"/>
      <c r="B345" s="51"/>
      <c r="C345" s="51"/>
      <c r="D345" s="51"/>
      <c r="E345" s="51"/>
      <c r="F345" s="51"/>
      <c r="G345" s="764" t="s">
        <v>128</v>
      </c>
      <c r="H345" s="753" t="s">
        <v>42</v>
      </c>
      <c r="I345" s="753" t="s">
        <v>52</v>
      </c>
      <c r="J345" s="753" t="s">
        <v>53</v>
      </c>
      <c r="K345" s="766" t="s">
        <v>482</v>
      </c>
      <c r="L345" s="753" t="s">
        <v>32</v>
      </c>
      <c r="M345" s="753" t="s">
        <v>483</v>
      </c>
      <c r="N345" s="753" t="s">
        <v>20</v>
      </c>
      <c r="O345" s="753" t="s">
        <v>55</v>
      </c>
      <c r="P345" s="761" t="s">
        <v>56</v>
      </c>
      <c r="Q345" s="762"/>
      <c r="R345" s="762"/>
      <c r="S345" s="762"/>
      <c r="T345" s="762"/>
      <c r="U345" s="762"/>
      <c r="V345" s="763"/>
      <c r="W345" s="753" t="s">
        <v>57</v>
      </c>
      <c r="X345" s="753" t="s">
        <v>58</v>
      </c>
      <c r="Y345" s="753" t="s">
        <v>31</v>
      </c>
      <c r="Z345" s="753" t="s">
        <v>10</v>
      </c>
      <c r="AA345" s="51"/>
    </row>
    <row r="346" spans="1:27" ht="36" x14ac:dyDescent="0.25">
      <c r="A346" s="51"/>
      <c r="B346" s="51"/>
      <c r="C346" s="51"/>
      <c r="D346" s="51" t="s">
        <v>486</v>
      </c>
      <c r="E346" s="51"/>
      <c r="F346" s="51"/>
      <c r="G346" s="765"/>
      <c r="H346" s="754"/>
      <c r="I346" s="754"/>
      <c r="J346" s="754"/>
      <c r="K346" s="767"/>
      <c r="L346" s="754"/>
      <c r="M346" s="754"/>
      <c r="N346" s="754"/>
      <c r="O346" s="754"/>
      <c r="P346" s="608" t="s">
        <v>335</v>
      </c>
      <c r="Q346" s="608" t="s">
        <v>40</v>
      </c>
      <c r="R346" s="608" t="s">
        <v>343</v>
      </c>
      <c r="S346" s="608" t="s">
        <v>344</v>
      </c>
      <c r="T346" s="609" t="s">
        <v>345</v>
      </c>
      <c r="U346" s="609" t="s">
        <v>609</v>
      </c>
      <c r="V346" s="608" t="s">
        <v>346</v>
      </c>
      <c r="W346" s="754"/>
      <c r="X346" s="754"/>
      <c r="Y346" s="754"/>
      <c r="Z346" s="754"/>
      <c r="AA346" s="51"/>
    </row>
    <row r="347" spans="1:27" x14ac:dyDescent="0.25">
      <c r="A347" s="51">
        <v>6</v>
      </c>
      <c r="B347" s="51">
        <v>2035</v>
      </c>
      <c r="C347" s="51" t="s">
        <v>47</v>
      </c>
      <c r="D347" s="51" t="s">
        <v>487</v>
      </c>
      <c r="E347" s="51" t="s">
        <v>564</v>
      </c>
      <c r="F347" s="51"/>
      <c r="G347" s="610" t="s">
        <v>59</v>
      </c>
      <c r="H347" s="611">
        <v>0</v>
      </c>
      <c r="I347" s="611">
        <v>4.7683</v>
      </c>
      <c r="J347" s="611">
        <v>0</v>
      </c>
      <c r="K347" s="611">
        <v>0</v>
      </c>
      <c r="L347" s="611">
        <v>9.8855000000000012E-2</v>
      </c>
      <c r="M347" s="611">
        <v>0</v>
      </c>
      <c r="N347" s="612">
        <v>1162.7439999999999</v>
      </c>
      <c r="O347" s="612">
        <v>311.80530657615282</v>
      </c>
      <c r="P347" s="611">
        <v>392.74484066561939</v>
      </c>
      <c r="Q347" s="612">
        <v>38.069548654439558</v>
      </c>
      <c r="R347" s="611">
        <v>0</v>
      </c>
      <c r="S347" s="611">
        <v>0</v>
      </c>
      <c r="T347" s="612">
        <v>161.54221978632609</v>
      </c>
      <c r="U347" s="612">
        <v>14.103762229229249</v>
      </c>
      <c r="V347" s="612">
        <v>34.351646945790549</v>
      </c>
      <c r="W347" s="611">
        <v>0</v>
      </c>
      <c r="X347" s="611">
        <v>0</v>
      </c>
      <c r="Y347" s="611">
        <v>0</v>
      </c>
      <c r="Z347" s="613">
        <v>2120.2284798575574</v>
      </c>
      <c r="AA347" s="51"/>
    </row>
    <row r="348" spans="1:27" x14ac:dyDescent="0.25">
      <c r="A348" s="51">
        <v>7</v>
      </c>
      <c r="B348" s="51">
        <v>2035</v>
      </c>
      <c r="C348" s="51" t="s">
        <v>47</v>
      </c>
      <c r="D348" s="51" t="s">
        <v>488</v>
      </c>
      <c r="E348" s="51" t="s">
        <v>564</v>
      </c>
      <c r="F348" s="51"/>
      <c r="G348" s="610" t="s">
        <v>60</v>
      </c>
      <c r="H348" s="611">
        <v>16.467785537109375</v>
      </c>
      <c r="I348" s="611">
        <v>308.93113241881071</v>
      </c>
      <c r="J348" s="611">
        <v>118.50912537733984</v>
      </c>
      <c r="K348" s="611">
        <v>2.81445641653964</v>
      </c>
      <c r="L348" s="620">
        <v>212.19564863434968</v>
      </c>
      <c r="M348" s="611">
        <v>0</v>
      </c>
      <c r="N348" s="611">
        <v>0</v>
      </c>
      <c r="O348" s="611">
        <v>0</v>
      </c>
      <c r="P348" s="611">
        <v>0</v>
      </c>
      <c r="Q348" s="611">
        <v>0</v>
      </c>
      <c r="R348" s="611">
        <v>4.2720877028178279</v>
      </c>
      <c r="S348" s="611">
        <v>0</v>
      </c>
      <c r="T348" s="611">
        <v>0</v>
      </c>
      <c r="U348" s="611">
        <v>0</v>
      </c>
      <c r="V348" s="611">
        <v>0</v>
      </c>
      <c r="W348" s="611">
        <v>0</v>
      </c>
      <c r="X348" s="611">
        <v>0</v>
      </c>
      <c r="Y348" s="611">
        <v>0</v>
      </c>
      <c r="Z348" s="613">
        <v>663.19023608696716</v>
      </c>
      <c r="AA348" s="51"/>
    </row>
    <row r="349" spans="1:27" x14ac:dyDescent="0.25">
      <c r="A349" s="51">
        <v>8</v>
      </c>
      <c r="B349" s="51">
        <v>2035</v>
      </c>
      <c r="C349" s="51" t="s">
        <v>47</v>
      </c>
      <c r="D349" s="51" t="s">
        <v>489</v>
      </c>
      <c r="E349" s="51" t="s">
        <v>564</v>
      </c>
      <c r="F349" s="51"/>
      <c r="G349" s="610" t="s">
        <v>61</v>
      </c>
      <c r="H349" s="611">
        <v>0</v>
      </c>
      <c r="I349" s="611">
        <v>0</v>
      </c>
      <c r="J349" s="611">
        <v>0</v>
      </c>
      <c r="K349" s="611">
        <v>0</v>
      </c>
      <c r="L349" s="611">
        <v>0</v>
      </c>
      <c r="M349" s="611">
        <v>0</v>
      </c>
      <c r="N349" s="611">
        <v>0</v>
      </c>
      <c r="O349" s="611">
        <v>0</v>
      </c>
      <c r="P349" s="611">
        <v>-23.93153664077829</v>
      </c>
      <c r="Q349" s="611">
        <v>0</v>
      </c>
      <c r="R349" s="611">
        <v>0</v>
      </c>
      <c r="S349" s="611">
        <v>0</v>
      </c>
      <c r="T349" s="611">
        <v>0</v>
      </c>
      <c r="U349" s="611">
        <v>0</v>
      </c>
      <c r="V349" s="611">
        <v>0</v>
      </c>
      <c r="W349" s="611">
        <v>-125.64785951574572</v>
      </c>
      <c r="X349" s="611">
        <v>0</v>
      </c>
      <c r="Y349" s="611">
        <v>0</v>
      </c>
      <c r="Z349" s="613">
        <v>-149.57939615652401</v>
      </c>
      <c r="AA349" s="51"/>
    </row>
    <row r="350" spans="1:27" x14ac:dyDescent="0.25">
      <c r="A350" s="51">
        <v>9</v>
      </c>
      <c r="B350" s="51">
        <v>2035</v>
      </c>
      <c r="C350" s="51" t="s">
        <v>47</v>
      </c>
      <c r="D350" s="51" t="s">
        <v>490</v>
      </c>
      <c r="E350" s="51" t="s">
        <v>564</v>
      </c>
      <c r="F350" s="51"/>
      <c r="G350" s="610" t="s">
        <v>62</v>
      </c>
      <c r="H350" s="611">
        <v>0</v>
      </c>
      <c r="I350" s="611">
        <v>0</v>
      </c>
      <c r="J350" s="611">
        <v>-7.1897413553368033</v>
      </c>
      <c r="K350" s="611">
        <v>-0.40871635052551269</v>
      </c>
      <c r="L350" s="611">
        <v>-0.64998497552234569</v>
      </c>
      <c r="M350" s="611">
        <v>-0.61307452578826904</v>
      </c>
      <c r="N350" s="611">
        <v>0</v>
      </c>
      <c r="O350" s="611">
        <v>0</v>
      </c>
      <c r="P350" s="611">
        <v>0</v>
      </c>
      <c r="Q350" s="611">
        <v>0</v>
      </c>
      <c r="R350" s="611">
        <v>0</v>
      </c>
      <c r="S350" s="611">
        <v>-1.0039414282398573</v>
      </c>
      <c r="T350" s="611">
        <v>0</v>
      </c>
      <c r="U350" s="611">
        <v>0</v>
      </c>
      <c r="V350" s="611">
        <v>0</v>
      </c>
      <c r="W350" s="611">
        <v>0</v>
      </c>
      <c r="X350" s="611">
        <v>0</v>
      </c>
      <c r="Y350" s="611">
        <v>-0.37964157661678277</v>
      </c>
      <c r="Z350" s="613">
        <v>-10.24510021202957</v>
      </c>
      <c r="AA350" s="51"/>
    </row>
    <row r="351" spans="1:27" x14ac:dyDescent="0.25">
      <c r="A351" s="51">
        <v>10</v>
      </c>
      <c r="B351" s="51">
        <v>2035</v>
      </c>
      <c r="C351" s="51" t="s">
        <v>47</v>
      </c>
      <c r="D351" s="51" t="s">
        <v>491</v>
      </c>
      <c r="E351" s="51" t="s">
        <v>564</v>
      </c>
      <c r="F351" s="51"/>
      <c r="G351" s="610" t="s">
        <v>63</v>
      </c>
      <c r="H351" s="611">
        <v>0</v>
      </c>
      <c r="I351" s="611">
        <v>0</v>
      </c>
      <c r="J351" s="611">
        <v>-56</v>
      </c>
      <c r="K351" s="611">
        <v>-4</v>
      </c>
      <c r="L351" s="611">
        <v>0</v>
      </c>
      <c r="M351" s="611">
        <v>0</v>
      </c>
      <c r="N351" s="611">
        <v>0</v>
      </c>
      <c r="O351" s="611">
        <v>0</v>
      </c>
      <c r="P351" s="611">
        <v>0</v>
      </c>
      <c r="Q351" s="611">
        <v>0</v>
      </c>
      <c r="R351" s="611">
        <v>-11</v>
      </c>
      <c r="S351" s="611">
        <v>0</v>
      </c>
      <c r="T351" s="611">
        <v>0</v>
      </c>
      <c r="U351" s="611">
        <v>0</v>
      </c>
      <c r="V351" s="611">
        <v>0</v>
      </c>
      <c r="W351" s="611">
        <v>0</v>
      </c>
      <c r="X351" s="611">
        <v>0</v>
      </c>
      <c r="Y351" s="611">
        <v>-1</v>
      </c>
      <c r="Z351" s="613">
        <v>-72</v>
      </c>
      <c r="AA351" s="51"/>
    </row>
    <row r="352" spans="1:27" x14ac:dyDescent="0.25">
      <c r="A352" s="51">
        <v>11</v>
      </c>
      <c r="B352" s="51">
        <v>2035</v>
      </c>
      <c r="C352" s="51" t="s">
        <v>47</v>
      </c>
      <c r="D352" s="51" t="s">
        <v>492</v>
      </c>
      <c r="E352" s="51" t="s">
        <v>564</v>
      </c>
      <c r="F352" s="51"/>
      <c r="G352" s="610" t="s">
        <v>64</v>
      </c>
      <c r="H352" s="611">
        <v>0</v>
      </c>
      <c r="I352" s="611">
        <v>0</v>
      </c>
      <c r="J352" s="611">
        <v>0</v>
      </c>
      <c r="K352" s="611">
        <v>0</v>
      </c>
      <c r="L352" s="611">
        <v>0</v>
      </c>
      <c r="M352" s="611">
        <v>0</v>
      </c>
      <c r="N352" s="611">
        <v>0</v>
      </c>
      <c r="O352" s="611">
        <v>0</v>
      </c>
      <c r="P352" s="611">
        <v>0</v>
      </c>
      <c r="Q352" s="611">
        <v>0</v>
      </c>
      <c r="R352" s="611">
        <v>0</v>
      </c>
      <c r="S352" s="611">
        <v>0</v>
      </c>
      <c r="T352" s="611">
        <v>0</v>
      </c>
      <c r="U352" s="611">
        <v>0</v>
      </c>
      <c r="V352" s="611">
        <v>0</v>
      </c>
      <c r="W352" s="611">
        <v>0</v>
      </c>
      <c r="X352" s="611">
        <v>0</v>
      </c>
      <c r="Y352" s="611">
        <v>0</v>
      </c>
      <c r="Z352" s="613">
        <v>0</v>
      </c>
      <c r="AA352" s="51"/>
    </row>
    <row r="353" spans="1:27" x14ac:dyDescent="0.25">
      <c r="A353" s="51">
        <v>12</v>
      </c>
      <c r="B353" s="51">
        <v>2035</v>
      </c>
      <c r="C353" s="51" t="s">
        <v>47</v>
      </c>
      <c r="D353" s="51" t="s">
        <v>493</v>
      </c>
      <c r="E353" s="51" t="s">
        <v>564</v>
      </c>
      <c r="F353" s="51"/>
      <c r="G353" s="614" t="s">
        <v>65</v>
      </c>
      <c r="H353" s="615">
        <v>16.467785537109375</v>
      </c>
      <c r="I353" s="615">
        <v>313.69943241881072</v>
      </c>
      <c r="J353" s="615">
        <v>55.319384022003035</v>
      </c>
      <c r="K353" s="615">
        <v>-1.5942599339858727</v>
      </c>
      <c r="L353" s="615">
        <v>211.64451865882731</v>
      </c>
      <c r="M353" s="615">
        <v>-0.61307452578826904</v>
      </c>
      <c r="N353" s="615">
        <v>1162.7439999999999</v>
      </c>
      <c r="O353" s="615">
        <v>311.80530657615282</v>
      </c>
      <c r="P353" s="615">
        <v>368.8133040248411</v>
      </c>
      <c r="Q353" s="615">
        <v>38.069548654439558</v>
      </c>
      <c r="R353" s="615">
        <v>-6.7279122971821721</v>
      </c>
      <c r="S353" s="615">
        <v>-1.0039414282398573</v>
      </c>
      <c r="T353" s="615">
        <v>161.54221978632609</v>
      </c>
      <c r="U353" s="615">
        <v>14.103762229229249</v>
      </c>
      <c r="V353" s="615">
        <v>34.351646945790549</v>
      </c>
      <c r="W353" s="615">
        <v>-125.64785951574572</v>
      </c>
      <c r="X353" s="615">
        <v>0</v>
      </c>
      <c r="Y353" s="615">
        <v>-1.3796415766167827</v>
      </c>
      <c r="Z353" s="615">
        <v>2551.5942195759708</v>
      </c>
      <c r="AA353" s="51"/>
    </row>
    <row r="354" spans="1:27" x14ac:dyDescent="0.25">
      <c r="A354" s="51"/>
      <c r="B354" s="51"/>
      <c r="C354" s="51"/>
      <c r="D354" s="51"/>
      <c r="E354" s="51"/>
      <c r="F354" s="51"/>
      <c r="G354" s="616"/>
      <c r="H354" s="617"/>
      <c r="I354" s="617"/>
      <c r="J354" s="617"/>
      <c r="K354" s="617"/>
      <c r="L354" s="617"/>
      <c r="M354" s="617"/>
      <c r="N354" s="617"/>
      <c r="O354" s="617"/>
      <c r="P354" s="617"/>
      <c r="Q354" s="617"/>
      <c r="R354" s="617"/>
      <c r="S354" s="617"/>
      <c r="T354" s="617"/>
      <c r="U354" s="617"/>
      <c r="V354" s="617"/>
      <c r="W354" s="617"/>
      <c r="X354" s="617"/>
      <c r="Y354" s="617"/>
      <c r="Z354" s="617"/>
      <c r="AA354" s="51"/>
    </row>
    <row r="355" spans="1:27" x14ac:dyDescent="0.25">
      <c r="A355" s="51">
        <v>14</v>
      </c>
      <c r="B355" s="51">
        <v>2035</v>
      </c>
      <c r="C355" s="51" t="s">
        <v>47</v>
      </c>
      <c r="D355" s="51" t="s">
        <v>494</v>
      </c>
      <c r="E355" s="51" t="s">
        <v>564</v>
      </c>
      <c r="F355" s="51"/>
      <c r="G355" s="618" t="s">
        <v>67</v>
      </c>
      <c r="H355" s="611">
        <v>0</v>
      </c>
      <c r="I355" s="611">
        <v>0</v>
      </c>
      <c r="J355" s="611">
        <v>0</v>
      </c>
      <c r="K355" s="611">
        <v>0</v>
      </c>
      <c r="L355" s="611">
        <v>0</v>
      </c>
      <c r="M355" s="611">
        <v>0</v>
      </c>
      <c r="N355" s="611">
        <v>0</v>
      </c>
      <c r="O355" s="611">
        <v>0</v>
      </c>
      <c r="P355" s="611">
        <v>0</v>
      </c>
      <c r="Q355" s="611">
        <v>0</v>
      </c>
      <c r="R355" s="611">
        <v>0</v>
      </c>
      <c r="S355" s="611">
        <v>0</v>
      </c>
      <c r="T355" s="611">
        <v>0</v>
      </c>
      <c r="U355" s="611">
        <v>0</v>
      </c>
      <c r="V355" s="611">
        <v>0</v>
      </c>
      <c r="W355" s="611">
        <v>0</v>
      </c>
      <c r="X355" s="611">
        <v>0</v>
      </c>
      <c r="Y355" s="611">
        <v>0</v>
      </c>
      <c r="Z355" s="619">
        <v>0</v>
      </c>
      <c r="AA355" s="51"/>
    </row>
    <row r="356" spans="1:27" x14ac:dyDescent="0.25">
      <c r="A356" s="51">
        <v>15</v>
      </c>
      <c r="B356" s="51">
        <v>2035</v>
      </c>
      <c r="C356" s="51" t="s">
        <v>47</v>
      </c>
      <c r="D356" s="51" t="s">
        <v>495</v>
      </c>
      <c r="E356" s="51" t="s">
        <v>564</v>
      </c>
      <c r="F356" s="51"/>
      <c r="G356" s="618" t="s">
        <v>347</v>
      </c>
      <c r="H356" s="611">
        <v>0</v>
      </c>
      <c r="I356" s="611">
        <v>0</v>
      </c>
      <c r="J356" s="611">
        <v>0.802217285608815</v>
      </c>
      <c r="K356" s="611">
        <v>0</v>
      </c>
      <c r="L356" s="611">
        <v>35.029435602488896</v>
      </c>
      <c r="M356" s="611">
        <v>0</v>
      </c>
      <c r="N356" s="611">
        <v>1162.7439999999999</v>
      </c>
      <c r="O356" s="611">
        <v>311.80530657615282</v>
      </c>
      <c r="P356" s="611">
        <v>15.774695089211612</v>
      </c>
      <c r="Q356" s="611">
        <v>5.9379492255446644</v>
      </c>
      <c r="R356" s="611">
        <v>5.0291337303525587</v>
      </c>
      <c r="S356" s="611">
        <v>11.060854012490653</v>
      </c>
      <c r="T356" s="611">
        <v>0</v>
      </c>
      <c r="U356" s="611">
        <v>0</v>
      </c>
      <c r="V356" s="611">
        <v>2.7943993103273139</v>
      </c>
      <c r="W356" s="611">
        <v>-735.38974686121253</v>
      </c>
      <c r="X356" s="611">
        <v>0</v>
      </c>
      <c r="Y356" s="611">
        <v>0</v>
      </c>
      <c r="Z356" s="619">
        <v>815.58824397096475</v>
      </c>
      <c r="AA356" s="51"/>
    </row>
    <row r="357" spans="1:27" x14ac:dyDescent="0.25">
      <c r="A357" s="51">
        <v>16</v>
      </c>
      <c r="B357" s="51">
        <v>2035</v>
      </c>
      <c r="C357" s="51" t="s">
        <v>47</v>
      </c>
      <c r="D357" s="51" t="s">
        <v>496</v>
      </c>
      <c r="E357" s="51" t="s">
        <v>564</v>
      </c>
      <c r="F357" s="51"/>
      <c r="G357" s="618" t="s">
        <v>348</v>
      </c>
      <c r="H357" s="611">
        <v>0</v>
      </c>
      <c r="I357" s="611">
        <v>0</v>
      </c>
      <c r="J357" s="611">
        <v>0</v>
      </c>
      <c r="K357" s="611">
        <v>0</v>
      </c>
      <c r="L357" s="611">
        <v>20.594088567975405</v>
      </c>
      <c r="M357" s="611">
        <v>0</v>
      </c>
      <c r="N357" s="611">
        <v>0</v>
      </c>
      <c r="O357" s="611">
        <v>0</v>
      </c>
      <c r="P357" s="611">
        <v>24.850929604975921</v>
      </c>
      <c r="Q357" s="611">
        <v>17.88047893064622</v>
      </c>
      <c r="R357" s="611">
        <v>0</v>
      </c>
      <c r="S357" s="611">
        <v>6.0664104480454899</v>
      </c>
      <c r="T357" s="611">
        <v>0</v>
      </c>
      <c r="U357" s="611">
        <v>14.103762229229249</v>
      </c>
      <c r="V357" s="611">
        <v>13.783379535515309</v>
      </c>
      <c r="W357" s="611">
        <v>0</v>
      </c>
      <c r="X357" s="620">
        <v>-88.555848753369233</v>
      </c>
      <c r="Y357" s="611">
        <v>0</v>
      </c>
      <c r="Z357" s="619">
        <v>8.7232005630183522</v>
      </c>
      <c r="AA357" s="51"/>
    </row>
    <row r="358" spans="1:27" x14ac:dyDescent="0.25">
      <c r="A358" s="51">
        <v>17</v>
      </c>
      <c r="B358" s="51">
        <v>2035</v>
      </c>
      <c r="C358" s="51" t="s">
        <v>47</v>
      </c>
      <c r="D358" s="51" t="s">
        <v>497</v>
      </c>
      <c r="E358" s="51" t="s">
        <v>564</v>
      </c>
      <c r="F358" s="51"/>
      <c r="G358" s="618" t="s">
        <v>349</v>
      </c>
      <c r="H358" s="611">
        <v>0</v>
      </c>
      <c r="I358" s="611">
        <v>0</v>
      </c>
      <c r="J358" s="611">
        <v>0</v>
      </c>
      <c r="K358" s="611">
        <v>0</v>
      </c>
      <c r="L358" s="611">
        <v>0</v>
      </c>
      <c r="M358" s="611">
        <v>0</v>
      </c>
      <c r="N358" s="611">
        <v>0</v>
      </c>
      <c r="O358" s="611">
        <v>0</v>
      </c>
      <c r="P358" s="611">
        <v>112.34261570644929</v>
      </c>
      <c r="Q358" s="611">
        <v>0</v>
      </c>
      <c r="R358" s="611">
        <v>0</v>
      </c>
      <c r="S358" s="611">
        <v>-56.171307853224647</v>
      </c>
      <c r="T358" s="611">
        <v>0</v>
      </c>
      <c r="U358" s="611">
        <v>0</v>
      </c>
      <c r="V358" s="611">
        <v>0</v>
      </c>
      <c r="W358" s="611">
        <v>0</v>
      </c>
      <c r="X358" s="611">
        <v>0</v>
      </c>
      <c r="Y358" s="611">
        <v>0</v>
      </c>
      <c r="Z358" s="619">
        <v>56.171307853224647</v>
      </c>
      <c r="AA358" s="51"/>
    </row>
    <row r="359" spans="1:27" x14ac:dyDescent="0.25">
      <c r="A359" s="51">
        <v>18</v>
      </c>
      <c r="B359" s="51">
        <v>2035</v>
      </c>
      <c r="C359" s="51" t="s">
        <v>47</v>
      </c>
      <c r="D359" s="51" t="s">
        <v>498</v>
      </c>
      <c r="E359" s="51" t="s">
        <v>564</v>
      </c>
      <c r="F359" s="51"/>
      <c r="G359" s="618" t="s">
        <v>350</v>
      </c>
      <c r="H359" s="611">
        <v>0</v>
      </c>
      <c r="I359" s="611">
        <v>0</v>
      </c>
      <c r="J359" s="611">
        <v>0</v>
      </c>
      <c r="K359" s="611">
        <v>0</v>
      </c>
      <c r="L359" s="611">
        <v>0</v>
      </c>
      <c r="M359" s="620">
        <v>-0.61307452578826904</v>
      </c>
      <c r="N359" s="611">
        <v>0</v>
      </c>
      <c r="O359" s="611">
        <v>0</v>
      </c>
      <c r="P359" s="611">
        <v>0</v>
      </c>
      <c r="Q359" s="611">
        <v>0</v>
      </c>
      <c r="R359" s="611">
        <v>0</v>
      </c>
      <c r="S359" s="611">
        <v>0</v>
      </c>
      <c r="T359" s="611">
        <v>0</v>
      </c>
      <c r="U359" s="611">
        <v>0</v>
      </c>
      <c r="V359" s="611">
        <v>0</v>
      </c>
      <c r="W359" s="611">
        <v>0</v>
      </c>
      <c r="X359" s="611">
        <v>0</v>
      </c>
      <c r="Y359" s="611">
        <v>0.85149239692815148</v>
      </c>
      <c r="Z359" s="619">
        <v>0.23841787113988244</v>
      </c>
      <c r="AA359" s="51"/>
    </row>
    <row r="360" spans="1:27" x14ac:dyDescent="0.25">
      <c r="A360" s="51">
        <v>19</v>
      </c>
      <c r="B360" s="51">
        <v>2035</v>
      </c>
      <c r="C360" s="51" t="s">
        <v>47</v>
      </c>
      <c r="D360" s="51" t="s">
        <v>499</v>
      </c>
      <c r="E360" s="51" t="s">
        <v>564</v>
      </c>
      <c r="F360" s="51"/>
      <c r="G360" s="618" t="s">
        <v>72</v>
      </c>
      <c r="H360" s="611">
        <v>0</v>
      </c>
      <c r="I360" s="611">
        <v>325.09767157974136</v>
      </c>
      <c r="J360" s="611">
        <v>-321.84669486394392</v>
      </c>
      <c r="K360" s="611">
        <v>0</v>
      </c>
      <c r="L360" s="611">
        <v>0</v>
      </c>
      <c r="M360" s="611">
        <v>0</v>
      </c>
      <c r="N360" s="611">
        <v>0</v>
      </c>
      <c r="O360" s="611">
        <v>0</v>
      </c>
      <c r="P360" s="611">
        <v>0</v>
      </c>
      <c r="Q360" s="611">
        <v>0</v>
      </c>
      <c r="R360" s="611">
        <v>0</v>
      </c>
      <c r="S360" s="611">
        <v>0</v>
      </c>
      <c r="T360" s="611">
        <v>0</v>
      </c>
      <c r="U360" s="611">
        <v>0</v>
      </c>
      <c r="V360" s="611">
        <v>0</v>
      </c>
      <c r="W360" s="611">
        <v>0</v>
      </c>
      <c r="X360" s="611">
        <v>0</v>
      </c>
      <c r="Y360" s="611">
        <v>0</v>
      </c>
      <c r="Z360" s="619">
        <v>3.2509767157974352</v>
      </c>
      <c r="AA360" s="51"/>
    </row>
    <row r="361" spans="1:27" x14ac:dyDescent="0.25">
      <c r="A361" s="51">
        <v>20</v>
      </c>
      <c r="B361" s="51">
        <v>2035</v>
      </c>
      <c r="C361" s="51" t="s">
        <v>47</v>
      </c>
      <c r="D361" s="51" t="s">
        <v>500</v>
      </c>
      <c r="E361" s="51" t="s">
        <v>564</v>
      </c>
      <c r="F361" s="51"/>
      <c r="G361" s="618" t="s">
        <v>351</v>
      </c>
      <c r="H361" s="611">
        <v>0</v>
      </c>
      <c r="I361" s="611">
        <v>0</v>
      </c>
      <c r="J361" s="611">
        <v>0</v>
      </c>
      <c r="K361" s="611">
        <v>0</v>
      </c>
      <c r="L361" s="611">
        <v>0</v>
      </c>
      <c r="M361" s="611">
        <v>0</v>
      </c>
      <c r="N361" s="611">
        <v>0</v>
      </c>
      <c r="O361" s="611">
        <v>0</v>
      </c>
      <c r="P361" s="611">
        <v>116.83418268812991</v>
      </c>
      <c r="Q361" s="611">
        <v>0</v>
      </c>
      <c r="R361" s="620">
        <v>-64.258800478471457</v>
      </c>
      <c r="S361" s="611">
        <v>0</v>
      </c>
      <c r="T361" s="611">
        <v>0</v>
      </c>
      <c r="U361" s="611">
        <v>0</v>
      </c>
      <c r="V361" s="611">
        <v>0</v>
      </c>
      <c r="W361" s="611">
        <v>0</v>
      </c>
      <c r="X361" s="611">
        <v>0</v>
      </c>
      <c r="Y361" s="611">
        <v>0</v>
      </c>
      <c r="Z361" s="619">
        <v>52.575382209658457</v>
      </c>
      <c r="AA361" s="51"/>
    </row>
    <row r="362" spans="1:27" x14ac:dyDescent="0.25">
      <c r="A362" s="51">
        <v>21</v>
      </c>
      <c r="B362" s="51">
        <v>2035</v>
      </c>
      <c r="C362" s="51" t="s">
        <v>47</v>
      </c>
      <c r="D362" s="51" t="s">
        <v>501</v>
      </c>
      <c r="E362" s="51" t="s">
        <v>564</v>
      </c>
      <c r="F362" s="51"/>
      <c r="G362" s="618" t="s">
        <v>352</v>
      </c>
      <c r="H362" s="611">
        <v>0</v>
      </c>
      <c r="I362" s="611">
        <v>0</v>
      </c>
      <c r="J362" s="611">
        <v>0</v>
      </c>
      <c r="K362" s="611">
        <v>-4.793575648381375</v>
      </c>
      <c r="L362" s="611">
        <v>0</v>
      </c>
      <c r="M362" s="611">
        <v>0</v>
      </c>
      <c r="N362" s="611">
        <v>0</v>
      </c>
      <c r="O362" s="611">
        <v>0</v>
      </c>
      <c r="P362" s="611">
        <v>0</v>
      </c>
      <c r="Q362" s="611">
        <v>0</v>
      </c>
      <c r="R362" s="611">
        <v>0</v>
      </c>
      <c r="S362" s="611">
        <v>0</v>
      </c>
      <c r="T362" s="611">
        <v>0</v>
      </c>
      <c r="U362" s="611">
        <v>0</v>
      </c>
      <c r="V362" s="611">
        <v>0</v>
      </c>
      <c r="W362" s="611">
        <v>0</v>
      </c>
      <c r="X362" s="611">
        <v>0</v>
      </c>
      <c r="Y362" s="611">
        <v>8.1669403498043813</v>
      </c>
      <c r="Z362" s="619">
        <v>3.3733647014230064</v>
      </c>
      <c r="AA362" s="51"/>
    </row>
    <row r="363" spans="1:27" x14ac:dyDescent="0.25">
      <c r="A363" s="51">
        <v>22</v>
      </c>
      <c r="B363" s="51">
        <v>2035</v>
      </c>
      <c r="C363" s="51" t="s">
        <v>47</v>
      </c>
      <c r="D363" s="51" t="s">
        <v>502</v>
      </c>
      <c r="E363" s="51" t="s">
        <v>564</v>
      </c>
      <c r="F363" s="51"/>
      <c r="G363" s="618" t="s">
        <v>73</v>
      </c>
      <c r="H363" s="611">
        <v>0</v>
      </c>
      <c r="I363" s="611">
        <v>0</v>
      </c>
      <c r="J363" s="611">
        <v>0</v>
      </c>
      <c r="K363" s="611">
        <v>0</v>
      </c>
      <c r="L363" s="611">
        <v>0</v>
      </c>
      <c r="M363" s="611">
        <v>0</v>
      </c>
      <c r="N363" s="611">
        <v>0</v>
      </c>
      <c r="O363" s="611">
        <v>0</v>
      </c>
      <c r="P363" s="611">
        <v>0</v>
      </c>
      <c r="Q363" s="611">
        <v>0</v>
      </c>
      <c r="R363" s="611">
        <v>0</v>
      </c>
      <c r="S363" s="611">
        <v>0</v>
      </c>
      <c r="T363" s="611">
        <v>0</v>
      </c>
      <c r="U363" s="611">
        <v>0</v>
      </c>
      <c r="V363" s="611">
        <v>0</v>
      </c>
      <c r="W363" s="611">
        <v>32.724456381947405</v>
      </c>
      <c r="X363" s="611">
        <v>0</v>
      </c>
      <c r="Y363" s="611">
        <v>-21.843574634949892</v>
      </c>
      <c r="Z363" s="619">
        <v>10.880881746997513</v>
      </c>
      <c r="AA363" s="51"/>
    </row>
    <row r="364" spans="1:27" x14ac:dyDescent="0.25">
      <c r="A364" s="51">
        <v>23</v>
      </c>
      <c r="B364" s="51">
        <v>2035</v>
      </c>
      <c r="C364" s="51" t="s">
        <v>47</v>
      </c>
      <c r="D364" s="51" t="s">
        <v>503</v>
      </c>
      <c r="E364" s="51" t="s">
        <v>564</v>
      </c>
      <c r="F364" s="51"/>
      <c r="G364" s="618" t="s">
        <v>353</v>
      </c>
      <c r="H364" s="611">
        <v>8.5259896874999992</v>
      </c>
      <c r="I364" s="611">
        <v>-11.398239160930634</v>
      </c>
      <c r="J364" s="611">
        <v>15.062765425262727</v>
      </c>
      <c r="K364" s="611">
        <v>0</v>
      </c>
      <c r="L364" s="611">
        <v>0</v>
      </c>
      <c r="M364" s="611">
        <v>0</v>
      </c>
      <c r="N364" s="611">
        <v>0</v>
      </c>
      <c r="O364" s="611">
        <v>0</v>
      </c>
      <c r="P364" s="611">
        <v>0</v>
      </c>
      <c r="Q364" s="611">
        <v>0</v>
      </c>
      <c r="R364" s="611">
        <v>0</v>
      </c>
      <c r="S364" s="611">
        <v>0</v>
      </c>
      <c r="T364" s="611">
        <v>0</v>
      </c>
      <c r="U364" s="611">
        <v>0</v>
      </c>
      <c r="V364" s="611">
        <v>0</v>
      </c>
      <c r="W364" s="611">
        <v>0</v>
      </c>
      <c r="X364" s="611">
        <v>0</v>
      </c>
      <c r="Y364" s="611">
        <v>0</v>
      </c>
      <c r="Z364" s="619">
        <v>12.190515951832092</v>
      </c>
      <c r="AA364" s="51"/>
    </row>
    <row r="365" spans="1:27" x14ac:dyDescent="0.25">
      <c r="A365" s="51">
        <v>24</v>
      </c>
      <c r="B365" s="51">
        <v>2035</v>
      </c>
      <c r="C365" s="51" t="s">
        <v>47</v>
      </c>
      <c r="D365" s="51" t="s">
        <v>504</v>
      </c>
      <c r="E365" s="51" t="s">
        <v>564</v>
      </c>
      <c r="F365" s="51"/>
      <c r="G365" s="618" t="s">
        <v>75</v>
      </c>
      <c r="H365" s="611">
        <v>3.3156626562500002</v>
      </c>
      <c r="I365" s="611">
        <v>0</v>
      </c>
      <c r="J365" s="611">
        <v>11.25597354471723</v>
      </c>
      <c r="K365" s="611">
        <v>0</v>
      </c>
      <c r="L365" s="611">
        <v>4.0476640318532651</v>
      </c>
      <c r="M365" s="611">
        <v>0</v>
      </c>
      <c r="N365" s="611">
        <v>0</v>
      </c>
      <c r="O365" s="611">
        <v>0</v>
      </c>
      <c r="P365" s="611">
        <v>0</v>
      </c>
      <c r="Q365" s="611">
        <v>0</v>
      </c>
      <c r="R365" s="611">
        <v>0</v>
      </c>
      <c r="S365" s="611">
        <v>1.0119160079633163</v>
      </c>
      <c r="T365" s="611">
        <v>0</v>
      </c>
      <c r="U365" s="611">
        <v>0</v>
      </c>
      <c r="V365" s="611">
        <v>0</v>
      </c>
      <c r="W365" s="620">
        <v>34.110316218527466</v>
      </c>
      <c r="X365" s="611">
        <v>0</v>
      </c>
      <c r="Y365" s="611">
        <v>0</v>
      </c>
      <c r="Z365" s="619">
        <v>53.741532459311273</v>
      </c>
      <c r="AA365" s="51"/>
    </row>
    <row r="366" spans="1:27" x14ac:dyDescent="0.25">
      <c r="A366" s="51">
        <v>25</v>
      </c>
      <c r="B366" s="51">
        <v>2035</v>
      </c>
      <c r="C366" s="51" t="s">
        <v>47</v>
      </c>
      <c r="D366" s="51" t="s">
        <v>505</v>
      </c>
      <c r="E366" s="51" t="s">
        <v>564</v>
      </c>
      <c r="F366" s="51"/>
      <c r="G366" s="618" t="s">
        <v>76</v>
      </c>
      <c r="H366" s="611">
        <v>0</v>
      </c>
      <c r="I366" s="611">
        <v>0</v>
      </c>
      <c r="J366" s="611">
        <v>0</v>
      </c>
      <c r="K366" s="611">
        <v>0</v>
      </c>
      <c r="L366" s="611">
        <v>2.4048783673311016</v>
      </c>
      <c r="M366" s="611">
        <v>0</v>
      </c>
      <c r="N366" s="611">
        <v>0</v>
      </c>
      <c r="O366" s="611">
        <v>0</v>
      </c>
      <c r="P366" s="611">
        <v>0</v>
      </c>
      <c r="Q366" s="611">
        <v>0</v>
      </c>
      <c r="R366" s="611">
        <v>0</v>
      </c>
      <c r="S366" s="611">
        <v>0.6012195918327754</v>
      </c>
      <c r="T366" s="611">
        <v>0</v>
      </c>
      <c r="U366" s="611">
        <v>0</v>
      </c>
      <c r="V366" s="611">
        <v>0</v>
      </c>
      <c r="W366" s="611">
        <v>49.838293725626933</v>
      </c>
      <c r="X366" s="611">
        <v>6.8667423707027906</v>
      </c>
      <c r="Y366" s="611">
        <v>0</v>
      </c>
      <c r="Z366" s="619">
        <v>59.711134055493595</v>
      </c>
      <c r="AA366" s="51"/>
    </row>
    <row r="367" spans="1:27" x14ac:dyDescent="0.25">
      <c r="A367" s="51">
        <v>26</v>
      </c>
      <c r="B367" s="51">
        <v>2035</v>
      </c>
      <c r="C367" s="51" t="s">
        <v>47</v>
      </c>
      <c r="D367" s="51" t="s">
        <v>506</v>
      </c>
      <c r="E367" s="51" t="s">
        <v>564</v>
      </c>
      <c r="F367" s="51"/>
      <c r="G367" s="614" t="s">
        <v>77</v>
      </c>
      <c r="H367" s="615">
        <v>11.841652343749999</v>
      </c>
      <c r="I367" s="615">
        <v>313.69943241881072</v>
      </c>
      <c r="J367" s="615">
        <v>-294.72573860835513</v>
      </c>
      <c r="K367" s="615">
        <v>-4.793575648381375</v>
      </c>
      <c r="L367" s="615">
        <v>62.076066569648667</v>
      </c>
      <c r="M367" s="615">
        <v>-0.61307452578826904</v>
      </c>
      <c r="N367" s="615">
        <v>1162.7439999999999</v>
      </c>
      <c r="O367" s="615">
        <v>311.80530657615282</v>
      </c>
      <c r="P367" s="615">
        <v>269.80242308876677</v>
      </c>
      <c r="Q367" s="615">
        <v>23.818428156190883</v>
      </c>
      <c r="R367" s="615">
        <v>-59.229666748118902</v>
      </c>
      <c r="S367" s="615">
        <v>-37.43090779289242</v>
      </c>
      <c r="T367" s="615">
        <v>0</v>
      </c>
      <c r="U367" s="615">
        <v>14.103762229229249</v>
      </c>
      <c r="V367" s="615">
        <v>16.577778845842623</v>
      </c>
      <c r="W367" s="615">
        <v>-618.71668053511064</v>
      </c>
      <c r="X367" s="615">
        <v>-81.689106382666438</v>
      </c>
      <c r="Y367" s="615">
        <v>-12.82514188821736</v>
      </c>
      <c r="Z367" s="615">
        <v>1076.444958098861</v>
      </c>
      <c r="AA367" s="51"/>
    </row>
    <row r="368" spans="1:27" x14ac:dyDescent="0.25">
      <c r="A368" s="51"/>
      <c r="B368" s="51"/>
      <c r="C368" s="51"/>
      <c r="D368" s="51"/>
      <c r="E368" s="51"/>
      <c r="F368" s="51"/>
      <c r="G368" s="616"/>
      <c r="H368" s="617"/>
      <c r="I368" s="617"/>
      <c r="J368" s="617"/>
      <c r="K368" s="617"/>
      <c r="L368" s="617"/>
      <c r="M368" s="617"/>
      <c r="N368" s="617"/>
      <c r="O368" s="617"/>
      <c r="P368" s="617"/>
      <c r="Q368" s="617"/>
      <c r="R368" s="617"/>
      <c r="S368" s="617"/>
      <c r="T368" s="617"/>
      <c r="U368" s="617"/>
      <c r="V368" s="617"/>
      <c r="W368" s="617"/>
      <c r="X368" s="617"/>
      <c r="Y368" s="617"/>
      <c r="Z368" s="617"/>
      <c r="AA368" s="51"/>
    </row>
    <row r="369" spans="1:27" x14ac:dyDescent="0.25">
      <c r="A369" s="51">
        <v>28</v>
      </c>
      <c r="B369" s="51">
        <v>2035</v>
      </c>
      <c r="C369" s="51" t="s">
        <v>47</v>
      </c>
      <c r="D369" s="51" t="s">
        <v>507</v>
      </c>
      <c r="E369" s="51" t="s">
        <v>564</v>
      </c>
      <c r="F369" s="51"/>
      <c r="G369" s="618" t="s">
        <v>78</v>
      </c>
      <c r="H369" s="611">
        <v>4.6261331933593741</v>
      </c>
      <c r="I369" s="611">
        <v>0</v>
      </c>
      <c r="J369" s="611">
        <v>8.4580398109670369</v>
      </c>
      <c r="K369" s="611">
        <v>0</v>
      </c>
      <c r="L369" s="611">
        <v>53.112481541816138</v>
      </c>
      <c r="M369" s="620">
        <v>0</v>
      </c>
      <c r="N369" s="611">
        <v>0</v>
      </c>
      <c r="O369" s="611">
        <v>0</v>
      </c>
      <c r="P369" s="611">
        <v>35.366406799871633</v>
      </c>
      <c r="Q369" s="611">
        <v>14.251120498248676</v>
      </c>
      <c r="R369" s="611">
        <v>0.8156269768229637</v>
      </c>
      <c r="S369" s="611">
        <v>13.312086175360227</v>
      </c>
      <c r="T369" s="611">
        <v>11.45584765625</v>
      </c>
      <c r="U369" s="611">
        <v>0</v>
      </c>
      <c r="V369" s="611">
        <v>6.9244826847420892E-4</v>
      </c>
      <c r="W369" s="611">
        <v>149.86725045906064</v>
      </c>
      <c r="X369" s="611">
        <v>18.579910001986551</v>
      </c>
      <c r="Y369" s="611">
        <v>7.0717812499999999</v>
      </c>
      <c r="Z369" s="619">
        <v>316.91737681201175</v>
      </c>
      <c r="AA369" s="51"/>
    </row>
    <row r="370" spans="1:27" x14ac:dyDescent="0.25">
      <c r="A370" s="51">
        <v>29</v>
      </c>
      <c r="B370" s="51">
        <v>2035</v>
      </c>
      <c r="C370" s="51" t="s">
        <v>47</v>
      </c>
      <c r="D370" s="51" t="s">
        <v>508</v>
      </c>
      <c r="E370" s="51" t="s">
        <v>564</v>
      </c>
      <c r="F370" s="51"/>
      <c r="G370" s="618" t="s">
        <v>79</v>
      </c>
      <c r="H370" s="611">
        <v>0</v>
      </c>
      <c r="I370" s="611">
        <v>0</v>
      </c>
      <c r="J370" s="611">
        <v>211.71015331690265</v>
      </c>
      <c r="K370" s="611">
        <v>0</v>
      </c>
      <c r="L370" s="611">
        <v>6.084888759318634</v>
      </c>
      <c r="M370" s="620">
        <v>0</v>
      </c>
      <c r="N370" s="611">
        <v>0</v>
      </c>
      <c r="O370" s="611">
        <v>0</v>
      </c>
      <c r="P370" s="611">
        <v>0</v>
      </c>
      <c r="Q370" s="611">
        <v>0</v>
      </c>
      <c r="R370" s="611">
        <v>41.017765544975838</v>
      </c>
      <c r="S370" s="611">
        <v>1.5212221898296585</v>
      </c>
      <c r="T370" s="611">
        <v>0</v>
      </c>
      <c r="U370" s="611">
        <v>0</v>
      </c>
      <c r="V370" s="611">
        <v>0</v>
      </c>
      <c r="W370" s="611">
        <v>64.85163743776981</v>
      </c>
      <c r="X370" s="611">
        <v>0</v>
      </c>
      <c r="Y370" s="611">
        <v>2.5022787980989989</v>
      </c>
      <c r="Z370" s="619">
        <v>327.68794604689555</v>
      </c>
      <c r="AA370" s="51"/>
    </row>
    <row r="371" spans="1:27" x14ac:dyDescent="0.25">
      <c r="A371" s="51">
        <v>30</v>
      </c>
      <c r="B371" s="51">
        <v>2035</v>
      </c>
      <c r="C371" s="51" t="s">
        <v>47</v>
      </c>
      <c r="D371" s="51" t="s">
        <v>509</v>
      </c>
      <c r="E371" s="51" t="s">
        <v>564</v>
      </c>
      <c r="F371" s="51"/>
      <c r="G371" s="618" t="s">
        <v>80</v>
      </c>
      <c r="H371" s="611">
        <v>0</v>
      </c>
      <c r="I371" s="611">
        <v>0</v>
      </c>
      <c r="J371" s="611">
        <v>1.1536264641515568</v>
      </c>
      <c r="K371" s="611">
        <v>0</v>
      </c>
      <c r="L371" s="611">
        <v>47.726320107596123</v>
      </c>
      <c r="M371" s="620">
        <v>0</v>
      </c>
      <c r="N371" s="611">
        <v>0</v>
      </c>
      <c r="O371" s="611">
        <v>0</v>
      </c>
      <c r="P371" s="611">
        <v>49.488369495800413</v>
      </c>
      <c r="Q371" s="611">
        <v>0</v>
      </c>
      <c r="R371" s="611">
        <v>0</v>
      </c>
      <c r="S371" s="611">
        <v>11.931580026899031</v>
      </c>
      <c r="T371" s="611">
        <v>100.85529563860334</v>
      </c>
      <c r="U371" s="611">
        <v>0</v>
      </c>
      <c r="V371" s="611">
        <v>10.268531601197228</v>
      </c>
      <c r="W371" s="611">
        <v>144.6844841159926</v>
      </c>
      <c r="X371" s="611">
        <v>39.124132147510359</v>
      </c>
      <c r="Y371" s="611">
        <v>0</v>
      </c>
      <c r="Z371" s="619">
        <v>405.23233959775064</v>
      </c>
      <c r="AA371" s="51"/>
    </row>
    <row r="372" spans="1:27" x14ac:dyDescent="0.25">
      <c r="A372" s="51">
        <v>31</v>
      </c>
      <c r="B372" s="51">
        <v>2035</v>
      </c>
      <c r="C372" s="51" t="s">
        <v>47</v>
      </c>
      <c r="D372" s="51" t="s">
        <v>510</v>
      </c>
      <c r="E372" s="51" t="s">
        <v>564</v>
      </c>
      <c r="F372" s="51"/>
      <c r="G372" s="618" t="s">
        <v>81</v>
      </c>
      <c r="H372" s="611">
        <v>0</v>
      </c>
      <c r="I372" s="611">
        <v>0</v>
      </c>
      <c r="J372" s="611">
        <v>2.1835658406740923</v>
      </c>
      <c r="K372" s="611">
        <v>0</v>
      </c>
      <c r="L372" s="611">
        <v>30.143233776526696</v>
      </c>
      <c r="M372" s="620">
        <v>0</v>
      </c>
      <c r="N372" s="611">
        <v>0</v>
      </c>
      <c r="O372" s="611">
        <v>0</v>
      </c>
      <c r="P372" s="611">
        <v>0.59825096685183632</v>
      </c>
      <c r="Q372" s="611">
        <v>0</v>
      </c>
      <c r="R372" s="611">
        <v>0</v>
      </c>
      <c r="S372" s="611">
        <v>7.5358084441316739</v>
      </c>
      <c r="T372" s="611">
        <v>48.481076491472749</v>
      </c>
      <c r="U372" s="611">
        <v>0</v>
      </c>
      <c r="V372" s="611">
        <v>6.541741574930569</v>
      </c>
      <c r="W372" s="611">
        <v>123.55551473822496</v>
      </c>
      <c r="X372" s="611">
        <v>23.985033498552827</v>
      </c>
      <c r="Y372" s="611">
        <v>0</v>
      </c>
      <c r="Z372" s="619">
        <v>243.02422533136541</v>
      </c>
      <c r="AA372" s="51"/>
    </row>
    <row r="373" spans="1:27" x14ac:dyDescent="0.25">
      <c r="A373" s="51">
        <v>32</v>
      </c>
      <c r="B373" s="51">
        <v>2035</v>
      </c>
      <c r="C373" s="51" t="s">
        <v>47</v>
      </c>
      <c r="D373" s="51" t="s">
        <v>511</v>
      </c>
      <c r="E373" s="51" t="s">
        <v>564</v>
      </c>
      <c r="F373" s="51"/>
      <c r="G373" s="618" t="s">
        <v>82</v>
      </c>
      <c r="H373" s="611">
        <v>0</v>
      </c>
      <c r="I373" s="611">
        <v>0</v>
      </c>
      <c r="J373" s="611">
        <v>22.236615834161011</v>
      </c>
      <c r="K373" s="611">
        <v>0</v>
      </c>
      <c r="L373" s="611">
        <v>1.1928287245433082</v>
      </c>
      <c r="M373" s="620">
        <v>0</v>
      </c>
      <c r="N373" s="611">
        <v>0</v>
      </c>
      <c r="O373" s="611">
        <v>0</v>
      </c>
      <c r="P373" s="611">
        <v>13.268691220387016</v>
      </c>
      <c r="Q373" s="611">
        <v>0</v>
      </c>
      <c r="R373" s="611">
        <v>5.5416929804733215</v>
      </c>
      <c r="S373" s="611">
        <v>0.29820718113582706</v>
      </c>
      <c r="T373" s="611">
        <v>0.75</v>
      </c>
      <c r="U373" s="611">
        <v>0</v>
      </c>
      <c r="V373" s="611">
        <v>0.96290247555165809</v>
      </c>
      <c r="W373" s="611">
        <v>8.6394549115432451</v>
      </c>
      <c r="X373" s="611">
        <v>0</v>
      </c>
      <c r="Y373" s="611">
        <v>0.30661417718369394</v>
      </c>
      <c r="Z373" s="619">
        <v>53.197007504979084</v>
      </c>
      <c r="AA373" s="51"/>
    </row>
    <row r="374" spans="1:27" x14ac:dyDescent="0.25">
      <c r="A374" s="51">
        <v>33</v>
      </c>
      <c r="B374" s="51">
        <v>2035</v>
      </c>
      <c r="C374" s="51" t="s">
        <v>47</v>
      </c>
      <c r="D374" s="51" t="s">
        <v>512</v>
      </c>
      <c r="E374" s="51" t="s">
        <v>564</v>
      </c>
      <c r="F374" s="51"/>
      <c r="G374" s="618" t="s">
        <v>354</v>
      </c>
      <c r="H374" s="611">
        <v>0</v>
      </c>
      <c r="I374" s="611">
        <v>0</v>
      </c>
      <c r="J374" s="611">
        <v>0</v>
      </c>
      <c r="K374" s="611">
        <v>0</v>
      </c>
      <c r="L374" s="611">
        <v>0</v>
      </c>
      <c r="M374" s="611">
        <v>0</v>
      </c>
      <c r="N374" s="611">
        <v>0</v>
      </c>
      <c r="O374" s="611">
        <v>0</v>
      </c>
      <c r="P374" s="611">
        <v>0</v>
      </c>
      <c r="Q374" s="611">
        <v>0</v>
      </c>
      <c r="R374" s="611">
        <v>0</v>
      </c>
      <c r="S374" s="611">
        <v>0</v>
      </c>
      <c r="T374" s="611">
        <v>0</v>
      </c>
      <c r="U374" s="611">
        <v>0</v>
      </c>
      <c r="V374" s="611">
        <v>0</v>
      </c>
      <c r="W374" s="611">
        <v>1.4704793567737711</v>
      </c>
      <c r="X374" s="611">
        <v>0</v>
      </c>
      <c r="Y374" s="611">
        <v>0</v>
      </c>
      <c r="Z374" s="619">
        <v>1.4704793567737711</v>
      </c>
      <c r="AA374" s="51"/>
    </row>
    <row r="375" spans="1:27" x14ac:dyDescent="0.25">
      <c r="A375" s="51">
        <v>34</v>
      </c>
      <c r="B375" s="51">
        <v>2035</v>
      </c>
      <c r="C375" s="51" t="s">
        <v>47</v>
      </c>
      <c r="D375" s="51" t="s">
        <v>513</v>
      </c>
      <c r="E375" s="51" t="s">
        <v>564</v>
      </c>
      <c r="F375" s="51"/>
      <c r="G375" s="614" t="s">
        <v>83</v>
      </c>
      <c r="H375" s="615">
        <v>4.6261331933593741</v>
      </c>
      <c r="I375" s="615">
        <v>0</v>
      </c>
      <c r="J375" s="615">
        <v>245.74200126685636</v>
      </c>
      <c r="K375" s="615">
        <v>0</v>
      </c>
      <c r="L375" s="615">
        <v>138.25975290980091</v>
      </c>
      <c r="M375" s="615">
        <v>0</v>
      </c>
      <c r="N375" s="615">
        <v>0</v>
      </c>
      <c r="O375" s="615">
        <v>0</v>
      </c>
      <c r="P375" s="615">
        <v>98.721718482910902</v>
      </c>
      <c r="Q375" s="615">
        <v>14.251120498248676</v>
      </c>
      <c r="R375" s="615">
        <v>47.375085502272121</v>
      </c>
      <c r="S375" s="615">
        <v>34.598904017356418</v>
      </c>
      <c r="T375" s="615">
        <v>161.54221978632609</v>
      </c>
      <c r="U375" s="615">
        <v>0</v>
      </c>
      <c r="V375" s="615">
        <v>17.773868099947929</v>
      </c>
      <c r="W375" s="615">
        <v>493.06882101936498</v>
      </c>
      <c r="X375" s="615">
        <v>81.689075648049737</v>
      </c>
      <c r="Y375" s="615">
        <v>9.8806742252826929</v>
      </c>
      <c r="Z375" s="615">
        <v>1347.5293746497764</v>
      </c>
      <c r="AA375" s="51"/>
    </row>
    <row r="376" spans="1:27" x14ac:dyDescent="0.25">
      <c r="A376" s="51">
        <v>35</v>
      </c>
      <c r="B376" s="51">
        <v>2035</v>
      </c>
      <c r="C376" s="51" t="s">
        <v>47</v>
      </c>
      <c r="D376" s="51" t="s">
        <v>514</v>
      </c>
      <c r="E376" s="51" t="s">
        <v>564</v>
      </c>
      <c r="F376" s="51"/>
      <c r="G376" s="610" t="s">
        <v>84</v>
      </c>
      <c r="H376" s="611">
        <v>0</v>
      </c>
      <c r="I376" s="611">
        <v>0</v>
      </c>
      <c r="J376" s="611">
        <v>104.30312136350183</v>
      </c>
      <c r="K376" s="611">
        <v>3.1993157143955022</v>
      </c>
      <c r="L376" s="611">
        <v>11.3086991793778</v>
      </c>
      <c r="M376" s="611">
        <v>0</v>
      </c>
      <c r="N376" s="611">
        <v>0</v>
      </c>
      <c r="O376" s="611">
        <v>0</v>
      </c>
      <c r="P376" s="720">
        <v>0.28916245316343731</v>
      </c>
      <c r="Q376" s="611">
        <v>0</v>
      </c>
      <c r="R376" s="611">
        <v>5.1266689486646122</v>
      </c>
      <c r="S376" s="611">
        <v>1.8280623472961428</v>
      </c>
      <c r="T376" s="611">
        <v>0</v>
      </c>
      <c r="U376" s="611">
        <v>0</v>
      </c>
      <c r="V376" s="611">
        <v>0</v>
      </c>
      <c r="W376" s="611">
        <v>0</v>
      </c>
      <c r="X376" s="611">
        <v>0</v>
      </c>
      <c r="Y376" s="611">
        <v>1.5648260863178849</v>
      </c>
      <c r="Z376" s="619">
        <v>127.6198560927172</v>
      </c>
      <c r="AA376" s="51"/>
    </row>
    <row r="377" spans="1:27" x14ac:dyDescent="0.25">
      <c r="A377" s="51">
        <v>36</v>
      </c>
      <c r="B377" s="51">
        <v>2035</v>
      </c>
      <c r="C377" s="51" t="s">
        <v>47</v>
      </c>
      <c r="D377" s="51" t="s">
        <v>515</v>
      </c>
      <c r="E377" s="51" t="s">
        <v>564</v>
      </c>
      <c r="F377" s="51"/>
      <c r="G377" s="614" t="s">
        <v>85</v>
      </c>
      <c r="H377" s="615">
        <v>4.6261331933593741</v>
      </c>
      <c r="I377" s="615">
        <v>0</v>
      </c>
      <c r="J377" s="615">
        <v>350.04512263035821</v>
      </c>
      <c r="K377" s="615">
        <v>3.1993157143955022</v>
      </c>
      <c r="L377" s="615">
        <v>149.56845208917872</v>
      </c>
      <c r="M377" s="615">
        <v>0</v>
      </c>
      <c r="N377" s="615">
        <v>0</v>
      </c>
      <c r="O377" s="615">
        <v>0</v>
      </c>
      <c r="P377" s="615">
        <v>99.010880936074344</v>
      </c>
      <c r="Q377" s="615">
        <v>14.251120498248676</v>
      </c>
      <c r="R377" s="615">
        <v>52.50175445093673</v>
      </c>
      <c r="S377" s="615">
        <v>36.426966364652557</v>
      </c>
      <c r="T377" s="615">
        <v>161.54221978632609</v>
      </c>
      <c r="U377" s="615">
        <v>0</v>
      </c>
      <c r="V377" s="615">
        <v>17.773868099947929</v>
      </c>
      <c r="W377" s="615">
        <v>493.06882101936498</v>
      </c>
      <c r="X377" s="615">
        <v>81.689075648049737</v>
      </c>
      <c r="Y377" s="615">
        <v>11.445500311600577</v>
      </c>
      <c r="Z377" s="615">
        <v>1475.1492307424935</v>
      </c>
      <c r="AA377" s="51"/>
    </row>
    <row r="378" spans="1:27" x14ac:dyDescent="0.25">
      <c r="A378" s="51"/>
      <c r="B378" s="51"/>
      <c r="C378" s="51"/>
      <c r="D378" s="51"/>
      <c r="E378" s="51"/>
      <c r="F378" s="51"/>
      <c r="G378" s="51"/>
      <c r="H378" s="67">
        <v>0</v>
      </c>
      <c r="I378" s="67">
        <v>0</v>
      </c>
      <c r="J378" s="67">
        <v>0</v>
      </c>
      <c r="K378" s="67">
        <v>0</v>
      </c>
      <c r="L378" s="67">
        <v>0</v>
      </c>
      <c r="M378" s="67">
        <v>0</v>
      </c>
      <c r="N378" s="67">
        <v>0</v>
      </c>
      <c r="O378" s="67">
        <v>0</v>
      </c>
      <c r="P378" s="67">
        <v>0</v>
      </c>
      <c r="Q378" s="67">
        <v>0</v>
      </c>
      <c r="R378" s="67">
        <v>0</v>
      </c>
      <c r="S378" s="67">
        <v>-5.1070259132757201E-15</v>
      </c>
      <c r="T378" s="67">
        <v>0</v>
      </c>
      <c r="U378" s="67">
        <v>0</v>
      </c>
      <c r="V378" s="67">
        <v>0</v>
      </c>
      <c r="W378" s="67">
        <v>0</v>
      </c>
      <c r="X378" s="721">
        <v>-3.0734616700556217E-5</v>
      </c>
      <c r="Y378" s="67">
        <v>0</v>
      </c>
      <c r="Z378" s="67">
        <v>-3.0734616302652285E-5</v>
      </c>
      <c r="AA378" s="51"/>
    </row>
    <row r="379" spans="1:27" x14ac:dyDescent="0.25">
      <c r="A379" s="51"/>
      <c r="B379" s="51"/>
      <c r="C379" s="51"/>
      <c r="D379" s="51"/>
      <c r="E379" s="51"/>
      <c r="F379" s="51"/>
      <c r="G379" s="51"/>
      <c r="H379" s="51"/>
      <c r="I379" s="51"/>
      <c r="J379" s="51"/>
      <c r="K379" s="67"/>
      <c r="L379" s="51"/>
      <c r="M379" s="51"/>
      <c r="N379" s="51"/>
      <c r="O379" s="51"/>
      <c r="P379" s="51"/>
      <c r="Q379" s="51"/>
      <c r="R379" s="51"/>
      <c r="S379" s="51"/>
      <c r="T379" s="51"/>
      <c r="U379" s="51"/>
      <c r="V379" s="51"/>
      <c r="W379" s="51"/>
      <c r="X379" s="51"/>
      <c r="Y379" s="51"/>
      <c r="Z379" s="51"/>
      <c r="AA379" s="51"/>
    </row>
    <row r="380" spans="1:27" x14ac:dyDescent="0.25">
      <c r="A380" s="606"/>
      <c r="B380" s="606"/>
      <c r="C380" s="606"/>
      <c r="D380" s="606"/>
      <c r="E380" s="606"/>
      <c r="F380" s="606"/>
      <c r="G380" s="607" t="s">
        <v>359</v>
      </c>
      <c r="H380" s="606"/>
      <c r="I380" s="606"/>
      <c r="J380" s="606"/>
      <c r="K380" s="682"/>
      <c r="L380" s="606"/>
      <c r="M380" s="606"/>
      <c r="N380" s="606"/>
      <c r="O380" s="606"/>
      <c r="P380" s="606"/>
      <c r="Q380" s="606"/>
      <c r="R380" s="606"/>
      <c r="S380" s="606"/>
      <c r="T380" s="606"/>
      <c r="U380" s="606"/>
      <c r="V380" s="606"/>
      <c r="W380" s="606"/>
      <c r="X380" s="606"/>
      <c r="Y380" s="606"/>
      <c r="Z380" s="606"/>
      <c r="AA380" s="606"/>
    </row>
    <row r="381" spans="1:27" x14ac:dyDescent="0.25">
      <c r="A381" s="51"/>
      <c r="B381" s="51"/>
      <c r="C381" s="51"/>
      <c r="D381" s="51"/>
      <c r="E381" s="51"/>
      <c r="F381" s="51"/>
      <c r="G381" s="51"/>
      <c r="H381" s="51"/>
      <c r="I381" s="51"/>
      <c r="J381" s="51"/>
      <c r="K381" s="67"/>
      <c r="L381" s="51"/>
      <c r="M381" s="51"/>
      <c r="N381" s="51"/>
      <c r="O381" s="51"/>
      <c r="P381" s="51"/>
      <c r="Q381" s="51"/>
      <c r="R381" s="51"/>
      <c r="S381" s="51"/>
      <c r="T381" s="51"/>
      <c r="U381" s="51"/>
      <c r="V381" s="51"/>
      <c r="W381" s="51"/>
      <c r="X381" s="51"/>
      <c r="Y381" s="51"/>
      <c r="Z381" s="51"/>
      <c r="AA381" s="51"/>
    </row>
    <row r="382" spans="1:27" x14ac:dyDescent="0.25">
      <c r="A382" s="51"/>
      <c r="B382" s="51"/>
      <c r="C382" s="51"/>
      <c r="D382" s="51"/>
      <c r="E382" s="51"/>
      <c r="F382" s="51"/>
      <c r="G382" s="764" t="s">
        <v>128</v>
      </c>
      <c r="H382" s="753" t="s">
        <v>42</v>
      </c>
      <c r="I382" s="753" t="s">
        <v>52</v>
      </c>
      <c r="J382" s="753" t="s">
        <v>53</v>
      </c>
      <c r="K382" s="766" t="s">
        <v>482</v>
      </c>
      <c r="L382" s="753" t="s">
        <v>32</v>
      </c>
      <c r="M382" s="753" t="s">
        <v>483</v>
      </c>
      <c r="N382" s="753" t="s">
        <v>20</v>
      </c>
      <c r="O382" s="753" t="s">
        <v>55</v>
      </c>
      <c r="P382" s="761" t="s">
        <v>56</v>
      </c>
      <c r="Q382" s="762"/>
      <c r="R382" s="762"/>
      <c r="S382" s="762"/>
      <c r="T382" s="762"/>
      <c r="U382" s="762"/>
      <c r="V382" s="763"/>
      <c r="W382" s="753" t="s">
        <v>57</v>
      </c>
      <c r="X382" s="753" t="s">
        <v>58</v>
      </c>
      <c r="Y382" s="753" t="s">
        <v>31</v>
      </c>
      <c r="Z382" s="753" t="s">
        <v>10</v>
      </c>
      <c r="AA382" s="51"/>
    </row>
    <row r="383" spans="1:27" ht="36" x14ac:dyDescent="0.25">
      <c r="A383" s="51"/>
      <c r="B383" s="51"/>
      <c r="C383" s="51"/>
      <c r="D383" s="51" t="s">
        <v>486</v>
      </c>
      <c r="E383" s="51"/>
      <c r="F383" s="51"/>
      <c r="G383" s="765"/>
      <c r="H383" s="754"/>
      <c r="I383" s="754"/>
      <c r="J383" s="754"/>
      <c r="K383" s="767"/>
      <c r="L383" s="754"/>
      <c r="M383" s="754"/>
      <c r="N383" s="754"/>
      <c r="O383" s="754"/>
      <c r="P383" s="608" t="s">
        <v>335</v>
      </c>
      <c r="Q383" s="608" t="s">
        <v>40</v>
      </c>
      <c r="R383" s="608" t="s">
        <v>343</v>
      </c>
      <c r="S383" s="608" t="s">
        <v>344</v>
      </c>
      <c r="T383" s="609" t="s">
        <v>345</v>
      </c>
      <c r="U383" s="609" t="s">
        <v>609</v>
      </c>
      <c r="V383" s="608" t="s">
        <v>346</v>
      </c>
      <c r="W383" s="754"/>
      <c r="X383" s="754"/>
      <c r="Y383" s="754"/>
      <c r="Z383" s="754"/>
      <c r="AA383" s="51"/>
    </row>
    <row r="384" spans="1:27" x14ac:dyDescent="0.25">
      <c r="A384" s="51">
        <v>6</v>
      </c>
      <c r="B384" s="51">
        <v>2038</v>
      </c>
      <c r="C384" s="51" t="s">
        <v>47</v>
      </c>
      <c r="D384" s="51" t="s">
        <v>487</v>
      </c>
      <c r="E384" s="51" t="s">
        <v>564</v>
      </c>
      <c r="F384" s="51"/>
      <c r="G384" s="610" t="s">
        <v>59</v>
      </c>
      <c r="H384" s="611">
        <v>0</v>
      </c>
      <c r="I384" s="611">
        <v>1.9073199999999999</v>
      </c>
      <c r="J384" s="611">
        <v>0</v>
      </c>
      <c r="K384" s="611">
        <v>0</v>
      </c>
      <c r="L384" s="611">
        <v>3.9542000000000008E-2</v>
      </c>
      <c r="M384" s="611">
        <v>0</v>
      </c>
      <c r="N384" s="612">
        <v>1195.3095232296764</v>
      </c>
      <c r="O384" s="612">
        <v>365.89375911344479</v>
      </c>
      <c r="P384" s="611">
        <v>366.49573614212727</v>
      </c>
      <c r="Q384" s="612">
        <v>36.039559436929487</v>
      </c>
      <c r="R384" s="611">
        <v>0</v>
      </c>
      <c r="S384" s="611">
        <v>0</v>
      </c>
      <c r="T384" s="612">
        <v>185.63225666106675</v>
      </c>
      <c r="U384" s="612">
        <v>13.704488851835556</v>
      </c>
      <c r="V384" s="612">
        <v>41.025226353831073</v>
      </c>
      <c r="W384" s="611">
        <v>0</v>
      </c>
      <c r="X384" s="611">
        <v>0</v>
      </c>
      <c r="Y384" s="611">
        <v>0</v>
      </c>
      <c r="Z384" s="613">
        <v>2206.0474117889112</v>
      </c>
      <c r="AA384" s="51"/>
    </row>
    <row r="385" spans="1:27" x14ac:dyDescent="0.25">
      <c r="A385" s="51">
        <v>7</v>
      </c>
      <c r="B385" s="51">
        <v>2038</v>
      </c>
      <c r="C385" s="51" t="s">
        <v>47</v>
      </c>
      <c r="D385" s="51" t="s">
        <v>488</v>
      </c>
      <c r="E385" s="51" t="s">
        <v>564</v>
      </c>
      <c r="F385" s="51"/>
      <c r="G385" s="610" t="s">
        <v>60</v>
      </c>
      <c r="H385" s="611">
        <v>14.418449130859376</v>
      </c>
      <c r="I385" s="611">
        <v>260.68864136173096</v>
      </c>
      <c r="J385" s="611">
        <v>75.542368747367902</v>
      </c>
      <c r="K385" s="611">
        <v>5.4163012615349775</v>
      </c>
      <c r="L385" s="620">
        <v>141.08617654058912</v>
      </c>
      <c r="M385" s="611">
        <v>0</v>
      </c>
      <c r="N385" s="611">
        <v>0</v>
      </c>
      <c r="O385" s="611">
        <v>0</v>
      </c>
      <c r="P385" s="611">
        <v>22.658564684722251</v>
      </c>
      <c r="Q385" s="611">
        <v>0</v>
      </c>
      <c r="R385" s="611">
        <v>4.9362048154531664</v>
      </c>
      <c r="S385" s="611">
        <v>0</v>
      </c>
      <c r="T385" s="611">
        <v>0</v>
      </c>
      <c r="U385" s="611">
        <v>0</v>
      </c>
      <c r="V385" s="611">
        <v>0</v>
      </c>
      <c r="W385" s="611">
        <v>0</v>
      </c>
      <c r="X385" s="611">
        <v>0</v>
      </c>
      <c r="Y385" s="611">
        <v>0</v>
      </c>
      <c r="Z385" s="613">
        <v>524.7467065422577</v>
      </c>
      <c r="AA385" s="51"/>
    </row>
    <row r="386" spans="1:27" x14ac:dyDescent="0.25">
      <c r="A386" s="51">
        <v>8</v>
      </c>
      <c r="B386" s="51">
        <v>2038</v>
      </c>
      <c r="C386" s="51" t="s">
        <v>47</v>
      </c>
      <c r="D386" s="51" t="s">
        <v>489</v>
      </c>
      <c r="E386" s="51" t="s">
        <v>564</v>
      </c>
      <c r="F386" s="51"/>
      <c r="G386" s="610" t="s">
        <v>61</v>
      </c>
      <c r="H386" s="611">
        <v>0</v>
      </c>
      <c r="I386" s="611">
        <v>0</v>
      </c>
      <c r="J386" s="611">
        <v>0</v>
      </c>
      <c r="K386" s="611">
        <v>0</v>
      </c>
      <c r="L386" s="611">
        <v>0</v>
      </c>
      <c r="M386" s="611">
        <v>0</v>
      </c>
      <c r="N386" s="611">
        <v>0</v>
      </c>
      <c r="O386" s="611">
        <v>0</v>
      </c>
      <c r="P386" s="611">
        <v>0</v>
      </c>
      <c r="Q386" s="611">
        <v>0</v>
      </c>
      <c r="R386" s="611">
        <v>0</v>
      </c>
      <c r="S386" s="611">
        <v>0</v>
      </c>
      <c r="T386" s="611">
        <v>0</v>
      </c>
      <c r="U386" s="611">
        <v>0</v>
      </c>
      <c r="V386" s="611">
        <v>0</v>
      </c>
      <c r="W386" s="611">
        <v>-134.97098038002355</v>
      </c>
      <c r="X386" s="611">
        <v>0</v>
      </c>
      <c r="Y386" s="611">
        <v>0</v>
      </c>
      <c r="Z386" s="613">
        <v>-134.97098038002355</v>
      </c>
      <c r="AA386" s="51"/>
    </row>
    <row r="387" spans="1:27" x14ac:dyDescent="0.25">
      <c r="A387" s="51">
        <v>9</v>
      </c>
      <c r="B387" s="51">
        <v>2038</v>
      </c>
      <c r="C387" s="51" t="s">
        <v>47</v>
      </c>
      <c r="D387" s="51" t="s">
        <v>490</v>
      </c>
      <c r="E387" s="51" t="s">
        <v>564</v>
      </c>
      <c r="F387" s="51"/>
      <c r="G387" s="610" t="s">
        <v>62</v>
      </c>
      <c r="H387" s="611">
        <v>0</v>
      </c>
      <c r="I387" s="611">
        <v>0</v>
      </c>
      <c r="J387" s="611">
        <v>-6.4368278477343406</v>
      </c>
      <c r="K387" s="611">
        <v>-0.75904465097595197</v>
      </c>
      <c r="L387" s="611">
        <v>-0.26617313205703391</v>
      </c>
      <c r="M387" s="611">
        <v>-0.83753949174200382</v>
      </c>
      <c r="N387" s="611">
        <v>0</v>
      </c>
      <c r="O387" s="611">
        <v>0</v>
      </c>
      <c r="P387" s="611">
        <v>0</v>
      </c>
      <c r="Q387" s="611">
        <v>0</v>
      </c>
      <c r="R387" s="611">
        <v>0</v>
      </c>
      <c r="S387" s="611">
        <v>-1.2171669369544087</v>
      </c>
      <c r="T387" s="611">
        <v>0</v>
      </c>
      <c r="U387" s="611">
        <v>0</v>
      </c>
      <c r="V387" s="611">
        <v>0</v>
      </c>
      <c r="W387" s="611">
        <v>0</v>
      </c>
      <c r="X387" s="611">
        <v>0</v>
      </c>
      <c r="Y387" s="611">
        <v>-0.55033649946810814</v>
      </c>
      <c r="Z387" s="613">
        <v>-10.067088558931845</v>
      </c>
      <c r="AA387" s="51"/>
    </row>
    <row r="388" spans="1:27" x14ac:dyDescent="0.25">
      <c r="A388" s="51">
        <v>10</v>
      </c>
      <c r="B388" s="51">
        <v>2038</v>
      </c>
      <c r="C388" s="51" t="s">
        <v>47</v>
      </c>
      <c r="D388" s="51" t="s">
        <v>491</v>
      </c>
      <c r="E388" s="51" t="s">
        <v>564</v>
      </c>
      <c r="F388" s="51"/>
      <c r="G388" s="610" t="s">
        <v>63</v>
      </c>
      <c r="H388" s="611">
        <v>0</v>
      </c>
      <c r="I388" s="611">
        <v>0</v>
      </c>
      <c r="J388" s="611">
        <v>-46.4</v>
      </c>
      <c r="K388" s="611">
        <v>-6.4</v>
      </c>
      <c r="L388" s="611">
        <v>0</v>
      </c>
      <c r="M388" s="611">
        <v>0</v>
      </c>
      <c r="N388" s="611">
        <v>0</v>
      </c>
      <c r="O388" s="611">
        <v>0</v>
      </c>
      <c r="P388" s="611">
        <v>0</v>
      </c>
      <c r="Q388" s="611">
        <v>0</v>
      </c>
      <c r="R388" s="611">
        <v>-13.4</v>
      </c>
      <c r="S388" s="611">
        <v>0</v>
      </c>
      <c r="T388" s="611">
        <v>0</v>
      </c>
      <c r="U388" s="611">
        <v>0</v>
      </c>
      <c r="V388" s="611">
        <v>0</v>
      </c>
      <c r="W388" s="611">
        <v>0</v>
      </c>
      <c r="X388" s="611">
        <v>0</v>
      </c>
      <c r="Y388" s="611">
        <v>-2.2000000000000002</v>
      </c>
      <c r="Z388" s="613">
        <v>-68.400000000000006</v>
      </c>
      <c r="AA388" s="51"/>
    </row>
    <row r="389" spans="1:27" x14ac:dyDescent="0.25">
      <c r="A389" s="51">
        <v>11</v>
      </c>
      <c r="B389" s="51">
        <v>2038</v>
      </c>
      <c r="C389" s="51" t="s">
        <v>47</v>
      </c>
      <c r="D389" s="51" t="s">
        <v>492</v>
      </c>
      <c r="E389" s="51" t="s">
        <v>564</v>
      </c>
      <c r="F389" s="51"/>
      <c r="G389" s="610" t="s">
        <v>64</v>
      </c>
      <c r="H389" s="611">
        <v>0</v>
      </c>
      <c r="I389" s="611">
        <v>0</v>
      </c>
      <c r="J389" s="611">
        <v>0</v>
      </c>
      <c r="K389" s="611">
        <v>0</v>
      </c>
      <c r="L389" s="611">
        <v>0</v>
      </c>
      <c r="M389" s="611">
        <v>0</v>
      </c>
      <c r="N389" s="611">
        <v>0</v>
      </c>
      <c r="O389" s="611">
        <v>0</v>
      </c>
      <c r="P389" s="611">
        <v>0</v>
      </c>
      <c r="Q389" s="611">
        <v>0</v>
      </c>
      <c r="R389" s="611">
        <v>0</v>
      </c>
      <c r="S389" s="611">
        <v>0</v>
      </c>
      <c r="T389" s="611">
        <v>0</v>
      </c>
      <c r="U389" s="611">
        <v>0</v>
      </c>
      <c r="V389" s="611">
        <v>0</v>
      </c>
      <c r="W389" s="611">
        <v>0</v>
      </c>
      <c r="X389" s="611">
        <v>0</v>
      </c>
      <c r="Y389" s="611">
        <v>0</v>
      </c>
      <c r="Z389" s="613">
        <v>0</v>
      </c>
      <c r="AA389" s="51"/>
    </row>
    <row r="390" spans="1:27" x14ac:dyDescent="0.25">
      <c r="A390" s="51">
        <v>12</v>
      </c>
      <c r="B390" s="51">
        <v>2038</v>
      </c>
      <c r="C390" s="51" t="s">
        <v>47</v>
      </c>
      <c r="D390" s="51" t="s">
        <v>493</v>
      </c>
      <c r="E390" s="51" t="s">
        <v>564</v>
      </c>
      <c r="F390" s="51"/>
      <c r="G390" s="614" t="s">
        <v>65</v>
      </c>
      <c r="H390" s="615">
        <v>14.418449130859376</v>
      </c>
      <c r="I390" s="615">
        <v>262.59596136173099</v>
      </c>
      <c r="J390" s="615">
        <v>22.705540899633569</v>
      </c>
      <c r="K390" s="615">
        <v>-1.7427433894409745</v>
      </c>
      <c r="L390" s="615">
        <v>140.85954540853211</v>
      </c>
      <c r="M390" s="615">
        <v>-0.83753949174200382</v>
      </c>
      <c r="N390" s="615">
        <v>1195.3095232296764</v>
      </c>
      <c r="O390" s="615">
        <v>365.89375911344479</v>
      </c>
      <c r="P390" s="615">
        <v>389.15430082684952</v>
      </c>
      <c r="Q390" s="615">
        <v>36.039559436929487</v>
      </c>
      <c r="R390" s="615">
        <v>-8.463795184546834</v>
      </c>
      <c r="S390" s="615">
        <v>-1.2171669369544087</v>
      </c>
      <c r="T390" s="615">
        <v>185.63225666106675</v>
      </c>
      <c r="U390" s="615">
        <v>13.704488851835556</v>
      </c>
      <c r="V390" s="615">
        <v>41.025226353831073</v>
      </c>
      <c r="W390" s="615">
        <v>-134.97098038002355</v>
      </c>
      <c r="X390" s="615">
        <v>0</v>
      </c>
      <c r="Y390" s="615">
        <v>-2.7503364994681085</v>
      </c>
      <c r="Z390" s="615">
        <v>2517.3560493922132</v>
      </c>
      <c r="AA390" s="51"/>
    </row>
    <row r="391" spans="1:27" x14ac:dyDescent="0.25">
      <c r="A391" s="51"/>
      <c r="B391" s="51"/>
      <c r="C391" s="51"/>
      <c r="D391" s="51"/>
      <c r="E391" s="51"/>
      <c r="F391" s="51"/>
      <c r="G391" s="616"/>
      <c r="H391" s="617"/>
      <c r="I391" s="617"/>
      <c r="J391" s="617"/>
      <c r="K391" s="617"/>
      <c r="L391" s="617"/>
      <c r="M391" s="617"/>
      <c r="N391" s="617"/>
      <c r="O391" s="617"/>
      <c r="P391" s="617"/>
      <c r="Q391" s="617"/>
      <c r="R391" s="617"/>
      <c r="S391" s="617"/>
      <c r="T391" s="617"/>
      <c r="U391" s="617"/>
      <c r="V391" s="617"/>
      <c r="W391" s="617"/>
      <c r="X391" s="617"/>
      <c r="Y391" s="617"/>
      <c r="Z391" s="617"/>
      <c r="AA391" s="51"/>
    </row>
    <row r="392" spans="1:27" x14ac:dyDescent="0.25">
      <c r="A392" s="51">
        <v>14</v>
      </c>
      <c r="B392" s="51">
        <v>2038</v>
      </c>
      <c r="C392" s="51" t="s">
        <v>47</v>
      </c>
      <c r="D392" s="51" t="s">
        <v>494</v>
      </c>
      <c r="E392" s="51" t="s">
        <v>564</v>
      </c>
      <c r="F392" s="51"/>
      <c r="G392" s="618" t="s">
        <v>67</v>
      </c>
      <c r="H392" s="611">
        <v>0</v>
      </c>
      <c r="I392" s="611">
        <v>0</v>
      </c>
      <c r="J392" s="611">
        <v>0</v>
      </c>
      <c r="K392" s="611">
        <v>0</v>
      </c>
      <c r="L392" s="611">
        <v>0</v>
      </c>
      <c r="M392" s="611">
        <v>0</v>
      </c>
      <c r="N392" s="611">
        <v>0</v>
      </c>
      <c r="O392" s="611">
        <v>0</v>
      </c>
      <c r="P392" s="611">
        <v>0</v>
      </c>
      <c r="Q392" s="611">
        <v>0</v>
      </c>
      <c r="R392" s="611">
        <v>0</v>
      </c>
      <c r="S392" s="611">
        <v>0</v>
      </c>
      <c r="T392" s="611">
        <v>0</v>
      </c>
      <c r="U392" s="611">
        <v>0</v>
      </c>
      <c r="V392" s="611">
        <v>0</v>
      </c>
      <c r="W392" s="611">
        <v>0</v>
      </c>
      <c r="X392" s="611">
        <v>0</v>
      </c>
      <c r="Y392" s="611">
        <v>0</v>
      </c>
      <c r="Z392" s="619">
        <v>0</v>
      </c>
      <c r="AA392" s="51"/>
    </row>
    <row r="393" spans="1:27" x14ac:dyDescent="0.25">
      <c r="A393" s="51">
        <v>15</v>
      </c>
      <c r="B393" s="51">
        <v>2038</v>
      </c>
      <c r="C393" s="51" t="s">
        <v>47</v>
      </c>
      <c r="D393" s="51" t="s">
        <v>495</v>
      </c>
      <c r="E393" s="51" t="s">
        <v>564</v>
      </c>
      <c r="F393" s="51"/>
      <c r="G393" s="618" t="s">
        <v>347</v>
      </c>
      <c r="H393" s="611">
        <v>0</v>
      </c>
      <c r="I393" s="611">
        <v>0</v>
      </c>
      <c r="J393" s="611">
        <v>0.36057808628354604</v>
      </c>
      <c r="K393" s="611">
        <v>0</v>
      </c>
      <c r="L393" s="611">
        <v>11.75500327550877</v>
      </c>
      <c r="M393" s="611">
        <v>0</v>
      </c>
      <c r="N393" s="611">
        <v>1193.4597454545453</v>
      </c>
      <c r="O393" s="611">
        <v>365.89375911344479</v>
      </c>
      <c r="P393" s="611">
        <v>16.434445099534216</v>
      </c>
      <c r="Q393" s="611">
        <v>5.7377321544463369</v>
      </c>
      <c r="R393" s="611">
        <v>5.3878161949008447</v>
      </c>
      <c r="S393" s="611">
        <v>6.5215043815967668</v>
      </c>
      <c r="T393" s="611">
        <v>0</v>
      </c>
      <c r="U393" s="611">
        <v>0</v>
      </c>
      <c r="V393" s="611">
        <v>4.9774137725284184</v>
      </c>
      <c r="W393" s="611">
        <v>-785.20937913681269</v>
      </c>
      <c r="X393" s="611">
        <v>0</v>
      </c>
      <c r="Y393" s="611">
        <v>0</v>
      </c>
      <c r="Z393" s="619">
        <v>825.31861839597627</v>
      </c>
      <c r="AA393" s="51"/>
    </row>
    <row r="394" spans="1:27" x14ac:dyDescent="0.25">
      <c r="A394" s="51">
        <v>16</v>
      </c>
      <c r="B394" s="51">
        <v>2038</v>
      </c>
      <c r="C394" s="51" t="s">
        <v>47</v>
      </c>
      <c r="D394" s="51" t="s">
        <v>496</v>
      </c>
      <c r="E394" s="51" t="s">
        <v>564</v>
      </c>
      <c r="F394" s="51"/>
      <c r="G394" s="618" t="s">
        <v>348</v>
      </c>
      <c r="H394" s="611">
        <v>0</v>
      </c>
      <c r="I394" s="611">
        <v>0</v>
      </c>
      <c r="J394" s="611">
        <v>0</v>
      </c>
      <c r="K394" s="611">
        <v>0</v>
      </c>
      <c r="L394" s="611">
        <v>15.834479964005329</v>
      </c>
      <c r="M394" s="611">
        <v>0</v>
      </c>
      <c r="N394" s="611">
        <v>1.8497777751311113</v>
      </c>
      <c r="O394" s="611">
        <v>0</v>
      </c>
      <c r="P394" s="611">
        <v>24.688004073648511</v>
      </c>
      <c r="Q394" s="611">
        <v>15.628203182593609</v>
      </c>
      <c r="R394" s="611">
        <v>0</v>
      </c>
      <c r="S394" s="611">
        <v>7.8273715817536011</v>
      </c>
      <c r="T394" s="611">
        <v>2.1254444378277784</v>
      </c>
      <c r="U394" s="611">
        <v>13.704488851835556</v>
      </c>
      <c r="V394" s="611">
        <v>14.784924945246221</v>
      </c>
      <c r="W394" s="611">
        <v>0</v>
      </c>
      <c r="X394" s="620">
        <v>-88.525771142202075</v>
      </c>
      <c r="Y394" s="611">
        <v>0</v>
      </c>
      <c r="Z394" s="619">
        <v>7.9169236698396332</v>
      </c>
      <c r="AA394" s="51"/>
    </row>
    <row r="395" spans="1:27" x14ac:dyDescent="0.25">
      <c r="A395" s="51">
        <v>17</v>
      </c>
      <c r="B395" s="51">
        <v>2038</v>
      </c>
      <c r="C395" s="51" t="s">
        <v>47</v>
      </c>
      <c r="D395" s="51" t="s">
        <v>497</v>
      </c>
      <c r="E395" s="51" t="s">
        <v>564</v>
      </c>
      <c r="F395" s="51"/>
      <c r="G395" s="618" t="s">
        <v>349</v>
      </c>
      <c r="H395" s="611">
        <v>0</v>
      </c>
      <c r="I395" s="611">
        <v>0</v>
      </c>
      <c r="J395" s="611">
        <v>0</v>
      </c>
      <c r="K395" s="611">
        <v>0</v>
      </c>
      <c r="L395" s="611">
        <v>0</v>
      </c>
      <c r="M395" s="611">
        <v>0</v>
      </c>
      <c r="N395" s="611">
        <v>0</v>
      </c>
      <c r="O395" s="611">
        <v>0</v>
      </c>
      <c r="P395" s="611">
        <v>133.60962986455826</v>
      </c>
      <c r="Q395" s="611">
        <v>0</v>
      </c>
      <c r="R395" s="611">
        <v>0</v>
      </c>
      <c r="S395" s="611">
        <v>-66.804814932279129</v>
      </c>
      <c r="T395" s="611">
        <v>0</v>
      </c>
      <c r="U395" s="611">
        <v>0</v>
      </c>
      <c r="V395" s="611">
        <v>0</v>
      </c>
      <c r="W395" s="611">
        <v>0</v>
      </c>
      <c r="X395" s="611">
        <v>0</v>
      </c>
      <c r="Y395" s="611">
        <v>0</v>
      </c>
      <c r="Z395" s="619">
        <v>66.804814932279129</v>
      </c>
      <c r="AA395" s="51"/>
    </row>
    <row r="396" spans="1:27" x14ac:dyDescent="0.25">
      <c r="A396" s="51">
        <v>18</v>
      </c>
      <c r="B396" s="51">
        <v>2038</v>
      </c>
      <c r="C396" s="51" t="s">
        <v>47</v>
      </c>
      <c r="D396" s="51" t="s">
        <v>498</v>
      </c>
      <c r="E396" s="51" t="s">
        <v>564</v>
      </c>
      <c r="F396" s="51"/>
      <c r="G396" s="618" t="s">
        <v>350</v>
      </c>
      <c r="H396" s="611">
        <v>0</v>
      </c>
      <c r="I396" s="611">
        <v>0</v>
      </c>
      <c r="J396" s="611">
        <v>0</v>
      </c>
      <c r="K396" s="611">
        <v>0</v>
      </c>
      <c r="L396" s="611">
        <v>0</v>
      </c>
      <c r="M396" s="620">
        <v>-0.83753949174200382</v>
      </c>
      <c r="N396" s="611">
        <v>0</v>
      </c>
      <c r="O396" s="611">
        <v>0</v>
      </c>
      <c r="P396" s="611">
        <v>0</v>
      </c>
      <c r="Q396" s="611">
        <v>0</v>
      </c>
      <c r="R396" s="611">
        <v>0</v>
      </c>
      <c r="S396" s="611">
        <v>0</v>
      </c>
      <c r="T396" s="611">
        <v>0</v>
      </c>
      <c r="U396" s="611">
        <v>0</v>
      </c>
      <c r="V396" s="611">
        <v>0</v>
      </c>
      <c r="W396" s="611">
        <v>0</v>
      </c>
      <c r="X396" s="611">
        <v>0</v>
      </c>
      <c r="Y396" s="611">
        <v>1.1632492940861165</v>
      </c>
      <c r="Z396" s="619">
        <v>0.32570980234411273</v>
      </c>
      <c r="AA396" s="51"/>
    </row>
    <row r="397" spans="1:27" x14ac:dyDescent="0.25">
      <c r="A397" s="51">
        <v>19</v>
      </c>
      <c r="B397" s="51">
        <v>2038</v>
      </c>
      <c r="C397" s="51" t="s">
        <v>47</v>
      </c>
      <c r="D397" s="51" t="s">
        <v>499</v>
      </c>
      <c r="E397" s="51" t="s">
        <v>564</v>
      </c>
      <c r="F397" s="51"/>
      <c r="G397" s="618" t="s">
        <v>72</v>
      </c>
      <c r="H397" s="611">
        <v>0</v>
      </c>
      <c r="I397" s="611">
        <v>272.12802990456925</v>
      </c>
      <c r="J397" s="611">
        <v>-269.40674960552354</v>
      </c>
      <c r="K397" s="611">
        <v>0</v>
      </c>
      <c r="L397" s="611">
        <v>0</v>
      </c>
      <c r="M397" s="611">
        <v>0</v>
      </c>
      <c r="N397" s="611">
        <v>0</v>
      </c>
      <c r="O397" s="611">
        <v>0</v>
      </c>
      <c r="P397" s="611">
        <v>0</v>
      </c>
      <c r="Q397" s="611">
        <v>0</v>
      </c>
      <c r="R397" s="611">
        <v>0</v>
      </c>
      <c r="S397" s="611">
        <v>0</v>
      </c>
      <c r="T397" s="611">
        <v>0</v>
      </c>
      <c r="U397" s="611">
        <v>0</v>
      </c>
      <c r="V397" s="611">
        <v>0</v>
      </c>
      <c r="W397" s="611">
        <v>0</v>
      </c>
      <c r="X397" s="611">
        <v>0</v>
      </c>
      <c r="Y397" s="611">
        <v>0</v>
      </c>
      <c r="Z397" s="619">
        <v>2.7212802990457021</v>
      </c>
      <c r="AA397" s="51"/>
    </row>
    <row r="398" spans="1:27" x14ac:dyDescent="0.25">
      <c r="A398" s="51">
        <v>20</v>
      </c>
      <c r="B398" s="51">
        <v>2038</v>
      </c>
      <c r="C398" s="51" t="s">
        <v>47</v>
      </c>
      <c r="D398" s="51" t="s">
        <v>500</v>
      </c>
      <c r="E398" s="51" t="s">
        <v>564</v>
      </c>
      <c r="F398" s="51"/>
      <c r="G398" s="618" t="s">
        <v>351</v>
      </c>
      <c r="H398" s="611">
        <v>0</v>
      </c>
      <c r="I398" s="611">
        <v>0</v>
      </c>
      <c r="J398" s="611">
        <v>0</v>
      </c>
      <c r="K398" s="611">
        <v>0</v>
      </c>
      <c r="L398" s="611">
        <v>0</v>
      </c>
      <c r="M398" s="611">
        <v>0</v>
      </c>
      <c r="N398" s="611">
        <v>0</v>
      </c>
      <c r="O398" s="611">
        <v>0</v>
      </c>
      <c r="P398" s="611">
        <v>120.40461018825648</v>
      </c>
      <c r="Q398" s="611">
        <v>0</v>
      </c>
      <c r="R398" s="620">
        <v>-66.222535603541075</v>
      </c>
      <c r="S398" s="611">
        <v>0</v>
      </c>
      <c r="T398" s="611">
        <v>0</v>
      </c>
      <c r="U398" s="611">
        <v>0</v>
      </c>
      <c r="V398" s="611">
        <v>0</v>
      </c>
      <c r="W398" s="611">
        <v>0</v>
      </c>
      <c r="X398" s="611">
        <v>0</v>
      </c>
      <c r="Y398" s="611">
        <v>0</v>
      </c>
      <c r="Z398" s="619">
        <v>54.182074584715409</v>
      </c>
      <c r="AA398" s="51"/>
    </row>
    <row r="399" spans="1:27" x14ac:dyDescent="0.25">
      <c r="A399" s="51">
        <v>21</v>
      </c>
      <c r="B399" s="51">
        <v>2038</v>
      </c>
      <c r="C399" s="51" t="s">
        <v>47</v>
      </c>
      <c r="D399" s="51" t="s">
        <v>501</v>
      </c>
      <c r="E399" s="51" t="s">
        <v>564</v>
      </c>
      <c r="F399" s="51"/>
      <c r="G399" s="618" t="s">
        <v>352</v>
      </c>
      <c r="H399" s="611">
        <v>0</v>
      </c>
      <c r="I399" s="611">
        <v>0</v>
      </c>
      <c r="J399" s="611">
        <v>0</v>
      </c>
      <c r="K399" s="611">
        <v>-6.5343620522150392</v>
      </c>
      <c r="L399" s="611">
        <v>0</v>
      </c>
      <c r="M399" s="611">
        <v>0</v>
      </c>
      <c r="N399" s="611">
        <v>0</v>
      </c>
      <c r="O399" s="611">
        <v>0</v>
      </c>
      <c r="P399" s="611">
        <v>0</v>
      </c>
      <c r="Q399" s="611">
        <v>0</v>
      </c>
      <c r="R399" s="611">
        <v>0</v>
      </c>
      <c r="S399" s="611">
        <v>0</v>
      </c>
      <c r="T399" s="611">
        <v>0</v>
      </c>
      <c r="U399" s="611">
        <v>0</v>
      </c>
      <c r="V399" s="611">
        <v>0</v>
      </c>
      <c r="W399" s="611">
        <v>0</v>
      </c>
      <c r="X399" s="611">
        <v>0</v>
      </c>
      <c r="Y399" s="611">
        <v>10.999507742254341</v>
      </c>
      <c r="Z399" s="619">
        <v>4.4651456900393018</v>
      </c>
      <c r="AA399" s="51"/>
    </row>
    <row r="400" spans="1:27" x14ac:dyDescent="0.25">
      <c r="A400" s="51">
        <v>22</v>
      </c>
      <c r="B400" s="51">
        <v>2038</v>
      </c>
      <c r="C400" s="51" t="s">
        <v>47</v>
      </c>
      <c r="D400" s="51" t="s">
        <v>502</v>
      </c>
      <c r="E400" s="51" t="s">
        <v>564</v>
      </c>
      <c r="F400" s="51"/>
      <c r="G400" s="618" t="s">
        <v>73</v>
      </c>
      <c r="H400" s="611">
        <v>0</v>
      </c>
      <c r="I400" s="611">
        <v>0</v>
      </c>
      <c r="J400" s="611">
        <v>0</v>
      </c>
      <c r="K400" s="611">
        <v>0</v>
      </c>
      <c r="L400" s="611">
        <v>0</v>
      </c>
      <c r="M400" s="611">
        <v>0</v>
      </c>
      <c r="N400" s="611">
        <v>0</v>
      </c>
      <c r="O400" s="611">
        <v>0</v>
      </c>
      <c r="P400" s="611">
        <v>0</v>
      </c>
      <c r="Q400" s="611">
        <v>0</v>
      </c>
      <c r="R400" s="611">
        <v>0</v>
      </c>
      <c r="S400" s="611">
        <v>0</v>
      </c>
      <c r="T400" s="611">
        <v>0</v>
      </c>
      <c r="U400" s="611">
        <v>0</v>
      </c>
      <c r="V400" s="611">
        <v>0</v>
      </c>
      <c r="W400" s="611">
        <v>42.740194261773091</v>
      </c>
      <c r="X400" s="611">
        <v>0</v>
      </c>
      <c r="Y400" s="611">
        <v>-28.977851709482156</v>
      </c>
      <c r="Z400" s="619">
        <v>13.762342552290935</v>
      </c>
      <c r="AA400" s="51"/>
    </row>
    <row r="401" spans="1:27" x14ac:dyDescent="0.25">
      <c r="A401" s="51">
        <v>23</v>
      </c>
      <c r="B401" s="51">
        <v>2038</v>
      </c>
      <c r="C401" s="51" t="s">
        <v>47</v>
      </c>
      <c r="D401" s="51" t="s">
        <v>503</v>
      </c>
      <c r="E401" s="51" t="s">
        <v>564</v>
      </c>
      <c r="F401" s="51"/>
      <c r="G401" s="618" t="s">
        <v>353</v>
      </c>
      <c r="H401" s="611">
        <v>8.1664526953125005</v>
      </c>
      <c r="I401" s="611">
        <v>-9.5320685428382639</v>
      </c>
      <c r="J401" s="611">
        <v>12.621512149777095</v>
      </c>
      <c r="K401" s="611">
        <v>0</v>
      </c>
      <c r="L401" s="611">
        <v>0</v>
      </c>
      <c r="M401" s="611">
        <v>0</v>
      </c>
      <c r="N401" s="611">
        <v>0</v>
      </c>
      <c r="O401" s="611">
        <v>0</v>
      </c>
      <c r="P401" s="611">
        <v>0</v>
      </c>
      <c r="Q401" s="611">
        <v>0</v>
      </c>
      <c r="R401" s="611">
        <v>0</v>
      </c>
      <c r="S401" s="611">
        <v>0</v>
      </c>
      <c r="T401" s="611">
        <v>0</v>
      </c>
      <c r="U401" s="611">
        <v>0</v>
      </c>
      <c r="V401" s="611">
        <v>0</v>
      </c>
      <c r="W401" s="611">
        <v>0</v>
      </c>
      <c r="X401" s="611">
        <v>0</v>
      </c>
      <c r="Y401" s="611">
        <v>0</v>
      </c>
      <c r="Z401" s="619">
        <v>11.255896302251331</v>
      </c>
      <c r="AA401" s="51"/>
    </row>
    <row r="402" spans="1:27" x14ac:dyDescent="0.25">
      <c r="A402" s="51">
        <v>24</v>
      </c>
      <c r="B402" s="51">
        <v>2038</v>
      </c>
      <c r="C402" s="51" t="s">
        <v>47</v>
      </c>
      <c r="D402" s="51" t="s">
        <v>504</v>
      </c>
      <c r="E402" s="51" t="s">
        <v>564</v>
      </c>
      <c r="F402" s="51"/>
      <c r="G402" s="618" t="s">
        <v>75</v>
      </c>
      <c r="H402" s="611">
        <v>3.1758427148437502</v>
      </c>
      <c r="I402" s="611">
        <v>0</v>
      </c>
      <c r="J402" s="611">
        <v>9.432796735269573</v>
      </c>
      <c r="K402" s="611">
        <v>0</v>
      </c>
      <c r="L402" s="611">
        <v>3.440514427075275</v>
      </c>
      <c r="M402" s="611">
        <v>0</v>
      </c>
      <c r="N402" s="611">
        <v>0</v>
      </c>
      <c r="O402" s="611">
        <v>0</v>
      </c>
      <c r="P402" s="611">
        <v>0</v>
      </c>
      <c r="Q402" s="611">
        <v>0</v>
      </c>
      <c r="R402" s="611">
        <v>0</v>
      </c>
      <c r="S402" s="611">
        <v>1.6190656127413063</v>
      </c>
      <c r="T402" s="611">
        <v>0</v>
      </c>
      <c r="U402" s="611">
        <v>0</v>
      </c>
      <c r="V402" s="611">
        <v>0</v>
      </c>
      <c r="W402" s="620">
        <v>35.983836228811796</v>
      </c>
      <c r="X402" s="611">
        <v>0</v>
      </c>
      <c r="Y402" s="611">
        <v>0</v>
      </c>
      <c r="Z402" s="619">
        <v>53.6520557187417</v>
      </c>
      <c r="AA402" s="51"/>
    </row>
    <row r="403" spans="1:27" x14ac:dyDescent="0.25">
      <c r="A403" s="51">
        <v>25</v>
      </c>
      <c r="B403" s="51">
        <v>2038</v>
      </c>
      <c r="C403" s="51" t="s">
        <v>47</v>
      </c>
      <c r="D403" s="51" t="s">
        <v>505</v>
      </c>
      <c r="E403" s="51" t="s">
        <v>564</v>
      </c>
      <c r="F403" s="51"/>
      <c r="G403" s="618" t="s">
        <v>76</v>
      </c>
      <c r="H403" s="611">
        <v>0</v>
      </c>
      <c r="I403" s="611">
        <v>0</v>
      </c>
      <c r="J403" s="611">
        <v>0</v>
      </c>
      <c r="K403" s="611">
        <v>0</v>
      </c>
      <c r="L403" s="611">
        <v>1.5585141985876592</v>
      </c>
      <c r="M403" s="611">
        <v>0</v>
      </c>
      <c r="N403" s="611">
        <v>0</v>
      </c>
      <c r="O403" s="611">
        <v>0</v>
      </c>
      <c r="P403" s="611">
        <v>0</v>
      </c>
      <c r="Q403" s="611">
        <v>0</v>
      </c>
      <c r="R403" s="611">
        <v>0</v>
      </c>
      <c r="S403" s="611">
        <v>0.73341844639419274</v>
      </c>
      <c r="T403" s="611">
        <v>0</v>
      </c>
      <c r="U403" s="611">
        <v>0</v>
      </c>
      <c r="V403" s="611">
        <v>0</v>
      </c>
      <c r="W403" s="611">
        <v>53.142179326100482</v>
      </c>
      <c r="X403" s="611">
        <v>6.8645131050832768</v>
      </c>
      <c r="Y403" s="611">
        <v>0</v>
      </c>
      <c r="Z403" s="619">
        <v>62.298625076165607</v>
      </c>
      <c r="AA403" s="51"/>
    </row>
    <row r="404" spans="1:27" x14ac:dyDescent="0.25">
      <c r="A404" s="51">
        <v>26</v>
      </c>
      <c r="B404" s="51">
        <v>2038</v>
      </c>
      <c r="C404" s="51" t="s">
        <v>47</v>
      </c>
      <c r="D404" s="51" t="s">
        <v>506</v>
      </c>
      <c r="E404" s="51" t="s">
        <v>564</v>
      </c>
      <c r="F404" s="51"/>
      <c r="G404" s="614" t="s">
        <v>77</v>
      </c>
      <c r="H404" s="615">
        <v>11.34229541015625</v>
      </c>
      <c r="I404" s="615">
        <v>262.59596136173099</v>
      </c>
      <c r="J404" s="615">
        <v>-246.9918626341933</v>
      </c>
      <c r="K404" s="615">
        <v>-6.5343620522150392</v>
      </c>
      <c r="L404" s="615">
        <v>32.588511865177033</v>
      </c>
      <c r="M404" s="615">
        <v>-0.83753949174200382</v>
      </c>
      <c r="N404" s="615">
        <v>1195.3095232296764</v>
      </c>
      <c r="O404" s="615">
        <v>365.89375911344479</v>
      </c>
      <c r="P404" s="615">
        <v>295.13668922599749</v>
      </c>
      <c r="Q404" s="615">
        <v>21.365935337039947</v>
      </c>
      <c r="R404" s="615">
        <v>-60.834719408640233</v>
      </c>
      <c r="S404" s="615">
        <v>-50.103454909793264</v>
      </c>
      <c r="T404" s="615">
        <v>2.1254444378277784</v>
      </c>
      <c r="U404" s="615">
        <v>13.704488851835556</v>
      </c>
      <c r="V404" s="615">
        <v>19.762338717774639</v>
      </c>
      <c r="W404" s="615">
        <v>-653.34316932012723</v>
      </c>
      <c r="X404" s="615">
        <v>-81.661258037118799</v>
      </c>
      <c r="Y404" s="615">
        <v>-16.815094673141701</v>
      </c>
      <c r="Z404" s="615">
        <v>1102.7034870236891</v>
      </c>
      <c r="AA404" s="51"/>
    </row>
    <row r="405" spans="1:27" x14ac:dyDescent="0.25">
      <c r="A405" s="51"/>
      <c r="B405" s="51"/>
      <c r="C405" s="51"/>
      <c r="D405" s="51"/>
      <c r="E405" s="51"/>
      <c r="F405" s="51"/>
      <c r="G405" s="616"/>
      <c r="H405" s="617"/>
      <c r="I405" s="617"/>
      <c r="J405" s="617"/>
      <c r="K405" s="617"/>
      <c r="L405" s="617"/>
      <c r="M405" s="617"/>
      <c r="N405" s="617"/>
      <c r="O405" s="617"/>
      <c r="P405" s="617"/>
      <c r="Q405" s="617"/>
      <c r="R405" s="617"/>
      <c r="S405" s="617"/>
      <c r="T405" s="617"/>
      <c r="U405" s="617"/>
      <c r="V405" s="617"/>
      <c r="W405" s="617"/>
      <c r="X405" s="617"/>
      <c r="Y405" s="617"/>
      <c r="Z405" s="617"/>
      <c r="AA405" s="51"/>
    </row>
    <row r="406" spans="1:27" x14ac:dyDescent="0.25">
      <c r="A406" s="51">
        <v>28</v>
      </c>
      <c r="B406" s="51">
        <v>2038</v>
      </c>
      <c r="C406" s="51" t="s">
        <v>47</v>
      </c>
      <c r="D406" s="51" t="s">
        <v>507</v>
      </c>
      <c r="E406" s="51" t="s">
        <v>564</v>
      </c>
      <c r="F406" s="51"/>
      <c r="G406" s="618" t="s">
        <v>78</v>
      </c>
      <c r="H406" s="611">
        <v>3.0761537207031249</v>
      </c>
      <c r="I406" s="611">
        <v>0</v>
      </c>
      <c r="J406" s="611">
        <v>5.5765922403442953</v>
      </c>
      <c r="K406" s="611">
        <v>0</v>
      </c>
      <c r="L406" s="611">
        <v>40.662400138299695</v>
      </c>
      <c r="M406" s="620">
        <v>0</v>
      </c>
      <c r="N406" s="611">
        <v>0</v>
      </c>
      <c r="O406" s="611">
        <v>0</v>
      </c>
      <c r="P406" s="611">
        <v>33.949796977146278</v>
      </c>
      <c r="Q406" s="611">
        <v>14.673624099889542</v>
      </c>
      <c r="R406" s="611">
        <v>0.74906232638163317</v>
      </c>
      <c r="S406" s="611">
        <v>19.172031124418066</v>
      </c>
      <c r="T406" s="611">
        <v>13.116286132812499</v>
      </c>
      <c r="U406" s="611">
        <v>0</v>
      </c>
      <c r="V406" s="611">
        <v>7.4990210834655101E-4</v>
      </c>
      <c r="W406" s="611">
        <v>155.43207946310395</v>
      </c>
      <c r="X406" s="611">
        <v>18.541083354429741</v>
      </c>
      <c r="Y406" s="611">
        <v>8.1660629882812508</v>
      </c>
      <c r="Z406" s="619">
        <v>313.11592246791838</v>
      </c>
      <c r="AA406" s="51"/>
    </row>
    <row r="407" spans="1:27" x14ac:dyDescent="0.25">
      <c r="A407" s="51">
        <v>29</v>
      </c>
      <c r="B407" s="51">
        <v>2038</v>
      </c>
      <c r="C407" s="51" t="s">
        <v>47</v>
      </c>
      <c r="D407" s="51" t="s">
        <v>508</v>
      </c>
      <c r="E407" s="51" t="s">
        <v>564</v>
      </c>
      <c r="F407" s="51"/>
      <c r="G407" s="618" t="s">
        <v>79</v>
      </c>
      <c r="H407" s="611">
        <v>0</v>
      </c>
      <c r="I407" s="611">
        <v>0</v>
      </c>
      <c r="J407" s="611">
        <v>145.74847122117117</v>
      </c>
      <c r="K407" s="611">
        <v>0.6</v>
      </c>
      <c r="L407" s="611">
        <v>5.158710288451207</v>
      </c>
      <c r="M407" s="620">
        <v>0</v>
      </c>
      <c r="N407" s="611">
        <v>0</v>
      </c>
      <c r="O407" s="611">
        <v>0</v>
      </c>
      <c r="P407" s="611">
        <v>0</v>
      </c>
      <c r="Q407" s="611">
        <v>0</v>
      </c>
      <c r="R407" s="611">
        <v>37.983450784080269</v>
      </c>
      <c r="S407" s="611">
        <v>2.4276283710358628</v>
      </c>
      <c r="T407" s="611">
        <v>0</v>
      </c>
      <c r="U407" s="611">
        <v>0</v>
      </c>
      <c r="V407" s="611">
        <v>0</v>
      </c>
      <c r="W407" s="611">
        <v>85.093782574296696</v>
      </c>
      <c r="X407" s="611">
        <v>0</v>
      </c>
      <c r="Y407" s="611">
        <v>3.6734052555319421</v>
      </c>
      <c r="Z407" s="619">
        <v>280.68544849456714</v>
      </c>
      <c r="AA407" s="51"/>
    </row>
    <row r="408" spans="1:27" x14ac:dyDescent="0.25">
      <c r="A408" s="51">
        <v>30</v>
      </c>
      <c r="B408" s="51">
        <v>2038</v>
      </c>
      <c r="C408" s="51" t="s">
        <v>47</v>
      </c>
      <c r="D408" s="51" t="s">
        <v>509</v>
      </c>
      <c r="E408" s="51" t="s">
        <v>564</v>
      </c>
      <c r="F408" s="51"/>
      <c r="G408" s="618" t="s">
        <v>80</v>
      </c>
      <c r="H408" s="611">
        <v>0</v>
      </c>
      <c r="I408" s="611">
        <v>0</v>
      </c>
      <c r="J408" s="611">
        <v>0.65233282081855204</v>
      </c>
      <c r="K408" s="611">
        <v>0</v>
      </c>
      <c r="L408" s="611">
        <v>31.540408594559601</v>
      </c>
      <c r="M408" s="620">
        <v>0</v>
      </c>
      <c r="N408" s="611">
        <v>0</v>
      </c>
      <c r="O408" s="611">
        <v>0</v>
      </c>
      <c r="P408" s="611">
        <v>44.482071996640705</v>
      </c>
      <c r="Q408" s="611">
        <v>0</v>
      </c>
      <c r="R408" s="611">
        <v>0</v>
      </c>
      <c r="S408" s="611">
        <v>14.842545220969228</v>
      </c>
      <c r="T408" s="611">
        <v>112.39541337874105</v>
      </c>
      <c r="U408" s="611">
        <v>0</v>
      </c>
      <c r="V408" s="611">
        <v>12.382718123620883</v>
      </c>
      <c r="W408" s="611">
        <v>139.56368901150009</v>
      </c>
      <c r="X408" s="611">
        <v>39.187643210623087</v>
      </c>
      <c r="Y408" s="611">
        <v>0</v>
      </c>
      <c r="Z408" s="619">
        <v>395.04682235747322</v>
      </c>
      <c r="AA408" s="51"/>
    </row>
    <row r="409" spans="1:27" x14ac:dyDescent="0.25">
      <c r="A409" s="51">
        <v>31</v>
      </c>
      <c r="B409" s="51">
        <v>2038</v>
      </c>
      <c r="C409" s="51" t="s">
        <v>47</v>
      </c>
      <c r="D409" s="51" t="s">
        <v>510</v>
      </c>
      <c r="E409" s="51" t="s">
        <v>564</v>
      </c>
      <c r="F409" s="51"/>
      <c r="G409" s="618" t="s">
        <v>81</v>
      </c>
      <c r="H409" s="611">
        <v>0</v>
      </c>
      <c r="I409" s="611">
        <v>0</v>
      </c>
      <c r="J409" s="611">
        <v>1.3203792248903068</v>
      </c>
      <c r="K409" s="611">
        <v>0</v>
      </c>
      <c r="L409" s="611">
        <v>19.72475876939005</v>
      </c>
      <c r="M409" s="620">
        <v>0</v>
      </c>
      <c r="N409" s="611">
        <v>0</v>
      </c>
      <c r="O409" s="611">
        <v>0</v>
      </c>
      <c r="P409" s="611">
        <v>0.55939285776182701</v>
      </c>
      <c r="Q409" s="611">
        <v>0</v>
      </c>
      <c r="R409" s="611">
        <v>0</v>
      </c>
      <c r="S409" s="611">
        <v>9.2822394208894377</v>
      </c>
      <c r="T409" s="611">
        <v>57.09511271168541</v>
      </c>
      <c r="U409" s="611">
        <v>0</v>
      </c>
      <c r="V409" s="611">
        <v>7.7138863912634452</v>
      </c>
      <c r="W409" s="611">
        <v>124.11626597051145</v>
      </c>
      <c r="X409" s="611">
        <v>23.93250004654001</v>
      </c>
      <c r="Y409" s="611">
        <v>0</v>
      </c>
      <c r="Z409" s="619">
        <v>243.74453539293194</v>
      </c>
      <c r="AA409" s="51"/>
    </row>
    <row r="410" spans="1:27" x14ac:dyDescent="0.25">
      <c r="A410" s="51">
        <v>32</v>
      </c>
      <c r="B410" s="51">
        <v>2038</v>
      </c>
      <c r="C410" s="51" t="s">
        <v>47</v>
      </c>
      <c r="D410" s="51" t="s">
        <v>511</v>
      </c>
      <c r="E410" s="51" t="s">
        <v>564</v>
      </c>
      <c r="F410" s="51"/>
      <c r="G410" s="618" t="s">
        <v>82</v>
      </c>
      <c r="H410" s="611">
        <v>0</v>
      </c>
      <c r="I410" s="611">
        <v>0</v>
      </c>
      <c r="J410" s="611">
        <v>17.072371941732264</v>
      </c>
      <c r="K410" s="611">
        <v>0</v>
      </c>
      <c r="L410" s="611">
        <v>0.9182073287540522</v>
      </c>
      <c r="M410" s="620">
        <v>0</v>
      </c>
      <c r="N410" s="611">
        <v>0</v>
      </c>
      <c r="O410" s="611">
        <v>0</v>
      </c>
      <c r="P410" s="611">
        <v>14.623275458181073</v>
      </c>
      <c r="Q410" s="611">
        <v>0</v>
      </c>
      <c r="R410" s="611">
        <v>6.5072970956675134</v>
      </c>
      <c r="S410" s="611">
        <v>0.43209756647249531</v>
      </c>
      <c r="T410" s="611">
        <v>0.9</v>
      </c>
      <c r="U410" s="611">
        <v>0</v>
      </c>
      <c r="V410" s="611">
        <v>1.1655332190637568</v>
      </c>
      <c r="W410" s="611">
        <v>9.1593739040126536</v>
      </c>
      <c r="X410" s="611">
        <v>0</v>
      </c>
      <c r="Y410" s="611">
        <v>0.38638525521088363</v>
      </c>
      <c r="Z410" s="619">
        <v>51.164541769094683</v>
      </c>
      <c r="AA410" s="51"/>
    </row>
    <row r="411" spans="1:27" x14ac:dyDescent="0.25">
      <c r="A411" s="51">
        <v>33</v>
      </c>
      <c r="B411" s="51">
        <v>2038</v>
      </c>
      <c r="C411" s="51" t="s">
        <v>47</v>
      </c>
      <c r="D411" s="51" t="s">
        <v>512</v>
      </c>
      <c r="E411" s="51" t="s">
        <v>564</v>
      </c>
      <c r="F411" s="51"/>
      <c r="G411" s="618" t="s">
        <v>354</v>
      </c>
      <c r="H411" s="611">
        <v>0</v>
      </c>
      <c r="I411" s="611">
        <v>0</v>
      </c>
      <c r="J411" s="611">
        <v>0</v>
      </c>
      <c r="K411" s="611">
        <v>0</v>
      </c>
      <c r="L411" s="611">
        <v>0</v>
      </c>
      <c r="M411" s="611">
        <v>0</v>
      </c>
      <c r="N411" s="611">
        <v>0</v>
      </c>
      <c r="O411" s="611">
        <v>0</v>
      </c>
      <c r="P411" s="611">
        <v>0</v>
      </c>
      <c r="Q411" s="611">
        <v>0</v>
      </c>
      <c r="R411" s="611">
        <v>0</v>
      </c>
      <c r="S411" s="611">
        <v>0</v>
      </c>
      <c r="T411" s="611">
        <v>0</v>
      </c>
      <c r="U411" s="611">
        <v>0</v>
      </c>
      <c r="V411" s="611">
        <v>0</v>
      </c>
      <c r="W411" s="611">
        <v>5.0069980166788737</v>
      </c>
      <c r="X411" s="611">
        <v>0</v>
      </c>
      <c r="Y411" s="611">
        <v>0</v>
      </c>
      <c r="Z411" s="619">
        <v>5.0069980166788737</v>
      </c>
      <c r="AA411" s="51"/>
    </row>
    <row r="412" spans="1:27" x14ac:dyDescent="0.25">
      <c r="A412" s="51">
        <v>34</v>
      </c>
      <c r="B412" s="51">
        <v>2038</v>
      </c>
      <c r="C412" s="51" t="s">
        <v>47</v>
      </c>
      <c r="D412" s="51" t="s">
        <v>513</v>
      </c>
      <c r="E412" s="51" t="s">
        <v>564</v>
      </c>
      <c r="F412" s="51"/>
      <c r="G412" s="614" t="s">
        <v>83</v>
      </c>
      <c r="H412" s="615">
        <v>3.0761537207031249</v>
      </c>
      <c r="I412" s="615">
        <v>0</v>
      </c>
      <c r="J412" s="615">
        <v>170.37014744895657</v>
      </c>
      <c r="K412" s="615">
        <v>0.6</v>
      </c>
      <c r="L412" s="615">
        <v>98.0044851194546</v>
      </c>
      <c r="M412" s="615">
        <v>0</v>
      </c>
      <c r="N412" s="615">
        <v>0</v>
      </c>
      <c r="O412" s="615">
        <v>0</v>
      </c>
      <c r="P412" s="615">
        <v>93.614537289729867</v>
      </c>
      <c r="Q412" s="615">
        <v>14.673624099889542</v>
      </c>
      <c r="R412" s="615">
        <v>45.239810206129413</v>
      </c>
      <c r="S412" s="615">
        <v>46.156541703785088</v>
      </c>
      <c r="T412" s="615">
        <v>183.50681222323897</v>
      </c>
      <c r="U412" s="615">
        <v>0</v>
      </c>
      <c r="V412" s="615">
        <v>21.26288763605643</v>
      </c>
      <c r="W412" s="615">
        <v>518.37218894010368</v>
      </c>
      <c r="X412" s="615">
        <v>81.661226611592838</v>
      </c>
      <c r="Y412" s="615">
        <v>12.225853499024078</v>
      </c>
      <c r="Z412" s="615">
        <v>1288.7642684986643</v>
      </c>
      <c r="AA412" s="51"/>
    </row>
    <row r="413" spans="1:27" x14ac:dyDescent="0.25">
      <c r="A413" s="51">
        <v>35</v>
      </c>
      <c r="B413" s="51">
        <v>2038</v>
      </c>
      <c r="C413" s="51" t="s">
        <v>47</v>
      </c>
      <c r="D413" s="51" t="s">
        <v>514</v>
      </c>
      <c r="E413" s="51" t="s">
        <v>564</v>
      </c>
      <c r="F413" s="51"/>
      <c r="G413" s="610" t="s">
        <v>84</v>
      </c>
      <c r="H413" s="611">
        <v>0</v>
      </c>
      <c r="I413" s="611">
        <v>0</v>
      </c>
      <c r="J413" s="611">
        <v>99.327256084870257</v>
      </c>
      <c r="K413" s="611">
        <v>4.191618662774065</v>
      </c>
      <c r="L413" s="611">
        <v>10.266548423900431</v>
      </c>
      <c r="M413" s="611">
        <v>0</v>
      </c>
      <c r="N413" s="611">
        <v>0</v>
      </c>
      <c r="O413" s="611">
        <v>0</v>
      </c>
      <c r="P413" s="720">
        <v>0.40307431112224057</v>
      </c>
      <c r="Q413" s="611">
        <v>0</v>
      </c>
      <c r="R413" s="611">
        <v>7.1311140179639878</v>
      </c>
      <c r="S413" s="611">
        <v>2.7297462690537722</v>
      </c>
      <c r="T413" s="611">
        <v>0</v>
      </c>
      <c r="U413" s="611">
        <v>0</v>
      </c>
      <c r="V413" s="611">
        <v>0</v>
      </c>
      <c r="W413" s="611">
        <v>0</v>
      </c>
      <c r="X413" s="611">
        <v>0</v>
      </c>
      <c r="Y413" s="611">
        <v>1.8389046746495097</v>
      </c>
      <c r="Z413" s="619">
        <v>125.88826244433426</v>
      </c>
      <c r="AA413" s="51"/>
    </row>
    <row r="414" spans="1:27" x14ac:dyDescent="0.25">
      <c r="A414" s="51">
        <v>36</v>
      </c>
      <c r="B414" s="51">
        <v>2038</v>
      </c>
      <c r="C414" s="51" t="s">
        <v>47</v>
      </c>
      <c r="D414" s="51" t="s">
        <v>515</v>
      </c>
      <c r="E414" s="51" t="s">
        <v>564</v>
      </c>
      <c r="F414" s="51"/>
      <c r="G414" s="614" t="s">
        <v>85</v>
      </c>
      <c r="H414" s="615">
        <v>3.0761537207031249</v>
      </c>
      <c r="I414" s="615">
        <v>0</v>
      </c>
      <c r="J414" s="615">
        <v>269.69740353382684</v>
      </c>
      <c r="K414" s="615">
        <v>4.7916186627740647</v>
      </c>
      <c r="L414" s="615">
        <v>108.27103354335503</v>
      </c>
      <c r="M414" s="615">
        <v>0</v>
      </c>
      <c r="N414" s="615">
        <v>0</v>
      </c>
      <c r="O414" s="615">
        <v>0</v>
      </c>
      <c r="P414" s="615">
        <v>94.017611600852106</v>
      </c>
      <c r="Q414" s="615">
        <v>14.673624099889542</v>
      </c>
      <c r="R414" s="615">
        <v>52.3709242240934</v>
      </c>
      <c r="S414" s="615">
        <v>48.886287972838858</v>
      </c>
      <c r="T414" s="615">
        <v>183.50681222323897</v>
      </c>
      <c r="U414" s="615">
        <v>0</v>
      </c>
      <c r="V414" s="615">
        <v>21.26288763605643</v>
      </c>
      <c r="W414" s="615">
        <v>518.37218894010368</v>
      </c>
      <c r="X414" s="615">
        <v>81.661226611592838</v>
      </c>
      <c r="Y414" s="615">
        <v>14.064758173673587</v>
      </c>
      <c r="Z414" s="615">
        <v>1414.6525309429985</v>
      </c>
      <c r="AA414" s="51"/>
    </row>
    <row r="415" spans="1:27" x14ac:dyDescent="0.25">
      <c r="A415" s="51"/>
      <c r="B415" s="51"/>
      <c r="C415" s="51"/>
      <c r="D415" s="51"/>
      <c r="E415" s="51"/>
      <c r="F415" s="51"/>
      <c r="G415" s="51"/>
      <c r="H415" s="67">
        <v>0</v>
      </c>
      <c r="I415" s="67">
        <v>0</v>
      </c>
      <c r="J415" s="67">
        <v>0</v>
      </c>
      <c r="K415" s="67">
        <v>0</v>
      </c>
      <c r="L415" s="67">
        <v>0</v>
      </c>
      <c r="M415" s="67">
        <v>0</v>
      </c>
      <c r="N415" s="67">
        <v>0</v>
      </c>
      <c r="O415" s="67">
        <v>0</v>
      </c>
      <c r="P415" s="67">
        <v>0</v>
      </c>
      <c r="Q415" s="67">
        <v>0</v>
      </c>
      <c r="R415" s="67">
        <v>0</v>
      </c>
      <c r="S415" s="67">
        <v>2.4424906541753444E-15</v>
      </c>
      <c r="T415" s="67">
        <v>0</v>
      </c>
      <c r="U415" s="67">
        <v>0</v>
      </c>
      <c r="V415" s="67">
        <v>0</v>
      </c>
      <c r="W415" s="67">
        <v>0</v>
      </c>
      <c r="X415" s="721">
        <v>-3.1425525961026324E-5</v>
      </c>
      <c r="Y415" s="67">
        <v>-5.3290705182007514E-15</v>
      </c>
      <c r="Z415" s="67">
        <v>-3.1425525776285212E-5</v>
      </c>
      <c r="AA415" s="51"/>
    </row>
    <row r="416" spans="1:27" x14ac:dyDescent="0.25">
      <c r="A416" s="51"/>
      <c r="B416" s="51"/>
      <c r="C416" s="51"/>
      <c r="D416" s="51"/>
      <c r="E416" s="51"/>
      <c r="F416" s="51"/>
      <c r="G416" s="51"/>
      <c r="H416" s="51"/>
      <c r="I416" s="51"/>
      <c r="J416" s="51"/>
      <c r="K416" s="67"/>
      <c r="L416" s="51"/>
      <c r="M416" s="51"/>
      <c r="N416" s="51"/>
      <c r="O416" s="51"/>
      <c r="P416" s="51"/>
      <c r="Q416" s="51"/>
      <c r="R416" s="51"/>
      <c r="S416" s="51"/>
      <c r="T416" s="51"/>
      <c r="U416" s="51"/>
      <c r="V416" s="51"/>
      <c r="W416" s="51"/>
      <c r="X416" s="51"/>
      <c r="Y416" s="51"/>
      <c r="Z416" s="51"/>
      <c r="AA416" s="51"/>
    </row>
    <row r="417" spans="1:27" x14ac:dyDescent="0.25">
      <c r="A417" s="606"/>
      <c r="B417" s="606"/>
      <c r="C417" s="606"/>
      <c r="D417" s="606"/>
      <c r="E417" s="606"/>
      <c r="F417" s="606"/>
      <c r="G417" s="607" t="s">
        <v>360</v>
      </c>
      <c r="H417" s="606"/>
      <c r="I417" s="606"/>
      <c r="J417" s="606"/>
      <c r="K417" s="682"/>
      <c r="L417" s="606"/>
      <c r="M417" s="606"/>
      <c r="N417" s="606"/>
      <c r="O417" s="606"/>
      <c r="P417" s="606"/>
      <c r="Q417" s="606"/>
      <c r="R417" s="606"/>
      <c r="S417" s="606"/>
      <c r="T417" s="606"/>
      <c r="U417" s="606"/>
      <c r="V417" s="606"/>
      <c r="W417" s="606"/>
      <c r="X417" s="606"/>
      <c r="Y417" s="606"/>
      <c r="Z417" s="606"/>
      <c r="AA417" s="606"/>
    </row>
    <row r="418" spans="1:27" x14ac:dyDescent="0.25">
      <c r="A418" s="51"/>
      <c r="B418" s="51"/>
      <c r="C418" s="51"/>
      <c r="D418" s="51"/>
      <c r="E418" s="51"/>
      <c r="F418" s="51"/>
      <c r="G418" s="51"/>
      <c r="H418" s="51"/>
      <c r="I418" s="51"/>
      <c r="J418" s="51"/>
      <c r="K418" s="67"/>
      <c r="L418" s="51"/>
      <c r="M418" s="51"/>
      <c r="N418" s="51"/>
      <c r="O418" s="51"/>
      <c r="P418" s="51"/>
      <c r="Q418" s="51"/>
      <c r="R418" s="51"/>
      <c r="S418" s="51"/>
      <c r="T418" s="51"/>
      <c r="U418" s="51"/>
      <c r="V418" s="51"/>
      <c r="W418" s="51"/>
      <c r="X418" s="51"/>
      <c r="Y418" s="51"/>
      <c r="Z418" s="51"/>
      <c r="AA418" s="51"/>
    </row>
    <row r="419" spans="1:27" x14ac:dyDescent="0.25">
      <c r="A419" s="51"/>
      <c r="B419" s="51"/>
      <c r="C419" s="51"/>
      <c r="D419" s="51"/>
      <c r="E419" s="51"/>
      <c r="F419" s="51"/>
      <c r="G419" s="764" t="s">
        <v>128</v>
      </c>
      <c r="H419" s="753" t="s">
        <v>42</v>
      </c>
      <c r="I419" s="753" t="s">
        <v>52</v>
      </c>
      <c r="J419" s="753" t="s">
        <v>53</v>
      </c>
      <c r="K419" s="766" t="s">
        <v>482</v>
      </c>
      <c r="L419" s="753" t="s">
        <v>32</v>
      </c>
      <c r="M419" s="753" t="s">
        <v>483</v>
      </c>
      <c r="N419" s="753" t="s">
        <v>20</v>
      </c>
      <c r="O419" s="753" t="s">
        <v>55</v>
      </c>
      <c r="P419" s="761" t="s">
        <v>56</v>
      </c>
      <c r="Q419" s="762"/>
      <c r="R419" s="762"/>
      <c r="S419" s="762"/>
      <c r="T419" s="762"/>
      <c r="U419" s="762"/>
      <c r="V419" s="763"/>
      <c r="W419" s="753" t="s">
        <v>57</v>
      </c>
      <c r="X419" s="753" t="s">
        <v>58</v>
      </c>
      <c r="Y419" s="753" t="s">
        <v>31</v>
      </c>
      <c r="Z419" s="753" t="s">
        <v>10</v>
      </c>
      <c r="AA419" s="51"/>
    </row>
    <row r="420" spans="1:27" ht="36" x14ac:dyDescent="0.25">
      <c r="A420" s="51"/>
      <c r="B420" s="51"/>
      <c r="C420" s="51"/>
      <c r="D420" s="51" t="s">
        <v>486</v>
      </c>
      <c r="E420" s="51"/>
      <c r="F420" s="51"/>
      <c r="G420" s="765"/>
      <c r="H420" s="754"/>
      <c r="I420" s="754"/>
      <c r="J420" s="754"/>
      <c r="K420" s="767"/>
      <c r="L420" s="754"/>
      <c r="M420" s="754"/>
      <c r="N420" s="754"/>
      <c r="O420" s="754"/>
      <c r="P420" s="608" t="s">
        <v>335</v>
      </c>
      <c r="Q420" s="608" t="s">
        <v>40</v>
      </c>
      <c r="R420" s="608" t="s">
        <v>343</v>
      </c>
      <c r="S420" s="608" t="s">
        <v>344</v>
      </c>
      <c r="T420" s="609" t="s">
        <v>345</v>
      </c>
      <c r="U420" s="609" t="s">
        <v>609</v>
      </c>
      <c r="V420" s="608" t="s">
        <v>346</v>
      </c>
      <c r="W420" s="754"/>
      <c r="X420" s="754"/>
      <c r="Y420" s="754"/>
      <c r="Z420" s="754"/>
      <c r="AA420" s="51"/>
    </row>
    <row r="421" spans="1:27" x14ac:dyDescent="0.25">
      <c r="A421" s="51">
        <v>6</v>
      </c>
      <c r="B421" s="51">
        <v>2040</v>
      </c>
      <c r="C421" s="51" t="s">
        <v>47</v>
      </c>
      <c r="D421" s="51" t="s">
        <v>487</v>
      </c>
      <c r="E421" s="51" t="s">
        <v>564</v>
      </c>
      <c r="F421" s="51"/>
      <c r="G421" s="610" t="s">
        <v>59</v>
      </c>
      <c r="H421" s="611">
        <v>0</v>
      </c>
      <c r="I421" s="611">
        <v>0</v>
      </c>
      <c r="J421" s="611">
        <v>0</v>
      </c>
      <c r="K421" s="611">
        <v>0</v>
      </c>
      <c r="L421" s="611">
        <v>0</v>
      </c>
      <c r="M421" s="611">
        <v>0</v>
      </c>
      <c r="N421" s="612">
        <v>1217.0191975370376</v>
      </c>
      <c r="O421" s="612">
        <v>401.95272747163949</v>
      </c>
      <c r="P421" s="611">
        <v>348.99633312646591</v>
      </c>
      <c r="Q421" s="612">
        <v>34.662497261348548</v>
      </c>
      <c r="R421" s="611">
        <v>0</v>
      </c>
      <c r="S421" s="611">
        <v>0</v>
      </c>
      <c r="T421" s="612">
        <v>203.46735272505603</v>
      </c>
      <c r="U421" s="612">
        <v>13.438307569029631</v>
      </c>
      <c r="V421" s="612">
        <v>45.472668818438223</v>
      </c>
      <c r="W421" s="611">
        <v>0</v>
      </c>
      <c r="X421" s="611">
        <v>0</v>
      </c>
      <c r="Y421" s="611">
        <v>0</v>
      </c>
      <c r="Z421" s="613">
        <v>2265.0090845090158</v>
      </c>
      <c r="AA421" s="51"/>
    </row>
    <row r="422" spans="1:27" x14ac:dyDescent="0.25">
      <c r="A422" s="51">
        <v>7</v>
      </c>
      <c r="B422" s="51">
        <v>2040</v>
      </c>
      <c r="C422" s="51" t="s">
        <v>47</v>
      </c>
      <c r="D422" s="51" t="s">
        <v>488</v>
      </c>
      <c r="E422" s="51" t="s">
        <v>564</v>
      </c>
      <c r="F422" s="51"/>
      <c r="G422" s="610" t="s">
        <v>60</v>
      </c>
      <c r="H422" s="611">
        <v>13.187004248046874</v>
      </c>
      <c r="I422" s="611">
        <v>228.52698065701114</v>
      </c>
      <c r="J422" s="611">
        <v>47.431411781188189</v>
      </c>
      <c r="K422" s="611">
        <v>7.1251024591247543</v>
      </c>
      <c r="L422" s="620">
        <v>101.53127814196039</v>
      </c>
      <c r="M422" s="611">
        <v>0</v>
      </c>
      <c r="N422" s="611">
        <v>0</v>
      </c>
      <c r="O422" s="611">
        <v>0</v>
      </c>
      <c r="P422" s="611">
        <v>38.320740575903244</v>
      </c>
      <c r="Q422" s="611">
        <v>0</v>
      </c>
      <c r="R422" s="611">
        <v>5.3785531304558418</v>
      </c>
      <c r="S422" s="611">
        <v>0</v>
      </c>
      <c r="T422" s="611">
        <v>0</v>
      </c>
      <c r="U422" s="611">
        <v>0</v>
      </c>
      <c r="V422" s="611">
        <v>0</v>
      </c>
      <c r="W422" s="611">
        <v>0</v>
      </c>
      <c r="X422" s="611">
        <v>0</v>
      </c>
      <c r="Y422" s="611">
        <v>0</v>
      </c>
      <c r="Z422" s="613">
        <v>441.5010709936904</v>
      </c>
      <c r="AA422" s="51"/>
    </row>
    <row r="423" spans="1:27" x14ac:dyDescent="0.25">
      <c r="A423" s="51">
        <v>8</v>
      </c>
      <c r="B423" s="51">
        <v>2040</v>
      </c>
      <c r="C423" s="51" t="s">
        <v>47</v>
      </c>
      <c r="D423" s="51" t="s">
        <v>489</v>
      </c>
      <c r="E423" s="51" t="s">
        <v>564</v>
      </c>
      <c r="F423" s="51"/>
      <c r="G423" s="610" t="s">
        <v>61</v>
      </c>
      <c r="H423" s="611">
        <v>0</v>
      </c>
      <c r="I423" s="611">
        <v>0</v>
      </c>
      <c r="J423" s="611">
        <v>0</v>
      </c>
      <c r="K423" s="611">
        <v>0</v>
      </c>
      <c r="L423" s="611">
        <v>0</v>
      </c>
      <c r="M423" s="611">
        <v>0</v>
      </c>
      <c r="N423" s="611">
        <v>0</v>
      </c>
      <c r="O423" s="611">
        <v>0</v>
      </c>
      <c r="P423" s="611">
        <v>0</v>
      </c>
      <c r="Q423" s="611">
        <v>0</v>
      </c>
      <c r="R423" s="611">
        <v>0</v>
      </c>
      <c r="S423" s="611">
        <v>0</v>
      </c>
      <c r="T423" s="611">
        <v>0</v>
      </c>
      <c r="U423" s="611">
        <v>0</v>
      </c>
      <c r="V423" s="611">
        <v>0</v>
      </c>
      <c r="W423" s="611">
        <v>-139.79677965170231</v>
      </c>
      <c r="X423" s="611">
        <v>0</v>
      </c>
      <c r="Y423" s="611">
        <v>0</v>
      </c>
      <c r="Z423" s="613">
        <v>-139.79677965170231</v>
      </c>
      <c r="AA423" s="51"/>
    </row>
    <row r="424" spans="1:27" x14ac:dyDescent="0.25">
      <c r="A424" s="51">
        <v>9</v>
      </c>
      <c r="B424" s="51">
        <v>2040</v>
      </c>
      <c r="C424" s="51" t="s">
        <v>47</v>
      </c>
      <c r="D424" s="51" t="s">
        <v>490</v>
      </c>
      <c r="E424" s="51" t="s">
        <v>564</v>
      </c>
      <c r="F424" s="51"/>
      <c r="G424" s="610" t="s">
        <v>62</v>
      </c>
      <c r="H424" s="611">
        <v>0</v>
      </c>
      <c r="I424" s="611">
        <v>0</v>
      </c>
      <c r="J424" s="611">
        <v>-5.9348855093326982</v>
      </c>
      <c r="K424" s="611">
        <v>-0.99259685127624486</v>
      </c>
      <c r="L424" s="611">
        <v>0</v>
      </c>
      <c r="M424" s="611">
        <v>-0.99259685127624475</v>
      </c>
      <c r="N424" s="611">
        <v>0</v>
      </c>
      <c r="O424" s="611">
        <v>0</v>
      </c>
      <c r="P424" s="611">
        <v>0</v>
      </c>
      <c r="Q424" s="611">
        <v>0</v>
      </c>
      <c r="R424" s="611">
        <v>0</v>
      </c>
      <c r="S424" s="611">
        <v>-1.3642017969458513</v>
      </c>
      <c r="T424" s="611">
        <v>0</v>
      </c>
      <c r="U424" s="611">
        <v>0</v>
      </c>
      <c r="V424" s="611">
        <v>0</v>
      </c>
      <c r="W424" s="611">
        <v>0</v>
      </c>
      <c r="X424" s="611">
        <v>0</v>
      </c>
      <c r="Y424" s="611">
        <v>-0.66413311470232494</v>
      </c>
      <c r="Z424" s="613">
        <v>-9.9484141235333645</v>
      </c>
      <c r="AA424" s="51"/>
    </row>
    <row r="425" spans="1:27" x14ac:dyDescent="0.25">
      <c r="A425" s="51">
        <v>10</v>
      </c>
      <c r="B425" s="51">
        <v>2040</v>
      </c>
      <c r="C425" s="51" t="s">
        <v>47</v>
      </c>
      <c r="D425" s="51" t="s">
        <v>491</v>
      </c>
      <c r="E425" s="51" t="s">
        <v>564</v>
      </c>
      <c r="F425" s="51"/>
      <c r="G425" s="610" t="s">
        <v>63</v>
      </c>
      <c r="H425" s="611">
        <v>0</v>
      </c>
      <c r="I425" s="611">
        <v>0</v>
      </c>
      <c r="J425" s="611">
        <v>-40</v>
      </c>
      <c r="K425" s="611">
        <v>-8</v>
      </c>
      <c r="L425" s="611">
        <v>0</v>
      </c>
      <c r="M425" s="611">
        <v>0</v>
      </c>
      <c r="N425" s="611">
        <v>0</v>
      </c>
      <c r="O425" s="611">
        <v>0</v>
      </c>
      <c r="P425" s="611">
        <v>0</v>
      </c>
      <c r="Q425" s="611">
        <v>0</v>
      </c>
      <c r="R425" s="611">
        <v>-15</v>
      </c>
      <c r="S425" s="611">
        <v>0</v>
      </c>
      <c r="T425" s="611">
        <v>0</v>
      </c>
      <c r="U425" s="611">
        <v>0</v>
      </c>
      <c r="V425" s="611">
        <v>0</v>
      </c>
      <c r="W425" s="611">
        <v>0</v>
      </c>
      <c r="X425" s="611">
        <v>0</v>
      </c>
      <c r="Y425" s="611">
        <v>-3.0000000000000004</v>
      </c>
      <c r="Z425" s="613">
        <v>-66</v>
      </c>
      <c r="AA425" s="51"/>
    </row>
    <row r="426" spans="1:27" x14ac:dyDescent="0.25">
      <c r="A426" s="51">
        <v>11</v>
      </c>
      <c r="B426" s="51">
        <v>2040</v>
      </c>
      <c r="C426" s="51" t="s">
        <v>47</v>
      </c>
      <c r="D426" s="51" t="s">
        <v>492</v>
      </c>
      <c r="E426" s="51" t="s">
        <v>564</v>
      </c>
      <c r="F426" s="51"/>
      <c r="G426" s="610" t="s">
        <v>64</v>
      </c>
      <c r="H426" s="611">
        <v>0</v>
      </c>
      <c r="I426" s="611">
        <v>0</v>
      </c>
      <c r="J426" s="611">
        <v>0</v>
      </c>
      <c r="K426" s="611">
        <v>0</v>
      </c>
      <c r="L426" s="611">
        <v>0</v>
      </c>
      <c r="M426" s="611">
        <v>0</v>
      </c>
      <c r="N426" s="611">
        <v>0</v>
      </c>
      <c r="O426" s="611">
        <v>0</v>
      </c>
      <c r="P426" s="611">
        <v>0</v>
      </c>
      <c r="Q426" s="611">
        <v>0</v>
      </c>
      <c r="R426" s="611">
        <v>0</v>
      </c>
      <c r="S426" s="611">
        <v>0</v>
      </c>
      <c r="T426" s="611">
        <v>0</v>
      </c>
      <c r="U426" s="611">
        <v>0</v>
      </c>
      <c r="V426" s="611">
        <v>0</v>
      </c>
      <c r="W426" s="611">
        <v>0</v>
      </c>
      <c r="X426" s="611">
        <v>0</v>
      </c>
      <c r="Y426" s="611">
        <v>0</v>
      </c>
      <c r="Z426" s="613">
        <v>0</v>
      </c>
      <c r="AA426" s="51"/>
    </row>
    <row r="427" spans="1:27" x14ac:dyDescent="0.25">
      <c r="A427" s="51">
        <v>12</v>
      </c>
      <c r="B427" s="51">
        <v>2040</v>
      </c>
      <c r="C427" s="51" t="s">
        <v>47</v>
      </c>
      <c r="D427" s="51" t="s">
        <v>493</v>
      </c>
      <c r="E427" s="51" t="s">
        <v>564</v>
      </c>
      <c r="F427" s="51"/>
      <c r="G427" s="614" t="s">
        <v>65</v>
      </c>
      <c r="H427" s="615">
        <v>13.187004248046874</v>
      </c>
      <c r="I427" s="615">
        <v>228.52698065701114</v>
      </c>
      <c r="J427" s="615">
        <v>1.4965262718554868</v>
      </c>
      <c r="K427" s="615">
        <v>-1.8674943921514906</v>
      </c>
      <c r="L427" s="615">
        <v>101.53127814196039</v>
      </c>
      <c r="M427" s="615">
        <v>-0.99259685127624475</v>
      </c>
      <c r="N427" s="615">
        <v>1217.0191975370376</v>
      </c>
      <c r="O427" s="615">
        <v>401.95272747163949</v>
      </c>
      <c r="P427" s="615">
        <v>387.31707370236916</v>
      </c>
      <c r="Q427" s="615">
        <v>34.662497261348548</v>
      </c>
      <c r="R427" s="615">
        <v>-9.6214468695441582</v>
      </c>
      <c r="S427" s="615">
        <v>-1.3642017969458513</v>
      </c>
      <c r="T427" s="615">
        <v>203.46735272505603</v>
      </c>
      <c r="U427" s="615">
        <v>13.438307569029631</v>
      </c>
      <c r="V427" s="615">
        <v>45.472668818438223</v>
      </c>
      <c r="W427" s="615">
        <v>-139.79677965170231</v>
      </c>
      <c r="X427" s="615">
        <v>0</v>
      </c>
      <c r="Y427" s="615">
        <v>-3.6641331147023255</v>
      </c>
      <c r="Z427" s="615">
        <v>2490.7649617274706</v>
      </c>
      <c r="AA427" s="51"/>
    </row>
    <row r="428" spans="1:27" x14ac:dyDescent="0.25">
      <c r="A428" s="51"/>
      <c r="B428" s="51"/>
      <c r="C428" s="51"/>
      <c r="D428" s="51"/>
      <c r="E428" s="51"/>
      <c r="F428" s="51"/>
      <c r="G428" s="616"/>
      <c r="H428" s="617"/>
      <c r="I428" s="617"/>
      <c r="J428" s="617"/>
      <c r="K428" s="617"/>
      <c r="L428" s="617"/>
      <c r="M428" s="617"/>
      <c r="N428" s="617"/>
      <c r="O428" s="617"/>
      <c r="P428" s="617"/>
      <c r="Q428" s="617"/>
      <c r="R428" s="617"/>
      <c r="S428" s="617"/>
      <c r="T428" s="617"/>
      <c r="U428" s="617"/>
      <c r="V428" s="617"/>
      <c r="W428" s="617"/>
      <c r="X428" s="617"/>
      <c r="Y428" s="617"/>
      <c r="Z428" s="617"/>
      <c r="AA428" s="51"/>
    </row>
    <row r="429" spans="1:27" x14ac:dyDescent="0.25">
      <c r="A429" s="51">
        <v>14</v>
      </c>
      <c r="B429" s="51">
        <v>2040</v>
      </c>
      <c r="C429" s="51" t="s">
        <v>47</v>
      </c>
      <c r="D429" s="51" t="s">
        <v>494</v>
      </c>
      <c r="E429" s="51" t="s">
        <v>564</v>
      </c>
      <c r="F429" s="51"/>
      <c r="G429" s="618" t="s">
        <v>67</v>
      </c>
      <c r="H429" s="611">
        <v>0</v>
      </c>
      <c r="I429" s="611">
        <v>0</v>
      </c>
      <c r="J429" s="611">
        <v>0</v>
      </c>
      <c r="K429" s="611">
        <v>0</v>
      </c>
      <c r="L429" s="611">
        <v>0</v>
      </c>
      <c r="M429" s="611">
        <v>0</v>
      </c>
      <c r="N429" s="611">
        <v>0</v>
      </c>
      <c r="O429" s="611">
        <v>0</v>
      </c>
      <c r="P429" s="611">
        <v>0</v>
      </c>
      <c r="Q429" s="611">
        <v>0</v>
      </c>
      <c r="R429" s="611">
        <v>0</v>
      </c>
      <c r="S429" s="611">
        <v>0</v>
      </c>
      <c r="T429" s="611">
        <v>0</v>
      </c>
      <c r="U429" s="611">
        <v>0</v>
      </c>
      <c r="V429" s="611">
        <v>0</v>
      </c>
      <c r="W429" s="611">
        <v>0</v>
      </c>
      <c r="X429" s="611">
        <v>0</v>
      </c>
      <c r="Y429" s="611">
        <v>0</v>
      </c>
      <c r="Z429" s="619">
        <v>0</v>
      </c>
      <c r="AA429" s="51"/>
    </row>
    <row r="430" spans="1:27" x14ac:dyDescent="0.25">
      <c r="A430" s="51">
        <v>15</v>
      </c>
      <c r="B430" s="51">
        <v>2040</v>
      </c>
      <c r="C430" s="51" t="s">
        <v>47</v>
      </c>
      <c r="D430" s="51" t="s">
        <v>495</v>
      </c>
      <c r="E430" s="51" t="s">
        <v>564</v>
      </c>
      <c r="F430" s="51"/>
      <c r="G430" s="618" t="s">
        <v>347</v>
      </c>
      <c r="H430" s="611">
        <v>0</v>
      </c>
      <c r="I430" s="611">
        <v>0</v>
      </c>
      <c r="J430" s="611">
        <v>6.6151953400033478E-2</v>
      </c>
      <c r="K430" s="611">
        <v>0</v>
      </c>
      <c r="L430" s="611">
        <v>2.4867213913043404E-3</v>
      </c>
      <c r="M430" s="611">
        <v>0</v>
      </c>
      <c r="N430" s="611">
        <v>1213.9369090909088</v>
      </c>
      <c r="O430" s="611">
        <v>401.95272747163949</v>
      </c>
      <c r="P430" s="611">
        <v>17.017668649842719</v>
      </c>
      <c r="Q430" s="611">
        <v>5.6140827483355249</v>
      </c>
      <c r="R430" s="611">
        <v>5.6269378379330357</v>
      </c>
      <c r="S430" s="611">
        <v>0.11555796351278441</v>
      </c>
      <c r="T430" s="611">
        <v>0</v>
      </c>
      <c r="U430" s="611">
        <v>0</v>
      </c>
      <c r="V430" s="611">
        <v>6.4327567473291545</v>
      </c>
      <c r="W430" s="611">
        <v>-818.42246732054593</v>
      </c>
      <c r="X430" s="611">
        <v>0</v>
      </c>
      <c r="Y430" s="611">
        <v>0</v>
      </c>
      <c r="Z430" s="619">
        <v>832.34281186374699</v>
      </c>
      <c r="AA430" s="51"/>
    </row>
    <row r="431" spans="1:27" x14ac:dyDescent="0.25">
      <c r="A431" s="51">
        <v>16</v>
      </c>
      <c r="B431" s="51">
        <v>2040</v>
      </c>
      <c r="C431" s="51" t="s">
        <v>47</v>
      </c>
      <c r="D431" s="51" t="s">
        <v>496</v>
      </c>
      <c r="E431" s="51" t="s">
        <v>564</v>
      </c>
      <c r="F431" s="51"/>
      <c r="G431" s="618" t="s">
        <v>348</v>
      </c>
      <c r="H431" s="611">
        <v>0</v>
      </c>
      <c r="I431" s="611">
        <v>0</v>
      </c>
      <c r="J431" s="611">
        <v>0</v>
      </c>
      <c r="K431" s="611">
        <v>0</v>
      </c>
      <c r="L431" s="611">
        <v>12.989256307524691</v>
      </c>
      <c r="M431" s="611">
        <v>0</v>
      </c>
      <c r="N431" s="611">
        <v>3.0822884461287039</v>
      </c>
      <c r="O431" s="611">
        <v>0</v>
      </c>
      <c r="P431" s="611">
        <v>24.107897580553686</v>
      </c>
      <c r="Q431" s="611">
        <v>14.12881412438178</v>
      </c>
      <c r="R431" s="611">
        <v>0</v>
      </c>
      <c r="S431" s="611">
        <v>8.6739979988024807</v>
      </c>
      <c r="T431" s="611">
        <v>3.5407211153217597</v>
      </c>
      <c r="U431" s="611">
        <v>13.438307569029631</v>
      </c>
      <c r="V431" s="611">
        <v>15.451011410980303</v>
      </c>
      <c r="W431" s="611">
        <v>0</v>
      </c>
      <c r="X431" s="620">
        <v>-88.501977492350164</v>
      </c>
      <c r="Y431" s="611">
        <v>0</v>
      </c>
      <c r="Z431" s="619">
        <v>6.9103170603728614</v>
      </c>
      <c r="AA431" s="51"/>
    </row>
    <row r="432" spans="1:27" x14ac:dyDescent="0.25">
      <c r="A432" s="51">
        <v>17</v>
      </c>
      <c r="B432" s="51">
        <v>2040</v>
      </c>
      <c r="C432" s="51" t="s">
        <v>47</v>
      </c>
      <c r="D432" s="51" t="s">
        <v>497</v>
      </c>
      <c r="E432" s="51" t="s">
        <v>564</v>
      </c>
      <c r="F432" s="51"/>
      <c r="G432" s="618" t="s">
        <v>349</v>
      </c>
      <c r="H432" s="611">
        <v>0</v>
      </c>
      <c r="I432" s="611">
        <v>0</v>
      </c>
      <c r="J432" s="611">
        <v>0</v>
      </c>
      <c r="K432" s="611">
        <v>0</v>
      </c>
      <c r="L432" s="611">
        <v>0</v>
      </c>
      <c r="M432" s="611">
        <v>0</v>
      </c>
      <c r="N432" s="611">
        <v>0</v>
      </c>
      <c r="O432" s="611">
        <v>0</v>
      </c>
      <c r="P432" s="611">
        <v>132.34417151561499</v>
      </c>
      <c r="Q432" s="611">
        <v>0</v>
      </c>
      <c r="R432" s="611">
        <v>0</v>
      </c>
      <c r="S432" s="611">
        <v>-66.172085757807494</v>
      </c>
      <c r="T432" s="611">
        <v>0</v>
      </c>
      <c r="U432" s="611">
        <v>0</v>
      </c>
      <c r="V432" s="611">
        <v>0</v>
      </c>
      <c r="W432" s="611">
        <v>0</v>
      </c>
      <c r="X432" s="611">
        <v>0</v>
      </c>
      <c r="Y432" s="611">
        <v>0</v>
      </c>
      <c r="Z432" s="619">
        <v>66.172085757807494</v>
      </c>
      <c r="AA432" s="51"/>
    </row>
    <row r="433" spans="1:27" x14ac:dyDescent="0.25">
      <c r="A433" s="51">
        <v>18</v>
      </c>
      <c r="B433" s="51">
        <v>2040</v>
      </c>
      <c r="C433" s="51" t="s">
        <v>47</v>
      </c>
      <c r="D433" s="51" t="s">
        <v>498</v>
      </c>
      <c r="E433" s="51" t="s">
        <v>564</v>
      </c>
      <c r="F433" s="51"/>
      <c r="G433" s="618" t="s">
        <v>350</v>
      </c>
      <c r="H433" s="611">
        <v>0</v>
      </c>
      <c r="I433" s="611">
        <v>0</v>
      </c>
      <c r="J433" s="611">
        <v>0</v>
      </c>
      <c r="K433" s="611">
        <v>0</v>
      </c>
      <c r="L433" s="611">
        <v>0</v>
      </c>
      <c r="M433" s="620">
        <v>-0.99259685127624475</v>
      </c>
      <c r="N433" s="611">
        <v>0</v>
      </c>
      <c r="O433" s="611">
        <v>0</v>
      </c>
      <c r="P433" s="611">
        <v>0</v>
      </c>
      <c r="Q433" s="611">
        <v>0</v>
      </c>
      <c r="R433" s="611">
        <v>0</v>
      </c>
      <c r="S433" s="611">
        <v>0</v>
      </c>
      <c r="T433" s="611">
        <v>0</v>
      </c>
      <c r="U433" s="611">
        <v>0</v>
      </c>
      <c r="V433" s="611">
        <v>0</v>
      </c>
      <c r="W433" s="611">
        <v>0</v>
      </c>
      <c r="X433" s="611">
        <v>0</v>
      </c>
      <c r="Y433" s="611">
        <v>1.3786067378836733</v>
      </c>
      <c r="Z433" s="619">
        <v>0.38600988660742852</v>
      </c>
      <c r="AA433" s="51"/>
    </row>
    <row r="434" spans="1:27" x14ac:dyDescent="0.25">
      <c r="A434" s="51">
        <v>19</v>
      </c>
      <c r="B434" s="51">
        <v>2040</v>
      </c>
      <c r="C434" s="51" t="s">
        <v>47</v>
      </c>
      <c r="D434" s="51" t="s">
        <v>499</v>
      </c>
      <c r="E434" s="51" t="s">
        <v>564</v>
      </c>
      <c r="F434" s="51"/>
      <c r="G434" s="618" t="s">
        <v>72</v>
      </c>
      <c r="H434" s="611">
        <v>0</v>
      </c>
      <c r="I434" s="611">
        <v>236.81493545445448</v>
      </c>
      <c r="J434" s="611">
        <v>-234.44678609990993</v>
      </c>
      <c r="K434" s="611">
        <v>0</v>
      </c>
      <c r="L434" s="611">
        <v>0</v>
      </c>
      <c r="M434" s="611">
        <v>0</v>
      </c>
      <c r="N434" s="611">
        <v>0</v>
      </c>
      <c r="O434" s="611">
        <v>0</v>
      </c>
      <c r="P434" s="611">
        <v>0</v>
      </c>
      <c r="Q434" s="611">
        <v>0</v>
      </c>
      <c r="R434" s="611">
        <v>0</v>
      </c>
      <c r="S434" s="611">
        <v>0</v>
      </c>
      <c r="T434" s="611">
        <v>0</v>
      </c>
      <c r="U434" s="611">
        <v>0</v>
      </c>
      <c r="V434" s="611">
        <v>0</v>
      </c>
      <c r="W434" s="611">
        <v>0</v>
      </c>
      <c r="X434" s="611">
        <v>0</v>
      </c>
      <c r="Y434" s="611">
        <v>0</v>
      </c>
      <c r="Z434" s="619">
        <v>2.3681493545445562</v>
      </c>
      <c r="AA434" s="51"/>
    </row>
    <row r="435" spans="1:27" x14ac:dyDescent="0.25">
      <c r="A435" s="51">
        <v>20</v>
      </c>
      <c r="B435" s="51">
        <v>2040</v>
      </c>
      <c r="C435" s="51" t="s">
        <v>47</v>
      </c>
      <c r="D435" s="51" t="s">
        <v>500</v>
      </c>
      <c r="E435" s="51" t="s">
        <v>564</v>
      </c>
      <c r="F435" s="51"/>
      <c r="G435" s="618" t="s">
        <v>351</v>
      </c>
      <c r="H435" s="611">
        <v>0</v>
      </c>
      <c r="I435" s="611">
        <v>0</v>
      </c>
      <c r="J435" s="611">
        <v>0</v>
      </c>
      <c r="K435" s="611">
        <v>0</v>
      </c>
      <c r="L435" s="611">
        <v>0</v>
      </c>
      <c r="M435" s="611">
        <v>0</v>
      </c>
      <c r="N435" s="611">
        <v>0</v>
      </c>
      <c r="O435" s="611">
        <v>0</v>
      </c>
      <c r="P435" s="611">
        <v>122.21957391486625</v>
      </c>
      <c r="Q435" s="611">
        <v>0</v>
      </c>
      <c r="R435" s="620">
        <v>-67.220765653176443</v>
      </c>
      <c r="S435" s="611">
        <v>0</v>
      </c>
      <c r="T435" s="611">
        <v>0</v>
      </c>
      <c r="U435" s="611">
        <v>0</v>
      </c>
      <c r="V435" s="611">
        <v>0</v>
      </c>
      <c r="W435" s="611">
        <v>0</v>
      </c>
      <c r="X435" s="611">
        <v>0</v>
      </c>
      <c r="Y435" s="611">
        <v>0</v>
      </c>
      <c r="Z435" s="619">
        <v>54.998808261689803</v>
      </c>
      <c r="AA435" s="51"/>
    </row>
    <row r="436" spans="1:27" x14ac:dyDescent="0.25">
      <c r="A436" s="51">
        <v>21</v>
      </c>
      <c r="B436" s="51">
        <v>2040</v>
      </c>
      <c r="C436" s="51" t="s">
        <v>47</v>
      </c>
      <c r="D436" s="51" t="s">
        <v>501</v>
      </c>
      <c r="E436" s="51" t="s">
        <v>564</v>
      </c>
      <c r="F436" s="51"/>
      <c r="G436" s="618" t="s">
        <v>352</v>
      </c>
      <c r="H436" s="611">
        <v>0</v>
      </c>
      <c r="I436" s="611">
        <v>0</v>
      </c>
      <c r="J436" s="611">
        <v>0</v>
      </c>
      <c r="K436" s="611">
        <v>-7.6954913525103521</v>
      </c>
      <c r="L436" s="611">
        <v>0</v>
      </c>
      <c r="M436" s="611">
        <v>0</v>
      </c>
      <c r="N436" s="611">
        <v>0</v>
      </c>
      <c r="O436" s="611">
        <v>0</v>
      </c>
      <c r="P436" s="611">
        <v>0</v>
      </c>
      <c r="Q436" s="611">
        <v>0</v>
      </c>
      <c r="R436" s="611">
        <v>0</v>
      </c>
      <c r="S436" s="611">
        <v>0</v>
      </c>
      <c r="T436" s="611">
        <v>0</v>
      </c>
      <c r="U436" s="611">
        <v>0</v>
      </c>
      <c r="V436" s="611">
        <v>0</v>
      </c>
      <c r="W436" s="611">
        <v>0</v>
      </c>
      <c r="X436" s="611">
        <v>0</v>
      </c>
      <c r="Y436" s="611">
        <v>12.8889508585759</v>
      </c>
      <c r="Z436" s="619">
        <v>5.1934595060655475</v>
      </c>
      <c r="AA436" s="51"/>
    </row>
    <row r="437" spans="1:27" x14ac:dyDescent="0.25">
      <c r="A437" s="51">
        <v>22</v>
      </c>
      <c r="B437" s="51">
        <v>2040</v>
      </c>
      <c r="C437" s="51" t="s">
        <v>47</v>
      </c>
      <c r="D437" s="51" t="s">
        <v>502</v>
      </c>
      <c r="E437" s="51" t="s">
        <v>564</v>
      </c>
      <c r="F437" s="51"/>
      <c r="G437" s="618" t="s">
        <v>73</v>
      </c>
      <c r="H437" s="611">
        <v>0</v>
      </c>
      <c r="I437" s="611">
        <v>0</v>
      </c>
      <c r="J437" s="611">
        <v>0</v>
      </c>
      <c r="K437" s="611">
        <v>0</v>
      </c>
      <c r="L437" s="611">
        <v>0</v>
      </c>
      <c r="M437" s="611">
        <v>0</v>
      </c>
      <c r="N437" s="611">
        <v>0</v>
      </c>
      <c r="O437" s="611">
        <v>0</v>
      </c>
      <c r="P437" s="611">
        <v>0</v>
      </c>
      <c r="Q437" s="611">
        <v>0</v>
      </c>
      <c r="R437" s="611">
        <v>0</v>
      </c>
      <c r="S437" s="611">
        <v>0</v>
      </c>
      <c r="T437" s="611">
        <v>0</v>
      </c>
      <c r="U437" s="611">
        <v>0</v>
      </c>
      <c r="V437" s="611">
        <v>0</v>
      </c>
      <c r="W437" s="611">
        <v>49.254678983277991</v>
      </c>
      <c r="X437" s="611">
        <v>0</v>
      </c>
      <c r="Y437" s="611">
        <v>-33.739455103545424</v>
      </c>
      <c r="Z437" s="619">
        <v>15.515223879732567</v>
      </c>
      <c r="AA437" s="51"/>
    </row>
    <row r="438" spans="1:27" x14ac:dyDescent="0.25">
      <c r="A438" s="51">
        <v>23</v>
      </c>
      <c r="B438" s="51">
        <v>2040</v>
      </c>
      <c r="C438" s="51" t="s">
        <v>47</v>
      </c>
      <c r="D438" s="51" t="s">
        <v>503</v>
      </c>
      <c r="E438" s="51" t="s">
        <v>564</v>
      </c>
      <c r="F438" s="51"/>
      <c r="G438" s="618" t="s">
        <v>353</v>
      </c>
      <c r="H438" s="611">
        <v>7.9284578906249985</v>
      </c>
      <c r="I438" s="611">
        <v>-8.2879547974433478</v>
      </c>
      <c r="J438" s="611">
        <v>10.994009966120005</v>
      </c>
      <c r="K438" s="611">
        <v>0</v>
      </c>
      <c r="L438" s="611">
        <v>0</v>
      </c>
      <c r="M438" s="611">
        <v>0</v>
      </c>
      <c r="N438" s="611">
        <v>0</v>
      </c>
      <c r="O438" s="611">
        <v>0</v>
      </c>
      <c r="P438" s="611">
        <v>0</v>
      </c>
      <c r="Q438" s="611">
        <v>0</v>
      </c>
      <c r="R438" s="611">
        <v>0</v>
      </c>
      <c r="S438" s="611">
        <v>0</v>
      </c>
      <c r="T438" s="611">
        <v>0</v>
      </c>
      <c r="U438" s="611">
        <v>0</v>
      </c>
      <c r="V438" s="611">
        <v>0</v>
      </c>
      <c r="W438" s="611">
        <v>0</v>
      </c>
      <c r="X438" s="611">
        <v>0</v>
      </c>
      <c r="Y438" s="611">
        <v>0</v>
      </c>
      <c r="Z438" s="619">
        <v>10.634513059301657</v>
      </c>
      <c r="AA438" s="51"/>
    </row>
    <row r="439" spans="1:27" x14ac:dyDescent="0.25">
      <c r="A439" s="51">
        <v>24</v>
      </c>
      <c r="B439" s="51">
        <v>2040</v>
      </c>
      <c r="C439" s="51" t="s">
        <v>47</v>
      </c>
      <c r="D439" s="51" t="s">
        <v>504</v>
      </c>
      <c r="E439" s="51" t="s">
        <v>564</v>
      </c>
      <c r="F439" s="51"/>
      <c r="G439" s="618" t="s">
        <v>75</v>
      </c>
      <c r="H439" s="611">
        <v>3.0832891796874997</v>
      </c>
      <c r="I439" s="611">
        <v>0</v>
      </c>
      <c r="J439" s="611">
        <v>8.217345528971137</v>
      </c>
      <c r="K439" s="611">
        <v>0</v>
      </c>
      <c r="L439" s="611">
        <v>3.035748023889949</v>
      </c>
      <c r="M439" s="611">
        <v>0</v>
      </c>
      <c r="N439" s="611">
        <v>0</v>
      </c>
      <c r="O439" s="611">
        <v>0</v>
      </c>
      <c r="P439" s="611">
        <v>0</v>
      </c>
      <c r="Q439" s="611">
        <v>0</v>
      </c>
      <c r="R439" s="611">
        <v>0</v>
      </c>
      <c r="S439" s="611">
        <v>2.0238320159266325</v>
      </c>
      <c r="T439" s="611">
        <v>0</v>
      </c>
      <c r="U439" s="611">
        <v>0</v>
      </c>
      <c r="V439" s="611">
        <v>0</v>
      </c>
      <c r="W439" s="620">
        <v>37.199895604562791</v>
      </c>
      <c r="X439" s="611">
        <v>0</v>
      </c>
      <c r="Y439" s="611">
        <v>0</v>
      </c>
      <c r="Z439" s="619">
        <v>53.560110353038013</v>
      </c>
      <c r="AA439" s="51"/>
    </row>
    <row r="440" spans="1:27" x14ac:dyDescent="0.25">
      <c r="A440" s="51">
        <v>25</v>
      </c>
      <c r="B440" s="51">
        <v>2040</v>
      </c>
      <c r="C440" s="51" t="s">
        <v>47</v>
      </c>
      <c r="D440" s="51" t="s">
        <v>505</v>
      </c>
      <c r="E440" s="51" t="s">
        <v>564</v>
      </c>
      <c r="F440" s="51"/>
      <c r="G440" s="618" t="s">
        <v>76</v>
      </c>
      <c r="H440" s="611">
        <v>0</v>
      </c>
      <c r="I440" s="611">
        <v>0</v>
      </c>
      <c r="J440" s="611">
        <v>0</v>
      </c>
      <c r="K440" s="611">
        <v>0</v>
      </c>
      <c r="L440" s="611">
        <v>1.0905385496613398</v>
      </c>
      <c r="M440" s="611">
        <v>0</v>
      </c>
      <c r="N440" s="611">
        <v>0</v>
      </c>
      <c r="O440" s="611">
        <v>0</v>
      </c>
      <c r="P440" s="611">
        <v>0</v>
      </c>
      <c r="Q440" s="611">
        <v>0</v>
      </c>
      <c r="R440" s="611">
        <v>0</v>
      </c>
      <c r="S440" s="611">
        <v>0.7270256997742266</v>
      </c>
      <c r="T440" s="611">
        <v>0</v>
      </c>
      <c r="U440" s="611">
        <v>0</v>
      </c>
      <c r="V440" s="611">
        <v>0</v>
      </c>
      <c r="W440" s="611">
        <v>55.45857217380442</v>
      </c>
      <c r="X440" s="611">
        <v>6.8627369645698408</v>
      </c>
      <c r="Y440" s="611">
        <v>0</v>
      </c>
      <c r="Z440" s="619">
        <v>64.138873387809838</v>
      </c>
      <c r="AA440" s="51"/>
    </row>
    <row r="441" spans="1:27" x14ac:dyDescent="0.25">
      <c r="A441" s="51">
        <v>26</v>
      </c>
      <c r="B441" s="51">
        <v>2040</v>
      </c>
      <c r="C441" s="51" t="s">
        <v>47</v>
      </c>
      <c r="D441" s="51" t="s">
        <v>506</v>
      </c>
      <c r="E441" s="51" t="s">
        <v>564</v>
      </c>
      <c r="F441" s="51"/>
      <c r="G441" s="614" t="s">
        <v>77</v>
      </c>
      <c r="H441" s="615">
        <v>11.011747070312499</v>
      </c>
      <c r="I441" s="615">
        <v>228.52698065701114</v>
      </c>
      <c r="J441" s="615">
        <v>-215.16927865141872</v>
      </c>
      <c r="K441" s="615">
        <v>-7.6954913525103521</v>
      </c>
      <c r="L441" s="615">
        <v>17.118029602467285</v>
      </c>
      <c r="M441" s="615">
        <v>-0.99259685127624475</v>
      </c>
      <c r="N441" s="615">
        <v>1217.0191975370376</v>
      </c>
      <c r="O441" s="615">
        <v>401.95272747163949</v>
      </c>
      <c r="P441" s="615">
        <v>295.68931166087765</v>
      </c>
      <c r="Q441" s="615">
        <v>19.742896872717303</v>
      </c>
      <c r="R441" s="615">
        <v>-61.593827815243408</v>
      </c>
      <c r="S441" s="615">
        <v>-54.631672079791379</v>
      </c>
      <c r="T441" s="615">
        <v>3.5407211153217597</v>
      </c>
      <c r="U441" s="615">
        <v>13.438307569029631</v>
      </c>
      <c r="V441" s="615">
        <v>21.883768158309458</v>
      </c>
      <c r="W441" s="615">
        <v>-676.50932055890064</v>
      </c>
      <c r="X441" s="615">
        <v>-81.639240527780316</v>
      </c>
      <c r="Y441" s="615">
        <v>-19.471897507085849</v>
      </c>
      <c r="Z441" s="615">
        <v>1112.2203623707169</v>
      </c>
      <c r="AA441" s="51"/>
    </row>
    <row r="442" spans="1:27" x14ac:dyDescent="0.25">
      <c r="A442" s="51"/>
      <c r="B442" s="51"/>
      <c r="C442" s="51"/>
      <c r="D442" s="51"/>
      <c r="E442" s="51"/>
      <c r="F442" s="51"/>
      <c r="G442" s="616"/>
      <c r="H442" s="617"/>
      <c r="I442" s="617"/>
      <c r="J442" s="617"/>
      <c r="K442" s="617"/>
      <c r="L442" s="617"/>
      <c r="M442" s="617"/>
      <c r="N442" s="617"/>
      <c r="O442" s="617"/>
      <c r="P442" s="617"/>
      <c r="Q442" s="617"/>
      <c r="R442" s="617"/>
      <c r="S442" s="617"/>
      <c r="T442" s="617"/>
      <c r="U442" s="617"/>
      <c r="V442" s="617"/>
      <c r="W442" s="617"/>
      <c r="X442" s="617"/>
      <c r="Y442" s="617"/>
      <c r="Z442" s="617"/>
      <c r="AA442" s="51"/>
    </row>
    <row r="443" spans="1:27" x14ac:dyDescent="0.25">
      <c r="A443" s="51">
        <v>28</v>
      </c>
      <c r="B443" s="51">
        <v>2040</v>
      </c>
      <c r="C443" s="51" t="s">
        <v>47</v>
      </c>
      <c r="D443" s="51" t="s">
        <v>507</v>
      </c>
      <c r="E443" s="51" t="s">
        <v>564</v>
      </c>
      <c r="F443" s="51"/>
      <c r="G443" s="618" t="s">
        <v>78</v>
      </c>
      <c r="H443" s="611">
        <v>2.175257177734375</v>
      </c>
      <c r="I443" s="611">
        <v>0</v>
      </c>
      <c r="J443" s="611">
        <v>3.827548852451625</v>
      </c>
      <c r="K443" s="611">
        <v>0</v>
      </c>
      <c r="L443" s="611">
        <v>33.315507903159194</v>
      </c>
      <c r="M443" s="620">
        <v>0</v>
      </c>
      <c r="N443" s="611">
        <v>0</v>
      </c>
      <c r="O443" s="611">
        <v>0</v>
      </c>
      <c r="P443" s="611">
        <v>32.980996360141418</v>
      </c>
      <c r="Q443" s="611">
        <v>14.919600388631244</v>
      </c>
      <c r="R443" s="611">
        <v>0.61568923049056545</v>
      </c>
      <c r="S443" s="611">
        <v>22.249001409689203</v>
      </c>
      <c r="T443" s="611">
        <v>14.1558310546875</v>
      </c>
      <c r="U443" s="611">
        <v>0</v>
      </c>
      <c r="V443" s="611">
        <v>7.8820466826144567E-4</v>
      </c>
      <c r="W443" s="611">
        <v>158.90135120645269</v>
      </c>
      <c r="X443" s="611">
        <v>18.490233868805152</v>
      </c>
      <c r="Y443" s="611">
        <v>8.8832871093750008</v>
      </c>
      <c r="Z443" s="619">
        <v>310.51509276628616</v>
      </c>
      <c r="AA443" s="51"/>
    </row>
    <row r="444" spans="1:27" x14ac:dyDescent="0.25">
      <c r="A444" s="51">
        <v>29</v>
      </c>
      <c r="B444" s="51">
        <v>2040</v>
      </c>
      <c r="C444" s="51" t="s">
        <v>47</v>
      </c>
      <c r="D444" s="51" t="s">
        <v>508</v>
      </c>
      <c r="E444" s="51" t="s">
        <v>564</v>
      </c>
      <c r="F444" s="51"/>
      <c r="G444" s="618" t="s">
        <v>79</v>
      </c>
      <c r="H444" s="611">
        <v>0</v>
      </c>
      <c r="I444" s="611">
        <v>0</v>
      </c>
      <c r="J444" s="611">
        <v>101.77401649068347</v>
      </c>
      <c r="K444" s="611">
        <v>1</v>
      </c>
      <c r="L444" s="611">
        <v>4.5438942798277537</v>
      </c>
      <c r="M444" s="620">
        <v>0</v>
      </c>
      <c r="N444" s="611">
        <v>0</v>
      </c>
      <c r="O444" s="611">
        <v>0</v>
      </c>
      <c r="P444" s="611">
        <v>0</v>
      </c>
      <c r="Q444" s="611">
        <v>0</v>
      </c>
      <c r="R444" s="611">
        <v>35.960574276816558</v>
      </c>
      <c r="S444" s="611">
        <v>3.0292628532185026</v>
      </c>
      <c r="T444" s="611">
        <v>0</v>
      </c>
      <c r="U444" s="611">
        <v>0</v>
      </c>
      <c r="V444" s="611">
        <v>0</v>
      </c>
      <c r="W444" s="611">
        <v>98.588545998647945</v>
      </c>
      <c r="X444" s="611">
        <v>0</v>
      </c>
      <c r="Y444" s="611">
        <v>4.4541562271539039</v>
      </c>
      <c r="Z444" s="619">
        <v>249.35045012634814</v>
      </c>
      <c r="AA444" s="51"/>
    </row>
    <row r="445" spans="1:27" x14ac:dyDescent="0.25">
      <c r="A445" s="51">
        <v>30</v>
      </c>
      <c r="B445" s="51">
        <v>2040</v>
      </c>
      <c r="C445" s="51" t="s">
        <v>47</v>
      </c>
      <c r="D445" s="51" t="s">
        <v>509</v>
      </c>
      <c r="E445" s="51" t="s">
        <v>564</v>
      </c>
      <c r="F445" s="51"/>
      <c r="G445" s="618" t="s">
        <v>80</v>
      </c>
      <c r="H445" s="611">
        <v>0</v>
      </c>
      <c r="I445" s="611">
        <v>0</v>
      </c>
      <c r="J445" s="611">
        <v>0.44596285998166674</v>
      </c>
      <c r="K445" s="611">
        <v>0</v>
      </c>
      <c r="L445" s="611">
        <v>22.302047401014374</v>
      </c>
      <c r="M445" s="620">
        <v>0</v>
      </c>
      <c r="N445" s="611">
        <v>0</v>
      </c>
      <c r="O445" s="611">
        <v>0</v>
      </c>
      <c r="P445" s="611">
        <v>42.104842655095531</v>
      </c>
      <c r="Q445" s="611">
        <v>0</v>
      </c>
      <c r="R445" s="611">
        <v>0</v>
      </c>
      <c r="S445" s="611">
        <v>14.86803160067625</v>
      </c>
      <c r="T445" s="611">
        <v>121.88768927613445</v>
      </c>
      <c r="U445" s="611">
        <v>0</v>
      </c>
      <c r="V445" s="611">
        <v>13.792175805236649</v>
      </c>
      <c r="W445" s="611">
        <v>137.8618798877875</v>
      </c>
      <c r="X445" s="611">
        <v>39.251497027644952</v>
      </c>
      <c r="Y445" s="611">
        <v>0</v>
      </c>
      <c r="Z445" s="619">
        <v>392.51412651357134</v>
      </c>
      <c r="AA445" s="51"/>
    </row>
    <row r="446" spans="1:27" x14ac:dyDescent="0.25">
      <c r="A446" s="51">
        <v>31</v>
      </c>
      <c r="B446" s="51">
        <v>2040</v>
      </c>
      <c r="C446" s="51" t="s">
        <v>47</v>
      </c>
      <c r="D446" s="51" t="s">
        <v>510</v>
      </c>
      <c r="E446" s="51" t="s">
        <v>564</v>
      </c>
      <c r="F446" s="51"/>
      <c r="G446" s="618" t="s">
        <v>81</v>
      </c>
      <c r="H446" s="611">
        <v>0</v>
      </c>
      <c r="I446" s="611">
        <v>0</v>
      </c>
      <c r="J446" s="611">
        <v>0.74492148103444933</v>
      </c>
      <c r="K446" s="611">
        <v>0</v>
      </c>
      <c r="L446" s="611">
        <v>13.935381302016147</v>
      </c>
      <c r="M446" s="620">
        <v>0</v>
      </c>
      <c r="N446" s="611">
        <v>0</v>
      </c>
      <c r="O446" s="611">
        <v>0</v>
      </c>
      <c r="P446" s="611">
        <v>0.53348745170182088</v>
      </c>
      <c r="Q446" s="611">
        <v>0</v>
      </c>
      <c r="R446" s="611">
        <v>0</v>
      </c>
      <c r="S446" s="611">
        <v>9.2902542013440979</v>
      </c>
      <c r="T446" s="611">
        <v>62.88311127891231</v>
      </c>
      <c r="U446" s="611">
        <v>0</v>
      </c>
      <c r="V446" s="611">
        <v>8.4953162688186961</v>
      </c>
      <c r="W446" s="611">
        <v>124.49010012536908</v>
      </c>
      <c r="X446" s="611">
        <v>23.897477745198131</v>
      </c>
      <c r="Y446" s="611">
        <v>0</v>
      </c>
      <c r="Z446" s="619">
        <v>244.27004985439473</v>
      </c>
      <c r="AA446" s="51"/>
    </row>
    <row r="447" spans="1:27" x14ac:dyDescent="0.25">
      <c r="A447" s="51">
        <v>32</v>
      </c>
      <c r="B447" s="51">
        <v>2040</v>
      </c>
      <c r="C447" s="51" t="s">
        <v>47</v>
      </c>
      <c r="D447" s="51" t="s">
        <v>511</v>
      </c>
      <c r="E447" s="51" t="s">
        <v>564</v>
      </c>
      <c r="F447" s="51"/>
      <c r="G447" s="618" t="s">
        <v>82</v>
      </c>
      <c r="H447" s="611">
        <v>0</v>
      </c>
      <c r="I447" s="611">
        <v>0</v>
      </c>
      <c r="J447" s="611">
        <v>13.844421020879521</v>
      </c>
      <c r="K447" s="611">
        <v>0</v>
      </c>
      <c r="L447" s="611">
        <v>0.75389053295489317</v>
      </c>
      <c r="M447" s="620">
        <v>0</v>
      </c>
      <c r="N447" s="611">
        <v>0</v>
      </c>
      <c r="O447" s="611">
        <v>0</v>
      </c>
      <c r="P447" s="611">
        <v>15.52633161671044</v>
      </c>
      <c r="Q447" s="611">
        <v>0</v>
      </c>
      <c r="R447" s="611">
        <v>6.9560280843062596</v>
      </c>
      <c r="S447" s="611">
        <v>0.50259368863659548</v>
      </c>
      <c r="T447" s="611">
        <v>1</v>
      </c>
      <c r="U447" s="611">
        <v>0</v>
      </c>
      <c r="V447" s="611">
        <v>1.300620381405156</v>
      </c>
      <c r="W447" s="611">
        <v>9.5059865656589242</v>
      </c>
      <c r="X447" s="611">
        <v>0</v>
      </c>
      <c r="Y447" s="611">
        <v>0.43956597389567681</v>
      </c>
      <c r="Z447" s="619">
        <v>49.829437864447456</v>
      </c>
      <c r="AA447" s="51"/>
    </row>
    <row r="448" spans="1:27" x14ac:dyDescent="0.25">
      <c r="A448" s="51">
        <v>33</v>
      </c>
      <c r="B448" s="51">
        <v>2040</v>
      </c>
      <c r="C448" s="51" t="s">
        <v>47</v>
      </c>
      <c r="D448" s="51" t="s">
        <v>512</v>
      </c>
      <c r="E448" s="51" t="s">
        <v>564</v>
      </c>
      <c r="F448" s="51"/>
      <c r="G448" s="618" t="s">
        <v>354</v>
      </c>
      <c r="H448" s="611">
        <v>0</v>
      </c>
      <c r="I448" s="611">
        <v>0</v>
      </c>
      <c r="J448" s="611">
        <v>0</v>
      </c>
      <c r="K448" s="611">
        <v>0</v>
      </c>
      <c r="L448" s="611">
        <v>0</v>
      </c>
      <c r="M448" s="611">
        <v>0</v>
      </c>
      <c r="N448" s="611">
        <v>0</v>
      </c>
      <c r="O448" s="611">
        <v>0</v>
      </c>
      <c r="P448" s="611">
        <v>0</v>
      </c>
      <c r="Q448" s="611">
        <v>0</v>
      </c>
      <c r="R448" s="611">
        <v>0</v>
      </c>
      <c r="S448" s="611">
        <v>0</v>
      </c>
      <c r="T448" s="611">
        <v>0</v>
      </c>
      <c r="U448" s="611">
        <v>0</v>
      </c>
      <c r="V448" s="611">
        <v>0</v>
      </c>
      <c r="W448" s="611">
        <v>7.3646771232822754</v>
      </c>
      <c r="X448" s="611">
        <v>0</v>
      </c>
      <c r="Y448" s="611">
        <v>0</v>
      </c>
      <c r="Z448" s="619">
        <v>7.3646771232822754</v>
      </c>
      <c r="AA448" s="51"/>
    </row>
    <row r="449" spans="1:27" x14ac:dyDescent="0.25">
      <c r="A449" s="51">
        <v>34</v>
      </c>
      <c r="B449" s="51">
        <v>2040</v>
      </c>
      <c r="C449" s="51" t="s">
        <v>47</v>
      </c>
      <c r="D449" s="51" t="s">
        <v>513</v>
      </c>
      <c r="E449" s="51" t="s">
        <v>564</v>
      </c>
      <c r="F449" s="51"/>
      <c r="G449" s="614" t="s">
        <v>83</v>
      </c>
      <c r="H449" s="615">
        <v>2.175257177734375</v>
      </c>
      <c r="I449" s="615">
        <v>0</v>
      </c>
      <c r="J449" s="615">
        <v>120.63687070503073</v>
      </c>
      <c r="K449" s="615">
        <v>1</v>
      </c>
      <c r="L449" s="615">
        <v>74.85072141897237</v>
      </c>
      <c r="M449" s="615">
        <v>0</v>
      </c>
      <c r="N449" s="615">
        <v>0</v>
      </c>
      <c r="O449" s="615">
        <v>0</v>
      </c>
      <c r="P449" s="615">
        <v>91.145658083649209</v>
      </c>
      <c r="Q449" s="615">
        <v>14.919600388631244</v>
      </c>
      <c r="R449" s="615">
        <v>43.532291591613387</v>
      </c>
      <c r="S449" s="615">
        <v>49.93914375356465</v>
      </c>
      <c r="T449" s="615">
        <v>199.92663160973427</v>
      </c>
      <c r="U449" s="615">
        <v>0</v>
      </c>
      <c r="V449" s="615">
        <v>23.588900660128761</v>
      </c>
      <c r="W449" s="615">
        <v>536.71254090719833</v>
      </c>
      <c r="X449" s="615">
        <v>81.639208641648239</v>
      </c>
      <c r="Y449" s="615">
        <v>13.777009310424582</v>
      </c>
      <c r="Z449" s="615">
        <v>1253.84383424833</v>
      </c>
      <c r="AA449" s="51"/>
    </row>
    <row r="450" spans="1:27" x14ac:dyDescent="0.25">
      <c r="A450" s="51">
        <v>35</v>
      </c>
      <c r="B450" s="51">
        <v>2040</v>
      </c>
      <c r="C450" s="51" t="s">
        <v>47</v>
      </c>
      <c r="D450" s="51" t="s">
        <v>514</v>
      </c>
      <c r="E450" s="51" t="s">
        <v>564</v>
      </c>
      <c r="F450" s="51"/>
      <c r="G450" s="610" t="s">
        <v>84</v>
      </c>
      <c r="H450" s="611">
        <v>0</v>
      </c>
      <c r="I450" s="611">
        <v>0</v>
      </c>
      <c r="J450" s="611">
        <v>96.028934218243506</v>
      </c>
      <c r="K450" s="611">
        <v>4.8279969603588615</v>
      </c>
      <c r="L450" s="611">
        <v>9.5625271205207287</v>
      </c>
      <c r="M450" s="611">
        <v>0</v>
      </c>
      <c r="N450" s="611">
        <v>0</v>
      </c>
      <c r="O450" s="611">
        <v>0</v>
      </c>
      <c r="P450" s="720">
        <v>0.48210395784232468</v>
      </c>
      <c r="Q450" s="611">
        <v>0</v>
      </c>
      <c r="R450" s="611">
        <v>8.4400893540858597</v>
      </c>
      <c r="S450" s="611">
        <v>3.3283265292808726</v>
      </c>
      <c r="T450" s="611">
        <v>0</v>
      </c>
      <c r="U450" s="611">
        <v>0</v>
      </c>
      <c r="V450" s="611">
        <v>0</v>
      </c>
      <c r="W450" s="611">
        <v>0</v>
      </c>
      <c r="X450" s="611">
        <v>0</v>
      </c>
      <c r="Y450" s="611">
        <v>2.0307550819589464</v>
      </c>
      <c r="Z450" s="619">
        <v>124.70073322229109</v>
      </c>
      <c r="AA450" s="51"/>
    </row>
    <row r="451" spans="1:27" x14ac:dyDescent="0.25">
      <c r="A451" s="51">
        <v>36</v>
      </c>
      <c r="B451" s="51">
        <v>2040</v>
      </c>
      <c r="C451" s="51" t="s">
        <v>47</v>
      </c>
      <c r="D451" s="51" t="s">
        <v>515</v>
      </c>
      <c r="E451" s="51" t="s">
        <v>564</v>
      </c>
      <c r="F451" s="51"/>
      <c r="G451" s="614" t="s">
        <v>85</v>
      </c>
      <c r="H451" s="615">
        <v>2.175257177734375</v>
      </c>
      <c r="I451" s="615">
        <v>0</v>
      </c>
      <c r="J451" s="615">
        <v>216.66580492327424</v>
      </c>
      <c r="K451" s="615">
        <v>5.8279969603588615</v>
      </c>
      <c r="L451" s="615">
        <v>84.413248539493097</v>
      </c>
      <c r="M451" s="615">
        <v>0</v>
      </c>
      <c r="N451" s="615">
        <v>0</v>
      </c>
      <c r="O451" s="615">
        <v>0</v>
      </c>
      <c r="P451" s="615">
        <v>91.627762041491536</v>
      </c>
      <c r="Q451" s="615">
        <v>14.919600388631244</v>
      </c>
      <c r="R451" s="615">
        <v>51.972380945699243</v>
      </c>
      <c r="S451" s="615">
        <v>53.267470282845522</v>
      </c>
      <c r="T451" s="615">
        <v>199.92663160973427</v>
      </c>
      <c r="U451" s="615">
        <v>0</v>
      </c>
      <c r="V451" s="615">
        <v>23.588900660128761</v>
      </c>
      <c r="W451" s="615">
        <v>536.71254090719833</v>
      </c>
      <c r="X451" s="615">
        <v>81.639208641648239</v>
      </c>
      <c r="Y451" s="615">
        <v>15.807764392383529</v>
      </c>
      <c r="Z451" s="615">
        <v>1378.5445674706211</v>
      </c>
      <c r="AA451" s="51"/>
    </row>
    <row r="452" spans="1:27" x14ac:dyDescent="0.25">
      <c r="A452" s="51"/>
      <c r="B452" s="51"/>
      <c r="C452" s="51"/>
      <c r="D452" s="51"/>
      <c r="E452" s="51"/>
      <c r="F452" s="51"/>
      <c r="G452" s="51"/>
      <c r="H452" s="67">
        <v>0</v>
      </c>
      <c r="I452" s="67">
        <v>0</v>
      </c>
      <c r="J452" s="67">
        <v>2.8421709430404007E-14</v>
      </c>
      <c r="K452" s="67">
        <v>0</v>
      </c>
      <c r="L452" s="67">
        <v>0</v>
      </c>
      <c r="M452" s="67">
        <v>0</v>
      </c>
      <c r="N452" s="67">
        <v>0</v>
      </c>
      <c r="O452" s="67">
        <v>0</v>
      </c>
      <c r="P452" s="67">
        <v>0</v>
      </c>
      <c r="Q452" s="67">
        <v>0</v>
      </c>
      <c r="R452" s="67">
        <v>0</v>
      </c>
      <c r="S452" s="67">
        <v>-5.1070259132757201E-15</v>
      </c>
      <c r="T452" s="67">
        <v>0</v>
      </c>
      <c r="U452" s="67">
        <v>0</v>
      </c>
      <c r="V452" s="67">
        <v>0</v>
      </c>
      <c r="W452" s="67">
        <v>0</v>
      </c>
      <c r="X452" s="721">
        <v>-3.1886132077829643E-5</v>
      </c>
      <c r="Y452" s="67">
        <v>5.3290705182007514E-15</v>
      </c>
      <c r="Z452" s="67">
        <v>-3.1886132546787849E-5</v>
      </c>
      <c r="AA452" s="51"/>
    </row>
    <row r="453" spans="1:27" x14ac:dyDescent="0.25">
      <c r="A453" s="51"/>
      <c r="B453" s="51"/>
      <c r="C453" s="51"/>
      <c r="D453" s="51"/>
      <c r="E453" s="51"/>
      <c r="F453" s="51"/>
      <c r="G453" s="51"/>
      <c r="H453" s="51"/>
      <c r="I453" s="51"/>
      <c r="J453" s="51"/>
      <c r="K453" s="67"/>
      <c r="L453" s="51"/>
      <c r="M453" s="51"/>
      <c r="N453" s="51"/>
      <c r="O453" s="51"/>
      <c r="P453" s="51"/>
      <c r="Q453" s="51"/>
      <c r="R453" s="51"/>
      <c r="S453" s="51"/>
      <c r="T453" s="51"/>
      <c r="U453" s="51"/>
      <c r="V453" s="51"/>
      <c r="W453" s="51"/>
      <c r="X453" s="51"/>
      <c r="Y453" s="51"/>
      <c r="Z453" s="51"/>
      <c r="AA453" s="51"/>
    </row>
    <row r="454" spans="1:27" x14ac:dyDescent="0.25">
      <c r="A454" s="606"/>
      <c r="B454" s="606"/>
      <c r="C454" s="606"/>
      <c r="D454" s="606"/>
      <c r="E454" s="606"/>
      <c r="F454" s="606"/>
      <c r="G454" s="607" t="s">
        <v>518</v>
      </c>
      <c r="H454" s="606"/>
      <c r="I454" s="606"/>
      <c r="J454" s="606"/>
      <c r="K454" s="682"/>
      <c r="L454" s="606"/>
      <c r="M454" s="606"/>
      <c r="N454" s="606"/>
      <c r="O454" s="606"/>
      <c r="P454" s="606"/>
      <c r="Q454" s="606"/>
      <c r="R454" s="606"/>
      <c r="S454" s="606"/>
      <c r="T454" s="606"/>
      <c r="U454" s="606"/>
      <c r="V454" s="606"/>
      <c r="W454" s="606"/>
      <c r="X454" s="606"/>
      <c r="Y454" s="606"/>
      <c r="Z454" s="606"/>
      <c r="AA454" s="606"/>
    </row>
    <row r="455" spans="1:27" x14ac:dyDescent="0.25">
      <c r="A455" s="51"/>
      <c r="B455" s="51"/>
      <c r="C455" s="51"/>
      <c r="D455" s="51"/>
      <c r="E455" s="51"/>
      <c r="F455" s="51"/>
      <c r="G455" s="51"/>
      <c r="H455" s="51"/>
      <c r="I455" s="51"/>
      <c r="J455" s="51"/>
      <c r="K455" s="67"/>
      <c r="L455" s="51"/>
      <c r="M455" s="51"/>
      <c r="N455" s="51"/>
      <c r="O455" s="51"/>
      <c r="P455" s="51"/>
      <c r="Q455" s="51"/>
      <c r="R455" s="51"/>
      <c r="S455" s="51"/>
      <c r="T455" s="51"/>
      <c r="U455" s="51"/>
      <c r="V455" s="51"/>
      <c r="W455" s="51"/>
      <c r="X455" s="51"/>
      <c r="Y455" s="51"/>
      <c r="Z455" s="51"/>
      <c r="AA455" s="51"/>
    </row>
    <row r="456" spans="1:27" x14ac:dyDescent="0.25">
      <c r="A456" s="51"/>
      <c r="B456" s="51"/>
      <c r="C456" s="51"/>
      <c r="D456" s="51"/>
      <c r="E456" s="51"/>
      <c r="F456" s="51"/>
      <c r="G456" s="764" t="s">
        <v>128</v>
      </c>
      <c r="H456" s="753" t="s">
        <v>42</v>
      </c>
      <c r="I456" s="753" t="s">
        <v>52</v>
      </c>
      <c r="J456" s="753" t="s">
        <v>53</v>
      </c>
      <c r="K456" s="766" t="s">
        <v>482</v>
      </c>
      <c r="L456" s="753" t="s">
        <v>32</v>
      </c>
      <c r="M456" s="753" t="s">
        <v>483</v>
      </c>
      <c r="N456" s="753" t="s">
        <v>20</v>
      </c>
      <c r="O456" s="753" t="s">
        <v>55</v>
      </c>
      <c r="P456" s="761" t="s">
        <v>56</v>
      </c>
      <c r="Q456" s="762"/>
      <c r="R456" s="762"/>
      <c r="S456" s="762"/>
      <c r="T456" s="762"/>
      <c r="U456" s="762"/>
      <c r="V456" s="763"/>
      <c r="W456" s="753" t="s">
        <v>57</v>
      </c>
      <c r="X456" s="753" t="s">
        <v>58</v>
      </c>
      <c r="Y456" s="753" t="s">
        <v>31</v>
      </c>
      <c r="Z456" s="753" t="s">
        <v>10</v>
      </c>
      <c r="AA456" s="51"/>
    </row>
    <row r="457" spans="1:27" ht="36" x14ac:dyDescent="0.25">
      <c r="A457" s="51"/>
      <c r="B457" s="51"/>
      <c r="C457" s="51"/>
      <c r="D457" s="51" t="s">
        <v>486</v>
      </c>
      <c r="E457" s="51"/>
      <c r="F457" s="51"/>
      <c r="G457" s="765"/>
      <c r="H457" s="754"/>
      <c r="I457" s="754"/>
      <c r="J457" s="754"/>
      <c r="K457" s="767"/>
      <c r="L457" s="754"/>
      <c r="M457" s="754"/>
      <c r="N457" s="754"/>
      <c r="O457" s="754"/>
      <c r="P457" s="608" t="s">
        <v>335</v>
      </c>
      <c r="Q457" s="608" t="s">
        <v>40</v>
      </c>
      <c r="R457" s="608" t="s">
        <v>343</v>
      </c>
      <c r="S457" s="608" t="s">
        <v>344</v>
      </c>
      <c r="T457" s="609" t="s">
        <v>345</v>
      </c>
      <c r="U457" s="609" t="s">
        <v>609</v>
      </c>
      <c r="V457" s="608" t="s">
        <v>346</v>
      </c>
      <c r="W457" s="754"/>
      <c r="X457" s="754"/>
      <c r="Y457" s="754"/>
      <c r="Z457" s="754"/>
      <c r="AA457" s="51"/>
    </row>
    <row r="458" spans="1:27" x14ac:dyDescent="0.25">
      <c r="A458" s="51">
        <v>6</v>
      </c>
      <c r="B458" s="51">
        <v>2043</v>
      </c>
      <c r="C458" s="51" t="s">
        <v>47</v>
      </c>
      <c r="D458" s="51" t="s">
        <v>487</v>
      </c>
      <c r="E458" s="51" t="s">
        <v>564</v>
      </c>
      <c r="F458" s="51"/>
      <c r="G458" s="610" t="s">
        <v>59</v>
      </c>
      <c r="H458" s="611">
        <v>0</v>
      </c>
      <c r="I458" s="611">
        <v>0</v>
      </c>
      <c r="J458" s="611">
        <v>0</v>
      </c>
      <c r="K458" s="611">
        <v>0</v>
      </c>
      <c r="L458" s="611">
        <v>0</v>
      </c>
      <c r="M458" s="611">
        <v>0</v>
      </c>
      <c r="N458" s="612">
        <v>1099.5634462452226</v>
      </c>
      <c r="O458" s="612">
        <v>455.95466122789804</v>
      </c>
      <c r="P458" s="720">
        <v>368.13981577685615</v>
      </c>
      <c r="Q458" s="612">
        <v>32.594790513201787</v>
      </c>
      <c r="R458" s="611">
        <v>0</v>
      </c>
      <c r="S458" s="611">
        <v>0</v>
      </c>
      <c r="T458" s="612">
        <v>220.26974654111825</v>
      </c>
      <c r="U458" s="612">
        <v>12.926787414850283</v>
      </c>
      <c r="V458" s="612">
        <v>47.062346641540024</v>
      </c>
      <c r="W458" s="611">
        <v>0</v>
      </c>
      <c r="X458" s="611">
        <v>0</v>
      </c>
      <c r="Y458" s="611">
        <v>0</v>
      </c>
      <c r="Z458" s="613">
        <v>2236.511594360687</v>
      </c>
      <c r="AA458" s="51"/>
    </row>
    <row r="459" spans="1:27" x14ac:dyDescent="0.25">
      <c r="A459" s="51">
        <v>7</v>
      </c>
      <c r="B459" s="51">
        <v>2043</v>
      </c>
      <c r="C459" s="51" t="s">
        <v>47</v>
      </c>
      <c r="D459" s="51" t="s">
        <v>488</v>
      </c>
      <c r="E459" s="51" t="s">
        <v>564</v>
      </c>
      <c r="F459" s="51"/>
      <c r="G459" s="610" t="s">
        <v>60</v>
      </c>
      <c r="H459" s="611">
        <v>5.1227091967773442</v>
      </c>
      <c r="I459" s="611">
        <v>177.55502583689511</v>
      </c>
      <c r="J459" s="611">
        <v>28.949529259861862</v>
      </c>
      <c r="K459" s="611">
        <v>8.2936566584489047</v>
      </c>
      <c r="L459" s="620">
        <v>78.633370842063528</v>
      </c>
      <c r="M459" s="611">
        <v>0</v>
      </c>
      <c r="N459" s="611">
        <v>0</v>
      </c>
      <c r="O459" s="611">
        <v>0</v>
      </c>
      <c r="P459" s="720">
        <v>14.224024590418253</v>
      </c>
      <c r="Q459" s="611">
        <v>0</v>
      </c>
      <c r="R459" s="611">
        <v>5.7839860053214949</v>
      </c>
      <c r="S459" s="611">
        <v>0</v>
      </c>
      <c r="T459" s="611">
        <v>0</v>
      </c>
      <c r="U459" s="611">
        <v>0</v>
      </c>
      <c r="V459" s="611">
        <v>0</v>
      </c>
      <c r="W459" s="611">
        <v>0</v>
      </c>
      <c r="X459" s="611">
        <v>0</v>
      </c>
      <c r="Y459" s="611">
        <v>0</v>
      </c>
      <c r="Z459" s="613">
        <v>318.56230238978651</v>
      </c>
      <c r="AA459" s="51"/>
    </row>
    <row r="460" spans="1:27" x14ac:dyDescent="0.25">
      <c r="A460" s="51">
        <v>8</v>
      </c>
      <c r="B460" s="51">
        <v>2043</v>
      </c>
      <c r="C460" s="51" t="s">
        <v>47</v>
      </c>
      <c r="D460" s="51" t="s">
        <v>489</v>
      </c>
      <c r="E460" s="51" t="s">
        <v>564</v>
      </c>
      <c r="F460" s="51"/>
      <c r="G460" s="610" t="s">
        <v>61</v>
      </c>
      <c r="H460" s="611">
        <v>0</v>
      </c>
      <c r="I460" s="611">
        <v>0</v>
      </c>
      <c r="J460" s="611">
        <v>0</v>
      </c>
      <c r="K460" s="611">
        <v>0</v>
      </c>
      <c r="L460" s="611">
        <v>0</v>
      </c>
      <c r="M460" s="611">
        <v>0</v>
      </c>
      <c r="N460" s="611">
        <v>0</v>
      </c>
      <c r="O460" s="611">
        <v>0</v>
      </c>
      <c r="P460" s="611">
        <v>0</v>
      </c>
      <c r="Q460" s="611">
        <v>0</v>
      </c>
      <c r="R460" s="611">
        <v>0</v>
      </c>
      <c r="S460" s="611">
        <v>0</v>
      </c>
      <c r="T460" s="611">
        <v>0</v>
      </c>
      <c r="U460" s="611">
        <v>0</v>
      </c>
      <c r="V460" s="611">
        <v>0</v>
      </c>
      <c r="W460" s="611">
        <v>-104.95909057129359</v>
      </c>
      <c r="X460" s="611">
        <v>0</v>
      </c>
      <c r="Y460" s="611">
        <v>0</v>
      </c>
      <c r="Z460" s="613">
        <v>-104.95909057129359</v>
      </c>
      <c r="AA460" s="51"/>
    </row>
    <row r="461" spans="1:27" x14ac:dyDescent="0.25">
      <c r="A461" s="51">
        <v>9</v>
      </c>
      <c r="B461" s="51">
        <v>2043</v>
      </c>
      <c r="C461" s="51" t="s">
        <v>47</v>
      </c>
      <c r="D461" s="51" t="s">
        <v>490</v>
      </c>
      <c r="E461" s="51" t="s">
        <v>564</v>
      </c>
      <c r="F461" s="51"/>
      <c r="G461" s="610" t="s">
        <v>62</v>
      </c>
      <c r="H461" s="611">
        <v>0</v>
      </c>
      <c r="I461" s="611">
        <v>0</v>
      </c>
      <c r="J461" s="611">
        <v>-3.9597709546196729</v>
      </c>
      <c r="K461" s="611">
        <v>-1.6687304711455928</v>
      </c>
      <c r="L461" s="611">
        <v>0</v>
      </c>
      <c r="M461" s="611">
        <v>-1.7692389987108714</v>
      </c>
      <c r="N461" s="611">
        <v>0</v>
      </c>
      <c r="O461" s="611">
        <v>0</v>
      </c>
      <c r="P461" s="611">
        <v>0</v>
      </c>
      <c r="Q461" s="611">
        <v>0</v>
      </c>
      <c r="R461" s="611">
        <v>0</v>
      </c>
      <c r="S461" s="611">
        <v>-1.504748971161108</v>
      </c>
      <c r="T461" s="611">
        <v>0</v>
      </c>
      <c r="U461" s="611">
        <v>0</v>
      </c>
      <c r="V461" s="611">
        <v>0</v>
      </c>
      <c r="W461" s="611">
        <v>0</v>
      </c>
      <c r="X461" s="611">
        <v>0</v>
      </c>
      <c r="Y461" s="611">
        <v>-0.86329073643245491</v>
      </c>
      <c r="Z461" s="613">
        <v>-9.7657801320697004</v>
      </c>
      <c r="AA461" s="51"/>
    </row>
    <row r="462" spans="1:27" x14ac:dyDescent="0.25">
      <c r="A462" s="51">
        <v>10</v>
      </c>
      <c r="B462" s="51">
        <v>2043</v>
      </c>
      <c r="C462" s="51" t="s">
        <v>47</v>
      </c>
      <c r="D462" s="51" t="s">
        <v>491</v>
      </c>
      <c r="E462" s="51" t="s">
        <v>564</v>
      </c>
      <c r="F462" s="51"/>
      <c r="G462" s="610" t="s">
        <v>63</v>
      </c>
      <c r="H462" s="611">
        <v>0</v>
      </c>
      <c r="I462" s="611">
        <v>0</v>
      </c>
      <c r="J462" s="611">
        <v>-32.199999999999996</v>
      </c>
      <c r="K462" s="611">
        <v>-12.8</v>
      </c>
      <c r="L462" s="611">
        <v>0</v>
      </c>
      <c r="M462" s="611">
        <v>0</v>
      </c>
      <c r="N462" s="611">
        <v>0</v>
      </c>
      <c r="O462" s="611">
        <v>0</v>
      </c>
      <c r="P462" s="611">
        <v>0</v>
      </c>
      <c r="Q462" s="611">
        <v>0</v>
      </c>
      <c r="R462" s="611">
        <v>-15.600000000000001</v>
      </c>
      <c r="S462" s="611">
        <v>0</v>
      </c>
      <c r="T462" s="611">
        <v>0</v>
      </c>
      <c r="U462" s="611">
        <v>0</v>
      </c>
      <c r="V462" s="611">
        <v>0</v>
      </c>
      <c r="W462" s="611">
        <v>0</v>
      </c>
      <c r="X462" s="611">
        <v>0</v>
      </c>
      <c r="Y462" s="611">
        <v>-4.2</v>
      </c>
      <c r="Z462" s="613">
        <v>-64.8</v>
      </c>
      <c r="AA462" s="51"/>
    </row>
    <row r="463" spans="1:27" x14ac:dyDescent="0.25">
      <c r="A463" s="51">
        <v>11</v>
      </c>
      <c r="B463" s="51">
        <v>2043</v>
      </c>
      <c r="C463" s="51" t="s">
        <v>47</v>
      </c>
      <c r="D463" s="51" t="s">
        <v>492</v>
      </c>
      <c r="E463" s="51" t="s">
        <v>564</v>
      </c>
      <c r="F463" s="51"/>
      <c r="G463" s="610" t="s">
        <v>64</v>
      </c>
      <c r="H463" s="611">
        <v>0</v>
      </c>
      <c r="I463" s="611">
        <v>0</v>
      </c>
      <c r="J463" s="611">
        <v>0</v>
      </c>
      <c r="K463" s="611">
        <v>0</v>
      </c>
      <c r="L463" s="611">
        <v>0</v>
      </c>
      <c r="M463" s="611">
        <v>0</v>
      </c>
      <c r="N463" s="611">
        <v>0</v>
      </c>
      <c r="O463" s="611">
        <v>0</v>
      </c>
      <c r="P463" s="611">
        <v>0</v>
      </c>
      <c r="Q463" s="611">
        <v>0</v>
      </c>
      <c r="R463" s="611">
        <v>0</v>
      </c>
      <c r="S463" s="611">
        <v>0</v>
      </c>
      <c r="T463" s="611">
        <v>0</v>
      </c>
      <c r="U463" s="611">
        <v>0</v>
      </c>
      <c r="V463" s="611">
        <v>0</v>
      </c>
      <c r="W463" s="611">
        <v>0</v>
      </c>
      <c r="X463" s="611">
        <v>0</v>
      </c>
      <c r="Y463" s="611">
        <v>0</v>
      </c>
      <c r="Z463" s="613">
        <v>0</v>
      </c>
      <c r="AA463" s="51"/>
    </row>
    <row r="464" spans="1:27" x14ac:dyDescent="0.25">
      <c r="A464" s="51">
        <v>12</v>
      </c>
      <c r="B464" s="51">
        <v>2043</v>
      </c>
      <c r="C464" s="51" t="s">
        <v>47</v>
      </c>
      <c r="D464" s="51" t="s">
        <v>493</v>
      </c>
      <c r="E464" s="51" t="s">
        <v>564</v>
      </c>
      <c r="F464" s="51"/>
      <c r="G464" s="614" t="s">
        <v>65</v>
      </c>
      <c r="H464" s="615">
        <v>5.1227091967773442</v>
      </c>
      <c r="I464" s="615">
        <v>177.55502583689511</v>
      </c>
      <c r="J464" s="615">
        <v>-7.210241694757805</v>
      </c>
      <c r="K464" s="615">
        <v>-6.1750738126966889</v>
      </c>
      <c r="L464" s="615">
        <v>78.633370842063528</v>
      </c>
      <c r="M464" s="615">
        <v>-1.7692389987108714</v>
      </c>
      <c r="N464" s="615">
        <v>1099.5634462452226</v>
      </c>
      <c r="O464" s="615">
        <v>455.95466122789804</v>
      </c>
      <c r="P464" s="615">
        <v>382.36384036727441</v>
      </c>
      <c r="Q464" s="615">
        <v>32.594790513201787</v>
      </c>
      <c r="R464" s="615">
        <v>-9.8160139946785065</v>
      </c>
      <c r="S464" s="615">
        <v>-1.504748971161108</v>
      </c>
      <c r="T464" s="615">
        <v>220.26974654111825</v>
      </c>
      <c r="U464" s="615">
        <v>12.926787414850283</v>
      </c>
      <c r="V464" s="615">
        <v>47.062346641540024</v>
      </c>
      <c r="W464" s="615">
        <v>-104.95909057129359</v>
      </c>
      <c r="X464" s="615">
        <v>0</v>
      </c>
      <c r="Y464" s="615">
        <v>-5.0632907364324549</v>
      </c>
      <c r="Z464" s="615">
        <v>2375.5490260471101</v>
      </c>
      <c r="AA464" s="51"/>
    </row>
    <row r="465" spans="1:27" x14ac:dyDescent="0.25">
      <c r="A465" s="51"/>
      <c r="B465" s="51"/>
      <c r="C465" s="51"/>
      <c r="D465" s="51"/>
      <c r="E465" s="51"/>
      <c r="F465" s="51"/>
      <c r="G465" s="616"/>
      <c r="H465" s="617"/>
      <c r="I465" s="617"/>
      <c r="J465" s="617"/>
      <c r="K465" s="617"/>
      <c r="L465" s="617"/>
      <c r="M465" s="617"/>
      <c r="N465" s="617"/>
      <c r="O465" s="617"/>
      <c r="P465" s="617"/>
      <c r="Q465" s="617"/>
      <c r="R465" s="617"/>
      <c r="S465" s="617"/>
      <c r="T465" s="617"/>
      <c r="U465" s="617"/>
      <c r="V465" s="617"/>
      <c r="W465" s="617"/>
      <c r="X465" s="617"/>
      <c r="Y465" s="617"/>
      <c r="Z465" s="617"/>
      <c r="AA465" s="51"/>
    </row>
    <row r="466" spans="1:27" x14ac:dyDescent="0.25">
      <c r="A466" s="51">
        <v>14</v>
      </c>
      <c r="B466" s="51">
        <v>2043</v>
      </c>
      <c r="C466" s="51" t="s">
        <v>47</v>
      </c>
      <c r="D466" s="51" t="s">
        <v>494</v>
      </c>
      <c r="E466" s="51" t="s">
        <v>564</v>
      </c>
      <c r="F466" s="51"/>
      <c r="G466" s="618" t="s">
        <v>67</v>
      </c>
      <c r="H466" s="611">
        <v>0</v>
      </c>
      <c r="I466" s="611">
        <v>0</v>
      </c>
      <c r="J466" s="611">
        <v>0</v>
      </c>
      <c r="K466" s="611">
        <v>0</v>
      </c>
      <c r="L466" s="611">
        <v>0</v>
      </c>
      <c r="M466" s="611">
        <v>0</v>
      </c>
      <c r="N466" s="611">
        <v>0</v>
      </c>
      <c r="O466" s="611">
        <v>0</v>
      </c>
      <c r="P466" s="611">
        <v>0</v>
      </c>
      <c r="Q466" s="611">
        <v>0</v>
      </c>
      <c r="R466" s="611">
        <v>0</v>
      </c>
      <c r="S466" s="611">
        <v>0</v>
      </c>
      <c r="T466" s="611">
        <v>0</v>
      </c>
      <c r="U466" s="611">
        <v>0</v>
      </c>
      <c r="V466" s="611">
        <v>0</v>
      </c>
      <c r="W466" s="611">
        <v>0</v>
      </c>
      <c r="X466" s="611">
        <v>0</v>
      </c>
      <c r="Y466" s="611">
        <v>0</v>
      </c>
      <c r="Z466" s="619">
        <v>0</v>
      </c>
      <c r="AA466" s="51"/>
    </row>
    <row r="467" spans="1:27" x14ac:dyDescent="0.25">
      <c r="A467" s="51">
        <v>15</v>
      </c>
      <c r="B467" s="51">
        <v>2043</v>
      </c>
      <c r="C467" s="51" t="s">
        <v>47</v>
      </c>
      <c r="D467" s="51" t="s">
        <v>495</v>
      </c>
      <c r="E467" s="51" t="s">
        <v>564</v>
      </c>
      <c r="F467" s="51"/>
      <c r="G467" s="618" t="s">
        <v>347</v>
      </c>
      <c r="H467" s="611">
        <v>0</v>
      </c>
      <c r="I467" s="611">
        <v>0</v>
      </c>
      <c r="J467" s="611">
        <v>2.6460781360013397E-2</v>
      </c>
      <c r="K467" s="611">
        <v>0</v>
      </c>
      <c r="L467" s="611">
        <v>2.2092331673819673E-3</v>
      </c>
      <c r="M467" s="611">
        <v>0</v>
      </c>
      <c r="N467" s="611">
        <v>1094.3390181818181</v>
      </c>
      <c r="O467" s="611">
        <v>455.95466122789804</v>
      </c>
      <c r="P467" s="611">
        <v>16.882794983659309</v>
      </c>
      <c r="Q467" s="611">
        <v>5.4312507593610899</v>
      </c>
      <c r="R467" s="611">
        <v>6.0578717375904887</v>
      </c>
      <c r="S467" s="611">
        <v>0.1159331349755927</v>
      </c>
      <c r="T467" s="611">
        <v>0</v>
      </c>
      <c r="U467" s="611">
        <v>0</v>
      </c>
      <c r="V467" s="611">
        <v>6.4590957564387725</v>
      </c>
      <c r="W467" s="611">
        <v>-833.28298290889541</v>
      </c>
      <c r="X467" s="611">
        <v>0</v>
      </c>
      <c r="Y467" s="611">
        <v>0</v>
      </c>
      <c r="Z467" s="619">
        <v>751.9863128873734</v>
      </c>
      <c r="AA467" s="51"/>
    </row>
    <row r="468" spans="1:27" x14ac:dyDescent="0.25">
      <c r="A468" s="51">
        <v>16</v>
      </c>
      <c r="B468" s="51">
        <v>2043</v>
      </c>
      <c r="C468" s="51" t="s">
        <v>47</v>
      </c>
      <c r="D468" s="51" t="s">
        <v>496</v>
      </c>
      <c r="E468" s="51" t="s">
        <v>564</v>
      </c>
      <c r="F468" s="51"/>
      <c r="G468" s="618" t="s">
        <v>348</v>
      </c>
      <c r="H468" s="611">
        <v>0</v>
      </c>
      <c r="I468" s="611">
        <v>0</v>
      </c>
      <c r="J468" s="611">
        <v>0</v>
      </c>
      <c r="K468" s="611">
        <v>0</v>
      </c>
      <c r="L468" s="611">
        <v>10.25822380325747</v>
      </c>
      <c r="M468" s="611">
        <v>0.11398026448063855</v>
      </c>
      <c r="N468" s="611">
        <v>5.2244280634046163</v>
      </c>
      <c r="O468" s="611">
        <v>0</v>
      </c>
      <c r="P468" s="611">
        <v>23.066351884988929</v>
      </c>
      <c r="Q468" s="611">
        <v>12.581069693193927</v>
      </c>
      <c r="R468" s="611">
        <v>0</v>
      </c>
      <c r="S468" s="611">
        <v>8.6393710617827644</v>
      </c>
      <c r="T468" s="611">
        <v>4.9829809655774078</v>
      </c>
      <c r="U468" s="611">
        <v>12.926787414850283</v>
      </c>
      <c r="V468" s="611">
        <v>13.415877809792518</v>
      </c>
      <c r="W468" s="611">
        <v>0</v>
      </c>
      <c r="X468" s="620">
        <v>-85.038582900921938</v>
      </c>
      <c r="Y468" s="611">
        <v>0</v>
      </c>
      <c r="Z468" s="619">
        <v>6.1704880604066119</v>
      </c>
      <c r="AA468" s="51"/>
    </row>
    <row r="469" spans="1:27" x14ac:dyDescent="0.25">
      <c r="A469" s="51">
        <v>17</v>
      </c>
      <c r="B469" s="51">
        <v>2043</v>
      </c>
      <c r="C469" s="51" t="s">
        <v>47</v>
      </c>
      <c r="D469" s="51" t="s">
        <v>497</v>
      </c>
      <c r="E469" s="51" t="s">
        <v>564</v>
      </c>
      <c r="F469" s="51"/>
      <c r="G469" s="618" t="s">
        <v>349</v>
      </c>
      <c r="H469" s="611">
        <v>0</v>
      </c>
      <c r="I469" s="611">
        <v>0</v>
      </c>
      <c r="J469" s="611">
        <v>0</v>
      </c>
      <c r="K469" s="611">
        <v>0</v>
      </c>
      <c r="L469" s="611">
        <v>0</v>
      </c>
      <c r="M469" s="611">
        <v>0</v>
      </c>
      <c r="N469" s="611">
        <v>0</v>
      </c>
      <c r="O469" s="611">
        <v>0</v>
      </c>
      <c r="P469" s="611">
        <v>133.62283851012174</v>
      </c>
      <c r="Q469" s="611">
        <v>0</v>
      </c>
      <c r="R469" s="611">
        <v>0</v>
      </c>
      <c r="S469" s="611">
        <v>-66.811419255060869</v>
      </c>
      <c r="T469" s="611">
        <v>0</v>
      </c>
      <c r="U469" s="611">
        <v>0</v>
      </c>
      <c r="V469" s="611">
        <v>0</v>
      </c>
      <c r="W469" s="611">
        <v>0</v>
      </c>
      <c r="X469" s="611">
        <v>0</v>
      </c>
      <c r="Y469" s="611">
        <v>0</v>
      </c>
      <c r="Z469" s="619">
        <v>66.811419255060869</v>
      </c>
      <c r="AA469" s="51"/>
    </row>
    <row r="470" spans="1:27" x14ac:dyDescent="0.25">
      <c r="A470" s="51">
        <v>18</v>
      </c>
      <c r="B470" s="51">
        <v>2043</v>
      </c>
      <c r="C470" s="51" t="s">
        <v>47</v>
      </c>
      <c r="D470" s="51" t="s">
        <v>498</v>
      </c>
      <c r="E470" s="51" t="s">
        <v>564</v>
      </c>
      <c r="F470" s="51"/>
      <c r="G470" s="618" t="s">
        <v>350</v>
      </c>
      <c r="H470" s="611">
        <v>0</v>
      </c>
      <c r="I470" s="611">
        <v>0</v>
      </c>
      <c r="J470" s="611">
        <v>0</v>
      </c>
      <c r="K470" s="611">
        <v>0</v>
      </c>
      <c r="L470" s="611">
        <v>0</v>
      </c>
      <c r="M470" s="620">
        <v>-2.5684801971867515</v>
      </c>
      <c r="N470" s="611">
        <v>0</v>
      </c>
      <c r="O470" s="611">
        <v>0</v>
      </c>
      <c r="P470" s="611">
        <v>0</v>
      </c>
      <c r="Q470" s="611">
        <v>0</v>
      </c>
      <c r="R470" s="611">
        <v>0</v>
      </c>
      <c r="S470" s="611">
        <v>0</v>
      </c>
      <c r="T470" s="611">
        <v>0</v>
      </c>
      <c r="U470" s="611">
        <v>0</v>
      </c>
      <c r="V470" s="611">
        <v>0</v>
      </c>
      <c r="W470" s="611">
        <v>0</v>
      </c>
      <c r="X470" s="611">
        <v>0</v>
      </c>
      <c r="Y470" s="611">
        <v>3.5527902752275287</v>
      </c>
      <c r="Z470" s="619">
        <v>0.98431007804077719</v>
      </c>
      <c r="AA470" s="51"/>
    </row>
    <row r="471" spans="1:27" x14ac:dyDescent="0.25">
      <c r="A471" s="51">
        <v>19</v>
      </c>
      <c r="B471" s="51">
        <v>2043</v>
      </c>
      <c r="C471" s="51" t="s">
        <v>47</v>
      </c>
      <c r="D471" s="51" t="s">
        <v>499</v>
      </c>
      <c r="E471" s="51" t="s">
        <v>564</v>
      </c>
      <c r="F471" s="51"/>
      <c r="G471" s="618" t="s">
        <v>72</v>
      </c>
      <c r="H471" s="611">
        <v>0</v>
      </c>
      <c r="I471" s="611">
        <v>183.99004915233374</v>
      </c>
      <c r="J471" s="611">
        <v>-182.1501486608104</v>
      </c>
      <c r="K471" s="611">
        <v>0</v>
      </c>
      <c r="L471" s="611">
        <v>0</v>
      </c>
      <c r="M471" s="611">
        <v>0</v>
      </c>
      <c r="N471" s="611">
        <v>0</v>
      </c>
      <c r="O471" s="611">
        <v>0</v>
      </c>
      <c r="P471" s="611">
        <v>0</v>
      </c>
      <c r="Q471" s="611">
        <v>0</v>
      </c>
      <c r="R471" s="611">
        <v>0</v>
      </c>
      <c r="S471" s="611">
        <v>0</v>
      </c>
      <c r="T471" s="611">
        <v>0</v>
      </c>
      <c r="U471" s="611">
        <v>0</v>
      </c>
      <c r="V471" s="611">
        <v>0</v>
      </c>
      <c r="W471" s="611">
        <v>0</v>
      </c>
      <c r="X471" s="611">
        <v>0</v>
      </c>
      <c r="Y471" s="611">
        <v>0</v>
      </c>
      <c r="Z471" s="619">
        <v>1.8399004915233377</v>
      </c>
      <c r="AA471" s="51"/>
    </row>
    <row r="472" spans="1:27" x14ac:dyDescent="0.25">
      <c r="A472" s="51">
        <v>20</v>
      </c>
      <c r="B472" s="51">
        <v>2043</v>
      </c>
      <c r="C472" s="51" t="s">
        <v>47</v>
      </c>
      <c r="D472" s="51" t="s">
        <v>500</v>
      </c>
      <c r="E472" s="51" t="s">
        <v>564</v>
      </c>
      <c r="F472" s="51"/>
      <c r="G472" s="618" t="s">
        <v>351</v>
      </c>
      <c r="H472" s="611">
        <v>0</v>
      </c>
      <c r="I472" s="611">
        <v>0</v>
      </c>
      <c r="J472" s="611">
        <v>0</v>
      </c>
      <c r="K472" s="611">
        <v>0</v>
      </c>
      <c r="L472" s="611">
        <v>0</v>
      </c>
      <c r="M472" s="611">
        <v>0</v>
      </c>
      <c r="N472" s="611">
        <v>0</v>
      </c>
      <c r="O472" s="611">
        <v>0</v>
      </c>
      <c r="P472" s="611">
        <v>120.24498975368199</v>
      </c>
      <c r="Q472" s="611">
        <v>0</v>
      </c>
      <c r="R472" s="620">
        <v>-66.134744364525105</v>
      </c>
      <c r="S472" s="611">
        <v>0</v>
      </c>
      <c r="T472" s="611">
        <v>0</v>
      </c>
      <c r="U472" s="611">
        <v>0</v>
      </c>
      <c r="V472" s="611">
        <v>0</v>
      </c>
      <c r="W472" s="611">
        <v>0</v>
      </c>
      <c r="X472" s="611">
        <v>0</v>
      </c>
      <c r="Y472" s="611">
        <v>0</v>
      </c>
      <c r="Z472" s="619">
        <v>54.110245389156887</v>
      </c>
      <c r="AA472" s="51"/>
    </row>
    <row r="473" spans="1:27" x14ac:dyDescent="0.25">
      <c r="A473" s="51">
        <v>21</v>
      </c>
      <c r="B473" s="51">
        <v>2043</v>
      </c>
      <c r="C473" s="51" t="s">
        <v>47</v>
      </c>
      <c r="D473" s="51" t="s">
        <v>501</v>
      </c>
      <c r="E473" s="51" t="s">
        <v>564</v>
      </c>
      <c r="F473" s="51"/>
      <c r="G473" s="618" t="s">
        <v>352</v>
      </c>
      <c r="H473" s="611">
        <v>0</v>
      </c>
      <c r="I473" s="611">
        <v>0</v>
      </c>
      <c r="J473" s="611">
        <v>0</v>
      </c>
      <c r="K473" s="611">
        <v>-13.358049722097002</v>
      </c>
      <c r="L473" s="611">
        <v>0</v>
      </c>
      <c r="M473" s="611">
        <v>0</v>
      </c>
      <c r="N473" s="611">
        <v>0</v>
      </c>
      <c r="O473" s="611">
        <v>0</v>
      </c>
      <c r="P473" s="611">
        <v>0</v>
      </c>
      <c r="Q473" s="611">
        <v>0</v>
      </c>
      <c r="R473" s="611">
        <v>0</v>
      </c>
      <c r="S473" s="611">
        <v>0</v>
      </c>
      <c r="T473" s="611">
        <v>0</v>
      </c>
      <c r="U473" s="611">
        <v>0</v>
      </c>
      <c r="V473" s="611">
        <v>0</v>
      </c>
      <c r="W473" s="611">
        <v>0</v>
      </c>
      <c r="X473" s="611">
        <v>0</v>
      </c>
      <c r="Y473" s="611">
        <v>22.408805399934636</v>
      </c>
      <c r="Z473" s="619">
        <v>9.0507556778376337</v>
      </c>
      <c r="AA473" s="51"/>
    </row>
    <row r="474" spans="1:27" x14ac:dyDescent="0.25">
      <c r="A474" s="51">
        <v>22</v>
      </c>
      <c r="B474" s="51">
        <v>2043</v>
      </c>
      <c r="C474" s="51" t="s">
        <v>47</v>
      </c>
      <c r="D474" s="51" t="s">
        <v>502</v>
      </c>
      <c r="E474" s="51" t="s">
        <v>564</v>
      </c>
      <c r="F474" s="51"/>
      <c r="G474" s="618" t="s">
        <v>73</v>
      </c>
      <c r="H474" s="611">
        <v>0</v>
      </c>
      <c r="I474" s="611">
        <v>0</v>
      </c>
      <c r="J474" s="611">
        <v>0</v>
      </c>
      <c r="K474" s="611">
        <v>0</v>
      </c>
      <c r="L474" s="611">
        <v>0</v>
      </c>
      <c r="M474" s="611">
        <v>0</v>
      </c>
      <c r="N474" s="611">
        <v>0</v>
      </c>
      <c r="O474" s="611">
        <v>0</v>
      </c>
      <c r="P474" s="611">
        <v>0</v>
      </c>
      <c r="Q474" s="611">
        <v>0</v>
      </c>
      <c r="R474" s="611">
        <v>0</v>
      </c>
      <c r="S474" s="611">
        <v>0</v>
      </c>
      <c r="T474" s="611">
        <v>0</v>
      </c>
      <c r="U474" s="611">
        <v>0</v>
      </c>
      <c r="V474" s="611">
        <v>0</v>
      </c>
      <c r="W474" s="611">
        <v>75.654389541864873</v>
      </c>
      <c r="X474" s="611">
        <v>0</v>
      </c>
      <c r="Y474" s="611">
        <v>-52.617627926367021</v>
      </c>
      <c r="Z474" s="619">
        <v>23.036761615497852</v>
      </c>
      <c r="AA474" s="51"/>
    </row>
    <row r="475" spans="1:27" x14ac:dyDescent="0.25">
      <c r="A475" s="51">
        <v>23</v>
      </c>
      <c r="B475" s="51">
        <v>2043</v>
      </c>
      <c r="C475" s="51" t="s">
        <v>47</v>
      </c>
      <c r="D475" s="51" t="s">
        <v>503</v>
      </c>
      <c r="E475" s="51" t="s">
        <v>564</v>
      </c>
      <c r="F475" s="51"/>
      <c r="G475" s="618" t="s">
        <v>353</v>
      </c>
      <c r="H475" s="611">
        <v>3.0181646777343749</v>
      </c>
      <c r="I475" s="611">
        <v>-6.4350233154386336</v>
      </c>
      <c r="J475" s="611">
        <v>8.5665829244642584</v>
      </c>
      <c r="K475" s="611">
        <v>0</v>
      </c>
      <c r="L475" s="611">
        <v>0</v>
      </c>
      <c r="M475" s="611">
        <v>0</v>
      </c>
      <c r="N475" s="611">
        <v>0</v>
      </c>
      <c r="O475" s="611">
        <v>0</v>
      </c>
      <c r="P475" s="611">
        <v>0</v>
      </c>
      <c r="Q475" s="611">
        <v>0</v>
      </c>
      <c r="R475" s="611">
        <v>0</v>
      </c>
      <c r="S475" s="611">
        <v>0</v>
      </c>
      <c r="T475" s="611">
        <v>0</v>
      </c>
      <c r="U475" s="611">
        <v>0</v>
      </c>
      <c r="V475" s="611">
        <v>0</v>
      </c>
      <c r="W475" s="611">
        <v>0</v>
      </c>
      <c r="X475" s="611">
        <v>0</v>
      </c>
      <c r="Y475" s="611">
        <v>0</v>
      </c>
      <c r="Z475" s="619">
        <v>5.1497242867599997</v>
      </c>
      <c r="AA475" s="51"/>
    </row>
    <row r="476" spans="1:27" x14ac:dyDescent="0.25">
      <c r="A476" s="51">
        <v>24</v>
      </c>
      <c r="B476" s="51">
        <v>2043</v>
      </c>
      <c r="C476" s="51" t="s">
        <v>47</v>
      </c>
      <c r="D476" s="51" t="s">
        <v>504</v>
      </c>
      <c r="E476" s="51" t="s">
        <v>564</v>
      </c>
      <c r="F476" s="51"/>
      <c r="G476" s="618" t="s">
        <v>75</v>
      </c>
      <c r="H476" s="611">
        <v>1.1737307080078125</v>
      </c>
      <c r="I476" s="611">
        <v>0</v>
      </c>
      <c r="J476" s="611">
        <v>6.4072238182271617</v>
      </c>
      <c r="K476" s="611">
        <v>0</v>
      </c>
      <c r="L476" s="611">
        <v>2.6930059388046197</v>
      </c>
      <c r="M476" s="611">
        <v>2.9922288208940218E-2</v>
      </c>
      <c r="N476" s="611">
        <v>0</v>
      </c>
      <c r="O476" s="611">
        <v>0</v>
      </c>
      <c r="P476" s="611">
        <v>0</v>
      </c>
      <c r="Q476" s="611">
        <v>0</v>
      </c>
      <c r="R476" s="611">
        <v>0</v>
      </c>
      <c r="S476" s="611">
        <v>2.2641198078098097</v>
      </c>
      <c r="T476" s="611">
        <v>0</v>
      </c>
      <c r="U476" s="611">
        <v>0</v>
      </c>
      <c r="V476" s="611">
        <v>0</v>
      </c>
      <c r="W476" s="620">
        <v>37.018687204568423</v>
      </c>
      <c r="X476" s="611">
        <v>0</v>
      </c>
      <c r="Y476" s="611">
        <v>0</v>
      </c>
      <c r="Z476" s="619">
        <v>49.586689765626765</v>
      </c>
      <c r="AA476" s="51"/>
    </row>
    <row r="477" spans="1:27" x14ac:dyDescent="0.25">
      <c r="A477" s="51">
        <v>25</v>
      </c>
      <c r="B477" s="51">
        <v>2043</v>
      </c>
      <c r="C477" s="51" t="s">
        <v>47</v>
      </c>
      <c r="D477" s="51" t="s">
        <v>505</v>
      </c>
      <c r="E477" s="51" t="s">
        <v>564</v>
      </c>
      <c r="F477" s="51"/>
      <c r="G477" s="618" t="s">
        <v>76</v>
      </c>
      <c r="H477" s="611">
        <v>0</v>
      </c>
      <c r="I477" s="611">
        <v>0</v>
      </c>
      <c r="J477" s="611">
        <v>0</v>
      </c>
      <c r="K477" s="611">
        <v>0</v>
      </c>
      <c r="L477" s="611">
        <v>0.85294515252366632</v>
      </c>
      <c r="M477" s="611">
        <v>9.4771683613740706E-3</v>
      </c>
      <c r="N477" s="611">
        <v>0</v>
      </c>
      <c r="O477" s="611">
        <v>0</v>
      </c>
      <c r="P477" s="611">
        <v>0</v>
      </c>
      <c r="Q477" s="611">
        <v>0</v>
      </c>
      <c r="R477" s="611">
        <v>0</v>
      </c>
      <c r="S477" s="611">
        <v>0.71710573934397126</v>
      </c>
      <c r="T477" s="611">
        <v>0</v>
      </c>
      <c r="U477" s="611">
        <v>0</v>
      </c>
      <c r="V477" s="611">
        <v>0</v>
      </c>
      <c r="W477" s="611">
        <v>59.513866190800535</v>
      </c>
      <c r="X477" s="611">
        <v>6.5944474905455328</v>
      </c>
      <c r="Y477" s="611">
        <v>0</v>
      </c>
      <c r="Z477" s="619">
        <v>67.68784174157507</v>
      </c>
      <c r="AA477" s="51"/>
    </row>
    <row r="478" spans="1:27" x14ac:dyDescent="0.25">
      <c r="A478" s="51">
        <v>26</v>
      </c>
      <c r="B478" s="51">
        <v>2043</v>
      </c>
      <c r="C478" s="51" t="s">
        <v>47</v>
      </c>
      <c r="D478" s="51" t="s">
        <v>506</v>
      </c>
      <c r="E478" s="51" t="s">
        <v>564</v>
      </c>
      <c r="F478" s="51"/>
      <c r="G478" s="614" t="s">
        <v>77</v>
      </c>
      <c r="H478" s="615">
        <v>4.1918953857421872</v>
      </c>
      <c r="I478" s="615">
        <v>177.55502583689511</v>
      </c>
      <c r="J478" s="615">
        <v>-167.14988113675898</v>
      </c>
      <c r="K478" s="615">
        <v>-13.358049722097002</v>
      </c>
      <c r="L478" s="615">
        <v>13.806384127753137</v>
      </c>
      <c r="M478" s="615">
        <v>-2.4151004761357986</v>
      </c>
      <c r="N478" s="615">
        <v>1099.5634462452226</v>
      </c>
      <c r="O478" s="615">
        <v>455.95466122789804</v>
      </c>
      <c r="P478" s="615">
        <v>293.81697513245194</v>
      </c>
      <c r="Q478" s="615">
        <v>18.012320452555016</v>
      </c>
      <c r="R478" s="615">
        <v>-60.076872626934616</v>
      </c>
      <c r="S478" s="615">
        <v>-55.074889511148726</v>
      </c>
      <c r="T478" s="615">
        <v>4.9829809655774078</v>
      </c>
      <c r="U478" s="615">
        <v>12.926787414850283</v>
      </c>
      <c r="V478" s="615">
        <v>19.87497356623129</v>
      </c>
      <c r="W478" s="615">
        <v>-661.09603997166164</v>
      </c>
      <c r="X478" s="615">
        <v>-78.444135410376404</v>
      </c>
      <c r="Y478" s="615">
        <v>-26.656032251204856</v>
      </c>
      <c r="Z478" s="615">
        <v>1036.4144492488592</v>
      </c>
      <c r="AA478" s="51"/>
    </row>
    <row r="479" spans="1:27" x14ac:dyDescent="0.25">
      <c r="A479" s="51"/>
      <c r="B479" s="51"/>
      <c r="C479" s="51"/>
      <c r="D479" s="51"/>
      <c r="E479" s="51"/>
      <c r="F479" s="51"/>
      <c r="G479" s="616"/>
      <c r="H479" s="617"/>
      <c r="I479" s="617"/>
      <c r="J479" s="617"/>
      <c r="K479" s="617"/>
      <c r="L479" s="617"/>
      <c r="M479" s="617"/>
      <c r="N479" s="617"/>
      <c r="O479" s="617"/>
      <c r="P479" s="617"/>
      <c r="Q479" s="617"/>
      <c r="R479" s="617"/>
      <c r="S479" s="617"/>
      <c r="T479" s="617"/>
      <c r="U479" s="617"/>
      <c r="V479" s="617"/>
      <c r="W479" s="617"/>
      <c r="X479" s="617"/>
      <c r="Y479" s="617"/>
      <c r="Z479" s="617"/>
      <c r="AA479" s="51"/>
    </row>
    <row r="480" spans="1:27" x14ac:dyDescent="0.25">
      <c r="A480" s="51">
        <v>28</v>
      </c>
      <c r="B480" s="51">
        <v>2043</v>
      </c>
      <c r="C480" s="51" t="s">
        <v>47</v>
      </c>
      <c r="D480" s="51" t="s">
        <v>507</v>
      </c>
      <c r="E480" s="51" t="s">
        <v>564</v>
      </c>
      <c r="F480" s="51"/>
      <c r="G480" s="618" t="s">
        <v>78</v>
      </c>
      <c r="H480" s="611">
        <v>0.93081381103515637</v>
      </c>
      <c r="I480" s="611">
        <v>0</v>
      </c>
      <c r="J480" s="611">
        <v>1.3690366058242474</v>
      </c>
      <c r="K480" s="611">
        <v>0</v>
      </c>
      <c r="L480" s="611">
        <v>26.607776699124944</v>
      </c>
      <c r="M480" s="620">
        <v>0.29564196332361048</v>
      </c>
      <c r="N480" s="611">
        <v>0</v>
      </c>
      <c r="O480" s="611">
        <v>0</v>
      </c>
      <c r="P480" s="611">
        <v>31.292084146718981</v>
      </c>
      <c r="Q480" s="611">
        <v>14.582470060646767</v>
      </c>
      <c r="R480" s="611">
        <v>0.38616188916667965</v>
      </c>
      <c r="S480" s="611">
        <v>22.4105171387388</v>
      </c>
      <c r="T480" s="611">
        <v>15.6831162109375</v>
      </c>
      <c r="U480" s="611">
        <v>0</v>
      </c>
      <c r="V480" s="611">
        <v>8.2107689234467234E-4</v>
      </c>
      <c r="W480" s="611">
        <v>164.2090318665947</v>
      </c>
      <c r="X480" s="611">
        <v>18.4218080787962</v>
      </c>
      <c r="Y480" s="611">
        <v>11.674375</v>
      </c>
      <c r="Z480" s="619">
        <v>307.86365454779991</v>
      </c>
      <c r="AA480" s="51"/>
    </row>
    <row r="481" spans="1:27" x14ac:dyDescent="0.25">
      <c r="A481" s="51">
        <v>29</v>
      </c>
      <c r="B481" s="51">
        <v>2043</v>
      </c>
      <c r="C481" s="51" t="s">
        <v>47</v>
      </c>
      <c r="D481" s="51" t="s">
        <v>508</v>
      </c>
      <c r="E481" s="51" t="s">
        <v>564</v>
      </c>
      <c r="F481" s="51"/>
      <c r="G481" s="618" t="s">
        <v>79</v>
      </c>
      <c r="H481" s="611">
        <v>0</v>
      </c>
      <c r="I481" s="611">
        <v>0</v>
      </c>
      <c r="J481" s="611">
        <v>57.415221307039587</v>
      </c>
      <c r="K481" s="611">
        <v>1.6</v>
      </c>
      <c r="L481" s="611">
        <v>4.0790634787223929</v>
      </c>
      <c r="M481" s="620">
        <v>4.5322927541359921E-2</v>
      </c>
      <c r="N481" s="611">
        <v>0</v>
      </c>
      <c r="O481" s="611">
        <v>0</v>
      </c>
      <c r="P481" s="611">
        <v>0</v>
      </c>
      <c r="Q481" s="611">
        <v>0</v>
      </c>
      <c r="R481" s="611">
        <v>31.800952318042711</v>
      </c>
      <c r="S481" s="611">
        <v>3.4294348506295673</v>
      </c>
      <c r="T481" s="611">
        <v>0</v>
      </c>
      <c r="U481" s="611">
        <v>0</v>
      </c>
      <c r="V481" s="611">
        <v>0</v>
      </c>
      <c r="W481" s="611">
        <v>112.28525884459542</v>
      </c>
      <c r="X481" s="611">
        <v>0</v>
      </c>
      <c r="Y481" s="611">
        <v>5.8069925085288689</v>
      </c>
      <c r="Z481" s="619">
        <v>216.46224623509991</v>
      </c>
      <c r="AA481" s="51"/>
    </row>
    <row r="482" spans="1:27" x14ac:dyDescent="0.25">
      <c r="A482" s="51">
        <v>30</v>
      </c>
      <c r="B482" s="51">
        <v>2043</v>
      </c>
      <c r="C482" s="51" t="s">
        <v>47</v>
      </c>
      <c r="D482" s="51" t="s">
        <v>509</v>
      </c>
      <c r="E482" s="51" t="s">
        <v>564</v>
      </c>
      <c r="F482" s="51"/>
      <c r="G482" s="618" t="s">
        <v>80</v>
      </c>
      <c r="H482" s="611">
        <v>0</v>
      </c>
      <c r="I482" s="611">
        <v>0</v>
      </c>
      <c r="J482" s="611">
        <v>0.28520535537801706</v>
      </c>
      <c r="K482" s="611">
        <v>0</v>
      </c>
      <c r="L482" s="611">
        <v>17.360944798871827</v>
      </c>
      <c r="M482" s="620">
        <v>0.19289938665413139</v>
      </c>
      <c r="N482" s="611">
        <v>0</v>
      </c>
      <c r="O482" s="611">
        <v>0</v>
      </c>
      <c r="P482" s="611">
        <v>39.348988037163082</v>
      </c>
      <c r="Q482" s="611">
        <v>0</v>
      </c>
      <c r="R482" s="611">
        <v>0</v>
      </c>
      <c r="S482" s="611">
        <v>14.59605359016261</v>
      </c>
      <c r="T482" s="611">
        <v>131.70469277372959</v>
      </c>
      <c r="U482" s="611">
        <v>0</v>
      </c>
      <c r="V482" s="611">
        <v>15.831068497361814</v>
      </c>
      <c r="W482" s="611">
        <v>131.90843563560503</v>
      </c>
      <c r="X482" s="611">
        <v>36.470204173728021</v>
      </c>
      <c r="Y482" s="611">
        <v>0</v>
      </c>
      <c r="Z482" s="619">
        <v>387.69849224865413</v>
      </c>
      <c r="AA482" s="51"/>
    </row>
    <row r="483" spans="1:27" x14ac:dyDescent="0.25">
      <c r="A483" s="51">
        <v>31</v>
      </c>
      <c r="B483" s="51">
        <v>2043</v>
      </c>
      <c r="C483" s="51" t="s">
        <v>47</v>
      </c>
      <c r="D483" s="51" t="s">
        <v>510</v>
      </c>
      <c r="E483" s="51" t="s">
        <v>564</v>
      </c>
      <c r="F483" s="51"/>
      <c r="G483" s="618" t="s">
        <v>81</v>
      </c>
      <c r="H483" s="611">
        <v>0</v>
      </c>
      <c r="I483" s="611">
        <v>0</v>
      </c>
      <c r="J483" s="611">
        <v>0.54008870380299134</v>
      </c>
      <c r="K483" s="611">
        <v>0</v>
      </c>
      <c r="L483" s="611">
        <v>9.4750320243419033</v>
      </c>
      <c r="M483" s="620">
        <v>0.10527813360379891</v>
      </c>
      <c r="N483" s="611">
        <v>0</v>
      </c>
      <c r="O483" s="611">
        <v>0</v>
      </c>
      <c r="P483" s="611">
        <v>0.50385641884580723</v>
      </c>
      <c r="Q483" s="611">
        <v>0</v>
      </c>
      <c r="R483" s="611">
        <v>0</v>
      </c>
      <c r="S483" s="611">
        <v>7.9660454426874514</v>
      </c>
      <c r="T483" s="611">
        <v>66.748956590873746</v>
      </c>
      <c r="U483" s="611">
        <v>0</v>
      </c>
      <c r="V483" s="611">
        <v>9.7888271325438172</v>
      </c>
      <c r="W483" s="611">
        <v>125.20133118972819</v>
      </c>
      <c r="X483" s="611">
        <v>23.552090648096016</v>
      </c>
      <c r="Y483" s="611">
        <v>0</v>
      </c>
      <c r="Z483" s="619">
        <v>243.88150628452374</v>
      </c>
      <c r="AA483" s="51"/>
    </row>
    <row r="484" spans="1:27" x14ac:dyDescent="0.25">
      <c r="A484" s="51">
        <v>32</v>
      </c>
      <c r="B484" s="51">
        <v>2043</v>
      </c>
      <c r="C484" s="51" t="s">
        <v>47</v>
      </c>
      <c r="D484" s="51" t="s">
        <v>511</v>
      </c>
      <c r="E484" s="51" t="s">
        <v>564</v>
      </c>
      <c r="F484" s="51"/>
      <c r="G484" s="618" t="s">
        <v>82</v>
      </c>
      <c r="H484" s="611">
        <v>0</v>
      </c>
      <c r="I484" s="611">
        <v>0</v>
      </c>
      <c r="J484" s="611">
        <v>8.4604278538625355</v>
      </c>
      <c r="K484" s="611">
        <v>0</v>
      </c>
      <c r="L484" s="611">
        <v>0.60250673401500643</v>
      </c>
      <c r="M484" s="620">
        <v>6.6945192668334047E-3</v>
      </c>
      <c r="N484" s="611">
        <v>0</v>
      </c>
      <c r="O484" s="611">
        <v>0</v>
      </c>
      <c r="P484" s="611">
        <v>16.880915854504494</v>
      </c>
      <c r="Q484" s="611">
        <v>0</v>
      </c>
      <c r="R484" s="611">
        <v>8.0439535729809908</v>
      </c>
      <c r="S484" s="611">
        <v>0.50655195785706097</v>
      </c>
      <c r="T484" s="611">
        <v>1.1499999999999999</v>
      </c>
      <c r="U484" s="611">
        <v>0</v>
      </c>
      <c r="V484" s="611">
        <v>1.5666563685107562</v>
      </c>
      <c r="W484" s="611">
        <v>10.022325873265157</v>
      </c>
      <c r="X484" s="611">
        <v>0</v>
      </c>
      <c r="Y484" s="611">
        <v>0.50936070240640652</v>
      </c>
      <c r="Z484" s="619">
        <v>47.749393436669244</v>
      </c>
      <c r="AA484" s="51"/>
    </row>
    <row r="485" spans="1:27" x14ac:dyDescent="0.25">
      <c r="A485" s="51">
        <v>33</v>
      </c>
      <c r="B485" s="51">
        <v>2043</v>
      </c>
      <c r="C485" s="51" t="s">
        <v>47</v>
      </c>
      <c r="D485" s="51" t="s">
        <v>512</v>
      </c>
      <c r="E485" s="51" t="s">
        <v>564</v>
      </c>
      <c r="F485" s="51"/>
      <c r="G485" s="618" t="s">
        <v>354</v>
      </c>
      <c r="H485" s="611">
        <v>0</v>
      </c>
      <c r="I485" s="611">
        <v>0</v>
      </c>
      <c r="J485" s="611">
        <v>0</v>
      </c>
      <c r="K485" s="611">
        <v>0</v>
      </c>
      <c r="L485" s="611">
        <v>0</v>
      </c>
      <c r="M485" s="611">
        <v>0</v>
      </c>
      <c r="N485" s="611">
        <v>0</v>
      </c>
      <c r="O485" s="611">
        <v>0</v>
      </c>
      <c r="P485" s="611">
        <v>0</v>
      </c>
      <c r="Q485" s="611">
        <v>0</v>
      </c>
      <c r="R485" s="611">
        <v>0</v>
      </c>
      <c r="S485" s="611">
        <v>0</v>
      </c>
      <c r="T485" s="611">
        <v>0</v>
      </c>
      <c r="U485" s="611">
        <v>0</v>
      </c>
      <c r="V485" s="611">
        <v>0</v>
      </c>
      <c r="W485" s="611">
        <v>12.510565990579652</v>
      </c>
      <c r="X485" s="611">
        <v>0</v>
      </c>
      <c r="Y485" s="611">
        <v>0</v>
      </c>
      <c r="Z485" s="619">
        <v>12.510565990579652</v>
      </c>
      <c r="AA485" s="51"/>
    </row>
    <row r="486" spans="1:27" x14ac:dyDescent="0.25">
      <c r="A486" s="51">
        <v>34</v>
      </c>
      <c r="B486" s="51">
        <v>2043</v>
      </c>
      <c r="C486" s="51" t="s">
        <v>47</v>
      </c>
      <c r="D486" s="51" t="s">
        <v>513</v>
      </c>
      <c r="E486" s="51" t="s">
        <v>564</v>
      </c>
      <c r="F486" s="51"/>
      <c r="G486" s="614" t="s">
        <v>83</v>
      </c>
      <c r="H486" s="615">
        <v>0.93081381103515637</v>
      </c>
      <c r="I486" s="615">
        <v>0</v>
      </c>
      <c r="J486" s="615">
        <v>68.069979825907382</v>
      </c>
      <c r="K486" s="615">
        <v>1.6</v>
      </c>
      <c r="L486" s="615">
        <v>58.12532373507608</v>
      </c>
      <c r="M486" s="615">
        <v>0.64583693038973411</v>
      </c>
      <c r="N486" s="615">
        <v>0</v>
      </c>
      <c r="O486" s="615">
        <v>0</v>
      </c>
      <c r="P486" s="615">
        <v>88.025844457232367</v>
      </c>
      <c r="Q486" s="615">
        <v>14.582470060646767</v>
      </c>
      <c r="R486" s="615">
        <v>40.231067780190379</v>
      </c>
      <c r="S486" s="615">
        <v>48.908602980075493</v>
      </c>
      <c r="T486" s="615">
        <v>215.28676557554084</v>
      </c>
      <c r="U486" s="615">
        <v>0</v>
      </c>
      <c r="V486" s="615">
        <v>27.187373075308734</v>
      </c>
      <c r="W486" s="615">
        <v>556.13694940036805</v>
      </c>
      <c r="X486" s="615">
        <v>78.444102900620237</v>
      </c>
      <c r="Y486" s="615">
        <v>17.990728210935277</v>
      </c>
      <c r="Z486" s="615">
        <v>1216.1658587433265</v>
      </c>
      <c r="AA486" s="51"/>
    </row>
    <row r="487" spans="1:27" x14ac:dyDescent="0.25">
      <c r="A487" s="51">
        <v>35</v>
      </c>
      <c r="B487" s="51">
        <v>2043</v>
      </c>
      <c r="C487" s="51" t="s">
        <v>47</v>
      </c>
      <c r="D487" s="51" t="s">
        <v>514</v>
      </c>
      <c r="E487" s="51" t="s">
        <v>564</v>
      </c>
      <c r="F487" s="51"/>
      <c r="G487" s="610" t="s">
        <v>84</v>
      </c>
      <c r="H487" s="611">
        <v>0</v>
      </c>
      <c r="I487" s="611">
        <v>0</v>
      </c>
      <c r="J487" s="611">
        <v>91.869659616093799</v>
      </c>
      <c r="K487" s="611">
        <v>5.5829759094003109</v>
      </c>
      <c r="L487" s="611">
        <v>6.7016875262694935</v>
      </c>
      <c r="M487" s="611">
        <v>0</v>
      </c>
      <c r="N487" s="611">
        <v>0</v>
      </c>
      <c r="O487" s="611">
        <v>0</v>
      </c>
      <c r="P487" s="720">
        <v>0.52102077759010035</v>
      </c>
      <c r="Q487" s="611">
        <v>0</v>
      </c>
      <c r="R487" s="611">
        <v>10.029790852065725</v>
      </c>
      <c r="S487" s="611">
        <v>4.6615375599121398</v>
      </c>
      <c r="T487" s="611">
        <v>0</v>
      </c>
      <c r="U487" s="611">
        <v>0</v>
      </c>
      <c r="V487" s="611">
        <v>0</v>
      </c>
      <c r="W487" s="611">
        <v>0</v>
      </c>
      <c r="X487" s="611">
        <v>0</v>
      </c>
      <c r="Y487" s="611">
        <v>3.6020133038371287</v>
      </c>
      <c r="Z487" s="619">
        <v>122.9686855451687</v>
      </c>
      <c r="AA487" s="51"/>
    </row>
    <row r="488" spans="1:27" x14ac:dyDescent="0.25">
      <c r="A488" s="51">
        <v>36</v>
      </c>
      <c r="B488" s="51">
        <v>2043</v>
      </c>
      <c r="C488" s="51" t="s">
        <v>47</v>
      </c>
      <c r="D488" s="51" t="s">
        <v>515</v>
      </c>
      <c r="E488" s="51" t="s">
        <v>564</v>
      </c>
      <c r="F488" s="51"/>
      <c r="G488" s="614" t="s">
        <v>85</v>
      </c>
      <c r="H488" s="615">
        <v>0.93081381103515637</v>
      </c>
      <c r="I488" s="615">
        <v>0</v>
      </c>
      <c r="J488" s="615">
        <v>159.93963944200118</v>
      </c>
      <c r="K488" s="615">
        <v>7.1829759094003105</v>
      </c>
      <c r="L488" s="615">
        <v>64.827011261345575</v>
      </c>
      <c r="M488" s="615">
        <v>0.64583693038973411</v>
      </c>
      <c r="N488" s="615">
        <v>0</v>
      </c>
      <c r="O488" s="615">
        <v>0</v>
      </c>
      <c r="P488" s="615">
        <v>88.546865234822462</v>
      </c>
      <c r="Q488" s="615">
        <v>14.582470060646767</v>
      </c>
      <c r="R488" s="615">
        <v>50.260858632256102</v>
      </c>
      <c r="S488" s="615">
        <v>53.570140539987634</v>
      </c>
      <c r="T488" s="615">
        <v>215.28676557554084</v>
      </c>
      <c r="U488" s="615">
        <v>0</v>
      </c>
      <c r="V488" s="615">
        <v>27.187373075308734</v>
      </c>
      <c r="W488" s="615">
        <v>556.13694940036805</v>
      </c>
      <c r="X488" s="615">
        <v>78.444102900620237</v>
      </c>
      <c r="Y488" s="615">
        <v>21.592741514772406</v>
      </c>
      <c r="Z488" s="615">
        <v>1339.1345442884951</v>
      </c>
      <c r="AA488" s="51"/>
    </row>
    <row r="489" spans="1:27" x14ac:dyDescent="0.25">
      <c r="A489" s="51"/>
      <c r="B489" s="51"/>
      <c r="C489" s="51"/>
      <c r="D489" s="51"/>
      <c r="E489" s="51"/>
      <c r="F489" s="51"/>
      <c r="G489" s="51"/>
      <c r="H489" s="67">
        <v>0</v>
      </c>
      <c r="I489" s="67">
        <v>0</v>
      </c>
      <c r="J489" s="67">
        <v>7.1054273576010019E-15</v>
      </c>
      <c r="K489" s="67">
        <v>0</v>
      </c>
      <c r="L489" s="67">
        <v>2.4547035181399224E-5</v>
      </c>
      <c r="M489" s="67">
        <v>-2.4547035192945543E-5</v>
      </c>
      <c r="N489" s="67">
        <v>0</v>
      </c>
      <c r="O489" s="67">
        <v>0</v>
      </c>
      <c r="P489" s="67">
        <v>0</v>
      </c>
      <c r="Q489" s="67">
        <v>0</v>
      </c>
      <c r="R489" s="67">
        <v>0</v>
      </c>
      <c r="S489" s="722">
        <v>1.5765166949677223E-14</v>
      </c>
      <c r="T489" s="67">
        <v>0</v>
      </c>
      <c r="U489" s="67">
        <v>0</v>
      </c>
      <c r="V489" s="67">
        <v>0</v>
      </c>
      <c r="W489" s="67">
        <v>0</v>
      </c>
      <c r="X489" s="721">
        <v>-3.2509756167087289E-5</v>
      </c>
      <c r="Y489" s="67">
        <v>0</v>
      </c>
      <c r="Z489" s="67">
        <v>-3.2509755783394212E-5</v>
      </c>
      <c r="AA489" s="51"/>
    </row>
    <row r="490" spans="1:27" x14ac:dyDescent="0.25">
      <c r="A490" s="51"/>
      <c r="B490" s="51"/>
      <c r="C490" s="51"/>
      <c r="D490" s="51"/>
      <c r="E490" s="51"/>
      <c r="F490" s="51"/>
      <c r="G490" s="51"/>
      <c r="H490" s="51"/>
      <c r="I490" s="51"/>
      <c r="J490" s="51"/>
      <c r="K490" s="67"/>
      <c r="L490" s="51"/>
      <c r="M490" s="51"/>
      <c r="N490" s="51"/>
      <c r="O490" s="51"/>
      <c r="P490" s="51"/>
      <c r="Q490" s="51"/>
      <c r="R490" s="51"/>
      <c r="S490" s="51"/>
      <c r="T490" s="51"/>
      <c r="U490" s="51"/>
      <c r="V490" s="51"/>
      <c r="W490" s="51"/>
      <c r="X490" s="51"/>
      <c r="Y490" s="51"/>
      <c r="Z490" s="51"/>
      <c r="AA490" s="51"/>
    </row>
    <row r="491" spans="1:27" x14ac:dyDescent="0.25">
      <c r="A491" s="606"/>
      <c r="B491" s="606"/>
      <c r="C491" s="606"/>
      <c r="D491" s="606"/>
      <c r="E491" s="606"/>
      <c r="F491" s="606"/>
      <c r="G491" s="607" t="s">
        <v>361</v>
      </c>
      <c r="H491" s="606"/>
      <c r="I491" s="606"/>
      <c r="J491" s="606"/>
      <c r="K491" s="682"/>
      <c r="L491" s="606"/>
      <c r="M491" s="606"/>
      <c r="N491" s="606"/>
      <c r="O491" s="606"/>
      <c r="P491" s="606"/>
      <c r="Q491" s="606"/>
      <c r="R491" s="606"/>
      <c r="S491" s="606"/>
      <c r="T491" s="606"/>
      <c r="U491" s="606"/>
      <c r="V491" s="606"/>
      <c r="W491" s="606"/>
      <c r="X491" s="606"/>
      <c r="Y491" s="606"/>
      <c r="Z491" s="606"/>
      <c r="AA491" s="606"/>
    </row>
    <row r="492" spans="1:27" x14ac:dyDescent="0.25">
      <c r="A492" s="51"/>
      <c r="B492" s="51"/>
      <c r="C492" s="51"/>
      <c r="D492" s="51"/>
      <c r="E492" s="51"/>
      <c r="F492" s="51"/>
      <c r="G492" s="51"/>
      <c r="H492" s="51"/>
      <c r="I492" s="51"/>
      <c r="J492" s="51"/>
      <c r="K492" s="67"/>
      <c r="L492" s="51"/>
      <c r="M492" s="51"/>
      <c r="N492" s="51"/>
      <c r="O492" s="51"/>
      <c r="P492" s="51"/>
      <c r="Q492" s="51"/>
      <c r="R492" s="51"/>
      <c r="S492" s="51"/>
      <c r="T492" s="51"/>
      <c r="U492" s="51"/>
      <c r="V492" s="51"/>
      <c r="W492" s="51"/>
      <c r="X492" s="51"/>
      <c r="Y492" s="51"/>
      <c r="Z492" s="51"/>
      <c r="AA492" s="51"/>
    </row>
    <row r="493" spans="1:27" x14ac:dyDescent="0.25">
      <c r="A493" s="51"/>
      <c r="B493" s="51"/>
      <c r="C493" s="51"/>
      <c r="D493" s="51"/>
      <c r="E493" s="51"/>
      <c r="F493" s="51"/>
      <c r="G493" s="764" t="s">
        <v>128</v>
      </c>
      <c r="H493" s="753" t="s">
        <v>42</v>
      </c>
      <c r="I493" s="753" t="s">
        <v>52</v>
      </c>
      <c r="J493" s="753" t="s">
        <v>53</v>
      </c>
      <c r="K493" s="766" t="s">
        <v>482</v>
      </c>
      <c r="L493" s="753" t="s">
        <v>32</v>
      </c>
      <c r="M493" s="753" t="s">
        <v>483</v>
      </c>
      <c r="N493" s="753" t="s">
        <v>20</v>
      </c>
      <c r="O493" s="753" t="s">
        <v>55</v>
      </c>
      <c r="P493" s="761" t="s">
        <v>56</v>
      </c>
      <c r="Q493" s="762"/>
      <c r="R493" s="762"/>
      <c r="S493" s="762"/>
      <c r="T493" s="762"/>
      <c r="U493" s="762"/>
      <c r="V493" s="763"/>
      <c r="W493" s="753" t="s">
        <v>57</v>
      </c>
      <c r="X493" s="753" t="s">
        <v>58</v>
      </c>
      <c r="Y493" s="753" t="s">
        <v>31</v>
      </c>
      <c r="Z493" s="753" t="s">
        <v>10</v>
      </c>
      <c r="AA493" s="51"/>
    </row>
    <row r="494" spans="1:27" ht="36" x14ac:dyDescent="0.25">
      <c r="A494" s="51"/>
      <c r="B494" s="51"/>
      <c r="C494" s="51"/>
      <c r="D494" s="51" t="s">
        <v>486</v>
      </c>
      <c r="E494" s="51"/>
      <c r="F494" s="51"/>
      <c r="G494" s="765"/>
      <c r="H494" s="754"/>
      <c r="I494" s="754"/>
      <c r="J494" s="754"/>
      <c r="K494" s="767"/>
      <c r="L494" s="754"/>
      <c r="M494" s="754"/>
      <c r="N494" s="754"/>
      <c r="O494" s="754"/>
      <c r="P494" s="608" t="s">
        <v>335</v>
      </c>
      <c r="Q494" s="608" t="s">
        <v>40</v>
      </c>
      <c r="R494" s="608" t="s">
        <v>343</v>
      </c>
      <c r="S494" s="608" t="s">
        <v>344</v>
      </c>
      <c r="T494" s="609" t="s">
        <v>345</v>
      </c>
      <c r="U494" s="609" t="s">
        <v>609</v>
      </c>
      <c r="V494" s="608" t="s">
        <v>346</v>
      </c>
      <c r="W494" s="754"/>
      <c r="X494" s="754"/>
      <c r="Y494" s="754"/>
      <c r="Z494" s="754"/>
      <c r="AA494" s="51"/>
    </row>
    <row r="495" spans="1:27" x14ac:dyDescent="0.25">
      <c r="A495" s="51">
        <v>6</v>
      </c>
      <c r="B495" s="51">
        <v>2045</v>
      </c>
      <c r="C495" s="51" t="s">
        <v>47</v>
      </c>
      <c r="D495" s="51" t="s">
        <v>487</v>
      </c>
      <c r="E495" s="51" t="s">
        <v>564</v>
      </c>
      <c r="F495" s="51"/>
      <c r="G495" s="610" t="s">
        <v>59</v>
      </c>
      <c r="H495" s="611">
        <v>0</v>
      </c>
      <c r="I495" s="611">
        <v>0</v>
      </c>
      <c r="J495" s="611">
        <v>0</v>
      </c>
      <c r="K495" s="611">
        <v>0</v>
      </c>
      <c r="L495" s="611">
        <v>0</v>
      </c>
      <c r="M495" s="611">
        <v>0</v>
      </c>
      <c r="N495" s="612">
        <v>1021.284633623859</v>
      </c>
      <c r="O495" s="612">
        <v>491.95595039873717</v>
      </c>
      <c r="P495" s="611">
        <v>380.90213754378306</v>
      </c>
      <c r="Q495" s="612">
        <v>31.532579037217641</v>
      </c>
      <c r="R495" s="611">
        <v>0</v>
      </c>
      <c r="S495" s="611">
        <v>0</v>
      </c>
      <c r="T495" s="612">
        <v>231.4597810194058</v>
      </c>
      <c r="U495" s="612">
        <v>12.892628144304556</v>
      </c>
      <c r="V495" s="612">
        <v>48.485721066709132</v>
      </c>
      <c r="W495" s="611">
        <v>0</v>
      </c>
      <c r="X495" s="611">
        <v>0</v>
      </c>
      <c r="Y495" s="611">
        <v>0</v>
      </c>
      <c r="Z495" s="613">
        <v>2218.5134308340162</v>
      </c>
      <c r="AA495" s="51"/>
    </row>
    <row r="496" spans="1:27" x14ac:dyDescent="0.25">
      <c r="A496" s="51">
        <v>7</v>
      </c>
      <c r="B496" s="51">
        <v>2045</v>
      </c>
      <c r="C496" s="51" t="s">
        <v>47</v>
      </c>
      <c r="D496" s="51" t="s">
        <v>488</v>
      </c>
      <c r="E496" s="51" t="s">
        <v>564</v>
      </c>
      <c r="F496" s="51"/>
      <c r="G496" s="610" t="s">
        <v>60</v>
      </c>
      <c r="H496" s="611">
        <v>0.36664902496337887</v>
      </c>
      <c r="I496" s="611">
        <v>143.57372262348443</v>
      </c>
      <c r="J496" s="611">
        <v>17.56843871930073</v>
      </c>
      <c r="K496" s="611">
        <v>9.0453912737546531</v>
      </c>
      <c r="L496" s="620">
        <v>65.521796999776086</v>
      </c>
      <c r="M496" s="611">
        <v>0</v>
      </c>
      <c r="N496" s="611">
        <v>0</v>
      </c>
      <c r="O496" s="611">
        <v>0</v>
      </c>
      <c r="P496" s="611">
        <v>0</v>
      </c>
      <c r="Q496" s="611">
        <v>0</v>
      </c>
      <c r="R496" s="611">
        <v>6.05319342469015</v>
      </c>
      <c r="S496" s="611">
        <v>0</v>
      </c>
      <c r="T496" s="611">
        <v>0</v>
      </c>
      <c r="U496" s="611">
        <v>0</v>
      </c>
      <c r="V496" s="611">
        <v>0</v>
      </c>
      <c r="W496" s="611">
        <v>0</v>
      </c>
      <c r="X496" s="611">
        <v>0</v>
      </c>
      <c r="Y496" s="611">
        <v>0</v>
      </c>
      <c r="Z496" s="613">
        <v>242.12919206596945</v>
      </c>
      <c r="AA496" s="51"/>
    </row>
    <row r="497" spans="1:27" x14ac:dyDescent="0.25">
      <c r="A497" s="51">
        <v>8</v>
      </c>
      <c r="B497" s="51">
        <v>2045</v>
      </c>
      <c r="C497" s="51" t="s">
        <v>47</v>
      </c>
      <c r="D497" s="51" t="s">
        <v>489</v>
      </c>
      <c r="E497" s="51" t="s">
        <v>564</v>
      </c>
      <c r="F497" s="51"/>
      <c r="G497" s="610" t="s">
        <v>61</v>
      </c>
      <c r="H497" s="611">
        <v>0</v>
      </c>
      <c r="I497" s="611">
        <v>0</v>
      </c>
      <c r="J497" s="611">
        <v>0</v>
      </c>
      <c r="K497" s="611">
        <v>0</v>
      </c>
      <c r="L497" s="611">
        <v>0</v>
      </c>
      <c r="M497" s="611">
        <v>0</v>
      </c>
      <c r="N497" s="611">
        <v>0</v>
      </c>
      <c r="O497" s="611">
        <v>0</v>
      </c>
      <c r="P497" s="611">
        <v>-4.437458337252508</v>
      </c>
      <c r="Q497" s="611">
        <v>0</v>
      </c>
      <c r="R497" s="611">
        <v>0</v>
      </c>
      <c r="S497" s="611">
        <v>0</v>
      </c>
      <c r="T497" s="611">
        <v>0</v>
      </c>
      <c r="U497" s="611">
        <v>0</v>
      </c>
      <c r="V497" s="611">
        <v>0</v>
      </c>
      <c r="W497" s="611">
        <v>-80.13456999701657</v>
      </c>
      <c r="X497" s="611">
        <v>0</v>
      </c>
      <c r="Y497" s="611">
        <v>0</v>
      </c>
      <c r="Z497" s="613">
        <v>-84.572028334269078</v>
      </c>
      <c r="AA497" s="51"/>
    </row>
    <row r="498" spans="1:27" x14ac:dyDescent="0.25">
      <c r="A498" s="51">
        <v>9</v>
      </c>
      <c r="B498" s="51">
        <v>2045</v>
      </c>
      <c r="C498" s="51" t="s">
        <v>47</v>
      </c>
      <c r="D498" s="51" t="s">
        <v>490</v>
      </c>
      <c r="E498" s="51" t="s">
        <v>564</v>
      </c>
      <c r="F498" s="51"/>
      <c r="G498" s="610" t="s">
        <v>62</v>
      </c>
      <c r="H498" s="611">
        <v>0</v>
      </c>
      <c r="I498" s="611">
        <v>0</v>
      </c>
      <c r="J498" s="611">
        <v>-2.6430279181443233</v>
      </c>
      <c r="K498" s="611">
        <v>-2.1194862177251581</v>
      </c>
      <c r="L498" s="611">
        <v>0</v>
      </c>
      <c r="M498" s="611">
        <v>-2.4085070655967704</v>
      </c>
      <c r="N498" s="611">
        <v>0</v>
      </c>
      <c r="O498" s="611">
        <v>0</v>
      </c>
      <c r="P498" s="611">
        <v>0</v>
      </c>
      <c r="Q498" s="611">
        <v>0</v>
      </c>
      <c r="R498" s="611">
        <v>0</v>
      </c>
      <c r="S498" s="611">
        <v>-1.4769404520417975</v>
      </c>
      <c r="T498" s="611">
        <v>0</v>
      </c>
      <c r="U498" s="611">
        <v>0</v>
      </c>
      <c r="V498" s="611">
        <v>0</v>
      </c>
      <c r="W498" s="611">
        <v>0</v>
      </c>
      <c r="X498" s="611">
        <v>0</v>
      </c>
      <c r="Y498" s="611">
        <v>-0.99606248425254151</v>
      </c>
      <c r="Z498" s="613">
        <v>-9.6440241377605904</v>
      </c>
      <c r="AA498" s="51"/>
    </row>
    <row r="499" spans="1:27" x14ac:dyDescent="0.25">
      <c r="A499" s="51">
        <v>10</v>
      </c>
      <c r="B499" s="51">
        <v>2045</v>
      </c>
      <c r="C499" s="51" t="s">
        <v>47</v>
      </c>
      <c r="D499" s="51" t="s">
        <v>491</v>
      </c>
      <c r="E499" s="51" t="s">
        <v>564</v>
      </c>
      <c r="F499" s="51"/>
      <c r="G499" s="610" t="s">
        <v>63</v>
      </c>
      <c r="H499" s="611">
        <v>0</v>
      </c>
      <c r="I499" s="611">
        <v>0</v>
      </c>
      <c r="J499" s="611">
        <v>-26.999999999999996</v>
      </c>
      <c r="K499" s="611">
        <v>-16</v>
      </c>
      <c r="L499" s="611">
        <v>0</v>
      </c>
      <c r="M499" s="611">
        <v>0</v>
      </c>
      <c r="N499" s="611">
        <v>0</v>
      </c>
      <c r="O499" s="611">
        <v>0</v>
      </c>
      <c r="P499" s="611">
        <v>0</v>
      </c>
      <c r="Q499" s="611">
        <v>0</v>
      </c>
      <c r="R499" s="611">
        <v>-16</v>
      </c>
      <c r="S499" s="611">
        <v>0</v>
      </c>
      <c r="T499" s="611">
        <v>0</v>
      </c>
      <c r="U499" s="611">
        <v>0</v>
      </c>
      <c r="V499" s="611">
        <v>0</v>
      </c>
      <c r="W499" s="611">
        <v>0</v>
      </c>
      <c r="X499" s="611">
        <v>0</v>
      </c>
      <c r="Y499" s="611">
        <v>-5</v>
      </c>
      <c r="Z499" s="613">
        <v>-64</v>
      </c>
      <c r="AA499" s="51"/>
    </row>
    <row r="500" spans="1:27" x14ac:dyDescent="0.25">
      <c r="A500" s="51">
        <v>11</v>
      </c>
      <c r="B500" s="51">
        <v>2045</v>
      </c>
      <c r="C500" s="51" t="s">
        <v>47</v>
      </c>
      <c r="D500" s="51" t="s">
        <v>492</v>
      </c>
      <c r="E500" s="51" t="s">
        <v>564</v>
      </c>
      <c r="F500" s="51"/>
      <c r="G500" s="610" t="s">
        <v>64</v>
      </c>
      <c r="H500" s="611">
        <v>0</v>
      </c>
      <c r="I500" s="611">
        <v>0</v>
      </c>
      <c r="J500" s="611">
        <v>0</v>
      </c>
      <c r="K500" s="611">
        <v>0</v>
      </c>
      <c r="L500" s="611">
        <v>0</v>
      </c>
      <c r="M500" s="611">
        <v>0</v>
      </c>
      <c r="N500" s="611">
        <v>0</v>
      </c>
      <c r="O500" s="611">
        <v>0</v>
      </c>
      <c r="P500" s="611">
        <v>0</v>
      </c>
      <c r="Q500" s="611">
        <v>0</v>
      </c>
      <c r="R500" s="611">
        <v>0</v>
      </c>
      <c r="S500" s="611">
        <v>0</v>
      </c>
      <c r="T500" s="611">
        <v>0</v>
      </c>
      <c r="U500" s="611">
        <v>0</v>
      </c>
      <c r="V500" s="611">
        <v>0</v>
      </c>
      <c r="W500" s="611">
        <v>0</v>
      </c>
      <c r="X500" s="611">
        <v>0</v>
      </c>
      <c r="Y500" s="611">
        <v>0</v>
      </c>
      <c r="Z500" s="613">
        <v>0</v>
      </c>
      <c r="AA500" s="51"/>
    </row>
    <row r="501" spans="1:27" x14ac:dyDescent="0.25">
      <c r="A501" s="51">
        <v>12</v>
      </c>
      <c r="B501" s="51">
        <v>2045</v>
      </c>
      <c r="C501" s="51" t="s">
        <v>47</v>
      </c>
      <c r="D501" s="51" t="s">
        <v>493</v>
      </c>
      <c r="E501" s="51" t="s">
        <v>564</v>
      </c>
      <c r="F501" s="51"/>
      <c r="G501" s="614" t="s">
        <v>65</v>
      </c>
      <c r="H501" s="615">
        <v>0.36664902496337887</v>
      </c>
      <c r="I501" s="615">
        <v>143.57372262348443</v>
      </c>
      <c r="J501" s="615">
        <v>-12.07458919884359</v>
      </c>
      <c r="K501" s="615">
        <v>-9.0740949439705041</v>
      </c>
      <c r="L501" s="615">
        <v>65.521796999776086</v>
      </c>
      <c r="M501" s="615">
        <v>-2.4085070655967704</v>
      </c>
      <c r="N501" s="615">
        <v>1021.284633623859</v>
      </c>
      <c r="O501" s="615">
        <v>491.95595039873717</v>
      </c>
      <c r="P501" s="615">
        <v>376.46467920653055</v>
      </c>
      <c r="Q501" s="615">
        <v>31.532579037217641</v>
      </c>
      <c r="R501" s="615">
        <v>-9.94680657530985</v>
      </c>
      <c r="S501" s="615">
        <v>-1.4769404520417975</v>
      </c>
      <c r="T501" s="615">
        <v>231.4597810194058</v>
      </c>
      <c r="U501" s="615">
        <v>12.892628144304556</v>
      </c>
      <c r="V501" s="615">
        <v>48.485721066709132</v>
      </c>
      <c r="W501" s="615">
        <v>-80.13456999701657</v>
      </c>
      <c r="X501" s="615">
        <v>0</v>
      </c>
      <c r="Y501" s="615">
        <v>-5.9960624842525414</v>
      </c>
      <c r="Z501" s="615">
        <v>2302.4265704279564</v>
      </c>
      <c r="AA501" s="51"/>
    </row>
    <row r="502" spans="1:27" x14ac:dyDescent="0.25">
      <c r="A502" s="51"/>
      <c r="B502" s="51"/>
      <c r="C502" s="51"/>
      <c r="D502" s="51"/>
      <c r="E502" s="51"/>
      <c r="F502" s="51"/>
      <c r="G502" s="616"/>
      <c r="H502" s="617"/>
      <c r="I502" s="617"/>
      <c r="J502" s="617"/>
      <c r="K502" s="617"/>
      <c r="L502" s="617"/>
      <c r="M502" s="617"/>
      <c r="N502" s="617"/>
      <c r="O502" s="617"/>
      <c r="P502" s="617"/>
      <c r="Q502" s="617"/>
      <c r="R502" s="617"/>
      <c r="S502" s="617"/>
      <c r="T502" s="617"/>
      <c r="U502" s="617"/>
      <c r="V502" s="617"/>
      <c r="W502" s="617"/>
      <c r="X502" s="617"/>
      <c r="Y502" s="617"/>
      <c r="Z502" s="617"/>
      <c r="AA502" s="51"/>
    </row>
    <row r="503" spans="1:27" x14ac:dyDescent="0.25">
      <c r="A503" s="51">
        <v>14</v>
      </c>
      <c r="B503" s="51">
        <v>2045</v>
      </c>
      <c r="C503" s="51" t="s">
        <v>47</v>
      </c>
      <c r="D503" s="51" t="s">
        <v>494</v>
      </c>
      <c r="E503" s="51" t="s">
        <v>564</v>
      </c>
      <c r="F503" s="51"/>
      <c r="G503" s="618" t="s">
        <v>67</v>
      </c>
      <c r="H503" s="611">
        <v>0</v>
      </c>
      <c r="I503" s="611">
        <v>0</v>
      </c>
      <c r="J503" s="611">
        <v>0</v>
      </c>
      <c r="K503" s="611">
        <v>0</v>
      </c>
      <c r="L503" s="611">
        <v>0</v>
      </c>
      <c r="M503" s="611">
        <v>0</v>
      </c>
      <c r="N503" s="611">
        <v>0</v>
      </c>
      <c r="O503" s="611">
        <v>0</v>
      </c>
      <c r="P503" s="611">
        <v>0</v>
      </c>
      <c r="Q503" s="611">
        <v>0</v>
      </c>
      <c r="R503" s="611">
        <v>0</v>
      </c>
      <c r="S503" s="611">
        <v>0</v>
      </c>
      <c r="T503" s="611">
        <v>0</v>
      </c>
      <c r="U503" s="611">
        <v>0</v>
      </c>
      <c r="V503" s="611">
        <v>0</v>
      </c>
      <c r="W503" s="611">
        <v>0</v>
      </c>
      <c r="X503" s="611">
        <v>0</v>
      </c>
      <c r="Y503" s="611">
        <v>0</v>
      </c>
      <c r="Z503" s="619">
        <v>0</v>
      </c>
      <c r="AA503" s="51"/>
    </row>
    <row r="504" spans="1:27" x14ac:dyDescent="0.25">
      <c r="A504" s="51">
        <v>15</v>
      </c>
      <c r="B504" s="51">
        <v>2045</v>
      </c>
      <c r="C504" s="51" t="s">
        <v>47</v>
      </c>
      <c r="D504" s="51" t="s">
        <v>495</v>
      </c>
      <c r="E504" s="51" t="s">
        <v>564</v>
      </c>
      <c r="F504" s="51"/>
      <c r="G504" s="618" t="s">
        <v>347</v>
      </c>
      <c r="H504" s="611">
        <v>0</v>
      </c>
      <c r="I504" s="611">
        <v>0</v>
      </c>
      <c r="J504" s="611">
        <v>0</v>
      </c>
      <c r="K504" s="611">
        <v>0</v>
      </c>
      <c r="L504" s="611">
        <v>2.0281770212765894E-3</v>
      </c>
      <c r="M504" s="611">
        <v>0</v>
      </c>
      <c r="N504" s="611">
        <v>1014.6070909090909</v>
      </c>
      <c r="O504" s="611">
        <v>491.95595039873717</v>
      </c>
      <c r="P504" s="611">
        <v>16.989455266552227</v>
      </c>
      <c r="Q504" s="611">
        <v>5.3132840299617605</v>
      </c>
      <c r="R504" s="611">
        <v>6.3451610040287907</v>
      </c>
      <c r="S504" s="611">
        <v>0.11618041838953944</v>
      </c>
      <c r="T504" s="611">
        <v>0</v>
      </c>
      <c r="U504" s="611">
        <v>0</v>
      </c>
      <c r="V504" s="611">
        <v>6.4766550958451852</v>
      </c>
      <c r="W504" s="611">
        <v>-843.18999330112842</v>
      </c>
      <c r="X504" s="611">
        <v>0</v>
      </c>
      <c r="Y504" s="611">
        <v>0</v>
      </c>
      <c r="Z504" s="619">
        <v>698.61581199849843</v>
      </c>
      <c r="AA504" s="51"/>
    </row>
    <row r="505" spans="1:27" x14ac:dyDescent="0.25">
      <c r="A505" s="51">
        <v>16</v>
      </c>
      <c r="B505" s="51">
        <v>2045</v>
      </c>
      <c r="C505" s="51" t="s">
        <v>47</v>
      </c>
      <c r="D505" s="51" t="s">
        <v>496</v>
      </c>
      <c r="E505" s="51" t="s">
        <v>564</v>
      </c>
      <c r="F505" s="51"/>
      <c r="G505" s="618" t="s">
        <v>348</v>
      </c>
      <c r="H505" s="611">
        <v>0</v>
      </c>
      <c r="I505" s="611">
        <v>0</v>
      </c>
      <c r="J505" s="611">
        <v>0</v>
      </c>
      <c r="K505" s="611">
        <v>0</v>
      </c>
      <c r="L505" s="611">
        <v>8.8315806834510138</v>
      </c>
      <c r="M505" s="611">
        <v>0.1766316136690203</v>
      </c>
      <c r="N505" s="611">
        <v>6.6775427147681867</v>
      </c>
      <c r="O505" s="611">
        <v>0</v>
      </c>
      <c r="P505" s="611">
        <v>22.911701692024764</v>
      </c>
      <c r="Q505" s="611">
        <v>11.936100398869504</v>
      </c>
      <c r="R505" s="611">
        <v>0</v>
      </c>
      <c r="S505" s="611">
        <v>8.6700605118376153</v>
      </c>
      <c r="T505" s="611">
        <v>6.021976886582733</v>
      </c>
      <c r="U505" s="611">
        <v>12.892628144304556</v>
      </c>
      <c r="V505" s="611">
        <v>12.422711285435236</v>
      </c>
      <c r="W505" s="611">
        <v>0</v>
      </c>
      <c r="X505" s="620">
        <v>-84.620821313105409</v>
      </c>
      <c r="Y505" s="611">
        <v>0</v>
      </c>
      <c r="Z505" s="619">
        <v>5.9201126178372192</v>
      </c>
      <c r="AA505" s="51"/>
    </row>
    <row r="506" spans="1:27" x14ac:dyDescent="0.25">
      <c r="A506" s="51">
        <v>17</v>
      </c>
      <c r="B506" s="51">
        <v>2045</v>
      </c>
      <c r="C506" s="51" t="s">
        <v>47</v>
      </c>
      <c r="D506" s="51" t="s">
        <v>497</v>
      </c>
      <c r="E506" s="51" t="s">
        <v>564</v>
      </c>
      <c r="F506" s="51"/>
      <c r="G506" s="618" t="s">
        <v>349</v>
      </c>
      <c r="H506" s="611">
        <v>0</v>
      </c>
      <c r="I506" s="611">
        <v>0</v>
      </c>
      <c r="J506" s="611">
        <v>0</v>
      </c>
      <c r="K506" s="611">
        <v>0</v>
      </c>
      <c r="L506" s="611">
        <v>0</v>
      </c>
      <c r="M506" s="611">
        <v>0</v>
      </c>
      <c r="N506" s="611">
        <v>0</v>
      </c>
      <c r="O506" s="611">
        <v>0</v>
      </c>
      <c r="P506" s="611">
        <v>131.80751190394889</v>
      </c>
      <c r="Q506" s="611">
        <v>0</v>
      </c>
      <c r="R506" s="611">
        <v>0</v>
      </c>
      <c r="S506" s="611">
        <v>-65.903755951974446</v>
      </c>
      <c r="T506" s="611">
        <v>0</v>
      </c>
      <c r="U506" s="611">
        <v>0</v>
      </c>
      <c r="V506" s="611">
        <v>0</v>
      </c>
      <c r="W506" s="611">
        <v>0</v>
      </c>
      <c r="X506" s="611">
        <v>0</v>
      </c>
      <c r="Y506" s="611">
        <v>0</v>
      </c>
      <c r="Z506" s="619">
        <v>65.903755951974446</v>
      </c>
      <c r="AA506" s="51"/>
    </row>
    <row r="507" spans="1:27" x14ac:dyDescent="0.25">
      <c r="A507" s="51">
        <v>18</v>
      </c>
      <c r="B507" s="51">
        <v>2045</v>
      </c>
      <c r="C507" s="51" t="s">
        <v>47</v>
      </c>
      <c r="D507" s="51" t="s">
        <v>498</v>
      </c>
      <c r="E507" s="51" t="s">
        <v>564</v>
      </c>
      <c r="F507" s="51"/>
      <c r="G507" s="618" t="s">
        <v>350</v>
      </c>
      <c r="H507" s="611">
        <v>0</v>
      </c>
      <c r="I507" s="611">
        <v>0</v>
      </c>
      <c r="J507" s="611">
        <v>0</v>
      </c>
      <c r="K507" s="611">
        <v>0</v>
      </c>
      <c r="L507" s="611">
        <v>0</v>
      </c>
      <c r="M507" s="620">
        <v>-3.6150224422705244</v>
      </c>
      <c r="N507" s="611">
        <v>0</v>
      </c>
      <c r="O507" s="611">
        <v>0</v>
      </c>
      <c r="P507" s="611">
        <v>0</v>
      </c>
      <c r="Q507" s="611">
        <v>0</v>
      </c>
      <c r="R507" s="611">
        <v>0</v>
      </c>
      <c r="S507" s="611">
        <v>0</v>
      </c>
      <c r="T507" s="611">
        <v>0</v>
      </c>
      <c r="U507" s="611">
        <v>0</v>
      </c>
      <c r="V507" s="611">
        <v>0</v>
      </c>
      <c r="W507" s="611">
        <v>0</v>
      </c>
      <c r="X507" s="611">
        <v>0</v>
      </c>
      <c r="Y507" s="611">
        <v>4.999152717848113</v>
      </c>
      <c r="Z507" s="619">
        <v>1.3841302755775886</v>
      </c>
      <c r="AA507" s="51"/>
    </row>
    <row r="508" spans="1:27" x14ac:dyDescent="0.25">
      <c r="A508" s="51">
        <v>19</v>
      </c>
      <c r="B508" s="51">
        <v>2045</v>
      </c>
      <c r="C508" s="51" t="s">
        <v>47</v>
      </c>
      <c r="D508" s="51" t="s">
        <v>499</v>
      </c>
      <c r="E508" s="51" t="s">
        <v>564</v>
      </c>
      <c r="F508" s="51"/>
      <c r="G508" s="618" t="s">
        <v>72</v>
      </c>
      <c r="H508" s="611">
        <v>0</v>
      </c>
      <c r="I508" s="611">
        <v>148.77345828425325</v>
      </c>
      <c r="J508" s="611">
        <v>-147.28572370141072</v>
      </c>
      <c r="K508" s="611">
        <v>0</v>
      </c>
      <c r="L508" s="611">
        <v>0</v>
      </c>
      <c r="M508" s="611">
        <v>0</v>
      </c>
      <c r="N508" s="611">
        <v>0</v>
      </c>
      <c r="O508" s="611">
        <v>0</v>
      </c>
      <c r="P508" s="611">
        <v>0</v>
      </c>
      <c r="Q508" s="611">
        <v>0</v>
      </c>
      <c r="R508" s="611">
        <v>0</v>
      </c>
      <c r="S508" s="611">
        <v>0</v>
      </c>
      <c r="T508" s="611">
        <v>0</v>
      </c>
      <c r="U508" s="611">
        <v>0</v>
      </c>
      <c r="V508" s="611">
        <v>0</v>
      </c>
      <c r="W508" s="611">
        <v>0</v>
      </c>
      <c r="X508" s="611">
        <v>0</v>
      </c>
      <c r="Y508" s="611">
        <v>0</v>
      </c>
      <c r="Z508" s="619">
        <v>1.4877345828425348</v>
      </c>
      <c r="AA508" s="51"/>
    </row>
    <row r="509" spans="1:27" x14ac:dyDescent="0.25">
      <c r="A509" s="51">
        <v>20</v>
      </c>
      <c r="B509" s="51">
        <v>2045</v>
      </c>
      <c r="C509" s="51" t="s">
        <v>47</v>
      </c>
      <c r="D509" s="51" t="s">
        <v>500</v>
      </c>
      <c r="E509" s="51" t="s">
        <v>564</v>
      </c>
      <c r="F509" s="51"/>
      <c r="G509" s="618" t="s">
        <v>351</v>
      </c>
      <c r="H509" s="611">
        <v>0</v>
      </c>
      <c r="I509" s="611">
        <v>0</v>
      </c>
      <c r="J509" s="611">
        <v>0</v>
      </c>
      <c r="K509" s="611">
        <v>0</v>
      </c>
      <c r="L509" s="611">
        <v>0</v>
      </c>
      <c r="M509" s="611">
        <v>0</v>
      </c>
      <c r="N509" s="611">
        <v>0</v>
      </c>
      <c r="O509" s="611">
        <v>0</v>
      </c>
      <c r="P509" s="611">
        <v>117.49725900276695</v>
      </c>
      <c r="Q509" s="611">
        <v>0</v>
      </c>
      <c r="R509" s="620">
        <v>-64.623492451521827</v>
      </c>
      <c r="S509" s="611">
        <v>0</v>
      </c>
      <c r="T509" s="611">
        <v>0</v>
      </c>
      <c r="U509" s="611">
        <v>0</v>
      </c>
      <c r="V509" s="611">
        <v>0</v>
      </c>
      <c r="W509" s="611">
        <v>0</v>
      </c>
      <c r="X509" s="611">
        <v>0</v>
      </c>
      <c r="Y509" s="611">
        <v>0</v>
      </c>
      <c r="Z509" s="619">
        <v>52.873766551245126</v>
      </c>
      <c r="AA509" s="51"/>
    </row>
    <row r="510" spans="1:27" x14ac:dyDescent="0.25">
      <c r="A510" s="51">
        <v>21</v>
      </c>
      <c r="B510" s="51">
        <v>2045</v>
      </c>
      <c r="C510" s="51" t="s">
        <v>47</v>
      </c>
      <c r="D510" s="51" t="s">
        <v>501</v>
      </c>
      <c r="E510" s="51" t="s">
        <v>564</v>
      </c>
      <c r="F510" s="51"/>
      <c r="G510" s="618" t="s">
        <v>352</v>
      </c>
      <c r="H510" s="611">
        <v>0</v>
      </c>
      <c r="I510" s="611">
        <v>0</v>
      </c>
      <c r="J510" s="611">
        <v>0</v>
      </c>
      <c r="K510" s="611">
        <v>-17.13405776151172</v>
      </c>
      <c r="L510" s="611">
        <v>0</v>
      </c>
      <c r="M510" s="611">
        <v>0</v>
      </c>
      <c r="N510" s="611">
        <v>0</v>
      </c>
      <c r="O510" s="611">
        <v>0</v>
      </c>
      <c r="P510" s="611">
        <v>0</v>
      </c>
      <c r="Q510" s="611">
        <v>0</v>
      </c>
      <c r="R510" s="611">
        <v>0</v>
      </c>
      <c r="S510" s="611">
        <v>0</v>
      </c>
      <c r="T510" s="611">
        <v>0</v>
      </c>
      <c r="U510" s="611">
        <v>0</v>
      </c>
      <c r="V510" s="611">
        <v>0</v>
      </c>
      <c r="W510" s="611">
        <v>0</v>
      </c>
      <c r="X510" s="611">
        <v>0</v>
      </c>
      <c r="Y510" s="611">
        <v>28.757080756562026</v>
      </c>
      <c r="Z510" s="619">
        <v>11.623022995050306</v>
      </c>
      <c r="AA510" s="51"/>
    </row>
    <row r="511" spans="1:27" x14ac:dyDescent="0.25">
      <c r="A511" s="51">
        <v>22</v>
      </c>
      <c r="B511" s="51">
        <v>2045</v>
      </c>
      <c r="C511" s="51" t="s">
        <v>47</v>
      </c>
      <c r="D511" s="51" t="s">
        <v>502</v>
      </c>
      <c r="E511" s="51" t="s">
        <v>564</v>
      </c>
      <c r="F511" s="51"/>
      <c r="G511" s="618" t="s">
        <v>73</v>
      </c>
      <c r="H511" s="611">
        <v>0</v>
      </c>
      <c r="I511" s="611">
        <v>0</v>
      </c>
      <c r="J511" s="611">
        <v>0</v>
      </c>
      <c r="K511" s="611">
        <v>0</v>
      </c>
      <c r="L511" s="611">
        <v>0</v>
      </c>
      <c r="M511" s="611">
        <v>0</v>
      </c>
      <c r="N511" s="611">
        <v>0</v>
      </c>
      <c r="O511" s="611">
        <v>0</v>
      </c>
      <c r="P511" s="611">
        <v>0</v>
      </c>
      <c r="Q511" s="611">
        <v>0</v>
      </c>
      <c r="R511" s="611">
        <v>0</v>
      </c>
      <c r="S511" s="611">
        <v>0</v>
      </c>
      <c r="T511" s="611">
        <v>0</v>
      </c>
      <c r="U511" s="611">
        <v>0</v>
      </c>
      <c r="V511" s="611">
        <v>0</v>
      </c>
      <c r="W511" s="611">
        <v>93.032344740580953</v>
      </c>
      <c r="X511" s="611">
        <v>0</v>
      </c>
      <c r="Y511" s="611">
        <v>-65.355222180258124</v>
      </c>
      <c r="Z511" s="619">
        <v>27.677122560322829</v>
      </c>
      <c r="AA511" s="51"/>
    </row>
    <row r="512" spans="1:27" x14ac:dyDescent="0.25">
      <c r="A512" s="51">
        <v>23</v>
      </c>
      <c r="B512" s="51">
        <v>2045</v>
      </c>
      <c r="C512" s="51" t="s">
        <v>47</v>
      </c>
      <c r="D512" s="51" t="s">
        <v>503</v>
      </c>
      <c r="E512" s="51" t="s">
        <v>564</v>
      </c>
      <c r="F512" s="51"/>
      <c r="G512" s="618" t="s">
        <v>353</v>
      </c>
      <c r="H512" s="611">
        <v>0</v>
      </c>
      <c r="I512" s="611">
        <v>-5.1997356607688232</v>
      </c>
      <c r="J512" s="611">
        <v>6.948298230027091</v>
      </c>
      <c r="K512" s="611">
        <v>0</v>
      </c>
      <c r="L512" s="611">
        <v>0</v>
      </c>
      <c r="M512" s="611">
        <v>0</v>
      </c>
      <c r="N512" s="611">
        <v>0</v>
      </c>
      <c r="O512" s="611">
        <v>0</v>
      </c>
      <c r="P512" s="611">
        <v>0</v>
      </c>
      <c r="Q512" s="611">
        <v>0</v>
      </c>
      <c r="R512" s="611">
        <v>0</v>
      </c>
      <c r="S512" s="611">
        <v>0</v>
      </c>
      <c r="T512" s="611">
        <v>0</v>
      </c>
      <c r="U512" s="611">
        <v>0</v>
      </c>
      <c r="V512" s="611">
        <v>0</v>
      </c>
      <c r="W512" s="611">
        <v>0</v>
      </c>
      <c r="X512" s="611">
        <v>0</v>
      </c>
      <c r="Y512" s="611">
        <v>0</v>
      </c>
      <c r="Z512" s="619">
        <v>1.7485625692582678</v>
      </c>
      <c r="AA512" s="51"/>
    </row>
    <row r="513" spans="1:27" x14ac:dyDescent="0.25">
      <c r="A513" s="51">
        <v>24</v>
      </c>
      <c r="B513" s="51">
        <v>2045</v>
      </c>
      <c r="C513" s="51" t="s">
        <v>47</v>
      </c>
      <c r="D513" s="51" t="s">
        <v>504</v>
      </c>
      <c r="E513" s="51" t="s">
        <v>564</v>
      </c>
      <c r="F513" s="51"/>
      <c r="G513" s="618" t="s">
        <v>75</v>
      </c>
      <c r="H513" s="611">
        <v>0</v>
      </c>
      <c r="I513" s="611">
        <v>0</v>
      </c>
      <c r="J513" s="611">
        <v>5.2004760110645112</v>
      </c>
      <c r="K513" s="611">
        <v>0</v>
      </c>
      <c r="L513" s="611">
        <v>2.4693466824139474</v>
      </c>
      <c r="M513" s="611">
        <v>4.9386933648278952E-2</v>
      </c>
      <c r="N513" s="611">
        <v>0</v>
      </c>
      <c r="O513" s="611">
        <v>0</v>
      </c>
      <c r="P513" s="611">
        <v>0</v>
      </c>
      <c r="Q513" s="611">
        <v>0</v>
      </c>
      <c r="R513" s="611">
        <v>0</v>
      </c>
      <c r="S513" s="611">
        <v>2.4199597487656686</v>
      </c>
      <c r="T513" s="611">
        <v>0</v>
      </c>
      <c r="U513" s="611">
        <v>0</v>
      </c>
      <c r="V513" s="611">
        <v>0</v>
      </c>
      <c r="W513" s="620">
        <v>36.907371312947582</v>
      </c>
      <c r="X513" s="611">
        <v>0</v>
      </c>
      <c r="Y513" s="611">
        <v>0</v>
      </c>
      <c r="Z513" s="619">
        <v>47.04654068883999</v>
      </c>
      <c r="AA513" s="51"/>
    </row>
    <row r="514" spans="1:27" x14ac:dyDescent="0.25">
      <c r="A514" s="51">
        <v>25</v>
      </c>
      <c r="B514" s="51">
        <v>2045</v>
      </c>
      <c r="C514" s="51" t="s">
        <v>47</v>
      </c>
      <c r="D514" s="51" t="s">
        <v>505</v>
      </c>
      <c r="E514" s="51" t="s">
        <v>564</v>
      </c>
      <c r="F514" s="51"/>
      <c r="G514" s="618" t="s">
        <v>76</v>
      </c>
      <c r="H514" s="611">
        <v>0</v>
      </c>
      <c r="I514" s="611">
        <v>0</v>
      </c>
      <c r="J514" s="611">
        <v>0</v>
      </c>
      <c r="K514" s="611">
        <v>0</v>
      </c>
      <c r="L514" s="611">
        <v>0.71532532213858935</v>
      </c>
      <c r="M514" s="611">
        <v>1.4306506442771788E-2</v>
      </c>
      <c r="N514" s="611">
        <v>0</v>
      </c>
      <c r="O514" s="611">
        <v>0</v>
      </c>
      <c r="P514" s="611">
        <v>0</v>
      </c>
      <c r="Q514" s="611">
        <v>0</v>
      </c>
      <c r="R514" s="611">
        <v>0</v>
      </c>
      <c r="S514" s="611">
        <v>0.70101881569581759</v>
      </c>
      <c r="T514" s="611">
        <v>0</v>
      </c>
      <c r="U514" s="611">
        <v>0</v>
      </c>
      <c r="V514" s="611">
        <v>0</v>
      </c>
      <c r="W514" s="611">
        <v>62.348377899808931</v>
      </c>
      <c r="X514" s="611">
        <v>6.5621359258301197</v>
      </c>
      <c r="Y514" s="611">
        <v>0</v>
      </c>
      <c r="Z514" s="619">
        <v>70.341164469916237</v>
      </c>
      <c r="AA514" s="51"/>
    </row>
    <row r="515" spans="1:27" x14ac:dyDescent="0.25">
      <c r="A515" s="51">
        <v>26</v>
      </c>
      <c r="B515" s="51">
        <v>2045</v>
      </c>
      <c r="C515" s="51" t="s">
        <v>47</v>
      </c>
      <c r="D515" s="51" t="s">
        <v>506</v>
      </c>
      <c r="E515" s="51" t="s">
        <v>564</v>
      </c>
      <c r="F515" s="51"/>
      <c r="G515" s="614" t="s">
        <v>77</v>
      </c>
      <c r="H515" s="615">
        <v>0</v>
      </c>
      <c r="I515" s="615">
        <v>143.57372262348443</v>
      </c>
      <c r="J515" s="615">
        <v>-135.1369494603191</v>
      </c>
      <c r="K515" s="615">
        <v>-17.13405776151172</v>
      </c>
      <c r="L515" s="615">
        <v>12.018280865024828</v>
      </c>
      <c r="M515" s="615">
        <v>-3.3746973885104534</v>
      </c>
      <c r="N515" s="615">
        <v>1021.284633623859</v>
      </c>
      <c r="O515" s="615">
        <v>491.95595039873717</v>
      </c>
      <c r="P515" s="615">
        <v>289.20592786529284</v>
      </c>
      <c r="Q515" s="615">
        <v>17.249384428831263</v>
      </c>
      <c r="R515" s="615">
        <v>-58.278331447493038</v>
      </c>
      <c r="S515" s="615">
        <v>-53.996536457285806</v>
      </c>
      <c r="T515" s="615">
        <v>6.021976886582733</v>
      </c>
      <c r="U515" s="615">
        <v>12.892628144304556</v>
      </c>
      <c r="V515" s="615">
        <v>18.899366381280423</v>
      </c>
      <c r="W515" s="615">
        <v>-650.90189934779096</v>
      </c>
      <c r="X515" s="615">
        <v>-78.05868538727529</v>
      </c>
      <c r="Y515" s="615">
        <v>-31.598988705847987</v>
      </c>
      <c r="Z515" s="615">
        <v>984.62172526136305</v>
      </c>
      <c r="AA515" s="51"/>
    </row>
    <row r="516" spans="1:27" x14ac:dyDescent="0.25">
      <c r="A516" s="51"/>
      <c r="B516" s="51"/>
      <c r="C516" s="51"/>
      <c r="D516" s="51"/>
      <c r="E516" s="51"/>
      <c r="F516" s="51"/>
      <c r="G516" s="616"/>
      <c r="H516" s="617"/>
      <c r="I516" s="617"/>
      <c r="J516" s="617"/>
      <c r="K516" s="617"/>
      <c r="L516" s="617"/>
      <c r="M516" s="617"/>
      <c r="N516" s="617"/>
      <c r="O516" s="617"/>
      <c r="P516" s="617"/>
      <c r="Q516" s="617"/>
      <c r="R516" s="617"/>
      <c r="S516" s="617"/>
      <c r="T516" s="617"/>
      <c r="U516" s="617"/>
      <c r="V516" s="617"/>
      <c r="W516" s="617"/>
      <c r="X516" s="617"/>
      <c r="Y516" s="617"/>
      <c r="Z516" s="617"/>
      <c r="AA516" s="51"/>
    </row>
    <row r="517" spans="1:27" x14ac:dyDescent="0.25">
      <c r="A517" s="51">
        <v>28</v>
      </c>
      <c r="B517" s="51">
        <v>2045</v>
      </c>
      <c r="C517" s="51" t="s">
        <v>47</v>
      </c>
      <c r="D517" s="51" t="s">
        <v>507</v>
      </c>
      <c r="E517" s="51" t="s">
        <v>564</v>
      </c>
      <c r="F517" s="51"/>
      <c r="G517" s="618" t="s">
        <v>78</v>
      </c>
      <c r="H517" s="611">
        <v>0.36664902496337887</v>
      </c>
      <c r="I517" s="611">
        <v>0</v>
      </c>
      <c r="J517" s="611">
        <v>6.085849575703503E-2</v>
      </c>
      <c r="K517" s="611">
        <v>0</v>
      </c>
      <c r="L517" s="611">
        <v>22.509850800233309</v>
      </c>
      <c r="M517" s="620">
        <v>0.45019701600466622</v>
      </c>
      <c r="N517" s="611">
        <v>0</v>
      </c>
      <c r="O517" s="611">
        <v>0</v>
      </c>
      <c r="P517" s="611">
        <v>30.13251800417747</v>
      </c>
      <c r="Q517" s="611">
        <v>14.283194608386378</v>
      </c>
      <c r="R517" s="611">
        <v>0</v>
      </c>
      <c r="S517" s="611">
        <v>22.101003991260388</v>
      </c>
      <c r="T517" s="611">
        <v>16.625583984375002</v>
      </c>
      <c r="U517" s="611">
        <v>0</v>
      </c>
      <c r="V517" s="611">
        <v>8.4299170840015686E-4</v>
      </c>
      <c r="W517" s="611">
        <v>167.43014240119683</v>
      </c>
      <c r="X517" s="611">
        <v>18.349138220767106</v>
      </c>
      <c r="Y517" s="611">
        <v>13.720113281250001</v>
      </c>
      <c r="Z517" s="619">
        <v>306.03009282007997</v>
      </c>
      <c r="AA517" s="51"/>
    </row>
    <row r="518" spans="1:27" x14ac:dyDescent="0.25">
      <c r="A518" s="51">
        <v>29</v>
      </c>
      <c r="B518" s="51">
        <v>2045</v>
      </c>
      <c r="C518" s="51" t="s">
        <v>47</v>
      </c>
      <c r="D518" s="51" t="s">
        <v>508</v>
      </c>
      <c r="E518" s="51" t="s">
        <v>564</v>
      </c>
      <c r="F518" s="51"/>
      <c r="G518" s="618" t="s">
        <v>79</v>
      </c>
      <c r="H518" s="611">
        <v>0</v>
      </c>
      <c r="I518" s="611">
        <v>0</v>
      </c>
      <c r="J518" s="611">
        <v>27.842691184610331</v>
      </c>
      <c r="K518" s="611">
        <v>2</v>
      </c>
      <c r="L518" s="611">
        <v>3.7704653363956817</v>
      </c>
      <c r="M518" s="620">
        <v>7.5409306727913641E-2</v>
      </c>
      <c r="N518" s="611">
        <v>0</v>
      </c>
      <c r="O518" s="611">
        <v>0</v>
      </c>
      <c r="P518" s="611">
        <v>0</v>
      </c>
      <c r="Q518" s="611">
        <v>0</v>
      </c>
      <c r="R518" s="611">
        <v>29.027871012193479</v>
      </c>
      <c r="S518" s="611">
        <v>3.6950560296677679</v>
      </c>
      <c r="T518" s="611">
        <v>0</v>
      </c>
      <c r="U518" s="611">
        <v>0</v>
      </c>
      <c r="V518" s="611">
        <v>0</v>
      </c>
      <c r="W518" s="611">
        <v>121.41640074189371</v>
      </c>
      <c r="X518" s="611">
        <v>0</v>
      </c>
      <c r="Y518" s="611">
        <v>6.7088833627788453</v>
      </c>
      <c r="Z518" s="619">
        <v>194.53677697426772</v>
      </c>
      <c r="AA518" s="51"/>
    </row>
    <row r="519" spans="1:27" x14ac:dyDescent="0.25">
      <c r="A519" s="51">
        <v>30</v>
      </c>
      <c r="B519" s="51">
        <v>2045</v>
      </c>
      <c r="C519" s="51" t="s">
        <v>47</v>
      </c>
      <c r="D519" s="51" t="s">
        <v>509</v>
      </c>
      <c r="E519" s="51" t="s">
        <v>564</v>
      </c>
      <c r="F519" s="51"/>
      <c r="G519" s="618" t="s">
        <v>80</v>
      </c>
      <c r="H519" s="611">
        <v>0</v>
      </c>
      <c r="I519" s="611">
        <v>0</v>
      </c>
      <c r="J519" s="611">
        <v>0.17803368564225064</v>
      </c>
      <c r="K519" s="611">
        <v>0</v>
      </c>
      <c r="L519" s="611">
        <v>14.636121063874413</v>
      </c>
      <c r="M519" s="620">
        <v>0.29272242127748827</v>
      </c>
      <c r="N519" s="611">
        <v>0</v>
      </c>
      <c r="O519" s="611">
        <v>0</v>
      </c>
      <c r="P519" s="611">
        <v>38.312394465597563</v>
      </c>
      <c r="Q519" s="611">
        <v>0</v>
      </c>
      <c r="R519" s="611">
        <v>0</v>
      </c>
      <c r="S519" s="611">
        <v>14.343398642596924</v>
      </c>
      <c r="T519" s="611">
        <v>138.22251706916848</v>
      </c>
      <c r="U519" s="611">
        <v>0</v>
      </c>
      <c r="V519" s="611">
        <v>17.190330292111927</v>
      </c>
      <c r="W519" s="611">
        <v>129.93759032793562</v>
      </c>
      <c r="X519" s="611">
        <v>36.387681657641373</v>
      </c>
      <c r="Y519" s="611">
        <v>0</v>
      </c>
      <c r="Z519" s="619">
        <v>389.50078962584604</v>
      </c>
      <c r="AA519" s="51"/>
    </row>
    <row r="520" spans="1:27" x14ac:dyDescent="0.25">
      <c r="A520" s="51">
        <v>31</v>
      </c>
      <c r="B520" s="51">
        <v>2045</v>
      </c>
      <c r="C520" s="51" t="s">
        <v>47</v>
      </c>
      <c r="D520" s="51" t="s">
        <v>510</v>
      </c>
      <c r="E520" s="51" t="s">
        <v>564</v>
      </c>
      <c r="F520" s="51"/>
      <c r="G520" s="618" t="s">
        <v>81</v>
      </c>
      <c r="H520" s="611">
        <v>0</v>
      </c>
      <c r="I520" s="611">
        <v>0</v>
      </c>
      <c r="J520" s="611">
        <v>0.40353351898201928</v>
      </c>
      <c r="K520" s="611">
        <v>0</v>
      </c>
      <c r="L520" s="611">
        <v>6.8800844994075474</v>
      </c>
      <c r="M520" s="620">
        <v>0.13760168998815095</v>
      </c>
      <c r="N520" s="611">
        <v>0</v>
      </c>
      <c r="O520" s="611">
        <v>0</v>
      </c>
      <c r="P520" s="611">
        <v>0.48410239694179807</v>
      </c>
      <c r="Q520" s="611">
        <v>0</v>
      </c>
      <c r="R520" s="611">
        <v>0</v>
      </c>
      <c r="S520" s="611">
        <v>6.7424828094193963</v>
      </c>
      <c r="T520" s="611">
        <v>69.339703079279587</v>
      </c>
      <c r="U520" s="611">
        <v>0</v>
      </c>
      <c r="V520" s="611">
        <v>10.651167708360564</v>
      </c>
      <c r="W520" s="611">
        <v>125.67548523263424</v>
      </c>
      <c r="X520" s="611">
        <v>23.321832583361267</v>
      </c>
      <c r="Y520" s="611">
        <v>0</v>
      </c>
      <c r="Z520" s="619">
        <v>243.63599351837459</v>
      </c>
      <c r="AA520" s="51"/>
    </row>
    <row r="521" spans="1:27" x14ac:dyDescent="0.25">
      <c r="A521" s="51">
        <v>32</v>
      </c>
      <c r="B521" s="51">
        <v>2045</v>
      </c>
      <c r="C521" s="51" t="s">
        <v>47</v>
      </c>
      <c r="D521" s="51" t="s">
        <v>511</v>
      </c>
      <c r="E521" s="51" t="s">
        <v>564</v>
      </c>
      <c r="F521" s="51"/>
      <c r="G521" s="618" t="s">
        <v>82</v>
      </c>
      <c r="H521" s="611">
        <v>0</v>
      </c>
      <c r="I521" s="611">
        <v>0</v>
      </c>
      <c r="J521" s="611">
        <v>5.4571309143050808</v>
      </c>
      <c r="K521" s="611">
        <v>0</v>
      </c>
      <c r="L521" s="611">
        <v>0.51096626875192142</v>
      </c>
      <c r="M521" s="620">
        <v>1.0219325375038429E-2</v>
      </c>
      <c r="N521" s="611">
        <v>0</v>
      </c>
      <c r="O521" s="611">
        <v>0</v>
      </c>
      <c r="P521" s="611">
        <v>17.783972013033864</v>
      </c>
      <c r="Q521" s="611">
        <v>0</v>
      </c>
      <c r="R521" s="611">
        <v>8.2374051734864402</v>
      </c>
      <c r="S521" s="611">
        <v>0.50074694337688297</v>
      </c>
      <c r="T521" s="611">
        <v>1.25</v>
      </c>
      <c r="U521" s="611">
        <v>0</v>
      </c>
      <c r="V521" s="611">
        <v>1.7440136932478227</v>
      </c>
      <c r="W521" s="611">
        <v>10.36655207833598</v>
      </c>
      <c r="X521" s="611">
        <v>0</v>
      </c>
      <c r="Y521" s="611">
        <v>0.55589052141355966</v>
      </c>
      <c r="Z521" s="619">
        <v>46.41689693132659</v>
      </c>
      <c r="AA521" s="51"/>
    </row>
    <row r="522" spans="1:27" x14ac:dyDescent="0.25">
      <c r="A522" s="51">
        <v>33</v>
      </c>
      <c r="B522" s="51">
        <v>2045</v>
      </c>
      <c r="C522" s="51" t="s">
        <v>47</v>
      </c>
      <c r="D522" s="51" t="s">
        <v>512</v>
      </c>
      <c r="E522" s="51" t="s">
        <v>564</v>
      </c>
      <c r="F522" s="51"/>
      <c r="G522" s="618" t="s">
        <v>354</v>
      </c>
      <c r="H522" s="611">
        <v>0</v>
      </c>
      <c r="I522" s="611">
        <v>0</v>
      </c>
      <c r="J522" s="611">
        <v>0</v>
      </c>
      <c r="K522" s="611">
        <v>0</v>
      </c>
      <c r="L522" s="611">
        <v>0</v>
      </c>
      <c r="M522" s="611">
        <v>0</v>
      </c>
      <c r="N522" s="611">
        <v>0</v>
      </c>
      <c r="O522" s="611">
        <v>0</v>
      </c>
      <c r="P522" s="611">
        <v>0</v>
      </c>
      <c r="Q522" s="611">
        <v>0</v>
      </c>
      <c r="R522" s="611">
        <v>0</v>
      </c>
      <c r="S522" s="611">
        <v>0</v>
      </c>
      <c r="T522" s="611">
        <v>0</v>
      </c>
      <c r="U522" s="611">
        <v>0</v>
      </c>
      <c r="V522" s="611">
        <v>0</v>
      </c>
      <c r="W522" s="611">
        <v>15.941158568777903</v>
      </c>
      <c r="X522" s="611">
        <v>0</v>
      </c>
      <c r="Y522" s="611">
        <v>0</v>
      </c>
      <c r="Z522" s="619">
        <v>15.941158568777903</v>
      </c>
      <c r="AA522" s="51"/>
    </row>
    <row r="523" spans="1:27" x14ac:dyDescent="0.25">
      <c r="A523" s="51">
        <v>34</v>
      </c>
      <c r="B523" s="51">
        <v>2045</v>
      </c>
      <c r="C523" s="51" t="s">
        <v>47</v>
      </c>
      <c r="D523" s="51" t="s">
        <v>513</v>
      </c>
      <c r="E523" s="51" t="s">
        <v>564</v>
      </c>
      <c r="F523" s="51"/>
      <c r="G523" s="614" t="s">
        <v>83</v>
      </c>
      <c r="H523" s="615">
        <v>0.36664902496337887</v>
      </c>
      <c r="I523" s="615">
        <v>0</v>
      </c>
      <c r="J523" s="615">
        <v>33.942247799296716</v>
      </c>
      <c r="K523" s="615">
        <v>2</v>
      </c>
      <c r="L523" s="615">
        <v>48.307487968662869</v>
      </c>
      <c r="M523" s="615">
        <v>0.96614975937325753</v>
      </c>
      <c r="N523" s="615">
        <v>0</v>
      </c>
      <c r="O523" s="615">
        <v>0</v>
      </c>
      <c r="P523" s="615">
        <v>86.712986879750687</v>
      </c>
      <c r="Q523" s="615">
        <v>14.283194608386378</v>
      </c>
      <c r="R523" s="615">
        <v>37.265276185679923</v>
      </c>
      <c r="S523" s="615">
        <v>47.382688416321358</v>
      </c>
      <c r="T523" s="615">
        <v>225.43780413282306</v>
      </c>
      <c r="U523" s="615">
        <v>0</v>
      </c>
      <c r="V523" s="615">
        <v>29.586354685428713</v>
      </c>
      <c r="W523" s="615">
        <v>570.76732935077439</v>
      </c>
      <c r="X523" s="615">
        <v>78.058652461769753</v>
      </c>
      <c r="Y523" s="615">
        <v>20.984887165442405</v>
      </c>
      <c r="Z523" s="615">
        <v>1196.0617084386727</v>
      </c>
      <c r="AA523" s="51"/>
    </row>
    <row r="524" spans="1:27" x14ac:dyDescent="0.25">
      <c r="A524" s="51">
        <v>35</v>
      </c>
      <c r="B524" s="51">
        <v>2045</v>
      </c>
      <c r="C524" s="51" t="s">
        <v>47</v>
      </c>
      <c r="D524" s="51" t="s">
        <v>514</v>
      </c>
      <c r="E524" s="51" t="s">
        <v>564</v>
      </c>
      <c r="F524" s="51"/>
      <c r="G524" s="610" t="s">
        <v>84</v>
      </c>
      <c r="H524" s="611">
        <v>0</v>
      </c>
      <c r="I524" s="611">
        <v>0</v>
      </c>
      <c r="J524" s="611">
        <v>89.12011246217881</v>
      </c>
      <c r="K524" s="611">
        <v>6.0599628175412166</v>
      </c>
      <c r="L524" s="611">
        <v>5.1960687296288137</v>
      </c>
      <c r="M524" s="611">
        <v>0</v>
      </c>
      <c r="N524" s="611">
        <v>0</v>
      </c>
      <c r="O524" s="611">
        <v>0</v>
      </c>
      <c r="P524" s="720">
        <v>0.54576446148702884</v>
      </c>
      <c r="Q524" s="611">
        <v>0</v>
      </c>
      <c r="R524" s="611">
        <v>11.066248686503259</v>
      </c>
      <c r="S524" s="611">
        <v>5.136907588922659</v>
      </c>
      <c r="T524" s="611">
        <v>0</v>
      </c>
      <c r="U524" s="611">
        <v>0</v>
      </c>
      <c r="V524" s="611">
        <v>0</v>
      </c>
      <c r="W524" s="611">
        <v>0</v>
      </c>
      <c r="X524" s="611">
        <v>0</v>
      </c>
      <c r="Y524" s="611">
        <v>4.6180390561530453</v>
      </c>
      <c r="Z524" s="619">
        <v>121.74310380241484</v>
      </c>
      <c r="AA524" s="51"/>
    </row>
    <row r="525" spans="1:27" x14ac:dyDescent="0.25">
      <c r="A525" s="51">
        <v>36</v>
      </c>
      <c r="B525" s="51">
        <v>2045</v>
      </c>
      <c r="C525" s="51" t="s">
        <v>47</v>
      </c>
      <c r="D525" s="51" t="s">
        <v>515</v>
      </c>
      <c r="E525" s="51" t="s">
        <v>564</v>
      </c>
      <c r="F525" s="51"/>
      <c r="G525" s="614" t="s">
        <v>85</v>
      </c>
      <c r="H525" s="615">
        <v>0.36664902496337887</v>
      </c>
      <c r="I525" s="615">
        <v>0</v>
      </c>
      <c r="J525" s="615">
        <v>123.06236026147553</v>
      </c>
      <c r="K525" s="615">
        <v>8.0599628175412157</v>
      </c>
      <c r="L525" s="615">
        <v>53.503556698291682</v>
      </c>
      <c r="M525" s="615">
        <v>0.96614975937325753</v>
      </c>
      <c r="N525" s="615">
        <v>0</v>
      </c>
      <c r="O525" s="615">
        <v>0</v>
      </c>
      <c r="P525" s="615">
        <v>87.258751341237712</v>
      </c>
      <c r="Q525" s="615">
        <v>14.283194608386378</v>
      </c>
      <c r="R525" s="615">
        <v>48.331524872183181</v>
      </c>
      <c r="S525" s="615">
        <v>52.519596005244018</v>
      </c>
      <c r="T525" s="615">
        <v>225.43780413282306</v>
      </c>
      <c r="U525" s="615">
        <v>0</v>
      </c>
      <c r="V525" s="615">
        <v>29.586354685428713</v>
      </c>
      <c r="W525" s="615">
        <v>570.76732935077439</v>
      </c>
      <c r="X525" s="615">
        <v>78.058652461769753</v>
      </c>
      <c r="Y525" s="615">
        <v>25.60292622159545</v>
      </c>
      <c r="Z525" s="615">
        <v>1317.8048122410876</v>
      </c>
      <c r="AA525" s="51"/>
    </row>
    <row r="526" spans="1:27" x14ac:dyDescent="0.25">
      <c r="A526" s="51"/>
      <c r="B526" s="51"/>
      <c r="C526" s="51"/>
      <c r="D526" s="51"/>
      <c r="E526" s="51"/>
      <c r="F526" s="51"/>
      <c r="G526" s="51"/>
      <c r="H526" s="722">
        <v>0</v>
      </c>
      <c r="I526" s="722">
        <v>0</v>
      </c>
      <c r="J526" s="722">
        <v>2.1316282072803006E-14</v>
      </c>
      <c r="K526" s="722">
        <v>0</v>
      </c>
      <c r="L526" s="722">
        <v>4.0563540423477207E-5</v>
      </c>
      <c r="M526" s="722">
        <v>-4.0563540425697653E-5</v>
      </c>
      <c r="N526" s="722">
        <v>0</v>
      </c>
      <c r="O526" s="722">
        <v>0</v>
      </c>
      <c r="P526" s="722">
        <v>0</v>
      </c>
      <c r="Q526" s="722">
        <v>0</v>
      </c>
      <c r="R526" s="722">
        <v>0</v>
      </c>
      <c r="S526" s="722">
        <v>9.5479180117763462E-15</v>
      </c>
      <c r="T526" s="722">
        <v>0</v>
      </c>
      <c r="U526" s="722">
        <v>0</v>
      </c>
      <c r="V526" s="722">
        <v>0</v>
      </c>
      <c r="W526" s="722">
        <v>0</v>
      </c>
      <c r="X526" s="723">
        <v>-3.2925505536240962E-5</v>
      </c>
      <c r="Y526" s="722">
        <v>0</v>
      </c>
      <c r="Z526" s="722">
        <v>-3.2925505820458056E-5</v>
      </c>
      <c r="AA526" s="51"/>
    </row>
    <row r="527" spans="1:27" x14ac:dyDescent="0.25">
      <c r="A527" s="51"/>
      <c r="B527" s="51"/>
      <c r="C527" s="51"/>
      <c r="D527" s="51"/>
      <c r="E527" s="51"/>
      <c r="F527" s="51"/>
      <c r="G527" s="51"/>
      <c r="H527" s="51"/>
      <c r="I527" s="51"/>
      <c r="J527" s="51"/>
      <c r="K527" s="67"/>
      <c r="L527" s="51"/>
      <c r="M527" s="51"/>
      <c r="N527" s="51"/>
      <c r="O527" s="51"/>
      <c r="P527" s="51"/>
      <c r="Q527" s="51"/>
      <c r="R527" s="51"/>
      <c r="S527" s="722"/>
      <c r="T527" s="51"/>
      <c r="U527" s="51"/>
      <c r="V527" s="51"/>
      <c r="W527" s="51"/>
      <c r="X527" s="51"/>
      <c r="Y527" s="51"/>
      <c r="Z527" s="51"/>
      <c r="AA527" s="51"/>
    </row>
    <row r="528" spans="1:27" x14ac:dyDescent="0.25">
      <c r="A528" s="606"/>
      <c r="B528" s="606"/>
      <c r="C528" s="606"/>
      <c r="D528" s="606"/>
      <c r="E528" s="606"/>
      <c r="F528" s="606"/>
      <c r="G528" s="607" t="s">
        <v>89</v>
      </c>
      <c r="H528" s="606"/>
      <c r="I528" s="606"/>
      <c r="J528" s="606"/>
      <c r="K528" s="682"/>
      <c r="L528" s="606"/>
      <c r="M528" s="606"/>
      <c r="N528" s="606"/>
      <c r="O528" s="606"/>
      <c r="P528" s="606"/>
      <c r="Q528" s="606"/>
      <c r="R528" s="606"/>
      <c r="S528" s="606"/>
      <c r="T528" s="606"/>
      <c r="U528" s="606"/>
      <c r="V528" s="606"/>
      <c r="W528" s="606"/>
      <c r="X528" s="606"/>
      <c r="Y528" s="606"/>
      <c r="Z528" s="606"/>
      <c r="AA528" s="606"/>
    </row>
    <row r="529" spans="1:27" x14ac:dyDescent="0.25">
      <c r="A529" s="51"/>
      <c r="B529" s="51"/>
      <c r="C529" s="51"/>
      <c r="D529" s="51"/>
      <c r="E529" s="51"/>
      <c r="F529" s="51"/>
      <c r="G529" s="51"/>
      <c r="H529" s="51"/>
      <c r="I529" s="51"/>
      <c r="J529" s="51"/>
      <c r="K529" s="67"/>
      <c r="L529" s="51"/>
      <c r="M529" s="51"/>
      <c r="N529" s="51"/>
      <c r="O529" s="51"/>
      <c r="P529" s="51"/>
      <c r="Q529" s="51"/>
      <c r="R529" s="51"/>
      <c r="S529" s="51"/>
      <c r="T529" s="51"/>
      <c r="U529" s="51"/>
      <c r="V529" s="51"/>
      <c r="W529" s="51"/>
      <c r="X529" s="51"/>
      <c r="Y529" s="51"/>
      <c r="Z529" s="51"/>
      <c r="AA529" s="51"/>
    </row>
    <row r="530" spans="1:27" x14ac:dyDescent="0.25">
      <c r="A530" s="51"/>
      <c r="B530" s="51"/>
      <c r="C530" s="51"/>
      <c r="D530" s="51"/>
      <c r="E530" s="51"/>
      <c r="F530" s="51"/>
      <c r="G530" s="764" t="s">
        <v>128</v>
      </c>
      <c r="H530" s="753" t="s">
        <v>42</v>
      </c>
      <c r="I530" s="753" t="s">
        <v>52</v>
      </c>
      <c r="J530" s="753" t="s">
        <v>53</v>
      </c>
      <c r="K530" s="766" t="s">
        <v>482</v>
      </c>
      <c r="L530" s="753" t="s">
        <v>32</v>
      </c>
      <c r="M530" s="753" t="s">
        <v>483</v>
      </c>
      <c r="N530" s="753" t="s">
        <v>20</v>
      </c>
      <c r="O530" s="753" t="s">
        <v>55</v>
      </c>
      <c r="P530" s="761" t="s">
        <v>56</v>
      </c>
      <c r="Q530" s="762"/>
      <c r="R530" s="762"/>
      <c r="S530" s="762"/>
      <c r="T530" s="762"/>
      <c r="U530" s="762"/>
      <c r="V530" s="763"/>
      <c r="W530" s="753" t="s">
        <v>57</v>
      </c>
      <c r="X530" s="753" t="s">
        <v>58</v>
      </c>
      <c r="Y530" s="753" t="s">
        <v>31</v>
      </c>
      <c r="Z530" s="753" t="s">
        <v>10</v>
      </c>
      <c r="AA530" s="51"/>
    </row>
    <row r="531" spans="1:27" ht="36" x14ac:dyDescent="0.25">
      <c r="A531" s="51"/>
      <c r="B531" s="51"/>
      <c r="C531" s="51"/>
      <c r="D531" s="51" t="s">
        <v>486</v>
      </c>
      <c r="E531" s="51"/>
      <c r="F531" s="51"/>
      <c r="G531" s="765"/>
      <c r="H531" s="754"/>
      <c r="I531" s="754"/>
      <c r="J531" s="754"/>
      <c r="K531" s="767"/>
      <c r="L531" s="754"/>
      <c r="M531" s="754"/>
      <c r="N531" s="754"/>
      <c r="O531" s="754"/>
      <c r="P531" s="608" t="s">
        <v>335</v>
      </c>
      <c r="Q531" s="608" t="s">
        <v>40</v>
      </c>
      <c r="R531" s="608" t="s">
        <v>343</v>
      </c>
      <c r="S531" s="608" t="s">
        <v>344</v>
      </c>
      <c r="T531" s="609" t="s">
        <v>345</v>
      </c>
      <c r="U531" s="609" t="s">
        <v>609</v>
      </c>
      <c r="V531" s="608" t="s">
        <v>346</v>
      </c>
      <c r="W531" s="754"/>
      <c r="X531" s="754"/>
      <c r="Y531" s="754"/>
      <c r="Z531" s="754"/>
      <c r="AA531" s="51"/>
    </row>
    <row r="532" spans="1:27" x14ac:dyDescent="0.25">
      <c r="A532" s="51">
        <v>6</v>
      </c>
      <c r="B532" s="51">
        <v>2050</v>
      </c>
      <c r="C532" s="51" t="s">
        <v>47</v>
      </c>
      <c r="D532" s="51" t="s">
        <v>487</v>
      </c>
      <c r="E532" s="51" t="s">
        <v>564</v>
      </c>
      <c r="F532" s="51"/>
      <c r="G532" s="610" t="s">
        <v>59</v>
      </c>
      <c r="H532" s="611">
        <v>0</v>
      </c>
      <c r="I532" s="611">
        <v>0</v>
      </c>
      <c r="J532" s="611">
        <v>0</v>
      </c>
      <c r="K532" s="611">
        <v>0</v>
      </c>
      <c r="L532" s="611">
        <v>0</v>
      </c>
      <c r="M532" s="681">
        <v>0</v>
      </c>
      <c r="N532" s="612">
        <v>807.34187858436769</v>
      </c>
      <c r="O532" s="612">
        <v>581.87909823840357</v>
      </c>
      <c r="P532" s="611">
        <v>412.80923647140196</v>
      </c>
      <c r="Q532" s="612">
        <v>29.257786521985246</v>
      </c>
      <c r="R532" s="611">
        <v>0</v>
      </c>
      <c r="S532" s="611">
        <v>0</v>
      </c>
      <c r="T532" s="612">
        <v>252.7623263677639</v>
      </c>
      <c r="U532" s="612">
        <v>13.081280920113173</v>
      </c>
      <c r="V532" s="612">
        <v>55.176292388796149</v>
      </c>
      <c r="W532" s="611">
        <v>0</v>
      </c>
      <c r="X532" s="611">
        <v>0</v>
      </c>
      <c r="Y532" s="611">
        <v>0</v>
      </c>
      <c r="Z532" s="613">
        <v>2152.3078994928323</v>
      </c>
      <c r="AA532" s="51"/>
    </row>
    <row r="533" spans="1:27" x14ac:dyDescent="0.25">
      <c r="A533" s="51">
        <v>7</v>
      </c>
      <c r="B533" s="51">
        <v>2050</v>
      </c>
      <c r="C533" s="51" t="s">
        <v>47</v>
      </c>
      <c r="D533" s="51" t="s">
        <v>488</v>
      </c>
      <c r="E533" s="51" t="s">
        <v>564</v>
      </c>
      <c r="F533" s="51"/>
      <c r="G533" s="610" t="s">
        <v>60</v>
      </c>
      <c r="H533" s="611">
        <v>3.7440662384033201E-2</v>
      </c>
      <c r="I533" s="611">
        <v>58.863651738299311</v>
      </c>
      <c r="J533" s="611">
        <v>34.573371870615162</v>
      </c>
      <c r="K533" s="611">
        <v>12.101276642185482</v>
      </c>
      <c r="L533" s="620">
        <v>2.7180270847966641</v>
      </c>
      <c r="M533" s="681">
        <v>0</v>
      </c>
      <c r="N533" s="611">
        <v>0</v>
      </c>
      <c r="O533" s="611">
        <v>0</v>
      </c>
      <c r="P533" s="611">
        <v>0</v>
      </c>
      <c r="Q533" s="611">
        <v>0</v>
      </c>
      <c r="R533" s="611">
        <v>6.8969843422845969</v>
      </c>
      <c r="S533" s="611">
        <v>0</v>
      </c>
      <c r="T533" s="611">
        <v>0</v>
      </c>
      <c r="U533" s="611">
        <v>0</v>
      </c>
      <c r="V533" s="611">
        <v>0</v>
      </c>
      <c r="W533" s="611">
        <v>0</v>
      </c>
      <c r="X533" s="611">
        <v>0</v>
      </c>
      <c r="Y533" s="611">
        <v>0</v>
      </c>
      <c r="Z533" s="613">
        <v>115.19075234056524</v>
      </c>
      <c r="AA533" s="51"/>
    </row>
    <row r="534" spans="1:27" x14ac:dyDescent="0.25">
      <c r="A534" s="51">
        <v>8</v>
      </c>
      <c r="B534" s="51">
        <v>2050</v>
      </c>
      <c r="C534" s="51" t="s">
        <v>47</v>
      </c>
      <c r="D534" s="51" t="s">
        <v>489</v>
      </c>
      <c r="E534" s="51" t="s">
        <v>564</v>
      </c>
      <c r="F534" s="51"/>
      <c r="G534" s="610" t="s">
        <v>61</v>
      </c>
      <c r="H534" s="611">
        <v>0</v>
      </c>
      <c r="I534" s="611">
        <v>0</v>
      </c>
      <c r="J534" s="611">
        <v>0</v>
      </c>
      <c r="K534" s="611">
        <v>0</v>
      </c>
      <c r="L534" s="611">
        <v>0</v>
      </c>
      <c r="M534" s="681">
        <v>0</v>
      </c>
      <c r="N534" s="611">
        <v>0</v>
      </c>
      <c r="O534" s="611">
        <v>0</v>
      </c>
      <c r="P534" s="611">
        <v>-20.722808545924181</v>
      </c>
      <c r="Q534" s="611">
        <v>0</v>
      </c>
      <c r="R534" s="611">
        <v>0</v>
      </c>
      <c r="S534" s="681">
        <v>0</v>
      </c>
      <c r="T534" s="611">
        <v>0</v>
      </c>
      <c r="U534" s="611">
        <v>0</v>
      </c>
      <c r="V534" s="611">
        <v>0</v>
      </c>
      <c r="W534" s="611">
        <v>-39.954349751596965</v>
      </c>
      <c r="X534" s="611">
        <v>0</v>
      </c>
      <c r="Y534" s="611">
        <v>0</v>
      </c>
      <c r="Z534" s="613">
        <v>-60.677158297521146</v>
      </c>
      <c r="AA534" s="51"/>
    </row>
    <row r="535" spans="1:27" x14ac:dyDescent="0.25">
      <c r="A535" s="51">
        <v>9</v>
      </c>
      <c r="B535" s="51">
        <v>2050</v>
      </c>
      <c r="C535" s="51" t="s">
        <v>47</v>
      </c>
      <c r="D535" s="51" t="s">
        <v>490</v>
      </c>
      <c r="E535" s="51" t="s">
        <v>564</v>
      </c>
      <c r="F535" s="51"/>
      <c r="G535" s="610" t="s">
        <v>62</v>
      </c>
      <c r="H535" s="611">
        <v>0</v>
      </c>
      <c r="I535" s="611">
        <v>0</v>
      </c>
      <c r="J535" s="611">
        <v>-1.2057976620084264E-3</v>
      </c>
      <c r="K535" s="611">
        <v>-2.8026264036035151</v>
      </c>
      <c r="L535" s="611">
        <v>0</v>
      </c>
      <c r="M535" s="681">
        <v>-2.8026264036035156</v>
      </c>
      <c r="N535" s="611">
        <v>0</v>
      </c>
      <c r="O535" s="611">
        <v>0</v>
      </c>
      <c r="P535" s="611">
        <v>0</v>
      </c>
      <c r="Q535" s="611">
        <v>0</v>
      </c>
      <c r="R535" s="611">
        <v>0</v>
      </c>
      <c r="S535" s="681">
        <v>-2.4289428831230464</v>
      </c>
      <c r="T535" s="611">
        <v>0</v>
      </c>
      <c r="U535" s="611">
        <v>0</v>
      </c>
      <c r="V535" s="611">
        <v>0</v>
      </c>
      <c r="W535" s="611">
        <v>0</v>
      </c>
      <c r="X535" s="611">
        <v>0</v>
      </c>
      <c r="Y535" s="611">
        <v>-1.3066910843207444</v>
      </c>
      <c r="Z535" s="613">
        <v>-9.342092572312831</v>
      </c>
      <c r="AA535" s="51"/>
    </row>
    <row r="536" spans="1:27" x14ac:dyDescent="0.25">
      <c r="A536" s="51">
        <v>10</v>
      </c>
      <c r="B536" s="51">
        <v>2050</v>
      </c>
      <c r="C536" s="51" t="s">
        <v>47</v>
      </c>
      <c r="D536" s="51" t="s">
        <v>491</v>
      </c>
      <c r="E536" s="51" t="s">
        <v>564</v>
      </c>
      <c r="F536" s="51"/>
      <c r="G536" s="610" t="s">
        <v>63</v>
      </c>
      <c r="H536" s="611">
        <v>0</v>
      </c>
      <c r="I536" s="611">
        <v>0</v>
      </c>
      <c r="J536" s="611">
        <v>-7</v>
      </c>
      <c r="K536" s="611">
        <v>-25</v>
      </c>
      <c r="L536" s="611">
        <v>0</v>
      </c>
      <c r="M536" s="681">
        <v>0</v>
      </c>
      <c r="N536" s="611">
        <v>0</v>
      </c>
      <c r="O536" s="611">
        <v>0</v>
      </c>
      <c r="P536" s="611">
        <v>0</v>
      </c>
      <c r="Q536" s="611">
        <v>0</v>
      </c>
      <c r="R536" s="611">
        <v>-17</v>
      </c>
      <c r="S536" s="611">
        <v>0</v>
      </c>
      <c r="T536" s="611">
        <v>0</v>
      </c>
      <c r="U536" s="611">
        <v>0</v>
      </c>
      <c r="V536" s="611">
        <v>0</v>
      </c>
      <c r="W536" s="611">
        <v>0</v>
      </c>
      <c r="X536" s="611">
        <v>0</v>
      </c>
      <c r="Y536" s="611">
        <v>-8</v>
      </c>
      <c r="Z536" s="613">
        <v>-57</v>
      </c>
      <c r="AA536" s="51"/>
    </row>
    <row r="537" spans="1:27" x14ac:dyDescent="0.25">
      <c r="A537" s="51">
        <v>11</v>
      </c>
      <c r="B537" s="51">
        <v>2050</v>
      </c>
      <c r="C537" s="51" t="s">
        <v>47</v>
      </c>
      <c r="D537" s="51" t="s">
        <v>492</v>
      </c>
      <c r="E537" s="51" t="s">
        <v>564</v>
      </c>
      <c r="F537" s="51"/>
      <c r="G537" s="610" t="s">
        <v>64</v>
      </c>
      <c r="H537" s="611">
        <v>0</v>
      </c>
      <c r="I537" s="611">
        <v>0</v>
      </c>
      <c r="J537" s="611">
        <v>0</v>
      </c>
      <c r="K537" s="611">
        <v>0</v>
      </c>
      <c r="L537" s="611">
        <v>0</v>
      </c>
      <c r="M537" s="681">
        <v>0</v>
      </c>
      <c r="N537" s="611">
        <v>0</v>
      </c>
      <c r="O537" s="611">
        <v>0</v>
      </c>
      <c r="P537" s="611">
        <v>0</v>
      </c>
      <c r="Q537" s="611">
        <v>0</v>
      </c>
      <c r="R537" s="611">
        <v>0</v>
      </c>
      <c r="S537" s="611">
        <v>0</v>
      </c>
      <c r="T537" s="611">
        <v>0</v>
      </c>
      <c r="U537" s="611">
        <v>0</v>
      </c>
      <c r="V537" s="611">
        <v>0</v>
      </c>
      <c r="W537" s="611">
        <v>0</v>
      </c>
      <c r="X537" s="611">
        <v>0</v>
      </c>
      <c r="Y537" s="611">
        <v>0</v>
      </c>
      <c r="Z537" s="613">
        <v>0</v>
      </c>
      <c r="AA537" s="51"/>
    </row>
    <row r="538" spans="1:27" x14ac:dyDescent="0.25">
      <c r="A538" s="51">
        <v>12</v>
      </c>
      <c r="B538" s="51">
        <v>2050</v>
      </c>
      <c r="C538" s="51" t="s">
        <v>47</v>
      </c>
      <c r="D538" s="51" t="s">
        <v>493</v>
      </c>
      <c r="E538" s="51" t="s">
        <v>564</v>
      </c>
      <c r="F538" s="51"/>
      <c r="G538" s="614" t="s">
        <v>65</v>
      </c>
      <c r="H538" s="615">
        <v>3.7440662384033201E-2</v>
      </c>
      <c r="I538" s="615">
        <v>58.863651738299311</v>
      </c>
      <c r="J538" s="615">
        <v>27.572166072953152</v>
      </c>
      <c r="K538" s="615">
        <v>-15.701349761418033</v>
      </c>
      <c r="L538" s="615">
        <v>2.7180270847966641</v>
      </c>
      <c r="M538" s="691">
        <v>-2.8026264036035156</v>
      </c>
      <c r="N538" s="615">
        <v>807.34187858436769</v>
      </c>
      <c r="O538" s="615">
        <v>581.87909823840357</v>
      </c>
      <c r="P538" s="615">
        <v>392.08642792547778</v>
      </c>
      <c r="Q538" s="615">
        <v>29.257786521985246</v>
      </c>
      <c r="R538" s="615">
        <v>-10.103015657715403</v>
      </c>
      <c r="S538" s="615">
        <v>-2.4289428831230464</v>
      </c>
      <c r="T538" s="615">
        <v>252.7623263677639</v>
      </c>
      <c r="U538" s="615">
        <v>13.081280920113173</v>
      </c>
      <c r="V538" s="615">
        <v>55.176292388796149</v>
      </c>
      <c r="W538" s="615">
        <v>-39.954349751596965</v>
      </c>
      <c r="X538" s="615">
        <v>0</v>
      </c>
      <c r="Y538" s="615">
        <v>-9.3066910843207449</v>
      </c>
      <c r="Z538" s="615">
        <v>2140.4794009635634</v>
      </c>
      <c r="AA538" s="51"/>
    </row>
    <row r="539" spans="1:27" x14ac:dyDescent="0.25">
      <c r="A539" s="51"/>
      <c r="B539" s="51"/>
      <c r="C539" s="51"/>
      <c r="D539" s="51"/>
      <c r="E539" s="51"/>
      <c r="F539" s="51"/>
      <c r="G539" s="616"/>
      <c r="H539" s="617"/>
      <c r="I539" s="617"/>
      <c r="J539" s="617"/>
      <c r="K539" s="617"/>
      <c r="L539" s="617"/>
      <c r="M539" s="685"/>
      <c r="N539" s="617"/>
      <c r="O539" s="617"/>
      <c r="P539" s="617"/>
      <c r="Q539" s="617"/>
      <c r="R539" s="617"/>
      <c r="S539" s="617"/>
      <c r="T539" s="617"/>
      <c r="U539" s="617"/>
      <c r="V539" s="617"/>
      <c r="W539" s="617"/>
      <c r="X539" s="617"/>
      <c r="Y539" s="617"/>
      <c r="Z539" s="617"/>
      <c r="AA539" s="51"/>
    </row>
    <row r="540" spans="1:27" x14ac:dyDescent="0.25">
      <c r="A540" s="51">
        <v>14</v>
      </c>
      <c r="B540" s="51">
        <v>2050</v>
      </c>
      <c r="C540" s="51" t="s">
        <v>47</v>
      </c>
      <c r="D540" s="51" t="s">
        <v>494</v>
      </c>
      <c r="E540" s="51" t="s">
        <v>564</v>
      </c>
      <c r="F540" s="51"/>
      <c r="G540" s="618" t="s">
        <v>67</v>
      </c>
      <c r="H540" s="611">
        <v>0</v>
      </c>
      <c r="I540" s="611">
        <v>0</v>
      </c>
      <c r="J540" s="611">
        <v>0</v>
      </c>
      <c r="K540" s="611">
        <v>0</v>
      </c>
      <c r="L540" s="611">
        <v>0</v>
      </c>
      <c r="M540" s="681">
        <v>0</v>
      </c>
      <c r="N540" s="611">
        <v>0</v>
      </c>
      <c r="O540" s="611">
        <v>0</v>
      </c>
      <c r="P540" s="611">
        <v>0</v>
      </c>
      <c r="Q540" s="611">
        <v>0</v>
      </c>
      <c r="R540" s="611">
        <v>0</v>
      </c>
      <c r="S540" s="611">
        <v>0</v>
      </c>
      <c r="T540" s="611">
        <v>0</v>
      </c>
      <c r="U540" s="611">
        <v>0</v>
      </c>
      <c r="V540" s="611">
        <v>0</v>
      </c>
      <c r="W540" s="611">
        <v>0</v>
      </c>
      <c r="X540" s="611">
        <v>0</v>
      </c>
      <c r="Y540" s="611">
        <v>0</v>
      </c>
      <c r="Z540" s="619">
        <v>0</v>
      </c>
      <c r="AA540" s="51"/>
    </row>
    <row r="541" spans="1:27" x14ac:dyDescent="0.25">
      <c r="A541" s="51">
        <v>15</v>
      </c>
      <c r="B541" s="51">
        <v>2050</v>
      </c>
      <c r="C541" s="51" t="s">
        <v>47</v>
      </c>
      <c r="D541" s="51" t="s">
        <v>495</v>
      </c>
      <c r="E541" s="51" t="s">
        <v>564</v>
      </c>
      <c r="F541" s="51"/>
      <c r="G541" s="618" t="s">
        <v>347</v>
      </c>
      <c r="H541" s="611">
        <v>0</v>
      </c>
      <c r="I541" s="611">
        <v>0</v>
      </c>
      <c r="J541" s="611">
        <v>0</v>
      </c>
      <c r="K541" s="611">
        <v>0</v>
      </c>
      <c r="L541" s="611">
        <v>0</v>
      </c>
      <c r="M541" s="681">
        <v>0</v>
      </c>
      <c r="N541" s="611">
        <v>797.92981818181818</v>
      </c>
      <c r="O541" s="611">
        <v>581.87909823840357</v>
      </c>
      <c r="P541" s="611">
        <v>17.424057019400301</v>
      </c>
      <c r="Q541" s="611">
        <v>5.0396488381782296</v>
      </c>
      <c r="R541" s="611">
        <v>6.5561937148871507</v>
      </c>
      <c r="S541" s="611">
        <v>0.11704136254218823</v>
      </c>
      <c r="T541" s="611">
        <v>0</v>
      </c>
      <c r="U541" s="611">
        <v>0</v>
      </c>
      <c r="V541" s="611">
        <v>6.7631767445353068</v>
      </c>
      <c r="W541" s="611">
        <v>-861.87624815936454</v>
      </c>
      <c r="X541" s="611">
        <v>0</v>
      </c>
      <c r="Y541" s="611">
        <v>0</v>
      </c>
      <c r="Z541" s="619">
        <v>553.83278594040041</v>
      </c>
      <c r="AA541" s="51"/>
    </row>
    <row r="542" spans="1:27" x14ac:dyDescent="0.25">
      <c r="A542" s="51">
        <v>16</v>
      </c>
      <c r="B542" s="51">
        <v>2050</v>
      </c>
      <c r="C542" s="51" t="s">
        <v>47</v>
      </c>
      <c r="D542" s="51" t="s">
        <v>496</v>
      </c>
      <c r="E542" s="51" t="s">
        <v>564</v>
      </c>
      <c r="F542" s="51"/>
      <c r="G542" s="618" t="s">
        <v>348</v>
      </c>
      <c r="H542" s="611">
        <v>0</v>
      </c>
      <c r="I542" s="611">
        <v>0</v>
      </c>
      <c r="J542" s="611">
        <v>0</v>
      </c>
      <c r="K542" s="611">
        <v>0</v>
      </c>
      <c r="L542" s="611">
        <v>0</v>
      </c>
      <c r="M542" s="681">
        <v>0.39728113347497324</v>
      </c>
      <c r="N542" s="611">
        <v>9.412060402549514</v>
      </c>
      <c r="O542" s="611">
        <v>0</v>
      </c>
      <c r="P542" s="611">
        <v>23.367708261753705</v>
      </c>
      <c r="Q542" s="611">
        <v>9.9186658759587072</v>
      </c>
      <c r="R542" s="611">
        <v>0</v>
      </c>
      <c r="S542" s="611">
        <v>7.5640453278612343</v>
      </c>
      <c r="T542" s="611">
        <v>8.8281208050990276</v>
      </c>
      <c r="U542" s="611">
        <v>13.081280920113173</v>
      </c>
      <c r="V542" s="611">
        <v>12.970519920262072</v>
      </c>
      <c r="W542" s="611">
        <v>0</v>
      </c>
      <c r="X542" s="620">
        <v>-80.789009211752003</v>
      </c>
      <c r="Y542" s="611">
        <v>0</v>
      </c>
      <c r="Z542" s="619">
        <v>4.7506734353204081</v>
      </c>
      <c r="AA542" s="51"/>
    </row>
    <row r="543" spans="1:27" x14ac:dyDescent="0.25">
      <c r="A543" s="51">
        <v>17</v>
      </c>
      <c r="B543" s="51">
        <v>2050</v>
      </c>
      <c r="C543" s="51" t="s">
        <v>47</v>
      </c>
      <c r="D543" s="51" t="s">
        <v>497</v>
      </c>
      <c r="E543" s="51" t="s">
        <v>564</v>
      </c>
      <c r="F543" s="51"/>
      <c r="G543" s="618" t="s">
        <v>349</v>
      </c>
      <c r="H543" s="611">
        <v>0</v>
      </c>
      <c r="I543" s="611">
        <v>0</v>
      </c>
      <c r="J543" s="611">
        <v>0</v>
      </c>
      <c r="K543" s="611">
        <v>0</v>
      </c>
      <c r="L543" s="611">
        <v>0</v>
      </c>
      <c r="M543" s="681">
        <v>0</v>
      </c>
      <c r="N543" s="611">
        <v>0</v>
      </c>
      <c r="O543" s="611">
        <v>0</v>
      </c>
      <c r="P543" s="611">
        <v>164.74836333790103</v>
      </c>
      <c r="Q543" s="611">
        <v>0</v>
      </c>
      <c r="R543" s="611">
        <v>0</v>
      </c>
      <c r="S543" s="611">
        <v>-82.374181668950499</v>
      </c>
      <c r="T543" s="611">
        <v>0</v>
      </c>
      <c r="U543" s="611">
        <v>0</v>
      </c>
      <c r="V543" s="611">
        <v>0</v>
      </c>
      <c r="W543" s="611">
        <v>0</v>
      </c>
      <c r="X543" s="611">
        <v>0</v>
      </c>
      <c r="Y543" s="611">
        <v>0</v>
      </c>
      <c r="Z543" s="619">
        <v>82.374181668950527</v>
      </c>
      <c r="AA543" s="51"/>
    </row>
    <row r="544" spans="1:27" x14ac:dyDescent="0.25">
      <c r="A544" s="51">
        <v>18</v>
      </c>
      <c r="B544" s="51">
        <v>2050</v>
      </c>
      <c r="C544" s="51" t="s">
        <v>47</v>
      </c>
      <c r="D544" s="51" t="s">
        <v>498</v>
      </c>
      <c r="E544" s="51" t="s">
        <v>564</v>
      </c>
      <c r="F544" s="51"/>
      <c r="G544" s="618" t="s">
        <v>350</v>
      </c>
      <c r="H544" s="611">
        <v>0</v>
      </c>
      <c r="I544" s="611">
        <v>0</v>
      </c>
      <c r="J544" s="611">
        <v>0</v>
      </c>
      <c r="K544" s="611">
        <v>0</v>
      </c>
      <c r="L544" s="611">
        <v>0</v>
      </c>
      <c r="M544" s="724">
        <v>-6.7379887891798091</v>
      </c>
      <c r="N544" s="611">
        <v>0</v>
      </c>
      <c r="O544" s="611">
        <v>0</v>
      </c>
      <c r="P544" s="611">
        <v>0</v>
      </c>
      <c r="Q544" s="611">
        <v>0</v>
      </c>
      <c r="R544" s="611">
        <v>0</v>
      </c>
      <c r="S544" s="611">
        <v>0</v>
      </c>
      <c r="T544" s="611">
        <v>0</v>
      </c>
      <c r="U544" s="611">
        <v>0</v>
      </c>
      <c r="V544" s="611">
        <v>0</v>
      </c>
      <c r="W544" s="611">
        <v>0</v>
      </c>
      <c r="X544" s="611">
        <v>0</v>
      </c>
      <c r="Y544" s="611">
        <v>9.8325873697517654</v>
      </c>
      <c r="Z544" s="619">
        <v>3.0945985805719562</v>
      </c>
      <c r="AA544" s="51"/>
    </row>
    <row r="545" spans="1:27" x14ac:dyDescent="0.25">
      <c r="A545" s="51">
        <v>19</v>
      </c>
      <c r="B545" s="51">
        <v>2050</v>
      </c>
      <c r="C545" s="51" t="s">
        <v>47</v>
      </c>
      <c r="D545" s="51" t="s">
        <v>499</v>
      </c>
      <c r="E545" s="51" t="s">
        <v>564</v>
      </c>
      <c r="F545" s="51"/>
      <c r="G545" s="618" t="s">
        <v>72</v>
      </c>
      <c r="H545" s="611">
        <v>0</v>
      </c>
      <c r="I545" s="611">
        <v>60.999648796706254</v>
      </c>
      <c r="J545" s="611">
        <v>-60.389652308739187</v>
      </c>
      <c r="K545" s="611">
        <v>0</v>
      </c>
      <c r="L545" s="611">
        <v>0</v>
      </c>
      <c r="M545" s="681">
        <v>0</v>
      </c>
      <c r="N545" s="611">
        <v>0</v>
      </c>
      <c r="O545" s="611">
        <v>0</v>
      </c>
      <c r="P545" s="611">
        <v>0</v>
      </c>
      <c r="Q545" s="611">
        <v>0</v>
      </c>
      <c r="R545" s="611">
        <v>0</v>
      </c>
      <c r="S545" s="611">
        <v>0</v>
      </c>
      <c r="T545" s="611">
        <v>0</v>
      </c>
      <c r="U545" s="611">
        <v>0</v>
      </c>
      <c r="V545" s="611">
        <v>0</v>
      </c>
      <c r="W545" s="611">
        <v>0</v>
      </c>
      <c r="X545" s="611">
        <v>0</v>
      </c>
      <c r="Y545" s="611">
        <v>0</v>
      </c>
      <c r="Z545" s="619">
        <v>0.60999648796706651</v>
      </c>
      <c r="AA545" s="51"/>
    </row>
    <row r="546" spans="1:27" x14ac:dyDescent="0.25">
      <c r="A546" s="51">
        <v>20</v>
      </c>
      <c r="B546" s="51">
        <v>2050</v>
      </c>
      <c r="C546" s="51" t="s">
        <v>47</v>
      </c>
      <c r="D546" s="51" t="s">
        <v>500</v>
      </c>
      <c r="E546" s="51" t="s">
        <v>564</v>
      </c>
      <c r="F546" s="51"/>
      <c r="G546" s="618" t="s">
        <v>351</v>
      </c>
      <c r="H546" s="611">
        <v>0</v>
      </c>
      <c r="I546" s="611">
        <v>0</v>
      </c>
      <c r="J546" s="611">
        <v>0</v>
      </c>
      <c r="K546" s="611">
        <v>0</v>
      </c>
      <c r="L546" s="611">
        <v>0</v>
      </c>
      <c r="M546" s="681">
        <v>0</v>
      </c>
      <c r="N546" s="611">
        <v>0</v>
      </c>
      <c r="O546" s="611">
        <v>0</v>
      </c>
      <c r="P546" s="611">
        <v>103.40913904330941</v>
      </c>
      <c r="Q546" s="611">
        <v>0</v>
      </c>
      <c r="R546" s="620">
        <v>-56.875026473820178</v>
      </c>
      <c r="S546" s="611">
        <v>0</v>
      </c>
      <c r="T546" s="611">
        <v>0</v>
      </c>
      <c r="U546" s="611">
        <v>0</v>
      </c>
      <c r="V546" s="611">
        <v>0</v>
      </c>
      <c r="W546" s="611">
        <v>0</v>
      </c>
      <c r="X546" s="611">
        <v>0</v>
      </c>
      <c r="Y546" s="611">
        <v>0</v>
      </c>
      <c r="Z546" s="619">
        <v>46.534112569489231</v>
      </c>
      <c r="AA546" s="51"/>
    </row>
    <row r="547" spans="1:27" x14ac:dyDescent="0.25">
      <c r="A547" s="51">
        <v>21</v>
      </c>
      <c r="B547" s="51">
        <v>2050</v>
      </c>
      <c r="C547" s="51" t="s">
        <v>47</v>
      </c>
      <c r="D547" s="51" t="s">
        <v>501</v>
      </c>
      <c r="E547" s="51" t="s">
        <v>564</v>
      </c>
      <c r="F547" s="51"/>
      <c r="G547" s="618" t="s">
        <v>352</v>
      </c>
      <c r="H547" s="611">
        <v>0</v>
      </c>
      <c r="I547" s="611">
        <v>0</v>
      </c>
      <c r="J547" s="611">
        <v>0</v>
      </c>
      <c r="K547" s="611">
        <v>-27.8085229815403</v>
      </c>
      <c r="L547" s="611">
        <v>0</v>
      </c>
      <c r="M547" s="681">
        <v>0</v>
      </c>
      <c r="N547" s="611">
        <v>0</v>
      </c>
      <c r="O547" s="611">
        <v>0</v>
      </c>
      <c r="P547" s="611">
        <v>0</v>
      </c>
      <c r="Q547" s="611">
        <v>0</v>
      </c>
      <c r="R547" s="611">
        <v>0</v>
      </c>
      <c r="S547" s="611">
        <v>0</v>
      </c>
      <c r="T547" s="611">
        <v>0</v>
      </c>
      <c r="U547" s="611">
        <v>0</v>
      </c>
      <c r="V547" s="611">
        <v>0</v>
      </c>
      <c r="W547" s="611">
        <v>0</v>
      </c>
      <c r="X547" s="611">
        <v>0</v>
      </c>
      <c r="Y547" s="611">
        <v>47.093267021132604</v>
      </c>
      <c r="Z547" s="619">
        <v>19.284744039592304</v>
      </c>
      <c r="AA547" s="51"/>
    </row>
    <row r="548" spans="1:27" x14ac:dyDescent="0.25">
      <c r="A548" s="51">
        <v>22</v>
      </c>
      <c r="B548" s="51">
        <v>2050</v>
      </c>
      <c r="C548" s="51" t="s">
        <v>47</v>
      </c>
      <c r="D548" s="51" t="s">
        <v>502</v>
      </c>
      <c r="E548" s="51" t="s">
        <v>564</v>
      </c>
      <c r="F548" s="51"/>
      <c r="G548" s="618" t="s">
        <v>73</v>
      </c>
      <c r="H548" s="611">
        <v>0</v>
      </c>
      <c r="I548" s="611">
        <v>0</v>
      </c>
      <c r="J548" s="611">
        <v>0</v>
      </c>
      <c r="K548" s="611">
        <v>0</v>
      </c>
      <c r="L548" s="611">
        <v>0</v>
      </c>
      <c r="M548" s="681">
        <v>0</v>
      </c>
      <c r="N548" s="611">
        <v>0</v>
      </c>
      <c r="O548" s="611">
        <v>0</v>
      </c>
      <c r="P548" s="611">
        <v>0</v>
      </c>
      <c r="Q548" s="611">
        <v>0</v>
      </c>
      <c r="R548" s="611">
        <v>0</v>
      </c>
      <c r="S548" s="611">
        <v>0</v>
      </c>
      <c r="T548" s="611">
        <v>0</v>
      </c>
      <c r="U548" s="611">
        <v>0</v>
      </c>
      <c r="V548" s="611">
        <v>0</v>
      </c>
      <c r="W548" s="611">
        <v>134.08558757391691</v>
      </c>
      <c r="X548" s="611">
        <v>0</v>
      </c>
      <c r="Y548" s="611">
        <v>-96.541623053220178</v>
      </c>
      <c r="Z548" s="619">
        <v>37.543964520696733</v>
      </c>
      <c r="AA548" s="51"/>
    </row>
    <row r="549" spans="1:27" x14ac:dyDescent="0.25">
      <c r="A549" s="51">
        <v>23</v>
      </c>
      <c r="B549" s="51">
        <v>2050</v>
      </c>
      <c r="C549" s="51" t="s">
        <v>47</v>
      </c>
      <c r="D549" s="51" t="s">
        <v>503</v>
      </c>
      <c r="E549" s="51" t="s">
        <v>564</v>
      </c>
      <c r="F549" s="51"/>
      <c r="G549" s="618" t="s">
        <v>353</v>
      </c>
      <c r="H549" s="611">
        <v>0</v>
      </c>
      <c r="I549" s="611">
        <v>-2.1359970584069448</v>
      </c>
      <c r="J549" s="611">
        <v>2.9254988687511099</v>
      </c>
      <c r="K549" s="611">
        <v>0</v>
      </c>
      <c r="L549" s="611">
        <v>0</v>
      </c>
      <c r="M549" s="681">
        <v>0</v>
      </c>
      <c r="N549" s="611">
        <v>0</v>
      </c>
      <c r="O549" s="611">
        <v>0</v>
      </c>
      <c r="P549" s="611">
        <v>0</v>
      </c>
      <c r="Q549" s="611">
        <v>0</v>
      </c>
      <c r="R549" s="611">
        <v>0</v>
      </c>
      <c r="S549" s="611">
        <v>0</v>
      </c>
      <c r="T549" s="611">
        <v>0</v>
      </c>
      <c r="U549" s="611">
        <v>0</v>
      </c>
      <c r="V549" s="611">
        <v>0</v>
      </c>
      <c r="W549" s="611">
        <v>0</v>
      </c>
      <c r="X549" s="611">
        <v>0</v>
      </c>
      <c r="Y549" s="611">
        <v>0</v>
      </c>
      <c r="Z549" s="619">
        <v>0.78950181034416511</v>
      </c>
      <c r="AA549" s="51"/>
    </row>
    <row r="550" spans="1:27" x14ac:dyDescent="0.25">
      <c r="A550" s="51">
        <v>24</v>
      </c>
      <c r="B550" s="51">
        <v>2050</v>
      </c>
      <c r="C550" s="51" t="s">
        <v>47</v>
      </c>
      <c r="D550" s="51" t="s">
        <v>504</v>
      </c>
      <c r="E550" s="51" t="s">
        <v>564</v>
      </c>
      <c r="F550" s="51"/>
      <c r="G550" s="618" t="s">
        <v>75</v>
      </c>
      <c r="H550" s="611">
        <v>0</v>
      </c>
      <c r="I550" s="611">
        <v>0</v>
      </c>
      <c r="J550" s="611">
        <v>2.205240968493043</v>
      </c>
      <c r="K550" s="611">
        <v>0</v>
      </c>
      <c r="L550" s="611">
        <v>0</v>
      </c>
      <c r="M550" s="681">
        <v>0.23790522666382313</v>
      </c>
      <c r="N550" s="611">
        <v>0</v>
      </c>
      <c r="O550" s="611">
        <v>0</v>
      </c>
      <c r="P550" s="611">
        <v>0</v>
      </c>
      <c r="Q550" s="611">
        <v>0</v>
      </c>
      <c r="R550" s="611">
        <v>0</v>
      </c>
      <c r="S550" s="611">
        <v>4.5201993066126391</v>
      </c>
      <c r="T550" s="611">
        <v>0</v>
      </c>
      <c r="U550" s="611">
        <v>0</v>
      </c>
      <c r="V550" s="611">
        <v>0</v>
      </c>
      <c r="W550" s="620">
        <v>36.270163392308312</v>
      </c>
      <c r="X550" s="611">
        <v>0</v>
      </c>
      <c r="Y550" s="611">
        <v>0</v>
      </c>
      <c r="Z550" s="619">
        <v>43.233508894077815</v>
      </c>
      <c r="AA550" s="51"/>
    </row>
    <row r="551" spans="1:27" x14ac:dyDescent="0.25">
      <c r="A551" s="51">
        <v>25</v>
      </c>
      <c r="B551" s="51">
        <v>2050</v>
      </c>
      <c r="C551" s="51" t="s">
        <v>47</v>
      </c>
      <c r="D551" s="51" t="s">
        <v>505</v>
      </c>
      <c r="E551" s="51" t="s">
        <v>564</v>
      </c>
      <c r="F551" s="51"/>
      <c r="G551" s="618" t="s">
        <v>76</v>
      </c>
      <c r="H551" s="611">
        <v>0</v>
      </c>
      <c r="I551" s="611">
        <v>0</v>
      </c>
      <c r="J551" s="611">
        <v>0</v>
      </c>
      <c r="K551" s="611">
        <v>0</v>
      </c>
      <c r="L551" s="611">
        <v>0</v>
      </c>
      <c r="M551" s="681">
        <v>4.6664376113552876E-2</v>
      </c>
      <c r="N551" s="611">
        <v>0</v>
      </c>
      <c r="O551" s="611">
        <v>0</v>
      </c>
      <c r="P551" s="611">
        <v>0</v>
      </c>
      <c r="Q551" s="611">
        <v>0</v>
      </c>
      <c r="R551" s="611">
        <v>0</v>
      </c>
      <c r="S551" s="611">
        <v>0.88662314615750459</v>
      </c>
      <c r="T551" s="611">
        <v>0</v>
      </c>
      <c r="U551" s="611">
        <v>0</v>
      </c>
      <c r="V551" s="611">
        <v>0</v>
      </c>
      <c r="W551" s="611">
        <v>67.144934509326916</v>
      </c>
      <c r="X551" s="611">
        <v>6.2653493258500639</v>
      </c>
      <c r="Y551" s="611">
        <v>0</v>
      </c>
      <c r="Z551" s="619">
        <v>74.343571357448042</v>
      </c>
      <c r="AA551" s="51"/>
    </row>
    <row r="552" spans="1:27" x14ac:dyDescent="0.25">
      <c r="A552" s="51">
        <v>26</v>
      </c>
      <c r="B552" s="51">
        <v>2050</v>
      </c>
      <c r="C552" s="51" t="s">
        <v>47</v>
      </c>
      <c r="D552" s="51" t="s">
        <v>506</v>
      </c>
      <c r="E552" s="51" t="s">
        <v>564</v>
      </c>
      <c r="F552" s="51"/>
      <c r="G552" s="614" t="s">
        <v>77</v>
      </c>
      <c r="H552" s="615">
        <v>0</v>
      </c>
      <c r="I552" s="615">
        <v>58.863651738299311</v>
      </c>
      <c r="J552" s="615">
        <v>-55.25891247149503</v>
      </c>
      <c r="K552" s="615">
        <v>-27.8085229815403</v>
      </c>
      <c r="L552" s="615">
        <v>0</v>
      </c>
      <c r="M552" s="725">
        <v>-6.0561380529274604</v>
      </c>
      <c r="N552" s="622">
        <v>807.34187858436769</v>
      </c>
      <c r="O552" s="622">
        <v>581.87909823840357</v>
      </c>
      <c r="P552" s="622">
        <v>308.94926766236443</v>
      </c>
      <c r="Q552" s="622">
        <v>14.958314714136936</v>
      </c>
      <c r="R552" s="622">
        <v>-50.318832758933027</v>
      </c>
      <c r="S552" s="615">
        <v>-69.286272525776937</v>
      </c>
      <c r="T552" s="615">
        <v>8.8281208050990276</v>
      </c>
      <c r="U552" s="615">
        <v>13.081280920113173</v>
      </c>
      <c r="V552" s="615">
        <v>19.733696664797378</v>
      </c>
      <c r="W552" s="615">
        <v>-624.3755626838124</v>
      </c>
      <c r="X552" s="615">
        <v>-74.523659885901935</v>
      </c>
      <c r="Y552" s="615">
        <v>-39.61576866233581</v>
      </c>
      <c r="Z552" s="615">
        <v>866.39163930485859</v>
      </c>
      <c r="AA552" s="51"/>
    </row>
    <row r="553" spans="1:27" x14ac:dyDescent="0.25">
      <c r="A553" s="51"/>
      <c r="B553" s="51"/>
      <c r="C553" s="51"/>
      <c r="D553" s="51"/>
      <c r="E553" s="51"/>
      <c r="F553" s="51"/>
      <c r="G553" s="616"/>
      <c r="H553" s="617"/>
      <c r="I553" s="617"/>
      <c r="J553" s="617"/>
      <c r="K553" s="617"/>
      <c r="L553" s="617"/>
      <c r="M553" s="726"/>
      <c r="N553" s="623"/>
      <c r="O553" s="623"/>
      <c r="P553" s="623"/>
      <c r="Q553" s="623"/>
      <c r="R553" s="623"/>
      <c r="S553" s="617"/>
      <c r="T553" s="617"/>
      <c r="U553" s="617"/>
      <c r="V553" s="617"/>
      <c r="W553" s="617"/>
      <c r="X553" s="617"/>
      <c r="Y553" s="617"/>
      <c r="Z553" s="617"/>
      <c r="AA553" s="51"/>
    </row>
    <row r="554" spans="1:27" x14ac:dyDescent="0.25">
      <c r="A554" s="51">
        <v>28</v>
      </c>
      <c r="B554" s="51">
        <v>2050</v>
      </c>
      <c r="C554" s="51" t="s">
        <v>47</v>
      </c>
      <c r="D554" s="51" t="s">
        <v>507</v>
      </c>
      <c r="E554" s="51" t="s">
        <v>564</v>
      </c>
      <c r="F554" s="51"/>
      <c r="G554" s="618" t="s">
        <v>78</v>
      </c>
      <c r="H554" s="611">
        <v>3.7440662384033201E-2</v>
      </c>
      <c r="I554" s="611">
        <v>0</v>
      </c>
      <c r="J554" s="611">
        <v>0</v>
      </c>
      <c r="K554" s="611">
        <v>0</v>
      </c>
      <c r="L554" s="611">
        <v>0</v>
      </c>
      <c r="M554" s="724">
        <v>1.5767477471828524</v>
      </c>
      <c r="N554" s="611">
        <v>0</v>
      </c>
      <c r="O554" s="611">
        <v>0</v>
      </c>
      <c r="P554" s="611">
        <v>27.487999668541381</v>
      </c>
      <c r="Q554" s="611">
        <v>14.29947180784831</v>
      </c>
      <c r="R554" s="611">
        <v>0</v>
      </c>
      <c r="S554" s="611">
        <v>30.00033801262899</v>
      </c>
      <c r="T554" s="611">
        <v>18.754439453124998</v>
      </c>
      <c r="U554" s="611">
        <v>0</v>
      </c>
      <c r="V554" s="611">
        <v>8.5890570413253253E-4</v>
      </c>
      <c r="W554" s="611">
        <v>170.8299647267817</v>
      </c>
      <c r="X554" s="611">
        <v>18.07545632402487</v>
      </c>
      <c r="Y554" s="611">
        <v>15.7051572265625</v>
      </c>
      <c r="Z554" s="619">
        <v>296.76787453478374</v>
      </c>
      <c r="AA554" s="51"/>
    </row>
    <row r="555" spans="1:27" x14ac:dyDescent="0.25">
      <c r="A555" s="51">
        <v>29</v>
      </c>
      <c r="B555" s="51">
        <v>2050</v>
      </c>
      <c r="C555" s="51" t="s">
        <v>47</v>
      </c>
      <c r="D555" s="51" t="s">
        <v>508</v>
      </c>
      <c r="E555" s="51" t="s">
        <v>564</v>
      </c>
      <c r="F555" s="51"/>
      <c r="G555" s="618" t="s">
        <v>79</v>
      </c>
      <c r="H555" s="611">
        <v>0</v>
      </c>
      <c r="I555" s="611">
        <v>0</v>
      </c>
      <c r="J555" s="611">
        <v>2.5646039905747262</v>
      </c>
      <c r="K555" s="611">
        <v>4.5999999999999996</v>
      </c>
      <c r="L555" s="611">
        <v>0</v>
      </c>
      <c r="M555" s="724">
        <v>0.37685077792540578</v>
      </c>
      <c r="N555" s="611">
        <v>0</v>
      </c>
      <c r="O555" s="611">
        <v>0</v>
      </c>
      <c r="P555" s="611">
        <v>0</v>
      </c>
      <c r="Q555" s="611">
        <v>0</v>
      </c>
      <c r="R555" s="611">
        <v>17.296930013474249</v>
      </c>
      <c r="S555" s="611">
        <v>7.1601647805827087</v>
      </c>
      <c r="T555" s="611">
        <v>0</v>
      </c>
      <c r="U555" s="611">
        <v>0</v>
      </c>
      <c r="V555" s="611">
        <v>0</v>
      </c>
      <c r="W555" s="611">
        <v>129.21827578196925</v>
      </c>
      <c r="X555" s="611">
        <v>0</v>
      </c>
      <c r="Y555" s="611">
        <v>6.9357151187722215</v>
      </c>
      <c r="Z555" s="619">
        <v>168.15254046329855</v>
      </c>
      <c r="AA555" s="51"/>
    </row>
    <row r="556" spans="1:27" x14ac:dyDescent="0.25">
      <c r="A556" s="51">
        <v>30</v>
      </c>
      <c r="B556" s="51">
        <v>2050</v>
      </c>
      <c r="C556" s="51" t="s">
        <v>47</v>
      </c>
      <c r="D556" s="51" t="s">
        <v>509</v>
      </c>
      <c r="E556" s="51" t="s">
        <v>564</v>
      </c>
      <c r="F556" s="51"/>
      <c r="G556" s="618" t="s">
        <v>80</v>
      </c>
      <c r="H556" s="611">
        <v>0</v>
      </c>
      <c r="I556" s="611">
        <v>0</v>
      </c>
      <c r="J556" s="611">
        <v>1.2834854484741637E-2</v>
      </c>
      <c r="K556" s="611">
        <v>0</v>
      </c>
      <c r="L556" s="611">
        <v>0</v>
      </c>
      <c r="M556" s="724">
        <v>1.0307580156865479</v>
      </c>
      <c r="N556" s="611">
        <v>0</v>
      </c>
      <c r="O556" s="611">
        <v>0</v>
      </c>
      <c r="P556" s="611">
        <v>34.564902585153284</v>
      </c>
      <c r="Q556" s="611">
        <v>0</v>
      </c>
      <c r="R556" s="611">
        <v>0</v>
      </c>
      <c r="S556" s="611">
        <v>19.584402298044409</v>
      </c>
      <c r="T556" s="611">
        <v>148.19077648878107</v>
      </c>
      <c r="U556" s="611">
        <v>0</v>
      </c>
      <c r="V556" s="611">
        <v>20.456183742724455</v>
      </c>
      <c r="W556" s="611">
        <v>122.76729689642531</v>
      </c>
      <c r="X556" s="611">
        <v>33.723997618248667</v>
      </c>
      <c r="Y556" s="611">
        <v>0</v>
      </c>
      <c r="Z556" s="619">
        <v>380.33115249954852</v>
      </c>
      <c r="AA556" s="51"/>
    </row>
    <row r="557" spans="1:27" x14ac:dyDescent="0.25">
      <c r="A557" s="51">
        <v>31</v>
      </c>
      <c r="B557" s="51">
        <v>2050</v>
      </c>
      <c r="C557" s="51" t="s">
        <v>47</v>
      </c>
      <c r="D557" s="51" t="s">
        <v>510</v>
      </c>
      <c r="E557" s="51" t="s">
        <v>564</v>
      </c>
      <c r="F557" s="51"/>
      <c r="G557" s="618" t="s">
        <v>81</v>
      </c>
      <c r="H557" s="611">
        <v>0</v>
      </c>
      <c r="I557" s="611">
        <v>0</v>
      </c>
      <c r="J557" s="611">
        <v>6.2145556929589285E-2</v>
      </c>
      <c r="K557" s="611">
        <v>0</v>
      </c>
      <c r="L557" s="611">
        <v>0</v>
      </c>
      <c r="M557" s="724">
        <v>0.22958747352499431</v>
      </c>
      <c r="N557" s="611">
        <v>0</v>
      </c>
      <c r="O557" s="611">
        <v>0</v>
      </c>
      <c r="P557" s="611">
        <v>0.43608334641640845</v>
      </c>
      <c r="Q557" s="611">
        <v>0</v>
      </c>
      <c r="R557" s="611">
        <v>0</v>
      </c>
      <c r="S557" s="611">
        <v>4.3621619969748915</v>
      </c>
      <c r="T557" s="611">
        <v>75.488989620758829</v>
      </c>
      <c r="U557" s="611">
        <v>0</v>
      </c>
      <c r="V557" s="611">
        <v>12.798146070479691</v>
      </c>
      <c r="W557" s="611">
        <v>126.11435907621467</v>
      </c>
      <c r="X557" s="611">
        <v>22.724172042534494</v>
      </c>
      <c r="Y557" s="611">
        <v>0</v>
      </c>
      <c r="Z557" s="619">
        <v>242.21564518383357</v>
      </c>
      <c r="AA557" s="51"/>
    </row>
    <row r="558" spans="1:27" x14ac:dyDescent="0.25">
      <c r="A558" s="51">
        <v>32</v>
      </c>
      <c r="B558" s="51">
        <v>2050</v>
      </c>
      <c r="C558" s="51" t="s">
        <v>47</v>
      </c>
      <c r="D558" s="51" t="s">
        <v>511</v>
      </c>
      <c r="E558" s="51" t="s">
        <v>564</v>
      </c>
      <c r="F558" s="51"/>
      <c r="G558" s="618" t="s">
        <v>82</v>
      </c>
      <c r="H558" s="611">
        <v>0</v>
      </c>
      <c r="I558" s="611">
        <v>0</v>
      </c>
      <c r="J558" s="611">
        <v>0</v>
      </c>
      <c r="K558" s="611">
        <v>0</v>
      </c>
      <c r="L558" s="611">
        <v>0</v>
      </c>
      <c r="M558" s="724">
        <v>3.936904267080979E-2</v>
      </c>
      <c r="N558" s="611">
        <v>0</v>
      </c>
      <c r="O558" s="611">
        <v>0</v>
      </c>
      <c r="P558" s="611">
        <v>20.041612409357288</v>
      </c>
      <c r="Q558" s="611">
        <v>0</v>
      </c>
      <c r="R558" s="611">
        <v>6.8596219696114309</v>
      </c>
      <c r="S558" s="611">
        <v>0.74801181074538581</v>
      </c>
      <c r="T558" s="611">
        <v>1.5</v>
      </c>
      <c r="U558" s="611">
        <v>0</v>
      </c>
      <c r="V558" s="611">
        <v>2.1874070050904897</v>
      </c>
      <c r="W558" s="611">
        <v>11.227117591013034</v>
      </c>
      <c r="X558" s="611">
        <v>0</v>
      </c>
      <c r="Y558" s="611">
        <v>0.67221506893144256</v>
      </c>
      <c r="Z558" s="619">
        <v>43.275354897419881</v>
      </c>
      <c r="AA558" s="51"/>
    </row>
    <row r="559" spans="1:27" x14ac:dyDescent="0.25">
      <c r="A559" s="51">
        <v>33</v>
      </c>
      <c r="B559" s="51">
        <v>2050</v>
      </c>
      <c r="C559" s="51" t="s">
        <v>47</v>
      </c>
      <c r="D559" s="51" t="s">
        <v>512</v>
      </c>
      <c r="E559" s="51" t="s">
        <v>564</v>
      </c>
      <c r="F559" s="51"/>
      <c r="G559" s="618" t="s">
        <v>354</v>
      </c>
      <c r="H559" s="611">
        <v>0</v>
      </c>
      <c r="I559" s="611">
        <v>0</v>
      </c>
      <c r="J559" s="611">
        <v>0</v>
      </c>
      <c r="K559" s="611">
        <v>0</v>
      </c>
      <c r="L559" s="611">
        <v>0</v>
      </c>
      <c r="M559" s="681">
        <v>0</v>
      </c>
      <c r="N559" s="611">
        <v>0</v>
      </c>
      <c r="O559" s="611">
        <v>0</v>
      </c>
      <c r="P559" s="611">
        <v>0</v>
      </c>
      <c r="Q559" s="611">
        <v>0</v>
      </c>
      <c r="R559" s="611">
        <v>0</v>
      </c>
      <c r="S559" s="611">
        <v>0</v>
      </c>
      <c r="T559" s="611">
        <v>0</v>
      </c>
      <c r="U559" s="611">
        <v>0</v>
      </c>
      <c r="V559" s="611">
        <v>0</v>
      </c>
      <c r="W559" s="611">
        <v>24.264198859811518</v>
      </c>
      <c r="X559" s="611">
        <v>0</v>
      </c>
      <c r="Y559" s="611">
        <v>0</v>
      </c>
      <c r="Z559" s="619">
        <v>24.264198859811518</v>
      </c>
      <c r="AA559" s="51"/>
    </row>
    <row r="560" spans="1:27" x14ac:dyDescent="0.25">
      <c r="A560" s="51">
        <v>34</v>
      </c>
      <c r="B560" s="51">
        <v>2050</v>
      </c>
      <c r="C560" s="51" t="s">
        <v>47</v>
      </c>
      <c r="D560" s="51" t="s">
        <v>513</v>
      </c>
      <c r="E560" s="51" t="s">
        <v>564</v>
      </c>
      <c r="F560" s="51"/>
      <c r="G560" s="614" t="s">
        <v>83</v>
      </c>
      <c r="H560" s="615">
        <v>3.7440662384033201E-2</v>
      </c>
      <c r="I560" s="615">
        <v>0</v>
      </c>
      <c r="J560" s="615">
        <v>2.6395844019890569</v>
      </c>
      <c r="K560" s="615">
        <v>4.5999999999999996</v>
      </c>
      <c r="L560" s="615">
        <v>0</v>
      </c>
      <c r="M560" s="725">
        <v>3.2533130569906104</v>
      </c>
      <c r="N560" s="622">
        <v>0</v>
      </c>
      <c r="O560" s="622">
        <v>0</v>
      </c>
      <c r="P560" s="622">
        <v>82.530598009468363</v>
      </c>
      <c r="Q560" s="622">
        <v>14.29947180784831</v>
      </c>
      <c r="R560" s="622">
        <v>24.156551983085681</v>
      </c>
      <c r="S560" s="615">
        <v>61.855078898976387</v>
      </c>
      <c r="T560" s="615">
        <v>243.93420556266489</v>
      </c>
      <c r="U560" s="615">
        <v>0</v>
      </c>
      <c r="V560" s="615">
        <v>35.442595723998771</v>
      </c>
      <c r="W560" s="615">
        <v>584.42121293221533</v>
      </c>
      <c r="X560" s="615">
        <v>74.523625984808035</v>
      </c>
      <c r="Y560" s="615">
        <v>23.313087414266164</v>
      </c>
      <c r="Z560" s="615">
        <v>1155.0067664386959</v>
      </c>
      <c r="AA560" s="51"/>
    </row>
    <row r="561" spans="1:27" x14ac:dyDescent="0.25">
      <c r="A561" s="51">
        <v>35</v>
      </c>
      <c r="B561" s="51">
        <v>2050</v>
      </c>
      <c r="C561" s="51" t="s">
        <v>47</v>
      </c>
      <c r="D561" s="51" t="s">
        <v>514</v>
      </c>
      <c r="E561" s="51" t="s">
        <v>564</v>
      </c>
      <c r="F561" s="51"/>
      <c r="G561" s="610" t="s">
        <v>84</v>
      </c>
      <c r="H561" s="611">
        <v>0</v>
      </c>
      <c r="I561" s="611">
        <v>0</v>
      </c>
      <c r="J561" s="611">
        <v>80.191494142459135</v>
      </c>
      <c r="K561" s="611">
        <v>7.5071732201222678</v>
      </c>
      <c r="L561" s="611">
        <v>2.7180270847966641</v>
      </c>
      <c r="M561" s="681">
        <v>0</v>
      </c>
      <c r="N561" s="611">
        <v>0</v>
      </c>
      <c r="O561" s="611">
        <v>0</v>
      </c>
      <c r="P561" s="611">
        <v>0.60656225364490546</v>
      </c>
      <c r="Q561" s="611">
        <v>0</v>
      </c>
      <c r="R561" s="611">
        <v>16.059265118131943</v>
      </c>
      <c r="S561" s="611">
        <v>5.0022507436775099</v>
      </c>
      <c r="T561" s="611">
        <v>0</v>
      </c>
      <c r="U561" s="611">
        <v>0</v>
      </c>
      <c r="V561" s="611">
        <v>0</v>
      </c>
      <c r="W561" s="611">
        <v>0</v>
      </c>
      <c r="X561" s="611">
        <v>0</v>
      </c>
      <c r="Y561" s="611">
        <v>6.9959901637489041</v>
      </c>
      <c r="Z561" s="619">
        <v>119.08076272658133</v>
      </c>
      <c r="AA561" s="51"/>
    </row>
    <row r="562" spans="1:27" x14ac:dyDescent="0.25">
      <c r="A562" s="51">
        <v>36</v>
      </c>
      <c r="B562" s="51">
        <v>2050</v>
      </c>
      <c r="C562" s="51" t="s">
        <v>47</v>
      </c>
      <c r="D562" s="51" t="s">
        <v>515</v>
      </c>
      <c r="E562" s="51" t="s">
        <v>564</v>
      </c>
      <c r="F562" s="51"/>
      <c r="G562" s="614" t="s">
        <v>85</v>
      </c>
      <c r="H562" s="615">
        <v>3.7440662384033201E-2</v>
      </c>
      <c r="I562" s="615">
        <v>0</v>
      </c>
      <c r="J562" s="615">
        <v>82.831078544448189</v>
      </c>
      <c r="K562" s="615">
        <v>12.107173220122267</v>
      </c>
      <c r="L562" s="615">
        <v>2.7180270847966641</v>
      </c>
      <c r="M562" s="691">
        <v>3.2533130569906104</v>
      </c>
      <c r="N562" s="615">
        <v>0</v>
      </c>
      <c r="O562" s="615">
        <v>0</v>
      </c>
      <c r="P562" s="615">
        <v>83.137160263113273</v>
      </c>
      <c r="Q562" s="615">
        <v>14.29947180784831</v>
      </c>
      <c r="R562" s="615">
        <v>40.215817101217624</v>
      </c>
      <c r="S562" s="615">
        <v>66.857329642653895</v>
      </c>
      <c r="T562" s="615">
        <v>243.93420556266489</v>
      </c>
      <c r="U562" s="615">
        <v>0</v>
      </c>
      <c r="V562" s="615">
        <v>35.442595723998771</v>
      </c>
      <c r="W562" s="615">
        <v>584.42121293221533</v>
      </c>
      <c r="X562" s="615">
        <v>74.523625984808035</v>
      </c>
      <c r="Y562" s="615">
        <v>30.309077578015067</v>
      </c>
      <c r="Z562" s="615">
        <v>1274.0875291652771</v>
      </c>
      <c r="AA562" s="51"/>
    </row>
    <row r="563" spans="1:27" x14ac:dyDescent="0.25">
      <c r="A563" s="51"/>
      <c r="B563" s="51"/>
      <c r="C563" s="51"/>
      <c r="D563" s="51"/>
      <c r="E563" s="51"/>
      <c r="F563" s="51"/>
      <c r="G563" s="51"/>
      <c r="H563" s="67">
        <v>0</v>
      </c>
      <c r="I563" s="67">
        <v>0</v>
      </c>
      <c r="J563" s="67">
        <v>0</v>
      </c>
      <c r="K563" s="67">
        <v>0</v>
      </c>
      <c r="L563" s="67">
        <v>0</v>
      </c>
      <c r="M563" s="67">
        <v>-1.9859233333452408E-4</v>
      </c>
      <c r="N563" s="67">
        <v>0</v>
      </c>
      <c r="O563" s="67">
        <v>0</v>
      </c>
      <c r="P563" s="67">
        <v>0</v>
      </c>
      <c r="Q563" s="67">
        <v>0</v>
      </c>
      <c r="R563" s="67">
        <v>0</v>
      </c>
      <c r="S563" s="722">
        <v>3.9968028886505635E-15</v>
      </c>
      <c r="T563" s="67">
        <v>0</v>
      </c>
      <c r="U563" s="67">
        <v>0</v>
      </c>
      <c r="V563" s="67">
        <v>0</v>
      </c>
      <c r="W563" s="67">
        <v>-1.1368683772161603E-13</v>
      </c>
      <c r="X563" s="721">
        <v>-3.3901093900112755E-5</v>
      </c>
      <c r="Y563" s="67">
        <v>0</v>
      </c>
      <c r="Z563" s="67">
        <v>-2.3249342757480917E-4</v>
      </c>
      <c r="AA563" s="51"/>
    </row>
    <row r="564" spans="1:27" x14ac:dyDescent="0.25">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row>
  </sheetData>
  <mergeCells count="210">
    <mergeCell ref="P49:V49"/>
    <mergeCell ref="W49:W50"/>
    <mergeCell ref="X49:X50"/>
    <mergeCell ref="Y49:Y50"/>
    <mergeCell ref="Z49:Z50"/>
    <mergeCell ref="Y12:Y13"/>
    <mergeCell ref="Z12:Z13"/>
    <mergeCell ref="G49:G50"/>
    <mergeCell ref="H49:H50"/>
    <mergeCell ref="I49:I50"/>
    <mergeCell ref="J49:J50"/>
    <mergeCell ref="K49:K50"/>
    <mergeCell ref="L49:L50"/>
    <mergeCell ref="M49:M50"/>
    <mergeCell ref="N49:N50"/>
    <mergeCell ref="M12:M13"/>
    <mergeCell ref="N12:N13"/>
    <mergeCell ref="O12:O13"/>
    <mergeCell ref="P12:V12"/>
    <mergeCell ref="W12:W13"/>
    <mergeCell ref="X12:X13"/>
    <mergeCell ref="G12:G13"/>
    <mergeCell ref="H12:H13"/>
    <mergeCell ref="I12:I13"/>
    <mergeCell ref="J12:J13"/>
    <mergeCell ref="K12:K13"/>
    <mergeCell ref="L12:L13"/>
    <mergeCell ref="O49:O50"/>
    <mergeCell ref="Z123:Z124"/>
    <mergeCell ref="Y86:Y87"/>
    <mergeCell ref="Z86:Z87"/>
    <mergeCell ref="G123:G124"/>
    <mergeCell ref="H123:H124"/>
    <mergeCell ref="I123:I124"/>
    <mergeCell ref="J123:J124"/>
    <mergeCell ref="K123:K124"/>
    <mergeCell ref="L123:L124"/>
    <mergeCell ref="M123:M124"/>
    <mergeCell ref="N123:N124"/>
    <mergeCell ref="M86:M87"/>
    <mergeCell ref="N86:N87"/>
    <mergeCell ref="O86:O87"/>
    <mergeCell ref="P86:V86"/>
    <mergeCell ref="W86:W87"/>
    <mergeCell ref="X86:X87"/>
    <mergeCell ref="G86:G87"/>
    <mergeCell ref="H86:H87"/>
    <mergeCell ref="I86:I87"/>
    <mergeCell ref="J86:J87"/>
    <mergeCell ref="K86:K87"/>
    <mergeCell ref="L86:L87"/>
    <mergeCell ref="I160:I161"/>
    <mergeCell ref="J160:J161"/>
    <mergeCell ref="K160:K161"/>
    <mergeCell ref="L160:L161"/>
    <mergeCell ref="O123:O124"/>
    <mergeCell ref="P123:V123"/>
    <mergeCell ref="W123:W124"/>
    <mergeCell ref="X123:X124"/>
    <mergeCell ref="Y123:Y124"/>
    <mergeCell ref="O197:O198"/>
    <mergeCell ref="P197:V197"/>
    <mergeCell ref="W197:W198"/>
    <mergeCell ref="X197:X198"/>
    <mergeCell ref="Y197:Y198"/>
    <mergeCell ref="Z197:Z198"/>
    <mergeCell ref="Y160:Y161"/>
    <mergeCell ref="Z160:Z161"/>
    <mergeCell ref="O160:O161"/>
    <mergeCell ref="P160:V160"/>
    <mergeCell ref="W160:W161"/>
    <mergeCell ref="X160:X161"/>
    <mergeCell ref="G197:G198"/>
    <mergeCell ref="H197:H198"/>
    <mergeCell ref="I197:I198"/>
    <mergeCell ref="J197:J198"/>
    <mergeCell ref="K197:K198"/>
    <mergeCell ref="L197:L198"/>
    <mergeCell ref="M197:M198"/>
    <mergeCell ref="N197:N198"/>
    <mergeCell ref="M160:M161"/>
    <mergeCell ref="N160:N161"/>
    <mergeCell ref="G160:G161"/>
    <mergeCell ref="H160:H161"/>
    <mergeCell ref="Z271:Z272"/>
    <mergeCell ref="Y234:Y235"/>
    <mergeCell ref="Z234:Z235"/>
    <mergeCell ref="G271:G272"/>
    <mergeCell ref="H271:H272"/>
    <mergeCell ref="I271:I272"/>
    <mergeCell ref="J271:J272"/>
    <mergeCell ref="K271:K272"/>
    <mergeCell ref="L271:L272"/>
    <mergeCell ref="M271:M272"/>
    <mergeCell ref="N271:N272"/>
    <mergeCell ref="M234:M235"/>
    <mergeCell ref="N234:N235"/>
    <mergeCell ref="O234:O235"/>
    <mergeCell ref="P234:V234"/>
    <mergeCell ref="W234:W235"/>
    <mergeCell ref="X234:X235"/>
    <mergeCell ref="G234:G235"/>
    <mergeCell ref="H234:H235"/>
    <mergeCell ref="I234:I235"/>
    <mergeCell ref="J234:J235"/>
    <mergeCell ref="K234:K235"/>
    <mergeCell ref="L234:L235"/>
    <mergeCell ref="I308:I309"/>
    <mergeCell ref="J308:J309"/>
    <mergeCell ref="K308:K309"/>
    <mergeCell ref="L308:L309"/>
    <mergeCell ref="O271:O272"/>
    <mergeCell ref="P271:V271"/>
    <mergeCell ref="W271:W272"/>
    <mergeCell ref="X271:X272"/>
    <mergeCell ref="Y271:Y272"/>
    <mergeCell ref="O345:O346"/>
    <mergeCell ref="P345:V345"/>
    <mergeCell ref="W345:W346"/>
    <mergeCell ref="X345:X346"/>
    <mergeCell ref="Y345:Y346"/>
    <mergeCell ref="Z345:Z346"/>
    <mergeCell ref="Y308:Y309"/>
    <mergeCell ref="Z308:Z309"/>
    <mergeCell ref="G345:G346"/>
    <mergeCell ref="H345:H346"/>
    <mergeCell ref="I345:I346"/>
    <mergeCell ref="J345:J346"/>
    <mergeCell ref="K345:K346"/>
    <mergeCell ref="L345:L346"/>
    <mergeCell ref="M345:M346"/>
    <mergeCell ref="N345:N346"/>
    <mergeCell ref="M308:M309"/>
    <mergeCell ref="N308:N309"/>
    <mergeCell ref="O308:O309"/>
    <mergeCell ref="P308:V308"/>
    <mergeCell ref="W308:W309"/>
    <mergeCell ref="X308:X309"/>
    <mergeCell ref="G308:G309"/>
    <mergeCell ref="H308:H309"/>
    <mergeCell ref="Z419:Z420"/>
    <mergeCell ref="Y382:Y383"/>
    <mergeCell ref="Z382:Z383"/>
    <mergeCell ref="G419:G420"/>
    <mergeCell ref="H419:H420"/>
    <mergeCell ref="I419:I420"/>
    <mergeCell ref="J419:J420"/>
    <mergeCell ref="K419:K420"/>
    <mergeCell ref="L419:L420"/>
    <mergeCell ref="M419:M420"/>
    <mergeCell ref="N419:N420"/>
    <mergeCell ref="M382:M383"/>
    <mergeCell ref="N382:N383"/>
    <mergeCell ref="O382:O383"/>
    <mergeCell ref="P382:V382"/>
    <mergeCell ref="W382:W383"/>
    <mergeCell ref="X382:X383"/>
    <mergeCell ref="G382:G383"/>
    <mergeCell ref="H382:H383"/>
    <mergeCell ref="I382:I383"/>
    <mergeCell ref="J382:J383"/>
    <mergeCell ref="K382:K383"/>
    <mergeCell ref="L382:L383"/>
    <mergeCell ref="I456:I457"/>
    <mergeCell ref="J456:J457"/>
    <mergeCell ref="K456:K457"/>
    <mergeCell ref="L456:L457"/>
    <mergeCell ref="O419:O420"/>
    <mergeCell ref="P419:V419"/>
    <mergeCell ref="W419:W420"/>
    <mergeCell ref="X419:X420"/>
    <mergeCell ref="Y419:Y420"/>
    <mergeCell ref="O493:O494"/>
    <mergeCell ref="P493:V493"/>
    <mergeCell ref="W493:W494"/>
    <mergeCell ref="X493:X494"/>
    <mergeCell ref="Y493:Y494"/>
    <mergeCell ref="Z493:Z494"/>
    <mergeCell ref="Y456:Y457"/>
    <mergeCell ref="Z456:Z457"/>
    <mergeCell ref="G493:G494"/>
    <mergeCell ref="H493:H494"/>
    <mergeCell ref="I493:I494"/>
    <mergeCell ref="J493:J494"/>
    <mergeCell ref="K493:K494"/>
    <mergeCell ref="L493:L494"/>
    <mergeCell ref="M493:M494"/>
    <mergeCell ref="N493:N494"/>
    <mergeCell ref="M456:M457"/>
    <mergeCell ref="N456:N457"/>
    <mergeCell ref="O456:O457"/>
    <mergeCell ref="P456:V456"/>
    <mergeCell ref="W456:W457"/>
    <mergeCell ref="X456:X457"/>
    <mergeCell ref="G456:G457"/>
    <mergeCell ref="H456:H457"/>
    <mergeCell ref="Y530:Y531"/>
    <mergeCell ref="Z530:Z531"/>
    <mergeCell ref="M530:M531"/>
    <mergeCell ref="N530:N531"/>
    <mergeCell ref="O530:O531"/>
    <mergeCell ref="P530:V530"/>
    <mergeCell ref="W530:W531"/>
    <mergeCell ref="X530:X531"/>
    <mergeCell ref="G530:G531"/>
    <mergeCell ref="H530:H531"/>
    <mergeCell ref="I530:I531"/>
    <mergeCell ref="J530:J531"/>
    <mergeCell ref="K530:K531"/>
    <mergeCell ref="L530:L531"/>
  </mergeCells>
  <conditionalFormatting sqref="H14:M44">
    <cfRule type="cellIs" dxfId="258" priority="63" operator="equal">
      <formula>0</formula>
    </cfRule>
  </conditionalFormatting>
  <conditionalFormatting sqref="H51:M81">
    <cfRule type="cellIs" dxfId="257" priority="60" operator="equal">
      <formula>0</formula>
    </cfRule>
  </conditionalFormatting>
  <conditionalFormatting sqref="H88:M118">
    <cfRule type="cellIs" dxfId="256" priority="51" operator="equal">
      <formula>0</formula>
    </cfRule>
  </conditionalFormatting>
  <conditionalFormatting sqref="H125:M155">
    <cfRule type="cellIs" dxfId="255" priority="36" operator="equal">
      <formula>0</formula>
    </cfRule>
  </conditionalFormatting>
  <conditionalFormatting sqref="H14:Z20 H36:Z44">
    <cfRule type="containsBlanks" dxfId="254" priority="65">
      <formula>LEN(TRIM(H14))=0</formula>
    </cfRule>
  </conditionalFormatting>
  <conditionalFormatting sqref="H22:Z34">
    <cfRule type="containsBlanks" dxfId="253" priority="64">
      <formula>LEN(TRIM(H22))=0</formula>
    </cfRule>
  </conditionalFormatting>
  <conditionalFormatting sqref="H51:Z57 H73:Z81">
    <cfRule type="containsBlanks" dxfId="252" priority="62">
      <formula>LEN(TRIM(H51))=0</formula>
    </cfRule>
  </conditionalFormatting>
  <conditionalFormatting sqref="H59:Z71">
    <cfRule type="containsBlanks" dxfId="251" priority="61">
      <formula>LEN(TRIM(H59))=0</formula>
    </cfRule>
  </conditionalFormatting>
  <conditionalFormatting sqref="H88:Z94 H110:Z118">
    <cfRule type="containsBlanks" dxfId="250" priority="53">
      <formula>LEN(TRIM(H88))=0</formula>
    </cfRule>
  </conditionalFormatting>
  <conditionalFormatting sqref="H96:Z108">
    <cfRule type="containsBlanks" dxfId="249" priority="52">
      <formula>LEN(TRIM(H96))=0</formula>
    </cfRule>
  </conditionalFormatting>
  <conditionalFormatting sqref="H125:Z131 H147:Z155">
    <cfRule type="containsBlanks" dxfId="248" priority="38">
      <formula>LEN(TRIM(H125))=0</formula>
    </cfRule>
  </conditionalFormatting>
  <conditionalFormatting sqref="H133:Z145">
    <cfRule type="containsBlanks" dxfId="247" priority="37">
      <formula>LEN(TRIM(H133))=0</formula>
    </cfRule>
  </conditionalFormatting>
  <conditionalFormatting sqref="H162:Z168">
    <cfRule type="containsBlanks" dxfId="246" priority="45">
      <formula>LEN(TRIM(H162))=0</formula>
    </cfRule>
  </conditionalFormatting>
  <conditionalFormatting sqref="H162:Z192">
    <cfRule type="cellIs" dxfId="245" priority="46" operator="equal">
      <formula>0</formula>
    </cfRule>
  </conditionalFormatting>
  <conditionalFormatting sqref="H170:Z182">
    <cfRule type="containsBlanks" dxfId="244" priority="47">
      <formula>LEN(TRIM(H170))=0</formula>
    </cfRule>
  </conditionalFormatting>
  <conditionalFormatting sqref="H184:Z192">
    <cfRule type="containsBlanks" dxfId="243" priority="48">
      <formula>LEN(TRIM(H184))=0</formula>
    </cfRule>
  </conditionalFormatting>
  <conditionalFormatting sqref="H199:Z205 H236:Z242 H273:Z279 H310:Z316 H347:Z353 H384:Z390">
    <cfRule type="containsBlanks" dxfId="242" priority="2">
      <formula>LEN(TRIM(H199))=0</formula>
    </cfRule>
  </conditionalFormatting>
  <conditionalFormatting sqref="H199:Z229 H236:Z266 H273:Z303 H310:Z340 H347:Z377 H384:Z414">
    <cfRule type="cellIs" dxfId="241" priority="1" operator="equal">
      <formula>0</formula>
    </cfRule>
  </conditionalFormatting>
  <conditionalFormatting sqref="H207:Z219 H244:Z256 H281:Z293 H318:Z330 H355:Z367 H392:Z404">
    <cfRule type="containsBlanks" dxfId="240" priority="3">
      <formula>LEN(TRIM(H207))=0</formula>
    </cfRule>
  </conditionalFormatting>
  <conditionalFormatting sqref="H221:Z229 H258:Z266 H295:Z303 H332:Z340 H369:Z377 H406:Z414">
    <cfRule type="containsBlanks" dxfId="239" priority="4">
      <formula>LEN(TRIM(H221))=0</formula>
    </cfRule>
  </conditionalFormatting>
  <conditionalFormatting sqref="H421:Z427">
    <cfRule type="containsBlanks" dxfId="238" priority="9">
      <formula>LEN(TRIM(H421))=0</formula>
    </cfRule>
  </conditionalFormatting>
  <conditionalFormatting sqref="H421:Z451">
    <cfRule type="cellIs" dxfId="237" priority="8" operator="equal">
      <formula>0</formula>
    </cfRule>
  </conditionalFormatting>
  <conditionalFormatting sqref="H429:Z441">
    <cfRule type="containsBlanks" dxfId="236" priority="10">
      <formula>LEN(TRIM(H429))=0</formula>
    </cfRule>
  </conditionalFormatting>
  <conditionalFormatting sqref="H443:Z451">
    <cfRule type="containsBlanks" dxfId="235" priority="11">
      <formula>LEN(TRIM(H443))=0</formula>
    </cfRule>
  </conditionalFormatting>
  <conditionalFormatting sqref="H458:Z464">
    <cfRule type="containsBlanks" dxfId="234" priority="16">
      <formula>LEN(TRIM(H458))=0</formula>
    </cfRule>
  </conditionalFormatting>
  <conditionalFormatting sqref="H458:Z488">
    <cfRule type="cellIs" dxfId="233" priority="15" operator="equal">
      <formula>0</formula>
    </cfRule>
  </conditionalFormatting>
  <conditionalFormatting sqref="H466:Z478">
    <cfRule type="containsBlanks" dxfId="232" priority="17">
      <formula>LEN(TRIM(H466))=0</formula>
    </cfRule>
  </conditionalFormatting>
  <conditionalFormatting sqref="H480:Z488">
    <cfRule type="containsBlanks" dxfId="231" priority="18">
      <formula>LEN(TRIM(H480))=0</formula>
    </cfRule>
  </conditionalFormatting>
  <conditionalFormatting sqref="H495:Z501">
    <cfRule type="containsBlanks" dxfId="230" priority="23">
      <formula>LEN(TRIM(H495))=0</formula>
    </cfRule>
  </conditionalFormatting>
  <conditionalFormatting sqref="H495:Z525">
    <cfRule type="cellIs" dxfId="229" priority="22" operator="equal">
      <formula>0</formula>
    </cfRule>
  </conditionalFormatting>
  <conditionalFormatting sqref="H503:Z515">
    <cfRule type="containsBlanks" dxfId="228" priority="24">
      <formula>LEN(TRIM(H503))=0</formula>
    </cfRule>
  </conditionalFormatting>
  <conditionalFormatting sqref="H517:Z525">
    <cfRule type="containsBlanks" dxfId="227" priority="25">
      <formula>LEN(TRIM(H517))=0</formula>
    </cfRule>
  </conditionalFormatting>
  <conditionalFormatting sqref="H532:Z538">
    <cfRule type="containsBlanks" dxfId="226" priority="30">
      <formula>LEN(TRIM(H532))=0</formula>
    </cfRule>
  </conditionalFormatting>
  <conditionalFormatting sqref="H532:Z562">
    <cfRule type="cellIs" dxfId="225" priority="29" operator="equal">
      <formula>0</formula>
    </cfRule>
  </conditionalFormatting>
  <conditionalFormatting sqref="H540:Z552">
    <cfRule type="containsBlanks" dxfId="224" priority="31">
      <formula>LEN(TRIM(H540))=0</formula>
    </cfRule>
  </conditionalFormatting>
  <conditionalFormatting sqref="H554:Z562">
    <cfRule type="containsBlanks" dxfId="223" priority="32">
      <formula>LEN(TRIM(H554))=0</formula>
    </cfRule>
  </conditionalFormatting>
  <conditionalFormatting sqref="J200:J201 J237:J238 J274:J275 J311:J312 J348:J349 J385:J386">
    <cfRule type="cellIs" dxfId="222" priority="6" operator="equal">
      <formula>0</formula>
    </cfRule>
  </conditionalFormatting>
  <conditionalFormatting sqref="J422:J423">
    <cfRule type="cellIs" dxfId="221" priority="13" operator="equal">
      <formula>0</formula>
    </cfRule>
  </conditionalFormatting>
  <conditionalFormatting sqref="J459:J460">
    <cfRule type="cellIs" dxfId="220" priority="20" operator="equal">
      <formula>0</formula>
    </cfRule>
  </conditionalFormatting>
  <conditionalFormatting sqref="J496:J497">
    <cfRule type="cellIs" dxfId="219" priority="27" operator="equal">
      <formula>0</formula>
    </cfRule>
  </conditionalFormatting>
  <conditionalFormatting sqref="J533:J534">
    <cfRule type="cellIs" dxfId="218" priority="34" operator="equal">
      <formula>0</formula>
    </cfRule>
  </conditionalFormatting>
  <conditionalFormatting sqref="N14:O16">
    <cfRule type="cellIs" dxfId="217" priority="70" operator="equal">
      <formula>0</formula>
    </cfRule>
  </conditionalFormatting>
  <conditionalFormatting sqref="N19:O19">
    <cfRule type="cellIs" dxfId="216" priority="71" operator="equal">
      <formula>0</formula>
    </cfRule>
  </conditionalFormatting>
  <conditionalFormatting sqref="N51:O53">
    <cfRule type="cellIs" dxfId="215" priority="74" operator="equal">
      <formula>0</formula>
    </cfRule>
  </conditionalFormatting>
  <conditionalFormatting sqref="N56:O56">
    <cfRule type="cellIs" dxfId="214" priority="76" operator="equal">
      <formula>0</formula>
    </cfRule>
  </conditionalFormatting>
  <conditionalFormatting sqref="N88:O90">
    <cfRule type="cellIs" dxfId="213" priority="57" operator="equal">
      <formula>0</formula>
    </cfRule>
  </conditionalFormatting>
  <conditionalFormatting sqref="N93:O93">
    <cfRule type="cellIs" dxfId="212" priority="59" operator="equal">
      <formula>0</formula>
    </cfRule>
  </conditionalFormatting>
  <conditionalFormatting sqref="N125:O127">
    <cfRule type="cellIs" dxfId="211" priority="42" operator="equal">
      <formula>0</formula>
    </cfRule>
  </conditionalFormatting>
  <conditionalFormatting sqref="N130:O130">
    <cfRule type="cellIs" dxfId="210" priority="44" operator="equal">
      <formula>0</formula>
    </cfRule>
  </conditionalFormatting>
  <conditionalFormatting sqref="N17:V18">
    <cfRule type="cellIs" dxfId="209" priority="68" operator="equal">
      <formula>0</formula>
    </cfRule>
  </conditionalFormatting>
  <conditionalFormatting sqref="N54:V55">
    <cfRule type="cellIs" dxfId="208" priority="72" operator="equal">
      <formula>0</formula>
    </cfRule>
  </conditionalFormatting>
  <conditionalFormatting sqref="N91:V92">
    <cfRule type="cellIs" dxfId="207" priority="55" operator="equal">
      <formula>0</formula>
    </cfRule>
  </conditionalFormatting>
  <conditionalFormatting sqref="N128:V129">
    <cfRule type="cellIs" dxfId="206" priority="40" operator="equal">
      <formula>0</formula>
    </cfRule>
  </conditionalFormatting>
  <conditionalFormatting sqref="N20:Z44">
    <cfRule type="cellIs" dxfId="205" priority="67" operator="equal">
      <formula>0</formula>
    </cfRule>
  </conditionalFormatting>
  <conditionalFormatting sqref="N57:Z81">
    <cfRule type="cellIs" dxfId="204" priority="66" operator="equal">
      <formula>0</formula>
    </cfRule>
  </conditionalFormatting>
  <conditionalFormatting sqref="N94:Z118">
    <cfRule type="cellIs" dxfId="203" priority="54" operator="equal">
      <formula>0</formula>
    </cfRule>
  </conditionalFormatting>
  <conditionalFormatting sqref="N131:Z155">
    <cfRule type="cellIs" dxfId="202" priority="39" operator="equal">
      <formula>0</formula>
    </cfRule>
  </conditionalFormatting>
  <conditionalFormatting sqref="P13:V13">
    <cfRule type="cellIs" dxfId="201" priority="77" operator="equal">
      <formula>0</formula>
    </cfRule>
  </conditionalFormatting>
  <conditionalFormatting sqref="P50:V50">
    <cfRule type="cellIs" dxfId="200" priority="75" operator="equal">
      <formula>0</formula>
    </cfRule>
  </conditionalFormatting>
  <conditionalFormatting sqref="P87:V87">
    <cfRule type="cellIs" dxfId="199" priority="58" operator="equal">
      <formula>0</formula>
    </cfRule>
  </conditionalFormatting>
  <conditionalFormatting sqref="P124:V124">
    <cfRule type="cellIs" dxfId="198" priority="43" operator="equal">
      <formula>0</formula>
    </cfRule>
  </conditionalFormatting>
  <conditionalFormatting sqref="P161:V161">
    <cfRule type="cellIs" dxfId="197" priority="88" operator="equal">
      <formula>0</formula>
    </cfRule>
  </conditionalFormatting>
  <conditionalFormatting sqref="P198:V198">
    <cfRule type="cellIs" dxfId="196" priority="87" operator="equal">
      <formula>0</formula>
    </cfRule>
  </conditionalFormatting>
  <conditionalFormatting sqref="P235:V235">
    <cfRule type="cellIs" dxfId="195" priority="86" operator="equal">
      <formula>0</formula>
    </cfRule>
  </conditionalFormatting>
  <conditionalFormatting sqref="P272:V272">
    <cfRule type="cellIs" dxfId="194" priority="85" operator="equal">
      <formula>0</formula>
    </cfRule>
  </conditionalFormatting>
  <conditionalFormatting sqref="P309:V309">
    <cfRule type="cellIs" dxfId="193" priority="84" operator="equal">
      <formula>0</formula>
    </cfRule>
  </conditionalFormatting>
  <conditionalFormatting sqref="P346:V346">
    <cfRule type="cellIs" dxfId="192" priority="83" operator="equal">
      <formula>0</formula>
    </cfRule>
  </conditionalFormatting>
  <conditionalFormatting sqref="P383:V383">
    <cfRule type="cellIs" dxfId="191" priority="82" operator="equal">
      <formula>0</formula>
    </cfRule>
  </conditionalFormatting>
  <conditionalFormatting sqref="P420:V420">
    <cfRule type="cellIs" dxfId="190" priority="81" operator="equal">
      <formula>0</formula>
    </cfRule>
  </conditionalFormatting>
  <conditionalFormatting sqref="P457:V457">
    <cfRule type="cellIs" dxfId="189" priority="80" operator="equal">
      <formula>0</formula>
    </cfRule>
  </conditionalFormatting>
  <conditionalFormatting sqref="P494:V494">
    <cfRule type="cellIs" dxfId="188" priority="79" operator="equal">
      <formula>0</formula>
    </cfRule>
  </conditionalFormatting>
  <conditionalFormatting sqref="P531:V531">
    <cfRule type="cellIs" dxfId="187" priority="78" operator="equal">
      <formula>0</formula>
    </cfRule>
  </conditionalFormatting>
  <conditionalFormatting sqref="P14:Z19">
    <cfRule type="cellIs" dxfId="186" priority="69" operator="equal">
      <formula>0</formula>
    </cfRule>
  </conditionalFormatting>
  <conditionalFormatting sqref="P51:Z56">
    <cfRule type="cellIs" dxfId="185" priority="73" operator="equal">
      <formula>0</formula>
    </cfRule>
  </conditionalFormatting>
  <conditionalFormatting sqref="P88:Z93">
    <cfRule type="cellIs" dxfId="184" priority="56" operator="equal">
      <formula>0</formula>
    </cfRule>
  </conditionalFormatting>
  <conditionalFormatting sqref="P125:Z130">
    <cfRule type="cellIs" dxfId="183" priority="41" operator="equal">
      <formula>0</formula>
    </cfRule>
  </conditionalFormatting>
  <conditionalFormatting sqref="T163:V167">
    <cfRule type="cellIs" dxfId="182" priority="49" operator="equal">
      <formula>0</formula>
    </cfRule>
  </conditionalFormatting>
  <conditionalFormatting sqref="T200:V204 T237:V241 T274:V278 T311:V315 T348:V352 T385:V389">
    <cfRule type="cellIs" dxfId="181" priority="5" operator="equal">
      <formula>0</formula>
    </cfRule>
  </conditionalFormatting>
  <conditionalFormatting sqref="T422:V426">
    <cfRule type="cellIs" dxfId="180" priority="12" operator="equal">
      <formula>0</formula>
    </cfRule>
  </conditionalFormatting>
  <conditionalFormatting sqref="T459:V463">
    <cfRule type="cellIs" dxfId="179" priority="19" operator="equal">
      <formula>0</formula>
    </cfRule>
  </conditionalFormatting>
  <conditionalFormatting sqref="T496:V500">
    <cfRule type="cellIs" dxfId="178" priority="26" operator="equal">
      <formula>0</formula>
    </cfRule>
  </conditionalFormatting>
  <conditionalFormatting sqref="T533:V537">
    <cfRule type="cellIs" dxfId="177" priority="33" operator="equal">
      <formula>0</formula>
    </cfRule>
  </conditionalFormatting>
  <conditionalFormatting sqref="W162:W164">
    <cfRule type="cellIs" dxfId="176" priority="50" operator="equal">
      <formula>0</formula>
    </cfRule>
  </conditionalFormatting>
  <conditionalFormatting sqref="W199:W201 W236:W238 W273:W275 W310:W312 W347:W349 W384:W386">
    <cfRule type="cellIs" dxfId="175" priority="7" operator="equal">
      <formula>0</formula>
    </cfRule>
  </conditionalFormatting>
  <conditionalFormatting sqref="W421:W423">
    <cfRule type="cellIs" dxfId="174" priority="14" operator="equal">
      <formula>0</formula>
    </cfRule>
  </conditionalFormatting>
  <conditionalFormatting sqref="W458:W460">
    <cfRule type="cellIs" dxfId="173" priority="21" operator="equal">
      <formula>0</formula>
    </cfRule>
  </conditionalFormatting>
  <conditionalFormatting sqref="W495:W497">
    <cfRule type="cellIs" dxfId="172" priority="28" operator="equal">
      <formula>0</formula>
    </cfRule>
  </conditionalFormatting>
  <conditionalFormatting sqref="W532:W534">
    <cfRule type="cellIs" dxfId="171" priority="35" operator="equal">
      <formula>0</formula>
    </cfRule>
  </conditionalFormatting>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C3567-9D84-47BA-927A-A7182EDEDB81}">
  <sheetPr>
    <tabColor rgb="FF92D050"/>
    <pageSetUpPr fitToPage="1"/>
  </sheetPr>
  <dimension ref="A1:AO48"/>
  <sheetViews>
    <sheetView workbookViewId="0"/>
  </sheetViews>
  <sheetFormatPr baseColWidth="10" defaultColWidth="11.42578125" defaultRowHeight="15" x14ac:dyDescent="0.25"/>
  <cols>
    <col min="1" max="1" width="37" style="437" customWidth="1"/>
    <col min="2" max="2" width="12" style="437" customWidth="1"/>
    <col min="3" max="4" width="11.42578125" style="437" customWidth="1"/>
    <col min="5" max="5" width="8.5703125" style="437" customWidth="1"/>
    <col min="6" max="6" width="9.85546875" style="437" customWidth="1"/>
    <col min="7" max="7" width="7.7109375" style="437" customWidth="1"/>
    <col min="8" max="9" width="9.42578125" style="437" customWidth="1"/>
    <col min="10" max="12" width="9.7109375" style="437" customWidth="1"/>
    <col min="13" max="13" width="29.140625" style="437" customWidth="1"/>
    <col min="14" max="14" width="15.28515625" style="437" customWidth="1"/>
    <col min="15" max="15" width="6.42578125" style="437" bestFit="1" customWidth="1"/>
    <col min="16" max="17" width="7" style="437" customWidth="1"/>
    <col min="18" max="32" width="6.42578125" style="437" bestFit="1" customWidth="1"/>
    <col min="33" max="33" width="6.42578125" style="437" customWidth="1"/>
    <col min="34" max="34" width="6.85546875" style="437" customWidth="1"/>
    <col min="35" max="16384" width="11.42578125" style="437"/>
  </cols>
  <sheetData>
    <row r="1" spans="1:16" x14ac:dyDescent="0.25">
      <c r="A1" s="436" t="s">
        <v>362</v>
      </c>
    </row>
    <row r="2" spans="1:16" ht="18.75" x14ac:dyDescent="0.25">
      <c r="A2" s="438" t="s">
        <v>363</v>
      </c>
    </row>
    <row r="4" spans="1:16" x14ac:dyDescent="0.25">
      <c r="A4" s="439" t="s">
        <v>364</v>
      </c>
      <c r="I4" s="440"/>
    </row>
    <row r="5" spans="1:16" x14ac:dyDescent="0.25">
      <c r="A5" s="441" t="s">
        <v>365</v>
      </c>
    </row>
    <row r="6" spans="1:16" s="444" customFormat="1" ht="14.25" x14ac:dyDescent="0.2">
      <c r="A6" s="442" t="s">
        <v>366</v>
      </c>
      <c r="B6" s="443"/>
    </row>
    <row r="7" spans="1:16" s="444" customFormat="1" ht="12.75" x14ac:dyDescent="0.2">
      <c r="B7" s="443"/>
    </row>
    <row r="8" spans="1:16" s="444" customFormat="1" x14ac:dyDescent="0.25">
      <c r="A8" s="445"/>
      <c r="B8" s="443"/>
      <c r="M8" s="446" t="s">
        <v>367</v>
      </c>
      <c r="N8" s="447" t="s">
        <v>368</v>
      </c>
      <c r="O8" s="444" t="s">
        <v>369</v>
      </c>
    </row>
    <row r="9" spans="1:16" s="444" customFormat="1" ht="12.75" x14ac:dyDescent="0.2">
      <c r="A9" s="445"/>
      <c r="B9" s="443"/>
      <c r="M9" s="448" t="s">
        <v>370</v>
      </c>
      <c r="N9" s="449">
        <v>62189.398000000001</v>
      </c>
      <c r="O9" s="450">
        <v>49.475344257734051</v>
      </c>
      <c r="P9" s="444" t="s">
        <v>371</v>
      </c>
    </row>
    <row r="10" spans="1:16" s="444" customFormat="1" ht="12.75" x14ac:dyDescent="0.2">
      <c r="A10" s="445"/>
      <c r="B10" s="443"/>
      <c r="M10" s="451" t="s">
        <v>258</v>
      </c>
      <c r="N10" s="449">
        <v>40704.366000000002</v>
      </c>
      <c r="O10" s="450">
        <v>32.382730584444715</v>
      </c>
      <c r="P10" s="444" t="s">
        <v>372</v>
      </c>
    </row>
    <row r="11" spans="1:16" s="444" customFormat="1" ht="12.75" x14ac:dyDescent="0.2">
      <c r="A11" s="445"/>
      <c r="B11" s="443"/>
      <c r="M11" s="452" t="s">
        <v>373</v>
      </c>
      <c r="N11" s="449">
        <v>13579.212</v>
      </c>
      <c r="O11" s="450">
        <v>10.803066279058584</v>
      </c>
      <c r="P11" s="444" t="s">
        <v>374</v>
      </c>
    </row>
    <row r="12" spans="1:16" s="444" customFormat="1" ht="12.75" x14ac:dyDescent="0.2">
      <c r="A12" s="445"/>
      <c r="B12" s="443"/>
      <c r="M12" s="448" t="s">
        <v>335</v>
      </c>
      <c r="N12" s="449">
        <v>3690.0509999999999</v>
      </c>
      <c r="O12" s="450">
        <v>2.9356538160024606</v>
      </c>
      <c r="P12" s="444" t="s">
        <v>375</v>
      </c>
    </row>
    <row r="13" spans="1:16" s="444" customFormat="1" ht="12.75" x14ac:dyDescent="0.2">
      <c r="A13" s="445"/>
      <c r="B13" s="443"/>
      <c r="M13" s="452" t="s">
        <v>376</v>
      </c>
      <c r="N13" s="449">
        <v>2118.0859999999998</v>
      </c>
      <c r="O13" s="450">
        <v>1.6850626857247737</v>
      </c>
      <c r="P13" s="444" t="s">
        <v>377</v>
      </c>
    </row>
    <row r="14" spans="1:16" s="444" customFormat="1" ht="12.75" x14ac:dyDescent="0.2">
      <c r="A14" s="445"/>
      <c r="B14" s="443"/>
      <c r="J14" s="453"/>
      <c r="M14" s="448" t="s">
        <v>336</v>
      </c>
      <c r="N14" s="449">
        <v>2806.2449999999999</v>
      </c>
      <c r="O14" s="450">
        <v>2.2325338709106797</v>
      </c>
      <c r="P14" s="444" t="s">
        <v>378</v>
      </c>
    </row>
    <row r="15" spans="1:16" s="444" customFormat="1" ht="12.75" x14ac:dyDescent="0.2">
      <c r="A15" s="443"/>
      <c r="B15" s="443"/>
      <c r="J15" s="453"/>
      <c r="M15" s="448" t="s">
        <v>379</v>
      </c>
      <c r="N15" s="449">
        <v>481.76400000000001</v>
      </c>
      <c r="O15" s="450">
        <v>0.38327175559703902</v>
      </c>
      <c r="P15" s="444" t="s">
        <v>380</v>
      </c>
    </row>
    <row r="16" spans="1:16" s="444" customFormat="1" ht="12.75" x14ac:dyDescent="0.2">
      <c r="A16" s="443"/>
      <c r="B16" s="443"/>
      <c r="J16" s="453"/>
      <c r="M16" s="452" t="s">
        <v>381</v>
      </c>
      <c r="N16" s="449">
        <v>128.48599999999999</v>
      </c>
      <c r="O16" s="450">
        <v>0.10221821221519489</v>
      </c>
      <c r="P16" s="444" t="s">
        <v>382</v>
      </c>
    </row>
    <row r="17" spans="1:41" s="444" customFormat="1" ht="12.75" x14ac:dyDescent="0.2">
      <c r="A17" s="443"/>
      <c r="B17" s="443"/>
      <c r="M17" s="448" t="s">
        <v>10</v>
      </c>
      <c r="N17" s="449">
        <v>125697.757</v>
      </c>
      <c r="O17" s="450">
        <v>99.999881461687494</v>
      </c>
      <c r="P17" s="444" t="s">
        <v>383</v>
      </c>
    </row>
    <row r="18" spans="1:41" s="444" customFormat="1" ht="12.75" x14ac:dyDescent="0.2">
      <c r="A18" s="443"/>
      <c r="B18" s="443"/>
      <c r="M18" s="454" t="s">
        <v>384</v>
      </c>
      <c r="N18" s="455">
        <v>125.697757</v>
      </c>
    </row>
    <row r="19" spans="1:41" s="444" customFormat="1" ht="12.75" x14ac:dyDescent="0.2">
      <c r="A19" s="443"/>
      <c r="B19" s="443"/>
      <c r="N19" s="450"/>
    </row>
    <row r="20" spans="1:41" s="444" customFormat="1" ht="12.75" x14ac:dyDescent="0.2">
      <c r="A20" s="443"/>
      <c r="B20" s="443"/>
    </row>
    <row r="21" spans="1:41" s="444" customFormat="1" ht="12.75" x14ac:dyDescent="0.2"/>
    <row r="22" spans="1:41" s="444" customFormat="1" ht="12.75" x14ac:dyDescent="0.2"/>
    <row r="23" spans="1:41" s="444" customFormat="1" ht="12.75" x14ac:dyDescent="0.2">
      <c r="A23" s="436"/>
    </row>
    <row r="24" spans="1:41" s="444" customFormat="1" x14ac:dyDescent="0.25">
      <c r="A24" s="456" t="s">
        <v>385</v>
      </c>
      <c r="I24" s="457"/>
    </row>
    <row r="25" spans="1:41" s="444" customFormat="1" ht="12.75" x14ac:dyDescent="0.2"/>
    <row r="26" spans="1:41" s="444" customFormat="1" x14ac:dyDescent="0.25">
      <c r="A26" s="439" t="s">
        <v>386</v>
      </c>
      <c r="H26" s="450"/>
      <c r="M26" s="437"/>
      <c r="N26" s="458"/>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437"/>
      <c r="AN26" s="437"/>
      <c r="AO26" s="437"/>
    </row>
    <row r="27" spans="1:41" s="444" customFormat="1" x14ac:dyDescent="0.25">
      <c r="A27" s="444" t="s">
        <v>387</v>
      </c>
      <c r="H27" s="450"/>
      <c r="M27" s="446" t="s">
        <v>388</v>
      </c>
      <c r="N27" s="459">
        <v>2000</v>
      </c>
      <c r="O27" s="460">
        <v>2001</v>
      </c>
      <c r="P27" s="460">
        <v>2002</v>
      </c>
      <c r="Q27" s="460">
        <v>2003</v>
      </c>
      <c r="R27" s="460">
        <v>2004</v>
      </c>
      <c r="S27" s="460">
        <v>2005</v>
      </c>
      <c r="T27" s="460">
        <v>2006</v>
      </c>
      <c r="U27" s="460">
        <v>2007</v>
      </c>
      <c r="V27" s="460">
        <v>2008</v>
      </c>
      <c r="W27" s="460">
        <v>2009</v>
      </c>
      <c r="X27" s="460">
        <v>2010</v>
      </c>
      <c r="Y27" s="460">
        <v>2011</v>
      </c>
      <c r="Z27" s="460">
        <v>2012</v>
      </c>
      <c r="AA27" s="460">
        <v>2013</v>
      </c>
      <c r="AB27" s="460">
        <v>2014</v>
      </c>
      <c r="AC27" s="460">
        <v>2015</v>
      </c>
      <c r="AD27" s="460">
        <v>2016</v>
      </c>
      <c r="AE27" s="460">
        <v>2017</v>
      </c>
      <c r="AF27" s="460">
        <v>2018</v>
      </c>
      <c r="AG27" s="460">
        <v>2019</v>
      </c>
      <c r="AH27" s="461">
        <v>2020</v>
      </c>
      <c r="AI27" s="437"/>
      <c r="AJ27" s="437"/>
      <c r="AK27" s="437"/>
      <c r="AL27" s="437"/>
      <c r="AM27" s="437"/>
      <c r="AN27" s="437"/>
      <c r="AO27" s="437"/>
    </row>
    <row r="28" spans="1:41" s="444" customFormat="1" x14ac:dyDescent="0.25">
      <c r="H28" s="450"/>
      <c r="M28" s="462" t="s">
        <v>370</v>
      </c>
      <c r="N28" s="463">
        <v>66.363248999999996</v>
      </c>
      <c r="O28" s="464">
        <v>74.267426999999998</v>
      </c>
      <c r="P28" s="464">
        <v>60.39661199999999</v>
      </c>
      <c r="Q28" s="464">
        <v>58.943640000000002</v>
      </c>
      <c r="R28" s="464">
        <v>59.554935</v>
      </c>
      <c r="S28" s="464">
        <v>51.479877000000002</v>
      </c>
      <c r="T28" s="464">
        <v>56.303697</v>
      </c>
      <c r="U28" s="464">
        <v>57.604416999999998</v>
      </c>
      <c r="V28" s="464">
        <v>63.653661000000007</v>
      </c>
      <c r="W28" s="464">
        <v>56.994199999999999</v>
      </c>
      <c r="X28" s="464">
        <v>62.713616999999999</v>
      </c>
      <c r="Y28" s="464">
        <v>45.744622</v>
      </c>
      <c r="Z28" s="464">
        <v>59.831830000000004</v>
      </c>
      <c r="AA28" s="464">
        <v>71.922174999999982</v>
      </c>
      <c r="AB28" s="464">
        <v>63.773408999999994</v>
      </c>
      <c r="AC28" s="464">
        <v>55.556272000000007</v>
      </c>
      <c r="AD28" s="464">
        <v>60.839210000000001</v>
      </c>
      <c r="AE28" s="464">
        <v>50.001256999999995</v>
      </c>
      <c r="AF28" s="464">
        <v>65.111425999999994</v>
      </c>
      <c r="AG28" s="464">
        <v>56.913891000000007</v>
      </c>
      <c r="AH28" s="465">
        <v>62.189398000000004</v>
      </c>
      <c r="AI28" s="466"/>
      <c r="AJ28" s="437"/>
      <c r="AK28" s="437"/>
      <c r="AL28" s="437"/>
      <c r="AM28" s="437"/>
      <c r="AN28" s="437"/>
      <c r="AO28" s="437"/>
    </row>
    <row r="29" spans="1:41" s="444" customFormat="1" x14ac:dyDescent="0.25">
      <c r="M29" s="451" t="s">
        <v>258</v>
      </c>
      <c r="N29" s="467">
        <v>4.8159999999999994E-2</v>
      </c>
      <c r="O29" s="466">
        <v>0.13124</v>
      </c>
      <c r="P29" s="466">
        <v>0.26559000000000005</v>
      </c>
      <c r="Q29" s="466">
        <v>0.38774999999999998</v>
      </c>
      <c r="R29" s="466">
        <v>0.59484999999999999</v>
      </c>
      <c r="S29" s="466">
        <v>0.96257000000000004</v>
      </c>
      <c r="T29" s="466">
        <v>2.1825799999999997</v>
      </c>
      <c r="U29" s="466">
        <v>4.0701099999999997</v>
      </c>
      <c r="V29" s="466">
        <v>5.69421</v>
      </c>
      <c r="W29" s="466">
        <v>7.9115699999999993</v>
      </c>
      <c r="X29" s="466">
        <v>9.9449900000000007</v>
      </c>
      <c r="Y29" s="466">
        <v>12.371620999999999</v>
      </c>
      <c r="Z29" s="466">
        <v>15.1784</v>
      </c>
      <c r="AA29" s="466">
        <v>16.126735999999998</v>
      </c>
      <c r="AB29" s="466">
        <v>17.323779000000002</v>
      </c>
      <c r="AC29" s="466">
        <v>21.420601999999999</v>
      </c>
      <c r="AD29" s="466">
        <v>21.380984000000002</v>
      </c>
      <c r="AE29" s="466">
        <v>24.609437</v>
      </c>
      <c r="AF29" s="466">
        <v>28.598595</v>
      </c>
      <c r="AG29" s="466">
        <v>34.721684000000003</v>
      </c>
      <c r="AH29" s="468">
        <v>40.704366</v>
      </c>
      <c r="AI29" s="466"/>
      <c r="AJ29" s="437"/>
      <c r="AK29" s="437"/>
      <c r="AL29" s="437"/>
      <c r="AM29" s="437"/>
      <c r="AN29" s="437"/>
      <c r="AO29" s="437"/>
    </row>
    <row r="30" spans="1:41" s="444" customFormat="1" x14ac:dyDescent="0.25">
      <c r="H30" s="450"/>
      <c r="M30" s="452" t="s">
        <v>373</v>
      </c>
      <c r="N30" s="467">
        <v>5.2230000000000002E-3</v>
      </c>
      <c r="O30" s="466">
        <v>6.1609999999999998E-3</v>
      </c>
      <c r="P30" s="466">
        <v>7.1040000000000001E-3</v>
      </c>
      <c r="Q30" s="466">
        <v>7.7670000000000005E-3</v>
      </c>
      <c r="R30" s="466">
        <v>8.4480000000000006E-3</v>
      </c>
      <c r="S30" s="466">
        <v>1.0501E-2</v>
      </c>
      <c r="T30" s="466">
        <v>1.2102999999999999E-2</v>
      </c>
      <c r="U30" s="466">
        <v>1.7572000000000001E-2</v>
      </c>
      <c r="V30" s="466">
        <v>4.1692000000000007E-2</v>
      </c>
      <c r="W30" s="466">
        <v>0.17397100000000001</v>
      </c>
      <c r="X30" s="466">
        <v>0.62</v>
      </c>
      <c r="Y30" s="466">
        <v>2.3338040000000002</v>
      </c>
      <c r="Z30" s="466">
        <v>4.4279359999999999</v>
      </c>
      <c r="AA30" s="466">
        <v>5.1935959999999994</v>
      </c>
      <c r="AB30" s="466">
        <v>6.391572</v>
      </c>
      <c r="AC30" s="466">
        <v>7.7537370000000001</v>
      </c>
      <c r="AD30" s="466">
        <v>8.6597650000000002</v>
      </c>
      <c r="AE30" s="466">
        <v>9.5863159999999983</v>
      </c>
      <c r="AF30" s="466">
        <v>10.891159</v>
      </c>
      <c r="AG30" s="466">
        <v>12.225183999999999</v>
      </c>
      <c r="AH30" s="468">
        <v>13.579212</v>
      </c>
      <c r="AI30" s="466"/>
      <c r="AJ30" s="437"/>
      <c r="AK30" s="437"/>
      <c r="AL30" s="437"/>
      <c r="AM30" s="437"/>
      <c r="AN30" s="437"/>
      <c r="AO30" s="437"/>
    </row>
    <row r="31" spans="1:41" s="444" customFormat="1" x14ac:dyDescent="0.25">
      <c r="M31" s="448" t="s">
        <v>335</v>
      </c>
      <c r="N31" s="467">
        <v>1.0900000000000001</v>
      </c>
      <c r="O31" s="466">
        <v>1.044</v>
      </c>
      <c r="P31" s="466">
        <v>1.109</v>
      </c>
      <c r="Q31" s="466">
        <v>1.133</v>
      </c>
      <c r="R31" s="466">
        <v>1.1279999999999999</v>
      </c>
      <c r="S31" s="466">
        <v>1.254</v>
      </c>
      <c r="T31" s="466">
        <v>1.2470000000000001</v>
      </c>
      <c r="U31" s="466">
        <v>1.3540000000000001</v>
      </c>
      <c r="V31" s="466">
        <v>1.413</v>
      </c>
      <c r="W31" s="466">
        <v>1.2350000000000001</v>
      </c>
      <c r="X31" s="466">
        <v>1.4630000000000001</v>
      </c>
      <c r="Y31" s="466">
        <v>1.8104259999999999</v>
      </c>
      <c r="Z31" s="466">
        <v>1.8547090000000002</v>
      </c>
      <c r="AA31" s="466">
        <v>2.0137179999999999</v>
      </c>
      <c r="AB31" s="466">
        <v>2.3089309999999998</v>
      </c>
      <c r="AC31" s="466">
        <v>2.6652219999999995</v>
      </c>
      <c r="AD31" s="466">
        <v>3.407727</v>
      </c>
      <c r="AE31" s="466">
        <v>3.462215</v>
      </c>
      <c r="AF31" s="466">
        <v>3.8061359999999995</v>
      </c>
      <c r="AG31" s="466">
        <v>3.8838170000000001</v>
      </c>
      <c r="AH31" s="468">
        <v>3.690051</v>
      </c>
      <c r="AI31" s="466"/>
      <c r="AJ31" s="437"/>
      <c r="AK31" s="437"/>
      <c r="AL31" s="437"/>
      <c r="AM31" s="437"/>
      <c r="AN31" s="437"/>
      <c r="AO31" s="437"/>
    </row>
    <row r="32" spans="1:41" s="444" customFormat="1" x14ac:dyDescent="0.25">
      <c r="C32" s="469"/>
      <c r="M32" s="452" t="s">
        <v>376</v>
      </c>
      <c r="N32" s="467">
        <v>1.081</v>
      </c>
      <c r="O32" s="466">
        <v>1.4670000000000001</v>
      </c>
      <c r="P32" s="466">
        <v>1.5369999999999999</v>
      </c>
      <c r="Q32" s="466">
        <v>1.647</v>
      </c>
      <c r="R32" s="466">
        <v>1.7170000000000001</v>
      </c>
      <c r="S32" s="466">
        <v>1.657</v>
      </c>
      <c r="T32" s="466">
        <v>1.605</v>
      </c>
      <c r="U32" s="466">
        <v>1.776</v>
      </c>
      <c r="V32" s="466">
        <v>1.863</v>
      </c>
      <c r="W32" s="466">
        <v>2.02</v>
      </c>
      <c r="X32" s="466">
        <v>1.9730000000000001</v>
      </c>
      <c r="Y32" s="466">
        <v>2.0790480000000002</v>
      </c>
      <c r="Z32" s="466">
        <v>2.1482330000000003</v>
      </c>
      <c r="AA32" s="466">
        <v>2.1248860000000001</v>
      </c>
      <c r="AB32" s="466">
        <v>2.0837539999999999</v>
      </c>
      <c r="AC32" s="466">
        <v>2.0256720000000001</v>
      </c>
      <c r="AD32" s="466">
        <v>2.1218820000000003</v>
      </c>
      <c r="AE32" s="466">
        <v>2.205133</v>
      </c>
      <c r="AF32" s="466">
        <v>2.2021329999999999</v>
      </c>
      <c r="AG32" s="466">
        <v>2.1725979999999998</v>
      </c>
      <c r="AH32" s="468">
        <v>2.1180859999999999</v>
      </c>
      <c r="AI32" s="466"/>
      <c r="AJ32" s="437"/>
      <c r="AK32" s="437"/>
      <c r="AL32" s="437"/>
      <c r="AM32" s="437"/>
      <c r="AN32" s="437"/>
      <c r="AO32" s="437"/>
    </row>
    <row r="33" spans="1:41" s="444" customFormat="1" x14ac:dyDescent="0.25">
      <c r="A33" s="437"/>
      <c r="B33" s="437"/>
      <c r="C33" s="437"/>
      <c r="D33" s="437"/>
      <c r="E33" s="437"/>
      <c r="F33" s="437"/>
      <c r="G33" s="437"/>
      <c r="H33" s="437"/>
      <c r="I33" s="437"/>
      <c r="M33" s="448" t="s">
        <v>336</v>
      </c>
      <c r="N33" s="467">
        <v>0.308</v>
      </c>
      <c r="O33" s="466">
        <v>0.33800000000000002</v>
      </c>
      <c r="P33" s="466">
        <v>0.39700000000000002</v>
      </c>
      <c r="Q33" s="466">
        <v>0.44700000000000001</v>
      </c>
      <c r="R33" s="466">
        <v>0.46700000000000003</v>
      </c>
      <c r="S33" s="466">
        <v>0.48</v>
      </c>
      <c r="T33" s="466">
        <v>0.52500000000000002</v>
      </c>
      <c r="U33" s="466">
        <v>0.621</v>
      </c>
      <c r="V33" s="466">
        <v>0.69499999999999995</v>
      </c>
      <c r="W33" s="466">
        <v>0.875</v>
      </c>
      <c r="X33" s="466">
        <v>1.0049999999999999</v>
      </c>
      <c r="Y33" s="466">
        <v>1.151675</v>
      </c>
      <c r="Z33" s="466">
        <v>1.2963629999999999</v>
      </c>
      <c r="AA33" s="466">
        <v>1.5447250000000001</v>
      </c>
      <c r="AB33" s="466">
        <v>1.5934619999999999</v>
      </c>
      <c r="AC33" s="466">
        <v>1.833858</v>
      </c>
      <c r="AD33" s="466">
        <v>1.9911260000000002</v>
      </c>
      <c r="AE33" s="466">
        <v>2.1136880000000002</v>
      </c>
      <c r="AF33" s="466">
        <v>2.3697539999999999</v>
      </c>
      <c r="AG33" s="466">
        <v>2.5874549999999998</v>
      </c>
      <c r="AH33" s="468">
        <v>2.8062450000000001</v>
      </c>
      <c r="AI33" s="466"/>
      <c r="AJ33" s="437"/>
      <c r="AK33" s="437"/>
      <c r="AL33" s="437"/>
      <c r="AM33" s="437"/>
      <c r="AN33" s="437"/>
      <c r="AO33" s="437"/>
    </row>
    <row r="34" spans="1:41" x14ac:dyDescent="0.25">
      <c r="M34" s="448" t="s">
        <v>379</v>
      </c>
      <c r="N34" s="467">
        <v>0.50730700000000006</v>
      </c>
      <c r="O34" s="466">
        <v>0.484933</v>
      </c>
      <c r="P34" s="466">
        <v>0.49443300000000001</v>
      </c>
      <c r="Q34" s="466">
        <v>0.49036799999999997</v>
      </c>
      <c r="R34" s="466">
        <v>0.47017599999999998</v>
      </c>
      <c r="S34" s="466">
        <v>0.48089499999999996</v>
      </c>
      <c r="T34" s="466">
        <v>0.46426499999999998</v>
      </c>
      <c r="U34" s="466">
        <v>0.46529199999999998</v>
      </c>
      <c r="V34" s="466">
        <v>0.465119</v>
      </c>
      <c r="W34" s="466">
        <v>0.44819700000000001</v>
      </c>
      <c r="X34" s="466">
        <v>0.47639700000000001</v>
      </c>
      <c r="Y34" s="466">
        <v>0.47727800000000004</v>
      </c>
      <c r="Z34" s="466">
        <v>0.457986</v>
      </c>
      <c r="AA34" s="466">
        <v>0.413572</v>
      </c>
      <c r="AB34" s="466">
        <v>0.48050700000000002</v>
      </c>
      <c r="AC34" s="466">
        <v>0.48741800000000002</v>
      </c>
      <c r="AD34" s="466">
        <v>0.50051600000000007</v>
      </c>
      <c r="AE34" s="466">
        <v>0.521706</v>
      </c>
      <c r="AF34" s="466">
        <v>0.47993000000000002</v>
      </c>
      <c r="AG34" s="466">
        <v>0.478964</v>
      </c>
      <c r="AH34" s="468">
        <v>0.48176400000000003</v>
      </c>
      <c r="AI34" s="466"/>
    </row>
    <row r="35" spans="1:41" x14ac:dyDescent="0.25">
      <c r="M35" s="470" t="s">
        <v>381</v>
      </c>
      <c r="N35" s="471">
        <v>0</v>
      </c>
      <c r="O35" s="472">
        <v>0</v>
      </c>
      <c r="P35" s="472">
        <v>0</v>
      </c>
      <c r="Q35" s="472">
        <v>0</v>
      </c>
      <c r="R35" s="472">
        <v>0</v>
      </c>
      <c r="S35" s="472">
        <v>0</v>
      </c>
      <c r="T35" s="472">
        <v>0</v>
      </c>
      <c r="U35" s="472">
        <v>0</v>
      </c>
      <c r="V35" s="472">
        <v>0</v>
      </c>
      <c r="W35" s="472">
        <v>0</v>
      </c>
      <c r="X35" s="472">
        <v>0</v>
      </c>
      <c r="Y35" s="472">
        <v>6.2237000000000001E-2</v>
      </c>
      <c r="Z35" s="472">
        <v>5.6513000000000001E-2</v>
      </c>
      <c r="AA35" s="472">
        <v>9.0150999999999995E-2</v>
      </c>
      <c r="AB35" s="472">
        <v>8.3114000000000007E-2</v>
      </c>
      <c r="AC35" s="472">
        <v>9.1938999999999993E-2</v>
      </c>
      <c r="AD35" s="472">
        <v>9.7604999999999997E-2</v>
      </c>
      <c r="AE35" s="472">
        <v>0.13313</v>
      </c>
      <c r="AF35" s="472">
        <v>0.126975</v>
      </c>
      <c r="AG35" s="472">
        <v>0.12848599999999999</v>
      </c>
      <c r="AH35" s="473">
        <v>0.12848599999999999</v>
      </c>
      <c r="AI35" s="466"/>
    </row>
    <row r="36" spans="1:41" x14ac:dyDescent="0.25">
      <c r="M36" s="444"/>
      <c r="N36" s="466"/>
    </row>
    <row r="37" spans="1:41" x14ac:dyDescent="0.25">
      <c r="N37" s="474"/>
      <c r="O37" s="474"/>
      <c r="P37" s="474"/>
      <c r="Q37" s="474"/>
      <c r="R37" s="474"/>
      <c r="S37" s="474"/>
      <c r="T37" s="474"/>
      <c r="U37" s="474"/>
      <c r="V37" s="474"/>
      <c r="W37" s="474"/>
      <c r="X37" s="474"/>
      <c r="Y37" s="474"/>
      <c r="Z37" s="474"/>
      <c r="AA37" s="474"/>
      <c r="AB37" s="474"/>
      <c r="AC37" s="474"/>
      <c r="AD37" s="474"/>
      <c r="AE37" s="474"/>
      <c r="AF37" s="474"/>
      <c r="AG37" s="474"/>
      <c r="AH37" s="474"/>
    </row>
    <row r="38" spans="1:41" x14ac:dyDescent="0.25">
      <c r="N38" s="474"/>
      <c r="O38" s="474"/>
      <c r="P38" s="474"/>
      <c r="Q38" s="474"/>
      <c r="R38" s="474"/>
      <c r="S38" s="474"/>
      <c r="T38" s="474"/>
      <c r="U38" s="474"/>
      <c r="V38" s="474"/>
      <c r="W38" s="474"/>
      <c r="X38" s="474"/>
      <c r="Y38" s="474"/>
      <c r="Z38" s="474"/>
      <c r="AA38" s="474"/>
      <c r="AB38" s="474"/>
      <c r="AC38" s="474"/>
      <c r="AD38" s="474"/>
      <c r="AE38" s="474"/>
      <c r="AF38" s="474"/>
      <c r="AG38" s="474"/>
      <c r="AH38" s="474"/>
    </row>
    <row r="47" spans="1:41" x14ac:dyDescent="0.25">
      <c r="A47" s="437" t="s">
        <v>389</v>
      </c>
      <c r="B47" s="444"/>
    </row>
    <row r="48" spans="1:41" x14ac:dyDescent="0.25">
      <c r="A48" s="456" t="s">
        <v>385</v>
      </c>
      <c r="B48" s="444"/>
    </row>
  </sheetData>
  <sheetProtection selectLockedCells="1" selectUnlockedCells="1"/>
  <pageMargins left="0.7" right="0.7" top="0.75" bottom="0.75" header="0.51180555555555551" footer="0.51180555555555551"/>
  <pageSetup paperSize="9" firstPageNumber="0" orientation="portrait" horizontalDpi="300" verticalDpi="300" r:id="rId1"/>
  <headerFooter alignWithMargins="0"/>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60AF0-75B8-4AA2-9C9C-E10948EDBA1F}">
  <sheetPr>
    <tabColor rgb="FF92D050"/>
    <pageSetUpPr fitToPage="1"/>
  </sheetPr>
  <dimension ref="A1:AN34"/>
  <sheetViews>
    <sheetView workbookViewId="0"/>
  </sheetViews>
  <sheetFormatPr baseColWidth="10" defaultColWidth="11.42578125" defaultRowHeight="15" x14ac:dyDescent="0.25"/>
  <cols>
    <col min="1" max="1" width="41" style="437" customWidth="1"/>
    <col min="2" max="2" width="12" style="437" customWidth="1"/>
    <col min="3" max="4" width="0" style="437" hidden="1" customWidth="1"/>
    <col min="5" max="5" width="8.5703125" style="437" customWidth="1"/>
    <col min="6" max="6" width="9.85546875" style="437" customWidth="1"/>
    <col min="7" max="7" width="7.7109375" style="437" customWidth="1"/>
    <col min="8" max="9" width="9.42578125" style="437" customWidth="1"/>
    <col min="10" max="12" width="9.7109375" style="437" customWidth="1"/>
    <col min="13" max="13" width="22.140625" style="437" customWidth="1"/>
    <col min="14" max="14" width="15.28515625" style="437" customWidth="1"/>
    <col min="15" max="15" width="17.85546875" style="437" customWidth="1"/>
    <col min="16" max="28" width="9.7109375" style="437" customWidth="1"/>
    <col min="29" max="16384" width="11.42578125" style="437"/>
  </cols>
  <sheetData>
    <row r="1" spans="1:18" x14ac:dyDescent="0.25">
      <c r="A1" s="436" t="s">
        <v>362</v>
      </c>
    </row>
    <row r="2" spans="1:18" ht="18.75" x14ac:dyDescent="0.25">
      <c r="A2" s="438" t="s">
        <v>363</v>
      </c>
    </row>
    <row r="4" spans="1:18" s="444" customFormat="1" ht="12.75" x14ac:dyDescent="0.2"/>
    <row r="5" spans="1:18" s="444" customFormat="1" ht="15" customHeight="1" x14ac:dyDescent="0.25">
      <c r="A5" s="782" t="s">
        <v>390</v>
      </c>
      <c r="B5" s="782"/>
      <c r="C5" s="782"/>
      <c r="D5" s="782"/>
      <c r="E5" s="782"/>
      <c r="F5" s="782"/>
      <c r="G5" s="782"/>
      <c r="H5" s="782"/>
      <c r="I5" s="782"/>
      <c r="J5" s="475"/>
      <c r="K5" s="437"/>
      <c r="L5" s="437"/>
      <c r="M5" s="437"/>
      <c r="N5" s="437"/>
      <c r="O5" s="437"/>
      <c r="P5" s="437"/>
      <c r="Q5" s="437"/>
      <c r="R5" s="437"/>
    </row>
    <row r="6" spans="1:18" s="444" customFormat="1" x14ac:dyDescent="0.25">
      <c r="A6" s="476" t="s">
        <v>391</v>
      </c>
      <c r="M6" s="444" t="s">
        <v>392</v>
      </c>
      <c r="N6" s="477"/>
      <c r="O6" s="477"/>
      <c r="P6" s="477"/>
      <c r="Q6" s="477"/>
      <c r="R6" s="477"/>
    </row>
    <row r="7" spans="1:18" s="444" customFormat="1" ht="14.25" customHeight="1" x14ac:dyDescent="0.2">
      <c r="A7" s="783" t="s">
        <v>393</v>
      </c>
      <c r="B7" s="783"/>
      <c r="C7" s="783"/>
      <c r="D7" s="783"/>
      <c r="E7" s="783"/>
      <c r="F7" s="783"/>
      <c r="G7" s="783"/>
      <c r="H7" s="783"/>
      <c r="I7" s="783"/>
      <c r="M7" s="462"/>
      <c r="N7" s="478" t="s">
        <v>128</v>
      </c>
      <c r="O7" s="479" t="s">
        <v>369</v>
      </c>
      <c r="R7" s="477"/>
    </row>
    <row r="8" spans="1:18" s="444" customFormat="1" x14ac:dyDescent="0.25">
      <c r="A8" s="480" t="s">
        <v>366</v>
      </c>
      <c r="B8" s="443"/>
      <c r="M8" s="448" t="s">
        <v>394</v>
      </c>
      <c r="N8" s="481">
        <v>110.85128030872578</v>
      </c>
      <c r="O8" s="469">
        <v>64.220008867409263</v>
      </c>
      <c r="P8" s="444" t="s">
        <v>395</v>
      </c>
      <c r="R8" s="437"/>
    </row>
    <row r="9" spans="1:18" s="444" customFormat="1" x14ac:dyDescent="0.25">
      <c r="A9" s="445"/>
      <c r="B9" s="443"/>
      <c r="M9" s="448" t="s">
        <v>396</v>
      </c>
      <c r="N9" s="481">
        <v>37.501510606253028</v>
      </c>
      <c r="O9" s="469">
        <v>21.725931689444238</v>
      </c>
      <c r="P9" s="444" t="s">
        <v>397</v>
      </c>
      <c r="R9" s="437"/>
    </row>
    <row r="10" spans="1:18" s="444" customFormat="1" x14ac:dyDescent="0.25">
      <c r="A10" s="445"/>
      <c r="B10" s="443"/>
      <c r="M10" s="448" t="s">
        <v>376</v>
      </c>
      <c r="N10" s="481">
        <v>5.5602503491823843</v>
      </c>
      <c r="O10" s="469">
        <v>3.2212467527215405</v>
      </c>
      <c r="P10" s="444" t="s">
        <v>398</v>
      </c>
      <c r="R10" s="437"/>
    </row>
    <row r="11" spans="1:18" s="444" customFormat="1" x14ac:dyDescent="0.25">
      <c r="A11" s="445"/>
      <c r="B11" s="443"/>
      <c r="M11" s="448" t="s">
        <v>336</v>
      </c>
      <c r="N11" s="481">
        <v>4.5507856976214418</v>
      </c>
      <c r="O11" s="469">
        <v>2.636428709176788</v>
      </c>
      <c r="P11" s="444" t="s">
        <v>399</v>
      </c>
      <c r="R11" s="437"/>
    </row>
    <row r="12" spans="1:18" s="444" customFormat="1" x14ac:dyDescent="0.25">
      <c r="A12" s="445"/>
      <c r="B12" s="443"/>
      <c r="M12" s="448" t="s">
        <v>400</v>
      </c>
      <c r="N12" s="481">
        <v>4.2751626873673132</v>
      </c>
      <c r="O12" s="469">
        <v>2.4767506963177084</v>
      </c>
      <c r="P12" s="444" t="s">
        <v>401</v>
      </c>
      <c r="R12" s="437"/>
    </row>
    <row r="13" spans="1:18" s="444" customFormat="1" x14ac:dyDescent="0.25">
      <c r="A13" s="445"/>
      <c r="B13" s="443"/>
      <c r="J13" s="453"/>
      <c r="M13" s="448" t="s">
        <v>24</v>
      </c>
      <c r="N13" s="481">
        <v>4.2275015525607875</v>
      </c>
      <c r="O13" s="469">
        <v>2.4491389403561947</v>
      </c>
      <c r="P13" s="444" t="s">
        <v>402</v>
      </c>
      <c r="R13" s="437"/>
    </row>
    <row r="14" spans="1:18" s="444" customFormat="1" ht="14.25" x14ac:dyDescent="0.2">
      <c r="A14" s="443"/>
      <c r="B14" s="443"/>
      <c r="J14" s="453"/>
      <c r="M14" s="448" t="s">
        <v>403</v>
      </c>
      <c r="N14" s="481">
        <v>3.4066285897734532</v>
      </c>
      <c r="O14" s="469">
        <v>1.9735786328667242</v>
      </c>
      <c r="P14" s="444" t="s">
        <v>404</v>
      </c>
      <c r="R14" s="477"/>
    </row>
    <row r="15" spans="1:18" s="444" customFormat="1" x14ac:dyDescent="0.25">
      <c r="A15" s="443"/>
      <c r="B15" s="443"/>
      <c r="J15" s="453"/>
      <c r="M15" s="448" t="s">
        <v>33</v>
      </c>
      <c r="N15" s="481">
        <v>2.2386288888888886</v>
      </c>
      <c r="O15" s="469">
        <v>1.2969157117075385</v>
      </c>
      <c r="P15" s="444" t="s">
        <v>405</v>
      </c>
      <c r="R15" s="437"/>
    </row>
    <row r="16" spans="1:18" s="444" customFormat="1" ht="12.75" x14ac:dyDescent="0.2">
      <c r="A16" s="443"/>
      <c r="B16" s="443"/>
      <c r="M16" s="454" t="s">
        <v>10</v>
      </c>
      <c r="N16" s="482">
        <v>172.6117486803731</v>
      </c>
      <c r="O16" s="469">
        <v>100</v>
      </c>
      <c r="P16" s="444" t="s">
        <v>383</v>
      </c>
    </row>
    <row r="17" spans="1:40" s="444" customFormat="1" ht="12.75" x14ac:dyDescent="0.2">
      <c r="A17" s="443"/>
      <c r="B17" s="443"/>
    </row>
    <row r="18" spans="1:40" s="444" customFormat="1" ht="12.75" x14ac:dyDescent="0.2">
      <c r="A18" s="443"/>
      <c r="B18" s="443"/>
    </row>
    <row r="19" spans="1:40" s="444" customFormat="1" ht="12.75" x14ac:dyDescent="0.2">
      <c r="N19" s="483"/>
      <c r="O19" s="450"/>
      <c r="P19" s="450"/>
    </row>
    <row r="20" spans="1:40" s="444" customFormat="1" ht="12.75" x14ac:dyDescent="0.2">
      <c r="O20" s="450"/>
      <c r="P20" s="450"/>
    </row>
    <row r="21" spans="1:40" s="444" customFormat="1" x14ac:dyDescent="0.25">
      <c r="O21" s="450"/>
      <c r="P21" s="450"/>
      <c r="S21" s="437"/>
      <c r="T21" s="437"/>
      <c r="U21" s="437"/>
      <c r="V21" s="437"/>
      <c r="W21" s="437"/>
      <c r="X21" s="437"/>
      <c r="Y21" s="437"/>
      <c r="Z21" s="437"/>
      <c r="AA21" s="437"/>
      <c r="AB21" s="437"/>
      <c r="AC21" s="437"/>
      <c r="AD21" s="437"/>
      <c r="AE21" s="437"/>
      <c r="AF21" s="437"/>
      <c r="AG21" s="437"/>
      <c r="AH21" s="437"/>
      <c r="AI21" s="437"/>
      <c r="AJ21" s="437"/>
      <c r="AK21" s="437"/>
      <c r="AL21" s="437"/>
      <c r="AM21" s="437"/>
      <c r="AN21" s="437"/>
    </row>
    <row r="22" spans="1:40" s="444" customFormat="1" x14ac:dyDescent="0.25">
      <c r="O22" s="450"/>
      <c r="P22" s="450"/>
      <c r="S22" s="437"/>
      <c r="T22" s="437"/>
      <c r="U22" s="437"/>
      <c r="V22" s="437"/>
      <c r="W22" s="437"/>
      <c r="X22" s="437"/>
      <c r="Y22" s="437"/>
      <c r="Z22" s="437"/>
      <c r="AA22" s="437"/>
      <c r="AB22" s="437"/>
      <c r="AC22" s="437"/>
      <c r="AD22" s="437"/>
      <c r="AE22" s="437"/>
      <c r="AF22" s="437"/>
      <c r="AG22" s="437"/>
      <c r="AH22" s="437"/>
      <c r="AI22" s="437"/>
      <c r="AJ22" s="437"/>
      <c r="AK22" s="437"/>
      <c r="AL22" s="437"/>
      <c r="AM22" s="437"/>
      <c r="AN22" s="437"/>
    </row>
    <row r="23" spans="1:40" s="444" customFormat="1" x14ac:dyDescent="0.25">
      <c r="O23" s="450"/>
      <c r="P23" s="450"/>
      <c r="S23" s="437"/>
      <c r="T23" s="437"/>
      <c r="U23" s="437"/>
      <c r="V23" s="437"/>
      <c r="W23" s="437"/>
      <c r="X23" s="437"/>
      <c r="Y23" s="437"/>
      <c r="Z23" s="437"/>
      <c r="AA23" s="437"/>
      <c r="AB23" s="437"/>
      <c r="AC23" s="437"/>
      <c r="AD23" s="437"/>
      <c r="AE23" s="437"/>
      <c r="AF23" s="437"/>
      <c r="AG23" s="437"/>
      <c r="AH23" s="437"/>
      <c r="AI23" s="437"/>
      <c r="AJ23" s="437"/>
      <c r="AK23" s="437"/>
      <c r="AL23" s="437"/>
      <c r="AM23" s="437"/>
      <c r="AN23" s="437"/>
    </row>
    <row r="24" spans="1:40" s="444" customFormat="1" x14ac:dyDescent="0.25">
      <c r="A24" s="436"/>
      <c r="H24" s="450"/>
      <c r="O24" s="450"/>
      <c r="P24" s="450"/>
      <c r="R24" s="437"/>
      <c r="S24" s="437"/>
      <c r="T24" s="437"/>
      <c r="U24" s="437"/>
      <c r="V24" s="437"/>
      <c r="W24" s="437"/>
      <c r="X24" s="437"/>
      <c r="Y24" s="437"/>
      <c r="Z24" s="437"/>
      <c r="AA24" s="437"/>
      <c r="AB24" s="437"/>
      <c r="AC24" s="437"/>
      <c r="AD24" s="437"/>
      <c r="AE24" s="437"/>
      <c r="AF24" s="437"/>
      <c r="AG24" s="437"/>
      <c r="AH24" s="437"/>
      <c r="AI24" s="437"/>
      <c r="AJ24" s="437"/>
      <c r="AK24" s="437"/>
      <c r="AL24" s="437"/>
      <c r="AM24" s="437"/>
      <c r="AN24" s="437"/>
    </row>
    <row r="25" spans="1:40" s="444" customFormat="1" x14ac:dyDescent="0.25">
      <c r="A25" s="456" t="s">
        <v>385</v>
      </c>
      <c r="H25" s="450"/>
      <c r="O25" s="450"/>
      <c r="P25" s="450"/>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437"/>
      <c r="AN25" s="437"/>
    </row>
    <row r="26" spans="1:40" s="444" customFormat="1" x14ac:dyDescent="0.25">
      <c r="H26" s="450"/>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437"/>
      <c r="AN26" s="437"/>
    </row>
    <row r="27" spans="1:40" s="444" customFormat="1" x14ac:dyDescent="0.25">
      <c r="H27" s="450"/>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437"/>
      <c r="AN27" s="437"/>
    </row>
    <row r="28" spans="1:40" s="444" customFormat="1" x14ac:dyDescent="0.25">
      <c r="H28" s="450"/>
      <c r="M28" s="437"/>
      <c r="N28" s="458"/>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437"/>
      <c r="AN28" s="437"/>
    </row>
    <row r="29" spans="1:40" s="444" customFormat="1" x14ac:dyDescent="0.25">
      <c r="H29" s="450"/>
      <c r="M29" s="437"/>
      <c r="N29" s="458"/>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437"/>
      <c r="AN29" s="437"/>
    </row>
    <row r="30" spans="1:40" s="444" customFormat="1" x14ac:dyDescent="0.25">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437"/>
      <c r="AN30" s="437"/>
    </row>
    <row r="31" spans="1:40" s="444" customFormat="1" x14ac:dyDescent="0.25">
      <c r="H31" s="450"/>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437"/>
      <c r="AN31" s="437"/>
    </row>
    <row r="32" spans="1:40" s="444" customFormat="1" x14ac:dyDescent="0.25">
      <c r="M32" s="437"/>
      <c r="N32" s="437"/>
      <c r="O32" s="437"/>
      <c r="P32" s="437"/>
      <c r="Q32" s="484"/>
      <c r="R32" s="437"/>
      <c r="S32" s="437"/>
      <c r="T32" s="437"/>
      <c r="U32" s="437"/>
      <c r="V32" s="437"/>
      <c r="W32" s="437"/>
      <c r="X32" s="437"/>
      <c r="Y32" s="437"/>
      <c r="Z32" s="437"/>
      <c r="AA32" s="437"/>
      <c r="AB32" s="437"/>
      <c r="AC32" s="437"/>
      <c r="AD32" s="437"/>
      <c r="AE32" s="437"/>
      <c r="AF32" s="437"/>
      <c r="AG32" s="437"/>
      <c r="AH32" s="437"/>
      <c r="AI32" s="437"/>
      <c r="AJ32" s="437"/>
      <c r="AK32" s="437"/>
      <c r="AL32" s="437"/>
      <c r="AM32" s="437"/>
      <c r="AN32" s="437"/>
    </row>
    <row r="33" spans="1:40" s="444" customFormat="1" x14ac:dyDescent="0.25">
      <c r="C33" s="469"/>
      <c r="M33" s="437"/>
      <c r="N33" s="437"/>
      <c r="O33" s="437"/>
      <c r="P33" s="437"/>
      <c r="Q33" s="485"/>
      <c r="R33" s="437"/>
      <c r="S33" s="437"/>
      <c r="T33" s="437"/>
      <c r="U33" s="437"/>
      <c r="V33" s="437"/>
      <c r="W33" s="437"/>
      <c r="X33" s="437"/>
      <c r="Y33" s="437"/>
      <c r="Z33" s="437"/>
      <c r="AA33" s="437"/>
      <c r="AB33" s="437"/>
      <c r="AC33" s="437"/>
      <c r="AD33" s="437"/>
      <c r="AE33" s="437"/>
      <c r="AF33" s="437"/>
      <c r="AG33" s="437"/>
      <c r="AH33" s="437"/>
      <c r="AI33" s="437"/>
      <c r="AJ33" s="437"/>
      <c r="AK33" s="437"/>
      <c r="AL33" s="437"/>
      <c r="AM33" s="437"/>
      <c r="AN33" s="437"/>
    </row>
    <row r="34" spans="1:40" s="444" customFormat="1" x14ac:dyDescent="0.25">
      <c r="A34" s="437"/>
      <c r="B34" s="437"/>
      <c r="C34" s="437"/>
      <c r="D34" s="437"/>
      <c r="E34" s="437"/>
      <c r="F34" s="437"/>
      <c r="G34" s="437"/>
      <c r="H34" s="437"/>
      <c r="I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437"/>
      <c r="AN34" s="437"/>
    </row>
  </sheetData>
  <sheetProtection selectLockedCells="1" selectUnlockedCells="1"/>
  <mergeCells count="2">
    <mergeCell ref="A5:I5"/>
    <mergeCell ref="A7:I7"/>
  </mergeCells>
  <pageMargins left="0.7" right="0.7" top="0.75" bottom="0.75" header="0.51180555555555551" footer="0.51180555555555551"/>
  <pageSetup paperSize="9" firstPageNumber="0" orientation="portrait" horizontalDpi="300" verticalDpi="300"/>
  <headerFooter alignWithMargins="0"/>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L211"/>
  <sheetViews>
    <sheetView workbookViewId="0"/>
  </sheetViews>
  <sheetFormatPr baseColWidth="10" defaultColWidth="9.140625" defaultRowHeight="15" x14ac:dyDescent="0.25"/>
  <cols>
    <col min="1" max="1" width="60.28515625" style="333" customWidth="1"/>
    <col min="2" max="64" width="9.140625" style="333"/>
  </cols>
  <sheetData>
    <row r="1" spans="1:11" ht="28.5" x14ac:dyDescent="0.45">
      <c r="A1" s="223" t="s">
        <v>317</v>
      </c>
      <c r="B1" s="224"/>
      <c r="C1" s="224"/>
      <c r="D1" s="224"/>
      <c r="E1" s="225" t="s">
        <v>318</v>
      </c>
      <c r="F1" s="226" t="s">
        <v>319</v>
      </c>
      <c r="G1" s="226"/>
      <c r="H1" s="225" t="s">
        <v>48</v>
      </c>
      <c r="I1" s="226">
        <v>2.1</v>
      </c>
      <c r="J1" s="225" t="s">
        <v>49</v>
      </c>
      <c r="K1" s="367">
        <v>43144</v>
      </c>
    </row>
    <row r="2" spans="1:11" x14ac:dyDescent="0.25">
      <c r="A2"/>
      <c r="B2"/>
      <c r="C2"/>
      <c r="D2"/>
      <c r="E2"/>
      <c r="F2"/>
      <c r="G2"/>
      <c r="H2"/>
      <c r="I2"/>
      <c r="J2"/>
      <c r="K2"/>
    </row>
    <row r="3" spans="1:11" x14ac:dyDescent="0.25">
      <c r="A3"/>
      <c r="B3"/>
      <c r="C3"/>
      <c r="D3"/>
      <c r="E3"/>
      <c r="F3"/>
      <c r="G3"/>
      <c r="H3"/>
      <c r="I3"/>
      <c r="J3"/>
      <c r="K3"/>
    </row>
    <row r="4" spans="1:11" x14ac:dyDescent="0.25">
      <c r="A4"/>
      <c r="B4"/>
      <c r="C4"/>
      <c r="D4"/>
      <c r="E4"/>
      <c r="F4"/>
      <c r="G4"/>
      <c r="H4"/>
      <c r="I4"/>
      <c r="J4"/>
      <c r="K4"/>
    </row>
    <row r="5" spans="1:11" ht="21" x14ac:dyDescent="0.35">
      <c r="A5" s="234" t="s">
        <v>333</v>
      </c>
      <c r="B5" s="234"/>
      <c r="C5" s="234"/>
      <c r="D5" s="234"/>
      <c r="E5" s="234"/>
      <c r="F5" s="234"/>
      <c r="G5" s="234"/>
      <c r="H5" s="234"/>
      <c r="I5" s="234"/>
      <c r="J5" s="234"/>
      <c r="K5" s="234"/>
    </row>
    <row r="6" spans="1:11" x14ac:dyDescent="0.25">
      <c r="A6"/>
      <c r="B6"/>
      <c r="C6"/>
      <c r="D6"/>
      <c r="E6"/>
      <c r="F6"/>
      <c r="G6"/>
      <c r="H6"/>
      <c r="I6"/>
      <c r="J6"/>
      <c r="K6"/>
    </row>
    <row r="7" spans="1:11" ht="15.75" x14ac:dyDescent="0.25">
      <c r="A7" s="237" t="s">
        <v>334</v>
      </c>
      <c r="B7" s="239"/>
      <c r="C7" s="239"/>
      <c r="D7" s="239"/>
      <c r="E7" s="239"/>
      <c r="F7" s="239"/>
      <c r="G7" s="238"/>
      <c r="H7" s="239"/>
      <c r="I7" s="239"/>
      <c r="J7" s="239"/>
      <c r="K7" s="239"/>
    </row>
    <row r="8" spans="1:11" x14ac:dyDescent="0.25">
      <c r="A8"/>
      <c r="B8"/>
      <c r="C8"/>
      <c r="D8"/>
      <c r="E8"/>
      <c r="F8"/>
      <c r="G8"/>
      <c r="H8"/>
      <c r="I8"/>
      <c r="J8"/>
      <c r="K8"/>
    </row>
    <row r="9" spans="1:11" x14ac:dyDescent="0.25">
      <c r="A9"/>
      <c r="B9"/>
      <c r="C9"/>
      <c r="D9"/>
      <c r="E9"/>
      <c r="F9"/>
      <c r="G9"/>
      <c r="H9"/>
      <c r="I9"/>
      <c r="J9"/>
      <c r="K9"/>
    </row>
    <row r="10" spans="1:11" ht="60" x14ac:dyDescent="0.25">
      <c r="A10" s="352"/>
      <c r="B10" s="353" t="s">
        <v>42</v>
      </c>
      <c r="C10" s="353" t="s">
        <v>52</v>
      </c>
      <c r="D10" s="353" t="s">
        <v>53</v>
      </c>
      <c r="E10" s="353" t="s">
        <v>32</v>
      </c>
      <c r="F10" s="353" t="s">
        <v>20</v>
      </c>
      <c r="G10" s="353" t="s">
        <v>55</v>
      </c>
      <c r="H10" s="353" t="s">
        <v>56</v>
      </c>
      <c r="I10" s="353" t="s">
        <v>57</v>
      </c>
      <c r="J10" s="353" t="s">
        <v>58</v>
      </c>
      <c r="K10" s="353" t="s">
        <v>10</v>
      </c>
    </row>
    <row r="11" spans="1:11" ht="15.75" x14ac:dyDescent="0.25">
      <c r="A11" s="360"/>
      <c r="B11" s="368"/>
      <c r="C11" s="368"/>
      <c r="D11" s="368"/>
      <c r="E11" s="368"/>
      <c r="F11" s="368"/>
      <c r="G11" s="368"/>
      <c r="H11" s="368"/>
      <c r="I11" s="368"/>
      <c r="J11" s="368"/>
      <c r="K11" s="368"/>
    </row>
    <row r="12" spans="1:11" x14ac:dyDescent="0.25">
      <c r="A12" s="175" t="s">
        <v>59</v>
      </c>
      <c r="B12" s="58">
        <v>0</v>
      </c>
      <c r="C12" s="58">
        <v>0.99</v>
      </c>
      <c r="D12" s="58">
        <v>0</v>
      </c>
      <c r="E12" s="58">
        <v>1.9114359415305201E-2</v>
      </c>
      <c r="F12" s="58">
        <v>113.97587222178799</v>
      </c>
      <c r="G12" s="58">
        <v>7.1744464316423002</v>
      </c>
      <c r="H12" s="58">
        <v>17.623063691891002</v>
      </c>
      <c r="I12" s="58">
        <v>0</v>
      </c>
      <c r="J12" s="58">
        <v>0</v>
      </c>
      <c r="K12" s="58">
        <v>139.78249670473701</v>
      </c>
    </row>
    <row r="13" spans="1:11" x14ac:dyDescent="0.25">
      <c r="A13" s="175" t="s">
        <v>60</v>
      </c>
      <c r="B13" s="58">
        <v>8.8097723628054307</v>
      </c>
      <c r="C13" s="58">
        <v>58.756</v>
      </c>
      <c r="D13" s="58">
        <v>41.304000000000002</v>
      </c>
      <c r="E13" s="58">
        <v>39.381556147893399</v>
      </c>
      <c r="F13" s="58">
        <v>0</v>
      </c>
      <c r="G13" s="58">
        <v>0</v>
      </c>
      <c r="H13" s="58">
        <v>0.607627199770708</v>
      </c>
      <c r="I13" s="58">
        <v>0.85649183147033503</v>
      </c>
      <c r="J13" s="58">
        <v>0</v>
      </c>
      <c r="K13" s="58">
        <v>149.71544754193999</v>
      </c>
    </row>
    <row r="14" spans="1:11" x14ac:dyDescent="0.25">
      <c r="A14" s="175" t="s">
        <v>61</v>
      </c>
      <c r="B14" s="58">
        <v>-0.129456001503714</v>
      </c>
      <c r="C14" s="58">
        <v>-9.7000000000000003E-2</v>
      </c>
      <c r="D14" s="58">
        <v>-21.164999999999999</v>
      </c>
      <c r="E14" s="58">
        <v>-4.8649527085124697</v>
      </c>
      <c r="F14" s="58">
        <v>0</v>
      </c>
      <c r="G14" s="58">
        <v>0</v>
      </c>
      <c r="H14" s="58">
        <v>-0.178425728479985</v>
      </c>
      <c r="I14" s="58">
        <v>-6.3649183147033499</v>
      </c>
      <c r="J14" s="58">
        <v>0</v>
      </c>
      <c r="K14" s="58">
        <v>-32.799752753199499</v>
      </c>
    </row>
    <row r="15" spans="1:11" x14ac:dyDescent="0.25">
      <c r="A15" s="175" t="s">
        <v>62</v>
      </c>
      <c r="B15" s="58">
        <v>0</v>
      </c>
      <c r="C15" s="58">
        <v>0</v>
      </c>
      <c r="D15" s="58">
        <v>-1.6180000000000001</v>
      </c>
      <c r="E15" s="58">
        <v>0</v>
      </c>
      <c r="F15" s="58">
        <v>0</v>
      </c>
      <c r="G15" s="58">
        <v>0</v>
      </c>
      <c r="H15" s="58">
        <v>0</v>
      </c>
      <c r="I15" s="58">
        <v>0</v>
      </c>
      <c r="J15" s="58">
        <v>0</v>
      </c>
      <c r="K15" s="58">
        <v>-5.9379999999999997</v>
      </c>
    </row>
    <row r="16" spans="1:11" x14ac:dyDescent="0.25">
      <c r="A16" s="175" t="s">
        <v>63</v>
      </c>
      <c r="B16" s="58">
        <v>0</v>
      </c>
      <c r="C16" s="58">
        <v>0</v>
      </c>
      <c r="D16" s="58">
        <v>-5.9379999999999997</v>
      </c>
      <c r="E16" s="58">
        <v>0</v>
      </c>
      <c r="F16" s="58">
        <v>0</v>
      </c>
      <c r="G16" s="58">
        <v>0</v>
      </c>
      <c r="H16" s="58">
        <v>0</v>
      </c>
      <c r="I16" s="58">
        <v>0</v>
      </c>
      <c r="J16" s="58">
        <v>0</v>
      </c>
      <c r="K16" s="58">
        <v>-1.6180000000000001</v>
      </c>
    </row>
    <row r="17" spans="1:11" x14ac:dyDescent="0.25">
      <c r="A17" s="175" t="s">
        <v>64</v>
      </c>
      <c r="B17" s="58">
        <v>0.114672336797846</v>
      </c>
      <c r="C17" s="58">
        <v>0.107</v>
      </c>
      <c r="D17" s="58">
        <v>-6.5000000000000002E-2</v>
      </c>
      <c r="E17" s="58">
        <v>0.50447579385934005</v>
      </c>
      <c r="F17" s="58">
        <v>0</v>
      </c>
      <c r="G17" s="58">
        <v>0</v>
      </c>
      <c r="H17" s="58">
        <v>0</v>
      </c>
      <c r="I17" s="58">
        <v>0</v>
      </c>
      <c r="J17" s="58">
        <v>0</v>
      </c>
      <c r="K17" s="58">
        <v>0.66114813065718603</v>
      </c>
    </row>
    <row r="18" spans="1:11" ht="15.75" x14ac:dyDescent="0.25">
      <c r="A18" s="358" t="s">
        <v>65</v>
      </c>
      <c r="B18" s="369">
        <v>8.7949886980995604</v>
      </c>
      <c r="C18" s="369">
        <v>59.756</v>
      </c>
      <c r="D18" s="369">
        <v>12.518000000000001</v>
      </c>
      <c r="E18" s="369">
        <v>35.040193592655598</v>
      </c>
      <c r="F18" s="369">
        <v>113.97587222178799</v>
      </c>
      <c r="G18" s="369">
        <v>7.1744464316423002</v>
      </c>
      <c r="H18" s="369">
        <v>18.052265163181701</v>
      </c>
      <c r="I18" s="369">
        <v>-5.5084264832330199</v>
      </c>
      <c r="J18" s="369">
        <v>0</v>
      </c>
      <c r="K18" s="369">
        <v>249.803339624134</v>
      </c>
    </row>
    <row r="19" spans="1:11" ht="15.75" x14ac:dyDescent="0.25">
      <c r="A19" s="360"/>
      <c r="B19" s="370"/>
      <c r="C19" s="370"/>
      <c r="D19" s="370"/>
      <c r="E19" s="370"/>
      <c r="F19" s="370"/>
      <c r="G19" s="370"/>
      <c r="H19" s="370"/>
      <c r="I19" s="370"/>
      <c r="J19" s="370"/>
      <c r="K19" s="370"/>
    </row>
    <row r="20" spans="1:11" x14ac:dyDescent="0.25">
      <c r="A20" s="175" t="s">
        <v>66</v>
      </c>
      <c r="B20" s="58">
        <v>0</v>
      </c>
      <c r="C20" s="58">
        <v>-0.32500000000000001</v>
      </c>
      <c r="D20" s="58">
        <v>0.25</v>
      </c>
      <c r="E20" s="58">
        <v>0</v>
      </c>
      <c r="F20" s="58">
        <v>0</v>
      </c>
      <c r="G20" s="58">
        <v>0</v>
      </c>
      <c r="H20" s="58">
        <v>0</v>
      </c>
      <c r="I20" s="58">
        <v>0</v>
      </c>
      <c r="J20" s="58">
        <v>0</v>
      </c>
      <c r="K20" s="58">
        <v>-7.4999999999999997E-2</v>
      </c>
    </row>
    <row r="21" spans="1:11" x14ac:dyDescent="0.25">
      <c r="A21" s="175" t="s">
        <v>67</v>
      </c>
      <c r="B21" s="58">
        <v>0.25449943513061202</v>
      </c>
      <c r="C21" s="58">
        <v>9.6000000000003596E-2</v>
      </c>
      <c r="D21" s="58">
        <v>1.90700000000001</v>
      </c>
      <c r="E21" s="58">
        <v>9.2719287991815895E-6</v>
      </c>
      <c r="F21" s="58">
        <v>0</v>
      </c>
      <c r="G21" s="58">
        <v>0</v>
      </c>
      <c r="H21" s="58">
        <v>2.3884589662749601E-5</v>
      </c>
      <c r="I21" s="58">
        <v>-9.6560619088564101E-2</v>
      </c>
      <c r="J21" s="58">
        <v>0</v>
      </c>
      <c r="K21" s="58">
        <v>2.1609719725605201</v>
      </c>
    </row>
    <row r="22" spans="1:11" x14ac:dyDescent="0.25">
      <c r="A22" s="175" t="s">
        <v>68</v>
      </c>
      <c r="B22" s="58">
        <v>2.8177717473010402</v>
      </c>
      <c r="C22" s="58">
        <v>0</v>
      </c>
      <c r="D22" s="58">
        <v>0.46200000000000002</v>
      </c>
      <c r="E22" s="58">
        <v>1.74883483201723</v>
      </c>
      <c r="F22" s="58">
        <v>113.97587222178799</v>
      </c>
      <c r="G22" s="58">
        <v>7.1744464316423002</v>
      </c>
      <c r="H22" s="58">
        <v>1.3081350912391301</v>
      </c>
      <c r="I22" s="58">
        <v>-47.166809974204597</v>
      </c>
      <c r="J22" s="58">
        <v>0</v>
      </c>
      <c r="K22" s="58">
        <v>80.320250349782995</v>
      </c>
    </row>
    <row r="23" spans="1:11" x14ac:dyDescent="0.25">
      <c r="A23" s="175" t="s">
        <v>69</v>
      </c>
      <c r="B23" s="58">
        <v>0.17574077042132399</v>
      </c>
      <c r="C23" s="58">
        <v>0</v>
      </c>
      <c r="D23" s="58">
        <v>0.24</v>
      </c>
      <c r="E23" s="58">
        <v>2.0854259827438901</v>
      </c>
      <c r="F23" s="58">
        <v>0</v>
      </c>
      <c r="G23" s="58">
        <v>0</v>
      </c>
      <c r="H23" s="58">
        <v>2.3690407948791399</v>
      </c>
      <c r="I23" s="58">
        <v>-1.4459157351676699</v>
      </c>
      <c r="J23" s="58">
        <v>-1.9220112484952701</v>
      </c>
      <c r="K23" s="58">
        <v>1.5022805643814201</v>
      </c>
    </row>
    <row r="24" spans="1:11" x14ac:dyDescent="0.25">
      <c r="A24" s="175" t="s">
        <v>70</v>
      </c>
      <c r="B24" s="58">
        <v>0.18260499999999999</v>
      </c>
      <c r="C24" s="58">
        <v>0</v>
      </c>
      <c r="D24" s="58">
        <v>7.0000000000000007E-2</v>
      </c>
      <c r="E24" s="58">
        <v>0.65908241891659503</v>
      </c>
      <c r="F24" s="58">
        <v>0</v>
      </c>
      <c r="G24" s="58">
        <v>0</v>
      </c>
      <c r="H24" s="58">
        <v>0.77558039552880498</v>
      </c>
      <c r="I24" s="58">
        <v>0</v>
      </c>
      <c r="J24" s="58">
        <v>-1.90296</v>
      </c>
      <c r="K24" s="58">
        <v>-0.21569218555460101</v>
      </c>
    </row>
    <row r="25" spans="1:11" x14ac:dyDescent="0.25">
      <c r="A25" s="175" t="s">
        <v>71</v>
      </c>
      <c r="B25" s="58">
        <v>0</v>
      </c>
      <c r="C25" s="58">
        <v>0</v>
      </c>
      <c r="D25" s="58">
        <v>0</v>
      </c>
      <c r="E25" s="58">
        <v>-6.3456577815993098E-3</v>
      </c>
      <c r="F25" s="58">
        <v>0</v>
      </c>
      <c r="G25" s="58">
        <v>0</v>
      </c>
      <c r="H25" s="58">
        <v>6.3533008502913903E-3</v>
      </c>
      <c r="I25" s="58">
        <v>0</v>
      </c>
      <c r="J25" s="58">
        <v>0</v>
      </c>
      <c r="K25" s="58">
        <v>7.6430686920796898E-6</v>
      </c>
    </row>
    <row r="26" spans="1:11" x14ac:dyDescent="0.25">
      <c r="A26" s="175" t="s">
        <v>72</v>
      </c>
      <c r="B26" s="58">
        <v>0</v>
      </c>
      <c r="C26" s="58">
        <v>61.207000000000001</v>
      </c>
      <c r="D26" s="58">
        <v>-60.67</v>
      </c>
      <c r="E26" s="58">
        <v>0</v>
      </c>
      <c r="F26" s="58">
        <v>0</v>
      </c>
      <c r="G26" s="58">
        <v>0</v>
      </c>
      <c r="H26" s="58">
        <v>0</v>
      </c>
      <c r="I26" s="58">
        <v>0</v>
      </c>
      <c r="J26" s="58">
        <v>0</v>
      </c>
      <c r="K26" s="58">
        <v>0.53699999999999903</v>
      </c>
    </row>
    <row r="27" spans="1:11" x14ac:dyDescent="0.25">
      <c r="A27" s="175" t="s">
        <v>74</v>
      </c>
      <c r="B27" s="58">
        <v>2.9093146706792798</v>
      </c>
      <c r="C27" s="58">
        <v>-1.222</v>
      </c>
      <c r="D27" s="58">
        <v>1.208</v>
      </c>
      <c r="E27" s="58">
        <v>0</v>
      </c>
      <c r="F27" s="58">
        <v>0</v>
      </c>
      <c r="G27" s="58">
        <v>0</v>
      </c>
      <c r="H27" s="58">
        <v>0</v>
      </c>
      <c r="I27" s="58">
        <v>0</v>
      </c>
      <c r="J27" s="58">
        <v>0</v>
      </c>
      <c r="K27" s="58">
        <v>2.8953146706792801</v>
      </c>
    </row>
    <row r="28" spans="1:11" x14ac:dyDescent="0.25">
      <c r="A28" s="175" t="s">
        <v>75</v>
      </c>
      <c r="B28" s="58">
        <v>1.0374988057705199</v>
      </c>
      <c r="C28" s="58">
        <v>0</v>
      </c>
      <c r="D28" s="58">
        <v>1.7969999999999999</v>
      </c>
      <c r="E28" s="58">
        <v>1.2420767288043999</v>
      </c>
      <c r="F28" s="58">
        <v>0</v>
      </c>
      <c r="G28" s="58">
        <v>0</v>
      </c>
      <c r="H28" s="58">
        <v>5.1017483519633103E-2</v>
      </c>
      <c r="I28" s="58">
        <v>2.7822871883060998</v>
      </c>
      <c r="J28" s="58">
        <v>5.6328571847727903E-2</v>
      </c>
      <c r="K28" s="58">
        <v>6.9662087782483901</v>
      </c>
    </row>
    <row r="29" spans="1:11" x14ac:dyDescent="0.25">
      <c r="A29" s="175" t="s">
        <v>76</v>
      </c>
      <c r="B29" s="58">
        <v>0</v>
      </c>
      <c r="C29" s="58">
        <v>0</v>
      </c>
      <c r="D29" s="58">
        <v>0</v>
      </c>
      <c r="E29" s="58">
        <v>0.46122098022356001</v>
      </c>
      <c r="F29" s="58">
        <v>0</v>
      </c>
      <c r="G29" s="58">
        <v>0</v>
      </c>
      <c r="H29" s="58">
        <v>0</v>
      </c>
      <c r="I29" s="58">
        <v>3.04359415305245</v>
      </c>
      <c r="J29" s="58">
        <v>0.80882690971625104</v>
      </c>
      <c r="K29" s="58">
        <v>4.3136420429922602</v>
      </c>
    </row>
    <row r="30" spans="1:11" ht="15.75" x14ac:dyDescent="0.25">
      <c r="A30" s="358" t="s">
        <v>77</v>
      </c>
      <c r="B30" s="369">
        <v>7.3774304293027697</v>
      </c>
      <c r="C30" s="369">
        <v>59.756</v>
      </c>
      <c r="D30" s="369">
        <v>-54.735999999999997</v>
      </c>
      <c r="E30" s="369">
        <v>6.1903045568528698</v>
      </c>
      <c r="F30" s="369">
        <v>113.97587222178799</v>
      </c>
      <c r="G30" s="369">
        <v>7.1744464316423002</v>
      </c>
      <c r="H30" s="369">
        <v>4.5101509506066702</v>
      </c>
      <c r="I30" s="369">
        <v>-42.883404987102303</v>
      </c>
      <c r="J30" s="369">
        <v>-2.9598157669312899</v>
      </c>
      <c r="K30" s="369">
        <v>98.404983836159005</v>
      </c>
    </row>
    <row r="31" spans="1:11" ht="15.75" x14ac:dyDescent="0.25">
      <c r="A31" s="360"/>
      <c r="B31" s="370"/>
      <c r="C31" s="370"/>
      <c r="D31" s="370"/>
      <c r="E31" s="370"/>
      <c r="F31" s="370"/>
      <c r="G31" s="370"/>
      <c r="H31" s="370"/>
      <c r="I31" s="370"/>
      <c r="J31" s="370"/>
      <c r="K31" s="370"/>
    </row>
    <row r="32" spans="1:11" ht="15.75" x14ac:dyDescent="0.25">
      <c r="A32" s="363" t="s">
        <v>78</v>
      </c>
      <c r="B32" s="58">
        <v>1.0493092649428299</v>
      </c>
      <c r="C32" s="58">
        <v>0</v>
      </c>
      <c r="D32" s="58">
        <v>2.3566094604778201</v>
      </c>
      <c r="E32" s="58">
        <v>10.2038364932448</v>
      </c>
      <c r="F32" s="58">
        <v>0</v>
      </c>
      <c r="G32" s="58">
        <v>0</v>
      </c>
      <c r="H32" s="58">
        <v>1.36555364478838</v>
      </c>
      <c r="I32" s="58">
        <v>10.069552160228</v>
      </c>
      <c r="J32" s="58">
        <v>1.1415347236508699</v>
      </c>
      <c r="K32" s="58">
        <v>25.9228167120731</v>
      </c>
    </row>
    <row r="33" spans="1:11" ht="15.75" x14ac:dyDescent="0.25">
      <c r="A33" s="363" t="s">
        <v>79</v>
      </c>
      <c r="B33" s="58">
        <v>0</v>
      </c>
      <c r="C33" s="58">
        <v>0</v>
      </c>
      <c r="D33" s="58">
        <v>39.807000000000002</v>
      </c>
      <c r="E33" s="58">
        <v>6.6215426095074303E-2</v>
      </c>
      <c r="F33" s="58">
        <v>0</v>
      </c>
      <c r="G33" s="58">
        <v>0</v>
      </c>
      <c r="H33" s="58">
        <v>2.9481554218018502</v>
      </c>
      <c r="I33" s="58">
        <v>0.94471195184866696</v>
      </c>
      <c r="J33" s="58">
        <v>0</v>
      </c>
      <c r="K33" s="58">
        <v>43.766082799745597</v>
      </c>
    </row>
    <row r="34" spans="1:11" x14ac:dyDescent="0.25">
      <c r="A34" s="175" t="s">
        <v>80</v>
      </c>
      <c r="B34" s="58">
        <v>3.6764196608413298E-2</v>
      </c>
      <c r="C34" s="58">
        <v>0</v>
      </c>
      <c r="D34" s="58">
        <v>6.6752954110546101</v>
      </c>
      <c r="E34" s="58">
        <v>11.7825435723501</v>
      </c>
      <c r="F34" s="58">
        <v>0</v>
      </c>
      <c r="G34" s="58">
        <v>0</v>
      </c>
      <c r="H34" s="58">
        <v>8.8384757709717601</v>
      </c>
      <c r="I34" s="58">
        <v>13.6203670581426</v>
      </c>
      <c r="J34" s="58">
        <v>1.21184436300186</v>
      </c>
      <c r="K34" s="58">
        <v>39.7338900814621</v>
      </c>
    </row>
    <row r="35" spans="1:11" x14ac:dyDescent="0.25">
      <c r="A35" s="175" t="s">
        <v>81</v>
      </c>
      <c r="B35" s="58">
        <v>4.3073392295861899E-2</v>
      </c>
      <c r="C35" s="58">
        <v>0</v>
      </c>
      <c r="D35" s="58">
        <v>3.01546564464017</v>
      </c>
      <c r="E35" s="58">
        <v>7.13877632922933</v>
      </c>
      <c r="F35" s="58">
        <v>0</v>
      </c>
      <c r="G35" s="58">
        <v>0</v>
      </c>
      <c r="H35" s="58">
        <v>0.896582440321125</v>
      </c>
      <c r="I35" s="58">
        <v>12.701365476499801</v>
      </c>
      <c r="J35" s="58">
        <v>0.710753475039681</v>
      </c>
      <c r="K35" s="58">
        <v>23.648731462262301</v>
      </c>
    </row>
    <row r="36" spans="1:11" x14ac:dyDescent="0.25">
      <c r="A36" s="175" t="s">
        <v>82</v>
      </c>
      <c r="B36" s="58">
        <v>2.2137192704974398E-3</v>
      </c>
      <c r="C36" s="58">
        <v>0</v>
      </c>
      <c r="D36" s="58">
        <v>3.371</v>
      </c>
      <c r="E36" s="58">
        <v>0.20038837309893301</v>
      </c>
      <c r="F36" s="58">
        <v>0</v>
      </c>
      <c r="G36" s="58">
        <v>0</v>
      </c>
      <c r="H36" s="58">
        <v>0.15947740517817899</v>
      </c>
      <c r="I36" s="58">
        <v>0.74651762682717104</v>
      </c>
      <c r="J36" s="58">
        <v>6.4536710533781398E-3</v>
      </c>
      <c r="K36" s="58">
        <v>4.4860507954281603</v>
      </c>
    </row>
    <row r="37" spans="1:11" ht="15.75" x14ac:dyDescent="0.25">
      <c r="A37" s="358" t="s">
        <v>83</v>
      </c>
      <c r="B37" s="369">
        <v>1.1313605731176</v>
      </c>
      <c r="C37" s="369">
        <v>0</v>
      </c>
      <c r="D37" s="369">
        <v>55.225370516172603</v>
      </c>
      <c r="E37" s="369">
        <v>29.3917601940182</v>
      </c>
      <c r="F37" s="369">
        <v>0</v>
      </c>
      <c r="G37" s="369">
        <v>0</v>
      </c>
      <c r="H37" s="369">
        <v>14.208244683061301</v>
      </c>
      <c r="I37" s="369">
        <v>38.082441502020501</v>
      </c>
      <c r="J37" s="369">
        <v>3.0705862327457898</v>
      </c>
      <c r="K37" s="369">
        <v>137.55757185097099</v>
      </c>
    </row>
    <row r="38" spans="1:11" x14ac:dyDescent="0.25">
      <c r="A38" s="175" t="s">
        <v>84</v>
      </c>
      <c r="B38" s="58">
        <v>0.30500413491505901</v>
      </c>
      <c r="C38" s="58">
        <v>0</v>
      </c>
      <c r="D38" s="58">
        <v>12.452999999999999</v>
      </c>
      <c r="E38" s="58">
        <v>1.1015862413247299</v>
      </c>
      <c r="F38" s="58">
        <v>0</v>
      </c>
      <c r="G38" s="58">
        <v>0</v>
      </c>
      <c r="H38" s="58">
        <v>0</v>
      </c>
      <c r="I38" s="58">
        <v>0</v>
      </c>
      <c r="J38" s="58">
        <v>0</v>
      </c>
      <c r="K38" s="58">
        <v>13.859590376239799</v>
      </c>
    </row>
    <row r="39" spans="1:11" ht="15.75" x14ac:dyDescent="0.25">
      <c r="A39" s="358" t="s">
        <v>85</v>
      </c>
      <c r="B39" s="369">
        <v>1.43636470803266</v>
      </c>
      <c r="C39" s="369">
        <v>0</v>
      </c>
      <c r="D39" s="369">
        <v>67.678370516172606</v>
      </c>
      <c r="E39" s="369">
        <v>30.493346435343</v>
      </c>
      <c r="F39" s="369">
        <v>0</v>
      </c>
      <c r="G39" s="369">
        <v>0</v>
      </c>
      <c r="H39" s="369">
        <v>14.208244683061301</v>
      </c>
      <c r="I39" s="369">
        <v>38.082441502020501</v>
      </c>
      <c r="J39" s="369">
        <v>3.0705862327457898</v>
      </c>
      <c r="K39" s="369">
        <v>151.41716222721101</v>
      </c>
    </row>
    <row r="40" spans="1:11" x14ac:dyDescent="0.25">
      <c r="A40"/>
      <c r="B40"/>
      <c r="C40"/>
      <c r="D40"/>
      <c r="E40"/>
      <c r="F40"/>
      <c r="G40"/>
      <c r="H40"/>
      <c r="I40"/>
      <c r="J40"/>
      <c r="K40"/>
    </row>
    <row r="41" spans="1:11" x14ac:dyDescent="0.25">
      <c r="A41"/>
      <c r="B41"/>
      <c r="C41"/>
      <c r="D41"/>
      <c r="E41"/>
      <c r="F41"/>
      <c r="G41"/>
      <c r="H41"/>
      <c r="I41"/>
      <c r="J41"/>
      <c r="K41"/>
    </row>
    <row r="42" spans="1:11" x14ac:dyDescent="0.25">
      <c r="A42"/>
      <c r="B42"/>
      <c r="C42"/>
      <c r="D42"/>
      <c r="E42"/>
      <c r="F42"/>
      <c r="G42"/>
      <c r="H42"/>
      <c r="I42"/>
      <c r="J42"/>
      <c r="K42"/>
    </row>
    <row r="43" spans="1:11" x14ac:dyDescent="0.25">
      <c r="A43"/>
      <c r="B43"/>
      <c r="C43"/>
      <c r="D43"/>
      <c r="E43"/>
      <c r="F43"/>
      <c r="G43"/>
      <c r="H43"/>
      <c r="I43"/>
      <c r="J43"/>
      <c r="K43"/>
    </row>
    <row r="44" spans="1:11" x14ac:dyDescent="0.25">
      <c r="A44"/>
      <c r="B44"/>
      <c r="C44"/>
      <c r="D44"/>
      <c r="E44"/>
      <c r="F44"/>
      <c r="G44"/>
      <c r="H44"/>
      <c r="I44"/>
      <c r="J44"/>
      <c r="K44"/>
    </row>
    <row r="45" spans="1:11" x14ac:dyDescent="0.25">
      <c r="A45"/>
      <c r="B45"/>
      <c r="C45"/>
      <c r="D45"/>
      <c r="E45"/>
      <c r="F45"/>
      <c r="G45"/>
      <c r="H45"/>
      <c r="I45"/>
      <c r="J45"/>
      <c r="K45"/>
    </row>
    <row r="46" spans="1:11" x14ac:dyDescent="0.25">
      <c r="A46"/>
      <c r="B46"/>
      <c r="C46"/>
      <c r="D46"/>
      <c r="E46"/>
      <c r="F46"/>
      <c r="G46"/>
      <c r="H46"/>
      <c r="I46"/>
      <c r="J46"/>
      <c r="K46"/>
    </row>
    <row r="47" spans="1:11" x14ac:dyDescent="0.25">
      <c r="A47"/>
      <c r="B47"/>
      <c r="C47"/>
      <c r="D47"/>
      <c r="E47"/>
      <c r="F47"/>
      <c r="G47"/>
      <c r="H47"/>
      <c r="I47"/>
      <c r="J47"/>
      <c r="K47"/>
    </row>
    <row r="48" spans="1:11" x14ac:dyDescent="0.25">
      <c r="A48"/>
      <c r="B48"/>
      <c r="C48"/>
      <c r="D48"/>
      <c r="E48"/>
      <c r="F48"/>
      <c r="G48"/>
      <c r="H48"/>
      <c r="I48"/>
      <c r="J48"/>
      <c r="K48"/>
    </row>
    <row r="49" spans="1:12" x14ac:dyDescent="0.25">
      <c r="A49"/>
      <c r="B49"/>
      <c r="C49"/>
      <c r="D49"/>
      <c r="E49"/>
      <c r="F49"/>
      <c r="G49"/>
      <c r="H49"/>
      <c r="I49"/>
      <c r="J49"/>
      <c r="K49"/>
    </row>
    <row r="50" spans="1:12" ht="15.75" x14ac:dyDescent="0.25">
      <c r="A50" s="237" t="s">
        <v>86</v>
      </c>
      <c r="B50" s="239"/>
      <c r="C50" s="239"/>
      <c r="D50" s="239"/>
      <c r="E50" s="239"/>
      <c r="F50" s="239"/>
      <c r="G50" s="238"/>
      <c r="H50" s="239"/>
      <c r="I50" s="239"/>
      <c r="J50" s="239"/>
      <c r="K50" s="239"/>
    </row>
    <row r="51" spans="1:12" x14ac:dyDescent="0.25">
      <c r="A51"/>
      <c r="B51"/>
      <c r="C51"/>
      <c r="D51"/>
      <c r="E51"/>
      <c r="F51"/>
      <c r="G51"/>
      <c r="H51"/>
      <c r="I51"/>
      <c r="J51"/>
      <c r="K51"/>
    </row>
    <row r="52" spans="1:12" x14ac:dyDescent="0.25">
      <c r="A52"/>
      <c r="B52"/>
      <c r="C52"/>
      <c r="D52"/>
      <c r="E52"/>
      <c r="F52"/>
      <c r="G52"/>
      <c r="H52"/>
      <c r="I52"/>
      <c r="J52"/>
      <c r="K52"/>
    </row>
    <row r="53" spans="1:12" ht="60" x14ac:dyDescent="0.25">
      <c r="A53" s="352"/>
      <c r="B53" s="353" t="s">
        <v>42</v>
      </c>
      <c r="C53" s="353" t="s">
        <v>52</v>
      </c>
      <c r="D53" s="353" t="s">
        <v>53</v>
      </c>
      <c r="E53" s="353" t="s">
        <v>32</v>
      </c>
      <c r="F53" s="353" t="s">
        <v>20</v>
      </c>
      <c r="G53" s="353" t="s">
        <v>55</v>
      </c>
      <c r="H53" s="353" t="s">
        <v>56</v>
      </c>
      <c r="I53" s="353" t="s">
        <v>57</v>
      </c>
      <c r="J53" s="353" t="s">
        <v>58</v>
      </c>
      <c r="K53" s="353" t="s">
        <v>10</v>
      </c>
    </row>
    <row r="54" spans="1:12" ht="15.75" x14ac:dyDescent="0.25">
      <c r="A54" s="354"/>
      <c r="B54" s="355"/>
      <c r="C54" s="355"/>
      <c r="D54" s="355"/>
      <c r="E54" s="355"/>
      <c r="F54" s="355"/>
      <c r="G54" s="355"/>
      <c r="H54" s="355"/>
      <c r="I54" s="355"/>
      <c r="J54" s="355"/>
      <c r="K54" s="355"/>
    </row>
    <row r="55" spans="1:12" x14ac:dyDescent="0.25">
      <c r="A55" s="175" t="s">
        <v>59</v>
      </c>
      <c r="B55" s="356">
        <v>0</v>
      </c>
      <c r="C55" s="356">
        <v>0.99</v>
      </c>
      <c r="D55" s="356">
        <v>0</v>
      </c>
      <c r="E55" s="356">
        <v>1.9114359415305201E-2</v>
      </c>
      <c r="F55" s="357" t="e">
        <f>(#REF!*#REF!/11.63)/0.32</f>
        <v>#REF!</v>
      </c>
      <c r="G55" s="357" t="e">
        <f>#REF!+#REF!+#REF!+#REF!+#REF!+#REF!+#REF!+#REF!+#REF!+#REF!</f>
        <v>#REF!</v>
      </c>
      <c r="H55" s="356">
        <v>19.5</v>
      </c>
      <c r="I55" s="63"/>
      <c r="J55" s="63"/>
      <c r="K55" s="63" t="e">
        <f>SUM(B55:J55)</f>
        <v>#REF!</v>
      </c>
    </row>
    <row r="56" spans="1:12" x14ac:dyDescent="0.25">
      <c r="A56" s="175" t="s">
        <v>60</v>
      </c>
      <c r="B56" s="356">
        <v>6.4924118618689102</v>
      </c>
      <c r="C56" s="356">
        <v>47.61</v>
      </c>
      <c r="D56" s="356">
        <v>27.384867924416699</v>
      </c>
      <c r="E56" s="356">
        <v>37.355717818532703</v>
      </c>
      <c r="F56" s="63"/>
      <c r="G56" s="63"/>
      <c r="H56" s="63">
        <v>0</v>
      </c>
      <c r="I56" s="63">
        <v>0</v>
      </c>
      <c r="J56" s="63"/>
      <c r="K56" s="63">
        <v>118.842997604818</v>
      </c>
    </row>
    <row r="57" spans="1:12" x14ac:dyDescent="0.25">
      <c r="A57" s="175" t="s">
        <v>61</v>
      </c>
      <c r="B57" s="356">
        <v>0</v>
      </c>
      <c r="C57" s="356">
        <v>0</v>
      </c>
      <c r="D57" s="356">
        <v>0</v>
      </c>
      <c r="E57" s="356">
        <v>0</v>
      </c>
      <c r="F57" s="63"/>
      <c r="G57" s="63"/>
      <c r="H57" s="356">
        <v>-1.5623381645663099</v>
      </c>
      <c r="I57" s="406">
        <f>I73+I82</f>
        <v>-3.3884524479433509</v>
      </c>
      <c r="J57" s="63"/>
      <c r="K57" s="63">
        <v>-6.2580284456997202</v>
      </c>
    </row>
    <row r="58" spans="1:12" x14ac:dyDescent="0.25">
      <c r="A58" s="175" t="s">
        <v>62</v>
      </c>
      <c r="B58" s="356"/>
      <c r="C58" s="356"/>
      <c r="D58" s="356">
        <v>-1.4</v>
      </c>
      <c r="E58" s="356"/>
      <c r="F58" s="63"/>
      <c r="G58" s="63"/>
      <c r="H58" s="63"/>
      <c r="I58" s="63"/>
      <c r="J58" s="63"/>
      <c r="K58" s="63">
        <v>-1.4</v>
      </c>
    </row>
    <row r="59" spans="1:12" x14ac:dyDescent="0.25">
      <c r="A59" s="175" t="s">
        <v>63</v>
      </c>
      <c r="B59" s="356"/>
      <c r="C59" s="356"/>
      <c r="D59" s="356">
        <v>-6.3128842627624397</v>
      </c>
      <c r="E59" s="356"/>
      <c r="F59" s="63"/>
      <c r="G59" s="63"/>
      <c r="H59" s="63"/>
      <c r="I59" s="63"/>
      <c r="J59" s="63"/>
      <c r="K59" s="63">
        <v>-6.3128842627624397</v>
      </c>
    </row>
    <row r="60" spans="1:12" x14ac:dyDescent="0.25">
      <c r="A60" s="175" t="s">
        <v>64</v>
      </c>
      <c r="B60" s="356"/>
      <c r="C60" s="356"/>
      <c r="D60" s="356"/>
      <c r="E60" s="356"/>
      <c r="F60" s="63"/>
      <c r="G60" s="63"/>
      <c r="H60" s="63"/>
      <c r="I60" s="63"/>
      <c r="J60" s="63"/>
      <c r="K60" s="63">
        <v>0</v>
      </c>
    </row>
    <row r="61" spans="1:12" ht="15.75" x14ac:dyDescent="0.25">
      <c r="A61" s="358" t="s">
        <v>65</v>
      </c>
      <c r="B61" s="359">
        <v>6.4924118618689102</v>
      </c>
      <c r="C61" s="359">
        <v>48.6</v>
      </c>
      <c r="D61" s="359">
        <v>19.671983661654199</v>
      </c>
      <c r="E61" s="359">
        <v>37.374832177948001</v>
      </c>
      <c r="F61" s="359">
        <v>0</v>
      </c>
      <c r="G61" s="359">
        <v>0</v>
      </c>
      <c r="H61" s="359">
        <v>17.937661835433701</v>
      </c>
      <c r="I61" s="359">
        <f>SUM(I55:I60)</f>
        <v>-3.3884524479433509</v>
      </c>
      <c r="J61" s="359">
        <v>0</v>
      </c>
      <c r="K61" s="359">
        <v>125.38119925577099</v>
      </c>
      <c r="L61" s="405">
        <f>K61-K57</f>
        <v>131.6392277014707</v>
      </c>
    </row>
    <row r="62" spans="1:12" ht="15.75" x14ac:dyDescent="0.25">
      <c r="A62" s="360"/>
      <c r="B62" s="361"/>
      <c r="C62" s="361"/>
      <c r="D62" s="361"/>
      <c r="E62" s="361"/>
      <c r="F62" s="361"/>
      <c r="G62" s="361"/>
      <c r="H62" s="361"/>
      <c r="I62" s="361"/>
      <c r="J62" s="361"/>
      <c r="K62" s="361"/>
    </row>
    <row r="63" spans="1:12" x14ac:dyDescent="0.25">
      <c r="A63" s="175" t="s">
        <v>66</v>
      </c>
      <c r="B63" s="356"/>
      <c r="C63" s="356"/>
      <c r="D63" s="356"/>
      <c r="E63" s="356"/>
      <c r="F63" s="63"/>
      <c r="G63" s="63"/>
      <c r="H63" s="63"/>
      <c r="I63" s="63"/>
      <c r="J63" s="63"/>
      <c r="K63" s="63">
        <v>0</v>
      </c>
    </row>
    <row r="64" spans="1:12" x14ac:dyDescent="0.25">
      <c r="A64" s="175" t="s">
        <v>67</v>
      </c>
      <c r="B64" s="356"/>
      <c r="C64" s="356"/>
      <c r="D64" s="356"/>
      <c r="E64" s="356"/>
      <c r="F64" s="63"/>
      <c r="G64" s="63"/>
      <c r="H64" s="356"/>
      <c r="I64" s="356"/>
      <c r="J64" s="63"/>
      <c r="K64" s="63">
        <v>0</v>
      </c>
    </row>
    <row r="65" spans="1:11" x14ac:dyDescent="0.25">
      <c r="A65" s="175" t="s">
        <v>68</v>
      </c>
      <c r="B65" s="407">
        <f>'Mix énergie_2015'!D15*'Mix énergie_2015'!L15/11.63/0.25</f>
        <v>2.5795356835769558</v>
      </c>
      <c r="C65" s="407">
        <f>'Mix énergie_2015'!E15*'Mix énergie_2015'!L15/11.63/0.25</f>
        <v>0</v>
      </c>
      <c r="D65" s="407"/>
      <c r="E65" s="407">
        <f>'Mix énergie_2015'!G15*'Mix énergie_2015'!L15/11.63/0.51</f>
        <v>4.1474887461433418</v>
      </c>
      <c r="F65" s="362" t="e">
        <f>F55</f>
        <v>#REF!</v>
      </c>
      <c r="G65" s="362" t="e">
        <f>G55</f>
        <v>#REF!</v>
      </c>
      <c r="H65" s="407">
        <f>'Mix énergie_2015'!K15*'Mix énergie_2015'!L15/11.63/0.31</f>
        <v>2.7736942834160816</v>
      </c>
      <c r="I65" s="407">
        <f>-'Mix énergie_2015'!L15/11.63</f>
        <v>-47.987962166809972</v>
      </c>
      <c r="J65" s="63"/>
      <c r="K65" s="63" t="e">
        <f>SUM(B65:J65)</f>
        <v>#REF!</v>
      </c>
    </row>
    <row r="66" spans="1:11" x14ac:dyDescent="0.25">
      <c r="A66" s="175" t="s">
        <v>69</v>
      </c>
      <c r="B66" s="356"/>
      <c r="C66" s="356"/>
      <c r="D66" s="356"/>
      <c r="E66" s="356"/>
      <c r="F66" s="63"/>
      <c r="G66" s="63"/>
      <c r="H66" s="356"/>
      <c r="I66" s="356"/>
      <c r="J66" s="63"/>
      <c r="K66" s="63">
        <v>0</v>
      </c>
    </row>
    <row r="67" spans="1:11" x14ac:dyDescent="0.25">
      <c r="A67" s="175" t="s">
        <v>70</v>
      </c>
      <c r="B67" s="356">
        <v>0.21713387712283699</v>
      </c>
      <c r="C67" s="356"/>
      <c r="D67" s="356">
        <v>5.48846849383424E-2</v>
      </c>
      <c r="E67" s="356">
        <v>1.4546665535205101</v>
      </c>
      <c r="F67" s="63"/>
      <c r="G67" s="63"/>
      <c r="H67" s="356">
        <v>1.2389026049198599</v>
      </c>
      <c r="I67" s="356"/>
      <c r="J67" s="63">
        <v>2.69093256169241</v>
      </c>
      <c r="K67" s="63">
        <v>5.6565202821939504</v>
      </c>
    </row>
    <row r="68" spans="1:11" x14ac:dyDescent="0.25">
      <c r="A68" s="175" t="s">
        <v>71</v>
      </c>
      <c r="B68" s="356"/>
      <c r="C68" s="356"/>
      <c r="D68" s="356"/>
      <c r="E68" s="356"/>
      <c r="F68" s="63"/>
      <c r="G68" s="63"/>
      <c r="H68" s="356"/>
      <c r="I68" s="356"/>
      <c r="J68" s="63"/>
      <c r="K68" s="63">
        <v>0</v>
      </c>
    </row>
    <row r="69" spans="1:11" x14ac:dyDescent="0.25">
      <c r="A69" s="175" t="s">
        <v>72</v>
      </c>
      <c r="B69" s="356"/>
      <c r="C69" s="356">
        <v>48.6</v>
      </c>
      <c r="D69" s="356">
        <v>-46.5</v>
      </c>
      <c r="E69" s="356">
        <v>0.7</v>
      </c>
      <c r="F69" s="63"/>
      <c r="G69" s="63"/>
      <c r="H69" s="356"/>
      <c r="I69" s="356"/>
      <c r="J69" s="63"/>
      <c r="K69" s="63">
        <v>2.8</v>
      </c>
    </row>
    <row r="70" spans="1:11" x14ac:dyDescent="0.25">
      <c r="A70" s="175" t="s">
        <v>74</v>
      </c>
      <c r="B70" s="356">
        <v>2.8917000000000002</v>
      </c>
      <c r="C70" s="356"/>
      <c r="D70" s="356"/>
      <c r="E70" s="356"/>
      <c r="F70" s="63"/>
      <c r="G70" s="63"/>
      <c r="H70" s="356"/>
      <c r="I70" s="356"/>
      <c r="J70" s="63"/>
      <c r="K70" s="63">
        <v>2.8917000000000002</v>
      </c>
    </row>
    <row r="71" spans="1:11" x14ac:dyDescent="0.25">
      <c r="A71" s="175" t="s">
        <v>75</v>
      </c>
      <c r="B71" s="356">
        <v>1.0374988057705199</v>
      </c>
      <c r="C71" s="356"/>
      <c r="D71" s="356">
        <v>1.7969999999999999</v>
      </c>
      <c r="E71" s="356">
        <v>1.2420767288043999</v>
      </c>
      <c r="F71" s="63" t="e">
        <f>F55*(1-0.32)</f>
        <v>#REF!</v>
      </c>
      <c r="G71" s="63"/>
      <c r="H71" s="356">
        <v>5.1017483519633103E-2</v>
      </c>
      <c r="I71" s="356">
        <v>2.7822871883060998</v>
      </c>
      <c r="J71" s="63"/>
      <c r="K71" s="63">
        <v>6.9098802064006604</v>
      </c>
    </row>
    <row r="72" spans="1:11" x14ac:dyDescent="0.25">
      <c r="A72" s="175" t="s">
        <v>76</v>
      </c>
      <c r="B72" s="356"/>
      <c r="C72" s="356"/>
      <c r="D72" s="356"/>
      <c r="E72" s="356">
        <v>0.47010684579952999</v>
      </c>
      <c r="F72" s="63"/>
      <c r="G72" s="63"/>
      <c r="H72" s="356"/>
      <c r="I72" s="356">
        <v>3.07048500216422</v>
      </c>
      <c r="J72" s="63"/>
      <c r="K72" s="63">
        <v>3.5405918479637499</v>
      </c>
    </row>
    <row r="73" spans="1:11" ht="15.75" x14ac:dyDescent="0.25">
      <c r="A73" s="358" t="s">
        <v>77</v>
      </c>
      <c r="B73" s="359">
        <f t="shared" ref="B73:H73" si="0">SUM(B63:B72)</f>
        <v>6.7258683664703129</v>
      </c>
      <c r="C73" s="359">
        <f t="shared" si="0"/>
        <v>48.6</v>
      </c>
      <c r="D73" s="359">
        <f t="shared" si="0"/>
        <v>-44.648115315061659</v>
      </c>
      <c r="E73" s="359">
        <f t="shared" si="0"/>
        <v>8.0143388742677821</v>
      </c>
      <c r="F73" s="359" t="e">
        <f t="shared" si="0"/>
        <v>#REF!</v>
      </c>
      <c r="G73" s="359" t="e">
        <f t="shared" si="0"/>
        <v>#REF!</v>
      </c>
      <c r="H73" s="359">
        <f t="shared" si="0"/>
        <v>4.0636143718555751</v>
      </c>
      <c r="I73" s="359">
        <f>SUM(I63:I72)</f>
        <v>-42.135189976339653</v>
      </c>
      <c r="J73" s="359">
        <f t="shared" ref="J73:K73" si="1">SUM(J63:J72)</f>
        <v>2.69093256169241</v>
      </c>
      <c r="K73" s="359" t="e">
        <f t="shared" si="1"/>
        <v>#REF!</v>
      </c>
    </row>
    <row r="74" spans="1:11" ht="15.75" x14ac:dyDescent="0.25">
      <c r="A74" s="360"/>
      <c r="B74" s="361"/>
      <c r="C74" s="361"/>
      <c r="D74" s="361"/>
      <c r="E74" s="361"/>
      <c r="F74" s="361"/>
      <c r="G74" s="361"/>
      <c r="H74" s="361"/>
      <c r="I74" s="361"/>
      <c r="J74" s="361"/>
      <c r="K74" s="361"/>
    </row>
    <row r="75" spans="1:11" ht="15.75" x14ac:dyDescent="0.25">
      <c r="A75" s="363" t="s">
        <v>78</v>
      </c>
      <c r="B75" s="356">
        <v>0.34460926494283001</v>
      </c>
      <c r="C75" s="63"/>
      <c r="D75" s="356">
        <v>1.6824094604778199</v>
      </c>
      <c r="E75" s="356">
        <v>11.162255863946999</v>
      </c>
      <c r="F75" s="63"/>
      <c r="G75" s="63"/>
      <c r="H75" s="356">
        <v>2.21443427408621</v>
      </c>
      <c r="I75" s="356">
        <v>10.361652160227999</v>
      </c>
      <c r="J75" s="356">
        <v>0.73743472365086704</v>
      </c>
      <c r="K75" s="63">
        <v>26.502795747332701</v>
      </c>
    </row>
    <row r="76" spans="1:11" ht="15.75" x14ac:dyDescent="0.25">
      <c r="A76" s="363" t="s">
        <v>79</v>
      </c>
      <c r="B76" s="63"/>
      <c r="C76" s="63"/>
      <c r="D76" s="356">
        <v>38.466254560000003</v>
      </c>
      <c r="E76" s="356">
        <v>7.6411998210945506E-2</v>
      </c>
      <c r="F76" s="63"/>
      <c r="G76" s="63"/>
      <c r="H76" s="356">
        <v>3.6461042896859799</v>
      </c>
      <c r="I76" s="356">
        <v>1.1990119518486699</v>
      </c>
      <c r="J76" s="356">
        <v>0</v>
      </c>
      <c r="K76" s="63">
        <v>43.387782799745601</v>
      </c>
    </row>
    <row r="77" spans="1:11" x14ac:dyDescent="0.25">
      <c r="A77" s="175" t="s">
        <v>80</v>
      </c>
      <c r="B77" s="356">
        <v>0</v>
      </c>
      <c r="C77" s="63"/>
      <c r="D77" s="356">
        <v>5.3179954110546097</v>
      </c>
      <c r="E77" s="356">
        <v>9.4612008749007703</v>
      </c>
      <c r="F77" s="63"/>
      <c r="G77" s="63"/>
      <c r="H77" s="356">
        <v>9.6645163701542103</v>
      </c>
      <c r="I77" s="356">
        <v>13.284467058142599</v>
      </c>
      <c r="J77" s="356">
        <v>1.3282443630018601</v>
      </c>
      <c r="K77" s="63">
        <v>39.0564240772541</v>
      </c>
    </row>
    <row r="78" spans="1:11" x14ac:dyDescent="0.25">
      <c r="A78" s="175" t="s">
        <v>81</v>
      </c>
      <c r="B78" s="356">
        <v>0</v>
      </c>
      <c r="C78" s="63"/>
      <c r="D78" s="356">
        <v>2.5563656446401701</v>
      </c>
      <c r="E78" s="356">
        <v>6.7347370383486203</v>
      </c>
      <c r="F78" s="63"/>
      <c r="G78" s="63"/>
      <c r="H78" s="356">
        <v>0.96062076724509604</v>
      </c>
      <c r="I78" s="356">
        <v>13.178365476499801</v>
      </c>
      <c r="J78" s="356">
        <v>0.62525347503968098</v>
      </c>
      <c r="K78" s="63">
        <v>24.055342401773299</v>
      </c>
    </row>
    <row r="79" spans="1:11" x14ac:dyDescent="0.25">
      <c r="A79" s="175" t="s">
        <v>82</v>
      </c>
      <c r="B79" s="356">
        <v>2.2137192704974398E-3</v>
      </c>
      <c r="C79" s="63"/>
      <c r="D79" s="356">
        <v>3.2913790892055199</v>
      </c>
      <c r="E79" s="356">
        <v>0.197127474158172</v>
      </c>
      <c r="F79" s="63"/>
      <c r="G79" s="63"/>
      <c r="H79" s="356">
        <v>0.16206604582270401</v>
      </c>
      <c r="I79" s="356">
        <v>0.723240881677221</v>
      </c>
      <c r="J79" s="356">
        <v>6.4536710533781398E-3</v>
      </c>
      <c r="K79" s="63">
        <v>4.3824808811875</v>
      </c>
    </row>
    <row r="80" spans="1:11" ht="15.75" x14ac:dyDescent="0.25">
      <c r="A80" s="358" t="s">
        <v>83</v>
      </c>
      <c r="B80" s="359">
        <v>0.34682298421332702</v>
      </c>
      <c r="C80" s="359">
        <v>0</v>
      </c>
      <c r="D80" s="359">
        <v>51.3144041653781</v>
      </c>
      <c r="E80" s="359">
        <v>27.631733249565499</v>
      </c>
      <c r="F80" s="359">
        <v>0</v>
      </c>
      <c r="G80" s="359">
        <v>0</v>
      </c>
      <c r="H80" s="359">
        <v>16.6477417469942</v>
      </c>
      <c r="I80" s="359">
        <v>38.746737528396302</v>
      </c>
      <c r="J80" s="359">
        <v>2.69738623274579</v>
      </c>
      <c r="K80" s="359">
        <v>137.38482590729299</v>
      </c>
    </row>
    <row r="81" spans="1:11" x14ac:dyDescent="0.25">
      <c r="A81" s="175" t="s">
        <v>84</v>
      </c>
      <c r="B81" s="63">
        <v>0.32686044561077698</v>
      </c>
      <c r="C81" s="63"/>
      <c r="D81" s="364">
        <v>13.005694811337801</v>
      </c>
      <c r="E81" s="364">
        <v>1.10724474305145</v>
      </c>
      <c r="F81" s="63"/>
      <c r="G81" s="63"/>
      <c r="H81" s="63"/>
      <c r="I81" s="63"/>
      <c r="J81" s="63"/>
      <c r="K81" s="63">
        <v>14.4398</v>
      </c>
    </row>
    <row r="82" spans="1:11" ht="15.75" x14ac:dyDescent="0.25">
      <c r="A82" s="358" t="s">
        <v>85</v>
      </c>
      <c r="B82" s="359">
        <v>0.67368342982410501</v>
      </c>
      <c r="C82" s="359">
        <v>0</v>
      </c>
      <c r="D82" s="359">
        <v>64.320098976715897</v>
      </c>
      <c r="E82" s="359">
        <v>28.738977992616999</v>
      </c>
      <c r="F82" s="359">
        <v>0</v>
      </c>
      <c r="G82" s="359">
        <v>0</v>
      </c>
      <c r="H82" s="359">
        <v>16.6477417469942</v>
      </c>
      <c r="I82" s="359">
        <v>38.746737528396302</v>
      </c>
      <c r="J82" s="359">
        <v>2.69738623274579</v>
      </c>
      <c r="K82" s="359">
        <v>151.82462590729301</v>
      </c>
    </row>
    <row r="83" spans="1:11" x14ac:dyDescent="0.25">
      <c r="A83"/>
      <c r="B83"/>
      <c r="C83"/>
      <c r="D83"/>
      <c r="E83"/>
      <c r="F83"/>
      <c r="G83"/>
      <c r="H83"/>
      <c r="I83"/>
      <c r="J83"/>
      <c r="K83"/>
    </row>
    <row r="84" spans="1:11" x14ac:dyDescent="0.25">
      <c r="A84"/>
      <c r="B84"/>
      <c r="C84"/>
      <c r="D84"/>
      <c r="E84"/>
      <c r="F84"/>
      <c r="G84"/>
      <c r="H84"/>
      <c r="I84"/>
      <c r="J84"/>
      <c r="K84"/>
    </row>
    <row r="85" spans="1:11" x14ac:dyDescent="0.25">
      <c r="A85"/>
      <c r="B85"/>
      <c r="C85"/>
      <c r="D85"/>
      <c r="E85"/>
      <c r="F85"/>
      <c r="G85"/>
      <c r="H85"/>
      <c r="I85"/>
      <c r="J85"/>
      <c r="K85"/>
    </row>
    <row r="86" spans="1:11" x14ac:dyDescent="0.25">
      <c r="A86"/>
      <c r="B86"/>
      <c r="C86"/>
      <c r="D86"/>
      <c r="E86"/>
      <c r="F86"/>
      <c r="G86"/>
      <c r="H86"/>
      <c r="I86"/>
      <c r="J86"/>
      <c r="K86"/>
    </row>
    <row r="87" spans="1:11" x14ac:dyDescent="0.25">
      <c r="A87"/>
      <c r="B87"/>
      <c r="C87"/>
      <c r="D87"/>
      <c r="E87"/>
      <c r="F87"/>
      <c r="G87"/>
      <c r="H87"/>
      <c r="I87"/>
      <c r="J87"/>
      <c r="K87"/>
    </row>
    <row r="88" spans="1:11" x14ac:dyDescent="0.25">
      <c r="A88"/>
      <c r="B88"/>
      <c r="C88"/>
      <c r="D88"/>
      <c r="E88"/>
      <c r="F88"/>
      <c r="G88"/>
      <c r="H88"/>
      <c r="I88"/>
      <c r="J88"/>
      <c r="K88"/>
    </row>
    <row r="89" spans="1:11" x14ac:dyDescent="0.25">
      <c r="A89"/>
      <c r="B89"/>
      <c r="C89"/>
      <c r="D89"/>
      <c r="E89"/>
      <c r="F89"/>
      <c r="G89"/>
      <c r="H89"/>
      <c r="I89"/>
      <c r="J89"/>
      <c r="K89"/>
    </row>
    <row r="90" spans="1:11" x14ac:dyDescent="0.25">
      <c r="A90"/>
      <c r="B90"/>
      <c r="C90"/>
      <c r="D90"/>
      <c r="E90"/>
      <c r="F90"/>
      <c r="G90"/>
      <c r="H90"/>
      <c r="I90"/>
      <c r="J90"/>
      <c r="K90"/>
    </row>
    <row r="91" spans="1:11" x14ac:dyDescent="0.25">
      <c r="A91"/>
      <c r="B91"/>
      <c r="C91"/>
      <c r="D91"/>
      <c r="E91"/>
      <c r="F91"/>
      <c r="G91"/>
      <c r="H91"/>
      <c r="I91"/>
      <c r="J91"/>
      <c r="K91"/>
    </row>
    <row r="92" spans="1:11" x14ac:dyDescent="0.25">
      <c r="A92"/>
      <c r="B92"/>
      <c r="C92"/>
      <c r="D92"/>
      <c r="E92"/>
      <c r="F92"/>
      <c r="G92"/>
      <c r="H92"/>
      <c r="I92"/>
      <c r="J92"/>
      <c r="K92"/>
    </row>
    <row r="93" spans="1:11" ht="15.75" x14ac:dyDescent="0.25">
      <c r="A93" s="237" t="s">
        <v>87</v>
      </c>
      <c r="B93" s="239"/>
      <c r="C93" s="239"/>
      <c r="D93" s="239"/>
      <c r="E93" s="239"/>
      <c r="F93" s="239"/>
      <c r="G93" s="238"/>
      <c r="H93" s="239"/>
      <c r="I93" s="239"/>
      <c r="J93" s="239"/>
      <c r="K93" s="239"/>
    </row>
    <row r="94" spans="1:11" x14ac:dyDescent="0.25">
      <c r="A94"/>
      <c r="B94"/>
      <c r="C94"/>
      <c r="D94"/>
      <c r="E94"/>
      <c r="F94"/>
      <c r="G94"/>
      <c r="H94"/>
      <c r="I94"/>
      <c r="J94"/>
      <c r="K94"/>
    </row>
    <row r="95" spans="1:11" x14ac:dyDescent="0.25">
      <c r="A95"/>
      <c r="B95"/>
      <c r="C95"/>
      <c r="D95"/>
      <c r="E95"/>
      <c r="F95"/>
      <c r="G95"/>
      <c r="H95"/>
      <c r="I95"/>
      <c r="J95"/>
      <c r="K95"/>
    </row>
    <row r="96" spans="1:11" ht="60" x14ac:dyDescent="0.25">
      <c r="A96" s="352"/>
      <c r="B96" s="353" t="s">
        <v>42</v>
      </c>
      <c r="C96" s="353" t="s">
        <v>52</v>
      </c>
      <c r="D96" s="353" t="s">
        <v>53</v>
      </c>
      <c r="E96" s="353" t="s">
        <v>32</v>
      </c>
      <c r="F96" s="353" t="s">
        <v>20</v>
      </c>
      <c r="G96" s="353" t="s">
        <v>55</v>
      </c>
      <c r="H96" s="353" t="s">
        <v>56</v>
      </c>
      <c r="I96" s="353" t="s">
        <v>57</v>
      </c>
      <c r="J96" s="353" t="s">
        <v>58</v>
      </c>
      <c r="K96" s="353" t="s">
        <v>10</v>
      </c>
    </row>
    <row r="97" spans="1:11" ht="15.75" x14ac:dyDescent="0.25">
      <c r="A97" s="354"/>
      <c r="B97" s="355"/>
      <c r="C97" s="355"/>
      <c r="D97" s="355"/>
      <c r="E97" s="355"/>
      <c r="F97" s="355"/>
      <c r="G97" s="355"/>
      <c r="H97" s="355"/>
      <c r="I97" s="355"/>
      <c r="J97" s="355"/>
      <c r="K97" s="355"/>
    </row>
    <row r="98" spans="1:11" x14ac:dyDescent="0.25">
      <c r="A98" s="175" t="s">
        <v>59</v>
      </c>
      <c r="B98" s="356">
        <v>0</v>
      </c>
      <c r="C98" s="356">
        <v>0.99</v>
      </c>
      <c r="D98" s="356">
        <v>0</v>
      </c>
      <c r="E98" s="356">
        <v>1.9114359415305201E-2</v>
      </c>
      <c r="F98" s="362" t="e">
        <f>#REF!*#REF!*0.086/0.32</f>
        <v>#REF!</v>
      </c>
      <c r="G98" s="362" t="e">
        <f>(#REF!+#REF!+#REF!+#REF!+#REF!+#REF!)*#REF!*0.086</f>
        <v>#REF!</v>
      </c>
      <c r="H98" s="356">
        <v>21.5</v>
      </c>
      <c r="I98" s="63"/>
      <c r="J98" s="63"/>
      <c r="K98" s="63" t="e">
        <f>SUM(B98:H98)</f>
        <v>#REF!</v>
      </c>
    </row>
    <row r="99" spans="1:11" x14ac:dyDescent="0.25">
      <c r="A99" s="175" t="s">
        <v>60</v>
      </c>
      <c r="B99" s="356">
        <v>4.3835833936696398</v>
      </c>
      <c r="C99" s="356">
        <v>45.11</v>
      </c>
      <c r="D99" s="356">
        <v>27.823369679704001</v>
      </c>
      <c r="E99" s="356">
        <v>36.059223088511303</v>
      </c>
      <c r="F99" s="63"/>
      <c r="G99" s="63"/>
      <c r="H99" s="63">
        <v>0</v>
      </c>
      <c r="I99" s="63">
        <v>0</v>
      </c>
      <c r="J99" s="63"/>
      <c r="K99" s="63">
        <v>113.376176161885</v>
      </c>
    </row>
    <row r="100" spans="1:11" x14ac:dyDescent="0.25">
      <c r="A100" s="175" t="s">
        <v>61</v>
      </c>
      <c r="B100" s="356">
        <v>0</v>
      </c>
      <c r="C100" s="356">
        <v>0</v>
      </c>
      <c r="D100" s="356">
        <v>0</v>
      </c>
      <c r="E100" s="356">
        <v>0</v>
      </c>
      <c r="F100" s="63"/>
      <c r="G100" s="63"/>
      <c r="H100" s="356">
        <v>-2.5426065513161702</v>
      </c>
      <c r="I100" s="63">
        <f>I116+I125</f>
        <v>-5.7399940155349327</v>
      </c>
      <c r="J100" s="63"/>
      <c r="K100" s="63">
        <v>-10.037671418097901</v>
      </c>
    </row>
    <row r="101" spans="1:11" x14ac:dyDescent="0.25">
      <c r="A101" s="175" t="s">
        <v>62</v>
      </c>
      <c r="B101" s="356"/>
      <c r="C101" s="356"/>
      <c r="D101" s="356">
        <v>-1.4</v>
      </c>
      <c r="E101" s="356"/>
      <c r="F101" s="63"/>
      <c r="G101" s="63"/>
      <c r="H101" s="356"/>
      <c r="I101" s="63"/>
      <c r="J101" s="63"/>
      <c r="K101" s="63">
        <v>20.100000000000001</v>
      </c>
    </row>
    <row r="102" spans="1:11" x14ac:dyDescent="0.25">
      <c r="A102" s="175" t="s">
        <v>63</v>
      </c>
      <c r="B102" s="356"/>
      <c r="C102" s="356"/>
      <c r="D102" s="356">
        <v>-6.8007692346473698</v>
      </c>
      <c r="E102" s="356"/>
      <c r="F102" s="63"/>
      <c r="G102" s="63"/>
      <c r="H102" s="63"/>
      <c r="I102" s="63"/>
      <c r="J102" s="63"/>
      <c r="K102" s="63">
        <v>-6.8007692346473698</v>
      </c>
    </row>
    <row r="103" spans="1:11" x14ac:dyDescent="0.25">
      <c r="A103" s="175" t="s">
        <v>64</v>
      </c>
      <c r="B103" s="63"/>
      <c r="C103" s="63"/>
      <c r="D103" s="63"/>
      <c r="E103" s="63"/>
      <c r="F103" s="63"/>
      <c r="G103" s="63"/>
      <c r="H103" s="63"/>
      <c r="I103" s="63"/>
      <c r="J103" s="63"/>
      <c r="K103" s="63">
        <v>0</v>
      </c>
    </row>
    <row r="104" spans="1:11" ht="15.75" x14ac:dyDescent="0.25">
      <c r="A104" s="358" t="s">
        <v>65</v>
      </c>
      <c r="B104" s="359">
        <v>4.3835833936696398</v>
      </c>
      <c r="C104" s="359">
        <v>46.1</v>
      </c>
      <c r="D104" s="359">
        <v>19.622600445056602</v>
      </c>
      <c r="E104" s="359">
        <v>36.0783374479266</v>
      </c>
      <c r="F104" s="359">
        <v>0</v>
      </c>
      <c r="G104" s="359">
        <v>0</v>
      </c>
      <c r="H104" s="359">
        <f>SUM(H98:H100)</f>
        <v>18.957393448683831</v>
      </c>
      <c r="I104" s="359">
        <f>SUM(I98:I103)</f>
        <v>-5.7399940155349327</v>
      </c>
      <c r="J104" s="359">
        <v>0</v>
      </c>
      <c r="K104" s="359">
        <v>139.14684986855499</v>
      </c>
    </row>
    <row r="105" spans="1:11" ht="15.75" x14ac:dyDescent="0.25">
      <c r="A105" s="360"/>
      <c r="B105" s="361"/>
      <c r="C105" s="361"/>
      <c r="D105" s="361"/>
      <c r="E105" s="361"/>
      <c r="F105" s="361"/>
      <c r="G105" s="361"/>
      <c r="H105" s="361"/>
      <c r="I105" s="361"/>
      <c r="J105" s="361"/>
      <c r="K105" s="361"/>
    </row>
    <row r="106" spans="1:11" x14ac:dyDescent="0.25">
      <c r="A106" s="175" t="s">
        <v>66</v>
      </c>
      <c r="B106" s="356"/>
      <c r="C106" s="356"/>
      <c r="D106" s="356"/>
      <c r="E106" s="356"/>
      <c r="F106" s="63"/>
      <c r="G106" s="63"/>
      <c r="H106" s="63"/>
      <c r="I106" s="63"/>
      <c r="J106" s="63"/>
      <c r="K106" s="63">
        <v>0</v>
      </c>
    </row>
    <row r="107" spans="1:11" x14ac:dyDescent="0.25">
      <c r="A107" s="175" t="s">
        <v>67</v>
      </c>
      <c r="B107" s="356"/>
      <c r="C107" s="356"/>
      <c r="D107" s="356"/>
      <c r="E107" s="356"/>
      <c r="F107" s="63"/>
      <c r="G107" s="63"/>
      <c r="H107" s="356"/>
      <c r="I107" s="356"/>
      <c r="J107" s="63"/>
      <c r="K107" s="63">
        <v>0</v>
      </c>
    </row>
    <row r="108" spans="1:11" x14ac:dyDescent="0.25">
      <c r="A108" s="175" t="s">
        <v>68</v>
      </c>
      <c r="B108" s="356">
        <f>'Mix énergie_2015'!D16*'Mix énergie_2015'!L16/0.25/11.63</f>
        <v>2.5795356835769558</v>
      </c>
      <c r="C108" s="356">
        <v>0</v>
      </c>
      <c r="D108" s="356"/>
      <c r="E108" s="356">
        <f>'Mix énergie_2015'!G16*'Mix énergie_2015'!L16/11.63/0.53</f>
        <v>4.1369911906422878</v>
      </c>
      <c r="F108" s="362" t="e">
        <f>F98</f>
        <v>#REF!</v>
      </c>
      <c r="G108" s="362" t="e">
        <f>G98</f>
        <v>#REF!</v>
      </c>
      <c r="H108" s="356">
        <f>'Mix énergie_2015'!K16*'Mix énergie_2015'!L16/0.35/11.63</f>
        <v>3.4393809114359413</v>
      </c>
      <c r="I108" s="356">
        <f>-'Mix énergie_2015'!L16/11.63</f>
        <v>-51.504729148753221</v>
      </c>
      <c r="J108" s="63"/>
      <c r="K108" s="63" t="e">
        <f>SUM(B108:I108)</f>
        <v>#REF!</v>
      </c>
    </row>
    <row r="109" spans="1:11" x14ac:dyDescent="0.25">
      <c r="A109" s="175" t="s">
        <v>69</v>
      </c>
      <c r="B109" s="356"/>
      <c r="C109" s="356"/>
      <c r="D109" s="356"/>
      <c r="E109" s="356"/>
      <c r="F109" s="63"/>
      <c r="G109" s="63"/>
      <c r="H109" s="356"/>
      <c r="I109" s="356"/>
      <c r="J109" s="63"/>
      <c r="K109" s="63">
        <v>0</v>
      </c>
    </row>
    <row r="110" spans="1:11" x14ac:dyDescent="0.25">
      <c r="A110" s="175" t="s">
        <v>70</v>
      </c>
      <c r="B110" s="356">
        <v>0.15863413858007</v>
      </c>
      <c r="C110" s="356"/>
      <c r="D110" s="356">
        <v>3.27594604359982E-2</v>
      </c>
      <c r="E110" s="356">
        <v>1.3935858860636501</v>
      </c>
      <c r="F110" s="63"/>
      <c r="G110" s="63"/>
      <c r="H110" s="356">
        <v>1.30219575327652</v>
      </c>
      <c r="I110" s="356"/>
      <c r="J110" s="63">
        <v>2.6193325616924099</v>
      </c>
      <c r="K110" s="63">
        <v>5.5065078000486398</v>
      </c>
    </row>
    <row r="111" spans="1:11" x14ac:dyDescent="0.25">
      <c r="A111" s="175" t="s">
        <v>71</v>
      </c>
      <c r="B111" s="356"/>
      <c r="C111" s="356"/>
      <c r="D111" s="356"/>
      <c r="E111" s="356"/>
      <c r="F111" s="63"/>
      <c r="G111" s="63"/>
      <c r="H111" s="356"/>
      <c r="I111" s="356"/>
      <c r="J111" s="63"/>
      <c r="K111" s="63">
        <v>0</v>
      </c>
    </row>
    <row r="112" spans="1:11" x14ac:dyDescent="0.25">
      <c r="A112" s="175" t="s">
        <v>72</v>
      </c>
      <c r="B112" s="356"/>
      <c r="C112" s="356">
        <v>46.1</v>
      </c>
      <c r="D112" s="356">
        <v>-44</v>
      </c>
      <c r="E112" s="356">
        <v>0.7</v>
      </c>
      <c r="F112" s="63"/>
      <c r="G112" s="63"/>
      <c r="H112" s="356"/>
      <c r="I112" s="356"/>
      <c r="J112" s="63"/>
      <c r="K112" s="63">
        <v>2.8</v>
      </c>
    </row>
    <row r="113" spans="1:11" x14ac:dyDescent="0.25">
      <c r="A113" s="175" t="s">
        <v>74</v>
      </c>
      <c r="B113" s="356">
        <v>2.7919999999999998</v>
      </c>
      <c r="C113" s="356"/>
      <c r="D113" s="356"/>
      <c r="E113" s="356"/>
      <c r="F113" s="63"/>
      <c r="G113" s="63"/>
      <c r="H113" s="356"/>
      <c r="I113" s="356"/>
      <c r="J113" s="63"/>
      <c r="K113" s="63">
        <v>2.7919999999999998</v>
      </c>
    </row>
    <row r="114" spans="1:11" x14ac:dyDescent="0.25">
      <c r="A114" s="175" t="s">
        <v>75</v>
      </c>
      <c r="B114" s="356">
        <v>1.0374988057705199</v>
      </c>
      <c r="C114" s="356"/>
      <c r="D114" s="356">
        <v>1.7969999999999999</v>
      </c>
      <c r="E114" s="356">
        <v>1.2420767288043999</v>
      </c>
      <c r="F114" s="63"/>
      <c r="G114" s="63"/>
      <c r="H114" s="356">
        <v>5.1017483519633103E-2</v>
      </c>
      <c r="I114" s="356">
        <v>2.7822871883060998</v>
      </c>
      <c r="J114" s="63"/>
      <c r="K114" s="63">
        <v>6.9098802064006604</v>
      </c>
    </row>
    <row r="115" spans="1:11" x14ac:dyDescent="0.25">
      <c r="A115" s="175" t="s">
        <v>76</v>
      </c>
      <c r="B115" s="356"/>
      <c r="C115" s="356"/>
      <c r="D115" s="356"/>
      <c r="E115" s="356">
        <v>0.45324533266530498</v>
      </c>
      <c r="F115" s="63"/>
      <c r="G115" s="63"/>
      <c r="H115" s="356"/>
      <c r="I115" s="356">
        <v>3.3174308475929899</v>
      </c>
      <c r="J115" s="63"/>
      <c r="K115" s="63">
        <v>3.77067618025829</v>
      </c>
    </row>
    <row r="116" spans="1:11" ht="15.75" x14ac:dyDescent="0.25">
      <c r="A116" s="358" t="s">
        <v>77</v>
      </c>
      <c r="B116" s="359">
        <v>3.98813294435059</v>
      </c>
      <c r="C116" s="359">
        <v>46.1</v>
      </c>
      <c r="D116" s="359">
        <v>-42.170240539563999</v>
      </c>
      <c r="E116" s="359">
        <v>8.7323877629304505</v>
      </c>
      <c r="F116" s="359">
        <v>0</v>
      </c>
      <c r="G116" s="359">
        <v>0</v>
      </c>
      <c r="H116" s="359">
        <v>1.35321323679615</v>
      </c>
      <c r="I116" s="359">
        <f>SUM(I106:I115)</f>
        <v>-45.405011112854133</v>
      </c>
      <c r="J116" s="359">
        <v>2.6193325616924099</v>
      </c>
      <c r="K116" s="359">
        <v>-26.537255997895301</v>
      </c>
    </row>
    <row r="117" spans="1:11" ht="15.75" x14ac:dyDescent="0.25">
      <c r="A117" s="360"/>
      <c r="B117" s="361"/>
      <c r="C117" s="361"/>
      <c r="D117" s="361"/>
      <c r="E117" s="361"/>
      <c r="F117" s="361"/>
      <c r="G117" s="361"/>
      <c r="H117" s="361"/>
      <c r="I117" s="361"/>
      <c r="J117" s="361"/>
      <c r="K117" s="361"/>
    </row>
    <row r="118" spans="1:11" ht="15.75" x14ac:dyDescent="0.25">
      <c r="A118" s="363" t="s">
        <v>78</v>
      </c>
      <c r="B118" s="356">
        <v>4.9709264942829498E-2</v>
      </c>
      <c r="C118" s="63"/>
      <c r="D118" s="356">
        <v>1.0148094604778199</v>
      </c>
      <c r="E118" s="356">
        <v>11.4087101159338</v>
      </c>
      <c r="F118" s="63"/>
      <c r="G118" s="63"/>
      <c r="H118" s="356">
        <v>3.0015800220994202</v>
      </c>
      <c r="I118" s="356">
        <v>10.545152160228</v>
      </c>
      <c r="J118" s="356">
        <v>0.73363472365086702</v>
      </c>
      <c r="K118" s="63">
        <v>26.7535957473327</v>
      </c>
    </row>
    <row r="119" spans="1:11" ht="15.75" x14ac:dyDescent="0.25">
      <c r="A119" s="363" t="s">
        <v>79</v>
      </c>
      <c r="B119" s="63"/>
      <c r="C119" s="63"/>
      <c r="D119" s="356">
        <v>37.500616436523501</v>
      </c>
      <c r="E119" s="356">
        <v>8.0284074027079294E-2</v>
      </c>
      <c r="F119" s="63"/>
      <c r="G119" s="63"/>
      <c r="H119" s="356">
        <v>3.3332703373463399</v>
      </c>
      <c r="I119" s="356">
        <v>1.47291195184867</v>
      </c>
      <c r="J119" s="356">
        <v>0</v>
      </c>
      <c r="K119" s="63">
        <v>42.387082799745599</v>
      </c>
    </row>
    <row r="120" spans="1:11" x14ac:dyDescent="0.25">
      <c r="A120" s="175" t="s">
        <v>80</v>
      </c>
      <c r="B120" s="356">
        <v>0</v>
      </c>
      <c r="C120" s="63"/>
      <c r="D120" s="356">
        <v>4.5177954110546104</v>
      </c>
      <c r="E120" s="356">
        <v>8.4917229584748206</v>
      </c>
      <c r="F120" s="63"/>
      <c r="G120" s="63"/>
      <c r="H120" s="356">
        <v>10.056378037090999</v>
      </c>
      <c r="I120" s="356">
        <v>13.166367058142599</v>
      </c>
      <c r="J120" s="356">
        <v>1.3003443630018601</v>
      </c>
      <c r="K120" s="63">
        <v>37.532607827764899</v>
      </c>
    </row>
    <row r="121" spans="1:11" x14ac:dyDescent="0.25">
      <c r="A121" s="175" t="s">
        <v>81</v>
      </c>
      <c r="B121" s="356">
        <v>0</v>
      </c>
      <c r="C121" s="63"/>
      <c r="D121" s="356">
        <v>2.1334656446401699</v>
      </c>
      <c r="E121" s="356">
        <v>6.0618945971729996</v>
      </c>
      <c r="F121" s="63"/>
      <c r="G121" s="63"/>
      <c r="H121" s="356">
        <v>1.04718925762437</v>
      </c>
      <c r="I121" s="356">
        <v>13.7787654764998</v>
      </c>
      <c r="J121" s="356">
        <v>0.58535347503968105</v>
      </c>
      <c r="K121" s="63">
        <v>23.606668450977001</v>
      </c>
    </row>
    <row r="122" spans="1:11" x14ac:dyDescent="0.25">
      <c r="A122" s="175" t="s">
        <v>82</v>
      </c>
      <c r="B122" s="356">
        <v>2.2137192704974398E-3</v>
      </c>
      <c r="C122" s="63"/>
      <c r="D122" s="356">
        <v>3.1990557957396399</v>
      </c>
      <c r="E122" s="356">
        <v>0.191763640678039</v>
      </c>
      <c r="F122" s="63"/>
      <c r="G122" s="63"/>
      <c r="H122" s="356">
        <v>0.165762557726544</v>
      </c>
      <c r="I122" s="356">
        <v>0.70182045060013498</v>
      </c>
      <c r="J122" s="356">
        <v>6.4536710533781398E-3</v>
      </c>
      <c r="K122" s="63">
        <v>4.2670698350682397</v>
      </c>
    </row>
    <row r="123" spans="1:11" ht="15.75" x14ac:dyDescent="0.25">
      <c r="A123" s="358" t="s">
        <v>83</v>
      </c>
      <c r="B123" s="359">
        <v>5.1922984213326903E-2</v>
      </c>
      <c r="C123" s="359">
        <v>0</v>
      </c>
      <c r="D123" s="359">
        <v>48.3657427484358</v>
      </c>
      <c r="E123" s="359">
        <v>26.2343753862867</v>
      </c>
      <c r="F123" s="359">
        <v>0</v>
      </c>
      <c r="G123" s="359">
        <v>0</v>
      </c>
      <c r="H123" s="359">
        <v>17.604180211887702</v>
      </c>
      <c r="I123" s="359">
        <v>39.6650170973192</v>
      </c>
      <c r="J123" s="359">
        <v>2.6257862327457899</v>
      </c>
      <c r="K123" s="359">
        <v>134.54702466088801</v>
      </c>
    </row>
    <row r="124" spans="1:11" x14ac:dyDescent="0.25">
      <c r="A124" s="175" t="s">
        <v>84</v>
      </c>
      <c r="B124" s="63">
        <v>0.34352746510573001</v>
      </c>
      <c r="C124" s="63"/>
      <c r="D124" s="364">
        <v>13.4270982361849</v>
      </c>
      <c r="E124" s="364">
        <v>1.11157429870939</v>
      </c>
      <c r="F124" s="63"/>
      <c r="G124" s="63"/>
      <c r="H124" s="63"/>
      <c r="I124" s="63"/>
      <c r="J124" s="63"/>
      <c r="K124" s="63">
        <v>14.882199999999999</v>
      </c>
    </row>
    <row r="125" spans="1:11" ht="15.75" x14ac:dyDescent="0.25">
      <c r="A125" s="358" t="s">
        <v>85</v>
      </c>
      <c r="B125" s="359">
        <v>0.39545044931905698</v>
      </c>
      <c r="C125" s="359">
        <v>0</v>
      </c>
      <c r="D125" s="359">
        <v>61.792840984620597</v>
      </c>
      <c r="E125" s="359">
        <v>27.3459496849961</v>
      </c>
      <c r="F125" s="359">
        <v>0</v>
      </c>
      <c r="G125" s="359">
        <v>0</v>
      </c>
      <c r="H125" s="359">
        <v>17.604180211887702</v>
      </c>
      <c r="I125" s="359">
        <v>39.6650170973192</v>
      </c>
      <c r="J125" s="359">
        <v>2.6257862327457899</v>
      </c>
      <c r="K125" s="359">
        <v>149.429224660888</v>
      </c>
    </row>
    <row r="126" spans="1:11" x14ac:dyDescent="0.25">
      <c r="A126"/>
      <c r="B126"/>
      <c r="C126"/>
      <c r="D126"/>
      <c r="E126"/>
      <c r="F126"/>
      <c r="G126"/>
      <c r="H126"/>
      <c r="I126"/>
      <c r="J126"/>
      <c r="K126"/>
    </row>
    <row r="127" spans="1:11" x14ac:dyDescent="0.25">
      <c r="A127"/>
      <c r="B127"/>
      <c r="C127"/>
      <c r="D127"/>
      <c r="E127"/>
      <c r="F127"/>
      <c r="G127"/>
      <c r="H127"/>
      <c r="I127"/>
      <c r="J127"/>
      <c r="K127"/>
    </row>
    <row r="128" spans="1:11" x14ac:dyDescent="0.25">
      <c r="A128"/>
      <c r="B128"/>
      <c r="C128"/>
      <c r="D128"/>
      <c r="E128"/>
      <c r="F128"/>
      <c r="G128"/>
      <c r="H128"/>
      <c r="I128"/>
      <c r="J128"/>
      <c r="K128"/>
    </row>
    <row r="129" spans="1:11" x14ac:dyDescent="0.25">
      <c r="A129"/>
      <c r="B129"/>
      <c r="C129"/>
      <c r="D129"/>
      <c r="E129"/>
      <c r="F129"/>
      <c r="G129"/>
      <c r="H129"/>
      <c r="I129"/>
      <c r="J129"/>
      <c r="K129"/>
    </row>
    <row r="130" spans="1:11" x14ac:dyDescent="0.25">
      <c r="A130"/>
      <c r="B130"/>
      <c r="C130"/>
      <c r="D130"/>
      <c r="E130"/>
      <c r="F130"/>
      <c r="G130"/>
      <c r="H130"/>
      <c r="I130"/>
      <c r="J130"/>
      <c r="K130"/>
    </row>
    <row r="131" spans="1:11" x14ac:dyDescent="0.25">
      <c r="A131"/>
      <c r="B131"/>
      <c r="C131"/>
      <c r="D131"/>
      <c r="E131"/>
      <c r="F131"/>
      <c r="G131"/>
      <c r="H131"/>
      <c r="I131"/>
      <c r="J131"/>
      <c r="K131"/>
    </row>
    <row r="132" spans="1:11" x14ac:dyDescent="0.25">
      <c r="A132"/>
      <c r="B132"/>
      <c r="C132"/>
      <c r="D132"/>
      <c r="E132"/>
      <c r="F132"/>
      <c r="G132"/>
      <c r="H132"/>
      <c r="I132"/>
      <c r="J132"/>
      <c r="K132"/>
    </row>
    <row r="133" spans="1:11" x14ac:dyDescent="0.25">
      <c r="A133"/>
      <c r="B133"/>
      <c r="C133"/>
      <c r="D133"/>
      <c r="E133"/>
      <c r="F133"/>
      <c r="G133"/>
      <c r="H133"/>
      <c r="I133"/>
      <c r="J133"/>
      <c r="K133"/>
    </row>
    <row r="134" spans="1:11" x14ac:dyDescent="0.25">
      <c r="A134"/>
      <c r="B134"/>
      <c r="C134"/>
      <c r="D134"/>
      <c r="E134"/>
      <c r="F134"/>
      <c r="G134"/>
      <c r="H134"/>
      <c r="I134"/>
      <c r="J134"/>
      <c r="K134"/>
    </row>
    <row r="135" spans="1:11" x14ac:dyDescent="0.25">
      <c r="A135"/>
      <c r="B135"/>
      <c r="C135"/>
      <c r="D135"/>
      <c r="E135"/>
      <c r="F135"/>
      <c r="G135"/>
      <c r="H135"/>
      <c r="I135"/>
      <c r="J135"/>
      <c r="K135"/>
    </row>
    <row r="136" spans="1:11" ht="15.75" x14ac:dyDescent="0.25">
      <c r="A136" s="237" t="s">
        <v>88</v>
      </c>
      <c r="B136" s="239"/>
      <c r="C136" s="239"/>
      <c r="D136" s="239"/>
      <c r="E136" s="239"/>
      <c r="F136" s="239"/>
      <c r="G136" s="238"/>
      <c r="H136" s="239"/>
      <c r="I136" s="239"/>
      <c r="J136" s="239"/>
      <c r="K136" s="239"/>
    </row>
    <row r="137" spans="1:11" x14ac:dyDescent="0.25">
      <c r="A137"/>
      <c r="B137"/>
      <c r="C137"/>
      <c r="D137"/>
      <c r="E137"/>
      <c r="F137"/>
      <c r="G137"/>
      <c r="H137"/>
      <c r="I137"/>
      <c r="J137"/>
      <c r="K137"/>
    </row>
    <row r="138" spans="1:11" x14ac:dyDescent="0.25">
      <c r="A138"/>
      <c r="B138"/>
      <c r="C138"/>
      <c r="D138"/>
      <c r="E138"/>
      <c r="F138"/>
      <c r="G138"/>
      <c r="H138"/>
      <c r="I138"/>
      <c r="J138"/>
      <c r="K138"/>
    </row>
    <row r="139" spans="1:11" ht="60" x14ac:dyDescent="0.25">
      <c r="A139" s="352"/>
      <c r="B139" s="353" t="s">
        <v>42</v>
      </c>
      <c r="C139" s="353" t="s">
        <v>52</v>
      </c>
      <c r="D139" s="353" t="s">
        <v>53</v>
      </c>
      <c r="E139" s="353" t="s">
        <v>32</v>
      </c>
      <c r="F139" s="353" t="s">
        <v>20</v>
      </c>
      <c r="G139" s="353" t="s">
        <v>55</v>
      </c>
      <c r="H139" s="353" t="s">
        <v>56</v>
      </c>
      <c r="I139" s="353" t="s">
        <v>57</v>
      </c>
      <c r="J139" s="353" t="s">
        <v>58</v>
      </c>
      <c r="K139" s="353" t="s">
        <v>10</v>
      </c>
    </row>
    <row r="140" spans="1:11" ht="15.75" x14ac:dyDescent="0.25">
      <c r="A140" s="354"/>
      <c r="B140" s="355"/>
      <c r="C140" s="355"/>
      <c r="D140" s="355"/>
      <c r="E140" s="355"/>
      <c r="F140" s="355"/>
      <c r="G140" s="355"/>
      <c r="H140" s="355"/>
      <c r="I140" s="355"/>
      <c r="J140" s="355"/>
      <c r="K140" s="355"/>
    </row>
    <row r="141" spans="1:11" x14ac:dyDescent="0.25">
      <c r="A141" s="175" t="s">
        <v>59</v>
      </c>
      <c r="B141" s="356">
        <v>0</v>
      </c>
      <c r="C141" s="356">
        <v>0.99</v>
      </c>
      <c r="D141" s="356">
        <v>0</v>
      </c>
      <c r="E141" s="356">
        <v>1.9114359415305201E-2</v>
      </c>
      <c r="F141" s="362" t="e">
        <f>#REF!*#REF!*0.086/0.32</f>
        <v>#REF!</v>
      </c>
      <c r="G141" s="362" t="e">
        <f>(#REF!+#REF!+#REF!+#REF!+#REF!+#REF!)*#REF!*0.086</f>
        <v>#REF!</v>
      </c>
      <c r="H141" s="356">
        <v>22.3</v>
      </c>
      <c r="I141" s="63"/>
      <c r="J141" s="63"/>
      <c r="K141" s="63" t="e">
        <f>SUM(B141:H141)</f>
        <v>#REF!</v>
      </c>
    </row>
    <row r="142" spans="1:11" x14ac:dyDescent="0.25">
      <c r="A142" s="175" t="s">
        <v>60</v>
      </c>
      <c r="B142" s="356">
        <v>4.2145990929815103</v>
      </c>
      <c r="C142" s="356">
        <v>43.31</v>
      </c>
      <c r="D142" s="356">
        <v>27.7759663764108</v>
      </c>
      <c r="E142" s="356">
        <v>34.850190460047898</v>
      </c>
      <c r="F142" s="63"/>
      <c r="G142" s="63"/>
      <c r="H142" s="63">
        <v>0</v>
      </c>
      <c r="I142" s="63">
        <v>0</v>
      </c>
      <c r="J142" s="63"/>
      <c r="K142" s="63">
        <v>110.15075592944</v>
      </c>
    </row>
    <row r="143" spans="1:11" x14ac:dyDescent="0.25">
      <c r="A143" s="175" t="s">
        <v>61</v>
      </c>
      <c r="B143" s="365">
        <v>0</v>
      </c>
      <c r="C143" s="365">
        <v>0</v>
      </c>
      <c r="D143" s="356">
        <v>0</v>
      </c>
      <c r="E143" s="365">
        <v>0</v>
      </c>
      <c r="F143" s="63"/>
      <c r="G143" s="63"/>
      <c r="H143" s="365">
        <v>-2.72104012127323</v>
      </c>
      <c r="I143" s="63">
        <f>I159+I166</f>
        <v>-6.8170956314650155</v>
      </c>
      <c r="J143" s="63"/>
      <c r="K143" s="63">
        <v>-10.124039965979801</v>
      </c>
    </row>
    <row r="144" spans="1:11" x14ac:dyDescent="0.25">
      <c r="A144" s="175" t="s">
        <v>62</v>
      </c>
      <c r="B144" s="63"/>
      <c r="C144" s="63"/>
      <c r="D144" s="63">
        <v>-1.4</v>
      </c>
      <c r="E144" s="63"/>
      <c r="F144" s="63"/>
      <c r="G144" s="63"/>
      <c r="H144" s="63"/>
      <c r="I144" s="63"/>
      <c r="J144" s="63"/>
      <c r="K144" s="63">
        <v>-1.4</v>
      </c>
    </row>
    <row r="145" spans="1:13" x14ac:dyDescent="0.25">
      <c r="A145" s="175" t="s">
        <v>63</v>
      </c>
      <c r="B145" s="63"/>
      <c r="C145" s="63"/>
      <c r="D145" s="63">
        <v>-7.3263599105945998</v>
      </c>
      <c r="E145" s="63"/>
      <c r="F145" s="63"/>
      <c r="G145" s="63"/>
      <c r="H145" s="63"/>
      <c r="I145" s="63"/>
      <c r="J145" s="63"/>
      <c r="K145" s="63">
        <v>-7.3263599105945998</v>
      </c>
    </row>
    <row r="146" spans="1:13" x14ac:dyDescent="0.25">
      <c r="A146" s="175" t="s">
        <v>64</v>
      </c>
      <c r="B146" s="63"/>
      <c r="C146" s="63"/>
      <c r="D146" s="63"/>
      <c r="E146" s="63"/>
      <c r="F146" s="63"/>
      <c r="G146" s="63"/>
      <c r="H146" s="63"/>
      <c r="I146" s="63"/>
      <c r="J146" s="63"/>
      <c r="K146" s="63">
        <v>0</v>
      </c>
    </row>
    <row r="147" spans="1:13" ht="15.75" x14ac:dyDescent="0.25">
      <c r="A147" s="358" t="s">
        <v>65</v>
      </c>
      <c r="B147" s="366">
        <v>4.2145990929815103</v>
      </c>
      <c r="C147" s="366">
        <v>44.3</v>
      </c>
      <c r="D147" s="366">
        <v>19.049606465816201</v>
      </c>
      <c r="E147" s="366">
        <v>34.869304819463203</v>
      </c>
      <c r="F147" s="366">
        <v>0</v>
      </c>
      <c r="G147" s="366">
        <v>0</v>
      </c>
      <c r="H147" s="366">
        <v>19.578959878726799</v>
      </c>
      <c r="I147" s="366">
        <f>SUM(I141:I146)</f>
        <v>-6.8170956314650155</v>
      </c>
      <c r="J147" s="366">
        <v>0</v>
      </c>
      <c r="K147" s="366">
        <v>114.609470412281</v>
      </c>
      <c r="M147" s="405"/>
    </row>
    <row r="148" spans="1:13" ht="15.75" x14ac:dyDescent="0.25">
      <c r="A148" s="360"/>
      <c r="B148" s="73"/>
      <c r="C148" s="73"/>
      <c r="D148" s="73"/>
      <c r="E148" s="73"/>
      <c r="F148" s="73"/>
      <c r="G148" s="73"/>
      <c r="H148" s="73"/>
      <c r="I148" s="73"/>
      <c r="J148" s="73"/>
      <c r="K148" s="73"/>
    </row>
    <row r="149" spans="1:13" x14ac:dyDescent="0.25">
      <c r="A149" s="175" t="s">
        <v>66</v>
      </c>
      <c r="B149" s="63"/>
      <c r="C149" s="63"/>
      <c r="D149" s="63"/>
      <c r="E149" s="63"/>
      <c r="F149" s="63"/>
      <c r="G149" s="63"/>
      <c r="H149" s="63"/>
      <c r="I149" s="63"/>
      <c r="J149" s="63"/>
      <c r="K149" s="63">
        <v>0</v>
      </c>
    </row>
    <row r="150" spans="1:13" x14ac:dyDescent="0.25">
      <c r="A150" s="175" t="s">
        <v>67</v>
      </c>
      <c r="B150" s="356"/>
      <c r="C150" s="356"/>
      <c r="D150" s="356"/>
      <c r="E150" s="356"/>
      <c r="F150" s="63"/>
      <c r="G150" s="63"/>
      <c r="H150" s="63"/>
      <c r="I150" s="63"/>
      <c r="J150" s="63"/>
      <c r="K150" s="63">
        <v>0</v>
      </c>
    </row>
    <row r="151" spans="1:13" x14ac:dyDescent="0.25">
      <c r="A151" s="175" t="s">
        <v>68</v>
      </c>
      <c r="B151" s="356">
        <f>'Mix énergie_2015'!D17*'Mix énergie_2015'!L17/0.25/11.63</f>
        <v>2.5795356835769558</v>
      </c>
      <c r="C151" s="356">
        <v>0</v>
      </c>
      <c r="D151" s="356"/>
      <c r="E151" s="356">
        <f>'Mix énergie_2015'!G17*'Mix énergie_2015'!L17/11.63/0.57</f>
        <v>3.8466760193691449</v>
      </c>
      <c r="F151" s="362" t="e">
        <f>F141</f>
        <v>#REF!</v>
      </c>
      <c r="G151" s="362" t="e">
        <f>G141</f>
        <v>#REF!</v>
      </c>
      <c r="H151" s="356">
        <f>'Mix énergie_2015'!K17*'Mix énergie_2015'!L17/11.63/0.4</f>
        <v>3.6543422184006871</v>
      </c>
      <c r="I151" s="356">
        <f>-'Mix énergie_2015'!L17/11.63</f>
        <v>-53.912295786758378</v>
      </c>
      <c r="J151" s="63"/>
      <c r="K151" s="63" t="e">
        <f>SUM(B151:I151)</f>
        <v>#REF!</v>
      </c>
    </row>
    <row r="152" spans="1:13" x14ac:dyDescent="0.25">
      <c r="A152" s="175" t="s">
        <v>69</v>
      </c>
      <c r="B152" s="356"/>
      <c r="C152" s="356"/>
      <c r="D152" s="356"/>
      <c r="E152" s="356"/>
      <c r="F152" s="63"/>
      <c r="G152" s="63"/>
      <c r="H152" s="356"/>
      <c r="I152" s="356"/>
      <c r="J152" s="63"/>
      <c r="K152" s="63">
        <v>0</v>
      </c>
    </row>
    <row r="153" spans="1:13" x14ac:dyDescent="0.25">
      <c r="A153" s="175" t="s">
        <v>70</v>
      </c>
      <c r="B153" s="356">
        <v>0.122830244900262</v>
      </c>
      <c r="C153" s="356"/>
      <c r="D153" s="356">
        <v>2.41383405982184E-2</v>
      </c>
      <c r="E153" s="356">
        <v>1.4063742241295001</v>
      </c>
      <c r="F153" s="63"/>
      <c r="G153" s="63"/>
      <c r="H153" s="356">
        <v>1.30147098010249</v>
      </c>
      <c r="I153" s="356"/>
      <c r="J153" s="63">
        <v>2.5916325616924101</v>
      </c>
      <c r="K153" s="63">
        <v>5.44644635142288</v>
      </c>
    </row>
    <row r="154" spans="1:13" x14ac:dyDescent="0.25">
      <c r="A154" s="175" t="s">
        <v>71</v>
      </c>
      <c r="B154" s="356"/>
      <c r="C154" s="356"/>
      <c r="D154" s="356"/>
      <c r="E154" s="356"/>
      <c r="F154" s="63"/>
      <c r="G154" s="63"/>
      <c r="H154" s="356"/>
      <c r="I154" s="356"/>
      <c r="J154" s="63"/>
      <c r="K154" s="63">
        <v>0</v>
      </c>
    </row>
    <row r="155" spans="1:13" x14ac:dyDescent="0.25">
      <c r="A155" s="175" t="s">
        <v>72</v>
      </c>
      <c r="B155" s="356"/>
      <c r="C155" s="356">
        <v>44.3</v>
      </c>
      <c r="D155" s="356">
        <v>-42.3</v>
      </c>
      <c r="E155" s="356">
        <v>0.7</v>
      </c>
      <c r="F155" s="63"/>
      <c r="G155" s="63"/>
      <c r="H155" s="356"/>
      <c r="I155" s="356"/>
      <c r="J155" s="63"/>
      <c r="K155" s="63">
        <v>2.7</v>
      </c>
    </row>
    <row r="156" spans="1:13" x14ac:dyDescent="0.25">
      <c r="A156" s="175" t="s">
        <v>74</v>
      </c>
      <c r="B156" s="356">
        <v>2.6892999999999998</v>
      </c>
      <c r="C156" s="356"/>
      <c r="D156" s="356"/>
      <c r="E156" s="356"/>
      <c r="F156" s="63"/>
      <c r="G156" s="63"/>
      <c r="H156" s="356"/>
      <c r="I156" s="356"/>
      <c r="J156" s="63"/>
      <c r="K156" s="63">
        <v>2.6892999999999998</v>
      </c>
    </row>
    <row r="157" spans="1:13" x14ac:dyDescent="0.25">
      <c r="A157" s="175" t="s">
        <v>75</v>
      </c>
      <c r="B157" s="356">
        <v>1.0374988057705199</v>
      </c>
      <c r="C157" s="356"/>
      <c r="D157" s="356">
        <v>1.7969999999999999</v>
      </c>
      <c r="E157" s="356">
        <v>1.2420767288043999</v>
      </c>
      <c r="F157" s="63"/>
      <c r="G157" s="63"/>
      <c r="H157" s="356">
        <v>5.1017483519633103E-2</v>
      </c>
      <c r="I157" s="356">
        <v>2.7822871883060998</v>
      </c>
      <c r="J157" s="63"/>
      <c r="K157" s="63">
        <v>6.9098802064006604</v>
      </c>
    </row>
    <row r="158" spans="1:13" x14ac:dyDescent="0.25">
      <c r="A158" s="175" t="s">
        <v>76</v>
      </c>
      <c r="B158" s="356"/>
      <c r="C158" s="356"/>
      <c r="D158" s="356"/>
      <c r="E158" s="356">
        <v>0.43750889256047498</v>
      </c>
      <c r="F158" s="63"/>
      <c r="G158" s="63"/>
      <c r="H158" s="356"/>
      <c r="I158" s="356">
        <v>3.3945679446466599</v>
      </c>
      <c r="J158" s="63"/>
      <c r="K158" s="63">
        <v>3.8320768372071301</v>
      </c>
    </row>
    <row r="159" spans="1:13" ht="15.75" x14ac:dyDescent="0.25">
      <c r="A159" s="358" t="s">
        <v>77</v>
      </c>
      <c r="B159" s="366">
        <v>3.8496290506707802</v>
      </c>
      <c r="C159" s="366">
        <v>44.3</v>
      </c>
      <c r="D159" s="366">
        <v>-40.478861659401801</v>
      </c>
      <c r="E159" s="366">
        <f>SUM(E149:E158)</f>
        <v>7.63263586486352</v>
      </c>
      <c r="F159" s="366">
        <v>0</v>
      </c>
      <c r="G159" s="366">
        <v>0</v>
      </c>
      <c r="H159" s="366">
        <v>1.3524884636221199</v>
      </c>
      <c r="I159" s="366">
        <f>SUM(I149:I158)</f>
        <v>-47.735440653805618</v>
      </c>
      <c r="J159" s="366">
        <v>2.5916325616924101</v>
      </c>
      <c r="K159" s="366">
        <v>-27.9770167895722</v>
      </c>
    </row>
    <row r="160" spans="1:13" ht="15.75" x14ac:dyDescent="0.25">
      <c r="A160" s="360"/>
      <c r="B160" s="73"/>
      <c r="C160" s="73"/>
      <c r="D160" s="73"/>
      <c r="E160" s="73"/>
      <c r="F160" s="73"/>
      <c r="G160" s="73"/>
      <c r="H160" s="73"/>
      <c r="I160" s="73"/>
      <c r="J160" s="73"/>
      <c r="K160" s="73"/>
    </row>
    <row r="161" spans="1:11" ht="15.75" x14ac:dyDescent="0.25">
      <c r="A161" s="363" t="s">
        <v>78</v>
      </c>
      <c r="B161" s="356">
        <v>0</v>
      </c>
      <c r="C161" s="63"/>
      <c r="D161" s="356">
        <v>0.35110946047781999</v>
      </c>
      <c r="E161" s="356">
        <v>11.7513019954675</v>
      </c>
      <c r="F161" s="63"/>
      <c r="G161" s="63"/>
      <c r="H161" s="356">
        <v>3.6844881425657099</v>
      </c>
      <c r="I161" s="356">
        <v>10.743152160228</v>
      </c>
      <c r="J161" s="356">
        <v>0.72823472365086706</v>
      </c>
      <c r="K161" s="63">
        <v>27.258286482389899</v>
      </c>
    </row>
    <row r="162" spans="1:11" ht="15.75" x14ac:dyDescent="0.25">
      <c r="A162" s="363" t="s">
        <v>79</v>
      </c>
      <c r="B162" s="63"/>
      <c r="C162" s="63"/>
      <c r="D162" s="356">
        <v>36.552079839999998</v>
      </c>
      <c r="E162" s="356">
        <v>8.4730487545842795E-2</v>
      </c>
      <c r="F162" s="63"/>
      <c r="G162" s="63"/>
      <c r="H162" s="356">
        <v>3.0577605203510898</v>
      </c>
      <c r="I162" s="356">
        <v>1.9334119518486701</v>
      </c>
      <c r="J162" s="356">
        <v>0</v>
      </c>
      <c r="K162" s="63">
        <v>41.627982799745602</v>
      </c>
    </row>
    <row r="163" spans="1:11" x14ac:dyDescent="0.25">
      <c r="A163" s="175" t="s">
        <v>80</v>
      </c>
      <c r="B163" s="356">
        <v>0</v>
      </c>
      <c r="C163" s="63"/>
      <c r="D163" s="356">
        <v>3.8396954110546102</v>
      </c>
      <c r="E163" s="356">
        <v>7.8264342007141599</v>
      </c>
      <c r="F163" s="63"/>
      <c r="G163" s="63"/>
      <c r="H163" s="356">
        <v>10.301443041103401</v>
      </c>
      <c r="I163" s="356">
        <v>13.146567058142599</v>
      </c>
      <c r="J163" s="356">
        <v>1.26224436300186</v>
      </c>
      <c r="K163" s="63">
        <v>36.376384074016698</v>
      </c>
    </row>
    <row r="164" spans="1:11" x14ac:dyDescent="0.25">
      <c r="A164" s="175" t="s">
        <v>81</v>
      </c>
      <c r="B164" s="356">
        <v>0</v>
      </c>
      <c r="C164" s="63"/>
      <c r="D164" s="356">
        <v>1.7637656446401699</v>
      </c>
      <c r="E164" s="356">
        <v>5.1729011457278196</v>
      </c>
      <c r="F164" s="63"/>
      <c r="G164" s="63"/>
      <c r="H164" s="356">
        <v>1.01490750115354</v>
      </c>
      <c r="I164" s="356">
        <v>14.418365476499799</v>
      </c>
      <c r="J164" s="356">
        <v>0.60115347503968097</v>
      </c>
      <c r="K164" s="63">
        <v>22.971093243060999</v>
      </c>
    </row>
    <row r="165" spans="1:11" x14ac:dyDescent="0.25">
      <c r="A165" s="175" t="s">
        <v>82</v>
      </c>
      <c r="B165" s="356">
        <v>2.2137192704974398E-3</v>
      </c>
      <c r="C165" s="63"/>
      <c r="D165" s="356">
        <v>3.10854342969155</v>
      </c>
      <c r="E165" s="356">
        <v>0.18792799151046999</v>
      </c>
      <c r="F165" s="63"/>
      <c r="G165" s="63"/>
      <c r="H165" s="356">
        <v>0.16787220993086899</v>
      </c>
      <c r="I165" s="356">
        <v>0.67684837562158895</v>
      </c>
      <c r="J165" s="356">
        <v>6.4536710533781398E-3</v>
      </c>
      <c r="K165" s="63">
        <v>4.1498593970783499</v>
      </c>
    </row>
    <row r="166" spans="1:11" ht="15.75" x14ac:dyDescent="0.25">
      <c r="A166" s="358" t="s">
        <v>83</v>
      </c>
      <c r="B166" s="366">
        <v>2.2137192704974398E-3</v>
      </c>
      <c r="C166" s="366">
        <v>0</v>
      </c>
      <c r="D166" s="366">
        <v>45.6151937858642</v>
      </c>
      <c r="E166" s="366">
        <v>25.023295820965799</v>
      </c>
      <c r="F166" s="366">
        <v>0</v>
      </c>
      <c r="G166" s="366">
        <v>0</v>
      </c>
      <c r="H166" s="366">
        <v>18.226471415104601</v>
      </c>
      <c r="I166" s="366">
        <v>40.918345022340603</v>
      </c>
      <c r="J166" s="366">
        <v>2.5980862327457901</v>
      </c>
      <c r="K166" s="366">
        <v>132.383605996292</v>
      </c>
    </row>
    <row r="167" spans="1:11" x14ac:dyDescent="0.25">
      <c r="A167" s="175" t="s">
        <v>84</v>
      </c>
      <c r="B167" s="63">
        <v>0.36275632304023198</v>
      </c>
      <c r="C167" s="63"/>
      <c r="D167" s="356">
        <v>13.913274339353899</v>
      </c>
      <c r="E167" s="356">
        <v>1.11656933760591</v>
      </c>
      <c r="F167" s="63"/>
      <c r="G167" s="63"/>
      <c r="H167" s="63"/>
      <c r="I167" s="63"/>
      <c r="J167" s="63"/>
      <c r="K167" s="63">
        <v>15.3926</v>
      </c>
    </row>
    <row r="168" spans="1:11" ht="15.75" x14ac:dyDescent="0.25">
      <c r="A168" s="358" t="s">
        <v>85</v>
      </c>
      <c r="B168" s="366">
        <v>0.36497004231072999</v>
      </c>
      <c r="C168" s="366">
        <v>0</v>
      </c>
      <c r="D168" s="366">
        <v>59.528468125217998</v>
      </c>
      <c r="E168" s="366">
        <v>26.139865158571698</v>
      </c>
      <c r="F168" s="366">
        <v>0</v>
      </c>
      <c r="G168" s="366">
        <v>0</v>
      </c>
      <c r="H168" s="366">
        <v>18.226471415104601</v>
      </c>
      <c r="I168" s="366">
        <v>40.918345022340603</v>
      </c>
      <c r="J168" s="366">
        <v>2.5980862327457901</v>
      </c>
      <c r="K168" s="366">
        <v>147.77620599629199</v>
      </c>
    </row>
    <row r="169" spans="1:11" x14ac:dyDescent="0.25">
      <c r="A169"/>
      <c r="B169"/>
      <c r="C169"/>
      <c r="D169"/>
      <c r="E169"/>
      <c r="F169"/>
      <c r="G169"/>
      <c r="H169"/>
      <c r="I169"/>
      <c r="J169"/>
      <c r="K169"/>
    </row>
    <row r="170" spans="1:11" x14ac:dyDescent="0.25">
      <c r="A170"/>
      <c r="B170"/>
      <c r="C170"/>
      <c r="D170"/>
      <c r="E170"/>
      <c r="F170"/>
      <c r="G170"/>
      <c r="H170"/>
      <c r="I170"/>
      <c r="J170"/>
      <c r="K170"/>
    </row>
    <row r="171" spans="1:11" x14ac:dyDescent="0.25">
      <c r="A171"/>
      <c r="B171"/>
      <c r="C171"/>
      <c r="D171"/>
      <c r="E171"/>
      <c r="F171"/>
      <c r="G171"/>
      <c r="H171"/>
      <c r="I171"/>
      <c r="J171"/>
      <c r="K171"/>
    </row>
    <row r="172" spans="1:11" x14ac:dyDescent="0.25">
      <c r="A172"/>
      <c r="B172"/>
      <c r="C172"/>
      <c r="D172"/>
      <c r="E172"/>
      <c r="F172"/>
      <c r="G172"/>
      <c r="H172"/>
      <c r="I172"/>
      <c r="J172"/>
      <c r="K172"/>
    </row>
    <row r="173" spans="1:11" x14ac:dyDescent="0.25">
      <c r="A173"/>
      <c r="B173"/>
      <c r="C173"/>
      <c r="D173"/>
      <c r="E173"/>
      <c r="F173"/>
      <c r="G173"/>
      <c r="H173"/>
      <c r="I173"/>
      <c r="J173"/>
      <c r="K173"/>
    </row>
    <row r="174" spans="1:11" x14ac:dyDescent="0.25">
      <c r="A174"/>
      <c r="B174"/>
      <c r="C174"/>
      <c r="D174"/>
      <c r="E174"/>
      <c r="F174"/>
      <c r="G174"/>
      <c r="H174"/>
      <c r="I174"/>
      <c r="J174"/>
      <c r="K174"/>
    </row>
    <row r="175" spans="1:11" x14ac:dyDescent="0.25">
      <c r="A175"/>
      <c r="B175"/>
      <c r="C175"/>
      <c r="D175"/>
      <c r="E175"/>
      <c r="F175"/>
      <c r="G175"/>
      <c r="H175"/>
      <c r="I175"/>
      <c r="J175"/>
      <c r="K175"/>
    </row>
    <row r="176" spans="1:11" x14ac:dyDescent="0.25">
      <c r="A176"/>
      <c r="B176"/>
      <c r="C176"/>
      <c r="D176"/>
      <c r="E176"/>
      <c r="F176"/>
      <c r="G176"/>
      <c r="H176"/>
      <c r="I176"/>
      <c r="J176"/>
      <c r="K176"/>
    </row>
    <row r="177" spans="1:11" x14ac:dyDescent="0.25">
      <c r="A177"/>
      <c r="B177"/>
      <c r="C177"/>
      <c r="D177"/>
      <c r="E177"/>
      <c r="F177"/>
      <c r="G177"/>
      <c r="H177"/>
      <c r="I177"/>
      <c r="J177"/>
      <c r="K177"/>
    </row>
    <row r="178" spans="1:11" x14ac:dyDescent="0.25">
      <c r="A178"/>
      <c r="B178"/>
      <c r="C178"/>
      <c r="D178"/>
      <c r="E178"/>
      <c r="F178"/>
      <c r="G178"/>
      <c r="H178"/>
      <c r="I178"/>
      <c r="J178"/>
      <c r="K178"/>
    </row>
    <row r="179" spans="1:11" ht="15.75" x14ac:dyDescent="0.25">
      <c r="A179" s="237" t="s">
        <v>89</v>
      </c>
      <c r="B179" s="239"/>
      <c r="C179" s="239"/>
      <c r="D179" s="239"/>
      <c r="E179" s="239"/>
      <c r="F179" s="239"/>
      <c r="G179" s="238"/>
      <c r="H179" s="239"/>
      <c r="I179" s="239"/>
      <c r="J179" s="239"/>
      <c r="K179" s="239"/>
    </row>
    <row r="180" spans="1:11" x14ac:dyDescent="0.25">
      <c r="A180"/>
      <c r="B180"/>
      <c r="C180"/>
      <c r="D180"/>
      <c r="E180"/>
      <c r="F180"/>
      <c r="G180"/>
      <c r="H180"/>
      <c r="I180"/>
      <c r="J180"/>
      <c r="K180"/>
    </row>
    <row r="181" spans="1:11" x14ac:dyDescent="0.25">
      <c r="A181"/>
      <c r="B181"/>
      <c r="C181"/>
      <c r="D181"/>
      <c r="E181"/>
      <c r="F181"/>
      <c r="G181"/>
      <c r="H181"/>
      <c r="I181"/>
      <c r="J181"/>
      <c r="K181"/>
    </row>
    <row r="182" spans="1:11" ht="60" x14ac:dyDescent="0.25">
      <c r="A182" s="352"/>
      <c r="B182" s="353" t="s">
        <v>42</v>
      </c>
      <c r="C182" s="353" t="s">
        <v>52</v>
      </c>
      <c r="D182" s="353" t="s">
        <v>53</v>
      </c>
      <c r="E182" s="353" t="s">
        <v>32</v>
      </c>
      <c r="F182" s="353" t="s">
        <v>20</v>
      </c>
      <c r="G182" s="353" t="s">
        <v>55</v>
      </c>
      <c r="H182" s="353" t="s">
        <v>56</v>
      </c>
      <c r="I182" s="353" t="s">
        <v>57</v>
      </c>
      <c r="J182" s="353" t="s">
        <v>58</v>
      </c>
      <c r="K182" s="353" t="s">
        <v>10</v>
      </c>
    </row>
    <row r="183" spans="1:11" ht="15.75" x14ac:dyDescent="0.25">
      <c r="A183" s="354"/>
      <c r="B183" s="355"/>
      <c r="C183" s="355"/>
      <c r="D183" s="355"/>
      <c r="E183" s="355"/>
      <c r="F183" s="355"/>
      <c r="G183" s="355"/>
      <c r="H183" s="355"/>
      <c r="I183" s="355"/>
      <c r="J183" s="355"/>
      <c r="K183" s="355"/>
    </row>
    <row r="184" spans="1:11" x14ac:dyDescent="0.25">
      <c r="A184" s="175" t="s">
        <v>59</v>
      </c>
      <c r="B184" s="356">
        <v>0</v>
      </c>
      <c r="C184" s="356">
        <v>0.99</v>
      </c>
      <c r="D184" s="356">
        <v>0</v>
      </c>
      <c r="E184" s="356">
        <v>1.9114359415305201E-2</v>
      </c>
      <c r="F184" s="362" t="e">
        <f>#REF!*#REF!*0.086/0.32</f>
        <v>#REF!</v>
      </c>
      <c r="G184" s="362" t="e">
        <f>(#REF!+#REF!+#REF!+#REF!+#REF!+#REF!)*#REF!*0.086</f>
        <v>#REF!</v>
      </c>
      <c r="H184" s="356">
        <v>24.4</v>
      </c>
      <c r="I184" s="63"/>
      <c r="J184" s="63"/>
      <c r="K184" s="63" t="e">
        <f>SUM(B184:H184)</f>
        <v>#REF!</v>
      </c>
    </row>
    <row r="185" spans="1:11" x14ac:dyDescent="0.25">
      <c r="A185" s="175" t="s">
        <v>60</v>
      </c>
      <c r="B185" s="356">
        <v>3.9420430643859001</v>
      </c>
      <c r="C185" s="356">
        <v>42.81</v>
      </c>
      <c r="D185" s="356">
        <v>30.839296393289001</v>
      </c>
      <c r="E185" s="356">
        <v>33.2504669093926</v>
      </c>
      <c r="F185" s="63"/>
      <c r="G185" s="63"/>
      <c r="H185" s="63">
        <v>0</v>
      </c>
      <c r="I185" s="75">
        <v>0</v>
      </c>
      <c r="J185" s="63"/>
      <c r="K185" s="63">
        <v>110.84180636706699</v>
      </c>
    </row>
    <row r="186" spans="1:11" x14ac:dyDescent="0.25">
      <c r="A186" s="175" t="s">
        <v>61</v>
      </c>
      <c r="B186" s="356">
        <v>0</v>
      </c>
      <c r="C186" s="356">
        <v>0</v>
      </c>
      <c r="D186" s="356">
        <v>0</v>
      </c>
      <c r="E186" s="356">
        <v>0</v>
      </c>
      <c r="F186" s="63"/>
      <c r="G186" s="63"/>
      <c r="H186" s="356">
        <v>-3.9572315921481001</v>
      </c>
      <c r="I186" s="63">
        <f>I202+I209</f>
        <v>-0.61079363022761157</v>
      </c>
      <c r="J186" s="63"/>
      <c r="K186" s="63">
        <v>-4.6554080254711101</v>
      </c>
    </row>
    <row r="187" spans="1:11" x14ac:dyDescent="0.25">
      <c r="A187" s="175" t="s">
        <v>62</v>
      </c>
      <c r="B187" s="356"/>
      <c r="C187" s="356"/>
      <c r="D187" s="356">
        <v>-1.4</v>
      </c>
      <c r="E187" s="356"/>
      <c r="F187" s="63"/>
      <c r="G187" s="63"/>
      <c r="H187" s="63"/>
      <c r="I187" s="63"/>
      <c r="J187" s="63"/>
      <c r="K187" s="63">
        <v>-1.4</v>
      </c>
    </row>
    <row r="188" spans="1:11" x14ac:dyDescent="0.25">
      <c r="A188" s="175" t="s">
        <v>63</v>
      </c>
      <c r="B188" s="356"/>
      <c r="C188" s="356"/>
      <c r="D188" s="356">
        <v>-9.8675445253719403</v>
      </c>
      <c r="E188" s="356"/>
      <c r="F188" s="63"/>
      <c r="G188" s="63"/>
      <c r="H188" s="63"/>
      <c r="I188" s="63"/>
      <c r="J188" s="63"/>
      <c r="K188" s="63">
        <v>-9.8675445253719403</v>
      </c>
    </row>
    <row r="189" spans="1:11" x14ac:dyDescent="0.25">
      <c r="A189" s="175" t="s">
        <v>64</v>
      </c>
      <c r="B189" s="63"/>
      <c r="C189" s="63"/>
      <c r="D189" s="63"/>
      <c r="E189" s="63"/>
      <c r="F189" s="63"/>
      <c r="G189" s="63"/>
      <c r="H189" s="63"/>
      <c r="I189" s="63"/>
      <c r="J189" s="63"/>
      <c r="K189" s="63">
        <v>0</v>
      </c>
    </row>
    <row r="190" spans="1:11" ht="15.75" x14ac:dyDescent="0.25">
      <c r="A190" s="358" t="s">
        <v>65</v>
      </c>
      <c r="B190" s="359">
        <v>3.9420430643859001</v>
      </c>
      <c r="C190" s="359">
        <v>43.8</v>
      </c>
      <c r="D190" s="359">
        <v>19.571751867917001</v>
      </c>
      <c r="E190" s="359">
        <v>33.269581268807897</v>
      </c>
      <c r="F190" s="359">
        <v>0</v>
      </c>
      <c r="G190" s="359">
        <v>0</v>
      </c>
      <c r="H190" s="359">
        <v>20.442768407851901</v>
      </c>
      <c r="I190" s="359">
        <f>SUM(I184:I189)</f>
        <v>-0.61079363022761157</v>
      </c>
      <c r="J190" s="359">
        <v>0</v>
      </c>
      <c r="K190" s="359">
        <v>120.32796817564</v>
      </c>
    </row>
    <row r="191" spans="1:11" ht="15.75" x14ac:dyDescent="0.25">
      <c r="A191" s="360"/>
      <c r="B191" s="361"/>
      <c r="C191" s="361"/>
      <c r="D191" s="361"/>
      <c r="E191" s="361"/>
      <c r="F191" s="361"/>
      <c r="G191" s="361"/>
      <c r="H191" s="361"/>
      <c r="I191" s="361"/>
      <c r="J191" s="361"/>
      <c r="K191" s="361"/>
    </row>
    <row r="192" spans="1:11" x14ac:dyDescent="0.25">
      <c r="A192" s="175" t="s">
        <v>66</v>
      </c>
      <c r="B192" s="63"/>
      <c r="C192" s="63"/>
      <c r="D192" s="63"/>
      <c r="E192" s="63"/>
      <c r="F192" s="63"/>
      <c r="G192" s="63"/>
      <c r="H192" s="63"/>
      <c r="I192" s="63"/>
      <c r="J192" s="63"/>
      <c r="K192" s="63">
        <v>0</v>
      </c>
    </row>
    <row r="193" spans="1:11" x14ac:dyDescent="0.25">
      <c r="A193" s="175" t="s">
        <v>67</v>
      </c>
      <c r="B193" s="356"/>
      <c r="C193" s="356"/>
      <c r="D193" s="356"/>
      <c r="E193" s="356"/>
      <c r="F193" s="63"/>
      <c r="G193" s="63"/>
      <c r="H193" s="356"/>
      <c r="I193" s="356"/>
      <c r="J193" s="63"/>
      <c r="K193" s="63">
        <v>0</v>
      </c>
    </row>
    <row r="194" spans="1:11" x14ac:dyDescent="0.25">
      <c r="A194" s="175" t="s">
        <v>68</v>
      </c>
      <c r="B194" s="356">
        <f>'Mix énergie_2015'!D18*'Mix énergie_2015'!L18/11.63/0.25</f>
        <v>2.5795356835769589</v>
      </c>
      <c r="C194" s="356">
        <v>0</v>
      </c>
      <c r="D194" s="356"/>
      <c r="E194" s="356">
        <f>'Mix énergie_2015'!G18*'Mix énergie_2015'!L18/11.63/0.58</f>
        <v>3.7803540190351907</v>
      </c>
      <c r="F194" s="362" t="e">
        <f>F184</f>
        <v>#REF!</v>
      </c>
      <c r="G194" s="362" t="e">
        <f>G184</f>
        <v>#REF!</v>
      </c>
      <c r="H194" s="356">
        <f>'Mix énergie_2015'!K18*'Mix énergie_2015'!L18/11.63/0.4</f>
        <v>6.6638005159071412</v>
      </c>
      <c r="I194" s="356">
        <f>-'Mix énergie_2015'!L18/11.63</f>
        <v>-55.460017196904552</v>
      </c>
      <c r="J194" s="63"/>
      <c r="K194" s="63" t="e">
        <f>SUM(B194:I194)</f>
        <v>#REF!</v>
      </c>
    </row>
    <row r="195" spans="1:11" x14ac:dyDescent="0.25">
      <c r="A195" s="175" t="s">
        <v>69</v>
      </c>
      <c r="B195" s="356"/>
      <c r="C195" s="356"/>
      <c r="D195" s="356"/>
      <c r="E195" s="356"/>
      <c r="F195" s="63"/>
      <c r="G195" s="63"/>
      <c r="H195" s="356"/>
      <c r="I195" s="356"/>
      <c r="J195" s="63"/>
      <c r="K195" s="63">
        <v>0</v>
      </c>
    </row>
    <row r="196" spans="1:11" x14ac:dyDescent="0.25">
      <c r="A196" s="175" t="s">
        <v>70</v>
      </c>
      <c r="B196" s="356">
        <v>0.135892809642852</v>
      </c>
      <c r="C196" s="356"/>
      <c r="D196" s="356">
        <v>2.58629024146893E-2</v>
      </c>
      <c r="E196" s="356">
        <v>1.4872400262784899</v>
      </c>
      <c r="F196" s="63"/>
      <c r="G196" s="63"/>
      <c r="H196" s="356">
        <v>1.30584074728472</v>
      </c>
      <c r="I196" s="356"/>
      <c r="J196" s="63">
        <v>2.6815325616924102</v>
      </c>
      <c r="K196" s="63">
        <v>5.6363690473131696</v>
      </c>
    </row>
    <row r="197" spans="1:11" x14ac:dyDescent="0.25">
      <c r="A197" s="175" t="s">
        <v>71</v>
      </c>
      <c r="B197" s="356"/>
      <c r="C197" s="356"/>
      <c r="D197" s="356"/>
      <c r="E197" s="356"/>
      <c r="F197" s="63"/>
      <c r="G197" s="63"/>
      <c r="H197" s="356"/>
      <c r="I197" s="356"/>
      <c r="J197" s="63"/>
      <c r="K197" s="63">
        <v>0</v>
      </c>
    </row>
    <row r="198" spans="1:11" x14ac:dyDescent="0.25">
      <c r="A198" s="175" t="s">
        <v>72</v>
      </c>
      <c r="B198" s="356"/>
      <c r="C198" s="356">
        <v>43.8</v>
      </c>
      <c r="D198" s="356">
        <v>-41.8</v>
      </c>
      <c r="E198" s="356">
        <v>0.7</v>
      </c>
      <c r="F198" s="63"/>
      <c r="G198" s="63"/>
      <c r="H198" s="356"/>
      <c r="I198" s="356"/>
      <c r="J198" s="63"/>
      <c r="K198" s="63">
        <v>2.7</v>
      </c>
    </row>
    <row r="199" spans="1:11" x14ac:dyDescent="0.25">
      <c r="A199" s="175" t="s">
        <v>74</v>
      </c>
      <c r="B199" s="356">
        <v>2.2968000000000002</v>
      </c>
      <c r="C199" s="356"/>
      <c r="D199" s="356"/>
      <c r="E199" s="356"/>
      <c r="F199" s="63"/>
      <c r="G199" s="63"/>
      <c r="H199" s="356"/>
      <c r="I199" s="356"/>
      <c r="J199" s="63"/>
      <c r="K199" s="63">
        <v>2.2968000000000002</v>
      </c>
    </row>
    <row r="200" spans="1:11" x14ac:dyDescent="0.25">
      <c r="A200" s="175" t="s">
        <v>75</v>
      </c>
      <c r="B200" s="356">
        <v>1.0374988057705199</v>
      </c>
      <c r="C200" s="356"/>
      <c r="D200" s="356">
        <v>1.7969999999999999</v>
      </c>
      <c r="E200" s="356">
        <v>1.2420767288043999</v>
      </c>
      <c r="F200" s="63"/>
      <c r="G200" s="63"/>
      <c r="H200" s="356">
        <v>5.1017483519633103E-2</v>
      </c>
      <c r="I200" s="356">
        <v>2.7822871883060998</v>
      </c>
      <c r="J200" s="63"/>
      <c r="K200" s="63">
        <v>6.9098802064006604</v>
      </c>
    </row>
    <row r="201" spans="1:11" x14ac:dyDescent="0.25">
      <c r="A201" s="175" t="s">
        <v>76</v>
      </c>
      <c r="B201" s="356"/>
      <c r="C201" s="356"/>
      <c r="D201" s="356"/>
      <c r="E201" s="356">
        <v>0.41641310817864502</v>
      </c>
      <c r="F201" s="63"/>
      <c r="G201" s="63"/>
      <c r="H201" s="356"/>
      <c r="I201" s="356">
        <v>3.4599202074282398</v>
      </c>
      <c r="J201" s="63"/>
      <c r="K201" s="63">
        <v>3.87633331560688</v>
      </c>
    </row>
    <row r="202" spans="1:11" ht="15.75" x14ac:dyDescent="0.25">
      <c r="A202" s="358" t="s">
        <v>77</v>
      </c>
      <c r="B202" s="359">
        <v>3.4701916154133698</v>
      </c>
      <c r="C202" s="359">
        <v>43.8</v>
      </c>
      <c r="D202" s="359">
        <v>-39.977137097585299</v>
      </c>
      <c r="E202" s="359">
        <v>8.78920967865864</v>
      </c>
      <c r="F202" s="359">
        <v>0</v>
      </c>
      <c r="G202" s="359">
        <v>0</v>
      </c>
      <c r="H202" s="359">
        <v>1.35685823080435</v>
      </c>
      <c r="I202" s="359">
        <f>SUM(I192:I201)</f>
        <v>-49.217809801170212</v>
      </c>
      <c r="J202" s="359">
        <v>2.6815325616924102</v>
      </c>
      <c r="K202" s="359">
        <v>-29.184537615282199</v>
      </c>
    </row>
    <row r="203" spans="1:11" ht="15.75" x14ac:dyDescent="0.25">
      <c r="A203" s="360"/>
      <c r="B203" s="361"/>
      <c r="C203" s="361"/>
      <c r="D203" s="361"/>
      <c r="E203" s="361"/>
      <c r="F203" s="361"/>
      <c r="G203" s="361"/>
      <c r="H203" s="361"/>
      <c r="I203" s="361"/>
      <c r="J203" s="361"/>
      <c r="K203" s="361"/>
    </row>
    <row r="204" spans="1:11" ht="15.75" x14ac:dyDescent="0.25">
      <c r="A204" s="363" t="s">
        <v>78</v>
      </c>
      <c r="B204" s="356">
        <v>0</v>
      </c>
      <c r="C204" s="63"/>
      <c r="D204" s="356">
        <v>0.35040946047782001</v>
      </c>
      <c r="E204" s="356">
        <v>13.1122786123137</v>
      </c>
      <c r="F204" s="63"/>
      <c r="G204" s="63"/>
      <c r="H204" s="356">
        <v>4.66831152571954</v>
      </c>
      <c r="I204" s="356">
        <v>12.829852160228</v>
      </c>
      <c r="J204" s="356">
        <v>0.81083472365086695</v>
      </c>
      <c r="K204" s="63">
        <v>31.771686482389899</v>
      </c>
    </row>
    <row r="205" spans="1:11" ht="15.75" x14ac:dyDescent="0.25">
      <c r="A205" s="363" t="s">
        <v>79</v>
      </c>
      <c r="B205" s="63"/>
      <c r="C205" s="63"/>
      <c r="D205" s="356">
        <v>35.4517442</v>
      </c>
      <c r="E205" s="356">
        <v>0.105274671461417</v>
      </c>
      <c r="F205" s="63"/>
      <c r="G205" s="63"/>
      <c r="H205" s="356">
        <v>2.51195197643551</v>
      </c>
      <c r="I205" s="356">
        <v>4.1345119518486699</v>
      </c>
      <c r="J205" s="356">
        <v>0</v>
      </c>
      <c r="K205" s="63">
        <v>42.203482799745601</v>
      </c>
    </row>
    <row r="206" spans="1:11" x14ac:dyDescent="0.25">
      <c r="A206" s="175" t="s">
        <v>80</v>
      </c>
      <c r="B206" s="356">
        <v>0</v>
      </c>
      <c r="C206" s="63"/>
      <c r="D206" s="356">
        <v>2.9572954110546101</v>
      </c>
      <c r="E206" s="356">
        <v>6.53908745235245</v>
      </c>
      <c r="F206" s="63"/>
      <c r="G206" s="63"/>
      <c r="H206" s="356">
        <v>10.5065557971717</v>
      </c>
      <c r="I206" s="356">
        <v>13.5983670581426</v>
      </c>
      <c r="J206" s="356">
        <v>1.14544436300186</v>
      </c>
      <c r="K206" s="63">
        <v>34.746750081723299</v>
      </c>
    </row>
    <row r="207" spans="1:11" x14ac:dyDescent="0.25">
      <c r="A207" s="175" t="s">
        <v>81</v>
      </c>
      <c r="B207" s="356">
        <v>0</v>
      </c>
      <c r="C207" s="63"/>
      <c r="D207" s="356">
        <v>1.3854656446401701</v>
      </c>
      <c r="E207" s="356">
        <v>3.4047021225751299</v>
      </c>
      <c r="F207" s="63"/>
      <c r="G207" s="63"/>
      <c r="H207" s="356">
        <v>1.2275980094224599</v>
      </c>
      <c r="I207" s="356">
        <v>17.452965476499799</v>
      </c>
      <c r="J207" s="356">
        <v>0.72525347503968096</v>
      </c>
      <c r="K207" s="63">
        <v>24.195984728177201</v>
      </c>
    </row>
    <row r="208" spans="1:11" x14ac:dyDescent="0.25">
      <c r="A208" s="175" t="s">
        <v>82</v>
      </c>
      <c r="B208" s="356">
        <v>2.2137192704974398E-3</v>
      </c>
      <c r="C208" s="63"/>
      <c r="D208" s="356">
        <v>2.78834566881127</v>
      </c>
      <c r="E208" s="356">
        <v>0.17469504166713101</v>
      </c>
      <c r="F208" s="63"/>
      <c r="G208" s="63"/>
      <c r="H208" s="356">
        <v>0.17149286829830701</v>
      </c>
      <c r="I208" s="356">
        <v>0.59131952422357603</v>
      </c>
      <c r="J208" s="356">
        <v>6.4536710533781398E-3</v>
      </c>
      <c r="K208" s="63">
        <v>3.73452049332416</v>
      </c>
    </row>
    <row r="209" spans="1:11" ht="15.75" x14ac:dyDescent="0.25">
      <c r="A209" s="358" t="s">
        <v>83</v>
      </c>
      <c r="B209" s="359">
        <v>2.2137192704974398E-3</v>
      </c>
      <c r="C209" s="359">
        <v>0</v>
      </c>
      <c r="D209" s="359">
        <v>42.933260384983903</v>
      </c>
      <c r="E209" s="359">
        <v>23.336037900369799</v>
      </c>
      <c r="F209" s="359">
        <v>0</v>
      </c>
      <c r="G209" s="359">
        <v>0</v>
      </c>
      <c r="H209" s="359">
        <v>19.085910177047499</v>
      </c>
      <c r="I209" s="359">
        <v>48.6070161709426</v>
      </c>
      <c r="J209" s="359">
        <v>2.6879862327457902</v>
      </c>
      <c r="K209" s="359">
        <v>136.65242458536</v>
      </c>
    </row>
    <row r="210" spans="1:11" x14ac:dyDescent="0.25">
      <c r="A210" s="175" t="s">
        <v>84</v>
      </c>
      <c r="B210" s="63">
        <v>0.46963772970203199</v>
      </c>
      <c r="C210" s="63"/>
      <c r="D210" s="364">
        <v>16.6156285805185</v>
      </c>
      <c r="E210" s="364">
        <v>1.14433368977949</v>
      </c>
      <c r="F210" s="63"/>
      <c r="G210" s="63"/>
      <c r="H210" s="63"/>
      <c r="I210" s="63"/>
      <c r="J210" s="63"/>
      <c r="K210" s="63">
        <v>18.229600000000001</v>
      </c>
    </row>
    <row r="211" spans="1:11" ht="15.75" x14ac:dyDescent="0.25">
      <c r="A211" s="358" t="s">
        <v>85</v>
      </c>
      <c r="B211" s="359">
        <v>0.47185144897253001</v>
      </c>
      <c r="C211" s="359">
        <v>0</v>
      </c>
      <c r="D211" s="359">
        <v>59.5488889655023</v>
      </c>
      <c r="E211" s="359">
        <v>24.4803715901493</v>
      </c>
      <c r="F211" s="359">
        <v>0</v>
      </c>
      <c r="G211" s="359">
        <v>0</v>
      </c>
      <c r="H211" s="359">
        <v>19.085910177047499</v>
      </c>
      <c r="I211" s="359">
        <v>48.6070161709426</v>
      </c>
      <c r="J211" s="359">
        <v>2.6879862327457902</v>
      </c>
      <c r="K211" s="359">
        <v>154.88202458536</v>
      </c>
    </row>
  </sheetData>
  <conditionalFormatting sqref="B11:K11 B38:K38 B54:K54 B97:K97 B140:K140 B183:K183">
    <cfRule type="cellIs" dxfId="170" priority="1" operator="equal">
      <formula>0</formula>
    </cfRule>
  </conditionalFormatting>
  <conditionalFormatting sqref="B81:K81">
    <cfRule type="cellIs" dxfId="169" priority="9" operator="equal">
      <formula>0</formula>
    </cfRule>
  </conditionalFormatting>
  <conditionalFormatting sqref="B124:K124">
    <cfRule type="cellIs" dxfId="168" priority="11" operator="equal">
      <formula>0</formula>
    </cfRule>
  </conditionalFormatting>
  <conditionalFormatting sqref="B167:K167">
    <cfRule type="cellIs" dxfId="167" priority="13" operator="equal">
      <formula>0</formula>
    </cfRule>
  </conditionalFormatting>
  <conditionalFormatting sqref="B210:K210">
    <cfRule type="cellIs" dxfId="166" priority="3" operator="equal">
      <formula>0</formula>
    </cfRule>
  </conditionalFormatting>
  <conditionalFormatting sqref="D56:D57">
    <cfRule type="cellIs" dxfId="165" priority="21" operator="equal">
      <formula>0</formula>
    </cfRule>
  </conditionalFormatting>
  <conditionalFormatting sqref="D99:D100">
    <cfRule type="cellIs" dxfId="164" priority="22" operator="equal">
      <formula>0</formula>
    </cfRule>
  </conditionalFormatting>
  <conditionalFormatting sqref="D142:D143">
    <cfRule type="cellIs" dxfId="163" priority="23" operator="equal">
      <formula>0</formula>
    </cfRule>
  </conditionalFormatting>
  <conditionalFormatting sqref="D185:D186">
    <cfRule type="cellIs" dxfId="162" priority="24" operator="equal">
      <formula>0</formula>
    </cfRule>
  </conditionalFormatting>
  <conditionalFormatting sqref="I99:I100">
    <cfRule type="cellIs" dxfId="161" priority="18" operator="equal">
      <formula>0</formula>
    </cfRule>
  </conditionalFormatting>
  <conditionalFormatting sqref="I108">
    <cfRule type="cellIs" dxfId="160" priority="15" operator="equal">
      <formula>0</formula>
    </cfRule>
  </conditionalFormatting>
  <conditionalFormatting sqref="I142:I143">
    <cfRule type="cellIs" dxfId="159" priority="19" operator="equal">
      <formula>0</formula>
    </cfRule>
  </conditionalFormatting>
  <conditionalFormatting sqref="I151">
    <cfRule type="cellIs" dxfId="158" priority="16" operator="equal">
      <formula>0</formula>
    </cfRule>
  </conditionalFormatting>
  <conditionalFormatting sqref="I185:I186">
    <cfRule type="cellIs" dxfId="157" priority="20" operator="equal">
      <formula>0</formula>
    </cfRule>
  </conditionalFormatting>
  <conditionalFormatting sqref="I194">
    <cfRule type="cellIs" dxfId="156" priority="17" operator="equal">
      <formula>0</formula>
    </cfRule>
  </conditionalFormatting>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Z412"/>
  <sheetViews>
    <sheetView workbookViewId="0"/>
  </sheetViews>
  <sheetFormatPr baseColWidth="10" defaultColWidth="9.140625" defaultRowHeight="15" x14ac:dyDescent="0.25"/>
  <cols>
    <col min="1" max="1" width="20.7109375" style="351" customWidth="1"/>
    <col min="2" max="11" width="9.140625" style="351"/>
    <col min="12" max="12" width="15" style="351" customWidth="1"/>
    <col min="13" max="78" width="9.140625" style="351"/>
  </cols>
  <sheetData>
    <row r="1" spans="1:78" ht="28.5" x14ac:dyDescent="0.45">
      <c r="A1" s="223" t="s">
        <v>317</v>
      </c>
      <c r="B1" s="224"/>
      <c r="C1" s="224"/>
      <c r="D1" s="224"/>
      <c r="E1" s="224"/>
      <c r="F1" s="225" t="s">
        <v>318</v>
      </c>
      <c r="G1" s="226" t="s">
        <v>319</v>
      </c>
      <c r="H1" s="226"/>
      <c r="I1" s="225" t="s">
        <v>48</v>
      </c>
      <c r="J1" s="226">
        <v>2.1</v>
      </c>
      <c r="K1" s="225" t="s">
        <v>49</v>
      </c>
      <c r="L1" s="227">
        <v>43144</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row>
    <row r="2" spans="1:78" ht="26.25" x14ac:dyDescent="0.4">
      <c r="A2"/>
      <c r="B2" s="228"/>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row>
    <row r="3" spans="1:78" ht="21" x14ac:dyDescent="0.35">
      <c r="A3" s="229"/>
      <c r="B3" s="230"/>
      <c r="C3" s="231"/>
      <c r="D3" s="232"/>
      <c r="E3" s="230"/>
      <c r="F3" s="23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row>
    <row r="4" spans="1:78" x14ac:dyDescent="0.25">
      <c r="A4"/>
      <c r="B4" s="231"/>
      <c r="C4"/>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row>
    <row r="5" spans="1:78" ht="21" x14ac:dyDescent="0.35">
      <c r="A5" s="234" t="s">
        <v>96</v>
      </c>
      <c r="B5" s="235"/>
      <c r="C5" s="235"/>
      <c r="D5" s="235"/>
      <c r="E5" s="235"/>
      <c r="F5" s="235"/>
      <c r="G5" s="235"/>
      <c r="H5" s="235"/>
      <c r="I5" s="235"/>
      <c r="J5" s="235"/>
      <c r="K5" s="235"/>
      <c r="L5" s="23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row>
    <row r="6" spans="1:78" x14ac:dyDescent="0.25">
      <c r="A6"/>
      <c r="B6" s="236"/>
      <c r="C6" s="236"/>
      <c r="D6" s="236"/>
      <c r="E6" s="23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row>
    <row r="7" spans="1:78" ht="16.5" thickBot="1" x14ac:dyDescent="0.3">
      <c r="A7" s="237" t="s">
        <v>97</v>
      </c>
      <c r="B7" s="238"/>
      <c r="C7" s="238"/>
      <c r="D7" s="238"/>
      <c r="E7" s="238"/>
      <c r="F7" s="239"/>
      <c r="G7" s="239"/>
      <c r="H7" s="239"/>
      <c r="I7" s="239"/>
      <c r="J7" s="239"/>
      <c r="K7" s="239"/>
      <c r="L7" s="239"/>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row>
    <row r="8" spans="1:78" ht="15.75" thickBot="1" x14ac:dyDescent="0.3">
      <c r="A8" s="240" t="s">
        <v>51</v>
      </c>
      <c r="B8" s="241">
        <v>2000</v>
      </c>
      <c r="C8" s="241">
        <v>2015</v>
      </c>
      <c r="D8" s="241">
        <v>2020</v>
      </c>
      <c r="E8" s="241">
        <v>2025</v>
      </c>
      <c r="F8" s="241">
        <v>2030</v>
      </c>
      <c r="G8" s="241">
        <v>2050</v>
      </c>
      <c r="H8" s="242" t="s">
        <v>98</v>
      </c>
      <c r="I8" s="241" t="s">
        <v>99</v>
      </c>
      <c r="J8" s="241" t="s">
        <v>100</v>
      </c>
      <c r="K8" s="241" t="s">
        <v>101</v>
      </c>
      <c r="L8" s="243" t="s">
        <v>320</v>
      </c>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row>
    <row r="9" spans="1:78" x14ac:dyDescent="0.25">
      <c r="A9" s="244" t="s">
        <v>103</v>
      </c>
      <c r="B9" s="245">
        <v>6.4882</v>
      </c>
      <c r="C9" s="245">
        <v>3.3111000000000002</v>
      </c>
      <c r="D9" s="245">
        <v>2.6368999999999998</v>
      </c>
      <c r="E9" s="245">
        <v>1.9693000000000001</v>
      </c>
      <c r="F9" s="245">
        <v>1.3056000000000001</v>
      </c>
      <c r="G9" s="245">
        <v>1.3048999999999999</v>
      </c>
      <c r="H9" s="246">
        <v>-4.3856219092764999E-2</v>
      </c>
      <c r="I9" s="247">
        <v>-4.4514122029814703E-2</v>
      </c>
      <c r="J9" s="247">
        <v>-5.6713445416275397E-2</v>
      </c>
      <c r="K9" s="247">
        <v>-7.8915122401445395E-2</v>
      </c>
      <c r="L9" s="248">
        <v>-2.68144275689108E-5</v>
      </c>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row>
    <row r="10" spans="1:78" x14ac:dyDescent="0.25">
      <c r="A10" s="244" t="s">
        <v>54</v>
      </c>
      <c r="B10" s="245">
        <v>11.950799999999999</v>
      </c>
      <c r="C10" s="245">
        <v>10.494899999999999</v>
      </c>
      <c r="D10" s="245">
        <v>11.5999</v>
      </c>
      <c r="E10" s="245">
        <v>12.073700000000001</v>
      </c>
      <c r="F10" s="245">
        <v>12.567299999999999</v>
      </c>
      <c r="G10" s="245">
        <v>14.305199999999999</v>
      </c>
      <c r="H10" s="249">
        <v>-8.6231916102810207E-3</v>
      </c>
      <c r="I10" s="250">
        <v>2.0223183282431102E-2</v>
      </c>
      <c r="J10" s="250">
        <v>8.0387498082372701E-3</v>
      </c>
      <c r="K10" s="250">
        <v>8.0459297318797897E-3</v>
      </c>
      <c r="L10" s="251">
        <v>6.4972614773459699E-3</v>
      </c>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row>
    <row r="11" spans="1:78" x14ac:dyDescent="0.25">
      <c r="A11" s="244" t="s">
        <v>42</v>
      </c>
      <c r="B11" s="245">
        <v>6.5015999999999998</v>
      </c>
      <c r="C11" s="245">
        <v>4.4408000000000003</v>
      </c>
      <c r="D11" s="245">
        <v>3.5754999999999999</v>
      </c>
      <c r="E11" s="245">
        <v>3.1808999999999998</v>
      </c>
      <c r="F11" s="245">
        <v>2.7844000000000002</v>
      </c>
      <c r="G11" s="245">
        <v>2.3864999999999998</v>
      </c>
      <c r="H11" s="249">
        <v>-2.5094027085230002E-2</v>
      </c>
      <c r="I11" s="250">
        <v>-4.2419896843558201E-2</v>
      </c>
      <c r="J11" s="250">
        <v>-2.3116786763208101E-2</v>
      </c>
      <c r="K11" s="250">
        <v>-2.6274997072359401E-2</v>
      </c>
      <c r="L11" s="251">
        <v>-7.68058008268968E-3</v>
      </c>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row>
    <row r="12" spans="1:78" x14ac:dyDescent="0.25">
      <c r="A12" s="244" t="s">
        <v>104</v>
      </c>
      <c r="B12" s="245">
        <v>11.392799999999999</v>
      </c>
      <c r="C12" s="245">
        <v>9.9553999999999991</v>
      </c>
      <c r="D12" s="245">
        <v>10.2475</v>
      </c>
      <c r="E12" s="245">
        <v>10.430999999999999</v>
      </c>
      <c r="F12" s="245">
        <v>10.629</v>
      </c>
      <c r="G12" s="245">
        <v>12.7157</v>
      </c>
      <c r="H12" s="249">
        <v>-8.95079824608736E-3</v>
      </c>
      <c r="I12" s="250">
        <v>5.8004892403744597E-3</v>
      </c>
      <c r="J12" s="250">
        <v>3.5559812120831099E-3</v>
      </c>
      <c r="K12" s="250">
        <v>3.7678752329486399E-3</v>
      </c>
      <c r="L12" s="251">
        <v>9.0028508560735503E-3</v>
      </c>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row>
    <row r="13" spans="1:78" x14ac:dyDescent="0.25">
      <c r="A13" s="244" t="s">
        <v>105</v>
      </c>
      <c r="B13" s="245">
        <v>1.0062</v>
      </c>
      <c r="C13" s="245">
        <v>1.8103</v>
      </c>
      <c r="D13" s="245">
        <v>1.4061999999999999</v>
      </c>
      <c r="E13" s="245">
        <v>1.4024000000000001</v>
      </c>
      <c r="F13" s="245">
        <v>1.397</v>
      </c>
      <c r="G13" s="245">
        <v>1.4796</v>
      </c>
      <c r="H13" s="249">
        <v>3.99307397641082E-2</v>
      </c>
      <c r="I13" s="250">
        <v>-4.9265380300576603E-2</v>
      </c>
      <c r="J13" s="250">
        <v>-5.4104881188299402E-4</v>
      </c>
      <c r="K13" s="250">
        <v>-7.7129726723867997E-4</v>
      </c>
      <c r="L13" s="251">
        <v>2.8763638541484701E-3</v>
      </c>
      <c r="M13"/>
      <c r="N13"/>
      <c r="O13" s="252"/>
      <c r="P13" s="252"/>
      <c r="Q13" s="252"/>
      <c r="R13" s="252"/>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row>
    <row r="14" spans="1:78" x14ac:dyDescent="0.25">
      <c r="A14" s="244" t="s">
        <v>106</v>
      </c>
      <c r="B14" s="245">
        <v>1.5759000000000001</v>
      </c>
      <c r="C14" s="245">
        <v>1.8351</v>
      </c>
      <c r="D14" s="245">
        <v>2.5373999999999999</v>
      </c>
      <c r="E14" s="245">
        <v>3.0972</v>
      </c>
      <c r="F14" s="245">
        <v>3.6291000000000002</v>
      </c>
      <c r="G14" s="245">
        <v>4.2359999999999998</v>
      </c>
      <c r="H14" s="249">
        <v>1.02031971204586E-2</v>
      </c>
      <c r="I14" s="250">
        <v>6.6954354117112702E-2</v>
      </c>
      <c r="J14" s="250">
        <v>4.0677255645489498E-2</v>
      </c>
      <c r="K14" s="250">
        <v>3.2204948886277902E-2</v>
      </c>
      <c r="L14" s="251">
        <v>7.7617042671653796E-3</v>
      </c>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row>
    <row r="15" spans="1:78" x14ac:dyDescent="0.25">
      <c r="A15" s="244"/>
      <c r="B15" s="245"/>
      <c r="C15" s="245"/>
      <c r="D15" s="245"/>
      <c r="E15" s="245"/>
      <c r="F15" s="245"/>
      <c r="G15" s="245"/>
      <c r="H15" s="249"/>
      <c r="I15" s="250"/>
      <c r="J15" s="250"/>
      <c r="K15" s="250"/>
      <c r="L15" s="251"/>
      <c r="M15"/>
      <c r="N15"/>
      <c r="O15" s="252"/>
      <c r="P15" s="252"/>
      <c r="Q15" s="252"/>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row>
    <row r="16" spans="1:78" ht="15.75" thickBot="1" x14ac:dyDescent="0.3">
      <c r="A16" s="253" t="s">
        <v>10</v>
      </c>
      <c r="B16" s="254">
        <v>38.915500000000002</v>
      </c>
      <c r="C16" s="254">
        <v>31.8477</v>
      </c>
      <c r="D16" s="254">
        <v>32.003300000000003</v>
      </c>
      <c r="E16" s="254">
        <v>32.154499999999999</v>
      </c>
      <c r="F16" s="254">
        <v>32.312199999999997</v>
      </c>
      <c r="G16" s="254">
        <v>36.428100000000001</v>
      </c>
      <c r="H16" s="255">
        <v>-1.32729578759672E-2</v>
      </c>
      <c r="I16" s="256">
        <v>9.75246558531762E-4</v>
      </c>
      <c r="J16" s="256">
        <v>9.4312192044454502E-4</v>
      </c>
      <c r="K16" s="256">
        <v>9.789705007394729E-4</v>
      </c>
      <c r="L16" s="257">
        <v>6.0127839972017299E-3</v>
      </c>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row>
    <row r="17" spans="1:78" x14ac:dyDescent="0.25">
      <c r="A17" s="258"/>
      <c r="B17"/>
      <c r="C17"/>
      <c r="D17" s="259"/>
      <c r="E17" s="259"/>
      <c r="F17" s="259"/>
      <c r="G17" s="259"/>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row>
    <row r="18" spans="1:78" x14ac:dyDescent="0.25">
      <c r="A18"/>
      <c r="B18"/>
      <c r="C18"/>
      <c r="D18"/>
      <c r="E18"/>
      <c r="F18" s="260"/>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row>
    <row r="19" spans="1:78" ht="16.5" thickBot="1" x14ac:dyDescent="0.3">
      <c r="A19" s="237" t="s">
        <v>107</v>
      </c>
      <c r="B19" s="238"/>
      <c r="C19" s="238"/>
      <c r="D19" s="238"/>
      <c r="E19" s="238"/>
      <c r="F19" s="238"/>
      <c r="G19" s="239"/>
      <c r="H19" s="239"/>
      <c r="I19" s="239"/>
      <c r="J19" s="239"/>
      <c r="K19" s="239"/>
      <c r="L19" s="23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row>
    <row r="20" spans="1:78" ht="15.75" thickBot="1" x14ac:dyDescent="0.3">
      <c r="A20" s="240" t="s">
        <v>51</v>
      </c>
      <c r="B20" s="241">
        <v>2000</v>
      </c>
      <c r="C20" s="241">
        <v>2015</v>
      </c>
      <c r="D20" s="241">
        <v>2020</v>
      </c>
      <c r="E20" s="241">
        <v>2025</v>
      </c>
      <c r="F20" s="241">
        <v>2030</v>
      </c>
      <c r="G20" s="241">
        <v>2050</v>
      </c>
      <c r="H20" s="261" t="s">
        <v>98</v>
      </c>
      <c r="I20" s="262" t="s">
        <v>99</v>
      </c>
      <c r="J20" s="262" t="s">
        <v>100</v>
      </c>
      <c r="K20" s="262" t="s">
        <v>101</v>
      </c>
      <c r="L20" s="263" t="s">
        <v>320</v>
      </c>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row>
    <row r="21" spans="1:78" x14ac:dyDescent="0.25">
      <c r="A21" s="244" t="s">
        <v>108</v>
      </c>
      <c r="B21" s="264">
        <v>12.8356442885731</v>
      </c>
      <c r="C21" s="264">
        <v>12.448173508076</v>
      </c>
      <c r="D21" s="264">
        <v>13.005694811337801</v>
      </c>
      <c r="E21" s="264">
        <v>13.4270982361849</v>
      </c>
      <c r="F21" s="264">
        <v>13.913274339353899</v>
      </c>
      <c r="G21" s="264">
        <v>16.6156285805185</v>
      </c>
      <c r="H21" s="265">
        <v>-2.0413871877454901E-3</v>
      </c>
      <c r="I21" s="266">
        <v>8.8011882941165798E-3</v>
      </c>
      <c r="J21" s="266">
        <v>6.3978991642414896E-3</v>
      </c>
      <c r="K21" s="266">
        <v>7.1390526967343203E-3</v>
      </c>
      <c r="L21" s="267">
        <v>8.9145177562362007E-3</v>
      </c>
      <c r="M21"/>
      <c r="N21"/>
      <c r="O21"/>
      <c r="P21"/>
      <c r="Q21"/>
      <c r="R21" s="268"/>
      <c r="S21" s="269"/>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row>
    <row r="22" spans="1:78" x14ac:dyDescent="0.25">
      <c r="A22" s="244" t="s">
        <v>54</v>
      </c>
      <c r="B22" s="264">
        <v>1.62869795676853</v>
      </c>
      <c r="C22" s="264">
        <v>1.1015166939407</v>
      </c>
      <c r="D22" s="264">
        <v>1.10724474305145</v>
      </c>
      <c r="E22" s="264">
        <v>1.11157429870939</v>
      </c>
      <c r="F22" s="264">
        <v>1.11656933760591</v>
      </c>
      <c r="G22" s="264">
        <v>1.14433368977949</v>
      </c>
      <c r="H22" s="270">
        <v>-2.57358948260114E-2</v>
      </c>
      <c r="I22" s="271">
        <v>1.0378728715621001E-3</v>
      </c>
      <c r="J22" s="271">
        <v>7.8082099669196702E-4</v>
      </c>
      <c r="K22" s="271">
        <v>8.9712125008523103E-4</v>
      </c>
      <c r="L22" s="272">
        <v>1.2288366156623101E-3</v>
      </c>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row>
    <row r="23" spans="1:78" x14ac:dyDescent="0.25">
      <c r="A23" s="244" t="s">
        <v>42</v>
      </c>
      <c r="B23" s="245">
        <v>0.15113499999999999</v>
      </c>
      <c r="C23" s="245">
        <v>0.30480979798330099</v>
      </c>
      <c r="D23" s="245">
        <v>0.32686044561077698</v>
      </c>
      <c r="E23" s="245">
        <v>0.34352746510573001</v>
      </c>
      <c r="F23" s="245">
        <v>0.36275632304023198</v>
      </c>
      <c r="G23" s="245">
        <v>0.46963772970203199</v>
      </c>
      <c r="H23" s="270"/>
      <c r="I23" s="271"/>
      <c r="J23" s="271"/>
      <c r="K23" s="271"/>
      <c r="L23" s="272"/>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row>
    <row r="24" spans="1:78" ht="15.75" thickBot="1" x14ac:dyDescent="0.3">
      <c r="A24" s="253" t="s">
        <v>10</v>
      </c>
      <c r="B24" s="273">
        <v>14.6154772453416</v>
      </c>
      <c r="C24" s="273">
        <v>13.8545</v>
      </c>
      <c r="D24" s="274">
        <v>14.4398</v>
      </c>
      <c r="E24" s="273">
        <v>14.882199999999999</v>
      </c>
      <c r="F24" s="273">
        <v>15.3926</v>
      </c>
      <c r="G24" s="273">
        <v>18.229600000000001</v>
      </c>
      <c r="H24" s="275">
        <v>-3.55838475051873E-3</v>
      </c>
      <c r="I24" s="276">
        <v>8.3099764234824108E-3</v>
      </c>
      <c r="J24" s="276">
        <v>6.0537674282470401E-3</v>
      </c>
      <c r="K24" s="276">
        <v>6.7669946405326496E-3</v>
      </c>
      <c r="L24" s="277">
        <v>8.4938584503877496E-3</v>
      </c>
      <c r="M24"/>
      <c r="N24"/>
      <c r="O24"/>
      <c r="P24"/>
      <c r="Q24"/>
      <c r="R24"/>
      <c r="S24" s="269"/>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row>
    <row r="25" spans="1:78" x14ac:dyDescent="0.25">
      <c r="A25" s="258"/>
      <c r="B25"/>
      <c r="C25"/>
      <c r="D25"/>
      <c r="E25"/>
      <c r="F25" s="260"/>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row>
    <row r="26" spans="1:78" x14ac:dyDescent="0.25">
      <c r="A26" s="258"/>
      <c r="B26"/>
      <c r="C26"/>
      <c r="D26"/>
      <c r="E26"/>
      <c r="F26" s="260"/>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row>
    <row r="27" spans="1:78" ht="16.5" thickBot="1" x14ac:dyDescent="0.3">
      <c r="A27" s="237" t="s">
        <v>110</v>
      </c>
      <c r="B27" s="238"/>
      <c r="C27" s="238"/>
      <c r="D27" s="238"/>
      <c r="E27" s="238"/>
      <c r="F27" s="238"/>
      <c r="G27" s="239"/>
      <c r="H27" s="239"/>
      <c r="I27" s="239"/>
      <c r="J27" s="239"/>
      <c r="K27" s="239"/>
      <c r="L27" s="239"/>
      <c r="M27"/>
      <c r="N27"/>
      <c r="O27"/>
      <c r="P27"/>
      <c r="Q27"/>
      <c r="R27" s="269"/>
      <c r="S27" s="269"/>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row>
    <row r="28" spans="1:78" ht="15.75" thickBot="1" x14ac:dyDescent="0.3">
      <c r="A28" s="240" t="s">
        <v>51</v>
      </c>
      <c r="B28" s="241">
        <v>2000</v>
      </c>
      <c r="C28" s="241">
        <v>2015</v>
      </c>
      <c r="D28" s="241">
        <v>2020</v>
      </c>
      <c r="E28" s="241">
        <v>2025</v>
      </c>
      <c r="F28" s="241">
        <v>2030</v>
      </c>
      <c r="G28" s="241">
        <v>2050</v>
      </c>
      <c r="H28" s="261" t="s">
        <v>98</v>
      </c>
      <c r="I28" s="262" t="s">
        <v>99</v>
      </c>
      <c r="J28" s="262" t="s">
        <v>100</v>
      </c>
      <c r="K28" s="262" t="s">
        <v>101</v>
      </c>
      <c r="L28" s="263" t="s">
        <v>320</v>
      </c>
      <c r="M28"/>
      <c r="N28"/>
      <c r="O28"/>
      <c r="P28"/>
      <c r="Q28"/>
      <c r="R28" s="269"/>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row>
    <row r="29" spans="1:78" x14ac:dyDescent="0.25">
      <c r="A29" s="278" t="s">
        <v>111</v>
      </c>
      <c r="B29" s="279">
        <v>8.0395000000000003</v>
      </c>
      <c r="C29" s="279">
        <v>5.1847000000000003</v>
      </c>
      <c r="D29" s="279">
        <v>5.0029000000000003</v>
      </c>
      <c r="E29" s="279">
        <v>4.8792999999999997</v>
      </c>
      <c r="F29" s="279">
        <v>4.7746000000000004</v>
      </c>
      <c r="G29" s="279">
        <v>4.2873000000000001</v>
      </c>
      <c r="H29" s="265">
        <v>-2.8820202773232301E-2</v>
      </c>
      <c r="I29" s="266">
        <v>-7.1134262577403603E-3</v>
      </c>
      <c r="J29" s="266">
        <v>-4.9907003339448898E-3</v>
      </c>
      <c r="K29" s="266">
        <v>-4.3289163455219101E-3</v>
      </c>
      <c r="L29" s="267">
        <v>-5.3681913174004102E-3</v>
      </c>
      <c r="M29"/>
      <c r="N29"/>
      <c r="O29"/>
      <c r="P29"/>
      <c r="Q29"/>
      <c r="R29" s="269"/>
      <c r="S29" s="280"/>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row>
    <row r="30" spans="1:78" x14ac:dyDescent="0.25">
      <c r="A30" s="281" t="s">
        <v>321</v>
      </c>
      <c r="B30" s="282">
        <v>6.7333081685296703</v>
      </c>
      <c r="C30" s="282">
        <v>4.3241676698194302</v>
      </c>
      <c r="D30" s="282">
        <v>4.12923766122098</v>
      </c>
      <c r="E30" s="282">
        <v>4.0052162510748097</v>
      </c>
      <c r="F30" s="282">
        <v>3.8777862424763501</v>
      </c>
      <c r="G30" s="282">
        <v>3.36553766122098</v>
      </c>
      <c r="H30" s="270">
        <v>-2.9091576675537301E-2</v>
      </c>
      <c r="I30" s="271">
        <v>-9.1829510527656807E-3</v>
      </c>
      <c r="J30" s="271">
        <v>-6.0804845612360001E-3</v>
      </c>
      <c r="K30" s="271">
        <v>-6.4457642771538204E-3</v>
      </c>
      <c r="L30" s="272">
        <v>-7.0588039779074796E-3</v>
      </c>
      <c r="M30"/>
      <c r="N30"/>
      <c r="O30"/>
      <c r="P30"/>
      <c r="Q30"/>
      <c r="R30" s="269"/>
      <c r="S30" s="28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row>
    <row r="31" spans="1:78" x14ac:dyDescent="0.25">
      <c r="A31" s="281" t="s">
        <v>322</v>
      </c>
      <c r="B31" s="282">
        <v>0.77559888220120399</v>
      </c>
      <c r="C31" s="282">
        <v>0.54067386070507295</v>
      </c>
      <c r="D31" s="282">
        <v>0.52756122098022395</v>
      </c>
      <c r="E31" s="282">
        <v>0.50129294926913204</v>
      </c>
      <c r="F31" s="282">
        <v>0.50129294926913204</v>
      </c>
      <c r="G31" s="282">
        <v>0.41472622527945002</v>
      </c>
      <c r="H31" s="270">
        <v>-2.3767608980079E-2</v>
      </c>
      <c r="I31" s="271">
        <v>-4.8982312347996002E-3</v>
      </c>
      <c r="J31" s="271">
        <v>-1.01628572059761E-2</v>
      </c>
      <c r="K31" s="271">
        <v>0</v>
      </c>
      <c r="L31" s="272">
        <v>-9.4338223850389796E-3</v>
      </c>
      <c r="M31"/>
      <c r="N31"/>
      <c r="O31"/>
      <c r="P31"/>
      <c r="Q31"/>
      <c r="R31" s="269"/>
      <c r="S31" s="280"/>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row>
    <row r="32" spans="1:78" x14ac:dyDescent="0.25">
      <c r="A32" s="278" t="s">
        <v>114</v>
      </c>
      <c r="B32" s="264">
        <v>10.4049</v>
      </c>
      <c r="C32" s="264">
        <v>8.6717999999999993</v>
      </c>
      <c r="D32" s="264">
        <v>8.8864999999999998</v>
      </c>
      <c r="E32" s="264">
        <v>8.9934999999999992</v>
      </c>
      <c r="F32" s="264">
        <v>9.0847999999999995</v>
      </c>
      <c r="G32" s="264">
        <v>10.4232</v>
      </c>
      <c r="H32" s="270">
        <v>-1.2073224475376201E-2</v>
      </c>
      <c r="I32" s="271">
        <v>4.9033602210513099E-3</v>
      </c>
      <c r="J32" s="271">
        <v>2.3966319355179801E-3</v>
      </c>
      <c r="K32" s="271">
        <v>2.0221604364199001E-3</v>
      </c>
      <c r="L32" s="272">
        <v>6.8952335894163497E-3</v>
      </c>
      <c r="M32"/>
      <c r="N32"/>
      <c r="O32"/>
      <c r="P32"/>
      <c r="Q32"/>
      <c r="R32" s="269"/>
      <c r="S32" s="280"/>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row>
    <row r="33" spans="1:78" x14ac:dyDescent="0.25">
      <c r="A33" s="281" t="s">
        <v>323</v>
      </c>
      <c r="B33" s="282">
        <v>0.68307506448839195</v>
      </c>
      <c r="C33" s="282">
        <v>0.48066870163370601</v>
      </c>
      <c r="D33" s="282">
        <v>0.46725477214101502</v>
      </c>
      <c r="E33" s="282">
        <v>0.45394084264832302</v>
      </c>
      <c r="F33" s="282">
        <v>0.440618314703353</v>
      </c>
      <c r="G33" s="282">
        <v>0.42950438521066198</v>
      </c>
      <c r="H33" s="270">
        <v>-2.3156118034364199E-2</v>
      </c>
      <c r="I33" s="271">
        <v>-5.6447289637038302E-3</v>
      </c>
      <c r="J33" s="271">
        <v>-5.7648734804401896E-3</v>
      </c>
      <c r="K33" s="271">
        <v>-5.9398659999631001E-3</v>
      </c>
      <c r="L33" s="272">
        <v>-1.2765370194788299E-3</v>
      </c>
      <c r="M33"/>
      <c r="N33"/>
      <c r="O33"/>
      <c r="P33"/>
      <c r="Q33"/>
      <c r="R33" s="269"/>
      <c r="S33" s="280"/>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row>
    <row r="34" spans="1:78" x14ac:dyDescent="0.25">
      <c r="A34" s="281" t="s">
        <v>324</v>
      </c>
      <c r="B34" s="282">
        <v>5.1073606190885599</v>
      </c>
      <c r="C34" s="282">
        <v>4.2139189165950102</v>
      </c>
      <c r="D34" s="282">
        <v>4.1711650042992297</v>
      </c>
      <c r="E34" s="282">
        <v>4.1288110920034402</v>
      </c>
      <c r="F34" s="282">
        <v>4.0862173688735997</v>
      </c>
      <c r="G34" s="282">
        <v>4.04346345657782</v>
      </c>
      <c r="H34" s="270">
        <v>-1.27374948782196E-2</v>
      </c>
      <c r="I34" s="271">
        <v>-2.0374614398909201E-3</v>
      </c>
      <c r="J34" s="271">
        <v>-2.03909421242632E-3</v>
      </c>
      <c r="K34" s="271">
        <v>-2.0718110130689702E-3</v>
      </c>
      <c r="L34" s="272">
        <v>-5.2576561135531097E-4</v>
      </c>
      <c r="M34"/>
      <c r="N34"/>
      <c r="O34"/>
      <c r="P34"/>
      <c r="Q34"/>
      <c r="R34" s="269"/>
      <c r="S34" s="280"/>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row>
    <row r="35" spans="1:78" x14ac:dyDescent="0.25">
      <c r="A35" s="281" t="s">
        <v>325</v>
      </c>
      <c r="B35" s="282">
        <v>0.54880481513327595</v>
      </c>
      <c r="C35" s="282">
        <v>0.34386070507308703</v>
      </c>
      <c r="D35" s="282">
        <v>0.34038693035253598</v>
      </c>
      <c r="E35" s="282">
        <v>0.33691315563198598</v>
      </c>
      <c r="F35" s="282">
        <v>0.33343938091143599</v>
      </c>
      <c r="G35" s="282">
        <v>0.329965606190886</v>
      </c>
      <c r="H35" s="270">
        <v>-3.0686393504073099E-2</v>
      </c>
      <c r="I35" s="271">
        <v>-2.02866891639664E-3</v>
      </c>
      <c r="J35" s="271">
        <v>-2.0494574426596101E-3</v>
      </c>
      <c r="K35" s="271">
        <v>-2.0706764393267898E-3</v>
      </c>
      <c r="L35" s="272">
        <v>-5.2349578258237305E-4</v>
      </c>
      <c r="M35"/>
      <c r="N35"/>
      <c r="O35"/>
      <c r="P35"/>
      <c r="Q35"/>
      <c r="R35" s="269"/>
      <c r="S35" s="280"/>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row>
    <row r="36" spans="1:78" x14ac:dyDescent="0.25">
      <c r="A36" s="278" t="s">
        <v>118</v>
      </c>
      <c r="B36" s="264">
        <v>4.5197000000000003</v>
      </c>
      <c r="C36" s="264">
        <v>3.4478</v>
      </c>
      <c r="D36" s="264">
        <v>3.5855000000000001</v>
      </c>
      <c r="E36" s="264">
        <v>3.6153</v>
      </c>
      <c r="F36" s="264">
        <v>3.7075999999999998</v>
      </c>
      <c r="G36" s="264">
        <v>4.0397999999999996</v>
      </c>
      <c r="H36" s="270">
        <v>-1.78854079287021E-2</v>
      </c>
      <c r="I36" s="271">
        <v>7.8630704078541704E-3</v>
      </c>
      <c r="J36" s="271">
        <v>1.6567519753676299E-3</v>
      </c>
      <c r="K36" s="271">
        <v>5.0547176582593804E-3</v>
      </c>
      <c r="L36" s="272">
        <v>4.2997384017018402E-3</v>
      </c>
      <c r="M36"/>
      <c r="N36"/>
      <c r="O36"/>
      <c r="P36"/>
      <c r="Q36"/>
      <c r="R36" s="269"/>
      <c r="S36" s="280"/>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row>
    <row r="37" spans="1:78" x14ac:dyDescent="0.25">
      <c r="A37" s="281" t="s">
        <v>326</v>
      </c>
      <c r="B37" s="282">
        <v>1.7363669819432499</v>
      </c>
      <c r="C37" s="282">
        <v>1.4016233018056701</v>
      </c>
      <c r="D37" s="282">
        <v>1.50207893379192</v>
      </c>
      <c r="E37" s="282">
        <v>1.4892156491831501</v>
      </c>
      <c r="F37" s="282">
        <v>1.4891156491831501</v>
      </c>
      <c r="G37" s="282">
        <v>1.3828008598452299</v>
      </c>
      <c r="H37" s="270">
        <v>-1.41761533511731E-2</v>
      </c>
      <c r="I37" s="271">
        <v>1.3940076878419E-2</v>
      </c>
      <c r="J37" s="271">
        <v>-1.71862806616696E-3</v>
      </c>
      <c r="K37" s="271">
        <v>-1.34302491571203E-5</v>
      </c>
      <c r="L37" s="272">
        <v>-3.6967186908993801E-3</v>
      </c>
      <c r="M37"/>
      <c r="N37"/>
      <c r="O37"/>
      <c r="P37"/>
      <c r="Q37"/>
      <c r="R37" s="269"/>
      <c r="S37" s="280"/>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row>
    <row r="38" spans="1:78" x14ac:dyDescent="0.25">
      <c r="A38" s="281" t="s">
        <v>327</v>
      </c>
      <c r="B38" s="282">
        <v>1.4736458297506501</v>
      </c>
      <c r="C38" s="282">
        <v>1.2876062768701599</v>
      </c>
      <c r="D38" s="282">
        <v>1.25890627687016</v>
      </c>
      <c r="E38" s="282">
        <v>1.2016062768701601</v>
      </c>
      <c r="F38" s="282">
        <v>1.2016062768701601</v>
      </c>
      <c r="G38" s="282">
        <v>1.04906921754084</v>
      </c>
      <c r="H38" s="270">
        <v>-8.9566210976280702E-3</v>
      </c>
      <c r="I38" s="271">
        <v>-4.4981698966123397E-3</v>
      </c>
      <c r="J38" s="271">
        <v>-9.2735497369074195E-3</v>
      </c>
      <c r="K38" s="271">
        <v>0</v>
      </c>
      <c r="L38" s="272">
        <v>-6.7648106613980002E-3</v>
      </c>
      <c r="M38"/>
      <c r="N38"/>
      <c r="O38"/>
      <c r="P38"/>
      <c r="Q38"/>
      <c r="R38" s="269"/>
      <c r="S38" s="280"/>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row>
    <row r="39" spans="1:78" x14ac:dyDescent="0.25">
      <c r="A39" s="278" t="s">
        <v>121</v>
      </c>
      <c r="B39" s="264">
        <v>5.1496000000000004</v>
      </c>
      <c r="C39" s="264">
        <v>5.8753000000000002</v>
      </c>
      <c r="D39" s="264">
        <v>5.9512999999999998</v>
      </c>
      <c r="E39" s="264">
        <v>5.9692999999999996</v>
      </c>
      <c r="F39" s="264">
        <v>5.9718</v>
      </c>
      <c r="G39" s="264">
        <v>7.1319999999999997</v>
      </c>
      <c r="H39" s="270">
        <v>8.8279438626317503E-3</v>
      </c>
      <c r="I39" s="271">
        <v>2.5738187051156402E-3</v>
      </c>
      <c r="J39" s="271">
        <v>6.0417934504353198E-4</v>
      </c>
      <c r="K39" s="271">
        <v>8.3747886540530599E-5</v>
      </c>
      <c r="L39" s="272">
        <v>8.9166844110339892E-3</v>
      </c>
      <c r="M39"/>
      <c r="N39"/>
      <c r="O39"/>
      <c r="P39"/>
      <c r="Q39"/>
      <c r="R39" s="269"/>
      <c r="S39" s="280"/>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row>
    <row r="40" spans="1:78" x14ac:dyDescent="0.25">
      <c r="A40" s="281" t="s">
        <v>328</v>
      </c>
      <c r="B40" s="282">
        <v>0.89188495270851198</v>
      </c>
      <c r="C40" s="282">
        <v>0.88629441100601902</v>
      </c>
      <c r="D40" s="282">
        <v>0.85669441100601895</v>
      </c>
      <c r="E40" s="282">
        <v>0.82709441100601899</v>
      </c>
      <c r="F40" s="282">
        <v>0.79759441100601902</v>
      </c>
      <c r="G40" s="282">
        <v>0.79759441100601902</v>
      </c>
      <c r="H40" s="270">
        <v>-4.19109464917855E-4</v>
      </c>
      <c r="I40" s="271">
        <v>-6.77055831766282E-3</v>
      </c>
      <c r="J40" s="271">
        <v>-7.0078150903363197E-3</v>
      </c>
      <c r="K40" s="271">
        <v>-7.2374104850786401E-3</v>
      </c>
      <c r="L40" s="272">
        <v>0</v>
      </c>
      <c r="M40"/>
      <c r="N40"/>
      <c r="O40"/>
      <c r="P40"/>
      <c r="Q40"/>
      <c r="R40" s="269"/>
      <c r="S40" s="28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row>
    <row r="41" spans="1:78" x14ac:dyDescent="0.25">
      <c r="A41" s="278" t="s">
        <v>123</v>
      </c>
      <c r="B41" s="264">
        <v>4.7685000000000004</v>
      </c>
      <c r="C41" s="264">
        <v>3.83</v>
      </c>
      <c r="D41" s="264">
        <v>4.0110999999999999</v>
      </c>
      <c r="E41" s="264">
        <v>4.1416000000000004</v>
      </c>
      <c r="F41" s="264">
        <v>4.2241999999999997</v>
      </c>
      <c r="G41" s="264">
        <v>5.7804000000000002</v>
      </c>
      <c r="H41" s="270">
        <v>-1.4504907843731801E-2</v>
      </c>
      <c r="I41" s="271">
        <v>9.2829648573524697E-3</v>
      </c>
      <c r="J41" s="271">
        <v>6.4238789085733199E-3</v>
      </c>
      <c r="K41" s="271">
        <v>3.95735114944884E-3</v>
      </c>
      <c r="L41" s="272">
        <v>1.58057597533778E-2</v>
      </c>
      <c r="M41"/>
      <c r="N41"/>
      <c r="O41"/>
      <c r="P41"/>
      <c r="Q41"/>
      <c r="R41" s="269"/>
      <c r="S41" s="280"/>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row>
    <row r="42" spans="1:78" x14ac:dyDescent="0.25">
      <c r="A42" s="278" t="s">
        <v>124</v>
      </c>
      <c r="B42" s="264">
        <v>6.0332999999999997</v>
      </c>
      <c r="C42" s="264">
        <v>4.8380000000000001</v>
      </c>
      <c r="D42" s="264">
        <v>4.5659000000000001</v>
      </c>
      <c r="E42" s="264">
        <v>4.5555000000000003</v>
      </c>
      <c r="F42" s="264">
        <v>4.5491999999999999</v>
      </c>
      <c r="G42" s="264">
        <v>4.7652999999999999</v>
      </c>
      <c r="H42" s="270">
        <v>-1.46117117020375E-2</v>
      </c>
      <c r="I42" s="271">
        <v>-1.1510395697390499E-2</v>
      </c>
      <c r="J42" s="271">
        <v>-4.5596655335111702E-4</v>
      </c>
      <c r="K42" s="271">
        <v>-2.7674186862747301E-4</v>
      </c>
      <c r="L42" s="272">
        <v>2.3231493830715398E-3</v>
      </c>
      <c r="M42"/>
      <c r="N42"/>
      <c r="O42"/>
      <c r="P42"/>
      <c r="Q42"/>
      <c r="R42" s="269"/>
      <c r="S42" s="280"/>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row>
    <row r="43" spans="1:78" x14ac:dyDescent="0.25">
      <c r="A43" s="281" t="s">
        <v>329</v>
      </c>
      <c r="B43" s="283">
        <v>3.7798932072226998</v>
      </c>
      <c r="C43" s="283">
        <v>3.2045226999140102</v>
      </c>
      <c r="D43" s="283">
        <v>2.91299294926913</v>
      </c>
      <c r="E43" s="283">
        <v>2.9042913155632002</v>
      </c>
      <c r="F43" s="283">
        <v>2.9042913155632002</v>
      </c>
      <c r="G43" s="283">
        <v>2.9042913155632002</v>
      </c>
      <c r="H43" s="270">
        <v>-1.09484645761908E-2</v>
      </c>
      <c r="I43" s="271">
        <v>-1.88956162581395E-2</v>
      </c>
      <c r="J43" s="271">
        <v>-5.9815110230121405E-4</v>
      </c>
      <c r="K43" s="271">
        <v>0</v>
      </c>
      <c r="L43" s="272">
        <v>0</v>
      </c>
      <c r="M43"/>
      <c r="N43"/>
      <c r="O43"/>
      <c r="P43"/>
      <c r="Q43"/>
      <c r="R43" s="269"/>
      <c r="S43" s="280"/>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row>
    <row r="44" spans="1:78" x14ac:dyDescent="0.25">
      <c r="A44" s="244"/>
      <c r="B44" s="245"/>
      <c r="C44" s="245"/>
      <c r="D44" s="245"/>
      <c r="E44" s="245"/>
      <c r="F44" s="245"/>
      <c r="G44" s="245"/>
      <c r="H44" s="270"/>
      <c r="I44" s="271"/>
      <c r="J44" s="271"/>
      <c r="K44" s="271"/>
      <c r="L44" s="272"/>
      <c r="M44"/>
      <c r="N44"/>
      <c r="O44"/>
      <c r="P44"/>
      <c r="Q44"/>
      <c r="R44" s="269"/>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row>
    <row r="45" spans="1:78" x14ac:dyDescent="0.25">
      <c r="A45" s="244"/>
      <c r="B45" s="245"/>
      <c r="C45" s="245"/>
      <c r="D45" s="245"/>
      <c r="E45" s="245"/>
      <c r="F45" s="245"/>
      <c r="G45" s="245"/>
      <c r="H45" s="270"/>
      <c r="I45" s="271"/>
      <c r="J45" s="271"/>
      <c r="K45" s="271"/>
      <c r="L45" s="272"/>
      <c r="M45"/>
      <c r="N45"/>
      <c r="O45"/>
      <c r="P45"/>
      <c r="Q45"/>
      <c r="R45" s="269"/>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row>
    <row r="46" spans="1:78" ht="15.75" thickBot="1" x14ac:dyDescent="0.3">
      <c r="A46" s="253" t="s">
        <v>10</v>
      </c>
      <c r="B46" s="273">
        <v>38.915500000000002</v>
      </c>
      <c r="C46" s="273">
        <v>31.8476</v>
      </c>
      <c r="D46" s="273">
        <v>32.0032</v>
      </c>
      <c r="E46" s="273">
        <v>32.154499999999999</v>
      </c>
      <c r="F46" s="273">
        <v>32.312199999999997</v>
      </c>
      <c r="G46" s="273">
        <v>36.427999999999997</v>
      </c>
      <c r="H46" s="275">
        <v>-1.32731644274582E-2</v>
      </c>
      <c r="I46" s="276">
        <v>9.7524961479988903E-4</v>
      </c>
      <c r="J46" s="276">
        <v>9.43747446561227E-4</v>
      </c>
      <c r="K46" s="276">
        <v>9.789705007394729E-4</v>
      </c>
      <c r="L46" s="277">
        <v>6.0126459150486901E-3</v>
      </c>
      <c r="M46"/>
      <c r="N46"/>
      <c r="O46"/>
      <c r="P46"/>
      <c r="Q46"/>
      <c r="R46" s="269"/>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row>
    <row r="47" spans="1:78" ht="15.75" thickBot="1" x14ac:dyDescent="0.3">
      <c r="A47" s="258"/>
      <c r="B47"/>
      <c r="C47"/>
      <c r="D47"/>
      <c r="E47"/>
      <c r="F47" s="260"/>
      <c r="G47"/>
      <c r="H47"/>
      <c r="I47"/>
      <c r="J47"/>
      <c r="K47"/>
      <c r="L47"/>
      <c r="M47"/>
      <c r="N47"/>
      <c r="O47"/>
      <c r="P47"/>
      <c r="Q47"/>
      <c r="R47" s="269"/>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row>
    <row r="48" spans="1:78" ht="15.75" thickBot="1" x14ac:dyDescent="0.3">
      <c r="A48" s="284" t="s">
        <v>126</v>
      </c>
      <c r="B48" s="285">
        <v>21.729938521066199</v>
      </c>
      <c r="C48" s="285">
        <v>16.6833365434222</v>
      </c>
      <c r="D48" s="285">
        <v>16.166278159931199</v>
      </c>
      <c r="E48" s="285">
        <v>15.8483819432502</v>
      </c>
      <c r="F48" s="285">
        <v>15.6319619088564</v>
      </c>
      <c r="G48" s="285">
        <v>14.7169531384351</v>
      </c>
      <c r="H48" s="286">
        <v>-1.7464401870883699E-2</v>
      </c>
      <c r="I48" s="287">
        <v>-6.2768044141875397E-3</v>
      </c>
      <c r="J48" s="287">
        <v>-3.9641356137063398E-3</v>
      </c>
      <c r="K48" s="287">
        <v>-2.7461725419317701E-3</v>
      </c>
      <c r="L48" s="288">
        <v>-3.0113345370587101E-3</v>
      </c>
      <c r="M48"/>
      <c r="N48"/>
      <c r="O48"/>
      <c r="P48"/>
      <c r="Q48"/>
      <c r="R48" s="269"/>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row>
    <row r="49" spans="1:78" x14ac:dyDescent="0.25">
      <c r="A49" s="289"/>
      <c r="B49" s="290"/>
      <c r="C49" s="290"/>
      <c r="D49" s="290"/>
      <c r="E49" s="290"/>
      <c r="F49" s="290"/>
      <c r="G49" s="290"/>
      <c r="H49" s="271"/>
      <c r="I49" s="271"/>
      <c r="J49" s="271"/>
      <c r="K49" s="271"/>
      <c r="L49" s="271"/>
      <c r="M49"/>
      <c r="N49"/>
      <c r="O49"/>
      <c r="P49"/>
      <c r="Q49"/>
      <c r="R49" s="26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row>
    <row r="50" spans="1:78" x14ac:dyDescent="0.25">
      <c r="A50"/>
      <c r="B50" s="291"/>
      <c r="C50" s="291"/>
      <c r="D50"/>
      <c r="E50" s="236"/>
      <c r="F50"/>
      <c r="G50"/>
      <c r="H50"/>
      <c r="I50"/>
      <c r="J50"/>
      <c r="K50"/>
      <c r="L50"/>
      <c r="M50"/>
      <c r="N50"/>
      <c r="O50"/>
      <c r="P50"/>
      <c r="Q50"/>
      <c r="R50" s="269"/>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row>
    <row r="51" spans="1:78" ht="16.5" thickBot="1" x14ac:dyDescent="0.3">
      <c r="A51" s="237" t="s">
        <v>127</v>
      </c>
      <c r="B51" s="238"/>
      <c r="C51" s="238"/>
      <c r="D51" s="238"/>
      <c r="E51" s="239"/>
      <c r="F51" s="239"/>
      <c r="G51" s="239"/>
      <c r="H51" s="239"/>
      <c r="I51" s="239"/>
      <c r="J51" s="239"/>
      <c r="K51" s="239"/>
      <c r="L51" s="239"/>
      <c r="M51"/>
      <c r="N51"/>
      <c r="O51"/>
      <c r="P51"/>
      <c r="Q51"/>
      <c r="R51" s="269"/>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row>
    <row r="52" spans="1:78" ht="15.75" thickBot="1" x14ac:dyDescent="0.3">
      <c r="A52" s="292" t="s">
        <v>128</v>
      </c>
      <c r="B52" s="241">
        <v>2000</v>
      </c>
      <c r="C52" s="241">
        <v>2015</v>
      </c>
      <c r="D52" s="241">
        <v>2020</v>
      </c>
      <c r="E52" s="241">
        <v>2025</v>
      </c>
      <c r="F52" s="241">
        <v>2030</v>
      </c>
      <c r="G52" s="241">
        <v>2050</v>
      </c>
      <c r="H52" s="261" t="s">
        <v>98</v>
      </c>
      <c r="I52" s="262" t="s">
        <v>99</v>
      </c>
      <c r="J52" s="262" t="s">
        <v>100</v>
      </c>
      <c r="K52" s="262" t="s">
        <v>101</v>
      </c>
      <c r="L52" s="263" t="s">
        <v>320</v>
      </c>
      <c r="M52"/>
      <c r="N52"/>
      <c r="O52"/>
      <c r="P52"/>
      <c r="Q52"/>
      <c r="R52" s="269"/>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row>
    <row r="53" spans="1:78" x14ac:dyDescent="0.25">
      <c r="A53" s="278" t="s">
        <v>111</v>
      </c>
      <c r="B53" s="264">
        <v>22.518699999999999</v>
      </c>
      <c r="C53" s="264">
        <v>16.763300000000001</v>
      </c>
      <c r="D53" s="264">
        <v>16.728100000000001</v>
      </c>
      <c r="E53" s="264">
        <v>16.5381</v>
      </c>
      <c r="F53" s="264">
        <v>16.624500000000001</v>
      </c>
      <c r="G53" s="264">
        <v>16.008800000000001</v>
      </c>
      <c r="H53" s="265">
        <v>-1.9484612690580001E-2</v>
      </c>
      <c r="I53" s="266">
        <v>-4.2031822902799398E-4</v>
      </c>
      <c r="J53" s="266">
        <v>-2.28201825772945E-3</v>
      </c>
      <c r="K53" s="266">
        <v>1.04268340469482E-3</v>
      </c>
      <c r="L53" s="267">
        <v>-1.88516782758574E-3</v>
      </c>
      <c r="M53"/>
      <c r="N53"/>
      <c r="O53"/>
      <c r="P53"/>
      <c r="Q53"/>
      <c r="R53" s="269"/>
      <c r="S53" s="280"/>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row>
    <row r="54" spans="1:78" x14ac:dyDescent="0.25">
      <c r="A54" s="281" t="s">
        <v>321</v>
      </c>
      <c r="B54" s="282">
        <v>12.717499999999999</v>
      </c>
      <c r="C54" s="282">
        <v>8.8988999999999994</v>
      </c>
      <c r="D54" s="282">
        <v>8.8089999999999993</v>
      </c>
      <c r="E54" s="282">
        <v>8.7192000000000007</v>
      </c>
      <c r="F54" s="293">
        <v>8.6293000000000006</v>
      </c>
      <c r="G54" s="282">
        <v>7.9949000000000003</v>
      </c>
      <c r="H54" s="270">
        <v>-2.3522354702618101E-2</v>
      </c>
      <c r="I54" s="271">
        <v>-2.0286889165749299E-3</v>
      </c>
      <c r="J54" s="271">
        <v>-2.0471887517375898E-3</v>
      </c>
      <c r="K54" s="271">
        <v>-2.07067342890943E-3</v>
      </c>
      <c r="L54" s="272">
        <v>-3.8106983414415399E-3</v>
      </c>
      <c r="M54"/>
      <c r="N54"/>
      <c r="O54"/>
      <c r="P54"/>
      <c r="Q54"/>
      <c r="R54" s="269"/>
      <c r="S54" s="280"/>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row>
    <row r="55" spans="1:78" x14ac:dyDescent="0.25">
      <c r="A55" s="281" t="s">
        <v>322</v>
      </c>
      <c r="B55" s="282">
        <v>6.4558</v>
      </c>
      <c r="C55" s="282">
        <v>5.2424999999999997</v>
      </c>
      <c r="D55" s="282">
        <v>5.09</v>
      </c>
      <c r="E55" s="282">
        <v>4.7845000000000004</v>
      </c>
      <c r="F55" s="282">
        <v>4.7845000000000004</v>
      </c>
      <c r="G55" s="282">
        <v>3.9138000000000002</v>
      </c>
      <c r="H55" s="270">
        <v>-1.37828327304185E-2</v>
      </c>
      <c r="I55" s="271">
        <v>-5.8867355181637703E-3</v>
      </c>
      <c r="J55" s="271">
        <v>-1.23029530180773E-2</v>
      </c>
      <c r="K55" s="271">
        <v>0</v>
      </c>
      <c r="L55" s="272">
        <v>-9.9933689636923003E-3</v>
      </c>
      <c r="M55"/>
      <c r="N55"/>
      <c r="O55"/>
      <c r="P55"/>
      <c r="Q55"/>
      <c r="R55" s="269"/>
      <c r="S55" s="280"/>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row>
    <row r="56" spans="1:78" x14ac:dyDescent="0.25">
      <c r="A56" s="278" t="s">
        <v>114</v>
      </c>
      <c r="B56" s="264">
        <v>34.314</v>
      </c>
      <c r="C56" s="264">
        <v>30.441500000000001</v>
      </c>
      <c r="D56" s="264">
        <v>31.549399999999999</v>
      </c>
      <c r="E56" s="264">
        <v>32.128500000000003</v>
      </c>
      <c r="F56" s="264">
        <v>32.627400000000002</v>
      </c>
      <c r="G56" s="264">
        <v>39.034199999999998</v>
      </c>
      <c r="H56" s="270">
        <v>-7.9513279565939197E-3</v>
      </c>
      <c r="I56" s="271">
        <v>7.1751715343111302E-3</v>
      </c>
      <c r="J56" s="271">
        <v>3.6444078282133999E-3</v>
      </c>
      <c r="K56" s="271">
        <v>3.0865414819234399E-3</v>
      </c>
      <c r="L56" s="272">
        <v>9.0045874969917304E-3</v>
      </c>
      <c r="M56"/>
      <c r="N56" s="280"/>
      <c r="O56" s="280"/>
      <c r="P56" s="280"/>
      <c r="Q56" s="280"/>
      <c r="R56" s="280"/>
      <c r="S56" s="280"/>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row>
    <row r="57" spans="1:78" x14ac:dyDescent="0.25">
      <c r="A57" s="281" t="s">
        <v>323</v>
      </c>
      <c r="B57" s="282">
        <v>1.4301999999999999</v>
      </c>
      <c r="C57" s="282">
        <v>0.73</v>
      </c>
      <c r="D57" s="282">
        <v>0.6996</v>
      </c>
      <c r="E57" s="282">
        <v>0.66920000000000002</v>
      </c>
      <c r="F57" s="282">
        <v>0.63870000000000005</v>
      </c>
      <c r="G57" s="282">
        <v>0.60829999999999995</v>
      </c>
      <c r="H57" s="270">
        <v>-4.3844768084247802E-2</v>
      </c>
      <c r="I57" s="271">
        <v>-8.4710747243904594E-3</v>
      </c>
      <c r="J57" s="271">
        <v>-8.8457984670333705E-3</v>
      </c>
      <c r="K57" s="271">
        <v>-9.2862358178932292E-3</v>
      </c>
      <c r="L57" s="272">
        <v>-2.4353636404914601E-3</v>
      </c>
      <c r="M57"/>
      <c r="N57" s="280"/>
      <c r="O57" s="280"/>
      <c r="P57" s="280"/>
      <c r="Q57" s="280"/>
      <c r="R57" s="280"/>
      <c r="S57" s="280"/>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row>
    <row r="58" spans="1:78" x14ac:dyDescent="0.25">
      <c r="A58" s="281" t="s">
        <v>324</v>
      </c>
      <c r="B58" s="282">
        <v>9.2639999999999993</v>
      </c>
      <c r="C58" s="282">
        <v>8.2110000000000003</v>
      </c>
      <c r="D58" s="282">
        <v>8.1278000000000006</v>
      </c>
      <c r="E58" s="282">
        <v>8.0446000000000009</v>
      </c>
      <c r="F58" s="282">
        <v>7.9621000000000004</v>
      </c>
      <c r="G58" s="282">
        <v>7.8788999999999998</v>
      </c>
      <c r="H58" s="270">
        <v>-8.0118131051195602E-3</v>
      </c>
      <c r="I58" s="271">
        <v>-2.03481385213622E-3</v>
      </c>
      <c r="J58" s="271">
        <v>-2.0557291583102001E-3</v>
      </c>
      <c r="K58" s="271">
        <v>-2.0595311946615099E-3</v>
      </c>
      <c r="L58" s="272">
        <v>-5.2508629094683002E-4</v>
      </c>
      <c r="M58"/>
      <c r="N58" s="280"/>
      <c r="O58" s="280"/>
      <c r="P58" s="280"/>
      <c r="Q58" s="280"/>
      <c r="R58" s="280"/>
      <c r="S58" s="280"/>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row>
    <row r="59" spans="1:78" x14ac:dyDescent="0.25">
      <c r="A59" s="281" t="s">
        <v>325</v>
      </c>
      <c r="B59" s="282">
        <v>6.3826000000000001</v>
      </c>
      <c r="C59" s="282">
        <v>3.9990999999999999</v>
      </c>
      <c r="D59" s="282">
        <v>3.9586999999999999</v>
      </c>
      <c r="E59" s="282">
        <v>3.9182999999999999</v>
      </c>
      <c r="F59" s="282">
        <v>3.8778999999999999</v>
      </c>
      <c r="G59" s="282">
        <v>3.8374999999999999</v>
      </c>
      <c r="H59" s="270">
        <v>-3.0686393504073099E-2</v>
      </c>
      <c r="I59" s="271">
        <v>-2.02866891639664E-3</v>
      </c>
      <c r="J59" s="271">
        <v>-2.0494574426596101E-3</v>
      </c>
      <c r="K59" s="271">
        <v>-2.0706764393267898E-3</v>
      </c>
      <c r="L59" s="272">
        <v>-5.2349578258237305E-4</v>
      </c>
      <c r="M59"/>
      <c r="N59" s="280"/>
      <c r="O59" s="280"/>
      <c r="P59" s="280"/>
      <c r="Q59" s="280"/>
      <c r="R59" s="280"/>
      <c r="S59" s="280"/>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row>
    <row r="60" spans="1:78" x14ac:dyDescent="0.25">
      <c r="A60" s="278" t="s">
        <v>118</v>
      </c>
      <c r="B60" s="264">
        <v>10.089700000000001</v>
      </c>
      <c r="C60" s="264">
        <v>9.3522999999999996</v>
      </c>
      <c r="D60" s="264">
        <v>9.7937999999999992</v>
      </c>
      <c r="E60" s="264">
        <v>10.0779</v>
      </c>
      <c r="F60" s="264">
        <v>10.4786</v>
      </c>
      <c r="G60" s="264">
        <v>12.556800000000001</v>
      </c>
      <c r="H60" s="270">
        <v>-5.0467421319278002E-3</v>
      </c>
      <c r="I60" s="271">
        <v>9.2681316007854307E-3</v>
      </c>
      <c r="J60" s="271">
        <v>5.7354601706101098E-3</v>
      </c>
      <c r="K60" s="271">
        <v>7.8285187763251808E-3</v>
      </c>
      <c r="L60" s="272">
        <v>9.0874054792398108E-3</v>
      </c>
      <c r="M60"/>
      <c r="N60" s="280"/>
      <c r="O60" s="280"/>
      <c r="P60" s="280"/>
      <c r="Q60" s="280"/>
      <c r="R60" s="280"/>
      <c r="S60" s="28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row>
    <row r="61" spans="1:78" x14ac:dyDescent="0.25">
      <c r="A61" s="281" t="s">
        <v>326</v>
      </c>
      <c r="B61" s="282">
        <v>2.8698999999999999</v>
      </c>
      <c r="C61" s="282">
        <v>2.5390999999999999</v>
      </c>
      <c r="D61" s="282">
        <v>2.6920999999999999</v>
      </c>
      <c r="E61" s="282">
        <v>2.5425</v>
      </c>
      <c r="F61" s="282">
        <v>2.5425</v>
      </c>
      <c r="G61" s="282">
        <v>2.3609</v>
      </c>
      <c r="H61" s="270">
        <v>-8.1312608873422808E-3</v>
      </c>
      <c r="I61" s="271">
        <v>1.1771114794102601E-2</v>
      </c>
      <c r="J61" s="271">
        <v>-1.13696136679873E-2</v>
      </c>
      <c r="K61" s="271">
        <v>0</v>
      </c>
      <c r="L61" s="272">
        <v>-3.6983913748145402E-3</v>
      </c>
      <c r="M61"/>
      <c r="N61" s="280"/>
      <c r="O61" s="280"/>
      <c r="P61" s="280"/>
      <c r="Q61" s="280"/>
      <c r="R61" s="280"/>
      <c r="S61" s="280"/>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row>
    <row r="62" spans="1:78" x14ac:dyDescent="0.25">
      <c r="A62" s="281" t="s">
        <v>327</v>
      </c>
      <c r="B62" s="282">
        <v>3.5</v>
      </c>
      <c r="C62" s="282">
        <v>3.5228000000000002</v>
      </c>
      <c r="D62" s="282">
        <v>3.5228000000000002</v>
      </c>
      <c r="E62" s="282">
        <v>3.5228000000000002</v>
      </c>
      <c r="F62" s="282">
        <v>3.5228000000000002</v>
      </c>
      <c r="G62" s="282">
        <v>3.2164999999999999</v>
      </c>
      <c r="H62" s="270">
        <v>4.3297100181738401E-4</v>
      </c>
      <c r="I62" s="271">
        <v>0</v>
      </c>
      <c r="J62" s="271">
        <v>0</v>
      </c>
      <c r="K62" s="271">
        <v>0</v>
      </c>
      <c r="L62" s="272">
        <v>-4.5377887874169503E-3</v>
      </c>
      <c r="M62"/>
      <c r="N62" s="280"/>
      <c r="O62" s="280"/>
      <c r="P62" s="280"/>
      <c r="Q62" s="280"/>
      <c r="R62" s="280"/>
      <c r="S62" s="280"/>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row>
    <row r="63" spans="1:78" x14ac:dyDescent="0.25">
      <c r="A63" s="278" t="s">
        <v>121</v>
      </c>
      <c r="B63" s="264">
        <v>17.1267</v>
      </c>
      <c r="C63" s="264">
        <v>20.747</v>
      </c>
      <c r="D63" s="264">
        <v>21.0184</v>
      </c>
      <c r="E63" s="264">
        <v>21.054600000000001</v>
      </c>
      <c r="F63" s="264">
        <v>21.018699999999999</v>
      </c>
      <c r="G63" s="264">
        <v>25.280999999999999</v>
      </c>
      <c r="H63" s="270">
        <v>1.2866267815070401E-2</v>
      </c>
      <c r="I63" s="271">
        <v>2.6026984857863101E-3</v>
      </c>
      <c r="J63" s="271">
        <v>3.4422303153114299E-4</v>
      </c>
      <c r="K63" s="271">
        <v>-3.41250939748794E-4</v>
      </c>
      <c r="L63" s="272">
        <v>9.2747770265297902E-3</v>
      </c>
      <c r="M63"/>
      <c r="N63" s="280"/>
      <c r="O63" s="280"/>
      <c r="P63" s="280"/>
      <c r="Q63" s="280"/>
      <c r="R63" s="280"/>
      <c r="S63" s="280"/>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row>
    <row r="64" spans="1:78" x14ac:dyDescent="0.25">
      <c r="A64" s="281" t="s">
        <v>328</v>
      </c>
      <c r="B64" s="282">
        <v>1.0755999999999999</v>
      </c>
      <c r="C64" s="282">
        <v>1.1106</v>
      </c>
      <c r="D64" s="282">
        <v>1.1106</v>
      </c>
      <c r="E64" s="282">
        <v>1.1106</v>
      </c>
      <c r="F64" s="282">
        <v>1.1106</v>
      </c>
      <c r="G64" s="282">
        <v>1.1106</v>
      </c>
      <c r="H64" s="270">
        <v>2.1370645685203598E-3</v>
      </c>
      <c r="I64" s="271">
        <v>0</v>
      </c>
      <c r="J64" s="271">
        <v>0</v>
      </c>
      <c r="K64" s="271">
        <v>0</v>
      </c>
      <c r="L64" s="272">
        <v>0</v>
      </c>
      <c r="M64"/>
      <c r="N64" s="280"/>
      <c r="O64" s="280"/>
      <c r="P64" s="280"/>
      <c r="Q64" s="280"/>
      <c r="R64" s="280"/>
      <c r="S64" s="280"/>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row>
    <row r="65" spans="1:78" x14ac:dyDescent="0.25">
      <c r="A65" s="278" t="s">
        <v>123</v>
      </c>
      <c r="B65" s="264">
        <v>26.596499999999999</v>
      </c>
      <c r="C65" s="264">
        <v>22.5806</v>
      </c>
      <c r="D65" s="264">
        <v>24.336300000000001</v>
      </c>
      <c r="E65" s="264">
        <v>25.917400000000001</v>
      </c>
      <c r="F65" s="264">
        <v>27.3353</v>
      </c>
      <c r="G65" s="264">
        <v>38.633800000000001</v>
      </c>
      <c r="H65" s="270">
        <v>-1.0853240450502099E-2</v>
      </c>
      <c r="I65" s="271">
        <v>1.5088282414999999E-2</v>
      </c>
      <c r="J65" s="271">
        <v>1.26686752780785E-2</v>
      </c>
      <c r="K65" s="271">
        <v>1.07098137271502E-2</v>
      </c>
      <c r="L65" s="272">
        <v>1.74478985708553E-2</v>
      </c>
      <c r="M65"/>
      <c r="N65" s="280"/>
      <c r="O65" s="280"/>
      <c r="P65" s="280"/>
      <c r="Q65" s="280"/>
      <c r="R65" s="280"/>
      <c r="S65" s="280"/>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row>
    <row r="66" spans="1:78" x14ac:dyDescent="0.25">
      <c r="A66" s="278" t="s">
        <v>124</v>
      </c>
      <c r="B66" s="264">
        <v>21.828800000000001</v>
      </c>
      <c r="C66" s="264">
        <v>15.8759</v>
      </c>
      <c r="D66" s="264">
        <v>15.731400000000001</v>
      </c>
      <c r="E66" s="264">
        <v>15.5741</v>
      </c>
      <c r="F66" s="264">
        <v>15.508100000000001</v>
      </c>
      <c r="G66" s="264">
        <v>16.3429</v>
      </c>
      <c r="H66" s="270">
        <v>-2.1004791603714601E-2</v>
      </c>
      <c r="I66" s="271">
        <v>-1.82703315287458E-3</v>
      </c>
      <c r="J66" s="271">
        <v>-2.0078689138259801E-3</v>
      </c>
      <c r="K66" s="271">
        <v>-8.4900139810295495E-4</v>
      </c>
      <c r="L66" s="272">
        <v>2.6249934875941499E-3</v>
      </c>
      <c r="M66"/>
      <c r="N66" s="280"/>
      <c r="O66" s="280"/>
      <c r="P66" s="280"/>
      <c r="Q66" s="280"/>
      <c r="R66" s="280"/>
      <c r="S66" s="280"/>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row>
    <row r="67" spans="1:78" x14ac:dyDescent="0.25">
      <c r="A67" s="281" t="s">
        <v>329</v>
      </c>
      <c r="B67" s="282">
        <v>12.1335</v>
      </c>
      <c r="C67" s="282">
        <v>9.0390999999999995</v>
      </c>
      <c r="D67" s="282">
        <v>8.8550000000000004</v>
      </c>
      <c r="E67" s="282">
        <v>8.7538</v>
      </c>
      <c r="F67" s="282">
        <v>8.7538</v>
      </c>
      <c r="G67" s="282">
        <v>8.7538</v>
      </c>
      <c r="H67" s="270">
        <v>-1.9436011137856202E-2</v>
      </c>
      <c r="I67" s="271">
        <v>-4.1070112045900097E-3</v>
      </c>
      <c r="J67" s="271">
        <v>-2.2962354936776298E-3</v>
      </c>
      <c r="K67" s="271">
        <v>0</v>
      </c>
      <c r="L67" s="272">
        <v>0</v>
      </c>
      <c r="M67"/>
      <c r="N67" s="280"/>
      <c r="O67" s="280"/>
      <c r="P67" s="280"/>
      <c r="Q67" s="280"/>
      <c r="R67" s="280"/>
      <c r="S67" s="280"/>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row>
    <row r="68" spans="1:78" x14ac:dyDescent="0.25">
      <c r="A68" s="244"/>
      <c r="B68" s="245"/>
      <c r="C68" s="245"/>
      <c r="D68" s="245"/>
      <c r="E68" s="245"/>
      <c r="F68" s="245"/>
      <c r="G68" s="245"/>
      <c r="H68" s="270"/>
      <c r="I68" s="271"/>
      <c r="J68" s="271"/>
      <c r="K68" s="271"/>
      <c r="L68" s="272"/>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row>
    <row r="69" spans="1:78" x14ac:dyDescent="0.25">
      <c r="A69" s="244"/>
      <c r="B69" s="245"/>
      <c r="C69" s="245"/>
      <c r="D69" s="245"/>
      <c r="E69" s="245"/>
      <c r="F69" s="245"/>
      <c r="G69" s="245"/>
      <c r="H69" s="270"/>
      <c r="I69" s="271"/>
      <c r="J69" s="271"/>
      <c r="K69" s="271"/>
      <c r="L69" s="272"/>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row>
    <row r="70" spans="1:78" ht="15.75" thickBot="1" x14ac:dyDescent="0.3">
      <c r="A70" s="253" t="s">
        <v>10</v>
      </c>
      <c r="B70" s="273">
        <v>132.4744</v>
      </c>
      <c r="C70" s="273">
        <v>115.7606</v>
      </c>
      <c r="D70" s="273">
        <v>119.1574</v>
      </c>
      <c r="E70" s="273">
        <v>121.2906</v>
      </c>
      <c r="F70" s="273">
        <v>123.5926</v>
      </c>
      <c r="G70" s="273">
        <v>147.85749999999999</v>
      </c>
      <c r="H70" s="275">
        <v>-8.9507119828033908E-3</v>
      </c>
      <c r="I70" s="276">
        <v>5.80096938620067E-3</v>
      </c>
      <c r="J70" s="276">
        <v>3.5551066391559202E-3</v>
      </c>
      <c r="K70" s="276">
        <v>3.7673493978989101E-3</v>
      </c>
      <c r="L70" s="277">
        <v>9.0032021669577099E-3</v>
      </c>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row>
    <row r="71" spans="1:78" ht="15.75" thickBot="1" x14ac:dyDescent="0.3">
      <c r="A71" s="258"/>
      <c r="B71"/>
      <c r="C71"/>
      <c r="D71"/>
      <c r="E71" s="236"/>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row>
    <row r="72" spans="1:78" ht="15.75" thickBot="1" x14ac:dyDescent="0.3">
      <c r="A72" s="284" t="s">
        <v>126</v>
      </c>
      <c r="B72" s="285">
        <v>55.829099999999997</v>
      </c>
      <c r="C72" s="285">
        <v>43.293100000000003</v>
      </c>
      <c r="D72" s="285">
        <v>42.865600000000001</v>
      </c>
      <c r="E72" s="285">
        <v>42.0655</v>
      </c>
      <c r="F72" s="285">
        <v>41.822200000000002</v>
      </c>
      <c r="G72" s="285">
        <v>39.675199999999997</v>
      </c>
      <c r="H72" s="286">
        <v>-1.6810563372649901E-2</v>
      </c>
      <c r="I72" s="287">
        <v>-1.9827576329365399E-3</v>
      </c>
      <c r="J72" s="287">
        <v>-3.7612511415377999E-3</v>
      </c>
      <c r="K72" s="287">
        <v>-1.1594529690384099E-3</v>
      </c>
      <c r="L72" s="288">
        <v>-2.63158088762827E-3</v>
      </c>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row>
    <row r="73" spans="1:78" x14ac:dyDescent="0.25">
      <c r="A73" s="289"/>
      <c r="B73" s="290"/>
      <c r="C73" s="290"/>
      <c r="D73" s="290"/>
      <c r="E73" s="290"/>
      <c r="F73" s="290"/>
      <c r="G73" s="290"/>
      <c r="H73" s="271"/>
      <c r="I73" s="271"/>
      <c r="J73" s="271"/>
      <c r="K73" s="271"/>
      <c r="L73" s="271"/>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row>
    <row r="74" spans="1:78" x14ac:dyDescent="0.25">
      <c r="A74"/>
      <c r="B74"/>
      <c r="C74"/>
      <c r="D74"/>
      <c r="E74" s="236"/>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row>
    <row r="75" spans="1:78" ht="16.5" thickBot="1" x14ac:dyDescent="0.3">
      <c r="A75" s="237" t="s">
        <v>129</v>
      </c>
      <c r="B75" s="238"/>
      <c r="C75" s="238"/>
      <c r="D75" s="238"/>
      <c r="E75" s="239"/>
      <c r="F75" s="239"/>
      <c r="G75" s="239"/>
      <c r="H75" s="239"/>
      <c r="I75" s="239"/>
      <c r="J75" s="239"/>
      <c r="K75" s="239"/>
      <c r="L75" s="239"/>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row>
    <row r="76" spans="1:78" ht="15.75" thickBot="1" x14ac:dyDescent="0.3">
      <c r="A76" s="292" t="s">
        <v>51</v>
      </c>
      <c r="B76" s="241">
        <v>2000</v>
      </c>
      <c r="C76" s="241">
        <v>2015</v>
      </c>
      <c r="D76" s="241">
        <v>2020</v>
      </c>
      <c r="E76" s="241">
        <v>2025</v>
      </c>
      <c r="F76" s="241">
        <v>2030</v>
      </c>
      <c r="G76" s="241">
        <v>2050</v>
      </c>
      <c r="H76" s="261" t="s">
        <v>98</v>
      </c>
      <c r="I76" s="262" t="s">
        <v>99</v>
      </c>
      <c r="J76" s="262" t="s">
        <v>100</v>
      </c>
      <c r="K76" s="262" t="s">
        <v>101</v>
      </c>
      <c r="L76" s="263" t="s">
        <v>320</v>
      </c>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row>
    <row r="77" spans="1:78" x14ac:dyDescent="0.25">
      <c r="A77" s="278" t="s">
        <v>111</v>
      </c>
      <c r="B77" s="264">
        <v>6.1029</v>
      </c>
      <c r="C77" s="264">
        <v>3.7431000000000001</v>
      </c>
      <c r="D77" s="264">
        <v>3.5642999999999998</v>
      </c>
      <c r="E77" s="264">
        <v>3.4569999999999999</v>
      </c>
      <c r="F77" s="264">
        <v>3.3449</v>
      </c>
      <c r="G77" s="264">
        <v>2.9106000000000001</v>
      </c>
      <c r="H77" s="265">
        <v>-3.2064663296258997E-2</v>
      </c>
      <c r="I77" s="266">
        <v>-9.7415336337166591E-3</v>
      </c>
      <c r="J77" s="266">
        <v>-6.0946558190933002E-3</v>
      </c>
      <c r="K77" s="266">
        <v>-6.5711873320074598E-3</v>
      </c>
      <c r="L77" s="267">
        <v>-6.9297553533703704E-3</v>
      </c>
      <c r="M77"/>
      <c r="N77" s="280"/>
      <c r="O77" s="280"/>
      <c r="P77" s="280"/>
      <c r="Q77" s="280"/>
      <c r="R77" s="280"/>
      <c r="S77" s="280"/>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row>
    <row r="78" spans="1:78" x14ac:dyDescent="0.25">
      <c r="A78" s="281" t="s">
        <v>321</v>
      </c>
      <c r="B78" s="282">
        <v>5.6398000000000001</v>
      </c>
      <c r="C78" s="282">
        <v>3.5590000000000002</v>
      </c>
      <c r="D78" s="282">
        <v>3.3717999999999999</v>
      </c>
      <c r="E78" s="282">
        <v>3.2555000000000001</v>
      </c>
      <c r="F78" s="282">
        <v>3.1358000000000001</v>
      </c>
      <c r="G78" s="282">
        <v>2.6781000000000001</v>
      </c>
      <c r="H78" s="270">
        <v>-3.0225071119895301E-2</v>
      </c>
      <c r="I78" s="271">
        <v>-1.07483947517197E-2</v>
      </c>
      <c r="J78" s="271">
        <v>-6.9955867049572599E-3</v>
      </c>
      <c r="K78" s="271">
        <v>-7.4643123627513601E-3</v>
      </c>
      <c r="L78" s="272">
        <v>-7.8578016443847706E-3</v>
      </c>
      <c r="M78"/>
      <c r="N78" s="280"/>
      <c r="O78" s="280"/>
      <c r="P78" s="280"/>
      <c r="Q78" s="280"/>
      <c r="R78" s="280"/>
      <c r="S78" s="280"/>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row>
    <row r="79" spans="1:78" x14ac:dyDescent="0.25">
      <c r="A79" s="281" t="s">
        <v>322</v>
      </c>
      <c r="B79" s="282">
        <v>0.2205</v>
      </c>
      <c r="C79" s="282">
        <v>8.9899999999999994E-2</v>
      </c>
      <c r="D79" s="282">
        <v>8.9899999999999994E-2</v>
      </c>
      <c r="E79" s="282">
        <v>8.9899999999999994E-2</v>
      </c>
      <c r="F79" s="282">
        <v>8.9899999999999994E-2</v>
      </c>
      <c r="G79" s="282">
        <v>7.8200000000000006E-2</v>
      </c>
      <c r="H79" s="270">
        <v>-5.8059638475916601E-2</v>
      </c>
      <c r="I79" s="271">
        <v>0</v>
      </c>
      <c r="J79" s="271">
        <v>0</v>
      </c>
      <c r="K79" s="271">
        <v>0</v>
      </c>
      <c r="L79" s="272">
        <v>-6.9471707557837697E-3</v>
      </c>
      <c r="M79"/>
      <c r="N79" s="280"/>
      <c r="O79" s="280"/>
      <c r="P79" s="280"/>
      <c r="Q79" s="280"/>
      <c r="R79" s="280"/>
      <c r="S79" s="280"/>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row>
    <row r="80" spans="1:78" x14ac:dyDescent="0.25">
      <c r="A80" s="278" t="s">
        <v>114</v>
      </c>
      <c r="B80" s="264">
        <v>7.4539</v>
      </c>
      <c r="C80" s="264">
        <v>6.0538999999999996</v>
      </c>
      <c r="D80" s="264">
        <v>6.1731999999999996</v>
      </c>
      <c r="E80" s="264">
        <v>6.2305000000000001</v>
      </c>
      <c r="F80" s="264">
        <v>6.2789000000000001</v>
      </c>
      <c r="G80" s="264">
        <v>7.0663</v>
      </c>
      <c r="H80" s="270">
        <v>-1.37732483054394E-2</v>
      </c>
      <c r="I80" s="271">
        <v>3.9105562666561502E-3</v>
      </c>
      <c r="J80" s="271">
        <v>1.84955719605462E-3</v>
      </c>
      <c r="K80" s="271">
        <v>1.5488421191765E-3</v>
      </c>
      <c r="L80" s="272">
        <v>5.9245913269441201E-3</v>
      </c>
      <c r="M80"/>
      <c r="N80" s="280"/>
      <c r="O80" s="280"/>
      <c r="P80" s="280"/>
      <c r="Q80" s="280"/>
      <c r="R80" s="280"/>
      <c r="S80" s="2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row>
    <row r="81" spans="1:78" x14ac:dyDescent="0.25">
      <c r="A81" s="281" t="s">
        <v>323</v>
      </c>
      <c r="B81" s="282">
        <v>0.56010000000000004</v>
      </c>
      <c r="C81" s="282">
        <v>0.41789999999999999</v>
      </c>
      <c r="D81" s="282">
        <v>0.40710000000000002</v>
      </c>
      <c r="E81" s="282">
        <v>0.39639999999999997</v>
      </c>
      <c r="F81" s="282">
        <v>0.38569999999999999</v>
      </c>
      <c r="G81" s="282">
        <v>0.37719999999999998</v>
      </c>
      <c r="H81" s="270">
        <v>-1.9335502070624101E-2</v>
      </c>
      <c r="I81" s="271">
        <v>-5.2229753729545799E-3</v>
      </c>
      <c r="J81" s="271">
        <v>-5.3128472502146397E-3</v>
      </c>
      <c r="K81" s="271">
        <v>-5.4578390293750197E-3</v>
      </c>
      <c r="L81" s="272">
        <v>-1.1135952148868501E-3</v>
      </c>
      <c r="M81"/>
      <c r="N81" s="280"/>
      <c r="O81" s="280"/>
      <c r="P81" s="280"/>
      <c r="Q81" s="280"/>
      <c r="R81" s="280"/>
      <c r="S81" s="280"/>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row>
    <row r="82" spans="1:78" x14ac:dyDescent="0.25">
      <c r="A82" s="281" t="s">
        <v>324</v>
      </c>
      <c r="B82" s="282">
        <v>4.3108000000000004</v>
      </c>
      <c r="C82" s="282">
        <v>3.5078999999999998</v>
      </c>
      <c r="D82" s="282">
        <v>3.4723000000000002</v>
      </c>
      <c r="E82" s="282">
        <v>3.4371</v>
      </c>
      <c r="F82" s="282">
        <v>3.4016000000000002</v>
      </c>
      <c r="G82" s="282">
        <v>3.3660000000000001</v>
      </c>
      <c r="H82" s="270">
        <v>-1.3646427238164199E-2</v>
      </c>
      <c r="I82" s="271">
        <v>-2.0379943111109599E-3</v>
      </c>
      <c r="J82" s="271">
        <v>-2.03574625402381E-3</v>
      </c>
      <c r="K82" s="271">
        <v>-2.0742823807102799E-3</v>
      </c>
      <c r="L82" s="272">
        <v>-5.2590233470839497E-4</v>
      </c>
      <c r="M82"/>
      <c r="N82" s="280"/>
      <c r="O82" s="280"/>
      <c r="P82" s="280"/>
      <c r="Q82" s="280"/>
      <c r="R82" s="280"/>
      <c r="S82" s="280"/>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row>
    <row r="83" spans="1:78" x14ac:dyDescent="0.25">
      <c r="A83" s="281" t="s">
        <v>325</v>
      </c>
      <c r="B83" s="282">
        <v>0</v>
      </c>
      <c r="C83" s="282">
        <v>0</v>
      </c>
      <c r="D83" s="282">
        <v>0</v>
      </c>
      <c r="E83" s="282">
        <v>0</v>
      </c>
      <c r="F83" s="282">
        <v>0</v>
      </c>
      <c r="G83" s="282">
        <v>0</v>
      </c>
      <c r="H83" s="270" t="e">
        <f>#DIV/0!</f>
        <v>#DIV/0!</v>
      </c>
      <c r="I83" s="271" t="e">
        <f>#DIV/0!</f>
        <v>#DIV/0!</v>
      </c>
      <c r="J83" s="271" t="e">
        <f>#DIV/0!</f>
        <v>#DIV/0!</v>
      </c>
      <c r="K83" s="271" t="e">
        <f>#DIV/0!</f>
        <v>#DIV/0!</v>
      </c>
      <c r="L83" s="272" t="e">
        <f>#DIV/0!</f>
        <v>#DIV/0!</v>
      </c>
      <c r="M83"/>
      <c r="N83" s="280"/>
      <c r="O83" s="280"/>
      <c r="P83" s="280"/>
      <c r="Q83" s="280"/>
      <c r="R83" s="280"/>
      <c r="S83" s="280"/>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row>
    <row r="84" spans="1:78" x14ac:dyDescent="0.25">
      <c r="A84" s="278" t="s">
        <v>118</v>
      </c>
      <c r="B84" s="264">
        <v>3.6520000000000001</v>
      </c>
      <c r="C84" s="264">
        <v>2.6435</v>
      </c>
      <c r="D84" s="264">
        <v>2.7433000000000001</v>
      </c>
      <c r="E84" s="264">
        <v>2.7486000000000002</v>
      </c>
      <c r="F84" s="264">
        <v>2.8064</v>
      </c>
      <c r="G84" s="264">
        <v>2.9599000000000002</v>
      </c>
      <c r="H84" s="270">
        <v>-2.1314314216928198E-2</v>
      </c>
      <c r="I84" s="271">
        <v>7.4390892762887803E-3</v>
      </c>
      <c r="J84" s="271">
        <v>3.8609768850328402E-4</v>
      </c>
      <c r="K84" s="271">
        <v>4.17084025586023E-3</v>
      </c>
      <c r="L84" s="272">
        <v>2.6661960349014802E-3</v>
      </c>
      <c r="M84"/>
      <c r="N84" s="280"/>
      <c r="O84" s="280"/>
      <c r="P84" s="280"/>
      <c r="Q84" s="280"/>
      <c r="R84" s="280"/>
      <c r="S84" s="280"/>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row>
    <row r="85" spans="1:78" x14ac:dyDescent="0.25">
      <c r="A85" s="281" t="s">
        <v>326</v>
      </c>
      <c r="B85" s="282">
        <v>1.4896</v>
      </c>
      <c r="C85" s="282">
        <v>1.1833</v>
      </c>
      <c r="D85" s="282">
        <v>1.2706</v>
      </c>
      <c r="E85" s="282">
        <v>1.2706</v>
      </c>
      <c r="F85" s="282">
        <v>1.2705</v>
      </c>
      <c r="G85" s="282">
        <v>1.1798</v>
      </c>
      <c r="H85" s="270">
        <v>-1.5229538334533801E-2</v>
      </c>
      <c r="I85" s="271">
        <v>1.4338237283377801E-2</v>
      </c>
      <c r="J85" s="271">
        <v>0</v>
      </c>
      <c r="K85" s="271">
        <v>-1.5741090550580601E-5</v>
      </c>
      <c r="L85" s="272">
        <v>-3.6964308766183102E-3</v>
      </c>
      <c r="M85"/>
      <c r="N85" s="280"/>
      <c r="O85" s="280"/>
      <c r="P85" s="280"/>
      <c r="Q85" s="280"/>
      <c r="R85" s="280"/>
      <c r="S85" s="280"/>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row>
    <row r="86" spans="1:78" x14ac:dyDescent="0.25">
      <c r="A86" s="281" t="s">
        <v>327</v>
      </c>
      <c r="B86" s="282">
        <v>1.1727000000000001</v>
      </c>
      <c r="C86" s="282">
        <v>0.98470000000000002</v>
      </c>
      <c r="D86" s="282">
        <v>0.95599999999999996</v>
      </c>
      <c r="E86" s="282">
        <v>0.89870000000000005</v>
      </c>
      <c r="F86" s="282">
        <v>0.89870000000000005</v>
      </c>
      <c r="G86" s="282">
        <v>0.77249999999999996</v>
      </c>
      <c r="H86" s="270">
        <v>-1.15808882576653E-2</v>
      </c>
      <c r="I86" s="271">
        <v>-5.8983586167073998E-3</v>
      </c>
      <c r="J86" s="271">
        <v>-1.2285635388609301E-2</v>
      </c>
      <c r="K86" s="271">
        <v>0</v>
      </c>
      <c r="L86" s="272">
        <v>-7.53731419582315E-3</v>
      </c>
      <c r="M86"/>
      <c r="N86" s="280"/>
      <c r="O86" s="280"/>
      <c r="P86" s="280"/>
      <c r="Q86" s="280"/>
      <c r="R86" s="280"/>
      <c r="S86" s="280"/>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row>
    <row r="87" spans="1:78" x14ac:dyDescent="0.25">
      <c r="A87" s="278" t="s">
        <v>121</v>
      </c>
      <c r="B87" s="264">
        <v>3.6766999999999999</v>
      </c>
      <c r="C87" s="264">
        <v>4.0911</v>
      </c>
      <c r="D87" s="264">
        <v>4.1436999999999999</v>
      </c>
      <c r="E87" s="264">
        <v>4.1585999999999999</v>
      </c>
      <c r="F87" s="264">
        <v>4.1642000000000001</v>
      </c>
      <c r="G87" s="264">
        <v>4.9579000000000004</v>
      </c>
      <c r="H87" s="270">
        <v>7.1452914287142297E-3</v>
      </c>
      <c r="I87" s="271">
        <v>2.5583121026373501E-3</v>
      </c>
      <c r="J87" s="271">
        <v>7.1813186442937205E-4</v>
      </c>
      <c r="K87" s="271">
        <v>2.6917645530222202E-4</v>
      </c>
      <c r="L87" s="272">
        <v>8.7610595723068806E-3</v>
      </c>
      <c r="M87"/>
      <c r="N87" s="280"/>
      <c r="O87" s="280"/>
      <c r="P87" s="280"/>
      <c r="Q87" s="280"/>
      <c r="R87" s="280"/>
      <c r="S87" s="280"/>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row>
    <row r="88" spans="1:78" x14ac:dyDescent="0.25">
      <c r="A88" s="281" t="s">
        <v>328</v>
      </c>
      <c r="B88" s="282">
        <v>0.7994</v>
      </c>
      <c r="C88" s="282">
        <v>0.79079999999999995</v>
      </c>
      <c r="D88" s="282">
        <v>0.76119999999999999</v>
      </c>
      <c r="E88" s="282">
        <v>0.73160000000000003</v>
      </c>
      <c r="F88" s="282">
        <v>0.70209999999999995</v>
      </c>
      <c r="G88" s="282">
        <v>0.70209999999999995</v>
      </c>
      <c r="H88" s="270">
        <v>-7.2083040889703298E-4</v>
      </c>
      <c r="I88" s="271">
        <v>-7.6007582036337097E-3</v>
      </c>
      <c r="J88" s="271">
        <v>-7.9010649739121898E-3</v>
      </c>
      <c r="K88" s="271">
        <v>-8.1978275307315104E-3</v>
      </c>
      <c r="L88" s="272">
        <v>0</v>
      </c>
      <c r="M88"/>
      <c r="N88" s="280"/>
      <c r="O88" s="280"/>
      <c r="P88" s="280"/>
      <c r="Q88" s="280"/>
      <c r="R88" s="280"/>
      <c r="S88" s="280"/>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row>
    <row r="89" spans="1:78" x14ac:dyDescent="0.25">
      <c r="A89" s="278" t="s">
        <v>123</v>
      </c>
      <c r="B89" s="264">
        <v>2.4811999999999999</v>
      </c>
      <c r="C89" s="264">
        <v>1.8880999999999999</v>
      </c>
      <c r="D89" s="264">
        <v>1.9181999999999999</v>
      </c>
      <c r="E89" s="264">
        <v>1.9128000000000001</v>
      </c>
      <c r="F89" s="264">
        <v>1.8733</v>
      </c>
      <c r="G89" s="264">
        <v>2.4579</v>
      </c>
      <c r="H89" s="270">
        <v>-1.8046592979841101E-2</v>
      </c>
      <c r="I89" s="271">
        <v>3.16825110977303E-3</v>
      </c>
      <c r="J89" s="271">
        <v>-5.6366291228771004E-4</v>
      </c>
      <c r="K89" s="271">
        <v>-4.1646149739722497E-3</v>
      </c>
      <c r="L89" s="272">
        <v>1.3672918211887101E-2</v>
      </c>
      <c r="M89"/>
      <c r="N89" s="280"/>
      <c r="O89" s="280"/>
      <c r="P89" s="280"/>
      <c r="Q89" s="280"/>
      <c r="R89" s="280"/>
      <c r="S89" s="280"/>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row>
    <row r="90" spans="1:78" x14ac:dyDescent="0.25">
      <c r="A90" s="278" t="s">
        <v>124</v>
      </c>
      <c r="B90" s="264">
        <v>4.1561000000000003</v>
      </c>
      <c r="C90" s="264">
        <v>3.4727000000000001</v>
      </c>
      <c r="D90" s="264">
        <v>3.2130000000000001</v>
      </c>
      <c r="E90" s="264">
        <v>3.2161</v>
      </c>
      <c r="F90" s="264">
        <v>3.2155</v>
      </c>
      <c r="G90" s="264">
        <v>3.3597999999999999</v>
      </c>
      <c r="H90" s="270">
        <v>-1.19048857107346E-2</v>
      </c>
      <c r="I90" s="271">
        <v>-1.54252548544122E-2</v>
      </c>
      <c r="J90" s="271">
        <v>1.9289164658897699E-4</v>
      </c>
      <c r="K90" s="271">
        <v>-3.7315057351383602E-5</v>
      </c>
      <c r="L90" s="272">
        <v>2.19733971030589E-3</v>
      </c>
      <c r="M90"/>
      <c r="N90" s="280"/>
      <c r="O90" s="280"/>
      <c r="P90" s="280"/>
      <c r="Q90" s="280"/>
      <c r="R90" s="280"/>
      <c r="S90" s="28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row>
    <row r="91" spans="1:78" x14ac:dyDescent="0.25">
      <c r="A91" s="281" t="s">
        <v>329</v>
      </c>
      <c r="B91" s="282">
        <v>2.7366000000000001</v>
      </c>
      <c r="C91" s="282">
        <v>2.4272999999999998</v>
      </c>
      <c r="D91" s="282">
        <v>2.1516000000000002</v>
      </c>
      <c r="E91" s="282">
        <v>2.1516000000000002</v>
      </c>
      <c r="F91" s="282">
        <v>2.1516000000000002</v>
      </c>
      <c r="G91" s="282">
        <v>2.1516000000000002</v>
      </c>
      <c r="H91" s="270">
        <v>-7.9639017862079796E-3</v>
      </c>
      <c r="I91" s="271">
        <v>-2.3825146478264701E-2</v>
      </c>
      <c r="J91" s="271">
        <v>0</v>
      </c>
      <c r="K91" s="271">
        <v>0</v>
      </c>
      <c r="L91" s="272">
        <v>0</v>
      </c>
      <c r="M91"/>
      <c r="N91" s="280"/>
      <c r="O91" s="280"/>
      <c r="P91" s="280"/>
      <c r="Q91" s="280"/>
      <c r="R91" s="280"/>
      <c r="S91" s="280"/>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row>
    <row r="92" spans="1:78" x14ac:dyDescent="0.25">
      <c r="A92" s="244"/>
      <c r="B92" s="245"/>
      <c r="C92" s="245"/>
      <c r="D92" s="245"/>
      <c r="E92" s="245"/>
      <c r="F92" s="245"/>
      <c r="G92" s="245"/>
      <c r="H92" s="270"/>
      <c r="I92" s="271"/>
      <c r="J92" s="271"/>
      <c r="K92" s="271"/>
      <c r="L92" s="27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row>
    <row r="93" spans="1:78" x14ac:dyDescent="0.25">
      <c r="A93" s="244"/>
      <c r="B93" s="245"/>
      <c r="C93" s="245"/>
      <c r="D93" s="245"/>
      <c r="E93" s="245"/>
      <c r="F93" s="245"/>
      <c r="G93" s="245"/>
      <c r="H93" s="270"/>
      <c r="I93" s="271"/>
      <c r="J93" s="271"/>
      <c r="K93" s="271"/>
      <c r="L93" s="272"/>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row>
    <row r="94" spans="1:78" ht="15.75" thickBot="1" x14ac:dyDescent="0.3">
      <c r="A94" s="253" t="s">
        <v>10</v>
      </c>
      <c r="B94" s="273">
        <v>27.5228</v>
      </c>
      <c r="C94" s="273">
        <v>21.892399999999999</v>
      </c>
      <c r="D94" s="273">
        <v>21.755700000000001</v>
      </c>
      <c r="E94" s="273">
        <v>21.723600000000001</v>
      </c>
      <c r="F94" s="273">
        <v>21.683199999999999</v>
      </c>
      <c r="G94" s="273">
        <v>23.712399999999999</v>
      </c>
      <c r="H94" s="275">
        <v>-1.5142528399887599E-2</v>
      </c>
      <c r="I94" s="276">
        <v>-1.25196612833756E-3</v>
      </c>
      <c r="J94" s="276">
        <v>-2.9526939508450799E-4</v>
      </c>
      <c r="K94" s="276">
        <v>-3.7222271439563099E-4</v>
      </c>
      <c r="L94" s="277">
        <v>4.4830364212027404E-3</v>
      </c>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row>
    <row r="95" spans="1:78" ht="15.75" thickBot="1" x14ac:dyDescent="0.3">
      <c r="A95" s="258"/>
      <c r="B95"/>
      <c r="C95"/>
      <c r="D95"/>
      <c r="E95" s="236"/>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row>
    <row r="96" spans="1:78" ht="15.75" thickBot="1" x14ac:dyDescent="0.3">
      <c r="A96" s="284" t="s">
        <v>126</v>
      </c>
      <c r="B96" s="285">
        <v>16.929500000000001</v>
      </c>
      <c r="C96" s="285">
        <v>12.960800000000001</v>
      </c>
      <c r="D96" s="285">
        <v>12.480499999999999</v>
      </c>
      <c r="E96" s="285">
        <v>12.231400000000001</v>
      </c>
      <c r="F96" s="285">
        <v>12.0359</v>
      </c>
      <c r="G96" s="285">
        <v>11.3055</v>
      </c>
      <c r="H96" s="286">
        <v>-1.76509145787325E-2</v>
      </c>
      <c r="I96" s="287">
        <v>-7.5239505361731603E-3</v>
      </c>
      <c r="J96" s="287">
        <v>-4.0240836855555103E-3</v>
      </c>
      <c r="K96" s="287">
        <v>-3.2173263637790299E-3</v>
      </c>
      <c r="L96" s="288">
        <v>-3.1253318186170698E-3</v>
      </c>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row>
    <row r="97" spans="1:78" x14ac:dyDescent="0.25">
      <c r="A97" s="289"/>
      <c r="B97" s="290"/>
      <c r="C97" s="290"/>
      <c r="D97" s="290"/>
      <c r="E97" s="290"/>
      <c r="F97" s="290"/>
      <c r="G97" s="290"/>
      <c r="H97" s="271"/>
      <c r="I97" s="271"/>
      <c r="J97" s="271"/>
      <c r="K97" s="271"/>
      <c r="L97" s="271"/>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row>
    <row r="98" spans="1:78" x14ac:dyDescent="0.25">
      <c r="A98"/>
      <c r="B98"/>
      <c r="C98"/>
      <c r="D98"/>
      <c r="E98"/>
      <c r="F98" s="260"/>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row>
    <row r="99" spans="1:78" ht="16.5" thickBot="1" x14ac:dyDescent="0.3">
      <c r="A99" s="237" t="s">
        <v>130</v>
      </c>
      <c r="B99" s="238"/>
      <c r="C99" s="238"/>
      <c r="D99" s="238"/>
      <c r="E99" s="238"/>
      <c r="F99" s="238"/>
      <c r="G99" s="239"/>
      <c r="H99" s="239"/>
      <c r="I99" s="239"/>
      <c r="J99" s="239"/>
      <c r="K99" s="239"/>
      <c r="L99" s="23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row>
    <row r="100" spans="1:78" ht="15.75" thickBot="1" x14ac:dyDescent="0.3">
      <c r="A100" s="240"/>
      <c r="B100" s="241">
        <v>2000</v>
      </c>
      <c r="C100" s="241">
        <v>2015</v>
      </c>
      <c r="D100" s="241">
        <v>2020</v>
      </c>
      <c r="E100" s="241">
        <v>2025</v>
      </c>
      <c r="F100" s="241">
        <v>2030</v>
      </c>
      <c r="G100" s="241">
        <v>2050</v>
      </c>
      <c r="H100" s="261" t="s">
        <v>98</v>
      </c>
      <c r="I100" s="262" t="s">
        <v>99</v>
      </c>
      <c r="J100" s="262" t="s">
        <v>100</v>
      </c>
      <c r="K100" s="262" t="s">
        <v>101</v>
      </c>
      <c r="L100" s="263" t="s">
        <v>320</v>
      </c>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row>
    <row r="101" spans="1:78" ht="15.75" thickBot="1" x14ac:dyDescent="0.3">
      <c r="A101" s="253" t="s">
        <v>131</v>
      </c>
      <c r="B101" s="294">
        <v>0.14861332923950199</v>
      </c>
      <c r="C101" s="294">
        <v>0.110941580597999</v>
      </c>
      <c r="D101" s="294">
        <v>0.10396332292291301</v>
      </c>
      <c r="E101" s="294">
        <v>9.9385626244271399E-2</v>
      </c>
      <c r="F101" s="294">
        <v>9.4579979036345102E-2</v>
      </c>
      <c r="G101" s="294">
        <v>8.2360372895128306E-2</v>
      </c>
      <c r="H101" s="275">
        <v>-1.9300909856419E-2</v>
      </c>
      <c r="I101" s="276">
        <v>-1.29090716677155E-2</v>
      </c>
      <c r="J101" s="276">
        <v>-8.9657011857309198E-3</v>
      </c>
      <c r="K101" s="276">
        <v>-9.8633712034121909E-3</v>
      </c>
      <c r="L101" s="277">
        <v>-6.8932024225259996E-3</v>
      </c>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row>
    <row r="102" spans="1:78" x14ac:dyDescent="0.25">
      <c r="A102" s="295"/>
      <c r="B102"/>
      <c r="C102"/>
      <c r="D102"/>
      <c r="E102"/>
      <c r="F102" s="260"/>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row>
    <row r="103" spans="1:78" x14ac:dyDescent="0.25">
      <c r="A103"/>
      <c r="B103"/>
      <c r="C103"/>
      <c r="D103"/>
      <c r="E103"/>
      <c r="F103" s="260"/>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row>
    <row r="104" spans="1:78" ht="21" x14ac:dyDescent="0.35">
      <c r="A104" s="234" t="s">
        <v>132</v>
      </c>
      <c r="B104" s="224"/>
      <c r="C104" s="224"/>
      <c r="D104" s="224"/>
      <c r="E104" s="224"/>
      <c r="F104" s="224"/>
      <c r="G104" s="296"/>
      <c r="H104" s="296"/>
      <c r="I104" s="296"/>
      <c r="J104" s="296"/>
      <c r="K104" s="296"/>
      <c r="L104" s="296"/>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row>
    <row r="105" spans="1:78" x14ac:dyDescent="0.25">
      <c r="A105"/>
      <c r="B105"/>
      <c r="C105"/>
      <c r="D105"/>
      <c r="E105"/>
      <c r="F105" s="260"/>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row>
    <row r="106" spans="1:78" ht="16.5" thickBot="1" x14ac:dyDescent="0.3">
      <c r="A106" s="237" t="s">
        <v>133</v>
      </c>
      <c r="B106" s="238"/>
      <c r="C106" s="238"/>
      <c r="D106" s="238"/>
      <c r="E106" s="238"/>
      <c r="F106" s="238"/>
      <c r="G106" s="239"/>
      <c r="H106" s="239"/>
      <c r="I106" s="239"/>
      <c r="J106" s="239"/>
      <c r="K106" s="239"/>
      <c r="L106" s="239"/>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row>
    <row r="107" spans="1:78" ht="15.75" thickBot="1" x14ac:dyDescent="0.3">
      <c r="A107" s="240" t="s">
        <v>51</v>
      </c>
      <c r="B107" s="241">
        <v>2000</v>
      </c>
      <c r="C107" s="241">
        <v>2015</v>
      </c>
      <c r="D107" s="241">
        <v>2020</v>
      </c>
      <c r="E107" s="241">
        <v>2025</v>
      </c>
      <c r="F107" s="241">
        <v>2030</v>
      </c>
      <c r="G107" s="241">
        <v>2050</v>
      </c>
      <c r="H107" s="261" t="s">
        <v>98</v>
      </c>
      <c r="I107" s="262" t="s">
        <v>99</v>
      </c>
      <c r="J107" s="262" t="s">
        <v>100</v>
      </c>
      <c r="K107" s="262" t="s">
        <v>101</v>
      </c>
      <c r="L107" s="263" t="s">
        <v>320</v>
      </c>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row>
    <row r="108" spans="1:78" x14ac:dyDescent="0.25">
      <c r="A108" s="244" t="s">
        <v>103</v>
      </c>
      <c r="B108" s="245">
        <v>9.0759000000000007</v>
      </c>
      <c r="C108" s="245">
        <v>6.5214999999999996</v>
      </c>
      <c r="D108" s="245">
        <v>5.1642000000000001</v>
      </c>
      <c r="E108" s="245">
        <v>4.3639999999999999</v>
      </c>
      <c r="F108" s="245">
        <v>3.6859000000000002</v>
      </c>
      <c r="G108" s="245">
        <v>2.8035000000000001</v>
      </c>
      <c r="H108" s="265">
        <v>-2.17935552584426E-2</v>
      </c>
      <c r="I108" s="266">
        <v>-4.5598505014204697E-2</v>
      </c>
      <c r="J108" s="266">
        <v>-3.3111627186345201E-2</v>
      </c>
      <c r="K108" s="266">
        <v>-3.3210864451994698E-2</v>
      </c>
      <c r="L108" s="267">
        <v>-1.35891273449983E-2</v>
      </c>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row>
    <row r="109" spans="1:78" x14ac:dyDescent="0.25">
      <c r="A109" s="244" t="s">
        <v>54</v>
      </c>
      <c r="B109" s="245">
        <v>15.005599999999999</v>
      </c>
      <c r="C109" s="245">
        <v>14.2493</v>
      </c>
      <c r="D109" s="245">
        <v>12.052199999999999</v>
      </c>
      <c r="E109" s="245">
        <v>11.236800000000001</v>
      </c>
      <c r="F109" s="245">
        <v>10.642799999999999</v>
      </c>
      <c r="G109" s="245">
        <v>9.4556000000000004</v>
      </c>
      <c r="H109" s="270">
        <v>-3.44177560248382E-3</v>
      </c>
      <c r="I109" s="271">
        <v>-3.2937461927411801E-2</v>
      </c>
      <c r="J109" s="271">
        <v>-1.39129299038766E-2</v>
      </c>
      <c r="K109" s="271">
        <v>-1.0803320256092101E-2</v>
      </c>
      <c r="L109" s="272">
        <v>-5.8963702023894201E-3</v>
      </c>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row>
    <row r="110" spans="1:78" x14ac:dyDescent="0.25">
      <c r="A110" s="244" t="s">
        <v>42</v>
      </c>
      <c r="B110" s="245">
        <v>0.06</v>
      </c>
      <c r="C110" s="245">
        <v>8.1900000000000001E-2</v>
      </c>
      <c r="D110" s="245">
        <v>1.0500000000000001E-2</v>
      </c>
      <c r="E110" s="245">
        <v>1.2E-2</v>
      </c>
      <c r="F110" s="245">
        <v>8.8000000000000005E-3</v>
      </c>
      <c r="G110" s="245">
        <v>7.1000000000000004E-3</v>
      </c>
      <c r="H110" s="270">
        <v>2.0960273043430001E-2</v>
      </c>
      <c r="I110" s="271">
        <v>-0.33689686759559401</v>
      </c>
      <c r="J110" s="271">
        <v>2.7066087089351799E-2</v>
      </c>
      <c r="K110" s="271">
        <v>-6.0146235650011301E-2</v>
      </c>
      <c r="L110" s="272">
        <v>-1.0675455379070199E-2</v>
      </c>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row>
    <row r="111" spans="1:78" x14ac:dyDescent="0.25">
      <c r="A111" s="244" t="s">
        <v>104</v>
      </c>
      <c r="B111" s="245">
        <v>10.5669</v>
      </c>
      <c r="C111" s="245">
        <v>12.6416</v>
      </c>
      <c r="D111" s="245">
        <v>12.3057</v>
      </c>
      <c r="E111" s="245">
        <v>12.1876</v>
      </c>
      <c r="F111" s="245">
        <v>12.1678</v>
      </c>
      <c r="G111" s="245">
        <v>12.6196</v>
      </c>
      <c r="H111" s="270">
        <v>1.20227989987569E-2</v>
      </c>
      <c r="I111" s="271">
        <v>-5.3715997482802801E-3</v>
      </c>
      <c r="J111" s="271">
        <v>-1.9268468925702799E-3</v>
      </c>
      <c r="K111" s="271">
        <v>-3.2513176350812401E-4</v>
      </c>
      <c r="L111" s="272">
        <v>1.8245646272585501E-3</v>
      </c>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row>
    <row r="112" spans="1:78" x14ac:dyDescent="0.25">
      <c r="A112" s="244" t="s">
        <v>105</v>
      </c>
      <c r="B112" s="245">
        <v>1.752</v>
      </c>
      <c r="C112" s="245">
        <v>1.3252999999999999</v>
      </c>
      <c r="D112" s="245">
        <v>1.4417</v>
      </c>
      <c r="E112" s="245">
        <v>1.4137999999999999</v>
      </c>
      <c r="F112" s="245">
        <v>1.3756999999999999</v>
      </c>
      <c r="G112" s="245">
        <v>1.2588999999999999</v>
      </c>
      <c r="H112" s="270">
        <v>-1.8435884011240002E-2</v>
      </c>
      <c r="I112" s="271">
        <v>1.69793629604462E-2</v>
      </c>
      <c r="J112" s="271">
        <v>-3.9007438724438801E-3</v>
      </c>
      <c r="K112" s="271">
        <v>-5.4487856764971997E-3</v>
      </c>
      <c r="L112" s="272">
        <v>-4.4263929524347399E-3</v>
      </c>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row>
    <row r="113" spans="1:78" x14ac:dyDescent="0.25">
      <c r="A113" s="244" t="s">
        <v>134</v>
      </c>
      <c r="B113" s="245">
        <v>6.2961</v>
      </c>
      <c r="C113" s="245">
        <v>6.7679</v>
      </c>
      <c r="D113" s="245">
        <v>7.2196999999999996</v>
      </c>
      <c r="E113" s="245">
        <v>7.2439</v>
      </c>
      <c r="F113" s="245">
        <v>7.2420000000000098</v>
      </c>
      <c r="G113" s="245">
        <v>6.9114000000000004</v>
      </c>
      <c r="H113" s="270">
        <v>4.8289856636014603E-3</v>
      </c>
      <c r="I113" s="271">
        <v>1.30083932829694E-2</v>
      </c>
      <c r="J113" s="271">
        <v>6.6949092969248501E-4</v>
      </c>
      <c r="K113" s="271">
        <v>-5.2463434655591903E-5</v>
      </c>
      <c r="L113" s="272">
        <v>-2.3335325281442802E-3</v>
      </c>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row>
    <row r="114" spans="1:78" x14ac:dyDescent="0.25">
      <c r="A114" s="244" t="s">
        <v>135</v>
      </c>
      <c r="B114" s="245">
        <v>2.0799999999999999E-2</v>
      </c>
      <c r="C114" s="245">
        <v>8.5300000000000001E-2</v>
      </c>
      <c r="D114" s="245">
        <v>0.1007</v>
      </c>
      <c r="E114" s="245">
        <v>0.1164</v>
      </c>
      <c r="F114" s="245">
        <v>0.1183</v>
      </c>
      <c r="G114" s="245">
        <v>0.12470000000000001</v>
      </c>
      <c r="H114" s="270"/>
      <c r="I114" s="271"/>
      <c r="J114" s="271"/>
      <c r="K114" s="271"/>
      <c r="L114" s="272"/>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row>
    <row r="115" spans="1:78" x14ac:dyDescent="0.25">
      <c r="A115" s="244" t="s">
        <v>136</v>
      </c>
      <c r="B115" s="245">
        <v>0</v>
      </c>
      <c r="C115" s="245">
        <v>0.420688103993204</v>
      </c>
      <c r="D115" s="245">
        <v>0.65528600572635798</v>
      </c>
      <c r="E115" s="245">
        <v>0.85316975623719604</v>
      </c>
      <c r="F115" s="245">
        <v>1.0269460024889701</v>
      </c>
      <c r="G115" s="245">
        <v>1.45611201019554</v>
      </c>
      <c r="H115" s="270"/>
      <c r="I115" s="271"/>
      <c r="J115" s="271"/>
      <c r="K115" s="271"/>
      <c r="L115" s="272"/>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row>
    <row r="116" spans="1:78" x14ac:dyDescent="0.25">
      <c r="A116" s="244"/>
      <c r="B116" s="245"/>
      <c r="C116" s="245"/>
      <c r="D116" s="245"/>
      <c r="E116" s="245"/>
      <c r="F116" s="245"/>
      <c r="G116" s="297"/>
      <c r="H116" s="270"/>
      <c r="I116" s="271"/>
      <c r="J116" s="271"/>
      <c r="K116" s="271"/>
      <c r="L116" s="272"/>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row>
    <row r="117" spans="1:78" ht="15.75" thickBot="1" x14ac:dyDescent="0.3">
      <c r="A117" s="298" t="s">
        <v>10</v>
      </c>
      <c r="B117" s="299">
        <v>42.777299999999997</v>
      </c>
      <c r="C117" s="299">
        <v>42.093488103993202</v>
      </c>
      <c r="D117" s="299">
        <v>38.949986005726402</v>
      </c>
      <c r="E117" s="299">
        <v>37.427669756237201</v>
      </c>
      <c r="F117" s="299">
        <v>36.268246002489001</v>
      </c>
      <c r="G117" s="299">
        <v>34.636912010195502</v>
      </c>
      <c r="H117" s="275">
        <v>-1.0737255569641701E-3</v>
      </c>
      <c r="I117" s="276">
        <v>-1.54030681153818E-2</v>
      </c>
      <c r="J117" s="276">
        <v>-7.9419247568907093E-3</v>
      </c>
      <c r="K117" s="276">
        <v>-6.27377144735408E-3</v>
      </c>
      <c r="L117" s="277">
        <v>-2.2984873308317102E-3</v>
      </c>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row>
    <row r="118" spans="1:78" x14ac:dyDescent="0.25">
      <c r="A118" s="258"/>
      <c r="B118" s="236"/>
      <c r="C118" s="236"/>
      <c r="D118" s="236"/>
      <c r="E118" s="236"/>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row>
    <row r="119" spans="1:78" x14ac:dyDescent="0.25">
      <c r="A119"/>
      <c r="B119" s="236"/>
      <c r="C119" s="236"/>
      <c r="D119" s="236"/>
      <c r="E119" s="236"/>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row>
    <row r="120" spans="1:78" ht="16.5" thickBot="1" x14ac:dyDescent="0.3">
      <c r="A120" s="237" t="s">
        <v>137</v>
      </c>
      <c r="B120" s="239"/>
      <c r="C120" s="239"/>
      <c r="D120" s="239"/>
      <c r="E120" s="239"/>
      <c r="F120" s="239"/>
      <c r="G120" s="239"/>
      <c r="H120" s="239"/>
      <c r="I120" s="239"/>
      <c r="J120" s="239"/>
      <c r="K120" s="239"/>
      <c r="L120" s="239"/>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row>
    <row r="121" spans="1:78" ht="15.75" thickBot="1" x14ac:dyDescent="0.3">
      <c r="A121" s="240" t="s">
        <v>51</v>
      </c>
      <c r="B121" s="241">
        <v>2000</v>
      </c>
      <c r="C121" s="241">
        <v>2015</v>
      </c>
      <c r="D121" s="241">
        <v>2020</v>
      </c>
      <c r="E121" s="241">
        <v>2025</v>
      </c>
      <c r="F121" s="241">
        <v>2030</v>
      </c>
      <c r="G121" s="241">
        <v>2050</v>
      </c>
      <c r="H121" s="261" t="s">
        <v>98</v>
      </c>
      <c r="I121" s="262" t="s">
        <v>99</v>
      </c>
      <c r="J121" s="262" t="s">
        <v>100</v>
      </c>
      <c r="K121" s="262" t="s">
        <v>101</v>
      </c>
      <c r="L121" s="263" t="s">
        <v>320</v>
      </c>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row>
    <row r="122" spans="1:78" x14ac:dyDescent="0.25">
      <c r="A122" s="244" t="s">
        <v>138</v>
      </c>
      <c r="B122" s="245">
        <v>30.922000000000001</v>
      </c>
      <c r="C122" s="245">
        <v>28.023920309676601</v>
      </c>
      <c r="D122" s="245">
        <v>24.912528596675799</v>
      </c>
      <c r="E122" s="245">
        <v>23.5361416462416</v>
      </c>
      <c r="F122" s="245">
        <v>22.5010829799809</v>
      </c>
      <c r="G122" s="245">
        <v>20.207454330937399</v>
      </c>
      <c r="H122" s="265">
        <v>-6.5391568771049303E-3</v>
      </c>
      <c r="I122" s="266">
        <v>-2.32626749266578E-2</v>
      </c>
      <c r="J122" s="266">
        <v>-1.1302373056406001E-2</v>
      </c>
      <c r="K122" s="266">
        <v>-8.9544165915632599E-3</v>
      </c>
      <c r="L122" s="267">
        <v>-5.3611712440481104E-3</v>
      </c>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row>
    <row r="123" spans="1:78" x14ac:dyDescent="0.25">
      <c r="A123" s="244" t="s">
        <v>139</v>
      </c>
      <c r="B123" s="245">
        <v>4.4291</v>
      </c>
      <c r="C123" s="245">
        <v>4.6972677943166401</v>
      </c>
      <c r="D123" s="245">
        <v>4.4479574090505798</v>
      </c>
      <c r="E123" s="245">
        <v>4.3295281099956302</v>
      </c>
      <c r="F123" s="245">
        <v>4.2373630225080401</v>
      </c>
      <c r="G123" s="245">
        <v>4.09635767925809</v>
      </c>
      <c r="H123" s="270">
        <v>3.9266636335164602E-3</v>
      </c>
      <c r="I123" s="271">
        <v>-1.0847939635284E-2</v>
      </c>
      <c r="J123" s="271">
        <v>-5.3827462339912603E-3</v>
      </c>
      <c r="K123" s="271">
        <v>-4.2942347802371597E-3</v>
      </c>
      <c r="L123" s="272">
        <v>-1.69071608403115E-3</v>
      </c>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row>
    <row r="124" spans="1:78" x14ac:dyDescent="0.25">
      <c r="A124" s="244" t="s">
        <v>140</v>
      </c>
      <c r="B124" s="245">
        <v>2.4603000000000002</v>
      </c>
      <c r="C124" s="245">
        <v>2.6871999999999998</v>
      </c>
      <c r="D124" s="245">
        <v>2.7454999999999998</v>
      </c>
      <c r="E124" s="245">
        <v>2.7967</v>
      </c>
      <c r="F124" s="245">
        <v>2.8445</v>
      </c>
      <c r="G124" s="245">
        <v>2.9962</v>
      </c>
      <c r="H124" s="270">
        <v>5.89842531274898E-3</v>
      </c>
      <c r="I124" s="271">
        <v>4.3019164743893796E-3</v>
      </c>
      <c r="J124" s="271">
        <v>3.70222495769901E-3</v>
      </c>
      <c r="K124" s="271">
        <v>3.39518151968621E-3</v>
      </c>
      <c r="L124" s="272">
        <v>2.60125309774928E-3</v>
      </c>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row>
    <row r="125" spans="1:78" x14ac:dyDescent="0.25">
      <c r="A125" s="244" t="s">
        <v>141</v>
      </c>
      <c r="B125" s="245">
        <v>0.96689999999999998</v>
      </c>
      <c r="C125" s="245">
        <v>0.70150000000000001</v>
      </c>
      <c r="D125" s="245">
        <v>0.67610000000000003</v>
      </c>
      <c r="E125" s="245">
        <v>0.64649999999999996</v>
      </c>
      <c r="F125" s="245">
        <v>0.6139</v>
      </c>
      <c r="G125" s="245">
        <v>0.4284</v>
      </c>
      <c r="H125" s="270">
        <v>-2.1164434117033299E-2</v>
      </c>
      <c r="I125" s="271">
        <v>-7.3488452993424299E-3</v>
      </c>
      <c r="J125" s="271">
        <v>-8.9135954275146902E-3</v>
      </c>
      <c r="K125" s="271">
        <v>-1.0294871238786901E-2</v>
      </c>
      <c r="L125" s="272">
        <v>-1.7827904019555099E-2</v>
      </c>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row>
    <row r="126" spans="1:78" x14ac:dyDescent="0.25">
      <c r="A126" s="244" t="s">
        <v>142</v>
      </c>
      <c r="B126" s="245">
        <v>3.9872999999999998</v>
      </c>
      <c r="C126" s="245">
        <v>5.9343000000000004</v>
      </c>
      <c r="D126" s="245">
        <v>6.0978000000000003</v>
      </c>
      <c r="E126" s="245">
        <v>6.0098000000000003</v>
      </c>
      <c r="F126" s="245">
        <v>5.9207999999999998</v>
      </c>
      <c r="G126" s="245">
        <v>6.4943</v>
      </c>
      <c r="H126" s="270">
        <v>2.6863473013139599E-2</v>
      </c>
      <c r="I126" s="271">
        <v>5.4505954743069296E-3</v>
      </c>
      <c r="J126" s="271">
        <v>-2.9030939026749602E-3</v>
      </c>
      <c r="K126" s="271">
        <v>-2.9795314039316998E-3</v>
      </c>
      <c r="L126" s="272">
        <v>4.6333657072765702E-3</v>
      </c>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row>
    <row r="127" spans="1:78" x14ac:dyDescent="0.25">
      <c r="A127" s="244" t="s">
        <v>143</v>
      </c>
      <c r="B127" s="245">
        <v>1.1599999999999999E-2</v>
      </c>
      <c r="C127" s="245">
        <v>4.9200000000000001E-2</v>
      </c>
      <c r="D127" s="245">
        <v>7.0000000000000007E-2</v>
      </c>
      <c r="E127" s="245">
        <v>0.1089</v>
      </c>
      <c r="F127" s="245">
        <v>0.15049999999999999</v>
      </c>
      <c r="G127" s="245">
        <v>0.4143</v>
      </c>
      <c r="H127" s="270"/>
      <c r="I127" s="271"/>
      <c r="J127" s="271"/>
      <c r="K127" s="271"/>
      <c r="L127" s="272"/>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row>
    <row r="128" spans="1:78" x14ac:dyDescent="0.25">
      <c r="A128" s="244"/>
      <c r="B128" s="245"/>
      <c r="C128" s="245"/>
      <c r="D128" s="245"/>
      <c r="E128" s="245"/>
      <c r="F128" s="245"/>
      <c r="G128" s="245"/>
      <c r="H128" s="270"/>
      <c r="I128" s="271"/>
      <c r="J128" s="271"/>
      <c r="K128" s="271"/>
      <c r="L128" s="272"/>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row>
    <row r="129" spans="1:78" ht="15.75" thickBot="1" x14ac:dyDescent="0.3">
      <c r="A129" s="298" t="s">
        <v>10</v>
      </c>
      <c r="B129" s="299">
        <v>42.777299999999997</v>
      </c>
      <c r="C129" s="299">
        <v>42.093488103993202</v>
      </c>
      <c r="D129" s="299">
        <v>38.949986005726402</v>
      </c>
      <c r="E129" s="299">
        <v>37.427669756237201</v>
      </c>
      <c r="F129" s="299">
        <v>36.268246002489001</v>
      </c>
      <c r="G129" s="299">
        <v>34.636912010195502</v>
      </c>
      <c r="H129" s="275">
        <v>-1.0737255569641701E-3</v>
      </c>
      <c r="I129" s="276">
        <v>-1.54030681153818E-2</v>
      </c>
      <c r="J129" s="276">
        <v>-7.9419247568907093E-3</v>
      </c>
      <c r="K129" s="276">
        <v>-6.27377144735408E-3</v>
      </c>
      <c r="L129" s="277">
        <v>-2.2984873308317102E-3</v>
      </c>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row>
    <row r="130" spans="1:78" x14ac:dyDescent="0.25">
      <c r="A130" s="258"/>
      <c r="B130" s="236"/>
      <c r="C130" s="236"/>
      <c r="D130" s="236"/>
      <c r="E130" s="236"/>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row>
    <row r="131" spans="1:78" x14ac:dyDescent="0.25">
      <c r="A131"/>
      <c r="B131" s="236"/>
      <c r="C131" s="236"/>
      <c r="D131" s="236"/>
      <c r="E131" s="236"/>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row>
    <row r="132" spans="1:78" ht="16.5" thickBot="1" x14ac:dyDescent="0.3">
      <c r="A132" s="237" t="s">
        <v>144</v>
      </c>
      <c r="B132" s="239"/>
      <c r="C132" s="239"/>
      <c r="D132" s="239"/>
      <c r="E132" s="239"/>
      <c r="F132" s="239"/>
      <c r="G132" s="239"/>
      <c r="H132" s="239"/>
      <c r="I132" s="239"/>
      <c r="J132" s="239"/>
      <c r="K132" s="239"/>
      <c r="L132" s="239"/>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row>
    <row r="133" spans="1:78" ht="15.75" thickBot="1" x14ac:dyDescent="0.3">
      <c r="A133" s="240" t="s">
        <v>51</v>
      </c>
      <c r="B133" s="241">
        <v>2000</v>
      </c>
      <c r="C133" s="241">
        <v>2015</v>
      </c>
      <c r="D133" s="241">
        <v>2020</v>
      </c>
      <c r="E133" s="241">
        <v>2025</v>
      </c>
      <c r="F133" s="241">
        <v>2030</v>
      </c>
      <c r="G133" s="241">
        <v>2050</v>
      </c>
      <c r="H133" s="261" t="s">
        <v>98</v>
      </c>
      <c r="I133" s="262" t="s">
        <v>99</v>
      </c>
      <c r="J133" s="262" t="s">
        <v>100</v>
      </c>
      <c r="K133" s="262" t="s">
        <v>101</v>
      </c>
      <c r="L133" s="263" t="s">
        <v>320</v>
      </c>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row>
    <row r="134" spans="1:78" x14ac:dyDescent="0.25">
      <c r="A134" s="244" t="s">
        <v>103</v>
      </c>
      <c r="B134" s="245">
        <v>9.0759000000000007</v>
      </c>
      <c r="C134" s="245">
        <v>6.5214999999999996</v>
      </c>
      <c r="D134" s="245">
        <v>5.1642000000000001</v>
      </c>
      <c r="E134" s="245">
        <v>4.3639999999999999</v>
      </c>
      <c r="F134" s="245">
        <v>3.6859000000000002</v>
      </c>
      <c r="G134" s="245">
        <v>2.8035000000000001</v>
      </c>
      <c r="H134" s="265">
        <v>-2.17935552584426E-2</v>
      </c>
      <c r="I134" s="266">
        <v>-4.5598505014204697E-2</v>
      </c>
      <c r="J134" s="266">
        <v>-3.3111627186345201E-2</v>
      </c>
      <c r="K134" s="266">
        <v>-3.3210864451994698E-2</v>
      </c>
      <c r="L134" s="267">
        <v>-1.35891273449983E-2</v>
      </c>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row>
    <row r="135" spans="1:78" x14ac:dyDescent="0.25">
      <c r="A135" s="244" t="s">
        <v>54</v>
      </c>
      <c r="B135" s="245">
        <v>15.005599999999999</v>
      </c>
      <c r="C135" s="245">
        <v>14.2493</v>
      </c>
      <c r="D135" s="245">
        <v>12.052199999999999</v>
      </c>
      <c r="E135" s="245">
        <v>11.236800000000001</v>
      </c>
      <c r="F135" s="245">
        <v>10.642799999999999</v>
      </c>
      <c r="G135" s="245">
        <v>9.4556000000000004</v>
      </c>
      <c r="H135" s="270">
        <v>-3.44177560248382E-3</v>
      </c>
      <c r="I135" s="271">
        <v>-3.2937461927411801E-2</v>
      </c>
      <c r="J135" s="271">
        <v>-1.39129299038766E-2</v>
      </c>
      <c r="K135" s="271">
        <v>-1.0803320256092101E-2</v>
      </c>
      <c r="L135" s="272">
        <v>-5.8963702023894201E-3</v>
      </c>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row>
    <row r="136" spans="1:78" x14ac:dyDescent="0.25">
      <c r="A136" s="244" t="s">
        <v>42</v>
      </c>
      <c r="B136" s="245">
        <v>0.06</v>
      </c>
      <c r="C136" s="245">
        <v>8.1900000000000001E-2</v>
      </c>
      <c r="D136" s="245">
        <v>1.0500000000000001E-2</v>
      </c>
      <c r="E136" s="245">
        <v>1.2E-2</v>
      </c>
      <c r="F136" s="245">
        <v>8.8000000000000005E-3</v>
      </c>
      <c r="G136" s="245">
        <v>7.1000000000000004E-3</v>
      </c>
      <c r="H136" s="270">
        <v>2.0960273043430001E-2</v>
      </c>
      <c r="I136" s="271">
        <v>-0.33689686759559401</v>
      </c>
      <c r="J136" s="271">
        <v>2.7066087089351799E-2</v>
      </c>
      <c r="K136" s="271">
        <v>-6.0146235650011301E-2</v>
      </c>
      <c r="L136" s="272">
        <v>-1.0675455379070199E-2</v>
      </c>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row>
    <row r="137" spans="1:78" x14ac:dyDescent="0.25">
      <c r="A137" s="244" t="s">
        <v>104</v>
      </c>
      <c r="B137" s="245">
        <v>5.6010999999999997</v>
      </c>
      <c r="C137" s="245">
        <v>5.9565999999999999</v>
      </c>
      <c r="D137" s="245">
        <v>5.4618000000000002</v>
      </c>
      <c r="E137" s="245">
        <v>5.4223999999999997</v>
      </c>
      <c r="F137" s="245">
        <v>5.4825999999999997</v>
      </c>
      <c r="G137" s="245">
        <v>5.2826000000000004</v>
      </c>
      <c r="H137" s="270">
        <v>4.1108826907092499E-3</v>
      </c>
      <c r="I137" s="271">
        <v>-1.7194742215482599E-2</v>
      </c>
      <c r="J137" s="271">
        <v>-1.44692896472554E-3</v>
      </c>
      <c r="K137" s="271">
        <v>2.21062365883862E-3</v>
      </c>
      <c r="L137" s="272">
        <v>-1.85632690187798E-3</v>
      </c>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row>
    <row r="138" spans="1:78" x14ac:dyDescent="0.25">
      <c r="A138" s="244" t="s">
        <v>105</v>
      </c>
      <c r="B138" s="245">
        <v>1.752</v>
      </c>
      <c r="C138" s="245">
        <v>1.3252999999999999</v>
      </c>
      <c r="D138" s="245">
        <v>1.4417</v>
      </c>
      <c r="E138" s="245">
        <v>1.4137999999999999</v>
      </c>
      <c r="F138" s="245">
        <v>1.3756999999999999</v>
      </c>
      <c r="G138" s="245">
        <v>1.2588999999999999</v>
      </c>
      <c r="H138" s="270">
        <v>-1.8435884011240002E-2</v>
      </c>
      <c r="I138" s="271">
        <v>1.69793629604462E-2</v>
      </c>
      <c r="J138" s="271">
        <v>-3.9007438724438801E-3</v>
      </c>
      <c r="K138" s="271">
        <v>-5.4487856764971997E-3</v>
      </c>
      <c r="L138" s="272">
        <v>-4.4263929524347399E-3</v>
      </c>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row>
    <row r="139" spans="1:78" x14ac:dyDescent="0.25">
      <c r="A139" s="244" t="s">
        <v>134</v>
      </c>
      <c r="B139" s="245">
        <v>6.2961</v>
      </c>
      <c r="C139" s="245">
        <v>6.7679</v>
      </c>
      <c r="D139" s="245">
        <v>7.2196999999999996</v>
      </c>
      <c r="E139" s="245">
        <v>7.2439</v>
      </c>
      <c r="F139" s="245">
        <v>7.2420000000000098</v>
      </c>
      <c r="G139" s="245">
        <v>6.9114000000000004</v>
      </c>
      <c r="H139" s="270">
        <v>4.8289856636014603E-3</v>
      </c>
      <c r="I139" s="271">
        <v>1.30083932829694E-2</v>
      </c>
      <c r="J139" s="271">
        <v>6.6949092969248501E-4</v>
      </c>
      <c r="K139" s="271">
        <v>-5.2463434655591903E-5</v>
      </c>
      <c r="L139" s="272">
        <v>-2.3335325281442802E-3</v>
      </c>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row>
    <row r="140" spans="1:78" x14ac:dyDescent="0.25">
      <c r="A140" s="244" t="s">
        <v>135</v>
      </c>
      <c r="B140" s="245">
        <v>2.0799999999999999E-2</v>
      </c>
      <c r="C140" s="245">
        <v>8.5300000000000001E-2</v>
      </c>
      <c r="D140" s="245">
        <v>0.1007</v>
      </c>
      <c r="E140" s="245">
        <v>0.1164</v>
      </c>
      <c r="F140" s="245">
        <v>0.1183</v>
      </c>
      <c r="G140" s="245">
        <v>0.12470000000000001</v>
      </c>
      <c r="H140" s="270"/>
      <c r="I140" s="271"/>
      <c r="J140" s="271"/>
      <c r="K140" s="271"/>
      <c r="L140" s="272"/>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row>
    <row r="141" spans="1:78" x14ac:dyDescent="0.25">
      <c r="A141" s="244" t="s">
        <v>136</v>
      </c>
      <c r="B141" s="245">
        <v>0</v>
      </c>
      <c r="C141" s="245">
        <v>0.420688103993204</v>
      </c>
      <c r="D141" s="245">
        <v>0.65528600572635798</v>
      </c>
      <c r="E141" s="245">
        <v>0.85316975623719604</v>
      </c>
      <c r="F141" s="245">
        <v>1.0269460024889701</v>
      </c>
      <c r="G141" s="245">
        <v>1.45611201019554</v>
      </c>
      <c r="H141" s="270"/>
      <c r="I141" s="271"/>
      <c r="J141" s="271"/>
      <c r="K141" s="271"/>
      <c r="L141" s="272"/>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row>
    <row r="142" spans="1:78" x14ac:dyDescent="0.25">
      <c r="A142" s="244"/>
      <c r="B142" s="245"/>
      <c r="C142" s="245"/>
      <c r="D142" s="245"/>
      <c r="E142" s="245"/>
      <c r="F142" s="245"/>
      <c r="G142" s="300"/>
      <c r="H142" s="270"/>
      <c r="I142" s="271"/>
      <c r="J142" s="271"/>
      <c r="K142" s="271"/>
      <c r="L142" s="27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row>
    <row r="143" spans="1:78" ht="15.75" thickBot="1" x14ac:dyDescent="0.3">
      <c r="A143" s="298" t="s">
        <v>10</v>
      </c>
      <c r="B143" s="299">
        <v>37.811500000000002</v>
      </c>
      <c r="C143" s="299">
        <v>35.4084881039932</v>
      </c>
      <c r="D143" s="299">
        <v>32.106086005726397</v>
      </c>
      <c r="E143" s="299">
        <v>30.662469756237201</v>
      </c>
      <c r="F143" s="299">
        <v>29.583046002488999</v>
      </c>
      <c r="G143" s="299">
        <v>27.299912010195499</v>
      </c>
      <c r="H143" s="275">
        <v>-4.3678809933656E-3</v>
      </c>
      <c r="I143" s="276">
        <v>-1.9390725865499302E-2</v>
      </c>
      <c r="J143" s="276">
        <v>-9.1590349797487907E-3</v>
      </c>
      <c r="K143" s="276">
        <v>-7.1419732611346402E-3</v>
      </c>
      <c r="L143" s="277">
        <v>-4.0078444641916703E-3</v>
      </c>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row>
    <row r="144" spans="1:78" x14ac:dyDescent="0.25">
      <c r="A144"/>
      <c r="B144" s="236"/>
      <c r="C144" s="236"/>
      <c r="D144" s="236"/>
      <c r="E144" s="236"/>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row>
    <row r="145" spans="1:78" x14ac:dyDescent="0.25">
      <c r="A145"/>
      <c r="B145" s="236"/>
      <c r="C145" s="236"/>
      <c r="D145" s="236"/>
      <c r="E145" s="236"/>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row>
    <row r="146" spans="1:78" ht="16.5" thickBot="1" x14ac:dyDescent="0.3">
      <c r="A146" s="237" t="s">
        <v>145</v>
      </c>
      <c r="B146" s="239"/>
      <c r="C146" s="239"/>
      <c r="D146" s="239"/>
      <c r="E146" s="239"/>
      <c r="F146" s="239"/>
      <c r="G146" s="239"/>
      <c r="H146" s="239"/>
      <c r="I146" s="239"/>
      <c r="J146" s="239"/>
      <c r="K146" s="239"/>
      <c r="L146" s="239"/>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row>
    <row r="147" spans="1:78" ht="15.75" thickBot="1" x14ac:dyDescent="0.3">
      <c r="A147" s="240" t="s">
        <v>51</v>
      </c>
      <c r="B147" s="241">
        <v>2000</v>
      </c>
      <c r="C147" s="241">
        <v>2015</v>
      </c>
      <c r="D147" s="241">
        <v>2020</v>
      </c>
      <c r="E147" s="241">
        <v>2025</v>
      </c>
      <c r="F147" s="241">
        <v>2030</v>
      </c>
      <c r="G147" s="241">
        <v>2050</v>
      </c>
      <c r="H147" s="261" t="s">
        <v>98</v>
      </c>
      <c r="I147" s="262" t="s">
        <v>99</v>
      </c>
      <c r="J147" s="262" t="s">
        <v>100</v>
      </c>
      <c r="K147" s="262" t="s">
        <v>101</v>
      </c>
      <c r="L147" s="263" t="s">
        <v>320</v>
      </c>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row>
    <row r="148" spans="1:78" x14ac:dyDescent="0.25">
      <c r="A148" s="244" t="s">
        <v>103</v>
      </c>
      <c r="B148" s="264">
        <v>7.42</v>
      </c>
      <c r="C148" s="264">
        <v>5.2900999999999998</v>
      </c>
      <c r="D148" s="264">
        <v>4.2248000000000001</v>
      </c>
      <c r="E148" s="264">
        <v>3.6564000000000001</v>
      </c>
      <c r="F148" s="264">
        <v>3.2021000000000002</v>
      </c>
      <c r="G148" s="264">
        <v>2.3736000000000002</v>
      </c>
      <c r="H148" s="265">
        <v>-2.2303639699071901E-2</v>
      </c>
      <c r="I148" s="266">
        <v>-4.3976749265529899E-2</v>
      </c>
      <c r="J148" s="266">
        <v>-2.8485002797911701E-2</v>
      </c>
      <c r="K148" s="266">
        <v>-2.61854972954489E-2</v>
      </c>
      <c r="L148" s="267">
        <v>-1.4858460026491599E-2</v>
      </c>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row>
    <row r="149" spans="1:78" x14ac:dyDescent="0.25">
      <c r="A149" s="244" t="s">
        <v>54</v>
      </c>
      <c r="B149" s="264">
        <v>12.598000000000001</v>
      </c>
      <c r="C149" s="264">
        <v>11.803000000000001</v>
      </c>
      <c r="D149" s="264">
        <v>9.6600999999999999</v>
      </c>
      <c r="E149" s="264">
        <v>8.9097000000000008</v>
      </c>
      <c r="F149" s="264">
        <v>8.3757000000000001</v>
      </c>
      <c r="G149" s="264">
        <v>7.4927999999999999</v>
      </c>
      <c r="H149" s="270">
        <v>-4.3361937627828303E-3</v>
      </c>
      <c r="I149" s="271">
        <v>-3.9277763087819002E-2</v>
      </c>
      <c r="J149" s="271">
        <v>-1.6042610135881E-2</v>
      </c>
      <c r="K149" s="271">
        <v>-1.22850973186632E-2</v>
      </c>
      <c r="L149" s="272">
        <v>-5.5541233492533201E-3</v>
      </c>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row>
    <row r="150" spans="1:78" x14ac:dyDescent="0.25">
      <c r="A150" s="244" t="s">
        <v>42</v>
      </c>
      <c r="B150" s="264">
        <v>0.06</v>
      </c>
      <c r="C150" s="264">
        <v>8.1900000000000001E-2</v>
      </c>
      <c r="D150" s="264">
        <v>1.0500000000000001E-2</v>
      </c>
      <c r="E150" s="264">
        <v>1.2E-2</v>
      </c>
      <c r="F150" s="264">
        <v>8.8000000000000005E-3</v>
      </c>
      <c r="G150" s="264">
        <v>7.1000000000000004E-3</v>
      </c>
      <c r="H150" s="270">
        <v>2.0960273043430001E-2</v>
      </c>
      <c r="I150" s="271">
        <v>-0.33689686759559401</v>
      </c>
      <c r="J150" s="271">
        <v>2.7066087089351799E-2</v>
      </c>
      <c r="K150" s="271">
        <v>-6.0146235650011301E-2</v>
      </c>
      <c r="L150" s="272">
        <v>-1.0675455379070199E-2</v>
      </c>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row>
    <row r="151" spans="1:78" x14ac:dyDescent="0.25">
      <c r="A151" s="244" t="s">
        <v>104</v>
      </c>
      <c r="B151" s="264">
        <v>3.2040000000000002</v>
      </c>
      <c r="C151" s="264">
        <v>2.6758000000000002</v>
      </c>
      <c r="D151" s="264">
        <v>2.1305000000000001</v>
      </c>
      <c r="E151" s="264">
        <v>1.9403999999999999</v>
      </c>
      <c r="F151" s="264">
        <v>1.8198000000000001</v>
      </c>
      <c r="G151" s="264">
        <v>1.5403</v>
      </c>
      <c r="H151" s="270">
        <v>-1.1938275053230101E-2</v>
      </c>
      <c r="I151" s="271">
        <v>-4.4555251258347403E-2</v>
      </c>
      <c r="J151" s="271">
        <v>-1.85188898144911E-2</v>
      </c>
      <c r="K151" s="271">
        <v>-1.27515081953163E-2</v>
      </c>
      <c r="L151" s="272">
        <v>-8.3028098039769106E-3</v>
      </c>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row>
    <row r="152" spans="1:78" x14ac:dyDescent="0.25">
      <c r="A152" s="244" t="s">
        <v>105</v>
      </c>
      <c r="B152" s="264">
        <v>1.4530000000000001</v>
      </c>
      <c r="C152" s="264">
        <v>1.0764</v>
      </c>
      <c r="D152" s="264">
        <v>1.1569</v>
      </c>
      <c r="E152" s="264">
        <v>1.1224000000000001</v>
      </c>
      <c r="F152" s="264">
        <v>1.0828</v>
      </c>
      <c r="G152" s="264">
        <v>0.96579999999999999</v>
      </c>
      <c r="H152" s="270">
        <v>-1.9801865457175799E-2</v>
      </c>
      <c r="I152" s="271">
        <v>1.45289081355604E-2</v>
      </c>
      <c r="J152" s="271">
        <v>-6.0366585646151102E-3</v>
      </c>
      <c r="K152" s="271">
        <v>-7.1580524380782098E-3</v>
      </c>
      <c r="L152" s="272">
        <v>-5.7011257646408797E-3</v>
      </c>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row>
    <row r="153" spans="1:78" x14ac:dyDescent="0.25">
      <c r="A153" s="244" t="s">
        <v>134</v>
      </c>
      <c r="B153" s="264">
        <v>6.1870000000000003</v>
      </c>
      <c r="C153" s="264">
        <v>6.6993999999999998</v>
      </c>
      <c r="D153" s="264">
        <v>7.1783999999999999</v>
      </c>
      <c r="E153" s="264">
        <v>7.2217000000000002</v>
      </c>
      <c r="F153" s="264">
        <v>7.2374000000000001</v>
      </c>
      <c r="G153" s="264">
        <v>6.9071999999999996</v>
      </c>
      <c r="H153" s="270">
        <v>5.3186040636485901E-3</v>
      </c>
      <c r="I153" s="271">
        <v>1.3907531676985699E-2</v>
      </c>
      <c r="J153" s="271">
        <v>1.20349667180797E-3</v>
      </c>
      <c r="K153" s="271">
        <v>4.3442305940599702E-4</v>
      </c>
      <c r="L153" s="272">
        <v>-2.3321602815591399E-3</v>
      </c>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row>
    <row r="154" spans="1:78" x14ac:dyDescent="0.25">
      <c r="A154" s="244" t="s">
        <v>136</v>
      </c>
      <c r="B154" s="264">
        <v>0</v>
      </c>
      <c r="C154" s="264">
        <v>0.39732030967656001</v>
      </c>
      <c r="D154" s="264">
        <v>0.55132859667578105</v>
      </c>
      <c r="E154" s="264">
        <v>0.67354164624156099</v>
      </c>
      <c r="F154" s="264">
        <v>0.77448297998092896</v>
      </c>
      <c r="G154" s="264">
        <v>0.92065433093745397</v>
      </c>
      <c r="H154" s="270"/>
      <c r="I154" s="271"/>
      <c r="J154" s="271"/>
      <c r="K154" s="271"/>
      <c r="L154" s="272"/>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row>
    <row r="155" spans="1:78" x14ac:dyDescent="0.25">
      <c r="A155" s="244"/>
      <c r="B155" s="245"/>
      <c r="C155" s="245"/>
      <c r="D155" s="245"/>
      <c r="E155" s="245"/>
      <c r="F155" s="245"/>
      <c r="G155" s="300"/>
      <c r="H155" s="270"/>
      <c r="I155" s="271"/>
      <c r="J155" s="271"/>
      <c r="K155" s="271"/>
      <c r="L155" s="272"/>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row>
    <row r="156" spans="1:78" ht="15.75" thickBot="1" x14ac:dyDescent="0.3">
      <c r="A156" s="298" t="s">
        <v>10</v>
      </c>
      <c r="B156" s="299">
        <v>30.922000000000001</v>
      </c>
      <c r="C156" s="299">
        <v>28.023920309676601</v>
      </c>
      <c r="D156" s="299">
        <v>24.912528596675799</v>
      </c>
      <c r="E156" s="299">
        <v>23.5361416462416</v>
      </c>
      <c r="F156" s="299">
        <v>22.5010829799809</v>
      </c>
      <c r="G156" s="299">
        <v>20.207454330937399</v>
      </c>
      <c r="H156" s="275">
        <v>-6.5391568771049303E-3</v>
      </c>
      <c r="I156" s="276">
        <v>-2.32626749266578E-2</v>
      </c>
      <c r="J156" s="276">
        <v>-1.1302373056406001E-2</v>
      </c>
      <c r="K156" s="276">
        <v>-8.9544165915632599E-3</v>
      </c>
      <c r="L156" s="277">
        <v>-5.3611712440481104E-3</v>
      </c>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row>
    <row r="157" spans="1:78" x14ac:dyDescent="0.25">
      <c r="A157" s="258"/>
      <c r="B157" s="236"/>
      <c r="C157"/>
      <c r="D157" s="236"/>
      <c r="E157" s="236"/>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row>
    <row r="158" spans="1:78" x14ac:dyDescent="0.25">
      <c r="A158" s="258"/>
      <c r="B158" s="236"/>
      <c r="C158" s="236"/>
      <c r="D158" s="236"/>
      <c r="E158" s="236"/>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row>
    <row r="159" spans="1:78" ht="16.5" thickBot="1" x14ac:dyDescent="0.3">
      <c r="A159" s="237" t="s">
        <v>146</v>
      </c>
      <c r="B159" s="239"/>
      <c r="C159" s="239"/>
      <c r="D159" s="239"/>
      <c r="E159" s="239"/>
      <c r="F159" s="239"/>
      <c r="G159" s="239"/>
      <c r="H159" s="239"/>
      <c r="I159" s="239"/>
      <c r="J159" s="239"/>
      <c r="K159" s="239"/>
      <c r="L159" s="23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row>
    <row r="160" spans="1:78" ht="15.75" thickBot="1" x14ac:dyDescent="0.3">
      <c r="A160" s="301" t="s">
        <v>51</v>
      </c>
      <c r="B160" s="241">
        <v>2000</v>
      </c>
      <c r="C160" s="241">
        <v>2015</v>
      </c>
      <c r="D160" s="241">
        <v>2020</v>
      </c>
      <c r="E160" s="241">
        <v>2025</v>
      </c>
      <c r="F160" s="241">
        <v>2030</v>
      </c>
      <c r="G160" s="241">
        <v>2050</v>
      </c>
      <c r="H160" s="261" t="s">
        <v>98</v>
      </c>
      <c r="I160" s="262" t="s">
        <v>99</v>
      </c>
      <c r="J160" s="262" t="s">
        <v>100</v>
      </c>
      <c r="K160" s="262" t="s">
        <v>101</v>
      </c>
      <c r="L160" s="263" t="s">
        <v>320</v>
      </c>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row>
    <row r="161" spans="1:78" x14ac:dyDescent="0.25">
      <c r="A161" s="244" t="s">
        <v>103</v>
      </c>
      <c r="B161" s="264">
        <v>0.97709999999999997</v>
      </c>
      <c r="C161" s="264">
        <v>0.61350000000000005</v>
      </c>
      <c r="D161" s="264">
        <v>0.37669999999999998</v>
      </c>
      <c r="E161" s="264">
        <v>0.2039</v>
      </c>
      <c r="F161" s="264">
        <v>4.2200000000000001E-2</v>
      </c>
      <c r="G161" s="264">
        <v>3.9600000000000003E-2</v>
      </c>
      <c r="H161" s="265">
        <v>-3.0550843920237099E-2</v>
      </c>
      <c r="I161" s="266">
        <v>-9.2939592716890201E-2</v>
      </c>
      <c r="J161" s="266">
        <v>-0.115527527017108</v>
      </c>
      <c r="K161" s="266">
        <v>-0.27024169690088501</v>
      </c>
      <c r="L161" s="267">
        <v>-3.1745057067026298E-3</v>
      </c>
      <c r="M161"/>
      <c r="N161" s="302"/>
      <c r="O161" s="302"/>
      <c r="P161" s="302"/>
      <c r="Q161" s="302"/>
      <c r="R161" s="302"/>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row>
    <row r="162" spans="1:78" x14ac:dyDescent="0.25">
      <c r="A162" s="244" t="s">
        <v>54</v>
      </c>
      <c r="B162" s="264">
        <v>1.4520999999999999</v>
      </c>
      <c r="C162" s="264">
        <v>1.4991000000000001</v>
      </c>
      <c r="D162" s="264">
        <v>1.5206</v>
      </c>
      <c r="E162" s="264">
        <v>1.5376000000000001</v>
      </c>
      <c r="F162" s="264">
        <v>1.5640000000000001</v>
      </c>
      <c r="G162" s="264">
        <v>1.3273999999999999</v>
      </c>
      <c r="H162" s="270">
        <v>2.1258660212259998E-3</v>
      </c>
      <c r="I162" s="271">
        <v>2.8520725975464999E-3</v>
      </c>
      <c r="J162" s="271">
        <v>2.2260270117944198E-3</v>
      </c>
      <c r="K162" s="271">
        <v>3.41057941353551E-3</v>
      </c>
      <c r="L162" s="272">
        <v>-8.1676867214299804E-3</v>
      </c>
      <c r="M162"/>
      <c r="N162" s="302"/>
      <c r="O162" s="302"/>
      <c r="P162" s="302"/>
      <c r="Q162" s="302"/>
      <c r="R162" s="30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row>
    <row r="163" spans="1:78" x14ac:dyDescent="0.25">
      <c r="A163" s="244" t="s">
        <v>42</v>
      </c>
      <c r="B163" s="264">
        <v>0</v>
      </c>
      <c r="C163" s="264">
        <v>0</v>
      </c>
      <c r="D163" s="264">
        <v>0</v>
      </c>
      <c r="E163" s="264">
        <v>0</v>
      </c>
      <c r="F163" s="264">
        <v>0</v>
      </c>
      <c r="G163" s="264">
        <v>0</v>
      </c>
      <c r="H163" s="270" t="e">
        <f>#DIV/0!</f>
        <v>#DIV/0!</v>
      </c>
      <c r="I163" s="271" t="e">
        <f>#DIV/0!</f>
        <v>#DIV/0!</v>
      </c>
      <c r="J163" s="271" t="e">
        <f>#DIV/0!</f>
        <v>#DIV/0!</v>
      </c>
      <c r="K163" s="271" t="e">
        <f>#DIV/0!</f>
        <v>#DIV/0!</v>
      </c>
      <c r="L163" s="272" t="e">
        <f>#DIV/0!</f>
        <v>#DIV/0!</v>
      </c>
      <c r="M163"/>
      <c r="N163" s="302"/>
      <c r="O163" s="302"/>
      <c r="P163" s="302"/>
      <c r="Q163" s="302"/>
      <c r="R163" s="302"/>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row>
    <row r="164" spans="1:78" x14ac:dyDescent="0.25">
      <c r="A164" s="244" t="s">
        <v>104</v>
      </c>
      <c r="B164" s="264">
        <v>1.5710999999999999</v>
      </c>
      <c r="C164" s="264">
        <v>2.1585999999999999</v>
      </c>
      <c r="D164" s="264">
        <v>2.02</v>
      </c>
      <c r="E164" s="264">
        <v>1.9784999999999999</v>
      </c>
      <c r="F164" s="264">
        <v>1.9629000000000001</v>
      </c>
      <c r="G164" s="264">
        <v>1.7719</v>
      </c>
      <c r="H164" s="270">
        <v>2.1404788604523901E-2</v>
      </c>
      <c r="I164" s="271">
        <v>-1.31847795507305E-2</v>
      </c>
      <c r="J164" s="271">
        <v>-4.1430994975125701E-3</v>
      </c>
      <c r="K164" s="271">
        <v>-1.58194945308821E-3</v>
      </c>
      <c r="L164" s="272">
        <v>-5.1054503777423496E-3</v>
      </c>
      <c r="M164"/>
      <c r="N164" s="302"/>
      <c r="O164" s="302"/>
      <c r="P164" s="302"/>
      <c r="Q164" s="302"/>
      <c r="R164" s="302"/>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row>
    <row r="165" spans="1:78" x14ac:dyDescent="0.25">
      <c r="A165" s="244" t="s">
        <v>105</v>
      </c>
      <c r="B165" s="264">
        <v>0.29899999999999999</v>
      </c>
      <c r="C165" s="264">
        <v>0.24890000000000001</v>
      </c>
      <c r="D165" s="264">
        <v>0.2848</v>
      </c>
      <c r="E165" s="264">
        <v>0.2913</v>
      </c>
      <c r="F165" s="264">
        <v>0.29289999999999999</v>
      </c>
      <c r="G165" s="264">
        <v>0.29310000000000003</v>
      </c>
      <c r="H165" s="270">
        <v>-1.2151721799731299E-2</v>
      </c>
      <c r="I165" s="271">
        <v>2.7313553045417601E-2</v>
      </c>
      <c r="J165" s="271">
        <v>4.5234971497356601E-3</v>
      </c>
      <c r="K165" s="271">
        <v>1.0961182726678699E-3</v>
      </c>
      <c r="L165" s="272">
        <v>3.4130276582500203E-5</v>
      </c>
      <c r="M165"/>
      <c r="N165" s="302"/>
      <c r="O165" s="302"/>
      <c r="P165" s="302"/>
      <c r="Q165" s="302"/>
      <c r="R165" s="302"/>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row>
    <row r="166" spans="1:78" x14ac:dyDescent="0.25">
      <c r="A166" s="244" t="s">
        <v>134</v>
      </c>
      <c r="B166" s="264">
        <v>0.109</v>
      </c>
      <c r="C166" s="264">
        <v>6.8500000000000005E-2</v>
      </c>
      <c r="D166" s="264">
        <v>4.1200000000000001E-2</v>
      </c>
      <c r="E166" s="264">
        <v>2.2200000000000001E-2</v>
      </c>
      <c r="F166" s="264">
        <v>4.5999999999999999E-3</v>
      </c>
      <c r="G166" s="264">
        <v>4.1999999999999997E-3</v>
      </c>
      <c r="H166" s="270"/>
      <c r="I166" s="271"/>
      <c r="J166" s="271"/>
      <c r="K166" s="271"/>
      <c r="L166" s="272"/>
      <c r="M166"/>
      <c r="N166" s="302"/>
      <c r="O166" s="302"/>
      <c r="P166" s="302"/>
      <c r="Q166" s="302"/>
      <c r="R166" s="302"/>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row>
    <row r="167" spans="1:78" x14ac:dyDescent="0.25">
      <c r="A167" s="244" t="s">
        <v>135</v>
      </c>
      <c r="B167" s="264">
        <v>2.0799999999999999E-2</v>
      </c>
      <c r="C167" s="264">
        <v>8.5300000000000001E-2</v>
      </c>
      <c r="D167" s="303">
        <v>0.1007</v>
      </c>
      <c r="E167" s="303">
        <v>0.1164</v>
      </c>
      <c r="F167" s="303">
        <v>0.1183</v>
      </c>
      <c r="G167" s="303">
        <v>0.12470000000000001</v>
      </c>
      <c r="H167" s="270">
        <v>9.8649206582596793E-2</v>
      </c>
      <c r="I167" s="271">
        <v>3.3751345622512897E-2</v>
      </c>
      <c r="J167" s="271">
        <v>2.94012753018515E-2</v>
      </c>
      <c r="K167" s="271">
        <v>3.2434959237554999E-3</v>
      </c>
      <c r="L167" s="272">
        <v>2.6378270448042E-3</v>
      </c>
      <c r="M167"/>
      <c r="N167" s="302"/>
      <c r="O167" s="302"/>
      <c r="P167" s="302"/>
      <c r="Q167" s="302"/>
      <c r="R167" s="302"/>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row>
    <row r="168" spans="1:78" x14ac:dyDescent="0.25">
      <c r="A168" s="244" t="s">
        <v>136</v>
      </c>
      <c r="B168" s="264">
        <v>0</v>
      </c>
      <c r="C168" s="264">
        <v>2.3367794316644101E-2</v>
      </c>
      <c r="D168" s="264">
        <v>0.103957409050577</v>
      </c>
      <c r="E168" s="264">
        <v>0.179628109995635</v>
      </c>
      <c r="F168" s="264">
        <v>0.25246302250803898</v>
      </c>
      <c r="G168" s="264">
        <v>0.53545767925808696</v>
      </c>
      <c r="H168" s="270"/>
      <c r="I168" s="271"/>
      <c r="J168" s="271"/>
      <c r="K168" s="271"/>
      <c r="L168" s="272"/>
      <c r="M168"/>
      <c r="N168" s="302"/>
      <c r="O168" s="302"/>
      <c r="P168" s="302"/>
      <c r="Q168" s="302"/>
      <c r="R168" s="302"/>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row>
    <row r="169" spans="1:78" x14ac:dyDescent="0.25">
      <c r="A169" s="244"/>
      <c r="B169" s="245"/>
      <c r="C169" s="245"/>
      <c r="D169" s="245"/>
      <c r="E169" s="245"/>
      <c r="F169" s="245"/>
      <c r="G169" s="245"/>
      <c r="H169" s="270"/>
      <c r="I169" s="271"/>
      <c r="J169" s="271"/>
      <c r="K169" s="271"/>
      <c r="L169" s="272"/>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row>
    <row r="170" spans="1:78" ht="15.75" thickBot="1" x14ac:dyDescent="0.3">
      <c r="A170" s="298" t="s">
        <v>10</v>
      </c>
      <c r="B170" s="299">
        <v>4.4291</v>
      </c>
      <c r="C170" s="299">
        <v>4.6972677943166401</v>
      </c>
      <c r="D170" s="299">
        <v>4.4479574090505798</v>
      </c>
      <c r="E170" s="299">
        <v>4.3295281099956302</v>
      </c>
      <c r="F170" s="299">
        <v>4.2373630225080401</v>
      </c>
      <c r="G170" s="299">
        <v>4.09635767925809</v>
      </c>
      <c r="H170" s="275">
        <v>3.9266636335164602E-3</v>
      </c>
      <c r="I170" s="276">
        <v>-1.0847939635284E-2</v>
      </c>
      <c r="J170" s="276">
        <v>-5.3827462339912603E-3</v>
      </c>
      <c r="K170" s="276">
        <v>-4.2942347802371597E-3</v>
      </c>
      <c r="L170" s="277">
        <v>-1.69071608403115E-3</v>
      </c>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row>
    <row r="171" spans="1:78" x14ac:dyDescent="0.25">
      <c r="A171" s="258"/>
      <c r="B171" s="236"/>
      <c r="C171" s="236"/>
      <c r="D171" s="236"/>
      <c r="E171" s="236"/>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row>
    <row r="172" spans="1:78" x14ac:dyDescent="0.25">
      <c r="A172"/>
      <c r="B172" s="236"/>
      <c r="C172" s="236"/>
      <c r="D172" s="236"/>
      <c r="E172" s="236"/>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row>
    <row r="173" spans="1:78" ht="16.5" thickBot="1" x14ac:dyDescent="0.3">
      <c r="A173" s="237" t="s">
        <v>330</v>
      </c>
      <c r="B173" s="239"/>
      <c r="C173" s="239"/>
      <c r="D173" s="239"/>
      <c r="E173" s="239"/>
      <c r="F173" s="239"/>
      <c r="G173" s="239"/>
      <c r="H173" s="239"/>
      <c r="I173" s="239"/>
      <c r="J173" s="239"/>
      <c r="K173" s="239"/>
      <c r="L173" s="239"/>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row>
    <row r="174" spans="1:78" ht="15.75" thickBot="1" x14ac:dyDescent="0.3">
      <c r="A174" s="240"/>
      <c r="B174" s="241">
        <v>2000</v>
      </c>
      <c r="C174" s="241">
        <v>2015</v>
      </c>
      <c r="D174" s="241">
        <v>2020</v>
      </c>
      <c r="E174" s="241">
        <v>2025</v>
      </c>
      <c r="F174" s="241">
        <v>2030</v>
      </c>
      <c r="G174" s="241">
        <v>2050</v>
      </c>
      <c r="H174" s="261" t="s">
        <v>98</v>
      </c>
      <c r="I174" s="262" t="s">
        <v>99</v>
      </c>
      <c r="J174" s="262" t="s">
        <v>100</v>
      </c>
      <c r="K174" s="262" t="s">
        <v>101</v>
      </c>
      <c r="L174" s="263" t="s">
        <v>320</v>
      </c>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row>
    <row r="175" spans="1:78" x14ac:dyDescent="0.25">
      <c r="A175" s="244" t="s">
        <v>149</v>
      </c>
      <c r="B175" s="304">
        <v>24.333600000000001</v>
      </c>
      <c r="C175" s="304">
        <v>28.339300000000001</v>
      </c>
      <c r="D175" s="304">
        <v>29.486799999999999</v>
      </c>
      <c r="E175" s="304">
        <v>30.563199999999998</v>
      </c>
      <c r="F175" s="304">
        <v>31.6767</v>
      </c>
      <c r="G175" s="304">
        <v>34.886899999999997</v>
      </c>
      <c r="H175" s="270">
        <v>1.02112103718381E-2</v>
      </c>
      <c r="I175" s="271">
        <v>7.9702288465317607E-3</v>
      </c>
      <c r="J175" s="271">
        <v>7.1965647566061301E-3</v>
      </c>
      <c r="K175" s="271">
        <v>7.1826169366853198E-3</v>
      </c>
      <c r="L175" s="272">
        <v>4.8381666003032304E-3</v>
      </c>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row>
    <row r="176" spans="1:78" x14ac:dyDescent="0.25">
      <c r="A176" s="244" t="s">
        <v>150</v>
      </c>
      <c r="B176" s="305">
        <v>0.72678820211356199</v>
      </c>
      <c r="C176" s="305">
        <v>0.64822353265087995</v>
      </c>
      <c r="D176" s="305">
        <v>0.583033656203088</v>
      </c>
      <c r="E176" s="305">
        <v>0.54665582556994197</v>
      </c>
      <c r="F176" s="305">
        <v>0.51786525125971505</v>
      </c>
      <c r="G176" s="305">
        <v>0.46291147275682398</v>
      </c>
      <c r="H176" s="270">
        <v>-7.5976249600224798E-3</v>
      </c>
      <c r="I176" s="271">
        <v>-2.0975034865257002E-2</v>
      </c>
      <c r="J176" s="271">
        <v>-1.28024451307539E-2</v>
      </c>
      <c r="K176" s="271">
        <v>-1.0762530034204E-2</v>
      </c>
      <c r="L176" s="272">
        <v>-5.5932613135782896E-3</v>
      </c>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row>
    <row r="177" spans="1:78" x14ac:dyDescent="0.25">
      <c r="A177" s="244" t="s">
        <v>151</v>
      </c>
      <c r="B177" s="306">
        <v>2087.9582554622998</v>
      </c>
      <c r="C177" s="306">
        <v>2286.9352613330402</v>
      </c>
      <c r="D177" s="306">
        <v>2178.91852842035</v>
      </c>
      <c r="E177" s="306">
        <v>2118.52449485023</v>
      </c>
      <c r="F177" s="306">
        <v>2079.48900164729</v>
      </c>
      <c r="G177" s="306">
        <v>2047.55886353649</v>
      </c>
      <c r="H177" s="270">
        <v>6.0868453574838303E-3</v>
      </c>
      <c r="I177" s="271">
        <v>-9.6301188556817702E-3</v>
      </c>
      <c r="J177" s="271">
        <v>-5.6059899545614104E-3</v>
      </c>
      <c r="K177" s="271">
        <v>-3.7126235333300199E-3</v>
      </c>
      <c r="L177" s="272">
        <v>-7.7339607167248303E-4</v>
      </c>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row>
    <row r="178" spans="1:78" ht="15.75" thickBot="1" x14ac:dyDescent="0.3">
      <c r="A178" s="253" t="s">
        <v>152</v>
      </c>
      <c r="B178" s="307">
        <v>4.7056641153043199E-2</v>
      </c>
      <c r="C178" s="307">
        <v>3.7830929395763602E-2</v>
      </c>
      <c r="D178" s="307">
        <v>3.2334851141514999E-2</v>
      </c>
      <c r="E178" s="307">
        <v>2.9127896511607802E-2</v>
      </c>
      <c r="F178" s="307">
        <v>2.63301368687969E-2</v>
      </c>
      <c r="G178" s="307">
        <v>1.7949265120470299E-2</v>
      </c>
      <c r="H178" s="275">
        <v>-1.4443017738933899E-2</v>
      </c>
      <c r="I178" s="276">
        <v>-3.0908529703838599E-2</v>
      </c>
      <c r="J178" s="276">
        <v>-2.0673173078978799E-2</v>
      </c>
      <c r="K178" s="276">
        <v>-1.9993855320703E-2</v>
      </c>
      <c r="L178" s="277">
        <v>-1.8975897006451602E-2</v>
      </c>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row>
    <row r="179" spans="1:78" x14ac:dyDescent="0.25">
      <c r="A179" s="295"/>
      <c r="B179"/>
      <c r="C179"/>
      <c r="D179"/>
      <c r="E179"/>
      <c r="F179" s="260"/>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row>
    <row r="180" spans="1:78" x14ac:dyDescent="0.25">
      <c r="A180"/>
      <c r="B180"/>
      <c r="C180"/>
      <c r="D180"/>
      <c r="E180"/>
      <c r="F180" s="26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row>
    <row r="181" spans="1:78" ht="21" x14ac:dyDescent="0.35">
      <c r="A181" s="234" t="s">
        <v>153</v>
      </c>
      <c r="B181" s="224"/>
      <c r="C181" s="224"/>
      <c r="D181" s="224"/>
      <c r="E181" s="224"/>
      <c r="F181" s="224"/>
      <c r="G181" s="296"/>
      <c r="H181" s="296"/>
      <c r="I181" s="296"/>
      <c r="J181" s="296"/>
      <c r="K181" s="296"/>
      <c r="L181" s="296"/>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row>
    <row r="182" spans="1:78" x14ac:dyDescent="0.25">
      <c r="A182"/>
      <c r="B182"/>
      <c r="C182"/>
      <c r="D182"/>
      <c r="E182"/>
      <c r="F182" s="260"/>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row>
    <row r="183" spans="1:78" ht="16.5" thickBot="1" x14ac:dyDescent="0.3">
      <c r="A183" s="237" t="s">
        <v>154</v>
      </c>
      <c r="B183" s="239"/>
      <c r="C183" s="239"/>
      <c r="D183" s="239"/>
      <c r="E183" s="239"/>
      <c r="F183" s="239"/>
      <c r="G183" s="239"/>
      <c r="H183" s="239"/>
      <c r="I183" s="239"/>
      <c r="J183" s="239"/>
      <c r="K183" s="239"/>
      <c r="L183" s="239"/>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row>
    <row r="184" spans="1:78" ht="15.75" thickBot="1" x14ac:dyDescent="0.3">
      <c r="A184" s="292" t="s">
        <v>51</v>
      </c>
      <c r="B184" s="241">
        <v>2000</v>
      </c>
      <c r="C184" s="241">
        <v>2015</v>
      </c>
      <c r="D184" s="241">
        <v>2020</v>
      </c>
      <c r="E184" s="241">
        <v>2025</v>
      </c>
      <c r="F184" s="241">
        <v>2030</v>
      </c>
      <c r="G184" s="241">
        <v>2050</v>
      </c>
      <c r="H184" s="261" t="s">
        <v>98</v>
      </c>
      <c r="I184" s="262" t="s">
        <v>99</v>
      </c>
      <c r="J184" s="262" t="s">
        <v>100</v>
      </c>
      <c r="K184" s="262" t="s">
        <v>101</v>
      </c>
      <c r="L184" s="263" t="s">
        <v>320</v>
      </c>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row>
    <row r="185" spans="1:78" x14ac:dyDescent="0.25">
      <c r="A185" s="244" t="s">
        <v>103</v>
      </c>
      <c r="B185" s="264">
        <v>3.7561</v>
      </c>
      <c r="C185" s="264">
        <v>2.3746</v>
      </c>
      <c r="D185" s="264">
        <v>1.9155</v>
      </c>
      <c r="E185" s="264">
        <v>1.4925999999999999</v>
      </c>
      <c r="F185" s="264">
        <v>1.1229</v>
      </c>
      <c r="G185" s="264">
        <v>0.74460000000000004</v>
      </c>
      <c r="H185" s="265">
        <v>-3.0107603926098101E-2</v>
      </c>
      <c r="I185" s="266">
        <v>-4.2059932911037302E-2</v>
      </c>
      <c r="J185" s="266">
        <v>-4.86676696332956E-2</v>
      </c>
      <c r="K185" s="266">
        <v>-5.5331293629666801E-2</v>
      </c>
      <c r="L185" s="267">
        <v>-2.03316050780015E-2</v>
      </c>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row>
    <row r="186" spans="1:78" x14ac:dyDescent="0.25">
      <c r="A186" s="244" t="s">
        <v>54</v>
      </c>
      <c r="B186" s="264">
        <v>5.5961999999999996</v>
      </c>
      <c r="C186" s="264">
        <v>6.1024000000000003</v>
      </c>
      <c r="D186" s="264">
        <v>5.7868000000000004</v>
      </c>
      <c r="E186" s="264">
        <v>5.2241999999999997</v>
      </c>
      <c r="F186" s="264">
        <v>4.3676000000000004</v>
      </c>
      <c r="G186" s="264">
        <v>2.6025</v>
      </c>
      <c r="H186" s="270">
        <v>5.7896516525792804E-3</v>
      </c>
      <c r="I186" s="271">
        <v>-1.05643361785912E-2</v>
      </c>
      <c r="J186" s="271">
        <v>-2.0247761500076299E-2</v>
      </c>
      <c r="K186" s="271">
        <v>-3.5183743345156303E-2</v>
      </c>
      <c r="L186" s="272">
        <v>-2.5554859734163798E-2</v>
      </c>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row>
    <row r="187" spans="1:78" x14ac:dyDescent="0.25">
      <c r="A187" s="244" t="s">
        <v>42</v>
      </c>
      <c r="B187" s="264">
        <v>0.15870000000000001</v>
      </c>
      <c r="C187" s="264">
        <v>6.5500000000000003E-2</v>
      </c>
      <c r="D187" s="264">
        <v>0</v>
      </c>
      <c r="E187" s="264">
        <v>0</v>
      </c>
      <c r="F187" s="264">
        <v>0</v>
      </c>
      <c r="G187" s="264">
        <v>0</v>
      </c>
      <c r="H187" s="270">
        <v>-5.7291061665288301E-2</v>
      </c>
      <c r="I187" s="271">
        <v>-1</v>
      </c>
      <c r="J187" s="271" t="e">
        <f>#DIV/0!</f>
        <v>#DIV/0!</v>
      </c>
      <c r="K187" s="271" t="e">
        <f>#DIV/0!</f>
        <v>#DIV/0!</v>
      </c>
      <c r="L187" s="272" t="e">
        <f>#DIV/0!</f>
        <v>#DIV/0!</v>
      </c>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row>
    <row r="188" spans="1:78" x14ac:dyDescent="0.25">
      <c r="A188" s="244" t="s">
        <v>104</v>
      </c>
      <c r="B188" s="264">
        <v>9.33</v>
      </c>
      <c r="C188" s="264">
        <v>12.408300000000001</v>
      </c>
      <c r="D188" s="264">
        <v>12.885300000000001</v>
      </c>
      <c r="E188" s="264">
        <v>13.4857</v>
      </c>
      <c r="F188" s="264">
        <v>14.125299999999999</v>
      </c>
      <c r="G188" s="264">
        <v>17.1599</v>
      </c>
      <c r="H188" s="270">
        <v>1.9190521561260901E-2</v>
      </c>
      <c r="I188" s="271">
        <v>7.5728346050991701E-3</v>
      </c>
      <c r="J188" s="271">
        <v>9.1501566671643407E-3</v>
      </c>
      <c r="K188" s="271">
        <v>9.3106067204133895E-3</v>
      </c>
      <c r="L188" s="272">
        <v>9.7778816809108698E-3</v>
      </c>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row>
    <row r="189" spans="1:78" x14ac:dyDescent="0.25">
      <c r="A189" s="244" t="s">
        <v>105</v>
      </c>
      <c r="B189" s="264">
        <v>0.85540000000000005</v>
      </c>
      <c r="C189" s="264">
        <v>0.81569999999999998</v>
      </c>
      <c r="D189" s="264">
        <v>0.73019999999999996</v>
      </c>
      <c r="E189" s="264">
        <v>0.69030000000000002</v>
      </c>
      <c r="F189" s="264">
        <v>0.70609999999999995</v>
      </c>
      <c r="G189" s="264">
        <v>0.83020000000000005</v>
      </c>
      <c r="H189" s="270">
        <v>-3.1631570098044101E-3</v>
      </c>
      <c r="I189" s="271">
        <v>-2.19022198260551E-2</v>
      </c>
      <c r="J189" s="271">
        <v>-1.11755213831751E-2</v>
      </c>
      <c r="K189" s="271">
        <v>4.5363753009275403E-3</v>
      </c>
      <c r="L189" s="272">
        <v>8.1283453247007493E-3</v>
      </c>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row>
    <row r="190" spans="1:78" x14ac:dyDescent="0.25">
      <c r="A190" s="244" t="s">
        <v>134</v>
      </c>
      <c r="B190" s="245">
        <v>0.32079999999999997</v>
      </c>
      <c r="C190" s="245">
        <v>0.43919999999999998</v>
      </c>
      <c r="D190" s="245">
        <v>0.28920000000000001</v>
      </c>
      <c r="E190" s="245">
        <v>0.1908</v>
      </c>
      <c r="F190" s="245">
        <v>0.1142</v>
      </c>
      <c r="G190" s="245">
        <v>4.9099999999999998E-2</v>
      </c>
      <c r="H190" s="270">
        <v>2.11632999858604E-2</v>
      </c>
      <c r="I190" s="271">
        <v>-8.0170801502706598E-2</v>
      </c>
      <c r="J190" s="271">
        <v>-7.9813163360698103E-2</v>
      </c>
      <c r="K190" s="271">
        <v>-9.7561641878772601E-2</v>
      </c>
      <c r="L190" s="272">
        <v>-4.1326396695113801E-2</v>
      </c>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row>
    <row r="191" spans="1:78" x14ac:dyDescent="0.25">
      <c r="A191" s="244" t="s">
        <v>135</v>
      </c>
      <c r="B191" s="245">
        <v>0</v>
      </c>
      <c r="C191" s="245">
        <v>8.9099999999999999E-2</v>
      </c>
      <c r="D191" s="245">
        <v>7.9899999999999999E-2</v>
      </c>
      <c r="E191" s="245">
        <v>6.5100000000000005E-2</v>
      </c>
      <c r="F191" s="245">
        <v>5.2400000000000002E-2</v>
      </c>
      <c r="G191" s="245">
        <v>3.4099999999999998E-2</v>
      </c>
      <c r="H191" s="270"/>
      <c r="I191" s="271"/>
      <c r="J191" s="271"/>
      <c r="K191" s="271"/>
      <c r="L191" s="272"/>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row>
    <row r="192" spans="1:78" x14ac:dyDescent="0.25">
      <c r="A192" s="244" t="s">
        <v>136</v>
      </c>
      <c r="B192" s="245">
        <v>0</v>
      </c>
      <c r="C192" s="245">
        <v>0.70541508524818897</v>
      </c>
      <c r="D192" s="245">
        <v>0.84021412129145101</v>
      </c>
      <c r="E192" s="245">
        <v>0.92974017049510504</v>
      </c>
      <c r="F192" s="245">
        <v>0.95436496257908998</v>
      </c>
      <c r="G192" s="245">
        <v>1.2473564476953301</v>
      </c>
      <c r="H192" s="270"/>
      <c r="I192" s="271"/>
      <c r="J192" s="271"/>
      <c r="K192" s="271"/>
      <c r="L192" s="27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row>
    <row r="193" spans="1:78" x14ac:dyDescent="0.25">
      <c r="A193" s="244"/>
      <c r="B193" s="245"/>
      <c r="C193" s="245"/>
      <c r="D193" s="245"/>
      <c r="E193" s="245"/>
      <c r="F193" s="245"/>
      <c r="G193" s="245"/>
      <c r="H193" s="270"/>
      <c r="I193" s="271"/>
      <c r="J193" s="271"/>
      <c r="K193" s="271"/>
      <c r="L193" s="272"/>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row>
    <row r="194" spans="1:78" ht="15.75" thickBot="1" x14ac:dyDescent="0.3">
      <c r="A194" s="253" t="s">
        <v>10</v>
      </c>
      <c r="B194" s="273">
        <v>20.017199999999999</v>
      </c>
      <c r="C194" s="273">
        <v>23.0002150852482</v>
      </c>
      <c r="D194" s="273">
        <v>22.5271141212915</v>
      </c>
      <c r="E194" s="273">
        <v>22.078440170495099</v>
      </c>
      <c r="F194" s="273">
        <v>21.442864962579101</v>
      </c>
      <c r="G194" s="273">
        <v>22.6677564476953</v>
      </c>
      <c r="H194" s="275">
        <v>9.3037912415132595E-3</v>
      </c>
      <c r="I194" s="276">
        <v>-4.1481548719571899E-3</v>
      </c>
      <c r="J194" s="276">
        <v>-4.0155323599075903E-3</v>
      </c>
      <c r="K194" s="276">
        <v>-5.8248931822137999E-3</v>
      </c>
      <c r="L194" s="277">
        <v>2.7814380241897299E-3</v>
      </c>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row>
    <row r="195" spans="1:78" x14ac:dyDescent="0.25">
      <c r="A195" s="258"/>
      <c r="B195" s="236"/>
      <c r="C195" s="236"/>
      <c r="D195" s="236"/>
      <c r="E195" s="236"/>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row>
    <row r="196" spans="1:78" x14ac:dyDescent="0.25">
      <c r="A196" s="258"/>
      <c r="B196" s="236"/>
      <c r="C196" s="236"/>
      <c r="D196" s="236"/>
      <c r="E196" s="23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row>
    <row r="197" spans="1:78" ht="16.5" thickBot="1" x14ac:dyDescent="0.3">
      <c r="A197" s="237" t="s">
        <v>155</v>
      </c>
      <c r="B197" s="239"/>
      <c r="C197" s="239"/>
      <c r="D197" s="239"/>
      <c r="E197" s="239"/>
      <c r="F197" s="239"/>
      <c r="G197" s="239"/>
      <c r="H197" s="239"/>
      <c r="I197" s="239"/>
      <c r="J197" s="239"/>
      <c r="K197" s="239"/>
      <c r="L197" s="239"/>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row>
    <row r="198" spans="1:78" ht="15.75" thickBot="1" x14ac:dyDescent="0.3">
      <c r="A198" s="292" t="s">
        <v>51</v>
      </c>
      <c r="B198" s="241">
        <v>2000</v>
      </c>
      <c r="C198" s="241">
        <v>2015</v>
      </c>
      <c r="D198" s="241">
        <v>2020</v>
      </c>
      <c r="E198" s="241">
        <v>2025</v>
      </c>
      <c r="F198" s="241">
        <v>2030</v>
      </c>
      <c r="G198" s="241">
        <v>2050</v>
      </c>
      <c r="H198" s="261" t="s">
        <v>98</v>
      </c>
      <c r="I198" s="262" t="s">
        <v>99</v>
      </c>
      <c r="J198" s="262" t="s">
        <v>100</v>
      </c>
      <c r="K198" s="262" t="s">
        <v>101</v>
      </c>
      <c r="L198" s="263" t="s">
        <v>320</v>
      </c>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row>
    <row r="199" spans="1:78" x14ac:dyDescent="0.25">
      <c r="A199" s="244" t="s">
        <v>138</v>
      </c>
      <c r="B199" s="264">
        <v>9.3125</v>
      </c>
      <c r="C199" s="264">
        <v>9.4195150852481895</v>
      </c>
      <c r="D199" s="264">
        <v>8.5917141212914494</v>
      </c>
      <c r="E199" s="264">
        <v>7.7719401704950997</v>
      </c>
      <c r="F199" s="264">
        <v>6.7008649625790904</v>
      </c>
      <c r="G199" s="264">
        <v>5.20145644769533</v>
      </c>
      <c r="H199" s="265">
        <v>7.6202528770386003E-4</v>
      </c>
      <c r="I199" s="266">
        <v>-1.8228876035648999E-2</v>
      </c>
      <c r="J199" s="266">
        <v>-1.9855908742122699E-2</v>
      </c>
      <c r="K199" s="266">
        <v>-2.9221200253626501E-2</v>
      </c>
      <c r="L199" s="267">
        <v>-1.25850349185209E-2</v>
      </c>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row>
    <row r="200" spans="1:78" x14ac:dyDescent="0.25">
      <c r="A200" s="244" t="s">
        <v>156</v>
      </c>
      <c r="B200" s="245">
        <v>3.78571461736888</v>
      </c>
      <c r="C200" s="245">
        <v>3.9586567497850398</v>
      </c>
      <c r="D200" s="245">
        <v>3.97265709372313</v>
      </c>
      <c r="E200" s="245">
        <v>3.9334647463456598</v>
      </c>
      <c r="F200" s="245">
        <v>3.8856425623387798</v>
      </c>
      <c r="G200" s="245">
        <v>4.0064719690455703</v>
      </c>
      <c r="H200" s="270">
        <v>2.9824447705471E-3</v>
      </c>
      <c r="I200" s="271">
        <v>7.0632949884630303E-4</v>
      </c>
      <c r="J200" s="271">
        <v>-1.9809376716346501E-3</v>
      </c>
      <c r="K200" s="271">
        <v>-2.4434671579897098E-3</v>
      </c>
      <c r="L200" s="272">
        <v>1.5323067835169E-3</v>
      </c>
      <c r="M200"/>
      <c r="N200"/>
      <c r="O200" s="268"/>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row>
    <row r="201" spans="1:78" x14ac:dyDescent="0.25">
      <c r="A201" s="244" t="s">
        <v>143</v>
      </c>
      <c r="B201" s="264">
        <v>0.26721410146173702</v>
      </c>
      <c r="C201" s="264">
        <v>0.52036973344797899</v>
      </c>
      <c r="D201" s="264">
        <v>0.51314703353396396</v>
      </c>
      <c r="E201" s="264">
        <v>0.54453138435081705</v>
      </c>
      <c r="F201" s="264">
        <v>0.57324161650902805</v>
      </c>
      <c r="G201" s="264">
        <v>0.61307824591573501</v>
      </c>
      <c r="H201" s="270">
        <v>4.54345378075625E-2</v>
      </c>
      <c r="I201" s="271">
        <v>-2.7915295345626299E-3</v>
      </c>
      <c r="J201" s="271">
        <v>1.19433915277583E-2</v>
      </c>
      <c r="K201" s="271">
        <v>1.03293264690474E-2</v>
      </c>
      <c r="L201" s="272">
        <v>3.3649123941530399E-3</v>
      </c>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row>
    <row r="202" spans="1:78" x14ac:dyDescent="0.25">
      <c r="A202" s="244" t="s">
        <v>142</v>
      </c>
      <c r="B202" s="264">
        <v>6.6517712811693901</v>
      </c>
      <c r="C202" s="264">
        <v>9.1015735167669796</v>
      </c>
      <c r="D202" s="264">
        <v>9.4495958727429095</v>
      </c>
      <c r="E202" s="264">
        <v>9.82850386930353</v>
      </c>
      <c r="F202" s="264">
        <v>10.283215821152201</v>
      </c>
      <c r="G202" s="264">
        <v>12.8467497850387</v>
      </c>
      <c r="H202" s="270">
        <v>2.1124300532036101E-2</v>
      </c>
      <c r="I202" s="271">
        <v>7.5331652501646803E-3</v>
      </c>
      <c r="J202" s="271">
        <v>7.8939434265645793E-3</v>
      </c>
      <c r="K202" s="271">
        <v>9.0862944238156995E-3</v>
      </c>
      <c r="L202" s="272">
        <v>1.1191046973166001E-2</v>
      </c>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row>
    <row r="203" spans="1:78" x14ac:dyDescent="0.25">
      <c r="A203" s="244"/>
      <c r="B203" s="245"/>
      <c r="C203" s="245"/>
      <c r="D203" s="245"/>
      <c r="E203" s="245"/>
      <c r="F203" s="245"/>
      <c r="G203" s="245"/>
      <c r="H203" s="270"/>
      <c r="I203" s="271"/>
      <c r="J203" s="271"/>
      <c r="K203" s="271"/>
      <c r="L203" s="272"/>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row>
    <row r="204" spans="1:78" ht="15.75" thickBot="1" x14ac:dyDescent="0.3">
      <c r="A204" s="253" t="s">
        <v>10</v>
      </c>
      <c r="B204" s="273">
        <v>20.017199999999999</v>
      </c>
      <c r="C204" s="273">
        <v>23.000115085248201</v>
      </c>
      <c r="D204" s="273">
        <v>22.5271141212915</v>
      </c>
      <c r="E204" s="273">
        <v>22.078440170495099</v>
      </c>
      <c r="F204" s="273">
        <v>21.442964962579101</v>
      </c>
      <c r="G204" s="273">
        <v>22.6677564476953</v>
      </c>
      <c r="H204" s="275">
        <v>9.3034986918318907E-3</v>
      </c>
      <c r="I204" s="276">
        <v>-4.1472889196699798E-3</v>
      </c>
      <c r="J204" s="276">
        <v>-4.0155323599075903E-3</v>
      </c>
      <c r="K204" s="276">
        <v>-5.82396590570111E-3</v>
      </c>
      <c r="L204" s="277">
        <v>2.7812041983963399E-3</v>
      </c>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row>
    <row r="205" spans="1:78" x14ac:dyDescent="0.25">
      <c r="A205" s="258"/>
      <c r="B205" s="236"/>
      <c r="C205" s="308"/>
      <c r="D205" s="308"/>
      <c r="E205" s="308"/>
      <c r="F205" s="308"/>
      <c r="G205" s="308"/>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row>
    <row r="206" spans="1:78" x14ac:dyDescent="0.25">
      <c r="A206" s="258"/>
      <c r="B206" s="236"/>
      <c r="C206" s="236"/>
      <c r="D206" s="236"/>
      <c r="E206" s="308"/>
      <c r="F206" s="309"/>
      <c r="G206" s="308"/>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row>
    <row r="207" spans="1:78" ht="16.5" thickBot="1" x14ac:dyDescent="0.3">
      <c r="A207" s="237" t="s">
        <v>157</v>
      </c>
      <c r="B207" s="239"/>
      <c r="C207" s="239"/>
      <c r="D207" s="239"/>
      <c r="E207" s="310"/>
      <c r="F207" s="310"/>
      <c r="G207" s="310"/>
      <c r="H207" s="239"/>
      <c r="I207" s="239"/>
      <c r="J207" s="239"/>
      <c r="K207" s="239"/>
      <c r="L207" s="239"/>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row>
    <row r="208" spans="1:78" ht="15.75" thickBot="1" x14ac:dyDescent="0.3">
      <c r="A208" s="292" t="s">
        <v>51</v>
      </c>
      <c r="B208" s="241">
        <v>2000</v>
      </c>
      <c r="C208" s="241">
        <v>2015</v>
      </c>
      <c r="D208" s="241">
        <v>2020</v>
      </c>
      <c r="E208" s="241">
        <v>2025</v>
      </c>
      <c r="F208" s="241">
        <v>2030</v>
      </c>
      <c r="G208" s="241">
        <v>2050</v>
      </c>
      <c r="H208" s="261" t="s">
        <v>98</v>
      </c>
      <c r="I208" s="262" t="s">
        <v>99</v>
      </c>
      <c r="J208" s="262" t="s">
        <v>100</v>
      </c>
      <c r="K208" s="262" t="s">
        <v>101</v>
      </c>
      <c r="L208" s="263" t="s">
        <v>320</v>
      </c>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row>
    <row r="209" spans="1:78" x14ac:dyDescent="0.25">
      <c r="A209" s="244" t="s">
        <v>103</v>
      </c>
      <c r="B209" s="245">
        <v>3.7561</v>
      </c>
      <c r="C209" s="245">
        <v>2.3746</v>
      </c>
      <c r="D209" s="245">
        <v>1.9155</v>
      </c>
      <c r="E209" s="245">
        <v>1.4925999999999999</v>
      </c>
      <c r="F209" s="245">
        <v>1.1229</v>
      </c>
      <c r="G209" s="245">
        <v>0.74460000000000004</v>
      </c>
      <c r="H209" s="265">
        <v>-3.0107603926098101E-2</v>
      </c>
      <c r="I209" s="266">
        <v>-4.2059932911037302E-2</v>
      </c>
      <c r="J209" s="266">
        <v>-4.86676696332956E-2</v>
      </c>
      <c r="K209" s="266">
        <v>-5.5331293629666801E-2</v>
      </c>
      <c r="L209" s="267">
        <v>-2.03316050780015E-2</v>
      </c>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row>
    <row r="210" spans="1:78" x14ac:dyDescent="0.25">
      <c r="A210" s="244" t="s">
        <v>54</v>
      </c>
      <c r="B210" s="245">
        <v>5.5961999999999996</v>
      </c>
      <c r="C210" s="245">
        <v>6.1024000000000003</v>
      </c>
      <c r="D210" s="245">
        <v>5.7868000000000004</v>
      </c>
      <c r="E210" s="245">
        <v>5.2241999999999997</v>
      </c>
      <c r="F210" s="245">
        <v>4.3676000000000004</v>
      </c>
      <c r="G210" s="245">
        <v>2.6025</v>
      </c>
      <c r="H210" s="270">
        <v>5.7896516525792804E-3</v>
      </c>
      <c r="I210" s="271">
        <v>-1.05643361785912E-2</v>
      </c>
      <c r="J210" s="271">
        <v>-2.0247761500076299E-2</v>
      </c>
      <c r="K210" s="271">
        <v>-3.5183743345156303E-2</v>
      </c>
      <c r="L210" s="272">
        <v>-2.5554859734163798E-2</v>
      </c>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row>
    <row r="211" spans="1:78" x14ac:dyDescent="0.25">
      <c r="A211" s="244" t="s">
        <v>42</v>
      </c>
      <c r="B211" s="245">
        <v>0.15870000000000001</v>
      </c>
      <c r="C211" s="245">
        <v>6.5500000000000003E-2</v>
      </c>
      <c r="D211" s="245">
        <v>0</v>
      </c>
      <c r="E211" s="245">
        <v>0</v>
      </c>
      <c r="F211" s="245">
        <v>0</v>
      </c>
      <c r="G211" s="245">
        <v>0</v>
      </c>
      <c r="H211" s="270">
        <v>-5.7291061665288301E-2</v>
      </c>
      <c r="I211" s="271">
        <v>-1</v>
      </c>
      <c r="J211" s="271" t="e">
        <f>#DIV/0!</f>
        <v>#DIV/0!</v>
      </c>
      <c r="K211" s="271" t="e">
        <f>#DIV/0!</f>
        <v>#DIV/0!</v>
      </c>
      <c r="L211" s="272" t="e">
        <f>#DIV/0!</f>
        <v>#DIV/0!</v>
      </c>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row>
    <row r="212" spans="1:78" x14ac:dyDescent="0.25">
      <c r="A212" s="244" t="s">
        <v>104</v>
      </c>
      <c r="B212" s="245">
        <v>2.4110146173688798</v>
      </c>
      <c r="C212" s="245">
        <v>2.7863567497850399</v>
      </c>
      <c r="D212" s="245">
        <v>2.92255709372313</v>
      </c>
      <c r="E212" s="245">
        <v>3.11266474634566</v>
      </c>
      <c r="F212" s="245">
        <v>3.2688425623387798</v>
      </c>
      <c r="G212" s="245">
        <v>3.7000719690455699</v>
      </c>
      <c r="H212" s="270">
        <v>9.6924879048045903E-3</v>
      </c>
      <c r="I212" s="271">
        <v>9.5905033465326604E-3</v>
      </c>
      <c r="J212" s="271">
        <v>1.2683813956920999E-2</v>
      </c>
      <c r="K212" s="271">
        <v>9.8394471178493408E-3</v>
      </c>
      <c r="L212" s="272">
        <v>6.2150490043679802E-3</v>
      </c>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row>
    <row r="213" spans="1:78" x14ac:dyDescent="0.25">
      <c r="A213" s="244" t="s">
        <v>105</v>
      </c>
      <c r="B213" s="245">
        <v>0.85540000000000005</v>
      </c>
      <c r="C213" s="245">
        <v>0.81569999999999998</v>
      </c>
      <c r="D213" s="245">
        <v>0.73019999999999996</v>
      </c>
      <c r="E213" s="245">
        <v>0.69030000000000002</v>
      </c>
      <c r="F213" s="245">
        <v>0.70609999999999995</v>
      </c>
      <c r="G213" s="245">
        <v>0.83020000000000005</v>
      </c>
      <c r="H213" s="270">
        <v>-3.1631570098044101E-3</v>
      </c>
      <c r="I213" s="271">
        <v>-2.19022198260551E-2</v>
      </c>
      <c r="J213" s="271">
        <v>-1.11755213831751E-2</v>
      </c>
      <c r="K213" s="271">
        <v>4.5363753009275403E-3</v>
      </c>
      <c r="L213" s="272">
        <v>8.1283453247007493E-3</v>
      </c>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row>
    <row r="214" spans="1:78" x14ac:dyDescent="0.25">
      <c r="A214" s="244" t="s">
        <v>134</v>
      </c>
      <c r="B214" s="245">
        <v>0.32079999999999997</v>
      </c>
      <c r="C214" s="245">
        <v>0.43919999999999998</v>
      </c>
      <c r="D214" s="245">
        <v>0.28920000000000001</v>
      </c>
      <c r="E214" s="245">
        <v>0.1908</v>
      </c>
      <c r="F214" s="245">
        <v>0.1142</v>
      </c>
      <c r="G214" s="245">
        <v>4.9099999999999998E-2</v>
      </c>
      <c r="H214" s="270">
        <v>2.11632999858604E-2</v>
      </c>
      <c r="I214" s="271">
        <v>-8.0170801502706598E-2</v>
      </c>
      <c r="J214" s="271">
        <v>-7.9813163360698103E-2</v>
      </c>
      <c r="K214" s="271">
        <v>-9.7561641878772601E-2</v>
      </c>
      <c r="L214" s="272">
        <v>-4.1326396695113801E-2</v>
      </c>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row>
    <row r="215" spans="1:78" x14ac:dyDescent="0.25">
      <c r="A215" s="244" t="s">
        <v>135</v>
      </c>
      <c r="B215" s="245">
        <v>0</v>
      </c>
      <c r="C215" s="245">
        <v>8.9099999999999999E-2</v>
      </c>
      <c r="D215" s="245">
        <v>7.9899999999999999E-2</v>
      </c>
      <c r="E215" s="245">
        <v>6.5100000000000005E-2</v>
      </c>
      <c r="F215" s="245">
        <v>5.2400000000000002E-2</v>
      </c>
      <c r="G215" s="245">
        <v>3.4099999999999998E-2</v>
      </c>
      <c r="H215" s="270"/>
      <c r="I215" s="271"/>
      <c r="J215" s="271"/>
      <c r="K215" s="271"/>
      <c r="L215" s="272"/>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row>
    <row r="216" spans="1:78" x14ac:dyDescent="0.25">
      <c r="A216" s="244" t="s">
        <v>136</v>
      </c>
      <c r="B216" s="245">
        <v>0</v>
      </c>
      <c r="C216" s="245">
        <v>0.70541508524818897</v>
      </c>
      <c r="D216" s="245">
        <v>0.84021412129145101</v>
      </c>
      <c r="E216" s="245">
        <v>0.92974017049510504</v>
      </c>
      <c r="F216" s="245">
        <v>0.95436496257908998</v>
      </c>
      <c r="G216" s="245">
        <v>1.2473564476953301</v>
      </c>
      <c r="H216" s="270"/>
      <c r="I216" s="271"/>
      <c r="J216" s="271"/>
      <c r="K216" s="271"/>
      <c r="L216" s="272"/>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row>
    <row r="217" spans="1:78" x14ac:dyDescent="0.25">
      <c r="A217" s="244"/>
      <c r="B217" s="245"/>
      <c r="C217" s="245"/>
      <c r="D217" s="245"/>
      <c r="E217" s="245"/>
      <c r="F217" s="245"/>
      <c r="G217" s="245"/>
      <c r="H217" s="270"/>
      <c r="I217" s="271"/>
      <c r="J217" s="271"/>
      <c r="K217" s="271"/>
      <c r="L217" s="272"/>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row>
    <row r="218" spans="1:78" ht="15.75" thickBot="1" x14ac:dyDescent="0.3">
      <c r="A218" s="253" t="s">
        <v>10</v>
      </c>
      <c r="B218" s="273">
        <v>13.0982146173689</v>
      </c>
      <c r="C218" s="273">
        <v>13.3782718350332</v>
      </c>
      <c r="D218" s="273">
        <v>12.564371215014599</v>
      </c>
      <c r="E218" s="273">
        <v>11.7054049168408</v>
      </c>
      <c r="F218" s="273">
        <v>10.586407524917901</v>
      </c>
      <c r="G218" s="273">
        <v>9.2079284167409003</v>
      </c>
      <c r="H218" s="275">
        <v>1.41139200272455E-3</v>
      </c>
      <c r="I218" s="276">
        <v>-1.24748871303695E-2</v>
      </c>
      <c r="J218" s="276">
        <v>-1.40630647971826E-2</v>
      </c>
      <c r="K218" s="276">
        <v>-1.9895386857720899E-2</v>
      </c>
      <c r="L218" s="277">
        <v>-6.9510276661613997E-3</v>
      </c>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row>
    <row r="219" spans="1:78" x14ac:dyDescent="0.25">
      <c r="A219" s="258"/>
      <c r="B219" s="236"/>
      <c r="C219" s="236"/>
      <c r="D219" s="236"/>
      <c r="E219" s="236"/>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row>
    <row r="220" spans="1:78" x14ac:dyDescent="0.25">
      <c r="A220" s="258"/>
      <c r="B220" s="236"/>
      <c r="C220" s="236"/>
      <c r="D220" s="236"/>
      <c r="E220" s="236"/>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row>
    <row r="221" spans="1:78" ht="16.5" thickBot="1" x14ac:dyDescent="0.3">
      <c r="A221" s="237" t="s">
        <v>158</v>
      </c>
      <c r="B221" s="239"/>
      <c r="C221" s="239"/>
      <c r="D221" s="239"/>
      <c r="E221" s="239"/>
      <c r="F221" s="239"/>
      <c r="G221" s="239"/>
      <c r="H221" s="239"/>
      <c r="I221" s="239"/>
      <c r="J221" s="239"/>
      <c r="K221" s="239"/>
      <c r="L221" s="239"/>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row>
    <row r="222" spans="1:78" ht="15.75" thickBot="1" x14ac:dyDescent="0.3">
      <c r="A222" s="292" t="s">
        <v>51</v>
      </c>
      <c r="B222" s="241">
        <v>2000</v>
      </c>
      <c r="C222" s="241">
        <v>2015</v>
      </c>
      <c r="D222" s="241">
        <v>2020</v>
      </c>
      <c r="E222" s="241">
        <v>2025</v>
      </c>
      <c r="F222" s="241">
        <v>2030</v>
      </c>
      <c r="G222" s="241">
        <v>2050</v>
      </c>
      <c r="H222" s="261" t="s">
        <v>98</v>
      </c>
      <c r="I222" s="262" t="s">
        <v>99</v>
      </c>
      <c r="J222" s="262" t="s">
        <v>100</v>
      </c>
      <c r="K222" s="262" t="s">
        <v>101</v>
      </c>
      <c r="L222" s="263" t="s">
        <v>320</v>
      </c>
      <c r="M222"/>
      <c r="N222" s="311"/>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row>
    <row r="223" spans="1:78" x14ac:dyDescent="0.25">
      <c r="A223" s="244" t="s">
        <v>103</v>
      </c>
      <c r="B223" s="264">
        <v>2.6355</v>
      </c>
      <c r="C223" s="264">
        <v>1.5865</v>
      </c>
      <c r="D223" s="264">
        <v>1.2203999999999999</v>
      </c>
      <c r="E223" s="264">
        <v>0.9052</v>
      </c>
      <c r="F223" s="264">
        <v>0.63119999999999998</v>
      </c>
      <c r="G223" s="264">
        <v>0.33550000000000002</v>
      </c>
      <c r="H223" s="265">
        <v>-3.32701312538944E-2</v>
      </c>
      <c r="I223" s="266">
        <v>-5.1117527571357797E-2</v>
      </c>
      <c r="J223" s="266">
        <v>-5.8005278398234397E-2</v>
      </c>
      <c r="K223" s="266">
        <v>-6.9568320334211703E-2</v>
      </c>
      <c r="L223" s="267">
        <v>-3.1105977188465101E-2</v>
      </c>
      <c r="M223" s="312"/>
      <c r="N223" s="311"/>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row>
    <row r="224" spans="1:78" x14ac:dyDescent="0.25">
      <c r="A224" s="244" t="s">
        <v>54</v>
      </c>
      <c r="B224" s="264">
        <v>3.9832000000000001</v>
      </c>
      <c r="C224" s="264">
        <v>4.2202000000000002</v>
      </c>
      <c r="D224" s="264">
        <v>3.8336999999999999</v>
      </c>
      <c r="E224" s="264">
        <v>3.3018000000000001</v>
      </c>
      <c r="F224" s="264">
        <v>2.5691000000000002</v>
      </c>
      <c r="G224" s="264">
        <v>1.2297</v>
      </c>
      <c r="H224" s="270">
        <v>3.8605664590591901E-3</v>
      </c>
      <c r="I224" s="271">
        <v>-1.90270808974272E-2</v>
      </c>
      <c r="J224" s="271">
        <v>-2.9430750049253399E-2</v>
      </c>
      <c r="K224" s="271">
        <v>-4.8944088896414002E-2</v>
      </c>
      <c r="L224" s="272">
        <v>-3.6168960817935601E-2</v>
      </c>
      <c r="M224" s="312"/>
      <c r="N224" s="311"/>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row>
    <row r="225" spans="1:78" x14ac:dyDescent="0.25">
      <c r="A225" s="244" t="s">
        <v>42</v>
      </c>
      <c r="B225" s="264">
        <v>0.11509999999999999</v>
      </c>
      <c r="C225" s="264">
        <v>4.6199999999999998E-2</v>
      </c>
      <c r="D225" s="264">
        <v>0</v>
      </c>
      <c r="E225" s="264">
        <v>0</v>
      </c>
      <c r="F225" s="264">
        <v>0</v>
      </c>
      <c r="G225" s="264">
        <v>0</v>
      </c>
      <c r="H225" s="270">
        <v>-5.9040112512636501E-2</v>
      </c>
      <c r="I225" s="271">
        <v>-1</v>
      </c>
      <c r="J225" s="271" t="e">
        <f>#DIV/0!</f>
        <v>#DIV/0!</v>
      </c>
      <c r="K225" s="271" t="e">
        <f>#DIV/0!</f>
        <v>#DIV/0!</v>
      </c>
      <c r="L225" s="272" t="e">
        <f>#DIV/0!</f>
        <v>#DIV/0!</v>
      </c>
      <c r="M225" s="312"/>
      <c r="N225" s="311"/>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row>
    <row r="226" spans="1:78" x14ac:dyDescent="0.25">
      <c r="A226" s="244" t="s">
        <v>104</v>
      </c>
      <c r="B226" s="264">
        <v>1.7258</v>
      </c>
      <c r="C226" s="264">
        <v>1.9755</v>
      </c>
      <c r="D226" s="264">
        <v>2.0043000000000002</v>
      </c>
      <c r="E226" s="264">
        <v>2.0605000000000002</v>
      </c>
      <c r="F226" s="264">
        <v>2.0430000000000001</v>
      </c>
      <c r="G226" s="264">
        <v>1.9240999999999999</v>
      </c>
      <c r="H226" s="270">
        <v>9.0494219768668706E-3</v>
      </c>
      <c r="I226" s="271">
        <v>2.8988619474283901E-3</v>
      </c>
      <c r="J226" s="271">
        <v>5.5460827240940702E-3</v>
      </c>
      <c r="K226" s="271">
        <v>-1.70441702098156E-3</v>
      </c>
      <c r="L226" s="272">
        <v>-2.9935598320109899E-3</v>
      </c>
      <c r="M226" s="312"/>
      <c r="N226" s="311"/>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row>
    <row r="227" spans="1:78" x14ac:dyDescent="0.25">
      <c r="A227" s="244" t="s">
        <v>105</v>
      </c>
      <c r="B227" s="264">
        <v>0.62029999999999996</v>
      </c>
      <c r="C227" s="264">
        <v>0.57579999999999998</v>
      </c>
      <c r="D227" s="264">
        <v>0.49149999999999999</v>
      </c>
      <c r="E227" s="264">
        <v>0.44379999999999997</v>
      </c>
      <c r="F227" s="264">
        <v>0.42580000000000001</v>
      </c>
      <c r="G227" s="264">
        <v>0.43020000000000003</v>
      </c>
      <c r="H227" s="270">
        <v>-4.9505622928958104E-3</v>
      </c>
      <c r="I227" s="271">
        <v>-3.1163767146966399E-2</v>
      </c>
      <c r="J227" s="271">
        <v>-2.0210558307184798E-2</v>
      </c>
      <c r="K227" s="271">
        <v>-8.2466598003344601E-3</v>
      </c>
      <c r="L227" s="272">
        <v>5.1415535128596101E-4</v>
      </c>
      <c r="M227" s="312"/>
      <c r="N227" s="311"/>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row>
    <row r="228" spans="1:78" x14ac:dyDescent="0.25">
      <c r="A228" s="244" t="s">
        <v>134</v>
      </c>
      <c r="B228" s="264">
        <v>0.2326</v>
      </c>
      <c r="C228" s="264">
        <v>0.30990000000000001</v>
      </c>
      <c r="D228" s="264">
        <v>0.2016</v>
      </c>
      <c r="E228" s="264">
        <v>0.13089999999999999</v>
      </c>
      <c r="F228" s="264">
        <v>7.7399999999999997E-2</v>
      </c>
      <c r="G228" s="264">
        <v>3.4599999999999999E-2</v>
      </c>
      <c r="H228" s="270">
        <v>1.9312752666136499E-2</v>
      </c>
      <c r="I228" s="271">
        <v>-8.2399185677649006E-2</v>
      </c>
      <c r="J228" s="271">
        <v>-8.2745557664505698E-2</v>
      </c>
      <c r="K228" s="271">
        <v>-9.97559434406773E-2</v>
      </c>
      <c r="L228" s="272">
        <v>-3.9457120548926097E-2</v>
      </c>
      <c r="M228" s="312"/>
      <c r="N228" s="311"/>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row>
    <row r="229" spans="1:78" x14ac:dyDescent="0.25">
      <c r="A229" s="244" t="s">
        <v>136</v>
      </c>
      <c r="B229" s="264">
        <v>0</v>
      </c>
      <c r="C229" s="264">
        <v>0.70541508524818897</v>
      </c>
      <c r="D229" s="264">
        <v>0.84021412129145101</v>
      </c>
      <c r="E229" s="264">
        <v>0.92974017049510504</v>
      </c>
      <c r="F229" s="264">
        <v>0.95436496257908998</v>
      </c>
      <c r="G229" s="264">
        <v>1.2473564476953301</v>
      </c>
      <c r="H229" s="270"/>
      <c r="I229" s="271"/>
      <c r="J229" s="271"/>
      <c r="K229" s="271"/>
      <c r="L229" s="272"/>
      <c r="M229" s="311"/>
      <c r="N229" s="311"/>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row>
    <row r="230" spans="1:78" x14ac:dyDescent="0.25">
      <c r="A230" s="244"/>
      <c r="B230" s="245"/>
      <c r="C230" s="245"/>
      <c r="D230" s="245"/>
      <c r="E230" s="245"/>
      <c r="F230" s="245"/>
      <c r="G230" s="245"/>
      <c r="H230" s="270"/>
      <c r="I230" s="271"/>
      <c r="J230" s="271"/>
      <c r="K230" s="271"/>
      <c r="L230" s="272"/>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row>
    <row r="231" spans="1:78" ht="15.75" thickBot="1" x14ac:dyDescent="0.3">
      <c r="A231" s="253" t="s">
        <v>10</v>
      </c>
      <c r="B231" s="273">
        <v>9.3125</v>
      </c>
      <c r="C231" s="273">
        <v>9.4195150852481895</v>
      </c>
      <c r="D231" s="273">
        <v>8.5917141212914494</v>
      </c>
      <c r="E231" s="273">
        <v>7.7719401704950997</v>
      </c>
      <c r="F231" s="273">
        <v>6.7008649625790904</v>
      </c>
      <c r="G231" s="313">
        <v>5.20145644769533</v>
      </c>
      <c r="H231" s="275">
        <v>7.6202528770386003E-4</v>
      </c>
      <c r="I231" s="276">
        <v>-1.8228876035648999E-2</v>
      </c>
      <c r="J231" s="276">
        <v>-1.9855908742122699E-2</v>
      </c>
      <c r="K231" s="276">
        <v>-2.9221200253626501E-2</v>
      </c>
      <c r="L231" s="277">
        <v>-1.25850349185209E-2</v>
      </c>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row>
    <row r="232" spans="1:78" x14ac:dyDescent="0.25">
      <c r="A232" s="258"/>
      <c r="B232" s="236"/>
      <c r="C232" s="236"/>
      <c r="D232" s="236"/>
      <c r="E232" s="236"/>
      <c r="F232"/>
      <c r="G232" s="314"/>
      <c r="H232"/>
      <c r="I232"/>
      <c r="J232"/>
      <c r="K232"/>
      <c r="L232"/>
      <c r="M232" s="252"/>
      <c r="N232" s="252"/>
      <c r="O232" s="252"/>
      <c r="P232" s="252"/>
      <c r="Q232" s="252"/>
      <c r="R232" s="25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row>
    <row r="233" spans="1:78" x14ac:dyDescent="0.25">
      <c r="A233" s="258"/>
      <c r="B233" s="236"/>
      <c r="C233" s="236"/>
      <c r="D233" s="236"/>
      <c r="E233" s="236"/>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row>
    <row r="234" spans="1:78" ht="16.5" thickBot="1" x14ac:dyDescent="0.3">
      <c r="A234" s="237" t="s">
        <v>159</v>
      </c>
      <c r="B234" s="239"/>
      <c r="C234" s="239"/>
      <c r="D234" s="239"/>
      <c r="E234" s="239"/>
      <c r="F234" s="239"/>
      <c r="G234" s="239"/>
      <c r="H234" s="239"/>
      <c r="I234" s="239"/>
      <c r="J234" s="239"/>
      <c r="K234" s="239"/>
      <c r="L234" s="239"/>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row>
    <row r="235" spans="1:78" ht="15.75" thickBot="1" x14ac:dyDescent="0.3">
      <c r="A235" s="292" t="s">
        <v>51</v>
      </c>
      <c r="B235" s="241">
        <v>2000</v>
      </c>
      <c r="C235" s="241">
        <v>2015</v>
      </c>
      <c r="D235" s="241">
        <v>2020</v>
      </c>
      <c r="E235" s="241">
        <v>2025</v>
      </c>
      <c r="F235" s="241">
        <v>2030</v>
      </c>
      <c r="G235" s="241">
        <v>2050</v>
      </c>
      <c r="H235" s="261" t="s">
        <v>98</v>
      </c>
      <c r="I235" s="262" t="s">
        <v>99</v>
      </c>
      <c r="J235" s="262" t="s">
        <v>100</v>
      </c>
      <c r="K235" s="262" t="s">
        <v>101</v>
      </c>
      <c r="L235" s="263" t="s">
        <v>320</v>
      </c>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row>
    <row r="236" spans="1:78" x14ac:dyDescent="0.25">
      <c r="A236" s="244" t="s">
        <v>103</v>
      </c>
      <c r="B236" s="264">
        <v>1.1206</v>
      </c>
      <c r="C236" s="264">
        <v>0.78810000000000002</v>
      </c>
      <c r="D236" s="264">
        <v>0.69510000000000005</v>
      </c>
      <c r="E236" s="303">
        <v>0.58740000000000003</v>
      </c>
      <c r="F236" s="264">
        <v>0.49180000000000001</v>
      </c>
      <c r="G236" s="264">
        <v>0.40910000000000002</v>
      </c>
      <c r="H236" s="265">
        <v>-2.3193110734695498E-2</v>
      </c>
      <c r="I236" s="266">
        <v>-2.4801123659468301E-2</v>
      </c>
      <c r="J236" s="266">
        <v>-3.31094163764196E-2</v>
      </c>
      <c r="K236" s="266">
        <v>-3.4903109284142503E-2</v>
      </c>
      <c r="L236" s="267">
        <v>-9.1633831951471994E-3</v>
      </c>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row>
    <row r="237" spans="1:78" x14ac:dyDescent="0.25">
      <c r="A237" s="244" t="s">
        <v>54</v>
      </c>
      <c r="B237" s="264">
        <v>1.613</v>
      </c>
      <c r="C237" s="264">
        <v>1.8822000000000001</v>
      </c>
      <c r="D237" s="264">
        <v>1.9531000000000001</v>
      </c>
      <c r="E237" s="303">
        <v>1.9224000000000001</v>
      </c>
      <c r="F237" s="264">
        <v>1.7985</v>
      </c>
      <c r="G237" s="264">
        <v>1.3728</v>
      </c>
      <c r="H237" s="270">
        <v>1.0342821430755E-2</v>
      </c>
      <c r="I237" s="271">
        <v>7.4227225200960102E-3</v>
      </c>
      <c r="J237" s="271">
        <v>-3.1636746853501698E-3</v>
      </c>
      <c r="K237" s="271">
        <v>-1.3235908929934001E-2</v>
      </c>
      <c r="L237" s="272">
        <v>-1.3414242985186099E-2</v>
      </c>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row>
    <row r="238" spans="1:78" x14ac:dyDescent="0.25">
      <c r="A238" s="244" t="s">
        <v>42</v>
      </c>
      <c r="B238" s="264">
        <v>4.36E-2</v>
      </c>
      <c r="C238" s="264">
        <v>1.9199999999999998E-2</v>
      </c>
      <c r="D238" s="264">
        <v>0</v>
      </c>
      <c r="E238" s="264">
        <v>0</v>
      </c>
      <c r="F238" s="264">
        <v>0</v>
      </c>
      <c r="G238" s="264">
        <v>0</v>
      </c>
      <c r="H238" s="270">
        <v>-5.3208574888069703E-2</v>
      </c>
      <c r="I238" s="271">
        <v>-1</v>
      </c>
      <c r="J238" s="271" t="e">
        <f>#DIV/0!</f>
        <v>#DIV/0!</v>
      </c>
      <c r="K238" s="271" t="e">
        <f>#DIV/0!</f>
        <v>#DIV/0!</v>
      </c>
      <c r="L238" s="272" t="e">
        <f>#DIV/0!</f>
        <v>#DIV/0!</v>
      </c>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row>
    <row r="239" spans="1:78" x14ac:dyDescent="0.25">
      <c r="A239" s="244" t="s">
        <v>104</v>
      </c>
      <c r="B239" s="245">
        <v>0.68521461736887601</v>
      </c>
      <c r="C239" s="245">
        <v>0.81085674978504096</v>
      </c>
      <c r="D239" s="245">
        <v>0.91825709372313202</v>
      </c>
      <c r="E239" s="315">
        <v>1.05216474634566</v>
      </c>
      <c r="F239" s="245">
        <v>1.2258425623387801</v>
      </c>
      <c r="G239" s="245">
        <v>1.77597196904557</v>
      </c>
      <c r="H239" s="270">
        <v>1.1287178574132001E-2</v>
      </c>
      <c r="I239" s="271">
        <v>2.5189220679678399E-2</v>
      </c>
      <c r="J239" s="271">
        <v>2.7599515553620401E-2</v>
      </c>
      <c r="K239" s="271">
        <v>3.1027359667426899E-2</v>
      </c>
      <c r="L239" s="272">
        <v>1.8708829896345799E-2</v>
      </c>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row>
    <row r="240" spans="1:78" x14ac:dyDescent="0.25">
      <c r="A240" s="244" t="s">
        <v>105</v>
      </c>
      <c r="B240" s="264">
        <v>0.2351</v>
      </c>
      <c r="C240" s="264">
        <v>0.2399</v>
      </c>
      <c r="D240" s="264">
        <v>0.2387</v>
      </c>
      <c r="E240" s="303">
        <v>0.2465</v>
      </c>
      <c r="F240" s="264">
        <v>0.28029999999999999</v>
      </c>
      <c r="G240" s="264">
        <v>0.4</v>
      </c>
      <c r="H240" s="270">
        <v>1.3483224571198E-3</v>
      </c>
      <c r="I240" s="271">
        <v>-1.00242453668065E-3</v>
      </c>
      <c r="J240" s="271">
        <v>6.4516146114776997E-3</v>
      </c>
      <c r="K240" s="271">
        <v>2.60327773134887E-2</v>
      </c>
      <c r="L240" s="272">
        <v>1.7939213287181802E-2</v>
      </c>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row>
    <row r="241" spans="1:78" x14ac:dyDescent="0.25">
      <c r="A241" s="244" t="s">
        <v>134</v>
      </c>
      <c r="B241" s="264">
        <v>8.8200000000000001E-2</v>
      </c>
      <c r="C241" s="264">
        <v>0.1293</v>
      </c>
      <c r="D241" s="264">
        <v>8.7599999999999997E-2</v>
      </c>
      <c r="E241" s="264">
        <v>5.9900000000000002E-2</v>
      </c>
      <c r="F241" s="264">
        <v>3.6799999999999999E-2</v>
      </c>
      <c r="G241" s="264">
        <v>1.4500000000000001E-2</v>
      </c>
      <c r="H241" s="270">
        <v>2.5829843224459002E-2</v>
      </c>
      <c r="I241" s="271">
        <v>-7.4916113586561597E-2</v>
      </c>
      <c r="J241" s="271">
        <v>-7.3203162366209398E-2</v>
      </c>
      <c r="K241" s="271">
        <v>-9.2839358907831002E-2</v>
      </c>
      <c r="L241" s="272">
        <v>-4.5499831980384001E-2</v>
      </c>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row>
    <row r="242" spans="1:78" x14ac:dyDescent="0.25">
      <c r="A242" s="244" t="s">
        <v>135</v>
      </c>
      <c r="B242" s="264">
        <v>0</v>
      </c>
      <c r="C242" s="264">
        <v>8.9099999999999999E-2</v>
      </c>
      <c r="D242" s="264">
        <v>7.9899999999999999E-2</v>
      </c>
      <c r="E242" s="264">
        <v>6.5100000000000005E-2</v>
      </c>
      <c r="F242" s="264">
        <v>5.2400000000000002E-2</v>
      </c>
      <c r="G242" s="264">
        <v>3.4099999999999998E-2</v>
      </c>
      <c r="H242" s="270"/>
      <c r="I242" s="271"/>
      <c r="J242" s="271"/>
      <c r="K242" s="271"/>
      <c r="L242" s="27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row>
    <row r="243" spans="1:78" x14ac:dyDescent="0.25">
      <c r="A243" s="244"/>
      <c r="B243" s="245"/>
      <c r="C243" s="245"/>
      <c r="D243" s="245"/>
      <c r="E243" s="315"/>
      <c r="F243" s="245"/>
      <c r="G243" s="245"/>
      <c r="H243" s="270" t="e">
        <f>#DIV/0!</f>
        <v>#DIV/0!</v>
      </c>
      <c r="I243" s="271" t="e">
        <f>#DIV/0!</f>
        <v>#DIV/0!</v>
      </c>
      <c r="J243" s="271" t="e">
        <f>#DIV/0!</f>
        <v>#DIV/0!</v>
      </c>
      <c r="K243" s="271" t="e">
        <f>#DIV/0!</f>
        <v>#DIV/0!</v>
      </c>
      <c r="L243" s="272" t="e">
        <f>#DIV/0!</f>
        <v>#DIV/0!</v>
      </c>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row>
    <row r="244" spans="1:78" ht="15.75" thickBot="1" x14ac:dyDescent="0.3">
      <c r="A244" s="253" t="s">
        <v>10</v>
      </c>
      <c r="B244" s="273">
        <v>3.78571461736888</v>
      </c>
      <c r="C244" s="273">
        <v>3.9586567497850398</v>
      </c>
      <c r="D244" s="273">
        <v>3.97265709372313</v>
      </c>
      <c r="E244" s="273">
        <v>3.9334647463456598</v>
      </c>
      <c r="F244" s="273">
        <v>3.8856425623387798</v>
      </c>
      <c r="G244" s="313">
        <v>4.0064719690455703</v>
      </c>
      <c r="H244" s="275">
        <v>2.9824447705471E-3</v>
      </c>
      <c r="I244" s="276">
        <v>7.0632949884630303E-4</v>
      </c>
      <c r="J244" s="276">
        <v>-1.9809376716346501E-3</v>
      </c>
      <c r="K244" s="276">
        <v>-2.4434671579897098E-3</v>
      </c>
      <c r="L244" s="277">
        <v>1.5323067835169E-3</v>
      </c>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row>
    <row r="245" spans="1:78" x14ac:dyDescent="0.25">
      <c r="A245" s="258"/>
      <c r="B245" s="236"/>
      <c r="C245" s="236"/>
      <c r="D245" s="236"/>
      <c r="E245" s="236"/>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row>
    <row r="246" spans="1:78" x14ac:dyDescent="0.25">
      <c r="A246" s="258"/>
      <c r="B246" s="236"/>
      <c r="C246" s="236"/>
      <c r="D246" s="236"/>
      <c r="E246" s="23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row>
    <row r="247" spans="1:78" ht="16.5" thickBot="1" x14ac:dyDescent="0.3">
      <c r="A247" s="237" t="s">
        <v>160</v>
      </c>
      <c r="B247" s="239"/>
      <c r="C247" s="239"/>
      <c r="D247" s="239"/>
      <c r="E247" s="239"/>
      <c r="F247" s="239"/>
      <c r="G247" s="239"/>
      <c r="H247" s="239"/>
      <c r="I247" s="239"/>
      <c r="J247" s="239"/>
      <c r="K247" s="239"/>
      <c r="L247" s="239"/>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row>
    <row r="248" spans="1:78" ht="15.75" thickBot="1" x14ac:dyDescent="0.3">
      <c r="A248" s="240"/>
      <c r="B248" s="241">
        <v>2000</v>
      </c>
      <c r="C248" s="241">
        <v>2015</v>
      </c>
      <c r="D248" s="241">
        <v>2020</v>
      </c>
      <c r="E248" s="241">
        <v>2025</v>
      </c>
      <c r="F248" s="241">
        <v>2030</v>
      </c>
      <c r="G248" s="241">
        <v>2050</v>
      </c>
      <c r="H248" s="261" t="s">
        <v>98</v>
      </c>
      <c r="I248" s="262" t="s">
        <v>99</v>
      </c>
      <c r="J248" s="262" t="s">
        <v>100</v>
      </c>
      <c r="K248" s="262" t="s">
        <v>101</v>
      </c>
      <c r="L248" s="263" t="s">
        <v>320</v>
      </c>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row>
    <row r="249" spans="1:78" x14ac:dyDescent="0.25">
      <c r="A249" s="244" t="s">
        <v>161</v>
      </c>
      <c r="B249" s="305">
        <v>1.4720905322587E-2</v>
      </c>
      <c r="C249" s="305">
        <v>1.3822364259190799E-2</v>
      </c>
      <c r="D249" s="305">
        <v>1.24768482009943E-2</v>
      </c>
      <c r="E249" s="305">
        <v>1.14751113707548E-2</v>
      </c>
      <c r="F249" s="305">
        <v>1.0392448104838E-2</v>
      </c>
      <c r="G249" s="305">
        <v>7.77069433164654E-3</v>
      </c>
      <c r="H249" s="270">
        <v>-4.1899134103409201E-3</v>
      </c>
      <c r="I249" s="271">
        <v>-2.0274275228004401E-2</v>
      </c>
      <c r="J249" s="271">
        <v>-1.6599547953537099E-2</v>
      </c>
      <c r="K249" s="271">
        <v>-1.9625083440440099E-2</v>
      </c>
      <c r="L249" s="272">
        <v>-1.4430856366119999E-2</v>
      </c>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row>
    <row r="250" spans="1:78" x14ac:dyDescent="0.25">
      <c r="A250" s="244" t="s">
        <v>162</v>
      </c>
      <c r="B250" s="316">
        <v>17.813600000000001</v>
      </c>
      <c r="C250" s="316">
        <v>20.182200000000002</v>
      </c>
      <c r="D250" s="264">
        <v>20.667100000000001</v>
      </c>
      <c r="E250" s="264">
        <v>21.0288</v>
      </c>
      <c r="F250" s="264">
        <v>21.396899999999999</v>
      </c>
      <c r="G250" s="264">
        <v>22.7471</v>
      </c>
      <c r="H250" s="270">
        <v>8.35731683262542E-3</v>
      </c>
      <c r="I250" s="271">
        <v>4.7596987678148999E-3</v>
      </c>
      <c r="J250" s="271">
        <v>3.47599989365133E-3</v>
      </c>
      <c r="K250" s="271">
        <v>3.4766545875790601E-3</v>
      </c>
      <c r="L250" s="272">
        <v>3.0642659451392E-3</v>
      </c>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row>
    <row r="251" spans="1:78" x14ac:dyDescent="0.25">
      <c r="A251" s="244" t="s">
        <v>163</v>
      </c>
      <c r="B251" s="317">
        <v>1.1237032379754801</v>
      </c>
      <c r="C251" s="317">
        <v>1.1396287364731399</v>
      </c>
      <c r="D251" s="317">
        <v>1.0899987962167601</v>
      </c>
      <c r="E251" s="317">
        <v>1.04991441121201</v>
      </c>
      <c r="F251" s="317">
        <v>1.00214820663643</v>
      </c>
      <c r="G251" s="317">
        <v>0.996511926693747</v>
      </c>
      <c r="H251" s="270">
        <v>9.3862998075011595E-4</v>
      </c>
      <c r="I251" s="271">
        <v>-8.8656557888380193E-3</v>
      </c>
      <c r="J251" s="271">
        <v>-7.4655818916973303E-3</v>
      </c>
      <c r="K251" s="271">
        <v>-9.2693215405353895E-3</v>
      </c>
      <c r="L251" s="272">
        <v>-2.8196390854673398E-4</v>
      </c>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row>
    <row r="252" spans="1:78" ht="15.75" thickBot="1" x14ac:dyDescent="0.3">
      <c r="A252" s="253" t="s">
        <v>164</v>
      </c>
      <c r="B252" s="318">
        <v>6091.2954147393002</v>
      </c>
      <c r="C252" s="318">
        <v>7150.2873324018201</v>
      </c>
      <c r="D252" s="318">
        <v>7250.9466253127002</v>
      </c>
      <c r="E252" s="318">
        <v>7458.2805961348304</v>
      </c>
      <c r="F252" s="318">
        <v>7677.61867373311</v>
      </c>
      <c r="G252" s="318">
        <v>8773.4101050243808</v>
      </c>
      <c r="H252" s="275">
        <v>1.0743418575732499E-2</v>
      </c>
      <c r="I252" s="276">
        <v>2.7998095870427299E-3</v>
      </c>
      <c r="J252" s="276">
        <v>5.6545017261144803E-3</v>
      </c>
      <c r="K252" s="276">
        <v>5.8137397677995297E-3</v>
      </c>
      <c r="L252" s="277">
        <v>6.6931062781363498E-3</v>
      </c>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row>
    <row r="253" spans="1:78" x14ac:dyDescent="0.25">
      <c r="A253" s="295"/>
      <c r="B253"/>
      <c r="C253"/>
      <c r="D253"/>
      <c r="E253"/>
      <c r="F253" s="260"/>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row>
    <row r="254" spans="1:78" x14ac:dyDescent="0.25">
      <c r="A254"/>
      <c r="B254"/>
      <c r="C254"/>
      <c r="D254"/>
      <c r="E254"/>
      <c r="F254" s="260"/>
      <c r="G254" s="271"/>
      <c r="H254" s="271"/>
      <c r="I254" s="271"/>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row>
    <row r="255" spans="1:78" ht="21" x14ac:dyDescent="0.35">
      <c r="A255" s="234" t="s">
        <v>165</v>
      </c>
      <c r="B255" s="224"/>
      <c r="C255" s="224"/>
      <c r="D255" s="224"/>
      <c r="E255" s="224"/>
      <c r="F255" s="224"/>
      <c r="G255" s="296"/>
      <c r="H255" s="296"/>
      <c r="I255" s="296"/>
      <c r="J255" s="296"/>
      <c r="K255" s="296"/>
      <c r="L255" s="296"/>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row>
    <row r="256" spans="1:78" ht="21" x14ac:dyDescent="0.35">
      <c r="A256" s="229"/>
      <c r="B256"/>
      <c r="C256"/>
      <c r="D256"/>
      <c r="E256" s="259"/>
      <c r="F256" s="260"/>
      <c r="G256" s="260"/>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row>
    <row r="257" spans="1:78" ht="16.5" thickBot="1" x14ac:dyDescent="0.3">
      <c r="A257" s="237" t="s">
        <v>166</v>
      </c>
      <c r="B257" s="238"/>
      <c r="C257" s="238"/>
      <c r="D257" s="238"/>
      <c r="E257" s="238"/>
      <c r="F257" s="238"/>
      <c r="G257" s="239"/>
      <c r="H257" s="239"/>
      <c r="I257" s="239"/>
      <c r="J257" s="239"/>
      <c r="K257" s="239"/>
      <c r="L257" s="239"/>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row>
    <row r="258" spans="1:78" ht="15.75" thickBot="1" x14ac:dyDescent="0.3">
      <c r="A258" s="240"/>
      <c r="B258" s="241">
        <v>2000</v>
      </c>
      <c r="C258" s="241">
        <v>2015</v>
      </c>
      <c r="D258" s="241">
        <v>2020</v>
      </c>
      <c r="E258" s="241">
        <v>2025</v>
      </c>
      <c r="F258" s="241">
        <v>2030</v>
      </c>
      <c r="G258" s="241">
        <v>2050</v>
      </c>
      <c r="H258" s="261" t="s">
        <v>98</v>
      </c>
      <c r="I258" s="262" t="s">
        <v>99</v>
      </c>
      <c r="J258" s="262" t="s">
        <v>100</v>
      </c>
      <c r="K258" s="262" t="s">
        <v>101</v>
      </c>
      <c r="L258" s="263" t="s">
        <v>320</v>
      </c>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row>
    <row r="259" spans="1:78" x14ac:dyDescent="0.25">
      <c r="A259" s="319" t="s">
        <v>167</v>
      </c>
      <c r="B259" s="320"/>
      <c r="C259" s="320"/>
      <c r="D259" s="320"/>
      <c r="E259" s="320"/>
      <c r="F259" s="320"/>
      <c r="G259" s="320"/>
      <c r="H259" s="321"/>
      <c r="I259" s="322"/>
      <c r="J259" s="322"/>
      <c r="K259" s="322"/>
      <c r="L259" s="323"/>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row>
    <row r="260" spans="1:78" x14ac:dyDescent="0.25">
      <c r="A260" s="244" t="s">
        <v>331</v>
      </c>
      <c r="B260" s="324">
        <v>687.75139999999999</v>
      </c>
      <c r="C260" s="324">
        <v>729.41039999999998</v>
      </c>
      <c r="D260" s="324">
        <v>741.40110000000004</v>
      </c>
      <c r="E260" s="324">
        <v>756.66959999999995</v>
      </c>
      <c r="F260" s="324">
        <v>778.22469999999998</v>
      </c>
      <c r="G260" s="324">
        <v>909.726</v>
      </c>
      <c r="H260" s="270">
        <v>3.9283023752718603E-3</v>
      </c>
      <c r="I260" s="271">
        <v>3.2663705657525201E-3</v>
      </c>
      <c r="J260" s="271">
        <v>4.0853070199218201E-3</v>
      </c>
      <c r="K260" s="271">
        <v>5.6335292818185901E-3</v>
      </c>
      <c r="L260" s="272">
        <v>7.8369572087166901E-3</v>
      </c>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row>
    <row r="261" spans="1:78" x14ac:dyDescent="0.25">
      <c r="A261" s="244" t="s">
        <v>190</v>
      </c>
      <c r="B261" s="324">
        <v>55.897300000000001</v>
      </c>
      <c r="C261" s="324">
        <v>71.178700000000006</v>
      </c>
      <c r="D261" s="324">
        <v>82.192400000000006</v>
      </c>
      <c r="E261" s="324">
        <v>85.473299999999995</v>
      </c>
      <c r="F261" s="324">
        <v>89.915099999999995</v>
      </c>
      <c r="G261" s="324">
        <v>111.08929999999999</v>
      </c>
      <c r="H261" s="270">
        <v>1.6242331386241898E-2</v>
      </c>
      <c r="I261" s="271">
        <v>2.9191811075447899E-2</v>
      </c>
      <c r="J261" s="271">
        <v>7.8589620121247705E-3</v>
      </c>
      <c r="K261" s="271">
        <v>1.01838753259413E-2</v>
      </c>
      <c r="L261" s="272">
        <v>1.06295207183478E-2</v>
      </c>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row>
    <row r="262" spans="1:78" x14ac:dyDescent="0.25">
      <c r="A262" s="244" t="s">
        <v>184</v>
      </c>
      <c r="B262" s="324">
        <v>80.924999999999997</v>
      </c>
      <c r="C262" s="324">
        <v>104.51479999999999</v>
      </c>
      <c r="D262" s="324">
        <v>113.20359999999999</v>
      </c>
      <c r="E262" s="324">
        <v>119.03700000000001</v>
      </c>
      <c r="F262" s="324">
        <v>126.9782</v>
      </c>
      <c r="G262" s="324">
        <v>164.40620000000001</v>
      </c>
      <c r="H262" s="270">
        <v>1.7199970831537799E-2</v>
      </c>
      <c r="I262" s="271">
        <v>1.61000877227735E-2</v>
      </c>
      <c r="J262" s="271">
        <v>1.00999439406149E-2</v>
      </c>
      <c r="K262" s="271">
        <v>1.29999843378217E-2</v>
      </c>
      <c r="L262" s="272">
        <v>1.30000137410558E-2</v>
      </c>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row>
    <row r="263" spans="1:78" x14ac:dyDescent="0.25">
      <c r="A263" s="244" t="s">
        <v>186</v>
      </c>
      <c r="B263" s="324">
        <v>15.128</v>
      </c>
      <c r="C263" s="324">
        <v>14.279299999999999</v>
      </c>
      <c r="D263" s="324">
        <v>14.2354</v>
      </c>
      <c r="E263" s="324">
        <v>15.2354</v>
      </c>
      <c r="F263" s="324">
        <v>17.1067</v>
      </c>
      <c r="G263" s="324">
        <v>23.6632</v>
      </c>
      <c r="H263" s="270">
        <v>-3.84169475365603E-3</v>
      </c>
      <c r="I263" s="271">
        <v>-6.1563362236105601E-4</v>
      </c>
      <c r="J263" s="271">
        <v>1.36705687234326E-2</v>
      </c>
      <c r="K263" s="271">
        <v>2.3440209206746498E-2</v>
      </c>
      <c r="L263" s="272">
        <v>1.6354844884853201E-2</v>
      </c>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row>
    <row r="264" spans="1:78" x14ac:dyDescent="0.25">
      <c r="A264" s="244"/>
      <c r="B264" s="324"/>
      <c r="C264" s="324"/>
      <c r="D264" s="324"/>
      <c r="E264" s="324"/>
      <c r="F264" s="324"/>
      <c r="G264" s="324"/>
      <c r="H264" s="270"/>
      <c r="I264" s="271"/>
      <c r="J264" s="271"/>
      <c r="K264" s="271"/>
      <c r="L264" s="272"/>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row>
    <row r="265" spans="1:78" x14ac:dyDescent="0.25">
      <c r="A265" s="244"/>
      <c r="B265" s="324"/>
      <c r="C265" s="324"/>
      <c r="D265" s="324"/>
      <c r="E265" s="324"/>
      <c r="F265" s="324"/>
      <c r="G265" s="324"/>
      <c r="H265" s="270"/>
      <c r="I265" s="271"/>
      <c r="J265" s="271"/>
      <c r="K265" s="271"/>
      <c r="L265" s="272"/>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row>
    <row r="266" spans="1:78" x14ac:dyDescent="0.25">
      <c r="A266" s="319" t="s">
        <v>172</v>
      </c>
      <c r="B266" s="325"/>
      <c r="C266" s="325"/>
      <c r="D266" s="325"/>
      <c r="E266" s="325"/>
      <c r="F266" s="325"/>
      <c r="G266" s="326"/>
      <c r="H266" s="270"/>
      <c r="I266" s="271"/>
      <c r="J266" s="271"/>
      <c r="K266" s="271"/>
      <c r="L266" s="272"/>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row>
    <row r="267" spans="1:78" x14ac:dyDescent="0.25">
      <c r="A267" s="244" t="s">
        <v>189</v>
      </c>
      <c r="B267" s="324">
        <v>276.81830000000002</v>
      </c>
      <c r="C267" s="324">
        <v>281.44720000000001</v>
      </c>
      <c r="D267" s="324">
        <v>309.88189999999997</v>
      </c>
      <c r="E267" s="324">
        <v>329.65730000000002</v>
      </c>
      <c r="F267" s="324">
        <v>353.20060000000001</v>
      </c>
      <c r="G267" s="324">
        <v>495.22289999999998</v>
      </c>
      <c r="H267" s="270">
        <v>1.10617997322349E-3</v>
      </c>
      <c r="I267" s="271">
        <v>1.9435740617660398E-2</v>
      </c>
      <c r="J267" s="271">
        <v>1.2449330274007899E-2</v>
      </c>
      <c r="K267" s="271">
        <v>1.3892118496743299E-2</v>
      </c>
      <c r="L267" s="272">
        <v>1.7042178683341701E-2</v>
      </c>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row>
    <row r="268" spans="1:78" x14ac:dyDescent="0.25">
      <c r="A268" s="244" t="s">
        <v>184</v>
      </c>
      <c r="B268" s="324">
        <v>57.725999999999999</v>
      </c>
      <c r="C268" s="324">
        <v>34.2515</v>
      </c>
      <c r="D268" s="324">
        <v>39.9968</v>
      </c>
      <c r="E268" s="324">
        <v>42.5809</v>
      </c>
      <c r="F268" s="324">
        <v>45.5563</v>
      </c>
      <c r="G268" s="324">
        <v>66.248999999999995</v>
      </c>
      <c r="H268" s="270">
        <v>-3.4199983008170301E-2</v>
      </c>
      <c r="I268" s="271">
        <v>3.1499757370236699E-2</v>
      </c>
      <c r="J268" s="271">
        <v>1.2599988303198599E-2</v>
      </c>
      <c r="K268" s="271">
        <v>1.3600279275669499E-2</v>
      </c>
      <c r="L268" s="272">
        <v>1.8899957550523299E-2</v>
      </c>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row>
    <row r="269" spans="1:78" x14ac:dyDescent="0.25">
      <c r="A269" s="244" t="s">
        <v>185</v>
      </c>
      <c r="B269" s="324">
        <v>7.2610000000000001</v>
      </c>
      <c r="C269" s="324">
        <v>7.4595000000000002</v>
      </c>
      <c r="D269" s="324">
        <v>8.1836000000000002</v>
      </c>
      <c r="E269" s="324">
        <v>8.3943999999999992</v>
      </c>
      <c r="F269" s="324">
        <v>8.6234999999999999</v>
      </c>
      <c r="G269" s="324">
        <v>12.7639</v>
      </c>
      <c r="H269" s="270">
        <v>1.79967263331648E-3</v>
      </c>
      <c r="I269" s="271">
        <v>1.8701475219116401E-2</v>
      </c>
      <c r="J269" s="271">
        <v>5.0994914233970503E-3</v>
      </c>
      <c r="K269" s="271">
        <v>5.3997700662658001E-3</v>
      </c>
      <c r="L269" s="272">
        <v>1.97999615700102E-2</v>
      </c>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row>
    <row r="270" spans="1:78" x14ac:dyDescent="0.25">
      <c r="A270" s="244"/>
      <c r="B270" s="324"/>
      <c r="C270" s="324"/>
      <c r="D270" s="324"/>
      <c r="E270" s="324"/>
      <c r="F270" s="324"/>
      <c r="G270" s="324"/>
      <c r="H270" s="270"/>
      <c r="I270" s="271"/>
      <c r="J270" s="271"/>
      <c r="K270" s="271"/>
      <c r="L270" s="272"/>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row>
    <row r="271" spans="1:78" x14ac:dyDescent="0.25">
      <c r="A271" s="244" t="s">
        <v>332</v>
      </c>
      <c r="B271" s="324">
        <v>397.56709999999998</v>
      </c>
      <c r="C271" s="324">
        <v>443.3836</v>
      </c>
      <c r="D271" s="324">
        <v>450.69979999999998</v>
      </c>
      <c r="E271" s="324">
        <v>459.702</v>
      </c>
      <c r="F271" s="324">
        <v>472.85500000000002</v>
      </c>
      <c r="G271" s="324">
        <v>554.00160000000005</v>
      </c>
      <c r="H271" s="270">
        <v>7.2979400871426899E-3</v>
      </c>
      <c r="I271" s="271">
        <v>3.2785981569913901E-3</v>
      </c>
      <c r="J271" s="271">
        <v>3.9632263976450101E-3</v>
      </c>
      <c r="K271" s="271">
        <v>5.6580132586543401E-3</v>
      </c>
      <c r="L271" s="272">
        <v>7.9503770923274892E-3</v>
      </c>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row>
    <row r="272" spans="1:78" ht="15.75" thickBot="1" x14ac:dyDescent="0.3">
      <c r="A272" s="298"/>
      <c r="B272" s="327"/>
      <c r="C272" s="327"/>
      <c r="D272" s="327"/>
      <c r="E272" s="327"/>
      <c r="F272" s="327"/>
      <c r="G272" s="327"/>
      <c r="H272" s="275"/>
      <c r="I272" s="276"/>
      <c r="J272" s="276"/>
      <c r="K272" s="276"/>
      <c r="L272" s="277"/>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row>
    <row r="273" spans="1:78" x14ac:dyDescent="0.25">
      <c r="A273" s="258"/>
      <c r="B273" s="328"/>
      <c r="C273" s="328"/>
      <c r="D273" s="328"/>
      <c r="E273" s="328"/>
      <c r="F273" s="328"/>
      <c r="G273" s="328"/>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row>
    <row r="274" spans="1:78" x14ac:dyDescent="0.25">
      <c r="A274" s="258"/>
      <c r="B274" s="328"/>
      <c r="C274" s="328"/>
      <c r="D274" s="329"/>
      <c r="E274" s="329"/>
      <c r="F274" s="329"/>
      <c r="G274" s="329"/>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row>
    <row r="275" spans="1:78" ht="16.5" thickBot="1" x14ac:dyDescent="0.3">
      <c r="A275" s="237" t="s">
        <v>176</v>
      </c>
      <c r="B275" s="239"/>
      <c r="C275" s="239"/>
      <c r="D275" s="239"/>
      <c r="E275" s="239"/>
      <c r="F275" s="239"/>
      <c r="G275" s="239"/>
      <c r="H275" s="239"/>
      <c r="I275" s="239"/>
      <c r="J275" s="239"/>
      <c r="K275" s="239"/>
      <c r="L275" s="239"/>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row>
    <row r="276" spans="1:78" ht="15.75" thickBot="1" x14ac:dyDescent="0.3">
      <c r="A276" s="240" t="s">
        <v>51</v>
      </c>
      <c r="B276" s="241">
        <v>2000</v>
      </c>
      <c r="C276" s="241">
        <v>2015</v>
      </c>
      <c r="D276" s="241">
        <v>2020</v>
      </c>
      <c r="E276" s="241">
        <v>2025</v>
      </c>
      <c r="F276" s="241">
        <v>2030</v>
      </c>
      <c r="G276" s="241">
        <v>2050</v>
      </c>
      <c r="H276" s="261" t="s">
        <v>98</v>
      </c>
      <c r="I276" s="262" t="s">
        <v>99</v>
      </c>
      <c r="J276" s="262" t="s">
        <v>100</v>
      </c>
      <c r="K276" s="262" t="s">
        <v>101</v>
      </c>
      <c r="L276" s="263" t="s">
        <v>320</v>
      </c>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row>
    <row r="277" spans="1:78" x14ac:dyDescent="0.25">
      <c r="A277" s="244" t="s">
        <v>177</v>
      </c>
      <c r="B277" s="264">
        <v>13.9971</v>
      </c>
      <c r="C277" s="264">
        <v>7.2347999999999999</v>
      </c>
      <c r="D277" s="264">
        <v>6.7095000000000002</v>
      </c>
      <c r="E277" s="264">
        <v>6.4130000000000003</v>
      </c>
      <c r="F277" s="264">
        <v>5.77</v>
      </c>
      <c r="G277" s="264">
        <v>3.5712999999999999</v>
      </c>
      <c r="H277" s="265">
        <v>-4.3042689928576301E-2</v>
      </c>
      <c r="I277" s="266">
        <v>-1.49625879438747E-2</v>
      </c>
      <c r="J277" s="266">
        <v>-8.9987174730144E-3</v>
      </c>
      <c r="K277" s="266">
        <v>-2.0909324225712199E-2</v>
      </c>
      <c r="L277" s="267">
        <v>-2.3701715862578999E-2</v>
      </c>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row>
    <row r="278" spans="1:78" x14ac:dyDescent="0.25">
      <c r="A278" s="244" t="s">
        <v>178</v>
      </c>
      <c r="B278" s="264">
        <v>26.535799999999998</v>
      </c>
      <c r="C278" s="264">
        <v>32.707599999999999</v>
      </c>
      <c r="D278" s="264">
        <v>32.730899999999998</v>
      </c>
      <c r="E278" s="264">
        <v>31.736999999999998</v>
      </c>
      <c r="F278" s="264">
        <v>31.259599999999999</v>
      </c>
      <c r="G278" s="264">
        <v>31.748000000000001</v>
      </c>
      <c r="H278" s="270">
        <v>1.40384735515253E-2</v>
      </c>
      <c r="I278" s="271">
        <v>1.4243395127255801E-4</v>
      </c>
      <c r="J278" s="271">
        <v>-6.1483000068241998E-3</v>
      </c>
      <c r="K278" s="271">
        <v>-3.0267428832079198E-3</v>
      </c>
      <c r="L278" s="272">
        <v>7.7546062536670802E-4</v>
      </c>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row>
    <row r="279" spans="1:78" x14ac:dyDescent="0.25">
      <c r="A279" s="244" t="s">
        <v>179</v>
      </c>
      <c r="B279" s="264">
        <v>1.7838000000000001</v>
      </c>
      <c r="C279" s="264">
        <v>1.1121000000000001</v>
      </c>
      <c r="D279" s="264">
        <v>0.97289999999999999</v>
      </c>
      <c r="E279" s="264">
        <v>0.98340000000000005</v>
      </c>
      <c r="F279" s="264">
        <v>1.016</v>
      </c>
      <c r="G279" s="264">
        <v>1.0871</v>
      </c>
      <c r="H279" s="270">
        <v>-3.10087722550666E-2</v>
      </c>
      <c r="I279" s="271">
        <v>-2.63903438455984E-2</v>
      </c>
      <c r="J279" s="271">
        <v>2.1492369049878101E-3</v>
      </c>
      <c r="K279" s="271">
        <v>6.5438526851737703E-3</v>
      </c>
      <c r="L279" s="272">
        <v>3.38773801073589E-3</v>
      </c>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row>
    <row r="280" spans="1:78" x14ac:dyDescent="0.25">
      <c r="A280" s="244" t="s">
        <v>180</v>
      </c>
      <c r="B280" s="264">
        <v>0.20849999999999999</v>
      </c>
      <c r="C280" s="264">
        <v>0.15459999999999999</v>
      </c>
      <c r="D280" s="264">
        <v>0.152</v>
      </c>
      <c r="E280" s="264">
        <v>0.15179999999999999</v>
      </c>
      <c r="F280" s="264">
        <v>1.44E-2</v>
      </c>
      <c r="G280" s="264">
        <v>4.0000000000000001E-3</v>
      </c>
      <c r="H280" s="270">
        <v>-1.9742376104737801E-2</v>
      </c>
      <c r="I280" s="271">
        <v>-3.3863763117075699E-3</v>
      </c>
      <c r="J280" s="271">
        <v>-2.6329650833822898E-4</v>
      </c>
      <c r="K280" s="271">
        <v>-0.37566433569493302</v>
      </c>
      <c r="L280" s="272">
        <v>-6.20387970323922E-2</v>
      </c>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row>
    <row r="281" spans="1:78" x14ac:dyDescent="0.25">
      <c r="A281" s="244" t="s">
        <v>181</v>
      </c>
      <c r="B281" s="245">
        <v>0</v>
      </c>
      <c r="C281" s="315">
        <v>7.5200000000000003E-2</v>
      </c>
      <c r="D281" s="315">
        <v>8.6400000000000005E-2</v>
      </c>
      <c r="E281" s="315">
        <v>9.1899999999999996E-2</v>
      </c>
      <c r="F281" s="315">
        <v>9.7500000000000003E-2</v>
      </c>
      <c r="G281" s="315">
        <v>0.1215</v>
      </c>
      <c r="H281" s="270"/>
      <c r="I281" s="271">
        <v>2.8156393247250399E-2</v>
      </c>
      <c r="J281" s="271">
        <v>1.2419155823384201E-2</v>
      </c>
      <c r="K281" s="271">
        <v>1.1900524138891399E-2</v>
      </c>
      <c r="L281" s="272">
        <v>1.10638509129168E-2</v>
      </c>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row>
    <row r="282" spans="1:78" x14ac:dyDescent="0.25">
      <c r="A282" s="244" t="s">
        <v>104</v>
      </c>
      <c r="B282" s="264">
        <v>0.80669999999999997</v>
      </c>
      <c r="C282" s="264">
        <v>0.89270000000000005</v>
      </c>
      <c r="D282" s="264">
        <v>1.147</v>
      </c>
      <c r="E282" s="264">
        <v>1.4209000000000001</v>
      </c>
      <c r="F282" s="264">
        <v>1.8814</v>
      </c>
      <c r="G282" s="264">
        <v>4.0824999999999996</v>
      </c>
      <c r="H282" s="270">
        <v>6.7761030168769203E-3</v>
      </c>
      <c r="I282" s="271">
        <v>5.1408724958821497E-2</v>
      </c>
      <c r="J282" s="271">
        <v>4.3758485638497602E-2</v>
      </c>
      <c r="K282" s="271">
        <v>5.7751196062832501E-2</v>
      </c>
      <c r="L282" s="272">
        <v>3.9494636141248499E-2</v>
      </c>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row>
    <row r="283" spans="1:78" x14ac:dyDescent="0.25">
      <c r="A283" s="244" t="s">
        <v>109</v>
      </c>
      <c r="B283" s="264">
        <v>0</v>
      </c>
      <c r="C283" s="264">
        <v>0</v>
      </c>
      <c r="D283" s="264">
        <v>0</v>
      </c>
      <c r="E283" s="264">
        <v>0</v>
      </c>
      <c r="F283" s="303">
        <v>0</v>
      </c>
      <c r="G283" s="264">
        <v>0</v>
      </c>
      <c r="H283" s="270"/>
      <c r="I283" s="271"/>
      <c r="J283" s="271"/>
      <c r="K283" s="271"/>
      <c r="L283" s="272"/>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row>
    <row r="284" spans="1:78" x14ac:dyDescent="0.25">
      <c r="A284" s="244"/>
      <c r="B284" s="245"/>
      <c r="C284" s="245"/>
      <c r="D284" s="245"/>
      <c r="E284" s="245"/>
      <c r="F284" s="245"/>
      <c r="G284" s="245"/>
      <c r="H284" s="270"/>
      <c r="I284" s="271"/>
      <c r="J284" s="271"/>
      <c r="K284" s="271"/>
      <c r="L284" s="272"/>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row>
    <row r="285" spans="1:78" ht="15.75" thickBot="1" x14ac:dyDescent="0.3">
      <c r="A285" s="253" t="s">
        <v>10</v>
      </c>
      <c r="B285" s="273">
        <v>43.331899999999997</v>
      </c>
      <c r="C285" s="273">
        <v>42.177</v>
      </c>
      <c r="D285" s="273">
        <v>41.798699999999997</v>
      </c>
      <c r="E285" s="273">
        <v>40.798000000000002</v>
      </c>
      <c r="F285" s="273">
        <v>40.038899999999998</v>
      </c>
      <c r="G285" s="273">
        <v>40.614400000000003</v>
      </c>
      <c r="H285" s="275">
        <v>-1.7993149918053E-3</v>
      </c>
      <c r="I285" s="276">
        <v>-1.80033948060065E-3</v>
      </c>
      <c r="J285" s="276">
        <v>-4.83471057375173E-3</v>
      </c>
      <c r="K285" s="276">
        <v>-3.7492696827380301E-3</v>
      </c>
      <c r="L285" s="277">
        <v>7.1381474379505995E-4</v>
      </c>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row>
    <row r="286" spans="1:78" x14ac:dyDescent="0.25">
      <c r="A286" s="258"/>
      <c r="B286" s="236"/>
      <c r="C286" s="236"/>
      <c r="D286" s="236"/>
      <c r="E286" s="308"/>
      <c r="F286" s="308"/>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row>
    <row r="287" spans="1:78" x14ac:dyDescent="0.25">
      <c r="A287" s="258"/>
      <c r="B287" s="236"/>
      <c r="C287" s="236"/>
      <c r="D287" s="236"/>
      <c r="E287" s="308"/>
      <c r="F287" s="308"/>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row>
    <row r="288" spans="1:78" ht="16.5" thickBot="1" x14ac:dyDescent="0.3">
      <c r="A288" s="237" t="s">
        <v>182</v>
      </c>
      <c r="B288" s="239"/>
      <c r="C288" s="239"/>
      <c r="D288" s="239"/>
      <c r="E288" s="330"/>
      <c r="F288" s="330"/>
      <c r="G288" s="330"/>
      <c r="H288" s="239"/>
      <c r="I288" s="239"/>
      <c r="J288" s="239"/>
      <c r="K288" s="239"/>
      <c r="L288" s="239"/>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row>
    <row r="289" spans="1:78" ht="15.75" thickBot="1" x14ac:dyDescent="0.3">
      <c r="A289" s="240" t="s">
        <v>51</v>
      </c>
      <c r="B289" s="241">
        <v>2000</v>
      </c>
      <c r="C289" s="241">
        <v>2015</v>
      </c>
      <c r="D289" s="241">
        <v>2020</v>
      </c>
      <c r="E289" s="241">
        <v>2025</v>
      </c>
      <c r="F289" s="241">
        <v>2030</v>
      </c>
      <c r="G289" s="241">
        <v>2050</v>
      </c>
      <c r="H289" s="261" t="s">
        <v>98</v>
      </c>
      <c r="I289" s="262" t="s">
        <v>99</v>
      </c>
      <c r="J289" s="262" t="s">
        <v>100</v>
      </c>
      <c r="K289" s="262" t="s">
        <v>101</v>
      </c>
      <c r="L289" s="263" t="s">
        <v>320</v>
      </c>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row>
    <row r="290" spans="1:78" x14ac:dyDescent="0.25">
      <c r="A290" s="244" t="s">
        <v>183</v>
      </c>
      <c r="B290" s="245">
        <v>39.905799999999999</v>
      </c>
      <c r="C290" s="245">
        <v>39.588700000000003</v>
      </c>
      <c r="D290" s="245">
        <v>39.209800000000001</v>
      </c>
      <c r="E290" s="245">
        <v>38.1265</v>
      </c>
      <c r="F290" s="245">
        <v>37.241999999999997</v>
      </c>
      <c r="G290" s="245">
        <v>37.095799999999997</v>
      </c>
      <c r="H290" s="265">
        <v>-5.3172210141172504E-4</v>
      </c>
      <c r="I290" s="266">
        <v>-1.9215531388057101E-3</v>
      </c>
      <c r="J290" s="266">
        <v>-5.5877575097548196E-3</v>
      </c>
      <c r="K290" s="266">
        <v>-4.6834824823716002E-3</v>
      </c>
      <c r="L290" s="267">
        <v>-1.9665071180397E-4</v>
      </c>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row>
    <row r="291" spans="1:78" x14ac:dyDescent="0.25">
      <c r="A291" s="244" t="s">
        <v>184</v>
      </c>
      <c r="B291" s="264">
        <v>1.1697</v>
      </c>
      <c r="C291" s="264">
        <v>1.0153000000000001</v>
      </c>
      <c r="D291" s="264">
        <v>1.1104000000000001</v>
      </c>
      <c r="E291" s="264">
        <v>1.1695</v>
      </c>
      <c r="F291" s="264">
        <v>1.2481</v>
      </c>
      <c r="G291" s="264">
        <v>1.6429</v>
      </c>
      <c r="H291" s="270">
        <v>-9.3931508311854203E-3</v>
      </c>
      <c r="I291" s="271">
        <v>1.80685309726576E-2</v>
      </c>
      <c r="J291" s="271">
        <v>1.0425166548489399E-2</v>
      </c>
      <c r="K291" s="271">
        <v>1.3094205593694E-2</v>
      </c>
      <c r="L291" s="272">
        <v>1.3836884583680001E-2</v>
      </c>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row>
    <row r="292" spans="1:78" x14ac:dyDescent="0.25">
      <c r="A292" s="244" t="s">
        <v>185</v>
      </c>
      <c r="B292" s="264">
        <v>0.47260000000000002</v>
      </c>
      <c r="C292" s="264">
        <v>0.46089999999999998</v>
      </c>
      <c r="D292" s="264">
        <v>0.50560000000000005</v>
      </c>
      <c r="E292" s="264">
        <v>0.51859999999999995</v>
      </c>
      <c r="F292" s="264">
        <v>0.53280000000000005</v>
      </c>
      <c r="G292" s="264">
        <v>0.78859999999999997</v>
      </c>
      <c r="H292" s="270">
        <v>-1.6698219617935499E-3</v>
      </c>
      <c r="I292" s="271">
        <v>1.8685375655264701E-2</v>
      </c>
      <c r="J292" s="271">
        <v>5.0903179241896801E-3</v>
      </c>
      <c r="K292" s="271">
        <v>5.4172698518257798E-3</v>
      </c>
      <c r="L292" s="272">
        <v>1.9799108156683499E-2</v>
      </c>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row>
    <row r="293" spans="1:78" x14ac:dyDescent="0.25">
      <c r="A293" s="244" t="s">
        <v>186</v>
      </c>
      <c r="B293" s="264">
        <v>1.7838000000000001</v>
      </c>
      <c r="C293" s="264">
        <v>1.1121000000000001</v>
      </c>
      <c r="D293" s="264">
        <v>0.97289999999999999</v>
      </c>
      <c r="E293" s="264">
        <v>0.98340000000000005</v>
      </c>
      <c r="F293" s="264">
        <v>1.016</v>
      </c>
      <c r="G293" s="264">
        <v>1.0871</v>
      </c>
      <c r="H293" s="270">
        <v>-3.10087722550666E-2</v>
      </c>
      <c r="I293" s="271">
        <v>-2.63903438455984E-2</v>
      </c>
      <c r="J293" s="271">
        <v>2.1492369049878101E-3</v>
      </c>
      <c r="K293" s="271">
        <v>6.5438526851737703E-3</v>
      </c>
      <c r="L293" s="272">
        <v>3.38773801073589E-3</v>
      </c>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row>
    <row r="294" spans="1:78" x14ac:dyDescent="0.25">
      <c r="A294" s="244"/>
      <c r="B294" s="245"/>
      <c r="C294" s="245"/>
      <c r="D294" s="245"/>
      <c r="E294" s="245"/>
      <c r="F294" s="245"/>
      <c r="G294" s="245"/>
      <c r="H294" s="270"/>
      <c r="I294" s="271"/>
      <c r="J294" s="271"/>
      <c r="K294" s="271"/>
      <c r="L294" s="272"/>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row>
    <row r="295" spans="1:78" ht="15.75" thickBot="1" x14ac:dyDescent="0.3">
      <c r="A295" s="298" t="s">
        <v>10</v>
      </c>
      <c r="B295" s="273">
        <v>43.331899999999997</v>
      </c>
      <c r="C295" s="273">
        <v>42.177</v>
      </c>
      <c r="D295" s="273">
        <v>41.798699999999997</v>
      </c>
      <c r="E295" s="273">
        <v>40.798000000000002</v>
      </c>
      <c r="F295" s="273">
        <v>40.038899999999998</v>
      </c>
      <c r="G295" s="273">
        <v>40.614400000000003</v>
      </c>
      <c r="H295" s="275">
        <v>-1.7993149918053E-3</v>
      </c>
      <c r="I295" s="276">
        <v>-1.80033948060065E-3</v>
      </c>
      <c r="J295" s="276">
        <v>-4.83471057375173E-3</v>
      </c>
      <c r="K295" s="276">
        <v>-3.7492696827380301E-3</v>
      </c>
      <c r="L295" s="277">
        <v>7.1381474379505995E-4</v>
      </c>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row>
    <row r="296" spans="1:78" x14ac:dyDescent="0.25">
      <c r="A296" s="258"/>
      <c r="B296" s="331"/>
      <c r="C296" s="236"/>
      <c r="D296" s="236"/>
      <c r="E296" s="23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row>
    <row r="297" spans="1:78" x14ac:dyDescent="0.25">
      <c r="A297" s="258"/>
      <c r="B297" s="331"/>
      <c r="C297" s="236"/>
      <c r="D297" s="236"/>
      <c r="E297" s="236"/>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row>
    <row r="298" spans="1:78" ht="16.5" thickBot="1" x14ac:dyDescent="0.3">
      <c r="A298" s="237" t="s">
        <v>187</v>
      </c>
      <c r="B298" s="332"/>
      <c r="C298" s="239"/>
      <c r="D298" s="239"/>
      <c r="E298" s="239"/>
      <c r="F298" s="239"/>
      <c r="G298" s="239"/>
      <c r="H298" s="239"/>
      <c r="I298" s="239"/>
      <c r="J298" s="239"/>
      <c r="K298" s="239"/>
      <c r="L298" s="239"/>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row>
    <row r="299" spans="1:78" ht="15.75" thickBot="1" x14ac:dyDescent="0.3">
      <c r="A299" s="240" t="s">
        <v>51</v>
      </c>
      <c r="B299" s="241">
        <v>2000</v>
      </c>
      <c r="C299" s="241">
        <v>2015</v>
      </c>
      <c r="D299" s="241">
        <v>2020</v>
      </c>
      <c r="E299" s="241">
        <v>2025</v>
      </c>
      <c r="F299" s="241">
        <v>2030</v>
      </c>
      <c r="G299" s="241">
        <v>2050</v>
      </c>
      <c r="H299" s="261" t="s">
        <v>98</v>
      </c>
      <c r="I299" s="262" t="s">
        <v>99</v>
      </c>
      <c r="J299" s="262" t="s">
        <v>100</v>
      </c>
      <c r="K299" s="262" t="s">
        <v>101</v>
      </c>
      <c r="L299" s="263" t="s">
        <v>320</v>
      </c>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row>
    <row r="300" spans="1:78" x14ac:dyDescent="0.25">
      <c r="A300" s="319" t="s">
        <v>188</v>
      </c>
      <c r="B300" s="245">
        <v>24.0273</v>
      </c>
      <c r="C300" s="245">
        <v>23.461400000000001</v>
      </c>
      <c r="D300" s="245">
        <v>22.6571</v>
      </c>
      <c r="E300" s="245">
        <v>21.686900000000001</v>
      </c>
      <c r="F300" s="245">
        <v>20.764600000000002</v>
      </c>
      <c r="G300" s="245">
        <v>18.468</v>
      </c>
      <c r="H300" s="265">
        <v>-1.58768272254539E-3</v>
      </c>
      <c r="I300" s="266">
        <v>-6.9523694561535202E-3</v>
      </c>
      <c r="J300" s="266">
        <v>-8.7147796291577907E-3</v>
      </c>
      <c r="K300" s="266">
        <v>-8.6540914747326204E-3</v>
      </c>
      <c r="L300" s="267">
        <v>-5.8433661893037003E-3</v>
      </c>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row>
    <row r="301" spans="1:78" x14ac:dyDescent="0.25">
      <c r="A301" s="244" t="s">
        <v>177</v>
      </c>
      <c r="B301" s="264">
        <v>13.3986</v>
      </c>
      <c r="C301" s="264">
        <v>6.5430999999999999</v>
      </c>
      <c r="D301" s="264">
        <v>6.0305999999999997</v>
      </c>
      <c r="E301" s="264">
        <v>5.7404999999999999</v>
      </c>
      <c r="F301" s="264">
        <v>5.0959000000000003</v>
      </c>
      <c r="G301" s="264">
        <v>2.8450000000000002</v>
      </c>
      <c r="H301" s="270">
        <v>-4.6658989573450098E-2</v>
      </c>
      <c r="I301" s="271">
        <v>-1.6180575247603999E-2</v>
      </c>
      <c r="J301" s="271">
        <v>-9.8115879359933506E-3</v>
      </c>
      <c r="K301" s="271">
        <v>-2.3540499767392E-2</v>
      </c>
      <c r="L301" s="272">
        <v>-2.8723080523118099E-2</v>
      </c>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row>
    <row r="302" spans="1:78" x14ac:dyDescent="0.25">
      <c r="A302" s="244" t="s">
        <v>178</v>
      </c>
      <c r="B302" s="264">
        <v>10.4703</v>
      </c>
      <c r="C302" s="264">
        <v>16.771000000000001</v>
      </c>
      <c r="D302" s="264">
        <v>16.402799999999999</v>
      </c>
      <c r="E302" s="264">
        <v>15.5016</v>
      </c>
      <c r="F302" s="264">
        <v>14.972300000000001</v>
      </c>
      <c r="G302" s="264">
        <v>13.1013</v>
      </c>
      <c r="H302" s="270">
        <v>3.1905646537125701E-2</v>
      </c>
      <c r="I302" s="271">
        <v>-4.4299889998889999E-3</v>
      </c>
      <c r="J302" s="271">
        <v>-1.1238136522470001E-2</v>
      </c>
      <c r="K302" s="271">
        <v>-6.9241999225698701E-3</v>
      </c>
      <c r="L302" s="272">
        <v>-6.6522931437719103E-3</v>
      </c>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row>
    <row r="303" spans="1:78" x14ac:dyDescent="0.25">
      <c r="A303" s="244" t="s">
        <v>180</v>
      </c>
      <c r="B303" s="264">
        <v>0.15840000000000001</v>
      </c>
      <c r="C303" s="264">
        <v>0.1298</v>
      </c>
      <c r="D303" s="264">
        <v>0.13150000000000001</v>
      </c>
      <c r="E303" s="264">
        <v>0.13489999999999999</v>
      </c>
      <c r="F303" s="264">
        <v>5.0000000000000001E-4</v>
      </c>
      <c r="G303" s="264">
        <v>-1E-4</v>
      </c>
      <c r="H303" s="270">
        <v>-1.31875175724918E-2</v>
      </c>
      <c r="I303" s="271">
        <v>2.6057986764866899E-3</v>
      </c>
      <c r="J303" s="271">
        <v>5.1184369903980497E-3</v>
      </c>
      <c r="K303" s="271">
        <v>-0.67356883803888701</v>
      </c>
      <c r="L303" s="272" t="e">
        <f>#NUM!</f>
        <v>#NUM!</v>
      </c>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row>
    <row r="304" spans="1:78" x14ac:dyDescent="0.25">
      <c r="A304" s="244" t="s">
        <v>181</v>
      </c>
      <c r="B304" s="264">
        <v>0</v>
      </c>
      <c r="C304" s="264">
        <v>0</v>
      </c>
      <c r="D304" s="264">
        <v>0</v>
      </c>
      <c r="E304" s="264">
        <v>0</v>
      </c>
      <c r="F304" s="264">
        <v>0</v>
      </c>
      <c r="G304" s="264">
        <v>0</v>
      </c>
      <c r="H304" s="270"/>
      <c r="I304" s="271"/>
      <c r="J304" s="271"/>
      <c r="K304" s="271"/>
      <c r="L304" s="272"/>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row>
    <row r="305" spans="1:78" x14ac:dyDescent="0.25">
      <c r="A305" s="244" t="s">
        <v>109</v>
      </c>
      <c r="B305" s="264">
        <v>0</v>
      </c>
      <c r="C305" s="264">
        <v>0</v>
      </c>
      <c r="D305" s="264">
        <v>0</v>
      </c>
      <c r="E305" s="264">
        <v>0</v>
      </c>
      <c r="F305" s="264">
        <v>0</v>
      </c>
      <c r="G305" s="264">
        <v>0</v>
      </c>
      <c r="H305" s="270"/>
      <c r="I305" s="271"/>
      <c r="J305" s="271"/>
      <c r="K305" s="271"/>
      <c r="L305" s="272"/>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row>
    <row r="306" spans="1:78" x14ac:dyDescent="0.25">
      <c r="A306" s="244" t="s">
        <v>104</v>
      </c>
      <c r="B306" s="264">
        <v>0</v>
      </c>
      <c r="C306" s="264">
        <v>1.7500000000000002E-2</v>
      </c>
      <c r="D306" s="264">
        <v>9.2200000000000004E-2</v>
      </c>
      <c r="E306" s="264">
        <v>0.30990000000000001</v>
      </c>
      <c r="F306" s="264">
        <v>0.69589999999999996</v>
      </c>
      <c r="G306" s="264">
        <v>2.5217999999999998</v>
      </c>
      <c r="H306" s="270"/>
      <c r="I306" s="271"/>
      <c r="J306" s="271"/>
      <c r="K306" s="271"/>
      <c r="L306" s="272"/>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row>
    <row r="307" spans="1:78" x14ac:dyDescent="0.25">
      <c r="A307" s="244"/>
      <c r="B307" s="245"/>
      <c r="C307" s="245"/>
      <c r="D307" s="245"/>
      <c r="E307" s="245"/>
      <c r="F307" s="245"/>
      <c r="G307" s="300"/>
      <c r="H307" s="270"/>
      <c r="I307" s="271"/>
      <c r="J307" s="271"/>
      <c r="K307" s="271"/>
      <c r="L307" s="272"/>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row>
    <row r="308" spans="1:78" x14ac:dyDescent="0.25">
      <c r="A308" s="319" t="s">
        <v>189</v>
      </c>
      <c r="B308" s="245">
        <v>14.8622</v>
      </c>
      <c r="C308" s="245">
        <v>14.641500000000001</v>
      </c>
      <c r="D308" s="245">
        <v>14.9407</v>
      </c>
      <c r="E308" s="245">
        <v>14.7842</v>
      </c>
      <c r="F308" s="245">
        <v>14.770899999999999</v>
      </c>
      <c r="G308" s="245">
        <v>16.707599999999999</v>
      </c>
      <c r="H308" s="270">
        <v>-9.9691038652360798E-4</v>
      </c>
      <c r="I308" s="271">
        <v>4.0540094321539497E-3</v>
      </c>
      <c r="J308" s="271">
        <v>-2.1037818910039099E-3</v>
      </c>
      <c r="K308" s="271">
        <v>-1.7998658709983401E-4</v>
      </c>
      <c r="L308" s="272">
        <v>6.1792470978452299E-3</v>
      </c>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row>
    <row r="309" spans="1:78" x14ac:dyDescent="0.25">
      <c r="A309" s="244" t="s">
        <v>177</v>
      </c>
      <c r="B309" s="264">
        <v>0.2555</v>
      </c>
      <c r="C309" s="264">
        <v>0.1265</v>
      </c>
      <c r="D309" s="264">
        <v>0.10440000000000001</v>
      </c>
      <c r="E309" s="264">
        <v>8.6099999999999996E-2</v>
      </c>
      <c r="F309" s="264">
        <v>7.0999999999999994E-2</v>
      </c>
      <c r="G309" s="264">
        <v>2.1299999999999999E-2</v>
      </c>
      <c r="H309" s="270"/>
      <c r="I309" s="271"/>
      <c r="J309" s="271"/>
      <c r="K309" s="271"/>
      <c r="L309" s="272"/>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row>
    <row r="310" spans="1:78" x14ac:dyDescent="0.25">
      <c r="A310" s="244" t="s">
        <v>178</v>
      </c>
      <c r="B310" s="264">
        <v>14.5566</v>
      </c>
      <c r="C310" s="264">
        <v>14.4419</v>
      </c>
      <c r="D310" s="264">
        <v>14.760999999999999</v>
      </c>
      <c r="E310" s="264">
        <v>14.6226</v>
      </c>
      <c r="F310" s="264">
        <v>14.6234</v>
      </c>
      <c r="G310" s="264">
        <v>16.6005</v>
      </c>
      <c r="H310" s="270">
        <v>-5.2724730689668298E-4</v>
      </c>
      <c r="I310" s="271">
        <v>4.3805393945668403E-3</v>
      </c>
      <c r="J310" s="271">
        <v>-1.88228437012594E-3</v>
      </c>
      <c r="K310" s="271">
        <v>1.09417270994783E-5</v>
      </c>
      <c r="L310" s="272">
        <v>6.3606349652314299E-3</v>
      </c>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row>
    <row r="311" spans="1:78" x14ac:dyDescent="0.25">
      <c r="A311" s="244" t="s">
        <v>180</v>
      </c>
      <c r="B311" s="264">
        <v>5.0099999999999999E-2</v>
      </c>
      <c r="C311" s="264">
        <v>2.4799999999999999E-2</v>
      </c>
      <c r="D311" s="264">
        <v>2.0500000000000001E-2</v>
      </c>
      <c r="E311" s="264">
        <v>1.6899999999999998E-2</v>
      </c>
      <c r="F311" s="264">
        <v>1.3899999999999999E-2</v>
      </c>
      <c r="G311" s="264">
        <v>4.1999999999999997E-3</v>
      </c>
      <c r="H311" s="270"/>
      <c r="I311" s="271"/>
      <c r="J311" s="271"/>
      <c r="K311" s="271"/>
      <c r="L311" s="272"/>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row>
    <row r="312" spans="1:78" x14ac:dyDescent="0.25">
      <c r="A312" s="244" t="s">
        <v>181</v>
      </c>
      <c r="B312" s="264">
        <v>0</v>
      </c>
      <c r="C312" s="264">
        <v>4.8300000000000003E-2</v>
      </c>
      <c r="D312" s="264">
        <v>5.4800000000000001E-2</v>
      </c>
      <c r="E312" s="264">
        <v>5.8599999999999999E-2</v>
      </c>
      <c r="F312" s="264">
        <v>6.2600000000000003E-2</v>
      </c>
      <c r="G312" s="264">
        <v>8.1600000000000006E-2</v>
      </c>
      <c r="H312" s="270"/>
      <c r="I312" s="271"/>
      <c r="J312" s="271"/>
      <c r="K312" s="271"/>
      <c r="L312" s="27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row>
    <row r="313" spans="1:78" x14ac:dyDescent="0.25">
      <c r="A313" s="244" t="s">
        <v>109</v>
      </c>
      <c r="B313" s="264">
        <v>0</v>
      </c>
      <c r="C313" s="264">
        <v>0</v>
      </c>
      <c r="D313" s="264">
        <v>0</v>
      </c>
      <c r="E313" s="264">
        <v>0</v>
      </c>
      <c r="F313" s="264">
        <v>0</v>
      </c>
      <c r="G313" s="264">
        <v>0</v>
      </c>
      <c r="H313" s="270"/>
      <c r="I313" s="271"/>
      <c r="J313" s="271"/>
      <c r="K313" s="271"/>
      <c r="L313" s="272"/>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row>
    <row r="314" spans="1:78" x14ac:dyDescent="0.25">
      <c r="A314" s="244" t="s">
        <v>104</v>
      </c>
      <c r="B314" s="264">
        <v>0</v>
      </c>
      <c r="C314" s="264">
        <v>0</v>
      </c>
      <c r="D314" s="264">
        <v>0</v>
      </c>
      <c r="E314" s="264">
        <v>0</v>
      </c>
      <c r="F314" s="264">
        <v>0</v>
      </c>
      <c r="G314" s="264">
        <v>0</v>
      </c>
      <c r="H314" s="270"/>
      <c r="I314" s="271"/>
      <c r="J314" s="271"/>
      <c r="K314" s="271"/>
      <c r="L314" s="272"/>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row>
    <row r="315" spans="1:78" x14ac:dyDescent="0.25">
      <c r="A315" s="244"/>
      <c r="B315" s="245"/>
      <c r="C315" s="245"/>
      <c r="D315" s="245"/>
      <c r="E315" s="245"/>
      <c r="F315" s="245"/>
      <c r="G315" s="300"/>
      <c r="H315" s="270"/>
      <c r="I315" s="271"/>
      <c r="J315" s="271"/>
      <c r="K315" s="271"/>
      <c r="L315" s="272"/>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row>
    <row r="316" spans="1:78" x14ac:dyDescent="0.25">
      <c r="A316" s="319" t="s">
        <v>190</v>
      </c>
      <c r="B316" s="245">
        <v>0.67330000000000001</v>
      </c>
      <c r="C316" s="245">
        <v>0.92049999999999998</v>
      </c>
      <c r="D316" s="245">
        <v>1.0375000000000001</v>
      </c>
      <c r="E316" s="245">
        <v>1.0688</v>
      </c>
      <c r="F316" s="245">
        <v>1.1034999999999999</v>
      </c>
      <c r="G316" s="245">
        <v>1.2153</v>
      </c>
      <c r="H316" s="270">
        <v>2.1067246457709299E-2</v>
      </c>
      <c r="I316" s="271">
        <v>2.4219081269583699E-2</v>
      </c>
      <c r="J316" s="271">
        <v>5.9622137983643703E-3</v>
      </c>
      <c r="K316" s="271">
        <v>6.4105447308451203E-3</v>
      </c>
      <c r="L316" s="272">
        <v>4.8368606861448598E-3</v>
      </c>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row>
    <row r="317" spans="1:78" x14ac:dyDescent="0.25">
      <c r="A317" s="244" t="s">
        <v>177</v>
      </c>
      <c r="B317" s="264">
        <v>0</v>
      </c>
      <c r="C317" s="264">
        <v>0</v>
      </c>
      <c r="D317" s="264">
        <v>0</v>
      </c>
      <c r="E317" s="264">
        <v>0</v>
      </c>
      <c r="F317" s="264">
        <v>0</v>
      </c>
      <c r="G317" s="264">
        <v>0</v>
      </c>
      <c r="H317" s="270"/>
      <c r="I317" s="271"/>
      <c r="J317" s="271"/>
      <c r="K317" s="271"/>
      <c r="L317" s="272"/>
      <c r="M317"/>
      <c r="N317" s="333"/>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row>
    <row r="318" spans="1:78" x14ac:dyDescent="0.25">
      <c r="A318" s="244" t="s">
        <v>178</v>
      </c>
      <c r="B318" s="303">
        <v>0.67330000000000001</v>
      </c>
      <c r="C318" s="303">
        <v>0.89359999999999995</v>
      </c>
      <c r="D318" s="264">
        <v>1.0059</v>
      </c>
      <c r="E318" s="264">
        <v>1.0355000000000001</v>
      </c>
      <c r="F318" s="264">
        <v>1.0686</v>
      </c>
      <c r="G318" s="264">
        <v>1.1754</v>
      </c>
      <c r="H318" s="270">
        <v>1.90503356717273E-2</v>
      </c>
      <c r="I318" s="271">
        <v>2.3958438997417501E-2</v>
      </c>
      <c r="J318" s="271">
        <v>5.8172023277505199E-3</v>
      </c>
      <c r="K318" s="271">
        <v>6.3128382363661899E-3</v>
      </c>
      <c r="L318" s="272">
        <v>4.7743176411731997E-3</v>
      </c>
      <c r="M318"/>
      <c r="N318" s="333"/>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row>
    <row r="319" spans="1:78" x14ac:dyDescent="0.25">
      <c r="A319" s="244" t="s">
        <v>180</v>
      </c>
      <c r="B319" s="264">
        <v>0</v>
      </c>
      <c r="C319" s="264">
        <v>0</v>
      </c>
      <c r="D319" s="264">
        <v>0</v>
      </c>
      <c r="E319" s="264">
        <v>0</v>
      </c>
      <c r="F319" s="264">
        <v>0</v>
      </c>
      <c r="G319" s="264">
        <v>0</v>
      </c>
      <c r="H319" s="270"/>
      <c r="I319" s="271"/>
      <c r="J319" s="271"/>
      <c r="K319" s="271"/>
      <c r="L319" s="272"/>
      <c r="M319"/>
      <c r="N319" s="333"/>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row>
    <row r="320" spans="1:78" x14ac:dyDescent="0.25">
      <c r="A320" s="244" t="s">
        <v>181</v>
      </c>
      <c r="B320" s="264">
        <v>0</v>
      </c>
      <c r="C320" s="303">
        <v>2.69E-2</v>
      </c>
      <c r="D320" s="303">
        <v>3.1600000000000003E-2</v>
      </c>
      <c r="E320" s="303">
        <v>3.3300000000000003E-2</v>
      </c>
      <c r="F320" s="303">
        <v>3.49E-2</v>
      </c>
      <c r="G320" s="303">
        <v>3.9899999999999998E-2</v>
      </c>
      <c r="H320" s="270"/>
      <c r="I320" s="271">
        <v>3.2730398077005098E-2</v>
      </c>
      <c r="J320" s="271">
        <v>1.05351634018422E-2</v>
      </c>
      <c r="K320" s="271">
        <v>9.4300720086064604E-3</v>
      </c>
      <c r="L320" s="272">
        <v>6.7169328174092602E-3</v>
      </c>
      <c r="M320"/>
      <c r="N320" s="333"/>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row>
    <row r="321" spans="1:78" x14ac:dyDescent="0.25">
      <c r="A321" s="244" t="s">
        <v>109</v>
      </c>
      <c r="B321" s="264">
        <v>0</v>
      </c>
      <c r="C321" s="264">
        <v>0</v>
      </c>
      <c r="D321" s="264">
        <v>0</v>
      </c>
      <c r="E321" s="264">
        <v>0</v>
      </c>
      <c r="F321" s="264">
        <v>0</v>
      </c>
      <c r="G321" s="264">
        <v>0</v>
      </c>
      <c r="H321" s="270"/>
      <c r="I321" s="271"/>
      <c r="J321" s="271"/>
      <c r="K321" s="271"/>
      <c r="L321" s="272"/>
      <c r="M321"/>
      <c r="N321" s="333"/>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row>
    <row r="322" spans="1:78" x14ac:dyDescent="0.25">
      <c r="A322" s="244" t="s">
        <v>104</v>
      </c>
      <c r="B322" s="264">
        <v>0</v>
      </c>
      <c r="C322" s="264">
        <v>0</v>
      </c>
      <c r="D322" s="264">
        <v>0</v>
      </c>
      <c r="E322" s="264">
        <v>0</v>
      </c>
      <c r="F322" s="264">
        <v>0</v>
      </c>
      <c r="G322" s="264">
        <v>0</v>
      </c>
      <c r="H322" s="270"/>
      <c r="I322" s="271"/>
      <c r="J322" s="271"/>
      <c r="K322" s="271"/>
      <c r="L322" s="272"/>
      <c r="M322"/>
      <c r="N322" s="333"/>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row>
    <row r="323" spans="1:78" x14ac:dyDescent="0.25">
      <c r="A323" s="244"/>
      <c r="B323" s="245"/>
      <c r="C323" s="245"/>
      <c r="D323" s="245"/>
      <c r="E323" s="245"/>
      <c r="F323" s="245"/>
      <c r="G323" s="300"/>
      <c r="H323" s="270"/>
      <c r="I323" s="271"/>
      <c r="J323" s="271"/>
      <c r="K323" s="271"/>
      <c r="L323" s="272"/>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row>
    <row r="324" spans="1:78" x14ac:dyDescent="0.25">
      <c r="A324" s="319" t="s">
        <v>191</v>
      </c>
      <c r="B324" s="315">
        <v>0.34300000000000003</v>
      </c>
      <c r="C324" s="315">
        <v>0.56530000000000102</v>
      </c>
      <c r="D324" s="315">
        <v>0.57449999999999701</v>
      </c>
      <c r="E324" s="315">
        <v>0.586600000000008</v>
      </c>
      <c r="F324" s="315">
        <v>0.60300000000000198</v>
      </c>
      <c r="G324" s="315">
        <v>0.70489999999998798</v>
      </c>
      <c r="H324" s="270">
        <v>3.3869343414219398E-2</v>
      </c>
      <c r="I324" s="271">
        <v>3.2339246092236702E-3</v>
      </c>
      <c r="J324" s="271">
        <v>4.1773125991064796E-3</v>
      </c>
      <c r="K324" s="271">
        <v>5.5300425829301102E-3</v>
      </c>
      <c r="L324" s="272">
        <v>7.83749119824728E-3</v>
      </c>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row>
    <row r="325" spans="1:78" x14ac:dyDescent="0.25">
      <c r="A325" s="244"/>
      <c r="B325" s="245"/>
      <c r="C325" s="245"/>
      <c r="D325" s="245"/>
      <c r="E325" s="245"/>
      <c r="F325" s="245"/>
      <c r="G325" s="300"/>
      <c r="H325" s="270"/>
      <c r="I325" s="271"/>
      <c r="J325" s="271"/>
      <c r="K325" s="271"/>
      <c r="L325" s="272"/>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row>
    <row r="326" spans="1:78" ht="15.75" thickBot="1" x14ac:dyDescent="0.3">
      <c r="A326" s="298" t="s">
        <v>10</v>
      </c>
      <c r="B326" s="273">
        <v>39.905799999999999</v>
      </c>
      <c r="C326" s="273">
        <v>39.588700000000003</v>
      </c>
      <c r="D326" s="273">
        <v>39.209800000000001</v>
      </c>
      <c r="E326" s="273">
        <v>38.1265</v>
      </c>
      <c r="F326" s="273">
        <v>37.241999999999997</v>
      </c>
      <c r="G326" s="273">
        <v>37.095799999999997</v>
      </c>
      <c r="H326" s="275">
        <v>-5.3172210141172504E-4</v>
      </c>
      <c r="I326" s="276">
        <v>-1.9215531388057101E-3</v>
      </c>
      <c r="J326" s="276">
        <v>-5.5877575097548196E-3</v>
      </c>
      <c r="K326" s="276">
        <v>-4.6834824823716002E-3</v>
      </c>
      <c r="L326" s="277">
        <v>-1.9665071180397E-4</v>
      </c>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row>
    <row r="327" spans="1:78" x14ac:dyDescent="0.25">
      <c r="A327" s="258"/>
      <c r="B327" s="331"/>
      <c r="C327" s="236"/>
      <c r="D327" s="236"/>
      <c r="E327" s="236"/>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row>
    <row r="328" spans="1:78" x14ac:dyDescent="0.25">
      <c r="A328" s="334"/>
      <c r="B328" s="331"/>
      <c r="C328" s="236"/>
      <c r="D328" s="236"/>
      <c r="E328" s="236"/>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row>
    <row r="329" spans="1:78" ht="16.5" thickBot="1" x14ac:dyDescent="0.3">
      <c r="A329" s="237" t="s">
        <v>194</v>
      </c>
      <c r="B329" s="332"/>
      <c r="C329" s="239"/>
      <c r="D329" s="239"/>
      <c r="E329" s="239"/>
      <c r="F329" s="239"/>
      <c r="G329" s="239"/>
      <c r="H329" s="239"/>
      <c r="I329" s="239"/>
      <c r="J329" s="239"/>
      <c r="K329" s="239"/>
      <c r="L329" s="23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row>
    <row r="330" spans="1:78" ht="15.75" thickBot="1" x14ac:dyDescent="0.3">
      <c r="A330" s="240"/>
      <c r="B330" s="241">
        <v>2000</v>
      </c>
      <c r="C330" s="241">
        <v>2015</v>
      </c>
      <c r="D330" s="241">
        <v>2020</v>
      </c>
      <c r="E330" s="241">
        <v>2025</v>
      </c>
      <c r="F330" s="241">
        <v>2030</v>
      </c>
      <c r="G330" s="241">
        <v>2050</v>
      </c>
      <c r="H330" s="261" t="s">
        <v>98</v>
      </c>
      <c r="I330" s="262" t="s">
        <v>99</v>
      </c>
      <c r="J330" s="262" t="s">
        <v>100</v>
      </c>
      <c r="K330" s="262" t="s">
        <v>101</v>
      </c>
      <c r="L330" s="263" t="s">
        <v>320</v>
      </c>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row>
    <row r="331" spans="1:78" x14ac:dyDescent="0.25">
      <c r="A331" s="335" t="s">
        <v>195</v>
      </c>
      <c r="B331" s="336">
        <v>29.760999999999999</v>
      </c>
      <c r="C331" s="337">
        <v>34.182400000000001</v>
      </c>
      <c r="D331" s="337">
        <v>34.690399999999997</v>
      </c>
      <c r="E331" s="337">
        <v>35.603400000000001</v>
      </c>
      <c r="F331" s="337">
        <v>36.435899999999997</v>
      </c>
      <c r="G331" s="338">
        <v>41.278700000000001</v>
      </c>
      <c r="H331" s="265">
        <v>9.2769048716843105E-3</v>
      </c>
      <c r="I331" s="266">
        <v>2.9547767512230201E-3</v>
      </c>
      <c r="J331" s="266">
        <v>5.2091501487479003E-3</v>
      </c>
      <c r="K331" s="266">
        <v>4.6333837654495297E-3</v>
      </c>
      <c r="L331" s="267">
        <v>6.2591106828908697E-3</v>
      </c>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row>
    <row r="332" spans="1:78" ht="15.75" thickBot="1" x14ac:dyDescent="0.3">
      <c r="A332" s="253" t="s">
        <v>196</v>
      </c>
      <c r="B332" s="339">
        <v>2.4457795079418001E-2</v>
      </c>
      <c r="C332" s="294">
        <v>2.01432401822897E-2</v>
      </c>
      <c r="D332" s="294">
        <v>1.84394466794023E-2</v>
      </c>
      <c r="E332" s="294">
        <v>1.68723959199223E-2</v>
      </c>
      <c r="F332" s="294">
        <v>1.54465057840343E-2</v>
      </c>
      <c r="G332" s="340">
        <v>1.11843074702006E-2</v>
      </c>
      <c r="H332" s="275">
        <v>-1.28553367686193E-2</v>
      </c>
      <c r="I332" s="276">
        <v>-1.7520017241700801E-2</v>
      </c>
      <c r="J332" s="276">
        <v>-1.7605834298643801E-2</v>
      </c>
      <c r="K332" s="276">
        <v>-1.75042086046443E-2</v>
      </c>
      <c r="L332" s="277">
        <v>-1.6013948063625699E-2</v>
      </c>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row>
    <row r="333" spans="1:78" x14ac:dyDescent="0.25">
      <c r="A333" s="295"/>
      <c r="B333" s="331"/>
      <c r="C333" s="236"/>
      <c r="D333" s="236"/>
      <c r="E333" s="236"/>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row>
    <row r="334" spans="1:78" ht="15.75" x14ac:dyDescent="0.25">
      <c r="A334" s="341"/>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row>
    <row r="335" spans="1:78" ht="21" x14ac:dyDescent="0.35">
      <c r="A335" s="234" t="s">
        <v>197</v>
      </c>
      <c r="B335" s="224"/>
      <c r="C335" s="224"/>
      <c r="D335" s="224"/>
      <c r="E335" s="224"/>
      <c r="F335" s="224"/>
      <c r="G335" s="296"/>
      <c r="H335" s="296"/>
      <c r="I335" s="296"/>
      <c r="J335" s="296"/>
      <c r="K335" s="296"/>
      <c r="L335" s="296"/>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row>
    <row r="336" spans="1:78" x14ac:dyDescent="0.25">
      <c r="A336"/>
      <c r="B336"/>
      <c r="C336"/>
      <c r="D336"/>
      <c r="E336"/>
      <c r="F336" s="260"/>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row>
    <row r="337" spans="1:78" ht="16.5" thickBot="1" x14ac:dyDescent="0.3">
      <c r="A337" s="237" t="s">
        <v>198</v>
      </c>
      <c r="B337" s="239"/>
      <c r="C337" s="239"/>
      <c r="D337" s="239"/>
      <c r="E337" s="239"/>
      <c r="F337" s="239"/>
      <c r="G337" s="239"/>
      <c r="H337" s="239"/>
      <c r="I337" s="239"/>
      <c r="J337" s="239"/>
      <c r="K337" s="239"/>
      <c r="L337" s="239"/>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row>
    <row r="338" spans="1:78" ht="15.75" thickBot="1" x14ac:dyDescent="0.3">
      <c r="A338" s="292" t="s">
        <v>51</v>
      </c>
      <c r="B338" s="241">
        <v>2000</v>
      </c>
      <c r="C338" s="241">
        <v>2015</v>
      </c>
      <c r="D338" s="241">
        <v>2020</v>
      </c>
      <c r="E338" s="241">
        <v>2025</v>
      </c>
      <c r="F338" s="241">
        <v>2030</v>
      </c>
      <c r="G338" s="241">
        <v>2050</v>
      </c>
      <c r="H338" s="261" t="s">
        <v>98</v>
      </c>
      <c r="I338" s="262" t="s">
        <v>99</v>
      </c>
      <c r="J338" s="262" t="s">
        <v>100</v>
      </c>
      <c r="K338" s="262" t="s">
        <v>101</v>
      </c>
      <c r="L338" s="263" t="s">
        <v>320</v>
      </c>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row>
    <row r="339" spans="1:78" x14ac:dyDescent="0.25">
      <c r="A339" s="244" t="s">
        <v>103</v>
      </c>
      <c r="B339" s="342">
        <v>3.48</v>
      </c>
      <c r="C339" s="264">
        <v>3.32</v>
      </c>
      <c r="D339" s="264">
        <v>3.2403790892055202</v>
      </c>
      <c r="E339" s="264">
        <v>3.1480557957396398</v>
      </c>
      <c r="F339" s="264">
        <v>3.0575434296915498</v>
      </c>
      <c r="G339" s="264">
        <v>2.7373456688112698</v>
      </c>
      <c r="H339" s="265">
        <v>-3.1329162010640399E-3</v>
      </c>
      <c r="I339" s="266">
        <v>-4.8431254885559199E-3</v>
      </c>
      <c r="J339" s="266">
        <v>-5.7643761037503597E-3</v>
      </c>
      <c r="K339" s="266">
        <v>-5.8176638310959402E-3</v>
      </c>
      <c r="L339" s="267">
        <v>-5.5158851293937196E-3</v>
      </c>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row>
    <row r="340" spans="1:78" x14ac:dyDescent="0.25">
      <c r="A340" s="244" t="s">
        <v>54</v>
      </c>
      <c r="B340" s="264">
        <v>0.29509000000000002</v>
      </c>
      <c r="C340" s="264">
        <v>0.28999999999999998</v>
      </c>
      <c r="D340" s="264">
        <v>0.28932774170376402</v>
      </c>
      <c r="E340" s="264">
        <v>0.28766042012747101</v>
      </c>
      <c r="F340" s="264">
        <v>0.28593442316422701</v>
      </c>
      <c r="G340" s="264">
        <v>0.27632213168832598</v>
      </c>
      <c r="H340" s="270">
        <v>-1.1592922726594301E-3</v>
      </c>
      <c r="I340" s="271">
        <v>-4.6405690900497298E-4</v>
      </c>
      <c r="J340" s="271">
        <v>-1.15521466960655E-3</v>
      </c>
      <c r="K340" s="271">
        <v>-1.20291447393783E-3</v>
      </c>
      <c r="L340" s="272">
        <v>-1.7082974939792699E-3</v>
      </c>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row>
    <row r="341" spans="1:78" x14ac:dyDescent="0.25">
      <c r="A341" s="244" t="s">
        <v>42</v>
      </c>
      <c r="B341" s="264">
        <v>0</v>
      </c>
      <c r="C341" s="264">
        <v>0</v>
      </c>
      <c r="D341" s="264">
        <v>0</v>
      </c>
      <c r="E341" s="264">
        <v>0</v>
      </c>
      <c r="F341" s="264">
        <v>0</v>
      </c>
      <c r="G341" s="264">
        <v>0</v>
      </c>
      <c r="H341" s="270"/>
      <c r="I341" s="271"/>
      <c r="J341" s="271"/>
      <c r="K341" s="271"/>
      <c r="L341" s="272"/>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row>
    <row r="342" spans="1:78" x14ac:dyDescent="0.25">
      <c r="A342" s="244" t="s">
        <v>104</v>
      </c>
      <c r="B342" s="264">
        <v>0.51178999999999997</v>
      </c>
      <c r="C342" s="264">
        <v>0.7</v>
      </c>
      <c r="D342" s="264">
        <v>0.67672325485005003</v>
      </c>
      <c r="E342" s="264">
        <v>0.655302823772964</v>
      </c>
      <c r="F342" s="264">
        <v>0.63033074879441797</v>
      </c>
      <c r="G342" s="264">
        <v>0.54480189739640505</v>
      </c>
      <c r="H342" s="270">
        <v>2.1097194477189801E-2</v>
      </c>
      <c r="I342" s="271">
        <v>-6.7407638997093499E-3</v>
      </c>
      <c r="J342" s="271">
        <v>-6.4123431274779596E-3</v>
      </c>
      <c r="K342" s="271">
        <v>-7.7404423762908996E-3</v>
      </c>
      <c r="L342" s="272">
        <v>-7.2646063585369803E-3</v>
      </c>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row>
    <row r="343" spans="1:78" x14ac:dyDescent="0.25">
      <c r="A343" s="244" t="s">
        <v>105</v>
      </c>
      <c r="B343" s="264">
        <v>0</v>
      </c>
      <c r="C343" s="264">
        <v>0</v>
      </c>
      <c r="D343" s="264">
        <v>0</v>
      </c>
      <c r="E343" s="264">
        <v>0</v>
      </c>
      <c r="F343" s="264">
        <v>0</v>
      </c>
      <c r="G343" s="264">
        <v>0</v>
      </c>
      <c r="H343" s="270"/>
      <c r="I343" s="271"/>
      <c r="J343" s="271"/>
      <c r="K343" s="271"/>
      <c r="L343" s="272"/>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row>
    <row r="344" spans="1:78" x14ac:dyDescent="0.25">
      <c r="A344" s="244" t="s">
        <v>134</v>
      </c>
      <c r="B344" s="264">
        <v>7.0879999999999999E-2</v>
      </c>
      <c r="C344" s="264">
        <v>0.15</v>
      </c>
      <c r="D344" s="264">
        <v>0.15</v>
      </c>
      <c r="E344" s="264">
        <v>0.15</v>
      </c>
      <c r="F344" s="264">
        <v>0.15</v>
      </c>
      <c r="G344" s="264">
        <v>0.15</v>
      </c>
      <c r="H344" s="270">
        <v>5.1246355898939798E-2</v>
      </c>
      <c r="I344" s="271">
        <v>0</v>
      </c>
      <c r="J344" s="271">
        <v>0</v>
      </c>
      <c r="K344" s="271">
        <v>0</v>
      </c>
      <c r="L344" s="272">
        <v>0</v>
      </c>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row>
    <row r="345" spans="1:78" x14ac:dyDescent="0.25">
      <c r="A345" s="244"/>
      <c r="B345" s="245"/>
      <c r="C345" s="245"/>
      <c r="D345" s="245"/>
      <c r="E345" s="245"/>
      <c r="F345" s="245"/>
      <c r="G345" s="245"/>
      <c r="H345" s="270"/>
      <c r="I345" s="271"/>
      <c r="J345" s="271"/>
      <c r="K345" s="271"/>
      <c r="L345" s="272"/>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row>
    <row r="346" spans="1:78" ht="15.75" thickBot="1" x14ac:dyDescent="0.3">
      <c r="A346" s="253" t="s">
        <v>10</v>
      </c>
      <c r="B346" s="273">
        <v>4.3577599999999999</v>
      </c>
      <c r="C346" s="273">
        <v>4.46</v>
      </c>
      <c r="D346" s="273">
        <v>4.3564300857593397</v>
      </c>
      <c r="E346" s="273">
        <v>4.2410190396400802</v>
      </c>
      <c r="F346" s="273">
        <v>4.1238086016501896</v>
      </c>
      <c r="G346" s="273">
        <v>3.7084696978960001</v>
      </c>
      <c r="H346" s="275">
        <v>1.54723588017358E-3</v>
      </c>
      <c r="I346" s="276">
        <v>-4.6881425382782104E-3</v>
      </c>
      <c r="J346" s="276">
        <v>-5.3554788952561204E-3</v>
      </c>
      <c r="K346" s="276">
        <v>-5.5896048360853899E-3</v>
      </c>
      <c r="L346" s="277">
        <v>-5.2938301838630899E-3</v>
      </c>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row>
    <row r="347" spans="1:78" ht="15.75" x14ac:dyDescent="0.25">
      <c r="A347" s="341"/>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row>
    <row r="348" spans="1:78" ht="15.75" x14ac:dyDescent="0.25">
      <c r="A348" s="341"/>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row>
    <row r="349" spans="1:78" ht="21" x14ac:dyDescent="0.35">
      <c r="A349" s="234" t="s">
        <v>199</v>
      </c>
      <c r="B349" s="224"/>
      <c r="C349" s="224"/>
      <c r="D349" s="224"/>
      <c r="E349" s="224"/>
      <c r="F349" s="224"/>
      <c r="G349" s="296"/>
      <c r="H349" s="296"/>
      <c r="I349" s="296"/>
      <c r="J349" s="296"/>
      <c r="K349" s="296"/>
      <c r="L349" s="296"/>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row>
    <row r="350" spans="1:78" x14ac:dyDescent="0.25">
      <c r="A350"/>
      <c r="B350"/>
      <c r="C350"/>
      <c r="D350"/>
      <c r="E350"/>
      <c r="F350" s="26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row>
    <row r="351" spans="1:78" ht="16.5" thickBot="1" x14ac:dyDescent="0.3">
      <c r="A351" s="237" t="s">
        <v>200</v>
      </c>
      <c r="B351" s="239"/>
      <c r="C351" s="239"/>
      <c r="D351" s="239"/>
      <c r="E351" s="239"/>
      <c r="F351" s="239"/>
      <c r="G351" s="239"/>
      <c r="H351" s="239"/>
      <c r="I351" s="239"/>
      <c r="J351" s="239"/>
      <c r="K351" s="239"/>
      <c r="L351" s="239"/>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row>
    <row r="352" spans="1:78" ht="15.75" thickBot="1" x14ac:dyDescent="0.3">
      <c r="A352" s="292" t="s">
        <v>51</v>
      </c>
      <c r="B352" s="241">
        <v>2000</v>
      </c>
      <c r="C352" s="241">
        <v>2015</v>
      </c>
      <c r="D352" s="241">
        <v>2020</v>
      </c>
      <c r="E352" s="241">
        <v>2025</v>
      </c>
      <c r="F352" s="241">
        <v>2030</v>
      </c>
      <c r="G352" s="241">
        <v>2050</v>
      </c>
      <c r="H352" s="261" t="s">
        <v>98</v>
      </c>
      <c r="I352" s="262" t="s">
        <v>99</v>
      </c>
      <c r="J352" s="262" t="s">
        <v>100</v>
      </c>
      <c r="K352" s="262" t="s">
        <v>101</v>
      </c>
      <c r="L352" s="263" t="s">
        <v>320</v>
      </c>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row>
    <row r="353" spans="1:78" x14ac:dyDescent="0.25">
      <c r="A353" s="244" t="s">
        <v>103</v>
      </c>
      <c r="B353" s="264">
        <v>22.8002</v>
      </c>
      <c r="C353" s="264">
        <v>15.527200000000001</v>
      </c>
      <c r="D353" s="264">
        <v>12.9569790892055</v>
      </c>
      <c r="E353" s="264">
        <v>10.973955795739601</v>
      </c>
      <c r="F353" s="264">
        <v>9.1719434296915505</v>
      </c>
      <c r="G353" s="264">
        <v>7.5903456688112696</v>
      </c>
      <c r="H353" s="265">
        <v>-2.5286534008190101E-2</v>
      </c>
      <c r="I353" s="266">
        <v>-3.5544659702188099E-2</v>
      </c>
      <c r="J353" s="266">
        <v>-3.2676163359987201E-2</v>
      </c>
      <c r="K353" s="266">
        <v>-3.52392372773008E-2</v>
      </c>
      <c r="L353" s="267">
        <v>-9.4189642445359194E-3</v>
      </c>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row>
    <row r="354" spans="1:78" x14ac:dyDescent="0.25">
      <c r="A354" s="244" t="s">
        <v>201</v>
      </c>
      <c r="B354" s="264">
        <v>42.525199999999998</v>
      </c>
      <c r="C354" s="264">
        <v>41.209099999999999</v>
      </c>
      <c r="D354" s="264">
        <v>40.565300000000001</v>
      </c>
      <c r="E354" s="264">
        <v>39.285200000000003</v>
      </c>
      <c r="F354" s="264">
        <v>38.06</v>
      </c>
      <c r="G354" s="264">
        <v>36.410400000000003</v>
      </c>
      <c r="H354" s="270"/>
      <c r="I354" s="271"/>
      <c r="J354" s="271"/>
      <c r="K354" s="271"/>
      <c r="L354" s="272"/>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row>
    <row r="355" spans="1:78" x14ac:dyDescent="0.25">
      <c r="A355" s="244" t="s">
        <v>202</v>
      </c>
      <c r="B355" s="245">
        <v>32.84769</v>
      </c>
      <c r="C355" s="245">
        <v>31.136600000000001</v>
      </c>
      <c r="D355" s="245">
        <v>29.728227741703801</v>
      </c>
      <c r="E355" s="245">
        <v>28.822360420127499</v>
      </c>
      <c r="F355" s="245">
        <v>27.8636344231642</v>
      </c>
      <c r="G355" s="245">
        <v>26.639622131688299</v>
      </c>
      <c r="H355" s="270">
        <v>-3.5601440528808502E-3</v>
      </c>
      <c r="I355" s="271">
        <v>-9.2146728131732303E-3</v>
      </c>
      <c r="J355" s="271">
        <v>-6.1699937451433796E-3</v>
      </c>
      <c r="K355" s="271">
        <v>-6.7429786909308804E-3</v>
      </c>
      <c r="L355" s="272">
        <v>-2.2436169011268402E-3</v>
      </c>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row>
    <row r="356" spans="1:78" x14ac:dyDescent="0.25">
      <c r="A356" s="244" t="s">
        <v>203</v>
      </c>
      <c r="B356" s="245">
        <v>0</v>
      </c>
      <c r="C356" s="245">
        <v>7.5200000000000003E-2</v>
      </c>
      <c r="D356" s="245">
        <v>8.6400000000000005E-2</v>
      </c>
      <c r="E356" s="245">
        <v>9.1899999999999996E-2</v>
      </c>
      <c r="F356" s="245">
        <v>9.7500000000000003E-2</v>
      </c>
      <c r="G356" s="245">
        <v>0.1215</v>
      </c>
      <c r="H356" s="270"/>
      <c r="I356" s="271"/>
      <c r="J356" s="271"/>
      <c r="K356" s="271"/>
      <c r="L356" s="272"/>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row>
    <row r="357" spans="1:78" x14ac:dyDescent="0.25">
      <c r="A357" s="244" t="s">
        <v>42</v>
      </c>
      <c r="B357" s="245">
        <v>6.7202999999999999</v>
      </c>
      <c r="C357" s="245">
        <v>4.5881999999999996</v>
      </c>
      <c r="D357" s="245">
        <v>3.5859999999999999</v>
      </c>
      <c r="E357" s="245">
        <v>3.1928999999999998</v>
      </c>
      <c r="F357" s="245">
        <v>2.7932000000000001</v>
      </c>
      <c r="G357" s="245">
        <v>2.3936000000000002</v>
      </c>
      <c r="H357" s="270">
        <v>-2.5122054971455799E-2</v>
      </c>
      <c r="I357" s="271">
        <v>-4.8095041823419102E-2</v>
      </c>
      <c r="J357" s="271">
        <v>-2.2954010697805699E-2</v>
      </c>
      <c r="K357" s="271">
        <v>-2.6393772094375299E-2</v>
      </c>
      <c r="L357" s="272">
        <v>-7.6897505772605098E-3</v>
      </c>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row>
    <row r="358" spans="1:78" x14ac:dyDescent="0.25">
      <c r="A358" s="244" t="s">
        <v>104</v>
      </c>
      <c r="B358" s="245">
        <v>32.60819</v>
      </c>
      <c r="C358" s="245">
        <v>36.597999999999999</v>
      </c>
      <c r="D358" s="245">
        <v>37.262223254849999</v>
      </c>
      <c r="E358" s="245">
        <v>38.180502823772997</v>
      </c>
      <c r="F358" s="245">
        <v>39.433830748794399</v>
      </c>
      <c r="G358" s="245">
        <v>47.122501897396397</v>
      </c>
      <c r="H358" s="270">
        <v>7.7250259173500301E-3</v>
      </c>
      <c r="I358" s="271">
        <v>3.60376559710485E-3</v>
      </c>
      <c r="J358" s="271">
        <v>4.8808639919555299E-3</v>
      </c>
      <c r="K358" s="271">
        <v>6.4807313060155601E-3</v>
      </c>
      <c r="L358" s="272">
        <v>8.9461062328843894E-3</v>
      </c>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row>
    <row r="359" spans="1:78" x14ac:dyDescent="0.25">
      <c r="A359" s="244" t="s">
        <v>105</v>
      </c>
      <c r="B359" s="245">
        <v>3.6135999999999999</v>
      </c>
      <c r="C359" s="245">
        <v>3.9512999999999998</v>
      </c>
      <c r="D359" s="245">
        <v>3.5781000000000001</v>
      </c>
      <c r="E359" s="245">
        <v>3.5065</v>
      </c>
      <c r="F359" s="245">
        <v>3.4788000000000001</v>
      </c>
      <c r="G359" s="245">
        <v>3.5687000000000002</v>
      </c>
      <c r="H359" s="270">
        <v>5.9737811762374804E-3</v>
      </c>
      <c r="I359" s="271">
        <v>-1.96469735209325E-2</v>
      </c>
      <c r="J359" s="271">
        <v>-4.0345481085878303E-3</v>
      </c>
      <c r="K359" s="271">
        <v>-1.5849391075648501E-3</v>
      </c>
      <c r="L359" s="272">
        <v>1.27651290404129E-3</v>
      </c>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row>
    <row r="360" spans="1:78" x14ac:dyDescent="0.25">
      <c r="A360" s="244" t="s">
        <v>106</v>
      </c>
      <c r="B360" s="264">
        <v>8.2636800000000008</v>
      </c>
      <c r="C360" s="264">
        <v>9.1921999999999997</v>
      </c>
      <c r="D360" s="264">
        <v>10.196300000000001</v>
      </c>
      <c r="E360" s="264">
        <v>10.681900000000001</v>
      </c>
      <c r="F360" s="264">
        <v>11.135300000000001</v>
      </c>
      <c r="G360" s="264">
        <v>11.346500000000001</v>
      </c>
      <c r="H360" s="270">
        <v>7.1242770679884604E-3</v>
      </c>
      <c r="I360" s="271">
        <v>2.0950363272350399E-2</v>
      </c>
      <c r="J360" s="271">
        <v>9.3485898068528302E-3</v>
      </c>
      <c r="K360" s="271">
        <v>8.3485608983049405E-3</v>
      </c>
      <c r="L360" s="272">
        <v>9.3989562064478204E-4</v>
      </c>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row>
    <row r="361" spans="1:78" x14ac:dyDescent="0.25">
      <c r="A361" s="244" t="s">
        <v>135</v>
      </c>
      <c r="B361" s="264">
        <v>2.0799999999999999E-2</v>
      </c>
      <c r="C361" s="264">
        <v>0.1744</v>
      </c>
      <c r="D361" s="264">
        <v>0.18060000000000001</v>
      </c>
      <c r="E361" s="264">
        <v>0.18149999999999999</v>
      </c>
      <c r="F361" s="264">
        <v>0.17069999999999999</v>
      </c>
      <c r="G361" s="264">
        <v>0.1588</v>
      </c>
      <c r="H361" s="270"/>
      <c r="I361" s="271"/>
      <c r="J361" s="271"/>
      <c r="K361" s="271"/>
      <c r="L361" s="272"/>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row>
    <row r="362" spans="1:78" x14ac:dyDescent="0.25">
      <c r="A362" s="244" t="s">
        <v>136</v>
      </c>
      <c r="B362" s="264">
        <v>0</v>
      </c>
      <c r="C362" s="264">
        <v>1.12610318924139</v>
      </c>
      <c r="D362" s="264">
        <v>1.4955001270178101</v>
      </c>
      <c r="E362" s="264">
        <v>1.7829099267323001</v>
      </c>
      <c r="F362" s="264">
        <v>1.98131096506806</v>
      </c>
      <c r="G362" s="264">
        <v>2.7034684578908701</v>
      </c>
      <c r="H362" s="270"/>
      <c r="I362" s="271"/>
      <c r="J362" s="271"/>
      <c r="K362" s="271"/>
      <c r="L362" s="27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row>
    <row r="363" spans="1:78" x14ac:dyDescent="0.25">
      <c r="A363" s="244"/>
      <c r="B363" s="245"/>
      <c r="C363" s="245"/>
      <c r="D363" s="245"/>
      <c r="E363" s="245"/>
      <c r="F363" s="245"/>
      <c r="G363" s="245"/>
      <c r="H363" s="270"/>
      <c r="I363" s="271"/>
      <c r="J363" s="271"/>
      <c r="K363" s="271"/>
      <c r="L363" s="272"/>
      <c r="M363" s="34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row>
    <row r="364" spans="1:78" ht="15.75" thickBot="1" x14ac:dyDescent="0.3">
      <c r="A364" s="253" t="s">
        <v>10</v>
      </c>
      <c r="B364" s="273">
        <v>149.39966000000001</v>
      </c>
      <c r="C364" s="273">
        <v>143.57830318924101</v>
      </c>
      <c r="D364" s="273">
        <v>139.63563021277699</v>
      </c>
      <c r="E364" s="273">
        <v>136.69962896637199</v>
      </c>
      <c r="F364" s="273">
        <v>134.18621956671799</v>
      </c>
      <c r="G364" s="273">
        <v>138.05543815578699</v>
      </c>
      <c r="H364" s="275">
        <v>-2.6461224114398001E-3</v>
      </c>
      <c r="I364" s="276">
        <v>-5.5533557309074303E-3</v>
      </c>
      <c r="J364" s="276">
        <v>-4.2410530271742601E-3</v>
      </c>
      <c r="K364" s="276">
        <v>-3.7046201070318799E-3</v>
      </c>
      <c r="L364" s="277">
        <v>1.4223504212316201E-3</v>
      </c>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row>
    <row r="365" spans="1:78" x14ac:dyDescent="0.25">
      <c r="A365" s="344"/>
      <c r="B365"/>
      <c r="C365"/>
      <c r="D365"/>
      <c r="E365"/>
      <c r="F365" s="345"/>
      <c r="G365" s="345"/>
      <c r="H365" s="34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row>
    <row r="366" spans="1:78" x14ac:dyDescent="0.25">
      <c r="A366" s="346"/>
      <c r="B366"/>
      <c r="C366"/>
      <c r="D366"/>
      <c r="E366"/>
      <c r="F366" s="345"/>
      <c r="G366" s="345"/>
      <c r="H366" s="345"/>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row>
    <row r="367" spans="1:78" ht="16.5" thickBot="1" x14ac:dyDescent="0.3">
      <c r="A367" s="237" t="s">
        <v>204</v>
      </c>
      <c r="B367" s="239"/>
      <c r="C367" s="239"/>
      <c r="D367" s="239"/>
      <c r="E367" s="239"/>
      <c r="F367" s="239"/>
      <c r="G367" s="239"/>
      <c r="H367" s="239"/>
      <c r="I367" s="239"/>
      <c r="J367" s="239"/>
      <c r="K367" s="239"/>
      <c r="L367" s="239"/>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row>
    <row r="368" spans="1:78" ht="15.75" thickBot="1" x14ac:dyDescent="0.3">
      <c r="A368" s="292" t="s">
        <v>51</v>
      </c>
      <c r="B368" s="241">
        <v>2000</v>
      </c>
      <c r="C368" s="241">
        <v>2015</v>
      </c>
      <c r="D368" s="241">
        <v>2020</v>
      </c>
      <c r="E368" s="241">
        <v>2025</v>
      </c>
      <c r="F368" s="241">
        <v>2030</v>
      </c>
      <c r="G368" s="241">
        <v>2050</v>
      </c>
      <c r="H368" s="261" t="s">
        <v>98</v>
      </c>
      <c r="I368" s="262" t="s">
        <v>99</v>
      </c>
      <c r="J368" s="262" t="s">
        <v>100</v>
      </c>
      <c r="K368" s="262" t="s">
        <v>101</v>
      </c>
      <c r="L368" s="263" t="s">
        <v>320</v>
      </c>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row>
    <row r="369" spans="1:78" x14ac:dyDescent="0.25">
      <c r="A369" s="347" t="s">
        <v>78</v>
      </c>
      <c r="B369" s="245">
        <v>38.915500000000002</v>
      </c>
      <c r="C369" s="245">
        <v>31.8477</v>
      </c>
      <c r="D369" s="245">
        <v>32.003300000000003</v>
      </c>
      <c r="E369" s="245">
        <v>32.154499999999999</v>
      </c>
      <c r="F369" s="245">
        <v>32.312199999999997</v>
      </c>
      <c r="G369" s="245">
        <v>36.428100000000001</v>
      </c>
      <c r="H369" s="265">
        <v>-1.32729578759672E-2</v>
      </c>
      <c r="I369" s="266">
        <v>9.75246558531762E-4</v>
      </c>
      <c r="J369" s="266">
        <v>9.4312192044454502E-4</v>
      </c>
      <c r="K369" s="266">
        <v>9.789705007394729E-4</v>
      </c>
      <c r="L369" s="267">
        <v>6.0127839972017299E-3</v>
      </c>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row>
    <row r="370" spans="1:78" x14ac:dyDescent="0.25">
      <c r="A370" s="347" t="s">
        <v>80</v>
      </c>
      <c r="B370" s="245">
        <v>42.777299999999997</v>
      </c>
      <c r="C370" s="245">
        <v>42.093488103993202</v>
      </c>
      <c r="D370" s="245">
        <v>38.949986005726402</v>
      </c>
      <c r="E370" s="245">
        <v>37.427669756237201</v>
      </c>
      <c r="F370" s="245">
        <v>36.268246002489001</v>
      </c>
      <c r="G370" s="245">
        <v>34.636912010195502</v>
      </c>
      <c r="H370" s="270">
        <v>-1.0737255569641701E-3</v>
      </c>
      <c r="I370" s="271">
        <v>-1.54030681153818E-2</v>
      </c>
      <c r="J370" s="271">
        <v>-7.9419247568907093E-3</v>
      </c>
      <c r="K370" s="271">
        <v>-6.27377144735408E-3</v>
      </c>
      <c r="L370" s="272">
        <v>-2.2984873308317102E-3</v>
      </c>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row>
    <row r="371" spans="1:78" x14ac:dyDescent="0.25">
      <c r="A371" s="347" t="s">
        <v>81</v>
      </c>
      <c r="B371" s="245">
        <v>20.017199999999999</v>
      </c>
      <c r="C371" s="245">
        <v>23.0002150852482</v>
      </c>
      <c r="D371" s="245">
        <v>22.5271141212915</v>
      </c>
      <c r="E371" s="245">
        <v>22.078440170495099</v>
      </c>
      <c r="F371" s="245">
        <v>21.442864962579101</v>
      </c>
      <c r="G371" s="245">
        <v>22.6677564476953</v>
      </c>
      <c r="H371" s="270">
        <v>9.3037912415132595E-3</v>
      </c>
      <c r="I371" s="271">
        <v>-4.1481548719571899E-3</v>
      </c>
      <c r="J371" s="271">
        <v>-4.0155323599075903E-3</v>
      </c>
      <c r="K371" s="271">
        <v>-5.8248931822137999E-3</v>
      </c>
      <c r="L371" s="272">
        <v>2.7814380241897299E-3</v>
      </c>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row>
    <row r="372" spans="1:78" x14ac:dyDescent="0.25">
      <c r="A372" s="347" t="s">
        <v>82</v>
      </c>
      <c r="B372" s="245">
        <v>4.3577599999999999</v>
      </c>
      <c r="C372" s="245">
        <v>4.46</v>
      </c>
      <c r="D372" s="245">
        <v>4.3564300857593397</v>
      </c>
      <c r="E372" s="245">
        <v>4.2410190396400802</v>
      </c>
      <c r="F372" s="245">
        <v>4.1238086016501896</v>
      </c>
      <c r="G372" s="245">
        <v>3.7084696978960001</v>
      </c>
      <c r="H372" s="270">
        <v>1.54723588017358E-3</v>
      </c>
      <c r="I372" s="271">
        <v>-4.6881425382782104E-3</v>
      </c>
      <c r="J372" s="271">
        <v>-5.3554788952561204E-3</v>
      </c>
      <c r="K372" s="271">
        <v>-5.5896048360853899E-3</v>
      </c>
      <c r="L372" s="272">
        <v>-5.2938301838630899E-3</v>
      </c>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row>
    <row r="373" spans="1:78" x14ac:dyDescent="0.25">
      <c r="A373" s="347" t="s">
        <v>79</v>
      </c>
      <c r="B373" s="245">
        <v>43.331899999999997</v>
      </c>
      <c r="C373" s="245">
        <v>42.177</v>
      </c>
      <c r="D373" s="245">
        <v>41.798699999999997</v>
      </c>
      <c r="E373" s="245">
        <v>40.798000000000002</v>
      </c>
      <c r="F373" s="245">
        <v>40.038899999999998</v>
      </c>
      <c r="G373" s="245">
        <v>40.614400000000003</v>
      </c>
      <c r="H373" s="270">
        <v>-1.7993149918053E-3</v>
      </c>
      <c r="I373" s="271">
        <v>-1.80033948060065E-3</v>
      </c>
      <c r="J373" s="271">
        <v>-4.83471057375173E-3</v>
      </c>
      <c r="K373" s="271">
        <v>-3.7492696827380301E-3</v>
      </c>
      <c r="L373" s="272">
        <v>7.1381474379505995E-4</v>
      </c>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row>
    <row r="374" spans="1:78" x14ac:dyDescent="0.25">
      <c r="A374" s="347"/>
      <c r="B374" s="245"/>
      <c r="C374" s="245"/>
      <c r="D374" s="245"/>
      <c r="E374" s="245"/>
      <c r="F374" s="245"/>
      <c r="G374" s="245"/>
      <c r="H374" s="270"/>
      <c r="I374" s="271"/>
      <c r="J374" s="271"/>
      <c r="K374" s="271"/>
      <c r="L374" s="272"/>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row>
    <row r="375" spans="1:78" ht="15.75" thickBot="1" x14ac:dyDescent="0.3">
      <c r="A375" s="348" t="s">
        <v>10</v>
      </c>
      <c r="B375" s="273">
        <v>149.39966000000001</v>
      </c>
      <c r="C375" s="273">
        <v>143.57840318924099</v>
      </c>
      <c r="D375" s="273">
        <v>139.63553021277701</v>
      </c>
      <c r="E375" s="273">
        <v>136.69962896637199</v>
      </c>
      <c r="F375" s="273">
        <v>134.18601956671799</v>
      </c>
      <c r="G375" s="273">
        <v>138.05563815578699</v>
      </c>
      <c r="H375" s="275">
        <v>-2.6460761020494798E-3</v>
      </c>
      <c r="I375" s="276">
        <v>-5.5536366886307399E-3</v>
      </c>
      <c r="J375" s="276">
        <v>-4.2409104046396999E-3</v>
      </c>
      <c r="K375" s="276">
        <v>-3.70491709609E-3</v>
      </c>
      <c r="L375" s="277">
        <v>1.42249758824131E-3</v>
      </c>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row>
    <row r="376" spans="1:78" ht="15.75" x14ac:dyDescent="0.25">
      <c r="A376" s="341"/>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row>
    <row r="377" spans="1:78" ht="15.75" x14ac:dyDescent="0.25">
      <c r="A377" s="341"/>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row>
    <row r="378" spans="1:78" ht="16.5" thickBot="1" x14ac:dyDescent="0.3">
      <c r="A378" s="237" t="s">
        <v>205</v>
      </c>
      <c r="B378" s="332"/>
      <c r="C378" s="239"/>
      <c r="D378" s="239"/>
      <c r="E378" s="239"/>
      <c r="F378" s="239"/>
      <c r="G378" s="239"/>
      <c r="H378" s="239"/>
      <c r="I378" s="239"/>
      <c r="J378" s="239"/>
      <c r="K378" s="239"/>
      <c r="L378" s="239"/>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row>
    <row r="379" spans="1:78" ht="15.75" thickBot="1" x14ac:dyDescent="0.3">
      <c r="A379" s="240"/>
      <c r="B379" s="241">
        <v>2000</v>
      </c>
      <c r="C379" s="241">
        <v>2015</v>
      </c>
      <c r="D379" s="241">
        <v>2020</v>
      </c>
      <c r="E379" s="241">
        <v>2025</v>
      </c>
      <c r="F379" s="241">
        <v>2030</v>
      </c>
      <c r="G379" s="241">
        <v>2050</v>
      </c>
      <c r="H379" s="261" t="s">
        <v>98</v>
      </c>
      <c r="I379" s="262" t="s">
        <v>99</v>
      </c>
      <c r="J379" s="262" t="s">
        <v>100</v>
      </c>
      <c r="K379" s="262" t="s">
        <v>101</v>
      </c>
      <c r="L379" s="263" t="s">
        <v>320</v>
      </c>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row>
    <row r="380" spans="1:78" x14ac:dyDescent="0.25">
      <c r="A380" s="244" t="s">
        <v>196</v>
      </c>
      <c r="B380" s="342">
        <v>8.4325549288508606E-2</v>
      </c>
      <c r="C380" s="342">
        <v>6.8571312471406298E-2</v>
      </c>
      <c r="D380" s="342">
        <v>6.1600091817526598E-2</v>
      </c>
      <c r="E380" s="342">
        <v>5.6533414922964799E-2</v>
      </c>
      <c r="F380" s="342">
        <v>5.1767361657663297E-2</v>
      </c>
      <c r="G380" s="342">
        <v>3.8017414224205799E-2</v>
      </c>
      <c r="H380" s="270">
        <v>-1.3692764990851E-2</v>
      </c>
      <c r="I380" s="271">
        <v>-2.12139308811569E-2</v>
      </c>
      <c r="J380" s="271">
        <v>-1.70197952593216E-2</v>
      </c>
      <c r="K380" s="271">
        <v>-1.7460175492412602E-2</v>
      </c>
      <c r="L380" s="272">
        <v>-1.53172561486896E-2</v>
      </c>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row>
    <row r="381" spans="1:78" x14ac:dyDescent="0.25">
      <c r="A381" s="244" t="s">
        <v>206</v>
      </c>
      <c r="B381" s="324">
        <v>214.050367245941</v>
      </c>
      <c r="C381" s="324">
        <v>203.27815628770301</v>
      </c>
      <c r="D381" s="324">
        <v>191.176095863889</v>
      </c>
      <c r="E381" s="324">
        <v>183.63659967520701</v>
      </c>
      <c r="F381" s="324">
        <v>176.928093077429</v>
      </c>
      <c r="G381" s="324">
        <v>150.91663440386799</v>
      </c>
      <c r="H381" s="270">
        <v>-3.4364869917412602E-3</v>
      </c>
      <c r="I381" s="271">
        <v>-1.2201016170506999E-2</v>
      </c>
      <c r="J381" s="271">
        <v>-8.0149413372444505E-3</v>
      </c>
      <c r="K381" s="271">
        <v>-7.41545021124257E-3</v>
      </c>
      <c r="L381" s="272">
        <v>-7.9192661661721103E-3</v>
      </c>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row>
    <row r="382" spans="1:78" x14ac:dyDescent="0.25">
      <c r="A382" s="244" t="s">
        <v>150</v>
      </c>
      <c r="B382" s="303">
        <v>2.5383067722314698</v>
      </c>
      <c r="C382" s="303">
        <v>2.23337128547516</v>
      </c>
      <c r="D382" s="303">
        <v>2.12594097927854</v>
      </c>
      <c r="E382" s="303">
        <v>2.0431625457003402</v>
      </c>
      <c r="F382" s="303">
        <v>1.9718449748309499</v>
      </c>
      <c r="G382" s="303">
        <v>1.9260369309595899</v>
      </c>
      <c r="H382" s="270">
        <v>-8.4960364520788607E-3</v>
      </c>
      <c r="I382" s="271">
        <v>-9.8110966468509808E-3</v>
      </c>
      <c r="J382" s="271">
        <v>-7.9116653563052804E-3</v>
      </c>
      <c r="K382" s="271">
        <v>-7.0806601645884201E-3</v>
      </c>
      <c r="L382" s="272">
        <v>-1.1745672440818299E-3</v>
      </c>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row>
    <row r="383" spans="1:78" ht="15.75" thickBot="1" x14ac:dyDescent="0.3">
      <c r="A383" s="253" t="s">
        <v>151</v>
      </c>
      <c r="B383" s="349">
        <v>6443.1895358319998</v>
      </c>
      <c r="C383" s="349">
        <v>6620.7803358962901</v>
      </c>
      <c r="D383" s="349">
        <v>6597.8651080498103</v>
      </c>
      <c r="E383" s="349">
        <v>6636.7726589206604</v>
      </c>
      <c r="F383" s="349">
        <v>6739.2805055095196</v>
      </c>
      <c r="G383" s="349">
        <v>7645.7333379844804</v>
      </c>
      <c r="H383" s="275">
        <v>1.81428058343625E-3</v>
      </c>
      <c r="I383" s="276">
        <v>-6.9318169594823097E-4</v>
      </c>
      <c r="J383" s="276">
        <v>1.1766260336725199E-3</v>
      </c>
      <c r="K383" s="276">
        <v>3.0701772327716998E-3</v>
      </c>
      <c r="L383" s="277">
        <v>6.3296777444214998E-3</v>
      </c>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row>
    <row r="384" spans="1:78" ht="15.75" x14ac:dyDescent="0.25">
      <c r="A384" s="341"/>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row>
    <row r="385" spans="1:78" ht="15.75" x14ac:dyDescent="0.25">
      <c r="A385" s="341"/>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row>
    <row r="386" spans="1:78" x14ac:dyDescent="0.25">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row>
    <row r="410" spans="2:14" customFormat="1" x14ac:dyDescent="0.25">
      <c r="B410" s="231"/>
      <c r="C410" s="231"/>
      <c r="D410" s="231"/>
      <c r="E410" s="231"/>
      <c r="F410" s="231"/>
      <c r="G410" s="231"/>
      <c r="H410" s="231"/>
      <c r="I410" s="231"/>
      <c r="J410" s="231"/>
      <c r="K410" s="231"/>
      <c r="L410" s="231"/>
      <c r="N410" s="350"/>
    </row>
    <row r="411" spans="2:14" customFormat="1" x14ac:dyDescent="0.25">
      <c r="B411" s="231"/>
      <c r="C411" s="231"/>
      <c r="D411" s="231"/>
      <c r="E411" s="231"/>
      <c r="F411" s="231"/>
      <c r="G411" s="231"/>
      <c r="H411" s="231"/>
      <c r="I411" s="231"/>
      <c r="J411" s="231"/>
      <c r="K411" s="231"/>
      <c r="L411" s="231"/>
      <c r="N411" s="269"/>
    </row>
    <row r="412" spans="2:14" customFormat="1" x14ac:dyDescent="0.25">
      <c r="B412" s="231"/>
      <c r="C412" s="231"/>
      <c r="D412" s="231"/>
      <c r="E412" s="231"/>
      <c r="F412" s="231"/>
      <c r="G412" s="231"/>
      <c r="H412" s="231"/>
      <c r="I412" s="231"/>
      <c r="J412" s="231"/>
      <c r="K412" s="231"/>
      <c r="L412" s="231"/>
      <c r="N412" s="268"/>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1"/>
  <dimension ref="A1:BZ642"/>
  <sheetViews>
    <sheetView workbookViewId="0"/>
  </sheetViews>
  <sheetFormatPr baseColWidth="10" defaultRowHeight="15" x14ac:dyDescent="0.25"/>
  <cols>
    <col min="1" max="1" width="38.140625" style="95" customWidth="1"/>
    <col min="2" max="5" width="12.28515625" style="97" customWidth="1"/>
    <col min="6" max="7" width="12.28515625" style="98" customWidth="1"/>
    <col min="8" max="12" width="13.140625" style="98" customWidth="1"/>
    <col min="13" max="78" width="11.42578125" style="95"/>
  </cols>
  <sheetData>
    <row r="1" spans="1:18" ht="28.5" x14ac:dyDescent="0.45">
      <c r="A1" s="46" t="s">
        <v>45</v>
      </c>
      <c r="B1" s="47"/>
      <c r="C1" s="47"/>
      <c r="D1" s="47"/>
      <c r="E1" s="47"/>
      <c r="F1" s="48" t="s">
        <v>46</v>
      </c>
      <c r="G1" s="49" t="s">
        <v>47</v>
      </c>
      <c r="H1" s="49"/>
      <c r="I1" s="48" t="s">
        <v>48</v>
      </c>
      <c r="J1" s="49">
        <v>4</v>
      </c>
      <c r="K1" s="48" t="s">
        <v>49</v>
      </c>
      <c r="L1" s="94">
        <v>43273</v>
      </c>
    </row>
    <row r="2" spans="1:18" ht="26.25" x14ac:dyDescent="0.4">
      <c r="B2" s="96"/>
    </row>
    <row r="3" spans="1:18" ht="21" x14ac:dyDescent="0.35">
      <c r="A3" s="99"/>
      <c r="B3" s="100"/>
      <c r="C3" s="95"/>
      <c r="D3" s="101"/>
      <c r="E3" s="100"/>
      <c r="F3" s="102"/>
    </row>
    <row r="4" spans="1:18" x14ac:dyDescent="0.25">
      <c r="B4" s="95"/>
    </row>
    <row r="5" spans="1:18" ht="21" x14ac:dyDescent="0.35">
      <c r="A5" s="52" t="s">
        <v>96</v>
      </c>
      <c r="B5" s="103"/>
      <c r="C5" s="103"/>
      <c r="D5" s="103"/>
      <c r="E5" s="103"/>
      <c r="F5" s="103"/>
      <c r="G5" s="103"/>
      <c r="H5" s="103"/>
      <c r="I5" s="103"/>
      <c r="J5" s="103"/>
      <c r="K5" s="103"/>
      <c r="L5" s="103"/>
    </row>
    <row r="6" spans="1:18" x14ac:dyDescent="0.25">
      <c r="B6" s="98"/>
      <c r="C6" s="98"/>
      <c r="D6" s="98"/>
      <c r="E6" s="98"/>
    </row>
    <row r="7" spans="1:18" ht="16.5" thickBot="1" x14ac:dyDescent="0.3">
      <c r="A7" s="59" t="s">
        <v>97</v>
      </c>
      <c r="B7" s="54"/>
      <c r="C7" s="54"/>
      <c r="D7" s="54"/>
      <c r="E7" s="54"/>
      <c r="F7" s="53"/>
      <c r="G7" s="53"/>
      <c r="H7" s="53"/>
      <c r="I7" s="53"/>
      <c r="J7" s="53"/>
      <c r="K7" s="53"/>
      <c r="L7" s="53"/>
    </row>
    <row r="8" spans="1:18" ht="15.75" thickBot="1" x14ac:dyDescent="0.3">
      <c r="A8" s="104" t="s">
        <v>51</v>
      </c>
      <c r="B8" s="105">
        <v>2000</v>
      </c>
      <c r="C8" s="105">
        <v>2015</v>
      </c>
      <c r="D8" s="105">
        <v>2020</v>
      </c>
      <c r="E8" s="105">
        <v>2025</v>
      </c>
      <c r="F8" s="105">
        <v>2030</v>
      </c>
      <c r="G8" s="105">
        <v>2050</v>
      </c>
      <c r="H8" s="371" t="s">
        <v>98</v>
      </c>
      <c r="I8" s="372" t="s">
        <v>99</v>
      </c>
      <c r="J8" s="372" t="s">
        <v>100</v>
      </c>
      <c r="K8" s="372" t="s">
        <v>101</v>
      </c>
      <c r="L8" s="373" t="s">
        <v>102</v>
      </c>
    </row>
    <row r="9" spans="1:18" x14ac:dyDescent="0.25">
      <c r="A9" s="106" t="s">
        <v>103</v>
      </c>
      <c r="B9" s="107">
        <f>'Demande Format Medpro'!B9</f>
        <v>6.4882</v>
      </c>
      <c r="C9" s="107">
        <f>'Demande Format Medpro'!C9</f>
        <v>3.3111000000000002</v>
      </c>
      <c r="D9" s="107">
        <f>'Demande Format Medpro'!D9</f>
        <v>2.6368999999999998</v>
      </c>
      <c r="E9" s="107">
        <f>'Demande Format Medpro'!E9</f>
        <v>1.9693000000000001</v>
      </c>
      <c r="F9" s="107">
        <f>'Demande Format Medpro'!F9</f>
        <v>1.3056000000000001</v>
      </c>
      <c r="G9" s="107">
        <f>'Demande Format Medpro'!G9</f>
        <v>1.3048999999999999</v>
      </c>
      <c r="H9" s="107">
        <f>'Demande Format Medpro'!H9</f>
        <v>-4.3856219092764999E-2</v>
      </c>
      <c r="I9" s="107">
        <f>'Demande Format Medpro'!I9</f>
        <v>-4.4514122029814703E-2</v>
      </c>
      <c r="J9" s="107">
        <f>'Demande Format Medpro'!J9</f>
        <v>-5.6713445416275397E-2</v>
      </c>
      <c r="K9" s="107">
        <f>'Demande Format Medpro'!K9</f>
        <v>-7.8915122401445395E-2</v>
      </c>
      <c r="L9" s="107">
        <f>'Demande Format Medpro'!L9</f>
        <v>-2.68144275689108E-5</v>
      </c>
      <c r="M9" s="108"/>
    </row>
    <row r="10" spans="1:18" x14ac:dyDescent="0.25">
      <c r="A10" s="106" t="s">
        <v>54</v>
      </c>
      <c r="B10" s="107">
        <f>'Demande Format Medpro'!B10</f>
        <v>11.950799999999999</v>
      </c>
      <c r="C10" s="107">
        <f>'Demande Format Medpro'!C10</f>
        <v>10.494899999999999</v>
      </c>
      <c r="D10" s="107">
        <f>'Demande Format Medpro'!D10</f>
        <v>11.5999</v>
      </c>
      <c r="E10" s="107">
        <f>'Demande Format Medpro'!E10</f>
        <v>12.073700000000001</v>
      </c>
      <c r="F10" s="107">
        <f>'Demande Format Medpro'!F10</f>
        <v>12.567299999999999</v>
      </c>
      <c r="G10" s="107">
        <f>'Demande Format Medpro'!G10</f>
        <v>14.305199999999999</v>
      </c>
      <c r="H10" s="107">
        <f>'Demande Format Medpro'!H10</f>
        <v>-8.6231916102810207E-3</v>
      </c>
      <c r="I10" s="107">
        <f>'Demande Format Medpro'!I10</f>
        <v>2.0223183282431102E-2</v>
      </c>
      <c r="J10" s="107">
        <f>'Demande Format Medpro'!J10</f>
        <v>8.0387498082372701E-3</v>
      </c>
      <c r="K10" s="107">
        <f>'Demande Format Medpro'!K10</f>
        <v>8.0459297318797897E-3</v>
      </c>
      <c r="L10" s="107">
        <f>'Demande Format Medpro'!L10</f>
        <v>6.4972614773459699E-3</v>
      </c>
      <c r="M10" s="108"/>
    </row>
    <row r="11" spans="1:18" x14ac:dyDescent="0.25">
      <c r="A11" s="106" t="s">
        <v>42</v>
      </c>
      <c r="B11" s="107">
        <f>'Demande Format Medpro'!B11</f>
        <v>6.5015999999999998</v>
      </c>
      <c r="C11" s="107">
        <f>'Demande Format Medpro'!C11</f>
        <v>4.4408000000000003</v>
      </c>
      <c r="D11" s="107">
        <f>'Demande Format Medpro'!D11</f>
        <v>3.5754999999999999</v>
      </c>
      <c r="E11" s="107">
        <f>'Demande Format Medpro'!E11</f>
        <v>3.1808999999999998</v>
      </c>
      <c r="F11" s="107">
        <f>'Demande Format Medpro'!F11</f>
        <v>2.7844000000000002</v>
      </c>
      <c r="G11" s="107">
        <f>'Demande Format Medpro'!G11</f>
        <v>2.3864999999999998</v>
      </c>
      <c r="H11" s="107">
        <f>'Demande Format Medpro'!H11</f>
        <v>-2.5094027085230002E-2</v>
      </c>
      <c r="I11" s="107">
        <f>'Demande Format Medpro'!I11</f>
        <v>-4.2419896843558201E-2</v>
      </c>
      <c r="J11" s="107">
        <f>'Demande Format Medpro'!J11</f>
        <v>-2.3116786763208101E-2</v>
      </c>
      <c r="K11" s="107">
        <f>'Demande Format Medpro'!K11</f>
        <v>-2.6274997072359401E-2</v>
      </c>
      <c r="L11" s="107">
        <f>'Demande Format Medpro'!L11</f>
        <v>-7.68058008268968E-3</v>
      </c>
      <c r="M11" s="108"/>
    </row>
    <row r="12" spans="1:18" x14ac:dyDescent="0.25">
      <c r="A12" s="106" t="s">
        <v>104</v>
      </c>
      <c r="B12" s="107">
        <f>'Demande Format Medpro'!B12</f>
        <v>11.392799999999999</v>
      </c>
      <c r="C12" s="107">
        <f>'Demande Format Medpro'!C12</f>
        <v>9.9553999999999991</v>
      </c>
      <c r="D12" s="107">
        <f>'Demande Format Medpro'!D12</f>
        <v>10.2475</v>
      </c>
      <c r="E12" s="107">
        <f>'Demande Format Medpro'!E12</f>
        <v>10.430999999999999</v>
      </c>
      <c r="F12" s="107">
        <f>'Demande Format Medpro'!F12</f>
        <v>10.629</v>
      </c>
      <c r="G12" s="107">
        <f>'Demande Format Medpro'!G12</f>
        <v>12.7157</v>
      </c>
      <c r="H12" s="107">
        <f>'Demande Format Medpro'!H12</f>
        <v>-8.95079824608736E-3</v>
      </c>
      <c r="I12" s="107">
        <f>'Demande Format Medpro'!I12</f>
        <v>5.8004892403744597E-3</v>
      </c>
      <c r="J12" s="107">
        <f>'Demande Format Medpro'!J12</f>
        <v>3.5559812120831099E-3</v>
      </c>
      <c r="K12" s="107">
        <f>'Demande Format Medpro'!K12</f>
        <v>3.7678752329486399E-3</v>
      </c>
      <c r="L12" s="107">
        <f>'Demande Format Medpro'!L12</f>
        <v>9.0028508560735503E-3</v>
      </c>
      <c r="M12" s="108"/>
    </row>
    <row r="13" spans="1:18" x14ac:dyDescent="0.25">
      <c r="A13" s="106" t="s">
        <v>105</v>
      </c>
      <c r="B13" s="107">
        <f>'Demande Format Medpro'!B13</f>
        <v>1.0062</v>
      </c>
      <c r="C13" s="107">
        <f>'Demande Format Medpro'!C13</f>
        <v>1.8103</v>
      </c>
      <c r="D13" s="107">
        <f>'Demande Format Medpro'!D13</f>
        <v>1.4061999999999999</v>
      </c>
      <c r="E13" s="107">
        <f>'Demande Format Medpro'!E13</f>
        <v>1.4024000000000001</v>
      </c>
      <c r="F13" s="107">
        <f>'Demande Format Medpro'!F13</f>
        <v>1.397</v>
      </c>
      <c r="G13" s="107">
        <f>'Demande Format Medpro'!G13</f>
        <v>1.4796</v>
      </c>
      <c r="H13" s="107">
        <f>'Demande Format Medpro'!H13</f>
        <v>3.99307397641082E-2</v>
      </c>
      <c r="I13" s="107">
        <f>'Demande Format Medpro'!I13</f>
        <v>-4.9265380300576603E-2</v>
      </c>
      <c r="J13" s="107">
        <f>'Demande Format Medpro'!J13</f>
        <v>-5.4104881188299402E-4</v>
      </c>
      <c r="K13" s="107">
        <f>'Demande Format Medpro'!K13</f>
        <v>-7.7129726723867997E-4</v>
      </c>
      <c r="L13" s="107">
        <f>'Demande Format Medpro'!L13</f>
        <v>2.8763638541484701E-3</v>
      </c>
      <c r="M13" s="108"/>
      <c r="O13" s="108"/>
      <c r="P13" s="108"/>
      <c r="Q13" s="108"/>
      <c r="R13" s="108"/>
    </row>
    <row r="14" spans="1:18" x14ac:dyDescent="0.25">
      <c r="A14" s="106" t="s">
        <v>106</v>
      </c>
      <c r="B14" s="107">
        <f>'Demande Format Medpro'!B14</f>
        <v>1.5759000000000001</v>
      </c>
      <c r="C14" s="107">
        <f>'Demande Format Medpro'!C14</f>
        <v>1.8351</v>
      </c>
      <c r="D14" s="107">
        <f>'Demande Format Medpro'!D14</f>
        <v>2.5373999999999999</v>
      </c>
      <c r="E14" s="107">
        <f>'Demande Format Medpro'!E14</f>
        <v>3.0972</v>
      </c>
      <c r="F14" s="107">
        <f>'Demande Format Medpro'!F14</f>
        <v>3.6291000000000002</v>
      </c>
      <c r="G14" s="107">
        <f>'Demande Format Medpro'!G14</f>
        <v>4.2359999999999998</v>
      </c>
      <c r="H14" s="107">
        <f>'Demande Format Medpro'!H14</f>
        <v>1.02031971204586E-2</v>
      </c>
      <c r="I14" s="107">
        <f>'Demande Format Medpro'!I14</f>
        <v>6.6954354117112702E-2</v>
      </c>
      <c r="J14" s="107">
        <f>'Demande Format Medpro'!J14</f>
        <v>4.0677255645489498E-2</v>
      </c>
      <c r="K14" s="107">
        <f>'Demande Format Medpro'!K14</f>
        <v>3.2204948886277902E-2</v>
      </c>
      <c r="L14" s="107">
        <f>'Demande Format Medpro'!L14</f>
        <v>7.7617042671653796E-3</v>
      </c>
      <c r="M14" s="108"/>
    </row>
    <row r="15" spans="1:18" x14ac:dyDescent="0.25">
      <c r="A15" s="106"/>
      <c r="B15" s="107"/>
      <c r="C15" s="107"/>
      <c r="D15" s="107"/>
      <c r="E15" s="107"/>
      <c r="F15" s="107"/>
      <c r="G15" s="107"/>
      <c r="H15" s="107"/>
      <c r="I15" s="107"/>
      <c r="J15" s="107"/>
      <c r="K15" s="107"/>
      <c r="L15" s="107"/>
      <c r="O15" s="108"/>
      <c r="P15" s="108"/>
      <c r="Q15" s="108"/>
    </row>
    <row r="16" spans="1:18" ht="15.75" thickBot="1" x14ac:dyDescent="0.3">
      <c r="A16" s="109" t="s">
        <v>10</v>
      </c>
      <c r="B16" s="126">
        <f>'Demande Format Medpro'!B16</f>
        <v>38.915500000000002</v>
      </c>
      <c r="C16" s="131">
        <f>'Demande Format Medpro'!C16</f>
        <v>31.8477</v>
      </c>
      <c r="D16" s="131">
        <f>'Demande Format Medpro'!D16</f>
        <v>32.003300000000003</v>
      </c>
      <c r="E16" s="131">
        <f>'Demande Format Medpro'!E16</f>
        <v>32.154499999999999</v>
      </c>
      <c r="F16" s="131">
        <f>'Demande Format Medpro'!F16</f>
        <v>32.312199999999997</v>
      </c>
      <c r="G16" s="131">
        <f>'Demande Format Medpro'!G16</f>
        <v>36.428100000000001</v>
      </c>
      <c r="H16" s="131">
        <f>'Demande Format Medpro'!H16</f>
        <v>-1.32729578759672E-2</v>
      </c>
      <c r="I16" s="131">
        <f>'Demande Format Medpro'!I16</f>
        <v>9.75246558531762E-4</v>
      </c>
      <c r="J16" s="131">
        <f>'Demande Format Medpro'!J16</f>
        <v>9.4312192044454502E-4</v>
      </c>
      <c r="K16" s="131">
        <f>'Demande Format Medpro'!K16</f>
        <v>9.789705007394729E-4</v>
      </c>
      <c r="L16" s="131">
        <f>'Demande Format Medpro'!L16</f>
        <v>6.0127839972017299E-3</v>
      </c>
    </row>
    <row r="17" spans="1:19" x14ac:dyDescent="0.25">
      <c r="A17" s="111"/>
      <c r="D17" s="112"/>
      <c r="E17" s="112"/>
      <c r="F17" s="112"/>
      <c r="G17" s="112"/>
    </row>
    <row r="18" spans="1:19" x14ac:dyDescent="0.25">
      <c r="F18" s="97"/>
    </row>
    <row r="19" spans="1:19" ht="16.5" thickBot="1" x14ac:dyDescent="0.3">
      <c r="A19" s="59" t="s">
        <v>107</v>
      </c>
      <c r="B19" s="54"/>
      <c r="C19" s="54"/>
      <c r="D19" s="54"/>
      <c r="E19" s="54"/>
      <c r="F19" s="54"/>
      <c r="G19" s="53"/>
      <c r="H19" s="53"/>
      <c r="I19" s="53"/>
      <c r="J19" s="53"/>
      <c r="K19" s="53"/>
      <c r="L19" s="53"/>
    </row>
    <row r="20" spans="1:19" ht="15.75" thickBot="1" x14ac:dyDescent="0.3">
      <c r="A20" s="104" t="s">
        <v>51</v>
      </c>
      <c r="B20" s="372">
        <v>2000</v>
      </c>
      <c r="C20" s="372">
        <v>2015</v>
      </c>
      <c r="D20" s="105">
        <v>2020</v>
      </c>
      <c r="E20" s="105">
        <v>2025</v>
      </c>
      <c r="F20" s="105">
        <v>2030</v>
      </c>
      <c r="G20" s="105">
        <v>2050</v>
      </c>
      <c r="H20" s="375" t="s">
        <v>98</v>
      </c>
      <c r="I20" s="376" t="s">
        <v>99</v>
      </c>
      <c r="J20" s="376" t="s">
        <v>100</v>
      </c>
      <c r="K20" s="376" t="s">
        <v>101</v>
      </c>
      <c r="L20" s="377" t="s">
        <v>102</v>
      </c>
    </row>
    <row r="21" spans="1:19" x14ac:dyDescent="0.25">
      <c r="A21" s="152" t="s">
        <v>108</v>
      </c>
      <c r="B21" s="116">
        <f>'Demande Format Medpro'!B21</f>
        <v>12.8356442885731</v>
      </c>
      <c r="C21" s="117">
        <f>'Demande Format Medpro'!C21</f>
        <v>12.448173508076</v>
      </c>
      <c r="D21" s="117">
        <f>'Demande Format Medpro'!D21</f>
        <v>13.005694811337801</v>
      </c>
      <c r="E21" s="117">
        <f>'Demande Format Medpro'!E21</f>
        <v>13.4270982361849</v>
      </c>
      <c r="F21" s="117">
        <f>'Demande Format Medpro'!F21</f>
        <v>13.913274339353899</v>
      </c>
      <c r="G21" s="117">
        <f>'Demande Format Medpro'!G21</f>
        <v>16.6156285805185</v>
      </c>
      <c r="H21" s="117">
        <f>'Demande Format Medpro'!H21</f>
        <v>-2.0413871877454901E-3</v>
      </c>
      <c r="I21" s="117">
        <f>'Demande Format Medpro'!I21</f>
        <v>8.8011882941165798E-3</v>
      </c>
      <c r="J21" s="117">
        <f>'Demande Format Medpro'!J21</f>
        <v>6.3978991642414896E-3</v>
      </c>
      <c r="K21" s="117">
        <f>'Demande Format Medpro'!K21</f>
        <v>7.1390526967343203E-3</v>
      </c>
      <c r="L21" s="117">
        <f>'Demande Format Medpro'!L21</f>
        <v>8.9145177562362007E-3</v>
      </c>
      <c r="R21" s="118"/>
      <c r="S21" s="119"/>
    </row>
    <row r="22" spans="1:19" x14ac:dyDescent="0.25">
      <c r="A22" s="152" t="s">
        <v>54</v>
      </c>
      <c r="B22" s="120">
        <f>'Demande Format Medpro'!B22</f>
        <v>1.62869795676853</v>
      </c>
      <c r="C22" s="121">
        <f>'Demande Format Medpro'!C22</f>
        <v>1.1015166939407</v>
      </c>
      <c r="D22" s="121">
        <f>'Demande Format Medpro'!D22</f>
        <v>1.10724474305145</v>
      </c>
      <c r="E22" s="121">
        <f>'Demande Format Medpro'!E22</f>
        <v>1.11157429870939</v>
      </c>
      <c r="F22" s="121">
        <f>'Demande Format Medpro'!F22</f>
        <v>1.11656933760591</v>
      </c>
      <c r="G22" s="121">
        <f>'Demande Format Medpro'!G22</f>
        <v>1.14433368977949</v>
      </c>
      <c r="H22" s="121">
        <f>'Demande Format Medpro'!H22</f>
        <v>-2.57358948260114E-2</v>
      </c>
      <c r="I22" s="121">
        <f>'Demande Format Medpro'!I22</f>
        <v>1.0378728715621001E-3</v>
      </c>
      <c r="J22" s="121">
        <f>'Demande Format Medpro'!J22</f>
        <v>7.8082099669196702E-4</v>
      </c>
      <c r="K22" s="121">
        <f>'Demande Format Medpro'!K22</f>
        <v>8.9712125008523103E-4</v>
      </c>
      <c r="L22" s="121">
        <f>'Demande Format Medpro'!L22</f>
        <v>1.2288366156623101E-3</v>
      </c>
    </row>
    <row r="23" spans="1:19" x14ac:dyDescent="0.25">
      <c r="A23" s="152" t="s">
        <v>42</v>
      </c>
      <c r="B23" s="120">
        <f>'Demande Format Medpro'!B23</f>
        <v>0.15113499999999999</v>
      </c>
      <c r="C23" s="121">
        <f>'Demande Format Medpro'!C23</f>
        <v>0.30480979798330099</v>
      </c>
      <c r="D23" s="121">
        <f>'Demande Format Medpro'!D23</f>
        <v>0.32686044561077698</v>
      </c>
      <c r="E23" s="121">
        <f>'Demande Format Medpro'!E23</f>
        <v>0.34352746510573001</v>
      </c>
      <c r="F23" s="121">
        <f>'Demande Format Medpro'!F23</f>
        <v>0.36275632304023198</v>
      </c>
      <c r="G23" s="121">
        <f>'Demande Format Medpro'!G23</f>
        <v>0.46963772970203199</v>
      </c>
      <c r="H23" s="121">
        <f>'Demande Format Medpro'!H23</f>
        <v>0</v>
      </c>
      <c r="I23" s="121">
        <f>'Demande Format Medpro'!I23</f>
        <v>0</v>
      </c>
      <c r="J23" s="121">
        <f>'Demande Format Medpro'!J23</f>
        <v>0</v>
      </c>
      <c r="K23" s="121">
        <f>'Demande Format Medpro'!K23</f>
        <v>0</v>
      </c>
      <c r="L23" s="121">
        <f>'Demande Format Medpro'!L23</f>
        <v>0</v>
      </c>
    </row>
    <row r="24" spans="1:19" x14ac:dyDescent="0.25">
      <c r="A24" s="152" t="s">
        <v>109</v>
      </c>
      <c r="B24" s="120"/>
      <c r="C24" s="121"/>
      <c r="D24" s="121">
        <v>0</v>
      </c>
      <c r="E24" s="121">
        <v>0.42992261392949233</v>
      </c>
      <c r="F24" s="121">
        <v>1.2897678417884793</v>
      </c>
      <c r="G24" s="122">
        <v>1.7196904557179702</v>
      </c>
      <c r="H24" s="124"/>
      <c r="I24" s="124"/>
      <c r="J24" s="124"/>
      <c r="K24" s="124"/>
      <c r="L24" s="125"/>
    </row>
    <row r="25" spans="1:19" x14ac:dyDescent="0.25">
      <c r="A25" s="152"/>
      <c r="B25" s="120"/>
      <c r="C25" s="121"/>
      <c r="D25" s="121"/>
      <c r="E25" s="121"/>
      <c r="F25" s="121"/>
      <c r="G25" s="122"/>
      <c r="H25" s="124"/>
      <c r="I25" s="124"/>
      <c r="J25" s="124"/>
      <c r="K25" s="124"/>
      <c r="L25" s="125"/>
    </row>
    <row r="26" spans="1:19" ht="15.75" thickBot="1" x14ac:dyDescent="0.3">
      <c r="A26" s="374" t="s">
        <v>10</v>
      </c>
      <c r="B26" s="378">
        <f>SUM(B21:B25)</f>
        <v>14.61547724534163</v>
      </c>
      <c r="C26" s="110">
        <f t="shared" ref="C26" si="0">SUM(C21:C25)</f>
        <v>13.854500000000002</v>
      </c>
      <c r="D26" s="110">
        <f>SUM(D21:D24)</f>
        <v>14.439800000000027</v>
      </c>
      <c r="E26" s="110">
        <f t="shared" ref="E26:L26" si="1">SUM(E21:E24)</f>
        <v>15.312122613929512</v>
      </c>
      <c r="F26" s="110">
        <f t="shared" si="1"/>
        <v>16.682367841788519</v>
      </c>
      <c r="G26" s="110">
        <f t="shared" si="1"/>
        <v>19.949290455717993</v>
      </c>
      <c r="H26" s="110">
        <f t="shared" si="1"/>
        <v>-2.7777282013756892E-2</v>
      </c>
      <c r="I26" s="110">
        <f t="shared" si="1"/>
        <v>9.8390611656786805E-3</v>
      </c>
      <c r="J26" s="110">
        <f t="shared" si="1"/>
        <v>7.1787201609334571E-3</v>
      </c>
      <c r="K26" s="110">
        <f t="shared" si="1"/>
        <v>8.0361739468195505E-3</v>
      </c>
      <c r="L26" s="110">
        <f t="shared" si="1"/>
        <v>1.0143354371898511E-2</v>
      </c>
      <c r="S26" s="119"/>
    </row>
    <row r="27" spans="1:19" x14ac:dyDescent="0.25">
      <c r="A27" s="111"/>
      <c r="F27" s="97"/>
    </row>
    <row r="28" spans="1:19" x14ac:dyDescent="0.25">
      <c r="A28" s="111"/>
      <c r="F28" s="97"/>
    </row>
    <row r="29" spans="1:19" ht="16.5" thickBot="1" x14ac:dyDescent="0.3">
      <c r="A29" s="59" t="s">
        <v>110</v>
      </c>
      <c r="B29" s="54"/>
      <c r="C29" s="54"/>
      <c r="D29" s="54"/>
      <c r="E29" s="54"/>
      <c r="F29" s="54"/>
      <c r="G29" s="53"/>
      <c r="H29" s="53"/>
      <c r="I29" s="53"/>
      <c r="J29" s="53"/>
      <c r="K29" s="53"/>
      <c r="L29" s="53"/>
      <c r="R29" s="119"/>
      <c r="S29" s="119"/>
    </row>
    <row r="30" spans="1:19" ht="15.75" thickBot="1" x14ac:dyDescent="0.3">
      <c r="A30" s="104" t="s">
        <v>51</v>
      </c>
      <c r="B30" s="105">
        <v>2000</v>
      </c>
      <c r="C30" s="105">
        <v>2015</v>
      </c>
      <c r="D30" s="105">
        <v>2020</v>
      </c>
      <c r="E30" s="105">
        <v>2025</v>
      </c>
      <c r="F30" s="105">
        <v>2030</v>
      </c>
      <c r="G30" s="105">
        <v>2050</v>
      </c>
      <c r="H30" s="375" t="s">
        <v>98</v>
      </c>
      <c r="I30" s="376" t="s">
        <v>99</v>
      </c>
      <c r="J30" s="376" t="s">
        <v>100</v>
      </c>
      <c r="K30" s="376" t="s">
        <v>101</v>
      </c>
      <c r="L30" s="377" t="s">
        <v>102</v>
      </c>
    </row>
    <row r="31" spans="1:19" x14ac:dyDescent="0.25">
      <c r="A31" s="127" t="s">
        <v>111</v>
      </c>
      <c r="B31" s="128">
        <f>'Demande Format Medpro'!B29</f>
        <v>8.0395000000000003</v>
      </c>
      <c r="C31" s="128">
        <f>'Demande Format Medpro'!C29</f>
        <v>5.1847000000000003</v>
      </c>
      <c r="D31" s="128">
        <f>'Demande Format Medpro'!D29</f>
        <v>5.0029000000000003</v>
      </c>
      <c r="E31" s="128">
        <f>'Demande Format Medpro'!E29</f>
        <v>4.8792999999999997</v>
      </c>
      <c r="F31" s="128">
        <f>'Demande Format Medpro'!F29</f>
        <v>4.7746000000000004</v>
      </c>
      <c r="G31" s="128">
        <f>'Demande Format Medpro'!G29</f>
        <v>4.2873000000000001</v>
      </c>
      <c r="H31" s="128">
        <f>'Demande Format Medpro'!H29</f>
        <v>-2.8820202773232301E-2</v>
      </c>
      <c r="I31" s="128">
        <f>'Demande Format Medpro'!I29</f>
        <v>-7.1134262577403603E-3</v>
      </c>
      <c r="J31" s="128">
        <f>'Demande Format Medpro'!J29</f>
        <v>-4.9907003339448898E-3</v>
      </c>
      <c r="K31" s="128">
        <f>'Demande Format Medpro'!K29</f>
        <v>-4.3289163455219101E-3</v>
      </c>
      <c r="L31" s="128">
        <f>'Demande Format Medpro'!L29</f>
        <v>-5.3681913174004102E-3</v>
      </c>
      <c r="N31" s="129"/>
      <c r="O31" s="129"/>
      <c r="P31" s="129"/>
      <c r="Q31" s="129"/>
      <c r="R31" s="129"/>
      <c r="S31" s="129"/>
    </row>
    <row r="32" spans="1:19" x14ac:dyDescent="0.25">
      <c r="A32" s="130" t="s">
        <v>112</v>
      </c>
      <c r="B32" s="128">
        <f>'Demande Format Medpro'!B30</f>
        <v>6.7333081685296703</v>
      </c>
      <c r="C32" s="128">
        <f>'Demande Format Medpro'!C30</f>
        <v>4.3241676698194302</v>
      </c>
      <c r="D32" s="128">
        <f>'Demande Format Medpro'!D30</f>
        <v>4.12923766122098</v>
      </c>
      <c r="E32" s="128">
        <f>'Demande Format Medpro'!E30</f>
        <v>4.0052162510748097</v>
      </c>
      <c r="F32" s="128">
        <f>'Demande Format Medpro'!F30</f>
        <v>3.8777862424763501</v>
      </c>
      <c r="G32" s="128">
        <f>'Demande Format Medpro'!G30</f>
        <v>3.36553766122098</v>
      </c>
      <c r="H32" s="128">
        <f>'Demande Format Medpro'!H30</f>
        <v>-2.9091576675537301E-2</v>
      </c>
      <c r="I32" s="128">
        <f>'Demande Format Medpro'!I30</f>
        <v>-9.1829510527656807E-3</v>
      </c>
      <c r="J32" s="128">
        <f>'Demande Format Medpro'!J30</f>
        <v>-6.0804845612360001E-3</v>
      </c>
      <c r="K32" s="128">
        <f>'Demande Format Medpro'!K30</f>
        <v>-6.4457642771538204E-3</v>
      </c>
      <c r="L32" s="128">
        <f>'Demande Format Medpro'!L30</f>
        <v>-7.0588039779074796E-3</v>
      </c>
      <c r="N32" s="129"/>
      <c r="O32" s="129"/>
      <c r="P32" s="129"/>
      <c r="Q32" s="129"/>
      <c r="R32" s="129"/>
      <c r="S32" s="129"/>
    </row>
    <row r="33" spans="1:19" x14ac:dyDescent="0.25">
      <c r="A33" s="130" t="s">
        <v>113</v>
      </c>
      <c r="B33" s="128">
        <f>'Demande Format Medpro'!B31</f>
        <v>0.77559888220120399</v>
      </c>
      <c r="C33" s="128">
        <f>'Demande Format Medpro'!C31</f>
        <v>0.54067386070507295</v>
      </c>
      <c r="D33" s="128">
        <f>'Demande Format Medpro'!D31</f>
        <v>0.52756122098022395</v>
      </c>
      <c r="E33" s="128">
        <f>'Demande Format Medpro'!E31</f>
        <v>0.50129294926913204</v>
      </c>
      <c r="F33" s="128">
        <f>'Demande Format Medpro'!F31</f>
        <v>0.50129294926913204</v>
      </c>
      <c r="G33" s="128">
        <f>'Demande Format Medpro'!G31</f>
        <v>0.41472622527945002</v>
      </c>
      <c r="H33" s="128">
        <f>'Demande Format Medpro'!H31</f>
        <v>-2.3767608980079E-2</v>
      </c>
      <c r="I33" s="128">
        <f>'Demande Format Medpro'!I31</f>
        <v>-4.8982312347996002E-3</v>
      </c>
      <c r="J33" s="128">
        <f>'Demande Format Medpro'!J31</f>
        <v>-1.01628572059761E-2</v>
      </c>
      <c r="K33" s="128">
        <f>'Demande Format Medpro'!K31</f>
        <v>0</v>
      </c>
      <c r="L33" s="128">
        <f>'Demande Format Medpro'!L31</f>
        <v>-9.4338223850389796E-3</v>
      </c>
      <c r="N33" s="129"/>
      <c r="O33" s="129"/>
      <c r="P33" s="129"/>
      <c r="Q33" s="129"/>
      <c r="R33" s="129"/>
      <c r="S33" s="129"/>
    </row>
    <row r="34" spans="1:19" x14ac:dyDescent="0.25">
      <c r="A34" s="127" t="s">
        <v>114</v>
      </c>
      <c r="B34" s="128">
        <f>'Demande Format Medpro'!B32</f>
        <v>10.4049</v>
      </c>
      <c r="C34" s="128">
        <f>'Demande Format Medpro'!C32</f>
        <v>8.6717999999999993</v>
      </c>
      <c r="D34" s="128">
        <f>'Demande Format Medpro'!D32</f>
        <v>8.8864999999999998</v>
      </c>
      <c r="E34" s="128">
        <f>'Demande Format Medpro'!E32</f>
        <v>8.9934999999999992</v>
      </c>
      <c r="F34" s="128">
        <f>'Demande Format Medpro'!F32</f>
        <v>9.0847999999999995</v>
      </c>
      <c r="G34" s="128">
        <f>'Demande Format Medpro'!G32</f>
        <v>10.4232</v>
      </c>
      <c r="H34" s="128">
        <f>'Demande Format Medpro'!H32</f>
        <v>-1.2073224475376201E-2</v>
      </c>
      <c r="I34" s="128">
        <f>'Demande Format Medpro'!I32</f>
        <v>4.9033602210513099E-3</v>
      </c>
      <c r="J34" s="128">
        <f>'Demande Format Medpro'!J32</f>
        <v>2.3966319355179801E-3</v>
      </c>
      <c r="K34" s="128">
        <f>'Demande Format Medpro'!K32</f>
        <v>2.0221604364199001E-3</v>
      </c>
      <c r="L34" s="128">
        <f>'Demande Format Medpro'!L32</f>
        <v>6.8952335894163497E-3</v>
      </c>
      <c r="N34" s="129"/>
      <c r="O34" s="129"/>
      <c r="P34" s="129"/>
      <c r="Q34" s="129"/>
      <c r="R34" s="129"/>
      <c r="S34" s="129"/>
    </row>
    <row r="35" spans="1:19" x14ac:dyDescent="0.25">
      <c r="A35" s="130" t="s">
        <v>115</v>
      </c>
      <c r="B35" s="128">
        <f>'Demande Format Medpro'!B33</f>
        <v>0.68307506448839195</v>
      </c>
      <c r="C35" s="128">
        <f>'Demande Format Medpro'!C33</f>
        <v>0.48066870163370601</v>
      </c>
      <c r="D35" s="128">
        <f>'Demande Format Medpro'!D33</f>
        <v>0.46725477214101502</v>
      </c>
      <c r="E35" s="128">
        <f>'Demande Format Medpro'!E33</f>
        <v>0.45394084264832302</v>
      </c>
      <c r="F35" s="128">
        <f>'Demande Format Medpro'!F33</f>
        <v>0.440618314703353</v>
      </c>
      <c r="G35" s="128">
        <f>'Demande Format Medpro'!G33</f>
        <v>0.42950438521066198</v>
      </c>
      <c r="H35" s="128">
        <f>'Demande Format Medpro'!H33</f>
        <v>-2.3156118034364199E-2</v>
      </c>
      <c r="I35" s="128">
        <f>'Demande Format Medpro'!I33</f>
        <v>-5.6447289637038302E-3</v>
      </c>
      <c r="J35" s="128">
        <f>'Demande Format Medpro'!J33</f>
        <v>-5.7648734804401896E-3</v>
      </c>
      <c r="K35" s="128">
        <f>'Demande Format Medpro'!K33</f>
        <v>-5.9398659999631001E-3</v>
      </c>
      <c r="L35" s="128">
        <f>'Demande Format Medpro'!L33</f>
        <v>-1.2765370194788299E-3</v>
      </c>
      <c r="N35" s="129"/>
      <c r="O35" s="129"/>
      <c r="P35" s="129"/>
      <c r="Q35" s="129"/>
      <c r="R35" s="129"/>
      <c r="S35" s="129"/>
    </row>
    <row r="36" spans="1:19" x14ac:dyDescent="0.25">
      <c r="A36" s="130" t="s">
        <v>116</v>
      </c>
      <c r="B36" s="128">
        <f>'Demande Format Medpro'!B34</f>
        <v>5.1073606190885599</v>
      </c>
      <c r="C36" s="128">
        <f>'Demande Format Medpro'!C34</f>
        <v>4.2139189165950102</v>
      </c>
      <c r="D36" s="128">
        <f>'Demande Format Medpro'!D34</f>
        <v>4.1711650042992297</v>
      </c>
      <c r="E36" s="128">
        <f>'Demande Format Medpro'!E34</f>
        <v>4.1288110920034402</v>
      </c>
      <c r="F36" s="128">
        <f>'Demande Format Medpro'!F34</f>
        <v>4.0862173688735997</v>
      </c>
      <c r="G36" s="128">
        <f>'Demande Format Medpro'!G34</f>
        <v>4.04346345657782</v>
      </c>
      <c r="H36" s="128">
        <f>'Demande Format Medpro'!H34</f>
        <v>-1.27374948782196E-2</v>
      </c>
      <c r="I36" s="128">
        <f>'Demande Format Medpro'!I34</f>
        <v>-2.0374614398909201E-3</v>
      </c>
      <c r="J36" s="128">
        <f>'Demande Format Medpro'!J34</f>
        <v>-2.03909421242632E-3</v>
      </c>
      <c r="K36" s="128">
        <f>'Demande Format Medpro'!K34</f>
        <v>-2.0718110130689702E-3</v>
      </c>
      <c r="L36" s="128">
        <f>'Demande Format Medpro'!L34</f>
        <v>-5.2576561135531097E-4</v>
      </c>
      <c r="N36" s="129"/>
      <c r="O36" s="129"/>
      <c r="P36" s="129"/>
      <c r="Q36" s="129"/>
      <c r="R36" s="129"/>
      <c r="S36" s="129"/>
    </row>
    <row r="37" spans="1:19" x14ac:dyDescent="0.25">
      <c r="A37" s="130" t="s">
        <v>117</v>
      </c>
      <c r="B37" s="128">
        <f>'Demande Format Medpro'!B35</f>
        <v>0.54880481513327595</v>
      </c>
      <c r="C37" s="128">
        <f>'Demande Format Medpro'!C35</f>
        <v>0.34386070507308703</v>
      </c>
      <c r="D37" s="128">
        <f>'Demande Format Medpro'!D35</f>
        <v>0.34038693035253598</v>
      </c>
      <c r="E37" s="128">
        <f>'Demande Format Medpro'!E35</f>
        <v>0.33691315563198598</v>
      </c>
      <c r="F37" s="128">
        <f>'Demande Format Medpro'!F35</f>
        <v>0.33343938091143599</v>
      </c>
      <c r="G37" s="128">
        <f>'Demande Format Medpro'!G35</f>
        <v>0.329965606190886</v>
      </c>
      <c r="H37" s="128">
        <f>'Demande Format Medpro'!H35</f>
        <v>-3.0686393504073099E-2</v>
      </c>
      <c r="I37" s="128">
        <f>'Demande Format Medpro'!I35</f>
        <v>-2.02866891639664E-3</v>
      </c>
      <c r="J37" s="128">
        <f>'Demande Format Medpro'!J35</f>
        <v>-2.0494574426596101E-3</v>
      </c>
      <c r="K37" s="128">
        <f>'Demande Format Medpro'!K35</f>
        <v>-2.0706764393267898E-3</v>
      </c>
      <c r="L37" s="128">
        <f>'Demande Format Medpro'!L35</f>
        <v>-5.2349578258237305E-4</v>
      </c>
      <c r="N37" s="129"/>
      <c r="O37" s="129"/>
      <c r="P37" s="129"/>
      <c r="Q37" s="129"/>
      <c r="R37" s="129"/>
      <c r="S37" s="129"/>
    </row>
    <row r="38" spans="1:19" x14ac:dyDescent="0.25">
      <c r="A38" s="127" t="s">
        <v>118</v>
      </c>
      <c r="B38" s="128">
        <f>'Demande Format Medpro'!B36</f>
        <v>4.5197000000000003</v>
      </c>
      <c r="C38" s="128">
        <f>'Demande Format Medpro'!C36</f>
        <v>3.4478</v>
      </c>
      <c r="D38" s="128">
        <f>'Demande Format Medpro'!D36</f>
        <v>3.5855000000000001</v>
      </c>
      <c r="E38" s="128">
        <f>'Demande Format Medpro'!E36</f>
        <v>3.6153</v>
      </c>
      <c r="F38" s="128">
        <f>'Demande Format Medpro'!F36</f>
        <v>3.7075999999999998</v>
      </c>
      <c r="G38" s="128">
        <f>'Demande Format Medpro'!G36</f>
        <v>4.0397999999999996</v>
      </c>
      <c r="H38" s="128">
        <f>'Demande Format Medpro'!H36</f>
        <v>-1.78854079287021E-2</v>
      </c>
      <c r="I38" s="128">
        <f>'Demande Format Medpro'!I36</f>
        <v>7.8630704078541704E-3</v>
      </c>
      <c r="J38" s="128">
        <f>'Demande Format Medpro'!J36</f>
        <v>1.6567519753676299E-3</v>
      </c>
      <c r="K38" s="128">
        <f>'Demande Format Medpro'!K36</f>
        <v>5.0547176582593804E-3</v>
      </c>
      <c r="L38" s="128">
        <f>'Demande Format Medpro'!L36</f>
        <v>4.2997384017018402E-3</v>
      </c>
      <c r="N38" s="129"/>
      <c r="O38" s="129"/>
      <c r="P38" s="129"/>
      <c r="Q38" s="129"/>
      <c r="R38" s="129"/>
      <c r="S38" s="129"/>
    </row>
    <row r="39" spans="1:19" x14ac:dyDescent="0.25">
      <c r="A39" s="130" t="s">
        <v>119</v>
      </c>
      <c r="B39" s="128">
        <f>'Demande Format Medpro'!B37</f>
        <v>1.7363669819432499</v>
      </c>
      <c r="C39" s="128">
        <f>'Demande Format Medpro'!C37</f>
        <v>1.4016233018056701</v>
      </c>
      <c r="D39" s="128">
        <f>'Demande Format Medpro'!D37</f>
        <v>1.50207893379192</v>
      </c>
      <c r="E39" s="128">
        <f>'Demande Format Medpro'!E37</f>
        <v>1.4892156491831501</v>
      </c>
      <c r="F39" s="128">
        <f>'Demande Format Medpro'!F37</f>
        <v>1.4891156491831501</v>
      </c>
      <c r="G39" s="128">
        <f>'Demande Format Medpro'!G37</f>
        <v>1.3828008598452299</v>
      </c>
      <c r="H39" s="128">
        <f>'Demande Format Medpro'!H37</f>
        <v>-1.41761533511731E-2</v>
      </c>
      <c r="I39" s="128">
        <f>'Demande Format Medpro'!I37</f>
        <v>1.3940076878419E-2</v>
      </c>
      <c r="J39" s="128">
        <f>'Demande Format Medpro'!J37</f>
        <v>-1.71862806616696E-3</v>
      </c>
      <c r="K39" s="128">
        <f>'Demande Format Medpro'!K37</f>
        <v>-1.34302491571203E-5</v>
      </c>
      <c r="L39" s="128">
        <f>'Demande Format Medpro'!L37</f>
        <v>-3.6967186908993801E-3</v>
      </c>
      <c r="N39" s="129"/>
      <c r="O39" s="129"/>
      <c r="P39" s="129"/>
      <c r="Q39" s="129"/>
      <c r="R39" s="129"/>
      <c r="S39" s="129"/>
    </row>
    <row r="40" spans="1:19" x14ac:dyDescent="0.25">
      <c r="A40" s="130" t="s">
        <v>120</v>
      </c>
      <c r="B40" s="128">
        <f>'Demande Format Medpro'!B38</f>
        <v>1.4736458297506501</v>
      </c>
      <c r="C40" s="128">
        <f>'Demande Format Medpro'!C38</f>
        <v>1.2876062768701599</v>
      </c>
      <c r="D40" s="128">
        <f>'Demande Format Medpro'!D38</f>
        <v>1.25890627687016</v>
      </c>
      <c r="E40" s="128">
        <f>'Demande Format Medpro'!E38</f>
        <v>1.2016062768701601</v>
      </c>
      <c r="F40" s="128">
        <f>'Demande Format Medpro'!F38</f>
        <v>1.2016062768701601</v>
      </c>
      <c r="G40" s="128">
        <f>'Demande Format Medpro'!G38</f>
        <v>1.04906921754084</v>
      </c>
      <c r="H40" s="128">
        <f>'Demande Format Medpro'!H38</f>
        <v>-8.9566210976280702E-3</v>
      </c>
      <c r="I40" s="128">
        <f>'Demande Format Medpro'!I38</f>
        <v>-4.4981698966123397E-3</v>
      </c>
      <c r="J40" s="128">
        <f>'Demande Format Medpro'!J38</f>
        <v>-9.2735497369074195E-3</v>
      </c>
      <c r="K40" s="128">
        <f>'Demande Format Medpro'!K38</f>
        <v>0</v>
      </c>
      <c r="L40" s="128">
        <f>'Demande Format Medpro'!L38</f>
        <v>-6.7648106613980002E-3</v>
      </c>
      <c r="N40" s="129"/>
      <c r="O40" s="129"/>
      <c r="P40" s="129"/>
      <c r="Q40" s="129"/>
      <c r="R40" s="129"/>
      <c r="S40" s="129"/>
    </row>
    <row r="41" spans="1:19" x14ac:dyDescent="0.25">
      <c r="A41" s="127" t="s">
        <v>121</v>
      </c>
      <c r="B41" s="128">
        <f>'Demande Format Medpro'!B39</f>
        <v>5.1496000000000004</v>
      </c>
      <c r="C41" s="128">
        <f>'Demande Format Medpro'!C39</f>
        <v>5.8753000000000002</v>
      </c>
      <c r="D41" s="128">
        <f>'Demande Format Medpro'!D39</f>
        <v>5.9512999999999998</v>
      </c>
      <c r="E41" s="128">
        <f>'Demande Format Medpro'!E39</f>
        <v>5.9692999999999996</v>
      </c>
      <c r="F41" s="128">
        <f>'Demande Format Medpro'!F39</f>
        <v>5.9718</v>
      </c>
      <c r="G41" s="128">
        <f>'Demande Format Medpro'!G39</f>
        <v>7.1319999999999997</v>
      </c>
      <c r="H41" s="128">
        <f>'Demande Format Medpro'!H39</f>
        <v>8.8279438626317503E-3</v>
      </c>
      <c r="I41" s="128">
        <f>'Demande Format Medpro'!I39</f>
        <v>2.5738187051156402E-3</v>
      </c>
      <c r="J41" s="128">
        <f>'Demande Format Medpro'!J39</f>
        <v>6.0417934504353198E-4</v>
      </c>
      <c r="K41" s="128">
        <f>'Demande Format Medpro'!K39</f>
        <v>8.3747886540530599E-5</v>
      </c>
      <c r="L41" s="128">
        <f>'Demande Format Medpro'!L39</f>
        <v>8.9166844110339892E-3</v>
      </c>
      <c r="N41" s="129"/>
      <c r="O41" s="129"/>
      <c r="P41" s="129"/>
      <c r="Q41" s="129"/>
      <c r="R41" s="129"/>
      <c r="S41" s="129"/>
    </row>
    <row r="42" spans="1:19" x14ac:dyDescent="0.25">
      <c r="A42" s="130" t="s">
        <v>122</v>
      </c>
      <c r="B42" s="128">
        <f>'Demande Format Medpro'!B40</f>
        <v>0.89188495270851198</v>
      </c>
      <c r="C42" s="128">
        <f>'Demande Format Medpro'!C40</f>
        <v>0.88629441100601902</v>
      </c>
      <c r="D42" s="128">
        <f>'Demande Format Medpro'!D40</f>
        <v>0.85669441100601895</v>
      </c>
      <c r="E42" s="128">
        <f>'Demande Format Medpro'!E40</f>
        <v>0.82709441100601899</v>
      </c>
      <c r="F42" s="128">
        <f>'Demande Format Medpro'!F40</f>
        <v>0.79759441100601902</v>
      </c>
      <c r="G42" s="128">
        <f>'Demande Format Medpro'!G40</f>
        <v>0.79759441100601902</v>
      </c>
      <c r="H42" s="128">
        <f>'Demande Format Medpro'!H40</f>
        <v>-4.19109464917855E-4</v>
      </c>
      <c r="I42" s="128">
        <f>'Demande Format Medpro'!I40</f>
        <v>-6.77055831766282E-3</v>
      </c>
      <c r="J42" s="128">
        <f>'Demande Format Medpro'!J40</f>
        <v>-7.0078150903363197E-3</v>
      </c>
      <c r="K42" s="128">
        <f>'Demande Format Medpro'!K40</f>
        <v>-7.2374104850786401E-3</v>
      </c>
      <c r="L42" s="128">
        <f>'Demande Format Medpro'!L40</f>
        <v>0</v>
      </c>
      <c r="N42" s="129"/>
      <c r="O42" s="129"/>
      <c r="P42" s="129"/>
      <c r="Q42" s="129"/>
      <c r="R42" s="129"/>
      <c r="S42" s="129"/>
    </row>
    <row r="43" spans="1:19" x14ac:dyDescent="0.25">
      <c r="A43" s="127" t="s">
        <v>123</v>
      </c>
      <c r="B43" s="128">
        <f>'Demande Format Medpro'!B41</f>
        <v>4.7685000000000004</v>
      </c>
      <c r="C43" s="128">
        <f>'Demande Format Medpro'!C41</f>
        <v>3.83</v>
      </c>
      <c r="D43" s="128">
        <f>'Demande Format Medpro'!D41</f>
        <v>4.0110999999999999</v>
      </c>
      <c r="E43" s="128">
        <f>'Demande Format Medpro'!E41</f>
        <v>4.1416000000000004</v>
      </c>
      <c r="F43" s="128">
        <f>'Demande Format Medpro'!F41</f>
        <v>4.2241999999999997</v>
      </c>
      <c r="G43" s="128">
        <f>'Demande Format Medpro'!G41</f>
        <v>5.7804000000000002</v>
      </c>
      <c r="H43" s="128">
        <f>'Demande Format Medpro'!H41</f>
        <v>-1.4504907843731801E-2</v>
      </c>
      <c r="I43" s="128">
        <f>'Demande Format Medpro'!I41</f>
        <v>9.2829648573524697E-3</v>
      </c>
      <c r="J43" s="128">
        <f>'Demande Format Medpro'!J41</f>
        <v>6.4238789085733199E-3</v>
      </c>
      <c r="K43" s="128">
        <f>'Demande Format Medpro'!K41</f>
        <v>3.95735114944884E-3</v>
      </c>
      <c r="L43" s="128">
        <f>'Demande Format Medpro'!L41</f>
        <v>1.58057597533778E-2</v>
      </c>
      <c r="N43" s="129"/>
      <c r="O43" s="129"/>
      <c r="P43" s="129"/>
      <c r="Q43" s="129"/>
      <c r="R43" s="129"/>
      <c r="S43" s="129"/>
    </row>
    <row r="44" spans="1:19" x14ac:dyDescent="0.25">
      <c r="A44" s="127" t="s">
        <v>124</v>
      </c>
      <c r="B44" s="128">
        <f>'Demande Format Medpro'!B42</f>
        <v>6.0332999999999997</v>
      </c>
      <c r="C44" s="128">
        <f>'Demande Format Medpro'!C42</f>
        <v>4.8380000000000001</v>
      </c>
      <c r="D44" s="128">
        <f>'Demande Format Medpro'!D42</f>
        <v>4.5659000000000001</v>
      </c>
      <c r="E44" s="128">
        <f>'Demande Format Medpro'!E42</f>
        <v>4.5555000000000003</v>
      </c>
      <c r="F44" s="128">
        <f>'Demande Format Medpro'!F42</f>
        <v>4.5491999999999999</v>
      </c>
      <c r="G44" s="128">
        <f>'Demande Format Medpro'!G42</f>
        <v>4.7652999999999999</v>
      </c>
      <c r="H44" s="128">
        <f>'Demande Format Medpro'!H42</f>
        <v>-1.46117117020375E-2</v>
      </c>
      <c r="I44" s="128">
        <f>'Demande Format Medpro'!I42</f>
        <v>-1.1510395697390499E-2</v>
      </c>
      <c r="J44" s="128">
        <f>'Demande Format Medpro'!J42</f>
        <v>-4.5596655335111702E-4</v>
      </c>
      <c r="K44" s="128">
        <f>'Demande Format Medpro'!K42</f>
        <v>-2.7674186862747301E-4</v>
      </c>
      <c r="L44" s="128">
        <f>'Demande Format Medpro'!L42</f>
        <v>2.3231493830715398E-3</v>
      </c>
      <c r="N44" s="129"/>
      <c r="O44" s="129"/>
      <c r="P44" s="129"/>
      <c r="Q44" s="129"/>
      <c r="R44" s="129"/>
      <c r="S44" s="129"/>
    </row>
    <row r="45" spans="1:19" x14ac:dyDescent="0.25">
      <c r="A45" s="130" t="s">
        <v>125</v>
      </c>
      <c r="B45" s="128">
        <f>'Demande Format Medpro'!B43</f>
        <v>3.7798932072226998</v>
      </c>
      <c r="C45" s="128">
        <f>'Demande Format Medpro'!C43</f>
        <v>3.2045226999140102</v>
      </c>
      <c r="D45" s="128">
        <f>'Demande Format Medpro'!D43</f>
        <v>2.91299294926913</v>
      </c>
      <c r="E45" s="128">
        <f>'Demande Format Medpro'!E43</f>
        <v>2.9042913155632002</v>
      </c>
      <c r="F45" s="128">
        <f>'Demande Format Medpro'!F43</f>
        <v>2.9042913155632002</v>
      </c>
      <c r="G45" s="128">
        <f>'Demande Format Medpro'!G43</f>
        <v>2.9042913155632002</v>
      </c>
      <c r="H45" s="128">
        <f>'Demande Format Medpro'!H43</f>
        <v>-1.09484645761908E-2</v>
      </c>
      <c r="I45" s="128">
        <f>'Demande Format Medpro'!I43</f>
        <v>-1.88956162581395E-2</v>
      </c>
      <c r="J45" s="128">
        <f>'Demande Format Medpro'!J43</f>
        <v>-5.9815110230121405E-4</v>
      </c>
      <c r="K45" s="128">
        <f>'Demande Format Medpro'!K43</f>
        <v>0</v>
      </c>
      <c r="L45" s="128">
        <f>'Demande Format Medpro'!L43</f>
        <v>0</v>
      </c>
      <c r="N45" s="129"/>
      <c r="O45" s="129"/>
      <c r="P45" s="129"/>
      <c r="Q45" s="129"/>
      <c r="R45" s="129"/>
      <c r="S45" s="129"/>
    </row>
    <row r="46" spans="1:19" x14ac:dyDescent="0.25">
      <c r="A46" s="106"/>
      <c r="B46" s="128"/>
      <c r="C46" s="128"/>
      <c r="D46" s="128"/>
      <c r="E46" s="128"/>
      <c r="F46" s="128"/>
      <c r="G46" s="128"/>
      <c r="H46" s="128"/>
      <c r="I46" s="128"/>
      <c r="J46" s="128"/>
      <c r="K46" s="128"/>
      <c r="L46" s="128"/>
    </row>
    <row r="47" spans="1:19" x14ac:dyDescent="0.25">
      <c r="A47" s="106"/>
      <c r="B47" s="128"/>
      <c r="C47" s="128"/>
      <c r="D47" s="128"/>
      <c r="E47" s="128"/>
      <c r="F47" s="128"/>
      <c r="G47" s="128"/>
      <c r="H47" s="128"/>
      <c r="I47" s="128"/>
      <c r="J47" s="128"/>
      <c r="K47" s="128"/>
      <c r="L47" s="128"/>
    </row>
    <row r="48" spans="1:19" ht="15.75" thickBot="1" x14ac:dyDescent="0.3">
      <c r="A48" s="109" t="s">
        <v>10</v>
      </c>
      <c r="B48" s="391">
        <f>'Demande Format Medpro'!B46</f>
        <v>38.915500000000002</v>
      </c>
      <c r="C48" s="392">
        <f>'Demande Format Medpro'!C46</f>
        <v>31.8476</v>
      </c>
      <c r="D48" s="392">
        <f>'Demande Format Medpro'!D46</f>
        <v>32.0032</v>
      </c>
      <c r="E48" s="392">
        <f>'Demande Format Medpro'!E46</f>
        <v>32.154499999999999</v>
      </c>
      <c r="F48" s="392">
        <f>'Demande Format Medpro'!F46</f>
        <v>32.312199999999997</v>
      </c>
      <c r="G48" s="392">
        <f>'Demande Format Medpro'!G46</f>
        <v>36.427999999999997</v>
      </c>
      <c r="H48" s="392">
        <f>'Demande Format Medpro'!H46</f>
        <v>-1.32731644274582E-2</v>
      </c>
      <c r="I48" s="392">
        <f>'Demande Format Medpro'!I46</f>
        <v>9.7524961479988903E-4</v>
      </c>
      <c r="J48" s="392">
        <f>'Demande Format Medpro'!J46</f>
        <v>9.43747446561227E-4</v>
      </c>
      <c r="K48" s="392">
        <f>'Demande Format Medpro'!K46</f>
        <v>9.789705007394729E-4</v>
      </c>
      <c r="L48" s="392">
        <f>'Demande Format Medpro'!L46</f>
        <v>6.0126459150486901E-3</v>
      </c>
    </row>
    <row r="49" spans="1:19" ht="15.75" thickBot="1" x14ac:dyDescent="0.3">
      <c r="A49" s="111"/>
      <c r="F49" s="97"/>
    </row>
    <row r="50" spans="1:19" ht="15.75" thickBot="1" x14ac:dyDescent="0.3">
      <c r="A50" s="132" t="s">
        <v>126</v>
      </c>
      <c r="B50" s="133">
        <f>'Demande Format Medpro'!B48</f>
        <v>21.729938521066199</v>
      </c>
      <c r="C50" s="133">
        <f>'Demande Format Medpro'!C48</f>
        <v>16.6833365434222</v>
      </c>
      <c r="D50" s="133">
        <f>'Demande Format Medpro'!D48</f>
        <v>16.166278159931199</v>
      </c>
      <c r="E50" s="133">
        <f>'Demande Format Medpro'!E48</f>
        <v>15.8483819432502</v>
      </c>
      <c r="F50" s="133">
        <f>'Demande Format Medpro'!F48</f>
        <v>15.6319619088564</v>
      </c>
      <c r="G50" s="133">
        <f>'Demande Format Medpro'!G48</f>
        <v>14.7169531384351</v>
      </c>
      <c r="H50" s="133">
        <f>'Demande Format Medpro'!H48</f>
        <v>-1.7464401870883699E-2</v>
      </c>
      <c r="I50" s="133">
        <f>'Demande Format Medpro'!I48</f>
        <v>-6.2768044141875397E-3</v>
      </c>
      <c r="J50" s="133">
        <f>'Demande Format Medpro'!J48</f>
        <v>-3.9641356137063398E-3</v>
      </c>
      <c r="K50" s="133">
        <f>'Demande Format Medpro'!K48</f>
        <v>-2.7461725419317701E-3</v>
      </c>
      <c r="L50" s="133">
        <f>'Demande Format Medpro'!L48</f>
        <v>-3.0113345370587101E-3</v>
      </c>
    </row>
    <row r="51" spans="1:19" x14ac:dyDescent="0.25">
      <c r="A51" s="134"/>
      <c r="B51" s="135"/>
      <c r="C51" s="135"/>
      <c r="D51" s="135"/>
      <c r="E51" s="135"/>
      <c r="F51" s="135"/>
      <c r="G51" s="135"/>
      <c r="H51" s="124"/>
      <c r="I51" s="124"/>
      <c r="J51" s="124"/>
      <c r="K51" s="124"/>
      <c r="L51" s="124"/>
    </row>
    <row r="52" spans="1:19" x14ac:dyDescent="0.25">
      <c r="B52" s="136"/>
      <c r="C52" s="136"/>
      <c r="E52" s="98"/>
    </row>
    <row r="53" spans="1:19" ht="16.5" thickBot="1" x14ac:dyDescent="0.3">
      <c r="A53" s="59" t="s">
        <v>127</v>
      </c>
      <c r="B53" s="54"/>
      <c r="C53" s="54"/>
      <c r="D53" s="54"/>
      <c r="E53" s="53"/>
      <c r="F53" s="53"/>
      <c r="G53" s="53"/>
      <c r="H53" s="53"/>
      <c r="I53" s="53"/>
      <c r="J53" s="53"/>
      <c r="K53" s="53"/>
      <c r="L53" s="53"/>
    </row>
    <row r="54" spans="1:19" ht="15.75" thickBot="1" x14ac:dyDescent="0.3">
      <c r="A54" s="137" t="s">
        <v>128</v>
      </c>
      <c r="B54" s="105">
        <v>2000</v>
      </c>
      <c r="C54" s="105">
        <v>2015</v>
      </c>
      <c r="D54" s="105">
        <v>2020</v>
      </c>
      <c r="E54" s="105">
        <v>2025</v>
      </c>
      <c r="F54" s="105">
        <v>2030</v>
      </c>
      <c r="G54" s="105">
        <v>2050</v>
      </c>
      <c r="H54" s="375" t="s">
        <v>98</v>
      </c>
      <c r="I54" s="376" t="s">
        <v>99</v>
      </c>
      <c r="J54" s="376" t="s">
        <v>100</v>
      </c>
      <c r="K54" s="376" t="s">
        <v>101</v>
      </c>
      <c r="L54" s="377" t="s">
        <v>102</v>
      </c>
    </row>
    <row r="55" spans="1:19" x14ac:dyDescent="0.25">
      <c r="A55" s="127" t="s">
        <v>111</v>
      </c>
      <c r="B55" s="121">
        <f>'Demande Format Medpro'!B53</f>
        <v>22.518699999999999</v>
      </c>
      <c r="C55" s="121">
        <f>'Demande Format Medpro'!C53</f>
        <v>16.763300000000001</v>
      </c>
      <c r="D55" s="121">
        <f>'Demande Format Medpro'!D53</f>
        <v>16.728100000000001</v>
      </c>
      <c r="E55" s="121">
        <f>'Demande Format Medpro'!E53</f>
        <v>16.5381</v>
      </c>
      <c r="F55" s="121">
        <f>'Demande Format Medpro'!F53</f>
        <v>16.624500000000001</v>
      </c>
      <c r="G55" s="121">
        <f>'Demande Format Medpro'!G53</f>
        <v>16.008800000000001</v>
      </c>
      <c r="H55" s="121">
        <f>'Demande Format Medpro'!H53</f>
        <v>-1.9484612690580001E-2</v>
      </c>
      <c r="I55" s="121">
        <f>'Demande Format Medpro'!I53</f>
        <v>-4.2031822902799398E-4</v>
      </c>
      <c r="J55" s="121">
        <f>'Demande Format Medpro'!J53</f>
        <v>-2.28201825772945E-3</v>
      </c>
      <c r="K55" s="121">
        <f>'Demande Format Medpro'!K53</f>
        <v>1.04268340469482E-3</v>
      </c>
      <c r="L55" s="121">
        <f>'Demande Format Medpro'!L53</f>
        <v>-1.88516782758574E-3</v>
      </c>
      <c r="N55" s="129"/>
      <c r="O55" s="129"/>
      <c r="P55" s="129"/>
      <c r="Q55" s="129"/>
      <c r="R55" s="129"/>
      <c r="S55" s="129"/>
    </row>
    <row r="56" spans="1:19" x14ac:dyDescent="0.25">
      <c r="A56" s="130" t="s">
        <v>112</v>
      </c>
      <c r="B56" s="121">
        <f>'Demande Format Medpro'!B54</f>
        <v>12.717499999999999</v>
      </c>
      <c r="C56" s="121">
        <f>'Demande Format Medpro'!C54</f>
        <v>8.8988999999999994</v>
      </c>
      <c r="D56" s="121">
        <f>'Demande Format Medpro'!D54</f>
        <v>8.8089999999999993</v>
      </c>
      <c r="E56" s="121">
        <f>'Demande Format Medpro'!E54</f>
        <v>8.7192000000000007</v>
      </c>
      <c r="F56" s="121">
        <f>'Demande Format Medpro'!F54</f>
        <v>8.6293000000000006</v>
      </c>
      <c r="G56" s="121">
        <f>'Demande Format Medpro'!G54</f>
        <v>7.9949000000000003</v>
      </c>
      <c r="H56" s="121">
        <f>'Demande Format Medpro'!H54</f>
        <v>-2.3522354702618101E-2</v>
      </c>
      <c r="I56" s="121">
        <f>'Demande Format Medpro'!I54</f>
        <v>-2.0286889165749299E-3</v>
      </c>
      <c r="J56" s="121">
        <f>'Demande Format Medpro'!J54</f>
        <v>-2.0471887517375898E-3</v>
      </c>
      <c r="K56" s="121">
        <f>'Demande Format Medpro'!K54</f>
        <v>-2.07067342890943E-3</v>
      </c>
      <c r="L56" s="121">
        <f>'Demande Format Medpro'!L54</f>
        <v>-3.8106983414415399E-3</v>
      </c>
      <c r="N56" s="129"/>
      <c r="O56" s="129"/>
      <c r="P56" s="129"/>
      <c r="Q56" s="129"/>
      <c r="R56" s="129"/>
      <c r="S56" s="129"/>
    </row>
    <row r="57" spans="1:19" x14ac:dyDescent="0.25">
      <c r="A57" s="130" t="s">
        <v>113</v>
      </c>
      <c r="B57" s="121">
        <f>'Demande Format Medpro'!B55</f>
        <v>6.4558</v>
      </c>
      <c r="C57" s="121">
        <f>'Demande Format Medpro'!C55</f>
        <v>5.2424999999999997</v>
      </c>
      <c r="D57" s="121">
        <f>'Demande Format Medpro'!D55</f>
        <v>5.09</v>
      </c>
      <c r="E57" s="121">
        <f>'Demande Format Medpro'!E55</f>
        <v>4.7845000000000004</v>
      </c>
      <c r="F57" s="121">
        <f>'Demande Format Medpro'!F55</f>
        <v>4.7845000000000004</v>
      </c>
      <c r="G57" s="121">
        <f>'Demande Format Medpro'!G55</f>
        <v>3.9138000000000002</v>
      </c>
      <c r="H57" s="121">
        <f>'Demande Format Medpro'!H55</f>
        <v>-1.37828327304185E-2</v>
      </c>
      <c r="I57" s="121">
        <f>'Demande Format Medpro'!I55</f>
        <v>-5.8867355181637703E-3</v>
      </c>
      <c r="J57" s="121">
        <f>'Demande Format Medpro'!J55</f>
        <v>-1.23029530180773E-2</v>
      </c>
      <c r="K57" s="121">
        <f>'Demande Format Medpro'!K55</f>
        <v>0</v>
      </c>
      <c r="L57" s="121">
        <f>'Demande Format Medpro'!L55</f>
        <v>-9.9933689636923003E-3</v>
      </c>
      <c r="N57" s="129"/>
      <c r="O57" s="129"/>
      <c r="P57" s="129"/>
      <c r="Q57" s="129"/>
      <c r="R57" s="129"/>
      <c r="S57" s="129"/>
    </row>
    <row r="58" spans="1:19" x14ac:dyDescent="0.25">
      <c r="A58" s="127" t="s">
        <v>114</v>
      </c>
      <c r="B58" s="121">
        <f>'Demande Format Medpro'!B56</f>
        <v>34.314</v>
      </c>
      <c r="C58" s="121">
        <f>'Demande Format Medpro'!C56</f>
        <v>30.441500000000001</v>
      </c>
      <c r="D58" s="121">
        <f>'Demande Format Medpro'!D56</f>
        <v>31.549399999999999</v>
      </c>
      <c r="E58" s="121">
        <f>'Demande Format Medpro'!E56</f>
        <v>32.128500000000003</v>
      </c>
      <c r="F58" s="121">
        <f>'Demande Format Medpro'!F56</f>
        <v>32.627400000000002</v>
      </c>
      <c r="G58" s="121">
        <f>'Demande Format Medpro'!G56</f>
        <v>39.034199999999998</v>
      </c>
      <c r="H58" s="121">
        <f>'Demande Format Medpro'!H56</f>
        <v>-7.9513279565939197E-3</v>
      </c>
      <c r="I58" s="121">
        <f>'Demande Format Medpro'!I56</f>
        <v>7.1751715343111302E-3</v>
      </c>
      <c r="J58" s="121">
        <f>'Demande Format Medpro'!J56</f>
        <v>3.6444078282133999E-3</v>
      </c>
      <c r="K58" s="121">
        <f>'Demande Format Medpro'!K56</f>
        <v>3.0865414819234399E-3</v>
      </c>
      <c r="L58" s="121">
        <f>'Demande Format Medpro'!L56</f>
        <v>9.0045874969917304E-3</v>
      </c>
      <c r="N58" s="129"/>
      <c r="O58" s="129"/>
      <c r="P58" s="129"/>
      <c r="Q58" s="129"/>
      <c r="R58" s="129"/>
      <c r="S58" s="129"/>
    </row>
    <row r="59" spans="1:19" x14ac:dyDescent="0.25">
      <c r="A59" s="130" t="s">
        <v>115</v>
      </c>
      <c r="B59" s="121">
        <f>'Demande Format Medpro'!B57</f>
        <v>1.4301999999999999</v>
      </c>
      <c r="C59" s="121">
        <f>'Demande Format Medpro'!C57</f>
        <v>0.73</v>
      </c>
      <c r="D59" s="121">
        <f>'Demande Format Medpro'!D57</f>
        <v>0.6996</v>
      </c>
      <c r="E59" s="121">
        <f>'Demande Format Medpro'!E57</f>
        <v>0.66920000000000002</v>
      </c>
      <c r="F59" s="121">
        <f>'Demande Format Medpro'!F57</f>
        <v>0.63870000000000005</v>
      </c>
      <c r="G59" s="121">
        <f>'Demande Format Medpro'!G57</f>
        <v>0.60829999999999995</v>
      </c>
      <c r="H59" s="121">
        <f>'Demande Format Medpro'!H57</f>
        <v>-4.3844768084247802E-2</v>
      </c>
      <c r="I59" s="121">
        <f>'Demande Format Medpro'!I57</f>
        <v>-8.4710747243904594E-3</v>
      </c>
      <c r="J59" s="121">
        <f>'Demande Format Medpro'!J57</f>
        <v>-8.8457984670333705E-3</v>
      </c>
      <c r="K59" s="121">
        <f>'Demande Format Medpro'!K57</f>
        <v>-9.2862358178932292E-3</v>
      </c>
      <c r="L59" s="121">
        <f>'Demande Format Medpro'!L57</f>
        <v>-2.4353636404914601E-3</v>
      </c>
      <c r="N59" s="129"/>
      <c r="O59" s="129"/>
      <c r="P59" s="129"/>
      <c r="Q59" s="129"/>
      <c r="R59" s="129"/>
      <c r="S59" s="129"/>
    </row>
    <row r="60" spans="1:19" x14ac:dyDescent="0.25">
      <c r="A60" s="130" t="s">
        <v>116</v>
      </c>
      <c r="B60" s="121">
        <f>'Demande Format Medpro'!B58</f>
        <v>9.2639999999999993</v>
      </c>
      <c r="C60" s="121">
        <f>'Demande Format Medpro'!C58</f>
        <v>8.2110000000000003</v>
      </c>
      <c r="D60" s="121">
        <f>'Demande Format Medpro'!D58</f>
        <v>8.1278000000000006</v>
      </c>
      <c r="E60" s="121">
        <f>'Demande Format Medpro'!E58</f>
        <v>8.0446000000000009</v>
      </c>
      <c r="F60" s="121">
        <f>'Demande Format Medpro'!F58</f>
        <v>7.9621000000000004</v>
      </c>
      <c r="G60" s="121">
        <f>'Demande Format Medpro'!G58</f>
        <v>7.8788999999999998</v>
      </c>
      <c r="H60" s="121">
        <f>'Demande Format Medpro'!H58</f>
        <v>-8.0118131051195602E-3</v>
      </c>
      <c r="I60" s="121">
        <f>'Demande Format Medpro'!I58</f>
        <v>-2.03481385213622E-3</v>
      </c>
      <c r="J60" s="121">
        <f>'Demande Format Medpro'!J58</f>
        <v>-2.0557291583102001E-3</v>
      </c>
      <c r="K60" s="121">
        <f>'Demande Format Medpro'!K58</f>
        <v>-2.0595311946615099E-3</v>
      </c>
      <c r="L60" s="121">
        <f>'Demande Format Medpro'!L58</f>
        <v>-5.2508629094683002E-4</v>
      </c>
      <c r="N60" s="129"/>
      <c r="O60" s="129"/>
      <c r="P60" s="129"/>
      <c r="Q60" s="129"/>
      <c r="R60" s="129"/>
      <c r="S60" s="129"/>
    </row>
    <row r="61" spans="1:19" x14ac:dyDescent="0.25">
      <c r="A61" s="130" t="s">
        <v>117</v>
      </c>
      <c r="B61" s="121">
        <f>'Demande Format Medpro'!B59</f>
        <v>6.3826000000000001</v>
      </c>
      <c r="C61" s="121">
        <f>'Demande Format Medpro'!C59</f>
        <v>3.9990999999999999</v>
      </c>
      <c r="D61" s="121">
        <f>'Demande Format Medpro'!D59</f>
        <v>3.9586999999999999</v>
      </c>
      <c r="E61" s="121">
        <f>'Demande Format Medpro'!E59</f>
        <v>3.9182999999999999</v>
      </c>
      <c r="F61" s="121">
        <f>'Demande Format Medpro'!F59</f>
        <v>3.8778999999999999</v>
      </c>
      <c r="G61" s="121">
        <f>'Demande Format Medpro'!G59</f>
        <v>3.8374999999999999</v>
      </c>
      <c r="H61" s="121">
        <f>'Demande Format Medpro'!H59</f>
        <v>-3.0686393504073099E-2</v>
      </c>
      <c r="I61" s="121">
        <f>'Demande Format Medpro'!I59</f>
        <v>-2.02866891639664E-3</v>
      </c>
      <c r="J61" s="121">
        <f>'Demande Format Medpro'!J59</f>
        <v>-2.0494574426596101E-3</v>
      </c>
      <c r="K61" s="121">
        <f>'Demande Format Medpro'!K59</f>
        <v>-2.0706764393267898E-3</v>
      </c>
      <c r="L61" s="121">
        <f>'Demande Format Medpro'!L59</f>
        <v>-5.2349578258237305E-4</v>
      </c>
      <c r="N61" s="129"/>
      <c r="O61" s="129"/>
      <c r="P61" s="129"/>
      <c r="Q61" s="129"/>
      <c r="R61" s="129"/>
      <c r="S61" s="129"/>
    </row>
    <row r="62" spans="1:19" x14ac:dyDescent="0.25">
      <c r="A62" s="127" t="s">
        <v>118</v>
      </c>
      <c r="B62" s="121">
        <f>'Demande Format Medpro'!B60</f>
        <v>10.089700000000001</v>
      </c>
      <c r="C62" s="121">
        <f>'Demande Format Medpro'!C60</f>
        <v>9.3522999999999996</v>
      </c>
      <c r="D62" s="121">
        <f>'Demande Format Medpro'!D60</f>
        <v>9.7937999999999992</v>
      </c>
      <c r="E62" s="121">
        <f>'Demande Format Medpro'!E60</f>
        <v>10.0779</v>
      </c>
      <c r="F62" s="121">
        <f>'Demande Format Medpro'!F60</f>
        <v>10.4786</v>
      </c>
      <c r="G62" s="121">
        <f>'Demande Format Medpro'!G60</f>
        <v>12.556800000000001</v>
      </c>
      <c r="H62" s="121">
        <f>'Demande Format Medpro'!H60</f>
        <v>-5.0467421319278002E-3</v>
      </c>
      <c r="I62" s="121">
        <f>'Demande Format Medpro'!I60</f>
        <v>9.2681316007854307E-3</v>
      </c>
      <c r="J62" s="121">
        <f>'Demande Format Medpro'!J60</f>
        <v>5.7354601706101098E-3</v>
      </c>
      <c r="K62" s="121">
        <f>'Demande Format Medpro'!K60</f>
        <v>7.8285187763251808E-3</v>
      </c>
      <c r="L62" s="121">
        <f>'Demande Format Medpro'!L60</f>
        <v>9.0874054792398108E-3</v>
      </c>
      <c r="N62" s="129"/>
      <c r="O62" s="129"/>
      <c r="P62" s="129"/>
      <c r="Q62" s="129"/>
      <c r="R62" s="129"/>
      <c r="S62" s="129"/>
    </row>
    <row r="63" spans="1:19" x14ac:dyDescent="0.25">
      <c r="A63" s="130" t="s">
        <v>119</v>
      </c>
      <c r="B63" s="121">
        <f>'Demande Format Medpro'!B61</f>
        <v>2.8698999999999999</v>
      </c>
      <c r="C63" s="121">
        <f>'Demande Format Medpro'!C61</f>
        <v>2.5390999999999999</v>
      </c>
      <c r="D63" s="121">
        <f>'Demande Format Medpro'!D61</f>
        <v>2.6920999999999999</v>
      </c>
      <c r="E63" s="121">
        <f>'Demande Format Medpro'!E61</f>
        <v>2.5425</v>
      </c>
      <c r="F63" s="121">
        <f>'Demande Format Medpro'!F61</f>
        <v>2.5425</v>
      </c>
      <c r="G63" s="121">
        <f>'Demande Format Medpro'!G61</f>
        <v>2.3609</v>
      </c>
      <c r="H63" s="121">
        <f>'Demande Format Medpro'!H61</f>
        <v>-8.1312608873422808E-3</v>
      </c>
      <c r="I63" s="121">
        <f>'Demande Format Medpro'!I61</f>
        <v>1.1771114794102601E-2</v>
      </c>
      <c r="J63" s="121">
        <f>'Demande Format Medpro'!J61</f>
        <v>-1.13696136679873E-2</v>
      </c>
      <c r="K63" s="121">
        <f>'Demande Format Medpro'!K61</f>
        <v>0</v>
      </c>
      <c r="L63" s="121">
        <f>'Demande Format Medpro'!L61</f>
        <v>-3.6983913748145402E-3</v>
      </c>
      <c r="N63" s="129"/>
      <c r="O63" s="129"/>
      <c r="P63" s="129"/>
      <c r="Q63" s="129"/>
      <c r="R63" s="129"/>
      <c r="S63" s="129"/>
    </row>
    <row r="64" spans="1:19" x14ac:dyDescent="0.25">
      <c r="A64" s="130" t="s">
        <v>120</v>
      </c>
      <c r="B64" s="121">
        <f>'Demande Format Medpro'!B62</f>
        <v>3.5</v>
      </c>
      <c r="C64" s="121">
        <f>'Demande Format Medpro'!C62</f>
        <v>3.5228000000000002</v>
      </c>
      <c r="D64" s="121">
        <f>'Demande Format Medpro'!D62</f>
        <v>3.5228000000000002</v>
      </c>
      <c r="E64" s="121">
        <f>'Demande Format Medpro'!E62</f>
        <v>3.5228000000000002</v>
      </c>
      <c r="F64" s="121">
        <f>'Demande Format Medpro'!F62</f>
        <v>3.5228000000000002</v>
      </c>
      <c r="G64" s="121">
        <f>'Demande Format Medpro'!G62</f>
        <v>3.2164999999999999</v>
      </c>
      <c r="H64" s="121">
        <f>'Demande Format Medpro'!H62</f>
        <v>4.3297100181738401E-4</v>
      </c>
      <c r="I64" s="121">
        <f>'Demande Format Medpro'!I62</f>
        <v>0</v>
      </c>
      <c r="J64" s="121">
        <f>'Demande Format Medpro'!J62</f>
        <v>0</v>
      </c>
      <c r="K64" s="121">
        <f>'Demande Format Medpro'!K62</f>
        <v>0</v>
      </c>
      <c r="L64" s="121">
        <f>'Demande Format Medpro'!L62</f>
        <v>-4.5377887874169503E-3</v>
      </c>
      <c r="N64" s="129"/>
      <c r="O64" s="129"/>
      <c r="P64" s="129"/>
      <c r="Q64" s="129"/>
      <c r="R64" s="129"/>
      <c r="S64" s="129"/>
    </row>
    <row r="65" spans="1:19" x14ac:dyDescent="0.25">
      <c r="A65" s="127" t="s">
        <v>121</v>
      </c>
      <c r="B65" s="121">
        <f>'Demande Format Medpro'!B63</f>
        <v>17.1267</v>
      </c>
      <c r="C65" s="121">
        <f>'Demande Format Medpro'!C63</f>
        <v>20.747</v>
      </c>
      <c r="D65" s="121">
        <f>'Demande Format Medpro'!D63</f>
        <v>21.0184</v>
      </c>
      <c r="E65" s="121">
        <f>'Demande Format Medpro'!E63</f>
        <v>21.054600000000001</v>
      </c>
      <c r="F65" s="121">
        <f>'Demande Format Medpro'!F63</f>
        <v>21.018699999999999</v>
      </c>
      <c r="G65" s="121">
        <f>'Demande Format Medpro'!G63</f>
        <v>25.280999999999999</v>
      </c>
      <c r="H65" s="121">
        <f>'Demande Format Medpro'!H63</f>
        <v>1.2866267815070401E-2</v>
      </c>
      <c r="I65" s="121">
        <f>'Demande Format Medpro'!I63</f>
        <v>2.6026984857863101E-3</v>
      </c>
      <c r="J65" s="121">
        <f>'Demande Format Medpro'!J63</f>
        <v>3.4422303153114299E-4</v>
      </c>
      <c r="K65" s="121">
        <f>'Demande Format Medpro'!K63</f>
        <v>-3.41250939748794E-4</v>
      </c>
      <c r="L65" s="121">
        <f>'Demande Format Medpro'!L63</f>
        <v>9.2747770265297902E-3</v>
      </c>
      <c r="N65" s="129"/>
      <c r="O65" s="129"/>
      <c r="P65" s="129"/>
      <c r="Q65" s="129"/>
      <c r="R65" s="129"/>
      <c r="S65" s="129"/>
    </row>
    <row r="66" spans="1:19" x14ac:dyDescent="0.25">
      <c r="A66" s="130" t="s">
        <v>122</v>
      </c>
      <c r="B66" s="121">
        <f>'Demande Format Medpro'!B64</f>
        <v>1.0755999999999999</v>
      </c>
      <c r="C66" s="121">
        <f>'Demande Format Medpro'!C64</f>
        <v>1.1106</v>
      </c>
      <c r="D66" s="121">
        <f>'Demande Format Medpro'!D64</f>
        <v>1.1106</v>
      </c>
      <c r="E66" s="121">
        <f>'Demande Format Medpro'!E64</f>
        <v>1.1106</v>
      </c>
      <c r="F66" s="121">
        <f>'Demande Format Medpro'!F64</f>
        <v>1.1106</v>
      </c>
      <c r="G66" s="121">
        <f>'Demande Format Medpro'!G64</f>
        <v>1.1106</v>
      </c>
      <c r="H66" s="121">
        <f>'Demande Format Medpro'!H64</f>
        <v>2.1370645685203598E-3</v>
      </c>
      <c r="I66" s="121">
        <f>'Demande Format Medpro'!I64</f>
        <v>0</v>
      </c>
      <c r="J66" s="121">
        <f>'Demande Format Medpro'!J64</f>
        <v>0</v>
      </c>
      <c r="K66" s="121">
        <f>'Demande Format Medpro'!K64</f>
        <v>0</v>
      </c>
      <c r="L66" s="121">
        <f>'Demande Format Medpro'!L64</f>
        <v>0</v>
      </c>
      <c r="N66" s="129"/>
      <c r="O66" s="129"/>
      <c r="P66" s="129"/>
      <c r="Q66" s="129"/>
      <c r="R66" s="129"/>
      <c r="S66" s="129"/>
    </row>
    <row r="67" spans="1:19" x14ac:dyDescent="0.25">
      <c r="A67" s="127" t="s">
        <v>123</v>
      </c>
      <c r="B67" s="121">
        <f>'Demande Format Medpro'!B65</f>
        <v>26.596499999999999</v>
      </c>
      <c r="C67" s="121">
        <f>'Demande Format Medpro'!C65</f>
        <v>22.5806</v>
      </c>
      <c r="D67" s="121">
        <f>'Demande Format Medpro'!D65</f>
        <v>24.336300000000001</v>
      </c>
      <c r="E67" s="121">
        <f>'Demande Format Medpro'!E65</f>
        <v>25.917400000000001</v>
      </c>
      <c r="F67" s="121">
        <f>'Demande Format Medpro'!F65</f>
        <v>27.3353</v>
      </c>
      <c r="G67" s="121">
        <f>'Demande Format Medpro'!G65</f>
        <v>38.633800000000001</v>
      </c>
      <c r="H67" s="121">
        <f>'Demande Format Medpro'!H65</f>
        <v>-1.0853240450502099E-2</v>
      </c>
      <c r="I67" s="121">
        <f>'Demande Format Medpro'!I65</f>
        <v>1.5088282414999999E-2</v>
      </c>
      <c r="J67" s="121">
        <f>'Demande Format Medpro'!J65</f>
        <v>1.26686752780785E-2</v>
      </c>
      <c r="K67" s="121">
        <f>'Demande Format Medpro'!K65</f>
        <v>1.07098137271502E-2</v>
      </c>
      <c r="L67" s="121">
        <f>'Demande Format Medpro'!L65</f>
        <v>1.74478985708553E-2</v>
      </c>
      <c r="N67" s="129"/>
      <c r="O67" s="129"/>
      <c r="P67" s="129"/>
      <c r="Q67" s="129"/>
      <c r="R67" s="129"/>
      <c r="S67" s="129"/>
    </row>
    <row r="68" spans="1:19" x14ac:dyDescent="0.25">
      <c r="A68" s="127" t="s">
        <v>124</v>
      </c>
      <c r="B68" s="121">
        <f>'Demande Format Medpro'!B66</f>
        <v>21.828800000000001</v>
      </c>
      <c r="C68" s="121">
        <f>'Demande Format Medpro'!C66</f>
        <v>15.8759</v>
      </c>
      <c r="D68" s="121">
        <f>'Demande Format Medpro'!D66</f>
        <v>15.731400000000001</v>
      </c>
      <c r="E68" s="121">
        <f>'Demande Format Medpro'!E66</f>
        <v>15.5741</v>
      </c>
      <c r="F68" s="121">
        <f>'Demande Format Medpro'!F66</f>
        <v>15.508100000000001</v>
      </c>
      <c r="G68" s="121">
        <f>'Demande Format Medpro'!G66</f>
        <v>16.3429</v>
      </c>
      <c r="H68" s="121">
        <f>'Demande Format Medpro'!H66</f>
        <v>-2.1004791603714601E-2</v>
      </c>
      <c r="I68" s="121">
        <f>'Demande Format Medpro'!I66</f>
        <v>-1.82703315287458E-3</v>
      </c>
      <c r="J68" s="121">
        <f>'Demande Format Medpro'!J66</f>
        <v>-2.0078689138259801E-3</v>
      </c>
      <c r="K68" s="121">
        <f>'Demande Format Medpro'!K66</f>
        <v>-8.4900139810295495E-4</v>
      </c>
      <c r="L68" s="121">
        <f>'Demande Format Medpro'!L66</f>
        <v>2.6249934875941499E-3</v>
      </c>
      <c r="N68" s="129"/>
      <c r="O68" s="129"/>
      <c r="P68" s="129"/>
      <c r="Q68" s="129"/>
      <c r="R68" s="129"/>
      <c r="S68" s="129"/>
    </row>
    <row r="69" spans="1:19" x14ac:dyDescent="0.25">
      <c r="A69" s="130" t="s">
        <v>125</v>
      </c>
      <c r="B69" s="121">
        <f>'Demande Format Medpro'!B67</f>
        <v>12.1335</v>
      </c>
      <c r="C69" s="121">
        <f>'Demande Format Medpro'!C67</f>
        <v>9.0390999999999995</v>
      </c>
      <c r="D69" s="121">
        <f>'Demande Format Medpro'!D67</f>
        <v>8.8550000000000004</v>
      </c>
      <c r="E69" s="121">
        <f>'Demande Format Medpro'!E67</f>
        <v>8.7538</v>
      </c>
      <c r="F69" s="121">
        <f>'Demande Format Medpro'!F67</f>
        <v>8.7538</v>
      </c>
      <c r="G69" s="121">
        <f>'Demande Format Medpro'!G67</f>
        <v>8.7538</v>
      </c>
      <c r="H69" s="121">
        <f>'Demande Format Medpro'!H67</f>
        <v>-1.9436011137856202E-2</v>
      </c>
      <c r="I69" s="121">
        <f>'Demande Format Medpro'!I67</f>
        <v>-4.1070112045900097E-3</v>
      </c>
      <c r="J69" s="121">
        <f>'Demande Format Medpro'!J67</f>
        <v>-2.2962354936776298E-3</v>
      </c>
      <c r="K69" s="121">
        <f>'Demande Format Medpro'!K67</f>
        <v>0</v>
      </c>
      <c r="L69" s="121">
        <f>'Demande Format Medpro'!L67</f>
        <v>0</v>
      </c>
      <c r="N69" s="129"/>
      <c r="O69" s="129"/>
      <c r="P69" s="129"/>
      <c r="Q69" s="129"/>
      <c r="R69" s="129"/>
      <c r="S69" s="129"/>
    </row>
    <row r="70" spans="1:19" x14ac:dyDescent="0.25">
      <c r="A70" s="106"/>
      <c r="B70" s="121"/>
      <c r="C70" s="121"/>
      <c r="D70" s="121"/>
      <c r="E70" s="121"/>
      <c r="F70" s="121"/>
      <c r="G70" s="121"/>
      <c r="H70" s="121"/>
      <c r="I70" s="121"/>
      <c r="J70" s="121"/>
      <c r="K70" s="121"/>
      <c r="L70" s="121"/>
    </row>
    <row r="71" spans="1:19" x14ac:dyDescent="0.25">
      <c r="A71" s="106"/>
      <c r="B71" s="121"/>
      <c r="C71" s="121"/>
      <c r="D71" s="121"/>
      <c r="E71" s="121"/>
      <c r="F71" s="121"/>
      <c r="G71" s="121"/>
      <c r="H71" s="121"/>
      <c r="I71" s="121"/>
      <c r="J71" s="121"/>
      <c r="K71" s="121"/>
      <c r="L71" s="121"/>
    </row>
    <row r="72" spans="1:19" ht="15.75" thickBot="1" x14ac:dyDescent="0.3">
      <c r="A72" s="109" t="s">
        <v>10</v>
      </c>
      <c r="B72" s="378">
        <f>'Demande Format Medpro'!B70</f>
        <v>132.4744</v>
      </c>
      <c r="C72" s="110">
        <f>'Demande Format Medpro'!C70</f>
        <v>115.7606</v>
      </c>
      <c r="D72" s="110">
        <f>'Demande Format Medpro'!D70</f>
        <v>119.1574</v>
      </c>
      <c r="E72" s="110">
        <f>'Demande Format Medpro'!E70</f>
        <v>121.2906</v>
      </c>
      <c r="F72" s="110">
        <f>'Demande Format Medpro'!F70</f>
        <v>123.5926</v>
      </c>
      <c r="G72" s="110">
        <f>'Demande Format Medpro'!G70</f>
        <v>147.85749999999999</v>
      </c>
      <c r="H72" s="110">
        <f>'Demande Format Medpro'!H70</f>
        <v>-8.9507119828033908E-3</v>
      </c>
      <c r="I72" s="110">
        <f>'Demande Format Medpro'!I70</f>
        <v>5.80096938620067E-3</v>
      </c>
      <c r="J72" s="110">
        <f>'Demande Format Medpro'!J70</f>
        <v>3.5551066391559202E-3</v>
      </c>
      <c r="K72" s="110">
        <f>'Demande Format Medpro'!K70</f>
        <v>3.7673493978989101E-3</v>
      </c>
      <c r="L72" s="110">
        <f>'Demande Format Medpro'!L70</f>
        <v>9.0032021669577099E-3</v>
      </c>
    </row>
    <row r="73" spans="1:19" ht="15.75" thickBot="1" x14ac:dyDescent="0.3">
      <c r="A73" s="111"/>
      <c r="E73" s="98"/>
    </row>
    <row r="74" spans="1:19" ht="15.75" thickBot="1" x14ac:dyDescent="0.3">
      <c r="A74" s="132" t="s">
        <v>126</v>
      </c>
      <c r="B74" s="133">
        <f>'Demande Format Medpro'!B72</f>
        <v>55.829099999999997</v>
      </c>
      <c r="C74" s="133">
        <f>'Demande Format Medpro'!C72</f>
        <v>43.293100000000003</v>
      </c>
      <c r="D74" s="133">
        <f>'Demande Format Medpro'!D72</f>
        <v>42.865600000000001</v>
      </c>
      <c r="E74" s="133">
        <f>'Demande Format Medpro'!E72</f>
        <v>42.0655</v>
      </c>
      <c r="F74" s="133">
        <f>'Demande Format Medpro'!F72</f>
        <v>41.822200000000002</v>
      </c>
      <c r="G74" s="133">
        <f>'Demande Format Medpro'!G72</f>
        <v>39.675199999999997</v>
      </c>
      <c r="H74" s="133">
        <f>'Demande Format Medpro'!H72</f>
        <v>-1.6810563372649901E-2</v>
      </c>
      <c r="I74" s="133">
        <f>'Demande Format Medpro'!I72</f>
        <v>-1.9827576329365399E-3</v>
      </c>
      <c r="J74" s="133">
        <f>'Demande Format Medpro'!J72</f>
        <v>-3.7612511415377999E-3</v>
      </c>
      <c r="K74" s="133">
        <f>'Demande Format Medpro'!K72</f>
        <v>-1.1594529690384099E-3</v>
      </c>
      <c r="L74" s="133">
        <f>'Demande Format Medpro'!L72</f>
        <v>-2.63158088762827E-3</v>
      </c>
    </row>
    <row r="75" spans="1:19" x14ac:dyDescent="0.25">
      <c r="A75" s="134"/>
      <c r="B75" s="135"/>
      <c r="C75" s="135"/>
      <c r="D75" s="135"/>
      <c r="E75" s="135"/>
      <c r="F75" s="135"/>
      <c r="G75" s="135"/>
      <c r="H75" s="124"/>
      <c r="I75" s="124"/>
      <c r="J75" s="124"/>
      <c r="K75" s="124"/>
      <c r="L75" s="124"/>
    </row>
    <row r="76" spans="1:19" x14ac:dyDescent="0.25">
      <c r="E76" s="98"/>
    </row>
    <row r="77" spans="1:19" ht="16.5" thickBot="1" x14ac:dyDescent="0.3">
      <c r="A77" s="59" t="s">
        <v>129</v>
      </c>
      <c r="B77" s="54"/>
      <c r="C77" s="54"/>
      <c r="D77" s="54"/>
      <c r="E77" s="53"/>
      <c r="F77" s="53"/>
      <c r="G77" s="53"/>
      <c r="H77" s="53"/>
      <c r="I77" s="53"/>
      <c r="J77" s="53"/>
      <c r="K77" s="53"/>
      <c r="L77" s="53"/>
    </row>
    <row r="78" spans="1:19" ht="15.75" thickBot="1" x14ac:dyDescent="0.3">
      <c r="A78" s="137" t="s">
        <v>51</v>
      </c>
      <c r="B78" s="105">
        <v>2000</v>
      </c>
      <c r="C78" s="105">
        <v>2015</v>
      </c>
      <c r="D78" s="105">
        <v>2020</v>
      </c>
      <c r="E78" s="105">
        <v>2025</v>
      </c>
      <c r="F78" s="105">
        <v>2030</v>
      </c>
      <c r="G78" s="105">
        <v>2050</v>
      </c>
      <c r="H78" s="113" t="s">
        <v>98</v>
      </c>
      <c r="I78" s="114" t="s">
        <v>99</v>
      </c>
      <c r="J78" s="114" t="s">
        <v>100</v>
      </c>
      <c r="K78" s="114" t="s">
        <v>101</v>
      </c>
      <c r="L78" s="115" t="s">
        <v>102</v>
      </c>
    </row>
    <row r="79" spans="1:19" x14ac:dyDescent="0.25">
      <c r="A79" s="127" t="s">
        <v>111</v>
      </c>
      <c r="B79" s="121">
        <f>'Demande Format Medpro'!B77</f>
        <v>6.1029</v>
      </c>
      <c r="C79" s="121">
        <f>'Demande Format Medpro'!C77</f>
        <v>3.7431000000000001</v>
      </c>
      <c r="D79" s="121">
        <f>'Demande Format Medpro'!D77</f>
        <v>3.5642999999999998</v>
      </c>
      <c r="E79" s="121">
        <f>'Demande Format Medpro'!E77</f>
        <v>3.4569999999999999</v>
      </c>
      <c r="F79" s="121">
        <f>'Demande Format Medpro'!F77</f>
        <v>3.3449</v>
      </c>
      <c r="G79" s="121">
        <f>'Demande Format Medpro'!G77</f>
        <v>2.9106000000000001</v>
      </c>
      <c r="H79" s="121">
        <f>'Demande Format Medpro'!H77</f>
        <v>-3.2064663296258997E-2</v>
      </c>
      <c r="I79" s="121">
        <f>'Demande Format Medpro'!I77</f>
        <v>-9.7415336337166591E-3</v>
      </c>
      <c r="J79" s="121">
        <f>'Demande Format Medpro'!J77</f>
        <v>-6.0946558190933002E-3</v>
      </c>
      <c r="K79" s="121">
        <f>'Demande Format Medpro'!K77</f>
        <v>-6.5711873320074598E-3</v>
      </c>
      <c r="L79" s="121">
        <f>'Demande Format Medpro'!L77</f>
        <v>-6.9297553533703704E-3</v>
      </c>
      <c r="N79" s="129"/>
      <c r="O79" s="129"/>
      <c r="P79" s="129"/>
      <c r="Q79" s="129"/>
      <c r="R79" s="129"/>
      <c r="S79" s="129"/>
    </row>
    <row r="80" spans="1:19" x14ac:dyDescent="0.25">
      <c r="A80" s="130" t="s">
        <v>112</v>
      </c>
      <c r="B80" s="121">
        <f>'Demande Format Medpro'!B78</f>
        <v>5.6398000000000001</v>
      </c>
      <c r="C80" s="121">
        <f>'Demande Format Medpro'!C78</f>
        <v>3.5590000000000002</v>
      </c>
      <c r="D80" s="121">
        <f>'Demande Format Medpro'!D78</f>
        <v>3.3717999999999999</v>
      </c>
      <c r="E80" s="121">
        <f>'Demande Format Medpro'!E78</f>
        <v>3.2555000000000001</v>
      </c>
      <c r="F80" s="121">
        <f>'Demande Format Medpro'!F78</f>
        <v>3.1358000000000001</v>
      </c>
      <c r="G80" s="121">
        <f>'Demande Format Medpro'!G78</f>
        <v>2.6781000000000001</v>
      </c>
      <c r="H80" s="121">
        <f>'Demande Format Medpro'!H78</f>
        <v>-3.0225071119895301E-2</v>
      </c>
      <c r="I80" s="121">
        <f>'Demande Format Medpro'!I78</f>
        <v>-1.07483947517197E-2</v>
      </c>
      <c r="J80" s="121">
        <f>'Demande Format Medpro'!J78</f>
        <v>-6.9955867049572599E-3</v>
      </c>
      <c r="K80" s="121">
        <f>'Demande Format Medpro'!K78</f>
        <v>-7.4643123627513601E-3</v>
      </c>
      <c r="L80" s="121">
        <f>'Demande Format Medpro'!L78</f>
        <v>-7.8578016443847706E-3</v>
      </c>
      <c r="N80" s="129"/>
      <c r="O80" s="129"/>
      <c r="P80" s="129"/>
      <c r="Q80" s="129"/>
      <c r="R80" s="129"/>
      <c r="S80" s="129"/>
    </row>
    <row r="81" spans="1:19" x14ac:dyDescent="0.25">
      <c r="A81" s="130" t="s">
        <v>113</v>
      </c>
      <c r="B81" s="121">
        <f>'Demande Format Medpro'!B79</f>
        <v>0.2205</v>
      </c>
      <c r="C81" s="121">
        <f>'Demande Format Medpro'!C79</f>
        <v>8.9899999999999994E-2</v>
      </c>
      <c r="D81" s="121">
        <f>'Demande Format Medpro'!D79</f>
        <v>8.9899999999999994E-2</v>
      </c>
      <c r="E81" s="121">
        <f>'Demande Format Medpro'!E79</f>
        <v>8.9899999999999994E-2</v>
      </c>
      <c r="F81" s="121">
        <f>'Demande Format Medpro'!F79</f>
        <v>8.9899999999999994E-2</v>
      </c>
      <c r="G81" s="121">
        <f>'Demande Format Medpro'!G79</f>
        <v>7.8200000000000006E-2</v>
      </c>
      <c r="H81" s="121">
        <f>'Demande Format Medpro'!H79</f>
        <v>-5.8059638475916601E-2</v>
      </c>
      <c r="I81" s="121">
        <f>'Demande Format Medpro'!I79</f>
        <v>0</v>
      </c>
      <c r="J81" s="121">
        <f>'Demande Format Medpro'!J79</f>
        <v>0</v>
      </c>
      <c r="K81" s="121">
        <f>'Demande Format Medpro'!K79</f>
        <v>0</v>
      </c>
      <c r="L81" s="121">
        <f>'Demande Format Medpro'!L79</f>
        <v>-6.9471707557837697E-3</v>
      </c>
      <c r="N81" s="129"/>
      <c r="O81" s="129"/>
      <c r="P81" s="129"/>
      <c r="Q81" s="129"/>
      <c r="R81" s="129"/>
      <c r="S81" s="129"/>
    </row>
    <row r="82" spans="1:19" x14ac:dyDescent="0.25">
      <c r="A82" s="127" t="s">
        <v>114</v>
      </c>
      <c r="B82" s="121">
        <f>'Demande Format Medpro'!B80</f>
        <v>7.4539</v>
      </c>
      <c r="C82" s="121">
        <f>'Demande Format Medpro'!C80</f>
        <v>6.0538999999999996</v>
      </c>
      <c r="D82" s="121">
        <f>'Demande Format Medpro'!D80</f>
        <v>6.1731999999999996</v>
      </c>
      <c r="E82" s="121">
        <f>'Demande Format Medpro'!E80</f>
        <v>6.2305000000000001</v>
      </c>
      <c r="F82" s="121">
        <f>'Demande Format Medpro'!F80</f>
        <v>6.2789000000000001</v>
      </c>
      <c r="G82" s="121">
        <f>'Demande Format Medpro'!G80</f>
        <v>7.0663</v>
      </c>
      <c r="H82" s="121">
        <f>'Demande Format Medpro'!H80</f>
        <v>-1.37732483054394E-2</v>
      </c>
      <c r="I82" s="121">
        <f>'Demande Format Medpro'!I80</f>
        <v>3.9105562666561502E-3</v>
      </c>
      <c r="J82" s="121">
        <f>'Demande Format Medpro'!J80</f>
        <v>1.84955719605462E-3</v>
      </c>
      <c r="K82" s="121">
        <f>'Demande Format Medpro'!K80</f>
        <v>1.5488421191765E-3</v>
      </c>
      <c r="L82" s="121">
        <f>'Demande Format Medpro'!L80</f>
        <v>5.9245913269441201E-3</v>
      </c>
      <c r="N82" s="129"/>
      <c r="O82" s="129"/>
      <c r="P82" s="129"/>
      <c r="Q82" s="129"/>
      <c r="R82" s="129"/>
      <c r="S82" s="129"/>
    </row>
    <row r="83" spans="1:19" x14ac:dyDescent="0.25">
      <c r="A83" s="130" t="s">
        <v>115</v>
      </c>
      <c r="B83" s="121">
        <f>'Demande Format Medpro'!B81</f>
        <v>0.56010000000000004</v>
      </c>
      <c r="C83" s="121">
        <f>'Demande Format Medpro'!C81</f>
        <v>0.41789999999999999</v>
      </c>
      <c r="D83" s="121">
        <f>'Demande Format Medpro'!D81</f>
        <v>0.40710000000000002</v>
      </c>
      <c r="E83" s="121">
        <f>'Demande Format Medpro'!E81</f>
        <v>0.39639999999999997</v>
      </c>
      <c r="F83" s="121">
        <f>'Demande Format Medpro'!F81</f>
        <v>0.38569999999999999</v>
      </c>
      <c r="G83" s="121">
        <f>'Demande Format Medpro'!G81</f>
        <v>0.37719999999999998</v>
      </c>
      <c r="H83" s="121">
        <f>'Demande Format Medpro'!H81</f>
        <v>-1.9335502070624101E-2</v>
      </c>
      <c r="I83" s="121">
        <f>'Demande Format Medpro'!I81</f>
        <v>-5.2229753729545799E-3</v>
      </c>
      <c r="J83" s="121">
        <f>'Demande Format Medpro'!J81</f>
        <v>-5.3128472502146397E-3</v>
      </c>
      <c r="K83" s="121">
        <f>'Demande Format Medpro'!K81</f>
        <v>-5.4578390293750197E-3</v>
      </c>
      <c r="L83" s="121">
        <f>'Demande Format Medpro'!L81</f>
        <v>-1.1135952148868501E-3</v>
      </c>
      <c r="N83" s="129"/>
      <c r="O83" s="129"/>
      <c r="P83" s="129"/>
      <c r="Q83" s="129"/>
      <c r="R83" s="129"/>
      <c r="S83" s="129"/>
    </row>
    <row r="84" spans="1:19" x14ac:dyDescent="0.25">
      <c r="A84" s="130" t="s">
        <v>116</v>
      </c>
      <c r="B84" s="121">
        <f>'Demande Format Medpro'!B82</f>
        <v>4.3108000000000004</v>
      </c>
      <c r="C84" s="121">
        <f>'Demande Format Medpro'!C82</f>
        <v>3.5078999999999998</v>
      </c>
      <c r="D84" s="121">
        <f>'Demande Format Medpro'!D82</f>
        <v>3.4723000000000002</v>
      </c>
      <c r="E84" s="121">
        <f>'Demande Format Medpro'!E82</f>
        <v>3.4371</v>
      </c>
      <c r="F84" s="121">
        <f>'Demande Format Medpro'!F82</f>
        <v>3.4016000000000002</v>
      </c>
      <c r="G84" s="121">
        <f>'Demande Format Medpro'!G82</f>
        <v>3.3660000000000001</v>
      </c>
      <c r="H84" s="121">
        <f>'Demande Format Medpro'!H82</f>
        <v>-1.3646427238164199E-2</v>
      </c>
      <c r="I84" s="121">
        <f>'Demande Format Medpro'!I82</f>
        <v>-2.0379943111109599E-3</v>
      </c>
      <c r="J84" s="121">
        <f>'Demande Format Medpro'!J82</f>
        <v>-2.03574625402381E-3</v>
      </c>
      <c r="K84" s="121">
        <f>'Demande Format Medpro'!K82</f>
        <v>-2.0742823807102799E-3</v>
      </c>
      <c r="L84" s="121">
        <f>'Demande Format Medpro'!L82</f>
        <v>-5.2590233470839497E-4</v>
      </c>
      <c r="N84" s="129"/>
      <c r="O84" s="129"/>
      <c r="P84" s="129"/>
      <c r="Q84" s="129"/>
      <c r="R84" s="129"/>
      <c r="S84" s="129"/>
    </row>
    <row r="85" spans="1:19" x14ac:dyDescent="0.25">
      <c r="A85" s="130" t="s">
        <v>117</v>
      </c>
      <c r="B85" s="121">
        <f>'Demande Format Medpro'!B83</f>
        <v>0</v>
      </c>
      <c r="C85" s="121">
        <f>'Demande Format Medpro'!C83</f>
        <v>0</v>
      </c>
      <c r="D85" s="121">
        <f>'Demande Format Medpro'!D83</f>
        <v>0</v>
      </c>
      <c r="E85" s="121">
        <f>'Demande Format Medpro'!E83</f>
        <v>0</v>
      </c>
      <c r="F85" s="121">
        <f>'Demande Format Medpro'!F83</f>
        <v>0</v>
      </c>
      <c r="G85" s="121">
        <f>'Demande Format Medpro'!G83</f>
        <v>0</v>
      </c>
      <c r="H85" s="121" t="e">
        <f>'Demande Format Medpro'!H83</f>
        <v>#DIV/0!</v>
      </c>
      <c r="I85" s="121" t="e">
        <f>'Demande Format Medpro'!I83</f>
        <v>#DIV/0!</v>
      </c>
      <c r="J85" s="121" t="e">
        <f>'Demande Format Medpro'!J83</f>
        <v>#DIV/0!</v>
      </c>
      <c r="K85" s="121" t="e">
        <f>'Demande Format Medpro'!K83</f>
        <v>#DIV/0!</v>
      </c>
      <c r="L85" s="121" t="e">
        <f>'Demande Format Medpro'!L83</f>
        <v>#DIV/0!</v>
      </c>
      <c r="N85" s="129"/>
      <c r="O85" s="129"/>
      <c r="P85" s="129"/>
      <c r="Q85" s="129"/>
      <c r="R85" s="129"/>
      <c r="S85" s="129"/>
    </row>
    <row r="86" spans="1:19" x14ac:dyDescent="0.25">
      <c r="A86" s="127" t="s">
        <v>118</v>
      </c>
      <c r="B86" s="121">
        <f>'Demande Format Medpro'!B84</f>
        <v>3.6520000000000001</v>
      </c>
      <c r="C86" s="121">
        <f>'Demande Format Medpro'!C84</f>
        <v>2.6435</v>
      </c>
      <c r="D86" s="121">
        <f>'Demande Format Medpro'!D84</f>
        <v>2.7433000000000001</v>
      </c>
      <c r="E86" s="121">
        <f>'Demande Format Medpro'!E84</f>
        <v>2.7486000000000002</v>
      </c>
      <c r="F86" s="121">
        <f>'Demande Format Medpro'!F84</f>
        <v>2.8064</v>
      </c>
      <c r="G86" s="121">
        <f>'Demande Format Medpro'!G84</f>
        <v>2.9599000000000002</v>
      </c>
      <c r="H86" s="121">
        <f>'Demande Format Medpro'!H84</f>
        <v>-2.1314314216928198E-2</v>
      </c>
      <c r="I86" s="121">
        <f>'Demande Format Medpro'!I84</f>
        <v>7.4390892762887803E-3</v>
      </c>
      <c r="J86" s="121">
        <f>'Demande Format Medpro'!J84</f>
        <v>3.8609768850328402E-4</v>
      </c>
      <c r="K86" s="121">
        <f>'Demande Format Medpro'!K84</f>
        <v>4.17084025586023E-3</v>
      </c>
      <c r="L86" s="121">
        <f>'Demande Format Medpro'!L84</f>
        <v>2.6661960349014802E-3</v>
      </c>
      <c r="N86" s="129"/>
      <c r="O86" s="129"/>
      <c r="P86" s="129"/>
      <c r="Q86" s="129"/>
      <c r="R86" s="129"/>
      <c r="S86" s="129"/>
    </row>
    <row r="87" spans="1:19" x14ac:dyDescent="0.25">
      <c r="A87" s="130" t="s">
        <v>119</v>
      </c>
      <c r="B87" s="121">
        <f>'Demande Format Medpro'!B85</f>
        <v>1.4896</v>
      </c>
      <c r="C87" s="121">
        <f>'Demande Format Medpro'!C85</f>
        <v>1.1833</v>
      </c>
      <c r="D87" s="121">
        <f>'Demande Format Medpro'!D85</f>
        <v>1.2706</v>
      </c>
      <c r="E87" s="121">
        <f>'Demande Format Medpro'!E85</f>
        <v>1.2706</v>
      </c>
      <c r="F87" s="121">
        <f>'Demande Format Medpro'!F85</f>
        <v>1.2705</v>
      </c>
      <c r="G87" s="121">
        <f>'Demande Format Medpro'!G85</f>
        <v>1.1798</v>
      </c>
      <c r="H87" s="121">
        <f>'Demande Format Medpro'!H85</f>
        <v>-1.5229538334533801E-2</v>
      </c>
      <c r="I87" s="121">
        <f>'Demande Format Medpro'!I85</f>
        <v>1.4338237283377801E-2</v>
      </c>
      <c r="J87" s="121">
        <f>'Demande Format Medpro'!J85</f>
        <v>0</v>
      </c>
      <c r="K87" s="121">
        <f>'Demande Format Medpro'!K85</f>
        <v>-1.5741090550580601E-5</v>
      </c>
      <c r="L87" s="121">
        <f>'Demande Format Medpro'!L85</f>
        <v>-3.6964308766183102E-3</v>
      </c>
      <c r="N87" s="129"/>
      <c r="O87" s="129"/>
      <c r="P87" s="129"/>
      <c r="Q87" s="129"/>
      <c r="R87" s="129"/>
      <c r="S87" s="129"/>
    </row>
    <row r="88" spans="1:19" x14ac:dyDescent="0.25">
      <c r="A88" s="130" t="s">
        <v>120</v>
      </c>
      <c r="B88" s="121">
        <f>'Demande Format Medpro'!B86</f>
        <v>1.1727000000000001</v>
      </c>
      <c r="C88" s="121">
        <f>'Demande Format Medpro'!C86</f>
        <v>0.98470000000000002</v>
      </c>
      <c r="D88" s="121">
        <f>'Demande Format Medpro'!D86</f>
        <v>0.95599999999999996</v>
      </c>
      <c r="E88" s="121">
        <f>'Demande Format Medpro'!E86</f>
        <v>0.89870000000000005</v>
      </c>
      <c r="F88" s="121">
        <f>'Demande Format Medpro'!F86</f>
        <v>0.89870000000000005</v>
      </c>
      <c r="G88" s="121">
        <f>'Demande Format Medpro'!G86</f>
        <v>0.77249999999999996</v>
      </c>
      <c r="H88" s="121">
        <f>'Demande Format Medpro'!H86</f>
        <v>-1.15808882576653E-2</v>
      </c>
      <c r="I88" s="121">
        <f>'Demande Format Medpro'!I86</f>
        <v>-5.8983586167073998E-3</v>
      </c>
      <c r="J88" s="121">
        <f>'Demande Format Medpro'!J86</f>
        <v>-1.2285635388609301E-2</v>
      </c>
      <c r="K88" s="121">
        <f>'Demande Format Medpro'!K86</f>
        <v>0</v>
      </c>
      <c r="L88" s="121">
        <f>'Demande Format Medpro'!L86</f>
        <v>-7.53731419582315E-3</v>
      </c>
      <c r="N88" s="129"/>
      <c r="O88" s="129"/>
      <c r="P88" s="129"/>
      <c r="Q88" s="129"/>
      <c r="R88" s="129"/>
      <c r="S88" s="129"/>
    </row>
    <row r="89" spans="1:19" x14ac:dyDescent="0.25">
      <c r="A89" s="127" t="s">
        <v>121</v>
      </c>
      <c r="B89" s="121">
        <f>'Demande Format Medpro'!B87</f>
        <v>3.6766999999999999</v>
      </c>
      <c r="C89" s="121">
        <f>'Demande Format Medpro'!C87</f>
        <v>4.0911</v>
      </c>
      <c r="D89" s="121">
        <f>'Demande Format Medpro'!D87</f>
        <v>4.1436999999999999</v>
      </c>
      <c r="E89" s="121">
        <f>'Demande Format Medpro'!E87</f>
        <v>4.1585999999999999</v>
      </c>
      <c r="F89" s="121">
        <f>'Demande Format Medpro'!F87</f>
        <v>4.1642000000000001</v>
      </c>
      <c r="G89" s="121">
        <f>'Demande Format Medpro'!G87</f>
        <v>4.9579000000000004</v>
      </c>
      <c r="H89" s="121">
        <f>'Demande Format Medpro'!H87</f>
        <v>7.1452914287142297E-3</v>
      </c>
      <c r="I89" s="121">
        <f>'Demande Format Medpro'!I87</f>
        <v>2.5583121026373501E-3</v>
      </c>
      <c r="J89" s="121">
        <f>'Demande Format Medpro'!J87</f>
        <v>7.1813186442937205E-4</v>
      </c>
      <c r="K89" s="121">
        <f>'Demande Format Medpro'!K87</f>
        <v>2.6917645530222202E-4</v>
      </c>
      <c r="L89" s="121">
        <f>'Demande Format Medpro'!L87</f>
        <v>8.7610595723068806E-3</v>
      </c>
      <c r="N89" s="129"/>
      <c r="O89" s="129"/>
      <c r="P89" s="129"/>
      <c r="Q89" s="129"/>
      <c r="R89" s="129"/>
      <c r="S89" s="129"/>
    </row>
    <row r="90" spans="1:19" x14ac:dyDescent="0.25">
      <c r="A90" s="130" t="s">
        <v>122</v>
      </c>
      <c r="B90" s="121">
        <f>'Demande Format Medpro'!B88</f>
        <v>0.7994</v>
      </c>
      <c r="C90" s="121">
        <f>'Demande Format Medpro'!C88</f>
        <v>0.79079999999999995</v>
      </c>
      <c r="D90" s="121">
        <f>'Demande Format Medpro'!D88</f>
        <v>0.76119999999999999</v>
      </c>
      <c r="E90" s="121">
        <f>'Demande Format Medpro'!E88</f>
        <v>0.73160000000000003</v>
      </c>
      <c r="F90" s="121">
        <f>'Demande Format Medpro'!F88</f>
        <v>0.70209999999999995</v>
      </c>
      <c r="G90" s="121">
        <f>'Demande Format Medpro'!G88</f>
        <v>0.70209999999999995</v>
      </c>
      <c r="H90" s="121">
        <f>'Demande Format Medpro'!H88</f>
        <v>-7.2083040889703298E-4</v>
      </c>
      <c r="I90" s="121">
        <f>'Demande Format Medpro'!I88</f>
        <v>-7.6007582036337097E-3</v>
      </c>
      <c r="J90" s="121">
        <f>'Demande Format Medpro'!J88</f>
        <v>-7.9010649739121898E-3</v>
      </c>
      <c r="K90" s="121">
        <f>'Demande Format Medpro'!K88</f>
        <v>-8.1978275307315104E-3</v>
      </c>
      <c r="L90" s="121">
        <f>'Demande Format Medpro'!L88</f>
        <v>0</v>
      </c>
      <c r="N90" s="129"/>
      <c r="O90" s="129"/>
      <c r="P90" s="129"/>
      <c r="Q90" s="129"/>
      <c r="R90" s="129"/>
      <c r="S90" s="129"/>
    </row>
    <row r="91" spans="1:19" x14ac:dyDescent="0.25">
      <c r="A91" s="127" t="s">
        <v>123</v>
      </c>
      <c r="B91" s="121">
        <f>'Demande Format Medpro'!B89</f>
        <v>2.4811999999999999</v>
      </c>
      <c r="C91" s="121">
        <f>'Demande Format Medpro'!C89</f>
        <v>1.8880999999999999</v>
      </c>
      <c r="D91" s="121">
        <f>'Demande Format Medpro'!D89</f>
        <v>1.9181999999999999</v>
      </c>
      <c r="E91" s="121">
        <f>'Demande Format Medpro'!E89</f>
        <v>1.9128000000000001</v>
      </c>
      <c r="F91" s="121">
        <f>'Demande Format Medpro'!F89</f>
        <v>1.8733</v>
      </c>
      <c r="G91" s="121">
        <f>'Demande Format Medpro'!G89</f>
        <v>2.4579</v>
      </c>
      <c r="H91" s="121">
        <f>'Demande Format Medpro'!H89</f>
        <v>-1.8046592979841101E-2</v>
      </c>
      <c r="I91" s="121">
        <f>'Demande Format Medpro'!I89</f>
        <v>3.16825110977303E-3</v>
      </c>
      <c r="J91" s="121">
        <f>'Demande Format Medpro'!J89</f>
        <v>-5.6366291228771004E-4</v>
      </c>
      <c r="K91" s="121">
        <f>'Demande Format Medpro'!K89</f>
        <v>-4.1646149739722497E-3</v>
      </c>
      <c r="L91" s="121">
        <f>'Demande Format Medpro'!L89</f>
        <v>1.3672918211887101E-2</v>
      </c>
      <c r="N91" s="129"/>
      <c r="O91" s="129"/>
      <c r="P91" s="129"/>
      <c r="Q91" s="129"/>
      <c r="R91" s="129"/>
      <c r="S91" s="129"/>
    </row>
    <row r="92" spans="1:19" x14ac:dyDescent="0.25">
      <c r="A92" s="127" t="s">
        <v>124</v>
      </c>
      <c r="B92" s="121">
        <f>'Demande Format Medpro'!B90</f>
        <v>4.1561000000000003</v>
      </c>
      <c r="C92" s="121">
        <f>'Demande Format Medpro'!C90</f>
        <v>3.4727000000000001</v>
      </c>
      <c r="D92" s="121">
        <f>'Demande Format Medpro'!D90</f>
        <v>3.2130000000000001</v>
      </c>
      <c r="E92" s="121">
        <f>'Demande Format Medpro'!E90</f>
        <v>3.2161</v>
      </c>
      <c r="F92" s="121">
        <f>'Demande Format Medpro'!F90</f>
        <v>3.2155</v>
      </c>
      <c r="G92" s="121">
        <f>'Demande Format Medpro'!G90</f>
        <v>3.3597999999999999</v>
      </c>
      <c r="H92" s="121">
        <f>'Demande Format Medpro'!H90</f>
        <v>-1.19048857107346E-2</v>
      </c>
      <c r="I92" s="121">
        <f>'Demande Format Medpro'!I90</f>
        <v>-1.54252548544122E-2</v>
      </c>
      <c r="J92" s="121">
        <f>'Demande Format Medpro'!J90</f>
        <v>1.9289164658897699E-4</v>
      </c>
      <c r="K92" s="121">
        <f>'Demande Format Medpro'!K90</f>
        <v>-3.7315057351383602E-5</v>
      </c>
      <c r="L92" s="121">
        <f>'Demande Format Medpro'!L90</f>
        <v>2.19733971030589E-3</v>
      </c>
      <c r="N92" s="129"/>
      <c r="O92" s="129"/>
      <c r="P92" s="129"/>
      <c r="Q92" s="129"/>
      <c r="R92" s="129"/>
      <c r="S92" s="129"/>
    </row>
    <row r="93" spans="1:19" x14ac:dyDescent="0.25">
      <c r="A93" s="130" t="s">
        <v>125</v>
      </c>
      <c r="B93" s="121">
        <f>'Demande Format Medpro'!B91</f>
        <v>2.7366000000000001</v>
      </c>
      <c r="C93" s="121">
        <f>'Demande Format Medpro'!C91</f>
        <v>2.4272999999999998</v>
      </c>
      <c r="D93" s="121">
        <f>'Demande Format Medpro'!D91</f>
        <v>2.1516000000000002</v>
      </c>
      <c r="E93" s="121">
        <f>'Demande Format Medpro'!E91</f>
        <v>2.1516000000000002</v>
      </c>
      <c r="F93" s="121">
        <f>'Demande Format Medpro'!F91</f>
        <v>2.1516000000000002</v>
      </c>
      <c r="G93" s="121">
        <f>'Demande Format Medpro'!G91</f>
        <v>2.1516000000000002</v>
      </c>
      <c r="H93" s="121">
        <f>'Demande Format Medpro'!H91</f>
        <v>-7.9639017862079796E-3</v>
      </c>
      <c r="I93" s="121">
        <f>'Demande Format Medpro'!I91</f>
        <v>-2.3825146478264701E-2</v>
      </c>
      <c r="J93" s="121">
        <f>'Demande Format Medpro'!J91</f>
        <v>0</v>
      </c>
      <c r="K93" s="121">
        <f>'Demande Format Medpro'!K91</f>
        <v>0</v>
      </c>
      <c r="L93" s="121">
        <f>'Demande Format Medpro'!L91</f>
        <v>0</v>
      </c>
      <c r="N93" s="129"/>
      <c r="O93" s="129"/>
      <c r="P93" s="129"/>
      <c r="Q93" s="129"/>
      <c r="R93" s="129"/>
      <c r="S93" s="129"/>
    </row>
    <row r="94" spans="1:19" x14ac:dyDescent="0.25">
      <c r="A94" s="106"/>
      <c r="B94" s="121"/>
      <c r="C94" s="121"/>
      <c r="D94" s="121"/>
      <c r="E94" s="121"/>
      <c r="F94" s="121"/>
      <c r="G94" s="121"/>
      <c r="H94" s="121"/>
      <c r="I94" s="121"/>
      <c r="J94" s="121"/>
      <c r="K94" s="121"/>
      <c r="L94" s="121"/>
    </row>
    <row r="95" spans="1:19" x14ac:dyDescent="0.25">
      <c r="A95" s="106"/>
      <c r="B95" s="121"/>
      <c r="C95" s="121"/>
      <c r="D95" s="121"/>
      <c r="E95" s="121"/>
      <c r="F95" s="121"/>
      <c r="G95" s="121"/>
      <c r="H95" s="121"/>
      <c r="I95" s="121"/>
      <c r="J95" s="121"/>
      <c r="K95" s="121"/>
      <c r="L95" s="121"/>
    </row>
    <row r="96" spans="1:19" ht="15.75" thickBot="1" x14ac:dyDescent="0.3">
      <c r="A96" s="109" t="s">
        <v>10</v>
      </c>
      <c r="B96" s="378">
        <f>'Demande Format Medpro'!B94</f>
        <v>27.5228</v>
      </c>
      <c r="C96" s="110">
        <f>'Demande Format Medpro'!C94</f>
        <v>21.892399999999999</v>
      </c>
      <c r="D96" s="110">
        <f>'Demande Format Medpro'!D94</f>
        <v>21.755700000000001</v>
      </c>
      <c r="E96" s="110">
        <f>'Demande Format Medpro'!E94</f>
        <v>21.723600000000001</v>
      </c>
      <c r="F96" s="110">
        <f>'Demande Format Medpro'!F94</f>
        <v>21.683199999999999</v>
      </c>
      <c r="G96" s="110">
        <f>'Demande Format Medpro'!G94</f>
        <v>23.712399999999999</v>
      </c>
      <c r="H96" s="110">
        <f>'Demande Format Medpro'!H94</f>
        <v>-1.5142528399887599E-2</v>
      </c>
      <c r="I96" s="110">
        <f>'Demande Format Medpro'!I94</f>
        <v>-1.25196612833756E-3</v>
      </c>
      <c r="J96" s="110">
        <f>'Demande Format Medpro'!J94</f>
        <v>-2.9526939508450799E-4</v>
      </c>
      <c r="K96" s="110">
        <f>'Demande Format Medpro'!K94</f>
        <v>-3.7222271439563099E-4</v>
      </c>
      <c r="L96" s="110">
        <f>'Demande Format Medpro'!L94</f>
        <v>4.4830364212027404E-3</v>
      </c>
    </row>
    <row r="97" spans="1:12" ht="15.75" thickBot="1" x14ac:dyDescent="0.3">
      <c r="A97" s="111"/>
      <c r="E97" s="98"/>
    </row>
    <row r="98" spans="1:12" ht="15.75" thickBot="1" x14ac:dyDescent="0.3">
      <c r="A98" s="132" t="s">
        <v>126</v>
      </c>
      <c r="B98" s="133">
        <f>'Demande Format Medpro'!B96</f>
        <v>16.929500000000001</v>
      </c>
      <c r="C98" s="133">
        <f>'Demande Format Medpro'!C96</f>
        <v>12.960800000000001</v>
      </c>
      <c r="D98" s="133">
        <f>'Demande Format Medpro'!D96</f>
        <v>12.480499999999999</v>
      </c>
      <c r="E98" s="133">
        <f>'Demande Format Medpro'!E96</f>
        <v>12.231400000000001</v>
      </c>
      <c r="F98" s="133">
        <f>'Demande Format Medpro'!F96</f>
        <v>12.0359</v>
      </c>
      <c r="G98" s="133">
        <f>'Demande Format Medpro'!G96</f>
        <v>11.3055</v>
      </c>
      <c r="H98" s="133">
        <f>'Demande Format Medpro'!H96</f>
        <v>-1.76509145787325E-2</v>
      </c>
      <c r="I98" s="133">
        <f>'Demande Format Medpro'!I96</f>
        <v>-7.5239505361731603E-3</v>
      </c>
      <c r="J98" s="133">
        <f>'Demande Format Medpro'!J96</f>
        <v>-4.0240836855555103E-3</v>
      </c>
      <c r="K98" s="133">
        <f>'Demande Format Medpro'!K96</f>
        <v>-3.2173263637790299E-3</v>
      </c>
      <c r="L98" s="133">
        <f>'Demande Format Medpro'!L96</f>
        <v>-3.1253318186170698E-3</v>
      </c>
    </row>
    <row r="99" spans="1:12" x14ac:dyDescent="0.25">
      <c r="A99" s="134"/>
      <c r="B99" s="135"/>
      <c r="C99" s="135"/>
      <c r="D99" s="135"/>
      <c r="E99" s="135"/>
      <c r="F99" s="135"/>
      <c r="G99" s="135"/>
      <c r="H99" s="124"/>
      <c r="I99" s="124"/>
      <c r="J99" s="124"/>
      <c r="K99" s="124"/>
      <c r="L99" s="124"/>
    </row>
    <row r="100" spans="1:12" x14ac:dyDescent="0.25">
      <c r="F100" s="97"/>
    </row>
    <row r="101" spans="1:12" ht="16.5" thickBot="1" x14ac:dyDescent="0.3">
      <c r="A101" s="59" t="s">
        <v>130</v>
      </c>
      <c r="B101" s="54"/>
      <c r="C101" s="54"/>
      <c r="D101" s="54"/>
      <c r="E101" s="54"/>
      <c r="F101" s="54"/>
      <c r="G101" s="53"/>
      <c r="H101" s="53"/>
      <c r="I101" s="53"/>
      <c r="J101" s="53"/>
      <c r="K101" s="53"/>
      <c r="L101" s="53"/>
    </row>
    <row r="102" spans="1:12" ht="15.75" thickBot="1" x14ac:dyDescent="0.3">
      <c r="A102" s="104"/>
      <c r="B102" s="105">
        <v>2000</v>
      </c>
      <c r="C102" s="105">
        <v>2015</v>
      </c>
      <c r="D102" s="105">
        <v>2020</v>
      </c>
      <c r="E102" s="105">
        <v>2025</v>
      </c>
      <c r="F102" s="105">
        <v>2030</v>
      </c>
      <c r="G102" s="105">
        <v>2050</v>
      </c>
      <c r="H102" s="113" t="s">
        <v>98</v>
      </c>
      <c r="I102" s="114" t="s">
        <v>99</v>
      </c>
      <c r="J102" s="114" t="s">
        <v>100</v>
      </c>
      <c r="K102" s="114" t="s">
        <v>101</v>
      </c>
      <c r="L102" s="115" t="s">
        <v>102</v>
      </c>
    </row>
    <row r="103" spans="1:12" ht="15.75" thickBot="1" x14ac:dyDescent="0.3">
      <c r="A103" s="109" t="s">
        <v>131</v>
      </c>
      <c r="B103" s="138">
        <f>'Demande Format Medpro'!B101</f>
        <v>0.14861332923950199</v>
      </c>
      <c r="C103" s="138">
        <f>'Demande Format Medpro'!C101</f>
        <v>0.110941580597999</v>
      </c>
      <c r="D103" s="138">
        <f>'Demande Format Medpro'!D101</f>
        <v>0.10396332292291301</v>
      </c>
      <c r="E103" s="138">
        <f>'Demande Format Medpro'!E101</f>
        <v>9.9385626244271399E-2</v>
      </c>
      <c r="F103" s="138">
        <f>'Demande Format Medpro'!F101</f>
        <v>9.4579979036345102E-2</v>
      </c>
      <c r="G103" s="138">
        <f>'Demande Format Medpro'!G101</f>
        <v>8.2360372895128306E-2</v>
      </c>
      <c r="H103" s="138">
        <f>'Demande Format Medpro'!H101</f>
        <v>-1.9300909856419E-2</v>
      </c>
      <c r="I103" s="138">
        <f>'Demande Format Medpro'!I101</f>
        <v>-1.29090716677155E-2</v>
      </c>
      <c r="J103" s="138">
        <f>'Demande Format Medpro'!J101</f>
        <v>-8.9657011857309198E-3</v>
      </c>
      <c r="K103" s="138">
        <f>'Demande Format Medpro'!K101</f>
        <v>-9.8633712034121909E-3</v>
      </c>
      <c r="L103" s="138">
        <f>'Demande Format Medpro'!L101</f>
        <v>-6.8932024225259996E-3</v>
      </c>
    </row>
    <row r="104" spans="1:12" x14ac:dyDescent="0.25">
      <c r="A104" s="139"/>
      <c r="F104" s="97"/>
    </row>
    <row r="105" spans="1:12" x14ac:dyDescent="0.25">
      <c r="F105" s="97"/>
    </row>
    <row r="106" spans="1:12" ht="21" x14ac:dyDescent="0.35">
      <c r="A106" s="52" t="s">
        <v>132</v>
      </c>
      <c r="B106" s="47"/>
      <c r="C106" s="47"/>
      <c r="D106" s="47"/>
      <c r="E106" s="47"/>
      <c r="F106" s="47"/>
      <c r="G106" s="140"/>
      <c r="H106" s="140"/>
      <c r="I106" s="140"/>
      <c r="J106" s="140"/>
      <c r="K106" s="140"/>
      <c r="L106" s="140"/>
    </row>
    <row r="107" spans="1:12" x14ac:dyDescent="0.25">
      <c r="F107" s="97"/>
    </row>
    <row r="108" spans="1:12" ht="16.5" thickBot="1" x14ac:dyDescent="0.3">
      <c r="A108" s="59" t="s">
        <v>133</v>
      </c>
      <c r="B108" s="54"/>
      <c r="C108" s="54"/>
      <c r="D108" s="54"/>
      <c r="E108" s="54"/>
      <c r="F108" s="54"/>
      <c r="G108" s="53"/>
      <c r="H108" s="53"/>
      <c r="I108" s="53"/>
      <c r="J108" s="53"/>
      <c r="K108" s="53"/>
      <c r="L108" s="53"/>
    </row>
    <row r="109" spans="1:12" ht="15.75" thickBot="1" x14ac:dyDescent="0.3">
      <c r="A109" s="104" t="s">
        <v>51</v>
      </c>
      <c r="B109" s="105">
        <v>2000</v>
      </c>
      <c r="C109" s="105">
        <v>2015</v>
      </c>
      <c r="D109" s="105">
        <v>2020</v>
      </c>
      <c r="E109" s="105">
        <v>2025</v>
      </c>
      <c r="F109" s="105">
        <v>2030</v>
      </c>
      <c r="G109" s="105">
        <v>2050</v>
      </c>
      <c r="H109" s="113" t="s">
        <v>98</v>
      </c>
      <c r="I109" s="114" t="s">
        <v>99</v>
      </c>
      <c r="J109" s="114" t="s">
        <v>100</v>
      </c>
      <c r="K109" s="114" t="s">
        <v>101</v>
      </c>
      <c r="L109" s="115" t="s">
        <v>102</v>
      </c>
    </row>
    <row r="110" spans="1:12" x14ac:dyDescent="0.25">
      <c r="A110" s="106" t="s">
        <v>103</v>
      </c>
      <c r="B110" s="107">
        <f>'Demande Format Medpro'!B108</f>
        <v>9.0759000000000007</v>
      </c>
      <c r="C110" s="107">
        <f>'Demande Format Medpro'!C108</f>
        <v>6.5214999999999996</v>
      </c>
      <c r="D110" s="107">
        <f>'Demande Format Medpro'!D108</f>
        <v>5.1642000000000001</v>
      </c>
      <c r="E110" s="107">
        <f>'Demande Format Medpro'!E108</f>
        <v>4.3639999999999999</v>
      </c>
      <c r="F110" s="107">
        <f>'Demande Format Medpro'!F108</f>
        <v>3.6859000000000002</v>
      </c>
      <c r="G110" s="107">
        <f>'Demande Format Medpro'!G108</f>
        <v>2.8035000000000001</v>
      </c>
      <c r="H110" s="107">
        <f>'Demande Format Medpro'!H108</f>
        <v>-2.17935552584426E-2</v>
      </c>
      <c r="I110" s="107">
        <f>'Demande Format Medpro'!I108</f>
        <v>-4.5598505014204697E-2</v>
      </c>
      <c r="J110" s="107">
        <f>'Demande Format Medpro'!J108</f>
        <v>-3.3111627186345201E-2</v>
      </c>
      <c r="K110" s="107">
        <f>'Demande Format Medpro'!K108</f>
        <v>-3.3210864451994698E-2</v>
      </c>
      <c r="L110" s="107">
        <f>'Demande Format Medpro'!L108</f>
        <v>-1.35891273449983E-2</v>
      </c>
    </row>
    <row r="111" spans="1:12" x14ac:dyDescent="0.25">
      <c r="A111" s="106" t="s">
        <v>54</v>
      </c>
      <c r="B111" s="107">
        <f>'Demande Format Medpro'!B109</f>
        <v>15.005599999999999</v>
      </c>
      <c r="C111" s="107">
        <f>'Demande Format Medpro'!C109</f>
        <v>14.2493</v>
      </c>
      <c r="D111" s="107">
        <f>'Demande Format Medpro'!D109</f>
        <v>12.052199999999999</v>
      </c>
      <c r="E111" s="107">
        <f>'Demande Format Medpro'!E109</f>
        <v>11.236800000000001</v>
      </c>
      <c r="F111" s="107">
        <f>'Demande Format Medpro'!F109</f>
        <v>10.642799999999999</v>
      </c>
      <c r="G111" s="107">
        <f>'Demande Format Medpro'!G109</f>
        <v>9.4556000000000004</v>
      </c>
      <c r="H111" s="107">
        <f>'Demande Format Medpro'!H109</f>
        <v>-3.44177560248382E-3</v>
      </c>
      <c r="I111" s="107">
        <f>'Demande Format Medpro'!I109</f>
        <v>-3.2937461927411801E-2</v>
      </c>
      <c r="J111" s="107">
        <f>'Demande Format Medpro'!J109</f>
        <v>-1.39129299038766E-2</v>
      </c>
      <c r="K111" s="107">
        <f>'Demande Format Medpro'!K109</f>
        <v>-1.0803320256092101E-2</v>
      </c>
      <c r="L111" s="107">
        <f>'Demande Format Medpro'!L109</f>
        <v>-5.8963702023894201E-3</v>
      </c>
    </row>
    <row r="112" spans="1:12" x14ac:dyDescent="0.25">
      <c r="A112" s="106" t="s">
        <v>42</v>
      </c>
      <c r="B112" s="107">
        <f>'Demande Format Medpro'!B110</f>
        <v>0.06</v>
      </c>
      <c r="C112" s="107">
        <f>'Demande Format Medpro'!C110</f>
        <v>8.1900000000000001E-2</v>
      </c>
      <c r="D112" s="107">
        <f>'Demande Format Medpro'!D110</f>
        <v>1.0500000000000001E-2</v>
      </c>
      <c r="E112" s="107">
        <f>'Demande Format Medpro'!E110</f>
        <v>1.2E-2</v>
      </c>
      <c r="F112" s="107">
        <f>'Demande Format Medpro'!F110</f>
        <v>8.8000000000000005E-3</v>
      </c>
      <c r="G112" s="107">
        <f>'Demande Format Medpro'!G110</f>
        <v>7.1000000000000004E-3</v>
      </c>
      <c r="H112" s="107">
        <f>'Demande Format Medpro'!H110</f>
        <v>2.0960273043430001E-2</v>
      </c>
      <c r="I112" s="107">
        <f>'Demande Format Medpro'!I110</f>
        <v>-0.33689686759559401</v>
      </c>
      <c r="J112" s="107">
        <f>'Demande Format Medpro'!J110</f>
        <v>2.7066087089351799E-2</v>
      </c>
      <c r="K112" s="107">
        <f>'Demande Format Medpro'!K110</f>
        <v>-6.0146235650011301E-2</v>
      </c>
      <c r="L112" s="107">
        <f>'Demande Format Medpro'!L110</f>
        <v>-1.0675455379070199E-2</v>
      </c>
    </row>
    <row r="113" spans="1:12" x14ac:dyDescent="0.25">
      <c r="A113" s="106" t="s">
        <v>104</v>
      </c>
      <c r="B113" s="107">
        <f>'Demande Format Medpro'!B111</f>
        <v>10.5669</v>
      </c>
      <c r="C113" s="107">
        <f>'Demande Format Medpro'!C111</f>
        <v>12.6416</v>
      </c>
      <c r="D113" s="107">
        <f>'Demande Format Medpro'!D111</f>
        <v>12.3057</v>
      </c>
      <c r="E113" s="107">
        <f>'Demande Format Medpro'!E111</f>
        <v>12.1876</v>
      </c>
      <c r="F113" s="107">
        <f>'Demande Format Medpro'!F111</f>
        <v>12.1678</v>
      </c>
      <c r="G113" s="107">
        <f>'Demande Format Medpro'!G111</f>
        <v>12.6196</v>
      </c>
      <c r="H113" s="107">
        <f>'Demande Format Medpro'!H111</f>
        <v>1.20227989987569E-2</v>
      </c>
      <c r="I113" s="107">
        <f>'Demande Format Medpro'!I111</f>
        <v>-5.3715997482802801E-3</v>
      </c>
      <c r="J113" s="107">
        <f>'Demande Format Medpro'!J111</f>
        <v>-1.9268468925702799E-3</v>
      </c>
      <c r="K113" s="107">
        <f>'Demande Format Medpro'!K111</f>
        <v>-3.2513176350812401E-4</v>
      </c>
      <c r="L113" s="107">
        <f>'Demande Format Medpro'!L111</f>
        <v>1.8245646272585501E-3</v>
      </c>
    </row>
    <row r="114" spans="1:12" x14ac:dyDescent="0.25">
      <c r="A114" s="106" t="s">
        <v>105</v>
      </c>
      <c r="B114" s="107">
        <f>'Demande Format Medpro'!B112</f>
        <v>1.752</v>
      </c>
      <c r="C114" s="107">
        <f>'Demande Format Medpro'!C112</f>
        <v>1.3252999999999999</v>
      </c>
      <c r="D114" s="107">
        <f>'Demande Format Medpro'!D112</f>
        <v>1.4417</v>
      </c>
      <c r="E114" s="107">
        <f>'Demande Format Medpro'!E112</f>
        <v>1.4137999999999999</v>
      </c>
      <c r="F114" s="107">
        <f>'Demande Format Medpro'!F112</f>
        <v>1.3756999999999999</v>
      </c>
      <c r="G114" s="107">
        <f>'Demande Format Medpro'!G112</f>
        <v>1.2588999999999999</v>
      </c>
      <c r="H114" s="107">
        <f>'Demande Format Medpro'!H112</f>
        <v>-1.8435884011240002E-2</v>
      </c>
      <c r="I114" s="107">
        <f>'Demande Format Medpro'!I112</f>
        <v>1.69793629604462E-2</v>
      </c>
      <c r="J114" s="107">
        <f>'Demande Format Medpro'!J112</f>
        <v>-3.9007438724438801E-3</v>
      </c>
      <c r="K114" s="107">
        <f>'Demande Format Medpro'!K112</f>
        <v>-5.4487856764971997E-3</v>
      </c>
      <c r="L114" s="107">
        <f>'Demande Format Medpro'!L112</f>
        <v>-4.4263929524347399E-3</v>
      </c>
    </row>
    <row r="115" spans="1:12" x14ac:dyDescent="0.25">
      <c r="A115" s="106" t="s">
        <v>134</v>
      </c>
      <c r="B115" s="107">
        <f>'Demande Format Medpro'!B113</f>
        <v>6.2961</v>
      </c>
      <c r="C115" s="107">
        <f>'Demande Format Medpro'!C113</f>
        <v>6.7679</v>
      </c>
      <c r="D115" s="107">
        <f>'Demande Format Medpro'!D113</f>
        <v>7.2196999999999996</v>
      </c>
      <c r="E115" s="107">
        <f>'Demande Format Medpro'!E113</f>
        <v>7.2439</v>
      </c>
      <c r="F115" s="107">
        <f>'Demande Format Medpro'!F113</f>
        <v>7.2420000000000098</v>
      </c>
      <c r="G115" s="107">
        <f>'Demande Format Medpro'!G113</f>
        <v>6.9114000000000004</v>
      </c>
      <c r="H115" s="107">
        <f>'Demande Format Medpro'!H113</f>
        <v>4.8289856636014603E-3</v>
      </c>
      <c r="I115" s="107">
        <f>'Demande Format Medpro'!I113</f>
        <v>1.30083932829694E-2</v>
      </c>
      <c r="J115" s="107">
        <f>'Demande Format Medpro'!J113</f>
        <v>6.6949092969248501E-4</v>
      </c>
      <c r="K115" s="107">
        <f>'Demande Format Medpro'!K113</f>
        <v>-5.2463434655591903E-5</v>
      </c>
      <c r="L115" s="107">
        <f>'Demande Format Medpro'!L113</f>
        <v>-2.3335325281442802E-3</v>
      </c>
    </row>
    <row r="116" spans="1:12" x14ac:dyDescent="0.25">
      <c r="A116" s="106" t="s">
        <v>135</v>
      </c>
      <c r="B116" s="107">
        <f>'Demande Format Medpro'!B114</f>
        <v>2.0799999999999999E-2</v>
      </c>
      <c r="C116" s="107">
        <f>'Demande Format Medpro'!C114</f>
        <v>8.5300000000000001E-2</v>
      </c>
      <c r="D116" s="107">
        <f>'Demande Format Medpro'!D114</f>
        <v>0.1007</v>
      </c>
      <c r="E116" s="107">
        <f>'Demande Format Medpro'!E114</f>
        <v>0.1164</v>
      </c>
      <c r="F116" s="107">
        <f>'Demande Format Medpro'!F114</f>
        <v>0.1183</v>
      </c>
      <c r="G116" s="107">
        <f>'Demande Format Medpro'!G114</f>
        <v>0.12470000000000001</v>
      </c>
      <c r="H116" s="107">
        <f>'Demande Format Medpro'!H114</f>
        <v>0</v>
      </c>
      <c r="I116" s="107">
        <f>'Demande Format Medpro'!I114</f>
        <v>0</v>
      </c>
      <c r="J116" s="107">
        <f>'Demande Format Medpro'!J114</f>
        <v>0</v>
      </c>
      <c r="K116" s="107">
        <f>'Demande Format Medpro'!K114</f>
        <v>0</v>
      </c>
      <c r="L116" s="107">
        <f>'Demande Format Medpro'!L114</f>
        <v>0</v>
      </c>
    </row>
    <row r="117" spans="1:12" x14ac:dyDescent="0.25">
      <c r="A117" s="106" t="s">
        <v>136</v>
      </c>
      <c r="B117" s="107">
        <f>'Demande Format Medpro'!B115</f>
        <v>0</v>
      </c>
      <c r="C117" s="107">
        <f>'Demande Format Medpro'!C115</f>
        <v>0.420688103993204</v>
      </c>
      <c r="D117" s="107">
        <f>'Demande Format Medpro'!D115</f>
        <v>0.65528600572635798</v>
      </c>
      <c r="E117" s="107">
        <f>'Demande Format Medpro'!E115</f>
        <v>0.85316975623719604</v>
      </c>
      <c r="F117" s="107">
        <f>'Demande Format Medpro'!F115</f>
        <v>1.0269460024889701</v>
      </c>
      <c r="G117" s="107">
        <f>'Demande Format Medpro'!G115</f>
        <v>1.45611201019554</v>
      </c>
      <c r="H117" s="107">
        <f>'Demande Format Medpro'!H115</f>
        <v>0</v>
      </c>
      <c r="I117" s="107">
        <f>'Demande Format Medpro'!I115</f>
        <v>0</v>
      </c>
      <c r="J117" s="107">
        <f>'Demande Format Medpro'!J115</f>
        <v>0</v>
      </c>
      <c r="K117" s="107">
        <f>'Demande Format Medpro'!K115</f>
        <v>0</v>
      </c>
      <c r="L117" s="107">
        <f>'Demande Format Medpro'!L115</f>
        <v>0</v>
      </c>
    </row>
    <row r="118" spans="1:12" x14ac:dyDescent="0.25">
      <c r="A118" s="106"/>
      <c r="B118" s="107"/>
      <c r="C118" s="107"/>
      <c r="D118" s="107"/>
      <c r="E118" s="107"/>
      <c r="F118" s="107"/>
      <c r="G118" s="107"/>
      <c r="H118" s="107"/>
      <c r="I118" s="107"/>
      <c r="J118" s="107"/>
      <c r="K118" s="107"/>
      <c r="L118" s="107"/>
    </row>
    <row r="119" spans="1:12" ht="15.75" thickBot="1" x14ac:dyDescent="0.3">
      <c r="A119" s="141" t="s">
        <v>10</v>
      </c>
      <c r="B119" s="126">
        <f>'Demande Format Medpro'!B117</f>
        <v>42.777299999999997</v>
      </c>
      <c r="C119" s="131">
        <f>'Demande Format Medpro'!C117</f>
        <v>42.093488103993202</v>
      </c>
      <c r="D119" s="131">
        <f>'Demande Format Medpro'!D117</f>
        <v>38.949986005726402</v>
      </c>
      <c r="E119" s="131">
        <f>'Demande Format Medpro'!E117</f>
        <v>37.427669756237201</v>
      </c>
      <c r="F119" s="131">
        <f>'Demande Format Medpro'!F117</f>
        <v>36.268246002489001</v>
      </c>
      <c r="G119" s="131">
        <f>'Demande Format Medpro'!G117</f>
        <v>34.636912010195502</v>
      </c>
      <c r="H119" s="131">
        <f>'Demande Format Medpro'!H117</f>
        <v>-1.0737255569641701E-3</v>
      </c>
      <c r="I119" s="131">
        <f>'Demande Format Medpro'!I117</f>
        <v>-1.54030681153818E-2</v>
      </c>
      <c r="J119" s="131">
        <f>'Demande Format Medpro'!J117</f>
        <v>-7.9419247568907093E-3</v>
      </c>
      <c r="K119" s="131">
        <f>'Demande Format Medpro'!K117</f>
        <v>-6.27377144735408E-3</v>
      </c>
      <c r="L119" s="131">
        <f>'Demande Format Medpro'!L117</f>
        <v>-2.2984873308317102E-3</v>
      </c>
    </row>
    <row r="120" spans="1:12" x14ac:dyDescent="0.25">
      <c r="A120" s="111"/>
      <c r="B120" s="98"/>
      <c r="C120" s="98"/>
      <c r="D120" s="98"/>
      <c r="E120" s="98"/>
    </row>
    <row r="121" spans="1:12" x14ac:dyDescent="0.25">
      <c r="B121" s="98"/>
      <c r="C121" s="98"/>
      <c r="D121" s="98"/>
      <c r="E121" s="98"/>
    </row>
    <row r="122" spans="1:12" ht="16.5" thickBot="1" x14ac:dyDescent="0.3">
      <c r="A122" s="59" t="s">
        <v>137</v>
      </c>
      <c r="B122" s="53"/>
      <c r="C122" s="53"/>
      <c r="D122" s="53"/>
      <c r="E122" s="53"/>
      <c r="F122" s="53"/>
      <c r="G122" s="53"/>
      <c r="H122" s="53"/>
      <c r="I122" s="53"/>
      <c r="J122" s="53"/>
      <c r="K122" s="53"/>
      <c r="L122" s="53"/>
    </row>
    <row r="123" spans="1:12" ht="15.75" thickBot="1" x14ac:dyDescent="0.3">
      <c r="A123" s="104" t="s">
        <v>51</v>
      </c>
      <c r="B123" s="105">
        <v>2000</v>
      </c>
      <c r="C123" s="105">
        <v>2015</v>
      </c>
      <c r="D123" s="105">
        <v>2020</v>
      </c>
      <c r="E123" s="105">
        <v>2025</v>
      </c>
      <c r="F123" s="105">
        <v>2030</v>
      </c>
      <c r="G123" s="105">
        <v>2050</v>
      </c>
      <c r="H123" s="113" t="s">
        <v>98</v>
      </c>
      <c r="I123" s="114" t="s">
        <v>99</v>
      </c>
      <c r="J123" s="114" t="s">
        <v>100</v>
      </c>
      <c r="K123" s="114" t="s">
        <v>101</v>
      </c>
      <c r="L123" s="115" t="s">
        <v>102</v>
      </c>
    </row>
    <row r="124" spans="1:12" x14ac:dyDescent="0.25">
      <c r="A124" s="106" t="s">
        <v>138</v>
      </c>
      <c r="B124" s="107">
        <f>'Demande Format Medpro'!B122</f>
        <v>30.922000000000001</v>
      </c>
      <c r="C124" s="107">
        <f>'Demande Format Medpro'!C122</f>
        <v>28.023920309676601</v>
      </c>
      <c r="D124" s="107">
        <f>'Demande Format Medpro'!D122</f>
        <v>24.912528596675799</v>
      </c>
      <c r="E124" s="107">
        <f>'Demande Format Medpro'!E122</f>
        <v>23.5361416462416</v>
      </c>
      <c r="F124" s="107">
        <f>'Demande Format Medpro'!F122</f>
        <v>22.5010829799809</v>
      </c>
      <c r="G124" s="107">
        <f>'Demande Format Medpro'!G122</f>
        <v>20.207454330937399</v>
      </c>
      <c r="H124" s="107">
        <f>'Demande Format Medpro'!H122</f>
        <v>-6.5391568771049303E-3</v>
      </c>
      <c r="I124" s="107">
        <f>'Demande Format Medpro'!I122</f>
        <v>-2.32626749266578E-2</v>
      </c>
      <c r="J124" s="107">
        <f>'Demande Format Medpro'!J122</f>
        <v>-1.1302373056406001E-2</v>
      </c>
      <c r="K124" s="107">
        <f>'Demande Format Medpro'!K122</f>
        <v>-8.9544165915632599E-3</v>
      </c>
      <c r="L124" s="107">
        <f>'Demande Format Medpro'!L122</f>
        <v>-5.3611712440481104E-3</v>
      </c>
    </row>
    <row r="125" spans="1:12" x14ac:dyDescent="0.25">
      <c r="A125" s="106" t="s">
        <v>139</v>
      </c>
      <c r="B125" s="107">
        <f>'Demande Format Medpro'!B123</f>
        <v>4.4291</v>
      </c>
      <c r="C125" s="107">
        <f>'Demande Format Medpro'!C123</f>
        <v>4.6972677943166401</v>
      </c>
      <c r="D125" s="107">
        <f>'Demande Format Medpro'!D123</f>
        <v>4.4479574090505798</v>
      </c>
      <c r="E125" s="107">
        <f>'Demande Format Medpro'!E123</f>
        <v>4.3295281099956302</v>
      </c>
      <c r="F125" s="107">
        <f>'Demande Format Medpro'!F123</f>
        <v>4.2373630225080401</v>
      </c>
      <c r="G125" s="107">
        <f>'Demande Format Medpro'!G123</f>
        <v>4.09635767925809</v>
      </c>
      <c r="H125" s="107">
        <f>'Demande Format Medpro'!H123</f>
        <v>3.9266636335164602E-3</v>
      </c>
      <c r="I125" s="107">
        <f>'Demande Format Medpro'!I123</f>
        <v>-1.0847939635284E-2</v>
      </c>
      <c r="J125" s="107">
        <f>'Demande Format Medpro'!J123</f>
        <v>-5.3827462339912603E-3</v>
      </c>
      <c r="K125" s="107">
        <f>'Demande Format Medpro'!K123</f>
        <v>-4.2942347802371597E-3</v>
      </c>
      <c r="L125" s="107">
        <f>'Demande Format Medpro'!L123</f>
        <v>-1.69071608403115E-3</v>
      </c>
    </row>
    <row r="126" spans="1:12" x14ac:dyDescent="0.25">
      <c r="A126" s="106" t="s">
        <v>140</v>
      </c>
      <c r="B126" s="107">
        <f>'Demande Format Medpro'!B124</f>
        <v>2.4603000000000002</v>
      </c>
      <c r="C126" s="107">
        <f>'Demande Format Medpro'!C124</f>
        <v>2.6871999999999998</v>
      </c>
      <c r="D126" s="107">
        <f>'Demande Format Medpro'!D124</f>
        <v>2.7454999999999998</v>
      </c>
      <c r="E126" s="107">
        <f>'Demande Format Medpro'!E124</f>
        <v>2.7967</v>
      </c>
      <c r="F126" s="107">
        <f>'Demande Format Medpro'!F124</f>
        <v>2.8445</v>
      </c>
      <c r="G126" s="107">
        <f>'Demande Format Medpro'!G124</f>
        <v>2.9962</v>
      </c>
      <c r="H126" s="107">
        <f>'Demande Format Medpro'!H124</f>
        <v>5.89842531274898E-3</v>
      </c>
      <c r="I126" s="107">
        <f>'Demande Format Medpro'!I124</f>
        <v>4.3019164743893796E-3</v>
      </c>
      <c r="J126" s="107">
        <f>'Demande Format Medpro'!J124</f>
        <v>3.70222495769901E-3</v>
      </c>
      <c r="K126" s="107">
        <f>'Demande Format Medpro'!K124</f>
        <v>3.39518151968621E-3</v>
      </c>
      <c r="L126" s="107">
        <f>'Demande Format Medpro'!L124</f>
        <v>2.60125309774928E-3</v>
      </c>
    </row>
    <row r="127" spans="1:12" x14ac:dyDescent="0.25">
      <c r="A127" s="106" t="s">
        <v>141</v>
      </c>
      <c r="B127" s="107">
        <f>'Demande Format Medpro'!B125</f>
        <v>0.96689999999999998</v>
      </c>
      <c r="C127" s="107">
        <f>'Demande Format Medpro'!C125</f>
        <v>0.70150000000000001</v>
      </c>
      <c r="D127" s="107">
        <f>'Demande Format Medpro'!D125</f>
        <v>0.67610000000000003</v>
      </c>
      <c r="E127" s="107">
        <f>'Demande Format Medpro'!E125</f>
        <v>0.64649999999999996</v>
      </c>
      <c r="F127" s="107">
        <f>'Demande Format Medpro'!F125</f>
        <v>0.6139</v>
      </c>
      <c r="G127" s="107">
        <f>'Demande Format Medpro'!G125</f>
        <v>0.4284</v>
      </c>
      <c r="H127" s="107">
        <f>'Demande Format Medpro'!H125</f>
        <v>-2.1164434117033299E-2</v>
      </c>
      <c r="I127" s="107">
        <f>'Demande Format Medpro'!I125</f>
        <v>-7.3488452993424299E-3</v>
      </c>
      <c r="J127" s="107">
        <f>'Demande Format Medpro'!J125</f>
        <v>-8.9135954275146902E-3</v>
      </c>
      <c r="K127" s="107">
        <f>'Demande Format Medpro'!K125</f>
        <v>-1.0294871238786901E-2</v>
      </c>
      <c r="L127" s="107">
        <f>'Demande Format Medpro'!L125</f>
        <v>-1.7827904019555099E-2</v>
      </c>
    </row>
    <row r="128" spans="1:12" x14ac:dyDescent="0.25">
      <c r="A128" s="106" t="s">
        <v>142</v>
      </c>
      <c r="B128" s="107">
        <f>'Demande Format Medpro'!B126</f>
        <v>3.9872999999999998</v>
      </c>
      <c r="C128" s="107">
        <f>'Demande Format Medpro'!C126</f>
        <v>5.9343000000000004</v>
      </c>
      <c r="D128" s="107">
        <f>'Demande Format Medpro'!D126</f>
        <v>6.0978000000000003</v>
      </c>
      <c r="E128" s="107">
        <f>'Demande Format Medpro'!E126</f>
        <v>6.0098000000000003</v>
      </c>
      <c r="F128" s="107">
        <f>'Demande Format Medpro'!F126</f>
        <v>5.9207999999999998</v>
      </c>
      <c r="G128" s="107">
        <f>'Demande Format Medpro'!G126</f>
        <v>6.4943</v>
      </c>
      <c r="H128" s="107">
        <f>'Demande Format Medpro'!H126</f>
        <v>2.6863473013139599E-2</v>
      </c>
      <c r="I128" s="107">
        <f>'Demande Format Medpro'!I126</f>
        <v>5.4505954743069296E-3</v>
      </c>
      <c r="J128" s="107">
        <f>'Demande Format Medpro'!J126</f>
        <v>-2.9030939026749602E-3</v>
      </c>
      <c r="K128" s="107">
        <f>'Demande Format Medpro'!K126</f>
        <v>-2.9795314039316998E-3</v>
      </c>
      <c r="L128" s="107">
        <f>'Demande Format Medpro'!L126</f>
        <v>4.6333657072765702E-3</v>
      </c>
    </row>
    <row r="129" spans="1:12" x14ac:dyDescent="0.25">
      <c r="A129" s="106" t="s">
        <v>143</v>
      </c>
      <c r="B129" s="107">
        <f>'Demande Format Medpro'!B127</f>
        <v>1.1599999999999999E-2</v>
      </c>
      <c r="C129" s="107">
        <f>'Demande Format Medpro'!C127</f>
        <v>4.9200000000000001E-2</v>
      </c>
      <c r="D129" s="107">
        <f>'Demande Format Medpro'!D127</f>
        <v>7.0000000000000007E-2</v>
      </c>
      <c r="E129" s="107">
        <f>'Demande Format Medpro'!E127</f>
        <v>0.1089</v>
      </c>
      <c r="F129" s="107">
        <f>'Demande Format Medpro'!F127</f>
        <v>0.15049999999999999</v>
      </c>
      <c r="G129" s="107">
        <f>'Demande Format Medpro'!G127</f>
        <v>0.4143</v>
      </c>
      <c r="H129" s="107">
        <f>'Demande Format Medpro'!H127</f>
        <v>0</v>
      </c>
      <c r="I129" s="107">
        <f>'Demande Format Medpro'!I127</f>
        <v>0</v>
      </c>
      <c r="J129" s="107">
        <f>'Demande Format Medpro'!J127</f>
        <v>0</v>
      </c>
      <c r="K129" s="107">
        <f>'Demande Format Medpro'!K127</f>
        <v>0</v>
      </c>
      <c r="L129" s="107">
        <f>'Demande Format Medpro'!L127</f>
        <v>0</v>
      </c>
    </row>
    <row r="130" spans="1:12" x14ac:dyDescent="0.25">
      <c r="A130" s="106"/>
      <c r="B130" s="107"/>
      <c r="C130" s="107"/>
      <c r="D130" s="107"/>
      <c r="E130" s="107"/>
      <c r="F130" s="107"/>
      <c r="G130" s="107"/>
      <c r="H130" s="107"/>
      <c r="I130" s="107"/>
      <c r="J130" s="107"/>
      <c r="K130" s="107"/>
      <c r="L130" s="107"/>
    </row>
    <row r="131" spans="1:12" ht="15.75" thickBot="1" x14ac:dyDescent="0.3">
      <c r="A131" s="141" t="s">
        <v>10</v>
      </c>
      <c r="B131" s="131">
        <f>'Demande Format Medpro'!B129</f>
        <v>42.777299999999997</v>
      </c>
      <c r="C131" s="131">
        <f>'Demande Format Medpro'!C129</f>
        <v>42.093488103993202</v>
      </c>
      <c r="D131" s="131">
        <f>'Demande Format Medpro'!D129</f>
        <v>38.949986005726402</v>
      </c>
      <c r="E131" s="131">
        <f>'Demande Format Medpro'!E129</f>
        <v>37.427669756237201</v>
      </c>
      <c r="F131" s="131">
        <f>'Demande Format Medpro'!F129</f>
        <v>36.268246002489001</v>
      </c>
      <c r="G131" s="131">
        <f>'Demande Format Medpro'!G129</f>
        <v>34.636912010195502</v>
      </c>
      <c r="H131" s="131">
        <f>'Demande Format Medpro'!H129</f>
        <v>-1.0737255569641701E-3</v>
      </c>
      <c r="I131" s="131">
        <f>'Demande Format Medpro'!I129</f>
        <v>-1.54030681153818E-2</v>
      </c>
      <c r="J131" s="131">
        <f>'Demande Format Medpro'!J129</f>
        <v>-7.9419247568907093E-3</v>
      </c>
      <c r="K131" s="131">
        <f>'Demande Format Medpro'!K129</f>
        <v>-6.27377144735408E-3</v>
      </c>
      <c r="L131" s="131">
        <f>'Demande Format Medpro'!L129</f>
        <v>-2.2984873308317102E-3</v>
      </c>
    </row>
    <row r="132" spans="1:12" x14ac:dyDescent="0.25">
      <c r="A132" s="111"/>
      <c r="B132" s="98"/>
      <c r="C132" s="98"/>
      <c r="D132" s="98"/>
      <c r="E132" s="98"/>
    </row>
    <row r="133" spans="1:12" x14ac:dyDescent="0.25">
      <c r="B133" s="98"/>
      <c r="C133" s="98"/>
      <c r="D133" s="98"/>
      <c r="E133" s="98"/>
    </row>
    <row r="134" spans="1:12" ht="16.5" thickBot="1" x14ac:dyDescent="0.3">
      <c r="A134" s="59" t="s">
        <v>144</v>
      </c>
      <c r="B134" s="53"/>
      <c r="C134" s="53"/>
      <c r="D134" s="53"/>
      <c r="E134" s="53"/>
      <c r="F134" s="53"/>
      <c r="G134" s="53"/>
      <c r="H134" s="53"/>
      <c r="I134" s="53"/>
      <c r="J134" s="53"/>
      <c r="K134" s="53"/>
      <c r="L134" s="53"/>
    </row>
    <row r="135" spans="1:12" ht="15.75" thickBot="1" x14ac:dyDescent="0.3">
      <c r="A135" s="104" t="s">
        <v>51</v>
      </c>
      <c r="B135" s="105">
        <v>2000</v>
      </c>
      <c r="C135" s="105">
        <v>2015</v>
      </c>
      <c r="D135" s="105">
        <v>2020</v>
      </c>
      <c r="E135" s="105">
        <v>2025</v>
      </c>
      <c r="F135" s="105">
        <v>2030</v>
      </c>
      <c r="G135" s="105">
        <v>2050</v>
      </c>
      <c r="H135" s="113" t="s">
        <v>98</v>
      </c>
      <c r="I135" s="114" t="s">
        <v>99</v>
      </c>
      <c r="J135" s="114" t="s">
        <v>100</v>
      </c>
      <c r="K135" s="114" t="s">
        <v>101</v>
      </c>
      <c r="L135" s="115" t="s">
        <v>102</v>
      </c>
    </row>
    <row r="136" spans="1:12" x14ac:dyDescent="0.25">
      <c r="A136" s="106" t="s">
        <v>103</v>
      </c>
      <c r="B136" s="107">
        <f>'Demande Format Medpro'!B134</f>
        <v>9.0759000000000007</v>
      </c>
      <c r="C136" s="107">
        <f>'Demande Format Medpro'!C134</f>
        <v>6.5214999999999996</v>
      </c>
      <c r="D136" s="107">
        <f>'Demande Format Medpro'!D134</f>
        <v>5.1642000000000001</v>
      </c>
      <c r="E136" s="107">
        <f>'Demande Format Medpro'!E134</f>
        <v>4.3639999999999999</v>
      </c>
      <c r="F136" s="107">
        <f>'Demande Format Medpro'!F134</f>
        <v>3.6859000000000002</v>
      </c>
      <c r="G136" s="107">
        <f>'Demande Format Medpro'!G134</f>
        <v>2.8035000000000001</v>
      </c>
      <c r="H136" s="107">
        <f>'Demande Format Medpro'!H134</f>
        <v>-2.17935552584426E-2</v>
      </c>
      <c r="I136" s="107">
        <f>'Demande Format Medpro'!I134</f>
        <v>-4.5598505014204697E-2</v>
      </c>
      <c r="J136" s="107">
        <f>'Demande Format Medpro'!J134</f>
        <v>-3.3111627186345201E-2</v>
      </c>
      <c r="K136" s="107">
        <f>'Demande Format Medpro'!K134</f>
        <v>-3.3210864451994698E-2</v>
      </c>
      <c r="L136" s="107">
        <f>'Demande Format Medpro'!L134</f>
        <v>-1.35891273449983E-2</v>
      </c>
    </row>
    <row r="137" spans="1:12" x14ac:dyDescent="0.25">
      <c r="A137" s="106" t="s">
        <v>54</v>
      </c>
      <c r="B137" s="107">
        <f>'Demande Format Medpro'!B135</f>
        <v>15.005599999999999</v>
      </c>
      <c r="C137" s="107">
        <f>'Demande Format Medpro'!C135</f>
        <v>14.2493</v>
      </c>
      <c r="D137" s="107">
        <f>'Demande Format Medpro'!D135</f>
        <v>12.052199999999999</v>
      </c>
      <c r="E137" s="107">
        <f>'Demande Format Medpro'!E135</f>
        <v>11.236800000000001</v>
      </c>
      <c r="F137" s="107">
        <f>'Demande Format Medpro'!F135</f>
        <v>10.642799999999999</v>
      </c>
      <c r="G137" s="107">
        <f>'Demande Format Medpro'!G135</f>
        <v>9.4556000000000004</v>
      </c>
      <c r="H137" s="107">
        <f>'Demande Format Medpro'!H135</f>
        <v>-3.44177560248382E-3</v>
      </c>
      <c r="I137" s="107">
        <f>'Demande Format Medpro'!I135</f>
        <v>-3.2937461927411801E-2</v>
      </c>
      <c r="J137" s="107">
        <f>'Demande Format Medpro'!J135</f>
        <v>-1.39129299038766E-2</v>
      </c>
      <c r="K137" s="107">
        <f>'Demande Format Medpro'!K135</f>
        <v>-1.0803320256092101E-2</v>
      </c>
      <c r="L137" s="107">
        <f>'Demande Format Medpro'!L135</f>
        <v>-5.8963702023894201E-3</v>
      </c>
    </row>
    <row r="138" spans="1:12" x14ac:dyDescent="0.25">
      <c r="A138" s="106" t="s">
        <v>42</v>
      </c>
      <c r="B138" s="107">
        <f>'Demande Format Medpro'!B136</f>
        <v>0.06</v>
      </c>
      <c r="C138" s="107">
        <f>'Demande Format Medpro'!C136</f>
        <v>8.1900000000000001E-2</v>
      </c>
      <c r="D138" s="107">
        <f>'Demande Format Medpro'!D136</f>
        <v>1.0500000000000001E-2</v>
      </c>
      <c r="E138" s="107">
        <f>'Demande Format Medpro'!E136</f>
        <v>1.2E-2</v>
      </c>
      <c r="F138" s="107">
        <f>'Demande Format Medpro'!F136</f>
        <v>8.8000000000000005E-3</v>
      </c>
      <c r="G138" s="107">
        <f>'Demande Format Medpro'!G136</f>
        <v>7.1000000000000004E-3</v>
      </c>
      <c r="H138" s="107">
        <f>'Demande Format Medpro'!H136</f>
        <v>2.0960273043430001E-2</v>
      </c>
      <c r="I138" s="107">
        <f>'Demande Format Medpro'!I136</f>
        <v>-0.33689686759559401</v>
      </c>
      <c r="J138" s="107">
        <f>'Demande Format Medpro'!J136</f>
        <v>2.7066087089351799E-2</v>
      </c>
      <c r="K138" s="107">
        <f>'Demande Format Medpro'!K136</f>
        <v>-6.0146235650011301E-2</v>
      </c>
      <c r="L138" s="107">
        <f>'Demande Format Medpro'!L136</f>
        <v>-1.0675455379070199E-2</v>
      </c>
    </row>
    <row r="139" spans="1:12" x14ac:dyDescent="0.25">
      <c r="A139" s="106" t="s">
        <v>104</v>
      </c>
      <c r="B139" s="107">
        <f>'Demande Format Medpro'!B137</f>
        <v>5.6010999999999997</v>
      </c>
      <c r="C139" s="107">
        <f>'Demande Format Medpro'!C137</f>
        <v>5.9565999999999999</v>
      </c>
      <c r="D139" s="107">
        <f>'Demande Format Medpro'!D137</f>
        <v>5.4618000000000002</v>
      </c>
      <c r="E139" s="107">
        <f>'Demande Format Medpro'!E137</f>
        <v>5.4223999999999997</v>
      </c>
      <c r="F139" s="107">
        <f>'Demande Format Medpro'!F137</f>
        <v>5.4825999999999997</v>
      </c>
      <c r="G139" s="107">
        <f>'Demande Format Medpro'!G137</f>
        <v>5.2826000000000004</v>
      </c>
      <c r="H139" s="107">
        <f>'Demande Format Medpro'!H137</f>
        <v>4.1108826907092499E-3</v>
      </c>
      <c r="I139" s="107">
        <f>'Demande Format Medpro'!I137</f>
        <v>-1.7194742215482599E-2</v>
      </c>
      <c r="J139" s="107">
        <f>'Demande Format Medpro'!J137</f>
        <v>-1.44692896472554E-3</v>
      </c>
      <c r="K139" s="107">
        <f>'Demande Format Medpro'!K137</f>
        <v>2.21062365883862E-3</v>
      </c>
      <c r="L139" s="107">
        <f>'Demande Format Medpro'!L137</f>
        <v>-1.85632690187798E-3</v>
      </c>
    </row>
    <row r="140" spans="1:12" x14ac:dyDescent="0.25">
      <c r="A140" s="106" t="s">
        <v>105</v>
      </c>
      <c r="B140" s="107">
        <f>'Demande Format Medpro'!B138</f>
        <v>1.752</v>
      </c>
      <c r="C140" s="107">
        <f>'Demande Format Medpro'!C138</f>
        <v>1.3252999999999999</v>
      </c>
      <c r="D140" s="107">
        <f>'Demande Format Medpro'!D138</f>
        <v>1.4417</v>
      </c>
      <c r="E140" s="107">
        <f>'Demande Format Medpro'!E138</f>
        <v>1.4137999999999999</v>
      </c>
      <c r="F140" s="107">
        <f>'Demande Format Medpro'!F138</f>
        <v>1.3756999999999999</v>
      </c>
      <c r="G140" s="107">
        <f>'Demande Format Medpro'!G138</f>
        <v>1.2588999999999999</v>
      </c>
      <c r="H140" s="107">
        <f>'Demande Format Medpro'!H138</f>
        <v>-1.8435884011240002E-2</v>
      </c>
      <c r="I140" s="107">
        <f>'Demande Format Medpro'!I138</f>
        <v>1.69793629604462E-2</v>
      </c>
      <c r="J140" s="107">
        <f>'Demande Format Medpro'!J138</f>
        <v>-3.9007438724438801E-3</v>
      </c>
      <c r="K140" s="107">
        <f>'Demande Format Medpro'!K138</f>
        <v>-5.4487856764971997E-3</v>
      </c>
      <c r="L140" s="107">
        <f>'Demande Format Medpro'!L138</f>
        <v>-4.4263929524347399E-3</v>
      </c>
    </row>
    <row r="141" spans="1:12" x14ac:dyDescent="0.25">
      <c r="A141" s="106" t="s">
        <v>134</v>
      </c>
      <c r="B141" s="107">
        <f>'Demande Format Medpro'!B139</f>
        <v>6.2961</v>
      </c>
      <c r="C141" s="107">
        <f>'Demande Format Medpro'!C139</f>
        <v>6.7679</v>
      </c>
      <c r="D141" s="107">
        <f>'Demande Format Medpro'!D139</f>
        <v>7.2196999999999996</v>
      </c>
      <c r="E141" s="107">
        <f>'Demande Format Medpro'!E139</f>
        <v>7.2439</v>
      </c>
      <c r="F141" s="107">
        <f>'Demande Format Medpro'!F139</f>
        <v>7.2420000000000098</v>
      </c>
      <c r="G141" s="107">
        <f>'Demande Format Medpro'!G139</f>
        <v>6.9114000000000004</v>
      </c>
      <c r="H141" s="107">
        <f>'Demande Format Medpro'!H139</f>
        <v>4.8289856636014603E-3</v>
      </c>
      <c r="I141" s="107">
        <f>'Demande Format Medpro'!I139</f>
        <v>1.30083932829694E-2</v>
      </c>
      <c r="J141" s="107">
        <f>'Demande Format Medpro'!J139</f>
        <v>6.6949092969248501E-4</v>
      </c>
      <c r="K141" s="107">
        <f>'Demande Format Medpro'!K139</f>
        <v>-5.2463434655591903E-5</v>
      </c>
      <c r="L141" s="107">
        <f>'Demande Format Medpro'!L139</f>
        <v>-2.3335325281442802E-3</v>
      </c>
    </row>
    <row r="142" spans="1:12" x14ac:dyDescent="0.25">
      <c r="A142" s="106" t="s">
        <v>135</v>
      </c>
      <c r="B142" s="107">
        <f>'Demande Format Medpro'!B140</f>
        <v>2.0799999999999999E-2</v>
      </c>
      <c r="C142" s="107">
        <f>'Demande Format Medpro'!C140</f>
        <v>8.5300000000000001E-2</v>
      </c>
      <c r="D142" s="107">
        <f>'Demande Format Medpro'!D140</f>
        <v>0.1007</v>
      </c>
      <c r="E142" s="107">
        <f>'Demande Format Medpro'!E140</f>
        <v>0.1164</v>
      </c>
      <c r="F142" s="107">
        <f>'Demande Format Medpro'!F140</f>
        <v>0.1183</v>
      </c>
      <c r="G142" s="107">
        <f>'Demande Format Medpro'!G140</f>
        <v>0.12470000000000001</v>
      </c>
      <c r="H142" s="107">
        <f>'Demande Format Medpro'!H140</f>
        <v>0</v>
      </c>
      <c r="I142" s="107">
        <f>'Demande Format Medpro'!I140</f>
        <v>0</v>
      </c>
      <c r="J142" s="107">
        <f>'Demande Format Medpro'!J140</f>
        <v>0</v>
      </c>
      <c r="K142" s="107">
        <f>'Demande Format Medpro'!K140</f>
        <v>0</v>
      </c>
      <c r="L142" s="107">
        <f>'Demande Format Medpro'!L140</f>
        <v>0</v>
      </c>
    </row>
    <row r="143" spans="1:12" x14ac:dyDescent="0.25">
      <c r="A143" s="106" t="s">
        <v>136</v>
      </c>
      <c r="B143" s="107">
        <f>'Demande Format Medpro'!B141</f>
        <v>0</v>
      </c>
      <c r="C143" s="107">
        <f>'Demande Format Medpro'!C141</f>
        <v>0.420688103993204</v>
      </c>
      <c r="D143" s="107">
        <f>'Demande Format Medpro'!D141</f>
        <v>0.65528600572635798</v>
      </c>
      <c r="E143" s="107">
        <f>'Demande Format Medpro'!E141</f>
        <v>0.85316975623719604</v>
      </c>
      <c r="F143" s="107">
        <f>'Demande Format Medpro'!F141</f>
        <v>1.0269460024889701</v>
      </c>
      <c r="G143" s="107">
        <f>'Demande Format Medpro'!G141</f>
        <v>1.45611201019554</v>
      </c>
      <c r="H143" s="107">
        <f>'Demande Format Medpro'!H141</f>
        <v>0</v>
      </c>
      <c r="I143" s="107">
        <f>'Demande Format Medpro'!I141</f>
        <v>0</v>
      </c>
      <c r="J143" s="107">
        <f>'Demande Format Medpro'!J141</f>
        <v>0</v>
      </c>
      <c r="K143" s="107">
        <f>'Demande Format Medpro'!K141</f>
        <v>0</v>
      </c>
      <c r="L143" s="107">
        <f>'Demande Format Medpro'!L141</f>
        <v>0</v>
      </c>
    </row>
    <row r="144" spans="1:12" x14ac:dyDescent="0.25">
      <c r="A144" s="106"/>
      <c r="B144" s="107"/>
      <c r="C144" s="107"/>
      <c r="D144" s="107"/>
      <c r="E144" s="107"/>
      <c r="F144" s="107"/>
      <c r="G144" s="107"/>
      <c r="H144" s="107"/>
      <c r="I144" s="107"/>
      <c r="J144" s="107"/>
      <c r="K144" s="107"/>
      <c r="L144" s="107"/>
    </row>
    <row r="145" spans="1:18" ht="15.75" thickBot="1" x14ac:dyDescent="0.3">
      <c r="A145" s="141" t="s">
        <v>10</v>
      </c>
      <c r="B145" s="126">
        <f>'Demande Format Medpro'!B143</f>
        <v>37.811500000000002</v>
      </c>
      <c r="C145" s="131">
        <f>'Demande Format Medpro'!C143</f>
        <v>35.4084881039932</v>
      </c>
      <c r="D145" s="131">
        <f>'Demande Format Medpro'!D143</f>
        <v>32.106086005726397</v>
      </c>
      <c r="E145" s="131">
        <f>'Demande Format Medpro'!E143</f>
        <v>30.662469756237201</v>
      </c>
      <c r="F145" s="131">
        <f>'Demande Format Medpro'!F143</f>
        <v>29.583046002488999</v>
      </c>
      <c r="G145" s="131">
        <f>'Demande Format Medpro'!G143</f>
        <v>27.299912010195499</v>
      </c>
      <c r="H145" s="131">
        <f>'Demande Format Medpro'!H143</f>
        <v>-4.3678809933656E-3</v>
      </c>
      <c r="I145" s="131">
        <f>'Demande Format Medpro'!I143</f>
        <v>-1.9390725865499302E-2</v>
      </c>
      <c r="J145" s="131">
        <f>'Demande Format Medpro'!J143</f>
        <v>-9.1590349797487907E-3</v>
      </c>
      <c r="K145" s="131">
        <f>'Demande Format Medpro'!K143</f>
        <v>-7.1419732611346402E-3</v>
      </c>
      <c r="L145" s="131">
        <f>'Demande Format Medpro'!L143</f>
        <v>-4.0078444641916703E-3</v>
      </c>
    </row>
    <row r="146" spans="1:18" x14ac:dyDescent="0.25">
      <c r="B146" s="142"/>
      <c r="C146" s="142"/>
      <c r="D146" s="142"/>
      <c r="E146" s="142"/>
      <c r="F146" s="142"/>
      <c r="G146" s="142"/>
    </row>
    <row r="147" spans="1:18" x14ac:dyDescent="0.25">
      <c r="B147" s="98"/>
      <c r="C147" s="98"/>
      <c r="D147" s="98"/>
      <c r="E147" s="98"/>
    </row>
    <row r="148" spans="1:18" ht="16.5" thickBot="1" x14ac:dyDescent="0.3">
      <c r="A148" s="59" t="s">
        <v>145</v>
      </c>
      <c r="B148" s="53"/>
      <c r="C148" s="53"/>
      <c r="D148" s="53"/>
      <c r="E148" s="53"/>
      <c r="F148" s="53"/>
      <c r="G148" s="53"/>
      <c r="H148" s="53"/>
      <c r="I148" s="53"/>
      <c r="J148" s="53"/>
      <c r="K148" s="53"/>
      <c r="L148" s="53"/>
    </row>
    <row r="149" spans="1:18" ht="15.75" thickBot="1" x14ac:dyDescent="0.3">
      <c r="A149" s="104" t="s">
        <v>51</v>
      </c>
      <c r="B149" s="105">
        <v>2000</v>
      </c>
      <c r="C149" s="105">
        <v>2015</v>
      </c>
      <c r="D149" s="105">
        <v>2020</v>
      </c>
      <c r="E149" s="105">
        <v>2025</v>
      </c>
      <c r="F149" s="105">
        <v>2030</v>
      </c>
      <c r="G149" s="105">
        <v>2050</v>
      </c>
      <c r="H149" s="113" t="s">
        <v>98</v>
      </c>
      <c r="I149" s="114" t="s">
        <v>99</v>
      </c>
      <c r="J149" s="114" t="s">
        <v>100</v>
      </c>
      <c r="K149" s="114" t="s">
        <v>101</v>
      </c>
      <c r="L149" s="115" t="s">
        <v>102</v>
      </c>
    </row>
    <row r="150" spans="1:18" x14ac:dyDescent="0.25">
      <c r="A150" s="106" t="s">
        <v>103</v>
      </c>
      <c r="B150" s="121">
        <f>'Demande Format Medpro'!B148</f>
        <v>7.42</v>
      </c>
      <c r="C150" s="121">
        <f>'Demande Format Medpro'!C148</f>
        <v>5.2900999999999998</v>
      </c>
      <c r="D150" s="121">
        <f>'Demande Format Medpro'!D148</f>
        <v>4.2248000000000001</v>
      </c>
      <c r="E150" s="121">
        <f>'Demande Format Medpro'!E148</f>
        <v>3.6564000000000001</v>
      </c>
      <c r="F150" s="121">
        <f>'Demande Format Medpro'!F148</f>
        <v>3.2021000000000002</v>
      </c>
      <c r="G150" s="121">
        <f>'Demande Format Medpro'!G148</f>
        <v>2.3736000000000002</v>
      </c>
      <c r="H150" s="121">
        <f>'Demande Format Medpro'!H148</f>
        <v>-2.2303639699071901E-2</v>
      </c>
      <c r="I150" s="121">
        <f>'Demande Format Medpro'!I148</f>
        <v>-4.3976749265529899E-2</v>
      </c>
      <c r="J150" s="121">
        <f>'Demande Format Medpro'!J148</f>
        <v>-2.8485002797911701E-2</v>
      </c>
      <c r="K150" s="121">
        <f>'Demande Format Medpro'!K148</f>
        <v>-2.61854972954489E-2</v>
      </c>
      <c r="L150" s="121">
        <f>'Demande Format Medpro'!L148</f>
        <v>-1.4858460026491599E-2</v>
      </c>
      <c r="N150" s="108"/>
      <c r="O150" s="108"/>
      <c r="P150" s="108"/>
      <c r="Q150" s="108"/>
      <c r="R150" s="108"/>
    </row>
    <row r="151" spans="1:18" x14ac:dyDescent="0.25">
      <c r="A151" s="106" t="s">
        <v>54</v>
      </c>
      <c r="B151" s="121">
        <f>'Demande Format Medpro'!B149</f>
        <v>12.598000000000001</v>
      </c>
      <c r="C151" s="121">
        <f>'Demande Format Medpro'!C149</f>
        <v>11.803000000000001</v>
      </c>
      <c r="D151" s="121">
        <f>'Demande Format Medpro'!D149</f>
        <v>9.6600999999999999</v>
      </c>
      <c r="E151" s="121">
        <f>'Demande Format Medpro'!E149</f>
        <v>8.9097000000000008</v>
      </c>
      <c r="F151" s="121">
        <f>'Demande Format Medpro'!F149</f>
        <v>8.3757000000000001</v>
      </c>
      <c r="G151" s="121">
        <f>'Demande Format Medpro'!G149</f>
        <v>7.4927999999999999</v>
      </c>
      <c r="H151" s="121">
        <f>'Demande Format Medpro'!H149</f>
        <v>-4.3361937627828303E-3</v>
      </c>
      <c r="I151" s="121">
        <f>'Demande Format Medpro'!I149</f>
        <v>-3.9277763087819002E-2</v>
      </c>
      <c r="J151" s="121">
        <f>'Demande Format Medpro'!J149</f>
        <v>-1.6042610135881E-2</v>
      </c>
      <c r="K151" s="121">
        <f>'Demande Format Medpro'!K149</f>
        <v>-1.22850973186632E-2</v>
      </c>
      <c r="L151" s="121">
        <f>'Demande Format Medpro'!L149</f>
        <v>-5.5541233492533201E-3</v>
      </c>
      <c r="N151" s="108"/>
      <c r="O151" s="108"/>
      <c r="P151" s="108"/>
      <c r="Q151" s="108"/>
      <c r="R151" s="108"/>
    </row>
    <row r="152" spans="1:18" x14ac:dyDescent="0.25">
      <c r="A152" s="106" t="s">
        <v>42</v>
      </c>
      <c r="B152" s="121">
        <f>'Demande Format Medpro'!B150</f>
        <v>0.06</v>
      </c>
      <c r="C152" s="121">
        <f>'Demande Format Medpro'!C150</f>
        <v>8.1900000000000001E-2</v>
      </c>
      <c r="D152" s="121">
        <f>'Demande Format Medpro'!D150</f>
        <v>1.0500000000000001E-2</v>
      </c>
      <c r="E152" s="121">
        <f>'Demande Format Medpro'!E150</f>
        <v>1.2E-2</v>
      </c>
      <c r="F152" s="121">
        <f>'Demande Format Medpro'!F150</f>
        <v>8.8000000000000005E-3</v>
      </c>
      <c r="G152" s="121">
        <f>'Demande Format Medpro'!G150</f>
        <v>7.1000000000000004E-3</v>
      </c>
      <c r="H152" s="121">
        <f>'Demande Format Medpro'!H150</f>
        <v>2.0960273043430001E-2</v>
      </c>
      <c r="I152" s="121">
        <f>'Demande Format Medpro'!I150</f>
        <v>-0.33689686759559401</v>
      </c>
      <c r="J152" s="121">
        <f>'Demande Format Medpro'!J150</f>
        <v>2.7066087089351799E-2</v>
      </c>
      <c r="K152" s="121">
        <f>'Demande Format Medpro'!K150</f>
        <v>-6.0146235650011301E-2</v>
      </c>
      <c r="L152" s="121">
        <f>'Demande Format Medpro'!L150</f>
        <v>-1.0675455379070199E-2</v>
      </c>
      <c r="N152" s="108"/>
      <c r="O152" s="108"/>
      <c r="P152" s="108"/>
      <c r="Q152" s="108"/>
      <c r="R152" s="108"/>
    </row>
    <row r="153" spans="1:18" x14ac:dyDescent="0.25">
      <c r="A153" s="106" t="s">
        <v>104</v>
      </c>
      <c r="B153" s="121">
        <f>'Demande Format Medpro'!B151</f>
        <v>3.2040000000000002</v>
      </c>
      <c r="C153" s="121">
        <f>'Demande Format Medpro'!C151</f>
        <v>2.6758000000000002</v>
      </c>
      <c r="D153" s="121">
        <f>'Demande Format Medpro'!D151</f>
        <v>2.1305000000000001</v>
      </c>
      <c r="E153" s="121">
        <f>'Demande Format Medpro'!E151</f>
        <v>1.9403999999999999</v>
      </c>
      <c r="F153" s="121">
        <f>'Demande Format Medpro'!F151</f>
        <v>1.8198000000000001</v>
      </c>
      <c r="G153" s="121">
        <f>'Demande Format Medpro'!G151</f>
        <v>1.5403</v>
      </c>
      <c r="H153" s="121">
        <f>'Demande Format Medpro'!H151</f>
        <v>-1.1938275053230101E-2</v>
      </c>
      <c r="I153" s="121">
        <f>'Demande Format Medpro'!I151</f>
        <v>-4.4555251258347403E-2</v>
      </c>
      <c r="J153" s="121">
        <f>'Demande Format Medpro'!J151</f>
        <v>-1.85188898144911E-2</v>
      </c>
      <c r="K153" s="121">
        <f>'Demande Format Medpro'!K151</f>
        <v>-1.27515081953163E-2</v>
      </c>
      <c r="L153" s="121">
        <f>'Demande Format Medpro'!L151</f>
        <v>-8.3028098039769106E-3</v>
      </c>
      <c r="N153" s="108"/>
      <c r="O153" s="108"/>
      <c r="P153" s="108"/>
      <c r="Q153" s="108"/>
      <c r="R153" s="108"/>
    </row>
    <row r="154" spans="1:18" x14ac:dyDescent="0.25">
      <c r="A154" s="106" t="s">
        <v>105</v>
      </c>
      <c r="B154" s="121">
        <f>'Demande Format Medpro'!B152</f>
        <v>1.4530000000000001</v>
      </c>
      <c r="C154" s="121">
        <f>'Demande Format Medpro'!C152</f>
        <v>1.0764</v>
      </c>
      <c r="D154" s="121">
        <f>'Demande Format Medpro'!D152</f>
        <v>1.1569</v>
      </c>
      <c r="E154" s="121">
        <f>'Demande Format Medpro'!E152</f>
        <v>1.1224000000000001</v>
      </c>
      <c r="F154" s="121">
        <f>'Demande Format Medpro'!F152</f>
        <v>1.0828</v>
      </c>
      <c r="G154" s="121">
        <f>'Demande Format Medpro'!G152</f>
        <v>0.96579999999999999</v>
      </c>
      <c r="H154" s="121">
        <f>'Demande Format Medpro'!H152</f>
        <v>-1.9801865457175799E-2</v>
      </c>
      <c r="I154" s="121">
        <f>'Demande Format Medpro'!I152</f>
        <v>1.45289081355604E-2</v>
      </c>
      <c r="J154" s="121">
        <f>'Demande Format Medpro'!J152</f>
        <v>-6.0366585646151102E-3</v>
      </c>
      <c r="K154" s="121">
        <f>'Demande Format Medpro'!K152</f>
        <v>-7.1580524380782098E-3</v>
      </c>
      <c r="L154" s="121">
        <f>'Demande Format Medpro'!L152</f>
        <v>-5.7011257646408797E-3</v>
      </c>
      <c r="N154" s="108"/>
      <c r="O154" s="108"/>
      <c r="P154" s="108"/>
      <c r="Q154" s="108"/>
      <c r="R154" s="108"/>
    </row>
    <row r="155" spans="1:18" x14ac:dyDescent="0.25">
      <c r="A155" s="106" t="s">
        <v>134</v>
      </c>
      <c r="B155" s="121">
        <f>'Demande Format Medpro'!B153</f>
        <v>6.1870000000000003</v>
      </c>
      <c r="C155" s="121">
        <f>'Demande Format Medpro'!C153</f>
        <v>6.6993999999999998</v>
      </c>
      <c r="D155" s="121">
        <f>'Demande Format Medpro'!D153</f>
        <v>7.1783999999999999</v>
      </c>
      <c r="E155" s="121">
        <f>'Demande Format Medpro'!E153</f>
        <v>7.2217000000000002</v>
      </c>
      <c r="F155" s="121">
        <f>'Demande Format Medpro'!F153</f>
        <v>7.2374000000000001</v>
      </c>
      <c r="G155" s="121">
        <f>'Demande Format Medpro'!G153</f>
        <v>6.9071999999999996</v>
      </c>
      <c r="H155" s="121">
        <f>'Demande Format Medpro'!H153</f>
        <v>5.3186040636485901E-3</v>
      </c>
      <c r="I155" s="121">
        <f>'Demande Format Medpro'!I153</f>
        <v>1.3907531676985699E-2</v>
      </c>
      <c r="J155" s="121">
        <f>'Demande Format Medpro'!J153</f>
        <v>1.20349667180797E-3</v>
      </c>
      <c r="K155" s="121">
        <f>'Demande Format Medpro'!K153</f>
        <v>4.3442305940599702E-4</v>
      </c>
      <c r="L155" s="121">
        <f>'Demande Format Medpro'!L153</f>
        <v>-2.3321602815591399E-3</v>
      </c>
      <c r="N155" s="108"/>
      <c r="O155" s="108"/>
      <c r="P155" s="108"/>
      <c r="Q155" s="108"/>
      <c r="R155" s="108"/>
    </row>
    <row r="156" spans="1:18" x14ac:dyDescent="0.25">
      <c r="A156" s="106" t="s">
        <v>136</v>
      </c>
      <c r="B156" s="121">
        <f>'Demande Format Medpro'!B154</f>
        <v>0</v>
      </c>
      <c r="C156" s="121">
        <f>'Demande Format Medpro'!C154</f>
        <v>0.39732030967656001</v>
      </c>
      <c r="D156" s="121">
        <f>'Demande Format Medpro'!D154</f>
        <v>0.55132859667578105</v>
      </c>
      <c r="E156" s="121">
        <f>'Demande Format Medpro'!E154</f>
        <v>0.67354164624156099</v>
      </c>
      <c r="F156" s="121">
        <f>'Demande Format Medpro'!F154</f>
        <v>0.77448297998092896</v>
      </c>
      <c r="G156" s="121">
        <f>'Demande Format Medpro'!G154</f>
        <v>0.92065433093745397</v>
      </c>
      <c r="H156" s="121">
        <f>'Demande Format Medpro'!H154</f>
        <v>0</v>
      </c>
      <c r="I156" s="121">
        <f>'Demande Format Medpro'!I154</f>
        <v>0</v>
      </c>
      <c r="J156" s="121">
        <f>'Demande Format Medpro'!J154</f>
        <v>0</v>
      </c>
      <c r="K156" s="121">
        <f>'Demande Format Medpro'!K154</f>
        <v>0</v>
      </c>
      <c r="L156" s="121">
        <f>'Demande Format Medpro'!L154</f>
        <v>0</v>
      </c>
      <c r="N156" s="108"/>
      <c r="O156" s="108"/>
      <c r="P156" s="108"/>
      <c r="Q156" s="108"/>
      <c r="R156" s="108"/>
    </row>
    <row r="157" spans="1:18" x14ac:dyDescent="0.25">
      <c r="A157" s="106"/>
      <c r="B157" s="121"/>
      <c r="C157" s="121"/>
      <c r="D157" s="121"/>
      <c r="E157" s="121"/>
      <c r="F157" s="121"/>
      <c r="G157" s="121"/>
      <c r="H157" s="121"/>
      <c r="I157" s="121"/>
      <c r="J157" s="121"/>
      <c r="K157" s="121"/>
      <c r="L157" s="121"/>
      <c r="N157" s="108"/>
      <c r="O157" s="108"/>
      <c r="P157" s="108"/>
      <c r="Q157" s="108"/>
      <c r="R157" s="108"/>
    </row>
    <row r="158" spans="1:18" ht="15.75" thickBot="1" x14ac:dyDescent="0.3">
      <c r="A158" s="141" t="s">
        <v>10</v>
      </c>
      <c r="B158" s="378">
        <f>'Demande Format Medpro'!B156</f>
        <v>30.922000000000001</v>
      </c>
      <c r="C158" s="110">
        <f>'Demande Format Medpro'!C156</f>
        <v>28.023920309676601</v>
      </c>
      <c r="D158" s="110">
        <f>'Demande Format Medpro'!D156</f>
        <v>24.912528596675799</v>
      </c>
      <c r="E158" s="110">
        <f>'Demande Format Medpro'!E156</f>
        <v>23.5361416462416</v>
      </c>
      <c r="F158" s="110">
        <f>'Demande Format Medpro'!F156</f>
        <v>22.5010829799809</v>
      </c>
      <c r="G158" s="110">
        <f>'Demande Format Medpro'!G156</f>
        <v>20.207454330937399</v>
      </c>
      <c r="H158" s="110">
        <f>'Demande Format Medpro'!H156</f>
        <v>-6.5391568771049303E-3</v>
      </c>
      <c r="I158" s="110">
        <f>'Demande Format Medpro'!I156</f>
        <v>-2.32626749266578E-2</v>
      </c>
      <c r="J158" s="110">
        <f>'Demande Format Medpro'!J156</f>
        <v>-1.1302373056406001E-2</v>
      </c>
      <c r="K158" s="110">
        <f>'Demande Format Medpro'!K156</f>
        <v>-8.9544165915632599E-3</v>
      </c>
      <c r="L158" s="110">
        <f>'Demande Format Medpro'!L156</f>
        <v>-5.3611712440481104E-3</v>
      </c>
      <c r="N158" s="108"/>
      <c r="O158" s="108"/>
      <c r="P158" s="108"/>
      <c r="Q158" s="108"/>
      <c r="R158" s="108"/>
    </row>
    <row r="159" spans="1:18" x14ac:dyDescent="0.25">
      <c r="A159" s="111"/>
      <c r="B159" s="98"/>
      <c r="D159" s="98"/>
      <c r="E159" s="98"/>
    </row>
    <row r="160" spans="1:18" x14ac:dyDescent="0.25">
      <c r="A160" s="111"/>
      <c r="B160" s="98"/>
      <c r="C160" s="98"/>
      <c r="D160" s="98"/>
      <c r="E160" s="98"/>
    </row>
    <row r="161" spans="1:17" ht="16.5" thickBot="1" x14ac:dyDescent="0.3">
      <c r="A161" s="59" t="s">
        <v>146</v>
      </c>
      <c r="B161" s="53"/>
      <c r="C161" s="53"/>
      <c r="D161" s="53"/>
      <c r="E161" s="53"/>
      <c r="F161" s="53"/>
      <c r="G161" s="53"/>
      <c r="H161" s="53"/>
      <c r="I161" s="53"/>
      <c r="J161" s="53"/>
      <c r="K161" s="53"/>
      <c r="L161" s="53"/>
    </row>
    <row r="162" spans="1:17" ht="15.75" thickBot="1" x14ac:dyDescent="0.3">
      <c r="A162" s="144" t="s">
        <v>51</v>
      </c>
      <c r="B162" s="105">
        <v>2000</v>
      </c>
      <c r="C162" s="105">
        <v>2015</v>
      </c>
      <c r="D162" s="105">
        <v>2020</v>
      </c>
      <c r="E162" s="105">
        <v>2025</v>
      </c>
      <c r="F162" s="105">
        <v>2030</v>
      </c>
      <c r="G162" s="105">
        <v>2050</v>
      </c>
      <c r="H162" s="113" t="s">
        <v>98</v>
      </c>
      <c r="I162" s="114" t="s">
        <v>99</v>
      </c>
      <c r="J162" s="114" t="s">
        <v>100</v>
      </c>
      <c r="K162" s="114" t="s">
        <v>101</v>
      </c>
      <c r="L162" s="115" t="s">
        <v>102</v>
      </c>
    </row>
    <row r="163" spans="1:17" x14ac:dyDescent="0.25">
      <c r="A163" s="106" t="s">
        <v>103</v>
      </c>
      <c r="B163" s="121">
        <f>'Demande Format Medpro'!B161</f>
        <v>0.97709999999999997</v>
      </c>
      <c r="C163" s="121">
        <f>'Demande Format Medpro'!C161</f>
        <v>0.61350000000000005</v>
      </c>
      <c r="D163" s="121">
        <f>'Demande Format Medpro'!D161</f>
        <v>0.37669999999999998</v>
      </c>
      <c r="E163" s="121">
        <f>'Demande Format Medpro'!E161</f>
        <v>0.2039</v>
      </c>
      <c r="F163" s="121">
        <f>'Demande Format Medpro'!F161</f>
        <v>4.2200000000000001E-2</v>
      </c>
      <c r="G163" s="121">
        <f>'Demande Format Medpro'!G161</f>
        <v>3.9600000000000003E-2</v>
      </c>
      <c r="H163" s="121">
        <f>'Demande Format Medpro'!H161</f>
        <v>-3.0550843920237099E-2</v>
      </c>
      <c r="I163" s="121">
        <f>'Demande Format Medpro'!I161</f>
        <v>-9.2939592716890201E-2</v>
      </c>
      <c r="J163" s="121">
        <f>'Demande Format Medpro'!J161</f>
        <v>-0.115527527017108</v>
      </c>
      <c r="K163" s="121">
        <f>'Demande Format Medpro'!K161</f>
        <v>-0.27024169690088501</v>
      </c>
      <c r="L163" s="121">
        <f>'Demande Format Medpro'!L161</f>
        <v>-3.1745057067026298E-3</v>
      </c>
      <c r="N163" s="108"/>
      <c r="O163" s="108"/>
      <c r="P163" s="108"/>
      <c r="Q163" s="108"/>
    </row>
    <row r="164" spans="1:17" x14ac:dyDescent="0.25">
      <c r="A164" s="106" t="s">
        <v>54</v>
      </c>
      <c r="B164" s="121">
        <f>'Demande Format Medpro'!B162</f>
        <v>1.4520999999999999</v>
      </c>
      <c r="C164" s="121">
        <f>'Demande Format Medpro'!C162</f>
        <v>1.4991000000000001</v>
      </c>
      <c r="D164" s="121">
        <f>'Demande Format Medpro'!D162</f>
        <v>1.5206</v>
      </c>
      <c r="E164" s="121">
        <f>'Demande Format Medpro'!E162</f>
        <v>1.5376000000000001</v>
      </c>
      <c r="F164" s="121">
        <f>'Demande Format Medpro'!F162</f>
        <v>1.5640000000000001</v>
      </c>
      <c r="G164" s="121">
        <f>'Demande Format Medpro'!G162</f>
        <v>1.3273999999999999</v>
      </c>
      <c r="H164" s="121">
        <f>'Demande Format Medpro'!H162</f>
        <v>2.1258660212259998E-3</v>
      </c>
      <c r="I164" s="121">
        <f>'Demande Format Medpro'!I162</f>
        <v>2.8520725975464999E-3</v>
      </c>
      <c r="J164" s="121">
        <f>'Demande Format Medpro'!J162</f>
        <v>2.2260270117944198E-3</v>
      </c>
      <c r="K164" s="121">
        <f>'Demande Format Medpro'!K162</f>
        <v>3.41057941353551E-3</v>
      </c>
      <c r="L164" s="121">
        <f>'Demande Format Medpro'!L162</f>
        <v>-8.1676867214299804E-3</v>
      </c>
      <c r="N164" s="108"/>
      <c r="O164" s="108"/>
      <c r="P164" s="108"/>
      <c r="Q164" s="108"/>
    </row>
    <row r="165" spans="1:17" x14ac:dyDescent="0.25">
      <c r="A165" s="106" t="s">
        <v>42</v>
      </c>
      <c r="B165" s="121">
        <f>'Demande Format Medpro'!B163</f>
        <v>0</v>
      </c>
      <c r="C165" s="121">
        <f>'Demande Format Medpro'!C163</f>
        <v>0</v>
      </c>
      <c r="D165" s="121">
        <f>'Demande Format Medpro'!D163</f>
        <v>0</v>
      </c>
      <c r="E165" s="121">
        <f>'Demande Format Medpro'!E163</f>
        <v>0</v>
      </c>
      <c r="F165" s="121">
        <f>'Demande Format Medpro'!F163</f>
        <v>0</v>
      </c>
      <c r="G165" s="121">
        <f>'Demande Format Medpro'!G163</f>
        <v>0</v>
      </c>
      <c r="H165" s="121" t="e">
        <f>'Demande Format Medpro'!H163</f>
        <v>#DIV/0!</v>
      </c>
      <c r="I165" s="121" t="e">
        <f>'Demande Format Medpro'!I163</f>
        <v>#DIV/0!</v>
      </c>
      <c r="J165" s="121" t="e">
        <f>'Demande Format Medpro'!J163</f>
        <v>#DIV/0!</v>
      </c>
      <c r="K165" s="121" t="e">
        <f>'Demande Format Medpro'!K163</f>
        <v>#DIV/0!</v>
      </c>
      <c r="L165" s="121" t="e">
        <f>'Demande Format Medpro'!L163</f>
        <v>#DIV/0!</v>
      </c>
      <c r="N165" s="108"/>
      <c r="O165" s="108"/>
      <c r="P165" s="108"/>
      <c r="Q165" s="108"/>
    </row>
    <row r="166" spans="1:17" x14ac:dyDescent="0.25">
      <c r="A166" s="106" t="s">
        <v>104</v>
      </c>
      <c r="B166" s="121">
        <f>'Demande Format Medpro'!B164</f>
        <v>1.5710999999999999</v>
      </c>
      <c r="C166" s="121">
        <f>'Demande Format Medpro'!C164</f>
        <v>2.1585999999999999</v>
      </c>
      <c r="D166" s="121">
        <f>'Demande Format Medpro'!D164</f>
        <v>2.02</v>
      </c>
      <c r="E166" s="121">
        <f>'Demande Format Medpro'!E164</f>
        <v>1.9784999999999999</v>
      </c>
      <c r="F166" s="121">
        <f>'Demande Format Medpro'!F164</f>
        <v>1.9629000000000001</v>
      </c>
      <c r="G166" s="121">
        <f>'Demande Format Medpro'!G164</f>
        <v>1.7719</v>
      </c>
      <c r="H166" s="121">
        <f>'Demande Format Medpro'!H164</f>
        <v>2.1404788604523901E-2</v>
      </c>
      <c r="I166" s="121">
        <f>'Demande Format Medpro'!I164</f>
        <v>-1.31847795507305E-2</v>
      </c>
      <c r="J166" s="121">
        <f>'Demande Format Medpro'!J164</f>
        <v>-4.1430994975125701E-3</v>
      </c>
      <c r="K166" s="121">
        <f>'Demande Format Medpro'!K164</f>
        <v>-1.58194945308821E-3</v>
      </c>
      <c r="L166" s="121">
        <f>'Demande Format Medpro'!L164</f>
        <v>-5.1054503777423496E-3</v>
      </c>
      <c r="N166" s="108"/>
      <c r="O166" s="108"/>
      <c r="P166" s="108"/>
      <c r="Q166" s="108"/>
    </row>
    <row r="167" spans="1:17" x14ac:dyDescent="0.25">
      <c r="A167" s="106" t="s">
        <v>105</v>
      </c>
      <c r="B167" s="121">
        <f>'Demande Format Medpro'!B165</f>
        <v>0.29899999999999999</v>
      </c>
      <c r="C167" s="121">
        <f>'Demande Format Medpro'!C165</f>
        <v>0.24890000000000001</v>
      </c>
      <c r="D167" s="121">
        <f>'Demande Format Medpro'!D165</f>
        <v>0.2848</v>
      </c>
      <c r="E167" s="121">
        <f>'Demande Format Medpro'!E165</f>
        <v>0.2913</v>
      </c>
      <c r="F167" s="121">
        <f>'Demande Format Medpro'!F165</f>
        <v>0.29289999999999999</v>
      </c>
      <c r="G167" s="121">
        <f>'Demande Format Medpro'!G165</f>
        <v>0.29310000000000003</v>
      </c>
      <c r="H167" s="121">
        <f>'Demande Format Medpro'!H165</f>
        <v>-1.2151721799731299E-2</v>
      </c>
      <c r="I167" s="121">
        <f>'Demande Format Medpro'!I165</f>
        <v>2.7313553045417601E-2</v>
      </c>
      <c r="J167" s="121">
        <f>'Demande Format Medpro'!J165</f>
        <v>4.5234971497356601E-3</v>
      </c>
      <c r="K167" s="121">
        <f>'Demande Format Medpro'!K165</f>
        <v>1.0961182726678699E-3</v>
      </c>
      <c r="L167" s="121">
        <f>'Demande Format Medpro'!L165</f>
        <v>3.4130276582500203E-5</v>
      </c>
      <c r="N167" s="108"/>
      <c r="O167" s="108"/>
      <c r="P167" s="108"/>
      <c r="Q167" s="108"/>
    </row>
    <row r="168" spans="1:17" x14ac:dyDescent="0.25">
      <c r="A168" s="106" t="s">
        <v>134</v>
      </c>
      <c r="B168" s="121">
        <f>'Demande Format Medpro'!B166</f>
        <v>0.109</v>
      </c>
      <c r="C168" s="121">
        <f>'Demande Format Medpro'!C166</f>
        <v>6.8500000000000005E-2</v>
      </c>
      <c r="D168" s="121">
        <f>'Demande Format Medpro'!D166</f>
        <v>4.1200000000000001E-2</v>
      </c>
      <c r="E168" s="121">
        <f>'Demande Format Medpro'!E166</f>
        <v>2.2200000000000001E-2</v>
      </c>
      <c r="F168" s="121">
        <f>'Demande Format Medpro'!F166</f>
        <v>4.5999999999999999E-3</v>
      </c>
      <c r="G168" s="121">
        <f>'Demande Format Medpro'!G166</f>
        <v>4.1999999999999997E-3</v>
      </c>
      <c r="H168" s="121">
        <f>'Demande Format Medpro'!H166</f>
        <v>0</v>
      </c>
      <c r="I168" s="121">
        <f>'Demande Format Medpro'!I166</f>
        <v>0</v>
      </c>
      <c r="J168" s="121">
        <f>'Demande Format Medpro'!J166</f>
        <v>0</v>
      </c>
      <c r="K168" s="121">
        <f>'Demande Format Medpro'!K166</f>
        <v>0</v>
      </c>
      <c r="L168" s="121">
        <f>'Demande Format Medpro'!L166</f>
        <v>0</v>
      </c>
      <c r="N168" s="108"/>
      <c r="O168" s="108"/>
      <c r="P168" s="108"/>
      <c r="Q168" s="108"/>
    </row>
    <row r="169" spans="1:17" x14ac:dyDescent="0.25">
      <c r="A169" s="106" t="s">
        <v>135</v>
      </c>
      <c r="B169" s="121">
        <f>'Demande Format Medpro'!B167</f>
        <v>2.0799999999999999E-2</v>
      </c>
      <c r="C169" s="121">
        <f>'Demande Format Medpro'!C167</f>
        <v>8.5300000000000001E-2</v>
      </c>
      <c r="D169" s="121">
        <f>'Demande Format Medpro'!D167</f>
        <v>0.1007</v>
      </c>
      <c r="E169" s="121">
        <f>'Demande Format Medpro'!E167</f>
        <v>0.1164</v>
      </c>
      <c r="F169" s="121">
        <f>'Demande Format Medpro'!F167</f>
        <v>0.1183</v>
      </c>
      <c r="G169" s="121">
        <f>'Demande Format Medpro'!G167</f>
        <v>0.12470000000000001</v>
      </c>
      <c r="H169" s="121">
        <f>'Demande Format Medpro'!H167</f>
        <v>9.8649206582596793E-2</v>
      </c>
      <c r="I169" s="121">
        <f>'Demande Format Medpro'!I167</f>
        <v>3.3751345622512897E-2</v>
      </c>
      <c r="J169" s="121">
        <f>'Demande Format Medpro'!J167</f>
        <v>2.94012753018515E-2</v>
      </c>
      <c r="K169" s="121">
        <f>'Demande Format Medpro'!K167</f>
        <v>3.2434959237554999E-3</v>
      </c>
      <c r="L169" s="121">
        <f>'Demande Format Medpro'!L167</f>
        <v>2.6378270448042E-3</v>
      </c>
      <c r="N169" s="108"/>
      <c r="O169" s="108"/>
      <c r="P169" s="108"/>
      <c r="Q169" s="108"/>
    </row>
    <row r="170" spans="1:17" x14ac:dyDescent="0.25">
      <c r="A170" s="106" t="s">
        <v>136</v>
      </c>
      <c r="B170" s="121">
        <f>'Demande Format Medpro'!B168</f>
        <v>0</v>
      </c>
      <c r="C170" s="121">
        <f>'Demande Format Medpro'!C168</f>
        <v>2.3367794316644101E-2</v>
      </c>
      <c r="D170" s="121">
        <f>'Demande Format Medpro'!D168</f>
        <v>0.103957409050577</v>
      </c>
      <c r="E170" s="121">
        <f>'Demande Format Medpro'!E168</f>
        <v>0.179628109995635</v>
      </c>
      <c r="F170" s="121">
        <f>'Demande Format Medpro'!F168</f>
        <v>0.25246302250803898</v>
      </c>
      <c r="G170" s="121">
        <f>'Demande Format Medpro'!G168</f>
        <v>0.53545767925808696</v>
      </c>
      <c r="H170" s="121">
        <f>'Demande Format Medpro'!H168</f>
        <v>0</v>
      </c>
      <c r="I170" s="121">
        <f>'Demande Format Medpro'!I168</f>
        <v>0</v>
      </c>
      <c r="J170" s="121">
        <f>'Demande Format Medpro'!J168</f>
        <v>0</v>
      </c>
      <c r="K170" s="121">
        <f>'Demande Format Medpro'!K168</f>
        <v>0</v>
      </c>
      <c r="L170" s="121">
        <f>'Demande Format Medpro'!L168</f>
        <v>0</v>
      </c>
      <c r="N170" s="108"/>
      <c r="O170" s="108"/>
      <c r="P170" s="108"/>
      <c r="Q170" s="108"/>
    </row>
    <row r="171" spans="1:17" x14ac:dyDescent="0.25">
      <c r="A171" s="106"/>
      <c r="B171" s="121"/>
      <c r="C171" s="121"/>
      <c r="D171" s="121"/>
      <c r="E171" s="121"/>
      <c r="F171" s="121"/>
      <c r="G171" s="121"/>
      <c r="H171" s="121"/>
      <c r="I171" s="121"/>
      <c r="J171" s="121"/>
      <c r="K171" s="121"/>
      <c r="L171" s="121"/>
      <c r="N171" s="108"/>
      <c r="O171" s="108"/>
      <c r="P171" s="108"/>
      <c r="Q171" s="108"/>
    </row>
    <row r="172" spans="1:17" ht="15.75" thickBot="1" x14ac:dyDescent="0.3">
      <c r="A172" s="141" t="s">
        <v>10</v>
      </c>
      <c r="B172" s="378">
        <f>'Demande Format Medpro'!B170</f>
        <v>4.4291</v>
      </c>
      <c r="C172" s="110">
        <f>'Demande Format Medpro'!C170</f>
        <v>4.6972677943166401</v>
      </c>
      <c r="D172" s="110">
        <f>'Demande Format Medpro'!D170</f>
        <v>4.4479574090505798</v>
      </c>
      <c r="E172" s="110">
        <f>'Demande Format Medpro'!E170</f>
        <v>4.3295281099956302</v>
      </c>
      <c r="F172" s="110">
        <f>'Demande Format Medpro'!F170</f>
        <v>4.2373630225080401</v>
      </c>
      <c r="G172" s="110">
        <f>'Demande Format Medpro'!G170</f>
        <v>4.09635767925809</v>
      </c>
      <c r="H172" s="110">
        <f>'Demande Format Medpro'!H170</f>
        <v>3.9266636335164602E-3</v>
      </c>
      <c r="I172" s="110">
        <f>'Demande Format Medpro'!I170</f>
        <v>-1.0847939635284E-2</v>
      </c>
      <c r="J172" s="110">
        <f>'Demande Format Medpro'!J170</f>
        <v>-5.3827462339912603E-3</v>
      </c>
      <c r="K172" s="110">
        <f>'Demande Format Medpro'!K170</f>
        <v>-4.2942347802371597E-3</v>
      </c>
      <c r="L172" s="110">
        <f>'Demande Format Medpro'!L170</f>
        <v>-1.69071608403115E-3</v>
      </c>
      <c r="N172" s="108"/>
      <c r="O172" s="108"/>
      <c r="P172" s="108"/>
      <c r="Q172" s="108"/>
    </row>
    <row r="173" spans="1:17" x14ac:dyDescent="0.25">
      <c r="A173" s="111"/>
      <c r="B173" s="98"/>
      <c r="C173" s="98"/>
      <c r="D173" s="98"/>
      <c r="E173" s="98"/>
    </row>
    <row r="174" spans="1:17" x14ac:dyDescent="0.25">
      <c r="B174" s="98"/>
      <c r="C174" s="98"/>
      <c r="D174" s="98"/>
      <c r="E174" s="98"/>
    </row>
    <row r="175" spans="1:17" ht="16.5" thickBot="1" x14ac:dyDescent="0.3">
      <c r="A175" s="59" t="s">
        <v>147</v>
      </c>
      <c r="B175" s="53"/>
      <c r="C175" s="53"/>
      <c r="D175" s="53"/>
      <c r="E175" s="53"/>
      <c r="F175" s="53"/>
      <c r="G175" s="53"/>
      <c r="H175" s="53"/>
      <c r="I175" s="53"/>
      <c r="J175" s="53"/>
      <c r="K175" s="53"/>
      <c r="L175" s="53"/>
    </row>
    <row r="176" spans="1:17" ht="15.75" thickBot="1" x14ac:dyDescent="0.3">
      <c r="A176" s="104" t="s">
        <v>51</v>
      </c>
      <c r="B176" s="105">
        <v>2000</v>
      </c>
      <c r="C176" s="105">
        <v>2015</v>
      </c>
      <c r="D176" s="105">
        <v>2020</v>
      </c>
      <c r="E176" s="105">
        <v>2025</v>
      </c>
      <c r="F176" s="105">
        <v>2030</v>
      </c>
      <c r="G176" s="105">
        <v>2050</v>
      </c>
      <c r="H176" s="113" t="s">
        <v>98</v>
      </c>
      <c r="I176" s="114" t="s">
        <v>99</v>
      </c>
      <c r="J176" s="114" t="s">
        <v>100</v>
      </c>
      <c r="K176" s="114" t="s">
        <v>101</v>
      </c>
      <c r="L176" s="115" t="s">
        <v>102</v>
      </c>
    </row>
    <row r="177" spans="1:21" x14ac:dyDescent="0.25">
      <c r="A177" s="106" t="s">
        <v>103</v>
      </c>
      <c r="B177" s="379"/>
      <c r="C177" s="379">
        <v>0.61787754876954737</v>
      </c>
      <c r="D177" s="121">
        <v>0.56698467124688645</v>
      </c>
      <c r="E177" s="121">
        <v>0.41349072896673383</v>
      </c>
      <c r="F177" s="121">
        <v>0.2783747952996008</v>
      </c>
      <c r="G177" s="121">
        <v>0.14231770688151879</v>
      </c>
      <c r="H177" s="380">
        <v>-6.2452325127548836E-3</v>
      </c>
      <c r="I177" s="381">
        <v>-1.7044673184611447E-2</v>
      </c>
      <c r="J177" s="381">
        <v>-6.1187438802784877E-2</v>
      </c>
      <c r="K177" s="381">
        <v>-7.608327939658166E-2</v>
      </c>
      <c r="L177" s="382">
        <v>-3.2988917577112642E-2</v>
      </c>
      <c r="N177" s="146"/>
      <c r="O177" s="146"/>
      <c r="P177" s="146"/>
      <c r="Q177" s="146"/>
      <c r="R177" s="146"/>
      <c r="S177" s="146"/>
      <c r="T177" s="146"/>
      <c r="U177" s="146"/>
    </row>
    <row r="178" spans="1:21" x14ac:dyDescent="0.25">
      <c r="A178" s="106" t="s">
        <v>54</v>
      </c>
      <c r="B178" s="379">
        <v>0.95550701195492693</v>
      </c>
      <c r="C178" s="379">
        <v>0.9471618351452129</v>
      </c>
      <c r="D178" s="121">
        <v>0.83823992763478516</v>
      </c>
      <c r="E178" s="121">
        <v>0.64245054295487036</v>
      </c>
      <c r="F178" s="121">
        <v>0.5589352095883674</v>
      </c>
      <c r="G178" s="121">
        <v>0.38201068689249773</v>
      </c>
      <c r="H178" s="383">
        <v>-5.8463777549722096E-4</v>
      </c>
      <c r="I178" s="384">
        <v>-2.4137047881651941E-2</v>
      </c>
      <c r="J178" s="384">
        <v>-5.1812400269630299E-2</v>
      </c>
      <c r="K178" s="384">
        <v>-2.7466984642139591E-2</v>
      </c>
      <c r="L178" s="385">
        <v>-1.8849335751053742E-2</v>
      </c>
      <c r="N178" s="146"/>
      <c r="O178" s="146"/>
      <c r="P178" s="146"/>
      <c r="Q178" s="146"/>
      <c r="R178" s="146"/>
      <c r="S178" s="146"/>
      <c r="T178" s="146"/>
      <c r="U178" s="146"/>
    </row>
    <row r="179" spans="1:21" x14ac:dyDescent="0.25">
      <c r="A179" s="106" t="s">
        <v>104</v>
      </c>
      <c r="B179" s="379">
        <v>0.82600000000000007</v>
      </c>
      <c r="C179" s="379">
        <v>1.1221837024344656</v>
      </c>
      <c r="D179" s="121">
        <v>1.2801854610800787</v>
      </c>
      <c r="E179" s="121">
        <v>1.6084817283664707</v>
      </c>
      <c r="F179" s="121">
        <v>1.7944935823414079</v>
      </c>
      <c r="G179" s="121">
        <v>1.9175419082714962</v>
      </c>
      <c r="H179" s="383">
        <v>2.0639238204596122E-2</v>
      </c>
      <c r="I179" s="384">
        <v>2.6695803050380995E-2</v>
      </c>
      <c r="J179" s="384">
        <v>4.6715482882137893E-2</v>
      </c>
      <c r="K179" s="384">
        <v>2.2127694242718876E-2</v>
      </c>
      <c r="L179" s="385">
        <v>3.3215669382815616E-3</v>
      </c>
      <c r="N179" s="146"/>
      <c r="O179" s="146"/>
      <c r="P179" s="146"/>
      <c r="Q179" s="146"/>
      <c r="R179" s="129"/>
      <c r="S179" s="146"/>
      <c r="T179" s="146"/>
      <c r="U179" s="146"/>
    </row>
    <row r="180" spans="1:21" x14ac:dyDescent="0.25">
      <c r="A180" s="106"/>
      <c r="B180" s="379"/>
      <c r="C180" s="379"/>
      <c r="D180" s="107"/>
      <c r="E180" s="107"/>
      <c r="F180" s="107"/>
      <c r="G180" s="142"/>
      <c r="H180" s="383"/>
      <c r="I180" s="384"/>
      <c r="J180" s="384"/>
      <c r="K180" s="384"/>
      <c r="L180" s="385"/>
    </row>
    <row r="181" spans="1:21" ht="15.75" thickBot="1" x14ac:dyDescent="0.3">
      <c r="A181" s="141" t="s">
        <v>10</v>
      </c>
      <c r="B181" s="386">
        <v>2.4602635678511495</v>
      </c>
      <c r="C181" s="387">
        <v>2.6872230863492259</v>
      </c>
      <c r="D181" s="145">
        <v>2.6854100599617503</v>
      </c>
      <c r="E181" s="145">
        <v>2.6644230002880747</v>
      </c>
      <c r="F181" s="145">
        <v>2.6318035872293759</v>
      </c>
      <c r="G181" s="145">
        <v>2.4418703020455128</v>
      </c>
      <c r="H181" s="388">
        <v>5.899994469378278E-3</v>
      </c>
      <c r="I181" s="389">
        <v>-1.349732281475946E-4</v>
      </c>
      <c r="J181" s="389">
        <v>-1.5679524467334671E-3</v>
      </c>
      <c r="K181" s="389">
        <v>-2.4605953999589092E-3</v>
      </c>
      <c r="L181" s="390">
        <v>-3.7382514184234328E-3</v>
      </c>
    </row>
    <row r="182" spans="1:21" x14ac:dyDescent="0.25">
      <c r="B182" s="98"/>
      <c r="C182" s="98"/>
      <c r="D182" s="98"/>
      <c r="E182" s="98"/>
    </row>
    <row r="183" spans="1:21" x14ac:dyDescent="0.25">
      <c r="B183" s="98"/>
      <c r="C183" s="98"/>
      <c r="D183" s="98"/>
      <c r="E183" s="98"/>
    </row>
    <row r="184" spans="1:21" ht="16.5" thickBot="1" x14ac:dyDescent="0.3">
      <c r="A184" s="59" t="s">
        <v>148</v>
      </c>
      <c r="B184" s="53"/>
      <c r="C184" s="53"/>
      <c r="D184" s="53"/>
      <c r="E184" s="53"/>
      <c r="F184" s="53"/>
      <c r="G184" s="53"/>
      <c r="H184" s="53"/>
      <c r="I184" s="53"/>
      <c r="J184" s="53"/>
      <c r="K184" s="53"/>
      <c r="L184" s="53"/>
    </row>
    <row r="185" spans="1:21" ht="15.75" thickBot="1" x14ac:dyDescent="0.3">
      <c r="A185" s="104"/>
      <c r="B185" s="105">
        <v>2000</v>
      </c>
      <c r="C185" s="105">
        <v>2015</v>
      </c>
      <c r="D185" s="105">
        <v>2020</v>
      </c>
      <c r="E185" s="105">
        <v>2025</v>
      </c>
      <c r="F185" s="105">
        <v>2030</v>
      </c>
      <c r="G185" s="105">
        <v>2050</v>
      </c>
      <c r="H185" s="113" t="s">
        <v>98</v>
      </c>
      <c r="I185" s="114" t="s">
        <v>99</v>
      </c>
      <c r="J185" s="114" t="s">
        <v>100</v>
      </c>
      <c r="K185" s="114" t="s">
        <v>101</v>
      </c>
      <c r="L185" s="115" t="s">
        <v>102</v>
      </c>
    </row>
    <row r="186" spans="1:21" x14ac:dyDescent="0.25">
      <c r="A186" s="106" t="s">
        <v>149</v>
      </c>
      <c r="B186" s="147">
        <f>'Demande Format Medpro'!B175</f>
        <v>24.333600000000001</v>
      </c>
      <c r="C186" s="147">
        <f>'Demande Format Medpro'!C175</f>
        <v>28.339300000000001</v>
      </c>
      <c r="D186" s="147">
        <f>'Demande Format Medpro'!D175</f>
        <v>29.486799999999999</v>
      </c>
      <c r="E186" s="147">
        <f>'Demande Format Medpro'!E175</f>
        <v>30.563199999999998</v>
      </c>
      <c r="F186" s="147">
        <f>'Demande Format Medpro'!F175</f>
        <v>31.6767</v>
      </c>
      <c r="G186" s="147">
        <f>'Demande Format Medpro'!G175</f>
        <v>34.886899999999997</v>
      </c>
      <c r="H186" s="147">
        <f>'Demande Format Medpro'!H175</f>
        <v>1.02112103718381E-2</v>
      </c>
      <c r="I186" s="147">
        <f>'Demande Format Medpro'!I175</f>
        <v>7.9702288465317607E-3</v>
      </c>
      <c r="J186" s="147">
        <f>'Demande Format Medpro'!J175</f>
        <v>7.1965647566061301E-3</v>
      </c>
      <c r="K186" s="147">
        <f>'Demande Format Medpro'!K175</f>
        <v>7.1826169366853198E-3</v>
      </c>
      <c r="L186" s="147">
        <f>'Demande Format Medpro'!L175</f>
        <v>4.8381666003032304E-3</v>
      </c>
    </row>
    <row r="187" spans="1:21" x14ac:dyDescent="0.25">
      <c r="A187" s="106" t="s">
        <v>150</v>
      </c>
      <c r="B187" s="147">
        <f>'Demande Format Medpro'!B176</f>
        <v>0.72678820211356199</v>
      </c>
      <c r="C187" s="147">
        <f>'Demande Format Medpro'!C176</f>
        <v>0.64822353265087995</v>
      </c>
      <c r="D187" s="147">
        <f>'Demande Format Medpro'!D176</f>
        <v>0.583033656203088</v>
      </c>
      <c r="E187" s="147">
        <f>'Demande Format Medpro'!E176</f>
        <v>0.54665582556994197</v>
      </c>
      <c r="F187" s="147">
        <f>'Demande Format Medpro'!F176</f>
        <v>0.51786525125971505</v>
      </c>
      <c r="G187" s="147">
        <f>'Demande Format Medpro'!G176</f>
        <v>0.46291147275682398</v>
      </c>
      <c r="H187" s="147">
        <f>'Demande Format Medpro'!H176</f>
        <v>-7.5976249600224798E-3</v>
      </c>
      <c r="I187" s="147">
        <f>'Demande Format Medpro'!I176</f>
        <v>-2.0975034865257002E-2</v>
      </c>
      <c r="J187" s="147">
        <f>'Demande Format Medpro'!J176</f>
        <v>-1.28024451307539E-2</v>
      </c>
      <c r="K187" s="147">
        <f>'Demande Format Medpro'!K176</f>
        <v>-1.0762530034204E-2</v>
      </c>
      <c r="L187" s="147">
        <f>'Demande Format Medpro'!L176</f>
        <v>-5.5932613135782896E-3</v>
      </c>
    </row>
    <row r="188" spans="1:21" x14ac:dyDescent="0.25">
      <c r="A188" s="106" t="s">
        <v>151</v>
      </c>
      <c r="B188" s="147">
        <f>'Demande Format Medpro'!B177</f>
        <v>2087.9582554622998</v>
      </c>
      <c r="C188" s="147">
        <f>'Demande Format Medpro'!C177</f>
        <v>2286.9352613330402</v>
      </c>
      <c r="D188" s="147">
        <f>'Demande Format Medpro'!D177</f>
        <v>2178.91852842035</v>
      </c>
      <c r="E188" s="147">
        <f>'Demande Format Medpro'!E177</f>
        <v>2118.52449485023</v>
      </c>
      <c r="F188" s="147">
        <f>'Demande Format Medpro'!F177</f>
        <v>2079.48900164729</v>
      </c>
      <c r="G188" s="147">
        <f>'Demande Format Medpro'!G177</f>
        <v>2047.55886353649</v>
      </c>
      <c r="H188" s="147">
        <f>'Demande Format Medpro'!H177</f>
        <v>6.0868453574838303E-3</v>
      </c>
      <c r="I188" s="147">
        <f>'Demande Format Medpro'!I177</f>
        <v>-9.6301188556817702E-3</v>
      </c>
      <c r="J188" s="147">
        <f>'Demande Format Medpro'!J177</f>
        <v>-5.6059899545614104E-3</v>
      </c>
      <c r="K188" s="147">
        <f>'Demande Format Medpro'!K177</f>
        <v>-3.7126235333300199E-3</v>
      </c>
      <c r="L188" s="147">
        <f>'Demande Format Medpro'!L177</f>
        <v>-7.7339607167248303E-4</v>
      </c>
    </row>
    <row r="189" spans="1:21" ht="15.75" thickBot="1" x14ac:dyDescent="0.3">
      <c r="A189" s="109" t="s">
        <v>152</v>
      </c>
      <c r="B189" s="393">
        <f>'Demande Format Medpro'!B178</f>
        <v>4.7056641153043199E-2</v>
      </c>
      <c r="C189" s="394">
        <f>'Demande Format Medpro'!C178</f>
        <v>3.7830929395763602E-2</v>
      </c>
      <c r="D189" s="394">
        <f>'Demande Format Medpro'!D178</f>
        <v>3.2334851141514999E-2</v>
      </c>
      <c r="E189" s="394">
        <f>'Demande Format Medpro'!E178</f>
        <v>2.9127896511607802E-2</v>
      </c>
      <c r="F189" s="394">
        <f>'Demande Format Medpro'!F178</f>
        <v>2.63301368687969E-2</v>
      </c>
      <c r="G189" s="394">
        <f>'Demande Format Medpro'!G178</f>
        <v>1.7949265120470299E-2</v>
      </c>
      <c r="H189" s="394">
        <f>'Demande Format Medpro'!H178</f>
        <v>-1.4443017738933899E-2</v>
      </c>
      <c r="I189" s="394">
        <f>'Demande Format Medpro'!I178</f>
        <v>-3.0908529703838599E-2</v>
      </c>
      <c r="J189" s="394">
        <f>'Demande Format Medpro'!J178</f>
        <v>-2.0673173078978799E-2</v>
      </c>
      <c r="K189" s="394">
        <f>'Demande Format Medpro'!K178</f>
        <v>-1.9993855320703E-2</v>
      </c>
      <c r="L189" s="394">
        <f>'Demande Format Medpro'!L178</f>
        <v>-1.8975897006451602E-2</v>
      </c>
    </row>
    <row r="190" spans="1:21" x14ac:dyDescent="0.25">
      <c r="A190" s="139"/>
      <c r="F190" s="97"/>
    </row>
    <row r="191" spans="1:21" x14ac:dyDescent="0.25">
      <c r="F191" s="97"/>
    </row>
    <row r="192" spans="1:21" ht="21" x14ac:dyDescent="0.35">
      <c r="A192" s="52" t="s">
        <v>153</v>
      </c>
      <c r="B192" s="47"/>
      <c r="C192" s="47"/>
      <c r="D192" s="47"/>
      <c r="E192" s="47"/>
      <c r="F192" s="47"/>
      <c r="G192" s="140"/>
      <c r="H192" s="140"/>
      <c r="I192" s="140"/>
      <c r="J192" s="140"/>
      <c r="K192" s="140"/>
      <c r="L192" s="140"/>
    </row>
    <row r="193" spans="1:13" x14ac:dyDescent="0.25">
      <c r="F193" s="97"/>
    </row>
    <row r="194" spans="1:13" ht="16.5" thickBot="1" x14ac:dyDescent="0.3">
      <c r="A194" s="59" t="s">
        <v>154</v>
      </c>
      <c r="B194" s="53"/>
      <c r="C194" s="53"/>
      <c r="D194" s="53"/>
      <c r="E194" s="53"/>
      <c r="F194" s="53"/>
      <c r="G194" s="53"/>
      <c r="H194" s="53"/>
      <c r="I194" s="53"/>
      <c r="J194" s="53"/>
      <c r="K194" s="53"/>
      <c r="L194" s="53"/>
    </row>
    <row r="195" spans="1:13" ht="15.75" thickBot="1" x14ac:dyDescent="0.3">
      <c r="A195" s="137" t="s">
        <v>51</v>
      </c>
      <c r="B195" s="105">
        <v>2000</v>
      </c>
      <c r="C195" s="105">
        <v>2015</v>
      </c>
      <c r="D195" s="105">
        <v>2020</v>
      </c>
      <c r="E195" s="105">
        <v>2025</v>
      </c>
      <c r="F195" s="105">
        <v>2030</v>
      </c>
      <c r="G195" s="105">
        <v>2050</v>
      </c>
      <c r="H195" s="113" t="s">
        <v>98</v>
      </c>
      <c r="I195" s="114" t="s">
        <v>99</v>
      </c>
      <c r="J195" s="114" t="s">
        <v>100</v>
      </c>
      <c r="K195" s="114" t="s">
        <v>101</v>
      </c>
      <c r="L195" s="115" t="s">
        <v>102</v>
      </c>
    </row>
    <row r="196" spans="1:13" x14ac:dyDescent="0.25">
      <c r="A196" s="106" t="s">
        <v>103</v>
      </c>
      <c r="B196" s="121">
        <f>'Demande Format Medpro'!B185</f>
        <v>3.7561</v>
      </c>
      <c r="C196" s="121">
        <f>'Demande Format Medpro'!C185</f>
        <v>2.3746</v>
      </c>
      <c r="D196" s="121">
        <f>'Demande Format Medpro'!D185</f>
        <v>1.9155</v>
      </c>
      <c r="E196" s="121">
        <f>'Demande Format Medpro'!E185</f>
        <v>1.4925999999999999</v>
      </c>
      <c r="F196" s="121">
        <f>'Demande Format Medpro'!F185</f>
        <v>1.1229</v>
      </c>
      <c r="G196" s="121">
        <f>'Demande Format Medpro'!G185</f>
        <v>0.74460000000000004</v>
      </c>
      <c r="H196" s="121">
        <f>'Demande Format Medpro'!H185</f>
        <v>-3.0107603926098101E-2</v>
      </c>
      <c r="I196" s="121">
        <f>'Demande Format Medpro'!I185</f>
        <v>-4.2059932911037302E-2</v>
      </c>
      <c r="J196" s="121">
        <f>'Demande Format Medpro'!J185</f>
        <v>-4.86676696332956E-2</v>
      </c>
      <c r="K196" s="121">
        <f>'Demande Format Medpro'!K185</f>
        <v>-5.5331293629666801E-2</v>
      </c>
      <c r="L196" s="121">
        <f>'Demande Format Medpro'!L185</f>
        <v>-2.03316050780015E-2</v>
      </c>
      <c r="M196" s="146"/>
    </row>
    <row r="197" spans="1:13" x14ac:dyDescent="0.25">
      <c r="A197" s="106" t="s">
        <v>54</v>
      </c>
      <c r="B197" s="121">
        <f>'Demande Format Medpro'!B186</f>
        <v>5.5961999999999996</v>
      </c>
      <c r="C197" s="121">
        <f>'Demande Format Medpro'!C186</f>
        <v>6.1024000000000003</v>
      </c>
      <c r="D197" s="121">
        <f>'Demande Format Medpro'!D186</f>
        <v>5.7868000000000004</v>
      </c>
      <c r="E197" s="121">
        <f>'Demande Format Medpro'!E186</f>
        <v>5.2241999999999997</v>
      </c>
      <c r="F197" s="121">
        <f>'Demande Format Medpro'!F186</f>
        <v>4.3676000000000004</v>
      </c>
      <c r="G197" s="121">
        <f>'Demande Format Medpro'!G186</f>
        <v>2.6025</v>
      </c>
      <c r="H197" s="121">
        <f>'Demande Format Medpro'!H186</f>
        <v>5.7896516525792804E-3</v>
      </c>
      <c r="I197" s="121">
        <f>'Demande Format Medpro'!I186</f>
        <v>-1.05643361785912E-2</v>
      </c>
      <c r="J197" s="121">
        <f>'Demande Format Medpro'!J186</f>
        <v>-2.0247761500076299E-2</v>
      </c>
      <c r="K197" s="121">
        <f>'Demande Format Medpro'!K186</f>
        <v>-3.5183743345156303E-2</v>
      </c>
      <c r="L197" s="121">
        <f>'Demande Format Medpro'!L186</f>
        <v>-2.5554859734163798E-2</v>
      </c>
      <c r="M197" s="146"/>
    </row>
    <row r="198" spans="1:13" x14ac:dyDescent="0.25">
      <c r="A198" s="106" t="s">
        <v>42</v>
      </c>
      <c r="B198" s="121">
        <f>'Demande Format Medpro'!B187</f>
        <v>0.15870000000000001</v>
      </c>
      <c r="C198" s="121">
        <f>'Demande Format Medpro'!C187</f>
        <v>6.5500000000000003E-2</v>
      </c>
      <c r="D198" s="121">
        <f>'Demande Format Medpro'!D187</f>
        <v>0</v>
      </c>
      <c r="E198" s="121">
        <f>'Demande Format Medpro'!E187</f>
        <v>0</v>
      </c>
      <c r="F198" s="121">
        <f>'Demande Format Medpro'!F187</f>
        <v>0</v>
      </c>
      <c r="G198" s="121">
        <f>'Demande Format Medpro'!G187</f>
        <v>0</v>
      </c>
      <c r="H198" s="121">
        <f>'Demande Format Medpro'!H187</f>
        <v>-5.7291061665288301E-2</v>
      </c>
      <c r="I198" s="121">
        <f>'Demande Format Medpro'!I187</f>
        <v>-1</v>
      </c>
      <c r="J198" s="121" t="e">
        <f>'Demande Format Medpro'!J187</f>
        <v>#DIV/0!</v>
      </c>
      <c r="K198" s="121" t="e">
        <f>'Demande Format Medpro'!K187</f>
        <v>#DIV/0!</v>
      </c>
      <c r="L198" s="121" t="e">
        <f>'Demande Format Medpro'!L187</f>
        <v>#DIV/0!</v>
      </c>
      <c r="M198" s="146"/>
    </row>
    <row r="199" spans="1:13" x14ac:dyDescent="0.25">
      <c r="A199" s="106" t="s">
        <v>104</v>
      </c>
      <c r="B199" s="121">
        <f>'Demande Format Medpro'!B188</f>
        <v>9.33</v>
      </c>
      <c r="C199" s="121">
        <f>'Demande Format Medpro'!C188</f>
        <v>12.408300000000001</v>
      </c>
      <c r="D199" s="121">
        <f>'Demande Format Medpro'!D188</f>
        <v>12.885300000000001</v>
      </c>
      <c r="E199" s="121">
        <f>'Demande Format Medpro'!E188</f>
        <v>13.4857</v>
      </c>
      <c r="F199" s="121">
        <f>'Demande Format Medpro'!F188</f>
        <v>14.125299999999999</v>
      </c>
      <c r="G199" s="121">
        <f>'Demande Format Medpro'!G188</f>
        <v>17.1599</v>
      </c>
      <c r="H199" s="121">
        <f>'Demande Format Medpro'!H188</f>
        <v>1.9190521561260901E-2</v>
      </c>
      <c r="I199" s="121">
        <f>'Demande Format Medpro'!I188</f>
        <v>7.5728346050991701E-3</v>
      </c>
      <c r="J199" s="121">
        <f>'Demande Format Medpro'!J188</f>
        <v>9.1501566671643407E-3</v>
      </c>
      <c r="K199" s="121">
        <f>'Demande Format Medpro'!K188</f>
        <v>9.3106067204133895E-3</v>
      </c>
      <c r="L199" s="121">
        <f>'Demande Format Medpro'!L188</f>
        <v>9.7778816809108698E-3</v>
      </c>
      <c r="M199" s="146"/>
    </row>
    <row r="200" spans="1:13" x14ac:dyDescent="0.25">
      <c r="A200" s="106" t="s">
        <v>105</v>
      </c>
      <c r="B200" s="121">
        <f>'Demande Format Medpro'!B189</f>
        <v>0.85540000000000005</v>
      </c>
      <c r="C200" s="121">
        <f>'Demande Format Medpro'!C189</f>
        <v>0.81569999999999998</v>
      </c>
      <c r="D200" s="121">
        <f>'Demande Format Medpro'!D189</f>
        <v>0.73019999999999996</v>
      </c>
      <c r="E200" s="121">
        <f>'Demande Format Medpro'!E189</f>
        <v>0.69030000000000002</v>
      </c>
      <c r="F200" s="121">
        <f>'Demande Format Medpro'!F189</f>
        <v>0.70609999999999995</v>
      </c>
      <c r="G200" s="121">
        <f>'Demande Format Medpro'!G189</f>
        <v>0.83020000000000005</v>
      </c>
      <c r="H200" s="121">
        <f>'Demande Format Medpro'!H189</f>
        <v>-3.1631570098044101E-3</v>
      </c>
      <c r="I200" s="121">
        <f>'Demande Format Medpro'!I189</f>
        <v>-2.19022198260551E-2</v>
      </c>
      <c r="J200" s="121">
        <f>'Demande Format Medpro'!J189</f>
        <v>-1.11755213831751E-2</v>
      </c>
      <c r="K200" s="121">
        <f>'Demande Format Medpro'!K189</f>
        <v>4.5363753009275403E-3</v>
      </c>
      <c r="L200" s="121">
        <f>'Demande Format Medpro'!L189</f>
        <v>8.1283453247007493E-3</v>
      </c>
      <c r="M200" s="146"/>
    </row>
    <row r="201" spans="1:13" x14ac:dyDescent="0.25">
      <c r="A201" s="106" t="s">
        <v>134</v>
      </c>
      <c r="B201" s="121">
        <f>'Demande Format Medpro'!B190</f>
        <v>0.32079999999999997</v>
      </c>
      <c r="C201" s="121">
        <f>'Demande Format Medpro'!C190</f>
        <v>0.43919999999999998</v>
      </c>
      <c r="D201" s="121">
        <f>'Demande Format Medpro'!D190</f>
        <v>0.28920000000000001</v>
      </c>
      <c r="E201" s="121">
        <f>'Demande Format Medpro'!E190</f>
        <v>0.1908</v>
      </c>
      <c r="F201" s="121">
        <f>'Demande Format Medpro'!F190</f>
        <v>0.1142</v>
      </c>
      <c r="G201" s="121">
        <f>'Demande Format Medpro'!G190</f>
        <v>4.9099999999999998E-2</v>
      </c>
      <c r="H201" s="121">
        <f>'Demande Format Medpro'!H190</f>
        <v>2.11632999858604E-2</v>
      </c>
      <c r="I201" s="121">
        <f>'Demande Format Medpro'!I190</f>
        <v>-8.0170801502706598E-2</v>
      </c>
      <c r="J201" s="121">
        <f>'Demande Format Medpro'!J190</f>
        <v>-7.9813163360698103E-2</v>
      </c>
      <c r="K201" s="121">
        <f>'Demande Format Medpro'!K190</f>
        <v>-9.7561641878772601E-2</v>
      </c>
      <c r="L201" s="121">
        <f>'Demande Format Medpro'!L190</f>
        <v>-4.1326396695113801E-2</v>
      </c>
      <c r="M201" s="146"/>
    </row>
    <row r="202" spans="1:13" x14ac:dyDescent="0.25">
      <c r="A202" s="106" t="s">
        <v>135</v>
      </c>
      <c r="B202" s="121">
        <f>'Demande Format Medpro'!B191</f>
        <v>0</v>
      </c>
      <c r="C202" s="121">
        <f>'Demande Format Medpro'!C191</f>
        <v>8.9099999999999999E-2</v>
      </c>
      <c r="D202" s="121">
        <f>'Demande Format Medpro'!D191</f>
        <v>7.9899999999999999E-2</v>
      </c>
      <c r="E202" s="121">
        <f>'Demande Format Medpro'!E191</f>
        <v>6.5100000000000005E-2</v>
      </c>
      <c r="F202" s="121">
        <f>'Demande Format Medpro'!F191</f>
        <v>5.2400000000000002E-2</v>
      </c>
      <c r="G202" s="121">
        <f>'Demande Format Medpro'!G191</f>
        <v>3.4099999999999998E-2</v>
      </c>
      <c r="H202" s="121">
        <f>'Demande Format Medpro'!H191</f>
        <v>0</v>
      </c>
      <c r="I202" s="121">
        <f>'Demande Format Medpro'!I191</f>
        <v>0</v>
      </c>
      <c r="J202" s="121">
        <f>'Demande Format Medpro'!J191</f>
        <v>0</v>
      </c>
      <c r="K202" s="121">
        <f>'Demande Format Medpro'!K191</f>
        <v>0</v>
      </c>
      <c r="L202" s="121">
        <f>'Demande Format Medpro'!L191</f>
        <v>0</v>
      </c>
      <c r="M202" s="146"/>
    </row>
    <row r="203" spans="1:13" x14ac:dyDescent="0.25">
      <c r="A203" s="106" t="s">
        <v>136</v>
      </c>
      <c r="B203" s="121">
        <f>'Demande Format Medpro'!B192</f>
        <v>0</v>
      </c>
      <c r="C203" s="121">
        <f>'Demande Format Medpro'!C192</f>
        <v>0.70541508524818897</v>
      </c>
      <c r="D203" s="121">
        <f>'Demande Format Medpro'!D192</f>
        <v>0.84021412129145101</v>
      </c>
      <c r="E203" s="121">
        <f>'Demande Format Medpro'!E192</f>
        <v>0.92974017049510504</v>
      </c>
      <c r="F203" s="121">
        <f>'Demande Format Medpro'!F192</f>
        <v>0.95436496257908998</v>
      </c>
      <c r="G203" s="121">
        <f>'Demande Format Medpro'!G192</f>
        <v>1.2473564476953301</v>
      </c>
      <c r="H203" s="121">
        <f>'Demande Format Medpro'!H192</f>
        <v>0</v>
      </c>
      <c r="I203" s="121">
        <f>'Demande Format Medpro'!I192</f>
        <v>0</v>
      </c>
      <c r="J203" s="121">
        <f>'Demande Format Medpro'!J192</f>
        <v>0</v>
      </c>
      <c r="K203" s="121">
        <f>'Demande Format Medpro'!K192</f>
        <v>0</v>
      </c>
      <c r="L203" s="121">
        <f>'Demande Format Medpro'!L192</f>
        <v>0</v>
      </c>
      <c r="M203" s="146"/>
    </row>
    <row r="204" spans="1:13" x14ac:dyDescent="0.25">
      <c r="A204" s="106"/>
      <c r="B204" s="121"/>
      <c r="C204" s="121"/>
      <c r="D204" s="121"/>
      <c r="E204" s="121"/>
      <c r="F204" s="121"/>
      <c r="G204" s="121"/>
      <c r="H204" s="121"/>
      <c r="I204" s="121"/>
      <c r="J204" s="121"/>
      <c r="K204" s="121"/>
      <c r="L204" s="121"/>
    </row>
    <row r="205" spans="1:13" ht="15.75" thickBot="1" x14ac:dyDescent="0.3">
      <c r="A205" s="109" t="s">
        <v>10</v>
      </c>
      <c r="B205" s="378">
        <f>'Demande Format Medpro'!B194</f>
        <v>20.017199999999999</v>
      </c>
      <c r="C205" s="110">
        <f>'Demande Format Medpro'!C194</f>
        <v>23.0002150852482</v>
      </c>
      <c r="D205" s="110">
        <f>'Demande Format Medpro'!D194</f>
        <v>22.5271141212915</v>
      </c>
      <c r="E205" s="110">
        <f>'Demande Format Medpro'!E194</f>
        <v>22.078440170495099</v>
      </c>
      <c r="F205" s="110">
        <f>'Demande Format Medpro'!F194</f>
        <v>21.442864962579101</v>
      </c>
      <c r="G205" s="110">
        <f>'Demande Format Medpro'!G194</f>
        <v>22.6677564476953</v>
      </c>
      <c r="H205" s="110">
        <f>'Demande Format Medpro'!H194</f>
        <v>9.3037912415132595E-3</v>
      </c>
      <c r="I205" s="110">
        <f>'Demande Format Medpro'!I194</f>
        <v>-4.1481548719571899E-3</v>
      </c>
      <c r="J205" s="110">
        <f>'Demande Format Medpro'!J194</f>
        <v>-4.0155323599075903E-3</v>
      </c>
      <c r="K205" s="110">
        <f>'Demande Format Medpro'!K194</f>
        <v>-5.8248931822137999E-3</v>
      </c>
      <c r="L205" s="110">
        <f>'Demande Format Medpro'!L194</f>
        <v>2.7814380241897299E-3</v>
      </c>
    </row>
    <row r="206" spans="1:13" x14ac:dyDescent="0.25">
      <c r="A206" s="111"/>
      <c r="B206" s="98"/>
      <c r="C206" s="98"/>
      <c r="D206" s="98"/>
      <c r="E206" s="98"/>
    </row>
    <row r="207" spans="1:13" x14ac:dyDescent="0.25">
      <c r="A207" s="111"/>
      <c r="B207" s="98"/>
      <c r="C207" s="98"/>
      <c r="D207" s="98"/>
      <c r="E207" s="98"/>
    </row>
    <row r="208" spans="1:13" ht="16.5" thickBot="1" x14ac:dyDescent="0.3">
      <c r="A208" s="59" t="s">
        <v>155</v>
      </c>
      <c r="B208" s="53"/>
      <c r="C208" s="53"/>
      <c r="D208" s="53"/>
      <c r="E208" s="53"/>
      <c r="F208" s="53"/>
      <c r="G208" s="53"/>
      <c r="H208" s="53"/>
      <c r="I208" s="53"/>
      <c r="J208" s="53"/>
      <c r="K208" s="53"/>
      <c r="L208" s="53"/>
    </row>
    <row r="209" spans="1:14" ht="15.75" thickBot="1" x14ac:dyDescent="0.3">
      <c r="A209" s="137" t="s">
        <v>51</v>
      </c>
      <c r="B209" s="105">
        <v>2000</v>
      </c>
      <c r="C209" s="105">
        <v>2015</v>
      </c>
      <c r="D209" s="105">
        <v>2020</v>
      </c>
      <c r="E209" s="105">
        <v>2025</v>
      </c>
      <c r="F209" s="105">
        <v>2030</v>
      </c>
      <c r="G209" s="105">
        <v>2050</v>
      </c>
      <c r="H209" s="113" t="s">
        <v>98</v>
      </c>
      <c r="I209" s="114" t="s">
        <v>99</v>
      </c>
      <c r="J209" s="114" t="s">
        <v>100</v>
      </c>
      <c r="K209" s="114" t="s">
        <v>101</v>
      </c>
      <c r="L209" s="115" t="s">
        <v>102</v>
      </c>
    </row>
    <row r="210" spans="1:14" x14ac:dyDescent="0.25">
      <c r="A210" s="106" t="s">
        <v>138</v>
      </c>
      <c r="B210" s="121">
        <f>'Demande Format Medpro'!B199</f>
        <v>9.3125</v>
      </c>
      <c r="C210" s="121">
        <f>'Demande Format Medpro'!C199</f>
        <v>9.4195150852481895</v>
      </c>
      <c r="D210" s="121">
        <f>'Demande Format Medpro'!D199</f>
        <v>8.5917141212914494</v>
      </c>
      <c r="E210" s="121">
        <f>'Demande Format Medpro'!E199</f>
        <v>7.7719401704950997</v>
      </c>
      <c r="F210" s="121">
        <f>'Demande Format Medpro'!F199</f>
        <v>6.7008649625790904</v>
      </c>
      <c r="G210" s="121">
        <f>'Demande Format Medpro'!G199</f>
        <v>5.20145644769533</v>
      </c>
      <c r="H210" s="121">
        <f>'Demande Format Medpro'!H199</f>
        <v>7.6202528770386003E-4</v>
      </c>
      <c r="I210" s="121">
        <f>'Demande Format Medpro'!I199</f>
        <v>-1.8228876035648999E-2</v>
      </c>
      <c r="J210" s="121">
        <f>'Demande Format Medpro'!J199</f>
        <v>-1.9855908742122699E-2</v>
      </c>
      <c r="K210" s="121">
        <f>'Demande Format Medpro'!K199</f>
        <v>-2.9221200253626501E-2</v>
      </c>
      <c r="L210" s="121">
        <f>'Demande Format Medpro'!L199</f>
        <v>-1.25850349185209E-2</v>
      </c>
      <c r="N210" s="108"/>
    </row>
    <row r="211" spans="1:14" x14ac:dyDescent="0.25">
      <c r="A211" s="106" t="s">
        <v>156</v>
      </c>
      <c r="B211" s="121">
        <f>'Demande Format Medpro'!B200</f>
        <v>3.78571461736888</v>
      </c>
      <c r="C211" s="121">
        <f>'Demande Format Medpro'!C200</f>
        <v>3.9586567497850398</v>
      </c>
      <c r="D211" s="121">
        <f>'Demande Format Medpro'!D200</f>
        <v>3.97265709372313</v>
      </c>
      <c r="E211" s="121">
        <f>'Demande Format Medpro'!E200</f>
        <v>3.9334647463456598</v>
      </c>
      <c r="F211" s="121">
        <f>'Demande Format Medpro'!F200</f>
        <v>3.8856425623387798</v>
      </c>
      <c r="G211" s="121">
        <f>'Demande Format Medpro'!G200</f>
        <v>4.0064719690455703</v>
      </c>
      <c r="H211" s="121">
        <f>'Demande Format Medpro'!H200</f>
        <v>2.9824447705471E-3</v>
      </c>
      <c r="I211" s="121">
        <f>'Demande Format Medpro'!I200</f>
        <v>7.0632949884630303E-4</v>
      </c>
      <c r="J211" s="121">
        <f>'Demande Format Medpro'!J200</f>
        <v>-1.9809376716346501E-3</v>
      </c>
      <c r="K211" s="121">
        <f>'Demande Format Medpro'!K200</f>
        <v>-2.4434671579897098E-3</v>
      </c>
      <c r="L211" s="121">
        <f>'Demande Format Medpro'!L200</f>
        <v>1.5323067835169E-3</v>
      </c>
      <c r="N211" s="108"/>
    </row>
    <row r="212" spans="1:14" x14ac:dyDescent="0.25">
      <c r="A212" s="106" t="s">
        <v>143</v>
      </c>
      <c r="B212" s="121">
        <f>'Demande Format Medpro'!B201</f>
        <v>0.26721410146173702</v>
      </c>
      <c r="C212" s="121">
        <f>'Demande Format Medpro'!C201</f>
        <v>0.52036973344797899</v>
      </c>
      <c r="D212" s="121">
        <f>'Demande Format Medpro'!D201</f>
        <v>0.51314703353396396</v>
      </c>
      <c r="E212" s="121">
        <f>'Demande Format Medpro'!E201</f>
        <v>0.54453138435081705</v>
      </c>
      <c r="F212" s="121">
        <f>'Demande Format Medpro'!F201</f>
        <v>0.57324161650902805</v>
      </c>
      <c r="G212" s="121">
        <f>'Demande Format Medpro'!G201</f>
        <v>0.61307824591573501</v>
      </c>
      <c r="H212" s="121">
        <f>'Demande Format Medpro'!H201</f>
        <v>4.54345378075625E-2</v>
      </c>
      <c r="I212" s="121">
        <f>'Demande Format Medpro'!I201</f>
        <v>-2.7915295345626299E-3</v>
      </c>
      <c r="J212" s="121">
        <f>'Demande Format Medpro'!J201</f>
        <v>1.19433915277583E-2</v>
      </c>
      <c r="K212" s="121">
        <f>'Demande Format Medpro'!K201</f>
        <v>1.03293264690474E-2</v>
      </c>
      <c r="L212" s="121">
        <f>'Demande Format Medpro'!L201</f>
        <v>3.3649123941530399E-3</v>
      </c>
      <c r="N212" s="108"/>
    </row>
    <row r="213" spans="1:14" x14ac:dyDescent="0.25">
      <c r="A213" s="106" t="s">
        <v>142</v>
      </c>
      <c r="B213" s="121">
        <f>'Demande Format Medpro'!B202</f>
        <v>6.6517712811693901</v>
      </c>
      <c r="C213" s="121">
        <f>'Demande Format Medpro'!C202</f>
        <v>9.1015735167669796</v>
      </c>
      <c r="D213" s="121">
        <f>'Demande Format Medpro'!D202</f>
        <v>9.4495958727429095</v>
      </c>
      <c r="E213" s="121">
        <f>'Demande Format Medpro'!E202</f>
        <v>9.82850386930353</v>
      </c>
      <c r="F213" s="121">
        <f>'Demande Format Medpro'!F202</f>
        <v>10.283215821152201</v>
      </c>
      <c r="G213" s="121">
        <f>'Demande Format Medpro'!G202</f>
        <v>12.8467497850387</v>
      </c>
      <c r="H213" s="121">
        <f>'Demande Format Medpro'!H202</f>
        <v>2.1124300532036101E-2</v>
      </c>
      <c r="I213" s="121">
        <f>'Demande Format Medpro'!I202</f>
        <v>7.5331652501646803E-3</v>
      </c>
      <c r="J213" s="121">
        <f>'Demande Format Medpro'!J202</f>
        <v>7.8939434265645793E-3</v>
      </c>
      <c r="K213" s="121">
        <f>'Demande Format Medpro'!K202</f>
        <v>9.0862944238156995E-3</v>
      </c>
      <c r="L213" s="121">
        <f>'Demande Format Medpro'!L202</f>
        <v>1.1191046973166001E-2</v>
      </c>
      <c r="N213" s="108"/>
    </row>
    <row r="214" spans="1:14" x14ac:dyDescent="0.25">
      <c r="A214" s="106"/>
      <c r="B214" s="121"/>
      <c r="C214" s="121"/>
      <c r="D214" s="121"/>
      <c r="E214" s="121"/>
      <c r="F214" s="121"/>
      <c r="G214" s="121"/>
      <c r="H214" s="121"/>
      <c r="I214" s="121"/>
      <c r="J214" s="121"/>
      <c r="K214" s="121"/>
      <c r="L214" s="121"/>
      <c r="N214" s="108"/>
    </row>
    <row r="215" spans="1:14" ht="15.75" thickBot="1" x14ac:dyDescent="0.3">
      <c r="A215" s="109" t="s">
        <v>10</v>
      </c>
      <c r="B215" s="378">
        <f>'Demande Format Medpro'!B204</f>
        <v>20.017199999999999</v>
      </c>
      <c r="C215" s="110">
        <f>'Demande Format Medpro'!C204</f>
        <v>23.000115085248201</v>
      </c>
      <c r="D215" s="110">
        <f>'Demande Format Medpro'!D204</f>
        <v>22.5271141212915</v>
      </c>
      <c r="E215" s="110">
        <f>'Demande Format Medpro'!E204</f>
        <v>22.078440170495099</v>
      </c>
      <c r="F215" s="110">
        <f>'Demande Format Medpro'!F204</f>
        <v>21.442964962579101</v>
      </c>
      <c r="G215" s="110">
        <f>'Demande Format Medpro'!G204</f>
        <v>22.6677564476953</v>
      </c>
      <c r="H215" s="110">
        <f>'Demande Format Medpro'!H204</f>
        <v>9.3034986918318907E-3</v>
      </c>
      <c r="I215" s="110">
        <f>'Demande Format Medpro'!I204</f>
        <v>-4.1472889196699798E-3</v>
      </c>
      <c r="J215" s="110">
        <f>'Demande Format Medpro'!J204</f>
        <v>-4.0155323599075903E-3</v>
      </c>
      <c r="K215" s="110">
        <f>'Demande Format Medpro'!K204</f>
        <v>-5.82396590570111E-3</v>
      </c>
      <c r="L215" s="110">
        <f>'Demande Format Medpro'!L204</f>
        <v>2.7812041983963399E-3</v>
      </c>
      <c r="N215" s="108"/>
    </row>
    <row r="216" spans="1:14" x14ac:dyDescent="0.25">
      <c r="A216" s="111"/>
      <c r="B216" s="98"/>
      <c r="C216" s="107"/>
      <c r="D216" s="107"/>
      <c r="E216" s="107"/>
      <c r="F216" s="107"/>
      <c r="G216" s="107"/>
      <c r="N216" s="108"/>
    </row>
    <row r="217" spans="1:14" x14ac:dyDescent="0.25">
      <c r="A217" s="111"/>
      <c r="B217" s="98"/>
      <c r="C217" s="98"/>
      <c r="D217" s="98"/>
      <c r="E217" s="107"/>
      <c r="F217" s="150"/>
      <c r="G217" s="107"/>
      <c r="N217" s="108"/>
    </row>
    <row r="218" spans="1:14" ht="16.5" thickBot="1" x14ac:dyDescent="0.3">
      <c r="A218" s="59" t="s">
        <v>157</v>
      </c>
      <c r="B218" s="53"/>
      <c r="C218" s="53"/>
      <c r="D218" s="53"/>
      <c r="E218" s="151"/>
      <c r="F218" s="151"/>
      <c r="G218" s="151"/>
      <c r="H218" s="53"/>
      <c r="I218" s="53"/>
      <c r="J218" s="53"/>
      <c r="K218" s="53"/>
      <c r="L218" s="53"/>
      <c r="N218" s="108"/>
    </row>
    <row r="219" spans="1:14" ht="15.75" thickBot="1" x14ac:dyDescent="0.3">
      <c r="A219" s="137" t="s">
        <v>51</v>
      </c>
      <c r="B219" s="105">
        <v>2000</v>
      </c>
      <c r="C219" s="105">
        <v>2015</v>
      </c>
      <c r="D219" s="105">
        <v>2020</v>
      </c>
      <c r="E219" s="105">
        <v>2025</v>
      </c>
      <c r="F219" s="105">
        <v>2030</v>
      </c>
      <c r="G219" s="105">
        <v>2050</v>
      </c>
      <c r="H219" s="113" t="s">
        <v>98</v>
      </c>
      <c r="I219" s="114" t="s">
        <v>99</v>
      </c>
      <c r="J219" s="114" t="s">
        <v>100</v>
      </c>
      <c r="K219" s="114" t="s">
        <v>101</v>
      </c>
      <c r="L219" s="115" t="s">
        <v>102</v>
      </c>
      <c r="N219" s="108"/>
    </row>
    <row r="220" spans="1:14" x14ac:dyDescent="0.25">
      <c r="A220" s="106" t="s">
        <v>103</v>
      </c>
      <c r="B220" s="107">
        <f>'Demande Format Medpro'!B209</f>
        <v>3.7561</v>
      </c>
      <c r="C220" s="107">
        <f>'Demande Format Medpro'!C209</f>
        <v>2.3746</v>
      </c>
      <c r="D220" s="107">
        <f>'Demande Format Medpro'!D209</f>
        <v>1.9155</v>
      </c>
      <c r="E220" s="107">
        <f>'Demande Format Medpro'!E209</f>
        <v>1.4925999999999999</v>
      </c>
      <c r="F220" s="107">
        <f>'Demande Format Medpro'!F209</f>
        <v>1.1229</v>
      </c>
      <c r="G220" s="107">
        <f>'Demande Format Medpro'!G209</f>
        <v>0.74460000000000004</v>
      </c>
      <c r="H220" s="107">
        <f>'Demande Format Medpro'!H209</f>
        <v>-3.0107603926098101E-2</v>
      </c>
      <c r="I220" s="107">
        <f>'Demande Format Medpro'!I209</f>
        <v>-4.2059932911037302E-2</v>
      </c>
      <c r="J220" s="107">
        <f>'Demande Format Medpro'!J209</f>
        <v>-4.86676696332956E-2</v>
      </c>
      <c r="K220" s="107">
        <f>'Demande Format Medpro'!K209</f>
        <v>-5.5331293629666801E-2</v>
      </c>
      <c r="L220" s="107">
        <f>'Demande Format Medpro'!L209</f>
        <v>-2.03316050780015E-2</v>
      </c>
      <c r="N220" s="108"/>
    </row>
    <row r="221" spans="1:14" x14ac:dyDescent="0.25">
      <c r="A221" s="106" t="s">
        <v>54</v>
      </c>
      <c r="B221" s="107">
        <f>'Demande Format Medpro'!B210</f>
        <v>5.5961999999999996</v>
      </c>
      <c r="C221" s="107">
        <f>'Demande Format Medpro'!C210</f>
        <v>6.1024000000000003</v>
      </c>
      <c r="D221" s="107">
        <f>'Demande Format Medpro'!D210</f>
        <v>5.7868000000000004</v>
      </c>
      <c r="E221" s="107">
        <f>'Demande Format Medpro'!E210</f>
        <v>5.2241999999999997</v>
      </c>
      <c r="F221" s="107">
        <f>'Demande Format Medpro'!F210</f>
        <v>4.3676000000000004</v>
      </c>
      <c r="G221" s="107">
        <f>'Demande Format Medpro'!G210</f>
        <v>2.6025</v>
      </c>
      <c r="H221" s="107">
        <f>'Demande Format Medpro'!H210</f>
        <v>5.7896516525792804E-3</v>
      </c>
      <c r="I221" s="107">
        <f>'Demande Format Medpro'!I210</f>
        <v>-1.05643361785912E-2</v>
      </c>
      <c r="J221" s="107">
        <f>'Demande Format Medpro'!J210</f>
        <v>-2.0247761500076299E-2</v>
      </c>
      <c r="K221" s="107">
        <f>'Demande Format Medpro'!K210</f>
        <v>-3.5183743345156303E-2</v>
      </c>
      <c r="L221" s="107">
        <f>'Demande Format Medpro'!L210</f>
        <v>-2.5554859734163798E-2</v>
      </c>
      <c r="N221" s="108"/>
    </row>
    <row r="222" spans="1:14" x14ac:dyDescent="0.25">
      <c r="A222" s="106" t="s">
        <v>42</v>
      </c>
      <c r="B222" s="107">
        <f>'Demande Format Medpro'!B211</f>
        <v>0.15870000000000001</v>
      </c>
      <c r="C222" s="107">
        <f>'Demande Format Medpro'!C211</f>
        <v>6.5500000000000003E-2</v>
      </c>
      <c r="D222" s="107">
        <f>'Demande Format Medpro'!D211</f>
        <v>0</v>
      </c>
      <c r="E222" s="107">
        <f>'Demande Format Medpro'!E211</f>
        <v>0</v>
      </c>
      <c r="F222" s="107">
        <f>'Demande Format Medpro'!F211</f>
        <v>0</v>
      </c>
      <c r="G222" s="107">
        <f>'Demande Format Medpro'!G211</f>
        <v>0</v>
      </c>
      <c r="H222" s="107">
        <f>'Demande Format Medpro'!H211</f>
        <v>-5.7291061665288301E-2</v>
      </c>
      <c r="I222" s="107">
        <f>'Demande Format Medpro'!I211</f>
        <v>-1</v>
      </c>
      <c r="J222" s="107" t="e">
        <f>'Demande Format Medpro'!J211</f>
        <v>#DIV/0!</v>
      </c>
      <c r="K222" s="107" t="e">
        <f>'Demande Format Medpro'!K211</f>
        <v>#DIV/0!</v>
      </c>
      <c r="L222" s="107" t="e">
        <f>'Demande Format Medpro'!L211</f>
        <v>#DIV/0!</v>
      </c>
      <c r="N222" s="108"/>
    </row>
    <row r="223" spans="1:14" x14ac:dyDescent="0.25">
      <c r="A223" s="106" t="s">
        <v>104</v>
      </c>
      <c r="B223" s="107">
        <f>'Demande Format Medpro'!B212</f>
        <v>2.4110146173688798</v>
      </c>
      <c r="C223" s="107">
        <f>'Demande Format Medpro'!C212</f>
        <v>2.7863567497850399</v>
      </c>
      <c r="D223" s="107">
        <f>'Demande Format Medpro'!D212</f>
        <v>2.92255709372313</v>
      </c>
      <c r="E223" s="107">
        <f>'Demande Format Medpro'!E212</f>
        <v>3.11266474634566</v>
      </c>
      <c r="F223" s="107">
        <f>'Demande Format Medpro'!F212</f>
        <v>3.2688425623387798</v>
      </c>
      <c r="G223" s="107">
        <f>'Demande Format Medpro'!G212</f>
        <v>3.7000719690455699</v>
      </c>
      <c r="H223" s="107">
        <f>'Demande Format Medpro'!H212</f>
        <v>9.6924879048045903E-3</v>
      </c>
      <c r="I223" s="107">
        <f>'Demande Format Medpro'!I212</f>
        <v>9.5905033465326604E-3</v>
      </c>
      <c r="J223" s="107">
        <f>'Demande Format Medpro'!J212</f>
        <v>1.2683813956920999E-2</v>
      </c>
      <c r="K223" s="107">
        <f>'Demande Format Medpro'!K212</f>
        <v>9.8394471178493408E-3</v>
      </c>
      <c r="L223" s="107">
        <f>'Demande Format Medpro'!L212</f>
        <v>6.2150490043679802E-3</v>
      </c>
      <c r="N223" s="108"/>
    </row>
    <row r="224" spans="1:14" x14ac:dyDescent="0.25">
      <c r="A224" s="106" t="s">
        <v>105</v>
      </c>
      <c r="B224" s="107">
        <f>'Demande Format Medpro'!B213</f>
        <v>0.85540000000000005</v>
      </c>
      <c r="C224" s="107">
        <f>'Demande Format Medpro'!C213</f>
        <v>0.81569999999999998</v>
      </c>
      <c r="D224" s="107">
        <f>'Demande Format Medpro'!D213</f>
        <v>0.73019999999999996</v>
      </c>
      <c r="E224" s="107">
        <f>'Demande Format Medpro'!E213</f>
        <v>0.69030000000000002</v>
      </c>
      <c r="F224" s="107">
        <f>'Demande Format Medpro'!F213</f>
        <v>0.70609999999999995</v>
      </c>
      <c r="G224" s="107">
        <f>'Demande Format Medpro'!G213</f>
        <v>0.83020000000000005</v>
      </c>
      <c r="H224" s="107">
        <f>'Demande Format Medpro'!H213</f>
        <v>-3.1631570098044101E-3</v>
      </c>
      <c r="I224" s="107">
        <f>'Demande Format Medpro'!I213</f>
        <v>-2.19022198260551E-2</v>
      </c>
      <c r="J224" s="107">
        <f>'Demande Format Medpro'!J213</f>
        <v>-1.11755213831751E-2</v>
      </c>
      <c r="K224" s="107">
        <f>'Demande Format Medpro'!K213</f>
        <v>4.5363753009275403E-3</v>
      </c>
      <c r="L224" s="107">
        <f>'Demande Format Medpro'!L213</f>
        <v>8.1283453247007493E-3</v>
      </c>
      <c r="N224" s="108"/>
    </row>
    <row r="225" spans="1:14" x14ac:dyDescent="0.25">
      <c r="A225" s="106" t="s">
        <v>134</v>
      </c>
      <c r="B225" s="107">
        <f>'Demande Format Medpro'!B214</f>
        <v>0.32079999999999997</v>
      </c>
      <c r="C225" s="107">
        <f>'Demande Format Medpro'!C214</f>
        <v>0.43919999999999998</v>
      </c>
      <c r="D225" s="107">
        <f>'Demande Format Medpro'!D214</f>
        <v>0.28920000000000001</v>
      </c>
      <c r="E225" s="107">
        <f>'Demande Format Medpro'!E214</f>
        <v>0.1908</v>
      </c>
      <c r="F225" s="107">
        <f>'Demande Format Medpro'!F214</f>
        <v>0.1142</v>
      </c>
      <c r="G225" s="107">
        <f>'Demande Format Medpro'!G214</f>
        <v>4.9099999999999998E-2</v>
      </c>
      <c r="H225" s="107">
        <f>'Demande Format Medpro'!H214</f>
        <v>2.11632999858604E-2</v>
      </c>
      <c r="I225" s="107">
        <f>'Demande Format Medpro'!I214</f>
        <v>-8.0170801502706598E-2</v>
      </c>
      <c r="J225" s="107">
        <f>'Demande Format Medpro'!J214</f>
        <v>-7.9813163360698103E-2</v>
      </c>
      <c r="K225" s="107">
        <f>'Demande Format Medpro'!K214</f>
        <v>-9.7561641878772601E-2</v>
      </c>
      <c r="L225" s="107">
        <f>'Demande Format Medpro'!L214</f>
        <v>-4.1326396695113801E-2</v>
      </c>
      <c r="N225" s="108"/>
    </row>
    <row r="226" spans="1:14" x14ac:dyDescent="0.25">
      <c r="A226" s="106" t="s">
        <v>135</v>
      </c>
      <c r="B226" s="107">
        <f>'Demande Format Medpro'!B215</f>
        <v>0</v>
      </c>
      <c r="C226" s="107">
        <f>'Demande Format Medpro'!C215</f>
        <v>8.9099999999999999E-2</v>
      </c>
      <c r="D226" s="107">
        <f>'Demande Format Medpro'!D215</f>
        <v>7.9899999999999999E-2</v>
      </c>
      <c r="E226" s="107">
        <f>'Demande Format Medpro'!E215</f>
        <v>6.5100000000000005E-2</v>
      </c>
      <c r="F226" s="107">
        <f>'Demande Format Medpro'!F215</f>
        <v>5.2400000000000002E-2</v>
      </c>
      <c r="G226" s="107">
        <f>'Demande Format Medpro'!G215</f>
        <v>3.4099999999999998E-2</v>
      </c>
      <c r="H226" s="107">
        <f>'Demande Format Medpro'!H215</f>
        <v>0</v>
      </c>
      <c r="I226" s="107">
        <f>'Demande Format Medpro'!I215</f>
        <v>0</v>
      </c>
      <c r="J226" s="107">
        <f>'Demande Format Medpro'!J215</f>
        <v>0</v>
      </c>
      <c r="K226" s="107">
        <f>'Demande Format Medpro'!K215</f>
        <v>0</v>
      </c>
      <c r="L226" s="107">
        <f>'Demande Format Medpro'!L215</f>
        <v>0</v>
      </c>
      <c r="N226" s="108"/>
    </row>
    <row r="227" spans="1:14" x14ac:dyDescent="0.25">
      <c r="A227" s="106" t="s">
        <v>136</v>
      </c>
      <c r="B227" s="107">
        <f>'Demande Format Medpro'!B216</f>
        <v>0</v>
      </c>
      <c r="C227" s="107">
        <f>'Demande Format Medpro'!C216</f>
        <v>0.70541508524818897</v>
      </c>
      <c r="D227" s="107">
        <f>'Demande Format Medpro'!D216</f>
        <v>0.84021412129145101</v>
      </c>
      <c r="E227" s="107">
        <f>'Demande Format Medpro'!E216</f>
        <v>0.92974017049510504</v>
      </c>
      <c r="F227" s="107">
        <f>'Demande Format Medpro'!F216</f>
        <v>0.95436496257908998</v>
      </c>
      <c r="G227" s="107">
        <f>'Demande Format Medpro'!G216</f>
        <v>1.2473564476953301</v>
      </c>
      <c r="H227" s="107">
        <f>'Demande Format Medpro'!H216</f>
        <v>0</v>
      </c>
      <c r="I227" s="107">
        <f>'Demande Format Medpro'!I216</f>
        <v>0</v>
      </c>
      <c r="J227" s="107">
        <f>'Demande Format Medpro'!J216</f>
        <v>0</v>
      </c>
      <c r="K227" s="107">
        <f>'Demande Format Medpro'!K216</f>
        <v>0</v>
      </c>
      <c r="L227" s="107">
        <f>'Demande Format Medpro'!L216</f>
        <v>0</v>
      </c>
      <c r="N227" s="108"/>
    </row>
    <row r="228" spans="1:14" x14ac:dyDescent="0.25">
      <c r="A228" s="106"/>
      <c r="B228" s="107"/>
      <c r="C228" s="107"/>
      <c r="D228" s="107"/>
      <c r="E228" s="107"/>
      <c r="F228" s="107"/>
      <c r="G228" s="107"/>
      <c r="H228" s="107"/>
      <c r="I228" s="107"/>
      <c r="J228" s="107"/>
      <c r="K228" s="107"/>
      <c r="L228" s="107"/>
      <c r="N228" s="108"/>
    </row>
    <row r="229" spans="1:14" ht="15.75" thickBot="1" x14ac:dyDescent="0.3">
      <c r="A229" s="109" t="s">
        <v>10</v>
      </c>
      <c r="B229" s="126">
        <f>'Demande Format Medpro'!B218</f>
        <v>13.0982146173689</v>
      </c>
      <c r="C229" s="131">
        <f>'Demande Format Medpro'!C218</f>
        <v>13.3782718350332</v>
      </c>
      <c r="D229" s="131">
        <f>'Demande Format Medpro'!D218</f>
        <v>12.564371215014599</v>
      </c>
      <c r="E229" s="131">
        <f>'Demande Format Medpro'!E218</f>
        <v>11.7054049168408</v>
      </c>
      <c r="F229" s="131">
        <f>'Demande Format Medpro'!F218</f>
        <v>10.586407524917901</v>
      </c>
      <c r="G229" s="131">
        <f>'Demande Format Medpro'!G218</f>
        <v>9.2079284167409003</v>
      </c>
      <c r="H229" s="131">
        <f>'Demande Format Medpro'!H218</f>
        <v>1.41139200272455E-3</v>
      </c>
      <c r="I229" s="131">
        <f>'Demande Format Medpro'!I218</f>
        <v>-1.24748871303695E-2</v>
      </c>
      <c r="J229" s="131">
        <f>'Demande Format Medpro'!J218</f>
        <v>-1.40630647971826E-2</v>
      </c>
      <c r="K229" s="131">
        <f>'Demande Format Medpro'!K218</f>
        <v>-1.9895386857720899E-2</v>
      </c>
      <c r="L229" s="131">
        <f>'Demande Format Medpro'!L218</f>
        <v>-6.9510276661613997E-3</v>
      </c>
      <c r="N229" s="108"/>
    </row>
    <row r="230" spans="1:14" x14ac:dyDescent="0.25">
      <c r="A230" s="111"/>
      <c r="B230" s="98"/>
      <c r="C230" s="98"/>
      <c r="D230" s="98"/>
      <c r="E230" s="98"/>
      <c r="N230" s="108"/>
    </row>
    <row r="231" spans="1:14" x14ac:dyDescent="0.25">
      <c r="A231" s="111"/>
      <c r="B231" s="98"/>
      <c r="C231" s="98"/>
      <c r="D231" s="98"/>
      <c r="E231" s="98"/>
      <c r="N231" s="108"/>
    </row>
    <row r="232" spans="1:14" ht="16.5" thickBot="1" x14ac:dyDescent="0.3">
      <c r="A232" s="59" t="s">
        <v>158</v>
      </c>
      <c r="B232" s="53"/>
      <c r="C232" s="53"/>
      <c r="D232" s="53"/>
      <c r="E232" s="53"/>
      <c r="F232" s="53"/>
      <c r="G232" s="53"/>
      <c r="H232" s="53"/>
      <c r="I232" s="53"/>
      <c r="J232" s="53"/>
      <c r="K232" s="53"/>
      <c r="L232" s="53"/>
      <c r="N232" s="108"/>
    </row>
    <row r="233" spans="1:14" ht="15.75" thickBot="1" x14ac:dyDescent="0.3">
      <c r="A233" s="137" t="s">
        <v>51</v>
      </c>
      <c r="B233" s="105">
        <v>2000</v>
      </c>
      <c r="C233" s="105">
        <v>2015</v>
      </c>
      <c r="D233" s="105">
        <v>2020</v>
      </c>
      <c r="E233" s="105">
        <v>2025</v>
      </c>
      <c r="F233" s="105">
        <v>2030</v>
      </c>
      <c r="G233" s="105">
        <v>2050</v>
      </c>
      <c r="H233" s="113" t="s">
        <v>98</v>
      </c>
      <c r="I233" s="114" t="s">
        <v>99</v>
      </c>
      <c r="J233" s="114" t="s">
        <v>100</v>
      </c>
      <c r="K233" s="114" t="s">
        <v>101</v>
      </c>
      <c r="L233" s="115" t="s">
        <v>102</v>
      </c>
      <c r="N233" s="108"/>
    </row>
    <row r="234" spans="1:14" x14ac:dyDescent="0.25">
      <c r="A234" s="106" t="s">
        <v>103</v>
      </c>
      <c r="B234" s="121">
        <f>'Demande Format Medpro'!B223</f>
        <v>2.6355</v>
      </c>
      <c r="C234" s="121">
        <f>'Demande Format Medpro'!C223</f>
        <v>1.5865</v>
      </c>
      <c r="D234" s="121">
        <f>'Demande Format Medpro'!D223</f>
        <v>1.2203999999999999</v>
      </c>
      <c r="E234" s="121">
        <f>'Demande Format Medpro'!E223</f>
        <v>0.9052</v>
      </c>
      <c r="F234" s="121">
        <f>'Demande Format Medpro'!F223</f>
        <v>0.63119999999999998</v>
      </c>
      <c r="G234" s="121">
        <f>'Demande Format Medpro'!G223</f>
        <v>0.33550000000000002</v>
      </c>
      <c r="H234" s="121">
        <f>'Demande Format Medpro'!H223</f>
        <v>-3.32701312538944E-2</v>
      </c>
      <c r="I234" s="121">
        <f>'Demande Format Medpro'!I223</f>
        <v>-5.1117527571357797E-2</v>
      </c>
      <c r="J234" s="121">
        <f>'Demande Format Medpro'!J223</f>
        <v>-5.8005278398234397E-2</v>
      </c>
      <c r="K234" s="121">
        <f>'Demande Format Medpro'!K223</f>
        <v>-6.9568320334211703E-2</v>
      </c>
      <c r="L234" s="121">
        <f>'Demande Format Medpro'!L223</f>
        <v>-3.1105977188465101E-2</v>
      </c>
      <c r="M234" s="152"/>
      <c r="N234" s="108"/>
    </row>
    <row r="235" spans="1:14" x14ac:dyDescent="0.25">
      <c r="A235" s="106" t="s">
        <v>54</v>
      </c>
      <c r="B235" s="121">
        <f>'Demande Format Medpro'!B224</f>
        <v>3.9832000000000001</v>
      </c>
      <c r="C235" s="121">
        <f>'Demande Format Medpro'!C224</f>
        <v>4.2202000000000002</v>
      </c>
      <c r="D235" s="121">
        <f>'Demande Format Medpro'!D224</f>
        <v>3.8336999999999999</v>
      </c>
      <c r="E235" s="121">
        <f>'Demande Format Medpro'!E224</f>
        <v>3.3018000000000001</v>
      </c>
      <c r="F235" s="121">
        <f>'Demande Format Medpro'!F224</f>
        <v>2.5691000000000002</v>
      </c>
      <c r="G235" s="121">
        <f>'Demande Format Medpro'!G224</f>
        <v>1.2297</v>
      </c>
      <c r="H235" s="121">
        <f>'Demande Format Medpro'!H224</f>
        <v>3.8605664590591901E-3</v>
      </c>
      <c r="I235" s="121">
        <f>'Demande Format Medpro'!I224</f>
        <v>-1.90270808974272E-2</v>
      </c>
      <c r="J235" s="121">
        <f>'Demande Format Medpro'!J224</f>
        <v>-2.9430750049253399E-2</v>
      </c>
      <c r="K235" s="121">
        <f>'Demande Format Medpro'!K224</f>
        <v>-4.8944088896414002E-2</v>
      </c>
      <c r="L235" s="121">
        <f>'Demande Format Medpro'!L224</f>
        <v>-3.6168960817935601E-2</v>
      </c>
      <c r="M235" s="152"/>
      <c r="N235" s="108"/>
    </row>
    <row r="236" spans="1:14" x14ac:dyDescent="0.25">
      <c r="A236" s="106" t="s">
        <v>42</v>
      </c>
      <c r="B236" s="121">
        <f>'Demande Format Medpro'!B225</f>
        <v>0.11509999999999999</v>
      </c>
      <c r="C236" s="121">
        <f>'Demande Format Medpro'!C225</f>
        <v>4.6199999999999998E-2</v>
      </c>
      <c r="D236" s="121">
        <f>'Demande Format Medpro'!D225</f>
        <v>0</v>
      </c>
      <c r="E236" s="121">
        <f>'Demande Format Medpro'!E225</f>
        <v>0</v>
      </c>
      <c r="F236" s="121">
        <f>'Demande Format Medpro'!F225</f>
        <v>0</v>
      </c>
      <c r="G236" s="121">
        <f>'Demande Format Medpro'!G225</f>
        <v>0</v>
      </c>
      <c r="H236" s="121">
        <f>'Demande Format Medpro'!H225</f>
        <v>-5.9040112512636501E-2</v>
      </c>
      <c r="I236" s="121">
        <f>'Demande Format Medpro'!I225</f>
        <v>-1</v>
      </c>
      <c r="J236" s="121" t="e">
        <f>'Demande Format Medpro'!J225</f>
        <v>#DIV/0!</v>
      </c>
      <c r="K236" s="121" t="e">
        <f>'Demande Format Medpro'!K225</f>
        <v>#DIV/0!</v>
      </c>
      <c r="L236" s="121" t="e">
        <f>'Demande Format Medpro'!L225</f>
        <v>#DIV/0!</v>
      </c>
      <c r="M236" s="152"/>
      <c r="N236" s="108"/>
    </row>
    <row r="237" spans="1:14" x14ac:dyDescent="0.25">
      <c r="A237" s="106" t="s">
        <v>104</v>
      </c>
      <c r="B237" s="121">
        <f>'Demande Format Medpro'!B226</f>
        <v>1.7258</v>
      </c>
      <c r="C237" s="121">
        <f>'Demande Format Medpro'!C226</f>
        <v>1.9755</v>
      </c>
      <c r="D237" s="121">
        <f>'Demande Format Medpro'!D226</f>
        <v>2.0043000000000002</v>
      </c>
      <c r="E237" s="121">
        <f>'Demande Format Medpro'!E226</f>
        <v>2.0605000000000002</v>
      </c>
      <c r="F237" s="121">
        <f>'Demande Format Medpro'!F226</f>
        <v>2.0430000000000001</v>
      </c>
      <c r="G237" s="121">
        <f>'Demande Format Medpro'!G226</f>
        <v>1.9240999999999999</v>
      </c>
      <c r="H237" s="121">
        <f>'Demande Format Medpro'!H226</f>
        <v>9.0494219768668706E-3</v>
      </c>
      <c r="I237" s="121">
        <f>'Demande Format Medpro'!I226</f>
        <v>2.8988619474283901E-3</v>
      </c>
      <c r="J237" s="121">
        <f>'Demande Format Medpro'!J226</f>
        <v>5.5460827240940702E-3</v>
      </c>
      <c r="K237" s="121">
        <f>'Demande Format Medpro'!K226</f>
        <v>-1.70441702098156E-3</v>
      </c>
      <c r="L237" s="121">
        <f>'Demande Format Medpro'!L226</f>
        <v>-2.9935598320109899E-3</v>
      </c>
      <c r="M237" s="152"/>
      <c r="N237" s="108"/>
    </row>
    <row r="238" spans="1:14" x14ac:dyDescent="0.25">
      <c r="A238" s="106" t="s">
        <v>105</v>
      </c>
      <c r="B238" s="121">
        <f>'Demande Format Medpro'!B227</f>
        <v>0.62029999999999996</v>
      </c>
      <c r="C238" s="121">
        <f>'Demande Format Medpro'!C227</f>
        <v>0.57579999999999998</v>
      </c>
      <c r="D238" s="121">
        <f>'Demande Format Medpro'!D227</f>
        <v>0.49149999999999999</v>
      </c>
      <c r="E238" s="121">
        <f>'Demande Format Medpro'!E227</f>
        <v>0.44379999999999997</v>
      </c>
      <c r="F238" s="121">
        <f>'Demande Format Medpro'!F227</f>
        <v>0.42580000000000001</v>
      </c>
      <c r="G238" s="121">
        <f>'Demande Format Medpro'!G227</f>
        <v>0.43020000000000003</v>
      </c>
      <c r="H238" s="121">
        <f>'Demande Format Medpro'!H227</f>
        <v>-4.9505622928958104E-3</v>
      </c>
      <c r="I238" s="121">
        <f>'Demande Format Medpro'!I227</f>
        <v>-3.1163767146966399E-2</v>
      </c>
      <c r="J238" s="121">
        <f>'Demande Format Medpro'!J227</f>
        <v>-2.0210558307184798E-2</v>
      </c>
      <c r="K238" s="121">
        <f>'Demande Format Medpro'!K227</f>
        <v>-8.2466598003344601E-3</v>
      </c>
      <c r="L238" s="121">
        <f>'Demande Format Medpro'!L227</f>
        <v>5.1415535128596101E-4</v>
      </c>
      <c r="M238" s="152"/>
      <c r="N238" s="108"/>
    </row>
    <row r="239" spans="1:14" x14ac:dyDescent="0.25">
      <c r="A239" s="106" t="s">
        <v>134</v>
      </c>
      <c r="B239" s="121">
        <f>'Demande Format Medpro'!B228</f>
        <v>0.2326</v>
      </c>
      <c r="C239" s="121">
        <f>'Demande Format Medpro'!C228</f>
        <v>0.30990000000000001</v>
      </c>
      <c r="D239" s="121">
        <f>'Demande Format Medpro'!D228</f>
        <v>0.2016</v>
      </c>
      <c r="E239" s="121">
        <f>'Demande Format Medpro'!E228</f>
        <v>0.13089999999999999</v>
      </c>
      <c r="F239" s="121">
        <f>'Demande Format Medpro'!F228</f>
        <v>7.7399999999999997E-2</v>
      </c>
      <c r="G239" s="121">
        <f>'Demande Format Medpro'!G228</f>
        <v>3.4599999999999999E-2</v>
      </c>
      <c r="H239" s="121">
        <f>'Demande Format Medpro'!H228</f>
        <v>1.9312752666136499E-2</v>
      </c>
      <c r="I239" s="121">
        <f>'Demande Format Medpro'!I228</f>
        <v>-8.2399185677649006E-2</v>
      </c>
      <c r="J239" s="121">
        <f>'Demande Format Medpro'!J228</f>
        <v>-8.2745557664505698E-2</v>
      </c>
      <c r="K239" s="121">
        <f>'Demande Format Medpro'!K228</f>
        <v>-9.97559434406773E-2</v>
      </c>
      <c r="L239" s="121">
        <f>'Demande Format Medpro'!L228</f>
        <v>-3.9457120548926097E-2</v>
      </c>
      <c r="M239" s="152"/>
      <c r="N239" s="108"/>
    </row>
    <row r="240" spans="1:14" x14ac:dyDescent="0.25">
      <c r="A240" s="106" t="s">
        <v>135</v>
      </c>
      <c r="B240" s="121">
        <v>0</v>
      </c>
      <c r="C240" s="121">
        <v>1</v>
      </c>
      <c r="D240" s="121">
        <v>9.8601218835455459E-2</v>
      </c>
      <c r="E240" s="121">
        <v>0.13582199694526742</v>
      </c>
      <c r="F240" s="121">
        <v>0.15372765584619141</v>
      </c>
      <c r="G240" s="121">
        <v>0.11641782052141147</v>
      </c>
      <c r="H240" s="121">
        <v>6</v>
      </c>
      <c r="I240" s="121">
        <v>7</v>
      </c>
      <c r="J240" s="121">
        <v>8</v>
      </c>
      <c r="K240" s="121">
        <v>9</v>
      </c>
      <c r="L240" s="121">
        <v>10</v>
      </c>
      <c r="N240" s="108"/>
    </row>
    <row r="241" spans="1:14" x14ac:dyDescent="0.25">
      <c r="A241" s="106" t="s">
        <v>136</v>
      </c>
      <c r="B241" s="121">
        <f>'Demande Format Medpro'!B229</f>
        <v>0</v>
      </c>
      <c r="C241" s="121">
        <f>'Demande Format Medpro'!C229</f>
        <v>0.70541508524818897</v>
      </c>
      <c r="D241" s="121">
        <f>'Demande Format Medpro'!D229</f>
        <v>0.84021412129145101</v>
      </c>
      <c r="E241" s="121">
        <f>'Demande Format Medpro'!E229</f>
        <v>0.92974017049510504</v>
      </c>
      <c r="F241" s="121">
        <f>'Demande Format Medpro'!F229</f>
        <v>0.95436496257908998</v>
      </c>
      <c r="G241" s="121">
        <f>'Demande Format Medpro'!G229</f>
        <v>1.2473564476953301</v>
      </c>
      <c r="H241" s="121">
        <f>'Demande Format Medpro'!H229</f>
        <v>0</v>
      </c>
      <c r="I241" s="121">
        <f>'Demande Format Medpro'!I229</f>
        <v>0</v>
      </c>
      <c r="J241" s="121">
        <f>'Demande Format Medpro'!J229</f>
        <v>0</v>
      </c>
      <c r="K241" s="121">
        <f>'Demande Format Medpro'!K229</f>
        <v>0</v>
      </c>
      <c r="L241" s="121">
        <f>'Demande Format Medpro'!L229</f>
        <v>0</v>
      </c>
      <c r="N241" s="108"/>
    </row>
    <row r="242" spans="1:14" x14ac:dyDescent="0.25">
      <c r="A242" s="106"/>
      <c r="B242" s="121"/>
      <c r="C242" s="121"/>
      <c r="D242" s="107"/>
      <c r="E242" s="107"/>
      <c r="F242" s="107"/>
      <c r="G242" s="107"/>
      <c r="H242" s="121"/>
      <c r="I242" s="121"/>
      <c r="J242" s="121"/>
      <c r="K242" s="121"/>
      <c r="L242" s="121"/>
      <c r="N242" s="108"/>
    </row>
    <row r="243" spans="1:14" ht="15.75" thickBot="1" x14ac:dyDescent="0.3">
      <c r="A243" s="109" t="s">
        <v>10</v>
      </c>
      <c r="B243" s="378">
        <f>'Demande Format Medpro'!B231</f>
        <v>9.3125</v>
      </c>
      <c r="C243" s="110">
        <f>'Demande Format Medpro'!C231</f>
        <v>9.4195150852481895</v>
      </c>
      <c r="D243" s="131">
        <f>SUM(D234:D241)</f>
        <v>8.6903153401269062</v>
      </c>
      <c r="E243" s="131">
        <f>SUM(E234:E241)</f>
        <v>7.9077621674403717</v>
      </c>
      <c r="F243" s="131">
        <f>SUM(F234:F241)</f>
        <v>6.8545926184252819</v>
      </c>
      <c r="G243" s="131">
        <f>SUM(G234:G241)</f>
        <v>5.317874268216741</v>
      </c>
      <c r="H243" s="121">
        <f>'Demande Format Medpro'!H231</f>
        <v>7.6202528770386003E-4</v>
      </c>
      <c r="I243" s="121">
        <f>'Demande Format Medpro'!I231</f>
        <v>-1.8228876035648999E-2</v>
      </c>
      <c r="J243" s="121">
        <f>'Demande Format Medpro'!J231</f>
        <v>-1.9855908742122699E-2</v>
      </c>
      <c r="K243" s="121">
        <f>'Demande Format Medpro'!K231</f>
        <v>-2.9221200253626501E-2</v>
      </c>
      <c r="L243" s="121">
        <f>'Demande Format Medpro'!L231</f>
        <v>-1.25850349185209E-2</v>
      </c>
      <c r="N243" s="108"/>
    </row>
    <row r="244" spans="1:14" x14ac:dyDescent="0.25">
      <c r="A244" s="111"/>
      <c r="B244" s="98"/>
      <c r="C244" s="98"/>
      <c r="D244" s="98"/>
      <c r="E244" s="98"/>
      <c r="G244" s="142"/>
      <c r="N244" s="108"/>
    </row>
    <row r="245" spans="1:14" x14ac:dyDescent="0.25">
      <c r="A245" s="111"/>
      <c r="B245" s="98"/>
      <c r="C245" s="98"/>
      <c r="D245" s="98"/>
      <c r="E245" s="98"/>
      <c r="N245" s="108"/>
    </row>
    <row r="246" spans="1:14" ht="16.5" thickBot="1" x14ac:dyDescent="0.3">
      <c r="A246" s="59" t="s">
        <v>159</v>
      </c>
      <c r="B246" s="53"/>
      <c r="C246" s="53"/>
      <c r="D246" s="53"/>
      <c r="E246" s="53"/>
      <c r="F246" s="53"/>
      <c r="G246" s="53"/>
      <c r="H246" s="53"/>
      <c r="I246" s="53"/>
      <c r="J246" s="53"/>
      <c r="K246" s="53"/>
      <c r="L246" s="53"/>
      <c r="N246" s="108"/>
    </row>
    <row r="247" spans="1:14" ht="15.75" thickBot="1" x14ac:dyDescent="0.3">
      <c r="A247" s="137" t="s">
        <v>51</v>
      </c>
      <c r="B247" s="105">
        <v>2000</v>
      </c>
      <c r="C247" s="105">
        <v>2015</v>
      </c>
      <c r="D247" s="105">
        <v>2020</v>
      </c>
      <c r="E247" s="105">
        <v>2025</v>
      </c>
      <c r="F247" s="105">
        <v>2030</v>
      </c>
      <c r="G247" s="105">
        <v>2050</v>
      </c>
      <c r="H247" s="113" t="s">
        <v>98</v>
      </c>
      <c r="I247" s="114" t="s">
        <v>99</v>
      </c>
      <c r="J247" s="114" t="s">
        <v>100</v>
      </c>
      <c r="K247" s="114" t="s">
        <v>101</v>
      </c>
      <c r="L247" s="115" t="s">
        <v>102</v>
      </c>
      <c r="N247" s="108"/>
    </row>
    <row r="248" spans="1:14" x14ac:dyDescent="0.25">
      <c r="A248" s="106" t="s">
        <v>103</v>
      </c>
      <c r="B248" s="121">
        <f>'Demande Format Medpro'!B236</f>
        <v>1.1206</v>
      </c>
      <c r="C248" s="121">
        <f>'Demande Format Medpro'!C236</f>
        <v>0.78810000000000002</v>
      </c>
      <c r="D248" s="121">
        <f>'Demande Format Medpro'!D236</f>
        <v>0.69510000000000005</v>
      </c>
      <c r="E248" s="121">
        <f>'Demande Format Medpro'!E236</f>
        <v>0.58740000000000003</v>
      </c>
      <c r="F248" s="121">
        <f>'Demande Format Medpro'!F236</f>
        <v>0.49180000000000001</v>
      </c>
      <c r="G248" s="121">
        <f>'Demande Format Medpro'!G236</f>
        <v>0.40910000000000002</v>
      </c>
      <c r="H248" s="121">
        <f>'Demande Format Medpro'!H236</f>
        <v>-2.3193110734695498E-2</v>
      </c>
      <c r="I248" s="121">
        <f>'Demande Format Medpro'!I236</f>
        <v>-2.4801123659468301E-2</v>
      </c>
      <c r="J248" s="121">
        <f>'Demande Format Medpro'!J236</f>
        <v>-3.31094163764196E-2</v>
      </c>
      <c r="K248" s="121">
        <f>'Demande Format Medpro'!K236</f>
        <v>-3.4903109284142503E-2</v>
      </c>
      <c r="L248" s="121">
        <f>'Demande Format Medpro'!L236</f>
        <v>-9.1633831951471994E-3</v>
      </c>
      <c r="N248" s="108"/>
    </row>
    <row r="249" spans="1:14" x14ac:dyDescent="0.25">
      <c r="A249" s="106" t="s">
        <v>54</v>
      </c>
      <c r="B249" s="121">
        <f>'Demande Format Medpro'!B237</f>
        <v>1.613</v>
      </c>
      <c r="C249" s="121">
        <f>'Demande Format Medpro'!C237</f>
        <v>1.8822000000000001</v>
      </c>
      <c r="D249" s="121">
        <f>'Demande Format Medpro'!D237</f>
        <v>1.9531000000000001</v>
      </c>
      <c r="E249" s="121">
        <f>'Demande Format Medpro'!E237</f>
        <v>1.9224000000000001</v>
      </c>
      <c r="F249" s="121">
        <f>'Demande Format Medpro'!F237</f>
        <v>1.7985</v>
      </c>
      <c r="G249" s="121">
        <f>'Demande Format Medpro'!G237</f>
        <v>1.3728</v>
      </c>
      <c r="H249" s="121">
        <f>'Demande Format Medpro'!H237</f>
        <v>1.0342821430755E-2</v>
      </c>
      <c r="I249" s="121">
        <f>'Demande Format Medpro'!I237</f>
        <v>7.4227225200960102E-3</v>
      </c>
      <c r="J249" s="121">
        <f>'Demande Format Medpro'!J237</f>
        <v>-3.1636746853501698E-3</v>
      </c>
      <c r="K249" s="121">
        <f>'Demande Format Medpro'!K237</f>
        <v>-1.3235908929934001E-2</v>
      </c>
      <c r="L249" s="121">
        <f>'Demande Format Medpro'!L237</f>
        <v>-1.3414242985186099E-2</v>
      </c>
      <c r="N249" s="108"/>
    </row>
    <row r="250" spans="1:14" x14ac:dyDescent="0.25">
      <c r="A250" s="106" t="s">
        <v>42</v>
      </c>
      <c r="B250" s="121">
        <f>'Demande Format Medpro'!B238</f>
        <v>4.36E-2</v>
      </c>
      <c r="C250" s="121">
        <f>'Demande Format Medpro'!C238</f>
        <v>1.9199999999999998E-2</v>
      </c>
      <c r="D250" s="121">
        <f>'Demande Format Medpro'!D238</f>
        <v>0</v>
      </c>
      <c r="E250" s="121">
        <f>'Demande Format Medpro'!E238</f>
        <v>0</v>
      </c>
      <c r="F250" s="121">
        <f>'Demande Format Medpro'!F238</f>
        <v>0</v>
      </c>
      <c r="G250" s="121">
        <f>'Demande Format Medpro'!G238</f>
        <v>0</v>
      </c>
      <c r="H250" s="121">
        <f>'Demande Format Medpro'!H238</f>
        <v>-5.3208574888069703E-2</v>
      </c>
      <c r="I250" s="121">
        <f>'Demande Format Medpro'!I238</f>
        <v>-1</v>
      </c>
      <c r="J250" s="121" t="e">
        <f>'Demande Format Medpro'!J238</f>
        <v>#DIV/0!</v>
      </c>
      <c r="K250" s="121" t="e">
        <f>'Demande Format Medpro'!K238</f>
        <v>#DIV/0!</v>
      </c>
      <c r="L250" s="121" t="e">
        <f>'Demande Format Medpro'!L238</f>
        <v>#DIV/0!</v>
      </c>
      <c r="N250" s="108"/>
    </row>
    <row r="251" spans="1:14" x14ac:dyDescent="0.25">
      <c r="A251" s="106" t="s">
        <v>104</v>
      </c>
      <c r="B251" s="121">
        <f>'Demande Format Medpro'!B239</f>
        <v>0.68521461736887601</v>
      </c>
      <c r="C251" s="121">
        <f>'Demande Format Medpro'!C239</f>
        <v>0.81085674978504096</v>
      </c>
      <c r="D251" s="121">
        <f>'Demande Format Medpro'!D239</f>
        <v>0.91825709372313202</v>
      </c>
      <c r="E251" s="121">
        <f>'Demande Format Medpro'!E239</f>
        <v>1.05216474634566</v>
      </c>
      <c r="F251" s="121">
        <f>'Demande Format Medpro'!F239</f>
        <v>1.2258425623387801</v>
      </c>
      <c r="G251" s="121">
        <f>'Demande Format Medpro'!G239</f>
        <v>1.77597196904557</v>
      </c>
      <c r="H251" s="121">
        <f>'Demande Format Medpro'!H239</f>
        <v>1.1287178574132001E-2</v>
      </c>
      <c r="I251" s="121">
        <f>'Demande Format Medpro'!I239</f>
        <v>2.5189220679678399E-2</v>
      </c>
      <c r="J251" s="121">
        <f>'Demande Format Medpro'!J239</f>
        <v>2.7599515553620401E-2</v>
      </c>
      <c r="K251" s="121">
        <f>'Demande Format Medpro'!K239</f>
        <v>3.1027359667426899E-2</v>
      </c>
      <c r="L251" s="121">
        <f>'Demande Format Medpro'!L239</f>
        <v>1.8708829896345799E-2</v>
      </c>
      <c r="N251" s="108"/>
    </row>
    <row r="252" spans="1:14" x14ac:dyDescent="0.25">
      <c r="A252" s="106" t="s">
        <v>105</v>
      </c>
      <c r="B252" s="121">
        <f>'Demande Format Medpro'!B240</f>
        <v>0.2351</v>
      </c>
      <c r="C252" s="121">
        <f>'Demande Format Medpro'!C240</f>
        <v>0.2399</v>
      </c>
      <c r="D252" s="121">
        <f>'Demande Format Medpro'!D240</f>
        <v>0.2387</v>
      </c>
      <c r="E252" s="121">
        <f>'Demande Format Medpro'!E240</f>
        <v>0.2465</v>
      </c>
      <c r="F252" s="121">
        <f>'Demande Format Medpro'!F240</f>
        <v>0.28029999999999999</v>
      </c>
      <c r="G252" s="121">
        <f>'Demande Format Medpro'!G240</f>
        <v>0.4</v>
      </c>
      <c r="H252" s="121">
        <f>'Demande Format Medpro'!H240</f>
        <v>1.3483224571198E-3</v>
      </c>
      <c r="I252" s="121">
        <f>'Demande Format Medpro'!I240</f>
        <v>-1.00242453668065E-3</v>
      </c>
      <c r="J252" s="121">
        <f>'Demande Format Medpro'!J240</f>
        <v>6.4516146114776997E-3</v>
      </c>
      <c r="K252" s="121">
        <f>'Demande Format Medpro'!K240</f>
        <v>2.60327773134887E-2</v>
      </c>
      <c r="L252" s="121">
        <f>'Demande Format Medpro'!L240</f>
        <v>1.7939213287181802E-2</v>
      </c>
      <c r="N252" s="108"/>
    </row>
    <row r="253" spans="1:14" x14ac:dyDescent="0.25">
      <c r="A253" s="106" t="s">
        <v>134</v>
      </c>
      <c r="B253" s="121">
        <f>'Demande Format Medpro'!B241</f>
        <v>8.8200000000000001E-2</v>
      </c>
      <c r="C253" s="121">
        <f>'Demande Format Medpro'!C241</f>
        <v>0.1293</v>
      </c>
      <c r="D253" s="121">
        <f>'Demande Format Medpro'!D241</f>
        <v>8.7599999999999997E-2</v>
      </c>
      <c r="E253" s="121">
        <f>'Demande Format Medpro'!E241</f>
        <v>5.9900000000000002E-2</v>
      </c>
      <c r="F253" s="121">
        <f>'Demande Format Medpro'!F241</f>
        <v>3.6799999999999999E-2</v>
      </c>
      <c r="G253" s="121">
        <f>'Demande Format Medpro'!G241</f>
        <v>1.4500000000000001E-2</v>
      </c>
      <c r="H253" s="121">
        <f>'Demande Format Medpro'!H241</f>
        <v>2.5829843224459002E-2</v>
      </c>
      <c r="I253" s="121">
        <f>'Demande Format Medpro'!I241</f>
        <v>-7.4916113586561597E-2</v>
      </c>
      <c r="J253" s="121">
        <f>'Demande Format Medpro'!J241</f>
        <v>-7.3203162366209398E-2</v>
      </c>
      <c r="K253" s="121">
        <f>'Demande Format Medpro'!K241</f>
        <v>-9.2839358907831002E-2</v>
      </c>
      <c r="L253" s="121">
        <f>'Demande Format Medpro'!L241</f>
        <v>-4.5499831980384001E-2</v>
      </c>
      <c r="N253" s="108"/>
    </row>
    <row r="254" spans="1:14" x14ac:dyDescent="0.25">
      <c r="A254" s="106" t="s">
        <v>135</v>
      </c>
      <c r="B254" s="121">
        <v>0</v>
      </c>
      <c r="C254" s="121">
        <v>0</v>
      </c>
      <c r="D254" s="121">
        <v>0.17538671311330201</v>
      </c>
      <c r="E254" s="121">
        <v>0.27725777640469929</v>
      </c>
      <c r="F254" s="121">
        <v>0.32589748131457796</v>
      </c>
      <c r="G254" s="121">
        <v>0.26969532605157076</v>
      </c>
      <c r="H254" s="121">
        <v>0</v>
      </c>
      <c r="I254" s="121">
        <v>0</v>
      </c>
      <c r="J254" s="121">
        <v>0</v>
      </c>
      <c r="K254" s="121">
        <v>0</v>
      </c>
      <c r="L254" s="121">
        <v>0</v>
      </c>
      <c r="N254" s="108"/>
    </row>
    <row r="255" spans="1:14" x14ac:dyDescent="0.25">
      <c r="A255" s="106" t="s">
        <v>136</v>
      </c>
      <c r="B255" s="121">
        <v>0</v>
      </c>
      <c r="C255" s="121">
        <v>0</v>
      </c>
      <c r="D255" s="121">
        <v>0.27147606234765886</v>
      </c>
      <c r="E255" s="121">
        <v>0.44817270420611521</v>
      </c>
      <c r="F255" s="121">
        <v>0.52852105884237166</v>
      </c>
      <c r="G255" s="121">
        <v>0.53095438697366792</v>
      </c>
      <c r="H255" s="121">
        <v>0</v>
      </c>
      <c r="I255" s="121">
        <v>0</v>
      </c>
      <c r="J255" s="121">
        <v>0</v>
      </c>
      <c r="K255" s="121">
        <v>0</v>
      </c>
      <c r="L255" s="121">
        <v>0</v>
      </c>
      <c r="N255" s="108"/>
    </row>
    <row r="256" spans="1:14" x14ac:dyDescent="0.25">
      <c r="A256" s="106"/>
      <c r="B256" s="107"/>
      <c r="C256" s="107"/>
      <c r="D256" s="107"/>
      <c r="E256" s="142"/>
      <c r="F256" s="107"/>
      <c r="G256" s="107"/>
      <c r="H256" s="107"/>
      <c r="I256" s="107"/>
      <c r="J256" s="107"/>
      <c r="K256" s="107"/>
      <c r="L256" s="107"/>
      <c r="N256" s="108"/>
    </row>
    <row r="257" spans="1:14" ht="15.75" thickBot="1" x14ac:dyDescent="0.3">
      <c r="A257" s="109" t="s">
        <v>10</v>
      </c>
      <c r="B257" s="131">
        <f>SUM(B248:B255)</f>
        <v>3.785714617368876</v>
      </c>
      <c r="C257" s="131">
        <f t="shared" ref="C257:L257" si="2">SUM(C248:C255)</f>
        <v>3.8695567497850414</v>
      </c>
      <c r="D257" s="131">
        <f t="shared" si="2"/>
        <v>4.3396198691840926</v>
      </c>
      <c r="E257" s="131">
        <f t="shared" si="2"/>
        <v>4.593795226956475</v>
      </c>
      <c r="F257" s="131">
        <f t="shared" si="2"/>
        <v>4.6876611024957295</v>
      </c>
      <c r="G257" s="131">
        <f t="shared" si="2"/>
        <v>4.7730216820708087</v>
      </c>
      <c r="H257" s="131">
        <f t="shared" si="2"/>
        <v>-2.7593519936299406E-2</v>
      </c>
      <c r="I257" s="131">
        <f t="shared" si="2"/>
        <v>-1.0681077185829362</v>
      </c>
      <c r="J257" s="131" t="e">
        <f t="shared" si="2"/>
        <v>#DIV/0!</v>
      </c>
      <c r="K257" s="131" t="e">
        <f t="shared" si="2"/>
        <v>#DIV/0!</v>
      </c>
      <c r="L257" s="131" t="e">
        <f t="shared" si="2"/>
        <v>#DIV/0!</v>
      </c>
      <c r="N257" s="108"/>
    </row>
    <row r="258" spans="1:14" x14ac:dyDescent="0.25">
      <c r="A258" s="111"/>
      <c r="B258" s="98"/>
      <c r="C258" s="98"/>
      <c r="D258" s="98"/>
      <c r="E258" s="98"/>
    </row>
    <row r="259" spans="1:14" x14ac:dyDescent="0.25">
      <c r="A259" s="111"/>
      <c r="B259" s="98"/>
      <c r="C259" s="98"/>
      <c r="D259" s="98"/>
      <c r="E259" s="98"/>
    </row>
    <row r="260" spans="1:14" ht="16.5" thickBot="1" x14ac:dyDescent="0.3">
      <c r="A260" s="59" t="s">
        <v>160</v>
      </c>
      <c r="B260" s="53"/>
      <c r="C260" s="53"/>
      <c r="D260" s="53"/>
      <c r="E260" s="53"/>
      <c r="F260" s="53"/>
      <c r="G260" s="53"/>
      <c r="H260" s="53"/>
      <c r="I260" s="53"/>
      <c r="J260" s="53"/>
      <c r="K260" s="53"/>
      <c r="L260" s="53"/>
    </row>
    <row r="261" spans="1:14" ht="15.75" thickBot="1" x14ac:dyDescent="0.3">
      <c r="A261" s="104"/>
      <c r="B261" s="105">
        <v>2000</v>
      </c>
      <c r="C261" s="105">
        <v>2015</v>
      </c>
      <c r="D261" s="105">
        <v>2020</v>
      </c>
      <c r="E261" s="105">
        <v>2025</v>
      </c>
      <c r="F261" s="105">
        <v>2030</v>
      </c>
      <c r="G261" s="105">
        <v>2050</v>
      </c>
      <c r="H261" s="113" t="s">
        <v>98</v>
      </c>
      <c r="I261" s="114" t="s">
        <v>99</v>
      </c>
      <c r="J261" s="114" t="s">
        <v>100</v>
      </c>
      <c r="K261" s="114" t="s">
        <v>101</v>
      </c>
      <c r="L261" s="115" t="s">
        <v>102</v>
      </c>
    </row>
    <row r="262" spans="1:14" x14ac:dyDescent="0.25">
      <c r="A262" s="106" t="s">
        <v>161</v>
      </c>
      <c r="B262" s="148">
        <f>'Demande Format Medpro'!B249</f>
        <v>1.4720905322587E-2</v>
      </c>
      <c r="C262" s="148">
        <f>'Demande Format Medpro'!C249</f>
        <v>1.3822364259190799E-2</v>
      </c>
      <c r="D262" s="148">
        <f>'Demande Format Medpro'!D249</f>
        <v>1.24768482009943E-2</v>
      </c>
      <c r="E262" s="148">
        <f>'Demande Format Medpro'!E249</f>
        <v>1.14751113707548E-2</v>
      </c>
      <c r="F262" s="148">
        <f>'Demande Format Medpro'!F249</f>
        <v>1.0392448104838E-2</v>
      </c>
      <c r="G262" s="148">
        <f>'Demande Format Medpro'!G249</f>
        <v>7.77069433164654E-3</v>
      </c>
      <c r="H262" s="148">
        <f>'Demande Format Medpro'!H249</f>
        <v>-4.1899134103409201E-3</v>
      </c>
      <c r="I262" s="148">
        <f>'Demande Format Medpro'!I249</f>
        <v>-2.0274275228004401E-2</v>
      </c>
      <c r="J262" s="148">
        <f>'Demande Format Medpro'!J249</f>
        <v>-1.6599547953537099E-2</v>
      </c>
      <c r="K262" s="148">
        <f>'Demande Format Medpro'!K249</f>
        <v>-1.9625083440440099E-2</v>
      </c>
      <c r="L262" s="148">
        <f>'Demande Format Medpro'!L249</f>
        <v>-1.4430856366119999E-2</v>
      </c>
    </row>
    <row r="263" spans="1:14" x14ac:dyDescent="0.25">
      <c r="A263" s="106" t="s">
        <v>162</v>
      </c>
      <c r="B263" s="148">
        <f>'Demande Format Medpro'!B250</f>
        <v>17.813600000000001</v>
      </c>
      <c r="C263" s="148">
        <f>'Demande Format Medpro'!C250</f>
        <v>20.182200000000002</v>
      </c>
      <c r="D263" s="148">
        <f>'Demande Format Medpro'!D250</f>
        <v>20.667100000000001</v>
      </c>
      <c r="E263" s="148">
        <f>'Demande Format Medpro'!E250</f>
        <v>21.0288</v>
      </c>
      <c r="F263" s="148">
        <f>'Demande Format Medpro'!F250</f>
        <v>21.396899999999999</v>
      </c>
      <c r="G263" s="148">
        <f>'Demande Format Medpro'!G250</f>
        <v>22.7471</v>
      </c>
      <c r="H263" s="148">
        <f>'Demande Format Medpro'!H250</f>
        <v>8.35731683262542E-3</v>
      </c>
      <c r="I263" s="148">
        <f>'Demande Format Medpro'!I250</f>
        <v>4.7596987678148999E-3</v>
      </c>
      <c r="J263" s="148">
        <f>'Demande Format Medpro'!J250</f>
        <v>3.47599989365133E-3</v>
      </c>
      <c r="K263" s="148">
        <f>'Demande Format Medpro'!K250</f>
        <v>3.4766545875790601E-3</v>
      </c>
      <c r="L263" s="148">
        <f>'Demande Format Medpro'!L250</f>
        <v>3.0642659451392E-3</v>
      </c>
    </row>
    <row r="264" spans="1:14" x14ac:dyDescent="0.25">
      <c r="A264" s="106" t="s">
        <v>163</v>
      </c>
      <c r="B264" s="148">
        <f>'Demande Format Medpro'!B251</f>
        <v>1.1237032379754801</v>
      </c>
      <c r="C264" s="148">
        <f>'Demande Format Medpro'!C251</f>
        <v>1.1396287364731399</v>
      </c>
      <c r="D264" s="148">
        <f>'Demande Format Medpro'!D251</f>
        <v>1.0899987962167601</v>
      </c>
      <c r="E264" s="148">
        <f>'Demande Format Medpro'!E251</f>
        <v>1.04991441121201</v>
      </c>
      <c r="F264" s="148">
        <f>'Demande Format Medpro'!F251</f>
        <v>1.00214820663643</v>
      </c>
      <c r="G264" s="148">
        <f>'Demande Format Medpro'!G251</f>
        <v>0.996511926693747</v>
      </c>
      <c r="H264" s="148">
        <f>'Demande Format Medpro'!H251</f>
        <v>9.3862998075011595E-4</v>
      </c>
      <c r="I264" s="148">
        <f>'Demande Format Medpro'!I251</f>
        <v>-8.8656557888380193E-3</v>
      </c>
      <c r="J264" s="148">
        <f>'Demande Format Medpro'!J251</f>
        <v>-7.4655818916973303E-3</v>
      </c>
      <c r="K264" s="148">
        <f>'Demande Format Medpro'!K251</f>
        <v>-9.2693215405353895E-3</v>
      </c>
      <c r="L264" s="148">
        <f>'Demande Format Medpro'!L251</f>
        <v>-2.8196390854673398E-4</v>
      </c>
    </row>
    <row r="265" spans="1:14" ht="15.75" thickBot="1" x14ac:dyDescent="0.3">
      <c r="A265" s="109" t="s">
        <v>164</v>
      </c>
      <c r="B265" s="395">
        <f>'Demande Format Medpro'!B252</f>
        <v>6091.2954147393002</v>
      </c>
      <c r="C265" s="396">
        <f>'Demande Format Medpro'!C252</f>
        <v>7150.2873324018201</v>
      </c>
      <c r="D265" s="396">
        <f>'Demande Format Medpro'!D252</f>
        <v>7250.9466253127002</v>
      </c>
      <c r="E265" s="396">
        <f>'Demande Format Medpro'!E252</f>
        <v>7458.2805961348304</v>
      </c>
      <c r="F265" s="396">
        <f>'Demande Format Medpro'!F252</f>
        <v>7677.61867373311</v>
      </c>
      <c r="G265" s="396">
        <f>'Demande Format Medpro'!G252</f>
        <v>8773.4101050243808</v>
      </c>
      <c r="H265" s="396">
        <f>'Demande Format Medpro'!H252</f>
        <v>1.0743418575732499E-2</v>
      </c>
      <c r="I265" s="396">
        <f>'Demande Format Medpro'!I252</f>
        <v>2.7998095870427299E-3</v>
      </c>
      <c r="J265" s="396">
        <f>'Demande Format Medpro'!J252</f>
        <v>5.6545017261144803E-3</v>
      </c>
      <c r="K265" s="396">
        <f>'Demande Format Medpro'!K252</f>
        <v>5.8137397677995297E-3</v>
      </c>
      <c r="L265" s="396">
        <f>'Demande Format Medpro'!L252</f>
        <v>6.6931062781363498E-3</v>
      </c>
    </row>
    <row r="266" spans="1:14" x14ac:dyDescent="0.25">
      <c r="A266" s="139"/>
      <c r="F266" s="97"/>
    </row>
    <row r="267" spans="1:14" x14ac:dyDescent="0.25">
      <c r="F267" s="97"/>
      <c r="G267" s="124"/>
      <c r="H267" s="124"/>
      <c r="I267" s="124"/>
    </row>
    <row r="268" spans="1:14" ht="21" x14ac:dyDescent="0.35">
      <c r="A268" s="52" t="s">
        <v>165</v>
      </c>
      <c r="B268" s="47"/>
      <c r="C268" s="47"/>
      <c r="D268" s="47"/>
      <c r="E268" s="47"/>
      <c r="F268" s="47"/>
      <c r="G268" s="140"/>
      <c r="H268" s="140"/>
      <c r="I268" s="140"/>
      <c r="J268" s="140"/>
      <c r="K268" s="140"/>
      <c r="L268" s="140"/>
    </row>
    <row r="269" spans="1:14" ht="21" x14ac:dyDescent="0.35">
      <c r="A269" s="99"/>
      <c r="E269" s="112"/>
      <c r="F269" s="97"/>
      <c r="G269" s="97"/>
    </row>
    <row r="270" spans="1:14" ht="16.5" thickBot="1" x14ac:dyDescent="0.3">
      <c r="A270" s="59" t="s">
        <v>166</v>
      </c>
      <c r="B270" s="54"/>
      <c r="C270" s="54"/>
      <c r="D270" s="54"/>
      <c r="E270" s="54"/>
      <c r="F270" s="54"/>
      <c r="G270" s="53"/>
      <c r="H270" s="53"/>
      <c r="I270" s="53"/>
      <c r="J270" s="53"/>
      <c r="K270" s="53"/>
      <c r="L270" s="53"/>
    </row>
    <row r="271" spans="1:14" ht="15.75" thickBot="1" x14ac:dyDescent="0.3">
      <c r="A271" s="104"/>
      <c r="B271" s="105">
        <v>2000</v>
      </c>
      <c r="C271" s="105">
        <v>2015</v>
      </c>
      <c r="D271" s="105">
        <v>2020</v>
      </c>
      <c r="E271" s="105">
        <v>2025</v>
      </c>
      <c r="F271" s="105">
        <v>2030</v>
      </c>
      <c r="G271" s="105">
        <v>2050</v>
      </c>
      <c r="H271" s="113" t="s">
        <v>98</v>
      </c>
      <c r="I271" s="114" t="s">
        <v>99</v>
      </c>
      <c r="J271" s="114" t="s">
        <v>100</v>
      </c>
      <c r="K271" s="114" t="s">
        <v>101</v>
      </c>
      <c r="L271" s="115" t="s">
        <v>102</v>
      </c>
    </row>
    <row r="272" spans="1:14" x14ac:dyDescent="0.25">
      <c r="A272" s="153" t="s">
        <v>167</v>
      </c>
      <c r="B272" s="154"/>
      <c r="C272" s="154"/>
      <c r="D272" s="154"/>
      <c r="E272" s="154"/>
      <c r="F272" s="154"/>
      <c r="G272" s="154"/>
      <c r="H272" s="154"/>
      <c r="I272" s="154"/>
      <c r="J272" s="154"/>
      <c r="K272" s="154"/>
      <c r="L272" s="154"/>
    </row>
    <row r="273" spans="1:15" x14ac:dyDescent="0.25">
      <c r="A273" s="106" t="s">
        <v>168</v>
      </c>
      <c r="B273" s="155">
        <f>'Demande Format Medpro'!B260</f>
        <v>687.75139999999999</v>
      </c>
      <c r="C273" s="155">
        <f>'Demande Format Medpro'!C260</f>
        <v>729.41039999999998</v>
      </c>
      <c r="D273" s="155">
        <f>'Demande Format Medpro'!D260</f>
        <v>741.40110000000004</v>
      </c>
      <c r="E273" s="155">
        <f>'Demande Format Medpro'!E260</f>
        <v>756.66959999999995</v>
      </c>
      <c r="F273" s="155">
        <f>'Demande Format Medpro'!F260</f>
        <v>778.22469999999998</v>
      </c>
      <c r="G273" s="155">
        <f>'Demande Format Medpro'!G260</f>
        <v>909.726</v>
      </c>
      <c r="H273" s="155">
        <f>'Demande Format Medpro'!H260</f>
        <v>3.9283023752718603E-3</v>
      </c>
      <c r="I273" s="155">
        <f>'Demande Format Medpro'!I260</f>
        <v>3.2663705657525201E-3</v>
      </c>
      <c r="J273" s="155">
        <f>'Demande Format Medpro'!J260</f>
        <v>4.0853070199218201E-3</v>
      </c>
      <c r="K273" s="155">
        <f>'Demande Format Medpro'!K260</f>
        <v>5.6335292818185901E-3</v>
      </c>
      <c r="L273" s="155">
        <f>'Demande Format Medpro'!L260</f>
        <v>7.8369572087166901E-3</v>
      </c>
    </row>
    <row r="274" spans="1:15" x14ac:dyDescent="0.25">
      <c r="A274" s="106" t="s">
        <v>169</v>
      </c>
      <c r="B274" s="155">
        <f>'Demande Format Medpro'!B261</f>
        <v>55.897300000000001</v>
      </c>
      <c r="C274" s="155">
        <f>'Demande Format Medpro'!C261</f>
        <v>71.178700000000006</v>
      </c>
      <c r="D274" s="155">
        <f>'Demande Format Medpro'!D261</f>
        <v>82.192400000000006</v>
      </c>
      <c r="E274" s="155">
        <f>'Demande Format Medpro'!E261</f>
        <v>85.473299999999995</v>
      </c>
      <c r="F274" s="155">
        <f>'Demande Format Medpro'!F261</f>
        <v>89.915099999999995</v>
      </c>
      <c r="G274" s="155">
        <f>'Demande Format Medpro'!G261</f>
        <v>111.08929999999999</v>
      </c>
      <c r="H274" s="155">
        <f>'Demande Format Medpro'!H261</f>
        <v>1.6242331386241898E-2</v>
      </c>
      <c r="I274" s="155">
        <f>'Demande Format Medpro'!I261</f>
        <v>2.9191811075447899E-2</v>
      </c>
      <c r="J274" s="155">
        <f>'Demande Format Medpro'!J261</f>
        <v>7.8589620121247705E-3</v>
      </c>
      <c r="K274" s="155">
        <f>'Demande Format Medpro'!K261</f>
        <v>1.01838753259413E-2</v>
      </c>
      <c r="L274" s="155">
        <f>'Demande Format Medpro'!L261</f>
        <v>1.06295207183478E-2</v>
      </c>
    </row>
    <row r="275" spans="1:15" x14ac:dyDescent="0.25">
      <c r="A275" s="106" t="s">
        <v>170</v>
      </c>
      <c r="B275" s="155">
        <f>'Demande Format Medpro'!B262</f>
        <v>80.924999999999997</v>
      </c>
      <c r="C275" s="155">
        <f>'Demande Format Medpro'!C262</f>
        <v>104.51479999999999</v>
      </c>
      <c r="D275" s="155">
        <f>'Demande Format Medpro'!D262</f>
        <v>113.20359999999999</v>
      </c>
      <c r="E275" s="155">
        <f>'Demande Format Medpro'!E262</f>
        <v>119.03700000000001</v>
      </c>
      <c r="F275" s="155">
        <f>'Demande Format Medpro'!F262</f>
        <v>126.9782</v>
      </c>
      <c r="G275" s="155">
        <f>'Demande Format Medpro'!G262</f>
        <v>164.40620000000001</v>
      </c>
      <c r="H275" s="155">
        <f>'Demande Format Medpro'!H262</f>
        <v>1.7199970831537799E-2</v>
      </c>
      <c r="I275" s="155">
        <f>'Demande Format Medpro'!I262</f>
        <v>1.61000877227735E-2</v>
      </c>
      <c r="J275" s="155">
        <f>'Demande Format Medpro'!J262</f>
        <v>1.00999439406149E-2</v>
      </c>
      <c r="K275" s="155">
        <f>'Demande Format Medpro'!K262</f>
        <v>1.29999843378217E-2</v>
      </c>
      <c r="L275" s="155">
        <f>'Demande Format Medpro'!L262</f>
        <v>1.30000137410558E-2</v>
      </c>
    </row>
    <row r="276" spans="1:15" x14ac:dyDescent="0.25">
      <c r="A276" s="106" t="s">
        <v>171</v>
      </c>
      <c r="B276" s="155">
        <f>'Demande Format Medpro'!B263</f>
        <v>15.128</v>
      </c>
      <c r="C276" s="155">
        <f>'Demande Format Medpro'!C263</f>
        <v>14.279299999999999</v>
      </c>
      <c r="D276" s="155">
        <f>'Demande Format Medpro'!D263</f>
        <v>14.2354</v>
      </c>
      <c r="E276" s="155">
        <f>'Demande Format Medpro'!E263</f>
        <v>15.2354</v>
      </c>
      <c r="F276" s="155">
        <f>'Demande Format Medpro'!F263</f>
        <v>17.1067</v>
      </c>
      <c r="G276" s="155">
        <f>'Demande Format Medpro'!G263</f>
        <v>23.6632</v>
      </c>
      <c r="H276" s="155">
        <f>'Demande Format Medpro'!H263</f>
        <v>-3.84169475365603E-3</v>
      </c>
      <c r="I276" s="155">
        <f>'Demande Format Medpro'!I263</f>
        <v>-6.1563362236105601E-4</v>
      </c>
      <c r="J276" s="155">
        <f>'Demande Format Medpro'!J263</f>
        <v>1.36705687234326E-2</v>
      </c>
      <c r="K276" s="155">
        <f>'Demande Format Medpro'!K263</f>
        <v>2.3440209206746498E-2</v>
      </c>
      <c r="L276" s="155">
        <f>'Demande Format Medpro'!L263</f>
        <v>1.6354844884853201E-2</v>
      </c>
    </row>
    <row r="277" spans="1:15" x14ac:dyDescent="0.25">
      <c r="A277" s="106"/>
      <c r="B277" s="155">
        <f>'Demande Format Medpro'!B264</f>
        <v>0</v>
      </c>
      <c r="C277" s="155">
        <f>'Demande Format Medpro'!C264</f>
        <v>0</v>
      </c>
      <c r="D277" s="155">
        <f>'Demande Format Medpro'!D264</f>
        <v>0</v>
      </c>
      <c r="E277" s="155">
        <f>'Demande Format Medpro'!E264</f>
        <v>0</v>
      </c>
      <c r="F277" s="155">
        <f>'Demande Format Medpro'!F264</f>
        <v>0</v>
      </c>
      <c r="G277" s="155">
        <f>'Demande Format Medpro'!G264</f>
        <v>0</v>
      </c>
      <c r="H277" s="155">
        <f>'Demande Format Medpro'!H264</f>
        <v>0</v>
      </c>
      <c r="I277" s="155">
        <f>'Demande Format Medpro'!I264</f>
        <v>0</v>
      </c>
      <c r="J277" s="155">
        <f>'Demande Format Medpro'!J264</f>
        <v>0</v>
      </c>
      <c r="K277" s="155">
        <f>'Demande Format Medpro'!K264</f>
        <v>0</v>
      </c>
      <c r="L277" s="155">
        <f>'Demande Format Medpro'!L264</f>
        <v>0</v>
      </c>
    </row>
    <row r="278" spans="1:15" x14ac:dyDescent="0.25">
      <c r="A278" s="106"/>
      <c r="B278" s="155">
        <f>'Demande Format Medpro'!B265</f>
        <v>0</v>
      </c>
      <c r="C278" s="155">
        <f>'Demande Format Medpro'!C265</f>
        <v>0</v>
      </c>
      <c r="D278" s="155">
        <f>'Demande Format Medpro'!D265</f>
        <v>0</v>
      </c>
      <c r="E278" s="155">
        <f>'Demande Format Medpro'!E265</f>
        <v>0</v>
      </c>
      <c r="F278" s="155">
        <f>'Demande Format Medpro'!F265</f>
        <v>0</v>
      </c>
      <c r="G278" s="155">
        <f>'Demande Format Medpro'!G265</f>
        <v>0</v>
      </c>
      <c r="H278" s="155">
        <f>'Demande Format Medpro'!H265</f>
        <v>0</v>
      </c>
      <c r="I278" s="155">
        <f>'Demande Format Medpro'!I265</f>
        <v>0</v>
      </c>
      <c r="J278" s="155">
        <f>'Demande Format Medpro'!J265</f>
        <v>0</v>
      </c>
      <c r="K278" s="155">
        <f>'Demande Format Medpro'!K265</f>
        <v>0</v>
      </c>
      <c r="L278" s="155">
        <f>'Demande Format Medpro'!L265</f>
        <v>0</v>
      </c>
    </row>
    <row r="279" spans="1:15" x14ac:dyDescent="0.25">
      <c r="A279" s="153" t="s">
        <v>172</v>
      </c>
      <c r="B279" s="155">
        <f>'Demande Format Medpro'!B266</f>
        <v>0</v>
      </c>
      <c r="C279" s="155">
        <f>'Demande Format Medpro'!C266</f>
        <v>0</v>
      </c>
      <c r="D279" s="155">
        <f>'Demande Format Medpro'!D266</f>
        <v>0</v>
      </c>
      <c r="E279" s="155">
        <f>'Demande Format Medpro'!E266</f>
        <v>0</v>
      </c>
      <c r="F279" s="155">
        <f>'Demande Format Medpro'!F266</f>
        <v>0</v>
      </c>
      <c r="G279" s="155">
        <f>'Demande Format Medpro'!G266</f>
        <v>0</v>
      </c>
      <c r="H279" s="155">
        <f>'Demande Format Medpro'!H266</f>
        <v>0</v>
      </c>
      <c r="I279" s="155">
        <f>'Demande Format Medpro'!I266</f>
        <v>0</v>
      </c>
      <c r="J279" s="155">
        <f>'Demande Format Medpro'!J266</f>
        <v>0</v>
      </c>
      <c r="K279" s="155">
        <f>'Demande Format Medpro'!K266</f>
        <v>0</v>
      </c>
      <c r="L279" s="155">
        <f>'Demande Format Medpro'!L266</f>
        <v>0</v>
      </c>
    </row>
    <row r="280" spans="1:15" x14ac:dyDescent="0.25">
      <c r="A280" s="106" t="s">
        <v>173</v>
      </c>
      <c r="B280" s="155">
        <f>'Demande Format Medpro'!B267</f>
        <v>276.81830000000002</v>
      </c>
      <c r="C280" s="155">
        <f>'Demande Format Medpro'!C267</f>
        <v>281.44720000000001</v>
      </c>
      <c r="D280" s="155">
        <f>'Demande Format Medpro'!D267</f>
        <v>309.88189999999997</v>
      </c>
      <c r="E280" s="155">
        <f>'Demande Format Medpro'!E267</f>
        <v>329.65730000000002</v>
      </c>
      <c r="F280" s="155">
        <f>'Demande Format Medpro'!F267</f>
        <v>353.20060000000001</v>
      </c>
      <c r="G280" s="155">
        <f>'Demande Format Medpro'!G267</f>
        <v>495.22289999999998</v>
      </c>
      <c r="H280" s="155">
        <f>'Demande Format Medpro'!H267</f>
        <v>1.10617997322349E-3</v>
      </c>
      <c r="I280" s="155">
        <f>'Demande Format Medpro'!I267</f>
        <v>1.9435740617660398E-2</v>
      </c>
      <c r="J280" s="155">
        <f>'Demande Format Medpro'!J267</f>
        <v>1.2449330274007899E-2</v>
      </c>
      <c r="K280" s="155">
        <f>'Demande Format Medpro'!K267</f>
        <v>1.3892118496743299E-2</v>
      </c>
      <c r="L280" s="155">
        <f>'Demande Format Medpro'!L267</f>
        <v>1.7042178683341701E-2</v>
      </c>
    </row>
    <row r="281" spans="1:15" x14ac:dyDescent="0.25">
      <c r="A281" s="106" t="s">
        <v>170</v>
      </c>
      <c r="B281" s="155">
        <f>'Demande Format Medpro'!B268</f>
        <v>57.725999999999999</v>
      </c>
      <c r="C281" s="155">
        <f>'Demande Format Medpro'!C268</f>
        <v>34.2515</v>
      </c>
      <c r="D281" s="155">
        <f>'Demande Format Medpro'!D268</f>
        <v>39.9968</v>
      </c>
      <c r="E281" s="155">
        <f>'Demande Format Medpro'!E268</f>
        <v>42.5809</v>
      </c>
      <c r="F281" s="155">
        <f>'Demande Format Medpro'!F268</f>
        <v>45.5563</v>
      </c>
      <c r="G281" s="155">
        <f>'Demande Format Medpro'!G268</f>
        <v>66.248999999999995</v>
      </c>
      <c r="H281" s="155">
        <f>'Demande Format Medpro'!H268</f>
        <v>-3.4199983008170301E-2</v>
      </c>
      <c r="I281" s="155">
        <f>'Demande Format Medpro'!I268</f>
        <v>3.1499757370236699E-2</v>
      </c>
      <c r="J281" s="155">
        <f>'Demande Format Medpro'!J268</f>
        <v>1.2599988303198599E-2</v>
      </c>
      <c r="K281" s="155">
        <f>'Demande Format Medpro'!K268</f>
        <v>1.3600279275669499E-2</v>
      </c>
      <c r="L281" s="155">
        <f>'Demande Format Medpro'!L268</f>
        <v>1.8899957550523299E-2</v>
      </c>
    </row>
    <row r="282" spans="1:15" x14ac:dyDescent="0.25">
      <c r="A282" s="106" t="s">
        <v>174</v>
      </c>
      <c r="B282" s="155">
        <f>'Demande Format Medpro'!B269</f>
        <v>7.2610000000000001</v>
      </c>
      <c r="C282" s="155">
        <f>'Demande Format Medpro'!C269</f>
        <v>7.4595000000000002</v>
      </c>
      <c r="D282" s="155">
        <f>'Demande Format Medpro'!D269</f>
        <v>8.1836000000000002</v>
      </c>
      <c r="E282" s="155">
        <f>'Demande Format Medpro'!E269</f>
        <v>8.3943999999999992</v>
      </c>
      <c r="F282" s="155">
        <f>'Demande Format Medpro'!F269</f>
        <v>8.6234999999999999</v>
      </c>
      <c r="G282" s="155">
        <f>'Demande Format Medpro'!G269</f>
        <v>12.7639</v>
      </c>
      <c r="H282" s="155">
        <f>'Demande Format Medpro'!H269</f>
        <v>1.79967263331648E-3</v>
      </c>
      <c r="I282" s="155">
        <f>'Demande Format Medpro'!I269</f>
        <v>1.8701475219116401E-2</v>
      </c>
      <c r="J282" s="155">
        <f>'Demande Format Medpro'!J269</f>
        <v>5.0994914233970503E-3</v>
      </c>
      <c r="K282" s="155">
        <f>'Demande Format Medpro'!K269</f>
        <v>5.3997700662658001E-3</v>
      </c>
      <c r="L282" s="155">
        <f>'Demande Format Medpro'!L269</f>
        <v>1.97999615700102E-2</v>
      </c>
      <c r="O282" s="156"/>
    </row>
    <row r="283" spans="1:15" x14ac:dyDescent="0.25">
      <c r="A283" s="106"/>
      <c r="B283" s="155">
        <f>'Demande Format Medpro'!B270</f>
        <v>0</v>
      </c>
      <c r="C283" s="155">
        <f>'Demande Format Medpro'!C270</f>
        <v>0</v>
      </c>
      <c r="D283" s="155">
        <f>'Demande Format Medpro'!D270</f>
        <v>0</v>
      </c>
      <c r="E283" s="155">
        <f>'Demande Format Medpro'!E270</f>
        <v>0</v>
      </c>
      <c r="F283" s="155">
        <f>'Demande Format Medpro'!F270</f>
        <v>0</v>
      </c>
      <c r="G283" s="155">
        <f>'Demande Format Medpro'!G270</f>
        <v>0</v>
      </c>
      <c r="H283" s="155">
        <f>'Demande Format Medpro'!H270</f>
        <v>0</v>
      </c>
      <c r="I283" s="155">
        <f>'Demande Format Medpro'!I270</f>
        <v>0</v>
      </c>
      <c r="J283" s="155">
        <f>'Demande Format Medpro'!J270</f>
        <v>0</v>
      </c>
      <c r="K283" s="155">
        <f>'Demande Format Medpro'!K270</f>
        <v>0</v>
      </c>
      <c r="L283" s="155">
        <f>'Demande Format Medpro'!L270</f>
        <v>0</v>
      </c>
    </row>
    <row r="284" spans="1:15" x14ac:dyDescent="0.25">
      <c r="A284" s="106" t="s">
        <v>175</v>
      </c>
      <c r="B284" s="155">
        <f>'Demande Format Medpro'!B271</f>
        <v>397.56709999999998</v>
      </c>
      <c r="C284" s="155">
        <f>'Demande Format Medpro'!C271</f>
        <v>443.3836</v>
      </c>
      <c r="D284" s="155">
        <f>'Demande Format Medpro'!D271</f>
        <v>450.69979999999998</v>
      </c>
      <c r="E284" s="155">
        <f>'Demande Format Medpro'!E271</f>
        <v>459.702</v>
      </c>
      <c r="F284" s="155">
        <f>'Demande Format Medpro'!F271</f>
        <v>472.85500000000002</v>
      </c>
      <c r="G284" s="155">
        <f>'Demande Format Medpro'!G271</f>
        <v>554.00160000000005</v>
      </c>
      <c r="H284" s="155">
        <f>'Demande Format Medpro'!H271</f>
        <v>7.2979400871426899E-3</v>
      </c>
      <c r="I284" s="155">
        <f>'Demande Format Medpro'!I271</f>
        <v>3.2785981569913901E-3</v>
      </c>
      <c r="J284" s="155">
        <f>'Demande Format Medpro'!J271</f>
        <v>3.9632263976450101E-3</v>
      </c>
      <c r="K284" s="155">
        <f>'Demande Format Medpro'!K271</f>
        <v>5.6580132586543401E-3</v>
      </c>
      <c r="L284" s="155">
        <f>'Demande Format Medpro'!L271</f>
        <v>7.9503770923274892E-3</v>
      </c>
    </row>
    <row r="285" spans="1:15" ht="15.75" thickBot="1" x14ac:dyDescent="0.3">
      <c r="A285" s="141"/>
      <c r="B285" s="397"/>
      <c r="C285" s="398"/>
      <c r="D285" s="157"/>
      <c r="E285" s="157"/>
      <c r="F285" s="157"/>
      <c r="G285" s="157"/>
      <c r="H285" s="398"/>
      <c r="I285" s="398"/>
      <c r="J285" s="398"/>
      <c r="K285" s="398"/>
      <c r="L285" s="398"/>
    </row>
    <row r="286" spans="1:15" x14ac:dyDescent="0.25">
      <c r="A286" s="111"/>
      <c r="B286" s="158"/>
      <c r="C286" s="158"/>
      <c r="D286" s="158"/>
      <c r="E286" s="158"/>
      <c r="F286" s="158"/>
      <c r="G286" s="158"/>
    </row>
    <row r="287" spans="1:15" x14ac:dyDescent="0.25">
      <c r="A287" s="111"/>
      <c r="B287" s="158"/>
      <c r="C287" s="158"/>
      <c r="D287" s="159"/>
      <c r="E287" s="159"/>
      <c r="F287" s="159"/>
      <c r="G287" s="159"/>
    </row>
    <row r="288" spans="1:15" ht="16.5" thickBot="1" x14ac:dyDescent="0.3">
      <c r="A288" s="59" t="s">
        <v>176</v>
      </c>
      <c r="B288" s="53"/>
      <c r="C288" s="53"/>
      <c r="D288" s="53"/>
      <c r="E288" s="53"/>
      <c r="F288" s="53"/>
      <c r="G288" s="53"/>
      <c r="H288" s="53"/>
      <c r="I288" s="53"/>
      <c r="J288" s="53"/>
      <c r="K288" s="53"/>
      <c r="L288" s="53"/>
    </row>
    <row r="289" spans="1:13" ht="15.75" thickBot="1" x14ac:dyDescent="0.3">
      <c r="A289" s="104" t="s">
        <v>51</v>
      </c>
      <c r="B289" s="105">
        <v>2000</v>
      </c>
      <c r="C289" s="105">
        <v>2015</v>
      </c>
      <c r="D289" s="105">
        <v>2020</v>
      </c>
      <c r="E289" s="105">
        <v>2025</v>
      </c>
      <c r="F289" s="105">
        <v>2030</v>
      </c>
      <c r="G289" s="105">
        <v>2050</v>
      </c>
      <c r="H289" s="113" t="s">
        <v>98</v>
      </c>
      <c r="I289" s="114" t="s">
        <v>99</v>
      </c>
      <c r="J289" s="114" t="s">
        <v>100</v>
      </c>
      <c r="K289" s="114" t="s">
        <v>101</v>
      </c>
      <c r="L289" s="115" t="s">
        <v>102</v>
      </c>
    </row>
    <row r="290" spans="1:13" x14ac:dyDescent="0.25">
      <c r="A290" s="106" t="s">
        <v>177</v>
      </c>
      <c r="B290" s="121">
        <f>'Demande Format Medpro'!B277</f>
        <v>13.9971</v>
      </c>
      <c r="C290" s="121">
        <f>'Demande Format Medpro'!C277</f>
        <v>7.2347999999999999</v>
      </c>
      <c r="D290" s="121">
        <f>'Demande Format Medpro'!D277</f>
        <v>6.7095000000000002</v>
      </c>
      <c r="E290" s="121">
        <f>'Demande Format Medpro'!E277</f>
        <v>6.4130000000000003</v>
      </c>
      <c r="F290" s="121">
        <f>'Demande Format Medpro'!F277</f>
        <v>5.77</v>
      </c>
      <c r="G290" s="121">
        <f>'Demande Format Medpro'!G277</f>
        <v>3.5712999999999999</v>
      </c>
      <c r="H290" s="121">
        <f>'Demande Format Medpro'!H277</f>
        <v>-4.3042689928576301E-2</v>
      </c>
      <c r="I290" s="121">
        <f>'Demande Format Medpro'!I277</f>
        <v>-1.49625879438747E-2</v>
      </c>
      <c r="J290" s="121">
        <f>'Demande Format Medpro'!J277</f>
        <v>-8.9987174730144E-3</v>
      </c>
      <c r="K290" s="121">
        <f>'Demande Format Medpro'!K277</f>
        <v>-2.0909324225712199E-2</v>
      </c>
      <c r="L290" s="121">
        <f>'Demande Format Medpro'!L277</f>
        <v>-2.3701715862578999E-2</v>
      </c>
      <c r="M290" s="118"/>
    </row>
    <row r="291" spans="1:13" x14ac:dyDescent="0.25">
      <c r="A291" s="106" t="s">
        <v>178</v>
      </c>
      <c r="B291" s="121">
        <f>'Demande Format Medpro'!B278</f>
        <v>26.535799999999998</v>
      </c>
      <c r="C291" s="121">
        <f>'Demande Format Medpro'!C278</f>
        <v>32.707599999999999</v>
      </c>
      <c r="D291" s="121">
        <f>'Demande Format Medpro'!D278</f>
        <v>32.730899999999998</v>
      </c>
      <c r="E291" s="121">
        <f>'Demande Format Medpro'!E278</f>
        <v>31.736999999999998</v>
      </c>
      <c r="F291" s="121">
        <f>'Demande Format Medpro'!F278</f>
        <v>31.259599999999999</v>
      </c>
      <c r="G291" s="121">
        <f>'Demande Format Medpro'!G278</f>
        <v>31.748000000000001</v>
      </c>
      <c r="H291" s="121">
        <f>'Demande Format Medpro'!H278</f>
        <v>1.40384735515253E-2</v>
      </c>
      <c r="I291" s="121">
        <f>'Demande Format Medpro'!I278</f>
        <v>1.4243395127255801E-4</v>
      </c>
      <c r="J291" s="121">
        <f>'Demande Format Medpro'!J278</f>
        <v>-6.1483000068241998E-3</v>
      </c>
      <c r="K291" s="121">
        <f>'Demande Format Medpro'!K278</f>
        <v>-3.0267428832079198E-3</v>
      </c>
      <c r="L291" s="121">
        <f>'Demande Format Medpro'!L278</f>
        <v>7.7546062536670802E-4</v>
      </c>
      <c r="M291" s="118"/>
    </row>
    <row r="292" spans="1:13" x14ac:dyDescent="0.25">
      <c r="A292" s="106" t="s">
        <v>179</v>
      </c>
      <c r="B292" s="121">
        <f>'Demande Format Medpro'!B279</f>
        <v>1.7838000000000001</v>
      </c>
      <c r="C292" s="121">
        <f>'Demande Format Medpro'!C279</f>
        <v>1.1121000000000001</v>
      </c>
      <c r="D292" s="121">
        <f>'Demande Format Medpro'!D279</f>
        <v>0.97289999999999999</v>
      </c>
      <c r="E292" s="121">
        <f>'Demande Format Medpro'!E279</f>
        <v>0.98340000000000005</v>
      </c>
      <c r="F292" s="121">
        <f>'Demande Format Medpro'!F279</f>
        <v>1.016</v>
      </c>
      <c r="G292" s="121">
        <f>'Demande Format Medpro'!G279</f>
        <v>1.0871</v>
      </c>
      <c r="H292" s="121">
        <f>'Demande Format Medpro'!H279</f>
        <v>-3.10087722550666E-2</v>
      </c>
      <c r="I292" s="121">
        <f>'Demande Format Medpro'!I279</f>
        <v>-2.63903438455984E-2</v>
      </c>
      <c r="J292" s="121">
        <f>'Demande Format Medpro'!J279</f>
        <v>2.1492369049878101E-3</v>
      </c>
      <c r="K292" s="121">
        <f>'Demande Format Medpro'!K279</f>
        <v>6.5438526851737703E-3</v>
      </c>
      <c r="L292" s="121">
        <f>'Demande Format Medpro'!L279</f>
        <v>3.38773801073589E-3</v>
      </c>
      <c r="M292" s="118"/>
    </row>
    <row r="293" spans="1:13" x14ac:dyDescent="0.25">
      <c r="A293" s="106" t="s">
        <v>180</v>
      </c>
      <c r="B293" s="121">
        <f>'Demande Format Medpro'!B280</f>
        <v>0.20849999999999999</v>
      </c>
      <c r="C293" s="121">
        <f>'Demande Format Medpro'!C280</f>
        <v>0.15459999999999999</v>
      </c>
      <c r="D293" s="121">
        <f>'Demande Format Medpro'!D280</f>
        <v>0.152</v>
      </c>
      <c r="E293" s="121">
        <f>'Demande Format Medpro'!E280</f>
        <v>0.15179999999999999</v>
      </c>
      <c r="F293" s="121">
        <f>'Demande Format Medpro'!F280</f>
        <v>1.44E-2</v>
      </c>
      <c r="G293" s="121">
        <f>'Demande Format Medpro'!G280</f>
        <v>4.0000000000000001E-3</v>
      </c>
      <c r="H293" s="121">
        <f>'Demande Format Medpro'!H280</f>
        <v>-1.9742376104737801E-2</v>
      </c>
      <c r="I293" s="121">
        <f>'Demande Format Medpro'!I280</f>
        <v>-3.3863763117075699E-3</v>
      </c>
      <c r="J293" s="121">
        <f>'Demande Format Medpro'!J280</f>
        <v>-2.6329650833822898E-4</v>
      </c>
      <c r="K293" s="121">
        <f>'Demande Format Medpro'!K280</f>
        <v>-0.37566433569493302</v>
      </c>
      <c r="L293" s="121">
        <f>'Demande Format Medpro'!L280</f>
        <v>-6.20387970323922E-2</v>
      </c>
      <c r="M293" s="118"/>
    </row>
    <row r="294" spans="1:13" x14ac:dyDescent="0.25">
      <c r="A294" s="106" t="s">
        <v>181</v>
      </c>
      <c r="B294" s="121">
        <f>'Demande Format Medpro'!B281</f>
        <v>0</v>
      </c>
      <c r="C294" s="121">
        <f>'Demande Format Medpro'!C281</f>
        <v>7.5200000000000003E-2</v>
      </c>
      <c r="D294" s="121">
        <f>'Demande Format Medpro'!D281</f>
        <v>8.6400000000000005E-2</v>
      </c>
      <c r="E294" s="121">
        <f>'Demande Format Medpro'!E281</f>
        <v>9.1899999999999996E-2</v>
      </c>
      <c r="F294" s="121">
        <f>'Demande Format Medpro'!F281</f>
        <v>9.7500000000000003E-2</v>
      </c>
      <c r="G294" s="121">
        <f>'Demande Format Medpro'!G281</f>
        <v>0.1215</v>
      </c>
      <c r="H294" s="121">
        <f>'Demande Format Medpro'!H281</f>
        <v>0</v>
      </c>
      <c r="I294" s="121">
        <f>'Demande Format Medpro'!I281</f>
        <v>2.8156393247250399E-2</v>
      </c>
      <c r="J294" s="121">
        <f>'Demande Format Medpro'!J281</f>
        <v>1.2419155823384201E-2</v>
      </c>
      <c r="K294" s="121">
        <f>'Demande Format Medpro'!K281</f>
        <v>1.1900524138891399E-2</v>
      </c>
      <c r="L294" s="121">
        <f>'Demande Format Medpro'!L281</f>
        <v>1.10638509129168E-2</v>
      </c>
      <c r="M294" s="118"/>
    </row>
    <row r="295" spans="1:13" x14ac:dyDescent="0.25">
      <c r="A295" s="106" t="s">
        <v>104</v>
      </c>
      <c r="B295" s="121">
        <f>'Demande Format Medpro'!B282</f>
        <v>0.80669999999999997</v>
      </c>
      <c r="C295" s="121">
        <f>'Demande Format Medpro'!C282</f>
        <v>0.89270000000000005</v>
      </c>
      <c r="D295" s="121">
        <f>'Demande Format Medpro'!D282</f>
        <v>1.147</v>
      </c>
      <c r="E295" s="121">
        <f>'Demande Format Medpro'!E282</f>
        <v>1.4209000000000001</v>
      </c>
      <c r="F295" s="121">
        <f>'Demande Format Medpro'!F282</f>
        <v>1.8814</v>
      </c>
      <c r="G295" s="121">
        <f>'Demande Format Medpro'!G282</f>
        <v>4.0824999999999996</v>
      </c>
      <c r="H295" s="121">
        <f>'Demande Format Medpro'!H282</f>
        <v>6.7761030168769203E-3</v>
      </c>
      <c r="I295" s="121">
        <f>'Demande Format Medpro'!I282</f>
        <v>5.1408724958821497E-2</v>
      </c>
      <c r="J295" s="121">
        <f>'Demande Format Medpro'!J282</f>
        <v>4.3758485638497602E-2</v>
      </c>
      <c r="K295" s="121">
        <f>'Demande Format Medpro'!K282</f>
        <v>5.7751196062832501E-2</v>
      </c>
      <c r="L295" s="121">
        <f>'Demande Format Medpro'!L282</f>
        <v>3.9494636141248499E-2</v>
      </c>
      <c r="M295" s="118"/>
    </row>
    <row r="296" spans="1:13" x14ac:dyDescent="0.25">
      <c r="A296" s="106" t="s">
        <v>109</v>
      </c>
      <c r="B296" s="121">
        <f>'Demande Format Medpro'!B283</f>
        <v>0</v>
      </c>
      <c r="C296" s="121">
        <f>'Demande Format Medpro'!C283</f>
        <v>0</v>
      </c>
      <c r="D296" s="121">
        <f>'Demande Format Medpro'!D283</f>
        <v>0</v>
      </c>
      <c r="E296" s="121">
        <f>'Demande Format Medpro'!E283</f>
        <v>0</v>
      </c>
      <c r="F296" s="121">
        <f>'Demande Format Medpro'!F283</f>
        <v>0</v>
      </c>
      <c r="G296" s="121">
        <f>'Demande Format Medpro'!G283</f>
        <v>0</v>
      </c>
      <c r="H296" s="121">
        <f>'Demande Format Medpro'!H283</f>
        <v>0</v>
      </c>
      <c r="I296" s="121">
        <f>'Demande Format Medpro'!I283</f>
        <v>0</v>
      </c>
      <c r="J296" s="121">
        <f>'Demande Format Medpro'!J283</f>
        <v>0</v>
      </c>
      <c r="K296" s="121">
        <f>'Demande Format Medpro'!K283</f>
        <v>0</v>
      </c>
      <c r="L296" s="121">
        <f>'Demande Format Medpro'!L283</f>
        <v>0</v>
      </c>
      <c r="M296" s="118"/>
    </row>
    <row r="297" spans="1:13" x14ac:dyDescent="0.25">
      <c r="A297" s="106"/>
      <c r="B297" s="121">
        <f>'Demande Format Medpro'!B284</f>
        <v>0</v>
      </c>
      <c r="C297" s="121">
        <f>'Demande Format Medpro'!C284</f>
        <v>0</v>
      </c>
      <c r="D297" s="121">
        <f>'Demande Format Medpro'!D284</f>
        <v>0</v>
      </c>
      <c r="E297" s="121">
        <f>'Demande Format Medpro'!E284</f>
        <v>0</v>
      </c>
      <c r="F297" s="121">
        <f>'Demande Format Medpro'!F284</f>
        <v>0</v>
      </c>
      <c r="G297" s="121">
        <f>'Demande Format Medpro'!G284</f>
        <v>0</v>
      </c>
      <c r="H297" s="121">
        <f>'Demande Format Medpro'!H284</f>
        <v>0</v>
      </c>
      <c r="I297" s="121">
        <f>'Demande Format Medpro'!I284</f>
        <v>0</v>
      </c>
      <c r="J297" s="121">
        <f>'Demande Format Medpro'!J284</f>
        <v>0</v>
      </c>
      <c r="K297" s="121">
        <f>'Demande Format Medpro'!K284</f>
        <v>0</v>
      </c>
      <c r="L297" s="121">
        <f>'Demande Format Medpro'!L284</f>
        <v>0</v>
      </c>
    </row>
    <row r="298" spans="1:13" ht="15.75" thickBot="1" x14ac:dyDescent="0.3">
      <c r="A298" s="109" t="s">
        <v>10</v>
      </c>
      <c r="B298" s="378">
        <f>'Demande Format Medpro'!B285</f>
        <v>43.331899999999997</v>
      </c>
      <c r="C298" s="110">
        <f>'Demande Format Medpro'!C285</f>
        <v>42.177</v>
      </c>
      <c r="D298" s="110">
        <f>'Demande Format Medpro'!D285</f>
        <v>41.798699999999997</v>
      </c>
      <c r="E298" s="110">
        <f>'Demande Format Medpro'!E285</f>
        <v>40.798000000000002</v>
      </c>
      <c r="F298" s="110">
        <f>'Demande Format Medpro'!F285</f>
        <v>40.038899999999998</v>
      </c>
      <c r="G298" s="110">
        <f>'Demande Format Medpro'!G285</f>
        <v>40.614400000000003</v>
      </c>
      <c r="H298" s="110">
        <f>'Demande Format Medpro'!H285</f>
        <v>-1.7993149918053E-3</v>
      </c>
      <c r="I298" s="110">
        <f>'Demande Format Medpro'!I285</f>
        <v>-1.80033948060065E-3</v>
      </c>
      <c r="J298" s="110">
        <f>'Demande Format Medpro'!J285</f>
        <v>-4.83471057375173E-3</v>
      </c>
      <c r="K298" s="110">
        <f>'Demande Format Medpro'!K285</f>
        <v>-3.7492696827380301E-3</v>
      </c>
      <c r="L298" s="110">
        <f>'Demande Format Medpro'!L285</f>
        <v>7.1381474379505995E-4</v>
      </c>
      <c r="M298" s="108"/>
    </row>
    <row r="299" spans="1:13" x14ac:dyDescent="0.25">
      <c r="A299" s="111"/>
      <c r="B299" s="98"/>
      <c r="C299" s="98"/>
      <c r="D299" s="98"/>
      <c r="E299" s="107"/>
      <c r="F299" s="107"/>
      <c r="M299" s="129"/>
    </row>
    <row r="300" spans="1:13" x14ac:dyDescent="0.25">
      <c r="A300" s="111"/>
      <c r="B300" s="98"/>
      <c r="C300" s="98"/>
      <c r="D300" s="98"/>
      <c r="E300" s="107"/>
      <c r="F300" s="107"/>
    </row>
    <row r="301" spans="1:13" ht="16.5" thickBot="1" x14ac:dyDescent="0.3">
      <c r="A301" s="59" t="s">
        <v>182</v>
      </c>
      <c r="B301" s="53"/>
      <c r="C301" s="53"/>
      <c r="D301" s="53"/>
      <c r="E301" s="160"/>
      <c r="F301" s="160"/>
      <c r="G301" s="160"/>
      <c r="H301" s="53"/>
      <c r="I301" s="53"/>
      <c r="J301" s="53"/>
      <c r="K301" s="53"/>
      <c r="L301" s="53"/>
    </row>
    <row r="302" spans="1:13" ht="15.75" thickBot="1" x14ac:dyDescent="0.3">
      <c r="A302" s="104" t="s">
        <v>51</v>
      </c>
      <c r="B302" s="105">
        <v>2000</v>
      </c>
      <c r="C302" s="105">
        <v>2015</v>
      </c>
      <c r="D302" s="105">
        <v>2020</v>
      </c>
      <c r="E302" s="105">
        <v>2025</v>
      </c>
      <c r="F302" s="105">
        <v>2030</v>
      </c>
      <c r="G302" s="105">
        <v>2050</v>
      </c>
      <c r="H302" s="113" t="s">
        <v>98</v>
      </c>
      <c r="I302" s="114" t="s">
        <v>99</v>
      </c>
      <c r="J302" s="114" t="s">
        <v>100</v>
      </c>
      <c r="K302" s="114" t="s">
        <v>101</v>
      </c>
      <c r="L302" s="115" t="s">
        <v>102</v>
      </c>
    </row>
    <row r="303" spans="1:13" x14ac:dyDescent="0.25">
      <c r="A303" s="106" t="s">
        <v>183</v>
      </c>
      <c r="B303" s="107">
        <f>'Demande Format Medpro'!B290</f>
        <v>39.905799999999999</v>
      </c>
      <c r="C303" s="107">
        <f>'Demande Format Medpro'!C290</f>
        <v>39.588700000000003</v>
      </c>
      <c r="D303" s="107">
        <f>'Demande Format Medpro'!D290</f>
        <v>39.209800000000001</v>
      </c>
      <c r="E303" s="107">
        <f>'Demande Format Medpro'!E290</f>
        <v>38.1265</v>
      </c>
      <c r="F303" s="107">
        <f>'Demande Format Medpro'!F290</f>
        <v>37.241999999999997</v>
      </c>
      <c r="G303" s="107">
        <f>'Demande Format Medpro'!G290</f>
        <v>37.095799999999997</v>
      </c>
      <c r="H303" s="107">
        <f>'Demande Format Medpro'!H290</f>
        <v>-5.3172210141172504E-4</v>
      </c>
      <c r="I303" s="107">
        <f>'Demande Format Medpro'!I290</f>
        <v>-1.9215531388057101E-3</v>
      </c>
      <c r="J303" s="107">
        <f>'Demande Format Medpro'!J290</f>
        <v>-5.5877575097548196E-3</v>
      </c>
      <c r="K303" s="107">
        <f>'Demande Format Medpro'!K290</f>
        <v>-4.6834824823716002E-3</v>
      </c>
      <c r="L303" s="107">
        <f>'Demande Format Medpro'!L290</f>
        <v>-1.9665071180397E-4</v>
      </c>
    </row>
    <row r="304" spans="1:13" x14ac:dyDescent="0.25">
      <c r="A304" s="106" t="s">
        <v>184</v>
      </c>
      <c r="B304" s="107">
        <f>'Demande Format Medpro'!B291</f>
        <v>1.1697</v>
      </c>
      <c r="C304" s="107">
        <f>'Demande Format Medpro'!C291</f>
        <v>1.0153000000000001</v>
      </c>
      <c r="D304" s="107">
        <f>'Demande Format Medpro'!D291</f>
        <v>1.1104000000000001</v>
      </c>
      <c r="E304" s="107">
        <f>'Demande Format Medpro'!E291</f>
        <v>1.1695</v>
      </c>
      <c r="F304" s="107">
        <f>'Demande Format Medpro'!F291</f>
        <v>1.2481</v>
      </c>
      <c r="G304" s="107">
        <f>'Demande Format Medpro'!G291</f>
        <v>1.6429</v>
      </c>
      <c r="H304" s="107">
        <f>'Demande Format Medpro'!H291</f>
        <v>-9.3931508311854203E-3</v>
      </c>
      <c r="I304" s="107">
        <f>'Demande Format Medpro'!I291</f>
        <v>1.80685309726576E-2</v>
      </c>
      <c r="J304" s="107">
        <f>'Demande Format Medpro'!J291</f>
        <v>1.0425166548489399E-2</v>
      </c>
      <c r="K304" s="107">
        <f>'Demande Format Medpro'!K291</f>
        <v>1.3094205593694E-2</v>
      </c>
      <c r="L304" s="107">
        <f>'Demande Format Medpro'!L291</f>
        <v>1.3836884583680001E-2</v>
      </c>
    </row>
    <row r="305" spans="1:14" x14ac:dyDescent="0.25">
      <c r="A305" s="106" t="s">
        <v>185</v>
      </c>
      <c r="B305" s="107">
        <f>'Demande Format Medpro'!B292</f>
        <v>0.47260000000000002</v>
      </c>
      <c r="C305" s="107">
        <f>'Demande Format Medpro'!C292</f>
        <v>0.46089999999999998</v>
      </c>
      <c r="D305" s="107">
        <f>'Demande Format Medpro'!D292</f>
        <v>0.50560000000000005</v>
      </c>
      <c r="E305" s="107">
        <f>'Demande Format Medpro'!E292</f>
        <v>0.51859999999999995</v>
      </c>
      <c r="F305" s="107">
        <f>'Demande Format Medpro'!F292</f>
        <v>0.53280000000000005</v>
      </c>
      <c r="G305" s="107">
        <f>'Demande Format Medpro'!G292</f>
        <v>0.78859999999999997</v>
      </c>
      <c r="H305" s="107">
        <f>'Demande Format Medpro'!H292</f>
        <v>-1.6698219617935499E-3</v>
      </c>
      <c r="I305" s="107">
        <f>'Demande Format Medpro'!I292</f>
        <v>1.8685375655264701E-2</v>
      </c>
      <c r="J305" s="107">
        <f>'Demande Format Medpro'!J292</f>
        <v>5.0903179241896801E-3</v>
      </c>
      <c r="K305" s="107">
        <f>'Demande Format Medpro'!K292</f>
        <v>5.4172698518257798E-3</v>
      </c>
      <c r="L305" s="107">
        <f>'Demande Format Medpro'!L292</f>
        <v>1.9799108156683499E-2</v>
      </c>
    </row>
    <row r="306" spans="1:14" x14ac:dyDescent="0.25">
      <c r="A306" s="106" t="s">
        <v>186</v>
      </c>
      <c r="B306" s="107">
        <f>'Demande Format Medpro'!B293</f>
        <v>1.7838000000000001</v>
      </c>
      <c r="C306" s="107">
        <f>'Demande Format Medpro'!C293</f>
        <v>1.1121000000000001</v>
      </c>
      <c r="D306" s="107">
        <f>'Demande Format Medpro'!D293</f>
        <v>0.97289999999999999</v>
      </c>
      <c r="E306" s="107">
        <f>'Demande Format Medpro'!E293</f>
        <v>0.98340000000000005</v>
      </c>
      <c r="F306" s="107">
        <f>'Demande Format Medpro'!F293</f>
        <v>1.016</v>
      </c>
      <c r="G306" s="107">
        <f>'Demande Format Medpro'!G293</f>
        <v>1.0871</v>
      </c>
      <c r="H306" s="107">
        <f>'Demande Format Medpro'!H293</f>
        <v>-3.10087722550666E-2</v>
      </c>
      <c r="I306" s="107">
        <f>'Demande Format Medpro'!I293</f>
        <v>-2.63903438455984E-2</v>
      </c>
      <c r="J306" s="107">
        <f>'Demande Format Medpro'!J293</f>
        <v>2.1492369049878101E-3</v>
      </c>
      <c r="K306" s="107">
        <f>'Demande Format Medpro'!K293</f>
        <v>6.5438526851737703E-3</v>
      </c>
      <c r="L306" s="107">
        <f>'Demande Format Medpro'!L293</f>
        <v>3.38773801073589E-3</v>
      </c>
    </row>
    <row r="307" spans="1:14" x14ac:dyDescent="0.25">
      <c r="A307" s="106"/>
      <c r="B307" s="107">
        <f>'Demande Format Medpro'!B294</f>
        <v>0</v>
      </c>
      <c r="C307" s="107">
        <f>'Demande Format Medpro'!C294</f>
        <v>0</v>
      </c>
      <c r="D307" s="107">
        <f>'Demande Format Medpro'!D294</f>
        <v>0</v>
      </c>
      <c r="E307" s="107">
        <f>'Demande Format Medpro'!E294</f>
        <v>0</v>
      </c>
      <c r="F307" s="107">
        <f>'Demande Format Medpro'!F294</f>
        <v>0</v>
      </c>
      <c r="G307" s="107">
        <f>'Demande Format Medpro'!G294</f>
        <v>0</v>
      </c>
      <c r="H307" s="107">
        <f>'Demande Format Medpro'!H294</f>
        <v>0</v>
      </c>
      <c r="I307" s="107">
        <f>'Demande Format Medpro'!I294</f>
        <v>0</v>
      </c>
      <c r="J307" s="107">
        <f>'Demande Format Medpro'!J294</f>
        <v>0</v>
      </c>
      <c r="K307" s="107">
        <f>'Demande Format Medpro'!K294</f>
        <v>0</v>
      </c>
      <c r="L307" s="107">
        <f>'Demande Format Medpro'!L294</f>
        <v>0</v>
      </c>
    </row>
    <row r="308" spans="1:14" ht="15.75" thickBot="1" x14ac:dyDescent="0.3">
      <c r="A308" s="141" t="s">
        <v>10</v>
      </c>
      <c r="B308" s="126">
        <f>'Demande Format Medpro'!B295</f>
        <v>43.331899999999997</v>
      </c>
      <c r="C308" s="131">
        <f>'Demande Format Medpro'!C295</f>
        <v>42.177</v>
      </c>
      <c r="D308" s="131">
        <f>'Demande Format Medpro'!D295</f>
        <v>41.798699999999997</v>
      </c>
      <c r="E308" s="131">
        <f>'Demande Format Medpro'!E295</f>
        <v>40.798000000000002</v>
      </c>
      <c r="F308" s="131">
        <f>'Demande Format Medpro'!F295</f>
        <v>40.038899999999998</v>
      </c>
      <c r="G308" s="131">
        <f>'Demande Format Medpro'!G295</f>
        <v>40.614400000000003</v>
      </c>
      <c r="H308" s="131">
        <f>'Demande Format Medpro'!H295</f>
        <v>-1.7993149918053E-3</v>
      </c>
      <c r="I308" s="131">
        <f>'Demande Format Medpro'!I295</f>
        <v>-1.80033948060065E-3</v>
      </c>
      <c r="J308" s="131">
        <f>'Demande Format Medpro'!J295</f>
        <v>-4.83471057375173E-3</v>
      </c>
      <c r="K308" s="131">
        <f>'Demande Format Medpro'!K295</f>
        <v>-3.7492696827380301E-3</v>
      </c>
      <c r="L308" s="131">
        <f>'Demande Format Medpro'!L295</f>
        <v>7.1381474379505995E-4</v>
      </c>
    </row>
    <row r="309" spans="1:14" x14ac:dyDescent="0.25">
      <c r="A309" s="111"/>
      <c r="B309" s="161"/>
      <c r="C309" s="98"/>
      <c r="D309" s="98"/>
      <c r="E309" s="98"/>
    </row>
    <row r="310" spans="1:14" x14ac:dyDescent="0.25">
      <c r="A310" s="111"/>
      <c r="B310" s="161"/>
      <c r="C310" s="98"/>
      <c r="D310" s="98"/>
      <c r="E310" s="98"/>
    </row>
    <row r="311" spans="1:14" ht="16.5" thickBot="1" x14ac:dyDescent="0.3">
      <c r="A311" s="59" t="s">
        <v>187</v>
      </c>
      <c r="B311" s="162"/>
      <c r="C311" s="53"/>
      <c r="D311" s="53"/>
      <c r="E311" s="53"/>
      <c r="F311" s="53"/>
      <c r="G311" s="53"/>
      <c r="H311" s="53"/>
      <c r="I311" s="53"/>
      <c r="J311" s="53"/>
      <c r="K311" s="53"/>
      <c r="L311" s="53"/>
    </row>
    <row r="312" spans="1:14" ht="15.75" thickBot="1" x14ac:dyDescent="0.3">
      <c r="A312" s="104" t="s">
        <v>51</v>
      </c>
      <c r="B312" s="105">
        <v>2000</v>
      </c>
      <c r="C312" s="105">
        <v>2015</v>
      </c>
      <c r="D312" s="105">
        <v>2020</v>
      </c>
      <c r="E312" s="105">
        <v>2025</v>
      </c>
      <c r="F312" s="105">
        <v>2030</v>
      </c>
      <c r="G312" s="105">
        <v>2050</v>
      </c>
      <c r="H312" s="113" t="s">
        <v>98</v>
      </c>
      <c r="I312" s="114" t="s">
        <v>99</v>
      </c>
      <c r="J312" s="114" t="s">
        <v>100</v>
      </c>
      <c r="K312" s="114" t="s">
        <v>101</v>
      </c>
      <c r="L312" s="115" t="s">
        <v>102</v>
      </c>
    </row>
    <row r="313" spans="1:14" x14ac:dyDescent="0.25">
      <c r="A313" s="153" t="s">
        <v>188</v>
      </c>
      <c r="B313" s="107">
        <f>'Demande Format Medpro'!B300</f>
        <v>24.0273</v>
      </c>
      <c r="C313" s="107">
        <f>'Demande Format Medpro'!C300</f>
        <v>23.461400000000001</v>
      </c>
      <c r="D313" s="107">
        <f>'Demande Format Medpro'!D300</f>
        <v>22.6571</v>
      </c>
      <c r="E313" s="107">
        <f>'Demande Format Medpro'!E300</f>
        <v>21.686900000000001</v>
      </c>
      <c r="F313" s="107">
        <f>'Demande Format Medpro'!F300</f>
        <v>20.764600000000002</v>
      </c>
      <c r="G313" s="107">
        <f>'Demande Format Medpro'!G300</f>
        <v>18.468</v>
      </c>
      <c r="H313" s="107">
        <f>'Demande Format Medpro'!H300</f>
        <v>-1.58768272254539E-3</v>
      </c>
      <c r="I313" s="107">
        <f>'Demande Format Medpro'!I300</f>
        <v>-6.9523694561535202E-3</v>
      </c>
      <c r="J313" s="107">
        <f>'Demande Format Medpro'!J300</f>
        <v>-8.7147796291577907E-3</v>
      </c>
      <c r="K313" s="107">
        <f>'Demande Format Medpro'!K300</f>
        <v>-8.6540914747326204E-3</v>
      </c>
      <c r="L313" s="107">
        <f>'Demande Format Medpro'!L300</f>
        <v>-5.8433661893037003E-3</v>
      </c>
      <c r="N313" s="146"/>
    </row>
    <row r="314" spans="1:14" x14ac:dyDescent="0.25">
      <c r="A314" s="106" t="s">
        <v>177</v>
      </c>
      <c r="B314" s="107">
        <f>'Demande Format Medpro'!B301</f>
        <v>13.3986</v>
      </c>
      <c r="C314" s="107">
        <f>'Demande Format Medpro'!C301</f>
        <v>6.5430999999999999</v>
      </c>
      <c r="D314" s="107">
        <f>'Demande Format Medpro'!D301</f>
        <v>6.0305999999999997</v>
      </c>
      <c r="E314" s="107">
        <f>'Demande Format Medpro'!E301</f>
        <v>5.7404999999999999</v>
      </c>
      <c r="F314" s="107">
        <f>'Demande Format Medpro'!F301</f>
        <v>5.0959000000000003</v>
      </c>
      <c r="G314" s="107">
        <f>'Demande Format Medpro'!G301</f>
        <v>2.8450000000000002</v>
      </c>
      <c r="H314" s="107">
        <f>'Demande Format Medpro'!H301</f>
        <v>-4.6658989573450098E-2</v>
      </c>
      <c r="I314" s="107">
        <f>'Demande Format Medpro'!I301</f>
        <v>-1.6180575247603999E-2</v>
      </c>
      <c r="J314" s="107">
        <f>'Demande Format Medpro'!J301</f>
        <v>-9.8115879359933506E-3</v>
      </c>
      <c r="K314" s="107">
        <f>'Demande Format Medpro'!K301</f>
        <v>-2.3540499767392E-2</v>
      </c>
      <c r="L314" s="107">
        <f>'Demande Format Medpro'!L301</f>
        <v>-2.8723080523118099E-2</v>
      </c>
    </row>
    <row r="315" spans="1:14" x14ac:dyDescent="0.25">
      <c r="A315" s="106" t="s">
        <v>178</v>
      </c>
      <c r="B315" s="107">
        <f>'Demande Format Medpro'!B302</f>
        <v>10.4703</v>
      </c>
      <c r="C315" s="107">
        <f>'Demande Format Medpro'!C302</f>
        <v>16.771000000000001</v>
      </c>
      <c r="D315" s="107">
        <f>'Demande Format Medpro'!D302</f>
        <v>16.402799999999999</v>
      </c>
      <c r="E315" s="107">
        <f>'Demande Format Medpro'!E302</f>
        <v>15.5016</v>
      </c>
      <c r="F315" s="107">
        <f>'Demande Format Medpro'!F302</f>
        <v>14.972300000000001</v>
      </c>
      <c r="G315" s="107">
        <f>'Demande Format Medpro'!G302</f>
        <v>13.1013</v>
      </c>
      <c r="H315" s="107">
        <f>'Demande Format Medpro'!H302</f>
        <v>3.1905646537125701E-2</v>
      </c>
      <c r="I315" s="107">
        <f>'Demande Format Medpro'!I302</f>
        <v>-4.4299889998889999E-3</v>
      </c>
      <c r="J315" s="107">
        <f>'Demande Format Medpro'!J302</f>
        <v>-1.1238136522470001E-2</v>
      </c>
      <c r="K315" s="107">
        <f>'Demande Format Medpro'!K302</f>
        <v>-6.9241999225698701E-3</v>
      </c>
      <c r="L315" s="107">
        <f>'Demande Format Medpro'!L302</f>
        <v>-6.6522931437719103E-3</v>
      </c>
    </row>
    <row r="316" spans="1:14" x14ac:dyDescent="0.25">
      <c r="A316" s="106" t="s">
        <v>180</v>
      </c>
      <c r="B316" s="107">
        <f>'Demande Format Medpro'!B303</f>
        <v>0.15840000000000001</v>
      </c>
      <c r="C316" s="107">
        <f>'Demande Format Medpro'!C303</f>
        <v>0.1298</v>
      </c>
      <c r="D316" s="107">
        <f>'Demande Format Medpro'!D303</f>
        <v>0.13150000000000001</v>
      </c>
      <c r="E316" s="107">
        <f>'Demande Format Medpro'!E303</f>
        <v>0.13489999999999999</v>
      </c>
      <c r="F316" s="107">
        <f>'Demande Format Medpro'!F303</f>
        <v>5.0000000000000001E-4</v>
      </c>
      <c r="G316" s="107">
        <f>'Demande Format Medpro'!G303</f>
        <v>-1E-4</v>
      </c>
      <c r="H316" s="107">
        <f>'Demande Format Medpro'!H303</f>
        <v>-1.31875175724918E-2</v>
      </c>
      <c r="I316" s="107">
        <f>'Demande Format Medpro'!I303</f>
        <v>2.6057986764866899E-3</v>
      </c>
      <c r="J316" s="107">
        <f>'Demande Format Medpro'!J303</f>
        <v>5.1184369903980497E-3</v>
      </c>
      <c r="K316" s="107">
        <f>'Demande Format Medpro'!K303</f>
        <v>-0.67356883803888701</v>
      </c>
      <c r="L316" s="107" t="e">
        <f>'Demande Format Medpro'!L303</f>
        <v>#NUM!</v>
      </c>
    </row>
    <row r="317" spans="1:14" x14ac:dyDescent="0.25">
      <c r="A317" s="106" t="s">
        <v>181</v>
      </c>
      <c r="B317" s="107">
        <f>'Demande Format Medpro'!B304</f>
        <v>0</v>
      </c>
      <c r="C317" s="107">
        <f>'Demande Format Medpro'!C304</f>
        <v>0</v>
      </c>
      <c r="D317" s="107">
        <f>'Demande Format Medpro'!D304</f>
        <v>0</v>
      </c>
      <c r="E317" s="107">
        <f>'Demande Format Medpro'!E304</f>
        <v>0</v>
      </c>
      <c r="F317" s="107">
        <f>'Demande Format Medpro'!F304</f>
        <v>0</v>
      </c>
      <c r="G317" s="107">
        <f>'Demande Format Medpro'!G304</f>
        <v>0</v>
      </c>
      <c r="H317" s="107">
        <f>'Demande Format Medpro'!H304</f>
        <v>0</v>
      </c>
      <c r="I317" s="107">
        <f>'Demande Format Medpro'!I304</f>
        <v>0</v>
      </c>
      <c r="J317" s="107">
        <f>'Demande Format Medpro'!J304</f>
        <v>0</v>
      </c>
      <c r="K317" s="107">
        <f>'Demande Format Medpro'!K304</f>
        <v>0</v>
      </c>
      <c r="L317" s="107">
        <f>'Demande Format Medpro'!L304</f>
        <v>0</v>
      </c>
    </row>
    <row r="318" spans="1:14" x14ac:dyDescent="0.25">
      <c r="A318" s="106" t="s">
        <v>109</v>
      </c>
      <c r="B318" s="107">
        <f>'Demande Format Medpro'!B305</f>
        <v>0</v>
      </c>
      <c r="C318" s="107">
        <f>'Demande Format Medpro'!C305</f>
        <v>0</v>
      </c>
      <c r="D318" s="107">
        <f>'Demande Format Medpro'!D305</f>
        <v>0</v>
      </c>
      <c r="E318" s="107">
        <f>'Demande Format Medpro'!E305</f>
        <v>0</v>
      </c>
      <c r="F318" s="107">
        <f>'Demande Format Medpro'!F305</f>
        <v>0</v>
      </c>
      <c r="G318" s="107">
        <f>'Demande Format Medpro'!G305</f>
        <v>0</v>
      </c>
      <c r="H318" s="107">
        <f>'Demande Format Medpro'!H305</f>
        <v>0</v>
      </c>
      <c r="I318" s="107">
        <f>'Demande Format Medpro'!I305</f>
        <v>0</v>
      </c>
      <c r="J318" s="107">
        <f>'Demande Format Medpro'!J305</f>
        <v>0</v>
      </c>
      <c r="K318" s="107">
        <f>'Demande Format Medpro'!K305</f>
        <v>0</v>
      </c>
      <c r="L318" s="107">
        <f>'Demande Format Medpro'!L305</f>
        <v>0</v>
      </c>
    </row>
    <row r="319" spans="1:14" x14ac:dyDescent="0.25">
      <c r="A319" s="106" t="s">
        <v>104</v>
      </c>
      <c r="B319" s="107">
        <f>'Demande Format Medpro'!B306</f>
        <v>0</v>
      </c>
      <c r="C319" s="107">
        <f>'Demande Format Medpro'!C306</f>
        <v>1.7500000000000002E-2</v>
      </c>
      <c r="D319" s="107">
        <f>'Demande Format Medpro'!D306</f>
        <v>9.2200000000000004E-2</v>
      </c>
      <c r="E319" s="107">
        <f>'Demande Format Medpro'!E306</f>
        <v>0.30990000000000001</v>
      </c>
      <c r="F319" s="107">
        <f>'Demande Format Medpro'!F306</f>
        <v>0.69589999999999996</v>
      </c>
      <c r="G319" s="107">
        <f>'Demande Format Medpro'!G306</f>
        <v>2.5217999999999998</v>
      </c>
      <c r="H319" s="107">
        <f>'Demande Format Medpro'!H306</f>
        <v>0</v>
      </c>
      <c r="I319" s="107">
        <f>'Demande Format Medpro'!I306</f>
        <v>0</v>
      </c>
      <c r="J319" s="107">
        <f>'Demande Format Medpro'!J306</f>
        <v>0</v>
      </c>
      <c r="K319" s="107">
        <f>'Demande Format Medpro'!K306</f>
        <v>0</v>
      </c>
      <c r="L319" s="107">
        <f>'Demande Format Medpro'!L306</f>
        <v>0</v>
      </c>
    </row>
    <row r="320" spans="1:14" x14ac:dyDescent="0.25">
      <c r="A320" s="106"/>
      <c r="B320" s="107"/>
      <c r="C320" s="107"/>
      <c r="D320" s="107"/>
      <c r="E320" s="107"/>
      <c r="F320" s="107"/>
      <c r="G320" s="107"/>
      <c r="H320" s="107"/>
      <c r="I320" s="107"/>
      <c r="J320" s="107"/>
      <c r="K320" s="107"/>
      <c r="L320" s="107"/>
    </row>
    <row r="321" spans="1:12" x14ac:dyDescent="0.25">
      <c r="A321" s="153" t="s">
        <v>189</v>
      </c>
      <c r="B321" s="107">
        <f>'Demande Format Medpro'!B308</f>
        <v>14.8622</v>
      </c>
      <c r="C321" s="107">
        <f>'Demande Format Medpro'!C308</f>
        <v>14.641500000000001</v>
      </c>
      <c r="D321" s="107">
        <f>'Demande Format Medpro'!D308</f>
        <v>14.9407</v>
      </c>
      <c r="E321" s="107">
        <f>'Demande Format Medpro'!E308</f>
        <v>14.7842</v>
      </c>
      <c r="F321" s="107">
        <f>'Demande Format Medpro'!F308</f>
        <v>14.770899999999999</v>
      </c>
      <c r="G321" s="107">
        <f>'Demande Format Medpro'!G308</f>
        <v>16.707599999999999</v>
      </c>
      <c r="H321" s="107">
        <f>'Demande Format Medpro'!H308</f>
        <v>-9.9691038652360798E-4</v>
      </c>
      <c r="I321" s="107">
        <f>'Demande Format Medpro'!I308</f>
        <v>4.0540094321539497E-3</v>
      </c>
      <c r="J321" s="107">
        <f>'Demande Format Medpro'!J308</f>
        <v>-2.1037818910039099E-3</v>
      </c>
      <c r="K321" s="107">
        <f>'Demande Format Medpro'!K308</f>
        <v>-1.7998658709983401E-4</v>
      </c>
      <c r="L321" s="107">
        <f>'Demande Format Medpro'!L308</f>
        <v>6.1792470978452299E-3</v>
      </c>
    </row>
    <row r="322" spans="1:12" x14ac:dyDescent="0.25">
      <c r="A322" s="106" t="s">
        <v>177</v>
      </c>
      <c r="B322" s="107">
        <f>'Demande Format Medpro'!B309</f>
        <v>0.2555</v>
      </c>
      <c r="C322" s="107">
        <f>'Demande Format Medpro'!C309</f>
        <v>0.1265</v>
      </c>
      <c r="D322" s="107">
        <f>'Demande Format Medpro'!D309</f>
        <v>0.10440000000000001</v>
      </c>
      <c r="E322" s="107">
        <f>'Demande Format Medpro'!E309</f>
        <v>8.6099999999999996E-2</v>
      </c>
      <c r="F322" s="107">
        <f>'Demande Format Medpro'!F309</f>
        <v>7.0999999999999994E-2</v>
      </c>
      <c r="G322" s="107">
        <f>'Demande Format Medpro'!G309</f>
        <v>2.1299999999999999E-2</v>
      </c>
      <c r="H322" s="107">
        <f>'Demande Format Medpro'!H309</f>
        <v>0</v>
      </c>
      <c r="I322" s="107">
        <f>'Demande Format Medpro'!I309</f>
        <v>0</v>
      </c>
      <c r="J322" s="107">
        <f>'Demande Format Medpro'!J309</f>
        <v>0</v>
      </c>
      <c r="K322" s="107">
        <f>'Demande Format Medpro'!K309</f>
        <v>0</v>
      </c>
      <c r="L322" s="107">
        <f>'Demande Format Medpro'!L309</f>
        <v>0</v>
      </c>
    </row>
    <row r="323" spans="1:12" x14ac:dyDescent="0.25">
      <c r="A323" s="106" t="s">
        <v>178</v>
      </c>
      <c r="B323" s="107">
        <f>'Demande Format Medpro'!B310</f>
        <v>14.5566</v>
      </c>
      <c r="C323" s="107">
        <f>'Demande Format Medpro'!C310</f>
        <v>14.4419</v>
      </c>
      <c r="D323" s="107">
        <f>'Demande Format Medpro'!D310</f>
        <v>14.760999999999999</v>
      </c>
      <c r="E323" s="107">
        <f>'Demande Format Medpro'!E310</f>
        <v>14.6226</v>
      </c>
      <c r="F323" s="107">
        <f>'Demande Format Medpro'!F310</f>
        <v>14.6234</v>
      </c>
      <c r="G323" s="107">
        <f>'Demande Format Medpro'!G310</f>
        <v>16.6005</v>
      </c>
      <c r="H323" s="107">
        <f>'Demande Format Medpro'!H310</f>
        <v>-5.2724730689668298E-4</v>
      </c>
      <c r="I323" s="107">
        <f>'Demande Format Medpro'!I310</f>
        <v>4.3805393945668403E-3</v>
      </c>
      <c r="J323" s="107">
        <f>'Demande Format Medpro'!J310</f>
        <v>-1.88228437012594E-3</v>
      </c>
      <c r="K323" s="107">
        <f>'Demande Format Medpro'!K310</f>
        <v>1.09417270994783E-5</v>
      </c>
      <c r="L323" s="107">
        <f>'Demande Format Medpro'!L310</f>
        <v>6.3606349652314299E-3</v>
      </c>
    </row>
    <row r="324" spans="1:12" x14ac:dyDescent="0.25">
      <c r="A324" s="106" t="s">
        <v>180</v>
      </c>
      <c r="B324" s="107">
        <f>'Demande Format Medpro'!B311</f>
        <v>5.0099999999999999E-2</v>
      </c>
      <c r="C324" s="107">
        <f>'Demande Format Medpro'!C311</f>
        <v>2.4799999999999999E-2</v>
      </c>
      <c r="D324" s="107">
        <f>'Demande Format Medpro'!D311</f>
        <v>2.0500000000000001E-2</v>
      </c>
      <c r="E324" s="107">
        <f>'Demande Format Medpro'!E311</f>
        <v>1.6899999999999998E-2</v>
      </c>
      <c r="F324" s="107">
        <f>'Demande Format Medpro'!F311</f>
        <v>1.3899999999999999E-2</v>
      </c>
      <c r="G324" s="107">
        <f>'Demande Format Medpro'!G311</f>
        <v>4.1999999999999997E-3</v>
      </c>
      <c r="H324" s="107">
        <f>'Demande Format Medpro'!H311</f>
        <v>0</v>
      </c>
      <c r="I324" s="107">
        <f>'Demande Format Medpro'!I311</f>
        <v>0</v>
      </c>
      <c r="J324" s="107">
        <f>'Demande Format Medpro'!J311</f>
        <v>0</v>
      </c>
      <c r="K324" s="107">
        <f>'Demande Format Medpro'!K311</f>
        <v>0</v>
      </c>
      <c r="L324" s="107">
        <f>'Demande Format Medpro'!L311</f>
        <v>0</v>
      </c>
    </row>
    <row r="325" spans="1:12" x14ac:dyDescent="0.25">
      <c r="A325" s="106" t="s">
        <v>181</v>
      </c>
      <c r="B325" s="107">
        <f>'Demande Format Medpro'!B312</f>
        <v>0</v>
      </c>
      <c r="C325" s="107">
        <f>'Demande Format Medpro'!C312</f>
        <v>4.8300000000000003E-2</v>
      </c>
      <c r="D325" s="107">
        <f>'Demande Format Medpro'!D312</f>
        <v>5.4800000000000001E-2</v>
      </c>
      <c r="E325" s="107">
        <f>'Demande Format Medpro'!E312</f>
        <v>5.8599999999999999E-2</v>
      </c>
      <c r="F325" s="107">
        <f>'Demande Format Medpro'!F312</f>
        <v>6.2600000000000003E-2</v>
      </c>
      <c r="G325" s="107">
        <f>'Demande Format Medpro'!G312</f>
        <v>8.1600000000000006E-2</v>
      </c>
      <c r="H325" s="107">
        <f>'Demande Format Medpro'!H312</f>
        <v>0</v>
      </c>
      <c r="I325" s="107">
        <f>'Demande Format Medpro'!I312</f>
        <v>0</v>
      </c>
      <c r="J325" s="107">
        <f>'Demande Format Medpro'!J312</f>
        <v>0</v>
      </c>
      <c r="K325" s="107">
        <f>'Demande Format Medpro'!K312</f>
        <v>0</v>
      </c>
      <c r="L325" s="107">
        <f>'Demande Format Medpro'!L312</f>
        <v>0</v>
      </c>
    </row>
    <row r="326" spans="1:12" x14ac:dyDescent="0.25">
      <c r="A326" s="106" t="s">
        <v>109</v>
      </c>
      <c r="B326" s="107">
        <f>'Demande Format Medpro'!B313</f>
        <v>0</v>
      </c>
      <c r="C326" s="107">
        <f>'Demande Format Medpro'!C313</f>
        <v>0</v>
      </c>
      <c r="D326" s="107">
        <f>'Demande Format Medpro'!D313</f>
        <v>0</v>
      </c>
      <c r="E326" s="107">
        <f>'Demande Format Medpro'!E313</f>
        <v>0</v>
      </c>
      <c r="F326" s="107">
        <f>'Demande Format Medpro'!F313</f>
        <v>0</v>
      </c>
      <c r="G326" s="107">
        <f>'Demande Format Medpro'!G313</f>
        <v>0</v>
      </c>
      <c r="H326" s="107">
        <f>'Demande Format Medpro'!H313</f>
        <v>0</v>
      </c>
      <c r="I326" s="107">
        <f>'Demande Format Medpro'!I313</f>
        <v>0</v>
      </c>
      <c r="J326" s="107">
        <f>'Demande Format Medpro'!J313</f>
        <v>0</v>
      </c>
      <c r="K326" s="107">
        <f>'Demande Format Medpro'!K313</f>
        <v>0</v>
      </c>
      <c r="L326" s="107">
        <f>'Demande Format Medpro'!L313</f>
        <v>0</v>
      </c>
    </row>
    <row r="327" spans="1:12" x14ac:dyDescent="0.25">
      <c r="A327" s="106" t="s">
        <v>104</v>
      </c>
      <c r="B327" s="107">
        <f>'Demande Format Medpro'!B314</f>
        <v>0</v>
      </c>
      <c r="C327" s="107">
        <f>'Demande Format Medpro'!C314</f>
        <v>0</v>
      </c>
      <c r="D327" s="107">
        <f>'Demande Format Medpro'!D314</f>
        <v>0</v>
      </c>
      <c r="E327" s="107">
        <f>'Demande Format Medpro'!E314</f>
        <v>0</v>
      </c>
      <c r="F327" s="107">
        <f>'Demande Format Medpro'!F314</f>
        <v>0</v>
      </c>
      <c r="G327" s="107">
        <f>'Demande Format Medpro'!G314</f>
        <v>0</v>
      </c>
      <c r="H327" s="107">
        <f>'Demande Format Medpro'!H314</f>
        <v>0</v>
      </c>
      <c r="I327" s="107">
        <f>'Demande Format Medpro'!I314</f>
        <v>0</v>
      </c>
      <c r="J327" s="107">
        <f>'Demande Format Medpro'!J314</f>
        <v>0</v>
      </c>
      <c r="K327" s="107">
        <f>'Demande Format Medpro'!K314</f>
        <v>0</v>
      </c>
      <c r="L327" s="107">
        <f>'Demande Format Medpro'!L314</f>
        <v>0</v>
      </c>
    </row>
    <row r="328" spans="1:12" x14ac:dyDescent="0.25">
      <c r="A328" s="106"/>
      <c r="B328" s="107"/>
      <c r="C328" s="107"/>
      <c r="D328" s="107"/>
      <c r="E328" s="107"/>
      <c r="F328" s="107"/>
      <c r="G328" s="107"/>
      <c r="H328" s="107"/>
      <c r="I328" s="107"/>
      <c r="J328" s="107"/>
      <c r="K328" s="107"/>
      <c r="L328" s="107"/>
    </row>
    <row r="329" spans="1:12" x14ac:dyDescent="0.25">
      <c r="A329" s="153" t="s">
        <v>190</v>
      </c>
      <c r="B329" s="107">
        <f>'Demande Format Medpro'!B316</f>
        <v>0.67330000000000001</v>
      </c>
      <c r="C329" s="107">
        <f>'Demande Format Medpro'!C316</f>
        <v>0.92049999999999998</v>
      </c>
      <c r="D329" s="107">
        <f>'Demande Format Medpro'!D316</f>
        <v>1.0375000000000001</v>
      </c>
      <c r="E329" s="107">
        <f>'Demande Format Medpro'!E316</f>
        <v>1.0688</v>
      </c>
      <c r="F329" s="107">
        <f>'Demande Format Medpro'!F316</f>
        <v>1.1034999999999999</v>
      </c>
      <c r="G329" s="107">
        <f>'Demande Format Medpro'!G316</f>
        <v>1.2153</v>
      </c>
      <c r="H329" s="107">
        <f>'Demande Format Medpro'!H316</f>
        <v>2.1067246457709299E-2</v>
      </c>
      <c r="I329" s="107">
        <f>'Demande Format Medpro'!I316</f>
        <v>2.4219081269583699E-2</v>
      </c>
      <c r="J329" s="107">
        <f>'Demande Format Medpro'!J316</f>
        <v>5.9622137983643703E-3</v>
      </c>
      <c r="K329" s="107">
        <f>'Demande Format Medpro'!K316</f>
        <v>6.4105447308451203E-3</v>
      </c>
      <c r="L329" s="107">
        <f>'Demande Format Medpro'!L316</f>
        <v>4.8368606861448598E-3</v>
      </c>
    </row>
    <row r="330" spans="1:12" x14ac:dyDescent="0.25">
      <c r="A330" s="106" t="s">
        <v>177</v>
      </c>
      <c r="B330" s="107">
        <f>'Demande Format Medpro'!B317</f>
        <v>0</v>
      </c>
      <c r="C330" s="107">
        <f>'Demande Format Medpro'!C317</f>
        <v>0</v>
      </c>
      <c r="D330" s="107">
        <f>'Demande Format Medpro'!D317</f>
        <v>0</v>
      </c>
      <c r="E330" s="107">
        <f>'Demande Format Medpro'!E317</f>
        <v>0</v>
      </c>
      <c r="F330" s="107">
        <f>'Demande Format Medpro'!F317</f>
        <v>0</v>
      </c>
      <c r="G330" s="107">
        <f>'Demande Format Medpro'!G317</f>
        <v>0</v>
      </c>
      <c r="H330" s="107">
        <f>'Demande Format Medpro'!H317</f>
        <v>0</v>
      </c>
      <c r="I330" s="107">
        <f>'Demande Format Medpro'!I317</f>
        <v>0</v>
      </c>
      <c r="J330" s="107">
        <f>'Demande Format Medpro'!J317</f>
        <v>0</v>
      </c>
      <c r="K330" s="107">
        <f>'Demande Format Medpro'!K317</f>
        <v>0</v>
      </c>
      <c r="L330" s="107">
        <f>'Demande Format Medpro'!L317</f>
        <v>0</v>
      </c>
    </row>
    <row r="331" spans="1:12" x14ac:dyDescent="0.25">
      <c r="A331" s="106" t="s">
        <v>178</v>
      </c>
      <c r="B331" s="107">
        <f>'Demande Format Medpro'!B318</f>
        <v>0.67330000000000001</v>
      </c>
      <c r="C331" s="107">
        <f>'Demande Format Medpro'!C318</f>
        <v>0.89359999999999995</v>
      </c>
      <c r="D331" s="107">
        <f>'Demande Format Medpro'!D318</f>
        <v>1.0059</v>
      </c>
      <c r="E331" s="107">
        <f>'Demande Format Medpro'!E318</f>
        <v>1.0355000000000001</v>
      </c>
      <c r="F331" s="107">
        <f>'Demande Format Medpro'!F318</f>
        <v>1.0686</v>
      </c>
      <c r="G331" s="107">
        <f>'Demande Format Medpro'!G318</f>
        <v>1.1754</v>
      </c>
      <c r="H331" s="107">
        <f>'Demande Format Medpro'!H318</f>
        <v>1.90503356717273E-2</v>
      </c>
      <c r="I331" s="107">
        <f>'Demande Format Medpro'!I318</f>
        <v>2.3958438997417501E-2</v>
      </c>
      <c r="J331" s="107">
        <f>'Demande Format Medpro'!J318</f>
        <v>5.8172023277505199E-3</v>
      </c>
      <c r="K331" s="107">
        <f>'Demande Format Medpro'!K318</f>
        <v>6.3128382363661899E-3</v>
      </c>
      <c r="L331" s="107">
        <f>'Demande Format Medpro'!L318</f>
        <v>4.7743176411731997E-3</v>
      </c>
    </row>
    <row r="332" spans="1:12" x14ac:dyDescent="0.25">
      <c r="A332" s="106" t="s">
        <v>180</v>
      </c>
      <c r="B332" s="107">
        <f>'Demande Format Medpro'!B319</f>
        <v>0</v>
      </c>
      <c r="C332" s="107">
        <f>'Demande Format Medpro'!C319</f>
        <v>0</v>
      </c>
      <c r="D332" s="107">
        <f>'Demande Format Medpro'!D319</f>
        <v>0</v>
      </c>
      <c r="E332" s="107">
        <f>'Demande Format Medpro'!E319</f>
        <v>0</v>
      </c>
      <c r="F332" s="107">
        <f>'Demande Format Medpro'!F319</f>
        <v>0</v>
      </c>
      <c r="G332" s="107">
        <f>'Demande Format Medpro'!G319</f>
        <v>0</v>
      </c>
      <c r="H332" s="107">
        <f>'Demande Format Medpro'!H319</f>
        <v>0</v>
      </c>
      <c r="I332" s="107">
        <f>'Demande Format Medpro'!I319</f>
        <v>0</v>
      </c>
      <c r="J332" s="107">
        <f>'Demande Format Medpro'!J319</f>
        <v>0</v>
      </c>
      <c r="K332" s="107">
        <f>'Demande Format Medpro'!K319</f>
        <v>0</v>
      </c>
      <c r="L332" s="107">
        <f>'Demande Format Medpro'!L319</f>
        <v>0</v>
      </c>
    </row>
    <row r="333" spans="1:12" x14ac:dyDescent="0.25">
      <c r="A333" s="106" t="s">
        <v>181</v>
      </c>
      <c r="B333" s="107">
        <f>'Demande Format Medpro'!B320</f>
        <v>0</v>
      </c>
      <c r="C333" s="107">
        <f>'Demande Format Medpro'!C320</f>
        <v>2.69E-2</v>
      </c>
      <c r="D333" s="107">
        <f>'Demande Format Medpro'!D320</f>
        <v>3.1600000000000003E-2</v>
      </c>
      <c r="E333" s="107">
        <f>'Demande Format Medpro'!E320</f>
        <v>3.3300000000000003E-2</v>
      </c>
      <c r="F333" s="107">
        <f>'Demande Format Medpro'!F320</f>
        <v>3.49E-2</v>
      </c>
      <c r="G333" s="107">
        <f>'Demande Format Medpro'!G320</f>
        <v>3.9899999999999998E-2</v>
      </c>
      <c r="H333" s="107">
        <f>'Demande Format Medpro'!H320</f>
        <v>0</v>
      </c>
      <c r="I333" s="107">
        <f>'Demande Format Medpro'!I320</f>
        <v>3.2730398077005098E-2</v>
      </c>
      <c r="J333" s="107">
        <f>'Demande Format Medpro'!J320</f>
        <v>1.05351634018422E-2</v>
      </c>
      <c r="K333" s="107">
        <f>'Demande Format Medpro'!K320</f>
        <v>9.4300720086064604E-3</v>
      </c>
      <c r="L333" s="107">
        <f>'Demande Format Medpro'!L320</f>
        <v>6.7169328174092602E-3</v>
      </c>
    </row>
    <row r="334" spans="1:12" x14ac:dyDescent="0.25">
      <c r="A334" s="106" t="s">
        <v>109</v>
      </c>
      <c r="B334" s="107">
        <f>'Demande Format Medpro'!B321</f>
        <v>0</v>
      </c>
      <c r="C334" s="107">
        <f>'Demande Format Medpro'!C321</f>
        <v>0</v>
      </c>
      <c r="D334" s="107">
        <f>'Demande Format Medpro'!D321</f>
        <v>0</v>
      </c>
      <c r="E334" s="107">
        <f>'Demande Format Medpro'!E321</f>
        <v>0</v>
      </c>
      <c r="F334" s="107">
        <f>'Demande Format Medpro'!F321</f>
        <v>0</v>
      </c>
      <c r="G334" s="107">
        <f>'Demande Format Medpro'!G321</f>
        <v>0</v>
      </c>
      <c r="H334" s="107">
        <f>'Demande Format Medpro'!H321</f>
        <v>0</v>
      </c>
      <c r="I334" s="107">
        <f>'Demande Format Medpro'!I321</f>
        <v>0</v>
      </c>
      <c r="J334" s="107">
        <f>'Demande Format Medpro'!J321</f>
        <v>0</v>
      </c>
      <c r="K334" s="107">
        <f>'Demande Format Medpro'!K321</f>
        <v>0</v>
      </c>
      <c r="L334" s="107">
        <f>'Demande Format Medpro'!L321</f>
        <v>0</v>
      </c>
    </row>
    <row r="335" spans="1:12" x14ac:dyDescent="0.25">
      <c r="A335" s="106" t="s">
        <v>104</v>
      </c>
      <c r="B335" s="107">
        <f>'Demande Format Medpro'!B322</f>
        <v>0</v>
      </c>
      <c r="C335" s="107">
        <f>'Demande Format Medpro'!C322</f>
        <v>0</v>
      </c>
      <c r="D335" s="107">
        <f>'Demande Format Medpro'!D322</f>
        <v>0</v>
      </c>
      <c r="E335" s="107">
        <f>'Demande Format Medpro'!E322</f>
        <v>0</v>
      </c>
      <c r="F335" s="107">
        <f>'Demande Format Medpro'!F322</f>
        <v>0</v>
      </c>
      <c r="G335" s="107">
        <f>'Demande Format Medpro'!G322</f>
        <v>0</v>
      </c>
      <c r="H335" s="107">
        <f>'Demande Format Medpro'!H322</f>
        <v>0</v>
      </c>
      <c r="I335" s="107">
        <f>'Demande Format Medpro'!I322</f>
        <v>0</v>
      </c>
      <c r="J335" s="107">
        <f>'Demande Format Medpro'!J322</f>
        <v>0</v>
      </c>
      <c r="K335" s="107">
        <f>'Demande Format Medpro'!K322</f>
        <v>0</v>
      </c>
      <c r="L335" s="107">
        <f>'Demande Format Medpro'!L322</f>
        <v>0</v>
      </c>
    </row>
    <row r="336" spans="1:12" x14ac:dyDescent="0.25">
      <c r="A336" s="106"/>
      <c r="B336" s="107"/>
      <c r="C336" s="107"/>
      <c r="D336" s="107"/>
      <c r="E336" s="107"/>
      <c r="F336" s="107"/>
      <c r="G336" s="107"/>
      <c r="H336" s="107"/>
      <c r="I336" s="107"/>
      <c r="J336" s="107"/>
      <c r="K336" s="107"/>
      <c r="L336" s="107"/>
    </row>
    <row r="337" spans="1:12" x14ac:dyDescent="0.25">
      <c r="A337" s="153" t="s">
        <v>191</v>
      </c>
      <c r="B337" s="149">
        <f>'Demande Format Medpro'!B324</f>
        <v>0.34300000000000003</v>
      </c>
      <c r="C337" s="149">
        <f>'Demande Format Medpro'!C324</f>
        <v>0.56530000000000102</v>
      </c>
      <c r="D337" s="149">
        <f>'Demande Format Medpro'!D324</f>
        <v>0.57449999999999701</v>
      </c>
      <c r="E337" s="149">
        <f>'Demande Format Medpro'!E324</f>
        <v>0.586600000000008</v>
      </c>
      <c r="F337" s="149">
        <f>'Demande Format Medpro'!F324</f>
        <v>0.60300000000000198</v>
      </c>
      <c r="G337" s="149">
        <f>'Demande Format Medpro'!G324</f>
        <v>0.70489999999998798</v>
      </c>
      <c r="H337" s="149">
        <f>'Demande Format Medpro'!H324</f>
        <v>3.3869343414219398E-2</v>
      </c>
      <c r="I337" s="149">
        <f>'Demande Format Medpro'!I324</f>
        <v>3.2339246092236702E-3</v>
      </c>
      <c r="J337" s="149">
        <f>'Demande Format Medpro'!J324</f>
        <v>4.1773125991064796E-3</v>
      </c>
      <c r="K337" s="149">
        <f>'Demande Format Medpro'!K324</f>
        <v>5.5300425829301102E-3</v>
      </c>
      <c r="L337" s="149">
        <f>'Demande Format Medpro'!L324</f>
        <v>7.83749119824728E-3</v>
      </c>
    </row>
    <row r="338" spans="1:12" x14ac:dyDescent="0.25">
      <c r="A338" s="106" t="s">
        <v>192</v>
      </c>
      <c r="B338" s="149">
        <v>0.342999993</v>
      </c>
      <c r="C338" s="149">
        <v>0.56526773749949999</v>
      </c>
      <c r="D338" s="149">
        <v>0.48451520357100597</v>
      </c>
      <c r="E338" s="149">
        <v>0.40376266964250501</v>
      </c>
      <c r="F338" s="149">
        <v>0.323010135714004</v>
      </c>
      <c r="G338" s="149">
        <v>0</v>
      </c>
      <c r="H338" s="123"/>
      <c r="I338" s="124"/>
      <c r="J338" s="124"/>
      <c r="K338" s="124"/>
      <c r="L338" s="125"/>
    </row>
    <row r="339" spans="1:12" x14ac:dyDescent="0.25">
      <c r="A339" s="106" t="s">
        <v>104</v>
      </c>
      <c r="B339" s="149">
        <v>0</v>
      </c>
      <c r="C339" s="149">
        <v>0</v>
      </c>
      <c r="D339" s="149">
        <v>4.1259554716964186E-2</v>
      </c>
      <c r="E339" s="149">
        <v>8.2519109433928262E-2</v>
      </c>
      <c r="F339" s="149">
        <v>0.12377866415089239</v>
      </c>
      <c r="G339" s="149">
        <v>0.28881688301874892</v>
      </c>
      <c r="H339" s="123"/>
      <c r="I339" s="124"/>
      <c r="J339" s="124"/>
      <c r="K339" s="124"/>
      <c r="L339" s="125"/>
    </row>
    <row r="340" spans="1:12" x14ac:dyDescent="0.25">
      <c r="A340" s="106"/>
      <c r="B340" s="107"/>
      <c r="C340" s="107"/>
      <c r="D340" s="107"/>
      <c r="E340" s="107"/>
      <c r="F340" s="107"/>
      <c r="G340" s="143"/>
      <c r="H340" s="123"/>
      <c r="I340" s="124"/>
      <c r="J340" s="124"/>
      <c r="K340" s="124"/>
      <c r="L340" s="125"/>
    </row>
    <row r="341" spans="1:12" ht="15.75" thickBot="1" x14ac:dyDescent="0.3">
      <c r="A341" s="141" t="s">
        <v>193</v>
      </c>
      <c r="B341" s="131">
        <f>'Demande Format Medpro'!B326</f>
        <v>39.905799999999999</v>
      </c>
      <c r="C341" s="131">
        <f>'Demande Format Medpro'!C326</f>
        <v>39.588700000000003</v>
      </c>
      <c r="D341" s="131">
        <f>'Demande Format Medpro'!D326</f>
        <v>39.209800000000001</v>
      </c>
      <c r="E341" s="131">
        <f>'Demande Format Medpro'!E326</f>
        <v>38.1265</v>
      </c>
      <c r="F341" s="131">
        <f>'Demande Format Medpro'!F326</f>
        <v>37.241999999999997</v>
      </c>
      <c r="G341" s="131">
        <f>'Demande Format Medpro'!G326</f>
        <v>37.095799999999997</v>
      </c>
      <c r="H341" s="131">
        <f>'Demande Format Medpro'!H326</f>
        <v>-5.3172210141172504E-4</v>
      </c>
      <c r="I341" s="131">
        <f>'Demande Format Medpro'!I326</f>
        <v>-1.9215531388057101E-3</v>
      </c>
      <c r="J341" s="131">
        <f>'Demande Format Medpro'!J326</f>
        <v>-5.5877575097548196E-3</v>
      </c>
      <c r="K341" s="131">
        <f>'Demande Format Medpro'!K326</f>
        <v>-4.6834824823716002E-3</v>
      </c>
      <c r="L341" s="131">
        <f>'Demande Format Medpro'!L326</f>
        <v>-1.9665071180397E-4</v>
      </c>
    </row>
    <row r="342" spans="1:12" x14ac:dyDescent="0.25">
      <c r="A342" s="111"/>
      <c r="B342" s="161"/>
      <c r="C342" s="98"/>
      <c r="D342" s="98"/>
      <c r="E342" s="98"/>
    </row>
    <row r="343" spans="1:12" x14ac:dyDescent="0.25">
      <c r="A343" s="139"/>
      <c r="B343" s="161"/>
      <c r="C343" s="98"/>
      <c r="D343" s="98"/>
      <c r="E343" s="98"/>
    </row>
    <row r="344" spans="1:12" ht="16.5" thickBot="1" x14ac:dyDescent="0.3">
      <c r="A344" s="59" t="s">
        <v>194</v>
      </c>
      <c r="B344" s="162"/>
      <c r="C344" s="53"/>
      <c r="D344" s="53"/>
      <c r="E344" s="53"/>
      <c r="F344" s="53"/>
      <c r="G344" s="53"/>
      <c r="H344" s="53"/>
      <c r="I344" s="53"/>
      <c r="J344" s="53"/>
      <c r="K344" s="53"/>
      <c r="L344" s="53"/>
    </row>
    <row r="345" spans="1:12" ht="15.75" thickBot="1" x14ac:dyDescent="0.3">
      <c r="A345" s="104"/>
      <c r="B345" s="372">
        <v>2000</v>
      </c>
      <c r="C345" s="372">
        <v>2015</v>
      </c>
      <c r="D345" s="105">
        <v>2020</v>
      </c>
      <c r="E345" s="105">
        <v>2025</v>
      </c>
      <c r="F345" s="105">
        <v>2030</v>
      </c>
      <c r="G345" s="105">
        <v>2050</v>
      </c>
      <c r="H345" s="113" t="s">
        <v>98</v>
      </c>
      <c r="I345" s="114" t="s">
        <v>99</v>
      </c>
      <c r="J345" s="114" t="s">
        <v>100</v>
      </c>
      <c r="K345" s="114" t="s">
        <v>101</v>
      </c>
      <c r="L345" s="115" t="s">
        <v>102</v>
      </c>
    </row>
    <row r="346" spans="1:12" x14ac:dyDescent="0.25">
      <c r="A346" s="399" t="s">
        <v>195</v>
      </c>
      <c r="B346" s="402">
        <f>'Demande Format Medpro'!B331</f>
        <v>29.760999999999999</v>
      </c>
      <c r="C346" s="401">
        <f>'Demande Format Medpro'!C331</f>
        <v>34.182400000000001</v>
      </c>
      <c r="D346" s="402">
        <f>'Demande Format Medpro'!D331</f>
        <v>34.690399999999997</v>
      </c>
      <c r="E346" s="401">
        <f>'Demande Format Medpro'!E331</f>
        <v>35.603400000000001</v>
      </c>
      <c r="F346" s="402">
        <f>'Demande Format Medpro'!F331</f>
        <v>36.435899999999997</v>
      </c>
      <c r="G346" s="401">
        <f>'Demande Format Medpro'!G331</f>
        <v>41.278700000000001</v>
      </c>
      <c r="H346" s="402">
        <f>'Demande Format Medpro'!H331</f>
        <v>9.2769048716843105E-3</v>
      </c>
      <c r="I346" s="401">
        <f>'Demande Format Medpro'!I331</f>
        <v>2.9547767512230201E-3</v>
      </c>
      <c r="J346" s="402">
        <f>'Demande Format Medpro'!J331</f>
        <v>5.2091501487479003E-3</v>
      </c>
      <c r="K346" s="401">
        <f>'Demande Format Medpro'!K331</f>
        <v>4.6333837654495297E-3</v>
      </c>
      <c r="L346" s="402">
        <f>'Demande Format Medpro'!L331</f>
        <v>6.2591106828908697E-3</v>
      </c>
    </row>
    <row r="347" spans="1:12" ht="15.75" thickBot="1" x14ac:dyDescent="0.3">
      <c r="A347" s="374" t="s">
        <v>196</v>
      </c>
      <c r="B347" s="403">
        <f>'Demande Format Medpro'!B332</f>
        <v>2.4457795079418001E-2</v>
      </c>
      <c r="C347" s="400">
        <f>'Demande Format Medpro'!C332</f>
        <v>2.01432401822897E-2</v>
      </c>
      <c r="D347" s="403">
        <f>'Demande Format Medpro'!D332</f>
        <v>1.84394466794023E-2</v>
      </c>
      <c r="E347" s="400">
        <f>'Demande Format Medpro'!E332</f>
        <v>1.68723959199223E-2</v>
      </c>
      <c r="F347" s="403">
        <f>'Demande Format Medpro'!F332</f>
        <v>1.54465057840343E-2</v>
      </c>
      <c r="G347" s="400">
        <f>'Demande Format Medpro'!G332</f>
        <v>1.11843074702006E-2</v>
      </c>
      <c r="H347" s="403">
        <f>'Demande Format Medpro'!H332</f>
        <v>-1.28553367686193E-2</v>
      </c>
      <c r="I347" s="400">
        <f>'Demande Format Medpro'!I332</f>
        <v>-1.7520017241700801E-2</v>
      </c>
      <c r="J347" s="403">
        <f>'Demande Format Medpro'!J332</f>
        <v>-1.7605834298643801E-2</v>
      </c>
      <c r="K347" s="400">
        <f>'Demande Format Medpro'!K332</f>
        <v>-1.75042086046443E-2</v>
      </c>
      <c r="L347" s="403">
        <f>'Demande Format Medpro'!L332</f>
        <v>-1.6013948063625699E-2</v>
      </c>
    </row>
    <row r="348" spans="1:12" x14ac:dyDescent="0.25">
      <c r="A348" s="139"/>
      <c r="B348" s="161"/>
      <c r="C348" s="98"/>
      <c r="D348" s="98"/>
      <c r="E348" s="98"/>
    </row>
    <row r="349" spans="1:12" ht="15.75" x14ac:dyDescent="0.25">
      <c r="A349" s="164"/>
    </row>
    <row r="350" spans="1:12" ht="21" x14ac:dyDescent="0.35">
      <c r="A350" s="52" t="s">
        <v>197</v>
      </c>
      <c r="B350" s="47"/>
      <c r="C350" s="47"/>
      <c r="D350" s="47"/>
      <c r="E350" s="47"/>
      <c r="F350" s="47"/>
      <c r="G350" s="140"/>
      <c r="H350" s="140"/>
      <c r="I350" s="140"/>
      <c r="J350" s="140"/>
      <c r="K350" s="140"/>
      <c r="L350" s="140"/>
    </row>
    <row r="351" spans="1:12" x14ac:dyDescent="0.25">
      <c r="F351" s="97"/>
    </row>
    <row r="352" spans="1:12" ht="16.5" thickBot="1" x14ac:dyDescent="0.3">
      <c r="A352" s="59" t="s">
        <v>198</v>
      </c>
      <c r="B352" s="53"/>
      <c r="C352" s="53"/>
      <c r="D352" s="53"/>
      <c r="E352" s="53"/>
      <c r="F352" s="53"/>
      <c r="G352" s="53"/>
      <c r="H352" s="53"/>
      <c r="I352" s="53"/>
      <c r="J352" s="53"/>
      <c r="K352" s="53"/>
      <c r="L352" s="53"/>
    </row>
    <row r="353" spans="1:12" ht="15.75" thickBot="1" x14ac:dyDescent="0.3">
      <c r="A353" s="137" t="s">
        <v>51</v>
      </c>
      <c r="B353" s="105">
        <v>2000</v>
      </c>
      <c r="C353" s="105">
        <v>2015</v>
      </c>
      <c r="D353" s="105">
        <v>2020</v>
      </c>
      <c r="E353" s="105">
        <v>2025</v>
      </c>
      <c r="F353" s="105">
        <v>2030</v>
      </c>
      <c r="G353" s="105">
        <v>2050</v>
      </c>
      <c r="H353" s="113" t="s">
        <v>98</v>
      </c>
      <c r="I353" s="114" t="s">
        <v>99</v>
      </c>
      <c r="J353" s="114" t="s">
        <v>100</v>
      </c>
      <c r="K353" s="114" t="s">
        <v>101</v>
      </c>
      <c r="L353" s="115" t="s">
        <v>102</v>
      </c>
    </row>
    <row r="354" spans="1:12" x14ac:dyDescent="0.25">
      <c r="A354" s="106" t="s">
        <v>103</v>
      </c>
      <c r="B354" s="121">
        <f>'Demande Format Medpro'!B339</f>
        <v>3.48</v>
      </c>
      <c r="C354" s="121">
        <f>'Demande Format Medpro'!C339</f>
        <v>3.32</v>
      </c>
      <c r="D354" s="121">
        <f>'Demande Format Medpro'!D339</f>
        <v>3.2403790892055202</v>
      </c>
      <c r="E354" s="121">
        <f>'Demande Format Medpro'!E339</f>
        <v>3.1480557957396398</v>
      </c>
      <c r="F354" s="121">
        <f>'Demande Format Medpro'!F339</f>
        <v>3.0575434296915498</v>
      </c>
      <c r="G354" s="121">
        <f>'Demande Format Medpro'!G339</f>
        <v>2.7373456688112698</v>
      </c>
      <c r="H354" s="121">
        <f>'Demande Format Medpro'!H339</f>
        <v>-3.1329162010640399E-3</v>
      </c>
      <c r="I354" s="121">
        <f>'Demande Format Medpro'!I339</f>
        <v>-4.8431254885559199E-3</v>
      </c>
      <c r="J354" s="121">
        <f>'Demande Format Medpro'!J339</f>
        <v>-5.7643761037503597E-3</v>
      </c>
      <c r="K354" s="121">
        <f>'Demande Format Medpro'!K339</f>
        <v>-5.8176638310959402E-3</v>
      </c>
      <c r="L354" s="121">
        <f>'Demande Format Medpro'!L339</f>
        <v>-5.5158851293937196E-3</v>
      </c>
    </row>
    <row r="355" spans="1:12" x14ac:dyDescent="0.25">
      <c r="A355" s="106" t="s">
        <v>54</v>
      </c>
      <c r="B355" s="121">
        <f>'Demande Format Medpro'!B340</f>
        <v>0.29509000000000002</v>
      </c>
      <c r="C355" s="121">
        <f>'Demande Format Medpro'!C340</f>
        <v>0.28999999999999998</v>
      </c>
      <c r="D355" s="121">
        <f>'Demande Format Medpro'!D340</f>
        <v>0.28932774170376402</v>
      </c>
      <c r="E355" s="121">
        <f>'Demande Format Medpro'!E340</f>
        <v>0.28766042012747101</v>
      </c>
      <c r="F355" s="121">
        <f>'Demande Format Medpro'!F340</f>
        <v>0.28593442316422701</v>
      </c>
      <c r="G355" s="121">
        <f>'Demande Format Medpro'!G340</f>
        <v>0.27632213168832598</v>
      </c>
      <c r="H355" s="121">
        <f>'Demande Format Medpro'!H340</f>
        <v>-1.1592922726594301E-3</v>
      </c>
      <c r="I355" s="121">
        <f>'Demande Format Medpro'!I340</f>
        <v>-4.6405690900497298E-4</v>
      </c>
      <c r="J355" s="121">
        <f>'Demande Format Medpro'!J340</f>
        <v>-1.15521466960655E-3</v>
      </c>
      <c r="K355" s="121">
        <f>'Demande Format Medpro'!K340</f>
        <v>-1.20291447393783E-3</v>
      </c>
      <c r="L355" s="121">
        <f>'Demande Format Medpro'!L340</f>
        <v>-1.7082974939792699E-3</v>
      </c>
    </row>
    <row r="356" spans="1:12" x14ac:dyDescent="0.25">
      <c r="A356" s="106" t="s">
        <v>42</v>
      </c>
      <c r="B356" s="121">
        <f>'Demande Format Medpro'!B341</f>
        <v>0</v>
      </c>
      <c r="C356" s="121">
        <f>'Demande Format Medpro'!C341</f>
        <v>0</v>
      </c>
      <c r="D356" s="121">
        <f>'Demande Format Medpro'!D341</f>
        <v>0</v>
      </c>
      <c r="E356" s="121">
        <f>'Demande Format Medpro'!E341</f>
        <v>0</v>
      </c>
      <c r="F356" s="121">
        <f>'Demande Format Medpro'!F341</f>
        <v>0</v>
      </c>
      <c r="G356" s="121">
        <f>'Demande Format Medpro'!G341</f>
        <v>0</v>
      </c>
      <c r="H356" s="121">
        <f>'Demande Format Medpro'!H341</f>
        <v>0</v>
      </c>
      <c r="I356" s="121">
        <f>'Demande Format Medpro'!I341</f>
        <v>0</v>
      </c>
      <c r="J356" s="121">
        <f>'Demande Format Medpro'!J341</f>
        <v>0</v>
      </c>
      <c r="K356" s="121">
        <f>'Demande Format Medpro'!K341</f>
        <v>0</v>
      </c>
      <c r="L356" s="121">
        <f>'Demande Format Medpro'!L341</f>
        <v>0</v>
      </c>
    </row>
    <row r="357" spans="1:12" x14ac:dyDescent="0.25">
      <c r="A357" s="106" t="s">
        <v>104</v>
      </c>
      <c r="B357" s="121">
        <f>'Demande Format Medpro'!B342</f>
        <v>0.51178999999999997</v>
      </c>
      <c r="C357" s="121">
        <f>'Demande Format Medpro'!C342</f>
        <v>0.7</v>
      </c>
      <c r="D357" s="121">
        <f>'Demande Format Medpro'!D342</f>
        <v>0.67672325485005003</v>
      </c>
      <c r="E357" s="121">
        <f>'Demande Format Medpro'!E342</f>
        <v>0.655302823772964</v>
      </c>
      <c r="F357" s="121">
        <f>'Demande Format Medpro'!F342</f>
        <v>0.63033074879441797</v>
      </c>
      <c r="G357" s="121">
        <f>'Demande Format Medpro'!G342</f>
        <v>0.54480189739640505</v>
      </c>
      <c r="H357" s="121">
        <f>'Demande Format Medpro'!H342</f>
        <v>2.1097194477189801E-2</v>
      </c>
      <c r="I357" s="121">
        <f>'Demande Format Medpro'!I342</f>
        <v>-6.7407638997093499E-3</v>
      </c>
      <c r="J357" s="121">
        <f>'Demande Format Medpro'!J342</f>
        <v>-6.4123431274779596E-3</v>
      </c>
      <c r="K357" s="121">
        <f>'Demande Format Medpro'!K342</f>
        <v>-7.7404423762908996E-3</v>
      </c>
      <c r="L357" s="121">
        <f>'Demande Format Medpro'!L342</f>
        <v>-7.2646063585369803E-3</v>
      </c>
    </row>
    <row r="358" spans="1:12" x14ac:dyDescent="0.25">
      <c r="A358" s="106" t="s">
        <v>105</v>
      </c>
      <c r="B358" s="121">
        <f>'Demande Format Medpro'!B343</f>
        <v>0</v>
      </c>
      <c r="C358" s="121">
        <f>'Demande Format Medpro'!C343</f>
        <v>0</v>
      </c>
      <c r="D358" s="121">
        <f>'Demande Format Medpro'!D343</f>
        <v>0</v>
      </c>
      <c r="E358" s="121">
        <f>'Demande Format Medpro'!E343</f>
        <v>0</v>
      </c>
      <c r="F358" s="121">
        <f>'Demande Format Medpro'!F343</f>
        <v>0</v>
      </c>
      <c r="G358" s="121">
        <f>'Demande Format Medpro'!G343</f>
        <v>0</v>
      </c>
      <c r="H358" s="121">
        <f>'Demande Format Medpro'!H343</f>
        <v>0</v>
      </c>
      <c r="I358" s="121">
        <f>'Demande Format Medpro'!I343</f>
        <v>0</v>
      </c>
      <c r="J358" s="121">
        <f>'Demande Format Medpro'!J343</f>
        <v>0</v>
      </c>
      <c r="K358" s="121">
        <f>'Demande Format Medpro'!K343</f>
        <v>0</v>
      </c>
      <c r="L358" s="121">
        <f>'Demande Format Medpro'!L343</f>
        <v>0</v>
      </c>
    </row>
    <row r="359" spans="1:12" x14ac:dyDescent="0.25">
      <c r="A359" s="106" t="s">
        <v>134</v>
      </c>
      <c r="B359" s="121">
        <f>'Demande Format Medpro'!B344</f>
        <v>7.0879999999999999E-2</v>
      </c>
      <c r="C359" s="121">
        <f>'Demande Format Medpro'!C344</f>
        <v>0.15</v>
      </c>
      <c r="D359" s="121">
        <f>'Demande Format Medpro'!D344</f>
        <v>0.15</v>
      </c>
      <c r="E359" s="121">
        <f>'Demande Format Medpro'!E344</f>
        <v>0.15</v>
      </c>
      <c r="F359" s="121">
        <f>'Demande Format Medpro'!F344</f>
        <v>0.15</v>
      </c>
      <c r="G359" s="121">
        <f>'Demande Format Medpro'!G344</f>
        <v>0.15</v>
      </c>
      <c r="H359" s="121">
        <f>'Demande Format Medpro'!H344</f>
        <v>5.1246355898939798E-2</v>
      </c>
      <c r="I359" s="121">
        <f>'Demande Format Medpro'!I344</f>
        <v>0</v>
      </c>
      <c r="J359" s="121">
        <f>'Demande Format Medpro'!J344</f>
        <v>0</v>
      </c>
      <c r="K359" s="121">
        <f>'Demande Format Medpro'!K344</f>
        <v>0</v>
      </c>
      <c r="L359" s="121">
        <f>'Demande Format Medpro'!L344</f>
        <v>0</v>
      </c>
    </row>
    <row r="360" spans="1:12" x14ac:dyDescent="0.25">
      <c r="A360" s="106" t="s">
        <v>136</v>
      </c>
      <c r="B360" s="121">
        <v>0</v>
      </c>
      <c r="C360" s="121">
        <v>0</v>
      </c>
      <c r="D360" s="121">
        <v>0</v>
      </c>
      <c r="E360" s="121">
        <v>0</v>
      </c>
      <c r="F360" s="121">
        <v>0</v>
      </c>
      <c r="G360" s="121">
        <v>0</v>
      </c>
      <c r="H360" s="121"/>
      <c r="I360" s="121"/>
      <c r="J360" s="121"/>
      <c r="K360" s="121"/>
      <c r="L360" s="121"/>
    </row>
    <row r="361" spans="1:12" x14ac:dyDescent="0.25">
      <c r="A361" s="106"/>
      <c r="B361" s="107"/>
      <c r="C361" s="107"/>
      <c r="D361" s="107"/>
      <c r="E361" s="107"/>
      <c r="F361" s="107"/>
      <c r="G361" s="107"/>
      <c r="H361" s="107"/>
      <c r="I361" s="107"/>
      <c r="J361" s="107"/>
      <c r="K361" s="107"/>
      <c r="L361" s="107"/>
    </row>
    <row r="362" spans="1:12" ht="15.75" thickBot="1" x14ac:dyDescent="0.3">
      <c r="A362" s="109" t="s">
        <v>10</v>
      </c>
      <c r="B362" s="131">
        <f>SUM(B354:B360)</f>
        <v>4.3577599999999999</v>
      </c>
      <c r="C362" s="131">
        <f t="shared" ref="C362:L362" si="3">SUM(C354:C360)</f>
        <v>4.46</v>
      </c>
      <c r="D362" s="131">
        <f t="shared" si="3"/>
        <v>4.3564300857593343</v>
      </c>
      <c r="E362" s="131">
        <f t="shared" si="3"/>
        <v>4.2410190396400749</v>
      </c>
      <c r="F362" s="131">
        <f t="shared" si="3"/>
        <v>4.1238086016501949</v>
      </c>
      <c r="G362" s="131">
        <f t="shared" si="3"/>
        <v>3.708469697896001</v>
      </c>
      <c r="H362" s="131">
        <f t="shared" si="3"/>
        <v>6.8051341902406137E-2</v>
      </c>
      <c r="I362" s="131">
        <f t="shared" si="3"/>
        <v>-1.2047946297270243E-2</v>
      </c>
      <c r="J362" s="131">
        <f t="shared" si="3"/>
        <v>-1.3331933900834869E-2</v>
      </c>
      <c r="K362" s="131">
        <f t="shared" si="3"/>
        <v>-1.476102068132467E-2</v>
      </c>
      <c r="L362" s="131">
        <f t="shared" si="3"/>
        <v>-1.4488788981909969E-2</v>
      </c>
    </row>
    <row r="363" spans="1:12" ht="15.75" x14ac:dyDescent="0.25">
      <c r="A363" s="164"/>
    </row>
    <row r="364" spans="1:12" ht="15.75" x14ac:dyDescent="0.25">
      <c r="A364" s="164"/>
    </row>
    <row r="365" spans="1:12" ht="21" x14ac:dyDescent="0.35">
      <c r="A365" s="52" t="s">
        <v>199</v>
      </c>
      <c r="B365" s="47"/>
      <c r="C365" s="47"/>
      <c r="D365" s="47"/>
      <c r="E365" s="47"/>
      <c r="F365" s="47"/>
      <c r="G365" s="140"/>
      <c r="H365" s="140"/>
      <c r="I365" s="140"/>
      <c r="J365" s="140"/>
      <c r="K365" s="140"/>
      <c r="L365" s="140"/>
    </row>
    <row r="366" spans="1:12" x14ac:dyDescent="0.25">
      <c r="F366" s="97"/>
    </row>
    <row r="367" spans="1:12" ht="16.5" thickBot="1" x14ac:dyDescent="0.3">
      <c r="A367" s="59" t="s">
        <v>200</v>
      </c>
      <c r="B367" s="53"/>
      <c r="C367" s="53"/>
      <c r="D367" s="53"/>
      <c r="E367" s="53"/>
      <c r="F367" s="53"/>
      <c r="G367" s="53"/>
      <c r="H367" s="53"/>
      <c r="I367" s="53"/>
      <c r="J367" s="53"/>
      <c r="K367" s="53"/>
      <c r="L367" s="53"/>
    </row>
    <row r="368" spans="1:12" ht="15.75" thickBot="1" x14ac:dyDescent="0.3">
      <c r="A368" s="137" t="s">
        <v>51</v>
      </c>
      <c r="B368" s="105">
        <v>2000</v>
      </c>
      <c r="C368" s="105">
        <v>2015</v>
      </c>
      <c r="D368" s="105">
        <v>2020</v>
      </c>
      <c r="E368" s="105">
        <v>2025</v>
      </c>
      <c r="F368" s="105">
        <v>2030</v>
      </c>
      <c r="G368" s="105">
        <v>2050</v>
      </c>
      <c r="H368" s="113" t="s">
        <v>98</v>
      </c>
      <c r="I368" s="114" t="s">
        <v>99</v>
      </c>
      <c r="J368" s="114" t="s">
        <v>100</v>
      </c>
      <c r="K368" s="114" t="s">
        <v>101</v>
      </c>
      <c r="L368" s="115" t="s">
        <v>102</v>
      </c>
    </row>
    <row r="369" spans="1:13" x14ac:dyDescent="0.25">
      <c r="A369" s="106" t="s">
        <v>103</v>
      </c>
      <c r="B369" s="121">
        <f>'Demande Format Medpro'!B353</f>
        <v>22.8002</v>
      </c>
      <c r="C369" s="121">
        <f>'Demande Format Medpro'!C353</f>
        <v>15.527200000000001</v>
      </c>
      <c r="D369" s="121">
        <f>'Demande Format Medpro'!D353</f>
        <v>12.9569790892055</v>
      </c>
      <c r="E369" s="121">
        <f>'Demande Format Medpro'!E353</f>
        <v>10.973955795739601</v>
      </c>
      <c r="F369" s="121">
        <f>'Demande Format Medpro'!F353</f>
        <v>9.1719434296915505</v>
      </c>
      <c r="G369" s="121">
        <f>'Demande Format Medpro'!G353</f>
        <v>7.5903456688112696</v>
      </c>
      <c r="H369" s="121">
        <f>'Demande Format Medpro'!H353</f>
        <v>-2.5286534008190101E-2</v>
      </c>
      <c r="I369" s="121">
        <f>'Demande Format Medpro'!I353</f>
        <v>-3.5544659702188099E-2</v>
      </c>
      <c r="J369" s="121">
        <f>'Demande Format Medpro'!J353</f>
        <v>-3.2676163359987201E-2</v>
      </c>
      <c r="K369" s="121">
        <f>'Demande Format Medpro'!K353</f>
        <v>-3.52392372773008E-2</v>
      </c>
      <c r="L369" s="121">
        <f>'Demande Format Medpro'!L353</f>
        <v>-9.4189642445359194E-3</v>
      </c>
    </row>
    <row r="370" spans="1:13" x14ac:dyDescent="0.25">
      <c r="A370" s="106" t="s">
        <v>201</v>
      </c>
      <c r="B370" s="121">
        <f>'Demande Format Medpro'!B354</f>
        <v>42.525199999999998</v>
      </c>
      <c r="C370" s="121">
        <f>'Demande Format Medpro'!C354</f>
        <v>41.209099999999999</v>
      </c>
      <c r="D370" s="121">
        <f>'Demande Format Medpro'!D354</f>
        <v>40.565300000000001</v>
      </c>
      <c r="E370" s="121">
        <f>'Demande Format Medpro'!E354</f>
        <v>39.285200000000003</v>
      </c>
      <c r="F370" s="121">
        <f>'Demande Format Medpro'!F354</f>
        <v>38.06</v>
      </c>
      <c r="G370" s="121">
        <f>'Demande Format Medpro'!G354</f>
        <v>36.410400000000003</v>
      </c>
      <c r="H370" s="121">
        <f>'Demande Format Medpro'!H354</f>
        <v>0</v>
      </c>
      <c r="I370" s="121">
        <f>'Demande Format Medpro'!I354</f>
        <v>0</v>
      </c>
      <c r="J370" s="121">
        <f>'Demande Format Medpro'!J354</f>
        <v>0</v>
      </c>
      <c r="K370" s="121">
        <f>'Demande Format Medpro'!K354</f>
        <v>0</v>
      </c>
      <c r="L370" s="121">
        <f>'Demande Format Medpro'!L354</f>
        <v>0</v>
      </c>
    </row>
    <row r="371" spans="1:13" x14ac:dyDescent="0.25">
      <c r="A371" s="106" t="s">
        <v>202</v>
      </c>
      <c r="B371" s="121">
        <f>'Demande Format Medpro'!B355</f>
        <v>32.84769</v>
      </c>
      <c r="C371" s="121">
        <f>'Demande Format Medpro'!C355</f>
        <v>31.136600000000001</v>
      </c>
      <c r="D371" s="121">
        <f>'Demande Format Medpro'!D355</f>
        <v>29.728227741703801</v>
      </c>
      <c r="E371" s="121">
        <f>'Demande Format Medpro'!E355</f>
        <v>28.822360420127499</v>
      </c>
      <c r="F371" s="121">
        <f>'Demande Format Medpro'!F355</f>
        <v>27.8636344231642</v>
      </c>
      <c r="G371" s="121">
        <f>'Demande Format Medpro'!G355</f>
        <v>26.639622131688299</v>
      </c>
      <c r="H371" s="121">
        <f>'Demande Format Medpro'!H355</f>
        <v>-3.5601440528808502E-3</v>
      </c>
      <c r="I371" s="121">
        <f>'Demande Format Medpro'!I355</f>
        <v>-9.2146728131732303E-3</v>
      </c>
      <c r="J371" s="121">
        <f>'Demande Format Medpro'!J355</f>
        <v>-6.1699937451433796E-3</v>
      </c>
      <c r="K371" s="121">
        <f>'Demande Format Medpro'!K355</f>
        <v>-6.7429786909308804E-3</v>
      </c>
      <c r="L371" s="121">
        <f>'Demande Format Medpro'!L355</f>
        <v>-2.2436169011268402E-3</v>
      </c>
    </row>
    <row r="372" spans="1:13" x14ac:dyDescent="0.25">
      <c r="A372" s="106" t="s">
        <v>203</v>
      </c>
      <c r="B372" s="121">
        <f>'Demande Format Medpro'!B356</f>
        <v>0</v>
      </c>
      <c r="C372" s="121">
        <f>'Demande Format Medpro'!C356</f>
        <v>7.5200000000000003E-2</v>
      </c>
      <c r="D372" s="121">
        <f>'Demande Format Medpro'!D356</f>
        <v>8.6400000000000005E-2</v>
      </c>
      <c r="E372" s="121">
        <f>'Demande Format Medpro'!E356</f>
        <v>9.1899999999999996E-2</v>
      </c>
      <c r="F372" s="121">
        <f>'Demande Format Medpro'!F356</f>
        <v>9.7500000000000003E-2</v>
      </c>
      <c r="G372" s="121">
        <f>'Demande Format Medpro'!G356</f>
        <v>0.1215</v>
      </c>
      <c r="H372" s="121">
        <f>'Demande Format Medpro'!H356</f>
        <v>0</v>
      </c>
      <c r="I372" s="121">
        <f>'Demande Format Medpro'!I356</f>
        <v>0</v>
      </c>
      <c r="J372" s="121">
        <f>'Demande Format Medpro'!J356</f>
        <v>0</v>
      </c>
      <c r="K372" s="121">
        <f>'Demande Format Medpro'!K356</f>
        <v>0</v>
      </c>
      <c r="L372" s="121">
        <f>'Demande Format Medpro'!L356</f>
        <v>0</v>
      </c>
    </row>
    <row r="373" spans="1:13" x14ac:dyDescent="0.25">
      <c r="A373" s="106" t="s">
        <v>42</v>
      </c>
      <c r="B373" s="121">
        <f>'Demande Format Medpro'!B357</f>
        <v>6.7202999999999999</v>
      </c>
      <c r="C373" s="121">
        <f>'Demande Format Medpro'!C357</f>
        <v>4.5881999999999996</v>
      </c>
      <c r="D373" s="121">
        <f>'Demande Format Medpro'!D357</f>
        <v>3.5859999999999999</v>
      </c>
      <c r="E373" s="121">
        <f>'Demande Format Medpro'!E357</f>
        <v>3.1928999999999998</v>
      </c>
      <c r="F373" s="121">
        <f>'Demande Format Medpro'!F357</f>
        <v>2.7932000000000001</v>
      </c>
      <c r="G373" s="121">
        <f>'Demande Format Medpro'!G357</f>
        <v>2.3936000000000002</v>
      </c>
      <c r="H373" s="121">
        <f>'Demande Format Medpro'!H357</f>
        <v>-2.5122054971455799E-2</v>
      </c>
      <c r="I373" s="121">
        <f>'Demande Format Medpro'!I357</f>
        <v>-4.8095041823419102E-2</v>
      </c>
      <c r="J373" s="121">
        <f>'Demande Format Medpro'!J357</f>
        <v>-2.2954010697805699E-2</v>
      </c>
      <c r="K373" s="121">
        <f>'Demande Format Medpro'!K357</f>
        <v>-2.6393772094375299E-2</v>
      </c>
      <c r="L373" s="121">
        <f>'Demande Format Medpro'!L357</f>
        <v>-7.6897505772605098E-3</v>
      </c>
    </row>
    <row r="374" spans="1:13" x14ac:dyDescent="0.25">
      <c r="A374" s="106" t="s">
        <v>104</v>
      </c>
      <c r="B374" s="121">
        <f>'Demande Format Medpro'!B358</f>
        <v>32.60819</v>
      </c>
      <c r="C374" s="121">
        <f>'Demande Format Medpro'!C358</f>
        <v>36.597999999999999</v>
      </c>
      <c r="D374" s="121">
        <f>'Demande Format Medpro'!D358</f>
        <v>37.262223254849999</v>
      </c>
      <c r="E374" s="121">
        <f>'Demande Format Medpro'!E358</f>
        <v>38.180502823772997</v>
      </c>
      <c r="F374" s="121">
        <f>'Demande Format Medpro'!F358</f>
        <v>39.433830748794399</v>
      </c>
      <c r="G374" s="121">
        <f>'Demande Format Medpro'!G358</f>
        <v>47.122501897396397</v>
      </c>
      <c r="H374" s="121">
        <f>'Demande Format Medpro'!H358</f>
        <v>7.7250259173500301E-3</v>
      </c>
      <c r="I374" s="121">
        <f>'Demande Format Medpro'!I358</f>
        <v>3.60376559710485E-3</v>
      </c>
      <c r="J374" s="121">
        <f>'Demande Format Medpro'!J358</f>
        <v>4.8808639919555299E-3</v>
      </c>
      <c r="K374" s="121">
        <f>'Demande Format Medpro'!K358</f>
        <v>6.4807313060155601E-3</v>
      </c>
      <c r="L374" s="121">
        <f>'Demande Format Medpro'!L358</f>
        <v>8.9461062328843894E-3</v>
      </c>
    </row>
    <row r="375" spans="1:13" x14ac:dyDescent="0.25">
      <c r="A375" s="106" t="s">
        <v>105</v>
      </c>
      <c r="B375" s="121">
        <f>'Demande Format Medpro'!B359</f>
        <v>3.6135999999999999</v>
      </c>
      <c r="C375" s="121">
        <f>'Demande Format Medpro'!C359</f>
        <v>3.9512999999999998</v>
      </c>
      <c r="D375" s="121">
        <f>'Demande Format Medpro'!D359</f>
        <v>3.5781000000000001</v>
      </c>
      <c r="E375" s="121">
        <f>'Demande Format Medpro'!E359</f>
        <v>3.5065</v>
      </c>
      <c r="F375" s="121">
        <f>'Demande Format Medpro'!F359</f>
        <v>3.4788000000000001</v>
      </c>
      <c r="G375" s="121">
        <f>'Demande Format Medpro'!G359</f>
        <v>3.5687000000000002</v>
      </c>
      <c r="H375" s="121">
        <f>'Demande Format Medpro'!H359</f>
        <v>5.9737811762374804E-3</v>
      </c>
      <c r="I375" s="121">
        <f>'Demande Format Medpro'!I359</f>
        <v>-1.96469735209325E-2</v>
      </c>
      <c r="J375" s="121">
        <f>'Demande Format Medpro'!J359</f>
        <v>-4.0345481085878303E-3</v>
      </c>
      <c r="K375" s="121">
        <f>'Demande Format Medpro'!K359</f>
        <v>-1.5849391075648501E-3</v>
      </c>
      <c r="L375" s="121">
        <f>'Demande Format Medpro'!L359</f>
        <v>1.27651290404129E-3</v>
      </c>
      <c r="M375" s="165"/>
    </row>
    <row r="376" spans="1:13" x14ac:dyDescent="0.25">
      <c r="A376" s="106" t="s">
        <v>106</v>
      </c>
      <c r="B376" s="121">
        <f>'Demande Format Medpro'!B360</f>
        <v>8.2636800000000008</v>
      </c>
      <c r="C376" s="121">
        <f>'Demande Format Medpro'!C360</f>
        <v>9.1921999999999997</v>
      </c>
      <c r="D376" s="121">
        <f>'Demande Format Medpro'!D360</f>
        <v>10.196300000000001</v>
      </c>
      <c r="E376" s="121">
        <f>'Demande Format Medpro'!E360</f>
        <v>10.681900000000001</v>
      </c>
      <c r="F376" s="121">
        <f>'Demande Format Medpro'!F360</f>
        <v>11.135300000000001</v>
      </c>
      <c r="G376" s="121">
        <f>'Demande Format Medpro'!G360</f>
        <v>11.346500000000001</v>
      </c>
      <c r="H376" s="121">
        <f>'Demande Format Medpro'!H360</f>
        <v>7.1242770679884604E-3</v>
      </c>
      <c r="I376" s="121">
        <f>'Demande Format Medpro'!I360</f>
        <v>2.0950363272350399E-2</v>
      </c>
      <c r="J376" s="121">
        <f>'Demande Format Medpro'!J360</f>
        <v>9.3485898068528302E-3</v>
      </c>
      <c r="K376" s="121">
        <f>'Demande Format Medpro'!K360</f>
        <v>8.3485608983049405E-3</v>
      </c>
      <c r="L376" s="121">
        <f>'Demande Format Medpro'!L360</f>
        <v>9.3989562064478204E-4</v>
      </c>
      <c r="M376" s="165"/>
    </row>
    <row r="377" spans="1:13" x14ac:dyDescent="0.25">
      <c r="A377" s="106" t="s">
        <v>135</v>
      </c>
      <c r="B377" s="121">
        <f>'Demande Format Medpro'!B361</f>
        <v>2.0799999999999999E-2</v>
      </c>
      <c r="C377" s="121">
        <f>'Demande Format Medpro'!C361</f>
        <v>0.1744</v>
      </c>
      <c r="D377" s="121">
        <f>'Demande Format Medpro'!D361</f>
        <v>0.18060000000000001</v>
      </c>
      <c r="E377" s="121">
        <f>'Demande Format Medpro'!E361</f>
        <v>0.18149999999999999</v>
      </c>
      <c r="F377" s="121">
        <f>'Demande Format Medpro'!F361</f>
        <v>0.17069999999999999</v>
      </c>
      <c r="G377" s="121">
        <f>'Demande Format Medpro'!G361</f>
        <v>0.1588</v>
      </c>
      <c r="H377" s="121">
        <f>'Demande Format Medpro'!H361</f>
        <v>0</v>
      </c>
      <c r="I377" s="121">
        <f>'Demande Format Medpro'!I361</f>
        <v>0</v>
      </c>
      <c r="J377" s="121">
        <f>'Demande Format Medpro'!J361</f>
        <v>0</v>
      </c>
      <c r="K377" s="121">
        <f>'Demande Format Medpro'!K361</f>
        <v>0</v>
      </c>
      <c r="L377" s="121">
        <f>'Demande Format Medpro'!L361</f>
        <v>0</v>
      </c>
      <c r="M377" s="165"/>
    </row>
    <row r="378" spans="1:13" x14ac:dyDescent="0.25">
      <c r="A378" s="106" t="s">
        <v>136</v>
      </c>
      <c r="B378" s="121">
        <f>'Demande Format Medpro'!B362</f>
        <v>0</v>
      </c>
      <c r="C378" s="121">
        <f>'Demande Format Medpro'!C362</f>
        <v>1.12610318924139</v>
      </c>
      <c r="D378" s="121">
        <f>'Demande Format Medpro'!D362</f>
        <v>1.4955001270178101</v>
      </c>
      <c r="E378" s="121">
        <f>'Demande Format Medpro'!E362</f>
        <v>1.7829099267323001</v>
      </c>
      <c r="F378" s="121">
        <f>'Demande Format Medpro'!F362</f>
        <v>1.98131096506806</v>
      </c>
      <c r="G378" s="121">
        <f>'Demande Format Medpro'!G362</f>
        <v>2.7034684578908701</v>
      </c>
      <c r="H378" s="121">
        <f>'Demande Format Medpro'!H362</f>
        <v>0</v>
      </c>
      <c r="I378" s="121">
        <f>'Demande Format Medpro'!I362</f>
        <v>0</v>
      </c>
      <c r="J378" s="121">
        <f>'Demande Format Medpro'!J362</f>
        <v>0</v>
      </c>
      <c r="K378" s="121">
        <f>'Demande Format Medpro'!K362</f>
        <v>0</v>
      </c>
      <c r="L378" s="121">
        <f>'Demande Format Medpro'!L362</f>
        <v>0</v>
      </c>
      <c r="M378" s="165"/>
    </row>
    <row r="379" spans="1:13" x14ac:dyDescent="0.25">
      <c r="A379" s="106" t="s">
        <v>109</v>
      </c>
      <c r="B379" s="121">
        <v>0</v>
      </c>
      <c r="C379" s="121">
        <v>1</v>
      </c>
      <c r="D379" s="121">
        <v>0</v>
      </c>
      <c r="E379" s="121">
        <v>0</v>
      </c>
      <c r="F379" s="121">
        <v>0</v>
      </c>
      <c r="G379" s="121">
        <v>8.5984522785898534E-2</v>
      </c>
      <c r="H379" s="121">
        <v>6</v>
      </c>
      <c r="I379" s="121">
        <v>7</v>
      </c>
      <c r="J379" s="121">
        <v>8</v>
      </c>
      <c r="K379" s="121">
        <v>9</v>
      </c>
      <c r="L379" s="121">
        <v>10</v>
      </c>
      <c r="M379" s="165"/>
    </row>
    <row r="380" spans="1:13" x14ac:dyDescent="0.25">
      <c r="A380" s="106"/>
      <c r="B380" s="107"/>
      <c r="C380" s="107"/>
      <c r="D380" s="107"/>
      <c r="E380" s="107"/>
      <c r="F380" s="107"/>
      <c r="G380" s="107"/>
      <c r="H380" s="107"/>
      <c r="I380" s="107"/>
      <c r="J380" s="107"/>
      <c r="K380" s="107"/>
      <c r="L380" s="107"/>
      <c r="M380" s="165"/>
    </row>
    <row r="381" spans="1:13" ht="15.75" thickBot="1" x14ac:dyDescent="0.3">
      <c r="A381" s="109" t="s">
        <v>10</v>
      </c>
      <c r="B381" s="131">
        <f>SUM(B369:B379)</f>
        <v>149.39965999999998</v>
      </c>
      <c r="C381" s="131">
        <f t="shared" ref="C381:L381" si="4">SUM(C369:C379)</f>
        <v>144.57830318924138</v>
      </c>
      <c r="D381" s="131">
        <f t="shared" si="4"/>
        <v>139.6356302127771</v>
      </c>
      <c r="E381" s="131">
        <f t="shared" si="4"/>
        <v>136.69962896637239</v>
      </c>
      <c r="F381" s="131">
        <f t="shared" si="4"/>
        <v>134.18621956671822</v>
      </c>
      <c r="G381" s="131">
        <f t="shared" si="4"/>
        <v>138.14142267857275</v>
      </c>
      <c r="H381" s="131">
        <f t="shared" si="4"/>
        <v>5.966854351129049</v>
      </c>
      <c r="I381" s="131">
        <f t="shared" si="4"/>
        <v>6.9120527810097423</v>
      </c>
      <c r="J381" s="131">
        <f t="shared" si="4"/>
        <v>7.9483947378872841</v>
      </c>
      <c r="K381" s="131">
        <f t="shared" si="4"/>
        <v>8.9448683650341483</v>
      </c>
      <c r="L381" s="131">
        <f t="shared" si="4"/>
        <v>9.991810183034648</v>
      </c>
    </row>
    <row r="382" spans="1:13" x14ac:dyDescent="0.25">
      <c r="A382" s="166"/>
      <c r="F382" s="167"/>
      <c r="G382" s="167"/>
      <c r="H382" s="167"/>
    </row>
    <row r="383" spans="1:13" x14ac:dyDescent="0.25">
      <c r="A383" s="168"/>
      <c r="F383" s="167"/>
      <c r="G383" s="167"/>
      <c r="H383" s="167"/>
    </row>
    <row r="384" spans="1:13" ht="16.5" thickBot="1" x14ac:dyDescent="0.3">
      <c r="A384" s="59" t="s">
        <v>204</v>
      </c>
      <c r="B384" s="53"/>
      <c r="C384" s="53"/>
      <c r="D384" s="53"/>
      <c r="E384" s="53"/>
      <c r="F384" s="53"/>
      <c r="G384" s="53"/>
      <c r="H384" s="53"/>
      <c r="I384" s="53"/>
      <c r="J384" s="53"/>
      <c r="K384" s="53"/>
      <c r="L384" s="53"/>
    </row>
    <row r="385" spans="1:12" ht="15.75" thickBot="1" x14ac:dyDescent="0.3">
      <c r="A385" s="137" t="s">
        <v>51</v>
      </c>
      <c r="B385" s="105">
        <v>2000</v>
      </c>
      <c r="C385" s="105">
        <v>2015</v>
      </c>
      <c r="D385" s="105">
        <v>2020</v>
      </c>
      <c r="E385" s="105">
        <v>2025</v>
      </c>
      <c r="F385" s="105">
        <v>2030</v>
      </c>
      <c r="G385" s="105">
        <v>2050</v>
      </c>
      <c r="H385" s="113" t="s">
        <v>98</v>
      </c>
      <c r="I385" s="114" t="s">
        <v>99</v>
      </c>
      <c r="J385" s="114" t="s">
        <v>100</v>
      </c>
      <c r="K385" s="114" t="s">
        <v>101</v>
      </c>
      <c r="L385" s="115" t="s">
        <v>102</v>
      </c>
    </row>
    <row r="386" spans="1:12" x14ac:dyDescent="0.25">
      <c r="A386" s="169" t="s">
        <v>78</v>
      </c>
      <c r="B386" s="107">
        <f>'Demande Format Medpro'!B369</f>
        <v>38.915500000000002</v>
      </c>
      <c r="C386" s="107">
        <f>'Demande Format Medpro'!C369</f>
        <v>31.8477</v>
      </c>
      <c r="D386" s="107">
        <f>'Demande Format Medpro'!D369</f>
        <v>32.003300000000003</v>
      </c>
      <c r="E386" s="107">
        <f>'Demande Format Medpro'!E369</f>
        <v>32.154499999999999</v>
      </c>
      <c r="F386" s="107">
        <f>'Demande Format Medpro'!F369</f>
        <v>32.312199999999997</v>
      </c>
      <c r="G386" s="107">
        <f>'Demande Format Medpro'!G369</f>
        <v>36.428100000000001</v>
      </c>
      <c r="H386" s="107">
        <f>'Demande Format Medpro'!H369</f>
        <v>-1.32729578759672E-2</v>
      </c>
      <c r="I386" s="107">
        <f>'Demande Format Medpro'!I369</f>
        <v>9.75246558531762E-4</v>
      </c>
      <c r="J386" s="107">
        <f>'Demande Format Medpro'!J369</f>
        <v>9.4312192044454502E-4</v>
      </c>
      <c r="K386" s="107">
        <f>'Demande Format Medpro'!K369</f>
        <v>9.789705007394729E-4</v>
      </c>
      <c r="L386" s="107">
        <f>'Demande Format Medpro'!L369</f>
        <v>6.0127839972017299E-3</v>
      </c>
    </row>
    <row r="387" spans="1:12" x14ac:dyDescent="0.25">
      <c r="A387" s="169" t="s">
        <v>80</v>
      </c>
      <c r="B387" s="107">
        <f>'Demande Format Medpro'!B370</f>
        <v>42.777299999999997</v>
      </c>
      <c r="C387" s="107">
        <f>'Demande Format Medpro'!C370</f>
        <v>42.093488103993202</v>
      </c>
      <c r="D387" s="107">
        <f>'Demande Format Medpro'!D370</f>
        <v>38.949986005726402</v>
      </c>
      <c r="E387" s="107">
        <f>'Demande Format Medpro'!E370</f>
        <v>37.427669756237201</v>
      </c>
      <c r="F387" s="107">
        <f>'Demande Format Medpro'!F370</f>
        <v>36.268246002489001</v>
      </c>
      <c r="G387" s="107">
        <f>'Demande Format Medpro'!G370</f>
        <v>34.636912010195502</v>
      </c>
      <c r="H387" s="107">
        <f>'Demande Format Medpro'!H370</f>
        <v>-1.0737255569641701E-3</v>
      </c>
      <c r="I387" s="107">
        <f>'Demande Format Medpro'!I370</f>
        <v>-1.54030681153818E-2</v>
      </c>
      <c r="J387" s="107">
        <f>'Demande Format Medpro'!J370</f>
        <v>-7.9419247568907093E-3</v>
      </c>
      <c r="K387" s="107">
        <f>'Demande Format Medpro'!K370</f>
        <v>-6.27377144735408E-3</v>
      </c>
      <c r="L387" s="107">
        <f>'Demande Format Medpro'!L370</f>
        <v>-2.2984873308317102E-3</v>
      </c>
    </row>
    <row r="388" spans="1:12" x14ac:dyDescent="0.25">
      <c r="A388" s="169" t="s">
        <v>81</v>
      </c>
      <c r="B388" s="107">
        <f>'Demande Format Medpro'!B371</f>
        <v>20.017199999999999</v>
      </c>
      <c r="C388" s="107">
        <f>'Demande Format Medpro'!C371</f>
        <v>23.0002150852482</v>
      </c>
      <c r="D388" s="107">
        <f>'Demande Format Medpro'!D371</f>
        <v>22.5271141212915</v>
      </c>
      <c r="E388" s="107">
        <f>'Demande Format Medpro'!E371</f>
        <v>22.078440170495099</v>
      </c>
      <c r="F388" s="107">
        <f>'Demande Format Medpro'!F371</f>
        <v>21.442864962579101</v>
      </c>
      <c r="G388" s="107">
        <f>'Demande Format Medpro'!G371</f>
        <v>22.6677564476953</v>
      </c>
      <c r="H388" s="107">
        <f>'Demande Format Medpro'!H371</f>
        <v>9.3037912415132595E-3</v>
      </c>
      <c r="I388" s="107">
        <f>'Demande Format Medpro'!I371</f>
        <v>-4.1481548719571899E-3</v>
      </c>
      <c r="J388" s="107">
        <f>'Demande Format Medpro'!J371</f>
        <v>-4.0155323599075903E-3</v>
      </c>
      <c r="K388" s="107">
        <f>'Demande Format Medpro'!K371</f>
        <v>-5.8248931822137999E-3</v>
      </c>
      <c r="L388" s="107">
        <f>'Demande Format Medpro'!L371</f>
        <v>2.7814380241897299E-3</v>
      </c>
    </row>
    <row r="389" spans="1:12" x14ac:dyDescent="0.25">
      <c r="A389" s="169" t="s">
        <v>82</v>
      </c>
      <c r="B389" s="107">
        <f>'Demande Format Medpro'!B372</f>
        <v>4.3577599999999999</v>
      </c>
      <c r="C389" s="107">
        <f>'Demande Format Medpro'!C372</f>
        <v>4.46</v>
      </c>
      <c r="D389" s="107">
        <f>'Demande Format Medpro'!D372</f>
        <v>4.3564300857593397</v>
      </c>
      <c r="E389" s="107">
        <f>'Demande Format Medpro'!E372</f>
        <v>4.2410190396400802</v>
      </c>
      <c r="F389" s="107">
        <f>'Demande Format Medpro'!F372</f>
        <v>4.1238086016501896</v>
      </c>
      <c r="G389" s="107">
        <f>'Demande Format Medpro'!G372</f>
        <v>3.7084696978960001</v>
      </c>
      <c r="H389" s="107">
        <f>'Demande Format Medpro'!H372</f>
        <v>1.54723588017358E-3</v>
      </c>
      <c r="I389" s="107">
        <f>'Demande Format Medpro'!I372</f>
        <v>-4.6881425382782104E-3</v>
      </c>
      <c r="J389" s="107">
        <f>'Demande Format Medpro'!J372</f>
        <v>-5.3554788952561204E-3</v>
      </c>
      <c r="K389" s="107">
        <f>'Demande Format Medpro'!K372</f>
        <v>-5.5896048360853899E-3</v>
      </c>
      <c r="L389" s="107">
        <f>'Demande Format Medpro'!L372</f>
        <v>-5.2938301838630899E-3</v>
      </c>
    </row>
    <row r="390" spans="1:12" x14ac:dyDescent="0.25">
      <c r="A390" s="169" t="s">
        <v>79</v>
      </c>
      <c r="B390" s="107">
        <f>'Demande Format Medpro'!B373</f>
        <v>43.331899999999997</v>
      </c>
      <c r="C390" s="107">
        <f>'Demande Format Medpro'!C373</f>
        <v>42.177</v>
      </c>
      <c r="D390" s="107">
        <f>'Demande Format Medpro'!D373</f>
        <v>41.798699999999997</v>
      </c>
      <c r="E390" s="107">
        <f>'Demande Format Medpro'!E373</f>
        <v>40.798000000000002</v>
      </c>
      <c r="F390" s="107">
        <f>'Demande Format Medpro'!F373</f>
        <v>40.038899999999998</v>
      </c>
      <c r="G390" s="107">
        <f>'Demande Format Medpro'!G373</f>
        <v>40.614400000000003</v>
      </c>
      <c r="H390" s="107">
        <f>'Demande Format Medpro'!H373</f>
        <v>-1.7993149918053E-3</v>
      </c>
      <c r="I390" s="107">
        <f>'Demande Format Medpro'!I373</f>
        <v>-1.80033948060065E-3</v>
      </c>
      <c r="J390" s="107">
        <f>'Demande Format Medpro'!J373</f>
        <v>-4.83471057375173E-3</v>
      </c>
      <c r="K390" s="107">
        <f>'Demande Format Medpro'!K373</f>
        <v>-3.7492696827380301E-3</v>
      </c>
      <c r="L390" s="107">
        <f>'Demande Format Medpro'!L373</f>
        <v>7.1381474379505995E-4</v>
      </c>
    </row>
    <row r="391" spans="1:12" x14ac:dyDescent="0.25">
      <c r="A391" s="169"/>
      <c r="B391" s="107"/>
      <c r="C391" s="107"/>
      <c r="D391" s="107"/>
      <c r="E391" s="107"/>
      <c r="F391" s="107"/>
      <c r="G391" s="107"/>
      <c r="H391" s="107"/>
      <c r="I391" s="107"/>
      <c r="J391" s="107"/>
      <c r="K391" s="107"/>
      <c r="L391" s="107"/>
    </row>
    <row r="392" spans="1:12" ht="15.75" thickBot="1" x14ac:dyDescent="0.3">
      <c r="A392" s="170" t="s">
        <v>10</v>
      </c>
      <c r="B392" s="126">
        <f>'Demande Format Medpro'!B375</f>
        <v>149.39966000000001</v>
      </c>
      <c r="C392" s="131">
        <f>'Demande Format Medpro'!C375</f>
        <v>143.57840318924099</v>
      </c>
      <c r="D392" s="131">
        <f>'Demande Format Medpro'!D375</f>
        <v>139.63553021277701</v>
      </c>
      <c r="E392" s="131">
        <f>'Demande Format Medpro'!E375</f>
        <v>136.69962896637199</v>
      </c>
      <c r="F392" s="131">
        <f>'Demande Format Medpro'!F375</f>
        <v>134.18601956671799</v>
      </c>
      <c r="G392" s="131">
        <f>'Demande Format Medpro'!G375</f>
        <v>138.05563815578699</v>
      </c>
      <c r="H392" s="131">
        <f>'Demande Format Medpro'!H375</f>
        <v>-2.6460761020494798E-3</v>
      </c>
      <c r="I392" s="131">
        <f>'Demande Format Medpro'!I375</f>
        <v>-5.5536366886307399E-3</v>
      </c>
      <c r="J392" s="131">
        <f>'Demande Format Medpro'!J375</f>
        <v>-4.2409104046396999E-3</v>
      </c>
      <c r="K392" s="131">
        <f>'Demande Format Medpro'!K375</f>
        <v>-3.70491709609E-3</v>
      </c>
      <c r="L392" s="131">
        <f>'Demande Format Medpro'!L375</f>
        <v>1.42249758824131E-3</v>
      </c>
    </row>
    <row r="393" spans="1:12" ht="15.75" x14ac:dyDescent="0.25">
      <c r="A393" s="164"/>
    </row>
    <row r="394" spans="1:12" ht="15.75" x14ac:dyDescent="0.25">
      <c r="A394" s="164"/>
    </row>
    <row r="395" spans="1:12" ht="16.5" thickBot="1" x14ac:dyDescent="0.3">
      <c r="A395" s="59" t="s">
        <v>205</v>
      </c>
      <c r="B395" s="162"/>
      <c r="C395" s="53"/>
      <c r="D395" s="53"/>
      <c r="E395" s="53"/>
      <c r="F395" s="53"/>
      <c r="G395" s="53"/>
      <c r="H395" s="53"/>
      <c r="I395" s="53"/>
      <c r="J395" s="53"/>
      <c r="K395" s="53"/>
      <c r="L395" s="53"/>
    </row>
    <row r="396" spans="1:12" ht="15.75" thickBot="1" x14ac:dyDescent="0.3">
      <c r="A396" s="104"/>
      <c r="B396" s="105">
        <v>2000</v>
      </c>
      <c r="C396" s="105">
        <v>2015</v>
      </c>
      <c r="D396" s="105">
        <v>2020</v>
      </c>
      <c r="E396" s="105">
        <v>2025</v>
      </c>
      <c r="F396" s="105">
        <v>2030</v>
      </c>
      <c r="G396" s="105">
        <v>2050</v>
      </c>
      <c r="H396" s="113" t="s">
        <v>98</v>
      </c>
      <c r="I396" s="114" t="s">
        <v>99</v>
      </c>
      <c r="J396" s="114" t="s">
        <v>100</v>
      </c>
      <c r="K396" s="114" t="s">
        <v>101</v>
      </c>
      <c r="L396" s="115" t="s">
        <v>102</v>
      </c>
    </row>
    <row r="397" spans="1:12" x14ac:dyDescent="0.25">
      <c r="A397" s="106" t="s">
        <v>196</v>
      </c>
      <c r="B397" s="171">
        <f>'Demande Format Medpro'!B380</f>
        <v>8.4325549288508606E-2</v>
      </c>
      <c r="C397" s="171">
        <f>'Demande Format Medpro'!C380</f>
        <v>6.8571312471406298E-2</v>
      </c>
      <c r="D397" s="171">
        <f>'Demande Format Medpro'!D380</f>
        <v>6.1600091817526598E-2</v>
      </c>
      <c r="E397" s="171">
        <f>'Demande Format Medpro'!E380</f>
        <v>5.6533414922964799E-2</v>
      </c>
      <c r="F397" s="171">
        <f>'Demande Format Medpro'!F380</f>
        <v>5.1767361657663297E-2</v>
      </c>
      <c r="G397" s="171">
        <f>'Demande Format Medpro'!G380</f>
        <v>3.8017414224205799E-2</v>
      </c>
      <c r="H397" s="171">
        <f>'Demande Format Medpro'!H380</f>
        <v>-1.3692764990851E-2</v>
      </c>
      <c r="I397" s="171">
        <f>'Demande Format Medpro'!I380</f>
        <v>-2.12139308811569E-2</v>
      </c>
      <c r="J397" s="171">
        <f>'Demande Format Medpro'!J380</f>
        <v>-1.70197952593216E-2</v>
      </c>
      <c r="K397" s="171">
        <f>'Demande Format Medpro'!K380</f>
        <v>-1.7460175492412602E-2</v>
      </c>
      <c r="L397" s="171">
        <f>'Demande Format Medpro'!L380</f>
        <v>-1.53172561486896E-2</v>
      </c>
    </row>
    <row r="398" spans="1:12" x14ac:dyDescent="0.25">
      <c r="A398" s="106" t="s">
        <v>206</v>
      </c>
      <c r="B398" s="171">
        <f>'Demande Format Medpro'!B381</f>
        <v>214.050367245941</v>
      </c>
      <c r="C398" s="171">
        <f>'Demande Format Medpro'!C381</f>
        <v>203.27815628770301</v>
      </c>
      <c r="D398" s="171">
        <f>'Demande Format Medpro'!D381</f>
        <v>191.176095863889</v>
      </c>
      <c r="E398" s="171">
        <f>'Demande Format Medpro'!E381</f>
        <v>183.63659967520701</v>
      </c>
      <c r="F398" s="171">
        <f>'Demande Format Medpro'!F381</f>
        <v>176.928093077429</v>
      </c>
      <c r="G398" s="171">
        <f>'Demande Format Medpro'!G381</f>
        <v>150.91663440386799</v>
      </c>
      <c r="H398" s="171">
        <f>'Demande Format Medpro'!H381</f>
        <v>-3.4364869917412602E-3</v>
      </c>
      <c r="I398" s="171">
        <f>'Demande Format Medpro'!I381</f>
        <v>-1.2201016170506999E-2</v>
      </c>
      <c r="J398" s="171">
        <f>'Demande Format Medpro'!J381</f>
        <v>-8.0149413372444505E-3</v>
      </c>
      <c r="K398" s="171">
        <f>'Demande Format Medpro'!K381</f>
        <v>-7.41545021124257E-3</v>
      </c>
      <c r="L398" s="171">
        <f>'Demande Format Medpro'!L381</f>
        <v>-7.9192661661721103E-3</v>
      </c>
    </row>
    <row r="399" spans="1:12" x14ac:dyDescent="0.25">
      <c r="A399" s="106" t="s">
        <v>150</v>
      </c>
      <c r="B399" s="171">
        <f>'Demande Format Medpro'!B382</f>
        <v>2.5383067722314698</v>
      </c>
      <c r="C399" s="171">
        <f>'Demande Format Medpro'!C382</f>
        <v>2.23337128547516</v>
      </c>
      <c r="D399" s="171">
        <f>'Demande Format Medpro'!D382</f>
        <v>2.12594097927854</v>
      </c>
      <c r="E399" s="171">
        <f>'Demande Format Medpro'!E382</f>
        <v>2.0431625457003402</v>
      </c>
      <c r="F399" s="171">
        <f>'Demande Format Medpro'!F382</f>
        <v>1.9718449748309499</v>
      </c>
      <c r="G399" s="171">
        <f>'Demande Format Medpro'!G382</f>
        <v>1.9260369309595899</v>
      </c>
      <c r="H399" s="171">
        <f>'Demande Format Medpro'!H382</f>
        <v>-8.4960364520788607E-3</v>
      </c>
      <c r="I399" s="171">
        <f>'Demande Format Medpro'!I382</f>
        <v>-9.8110966468509808E-3</v>
      </c>
      <c r="J399" s="171">
        <f>'Demande Format Medpro'!J382</f>
        <v>-7.9116653563052804E-3</v>
      </c>
      <c r="K399" s="171">
        <f>'Demande Format Medpro'!K382</f>
        <v>-7.0806601645884201E-3</v>
      </c>
      <c r="L399" s="171">
        <f>'Demande Format Medpro'!L382</f>
        <v>-1.1745672440818299E-3</v>
      </c>
    </row>
    <row r="400" spans="1:12" ht="15.75" thickBot="1" x14ac:dyDescent="0.3">
      <c r="A400" s="109" t="s">
        <v>151</v>
      </c>
      <c r="B400" s="163">
        <f>'Demande Format Medpro'!B383</f>
        <v>6443.1895358319998</v>
      </c>
      <c r="C400" s="138">
        <f>'Demande Format Medpro'!C383</f>
        <v>6620.7803358962901</v>
      </c>
      <c r="D400" s="138">
        <f>'Demande Format Medpro'!D383</f>
        <v>6597.8651080498103</v>
      </c>
      <c r="E400" s="138">
        <f>'Demande Format Medpro'!E383</f>
        <v>6636.7726589206604</v>
      </c>
      <c r="F400" s="138">
        <f>'Demande Format Medpro'!F383</f>
        <v>6739.2805055095196</v>
      </c>
      <c r="G400" s="138">
        <f>'Demande Format Medpro'!G383</f>
        <v>7645.7333379844804</v>
      </c>
      <c r="H400" s="138">
        <f>'Demande Format Medpro'!H383</f>
        <v>1.81428058343625E-3</v>
      </c>
      <c r="I400" s="138">
        <f>'Demande Format Medpro'!I383</f>
        <v>-6.9318169594823097E-4</v>
      </c>
      <c r="J400" s="138">
        <f>'Demande Format Medpro'!J383</f>
        <v>1.1766260336725199E-3</v>
      </c>
      <c r="K400" s="138">
        <f>'Demande Format Medpro'!K383</f>
        <v>3.0701772327716998E-3</v>
      </c>
      <c r="L400" s="138">
        <f>'Demande Format Medpro'!L383</f>
        <v>6.3296777444214998E-3</v>
      </c>
    </row>
    <row r="401" spans="1:1" ht="15.75" x14ac:dyDescent="0.25">
      <c r="A401" s="164"/>
    </row>
    <row r="402" spans="1:1" ht="15.75" x14ac:dyDescent="0.25">
      <c r="A402" s="164"/>
    </row>
    <row r="427" spans="2:14" x14ac:dyDescent="0.25">
      <c r="B427" s="95"/>
      <c r="C427" s="95"/>
      <c r="D427" s="95"/>
      <c r="E427" s="95"/>
      <c r="F427" s="95"/>
      <c r="G427" s="95"/>
      <c r="H427" s="95"/>
      <c r="I427" s="95"/>
      <c r="J427" s="95"/>
      <c r="K427" s="95"/>
      <c r="L427" s="95"/>
      <c r="N427" s="172"/>
    </row>
    <row r="428" spans="2:14" x14ac:dyDescent="0.25">
      <c r="B428" s="95"/>
      <c r="C428" s="95"/>
      <c r="D428" s="95"/>
      <c r="E428" s="95"/>
      <c r="F428" s="95"/>
      <c r="G428" s="95"/>
      <c r="H428" s="95"/>
      <c r="I428" s="95"/>
      <c r="J428" s="95"/>
      <c r="K428" s="95"/>
      <c r="L428" s="95"/>
      <c r="N428" s="119"/>
    </row>
    <row r="429" spans="2:14" x14ac:dyDescent="0.25">
      <c r="B429" s="95"/>
      <c r="C429" s="95"/>
      <c r="D429" s="95"/>
      <c r="E429" s="95"/>
      <c r="F429" s="95"/>
      <c r="G429" s="95"/>
      <c r="H429" s="95"/>
      <c r="I429" s="95"/>
      <c r="J429" s="95"/>
      <c r="K429" s="95"/>
      <c r="L429" s="95"/>
      <c r="N429" s="118"/>
    </row>
    <row r="541" spans="2:12" x14ac:dyDescent="0.25">
      <c r="B541" s="95"/>
      <c r="C541" s="95"/>
      <c r="D541" s="95"/>
      <c r="E541" s="95"/>
      <c r="F541" s="95"/>
      <c r="G541" s="95"/>
      <c r="H541" s="95"/>
      <c r="I541" s="95"/>
      <c r="J541" s="95"/>
      <c r="K541" s="95"/>
      <c r="L541" s="95"/>
    </row>
    <row r="542" spans="2:12" x14ac:dyDescent="0.25">
      <c r="B542" s="95"/>
      <c r="C542" s="95"/>
      <c r="D542" s="95"/>
      <c r="E542" s="95"/>
      <c r="F542" s="95"/>
      <c r="G542" s="95"/>
      <c r="H542" s="95"/>
      <c r="I542" s="95"/>
      <c r="J542" s="95"/>
      <c r="K542" s="95"/>
      <c r="L542" s="95"/>
    </row>
    <row r="543" spans="2:12" x14ac:dyDescent="0.25">
      <c r="B543" s="95"/>
      <c r="C543" s="95"/>
      <c r="D543" s="95"/>
      <c r="E543" s="95"/>
      <c r="F543" s="95"/>
      <c r="G543" s="95"/>
      <c r="H543" s="95"/>
      <c r="I543" s="95"/>
      <c r="J543" s="95"/>
      <c r="K543" s="95"/>
      <c r="L543" s="95"/>
    </row>
    <row r="544" spans="2:12" x14ac:dyDescent="0.25">
      <c r="B544" s="95"/>
      <c r="C544" s="95"/>
      <c r="D544" s="95"/>
      <c r="E544" s="95"/>
      <c r="F544" s="95"/>
      <c r="G544" s="95"/>
      <c r="H544" s="95"/>
      <c r="I544" s="95"/>
      <c r="J544" s="95"/>
      <c r="K544" s="95"/>
      <c r="L544" s="95"/>
    </row>
    <row r="545" spans="2:12" x14ac:dyDescent="0.25">
      <c r="B545" s="95"/>
      <c r="C545" s="95"/>
      <c r="D545" s="95"/>
      <c r="E545" s="95"/>
      <c r="F545" s="95"/>
      <c r="G545" s="95"/>
      <c r="H545" s="95"/>
      <c r="I545" s="95"/>
      <c r="J545" s="95"/>
      <c r="K545" s="95"/>
      <c r="L545" s="95"/>
    </row>
    <row r="546" spans="2:12" x14ac:dyDescent="0.25">
      <c r="B546" s="95"/>
      <c r="C546" s="95"/>
      <c r="D546" s="95"/>
      <c r="E546" s="95"/>
      <c r="F546" s="95"/>
      <c r="G546" s="95"/>
      <c r="H546" s="95"/>
      <c r="I546" s="95"/>
      <c r="J546" s="95"/>
      <c r="K546" s="95"/>
      <c r="L546" s="95"/>
    </row>
    <row r="547" spans="2:12" x14ac:dyDescent="0.25">
      <c r="B547" s="95"/>
      <c r="C547" s="95"/>
      <c r="D547" s="95"/>
      <c r="E547" s="95"/>
      <c r="F547" s="95"/>
      <c r="G547" s="95"/>
      <c r="H547" s="95"/>
      <c r="I547" s="95"/>
      <c r="J547" s="95"/>
      <c r="K547" s="95"/>
      <c r="L547" s="95"/>
    </row>
    <row r="548" spans="2:12" x14ac:dyDescent="0.25">
      <c r="B548" s="95"/>
      <c r="C548" s="95"/>
      <c r="D548" s="95"/>
      <c r="E548" s="95"/>
      <c r="F548" s="95"/>
      <c r="G548" s="95"/>
      <c r="H548" s="95"/>
      <c r="I548" s="95"/>
      <c r="J548" s="95"/>
      <c r="K548" s="95"/>
      <c r="L548" s="95"/>
    </row>
    <row r="549" spans="2:12" x14ac:dyDescent="0.25">
      <c r="B549" s="95"/>
      <c r="C549" s="95"/>
      <c r="D549" s="95"/>
      <c r="E549" s="95"/>
      <c r="F549" s="95"/>
      <c r="G549" s="95"/>
      <c r="H549" s="95"/>
      <c r="I549" s="95"/>
      <c r="J549" s="95"/>
      <c r="K549" s="95"/>
      <c r="L549" s="95"/>
    </row>
    <row r="550" spans="2:12" x14ac:dyDescent="0.25">
      <c r="B550" s="95"/>
      <c r="C550" s="95"/>
      <c r="D550" s="95"/>
      <c r="E550" s="95"/>
      <c r="F550" s="95"/>
      <c r="G550" s="95"/>
      <c r="H550" s="95"/>
      <c r="I550" s="95"/>
      <c r="J550" s="95"/>
      <c r="K550" s="95"/>
      <c r="L550" s="95"/>
    </row>
    <row r="551" spans="2:12" x14ac:dyDescent="0.25">
      <c r="B551" s="95"/>
      <c r="C551" s="95"/>
      <c r="D551" s="95"/>
      <c r="E551" s="95"/>
      <c r="F551" s="95"/>
      <c r="G551" s="95"/>
      <c r="H551" s="95"/>
      <c r="I551" s="95"/>
      <c r="J551" s="95"/>
      <c r="K551" s="95"/>
      <c r="L551" s="95"/>
    </row>
    <row r="552" spans="2:12" x14ac:dyDescent="0.25">
      <c r="B552" s="95"/>
      <c r="C552" s="95"/>
      <c r="D552" s="95"/>
      <c r="E552" s="95"/>
      <c r="F552" s="95"/>
      <c r="G552" s="95"/>
      <c r="H552" s="95"/>
      <c r="I552" s="95"/>
      <c r="J552" s="95"/>
      <c r="K552" s="95"/>
      <c r="L552" s="95"/>
    </row>
    <row r="553" spans="2:12" x14ac:dyDescent="0.25">
      <c r="B553" s="95"/>
      <c r="C553" s="95"/>
      <c r="D553" s="95"/>
      <c r="E553" s="95"/>
      <c r="F553" s="95"/>
      <c r="G553" s="95"/>
      <c r="H553" s="95"/>
      <c r="I553" s="95"/>
      <c r="J553" s="95"/>
      <c r="K553" s="95"/>
      <c r="L553" s="95"/>
    </row>
    <row r="554" spans="2:12" x14ac:dyDescent="0.25">
      <c r="B554" s="95"/>
      <c r="C554" s="95"/>
      <c r="D554" s="95"/>
      <c r="E554" s="95"/>
      <c r="F554" s="95"/>
      <c r="G554" s="95"/>
      <c r="H554" s="95"/>
      <c r="I554" s="95"/>
      <c r="J554" s="95"/>
      <c r="K554" s="95"/>
      <c r="L554" s="95"/>
    </row>
    <row r="555" spans="2:12" x14ac:dyDescent="0.25">
      <c r="B555" s="95"/>
      <c r="C555" s="95"/>
      <c r="D555" s="95"/>
      <c r="E555" s="95"/>
      <c r="F555" s="95"/>
      <c r="G555" s="95"/>
      <c r="H555" s="95"/>
      <c r="I555" s="95"/>
      <c r="J555" s="95"/>
      <c r="K555" s="95"/>
      <c r="L555" s="95"/>
    </row>
    <row r="556" spans="2:12" x14ac:dyDescent="0.25">
      <c r="B556" s="95"/>
      <c r="C556" s="95"/>
      <c r="D556" s="95"/>
      <c r="E556" s="95"/>
      <c r="F556" s="95"/>
      <c r="G556" s="95"/>
      <c r="H556" s="95"/>
      <c r="I556" s="95"/>
      <c r="J556" s="95"/>
      <c r="K556" s="95"/>
      <c r="L556" s="95"/>
    </row>
    <row r="557" spans="2:12" x14ac:dyDescent="0.25">
      <c r="B557" s="95"/>
      <c r="C557" s="95"/>
      <c r="D557" s="95"/>
      <c r="E557" s="95"/>
      <c r="F557" s="95"/>
      <c r="G557" s="95"/>
      <c r="H557" s="95"/>
      <c r="I557" s="95"/>
      <c r="J557" s="95"/>
      <c r="K557" s="95"/>
      <c r="L557" s="95"/>
    </row>
    <row r="558" spans="2:12" x14ac:dyDescent="0.25">
      <c r="B558" s="95"/>
      <c r="C558" s="95"/>
      <c r="D558" s="95"/>
      <c r="E558" s="95"/>
      <c r="F558" s="95"/>
      <c r="G558" s="95"/>
      <c r="H558" s="95"/>
      <c r="I558" s="95"/>
      <c r="J558" s="95"/>
      <c r="K558" s="95"/>
      <c r="L558" s="95"/>
    </row>
    <row r="559" spans="2:12" x14ac:dyDescent="0.25">
      <c r="B559" s="95"/>
      <c r="C559" s="95"/>
      <c r="D559" s="95"/>
      <c r="E559" s="95"/>
      <c r="F559" s="95"/>
      <c r="G559" s="95"/>
      <c r="H559" s="95"/>
      <c r="I559" s="95"/>
      <c r="J559" s="95"/>
      <c r="K559" s="95"/>
      <c r="L559" s="95"/>
    </row>
    <row r="560" spans="2:12" x14ac:dyDescent="0.25">
      <c r="B560" s="95"/>
      <c r="C560" s="95"/>
      <c r="D560" s="95"/>
      <c r="E560" s="95"/>
      <c r="F560" s="95"/>
      <c r="G560" s="95"/>
      <c r="H560" s="95"/>
      <c r="I560" s="95"/>
      <c r="J560" s="95"/>
      <c r="K560" s="95"/>
      <c r="L560" s="95"/>
    </row>
    <row r="561" spans="1:78" x14ac:dyDescent="0.25">
      <c r="B561" s="95"/>
      <c r="C561" s="95"/>
      <c r="D561" s="95"/>
      <c r="E561" s="95"/>
      <c r="F561" s="95"/>
      <c r="G561" s="95"/>
      <c r="H561" s="95"/>
      <c r="I561" s="95"/>
      <c r="J561" s="95"/>
      <c r="K561" s="95"/>
      <c r="L561" s="95"/>
    </row>
    <row r="562" spans="1:78" x14ac:dyDescent="0.25">
      <c r="B562" s="95"/>
      <c r="C562" s="95"/>
      <c r="D562" s="95"/>
      <c r="E562" s="95"/>
      <c r="F562" s="95"/>
      <c r="G562" s="95"/>
      <c r="H562" s="95"/>
      <c r="I562" s="95"/>
      <c r="J562" s="95"/>
      <c r="K562" s="95"/>
      <c r="L562" s="95"/>
    </row>
    <row r="563" spans="1:78" x14ac:dyDescent="0.25">
      <c r="B563" s="95"/>
      <c r="C563" s="95"/>
      <c r="D563" s="95"/>
      <c r="E563" s="95"/>
      <c r="F563" s="95"/>
      <c r="G563" s="95"/>
      <c r="H563" s="95"/>
      <c r="I563" s="95"/>
      <c r="J563" s="95"/>
      <c r="K563" s="95"/>
      <c r="L563" s="95"/>
    </row>
    <row r="564" spans="1:78" x14ac:dyDescent="0.25">
      <c r="A564" s="98"/>
      <c r="B564" s="98"/>
      <c r="C564" s="98"/>
      <c r="D564" s="98"/>
      <c r="E564" s="98"/>
      <c r="M564" s="98"/>
      <c r="N564" s="98"/>
      <c r="O564" s="98"/>
      <c r="P564" s="98"/>
      <c r="Q564" s="98"/>
      <c r="R564" s="98"/>
      <c r="S564" s="98"/>
      <c r="T564" s="98"/>
      <c r="U564" s="98"/>
      <c r="V564" s="98"/>
      <c r="W564" s="98"/>
      <c r="X564" s="98"/>
      <c r="Y564" s="98"/>
      <c r="Z564" s="98"/>
      <c r="AA564" s="98"/>
      <c r="AB564" s="98"/>
      <c r="AC564" s="98"/>
      <c r="AD564" s="98"/>
      <c r="AE564" s="98"/>
      <c r="AF564" s="98"/>
      <c r="AG564" s="98"/>
      <c r="AH564" s="98"/>
      <c r="AI564" s="98"/>
      <c r="AJ564" s="98"/>
      <c r="AK564" s="98"/>
      <c r="AL564" s="98"/>
      <c r="AM564" s="98"/>
      <c r="AN564" s="98"/>
      <c r="AO564" s="98"/>
      <c r="AP564" s="98"/>
      <c r="AQ564" s="98"/>
      <c r="AR564" s="98"/>
      <c r="AS564" s="98"/>
      <c r="AT564" s="98"/>
      <c r="AU564" s="98"/>
      <c r="AV564" s="98"/>
      <c r="AW564" s="98"/>
      <c r="AX564" s="98"/>
      <c r="AY564" s="98"/>
      <c r="AZ564" s="98"/>
      <c r="BA564" s="98"/>
      <c r="BB564" s="98"/>
      <c r="BC564" s="98"/>
      <c r="BD564" s="98"/>
      <c r="BE564" s="98"/>
      <c r="BF564" s="98"/>
      <c r="BG564" s="98"/>
      <c r="BH564" s="98"/>
      <c r="BI564" s="98"/>
      <c r="BJ564" s="98"/>
      <c r="BK564" s="98"/>
      <c r="BL564" s="98"/>
      <c r="BM564" s="98"/>
      <c r="BN564" s="98"/>
      <c r="BO564" s="98"/>
      <c r="BP564" s="98"/>
      <c r="BQ564" s="98"/>
      <c r="BR564" s="98"/>
      <c r="BS564" s="98"/>
      <c r="BT564" s="98"/>
      <c r="BU564" s="98"/>
      <c r="BV564" s="98"/>
      <c r="BW564" s="98"/>
      <c r="BX564" s="98"/>
      <c r="BY564" s="98"/>
      <c r="BZ564" s="98"/>
    </row>
    <row r="565" spans="1:78" x14ac:dyDescent="0.25">
      <c r="A565" s="98"/>
      <c r="B565" s="98"/>
      <c r="C565" s="98"/>
      <c r="D565" s="98"/>
      <c r="E565" s="98"/>
      <c r="M565" s="98"/>
      <c r="N565" s="98"/>
      <c r="O565" s="98"/>
      <c r="P565" s="98"/>
      <c r="Q565" s="98"/>
      <c r="R565" s="98"/>
      <c r="S565" s="98"/>
      <c r="T565" s="98"/>
      <c r="U565" s="98"/>
      <c r="V565" s="98"/>
      <c r="W565" s="98"/>
      <c r="X565" s="98"/>
      <c r="Y565" s="98"/>
      <c r="Z565" s="98"/>
      <c r="AA565" s="98"/>
      <c r="AB565" s="98"/>
      <c r="AC565" s="98"/>
      <c r="AD565" s="98"/>
      <c r="AE565" s="98"/>
      <c r="AF565" s="98"/>
      <c r="AG565" s="98"/>
      <c r="AH565" s="98"/>
      <c r="AI565" s="98"/>
      <c r="AJ565" s="98"/>
      <c r="AK565" s="98"/>
      <c r="AL565" s="98"/>
      <c r="AM565" s="98"/>
      <c r="AN565" s="98"/>
      <c r="AO565" s="98"/>
      <c r="AP565" s="98"/>
      <c r="AQ565" s="98"/>
      <c r="AR565" s="98"/>
      <c r="AS565" s="98"/>
      <c r="AT565" s="98"/>
      <c r="AU565" s="98"/>
      <c r="AV565" s="98"/>
      <c r="AW565" s="98"/>
      <c r="AX565" s="98"/>
      <c r="AY565" s="98"/>
      <c r="AZ565" s="98"/>
      <c r="BA565" s="98"/>
      <c r="BB565" s="98"/>
      <c r="BC565" s="98"/>
      <c r="BD565" s="98"/>
      <c r="BE565" s="98"/>
      <c r="BF565" s="98"/>
      <c r="BG565" s="98"/>
      <c r="BH565" s="98"/>
      <c r="BI565" s="98"/>
      <c r="BJ565" s="98"/>
      <c r="BK565" s="98"/>
      <c r="BL565" s="98"/>
      <c r="BM565" s="98"/>
      <c r="BN565" s="98"/>
      <c r="BO565" s="98"/>
      <c r="BP565" s="98"/>
      <c r="BQ565" s="98"/>
      <c r="BR565" s="98"/>
      <c r="BS565" s="98"/>
      <c r="BT565" s="98"/>
      <c r="BU565" s="98"/>
      <c r="BV565" s="98"/>
      <c r="BW565" s="98"/>
      <c r="BX565" s="98"/>
      <c r="BY565" s="98"/>
      <c r="BZ565" s="98"/>
    </row>
    <row r="566" spans="1:78" x14ac:dyDescent="0.25">
      <c r="A566" s="98"/>
      <c r="B566" s="98"/>
      <c r="C566" s="98"/>
      <c r="D566" s="98"/>
      <c r="E566" s="98"/>
      <c r="M566" s="98"/>
      <c r="N566" s="98"/>
      <c r="O566" s="98"/>
      <c r="P566" s="98"/>
      <c r="Q566" s="98"/>
      <c r="R566" s="98"/>
      <c r="S566" s="98"/>
      <c r="T566" s="98"/>
      <c r="U566" s="98"/>
      <c r="V566" s="98"/>
      <c r="W566" s="98"/>
      <c r="X566" s="98"/>
      <c r="Y566" s="98"/>
      <c r="Z566" s="98"/>
      <c r="AA566" s="98"/>
      <c r="AB566" s="98"/>
      <c r="AC566" s="98"/>
      <c r="AD566" s="98"/>
      <c r="AE566" s="98"/>
      <c r="AF566" s="98"/>
      <c r="AG566" s="98"/>
      <c r="AH566" s="98"/>
      <c r="AI566" s="98"/>
      <c r="AJ566" s="98"/>
      <c r="AK566" s="98"/>
      <c r="AL566" s="98"/>
      <c r="AM566" s="98"/>
      <c r="AN566" s="98"/>
      <c r="AO566" s="98"/>
      <c r="AP566" s="98"/>
      <c r="AQ566" s="98"/>
      <c r="AR566" s="98"/>
      <c r="AS566" s="98"/>
      <c r="AT566" s="98"/>
      <c r="AU566" s="98"/>
      <c r="AV566" s="98"/>
      <c r="AW566" s="98"/>
      <c r="AX566" s="98"/>
      <c r="AY566" s="98"/>
      <c r="AZ566" s="98"/>
      <c r="BA566" s="98"/>
      <c r="BB566" s="98"/>
      <c r="BC566" s="98"/>
      <c r="BD566" s="98"/>
      <c r="BE566" s="98"/>
      <c r="BF566" s="98"/>
      <c r="BG566" s="98"/>
      <c r="BH566" s="98"/>
      <c r="BI566" s="98"/>
      <c r="BJ566" s="98"/>
      <c r="BK566" s="98"/>
      <c r="BL566" s="98"/>
      <c r="BM566" s="98"/>
      <c r="BN566" s="98"/>
      <c r="BO566" s="98"/>
      <c r="BP566" s="98"/>
      <c r="BQ566" s="98"/>
      <c r="BR566" s="98"/>
      <c r="BS566" s="98"/>
      <c r="BT566" s="98"/>
      <c r="BU566" s="98"/>
      <c r="BV566" s="98"/>
      <c r="BW566" s="98"/>
      <c r="BX566" s="98"/>
      <c r="BY566" s="98"/>
      <c r="BZ566" s="98"/>
    </row>
    <row r="567" spans="1:78" x14ac:dyDescent="0.25">
      <c r="A567" s="98"/>
      <c r="B567" s="98"/>
      <c r="C567" s="98"/>
      <c r="D567" s="98"/>
      <c r="E567" s="98"/>
      <c r="M567" s="98"/>
      <c r="N567" s="98"/>
      <c r="O567" s="98"/>
      <c r="P567" s="98"/>
      <c r="Q567" s="98"/>
      <c r="R567" s="98"/>
      <c r="S567" s="98"/>
      <c r="T567" s="98"/>
      <c r="U567" s="98"/>
      <c r="V567" s="98"/>
      <c r="W567" s="98"/>
      <c r="X567" s="98"/>
      <c r="Y567" s="98"/>
      <c r="Z567" s="98"/>
      <c r="AA567" s="98"/>
      <c r="AB567" s="98"/>
      <c r="AC567" s="98"/>
      <c r="AD567" s="98"/>
      <c r="AE567" s="98"/>
      <c r="AF567" s="98"/>
      <c r="AG567" s="98"/>
      <c r="AH567" s="98"/>
      <c r="AI567" s="98"/>
      <c r="AJ567" s="98"/>
      <c r="AK567" s="98"/>
      <c r="AL567" s="98"/>
      <c r="AM567" s="98"/>
      <c r="AN567" s="98"/>
      <c r="AO567" s="98"/>
      <c r="AP567" s="98"/>
      <c r="AQ567" s="98"/>
      <c r="AR567" s="98"/>
      <c r="AS567" s="98"/>
      <c r="AT567" s="98"/>
      <c r="AU567" s="98"/>
      <c r="AV567" s="98"/>
      <c r="AW567" s="98"/>
      <c r="AX567" s="98"/>
      <c r="AY567" s="98"/>
      <c r="AZ567" s="98"/>
      <c r="BA567" s="98"/>
      <c r="BB567" s="98"/>
      <c r="BC567" s="98"/>
      <c r="BD567" s="98"/>
      <c r="BE567" s="98"/>
      <c r="BF567" s="98"/>
      <c r="BG567" s="98"/>
      <c r="BH567" s="98"/>
      <c r="BI567" s="98"/>
      <c r="BJ567" s="98"/>
      <c r="BK567" s="98"/>
      <c r="BL567" s="98"/>
      <c r="BM567" s="98"/>
      <c r="BN567" s="98"/>
      <c r="BO567" s="98"/>
      <c r="BP567" s="98"/>
      <c r="BQ567" s="98"/>
      <c r="BR567" s="98"/>
      <c r="BS567" s="98"/>
      <c r="BT567" s="98"/>
      <c r="BU567" s="98"/>
      <c r="BV567" s="98"/>
      <c r="BW567" s="98"/>
      <c r="BX567" s="98"/>
      <c r="BY567" s="98"/>
      <c r="BZ567" s="98"/>
    </row>
    <row r="568" spans="1:78" x14ac:dyDescent="0.25">
      <c r="B568" s="95"/>
      <c r="C568" s="95"/>
      <c r="D568" s="95"/>
      <c r="E568" s="95"/>
      <c r="F568" s="95"/>
      <c r="G568" s="95"/>
      <c r="H568" s="95"/>
      <c r="I568" s="95"/>
      <c r="J568" s="95"/>
      <c r="K568" s="95"/>
      <c r="L568" s="95"/>
    </row>
    <row r="569" spans="1:78" x14ac:dyDescent="0.25">
      <c r="A569" s="98"/>
      <c r="B569" s="98"/>
      <c r="C569" s="98"/>
      <c r="D569" s="98"/>
      <c r="E569" s="98"/>
      <c r="M569" s="98"/>
      <c r="N569" s="98"/>
      <c r="O569" s="98"/>
      <c r="P569" s="98"/>
      <c r="Q569" s="98"/>
      <c r="R569" s="98"/>
      <c r="S569" s="98"/>
      <c r="T569" s="98"/>
      <c r="U569" s="98"/>
      <c r="V569" s="98"/>
      <c r="W569" s="98"/>
      <c r="X569" s="98"/>
      <c r="Y569" s="98"/>
      <c r="Z569" s="98"/>
      <c r="AA569" s="98"/>
      <c r="AB569" s="98"/>
      <c r="AC569" s="98"/>
      <c r="AD569" s="98"/>
      <c r="AE569" s="98"/>
      <c r="AF569" s="98"/>
      <c r="AG569" s="98"/>
      <c r="AH569" s="98"/>
      <c r="AI569" s="98"/>
      <c r="AJ569" s="98"/>
      <c r="AK569" s="98"/>
      <c r="AL569" s="98"/>
      <c r="AM569" s="98"/>
      <c r="AN569" s="98"/>
      <c r="AO569" s="98"/>
      <c r="AP569" s="98"/>
      <c r="AQ569" s="98"/>
      <c r="AR569" s="98"/>
      <c r="AS569" s="98"/>
      <c r="AT569" s="98"/>
      <c r="AU569" s="98"/>
      <c r="AV569" s="98"/>
      <c r="AW569" s="98"/>
      <c r="AX569" s="98"/>
      <c r="AY569" s="98"/>
      <c r="AZ569" s="98"/>
      <c r="BA569" s="98"/>
      <c r="BB569" s="98"/>
      <c r="BC569" s="98"/>
      <c r="BD569" s="98"/>
      <c r="BE569" s="98"/>
      <c r="BF569" s="98"/>
      <c r="BG569" s="98"/>
      <c r="BH569" s="98"/>
      <c r="BI569" s="98"/>
      <c r="BJ569" s="98"/>
      <c r="BK569" s="98"/>
      <c r="BL569" s="98"/>
      <c r="BM569" s="98"/>
      <c r="BN569" s="98"/>
      <c r="BO569" s="98"/>
      <c r="BP569" s="98"/>
      <c r="BQ569" s="98"/>
      <c r="BR569" s="98"/>
      <c r="BS569" s="98"/>
      <c r="BT569" s="98"/>
      <c r="BU569" s="98"/>
      <c r="BV569" s="98"/>
      <c r="BW569" s="98"/>
      <c r="BX569" s="98"/>
      <c r="BY569" s="98"/>
      <c r="BZ569" s="98"/>
    </row>
    <row r="570" spans="1:78" x14ac:dyDescent="0.25">
      <c r="A570" s="98"/>
      <c r="B570" s="98"/>
      <c r="C570" s="98"/>
      <c r="D570" s="98"/>
      <c r="E570" s="98"/>
      <c r="M570" s="98"/>
      <c r="N570" s="98"/>
      <c r="O570" s="98"/>
      <c r="P570" s="98"/>
      <c r="Q570" s="98"/>
      <c r="R570" s="98"/>
      <c r="S570" s="98"/>
      <c r="T570" s="98"/>
      <c r="U570" s="98"/>
      <c r="V570" s="98"/>
      <c r="W570" s="98"/>
      <c r="X570" s="98"/>
      <c r="Y570" s="98"/>
      <c r="Z570" s="98"/>
      <c r="AA570" s="98"/>
      <c r="AB570" s="98"/>
      <c r="AC570" s="98"/>
      <c r="AD570" s="98"/>
      <c r="AE570" s="98"/>
      <c r="AF570" s="98"/>
      <c r="AG570" s="98"/>
      <c r="AH570" s="98"/>
      <c r="AI570" s="98"/>
      <c r="AJ570" s="98"/>
      <c r="AK570" s="98"/>
      <c r="AL570" s="98"/>
      <c r="AM570" s="98"/>
      <c r="AN570" s="98"/>
      <c r="AO570" s="98"/>
      <c r="AP570" s="98"/>
      <c r="AQ570" s="98"/>
      <c r="AR570" s="98"/>
      <c r="AS570" s="98"/>
      <c r="AT570" s="98"/>
      <c r="AU570" s="98"/>
      <c r="AV570" s="98"/>
      <c r="AW570" s="98"/>
      <c r="AX570" s="98"/>
      <c r="AY570" s="98"/>
      <c r="AZ570" s="98"/>
      <c r="BA570" s="98"/>
      <c r="BB570" s="98"/>
      <c r="BC570" s="98"/>
      <c r="BD570" s="98"/>
      <c r="BE570" s="98"/>
      <c r="BF570" s="98"/>
      <c r="BG570" s="98"/>
      <c r="BH570" s="98"/>
      <c r="BI570" s="98"/>
      <c r="BJ570" s="98"/>
      <c r="BK570" s="98"/>
      <c r="BL570" s="98"/>
      <c r="BM570" s="98"/>
      <c r="BN570" s="98"/>
      <c r="BO570" s="98"/>
      <c r="BP570" s="98"/>
      <c r="BQ570" s="98"/>
      <c r="BR570" s="98"/>
      <c r="BS570" s="98"/>
      <c r="BT570" s="98"/>
      <c r="BU570" s="98"/>
      <c r="BV570" s="98"/>
      <c r="BW570" s="98"/>
      <c r="BX570" s="98"/>
      <c r="BY570" s="98"/>
      <c r="BZ570" s="98"/>
    </row>
    <row r="571" spans="1:78" x14ac:dyDescent="0.25">
      <c r="A571" s="98"/>
      <c r="B571" s="98"/>
      <c r="C571" s="98"/>
      <c r="D571" s="98"/>
      <c r="E571" s="98"/>
      <c r="M571" s="98"/>
      <c r="N571" s="98"/>
      <c r="O571" s="98"/>
      <c r="P571" s="98"/>
      <c r="Q571" s="98"/>
      <c r="R571" s="98"/>
      <c r="S571" s="98"/>
      <c r="T571" s="98"/>
      <c r="U571" s="98"/>
      <c r="V571" s="98"/>
      <c r="W571" s="98"/>
      <c r="X571" s="98"/>
      <c r="Y571" s="98"/>
      <c r="Z571" s="98"/>
      <c r="AA571" s="98"/>
      <c r="AB571" s="98"/>
      <c r="AC571" s="98"/>
      <c r="AD571" s="98"/>
      <c r="AE571" s="98"/>
      <c r="AF571" s="98"/>
      <c r="AG571" s="98"/>
      <c r="AH571" s="98"/>
      <c r="AI571" s="98"/>
      <c r="AJ571" s="98"/>
      <c r="AK571" s="98"/>
      <c r="AL571" s="98"/>
      <c r="AM571" s="98"/>
      <c r="AN571" s="98"/>
      <c r="AO571" s="98"/>
      <c r="AP571" s="98"/>
      <c r="AQ571" s="98"/>
      <c r="AR571" s="98"/>
      <c r="AS571" s="98"/>
      <c r="AT571" s="98"/>
      <c r="AU571" s="98"/>
      <c r="AV571" s="98"/>
      <c r="AW571" s="98"/>
      <c r="AX571" s="98"/>
      <c r="AY571" s="98"/>
      <c r="AZ571" s="98"/>
      <c r="BA571" s="98"/>
      <c r="BB571" s="98"/>
      <c r="BC571" s="98"/>
      <c r="BD571" s="98"/>
      <c r="BE571" s="98"/>
      <c r="BF571" s="98"/>
      <c r="BG571" s="98"/>
      <c r="BH571" s="98"/>
      <c r="BI571" s="98"/>
      <c r="BJ571" s="98"/>
      <c r="BK571" s="98"/>
      <c r="BL571" s="98"/>
      <c r="BM571" s="98"/>
      <c r="BN571" s="98"/>
      <c r="BO571" s="98"/>
      <c r="BP571" s="98"/>
      <c r="BQ571" s="98"/>
      <c r="BR571" s="98"/>
      <c r="BS571" s="98"/>
      <c r="BT571" s="98"/>
      <c r="BU571" s="98"/>
      <c r="BV571" s="98"/>
      <c r="BW571" s="98"/>
      <c r="BX571" s="98"/>
      <c r="BY571" s="98"/>
      <c r="BZ571" s="98"/>
    </row>
    <row r="572" spans="1:78" x14ac:dyDescent="0.25">
      <c r="A572" s="98"/>
      <c r="B572" s="98"/>
      <c r="C572" s="98"/>
      <c r="D572" s="98"/>
      <c r="E572" s="98"/>
      <c r="M572" s="98"/>
      <c r="N572" s="98"/>
      <c r="O572" s="98"/>
      <c r="P572" s="98"/>
      <c r="Q572" s="98"/>
      <c r="R572" s="98"/>
      <c r="S572" s="98"/>
      <c r="T572" s="98"/>
      <c r="U572" s="98"/>
      <c r="V572" s="98"/>
      <c r="W572" s="98"/>
      <c r="X572" s="98"/>
      <c r="Y572" s="98"/>
      <c r="Z572" s="98"/>
      <c r="AA572" s="98"/>
      <c r="AB572" s="98"/>
      <c r="AC572" s="98"/>
      <c r="AD572" s="98"/>
      <c r="AE572" s="98"/>
      <c r="AF572" s="98"/>
      <c r="AG572" s="98"/>
      <c r="AH572" s="98"/>
      <c r="AI572" s="98"/>
      <c r="AJ572" s="98"/>
      <c r="AK572" s="98"/>
      <c r="AL572" s="98"/>
      <c r="AM572" s="98"/>
      <c r="AN572" s="98"/>
      <c r="AO572" s="98"/>
      <c r="AP572" s="98"/>
      <c r="AQ572" s="98"/>
      <c r="AR572" s="98"/>
      <c r="AS572" s="98"/>
      <c r="AT572" s="98"/>
      <c r="AU572" s="98"/>
      <c r="AV572" s="98"/>
      <c r="AW572" s="98"/>
      <c r="AX572" s="98"/>
      <c r="AY572" s="98"/>
      <c r="AZ572" s="98"/>
      <c r="BA572" s="98"/>
      <c r="BB572" s="98"/>
      <c r="BC572" s="98"/>
      <c r="BD572" s="98"/>
      <c r="BE572" s="98"/>
      <c r="BF572" s="98"/>
      <c r="BG572" s="98"/>
      <c r="BH572" s="98"/>
      <c r="BI572" s="98"/>
      <c r="BJ572" s="98"/>
      <c r="BK572" s="98"/>
      <c r="BL572" s="98"/>
      <c r="BM572" s="98"/>
      <c r="BN572" s="98"/>
      <c r="BO572" s="98"/>
      <c r="BP572" s="98"/>
      <c r="BQ572" s="98"/>
      <c r="BR572" s="98"/>
      <c r="BS572" s="98"/>
      <c r="BT572" s="98"/>
      <c r="BU572" s="98"/>
      <c r="BV572" s="98"/>
      <c r="BW572" s="98"/>
      <c r="BX572" s="98"/>
      <c r="BY572" s="98"/>
      <c r="BZ572" s="98"/>
    </row>
    <row r="573" spans="1:78" x14ac:dyDescent="0.25">
      <c r="A573" s="98"/>
      <c r="B573" s="98"/>
      <c r="C573" s="98"/>
      <c r="D573" s="98"/>
      <c r="E573" s="98"/>
      <c r="M573" s="98"/>
      <c r="N573" s="98"/>
      <c r="O573" s="98"/>
      <c r="P573" s="98"/>
      <c r="Q573" s="98"/>
      <c r="R573" s="98"/>
      <c r="S573" s="98"/>
      <c r="T573" s="98"/>
      <c r="U573" s="98"/>
      <c r="V573" s="98"/>
      <c r="W573" s="98"/>
      <c r="X573" s="98"/>
      <c r="Y573" s="98"/>
      <c r="Z573" s="98"/>
      <c r="AA573" s="98"/>
      <c r="AB573" s="98"/>
      <c r="AC573" s="98"/>
      <c r="AD573" s="98"/>
      <c r="AE573" s="98"/>
      <c r="AF573" s="98"/>
      <c r="AG573" s="98"/>
      <c r="AH573" s="98"/>
      <c r="AI573" s="98"/>
      <c r="AJ573" s="98"/>
      <c r="AK573" s="98"/>
      <c r="AL573" s="98"/>
      <c r="AM573" s="98"/>
      <c r="AN573" s="98"/>
      <c r="AO573" s="98"/>
      <c r="AP573" s="98"/>
      <c r="AQ573" s="98"/>
      <c r="AR573" s="98"/>
      <c r="AS573" s="98"/>
      <c r="AT573" s="98"/>
      <c r="AU573" s="98"/>
      <c r="AV573" s="98"/>
      <c r="AW573" s="98"/>
      <c r="AX573" s="98"/>
      <c r="AY573" s="98"/>
      <c r="AZ573" s="98"/>
      <c r="BA573" s="98"/>
      <c r="BB573" s="98"/>
      <c r="BC573" s="98"/>
      <c r="BD573" s="98"/>
      <c r="BE573" s="98"/>
      <c r="BF573" s="98"/>
      <c r="BG573" s="98"/>
      <c r="BH573" s="98"/>
      <c r="BI573" s="98"/>
      <c r="BJ573" s="98"/>
      <c r="BK573" s="98"/>
      <c r="BL573" s="98"/>
      <c r="BM573" s="98"/>
      <c r="BN573" s="98"/>
      <c r="BO573" s="98"/>
      <c r="BP573" s="98"/>
      <c r="BQ573" s="98"/>
      <c r="BR573" s="98"/>
      <c r="BS573" s="98"/>
      <c r="BT573" s="98"/>
      <c r="BU573" s="98"/>
      <c r="BV573" s="98"/>
      <c r="BW573" s="98"/>
      <c r="BX573" s="98"/>
      <c r="BY573" s="98"/>
      <c r="BZ573" s="98"/>
    </row>
    <row r="574" spans="1:78" x14ac:dyDescent="0.25">
      <c r="A574" s="98"/>
      <c r="B574" s="98"/>
      <c r="C574" s="98"/>
      <c r="D574" s="98"/>
      <c r="E574" s="98"/>
      <c r="M574" s="98"/>
      <c r="N574" s="98"/>
      <c r="O574" s="98"/>
      <c r="P574" s="98"/>
      <c r="Q574" s="98"/>
      <c r="R574" s="98"/>
      <c r="S574" s="98"/>
      <c r="T574" s="98"/>
      <c r="U574" s="98"/>
      <c r="V574" s="98"/>
      <c r="W574" s="98"/>
      <c r="X574" s="98"/>
      <c r="Y574" s="98"/>
      <c r="Z574" s="98"/>
      <c r="AA574" s="98"/>
      <c r="AB574" s="98"/>
      <c r="AC574" s="98"/>
      <c r="AD574" s="98"/>
      <c r="AE574" s="98"/>
      <c r="AF574" s="98"/>
      <c r="AG574" s="98"/>
      <c r="AH574" s="98"/>
      <c r="AI574" s="98"/>
      <c r="AJ574" s="98"/>
      <c r="AK574" s="98"/>
      <c r="AL574" s="98"/>
      <c r="AM574" s="98"/>
      <c r="AN574" s="98"/>
      <c r="AO574" s="98"/>
      <c r="AP574" s="98"/>
      <c r="AQ574" s="98"/>
      <c r="AR574" s="98"/>
      <c r="AS574" s="98"/>
      <c r="AT574" s="98"/>
      <c r="AU574" s="98"/>
      <c r="AV574" s="98"/>
      <c r="AW574" s="98"/>
      <c r="AX574" s="98"/>
      <c r="AY574" s="98"/>
      <c r="AZ574" s="98"/>
      <c r="BA574" s="98"/>
      <c r="BB574" s="98"/>
      <c r="BC574" s="98"/>
      <c r="BD574" s="98"/>
      <c r="BE574" s="98"/>
      <c r="BF574" s="98"/>
      <c r="BG574" s="98"/>
      <c r="BH574" s="98"/>
      <c r="BI574" s="98"/>
      <c r="BJ574" s="98"/>
      <c r="BK574" s="98"/>
      <c r="BL574" s="98"/>
      <c r="BM574" s="98"/>
      <c r="BN574" s="98"/>
      <c r="BO574" s="98"/>
      <c r="BP574" s="98"/>
      <c r="BQ574" s="98"/>
      <c r="BR574" s="98"/>
      <c r="BS574" s="98"/>
      <c r="BT574" s="98"/>
      <c r="BU574" s="98"/>
      <c r="BV574" s="98"/>
      <c r="BW574" s="98"/>
      <c r="BX574" s="98"/>
      <c r="BY574" s="98"/>
      <c r="BZ574" s="98"/>
    </row>
    <row r="575" spans="1:78" x14ac:dyDescent="0.25">
      <c r="A575" s="98"/>
      <c r="B575" s="98"/>
      <c r="C575" s="98"/>
      <c r="D575" s="98"/>
      <c r="E575" s="98"/>
      <c r="M575" s="98"/>
      <c r="N575" s="98"/>
      <c r="O575" s="98"/>
      <c r="P575" s="98"/>
      <c r="Q575" s="98"/>
      <c r="R575" s="98"/>
      <c r="S575" s="98"/>
      <c r="T575" s="98"/>
      <c r="U575" s="98"/>
      <c r="V575" s="98"/>
      <c r="W575" s="98"/>
      <c r="X575" s="98"/>
      <c r="Y575" s="98"/>
      <c r="Z575" s="98"/>
      <c r="AA575" s="98"/>
      <c r="AB575" s="98"/>
      <c r="AC575" s="98"/>
      <c r="AD575" s="98"/>
      <c r="AE575" s="98"/>
      <c r="AF575" s="98"/>
      <c r="AG575" s="98"/>
      <c r="AH575" s="98"/>
      <c r="AI575" s="98"/>
      <c r="AJ575" s="98"/>
      <c r="AK575" s="98"/>
      <c r="AL575" s="98"/>
      <c r="AM575" s="98"/>
      <c r="AN575" s="98"/>
      <c r="AO575" s="98"/>
      <c r="AP575" s="98"/>
      <c r="AQ575" s="98"/>
      <c r="AR575" s="98"/>
      <c r="AS575" s="98"/>
      <c r="AT575" s="98"/>
      <c r="AU575" s="98"/>
      <c r="AV575" s="98"/>
      <c r="AW575" s="98"/>
      <c r="AX575" s="98"/>
      <c r="AY575" s="98"/>
      <c r="AZ575" s="98"/>
      <c r="BA575" s="98"/>
      <c r="BB575" s="98"/>
      <c r="BC575" s="98"/>
      <c r="BD575" s="98"/>
      <c r="BE575" s="98"/>
      <c r="BF575" s="98"/>
      <c r="BG575" s="98"/>
      <c r="BH575" s="98"/>
      <c r="BI575" s="98"/>
      <c r="BJ575" s="98"/>
      <c r="BK575" s="98"/>
      <c r="BL575" s="98"/>
      <c r="BM575" s="98"/>
      <c r="BN575" s="98"/>
      <c r="BO575" s="98"/>
      <c r="BP575" s="98"/>
      <c r="BQ575" s="98"/>
      <c r="BR575" s="98"/>
      <c r="BS575" s="98"/>
      <c r="BT575" s="98"/>
      <c r="BU575" s="98"/>
      <c r="BV575" s="98"/>
      <c r="BW575" s="98"/>
      <c r="BX575" s="98"/>
      <c r="BY575" s="98"/>
      <c r="BZ575" s="98"/>
    </row>
    <row r="576" spans="1:78" x14ac:dyDescent="0.25">
      <c r="A576" s="98"/>
      <c r="B576" s="98"/>
      <c r="C576" s="98"/>
      <c r="D576" s="98"/>
      <c r="E576" s="98"/>
      <c r="M576" s="98"/>
      <c r="N576" s="98"/>
      <c r="O576" s="98"/>
      <c r="P576" s="98"/>
      <c r="Q576" s="98"/>
      <c r="R576" s="98"/>
      <c r="S576" s="98"/>
      <c r="T576" s="98"/>
      <c r="U576" s="98"/>
      <c r="V576" s="98"/>
      <c r="W576" s="98"/>
      <c r="X576" s="98"/>
      <c r="Y576" s="98"/>
      <c r="Z576" s="98"/>
      <c r="AA576" s="98"/>
      <c r="AB576" s="98"/>
      <c r="AC576" s="98"/>
      <c r="AD576" s="98"/>
      <c r="AE576" s="98"/>
      <c r="AF576" s="98"/>
      <c r="AG576" s="98"/>
      <c r="AH576" s="98"/>
      <c r="AI576" s="98"/>
      <c r="AJ576" s="98"/>
      <c r="AK576" s="98"/>
      <c r="AL576" s="98"/>
      <c r="AM576" s="98"/>
      <c r="AN576" s="98"/>
      <c r="AO576" s="98"/>
      <c r="AP576" s="98"/>
      <c r="AQ576" s="98"/>
      <c r="AR576" s="98"/>
      <c r="AS576" s="98"/>
      <c r="AT576" s="98"/>
      <c r="AU576" s="98"/>
      <c r="AV576" s="98"/>
      <c r="AW576" s="98"/>
      <c r="AX576" s="98"/>
      <c r="AY576" s="98"/>
      <c r="AZ576" s="98"/>
      <c r="BA576" s="98"/>
      <c r="BB576" s="98"/>
      <c r="BC576" s="98"/>
      <c r="BD576" s="98"/>
      <c r="BE576" s="98"/>
      <c r="BF576" s="98"/>
      <c r="BG576" s="98"/>
      <c r="BH576" s="98"/>
      <c r="BI576" s="98"/>
      <c r="BJ576" s="98"/>
      <c r="BK576" s="98"/>
      <c r="BL576" s="98"/>
      <c r="BM576" s="98"/>
      <c r="BN576" s="98"/>
      <c r="BO576" s="98"/>
      <c r="BP576" s="98"/>
      <c r="BQ576" s="98"/>
      <c r="BR576" s="98"/>
      <c r="BS576" s="98"/>
      <c r="BT576" s="98"/>
      <c r="BU576" s="98"/>
      <c r="BV576" s="98"/>
      <c r="BW576" s="98"/>
      <c r="BX576" s="98"/>
      <c r="BY576" s="98"/>
      <c r="BZ576" s="98"/>
    </row>
    <row r="577" spans="1:78" x14ac:dyDescent="0.25">
      <c r="A577" s="98"/>
      <c r="B577" s="98"/>
      <c r="C577" s="98"/>
      <c r="D577" s="98"/>
      <c r="E577" s="98"/>
      <c r="M577" s="98"/>
      <c r="N577" s="98"/>
      <c r="O577" s="98"/>
      <c r="P577" s="98"/>
      <c r="Q577" s="98"/>
      <c r="R577" s="98"/>
      <c r="S577" s="98"/>
      <c r="T577" s="98"/>
      <c r="U577" s="98"/>
      <c r="V577" s="98"/>
      <c r="W577" s="98"/>
      <c r="X577" s="98"/>
      <c r="Y577" s="98"/>
      <c r="Z577" s="98"/>
      <c r="AA577" s="98"/>
      <c r="AB577" s="98"/>
      <c r="AC577" s="98"/>
      <c r="AD577" s="98"/>
      <c r="AE577" s="98"/>
      <c r="AF577" s="98"/>
      <c r="AG577" s="98"/>
      <c r="AH577" s="98"/>
      <c r="AI577" s="98"/>
      <c r="AJ577" s="98"/>
      <c r="AK577" s="98"/>
      <c r="AL577" s="98"/>
      <c r="AM577" s="98"/>
      <c r="AN577" s="98"/>
      <c r="AO577" s="98"/>
      <c r="AP577" s="98"/>
      <c r="AQ577" s="98"/>
      <c r="AR577" s="98"/>
      <c r="AS577" s="98"/>
      <c r="AT577" s="98"/>
      <c r="AU577" s="98"/>
      <c r="AV577" s="98"/>
      <c r="AW577" s="98"/>
      <c r="AX577" s="98"/>
      <c r="AY577" s="98"/>
      <c r="AZ577" s="98"/>
      <c r="BA577" s="98"/>
      <c r="BB577" s="98"/>
      <c r="BC577" s="98"/>
      <c r="BD577" s="98"/>
      <c r="BE577" s="98"/>
      <c r="BF577" s="98"/>
      <c r="BG577" s="98"/>
      <c r="BH577" s="98"/>
      <c r="BI577" s="98"/>
      <c r="BJ577" s="98"/>
      <c r="BK577" s="98"/>
      <c r="BL577" s="98"/>
      <c r="BM577" s="98"/>
      <c r="BN577" s="98"/>
      <c r="BO577" s="98"/>
      <c r="BP577" s="98"/>
      <c r="BQ577" s="98"/>
      <c r="BR577" s="98"/>
      <c r="BS577" s="98"/>
      <c r="BT577" s="98"/>
      <c r="BU577" s="98"/>
      <c r="BV577" s="98"/>
      <c r="BW577" s="98"/>
      <c r="BX577" s="98"/>
      <c r="BY577" s="98"/>
      <c r="BZ577" s="98"/>
    </row>
    <row r="578" spans="1:78" x14ac:dyDescent="0.25">
      <c r="A578" s="98"/>
      <c r="B578" s="98"/>
      <c r="C578" s="98"/>
      <c r="D578" s="98"/>
      <c r="E578" s="98"/>
      <c r="M578" s="98"/>
      <c r="N578" s="98"/>
      <c r="O578" s="98"/>
      <c r="P578" s="98"/>
      <c r="Q578" s="98"/>
      <c r="R578" s="98"/>
      <c r="S578" s="98"/>
      <c r="T578" s="98"/>
      <c r="U578" s="98"/>
      <c r="V578" s="98"/>
      <c r="W578" s="98"/>
      <c r="X578" s="98"/>
      <c r="Y578" s="98"/>
      <c r="Z578" s="98"/>
      <c r="AA578" s="98"/>
      <c r="AB578" s="98"/>
      <c r="AC578" s="98"/>
      <c r="AD578" s="98"/>
      <c r="AE578" s="98"/>
      <c r="AF578" s="98"/>
      <c r="AG578" s="98"/>
      <c r="AH578" s="98"/>
      <c r="AI578" s="98"/>
      <c r="AJ578" s="98"/>
      <c r="AK578" s="98"/>
      <c r="AL578" s="98"/>
      <c r="AM578" s="98"/>
      <c r="AN578" s="98"/>
      <c r="AO578" s="98"/>
      <c r="AP578" s="98"/>
      <c r="AQ578" s="98"/>
      <c r="AR578" s="98"/>
      <c r="AS578" s="98"/>
      <c r="AT578" s="98"/>
      <c r="AU578" s="98"/>
      <c r="AV578" s="98"/>
      <c r="AW578" s="98"/>
      <c r="AX578" s="98"/>
      <c r="AY578" s="98"/>
      <c r="AZ578" s="98"/>
      <c r="BA578" s="98"/>
      <c r="BB578" s="98"/>
      <c r="BC578" s="98"/>
      <c r="BD578" s="98"/>
      <c r="BE578" s="98"/>
      <c r="BF578" s="98"/>
      <c r="BG578" s="98"/>
      <c r="BH578" s="98"/>
      <c r="BI578" s="98"/>
      <c r="BJ578" s="98"/>
      <c r="BK578" s="98"/>
      <c r="BL578" s="98"/>
      <c r="BM578" s="98"/>
      <c r="BN578" s="98"/>
      <c r="BO578" s="98"/>
      <c r="BP578" s="98"/>
      <c r="BQ578" s="98"/>
      <c r="BR578" s="98"/>
      <c r="BS578" s="98"/>
      <c r="BT578" s="98"/>
      <c r="BU578" s="98"/>
      <c r="BV578" s="98"/>
      <c r="BW578" s="98"/>
      <c r="BX578" s="98"/>
      <c r="BY578" s="98"/>
      <c r="BZ578" s="98"/>
    </row>
    <row r="579" spans="1:78" x14ac:dyDescent="0.25">
      <c r="B579" s="95"/>
      <c r="C579" s="95"/>
      <c r="D579" s="95"/>
      <c r="E579" s="95"/>
      <c r="F579" s="95"/>
      <c r="G579" s="95"/>
      <c r="H579" s="95"/>
      <c r="I579" s="95"/>
      <c r="J579" s="95"/>
      <c r="K579" s="95"/>
      <c r="L579" s="95"/>
    </row>
    <row r="580" spans="1:78" x14ac:dyDescent="0.25">
      <c r="B580" s="95"/>
      <c r="C580" s="95"/>
      <c r="D580" s="95"/>
      <c r="E580" s="95"/>
      <c r="F580" s="95"/>
      <c r="G580" s="95"/>
      <c r="H580" s="95"/>
      <c r="I580" s="95"/>
      <c r="J580" s="95"/>
      <c r="K580" s="95"/>
      <c r="L580" s="95"/>
    </row>
    <row r="581" spans="1:78" x14ac:dyDescent="0.25">
      <c r="A581" s="98"/>
      <c r="B581" s="98"/>
      <c r="C581" s="98"/>
      <c r="D581" s="98"/>
      <c r="E581" s="98"/>
      <c r="M581" s="98"/>
      <c r="N581" s="98"/>
      <c r="O581" s="98"/>
      <c r="P581" s="98"/>
      <c r="Q581" s="98"/>
      <c r="R581" s="98"/>
      <c r="S581" s="98"/>
      <c r="T581" s="98"/>
      <c r="U581" s="98"/>
      <c r="V581" s="98"/>
      <c r="W581" s="98"/>
      <c r="X581" s="98"/>
      <c r="Y581" s="98"/>
      <c r="Z581" s="98"/>
      <c r="AA581" s="98"/>
      <c r="AB581" s="98"/>
      <c r="AC581" s="98"/>
      <c r="AD581" s="98"/>
      <c r="AE581" s="98"/>
      <c r="AF581" s="98"/>
      <c r="AG581" s="98"/>
      <c r="AH581" s="98"/>
      <c r="AI581" s="98"/>
      <c r="AJ581" s="98"/>
      <c r="AK581" s="98"/>
      <c r="AL581" s="98"/>
      <c r="AM581" s="98"/>
      <c r="AN581" s="98"/>
      <c r="AO581" s="98"/>
      <c r="AP581" s="98"/>
      <c r="AQ581" s="98"/>
      <c r="AR581" s="98"/>
      <c r="AS581" s="98"/>
      <c r="AT581" s="98"/>
      <c r="AU581" s="98"/>
      <c r="AV581" s="98"/>
      <c r="AW581" s="98"/>
      <c r="AX581" s="98"/>
      <c r="AY581" s="98"/>
      <c r="AZ581" s="98"/>
      <c r="BA581" s="98"/>
      <c r="BB581" s="98"/>
      <c r="BC581" s="98"/>
      <c r="BD581" s="98"/>
      <c r="BE581" s="98"/>
      <c r="BF581" s="98"/>
      <c r="BG581" s="98"/>
      <c r="BH581" s="98"/>
      <c r="BI581" s="98"/>
      <c r="BJ581" s="98"/>
      <c r="BK581" s="98"/>
      <c r="BL581" s="98"/>
      <c r="BM581" s="98"/>
      <c r="BN581" s="98"/>
      <c r="BO581" s="98"/>
      <c r="BP581" s="98"/>
      <c r="BQ581" s="98"/>
      <c r="BR581" s="98"/>
      <c r="BS581" s="98"/>
      <c r="BT581" s="98"/>
      <c r="BU581" s="98"/>
      <c r="BV581" s="98"/>
      <c r="BW581" s="98"/>
      <c r="BX581" s="98"/>
      <c r="BY581" s="98"/>
      <c r="BZ581" s="98"/>
    </row>
    <row r="582" spans="1:78" x14ac:dyDescent="0.25">
      <c r="A582" s="98"/>
      <c r="B582" s="98"/>
      <c r="C582" s="98"/>
      <c r="D582" s="98"/>
      <c r="E582" s="98"/>
      <c r="M582" s="98"/>
      <c r="N582" s="98"/>
      <c r="O582" s="98"/>
      <c r="P582" s="98"/>
      <c r="Q582" s="98"/>
      <c r="R582" s="98"/>
      <c r="S582" s="98"/>
      <c r="T582" s="98"/>
      <c r="U582" s="98"/>
      <c r="V582" s="98"/>
      <c r="W582" s="98"/>
      <c r="X582" s="98"/>
      <c r="Y582" s="98"/>
      <c r="Z582" s="98"/>
      <c r="AA582" s="98"/>
      <c r="AB582" s="98"/>
      <c r="AC582" s="98"/>
      <c r="AD582" s="98"/>
      <c r="AE582" s="98"/>
      <c r="AF582" s="98"/>
      <c r="AG582" s="98"/>
      <c r="AH582" s="98"/>
      <c r="AI582" s="98"/>
      <c r="AJ582" s="98"/>
      <c r="AK582" s="98"/>
      <c r="AL582" s="98"/>
      <c r="AM582" s="98"/>
      <c r="AN582" s="98"/>
      <c r="AO582" s="98"/>
      <c r="AP582" s="98"/>
      <c r="AQ582" s="98"/>
      <c r="AR582" s="98"/>
      <c r="AS582" s="98"/>
      <c r="AT582" s="98"/>
      <c r="AU582" s="98"/>
      <c r="AV582" s="98"/>
      <c r="AW582" s="98"/>
      <c r="AX582" s="98"/>
      <c r="AY582" s="98"/>
      <c r="AZ582" s="98"/>
      <c r="BA582" s="98"/>
      <c r="BB582" s="98"/>
      <c r="BC582" s="98"/>
      <c r="BD582" s="98"/>
      <c r="BE582" s="98"/>
      <c r="BF582" s="98"/>
      <c r="BG582" s="98"/>
      <c r="BH582" s="98"/>
      <c r="BI582" s="98"/>
      <c r="BJ582" s="98"/>
      <c r="BK582" s="98"/>
      <c r="BL582" s="98"/>
      <c r="BM582" s="98"/>
      <c r="BN582" s="98"/>
      <c r="BO582" s="98"/>
      <c r="BP582" s="98"/>
      <c r="BQ582" s="98"/>
      <c r="BR582" s="98"/>
      <c r="BS582" s="98"/>
      <c r="BT582" s="98"/>
      <c r="BU582" s="98"/>
      <c r="BV582" s="98"/>
      <c r="BW582" s="98"/>
      <c r="BX582" s="98"/>
      <c r="BY582" s="98"/>
      <c r="BZ582" s="98"/>
    </row>
    <row r="583" spans="1:78" x14ac:dyDescent="0.25">
      <c r="A583" s="98"/>
      <c r="B583" s="98"/>
      <c r="C583" s="98"/>
      <c r="D583" s="98"/>
      <c r="E583" s="98"/>
      <c r="M583" s="98"/>
      <c r="N583" s="98"/>
      <c r="O583" s="98"/>
      <c r="P583" s="98"/>
      <c r="Q583" s="98"/>
      <c r="R583" s="98"/>
      <c r="S583" s="98"/>
      <c r="T583" s="98"/>
      <c r="U583" s="98"/>
      <c r="V583" s="98"/>
      <c r="W583" s="98"/>
      <c r="X583" s="98"/>
      <c r="Y583" s="98"/>
      <c r="Z583" s="98"/>
      <c r="AA583" s="98"/>
      <c r="AB583" s="98"/>
      <c r="AC583" s="98"/>
      <c r="AD583" s="98"/>
      <c r="AE583" s="98"/>
      <c r="AF583" s="98"/>
      <c r="AG583" s="98"/>
      <c r="AH583" s="98"/>
      <c r="AI583" s="98"/>
      <c r="AJ583" s="98"/>
      <c r="AK583" s="98"/>
      <c r="AL583" s="98"/>
      <c r="AM583" s="98"/>
      <c r="AN583" s="98"/>
      <c r="AO583" s="98"/>
      <c r="AP583" s="98"/>
      <c r="AQ583" s="98"/>
      <c r="AR583" s="98"/>
      <c r="AS583" s="98"/>
      <c r="AT583" s="98"/>
      <c r="AU583" s="98"/>
      <c r="AV583" s="98"/>
      <c r="AW583" s="98"/>
      <c r="AX583" s="98"/>
      <c r="AY583" s="98"/>
      <c r="AZ583" s="98"/>
      <c r="BA583" s="98"/>
      <c r="BB583" s="98"/>
      <c r="BC583" s="98"/>
      <c r="BD583" s="98"/>
      <c r="BE583" s="98"/>
      <c r="BF583" s="98"/>
      <c r="BG583" s="98"/>
      <c r="BH583" s="98"/>
      <c r="BI583" s="98"/>
      <c r="BJ583" s="98"/>
      <c r="BK583" s="98"/>
      <c r="BL583" s="98"/>
      <c r="BM583" s="98"/>
      <c r="BN583" s="98"/>
      <c r="BO583" s="98"/>
      <c r="BP583" s="98"/>
      <c r="BQ583" s="98"/>
      <c r="BR583" s="98"/>
      <c r="BS583" s="98"/>
      <c r="BT583" s="98"/>
      <c r="BU583" s="98"/>
      <c r="BV583" s="98"/>
      <c r="BW583" s="98"/>
      <c r="BX583" s="98"/>
      <c r="BY583" s="98"/>
      <c r="BZ583" s="98"/>
    </row>
    <row r="584" spans="1:78" x14ac:dyDescent="0.25">
      <c r="A584" s="98"/>
      <c r="B584" s="98"/>
      <c r="C584" s="98"/>
      <c r="D584" s="98"/>
      <c r="E584" s="98"/>
      <c r="M584" s="98"/>
      <c r="N584" s="98"/>
      <c r="O584" s="98"/>
      <c r="P584" s="98"/>
      <c r="Q584" s="98"/>
      <c r="R584" s="98"/>
      <c r="S584" s="98"/>
      <c r="T584" s="98"/>
      <c r="U584" s="98"/>
      <c r="V584" s="98"/>
      <c r="W584" s="98"/>
      <c r="X584" s="98"/>
      <c r="Y584" s="98"/>
      <c r="Z584" s="98"/>
      <c r="AA584" s="98"/>
      <c r="AB584" s="98"/>
      <c r="AC584" s="98"/>
      <c r="AD584" s="98"/>
      <c r="AE584" s="98"/>
      <c r="AF584" s="98"/>
      <c r="AG584" s="98"/>
      <c r="AH584" s="98"/>
      <c r="AI584" s="98"/>
      <c r="AJ584" s="98"/>
      <c r="AK584" s="98"/>
      <c r="AL584" s="98"/>
      <c r="AM584" s="98"/>
      <c r="AN584" s="98"/>
      <c r="AO584" s="98"/>
      <c r="AP584" s="98"/>
      <c r="AQ584" s="98"/>
      <c r="AR584" s="98"/>
      <c r="AS584" s="98"/>
      <c r="AT584" s="98"/>
      <c r="AU584" s="98"/>
      <c r="AV584" s="98"/>
      <c r="AW584" s="98"/>
      <c r="AX584" s="98"/>
      <c r="AY584" s="98"/>
      <c r="AZ584" s="98"/>
      <c r="BA584" s="98"/>
      <c r="BB584" s="98"/>
      <c r="BC584" s="98"/>
      <c r="BD584" s="98"/>
      <c r="BE584" s="98"/>
      <c r="BF584" s="98"/>
      <c r="BG584" s="98"/>
      <c r="BH584" s="98"/>
      <c r="BI584" s="98"/>
      <c r="BJ584" s="98"/>
      <c r="BK584" s="98"/>
      <c r="BL584" s="98"/>
      <c r="BM584" s="98"/>
      <c r="BN584" s="98"/>
      <c r="BO584" s="98"/>
      <c r="BP584" s="98"/>
      <c r="BQ584" s="98"/>
      <c r="BR584" s="98"/>
      <c r="BS584" s="98"/>
      <c r="BT584" s="98"/>
      <c r="BU584" s="98"/>
      <c r="BV584" s="98"/>
      <c r="BW584" s="98"/>
      <c r="BX584" s="98"/>
      <c r="BY584" s="98"/>
      <c r="BZ584" s="98"/>
    </row>
    <row r="585" spans="1:78" x14ac:dyDescent="0.25">
      <c r="A585" s="98"/>
      <c r="B585" s="98"/>
      <c r="C585" s="98"/>
      <c r="D585" s="98"/>
      <c r="E585" s="98"/>
      <c r="M585" s="98"/>
      <c r="N585" s="98"/>
      <c r="O585" s="98"/>
      <c r="P585" s="98"/>
      <c r="Q585" s="98"/>
      <c r="R585" s="98"/>
      <c r="S585" s="98"/>
      <c r="T585" s="98"/>
      <c r="U585" s="98"/>
      <c r="V585" s="98"/>
      <c r="W585" s="98"/>
      <c r="X585" s="98"/>
      <c r="Y585" s="98"/>
      <c r="Z585" s="98"/>
      <c r="AA585" s="98"/>
      <c r="AB585" s="98"/>
      <c r="AC585" s="98"/>
      <c r="AD585" s="98"/>
      <c r="AE585" s="98"/>
      <c r="AF585" s="98"/>
      <c r="AG585" s="98"/>
      <c r="AH585" s="98"/>
      <c r="AI585" s="98"/>
      <c r="AJ585" s="98"/>
      <c r="AK585" s="98"/>
      <c r="AL585" s="98"/>
      <c r="AM585" s="98"/>
      <c r="AN585" s="98"/>
      <c r="AO585" s="98"/>
      <c r="AP585" s="98"/>
      <c r="AQ585" s="98"/>
      <c r="AR585" s="98"/>
      <c r="AS585" s="98"/>
      <c r="AT585" s="98"/>
      <c r="AU585" s="98"/>
      <c r="AV585" s="98"/>
      <c r="AW585" s="98"/>
      <c r="AX585" s="98"/>
      <c r="AY585" s="98"/>
      <c r="AZ585" s="98"/>
      <c r="BA585" s="98"/>
      <c r="BB585" s="98"/>
      <c r="BC585" s="98"/>
      <c r="BD585" s="98"/>
      <c r="BE585" s="98"/>
      <c r="BF585" s="98"/>
      <c r="BG585" s="98"/>
      <c r="BH585" s="98"/>
      <c r="BI585" s="98"/>
      <c r="BJ585" s="98"/>
      <c r="BK585" s="98"/>
      <c r="BL585" s="98"/>
      <c r="BM585" s="98"/>
      <c r="BN585" s="98"/>
      <c r="BO585" s="98"/>
      <c r="BP585" s="98"/>
      <c r="BQ585" s="98"/>
      <c r="BR585" s="98"/>
      <c r="BS585" s="98"/>
      <c r="BT585" s="98"/>
      <c r="BU585" s="98"/>
      <c r="BV585" s="98"/>
      <c r="BW585" s="98"/>
      <c r="BX585" s="98"/>
      <c r="BY585" s="98"/>
      <c r="BZ585" s="98"/>
    </row>
    <row r="586" spans="1:78" x14ac:dyDescent="0.25">
      <c r="A586" s="98"/>
      <c r="B586" s="98"/>
      <c r="C586" s="98"/>
      <c r="D586" s="98"/>
      <c r="E586" s="98"/>
      <c r="M586" s="98"/>
      <c r="N586" s="98"/>
      <c r="O586" s="98"/>
      <c r="P586" s="98"/>
      <c r="Q586" s="98"/>
      <c r="R586" s="98"/>
      <c r="S586" s="98"/>
      <c r="T586" s="98"/>
      <c r="U586" s="98"/>
      <c r="V586" s="98"/>
      <c r="W586" s="98"/>
      <c r="X586" s="98"/>
      <c r="Y586" s="98"/>
      <c r="Z586" s="98"/>
      <c r="AA586" s="98"/>
      <c r="AB586" s="98"/>
      <c r="AC586" s="98"/>
      <c r="AD586" s="98"/>
      <c r="AE586" s="98"/>
      <c r="AF586" s="98"/>
      <c r="AG586" s="98"/>
      <c r="AH586" s="98"/>
      <c r="AI586" s="98"/>
      <c r="AJ586" s="98"/>
      <c r="AK586" s="98"/>
      <c r="AL586" s="98"/>
      <c r="AM586" s="98"/>
      <c r="AN586" s="98"/>
      <c r="AO586" s="98"/>
      <c r="AP586" s="98"/>
      <c r="AQ586" s="98"/>
      <c r="AR586" s="98"/>
      <c r="AS586" s="98"/>
      <c r="AT586" s="98"/>
      <c r="AU586" s="98"/>
      <c r="AV586" s="98"/>
      <c r="AW586" s="98"/>
      <c r="AX586" s="98"/>
      <c r="AY586" s="98"/>
      <c r="AZ586" s="98"/>
      <c r="BA586" s="98"/>
      <c r="BB586" s="98"/>
      <c r="BC586" s="98"/>
      <c r="BD586" s="98"/>
      <c r="BE586" s="98"/>
      <c r="BF586" s="98"/>
      <c r="BG586" s="98"/>
      <c r="BH586" s="98"/>
      <c r="BI586" s="98"/>
      <c r="BJ586" s="98"/>
      <c r="BK586" s="98"/>
      <c r="BL586" s="98"/>
      <c r="BM586" s="98"/>
      <c r="BN586" s="98"/>
      <c r="BO586" s="98"/>
      <c r="BP586" s="98"/>
      <c r="BQ586" s="98"/>
      <c r="BR586" s="98"/>
      <c r="BS586" s="98"/>
      <c r="BT586" s="98"/>
      <c r="BU586" s="98"/>
      <c r="BV586" s="98"/>
      <c r="BW586" s="98"/>
      <c r="BX586" s="98"/>
      <c r="BY586" s="98"/>
      <c r="BZ586" s="98"/>
    </row>
    <row r="587" spans="1:78" x14ac:dyDescent="0.25">
      <c r="A587" s="98"/>
      <c r="B587" s="98"/>
      <c r="C587" s="98"/>
      <c r="D587" s="98"/>
      <c r="E587" s="98"/>
      <c r="M587" s="98"/>
      <c r="N587" s="98"/>
      <c r="O587" s="98"/>
      <c r="P587" s="98"/>
      <c r="Q587" s="98"/>
      <c r="R587" s="98"/>
      <c r="S587" s="98"/>
      <c r="T587" s="98"/>
      <c r="U587" s="98"/>
      <c r="V587" s="98"/>
      <c r="W587" s="98"/>
      <c r="X587" s="98"/>
      <c r="Y587" s="98"/>
      <c r="Z587" s="98"/>
      <c r="AA587" s="98"/>
      <c r="AB587" s="98"/>
      <c r="AC587" s="98"/>
      <c r="AD587" s="98"/>
      <c r="AE587" s="98"/>
      <c r="AF587" s="98"/>
      <c r="AG587" s="98"/>
      <c r="AH587" s="98"/>
      <c r="AI587" s="98"/>
      <c r="AJ587" s="98"/>
      <c r="AK587" s="98"/>
      <c r="AL587" s="98"/>
      <c r="AM587" s="98"/>
      <c r="AN587" s="98"/>
      <c r="AO587" s="98"/>
      <c r="AP587" s="98"/>
      <c r="AQ587" s="98"/>
      <c r="AR587" s="98"/>
      <c r="AS587" s="98"/>
      <c r="AT587" s="98"/>
      <c r="AU587" s="98"/>
      <c r="AV587" s="98"/>
      <c r="AW587" s="98"/>
      <c r="AX587" s="98"/>
      <c r="AY587" s="98"/>
      <c r="AZ587" s="98"/>
      <c r="BA587" s="98"/>
      <c r="BB587" s="98"/>
      <c r="BC587" s="98"/>
      <c r="BD587" s="98"/>
      <c r="BE587" s="98"/>
      <c r="BF587" s="98"/>
      <c r="BG587" s="98"/>
      <c r="BH587" s="98"/>
      <c r="BI587" s="98"/>
      <c r="BJ587" s="98"/>
      <c r="BK587" s="98"/>
      <c r="BL587" s="98"/>
      <c r="BM587" s="98"/>
      <c r="BN587" s="98"/>
      <c r="BO587" s="98"/>
      <c r="BP587" s="98"/>
      <c r="BQ587" s="98"/>
      <c r="BR587" s="98"/>
      <c r="BS587" s="98"/>
      <c r="BT587" s="98"/>
      <c r="BU587" s="98"/>
      <c r="BV587" s="98"/>
      <c r="BW587" s="98"/>
      <c r="BX587" s="98"/>
      <c r="BY587" s="98"/>
      <c r="BZ587" s="98"/>
    </row>
    <row r="588" spans="1:78" x14ac:dyDescent="0.25">
      <c r="A588" s="98"/>
      <c r="B588" s="98"/>
      <c r="C588" s="98"/>
      <c r="D588" s="98"/>
      <c r="E588" s="98"/>
      <c r="M588" s="98"/>
      <c r="N588" s="98"/>
      <c r="O588" s="98"/>
      <c r="P588" s="98"/>
      <c r="Q588" s="98"/>
      <c r="R588" s="98"/>
      <c r="S588" s="98"/>
      <c r="T588" s="98"/>
      <c r="U588" s="98"/>
      <c r="V588" s="98"/>
      <c r="W588" s="98"/>
      <c r="X588" s="98"/>
      <c r="Y588" s="98"/>
      <c r="Z588" s="98"/>
      <c r="AA588" s="98"/>
      <c r="AB588" s="98"/>
      <c r="AC588" s="98"/>
      <c r="AD588" s="98"/>
      <c r="AE588" s="98"/>
      <c r="AF588" s="98"/>
      <c r="AG588" s="98"/>
      <c r="AH588" s="98"/>
      <c r="AI588" s="98"/>
      <c r="AJ588" s="98"/>
      <c r="AK588" s="98"/>
      <c r="AL588" s="98"/>
      <c r="AM588" s="98"/>
      <c r="AN588" s="98"/>
      <c r="AO588" s="98"/>
      <c r="AP588" s="98"/>
      <c r="AQ588" s="98"/>
      <c r="AR588" s="98"/>
      <c r="AS588" s="98"/>
      <c r="AT588" s="98"/>
      <c r="AU588" s="98"/>
      <c r="AV588" s="98"/>
      <c r="AW588" s="98"/>
      <c r="AX588" s="98"/>
      <c r="AY588" s="98"/>
      <c r="AZ588" s="98"/>
      <c r="BA588" s="98"/>
      <c r="BB588" s="98"/>
      <c r="BC588" s="98"/>
      <c r="BD588" s="98"/>
      <c r="BE588" s="98"/>
      <c r="BF588" s="98"/>
      <c r="BG588" s="98"/>
      <c r="BH588" s="98"/>
      <c r="BI588" s="98"/>
      <c r="BJ588" s="98"/>
      <c r="BK588" s="98"/>
      <c r="BL588" s="98"/>
      <c r="BM588" s="98"/>
      <c r="BN588" s="98"/>
      <c r="BO588" s="98"/>
      <c r="BP588" s="98"/>
      <c r="BQ588" s="98"/>
      <c r="BR588" s="98"/>
      <c r="BS588" s="98"/>
      <c r="BT588" s="98"/>
      <c r="BU588" s="98"/>
      <c r="BV588" s="98"/>
      <c r="BW588" s="98"/>
      <c r="BX588" s="98"/>
      <c r="BY588" s="98"/>
      <c r="BZ588" s="98"/>
    </row>
    <row r="589" spans="1:78" x14ac:dyDescent="0.25">
      <c r="A589" s="98"/>
      <c r="B589" s="98"/>
      <c r="C589" s="98"/>
      <c r="D589" s="98"/>
      <c r="E589" s="98"/>
      <c r="M589" s="98"/>
      <c r="N589" s="98"/>
      <c r="O589" s="98"/>
      <c r="P589" s="98"/>
      <c r="Q589" s="98"/>
      <c r="R589" s="98"/>
      <c r="S589" s="98"/>
      <c r="T589" s="98"/>
      <c r="U589" s="98"/>
      <c r="V589" s="98"/>
      <c r="W589" s="98"/>
      <c r="X589" s="98"/>
      <c r="Y589" s="98"/>
      <c r="Z589" s="98"/>
      <c r="AA589" s="98"/>
      <c r="AB589" s="98"/>
      <c r="AC589" s="98"/>
      <c r="AD589" s="98"/>
      <c r="AE589" s="98"/>
      <c r="AF589" s="98"/>
      <c r="AG589" s="98"/>
      <c r="AH589" s="98"/>
      <c r="AI589" s="98"/>
      <c r="AJ589" s="98"/>
      <c r="AK589" s="98"/>
      <c r="AL589" s="98"/>
      <c r="AM589" s="98"/>
      <c r="AN589" s="98"/>
      <c r="AO589" s="98"/>
      <c r="AP589" s="98"/>
      <c r="AQ589" s="98"/>
      <c r="AR589" s="98"/>
      <c r="AS589" s="98"/>
      <c r="AT589" s="98"/>
      <c r="AU589" s="98"/>
      <c r="AV589" s="98"/>
      <c r="AW589" s="98"/>
      <c r="AX589" s="98"/>
      <c r="AY589" s="98"/>
      <c r="AZ589" s="98"/>
      <c r="BA589" s="98"/>
      <c r="BB589" s="98"/>
      <c r="BC589" s="98"/>
      <c r="BD589" s="98"/>
      <c r="BE589" s="98"/>
      <c r="BF589" s="98"/>
      <c r="BG589" s="98"/>
      <c r="BH589" s="98"/>
      <c r="BI589" s="98"/>
      <c r="BJ589" s="98"/>
      <c r="BK589" s="98"/>
      <c r="BL589" s="98"/>
      <c r="BM589" s="98"/>
      <c r="BN589" s="98"/>
      <c r="BO589" s="98"/>
      <c r="BP589" s="98"/>
      <c r="BQ589" s="98"/>
      <c r="BR589" s="98"/>
      <c r="BS589" s="98"/>
      <c r="BT589" s="98"/>
      <c r="BU589" s="98"/>
      <c r="BV589" s="98"/>
      <c r="BW589" s="98"/>
      <c r="BX589" s="98"/>
      <c r="BY589" s="98"/>
      <c r="BZ589" s="98"/>
    </row>
    <row r="590" spans="1:78" x14ac:dyDescent="0.25">
      <c r="A590" s="98"/>
      <c r="B590" s="98"/>
      <c r="C590" s="98"/>
      <c r="D590" s="98"/>
      <c r="E590" s="98"/>
      <c r="M590" s="98"/>
      <c r="N590" s="98"/>
      <c r="O590" s="98"/>
      <c r="P590" s="98"/>
      <c r="Q590" s="98"/>
      <c r="R590" s="98"/>
      <c r="S590" s="98"/>
      <c r="T590" s="98"/>
      <c r="U590" s="98"/>
      <c r="V590" s="98"/>
      <c r="W590" s="98"/>
      <c r="X590" s="98"/>
      <c r="Y590" s="98"/>
      <c r="Z590" s="98"/>
      <c r="AA590" s="98"/>
      <c r="AB590" s="98"/>
      <c r="AC590" s="98"/>
      <c r="AD590" s="98"/>
      <c r="AE590" s="98"/>
      <c r="AF590" s="98"/>
      <c r="AG590" s="98"/>
      <c r="AH590" s="98"/>
      <c r="AI590" s="98"/>
      <c r="AJ590" s="98"/>
      <c r="AK590" s="98"/>
      <c r="AL590" s="98"/>
      <c r="AM590" s="98"/>
      <c r="AN590" s="98"/>
      <c r="AO590" s="98"/>
      <c r="AP590" s="98"/>
      <c r="AQ590" s="98"/>
      <c r="AR590" s="98"/>
      <c r="AS590" s="98"/>
      <c r="AT590" s="98"/>
      <c r="AU590" s="98"/>
      <c r="AV590" s="98"/>
      <c r="AW590" s="98"/>
      <c r="AX590" s="98"/>
      <c r="AY590" s="98"/>
      <c r="AZ590" s="98"/>
      <c r="BA590" s="98"/>
      <c r="BB590" s="98"/>
      <c r="BC590" s="98"/>
      <c r="BD590" s="98"/>
      <c r="BE590" s="98"/>
      <c r="BF590" s="98"/>
      <c r="BG590" s="98"/>
      <c r="BH590" s="98"/>
      <c r="BI590" s="98"/>
      <c r="BJ590" s="98"/>
      <c r="BK590" s="98"/>
      <c r="BL590" s="98"/>
      <c r="BM590" s="98"/>
      <c r="BN590" s="98"/>
      <c r="BO590" s="98"/>
      <c r="BP590" s="98"/>
      <c r="BQ590" s="98"/>
      <c r="BR590" s="98"/>
      <c r="BS590" s="98"/>
      <c r="BT590" s="98"/>
      <c r="BU590" s="98"/>
      <c r="BV590" s="98"/>
      <c r="BW590" s="98"/>
      <c r="BX590" s="98"/>
      <c r="BY590" s="98"/>
      <c r="BZ590" s="98"/>
    </row>
    <row r="591" spans="1:78" x14ac:dyDescent="0.25">
      <c r="B591" s="95"/>
      <c r="C591" s="95"/>
      <c r="D591" s="95"/>
      <c r="E591" s="95"/>
      <c r="F591" s="95"/>
      <c r="G591" s="95"/>
      <c r="H591" s="95"/>
      <c r="I591" s="95"/>
      <c r="J591" s="95"/>
      <c r="K591" s="95"/>
      <c r="L591" s="95"/>
    </row>
    <row r="592" spans="1:78" x14ac:dyDescent="0.25">
      <c r="B592" s="95"/>
      <c r="C592" s="95"/>
      <c r="D592" s="95"/>
      <c r="E592" s="95"/>
      <c r="F592" s="95"/>
      <c r="G592" s="95"/>
      <c r="H592" s="95"/>
      <c r="I592" s="95"/>
      <c r="J592" s="95"/>
      <c r="K592" s="95"/>
      <c r="L592" s="95"/>
    </row>
    <row r="593" spans="1:78" x14ac:dyDescent="0.25">
      <c r="A593" s="98"/>
      <c r="B593" s="98"/>
      <c r="C593" s="98"/>
      <c r="D593" s="98"/>
      <c r="E593" s="98"/>
      <c r="M593" s="98"/>
      <c r="N593" s="98"/>
      <c r="O593" s="98"/>
      <c r="P593" s="98"/>
      <c r="Q593" s="98"/>
      <c r="R593" s="98"/>
      <c r="S593" s="98"/>
      <c r="T593" s="98"/>
      <c r="U593" s="98"/>
      <c r="V593" s="98"/>
      <c r="W593" s="98"/>
      <c r="X593" s="98"/>
      <c r="Y593" s="98"/>
      <c r="Z593" s="98"/>
      <c r="AA593" s="98"/>
      <c r="AB593" s="98"/>
      <c r="AC593" s="98"/>
      <c r="AD593" s="98"/>
      <c r="AE593" s="98"/>
      <c r="AF593" s="98"/>
      <c r="AG593" s="98"/>
      <c r="AH593" s="98"/>
      <c r="AI593" s="98"/>
      <c r="AJ593" s="98"/>
      <c r="AK593" s="98"/>
      <c r="AL593" s="98"/>
      <c r="AM593" s="98"/>
      <c r="AN593" s="98"/>
      <c r="AO593" s="98"/>
      <c r="AP593" s="98"/>
      <c r="AQ593" s="98"/>
      <c r="AR593" s="98"/>
      <c r="AS593" s="98"/>
      <c r="AT593" s="98"/>
      <c r="AU593" s="98"/>
      <c r="AV593" s="98"/>
      <c r="AW593" s="98"/>
      <c r="AX593" s="98"/>
      <c r="AY593" s="98"/>
      <c r="AZ593" s="98"/>
      <c r="BA593" s="98"/>
      <c r="BB593" s="98"/>
      <c r="BC593" s="98"/>
      <c r="BD593" s="98"/>
      <c r="BE593" s="98"/>
      <c r="BF593" s="98"/>
      <c r="BG593" s="98"/>
      <c r="BH593" s="98"/>
      <c r="BI593" s="98"/>
      <c r="BJ593" s="98"/>
      <c r="BK593" s="98"/>
      <c r="BL593" s="98"/>
      <c r="BM593" s="98"/>
      <c r="BN593" s="98"/>
      <c r="BO593" s="98"/>
      <c r="BP593" s="98"/>
      <c r="BQ593" s="98"/>
      <c r="BR593" s="98"/>
      <c r="BS593" s="98"/>
      <c r="BT593" s="98"/>
      <c r="BU593" s="98"/>
      <c r="BV593" s="98"/>
      <c r="BW593" s="98"/>
      <c r="BX593" s="98"/>
      <c r="BY593" s="98"/>
      <c r="BZ593" s="98"/>
    </row>
    <row r="594" spans="1:78" x14ac:dyDescent="0.25">
      <c r="A594" s="98"/>
      <c r="B594" s="98"/>
      <c r="C594" s="98"/>
      <c r="D594" s="98"/>
      <c r="E594" s="98"/>
      <c r="M594" s="98"/>
      <c r="N594" s="98"/>
      <c r="O594" s="98"/>
      <c r="P594" s="98"/>
      <c r="Q594" s="98"/>
      <c r="R594" s="98"/>
      <c r="S594" s="98"/>
      <c r="T594" s="98"/>
      <c r="U594" s="98"/>
      <c r="V594" s="98"/>
      <c r="W594" s="98"/>
      <c r="X594" s="98"/>
      <c r="Y594" s="98"/>
      <c r="Z594" s="98"/>
      <c r="AA594" s="98"/>
      <c r="AB594" s="98"/>
      <c r="AC594" s="98"/>
      <c r="AD594" s="98"/>
      <c r="AE594" s="98"/>
      <c r="AF594" s="98"/>
      <c r="AG594" s="98"/>
      <c r="AH594" s="98"/>
      <c r="AI594" s="98"/>
      <c r="AJ594" s="98"/>
      <c r="AK594" s="98"/>
      <c r="AL594" s="98"/>
      <c r="AM594" s="98"/>
      <c r="AN594" s="98"/>
      <c r="AO594" s="98"/>
      <c r="AP594" s="98"/>
      <c r="AQ594" s="98"/>
      <c r="AR594" s="98"/>
      <c r="AS594" s="98"/>
      <c r="AT594" s="98"/>
      <c r="AU594" s="98"/>
      <c r="AV594" s="98"/>
      <c r="AW594" s="98"/>
      <c r="AX594" s="98"/>
      <c r="AY594" s="98"/>
      <c r="AZ594" s="98"/>
      <c r="BA594" s="98"/>
      <c r="BB594" s="98"/>
      <c r="BC594" s="98"/>
      <c r="BD594" s="98"/>
      <c r="BE594" s="98"/>
      <c r="BF594" s="98"/>
      <c r="BG594" s="98"/>
      <c r="BH594" s="98"/>
      <c r="BI594" s="98"/>
      <c r="BJ594" s="98"/>
      <c r="BK594" s="98"/>
      <c r="BL594" s="98"/>
      <c r="BM594" s="98"/>
      <c r="BN594" s="98"/>
      <c r="BO594" s="98"/>
      <c r="BP594" s="98"/>
      <c r="BQ594" s="98"/>
      <c r="BR594" s="98"/>
      <c r="BS594" s="98"/>
      <c r="BT594" s="98"/>
      <c r="BU594" s="98"/>
      <c r="BV594" s="98"/>
      <c r="BW594" s="98"/>
      <c r="BX594" s="98"/>
      <c r="BY594" s="98"/>
      <c r="BZ594" s="98"/>
    </row>
    <row r="595" spans="1:78" x14ac:dyDescent="0.25">
      <c r="A595" s="98"/>
      <c r="B595" s="98"/>
      <c r="C595" s="98"/>
      <c r="D595" s="98"/>
      <c r="E595" s="98"/>
      <c r="M595" s="98"/>
      <c r="N595" s="98"/>
      <c r="O595" s="98"/>
      <c r="P595" s="98"/>
      <c r="Q595" s="98"/>
      <c r="R595" s="98"/>
      <c r="S595" s="98"/>
      <c r="T595" s="98"/>
      <c r="U595" s="98"/>
      <c r="V595" s="98"/>
      <c r="W595" s="98"/>
      <c r="X595" s="98"/>
      <c r="Y595" s="98"/>
      <c r="Z595" s="98"/>
      <c r="AA595" s="98"/>
      <c r="AB595" s="98"/>
      <c r="AC595" s="98"/>
      <c r="AD595" s="98"/>
      <c r="AE595" s="98"/>
      <c r="AF595" s="98"/>
      <c r="AG595" s="98"/>
      <c r="AH595" s="98"/>
      <c r="AI595" s="98"/>
      <c r="AJ595" s="98"/>
      <c r="AK595" s="98"/>
      <c r="AL595" s="98"/>
      <c r="AM595" s="98"/>
      <c r="AN595" s="98"/>
      <c r="AO595" s="98"/>
      <c r="AP595" s="98"/>
      <c r="AQ595" s="98"/>
      <c r="AR595" s="98"/>
      <c r="AS595" s="98"/>
      <c r="AT595" s="98"/>
      <c r="AU595" s="98"/>
      <c r="AV595" s="98"/>
      <c r="AW595" s="98"/>
      <c r="AX595" s="98"/>
      <c r="AY595" s="98"/>
      <c r="AZ595" s="98"/>
      <c r="BA595" s="98"/>
      <c r="BB595" s="98"/>
      <c r="BC595" s="98"/>
      <c r="BD595" s="98"/>
      <c r="BE595" s="98"/>
      <c r="BF595" s="98"/>
      <c r="BG595" s="98"/>
      <c r="BH595" s="98"/>
      <c r="BI595" s="98"/>
      <c r="BJ595" s="98"/>
      <c r="BK595" s="98"/>
      <c r="BL595" s="98"/>
      <c r="BM595" s="98"/>
      <c r="BN595" s="98"/>
      <c r="BO595" s="98"/>
      <c r="BP595" s="98"/>
      <c r="BQ595" s="98"/>
      <c r="BR595" s="98"/>
      <c r="BS595" s="98"/>
      <c r="BT595" s="98"/>
      <c r="BU595" s="98"/>
      <c r="BV595" s="98"/>
      <c r="BW595" s="98"/>
      <c r="BX595" s="98"/>
      <c r="BY595" s="98"/>
      <c r="BZ595" s="98"/>
    </row>
    <row r="596" spans="1:78" x14ac:dyDescent="0.25">
      <c r="B596" s="95"/>
      <c r="C596" s="95"/>
      <c r="D596" s="95"/>
      <c r="E596" s="95"/>
      <c r="F596" s="95"/>
      <c r="G596" s="95"/>
      <c r="H596" s="95"/>
      <c r="I596" s="95"/>
      <c r="J596" s="95"/>
      <c r="K596" s="95"/>
      <c r="L596" s="95"/>
    </row>
    <row r="597" spans="1:78" x14ac:dyDescent="0.25">
      <c r="B597" s="95"/>
      <c r="C597" s="95"/>
      <c r="D597" s="95"/>
      <c r="E597" s="95"/>
      <c r="F597" s="95"/>
      <c r="G597" s="95"/>
      <c r="H597" s="95"/>
      <c r="I597" s="95"/>
      <c r="J597" s="95"/>
      <c r="K597" s="95"/>
      <c r="L597" s="95"/>
    </row>
    <row r="598" spans="1:78" x14ac:dyDescent="0.25">
      <c r="B598" s="95"/>
      <c r="C598" s="95"/>
      <c r="D598" s="95"/>
      <c r="E598" s="95"/>
      <c r="F598" s="95"/>
      <c r="G598" s="95"/>
      <c r="H598" s="95"/>
      <c r="I598" s="95"/>
      <c r="J598" s="95"/>
      <c r="K598" s="95"/>
      <c r="L598" s="95"/>
    </row>
    <row r="599" spans="1:78" x14ac:dyDescent="0.25">
      <c r="B599" s="95"/>
      <c r="C599" s="95"/>
      <c r="D599" s="95"/>
      <c r="E599" s="95"/>
      <c r="F599" s="95"/>
      <c r="G599" s="95"/>
      <c r="H599" s="95"/>
      <c r="I599" s="95"/>
      <c r="J599" s="95"/>
      <c r="K599" s="95"/>
      <c r="L599" s="95"/>
    </row>
    <row r="600" spans="1:78" x14ac:dyDescent="0.25">
      <c r="B600" s="95"/>
      <c r="C600" s="95"/>
      <c r="D600" s="95"/>
      <c r="E600" s="95"/>
      <c r="F600" s="95"/>
      <c r="G600" s="95"/>
      <c r="H600" s="95"/>
      <c r="I600" s="95"/>
      <c r="J600" s="95"/>
      <c r="K600" s="95"/>
      <c r="L600" s="95"/>
    </row>
    <row r="601" spans="1:78" x14ac:dyDescent="0.25">
      <c r="B601" s="95"/>
      <c r="C601" s="95"/>
      <c r="D601" s="95"/>
      <c r="E601" s="95"/>
      <c r="F601" s="95"/>
      <c r="G601" s="95"/>
      <c r="H601" s="95"/>
      <c r="I601" s="95"/>
      <c r="J601" s="95"/>
      <c r="K601" s="95"/>
      <c r="L601" s="95"/>
    </row>
    <row r="602" spans="1:78" x14ac:dyDescent="0.25">
      <c r="B602" s="95"/>
      <c r="C602" s="95"/>
      <c r="D602" s="95"/>
      <c r="E602" s="95"/>
      <c r="F602" s="95"/>
      <c r="G602" s="95"/>
      <c r="H602" s="95"/>
      <c r="I602" s="95"/>
      <c r="J602" s="95"/>
      <c r="K602" s="95"/>
      <c r="L602" s="95"/>
    </row>
    <row r="603" spans="1:78" x14ac:dyDescent="0.25">
      <c r="B603" s="95"/>
      <c r="C603" s="95"/>
      <c r="D603" s="95"/>
      <c r="E603" s="95"/>
      <c r="F603" s="95"/>
      <c r="G603" s="95"/>
      <c r="H603" s="95"/>
      <c r="I603" s="95"/>
      <c r="J603" s="95"/>
      <c r="K603" s="95"/>
      <c r="L603" s="95"/>
    </row>
    <row r="604" spans="1:78" x14ac:dyDescent="0.25">
      <c r="B604" s="95"/>
      <c r="C604" s="95"/>
      <c r="D604" s="95"/>
      <c r="E604" s="95"/>
      <c r="F604" s="95"/>
      <c r="G604" s="95"/>
      <c r="H604" s="95"/>
      <c r="I604" s="95"/>
      <c r="J604" s="95"/>
      <c r="K604" s="95"/>
      <c r="L604" s="95"/>
    </row>
    <row r="605" spans="1:78" x14ac:dyDescent="0.25">
      <c r="B605" s="95"/>
      <c r="C605" s="95"/>
      <c r="D605" s="95"/>
      <c r="E605" s="95"/>
      <c r="F605" s="95"/>
      <c r="G605" s="95"/>
      <c r="H605" s="95"/>
      <c r="I605" s="95"/>
      <c r="J605" s="95"/>
      <c r="K605" s="95"/>
      <c r="L605" s="95"/>
    </row>
    <row r="606" spans="1:78" x14ac:dyDescent="0.25">
      <c r="B606" s="95"/>
      <c r="C606" s="95"/>
      <c r="D606" s="95"/>
      <c r="E606" s="95"/>
      <c r="F606" s="95"/>
      <c r="G606" s="95"/>
      <c r="H606" s="95"/>
      <c r="I606" s="95"/>
      <c r="J606" s="95"/>
      <c r="K606" s="95"/>
      <c r="L606" s="95"/>
    </row>
    <row r="607" spans="1:78" x14ac:dyDescent="0.25">
      <c r="B607" s="95"/>
      <c r="C607" s="95"/>
      <c r="D607" s="95"/>
      <c r="E607" s="95"/>
      <c r="F607" s="95"/>
      <c r="G607" s="95"/>
      <c r="H607" s="95"/>
      <c r="I607" s="95"/>
      <c r="J607" s="95"/>
      <c r="K607" s="95"/>
      <c r="L607" s="95"/>
    </row>
    <row r="608" spans="1:78" x14ac:dyDescent="0.25">
      <c r="B608" s="95"/>
      <c r="C608" s="95"/>
      <c r="D608" s="95"/>
      <c r="E608" s="95"/>
      <c r="F608" s="95"/>
      <c r="G608" s="95"/>
      <c r="H608" s="95"/>
      <c r="I608" s="95"/>
      <c r="J608" s="95"/>
      <c r="K608" s="95"/>
      <c r="L608" s="95"/>
    </row>
    <row r="609" spans="2:12" x14ac:dyDescent="0.25">
      <c r="B609" s="95"/>
      <c r="C609" s="95"/>
      <c r="D609" s="95"/>
      <c r="E609" s="95"/>
      <c r="F609" s="95"/>
      <c r="G609" s="95"/>
      <c r="H609" s="95"/>
      <c r="I609" s="95"/>
      <c r="J609" s="95"/>
      <c r="K609" s="95"/>
      <c r="L609" s="95"/>
    </row>
    <row r="610" spans="2:12" x14ac:dyDescent="0.25">
      <c r="B610" s="95"/>
      <c r="C610" s="95"/>
      <c r="D610" s="95"/>
      <c r="E610" s="95"/>
      <c r="F610" s="95"/>
      <c r="G610" s="95"/>
      <c r="H610" s="95"/>
      <c r="I610" s="95"/>
      <c r="J610" s="95"/>
      <c r="K610" s="95"/>
      <c r="L610" s="95"/>
    </row>
    <row r="611" spans="2:12" x14ac:dyDescent="0.25">
      <c r="B611" s="95"/>
      <c r="C611" s="95"/>
      <c r="D611" s="95"/>
      <c r="E611" s="95"/>
      <c r="F611" s="95"/>
      <c r="G611" s="95"/>
      <c r="H611" s="95"/>
      <c r="I611" s="95"/>
      <c r="J611" s="95"/>
      <c r="K611" s="95"/>
      <c r="L611" s="95"/>
    </row>
    <row r="612" spans="2:12" x14ac:dyDescent="0.25">
      <c r="B612" s="95"/>
      <c r="C612" s="95"/>
      <c r="D612" s="95"/>
      <c r="E612" s="95"/>
      <c r="F612" s="95"/>
      <c r="G612" s="95"/>
      <c r="H612" s="95"/>
      <c r="I612" s="95"/>
      <c r="J612" s="95"/>
      <c r="K612" s="95"/>
      <c r="L612" s="95"/>
    </row>
    <row r="613" spans="2:12" x14ac:dyDescent="0.25">
      <c r="B613" s="95"/>
      <c r="C613" s="95"/>
      <c r="D613" s="95"/>
      <c r="E613" s="95"/>
      <c r="F613" s="95"/>
      <c r="G613" s="95"/>
      <c r="H613" s="95"/>
      <c r="I613" s="95"/>
      <c r="J613" s="95"/>
      <c r="K613" s="95"/>
      <c r="L613" s="95"/>
    </row>
    <row r="614" spans="2:12" x14ac:dyDescent="0.25">
      <c r="B614" s="95"/>
      <c r="C614" s="95"/>
      <c r="D614" s="95"/>
      <c r="E614" s="95"/>
      <c r="F614" s="95"/>
      <c r="G614" s="95"/>
      <c r="H614" s="95"/>
      <c r="I614" s="95"/>
      <c r="J614" s="95"/>
      <c r="K614" s="95"/>
      <c r="L614" s="95"/>
    </row>
    <row r="615" spans="2:12" x14ac:dyDescent="0.25">
      <c r="B615" s="95"/>
      <c r="C615" s="95"/>
      <c r="D615" s="95"/>
      <c r="E615" s="95"/>
      <c r="F615" s="95"/>
      <c r="G615" s="95"/>
      <c r="H615" s="95"/>
      <c r="I615" s="95"/>
      <c r="J615" s="95"/>
      <c r="K615" s="95"/>
      <c r="L615" s="95"/>
    </row>
    <row r="616" spans="2:12" x14ac:dyDescent="0.25">
      <c r="B616" s="95"/>
      <c r="C616" s="95"/>
      <c r="D616" s="95"/>
      <c r="E616" s="95"/>
      <c r="F616" s="95"/>
      <c r="G616" s="95"/>
      <c r="H616" s="95"/>
      <c r="I616" s="95"/>
      <c r="J616" s="95"/>
      <c r="K616" s="95"/>
      <c r="L616" s="95"/>
    </row>
    <row r="617" spans="2:12" x14ac:dyDescent="0.25">
      <c r="B617" s="95"/>
      <c r="C617" s="95"/>
      <c r="D617" s="95"/>
      <c r="E617" s="95"/>
      <c r="F617" s="95"/>
      <c r="G617" s="95"/>
      <c r="H617" s="95"/>
      <c r="I617" s="95"/>
      <c r="J617" s="95"/>
      <c r="K617" s="95"/>
      <c r="L617" s="95"/>
    </row>
    <row r="618" spans="2:12" x14ac:dyDescent="0.25">
      <c r="B618" s="95"/>
      <c r="C618" s="95"/>
      <c r="D618" s="95"/>
      <c r="E618" s="95"/>
      <c r="F618" s="95"/>
      <c r="G618" s="95"/>
      <c r="H618" s="95"/>
      <c r="I618" s="95"/>
      <c r="J618" s="95"/>
      <c r="K618" s="95"/>
      <c r="L618" s="95"/>
    </row>
    <row r="619" spans="2:12" x14ac:dyDescent="0.25">
      <c r="B619" s="95"/>
      <c r="C619" s="95"/>
      <c r="D619" s="95"/>
      <c r="E619" s="95"/>
      <c r="F619" s="95"/>
      <c r="G619" s="95"/>
      <c r="H619" s="95"/>
      <c r="I619" s="95"/>
      <c r="J619" s="95"/>
      <c r="K619" s="95"/>
      <c r="L619" s="95"/>
    </row>
    <row r="620" spans="2:12" x14ac:dyDescent="0.25">
      <c r="B620" s="95"/>
      <c r="C620" s="95"/>
      <c r="D620" s="95"/>
      <c r="E620" s="95"/>
      <c r="F620" s="95"/>
      <c r="G620" s="95"/>
      <c r="H620" s="95"/>
      <c r="I620" s="95"/>
      <c r="J620" s="95"/>
      <c r="K620" s="95"/>
      <c r="L620" s="95"/>
    </row>
    <row r="621" spans="2:12" x14ac:dyDescent="0.25">
      <c r="B621" s="95"/>
      <c r="C621" s="95"/>
      <c r="D621" s="95"/>
      <c r="E621" s="95"/>
      <c r="F621" s="95"/>
      <c r="G621" s="95"/>
      <c r="H621" s="95"/>
      <c r="I621" s="95"/>
      <c r="J621" s="95"/>
      <c r="K621" s="95"/>
      <c r="L621" s="95"/>
    </row>
    <row r="622" spans="2:12" x14ac:dyDescent="0.25">
      <c r="B622" s="95"/>
      <c r="C622" s="95"/>
      <c r="D622" s="95"/>
      <c r="E622" s="95"/>
      <c r="F622" s="95"/>
      <c r="G622" s="95"/>
      <c r="H622" s="95"/>
      <c r="I622" s="95"/>
      <c r="J622" s="95"/>
      <c r="K622" s="95"/>
      <c r="L622" s="95"/>
    </row>
    <row r="623" spans="2:12" x14ac:dyDescent="0.25">
      <c r="B623" s="95"/>
      <c r="C623" s="95"/>
      <c r="D623" s="95"/>
      <c r="E623" s="95"/>
      <c r="F623" s="95"/>
      <c r="G623" s="95"/>
      <c r="H623" s="95"/>
      <c r="I623" s="95"/>
      <c r="J623" s="95"/>
      <c r="K623" s="95"/>
      <c r="L623" s="95"/>
    </row>
    <row r="624" spans="2:12" x14ac:dyDescent="0.25">
      <c r="B624" s="95"/>
      <c r="C624" s="95"/>
      <c r="D624" s="95"/>
      <c r="E624" s="95"/>
      <c r="F624" s="95"/>
      <c r="G624" s="95"/>
      <c r="H624" s="95"/>
      <c r="I624" s="95"/>
      <c r="J624" s="95"/>
      <c r="K624" s="95"/>
      <c r="L624" s="95"/>
    </row>
    <row r="625" spans="1:78" x14ac:dyDescent="0.25">
      <c r="B625" s="95"/>
      <c r="C625" s="95"/>
      <c r="D625" s="95"/>
      <c r="E625" s="95"/>
      <c r="F625" s="95"/>
      <c r="G625" s="95"/>
      <c r="H625" s="95"/>
      <c r="I625" s="95"/>
      <c r="J625" s="95"/>
      <c r="K625" s="95"/>
      <c r="L625" s="95"/>
    </row>
    <row r="626" spans="1:78" x14ac:dyDescent="0.25">
      <c r="B626" s="95"/>
      <c r="C626" s="95"/>
      <c r="D626" s="95"/>
      <c r="E626" s="95"/>
      <c r="F626" s="95"/>
      <c r="G626" s="95"/>
      <c r="H626" s="95"/>
      <c r="I626" s="95"/>
      <c r="J626" s="95"/>
      <c r="K626" s="95"/>
      <c r="L626" s="95"/>
    </row>
    <row r="627" spans="1:78" x14ac:dyDescent="0.25">
      <c r="B627" s="95"/>
      <c r="C627" s="95"/>
      <c r="D627" s="95"/>
      <c r="E627" s="95"/>
      <c r="F627" s="95"/>
      <c r="G627" s="95"/>
      <c r="H627" s="95"/>
      <c r="I627" s="95"/>
      <c r="J627" s="95"/>
      <c r="K627" s="95"/>
      <c r="L627" s="95"/>
    </row>
    <row r="628" spans="1:78" x14ac:dyDescent="0.25">
      <c r="A628" s="98"/>
      <c r="B628" s="98"/>
      <c r="C628" s="98"/>
      <c r="D628" s="98"/>
      <c r="E628" s="98"/>
      <c r="M628" s="98"/>
      <c r="N628" s="98"/>
      <c r="O628" s="98"/>
      <c r="P628" s="98"/>
      <c r="Q628" s="98"/>
      <c r="R628" s="98"/>
      <c r="S628" s="98"/>
      <c r="T628" s="98"/>
      <c r="U628" s="98"/>
      <c r="V628" s="98"/>
      <c r="W628" s="98"/>
      <c r="X628" s="98"/>
      <c r="Y628" s="98"/>
      <c r="Z628" s="98"/>
      <c r="AA628" s="98"/>
      <c r="AB628" s="98"/>
      <c r="AC628" s="98"/>
      <c r="AD628" s="98"/>
      <c r="AE628" s="98"/>
      <c r="AF628" s="98"/>
      <c r="AG628" s="98"/>
      <c r="AH628" s="98"/>
      <c r="AI628" s="98"/>
      <c r="AJ628" s="98"/>
      <c r="AK628" s="98"/>
      <c r="AL628" s="98"/>
      <c r="AM628" s="98"/>
      <c r="AN628" s="98"/>
      <c r="AO628" s="98"/>
      <c r="AP628" s="98"/>
      <c r="AQ628" s="98"/>
      <c r="AR628" s="98"/>
      <c r="AS628" s="98"/>
      <c r="AT628" s="98"/>
      <c r="AU628" s="98"/>
      <c r="AV628" s="98"/>
      <c r="AW628" s="98"/>
      <c r="AX628" s="98"/>
      <c r="AY628" s="98"/>
      <c r="AZ628" s="98"/>
      <c r="BA628" s="98"/>
      <c r="BB628" s="98"/>
      <c r="BC628" s="98"/>
      <c r="BD628" s="98"/>
      <c r="BE628" s="98"/>
      <c r="BF628" s="98"/>
      <c r="BG628" s="98"/>
      <c r="BH628" s="98"/>
      <c r="BI628" s="98"/>
      <c r="BJ628" s="98"/>
      <c r="BK628" s="98"/>
      <c r="BL628" s="98"/>
      <c r="BM628" s="98"/>
      <c r="BN628" s="98"/>
      <c r="BO628" s="98"/>
      <c r="BP628" s="98"/>
      <c r="BQ628" s="98"/>
      <c r="BR628" s="98"/>
      <c r="BS628" s="98"/>
      <c r="BT628" s="98"/>
      <c r="BU628" s="98"/>
      <c r="BV628" s="98"/>
      <c r="BW628" s="98"/>
      <c r="BX628" s="98"/>
      <c r="BY628" s="98"/>
      <c r="BZ628" s="98"/>
    </row>
    <row r="629" spans="1:78" x14ac:dyDescent="0.25">
      <c r="A629" s="98"/>
      <c r="B629" s="98"/>
      <c r="C629" s="98"/>
      <c r="D629" s="98"/>
      <c r="E629" s="98"/>
      <c r="M629" s="98"/>
      <c r="N629" s="98"/>
      <c r="O629" s="98"/>
      <c r="P629" s="98"/>
      <c r="Q629" s="98"/>
      <c r="R629" s="98"/>
      <c r="S629" s="98"/>
      <c r="T629" s="98"/>
      <c r="U629" s="98"/>
      <c r="V629" s="98"/>
      <c r="W629" s="98"/>
      <c r="X629" s="98"/>
      <c r="Y629" s="98"/>
      <c r="Z629" s="98"/>
      <c r="AA629" s="98"/>
      <c r="AB629" s="98"/>
      <c r="AC629" s="98"/>
      <c r="AD629" s="98"/>
      <c r="AE629" s="98"/>
      <c r="AF629" s="98"/>
      <c r="AG629" s="98"/>
      <c r="AH629" s="98"/>
      <c r="AI629" s="98"/>
      <c r="AJ629" s="98"/>
      <c r="AK629" s="98"/>
      <c r="AL629" s="98"/>
      <c r="AM629" s="98"/>
      <c r="AN629" s="98"/>
      <c r="AO629" s="98"/>
      <c r="AP629" s="98"/>
      <c r="AQ629" s="98"/>
      <c r="AR629" s="98"/>
      <c r="AS629" s="98"/>
      <c r="AT629" s="98"/>
      <c r="AU629" s="98"/>
      <c r="AV629" s="98"/>
      <c r="AW629" s="98"/>
      <c r="AX629" s="98"/>
      <c r="AY629" s="98"/>
      <c r="AZ629" s="98"/>
      <c r="BA629" s="98"/>
      <c r="BB629" s="98"/>
      <c r="BC629" s="98"/>
      <c r="BD629" s="98"/>
      <c r="BE629" s="98"/>
      <c r="BF629" s="98"/>
      <c r="BG629" s="98"/>
      <c r="BH629" s="98"/>
      <c r="BI629" s="98"/>
      <c r="BJ629" s="98"/>
      <c r="BK629" s="98"/>
      <c r="BL629" s="98"/>
      <c r="BM629" s="98"/>
      <c r="BN629" s="98"/>
      <c r="BO629" s="98"/>
      <c r="BP629" s="98"/>
      <c r="BQ629" s="98"/>
      <c r="BR629" s="98"/>
      <c r="BS629" s="98"/>
      <c r="BT629" s="98"/>
      <c r="BU629" s="98"/>
      <c r="BV629" s="98"/>
      <c r="BW629" s="98"/>
      <c r="BX629" s="98"/>
      <c r="BY629" s="98"/>
      <c r="BZ629" s="98"/>
    </row>
    <row r="630" spans="1:78" x14ac:dyDescent="0.25">
      <c r="A630" s="98"/>
      <c r="B630" s="98"/>
      <c r="C630" s="98"/>
      <c r="D630" s="98"/>
      <c r="E630" s="98"/>
      <c r="M630" s="98"/>
      <c r="N630" s="98"/>
      <c r="O630" s="98"/>
      <c r="P630" s="98"/>
      <c r="Q630" s="98"/>
      <c r="R630" s="98"/>
      <c r="S630" s="98"/>
      <c r="T630" s="98"/>
      <c r="U630" s="98"/>
      <c r="V630" s="98"/>
      <c r="W630" s="98"/>
      <c r="X630" s="98"/>
      <c r="Y630" s="98"/>
      <c r="Z630" s="98"/>
      <c r="AA630" s="98"/>
      <c r="AB630" s="98"/>
      <c r="AC630" s="98"/>
      <c r="AD630" s="98"/>
      <c r="AE630" s="98"/>
      <c r="AF630" s="98"/>
      <c r="AG630" s="98"/>
      <c r="AH630" s="98"/>
      <c r="AI630" s="98"/>
      <c r="AJ630" s="98"/>
      <c r="AK630" s="98"/>
      <c r="AL630" s="98"/>
      <c r="AM630" s="98"/>
      <c r="AN630" s="98"/>
      <c r="AO630" s="98"/>
      <c r="AP630" s="98"/>
      <c r="AQ630" s="98"/>
      <c r="AR630" s="98"/>
      <c r="AS630" s="98"/>
      <c r="AT630" s="98"/>
      <c r="AU630" s="98"/>
      <c r="AV630" s="98"/>
      <c r="AW630" s="98"/>
      <c r="AX630" s="98"/>
      <c r="AY630" s="98"/>
      <c r="AZ630" s="98"/>
      <c r="BA630" s="98"/>
      <c r="BB630" s="98"/>
      <c r="BC630" s="98"/>
      <c r="BD630" s="98"/>
      <c r="BE630" s="98"/>
      <c r="BF630" s="98"/>
      <c r="BG630" s="98"/>
      <c r="BH630" s="98"/>
      <c r="BI630" s="98"/>
      <c r="BJ630" s="98"/>
      <c r="BK630" s="98"/>
      <c r="BL630" s="98"/>
      <c r="BM630" s="98"/>
      <c r="BN630" s="98"/>
      <c r="BO630" s="98"/>
      <c r="BP630" s="98"/>
      <c r="BQ630" s="98"/>
      <c r="BR630" s="98"/>
      <c r="BS630" s="98"/>
      <c r="BT630" s="98"/>
      <c r="BU630" s="98"/>
      <c r="BV630" s="98"/>
      <c r="BW630" s="98"/>
      <c r="BX630" s="98"/>
      <c r="BY630" s="98"/>
      <c r="BZ630" s="98"/>
    </row>
    <row r="631" spans="1:78" x14ac:dyDescent="0.25">
      <c r="A631" s="98"/>
      <c r="B631" s="98"/>
      <c r="C631" s="98"/>
      <c r="D631" s="98"/>
      <c r="E631" s="98"/>
      <c r="M631" s="98"/>
      <c r="N631" s="98"/>
      <c r="O631" s="98"/>
      <c r="P631" s="98"/>
      <c r="Q631" s="98"/>
      <c r="R631" s="98"/>
      <c r="S631" s="98"/>
      <c r="T631" s="98"/>
      <c r="U631" s="98"/>
      <c r="V631" s="98"/>
      <c r="W631" s="98"/>
      <c r="X631" s="98"/>
      <c r="Y631" s="98"/>
      <c r="Z631" s="98"/>
      <c r="AA631" s="98"/>
      <c r="AB631" s="98"/>
      <c r="AC631" s="98"/>
      <c r="AD631" s="98"/>
      <c r="AE631" s="98"/>
      <c r="AF631" s="98"/>
      <c r="AG631" s="98"/>
      <c r="AH631" s="98"/>
      <c r="AI631" s="98"/>
      <c r="AJ631" s="98"/>
      <c r="AK631" s="98"/>
      <c r="AL631" s="98"/>
      <c r="AM631" s="98"/>
      <c r="AN631" s="98"/>
      <c r="AO631" s="98"/>
      <c r="AP631" s="98"/>
      <c r="AQ631" s="98"/>
      <c r="AR631" s="98"/>
      <c r="AS631" s="98"/>
      <c r="AT631" s="98"/>
      <c r="AU631" s="98"/>
      <c r="AV631" s="98"/>
      <c r="AW631" s="98"/>
      <c r="AX631" s="98"/>
      <c r="AY631" s="98"/>
      <c r="AZ631" s="98"/>
      <c r="BA631" s="98"/>
      <c r="BB631" s="98"/>
      <c r="BC631" s="98"/>
      <c r="BD631" s="98"/>
      <c r="BE631" s="98"/>
      <c r="BF631" s="98"/>
      <c r="BG631" s="98"/>
      <c r="BH631" s="98"/>
      <c r="BI631" s="98"/>
      <c r="BJ631" s="98"/>
      <c r="BK631" s="98"/>
      <c r="BL631" s="98"/>
      <c r="BM631" s="98"/>
      <c r="BN631" s="98"/>
      <c r="BO631" s="98"/>
      <c r="BP631" s="98"/>
      <c r="BQ631" s="98"/>
      <c r="BR631" s="98"/>
      <c r="BS631" s="98"/>
      <c r="BT631" s="98"/>
      <c r="BU631" s="98"/>
      <c r="BV631" s="98"/>
      <c r="BW631" s="98"/>
      <c r="BX631" s="98"/>
      <c r="BY631" s="98"/>
      <c r="BZ631" s="98"/>
    </row>
    <row r="632" spans="1:78" x14ac:dyDescent="0.25">
      <c r="A632" s="98"/>
      <c r="B632" s="98"/>
      <c r="C632" s="98"/>
      <c r="D632" s="98"/>
      <c r="E632" s="98"/>
      <c r="M632" s="98"/>
      <c r="N632" s="98"/>
      <c r="O632" s="98"/>
      <c r="P632" s="98"/>
      <c r="Q632" s="98"/>
      <c r="R632" s="98"/>
      <c r="S632" s="98"/>
      <c r="T632" s="98"/>
      <c r="U632" s="98"/>
      <c r="V632" s="98"/>
      <c r="W632" s="98"/>
      <c r="X632" s="98"/>
      <c r="Y632" s="98"/>
      <c r="Z632" s="98"/>
      <c r="AA632" s="98"/>
      <c r="AB632" s="98"/>
      <c r="AC632" s="98"/>
      <c r="AD632" s="98"/>
      <c r="AE632" s="98"/>
      <c r="AF632" s="98"/>
      <c r="AG632" s="98"/>
      <c r="AH632" s="98"/>
      <c r="AI632" s="98"/>
      <c r="AJ632" s="98"/>
      <c r="AK632" s="98"/>
      <c r="AL632" s="98"/>
      <c r="AM632" s="98"/>
      <c r="AN632" s="98"/>
      <c r="AO632" s="98"/>
      <c r="AP632" s="98"/>
      <c r="AQ632" s="98"/>
      <c r="AR632" s="98"/>
      <c r="AS632" s="98"/>
      <c r="AT632" s="98"/>
      <c r="AU632" s="98"/>
      <c r="AV632" s="98"/>
      <c r="AW632" s="98"/>
      <c r="AX632" s="98"/>
      <c r="AY632" s="98"/>
      <c r="AZ632" s="98"/>
      <c r="BA632" s="98"/>
      <c r="BB632" s="98"/>
      <c r="BC632" s="98"/>
      <c r="BD632" s="98"/>
      <c r="BE632" s="98"/>
      <c r="BF632" s="98"/>
      <c r="BG632" s="98"/>
      <c r="BH632" s="98"/>
      <c r="BI632" s="98"/>
      <c r="BJ632" s="98"/>
      <c r="BK632" s="98"/>
      <c r="BL632" s="98"/>
      <c r="BM632" s="98"/>
      <c r="BN632" s="98"/>
      <c r="BO632" s="98"/>
      <c r="BP632" s="98"/>
      <c r="BQ632" s="98"/>
      <c r="BR632" s="98"/>
      <c r="BS632" s="98"/>
      <c r="BT632" s="98"/>
      <c r="BU632" s="98"/>
      <c r="BV632" s="98"/>
      <c r="BW632" s="98"/>
      <c r="BX632" s="98"/>
      <c r="BY632" s="98"/>
      <c r="BZ632" s="98"/>
    </row>
    <row r="633" spans="1:78" x14ac:dyDescent="0.25">
      <c r="A633" s="98"/>
      <c r="B633" s="98"/>
      <c r="C633" s="98"/>
      <c r="D633" s="98"/>
      <c r="E633" s="98"/>
      <c r="M633" s="98"/>
      <c r="N633" s="98"/>
      <c r="O633" s="98"/>
      <c r="P633" s="98"/>
      <c r="Q633" s="98"/>
      <c r="R633" s="98"/>
      <c r="S633" s="98"/>
      <c r="T633" s="98"/>
      <c r="U633" s="98"/>
      <c r="V633" s="98"/>
      <c r="W633" s="98"/>
      <c r="X633" s="98"/>
      <c r="Y633" s="98"/>
      <c r="Z633" s="98"/>
      <c r="AA633" s="98"/>
      <c r="AB633" s="98"/>
      <c r="AC633" s="98"/>
      <c r="AD633" s="98"/>
      <c r="AE633" s="98"/>
      <c r="AF633" s="98"/>
      <c r="AG633" s="98"/>
      <c r="AH633" s="98"/>
      <c r="AI633" s="98"/>
      <c r="AJ633" s="98"/>
      <c r="AK633" s="98"/>
      <c r="AL633" s="98"/>
      <c r="AM633" s="98"/>
      <c r="AN633" s="98"/>
      <c r="AO633" s="98"/>
      <c r="AP633" s="98"/>
      <c r="AQ633" s="98"/>
      <c r="AR633" s="98"/>
      <c r="AS633" s="98"/>
      <c r="AT633" s="98"/>
      <c r="AU633" s="98"/>
      <c r="AV633" s="98"/>
      <c r="AW633" s="98"/>
      <c r="AX633" s="98"/>
      <c r="AY633" s="98"/>
      <c r="AZ633" s="98"/>
      <c r="BA633" s="98"/>
      <c r="BB633" s="98"/>
      <c r="BC633" s="98"/>
      <c r="BD633" s="98"/>
      <c r="BE633" s="98"/>
      <c r="BF633" s="98"/>
      <c r="BG633" s="98"/>
      <c r="BH633" s="98"/>
      <c r="BI633" s="98"/>
      <c r="BJ633" s="98"/>
      <c r="BK633" s="98"/>
      <c r="BL633" s="98"/>
      <c r="BM633" s="98"/>
      <c r="BN633" s="98"/>
      <c r="BO633" s="98"/>
      <c r="BP633" s="98"/>
      <c r="BQ633" s="98"/>
      <c r="BR633" s="98"/>
      <c r="BS633" s="98"/>
      <c r="BT633" s="98"/>
      <c r="BU633" s="98"/>
      <c r="BV633" s="98"/>
      <c r="BW633" s="98"/>
      <c r="BX633" s="98"/>
      <c r="BY633" s="98"/>
      <c r="BZ633" s="98"/>
    </row>
    <row r="634" spans="1:78" x14ac:dyDescent="0.25">
      <c r="A634" s="98"/>
      <c r="B634" s="98"/>
      <c r="C634" s="98"/>
      <c r="D634" s="98"/>
      <c r="E634" s="98"/>
      <c r="M634" s="98"/>
      <c r="N634" s="98"/>
      <c r="O634" s="98"/>
      <c r="P634" s="98"/>
      <c r="Q634" s="98"/>
      <c r="R634" s="98"/>
      <c r="S634" s="98"/>
      <c r="T634" s="98"/>
      <c r="U634" s="98"/>
      <c r="V634" s="98"/>
      <c r="W634" s="98"/>
      <c r="X634" s="98"/>
      <c r="Y634" s="98"/>
      <c r="Z634" s="98"/>
      <c r="AA634" s="98"/>
      <c r="AB634" s="98"/>
      <c r="AC634" s="98"/>
      <c r="AD634" s="98"/>
      <c r="AE634" s="98"/>
      <c r="AF634" s="98"/>
      <c r="AG634" s="98"/>
      <c r="AH634" s="98"/>
      <c r="AI634" s="98"/>
      <c r="AJ634" s="98"/>
      <c r="AK634" s="98"/>
      <c r="AL634" s="98"/>
      <c r="AM634" s="98"/>
      <c r="AN634" s="98"/>
      <c r="AO634" s="98"/>
      <c r="AP634" s="98"/>
      <c r="AQ634" s="98"/>
      <c r="AR634" s="98"/>
      <c r="AS634" s="98"/>
      <c r="AT634" s="98"/>
      <c r="AU634" s="98"/>
      <c r="AV634" s="98"/>
      <c r="AW634" s="98"/>
      <c r="AX634" s="98"/>
      <c r="AY634" s="98"/>
      <c r="AZ634" s="98"/>
      <c r="BA634" s="98"/>
      <c r="BB634" s="98"/>
      <c r="BC634" s="98"/>
      <c r="BD634" s="98"/>
      <c r="BE634" s="98"/>
      <c r="BF634" s="98"/>
      <c r="BG634" s="98"/>
      <c r="BH634" s="98"/>
      <c r="BI634" s="98"/>
      <c r="BJ634" s="98"/>
      <c r="BK634" s="98"/>
      <c r="BL634" s="98"/>
      <c r="BM634" s="98"/>
      <c r="BN634" s="98"/>
      <c r="BO634" s="98"/>
      <c r="BP634" s="98"/>
      <c r="BQ634" s="98"/>
      <c r="BR634" s="98"/>
      <c r="BS634" s="98"/>
      <c r="BT634" s="98"/>
      <c r="BU634" s="98"/>
      <c r="BV634" s="98"/>
      <c r="BW634" s="98"/>
      <c r="BX634" s="98"/>
      <c r="BY634" s="98"/>
      <c r="BZ634" s="98"/>
    </row>
    <row r="635" spans="1:78" x14ac:dyDescent="0.25">
      <c r="B635" s="95"/>
      <c r="C635" s="95"/>
      <c r="D635" s="95"/>
      <c r="E635" s="95"/>
      <c r="F635" s="95"/>
      <c r="G635" s="95"/>
      <c r="H635" s="95"/>
      <c r="I635" s="95"/>
      <c r="J635" s="95"/>
      <c r="K635" s="95"/>
      <c r="L635" s="95"/>
    </row>
    <row r="636" spans="1:78" x14ac:dyDescent="0.25">
      <c r="A636" s="98"/>
      <c r="B636" s="98"/>
      <c r="C636" s="98"/>
      <c r="D636" s="98"/>
      <c r="E636" s="98"/>
      <c r="M636" s="98"/>
      <c r="N636" s="98"/>
      <c r="O636" s="98"/>
      <c r="P636" s="98"/>
      <c r="Q636" s="98"/>
      <c r="R636" s="98"/>
      <c r="S636" s="98"/>
      <c r="T636" s="98"/>
      <c r="U636" s="98"/>
      <c r="V636" s="98"/>
      <c r="W636" s="98"/>
      <c r="X636" s="98"/>
      <c r="Y636" s="98"/>
      <c r="Z636" s="98"/>
      <c r="AA636" s="98"/>
      <c r="AB636" s="98"/>
      <c r="AC636" s="98"/>
      <c r="AD636" s="98"/>
      <c r="AE636" s="98"/>
      <c r="AF636" s="98"/>
      <c r="AG636" s="98"/>
      <c r="AH636" s="98"/>
      <c r="AI636" s="98"/>
      <c r="AJ636" s="98"/>
      <c r="AK636" s="98"/>
      <c r="AL636" s="98"/>
      <c r="AM636" s="98"/>
      <c r="AN636" s="98"/>
      <c r="AO636" s="98"/>
      <c r="AP636" s="98"/>
      <c r="AQ636" s="98"/>
      <c r="AR636" s="98"/>
      <c r="AS636" s="98"/>
      <c r="AT636" s="98"/>
      <c r="AU636" s="98"/>
      <c r="AV636" s="98"/>
      <c r="AW636" s="98"/>
      <c r="AX636" s="98"/>
      <c r="AY636" s="98"/>
      <c r="AZ636" s="98"/>
      <c r="BA636" s="98"/>
      <c r="BB636" s="98"/>
      <c r="BC636" s="98"/>
      <c r="BD636" s="98"/>
      <c r="BE636" s="98"/>
      <c r="BF636" s="98"/>
      <c r="BG636" s="98"/>
      <c r="BH636" s="98"/>
      <c r="BI636" s="98"/>
      <c r="BJ636" s="98"/>
      <c r="BK636" s="98"/>
      <c r="BL636" s="98"/>
      <c r="BM636" s="98"/>
      <c r="BN636" s="98"/>
      <c r="BO636" s="98"/>
      <c r="BP636" s="98"/>
      <c r="BQ636" s="98"/>
      <c r="BR636" s="98"/>
      <c r="BS636" s="98"/>
      <c r="BT636" s="98"/>
      <c r="BU636" s="98"/>
      <c r="BV636" s="98"/>
      <c r="BW636" s="98"/>
      <c r="BX636" s="98"/>
      <c r="BY636" s="98"/>
      <c r="BZ636" s="98"/>
    </row>
    <row r="637" spans="1:78" x14ac:dyDescent="0.25">
      <c r="B637" s="95"/>
      <c r="C637" s="95"/>
      <c r="D637" s="95"/>
      <c r="E637" s="95"/>
      <c r="F637" s="95"/>
      <c r="G637" s="95"/>
      <c r="H637" s="95"/>
      <c r="I637" s="95"/>
      <c r="J637" s="95"/>
      <c r="K637" s="95"/>
      <c r="L637" s="95"/>
    </row>
    <row r="638" spans="1:78" x14ac:dyDescent="0.25">
      <c r="B638" s="95"/>
      <c r="C638" s="95"/>
      <c r="D638" s="95"/>
      <c r="E638" s="95"/>
      <c r="F638" s="95"/>
      <c r="G638" s="95"/>
      <c r="H638" s="95"/>
      <c r="I638" s="95"/>
      <c r="J638" s="95"/>
      <c r="K638" s="95"/>
      <c r="L638" s="95"/>
    </row>
    <row r="639" spans="1:78" x14ac:dyDescent="0.25">
      <c r="B639" s="95"/>
      <c r="C639" s="95"/>
      <c r="D639" s="95"/>
      <c r="E639" s="95"/>
      <c r="F639" s="95"/>
      <c r="G639" s="95"/>
      <c r="H639" s="95"/>
      <c r="I639" s="95"/>
      <c r="J639" s="95"/>
      <c r="K639" s="95"/>
      <c r="L639" s="95"/>
    </row>
    <row r="640" spans="1:78" x14ac:dyDescent="0.25">
      <c r="B640" s="95"/>
      <c r="C640" s="95"/>
      <c r="D640" s="95"/>
      <c r="E640" s="95"/>
      <c r="F640" s="95"/>
      <c r="G640" s="95"/>
      <c r="H640" s="95"/>
      <c r="I640" s="95"/>
      <c r="J640" s="95"/>
      <c r="K640" s="95"/>
      <c r="L640" s="95"/>
    </row>
    <row r="641" spans="2:12" x14ac:dyDescent="0.25">
      <c r="B641" s="95"/>
      <c r="C641" s="95"/>
      <c r="D641" s="95"/>
      <c r="E641" s="95"/>
      <c r="F641" s="95"/>
      <c r="G641" s="95"/>
      <c r="H641" s="95"/>
      <c r="I641" s="95"/>
      <c r="J641" s="95"/>
      <c r="K641" s="95"/>
      <c r="L641" s="95"/>
    </row>
    <row r="642" spans="2:12" x14ac:dyDescent="0.25">
      <c r="B642" s="95"/>
      <c r="C642" s="95"/>
      <c r="D642" s="95"/>
      <c r="E642" s="95"/>
      <c r="F642" s="95"/>
      <c r="G642" s="95"/>
      <c r="H642" s="95"/>
      <c r="I642" s="95"/>
      <c r="J642" s="95"/>
      <c r="K642" s="95"/>
      <c r="L642" s="95"/>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6"/>
  <dimension ref="A1:K25"/>
  <sheetViews>
    <sheetView workbookViewId="0"/>
  </sheetViews>
  <sheetFormatPr baseColWidth="10" defaultRowHeight="15" x14ac:dyDescent="0.25"/>
  <sheetData>
    <row r="1" spans="1:11" ht="21" x14ac:dyDescent="0.35">
      <c r="A1" s="179"/>
      <c r="B1" s="179"/>
      <c r="C1" s="179"/>
      <c r="D1" s="179"/>
      <c r="E1" s="180" t="s">
        <v>219</v>
      </c>
      <c r="F1" s="179"/>
      <c r="G1" s="179"/>
      <c r="H1" s="179"/>
      <c r="I1" s="179"/>
      <c r="J1" s="179"/>
      <c r="K1" s="179"/>
    </row>
    <row r="3" spans="1:11" ht="45" x14ac:dyDescent="0.25">
      <c r="B3" s="174" t="s">
        <v>42</v>
      </c>
      <c r="C3" s="174" t="s">
        <v>52</v>
      </c>
      <c r="D3" s="174" t="s">
        <v>53</v>
      </c>
      <c r="E3" s="174" t="s">
        <v>32</v>
      </c>
      <c r="F3" s="174" t="s">
        <v>20</v>
      </c>
      <c r="G3" s="174" t="s">
        <v>55</v>
      </c>
      <c r="H3" s="174" t="s">
        <v>56</v>
      </c>
      <c r="I3" s="174" t="s">
        <v>57</v>
      </c>
      <c r="J3" s="174" t="s">
        <v>58</v>
      </c>
      <c r="K3" s="174" t="s">
        <v>10</v>
      </c>
    </row>
    <row r="4" spans="1:11" x14ac:dyDescent="0.25">
      <c r="B4" s="181"/>
      <c r="C4" s="181"/>
      <c r="D4" s="181"/>
      <c r="E4" s="181"/>
      <c r="F4" s="181"/>
      <c r="G4" s="181"/>
      <c r="H4" s="181"/>
      <c r="I4" s="181"/>
      <c r="J4" s="181"/>
      <c r="K4" s="181"/>
    </row>
    <row r="5" spans="1:11" x14ac:dyDescent="0.25">
      <c r="A5" s="182" t="s">
        <v>220</v>
      </c>
    </row>
    <row r="6" spans="1:11" ht="15.75" x14ac:dyDescent="0.25">
      <c r="A6" s="178" t="s">
        <v>78</v>
      </c>
      <c r="B6" s="183">
        <v>1.3884902020173964</v>
      </c>
      <c r="C6" s="177"/>
      <c r="D6" s="177">
        <v>3.3110847535138079</v>
      </c>
      <c r="E6" s="177">
        <v>10.494994051790096</v>
      </c>
      <c r="F6" s="177"/>
      <c r="G6" s="177"/>
      <c r="H6" s="177">
        <v>1.8351247425062329</v>
      </c>
      <c r="I6" s="177">
        <v>9.9556529577361133</v>
      </c>
      <c r="J6" s="177">
        <v>1.8103380194101062</v>
      </c>
      <c r="K6" s="177">
        <v>28.795684726973754</v>
      </c>
    </row>
    <row r="7" spans="1:11" ht="15.75" x14ac:dyDescent="0.25">
      <c r="A7" s="178" t="s">
        <v>79</v>
      </c>
      <c r="B7" s="177"/>
      <c r="C7" s="177"/>
      <c r="D7" s="183">
        <v>38.361881676283886</v>
      </c>
      <c r="E7" s="177">
        <v>8.4067737661287986E-2</v>
      </c>
      <c r="F7" s="177"/>
      <c r="G7" s="177"/>
      <c r="H7" s="177">
        <v>2.8949414869669079</v>
      </c>
      <c r="I7" s="177">
        <v>0.89186890806551777</v>
      </c>
      <c r="J7" s="177"/>
      <c r="K7" s="177">
        <v>42.232759808977598</v>
      </c>
    </row>
    <row r="8" spans="1:11" x14ac:dyDescent="0.25">
      <c r="A8" s="175" t="s">
        <v>80</v>
      </c>
      <c r="B8" s="177">
        <v>0</v>
      </c>
      <c r="C8" s="177"/>
      <c r="D8" s="177">
        <v>6.7005679295957643</v>
      </c>
      <c r="E8" s="177">
        <v>14.533749468475101</v>
      </c>
      <c r="F8" s="177"/>
      <c r="G8" s="177"/>
      <c r="H8" s="183">
        <v>4.6160129151116731</v>
      </c>
      <c r="I8" s="177">
        <v>13.873471120627759</v>
      </c>
      <c r="J8" s="177">
        <v>1.3253610960698863</v>
      </c>
      <c r="K8" s="177">
        <v>41.049162529880178</v>
      </c>
    </row>
    <row r="9" spans="1:11" x14ac:dyDescent="0.25">
      <c r="A9" s="175" t="s">
        <v>81</v>
      </c>
      <c r="B9" s="177">
        <v>6.1426658136617469E-2</v>
      </c>
      <c r="C9" s="177"/>
      <c r="D9" s="177">
        <v>2.294081628046909</v>
      </c>
      <c r="E9" s="177">
        <v>5.9093799275223491</v>
      </c>
      <c r="F9" s="177"/>
      <c r="G9" s="177"/>
      <c r="H9" s="183">
        <v>1.2236531460535565</v>
      </c>
      <c r="I9" s="177">
        <v>11.937063274925904</v>
      </c>
      <c r="J9" s="177">
        <v>0.53425976252893026</v>
      </c>
      <c r="K9" s="177">
        <v>21.959864397214265</v>
      </c>
    </row>
    <row r="10" spans="1:11" x14ac:dyDescent="0.25">
      <c r="A10" s="175" t="s">
        <v>82</v>
      </c>
      <c r="B10" s="177"/>
      <c r="C10" s="177"/>
      <c r="D10" s="177">
        <v>3.371</v>
      </c>
      <c r="E10" s="177">
        <v>0.20038837309893262</v>
      </c>
      <c r="F10" s="177"/>
      <c r="G10" s="177"/>
      <c r="H10" s="177">
        <v>0.15947740517817902</v>
      </c>
      <c r="I10" s="177">
        <v>0.74651762682717115</v>
      </c>
      <c r="J10" s="177"/>
      <c r="K10" s="177">
        <v>4.4773834051042822</v>
      </c>
    </row>
    <row r="11" spans="1:11" ht="15.75" x14ac:dyDescent="0.25">
      <c r="A11" s="176" t="s">
        <v>83</v>
      </c>
      <c r="B11" s="184">
        <v>1.4499168601540138</v>
      </c>
      <c r="C11" s="184"/>
      <c r="D11" s="184">
        <v>54.038615987440373</v>
      </c>
      <c r="E11" s="184">
        <v>31.222579558547764</v>
      </c>
      <c r="F11" s="184"/>
      <c r="G11" s="184"/>
      <c r="H11" s="184">
        <v>10.72920969581655</v>
      </c>
      <c r="I11" s="184">
        <v>37.404573888182469</v>
      </c>
      <c r="J11" s="184"/>
      <c r="K11" s="184">
        <v>134.84489599014117</v>
      </c>
    </row>
    <row r="12" spans="1:11" x14ac:dyDescent="0.25">
      <c r="A12" s="175" t="s">
        <v>84</v>
      </c>
      <c r="B12" s="177">
        <v>0.30481003053267108</v>
      </c>
      <c r="C12" s="177"/>
      <c r="D12" s="177">
        <v>12.44809233451895</v>
      </c>
      <c r="E12" s="177">
        <v>1.1015358194081886</v>
      </c>
      <c r="F12" s="177"/>
      <c r="G12" s="177"/>
      <c r="H12" s="177"/>
      <c r="I12" s="177"/>
      <c r="J12" s="177"/>
      <c r="K12" s="177">
        <v>13.854438184459809</v>
      </c>
    </row>
    <row r="13" spans="1:11" ht="15.75" x14ac:dyDescent="0.25">
      <c r="A13" s="176" t="s">
        <v>85</v>
      </c>
      <c r="B13" s="184"/>
      <c r="C13" s="184"/>
      <c r="D13" s="184"/>
      <c r="E13" s="184"/>
      <c r="F13" s="184"/>
      <c r="G13" s="184"/>
      <c r="H13" s="184"/>
      <c r="I13" s="184"/>
      <c r="J13" s="184"/>
      <c r="K13" s="184"/>
    </row>
    <row r="15" spans="1:11" ht="21" x14ac:dyDescent="0.35">
      <c r="A15" s="179"/>
      <c r="B15" s="179"/>
      <c r="C15" s="179"/>
      <c r="D15" s="179"/>
      <c r="E15" s="180" t="s">
        <v>221</v>
      </c>
      <c r="F15" s="179"/>
      <c r="G15" s="179"/>
      <c r="H15" s="179"/>
      <c r="I15" s="179"/>
      <c r="J15" s="179"/>
      <c r="K15" s="179"/>
    </row>
    <row r="17" spans="1:11" x14ac:dyDescent="0.25">
      <c r="A17" s="182" t="s">
        <v>220</v>
      </c>
    </row>
    <row r="18" spans="1:11" ht="15.75" x14ac:dyDescent="0.25">
      <c r="A18" s="178" t="s">
        <v>78</v>
      </c>
      <c r="B18" s="177">
        <v>-0.33918093707456642</v>
      </c>
      <c r="C18" s="177"/>
      <c r="D18" s="177">
        <v>-0.95447529303598744</v>
      </c>
      <c r="E18" s="177">
        <v>-0.29115755854525993</v>
      </c>
      <c r="F18" s="177"/>
      <c r="G18" s="177"/>
      <c r="H18" s="177">
        <v>-0.46957109771785044</v>
      </c>
      <c r="I18" s="177">
        <v>0.11389920249186147</v>
      </c>
      <c r="J18" s="177">
        <v>-0.66880329575923958</v>
      </c>
      <c r="K18" s="177">
        <v>-2.87286801490065</v>
      </c>
    </row>
    <row r="19" spans="1:11" ht="15.75" x14ac:dyDescent="0.25">
      <c r="A19" s="178" t="s">
        <v>79</v>
      </c>
      <c r="B19" s="177">
        <v>0</v>
      </c>
      <c r="C19" s="177"/>
      <c r="D19" s="185">
        <v>1.445118323716116</v>
      </c>
      <c r="E19" s="177">
        <v>-1.7852311566213724E-2</v>
      </c>
      <c r="F19" s="177"/>
      <c r="G19" s="177"/>
      <c r="H19" s="177">
        <v>5.3213934834945409E-2</v>
      </c>
      <c r="I19" s="177">
        <v>5.2843043783149524E-2</v>
      </c>
      <c r="J19" s="177">
        <v>0</v>
      </c>
      <c r="K19" s="177">
        <v>1.5333229907679993</v>
      </c>
    </row>
    <row r="20" spans="1:11" x14ac:dyDescent="0.25">
      <c r="A20" s="175" t="s">
        <v>80</v>
      </c>
      <c r="B20" s="177">
        <v>3.6764196608413298E-2</v>
      </c>
      <c r="C20" s="177"/>
      <c r="D20" s="177">
        <v>-2.527251854115331E-2</v>
      </c>
      <c r="E20" s="177">
        <v>-2.7512058961250272</v>
      </c>
      <c r="F20" s="177"/>
      <c r="G20" s="177"/>
      <c r="H20" s="177">
        <v>4.2224628558600852</v>
      </c>
      <c r="I20" s="177">
        <v>-0.25310406248511974</v>
      </c>
      <c r="J20" s="177">
        <v>-0.11351673306802224</v>
      </c>
      <c r="K20" s="177">
        <v>-1.3152724484181135</v>
      </c>
    </row>
    <row r="21" spans="1:11" x14ac:dyDescent="0.25">
      <c r="A21" s="175" t="s">
        <v>81</v>
      </c>
      <c r="B21" s="177">
        <v>-1.835326584075557E-2</v>
      </c>
      <c r="C21" s="177"/>
      <c r="D21" s="177">
        <v>0.72138401659326323</v>
      </c>
      <c r="E21" s="177">
        <v>1.2293964017069836</v>
      </c>
      <c r="F21" s="177"/>
      <c r="G21" s="177"/>
      <c r="H21" s="177">
        <v>-0.32707070573243202</v>
      </c>
      <c r="I21" s="177">
        <v>0.76430220157386941</v>
      </c>
      <c r="J21" s="177">
        <v>0.17649371251075074</v>
      </c>
      <c r="K21" s="177">
        <v>1.6888670650480151</v>
      </c>
    </row>
    <row r="22" spans="1:11" x14ac:dyDescent="0.25">
      <c r="A22" s="175" t="s">
        <v>82</v>
      </c>
      <c r="B22" s="177">
        <v>2.2137192704974398E-3</v>
      </c>
      <c r="C22" s="177"/>
      <c r="D22" s="177">
        <v>0</v>
      </c>
      <c r="E22" s="177">
        <v>0</v>
      </c>
      <c r="F22" s="177"/>
      <c r="G22" s="177"/>
      <c r="H22" s="177">
        <v>0</v>
      </c>
      <c r="I22" s="177">
        <v>0</v>
      </c>
      <c r="J22" s="177">
        <v>6.4536710533781346E-3</v>
      </c>
      <c r="K22" s="177">
        <v>8.6673903238754235E-3</v>
      </c>
    </row>
    <row r="23" spans="1:11" ht="15.75" x14ac:dyDescent="0.25">
      <c r="A23" s="176" t="s">
        <v>83</v>
      </c>
      <c r="B23" s="184">
        <v>-0.31855628703641115</v>
      </c>
      <c r="C23" s="184"/>
      <c r="D23" s="184">
        <v>1.1867545287322372</v>
      </c>
      <c r="E23" s="184">
        <v>-1.8308193645295177</v>
      </c>
      <c r="F23" s="184"/>
      <c r="G23" s="184"/>
      <c r="H23" s="184">
        <v>3.4790349872447468</v>
      </c>
      <c r="I23" s="184">
        <v>0.67786761383800354</v>
      </c>
      <c r="J23" s="184">
        <v>3.0705862327457898</v>
      </c>
      <c r="K23" s="184">
        <v>2.7126758608300463</v>
      </c>
    </row>
    <row r="24" spans="1:11" x14ac:dyDescent="0.25">
      <c r="A24" s="175" t="s">
        <v>84</v>
      </c>
      <c r="B24" s="177">
        <v>1.9410438238792738E-4</v>
      </c>
      <c r="C24" s="177"/>
      <c r="D24" s="177">
        <v>4.9076654810491505E-3</v>
      </c>
      <c r="E24" s="177">
        <v>5.0421916540477341E-5</v>
      </c>
      <c r="F24" s="177"/>
      <c r="G24" s="177"/>
      <c r="H24" s="177">
        <v>0</v>
      </c>
      <c r="I24" s="177">
        <v>0</v>
      </c>
      <c r="J24" s="177">
        <v>0</v>
      </c>
      <c r="K24" s="177">
        <v>5.1521917799774997E-3</v>
      </c>
    </row>
    <row r="25" spans="1:11" ht="15.75" x14ac:dyDescent="0.25">
      <c r="A25" s="176" t="s">
        <v>85</v>
      </c>
      <c r="B25" s="184">
        <v>1.4363647080326616</v>
      </c>
      <c r="C25" s="184"/>
      <c r="D25" s="184">
        <v>67.678370516172606</v>
      </c>
      <c r="E25" s="184">
        <v>30.493346435342975</v>
      </c>
      <c r="F25" s="184"/>
      <c r="G25" s="184"/>
      <c r="H25" s="184">
        <v>14.208244683061297</v>
      </c>
      <c r="I25" s="184">
        <v>38.082441502020473</v>
      </c>
      <c r="J25" s="184">
        <v>3.0705862327457898</v>
      </c>
      <c r="K25" s="184">
        <v>151.41716222721098</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7"/>
  <dimension ref="A1:L75"/>
  <sheetViews>
    <sheetView workbookViewId="0"/>
  </sheetViews>
  <sheetFormatPr baseColWidth="10" defaultRowHeight="15" x14ac:dyDescent="0.25"/>
  <sheetData>
    <row r="1" spans="1:12" x14ac:dyDescent="0.25">
      <c r="A1">
        <v>2015</v>
      </c>
    </row>
    <row r="2" spans="1:12" x14ac:dyDescent="0.25">
      <c r="A2" t="s">
        <v>128</v>
      </c>
      <c r="B2" t="s">
        <v>57</v>
      </c>
      <c r="C2" t="s">
        <v>207</v>
      </c>
      <c r="D2" t="s">
        <v>105</v>
      </c>
      <c r="E2" t="s">
        <v>42</v>
      </c>
      <c r="F2" t="s">
        <v>134</v>
      </c>
      <c r="G2" t="s">
        <v>54</v>
      </c>
      <c r="H2" t="s">
        <v>208</v>
      </c>
      <c r="I2" t="s">
        <v>209</v>
      </c>
      <c r="J2" t="s">
        <v>210</v>
      </c>
      <c r="K2" t="s">
        <v>211</v>
      </c>
      <c r="L2" t="s">
        <v>10</v>
      </c>
    </row>
    <row r="3" spans="1:12" x14ac:dyDescent="0.25">
      <c r="A3" t="s">
        <v>138</v>
      </c>
      <c r="B3">
        <v>12.5519328150197</v>
      </c>
      <c r="C3">
        <v>5.2870368800138001</v>
      </c>
      <c r="D3">
        <v>6.0440913051639003</v>
      </c>
      <c r="F3">
        <v>3.9201473744425601</v>
      </c>
      <c r="G3">
        <v>55.1774071232783</v>
      </c>
      <c r="H3">
        <v>21.106295900439498</v>
      </c>
      <c r="I3">
        <v>0.98003684361064003</v>
      </c>
      <c r="J3">
        <v>7.8304431965415997</v>
      </c>
      <c r="K3">
        <v>105.06694824196801</v>
      </c>
      <c r="L3">
        <v>112.89739143851</v>
      </c>
    </row>
    <row r="4" spans="1:12" x14ac:dyDescent="0.25">
      <c r="A4" t="s">
        <v>212</v>
      </c>
      <c r="B4">
        <v>6.9037124632711402</v>
      </c>
      <c r="C4">
        <v>1.0774580144989601</v>
      </c>
      <c r="D4">
        <v>1.2370323236909</v>
      </c>
      <c r="E4">
        <v>1.03281341623395</v>
      </c>
      <c r="F4">
        <v>0</v>
      </c>
      <c r="G4">
        <v>8.0421226086564008</v>
      </c>
      <c r="H4">
        <v>2.3840661307587001</v>
      </c>
      <c r="I4">
        <v>1.03281341623395</v>
      </c>
      <c r="J4">
        <v>1.61618702174845</v>
      </c>
      <c r="K4">
        <v>21.710018373343999</v>
      </c>
      <c r="L4">
        <v>23.326205395092401</v>
      </c>
    </row>
    <row r="5" spans="1:12" x14ac:dyDescent="0.25">
      <c r="A5" t="s">
        <v>140</v>
      </c>
      <c r="B5">
        <v>8.9358473663910996</v>
      </c>
      <c r="C5">
        <v>0</v>
      </c>
      <c r="D5">
        <v>0</v>
      </c>
      <c r="E5">
        <v>0</v>
      </c>
      <c r="F5">
        <v>0</v>
      </c>
      <c r="G5">
        <v>4.1110437237771</v>
      </c>
      <c r="H5">
        <v>1.4519374850925</v>
      </c>
      <c r="I5">
        <v>0</v>
      </c>
      <c r="J5">
        <v>0</v>
      </c>
      <c r="K5">
        <v>14.498828575260699</v>
      </c>
      <c r="L5">
        <v>14.498828575260699</v>
      </c>
    </row>
    <row r="6" spans="1:12" x14ac:dyDescent="0.25">
      <c r="A6" t="s">
        <v>141</v>
      </c>
      <c r="B6">
        <v>24.9401523606955</v>
      </c>
      <c r="C6">
        <v>0</v>
      </c>
      <c r="D6">
        <v>0</v>
      </c>
      <c r="E6">
        <v>0</v>
      </c>
      <c r="F6">
        <v>0</v>
      </c>
      <c r="G6">
        <v>0</v>
      </c>
      <c r="H6">
        <v>0</v>
      </c>
      <c r="I6">
        <v>0</v>
      </c>
      <c r="J6">
        <v>0</v>
      </c>
      <c r="K6">
        <v>24.9401523606955</v>
      </c>
      <c r="L6">
        <v>24.9401523606955</v>
      </c>
    </row>
    <row r="7" spans="1:12" x14ac:dyDescent="0.25">
      <c r="A7" t="s">
        <v>213</v>
      </c>
      <c r="B7">
        <v>43.880450716373602</v>
      </c>
      <c r="C7">
        <v>0</v>
      </c>
      <c r="D7">
        <v>0</v>
      </c>
      <c r="E7">
        <v>0</v>
      </c>
      <c r="F7">
        <v>0</v>
      </c>
      <c r="G7">
        <v>0</v>
      </c>
      <c r="H7">
        <v>0</v>
      </c>
      <c r="I7">
        <v>0</v>
      </c>
      <c r="J7">
        <v>0</v>
      </c>
      <c r="K7">
        <v>43.880450716373602</v>
      </c>
      <c r="L7">
        <v>43.880450716373602</v>
      </c>
    </row>
    <row r="8" spans="1:12" x14ac:dyDescent="0.25">
      <c r="A8" t="s">
        <v>143</v>
      </c>
      <c r="C8">
        <v>5.9124410470313</v>
      </c>
      <c r="D8">
        <v>0</v>
      </c>
      <c r="E8">
        <v>0</v>
      </c>
      <c r="F8">
        <v>0</v>
      </c>
      <c r="G8">
        <v>0</v>
      </c>
      <c r="H8">
        <v>0</v>
      </c>
      <c r="I8">
        <v>0</v>
      </c>
      <c r="J8">
        <v>11.943759318006499</v>
      </c>
      <c r="K8">
        <v>5.9124410470313</v>
      </c>
      <c r="L8">
        <v>17.8562003650378</v>
      </c>
    </row>
    <row r="9" spans="1:12" x14ac:dyDescent="0.25">
      <c r="A9" t="s">
        <v>214</v>
      </c>
      <c r="B9">
        <v>0</v>
      </c>
      <c r="C9">
        <v>0</v>
      </c>
      <c r="D9">
        <v>0</v>
      </c>
      <c r="E9">
        <v>1.2866889215937001</v>
      </c>
      <c r="F9">
        <v>0</v>
      </c>
      <c r="G9">
        <v>2.5572921097845001</v>
      </c>
      <c r="H9">
        <v>0</v>
      </c>
      <c r="I9">
        <v>0</v>
      </c>
      <c r="J9">
        <v>0</v>
      </c>
      <c r="K9">
        <v>3.8439810313781999</v>
      </c>
      <c r="L9">
        <v>3.8439810313781999</v>
      </c>
    </row>
    <row r="10" spans="1:12" x14ac:dyDescent="0.25">
      <c r="A10" t="s">
        <v>215</v>
      </c>
      <c r="B10">
        <v>97.212095721750998</v>
      </c>
      <c r="C10">
        <v>12.2769359415441</v>
      </c>
      <c r="D10">
        <v>7.2811236288548002</v>
      </c>
      <c r="E10">
        <v>2.3195023378276498</v>
      </c>
      <c r="F10">
        <v>3.9201473744425601</v>
      </c>
      <c r="G10">
        <v>69.887865565496298</v>
      </c>
      <c r="H10">
        <v>24.942299516290699</v>
      </c>
      <c r="I10">
        <v>2.0128502598445901</v>
      </c>
      <c r="J10">
        <v>21.390389536296599</v>
      </c>
      <c r="K10">
        <v>219.852820346052</v>
      </c>
      <c r="L10">
        <v>241.243209882348</v>
      </c>
    </row>
    <row r="11" spans="1:12" x14ac:dyDescent="0.25">
      <c r="A11" t="s">
        <v>216</v>
      </c>
      <c r="B11">
        <v>27.679951884962101</v>
      </c>
      <c r="C11">
        <v>0</v>
      </c>
      <c r="D11">
        <v>0</v>
      </c>
      <c r="E11">
        <v>0</v>
      </c>
      <c r="F11">
        <v>0</v>
      </c>
      <c r="G11">
        <v>0</v>
      </c>
      <c r="H11">
        <v>0</v>
      </c>
      <c r="I11">
        <v>0</v>
      </c>
      <c r="J11">
        <v>0</v>
      </c>
      <c r="K11">
        <v>27.679951884962101</v>
      </c>
      <c r="L11">
        <v>27.679951884962101</v>
      </c>
    </row>
    <row r="12" spans="1:12" x14ac:dyDescent="0.25">
      <c r="A12" t="s">
        <v>10</v>
      </c>
      <c r="B12">
        <v>124.89204760671301</v>
      </c>
      <c r="C12">
        <v>12.2769359415441</v>
      </c>
      <c r="D12">
        <v>7.2811236288548002</v>
      </c>
      <c r="E12">
        <v>2.3195023378276498</v>
      </c>
      <c r="F12">
        <v>3.9201473744425601</v>
      </c>
      <c r="G12">
        <v>69.887865565496298</v>
      </c>
      <c r="H12">
        <v>24.942299516290699</v>
      </c>
      <c r="I12">
        <v>2.0128502598445901</v>
      </c>
      <c r="J12">
        <v>21.390389536296599</v>
      </c>
      <c r="K12">
        <v>247.53277223101401</v>
      </c>
      <c r="L12">
        <v>268.92316176730998</v>
      </c>
    </row>
    <row r="13" spans="1:12" x14ac:dyDescent="0.25">
      <c r="A13" t="s">
        <v>217</v>
      </c>
    </row>
    <row r="14" spans="1:12" x14ac:dyDescent="0.25">
      <c r="A14" t="s">
        <v>218</v>
      </c>
    </row>
    <row r="17" spans="1:12" x14ac:dyDescent="0.25">
      <c r="A17">
        <v>2020</v>
      </c>
    </row>
    <row r="18" spans="1:12" x14ac:dyDescent="0.25">
      <c r="A18" t="s">
        <v>128</v>
      </c>
      <c r="B18" t="s">
        <v>57</v>
      </c>
      <c r="C18" t="s">
        <v>207</v>
      </c>
      <c r="D18" t="s">
        <v>105</v>
      </c>
      <c r="E18" t="s">
        <v>42</v>
      </c>
      <c r="F18" t="s">
        <v>134</v>
      </c>
      <c r="G18" t="s">
        <v>54</v>
      </c>
      <c r="H18" t="s">
        <v>208</v>
      </c>
      <c r="I18" t="s">
        <v>209</v>
      </c>
      <c r="J18" t="s">
        <v>210</v>
      </c>
      <c r="K18" t="s">
        <v>211</v>
      </c>
      <c r="L18" t="s">
        <v>10</v>
      </c>
    </row>
    <row r="19" spans="1:12" x14ac:dyDescent="0.25">
      <c r="A19" t="s">
        <v>138</v>
      </c>
      <c r="B19">
        <v>10.3742757878855</v>
      </c>
      <c r="C19">
        <v>6.1002330193981003</v>
      </c>
      <c r="D19">
        <v>4.8012381348690996</v>
      </c>
      <c r="F19">
        <v>4.7207015465331201</v>
      </c>
      <c r="G19">
        <v>48.617576303646601</v>
      </c>
      <c r="H19">
        <v>14.4330293124561</v>
      </c>
      <c r="I19">
        <v>1.18017538663328</v>
      </c>
      <c r="J19">
        <v>9.1571461976879007</v>
      </c>
      <c r="K19">
        <v>90.227229491421795</v>
      </c>
      <c r="L19">
        <v>99.384375689109703</v>
      </c>
    </row>
    <row r="20" spans="1:12" x14ac:dyDescent="0.25">
      <c r="A20" t="s">
        <v>212</v>
      </c>
      <c r="B20">
        <v>6.7699876877453198</v>
      </c>
      <c r="C20">
        <v>2.1378908487616801</v>
      </c>
      <c r="D20">
        <v>1.2322317177116</v>
      </c>
      <c r="E20">
        <v>0.89967193568838</v>
      </c>
      <c r="F20">
        <v>0</v>
      </c>
      <c r="G20">
        <v>6.2169602451413999</v>
      </c>
      <c r="H20">
        <v>1.2070758173613001</v>
      </c>
      <c r="I20">
        <v>2.0992345166062201</v>
      </c>
      <c r="J20">
        <v>3.2068362731425202</v>
      </c>
      <c r="K20">
        <v>20.563052769015901</v>
      </c>
      <c r="L20">
        <v>23.7698890421584</v>
      </c>
    </row>
    <row r="21" spans="1:12" x14ac:dyDescent="0.25">
      <c r="A21" t="s">
        <v>140</v>
      </c>
      <c r="B21">
        <v>10.5272361865745</v>
      </c>
      <c r="C21">
        <v>0</v>
      </c>
      <c r="D21">
        <v>0</v>
      </c>
      <c r="E21">
        <v>0</v>
      </c>
      <c r="F21">
        <v>0</v>
      </c>
      <c r="G21">
        <v>3.609606004083</v>
      </c>
      <c r="H21">
        <v>1.1084107534645</v>
      </c>
      <c r="I21">
        <v>0</v>
      </c>
      <c r="K21">
        <v>15.245252944122001</v>
      </c>
      <c r="L21">
        <v>15.245252944122001</v>
      </c>
    </row>
    <row r="22" spans="1:12" x14ac:dyDescent="0.25">
      <c r="A22" t="s">
        <v>141</v>
      </c>
      <c r="B22">
        <v>23.389235120450699</v>
      </c>
      <c r="C22">
        <v>0</v>
      </c>
      <c r="D22">
        <v>0</v>
      </c>
      <c r="E22">
        <v>0</v>
      </c>
      <c r="F22">
        <v>0</v>
      </c>
      <c r="G22">
        <v>0</v>
      </c>
      <c r="H22">
        <v>0</v>
      </c>
      <c r="I22">
        <v>0</v>
      </c>
      <c r="K22">
        <v>23.389235120450699</v>
      </c>
      <c r="L22">
        <v>23.389235120450699</v>
      </c>
    </row>
    <row r="23" spans="1:12" x14ac:dyDescent="0.25">
      <c r="A23" t="s">
        <v>213</v>
      </c>
      <c r="B23">
        <v>46.6814996815285</v>
      </c>
      <c r="C23">
        <v>0</v>
      </c>
      <c r="D23">
        <v>0</v>
      </c>
      <c r="E23">
        <v>0</v>
      </c>
      <c r="F23">
        <v>0</v>
      </c>
      <c r="G23">
        <v>0</v>
      </c>
      <c r="H23">
        <v>0</v>
      </c>
      <c r="I23">
        <v>0</v>
      </c>
      <c r="K23">
        <v>46.6814996815285</v>
      </c>
      <c r="L23">
        <v>46.6814996815285</v>
      </c>
    </row>
    <row r="24" spans="1:12" x14ac:dyDescent="0.25">
      <c r="A24" t="s">
        <v>143</v>
      </c>
      <c r="C24">
        <v>6.1479590102429</v>
      </c>
      <c r="D24">
        <v>0</v>
      </c>
      <c r="E24">
        <v>0</v>
      </c>
      <c r="F24">
        <v>0</v>
      </c>
      <c r="G24">
        <v>0</v>
      </c>
      <c r="H24">
        <v>0</v>
      </c>
      <c r="I24">
        <v>0</v>
      </c>
      <c r="J24">
        <v>15.215325420320401</v>
      </c>
      <c r="K24">
        <v>6.1479590102429</v>
      </c>
      <c r="L24">
        <v>21.363284430563301</v>
      </c>
    </row>
    <row r="25" spans="1:12" x14ac:dyDescent="0.25">
      <c r="A25" t="s">
        <v>214</v>
      </c>
      <c r="B25">
        <v>0.22503356683190001</v>
      </c>
      <c r="C25">
        <v>0</v>
      </c>
      <c r="D25">
        <v>0</v>
      </c>
      <c r="E25">
        <v>0.90013426732760005</v>
      </c>
      <c r="F25">
        <v>0</v>
      </c>
      <c r="G25">
        <v>2.2363983456957999</v>
      </c>
      <c r="H25">
        <v>0</v>
      </c>
      <c r="I25">
        <v>0</v>
      </c>
      <c r="K25">
        <v>3.3615661798552998</v>
      </c>
      <c r="L25">
        <v>3.3615661798552998</v>
      </c>
    </row>
    <row r="26" spans="1:12" x14ac:dyDescent="0.25">
      <c r="A26" t="s">
        <v>215</v>
      </c>
      <c r="B26">
        <v>97.967268031016403</v>
      </c>
      <c r="C26">
        <v>14.3860828784027</v>
      </c>
      <c r="D26">
        <v>6.0334698525806996</v>
      </c>
      <c r="E26">
        <v>1.79980620301598</v>
      </c>
      <c r="F26">
        <v>4.7207015465331201</v>
      </c>
      <c r="G26">
        <v>60.680540898566797</v>
      </c>
      <c r="H26">
        <v>16.7485158832819</v>
      </c>
      <c r="I26">
        <v>3.2794099032394999</v>
      </c>
      <c r="J26">
        <v>27.579307891150801</v>
      </c>
      <c r="K26">
        <v>205.61579519663701</v>
      </c>
      <c r="L26">
        <v>233.195103087788</v>
      </c>
    </row>
    <row r="27" spans="1:12" x14ac:dyDescent="0.25">
      <c r="A27" t="s">
        <v>216</v>
      </c>
      <c r="B27">
        <v>26.994931226968699</v>
      </c>
      <c r="C27">
        <v>0</v>
      </c>
      <c r="D27">
        <v>0</v>
      </c>
      <c r="E27">
        <v>0</v>
      </c>
      <c r="F27">
        <v>0</v>
      </c>
      <c r="G27">
        <v>0</v>
      </c>
      <c r="H27">
        <v>0</v>
      </c>
      <c r="I27">
        <v>0</v>
      </c>
      <c r="K27">
        <v>26.994931226968699</v>
      </c>
      <c r="L27">
        <v>26.994931226968699</v>
      </c>
    </row>
    <row r="28" spans="1:12" x14ac:dyDescent="0.25">
      <c r="A28" t="s">
        <v>10</v>
      </c>
      <c r="B28">
        <v>124.96219925798501</v>
      </c>
      <c r="C28">
        <v>14.3860828784027</v>
      </c>
      <c r="D28">
        <v>6.0334698525806996</v>
      </c>
      <c r="E28">
        <v>1.79980620301598</v>
      </c>
      <c r="F28">
        <v>4.7207015465331201</v>
      </c>
      <c r="G28">
        <v>60.680540898566797</v>
      </c>
      <c r="H28">
        <v>16.7485158832819</v>
      </c>
      <c r="I28">
        <v>3.2794099032394999</v>
      </c>
      <c r="J28">
        <v>27.579307891150801</v>
      </c>
      <c r="K28">
        <v>232.610726423606</v>
      </c>
      <c r="L28">
        <v>260.19003431475699</v>
      </c>
    </row>
    <row r="29" spans="1:12" x14ac:dyDescent="0.25">
      <c r="A29" t="s">
        <v>217</v>
      </c>
    </row>
    <row r="30" spans="1:12" x14ac:dyDescent="0.25">
      <c r="A30" t="s">
        <v>218</v>
      </c>
    </row>
    <row r="32" spans="1:12" x14ac:dyDescent="0.25">
      <c r="A32">
        <v>2025</v>
      </c>
    </row>
    <row r="33" spans="1:12" x14ac:dyDescent="0.25">
      <c r="A33" t="s">
        <v>128</v>
      </c>
      <c r="B33" t="s">
        <v>57</v>
      </c>
      <c r="C33" t="s">
        <v>207</v>
      </c>
      <c r="D33" t="s">
        <v>105</v>
      </c>
      <c r="E33" t="s">
        <v>42</v>
      </c>
      <c r="F33" t="s">
        <v>134</v>
      </c>
      <c r="G33" t="s">
        <v>54</v>
      </c>
      <c r="H33" t="s">
        <v>208</v>
      </c>
      <c r="I33" t="s">
        <v>209</v>
      </c>
      <c r="J33" t="s">
        <v>210</v>
      </c>
      <c r="K33" t="s">
        <v>211</v>
      </c>
      <c r="L33" t="s">
        <v>10</v>
      </c>
    </row>
    <row r="34" spans="1:12" x14ac:dyDescent="0.25">
      <c r="A34" t="s">
        <v>138</v>
      </c>
      <c r="B34">
        <v>8.9718125061079999</v>
      </c>
      <c r="C34">
        <v>7.5244428280336004</v>
      </c>
      <c r="D34">
        <v>4.1448280467982999</v>
      </c>
      <c r="F34">
        <v>5.7574771280624804</v>
      </c>
      <c r="G34">
        <v>39.004453813544799</v>
      </c>
      <c r="H34">
        <v>8.9939273059531999</v>
      </c>
      <c r="I34">
        <v>1.4393692820156201</v>
      </c>
      <c r="J34">
        <v>11.4217194648713</v>
      </c>
      <c r="K34">
        <v>75.836310910516005</v>
      </c>
      <c r="L34">
        <v>87.258030375387307</v>
      </c>
    </row>
    <row r="35" spans="1:12" x14ac:dyDescent="0.25">
      <c r="A35" t="s">
        <v>212</v>
      </c>
      <c r="B35">
        <v>5.2475986366028398</v>
      </c>
      <c r="C35">
        <v>3.4983990910685598</v>
      </c>
      <c r="D35">
        <v>1.1963054104524999</v>
      </c>
      <c r="E35">
        <v>0.73455761130816</v>
      </c>
      <c r="F35">
        <v>0</v>
      </c>
      <c r="G35">
        <v>4.5534877411513</v>
      </c>
      <c r="H35">
        <v>0.30731067968190001</v>
      </c>
      <c r="I35">
        <v>2.93823044523264</v>
      </c>
      <c r="J35">
        <v>5.2475986366028398</v>
      </c>
      <c r="K35">
        <v>18.475889615497898</v>
      </c>
      <c r="L35">
        <v>23.723488252100701</v>
      </c>
    </row>
    <row r="36" spans="1:12" x14ac:dyDescent="0.25">
      <c r="A36" t="s">
        <v>140</v>
      </c>
      <c r="B36">
        <v>11.2851059106452</v>
      </c>
      <c r="C36">
        <v>0</v>
      </c>
      <c r="D36">
        <v>0</v>
      </c>
      <c r="E36">
        <v>0</v>
      </c>
      <c r="F36">
        <v>0</v>
      </c>
      <c r="G36">
        <v>3.0165698263876002</v>
      </c>
      <c r="H36">
        <v>0.82147656588960005</v>
      </c>
      <c r="I36">
        <v>0</v>
      </c>
      <c r="K36">
        <v>15.123152302922399</v>
      </c>
      <c r="L36">
        <v>15.123152302922399</v>
      </c>
    </row>
    <row r="37" spans="1:12" x14ac:dyDescent="0.25">
      <c r="A37" t="s">
        <v>141</v>
      </c>
      <c r="B37">
        <v>19.375331905517701</v>
      </c>
      <c r="C37">
        <v>0</v>
      </c>
      <c r="D37">
        <v>0</v>
      </c>
      <c r="E37">
        <v>0</v>
      </c>
      <c r="F37">
        <v>0</v>
      </c>
      <c r="G37">
        <v>0</v>
      </c>
      <c r="H37">
        <v>0</v>
      </c>
      <c r="I37">
        <v>0</v>
      </c>
      <c r="K37">
        <v>19.375331905517701</v>
      </c>
      <c r="L37">
        <v>19.375331905517701</v>
      </c>
    </row>
    <row r="38" spans="1:12" x14ac:dyDescent="0.25">
      <c r="A38" t="s">
        <v>213</v>
      </c>
      <c r="B38">
        <v>46.354708094036098</v>
      </c>
      <c r="C38">
        <v>0</v>
      </c>
      <c r="D38">
        <v>0</v>
      </c>
      <c r="E38">
        <v>0</v>
      </c>
      <c r="F38">
        <v>0</v>
      </c>
      <c r="G38">
        <v>0</v>
      </c>
      <c r="H38">
        <v>0</v>
      </c>
      <c r="I38">
        <v>0</v>
      </c>
      <c r="K38">
        <v>46.354708094036098</v>
      </c>
      <c r="L38">
        <v>46.354708094036098</v>
      </c>
    </row>
    <row r="39" spans="1:12" x14ac:dyDescent="0.25">
      <c r="A39" t="s">
        <v>143</v>
      </c>
      <c r="C39">
        <v>6.0004736135138002</v>
      </c>
      <c r="D39">
        <v>0</v>
      </c>
      <c r="E39">
        <v>0</v>
      </c>
      <c r="F39">
        <v>0</v>
      </c>
      <c r="G39">
        <v>0</v>
      </c>
      <c r="H39">
        <v>0</v>
      </c>
      <c r="I39">
        <v>0</v>
      </c>
      <c r="J39">
        <v>14.8503200092174</v>
      </c>
      <c r="K39">
        <v>6.0004736135138002</v>
      </c>
      <c r="L39">
        <v>20.850793622731199</v>
      </c>
    </row>
    <row r="40" spans="1:12" x14ac:dyDescent="0.25">
      <c r="A40" t="s">
        <v>214</v>
      </c>
      <c r="B40">
        <v>0.57553934335914003</v>
      </c>
      <c r="D40">
        <v>0</v>
      </c>
      <c r="E40">
        <v>0.38369289557275998</v>
      </c>
      <c r="F40">
        <v>0</v>
      </c>
      <c r="G40">
        <v>1.9118461767073001</v>
      </c>
      <c r="H40">
        <v>0</v>
      </c>
      <c r="I40">
        <v>0</v>
      </c>
      <c r="K40">
        <v>2.8710784156392002</v>
      </c>
      <c r="L40">
        <v>2.8710784156392002</v>
      </c>
    </row>
    <row r="41" spans="1:12" x14ac:dyDescent="0.25">
      <c r="A41" t="s">
        <v>215</v>
      </c>
      <c r="B41">
        <v>91.810096396269003</v>
      </c>
      <c r="C41">
        <v>17.023315532616</v>
      </c>
      <c r="D41">
        <v>5.3411334572508</v>
      </c>
      <c r="E41">
        <v>1.1182505068809201</v>
      </c>
      <c r="F41">
        <v>5.7574771280624804</v>
      </c>
      <c r="G41">
        <v>48.486357557791003</v>
      </c>
      <c r="H41">
        <v>10.1227145515247</v>
      </c>
      <c r="I41">
        <v>4.3775997272482599</v>
      </c>
      <c r="J41">
        <v>31.519638110691499</v>
      </c>
      <c r="K41">
        <v>184.03694485764299</v>
      </c>
      <c r="L41">
        <v>215.55658296833499</v>
      </c>
    </row>
    <row r="42" spans="1:12" x14ac:dyDescent="0.25">
      <c r="A42" t="s">
        <v>216</v>
      </c>
      <c r="B42">
        <v>26.309910568975301</v>
      </c>
      <c r="C42">
        <v>0</v>
      </c>
      <c r="D42">
        <v>0</v>
      </c>
      <c r="E42">
        <v>0</v>
      </c>
      <c r="F42">
        <v>0</v>
      </c>
      <c r="G42">
        <v>0</v>
      </c>
      <c r="H42">
        <v>0</v>
      </c>
      <c r="I42">
        <v>0</v>
      </c>
      <c r="K42">
        <v>26.309910568975301</v>
      </c>
      <c r="L42">
        <v>26.309910568975301</v>
      </c>
    </row>
    <row r="43" spans="1:12" x14ac:dyDescent="0.25">
      <c r="A43" t="s">
        <v>10</v>
      </c>
      <c r="B43">
        <v>118.120006965244</v>
      </c>
      <c r="C43">
        <v>17.023315532616</v>
      </c>
      <c r="D43">
        <v>5.3411334572508</v>
      </c>
      <c r="E43">
        <v>1.1182505068809201</v>
      </c>
      <c r="F43">
        <v>5.7574771280624804</v>
      </c>
      <c r="G43">
        <v>48.486357557791003</v>
      </c>
      <c r="H43">
        <v>10.1227145515247</v>
      </c>
      <c r="I43">
        <v>4.3775997272482599</v>
      </c>
      <c r="J43">
        <v>31.519638110691499</v>
      </c>
      <c r="K43">
        <v>210.34685542661799</v>
      </c>
      <c r="L43">
        <v>241.86649353730999</v>
      </c>
    </row>
    <row r="44" spans="1:12" x14ac:dyDescent="0.25">
      <c r="A44" t="s">
        <v>217</v>
      </c>
    </row>
    <row r="45" spans="1:12" x14ac:dyDescent="0.25">
      <c r="A45" t="s">
        <v>218</v>
      </c>
    </row>
    <row r="47" spans="1:12" x14ac:dyDescent="0.25">
      <c r="A47">
        <v>2030</v>
      </c>
    </row>
    <row r="48" spans="1:12" x14ac:dyDescent="0.25">
      <c r="A48" t="s">
        <v>128</v>
      </c>
      <c r="B48" t="s">
        <v>57</v>
      </c>
      <c r="C48" t="s">
        <v>207</v>
      </c>
      <c r="D48" t="s">
        <v>105</v>
      </c>
      <c r="E48" t="s">
        <v>42</v>
      </c>
      <c r="F48" t="s">
        <v>134</v>
      </c>
      <c r="G48" t="s">
        <v>54</v>
      </c>
      <c r="H48" t="s">
        <v>208</v>
      </c>
      <c r="I48" t="s">
        <v>209</v>
      </c>
      <c r="J48" t="s">
        <v>210</v>
      </c>
      <c r="K48" t="s">
        <v>211</v>
      </c>
      <c r="L48" t="s">
        <v>10</v>
      </c>
    </row>
    <row r="49" spans="1:12" x14ac:dyDescent="0.25">
      <c r="A49" t="s">
        <v>138</v>
      </c>
      <c r="B49">
        <v>7.9865806915524002</v>
      </c>
      <c r="C49">
        <v>9.2211616891774</v>
      </c>
      <c r="D49">
        <v>4.1797717793542999</v>
      </c>
      <c r="F49">
        <v>7.0537868434781599</v>
      </c>
      <c r="G49">
        <v>27.7414380005239</v>
      </c>
      <c r="H49">
        <v>4.0007689276751002</v>
      </c>
      <c r="I49">
        <v>1.76344671086954</v>
      </c>
      <c r="J49">
        <v>14.106786738135799</v>
      </c>
      <c r="K49">
        <v>61.9469546426308</v>
      </c>
      <c r="L49">
        <v>76.053741380766596</v>
      </c>
    </row>
    <row r="50" spans="1:12" x14ac:dyDescent="0.25">
      <c r="A50" t="s">
        <v>212</v>
      </c>
      <c r="B50">
        <v>4.1300172223687497</v>
      </c>
      <c r="C50">
        <v>4.1300172223687497</v>
      </c>
      <c r="D50">
        <v>0.8946934460707</v>
      </c>
      <c r="E50">
        <v>0</v>
      </c>
      <c r="F50">
        <v>0</v>
      </c>
      <c r="G50">
        <v>3.6379629672113998</v>
      </c>
      <c r="H50">
        <v>0.19343554945649999</v>
      </c>
      <c r="I50">
        <v>3.7384479607226</v>
      </c>
      <c r="J50">
        <v>6.1950258335531201</v>
      </c>
      <c r="K50">
        <v>16.724574368198699</v>
      </c>
      <c r="L50">
        <v>22.919600201751798</v>
      </c>
    </row>
    <row r="51" spans="1:12" x14ac:dyDescent="0.25">
      <c r="A51" t="s">
        <v>140</v>
      </c>
      <c r="B51">
        <v>11.8721780932577</v>
      </c>
      <c r="C51">
        <v>0</v>
      </c>
      <c r="D51">
        <v>0</v>
      </c>
      <c r="E51">
        <v>0</v>
      </c>
      <c r="F51">
        <v>0</v>
      </c>
      <c r="G51">
        <v>2.5273881171479</v>
      </c>
      <c r="H51">
        <v>0.61166542466829998</v>
      </c>
      <c r="I51">
        <v>0</v>
      </c>
      <c r="K51">
        <v>15.0112316350739</v>
      </c>
      <c r="L51">
        <v>15.0112316350739</v>
      </c>
    </row>
    <row r="52" spans="1:12" x14ac:dyDescent="0.25">
      <c r="A52" t="s">
        <v>141</v>
      </c>
      <c r="B52">
        <v>15.2848315075233</v>
      </c>
      <c r="C52">
        <v>0</v>
      </c>
      <c r="D52">
        <v>0</v>
      </c>
      <c r="E52">
        <v>0</v>
      </c>
      <c r="F52">
        <v>0</v>
      </c>
      <c r="G52">
        <v>0</v>
      </c>
      <c r="H52">
        <v>0</v>
      </c>
      <c r="I52">
        <v>0</v>
      </c>
      <c r="K52">
        <v>15.2848315075233</v>
      </c>
      <c r="L52">
        <v>15.2848315075233</v>
      </c>
    </row>
    <row r="53" spans="1:12" x14ac:dyDescent="0.25">
      <c r="A53" t="s">
        <v>213</v>
      </c>
      <c r="B53">
        <v>45.907009040287299</v>
      </c>
      <c r="C53">
        <v>0</v>
      </c>
      <c r="D53">
        <v>0</v>
      </c>
      <c r="E53">
        <v>0</v>
      </c>
      <c r="F53">
        <v>0</v>
      </c>
      <c r="G53">
        <v>0</v>
      </c>
      <c r="H53">
        <v>0</v>
      </c>
      <c r="I53">
        <v>0</v>
      </c>
      <c r="K53">
        <v>45.907009040287299</v>
      </c>
      <c r="L53">
        <v>45.907009040287299</v>
      </c>
    </row>
    <row r="54" spans="1:12" x14ac:dyDescent="0.25">
      <c r="A54" t="s">
        <v>143</v>
      </c>
      <c r="C54">
        <v>6.0856597961760004</v>
      </c>
      <c r="D54">
        <v>0</v>
      </c>
      <c r="E54">
        <v>0</v>
      </c>
      <c r="F54">
        <v>0</v>
      </c>
      <c r="G54">
        <v>0</v>
      </c>
      <c r="H54">
        <v>0</v>
      </c>
      <c r="I54">
        <v>0</v>
      </c>
      <c r="J54">
        <v>18.776315865322498</v>
      </c>
      <c r="K54">
        <v>6.0856597961760004</v>
      </c>
      <c r="L54">
        <v>24.861975661498501</v>
      </c>
    </row>
    <row r="55" spans="1:12" x14ac:dyDescent="0.25">
      <c r="A55" t="s">
        <v>214</v>
      </c>
      <c r="B55">
        <v>0.81988401876299999</v>
      </c>
      <c r="D55">
        <v>0</v>
      </c>
      <c r="E55">
        <v>0</v>
      </c>
      <c r="F55">
        <v>0</v>
      </c>
      <c r="G55">
        <v>1.6393711123813</v>
      </c>
      <c r="H55">
        <v>0</v>
      </c>
      <c r="I55">
        <v>0</v>
      </c>
      <c r="K55">
        <v>2.4592551311443001</v>
      </c>
      <c r="L55">
        <v>2.4592551311443001</v>
      </c>
    </row>
    <row r="56" spans="1:12" x14ac:dyDescent="0.25">
      <c r="A56" t="s">
        <v>215</v>
      </c>
      <c r="B56">
        <v>86.000500573752504</v>
      </c>
      <c r="C56">
        <v>19.436838707722199</v>
      </c>
      <c r="D56">
        <v>5.0744652254249996</v>
      </c>
      <c r="E56">
        <v>0</v>
      </c>
      <c r="F56">
        <v>7.0537868434781599</v>
      </c>
      <c r="G56">
        <v>35.546160197264498</v>
      </c>
      <c r="H56">
        <v>4.8058699017999</v>
      </c>
      <c r="I56">
        <v>5.5018946715921402</v>
      </c>
      <c r="J56">
        <v>39.078128437011401</v>
      </c>
      <c r="K56">
        <v>163.41951612103401</v>
      </c>
      <c r="L56">
        <v>202.49764455804601</v>
      </c>
    </row>
    <row r="57" spans="1:12" x14ac:dyDescent="0.25">
      <c r="A57" t="s">
        <v>216</v>
      </c>
      <c r="B57">
        <v>25.624889910981899</v>
      </c>
      <c r="C57">
        <v>0</v>
      </c>
      <c r="D57">
        <v>0</v>
      </c>
      <c r="E57">
        <v>0</v>
      </c>
      <c r="F57">
        <v>0</v>
      </c>
      <c r="G57">
        <v>0</v>
      </c>
      <c r="H57">
        <v>0</v>
      </c>
      <c r="I57">
        <v>0</v>
      </c>
      <c r="K57">
        <v>25.624889910981899</v>
      </c>
      <c r="L57">
        <v>25.624889910981899</v>
      </c>
    </row>
    <row r="58" spans="1:12" x14ac:dyDescent="0.25">
      <c r="A58" t="s">
        <v>10</v>
      </c>
      <c r="B58">
        <v>111.625390484734</v>
      </c>
      <c r="C58">
        <v>19.436838707722199</v>
      </c>
      <c r="D58">
        <v>5.0744652254249996</v>
      </c>
      <c r="E58">
        <v>0</v>
      </c>
      <c r="F58">
        <v>7.0537868434781599</v>
      </c>
      <c r="G58">
        <v>35.546160197264498</v>
      </c>
      <c r="H58">
        <v>4.8058699017999</v>
      </c>
      <c r="I58">
        <v>5.5018946715921402</v>
      </c>
      <c r="J58">
        <v>39.078128437011401</v>
      </c>
      <c r="K58">
        <v>189.04440603201601</v>
      </c>
      <c r="L58">
        <v>228.12253446902801</v>
      </c>
    </row>
    <row r="59" spans="1:12" x14ac:dyDescent="0.25">
      <c r="A59" t="s">
        <v>217</v>
      </c>
      <c r="K59">
        <v>0.93576088486563302</v>
      </c>
    </row>
    <row r="60" spans="1:12" x14ac:dyDescent="0.25">
      <c r="A60" t="s">
        <v>218</v>
      </c>
    </row>
    <row r="62" spans="1:12" x14ac:dyDescent="0.25">
      <c r="A62">
        <v>2050</v>
      </c>
    </row>
    <row r="63" spans="1:12" x14ac:dyDescent="0.25">
      <c r="A63" t="s">
        <v>128</v>
      </c>
      <c r="B63" t="s">
        <v>57</v>
      </c>
      <c r="C63" t="s">
        <v>207</v>
      </c>
      <c r="D63" t="s">
        <v>105</v>
      </c>
      <c r="E63" t="s">
        <v>42</v>
      </c>
      <c r="F63" t="s">
        <v>134</v>
      </c>
      <c r="G63" t="s">
        <v>54</v>
      </c>
      <c r="H63" t="s">
        <v>208</v>
      </c>
      <c r="I63" t="s">
        <v>209</v>
      </c>
      <c r="J63" t="s">
        <v>210</v>
      </c>
      <c r="K63" t="s">
        <v>211</v>
      </c>
      <c r="L63" t="s">
        <v>10</v>
      </c>
    </row>
    <row r="64" spans="1:12" x14ac:dyDescent="0.25">
      <c r="A64" t="s">
        <v>138</v>
      </c>
      <c r="B64">
        <v>5.8523640541175004</v>
      </c>
      <c r="C64">
        <v>9.6916384892280991</v>
      </c>
      <c r="D64">
        <v>12.0940616509414</v>
      </c>
      <c r="F64">
        <v>5.7376992755080796</v>
      </c>
      <c r="G64">
        <v>1.6243612661704001</v>
      </c>
      <c r="H64">
        <v>9.9083878957999996E-3</v>
      </c>
      <c r="I64">
        <v>1.4344248188770199</v>
      </c>
      <c r="J64">
        <v>15.069021727073199</v>
      </c>
      <c r="K64">
        <v>36.444457942738303</v>
      </c>
      <c r="L64">
        <v>51.513479669811503</v>
      </c>
    </row>
    <row r="65" spans="1:12" x14ac:dyDescent="0.25">
      <c r="A65" t="s">
        <v>212</v>
      </c>
      <c r="B65">
        <v>0.11976961531749999</v>
      </c>
      <c r="C65">
        <v>4.1300172223687497</v>
      </c>
      <c r="D65">
        <v>0.8946934460707</v>
      </c>
      <c r="E65">
        <v>0</v>
      </c>
      <c r="F65">
        <v>0</v>
      </c>
      <c r="G65">
        <v>1.689494832574</v>
      </c>
      <c r="H65">
        <v>6.1075926729999997E-3</v>
      </c>
      <c r="I65">
        <v>3.3230107511964002</v>
      </c>
      <c r="J65">
        <v>6.1950258335531201</v>
      </c>
      <c r="K65">
        <v>10.1630934602004</v>
      </c>
      <c r="L65">
        <v>16.3581192937535</v>
      </c>
    </row>
    <row r="66" spans="1:12" x14ac:dyDescent="0.25">
      <c r="A66" t="s">
        <v>140</v>
      </c>
      <c r="B66">
        <v>12.139093722674</v>
      </c>
      <c r="C66">
        <v>0</v>
      </c>
      <c r="D66">
        <v>0</v>
      </c>
      <c r="E66">
        <v>0</v>
      </c>
      <c r="F66">
        <v>0</v>
      </c>
      <c r="G66">
        <v>1.3508680727360001</v>
      </c>
      <c r="H66">
        <v>0.2384320247301</v>
      </c>
      <c r="I66">
        <v>0</v>
      </c>
      <c r="K66">
        <v>13.7283938201401</v>
      </c>
      <c r="L66">
        <v>13.7283938201401</v>
      </c>
    </row>
    <row r="67" spans="1:12" x14ac:dyDescent="0.25">
      <c r="A67" t="s">
        <v>141</v>
      </c>
      <c r="B67">
        <v>9.8452476075075008</v>
      </c>
      <c r="C67">
        <v>0</v>
      </c>
      <c r="D67">
        <v>0</v>
      </c>
      <c r="E67">
        <v>0</v>
      </c>
      <c r="F67">
        <v>0</v>
      </c>
      <c r="G67">
        <v>0</v>
      </c>
      <c r="H67">
        <v>0</v>
      </c>
      <c r="I67">
        <v>0</v>
      </c>
      <c r="K67">
        <v>9.8452476075075008</v>
      </c>
      <c r="L67">
        <v>9.8452476075075008</v>
      </c>
    </row>
    <row r="68" spans="1:12" x14ac:dyDescent="0.25">
      <c r="A68" t="s">
        <v>213</v>
      </c>
      <c r="B68">
        <v>42.907833391588298</v>
      </c>
      <c r="C68">
        <v>0</v>
      </c>
      <c r="D68">
        <v>0</v>
      </c>
      <c r="E68">
        <v>0</v>
      </c>
      <c r="F68">
        <v>0</v>
      </c>
      <c r="G68">
        <v>0</v>
      </c>
      <c r="H68">
        <v>0</v>
      </c>
      <c r="I68">
        <v>0</v>
      </c>
      <c r="K68">
        <v>42.907833391588298</v>
      </c>
      <c r="L68">
        <v>42.907833391588298</v>
      </c>
    </row>
    <row r="69" spans="1:12" x14ac:dyDescent="0.25">
      <c r="A69" t="s">
        <v>143</v>
      </c>
      <c r="C69">
        <v>6.3631434451273003</v>
      </c>
      <c r="D69">
        <v>0</v>
      </c>
      <c r="E69">
        <v>0</v>
      </c>
      <c r="F69">
        <v>0</v>
      </c>
      <c r="G69">
        <v>0</v>
      </c>
      <c r="H69">
        <v>0</v>
      </c>
      <c r="I69">
        <v>0</v>
      </c>
      <c r="K69">
        <v>6.3631434451273003</v>
      </c>
      <c r="L69">
        <v>6.4</v>
      </c>
    </row>
    <row r="70" spans="1:12" x14ac:dyDescent="0.25">
      <c r="A70" t="s">
        <v>214</v>
      </c>
      <c r="B70">
        <v>0.46133931642010001</v>
      </c>
      <c r="D70">
        <v>0</v>
      </c>
      <c r="E70">
        <v>0</v>
      </c>
      <c r="F70">
        <v>0</v>
      </c>
      <c r="G70">
        <v>0.95264690516810002</v>
      </c>
      <c r="H70">
        <v>0</v>
      </c>
      <c r="I70">
        <v>0</v>
      </c>
      <c r="K70">
        <v>1.4139862215882</v>
      </c>
      <c r="L70">
        <v>1.4139862215882</v>
      </c>
    </row>
    <row r="71" spans="1:12" x14ac:dyDescent="0.25">
      <c r="A71" t="s">
        <v>215</v>
      </c>
      <c r="B71">
        <v>71.325647707624896</v>
      </c>
      <c r="C71">
        <v>20.1847991567241</v>
      </c>
      <c r="D71">
        <v>12.988755097012101</v>
      </c>
      <c r="E71">
        <v>0</v>
      </c>
      <c r="F71">
        <v>5.7376992755080796</v>
      </c>
      <c r="G71">
        <v>5.6173710766485003</v>
      </c>
      <c r="H71">
        <v>0.25444800529889999</v>
      </c>
      <c r="I71">
        <v>4.7574355700734197</v>
      </c>
      <c r="J71">
        <v>44.850389616754001</v>
      </c>
      <c r="K71">
        <v>120.86615588889001</v>
      </c>
      <c r="L71">
        <v>165.71654550564401</v>
      </c>
    </row>
    <row r="72" spans="1:12" x14ac:dyDescent="0.25">
      <c r="A72" t="s">
        <v>216</v>
      </c>
      <c r="B72">
        <v>23.9431583804922</v>
      </c>
      <c r="C72">
        <v>0</v>
      </c>
      <c r="D72">
        <v>0</v>
      </c>
      <c r="E72">
        <v>0</v>
      </c>
      <c r="F72">
        <v>0</v>
      </c>
      <c r="G72">
        <v>0</v>
      </c>
      <c r="H72">
        <v>0</v>
      </c>
      <c r="I72">
        <v>0</v>
      </c>
      <c r="K72">
        <v>23.9431583804922</v>
      </c>
      <c r="L72">
        <v>23.9431583804922</v>
      </c>
    </row>
    <row r="73" spans="1:12" x14ac:dyDescent="0.25">
      <c r="A73" t="s">
        <v>10</v>
      </c>
      <c r="B73">
        <v>95.268806088117103</v>
      </c>
      <c r="C73">
        <v>20.1847991567241</v>
      </c>
      <c r="D73">
        <v>12.988755097012101</v>
      </c>
      <c r="E73">
        <v>0</v>
      </c>
      <c r="F73">
        <v>5.7376992755080796</v>
      </c>
      <c r="G73">
        <v>5.6173710766485003</v>
      </c>
      <c r="H73">
        <v>0.25444800529889999</v>
      </c>
      <c r="I73">
        <v>4.7574355700734197</v>
      </c>
      <c r="J73">
        <v>44.850389616754001</v>
      </c>
      <c r="K73">
        <v>144.80931426938201</v>
      </c>
      <c r="L73">
        <v>166.11021838488099</v>
      </c>
    </row>
    <row r="74" spans="1:12" x14ac:dyDescent="0.25">
      <c r="A74" t="s">
        <v>217</v>
      </c>
    </row>
    <row r="75" spans="1:12" x14ac:dyDescent="0.25">
      <c r="A75" t="s">
        <v>218</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18"/>
  <dimension ref="A1:L59"/>
  <sheetViews>
    <sheetView workbookViewId="0"/>
  </sheetViews>
  <sheetFormatPr baseColWidth="10" defaultColWidth="11.42578125" defaultRowHeight="15" x14ac:dyDescent="0.25"/>
  <sheetData>
    <row r="1" spans="1:12" x14ac:dyDescent="0.25">
      <c r="A1">
        <v>2020</v>
      </c>
    </row>
    <row r="2" spans="1:12" x14ac:dyDescent="0.25">
      <c r="A2" t="s">
        <v>128</v>
      </c>
      <c r="B2" t="s">
        <v>57</v>
      </c>
      <c r="C2" t="s">
        <v>207</v>
      </c>
      <c r="D2" t="s">
        <v>105</v>
      </c>
      <c r="E2" t="s">
        <v>42</v>
      </c>
      <c r="F2" t="s">
        <v>134</v>
      </c>
      <c r="G2" t="s">
        <v>54</v>
      </c>
      <c r="H2" t="s">
        <v>208</v>
      </c>
      <c r="I2" t="s">
        <v>209</v>
      </c>
      <c r="J2" t="s">
        <v>210</v>
      </c>
      <c r="K2" t="s">
        <v>211</v>
      </c>
      <c r="L2" t="s">
        <v>10</v>
      </c>
    </row>
    <row r="3" spans="1:12" x14ac:dyDescent="0.25">
      <c r="A3" t="s">
        <v>138</v>
      </c>
      <c r="B3">
        <v>10.3742757878855</v>
      </c>
      <c r="C3">
        <v>6.1002330193981003</v>
      </c>
      <c r="D3">
        <v>4.8012381348690996</v>
      </c>
      <c r="F3">
        <v>4.7207015465331201</v>
      </c>
      <c r="G3">
        <v>48.617576303646601</v>
      </c>
      <c r="H3">
        <v>14.4330293124561</v>
      </c>
      <c r="I3">
        <v>1.18017538663328</v>
      </c>
      <c r="J3">
        <v>9.1571461976879007</v>
      </c>
      <c r="K3">
        <v>90.227229491421795</v>
      </c>
      <c r="L3">
        <v>99.384375689109703</v>
      </c>
    </row>
    <row r="4" spans="1:12" x14ac:dyDescent="0.25">
      <c r="A4" t="s">
        <v>212</v>
      </c>
      <c r="B4">
        <v>6.7699876877453198</v>
      </c>
      <c r="C4">
        <v>2.1378908487616801</v>
      </c>
      <c r="D4">
        <v>1.2322317177116</v>
      </c>
      <c r="E4">
        <v>0.89967193568838</v>
      </c>
      <c r="F4">
        <v>0</v>
      </c>
      <c r="G4">
        <v>6.2169602451413999</v>
      </c>
      <c r="H4">
        <v>1.2070758173613001</v>
      </c>
      <c r="I4">
        <v>2.0992345166062201</v>
      </c>
      <c r="J4">
        <v>3.2068362731425202</v>
      </c>
      <c r="K4">
        <v>20.563052769015901</v>
      </c>
      <c r="L4">
        <v>23.7698890421584</v>
      </c>
    </row>
    <row r="5" spans="1:12" x14ac:dyDescent="0.25">
      <c r="A5" t="s">
        <v>140</v>
      </c>
      <c r="B5">
        <v>10.5272361865745</v>
      </c>
      <c r="C5">
        <v>0</v>
      </c>
      <c r="D5">
        <v>0</v>
      </c>
      <c r="E5">
        <v>0</v>
      </c>
      <c r="F5">
        <v>0</v>
      </c>
      <c r="G5">
        <v>3.609606004083</v>
      </c>
      <c r="H5">
        <v>1.1084107534645</v>
      </c>
      <c r="I5">
        <v>0</v>
      </c>
      <c r="K5">
        <v>15.245252944122001</v>
      </c>
      <c r="L5">
        <v>15.245252944122001</v>
      </c>
    </row>
    <row r="6" spans="1:12" x14ac:dyDescent="0.25">
      <c r="A6" t="s">
        <v>141</v>
      </c>
      <c r="B6">
        <v>23.389235120450699</v>
      </c>
      <c r="C6">
        <v>0</v>
      </c>
      <c r="D6">
        <v>0</v>
      </c>
      <c r="E6">
        <v>0</v>
      </c>
      <c r="F6">
        <v>0</v>
      </c>
      <c r="G6">
        <v>0</v>
      </c>
      <c r="H6">
        <v>0</v>
      </c>
      <c r="I6">
        <v>0</v>
      </c>
      <c r="K6">
        <v>23.389235120450699</v>
      </c>
      <c r="L6">
        <v>23.389235120450699</v>
      </c>
    </row>
    <row r="7" spans="1:12" x14ac:dyDescent="0.25">
      <c r="A7" t="s">
        <v>213</v>
      </c>
      <c r="B7">
        <v>46.6814996815285</v>
      </c>
      <c r="C7">
        <v>0</v>
      </c>
      <c r="D7">
        <v>0</v>
      </c>
      <c r="E7">
        <v>0</v>
      </c>
      <c r="F7">
        <v>0</v>
      </c>
      <c r="G7">
        <v>0</v>
      </c>
      <c r="H7">
        <v>0</v>
      </c>
      <c r="I7">
        <v>0</v>
      </c>
      <c r="K7">
        <v>46.6814996815285</v>
      </c>
      <c r="L7">
        <v>46.6814996815285</v>
      </c>
    </row>
    <row r="8" spans="1:12" x14ac:dyDescent="0.25">
      <c r="A8" t="s">
        <v>143</v>
      </c>
      <c r="C8">
        <v>6.1479590102429</v>
      </c>
      <c r="D8">
        <v>0</v>
      </c>
      <c r="E8">
        <v>0</v>
      </c>
      <c r="F8">
        <v>0</v>
      </c>
      <c r="G8">
        <v>0</v>
      </c>
      <c r="H8">
        <v>0</v>
      </c>
      <c r="I8">
        <v>0</v>
      </c>
      <c r="J8">
        <v>15.215325420320401</v>
      </c>
      <c r="K8">
        <v>6.1479590102429</v>
      </c>
      <c r="L8">
        <v>21.363284430563301</v>
      </c>
    </row>
    <row r="9" spans="1:12" x14ac:dyDescent="0.25">
      <c r="A9" t="s">
        <v>214</v>
      </c>
      <c r="B9">
        <v>0.22503356683190001</v>
      </c>
      <c r="C9">
        <v>0</v>
      </c>
      <c r="D9">
        <v>0</v>
      </c>
      <c r="E9">
        <v>0.90013426732760005</v>
      </c>
      <c r="F9">
        <v>0</v>
      </c>
      <c r="G9">
        <v>2.2363983456957999</v>
      </c>
      <c r="H9">
        <v>0</v>
      </c>
      <c r="I9">
        <v>0</v>
      </c>
      <c r="K9">
        <v>3.3615661798552998</v>
      </c>
      <c r="L9">
        <v>3.3615661798552998</v>
      </c>
    </row>
    <row r="10" spans="1:12" x14ac:dyDescent="0.25">
      <c r="A10" t="s">
        <v>215</v>
      </c>
      <c r="B10">
        <v>97.967268031016403</v>
      </c>
      <c r="C10">
        <v>14.3860828784027</v>
      </c>
      <c r="D10">
        <v>6.0334698525806996</v>
      </c>
      <c r="E10">
        <v>1.79980620301598</v>
      </c>
      <c r="F10">
        <v>4.7207015465331201</v>
      </c>
      <c r="G10">
        <v>60.680540898566797</v>
      </c>
      <c r="H10">
        <v>16.7485158832819</v>
      </c>
      <c r="I10">
        <v>3.2794099032394999</v>
      </c>
      <c r="J10">
        <v>27.579307891150801</v>
      </c>
      <c r="K10">
        <v>205.61579519663701</v>
      </c>
      <c r="L10">
        <v>233.195103087788</v>
      </c>
    </row>
    <row r="11" spans="1:12" x14ac:dyDescent="0.25">
      <c r="A11" t="s">
        <v>216</v>
      </c>
      <c r="B11">
        <v>26.994931226968699</v>
      </c>
      <c r="C11">
        <v>0</v>
      </c>
      <c r="D11">
        <v>0</v>
      </c>
      <c r="E11">
        <v>0</v>
      </c>
      <c r="F11">
        <v>0</v>
      </c>
      <c r="G11">
        <v>0</v>
      </c>
      <c r="H11">
        <v>0</v>
      </c>
      <c r="I11">
        <v>0</v>
      </c>
      <c r="K11">
        <v>26.994931226968699</v>
      </c>
      <c r="L11">
        <v>26.994931226968699</v>
      </c>
    </row>
    <row r="12" spans="1:12" x14ac:dyDescent="0.25">
      <c r="A12" t="s">
        <v>10</v>
      </c>
      <c r="B12">
        <v>124.96219925798501</v>
      </c>
      <c r="C12">
        <v>14.3860828784027</v>
      </c>
      <c r="D12">
        <v>6.0334698525806996</v>
      </c>
      <c r="E12">
        <v>1.79980620301598</v>
      </c>
      <c r="F12">
        <v>4.7207015465331201</v>
      </c>
      <c r="G12">
        <v>60.680540898566797</v>
      </c>
      <c r="H12">
        <v>16.7485158832819</v>
      </c>
      <c r="I12">
        <v>3.2794099032394999</v>
      </c>
      <c r="J12">
        <v>27.579307891150801</v>
      </c>
      <c r="K12">
        <v>232.610726423606</v>
      </c>
      <c r="L12">
        <v>260.19003431475699</v>
      </c>
    </row>
    <row r="13" spans="1:12" x14ac:dyDescent="0.25">
      <c r="A13" t="s">
        <v>217</v>
      </c>
    </row>
    <row r="14" spans="1:12" x14ac:dyDescent="0.25">
      <c r="A14" t="s">
        <v>218</v>
      </c>
    </row>
    <row r="16" spans="1:12" x14ac:dyDescent="0.25">
      <c r="A16">
        <v>2025</v>
      </c>
    </row>
    <row r="17" spans="1:12" x14ac:dyDescent="0.25">
      <c r="A17" t="s">
        <v>128</v>
      </c>
      <c r="B17" t="s">
        <v>57</v>
      </c>
      <c r="C17" t="s">
        <v>207</v>
      </c>
      <c r="D17" t="s">
        <v>105</v>
      </c>
      <c r="E17" t="s">
        <v>42</v>
      </c>
      <c r="F17" t="s">
        <v>134</v>
      </c>
      <c r="G17" t="s">
        <v>54</v>
      </c>
      <c r="H17" t="s">
        <v>208</v>
      </c>
      <c r="I17" t="s">
        <v>209</v>
      </c>
      <c r="J17" t="s">
        <v>210</v>
      </c>
      <c r="K17" t="s">
        <v>211</v>
      </c>
      <c r="L17" t="s">
        <v>10</v>
      </c>
    </row>
    <row r="18" spans="1:12" x14ac:dyDescent="0.25">
      <c r="A18" t="s">
        <v>138</v>
      </c>
      <c r="B18">
        <v>8.9718125061079999</v>
      </c>
      <c r="C18">
        <v>7.5244428280336004</v>
      </c>
      <c r="D18">
        <v>4.1448280467982999</v>
      </c>
      <c r="F18">
        <v>5.7574771280624804</v>
      </c>
      <c r="G18">
        <v>39.004453813544799</v>
      </c>
      <c r="H18">
        <v>8.9939273059531999</v>
      </c>
      <c r="I18">
        <v>1.4393692820156201</v>
      </c>
      <c r="J18">
        <v>11.4217194648713</v>
      </c>
      <c r="K18">
        <v>75.836310910516005</v>
      </c>
      <c r="L18">
        <v>87.258030375387307</v>
      </c>
    </row>
    <row r="19" spans="1:12" x14ac:dyDescent="0.25">
      <c r="A19" t="s">
        <v>212</v>
      </c>
      <c r="B19">
        <v>5.2475986366028398</v>
      </c>
      <c r="C19">
        <v>3.4983990910685598</v>
      </c>
      <c r="D19">
        <v>1.1963054104524999</v>
      </c>
      <c r="E19">
        <v>0.73455761130816</v>
      </c>
      <c r="F19">
        <v>0</v>
      </c>
      <c r="G19">
        <v>4.5534877411513</v>
      </c>
      <c r="H19">
        <v>0.30731067968190001</v>
      </c>
      <c r="I19">
        <v>2.93823044523264</v>
      </c>
      <c r="J19">
        <v>5.2475986366028398</v>
      </c>
      <c r="K19">
        <v>18.475889615497898</v>
      </c>
      <c r="L19">
        <v>23.723488252100701</v>
      </c>
    </row>
    <row r="20" spans="1:12" x14ac:dyDescent="0.25">
      <c r="A20" t="s">
        <v>140</v>
      </c>
      <c r="B20">
        <v>11.2851059106452</v>
      </c>
      <c r="C20">
        <v>0</v>
      </c>
      <c r="D20">
        <v>0</v>
      </c>
      <c r="E20">
        <v>0</v>
      </c>
      <c r="F20">
        <v>0</v>
      </c>
      <c r="G20">
        <v>3.0165698263876002</v>
      </c>
      <c r="H20">
        <v>0.82147656588960005</v>
      </c>
      <c r="I20">
        <v>0</v>
      </c>
      <c r="K20">
        <v>15.123152302922399</v>
      </c>
      <c r="L20">
        <v>15.123152302922399</v>
      </c>
    </row>
    <row r="21" spans="1:12" x14ac:dyDescent="0.25">
      <c r="A21" t="s">
        <v>141</v>
      </c>
      <c r="B21">
        <v>19.375331905517701</v>
      </c>
      <c r="C21">
        <v>0</v>
      </c>
      <c r="D21">
        <v>0</v>
      </c>
      <c r="E21">
        <v>0</v>
      </c>
      <c r="F21">
        <v>0</v>
      </c>
      <c r="G21">
        <v>0</v>
      </c>
      <c r="H21">
        <v>0</v>
      </c>
      <c r="I21">
        <v>0</v>
      </c>
      <c r="K21">
        <v>19.375331905517701</v>
      </c>
      <c r="L21">
        <v>19.375331905517701</v>
      </c>
    </row>
    <row r="22" spans="1:12" x14ac:dyDescent="0.25">
      <c r="A22" t="s">
        <v>213</v>
      </c>
      <c r="B22">
        <v>46.354708094036098</v>
      </c>
      <c r="C22">
        <v>0</v>
      </c>
      <c r="D22">
        <v>0</v>
      </c>
      <c r="E22">
        <v>0</v>
      </c>
      <c r="F22">
        <v>0</v>
      </c>
      <c r="G22">
        <v>0</v>
      </c>
      <c r="H22">
        <v>0</v>
      </c>
      <c r="I22">
        <v>0</v>
      </c>
      <c r="K22">
        <v>46.354708094036098</v>
      </c>
      <c r="L22">
        <v>46.354708094036098</v>
      </c>
    </row>
    <row r="23" spans="1:12" x14ac:dyDescent="0.25">
      <c r="A23" t="s">
        <v>143</v>
      </c>
      <c r="C23">
        <v>6.0004736135138002</v>
      </c>
      <c r="D23">
        <v>0</v>
      </c>
      <c r="E23">
        <v>0</v>
      </c>
      <c r="F23">
        <v>0</v>
      </c>
      <c r="G23">
        <v>0</v>
      </c>
      <c r="H23">
        <v>0</v>
      </c>
      <c r="I23">
        <v>0</v>
      </c>
      <c r="J23">
        <v>14.8503200092174</v>
      </c>
      <c r="K23">
        <v>6.0004736135138002</v>
      </c>
      <c r="L23">
        <v>20.850793622731199</v>
      </c>
    </row>
    <row r="24" spans="1:12" x14ac:dyDescent="0.25">
      <c r="A24" t="s">
        <v>214</v>
      </c>
      <c r="B24">
        <v>0.57553934335914003</v>
      </c>
      <c r="D24">
        <v>0</v>
      </c>
      <c r="E24">
        <v>0.38369289557275998</v>
      </c>
      <c r="F24">
        <v>0</v>
      </c>
      <c r="G24">
        <v>1.9118461767073001</v>
      </c>
      <c r="H24">
        <v>0</v>
      </c>
      <c r="I24">
        <v>0</v>
      </c>
      <c r="K24">
        <v>2.8710784156392002</v>
      </c>
      <c r="L24">
        <v>2.8710784156392002</v>
      </c>
    </row>
    <row r="25" spans="1:12" x14ac:dyDescent="0.25">
      <c r="A25" t="s">
        <v>215</v>
      </c>
      <c r="B25">
        <v>91.810096396269003</v>
      </c>
      <c r="C25">
        <v>17.023315532616</v>
      </c>
      <c r="D25">
        <v>5.3411334572508</v>
      </c>
      <c r="E25">
        <v>1.1182505068809201</v>
      </c>
      <c r="F25">
        <v>5.7574771280624804</v>
      </c>
      <c r="G25">
        <v>48.486357557791003</v>
      </c>
      <c r="H25">
        <v>10.1227145515247</v>
      </c>
      <c r="I25">
        <v>4.3775997272482599</v>
      </c>
      <c r="J25">
        <v>31.519638110691499</v>
      </c>
      <c r="K25">
        <v>184.03694485764299</v>
      </c>
      <c r="L25">
        <v>215.55658296833499</v>
      </c>
    </row>
    <row r="26" spans="1:12" x14ac:dyDescent="0.25">
      <c r="A26" t="s">
        <v>216</v>
      </c>
      <c r="B26">
        <v>26.309910568975301</v>
      </c>
      <c r="C26">
        <v>0</v>
      </c>
      <c r="D26">
        <v>0</v>
      </c>
      <c r="E26">
        <v>0</v>
      </c>
      <c r="F26">
        <v>0</v>
      </c>
      <c r="G26">
        <v>0</v>
      </c>
      <c r="H26">
        <v>0</v>
      </c>
      <c r="I26">
        <v>0</v>
      </c>
      <c r="K26">
        <v>26.309910568975301</v>
      </c>
      <c r="L26">
        <v>26.309910568975301</v>
      </c>
    </row>
    <row r="27" spans="1:12" x14ac:dyDescent="0.25">
      <c r="A27" t="s">
        <v>10</v>
      </c>
      <c r="B27">
        <v>118.120006965244</v>
      </c>
      <c r="C27">
        <v>17.023315532616</v>
      </c>
      <c r="D27">
        <v>5.3411334572508</v>
      </c>
      <c r="E27">
        <v>1.1182505068809201</v>
      </c>
      <c r="F27">
        <v>5.7574771280624804</v>
      </c>
      <c r="G27">
        <v>48.486357557791003</v>
      </c>
      <c r="H27">
        <v>10.1227145515247</v>
      </c>
      <c r="I27">
        <v>4.3775997272482599</v>
      </c>
      <c r="J27">
        <v>31.519638110691499</v>
      </c>
      <c r="K27">
        <v>210.34685542661799</v>
      </c>
      <c r="L27">
        <v>241.86649353730999</v>
      </c>
    </row>
    <row r="28" spans="1:12" x14ac:dyDescent="0.25">
      <c r="A28" t="s">
        <v>217</v>
      </c>
    </row>
    <row r="29" spans="1:12" x14ac:dyDescent="0.25">
      <c r="A29" t="s">
        <v>218</v>
      </c>
    </row>
    <row r="31" spans="1:12" x14ac:dyDescent="0.25">
      <c r="A31">
        <v>2030</v>
      </c>
    </row>
    <row r="32" spans="1:12" x14ac:dyDescent="0.25">
      <c r="A32" t="s">
        <v>128</v>
      </c>
      <c r="B32" t="s">
        <v>57</v>
      </c>
      <c r="C32" t="s">
        <v>207</v>
      </c>
      <c r="D32" t="s">
        <v>105</v>
      </c>
      <c r="E32" t="s">
        <v>42</v>
      </c>
      <c r="F32" t="s">
        <v>134</v>
      </c>
      <c r="G32" t="s">
        <v>54</v>
      </c>
      <c r="H32" t="s">
        <v>208</v>
      </c>
      <c r="I32" t="s">
        <v>209</v>
      </c>
      <c r="J32" t="s">
        <v>210</v>
      </c>
      <c r="K32" t="s">
        <v>211</v>
      </c>
      <c r="L32" t="s">
        <v>10</v>
      </c>
    </row>
    <row r="33" spans="1:12" x14ac:dyDescent="0.25">
      <c r="A33" t="s">
        <v>138</v>
      </c>
      <c r="B33">
        <v>7.9865806915524002</v>
      </c>
      <c r="C33">
        <v>9.2211616891774</v>
      </c>
      <c r="D33">
        <v>4.1797717793542999</v>
      </c>
      <c r="F33">
        <v>7.0537868434781599</v>
      </c>
      <c r="G33">
        <v>27.7414380005239</v>
      </c>
      <c r="H33">
        <v>4.0007689276751002</v>
      </c>
      <c r="I33">
        <v>1.76344671086954</v>
      </c>
      <c r="J33">
        <v>14.106786738135799</v>
      </c>
      <c r="K33">
        <v>61.9469546426308</v>
      </c>
      <c r="L33">
        <v>76.053741380766596</v>
      </c>
    </row>
    <row r="34" spans="1:12" x14ac:dyDescent="0.25">
      <c r="A34" t="s">
        <v>212</v>
      </c>
      <c r="B34">
        <v>4.1300172223687497</v>
      </c>
      <c r="C34">
        <v>4.1300172223687497</v>
      </c>
      <c r="D34">
        <v>0.8946934460707</v>
      </c>
      <c r="E34">
        <v>0</v>
      </c>
      <c r="F34">
        <v>0</v>
      </c>
      <c r="G34">
        <v>3.6379629672113998</v>
      </c>
      <c r="H34">
        <v>0.19343554945649999</v>
      </c>
      <c r="I34">
        <v>3.7384479607226</v>
      </c>
      <c r="J34">
        <v>6.1950258335531201</v>
      </c>
      <c r="K34">
        <v>16.724574368198699</v>
      </c>
      <c r="L34">
        <v>22.919600201751798</v>
      </c>
    </row>
    <row r="35" spans="1:12" x14ac:dyDescent="0.25">
      <c r="A35" t="s">
        <v>140</v>
      </c>
      <c r="B35">
        <v>11.8721780932577</v>
      </c>
      <c r="C35">
        <v>0</v>
      </c>
      <c r="D35">
        <v>0</v>
      </c>
      <c r="E35">
        <v>0</v>
      </c>
      <c r="F35">
        <v>0</v>
      </c>
      <c r="G35">
        <v>2.5273881171479</v>
      </c>
      <c r="H35">
        <v>0.61166542466829998</v>
      </c>
      <c r="I35">
        <v>0</v>
      </c>
      <c r="K35">
        <v>15.0112316350739</v>
      </c>
      <c r="L35">
        <v>15.0112316350739</v>
      </c>
    </row>
    <row r="36" spans="1:12" x14ac:dyDescent="0.25">
      <c r="A36" t="s">
        <v>141</v>
      </c>
      <c r="B36">
        <v>15.2848315075233</v>
      </c>
      <c r="C36">
        <v>0</v>
      </c>
      <c r="D36">
        <v>0</v>
      </c>
      <c r="E36">
        <v>0</v>
      </c>
      <c r="F36">
        <v>0</v>
      </c>
      <c r="G36">
        <v>0</v>
      </c>
      <c r="H36">
        <v>0</v>
      </c>
      <c r="I36">
        <v>0</v>
      </c>
      <c r="K36">
        <v>15.2848315075233</v>
      </c>
      <c r="L36">
        <v>15.2848315075233</v>
      </c>
    </row>
    <row r="37" spans="1:12" x14ac:dyDescent="0.25">
      <c r="A37" t="s">
        <v>213</v>
      </c>
      <c r="B37">
        <v>45.907009040287299</v>
      </c>
      <c r="C37">
        <v>0</v>
      </c>
      <c r="D37">
        <v>0</v>
      </c>
      <c r="E37">
        <v>0</v>
      </c>
      <c r="F37">
        <v>0</v>
      </c>
      <c r="G37">
        <v>0</v>
      </c>
      <c r="H37">
        <v>0</v>
      </c>
      <c r="I37">
        <v>0</v>
      </c>
      <c r="K37">
        <v>45.907009040287299</v>
      </c>
      <c r="L37">
        <v>45.907009040287299</v>
      </c>
    </row>
    <row r="38" spans="1:12" x14ac:dyDescent="0.25">
      <c r="A38" t="s">
        <v>143</v>
      </c>
      <c r="C38">
        <v>6.0856597961760004</v>
      </c>
      <c r="D38">
        <v>0</v>
      </c>
      <c r="E38">
        <v>0</v>
      </c>
      <c r="F38">
        <v>0</v>
      </c>
      <c r="G38">
        <v>0</v>
      </c>
      <c r="H38">
        <v>0</v>
      </c>
      <c r="I38">
        <v>0</v>
      </c>
      <c r="J38">
        <v>18.776315865322498</v>
      </c>
      <c r="K38">
        <v>6.0856597961760004</v>
      </c>
      <c r="L38">
        <v>24.861975661498501</v>
      </c>
    </row>
    <row r="39" spans="1:12" x14ac:dyDescent="0.25">
      <c r="A39" t="s">
        <v>214</v>
      </c>
      <c r="B39">
        <v>0.81988401876299999</v>
      </c>
      <c r="D39">
        <v>0</v>
      </c>
      <c r="E39">
        <v>0</v>
      </c>
      <c r="F39">
        <v>0</v>
      </c>
      <c r="G39">
        <v>1.6393711123813</v>
      </c>
      <c r="H39">
        <v>0</v>
      </c>
      <c r="I39">
        <v>0</v>
      </c>
      <c r="K39">
        <v>2.4592551311443001</v>
      </c>
      <c r="L39">
        <v>2.4592551311443001</v>
      </c>
    </row>
    <row r="40" spans="1:12" x14ac:dyDescent="0.25">
      <c r="A40" t="s">
        <v>215</v>
      </c>
      <c r="B40">
        <v>86.000500573752504</v>
      </c>
      <c r="C40">
        <v>19.436838707722199</v>
      </c>
      <c r="D40">
        <v>5.0744652254249996</v>
      </c>
      <c r="E40">
        <v>0</v>
      </c>
      <c r="F40">
        <v>7.0537868434781599</v>
      </c>
      <c r="G40">
        <v>35.546160197264498</v>
      </c>
      <c r="H40">
        <v>4.8058699017999</v>
      </c>
      <c r="I40">
        <v>5.5018946715921402</v>
      </c>
      <c r="J40">
        <v>39.078128437011401</v>
      </c>
      <c r="K40">
        <v>163.41951612103401</v>
      </c>
      <c r="L40">
        <v>202.49764455804601</v>
      </c>
    </row>
    <row r="41" spans="1:12" x14ac:dyDescent="0.25">
      <c r="A41" t="s">
        <v>216</v>
      </c>
      <c r="B41">
        <v>25.624889910981899</v>
      </c>
      <c r="C41">
        <v>0</v>
      </c>
      <c r="D41">
        <v>0</v>
      </c>
      <c r="E41">
        <v>0</v>
      </c>
      <c r="F41">
        <v>0</v>
      </c>
      <c r="G41">
        <v>0</v>
      </c>
      <c r="H41">
        <v>0</v>
      </c>
      <c r="I41">
        <v>0</v>
      </c>
      <c r="K41">
        <v>25.624889910981899</v>
      </c>
      <c r="L41">
        <v>25.624889910981899</v>
      </c>
    </row>
    <row r="42" spans="1:12" x14ac:dyDescent="0.25">
      <c r="A42" t="s">
        <v>10</v>
      </c>
      <c r="B42">
        <v>111.625390484734</v>
      </c>
      <c r="C42">
        <v>19.436838707722199</v>
      </c>
      <c r="D42">
        <v>5.0744652254249996</v>
      </c>
      <c r="E42">
        <v>0</v>
      </c>
      <c r="F42">
        <v>7.0537868434781599</v>
      </c>
      <c r="G42">
        <v>35.546160197264498</v>
      </c>
      <c r="H42">
        <v>4.8058699017999</v>
      </c>
      <c r="I42">
        <v>5.5018946715921402</v>
      </c>
      <c r="J42">
        <v>39.078128437011401</v>
      </c>
      <c r="K42">
        <v>189.04440603201601</v>
      </c>
      <c r="L42">
        <v>228.12253446902801</v>
      </c>
    </row>
    <row r="43" spans="1:12" x14ac:dyDescent="0.25">
      <c r="A43" t="s">
        <v>217</v>
      </c>
      <c r="K43">
        <v>0.93576088486563302</v>
      </c>
    </row>
    <row r="44" spans="1:12" x14ac:dyDescent="0.25">
      <c r="A44" t="s">
        <v>218</v>
      </c>
    </row>
    <row r="46" spans="1:12" x14ac:dyDescent="0.25">
      <c r="A46">
        <v>2050</v>
      </c>
    </row>
    <row r="47" spans="1:12" x14ac:dyDescent="0.25">
      <c r="A47" t="s">
        <v>128</v>
      </c>
      <c r="B47" t="s">
        <v>57</v>
      </c>
      <c r="C47" t="s">
        <v>207</v>
      </c>
      <c r="D47" t="s">
        <v>105</v>
      </c>
      <c r="E47" t="s">
        <v>42</v>
      </c>
      <c r="F47" t="s">
        <v>134</v>
      </c>
      <c r="G47" t="s">
        <v>54</v>
      </c>
      <c r="H47" t="s">
        <v>208</v>
      </c>
      <c r="I47" t="s">
        <v>209</v>
      </c>
      <c r="J47" t="s">
        <v>210</v>
      </c>
      <c r="K47" t="s">
        <v>211</v>
      </c>
      <c r="L47" t="s">
        <v>10</v>
      </c>
    </row>
    <row r="48" spans="1:12" x14ac:dyDescent="0.25">
      <c r="A48" t="s">
        <v>138</v>
      </c>
      <c r="B48">
        <v>5.8523640541175004</v>
      </c>
      <c r="C48">
        <v>9.6916384892280991</v>
      </c>
      <c r="D48">
        <v>12.0940616509414</v>
      </c>
      <c r="F48">
        <v>5.7376992755080796</v>
      </c>
      <c r="G48">
        <v>1.6243612661704001</v>
      </c>
      <c r="H48">
        <v>9.9083878957999996E-3</v>
      </c>
      <c r="I48">
        <v>1.4344248188770199</v>
      </c>
      <c r="J48">
        <v>15.069021727073199</v>
      </c>
      <c r="K48">
        <v>36.444457942738303</v>
      </c>
      <c r="L48">
        <v>51.513479669811503</v>
      </c>
    </row>
    <row r="49" spans="1:12" x14ac:dyDescent="0.25">
      <c r="A49" t="s">
        <v>212</v>
      </c>
      <c r="B49">
        <v>0.11976961531749999</v>
      </c>
      <c r="C49">
        <v>4.1300172223687497</v>
      </c>
      <c r="D49">
        <v>0.8946934460707</v>
      </c>
      <c r="E49">
        <v>0</v>
      </c>
      <c r="F49">
        <v>0</v>
      </c>
      <c r="G49">
        <v>1.689494832574</v>
      </c>
      <c r="H49">
        <v>6.1075926729999997E-3</v>
      </c>
      <c r="I49">
        <v>3.3230107511964002</v>
      </c>
      <c r="J49">
        <v>6.1950258335531201</v>
      </c>
      <c r="K49">
        <v>10.1630934602004</v>
      </c>
      <c r="L49">
        <v>16.3581192937535</v>
      </c>
    </row>
    <row r="50" spans="1:12" x14ac:dyDescent="0.25">
      <c r="A50" t="s">
        <v>140</v>
      </c>
      <c r="B50">
        <v>12.139093722674</v>
      </c>
      <c r="C50">
        <v>0</v>
      </c>
      <c r="D50">
        <v>0</v>
      </c>
      <c r="E50">
        <v>0</v>
      </c>
      <c r="F50">
        <v>0</v>
      </c>
      <c r="G50">
        <v>1.3508680727360001</v>
      </c>
      <c r="H50">
        <v>0.2384320247301</v>
      </c>
      <c r="I50">
        <v>0</v>
      </c>
      <c r="K50">
        <v>13.7283938201401</v>
      </c>
      <c r="L50">
        <v>13.7283938201401</v>
      </c>
    </row>
    <row r="51" spans="1:12" x14ac:dyDescent="0.25">
      <c r="A51" t="s">
        <v>141</v>
      </c>
      <c r="B51">
        <v>9.8452476075075008</v>
      </c>
      <c r="C51">
        <v>0</v>
      </c>
      <c r="D51">
        <v>0</v>
      </c>
      <c r="E51">
        <v>0</v>
      </c>
      <c r="F51">
        <v>0</v>
      </c>
      <c r="G51">
        <v>0</v>
      </c>
      <c r="H51">
        <v>0</v>
      </c>
      <c r="I51">
        <v>0</v>
      </c>
      <c r="K51">
        <v>9.8452476075075008</v>
      </c>
      <c r="L51">
        <v>9.8452476075075008</v>
      </c>
    </row>
    <row r="52" spans="1:12" x14ac:dyDescent="0.25">
      <c r="A52" t="s">
        <v>213</v>
      </c>
      <c r="B52">
        <v>42.907833391588298</v>
      </c>
      <c r="C52">
        <v>0</v>
      </c>
      <c r="D52">
        <v>0</v>
      </c>
      <c r="E52">
        <v>0</v>
      </c>
      <c r="F52">
        <v>0</v>
      </c>
      <c r="G52">
        <v>0</v>
      </c>
      <c r="H52">
        <v>0</v>
      </c>
      <c r="I52">
        <v>0</v>
      </c>
      <c r="K52">
        <v>42.907833391588298</v>
      </c>
      <c r="L52">
        <v>42.907833391588298</v>
      </c>
    </row>
    <row r="53" spans="1:12" x14ac:dyDescent="0.25">
      <c r="A53" t="s">
        <v>143</v>
      </c>
      <c r="C53">
        <v>6.3631434451273003</v>
      </c>
      <c r="D53">
        <v>0</v>
      </c>
      <c r="E53">
        <v>0</v>
      </c>
      <c r="F53">
        <v>0</v>
      </c>
      <c r="G53">
        <v>0</v>
      </c>
      <c r="H53">
        <v>0</v>
      </c>
      <c r="I53">
        <v>0</v>
      </c>
      <c r="K53">
        <v>6.3631434451273003</v>
      </c>
      <c r="L53">
        <v>6.4</v>
      </c>
    </row>
    <row r="54" spans="1:12" x14ac:dyDescent="0.25">
      <c r="A54" t="s">
        <v>214</v>
      </c>
      <c r="B54">
        <v>0.46133931642010001</v>
      </c>
      <c r="D54">
        <v>0</v>
      </c>
      <c r="E54">
        <v>0</v>
      </c>
      <c r="F54">
        <v>0</v>
      </c>
      <c r="G54">
        <v>0.95264690516810002</v>
      </c>
      <c r="H54">
        <v>0</v>
      </c>
      <c r="I54">
        <v>0</v>
      </c>
      <c r="K54">
        <v>1.4139862215882</v>
      </c>
      <c r="L54">
        <v>1.4139862215882</v>
      </c>
    </row>
    <row r="55" spans="1:12" x14ac:dyDescent="0.25">
      <c r="A55" t="s">
        <v>215</v>
      </c>
      <c r="B55">
        <v>71.325647707624896</v>
      </c>
      <c r="C55">
        <v>20.1847991567241</v>
      </c>
      <c r="D55">
        <v>12.988755097012101</v>
      </c>
      <c r="E55">
        <v>0</v>
      </c>
      <c r="F55">
        <v>5.7376992755080796</v>
      </c>
      <c r="G55">
        <v>5.6173710766485003</v>
      </c>
      <c r="H55">
        <v>0.25444800529889999</v>
      </c>
      <c r="I55">
        <v>4.7574355700734197</v>
      </c>
      <c r="J55">
        <v>44.850389616754001</v>
      </c>
      <c r="K55">
        <v>120.86615588889001</v>
      </c>
      <c r="L55">
        <v>165.71654550564401</v>
      </c>
    </row>
    <row r="56" spans="1:12" x14ac:dyDescent="0.25">
      <c r="A56" t="s">
        <v>216</v>
      </c>
      <c r="B56">
        <v>23.9431583804922</v>
      </c>
      <c r="C56">
        <v>0</v>
      </c>
      <c r="D56">
        <v>0</v>
      </c>
      <c r="E56">
        <v>0</v>
      </c>
      <c r="F56">
        <v>0</v>
      </c>
      <c r="G56">
        <v>0</v>
      </c>
      <c r="H56">
        <v>0</v>
      </c>
      <c r="I56">
        <v>0</v>
      </c>
      <c r="K56">
        <v>23.9431583804922</v>
      </c>
      <c r="L56">
        <v>23.9431583804922</v>
      </c>
    </row>
    <row r="57" spans="1:12" x14ac:dyDescent="0.25">
      <c r="A57" t="s">
        <v>10</v>
      </c>
      <c r="B57">
        <v>95.268806088117103</v>
      </c>
      <c r="C57">
        <v>20.1847991567241</v>
      </c>
      <c r="D57">
        <v>12.988755097012101</v>
      </c>
      <c r="E57">
        <v>0</v>
      </c>
      <c r="F57">
        <v>5.7376992755080796</v>
      </c>
      <c r="G57">
        <v>5.6173710766485003</v>
      </c>
      <c r="H57">
        <v>0.25444800529889999</v>
      </c>
      <c r="I57">
        <v>4.7574355700734197</v>
      </c>
      <c r="J57">
        <v>44.850389616754001</v>
      </c>
      <c r="K57">
        <v>144.80931426938201</v>
      </c>
      <c r="L57">
        <v>166.11021838488099</v>
      </c>
    </row>
    <row r="58" spans="1:12" x14ac:dyDescent="0.25">
      <c r="A58" t="s">
        <v>217</v>
      </c>
    </row>
    <row r="59" spans="1:12" x14ac:dyDescent="0.25">
      <c r="A59" t="s">
        <v>218</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19"/>
  <dimension ref="A1:L44"/>
  <sheetViews>
    <sheetView workbookViewId="0"/>
  </sheetViews>
  <sheetFormatPr baseColWidth="10" defaultColWidth="11.42578125" defaultRowHeight="15" x14ac:dyDescent="0.25"/>
  <sheetData>
    <row r="1" spans="1:12" x14ac:dyDescent="0.25">
      <c r="A1">
        <v>2025</v>
      </c>
    </row>
    <row r="2" spans="1:12" x14ac:dyDescent="0.25">
      <c r="A2" t="s">
        <v>128</v>
      </c>
      <c r="B2" t="s">
        <v>57</v>
      </c>
      <c r="C2" t="s">
        <v>207</v>
      </c>
      <c r="D2" t="s">
        <v>105</v>
      </c>
      <c r="E2" t="s">
        <v>42</v>
      </c>
      <c r="F2" t="s">
        <v>134</v>
      </c>
      <c r="G2" t="s">
        <v>54</v>
      </c>
      <c r="H2" t="s">
        <v>208</v>
      </c>
      <c r="I2" t="s">
        <v>209</v>
      </c>
      <c r="J2" t="s">
        <v>210</v>
      </c>
      <c r="K2" t="s">
        <v>211</v>
      </c>
      <c r="L2" t="s">
        <v>10</v>
      </c>
    </row>
    <row r="3" spans="1:12" x14ac:dyDescent="0.25">
      <c r="A3" t="s">
        <v>138</v>
      </c>
      <c r="B3">
        <v>8.9718125061079999</v>
      </c>
      <c r="C3">
        <v>7.5244428280336004</v>
      </c>
      <c r="D3">
        <v>4.1448280467982999</v>
      </c>
      <c r="F3">
        <v>5.7574771280624804</v>
      </c>
      <c r="G3">
        <v>39.004453813544799</v>
      </c>
      <c r="H3">
        <v>8.9939273059531999</v>
      </c>
      <c r="I3">
        <v>1.4393692820156201</v>
      </c>
      <c r="J3">
        <v>11.4217194648713</v>
      </c>
      <c r="K3">
        <v>75.836310910516005</v>
      </c>
      <c r="L3">
        <v>87.258030375387307</v>
      </c>
    </row>
    <row r="4" spans="1:12" x14ac:dyDescent="0.25">
      <c r="A4" t="s">
        <v>212</v>
      </c>
      <c r="B4">
        <v>5.2475986366028398</v>
      </c>
      <c r="C4">
        <v>3.4983990910685598</v>
      </c>
      <c r="D4">
        <v>1.1963054104524999</v>
      </c>
      <c r="E4">
        <v>0.73455761130816</v>
      </c>
      <c r="F4">
        <v>0</v>
      </c>
      <c r="G4">
        <v>4.5534877411513</v>
      </c>
      <c r="H4">
        <v>0.30731067968190001</v>
      </c>
      <c r="I4">
        <v>2.93823044523264</v>
      </c>
      <c r="J4">
        <v>5.2475986366028398</v>
      </c>
      <c r="K4">
        <v>18.475889615497898</v>
      </c>
      <c r="L4">
        <v>23.723488252100701</v>
      </c>
    </row>
    <row r="5" spans="1:12" x14ac:dyDescent="0.25">
      <c r="A5" t="s">
        <v>140</v>
      </c>
      <c r="B5">
        <v>11.2851059106452</v>
      </c>
      <c r="C5">
        <v>0</v>
      </c>
      <c r="D5">
        <v>0</v>
      </c>
      <c r="E5">
        <v>0</v>
      </c>
      <c r="F5">
        <v>0</v>
      </c>
      <c r="G5">
        <v>3.0165698263876002</v>
      </c>
      <c r="H5">
        <v>0.82147656588960005</v>
      </c>
      <c r="I5">
        <v>0</v>
      </c>
      <c r="K5">
        <v>15.123152302922399</v>
      </c>
      <c r="L5">
        <v>15.123152302922399</v>
      </c>
    </row>
    <row r="6" spans="1:12" x14ac:dyDescent="0.25">
      <c r="A6" t="s">
        <v>141</v>
      </c>
      <c r="B6">
        <v>19.375331905517701</v>
      </c>
      <c r="C6">
        <v>0</v>
      </c>
      <c r="D6">
        <v>0</v>
      </c>
      <c r="E6">
        <v>0</v>
      </c>
      <c r="F6">
        <v>0</v>
      </c>
      <c r="G6">
        <v>0</v>
      </c>
      <c r="H6">
        <v>0</v>
      </c>
      <c r="I6">
        <v>0</v>
      </c>
      <c r="K6">
        <v>19.375331905517701</v>
      </c>
      <c r="L6">
        <v>19.375331905517701</v>
      </c>
    </row>
    <row r="7" spans="1:12" x14ac:dyDescent="0.25">
      <c r="A7" t="s">
        <v>213</v>
      </c>
      <c r="B7">
        <v>46.354708094036098</v>
      </c>
      <c r="C7">
        <v>0</v>
      </c>
      <c r="D7">
        <v>0</v>
      </c>
      <c r="E7">
        <v>0</v>
      </c>
      <c r="F7">
        <v>0</v>
      </c>
      <c r="G7">
        <v>0</v>
      </c>
      <c r="H7">
        <v>0</v>
      </c>
      <c r="I7">
        <v>0</v>
      </c>
      <c r="K7">
        <v>46.354708094036098</v>
      </c>
      <c r="L7">
        <v>46.354708094036098</v>
      </c>
    </row>
    <row r="8" spans="1:12" x14ac:dyDescent="0.25">
      <c r="A8" t="s">
        <v>143</v>
      </c>
      <c r="C8">
        <v>6.0004736135138002</v>
      </c>
      <c r="D8">
        <v>0</v>
      </c>
      <c r="E8">
        <v>0</v>
      </c>
      <c r="F8">
        <v>0</v>
      </c>
      <c r="G8">
        <v>0</v>
      </c>
      <c r="H8">
        <v>0</v>
      </c>
      <c r="I8">
        <v>0</v>
      </c>
      <c r="J8">
        <v>14.8503200092174</v>
      </c>
      <c r="K8">
        <v>6.0004736135138002</v>
      </c>
      <c r="L8">
        <v>20.850793622731199</v>
      </c>
    </row>
    <row r="9" spans="1:12" x14ac:dyDescent="0.25">
      <c r="A9" t="s">
        <v>214</v>
      </c>
      <c r="B9">
        <v>0.57553934335914003</v>
      </c>
      <c r="D9">
        <v>0</v>
      </c>
      <c r="E9">
        <v>0.38369289557275998</v>
      </c>
      <c r="F9">
        <v>0</v>
      </c>
      <c r="G9">
        <v>1.9118461767073001</v>
      </c>
      <c r="H9">
        <v>0</v>
      </c>
      <c r="I9">
        <v>0</v>
      </c>
      <c r="K9">
        <v>2.8710784156392002</v>
      </c>
      <c r="L9">
        <v>2.8710784156392002</v>
      </c>
    </row>
    <row r="10" spans="1:12" x14ac:dyDescent="0.25">
      <c r="A10" t="s">
        <v>215</v>
      </c>
      <c r="B10">
        <v>91.810096396269003</v>
      </c>
      <c r="C10">
        <v>17.023315532616</v>
      </c>
      <c r="D10">
        <v>5.3411334572508</v>
      </c>
      <c r="E10">
        <v>1.1182505068809201</v>
      </c>
      <c r="F10">
        <v>5.7574771280624804</v>
      </c>
      <c r="G10">
        <v>48.486357557791003</v>
      </c>
      <c r="H10">
        <v>10.1227145515247</v>
      </c>
      <c r="I10">
        <v>4.3775997272482599</v>
      </c>
      <c r="J10">
        <v>31.519638110691499</v>
      </c>
      <c r="K10">
        <v>184.03694485764299</v>
      </c>
      <c r="L10">
        <v>215.55658296833499</v>
      </c>
    </row>
    <row r="11" spans="1:12" x14ac:dyDescent="0.25">
      <c r="A11" t="s">
        <v>216</v>
      </c>
      <c r="B11">
        <v>26.309910568975301</v>
      </c>
      <c r="C11">
        <v>0</v>
      </c>
      <c r="D11">
        <v>0</v>
      </c>
      <c r="E11">
        <v>0</v>
      </c>
      <c r="F11">
        <v>0</v>
      </c>
      <c r="G11">
        <v>0</v>
      </c>
      <c r="H11">
        <v>0</v>
      </c>
      <c r="I11">
        <v>0</v>
      </c>
      <c r="K11">
        <v>26.309910568975301</v>
      </c>
      <c r="L11">
        <v>26.309910568975301</v>
      </c>
    </row>
    <row r="12" spans="1:12" x14ac:dyDescent="0.25">
      <c r="A12" t="s">
        <v>10</v>
      </c>
      <c r="B12">
        <v>118.120006965244</v>
      </c>
      <c r="C12">
        <v>17.023315532616</v>
      </c>
      <c r="D12">
        <v>5.3411334572508</v>
      </c>
      <c r="E12">
        <v>1.1182505068809201</v>
      </c>
      <c r="F12">
        <v>5.7574771280624804</v>
      </c>
      <c r="G12">
        <v>48.486357557791003</v>
      </c>
      <c r="H12">
        <v>10.1227145515247</v>
      </c>
      <c r="I12">
        <v>4.3775997272482599</v>
      </c>
      <c r="J12">
        <v>31.519638110691499</v>
      </c>
      <c r="K12">
        <v>210.34685542661799</v>
      </c>
      <c r="L12">
        <v>241.86649353730999</v>
      </c>
    </row>
    <row r="13" spans="1:12" x14ac:dyDescent="0.25">
      <c r="A13" t="s">
        <v>217</v>
      </c>
    </row>
    <row r="14" spans="1:12" x14ac:dyDescent="0.25">
      <c r="A14" t="s">
        <v>218</v>
      </c>
    </row>
    <row r="16" spans="1:12" x14ac:dyDescent="0.25">
      <c r="A16">
        <v>2030</v>
      </c>
    </row>
    <row r="17" spans="1:12" x14ac:dyDescent="0.25">
      <c r="A17" t="s">
        <v>128</v>
      </c>
      <c r="B17" t="s">
        <v>57</v>
      </c>
      <c r="C17" t="s">
        <v>207</v>
      </c>
      <c r="D17" t="s">
        <v>105</v>
      </c>
      <c r="E17" t="s">
        <v>42</v>
      </c>
      <c r="F17" t="s">
        <v>134</v>
      </c>
      <c r="G17" t="s">
        <v>54</v>
      </c>
      <c r="H17" t="s">
        <v>208</v>
      </c>
      <c r="I17" t="s">
        <v>209</v>
      </c>
      <c r="J17" t="s">
        <v>210</v>
      </c>
      <c r="K17" t="s">
        <v>211</v>
      </c>
      <c r="L17" t="s">
        <v>10</v>
      </c>
    </row>
    <row r="18" spans="1:12" x14ac:dyDescent="0.25">
      <c r="A18" t="s">
        <v>138</v>
      </c>
      <c r="B18">
        <v>7.9865806915524002</v>
      </c>
      <c r="C18">
        <v>9.2211616891774</v>
      </c>
      <c r="D18">
        <v>4.1797717793542999</v>
      </c>
      <c r="F18">
        <v>7.0537868434781599</v>
      </c>
      <c r="G18">
        <v>27.7414380005239</v>
      </c>
      <c r="H18">
        <v>4.0007689276751002</v>
      </c>
      <c r="I18">
        <v>1.76344671086954</v>
      </c>
      <c r="J18">
        <v>14.106786738135799</v>
      </c>
      <c r="K18">
        <v>61.9469546426308</v>
      </c>
      <c r="L18">
        <v>76.053741380766596</v>
      </c>
    </row>
    <row r="19" spans="1:12" x14ac:dyDescent="0.25">
      <c r="A19" t="s">
        <v>212</v>
      </c>
      <c r="B19">
        <v>4.1300172223687497</v>
      </c>
      <c r="C19">
        <v>4.1300172223687497</v>
      </c>
      <c r="D19">
        <v>0.8946934460707</v>
      </c>
      <c r="E19">
        <v>0</v>
      </c>
      <c r="F19">
        <v>0</v>
      </c>
      <c r="G19">
        <v>3.6379629672113998</v>
      </c>
      <c r="H19">
        <v>0.19343554945649999</v>
      </c>
      <c r="I19">
        <v>3.7384479607226</v>
      </c>
      <c r="J19">
        <v>6.1950258335531201</v>
      </c>
      <c r="K19">
        <v>16.724574368198699</v>
      </c>
      <c r="L19">
        <v>22.919600201751798</v>
      </c>
    </row>
    <row r="20" spans="1:12" x14ac:dyDescent="0.25">
      <c r="A20" t="s">
        <v>140</v>
      </c>
      <c r="B20">
        <v>11.8721780932577</v>
      </c>
      <c r="C20">
        <v>0</v>
      </c>
      <c r="D20">
        <v>0</v>
      </c>
      <c r="E20">
        <v>0</v>
      </c>
      <c r="F20">
        <v>0</v>
      </c>
      <c r="G20">
        <v>2.5273881171479</v>
      </c>
      <c r="H20">
        <v>0.61166542466829998</v>
      </c>
      <c r="I20">
        <v>0</v>
      </c>
      <c r="K20">
        <v>15.0112316350739</v>
      </c>
      <c r="L20">
        <v>15.0112316350739</v>
      </c>
    </row>
    <row r="21" spans="1:12" x14ac:dyDescent="0.25">
      <c r="A21" t="s">
        <v>141</v>
      </c>
      <c r="B21">
        <v>15.2848315075233</v>
      </c>
      <c r="C21">
        <v>0</v>
      </c>
      <c r="D21">
        <v>0</v>
      </c>
      <c r="E21">
        <v>0</v>
      </c>
      <c r="F21">
        <v>0</v>
      </c>
      <c r="G21">
        <v>0</v>
      </c>
      <c r="H21">
        <v>0</v>
      </c>
      <c r="I21">
        <v>0</v>
      </c>
      <c r="K21">
        <v>15.2848315075233</v>
      </c>
      <c r="L21">
        <v>15.2848315075233</v>
      </c>
    </row>
    <row r="22" spans="1:12" x14ac:dyDescent="0.25">
      <c r="A22" t="s">
        <v>213</v>
      </c>
      <c r="B22">
        <v>45.907009040287299</v>
      </c>
      <c r="C22">
        <v>0</v>
      </c>
      <c r="D22">
        <v>0</v>
      </c>
      <c r="E22">
        <v>0</v>
      </c>
      <c r="F22">
        <v>0</v>
      </c>
      <c r="G22">
        <v>0</v>
      </c>
      <c r="H22">
        <v>0</v>
      </c>
      <c r="I22">
        <v>0</v>
      </c>
      <c r="K22">
        <v>45.907009040287299</v>
      </c>
      <c r="L22">
        <v>45.907009040287299</v>
      </c>
    </row>
    <row r="23" spans="1:12" x14ac:dyDescent="0.25">
      <c r="A23" t="s">
        <v>143</v>
      </c>
      <c r="C23">
        <v>6.0856597961760004</v>
      </c>
      <c r="D23">
        <v>0</v>
      </c>
      <c r="E23">
        <v>0</v>
      </c>
      <c r="F23">
        <v>0</v>
      </c>
      <c r="G23">
        <v>0</v>
      </c>
      <c r="H23">
        <v>0</v>
      </c>
      <c r="I23">
        <v>0</v>
      </c>
      <c r="J23">
        <v>18.776315865322498</v>
      </c>
      <c r="K23">
        <v>6.0856597961760004</v>
      </c>
      <c r="L23">
        <v>24.861975661498501</v>
      </c>
    </row>
    <row r="24" spans="1:12" x14ac:dyDescent="0.25">
      <c r="A24" t="s">
        <v>214</v>
      </c>
      <c r="B24">
        <v>0.81988401876299999</v>
      </c>
      <c r="D24">
        <v>0</v>
      </c>
      <c r="E24">
        <v>0</v>
      </c>
      <c r="F24">
        <v>0</v>
      </c>
      <c r="G24">
        <v>1.6393711123813</v>
      </c>
      <c r="H24">
        <v>0</v>
      </c>
      <c r="I24">
        <v>0</v>
      </c>
      <c r="K24">
        <v>2.4592551311443001</v>
      </c>
      <c r="L24">
        <v>2.4592551311443001</v>
      </c>
    </row>
    <row r="25" spans="1:12" x14ac:dyDescent="0.25">
      <c r="A25" t="s">
        <v>215</v>
      </c>
      <c r="B25">
        <v>86.000500573752504</v>
      </c>
      <c r="C25">
        <v>19.436838707722199</v>
      </c>
      <c r="D25">
        <v>5.0744652254249996</v>
      </c>
      <c r="E25">
        <v>0</v>
      </c>
      <c r="F25">
        <v>7.0537868434781599</v>
      </c>
      <c r="G25">
        <v>35.546160197264498</v>
      </c>
      <c r="H25">
        <v>4.8058699017999</v>
      </c>
      <c r="I25">
        <v>5.5018946715921402</v>
      </c>
      <c r="J25">
        <v>39.078128437011401</v>
      </c>
      <c r="K25">
        <v>163.41951612103401</v>
      </c>
      <c r="L25">
        <v>202.49764455804601</v>
      </c>
    </row>
    <row r="26" spans="1:12" x14ac:dyDescent="0.25">
      <c r="A26" t="s">
        <v>216</v>
      </c>
      <c r="B26">
        <v>25.624889910981899</v>
      </c>
      <c r="C26">
        <v>0</v>
      </c>
      <c r="D26">
        <v>0</v>
      </c>
      <c r="E26">
        <v>0</v>
      </c>
      <c r="F26">
        <v>0</v>
      </c>
      <c r="G26">
        <v>0</v>
      </c>
      <c r="H26">
        <v>0</v>
      </c>
      <c r="I26">
        <v>0</v>
      </c>
      <c r="K26">
        <v>25.624889910981899</v>
      </c>
      <c r="L26">
        <v>25.624889910981899</v>
      </c>
    </row>
    <row r="27" spans="1:12" x14ac:dyDescent="0.25">
      <c r="A27" t="s">
        <v>10</v>
      </c>
      <c r="B27">
        <v>111.625390484734</v>
      </c>
      <c r="C27">
        <v>19.436838707722199</v>
      </c>
      <c r="D27">
        <v>5.0744652254249996</v>
      </c>
      <c r="E27">
        <v>0</v>
      </c>
      <c r="F27">
        <v>7.0537868434781599</v>
      </c>
      <c r="G27">
        <v>35.546160197264498</v>
      </c>
      <c r="H27">
        <v>4.8058699017999</v>
      </c>
      <c r="I27">
        <v>5.5018946715921402</v>
      </c>
      <c r="J27">
        <v>39.078128437011401</v>
      </c>
      <c r="K27">
        <v>189.04440603201601</v>
      </c>
      <c r="L27">
        <v>228.12253446902801</v>
      </c>
    </row>
    <row r="28" spans="1:12" x14ac:dyDescent="0.25">
      <c r="A28" t="s">
        <v>217</v>
      </c>
      <c r="K28">
        <v>0.93576088486563302</v>
      </c>
    </row>
    <row r="29" spans="1:12" x14ac:dyDescent="0.25">
      <c r="A29" t="s">
        <v>218</v>
      </c>
    </row>
    <row r="31" spans="1:12" x14ac:dyDescent="0.25">
      <c r="A31">
        <v>2050</v>
      </c>
    </row>
    <row r="32" spans="1:12" x14ac:dyDescent="0.25">
      <c r="A32" t="s">
        <v>128</v>
      </c>
      <c r="B32" t="s">
        <v>57</v>
      </c>
      <c r="C32" t="s">
        <v>207</v>
      </c>
      <c r="D32" t="s">
        <v>105</v>
      </c>
      <c r="E32" t="s">
        <v>42</v>
      </c>
      <c r="F32" t="s">
        <v>134</v>
      </c>
      <c r="G32" t="s">
        <v>54</v>
      </c>
      <c r="H32" t="s">
        <v>208</v>
      </c>
      <c r="I32" t="s">
        <v>209</v>
      </c>
      <c r="J32" t="s">
        <v>210</v>
      </c>
      <c r="K32" t="s">
        <v>211</v>
      </c>
      <c r="L32" t="s">
        <v>10</v>
      </c>
    </row>
    <row r="33" spans="1:12" x14ac:dyDescent="0.25">
      <c r="A33" t="s">
        <v>138</v>
      </c>
      <c r="B33">
        <v>5.8523640541175004</v>
      </c>
      <c r="C33">
        <v>9.6916384892280991</v>
      </c>
      <c r="D33">
        <v>12.0940616509414</v>
      </c>
      <c r="F33">
        <v>5.7376992755080796</v>
      </c>
      <c r="G33">
        <v>1.6243612661704001</v>
      </c>
      <c r="H33">
        <v>9.9083878957999996E-3</v>
      </c>
      <c r="I33">
        <v>1.4344248188770199</v>
      </c>
      <c r="J33">
        <v>15.069021727073199</v>
      </c>
      <c r="K33">
        <v>36.444457942738303</v>
      </c>
      <c r="L33">
        <v>51.513479669811503</v>
      </c>
    </row>
    <row r="34" spans="1:12" x14ac:dyDescent="0.25">
      <c r="A34" t="s">
        <v>212</v>
      </c>
      <c r="B34">
        <v>0.11976961531749999</v>
      </c>
      <c r="C34">
        <v>4.1300172223687497</v>
      </c>
      <c r="D34">
        <v>0.8946934460707</v>
      </c>
      <c r="E34">
        <v>0</v>
      </c>
      <c r="F34">
        <v>0</v>
      </c>
      <c r="G34">
        <v>1.689494832574</v>
      </c>
      <c r="H34">
        <v>6.1075926729999997E-3</v>
      </c>
      <c r="I34">
        <v>3.3230107511964002</v>
      </c>
      <c r="J34">
        <v>6.1950258335531201</v>
      </c>
      <c r="K34">
        <v>10.1630934602004</v>
      </c>
      <c r="L34">
        <v>16.3581192937535</v>
      </c>
    </row>
    <row r="35" spans="1:12" x14ac:dyDescent="0.25">
      <c r="A35" t="s">
        <v>140</v>
      </c>
      <c r="B35">
        <v>12.139093722674</v>
      </c>
      <c r="C35">
        <v>0</v>
      </c>
      <c r="D35">
        <v>0</v>
      </c>
      <c r="E35">
        <v>0</v>
      </c>
      <c r="F35">
        <v>0</v>
      </c>
      <c r="G35">
        <v>1.3508680727360001</v>
      </c>
      <c r="H35">
        <v>0.2384320247301</v>
      </c>
      <c r="I35">
        <v>0</v>
      </c>
      <c r="K35">
        <v>13.7283938201401</v>
      </c>
      <c r="L35">
        <v>13.7283938201401</v>
      </c>
    </row>
    <row r="36" spans="1:12" x14ac:dyDescent="0.25">
      <c r="A36" t="s">
        <v>141</v>
      </c>
      <c r="B36">
        <v>9.8452476075075008</v>
      </c>
      <c r="C36">
        <v>0</v>
      </c>
      <c r="D36">
        <v>0</v>
      </c>
      <c r="E36">
        <v>0</v>
      </c>
      <c r="F36">
        <v>0</v>
      </c>
      <c r="G36">
        <v>0</v>
      </c>
      <c r="H36">
        <v>0</v>
      </c>
      <c r="I36">
        <v>0</v>
      </c>
      <c r="K36">
        <v>9.8452476075075008</v>
      </c>
      <c r="L36">
        <v>9.8452476075075008</v>
      </c>
    </row>
    <row r="37" spans="1:12" x14ac:dyDescent="0.25">
      <c r="A37" t="s">
        <v>213</v>
      </c>
      <c r="B37">
        <v>42.907833391588298</v>
      </c>
      <c r="C37">
        <v>0</v>
      </c>
      <c r="D37">
        <v>0</v>
      </c>
      <c r="E37">
        <v>0</v>
      </c>
      <c r="F37">
        <v>0</v>
      </c>
      <c r="G37">
        <v>0</v>
      </c>
      <c r="H37">
        <v>0</v>
      </c>
      <c r="I37">
        <v>0</v>
      </c>
      <c r="K37">
        <v>42.907833391588298</v>
      </c>
      <c r="L37">
        <v>42.907833391588298</v>
      </c>
    </row>
    <row r="38" spans="1:12" x14ac:dyDescent="0.25">
      <c r="A38" t="s">
        <v>143</v>
      </c>
      <c r="C38">
        <v>6.3631434451273003</v>
      </c>
      <c r="D38">
        <v>0</v>
      </c>
      <c r="E38">
        <v>0</v>
      </c>
      <c r="F38">
        <v>0</v>
      </c>
      <c r="G38">
        <v>0</v>
      </c>
      <c r="H38">
        <v>0</v>
      </c>
      <c r="I38">
        <v>0</v>
      </c>
      <c r="K38">
        <v>6.3631434451273003</v>
      </c>
      <c r="L38">
        <v>6.4</v>
      </c>
    </row>
    <row r="39" spans="1:12" x14ac:dyDescent="0.25">
      <c r="A39" t="s">
        <v>214</v>
      </c>
      <c r="B39">
        <v>0.46133931642010001</v>
      </c>
      <c r="D39">
        <v>0</v>
      </c>
      <c r="E39">
        <v>0</v>
      </c>
      <c r="F39">
        <v>0</v>
      </c>
      <c r="G39">
        <v>0.95264690516810002</v>
      </c>
      <c r="H39">
        <v>0</v>
      </c>
      <c r="I39">
        <v>0</v>
      </c>
      <c r="K39">
        <v>1.4139862215882</v>
      </c>
      <c r="L39">
        <v>1.4139862215882</v>
      </c>
    </row>
    <row r="40" spans="1:12" x14ac:dyDescent="0.25">
      <c r="A40" t="s">
        <v>215</v>
      </c>
      <c r="B40">
        <v>71.325647707624896</v>
      </c>
      <c r="C40">
        <v>20.1847991567241</v>
      </c>
      <c r="D40">
        <v>12.988755097012101</v>
      </c>
      <c r="E40">
        <v>0</v>
      </c>
      <c r="F40">
        <v>5.7376992755080796</v>
      </c>
      <c r="G40">
        <v>5.6173710766485003</v>
      </c>
      <c r="H40">
        <v>0.25444800529889999</v>
      </c>
      <c r="I40">
        <v>4.7574355700734197</v>
      </c>
      <c r="J40">
        <v>44.850389616754001</v>
      </c>
      <c r="K40">
        <v>120.86615588889001</v>
      </c>
      <c r="L40">
        <v>165.71654550564401</v>
      </c>
    </row>
    <row r="41" spans="1:12" x14ac:dyDescent="0.25">
      <c r="A41" t="s">
        <v>216</v>
      </c>
      <c r="B41">
        <v>23.9431583804922</v>
      </c>
      <c r="C41">
        <v>0</v>
      </c>
      <c r="D41">
        <v>0</v>
      </c>
      <c r="E41">
        <v>0</v>
      </c>
      <c r="F41">
        <v>0</v>
      </c>
      <c r="G41">
        <v>0</v>
      </c>
      <c r="H41">
        <v>0</v>
      </c>
      <c r="I41">
        <v>0</v>
      </c>
      <c r="K41">
        <v>23.9431583804922</v>
      </c>
      <c r="L41">
        <v>23.9431583804922</v>
      </c>
    </row>
    <row r="42" spans="1:12" x14ac:dyDescent="0.25">
      <c r="A42" t="s">
        <v>10</v>
      </c>
      <c r="B42">
        <v>95.268806088117103</v>
      </c>
      <c r="C42">
        <v>20.1847991567241</v>
      </c>
      <c r="D42">
        <v>12.988755097012101</v>
      </c>
      <c r="E42">
        <v>0</v>
      </c>
      <c r="F42">
        <v>5.7376992755080796</v>
      </c>
      <c r="G42">
        <v>5.6173710766485003</v>
      </c>
      <c r="H42">
        <v>0.25444800529889999</v>
      </c>
      <c r="I42">
        <v>4.7574355700734197</v>
      </c>
      <c r="J42">
        <v>44.850389616754001</v>
      </c>
      <c r="K42">
        <v>144.80931426938201</v>
      </c>
      <c r="L42">
        <v>166.11021838488099</v>
      </c>
    </row>
    <row r="43" spans="1:12" x14ac:dyDescent="0.25">
      <c r="A43" t="s">
        <v>217</v>
      </c>
    </row>
    <row r="44" spans="1:12" x14ac:dyDescent="0.25">
      <c r="A44" t="s">
        <v>218</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0"/>
  <dimension ref="A1:L29"/>
  <sheetViews>
    <sheetView workbookViewId="0"/>
  </sheetViews>
  <sheetFormatPr baseColWidth="10" defaultColWidth="11.42578125" defaultRowHeight="15" x14ac:dyDescent="0.25"/>
  <sheetData>
    <row r="1" spans="1:12" x14ac:dyDescent="0.25">
      <c r="A1">
        <v>2030</v>
      </c>
    </row>
    <row r="2" spans="1:12" x14ac:dyDescent="0.25">
      <c r="A2" t="s">
        <v>128</v>
      </c>
      <c r="B2" t="s">
        <v>57</v>
      </c>
      <c r="C2" t="s">
        <v>207</v>
      </c>
      <c r="D2" t="s">
        <v>105</v>
      </c>
      <c r="E2" t="s">
        <v>42</v>
      </c>
      <c r="F2" t="s">
        <v>134</v>
      </c>
      <c r="G2" t="s">
        <v>54</v>
      </c>
      <c r="H2" t="s">
        <v>208</v>
      </c>
      <c r="I2" t="s">
        <v>209</v>
      </c>
      <c r="J2" t="s">
        <v>210</v>
      </c>
      <c r="K2" t="s">
        <v>211</v>
      </c>
      <c r="L2" t="s">
        <v>10</v>
      </c>
    </row>
    <row r="3" spans="1:12" x14ac:dyDescent="0.25">
      <c r="A3" t="s">
        <v>138</v>
      </c>
      <c r="B3">
        <v>7.9865806915524002</v>
      </c>
      <c r="C3">
        <v>9.2211616891774</v>
      </c>
      <c r="D3">
        <v>4.1797717793542999</v>
      </c>
      <c r="F3">
        <v>7.0537868434781599</v>
      </c>
      <c r="G3">
        <v>27.7414380005239</v>
      </c>
      <c r="H3">
        <v>4.0007689276751002</v>
      </c>
      <c r="I3">
        <v>1.76344671086954</v>
      </c>
      <c r="J3">
        <v>14.106786738135799</v>
      </c>
      <c r="K3">
        <v>61.9469546426308</v>
      </c>
      <c r="L3">
        <v>76.053741380766596</v>
      </c>
    </row>
    <row r="4" spans="1:12" x14ac:dyDescent="0.25">
      <c r="A4" t="s">
        <v>212</v>
      </c>
      <c r="B4">
        <v>4.1300172223687497</v>
      </c>
      <c r="C4">
        <v>4.1300172223687497</v>
      </c>
      <c r="D4">
        <v>0.8946934460707</v>
      </c>
      <c r="E4">
        <v>0</v>
      </c>
      <c r="F4">
        <v>0</v>
      </c>
      <c r="G4">
        <v>3.6379629672113998</v>
      </c>
      <c r="H4">
        <v>0.19343554945649999</v>
      </c>
      <c r="I4">
        <v>3.7384479607226</v>
      </c>
      <c r="J4">
        <v>6.1950258335531201</v>
      </c>
      <c r="K4">
        <v>16.724574368198699</v>
      </c>
      <c r="L4">
        <v>22.919600201751798</v>
      </c>
    </row>
    <row r="5" spans="1:12" x14ac:dyDescent="0.25">
      <c r="A5" t="s">
        <v>140</v>
      </c>
      <c r="B5">
        <v>11.8721780932577</v>
      </c>
      <c r="C5">
        <v>0</v>
      </c>
      <c r="D5">
        <v>0</v>
      </c>
      <c r="E5">
        <v>0</v>
      </c>
      <c r="F5">
        <v>0</v>
      </c>
      <c r="G5">
        <v>2.5273881171479</v>
      </c>
      <c r="H5">
        <v>0.61166542466829998</v>
      </c>
      <c r="I5">
        <v>0</v>
      </c>
      <c r="K5">
        <v>15.0112316350739</v>
      </c>
      <c r="L5">
        <v>15.0112316350739</v>
      </c>
    </row>
    <row r="6" spans="1:12" x14ac:dyDescent="0.25">
      <c r="A6" t="s">
        <v>141</v>
      </c>
      <c r="B6">
        <v>15.2848315075233</v>
      </c>
      <c r="C6">
        <v>0</v>
      </c>
      <c r="D6">
        <v>0</v>
      </c>
      <c r="E6">
        <v>0</v>
      </c>
      <c r="F6">
        <v>0</v>
      </c>
      <c r="G6">
        <v>0</v>
      </c>
      <c r="H6">
        <v>0</v>
      </c>
      <c r="I6">
        <v>0</v>
      </c>
      <c r="K6">
        <v>15.2848315075233</v>
      </c>
      <c r="L6">
        <v>15.2848315075233</v>
      </c>
    </row>
    <row r="7" spans="1:12" x14ac:dyDescent="0.25">
      <c r="A7" t="s">
        <v>213</v>
      </c>
      <c r="B7">
        <v>45.907009040287299</v>
      </c>
      <c r="C7">
        <v>0</v>
      </c>
      <c r="D7">
        <v>0</v>
      </c>
      <c r="E7">
        <v>0</v>
      </c>
      <c r="F7">
        <v>0</v>
      </c>
      <c r="G7">
        <v>0</v>
      </c>
      <c r="H7">
        <v>0</v>
      </c>
      <c r="I7">
        <v>0</v>
      </c>
      <c r="K7">
        <v>45.907009040287299</v>
      </c>
      <c r="L7">
        <v>45.907009040287299</v>
      </c>
    </row>
    <row r="8" spans="1:12" x14ac:dyDescent="0.25">
      <c r="A8" t="s">
        <v>143</v>
      </c>
      <c r="C8">
        <v>6.0856597961760004</v>
      </c>
      <c r="D8">
        <v>0</v>
      </c>
      <c r="E8">
        <v>0</v>
      </c>
      <c r="F8">
        <v>0</v>
      </c>
      <c r="G8">
        <v>0</v>
      </c>
      <c r="H8">
        <v>0</v>
      </c>
      <c r="I8">
        <v>0</v>
      </c>
      <c r="J8">
        <v>18.776315865322498</v>
      </c>
      <c r="K8">
        <v>6.0856597961760004</v>
      </c>
      <c r="L8">
        <v>24.861975661498501</v>
      </c>
    </row>
    <row r="9" spans="1:12" x14ac:dyDescent="0.25">
      <c r="A9" t="s">
        <v>214</v>
      </c>
      <c r="B9">
        <v>0.81988401876299999</v>
      </c>
      <c r="D9">
        <v>0</v>
      </c>
      <c r="E9">
        <v>0</v>
      </c>
      <c r="F9">
        <v>0</v>
      </c>
      <c r="G9">
        <v>1.6393711123813</v>
      </c>
      <c r="H9">
        <v>0</v>
      </c>
      <c r="I9">
        <v>0</v>
      </c>
      <c r="K9">
        <v>2.4592551311443001</v>
      </c>
      <c r="L9">
        <v>2.4592551311443001</v>
      </c>
    </row>
    <row r="10" spans="1:12" x14ac:dyDescent="0.25">
      <c r="A10" t="s">
        <v>215</v>
      </c>
      <c r="B10">
        <v>86.000500573752504</v>
      </c>
      <c r="C10">
        <v>19.436838707722199</v>
      </c>
      <c r="D10">
        <v>5.0744652254249996</v>
      </c>
      <c r="E10">
        <v>0</v>
      </c>
      <c r="F10">
        <v>7.0537868434781599</v>
      </c>
      <c r="G10">
        <v>35.546160197264498</v>
      </c>
      <c r="H10">
        <v>4.8058699017999</v>
      </c>
      <c r="I10">
        <v>5.5018946715921402</v>
      </c>
      <c r="J10">
        <v>39.078128437011401</v>
      </c>
      <c r="K10">
        <v>163.41951612103401</v>
      </c>
      <c r="L10">
        <v>202.49764455804601</v>
      </c>
    </row>
    <row r="11" spans="1:12" x14ac:dyDescent="0.25">
      <c r="A11" t="s">
        <v>216</v>
      </c>
      <c r="B11">
        <v>25.624889910981899</v>
      </c>
      <c r="C11">
        <v>0</v>
      </c>
      <c r="D11">
        <v>0</v>
      </c>
      <c r="E11">
        <v>0</v>
      </c>
      <c r="F11">
        <v>0</v>
      </c>
      <c r="G11">
        <v>0</v>
      </c>
      <c r="H11">
        <v>0</v>
      </c>
      <c r="I11">
        <v>0</v>
      </c>
      <c r="K11">
        <v>25.624889910981899</v>
      </c>
      <c r="L11">
        <v>25.624889910981899</v>
      </c>
    </row>
    <row r="12" spans="1:12" x14ac:dyDescent="0.25">
      <c r="A12" t="s">
        <v>10</v>
      </c>
      <c r="B12">
        <v>111.625390484734</v>
      </c>
      <c r="C12">
        <v>19.436838707722199</v>
      </c>
      <c r="D12">
        <v>5.0744652254249996</v>
      </c>
      <c r="E12">
        <v>0</v>
      </c>
      <c r="F12">
        <v>7.0537868434781599</v>
      </c>
      <c r="G12">
        <v>35.546160197264498</v>
      </c>
      <c r="H12">
        <v>4.8058699017999</v>
      </c>
      <c r="I12">
        <v>5.5018946715921402</v>
      </c>
      <c r="J12">
        <v>39.078128437011401</v>
      </c>
      <c r="K12">
        <v>189.04440603201601</v>
      </c>
      <c r="L12">
        <v>228.12253446902801</v>
      </c>
    </row>
    <row r="13" spans="1:12" x14ac:dyDescent="0.25">
      <c r="A13" t="s">
        <v>217</v>
      </c>
      <c r="K13">
        <v>0.93576088486563302</v>
      </c>
    </row>
    <row r="14" spans="1:12" x14ac:dyDescent="0.25">
      <c r="A14" t="s">
        <v>218</v>
      </c>
    </row>
    <row r="16" spans="1:12" x14ac:dyDescent="0.25">
      <c r="A16">
        <v>2050</v>
      </c>
    </row>
    <row r="17" spans="1:12" x14ac:dyDescent="0.25">
      <c r="A17" t="s">
        <v>128</v>
      </c>
      <c r="B17" t="s">
        <v>57</v>
      </c>
      <c r="C17" t="s">
        <v>207</v>
      </c>
      <c r="D17" t="s">
        <v>105</v>
      </c>
      <c r="E17" t="s">
        <v>42</v>
      </c>
      <c r="F17" t="s">
        <v>134</v>
      </c>
      <c r="G17" t="s">
        <v>54</v>
      </c>
      <c r="H17" t="s">
        <v>208</v>
      </c>
      <c r="I17" t="s">
        <v>209</v>
      </c>
      <c r="J17" t="s">
        <v>210</v>
      </c>
      <c r="K17" t="s">
        <v>211</v>
      </c>
      <c r="L17" t="s">
        <v>10</v>
      </c>
    </row>
    <row r="18" spans="1:12" x14ac:dyDescent="0.25">
      <c r="A18" t="s">
        <v>138</v>
      </c>
      <c r="B18">
        <v>5.8523640541175004</v>
      </c>
      <c r="C18">
        <v>9.6916384892280991</v>
      </c>
      <c r="D18">
        <v>12.0940616509414</v>
      </c>
      <c r="F18">
        <v>5.7376992755080796</v>
      </c>
      <c r="G18">
        <v>1.6243612661704001</v>
      </c>
      <c r="H18">
        <v>9.9083878957999996E-3</v>
      </c>
      <c r="I18">
        <v>1.4344248188770199</v>
      </c>
      <c r="J18">
        <v>15.069021727073199</v>
      </c>
      <c r="K18">
        <v>36.444457942738303</v>
      </c>
      <c r="L18">
        <v>51.513479669811503</v>
      </c>
    </row>
    <row r="19" spans="1:12" x14ac:dyDescent="0.25">
      <c r="A19" t="s">
        <v>212</v>
      </c>
      <c r="B19">
        <v>0.11976961531749999</v>
      </c>
      <c r="C19">
        <v>4.1300172223687497</v>
      </c>
      <c r="D19">
        <v>0.8946934460707</v>
      </c>
      <c r="E19">
        <v>0</v>
      </c>
      <c r="F19">
        <v>0</v>
      </c>
      <c r="G19">
        <v>1.689494832574</v>
      </c>
      <c r="H19">
        <v>6.1075926729999997E-3</v>
      </c>
      <c r="I19">
        <v>3.3230107511964002</v>
      </c>
      <c r="J19">
        <v>6.1950258335531201</v>
      </c>
      <c r="K19">
        <v>10.1630934602004</v>
      </c>
      <c r="L19">
        <v>16.3581192937535</v>
      </c>
    </row>
    <row r="20" spans="1:12" x14ac:dyDescent="0.25">
      <c r="A20" t="s">
        <v>140</v>
      </c>
      <c r="B20">
        <v>12.139093722674</v>
      </c>
      <c r="C20">
        <v>0</v>
      </c>
      <c r="D20">
        <v>0</v>
      </c>
      <c r="E20">
        <v>0</v>
      </c>
      <c r="F20">
        <v>0</v>
      </c>
      <c r="G20">
        <v>1.3508680727360001</v>
      </c>
      <c r="H20">
        <v>0.2384320247301</v>
      </c>
      <c r="I20">
        <v>0</v>
      </c>
      <c r="K20">
        <v>13.7283938201401</v>
      </c>
      <c r="L20">
        <v>13.7283938201401</v>
      </c>
    </row>
    <row r="21" spans="1:12" x14ac:dyDescent="0.25">
      <c r="A21" t="s">
        <v>141</v>
      </c>
      <c r="B21">
        <v>9.8452476075075008</v>
      </c>
      <c r="C21">
        <v>0</v>
      </c>
      <c r="D21">
        <v>0</v>
      </c>
      <c r="E21">
        <v>0</v>
      </c>
      <c r="F21">
        <v>0</v>
      </c>
      <c r="G21">
        <v>0</v>
      </c>
      <c r="H21">
        <v>0</v>
      </c>
      <c r="I21">
        <v>0</v>
      </c>
      <c r="K21">
        <v>9.8452476075075008</v>
      </c>
      <c r="L21">
        <v>9.8452476075075008</v>
      </c>
    </row>
    <row r="22" spans="1:12" x14ac:dyDescent="0.25">
      <c r="A22" t="s">
        <v>213</v>
      </c>
      <c r="B22">
        <v>42.907833391588298</v>
      </c>
      <c r="C22">
        <v>0</v>
      </c>
      <c r="D22">
        <v>0</v>
      </c>
      <c r="E22">
        <v>0</v>
      </c>
      <c r="F22">
        <v>0</v>
      </c>
      <c r="G22">
        <v>0</v>
      </c>
      <c r="H22">
        <v>0</v>
      </c>
      <c r="I22">
        <v>0</v>
      </c>
      <c r="K22">
        <v>42.907833391588298</v>
      </c>
      <c r="L22">
        <v>42.907833391588298</v>
      </c>
    </row>
    <row r="23" spans="1:12" x14ac:dyDescent="0.25">
      <c r="A23" t="s">
        <v>143</v>
      </c>
      <c r="C23">
        <v>6.3631434451273003</v>
      </c>
      <c r="D23">
        <v>0</v>
      </c>
      <c r="E23">
        <v>0</v>
      </c>
      <c r="F23">
        <v>0</v>
      </c>
      <c r="G23">
        <v>0</v>
      </c>
      <c r="H23">
        <v>0</v>
      </c>
      <c r="I23">
        <v>0</v>
      </c>
      <c r="K23">
        <v>6.3631434451273003</v>
      </c>
      <c r="L23">
        <v>6.4</v>
      </c>
    </row>
    <row r="24" spans="1:12" x14ac:dyDescent="0.25">
      <c r="A24" t="s">
        <v>214</v>
      </c>
      <c r="B24">
        <v>0.46133931642010001</v>
      </c>
      <c r="D24">
        <v>0</v>
      </c>
      <c r="E24">
        <v>0</v>
      </c>
      <c r="F24">
        <v>0</v>
      </c>
      <c r="G24">
        <v>0.95264690516810002</v>
      </c>
      <c r="H24">
        <v>0</v>
      </c>
      <c r="I24">
        <v>0</v>
      </c>
      <c r="K24">
        <v>1.4139862215882</v>
      </c>
      <c r="L24">
        <v>1.4139862215882</v>
      </c>
    </row>
    <row r="25" spans="1:12" x14ac:dyDescent="0.25">
      <c r="A25" t="s">
        <v>215</v>
      </c>
      <c r="B25">
        <v>71.325647707624896</v>
      </c>
      <c r="C25">
        <v>20.1847991567241</v>
      </c>
      <c r="D25">
        <v>12.988755097012101</v>
      </c>
      <c r="E25">
        <v>0</v>
      </c>
      <c r="F25">
        <v>5.7376992755080796</v>
      </c>
      <c r="G25">
        <v>5.6173710766485003</v>
      </c>
      <c r="H25">
        <v>0.25444800529889999</v>
      </c>
      <c r="I25">
        <v>4.7574355700734197</v>
      </c>
      <c r="J25">
        <v>44.850389616754001</v>
      </c>
      <c r="K25">
        <v>120.86615588889001</v>
      </c>
      <c r="L25">
        <v>165.71654550564401</v>
      </c>
    </row>
    <row r="26" spans="1:12" x14ac:dyDescent="0.25">
      <c r="A26" t="s">
        <v>216</v>
      </c>
      <c r="B26">
        <v>23.9431583804922</v>
      </c>
      <c r="C26">
        <v>0</v>
      </c>
      <c r="D26">
        <v>0</v>
      </c>
      <c r="E26">
        <v>0</v>
      </c>
      <c r="F26">
        <v>0</v>
      </c>
      <c r="G26">
        <v>0</v>
      </c>
      <c r="H26">
        <v>0</v>
      </c>
      <c r="I26">
        <v>0</v>
      </c>
      <c r="K26">
        <v>23.9431583804922</v>
      </c>
      <c r="L26">
        <v>23.9431583804922</v>
      </c>
    </row>
    <row r="27" spans="1:12" x14ac:dyDescent="0.25">
      <c r="A27" t="s">
        <v>10</v>
      </c>
      <c r="B27">
        <v>95.268806088117103</v>
      </c>
      <c r="C27">
        <v>20.1847991567241</v>
      </c>
      <c r="D27">
        <v>12.988755097012101</v>
      </c>
      <c r="E27">
        <v>0</v>
      </c>
      <c r="F27">
        <v>5.7376992755080796</v>
      </c>
      <c r="G27">
        <v>5.6173710766485003</v>
      </c>
      <c r="H27">
        <v>0.25444800529889999</v>
      </c>
      <c r="I27">
        <v>4.7574355700734197</v>
      </c>
      <c r="J27">
        <v>44.850389616754001</v>
      </c>
      <c r="K27">
        <v>144.80931426938201</v>
      </c>
      <c r="L27">
        <v>166.11021838488099</v>
      </c>
    </row>
    <row r="28" spans="1:12" x14ac:dyDescent="0.25">
      <c r="A28" t="s">
        <v>217</v>
      </c>
    </row>
    <row r="29" spans="1:12" x14ac:dyDescent="0.25">
      <c r="A29" t="s">
        <v>218</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1"/>
  <dimension ref="A1:L14"/>
  <sheetViews>
    <sheetView workbookViewId="0"/>
  </sheetViews>
  <sheetFormatPr baseColWidth="10" defaultColWidth="11.42578125" defaultRowHeight="15" x14ac:dyDescent="0.25"/>
  <sheetData>
    <row r="1" spans="1:12" x14ac:dyDescent="0.25">
      <c r="A1">
        <v>2050</v>
      </c>
    </row>
    <row r="2" spans="1:12" x14ac:dyDescent="0.25">
      <c r="A2" t="s">
        <v>128</v>
      </c>
      <c r="B2" t="s">
        <v>57</v>
      </c>
      <c r="C2" t="s">
        <v>207</v>
      </c>
      <c r="D2" t="s">
        <v>105</v>
      </c>
      <c r="E2" t="s">
        <v>42</v>
      </c>
      <c r="F2" t="s">
        <v>134</v>
      </c>
      <c r="G2" t="s">
        <v>54</v>
      </c>
      <c r="H2" t="s">
        <v>208</v>
      </c>
      <c r="I2" t="s">
        <v>209</v>
      </c>
      <c r="J2" t="s">
        <v>210</v>
      </c>
      <c r="K2" t="s">
        <v>211</v>
      </c>
      <c r="L2" t="s">
        <v>10</v>
      </c>
    </row>
    <row r="3" spans="1:12" x14ac:dyDescent="0.25">
      <c r="A3" t="s">
        <v>138</v>
      </c>
      <c r="B3">
        <v>5.8523640541175004</v>
      </c>
      <c r="C3">
        <v>9.6916384892280991</v>
      </c>
      <c r="D3">
        <v>12.0940616509414</v>
      </c>
      <c r="F3">
        <v>5.7376992755080796</v>
      </c>
      <c r="G3">
        <v>1.6243612661704001</v>
      </c>
      <c r="H3">
        <v>9.9083878957999996E-3</v>
      </c>
      <c r="I3">
        <v>1.4344248188770199</v>
      </c>
      <c r="J3">
        <v>15.069021727073199</v>
      </c>
      <c r="K3">
        <v>36.444457942738303</v>
      </c>
      <c r="L3">
        <v>51.513479669811503</v>
      </c>
    </row>
    <row r="4" spans="1:12" x14ac:dyDescent="0.25">
      <c r="A4" t="s">
        <v>212</v>
      </c>
      <c r="B4">
        <v>0.11976961531749999</v>
      </c>
      <c r="C4">
        <v>4.1300172223687497</v>
      </c>
      <c r="D4">
        <v>0.8946934460707</v>
      </c>
      <c r="E4">
        <v>0</v>
      </c>
      <c r="F4">
        <v>0</v>
      </c>
      <c r="G4">
        <v>1.689494832574</v>
      </c>
      <c r="H4">
        <v>6.1075926729999997E-3</v>
      </c>
      <c r="I4">
        <v>3.3230107511964002</v>
      </c>
      <c r="J4">
        <v>6.1950258335531201</v>
      </c>
      <c r="K4">
        <v>10.1630934602004</v>
      </c>
      <c r="L4">
        <v>16.3581192937535</v>
      </c>
    </row>
    <row r="5" spans="1:12" x14ac:dyDescent="0.25">
      <c r="A5" t="s">
        <v>140</v>
      </c>
      <c r="B5">
        <v>12.139093722674</v>
      </c>
      <c r="C5">
        <v>0</v>
      </c>
      <c r="D5">
        <v>0</v>
      </c>
      <c r="E5">
        <v>0</v>
      </c>
      <c r="F5">
        <v>0</v>
      </c>
      <c r="G5">
        <v>1.3508680727360001</v>
      </c>
      <c r="H5">
        <v>0.2384320247301</v>
      </c>
      <c r="I5">
        <v>0</v>
      </c>
      <c r="K5">
        <v>13.7283938201401</v>
      </c>
      <c r="L5">
        <v>13.7283938201401</v>
      </c>
    </row>
    <row r="6" spans="1:12" x14ac:dyDescent="0.25">
      <c r="A6" t="s">
        <v>141</v>
      </c>
      <c r="B6">
        <v>9.8452476075075008</v>
      </c>
      <c r="C6">
        <v>0</v>
      </c>
      <c r="D6">
        <v>0</v>
      </c>
      <c r="E6">
        <v>0</v>
      </c>
      <c r="F6">
        <v>0</v>
      </c>
      <c r="G6">
        <v>0</v>
      </c>
      <c r="H6">
        <v>0</v>
      </c>
      <c r="I6">
        <v>0</v>
      </c>
      <c r="K6">
        <v>9.8452476075075008</v>
      </c>
      <c r="L6">
        <v>9.8452476075075008</v>
      </c>
    </row>
    <row r="7" spans="1:12" x14ac:dyDescent="0.25">
      <c r="A7" t="s">
        <v>213</v>
      </c>
      <c r="B7">
        <v>42.907833391588298</v>
      </c>
      <c r="C7">
        <v>0</v>
      </c>
      <c r="D7">
        <v>0</v>
      </c>
      <c r="E7">
        <v>0</v>
      </c>
      <c r="F7">
        <v>0</v>
      </c>
      <c r="G7">
        <v>0</v>
      </c>
      <c r="H7">
        <v>0</v>
      </c>
      <c r="I7">
        <v>0</v>
      </c>
      <c r="K7">
        <v>42.907833391588298</v>
      </c>
      <c r="L7">
        <v>42.907833391588298</v>
      </c>
    </row>
    <row r="8" spans="1:12" x14ac:dyDescent="0.25">
      <c r="A8" t="s">
        <v>143</v>
      </c>
      <c r="C8">
        <v>6.3631434451273003</v>
      </c>
      <c r="D8">
        <v>0</v>
      </c>
      <c r="E8">
        <v>0</v>
      </c>
      <c r="F8">
        <v>0</v>
      </c>
      <c r="G8">
        <v>0</v>
      </c>
      <c r="H8">
        <v>0</v>
      </c>
      <c r="I8">
        <v>0</v>
      </c>
      <c r="K8">
        <v>6.3631434451273003</v>
      </c>
      <c r="L8">
        <v>6.4</v>
      </c>
    </row>
    <row r="9" spans="1:12" x14ac:dyDescent="0.25">
      <c r="A9" t="s">
        <v>214</v>
      </c>
      <c r="B9">
        <v>0.46133931642010001</v>
      </c>
      <c r="D9">
        <v>0</v>
      </c>
      <c r="E9">
        <v>0</v>
      </c>
      <c r="F9">
        <v>0</v>
      </c>
      <c r="G9">
        <v>0.95264690516810002</v>
      </c>
      <c r="H9">
        <v>0</v>
      </c>
      <c r="I9">
        <v>0</v>
      </c>
      <c r="K9">
        <v>1.4139862215882</v>
      </c>
      <c r="L9">
        <v>1.4139862215882</v>
      </c>
    </row>
    <row r="10" spans="1:12" x14ac:dyDescent="0.25">
      <c r="A10" t="s">
        <v>215</v>
      </c>
      <c r="B10">
        <v>71.325647707624896</v>
      </c>
      <c r="C10">
        <v>20.1847991567241</v>
      </c>
      <c r="D10">
        <v>12.988755097012101</v>
      </c>
      <c r="E10">
        <v>0</v>
      </c>
      <c r="F10">
        <v>5.7376992755080796</v>
      </c>
      <c r="G10">
        <v>5.6173710766485003</v>
      </c>
      <c r="H10">
        <v>0.25444800529889999</v>
      </c>
      <c r="I10">
        <v>4.7574355700734197</v>
      </c>
      <c r="J10">
        <v>44.850389616754001</v>
      </c>
      <c r="K10">
        <v>120.86615588889001</v>
      </c>
      <c r="L10">
        <v>165.71654550564401</v>
      </c>
    </row>
    <row r="11" spans="1:12" x14ac:dyDescent="0.25">
      <c r="A11" t="s">
        <v>216</v>
      </c>
      <c r="B11">
        <v>23.9431583804922</v>
      </c>
      <c r="C11">
        <v>0</v>
      </c>
      <c r="D11">
        <v>0</v>
      </c>
      <c r="E11">
        <v>0</v>
      </c>
      <c r="F11">
        <v>0</v>
      </c>
      <c r="G11">
        <v>0</v>
      </c>
      <c r="H11">
        <v>0</v>
      </c>
      <c r="I11">
        <v>0</v>
      </c>
      <c r="K11">
        <v>23.9431583804922</v>
      </c>
      <c r="L11">
        <v>23.9431583804922</v>
      </c>
    </row>
    <row r="12" spans="1:12" x14ac:dyDescent="0.25">
      <c r="A12" t="s">
        <v>10</v>
      </c>
      <c r="B12">
        <v>95.268806088117103</v>
      </c>
      <c r="C12">
        <v>20.1847991567241</v>
      </c>
      <c r="D12">
        <v>12.988755097012101</v>
      </c>
      <c r="E12">
        <v>0</v>
      </c>
      <c r="F12">
        <v>5.7376992755080796</v>
      </c>
      <c r="G12">
        <v>5.6173710766485003</v>
      </c>
      <c r="H12">
        <v>0.25444800529889999</v>
      </c>
      <c r="I12">
        <v>4.7574355700734197</v>
      </c>
      <c r="J12">
        <v>44.850389616754001</v>
      </c>
      <c r="K12">
        <v>144.80931426938201</v>
      </c>
      <c r="L12">
        <v>166.11021838488099</v>
      </c>
    </row>
    <row r="13" spans="1:12" x14ac:dyDescent="0.25">
      <c r="A13" t="s">
        <v>217</v>
      </c>
    </row>
    <row r="14" spans="1:12" x14ac:dyDescent="0.25">
      <c r="A14" t="s">
        <v>218</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2"/>
  <dimension ref="A1:K50"/>
  <sheetViews>
    <sheetView workbookViewId="0"/>
  </sheetViews>
  <sheetFormatPr baseColWidth="10" defaultRowHeight="15" x14ac:dyDescent="0.25"/>
  <sheetData>
    <row r="1" spans="1:11" x14ac:dyDescent="0.25">
      <c r="A1" t="s">
        <v>222</v>
      </c>
    </row>
    <row r="3" spans="1:11" x14ac:dyDescent="0.25">
      <c r="B3" t="s">
        <v>223</v>
      </c>
    </row>
    <row r="4" spans="1:11" x14ac:dyDescent="0.25">
      <c r="C4" t="s">
        <v>54</v>
      </c>
      <c r="D4" t="s">
        <v>224</v>
      </c>
      <c r="E4" t="s">
        <v>225</v>
      </c>
      <c r="F4" t="s">
        <v>226</v>
      </c>
      <c r="G4" t="s">
        <v>134</v>
      </c>
      <c r="H4" t="s">
        <v>227</v>
      </c>
      <c r="I4" t="s">
        <v>10</v>
      </c>
      <c r="J4" t="s">
        <v>228</v>
      </c>
      <c r="K4" t="s">
        <v>229</v>
      </c>
    </row>
    <row r="5" spans="1:11" x14ac:dyDescent="0.25">
      <c r="A5" t="s">
        <v>230</v>
      </c>
      <c r="B5" t="s">
        <v>231</v>
      </c>
      <c r="C5">
        <v>75.943574999999996</v>
      </c>
      <c r="D5">
        <v>59.147292999999998</v>
      </c>
      <c r="E5">
        <v>31.440052000000001</v>
      </c>
      <c r="F5">
        <v>0.71148400000000001</v>
      </c>
      <c r="G5">
        <v>48.420904999999998</v>
      </c>
      <c r="H5">
        <v>0</v>
      </c>
      <c r="I5">
        <v>215.663309</v>
      </c>
      <c r="J5">
        <v>1.422968</v>
      </c>
      <c r="K5">
        <v>217.086277</v>
      </c>
    </row>
    <row r="6" spans="1:11" x14ac:dyDescent="0.25">
      <c r="B6" t="s">
        <v>232</v>
      </c>
      <c r="C6">
        <v>1.4633107999999999</v>
      </c>
      <c r="D6">
        <v>7.4991199999999994E-2</v>
      </c>
      <c r="E6">
        <v>2.9691252000000001</v>
      </c>
      <c r="F6">
        <v>0.53709240000000003</v>
      </c>
      <c r="G6">
        <v>0.22598860000000001</v>
      </c>
      <c r="H6">
        <v>3.7794E-3</v>
      </c>
      <c r="I6">
        <v>5.2742876000000001</v>
      </c>
      <c r="J6">
        <v>1.0741848000000001</v>
      </c>
      <c r="K6">
        <v>6.3484724000000003</v>
      </c>
    </row>
    <row r="7" spans="1:11" x14ac:dyDescent="0.25">
      <c r="B7" t="s">
        <v>233</v>
      </c>
      <c r="C7">
        <v>61.531348000000001</v>
      </c>
      <c r="D7">
        <v>9.4036627999999993</v>
      </c>
      <c r="E7">
        <v>10.650235</v>
      </c>
      <c r="F7">
        <v>0.16498550000000001</v>
      </c>
      <c r="G7">
        <v>0</v>
      </c>
      <c r="H7">
        <v>12.714601999999999</v>
      </c>
      <c r="I7">
        <v>94.464833299999995</v>
      </c>
      <c r="J7">
        <v>0.32997100000000001</v>
      </c>
      <c r="K7">
        <v>94.794804299999996</v>
      </c>
    </row>
    <row r="8" spans="1:11" x14ac:dyDescent="0.25">
      <c r="B8" t="s">
        <v>234</v>
      </c>
      <c r="C8">
        <v>1.8106469999999999</v>
      </c>
      <c r="D8">
        <v>0</v>
      </c>
      <c r="E8">
        <v>0.94022530000000004</v>
      </c>
      <c r="F8">
        <v>0.16561049999999999</v>
      </c>
      <c r="G8">
        <v>2.4927E-3</v>
      </c>
      <c r="H8">
        <v>0.2993596</v>
      </c>
      <c r="I8">
        <v>3.2183351</v>
      </c>
      <c r="J8">
        <v>0.33122099999999999</v>
      </c>
      <c r="K8">
        <v>3.5495561000000002</v>
      </c>
    </row>
    <row r="9" spans="1:11" x14ac:dyDescent="0.25">
      <c r="B9" t="s">
        <v>10</v>
      </c>
      <c r="C9">
        <v>140.74888079999999</v>
      </c>
      <c r="D9">
        <v>68.625946999999996</v>
      </c>
      <c r="E9">
        <v>45.999637499999999</v>
      </c>
      <c r="F9">
        <v>1.5791724</v>
      </c>
      <c r="G9">
        <v>48.649386300000003</v>
      </c>
      <c r="H9">
        <v>13.017740999999999</v>
      </c>
      <c r="I9">
        <v>318.62076500000001</v>
      </c>
      <c r="J9">
        <v>3.1583448000000001</v>
      </c>
      <c r="K9">
        <v>321.77910980000001</v>
      </c>
    </row>
    <row r="11" spans="1:11" x14ac:dyDescent="0.25">
      <c r="A11" t="s">
        <v>235</v>
      </c>
    </row>
    <row r="12" spans="1:11" x14ac:dyDescent="0.25">
      <c r="C12" t="s">
        <v>54</v>
      </c>
      <c r="D12" t="s">
        <v>224</v>
      </c>
      <c r="E12" t="s">
        <v>225</v>
      </c>
      <c r="F12" t="s">
        <v>226</v>
      </c>
      <c r="G12" t="s">
        <v>134</v>
      </c>
      <c r="H12" t="s">
        <v>227</v>
      </c>
      <c r="I12" t="s">
        <v>10</v>
      </c>
      <c r="J12" t="s">
        <v>228</v>
      </c>
      <c r="K12" t="s">
        <v>229</v>
      </c>
    </row>
    <row r="13" spans="1:11" x14ac:dyDescent="0.25">
      <c r="A13" t="s">
        <v>230</v>
      </c>
      <c r="B13" t="s">
        <v>231</v>
      </c>
      <c r="C13">
        <v>70.910274999999999</v>
      </c>
      <c r="D13">
        <v>51.957292000000002</v>
      </c>
      <c r="E13">
        <v>28.546569000000002</v>
      </c>
      <c r="F13">
        <v>1.3306235</v>
      </c>
      <c r="G13">
        <v>48.821179000000001</v>
      </c>
      <c r="H13">
        <v>0</v>
      </c>
      <c r="I13">
        <v>201.56593849999999</v>
      </c>
      <c r="J13">
        <v>2.6612469999999999</v>
      </c>
      <c r="K13">
        <v>204.22718549999999</v>
      </c>
    </row>
    <row r="14" spans="1:11" x14ac:dyDescent="0.25">
      <c r="B14" t="s">
        <v>232</v>
      </c>
      <c r="C14">
        <v>1.8763993000000001</v>
      </c>
      <c r="D14">
        <v>7.4991199999999994E-2</v>
      </c>
      <c r="E14">
        <v>3.0184796</v>
      </c>
      <c r="F14">
        <v>1.0201834000000001</v>
      </c>
      <c r="G14">
        <v>0.58581930000000004</v>
      </c>
      <c r="H14">
        <v>5.1790799999999998E-2</v>
      </c>
      <c r="I14">
        <v>6.6276636</v>
      </c>
      <c r="J14">
        <v>2.0403668000000001</v>
      </c>
      <c r="K14">
        <v>8.6680303999999992</v>
      </c>
    </row>
    <row r="15" spans="1:11" x14ac:dyDescent="0.25">
      <c r="B15" t="s">
        <v>233</v>
      </c>
      <c r="C15">
        <v>57.179420999999998</v>
      </c>
      <c r="D15">
        <v>7.3662149000000001</v>
      </c>
      <c r="E15">
        <v>10.201407</v>
      </c>
      <c r="F15">
        <v>0.27936349999999999</v>
      </c>
      <c r="G15">
        <v>0</v>
      </c>
      <c r="H15">
        <v>13.177293000000001</v>
      </c>
      <c r="I15">
        <v>88.203699400000005</v>
      </c>
      <c r="J15">
        <v>0.55872699999999997</v>
      </c>
      <c r="K15">
        <v>88.762426399999995</v>
      </c>
    </row>
    <row r="16" spans="1:11" x14ac:dyDescent="0.25">
      <c r="B16" t="s">
        <v>234</v>
      </c>
      <c r="C16">
        <v>2.930526</v>
      </c>
      <c r="D16">
        <v>0</v>
      </c>
      <c r="E16">
        <v>1.1283666000000001</v>
      </c>
      <c r="F16">
        <v>0.2126458</v>
      </c>
      <c r="G16">
        <v>5.93565E-2</v>
      </c>
      <c r="H16">
        <v>0.53837970000000002</v>
      </c>
      <c r="I16">
        <v>4.8692745999999998</v>
      </c>
      <c r="J16">
        <v>0.42529159999999999</v>
      </c>
      <c r="K16">
        <v>5.2945662000000002</v>
      </c>
    </row>
    <row r="17" spans="1:11" x14ac:dyDescent="0.25">
      <c r="B17" t="s">
        <v>10</v>
      </c>
      <c r="C17">
        <v>132.89662129999999</v>
      </c>
      <c r="D17">
        <v>59.398498099999998</v>
      </c>
      <c r="E17">
        <v>42.8948222</v>
      </c>
      <c r="F17">
        <v>2.8428162000000001</v>
      </c>
      <c r="G17">
        <v>49.466354799999998</v>
      </c>
      <c r="H17">
        <v>13.7674635</v>
      </c>
      <c r="I17">
        <v>301.26657610000001</v>
      </c>
      <c r="J17">
        <v>5.6856324000000003</v>
      </c>
      <c r="K17">
        <v>306.95220849999998</v>
      </c>
    </row>
    <row r="19" spans="1:11" x14ac:dyDescent="0.25">
      <c r="A19" t="s">
        <v>236</v>
      </c>
    </row>
    <row r="20" spans="1:11" x14ac:dyDescent="0.25">
      <c r="C20" t="s">
        <v>54</v>
      </c>
      <c r="D20" t="s">
        <v>224</v>
      </c>
      <c r="E20" t="s">
        <v>225</v>
      </c>
      <c r="F20" t="s">
        <v>226</v>
      </c>
      <c r="G20" t="s">
        <v>134</v>
      </c>
      <c r="H20" t="s">
        <v>227</v>
      </c>
      <c r="I20" t="s">
        <v>10</v>
      </c>
      <c r="J20" t="s">
        <v>228</v>
      </c>
      <c r="K20" t="s">
        <v>229</v>
      </c>
    </row>
    <row r="21" spans="1:11" x14ac:dyDescent="0.25">
      <c r="A21" t="s">
        <v>230</v>
      </c>
      <c r="B21" t="s">
        <v>231</v>
      </c>
      <c r="C21">
        <v>64.233862999999999</v>
      </c>
      <c r="D21">
        <v>38.044361000000002</v>
      </c>
      <c r="E21">
        <v>26.340436</v>
      </c>
      <c r="F21">
        <v>2.6082527</v>
      </c>
      <c r="G21">
        <v>48.557799000000003</v>
      </c>
      <c r="H21">
        <v>0</v>
      </c>
      <c r="I21">
        <v>179.7847117</v>
      </c>
      <c r="J21">
        <v>5.2165054</v>
      </c>
      <c r="K21">
        <v>185.00121709999999</v>
      </c>
    </row>
    <row r="22" spans="1:11" x14ac:dyDescent="0.25">
      <c r="B22" t="s">
        <v>232</v>
      </c>
      <c r="C22">
        <v>2.0694583</v>
      </c>
      <c r="D22">
        <v>7.4991199999999994E-2</v>
      </c>
      <c r="E22">
        <v>3.0582562000000002</v>
      </c>
      <c r="F22">
        <v>1.5053761999999999</v>
      </c>
      <c r="G22">
        <v>0.93088789999999999</v>
      </c>
      <c r="H22">
        <v>0.21171490000000001</v>
      </c>
      <c r="I22">
        <v>7.8506847000000004</v>
      </c>
      <c r="J22">
        <v>3.0107523999999999</v>
      </c>
      <c r="K22">
        <v>10.8614371</v>
      </c>
    </row>
    <row r="23" spans="1:11" x14ac:dyDescent="0.25">
      <c r="B23" t="s">
        <v>233</v>
      </c>
      <c r="C23">
        <v>46.32461</v>
      </c>
      <c r="D23">
        <v>5.0388058999999998</v>
      </c>
      <c r="E23">
        <v>9.3020040000000002</v>
      </c>
      <c r="F23">
        <v>0.40639150000000002</v>
      </c>
      <c r="G23">
        <v>0</v>
      </c>
      <c r="H23">
        <v>17.500266</v>
      </c>
      <c r="I23">
        <v>78.572077399999998</v>
      </c>
      <c r="J23">
        <v>0.81278300000000003</v>
      </c>
      <c r="K23">
        <v>79.384860399999994</v>
      </c>
    </row>
    <row r="24" spans="1:11" x14ac:dyDescent="0.25">
      <c r="B24" t="s">
        <v>234</v>
      </c>
      <c r="C24">
        <v>3.5608468000000002</v>
      </c>
      <c r="D24">
        <v>0</v>
      </c>
      <c r="E24">
        <v>1.3056243000000001</v>
      </c>
      <c r="F24">
        <v>0.26464929999999998</v>
      </c>
      <c r="G24">
        <v>0.27635880000000002</v>
      </c>
      <c r="H24">
        <v>1.0712090999999999</v>
      </c>
      <c r="I24">
        <v>6.4786883</v>
      </c>
      <c r="J24">
        <v>0.52929859999999995</v>
      </c>
      <c r="K24">
        <v>7.0079868999999997</v>
      </c>
    </row>
    <row r="25" spans="1:11" x14ac:dyDescent="0.25">
      <c r="B25" t="s">
        <v>10</v>
      </c>
      <c r="C25">
        <v>116.18877809999999</v>
      </c>
      <c r="D25">
        <v>43.158158100000001</v>
      </c>
      <c r="E25">
        <v>40.006320500000001</v>
      </c>
      <c r="F25">
        <v>4.7846697000000002</v>
      </c>
      <c r="G25">
        <v>49.765045700000002</v>
      </c>
      <c r="H25">
        <v>18.783190000000001</v>
      </c>
      <c r="I25">
        <v>272.68616209999999</v>
      </c>
      <c r="J25">
        <v>9.5693394000000005</v>
      </c>
      <c r="K25">
        <v>282.25550149999998</v>
      </c>
    </row>
    <row r="27" spans="1:11" x14ac:dyDescent="0.25">
      <c r="A27" t="s">
        <v>237</v>
      </c>
    </row>
    <row r="28" spans="1:11" x14ac:dyDescent="0.25">
      <c r="C28" t="s">
        <v>54</v>
      </c>
      <c r="D28" t="s">
        <v>224</v>
      </c>
      <c r="E28" t="s">
        <v>225</v>
      </c>
      <c r="F28" t="s">
        <v>226</v>
      </c>
      <c r="G28" t="s">
        <v>134</v>
      </c>
      <c r="H28" t="s">
        <v>227</v>
      </c>
      <c r="I28" t="s">
        <v>10</v>
      </c>
      <c r="J28" t="s">
        <v>228</v>
      </c>
      <c r="K28" t="s">
        <v>229</v>
      </c>
    </row>
    <row r="29" spans="1:11" x14ac:dyDescent="0.25">
      <c r="A29" t="s">
        <v>230</v>
      </c>
      <c r="B29" t="s">
        <v>231</v>
      </c>
      <c r="C29">
        <v>57.531471000000003</v>
      </c>
      <c r="D29">
        <v>15.686718000000001</v>
      </c>
      <c r="E29">
        <v>26.169868000000001</v>
      </c>
      <c r="F29">
        <v>4.4080085999999996</v>
      </c>
      <c r="G29">
        <v>51.399140000000003</v>
      </c>
      <c r="H29">
        <v>0</v>
      </c>
      <c r="I29">
        <v>155.19520560000001</v>
      </c>
      <c r="J29">
        <v>8.8160171999999992</v>
      </c>
      <c r="K29">
        <v>164.01122280000001</v>
      </c>
    </row>
    <row r="30" spans="1:11" x14ac:dyDescent="0.25">
      <c r="B30" t="s">
        <v>232</v>
      </c>
      <c r="C30">
        <v>2.1909060999999999</v>
      </c>
      <c r="D30">
        <v>7.4991199999999994E-2</v>
      </c>
      <c r="E30">
        <v>3.0938952</v>
      </c>
      <c r="F30">
        <v>1.9729159999999999</v>
      </c>
      <c r="G30">
        <v>1.1406442000000001</v>
      </c>
      <c r="H30">
        <v>0.4212822</v>
      </c>
      <c r="I30">
        <v>8.8946348999999998</v>
      </c>
      <c r="J30">
        <v>3.9458319999999998</v>
      </c>
      <c r="K30">
        <v>12.840466899999999</v>
      </c>
    </row>
    <row r="31" spans="1:11" x14ac:dyDescent="0.25">
      <c r="B31" t="s">
        <v>233</v>
      </c>
      <c r="C31">
        <v>36.724297999999997</v>
      </c>
      <c r="D31">
        <v>2.6175671</v>
      </c>
      <c r="E31">
        <v>8.4114698000000008</v>
      </c>
      <c r="F31">
        <v>0.57285299999999995</v>
      </c>
      <c r="G31">
        <v>0</v>
      </c>
      <c r="H31">
        <v>21.109458</v>
      </c>
      <c r="I31">
        <v>69.435645899999997</v>
      </c>
      <c r="J31">
        <v>1.1457059999999999</v>
      </c>
      <c r="K31">
        <v>70.581351900000001</v>
      </c>
    </row>
    <row r="32" spans="1:11" x14ac:dyDescent="0.25">
      <c r="B32" t="s">
        <v>234</v>
      </c>
      <c r="C32">
        <v>3.7557597999999999</v>
      </c>
      <c r="D32">
        <v>0</v>
      </c>
      <c r="E32">
        <v>1.4353636999999999</v>
      </c>
      <c r="F32">
        <v>0.34315099999999998</v>
      </c>
      <c r="G32">
        <v>0.55239419999999995</v>
      </c>
      <c r="H32">
        <v>1.9032347999999999</v>
      </c>
      <c r="I32">
        <v>7.9899034999999996</v>
      </c>
      <c r="J32">
        <v>0.68630199999999997</v>
      </c>
      <c r="K32">
        <v>8.6762055</v>
      </c>
    </row>
    <row r="33" spans="1:11" x14ac:dyDescent="0.25">
      <c r="B33" t="s">
        <v>10</v>
      </c>
      <c r="C33">
        <v>100.2024349</v>
      </c>
      <c r="D33">
        <v>18.379276300000001</v>
      </c>
      <c r="E33">
        <v>39.110596700000002</v>
      </c>
      <c r="F33">
        <v>7.2969286000000002</v>
      </c>
      <c r="G33">
        <v>53.092178400000002</v>
      </c>
      <c r="H33">
        <v>23.433975</v>
      </c>
      <c r="I33">
        <v>241.5153899</v>
      </c>
      <c r="J33">
        <v>14.5938572</v>
      </c>
      <c r="K33">
        <v>256.1092471</v>
      </c>
    </row>
    <row r="35" spans="1:11" x14ac:dyDescent="0.25">
      <c r="A35" t="s">
        <v>238</v>
      </c>
    </row>
    <row r="36" spans="1:11" x14ac:dyDescent="0.25">
      <c r="C36" t="s">
        <v>54</v>
      </c>
      <c r="D36" t="s">
        <v>224</v>
      </c>
      <c r="E36" t="s">
        <v>225</v>
      </c>
      <c r="F36" t="s">
        <v>226</v>
      </c>
      <c r="G36" t="s">
        <v>134</v>
      </c>
      <c r="H36" t="s">
        <v>227</v>
      </c>
      <c r="I36" t="s">
        <v>10</v>
      </c>
      <c r="J36" t="s">
        <v>228</v>
      </c>
      <c r="K36" t="s">
        <v>229</v>
      </c>
    </row>
    <row r="37" spans="1:11" x14ac:dyDescent="0.25">
      <c r="A37" t="s">
        <v>230</v>
      </c>
      <c r="B37" t="s">
        <v>231</v>
      </c>
      <c r="C37">
        <v>22.234912999999999</v>
      </c>
      <c r="D37">
        <v>1.5291052999999999</v>
      </c>
      <c r="E37">
        <v>24.232078000000001</v>
      </c>
      <c r="F37">
        <v>8.1830636000000005</v>
      </c>
      <c r="G37">
        <v>45.880267000000003</v>
      </c>
      <c r="H37">
        <v>1.3454208999999999</v>
      </c>
      <c r="I37">
        <v>103.4048478</v>
      </c>
      <c r="J37">
        <v>16.366127200000001</v>
      </c>
      <c r="K37">
        <v>119.77097500000001</v>
      </c>
    </row>
    <row r="38" spans="1:11" x14ac:dyDescent="0.25">
      <c r="B38" t="s">
        <v>232</v>
      </c>
      <c r="C38">
        <v>2.3466241999999999</v>
      </c>
      <c r="D38">
        <v>7.4991199999999994E-2</v>
      </c>
      <c r="E38">
        <v>3.1542509999999999</v>
      </c>
      <c r="F38">
        <v>2.7957477000000002</v>
      </c>
      <c r="G38">
        <v>1.4106574999999999</v>
      </c>
      <c r="H38">
        <v>0.83128880000000005</v>
      </c>
      <c r="I38">
        <v>10.613560400000001</v>
      </c>
      <c r="J38">
        <v>5.5914954000000003</v>
      </c>
      <c r="K38">
        <v>16.2050558</v>
      </c>
    </row>
    <row r="39" spans="1:11" x14ac:dyDescent="0.25">
      <c r="B39" t="s">
        <v>233</v>
      </c>
      <c r="C39">
        <v>25.554660999999999</v>
      </c>
      <c r="D39">
        <v>1.3862036</v>
      </c>
      <c r="E39">
        <v>6.4436308999999996</v>
      </c>
      <c r="F39">
        <v>0.93348260000000005</v>
      </c>
      <c r="G39">
        <v>0</v>
      </c>
      <c r="H39">
        <v>18.185676000000001</v>
      </c>
      <c r="I39">
        <v>52.503654099999999</v>
      </c>
      <c r="J39">
        <v>1.8669652000000001</v>
      </c>
      <c r="K39">
        <v>54.370619300000001</v>
      </c>
    </row>
    <row r="40" spans="1:11" x14ac:dyDescent="0.25">
      <c r="B40" t="s">
        <v>234</v>
      </c>
      <c r="C40">
        <v>3.9274494999999998</v>
      </c>
      <c r="D40">
        <v>0</v>
      </c>
      <c r="E40">
        <v>1.5742809</v>
      </c>
      <c r="F40">
        <v>0.54902759999999995</v>
      </c>
      <c r="G40">
        <v>1.0674633</v>
      </c>
      <c r="H40">
        <v>3.7607020000000002</v>
      </c>
      <c r="I40">
        <v>10.8789233</v>
      </c>
      <c r="J40">
        <v>1.0980551999999999</v>
      </c>
      <c r="K40">
        <v>11.9769785</v>
      </c>
    </row>
    <row r="41" spans="1:11" x14ac:dyDescent="0.25">
      <c r="B41" t="s">
        <v>10</v>
      </c>
      <c r="C41">
        <v>54.063647699999997</v>
      </c>
      <c r="D41">
        <v>2.9903000999999998</v>
      </c>
      <c r="E41">
        <v>35.404240799999997</v>
      </c>
      <c r="F41">
        <v>12.4613215</v>
      </c>
      <c r="G41">
        <v>48.358387800000003</v>
      </c>
      <c r="H41">
        <v>24.123087699999999</v>
      </c>
      <c r="I41">
        <v>177.40098560000001</v>
      </c>
      <c r="J41">
        <v>24.922643000000001</v>
      </c>
      <c r="K41">
        <v>202.32362860000001</v>
      </c>
    </row>
    <row r="43" spans="1:11" x14ac:dyDescent="0.25">
      <c r="B43" t="s">
        <v>239</v>
      </c>
    </row>
    <row r="44" spans="1:11" x14ac:dyDescent="0.25">
      <c r="C44" t="s">
        <v>54</v>
      </c>
      <c r="D44" t="s">
        <v>224</v>
      </c>
      <c r="E44" t="s">
        <v>225</v>
      </c>
      <c r="F44" t="s">
        <v>226</v>
      </c>
      <c r="G44" t="s">
        <v>134</v>
      </c>
      <c r="H44" t="s">
        <v>227</v>
      </c>
      <c r="I44" t="s">
        <v>10</v>
      </c>
      <c r="J44" t="s">
        <v>228</v>
      </c>
      <c r="K44" t="s">
        <v>229</v>
      </c>
    </row>
    <row r="45" spans="1:11" x14ac:dyDescent="0.25">
      <c r="A45" t="s">
        <v>230</v>
      </c>
      <c r="B45" t="s">
        <v>231</v>
      </c>
      <c r="C45">
        <v>3.0888198</v>
      </c>
      <c r="D45">
        <v>1.1872600000000001E-2</v>
      </c>
      <c r="E45">
        <v>19.294653</v>
      </c>
      <c r="F45">
        <v>9.7085719000000008</v>
      </c>
      <c r="G45">
        <v>33.971479000000002</v>
      </c>
      <c r="H45">
        <v>1.666364</v>
      </c>
      <c r="I45">
        <v>67.741760299999996</v>
      </c>
      <c r="J45">
        <v>19.417143800000002</v>
      </c>
      <c r="K45">
        <v>87.158904100000001</v>
      </c>
    </row>
    <row r="46" spans="1:11" x14ac:dyDescent="0.25">
      <c r="B46" t="s">
        <v>232</v>
      </c>
      <c r="C46">
        <v>2.4270782</v>
      </c>
      <c r="D46">
        <v>7.4991199999999994E-2</v>
      </c>
      <c r="E46">
        <v>3.1854347000000001</v>
      </c>
      <c r="F46">
        <v>3.2323195</v>
      </c>
      <c r="G46">
        <v>1.4911114999999999</v>
      </c>
      <c r="H46">
        <v>1.0726507000000001</v>
      </c>
      <c r="I46">
        <v>11.4835858</v>
      </c>
      <c r="J46">
        <v>6.464639</v>
      </c>
      <c r="K46">
        <v>17.948224799999998</v>
      </c>
    </row>
    <row r="47" spans="1:11" x14ac:dyDescent="0.25">
      <c r="B47" t="s">
        <v>233</v>
      </c>
      <c r="C47">
        <v>7.6454529999999998</v>
      </c>
      <c r="D47">
        <v>0.26575090000000001</v>
      </c>
      <c r="E47">
        <v>6.5657907</v>
      </c>
      <c r="F47">
        <v>3.0998155999999999</v>
      </c>
      <c r="G47">
        <v>0</v>
      </c>
      <c r="H47">
        <v>13.403691</v>
      </c>
      <c r="I47">
        <v>30.980501199999999</v>
      </c>
      <c r="J47">
        <v>6.1996311999999998</v>
      </c>
      <c r="K47">
        <v>37.180132399999998</v>
      </c>
    </row>
    <row r="48" spans="1:11" x14ac:dyDescent="0.25">
      <c r="B48" t="s">
        <v>234</v>
      </c>
      <c r="C48">
        <v>4.0471668999999997</v>
      </c>
      <c r="D48">
        <v>0</v>
      </c>
      <c r="E48">
        <v>1.6206830000000001</v>
      </c>
      <c r="F48">
        <v>0.73463590000000001</v>
      </c>
      <c r="G48">
        <v>1.4266155</v>
      </c>
      <c r="H48">
        <v>5.0775933999999996</v>
      </c>
      <c r="I48">
        <v>12.906694699999999</v>
      </c>
      <c r="J48">
        <v>1.4692718</v>
      </c>
      <c r="K48">
        <v>14.375966500000001</v>
      </c>
    </row>
    <row r="49" spans="2:11" x14ac:dyDescent="0.25">
      <c r="B49" t="s">
        <v>10</v>
      </c>
      <c r="C49">
        <v>17.2085179</v>
      </c>
      <c r="D49">
        <v>0.3526147</v>
      </c>
      <c r="E49">
        <v>30.666561399999999</v>
      </c>
      <c r="F49">
        <v>16.775342899999998</v>
      </c>
      <c r="G49">
        <v>36.889206000000001</v>
      </c>
      <c r="H49">
        <v>21.220299099999998</v>
      </c>
      <c r="I49">
        <v>123.112542</v>
      </c>
      <c r="J49">
        <v>33.550685799999997</v>
      </c>
      <c r="K49">
        <v>156.66322779999999</v>
      </c>
    </row>
    <row r="50" spans="2:11" x14ac:dyDescent="0.25">
      <c r="C50">
        <v>0.109844014716515</v>
      </c>
      <c r="D50">
        <v>2.2507815327931099E-3</v>
      </c>
      <c r="E50">
        <v>0.19574830565312801</v>
      </c>
      <c r="F50">
        <v>0.107079007215502</v>
      </c>
      <c r="G50">
        <v>0.23546818559804999</v>
      </c>
      <c r="H50">
        <v>0.13545169085300801</v>
      </c>
      <c r="I50">
        <v>0.78584198556899598</v>
      </c>
      <c r="J50">
        <v>0.21415801443100399</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3"/>
  <dimension ref="A1:K42"/>
  <sheetViews>
    <sheetView workbookViewId="0"/>
  </sheetViews>
  <sheetFormatPr baseColWidth="10" defaultColWidth="11.42578125" defaultRowHeight="15" x14ac:dyDescent="0.25"/>
  <sheetData>
    <row r="1" spans="1:11" x14ac:dyDescent="0.25">
      <c r="A1" t="s">
        <v>222</v>
      </c>
    </row>
    <row r="3" spans="1:11" x14ac:dyDescent="0.25">
      <c r="A3" t="s">
        <v>235</v>
      </c>
    </row>
    <row r="4" spans="1:11" x14ac:dyDescent="0.25">
      <c r="C4" t="s">
        <v>54</v>
      </c>
      <c r="D4" t="s">
        <v>224</v>
      </c>
      <c r="E4" t="s">
        <v>225</v>
      </c>
      <c r="F4" t="s">
        <v>226</v>
      </c>
      <c r="G4" t="s">
        <v>134</v>
      </c>
      <c r="H4" t="s">
        <v>227</v>
      </c>
      <c r="I4" t="s">
        <v>10</v>
      </c>
      <c r="J4" t="s">
        <v>228</v>
      </c>
      <c r="K4" t="s">
        <v>229</v>
      </c>
    </row>
    <row r="5" spans="1:11" x14ac:dyDescent="0.25">
      <c r="A5" t="s">
        <v>230</v>
      </c>
      <c r="B5" t="s">
        <v>231</v>
      </c>
      <c r="C5">
        <v>70.910274999999999</v>
      </c>
      <c r="D5">
        <v>51.957292000000002</v>
      </c>
      <c r="E5">
        <v>28.546569000000002</v>
      </c>
      <c r="F5">
        <v>1.3306235</v>
      </c>
      <c r="G5">
        <v>48.821179000000001</v>
      </c>
      <c r="H5">
        <v>0</v>
      </c>
      <c r="I5">
        <v>201.56593849999999</v>
      </c>
      <c r="J5">
        <v>2.6612469999999999</v>
      </c>
      <c r="K5">
        <v>204.22718549999999</v>
      </c>
    </row>
    <row r="6" spans="1:11" x14ac:dyDescent="0.25">
      <c r="B6" t="s">
        <v>232</v>
      </c>
      <c r="C6">
        <v>1.8763993000000001</v>
      </c>
      <c r="D6">
        <v>7.4991199999999994E-2</v>
      </c>
      <c r="E6">
        <v>3.0184796</v>
      </c>
      <c r="F6">
        <v>1.0201834000000001</v>
      </c>
      <c r="G6">
        <v>0.58581930000000004</v>
      </c>
      <c r="H6">
        <v>5.1790799999999998E-2</v>
      </c>
      <c r="I6">
        <v>6.6276636</v>
      </c>
      <c r="J6">
        <v>2.0403668000000001</v>
      </c>
      <c r="K6">
        <v>8.6680303999999992</v>
      </c>
    </row>
    <row r="7" spans="1:11" x14ac:dyDescent="0.25">
      <c r="B7" t="s">
        <v>233</v>
      </c>
      <c r="C7">
        <v>57.179420999999998</v>
      </c>
      <c r="D7">
        <v>7.3662149000000001</v>
      </c>
      <c r="E7">
        <v>10.201407</v>
      </c>
      <c r="F7">
        <v>0.27936349999999999</v>
      </c>
      <c r="G7">
        <v>0</v>
      </c>
      <c r="H7">
        <v>13.177293000000001</v>
      </c>
      <c r="I7">
        <v>88.203699400000005</v>
      </c>
      <c r="J7">
        <v>0.55872699999999997</v>
      </c>
      <c r="K7">
        <v>88.762426399999995</v>
      </c>
    </row>
    <row r="8" spans="1:11" x14ac:dyDescent="0.25">
      <c r="B8" t="s">
        <v>234</v>
      </c>
      <c r="C8">
        <v>2.930526</v>
      </c>
      <c r="D8">
        <v>0</v>
      </c>
      <c r="E8">
        <v>1.1283666000000001</v>
      </c>
      <c r="F8">
        <v>0.2126458</v>
      </c>
      <c r="G8">
        <v>5.93565E-2</v>
      </c>
      <c r="H8">
        <v>0.53837970000000002</v>
      </c>
      <c r="I8">
        <v>4.8692745999999998</v>
      </c>
      <c r="J8">
        <v>0.42529159999999999</v>
      </c>
      <c r="K8">
        <v>5.2945662000000002</v>
      </c>
    </row>
    <row r="9" spans="1:11" x14ac:dyDescent="0.25">
      <c r="B9" t="s">
        <v>10</v>
      </c>
      <c r="C9">
        <v>132.89662129999999</v>
      </c>
      <c r="D9">
        <v>59.398498099999998</v>
      </c>
      <c r="E9">
        <v>42.8948222</v>
      </c>
      <c r="F9">
        <v>2.8428162000000001</v>
      </c>
      <c r="G9">
        <v>49.466354799999998</v>
      </c>
      <c r="H9">
        <v>13.7674635</v>
      </c>
      <c r="I9">
        <v>301.26657610000001</v>
      </c>
      <c r="J9">
        <v>5.6856324000000003</v>
      </c>
      <c r="K9">
        <v>306.95220849999998</v>
      </c>
    </row>
    <row r="11" spans="1:11" x14ac:dyDescent="0.25">
      <c r="A11" t="s">
        <v>236</v>
      </c>
    </row>
    <row r="12" spans="1:11" x14ac:dyDescent="0.25">
      <c r="C12" t="s">
        <v>54</v>
      </c>
      <c r="D12" t="s">
        <v>224</v>
      </c>
      <c r="E12" t="s">
        <v>225</v>
      </c>
      <c r="F12" t="s">
        <v>226</v>
      </c>
      <c r="G12" t="s">
        <v>134</v>
      </c>
      <c r="H12" t="s">
        <v>227</v>
      </c>
      <c r="I12" t="s">
        <v>10</v>
      </c>
      <c r="J12" t="s">
        <v>228</v>
      </c>
      <c r="K12" t="s">
        <v>229</v>
      </c>
    </row>
    <row r="13" spans="1:11" x14ac:dyDescent="0.25">
      <c r="A13" t="s">
        <v>230</v>
      </c>
      <c r="B13" t="s">
        <v>231</v>
      </c>
      <c r="C13">
        <v>64.233862999999999</v>
      </c>
      <c r="D13">
        <v>38.044361000000002</v>
      </c>
      <c r="E13">
        <v>26.340436</v>
      </c>
      <c r="F13">
        <v>2.6082527</v>
      </c>
      <c r="G13">
        <v>48.557799000000003</v>
      </c>
      <c r="H13">
        <v>0</v>
      </c>
      <c r="I13">
        <v>179.7847117</v>
      </c>
      <c r="J13">
        <v>5.2165054</v>
      </c>
      <c r="K13">
        <v>185.00121709999999</v>
      </c>
    </row>
    <row r="14" spans="1:11" x14ac:dyDescent="0.25">
      <c r="B14" t="s">
        <v>232</v>
      </c>
      <c r="C14">
        <v>2.0694583</v>
      </c>
      <c r="D14">
        <v>7.4991199999999994E-2</v>
      </c>
      <c r="E14">
        <v>3.0582562000000002</v>
      </c>
      <c r="F14">
        <v>1.5053761999999999</v>
      </c>
      <c r="G14">
        <v>0.93088789999999999</v>
      </c>
      <c r="H14">
        <v>0.21171490000000001</v>
      </c>
      <c r="I14">
        <v>7.8506847000000004</v>
      </c>
      <c r="J14">
        <v>3.0107523999999999</v>
      </c>
      <c r="K14">
        <v>10.8614371</v>
      </c>
    </row>
    <row r="15" spans="1:11" x14ac:dyDescent="0.25">
      <c r="B15" t="s">
        <v>233</v>
      </c>
      <c r="C15">
        <v>46.32461</v>
      </c>
      <c r="D15">
        <v>5.0388058999999998</v>
      </c>
      <c r="E15">
        <v>9.3020040000000002</v>
      </c>
      <c r="F15">
        <v>0.40639150000000002</v>
      </c>
      <c r="G15">
        <v>0</v>
      </c>
      <c r="H15">
        <v>17.500266</v>
      </c>
      <c r="I15">
        <v>78.572077399999998</v>
      </c>
      <c r="J15">
        <v>0.81278300000000003</v>
      </c>
      <c r="K15">
        <v>79.384860399999994</v>
      </c>
    </row>
    <row r="16" spans="1:11" x14ac:dyDescent="0.25">
      <c r="B16" t="s">
        <v>234</v>
      </c>
      <c r="C16">
        <v>3.5608468000000002</v>
      </c>
      <c r="D16">
        <v>0</v>
      </c>
      <c r="E16">
        <v>1.3056243000000001</v>
      </c>
      <c r="F16">
        <v>0.26464929999999998</v>
      </c>
      <c r="G16">
        <v>0.27635880000000002</v>
      </c>
      <c r="H16">
        <v>1.0712090999999999</v>
      </c>
      <c r="I16">
        <v>6.4786883</v>
      </c>
      <c r="J16">
        <v>0.52929859999999995</v>
      </c>
      <c r="K16">
        <v>7.0079868999999997</v>
      </c>
    </row>
    <row r="17" spans="1:11" x14ac:dyDescent="0.25">
      <c r="B17" t="s">
        <v>10</v>
      </c>
      <c r="C17">
        <v>116.18877809999999</v>
      </c>
      <c r="D17">
        <v>43.158158100000001</v>
      </c>
      <c r="E17">
        <v>40.006320500000001</v>
      </c>
      <c r="F17">
        <v>4.7846697000000002</v>
      </c>
      <c r="G17">
        <v>49.765045700000002</v>
      </c>
      <c r="H17">
        <v>18.783190000000001</v>
      </c>
      <c r="I17">
        <v>272.68616209999999</v>
      </c>
      <c r="J17">
        <v>9.5693394000000005</v>
      </c>
      <c r="K17">
        <v>282.25550149999998</v>
      </c>
    </row>
    <row r="19" spans="1:11" x14ac:dyDescent="0.25">
      <c r="A19" t="s">
        <v>237</v>
      </c>
    </row>
    <row r="20" spans="1:11" x14ac:dyDescent="0.25">
      <c r="C20" t="s">
        <v>54</v>
      </c>
      <c r="D20" t="s">
        <v>224</v>
      </c>
      <c r="E20" t="s">
        <v>225</v>
      </c>
      <c r="F20" t="s">
        <v>226</v>
      </c>
      <c r="G20" t="s">
        <v>134</v>
      </c>
      <c r="H20" t="s">
        <v>227</v>
      </c>
      <c r="I20" t="s">
        <v>10</v>
      </c>
      <c r="J20" t="s">
        <v>228</v>
      </c>
      <c r="K20" t="s">
        <v>229</v>
      </c>
    </row>
    <row r="21" spans="1:11" x14ac:dyDescent="0.25">
      <c r="A21" t="s">
        <v>230</v>
      </c>
      <c r="B21" t="s">
        <v>231</v>
      </c>
      <c r="C21">
        <v>57.531471000000003</v>
      </c>
      <c r="D21">
        <v>15.686718000000001</v>
      </c>
      <c r="E21">
        <v>26.169868000000001</v>
      </c>
      <c r="F21">
        <v>4.4080085999999996</v>
      </c>
      <c r="G21">
        <v>51.399140000000003</v>
      </c>
      <c r="H21">
        <v>0</v>
      </c>
      <c r="I21">
        <v>155.19520560000001</v>
      </c>
      <c r="J21">
        <v>8.8160171999999992</v>
      </c>
      <c r="K21">
        <v>164.01122280000001</v>
      </c>
    </row>
    <row r="22" spans="1:11" x14ac:dyDescent="0.25">
      <c r="B22" t="s">
        <v>232</v>
      </c>
      <c r="C22">
        <v>2.1909060999999999</v>
      </c>
      <c r="D22">
        <v>7.4991199999999994E-2</v>
      </c>
      <c r="E22">
        <v>3.0938952</v>
      </c>
      <c r="F22">
        <v>1.9729159999999999</v>
      </c>
      <c r="G22">
        <v>1.1406442000000001</v>
      </c>
      <c r="H22">
        <v>0.4212822</v>
      </c>
      <c r="I22">
        <v>8.8946348999999998</v>
      </c>
      <c r="J22">
        <v>3.9458319999999998</v>
      </c>
      <c r="K22">
        <v>12.840466899999999</v>
      </c>
    </row>
    <row r="23" spans="1:11" x14ac:dyDescent="0.25">
      <c r="B23" t="s">
        <v>233</v>
      </c>
      <c r="C23">
        <v>36.724297999999997</v>
      </c>
      <c r="D23">
        <v>2.6175671</v>
      </c>
      <c r="E23">
        <v>8.4114698000000008</v>
      </c>
      <c r="F23">
        <v>0.57285299999999995</v>
      </c>
      <c r="G23">
        <v>0</v>
      </c>
      <c r="H23">
        <v>21.109458</v>
      </c>
      <c r="I23">
        <v>69.435645899999997</v>
      </c>
      <c r="J23">
        <v>1.1457059999999999</v>
      </c>
      <c r="K23">
        <v>70.581351900000001</v>
      </c>
    </row>
    <row r="24" spans="1:11" x14ac:dyDescent="0.25">
      <c r="B24" t="s">
        <v>234</v>
      </c>
      <c r="C24">
        <v>3.7557597999999999</v>
      </c>
      <c r="D24">
        <v>0</v>
      </c>
      <c r="E24">
        <v>1.4353636999999999</v>
      </c>
      <c r="F24">
        <v>0.34315099999999998</v>
      </c>
      <c r="G24">
        <v>0.55239419999999995</v>
      </c>
      <c r="H24">
        <v>1.9032347999999999</v>
      </c>
      <c r="I24">
        <v>7.9899034999999996</v>
      </c>
      <c r="J24">
        <v>0.68630199999999997</v>
      </c>
      <c r="K24">
        <v>8.6762055</v>
      </c>
    </row>
    <row r="25" spans="1:11" x14ac:dyDescent="0.25">
      <c r="B25" t="s">
        <v>10</v>
      </c>
      <c r="C25">
        <v>100.2024349</v>
      </c>
      <c r="D25">
        <v>18.379276300000001</v>
      </c>
      <c r="E25">
        <v>39.110596700000002</v>
      </c>
      <c r="F25">
        <v>7.2969286000000002</v>
      </c>
      <c r="G25">
        <v>53.092178400000002</v>
      </c>
      <c r="H25">
        <v>23.433975</v>
      </c>
      <c r="I25">
        <v>241.5153899</v>
      </c>
      <c r="J25">
        <v>14.5938572</v>
      </c>
      <c r="K25">
        <v>256.1092471</v>
      </c>
    </row>
    <row r="27" spans="1:11" x14ac:dyDescent="0.25">
      <c r="A27" t="s">
        <v>238</v>
      </c>
    </row>
    <row r="28" spans="1:11" x14ac:dyDescent="0.25">
      <c r="C28" t="s">
        <v>54</v>
      </c>
      <c r="D28" t="s">
        <v>224</v>
      </c>
      <c r="E28" t="s">
        <v>225</v>
      </c>
      <c r="F28" t="s">
        <v>226</v>
      </c>
      <c r="G28" t="s">
        <v>134</v>
      </c>
      <c r="H28" t="s">
        <v>227</v>
      </c>
      <c r="I28" t="s">
        <v>10</v>
      </c>
      <c r="J28" t="s">
        <v>228</v>
      </c>
      <c r="K28" t="s">
        <v>229</v>
      </c>
    </row>
    <row r="29" spans="1:11" x14ac:dyDescent="0.25">
      <c r="A29" t="s">
        <v>230</v>
      </c>
      <c r="B29" t="s">
        <v>231</v>
      </c>
      <c r="C29">
        <v>22.234912999999999</v>
      </c>
      <c r="D29">
        <v>1.5291052999999999</v>
      </c>
      <c r="E29">
        <v>24.232078000000001</v>
      </c>
      <c r="F29">
        <v>8.1830636000000005</v>
      </c>
      <c r="G29">
        <v>45.880267000000003</v>
      </c>
      <c r="H29">
        <v>1.3454208999999999</v>
      </c>
      <c r="I29">
        <v>103.4048478</v>
      </c>
      <c r="J29">
        <v>16.366127200000001</v>
      </c>
      <c r="K29">
        <v>119.77097500000001</v>
      </c>
    </row>
    <row r="30" spans="1:11" x14ac:dyDescent="0.25">
      <c r="B30" t="s">
        <v>232</v>
      </c>
      <c r="C30">
        <v>2.3466241999999999</v>
      </c>
      <c r="D30">
        <v>7.4991199999999994E-2</v>
      </c>
      <c r="E30">
        <v>3.1542509999999999</v>
      </c>
      <c r="F30">
        <v>2.7957477000000002</v>
      </c>
      <c r="G30">
        <v>1.4106574999999999</v>
      </c>
      <c r="H30">
        <v>0.83128880000000005</v>
      </c>
      <c r="I30">
        <v>10.613560400000001</v>
      </c>
      <c r="J30">
        <v>5.5914954000000003</v>
      </c>
      <c r="K30">
        <v>16.2050558</v>
      </c>
    </row>
    <row r="31" spans="1:11" x14ac:dyDescent="0.25">
      <c r="B31" t="s">
        <v>233</v>
      </c>
      <c r="C31">
        <v>25.554660999999999</v>
      </c>
      <c r="D31">
        <v>1.3862036</v>
      </c>
      <c r="E31">
        <v>6.4436308999999996</v>
      </c>
      <c r="F31">
        <v>0.93348260000000005</v>
      </c>
      <c r="G31">
        <v>0</v>
      </c>
      <c r="H31">
        <v>18.185676000000001</v>
      </c>
      <c r="I31">
        <v>52.503654099999999</v>
      </c>
      <c r="J31">
        <v>1.8669652000000001</v>
      </c>
      <c r="K31">
        <v>54.370619300000001</v>
      </c>
    </row>
    <row r="32" spans="1:11" x14ac:dyDescent="0.25">
      <c r="B32" t="s">
        <v>234</v>
      </c>
      <c r="C32">
        <v>3.9274494999999998</v>
      </c>
      <c r="D32">
        <v>0</v>
      </c>
      <c r="E32">
        <v>1.5742809</v>
      </c>
      <c r="F32">
        <v>0.54902759999999995</v>
      </c>
      <c r="G32">
        <v>1.0674633</v>
      </c>
      <c r="H32">
        <v>3.7607020000000002</v>
      </c>
      <c r="I32">
        <v>10.8789233</v>
      </c>
      <c r="J32">
        <v>1.0980551999999999</v>
      </c>
      <c r="K32">
        <v>11.9769785</v>
      </c>
    </row>
    <row r="33" spans="1:11" x14ac:dyDescent="0.25">
      <c r="B33" t="s">
        <v>10</v>
      </c>
      <c r="C33">
        <v>54.063647699999997</v>
      </c>
      <c r="D33">
        <v>2.9903000999999998</v>
      </c>
      <c r="E33">
        <v>35.404240799999997</v>
      </c>
      <c r="F33">
        <v>12.4613215</v>
      </c>
      <c r="G33">
        <v>48.358387800000003</v>
      </c>
      <c r="H33">
        <v>24.123087699999999</v>
      </c>
      <c r="I33">
        <v>177.40098560000001</v>
      </c>
      <c r="J33">
        <v>24.922643000000001</v>
      </c>
      <c r="K33">
        <v>202.32362860000001</v>
      </c>
    </row>
    <row r="35" spans="1:11" x14ac:dyDescent="0.25">
      <c r="B35" t="s">
        <v>239</v>
      </c>
    </row>
    <row r="36" spans="1:11" x14ac:dyDescent="0.25">
      <c r="C36" t="s">
        <v>54</v>
      </c>
      <c r="D36" t="s">
        <v>224</v>
      </c>
      <c r="E36" t="s">
        <v>225</v>
      </c>
      <c r="F36" t="s">
        <v>226</v>
      </c>
      <c r="G36" t="s">
        <v>134</v>
      </c>
      <c r="H36" t="s">
        <v>227</v>
      </c>
      <c r="I36" t="s">
        <v>10</v>
      </c>
      <c r="J36" t="s">
        <v>228</v>
      </c>
      <c r="K36" t="s">
        <v>229</v>
      </c>
    </row>
    <row r="37" spans="1:11" x14ac:dyDescent="0.25">
      <c r="A37" t="s">
        <v>230</v>
      </c>
      <c r="B37" t="s">
        <v>231</v>
      </c>
      <c r="C37">
        <v>3.0888198</v>
      </c>
      <c r="D37">
        <v>1.1872600000000001E-2</v>
      </c>
      <c r="E37">
        <v>19.294653</v>
      </c>
      <c r="F37">
        <v>9.7085719000000008</v>
      </c>
      <c r="G37">
        <v>33.971479000000002</v>
      </c>
      <c r="H37">
        <v>1.666364</v>
      </c>
      <c r="I37">
        <v>67.741760299999996</v>
      </c>
      <c r="J37">
        <v>19.417143800000002</v>
      </c>
      <c r="K37">
        <v>87.158904100000001</v>
      </c>
    </row>
    <row r="38" spans="1:11" x14ac:dyDescent="0.25">
      <c r="B38" t="s">
        <v>232</v>
      </c>
      <c r="C38">
        <v>2.4270782</v>
      </c>
      <c r="D38">
        <v>7.4991199999999994E-2</v>
      </c>
      <c r="E38">
        <v>3.1854347000000001</v>
      </c>
      <c r="F38">
        <v>3.2323195</v>
      </c>
      <c r="G38">
        <v>1.4911114999999999</v>
      </c>
      <c r="H38">
        <v>1.0726507000000001</v>
      </c>
      <c r="I38">
        <v>11.4835858</v>
      </c>
      <c r="J38">
        <v>6.464639</v>
      </c>
      <c r="K38">
        <v>17.948224799999998</v>
      </c>
    </row>
    <row r="39" spans="1:11" x14ac:dyDescent="0.25">
      <c r="B39" t="s">
        <v>233</v>
      </c>
      <c r="C39">
        <v>7.6454529999999998</v>
      </c>
      <c r="D39">
        <v>0.26575090000000001</v>
      </c>
      <c r="E39">
        <v>6.5657907</v>
      </c>
      <c r="F39">
        <v>3.0998155999999999</v>
      </c>
      <c r="G39">
        <v>0</v>
      </c>
      <c r="H39">
        <v>13.403691</v>
      </c>
      <c r="I39">
        <v>30.980501199999999</v>
      </c>
      <c r="J39">
        <v>6.1996311999999998</v>
      </c>
      <c r="K39">
        <v>37.180132399999998</v>
      </c>
    </row>
    <row r="40" spans="1:11" x14ac:dyDescent="0.25">
      <c r="B40" t="s">
        <v>234</v>
      </c>
      <c r="C40">
        <v>4.0471668999999997</v>
      </c>
      <c r="D40">
        <v>0</v>
      </c>
      <c r="E40">
        <v>1.6206830000000001</v>
      </c>
      <c r="F40">
        <v>0.73463590000000001</v>
      </c>
      <c r="G40">
        <v>1.4266155</v>
      </c>
      <c r="H40">
        <v>5.0775933999999996</v>
      </c>
      <c r="I40">
        <v>12.906694699999999</v>
      </c>
      <c r="J40">
        <v>1.4692718</v>
      </c>
      <c r="K40">
        <v>14.375966500000001</v>
      </c>
    </row>
    <row r="41" spans="1:11" x14ac:dyDescent="0.25">
      <c r="B41" t="s">
        <v>10</v>
      </c>
      <c r="C41">
        <v>17.2085179</v>
      </c>
      <c r="D41">
        <v>0.3526147</v>
      </c>
      <c r="E41">
        <v>30.666561399999999</v>
      </c>
      <c r="F41">
        <v>16.775342899999998</v>
      </c>
      <c r="G41">
        <v>36.889206000000001</v>
      </c>
      <c r="H41">
        <v>21.220299099999998</v>
      </c>
      <c r="I41">
        <v>123.112542</v>
      </c>
      <c r="J41">
        <v>33.550685799999997</v>
      </c>
      <c r="K41">
        <v>156.66322779999999</v>
      </c>
    </row>
    <row r="42" spans="1:11" x14ac:dyDescent="0.25">
      <c r="C42">
        <v>0.109844014716515</v>
      </c>
      <c r="D42">
        <v>2.2507815327931099E-3</v>
      </c>
      <c r="E42">
        <v>0.19574830565312801</v>
      </c>
      <c r="F42">
        <v>0.107079007215502</v>
      </c>
      <c r="G42">
        <v>0.23546818559804999</v>
      </c>
      <c r="H42">
        <v>0.13545169085300801</v>
      </c>
      <c r="I42">
        <v>0.78584198556899598</v>
      </c>
      <c r="J42">
        <v>0.21415801443100399</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4"/>
  <dimension ref="A1:K34"/>
  <sheetViews>
    <sheetView workbookViewId="0"/>
  </sheetViews>
  <sheetFormatPr baseColWidth="10" defaultColWidth="11.42578125" defaultRowHeight="15" x14ac:dyDescent="0.25"/>
  <sheetData>
    <row r="1" spans="1:11" x14ac:dyDescent="0.25">
      <c r="A1" t="s">
        <v>222</v>
      </c>
    </row>
    <row r="3" spans="1:11" x14ac:dyDescent="0.25">
      <c r="A3" t="s">
        <v>236</v>
      </c>
    </row>
    <row r="4" spans="1:11" x14ac:dyDescent="0.25">
      <c r="C4" t="s">
        <v>54</v>
      </c>
      <c r="D4" t="s">
        <v>224</v>
      </c>
      <c r="E4" t="s">
        <v>225</v>
      </c>
      <c r="F4" t="s">
        <v>226</v>
      </c>
      <c r="G4" t="s">
        <v>134</v>
      </c>
      <c r="H4" t="s">
        <v>227</v>
      </c>
      <c r="I4" t="s">
        <v>10</v>
      </c>
      <c r="J4" t="s">
        <v>228</v>
      </c>
      <c r="K4" t="s">
        <v>229</v>
      </c>
    </row>
    <row r="5" spans="1:11" x14ac:dyDescent="0.25">
      <c r="A5" t="s">
        <v>230</v>
      </c>
      <c r="B5" t="s">
        <v>231</v>
      </c>
      <c r="C5">
        <v>64.233862999999999</v>
      </c>
      <c r="D5">
        <v>38.044361000000002</v>
      </c>
      <c r="E5">
        <v>26.340436</v>
      </c>
      <c r="F5">
        <v>2.6082527</v>
      </c>
      <c r="G5">
        <v>48.557799000000003</v>
      </c>
      <c r="H5">
        <v>0</v>
      </c>
      <c r="I5">
        <v>179.7847117</v>
      </c>
      <c r="J5">
        <v>5.2165054</v>
      </c>
      <c r="K5">
        <v>185.00121709999999</v>
      </c>
    </row>
    <row r="6" spans="1:11" x14ac:dyDescent="0.25">
      <c r="B6" t="s">
        <v>232</v>
      </c>
      <c r="C6">
        <v>2.0694583</v>
      </c>
      <c r="D6">
        <v>7.4991199999999994E-2</v>
      </c>
      <c r="E6">
        <v>3.0582562000000002</v>
      </c>
      <c r="F6">
        <v>1.5053761999999999</v>
      </c>
      <c r="G6">
        <v>0.93088789999999999</v>
      </c>
      <c r="H6">
        <v>0.21171490000000001</v>
      </c>
      <c r="I6">
        <v>7.8506847000000004</v>
      </c>
      <c r="J6">
        <v>3.0107523999999999</v>
      </c>
      <c r="K6">
        <v>10.8614371</v>
      </c>
    </row>
    <row r="7" spans="1:11" x14ac:dyDescent="0.25">
      <c r="B7" t="s">
        <v>233</v>
      </c>
      <c r="C7">
        <v>46.32461</v>
      </c>
      <c r="D7">
        <v>5.0388058999999998</v>
      </c>
      <c r="E7">
        <v>9.3020040000000002</v>
      </c>
      <c r="F7">
        <v>0.40639150000000002</v>
      </c>
      <c r="G7">
        <v>0</v>
      </c>
      <c r="H7">
        <v>17.500266</v>
      </c>
      <c r="I7">
        <v>78.572077399999998</v>
      </c>
      <c r="J7">
        <v>0.81278300000000003</v>
      </c>
      <c r="K7">
        <v>79.384860399999994</v>
      </c>
    </row>
    <row r="8" spans="1:11" x14ac:dyDescent="0.25">
      <c r="B8" t="s">
        <v>234</v>
      </c>
      <c r="C8">
        <v>3.5608468000000002</v>
      </c>
      <c r="D8">
        <v>0</v>
      </c>
      <c r="E8">
        <v>1.3056243000000001</v>
      </c>
      <c r="F8">
        <v>0.26464929999999998</v>
      </c>
      <c r="G8">
        <v>0.27635880000000002</v>
      </c>
      <c r="H8">
        <v>1.0712090999999999</v>
      </c>
      <c r="I8">
        <v>6.4786883</v>
      </c>
      <c r="J8">
        <v>0.52929859999999995</v>
      </c>
      <c r="K8">
        <v>7.0079868999999997</v>
      </c>
    </row>
    <row r="9" spans="1:11" x14ac:dyDescent="0.25">
      <c r="B9" t="s">
        <v>10</v>
      </c>
      <c r="C9">
        <v>116.18877809999999</v>
      </c>
      <c r="D9">
        <v>43.158158100000001</v>
      </c>
      <c r="E9">
        <v>40.006320500000001</v>
      </c>
      <c r="F9">
        <v>4.7846697000000002</v>
      </c>
      <c r="G9">
        <v>49.765045700000002</v>
      </c>
      <c r="H9">
        <v>18.783190000000001</v>
      </c>
      <c r="I9">
        <v>272.68616209999999</v>
      </c>
      <c r="J9">
        <v>9.5693394000000005</v>
      </c>
      <c r="K9">
        <v>282.25550149999998</v>
      </c>
    </row>
    <row r="11" spans="1:11" x14ac:dyDescent="0.25">
      <c r="A11" t="s">
        <v>237</v>
      </c>
    </row>
    <row r="12" spans="1:11" x14ac:dyDescent="0.25">
      <c r="C12" t="s">
        <v>54</v>
      </c>
      <c r="D12" t="s">
        <v>224</v>
      </c>
      <c r="E12" t="s">
        <v>225</v>
      </c>
      <c r="F12" t="s">
        <v>226</v>
      </c>
      <c r="G12" t="s">
        <v>134</v>
      </c>
      <c r="H12" t="s">
        <v>227</v>
      </c>
      <c r="I12" t="s">
        <v>10</v>
      </c>
      <c r="J12" t="s">
        <v>228</v>
      </c>
      <c r="K12" t="s">
        <v>229</v>
      </c>
    </row>
    <row r="13" spans="1:11" x14ac:dyDescent="0.25">
      <c r="A13" t="s">
        <v>230</v>
      </c>
      <c r="B13" t="s">
        <v>231</v>
      </c>
      <c r="C13">
        <v>57.531471000000003</v>
      </c>
      <c r="D13">
        <v>15.686718000000001</v>
      </c>
      <c r="E13">
        <v>26.169868000000001</v>
      </c>
      <c r="F13">
        <v>4.4080085999999996</v>
      </c>
      <c r="G13">
        <v>51.399140000000003</v>
      </c>
      <c r="H13">
        <v>0</v>
      </c>
      <c r="I13">
        <v>155.19520560000001</v>
      </c>
      <c r="J13">
        <v>8.8160171999999992</v>
      </c>
      <c r="K13">
        <v>164.01122280000001</v>
      </c>
    </row>
    <row r="14" spans="1:11" x14ac:dyDescent="0.25">
      <c r="B14" t="s">
        <v>232</v>
      </c>
      <c r="C14">
        <v>2.1909060999999999</v>
      </c>
      <c r="D14">
        <v>7.4991199999999994E-2</v>
      </c>
      <c r="E14">
        <v>3.0938952</v>
      </c>
      <c r="F14">
        <v>1.9729159999999999</v>
      </c>
      <c r="G14">
        <v>1.1406442000000001</v>
      </c>
      <c r="H14">
        <v>0.4212822</v>
      </c>
      <c r="I14">
        <v>8.8946348999999998</v>
      </c>
      <c r="J14">
        <v>3.9458319999999998</v>
      </c>
      <c r="K14">
        <v>12.840466899999999</v>
      </c>
    </row>
    <row r="15" spans="1:11" x14ac:dyDescent="0.25">
      <c r="B15" t="s">
        <v>233</v>
      </c>
      <c r="C15">
        <v>36.724297999999997</v>
      </c>
      <c r="D15">
        <v>2.6175671</v>
      </c>
      <c r="E15">
        <v>8.4114698000000008</v>
      </c>
      <c r="F15">
        <v>0.57285299999999995</v>
      </c>
      <c r="G15">
        <v>0</v>
      </c>
      <c r="H15">
        <v>21.109458</v>
      </c>
      <c r="I15">
        <v>69.435645899999997</v>
      </c>
      <c r="J15">
        <v>1.1457059999999999</v>
      </c>
      <c r="K15">
        <v>70.581351900000001</v>
      </c>
    </row>
    <row r="16" spans="1:11" x14ac:dyDescent="0.25">
      <c r="B16" t="s">
        <v>234</v>
      </c>
      <c r="C16">
        <v>3.7557597999999999</v>
      </c>
      <c r="D16">
        <v>0</v>
      </c>
      <c r="E16">
        <v>1.4353636999999999</v>
      </c>
      <c r="F16">
        <v>0.34315099999999998</v>
      </c>
      <c r="G16">
        <v>0.55239419999999995</v>
      </c>
      <c r="H16">
        <v>1.9032347999999999</v>
      </c>
      <c r="I16">
        <v>7.9899034999999996</v>
      </c>
      <c r="J16">
        <v>0.68630199999999997</v>
      </c>
      <c r="K16">
        <v>8.6762055</v>
      </c>
    </row>
    <row r="17" spans="1:11" x14ac:dyDescent="0.25">
      <c r="B17" t="s">
        <v>10</v>
      </c>
      <c r="C17">
        <v>100.2024349</v>
      </c>
      <c r="D17">
        <v>18.379276300000001</v>
      </c>
      <c r="E17">
        <v>39.110596700000002</v>
      </c>
      <c r="F17">
        <v>7.2969286000000002</v>
      </c>
      <c r="G17">
        <v>53.092178400000002</v>
      </c>
      <c r="H17">
        <v>23.433975</v>
      </c>
      <c r="I17">
        <v>241.5153899</v>
      </c>
      <c r="J17">
        <v>14.5938572</v>
      </c>
      <c r="K17">
        <v>256.1092471</v>
      </c>
    </row>
    <row r="19" spans="1:11" x14ac:dyDescent="0.25">
      <c r="A19" t="s">
        <v>238</v>
      </c>
    </row>
    <row r="20" spans="1:11" x14ac:dyDescent="0.25">
      <c r="C20" t="s">
        <v>54</v>
      </c>
      <c r="D20" t="s">
        <v>224</v>
      </c>
      <c r="E20" t="s">
        <v>225</v>
      </c>
      <c r="F20" t="s">
        <v>226</v>
      </c>
      <c r="G20" t="s">
        <v>134</v>
      </c>
      <c r="H20" t="s">
        <v>227</v>
      </c>
      <c r="I20" t="s">
        <v>10</v>
      </c>
      <c r="J20" t="s">
        <v>228</v>
      </c>
      <c r="K20" t="s">
        <v>229</v>
      </c>
    </row>
    <row r="21" spans="1:11" x14ac:dyDescent="0.25">
      <c r="A21" t="s">
        <v>230</v>
      </c>
      <c r="B21" t="s">
        <v>231</v>
      </c>
      <c r="C21">
        <v>22.234912999999999</v>
      </c>
      <c r="D21">
        <v>1.5291052999999999</v>
      </c>
      <c r="E21">
        <v>24.232078000000001</v>
      </c>
      <c r="F21">
        <v>8.1830636000000005</v>
      </c>
      <c r="G21">
        <v>45.880267000000003</v>
      </c>
      <c r="H21">
        <v>1.3454208999999999</v>
      </c>
      <c r="I21">
        <v>103.4048478</v>
      </c>
      <c r="J21">
        <v>16.366127200000001</v>
      </c>
      <c r="K21">
        <v>119.77097500000001</v>
      </c>
    </row>
    <row r="22" spans="1:11" x14ac:dyDescent="0.25">
      <c r="B22" t="s">
        <v>232</v>
      </c>
      <c r="C22">
        <v>2.3466241999999999</v>
      </c>
      <c r="D22">
        <v>7.4991199999999994E-2</v>
      </c>
      <c r="E22">
        <v>3.1542509999999999</v>
      </c>
      <c r="F22">
        <v>2.7957477000000002</v>
      </c>
      <c r="G22">
        <v>1.4106574999999999</v>
      </c>
      <c r="H22">
        <v>0.83128880000000005</v>
      </c>
      <c r="I22">
        <v>10.613560400000001</v>
      </c>
      <c r="J22">
        <v>5.5914954000000003</v>
      </c>
      <c r="K22">
        <v>16.2050558</v>
      </c>
    </row>
    <row r="23" spans="1:11" x14ac:dyDescent="0.25">
      <c r="B23" t="s">
        <v>233</v>
      </c>
      <c r="C23">
        <v>25.554660999999999</v>
      </c>
      <c r="D23">
        <v>1.3862036</v>
      </c>
      <c r="E23">
        <v>6.4436308999999996</v>
      </c>
      <c r="F23">
        <v>0.93348260000000005</v>
      </c>
      <c r="G23">
        <v>0</v>
      </c>
      <c r="H23">
        <v>18.185676000000001</v>
      </c>
      <c r="I23">
        <v>52.503654099999999</v>
      </c>
      <c r="J23">
        <v>1.8669652000000001</v>
      </c>
      <c r="K23">
        <v>54.370619300000001</v>
      </c>
    </row>
    <row r="24" spans="1:11" x14ac:dyDescent="0.25">
      <c r="B24" t="s">
        <v>234</v>
      </c>
      <c r="C24">
        <v>3.9274494999999998</v>
      </c>
      <c r="D24">
        <v>0</v>
      </c>
      <c r="E24">
        <v>1.5742809</v>
      </c>
      <c r="F24">
        <v>0.54902759999999995</v>
      </c>
      <c r="G24">
        <v>1.0674633</v>
      </c>
      <c r="H24">
        <v>3.7607020000000002</v>
      </c>
      <c r="I24">
        <v>10.8789233</v>
      </c>
      <c r="J24">
        <v>1.0980551999999999</v>
      </c>
      <c r="K24">
        <v>11.9769785</v>
      </c>
    </row>
    <row r="25" spans="1:11" x14ac:dyDescent="0.25">
      <c r="B25" t="s">
        <v>10</v>
      </c>
      <c r="C25">
        <v>54.063647699999997</v>
      </c>
      <c r="D25">
        <v>2.9903000999999998</v>
      </c>
      <c r="E25">
        <v>35.404240799999997</v>
      </c>
      <c r="F25">
        <v>12.4613215</v>
      </c>
      <c r="G25">
        <v>48.358387800000003</v>
      </c>
      <c r="H25">
        <v>24.123087699999999</v>
      </c>
      <c r="I25">
        <v>177.40098560000001</v>
      </c>
      <c r="J25">
        <v>24.922643000000001</v>
      </c>
      <c r="K25">
        <v>202.32362860000001</v>
      </c>
    </row>
    <row r="27" spans="1:11" x14ac:dyDescent="0.25">
      <c r="B27" t="s">
        <v>239</v>
      </c>
    </row>
    <row r="28" spans="1:11" x14ac:dyDescent="0.25">
      <c r="C28" t="s">
        <v>54</v>
      </c>
      <c r="D28" t="s">
        <v>224</v>
      </c>
      <c r="E28" t="s">
        <v>225</v>
      </c>
      <c r="F28" t="s">
        <v>226</v>
      </c>
      <c r="G28" t="s">
        <v>134</v>
      </c>
      <c r="H28" t="s">
        <v>227</v>
      </c>
      <c r="I28" t="s">
        <v>10</v>
      </c>
      <c r="J28" t="s">
        <v>228</v>
      </c>
      <c r="K28" t="s">
        <v>229</v>
      </c>
    </row>
    <row r="29" spans="1:11" x14ac:dyDescent="0.25">
      <c r="A29" t="s">
        <v>230</v>
      </c>
      <c r="B29" t="s">
        <v>231</v>
      </c>
      <c r="C29">
        <v>3.0888198</v>
      </c>
      <c r="D29">
        <v>1.1872600000000001E-2</v>
      </c>
      <c r="E29">
        <v>19.294653</v>
      </c>
      <c r="F29">
        <v>9.7085719000000008</v>
      </c>
      <c r="G29">
        <v>33.971479000000002</v>
      </c>
      <c r="H29">
        <v>1.666364</v>
      </c>
      <c r="I29">
        <v>67.741760299999996</v>
      </c>
      <c r="J29">
        <v>19.417143800000002</v>
      </c>
      <c r="K29">
        <v>87.158904100000001</v>
      </c>
    </row>
    <row r="30" spans="1:11" x14ac:dyDescent="0.25">
      <c r="B30" t="s">
        <v>232</v>
      </c>
      <c r="C30">
        <v>2.4270782</v>
      </c>
      <c r="D30">
        <v>7.4991199999999994E-2</v>
      </c>
      <c r="E30">
        <v>3.1854347000000001</v>
      </c>
      <c r="F30">
        <v>3.2323195</v>
      </c>
      <c r="G30">
        <v>1.4911114999999999</v>
      </c>
      <c r="H30">
        <v>1.0726507000000001</v>
      </c>
      <c r="I30">
        <v>11.4835858</v>
      </c>
      <c r="J30">
        <v>6.464639</v>
      </c>
      <c r="K30">
        <v>17.948224799999998</v>
      </c>
    </row>
    <row r="31" spans="1:11" x14ac:dyDescent="0.25">
      <c r="B31" t="s">
        <v>233</v>
      </c>
      <c r="C31">
        <v>7.6454529999999998</v>
      </c>
      <c r="D31">
        <v>0.26575090000000001</v>
      </c>
      <c r="E31">
        <v>6.5657907</v>
      </c>
      <c r="F31">
        <v>3.0998155999999999</v>
      </c>
      <c r="G31">
        <v>0</v>
      </c>
      <c r="H31">
        <v>13.403691</v>
      </c>
      <c r="I31">
        <v>30.980501199999999</v>
      </c>
      <c r="J31">
        <v>6.1996311999999998</v>
      </c>
      <c r="K31">
        <v>37.180132399999998</v>
      </c>
    </row>
    <row r="32" spans="1:11" x14ac:dyDescent="0.25">
      <c r="B32" t="s">
        <v>234</v>
      </c>
      <c r="C32">
        <v>4.0471668999999997</v>
      </c>
      <c r="D32">
        <v>0</v>
      </c>
      <c r="E32">
        <v>1.6206830000000001</v>
      </c>
      <c r="F32">
        <v>0.73463590000000001</v>
      </c>
      <c r="G32">
        <v>1.4266155</v>
      </c>
      <c r="H32">
        <v>5.0775933999999996</v>
      </c>
      <c r="I32">
        <v>12.906694699999999</v>
      </c>
      <c r="J32">
        <v>1.4692718</v>
      </c>
      <c r="K32">
        <v>14.375966500000001</v>
      </c>
    </row>
    <row r="33" spans="2:11" x14ac:dyDescent="0.25">
      <c r="B33" t="s">
        <v>10</v>
      </c>
      <c r="C33">
        <v>17.2085179</v>
      </c>
      <c r="D33">
        <v>0.3526147</v>
      </c>
      <c r="E33">
        <v>30.666561399999999</v>
      </c>
      <c r="F33">
        <v>16.775342899999998</v>
      </c>
      <c r="G33">
        <v>36.889206000000001</v>
      </c>
      <c r="H33">
        <v>21.220299099999998</v>
      </c>
      <c r="I33">
        <v>123.112542</v>
      </c>
      <c r="J33">
        <v>33.550685799999997</v>
      </c>
      <c r="K33">
        <v>156.66322779999999</v>
      </c>
    </row>
    <row r="34" spans="2:11" x14ac:dyDescent="0.25">
      <c r="C34">
        <v>0.109844014716515</v>
      </c>
      <c r="D34">
        <v>2.2507815327931099E-3</v>
      </c>
      <c r="E34">
        <v>0.19574830565312801</v>
      </c>
      <c r="F34">
        <v>0.107079007215502</v>
      </c>
      <c r="G34">
        <v>0.23546818559804999</v>
      </c>
      <c r="H34">
        <v>0.13545169085300801</v>
      </c>
      <c r="I34">
        <v>0.78584198556899598</v>
      </c>
      <c r="J34">
        <v>0.21415801443100399</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Feuil25"/>
  <dimension ref="A1:K26"/>
  <sheetViews>
    <sheetView workbookViewId="0"/>
  </sheetViews>
  <sheetFormatPr baseColWidth="10" defaultColWidth="11.42578125" defaultRowHeight="15" x14ac:dyDescent="0.25"/>
  <sheetData>
    <row r="1" spans="1:11" x14ac:dyDescent="0.25">
      <c r="A1" t="s">
        <v>222</v>
      </c>
    </row>
    <row r="3" spans="1:11" x14ac:dyDescent="0.25">
      <c r="A3" t="s">
        <v>237</v>
      </c>
    </row>
    <row r="4" spans="1:11" x14ac:dyDescent="0.25">
      <c r="C4" t="s">
        <v>54</v>
      </c>
      <c r="D4" t="s">
        <v>224</v>
      </c>
      <c r="E4" t="s">
        <v>225</v>
      </c>
      <c r="F4" t="s">
        <v>226</v>
      </c>
      <c r="G4" t="s">
        <v>134</v>
      </c>
      <c r="H4" t="s">
        <v>227</v>
      </c>
      <c r="I4" t="s">
        <v>10</v>
      </c>
      <c r="J4" t="s">
        <v>228</v>
      </c>
      <c r="K4" t="s">
        <v>229</v>
      </c>
    </row>
    <row r="5" spans="1:11" x14ac:dyDescent="0.25">
      <c r="A5" t="s">
        <v>230</v>
      </c>
      <c r="B5" t="s">
        <v>231</v>
      </c>
      <c r="C5">
        <v>57.531471000000003</v>
      </c>
      <c r="D5">
        <v>15.686718000000001</v>
      </c>
      <c r="E5">
        <v>26.169868000000001</v>
      </c>
      <c r="F5">
        <v>4.4080085999999996</v>
      </c>
      <c r="G5">
        <v>51.399140000000003</v>
      </c>
      <c r="H5">
        <v>0</v>
      </c>
      <c r="I5">
        <v>155.19520560000001</v>
      </c>
      <c r="J5">
        <v>8.8160171999999992</v>
      </c>
      <c r="K5">
        <v>164.01122280000001</v>
      </c>
    </row>
    <row r="6" spans="1:11" x14ac:dyDescent="0.25">
      <c r="B6" t="s">
        <v>232</v>
      </c>
      <c r="C6">
        <v>2.1909060999999999</v>
      </c>
      <c r="D6">
        <v>7.4991199999999994E-2</v>
      </c>
      <c r="E6">
        <v>3.0938952</v>
      </c>
      <c r="F6">
        <v>1.9729159999999999</v>
      </c>
      <c r="G6">
        <v>1.1406442000000001</v>
      </c>
      <c r="H6">
        <v>0.4212822</v>
      </c>
      <c r="I6">
        <v>8.8946348999999998</v>
      </c>
      <c r="J6">
        <v>3.9458319999999998</v>
      </c>
      <c r="K6">
        <v>12.840466899999999</v>
      </c>
    </row>
    <row r="7" spans="1:11" x14ac:dyDescent="0.25">
      <c r="B7" t="s">
        <v>233</v>
      </c>
      <c r="C7">
        <v>36.724297999999997</v>
      </c>
      <c r="D7">
        <v>2.6175671</v>
      </c>
      <c r="E7">
        <v>8.4114698000000008</v>
      </c>
      <c r="F7">
        <v>0.57285299999999995</v>
      </c>
      <c r="G7">
        <v>0</v>
      </c>
      <c r="H7">
        <v>21.109458</v>
      </c>
      <c r="I7">
        <v>69.435645899999997</v>
      </c>
      <c r="J7">
        <v>1.1457059999999999</v>
      </c>
      <c r="K7">
        <v>70.581351900000001</v>
      </c>
    </row>
    <row r="8" spans="1:11" x14ac:dyDescent="0.25">
      <c r="B8" t="s">
        <v>234</v>
      </c>
      <c r="C8">
        <v>3.7557597999999999</v>
      </c>
      <c r="D8">
        <v>0</v>
      </c>
      <c r="E8">
        <v>1.4353636999999999</v>
      </c>
      <c r="F8">
        <v>0.34315099999999998</v>
      </c>
      <c r="G8">
        <v>0.55239419999999995</v>
      </c>
      <c r="H8">
        <v>1.9032347999999999</v>
      </c>
      <c r="I8">
        <v>7.9899034999999996</v>
      </c>
      <c r="J8">
        <v>0.68630199999999997</v>
      </c>
      <c r="K8">
        <v>8.6762055</v>
      </c>
    </row>
    <row r="9" spans="1:11" x14ac:dyDescent="0.25">
      <c r="B9" t="s">
        <v>10</v>
      </c>
      <c r="C9">
        <v>100.2024349</v>
      </c>
      <c r="D9">
        <v>18.379276300000001</v>
      </c>
      <c r="E9">
        <v>39.110596700000002</v>
      </c>
      <c r="F9">
        <v>7.2969286000000002</v>
      </c>
      <c r="G9">
        <v>53.092178400000002</v>
      </c>
      <c r="H9">
        <v>23.433975</v>
      </c>
      <c r="I9">
        <v>241.5153899</v>
      </c>
      <c r="J9">
        <v>14.5938572</v>
      </c>
      <c r="K9">
        <v>256.1092471</v>
      </c>
    </row>
    <row r="11" spans="1:11" x14ac:dyDescent="0.25">
      <c r="A11" t="s">
        <v>238</v>
      </c>
    </row>
    <row r="12" spans="1:11" x14ac:dyDescent="0.25">
      <c r="C12" t="s">
        <v>54</v>
      </c>
      <c r="D12" t="s">
        <v>224</v>
      </c>
      <c r="E12" t="s">
        <v>225</v>
      </c>
      <c r="F12" t="s">
        <v>226</v>
      </c>
      <c r="G12" t="s">
        <v>134</v>
      </c>
      <c r="H12" t="s">
        <v>227</v>
      </c>
      <c r="I12" t="s">
        <v>10</v>
      </c>
      <c r="J12" t="s">
        <v>228</v>
      </c>
      <c r="K12" t="s">
        <v>229</v>
      </c>
    </row>
    <row r="13" spans="1:11" x14ac:dyDescent="0.25">
      <c r="A13" t="s">
        <v>230</v>
      </c>
      <c r="B13" t="s">
        <v>231</v>
      </c>
      <c r="C13">
        <v>22.234912999999999</v>
      </c>
      <c r="D13">
        <v>1.5291052999999999</v>
      </c>
      <c r="E13">
        <v>24.232078000000001</v>
      </c>
      <c r="F13">
        <v>8.1830636000000005</v>
      </c>
      <c r="G13">
        <v>45.880267000000003</v>
      </c>
      <c r="H13">
        <v>1.3454208999999999</v>
      </c>
      <c r="I13">
        <v>103.4048478</v>
      </c>
      <c r="J13">
        <v>16.366127200000001</v>
      </c>
      <c r="K13">
        <v>119.77097500000001</v>
      </c>
    </row>
    <row r="14" spans="1:11" x14ac:dyDescent="0.25">
      <c r="B14" t="s">
        <v>232</v>
      </c>
      <c r="C14">
        <v>2.3466241999999999</v>
      </c>
      <c r="D14">
        <v>7.4991199999999994E-2</v>
      </c>
      <c r="E14">
        <v>3.1542509999999999</v>
      </c>
      <c r="F14">
        <v>2.7957477000000002</v>
      </c>
      <c r="G14">
        <v>1.4106574999999999</v>
      </c>
      <c r="H14">
        <v>0.83128880000000005</v>
      </c>
      <c r="I14">
        <v>10.613560400000001</v>
      </c>
      <c r="J14">
        <v>5.5914954000000003</v>
      </c>
      <c r="K14">
        <v>16.2050558</v>
      </c>
    </row>
    <row r="15" spans="1:11" x14ac:dyDescent="0.25">
      <c r="B15" t="s">
        <v>233</v>
      </c>
      <c r="C15">
        <v>25.554660999999999</v>
      </c>
      <c r="D15">
        <v>1.3862036</v>
      </c>
      <c r="E15">
        <v>6.4436308999999996</v>
      </c>
      <c r="F15">
        <v>0.93348260000000005</v>
      </c>
      <c r="G15">
        <v>0</v>
      </c>
      <c r="H15">
        <v>18.185676000000001</v>
      </c>
      <c r="I15">
        <v>52.503654099999999</v>
      </c>
      <c r="J15">
        <v>1.8669652000000001</v>
      </c>
      <c r="K15">
        <v>54.370619300000001</v>
      </c>
    </row>
    <row r="16" spans="1:11" x14ac:dyDescent="0.25">
      <c r="B16" t="s">
        <v>234</v>
      </c>
      <c r="C16">
        <v>3.9274494999999998</v>
      </c>
      <c r="D16">
        <v>0</v>
      </c>
      <c r="E16">
        <v>1.5742809</v>
      </c>
      <c r="F16">
        <v>0.54902759999999995</v>
      </c>
      <c r="G16">
        <v>1.0674633</v>
      </c>
      <c r="H16">
        <v>3.7607020000000002</v>
      </c>
      <c r="I16">
        <v>10.8789233</v>
      </c>
      <c r="J16">
        <v>1.0980551999999999</v>
      </c>
      <c r="K16">
        <v>11.9769785</v>
      </c>
    </row>
    <row r="17" spans="1:11" x14ac:dyDescent="0.25">
      <c r="B17" t="s">
        <v>10</v>
      </c>
      <c r="C17">
        <v>54.063647699999997</v>
      </c>
      <c r="D17">
        <v>2.9903000999999998</v>
      </c>
      <c r="E17">
        <v>35.404240799999997</v>
      </c>
      <c r="F17">
        <v>12.4613215</v>
      </c>
      <c r="G17">
        <v>48.358387800000003</v>
      </c>
      <c r="H17">
        <v>24.123087699999999</v>
      </c>
      <c r="I17">
        <v>177.40098560000001</v>
      </c>
      <c r="J17">
        <v>24.922643000000001</v>
      </c>
      <c r="K17">
        <v>202.32362860000001</v>
      </c>
    </row>
    <row r="19" spans="1:11" x14ac:dyDescent="0.25">
      <c r="B19" t="s">
        <v>239</v>
      </c>
    </row>
    <row r="20" spans="1:11" x14ac:dyDescent="0.25">
      <c r="C20" t="s">
        <v>54</v>
      </c>
      <c r="D20" t="s">
        <v>224</v>
      </c>
      <c r="E20" t="s">
        <v>225</v>
      </c>
      <c r="F20" t="s">
        <v>226</v>
      </c>
      <c r="G20" t="s">
        <v>134</v>
      </c>
      <c r="H20" t="s">
        <v>227</v>
      </c>
      <c r="I20" t="s">
        <v>10</v>
      </c>
      <c r="J20" t="s">
        <v>228</v>
      </c>
      <c r="K20" t="s">
        <v>229</v>
      </c>
    </row>
    <row r="21" spans="1:11" x14ac:dyDescent="0.25">
      <c r="A21" t="s">
        <v>230</v>
      </c>
      <c r="B21" t="s">
        <v>231</v>
      </c>
      <c r="C21">
        <v>3.0888198</v>
      </c>
      <c r="D21">
        <v>1.1872600000000001E-2</v>
      </c>
      <c r="E21">
        <v>19.294653</v>
      </c>
      <c r="F21">
        <v>9.7085719000000008</v>
      </c>
      <c r="G21">
        <v>33.971479000000002</v>
      </c>
      <c r="H21">
        <v>1.666364</v>
      </c>
      <c r="I21">
        <v>67.741760299999996</v>
      </c>
      <c r="J21">
        <v>19.417143800000002</v>
      </c>
      <c r="K21">
        <v>87.158904100000001</v>
      </c>
    </row>
    <row r="22" spans="1:11" x14ac:dyDescent="0.25">
      <c r="B22" t="s">
        <v>232</v>
      </c>
      <c r="C22">
        <v>2.4270782</v>
      </c>
      <c r="D22">
        <v>7.4991199999999994E-2</v>
      </c>
      <c r="E22">
        <v>3.1854347000000001</v>
      </c>
      <c r="F22">
        <v>3.2323195</v>
      </c>
      <c r="G22">
        <v>1.4911114999999999</v>
      </c>
      <c r="H22">
        <v>1.0726507000000001</v>
      </c>
      <c r="I22">
        <v>11.4835858</v>
      </c>
      <c r="J22">
        <v>6.464639</v>
      </c>
      <c r="K22">
        <v>17.948224799999998</v>
      </c>
    </row>
    <row r="23" spans="1:11" x14ac:dyDescent="0.25">
      <c r="B23" t="s">
        <v>233</v>
      </c>
      <c r="C23">
        <v>7.6454529999999998</v>
      </c>
      <c r="D23">
        <v>0.26575090000000001</v>
      </c>
      <c r="E23">
        <v>6.5657907</v>
      </c>
      <c r="F23">
        <v>3.0998155999999999</v>
      </c>
      <c r="G23">
        <v>0</v>
      </c>
      <c r="H23">
        <v>13.403691</v>
      </c>
      <c r="I23">
        <v>30.980501199999999</v>
      </c>
      <c r="J23">
        <v>6.1996311999999998</v>
      </c>
      <c r="K23">
        <v>37.180132399999998</v>
      </c>
    </row>
    <row r="24" spans="1:11" x14ac:dyDescent="0.25">
      <c r="B24" t="s">
        <v>234</v>
      </c>
      <c r="C24">
        <v>4.0471668999999997</v>
      </c>
      <c r="D24">
        <v>0</v>
      </c>
      <c r="E24">
        <v>1.6206830000000001</v>
      </c>
      <c r="F24">
        <v>0.73463590000000001</v>
      </c>
      <c r="G24">
        <v>1.4266155</v>
      </c>
      <c r="H24">
        <v>5.0775933999999996</v>
      </c>
      <c r="I24">
        <v>12.906694699999999</v>
      </c>
      <c r="J24">
        <v>1.4692718</v>
      </c>
      <c r="K24">
        <v>14.375966500000001</v>
      </c>
    </row>
    <row r="25" spans="1:11" x14ac:dyDescent="0.25">
      <c r="B25" t="s">
        <v>10</v>
      </c>
      <c r="C25">
        <v>17.2085179</v>
      </c>
      <c r="D25">
        <v>0.3526147</v>
      </c>
      <c r="E25">
        <v>30.666561399999999</v>
      </c>
      <c r="F25">
        <v>16.775342899999998</v>
      </c>
      <c r="G25">
        <v>36.889206000000001</v>
      </c>
      <c r="H25">
        <v>21.220299099999998</v>
      </c>
      <c r="I25">
        <v>123.112542</v>
      </c>
      <c r="J25">
        <v>33.550685799999997</v>
      </c>
      <c r="K25">
        <v>156.66322779999999</v>
      </c>
    </row>
    <row r="26" spans="1:11" x14ac:dyDescent="0.25">
      <c r="C26">
        <v>0.109844014716515</v>
      </c>
      <c r="D26">
        <v>2.2507815327931099E-3</v>
      </c>
      <c r="E26">
        <v>0.19574830565312801</v>
      </c>
      <c r="F26">
        <v>0.107079007215502</v>
      </c>
      <c r="G26">
        <v>0.23546818559804999</v>
      </c>
      <c r="H26">
        <v>0.13545169085300801</v>
      </c>
      <c r="I26">
        <v>0.78584198556899598</v>
      </c>
      <c r="J26">
        <v>0.21415801443100399</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Feuil26"/>
  <dimension ref="A1:K10"/>
  <sheetViews>
    <sheetView workbookViewId="0"/>
  </sheetViews>
  <sheetFormatPr baseColWidth="10" defaultColWidth="11.42578125" defaultRowHeight="15" x14ac:dyDescent="0.25"/>
  <sheetData>
    <row r="1" spans="1:11" x14ac:dyDescent="0.25">
      <c r="A1" t="s">
        <v>222</v>
      </c>
    </row>
    <row r="3" spans="1:11" x14ac:dyDescent="0.25">
      <c r="B3" t="s">
        <v>239</v>
      </c>
    </row>
    <row r="4" spans="1:11" x14ac:dyDescent="0.25">
      <c r="C4" t="s">
        <v>54</v>
      </c>
      <c r="D4" t="s">
        <v>224</v>
      </c>
      <c r="E4" t="s">
        <v>225</v>
      </c>
      <c r="F4" t="s">
        <v>226</v>
      </c>
      <c r="G4" t="s">
        <v>134</v>
      </c>
      <c r="H4" t="s">
        <v>227</v>
      </c>
      <c r="I4" t="s">
        <v>10</v>
      </c>
      <c r="J4" t="s">
        <v>228</v>
      </c>
      <c r="K4" t="s">
        <v>229</v>
      </c>
    </row>
    <row r="5" spans="1:11" x14ac:dyDescent="0.25">
      <c r="A5" t="s">
        <v>230</v>
      </c>
      <c r="B5" t="s">
        <v>231</v>
      </c>
      <c r="C5">
        <v>3.0888198</v>
      </c>
      <c r="D5">
        <v>1.1872600000000001E-2</v>
      </c>
      <c r="E5">
        <v>19.294653</v>
      </c>
      <c r="F5">
        <v>9.7085719000000008</v>
      </c>
      <c r="G5">
        <v>33.971479000000002</v>
      </c>
      <c r="H5">
        <v>1.666364</v>
      </c>
      <c r="I5">
        <v>67.741760299999996</v>
      </c>
      <c r="J5">
        <v>19.417143800000002</v>
      </c>
      <c r="K5">
        <v>87.158904100000001</v>
      </c>
    </row>
    <row r="6" spans="1:11" x14ac:dyDescent="0.25">
      <c r="B6" t="s">
        <v>232</v>
      </c>
      <c r="C6">
        <v>2.4270782</v>
      </c>
      <c r="D6">
        <v>7.4991199999999994E-2</v>
      </c>
      <c r="E6">
        <v>3.1854347000000001</v>
      </c>
      <c r="F6">
        <v>3.2323195</v>
      </c>
      <c r="G6">
        <v>1.4911114999999999</v>
      </c>
      <c r="H6">
        <v>1.0726507000000001</v>
      </c>
      <c r="I6">
        <v>11.4835858</v>
      </c>
      <c r="J6">
        <v>6.464639</v>
      </c>
      <c r="K6">
        <v>17.948224799999998</v>
      </c>
    </row>
    <row r="7" spans="1:11" x14ac:dyDescent="0.25">
      <c r="B7" t="s">
        <v>233</v>
      </c>
      <c r="C7">
        <v>7.6454529999999998</v>
      </c>
      <c r="D7">
        <v>0.26575090000000001</v>
      </c>
      <c r="E7">
        <v>6.5657907</v>
      </c>
      <c r="F7">
        <v>3.0998155999999999</v>
      </c>
      <c r="G7">
        <v>0</v>
      </c>
      <c r="H7">
        <v>13.403691</v>
      </c>
      <c r="I7">
        <v>30.980501199999999</v>
      </c>
      <c r="J7">
        <v>6.1996311999999998</v>
      </c>
      <c r="K7">
        <v>37.180132399999998</v>
      </c>
    </row>
    <row r="8" spans="1:11" x14ac:dyDescent="0.25">
      <c r="B8" t="s">
        <v>234</v>
      </c>
      <c r="C8">
        <v>4.0471668999999997</v>
      </c>
      <c r="D8">
        <v>0</v>
      </c>
      <c r="E8">
        <v>1.6206830000000001</v>
      </c>
      <c r="F8">
        <v>0.73463590000000001</v>
      </c>
      <c r="G8">
        <v>1.4266155</v>
      </c>
      <c r="H8">
        <v>5.0775933999999996</v>
      </c>
      <c r="I8">
        <v>12.906694699999999</v>
      </c>
      <c r="J8">
        <v>1.4692718</v>
      </c>
      <c r="K8">
        <v>14.375966500000001</v>
      </c>
    </row>
    <row r="9" spans="1:11" x14ac:dyDescent="0.25">
      <c r="B9" t="s">
        <v>10</v>
      </c>
      <c r="C9">
        <v>17.2085179</v>
      </c>
      <c r="D9">
        <v>0.3526147</v>
      </c>
      <c r="E9">
        <v>30.666561399999999</v>
      </c>
      <c r="F9">
        <v>16.775342899999998</v>
      </c>
      <c r="G9">
        <v>36.889206000000001</v>
      </c>
      <c r="H9">
        <v>21.220299099999998</v>
      </c>
      <c r="I9">
        <v>123.112542</v>
      </c>
      <c r="J9">
        <v>33.550685799999997</v>
      </c>
      <c r="K9">
        <v>156.66322779999999</v>
      </c>
    </row>
    <row r="10" spans="1:11" x14ac:dyDescent="0.25">
      <c r="C10">
        <v>0.109844014716515</v>
      </c>
      <c r="D10">
        <v>2.2507815327931099E-3</v>
      </c>
      <c r="E10">
        <v>0.19574830565312801</v>
      </c>
      <c r="F10">
        <v>0.107079007215502</v>
      </c>
      <c r="G10">
        <v>0.23546818559804999</v>
      </c>
      <c r="H10">
        <v>0.13545169085300801</v>
      </c>
      <c r="I10">
        <v>0.78584198556899598</v>
      </c>
      <c r="J10">
        <v>0.21415801443100399</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Feuil27"/>
  <dimension ref="A1:G35"/>
  <sheetViews>
    <sheetView workbookViewId="0"/>
  </sheetViews>
  <sheetFormatPr baseColWidth="10" defaultRowHeight="15" x14ac:dyDescent="0.25"/>
  <sheetData>
    <row r="1" spans="1:7" x14ac:dyDescent="0.25">
      <c r="A1" t="s">
        <v>240</v>
      </c>
    </row>
    <row r="3" spans="1:7" x14ac:dyDescent="0.25">
      <c r="A3" t="s">
        <v>212</v>
      </c>
    </row>
    <row r="4" spans="1:7" x14ac:dyDescent="0.25">
      <c r="A4" t="s">
        <v>128</v>
      </c>
      <c r="B4">
        <v>2015</v>
      </c>
      <c r="C4">
        <v>2020</v>
      </c>
      <c r="D4">
        <v>2025</v>
      </c>
      <c r="E4">
        <v>2030</v>
      </c>
      <c r="F4">
        <v>2040</v>
      </c>
      <c r="G4">
        <v>2050</v>
      </c>
    </row>
    <row r="5" spans="1:7" x14ac:dyDescent="0.25">
      <c r="A5" t="s">
        <v>104</v>
      </c>
      <c r="B5">
        <v>25.308019668171202</v>
      </c>
      <c r="C5">
        <v>24.344010698547201</v>
      </c>
      <c r="D5">
        <v>22.530538802537901</v>
      </c>
      <c r="E5">
        <v>16.5347505482708</v>
      </c>
      <c r="F5">
        <v>13.312344444513601</v>
      </c>
      <c r="G5">
        <v>2.1146503112217898</v>
      </c>
    </row>
    <row r="6" spans="1:7" x14ac:dyDescent="0.25">
      <c r="A6" t="s">
        <v>54</v>
      </c>
      <c r="B6">
        <v>18.981014751128399</v>
      </c>
      <c r="C6">
        <v>16.9677157901945</v>
      </c>
      <c r="D6">
        <v>14.034981027112799</v>
      </c>
      <c r="E6">
        <v>12.003004101707701</v>
      </c>
      <c r="F6">
        <v>5.9734878917689302</v>
      </c>
      <c r="G6">
        <v>3.7006380446381302</v>
      </c>
    </row>
    <row r="7" spans="1:7" x14ac:dyDescent="0.25">
      <c r="A7" t="s">
        <v>224</v>
      </c>
      <c r="B7">
        <v>4.2180032780285304</v>
      </c>
      <c r="C7">
        <v>2.9087512783190701</v>
      </c>
      <c r="D7">
        <v>0.91309174478370303</v>
      </c>
      <c r="E7">
        <v>0</v>
      </c>
      <c r="F7">
        <v>0</v>
      </c>
      <c r="G7">
        <v>0</v>
      </c>
    </row>
    <row r="8" spans="1:7" x14ac:dyDescent="0.25">
      <c r="A8" t="s">
        <v>135</v>
      </c>
      <c r="B8">
        <v>1.0545008195071299</v>
      </c>
      <c r="C8">
        <v>1.54406781362761</v>
      </c>
      <c r="D8">
        <v>2.01373746957703</v>
      </c>
      <c r="E8">
        <v>2.4430777996853998</v>
      </c>
      <c r="F8">
        <v>3.2696986354945698</v>
      </c>
      <c r="G8">
        <v>4.4518953920458797</v>
      </c>
    </row>
    <row r="9" spans="1:7" x14ac:dyDescent="0.25">
      <c r="A9" t="s">
        <v>241</v>
      </c>
      <c r="B9">
        <v>1.5817512292607001</v>
      </c>
      <c r="C9">
        <v>2.2892949875659299</v>
      </c>
      <c r="D9">
        <v>4.8292407835226996</v>
      </c>
      <c r="E9">
        <v>8.5735743583626398</v>
      </c>
      <c r="F9">
        <v>12.0797199589105</v>
      </c>
      <c r="G9">
        <v>19.736736238070002</v>
      </c>
    </row>
    <row r="10" spans="1:7" x14ac:dyDescent="0.25">
      <c r="A10" t="s">
        <v>242</v>
      </c>
      <c r="B10">
        <v>1.0545008195071299</v>
      </c>
      <c r="C10">
        <v>0.969583759439688</v>
      </c>
      <c r="D10">
        <v>1.3582239703657599</v>
      </c>
      <c r="E10">
        <v>2.14339358959066</v>
      </c>
      <c r="F10">
        <v>3.9823252611792901</v>
      </c>
      <c r="G10">
        <v>3.7006380446381302</v>
      </c>
    </row>
    <row r="11" spans="1:7" x14ac:dyDescent="0.25">
      <c r="A11" t="s">
        <v>243</v>
      </c>
      <c r="B11">
        <v>0.52725040975356696</v>
      </c>
      <c r="C11">
        <v>0.484791879719844</v>
      </c>
      <c r="D11">
        <v>0.45274132345525298</v>
      </c>
      <c r="E11">
        <v>0.857357435836264</v>
      </c>
      <c r="F11">
        <v>1.1946975783537901</v>
      </c>
      <c r="G11">
        <v>1.85031902231906</v>
      </c>
    </row>
    <row r="12" spans="1:7" x14ac:dyDescent="0.25">
      <c r="A12" t="s">
        <v>10</v>
      </c>
      <c r="B12">
        <v>52.725040975356698</v>
      </c>
      <c r="C12">
        <v>49.508216207413902</v>
      </c>
      <c r="D12">
        <v>46.132555121355203</v>
      </c>
      <c r="E12">
        <v>42.555157833453499</v>
      </c>
      <c r="F12">
        <v>39.812273770220699</v>
      </c>
      <c r="G12">
        <v>35.554877052933001</v>
      </c>
    </row>
    <row r="14" spans="1:7" x14ac:dyDescent="0.25">
      <c r="A14" t="s">
        <v>140</v>
      </c>
    </row>
    <row r="15" spans="1:7" x14ac:dyDescent="0.25">
      <c r="A15" t="s">
        <v>244</v>
      </c>
      <c r="B15">
        <v>2015</v>
      </c>
      <c r="C15">
        <v>2020</v>
      </c>
      <c r="D15">
        <v>2025</v>
      </c>
      <c r="E15">
        <v>2030</v>
      </c>
      <c r="F15">
        <v>2040</v>
      </c>
      <c r="G15">
        <v>2050</v>
      </c>
    </row>
    <row r="16" spans="1:7" x14ac:dyDescent="0.25">
      <c r="A16" t="s">
        <v>41</v>
      </c>
      <c r="B16">
        <v>11.0276342788289</v>
      </c>
      <c r="C16">
        <v>9.3829992656699002</v>
      </c>
      <c r="D16">
        <v>7.4799597463327601</v>
      </c>
      <c r="E16">
        <v>6.50801172424993</v>
      </c>
      <c r="F16">
        <v>6.0948723369684901</v>
      </c>
      <c r="G16">
        <v>4.4438696697774303</v>
      </c>
    </row>
    <row r="17" spans="1:7" x14ac:dyDescent="0.25">
      <c r="A17" t="s">
        <v>180</v>
      </c>
      <c r="B17">
        <v>7.1939435732653196</v>
      </c>
      <c r="C17">
        <v>6.3466515714263503</v>
      </c>
      <c r="D17">
        <v>4.8145263292626801</v>
      </c>
      <c r="E17">
        <v>3.2409945700553902</v>
      </c>
      <c r="F17">
        <v>1.6456155309814899</v>
      </c>
      <c r="G17">
        <v>1.6555592887406101</v>
      </c>
    </row>
    <row r="18" spans="1:7" x14ac:dyDescent="0.25">
      <c r="A18" t="s">
        <v>104</v>
      </c>
      <c r="B18">
        <v>13.0631221479058</v>
      </c>
      <c r="C18">
        <v>14.9032163518961</v>
      </c>
      <c r="D18">
        <v>18.727809663392801</v>
      </c>
      <c r="E18">
        <v>20.893769374254902</v>
      </c>
      <c r="F18">
        <v>21.9415404130865</v>
      </c>
      <c r="G18">
        <v>22.306483048294499</v>
      </c>
    </row>
    <row r="19" spans="1:7" x14ac:dyDescent="0.25">
      <c r="A19" t="s">
        <v>10</v>
      </c>
      <c r="B19">
        <v>31.284700000000001</v>
      </c>
      <c r="C19">
        <v>30.6328671889923</v>
      </c>
      <c r="D19">
        <v>31.022295738988198</v>
      </c>
      <c r="E19">
        <v>30.642775668560201</v>
      </c>
      <c r="F19">
        <v>29.682028281036501</v>
      </c>
      <c r="G19">
        <v>28.4059120068125</v>
      </c>
    </row>
    <row r="21" spans="1:7" x14ac:dyDescent="0.25">
      <c r="A21" t="s">
        <v>141</v>
      </c>
    </row>
    <row r="22" spans="1:7" x14ac:dyDescent="0.25">
      <c r="B22">
        <v>2015</v>
      </c>
      <c r="C22">
        <v>2020</v>
      </c>
      <c r="D22">
        <v>2025</v>
      </c>
      <c r="E22">
        <v>2030</v>
      </c>
      <c r="F22">
        <v>2050</v>
      </c>
    </row>
    <row r="23" spans="1:7" x14ac:dyDescent="0.25">
      <c r="A23" t="s">
        <v>245</v>
      </c>
      <c r="B23">
        <v>8.247522</v>
      </c>
      <c r="C23">
        <v>6.914360984</v>
      </c>
      <c r="D23">
        <v>5.4399118480000004</v>
      </c>
      <c r="E23">
        <v>3.8476310444999999</v>
      </c>
      <c r="F23">
        <v>2.7900163349999998</v>
      </c>
    </row>
    <row r="25" spans="1:7" x14ac:dyDescent="0.25">
      <c r="A25" t="s">
        <v>143</v>
      </c>
    </row>
    <row r="27" spans="1:7" x14ac:dyDescent="0.25">
      <c r="A27" t="s">
        <v>128</v>
      </c>
      <c r="B27">
        <v>2015</v>
      </c>
      <c r="C27">
        <v>2020</v>
      </c>
      <c r="D27">
        <v>2025</v>
      </c>
      <c r="E27">
        <v>2030</v>
      </c>
      <c r="F27">
        <v>2050</v>
      </c>
    </row>
    <row r="28" spans="1:7" x14ac:dyDescent="0.25">
      <c r="A28" t="s">
        <v>104</v>
      </c>
      <c r="B28">
        <v>0.565565939792534</v>
      </c>
      <c r="C28">
        <v>0.86061670840319104</v>
      </c>
      <c r="D28">
        <v>1.25109084860822</v>
      </c>
      <c r="E28">
        <v>1.4752842591356601</v>
      </c>
      <c r="F28">
        <v>2.1980218817885699</v>
      </c>
    </row>
    <row r="29" spans="1:7" x14ac:dyDescent="0.25">
      <c r="A29" t="s">
        <v>135</v>
      </c>
      <c r="B29">
        <v>5.9533256820266797E-3</v>
      </c>
      <c r="C29">
        <v>9.1554968979062797E-3</v>
      </c>
      <c r="D29">
        <v>2.8114401092319601E-2</v>
      </c>
      <c r="E29">
        <v>5.39738143586216E-2</v>
      </c>
      <c r="F29">
        <v>0.18316849014904699</v>
      </c>
    </row>
    <row r="30" spans="1:7" x14ac:dyDescent="0.25">
      <c r="A30" t="s">
        <v>246</v>
      </c>
      <c r="B30">
        <v>2.3813302728106701E-2</v>
      </c>
      <c r="C30">
        <v>4.5777484489531402E-2</v>
      </c>
      <c r="D30">
        <v>0.12651480491543801</v>
      </c>
      <c r="E30">
        <v>0.26986907179310798</v>
      </c>
      <c r="F30">
        <v>1.2821794310433301</v>
      </c>
    </row>
    <row r="31" spans="1:7" x14ac:dyDescent="0.25">
      <c r="A31" t="s">
        <v>10</v>
      </c>
      <c r="B31">
        <v>0.595332568202668</v>
      </c>
      <c r="C31">
        <v>0.91554968979062801</v>
      </c>
      <c r="D31">
        <v>1.40572005461598</v>
      </c>
      <c r="E31">
        <v>1.79912714528739</v>
      </c>
      <c r="F31">
        <v>3.6633698029809501</v>
      </c>
    </row>
    <row r="33" spans="1:6" x14ac:dyDescent="0.25">
      <c r="A33" t="s">
        <v>213</v>
      </c>
    </row>
    <row r="34" spans="1:6" x14ac:dyDescent="0.25">
      <c r="A34" t="s">
        <v>128</v>
      </c>
      <c r="B34">
        <v>2015</v>
      </c>
      <c r="C34">
        <v>2020</v>
      </c>
      <c r="D34">
        <v>2025</v>
      </c>
      <c r="E34">
        <v>2030</v>
      </c>
      <c r="F34">
        <v>2050</v>
      </c>
    </row>
    <row r="35" spans="1:6" x14ac:dyDescent="0.25">
      <c r="A35" t="s">
        <v>247</v>
      </c>
      <c r="B35">
        <v>63.628359610598103</v>
      </c>
      <c r="C35">
        <v>60.705245610807602</v>
      </c>
      <c r="D35">
        <v>57.2669859004478</v>
      </c>
      <c r="E35">
        <v>53.588829719739699</v>
      </c>
      <c r="F35">
        <v>49.965433346804502</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Feuil28"/>
  <dimension ref="A1:F35"/>
  <sheetViews>
    <sheetView workbookViewId="0"/>
  </sheetViews>
  <sheetFormatPr baseColWidth="10" defaultColWidth="11.42578125" defaultRowHeight="15" x14ac:dyDescent="0.25"/>
  <sheetData>
    <row r="1" spans="1:6" x14ac:dyDescent="0.25">
      <c r="A1" t="s">
        <v>240</v>
      </c>
    </row>
    <row r="3" spans="1:6" x14ac:dyDescent="0.25">
      <c r="A3" t="s">
        <v>212</v>
      </c>
    </row>
    <row r="4" spans="1:6" x14ac:dyDescent="0.25">
      <c r="A4" t="s">
        <v>128</v>
      </c>
      <c r="B4">
        <v>2020</v>
      </c>
      <c r="C4">
        <v>2025</v>
      </c>
      <c r="D4">
        <v>2030</v>
      </c>
      <c r="E4">
        <v>2040</v>
      </c>
      <c r="F4">
        <v>2050</v>
      </c>
    </row>
    <row r="5" spans="1:6" x14ac:dyDescent="0.25">
      <c r="A5" t="s">
        <v>104</v>
      </c>
      <c r="B5">
        <v>24.344010698547201</v>
      </c>
      <c r="C5">
        <v>22.530538802537901</v>
      </c>
      <c r="D5">
        <v>16.5347505482708</v>
      </c>
      <c r="E5">
        <v>13.312344444513601</v>
      </c>
      <c r="F5">
        <v>2.1146503112217898</v>
      </c>
    </row>
    <row r="6" spans="1:6" x14ac:dyDescent="0.25">
      <c r="A6" t="s">
        <v>54</v>
      </c>
      <c r="B6">
        <v>16.9677157901945</v>
      </c>
      <c r="C6">
        <v>14.034981027112799</v>
      </c>
      <c r="D6">
        <v>12.003004101707701</v>
      </c>
      <c r="E6">
        <v>5.9734878917689302</v>
      </c>
      <c r="F6">
        <v>3.7006380446381302</v>
      </c>
    </row>
    <row r="7" spans="1:6" x14ac:dyDescent="0.25">
      <c r="A7" t="s">
        <v>224</v>
      </c>
      <c r="B7">
        <v>2.9087512783190701</v>
      </c>
      <c r="C7">
        <v>0.91309174478370303</v>
      </c>
      <c r="D7">
        <v>0</v>
      </c>
      <c r="E7">
        <v>0</v>
      </c>
      <c r="F7">
        <v>0</v>
      </c>
    </row>
    <row r="8" spans="1:6" x14ac:dyDescent="0.25">
      <c r="A8" t="s">
        <v>135</v>
      </c>
      <c r="B8">
        <v>1.54406781362761</v>
      </c>
      <c r="C8">
        <v>2.01373746957703</v>
      </c>
      <c r="D8">
        <v>2.4430777996853998</v>
      </c>
      <c r="E8">
        <v>3.2696986354945698</v>
      </c>
      <c r="F8">
        <v>4.4518953920458797</v>
      </c>
    </row>
    <row r="9" spans="1:6" x14ac:dyDescent="0.25">
      <c r="A9" t="s">
        <v>241</v>
      </c>
      <c r="B9">
        <v>2.2892949875659299</v>
      </c>
      <c r="C9">
        <v>4.8292407835226996</v>
      </c>
      <c r="D9">
        <v>8.5735743583626398</v>
      </c>
      <c r="E9">
        <v>12.0797199589105</v>
      </c>
      <c r="F9">
        <v>19.736736238070002</v>
      </c>
    </row>
    <row r="10" spans="1:6" x14ac:dyDescent="0.25">
      <c r="A10" t="s">
        <v>242</v>
      </c>
      <c r="B10">
        <v>0.969583759439688</v>
      </c>
      <c r="C10">
        <v>1.3582239703657599</v>
      </c>
      <c r="D10">
        <v>2.14339358959066</v>
      </c>
      <c r="E10">
        <v>3.9823252611792901</v>
      </c>
      <c r="F10">
        <v>3.7006380446381302</v>
      </c>
    </row>
    <row r="11" spans="1:6" x14ac:dyDescent="0.25">
      <c r="A11" t="s">
        <v>243</v>
      </c>
      <c r="B11">
        <v>0.484791879719844</v>
      </c>
      <c r="C11">
        <v>0.45274132345525298</v>
      </c>
      <c r="D11">
        <v>0.857357435836264</v>
      </c>
      <c r="E11">
        <v>1.1946975783537901</v>
      </c>
      <c r="F11">
        <v>1.85031902231906</v>
      </c>
    </row>
    <row r="12" spans="1:6" x14ac:dyDescent="0.25">
      <c r="A12" t="s">
        <v>10</v>
      </c>
      <c r="B12">
        <v>49.508216207413902</v>
      </c>
      <c r="C12">
        <v>46.132555121355203</v>
      </c>
      <c r="D12">
        <v>42.555157833453499</v>
      </c>
      <c r="E12">
        <v>39.812273770220699</v>
      </c>
      <c r="F12">
        <v>35.554877052933001</v>
      </c>
    </row>
    <row r="14" spans="1:6" x14ac:dyDescent="0.25">
      <c r="A14" t="s">
        <v>140</v>
      </c>
    </row>
    <row r="15" spans="1:6" x14ac:dyDescent="0.25">
      <c r="A15" t="s">
        <v>244</v>
      </c>
      <c r="B15">
        <v>2020</v>
      </c>
      <c r="C15">
        <v>2025</v>
      </c>
      <c r="D15">
        <v>2030</v>
      </c>
      <c r="E15">
        <v>2040</v>
      </c>
      <c r="F15">
        <v>2050</v>
      </c>
    </row>
    <row r="16" spans="1:6" x14ac:dyDescent="0.25">
      <c r="A16" t="s">
        <v>41</v>
      </c>
      <c r="B16">
        <v>9.3829992656699002</v>
      </c>
      <c r="C16">
        <v>7.4799597463327601</v>
      </c>
      <c r="D16">
        <v>6.50801172424993</v>
      </c>
      <c r="E16">
        <v>6.0948723369684901</v>
      </c>
      <c r="F16">
        <v>4.4438696697774303</v>
      </c>
    </row>
    <row r="17" spans="1:6" x14ac:dyDescent="0.25">
      <c r="A17" t="s">
        <v>180</v>
      </c>
      <c r="B17">
        <v>6.3466515714263503</v>
      </c>
      <c r="C17">
        <v>4.8145263292626801</v>
      </c>
      <c r="D17">
        <v>3.2409945700553902</v>
      </c>
      <c r="E17">
        <v>1.6456155309814899</v>
      </c>
      <c r="F17">
        <v>1.6555592887406101</v>
      </c>
    </row>
    <row r="18" spans="1:6" x14ac:dyDescent="0.25">
      <c r="A18" t="s">
        <v>104</v>
      </c>
      <c r="B18">
        <v>14.9032163518961</v>
      </c>
      <c r="C18">
        <v>18.727809663392801</v>
      </c>
      <c r="D18">
        <v>20.893769374254902</v>
      </c>
      <c r="E18">
        <v>21.9415404130865</v>
      </c>
      <c r="F18">
        <v>22.306483048294499</v>
      </c>
    </row>
    <row r="19" spans="1:6" x14ac:dyDescent="0.25">
      <c r="A19" t="s">
        <v>10</v>
      </c>
      <c r="B19">
        <v>30.6328671889923</v>
      </c>
      <c r="C19">
        <v>31.022295738988198</v>
      </c>
      <c r="D19">
        <v>30.642775668560201</v>
      </c>
      <c r="E19">
        <v>29.682028281036501</v>
      </c>
      <c r="F19">
        <v>28.4059120068125</v>
      </c>
    </row>
    <row r="21" spans="1:6" x14ac:dyDescent="0.25">
      <c r="A21" t="s">
        <v>141</v>
      </c>
    </row>
    <row r="22" spans="1:6" x14ac:dyDescent="0.25">
      <c r="B22">
        <v>2020</v>
      </c>
      <c r="C22">
        <v>2025</v>
      </c>
      <c r="D22">
        <v>2030</v>
      </c>
      <c r="E22">
        <v>2050</v>
      </c>
    </row>
    <row r="23" spans="1:6" x14ac:dyDescent="0.25">
      <c r="A23" t="s">
        <v>245</v>
      </c>
      <c r="B23">
        <v>6.914360984</v>
      </c>
      <c r="C23">
        <v>5.4399118480000004</v>
      </c>
      <c r="D23">
        <v>3.8476310444999999</v>
      </c>
      <c r="E23">
        <v>2.7900163349999998</v>
      </c>
    </row>
    <row r="25" spans="1:6" x14ac:dyDescent="0.25">
      <c r="A25" t="s">
        <v>143</v>
      </c>
    </row>
    <row r="27" spans="1:6" x14ac:dyDescent="0.25">
      <c r="A27" t="s">
        <v>128</v>
      </c>
      <c r="B27">
        <v>2020</v>
      </c>
      <c r="C27">
        <v>2025</v>
      </c>
      <c r="D27">
        <v>2030</v>
      </c>
      <c r="E27">
        <v>2050</v>
      </c>
    </row>
    <row r="28" spans="1:6" x14ac:dyDescent="0.25">
      <c r="A28" t="s">
        <v>104</v>
      </c>
      <c r="B28">
        <v>0.86061670840319104</v>
      </c>
      <c r="C28">
        <v>1.25109084860822</v>
      </c>
      <c r="D28">
        <v>1.4752842591356601</v>
      </c>
      <c r="E28">
        <v>2.1980218817885699</v>
      </c>
    </row>
    <row r="29" spans="1:6" x14ac:dyDescent="0.25">
      <c r="A29" t="s">
        <v>135</v>
      </c>
      <c r="B29">
        <v>9.1554968979062797E-3</v>
      </c>
      <c r="C29">
        <v>2.8114401092319601E-2</v>
      </c>
      <c r="D29">
        <v>5.39738143586216E-2</v>
      </c>
      <c r="E29">
        <v>0.18316849014904699</v>
      </c>
    </row>
    <row r="30" spans="1:6" x14ac:dyDescent="0.25">
      <c r="A30" t="s">
        <v>246</v>
      </c>
      <c r="B30">
        <v>4.5777484489531402E-2</v>
      </c>
      <c r="C30">
        <v>0.12651480491543801</v>
      </c>
      <c r="D30">
        <v>0.26986907179310798</v>
      </c>
      <c r="E30">
        <v>1.2821794310433301</v>
      </c>
    </row>
    <row r="31" spans="1:6" x14ac:dyDescent="0.25">
      <c r="A31" t="s">
        <v>10</v>
      </c>
      <c r="B31">
        <v>0.91554968979062801</v>
      </c>
      <c r="C31">
        <v>1.40572005461598</v>
      </c>
      <c r="D31">
        <v>1.79912714528739</v>
      </c>
      <c r="E31">
        <v>3.6633698029809501</v>
      </c>
    </row>
    <row r="33" spans="1:5" x14ac:dyDescent="0.25">
      <c r="A33" t="s">
        <v>213</v>
      </c>
    </row>
    <row r="34" spans="1:5" x14ac:dyDescent="0.25">
      <c r="A34" t="s">
        <v>128</v>
      </c>
      <c r="B34">
        <v>2020</v>
      </c>
      <c r="C34">
        <v>2025</v>
      </c>
      <c r="D34">
        <v>2030</v>
      </c>
      <c r="E34">
        <v>2050</v>
      </c>
    </row>
    <row r="35" spans="1:5" x14ac:dyDescent="0.25">
      <c r="A35" t="s">
        <v>247</v>
      </c>
      <c r="B35">
        <v>60.705245610807602</v>
      </c>
      <c r="C35">
        <v>57.2669859004478</v>
      </c>
      <c r="D35">
        <v>53.588829719739699</v>
      </c>
      <c r="E35">
        <v>49.965433346804502</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Feuil29"/>
  <dimension ref="A1:E35"/>
  <sheetViews>
    <sheetView workbookViewId="0"/>
  </sheetViews>
  <sheetFormatPr baseColWidth="10" defaultColWidth="11.42578125" defaultRowHeight="15" x14ac:dyDescent="0.25"/>
  <sheetData>
    <row r="1" spans="1:5" x14ac:dyDescent="0.25">
      <c r="A1" t="s">
        <v>240</v>
      </c>
    </row>
    <row r="3" spans="1:5" x14ac:dyDescent="0.25">
      <c r="A3" t="s">
        <v>212</v>
      </c>
    </row>
    <row r="4" spans="1:5" x14ac:dyDescent="0.25">
      <c r="A4" t="s">
        <v>128</v>
      </c>
      <c r="B4">
        <v>2025</v>
      </c>
      <c r="C4">
        <v>2030</v>
      </c>
      <c r="D4">
        <v>2040</v>
      </c>
      <c r="E4">
        <v>2050</v>
      </c>
    </row>
    <row r="5" spans="1:5" x14ac:dyDescent="0.25">
      <c r="A5" t="s">
        <v>104</v>
      </c>
      <c r="B5">
        <v>22.530538802537901</v>
      </c>
      <c r="C5">
        <v>16.5347505482708</v>
      </c>
      <c r="D5">
        <v>13.312344444513601</v>
      </c>
      <c r="E5">
        <v>2.1146503112217898</v>
      </c>
    </row>
    <row r="6" spans="1:5" x14ac:dyDescent="0.25">
      <c r="A6" t="s">
        <v>54</v>
      </c>
      <c r="B6">
        <v>14.034981027112799</v>
      </c>
      <c r="C6">
        <v>12.003004101707701</v>
      </c>
      <c r="D6">
        <v>5.9734878917689302</v>
      </c>
      <c r="E6">
        <v>3.7006380446381302</v>
      </c>
    </row>
    <row r="7" spans="1:5" x14ac:dyDescent="0.25">
      <c r="A7" t="s">
        <v>224</v>
      </c>
      <c r="B7">
        <v>0.91309174478370303</v>
      </c>
      <c r="C7">
        <v>0</v>
      </c>
      <c r="D7">
        <v>0</v>
      </c>
      <c r="E7">
        <v>0</v>
      </c>
    </row>
    <row r="8" spans="1:5" x14ac:dyDescent="0.25">
      <c r="A8" t="s">
        <v>135</v>
      </c>
      <c r="B8">
        <v>2.01373746957703</v>
      </c>
      <c r="C8">
        <v>2.4430777996853998</v>
      </c>
      <c r="D8">
        <v>3.2696986354945698</v>
      </c>
      <c r="E8">
        <v>4.4518953920458797</v>
      </c>
    </row>
    <row r="9" spans="1:5" x14ac:dyDescent="0.25">
      <c r="A9" t="s">
        <v>241</v>
      </c>
      <c r="B9">
        <v>4.8292407835226996</v>
      </c>
      <c r="C9">
        <v>8.5735743583626398</v>
      </c>
      <c r="D9">
        <v>12.0797199589105</v>
      </c>
      <c r="E9">
        <v>19.736736238070002</v>
      </c>
    </row>
    <row r="10" spans="1:5" x14ac:dyDescent="0.25">
      <c r="A10" t="s">
        <v>242</v>
      </c>
      <c r="B10">
        <v>1.3582239703657599</v>
      </c>
      <c r="C10">
        <v>2.14339358959066</v>
      </c>
      <c r="D10">
        <v>3.9823252611792901</v>
      </c>
      <c r="E10">
        <v>3.7006380446381302</v>
      </c>
    </row>
    <row r="11" spans="1:5" x14ac:dyDescent="0.25">
      <c r="A11" t="s">
        <v>243</v>
      </c>
      <c r="B11">
        <v>0.45274132345525298</v>
      </c>
      <c r="C11">
        <v>0.857357435836264</v>
      </c>
      <c r="D11">
        <v>1.1946975783537901</v>
      </c>
      <c r="E11">
        <v>1.85031902231906</v>
      </c>
    </row>
    <row r="12" spans="1:5" x14ac:dyDescent="0.25">
      <c r="A12" t="s">
        <v>10</v>
      </c>
      <c r="B12">
        <v>46.132555121355203</v>
      </c>
      <c r="C12">
        <v>42.555157833453499</v>
      </c>
      <c r="D12">
        <v>39.812273770220699</v>
      </c>
      <c r="E12">
        <v>35.554877052933001</v>
      </c>
    </row>
    <row r="14" spans="1:5" x14ac:dyDescent="0.25">
      <c r="A14" t="s">
        <v>140</v>
      </c>
    </row>
    <row r="15" spans="1:5" x14ac:dyDescent="0.25">
      <c r="A15" t="s">
        <v>244</v>
      </c>
      <c r="B15">
        <v>2025</v>
      </c>
      <c r="C15">
        <v>2030</v>
      </c>
      <c r="D15">
        <v>2040</v>
      </c>
      <c r="E15">
        <v>2050</v>
      </c>
    </row>
    <row r="16" spans="1:5" x14ac:dyDescent="0.25">
      <c r="A16" t="s">
        <v>41</v>
      </c>
      <c r="B16">
        <v>7.4799597463327601</v>
      </c>
      <c r="C16">
        <v>6.50801172424993</v>
      </c>
      <c r="D16">
        <v>6.0948723369684901</v>
      </c>
      <c r="E16">
        <v>4.4438696697774303</v>
      </c>
    </row>
    <row r="17" spans="1:5" x14ac:dyDescent="0.25">
      <c r="A17" t="s">
        <v>180</v>
      </c>
      <c r="B17">
        <v>4.8145263292626801</v>
      </c>
      <c r="C17">
        <v>3.2409945700553902</v>
      </c>
      <c r="D17">
        <v>1.6456155309814899</v>
      </c>
      <c r="E17">
        <v>1.6555592887406101</v>
      </c>
    </row>
    <row r="18" spans="1:5" x14ac:dyDescent="0.25">
      <c r="A18" t="s">
        <v>104</v>
      </c>
      <c r="B18">
        <v>18.727809663392801</v>
      </c>
      <c r="C18">
        <v>20.893769374254902</v>
      </c>
      <c r="D18">
        <v>21.9415404130865</v>
      </c>
      <c r="E18">
        <v>22.306483048294499</v>
      </c>
    </row>
    <row r="19" spans="1:5" x14ac:dyDescent="0.25">
      <c r="A19" t="s">
        <v>10</v>
      </c>
      <c r="B19">
        <v>31.022295738988198</v>
      </c>
      <c r="C19">
        <v>30.642775668560201</v>
      </c>
      <c r="D19">
        <v>29.682028281036501</v>
      </c>
      <c r="E19">
        <v>28.4059120068125</v>
      </c>
    </row>
    <row r="21" spans="1:5" x14ac:dyDescent="0.25">
      <c r="A21" t="s">
        <v>141</v>
      </c>
    </row>
    <row r="22" spans="1:5" x14ac:dyDescent="0.25">
      <c r="B22">
        <v>2025</v>
      </c>
      <c r="C22">
        <v>2030</v>
      </c>
      <c r="D22">
        <v>2050</v>
      </c>
    </row>
    <row r="23" spans="1:5" x14ac:dyDescent="0.25">
      <c r="A23" t="s">
        <v>245</v>
      </c>
      <c r="B23">
        <v>5.4399118480000004</v>
      </c>
      <c r="C23">
        <v>3.8476310444999999</v>
      </c>
      <c r="D23">
        <v>2.7900163349999998</v>
      </c>
    </row>
    <row r="25" spans="1:5" x14ac:dyDescent="0.25">
      <c r="A25" t="s">
        <v>143</v>
      </c>
    </row>
    <row r="27" spans="1:5" x14ac:dyDescent="0.25">
      <c r="A27" t="s">
        <v>128</v>
      </c>
      <c r="B27">
        <v>2025</v>
      </c>
      <c r="C27">
        <v>2030</v>
      </c>
      <c r="D27">
        <v>2050</v>
      </c>
    </row>
    <row r="28" spans="1:5" x14ac:dyDescent="0.25">
      <c r="A28" t="s">
        <v>104</v>
      </c>
      <c r="B28">
        <v>1.25109084860822</v>
      </c>
      <c r="C28">
        <v>1.4752842591356601</v>
      </c>
      <c r="D28">
        <v>2.1980218817885699</v>
      </c>
    </row>
    <row r="29" spans="1:5" x14ac:dyDescent="0.25">
      <c r="A29" t="s">
        <v>135</v>
      </c>
      <c r="B29">
        <v>2.8114401092319601E-2</v>
      </c>
      <c r="C29">
        <v>5.39738143586216E-2</v>
      </c>
      <c r="D29">
        <v>0.18316849014904699</v>
      </c>
    </row>
    <row r="30" spans="1:5" x14ac:dyDescent="0.25">
      <c r="A30" t="s">
        <v>246</v>
      </c>
      <c r="B30">
        <v>0.12651480491543801</v>
      </c>
      <c r="C30">
        <v>0.26986907179310798</v>
      </c>
      <c r="D30">
        <v>1.2821794310433301</v>
      </c>
    </row>
    <row r="31" spans="1:5" x14ac:dyDescent="0.25">
      <c r="A31" t="s">
        <v>10</v>
      </c>
      <c r="B31">
        <v>1.40572005461598</v>
      </c>
      <c r="C31">
        <v>1.79912714528739</v>
      </c>
      <c r="D31">
        <v>3.6633698029809501</v>
      </c>
    </row>
    <row r="33" spans="1:4" x14ac:dyDescent="0.25">
      <c r="A33" t="s">
        <v>213</v>
      </c>
    </row>
    <row r="34" spans="1:4" x14ac:dyDescent="0.25">
      <c r="A34" t="s">
        <v>128</v>
      </c>
      <c r="B34">
        <v>2025</v>
      </c>
      <c r="C34">
        <v>2030</v>
      </c>
      <c r="D34">
        <v>2050</v>
      </c>
    </row>
    <row r="35" spans="1:4" x14ac:dyDescent="0.25">
      <c r="A35" t="s">
        <v>247</v>
      </c>
      <c r="B35">
        <v>57.2669859004478</v>
      </c>
      <c r="C35">
        <v>53.588829719739699</v>
      </c>
      <c r="D35">
        <v>49.965433346804502</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Feuil30"/>
  <dimension ref="A1:D35"/>
  <sheetViews>
    <sheetView workbookViewId="0"/>
  </sheetViews>
  <sheetFormatPr baseColWidth="10" defaultColWidth="11.42578125" defaultRowHeight="15" x14ac:dyDescent="0.25"/>
  <sheetData>
    <row r="1" spans="1:4" x14ac:dyDescent="0.25">
      <c r="A1" t="s">
        <v>240</v>
      </c>
    </row>
    <row r="3" spans="1:4" x14ac:dyDescent="0.25">
      <c r="A3" t="s">
        <v>212</v>
      </c>
    </row>
    <row r="4" spans="1:4" x14ac:dyDescent="0.25">
      <c r="A4" t="s">
        <v>128</v>
      </c>
      <c r="B4">
        <v>2030</v>
      </c>
      <c r="C4">
        <v>2040</v>
      </c>
      <c r="D4">
        <v>2050</v>
      </c>
    </row>
    <row r="5" spans="1:4" x14ac:dyDescent="0.25">
      <c r="A5" t="s">
        <v>104</v>
      </c>
      <c r="B5">
        <v>16.5347505482708</v>
      </c>
      <c r="C5">
        <v>13.312344444513601</v>
      </c>
      <c r="D5">
        <v>2.1146503112217898</v>
      </c>
    </row>
    <row r="6" spans="1:4" x14ac:dyDescent="0.25">
      <c r="A6" t="s">
        <v>54</v>
      </c>
      <c r="B6">
        <v>12.003004101707701</v>
      </c>
      <c r="C6">
        <v>5.9734878917689302</v>
      </c>
      <c r="D6">
        <v>3.7006380446381302</v>
      </c>
    </row>
    <row r="7" spans="1:4" x14ac:dyDescent="0.25">
      <c r="A7" t="s">
        <v>224</v>
      </c>
      <c r="B7">
        <v>0</v>
      </c>
      <c r="C7">
        <v>0</v>
      </c>
      <c r="D7">
        <v>0</v>
      </c>
    </row>
    <row r="8" spans="1:4" x14ac:dyDescent="0.25">
      <c r="A8" t="s">
        <v>135</v>
      </c>
      <c r="B8">
        <v>2.4430777996853998</v>
      </c>
      <c r="C8">
        <v>3.2696986354945698</v>
      </c>
      <c r="D8">
        <v>4.4518953920458797</v>
      </c>
    </row>
    <row r="9" spans="1:4" x14ac:dyDescent="0.25">
      <c r="A9" t="s">
        <v>241</v>
      </c>
      <c r="B9">
        <v>8.5735743583626398</v>
      </c>
      <c r="C9">
        <v>12.0797199589105</v>
      </c>
      <c r="D9">
        <v>19.736736238070002</v>
      </c>
    </row>
    <row r="10" spans="1:4" x14ac:dyDescent="0.25">
      <c r="A10" t="s">
        <v>242</v>
      </c>
      <c r="B10">
        <v>2.14339358959066</v>
      </c>
      <c r="C10">
        <v>3.9823252611792901</v>
      </c>
      <c r="D10">
        <v>3.7006380446381302</v>
      </c>
    </row>
    <row r="11" spans="1:4" x14ac:dyDescent="0.25">
      <c r="A11" t="s">
        <v>243</v>
      </c>
      <c r="B11">
        <v>0.857357435836264</v>
      </c>
      <c r="C11">
        <v>1.1946975783537901</v>
      </c>
      <c r="D11">
        <v>1.85031902231906</v>
      </c>
    </row>
    <row r="12" spans="1:4" x14ac:dyDescent="0.25">
      <c r="A12" t="s">
        <v>10</v>
      </c>
      <c r="B12">
        <v>42.555157833453499</v>
      </c>
      <c r="C12">
        <v>39.812273770220699</v>
      </c>
      <c r="D12">
        <v>35.554877052933001</v>
      </c>
    </row>
    <row r="14" spans="1:4" x14ac:dyDescent="0.25">
      <c r="A14" t="s">
        <v>140</v>
      </c>
    </row>
    <row r="15" spans="1:4" x14ac:dyDescent="0.25">
      <c r="A15" t="s">
        <v>244</v>
      </c>
      <c r="B15">
        <v>2030</v>
      </c>
      <c r="C15">
        <v>2040</v>
      </c>
      <c r="D15">
        <v>2050</v>
      </c>
    </row>
    <row r="16" spans="1:4" x14ac:dyDescent="0.25">
      <c r="A16" t="s">
        <v>41</v>
      </c>
      <c r="B16">
        <v>6.50801172424993</v>
      </c>
      <c r="C16">
        <v>6.0948723369684901</v>
      </c>
      <c r="D16">
        <v>4.4438696697774303</v>
      </c>
    </row>
    <row r="17" spans="1:4" x14ac:dyDescent="0.25">
      <c r="A17" t="s">
        <v>180</v>
      </c>
      <c r="B17">
        <v>3.2409945700553902</v>
      </c>
      <c r="C17">
        <v>1.6456155309814899</v>
      </c>
      <c r="D17">
        <v>1.6555592887406101</v>
      </c>
    </row>
    <row r="18" spans="1:4" x14ac:dyDescent="0.25">
      <c r="A18" t="s">
        <v>104</v>
      </c>
      <c r="B18">
        <v>20.893769374254902</v>
      </c>
      <c r="C18">
        <v>21.9415404130865</v>
      </c>
      <c r="D18">
        <v>22.306483048294499</v>
      </c>
    </row>
    <row r="19" spans="1:4" x14ac:dyDescent="0.25">
      <c r="A19" t="s">
        <v>10</v>
      </c>
      <c r="B19">
        <v>30.642775668560201</v>
      </c>
      <c r="C19">
        <v>29.682028281036501</v>
      </c>
      <c r="D19">
        <v>28.4059120068125</v>
      </c>
    </row>
    <row r="21" spans="1:4" x14ac:dyDescent="0.25">
      <c r="A21" t="s">
        <v>141</v>
      </c>
    </row>
    <row r="22" spans="1:4" x14ac:dyDescent="0.25">
      <c r="B22">
        <v>2030</v>
      </c>
      <c r="C22">
        <v>2050</v>
      </c>
    </row>
    <row r="23" spans="1:4" x14ac:dyDescent="0.25">
      <c r="A23" t="s">
        <v>245</v>
      </c>
      <c r="B23">
        <v>3.8476310444999999</v>
      </c>
      <c r="C23">
        <v>2.7900163349999998</v>
      </c>
    </row>
    <row r="25" spans="1:4" x14ac:dyDescent="0.25">
      <c r="A25" t="s">
        <v>143</v>
      </c>
    </row>
    <row r="27" spans="1:4" x14ac:dyDescent="0.25">
      <c r="A27" t="s">
        <v>128</v>
      </c>
      <c r="B27">
        <v>2030</v>
      </c>
      <c r="C27">
        <v>2050</v>
      </c>
    </row>
    <row r="28" spans="1:4" x14ac:dyDescent="0.25">
      <c r="A28" t="s">
        <v>104</v>
      </c>
      <c r="B28">
        <v>1.4752842591356601</v>
      </c>
      <c r="C28">
        <v>2.1980218817885699</v>
      </c>
    </row>
    <row r="29" spans="1:4" x14ac:dyDescent="0.25">
      <c r="A29" t="s">
        <v>135</v>
      </c>
      <c r="B29">
        <v>5.39738143586216E-2</v>
      </c>
      <c r="C29">
        <v>0.18316849014904699</v>
      </c>
    </row>
    <row r="30" spans="1:4" x14ac:dyDescent="0.25">
      <c r="A30" t="s">
        <v>246</v>
      </c>
      <c r="B30">
        <v>0.26986907179310798</v>
      </c>
      <c r="C30">
        <v>1.2821794310433301</v>
      </c>
    </row>
    <row r="31" spans="1:4" x14ac:dyDescent="0.25">
      <c r="A31" t="s">
        <v>10</v>
      </c>
      <c r="B31">
        <v>1.79912714528739</v>
      </c>
      <c r="C31">
        <v>3.6633698029809501</v>
      </c>
    </row>
    <row r="33" spans="1:3" x14ac:dyDescent="0.25">
      <c r="A33" t="s">
        <v>213</v>
      </c>
    </row>
    <row r="34" spans="1:3" x14ac:dyDescent="0.25">
      <c r="A34" t="s">
        <v>128</v>
      </c>
      <c r="B34">
        <v>2030</v>
      </c>
      <c r="C34">
        <v>2050</v>
      </c>
    </row>
    <row r="35" spans="1:3" x14ac:dyDescent="0.25">
      <c r="A35" t="s">
        <v>247</v>
      </c>
      <c r="B35">
        <v>53.588829719739699</v>
      </c>
      <c r="C35">
        <v>49.965433346804502</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Feuil31"/>
  <dimension ref="A1:B35"/>
  <sheetViews>
    <sheetView workbookViewId="0"/>
  </sheetViews>
  <sheetFormatPr baseColWidth="10" defaultColWidth="11.42578125" defaultRowHeight="15" x14ac:dyDescent="0.25"/>
  <sheetData>
    <row r="1" spans="1:2" x14ac:dyDescent="0.25">
      <c r="A1" t="s">
        <v>240</v>
      </c>
    </row>
    <row r="3" spans="1:2" x14ac:dyDescent="0.25">
      <c r="A3" t="s">
        <v>212</v>
      </c>
    </row>
    <row r="4" spans="1:2" x14ac:dyDescent="0.25">
      <c r="A4" t="s">
        <v>128</v>
      </c>
      <c r="B4">
        <v>2050</v>
      </c>
    </row>
    <row r="5" spans="1:2" x14ac:dyDescent="0.25">
      <c r="A5" t="s">
        <v>104</v>
      </c>
      <c r="B5">
        <v>2.1146503112217898</v>
      </c>
    </row>
    <row r="6" spans="1:2" x14ac:dyDescent="0.25">
      <c r="A6" t="s">
        <v>54</v>
      </c>
      <c r="B6">
        <v>3.7006380446381302</v>
      </c>
    </row>
    <row r="7" spans="1:2" x14ac:dyDescent="0.25">
      <c r="A7" t="s">
        <v>224</v>
      </c>
      <c r="B7">
        <v>0</v>
      </c>
    </row>
    <row r="8" spans="1:2" x14ac:dyDescent="0.25">
      <c r="A8" t="s">
        <v>135</v>
      </c>
      <c r="B8">
        <v>4.4518953920458797</v>
      </c>
    </row>
    <row r="9" spans="1:2" x14ac:dyDescent="0.25">
      <c r="A9" t="s">
        <v>241</v>
      </c>
      <c r="B9">
        <v>19.736736238070002</v>
      </c>
    </row>
    <row r="10" spans="1:2" x14ac:dyDescent="0.25">
      <c r="A10" t="s">
        <v>242</v>
      </c>
      <c r="B10">
        <v>3.7006380446381302</v>
      </c>
    </row>
    <row r="11" spans="1:2" x14ac:dyDescent="0.25">
      <c r="A11" t="s">
        <v>243</v>
      </c>
      <c r="B11">
        <v>1.85031902231906</v>
      </c>
    </row>
    <row r="12" spans="1:2" x14ac:dyDescent="0.25">
      <c r="A12" t="s">
        <v>10</v>
      </c>
      <c r="B12">
        <v>35.554877052933001</v>
      </c>
    </row>
    <row r="14" spans="1:2" x14ac:dyDescent="0.25">
      <c r="A14" t="s">
        <v>140</v>
      </c>
    </row>
    <row r="15" spans="1:2" x14ac:dyDescent="0.25">
      <c r="A15" t="s">
        <v>244</v>
      </c>
      <c r="B15">
        <v>2050</v>
      </c>
    </row>
    <row r="16" spans="1:2" x14ac:dyDescent="0.25">
      <c r="A16" t="s">
        <v>41</v>
      </c>
      <c r="B16">
        <v>4.4438696697774303</v>
      </c>
    </row>
    <row r="17" spans="1:2" x14ac:dyDescent="0.25">
      <c r="A17" t="s">
        <v>180</v>
      </c>
      <c r="B17">
        <v>1.6555592887406101</v>
      </c>
    </row>
    <row r="18" spans="1:2" x14ac:dyDescent="0.25">
      <c r="A18" t="s">
        <v>104</v>
      </c>
      <c r="B18">
        <v>22.306483048294499</v>
      </c>
    </row>
    <row r="19" spans="1:2" x14ac:dyDescent="0.25">
      <c r="A19" t="s">
        <v>10</v>
      </c>
      <c r="B19">
        <v>28.4059120068125</v>
      </c>
    </row>
    <row r="21" spans="1:2" x14ac:dyDescent="0.25">
      <c r="A21" t="s">
        <v>141</v>
      </c>
    </row>
    <row r="23" spans="1:2" x14ac:dyDescent="0.25">
      <c r="A23" t="s">
        <v>245</v>
      </c>
    </row>
    <row r="25" spans="1:2" x14ac:dyDescent="0.25">
      <c r="A25" t="s">
        <v>143</v>
      </c>
    </row>
    <row r="27" spans="1:2" x14ac:dyDescent="0.25">
      <c r="A27" t="s">
        <v>128</v>
      </c>
    </row>
    <row r="28" spans="1:2" x14ac:dyDescent="0.25">
      <c r="A28" t="s">
        <v>104</v>
      </c>
    </row>
    <row r="29" spans="1:2" x14ac:dyDescent="0.25">
      <c r="A29" t="s">
        <v>135</v>
      </c>
    </row>
    <row r="30" spans="1:2" x14ac:dyDescent="0.25">
      <c r="A30" t="s">
        <v>246</v>
      </c>
    </row>
    <row r="31" spans="1:2" x14ac:dyDescent="0.25">
      <c r="A31" t="s">
        <v>10</v>
      </c>
    </row>
    <row r="33" spans="1:1" x14ac:dyDescent="0.25">
      <c r="A33" t="s">
        <v>213</v>
      </c>
    </row>
    <row r="34" spans="1:1" x14ac:dyDescent="0.25">
      <c r="A34" t="s">
        <v>128</v>
      </c>
    </row>
    <row r="35" spans="1:1" x14ac:dyDescent="0.25">
      <c r="A35" t="s">
        <v>247</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Feuil32"/>
  <dimension ref="B3:P18"/>
  <sheetViews>
    <sheetView workbookViewId="0"/>
  </sheetViews>
  <sheetFormatPr baseColWidth="10" defaultRowHeight="15" x14ac:dyDescent="0.25"/>
  <sheetData>
    <row r="3" spans="2:16" x14ac:dyDescent="0.25">
      <c r="C3" t="s">
        <v>248</v>
      </c>
    </row>
    <row r="4" spans="2:16" x14ac:dyDescent="0.25">
      <c r="C4" t="s">
        <v>249</v>
      </c>
      <c r="D4" t="s">
        <v>250</v>
      </c>
      <c r="E4" t="s">
        <v>42</v>
      </c>
      <c r="F4" t="s">
        <v>251</v>
      </c>
      <c r="G4" t="s">
        <v>224</v>
      </c>
      <c r="H4" t="s">
        <v>252</v>
      </c>
      <c r="I4" t="s">
        <v>32</v>
      </c>
      <c r="J4" t="s">
        <v>253</v>
      </c>
      <c r="K4" t="s">
        <v>254</v>
      </c>
      <c r="L4" t="s">
        <v>255</v>
      </c>
    </row>
    <row r="5" spans="2:16" x14ac:dyDescent="0.25">
      <c r="B5">
        <v>2015</v>
      </c>
      <c r="C5">
        <v>0.01</v>
      </c>
      <c r="D5">
        <v>0.45</v>
      </c>
      <c r="E5">
        <v>7.0000000000000007E-2</v>
      </c>
      <c r="F5">
        <v>0</v>
      </c>
      <c r="G5">
        <v>0.02</v>
      </c>
      <c r="H5">
        <v>0</v>
      </c>
      <c r="I5">
        <v>0.39</v>
      </c>
      <c r="J5">
        <v>0.01</v>
      </c>
      <c r="K5">
        <v>0.05</v>
      </c>
      <c r="L5">
        <v>56.3</v>
      </c>
    </row>
    <row r="6" spans="2:16" x14ac:dyDescent="0.25">
      <c r="B6">
        <v>2020</v>
      </c>
      <c r="C6">
        <v>0.02</v>
      </c>
      <c r="D6">
        <v>0.5</v>
      </c>
      <c r="E6">
        <v>0.05</v>
      </c>
      <c r="F6">
        <v>0</v>
      </c>
      <c r="G6">
        <v>0.01</v>
      </c>
      <c r="H6">
        <v>0</v>
      </c>
      <c r="I6">
        <v>0.33</v>
      </c>
      <c r="J6">
        <v>0.03</v>
      </c>
      <c r="K6">
        <v>0.06</v>
      </c>
      <c r="L6">
        <v>41.909196312542598</v>
      </c>
    </row>
    <row r="7" spans="2:16" x14ac:dyDescent="0.25">
      <c r="B7">
        <v>2025</v>
      </c>
      <c r="C7">
        <v>0.03</v>
      </c>
      <c r="D7">
        <v>0.55000000000000004</v>
      </c>
      <c r="E7">
        <v>0.01</v>
      </c>
      <c r="F7">
        <v>0</v>
      </c>
      <c r="G7">
        <v>0</v>
      </c>
      <c r="H7">
        <v>0.01</v>
      </c>
      <c r="I7">
        <v>0.2</v>
      </c>
      <c r="J7">
        <v>0.12</v>
      </c>
      <c r="K7">
        <v>0.08</v>
      </c>
      <c r="L7">
        <v>45.564233197792099</v>
      </c>
    </row>
    <row r="8" spans="2:16" x14ac:dyDescent="0.25">
      <c r="B8">
        <v>2030</v>
      </c>
      <c r="C8">
        <v>0.03</v>
      </c>
      <c r="D8">
        <v>0.5</v>
      </c>
      <c r="E8">
        <v>0</v>
      </c>
      <c r="F8">
        <v>0</v>
      </c>
      <c r="G8">
        <v>0</v>
      </c>
      <c r="H8">
        <v>0.02</v>
      </c>
      <c r="I8">
        <v>0.15</v>
      </c>
      <c r="J8">
        <v>0.2</v>
      </c>
      <c r="K8">
        <v>0.1</v>
      </c>
      <c r="L8">
        <v>49.216831482822897</v>
      </c>
    </row>
    <row r="9" spans="2:16" x14ac:dyDescent="0.25">
      <c r="B9">
        <v>2050</v>
      </c>
      <c r="C9">
        <v>0.05</v>
      </c>
      <c r="D9">
        <v>0.45</v>
      </c>
      <c r="E9">
        <v>0</v>
      </c>
      <c r="F9">
        <v>0</v>
      </c>
      <c r="G9">
        <v>0</v>
      </c>
      <c r="H9">
        <v>0</v>
      </c>
      <c r="I9">
        <v>0</v>
      </c>
      <c r="J9">
        <v>0.25</v>
      </c>
      <c r="K9">
        <v>0.25</v>
      </c>
      <c r="L9">
        <v>45.563789831074999</v>
      </c>
    </row>
    <row r="12" spans="2:16" x14ac:dyDescent="0.25">
      <c r="B12" t="s">
        <v>256</v>
      </c>
    </row>
    <row r="13" spans="2:16" x14ac:dyDescent="0.25">
      <c r="C13" t="s">
        <v>20</v>
      </c>
      <c r="D13" t="s">
        <v>42</v>
      </c>
      <c r="E13" t="s">
        <v>224</v>
      </c>
      <c r="F13" t="s">
        <v>252</v>
      </c>
      <c r="G13" t="s">
        <v>32</v>
      </c>
      <c r="H13" t="s">
        <v>257</v>
      </c>
      <c r="I13" t="s">
        <v>258</v>
      </c>
      <c r="J13" t="s">
        <v>135</v>
      </c>
      <c r="K13" t="s">
        <v>259</v>
      </c>
      <c r="L13" t="s">
        <v>255</v>
      </c>
      <c r="M13" t="s">
        <v>31</v>
      </c>
    </row>
    <row r="14" spans="2:16" x14ac:dyDescent="0.25">
      <c r="B14">
        <v>2015</v>
      </c>
      <c r="C14">
        <v>0.76336996336996299</v>
      </c>
      <c r="D14">
        <v>1.6E-2</v>
      </c>
      <c r="E14">
        <v>6.0000000000000001E-3</v>
      </c>
      <c r="F14">
        <v>0</v>
      </c>
      <c r="G14">
        <v>0.04</v>
      </c>
      <c r="H14">
        <v>0.107509157509158</v>
      </c>
      <c r="I14">
        <v>3.8644688644688598E-2</v>
      </c>
      <c r="J14">
        <v>1.35531135531136E-2</v>
      </c>
      <c r="K14">
        <v>1.4468864468864501E-2</v>
      </c>
      <c r="L14">
        <v>546</v>
      </c>
      <c r="M14">
        <v>0</v>
      </c>
    </row>
    <row r="15" spans="2:16" x14ac:dyDescent="0.25">
      <c r="B15">
        <v>2020</v>
      </c>
      <c r="C15" s="404">
        <v>0.71671743415158573</v>
      </c>
      <c r="D15" s="404">
        <v>1.3438451890342233E-2</v>
      </c>
      <c r="E15" s="404">
        <v>0</v>
      </c>
      <c r="F15" s="404">
        <v>0</v>
      </c>
      <c r="G15" s="404">
        <v>4.4078122200322527E-2</v>
      </c>
      <c r="H15" s="404">
        <v>0.10929940870811682</v>
      </c>
      <c r="I15" s="404">
        <v>6.9879949829779603E-2</v>
      </c>
      <c r="J15" s="404">
        <v>2.8668697366063429E-2</v>
      </c>
      <c r="K15" s="404">
        <v>1.7917935853789643E-2</v>
      </c>
      <c r="L15">
        <v>558.1</v>
      </c>
      <c r="M15">
        <v>0</v>
      </c>
      <c r="O15">
        <f>G15*L15/11.63</f>
        <v>2.1152192605331042</v>
      </c>
      <c r="P15">
        <f>D15*L15/11.63</f>
        <v>0.64488392089423896</v>
      </c>
    </row>
    <row r="16" spans="2:16" x14ac:dyDescent="0.25">
      <c r="B16">
        <v>2025</v>
      </c>
      <c r="C16" s="404">
        <v>0.667779632721202</v>
      </c>
      <c r="D16" s="404">
        <v>1.2520868113522538E-2</v>
      </c>
      <c r="E16" s="404">
        <v>0</v>
      </c>
      <c r="F16" s="404">
        <v>0</v>
      </c>
      <c r="G16" s="404">
        <v>4.2570951585976631E-2</v>
      </c>
      <c r="H16" s="404">
        <v>0.1018363939899833</v>
      </c>
      <c r="I16" s="404">
        <v>0.10851419031719532</v>
      </c>
      <c r="J16" s="404">
        <v>4.340567612687813E-2</v>
      </c>
      <c r="K16" s="404">
        <v>2.337228714524207E-2</v>
      </c>
      <c r="L16">
        <v>599</v>
      </c>
      <c r="M16">
        <v>0</v>
      </c>
    </row>
    <row r="17" spans="2:13" x14ac:dyDescent="0.25">
      <c r="B17">
        <v>2030</v>
      </c>
      <c r="C17" s="404">
        <v>0.63795853269537484</v>
      </c>
      <c r="D17" s="404">
        <v>1.1961722488038277E-2</v>
      </c>
      <c r="E17" s="404">
        <v>0</v>
      </c>
      <c r="F17" s="404">
        <v>0</v>
      </c>
      <c r="G17" s="404">
        <v>4.0669856459330141E-2</v>
      </c>
      <c r="H17" s="404">
        <v>9.7288676236044661E-2</v>
      </c>
      <c r="I17" s="404">
        <v>0.12759170653907495</v>
      </c>
      <c r="J17" s="404">
        <v>5.7416267942583733E-2</v>
      </c>
      <c r="K17" s="404">
        <v>2.7113237639553429E-2</v>
      </c>
      <c r="L17">
        <v>627</v>
      </c>
      <c r="M17">
        <v>0</v>
      </c>
    </row>
    <row r="18" spans="2:13" x14ac:dyDescent="0.25">
      <c r="B18">
        <v>2050</v>
      </c>
      <c r="C18" s="404">
        <v>0.15503875968992201</v>
      </c>
      <c r="D18" s="404">
        <v>1.16279069767442E-2</v>
      </c>
      <c r="E18" s="404">
        <v>0</v>
      </c>
      <c r="F18" s="404">
        <v>0</v>
      </c>
      <c r="G18" s="404">
        <v>3.9534883720930197E-2</v>
      </c>
      <c r="H18" s="404">
        <v>9.4573643410852698E-2</v>
      </c>
      <c r="I18" s="404">
        <v>0.34108527131782901</v>
      </c>
      <c r="J18" s="404">
        <v>0.31007751937984501</v>
      </c>
      <c r="K18" s="404">
        <v>4.8062015503876003E-2</v>
      </c>
      <c r="L18">
        <v>645</v>
      </c>
      <c r="M18">
        <v>0</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19AF7-8290-4BB1-8ACC-ED8FCBA4CE82}">
  <sheetPr>
    <tabColor theme="3"/>
  </sheetPr>
  <dimension ref="A1:X45"/>
  <sheetViews>
    <sheetView topLeftCell="A4" workbookViewId="0"/>
  </sheetViews>
  <sheetFormatPr baseColWidth="10" defaultColWidth="14.28515625" defaultRowHeight="15" x14ac:dyDescent="0.25"/>
  <cols>
    <col min="1" max="1" width="14.28515625" customWidth="1"/>
    <col min="3" max="3" width="43.85546875" customWidth="1"/>
    <col min="23" max="23" width="0" hidden="1" customWidth="1"/>
  </cols>
  <sheetData>
    <row r="1" spans="1:24" ht="15.75" hidden="1" x14ac:dyDescent="0.25">
      <c r="D1" s="598" t="e">
        <f>LEFT(ADDRESS(1,COLUMN(#REF!),4),LEN(ADDRESS(1,COLUMN(#REF!),4))-1)</f>
        <v>#REF!</v>
      </c>
      <c r="E1" s="598" t="e">
        <f>LEFT(ADDRESS(1,COLUMN(#REF!),4),LEN(ADDRESS(1,COLUMN(#REF!),4))-1)</f>
        <v>#REF!</v>
      </c>
      <c r="F1" s="598" t="e">
        <f>LEFT(ADDRESS(1,COLUMN(#REF!),4),LEN(ADDRESS(1,COLUMN(#REF!),4))-1)</f>
        <v>#REF!</v>
      </c>
      <c r="G1" s="598"/>
      <c r="H1" s="598" t="e">
        <f>LEFT(ADDRESS(1,COLUMN(#REF!),4),LEN(ADDRESS(1,COLUMN(#REF!),4))-1)</f>
        <v>#REF!</v>
      </c>
      <c r="I1" s="598"/>
      <c r="J1" s="598" t="e">
        <f>LEFT(ADDRESS(1,COLUMN(#REF!),4),LEN(ADDRESS(1,COLUMN(#REF!),4))-1)</f>
        <v>#REF!</v>
      </c>
      <c r="K1" s="598" t="e">
        <f>LEFT(ADDRESS(1,COLUMN(#REF!),4),LEN(ADDRESS(1,COLUMN(#REF!),4))-1)</f>
        <v>#REF!</v>
      </c>
      <c r="L1" s="598" t="e">
        <f>LEFT(ADDRESS(1,COLUMN(#REF!),4),LEN(ADDRESS(1,COLUMN(#REF!),4))-1)</f>
        <v>#REF!</v>
      </c>
      <c r="M1" s="598" t="e">
        <f>LEFT(ADDRESS(1,COLUMN(#REF!),4),LEN(ADDRESS(1,COLUMN(#REF!),4))-1)</f>
        <v>#REF!</v>
      </c>
      <c r="N1" s="598" t="e">
        <f>LEFT(ADDRESS(1,COLUMN(#REF!),4),LEN(ADDRESS(1,COLUMN(#REF!),4))-1)</f>
        <v>#REF!</v>
      </c>
      <c r="O1" s="598" t="e">
        <f>LEFT(ADDRESS(1,COLUMN(#REF!),4),LEN(ADDRESS(1,COLUMN(#REF!),4))-1)</f>
        <v>#REF!</v>
      </c>
      <c r="P1" s="598" t="e">
        <f>LEFT(ADDRESS(1,COLUMN(#REF!),4),LEN(ADDRESS(1,COLUMN(#REF!),4))-1)</f>
        <v>#REF!</v>
      </c>
      <c r="Q1" s="598" t="e">
        <f>LEFT(ADDRESS(1,COLUMN(#REF!),4),LEN(ADDRESS(1,COLUMN(#REF!),4))-1)</f>
        <v>#REF!</v>
      </c>
      <c r="R1" s="598" t="e">
        <f>LEFT(ADDRESS(1,COLUMN(#REF!),4),LEN(ADDRESS(1,COLUMN(#REF!),4))-1)</f>
        <v>#REF!</v>
      </c>
      <c r="S1" s="598" t="e">
        <f>LEFT(ADDRESS(1,COLUMN(#REF!),4),LEN(ADDRESS(1,COLUMN(#REF!),4))-1)</f>
        <v>#REF!</v>
      </c>
      <c r="T1" s="598" t="e">
        <f>LEFT(ADDRESS(1,COLUMN(#REF!),4),LEN(ADDRESS(1,COLUMN(#REF!),4))-1)</f>
        <v>#REF!</v>
      </c>
      <c r="U1" s="598" t="e">
        <f>LEFT(ADDRESS(1,COLUMN(#REF!),4),LEN(ADDRESS(1,COLUMN(#REF!),4))-1)</f>
        <v>#REF!</v>
      </c>
      <c r="W1" t="e">
        <f>U1</f>
        <v>#REF!</v>
      </c>
    </row>
    <row r="2" spans="1:24" hidden="1" x14ac:dyDescent="0.25">
      <c r="D2" t="e">
        <f>#REF!</f>
        <v>#REF!</v>
      </c>
      <c r="E2" s="51" t="e">
        <f>#REF!</f>
        <v>#REF!</v>
      </c>
      <c r="F2" s="51" t="e">
        <f>#REF!</f>
        <v>#REF!</v>
      </c>
      <c r="G2" s="51"/>
      <c r="H2" s="51" t="e">
        <f>#REF!</f>
        <v>#REF!</v>
      </c>
      <c r="I2" s="51"/>
      <c r="J2" s="51" t="e">
        <f>#REF!</f>
        <v>#REF!</v>
      </c>
      <c r="K2" s="51" t="e">
        <f>#REF!</f>
        <v>#REF!</v>
      </c>
      <c r="L2" s="51" t="e">
        <f>#REF!</f>
        <v>#REF!</v>
      </c>
      <c r="M2" s="51" t="e">
        <f>#REF!</f>
        <v>#REF!</v>
      </c>
      <c r="N2" s="51" t="e">
        <f>#REF!</f>
        <v>#REF!</v>
      </c>
      <c r="O2" s="51" t="e">
        <f>#REF!</f>
        <v>#REF!</v>
      </c>
      <c r="P2" s="51" t="e">
        <f>#REF!</f>
        <v>#REF!</v>
      </c>
      <c r="Q2" s="51" t="e">
        <f>#REF!</f>
        <v>#REF!</v>
      </c>
      <c r="R2" s="51" t="e">
        <f>#REF!</f>
        <v>#REF!</v>
      </c>
      <c r="S2" s="51" t="e">
        <f>#REF!</f>
        <v>#REF!</v>
      </c>
      <c r="T2" s="51" t="e">
        <f>#REF!</f>
        <v>#REF!</v>
      </c>
      <c r="U2" s="51" t="e">
        <f>#REF!</f>
        <v>#REF!</v>
      </c>
    </row>
    <row r="3" spans="1:24" hidden="1" x14ac:dyDescent="0.25"/>
    <row r="4" spans="1:24" s="601" customFormat="1" ht="18.75" x14ac:dyDescent="0.3">
      <c r="A4" s="599"/>
      <c r="B4" s="599"/>
      <c r="C4" s="600" t="s">
        <v>406</v>
      </c>
      <c r="D4" s="599"/>
      <c r="E4" s="599"/>
      <c r="F4" s="599"/>
      <c r="G4" s="599"/>
      <c r="H4" s="599"/>
      <c r="I4" s="599"/>
      <c r="J4" s="599"/>
      <c r="K4" s="599"/>
      <c r="L4" s="599"/>
      <c r="M4" s="599"/>
      <c r="N4" s="599"/>
      <c r="O4" s="599"/>
      <c r="P4" s="599"/>
      <c r="Q4" s="599"/>
      <c r="R4" s="599"/>
      <c r="S4" s="599"/>
      <c r="T4" s="599"/>
      <c r="U4" s="599"/>
      <c r="V4" s="599"/>
      <c r="W4" s="599"/>
      <c r="X4" s="599"/>
    </row>
    <row r="5" spans="1:24" x14ac:dyDescent="0.25">
      <c r="A5" s="51"/>
      <c r="B5" s="51"/>
      <c r="C5" s="51"/>
      <c r="D5" s="51"/>
      <c r="E5" s="51"/>
      <c r="F5" s="51"/>
      <c r="G5" s="51"/>
      <c r="H5" s="51"/>
      <c r="I5" s="51"/>
      <c r="J5" s="51"/>
      <c r="K5" s="51"/>
      <c r="L5" s="51"/>
      <c r="M5" s="51"/>
      <c r="N5" s="51"/>
      <c r="O5" s="51"/>
      <c r="P5" s="51"/>
      <c r="Q5" s="51"/>
      <c r="R5" s="51"/>
      <c r="S5" s="51"/>
      <c r="T5" s="51"/>
      <c r="U5" s="51"/>
      <c r="V5" s="51"/>
      <c r="W5" s="51"/>
      <c r="X5" s="51"/>
    </row>
    <row r="6" spans="1:24" s="605" customFormat="1" ht="15.75" x14ac:dyDescent="0.25">
      <c r="A6" s="602"/>
      <c r="B6" s="51"/>
      <c r="C6" s="603" t="s">
        <v>338</v>
      </c>
      <c r="D6" s="602" t="s">
        <v>481</v>
      </c>
      <c r="E6" s="602"/>
      <c r="F6" s="602"/>
      <c r="G6" s="602"/>
      <c r="H6" s="602"/>
      <c r="I6" s="602"/>
      <c r="J6" s="602"/>
      <c r="K6" s="604"/>
      <c r="L6" s="604"/>
      <c r="M6" s="604"/>
      <c r="N6" s="604"/>
      <c r="O6" s="604"/>
      <c r="P6" s="604"/>
      <c r="Q6" s="604"/>
      <c r="R6" s="602"/>
      <c r="S6" s="602"/>
      <c r="T6" s="602"/>
      <c r="U6" s="602"/>
      <c r="V6" s="602"/>
      <c r="W6" s="602"/>
      <c r="X6" s="602"/>
    </row>
    <row r="7" spans="1:24" s="605" customFormat="1" ht="15.75" x14ac:dyDescent="0.25">
      <c r="A7" s="602"/>
      <c r="B7" s="51"/>
      <c r="C7" s="603" t="s">
        <v>341</v>
      </c>
      <c r="D7" s="602" t="s">
        <v>342</v>
      </c>
      <c r="E7" s="602"/>
      <c r="F7" s="602"/>
      <c r="G7" s="602"/>
      <c r="H7" s="602"/>
      <c r="I7" s="602"/>
      <c r="J7" s="602"/>
      <c r="K7" s="602"/>
      <c r="L7" s="602"/>
      <c r="M7" s="602"/>
      <c r="N7" s="602"/>
      <c r="O7" s="602"/>
      <c r="P7" s="602"/>
      <c r="Q7" s="602"/>
      <c r="R7" s="602"/>
      <c r="S7" s="602"/>
      <c r="T7" s="602"/>
      <c r="U7" s="602"/>
      <c r="V7" s="602"/>
      <c r="W7" s="602"/>
      <c r="X7" s="602"/>
    </row>
    <row r="8" spans="1:24" x14ac:dyDescent="0.25">
      <c r="A8" s="606"/>
      <c r="B8" s="606"/>
      <c r="C8" s="607" t="s">
        <v>89</v>
      </c>
      <c r="D8" s="606"/>
      <c r="E8" s="606"/>
      <c r="F8" s="606"/>
      <c r="G8" s="606"/>
      <c r="H8" s="606"/>
      <c r="I8" s="606"/>
      <c r="J8" s="606"/>
      <c r="K8" s="606"/>
      <c r="L8" s="606"/>
      <c r="M8" s="606"/>
      <c r="N8" s="606"/>
      <c r="O8" s="606"/>
      <c r="P8" s="606"/>
      <c r="Q8" s="606"/>
      <c r="R8" s="606"/>
      <c r="S8" s="606"/>
      <c r="T8" s="606"/>
      <c r="U8" s="606"/>
      <c r="V8" s="606"/>
      <c r="W8" s="606"/>
      <c r="X8" s="606"/>
    </row>
    <row r="9" spans="1:24" x14ac:dyDescent="0.25">
      <c r="A9" s="51"/>
      <c r="B9" s="51"/>
      <c r="C9" s="51"/>
      <c r="D9" s="51"/>
      <c r="E9" s="51"/>
      <c r="F9" s="51"/>
      <c r="G9" s="51"/>
      <c r="H9" s="51"/>
      <c r="I9" s="51"/>
      <c r="J9" s="51"/>
      <c r="K9" s="51"/>
      <c r="L9" s="51"/>
      <c r="M9" s="51"/>
      <c r="N9" s="51"/>
      <c r="O9" s="51"/>
      <c r="P9" s="51"/>
      <c r="Q9" s="51"/>
      <c r="R9" s="51"/>
      <c r="S9" s="51"/>
      <c r="T9" s="51"/>
      <c r="U9" s="51"/>
      <c r="V9" s="51"/>
      <c r="W9" s="51"/>
      <c r="X9" s="51"/>
    </row>
    <row r="10" spans="1:24" ht="14.25" customHeight="1" x14ac:dyDescent="0.25">
      <c r="A10" s="51"/>
      <c r="B10" s="51"/>
      <c r="C10" s="764" t="s">
        <v>128</v>
      </c>
      <c r="D10" s="753" t="s">
        <v>42</v>
      </c>
      <c r="E10" s="753" t="s">
        <v>52</v>
      </c>
      <c r="F10" s="753" t="s">
        <v>53</v>
      </c>
      <c r="G10" s="753" t="s">
        <v>482</v>
      </c>
      <c r="H10" s="753" t="s">
        <v>32</v>
      </c>
      <c r="I10" s="753" t="s">
        <v>483</v>
      </c>
      <c r="J10" s="753" t="s">
        <v>20</v>
      </c>
      <c r="K10" s="753" t="s">
        <v>55</v>
      </c>
      <c r="L10" s="761" t="s">
        <v>56</v>
      </c>
      <c r="M10" s="762"/>
      <c r="N10" s="762"/>
      <c r="O10" s="762"/>
      <c r="P10" s="762"/>
      <c r="Q10" s="763"/>
      <c r="R10" s="753" t="s">
        <v>57</v>
      </c>
      <c r="S10" s="753" t="s">
        <v>58</v>
      </c>
      <c r="T10" s="753" t="s">
        <v>31</v>
      </c>
      <c r="U10" s="753" t="s">
        <v>10</v>
      </c>
      <c r="V10" s="51"/>
      <c r="W10" s="51"/>
      <c r="X10" s="51"/>
    </row>
    <row r="11" spans="1:24" ht="24" x14ac:dyDescent="0.25">
      <c r="A11" s="51"/>
      <c r="B11" s="51"/>
      <c r="C11" s="765"/>
      <c r="D11" s="754"/>
      <c r="E11" s="754"/>
      <c r="F11" s="754"/>
      <c r="G11" s="754"/>
      <c r="H11" s="754"/>
      <c r="I11" s="754"/>
      <c r="J11" s="754"/>
      <c r="K11" s="754"/>
      <c r="L11" s="608" t="s">
        <v>335</v>
      </c>
      <c r="M11" s="608" t="s">
        <v>40</v>
      </c>
      <c r="N11" s="608" t="s">
        <v>343</v>
      </c>
      <c r="O11" s="608" t="s">
        <v>344</v>
      </c>
      <c r="P11" s="609" t="s">
        <v>345</v>
      </c>
      <c r="Q11" s="608" t="s">
        <v>346</v>
      </c>
      <c r="R11" s="754"/>
      <c r="S11" s="754"/>
      <c r="T11" s="754"/>
      <c r="U11" s="754"/>
      <c r="V11" s="51"/>
      <c r="W11" s="51"/>
      <c r="X11" s="51"/>
    </row>
    <row r="12" spans="1:24" x14ac:dyDescent="0.25">
      <c r="A12" s="51"/>
      <c r="B12" s="51"/>
      <c r="C12" s="610" t="s">
        <v>59</v>
      </c>
      <c r="D12" s="421">
        <v>0</v>
      </c>
      <c r="E12" s="421">
        <v>0</v>
      </c>
      <c r="F12" s="422">
        <v>0</v>
      </c>
      <c r="G12" s="611">
        <v>0</v>
      </c>
      <c r="H12" s="421">
        <v>0</v>
      </c>
      <c r="I12" s="611">
        <v>0</v>
      </c>
      <c r="J12" s="422">
        <v>722.62832727272735</v>
      </c>
      <c r="K12" s="422">
        <v>564.70258021663687</v>
      </c>
      <c r="L12" s="422">
        <v>261.57522104592402</v>
      </c>
      <c r="M12" s="422">
        <v>19.259411243005907</v>
      </c>
      <c r="N12" s="628">
        <v>1.5563580670349855</v>
      </c>
      <c r="O12" s="628">
        <v>0.17110271620039663</v>
      </c>
      <c r="P12" s="432">
        <v>165.69550077594988</v>
      </c>
      <c r="Q12" s="509">
        <v>24.373068583718577</v>
      </c>
      <c r="R12" s="422">
        <v>0</v>
      </c>
      <c r="S12" s="422">
        <v>0</v>
      </c>
      <c r="T12" s="422">
        <v>0</v>
      </c>
      <c r="U12" s="423">
        <v>1759.9615699211979</v>
      </c>
      <c r="V12" s="51"/>
      <c r="W12" s="51"/>
      <c r="X12" s="51"/>
    </row>
    <row r="13" spans="1:24" x14ac:dyDescent="0.25">
      <c r="A13" s="51"/>
      <c r="B13" s="51"/>
      <c r="C13" s="610" t="s">
        <v>60</v>
      </c>
      <c r="D13" s="422">
        <v>5.9311888025037742</v>
      </c>
      <c r="E13" s="422">
        <v>113.95685880900638</v>
      </c>
      <c r="F13" s="422">
        <v>1.9517818504706483</v>
      </c>
      <c r="G13" s="624">
        <v>0</v>
      </c>
      <c r="H13" s="422">
        <v>2.6585092475046008</v>
      </c>
      <c r="I13" s="624">
        <v>0</v>
      </c>
      <c r="J13" s="422">
        <v>0</v>
      </c>
      <c r="K13" s="422">
        <v>0</v>
      </c>
      <c r="L13" s="422">
        <v>5.2309321400654634</v>
      </c>
      <c r="M13" s="422">
        <v>0</v>
      </c>
      <c r="N13" s="628">
        <v>5.4084519189769722</v>
      </c>
      <c r="O13" s="432">
        <v>0</v>
      </c>
      <c r="P13" s="422">
        <v>0</v>
      </c>
      <c r="Q13" s="422">
        <v>0</v>
      </c>
      <c r="R13" s="432">
        <v>0</v>
      </c>
      <c r="S13" s="422">
        <v>0</v>
      </c>
      <c r="T13" s="432">
        <v>0</v>
      </c>
      <c r="U13" s="423">
        <v>135.13772276852782</v>
      </c>
      <c r="V13" s="51"/>
      <c r="W13" s="51"/>
      <c r="X13" s="51"/>
    </row>
    <row r="14" spans="1:24" x14ac:dyDescent="0.25">
      <c r="A14" s="51"/>
      <c r="B14" s="51"/>
      <c r="C14" s="610" t="s">
        <v>61</v>
      </c>
      <c r="D14" s="422">
        <v>0</v>
      </c>
      <c r="E14" s="422">
        <v>0</v>
      </c>
      <c r="F14" s="422">
        <v>-32.162617358689019</v>
      </c>
      <c r="G14" s="624">
        <v>-9.0412558456810785</v>
      </c>
      <c r="H14" s="422">
        <v>0</v>
      </c>
      <c r="I14" s="624">
        <v>0</v>
      </c>
      <c r="J14" s="422">
        <v>0</v>
      </c>
      <c r="K14" s="422">
        <v>0</v>
      </c>
      <c r="L14" s="422">
        <v>0</v>
      </c>
      <c r="M14" s="422">
        <v>0</v>
      </c>
      <c r="N14" s="628">
        <v>0</v>
      </c>
      <c r="O14" s="432">
        <v>0</v>
      </c>
      <c r="P14" s="422">
        <v>0</v>
      </c>
      <c r="Q14" s="422">
        <v>0</v>
      </c>
      <c r="R14" s="432">
        <v>-51.026672969387278</v>
      </c>
      <c r="S14" s="422">
        <v>0</v>
      </c>
      <c r="T14" s="432">
        <v>0</v>
      </c>
      <c r="U14" s="423">
        <v>-92.230546173757375</v>
      </c>
      <c r="V14" s="51"/>
      <c r="W14" s="51"/>
      <c r="X14" s="51"/>
    </row>
    <row r="15" spans="1:24" x14ac:dyDescent="0.25">
      <c r="A15" s="51"/>
      <c r="B15" s="51"/>
      <c r="C15" s="610" t="s">
        <v>62</v>
      </c>
      <c r="D15" s="421">
        <v>0</v>
      </c>
      <c r="E15" s="421">
        <v>0</v>
      </c>
      <c r="F15" s="421">
        <v>-1.6540275032482068</v>
      </c>
      <c r="G15" s="624">
        <v>-4.2955328800984329</v>
      </c>
      <c r="H15" s="421">
        <v>0</v>
      </c>
      <c r="I15" s="624">
        <v>-0.31877375583888373</v>
      </c>
      <c r="J15" s="421">
        <v>0</v>
      </c>
      <c r="K15" s="421">
        <v>0</v>
      </c>
      <c r="L15" s="421">
        <v>0</v>
      </c>
      <c r="M15" s="421">
        <v>0</v>
      </c>
      <c r="N15" s="431">
        <v>-0.24545902171991044</v>
      </c>
      <c r="O15" s="431">
        <v>-6.0567013609387903</v>
      </c>
      <c r="P15" s="421">
        <v>0</v>
      </c>
      <c r="Q15" s="421">
        <v>0</v>
      </c>
      <c r="R15" s="422">
        <v>0</v>
      </c>
      <c r="S15" s="422">
        <v>0</v>
      </c>
      <c r="T15" s="431">
        <v>0</v>
      </c>
      <c r="U15" s="423">
        <v>-12.570494521844225</v>
      </c>
      <c r="V15" s="51"/>
      <c r="W15" s="51"/>
      <c r="X15" s="51"/>
    </row>
    <row r="16" spans="1:24" x14ac:dyDescent="0.25">
      <c r="A16" s="51"/>
      <c r="B16" s="51"/>
      <c r="C16" s="610" t="s">
        <v>63</v>
      </c>
      <c r="D16" s="421">
        <v>0</v>
      </c>
      <c r="E16" s="421">
        <v>0</v>
      </c>
      <c r="F16" s="421">
        <v>-18.714774559646315</v>
      </c>
      <c r="G16" s="624">
        <v>-28.257765893495769</v>
      </c>
      <c r="H16" s="421">
        <v>0</v>
      </c>
      <c r="I16" s="624">
        <v>0</v>
      </c>
      <c r="J16" s="421">
        <v>0</v>
      </c>
      <c r="K16" s="421">
        <v>0</v>
      </c>
      <c r="L16" s="421">
        <v>0</v>
      </c>
      <c r="M16" s="421">
        <v>0</v>
      </c>
      <c r="N16" s="431">
        <v>-13.972472121868162</v>
      </c>
      <c r="O16" s="431">
        <v>0</v>
      </c>
      <c r="P16" s="421">
        <v>0</v>
      </c>
      <c r="Q16" s="421">
        <v>0</v>
      </c>
      <c r="R16" s="422">
        <v>0</v>
      </c>
      <c r="S16" s="422">
        <v>0</v>
      </c>
      <c r="T16" s="431">
        <v>-2.6159745910871801</v>
      </c>
      <c r="U16" s="423">
        <v>-63.560987166097433</v>
      </c>
      <c r="V16" s="51"/>
      <c r="W16" s="51"/>
      <c r="X16" s="51"/>
    </row>
    <row r="17" spans="1:24" x14ac:dyDescent="0.25">
      <c r="A17" s="51"/>
      <c r="B17" s="51"/>
      <c r="C17" s="610" t="s">
        <v>64</v>
      </c>
      <c r="D17" s="422">
        <v>0</v>
      </c>
      <c r="E17" s="422">
        <v>0</v>
      </c>
      <c r="F17" s="422">
        <v>0</v>
      </c>
      <c r="G17" s="611">
        <v>0</v>
      </c>
      <c r="H17" s="422">
        <v>0</v>
      </c>
      <c r="I17" s="611">
        <v>0</v>
      </c>
      <c r="J17" s="422">
        <v>0</v>
      </c>
      <c r="K17" s="422">
        <v>0</v>
      </c>
      <c r="L17" s="422">
        <v>0</v>
      </c>
      <c r="M17" s="422">
        <v>0</v>
      </c>
      <c r="N17" s="422">
        <v>0</v>
      </c>
      <c r="O17" s="422">
        <v>0</v>
      </c>
      <c r="P17" s="422">
        <v>0</v>
      </c>
      <c r="Q17" s="422">
        <v>0</v>
      </c>
      <c r="R17" s="422">
        <v>0</v>
      </c>
      <c r="S17" s="422">
        <v>0</v>
      </c>
      <c r="T17" s="422">
        <v>0</v>
      </c>
      <c r="U17" s="423">
        <v>0</v>
      </c>
      <c r="V17" s="51"/>
      <c r="W17" s="51"/>
      <c r="X17" s="51"/>
    </row>
    <row r="18" spans="1:24" x14ac:dyDescent="0.25">
      <c r="A18" s="51"/>
      <c r="B18" s="51"/>
      <c r="C18" s="614" t="s">
        <v>65</v>
      </c>
      <c r="D18" s="510">
        <v>5.9311888025037742</v>
      </c>
      <c r="E18" s="510">
        <v>113.95685880900638</v>
      </c>
      <c r="F18" s="510">
        <v>-50.579637571112897</v>
      </c>
      <c r="G18" s="615">
        <v>-41.594554619275279</v>
      </c>
      <c r="H18" s="510">
        <v>2.6585092475046008</v>
      </c>
      <c r="I18" s="615">
        <v>-0.31877375583888373</v>
      </c>
      <c r="J18" s="425">
        <v>722.62832727272735</v>
      </c>
      <c r="K18" s="425">
        <v>564.70258021663687</v>
      </c>
      <c r="L18" s="425">
        <v>266.80615318598944</v>
      </c>
      <c r="M18" s="510">
        <v>19.259411243005907</v>
      </c>
      <c r="N18" s="425">
        <v>-7.2531211575761132</v>
      </c>
      <c r="O18" s="425">
        <v>-5.8855986447383941</v>
      </c>
      <c r="P18" s="425">
        <v>165.69550077594988</v>
      </c>
      <c r="Q18" s="425">
        <v>24.373068583718577</v>
      </c>
      <c r="R18" s="425">
        <v>-51.026672969387278</v>
      </c>
      <c r="S18" s="425">
        <v>0</v>
      </c>
      <c r="T18" s="425">
        <v>-2.6159745910871801</v>
      </c>
      <c r="U18" s="425">
        <v>1726.7372648280268</v>
      </c>
      <c r="V18" s="51"/>
      <c r="W18" s="51"/>
      <c r="X18" s="51"/>
    </row>
    <row r="19" spans="1:24" x14ac:dyDescent="0.25">
      <c r="A19" s="51"/>
      <c r="B19" s="51"/>
      <c r="C19" s="616"/>
      <c r="D19" s="427">
        <v>0</v>
      </c>
      <c r="E19" s="492">
        <v>0</v>
      </c>
      <c r="F19" s="492">
        <v>0</v>
      </c>
      <c r="G19" s="617">
        <v>0</v>
      </c>
      <c r="H19" s="492">
        <v>0</v>
      </c>
      <c r="I19" s="617">
        <v>0</v>
      </c>
      <c r="J19" s="427">
        <v>0</v>
      </c>
      <c r="K19" s="427">
        <v>0</v>
      </c>
      <c r="L19" s="427">
        <v>0</v>
      </c>
      <c r="M19" s="492">
        <v>0</v>
      </c>
      <c r="N19" s="427">
        <v>0</v>
      </c>
      <c r="O19" s="427">
        <v>0</v>
      </c>
      <c r="P19" s="427">
        <v>0</v>
      </c>
      <c r="Q19" s="427">
        <v>0</v>
      </c>
      <c r="R19" s="492">
        <v>0</v>
      </c>
      <c r="S19" s="492">
        <v>0</v>
      </c>
      <c r="T19" s="427">
        <v>0</v>
      </c>
      <c r="U19" s="427">
        <v>0</v>
      </c>
      <c r="V19" s="51"/>
      <c r="W19" s="51"/>
      <c r="X19" s="51"/>
    </row>
    <row r="20" spans="1:24" x14ac:dyDescent="0.25">
      <c r="A20" s="51"/>
      <c r="B20" s="51"/>
      <c r="C20" s="618" t="s">
        <v>67</v>
      </c>
      <c r="D20" s="421">
        <v>0</v>
      </c>
      <c r="E20" s="431">
        <v>0</v>
      </c>
      <c r="F20" s="431">
        <v>0</v>
      </c>
      <c r="G20" s="611">
        <v>0</v>
      </c>
      <c r="H20" s="431">
        <v>0</v>
      </c>
      <c r="I20" s="611">
        <v>0</v>
      </c>
      <c r="J20" s="421">
        <v>0</v>
      </c>
      <c r="K20" s="421">
        <v>0</v>
      </c>
      <c r="L20" s="421">
        <v>0</v>
      </c>
      <c r="M20" s="431">
        <v>0</v>
      </c>
      <c r="N20" s="421">
        <v>0</v>
      </c>
      <c r="O20" s="421">
        <v>0</v>
      </c>
      <c r="P20" s="421">
        <v>0</v>
      </c>
      <c r="Q20" s="421">
        <v>0</v>
      </c>
      <c r="R20" s="431">
        <v>0</v>
      </c>
      <c r="S20" s="431">
        <v>0</v>
      </c>
      <c r="T20" s="422">
        <v>0</v>
      </c>
      <c r="U20" s="423">
        <v>0</v>
      </c>
      <c r="V20" s="51"/>
      <c r="W20" s="51"/>
      <c r="X20" s="51"/>
    </row>
    <row r="21" spans="1:24" x14ac:dyDescent="0.25">
      <c r="A21" s="51"/>
      <c r="B21" s="51"/>
      <c r="C21" s="618" t="s">
        <v>347</v>
      </c>
      <c r="D21" s="431">
        <v>0</v>
      </c>
      <c r="E21" s="421">
        <v>0</v>
      </c>
      <c r="F21" s="431">
        <v>0</v>
      </c>
      <c r="G21" s="611">
        <v>0</v>
      </c>
      <c r="H21" s="431">
        <v>0</v>
      </c>
      <c r="I21" s="611">
        <v>0</v>
      </c>
      <c r="J21" s="431">
        <v>722.62832727272735</v>
      </c>
      <c r="K21" s="431">
        <v>564.70258021663687</v>
      </c>
      <c r="L21" s="431">
        <v>14.491283228737107</v>
      </c>
      <c r="M21" s="431">
        <v>2.8360527767240682</v>
      </c>
      <c r="N21" s="625">
        <v>6.5561937148871507</v>
      </c>
      <c r="O21" s="431">
        <v>0.11326810820885491</v>
      </c>
      <c r="P21" s="421">
        <v>0</v>
      </c>
      <c r="Q21" s="625">
        <v>6.7631767445353068</v>
      </c>
      <c r="R21" s="421">
        <v>-821.10381752645753</v>
      </c>
      <c r="S21" s="421">
        <v>0</v>
      </c>
      <c r="T21" s="432">
        <v>26.28</v>
      </c>
      <c r="U21" s="491">
        <v>523.267064535999</v>
      </c>
      <c r="V21" s="51"/>
      <c r="W21" s="51"/>
      <c r="X21" s="51"/>
    </row>
    <row r="22" spans="1:24" x14ac:dyDescent="0.25">
      <c r="A22" s="51"/>
      <c r="B22" s="51"/>
      <c r="C22" s="618" t="s">
        <v>348</v>
      </c>
      <c r="D22" s="431">
        <v>0</v>
      </c>
      <c r="E22" s="421">
        <v>0</v>
      </c>
      <c r="F22" s="431">
        <v>0</v>
      </c>
      <c r="G22" s="611">
        <v>0</v>
      </c>
      <c r="H22" s="431">
        <v>0</v>
      </c>
      <c r="I22" s="611">
        <v>0</v>
      </c>
      <c r="J22" s="421">
        <v>0</v>
      </c>
      <c r="K22" s="421">
        <v>0</v>
      </c>
      <c r="L22" s="431">
        <v>33.721862056250039</v>
      </c>
      <c r="M22" s="431">
        <v>14.376617363231052</v>
      </c>
      <c r="N22" s="421">
        <v>0</v>
      </c>
      <c r="O22" s="431">
        <v>8.1785673020738106</v>
      </c>
      <c r="P22" s="421">
        <v>0</v>
      </c>
      <c r="Q22" s="431">
        <v>11.316516045102318</v>
      </c>
      <c r="R22" s="421">
        <v>0</v>
      </c>
      <c r="S22" s="421">
        <v>-64.575476384232388</v>
      </c>
      <c r="T22" s="432">
        <v>0</v>
      </c>
      <c r="U22" s="491">
        <v>3.0180863824248352</v>
      </c>
      <c r="V22" s="51"/>
      <c r="W22" s="51"/>
      <c r="X22" s="51"/>
    </row>
    <row r="23" spans="1:24" x14ac:dyDescent="0.25">
      <c r="A23" s="51"/>
      <c r="B23" s="51"/>
      <c r="C23" s="618" t="s">
        <v>349</v>
      </c>
      <c r="D23" s="421">
        <v>0</v>
      </c>
      <c r="E23" s="421">
        <v>0</v>
      </c>
      <c r="F23" s="421">
        <v>0</v>
      </c>
      <c r="G23" s="611">
        <v>0</v>
      </c>
      <c r="H23" s="421">
        <v>0</v>
      </c>
      <c r="I23" s="611">
        <v>0</v>
      </c>
      <c r="J23" s="421">
        <v>0</v>
      </c>
      <c r="K23" s="421">
        <v>0</v>
      </c>
      <c r="L23" s="431">
        <v>104.38683240846164</v>
      </c>
      <c r="M23" s="421">
        <v>0</v>
      </c>
      <c r="N23" s="421">
        <v>0</v>
      </c>
      <c r="O23" s="421">
        <v>-100.27188716566127</v>
      </c>
      <c r="P23" s="421">
        <v>0</v>
      </c>
      <c r="Q23" s="421">
        <v>0</v>
      </c>
      <c r="R23" s="421">
        <v>0</v>
      </c>
      <c r="S23" s="421">
        <v>0</v>
      </c>
      <c r="T23" s="422">
        <v>0</v>
      </c>
      <c r="U23" s="491">
        <v>4.1149452428003741</v>
      </c>
      <c r="V23" s="51"/>
      <c r="W23" s="51"/>
      <c r="X23" s="51"/>
    </row>
    <row r="24" spans="1:24" x14ac:dyDescent="0.25">
      <c r="A24" s="51"/>
      <c r="B24" s="51"/>
      <c r="C24" s="618" t="s">
        <v>350</v>
      </c>
      <c r="D24" s="421">
        <v>0</v>
      </c>
      <c r="E24" s="421">
        <v>0</v>
      </c>
      <c r="F24" s="421">
        <v>0</v>
      </c>
      <c r="G24" s="611">
        <v>0</v>
      </c>
      <c r="H24" s="421">
        <v>0</v>
      </c>
      <c r="I24" s="611">
        <v>-4.5962253881571415</v>
      </c>
      <c r="J24" s="421">
        <v>0</v>
      </c>
      <c r="K24" s="421">
        <v>0</v>
      </c>
      <c r="L24" s="421">
        <v>0</v>
      </c>
      <c r="M24" s="421">
        <v>0</v>
      </c>
      <c r="N24" s="421">
        <v>0</v>
      </c>
      <c r="O24" s="421">
        <v>0</v>
      </c>
      <c r="P24" s="421">
        <v>0</v>
      </c>
      <c r="Q24" s="421">
        <v>0</v>
      </c>
      <c r="R24" s="421">
        <v>0</v>
      </c>
      <c r="S24" s="421">
        <v>0</v>
      </c>
      <c r="T24" s="628">
        <v>6.4074201765093832</v>
      </c>
      <c r="U24" s="629">
        <v>1.8111947883522417</v>
      </c>
      <c r="V24" s="51"/>
      <c r="W24" s="51"/>
      <c r="X24" s="51"/>
    </row>
    <row r="25" spans="1:24" x14ac:dyDescent="0.25">
      <c r="A25" s="51"/>
      <c r="B25" s="51"/>
      <c r="C25" s="618" t="s">
        <v>72</v>
      </c>
      <c r="D25" s="421">
        <v>0</v>
      </c>
      <c r="E25" s="431">
        <v>118.07035586741333</v>
      </c>
      <c r="F25" s="421">
        <v>-116.89188714951831</v>
      </c>
      <c r="G25" s="611">
        <v>0</v>
      </c>
      <c r="H25" s="431">
        <v>0</v>
      </c>
      <c r="I25" s="611">
        <v>0</v>
      </c>
      <c r="J25" s="421">
        <v>0</v>
      </c>
      <c r="K25" s="421">
        <v>0</v>
      </c>
      <c r="L25" s="421">
        <v>0</v>
      </c>
      <c r="M25" s="421">
        <v>0</v>
      </c>
      <c r="N25" s="421">
        <v>0</v>
      </c>
      <c r="O25" s="421">
        <v>0</v>
      </c>
      <c r="P25" s="421">
        <v>0</v>
      </c>
      <c r="Q25" s="421">
        <v>0</v>
      </c>
      <c r="R25" s="421">
        <v>0</v>
      </c>
      <c r="S25" s="421">
        <v>0</v>
      </c>
      <c r="T25" s="422">
        <v>0</v>
      </c>
      <c r="U25" s="491">
        <v>1.1784687178950146</v>
      </c>
      <c r="V25" s="51"/>
      <c r="W25" s="51"/>
      <c r="X25" s="51"/>
    </row>
    <row r="26" spans="1:24" x14ac:dyDescent="0.25">
      <c r="A26" s="51"/>
      <c r="B26" s="51"/>
      <c r="C26" s="618" t="s">
        <v>351</v>
      </c>
      <c r="D26" s="421">
        <v>0</v>
      </c>
      <c r="E26" s="421">
        <v>0</v>
      </c>
      <c r="F26" s="421">
        <v>0</v>
      </c>
      <c r="G26" s="611">
        <v>0</v>
      </c>
      <c r="H26" s="421">
        <v>0</v>
      </c>
      <c r="I26" s="611">
        <v>0</v>
      </c>
      <c r="J26" s="421">
        <v>0</v>
      </c>
      <c r="K26" s="421">
        <v>0</v>
      </c>
      <c r="L26" s="625">
        <v>61.244429678974598</v>
      </c>
      <c r="M26" s="421">
        <v>0</v>
      </c>
      <c r="N26" s="421">
        <v>-61.244429678974598</v>
      </c>
      <c r="O26" s="421">
        <v>0</v>
      </c>
      <c r="P26" s="421">
        <v>0</v>
      </c>
      <c r="Q26" s="421">
        <v>0</v>
      </c>
      <c r="R26" s="421">
        <v>0</v>
      </c>
      <c r="S26" s="421">
        <v>0</v>
      </c>
      <c r="T26" s="422">
        <v>0</v>
      </c>
      <c r="U26" s="423">
        <v>0</v>
      </c>
      <c r="V26" s="51"/>
      <c r="W26" s="51"/>
      <c r="X26" s="51"/>
    </row>
    <row r="27" spans="1:24" x14ac:dyDescent="0.25">
      <c r="A27" s="51"/>
      <c r="B27" s="51"/>
      <c r="C27" s="618" t="s">
        <v>352</v>
      </c>
      <c r="D27" s="421">
        <v>0</v>
      </c>
      <c r="E27" s="421">
        <v>0</v>
      </c>
      <c r="F27" s="421">
        <v>0</v>
      </c>
      <c r="G27" s="611">
        <v>-56.725829149009897</v>
      </c>
      <c r="H27" s="421">
        <v>0</v>
      </c>
      <c r="I27" s="611">
        <v>0</v>
      </c>
      <c r="J27" s="421">
        <v>0</v>
      </c>
      <c r="K27" s="421">
        <v>0</v>
      </c>
      <c r="L27" s="421">
        <v>0</v>
      </c>
      <c r="M27" s="421">
        <v>0</v>
      </c>
      <c r="N27" s="421">
        <v>0</v>
      </c>
      <c r="O27" s="421">
        <v>0</v>
      </c>
      <c r="P27" s="421">
        <v>0</v>
      </c>
      <c r="Q27" s="421">
        <v>0</v>
      </c>
      <c r="R27" s="421">
        <v>0</v>
      </c>
      <c r="S27" s="421">
        <v>0</v>
      </c>
      <c r="T27" s="627">
        <v>79.005333076615457</v>
      </c>
      <c r="U27" s="629">
        <v>22.27950392760556</v>
      </c>
      <c r="V27" s="51"/>
      <c r="W27" s="51"/>
      <c r="X27" s="51"/>
    </row>
    <row r="28" spans="1:24" x14ac:dyDescent="0.25">
      <c r="A28" s="51"/>
      <c r="B28" s="51"/>
      <c r="C28" s="618" t="s">
        <v>73</v>
      </c>
      <c r="D28" s="421">
        <v>0</v>
      </c>
      <c r="E28" s="421">
        <v>0</v>
      </c>
      <c r="F28" s="421">
        <v>0</v>
      </c>
      <c r="G28" s="611">
        <v>0</v>
      </c>
      <c r="H28" s="431">
        <v>0</v>
      </c>
      <c r="I28" s="611">
        <v>0</v>
      </c>
      <c r="J28" s="421">
        <v>0</v>
      </c>
      <c r="K28" s="421">
        <v>0</v>
      </c>
      <c r="L28" s="421">
        <v>0</v>
      </c>
      <c r="M28" s="431">
        <v>0</v>
      </c>
      <c r="N28" s="421">
        <v>0</v>
      </c>
      <c r="O28" s="431">
        <v>0</v>
      </c>
      <c r="P28" s="421">
        <v>0</v>
      </c>
      <c r="Q28" s="421">
        <v>0</v>
      </c>
      <c r="R28" s="431">
        <v>227.61268014910149</v>
      </c>
      <c r="S28" s="421">
        <v>0</v>
      </c>
      <c r="T28" s="509">
        <v>-163.88112970735307</v>
      </c>
      <c r="U28" s="491">
        <v>63.731550441748425</v>
      </c>
      <c r="V28" s="51"/>
      <c r="W28" s="51"/>
      <c r="X28" s="51"/>
    </row>
    <row r="29" spans="1:24" x14ac:dyDescent="0.25">
      <c r="A29" s="51"/>
      <c r="B29" s="51"/>
      <c r="C29" s="618" t="s">
        <v>353</v>
      </c>
      <c r="D29" s="431">
        <v>3.3456624609374996</v>
      </c>
      <c r="E29" s="431">
        <v>-4.1134970584069457</v>
      </c>
      <c r="F29" s="431">
        <v>5.3691262200413341</v>
      </c>
      <c r="G29" s="611">
        <v>0</v>
      </c>
      <c r="H29" s="431">
        <v>0</v>
      </c>
      <c r="I29" s="611">
        <v>0</v>
      </c>
      <c r="J29" s="421">
        <v>0</v>
      </c>
      <c r="K29" s="421">
        <v>0</v>
      </c>
      <c r="L29" s="421">
        <v>0</v>
      </c>
      <c r="M29" s="421">
        <v>0</v>
      </c>
      <c r="N29" s="431">
        <v>0</v>
      </c>
      <c r="O29" s="431">
        <v>0</v>
      </c>
      <c r="P29" s="421">
        <v>0</v>
      </c>
      <c r="Q29" s="421">
        <v>0</v>
      </c>
      <c r="R29" s="421">
        <v>0</v>
      </c>
      <c r="S29" s="421">
        <v>0</v>
      </c>
      <c r="T29" s="422">
        <v>0</v>
      </c>
      <c r="U29" s="423">
        <v>4.6012916225718881</v>
      </c>
      <c r="V29" s="51"/>
      <c r="W29" s="51"/>
      <c r="X29" s="51"/>
    </row>
    <row r="30" spans="1:24" x14ac:dyDescent="0.25">
      <c r="A30" s="51"/>
      <c r="B30" s="51"/>
      <c r="C30" s="618" t="s">
        <v>75</v>
      </c>
      <c r="D30" s="431">
        <v>1.3010909570312501</v>
      </c>
      <c r="E30" s="421">
        <v>0</v>
      </c>
      <c r="F30" s="431">
        <v>16.404377382526505</v>
      </c>
      <c r="G30" s="611">
        <v>0</v>
      </c>
      <c r="H30" s="431">
        <v>0</v>
      </c>
      <c r="I30" s="624">
        <v>0.23833359000000001</v>
      </c>
      <c r="J30" s="421">
        <v>0</v>
      </c>
      <c r="K30" s="421">
        <v>0</v>
      </c>
      <c r="L30" s="421">
        <v>0</v>
      </c>
      <c r="M30" s="421">
        <v>0</v>
      </c>
      <c r="N30" s="421">
        <v>0</v>
      </c>
      <c r="O30" s="431">
        <v>4.5283382100000003</v>
      </c>
      <c r="P30" s="421">
        <v>0</v>
      </c>
      <c r="Q30" s="421">
        <v>0</v>
      </c>
      <c r="R30" s="431">
        <v>17.461456726006222</v>
      </c>
      <c r="S30" s="421">
        <v>0</v>
      </c>
      <c r="T30" s="422">
        <v>0</v>
      </c>
      <c r="U30" s="423">
        <v>39.93359686556397</v>
      </c>
      <c r="V30" s="51"/>
      <c r="W30" s="51"/>
      <c r="X30" s="51"/>
    </row>
    <row r="31" spans="1:24" x14ac:dyDescent="0.25">
      <c r="A31" s="51"/>
      <c r="B31" s="51"/>
      <c r="C31" s="618" t="s">
        <v>76</v>
      </c>
      <c r="D31" s="421">
        <v>0</v>
      </c>
      <c r="E31" s="421">
        <v>0</v>
      </c>
      <c r="F31" s="421">
        <v>0</v>
      </c>
      <c r="G31" s="611">
        <v>0</v>
      </c>
      <c r="H31" s="431">
        <v>0</v>
      </c>
      <c r="I31" s="624">
        <v>5.9340338699632358E-2</v>
      </c>
      <c r="J31" s="421">
        <v>0</v>
      </c>
      <c r="K31" s="421">
        <v>0</v>
      </c>
      <c r="L31" s="421">
        <v>0</v>
      </c>
      <c r="M31" s="421">
        <v>0</v>
      </c>
      <c r="N31" s="421">
        <v>0</v>
      </c>
      <c r="O31" s="431">
        <v>1.1274664352930146</v>
      </c>
      <c r="P31" s="421">
        <v>0</v>
      </c>
      <c r="Q31" s="421">
        <v>0</v>
      </c>
      <c r="R31" s="431">
        <v>58.914344999319319</v>
      </c>
      <c r="S31" s="431">
        <v>5.0089527300753778</v>
      </c>
      <c r="T31" s="432">
        <v>0</v>
      </c>
      <c r="U31" s="423">
        <v>65.110104503387348</v>
      </c>
      <c r="V31" s="51"/>
      <c r="W31" s="51"/>
      <c r="X31" s="51"/>
    </row>
    <row r="32" spans="1:24" x14ac:dyDescent="0.25">
      <c r="A32" s="51"/>
      <c r="B32" s="51"/>
      <c r="C32" s="614" t="s">
        <v>77</v>
      </c>
      <c r="D32" s="425">
        <v>4.6467534179687497</v>
      </c>
      <c r="E32" s="425">
        <v>113.95685880900638</v>
      </c>
      <c r="F32" s="425">
        <v>-95.118383546950469</v>
      </c>
      <c r="G32" s="615">
        <v>-56.725829149009897</v>
      </c>
      <c r="H32" s="425">
        <v>0</v>
      </c>
      <c r="I32" s="615">
        <v>-4.2985514594575092</v>
      </c>
      <c r="J32" s="425">
        <v>722.62832727272735</v>
      </c>
      <c r="K32" s="425">
        <v>564.70258021663687</v>
      </c>
      <c r="L32" s="425">
        <v>213.8444073724234</v>
      </c>
      <c r="M32" s="425">
        <v>17.212670139955119</v>
      </c>
      <c r="N32" s="425">
        <v>-54.688235964087447</v>
      </c>
      <c r="O32" s="425">
        <v>-86.324247110085594</v>
      </c>
      <c r="P32" s="425">
        <v>0</v>
      </c>
      <c r="Q32" s="425">
        <v>18.079692789637626</v>
      </c>
      <c r="R32" s="425">
        <v>-517.11533565203058</v>
      </c>
      <c r="S32" s="425">
        <v>-59.56652365415701</v>
      </c>
      <c r="T32" s="425">
        <v>-52.188376454228234</v>
      </c>
      <c r="U32" s="425">
        <v>729.04580702834869</v>
      </c>
      <c r="V32" s="51"/>
      <c r="W32" s="51"/>
      <c r="X32" s="51"/>
    </row>
    <row r="33" spans="1:24" x14ac:dyDescent="0.25">
      <c r="A33" s="51"/>
      <c r="B33" s="51"/>
      <c r="C33" s="616"/>
      <c r="D33" s="427">
        <v>0</v>
      </c>
      <c r="E33" s="427">
        <v>0</v>
      </c>
      <c r="F33" s="427">
        <v>0</v>
      </c>
      <c r="G33" s="617">
        <v>0</v>
      </c>
      <c r="H33" s="427">
        <v>0</v>
      </c>
      <c r="I33" s="617">
        <v>0</v>
      </c>
      <c r="J33" s="427">
        <v>0</v>
      </c>
      <c r="K33" s="427">
        <v>0</v>
      </c>
      <c r="L33" s="427">
        <v>0</v>
      </c>
      <c r="M33" s="427">
        <v>0</v>
      </c>
      <c r="N33" s="427">
        <v>0</v>
      </c>
      <c r="O33" s="427">
        <v>0</v>
      </c>
      <c r="P33" s="427">
        <v>0</v>
      </c>
      <c r="Q33" s="427">
        <v>0</v>
      </c>
      <c r="R33" s="427">
        <v>0</v>
      </c>
      <c r="S33" s="427">
        <v>0</v>
      </c>
      <c r="T33" s="427">
        <v>0</v>
      </c>
      <c r="U33" s="427">
        <v>0</v>
      </c>
      <c r="V33" s="51"/>
      <c r="W33" s="51"/>
      <c r="X33" s="51"/>
    </row>
    <row r="34" spans="1:24" x14ac:dyDescent="0.25">
      <c r="A34" s="51"/>
      <c r="B34" s="51"/>
      <c r="C34" s="618" t="s">
        <v>78</v>
      </c>
      <c r="D34" s="431">
        <v>1.2844353845350245</v>
      </c>
      <c r="E34" s="421">
        <v>0</v>
      </c>
      <c r="F34" s="431">
        <v>0.671413025716175</v>
      </c>
      <c r="G34" s="624">
        <v>0</v>
      </c>
      <c r="H34" s="431">
        <v>0</v>
      </c>
      <c r="I34" s="624">
        <v>1.6768235413433659</v>
      </c>
      <c r="J34" s="421">
        <v>0</v>
      </c>
      <c r="K34" s="421">
        <v>0</v>
      </c>
      <c r="L34" s="431">
        <v>18.511250218523632</v>
      </c>
      <c r="M34" s="431">
        <v>2.0464486619012869</v>
      </c>
      <c r="N34" s="431">
        <v>1.4169866943359375</v>
      </c>
      <c r="O34" s="431">
        <v>31.901778101678747</v>
      </c>
      <c r="P34" s="431">
        <v>11.306912109375</v>
      </c>
      <c r="Q34" s="431">
        <v>8.5890570413253253E-4</v>
      </c>
      <c r="R34" s="431">
        <v>135.19292998685364</v>
      </c>
      <c r="S34" s="431">
        <v>18.430317312360387</v>
      </c>
      <c r="T34" s="431">
        <v>8.2355947265624998</v>
      </c>
      <c r="U34" s="429">
        <v>230.67574866888981</v>
      </c>
      <c r="V34" s="51"/>
      <c r="W34" s="620" t="e" cm="1">
        <f t="array" aca="1" ref="W34" ca="1">_xlfn.IFNA(INDEX(#REF!,MATCH(INDIRECT("Codes_bilans!"&amp;W$1&amp;"$"&amp;#REF!),#REF!,0),MATCH(#REF!,#REF!,0)),0)</f>
        <v>#REF!</v>
      </c>
      <c r="X34" s="51"/>
    </row>
    <row r="35" spans="1:24" x14ac:dyDescent="0.25">
      <c r="A35" s="51"/>
      <c r="B35" s="51"/>
      <c r="C35" s="618" t="s">
        <v>79</v>
      </c>
      <c r="D35" s="431">
        <v>0</v>
      </c>
      <c r="E35" s="421">
        <v>0</v>
      </c>
      <c r="F35" s="431">
        <v>2.0327553633446804</v>
      </c>
      <c r="G35" s="624">
        <v>2.9414401384596758</v>
      </c>
      <c r="H35" s="431">
        <v>0</v>
      </c>
      <c r="I35" s="624">
        <v>0.25814381907328782</v>
      </c>
      <c r="J35" s="421">
        <v>0</v>
      </c>
      <c r="K35" s="421">
        <v>0</v>
      </c>
      <c r="L35" s="431">
        <v>0</v>
      </c>
      <c r="M35" s="431">
        <v>0</v>
      </c>
      <c r="N35" s="431">
        <v>11.290866079539722</v>
      </c>
      <c r="O35" s="431">
        <v>4.9047325623924678</v>
      </c>
      <c r="P35" s="431">
        <v>0</v>
      </c>
      <c r="Q35" s="431">
        <v>0</v>
      </c>
      <c r="R35" s="431">
        <v>110.4417553978261</v>
      </c>
      <c r="S35" s="431">
        <v>0</v>
      </c>
      <c r="T35" s="431">
        <v>5.3966998641798476</v>
      </c>
      <c r="U35" s="429">
        <v>137.26639322481577</v>
      </c>
      <c r="V35" s="51"/>
      <c r="W35" s="620" t="e" cm="1">
        <f t="array" aca="1" ref="W35" ca="1">_xlfn.IFNA(INDEX(#REF!,MATCH(INDIRECT("Codes_bilans!"&amp;W$1&amp;"$"&amp;#REF!),#REF!,0),MATCH(#REF!,#REF!,0)),0)</f>
        <v>#REF!</v>
      </c>
      <c r="X35" s="51"/>
    </row>
    <row r="36" spans="1:24" x14ac:dyDescent="0.25">
      <c r="A36" s="51"/>
      <c r="B36" s="51"/>
      <c r="C36" s="618" t="s">
        <v>80</v>
      </c>
      <c r="D36" s="431">
        <v>0</v>
      </c>
      <c r="E36" s="421">
        <v>0</v>
      </c>
      <c r="F36" s="431">
        <v>1.3379901667389997</v>
      </c>
      <c r="G36" s="624">
        <v>0</v>
      </c>
      <c r="H36" s="431">
        <v>0</v>
      </c>
      <c r="I36" s="624">
        <v>1.3094987150488224</v>
      </c>
      <c r="J36" s="421">
        <v>0</v>
      </c>
      <c r="K36" s="421">
        <v>0</v>
      </c>
      <c r="L36" s="431">
        <v>28.937300829462252</v>
      </c>
      <c r="M36" s="431">
        <v>0</v>
      </c>
      <c r="N36" s="431">
        <v>0</v>
      </c>
      <c r="O36" s="431">
        <v>24.88047558592762</v>
      </c>
      <c r="P36" s="431">
        <v>123.41345399070538</v>
      </c>
      <c r="Q36" s="431">
        <v>3.1166998128913419</v>
      </c>
      <c r="R36" s="431">
        <v>128.52074855567903</v>
      </c>
      <c r="S36" s="431">
        <v>22.248806062911136</v>
      </c>
      <c r="T36" s="431">
        <v>0</v>
      </c>
      <c r="U36" s="429">
        <v>333.76497371936455</v>
      </c>
      <c r="V36" s="51"/>
      <c r="W36" s="620" t="e" cm="1">
        <f t="array" aca="1" ref="W36" ca="1">_xlfn.IFNA(INDEX(#REF!,MATCH(INDIRECT("Codes_bilans!"&amp;W$1&amp;"$"&amp;#REF!),#REF!,0),MATCH(#REF!,#REF!,0)),0)</f>
        <v>#REF!</v>
      </c>
      <c r="X36" s="51"/>
    </row>
    <row r="37" spans="1:24" x14ac:dyDescent="0.25">
      <c r="A37" s="51"/>
      <c r="B37" s="51"/>
      <c r="C37" s="618" t="s">
        <v>81</v>
      </c>
      <c r="D37" s="431">
        <v>0</v>
      </c>
      <c r="E37" s="421">
        <v>0</v>
      </c>
      <c r="F37" s="431">
        <v>0.13103912510682203</v>
      </c>
      <c r="G37" s="624">
        <v>0</v>
      </c>
      <c r="H37" s="431">
        <v>0</v>
      </c>
      <c r="I37" s="624">
        <v>0.65398403873429223</v>
      </c>
      <c r="J37" s="421">
        <v>0</v>
      </c>
      <c r="K37" s="421">
        <v>0</v>
      </c>
      <c r="L37" s="431">
        <v>0.34200087095620557</v>
      </c>
      <c r="M37" s="431">
        <v>2.9244114949902102E-4</v>
      </c>
      <c r="N37" s="431">
        <v>0</v>
      </c>
      <c r="O37" s="431">
        <v>12.425696735951551</v>
      </c>
      <c r="P37" s="431">
        <v>29.475134675869491</v>
      </c>
      <c r="Q37" s="431">
        <v>0.98841007039498519</v>
      </c>
      <c r="R37" s="431">
        <v>81.567308013661545</v>
      </c>
      <c r="S37" s="431">
        <v>18.887400278885494</v>
      </c>
      <c r="T37" s="431">
        <v>0</v>
      </c>
      <c r="U37" s="429">
        <v>144.4712662507099</v>
      </c>
      <c r="V37" s="51"/>
      <c r="W37" s="620" t="e" cm="1">
        <f t="array" aca="1" ref="W37" ca="1">_xlfn.IFNA(INDEX(#REF!,MATCH(INDIRECT("Codes_bilans!"&amp;W$1&amp;"$"&amp;#REF!),#REF!,0),MATCH(#REF!,#REF!,0)),0)</f>
        <v>#REF!</v>
      </c>
      <c r="X37" s="51"/>
    </row>
    <row r="38" spans="1:24" x14ac:dyDescent="0.25">
      <c r="A38" s="51"/>
      <c r="B38" s="51"/>
      <c r="C38" s="618" t="s">
        <v>82</v>
      </c>
      <c r="D38" s="431">
        <v>0</v>
      </c>
      <c r="E38" s="421">
        <v>0</v>
      </c>
      <c r="F38" s="431">
        <v>0.51674120491916908</v>
      </c>
      <c r="G38" s="624">
        <v>0</v>
      </c>
      <c r="H38" s="431">
        <v>0</v>
      </c>
      <c r="I38" s="624">
        <v>8.1327589418857746E-2</v>
      </c>
      <c r="J38" s="421">
        <v>0</v>
      </c>
      <c r="K38" s="421">
        <v>0</v>
      </c>
      <c r="L38" s="431">
        <v>4.5749249618986854</v>
      </c>
      <c r="M38" s="431">
        <v>0</v>
      </c>
      <c r="N38" s="431">
        <v>16.621294257606131</v>
      </c>
      <c r="O38" s="431">
        <v>1.5452241989582969</v>
      </c>
      <c r="P38" s="431">
        <v>1.5</v>
      </c>
      <c r="Q38" s="431">
        <v>2.1874070050904897</v>
      </c>
      <c r="R38" s="431">
        <v>7.8459207286229669</v>
      </c>
      <c r="S38" s="431">
        <v>0</v>
      </c>
      <c r="T38" s="431">
        <v>0.44339331184266689</v>
      </c>
      <c r="U38" s="429">
        <v>35.316233258357272</v>
      </c>
      <c r="V38" s="51"/>
      <c r="W38" s="620" t="e" cm="1">
        <f t="array" aca="1" ref="W38" ca="1">_xlfn.IFNA(INDEX(#REF!,MATCH(INDIRECT("Codes_bilans!"&amp;W$1&amp;"$"&amp;#REF!),#REF!,0),MATCH(#REF!,#REF!,0)),0)</f>
        <v>#REF!</v>
      </c>
      <c r="X38" s="51"/>
    </row>
    <row r="39" spans="1:24" x14ac:dyDescent="0.25">
      <c r="A39" s="51"/>
      <c r="B39" s="51"/>
      <c r="C39" s="618" t="s">
        <v>354</v>
      </c>
      <c r="D39" s="421">
        <v>0</v>
      </c>
      <c r="E39" s="421">
        <v>0</v>
      </c>
      <c r="F39" s="421">
        <v>0</v>
      </c>
      <c r="G39" s="611">
        <v>0</v>
      </c>
      <c r="H39" s="421">
        <v>0</v>
      </c>
      <c r="I39" s="611">
        <v>0</v>
      </c>
      <c r="J39" s="421">
        <v>0</v>
      </c>
      <c r="K39" s="421">
        <v>0</v>
      </c>
      <c r="L39" s="421">
        <v>0</v>
      </c>
      <c r="M39" s="421">
        <v>0</v>
      </c>
      <c r="N39" s="421">
        <v>0</v>
      </c>
      <c r="O39" s="421">
        <v>0</v>
      </c>
      <c r="P39" s="421">
        <v>0</v>
      </c>
      <c r="Q39" s="421">
        <v>0</v>
      </c>
      <c r="R39" s="431">
        <v>2.5199999999999996</v>
      </c>
      <c r="S39" s="421">
        <v>0</v>
      </c>
      <c r="T39" s="421">
        <v>0</v>
      </c>
      <c r="U39" s="429">
        <v>2.5199999999999996</v>
      </c>
      <c r="V39" s="51"/>
      <c r="W39" s="620" t="e" cm="1">
        <f t="array" aca="1" ref="W39" ca="1">_xlfn.IFNA(INDEX(#REF!,MATCH(INDIRECT("Codes_bilans!"&amp;W$1&amp;"$"&amp;#REF!),#REF!,0),MATCH(#REF!,#REF!,0)),0)</f>
        <v>#REF!</v>
      </c>
      <c r="X39" s="51"/>
    </row>
    <row r="40" spans="1:24" x14ac:dyDescent="0.25">
      <c r="A40" s="51"/>
      <c r="B40" s="51"/>
      <c r="C40" s="614" t="s">
        <v>83</v>
      </c>
      <c r="D40" s="425">
        <v>1.2844353845350245</v>
      </c>
      <c r="E40" s="425">
        <v>0</v>
      </c>
      <c r="F40" s="425">
        <v>4.6899388858258462</v>
      </c>
      <c r="G40" s="615">
        <v>2.9414401384596758</v>
      </c>
      <c r="H40" s="425">
        <v>0</v>
      </c>
      <c r="I40" s="615">
        <v>3.9797777036186259</v>
      </c>
      <c r="J40" s="425">
        <v>0</v>
      </c>
      <c r="K40" s="425">
        <v>0</v>
      </c>
      <c r="L40" s="425">
        <v>52.365476880840774</v>
      </c>
      <c r="M40" s="425">
        <v>2.0467411030507856</v>
      </c>
      <c r="N40" s="425">
        <v>29.329147031481789</v>
      </c>
      <c r="O40" s="425">
        <v>75.65790718490868</v>
      </c>
      <c r="P40" s="425">
        <v>165.69550077594988</v>
      </c>
      <c r="Q40" s="425">
        <v>6.2933757940809487</v>
      </c>
      <c r="R40" s="425">
        <v>466.08866268264325</v>
      </c>
      <c r="S40" s="425">
        <v>59.566523654157017</v>
      </c>
      <c r="T40" s="425">
        <v>14.075687902585015</v>
      </c>
      <c r="U40" s="425">
        <v>884.01461512213723</v>
      </c>
      <c r="V40" s="51"/>
      <c r="W40" s="51"/>
      <c r="X40" s="51"/>
    </row>
    <row r="41" spans="1:24" x14ac:dyDescent="0.25">
      <c r="A41" s="51"/>
      <c r="B41" s="51"/>
      <c r="C41" s="610" t="s">
        <v>84</v>
      </c>
      <c r="D41" s="431">
        <v>0</v>
      </c>
      <c r="E41" s="421">
        <v>0</v>
      </c>
      <c r="F41" s="431">
        <v>39.848807090011732</v>
      </c>
      <c r="G41" s="624">
        <v>12.189834391274943</v>
      </c>
      <c r="H41" s="431">
        <v>2.6585092475046008</v>
      </c>
      <c r="I41" s="611">
        <v>0</v>
      </c>
      <c r="J41" s="421">
        <v>0</v>
      </c>
      <c r="K41" s="421">
        <v>0</v>
      </c>
      <c r="L41" s="625">
        <v>0.5962689327253029</v>
      </c>
      <c r="M41" s="421">
        <v>0</v>
      </c>
      <c r="N41" s="431">
        <v>18.105967775029544</v>
      </c>
      <c r="O41" s="625">
        <v>4.780741280438523</v>
      </c>
      <c r="P41" s="421">
        <v>0</v>
      </c>
      <c r="Q41" s="421">
        <v>0</v>
      </c>
      <c r="R41" s="421">
        <v>0</v>
      </c>
      <c r="S41" s="421">
        <v>0</v>
      </c>
      <c r="T41" s="431">
        <v>35.496713960556022</v>
      </c>
      <c r="U41" s="429">
        <v>113.67684267754068</v>
      </c>
      <c r="V41" s="51"/>
      <c r="W41" s="620" t="e" cm="1">
        <f t="array" aca="1" ref="W41" ca="1">_xlfn.IFNA(INDEX(#REF!,MATCH(INDIRECT("Codes_bilans!"&amp;W$1&amp;"$"&amp;#REF!),#REF!,0),MATCH(#REF!,#REF!,0)),0)</f>
        <v>#REF!</v>
      </c>
      <c r="X41" s="51"/>
    </row>
    <row r="42" spans="1:24" x14ac:dyDescent="0.25">
      <c r="A42" s="51"/>
      <c r="B42" s="51"/>
      <c r="C42" s="614" t="s">
        <v>85</v>
      </c>
      <c r="D42" s="425">
        <v>1.2844353845350245</v>
      </c>
      <c r="E42" s="425">
        <v>0</v>
      </c>
      <c r="F42" s="425">
        <v>44.538745975837578</v>
      </c>
      <c r="G42" s="615">
        <v>15.131274529734618</v>
      </c>
      <c r="H42" s="425">
        <v>2.6585092475046008</v>
      </c>
      <c r="I42" s="615">
        <v>3.9797777036186259</v>
      </c>
      <c r="J42" s="425">
        <v>0</v>
      </c>
      <c r="K42" s="425">
        <v>0</v>
      </c>
      <c r="L42" s="425">
        <v>52.961745813566075</v>
      </c>
      <c r="M42" s="425">
        <v>2.0467411030507856</v>
      </c>
      <c r="N42" s="425">
        <v>47.435114806511329</v>
      </c>
      <c r="O42" s="425">
        <v>80.4386484653472</v>
      </c>
      <c r="P42" s="425">
        <v>165.69550077594988</v>
      </c>
      <c r="Q42" s="425">
        <v>6.2933757940809487</v>
      </c>
      <c r="R42" s="425">
        <v>466.08866268264325</v>
      </c>
      <c r="S42" s="425">
        <v>59.566523654157017</v>
      </c>
      <c r="T42" s="425">
        <v>49.572401863141039</v>
      </c>
      <c r="U42" s="425">
        <v>997.69145779967789</v>
      </c>
      <c r="V42" s="51"/>
      <c r="W42" s="51"/>
      <c r="X42" s="51"/>
    </row>
    <row r="43" spans="1:24" x14ac:dyDescent="0.25">
      <c r="A43" s="51"/>
      <c r="B43" s="51"/>
      <c r="C43" s="51"/>
      <c r="D43" s="67">
        <v>0</v>
      </c>
      <c r="E43" s="67">
        <v>0</v>
      </c>
      <c r="F43" s="67">
        <v>0</v>
      </c>
      <c r="G43" s="67">
        <v>0</v>
      </c>
      <c r="H43" s="67">
        <v>0</v>
      </c>
      <c r="I43" s="67">
        <v>4.9960036108132044E-16</v>
      </c>
      <c r="J43" s="67">
        <v>0</v>
      </c>
      <c r="K43" s="67">
        <v>0</v>
      </c>
      <c r="L43" s="67">
        <v>0</v>
      </c>
      <c r="M43" s="67">
        <v>0</v>
      </c>
      <c r="N43" s="67">
        <v>0</v>
      </c>
      <c r="O43" s="67">
        <v>0</v>
      </c>
      <c r="P43" s="67">
        <v>0</v>
      </c>
      <c r="Q43" s="67">
        <v>0</v>
      </c>
      <c r="R43" s="67">
        <v>-5.6843418860808015E-14</v>
      </c>
      <c r="S43" s="67">
        <v>7.1054273576010019E-15</v>
      </c>
      <c r="T43" s="67">
        <v>-1.4654943925052066E-14</v>
      </c>
      <c r="U43" s="67">
        <v>0</v>
      </c>
      <c r="V43" s="51"/>
      <c r="W43" s="51"/>
      <c r="X43" s="51"/>
    </row>
    <row r="44" spans="1:24" x14ac:dyDescent="0.25">
      <c r="A44" s="51"/>
      <c r="B44" s="51"/>
      <c r="C44" s="51"/>
      <c r="D44" s="51"/>
      <c r="E44" s="51"/>
      <c r="F44" s="51"/>
      <c r="G44" s="51"/>
      <c r="H44" s="51"/>
      <c r="I44" s="51"/>
      <c r="J44" s="51"/>
      <c r="K44" s="51"/>
      <c r="L44" s="51"/>
      <c r="M44" s="51"/>
      <c r="N44" s="51"/>
      <c r="O44" s="51"/>
      <c r="P44" s="51"/>
      <c r="Q44" s="51"/>
      <c r="R44" s="51"/>
      <c r="S44" s="51"/>
      <c r="T44" s="51"/>
      <c r="U44" s="51"/>
      <c r="V44" s="51"/>
      <c r="W44" s="51"/>
      <c r="X44" s="51"/>
    </row>
    <row r="45" spans="1:24" x14ac:dyDescent="0.25">
      <c r="D45" s="489"/>
      <c r="E45" s="489"/>
      <c r="F45" s="489"/>
      <c r="G45" s="489"/>
      <c r="H45" s="489"/>
      <c r="I45" s="489"/>
      <c r="J45" s="489"/>
      <c r="K45" s="489"/>
      <c r="L45" s="489"/>
      <c r="M45" s="489"/>
      <c r="N45" s="489"/>
      <c r="O45" s="489"/>
      <c r="P45" s="489"/>
      <c r="Q45" s="489"/>
      <c r="R45" s="489"/>
      <c r="S45" s="489"/>
      <c r="T45" s="489"/>
      <c r="U45" s="489"/>
    </row>
  </sheetData>
  <mergeCells count="14">
    <mergeCell ref="C10:C11"/>
    <mergeCell ref="D10:D11"/>
    <mergeCell ref="E10:E11"/>
    <mergeCell ref="F10:F11"/>
    <mergeCell ref="G10:G11"/>
    <mergeCell ref="T10:T11"/>
    <mergeCell ref="U10:U11"/>
    <mergeCell ref="H10:H11"/>
    <mergeCell ref="J10:J11"/>
    <mergeCell ref="K10:K11"/>
    <mergeCell ref="L10:Q10"/>
    <mergeCell ref="R10:R11"/>
    <mergeCell ref="S10:S11"/>
    <mergeCell ref="I10:I11"/>
  </mergeCells>
  <conditionalFormatting sqref="D12:F18 H12:H18 J12:U18">
    <cfRule type="expression" dxfId="155" priority="39">
      <formula>LEN(TRIM(D12))=0</formula>
    </cfRule>
  </conditionalFormatting>
  <conditionalFormatting sqref="D20:F32 H20:H32 J20:U32">
    <cfRule type="expression" dxfId="154" priority="22">
      <formula>LEN(TRIM(D20))=0</formula>
    </cfRule>
  </conditionalFormatting>
  <conditionalFormatting sqref="D34:F42 H34:H42 J34:U42">
    <cfRule type="expression" dxfId="153" priority="69">
      <formula>LEN(TRIM(D34))=0</formula>
    </cfRule>
  </conditionalFormatting>
  <conditionalFormatting sqref="D12:I42">
    <cfRule type="cellIs" dxfId="152" priority="2" operator="equal">
      <formula>0</formula>
    </cfRule>
  </conditionalFormatting>
  <conditionalFormatting sqref="G12:G18 G34:G42">
    <cfRule type="containsBlanks" dxfId="151" priority="14">
      <formula>LEN(TRIM(G12))=0</formula>
    </cfRule>
  </conditionalFormatting>
  <conditionalFormatting sqref="G20:G32">
    <cfRule type="containsBlanks" dxfId="150" priority="11">
      <formula>LEN(TRIM(G20))=0</formula>
    </cfRule>
  </conditionalFormatting>
  <conditionalFormatting sqref="I12:I18 I34:I42">
    <cfRule type="containsBlanks" dxfId="149" priority="4">
      <formula>LEN(TRIM(I12))=0</formula>
    </cfRule>
  </conditionalFormatting>
  <conditionalFormatting sqref="I20:I32">
    <cfRule type="containsBlanks" dxfId="148" priority="1">
      <formula>LEN(TRIM(I20))=0</formula>
    </cfRule>
  </conditionalFormatting>
  <conditionalFormatting sqref="J12:K14">
    <cfRule type="cellIs" dxfId="147" priority="24" operator="equal">
      <formula>0</formula>
    </cfRule>
  </conditionalFormatting>
  <conditionalFormatting sqref="J15:Q16">
    <cfRule type="cellIs" dxfId="146" priority="51" operator="equal">
      <formula>0</formula>
    </cfRule>
  </conditionalFormatting>
  <conditionalFormatting sqref="J18:U42">
    <cfRule type="cellIs" dxfId="145" priority="21" operator="equal">
      <formula>0</formula>
    </cfRule>
  </conditionalFormatting>
  <conditionalFormatting sqref="L11:Q11">
    <cfRule type="cellIs" dxfId="144" priority="83" operator="equal">
      <formula>0</formula>
    </cfRule>
  </conditionalFormatting>
  <conditionalFormatting sqref="L12:U17 J17:K17">
    <cfRule type="cellIs" dxfId="143" priority="23" operator="equal">
      <formula>0</formula>
    </cfRule>
  </conditionalFormatting>
  <conditionalFormatting sqref="W34:W39">
    <cfRule type="cellIs" dxfId="142" priority="955" operator="equal">
      <formula>0</formula>
    </cfRule>
  </conditionalFormatting>
  <conditionalFormatting sqref="W41">
    <cfRule type="cellIs" dxfId="141" priority="954" operator="equal">
      <formula>0</formula>
    </cfRule>
  </conditionalFormatting>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C2948-A552-463C-B3A1-B9D2E28908DB}">
  <dimension ref="A1:Z59"/>
  <sheetViews>
    <sheetView workbookViewId="0"/>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40" t="s">
        <v>0</v>
      </c>
      <c r="D1" s="740"/>
      <c r="E1" s="740"/>
      <c r="F1" s="740"/>
      <c r="G1" s="740"/>
      <c r="H1" s="740"/>
      <c r="I1" s="2"/>
      <c r="J1" s="741" t="s">
        <v>1</v>
      </c>
      <c r="K1" s="741"/>
      <c r="L1" s="741"/>
      <c r="M1" s="741"/>
      <c r="N1" s="741"/>
      <c r="O1" s="741"/>
      <c r="P1" s="741"/>
      <c r="Q1" s="741"/>
    </row>
    <row r="2" spans="1:24" x14ac:dyDescent="0.25">
      <c r="A2" s="1"/>
      <c r="B2" s="1"/>
      <c r="C2" s="742" t="s">
        <v>2</v>
      </c>
      <c r="D2" s="743"/>
      <c r="E2" s="744" t="s">
        <v>3</v>
      </c>
      <c r="F2" s="745"/>
      <c r="G2" s="745"/>
      <c r="H2" s="745"/>
      <c r="I2" s="3"/>
      <c r="J2" s="746" t="s">
        <v>4</v>
      </c>
      <c r="K2" s="747" t="s">
        <v>5</v>
      </c>
      <c r="L2" s="748"/>
      <c r="M2" s="748"/>
      <c r="N2" s="748"/>
      <c r="O2" s="748"/>
      <c r="P2" s="748"/>
      <c r="Q2" s="749"/>
      <c r="S2" s="731" t="s">
        <v>90</v>
      </c>
      <c r="T2" s="732"/>
      <c r="U2" s="732"/>
      <c r="V2" s="732"/>
      <c r="W2" s="732"/>
      <c r="X2" s="733"/>
    </row>
    <row r="3" spans="1:24" ht="51" x14ac:dyDescent="0.25">
      <c r="A3" s="4"/>
      <c r="B3" s="4" t="s">
        <v>339</v>
      </c>
      <c r="C3" s="5"/>
      <c r="D3" s="5"/>
      <c r="E3" s="6" t="s">
        <v>6</v>
      </c>
      <c r="F3" s="7"/>
      <c r="G3" s="734" t="s">
        <v>7</v>
      </c>
      <c r="H3" s="735"/>
      <c r="I3" s="8" t="s">
        <v>75</v>
      </c>
      <c r="J3" s="746"/>
      <c r="K3" s="747"/>
      <c r="L3" s="748"/>
      <c r="M3" s="748"/>
      <c r="N3" s="748"/>
      <c r="O3" s="748"/>
      <c r="P3" s="748"/>
      <c r="Q3" s="749"/>
      <c r="R3" s="182"/>
      <c r="S3" s="731"/>
      <c r="T3" s="732"/>
      <c r="U3" s="732"/>
      <c r="V3" s="732"/>
      <c r="W3" s="732"/>
      <c r="X3" s="733"/>
    </row>
    <row r="4" spans="1:24" x14ac:dyDescent="0.25">
      <c r="A4" s="9" t="s">
        <v>8</v>
      </c>
      <c r="B4" s="9" t="s">
        <v>9</v>
      </c>
      <c r="C4" s="10"/>
      <c r="D4" s="13" t="s">
        <v>10</v>
      </c>
      <c r="E4" s="12"/>
      <c r="F4" s="13" t="s">
        <v>10</v>
      </c>
      <c r="G4" s="12"/>
      <c r="H4" s="13" t="s">
        <v>10</v>
      </c>
      <c r="I4" s="11"/>
      <c r="J4" s="746"/>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t="e">
        <f>SUM(C7:C47)-M13-N13-O13-M30-N30-O30-P13-P30-SUM(M21:P24)</f>
        <v>#REF!</v>
      </c>
      <c r="D5" s="18"/>
      <c r="E5" s="20"/>
      <c r="F5" s="494"/>
      <c r="G5" s="21"/>
      <c r="H5" s="493"/>
      <c r="I5" s="21"/>
      <c r="J5" s="22"/>
      <c r="K5" s="23"/>
      <c r="L5" s="14"/>
      <c r="M5" s="14"/>
      <c r="N5" s="15"/>
      <c r="O5" s="16"/>
      <c r="P5" s="16"/>
      <c r="Q5" s="24" t="e">
        <f>Q13+Q22+Q30+Q42+Q46+Q38+Q43</f>
        <v>#REF!</v>
      </c>
      <c r="R5" s="487"/>
      <c r="S5" s="79" t="e">
        <f>SUM(S13,S22,S27:S32,S41)</f>
        <v>#REF!</v>
      </c>
      <c r="T5" s="79" t="e">
        <f>SUM(T8:T46)</f>
        <v>#REF!</v>
      </c>
      <c r="U5" s="79" t="e">
        <f>SUM(U8:U46)</f>
        <v>#REF!</v>
      </c>
      <c r="V5" s="79" t="e">
        <f>SUM(V8:V46)</f>
        <v>#REF!</v>
      </c>
      <c r="W5" s="173" t="e">
        <f>SUM(W8:W46)</f>
        <v>#REF!</v>
      </c>
      <c r="X5" s="79" t="e">
        <f>SUM(X8:X46)</f>
        <v>#REF!</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36" t="s">
        <v>15</v>
      </c>
      <c r="B7" s="1" t="s">
        <v>17</v>
      </c>
      <c r="C7" s="486" t="e">
        <f>(([12]Offre_calc!$V$106+[12]Offre_calc!$V$107+[12]Offre_calc!$V$144+[12]Offre_calc!$V$145)/([12]Offre_calc!$V$103+[12]Offre_calc!$V$141))*#REF!</f>
        <v>#REF!</v>
      </c>
      <c r="D7" s="516"/>
      <c r="E7" s="28">
        <v>0</v>
      </c>
      <c r="F7" s="516"/>
      <c r="G7" s="17" t="e">
        <f>C7-E7</f>
        <v>#REF!</v>
      </c>
      <c r="H7" s="516"/>
      <c r="I7" s="21"/>
      <c r="J7" s="516"/>
      <c r="K7" s="523"/>
      <c r="L7" s="523"/>
      <c r="M7" s="523"/>
      <c r="N7" s="523"/>
      <c r="O7" s="523"/>
      <c r="P7" s="513"/>
      <c r="Q7" s="526"/>
      <c r="R7" s="498"/>
      <c r="S7" s="526"/>
      <c r="T7" s="523"/>
      <c r="U7" s="523"/>
      <c r="V7" s="523"/>
      <c r="W7" s="523"/>
      <c r="X7" s="523"/>
    </row>
    <row r="8" spans="1:24" x14ac:dyDescent="0.25">
      <c r="A8" s="736"/>
      <c r="B8" s="1" t="s">
        <v>18</v>
      </c>
      <c r="C8" s="486" t="e">
        <f>(([12]Offre_calc!$V$105+[12]Offre_calc!$V$143)/([12]Offre_calc!$V$103+[12]Offre_calc!$V$141))*#REF!</f>
        <v>#REF!</v>
      </c>
      <c r="D8" s="81"/>
      <c r="E8" s="28">
        <v>0</v>
      </c>
      <c r="F8" s="81"/>
      <c r="G8" s="17" t="e">
        <f t="shared" ref="G8:G19" si="0">C8-E8</f>
        <v>#REF!</v>
      </c>
      <c r="H8" s="81"/>
      <c r="I8" s="21"/>
      <c r="J8" s="81"/>
      <c r="K8" s="524"/>
      <c r="L8" s="524"/>
      <c r="M8" s="524"/>
      <c r="N8" s="524"/>
      <c r="O8" s="524"/>
      <c r="P8" s="29"/>
      <c r="Q8" s="527"/>
      <c r="R8" s="498"/>
      <c r="S8" s="527"/>
      <c r="T8" s="524"/>
      <c r="U8" s="524"/>
      <c r="V8" s="524"/>
      <c r="W8" s="524"/>
      <c r="X8" s="524"/>
    </row>
    <row r="9" spans="1:24" x14ac:dyDescent="0.25">
      <c r="A9" s="736"/>
      <c r="B9" s="1" t="s">
        <v>19</v>
      </c>
      <c r="C9" s="486" t="e">
        <f>(([12]Offre_calc!$V$104+[12]Offre_calc!$V$142)/([12]Offre_calc!$V$103+[12]Offre_calc!$V$141))*#REF!</f>
        <v>#REF!</v>
      </c>
      <c r="D9" s="81"/>
      <c r="E9" s="28">
        <v>0</v>
      </c>
      <c r="F9" s="81"/>
      <c r="G9" s="17" t="e">
        <f t="shared" si="0"/>
        <v>#REF!</v>
      </c>
      <c r="H9" s="81"/>
      <c r="I9" s="21"/>
      <c r="J9" s="81"/>
      <c r="K9" s="524"/>
      <c r="L9" s="524"/>
      <c r="M9" s="524"/>
      <c r="N9" s="524"/>
      <c r="O9" s="524"/>
      <c r="P9" s="29"/>
      <c r="Q9" s="527"/>
      <c r="R9" s="498"/>
      <c r="S9" s="527"/>
      <c r="T9" s="524"/>
      <c r="U9" s="524"/>
      <c r="V9" s="524"/>
      <c r="W9" s="524"/>
      <c r="X9" s="524"/>
    </row>
    <row r="10" spans="1:24" x14ac:dyDescent="0.25">
      <c r="A10" s="736"/>
      <c r="B10" s="1" t="s">
        <v>20</v>
      </c>
      <c r="C10" s="17" t="e">
        <f>#REF!-(#REF!+#REF!)</f>
        <v>#REF!</v>
      </c>
      <c r="D10" s="81"/>
      <c r="E10" s="28" t="e">
        <f>F13-SUM(E11:E19)</f>
        <v>#REF!</v>
      </c>
      <c r="F10" s="81"/>
      <c r="G10" s="17" t="e">
        <f t="shared" si="0"/>
        <v>#REF!</v>
      </c>
      <c r="H10" s="81"/>
      <c r="I10" s="21"/>
      <c r="J10" s="81"/>
      <c r="K10" s="524"/>
      <c r="L10" s="524"/>
      <c r="M10" s="524"/>
      <c r="N10" s="524"/>
      <c r="O10" s="524"/>
      <c r="P10" s="29"/>
      <c r="Q10" s="527"/>
      <c r="R10" s="498"/>
      <c r="S10" s="527"/>
      <c r="T10" s="524"/>
      <c r="U10" s="524"/>
      <c r="V10" s="524"/>
      <c r="W10" s="524"/>
      <c r="X10" s="524"/>
    </row>
    <row r="11" spans="1:24" x14ac:dyDescent="0.25">
      <c r="A11" s="736"/>
      <c r="B11" s="1" t="s">
        <v>21</v>
      </c>
      <c r="C11" s="17" t="e">
        <f>#REF!</f>
        <v>#REF!</v>
      </c>
      <c r="D11" s="81"/>
      <c r="E11" s="28" t="e">
        <f>C11*(1-[12]Offre_calc!$V$161)</f>
        <v>#REF!</v>
      </c>
      <c r="F11" s="81"/>
      <c r="G11" s="17" t="e">
        <f t="shared" si="0"/>
        <v>#REF!</v>
      </c>
      <c r="H11" s="81"/>
      <c r="I11" s="21"/>
      <c r="J11" s="81"/>
      <c r="K11" s="524"/>
      <c r="L11" s="524"/>
      <c r="M11" s="524"/>
      <c r="N11" s="524"/>
      <c r="O11" s="524"/>
      <c r="P11" s="29"/>
      <c r="Q11" s="527"/>
      <c r="R11" s="498"/>
      <c r="S11" s="527"/>
      <c r="T11" s="524"/>
      <c r="U11" s="524"/>
      <c r="V11" s="524"/>
      <c r="W11" s="524"/>
      <c r="X11" s="524"/>
    </row>
    <row r="12" spans="1:24" x14ac:dyDescent="0.25">
      <c r="A12" s="736"/>
      <c r="B12" s="1" t="s">
        <v>22</v>
      </c>
      <c r="C12" s="17" t="e">
        <f>#REF!</f>
        <v>#REF!</v>
      </c>
      <c r="D12" s="81"/>
      <c r="E12" s="28" t="e">
        <f>C12*(1-[12]Offre_calc!$V$171)</f>
        <v>#REF!</v>
      </c>
      <c r="F12" s="81"/>
      <c r="G12" s="17" t="e">
        <f t="shared" si="0"/>
        <v>#REF!</v>
      </c>
      <c r="H12" s="81"/>
      <c r="I12" s="21"/>
      <c r="J12" s="81"/>
      <c r="K12" s="524"/>
      <c r="L12" s="524"/>
      <c r="M12" s="524"/>
      <c r="N12" s="524"/>
      <c r="O12" s="524"/>
      <c r="P12" s="29"/>
      <c r="Q12" s="527"/>
      <c r="R12" s="498"/>
      <c r="S12" s="527"/>
      <c r="T12" s="524"/>
      <c r="U12" s="524"/>
      <c r="V12" s="524"/>
      <c r="W12" s="524"/>
      <c r="X12" s="524"/>
    </row>
    <row r="13" spans="1:24" x14ac:dyDescent="0.25">
      <c r="A13" s="736"/>
      <c r="B13" s="1" t="s">
        <v>23</v>
      </c>
      <c r="C13" s="17" t="e">
        <f>#REF!</f>
        <v>#REF!</v>
      </c>
      <c r="D13" s="81" t="e">
        <f>SUM(C7:C19)</f>
        <v>#REF!</v>
      </c>
      <c r="E13" s="28" t="e">
        <f>C13*(1-[12]Offre_calc!$V$170)</f>
        <v>#REF!</v>
      </c>
      <c r="F13" s="81" t="e">
        <f>#REF!</f>
        <v>#REF!</v>
      </c>
      <c r="G13" s="17" t="e">
        <f t="shared" si="0"/>
        <v>#REF!</v>
      </c>
      <c r="H13" s="81" t="e">
        <f>SUM(G7:G19)</f>
        <v>#REF!</v>
      </c>
      <c r="I13" s="33" t="e">
        <f>#REF!</f>
        <v>#REF!</v>
      </c>
      <c r="J13" s="81" t="e">
        <f>H13-I13</f>
        <v>#REF!</v>
      </c>
      <c r="K13" s="29" t="e">
        <f>#REF!</f>
        <v>#REF!</v>
      </c>
      <c r="L13" s="29" t="e">
        <f>-(#REF!+#REF!)</f>
        <v>#REF!</v>
      </c>
      <c r="M13" s="29" t="e">
        <f>#REF!</f>
        <v>#REF!</v>
      </c>
      <c r="N13" s="29"/>
      <c r="O13" s="29"/>
      <c r="P13" s="29"/>
      <c r="Q13" s="81" t="e">
        <f>J13-K13-L13-M13-N13-O13-P13</f>
        <v>#REF!</v>
      </c>
      <c r="R13" s="508" t="e">
        <f>Q13-S13</f>
        <v>#REF!</v>
      </c>
      <c r="S13" s="81" t="e">
        <f>SUM(T8:X19)</f>
        <v>#REF!</v>
      </c>
      <c r="T13" s="29" t="e">
        <f>#REF!</f>
        <v>#REF!</v>
      </c>
      <c r="U13" s="29" t="e">
        <f>#REF!+#REF!</f>
        <v>#REF!</v>
      </c>
      <c r="V13" s="29" t="e">
        <f>#REF!</f>
        <v>#REF!</v>
      </c>
      <c r="W13" s="29" t="e">
        <f>#REF!</f>
        <v>#REF!</v>
      </c>
      <c r="X13" s="29" t="e">
        <f>#REF!</f>
        <v>#REF!</v>
      </c>
    </row>
    <row r="14" spans="1:24" x14ac:dyDescent="0.25">
      <c r="A14" s="736"/>
      <c r="B14" s="1" t="s">
        <v>24</v>
      </c>
      <c r="C14" s="17" t="e">
        <f>#REF!</f>
        <v>#REF!</v>
      </c>
      <c r="D14" s="81"/>
      <c r="E14" s="28">
        <v>0</v>
      </c>
      <c r="F14" s="81"/>
      <c r="G14" s="17" t="e">
        <f t="shared" si="0"/>
        <v>#REF!</v>
      </c>
      <c r="H14" s="81"/>
      <c r="I14" s="21"/>
      <c r="J14" s="81"/>
      <c r="K14" s="524"/>
      <c r="L14" s="524"/>
      <c r="M14" s="524"/>
      <c r="N14" s="524"/>
      <c r="O14" s="524"/>
      <c r="P14" s="29"/>
      <c r="Q14" s="527"/>
      <c r="R14" s="508"/>
      <c r="S14" s="527"/>
      <c r="T14" s="524"/>
      <c r="U14" s="524"/>
      <c r="V14" s="524"/>
      <c r="W14" s="524"/>
      <c r="X14" s="524"/>
    </row>
    <row r="15" spans="1:24" x14ac:dyDescent="0.25">
      <c r="A15" s="736"/>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36"/>
      <c r="B16" s="1" t="s">
        <v>343</v>
      </c>
      <c r="C16" s="17" t="e">
        <f>#REF!</f>
        <v>#REF!</v>
      </c>
      <c r="D16" s="81"/>
      <c r="E16" s="28" t="e">
        <f>C16*(1-[12]Offre_calc!$V$158)</f>
        <v>#REF!</v>
      </c>
      <c r="F16" s="81"/>
      <c r="G16" s="17" t="e">
        <f t="shared" si="0"/>
        <v>#REF!</v>
      </c>
      <c r="H16" s="81"/>
      <c r="I16" s="21"/>
      <c r="J16" s="81"/>
      <c r="K16" s="524"/>
      <c r="L16" s="524"/>
      <c r="M16" s="524"/>
      <c r="N16" s="524"/>
      <c r="O16" s="524"/>
      <c r="P16" s="29"/>
      <c r="Q16" s="527"/>
      <c r="R16" s="508"/>
      <c r="S16" s="527"/>
      <c r="T16" s="524"/>
      <c r="U16" s="524"/>
      <c r="V16" s="524"/>
      <c r="W16" s="524"/>
      <c r="X16" s="524"/>
    </row>
    <row r="17" spans="1:24" x14ac:dyDescent="0.25">
      <c r="A17" s="736"/>
      <c r="B17" s="1" t="s">
        <v>27</v>
      </c>
      <c r="C17" s="17" t="e">
        <f>#REF!</f>
        <v>#REF!</v>
      </c>
      <c r="D17" s="81"/>
      <c r="E17" s="28" t="e">
        <f>C17*(1-[12]Offre_calc!$V$158)</f>
        <v>#REF!</v>
      </c>
      <c r="F17" s="81"/>
      <c r="G17" s="17" t="e">
        <f t="shared" si="0"/>
        <v>#REF!</v>
      </c>
      <c r="H17" s="81"/>
      <c r="I17" s="21"/>
      <c r="J17" s="81"/>
      <c r="K17" s="524"/>
      <c r="L17" s="524"/>
      <c r="M17" s="524"/>
      <c r="N17" s="524"/>
      <c r="O17" s="524"/>
      <c r="P17" s="29"/>
      <c r="Q17" s="527"/>
      <c r="R17" s="508"/>
      <c r="S17" s="527"/>
      <c r="T17" s="524"/>
      <c r="U17" s="524"/>
      <c r="V17" s="524"/>
      <c r="W17" s="524"/>
      <c r="X17" s="524"/>
    </row>
    <row r="18" spans="1:24" x14ac:dyDescent="0.25">
      <c r="A18" s="736"/>
      <c r="B18" s="1" t="s">
        <v>28</v>
      </c>
      <c r="C18" s="17" t="e">
        <f>#REF!</f>
        <v>#REF!</v>
      </c>
      <c r="D18" s="81"/>
      <c r="E18" s="28" t="e">
        <f>C18*(1-[12]Offre_calc!$V$157)</f>
        <v>#REF!</v>
      </c>
      <c r="F18" s="81"/>
      <c r="G18" s="17" t="e">
        <f t="shared" si="0"/>
        <v>#REF!</v>
      </c>
      <c r="H18" s="81"/>
      <c r="I18" s="21"/>
      <c r="J18" s="81"/>
      <c r="K18" s="524"/>
      <c r="L18" s="524"/>
      <c r="M18" s="524"/>
      <c r="N18" s="524"/>
      <c r="O18" s="524"/>
      <c r="P18" s="29"/>
      <c r="Q18" s="527"/>
      <c r="R18" s="508"/>
      <c r="S18" s="527"/>
      <c r="T18" s="524"/>
      <c r="U18" s="524"/>
      <c r="V18" s="524"/>
      <c r="W18" s="524"/>
      <c r="X18" s="524"/>
    </row>
    <row r="19" spans="1:24" x14ac:dyDescent="0.25">
      <c r="A19" s="736"/>
      <c r="B19" s="1" t="s">
        <v>260</v>
      </c>
      <c r="C19" s="17" t="e">
        <f>#REF!+#REF!</f>
        <v>#REF!</v>
      </c>
      <c r="D19" s="82"/>
      <c r="E19" s="28" t="e">
        <f>C19*(1-[12]Offre_calc!$V$160)</f>
        <v>#REF!</v>
      </c>
      <c r="F19" s="82"/>
      <c r="G19" s="17" t="e">
        <f t="shared" si="0"/>
        <v>#REF!</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t="e">
        <f>G10/C10</f>
        <v>#REF!</v>
      </c>
      <c r="H20" s="499"/>
      <c r="I20" s="17"/>
      <c r="J20" s="1"/>
      <c r="K20" s="17"/>
      <c r="L20" s="1"/>
      <c r="M20" s="1"/>
      <c r="N20" s="1"/>
      <c r="O20" s="1"/>
      <c r="P20" s="1"/>
      <c r="Q20" s="499"/>
      <c r="R20" s="508"/>
      <c r="S20" s="408"/>
      <c r="T20" s="495"/>
      <c r="U20" s="408"/>
      <c r="V20" s="495"/>
      <c r="W20" s="408"/>
      <c r="X20" s="495"/>
    </row>
    <row r="21" spans="1:24" x14ac:dyDescent="0.25">
      <c r="A21" s="737" t="s">
        <v>13</v>
      </c>
      <c r="B21" s="1" t="s">
        <v>21</v>
      </c>
      <c r="C21" s="17" t="e">
        <f>#REF!+#REF!</f>
        <v>#REF!</v>
      </c>
      <c r="D21" s="529"/>
      <c r="E21" s="33" t="e">
        <f>#REF!+#REF!</f>
        <v>#REF!</v>
      </c>
      <c r="F21" s="529"/>
      <c r="G21" s="17" t="e">
        <f t="shared" ref="G21:G45" si="1">C21-E21</f>
        <v>#REF!</v>
      </c>
      <c r="H21" s="529"/>
      <c r="I21" s="17"/>
      <c r="J21" s="529"/>
      <c r="K21" s="545" t="e">
        <f>#REF!</f>
        <v>#REF!</v>
      </c>
      <c r="L21" s="545" t="e">
        <f>-(#REF!+#REF!+#REF!+#REF!)</f>
        <v>#REF!</v>
      </c>
      <c r="M21" s="545" t="e">
        <f>#REF!</f>
        <v>#REF!</v>
      </c>
      <c r="N21" s="545" t="e">
        <f>#REF!</f>
        <v>#REF!</v>
      </c>
      <c r="O21" s="545" t="e">
        <f>#REF!</f>
        <v>#REF!</v>
      </c>
      <c r="P21" s="545" t="e">
        <f>C36</f>
        <v>#REF!</v>
      </c>
      <c r="Q21" s="529"/>
      <c r="R21" s="508"/>
      <c r="S21" s="529"/>
      <c r="T21" s="529"/>
      <c r="U21" s="529"/>
      <c r="V21" s="529"/>
      <c r="W21" s="529"/>
      <c r="X21" s="529"/>
    </row>
    <row r="22" spans="1:24" x14ac:dyDescent="0.25">
      <c r="A22" s="737"/>
      <c r="B22" s="1" t="s">
        <v>519</v>
      </c>
      <c r="C22" s="17" t="e">
        <f>#REF!</f>
        <v>#REF!</v>
      </c>
      <c r="D22" s="85" t="e">
        <f>SUM(C21:C24)</f>
        <v>#REF!</v>
      </c>
      <c r="E22" s="630" t="e">
        <f>#REF!+#REF!</f>
        <v>#REF!</v>
      </c>
      <c r="F22" s="85" t="e">
        <f>SUM(E21:E24)</f>
        <v>#REF!</v>
      </c>
      <c r="G22" s="17" t="e">
        <f t="shared" si="1"/>
        <v>#REF!</v>
      </c>
      <c r="H22" s="85" t="e">
        <f>SUM(G21:G24)</f>
        <v>#REF!</v>
      </c>
      <c r="I22" s="408"/>
      <c r="J22" s="85" t="e">
        <f>H22-I22</f>
        <v>#REF!</v>
      </c>
      <c r="K22" s="626" t="e">
        <f>#REF!</f>
        <v>#REF!</v>
      </c>
      <c r="L22" s="626" t="e">
        <f>-SUM(#REF!)</f>
        <v>#REF!</v>
      </c>
      <c r="M22" s="32"/>
      <c r="N22" s="32"/>
      <c r="O22" s="32"/>
      <c r="P22" s="32"/>
      <c r="Q22" s="85" t="e">
        <f>J22-SUM(K21:P24)</f>
        <v>#REF!</v>
      </c>
      <c r="R22" s="508" t="e">
        <f>Q22-S22</f>
        <v>#REF!</v>
      </c>
      <c r="S22" s="85" t="e">
        <f>SUM(T22:X24)</f>
        <v>#REF!</v>
      </c>
      <c r="T22" s="32" t="e">
        <f>#REF!+#REF!+#REF!+#REF!</f>
        <v>#REF!</v>
      </c>
      <c r="U22" s="32" t="e">
        <f>#REF!+#REF!+#REF!+#REF!</f>
        <v>#REF!</v>
      </c>
      <c r="V22" s="32" t="e">
        <f>#REF!+#REF!+#REF!+#REF!</f>
        <v>#REF!</v>
      </c>
      <c r="W22" s="32" t="e">
        <f>#REF!+#REF!+#REF!+#REF!+#REF!</f>
        <v>#REF!</v>
      </c>
      <c r="X22" s="32" t="e">
        <f>#REF!+#REF!+#REF!+#REF!</f>
        <v>#REF!</v>
      </c>
    </row>
    <row r="23" spans="1:24" x14ac:dyDescent="0.25">
      <c r="A23" s="737"/>
      <c r="B23" s="1" t="s">
        <v>31</v>
      </c>
      <c r="C23" s="17" t="e">
        <f>SUM(#REF!)-C47</f>
        <v>#REF!</v>
      </c>
      <c r="D23" s="530"/>
      <c r="E23" s="33" t="e">
        <f>#REF!</f>
        <v>#REF!</v>
      </c>
      <c r="F23" s="532"/>
      <c r="G23" s="17" t="e">
        <f t="shared" si="1"/>
        <v>#REF!</v>
      </c>
      <c r="H23" s="532"/>
      <c r="I23" s="17"/>
      <c r="J23" s="532"/>
      <c r="K23" s="534" t="e">
        <f>#REF!</f>
        <v>#REF!</v>
      </c>
      <c r="L23" s="534" t="e">
        <f>-(#REF!+#REF!+#REF!+#REF!)</f>
        <v>#REF!</v>
      </c>
      <c r="M23" s="534" t="e">
        <f>#REF!</f>
        <v>#REF!</v>
      </c>
      <c r="N23" s="534" t="e">
        <f>#REF!</f>
        <v>#REF!</v>
      </c>
      <c r="O23" s="534" t="e">
        <f>#REF!</f>
        <v>#REF!</v>
      </c>
      <c r="P23" s="534" t="e">
        <f>#REF!</f>
        <v>#REF!</v>
      </c>
      <c r="Q23" s="532"/>
      <c r="R23" s="489"/>
      <c r="S23" s="532"/>
      <c r="T23" s="536"/>
      <c r="U23" s="536"/>
      <c r="V23" s="536"/>
      <c r="W23" s="536"/>
      <c r="X23" s="536"/>
    </row>
    <row r="24" spans="1:24" x14ac:dyDescent="0.25">
      <c r="A24" s="737"/>
      <c r="B24" s="1" t="s">
        <v>32</v>
      </c>
      <c r="C24" s="17" t="e">
        <f>#REF!-C45-(#REF!+#REF!)</f>
        <v>#REF!</v>
      </c>
      <c r="D24" s="531"/>
      <c r="E24" s="33" t="e">
        <f>#REF!</f>
        <v>#REF!</v>
      </c>
      <c r="F24" s="533"/>
      <c r="G24" s="17" t="e">
        <f t="shared" si="1"/>
        <v>#REF!</v>
      </c>
      <c r="H24" s="533"/>
      <c r="I24" s="34"/>
      <c r="J24" s="533"/>
      <c r="K24" s="535" t="e">
        <f>#REF!</f>
        <v>#REF!</v>
      </c>
      <c r="L24" s="535"/>
      <c r="M24" s="535" t="e">
        <f>#REF!</f>
        <v>#REF!</v>
      </c>
      <c r="N24" s="535" t="e">
        <f>#REF!</f>
        <v>#REF!</v>
      </c>
      <c r="O24" s="535" t="e">
        <f>#REF!</f>
        <v>#REF!</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38" t="s">
        <v>14</v>
      </c>
      <c r="B26" s="1" t="s">
        <v>21</v>
      </c>
      <c r="C26" s="17" t="e">
        <f>#REF!</f>
        <v>#REF!</v>
      </c>
      <c r="D26" s="512"/>
      <c r="E26" s="190" t="e">
        <f>C26*F$35</f>
        <v>#REF!</v>
      </c>
      <c r="F26" s="512"/>
      <c r="G26" s="33" t="e">
        <f t="shared" ref="G26:G31" si="2">C26-E26</f>
        <v>#REF!</v>
      </c>
      <c r="H26" s="512"/>
      <c r="I26" s="1"/>
      <c r="J26" s="512"/>
      <c r="K26" s="512"/>
      <c r="L26" s="512"/>
      <c r="M26" s="512"/>
      <c r="N26" s="512"/>
      <c r="O26" s="512"/>
      <c r="P26" s="512"/>
      <c r="Q26" s="512"/>
      <c r="R26" s="508"/>
      <c r="S26" s="512"/>
      <c r="T26" s="512"/>
      <c r="U26" s="512"/>
      <c r="V26" s="512"/>
      <c r="W26" s="512"/>
      <c r="X26" s="512"/>
    </row>
    <row r="27" spans="1:24" x14ac:dyDescent="0.25">
      <c r="A27" s="738"/>
      <c r="B27" s="1" t="s">
        <v>22</v>
      </c>
      <c r="C27" s="17" t="e">
        <f>#REF!-#REF!-(#REF!+#REF!+#REF!+#REF!)</f>
        <v>#REF!</v>
      </c>
      <c r="D27" s="87"/>
      <c r="E27" s="190" t="e">
        <f t="shared" ref="E27:E34" si="3">C27*F$35</f>
        <v>#REF!</v>
      </c>
      <c r="F27" s="87"/>
      <c r="G27" s="33" t="e">
        <f t="shared" si="2"/>
        <v>#REF!</v>
      </c>
      <c r="H27" s="87"/>
      <c r="I27" s="500"/>
      <c r="J27" s="87"/>
      <c r="K27" s="87"/>
      <c r="L27" s="87"/>
      <c r="M27" s="87"/>
      <c r="N27" s="87"/>
      <c r="O27" s="87"/>
      <c r="P27" s="87"/>
      <c r="Q27" s="87"/>
      <c r="R27" s="508"/>
      <c r="S27" s="87"/>
      <c r="T27" s="87"/>
      <c r="U27" s="87"/>
      <c r="V27" s="87"/>
      <c r="W27" s="87"/>
      <c r="X27" s="87"/>
    </row>
    <row r="28" spans="1:24" x14ac:dyDescent="0.25">
      <c r="A28" s="738"/>
      <c r="B28" s="1" t="s">
        <v>26</v>
      </c>
      <c r="C28" s="17"/>
      <c r="D28" s="87"/>
      <c r="E28" s="190" t="e">
        <f t="shared" si="3"/>
        <v>#REF!</v>
      </c>
      <c r="F28" s="87"/>
      <c r="G28" s="33" t="e">
        <f>C28-E28</f>
        <v>#REF!</v>
      </c>
      <c r="H28" s="87"/>
      <c r="I28" s="1"/>
      <c r="J28" s="87"/>
      <c r="K28" s="87"/>
      <c r="L28" s="87"/>
      <c r="M28" s="87"/>
      <c r="N28" s="87"/>
      <c r="O28" s="87"/>
      <c r="P28" s="87"/>
      <c r="Q28" s="87"/>
      <c r="R28" s="508"/>
      <c r="S28" s="87"/>
      <c r="T28" s="87"/>
      <c r="U28" s="87"/>
      <c r="V28" s="87"/>
      <c r="W28" s="87"/>
      <c r="X28" s="87"/>
    </row>
    <row r="29" spans="1:24" x14ac:dyDescent="0.25">
      <c r="A29" s="738"/>
      <c r="B29" s="1" t="s">
        <v>23</v>
      </c>
      <c r="C29" s="17" t="e">
        <f>#REF!</f>
        <v>#REF!</v>
      </c>
      <c r="D29" s="87"/>
      <c r="E29" s="190" t="e">
        <f t="shared" si="3"/>
        <v>#REF!</v>
      </c>
      <c r="F29" s="87"/>
      <c r="G29" s="33" t="e">
        <f t="shared" si="2"/>
        <v>#REF!</v>
      </c>
      <c r="H29" s="87"/>
      <c r="I29" s="1"/>
      <c r="J29" s="87"/>
      <c r="K29" s="87"/>
      <c r="L29" s="87"/>
      <c r="M29" s="87"/>
      <c r="N29" s="87"/>
      <c r="O29" s="87"/>
      <c r="P29" s="87"/>
      <c r="Q29" s="87"/>
      <c r="R29" s="508"/>
      <c r="S29" s="87"/>
      <c r="T29" s="87"/>
      <c r="U29" s="87"/>
      <c r="V29" s="87"/>
      <c r="W29" s="87"/>
      <c r="X29" s="87"/>
    </row>
    <row r="30" spans="1:24" x14ac:dyDescent="0.25">
      <c r="A30" s="738"/>
      <c r="B30" s="1" t="s">
        <v>24</v>
      </c>
      <c r="C30" s="17" t="e">
        <f>#REF!</f>
        <v>#REF!</v>
      </c>
      <c r="D30" s="86" t="e">
        <f>SUM(C26:C34)</f>
        <v>#REF!</v>
      </c>
      <c r="E30" s="190" t="e">
        <f t="shared" si="3"/>
        <v>#REF!</v>
      </c>
      <c r="F30" s="86" t="e">
        <f>#REF!</f>
        <v>#REF!</v>
      </c>
      <c r="G30" s="33" t="e">
        <f t="shared" si="2"/>
        <v>#REF!</v>
      </c>
      <c r="H30" s="86" t="e">
        <f>SUM(G26:G34)</f>
        <v>#REF!</v>
      </c>
      <c r="I30" s="1"/>
      <c r="J30" s="86" t="e">
        <f>H30</f>
        <v>#REF!</v>
      </c>
      <c r="K30" s="87" t="e">
        <f>#REF!</f>
        <v>#REF!</v>
      </c>
      <c r="L30" s="87"/>
      <c r="M30" s="87" t="e">
        <f>#REF!</f>
        <v>#REF!</v>
      </c>
      <c r="N30" s="87"/>
      <c r="O30" s="87"/>
      <c r="P30" s="87"/>
      <c r="Q30" s="86" t="e">
        <f>J30-K30-L30-M30-N30-O30-P30</f>
        <v>#REF!</v>
      </c>
      <c r="R30" s="508" t="e">
        <f>Q30-S30</f>
        <v>#REF!</v>
      </c>
      <c r="S30" s="86" t="e">
        <f>SUM(T27:X34)</f>
        <v>#REF!</v>
      </c>
      <c r="T30" s="87" t="e">
        <f>#REF!</f>
        <v>#REF!</v>
      </c>
      <c r="U30" s="87" t="e">
        <f>#REF!+#REF!</f>
        <v>#REF!</v>
      </c>
      <c r="V30" s="87" t="e">
        <f>#REF!</f>
        <v>#REF!</v>
      </c>
      <c r="W30" s="87" t="e">
        <f>#REF!</f>
        <v>#REF!</v>
      </c>
      <c r="X30" s="87" t="e">
        <f>#REF!</f>
        <v>#REF!</v>
      </c>
    </row>
    <row r="31" spans="1:24" x14ac:dyDescent="0.25">
      <c r="A31" s="738"/>
      <c r="B31" s="1" t="s">
        <v>33</v>
      </c>
      <c r="C31" s="17">
        <v>0</v>
      </c>
      <c r="D31" s="86"/>
      <c r="E31" s="190" t="e">
        <f t="shared" si="3"/>
        <v>#REF!</v>
      </c>
      <c r="F31" s="86"/>
      <c r="G31" s="33" t="e">
        <f t="shared" si="2"/>
        <v>#REF!</v>
      </c>
      <c r="H31" s="86"/>
      <c r="I31" s="1"/>
      <c r="J31" s="517"/>
      <c r="K31" s="87"/>
      <c r="L31" s="87"/>
      <c r="M31" s="87"/>
      <c r="N31" s="87"/>
      <c r="O31" s="87"/>
      <c r="P31" s="87"/>
      <c r="Q31" s="517"/>
      <c r="R31" s="508"/>
      <c r="S31" s="519"/>
      <c r="T31" s="521"/>
      <c r="U31" s="521"/>
      <c r="V31" s="521"/>
      <c r="W31" s="521"/>
      <c r="X31" s="521"/>
    </row>
    <row r="32" spans="1:24" x14ac:dyDescent="0.25">
      <c r="A32" s="738"/>
      <c r="B32" s="1" t="s">
        <v>29</v>
      </c>
      <c r="C32" s="17" t="e">
        <f>#REF!</f>
        <v>#REF!</v>
      </c>
      <c r="D32" s="86"/>
      <c r="E32" s="190" t="e">
        <f t="shared" si="3"/>
        <v>#REF!</v>
      </c>
      <c r="F32" s="86"/>
      <c r="G32" s="33" t="e">
        <f>C32-E32</f>
        <v>#REF!</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t="e">
        <f>#REF!</f>
        <v>#REF!</v>
      </c>
      <c r="D33" s="86"/>
      <c r="E33" s="190" t="e">
        <f t="shared" si="3"/>
        <v>#REF!</v>
      </c>
      <c r="F33" s="86"/>
      <c r="G33" s="33" t="e">
        <f t="shared" ref="G33:G34" si="4">C33-E33</f>
        <v>#REF!</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t="e">
        <f>#REF!</f>
        <v>#REF!</v>
      </c>
      <c r="D34" s="88"/>
      <c r="E34" s="190" t="e">
        <f t="shared" si="3"/>
        <v>#REF!</v>
      </c>
      <c r="F34" s="88"/>
      <c r="G34" s="33" t="e">
        <f t="shared" si="4"/>
        <v>#REF!</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t="e">
        <f>F30/D30</f>
        <v>#REF!</v>
      </c>
      <c r="G35" s="17"/>
      <c r="H35" s="501"/>
      <c r="I35" s="1"/>
      <c r="J35" s="1"/>
      <c r="K35" s="1"/>
      <c r="L35" s="1"/>
      <c r="M35" s="1"/>
      <c r="N35" s="1"/>
      <c r="O35" s="1"/>
      <c r="P35" s="1"/>
      <c r="Q35" s="502"/>
      <c r="R35" s="508"/>
      <c r="U35" s="33"/>
      <c r="V35" s="33"/>
      <c r="W35" s="33"/>
    </row>
    <row r="36" spans="1:26" x14ac:dyDescent="0.25">
      <c r="A36" s="739" t="s">
        <v>34</v>
      </c>
      <c r="B36" s="1" t="s">
        <v>21</v>
      </c>
      <c r="C36" s="33" t="e">
        <f>E55</f>
        <v>#REF!</v>
      </c>
      <c r="D36" s="538"/>
      <c r="E36" s="17"/>
      <c r="F36" s="538"/>
      <c r="G36" s="17" t="e">
        <f t="shared" ref="G36:G42" si="5">C36-E36</f>
        <v>#REF!</v>
      </c>
      <c r="H36" s="538"/>
      <c r="I36" s="35"/>
      <c r="J36" s="37"/>
      <c r="K36" s="35"/>
      <c r="L36" s="35"/>
      <c r="M36" s="35"/>
      <c r="N36" s="35"/>
      <c r="O36" s="35"/>
      <c r="P36" s="35"/>
      <c r="Q36" s="540"/>
      <c r="R36" s="508"/>
      <c r="S36" s="538"/>
      <c r="T36" s="503">
        <v>0</v>
      </c>
      <c r="U36" s="503">
        <v>0</v>
      </c>
      <c r="V36" s="503">
        <v>0</v>
      </c>
      <c r="W36" s="503">
        <v>0</v>
      </c>
      <c r="X36" s="503">
        <v>0</v>
      </c>
      <c r="Y36" s="489">
        <f>SUM(T36:X36)</f>
        <v>0</v>
      </c>
      <c r="Z36" s="489" t="e">
        <f>G36-Y36</f>
        <v>#REF!</v>
      </c>
    </row>
    <row r="37" spans="1:26" x14ac:dyDescent="0.25">
      <c r="A37" s="739"/>
      <c r="B37" s="1" t="s">
        <v>23</v>
      </c>
      <c r="C37" s="33" t="e">
        <f>SUM(T37:X37)+E58</f>
        <v>#REF!</v>
      </c>
      <c r="D37" s="539"/>
      <c r="E37" s="504"/>
      <c r="F37" s="539"/>
      <c r="G37" s="17" t="e">
        <f t="shared" si="5"/>
        <v>#REF!</v>
      </c>
      <c r="H37" s="539"/>
      <c r="I37" s="498"/>
      <c r="J37" s="37"/>
      <c r="K37" s="35"/>
      <c r="L37" s="35"/>
      <c r="M37" s="505"/>
      <c r="N37" s="35"/>
      <c r="P37" s="35"/>
      <c r="Q37" s="541"/>
      <c r="R37" s="508"/>
      <c r="S37" s="539"/>
      <c r="T37" s="506" t="e">
        <f>#REF!</f>
        <v>#REF!</v>
      </c>
      <c r="U37" s="93" t="e">
        <f>#REF!</f>
        <v>#REF!</v>
      </c>
      <c r="V37" s="506" t="e">
        <f>#REF!</f>
        <v>#REF!</v>
      </c>
      <c r="W37" s="507" t="e">
        <f>#REF!</f>
        <v>#REF!</v>
      </c>
      <c r="X37" s="506" t="e">
        <f>#REF!</f>
        <v>#REF!</v>
      </c>
      <c r="Y37" s="489" t="e">
        <f t="shared" ref="Y37:Y47" si="6">SUM(T37:X37)</f>
        <v>#REF!</v>
      </c>
      <c r="Z37" s="489" t="e">
        <f t="shared" ref="Z37:Z44" si="7">G37-Y37</f>
        <v>#REF!</v>
      </c>
    </row>
    <row r="38" spans="1:26" x14ac:dyDescent="0.25">
      <c r="A38" s="739"/>
      <c r="B38" s="1" t="s">
        <v>33</v>
      </c>
      <c r="C38" s="33">
        <f>SUM(T38:X38)</f>
        <v>0</v>
      </c>
      <c r="D38" s="539"/>
      <c r="E38" s="35"/>
      <c r="F38" s="539"/>
      <c r="G38" s="17">
        <f t="shared" si="5"/>
        <v>0</v>
      </c>
      <c r="H38" s="539"/>
      <c r="I38" s="35"/>
      <c r="J38" s="37"/>
      <c r="K38" s="35"/>
      <c r="L38" s="35"/>
      <c r="M38" s="37"/>
      <c r="N38" s="35"/>
      <c r="O38" s="35"/>
      <c r="P38" s="35"/>
      <c r="Q38" s="36" t="e">
        <f>SUM(G36:G41)-E55-E56-E58-L41-L36</f>
        <v>#REF!</v>
      </c>
      <c r="R38" s="508"/>
      <c r="S38" s="539"/>
      <c r="T38" s="84">
        <v>0</v>
      </c>
      <c r="U38" s="83">
        <v>0</v>
      </c>
      <c r="V38" s="84">
        <v>0</v>
      </c>
      <c r="W38" s="91">
        <v>0</v>
      </c>
      <c r="X38" s="91">
        <v>0</v>
      </c>
      <c r="Y38" s="489">
        <f t="shared" si="6"/>
        <v>0</v>
      </c>
      <c r="Z38" s="489">
        <f t="shared" si="7"/>
        <v>0</v>
      </c>
    </row>
    <row r="39" spans="1:26" x14ac:dyDescent="0.25">
      <c r="A39" s="739"/>
      <c r="B39" s="1" t="s">
        <v>35</v>
      </c>
      <c r="C39" s="33" t="e">
        <f>SUM(T39:X39)</f>
        <v>#REF!</v>
      </c>
      <c r="D39" s="539"/>
      <c r="E39" s="35"/>
      <c r="F39" s="539"/>
      <c r="G39" s="17" t="e">
        <f t="shared" si="5"/>
        <v>#REF!</v>
      </c>
      <c r="H39" s="539"/>
      <c r="I39" s="35"/>
      <c r="J39" s="37"/>
      <c r="K39" s="35"/>
      <c r="L39" s="35"/>
      <c r="M39" s="37"/>
      <c r="N39" s="35"/>
      <c r="O39" s="35"/>
      <c r="P39" s="35"/>
      <c r="Q39" s="541"/>
      <c r="R39" s="508"/>
      <c r="S39" s="539"/>
      <c r="T39" s="84" t="e">
        <f>#REF!</f>
        <v>#REF!</v>
      </c>
      <c r="U39" s="83" t="e">
        <f>#REF!</f>
        <v>#REF!</v>
      </c>
      <c r="V39" s="84" t="e">
        <f>#REF!</f>
        <v>#REF!</v>
      </c>
      <c r="W39" s="91" t="e">
        <f>#REF!</f>
        <v>#REF!</v>
      </c>
      <c r="X39" s="91" t="e">
        <f>#REF!</f>
        <v>#REF!</v>
      </c>
      <c r="Y39" s="489" t="e">
        <f t="shared" si="6"/>
        <v>#REF!</v>
      </c>
      <c r="Z39" s="489" t="e">
        <f t="shared" si="7"/>
        <v>#REF!</v>
      </c>
    </row>
    <row r="40" spans="1:26" x14ac:dyDescent="0.25">
      <c r="A40" s="739"/>
      <c r="B40" s="1" t="s">
        <v>36</v>
      </c>
      <c r="C40" s="33" t="e">
        <f>#REF!</f>
        <v>#REF!</v>
      </c>
      <c r="D40" s="539"/>
      <c r="E40" s="35"/>
      <c r="F40" s="539"/>
      <c r="G40" s="17" t="e">
        <f t="shared" si="5"/>
        <v>#REF!</v>
      </c>
      <c r="H40" s="539"/>
      <c r="I40" s="35"/>
      <c r="J40" s="37"/>
      <c r="K40" s="35"/>
      <c r="L40" s="35"/>
      <c r="M40" s="37"/>
      <c r="N40" s="35"/>
      <c r="O40" s="35"/>
      <c r="P40" s="35"/>
      <c r="Q40" s="541"/>
      <c r="R40" s="508"/>
      <c r="S40" s="539"/>
      <c r="T40" s="83" t="e">
        <f>#REF!</f>
        <v>#REF!</v>
      </c>
      <c r="U40" s="83" t="e">
        <f>#REF!</f>
        <v>#REF!</v>
      </c>
      <c r="V40" s="83" t="e">
        <f>#REF!</f>
        <v>#REF!</v>
      </c>
      <c r="W40" s="83" t="e">
        <f>#REF!</f>
        <v>#REF!</v>
      </c>
      <c r="X40" s="84" t="e">
        <f>#REF!</f>
        <v>#REF!</v>
      </c>
      <c r="Y40" s="489" t="e">
        <f t="shared" si="6"/>
        <v>#REF!</v>
      </c>
      <c r="Z40" s="489" t="e">
        <f t="shared" si="7"/>
        <v>#REF!</v>
      </c>
    </row>
    <row r="41" spans="1:26" x14ac:dyDescent="0.25">
      <c r="A41" s="739"/>
      <c r="B41" s="1" t="s">
        <v>37</v>
      </c>
      <c r="C41" s="33" t="e">
        <f>#REF!+#REF!-#REF!+#REF!</f>
        <v>#REF!</v>
      </c>
      <c r="D41" s="191" t="e">
        <f>SUM(C36:C47)</f>
        <v>#REF!</v>
      </c>
      <c r="E41" s="511" t="e">
        <f>#REF!</f>
        <v>#REF!</v>
      </c>
      <c r="F41" s="191" t="e">
        <f>SUM(E36:E47)</f>
        <v>#REF!</v>
      </c>
      <c r="G41" s="17" t="e">
        <f t="shared" si="5"/>
        <v>#REF!</v>
      </c>
      <c r="H41" s="191" t="e">
        <f>SUM(G36:G47)</f>
        <v>#REF!</v>
      </c>
      <c r="I41" s="35"/>
      <c r="J41" s="37"/>
      <c r="K41" s="35"/>
      <c r="L41" s="37" t="e">
        <f>-(SUM(#REF!)+SUM(#REF!))</f>
        <v>#REF!</v>
      </c>
      <c r="M41" s="35"/>
      <c r="N41" s="35"/>
      <c r="O41" s="35"/>
      <c r="P41" s="35"/>
      <c r="Q41" s="541"/>
      <c r="R41" s="508" t="e">
        <f>SUM(Q36:Q47)-S41</f>
        <v>#REF!</v>
      </c>
      <c r="S41" s="191" t="e">
        <f>SUM(T36:X46)</f>
        <v>#REF!</v>
      </c>
      <c r="T41" s="83" t="e">
        <f>#REF!+#REF!</f>
        <v>#REF!</v>
      </c>
      <c r="U41" s="83" t="e">
        <f>#REF!+#REF!</f>
        <v>#REF!</v>
      </c>
      <c r="V41" s="83" t="e">
        <f>#REF!+#REF!</f>
        <v>#REF!</v>
      </c>
      <c r="W41" s="83" t="e">
        <f>#REF!+#REF!</f>
        <v>#REF!</v>
      </c>
      <c r="X41" s="84" t="e">
        <f>#REF!+#REF!</f>
        <v>#REF!</v>
      </c>
      <c r="Y41" s="489" t="e">
        <f t="shared" si="6"/>
        <v>#REF!</v>
      </c>
      <c r="Z41" s="489" t="e">
        <f>G41-Y41-L41</f>
        <v>#REF!</v>
      </c>
    </row>
    <row r="42" spans="1:26" x14ac:dyDescent="0.25">
      <c r="A42" s="739"/>
      <c r="B42" s="1" t="s">
        <v>38</v>
      </c>
      <c r="C42" s="33" t="e">
        <f>#REF!+#REF!-#REF!-#REF!-E54-SUM(T43:X43)-(#REF!+#REF!+#REF!+#REF!)</f>
        <v>#REF!</v>
      </c>
      <c r="D42" s="539"/>
      <c r="E42" s="17" t="e">
        <f>#REF!+#REF!+#REF!+#REF!</f>
        <v>#REF!</v>
      </c>
      <c r="F42" s="539"/>
      <c r="G42" s="17" t="e">
        <f t="shared" si="5"/>
        <v>#REF!</v>
      </c>
      <c r="H42" s="539"/>
      <c r="I42" s="498"/>
      <c r="J42" s="37"/>
      <c r="K42" s="35"/>
      <c r="L42" s="35"/>
      <c r="M42" s="35"/>
      <c r="N42" s="35"/>
      <c r="O42" s="35"/>
      <c r="P42" s="35"/>
      <c r="Q42" s="36" t="e">
        <f>G42</f>
        <v>#REF!</v>
      </c>
      <c r="R42" s="508"/>
      <c r="S42" s="539"/>
      <c r="T42" s="83">
        <v>0</v>
      </c>
      <c r="U42" s="83">
        <v>0</v>
      </c>
      <c r="V42" s="83">
        <v>0</v>
      </c>
      <c r="W42" s="83">
        <v>0</v>
      </c>
      <c r="X42" s="84" t="e">
        <f>#REF!</f>
        <v>#REF!</v>
      </c>
      <c r="Y42" s="489" t="e">
        <f t="shared" si="6"/>
        <v>#REF!</v>
      </c>
      <c r="Z42" s="489" t="e">
        <f>Q42-SUM(T42:X42)</f>
        <v>#REF!</v>
      </c>
    </row>
    <row r="43" spans="1:26" x14ac:dyDescent="0.25">
      <c r="A43" s="739"/>
      <c r="B43" s="1" t="s">
        <v>39</v>
      </c>
      <c r="C43" s="33" t="e">
        <f>#REF!+SUM(T43:X43)</f>
        <v>#REF!</v>
      </c>
      <c r="D43" s="539"/>
      <c r="E43" s="38"/>
      <c r="F43" s="539"/>
      <c r="G43" s="17" t="e">
        <f>C43-E43</f>
        <v>#REF!</v>
      </c>
      <c r="H43" s="539"/>
      <c r="I43" s="35"/>
      <c r="J43" s="37"/>
      <c r="K43" s="35"/>
      <c r="L43" s="35"/>
      <c r="M43" s="35"/>
      <c r="N43" s="35"/>
      <c r="O43" s="35"/>
      <c r="P43" s="35"/>
      <c r="Q43" s="36" t="e">
        <f>G43-#REF!</f>
        <v>#REF!</v>
      </c>
      <c r="R43" s="508"/>
      <c r="S43" s="539"/>
      <c r="T43" s="83" t="e">
        <f>#REF!</f>
        <v>#REF!</v>
      </c>
      <c r="U43" s="83" t="e">
        <f>#REF!</f>
        <v>#REF!</v>
      </c>
      <c r="V43" s="83" t="e">
        <f>#REF!</f>
        <v>#REF!</v>
      </c>
      <c r="W43" s="83" t="e">
        <f>#REF!</f>
        <v>#REF!</v>
      </c>
      <c r="X43" s="84">
        <v>0</v>
      </c>
      <c r="Y43" s="489" t="e">
        <f t="shared" si="6"/>
        <v>#REF!</v>
      </c>
      <c r="Z43" s="489" t="e">
        <f>Q43-SUM(T43:X43)</f>
        <v>#REF!</v>
      </c>
    </row>
    <row r="44" spans="1:26" x14ac:dyDescent="0.25">
      <c r="A44" s="739"/>
      <c r="B44" s="1" t="s">
        <v>40</v>
      </c>
      <c r="C44" s="33" t="e">
        <f>SUM(T44:X44)</f>
        <v>#REF!</v>
      </c>
      <c r="D44" s="539"/>
      <c r="E44" s="38"/>
      <c r="F44" s="539"/>
      <c r="G44" s="17" t="e">
        <f t="shared" si="1"/>
        <v>#REF!</v>
      </c>
      <c r="H44" s="539"/>
      <c r="I44" s="35"/>
      <c r="J44" s="37"/>
      <c r="K44" s="35"/>
      <c r="L44" s="35"/>
      <c r="M44" s="35"/>
      <c r="N44" s="35"/>
      <c r="O44" s="35"/>
      <c r="P44" s="35"/>
      <c r="Q44" s="36" t="e">
        <f>G44-#REF!</f>
        <v>#REF!</v>
      </c>
      <c r="R44" s="498"/>
      <c r="S44" s="539"/>
      <c r="T44" s="83" t="e">
        <f>#REF!</f>
        <v>#REF!</v>
      </c>
      <c r="U44" s="83">
        <v>0</v>
      </c>
      <c r="V44" s="83" t="e">
        <f>#REF!</f>
        <v>#REF!</v>
      </c>
      <c r="W44" s="83">
        <v>0</v>
      </c>
      <c r="X44" s="84" t="e">
        <f>#REF!</f>
        <v>#REF!</v>
      </c>
      <c r="Y44" s="489" t="e">
        <f t="shared" si="6"/>
        <v>#REF!</v>
      </c>
      <c r="Z44" s="489" t="e">
        <f t="shared" si="7"/>
        <v>#REF!</v>
      </c>
    </row>
    <row r="45" spans="1:26" x14ac:dyDescent="0.25">
      <c r="A45" s="739"/>
      <c r="B45" s="1" t="s">
        <v>41</v>
      </c>
      <c r="C45" s="33" t="e">
        <f>E53</f>
        <v>#REF!</v>
      </c>
      <c r="D45" s="539"/>
      <c r="E45" s="38"/>
      <c r="F45" s="539"/>
      <c r="G45" s="17" t="e">
        <f t="shared" si="1"/>
        <v>#REF!</v>
      </c>
      <c r="H45" s="539"/>
      <c r="I45" s="35"/>
      <c r="J45" s="37"/>
      <c r="K45" s="35"/>
      <c r="L45" s="35"/>
      <c r="M45" s="35"/>
      <c r="N45" s="35"/>
      <c r="O45" s="35"/>
      <c r="P45" s="35"/>
      <c r="Q45" s="36" t="e">
        <f>G45-#REF!</f>
        <v>#REF!</v>
      </c>
      <c r="R45" s="498"/>
      <c r="S45" s="539"/>
      <c r="T45" s="84">
        <v>0</v>
      </c>
      <c r="U45" s="83">
        <v>0</v>
      </c>
      <c r="V45" s="84">
        <v>0</v>
      </c>
      <c r="W45" s="92">
        <v>0</v>
      </c>
      <c r="X45" s="84">
        <v>0</v>
      </c>
      <c r="Y45" s="489">
        <f t="shared" si="6"/>
        <v>0</v>
      </c>
      <c r="Z45" s="489" t="e">
        <f>Q45-Y45</f>
        <v>#REF!</v>
      </c>
    </row>
    <row r="46" spans="1:26" x14ac:dyDescent="0.25">
      <c r="A46" s="739"/>
      <c r="B46" s="1" t="s">
        <v>42</v>
      </c>
      <c r="C46" s="33" t="e">
        <f>#REF!-C18-C34</f>
        <v>#REF!</v>
      </c>
      <c r="D46" s="539"/>
      <c r="E46" s="511"/>
      <c r="F46" s="539"/>
      <c r="G46" s="17" t="e">
        <f>C46-E46</f>
        <v>#REF!</v>
      </c>
      <c r="H46" s="539"/>
      <c r="I46" s="38"/>
      <c r="J46" s="37"/>
      <c r="K46" s="35"/>
      <c r="L46" s="35"/>
      <c r="M46" s="35"/>
      <c r="N46" s="35"/>
      <c r="O46" s="35"/>
      <c r="P46" s="35"/>
      <c r="Q46" s="36" t="e">
        <f>G46-(#REF!+#REF!+#REF!)</f>
        <v>#REF!</v>
      </c>
      <c r="R46" s="498"/>
      <c r="S46" s="539"/>
      <c r="T46" s="506" t="e">
        <f>#REF!</f>
        <v>#REF!</v>
      </c>
      <c r="U46" s="93" t="e">
        <f>#REF!</f>
        <v>#REF!</v>
      </c>
      <c r="V46" s="506" t="e">
        <f>#REF!</f>
        <v>#REF!</v>
      </c>
      <c r="W46" s="507" t="e">
        <f>#REF!</f>
        <v>#REF!</v>
      </c>
      <c r="X46" s="506" t="e">
        <f>#REF!</f>
        <v>#REF!</v>
      </c>
      <c r="Y46" s="489" t="e">
        <f t="shared" si="6"/>
        <v>#REF!</v>
      </c>
      <c r="Z46" s="489" t="e">
        <f>Q46-Y46</f>
        <v>#REF!</v>
      </c>
    </row>
    <row r="47" spans="1:26" x14ac:dyDescent="0.25">
      <c r="A47" s="90"/>
      <c r="B47" s="1" t="s">
        <v>31</v>
      </c>
      <c r="C47" s="33" t="e">
        <f>E57</f>
        <v>#REF!</v>
      </c>
      <c r="D47" s="192"/>
      <c r="E47" s="511"/>
      <c r="F47" s="192"/>
      <c r="G47" s="17" t="e">
        <f>C47-E47</f>
        <v>#REF!</v>
      </c>
      <c r="H47" s="192"/>
      <c r="I47" s="38"/>
      <c r="J47" s="37"/>
      <c r="K47" s="35"/>
      <c r="L47" s="35"/>
      <c r="M47" s="35"/>
      <c r="N47" s="35"/>
      <c r="O47" s="35"/>
      <c r="P47" s="35"/>
      <c r="Q47" s="542" t="e">
        <f>G47-#REF!</f>
        <v>#REF!</v>
      </c>
      <c r="R47" s="498"/>
      <c r="S47" s="192"/>
      <c r="T47" s="543">
        <v>0</v>
      </c>
      <c r="U47" s="543">
        <v>0</v>
      </c>
      <c r="V47" s="543">
        <v>0</v>
      </c>
      <c r="W47" s="543">
        <v>0</v>
      </c>
      <c r="X47" s="543">
        <v>0</v>
      </c>
      <c r="Y47" s="489">
        <f t="shared" si="6"/>
        <v>0</v>
      </c>
      <c r="Z47" s="489" t="e">
        <f>Q47-Y47</f>
        <v>#REF!</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t="e">
        <f>C5-L13-SUM(L21:L24)-L30-L41-#REF!</f>
        <v>#REF!</v>
      </c>
      <c r="D49" s="1"/>
      <c r="E49" s="34" t="e">
        <f>SUM(E7:E47)+I13-#REF!+K13+SUM(K21:K24)+K30+#REF!+#REF!</f>
        <v>#REF!</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t="e">
        <f>Q22+Q30+SUM(G36:G40)+(G44)</f>
        <v>#REF!</v>
      </c>
    </row>
    <row r="52" spans="1:19" x14ac:dyDescent="0.25">
      <c r="A52" s="21"/>
      <c r="B52" s="1" t="s">
        <v>44</v>
      </c>
      <c r="C52" s="44"/>
      <c r="D52" s="1"/>
      <c r="E52" s="39" t="e">
        <f>#REF!+#REF!+#REF!</f>
        <v>#REF!</v>
      </c>
      <c r="F52" s="187"/>
      <c r="G52" s="1"/>
      <c r="H52" s="1"/>
      <c r="I52" s="30"/>
      <c r="J52" s="17"/>
      <c r="K52" s="17"/>
      <c r="L52" s="21"/>
      <c r="M52" s="1"/>
      <c r="N52" s="17"/>
      <c r="O52" s="17"/>
      <c r="P52" s="17"/>
      <c r="Q52" s="1"/>
      <c r="S52" s="33"/>
    </row>
    <row r="53" spans="1:19" x14ac:dyDescent="0.25">
      <c r="A53" s="21"/>
      <c r="B53" s="1" t="s">
        <v>41</v>
      </c>
      <c r="C53" s="45"/>
      <c r="D53" s="17"/>
      <c r="E53" s="433" t="e">
        <f>#REF!+#REF!</f>
        <v>#REF!</v>
      </c>
      <c r="F53" s="187"/>
      <c r="G53" s="1"/>
      <c r="H53" s="1"/>
      <c r="I53" s="30"/>
      <c r="J53" s="17"/>
      <c r="K53" s="17"/>
      <c r="L53" s="21"/>
      <c r="M53" s="1"/>
      <c r="N53" s="17"/>
      <c r="O53" s="17"/>
      <c r="P53" s="17"/>
      <c r="Q53" s="1"/>
    </row>
    <row r="54" spans="1:19" x14ac:dyDescent="0.25">
      <c r="A54" s="21"/>
      <c r="B54" s="1" t="s">
        <v>39</v>
      </c>
      <c r="C54" s="45"/>
      <c r="D54" s="17"/>
      <c r="E54" s="435" t="e">
        <f>#REF!</f>
        <v>#REF!</v>
      </c>
      <c r="F54" s="187"/>
      <c r="G54" s="1"/>
      <c r="H54" s="1"/>
      <c r="I54" s="30"/>
      <c r="J54" s="17"/>
      <c r="K54" s="17"/>
      <c r="L54" s="21"/>
      <c r="M54" s="21"/>
      <c r="N54" s="17"/>
      <c r="O54" s="17"/>
      <c r="P54" s="17"/>
      <c r="Q54" s="1"/>
    </row>
    <row r="55" spans="1:19" x14ac:dyDescent="0.25">
      <c r="B55" s="1" t="s">
        <v>21</v>
      </c>
      <c r="E55" s="631" t="e">
        <f>#REF!+#REF!</f>
        <v>#REF!</v>
      </c>
    </row>
    <row r="56" spans="1:19" x14ac:dyDescent="0.25">
      <c r="B56" s="1" t="s">
        <v>37</v>
      </c>
      <c r="E56" s="631" t="e">
        <f>#REF!+#REF!+#REF!</f>
        <v>#REF!</v>
      </c>
    </row>
    <row r="57" spans="1:19" x14ac:dyDescent="0.25">
      <c r="B57" s="1" t="s">
        <v>31</v>
      </c>
      <c r="E57" s="631" t="e">
        <f>#REF!</f>
        <v>#REF!</v>
      </c>
    </row>
    <row r="58" spans="1:19" x14ac:dyDescent="0.25">
      <c r="B58" s="1" t="s">
        <v>335</v>
      </c>
      <c r="E58" s="631" t="e">
        <f>#REF!</f>
        <v>#REF!</v>
      </c>
    </row>
    <row r="59" spans="1:19" x14ac:dyDescent="0.25">
      <c r="E59" s="632"/>
    </row>
  </sheetData>
  <mergeCells count="12">
    <mergeCell ref="C1:H1"/>
    <mergeCell ref="J1:Q1"/>
    <mergeCell ref="C2:D2"/>
    <mergeCell ref="E2:H2"/>
    <mergeCell ref="J2:J4"/>
    <mergeCell ref="K2:Q3"/>
    <mergeCell ref="A36:A46"/>
    <mergeCell ref="S2:X3"/>
    <mergeCell ref="G3:H3"/>
    <mergeCell ref="A7:A19"/>
    <mergeCell ref="A21:A24"/>
    <mergeCell ref="A26:A32"/>
  </mergeCells>
  <pageMargins left="0.7" right="0.7" top="0.75" bottom="0.75" header="0.3" footer="0.3"/>
  <pageSetup paperSize="9" orientation="portrait"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59140-CC24-47C1-9005-743B6F325B07}">
  <sheetPr>
    <tabColor theme="3"/>
  </sheetPr>
  <dimension ref="A1:AB490"/>
  <sheetViews>
    <sheetView topLeftCell="F4" workbookViewId="0"/>
  </sheetViews>
  <sheetFormatPr baseColWidth="10" defaultColWidth="14.28515625" defaultRowHeight="15" x14ac:dyDescent="0.25"/>
  <cols>
    <col min="1" max="5" width="0" hidden="1" customWidth="1"/>
    <col min="7" max="7" width="58.42578125" bestFit="1" customWidth="1"/>
    <col min="27" max="27" width="0" hidden="1" customWidth="1"/>
  </cols>
  <sheetData>
    <row r="1" spans="1:28" ht="15.75" hidden="1" x14ac:dyDescent="0.25">
      <c r="H1" s="598" t="e">
        <f>LEFT(ADDRESS(1,COLUMN(#REF!),4),LEN(ADDRESS(1,COLUMN(#REF!),4))-1)</f>
        <v>#REF!</v>
      </c>
      <c r="I1" s="598" t="e">
        <f>LEFT(ADDRESS(1,COLUMN(#REF!),4),LEN(ADDRESS(1,COLUMN(#REF!),4))-1)</f>
        <v>#REF!</v>
      </c>
      <c r="J1" s="598" t="e">
        <f>LEFT(ADDRESS(1,COLUMN(#REF!),4),LEN(ADDRESS(1,COLUMN(#REF!),4))-1)</f>
        <v>#REF!</v>
      </c>
      <c r="K1" s="598" t="e">
        <f>LEFT(ADDRESS(1,COLUMN(#REF!),4),LEN(ADDRESS(1,COLUMN(#REF!),4))-1)</f>
        <v>#REF!</v>
      </c>
      <c r="L1" s="598" t="e">
        <f>LEFT(ADDRESS(1,COLUMN(#REF!),4),LEN(ADDRESS(1,COLUMN(#REF!),4))-1)</f>
        <v>#REF!</v>
      </c>
      <c r="M1" s="598" t="e">
        <f>LEFT(ADDRESS(1,COLUMN(#REF!),4),LEN(ADDRESS(1,COLUMN(#REF!),4))-1)</f>
        <v>#REF!</v>
      </c>
      <c r="N1" s="598" t="e">
        <f>LEFT(ADDRESS(1,COLUMN(#REF!),4),LEN(ADDRESS(1,COLUMN(#REF!),4))-1)</f>
        <v>#REF!</v>
      </c>
      <c r="O1" s="598" t="e">
        <f>LEFT(ADDRESS(1,COLUMN(#REF!),4),LEN(ADDRESS(1,COLUMN(#REF!),4))-1)</f>
        <v>#REF!</v>
      </c>
      <c r="P1" s="598" t="e">
        <f>LEFT(ADDRESS(1,COLUMN(#REF!),4),LEN(ADDRESS(1,COLUMN(#REF!),4))-1)</f>
        <v>#REF!</v>
      </c>
      <c r="Q1" s="598" t="e">
        <f>LEFT(ADDRESS(1,COLUMN(#REF!),4),LEN(ADDRESS(1,COLUMN(#REF!),4))-1)</f>
        <v>#REF!</v>
      </c>
      <c r="R1" s="598" t="e">
        <f>LEFT(ADDRESS(1,COLUMN(#REF!),4),LEN(ADDRESS(1,COLUMN(#REF!),4))-1)</f>
        <v>#REF!</v>
      </c>
      <c r="S1" s="598" t="e">
        <f>LEFT(ADDRESS(1,COLUMN(#REF!),4),LEN(ADDRESS(1,COLUMN(#REF!),4))-1)</f>
        <v>#REF!</v>
      </c>
      <c r="T1" s="598" t="e">
        <f>LEFT(ADDRESS(1,COLUMN(#REF!),4),LEN(ADDRESS(1,COLUMN(#REF!),4))-1)</f>
        <v>#REF!</v>
      </c>
      <c r="U1" s="598" t="e">
        <f>LEFT(ADDRESS(1,COLUMN(#REF!),4),LEN(ADDRESS(1,COLUMN(#REF!),4))-1)</f>
        <v>#REF!</v>
      </c>
      <c r="V1" s="598" t="e">
        <f>LEFT(ADDRESS(1,COLUMN(#REF!),4),LEN(ADDRESS(1,COLUMN(#REF!),4))-1)</f>
        <v>#REF!</v>
      </c>
      <c r="W1" s="598" t="e">
        <f>LEFT(ADDRESS(1,COLUMN(#REF!),4),LEN(ADDRESS(1,COLUMN(#REF!),4))-1)</f>
        <v>#REF!</v>
      </c>
      <c r="X1" s="598" t="e">
        <f>LEFT(ADDRESS(1,COLUMN(#REF!),4),LEN(ADDRESS(1,COLUMN(#REF!),4))-1)</f>
        <v>#REF!</v>
      </c>
      <c r="Y1" s="598" t="e">
        <f>LEFT(ADDRESS(1,COLUMN(#REF!),4),LEN(ADDRESS(1,COLUMN(#REF!),4))-1)</f>
        <v>#REF!</v>
      </c>
      <c r="AA1" t="e">
        <f>Y1</f>
        <v>#REF!</v>
      </c>
    </row>
    <row r="2" spans="1:28" hidden="1" x14ac:dyDescent="0.25">
      <c r="H2" t="e">
        <f>#REF!</f>
        <v>#REF!</v>
      </c>
      <c r="I2" s="51" t="e">
        <f>#REF!</f>
        <v>#REF!</v>
      </c>
      <c r="J2" s="51" t="e">
        <f>#REF!</f>
        <v>#REF!</v>
      </c>
      <c r="K2" s="51" t="e">
        <f>#REF!</f>
        <v>#REF!</v>
      </c>
      <c r="L2" s="51" t="e">
        <f>#REF!</f>
        <v>#REF!</v>
      </c>
      <c r="M2" s="51" t="e">
        <f>#REF!</f>
        <v>#REF!</v>
      </c>
      <c r="N2" s="51" t="e">
        <f>#REF!</f>
        <v>#REF!</v>
      </c>
      <c r="O2" s="51" t="e">
        <f>#REF!</f>
        <v>#REF!</v>
      </c>
      <c r="P2" s="51" t="e">
        <f>#REF!</f>
        <v>#REF!</v>
      </c>
      <c r="Q2" s="51" t="e">
        <f>#REF!</f>
        <v>#REF!</v>
      </c>
      <c r="R2" s="51" t="e">
        <f>#REF!</f>
        <v>#REF!</v>
      </c>
      <c r="S2" s="51" t="e">
        <f>#REF!</f>
        <v>#REF!</v>
      </c>
      <c r="T2" s="51" t="e">
        <f>#REF!</f>
        <v>#REF!</v>
      </c>
      <c r="U2" s="51" t="e">
        <f>#REF!</f>
        <v>#REF!</v>
      </c>
      <c r="V2" s="51" t="e">
        <f>#REF!</f>
        <v>#REF!</v>
      </c>
      <c r="W2" s="51" t="e">
        <f>#REF!</f>
        <v>#REF!</v>
      </c>
      <c r="X2" s="51" t="e">
        <f>#REF!</f>
        <v>#REF!</v>
      </c>
      <c r="Y2" s="51" t="e">
        <f>#REF!</f>
        <v>#REF!</v>
      </c>
    </row>
    <row r="3" spans="1:28" hidden="1" x14ac:dyDescent="0.25"/>
    <row r="4" spans="1:28" s="601" customFormat="1" ht="18.75" x14ac:dyDescent="0.3">
      <c r="A4" s="599"/>
      <c r="B4" s="599"/>
      <c r="C4" s="599"/>
      <c r="D4" s="599"/>
      <c r="E4" s="599"/>
      <c r="F4" s="599"/>
      <c r="G4" s="600" t="s">
        <v>406</v>
      </c>
      <c r="H4" s="599"/>
      <c r="I4" s="599"/>
      <c r="J4" s="599"/>
      <c r="K4" s="599"/>
      <c r="L4" s="599"/>
      <c r="M4" s="599"/>
      <c r="N4" s="599"/>
      <c r="O4" s="599"/>
      <c r="P4" s="599"/>
      <c r="Q4" s="599"/>
      <c r="R4" s="599"/>
      <c r="S4" s="599"/>
      <c r="T4" s="599"/>
      <c r="U4" s="599"/>
      <c r="V4" s="599"/>
      <c r="W4" s="599"/>
      <c r="X4" s="599"/>
      <c r="Y4" s="599"/>
      <c r="Z4" s="599"/>
      <c r="AA4" s="599"/>
      <c r="AB4" s="599"/>
    </row>
    <row r="5" spans="1:28" x14ac:dyDescent="0.25">
      <c r="A5" s="51"/>
      <c r="B5" s="51"/>
      <c r="C5" s="51"/>
      <c r="D5" s="51"/>
      <c r="E5" s="51"/>
      <c r="F5" s="51"/>
      <c r="G5" s="51"/>
      <c r="H5" s="51"/>
      <c r="I5" s="51"/>
      <c r="J5" s="51"/>
      <c r="K5" s="51"/>
      <c r="L5" s="51"/>
      <c r="M5" s="51"/>
      <c r="N5" s="51"/>
      <c r="O5" s="51"/>
      <c r="P5" s="51"/>
      <c r="Q5" s="51"/>
      <c r="R5" s="51"/>
      <c r="S5" s="51"/>
      <c r="T5" s="51"/>
      <c r="U5" s="51"/>
      <c r="V5" s="51"/>
      <c r="W5" s="51"/>
      <c r="X5" s="51"/>
      <c r="Y5" s="51"/>
      <c r="Z5" s="51"/>
      <c r="AA5" s="51"/>
      <c r="AB5" s="51"/>
    </row>
    <row r="6" spans="1:28" s="605" customFormat="1" ht="15.75" x14ac:dyDescent="0.25">
      <c r="A6" s="602"/>
      <c r="B6" s="602"/>
      <c r="C6" s="602"/>
      <c r="D6" s="602"/>
      <c r="E6" s="602"/>
      <c r="F6" s="51"/>
      <c r="G6" s="603" t="s">
        <v>338</v>
      </c>
      <c r="H6" s="602" t="s">
        <v>481</v>
      </c>
      <c r="I6" s="602"/>
      <c r="J6" s="602"/>
      <c r="K6" s="602"/>
      <c r="L6" s="602"/>
      <c r="M6" s="602"/>
      <c r="N6" s="602"/>
      <c r="O6" s="604"/>
      <c r="P6" s="604"/>
      <c r="Q6" s="604"/>
      <c r="R6" s="604"/>
      <c r="S6" s="604"/>
      <c r="T6" s="604"/>
      <c r="U6" s="604"/>
      <c r="V6" s="602"/>
      <c r="W6" s="602"/>
      <c r="X6" s="602"/>
      <c r="Y6" s="602"/>
      <c r="Z6" s="602"/>
      <c r="AA6" s="602"/>
      <c r="AB6" s="602"/>
    </row>
    <row r="7" spans="1:28" s="605" customFormat="1" ht="15.75" x14ac:dyDescent="0.25">
      <c r="A7" s="602"/>
      <c r="B7" s="602"/>
      <c r="C7" s="602"/>
      <c r="D7" s="602"/>
      <c r="E7" s="602"/>
      <c r="F7" s="51"/>
      <c r="G7" s="603" t="s">
        <v>341</v>
      </c>
      <c r="H7" s="602" t="s">
        <v>342</v>
      </c>
      <c r="I7" s="602"/>
      <c r="J7" s="602"/>
      <c r="K7" s="602"/>
      <c r="L7" s="602"/>
      <c r="M7" s="602"/>
      <c r="N7" s="602"/>
      <c r="O7" s="602"/>
      <c r="P7" s="602"/>
      <c r="Q7" s="602"/>
      <c r="R7" s="602"/>
      <c r="S7" s="602"/>
      <c r="T7" s="602"/>
      <c r="U7" s="602"/>
      <c r="V7" s="602"/>
      <c r="W7" s="602"/>
      <c r="X7" s="602"/>
      <c r="Y7" s="602"/>
      <c r="Z7" s="602"/>
      <c r="AA7" s="602"/>
      <c r="AB7" s="602"/>
    </row>
    <row r="8" spans="1:28" x14ac:dyDescent="0.25">
      <c r="A8" s="51"/>
      <c r="B8" s="51"/>
      <c r="C8" s="51"/>
      <c r="D8" s="51"/>
      <c r="E8" s="51"/>
      <c r="F8" s="51"/>
      <c r="G8" s="51"/>
      <c r="H8" s="51"/>
      <c r="I8" s="51"/>
      <c r="J8" s="51"/>
      <c r="K8" s="51"/>
      <c r="L8" s="51"/>
      <c r="M8" s="51"/>
      <c r="N8" s="51"/>
      <c r="O8" s="51"/>
      <c r="P8" s="51"/>
      <c r="Q8" s="51"/>
      <c r="R8" s="51"/>
      <c r="S8" s="51"/>
      <c r="T8" s="51"/>
      <c r="U8" s="51"/>
      <c r="V8" s="51"/>
      <c r="W8" s="51"/>
      <c r="X8" s="51"/>
      <c r="Y8" s="51"/>
      <c r="Z8" s="51"/>
      <c r="AA8" s="51"/>
      <c r="AB8" s="51"/>
    </row>
    <row r="9" spans="1:28" x14ac:dyDescent="0.25">
      <c r="A9" s="51"/>
      <c r="B9" s="51"/>
      <c r="C9" s="51"/>
      <c r="D9" s="51"/>
      <c r="E9" s="51"/>
      <c r="F9" s="51"/>
      <c r="G9" s="51"/>
      <c r="H9" s="51"/>
      <c r="I9" s="51"/>
      <c r="J9" s="51"/>
      <c r="K9" s="51"/>
      <c r="L9" s="51"/>
      <c r="M9" s="51"/>
      <c r="N9" s="51"/>
      <c r="O9" s="51"/>
      <c r="P9" s="51"/>
      <c r="Q9" s="51"/>
      <c r="R9" s="51"/>
      <c r="S9" s="51"/>
      <c r="T9" s="51"/>
      <c r="U9" s="51"/>
      <c r="V9" s="51"/>
      <c r="W9" s="51"/>
      <c r="X9" s="51"/>
      <c r="Y9" s="51"/>
      <c r="Z9" s="51"/>
      <c r="AA9" s="51"/>
      <c r="AB9" s="51"/>
    </row>
    <row r="10" spans="1:28" x14ac:dyDescent="0.25">
      <c r="A10" s="606"/>
      <c r="B10" s="606"/>
      <c r="C10" s="606"/>
      <c r="D10" s="606"/>
      <c r="E10" s="606"/>
      <c r="F10" s="606"/>
      <c r="G10" s="607" t="s">
        <v>407</v>
      </c>
      <c r="H10" s="606"/>
      <c r="I10" s="606"/>
      <c r="J10" s="606"/>
      <c r="K10" s="606"/>
      <c r="L10" s="606"/>
      <c r="M10" s="606"/>
      <c r="N10" s="606"/>
      <c r="O10" s="606"/>
      <c r="P10" s="606"/>
      <c r="Q10" s="606"/>
      <c r="R10" s="606"/>
      <c r="S10" s="606"/>
      <c r="T10" s="606"/>
      <c r="U10" s="606"/>
      <c r="V10" s="606"/>
      <c r="W10" s="606"/>
      <c r="X10" s="606"/>
      <c r="Y10" s="606"/>
      <c r="Z10" s="606"/>
      <c r="AA10" s="606"/>
      <c r="AB10" s="606"/>
    </row>
    <row r="11" spans="1:28" x14ac:dyDescent="0.25">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c r="AA11" s="51"/>
      <c r="AB11" s="51"/>
    </row>
    <row r="12" spans="1:28" ht="14.25" customHeight="1" x14ac:dyDescent="0.25">
      <c r="A12" s="51"/>
      <c r="B12" s="51"/>
      <c r="C12" s="51"/>
      <c r="D12" s="51"/>
      <c r="E12" s="51"/>
      <c r="F12" s="51"/>
      <c r="G12" s="764" t="s">
        <v>128</v>
      </c>
      <c r="H12" s="753" t="s">
        <v>42</v>
      </c>
      <c r="I12" s="753" t="s">
        <v>52</v>
      </c>
      <c r="J12" s="753" t="s">
        <v>53</v>
      </c>
      <c r="K12" s="753" t="s">
        <v>482</v>
      </c>
      <c r="L12" s="753" t="s">
        <v>32</v>
      </c>
      <c r="M12" s="753" t="s">
        <v>483</v>
      </c>
      <c r="N12" s="753" t="s">
        <v>20</v>
      </c>
      <c r="O12" s="753" t="s">
        <v>55</v>
      </c>
      <c r="P12" s="761" t="s">
        <v>56</v>
      </c>
      <c r="Q12" s="762"/>
      <c r="R12" s="762"/>
      <c r="S12" s="762"/>
      <c r="T12" s="762"/>
      <c r="U12" s="763"/>
      <c r="V12" s="753" t="s">
        <v>57</v>
      </c>
      <c r="W12" s="753" t="s">
        <v>58</v>
      </c>
      <c r="X12" s="753" t="s">
        <v>31</v>
      </c>
      <c r="Y12" s="753" t="s">
        <v>10</v>
      </c>
      <c r="Z12" s="51"/>
      <c r="AA12" s="51"/>
      <c r="AB12" s="51"/>
    </row>
    <row r="13" spans="1:28" ht="24" x14ac:dyDescent="0.25">
      <c r="A13" s="51"/>
      <c r="B13" s="51" t="s">
        <v>484</v>
      </c>
      <c r="C13" s="51" t="s">
        <v>485</v>
      </c>
      <c r="D13" s="51" t="s">
        <v>486</v>
      </c>
      <c r="E13" s="51"/>
      <c r="F13" s="51"/>
      <c r="G13" s="765"/>
      <c r="H13" s="754"/>
      <c r="I13" s="754"/>
      <c r="J13" s="754"/>
      <c r="K13" s="754"/>
      <c r="L13" s="754"/>
      <c r="M13" s="754"/>
      <c r="N13" s="754"/>
      <c r="O13" s="754"/>
      <c r="P13" s="608" t="s">
        <v>335</v>
      </c>
      <c r="Q13" s="608" t="s">
        <v>40</v>
      </c>
      <c r="R13" s="608" t="s">
        <v>343</v>
      </c>
      <c r="S13" s="608" t="s">
        <v>344</v>
      </c>
      <c r="T13" s="609" t="s">
        <v>345</v>
      </c>
      <c r="U13" s="608" t="s">
        <v>346</v>
      </c>
      <c r="V13" s="754"/>
      <c r="W13" s="754"/>
      <c r="X13" s="754"/>
      <c r="Y13" s="754"/>
      <c r="Z13" s="51"/>
      <c r="AA13" s="51"/>
      <c r="AB13" s="51"/>
    </row>
    <row r="14" spans="1:28" x14ac:dyDescent="0.25">
      <c r="A14" s="51"/>
      <c r="B14" s="51">
        <v>2019</v>
      </c>
      <c r="C14" s="51" t="s">
        <v>47</v>
      </c>
      <c r="D14" s="51" t="s">
        <v>487</v>
      </c>
      <c r="E14" s="51"/>
      <c r="F14" s="51"/>
      <c r="G14" s="610" t="s">
        <v>59</v>
      </c>
      <c r="H14" s="611">
        <v>0</v>
      </c>
      <c r="I14" s="611">
        <v>11.595553697293001</v>
      </c>
      <c r="J14" s="612">
        <v>0</v>
      </c>
      <c r="K14" s="611">
        <v>0</v>
      </c>
      <c r="L14" s="611">
        <v>0.16688824999999999</v>
      </c>
      <c r="M14" s="611">
        <v>0</v>
      </c>
      <c r="N14" s="612">
        <v>1209.1260212121213</v>
      </c>
      <c r="O14" s="612">
        <v>104.3311966741735</v>
      </c>
      <c r="P14" s="612">
        <v>120.67293388888889</v>
      </c>
      <c r="Q14" s="612">
        <v>34.900820833333334</v>
      </c>
      <c r="R14" s="612">
        <v>0</v>
      </c>
      <c r="S14" s="612">
        <v>9.0983058888888646</v>
      </c>
      <c r="T14" s="612">
        <v>31.698274999999999</v>
      </c>
      <c r="U14" s="612">
        <v>7.5310224999999988</v>
      </c>
      <c r="V14" s="612">
        <v>0</v>
      </c>
      <c r="W14" s="612">
        <v>0</v>
      </c>
      <c r="X14" s="612">
        <v>0</v>
      </c>
      <c r="Y14" s="613">
        <v>1529.1210179446989</v>
      </c>
      <c r="Z14" s="51"/>
      <c r="AA14" s="51"/>
      <c r="AB14" s="51"/>
    </row>
    <row r="15" spans="1:28" x14ac:dyDescent="0.25">
      <c r="A15" s="51"/>
      <c r="B15" s="51">
        <f t="shared" ref="B15:C20" si="0">B14</f>
        <v>2019</v>
      </c>
      <c r="C15" s="51" t="str">
        <f t="shared" si="0"/>
        <v>AMS</v>
      </c>
      <c r="D15" s="51" t="s">
        <v>488</v>
      </c>
      <c r="E15" s="51"/>
      <c r="F15" s="51"/>
      <c r="G15" s="610" t="s">
        <v>60</v>
      </c>
      <c r="H15" s="612">
        <v>84.727843146635564</v>
      </c>
      <c r="I15" s="612">
        <v>578.28949050727442</v>
      </c>
      <c r="J15" s="612">
        <v>535.06419481988212</v>
      </c>
      <c r="K15" s="611">
        <v>0</v>
      </c>
      <c r="L15" s="612">
        <v>568.75187100000016</v>
      </c>
      <c r="M15" s="611">
        <v>0</v>
      </c>
      <c r="N15" s="612">
        <v>0</v>
      </c>
      <c r="O15" s="612">
        <v>0</v>
      </c>
      <c r="P15" s="612">
        <v>2.7591261111111107</v>
      </c>
      <c r="Q15" s="612">
        <v>0</v>
      </c>
      <c r="R15" s="612">
        <v>19.183841687689483</v>
      </c>
      <c r="S15" s="612">
        <v>0</v>
      </c>
      <c r="T15" s="612">
        <v>0</v>
      </c>
      <c r="U15" s="612">
        <v>0</v>
      </c>
      <c r="V15" s="612">
        <v>15.63175</v>
      </c>
      <c r="W15" s="612">
        <v>0</v>
      </c>
      <c r="X15" s="612">
        <v>0</v>
      </c>
      <c r="Y15" s="613">
        <v>1804.4081172725928</v>
      </c>
      <c r="Z15" s="51"/>
      <c r="AA15" s="51"/>
      <c r="AB15" s="51"/>
    </row>
    <row r="16" spans="1:28" x14ac:dyDescent="0.25">
      <c r="A16" s="51"/>
      <c r="B16" s="51">
        <f t="shared" si="0"/>
        <v>2019</v>
      </c>
      <c r="C16" s="51" t="str">
        <f t="shared" si="0"/>
        <v>AMS</v>
      </c>
      <c r="D16" s="51" t="s">
        <v>489</v>
      </c>
      <c r="E16" s="51"/>
      <c r="F16" s="51"/>
      <c r="G16" s="610" t="s">
        <v>61</v>
      </c>
      <c r="H16" s="612">
        <v>-4.7877500119999999E-2</v>
      </c>
      <c r="I16" s="612">
        <v>-1.599063909936</v>
      </c>
      <c r="J16" s="612">
        <v>-205.43265045753787</v>
      </c>
      <c r="K16" s="611">
        <v>0</v>
      </c>
      <c r="L16" s="612">
        <v>-112.63352224999998</v>
      </c>
      <c r="M16" s="611">
        <v>0</v>
      </c>
      <c r="N16" s="612">
        <v>0</v>
      </c>
      <c r="O16" s="612">
        <v>0</v>
      </c>
      <c r="P16" s="612">
        <v>-2.3667455555555552</v>
      </c>
      <c r="Q16" s="612">
        <v>0</v>
      </c>
      <c r="R16" s="612">
        <v>-8.0445142984108866</v>
      </c>
      <c r="S16" s="612">
        <v>0</v>
      </c>
      <c r="T16" s="612">
        <v>0</v>
      </c>
      <c r="U16" s="612">
        <v>0</v>
      </c>
      <c r="V16" s="612">
        <v>-73.298799000000002</v>
      </c>
      <c r="W16" s="612">
        <v>0</v>
      </c>
      <c r="X16" s="612">
        <v>0</v>
      </c>
      <c r="Y16" s="613">
        <v>-403.42317297156029</v>
      </c>
      <c r="Z16" s="51"/>
      <c r="AA16" s="51"/>
      <c r="AB16" s="51"/>
    </row>
    <row r="17" spans="1:28" x14ac:dyDescent="0.25">
      <c r="A17" s="51"/>
      <c r="B17" s="51">
        <f t="shared" si="0"/>
        <v>2019</v>
      </c>
      <c r="C17" s="51" t="str">
        <f t="shared" si="0"/>
        <v>AMS</v>
      </c>
      <c r="D17" s="51" t="s">
        <v>490</v>
      </c>
      <c r="E17" s="51"/>
      <c r="F17" s="51"/>
      <c r="G17" s="610" t="s">
        <v>62</v>
      </c>
      <c r="H17" s="611">
        <v>0</v>
      </c>
      <c r="I17" s="611">
        <v>0</v>
      </c>
      <c r="J17" s="611">
        <v>-19.747038815182684</v>
      </c>
      <c r="K17" s="611">
        <v>0</v>
      </c>
      <c r="L17" s="611">
        <v>0</v>
      </c>
      <c r="M17" s="611">
        <v>0</v>
      </c>
      <c r="N17" s="611">
        <v>0</v>
      </c>
      <c r="O17" s="611">
        <v>0</v>
      </c>
      <c r="P17" s="611">
        <v>0</v>
      </c>
      <c r="Q17" s="611">
        <v>0</v>
      </c>
      <c r="R17" s="611">
        <v>0</v>
      </c>
      <c r="S17" s="611">
        <v>0</v>
      </c>
      <c r="T17" s="611">
        <v>0</v>
      </c>
      <c r="U17" s="611">
        <v>0</v>
      </c>
      <c r="V17" s="612">
        <v>0</v>
      </c>
      <c r="W17" s="612">
        <v>0</v>
      </c>
      <c r="X17" s="611">
        <v>0</v>
      </c>
      <c r="Y17" s="613">
        <v>-19.747038815182684</v>
      </c>
      <c r="Z17" s="51"/>
      <c r="AA17" s="51"/>
      <c r="AB17" s="51"/>
    </row>
    <row r="18" spans="1:28" x14ac:dyDescent="0.25">
      <c r="A18" s="51"/>
      <c r="B18" s="51">
        <f t="shared" si="0"/>
        <v>2019</v>
      </c>
      <c r="C18" s="51" t="str">
        <f t="shared" si="0"/>
        <v>AMS</v>
      </c>
      <c r="D18" s="51" t="s">
        <v>491</v>
      </c>
      <c r="E18" s="51"/>
      <c r="F18" s="51"/>
      <c r="G18" s="610" t="s">
        <v>63</v>
      </c>
      <c r="H18" s="611">
        <v>0</v>
      </c>
      <c r="I18" s="611">
        <v>0</v>
      </c>
      <c r="J18" s="611">
        <v>-82.452981163797972</v>
      </c>
      <c r="K18" s="611">
        <v>0</v>
      </c>
      <c r="L18" s="611">
        <v>0</v>
      </c>
      <c r="M18" s="611">
        <v>0</v>
      </c>
      <c r="N18" s="611">
        <v>0</v>
      </c>
      <c r="O18" s="611">
        <v>0</v>
      </c>
      <c r="P18" s="611">
        <v>0</v>
      </c>
      <c r="Q18" s="611">
        <v>0</v>
      </c>
      <c r="R18" s="611">
        <v>0</v>
      </c>
      <c r="S18" s="611">
        <v>0</v>
      </c>
      <c r="T18" s="611">
        <v>0</v>
      </c>
      <c r="U18" s="611">
        <v>0</v>
      </c>
      <c r="V18" s="612">
        <v>0</v>
      </c>
      <c r="W18" s="612">
        <v>0</v>
      </c>
      <c r="X18" s="611">
        <v>0</v>
      </c>
      <c r="Y18" s="613">
        <v>-82.452981163797972</v>
      </c>
      <c r="Z18" s="51"/>
      <c r="AA18" s="51"/>
      <c r="AB18" s="51"/>
    </row>
    <row r="19" spans="1:28" x14ac:dyDescent="0.25">
      <c r="A19" s="51"/>
      <c r="B19" s="51">
        <f t="shared" si="0"/>
        <v>2019</v>
      </c>
      <c r="C19" s="51" t="str">
        <f t="shared" si="0"/>
        <v>AMS</v>
      </c>
      <c r="D19" s="51" t="s">
        <v>492</v>
      </c>
      <c r="E19" s="51"/>
      <c r="F19" s="51"/>
      <c r="G19" s="610" t="s">
        <v>64</v>
      </c>
      <c r="H19" s="612">
        <v>0.41223964042222283</v>
      </c>
      <c r="I19" s="612">
        <v>1.3710702337312513</v>
      </c>
      <c r="J19" s="612">
        <v>1.3272538188370329</v>
      </c>
      <c r="K19" s="611">
        <v>0</v>
      </c>
      <c r="L19" s="612">
        <v>-19.664768250000005</v>
      </c>
      <c r="M19" s="611">
        <v>0</v>
      </c>
      <c r="N19" s="612">
        <v>0</v>
      </c>
      <c r="O19" s="612">
        <v>0</v>
      </c>
      <c r="P19" s="612">
        <v>0</v>
      </c>
      <c r="Q19" s="612">
        <v>0</v>
      </c>
      <c r="R19" s="612">
        <v>0</v>
      </c>
      <c r="S19" s="612">
        <v>0</v>
      </c>
      <c r="T19" s="612">
        <v>0</v>
      </c>
      <c r="U19" s="612">
        <v>0</v>
      </c>
      <c r="V19" s="612">
        <v>0</v>
      </c>
      <c r="W19" s="612">
        <v>0</v>
      </c>
      <c r="X19" s="612">
        <v>0</v>
      </c>
      <c r="Y19" s="613">
        <v>-16.554204557009498</v>
      </c>
      <c r="Z19" s="51"/>
      <c r="AA19" s="51"/>
      <c r="AB19" s="51"/>
    </row>
    <row r="20" spans="1:28" x14ac:dyDescent="0.25">
      <c r="A20" s="51"/>
      <c r="B20" s="51">
        <f t="shared" si="0"/>
        <v>2019</v>
      </c>
      <c r="C20" s="51" t="str">
        <f t="shared" si="0"/>
        <v>AMS</v>
      </c>
      <c r="D20" s="51" t="s">
        <v>493</v>
      </c>
      <c r="E20" s="51"/>
      <c r="F20" s="51"/>
      <c r="G20" s="614" t="s">
        <v>65</v>
      </c>
      <c r="H20" s="615">
        <v>85.092205286937784</v>
      </c>
      <c r="I20" s="615">
        <v>589.65705052836267</v>
      </c>
      <c r="J20" s="615">
        <v>228.75877820220057</v>
      </c>
      <c r="K20" s="615">
        <v>0</v>
      </c>
      <c r="L20" s="615">
        <v>436.62046875000021</v>
      </c>
      <c r="M20" s="615">
        <v>0</v>
      </c>
      <c r="N20" s="615">
        <v>1209.1260212121213</v>
      </c>
      <c r="O20" s="615">
        <v>104.3311966741735</v>
      </c>
      <c r="P20" s="615">
        <v>121.06531444444445</v>
      </c>
      <c r="Q20" s="615">
        <v>34.900820833333334</v>
      </c>
      <c r="R20" s="615">
        <v>11.139327389278597</v>
      </c>
      <c r="S20" s="615">
        <v>9.0983058888888646</v>
      </c>
      <c r="T20" s="615">
        <v>31.698274999999999</v>
      </c>
      <c r="U20" s="615">
        <v>7.5310224999999988</v>
      </c>
      <c r="V20" s="615">
        <v>-57.667049000000006</v>
      </c>
      <c r="W20" s="615">
        <v>0</v>
      </c>
      <c r="X20" s="615">
        <v>0</v>
      </c>
      <c r="Y20" s="615">
        <v>2811.351737709741</v>
      </c>
      <c r="Z20" s="51"/>
      <c r="AA20" s="51"/>
      <c r="AB20" s="51"/>
    </row>
    <row r="21" spans="1:28" x14ac:dyDescent="0.25">
      <c r="A21" s="51"/>
      <c r="B21" s="51"/>
      <c r="C21" s="51"/>
      <c r="D21" s="51"/>
      <c r="E21" s="51"/>
      <c r="F21" s="51"/>
      <c r="G21" s="616"/>
      <c r="H21" s="617"/>
      <c r="I21" s="617"/>
      <c r="J21" s="617"/>
      <c r="K21" s="617"/>
      <c r="L21" s="617"/>
      <c r="M21" s="617"/>
      <c r="N21" s="617"/>
      <c r="O21" s="617"/>
      <c r="P21" s="617"/>
      <c r="Q21" s="617"/>
      <c r="R21" s="617"/>
      <c r="S21" s="617"/>
      <c r="T21" s="617"/>
      <c r="U21" s="617"/>
      <c r="V21" s="617"/>
      <c r="W21" s="617"/>
      <c r="X21" s="617"/>
      <c r="Y21" s="617"/>
      <c r="Z21" s="51"/>
      <c r="AA21" s="51"/>
      <c r="AB21" s="51"/>
    </row>
    <row r="22" spans="1:28" x14ac:dyDescent="0.25">
      <c r="A22" s="51"/>
      <c r="B22" s="51">
        <f>B20</f>
        <v>2019</v>
      </c>
      <c r="C22" s="51" t="str">
        <f>C20</f>
        <v>AMS</v>
      </c>
      <c r="D22" s="51" t="s">
        <v>494</v>
      </c>
      <c r="E22" s="51"/>
      <c r="F22" s="51"/>
      <c r="G22" s="618" t="s">
        <v>67</v>
      </c>
      <c r="H22" s="611">
        <v>3.6318872869800032</v>
      </c>
      <c r="I22" s="611">
        <v>10.787016352492323</v>
      </c>
      <c r="J22" s="611">
        <v>16.441628886851458</v>
      </c>
      <c r="K22" s="611">
        <v>0</v>
      </c>
      <c r="L22" s="611">
        <v>-1.2134132500000001</v>
      </c>
      <c r="M22" s="611">
        <v>0</v>
      </c>
      <c r="N22" s="611">
        <v>0</v>
      </c>
      <c r="O22" s="611">
        <v>0</v>
      </c>
      <c r="P22" s="611">
        <v>0</v>
      </c>
      <c r="Q22" s="611">
        <v>-0.39035819434438856</v>
      </c>
      <c r="R22" s="611">
        <v>0.39056626803326822</v>
      </c>
      <c r="S22" s="611">
        <v>0</v>
      </c>
      <c r="T22" s="611">
        <v>0</v>
      </c>
      <c r="U22" s="611">
        <v>0</v>
      </c>
      <c r="V22" s="611">
        <v>4.6315588193812136</v>
      </c>
      <c r="W22" s="611">
        <v>0</v>
      </c>
      <c r="X22" s="612">
        <v>0</v>
      </c>
      <c r="Y22" s="613">
        <v>34.278886169393878</v>
      </c>
      <c r="Z22" s="51"/>
      <c r="AA22" s="51"/>
      <c r="AB22" s="51"/>
    </row>
    <row r="23" spans="1:28" x14ac:dyDescent="0.25">
      <c r="A23" s="51"/>
      <c r="B23" s="51">
        <f t="shared" ref="B23:C34" si="1">B22</f>
        <v>2019</v>
      </c>
      <c r="C23" s="51" t="str">
        <f t="shared" si="1"/>
        <v>AMS</v>
      </c>
      <c r="D23" s="51" t="s">
        <v>495</v>
      </c>
      <c r="E23" s="51"/>
      <c r="F23" s="51"/>
      <c r="G23" s="618" t="s">
        <v>347</v>
      </c>
      <c r="H23" s="611">
        <v>17.443753714840586</v>
      </c>
      <c r="I23" s="611">
        <v>0</v>
      </c>
      <c r="J23" s="611">
        <v>13.62708829242459</v>
      </c>
      <c r="K23" s="611">
        <v>0</v>
      </c>
      <c r="L23" s="611">
        <v>62.931904980327779</v>
      </c>
      <c r="M23" s="611">
        <v>0</v>
      </c>
      <c r="N23" s="611">
        <v>1209.1260212121213</v>
      </c>
      <c r="O23" s="611">
        <v>104.3311966741735</v>
      </c>
      <c r="P23" s="611">
        <v>17.794147670554988</v>
      </c>
      <c r="Q23" s="611">
        <v>12.388866225144911</v>
      </c>
      <c r="R23" s="611">
        <v>0</v>
      </c>
      <c r="S23" s="611">
        <v>4.8474406033333333</v>
      </c>
      <c r="T23" s="611">
        <v>0</v>
      </c>
      <c r="U23" s="611">
        <v>1.1825205542668356</v>
      </c>
      <c r="V23" s="611">
        <v>-566.17178776794128</v>
      </c>
      <c r="W23" s="611">
        <v>0</v>
      </c>
      <c r="X23" s="612">
        <v>0</v>
      </c>
      <c r="Y23" s="613">
        <v>877.50115215924666</v>
      </c>
      <c r="Z23" s="51"/>
      <c r="AA23" s="51"/>
      <c r="AB23" s="51"/>
    </row>
    <row r="24" spans="1:28" x14ac:dyDescent="0.25">
      <c r="A24" s="51"/>
      <c r="B24" s="51">
        <f t="shared" si="1"/>
        <v>2019</v>
      </c>
      <c r="C24" s="51" t="str">
        <f t="shared" si="1"/>
        <v>AMS</v>
      </c>
      <c r="D24" s="51" t="s">
        <v>496</v>
      </c>
      <c r="E24" s="51"/>
      <c r="F24" s="51"/>
      <c r="G24" s="618" t="s">
        <v>348</v>
      </c>
      <c r="H24" s="611">
        <v>1.9109444951460814</v>
      </c>
      <c r="I24" s="611">
        <v>0</v>
      </c>
      <c r="J24" s="611">
        <v>0.26671791988070115</v>
      </c>
      <c r="K24" s="611">
        <v>0</v>
      </c>
      <c r="L24" s="611">
        <v>20.764778769672215</v>
      </c>
      <c r="M24" s="611">
        <v>0</v>
      </c>
      <c r="N24" s="611">
        <v>0</v>
      </c>
      <c r="O24" s="611">
        <v>0</v>
      </c>
      <c r="P24" s="611">
        <v>8.5293872999380707</v>
      </c>
      <c r="Q24" s="611">
        <v>16.588146755013483</v>
      </c>
      <c r="R24" s="611">
        <v>0</v>
      </c>
      <c r="S24" s="611">
        <v>2.852532452222222</v>
      </c>
      <c r="T24" s="611">
        <v>0.25919055555555554</v>
      </c>
      <c r="U24" s="611">
        <v>3.5768259901376065</v>
      </c>
      <c r="V24" s="611">
        <v>0</v>
      </c>
      <c r="W24" s="611">
        <v>-46.772072780777776</v>
      </c>
      <c r="X24" s="612">
        <v>0</v>
      </c>
      <c r="Y24" s="613">
        <v>7.9764514567881601</v>
      </c>
      <c r="Z24" s="51"/>
      <c r="AA24" s="51"/>
      <c r="AB24" s="51"/>
    </row>
    <row r="25" spans="1:28" x14ac:dyDescent="0.25">
      <c r="A25" s="51"/>
      <c r="B25" s="51">
        <f t="shared" si="1"/>
        <v>2019</v>
      </c>
      <c r="C25" s="51" t="str">
        <f t="shared" si="1"/>
        <v>AMS</v>
      </c>
      <c r="D25" s="51" t="s">
        <v>497</v>
      </c>
      <c r="E25" s="51"/>
      <c r="F25" s="51"/>
      <c r="G25" s="618" t="s">
        <v>349</v>
      </c>
      <c r="H25" s="611">
        <v>0</v>
      </c>
      <c r="I25" s="611">
        <v>0</v>
      </c>
      <c r="J25" s="611">
        <v>0</v>
      </c>
      <c r="K25" s="611">
        <v>0</v>
      </c>
      <c r="L25" s="611">
        <v>0</v>
      </c>
      <c r="M25" s="611">
        <v>0</v>
      </c>
      <c r="N25" s="611">
        <v>0</v>
      </c>
      <c r="O25" s="611">
        <v>0</v>
      </c>
      <c r="P25" s="611">
        <v>0</v>
      </c>
      <c r="Q25" s="611">
        <v>0</v>
      </c>
      <c r="R25" s="611">
        <v>0</v>
      </c>
      <c r="S25" s="611">
        <v>-1.1106240000000001</v>
      </c>
      <c r="T25" s="611">
        <v>0</v>
      </c>
      <c r="U25" s="611">
        <v>0</v>
      </c>
      <c r="V25" s="611">
        <v>0</v>
      </c>
      <c r="W25" s="611">
        <v>0</v>
      </c>
      <c r="X25" s="612">
        <v>0</v>
      </c>
      <c r="Y25" s="613">
        <v>-1.1106240000000001</v>
      </c>
      <c r="Z25" s="51"/>
      <c r="AA25" s="51"/>
      <c r="AB25" s="51"/>
    </row>
    <row r="26" spans="1:28" x14ac:dyDescent="0.25">
      <c r="A26" s="51"/>
      <c r="B26" s="51">
        <f t="shared" si="1"/>
        <v>2019</v>
      </c>
      <c r="C26" s="51" t="str">
        <f t="shared" si="1"/>
        <v>AMS</v>
      </c>
      <c r="D26" s="51" t="s">
        <v>498</v>
      </c>
      <c r="E26" s="51"/>
      <c r="F26" s="51"/>
      <c r="G26" s="618" t="s">
        <v>350</v>
      </c>
      <c r="H26" s="611">
        <v>0</v>
      </c>
      <c r="I26" s="611">
        <v>0</v>
      </c>
      <c r="J26" s="611">
        <v>0</v>
      </c>
      <c r="K26" s="611">
        <v>0</v>
      </c>
      <c r="L26" s="611">
        <v>0</v>
      </c>
      <c r="M26" s="611">
        <v>0</v>
      </c>
      <c r="N26" s="611">
        <v>0</v>
      </c>
      <c r="O26" s="611">
        <v>0</v>
      </c>
      <c r="P26" s="611">
        <v>0</v>
      </c>
      <c r="Q26" s="611">
        <v>0</v>
      </c>
      <c r="R26" s="611">
        <v>0</v>
      </c>
      <c r="S26" s="611">
        <v>0</v>
      </c>
      <c r="T26" s="611">
        <v>0</v>
      </c>
      <c r="U26" s="611">
        <v>0</v>
      </c>
      <c r="V26" s="611">
        <v>0</v>
      </c>
      <c r="W26" s="611">
        <v>0</v>
      </c>
      <c r="X26" s="612">
        <v>0</v>
      </c>
      <c r="Y26" s="613">
        <v>0</v>
      </c>
      <c r="Z26" s="51"/>
      <c r="AA26" s="51"/>
      <c r="AB26" s="51"/>
    </row>
    <row r="27" spans="1:28" x14ac:dyDescent="0.25">
      <c r="A27" s="51"/>
      <c r="B27" s="51">
        <f t="shared" si="1"/>
        <v>2019</v>
      </c>
      <c r="C27" s="51" t="str">
        <f t="shared" si="1"/>
        <v>AMS</v>
      </c>
      <c r="D27" s="51" t="s">
        <v>499</v>
      </c>
      <c r="E27" s="51"/>
      <c r="F27" s="51"/>
      <c r="G27" s="618" t="s">
        <v>72</v>
      </c>
      <c r="H27" s="611">
        <v>0</v>
      </c>
      <c r="I27" s="611">
        <v>607.94319903666315</v>
      </c>
      <c r="J27" s="611">
        <v>-602.93238189654937</v>
      </c>
      <c r="K27" s="611">
        <v>0</v>
      </c>
      <c r="L27" s="611">
        <v>0</v>
      </c>
      <c r="M27" s="611">
        <v>0</v>
      </c>
      <c r="N27" s="611">
        <v>0</v>
      </c>
      <c r="O27" s="611">
        <v>0</v>
      </c>
      <c r="P27" s="611">
        <v>0</v>
      </c>
      <c r="Q27" s="611">
        <v>0</v>
      </c>
      <c r="R27" s="611">
        <v>0</v>
      </c>
      <c r="S27" s="611">
        <v>0</v>
      </c>
      <c r="T27" s="611">
        <v>0</v>
      </c>
      <c r="U27" s="611">
        <v>0</v>
      </c>
      <c r="V27" s="611">
        <v>0</v>
      </c>
      <c r="W27" s="611">
        <v>0</v>
      </c>
      <c r="X27" s="612">
        <v>0</v>
      </c>
      <c r="Y27" s="613">
        <v>5.0108171401137289</v>
      </c>
      <c r="Z27" s="51"/>
      <c r="AA27" s="51"/>
      <c r="AB27" s="51"/>
    </row>
    <row r="28" spans="1:28" x14ac:dyDescent="0.25">
      <c r="A28" s="51"/>
      <c r="B28" s="51">
        <f t="shared" si="1"/>
        <v>2019</v>
      </c>
      <c r="C28" s="51" t="str">
        <f t="shared" si="1"/>
        <v>AMS</v>
      </c>
      <c r="D28" s="51" t="s">
        <v>500</v>
      </c>
      <c r="E28" s="51"/>
      <c r="F28" s="51"/>
      <c r="G28" s="618" t="s">
        <v>351</v>
      </c>
      <c r="H28" s="611">
        <v>0</v>
      </c>
      <c r="I28" s="611">
        <v>0</v>
      </c>
      <c r="J28" s="611">
        <v>0</v>
      </c>
      <c r="K28" s="611">
        <v>0</v>
      </c>
      <c r="L28" s="611">
        <v>0</v>
      </c>
      <c r="M28" s="611">
        <v>0</v>
      </c>
      <c r="N28" s="611">
        <v>0</v>
      </c>
      <c r="O28" s="611">
        <v>0</v>
      </c>
      <c r="P28" s="611">
        <v>0</v>
      </c>
      <c r="Q28" s="611">
        <v>0</v>
      </c>
      <c r="R28" s="611">
        <v>-29.34529096854553</v>
      </c>
      <c r="S28" s="611">
        <v>0</v>
      </c>
      <c r="T28" s="611">
        <v>0</v>
      </c>
      <c r="U28" s="611">
        <v>0</v>
      </c>
      <c r="V28" s="611">
        <v>0</v>
      </c>
      <c r="W28" s="611">
        <v>0</v>
      </c>
      <c r="X28" s="612">
        <v>0</v>
      </c>
      <c r="Y28" s="613">
        <v>-29.34529096854553</v>
      </c>
      <c r="Z28" s="51"/>
      <c r="AA28" s="51"/>
      <c r="AB28" s="51"/>
    </row>
    <row r="29" spans="1:28" x14ac:dyDescent="0.25">
      <c r="A29" s="51"/>
      <c r="B29" s="51">
        <f t="shared" si="1"/>
        <v>2019</v>
      </c>
      <c r="C29" s="51" t="str">
        <f t="shared" si="1"/>
        <v>AMS</v>
      </c>
      <c r="D29" s="51" t="s">
        <v>501</v>
      </c>
      <c r="E29" s="51"/>
      <c r="F29" s="51"/>
      <c r="G29" s="618" t="s">
        <v>352</v>
      </c>
      <c r="H29" s="611">
        <v>0</v>
      </c>
      <c r="I29" s="611">
        <v>0</v>
      </c>
      <c r="J29" s="611">
        <v>0</v>
      </c>
      <c r="K29" s="611">
        <v>0</v>
      </c>
      <c r="L29" s="611">
        <v>0</v>
      </c>
      <c r="M29" s="611">
        <v>0</v>
      </c>
      <c r="N29" s="611">
        <v>0</v>
      </c>
      <c r="O29" s="611">
        <v>0</v>
      </c>
      <c r="P29" s="611">
        <v>0</v>
      </c>
      <c r="Q29" s="611">
        <v>0</v>
      </c>
      <c r="R29" s="611">
        <v>0</v>
      </c>
      <c r="S29" s="611">
        <v>0</v>
      </c>
      <c r="T29" s="611">
        <v>0</v>
      </c>
      <c r="U29" s="611">
        <v>0</v>
      </c>
      <c r="V29" s="611">
        <v>0</v>
      </c>
      <c r="W29" s="611">
        <v>0</v>
      </c>
      <c r="X29" s="612">
        <v>0</v>
      </c>
      <c r="Y29" s="613">
        <v>0</v>
      </c>
      <c r="Z29" s="51"/>
      <c r="AA29" s="51"/>
      <c r="AB29" s="51"/>
    </row>
    <row r="30" spans="1:28" x14ac:dyDescent="0.25">
      <c r="A30" s="51"/>
      <c r="B30" s="51">
        <f t="shared" si="1"/>
        <v>2019</v>
      </c>
      <c r="C30" s="51" t="str">
        <f t="shared" si="1"/>
        <v>AMS</v>
      </c>
      <c r="D30" s="51" t="s">
        <v>502</v>
      </c>
      <c r="E30" s="51"/>
      <c r="F30" s="51"/>
      <c r="G30" s="618" t="s">
        <v>73</v>
      </c>
      <c r="H30" s="611">
        <v>0</v>
      </c>
      <c r="I30" s="611">
        <v>0</v>
      </c>
      <c r="J30" s="611">
        <v>0</v>
      </c>
      <c r="K30" s="611">
        <v>0</v>
      </c>
      <c r="L30" s="611">
        <v>0</v>
      </c>
      <c r="M30" s="611">
        <v>0</v>
      </c>
      <c r="N30" s="611">
        <v>0</v>
      </c>
      <c r="O30" s="611">
        <v>0</v>
      </c>
      <c r="P30" s="611">
        <v>0</v>
      </c>
      <c r="Q30" s="611">
        <v>0</v>
      </c>
      <c r="R30" s="611">
        <v>0</v>
      </c>
      <c r="S30" s="611">
        <v>0</v>
      </c>
      <c r="T30" s="611">
        <v>0</v>
      </c>
      <c r="U30" s="611">
        <v>0</v>
      </c>
      <c r="V30" s="611">
        <v>0</v>
      </c>
      <c r="W30" s="611">
        <v>0</v>
      </c>
      <c r="X30" s="612">
        <v>0</v>
      </c>
      <c r="Y30" s="613">
        <v>0</v>
      </c>
      <c r="Z30" s="51"/>
      <c r="AA30" s="51"/>
      <c r="AB30" s="51"/>
    </row>
    <row r="31" spans="1:28" x14ac:dyDescent="0.25">
      <c r="A31" s="51"/>
      <c r="B31" s="51">
        <f t="shared" si="1"/>
        <v>2019</v>
      </c>
      <c r="C31" s="51" t="str">
        <f t="shared" si="1"/>
        <v>AMS</v>
      </c>
      <c r="D31" s="51" t="s">
        <v>503</v>
      </c>
      <c r="E31" s="51"/>
      <c r="F31" s="51"/>
      <c r="G31" s="618" t="s">
        <v>353</v>
      </c>
      <c r="H31" s="611">
        <v>32.750811529533344</v>
      </c>
      <c r="I31" s="611">
        <v>-29.152970396099011</v>
      </c>
      <c r="J31" s="611">
        <v>28.064488458099014</v>
      </c>
      <c r="K31" s="611">
        <v>0</v>
      </c>
      <c r="L31" s="611">
        <v>0</v>
      </c>
      <c r="M31" s="611">
        <v>0</v>
      </c>
      <c r="N31" s="611">
        <v>0</v>
      </c>
      <c r="O31" s="611">
        <v>0</v>
      </c>
      <c r="P31" s="611">
        <v>0</v>
      </c>
      <c r="Q31" s="611">
        <v>0</v>
      </c>
      <c r="R31" s="611">
        <v>0</v>
      </c>
      <c r="S31" s="611">
        <v>0</v>
      </c>
      <c r="T31" s="611">
        <v>0</v>
      </c>
      <c r="U31" s="611">
        <v>0</v>
      </c>
      <c r="V31" s="611">
        <v>0</v>
      </c>
      <c r="W31" s="611">
        <v>0</v>
      </c>
      <c r="X31" s="612">
        <v>0</v>
      </c>
      <c r="Y31" s="613">
        <v>31.662329591533346</v>
      </c>
      <c r="Z31" s="51"/>
      <c r="AA31" s="51"/>
      <c r="AB31" s="51"/>
    </row>
    <row r="32" spans="1:28" x14ac:dyDescent="0.25">
      <c r="A32" s="51"/>
      <c r="B32" s="51">
        <f t="shared" si="1"/>
        <v>2019</v>
      </c>
      <c r="C32" s="51" t="str">
        <f t="shared" si="1"/>
        <v>AMS</v>
      </c>
      <c r="D32" s="51" t="s">
        <v>504</v>
      </c>
      <c r="E32" s="51"/>
      <c r="F32" s="51"/>
      <c r="G32" s="618" t="s">
        <v>75</v>
      </c>
      <c r="H32" s="611">
        <v>15.211467777777777</v>
      </c>
      <c r="I32" s="611">
        <v>0</v>
      </c>
      <c r="J32" s="611">
        <v>17.163531653267256</v>
      </c>
      <c r="K32" s="611">
        <v>0</v>
      </c>
      <c r="L32" s="611">
        <v>6.4721602499999999</v>
      </c>
      <c r="M32" s="611">
        <v>0</v>
      </c>
      <c r="N32" s="611">
        <v>0</v>
      </c>
      <c r="O32" s="611">
        <v>0</v>
      </c>
      <c r="P32" s="611">
        <v>0</v>
      </c>
      <c r="Q32" s="611">
        <v>0</v>
      </c>
      <c r="R32" s="611">
        <v>0</v>
      </c>
      <c r="S32" s="611">
        <v>0</v>
      </c>
      <c r="T32" s="611">
        <v>0</v>
      </c>
      <c r="U32" s="611">
        <v>0</v>
      </c>
      <c r="V32" s="611">
        <v>34.075655948560012</v>
      </c>
      <c r="W32" s="611">
        <v>0</v>
      </c>
      <c r="X32" s="612">
        <v>0</v>
      </c>
      <c r="Y32" s="613">
        <v>72.922815629605054</v>
      </c>
      <c r="Z32" s="51"/>
      <c r="AA32" s="51"/>
      <c r="AB32" s="51"/>
    </row>
    <row r="33" spans="1:28" x14ac:dyDescent="0.25">
      <c r="A33" s="51"/>
      <c r="B33" s="51">
        <f t="shared" si="1"/>
        <v>2019</v>
      </c>
      <c r="C33" s="51" t="str">
        <f t="shared" si="1"/>
        <v>AMS</v>
      </c>
      <c r="D33" s="51" t="s">
        <v>505</v>
      </c>
      <c r="E33" s="51"/>
      <c r="F33" s="51"/>
      <c r="G33" s="618" t="s">
        <v>76</v>
      </c>
      <c r="H33" s="611">
        <v>0</v>
      </c>
      <c r="I33" s="611">
        <v>0</v>
      </c>
      <c r="J33" s="611">
        <v>0</v>
      </c>
      <c r="K33" s="611">
        <v>0</v>
      </c>
      <c r="L33" s="611">
        <v>4.9770604999999994</v>
      </c>
      <c r="M33" s="611">
        <v>0</v>
      </c>
      <c r="N33" s="611">
        <v>0</v>
      </c>
      <c r="O33" s="611">
        <v>0</v>
      </c>
      <c r="P33" s="611">
        <v>0</v>
      </c>
      <c r="Q33" s="611">
        <v>0</v>
      </c>
      <c r="R33" s="611">
        <v>0</v>
      </c>
      <c r="S33" s="611">
        <v>0</v>
      </c>
      <c r="T33" s="611">
        <v>0</v>
      </c>
      <c r="U33" s="611">
        <v>0</v>
      </c>
      <c r="V33" s="611">
        <v>38.092724000000004</v>
      </c>
      <c r="W33" s="611">
        <v>3.667636947251947</v>
      </c>
      <c r="X33" s="612">
        <v>0</v>
      </c>
      <c r="Y33" s="613">
        <v>46.737421447251954</v>
      </c>
      <c r="Z33" s="51"/>
      <c r="AA33" s="51"/>
      <c r="AB33" s="51"/>
    </row>
    <row r="34" spans="1:28" x14ac:dyDescent="0.25">
      <c r="A34" s="51"/>
      <c r="B34" s="51">
        <f t="shared" si="1"/>
        <v>2019</v>
      </c>
      <c r="C34" s="51" t="str">
        <f t="shared" si="1"/>
        <v>AMS</v>
      </c>
      <c r="D34" s="51" t="s">
        <v>506</v>
      </c>
      <c r="E34" s="51"/>
      <c r="F34" s="51"/>
      <c r="G34" s="614" t="s">
        <v>77</v>
      </c>
      <c r="H34" s="615">
        <v>70.94886480427779</v>
      </c>
      <c r="I34" s="615">
        <v>589.57724499305652</v>
      </c>
      <c r="J34" s="615">
        <v>-527.3689266860265</v>
      </c>
      <c r="K34" s="615">
        <v>0</v>
      </c>
      <c r="L34" s="615">
        <v>93.932491249999984</v>
      </c>
      <c r="M34" s="615">
        <v>0</v>
      </c>
      <c r="N34" s="615">
        <v>1209.1260212121213</v>
      </c>
      <c r="O34" s="615">
        <v>104.3311966741735</v>
      </c>
      <c r="P34" s="615">
        <v>26.323534970493061</v>
      </c>
      <c r="Q34" s="615">
        <v>28.586654785814009</v>
      </c>
      <c r="R34" s="615">
        <v>-28.954724700512262</v>
      </c>
      <c r="S34" s="615">
        <v>6.5893490555555561</v>
      </c>
      <c r="T34" s="615">
        <v>0.25919055555555554</v>
      </c>
      <c r="U34" s="615">
        <v>4.7593465444044423</v>
      </c>
      <c r="V34" s="615">
        <v>-489.37184900000005</v>
      </c>
      <c r="W34" s="615">
        <v>-43.104435833525834</v>
      </c>
      <c r="X34" s="615">
        <v>0</v>
      </c>
      <c r="Y34" s="615">
        <v>1045.6339586253871</v>
      </c>
      <c r="Z34" s="51"/>
      <c r="AA34" s="51"/>
      <c r="AB34" s="51"/>
    </row>
    <row r="35" spans="1:28" x14ac:dyDescent="0.25">
      <c r="A35" s="51"/>
      <c r="B35" s="51"/>
      <c r="C35" s="51"/>
      <c r="D35" s="51"/>
      <c r="E35" s="51"/>
      <c r="F35" s="51"/>
      <c r="G35" s="616"/>
      <c r="H35" s="617">
        <v>0</v>
      </c>
      <c r="I35" s="617">
        <v>0</v>
      </c>
      <c r="J35" s="617">
        <v>0</v>
      </c>
      <c r="K35" s="617"/>
      <c r="L35" s="617">
        <v>0</v>
      </c>
      <c r="M35" s="617"/>
      <c r="N35" s="617">
        <v>0</v>
      </c>
      <c r="O35" s="617">
        <v>0</v>
      </c>
      <c r="P35" s="617">
        <v>0</v>
      </c>
      <c r="Q35" s="617">
        <v>0</v>
      </c>
      <c r="R35" s="617">
        <v>0</v>
      </c>
      <c r="S35" s="617">
        <v>0</v>
      </c>
      <c r="T35" s="617">
        <v>0</v>
      </c>
      <c r="U35" s="617">
        <v>0</v>
      </c>
      <c r="V35" s="617">
        <v>0</v>
      </c>
      <c r="W35" s="617">
        <v>0</v>
      </c>
      <c r="X35" s="617">
        <v>0</v>
      </c>
      <c r="Y35" s="617">
        <v>0</v>
      </c>
      <c r="Z35" s="51"/>
      <c r="AA35" s="51"/>
      <c r="AB35" s="51"/>
    </row>
    <row r="36" spans="1:28" x14ac:dyDescent="0.25">
      <c r="A36" s="51"/>
      <c r="B36" s="51">
        <f>B34</f>
        <v>2019</v>
      </c>
      <c r="C36" s="51" t="str">
        <f>C14</f>
        <v>AMS</v>
      </c>
      <c r="D36" s="51" t="s">
        <v>507</v>
      </c>
      <c r="E36" s="51"/>
      <c r="F36" s="51"/>
      <c r="G36" s="618" t="s">
        <v>78</v>
      </c>
      <c r="H36" s="611">
        <v>10.318644626420003</v>
      </c>
      <c r="I36" s="611">
        <v>0</v>
      </c>
      <c r="J36" s="611">
        <v>31.798889573736361</v>
      </c>
      <c r="K36" s="611">
        <v>0</v>
      </c>
      <c r="L36" s="611">
        <v>122.13725650000002</v>
      </c>
      <c r="M36" s="611">
        <v>0</v>
      </c>
      <c r="N36" s="611">
        <v>0</v>
      </c>
      <c r="O36" s="611">
        <v>0</v>
      </c>
      <c r="P36" s="611">
        <v>15.07633527777778</v>
      </c>
      <c r="Q36" s="611">
        <v>4.5361330555555552</v>
      </c>
      <c r="R36" s="611">
        <v>1.0714586421915442</v>
      </c>
      <c r="S36" s="611">
        <v>0.59537055555555551</v>
      </c>
      <c r="T36" s="611">
        <v>0</v>
      </c>
      <c r="U36" s="611">
        <v>1.4743611111111112E-2</v>
      </c>
      <c r="V36" s="611">
        <v>115.65608999999999</v>
      </c>
      <c r="W36" s="611">
        <v>18.599047500192498</v>
      </c>
      <c r="X36" s="611">
        <v>0</v>
      </c>
      <c r="Y36" s="619">
        <v>319.80396934254043</v>
      </c>
      <c r="Z36" s="51"/>
      <c r="AA36" s="51"/>
      <c r="AB36" s="51"/>
    </row>
    <row r="37" spans="1:28" x14ac:dyDescent="0.25">
      <c r="A37" s="51"/>
      <c r="B37" s="51">
        <f t="shared" ref="B37:C44" si="2">B36</f>
        <v>2019</v>
      </c>
      <c r="C37" s="51" t="str">
        <f t="shared" si="2"/>
        <v>AMS</v>
      </c>
      <c r="D37" s="51" t="s">
        <v>508</v>
      </c>
      <c r="E37" s="51"/>
      <c r="F37" s="51"/>
      <c r="G37" s="618" t="s">
        <v>79</v>
      </c>
      <c r="H37" s="611">
        <v>0</v>
      </c>
      <c r="I37" s="611">
        <v>0</v>
      </c>
      <c r="J37" s="611">
        <v>465.47698922226442</v>
      </c>
      <c r="K37" s="611">
        <v>0</v>
      </c>
      <c r="L37" s="611">
        <v>1.8942870000000003</v>
      </c>
      <c r="M37" s="611">
        <v>0</v>
      </c>
      <c r="N37" s="611">
        <v>0</v>
      </c>
      <c r="O37" s="611">
        <v>0</v>
      </c>
      <c r="P37" s="611">
        <v>0</v>
      </c>
      <c r="Q37" s="611">
        <v>0</v>
      </c>
      <c r="R37" s="611">
        <v>37.188256545358975</v>
      </c>
      <c r="S37" s="611">
        <v>0</v>
      </c>
      <c r="T37" s="611">
        <v>0</v>
      </c>
      <c r="U37" s="611">
        <v>0</v>
      </c>
      <c r="V37" s="611">
        <v>10.07993007</v>
      </c>
      <c r="W37" s="611">
        <v>0</v>
      </c>
      <c r="X37" s="611">
        <v>0</v>
      </c>
      <c r="Y37" s="619">
        <v>514.63946283762346</v>
      </c>
      <c r="Z37" s="51"/>
      <c r="AA37" s="51"/>
      <c r="AB37" s="51"/>
    </row>
    <row r="38" spans="1:28" x14ac:dyDescent="0.25">
      <c r="A38" s="51"/>
      <c r="B38" s="51">
        <f t="shared" si="2"/>
        <v>2019</v>
      </c>
      <c r="C38" s="51" t="str">
        <f t="shared" si="2"/>
        <v>AMS</v>
      </c>
      <c r="D38" s="51" t="s">
        <v>509</v>
      </c>
      <c r="E38" s="51"/>
      <c r="F38" s="51"/>
      <c r="G38" s="618" t="s">
        <v>80</v>
      </c>
      <c r="H38" s="611">
        <v>0.28361423905000005</v>
      </c>
      <c r="I38" s="611">
        <v>0</v>
      </c>
      <c r="J38" s="611">
        <v>50.740146891881786</v>
      </c>
      <c r="K38" s="611">
        <v>0</v>
      </c>
      <c r="L38" s="611">
        <v>132.15121725</v>
      </c>
      <c r="M38" s="611">
        <v>0</v>
      </c>
      <c r="N38" s="611">
        <v>0</v>
      </c>
      <c r="O38" s="611">
        <v>0</v>
      </c>
      <c r="P38" s="611">
        <v>74.953719722222218</v>
      </c>
      <c r="Q38" s="611">
        <v>0</v>
      </c>
      <c r="R38" s="611">
        <v>0</v>
      </c>
      <c r="S38" s="611">
        <v>0</v>
      </c>
      <c r="T38" s="611">
        <v>26.665051666666663</v>
      </c>
      <c r="U38" s="611">
        <v>1.98639250004</v>
      </c>
      <c r="V38" s="611">
        <v>159.72207699999998</v>
      </c>
      <c r="W38" s="611">
        <v>14.980747222222222</v>
      </c>
      <c r="X38" s="611">
        <v>0</v>
      </c>
      <c r="Y38" s="619">
        <v>461.48296649208288</v>
      </c>
      <c r="Z38" s="51"/>
      <c r="AA38" s="51"/>
      <c r="AB38" s="51"/>
    </row>
    <row r="39" spans="1:28" x14ac:dyDescent="0.25">
      <c r="A39" s="51"/>
      <c r="B39" s="51">
        <f t="shared" si="2"/>
        <v>2019</v>
      </c>
      <c r="C39" s="51" t="str">
        <f t="shared" si="2"/>
        <v>AMS</v>
      </c>
      <c r="D39" s="51" t="s">
        <v>510</v>
      </c>
      <c r="E39" s="51"/>
      <c r="F39" s="51"/>
      <c r="G39" s="618" t="s">
        <v>81</v>
      </c>
      <c r="H39" s="611">
        <v>0.40432760307999993</v>
      </c>
      <c r="I39" s="611">
        <v>0</v>
      </c>
      <c r="J39" s="611">
        <v>33.030604242320379</v>
      </c>
      <c r="K39" s="611">
        <v>0</v>
      </c>
      <c r="L39" s="611">
        <v>70.504948999999996</v>
      </c>
      <c r="M39" s="611">
        <v>0</v>
      </c>
      <c r="N39" s="611">
        <v>0</v>
      </c>
      <c r="O39" s="611">
        <v>0</v>
      </c>
      <c r="P39" s="611">
        <v>3.0152302777777784</v>
      </c>
      <c r="Q39" s="611">
        <v>1.7780329919637734</v>
      </c>
      <c r="R39" s="611">
        <v>0</v>
      </c>
      <c r="S39" s="611">
        <v>1.4820169444444444</v>
      </c>
      <c r="T39" s="611">
        <v>4.7740327777777782</v>
      </c>
      <c r="U39" s="611">
        <v>0.35231138888888891</v>
      </c>
      <c r="V39" s="611">
        <v>137.76728493000002</v>
      </c>
      <c r="W39" s="611">
        <v>9.3080608333333341</v>
      </c>
      <c r="X39" s="611">
        <v>0</v>
      </c>
      <c r="Y39" s="619">
        <v>262.41685098958635</v>
      </c>
      <c r="Z39" s="51"/>
      <c r="AA39" s="51"/>
      <c r="AB39" s="51"/>
    </row>
    <row r="40" spans="1:28" x14ac:dyDescent="0.25">
      <c r="A40" s="51"/>
      <c r="B40" s="51">
        <f t="shared" si="2"/>
        <v>2019</v>
      </c>
      <c r="C40" s="51" t="str">
        <f t="shared" si="2"/>
        <v>AMS</v>
      </c>
      <c r="D40" s="51" t="s">
        <v>511</v>
      </c>
      <c r="E40" s="51"/>
      <c r="F40" s="51"/>
      <c r="G40" s="618" t="s">
        <v>82</v>
      </c>
      <c r="H40" s="611">
        <v>1.6738093710000002E-2</v>
      </c>
      <c r="I40" s="611">
        <v>0</v>
      </c>
      <c r="J40" s="611">
        <v>35.508479849329859</v>
      </c>
      <c r="K40" s="611">
        <v>0</v>
      </c>
      <c r="L40" s="611">
        <v>2.1960534999999997</v>
      </c>
      <c r="M40" s="611">
        <v>0</v>
      </c>
      <c r="N40" s="611">
        <v>0</v>
      </c>
      <c r="O40" s="611">
        <v>0</v>
      </c>
      <c r="P40" s="611">
        <v>1.6964935406677779</v>
      </c>
      <c r="Q40" s="611">
        <v>0</v>
      </c>
      <c r="R40" s="611">
        <v>1.834336902240338</v>
      </c>
      <c r="S40" s="611">
        <v>0.43157000000000006</v>
      </c>
      <c r="T40" s="611">
        <v>0</v>
      </c>
      <c r="U40" s="611">
        <v>0.29222750000000003</v>
      </c>
      <c r="V40" s="611">
        <v>8.4794180000000026</v>
      </c>
      <c r="W40" s="611">
        <v>0.21658055555555558</v>
      </c>
      <c r="X40" s="611">
        <v>0</v>
      </c>
      <c r="Y40" s="619">
        <v>50.671897941503538</v>
      </c>
      <c r="Z40" s="51"/>
      <c r="AA40" s="51"/>
      <c r="AB40" s="51"/>
    </row>
    <row r="41" spans="1:28" x14ac:dyDescent="0.25">
      <c r="A41" s="51"/>
      <c r="B41" s="51">
        <f t="shared" si="2"/>
        <v>2019</v>
      </c>
      <c r="C41" s="51" t="str">
        <f t="shared" si="2"/>
        <v>AMS</v>
      </c>
      <c r="D41" s="51" t="s">
        <v>512</v>
      </c>
      <c r="E41" s="51"/>
      <c r="F41" s="51"/>
      <c r="G41" s="618" t="s">
        <v>354</v>
      </c>
      <c r="H41" s="611">
        <v>0</v>
      </c>
      <c r="I41" s="611">
        <v>0</v>
      </c>
      <c r="J41" s="611">
        <v>0</v>
      </c>
      <c r="K41" s="611">
        <v>0</v>
      </c>
      <c r="L41" s="611">
        <v>0</v>
      </c>
      <c r="M41" s="611">
        <v>0</v>
      </c>
      <c r="N41" s="611">
        <v>0</v>
      </c>
      <c r="O41" s="611">
        <v>0</v>
      </c>
      <c r="P41" s="611">
        <v>0</v>
      </c>
      <c r="Q41" s="611">
        <v>0</v>
      </c>
      <c r="R41" s="611">
        <v>0</v>
      </c>
      <c r="S41" s="611">
        <v>0</v>
      </c>
      <c r="T41" s="611">
        <v>0</v>
      </c>
      <c r="U41" s="611">
        <v>0</v>
      </c>
      <c r="V41" s="611">
        <v>0</v>
      </c>
      <c r="W41" s="611">
        <v>0</v>
      </c>
      <c r="X41" s="611">
        <v>0</v>
      </c>
      <c r="Y41" s="619">
        <v>0</v>
      </c>
      <c r="Z41" s="51"/>
      <c r="AA41" s="51"/>
      <c r="AB41" s="51"/>
    </row>
    <row r="42" spans="1:28" x14ac:dyDescent="0.25">
      <c r="A42" s="51"/>
      <c r="B42" s="51">
        <f t="shared" si="2"/>
        <v>2019</v>
      </c>
      <c r="C42" s="51" t="str">
        <f t="shared" si="2"/>
        <v>AMS</v>
      </c>
      <c r="D42" s="51" t="s">
        <v>513</v>
      </c>
      <c r="E42" s="51"/>
      <c r="F42" s="51"/>
      <c r="G42" s="614" t="s">
        <v>83</v>
      </c>
      <c r="H42" s="615">
        <v>11.023324562260003</v>
      </c>
      <c r="I42" s="615">
        <v>0</v>
      </c>
      <c r="J42" s="615">
        <v>616.5551097795327</v>
      </c>
      <c r="K42" s="615">
        <v>0</v>
      </c>
      <c r="L42" s="615">
        <v>328.88376325000007</v>
      </c>
      <c r="M42" s="615">
        <v>0</v>
      </c>
      <c r="N42" s="615">
        <v>0</v>
      </c>
      <c r="O42" s="615">
        <v>0</v>
      </c>
      <c r="P42" s="615">
        <v>94.741778818445539</v>
      </c>
      <c r="Q42" s="615">
        <v>6.3141660475193291</v>
      </c>
      <c r="R42" s="615">
        <v>40.094052089790857</v>
      </c>
      <c r="S42" s="615">
        <v>2.5089575000000002</v>
      </c>
      <c r="T42" s="615">
        <v>31.43908444444444</v>
      </c>
      <c r="U42" s="615">
        <v>2.6456750000400002</v>
      </c>
      <c r="V42" s="615">
        <v>431.70479999999998</v>
      </c>
      <c r="W42" s="615">
        <v>43.104436111303606</v>
      </c>
      <c r="X42" s="615">
        <v>0</v>
      </c>
      <c r="Y42" s="615">
        <v>1609.0151476033366</v>
      </c>
      <c r="Z42" s="51"/>
      <c r="AA42" s="51"/>
      <c r="AB42" s="51"/>
    </row>
    <row r="43" spans="1:28" x14ac:dyDescent="0.25">
      <c r="A43" s="51"/>
      <c r="B43" s="51">
        <f t="shared" si="2"/>
        <v>2019</v>
      </c>
      <c r="C43" s="51" t="str">
        <f t="shared" si="2"/>
        <v>AMS</v>
      </c>
      <c r="D43" s="51" t="s">
        <v>514</v>
      </c>
      <c r="E43" s="51"/>
      <c r="F43" s="51"/>
      <c r="G43" s="610" t="s">
        <v>84</v>
      </c>
      <c r="H43" s="611">
        <v>3.1200159203999993</v>
      </c>
      <c r="I43" s="611">
        <v>0</v>
      </c>
      <c r="J43" s="611">
        <v>139.5725242203051</v>
      </c>
      <c r="K43" s="611">
        <v>0</v>
      </c>
      <c r="L43" s="611">
        <v>13.804214250000001</v>
      </c>
      <c r="M43" s="611">
        <v>0</v>
      </c>
      <c r="N43" s="611">
        <v>0</v>
      </c>
      <c r="O43" s="611">
        <v>0</v>
      </c>
      <c r="P43" s="611">
        <v>0</v>
      </c>
      <c r="Q43" s="611">
        <v>0</v>
      </c>
      <c r="R43" s="611">
        <v>0</v>
      </c>
      <c r="S43" s="611">
        <v>0</v>
      </c>
      <c r="T43" s="611">
        <v>0</v>
      </c>
      <c r="U43" s="611">
        <v>0</v>
      </c>
      <c r="V43" s="611">
        <v>0</v>
      </c>
      <c r="W43" s="611">
        <v>0</v>
      </c>
      <c r="X43" s="611">
        <v>0</v>
      </c>
      <c r="Y43" s="619">
        <v>156.49675439070509</v>
      </c>
      <c r="Z43" s="51"/>
      <c r="AA43" s="51"/>
      <c r="AB43" s="51"/>
    </row>
    <row r="44" spans="1:28" x14ac:dyDescent="0.25">
      <c r="A44" s="51"/>
      <c r="B44" s="51">
        <f t="shared" si="2"/>
        <v>2019</v>
      </c>
      <c r="C44" s="51" t="str">
        <f t="shared" si="2"/>
        <v>AMS</v>
      </c>
      <c r="D44" s="51" t="s">
        <v>515</v>
      </c>
      <c r="E44" s="51"/>
      <c r="F44" s="51"/>
      <c r="G44" s="614" t="s">
        <v>85</v>
      </c>
      <c r="H44" s="615">
        <v>14.143340482660001</v>
      </c>
      <c r="I44" s="615">
        <v>0</v>
      </c>
      <c r="J44" s="615">
        <v>756.12763399983783</v>
      </c>
      <c r="K44" s="615">
        <v>0</v>
      </c>
      <c r="L44" s="615">
        <v>342.6879775000001</v>
      </c>
      <c r="M44" s="615">
        <v>0</v>
      </c>
      <c r="N44" s="615">
        <v>0</v>
      </c>
      <c r="O44" s="615">
        <v>0</v>
      </c>
      <c r="P44" s="615">
        <v>94.741778818445539</v>
      </c>
      <c r="Q44" s="615">
        <v>6.3141660475193291</v>
      </c>
      <c r="R44" s="615">
        <v>40.094052089790857</v>
      </c>
      <c r="S44" s="615">
        <v>2.5089575000000002</v>
      </c>
      <c r="T44" s="615">
        <v>31.43908444444444</v>
      </c>
      <c r="U44" s="615">
        <v>2.6456750000400002</v>
      </c>
      <c r="V44" s="615">
        <v>431.70479999999998</v>
      </c>
      <c r="W44" s="615">
        <v>43.104436111303606</v>
      </c>
      <c r="X44" s="615">
        <v>0</v>
      </c>
      <c r="Y44" s="615">
        <v>1765.5119019940419</v>
      </c>
      <c r="Z44" s="51"/>
      <c r="AA44" s="51"/>
      <c r="AB44" s="51"/>
    </row>
    <row r="45" spans="1:28" x14ac:dyDescent="0.25">
      <c r="A45" s="51"/>
      <c r="B45" s="51"/>
      <c r="C45" s="51"/>
      <c r="D45" s="51"/>
      <c r="E45" s="51"/>
      <c r="F45" s="51"/>
      <c r="G45" s="51"/>
      <c r="H45" s="67">
        <v>0</v>
      </c>
      <c r="I45" s="67">
        <v>-7.9805535306149977E-2</v>
      </c>
      <c r="J45" s="67">
        <v>-7.0888389245737926E-5</v>
      </c>
      <c r="K45" s="67">
        <v>0</v>
      </c>
      <c r="L45" s="67">
        <v>0</v>
      </c>
      <c r="M45" s="51"/>
      <c r="N45" s="67">
        <v>0</v>
      </c>
      <c r="O45" s="67">
        <v>0</v>
      </c>
      <c r="P45" s="67">
        <v>-6.5550585759410751E-7</v>
      </c>
      <c r="Q45" s="67">
        <v>0</v>
      </c>
      <c r="R45" s="67">
        <v>0</v>
      </c>
      <c r="S45" s="67">
        <v>6.6666669162884773E-7</v>
      </c>
      <c r="T45" s="67">
        <v>0</v>
      </c>
      <c r="U45" s="67">
        <v>-0.1260009555555559</v>
      </c>
      <c r="V45" s="67">
        <v>-7.1054273576010019E-14</v>
      </c>
      <c r="W45" s="67">
        <v>2.7777777233950474E-7</v>
      </c>
      <c r="X45" s="67">
        <v>0</v>
      </c>
      <c r="Y45" s="67">
        <v>-0.20587709031178747</v>
      </c>
      <c r="Z45" s="51"/>
      <c r="AA45" s="51"/>
      <c r="AB45" s="51"/>
    </row>
    <row r="46" spans="1:28" x14ac:dyDescent="0.25">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row>
    <row r="47" spans="1:28" x14ac:dyDescent="0.25">
      <c r="A47" s="606"/>
      <c r="B47" s="606"/>
      <c r="C47" s="606"/>
      <c r="D47" s="606"/>
      <c r="E47" s="606"/>
      <c r="F47" s="606"/>
      <c r="G47" s="607" t="s">
        <v>86</v>
      </c>
      <c r="H47" s="606"/>
      <c r="I47" s="606"/>
      <c r="J47" s="606"/>
      <c r="K47" s="606"/>
      <c r="L47" s="606"/>
      <c r="M47" s="606"/>
      <c r="N47" s="606"/>
      <c r="O47" s="606"/>
      <c r="P47" s="606"/>
      <c r="Q47" s="606"/>
      <c r="R47" s="606"/>
      <c r="S47" s="606"/>
      <c r="T47" s="606"/>
      <c r="U47" s="606"/>
      <c r="V47" s="606"/>
      <c r="W47" s="606"/>
      <c r="X47" s="606"/>
      <c r="Y47" s="606"/>
      <c r="Z47" s="606"/>
      <c r="AA47" s="606"/>
      <c r="AB47" s="606"/>
    </row>
    <row r="48" spans="1:28" x14ac:dyDescent="0.25">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row>
    <row r="49" spans="1:28" ht="14.25" customHeight="1" x14ac:dyDescent="0.25">
      <c r="A49" s="51"/>
      <c r="B49" s="51"/>
      <c r="C49" s="51"/>
      <c r="D49" s="51"/>
      <c r="E49" s="51"/>
      <c r="F49" s="51"/>
      <c r="G49" s="764" t="s">
        <v>128</v>
      </c>
      <c r="H49" s="753" t="s">
        <v>42</v>
      </c>
      <c r="I49" s="753" t="s">
        <v>52</v>
      </c>
      <c r="J49" s="753" t="s">
        <v>53</v>
      </c>
      <c r="K49" s="753" t="s">
        <v>482</v>
      </c>
      <c r="L49" s="753" t="s">
        <v>32</v>
      </c>
      <c r="M49" s="753" t="s">
        <v>483</v>
      </c>
      <c r="N49" s="753" t="s">
        <v>20</v>
      </c>
      <c r="O49" s="753" t="s">
        <v>55</v>
      </c>
      <c r="P49" s="761" t="s">
        <v>56</v>
      </c>
      <c r="Q49" s="762"/>
      <c r="R49" s="762"/>
      <c r="S49" s="762"/>
      <c r="T49" s="762"/>
      <c r="U49" s="763"/>
      <c r="V49" s="753" t="s">
        <v>57</v>
      </c>
      <c r="W49" s="753" t="s">
        <v>58</v>
      </c>
      <c r="X49" s="753" t="s">
        <v>31</v>
      </c>
      <c r="Y49" s="753" t="s">
        <v>10</v>
      </c>
      <c r="Z49" s="51"/>
      <c r="AA49" s="51"/>
      <c r="AB49" s="51"/>
    </row>
    <row r="50" spans="1:28" ht="24" x14ac:dyDescent="0.25">
      <c r="A50" s="51"/>
      <c r="B50" s="51" t="s">
        <v>484</v>
      </c>
      <c r="C50" s="51" t="s">
        <v>485</v>
      </c>
      <c r="D50" s="51" t="s">
        <v>486</v>
      </c>
      <c r="E50" s="51"/>
      <c r="F50" s="51"/>
      <c r="G50" s="765"/>
      <c r="H50" s="754"/>
      <c r="I50" s="754"/>
      <c r="J50" s="754"/>
      <c r="K50" s="754"/>
      <c r="L50" s="754"/>
      <c r="M50" s="754"/>
      <c r="N50" s="754"/>
      <c r="O50" s="754"/>
      <c r="P50" s="608" t="s">
        <v>335</v>
      </c>
      <c r="Q50" s="608" t="s">
        <v>40</v>
      </c>
      <c r="R50" s="608" t="s">
        <v>343</v>
      </c>
      <c r="S50" s="608" t="s">
        <v>344</v>
      </c>
      <c r="T50" s="609" t="s">
        <v>345</v>
      </c>
      <c r="U50" s="608" t="s">
        <v>346</v>
      </c>
      <c r="V50" s="754"/>
      <c r="W50" s="754"/>
      <c r="X50" s="754"/>
      <c r="Y50" s="754"/>
      <c r="Z50" s="51"/>
      <c r="AA50" s="51"/>
      <c r="AB50" s="51"/>
    </row>
    <row r="51" spans="1:28" x14ac:dyDescent="0.25">
      <c r="A51" s="51"/>
      <c r="B51" s="51">
        <v>2020</v>
      </c>
      <c r="C51" s="51" t="s">
        <v>47</v>
      </c>
      <c r="D51" s="51" t="s">
        <v>487</v>
      </c>
      <c r="E51" s="51"/>
      <c r="F51" s="51"/>
      <c r="G51" s="610" t="s">
        <v>59</v>
      </c>
      <c r="H51" s="611">
        <v>0</v>
      </c>
      <c r="I51" s="611">
        <v>9.7977867342210008</v>
      </c>
      <c r="J51" s="620">
        <v>0</v>
      </c>
      <c r="K51" s="611">
        <v>0</v>
      </c>
      <c r="L51" s="611">
        <v>0.18111850000000002</v>
      </c>
      <c r="M51" s="611">
        <v>0</v>
      </c>
      <c r="N51" s="620">
        <v>1072.2208090909091</v>
      </c>
      <c r="O51" s="620">
        <v>115.72304451809002</v>
      </c>
      <c r="P51" s="620">
        <v>114.24305924309452</v>
      </c>
      <c r="Q51" s="620">
        <v>33.631608055405756</v>
      </c>
      <c r="R51" s="620">
        <v>0</v>
      </c>
      <c r="S51" s="620">
        <v>9.2815441223735728</v>
      </c>
      <c r="T51" s="620">
        <v>32.908596666666668</v>
      </c>
      <c r="U51" s="620">
        <v>8.1133079726239394</v>
      </c>
      <c r="V51" s="620">
        <v>0</v>
      </c>
      <c r="W51" s="620">
        <v>0</v>
      </c>
      <c r="X51" s="620">
        <v>0</v>
      </c>
      <c r="Y51" s="621">
        <v>1396.1008749033845</v>
      </c>
      <c r="Z51" s="51"/>
      <c r="AA51" s="51"/>
      <c r="AB51" s="51"/>
    </row>
    <row r="52" spans="1:28" x14ac:dyDescent="0.25">
      <c r="A52" s="51"/>
      <c r="B52" s="51">
        <f t="shared" ref="B52:C57" si="3">B51</f>
        <v>2020</v>
      </c>
      <c r="C52" s="51" t="str">
        <f t="shared" si="3"/>
        <v>AMS</v>
      </c>
      <c r="D52" s="51" t="s">
        <v>488</v>
      </c>
      <c r="E52" s="51"/>
      <c r="F52" s="51"/>
      <c r="G52" s="610" t="s">
        <v>60</v>
      </c>
      <c r="H52" s="620">
        <v>59.346560356893349</v>
      </c>
      <c r="I52" s="620">
        <v>394.73997109464659</v>
      </c>
      <c r="J52" s="620">
        <v>515.26337584814883</v>
      </c>
      <c r="K52" s="611">
        <v>0</v>
      </c>
      <c r="L52" s="620">
        <v>479.42224425000006</v>
      </c>
      <c r="M52" s="611">
        <v>0</v>
      </c>
      <c r="N52" s="620">
        <v>0</v>
      </c>
      <c r="O52" s="620">
        <v>0</v>
      </c>
      <c r="P52" s="620">
        <v>2.6631252777777781</v>
      </c>
      <c r="Q52" s="620">
        <v>0</v>
      </c>
      <c r="R52" s="620">
        <v>13.962014778928699</v>
      </c>
      <c r="S52" s="620">
        <v>0</v>
      </c>
      <c r="T52" s="620">
        <v>0</v>
      </c>
      <c r="U52" s="620">
        <v>0</v>
      </c>
      <c r="V52" s="620">
        <v>19.536102</v>
      </c>
      <c r="W52" s="620">
        <v>0</v>
      </c>
      <c r="X52" s="620">
        <v>0</v>
      </c>
      <c r="Y52" s="621">
        <v>1484.9333936063952</v>
      </c>
      <c r="Z52" s="51"/>
      <c r="AA52" s="51"/>
      <c r="AB52" s="51"/>
    </row>
    <row r="53" spans="1:28" x14ac:dyDescent="0.25">
      <c r="A53" s="51"/>
      <c r="B53" s="51">
        <f t="shared" si="3"/>
        <v>2020</v>
      </c>
      <c r="C53" s="51" t="str">
        <f t="shared" si="3"/>
        <v>AMS</v>
      </c>
      <c r="D53" s="51" t="s">
        <v>489</v>
      </c>
      <c r="E53" s="51"/>
      <c r="F53" s="51"/>
      <c r="G53" s="610" t="s">
        <v>61</v>
      </c>
      <c r="H53" s="620">
        <v>-9.6972882210000014E-2</v>
      </c>
      <c r="I53" s="620">
        <v>-1.4488664385590002</v>
      </c>
      <c r="J53" s="620">
        <v>-154.00833143808623</v>
      </c>
      <c r="K53" s="611">
        <v>0</v>
      </c>
      <c r="L53" s="620">
        <v>-95.022441999999998</v>
      </c>
      <c r="M53" s="611">
        <v>0</v>
      </c>
      <c r="N53" s="620">
        <v>0</v>
      </c>
      <c r="O53" s="620">
        <v>0</v>
      </c>
      <c r="P53" s="620">
        <v>-2.0287163888888888</v>
      </c>
      <c r="Q53" s="620">
        <v>0</v>
      </c>
      <c r="R53" s="620">
        <v>-7.1333416709442901</v>
      </c>
      <c r="S53" s="620">
        <v>0</v>
      </c>
      <c r="T53" s="620">
        <v>0</v>
      </c>
      <c r="U53" s="620">
        <v>0</v>
      </c>
      <c r="V53" s="620">
        <v>-64.575296000000009</v>
      </c>
      <c r="W53" s="620">
        <v>0</v>
      </c>
      <c r="X53" s="620">
        <v>0</v>
      </c>
      <c r="Y53" s="621">
        <v>-324.31396681868836</v>
      </c>
      <c r="Z53" s="51"/>
      <c r="AA53" s="51"/>
      <c r="AB53" s="51"/>
    </row>
    <row r="54" spans="1:28" x14ac:dyDescent="0.25">
      <c r="A54" s="51"/>
      <c r="B54" s="51">
        <f t="shared" si="3"/>
        <v>2020</v>
      </c>
      <c r="C54" s="51" t="str">
        <f t="shared" si="3"/>
        <v>AMS</v>
      </c>
      <c r="D54" s="51" t="s">
        <v>490</v>
      </c>
      <c r="E54" s="51"/>
      <c r="F54" s="51"/>
      <c r="G54" s="610" t="s">
        <v>62</v>
      </c>
      <c r="H54" s="611">
        <v>0</v>
      </c>
      <c r="I54" s="611">
        <v>0</v>
      </c>
      <c r="J54" s="611">
        <v>-11.254966292131096</v>
      </c>
      <c r="K54" s="611">
        <v>0</v>
      </c>
      <c r="L54" s="611">
        <v>0</v>
      </c>
      <c r="M54" s="611">
        <v>0</v>
      </c>
      <c r="N54" s="611">
        <v>0</v>
      </c>
      <c r="O54" s="611">
        <v>0</v>
      </c>
      <c r="P54" s="611">
        <v>0</v>
      </c>
      <c r="Q54" s="611">
        <v>0</v>
      </c>
      <c r="R54" s="611">
        <v>0</v>
      </c>
      <c r="S54" s="611">
        <v>0</v>
      </c>
      <c r="T54" s="611">
        <v>0</v>
      </c>
      <c r="U54" s="611">
        <v>0</v>
      </c>
      <c r="V54" s="620">
        <v>0</v>
      </c>
      <c r="W54" s="620">
        <v>0</v>
      </c>
      <c r="X54" s="611">
        <v>0</v>
      </c>
      <c r="Y54" s="621">
        <v>-11.254966292131096</v>
      </c>
      <c r="Z54" s="51"/>
      <c r="AA54" s="51"/>
      <c r="AB54" s="51"/>
    </row>
    <row r="55" spans="1:28" x14ac:dyDescent="0.25">
      <c r="A55" s="51"/>
      <c r="B55" s="51">
        <f t="shared" si="3"/>
        <v>2020</v>
      </c>
      <c r="C55" s="51" t="str">
        <f t="shared" si="3"/>
        <v>AMS</v>
      </c>
      <c r="D55" s="51" t="s">
        <v>491</v>
      </c>
      <c r="E55" s="51"/>
      <c r="F55" s="51"/>
      <c r="G55" s="610" t="s">
        <v>63</v>
      </c>
      <c r="H55" s="611">
        <v>0</v>
      </c>
      <c r="I55" s="611">
        <v>0</v>
      </c>
      <c r="J55" s="611">
        <v>-37.45524104092592</v>
      </c>
      <c r="K55" s="611">
        <v>0</v>
      </c>
      <c r="L55" s="611">
        <v>0</v>
      </c>
      <c r="M55" s="611">
        <v>0</v>
      </c>
      <c r="N55" s="611">
        <v>0</v>
      </c>
      <c r="O55" s="611">
        <v>0</v>
      </c>
      <c r="P55" s="611">
        <v>0</v>
      </c>
      <c r="Q55" s="611">
        <v>0</v>
      </c>
      <c r="R55" s="611">
        <v>0</v>
      </c>
      <c r="S55" s="611">
        <v>0</v>
      </c>
      <c r="T55" s="611">
        <v>0</v>
      </c>
      <c r="U55" s="611">
        <v>0</v>
      </c>
      <c r="V55" s="620">
        <v>0</v>
      </c>
      <c r="W55" s="620">
        <v>0</v>
      </c>
      <c r="X55" s="611">
        <v>0</v>
      </c>
      <c r="Y55" s="621">
        <v>-37.45524104092592</v>
      </c>
      <c r="Z55" s="51"/>
      <c r="AA55" s="51"/>
      <c r="AB55" s="51"/>
    </row>
    <row r="56" spans="1:28" x14ac:dyDescent="0.25">
      <c r="A56" s="51"/>
      <c r="B56" s="51">
        <f t="shared" si="3"/>
        <v>2020</v>
      </c>
      <c r="C56" s="51" t="str">
        <f t="shared" si="3"/>
        <v>AMS</v>
      </c>
      <c r="D56" s="51" t="s">
        <v>492</v>
      </c>
      <c r="E56" s="51"/>
      <c r="F56" s="51"/>
      <c r="G56" s="610" t="s">
        <v>64</v>
      </c>
      <c r="H56" s="620">
        <v>2.2754338241033341</v>
      </c>
      <c r="I56" s="620">
        <v>1.7895047303380001</v>
      </c>
      <c r="J56" s="620">
        <v>-1.4741451662241043</v>
      </c>
      <c r="K56" s="611">
        <v>0</v>
      </c>
      <c r="L56" s="620">
        <v>21.247482000000002</v>
      </c>
      <c r="M56" s="611">
        <v>0</v>
      </c>
      <c r="N56" s="620">
        <v>0</v>
      </c>
      <c r="O56" s="620">
        <v>0</v>
      </c>
      <c r="P56" s="620">
        <v>0</v>
      </c>
      <c r="Q56" s="620">
        <v>0</v>
      </c>
      <c r="R56" s="620">
        <v>0</v>
      </c>
      <c r="S56" s="620">
        <v>0</v>
      </c>
      <c r="T56" s="620">
        <v>0</v>
      </c>
      <c r="U56" s="620">
        <v>0</v>
      </c>
      <c r="V56" s="620">
        <v>0</v>
      </c>
      <c r="W56" s="620">
        <v>0</v>
      </c>
      <c r="X56" s="620">
        <v>0</v>
      </c>
      <c r="Y56" s="621">
        <v>23.838275388217234</v>
      </c>
      <c r="Z56" s="51"/>
      <c r="AA56" s="51"/>
      <c r="AB56" s="51"/>
    </row>
    <row r="57" spans="1:28" x14ac:dyDescent="0.25">
      <c r="A57" s="51"/>
      <c r="B57" s="51">
        <f t="shared" si="3"/>
        <v>2020</v>
      </c>
      <c r="C57" s="51" t="str">
        <f t="shared" si="3"/>
        <v>AMS</v>
      </c>
      <c r="D57" s="51" t="s">
        <v>493</v>
      </c>
      <c r="E57" s="51"/>
      <c r="F57" s="51"/>
      <c r="G57" s="614" t="s">
        <v>65</v>
      </c>
      <c r="H57" s="622">
        <v>61.52502129878669</v>
      </c>
      <c r="I57" s="622">
        <v>404.87839612064664</v>
      </c>
      <c r="J57" s="622">
        <v>311.07069191078136</v>
      </c>
      <c r="K57" s="615">
        <v>0</v>
      </c>
      <c r="L57" s="622">
        <v>405.82840275000007</v>
      </c>
      <c r="M57" s="615">
        <v>0</v>
      </c>
      <c r="N57" s="622">
        <v>1072.2208090909091</v>
      </c>
      <c r="O57" s="622">
        <v>115.72304451809002</v>
      </c>
      <c r="P57" s="622">
        <v>114.87746813198341</v>
      </c>
      <c r="Q57" s="622">
        <v>33.631608055405756</v>
      </c>
      <c r="R57" s="622">
        <v>6.8286731079844092</v>
      </c>
      <c r="S57" s="622">
        <v>9.2815441223735728</v>
      </c>
      <c r="T57" s="622">
        <v>32.908596666666668</v>
      </c>
      <c r="U57" s="622">
        <v>8.1133079726239394</v>
      </c>
      <c r="V57" s="622">
        <v>-45.039194000000009</v>
      </c>
      <c r="W57" s="622">
        <v>0</v>
      </c>
      <c r="X57" s="622">
        <v>0</v>
      </c>
      <c r="Y57" s="622">
        <v>2531.8483697462511</v>
      </c>
      <c r="Z57" s="51"/>
      <c r="AA57" s="51"/>
      <c r="AB57" s="51"/>
    </row>
    <row r="58" spans="1:28" x14ac:dyDescent="0.25">
      <c r="A58" s="51"/>
      <c r="B58" s="51"/>
      <c r="C58" s="51"/>
      <c r="D58" s="51"/>
      <c r="E58" s="51"/>
      <c r="F58" s="51"/>
      <c r="G58" s="616"/>
      <c r="H58" s="623"/>
      <c r="I58" s="623"/>
      <c r="J58" s="623"/>
      <c r="K58" s="617"/>
      <c r="L58" s="623"/>
      <c r="M58" s="617"/>
      <c r="N58" s="623"/>
      <c r="O58" s="623"/>
      <c r="P58" s="623"/>
      <c r="Q58" s="623"/>
      <c r="R58" s="623"/>
      <c r="S58" s="623"/>
      <c r="T58" s="623"/>
      <c r="U58" s="623"/>
      <c r="V58" s="623"/>
      <c r="W58" s="623"/>
      <c r="X58" s="623"/>
      <c r="Y58" s="623"/>
      <c r="Z58" s="51"/>
      <c r="AA58" s="51"/>
      <c r="AB58" s="51"/>
    </row>
    <row r="59" spans="1:28" x14ac:dyDescent="0.25">
      <c r="A59" s="51"/>
      <c r="B59" s="51">
        <f>B57</f>
        <v>2020</v>
      </c>
      <c r="C59" s="51" t="str">
        <f>C57</f>
        <v>AMS</v>
      </c>
      <c r="D59" s="51" t="s">
        <v>494</v>
      </c>
      <c r="E59" s="51"/>
      <c r="F59" s="51"/>
      <c r="G59" s="618" t="s">
        <v>67</v>
      </c>
      <c r="H59" s="611">
        <v>-3.1696853392377875</v>
      </c>
      <c r="I59" s="611">
        <v>7.594656734105321</v>
      </c>
      <c r="J59" s="611">
        <v>3.8234994290490683</v>
      </c>
      <c r="K59" s="611">
        <v>0</v>
      </c>
      <c r="L59" s="611">
        <v>-0.68950250000000013</v>
      </c>
      <c r="M59" s="611">
        <v>0</v>
      </c>
      <c r="N59" s="611">
        <v>0</v>
      </c>
      <c r="O59" s="611">
        <v>0</v>
      </c>
      <c r="P59" s="611">
        <v>0</v>
      </c>
      <c r="Q59" s="611">
        <v>0</v>
      </c>
      <c r="R59" s="611">
        <v>0</v>
      </c>
      <c r="S59" s="611">
        <v>0</v>
      </c>
      <c r="T59" s="611">
        <v>0</v>
      </c>
      <c r="U59" s="611">
        <v>0</v>
      </c>
      <c r="V59" s="611">
        <v>2.0843062301020092</v>
      </c>
      <c r="W59" s="611">
        <v>0</v>
      </c>
      <c r="X59" s="620">
        <v>0</v>
      </c>
      <c r="Y59" s="621">
        <v>9.6432745540186122</v>
      </c>
      <c r="Z59" s="51"/>
      <c r="AA59" s="51"/>
      <c r="AB59" s="51"/>
    </row>
    <row r="60" spans="1:28" x14ac:dyDescent="0.25">
      <c r="A60" s="51"/>
      <c r="B60" s="51">
        <f t="shared" ref="B60:C71" si="4">B59</f>
        <v>2020</v>
      </c>
      <c r="C60" s="51" t="str">
        <f t="shared" si="4"/>
        <v>AMS</v>
      </c>
      <c r="D60" s="51" t="s">
        <v>495</v>
      </c>
      <c r="E60" s="51"/>
      <c r="F60" s="51"/>
      <c r="G60" s="618" t="s">
        <v>347</v>
      </c>
      <c r="H60" s="611">
        <v>14.864431241687887</v>
      </c>
      <c r="I60" s="611">
        <v>0</v>
      </c>
      <c r="J60" s="611">
        <v>13.418152502737103</v>
      </c>
      <c r="K60" s="611">
        <v>0</v>
      </c>
      <c r="L60" s="611">
        <v>55.436136268601025</v>
      </c>
      <c r="M60" s="611">
        <v>0</v>
      </c>
      <c r="N60" s="611">
        <v>1072.2208090909091</v>
      </c>
      <c r="O60" s="611">
        <v>115.67142051809002</v>
      </c>
      <c r="P60" s="611">
        <v>17.347825951117827</v>
      </c>
      <c r="Q60" s="611">
        <v>11.678824122543197</v>
      </c>
      <c r="R60" s="611">
        <v>0</v>
      </c>
      <c r="S60" s="611">
        <v>5.2886919634287652</v>
      </c>
      <c r="T60" s="611">
        <v>0</v>
      </c>
      <c r="U60" s="611">
        <v>1.3922112325408571</v>
      </c>
      <c r="V60" s="611">
        <v>-527.28039181222232</v>
      </c>
      <c r="W60" s="611">
        <v>0</v>
      </c>
      <c r="X60" s="620">
        <v>0</v>
      </c>
      <c r="Y60" s="621">
        <v>780.03811107943307</v>
      </c>
      <c r="Z60" s="51"/>
      <c r="AA60" s="51"/>
      <c r="AB60" s="51"/>
    </row>
    <row r="61" spans="1:28" x14ac:dyDescent="0.25">
      <c r="A61" s="51"/>
      <c r="B61" s="51">
        <f t="shared" si="4"/>
        <v>2020</v>
      </c>
      <c r="C61" s="51" t="str">
        <f t="shared" si="4"/>
        <v>AMS</v>
      </c>
      <c r="D61" s="51" t="s">
        <v>496</v>
      </c>
      <c r="E61" s="51"/>
      <c r="F61" s="51"/>
      <c r="G61" s="618" t="s">
        <v>348</v>
      </c>
      <c r="H61" s="611">
        <v>1.5729367626898902</v>
      </c>
      <c r="I61" s="611">
        <v>0</v>
      </c>
      <c r="J61" s="611">
        <v>0.20358189452574635</v>
      </c>
      <c r="K61" s="611">
        <v>0</v>
      </c>
      <c r="L61" s="611">
        <v>21.08911448139898</v>
      </c>
      <c r="M61" s="611">
        <v>0</v>
      </c>
      <c r="N61" s="611">
        <v>0</v>
      </c>
      <c r="O61" s="611">
        <v>0</v>
      </c>
      <c r="P61" s="611">
        <v>7.8982729217883261</v>
      </c>
      <c r="Q61" s="611">
        <v>16.49482411485047</v>
      </c>
      <c r="R61" s="611">
        <v>0</v>
      </c>
      <c r="S61" s="611">
        <v>3.0673174902469076</v>
      </c>
      <c r="T61" s="611">
        <v>0.25705111111111106</v>
      </c>
      <c r="U61" s="611">
        <v>3.9939867016268904</v>
      </c>
      <c r="V61" s="611">
        <v>0</v>
      </c>
      <c r="W61" s="611">
        <v>-45.831488617908406</v>
      </c>
      <c r="X61" s="620">
        <v>0</v>
      </c>
      <c r="Y61" s="621">
        <v>8.7455968603299254</v>
      </c>
      <c r="Z61" s="51"/>
      <c r="AA61" s="51"/>
      <c r="AB61" s="51"/>
    </row>
    <row r="62" spans="1:28" x14ac:dyDescent="0.25">
      <c r="A62" s="51"/>
      <c r="B62" s="51">
        <f t="shared" si="4"/>
        <v>2020</v>
      </c>
      <c r="C62" s="51" t="str">
        <f t="shared" si="4"/>
        <v>AMS</v>
      </c>
      <c r="D62" s="51" t="s">
        <v>497</v>
      </c>
      <c r="E62" s="51"/>
      <c r="F62" s="51"/>
      <c r="G62" s="618" t="s">
        <v>349</v>
      </c>
      <c r="H62" s="611">
        <v>0</v>
      </c>
      <c r="I62" s="611">
        <v>0</v>
      </c>
      <c r="J62" s="611">
        <v>0</v>
      </c>
      <c r="K62" s="611">
        <v>0</v>
      </c>
      <c r="L62" s="611">
        <v>0</v>
      </c>
      <c r="M62" s="611">
        <v>0</v>
      </c>
      <c r="N62" s="611">
        <v>0</v>
      </c>
      <c r="O62" s="611">
        <v>0</v>
      </c>
      <c r="P62" s="611">
        <v>0</v>
      </c>
      <c r="Q62" s="611">
        <v>0</v>
      </c>
      <c r="R62" s="611">
        <v>0</v>
      </c>
      <c r="S62" s="611">
        <v>-1.9873640000000001</v>
      </c>
      <c r="T62" s="611">
        <v>0</v>
      </c>
      <c r="U62" s="611">
        <v>0</v>
      </c>
      <c r="V62" s="611">
        <v>0</v>
      </c>
      <c r="W62" s="611">
        <v>0</v>
      </c>
      <c r="X62" s="620">
        <v>0</v>
      </c>
      <c r="Y62" s="621">
        <v>-1.9873640000000001</v>
      </c>
      <c r="Z62" s="51"/>
      <c r="AA62" s="51"/>
      <c r="AB62" s="51"/>
    </row>
    <row r="63" spans="1:28" x14ac:dyDescent="0.25">
      <c r="A63" s="51"/>
      <c r="B63" s="51">
        <f t="shared" si="4"/>
        <v>2020</v>
      </c>
      <c r="C63" s="51" t="str">
        <f t="shared" si="4"/>
        <v>AMS</v>
      </c>
      <c r="D63" s="51" t="s">
        <v>498</v>
      </c>
      <c r="E63" s="51"/>
      <c r="F63" s="51"/>
      <c r="G63" s="618" t="s">
        <v>350</v>
      </c>
      <c r="H63" s="611">
        <v>0</v>
      </c>
      <c r="I63" s="611">
        <v>0</v>
      </c>
      <c r="J63" s="611">
        <v>0</v>
      </c>
      <c r="K63" s="611">
        <v>0</v>
      </c>
      <c r="L63" s="611">
        <v>0</v>
      </c>
      <c r="M63" s="611">
        <v>0</v>
      </c>
      <c r="N63" s="611">
        <v>0</v>
      </c>
      <c r="O63" s="611">
        <v>0</v>
      </c>
      <c r="P63" s="611">
        <v>0</v>
      </c>
      <c r="Q63" s="611">
        <v>0</v>
      </c>
      <c r="R63" s="611">
        <v>0</v>
      </c>
      <c r="S63" s="611">
        <v>0</v>
      </c>
      <c r="T63" s="611">
        <v>0</v>
      </c>
      <c r="U63" s="611">
        <v>0</v>
      </c>
      <c r="V63" s="611">
        <v>0</v>
      </c>
      <c r="W63" s="611">
        <v>0</v>
      </c>
      <c r="X63" s="620">
        <v>0</v>
      </c>
      <c r="Y63" s="621">
        <v>0</v>
      </c>
      <c r="Z63" s="51"/>
      <c r="AA63" s="51"/>
      <c r="AB63" s="51"/>
    </row>
    <row r="64" spans="1:28" x14ac:dyDescent="0.25">
      <c r="A64" s="51"/>
      <c r="B64" s="51">
        <f t="shared" si="4"/>
        <v>2020</v>
      </c>
      <c r="C64" s="51" t="str">
        <f t="shared" si="4"/>
        <v>AMS</v>
      </c>
      <c r="D64" s="51" t="s">
        <v>499</v>
      </c>
      <c r="E64" s="51"/>
      <c r="F64" s="51"/>
      <c r="G64" s="618" t="s">
        <v>72</v>
      </c>
      <c r="H64" s="611">
        <v>0</v>
      </c>
      <c r="I64" s="611">
        <v>440.59076600316865</v>
      </c>
      <c r="J64" s="611">
        <v>-437.66600779015403</v>
      </c>
      <c r="K64" s="611">
        <v>0</v>
      </c>
      <c r="L64" s="611">
        <v>0</v>
      </c>
      <c r="M64" s="611">
        <v>0</v>
      </c>
      <c r="N64" s="611">
        <v>0</v>
      </c>
      <c r="O64" s="611">
        <v>0</v>
      </c>
      <c r="P64" s="611">
        <v>0</v>
      </c>
      <c r="Q64" s="611">
        <v>0</v>
      </c>
      <c r="R64" s="611">
        <v>0</v>
      </c>
      <c r="S64" s="611">
        <v>0</v>
      </c>
      <c r="T64" s="611">
        <v>0</v>
      </c>
      <c r="U64" s="611">
        <v>0</v>
      </c>
      <c r="V64" s="611">
        <v>0</v>
      </c>
      <c r="W64" s="611">
        <v>0</v>
      </c>
      <c r="X64" s="620">
        <v>0</v>
      </c>
      <c r="Y64" s="621">
        <v>2.9247582130146133</v>
      </c>
      <c r="Z64" s="51"/>
      <c r="AA64" s="51"/>
      <c r="AB64" s="51"/>
    </row>
    <row r="65" spans="1:28" x14ac:dyDescent="0.25">
      <c r="A65" s="51"/>
      <c r="B65" s="51">
        <f t="shared" si="4"/>
        <v>2020</v>
      </c>
      <c r="C65" s="51" t="str">
        <f t="shared" si="4"/>
        <v>AMS</v>
      </c>
      <c r="D65" s="51" t="s">
        <v>500</v>
      </c>
      <c r="E65" s="51"/>
      <c r="F65" s="51"/>
      <c r="G65" s="618" t="s">
        <v>351</v>
      </c>
      <c r="H65" s="611">
        <v>0</v>
      </c>
      <c r="I65" s="611">
        <v>0</v>
      </c>
      <c r="J65" s="611">
        <v>0</v>
      </c>
      <c r="K65" s="611">
        <v>0</v>
      </c>
      <c r="L65" s="611">
        <v>0</v>
      </c>
      <c r="M65" s="611">
        <v>0</v>
      </c>
      <c r="N65" s="611">
        <v>0</v>
      </c>
      <c r="O65" s="611">
        <v>0</v>
      </c>
      <c r="P65" s="611">
        <v>0</v>
      </c>
      <c r="Q65" s="611">
        <v>0</v>
      </c>
      <c r="R65" s="611">
        <v>-27.31624937979873</v>
      </c>
      <c r="S65" s="611">
        <v>0</v>
      </c>
      <c r="T65" s="611">
        <v>0</v>
      </c>
      <c r="U65" s="611">
        <v>0</v>
      </c>
      <c r="V65" s="611">
        <v>0</v>
      </c>
      <c r="W65" s="611">
        <v>0</v>
      </c>
      <c r="X65" s="620">
        <v>0</v>
      </c>
      <c r="Y65" s="621">
        <v>-27.31624937979873</v>
      </c>
      <c r="Z65" s="51"/>
      <c r="AA65" s="51"/>
      <c r="AB65" s="51"/>
    </row>
    <row r="66" spans="1:28" x14ac:dyDescent="0.25">
      <c r="A66" s="51"/>
      <c r="B66" s="51">
        <f t="shared" si="4"/>
        <v>2020</v>
      </c>
      <c r="C66" s="51" t="str">
        <f t="shared" si="4"/>
        <v>AMS</v>
      </c>
      <c r="D66" s="51" t="s">
        <v>501</v>
      </c>
      <c r="E66" s="51"/>
      <c r="F66" s="51"/>
      <c r="G66" s="618" t="s">
        <v>352</v>
      </c>
      <c r="H66" s="611">
        <v>0</v>
      </c>
      <c r="I66" s="611">
        <v>0</v>
      </c>
      <c r="J66" s="611">
        <v>0</v>
      </c>
      <c r="K66" s="611">
        <v>0</v>
      </c>
      <c r="L66" s="611">
        <v>0</v>
      </c>
      <c r="M66" s="611">
        <v>0</v>
      </c>
      <c r="N66" s="611">
        <v>0</v>
      </c>
      <c r="O66" s="611">
        <v>0</v>
      </c>
      <c r="P66" s="611">
        <v>0</v>
      </c>
      <c r="Q66" s="611">
        <v>0</v>
      </c>
      <c r="R66" s="611">
        <v>0</v>
      </c>
      <c r="S66" s="611">
        <v>0</v>
      </c>
      <c r="T66" s="611">
        <v>0</v>
      </c>
      <c r="U66" s="611">
        <v>0</v>
      </c>
      <c r="V66" s="611">
        <v>0</v>
      </c>
      <c r="W66" s="611">
        <v>0</v>
      </c>
      <c r="X66" s="620">
        <v>0</v>
      </c>
      <c r="Y66" s="621">
        <v>0</v>
      </c>
      <c r="Z66" s="51"/>
      <c r="AA66" s="51"/>
      <c r="AB66" s="51"/>
    </row>
    <row r="67" spans="1:28" x14ac:dyDescent="0.25">
      <c r="A67" s="51"/>
      <c r="B67" s="51">
        <f t="shared" si="4"/>
        <v>2020</v>
      </c>
      <c r="C67" s="51" t="str">
        <f t="shared" si="4"/>
        <v>AMS</v>
      </c>
      <c r="D67" s="51" t="s">
        <v>502</v>
      </c>
      <c r="E67" s="51"/>
      <c r="F67" s="51"/>
      <c r="G67" s="618" t="s">
        <v>73</v>
      </c>
      <c r="H67" s="611">
        <v>0</v>
      </c>
      <c r="I67" s="611">
        <v>0</v>
      </c>
      <c r="J67" s="611">
        <v>0</v>
      </c>
      <c r="K67" s="611">
        <v>0</v>
      </c>
      <c r="L67" s="611">
        <v>0</v>
      </c>
      <c r="M67" s="611">
        <v>0</v>
      </c>
      <c r="N67" s="611">
        <v>0</v>
      </c>
      <c r="O67" s="611">
        <v>0</v>
      </c>
      <c r="P67" s="611">
        <v>0</v>
      </c>
      <c r="Q67" s="611">
        <v>0</v>
      </c>
      <c r="R67" s="611">
        <v>0</v>
      </c>
      <c r="S67" s="611">
        <v>0</v>
      </c>
      <c r="T67" s="611">
        <v>0</v>
      </c>
      <c r="U67" s="611">
        <v>0</v>
      </c>
      <c r="V67" s="611">
        <v>0</v>
      </c>
      <c r="W67" s="611">
        <v>0</v>
      </c>
      <c r="X67" s="620">
        <v>0</v>
      </c>
      <c r="Y67" s="621">
        <v>0</v>
      </c>
      <c r="Z67" s="51"/>
      <c r="AA67" s="51"/>
      <c r="AB67" s="51"/>
    </row>
    <row r="68" spans="1:28" x14ac:dyDescent="0.25">
      <c r="A68" s="51"/>
      <c r="B68" s="51">
        <f t="shared" si="4"/>
        <v>2020</v>
      </c>
      <c r="C68" s="51" t="str">
        <f t="shared" si="4"/>
        <v>AMS</v>
      </c>
      <c r="D68" s="51" t="s">
        <v>503</v>
      </c>
      <c r="E68" s="51"/>
      <c r="F68" s="51"/>
      <c r="G68" s="618" t="s">
        <v>353</v>
      </c>
      <c r="H68" s="611">
        <v>24.856875540426671</v>
      </c>
      <c r="I68" s="611">
        <v>-42.586921310488997</v>
      </c>
      <c r="J68" s="611">
        <v>41.670112128488995</v>
      </c>
      <c r="K68" s="611">
        <v>0</v>
      </c>
      <c r="L68" s="611">
        <v>0</v>
      </c>
      <c r="M68" s="611">
        <v>0</v>
      </c>
      <c r="N68" s="611">
        <v>0</v>
      </c>
      <c r="O68" s="611">
        <v>0</v>
      </c>
      <c r="P68" s="611">
        <v>0</v>
      </c>
      <c r="Q68" s="611">
        <v>0</v>
      </c>
      <c r="R68" s="611">
        <v>0</v>
      </c>
      <c r="S68" s="611">
        <v>0</v>
      </c>
      <c r="T68" s="611">
        <v>0</v>
      </c>
      <c r="U68" s="611">
        <v>0</v>
      </c>
      <c r="V68" s="611">
        <v>0</v>
      </c>
      <c r="W68" s="611">
        <v>0</v>
      </c>
      <c r="X68" s="620">
        <v>0</v>
      </c>
      <c r="Y68" s="621">
        <v>23.94006635842667</v>
      </c>
      <c r="Z68" s="51"/>
      <c r="AA68" s="51"/>
      <c r="AB68" s="51"/>
    </row>
    <row r="69" spans="1:28" x14ac:dyDescent="0.25">
      <c r="A69" s="51"/>
      <c r="B69" s="51">
        <f t="shared" si="4"/>
        <v>2020</v>
      </c>
      <c r="C69" s="51" t="str">
        <f t="shared" si="4"/>
        <v>AMS</v>
      </c>
      <c r="D69" s="51" t="s">
        <v>504</v>
      </c>
      <c r="E69" s="51"/>
      <c r="F69" s="51"/>
      <c r="G69" s="618" t="s">
        <v>75</v>
      </c>
      <c r="H69" s="611">
        <v>10.864485000000002</v>
      </c>
      <c r="I69" s="611">
        <v>0</v>
      </c>
      <c r="J69" s="611">
        <v>12.156002809978</v>
      </c>
      <c r="K69" s="611">
        <v>0</v>
      </c>
      <c r="L69" s="611">
        <v>6.2612449999999988</v>
      </c>
      <c r="M69" s="611">
        <v>0</v>
      </c>
      <c r="N69" s="611">
        <v>0</v>
      </c>
      <c r="O69" s="611">
        <v>0</v>
      </c>
      <c r="P69" s="611">
        <v>0</v>
      </c>
      <c r="Q69" s="611">
        <v>0</v>
      </c>
      <c r="R69" s="611">
        <v>0</v>
      </c>
      <c r="S69" s="611">
        <v>0</v>
      </c>
      <c r="T69" s="611">
        <v>0</v>
      </c>
      <c r="U69" s="611">
        <v>0</v>
      </c>
      <c r="V69" s="611">
        <v>32.903944582120353</v>
      </c>
      <c r="W69" s="611">
        <v>0</v>
      </c>
      <c r="X69" s="620">
        <v>0</v>
      </c>
      <c r="Y69" s="621">
        <v>62.185677392098349</v>
      </c>
      <c r="Z69" s="51"/>
      <c r="AA69" s="51"/>
      <c r="AB69" s="51"/>
    </row>
    <row r="70" spans="1:28" x14ac:dyDescent="0.25">
      <c r="A70" s="51"/>
      <c r="B70" s="51">
        <f t="shared" si="4"/>
        <v>2020</v>
      </c>
      <c r="C70" s="51" t="str">
        <f t="shared" si="4"/>
        <v>AMS</v>
      </c>
      <c r="D70" s="51" t="s">
        <v>505</v>
      </c>
      <c r="E70" s="51"/>
      <c r="F70" s="51"/>
      <c r="G70" s="618" t="s">
        <v>76</v>
      </c>
      <c r="H70" s="611">
        <v>0</v>
      </c>
      <c r="I70" s="611">
        <v>0</v>
      </c>
      <c r="J70" s="611">
        <v>0</v>
      </c>
      <c r="K70" s="611">
        <v>0</v>
      </c>
      <c r="L70" s="611">
        <v>3.9080132499999998</v>
      </c>
      <c r="M70" s="611">
        <v>0</v>
      </c>
      <c r="N70" s="611">
        <v>0</v>
      </c>
      <c r="O70" s="611">
        <v>0</v>
      </c>
      <c r="P70" s="611">
        <v>0</v>
      </c>
      <c r="Q70" s="611">
        <v>0</v>
      </c>
      <c r="R70" s="611">
        <v>0</v>
      </c>
      <c r="S70" s="611">
        <v>0</v>
      </c>
      <c r="T70" s="611">
        <v>0</v>
      </c>
      <c r="U70" s="611">
        <v>0</v>
      </c>
      <c r="V70" s="611">
        <v>35.893531999999993</v>
      </c>
      <c r="W70" s="611">
        <v>4.1669160064579911</v>
      </c>
      <c r="X70" s="620">
        <v>0</v>
      </c>
      <c r="Y70" s="621">
        <v>43.968461256457985</v>
      </c>
      <c r="Z70" s="51"/>
      <c r="AA70" s="51"/>
      <c r="AB70" s="51"/>
    </row>
    <row r="71" spans="1:28" x14ac:dyDescent="0.25">
      <c r="A71" s="51"/>
      <c r="B71" s="51">
        <f t="shared" si="4"/>
        <v>2020</v>
      </c>
      <c r="C71" s="51" t="str">
        <f t="shared" si="4"/>
        <v>AMS</v>
      </c>
      <c r="D71" s="51" t="s">
        <v>506</v>
      </c>
      <c r="E71" s="51"/>
      <c r="F71" s="51"/>
      <c r="G71" s="614" t="s">
        <v>77</v>
      </c>
      <c r="H71" s="622">
        <v>48.989043205566666</v>
      </c>
      <c r="I71" s="622">
        <v>405.59850142678499</v>
      </c>
      <c r="J71" s="622">
        <v>-366.39465902537506</v>
      </c>
      <c r="K71" s="615">
        <v>0</v>
      </c>
      <c r="L71" s="622">
        <v>86.005006499999993</v>
      </c>
      <c r="M71" s="615">
        <v>0</v>
      </c>
      <c r="N71" s="622">
        <v>1072.2208090909091</v>
      </c>
      <c r="O71" s="622">
        <v>115.67142051809002</v>
      </c>
      <c r="P71" s="622">
        <v>25.246098872906153</v>
      </c>
      <c r="Q71" s="622">
        <v>28.173648237393667</v>
      </c>
      <c r="R71" s="622">
        <v>-27.31624937979873</v>
      </c>
      <c r="S71" s="622">
        <v>6.3686454536756729</v>
      </c>
      <c r="T71" s="622">
        <v>0.25705111111111106</v>
      </c>
      <c r="U71" s="622">
        <v>5.3861979341677468</v>
      </c>
      <c r="V71" s="622">
        <v>-456.39860899999991</v>
      </c>
      <c r="W71" s="622">
        <v>-41.66457261145041</v>
      </c>
      <c r="X71" s="622">
        <v>0</v>
      </c>
      <c r="Y71" s="622">
        <v>902.14233233398068</v>
      </c>
      <c r="Z71" s="51"/>
      <c r="AA71" s="51"/>
      <c r="AB71" s="51"/>
    </row>
    <row r="72" spans="1:28" x14ac:dyDescent="0.25">
      <c r="A72" s="51"/>
      <c r="B72" s="51"/>
      <c r="C72" s="51"/>
      <c r="D72" s="51"/>
      <c r="E72" s="51"/>
      <c r="F72" s="51"/>
      <c r="G72" s="616"/>
      <c r="H72" s="623">
        <v>0</v>
      </c>
      <c r="I72" s="623">
        <v>0</v>
      </c>
      <c r="J72" s="623">
        <v>0</v>
      </c>
      <c r="K72" s="617"/>
      <c r="L72" s="623">
        <v>0</v>
      </c>
      <c r="M72" s="617"/>
      <c r="N72" s="623">
        <v>0</v>
      </c>
      <c r="O72" s="623">
        <v>0</v>
      </c>
      <c r="P72" s="623">
        <v>0</v>
      </c>
      <c r="Q72" s="623">
        <v>0</v>
      </c>
      <c r="R72" s="623">
        <v>0</v>
      </c>
      <c r="S72" s="623">
        <v>0</v>
      </c>
      <c r="T72" s="623">
        <v>0</v>
      </c>
      <c r="U72" s="623">
        <v>0</v>
      </c>
      <c r="V72" s="623">
        <v>0</v>
      </c>
      <c r="W72" s="623">
        <v>0</v>
      </c>
      <c r="X72" s="623">
        <v>0</v>
      </c>
      <c r="Y72" s="623">
        <v>0</v>
      </c>
      <c r="Z72" s="51"/>
      <c r="AA72" s="51"/>
      <c r="AB72" s="51"/>
    </row>
    <row r="73" spans="1:28" x14ac:dyDescent="0.25">
      <c r="A73" s="51"/>
      <c r="B73" s="51">
        <f>B71</f>
        <v>2020</v>
      </c>
      <c r="C73" s="51" t="str">
        <f>C51</f>
        <v>AMS</v>
      </c>
      <c r="D73" s="51" t="s">
        <v>507</v>
      </c>
      <c r="E73" s="51"/>
      <c r="F73" s="51"/>
      <c r="G73" s="618" t="s">
        <v>78</v>
      </c>
      <c r="H73" s="611">
        <v>9.103168484740003</v>
      </c>
      <c r="I73" s="611">
        <v>0</v>
      </c>
      <c r="J73" s="611">
        <v>30.742620872292591</v>
      </c>
      <c r="K73" s="611">
        <v>0</v>
      </c>
      <c r="L73" s="611">
        <v>115.67477925</v>
      </c>
      <c r="M73" s="611">
        <v>0</v>
      </c>
      <c r="N73" s="611">
        <v>0</v>
      </c>
      <c r="O73" s="611">
        <v>0</v>
      </c>
      <c r="P73" s="611">
        <v>15.652087601653344</v>
      </c>
      <c r="Q73" s="611">
        <v>3.5686448746488644</v>
      </c>
      <c r="R73" s="611">
        <v>1.0751813257923004</v>
      </c>
      <c r="S73" s="611">
        <v>0.92719655758676645</v>
      </c>
      <c r="T73" s="611">
        <v>0</v>
      </c>
      <c r="U73" s="611">
        <v>1.540935583552362E-2</v>
      </c>
      <c r="V73" s="611">
        <v>105.80333299999998</v>
      </c>
      <c r="W73" s="611">
        <v>17.474535389228187</v>
      </c>
      <c r="X73" s="611">
        <v>0</v>
      </c>
      <c r="Y73" s="619">
        <v>300.03695671177758</v>
      </c>
      <c r="Z73" s="51"/>
      <c r="AA73" s="51"/>
      <c r="AB73" s="51"/>
    </row>
    <row r="74" spans="1:28" x14ac:dyDescent="0.25">
      <c r="A74" s="51"/>
      <c r="B74" s="51">
        <f t="shared" ref="B74:C81" si="5">B73</f>
        <v>2020</v>
      </c>
      <c r="C74" s="51" t="str">
        <f t="shared" si="5"/>
        <v>AMS</v>
      </c>
      <c r="D74" s="51" t="s">
        <v>508</v>
      </c>
      <c r="E74" s="51"/>
      <c r="F74" s="51"/>
      <c r="G74" s="618" t="s">
        <v>79</v>
      </c>
      <c r="H74" s="611">
        <v>0</v>
      </c>
      <c r="I74" s="611">
        <v>0</v>
      </c>
      <c r="J74" s="611">
        <v>396.20072754031048</v>
      </c>
      <c r="K74" s="611">
        <v>0</v>
      </c>
      <c r="L74" s="611">
        <v>2.2477145000000003</v>
      </c>
      <c r="M74" s="611">
        <v>0</v>
      </c>
      <c r="N74" s="611">
        <v>0</v>
      </c>
      <c r="O74" s="611">
        <v>0</v>
      </c>
      <c r="P74" s="611">
        <v>0</v>
      </c>
      <c r="Q74" s="611">
        <v>0</v>
      </c>
      <c r="R74" s="611">
        <v>30.751352031352695</v>
      </c>
      <c r="S74" s="611">
        <v>0</v>
      </c>
      <c r="T74" s="611">
        <v>0</v>
      </c>
      <c r="U74" s="611">
        <v>0</v>
      </c>
      <c r="V74" s="611">
        <v>8.3371990700000005</v>
      </c>
      <c r="W74" s="611">
        <v>0</v>
      </c>
      <c r="X74" s="611">
        <v>0</v>
      </c>
      <c r="Y74" s="619">
        <v>437.53699314166312</v>
      </c>
      <c r="Z74" s="51"/>
      <c r="AA74" s="51"/>
      <c r="AB74" s="51"/>
    </row>
    <row r="75" spans="1:28" x14ac:dyDescent="0.25">
      <c r="A75" s="51"/>
      <c r="B75" s="51">
        <f t="shared" si="5"/>
        <v>2020</v>
      </c>
      <c r="C75" s="51" t="str">
        <f t="shared" si="5"/>
        <v>AMS</v>
      </c>
      <c r="D75" s="51" t="s">
        <v>509</v>
      </c>
      <c r="E75" s="51"/>
      <c r="F75" s="51"/>
      <c r="G75" s="618" t="s">
        <v>80</v>
      </c>
      <c r="H75" s="611">
        <v>0.24074954804999998</v>
      </c>
      <c r="I75" s="611">
        <v>0</v>
      </c>
      <c r="J75" s="611">
        <v>50.312051197940285</v>
      </c>
      <c r="K75" s="611">
        <v>0</v>
      </c>
      <c r="L75" s="611">
        <v>125.05981225000002</v>
      </c>
      <c r="M75" s="611">
        <v>0</v>
      </c>
      <c r="N75" s="611">
        <v>0</v>
      </c>
      <c r="O75" s="611">
        <v>0</v>
      </c>
      <c r="P75" s="611">
        <v>69.406708888888886</v>
      </c>
      <c r="Q75" s="611">
        <v>0</v>
      </c>
      <c r="R75" s="611">
        <v>0</v>
      </c>
      <c r="S75" s="611">
        <v>0</v>
      </c>
      <c r="T75" s="611">
        <v>28.099863055555552</v>
      </c>
      <c r="U75" s="611">
        <v>2.0645206826866662</v>
      </c>
      <c r="V75" s="611">
        <v>161.49853200000001</v>
      </c>
      <c r="W75" s="611">
        <v>14.411899999999999</v>
      </c>
      <c r="X75" s="611">
        <v>0</v>
      </c>
      <c r="Y75" s="619">
        <v>451.09413762312141</v>
      </c>
      <c r="Z75" s="51"/>
      <c r="AA75" s="51"/>
      <c r="AB75" s="51"/>
    </row>
    <row r="76" spans="1:28" x14ac:dyDescent="0.25">
      <c r="A76" s="51"/>
      <c r="B76" s="51">
        <f t="shared" si="5"/>
        <v>2020</v>
      </c>
      <c r="C76" s="51" t="str">
        <f t="shared" si="5"/>
        <v>AMS</v>
      </c>
      <c r="D76" s="51" t="s">
        <v>510</v>
      </c>
      <c r="E76" s="51"/>
      <c r="F76" s="51"/>
      <c r="G76" s="618" t="s">
        <v>81</v>
      </c>
      <c r="H76" s="611">
        <v>0.35525487623000002</v>
      </c>
      <c r="I76" s="611">
        <v>0</v>
      </c>
      <c r="J76" s="611">
        <v>31.907501208676987</v>
      </c>
      <c r="K76" s="611">
        <v>0</v>
      </c>
      <c r="L76" s="611">
        <v>62.61667825</v>
      </c>
      <c r="M76" s="611">
        <v>0</v>
      </c>
      <c r="N76" s="611">
        <v>0</v>
      </c>
      <c r="O76" s="611">
        <v>0</v>
      </c>
      <c r="P76" s="611">
        <v>2.8232277777777779</v>
      </c>
      <c r="Q76" s="611">
        <v>2.2859468815788357</v>
      </c>
      <c r="R76" s="611">
        <v>0</v>
      </c>
      <c r="S76" s="611">
        <v>1.4745088888888889</v>
      </c>
      <c r="T76" s="611">
        <v>4.5516825000000001</v>
      </c>
      <c r="U76" s="611">
        <v>0.35485889253622721</v>
      </c>
      <c r="V76" s="611">
        <v>127.64086592999999</v>
      </c>
      <c r="W76" s="611">
        <v>9.5887644444444451</v>
      </c>
      <c r="X76" s="611">
        <v>0</v>
      </c>
      <c r="Y76" s="619">
        <v>243.59928965013316</v>
      </c>
      <c r="Z76" s="51"/>
      <c r="AA76" s="51"/>
      <c r="AB76" s="51"/>
    </row>
    <row r="77" spans="1:28" x14ac:dyDescent="0.25">
      <c r="A77" s="51"/>
      <c r="B77" s="51">
        <f t="shared" si="5"/>
        <v>2020</v>
      </c>
      <c r="C77" s="51" t="str">
        <f t="shared" si="5"/>
        <v>AMS</v>
      </c>
      <c r="D77" s="51" t="s">
        <v>511</v>
      </c>
      <c r="E77" s="51"/>
      <c r="F77" s="51"/>
      <c r="G77" s="618" t="s">
        <v>82</v>
      </c>
      <c r="H77" s="611">
        <v>1.5371382629999998E-2</v>
      </c>
      <c r="I77" s="611">
        <v>0</v>
      </c>
      <c r="J77" s="611">
        <v>37.352212663167997</v>
      </c>
      <c r="K77" s="611">
        <v>0</v>
      </c>
      <c r="L77" s="611">
        <v>2.1964755</v>
      </c>
      <c r="M77" s="611">
        <v>0</v>
      </c>
      <c r="N77" s="611">
        <v>0</v>
      </c>
      <c r="O77" s="611">
        <v>0</v>
      </c>
      <c r="P77" s="611">
        <v>1.7493453935920653</v>
      </c>
      <c r="Q77" s="611">
        <v>0</v>
      </c>
      <c r="R77" s="611">
        <v>1.9048961095281811</v>
      </c>
      <c r="S77" s="611">
        <v>0.51119305555555561</v>
      </c>
      <c r="T77" s="611">
        <v>0</v>
      </c>
      <c r="U77" s="611">
        <v>0.29232166666666665</v>
      </c>
      <c r="V77" s="611">
        <v>8.079485</v>
      </c>
      <c r="W77" s="611">
        <v>0.18937333333333334</v>
      </c>
      <c r="X77" s="611">
        <v>0</v>
      </c>
      <c r="Y77" s="619">
        <v>52.290674104473801</v>
      </c>
      <c r="Z77" s="51"/>
      <c r="AA77" s="51"/>
      <c r="AB77" s="51"/>
    </row>
    <row r="78" spans="1:28" x14ac:dyDescent="0.25">
      <c r="A78" s="51"/>
      <c r="B78" s="51">
        <f t="shared" si="5"/>
        <v>2020</v>
      </c>
      <c r="C78" s="51" t="str">
        <f t="shared" si="5"/>
        <v>AMS</v>
      </c>
      <c r="D78" s="51" t="s">
        <v>512</v>
      </c>
      <c r="E78" s="51"/>
      <c r="F78" s="51"/>
      <c r="G78" s="618" t="s">
        <v>354</v>
      </c>
      <c r="H78" s="611">
        <v>0</v>
      </c>
      <c r="I78" s="611">
        <v>0</v>
      </c>
      <c r="J78" s="611">
        <v>0</v>
      </c>
      <c r="K78" s="611">
        <v>0</v>
      </c>
      <c r="L78" s="611">
        <v>0</v>
      </c>
      <c r="M78" s="611">
        <v>0</v>
      </c>
      <c r="N78" s="611">
        <v>0</v>
      </c>
      <c r="O78" s="611">
        <v>0</v>
      </c>
      <c r="P78" s="611">
        <v>0</v>
      </c>
      <c r="Q78" s="611">
        <v>0</v>
      </c>
      <c r="R78" s="611">
        <v>0</v>
      </c>
      <c r="S78" s="611">
        <v>0</v>
      </c>
      <c r="T78" s="611">
        <v>0</v>
      </c>
      <c r="U78" s="611">
        <v>0</v>
      </c>
      <c r="V78" s="611">
        <v>0</v>
      </c>
      <c r="W78" s="611">
        <v>0</v>
      </c>
      <c r="X78" s="611">
        <v>0</v>
      </c>
      <c r="Y78" s="619">
        <v>0</v>
      </c>
      <c r="Z78" s="51"/>
      <c r="AA78" s="51"/>
      <c r="AB78" s="51"/>
    </row>
    <row r="79" spans="1:28" x14ac:dyDescent="0.25">
      <c r="A79" s="51"/>
      <c r="B79" s="51">
        <f t="shared" si="5"/>
        <v>2020</v>
      </c>
      <c r="C79" s="51" t="str">
        <f t="shared" si="5"/>
        <v>AMS</v>
      </c>
      <c r="D79" s="51" t="s">
        <v>513</v>
      </c>
      <c r="E79" s="51"/>
      <c r="F79" s="51"/>
      <c r="G79" s="614" t="s">
        <v>83</v>
      </c>
      <c r="H79" s="622">
        <v>9.714544291650002</v>
      </c>
      <c r="I79" s="622">
        <v>0</v>
      </c>
      <c r="J79" s="622">
        <v>546.5151134823883</v>
      </c>
      <c r="K79" s="615">
        <v>0</v>
      </c>
      <c r="L79" s="622">
        <v>307.79545975000002</v>
      </c>
      <c r="M79" s="615">
        <v>0</v>
      </c>
      <c r="N79" s="622">
        <v>0</v>
      </c>
      <c r="O79" s="622">
        <v>0</v>
      </c>
      <c r="P79" s="622">
        <v>89.631369661912075</v>
      </c>
      <c r="Q79" s="622">
        <v>5.8545917562277001</v>
      </c>
      <c r="R79" s="622">
        <v>33.731429466673177</v>
      </c>
      <c r="S79" s="622">
        <v>2.9128985020312106</v>
      </c>
      <c r="T79" s="622">
        <v>32.65154555555555</v>
      </c>
      <c r="U79" s="622">
        <v>2.7271105977250834</v>
      </c>
      <c r="V79" s="622">
        <v>411.35941499999996</v>
      </c>
      <c r="W79" s="622">
        <v>41.664573167005962</v>
      </c>
      <c r="X79" s="622">
        <v>0</v>
      </c>
      <c r="Y79" s="622">
        <v>1484.5580512311692</v>
      </c>
      <c r="Z79" s="51"/>
      <c r="AA79" s="51"/>
      <c r="AB79" s="51"/>
    </row>
    <row r="80" spans="1:28" x14ac:dyDescent="0.25">
      <c r="A80" s="51"/>
      <c r="B80" s="51">
        <f t="shared" si="5"/>
        <v>2020</v>
      </c>
      <c r="C80" s="51" t="str">
        <f t="shared" si="5"/>
        <v>AMS</v>
      </c>
      <c r="D80" s="51" t="s">
        <v>514</v>
      </c>
      <c r="E80" s="51"/>
      <c r="F80" s="51"/>
      <c r="G80" s="610" t="s">
        <v>84</v>
      </c>
      <c r="H80" s="611">
        <v>2.8214338015700005</v>
      </c>
      <c r="I80" s="611">
        <v>0</v>
      </c>
      <c r="J80" s="611">
        <v>130.9502374537683</v>
      </c>
      <c r="K80" s="611">
        <v>0</v>
      </c>
      <c r="L80" s="611">
        <v>12.027936500000001</v>
      </c>
      <c r="M80" s="611">
        <v>0</v>
      </c>
      <c r="N80" s="611">
        <v>0</v>
      </c>
      <c r="O80" s="611">
        <v>0</v>
      </c>
      <c r="P80" s="611">
        <v>0</v>
      </c>
      <c r="Q80" s="611">
        <v>0</v>
      </c>
      <c r="R80" s="611">
        <v>0</v>
      </c>
      <c r="S80" s="611">
        <v>0</v>
      </c>
      <c r="T80" s="611">
        <v>0</v>
      </c>
      <c r="U80" s="611">
        <v>0</v>
      </c>
      <c r="V80" s="611">
        <v>0</v>
      </c>
      <c r="W80" s="611">
        <v>0</v>
      </c>
      <c r="X80" s="611">
        <v>0</v>
      </c>
      <c r="Y80" s="619">
        <v>145.79960775533831</v>
      </c>
      <c r="Z80" s="51"/>
      <c r="AA80" s="51"/>
      <c r="AB80" s="51"/>
    </row>
    <row r="81" spans="1:28" x14ac:dyDescent="0.25">
      <c r="A81" s="51"/>
      <c r="B81" s="51">
        <f t="shared" si="5"/>
        <v>2020</v>
      </c>
      <c r="C81" s="51" t="str">
        <f t="shared" si="5"/>
        <v>AMS</v>
      </c>
      <c r="D81" s="51" t="s">
        <v>515</v>
      </c>
      <c r="E81" s="51"/>
      <c r="F81" s="51"/>
      <c r="G81" s="614" t="s">
        <v>85</v>
      </c>
      <c r="H81" s="622">
        <v>12.535978093220002</v>
      </c>
      <c r="I81" s="622">
        <v>0</v>
      </c>
      <c r="J81" s="622">
        <v>677.4653509361566</v>
      </c>
      <c r="K81" s="615">
        <v>0</v>
      </c>
      <c r="L81" s="622">
        <v>319.82339625000003</v>
      </c>
      <c r="M81" s="615">
        <v>0</v>
      </c>
      <c r="N81" s="622">
        <v>0</v>
      </c>
      <c r="O81" s="622">
        <v>0</v>
      </c>
      <c r="P81" s="622">
        <v>89.631369661912075</v>
      </c>
      <c r="Q81" s="622">
        <v>5.8545917562277001</v>
      </c>
      <c r="R81" s="622">
        <v>33.731429466673177</v>
      </c>
      <c r="S81" s="622">
        <v>2.9128985020312106</v>
      </c>
      <c r="T81" s="622">
        <v>32.65154555555555</v>
      </c>
      <c r="U81" s="622">
        <v>2.7271105977250834</v>
      </c>
      <c r="V81" s="622">
        <v>411.35941499999996</v>
      </c>
      <c r="W81" s="622">
        <v>41.664573167005962</v>
      </c>
      <c r="X81" s="622">
        <v>0</v>
      </c>
      <c r="Y81" s="622">
        <v>1630.3576589865074</v>
      </c>
      <c r="Z81" s="51"/>
      <c r="AA81" s="51"/>
      <c r="AB81" s="51"/>
    </row>
    <row r="82" spans="1:28" x14ac:dyDescent="0.25">
      <c r="A82" s="51"/>
      <c r="B82" s="51"/>
      <c r="C82" s="51"/>
      <c r="D82" s="51"/>
      <c r="E82" s="51"/>
      <c r="F82" s="51"/>
      <c r="G82" s="51"/>
      <c r="H82" s="51"/>
      <c r="I82" s="51"/>
      <c r="J82" s="51"/>
      <c r="K82" s="67">
        <v>0</v>
      </c>
      <c r="L82" s="51"/>
      <c r="M82" s="51"/>
      <c r="N82" s="51"/>
      <c r="O82" s="51"/>
      <c r="P82" s="51"/>
      <c r="Q82" s="51"/>
      <c r="R82" s="51"/>
      <c r="S82" s="51"/>
      <c r="T82" s="51"/>
      <c r="U82" s="51"/>
      <c r="V82" s="51"/>
      <c r="W82" s="51"/>
      <c r="X82" s="51"/>
      <c r="Y82" s="51"/>
      <c r="Z82" s="51"/>
      <c r="AA82" s="51"/>
      <c r="AB82" s="51"/>
    </row>
    <row r="83" spans="1:28" x14ac:dyDescent="0.25">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row>
    <row r="84" spans="1:28" x14ac:dyDescent="0.25">
      <c r="A84" s="606"/>
      <c r="B84" s="606"/>
      <c r="C84" s="606"/>
      <c r="D84" s="606"/>
      <c r="E84" s="606"/>
      <c r="F84" s="606"/>
      <c r="G84" s="607" t="s">
        <v>355</v>
      </c>
      <c r="H84" s="606"/>
      <c r="I84" s="606"/>
      <c r="J84" s="606"/>
      <c r="K84" s="606"/>
      <c r="L84" s="606"/>
      <c r="M84" s="606"/>
      <c r="N84" s="606"/>
      <c r="O84" s="606"/>
      <c r="P84" s="606"/>
      <c r="Q84" s="606"/>
      <c r="R84" s="606"/>
      <c r="S84" s="606"/>
      <c r="T84" s="606"/>
      <c r="U84" s="606"/>
      <c r="V84" s="606"/>
      <c r="W84" s="606"/>
      <c r="X84" s="606"/>
      <c r="Y84" s="606"/>
      <c r="Z84" s="606"/>
      <c r="AA84" s="606"/>
      <c r="AB84" s="606"/>
    </row>
    <row r="85" spans="1:28" x14ac:dyDescent="0.2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row>
    <row r="86" spans="1:28" ht="14.25" customHeight="1" x14ac:dyDescent="0.25">
      <c r="A86" s="51"/>
      <c r="B86" s="51"/>
      <c r="C86" s="51"/>
      <c r="D86" s="51"/>
      <c r="E86" s="51"/>
      <c r="F86" s="51"/>
      <c r="G86" s="764" t="s">
        <v>128</v>
      </c>
      <c r="H86" s="753" t="s">
        <v>42</v>
      </c>
      <c r="I86" s="753" t="s">
        <v>52</v>
      </c>
      <c r="J86" s="753" t="s">
        <v>53</v>
      </c>
      <c r="K86" s="753" t="s">
        <v>482</v>
      </c>
      <c r="L86" s="753" t="s">
        <v>32</v>
      </c>
      <c r="M86" s="753" t="s">
        <v>483</v>
      </c>
      <c r="N86" s="753" t="s">
        <v>20</v>
      </c>
      <c r="O86" s="753" t="s">
        <v>55</v>
      </c>
      <c r="P86" s="761" t="s">
        <v>56</v>
      </c>
      <c r="Q86" s="762"/>
      <c r="R86" s="762"/>
      <c r="S86" s="762"/>
      <c r="T86" s="762"/>
      <c r="U86" s="763"/>
      <c r="V86" s="753" t="s">
        <v>57</v>
      </c>
      <c r="W86" s="753" t="s">
        <v>58</v>
      </c>
      <c r="X86" s="753" t="s">
        <v>31</v>
      </c>
      <c r="Y86" s="753" t="s">
        <v>10</v>
      </c>
      <c r="Z86" s="51"/>
      <c r="AA86" s="51"/>
      <c r="AB86" s="51"/>
    </row>
    <row r="87" spans="1:28" ht="24" x14ac:dyDescent="0.25">
      <c r="A87" s="51" t="s">
        <v>516</v>
      </c>
      <c r="B87" s="51" t="s">
        <v>484</v>
      </c>
      <c r="C87" s="51" t="s">
        <v>485</v>
      </c>
      <c r="D87" s="51" t="s">
        <v>486</v>
      </c>
      <c r="E87" s="51" t="s">
        <v>517</v>
      </c>
      <c r="F87" s="51"/>
      <c r="G87" s="765"/>
      <c r="H87" s="754"/>
      <c r="I87" s="754"/>
      <c r="J87" s="754"/>
      <c r="K87" s="754"/>
      <c r="L87" s="754"/>
      <c r="M87" s="754"/>
      <c r="N87" s="754"/>
      <c r="O87" s="754"/>
      <c r="P87" s="608" t="s">
        <v>335</v>
      </c>
      <c r="Q87" s="608" t="s">
        <v>40</v>
      </c>
      <c r="R87" s="608" t="s">
        <v>343</v>
      </c>
      <c r="S87" s="608" t="s">
        <v>344</v>
      </c>
      <c r="T87" s="609" t="s">
        <v>345</v>
      </c>
      <c r="U87" s="608" t="s">
        <v>346</v>
      </c>
      <c r="V87" s="754"/>
      <c r="W87" s="754"/>
      <c r="X87" s="754"/>
      <c r="Y87" s="754"/>
      <c r="Z87" s="51"/>
      <c r="AA87" s="51"/>
      <c r="AB87" s="51"/>
    </row>
    <row r="88" spans="1:28" x14ac:dyDescent="0.25">
      <c r="A88" s="51" t="e">
        <f>ROW(#REF!)</f>
        <v>#REF!</v>
      </c>
      <c r="B88" s="51">
        <v>2023</v>
      </c>
      <c r="C88" s="51" t="s">
        <v>47</v>
      </c>
      <c r="D88" s="51" t="s">
        <v>487</v>
      </c>
      <c r="E88" s="51" t="e">
        <f>VLOOKUP($H$6,#REF!,2,FALSE)</f>
        <v>#REF!</v>
      </c>
      <c r="F88" s="51"/>
      <c r="G88" s="610" t="s">
        <v>59</v>
      </c>
      <c r="H88" s="611">
        <v>0</v>
      </c>
      <c r="I88" s="611">
        <v>9.7691999999999997</v>
      </c>
      <c r="J88" s="611">
        <v>0</v>
      </c>
      <c r="K88" s="611">
        <v>0</v>
      </c>
      <c r="L88" s="611">
        <v>0.18608000000000002</v>
      </c>
      <c r="M88" s="611">
        <v>0</v>
      </c>
      <c r="N88" s="620">
        <v>1053.5890909090911</v>
      </c>
      <c r="O88" s="620">
        <v>140.80876550165527</v>
      </c>
      <c r="P88" s="620">
        <v>211.56428068204218</v>
      </c>
      <c r="Q88" s="620">
        <v>28.846508757618857</v>
      </c>
      <c r="R88" s="611">
        <v>1.2541050018668516</v>
      </c>
      <c r="S88" s="611">
        <v>0.16066538698047411</v>
      </c>
      <c r="T88" s="620">
        <v>51.691578550496644</v>
      </c>
      <c r="U88" s="620">
        <v>7.2966333603269149</v>
      </c>
      <c r="V88" s="611">
        <v>0</v>
      </c>
      <c r="W88" s="611">
        <v>0</v>
      </c>
      <c r="X88" s="611">
        <v>0</v>
      </c>
      <c r="Y88" s="621">
        <v>1505.1669081500781</v>
      </c>
      <c r="Z88" s="51"/>
      <c r="AA88" s="51"/>
      <c r="AB88" s="51"/>
    </row>
    <row r="89" spans="1:28" x14ac:dyDescent="0.25">
      <c r="A89" s="51" t="e">
        <f t="shared" ref="A89:A94" si="6">A88+1</f>
        <v>#REF!</v>
      </c>
      <c r="B89" s="51">
        <f t="shared" ref="B89:C94" si="7">B88</f>
        <v>2023</v>
      </c>
      <c r="C89" s="51" t="str">
        <f t="shared" si="7"/>
        <v>AMS</v>
      </c>
      <c r="D89" s="51" t="s">
        <v>488</v>
      </c>
      <c r="E89" s="51" t="e">
        <f>VLOOKUP($H$6,#REF!,2,FALSE)</f>
        <v>#REF!</v>
      </c>
      <c r="F89" s="51"/>
      <c r="G89" s="610" t="s">
        <v>60</v>
      </c>
      <c r="H89" s="611">
        <v>55.381963306879783</v>
      </c>
      <c r="I89" s="611">
        <v>462.05884439413359</v>
      </c>
      <c r="J89" s="611">
        <v>258.77539609169685</v>
      </c>
      <c r="K89" s="611">
        <v>0.4821984357974316</v>
      </c>
      <c r="L89" s="611">
        <v>373.52108413615281</v>
      </c>
      <c r="M89" s="611">
        <v>0</v>
      </c>
      <c r="N89" s="611">
        <v>0</v>
      </c>
      <c r="O89" s="611">
        <v>0</v>
      </c>
      <c r="P89" s="611">
        <v>1.7064184013992112</v>
      </c>
      <c r="Q89" s="611">
        <v>0</v>
      </c>
      <c r="R89" s="611">
        <v>2.499440757084872</v>
      </c>
      <c r="S89" s="611">
        <v>0</v>
      </c>
      <c r="T89" s="611">
        <v>0</v>
      </c>
      <c r="U89" s="611">
        <v>0</v>
      </c>
      <c r="V89" s="611">
        <v>0</v>
      </c>
      <c r="W89" s="611">
        <v>0</v>
      </c>
      <c r="X89" s="611">
        <v>0</v>
      </c>
      <c r="Y89" s="621">
        <v>1154.4253455231446</v>
      </c>
      <c r="Z89" s="51"/>
      <c r="AA89" s="51"/>
      <c r="AB89" s="51"/>
    </row>
    <row r="90" spans="1:28" x14ac:dyDescent="0.25">
      <c r="A90" s="51" t="e">
        <f t="shared" si="6"/>
        <v>#REF!</v>
      </c>
      <c r="B90" s="51">
        <f t="shared" si="7"/>
        <v>2023</v>
      </c>
      <c r="C90" s="51" t="str">
        <f t="shared" si="7"/>
        <v>AMS</v>
      </c>
      <c r="D90" s="51" t="s">
        <v>489</v>
      </c>
      <c r="E90" s="51" t="e">
        <f>VLOOKUP($H$6,#REF!,2,FALSE)</f>
        <v>#REF!</v>
      </c>
      <c r="F90" s="51"/>
      <c r="G90" s="610" t="s">
        <v>61</v>
      </c>
      <c r="H90" s="611">
        <v>0</v>
      </c>
      <c r="I90" s="611">
        <v>0</v>
      </c>
      <c r="J90" s="611">
        <v>-1.2209185925395749</v>
      </c>
      <c r="K90" s="611">
        <v>0</v>
      </c>
      <c r="L90" s="611">
        <v>0</v>
      </c>
      <c r="M90" s="611">
        <v>0</v>
      </c>
      <c r="N90" s="611">
        <v>0</v>
      </c>
      <c r="O90" s="611">
        <v>0</v>
      </c>
      <c r="P90" s="611">
        <v>0</v>
      </c>
      <c r="Q90" s="611">
        <v>0</v>
      </c>
      <c r="R90" s="611">
        <v>0</v>
      </c>
      <c r="S90" s="611">
        <v>0</v>
      </c>
      <c r="T90" s="611">
        <v>0</v>
      </c>
      <c r="U90" s="611">
        <v>0</v>
      </c>
      <c r="V90" s="611">
        <v>-44.876679511255588</v>
      </c>
      <c r="W90" s="611">
        <v>0</v>
      </c>
      <c r="X90" s="611">
        <v>0</v>
      </c>
      <c r="Y90" s="621">
        <v>-46.097598103795164</v>
      </c>
      <c r="Z90" s="51"/>
      <c r="AA90" s="51"/>
      <c r="AB90" s="51"/>
    </row>
    <row r="91" spans="1:28" x14ac:dyDescent="0.25">
      <c r="A91" s="51" t="e">
        <f t="shared" si="6"/>
        <v>#REF!</v>
      </c>
      <c r="B91" s="51">
        <f t="shared" si="7"/>
        <v>2023</v>
      </c>
      <c r="C91" s="51" t="str">
        <f t="shared" si="7"/>
        <v>AMS</v>
      </c>
      <c r="D91" s="51" t="s">
        <v>490</v>
      </c>
      <c r="E91" s="51" t="e">
        <f>VLOOKUP($H$6,#REF!,2,FALSE)</f>
        <v>#REF!</v>
      </c>
      <c r="F91" s="51"/>
      <c r="G91" s="610" t="s">
        <v>62</v>
      </c>
      <c r="H91" s="611">
        <v>0</v>
      </c>
      <c r="I91" s="611">
        <v>0</v>
      </c>
      <c r="J91" s="611">
        <v>-18.690118059591438</v>
      </c>
      <c r="K91" s="611">
        <v>0</v>
      </c>
      <c r="L91" s="611">
        <v>-0.63746853416095417</v>
      </c>
      <c r="M91" s="611">
        <v>0</v>
      </c>
      <c r="N91" s="611">
        <v>0</v>
      </c>
      <c r="O91" s="611">
        <v>0</v>
      </c>
      <c r="P91" s="611">
        <v>0</v>
      </c>
      <c r="Q91" s="611">
        <v>0</v>
      </c>
      <c r="R91" s="611">
        <v>-0.21915172379020703</v>
      </c>
      <c r="S91" s="611">
        <v>-1.9986637209666883E-2</v>
      </c>
      <c r="T91" s="611">
        <v>0</v>
      </c>
      <c r="U91" s="611">
        <v>0</v>
      </c>
      <c r="V91" s="611">
        <v>0</v>
      </c>
      <c r="W91" s="611">
        <v>0</v>
      </c>
      <c r="X91" s="611">
        <v>0</v>
      </c>
      <c r="Y91" s="621">
        <v>-19.566724954752267</v>
      </c>
      <c r="Z91" s="51"/>
      <c r="AA91" s="51"/>
      <c r="AB91" s="51"/>
    </row>
    <row r="92" spans="1:28" x14ac:dyDescent="0.25">
      <c r="A92" s="51" t="e">
        <f t="shared" si="6"/>
        <v>#REF!</v>
      </c>
      <c r="B92" s="51">
        <f t="shared" si="7"/>
        <v>2023</v>
      </c>
      <c r="C92" s="51" t="str">
        <f t="shared" si="7"/>
        <v>AMS</v>
      </c>
      <c r="D92" s="51" t="s">
        <v>491</v>
      </c>
      <c r="E92" s="51" t="e">
        <f>VLOOKUP($H$6,#REF!,2,FALSE)</f>
        <v>#REF!</v>
      </c>
      <c r="F92" s="51"/>
      <c r="G92" s="610" t="s">
        <v>63</v>
      </c>
      <c r="H92" s="611">
        <v>0</v>
      </c>
      <c r="I92" s="611">
        <v>0</v>
      </c>
      <c r="J92" s="611">
        <v>-61.207306845856941</v>
      </c>
      <c r="K92" s="611">
        <v>-2.3572892961241775E-2</v>
      </c>
      <c r="L92" s="611">
        <v>0</v>
      </c>
      <c r="M92" s="611">
        <v>0</v>
      </c>
      <c r="N92" s="611">
        <v>0</v>
      </c>
      <c r="O92" s="611">
        <v>0</v>
      </c>
      <c r="P92" s="611">
        <v>0</v>
      </c>
      <c r="Q92" s="611">
        <v>0</v>
      </c>
      <c r="R92" s="611">
        <v>-0.99044454483745525</v>
      </c>
      <c r="S92" s="611">
        <v>0</v>
      </c>
      <c r="T92" s="611">
        <v>0</v>
      </c>
      <c r="U92" s="611">
        <v>0</v>
      </c>
      <c r="V92" s="611">
        <v>0</v>
      </c>
      <c r="W92" s="611">
        <v>0</v>
      </c>
      <c r="X92" s="611">
        <v>0</v>
      </c>
      <c r="Y92" s="621">
        <v>-62.221324283655633</v>
      </c>
      <c r="Z92" s="51"/>
      <c r="AA92" s="51"/>
      <c r="AB92" s="51"/>
    </row>
    <row r="93" spans="1:28" x14ac:dyDescent="0.25">
      <c r="A93" s="51" t="e">
        <f t="shared" si="6"/>
        <v>#REF!</v>
      </c>
      <c r="B93" s="51">
        <f t="shared" si="7"/>
        <v>2023</v>
      </c>
      <c r="C93" s="51" t="str">
        <f t="shared" si="7"/>
        <v>AMS</v>
      </c>
      <c r="D93" s="51" t="s">
        <v>492</v>
      </c>
      <c r="E93" s="51" t="e">
        <f>VLOOKUP($H$6,#REF!,2,FALSE)</f>
        <v>#REF!</v>
      </c>
      <c r="F93" s="51"/>
      <c r="G93" s="610" t="s">
        <v>64</v>
      </c>
      <c r="H93" s="611">
        <v>9.7684723496666986E-2</v>
      </c>
      <c r="I93" s="611">
        <v>-5.9567697000000003E-2</v>
      </c>
      <c r="J93" s="611">
        <v>3.8766666666666671E-2</v>
      </c>
      <c r="K93" s="611">
        <v>0</v>
      </c>
      <c r="L93" s="611">
        <v>0</v>
      </c>
      <c r="M93" s="611">
        <v>0</v>
      </c>
      <c r="N93" s="611">
        <v>0</v>
      </c>
      <c r="O93" s="611">
        <v>0</v>
      </c>
      <c r="P93" s="611">
        <v>0</v>
      </c>
      <c r="Q93" s="611">
        <v>0</v>
      </c>
      <c r="R93" s="611">
        <v>0</v>
      </c>
      <c r="S93" s="611">
        <v>0</v>
      </c>
      <c r="T93" s="611">
        <v>0</v>
      </c>
      <c r="U93" s="611">
        <v>0</v>
      </c>
      <c r="V93" s="611">
        <v>0</v>
      </c>
      <c r="W93" s="611">
        <v>0</v>
      </c>
      <c r="X93" s="611">
        <v>0</v>
      </c>
      <c r="Y93" s="621">
        <v>7.6883693163333655E-2</v>
      </c>
      <c r="Z93" s="51"/>
      <c r="AA93" s="51"/>
      <c r="AB93" s="51"/>
    </row>
    <row r="94" spans="1:28" x14ac:dyDescent="0.25">
      <c r="A94" s="51" t="e">
        <f t="shared" si="6"/>
        <v>#REF!</v>
      </c>
      <c r="B94" s="51">
        <f t="shared" si="7"/>
        <v>2023</v>
      </c>
      <c r="C94" s="51" t="str">
        <f t="shared" si="7"/>
        <v>AMS</v>
      </c>
      <c r="D94" s="51" t="s">
        <v>493</v>
      </c>
      <c r="E94" s="51" t="e">
        <f>VLOOKUP($H$6,#REF!,2,FALSE)</f>
        <v>#REF!</v>
      </c>
      <c r="F94" s="51"/>
      <c r="G94" s="614" t="s">
        <v>65</v>
      </c>
      <c r="H94" s="622">
        <v>55.479648030376453</v>
      </c>
      <c r="I94" s="622">
        <v>471.76847669713356</v>
      </c>
      <c r="J94" s="622">
        <v>177.6958192603756</v>
      </c>
      <c r="K94" s="615">
        <v>0.45862554283618984</v>
      </c>
      <c r="L94" s="622">
        <v>373.06969560199184</v>
      </c>
      <c r="M94" s="615">
        <v>0</v>
      </c>
      <c r="N94" s="622">
        <v>1053.5890909090911</v>
      </c>
      <c r="O94" s="622">
        <v>140.80876550165527</v>
      </c>
      <c r="P94" s="622">
        <v>213.2706990834414</v>
      </c>
      <c r="Q94" s="622">
        <v>28.846508757618857</v>
      </c>
      <c r="R94" s="622">
        <v>2.5439494903240614</v>
      </c>
      <c r="S94" s="622">
        <v>0.14067874977080724</v>
      </c>
      <c r="T94" s="622">
        <v>51.691578550496644</v>
      </c>
      <c r="U94" s="622">
        <v>7.2966333603269149</v>
      </c>
      <c r="V94" s="622">
        <v>-44.876679511255588</v>
      </c>
      <c r="W94" s="622">
        <v>0</v>
      </c>
      <c r="X94" s="622">
        <v>0</v>
      </c>
      <c r="Y94" s="622">
        <v>2531.7834900241833</v>
      </c>
      <c r="Z94" s="51"/>
      <c r="AA94" s="51"/>
      <c r="AB94" s="51"/>
    </row>
    <row r="95" spans="1:28" x14ac:dyDescent="0.25">
      <c r="A95" s="51"/>
      <c r="B95" s="51"/>
      <c r="C95" s="51"/>
      <c r="D95" s="51"/>
      <c r="E95" s="51"/>
      <c r="F95" s="51"/>
      <c r="G95" s="616"/>
      <c r="H95" s="623">
        <v>0</v>
      </c>
      <c r="I95" s="623">
        <v>0</v>
      </c>
      <c r="J95" s="623">
        <v>0</v>
      </c>
      <c r="K95" s="617">
        <v>0</v>
      </c>
      <c r="L95" s="623">
        <v>0</v>
      </c>
      <c r="M95" s="617">
        <v>0</v>
      </c>
      <c r="N95" s="623">
        <v>0</v>
      </c>
      <c r="O95" s="623">
        <v>0</v>
      </c>
      <c r="P95" s="623">
        <v>0</v>
      </c>
      <c r="Q95" s="623">
        <v>0</v>
      </c>
      <c r="R95" s="623">
        <v>0</v>
      </c>
      <c r="S95" s="623">
        <v>0</v>
      </c>
      <c r="T95" s="623">
        <v>0</v>
      </c>
      <c r="U95" s="623">
        <v>0</v>
      </c>
      <c r="V95" s="623">
        <v>0</v>
      </c>
      <c r="W95" s="623">
        <v>0</v>
      </c>
      <c r="X95" s="623">
        <v>0</v>
      </c>
      <c r="Y95" s="623">
        <v>0</v>
      </c>
      <c r="Z95" s="51"/>
      <c r="AA95" s="51"/>
      <c r="AB95" s="51"/>
    </row>
    <row r="96" spans="1:28" x14ac:dyDescent="0.25">
      <c r="A96" s="51" t="e">
        <f>A94+2</f>
        <v>#REF!</v>
      </c>
      <c r="B96" s="51">
        <f>B94</f>
        <v>2023</v>
      </c>
      <c r="C96" s="51" t="str">
        <f>C94</f>
        <v>AMS</v>
      </c>
      <c r="D96" s="51" t="s">
        <v>494</v>
      </c>
      <c r="E96" s="51" t="e">
        <f>VLOOKUP($H$6,#REF!,2,FALSE)</f>
        <v>#REF!</v>
      </c>
      <c r="F96" s="51"/>
      <c r="G96" s="618" t="s">
        <v>67</v>
      </c>
      <c r="H96" s="611">
        <v>0</v>
      </c>
      <c r="I96" s="611">
        <v>4.3623690669338813E-2</v>
      </c>
      <c r="J96" s="611">
        <v>-0.43976848620269193</v>
      </c>
      <c r="K96" s="611">
        <v>0</v>
      </c>
      <c r="L96" s="611">
        <v>0</v>
      </c>
      <c r="M96" s="611">
        <v>0</v>
      </c>
      <c r="N96" s="611">
        <v>0</v>
      </c>
      <c r="O96" s="611">
        <v>0</v>
      </c>
      <c r="P96" s="611">
        <v>0</v>
      </c>
      <c r="Q96" s="611">
        <v>0</v>
      </c>
      <c r="R96" s="611">
        <v>0</v>
      </c>
      <c r="S96" s="611">
        <v>0</v>
      </c>
      <c r="T96" s="611">
        <v>0</v>
      </c>
      <c r="U96" s="611">
        <v>0</v>
      </c>
      <c r="V96" s="611">
        <v>0.19176325930063415</v>
      </c>
      <c r="W96" s="611">
        <v>0</v>
      </c>
      <c r="X96" s="611">
        <v>0</v>
      </c>
      <c r="Y96" s="619">
        <v>-0.20438153623271899</v>
      </c>
      <c r="Z96" s="51"/>
      <c r="AA96" s="51"/>
      <c r="AB96" s="51"/>
    </row>
    <row r="97" spans="1:28" x14ac:dyDescent="0.25">
      <c r="A97" s="51" t="e">
        <f t="shared" ref="A97:A108" si="8">A96+1</f>
        <v>#REF!</v>
      </c>
      <c r="B97" s="51">
        <f t="shared" ref="B97:C108" si="9">B96</f>
        <v>2023</v>
      </c>
      <c r="C97" s="51" t="str">
        <f t="shared" si="9"/>
        <v>AMS</v>
      </c>
      <c r="D97" s="51" t="s">
        <v>495</v>
      </c>
      <c r="E97" s="51" t="e">
        <f>VLOOKUP($H$6,#REF!,2,FALSE)</f>
        <v>#REF!</v>
      </c>
      <c r="F97" s="51"/>
      <c r="G97" s="618" t="s">
        <v>347</v>
      </c>
      <c r="H97" s="611">
        <v>6.8845296447860136</v>
      </c>
      <c r="I97" s="611">
        <v>0</v>
      </c>
      <c r="J97" s="611">
        <v>8.9608656289106836</v>
      </c>
      <c r="K97" s="611">
        <v>0</v>
      </c>
      <c r="L97" s="611">
        <v>46.648997158972115</v>
      </c>
      <c r="M97" s="611">
        <v>0</v>
      </c>
      <c r="N97" s="611">
        <v>1053.5890909090911</v>
      </c>
      <c r="O97" s="611">
        <v>140.80876550165527</v>
      </c>
      <c r="P97" s="611">
        <v>35.964632638361529</v>
      </c>
      <c r="Q97" s="611">
        <v>11.704080283712768</v>
      </c>
      <c r="R97" s="611">
        <v>3.7008210788065874</v>
      </c>
      <c r="S97" s="611">
        <v>5.9958333108106707</v>
      </c>
      <c r="T97" s="611">
        <v>0</v>
      </c>
      <c r="U97" s="611">
        <v>0.58332819125492874</v>
      </c>
      <c r="V97" s="611">
        <v>-536.95314024573702</v>
      </c>
      <c r="W97" s="611">
        <v>0</v>
      </c>
      <c r="X97" s="611">
        <v>0</v>
      </c>
      <c r="Y97" s="619">
        <v>777.88780410062475</v>
      </c>
      <c r="Z97" s="51"/>
      <c r="AA97" s="51"/>
      <c r="AB97" s="51"/>
    </row>
    <row r="98" spans="1:28" x14ac:dyDescent="0.25">
      <c r="A98" s="51" t="e">
        <f t="shared" si="8"/>
        <v>#REF!</v>
      </c>
      <c r="B98" s="51">
        <f t="shared" si="9"/>
        <v>2023</v>
      </c>
      <c r="C98" s="51" t="str">
        <f t="shared" si="9"/>
        <v>AMS</v>
      </c>
      <c r="D98" s="51" t="s">
        <v>496</v>
      </c>
      <c r="E98" s="51" t="e">
        <f>VLOOKUP($H$6,#REF!,2,FALSE)</f>
        <v>#REF!</v>
      </c>
      <c r="F98" s="51"/>
      <c r="G98" s="618" t="s">
        <v>348</v>
      </c>
      <c r="H98" s="611">
        <v>0.51386910718324508</v>
      </c>
      <c r="I98" s="611">
        <v>0</v>
      </c>
      <c r="J98" s="611">
        <v>7.6404494382022473E-2</v>
      </c>
      <c r="K98" s="611">
        <v>0</v>
      </c>
      <c r="L98" s="611">
        <v>18.437939298309416</v>
      </c>
      <c r="M98" s="611">
        <v>0</v>
      </c>
      <c r="N98" s="611">
        <v>0</v>
      </c>
      <c r="O98" s="611">
        <v>0</v>
      </c>
      <c r="P98" s="611">
        <v>21.79805888469869</v>
      </c>
      <c r="Q98" s="611">
        <v>14.969732959042592</v>
      </c>
      <c r="R98" s="611">
        <v>0</v>
      </c>
      <c r="S98" s="611">
        <v>3.0216984697001137</v>
      </c>
      <c r="T98" s="611">
        <v>0</v>
      </c>
      <c r="U98" s="611">
        <v>4.3023879699163166</v>
      </c>
      <c r="V98" s="611">
        <v>0</v>
      </c>
      <c r="W98" s="611">
        <v>-56.500241406713869</v>
      </c>
      <c r="X98" s="611">
        <v>0</v>
      </c>
      <c r="Y98" s="619">
        <v>6.61984977651852</v>
      </c>
      <c r="Z98" s="51"/>
      <c r="AA98" s="51"/>
      <c r="AB98" s="51"/>
    </row>
    <row r="99" spans="1:28" x14ac:dyDescent="0.25">
      <c r="A99" s="51" t="e">
        <f t="shared" si="8"/>
        <v>#REF!</v>
      </c>
      <c r="B99" s="51">
        <f t="shared" si="9"/>
        <v>2023</v>
      </c>
      <c r="C99" s="51" t="str">
        <f t="shared" si="9"/>
        <v>AMS</v>
      </c>
      <c r="D99" s="51" t="s">
        <v>497</v>
      </c>
      <c r="E99" s="51" t="e">
        <f>VLOOKUP($H$6,#REF!,2,FALSE)</f>
        <v>#REF!</v>
      </c>
      <c r="F99" s="51"/>
      <c r="G99" s="618" t="s">
        <v>349</v>
      </c>
      <c r="H99" s="611">
        <v>0</v>
      </c>
      <c r="I99" s="611">
        <v>0</v>
      </c>
      <c r="J99" s="611">
        <v>0</v>
      </c>
      <c r="K99" s="611">
        <v>0</v>
      </c>
      <c r="L99" s="611">
        <v>0</v>
      </c>
      <c r="M99" s="611">
        <v>0</v>
      </c>
      <c r="N99" s="611">
        <v>0</v>
      </c>
      <c r="O99" s="611">
        <v>0</v>
      </c>
      <c r="P99" s="611">
        <v>19.890638456413971</v>
      </c>
      <c r="Q99" s="611">
        <v>0</v>
      </c>
      <c r="R99" s="611">
        <v>0</v>
      </c>
      <c r="S99" s="611">
        <v>-18.500220621845841</v>
      </c>
      <c r="T99" s="611">
        <v>0</v>
      </c>
      <c r="U99" s="611">
        <v>0</v>
      </c>
      <c r="V99" s="611">
        <v>0</v>
      </c>
      <c r="W99" s="611">
        <v>0</v>
      </c>
      <c r="X99" s="611">
        <v>0</v>
      </c>
      <c r="Y99" s="619">
        <v>1.3904178345681295</v>
      </c>
      <c r="Z99" s="51"/>
      <c r="AA99" s="51"/>
      <c r="AB99" s="51"/>
    </row>
    <row r="100" spans="1:28" x14ac:dyDescent="0.25">
      <c r="A100" s="51" t="e">
        <f t="shared" si="8"/>
        <v>#REF!</v>
      </c>
      <c r="B100" s="51">
        <f t="shared" si="9"/>
        <v>2023</v>
      </c>
      <c r="C100" s="51" t="str">
        <f t="shared" si="9"/>
        <v>AMS</v>
      </c>
      <c r="D100" s="51" t="s">
        <v>498</v>
      </c>
      <c r="E100" s="51" t="e">
        <f>VLOOKUP($H$6,#REF!,2,FALSE)</f>
        <v>#REF!</v>
      </c>
      <c r="F100" s="51"/>
      <c r="G100" s="618" t="s">
        <v>350</v>
      </c>
      <c r="H100" s="611">
        <v>0</v>
      </c>
      <c r="I100" s="611">
        <v>0</v>
      </c>
      <c r="J100" s="611">
        <v>0</v>
      </c>
      <c r="K100" s="611">
        <v>0</v>
      </c>
      <c r="L100" s="611">
        <v>0</v>
      </c>
      <c r="M100" s="611">
        <v>0</v>
      </c>
      <c r="N100" s="611">
        <v>0</v>
      </c>
      <c r="O100" s="611">
        <v>0</v>
      </c>
      <c r="P100" s="611">
        <v>0</v>
      </c>
      <c r="Q100" s="611">
        <v>0</v>
      </c>
      <c r="R100" s="611">
        <v>0</v>
      </c>
      <c r="S100" s="611">
        <v>0</v>
      </c>
      <c r="T100" s="611">
        <v>0</v>
      </c>
      <c r="U100" s="611">
        <v>0</v>
      </c>
      <c r="V100" s="611">
        <v>0</v>
      </c>
      <c r="W100" s="611">
        <v>0</v>
      </c>
      <c r="X100" s="611">
        <v>0</v>
      </c>
      <c r="Y100" s="619">
        <v>0</v>
      </c>
      <c r="Z100" s="51"/>
      <c r="AA100" s="51"/>
      <c r="AB100" s="51"/>
    </row>
    <row r="101" spans="1:28" x14ac:dyDescent="0.25">
      <c r="A101" s="51" t="e">
        <f t="shared" si="8"/>
        <v>#REF!</v>
      </c>
      <c r="B101" s="51">
        <f t="shared" si="9"/>
        <v>2023</v>
      </c>
      <c r="C101" s="51" t="str">
        <f t="shared" si="9"/>
        <v>AMS</v>
      </c>
      <c r="D101" s="51" t="s">
        <v>499</v>
      </c>
      <c r="E101" s="51" t="e">
        <f>VLOOKUP($H$6,#REF!,2,FALSE)</f>
        <v>#REF!</v>
      </c>
      <c r="F101" s="51"/>
      <c r="G101" s="618" t="s">
        <v>72</v>
      </c>
      <c r="H101" s="611">
        <v>0</v>
      </c>
      <c r="I101" s="611">
        <v>488.94348991796431</v>
      </c>
      <c r="J101" s="611">
        <v>-484.0817118369651</v>
      </c>
      <c r="K101" s="611">
        <v>0</v>
      </c>
      <c r="L101" s="611">
        <v>0</v>
      </c>
      <c r="M101" s="611">
        <v>0</v>
      </c>
      <c r="N101" s="611">
        <v>0</v>
      </c>
      <c r="O101" s="611">
        <v>0</v>
      </c>
      <c r="P101" s="611">
        <v>0</v>
      </c>
      <c r="Q101" s="611">
        <v>0</v>
      </c>
      <c r="R101" s="611">
        <v>0</v>
      </c>
      <c r="S101" s="611">
        <v>0</v>
      </c>
      <c r="T101" s="611">
        <v>0</v>
      </c>
      <c r="U101" s="611">
        <v>0</v>
      </c>
      <c r="V101" s="611">
        <v>0</v>
      </c>
      <c r="W101" s="611">
        <v>0</v>
      </c>
      <c r="X101" s="611">
        <v>0</v>
      </c>
      <c r="Y101" s="619">
        <v>4.8617780809992377</v>
      </c>
      <c r="Z101" s="51"/>
      <c r="AA101" s="51"/>
      <c r="AB101" s="51"/>
    </row>
    <row r="102" spans="1:28" x14ac:dyDescent="0.25">
      <c r="A102" s="51" t="e">
        <f t="shared" si="8"/>
        <v>#REF!</v>
      </c>
      <c r="B102" s="51">
        <f t="shared" si="9"/>
        <v>2023</v>
      </c>
      <c r="C102" s="51" t="str">
        <f t="shared" si="9"/>
        <v>AMS</v>
      </c>
      <c r="D102" s="51" t="s">
        <v>500</v>
      </c>
      <c r="E102" s="51" t="e">
        <f>VLOOKUP($H$6,#REF!,2,FALSE)</f>
        <v>#REF!</v>
      </c>
      <c r="F102" s="51"/>
      <c r="G102" s="618" t="s">
        <v>351</v>
      </c>
      <c r="H102" s="611">
        <v>0</v>
      </c>
      <c r="I102" s="611">
        <v>0</v>
      </c>
      <c r="J102" s="611">
        <v>0</v>
      </c>
      <c r="K102" s="611">
        <v>0</v>
      </c>
      <c r="L102" s="611">
        <v>0</v>
      </c>
      <c r="M102" s="611">
        <v>0</v>
      </c>
      <c r="N102" s="611">
        <v>0</v>
      </c>
      <c r="O102" s="611">
        <v>0</v>
      </c>
      <c r="P102" s="611">
        <v>46.704417237442101</v>
      </c>
      <c r="Q102" s="611">
        <v>0</v>
      </c>
      <c r="R102" s="611">
        <v>-46.704417237442101</v>
      </c>
      <c r="S102" s="611">
        <v>0</v>
      </c>
      <c r="T102" s="611">
        <v>0</v>
      </c>
      <c r="U102" s="611">
        <v>0</v>
      </c>
      <c r="V102" s="611">
        <v>0</v>
      </c>
      <c r="W102" s="611">
        <v>0</v>
      </c>
      <c r="X102" s="611">
        <v>0</v>
      </c>
      <c r="Y102" s="619">
        <v>0</v>
      </c>
      <c r="Z102" s="51"/>
      <c r="AA102" s="51"/>
      <c r="AB102" s="51"/>
    </row>
    <row r="103" spans="1:28" x14ac:dyDescent="0.25">
      <c r="A103" s="51" t="e">
        <f t="shared" si="8"/>
        <v>#REF!</v>
      </c>
      <c r="B103" s="51">
        <f t="shared" si="9"/>
        <v>2023</v>
      </c>
      <c r="C103" s="51" t="str">
        <f t="shared" si="9"/>
        <v>AMS</v>
      </c>
      <c r="D103" s="51" t="s">
        <v>501</v>
      </c>
      <c r="E103" s="51" t="e">
        <f>VLOOKUP($H$6,#REF!,2,FALSE)</f>
        <v>#REF!</v>
      </c>
      <c r="F103" s="51"/>
      <c r="G103" s="618" t="s">
        <v>352</v>
      </c>
      <c r="H103" s="611">
        <v>0</v>
      </c>
      <c r="I103" s="611">
        <v>0</v>
      </c>
      <c r="J103" s="611">
        <v>0</v>
      </c>
      <c r="K103" s="611">
        <v>-4.2859805384075952E-2</v>
      </c>
      <c r="L103" s="611">
        <v>0</v>
      </c>
      <c r="M103" s="611">
        <v>0</v>
      </c>
      <c r="N103" s="611">
        <v>0</v>
      </c>
      <c r="O103" s="611">
        <v>0</v>
      </c>
      <c r="P103" s="611">
        <v>0</v>
      </c>
      <c r="Q103" s="611">
        <v>0</v>
      </c>
      <c r="R103" s="611">
        <v>0</v>
      </c>
      <c r="S103" s="611">
        <v>0</v>
      </c>
      <c r="T103" s="611">
        <v>0</v>
      </c>
      <c r="U103" s="611">
        <v>0</v>
      </c>
      <c r="V103" s="611">
        <v>0</v>
      </c>
      <c r="W103" s="611">
        <v>0</v>
      </c>
      <c r="X103" s="611">
        <v>5.969332226194423E-2</v>
      </c>
      <c r="Y103" s="619">
        <v>1.6833516877868278E-2</v>
      </c>
      <c r="Z103" s="51"/>
      <c r="AA103" s="51"/>
      <c r="AB103" s="51"/>
    </row>
    <row r="104" spans="1:28" x14ac:dyDescent="0.25">
      <c r="A104" s="51" t="e">
        <f t="shared" si="8"/>
        <v>#REF!</v>
      </c>
      <c r="B104" s="51">
        <f t="shared" si="9"/>
        <v>2023</v>
      </c>
      <c r="C104" s="51" t="str">
        <f t="shared" si="9"/>
        <v>AMS</v>
      </c>
      <c r="D104" s="51" t="s">
        <v>502</v>
      </c>
      <c r="E104" s="51" t="e">
        <f>VLOOKUP($H$6,#REF!,2,FALSE)</f>
        <v>#REF!</v>
      </c>
      <c r="F104" s="51"/>
      <c r="G104" s="618" t="s">
        <v>73</v>
      </c>
      <c r="H104" s="611">
        <v>0</v>
      </c>
      <c r="I104" s="611">
        <v>0</v>
      </c>
      <c r="J104" s="611">
        <v>0</v>
      </c>
      <c r="K104" s="611">
        <v>0</v>
      </c>
      <c r="L104" s="611">
        <v>0</v>
      </c>
      <c r="M104" s="611">
        <v>0</v>
      </c>
      <c r="N104" s="611">
        <v>0</v>
      </c>
      <c r="O104" s="611">
        <v>0</v>
      </c>
      <c r="P104" s="611">
        <v>0</v>
      </c>
      <c r="Q104" s="611">
        <v>0</v>
      </c>
      <c r="R104" s="611">
        <v>0</v>
      </c>
      <c r="S104" s="611">
        <v>0</v>
      </c>
      <c r="T104" s="611">
        <v>0</v>
      </c>
      <c r="U104" s="611">
        <v>0</v>
      </c>
      <c r="V104" s="611">
        <v>3.2419807733491699</v>
      </c>
      <c r="W104" s="611">
        <v>0</v>
      </c>
      <c r="X104" s="611">
        <v>-2.1072875026769604</v>
      </c>
      <c r="Y104" s="619">
        <v>1.1346932706722095</v>
      </c>
      <c r="Z104" s="51"/>
      <c r="AA104" s="51"/>
      <c r="AB104" s="51"/>
    </row>
    <row r="105" spans="1:28" x14ac:dyDescent="0.25">
      <c r="A105" s="51" t="e">
        <f t="shared" si="8"/>
        <v>#REF!</v>
      </c>
      <c r="B105" s="51">
        <f t="shared" si="9"/>
        <v>2023</v>
      </c>
      <c r="C105" s="51" t="str">
        <f t="shared" si="9"/>
        <v>AMS</v>
      </c>
      <c r="D105" s="51" t="s">
        <v>503</v>
      </c>
      <c r="E105" s="51" t="e">
        <f>VLOOKUP($H$6,#REF!,2,FALSE)</f>
        <v>#REF!</v>
      </c>
      <c r="F105" s="51"/>
      <c r="G105" s="618" t="s">
        <v>353</v>
      </c>
      <c r="H105" s="611">
        <v>29.6567859375</v>
      </c>
      <c r="I105" s="611">
        <v>-17.218594005820741</v>
      </c>
      <c r="J105" s="611">
        <v>22.383724171942411</v>
      </c>
      <c r="K105" s="611">
        <v>0</v>
      </c>
      <c r="L105" s="611">
        <v>0</v>
      </c>
      <c r="M105" s="611">
        <v>0</v>
      </c>
      <c r="N105" s="611">
        <v>0</v>
      </c>
      <c r="O105" s="611">
        <v>0</v>
      </c>
      <c r="P105" s="611">
        <v>0</v>
      </c>
      <c r="Q105" s="611">
        <v>0</v>
      </c>
      <c r="R105" s="611">
        <v>0</v>
      </c>
      <c r="S105" s="611">
        <v>0</v>
      </c>
      <c r="T105" s="611">
        <v>0</v>
      </c>
      <c r="U105" s="611">
        <v>0</v>
      </c>
      <c r="V105" s="611">
        <v>0</v>
      </c>
      <c r="W105" s="611">
        <v>0</v>
      </c>
      <c r="X105" s="611">
        <v>0</v>
      </c>
      <c r="Y105" s="619">
        <v>34.821916103621675</v>
      </c>
      <c r="Z105" s="51"/>
      <c r="AA105" s="51"/>
      <c r="AB105" s="51"/>
    </row>
    <row r="106" spans="1:28" x14ac:dyDescent="0.25">
      <c r="A106" s="51" t="e">
        <f t="shared" si="8"/>
        <v>#REF!</v>
      </c>
      <c r="B106" s="51">
        <f t="shared" si="9"/>
        <v>2023</v>
      </c>
      <c r="C106" s="51" t="str">
        <f t="shared" si="9"/>
        <v>AMS</v>
      </c>
      <c r="D106" s="51" t="s">
        <v>504</v>
      </c>
      <c r="E106" s="51" t="e">
        <f>VLOOKUP($H$6,#REF!,2,FALSE)</f>
        <v>#REF!</v>
      </c>
      <c r="F106" s="51"/>
      <c r="G106" s="618" t="s">
        <v>75</v>
      </c>
      <c r="H106" s="611">
        <v>11.533194531250002</v>
      </c>
      <c r="I106" s="611">
        <v>0</v>
      </c>
      <c r="J106" s="611">
        <v>18.315545038272333</v>
      </c>
      <c r="K106" s="611">
        <v>0</v>
      </c>
      <c r="L106" s="611">
        <v>5.0521769918695103</v>
      </c>
      <c r="M106" s="611">
        <v>0</v>
      </c>
      <c r="N106" s="611">
        <v>0</v>
      </c>
      <c r="O106" s="611">
        <v>0</v>
      </c>
      <c r="P106" s="611">
        <v>0</v>
      </c>
      <c r="Q106" s="611">
        <v>0</v>
      </c>
      <c r="R106" s="611">
        <v>0</v>
      </c>
      <c r="S106" s="611">
        <v>0.15840158885399455</v>
      </c>
      <c r="T106" s="611">
        <v>0</v>
      </c>
      <c r="U106" s="611">
        <v>0</v>
      </c>
      <c r="V106" s="611">
        <v>27.462517867271458</v>
      </c>
      <c r="W106" s="611">
        <v>0</v>
      </c>
      <c r="X106" s="611">
        <v>0</v>
      </c>
      <c r="Y106" s="619">
        <v>62.521836017517295</v>
      </c>
      <c r="Z106" s="51"/>
      <c r="AA106" s="51"/>
      <c r="AB106" s="51"/>
    </row>
    <row r="107" spans="1:28" x14ac:dyDescent="0.25">
      <c r="A107" s="51" t="e">
        <f t="shared" si="8"/>
        <v>#REF!</v>
      </c>
      <c r="B107" s="51">
        <f t="shared" si="9"/>
        <v>2023</v>
      </c>
      <c r="C107" s="51" t="str">
        <f t="shared" si="9"/>
        <v>AMS</v>
      </c>
      <c r="D107" s="51" t="s">
        <v>505</v>
      </c>
      <c r="E107" s="51" t="e">
        <f>VLOOKUP($H$6,#REF!,2,FALSE)</f>
        <v>#REF!</v>
      </c>
      <c r="F107" s="51"/>
      <c r="G107" s="618" t="s">
        <v>76</v>
      </c>
      <c r="H107" s="611">
        <v>0</v>
      </c>
      <c r="I107" s="611">
        <v>0</v>
      </c>
      <c r="J107" s="611">
        <v>0</v>
      </c>
      <c r="K107" s="611">
        <v>0</v>
      </c>
      <c r="L107" s="611">
        <v>4.3695792559361077</v>
      </c>
      <c r="M107" s="611">
        <v>0</v>
      </c>
      <c r="N107" s="611">
        <v>0</v>
      </c>
      <c r="O107" s="611">
        <v>0</v>
      </c>
      <c r="P107" s="611">
        <v>0</v>
      </c>
      <c r="Q107" s="611">
        <v>0</v>
      </c>
      <c r="R107" s="611">
        <v>0</v>
      </c>
      <c r="S107" s="611">
        <v>0.13700000967456447</v>
      </c>
      <c r="T107" s="611">
        <v>0</v>
      </c>
      <c r="U107" s="611">
        <v>0</v>
      </c>
      <c r="V107" s="611">
        <v>37.694603636370609</v>
      </c>
      <c r="W107" s="611">
        <v>4.3810396487584971</v>
      </c>
      <c r="X107" s="611">
        <v>0</v>
      </c>
      <c r="Y107" s="619">
        <v>46.582222550739779</v>
      </c>
      <c r="Z107" s="51"/>
      <c r="AA107" s="51"/>
      <c r="AB107" s="51"/>
    </row>
    <row r="108" spans="1:28" x14ac:dyDescent="0.25">
      <c r="A108" s="51" t="e">
        <f t="shared" si="8"/>
        <v>#REF!</v>
      </c>
      <c r="B108" s="51">
        <f t="shared" si="9"/>
        <v>2023</v>
      </c>
      <c r="C108" s="51" t="str">
        <f t="shared" si="9"/>
        <v>AMS</v>
      </c>
      <c r="D108" s="51" t="s">
        <v>506</v>
      </c>
      <c r="E108" s="51" t="e">
        <f>VLOOKUP($H$6,#REF!,2,FALSE)</f>
        <v>#REF!</v>
      </c>
      <c r="F108" s="51"/>
      <c r="G108" s="614" t="s">
        <v>77</v>
      </c>
      <c r="H108" s="622">
        <v>48.588379220719261</v>
      </c>
      <c r="I108" s="622">
        <v>471.76851960281289</v>
      </c>
      <c r="J108" s="622">
        <v>-434.7849409896603</v>
      </c>
      <c r="K108" s="615">
        <v>-4.2859805384075952E-2</v>
      </c>
      <c r="L108" s="622">
        <v>74.508692705087142</v>
      </c>
      <c r="M108" s="615">
        <v>0</v>
      </c>
      <c r="N108" s="622">
        <v>1053.5890909090911</v>
      </c>
      <c r="O108" s="622">
        <v>140.80876550165527</v>
      </c>
      <c r="P108" s="622">
        <v>124.35774721691629</v>
      </c>
      <c r="Q108" s="622">
        <v>26.673813242755362</v>
      </c>
      <c r="R108" s="622">
        <v>-43.003596158635517</v>
      </c>
      <c r="S108" s="622">
        <v>-9.1872872428064998</v>
      </c>
      <c r="T108" s="622">
        <v>0</v>
      </c>
      <c r="U108" s="622">
        <v>4.8857161611712456</v>
      </c>
      <c r="V108" s="622">
        <v>-468.36227470944522</v>
      </c>
      <c r="W108" s="622">
        <v>-52.119201757955373</v>
      </c>
      <c r="X108" s="622">
        <v>-2.0475941804150164</v>
      </c>
      <c r="Y108" s="622">
        <v>935.63296971590671</v>
      </c>
      <c r="Z108" s="51"/>
      <c r="AA108" s="51"/>
      <c r="AB108" s="51"/>
    </row>
    <row r="109" spans="1:28" x14ac:dyDescent="0.25">
      <c r="A109" s="51"/>
      <c r="B109" s="51"/>
      <c r="C109" s="51"/>
      <c r="D109" s="51"/>
      <c r="E109" s="51"/>
      <c r="F109" s="51"/>
      <c r="G109" s="616"/>
      <c r="H109" s="623">
        <v>0</v>
      </c>
      <c r="I109" s="623">
        <v>0</v>
      </c>
      <c r="J109" s="623">
        <v>0</v>
      </c>
      <c r="K109" s="617">
        <v>0</v>
      </c>
      <c r="L109" s="623">
        <v>0</v>
      </c>
      <c r="M109" s="617">
        <v>0</v>
      </c>
      <c r="N109" s="623">
        <v>0</v>
      </c>
      <c r="O109" s="623">
        <v>0</v>
      </c>
      <c r="P109" s="623">
        <v>0</v>
      </c>
      <c r="Q109" s="623">
        <v>0</v>
      </c>
      <c r="R109" s="623">
        <v>0</v>
      </c>
      <c r="S109" s="623">
        <v>0</v>
      </c>
      <c r="T109" s="623">
        <v>0</v>
      </c>
      <c r="U109" s="623">
        <v>0</v>
      </c>
      <c r="V109" s="623">
        <v>0</v>
      </c>
      <c r="W109" s="623">
        <v>0</v>
      </c>
      <c r="X109" s="623">
        <v>0</v>
      </c>
      <c r="Y109" s="623">
        <v>0</v>
      </c>
      <c r="Z109" s="51"/>
      <c r="AA109" s="51"/>
      <c r="AB109" s="51"/>
    </row>
    <row r="110" spans="1:28" x14ac:dyDescent="0.25">
      <c r="A110" s="51" t="e">
        <f>A108+2</f>
        <v>#REF!</v>
      </c>
      <c r="B110" s="51">
        <f>B108</f>
        <v>2023</v>
      </c>
      <c r="C110" s="51" t="str">
        <f>C88</f>
        <v>AMS</v>
      </c>
      <c r="D110" s="51" t="s">
        <v>507</v>
      </c>
      <c r="E110" s="51" t="e">
        <f>VLOOKUP($H$6,#REF!,2,FALSE)</f>
        <v>#REF!</v>
      </c>
      <c r="F110" s="51"/>
      <c r="G110" s="618" t="s">
        <v>78</v>
      </c>
      <c r="H110" s="611">
        <v>6.8912688096571859</v>
      </c>
      <c r="I110" s="611">
        <v>0</v>
      </c>
      <c r="J110" s="611">
        <v>23.50730673118812</v>
      </c>
      <c r="K110" s="611">
        <v>0</v>
      </c>
      <c r="L110" s="611">
        <v>103.6322985075271</v>
      </c>
      <c r="M110" s="611">
        <v>0</v>
      </c>
      <c r="N110" s="611">
        <v>0</v>
      </c>
      <c r="O110" s="611">
        <v>0</v>
      </c>
      <c r="P110" s="611">
        <v>17.934528794531492</v>
      </c>
      <c r="Q110" s="611">
        <v>2.162623383313536</v>
      </c>
      <c r="R110" s="611">
        <v>0.76389416015625011</v>
      </c>
      <c r="S110" s="611">
        <v>3.2712996519108821</v>
      </c>
      <c r="T110" s="611">
        <v>1.2785699462890625</v>
      </c>
      <c r="U110" s="611">
        <v>4.5058902280570805E-4</v>
      </c>
      <c r="V110" s="611">
        <v>115.58056111877757</v>
      </c>
      <c r="W110" s="611">
        <v>17.85711360509158</v>
      </c>
      <c r="X110" s="611">
        <v>0.15803289794921874</v>
      </c>
      <c r="Y110" s="619">
        <v>293.03794819541474</v>
      </c>
      <c r="Z110" s="51"/>
      <c r="AA110" s="620" t="e" cm="1">
        <f t="array" aca="1" ref="AA110" ca="1">_xlfn.IFNA(INDEX(#REF!,MATCH(INDIRECT("Codes_bilans!"&amp;AA$1&amp;"$"&amp;$A110),#REF!,0),MATCH($B110,#REF!,0)),0)</f>
        <v>#REF!</v>
      </c>
      <c r="AB110" s="51"/>
    </row>
    <row r="111" spans="1:28" x14ac:dyDescent="0.25">
      <c r="A111" s="51" t="e">
        <f t="shared" ref="A111:A118" si="10">A110+1</f>
        <v>#REF!</v>
      </c>
      <c r="B111" s="51">
        <f t="shared" ref="B111:C118" si="11">B110</f>
        <v>2023</v>
      </c>
      <c r="C111" s="51" t="str">
        <f t="shared" si="11"/>
        <v>AMS</v>
      </c>
      <c r="D111" s="51" t="s">
        <v>508</v>
      </c>
      <c r="E111" s="51" t="e">
        <f>VLOOKUP($H$6,#REF!,2,FALSE)</f>
        <v>#REF!</v>
      </c>
      <c r="F111" s="51"/>
      <c r="G111" s="618" t="s">
        <v>79</v>
      </c>
      <c r="H111" s="611">
        <v>0</v>
      </c>
      <c r="I111" s="611">
        <v>0</v>
      </c>
      <c r="J111" s="611">
        <v>390.39286283251352</v>
      </c>
      <c r="K111" s="611">
        <v>0</v>
      </c>
      <c r="L111" s="611">
        <v>3.1281168846544798</v>
      </c>
      <c r="M111" s="611">
        <v>0</v>
      </c>
      <c r="N111" s="611">
        <v>0</v>
      </c>
      <c r="O111" s="611">
        <v>0</v>
      </c>
      <c r="P111" s="611">
        <v>0</v>
      </c>
      <c r="Q111" s="611">
        <v>0</v>
      </c>
      <c r="R111" s="611">
        <v>38.392031856976942</v>
      </c>
      <c r="S111" s="611">
        <v>9.8076271961114056E-2</v>
      </c>
      <c r="T111" s="611">
        <v>0</v>
      </c>
      <c r="U111" s="611">
        <v>0</v>
      </c>
      <c r="V111" s="611">
        <v>12.839790522362275</v>
      </c>
      <c r="W111" s="611">
        <v>0</v>
      </c>
      <c r="X111" s="611">
        <v>1.404547929789267E-5</v>
      </c>
      <c r="Y111" s="619">
        <v>444.85089241394763</v>
      </c>
      <c r="Z111" s="51"/>
      <c r="AA111" s="620" t="e" cm="1">
        <f t="array" aca="1" ref="AA111" ca="1">_xlfn.IFNA(INDEX(#REF!,MATCH(INDIRECT("Codes_bilans!"&amp;AA$1&amp;"$"&amp;$A111),#REF!,0),MATCH($B111,#REF!,0)),0)</f>
        <v>#REF!</v>
      </c>
      <c r="AB111" s="51"/>
    </row>
    <row r="112" spans="1:28" x14ac:dyDescent="0.25">
      <c r="A112" s="51" t="e">
        <f t="shared" si="10"/>
        <v>#REF!</v>
      </c>
      <c r="B112" s="51">
        <f t="shared" si="11"/>
        <v>2023</v>
      </c>
      <c r="C112" s="51" t="str">
        <f t="shared" si="11"/>
        <v>AMS</v>
      </c>
      <c r="D112" s="51" t="s">
        <v>509</v>
      </c>
      <c r="E112" s="51" t="e">
        <f>VLOOKUP($H$6,#REF!,2,FALSE)</f>
        <v>#REF!</v>
      </c>
      <c r="F112" s="51"/>
      <c r="G112" s="618" t="s">
        <v>80</v>
      </c>
      <c r="H112" s="611">
        <v>0</v>
      </c>
      <c r="I112" s="611">
        <v>0</v>
      </c>
      <c r="J112" s="611">
        <v>18.209722356615</v>
      </c>
      <c r="K112" s="611">
        <v>0</v>
      </c>
      <c r="L112" s="611">
        <v>121.89469525503438</v>
      </c>
      <c r="M112" s="611">
        <v>0</v>
      </c>
      <c r="N112" s="611">
        <v>0</v>
      </c>
      <c r="O112" s="611">
        <v>0</v>
      </c>
      <c r="P112" s="611">
        <v>69.673112957297619</v>
      </c>
      <c r="Q112" s="611">
        <v>0</v>
      </c>
      <c r="R112" s="611">
        <v>0</v>
      </c>
      <c r="S112" s="611">
        <v>3.8217808743327613</v>
      </c>
      <c r="T112" s="611">
        <v>41.524804077007047</v>
      </c>
      <c r="U112" s="611">
        <v>1.3186709338752973</v>
      </c>
      <c r="V112" s="611">
        <v>166.70645822540385</v>
      </c>
      <c r="W112" s="611">
        <v>23.041532520535192</v>
      </c>
      <c r="X112" s="611">
        <v>0</v>
      </c>
      <c r="Y112" s="619">
        <v>446.19077720010119</v>
      </c>
      <c r="Z112" s="51"/>
      <c r="AA112" s="620" t="e" cm="1">
        <f t="array" aca="1" ref="AA112" ca="1">_xlfn.IFNA(INDEX(#REF!,MATCH(INDIRECT("Codes_bilans!"&amp;AA$1&amp;"$"&amp;$A112),#REF!,0),MATCH($B112,#REF!,0)),0)</f>
        <v>#REF!</v>
      </c>
      <c r="AB112" s="51"/>
    </row>
    <row r="113" spans="1:28" x14ac:dyDescent="0.25">
      <c r="A113" s="51" t="e">
        <f t="shared" si="10"/>
        <v>#REF!</v>
      </c>
      <c r="B113" s="51">
        <f t="shared" si="11"/>
        <v>2023</v>
      </c>
      <c r="C113" s="51" t="str">
        <f t="shared" si="11"/>
        <v>AMS</v>
      </c>
      <c r="D113" s="51" t="s">
        <v>510</v>
      </c>
      <c r="E113" s="51" t="e">
        <f>VLOOKUP($H$6,#REF!,2,FALSE)</f>
        <v>#REF!</v>
      </c>
      <c r="F113" s="51"/>
      <c r="G113" s="618" t="s">
        <v>81</v>
      </c>
      <c r="H113" s="611">
        <v>0</v>
      </c>
      <c r="I113" s="611">
        <v>0</v>
      </c>
      <c r="J113" s="611">
        <v>22.047417711617395</v>
      </c>
      <c r="K113" s="611">
        <v>0</v>
      </c>
      <c r="L113" s="611">
        <v>55.474573851605541</v>
      </c>
      <c r="M113" s="611">
        <v>0</v>
      </c>
      <c r="N113" s="611">
        <v>0</v>
      </c>
      <c r="O113" s="611">
        <v>0</v>
      </c>
      <c r="P113" s="611">
        <v>0.2600018184764662</v>
      </c>
      <c r="Q113" s="611">
        <v>1.0072131549959035E-2</v>
      </c>
      <c r="R113" s="611">
        <v>0</v>
      </c>
      <c r="S113" s="611">
        <v>1.7393018204298767</v>
      </c>
      <c r="T113" s="611">
        <v>8.7382045272005371</v>
      </c>
      <c r="U113" s="611">
        <v>0.83694366645922857</v>
      </c>
      <c r="V113" s="611">
        <v>120.24688741623336</v>
      </c>
      <c r="W113" s="611">
        <v>11.220555632328594</v>
      </c>
      <c r="X113" s="611">
        <v>0</v>
      </c>
      <c r="Y113" s="619">
        <v>220.57395857590095</v>
      </c>
      <c r="Z113" s="51"/>
      <c r="AA113" s="620" t="e" cm="1">
        <f t="array" aca="1" ref="AA113" ca="1">_xlfn.IFNA(INDEX(#REF!,MATCH(INDIRECT("Codes_bilans!"&amp;AA$1&amp;"$"&amp;$A113),#REF!,0),MATCH($B113,#REF!,0)),0)</f>
        <v>#REF!</v>
      </c>
      <c r="AB113" s="51"/>
    </row>
    <row r="114" spans="1:28" x14ac:dyDescent="0.25">
      <c r="A114" s="51" t="e">
        <f t="shared" si="10"/>
        <v>#REF!</v>
      </c>
      <c r="B114" s="51">
        <f t="shared" si="11"/>
        <v>2023</v>
      </c>
      <c r="C114" s="51" t="str">
        <f t="shared" si="11"/>
        <v>AMS</v>
      </c>
      <c r="D114" s="51" t="s">
        <v>511</v>
      </c>
      <c r="E114" s="51" t="e">
        <f>VLOOKUP($H$6,#REF!,2,FALSE)</f>
        <v>#REF!</v>
      </c>
      <c r="F114" s="51"/>
      <c r="G114" s="618" t="s">
        <v>82</v>
      </c>
      <c r="H114" s="611">
        <v>0</v>
      </c>
      <c r="I114" s="611">
        <v>0</v>
      </c>
      <c r="J114" s="611">
        <v>32.350878858910924</v>
      </c>
      <c r="K114" s="611">
        <v>0</v>
      </c>
      <c r="L114" s="611">
        <v>2.5949331244793301</v>
      </c>
      <c r="M114" s="611">
        <v>0</v>
      </c>
      <c r="N114" s="611">
        <v>0</v>
      </c>
      <c r="O114" s="611">
        <v>0</v>
      </c>
      <c r="P114" s="611">
        <v>1.0052852655560149</v>
      </c>
      <c r="Q114" s="611">
        <v>0</v>
      </c>
      <c r="R114" s="611">
        <v>2.4838975032538144</v>
      </c>
      <c r="S114" s="611">
        <v>8.1359289381365135E-2</v>
      </c>
      <c r="T114" s="611">
        <v>0.15</v>
      </c>
      <c r="U114" s="611">
        <v>0.25485200979833694</v>
      </c>
      <c r="V114" s="611">
        <v>8.1118979154125785</v>
      </c>
      <c r="W114" s="611">
        <v>0</v>
      </c>
      <c r="X114" s="611">
        <v>5.2098714141513347E-2</v>
      </c>
      <c r="Y114" s="619">
        <v>47.085202680933875</v>
      </c>
      <c r="Z114" s="51"/>
      <c r="AA114" s="620" t="e" cm="1">
        <f t="array" aca="1" ref="AA114" ca="1">_xlfn.IFNA(INDEX(#REF!,MATCH(INDIRECT("Codes_bilans!"&amp;AA$1&amp;"$"&amp;$A114),#REF!,0),MATCH($B114,#REF!,0)),0)</f>
        <v>#REF!</v>
      </c>
      <c r="AB114" s="51"/>
    </row>
    <row r="115" spans="1:28" x14ac:dyDescent="0.25">
      <c r="A115" s="51" t="e">
        <f t="shared" si="10"/>
        <v>#REF!</v>
      </c>
      <c r="B115" s="51">
        <f t="shared" si="11"/>
        <v>2023</v>
      </c>
      <c r="C115" s="51" t="str">
        <f t="shared" si="11"/>
        <v>AMS</v>
      </c>
      <c r="D115" s="51" t="s">
        <v>512</v>
      </c>
      <c r="E115" s="51" t="e">
        <f>VLOOKUP($H$6,#REF!,2,FALSE)</f>
        <v>#REF!</v>
      </c>
      <c r="F115" s="51"/>
      <c r="G115" s="618" t="s">
        <v>354</v>
      </c>
      <c r="H115" s="611">
        <v>0</v>
      </c>
      <c r="I115" s="611">
        <v>0</v>
      </c>
      <c r="J115" s="611">
        <v>0</v>
      </c>
      <c r="K115" s="611">
        <v>0</v>
      </c>
      <c r="L115" s="611">
        <v>0</v>
      </c>
      <c r="M115" s="611">
        <v>0</v>
      </c>
      <c r="N115" s="611">
        <v>0</v>
      </c>
      <c r="O115" s="611">
        <v>0</v>
      </c>
      <c r="P115" s="611">
        <v>0</v>
      </c>
      <c r="Q115" s="611">
        <v>0</v>
      </c>
      <c r="R115" s="611">
        <v>0</v>
      </c>
      <c r="S115" s="611">
        <v>0</v>
      </c>
      <c r="T115" s="611">
        <v>0</v>
      </c>
      <c r="U115" s="611">
        <v>0</v>
      </c>
      <c r="V115" s="611">
        <v>0</v>
      </c>
      <c r="W115" s="611">
        <v>0</v>
      </c>
      <c r="X115" s="611">
        <v>0</v>
      </c>
      <c r="Y115" s="619">
        <v>0</v>
      </c>
      <c r="Z115" s="51"/>
      <c r="AA115" s="620" t="e" cm="1">
        <f t="array" aca="1" ref="AA115" ca="1">_xlfn.IFNA(INDEX(#REF!,MATCH(INDIRECT("Codes_bilans!"&amp;AA$1&amp;"$"&amp;$A115),#REF!,0),MATCH($B115,#REF!,0)),0)</f>
        <v>#REF!</v>
      </c>
      <c r="AB115" s="51"/>
    </row>
    <row r="116" spans="1:28" x14ac:dyDescent="0.25">
      <c r="A116" s="51" t="e">
        <f t="shared" si="10"/>
        <v>#REF!</v>
      </c>
      <c r="B116" s="51">
        <f t="shared" si="11"/>
        <v>2023</v>
      </c>
      <c r="C116" s="51" t="str">
        <f t="shared" si="11"/>
        <v>AMS</v>
      </c>
      <c r="D116" s="51" t="s">
        <v>513</v>
      </c>
      <c r="E116" s="51" t="e">
        <f>VLOOKUP($H$6,#REF!,2,FALSE)</f>
        <v>#REF!</v>
      </c>
      <c r="F116" s="51"/>
      <c r="G116" s="614" t="s">
        <v>83</v>
      </c>
      <c r="H116" s="622">
        <v>6.8912688096571859</v>
      </c>
      <c r="I116" s="622">
        <v>0</v>
      </c>
      <c r="J116" s="622">
        <v>486.50818849084493</v>
      </c>
      <c r="K116" s="615">
        <v>0</v>
      </c>
      <c r="L116" s="622">
        <v>286.72461762330084</v>
      </c>
      <c r="M116" s="615">
        <v>0</v>
      </c>
      <c r="N116" s="622">
        <v>0</v>
      </c>
      <c r="O116" s="622">
        <v>0</v>
      </c>
      <c r="P116" s="622">
        <v>88.872928835861586</v>
      </c>
      <c r="Q116" s="622">
        <v>2.172695514863495</v>
      </c>
      <c r="R116" s="622">
        <v>41.639823520387004</v>
      </c>
      <c r="S116" s="622">
        <v>9.0118179080160008</v>
      </c>
      <c r="T116" s="622">
        <v>51.691578550496644</v>
      </c>
      <c r="U116" s="622">
        <v>2.4109171991556684</v>
      </c>
      <c r="V116" s="622">
        <v>423.48559519818957</v>
      </c>
      <c r="W116" s="622">
        <v>52.119201757955373</v>
      </c>
      <c r="X116" s="622">
        <v>0.21014565757002998</v>
      </c>
      <c r="Y116" s="622">
        <v>1451.7387790662985</v>
      </c>
      <c r="Z116" s="51"/>
      <c r="AA116" s="51"/>
      <c r="AB116" s="51"/>
    </row>
    <row r="117" spans="1:28" x14ac:dyDescent="0.25">
      <c r="A117" s="51" t="e">
        <f t="shared" si="10"/>
        <v>#REF!</v>
      </c>
      <c r="B117" s="51">
        <f t="shared" si="11"/>
        <v>2023</v>
      </c>
      <c r="C117" s="51" t="str">
        <f t="shared" si="11"/>
        <v>AMS</v>
      </c>
      <c r="D117" s="51" t="s">
        <v>514</v>
      </c>
      <c r="E117" s="51" t="e">
        <f>VLOOKUP($H$6,#REF!,2,FALSE)</f>
        <v>#REF!</v>
      </c>
      <c r="F117" s="51"/>
      <c r="G117" s="610" t="s">
        <v>84</v>
      </c>
      <c r="H117" s="611">
        <v>0</v>
      </c>
      <c r="I117" s="611">
        <v>0</v>
      </c>
      <c r="J117" s="611">
        <v>125.97254812972785</v>
      </c>
      <c r="K117" s="611">
        <v>0.5014853482202658</v>
      </c>
      <c r="L117" s="611">
        <v>11.836385273603906</v>
      </c>
      <c r="M117" s="611">
        <v>0</v>
      </c>
      <c r="N117" s="611">
        <v>0</v>
      </c>
      <c r="O117" s="611">
        <v>0</v>
      </c>
      <c r="P117" s="611">
        <v>4.0023030663522148E-2</v>
      </c>
      <c r="Q117" s="611">
        <v>0</v>
      </c>
      <c r="R117" s="611">
        <v>3.907722128572543</v>
      </c>
      <c r="S117" s="611">
        <v>0.3161480845613035</v>
      </c>
      <c r="T117" s="611">
        <v>0</v>
      </c>
      <c r="U117" s="611">
        <v>0</v>
      </c>
      <c r="V117" s="611">
        <v>0</v>
      </c>
      <c r="W117" s="611">
        <v>0</v>
      </c>
      <c r="X117" s="611">
        <v>1.8374485228449866</v>
      </c>
      <c r="Y117" s="619">
        <v>144.41176051819437</v>
      </c>
      <c r="Z117" s="51"/>
      <c r="AA117" s="620" t="e" cm="1">
        <f t="array" aca="1" ref="AA117" ca="1">_xlfn.IFNA(INDEX(#REF!,MATCH(INDIRECT("Codes_bilans!"&amp;AA$1&amp;"$"&amp;$A117),#REF!,0),MATCH($B117,#REF!,0)),0)</f>
        <v>#REF!</v>
      </c>
      <c r="AB117" s="51"/>
    </row>
    <row r="118" spans="1:28" x14ac:dyDescent="0.25">
      <c r="A118" s="51" t="e">
        <f t="shared" si="10"/>
        <v>#REF!</v>
      </c>
      <c r="B118" s="51">
        <f t="shared" si="11"/>
        <v>2023</v>
      </c>
      <c r="C118" s="51" t="str">
        <f t="shared" si="11"/>
        <v>AMS</v>
      </c>
      <c r="D118" s="51" t="s">
        <v>515</v>
      </c>
      <c r="E118" s="51" t="e">
        <f>VLOOKUP($H$6,#REF!,2,FALSE)</f>
        <v>#REF!</v>
      </c>
      <c r="F118" s="51"/>
      <c r="G118" s="614" t="s">
        <v>85</v>
      </c>
      <c r="H118" s="622">
        <v>6.8912688096571859</v>
      </c>
      <c r="I118" s="622">
        <v>0</v>
      </c>
      <c r="J118" s="622">
        <v>612.48073662057277</v>
      </c>
      <c r="K118" s="615">
        <v>0.5014853482202658</v>
      </c>
      <c r="L118" s="622">
        <v>298.56100289690477</v>
      </c>
      <c r="M118" s="615">
        <v>0</v>
      </c>
      <c r="N118" s="622">
        <v>0</v>
      </c>
      <c r="O118" s="622">
        <v>0</v>
      </c>
      <c r="P118" s="622">
        <v>88.912951866525106</v>
      </c>
      <c r="Q118" s="622">
        <v>2.172695514863495</v>
      </c>
      <c r="R118" s="622">
        <v>45.547545648959549</v>
      </c>
      <c r="S118" s="622">
        <v>9.3279659925773046</v>
      </c>
      <c r="T118" s="622">
        <v>51.691578550496644</v>
      </c>
      <c r="U118" s="622">
        <v>2.4109171991556684</v>
      </c>
      <c r="V118" s="622">
        <v>423.48559519818957</v>
      </c>
      <c r="W118" s="622">
        <v>52.119201757955373</v>
      </c>
      <c r="X118" s="622">
        <v>2.0475941804150164</v>
      </c>
      <c r="Y118" s="622">
        <v>1596.1505395844929</v>
      </c>
      <c r="Z118" s="51"/>
      <c r="AA118" s="51"/>
      <c r="AB118" s="51"/>
    </row>
    <row r="119" spans="1:28" x14ac:dyDescent="0.25">
      <c r="A119" s="51"/>
      <c r="B119" s="51"/>
      <c r="C119" s="51"/>
      <c r="D119" s="51"/>
      <c r="E119" s="51"/>
      <c r="F119" s="51"/>
      <c r="G119" s="51"/>
      <c r="H119" s="67">
        <v>0</v>
      </c>
      <c r="I119" s="67">
        <v>4.2905679322302603E-5</v>
      </c>
      <c r="J119" s="67">
        <v>-2.3629463129282158E-5</v>
      </c>
      <c r="K119" s="67">
        <v>0</v>
      </c>
      <c r="L119" s="67">
        <v>0</v>
      </c>
      <c r="M119" s="67">
        <v>0</v>
      </c>
      <c r="N119" s="67">
        <v>0</v>
      </c>
      <c r="O119" s="67">
        <v>0</v>
      </c>
      <c r="P119" s="67">
        <v>0</v>
      </c>
      <c r="Q119" s="67">
        <v>0</v>
      </c>
      <c r="R119" s="67">
        <v>-2.9753977059954195E-14</v>
      </c>
      <c r="S119" s="67">
        <v>-2.3869795029440866E-15</v>
      </c>
      <c r="T119" s="67">
        <v>0</v>
      </c>
      <c r="U119" s="67">
        <v>0</v>
      </c>
      <c r="V119" s="67">
        <v>-5.6843418860808015E-14</v>
      </c>
      <c r="W119" s="67">
        <v>0</v>
      </c>
      <c r="X119" s="67">
        <v>0</v>
      </c>
      <c r="Y119" s="67">
        <v>1.9276216335128993E-5</v>
      </c>
      <c r="Z119" s="51"/>
      <c r="AA119" s="51"/>
      <c r="AB119" s="51"/>
    </row>
    <row r="120" spans="1:28" x14ac:dyDescent="0.25">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row>
    <row r="121" spans="1:28" x14ac:dyDescent="0.25">
      <c r="A121" s="606"/>
      <c r="B121" s="606"/>
      <c r="C121" s="606"/>
      <c r="D121" s="606"/>
      <c r="E121" s="606"/>
      <c r="F121" s="606"/>
      <c r="G121" s="607" t="s">
        <v>87</v>
      </c>
      <c r="H121" s="606"/>
      <c r="I121" s="606"/>
      <c r="J121" s="606"/>
      <c r="K121" s="606"/>
      <c r="L121" s="606"/>
      <c r="M121" s="606"/>
      <c r="N121" s="606"/>
      <c r="O121" s="606"/>
      <c r="P121" s="606"/>
      <c r="Q121" s="606"/>
      <c r="R121" s="606"/>
      <c r="S121" s="606"/>
      <c r="T121" s="606"/>
      <c r="U121" s="606"/>
      <c r="V121" s="606"/>
      <c r="W121" s="606"/>
      <c r="X121" s="606"/>
      <c r="Y121" s="606"/>
      <c r="Z121" s="606"/>
      <c r="AA121" s="606"/>
      <c r="AB121" s="606"/>
    </row>
    <row r="122" spans="1:28" x14ac:dyDescent="0.25">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row>
    <row r="123" spans="1:28" ht="14.25" customHeight="1" x14ac:dyDescent="0.25">
      <c r="A123" s="51"/>
      <c r="B123" s="51"/>
      <c r="C123" s="51"/>
      <c r="D123" s="51"/>
      <c r="E123" s="51"/>
      <c r="F123" s="51"/>
      <c r="G123" s="764" t="s">
        <v>128</v>
      </c>
      <c r="H123" s="753" t="s">
        <v>42</v>
      </c>
      <c r="I123" s="753" t="s">
        <v>52</v>
      </c>
      <c r="J123" s="753" t="s">
        <v>53</v>
      </c>
      <c r="K123" s="753" t="s">
        <v>482</v>
      </c>
      <c r="L123" s="753" t="s">
        <v>32</v>
      </c>
      <c r="M123" s="753" t="s">
        <v>483</v>
      </c>
      <c r="N123" s="753" t="s">
        <v>20</v>
      </c>
      <c r="O123" s="753" t="s">
        <v>55</v>
      </c>
      <c r="P123" s="761" t="s">
        <v>56</v>
      </c>
      <c r="Q123" s="762"/>
      <c r="R123" s="762"/>
      <c r="S123" s="762"/>
      <c r="T123" s="762"/>
      <c r="U123" s="763"/>
      <c r="V123" s="753" t="s">
        <v>57</v>
      </c>
      <c r="W123" s="753" t="s">
        <v>58</v>
      </c>
      <c r="X123" s="753" t="s">
        <v>31</v>
      </c>
      <c r="Y123" s="753" t="s">
        <v>10</v>
      </c>
      <c r="Z123" s="51"/>
      <c r="AA123" s="51"/>
      <c r="AB123" s="51"/>
    </row>
    <row r="124" spans="1:28" ht="24" x14ac:dyDescent="0.25">
      <c r="A124" s="51"/>
      <c r="B124" s="51"/>
      <c r="C124" s="51"/>
      <c r="D124" s="51" t="s">
        <v>486</v>
      </c>
      <c r="E124" s="51"/>
      <c r="F124" s="51"/>
      <c r="G124" s="765"/>
      <c r="H124" s="754"/>
      <c r="I124" s="754"/>
      <c r="J124" s="754"/>
      <c r="K124" s="754"/>
      <c r="L124" s="754"/>
      <c r="M124" s="754"/>
      <c r="N124" s="754"/>
      <c r="O124" s="754"/>
      <c r="P124" s="608" t="s">
        <v>335</v>
      </c>
      <c r="Q124" s="608" t="s">
        <v>40</v>
      </c>
      <c r="R124" s="608" t="s">
        <v>343</v>
      </c>
      <c r="S124" s="608" t="s">
        <v>344</v>
      </c>
      <c r="T124" s="609" t="s">
        <v>345</v>
      </c>
      <c r="U124" s="608" t="s">
        <v>346</v>
      </c>
      <c r="V124" s="754"/>
      <c r="W124" s="754"/>
      <c r="X124" s="754"/>
      <c r="Y124" s="754"/>
      <c r="Z124" s="51"/>
      <c r="AA124" s="51"/>
      <c r="AB124" s="51"/>
    </row>
    <row r="125" spans="1:28" x14ac:dyDescent="0.25">
      <c r="A125" s="51" t="e">
        <f>A88</f>
        <v>#REF!</v>
      </c>
      <c r="B125" s="51">
        <v>2025</v>
      </c>
      <c r="C125" s="51" t="s">
        <v>47</v>
      </c>
      <c r="D125" s="51" t="s">
        <v>487</v>
      </c>
      <c r="E125" s="51" t="e">
        <f>VLOOKUP($H$6,#REF!,2,FALSE)</f>
        <v>#REF!</v>
      </c>
      <c r="F125" s="51"/>
      <c r="G125" s="610" t="s">
        <v>59</v>
      </c>
      <c r="H125" s="611">
        <v>0</v>
      </c>
      <c r="I125" s="611">
        <v>9.7691999999999997</v>
      </c>
      <c r="J125" s="611">
        <v>0</v>
      </c>
      <c r="K125" s="611">
        <v>0</v>
      </c>
      <c r="L125" s="611">
        <v>0.18608000000000002</v>
      </c>
      <c r="M125" s="611">
        <v>0</v>
      </c>
      <c r="N125" s="612">
        <v>1053.5890909090911</v>
      </c>
      <c r="O125" s="612">
        <v>155.22027541539615</v>
      </c>
      <c r="P125" s="612">
        <v>214.90208797994541</v>
      </c>
      <c r="Q125" s="612">
        <v>29.401690071090997</v>
      </c>
      <c r="R125" s="611">
        <v>1.8811575028002774</v>
      </c>
      <c r="S125" s="611">
        <v>0.15242099713737783</v>
      </c>
      <c r="T125" s="612">
        <v>63.09733962798451</v>
      </c>
      <c r="U125" s="612">
        <v>8.6306065878365068</v>
      </c>
      <c r="V125" s="611">
        <v>0</v>
      </c>
      <c r="W125" s="611">
        <v>0</v>
      </c>
      <c r="X125" s="611">
        <v>0</v>
      </c>
      <c r="Y125" s="613">
        <v>1536.8299490912823</v>
      </c>
      <c r="Z125" s="51"/>
      <c r="AA125" s="51"/>
      <c r="AB125" s="51"/>
    </row>
    <row r="126" spans="1:28" x14ac:dyDescent="0.25">
      <c r="A126" s="51" t="e">
        <f t="shared" ref="A126:A131" si="12">A125+1</f>
        <v>#REF!</v>
      </c>
      <c r="B126" s="51">
        <f t="shared" ref="B126:C131" si="13">B125</f>
        <v>2025</v>
      </c>
      <c r="C126" s="51" t="str">
        <f t="shared" si="13"/>
        <v>AMS</v>
      </c>
      <c r="D126" s="51" t="s">
        <v>488</v>
      </c>
      <c r="E126" s="51" t="e">
        <f>VLOOKUP($H$6,#REF!,2,FALSE)</f>
        <v>#REF!</v>
      </c>
      <c r="F126" s="51"/>
      <c r="G126" s="610" t="s">
        <v>60</v>
      </c>
      <c r="H126" s="611">
        <v>41.831603018044838</v>
      </c>
      <c r="I126" s="611">
        <v>489.64185318884552</v>
      </c>
      <c r="J126" s="611">
        <v>215.36449986293647</v>
      </c>
      <c r="K126" s="611">
        <v>0.69497003447287165</v>
      </c>
      <c r="L126" s="611">
        <v>334.30189110500646</v>
      </c>
      <c r="M126" s="611">
        <v>0</v>
      </c>
      <c r="N126" s="611">
        <v>0</v>
      </c>
      <c r="O126" s="611">
        <v>0</v>
      </c>
      <c r="P126" s="611">
        <v>2.5596276020988169</v>
      </c>
      <c r="Q126" s="611">
        <v>0</v>
      </c>
      <c r="R126" s="611">
        <v>3.749161135627308</v>
      </c>
      <c r="S126" s="611">
        <v>0</v>
      </c>
      <c r="T126" s="611">
        <v>0</v>
      </c>
      <c r="U126" s="611">
        <v>0</v>
      </c>
      <c r="V126" s="611">
        <v>0</v>
      </c>
      <c r="W126" s="611">
        <v>0</v>
      </c>
      <c r="X126" s="611">
        <v>0</v>
      </c>
      <c r="Y126" s="613">
        <v>1088.1436059470323</v>
      </c>
      <c r="Z126" s="51"/>
      <c r="AA126" s="51"/>
      <c r="AB126" s="51"/>
    </row>
    <row r="127" spans="1:28" x14ac:dyDescent="0.25">
      <c r="A127" s="51" t="e">
        <f t="shared" si="12"/>
        <v>#REF!</v>
      </c>
      <c r="B127" s="51">
        <f t="shared" si="13"/>
        <v>2025</v>
      </c>
      <c r="C127" s="51" t="str">
        <f t="shared" si="13"/>
        <v>AMS</v>
      </c>
      <c r="D127" s="51" t="s">
        <v>489</v>
      </c>
      <c r="E127" s="51" t="e">
        <f>VLOOKUP($H$6,#REF!,2,FALSE)</f>
        <v>#REF!</v>
      </c>
      <c r="F127" s="51"/>
      <c r="G127" s="610" t="s">
        <v>61</v>
      </c>
      <c r="H127" s="611">
        <v>0</v>
      </c>
      <c r="I127" s="611">
        <v>0</v>
      </c>
      <c r="J127" s="611">
        <v>-8.3753888093619933E-3</v>
      </c>
      <c r="K127" s="611">
        <v>0</v>
      </c>
      <c r="L127" s="611">
        <v>0</v>
      </c>
      <c r="M127" s="611">
        <v>0</v>
      </c>
      <c r="N127" s="611">
        <v>0</v>
      </c>
      <c r="O127" s="611">
        <v>0</v>
      </c>
      <c r="P127" s="611">
        <v>0</v>
      </c>
      <c r="Q127" s="611">
        <v>0</v>
      </c>
      <c r="R127" s="611">
        <v>0</v>
      </c>
      <c r="S127" s="611">
        <v>0</v>
      </c>
      <c r="T127" s="611">
        <v>0</v>
      </c>
      <c r="U127" s="611">
        <v>0</v>
      </c>
      <c r="V127" s="611">
        <v>-43.687310100194736</v>
      </c>
      <c r="W127" s="611">
        <v>0</v>
      </c>
      <c r="X127" s="611">
        <v>0</v>
      </c>
      <c r="Y127" s="613">
        <v>-43.695685489004099</v>
      </c>
      <c r="Z127" s="51"/>
      <c r="AA127" s="51"/>
      <c r="AB127" s="51"/>
    </row>
    <row r="128" spans="1:28" x14ac:dyDescent="0.25">
      <c r="A128" s="51" t="e">
        <f t="shared" si="12"/>
        <v>#REF!</v>
      </c>
      <c r="B128" s="51">
        <f t="shared" si="13"/>
        <v>2025</v>
      </c>
      <c r="C128" s="51" t="str">
        <f t="shared" si="13"/>
        <v>AMS</v>
      </c>
      <c r="D128" s="51" t="s">
        <v>490</v>
      </c>
      <c r="E128" s="51" t="e">
        <f>VLOOKUP($H$6,#REF!,2,FALSE)</f>
        <v>#REF!</v>
      </c>
      <c r="F128" s="51"/>
      <c r="G128" s="610" t="s">
        <v>62</v>
      </c>
      <c r="H128" s="611">
        <v>0</v>
      </c>
      <c r="I128" s="611">
        <v>0</v>
      </c>
      <c r="J128" s="611">
        <v>-17.986125581751292</v>
      </c>
      <c r="K128" s="611">
        <v>0</v>
      </c>
      <c r="L128" s="611">
        <v>-0.52048534400174162</v>
      </c>
      <c r="M128" s="611">
        <v>0</v>
      </c>
      <c r="N128" s="611">
        <v>0</v>
      </c>
      <c r="O128" s="611">
        <v>0</v>
      </c>
      <c r="P128" s="611">
        <v>0</v>
      </c>
      <c r="Q128" s="611">
        <v>0</v>
      </c>
      <c r="R128" s="611">
        <v>-0.36525287298367837</v>
      </c>
      <c r="S128" s="611">
        <v>-2.7393965473775879E-2</v>
      </c>
      <c r="T128" s="611">
        <v>0</v>
      </c>
      <c r="U128" s="611">
        <v>0</v>
      </c>
      <c r="V128" s="611">
        <v>0</v>
      </c>
      <c r="W128" s="611">
        <v>0</v>
      </c>
      <c r="X128" s="611">
        <v>0</v>
      </c>
      <c r="Y128" s="613">
        <v>-18.899257764210489</v>
      </c>
      <c r="Z128" s="51"/>
      <c r="AA128" s="51"/>
      <c r="AB128" s="51"/>
    </row>
    <row r="129" spans="1:28" x14ac:dyDescent="0.25">
      <c r="A129" s="51" t="e">
        <f t="shared" si="12"/>
        <v>#REF!</v>
      </c>
      <c r="B129" s="51">
        <f t="shared" si="13"/>
        <v>2025</v>
      </c>
      <c r="C129" s="51" t="str">
        <f t="shared" si="13"/>
        <v>AMS</v>
      </c>
      <c r="D129" s="51" t="s">
        <v>491</v>
      </c>
      <c r="E129" s="51" t="e">
        <f>VLOOKUP($H$6,#REF!,2,FALSE)</f>
        <v>#REF!</v>
      </c>
      <c r="F129" s="51"/>
      <c r="G129" s="610" t="s">
        <v>63</v>
      </c>
      <c r="H129" s="611">
        <v>0</v>
      </c>
      <c r="I129" s="611">
        <v>0</v>
      </c>
      <c r="J129" s="611">
        <v>-76.912420126613313</v>
      </c>
      <c r="K129" s="611">
        <v>-3.9288154935402962E-2</v>
      </c>
      <c r="L129" s="611">
        <v>0</v>
      </c>
      <c r="M129" s="611">
        <v>0</v>
      </c>
      <c r="N129" s="611">
        <v>0</v>
      </c>
      <c r="O129" s="611">
        <v>0</v>
      </c>
      <c r="P129" s="611">
        <v>0</v>
      </c>
      <c r="Q129" s="611">
        <v>0</v>
      </c>
      <c r="R129" s="611">
        <v>-1.6507409080624253</v>
      </c>
      <c r="S129" s="611">
        <v>0</v>
      </c>
      <c r="T129" s="611">
        <v>0</v>
      </c>
      <c r="U129" s="611">
        <v>0</v>
      </c>
      <c r="V129" s="611">
        <v>0</v>
      </c>
      <c r="W129" s="611">
        <v>0</v>
      </c>
      <c r="X129" s="611">
        <v>0</v>
      </c>
      <c r="Y129" s="613">
        <v>-78.60244918961115</v>
      </c>
      <c r="Z129" s="51"/>
      <c r="AA129" s="51"/>
      <c r="AB129" s="51"/>
    </row>
    <row r="130" spans="1:28" x14ac:dyDescent="0.25">
      <c r="A130" s="51" t="e">
        <f t="shared" si="12"/>
        <v>#REF!</v>
      </c>
      <c r="B130" s="51">
        <f t="shared" si="13"/>
        <v>2025</v>
      </c>
      <c r="C130" s="51" t="str">
        <f t="shared" si="13"/>
        <v>AMS</v>
      </c>
      <c r="D130" s="51" t="s">
        <v>492</v>
      </c>
      <c r="E130" s="51" t="e">
        <f>VLOOKUP($H$6,#REF!,2,FALSE)</f>
        <v>#REF!</v>
      </c>
      <c r="F130" s="51"/>
      <c r="G130" s="610" t="s">
        <v>64</v>
      </c>
      <c r="H130" s="611">
        <v>0</v>
      </c>
      <c r="I130" s="611">
        <v>0</v>
      </c>
      <c r="J130" s="611">
        <v>0</v>
      </c>
      <c r="K130" s="611">
        <v>0</v>
      </c>
      <c r="L130" s="611">
        <v>0</v>
      </c>
      <c r="M130" s="611">
        <v>0</v>
      </c>
      <c r="N130" s="611">
        <v>0</v>
      </c>
      <c r="O130" s="611">
        <v>0</v>
      </c>
      <c r="P130" s="611">
        <v>0</v>
      </c>
      <c r="Q130" s="611">
        <v>0</v>
      </c>
      <c r="R130" s="611">
        <v>0</v>
      </c>
      <c r="S130" s="611">
        <v>0</v>
      </c>
      <c r="T130" s="611">
        <v>0</v>
      </c>
      <c r="U130" s="611">
        <v>0</v>
      </c>
      <c r="V130" s="611">
        <v>0</v>
      </c>
      <c r="W130" s="611">
        <v>0</v>
      </c>
      <c r="X130" s="611">
        <v>0</v>
      </c>
      <c r="Y130" s="613">
        <v>0</v>
      </c>
      <c r="Z130" s="51"/>
      <c r="AA130" s="51"/>
      <c r="AB130" s="51"/>
    </row>
    <row r="131" spans="1:28" x14ac:dyDescent="0.25">
      <c r="A131" s="51" t="e">
        <f t="shared" si="12"/>
        <v>#REF!</v>
      </c>
      <c r="B131" s="51">
        <f t="shared" si="13"/>
        <v>2025</v>
      </c>
      <c r="C131" s="51" t="str">
        <f t="shared" si="13"/>
        <v>AMS</v>
      </c>
      <c r="D131" s="51" t="s">
        <v>493</v>
      </c>
      <c r="E131" s="51" t="e">
        <f>VLOOKUP($H$6,#REF!,2,FALSE)</f>
        <v>#REF!</v>
      </c>
      <c r="F131" s="51"/>
      <c r="G131" s="614" t="s">
        <v>65</v>
      </c>
      <c r="H131" s="615">
        <v>41.831603018044838</v>
      </c>
      <c r="I131" s="615">
        <v>499.41105318884553</v>
      </c>
      <c r="J131" s="615">
        <v>120.45757876576252</v>
      </c>
      <c r="K131" s="615">
        <v>0.6556818795374687</v>
      </c>
      <c r="L131" s="622">
        <v>333.9674857610047</v>
      </c>
      <c r="M131" s="615">
        <v>0</v>
      </c>
      <c r="N131" s="615">
        <v>1053.5890909090911</v>
      </c>
      <c r="O131" s="615">
        <v>155.22027541539615</v>
      </c>
      <c r="P131" s="615">
        <v>217.46171558204423</v>
      </c>
      <c r="Q131" s="615">
        <v>29.401690071090997</v>
      </c>
      <c r="R131" s="615">
        <v>3.6143248573814817</v>
      </c>
      <c r="S131" s="615">
        <v>0.12502703166360196</v>
      </c>
      <c r="T131" s="615">
        <v>63.09733962798451</v>
      </c>
      <c r="U131" s="615">
        <v>8.6306065878365068</v>
      </c>
      <c r="V131" s="615">
        <v>-43.687310100194736</v>
      </c>
      <c r="W131" s="615">
        <v>0</v>
      </c>
      <c r="X131" s="615">
        <v>0</v>
      </c>
      <c r="Y131" s="615">
        <v>2483.7761625954886</v>
      </c>
      <c r="Z131" s="51"/>
      <c r="AA131" s="51"/>
      <c r="AB131" s="51"/>
    </row>
    <row r="132" spans="1:28" x14ac:dyDescent="0.25">
      <c r="A132" s="51"/>
      <c r="B132" s="51"/>
      <c r="C132" s="51"/>
      <c r="D132" s="51"/>
      <c r="E132" s="51"/>
      <c r="F132" s="51"/>
      <c r="G132" s="616"/>
      <c r="H132" s="617">
        <v>0</v>
      </c>
      <c r="I132" s="617">
        <v>0</v>
      </c>
      <c r="J132" s="617">
        <v>0</v>
      </c>
      <c r="K132" s="617">
        <v>0</v>
      </c>
      <c r="L132" s="623">
        <v>0</v>
      </c>
      <c r="M132" s="617">
        <v>0</v>
      </c>
      <c r="N132" s="617">
        <v>0</v>
      </c>
      <c r="O132" s="617">
        <v>0</v>
      </c>
      <c r="P132" s="617">
        <v>0</v>
      </c>
      <c r="Q132" s="617">
        <v>0</v>
      </c>
      <c r="R132" s="617">
        <v>0</v>
      </c>
      <c r="S132" s="617">
        <v>0</v>
      </c>
      <c r="T132" s="617">
        <v>0</v>
      </c>
      <c r="U132" s="617">
        <v>0</v>
      </c>
      <c r="V132" s="617">
        <v>0</v>
      </c>
      <c r="W132" s="617">
        <v>0</v>
      </c>
      <c r="X132" s="617">
        <v>0</v>
      </c>
      <c r="Y132" s="617">
        <v>0</v>
      </c>
      <c r="Z132" s="51"/>
      <c r="AA132" s="51"/>
      <c r="AB132" s="51"/>
    </row>
    <row r="133" spans="1:28" x14ac:dyDescent="0.25">
      <c r="A133" s="51" t="e">
        <f>A131+2</f>
        <v>#REF!</v>
      </c>
      <c r="B133" s="51">
        <f>B131</f>
        <v>2025</v>
      </c>
      <c r="C133" s="51" t="str">
        <f>C131</f>
        <v>AMS</v>
      </c>
      <c r="D133" s="51" t="s">
        <v>494</v>
      </c>
      <c r="E133" s="51" t="e">
        <f>VLOOKUP($H$6,#REF!,2,FALSE)</f>
        <v>#REF!</v>
      </c>
      <c r="F133" s="51"/>
      <c r="G133" s="618" t="s">
        <v>67</v>
      </c>
      <c r="H133" s="611">
        <v>0</v>
      </c>
      <c r="I133" s="611">
        <v>0</v>
      </c>
      <c r="J133" s="611">
        <v>0</v>
      </c>
      <c r="K133" s="611">
        <v>0</v>
      </c>
      <c r="L133" s="611">
        <v>0</v>
      </c>
      <c r="M133" s="611">
        <v>0</v>
      </c>
      <c r="N133" s="611">
        <v>0</v>
      </c>
      <c r="O133" s="611">
        <v>0</v>
      </c>
      <c r="P133" s="611">
        <v>0</v>
      </c>
      <c r="Q133" s="611">
        <v>0</v>
      </c>
      <c r="R133" s="611">
        <v>0</v>
      </c>
      <c r="S133" s="611">
        <v>0</v>
      </c>
      <c r="T133" s="611">
        <v>0</v>
      </c>
      <c r="U133" s="611">
        <v>0</v>
      </c>
      <c r="V133" s="611">
        <v>0</v>
      </c>
      <c r="W133" s="611">
        <v>0</v>
      </c>
      <c r="X133" s="611">
        <v>0</v>
      </c>
      <c r="Y133" s="619">
        <v>0</v>
      </c>
      <c r="Z133" s="51"/>
      <c r="AA133" s="51"/>
      <c r="AB133" s="51"/>
    </row>
    <row r="134" spans="1:28" x14ac:dyDescent="0.25">
      <c r="A134" s="51" t="e">
        <f t="shared" ref="A134:A145" si="14">A133+1</f>
        <v>#REF!</v>
      </c>
      <c r="B134" s="51">
        <f t="shared" ref="B134:C145" si="15">B133</f>
        <v>2025</v>
      </c>
      <c r="C134" s="51" t="str">
        <f t="shared" si="15"/>
        <v>AMS</v>
      </c>
      <c r="D134" s="51" t="s">
        <v>495</v>
      </c>
      <c r="E134" s="51" t="e">
        <f>VLOOKUP($H$6,#REF!,2,FALSE)</f>
        <v>#REF!</v>
      </c>
      <c r="F134" s="51"/>
      <c r="G134" s="618" t="s">
        <v>347</v>
      </c>
      <c r="H134" s="611">
        <v>5.068399788884058</v>
      </c>
      <c r="I134" s="611">
        <v>0</v>
      </c>
      <c r="J134" s="611">
        <v>4.9124728630946066</v>
      </c>
      <c r="K134" s="611">
        <v>0</v>
      </c>
      <c r="L134" s="611">
        <v>36.774004194815085</v>
      </c>
      <c r="M134" s="611">
        <v>0</v>
      </c>
      <c r="N134" s="611">
        <v>1053.5890909090911</v>
      </c>
      <c r="O134" s="611">
        <v>155.22027541539615</v>
      </c>
      <c r="P134" s="611">
        <v>34.16808670604641</v>
      </c>
      <c r="Q134" s="611">
        <v>11.281848474770838</v>
      </c>
      <c r="R134" s="611">
        <v>5.5512316182098811</v>
      </c>
      <c r="S134" s="611">
        <v>5.6113721233995753</v>
      </c>
      <c r="T134" s="611">
        <v>0</v>
      </c>
      <c r="U134" s="611">
        <v>0.31861460974897526</v>
      </c>
      <c r="V134" s="611">
        <v>-544.41932924379887</v>
      </c>
      <c r="W134" s="611">
        <v>0</v>
      </c>
      <c r="X134" s="611">
        <v>0</v>
      </c>
      <c r="Y134" s="619">
        <v>768.07606745965757</v>
      </c>
      <c r="Z134" s="51"/>
      <c r="AA134" s="51"/>
      <c r="AB134" s="51"/>
    </row>
    <row r="135" spans="1:28" x14ac:dyDescent="0.25">
      <c r="A135" s="51" t="e">
        <f t="shared" si="14"/>
        <v>#REF!</v>
      </c>
      <c r="B135" s="51">
        <f t="shared" si="15"/>
        <v>2025</v>
      </c>
      <c r="C135" s="51" t="str">
        <f t="shared" si="15"/>
        <v>AMS</v>
      </c>
      <c r="D135" s="51" t="s">
        <v>496</v>
      </c>
      <c r="E135" s="51" t="e">
        <f>VLOOKUP($H$6,#REF!,2,FALSE)</f>
        <v>#REF!</v>
      </c>
      <c r="F135" s="51"/>
      <c r="G135" s="618" t="s">
        <v>348</v>
      </c>
      <c r="H135" s="611">
        <v>0.1931818181818182</v>
      </c>
      <c r="I135" s="611">
        <v>0</v>
      </c>
      <c r="J135" s="611">
        <v>0</v>
      </c>
      <c r="K135" s="611">
        <v>0</v>
      </c>
      <c r="L135" s="611">
        <v>18.699747563200777</v>
      </c>
      <c r="M135" s="611">
        <v>0</v>
      </c>
      <c r="N135" s="611">
        <v>0</v>
      </c>
      <c r="O135" s="611">
        <v>0</v>
      </c>
      <c r="P135" s="611">
        <v>26.355115374306525</v>
      </c>
      <c r="Q135" s="611">
        <v>15.857266887266444</v>
      </c>
      <c r="R135" s="611">
        <v>0</v>
      </c>
      <c r="S135" s="611">
        <v>3.312429986969792</v>
      </c>
      <c r="T135" s="611">
        <v>0</v>
      </c>
      <c r="U135" s="611">
        <v>5.6407627218251397</v>
      </c>
      <c r="V135" s="611">
        <v>0</v>
      </c>
      <c r="W135" s="611">
        <v>-63.097173845556554</v>
      </c>
      <c r="X135" s="611">
        <v>0</v>
      </c>
      <c r="Y135" s="619">
        <v>6.961330506193935</v>
      </c>
      <c r="Z135" s="51"/>
      <c r="AA135" s="51"/>
      <c r="AB135" s="51"/>
    </row>
    <row r="136" spans="1:28" x14ac:dyDescent="0.25">
      <c r="A136" s="51" t="e">
        <f t="shared" si="14"/>
        <v>#REF!</v>
      </c>
      <c r="B136" s="51">
        <f t="shared" si="15"/>
        <v>2025</v>
      </c>
      <c r="C136" s="51" t="str">
        <f t="shared" si="15"/>
        <v>AMS</v>
      </c>
      <c r="D136" s="51" t="s">
        <v>497</v>
      </c>
      <c r="E136" s="51" t="e">
        <f>VLOOKUP($H$6,#REF!,2,FALSE)</f>
        <v>#REF!</v>
      </c>
      <c r="F136" s="51"/>
      <c r="G136" s="618" t="s">
        <v>349</v>
      </c>
      <c r="H136" s="611">
        <v>0</v>
      </c>
      <c r="I136" s="611">
        <v>0</v>
      </c>
      <c r="J136" s="611">
        <v>0</v>
      </c>
      <c r="K136" s="611">
        <v>0</v>
      </c>
      <c r="L136" s="611">
        <v>0</v>
      </c>
      <c r="M136" s="611">
        <v>0</v>
      </c>
      <c r="N136" s="611">
        <v>0</v>
      </c>
      <c r="O136" s="611">
        <v>0</v>
      </c>
      <c r="P136" s="611">
        <v>25.213782174041008</v>
      </c>
      <c r="Q136" s="611">
        <v>0</v>
      </c>
      <c r="R136" s="611">
        <v>0</v>
      </c>
      <c r="S136" s="611">
        <v>-23.351209189873732</v>
      </c>
      <c r="T136" s="611">
        <v>0</v>
      </c>
      <c r="U136" s="611">
        <v>0</v>
      </c>
      <c r="V136" s="611">
        <v>0</v>
      </c>
      <c r="W136" s="611">
        <v>0</v>
      </c>
      <c r="X136" s="611">
        <v>0</v>
      </c>
      <c r="Y136" s="619">
        <v>1.8625729841672758</v>
      </c>
      <c r="Z136" s="51"/>
      <c r="AA136" s="51"/>
      <c r="AB136" s="51"/>
    </row>
    <row r="137" spans="1:28" x14ac:dyDescent="0.25">
      <c r="A137" s="51" t="e">
        <f t="shared" si="14"/>
        <v>#REF!</v>
      </c>
      <c r="B137" s="51">
        <f t="shared" si="15"/>
        <v>2025</v>
      </c>
      <c r="C137" s="51" t="str">
        <f t="shared" si="15"/>
        <v>AMS</v>
      </c>
      <c r="D137" s="51" t="s">
        <v>498</v>
      </c>
      <c r="E137" s="51" t="e">
        <f>VLOOKUP($H$6,#REF!,2,FALSE)</f>
        <v>#REF!</v>
      </c>
      <c r="F137" s="51"/>
      <c r="G137" s="618" t="s">
        <v>350</v>
      </c>
      <c r="H137" s="611">
        <v>0</v>
      </c>
      <c r="I137" s="611">
        <v>0</v>
      </c>
      <c r="J137" s="611">
        <v>0</v>
      </c>
      <c r="K137" s="611">
        <v>0</v>
      </c>
      <c r="L137" s="611">
        <v>0</v>
      </c>
      <c r="M137" s="611">
        <v>0</v>
      </c>
      <c r="N137" s="611">
        <v>0</v>
      </c>
      <c r="O137" s="611">
        <v>0</v>
      </c>
      <c r="P137" s="611">
        <v>0</v>
      </c>
      <c r="Q137" s="611">
        <v>0</v>
      </c>
      <c r="R137" s="611">
        <v>0</v>
      </c>
      <c r="S137" s="611">
        <v>0</v>
      </c>
      <c r="T137" s="611">
        <v>0</v>
      </c>
      <c r="U137" s="611">
        <v>0</v>
      </c>
      <c r="V137" s="611">
        <v>0</v>
      </c>
      <c r="W137" s="611">
        <v>0</v>
      </c>
      <c r="X137" s="611">
        <v>0</v>
      </c>
      <c r="Y137" s="619">
        <v>0</v>
      </c>
      <c r="Z137" s="51"/>
      <c r="AA137" s="51"/>
      <c r="AB137" s="51"/>
    </row>
    <row r="138" spans="1:28" x14ac:dyDescent="0.25">
      <c r="A138" s="51" t="e">
        <f t="shared" si="14"/>
        <v>#REF!</v>
      </c>
      <c r="B138" s="51">
        <f t="shared" si="15"/>
        <v>2025</v>
      </c>
      <c r="C138" s="51" t="str">
        <f t="shared" si="15"/>
        <v>AMS</v>
      </c>
      <c r="D138" s="51" t="s">
        <v>499</v>
      </c>
      <c r="E138" s="51" t="e">
        <f>VLOOKUP($H$6,#REF!,2,FALSE)</f>
        <v>#REF!</v>
      </c>
      <c r="F138" s="51"/>
      <c r="G138" s="618" t="s">
        <v>72</v>
      </c>
      <c r="H138" s="611">
        <v>0</v>
      </c>
      <c r="I138" s="611">
        <v>517.60249070017358</v>
      </c>
      <c r="J138" s="611">
        <v>-512.45210450124512</v>
      </c>
      <c r="K138" s="611">
        <v>0</v>
      </c>
      <c r="L138" s="611">
        <v>0</v>
      </c>
      <c r="M138" s="611">
        <v>0</v>
      </c>
      <c r="N138" s="611">
        <v>0</v>
      </c>
      <c r="O138" s="611">
        <v>0</v>
      </c>
      <c r="P138" s="611">
        <v>0</v>
      </c>
      <c r="Q138" s="611">
        <v>0</v>
      </c>
      <c r="R138" s="611">
        <v>0</v>
      </c>
      <c r="S138" s="611">
        <v>0</v>
      </c>
      <c r="T138" s="611">
        <v>0</v>
      </c>
      <c r="U138" s="611">
        <v>0</v>
      </c>
      <c r="V138" s="611">
        <v>0</v>
      </c>
      <c r="W138" s="611">
        <v>0</v>
      </c>
      <c r="X138" s="611">
        <v>0</v>
      </c>
      <c r="Y138" s="619">
        <v>5.1503861989284561</v>
      </c>
      <c r="Z138" s="51"/>
      <c r="AA138" s="51"/>
      <c r="AB138" s="51"/>
    </row>
    <row r="139" spans="1:28" x14ac:dyDescent="0.25">
      <c r="A139" s="51" t="e">
        <f t="shared" si="14"/>
        <v>#REF!</v>
      </c>
      <c r="B139" s="51">
        <f t="shared" si="15"/>
        <v>2025</v>
      </c>
      <c r="C139" s="51" t="str">
        <f t="shared" si="15"/>
        <v>AMS</v>
      </c>
      <c r="D139" s="51" t="s">
        <v>500</v>
      </c>
      <c r="E139" s="51" t="e">
        <f>VLOOKUP($H$6,#REF!,2,FALSE)</f>
        <v>#REF!</v>
      </c>
      <c r="F139" s="51"/>
      <c r="G139" s="618" t="s">
        <v>351</v>
      </c>
      <c r="H139" s="611">
        <v>0</v>
      </c>
      <c r="I139" s="611">
        <v>0</v>
      </c>
      <c r="J139" s="611">
        <v>0</v>
      </c>
      <c r="K139" s="611">
        <v>0</v>
      </c>
      <c r="L139" s="611">
        <v>0</v>
      </c>
      <c r="M139" s="611">
        <v>0</v>
      </c>
      <c r="N139" s="611">
        <v>0</v>
      </c>
      <c r="O139" s="611">
        <v>0</v>
      </c>
      <c r="P139" s="611">
        <v>52.070159971858487</v>
      </c>
      <c r="Q139" s="611">
        <v>0</v>
      </c>
      <c r="R139" s="611">
        <v>-52.070159971858487</v>
      </c>
      <c r="S139" s="611">
        <v>0</v>
      </c>
      <c r="T139" s="611">
        <v>0</v>
      </c>
      <c r="U139" s="611">
        <v>0</v>
      </c>
      <c r="V139" s="611">
        <v>0</v>
      </c>
      <c r="W139" s="611">
        <v>0</v>
      </c>
      <c r="X139" s="611">
        <v>0</v>
      </c>
      <c r="Y139" s="619">
        <v>0</v>
      </c>
      <c r="Z139" s="51"/>
      <c r="AA139" s="51"/>
      <c r="AB139" s="51"/>
    </row>
    <row r="140" spans="1:28" x14ac:dyDescent="0.25">
      <c r="A140" s="51" t="e">
        <f t="shared" si="14"/>
        <v>#REF!</v>
      </c>
      <c r="B140" s="51">
        <f t="shared" si="15"/>
        <v>2025</v>
      </c>
      <c r="C140" s="51" t="str">
        <f t="shared" si="15"/>
        <v>AMS</v>
      </c>
      <c r="D140" s="51" t="s">
        <v>501</v>
      </c>
      <c r="E140" s="51" t="e">
        <f>VLOOKUP($H$6,#REF!,2,FALSE)</f>
        <v>#REF!</v>
      </c>
      <c r="F140" s="51"/>
      <c r="G140" s="618" t="s">
        <v>352</v>
      </c>
      <c r="H140" s="611">
        <v>0</v>
      </c>
      <c r="I140" s="611">
        <v>0</v>
      </c>
      <c r="J140" s="611">
        <v>0</v>
      </c>
      <c r="K140" s="611">
        <v>-7.143300897345993E-2</v>
      </c>
      <c r="L140" s="611">
        <v>0</v>
      </c>
      <c r="M140" s="611">
        <v>0</v>
      </c>
      <c r="N140" s="611">
        <v>0</v>
      </c>
      <c r="O140" s="611">
        <v>0</v>
      </c>
      <c r="P140" s="611">
        <v>0</v>
      </c>
      <c r="Q140" s="611">
        <v>0</v>
      </c>
      <c r="R140" s="611">
        <v>0</v>
      </c>
      <c r="S140" s="611">
        <v>0</v>
      </c>
      <c r="T140" s="611">
        <v>0</v>
      </c>
      <c r="U140" s="611">
        <v>0</v>
      </c>
      <c r="V140" s="611">
        <v>0</v>
      </c>
      <c r="W140" s="611">
        <v>0</v>
      </c>
      <c r="X140" s="611">
        <v>9.9488870436573729E-2</v>
      </c>
      <c r="Y140" s="619">
        <v>2.8055861463113799E-2</v>
      </c>
      <c r="Z140" s="51"/>
      <c r="AA140" s="51"/>
      <c r="AB140" s="51"/>
    </row>
    <row r="141" spans="1:28" x14ac:dyDescent="0.25">
      <c r="A141" s="51" t="e">
        <f t="shared" si="14"/>
        <v>#REF!</v>
      </c>
      <c r="B141" s="51">
        <f t="shared" si="15"/>
        <v>2025</v>
      </c>
      <c r="C141" s="51" t="str">
        <f t="shared" si="15"/>
        <v>AMS</v>
      </c>
      <c r="D141" s="51" t="s">
        <v>502</v>
      </c>
      <c r="E141" s="51" t="e">
        <f>VLOOKUP($H$6,#REF!,2,FALSE)</f>
        <v>#REF!</v>
      </c>
      <c r="F141" s="51"/>
      <c r="G141" s="618" t="s">
        <v>73</v>
      </c>
      <c r="H141" s="611">
        <v>0</v>
      </c>
      <c r="I141" s="611">
        <v>0</v>
      </c>
      <c r="J141" s="611">
        <v>0</v>
      </c>
      <c r="K141" s="611">
        <v>0</v>
      </c>
      <c r="L141" s="611">
        <v>0</v>
      </c>
      <c r="M141" s="611">
        <v>0</v>
      </c>
      <c r="N141" s="611">
        <v>0</v>
      </c>
      <c r="O141" s="611">
        <v>0</v>
      </c>
      <c r="P141" s="611">
        <v>0</v>
      </c>
      <c r="Q141" s="611">
        <v>0</v>
      </c>
      <c r="R141" s="611">
        <v>0</v>
      </c>
      <c r="S141" s="611">
        <v>0</v>
      </c>
      <c r="T141" s="611">
        <v>0</v>
      </c>
      <c r="U141" s="611">
        <v>0</v>
      </c>
      <c r="V141" s="611">
        <v>7.9634516882678241</v>
      </c>
      <c r="W141" s="611">
        <v>0</v>
      </c>
      <c r="X141" s="611">
        <v>-5.1762435973740857</v>
      </c>
      <c r="Y141" s="619">
        <v>2.7872080908937384</v>
      </c>
      <c r="Z141" s="51"/>
      <c r="AA141" s="51"/>
      <c r="AB141" s="51"/>
    </row>
    <row r="142" spans="1:28" x14ac:dyDescent="0.25">
      <c r="A142" s="51" t="e">
        <f t="shared" si="14"/>
        <v>#REF!</v>
      </c>
      <c r="B142" s="51">
        <f t="shared" si="15"/>
        <v>2025</v>
      </c>
      <c r="C142" s="51" t="str">
        <f t="shared" si="15"/>
        <v>AMS</v>
      </c>
      <c r="D142" s="51" t="s">
        <v>503</v>
      </c>
      <c r="E142" s="51" t="e">
        <f>VLOOKUP($H$6,#REF!,2,FALSE)</f>
        <v>#REF!</v>
      </c>
      <c r="F142" s="51"/>
      <c r="G142" s="618" t="s">
        <v>353</v>
      </c>
      <c r="H142" s="611">
        <v>22.178927109375</v>
      </c>
      <c r="I142" s="611">
        <v>-18.191437511328061</v>
      </c>
      <c r="J142" s="611">
        <v>23.666155984350404</v>
      </c>
      <c r="K142" s="611">
        <v>0</v>
      </c>
      <c r="L142" s="611">
        <v>0</v>
      </c>
      <c r="M142" s="611">
        <v>0</v>
      </c>
      <c r="N142" s="611">
        <v>0</v>
      </c>
      <c r="O142" s="611">
        <v>0</v>
      </c>
      <c r="P142" s="611">
        <v>0</v>
      </c>
      <c r="Q142" s="611">
        <v>0</v>
      </c>
      <c r="R142" s="611">
        <v>0</v>
      </c>
      <c r="S142" s="611">
        <v>0</v>
      </c>
      <c r="T142" s="611">
        <v>0</v>
      </c>
      <c r="U142" s="611">
        <v>0</v>
      </c>
      <c r="V142" s="611">
        <v>0</v>
      </c>
      <c r="W142" s="611">
        <v>0</v>
      </c>
      <c r="X142" s="611">
        <v>0</v>
      </c>
      <c r="Y142" s="619">
        <v>27.653645582397342</v>
      </c>
      <c r="Z142" s="51"/>
      <c r="AA142" s="51"/>
      <c r="AB142" s="51"/>
    </row>
    <row r="143" spans="1:28" x14ac:dyDescent="0.25">
      <c r="A143" s="51" t="e">
        <f t="shared" si="14"/>
        <v>#REF!</v>
      </c>
      <c r="B143" s="51">
        <f t="shared" si="15"/>
        <v>2025</v>
      </c>
      <c r="C143" s="51" t="str">
        <f t="shared" si="15"/>
        <v>AMS</v>
      </c>
      <c r="D143" s="51" t="s">
        <v>504</v>
      </c>
      <c r="E143" s="51" t="e">
        <f>VLOOKUP($H$6,#REF!,2,FALSE)</f>
        <v>#REF!</v>
      </c>
      <c r="F143" s="51"/>
      <c r="G143" s="618" t="s">
        <v>75</v>
      </c>
      <c r="H143" s="611">
        <v>8.6251383203125016</v>
      </c>
      <c r="I143" s="611">
        <v>0</v>
      </c>
      <c r="J143" s="611">
        <v>20.228971403017535</v>
      </c>
      <c r="K143" s="611">
        <v>0</v>
      </c>
      <c r="L143" s="611">
        <v>5.487827419085181</v>
      </c>
      <c r="M143" s="611">
        <v>0</v>
      </c>
      <c r="N143" s="611">
        <v>0</v>
      </c>
      <c r="O143" s="611">
        <v>0</v>
      </c>
      <c r="P143" s="611">
        <v>0</v>
      </c>
      <c r="Q143" s="611">
        <v>0</v>
      </c>
      <c r="R143" s="611">
        <v>0</v>
      </c>
      <c r="S143" s="611">
        <v>0.28883302205711481</v>
      </c>
      <c r="T143" s="611">
        <v>0</v>
      </c>
      <c r="U143" s="611">
        <v>0</v>
      </c>
      <c r="V143" s="611">
        <v>27.175848689851513</v>
      </c>
      <c r="W143" s="611">
        <v>0</v>
      </c>
      <c r="X143" s="611">
        <v>0</v>
      </c>
      <c r="Y143" s="619">
        <v>61.806618854323844</v>
      </c>
      <c r="Z143" s="51"/>
      <c r="AA143" s="51"/>
      <c r="AB143" s="51"/>
    </row>
    <row r="144" spans="1:28" x14ac:dyDescent="0.25">
      <c r="A144" s="51" t="e">
        <f t="shared" si="14"/>
        <v>#REF!</v>
      </c>
      <c r="B144" s="51">
        <f t="shared" si="15"/>
        <v>2025</v>
      </c>
      <c r="C144" s="51" t="str">
        <f t="shared" si="15"/>
        <v>AMS</v>
      </c>
      <c r="D144" s="51" t="s">
        <v>505</v>
      </c>
      <c r="E144" s="51" t="e">
        <f>VLOOKUP($H$6,#REF!,2,FALSE)</f>
        <v>#REF!</v>
      </c>
      <c r="F144" s="51"/>
      <c r="G144" s="618" t="s">
        <v>76</v>
      </c>
      <c r="H144" s="611">
        <v>0</v>
      </c>
      <c r="I144" s="611">
        <v>0</v>
      </c>
      <c r="J144" s="611">
        <v>0</v>
      </c>
      <c r="K144" s="611">
        <v>0</v>
      </c>
      <c r="L144" s="611">
        <v>3.8832871136431208</v>
      </c>
      <c r="M144" s="611">
        <v>0</v>
      </c>
      <c r="N144" s="611">
        <v>0</v>
      </c>
      <c r="O144" s="611">
        <v>0</v>
      </c>
      <c r="P144" s="611">
        <v>0</v>
      </c>
      <c r="Q144" s="611">
        <v>0</v>
      </c>
      <c r="R144" s="611">
        <v>0</v>
      </c>
      <c r="S144" s="611">
        <v>0.20438353229700637</v>
      </c>
      <c r="T144" s="611">
        <v>0</v>
      </c>
      <c r="U144" s="611">
        <v>0</v>
      </c>
      <c r="V144" s="611">
        <v>38.356125680711244</v>
      </c>
      <c r="W144" s="611">
        <v>4.8935866171781743</v>
      </c>
      <c r="X144" s="611">
        <v>0</v>
      </c>
      <c r="Y144" s="619">
        <v>47.337382943829546</v>
      </c>
      <c r="Z144" s="51"/>
      <c r="AA144" s="51"/>
      <c r="AB144" s="51"/>
    </row>
    <row r="145" spans="1:28" x14ac:dyDescent="0.25">
      <c r="A145" s="51" t="e">
        <f t="shared" si="14"/>
        <v>#REF!</v>
      </c>
      <c r="B145" s="51">
        <f t="shared" si="15"/>
        <v>2025</v>
      </c>
      <c r="C145" s="51" t="str">
        <f t="shared" si="15"/>
        <v>AMS</v>
      </c>
      <c r="D145" s="51" t="s">
        <v>506</v>
      </c>
      <c r="E145" s="51" t="e">
        <f>VLOOKUP($H$6,#REF!,2,FALSE)</f>
        <v>#REF!</v>
      </c>
      <c r="F145" s="51"/>
      <c r="G145" s="614" t="s">
        <v>77</v>
      </c>
      <c r="H145" s="615">
        <v>36.065647036753376</v>
      </c>
      <c r="I145" s="615">
        <v>499.41105318884553</v>
      </c>
      <c r="J145" s="615">
        <v>-463.64450425078257</v>
      </c>
      <c r="K145" s="615">
        <v>-7.143300897345993E-2</v>
      </c>
      <c r="L145" s="622">
        <v>64.844866290744164</v>
      </c>
      <c r="M145" s="615">
        <v>0</v>
      </c>
      <c r="N145" s="615">
        <v>1053.5890909090911</v>
      </c>
      <c r="O145" s="615">
        <v>155.22027541539615</v>
      </c>
      <c r="P145" s="615">
        <v>137.80714422625243</v>
      </c>
      <c r="Q145" s="615">
        <v>27.13911536203728</v>
      </c>
      <c r="R145" s="615">
        <v>-46.518928353648604</v>
      </c>
      <c r="S145" s="615">
        <v>-13.934190525150244</v>
      </c>
      <c r="T145" s="615">
        <v>0</v>
      </c>
      <c r="U145" s="615">
        <v>5.9593773315741148</v>
      </c>
      <c r="V145" s="615">
        <v>-470.92390318496831</v>
      </c>
      <c r="W145" s="615">
        <v>-58.203587228378382</v>
      </c>
      <c r="X145" s="615">
        <v>-5.0767547269375122</v>
      </c>
      <c r="Y145" s="615">
        <v>921.66326848185474</v>
      </c>
      <c r="Z145" s="51"/>
      <c r="AA145" s="51"/>
      <c r="AB145" s="51"/>
    </row>
    <row r="146" spans="1:28" x14ac:dyDescent="0.25">
      <c r="A146" s="51"/>
      <c r="B146" s="51"/>
      <c r="C146" s="51"/>
      <c r="D146" s="51"/>
      <c r="E146" s="51"/>
      <c r="F146" s="51"/>
      <c r="G146" s="616"/>
      <c r="H146" s="617">
        <v>0</v>
      </c>
      <c r="I146" s="617">
        <v>0</v>
      </c>
      <c r="J146" s="617">
        <v>0</v>
      </c>
      <c r="K146" s="617">
        <v>0</v>
      </c>
      <c r="L146" s="623">
        <v>0</v>
      </c>
      <c r="M146" s="617">
        <v>0</v>
      </c>
      <c r="N146" s="617">
        <v>0</v>
      </c>
      <c r="O146" s="617">
        <v>0</v>
      </c>
      <c r="P146" s="617">
        <v>0</v>
      </c>
      <c r="Q146" s="617">
        <v>0</v>
      </c>
      <c r="R146" s="617">
        <v>0</v>
      </c>
      <c r="S146" s="617">
        <v>0</v>
      </c>
      <c r="T146" s="617">
        <v>0</v>
      </c>
      <c r="U146" s="617">
        <v>0</v>
      </c>
      <c r="V146" s="617">
        <v>0</v>
      </c>
      <c r="W146" s="617">
        <v>0</v>
      </c>
      <c r="X146" s="617">
        <v>0</v>
      </c>
      <c r="Y146" s="617">
        <v>0</v>
      </c>
      <c r="Z146" s="51"/>
      <c r="AA146" s="51"/>
      <c r="AB146" s="51"/>
    </row>
    <row r="147" spans="1:28" x14ac:dyDescent="0.25">
      <c r="A147" s="51" t="e">
        <f>A145+2</f>
        <v>#REF!</v>
      </c>
      <c r="B147" s="51">
        <f>B145</f>
        <v>2025</v>
      </c>
      <c r="C147" s="51" t="str">
        <f>C125</f>
        <v>AMS</v>
      </c>
      <c r="D147" s="51" t="s">
        <v>507</v>
      </c>
      <c r="E147" s="51" t="e">
        <f>VLOOKUP($H$6,#REF!,2,FALSE)</f>
        <v>#REF!</v>
      </c>
      <c r="F147" s="51"/>
      <c r="G147" s="618" t="s">
        <v>78</v>
      </c>
      <c r="H147" s="611">
        <v>5.7659559812914596</v>
      </c>
      <c r="I147" s="611">
        <v>0</v>
      </c>
      <c r="J147" s="611">
        <v>20.140625662246215</v>
      </c>
      <c r="K147" s="611">
        <v>0</v>
      </c>
      <c r="L147" s="611">
        <v>96.219207826214614</v>
      </c>
      <c r="M147" s="611">
        <v>0</v>
      </c>
      <c r="N147" s="611">
        <v>0</v>
      </c>
      <c r="O147" s="611">
        <v>0</v>
      </c>
      <c r="P147" s="611">
        <v>18.774389983885822</v>
      </c>
      <c r="Q147" s="611">
        <v>2.2619594529052449</v>
      </c>
      <c r="R147" s="611">
        <v>0.75934024169921888</v>
      </c>
      <c r="S147" s="611">
        <v>5.087709316109053</v>
      </c>
      <c r="T147" s="611">
        <v>1.955318115234375</v>
      </c>
      <c r="U147" s="611">
        <v>4.7991131198633983E-4</v>
      </c>
      <c r="V147" s="611">
        <v>121.32585979507003</v>
      </c>
      <c r="W147" s="611">
        <v>18.196197954086337</v>
      </c>
      <c r="X147" s="611">
        <v>0.58506469726562504</v>
      </c>
      <c r="Y147" s="619">
        <v>291.07210893731997</v>
      </c>
      <c r="Z147" s="51"/>
      <c r="AA147" s="620" t="e" cm="1">
        <f t="array" aca="1" ref="AA147" ca="1">_xlfn.IFNA(INDEX(#REF!,MATCH(INDIRECT("Codes_bilans!"&amp;AA$1&amp;"$"&amp;$A147),#REF!,0),MATCH($B147,#REF!,0)),0)</f>
        <v>#REF!</v>
      </c>
      <c r="AB147" s="51"/>
    </row>
    <row r="148" spans="1:28" x14ac:dyDescent="0.25">
      <c r="A148" s="51" t="e">
        <f t="shared" ref="A148:A155" si="16">A147+1</f>
        <v>#REF!</v>
      </c>
      <c r="B148" s="51">
        <f t="shared" ref="B148:C155" si="17">B147</f>
        <v>2025</v>
      </c>
      <c r="C148" s="51" t="str">
        <f t="shared" si="17"/>
        <v>AMS</v>
      </c>
      <c r="D148" s="51" t="s">
        <v>508</v>
      </c>
      <c r="E148" s="51" t="e">
        <f>VLOOKUP($H$6,#REF!,2,FALSE)</f>
        <v>#REF!</v>
      </c>
      <c r="F148" s="51"/>
      <c r="G148" s="618" t="s">
        <v>79</v>
      </c>
      <c r="H148" s="611">
        <v>0</v>
      </c>
      <c r="I148" s="611">
        <v>0</v>
      </c>
      <c r="J148" s="611">
        <v>390.32849052575307</v>
      </c>
      <c r="K148" s="611">
        <v>0</v>
      </c>
      <c r="L148" s="611">
        <v>3.80545856067917</v>
      </c>
      <c r="M148" s="611">
        <v>0</v>
      </c>
      <c r="N148" s="611">
        <v>0</v>
      </c>
      <c r="O148" s="611">
        <v>0</v>
      </c>
      <c r="P148" s="611">
        <v>0</v>
      </c>
      <c r="Q148" s="611">
        <v>0</v>
      </c>
      <c r="R148" s="611">
        <v>41.205948968253495</v>
      </c>
      <c r="S148" s="611">
        <v>0.20028729266732476</v>
      </c>
      <c r="T148" s="611">
        <v>0</v>
      </c>
      <c r="U148" s="611">
        <v>0</v>
      </c>
      <c r="V148" s="611">
        <v>15.644073294761139</v>
      </c>
      <c r="W148" s="611">
        <v>0</v>
      </c>
      <c r="X148" s="611">
        <v>0</v>
      </c>
      <c r="Y148" s="619">
        <v>451.18425864211417</v>
      </c>
      <c r="Z148" s="51"/>
      <c r="AA148" s="620" t="e" cm="1">
        <f t="array" aca="1" ref="AA148" ca="1">_xlfn.IFNA(INDEX(#REF!,MATCH(INDIRECT("Codes_bilans!"&amp;AA$1&amp;"$"&amp;$A148),#REF!,0),MATCH($B148,#REF!,0)),0)</f>
        <v>#REF!</v>
      </c>
      <c r="AB148" s="51"/>
    </row>
    <row r="149" spans="1:28" x14ac:dyDescent="0.25">
      <c r="A149" s="51" t="e">
        <f t="shared" si="16"/>
        <v>#REF!</v>
      </c>
      <c r="B149" s="51">
        <f t="shared" si="17"/>
        <v>2025</v>
      </c>
      <c r="C149" s="51" t="str">
        <f t="shared" si="17"/>
        <v>AMS</v>
      </c>
      <c r="D149" s="51" t="s">
        <v>509</v>
      </c>
      <c r="E149" s="51" t="e">
        <f>VLOOKUP($H$6,#REF!,2,FALSE)</f>
        <v>#REF!</v>
      </c>
      <c r="F149" s="51"/>
      <c r="G149" s="618" t="s">
        <v>80</v>
      </c>
      <c r="H149" s="611">
        <v>0</v>
      </c>
      <c r="I149" s="611">
        <v>0</v>
      </c>
      <c r="J149" s="611">
        <v>12.124097766198929</v>
      </c>
      <c r="K149" s="611">
        <v>0</v>
      </c>
      <c r="L149" s="611">
        <v>106.96046467685454</v>
      </c>
      <c r="M149" s="611">
        <v>0</v>
      </c>
      <c r="N149" s="611">
        <v>0</v>
      </c>
      <c r="O149" s="611">
        <v>0</v>
      </c>
      <c r="P149" s="611">
        <v>59.150287479050967</v>
      </c>
      <c r="Q149" s="611">
        <v>0</v>
      </c>
      <c r="R149" s="611">
        <v>0</v>
      </c>
      <c r="S149" s="611">
        <v>5.6294981408870823</v>
      </c>
      <c r="T149" s="611">
        <v>50.263804232391934</v>
      </c>
      <c r="U149" s="611">
        <v>1.4653773673998376</v>
      </c>
      <c r="V149" s="611">
        <v>167.05352361968622</v>
      </c>
      <c r="W149" s="611">
        <v>26.615725966388851</v>
      </c>
      <c r="X149" s="611">
        <v>0</v>
      </c>
      <c r="Y149" s="619">
        <v>429.26277924885835</v>
      </c>
      <c r="Z149" s="51"/>
      <c r="AA149" s="620" t="e" cm="1">
        <f t="array" aca="1" ref="AA149" ca="1">_xlfn.IFNA(INDEX(#REF!,MATCH(INDIRECT("Codes_bilans!"&amp;AA$1&amp;"$"&amp;$A149),#REF!,0),MATCH($B149,#REF!,0)),0)</f>
        <v>#REF!</v>
      </c>
      <c r="AB149" s="51"/>
    </row>
    <row r="150" spans="1:28" x14ac:dyDescent="0.25">
      <c r="A150" s="51" t="e">
        <f t="shared" si="16"/>
        <v>#REF!</v>
      </c>
      <c r="B150" s="51">
        <f t="shared" si="17"/>
        <v>2025</v>
      </c>
      <c r="C150" s="51" t="str">
        <f t="shared" si="17"/>
        <v>AMS</v>
      </c>
      <c r="D150" s="51" t="s">
        <v>510</v>
      </c>
      <c r="E150" s="51" t="e">
        <f>VLOOKUP($H$6,#REF!,2,FALSE)</f>
        <v>#REF!</v>
      </c>
      <c r="F150" s="51"/>
      <c r="G150" s="618" t="s">
        <v>81</v>
      </c>
      <c r="H150" s="611">
        <v>0</v>
      </c>
      <c r="I150" s="611">
        <v>0</v>
      </c>
      <c r="J150" s="611">
        <v>17.266825593867647</v>
      </c>
      <c r="K150" s="611">
        <v>0</v>
      </c>
      <c r="L150" s="611">
        <v>47.207135385758583</v>
      </c>
      <c r="M150" s="611">
        <v>0</v>
      </c>
      <c r="N150" s="611">
        <v>0</v>
      </c>
      <c r="O150" s="611">
        <v>0</v>
      </c>
      <c r="P150" s="611">
        <v>0.34286013585192066</v>
      </c>
      <c r="Q150" s="611">
        <v>6.152561484679505E-4</v>
      </c>
      <c r="R150" s="611">
        <v>0</v>
      </c>
      <c r="S150" s="611">
        <v>2.4845860729346625</v>
      </c>
      <c r="T150" s="611">
        <v>10.628217280358204</v>
      </c>
      <c r="U150" s="611">
        <v>0.84471066492371039</v>
      </c>
      <c r="V150" s="611">
        <v>115.22915089485383</v>
      </c>
      <c r="W150" s="611">
        <v>13.391663307903183</v>
      </c>
      <c r="X150" s="611">
        <v>0</v>
      </c>
      <c r="Y150" s="619">
        <v>207.39576459260022</v>
      </c>
      <c r="Z150" s="51"/>
      <c r="AA150" s="620" t="e" cm="1">
        <f t="array" aca="1" ref="AA150" ca="1">_xlfn.IFNA(INDEX(#REF!,MATCH(INDIRECT("Codes_bilans!"&amp;AA$1&amp;"$"&amp;$A150),#REF!,0),MATCH($B150,#REF!,0)),0)</f>
        <v>#REF!</v>
      </c>
      <c r="AB150" s="51"/>
    </row>
    <row r="151" spans="1:28" x14ac:dyDescent="0.25">
      <c r="A151" s="51" t="e">
        <f t="shared" si="16"/>
        <v>#REF!</v>
      </c>
      <c r="B151" s="51">
        <f t="shared" si="17"/>
        <v>2025</v>
      </c>
      <c r="C151" s="51" t="str">
        <f t="shared" si="17"/>
        <v>AMS</v>
      </c>
      <c r="D151" s="51" t="s">
        <v>511</v>
      </c>
      <c r="E151" s="51" t="e">
        <f>VLOOKUP($H$6,#REF!,2,FALSE)</f>
        <v>#REF!</v>
      </c>
      <c r="F151" s="51"/>
      <c r="G151" s="618" t="s">
        <v>82</v>
      </c>
      <c r="H151" s="611">
        <v>0</v>
      </c>
      <c r="I151" s="611">
        <v>0</v>
      </c>
      <c r="J151" s="611">
        <v>31.022615677081973</v>
      </c>
      <c r="K151" s="611">
        <v>0</v>
      </c>
      <c r="L151" s="611">
        <v>2.3514405709880259</v>
      </c>
      <c r="M151" s="611">
        <v>0</v>
      </c>
      <c r="N151" s="611">
        <v>0</v>
      </c>
      <c r="O151" s="611">
        <v>0</v>
      </c>
      <c r="P151" s="611">
        <v>1.325152202471839</v>
      </c>
      <c r="Q151" s="611">
        <v>0</v>
      </c>
      <c r="R151" s="611">
        <v>2.8798420607810633</v>
      </c>
      <c r="S151" s="611">
        <v>0.12376003005200138</v>
      </c>
      <c r="T151" s="611">
        <v>0.25</v>
      </c>
      <c r="U151" s="611">
        <v>0.36066131262685786</v>
      </c>
      <c r="V151" s="611">
        <v>7.9839854804023167</v>
      </c>
      <c r="W151" s="611">
        <v>0</v>
      </c>
      <c r="X151" s="611">
        <v>8.6831190235855574E-2</v>
      </c>
      <c r="Y151" s="619">
        <v>46.384288524639942</v>
      </c>
      <c r="Z151" s="51"/>
      <c r="AA151" s="620" t="e" cm="1">
        <f t="array" aca="1" ref="AA151" ca="1">_xlfn.IFNA(INDEX(#REF!,MATCH(INDIRECT("Codes_bilans!"&amp;AA$1&amp;"$"&amp;$A151),#REF!,0),MATCH($B151,#REF!,0)),0)</f>
        <v>#REF!</v>
      </c>
      <c r="AB151" s="51"/>
    </row>
    <row r="152" spans="1:28" x14ac:dyDescent="0.25">
      <c r="A152" s="51" t="e">
        <f t="shared" si="16"/>
        <v>#REF!</v>
      </c>
      <c r="B152" s="51">
        <f t="shared" si="17"/>
        <v>2025</v>
      </c>
      <c r="C152" s="51" t="str">
        <f t="shared" si="17"/>
        <v>AMS</v>
      </c>
      <c r="D152" s="51" t="s">
        <v>512</v>
      </c>
      <c r="E152" s="51" t="e">
        <f>VLOOKUP($H$6,#REF!,2,FALSE)</f>
        <v>#REF!</v>
      </c>
      <c r="F152" s="51"/>
      <c r="G152" s="618" t="s">
        <v>354</v>
      </c>
      <c r="H152" s="611">
        <v>0</v>
      </c>
      <c r="I152" s="611">
        <v>0</v>
      </c>
      <c r="J152" s="611">
        <v>0</v>
      </c>
      <c r="K152" s="611">
        <v>0</v>
      </c>
      <c r="L152" s="611">
        <v>0</v>
      </c>
      <c r="M152" s="611">
        <v>0</v>
      </c>
      <c r="N152" s="611">
        <v>0</v>
      </c>
      <c r="O152" s="611">
        <v>0</v>
      </c>
      <c r="P152" s="611">
        <v>0</v>
      </c>
      <c r="Q152" s="611">
        <v>0</v>
      </c>
      <c r="R152" s="611">
        <v>0</v>
      </c>
      <c r="S152" s="611">
        <v>0</v>
      </c>
      <c r="T152" s="611">
        <v>0</v>
      </c>
      <c r="U152" s="611">
        <v>0</v>
      </c>
      <c r="V152" s="611">
        <v>0</v>
      </c>
      <c r="W152" s="611">
        <v>0</v>
      </c>
      <c r="X152" s="611">
        <v>0</v>
      </c>
      <c r="Y152" s="619">
        <v>0</v>
      </c>
      <c r="Z152" s="51"/>
      <c r="AA152" s="620" t="e" cm="1">
        <f t="array" aca="1" ref="AA152" ca="1">_xlfn.IFNA(INDEX(#REF!,MATCH(INDIRECT("Codes_bilans!"&amp;AA$1&amp;"$"&amp;$A152),#REF!,0),MATCH($B152,#REF!,0)),0)</f>
        <v>#REF!</v>
      </c>
      <c r="AB152" s="51"/>
    </row>
    <row r="153" spans="1:28" x14ac:dyDescent="0.25">
      <c r="A153" s="51" t="e">
        <f t="shared" si="16"/>
        <v>#REF!</v>
      </c>
      <c r="B153" s="51">
        <f t="shared" si="17"/>
        <v>2025</v>
      </c>
      <c r="C153" s="51" t="str">
        <f t="shared" si="17"/>
        <v>AMS</v>
      </c>
      <c r="D153" s="51" t="s">
        <v>513</v>
      </c>
      <c r="E153" s="51" t="e">
        <f>VLOOKUP($H$6,#REF!,2,FALSE)</f>
        <v>#REF!</v>
      </c>
      <c r="F153" s="51"/>
      <c r="G153" s="614" t="s">
        <v>83</v>
      </c>
      <c r="H153" s="615">
        <v>5.7659559812914596</v>
      </c>
      <c r="I153" s="615">
        <v>0</v>
      </c>
      <c r="J153" s="615">
        <v>470.88265522514774</v>
      </c>
      <c r="K153" s="615">
        <v>0</v>
      </c>
      <c r="L153" s="622">
        <v>256.54370702049494</v>
      </c>
      <c r="M153" s="615">
        <v>0</v>
      </c>
      <c r="N153" s="615">
        <v>0</v>
      </c>
      <c r="O153" s="615">
        <v>0</v>
      </c>
      <c r="P153" s="615">
        <v>79.592689801260548</v>
      </c>
      <c r="Q153" s="615">
        <v>2.2625747090537129</v>
      </c>
      <c r="R153" s="615">
        <v>44.845131270733781</v>
      </c>
      <c r="S153" s="615">
        <v>13.525840852650123</v>
      </c>
      <c r="T153" s="615">
        <v>63.09733962798451</v>
      </c>
      <c r="U153" s="615">
        <v>2.671229256262392</v>
      </c>
      <c r="V153" s="615">
        <v>427.23659308477357</v>
      </c>
      <c r="W153" s="615">
        <v>58.203587228378382</v>
      </c>
      <c r="X153" s="615">
        <v>0.67189588750148066</v>
      </c>
      <c r="Y153" s="615">
        <v>1425.2991999455328</v>
      </c>
      <c r="Z153" s="51"/>
      <c r="AA153" s="51"/>
      <c r="AB153" s="51"/>
    </row>
    <row r="154" spans="1:28" x14ac:dyDescent="0.25">
      <c r="A154" s="51" t="e">
        <f t="shared" si="16"/>
        <v>#REF!</v>
      </c>
      <c r="B154" s="51">
        <f t="shared" si="17"/>
        <v>2025</v>
      </c>
      <c r="C154" s="51" t="str">
        <f t="shared" si="17"/>
        <v>AMS</v>
      </c>
      <c r="D154" s="51" t="s">
        <v>514</v>
      </c>
      <c r="E154" s="51" t="e">
        <f>VLOOKUP($H$6,#REF!,2,FALSE)</f>
        <v>#REF!</v>
      </c>
      <c r="F154" s="51"/>
      <c r="G154" s="610" t="s">
        <v>84</v>
      </c>
      <c r="H154" s="611">
        <v>0</v>
      </c>
      <c r="I154" s="611">
        <v>0</v>
      </c>
      <c r="J154" s="611">
        <v>113.21942779139728</v>
      </c>
      <c r="K154" s="611">
        <v>0.72711488851092865</v>
      </c>
      <c r="L154" s="611">
        <v>12.578912449765744</v>
      </c>
      <c r="M154" s="611">
        <v>0</v>
      </c>
      <c r="N154" s="611">
        <v>0</v>
      </c>
      <c r="O154" s="611">
        <v>0</v>
      </c>
      <c r="P154" s="611">
        <v>6.1881554531238177E-2</v>
      </c>
      <c r="Q154" s="611">
        <v>0</v>
      </c>
      <c r="R154" s="611">
        <v>5.2881219402962731</v>
      </c>
      <c r="S154" s="611">
        <v>0.53337670416372851</v>
      </c>
      <c r="T154" s="611">
        <v>0</v>
      </c>
      <c r="U154" s="611">
        <v>0</v>
      </c>
      <c r="V154" s="611">
        <v>0</v>
      </c>
      <c r="W154" s="611">
        <v>0</v>
      </c>
      <c r="X154" s="611">
        <v>4.4048588394360317</v>
      </c>
      <c r="Y154" s="619">
        <v>136.81369416810119</v>
      </c>
      <c r="Z154" s="51"/>
      <c r="AA154" s="620" t="e" cm="1">
        <f t="array" aca="1" ref="AA154" ca="1">_xlfn.IFNA(INDEX(#REF!,MATCH(INDIRECT("Codes_bilans!"&amp;AA$1&amp;"$"&amp;$A154),#REF!,0),MATCH($B154,#REF!,0)),0)</f>
        <v>#REF!</v>
      </c>
      <c r="AB154" s="51"/>
    </row>
    <row r="155" spans="1:28" x14ac:dyDescent="0.25">
      <c r="A155" s="51" t="e">
        <f t="shared" si="16"/>
        <v>#REF!</v>
      </c>
      <c r="B155" s="51">
        <f t="shared" si="17"/>
        <v>2025</v>
      </c>
      <c r="C155" s="51" t="str">
        <f t="shared" si="17"/>
        <v>AMS</v>
      </c>
      <c r="D155" s="51" t="s">
        <v>515</v>
      </c>
      <c r="E155" s="51" t="e">
        <f>VLOOKUP($H$6,#REF!,2,FALSE)</f>
        <v>#REF!</v>
      </c>
      <c r="F155" s="51"/>
      <c r="G155" s="614" t="s">
        <v>85</v>
      </c>
      <c r="H155" s="615">
        <v>5.7659559812914596</v>
      </c>
      <c r="I155" s="615">
        <v>0</v>
      </c>
      <c r="J155" s="615">
        <v>584.10208301654495</v>
      </c>
      <c r="K155" s="615">
        <v>0.72711488851092865</v>
      </c>
      <c r="L155" s="622">
        <v>269.1226194702607</v>
      </c>
      <c r="M155" s="615">
        <v>0</v>
      </c>
      <c r="N155" s="615">
        <v>0</v>
      </c>
      <c r="O155" s="615">
        <v>0</v>
      </c>
      <c r="P155" s="615">
        <v>79.654571355791788</v>
      </c>
      <c r="Q155" s="615">
        <v>2.2625747090537129</v>
      </c>
      <c r="R155" s="615">
        <v>50.133253211030052</v>
      </c>
      <c r="S155" s="615">
        <v>14.059217556813852</v>
      </c>
      <c r="T155" s="615">
        <v>63.09733962798451</v>
      </c>
      <c r="U155" s="615">
        <v>2.671229256262392</v>
      </c>
      <c r="V155" s="615">
        <v>427.23659308477357</v>
      </c>
      <c r="W155" s="615">
        <v>58.203587228378382</v>
      </c>
      <c r="X155" s="615">
        <v>5.0767547269375122</v>
      </c>
      <c r="Y155" s="615">
        <v>1562.1128941136342</v>
      </c>
      <c r="Z155" s="51"/>
      <c r="AA155" s="51"/>
      <c r="AB155" s="51"/>
    </row>
    <row r="156" spans="1:28" x14ac:dyDescent="0.25">
      <c r="A156" s="51"/>
      <c r="B156" s="51"/>
      <c r="C156" s="51"/>
      <c r="D156" s="51"/>
      <c r="E156" s="51"/>
      <c r="F156" s="51"/>
      <c r="G156" s="51"/>
      <c r="H156" s="67">
        <v>0</v>
      </c>
      <c r="I156" s="67">
        <v>0</v>
      </c>
      <c r="J156" s="67">
        <v>-1.4210854715202004E-13</v>
      </c>
      <c r="K156" s="67">
        <v>0</v>
      </c>
      <c r="L156" s="67">
        <v>0</v>
      </c>
      <c r="M156" s="67">
        <v>0</v>
      </c>
      <c r="N156" s="67">
        <v>0</v>
      </c>
      <c r="O156" s="67">
        <v>0</v>
      </c>
      <c r="P156" s="67">
        <v>0</v>
      </c>
      <c r="Q156" s="67">
        <v>0</v>
      </c>
      <c r="R156" s="67">
        <v>-3.4194869158454821E-14</v>
      </c>
      <c r="S156" s="67">
        <v>5.9952043329758453E-15</v>
      </c>
      <c r="T156" s="67">
        <v>0</v>
      </c>
      <c r="U156" s="67">
        <v>0</v>
      </c>
      <c r="V156" s="67">
        <v>0</v>
      </c>
      <c r="W156" s="67">
        <v>0</v>
      </c>
      <c r="X156" s="67">
        <v>0</v>
      </c>
      <c r="Y156" s="67">
        <v>0</v>
      </c>
      <c r="Z156" s="51"/>
      <c r="AA156" s="51"/>
      <c r="AB156" s="51"/>
    </row>
    <row r="157" spans="1:28" x14ac:dyDescent="0.25">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row>
    <row r="158" spans="1:28" x14ac:dyDescent="0.25">
      <c r="A158" s="606"/>
      <c r="B158" s="606"/>
      <c r="C158" s="606"/>
      <c r="D158" s="606"/>
      <c r="E158" s="606"/>
      <c r="F158" s="606"/>
      <c r="G158" s="607" t="s">
        <v>356</v>
      </c>
      <c r="H158" s="606"/>
      <c r="I158" s="606"/>
      <c r="J158" s="606"/>
      <c r="K158" s="606"/>
      <c r="L158" s="606"/>
      <c r="M158" s="606"/>
      <c r="N158" s="606"/>
      <c r="O158" s="606"/>
      <c r="P158" s="606"/>
      <c r="Q158" s="606"/>
      <c r="R158" s="606"/>
      <c r="S158" s="606"/>
      <c r="T158" s="606"/>
      <c r="U158" s="606"/>
      <c r="V158" s="606"/>
      <c r="W158" s="606"/>
      <c r="X158" s="606"/>
      <c r="Y158" s="606"/>
      <c r="Z158" s="606"/>
      <c r="AA158" s="606"/>
      <c r="AB158" s="606"/>
    </row>
    <row r="159" spans="1:28" x14ac:dyDescent="0.25">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row>
    <row r="160" spans="1:28" ht="14.25" customHeight="1" x14ac:dyDescent="0.25">
      <c r="A160" s="51"/>
      <c r="B160" s="51"/>
      <c r="C160" s="51"/>
      <c r="D160" s="51"/>
      <c r="E160" s="51"/>
      <c r="F160" s="51"/>
      <c r="G160" s="764" t="s">
        <v>128</v>
      </c>
      <c r="H160" s="753" t="s">
        <v>42</v>
      </c>
      <c r="I160" s="753" t="s">
        <v>52</v>
      </c>
      <c r="J160" s="753" t="s">
        <v>53</v>
      </c>
      <c r="K160" s="753" t="s">
        <v>482</v>
      </c>
      <c r="L160" s="753" t="s">
        <v>32</v>
      </c>
      <c r="M160" s="753" t="s">
        <v>483</v>
      </c>
      <c r="N160" s="753" t="s">
        <v>20</v>
      </c>
      <c r="O160" s="753" t="s">
        <v>55</v>
      </c>
      <c r="P160" s="761" t="s">
        <v>56</v>
      </c>
      <c r="Q160" s="762"/>
      <c r="R160" s="762"/>
      <c r="S160" s="762"/>
      <c r="T160" s="762"/>
      <c r="U160" s="763"/>
      <c r="V160" s="753" t="s">
        <v>57</v>
      </c>
      <c r="W160" s="753" t="s">
        <v>58</v>
      </c>
      <c r="X160" s="753" t="s">
        <v>31</v>
      </c>
      <c r="Y160" s="753" t="s">
        <v>10</v>
      </c>
      <c r="Z160" s="51"/>
      <c r="AA160" s="51"/>
      <c r="AB160" s="51"/>
    </row>
    <row r="161" spans="1:28" ht="24" x14ac:dyDescent="0.25">
      <c r="A161" s="51"/>
      <c r="B161" s="51"/>
      <c r="C161" s="51"/>
      <c r="D161" s="51" t="s">
        <v>486</v>
      </c>
      <c r="E161" s="51"/>
      <c r="F161" s="51"/>
      <c r="G161" s="765"/>
      <c r="H161" s="754"/>
      <c r="I161" s="754"/>
      <c r="J161" s="754"/>
      <c r="K161" s="754"/>
      <c r="L161" s="754"/>
      <c r="M161" s="754"/>
      <c r="N161" s="754"/>
      <c r="O161" s="754"/>
      <c r="P161" s="608" t="s">
        <v>335</v>
      </c>
      <c r="Q161" s="608" t="s">
        <v>40</v>
      </c>
      <c r="R161" s="608" t="s">
        <v>343</v>
      </c>
      <c r="S161" s="608" t="s">
        <v>344</v>
      </c>
      <c r="T161" s="609" t="s">
        <v>345</v>
      </c>
      <c r="U161" s="608" t="s">
        <v>346</v>
      </c>
      <c r="V161" s="754"/>
      <c r="W161" s="754"/>
      <c r="X161" s="754"/>
      <c r="Y161" s="754"/>
      <c r="Z161" s="51"/>
      <c r="AA161" s="51"/>
      <c r="AB161" s="51"/>
    </row>
    <row r="162" spans="1:28" x14ac:dyDescent="0.25">
      <c r="A162" s="51" t="e">
        <f>A125</f>
        <v>#REF!</v>
      </c>
      <c r="B162" s="51">
        <v>2028</v>
      </c>
      <c r="C162" s="51" t="s">
        <v>47</v>
      </c>
      <c r="D162" s="51" t="s">
        <v>487</v>
      </c>
      <c r="E162" s="51" t="e">
        <f>VLOOKUP($H$6,#REF!,2,FALSE)</f>
        <v>#REF!</v>
      </c>
      <c r="F162" s="51"/>
      <c r="G162" s="610" t="s">
        <v>59</v>
      </c>
      <c r="H162" s="611">
        <v>0</v>
      </c>
      <c r="I162" s="611">
        <v>9.7691999999999997</v>
      </c>
      <c r="J162" s="611">
        <v>0</v>
      </c>
      <c r="K162" s="611">
        <v>0</v>
      </c>
      <c r="L162" s="611">
        <v>0.18608000000000002</v>
      </c>
      <c r="M162" s="611">
        <v>0</v>
      </c>
      <c r="N162" s="612">
        <v>1044.4078145454548</v>
      </c>
      <c r="O162" s="612">
        <v>185.40677407888145</v>
      </c>
      <c r="P162" s="612">
        <v>223.71408153333834</v>
      </c>
      <c r="Q162" s="612">
        <v>28.897382822906049</v>
      </c>
      <c r="R162" s="611">
        <v>1.6018700034195554</v>
      </c>
      <c r="S162" s="611">
        <v>0.1425306035599459</v>
      </c>
      <c r="T162" s="612">
        <v>79.93802880459161</v>
      </c>
      <c r="U162" s="612">
        <v>9.9179265849836327</v>
      </c>
      <c r="V162" s="611">
        <v>0</v>
      </c>
      <c r="W162" s="611">
        <v>0</v>
      </c>
      <c r="X162" s="611">
        <v>0</v>
      </c>
      <c r="Y162" s="613">
        <v>1583.981688977135</v>
      </c>
      <c r="Z162" s="51"/>
      <c r="AA162" s="51"/>
      <c r="AB162" s="51"/>
    </row>
    <row r="163" spans="1:28" x14ac:dyDescent="0.25">
      <c r="A163" s="51" t="e">
        <f t="shared" ref="A163:A168" si="18">A162+1</f>
        <v>#REF!</v>
      </c>
      <c r="B163" s="51">
        <f t="shared" ref="B163:C168" si="19">B162</f>
        <v>2028</v>
      </c>
      <c r="C163" s="51" t="str">
        <f t="shared" si="19"/>
        <v>AMS</v>
      </c>
      <c r="D163" s="51" t="s">
        <v>488</v>
      </c>
      <c r="E163" s="51" t="e">
        <f>VLOOKUP($H$6,#REF!,2,FALSE)</f>
        <v>#REF!</v>
      </c>
      <c r="F163" s="51"/>
      <c r="G163" s="610" t="s">
        <v>60</v>
      </c>
      <c r="H163" s="611">
        <v>27.904129505618755</v>
      </c>
      <c r="I163" s="611">
        <v>443.26764285453919</v>
      </c>
      <c r="J163" s="611">
        <v>170.8178876133114</v>
      </c>
      <c r="K163" s="611">
        <v>0.96874110820809101</v>
      </c>
      <c r="L163" s="611">
        <v>280.123967850952</v>
      </c>
      <c r="M163" s="611">
        <v>0</v>
      </c>
      <c r="N163" s="611">
        <v>0</v>
      </c>
      <c r="O163" s="611">
        <v>0</v>
      </c>
      <c r="P163" s="611">
        <v>2.543202703318971</v>
      </c>
      <c r="Q163" s="611">
        <v>0</v>
      </c>
      <c r="R163" s="611">
        <v>3.3840076567254442</v>
      </c>
      <c r="S163" s="611">
        <v>0</v>
      </c>
      <c r="T163" s="611">
        <v>0</v>
      </c>
      <c r="U163" s="611">
        <v>0</v>
      </c>
      <c r="V163" s="611">
        <v>0</v>
      </c>
      <c r="W163" s="611">
        <v>0</v>
      </c>
      <c r="X163" s="611">
        <v>0</v>
      </c>
      <c r="Y163" s="613">
        <v>929.00957929267383</v>
      </c>
      <c r="Z163" s="51"/>
      <c r="AA163" s="51"/>
      <c r="AB163" s="51"/>
    </row>
    <row r="164" spans="1:28" x14ac:dyDescent="0.25">
      <c r="A164" s="51" t="e">
        <f t="shared" si="18"/>
        <v>#REF!</v>
      </c>
      <c r="B164" s="51">
        <f t="shared" si="19"/>
        <v>2028</v>
      </c>
      <c r="C164" s="51" t="str">
        <f t="shared" si="19"/>
        <v>AMS</v>
      </c>
      <c r="D164" s="51" t="s">
        <v>489</v>
      </c>
      <c r="E164" s="51" t="e">
        <f>VLOOKUP($H$6,#REF!,2,FALSE)</f>
        <v>#REF!</v>
      </c>
      <c r="F164" s="51"/>
      <c r="G164" s="610" t="s">
        <v>61</v>
      </c>
      <c r="H164" s="611">
        <v>0</v>
      </c>
      <c r="I164" s="611">
        <v>0</v>
      </c>
      <c r="J164" s="611">
        <v>-8.238229290577169E-2</v>
      </c>
      <c r="K164" s="611">
        <v>0</v>
      </c>
      <c r="L164" s="611">
        <v>0</v>
      </c>
      <c r="M164" s="611">
        <v>0</v>
      </c>
      <c r="N164" s="611">
        <v>0</v>
      </c>
      <c r="O164" s="611">
        <v>0</v>
      </c>
      <c r="P164" s="611">
        <v>0</v>
      </c>
      <c r="Q164" s="611">
        <v>0</v>
      </c>
      <c r="R164" s="611">
        <v>0</v>
      </c>
      <c r="S164" s="611">
        <v>0</v>
      </c>
      <c r="T164" s="611">
        <v>0</v>
      </c>
      <c r="U164" s="611">
        <v>0</v>
      </c>
      <c r="V164" s="611">
        <v>-57.937485455201795</v>
      </c>
      <c r="W164" s="611">
        <v>0</v>
      </c>
      <c r="X164" s="611">
        <v>0</v>
      </c>
      <c r="Y164" s="613">
        <v>-58.019867748107565</v>
      </c>
      <c r="Z164" s="51"/>
      <c r="AA164" s="51"/>
      <c r="AB164" s="51"/>
    </row>
    <row r="165" spans="1:28" x14ac:dyDescent="0.25">
      <c r="A165" s="51" t="e">
        <f t="shared" si="18"/>
        <v>#REF!</v>
      </c>
      <c r="B165" s="51">
        <f t="shared" si="19"/>
        <v>2028</v>
      </c>
      <c r="C165" s="51" t="str">
        <f t="shared" si="19"/>
        <v>AMS</v>
      </c>
      <c r="D165" s="51" t="s">
        <v>490</v>
      </c>
      <c r="E165" s="51" t="e">
        <f>VLOOKUP($H$6,#REF!,2,FALSE)</f>
        <v>#REF!</v>
      </c>
      <c r="F165" s="51"/>
      <c r="G165" s="610" t="s">
        <v>62</v>
      </c>
      <c r="H165" s="611">
        <v>0</v>
      </c>
      <c r="I165" s="611">
        <v>0</v>
      </c>
      <c r="J165" s="611">
        <v>-16.913982362364816</v>
      </c>
      <c r="K165" s="611">
        <v>-0.21068566030958977</v>
      </c>
      <c r="L165" s="611">
        <v>-1.5457950077696609</v>
      </c>
      <c r="M165" s="611">
        <v>0</v>
      </c>
      <c r="N165" s="611">
        <v>0</v>
      </c>
      <c r="O165" s="611">
        <v>0</v>
      </c>
      <c r="P165" s="611">
        <v>0</v>
      </c>
      <c r="Q165" s="611">
        <v>0</v>
      </c>
      <c r="R165" s="611">
        <v>-0.46212963965785603</v>
      </c>
      <c r="S165" s="611">
        <v>-0.15662240166829164</v>
      </c>
      <c r="T165" s="611">
        <v>0</v>
      </c>
      <c r="U165" s="611">
        <v>0</v>
      </c>
      <c r="V165" s="611">
        <v>0</v>
      </c>
      <c r="W165" s="611">
        <v>0</v>
      </c>
      <c r="X165" s="611">
        <v>0</v>
      </c>
      <c r="Y165" s="613">
        <v>-19.289215071770215</v>
      </c>
      <c r="Z165" s="51"/>
      <c r="AA165" s="51"/>
      <c r="AB165" s="51"/>
    </row>
    <row r="166" spans="1:28" x14ac:dyDescent="0.25">
      <c r="A166" s="51" t="e">
        <f t="shared" si="18"/>
        <v>#REF!</v>
      </c>
      <c r="B166" s="51">
        <f t="shared" si="19"/>
        <v>2028</v>
      </c>
      <c r="C166" s="51" t="str">
        <f t="shared" si="19"/>
        <v>AMS</v>
      </c>
      <c r="D166" s="51" t="s">
        <v>491</v>
      </c>
      <c r="E166" s="51" t="e">
        <f>VLOOKUP($H$6,#REF!,2,FALSE)</f>
        <v>#REF!</v>
      </c>
      <c r="F166" s="51"/>
      <c r="G166" s="610" t="s">
        <v>63</v>
      </c>
      <c r="H166" s="611">
        <v>0</v>
      </c>
      <c r="I166" s="611">
        <v>0</v>
      </c>
      <c r="J166" s="611">
        <v>-74.821470237515427</v>
      </c>
      <c r="K166" s="611">
        <v>-0.43381751781743938</v>
      </c>
      <c r="L166" s="611">
        <v>0</v>
      </c>
      <c r="M166" s="611">
        <v>0</v>
      </c>
      <c r="N166" s="611">
        <v>0</v>
      </c>
      <c r="O166" s="611">
        <v>0</v>
      </c>
      <c r="P166" s="611">
        <v>0</v>
      </c>
      <c r="Q166" s="611">
        <v>0</v>
      </c>
      <c r="R166" s="611">
        <v>-2.9848679697644429</v>
      </c>
      <c r="S166" s="611">
        <v>0</v>
      </c>
      <c r="T166" s="611">
        <v>0</v>
      </c>
      <c r="U166" s="611">
        <v>0</v>
      </c>
      <c r="V166" s="611">
        <v>0</v>
      </c>
      <c r="W166" s="611">
        <v>0</v>
      </c>
      <c r="X166" s="611">
        <v>0</v>
      </c>
      <c r="Y166" s="613">
        <v>-78.24015572509731</v>
      </c>
      <c r="Z166" s="51"/>
      <c r="AA166" s="51"/>
      <c r="AB166" s="51"/>
    </row>
    <row r="167" spans="1:28" x14ac:dyDescent="0.25">
      <c r="A167" s="51" t="e">
        <f t="shared" si="18"/>
        <v>#REF!</v>
      </c>
      <c r="B167" s="51">
        <f t="shared" si="19"/>
        <v>2028</v>
      </c>
      <c r="C167" s="51" t="str">
        <f t="shared" si="19"/>
        <v>AMS</v>
      </c>
      <c r="D167" s="51" t="s">
        <v>492</v>
      </c>
      <c r="E167" s="51" t="e">
        <f>VLOOKUP($H$6,#REF!,2,FALSE)</f>
        <v>#REF!</v>
      </c>
      <c r="F167" s="51"/>
      <c r="G167" s="610" t="s">
        <v>64</v>
      </c>
      <c r="H167" s="611">
        <v>0</v>
      </c>
      <c r="I167" s="611">
        <v>0</v>
      </c>
      <c r="J167" s="611">
        <v>0</v>
      </c>
      <c r="K167" s="611">
        <v>0</v>
      </c>
      <c r="L167" s="611">
        <v>0</v>
      </c>
      <c r="M167" s="611">
        <v>0</v>
      </c>
      <c r="N167" s="611">
        <v>0</v>
      </c>
      <c r="O167" s="611">
        <v>0</v>
      </c>
      <c r="P167" s="611">
        <v>0</v>
      </c>
      <c r="Q167" s="611">
        <v>0</v>
      </c>
      <c r="R167" s="611">
        <v>0</v>
      </c>
      <c r="S167" s="611">
        <v>0</v>
      </c>
      <c r="T167" s="611">
        <v>0</v>
      </c>
      <c r="U167" s="611">
        <v>0</v>
      </c>
      <c r="V167" s="611">
        <v>0</v>
      </c>
      <c r="W167" s="611">
        <v>0</v>
      </c>
      <c r="X167" s="611">
        <v>0</v>
      </c>
      <c r="Y167" s="613">
        <v>0</v>
      </c>
      <c r="Z167" s="51"/>
      <c r="AA167" s="51"/>
      <c r="AB167" s="51"/>
    </row>
    <row r="168" spans="1:28" x14ac:dyDescent="0.25">
      <c r="A168" s="51" t="e">
        <f t="shared" si="18"/>
        <v>#REF!</v>
      </c>
      <c r="B168" s="51">
        <f t="shared" si="19"/>
        <v>2028</v>
      </c>
      <c r="C168" s="51" t="str">
        <f t="shared" si="19"/>
        <v>AMS</v>
      </c>
      <c r="D168" s="51" t="s">
        <v>493</v>
      </c>
      <c r="E168" s="51" t="e">
        <f>VLOOKUP($H$6,#REF!,2,FALSE)</f>
        <v>#REF!</v>
      </c>
      <c r="F168" s="51"/>
      <c r="G168" s="614" t="s">
        <v>65</v>
      </c>
      <c r="H168" s="615">
        <v>27.904129505618755</v>
      </c>
      <c r="I168" s="615">
        <v>453.03684285453915</v>
      </c>
      <c r="J168" s="615">
        <v>79.000052720525389</v>
      </c>
      <c r="K168" s="615">
        <v>0.32423793008106183</v>
      </c>
      <c r="L168" s="622">
        <v>278.76425284318236</v>
      </c>
      <c r="M168" s="615">
        <v>0</v>
      </c>
      <c r="N168" s="615">
        <v>1044.4078145454548</v>
      </c>
      <c r="O168" s="615">
        <v>185.40677407888145</v>
      </c>
      <c r="P168" s="615">
        <v>226.25728423665731</v>
      </c>
      <c r="Q168" s="615">
        <v>28.897382822906049</v>
      </c>
      <c r="R168" s="615">
        <v>1.5388800507227005</v>
      </c>
      <c r="S168" s="615">
        <v>-1.4091798108345738E-2</v>
      </c>
      <c r="T168" s="615">
        <v>79.93802880459161</v>
      </c>
      <c r="U168" s="615">
        <v>9.9179265849836327</v>
      </c>
      <c r="V168" s="615">
        <v>-57.937485455201795</v>
      </c>
      <c r="W168" s="615">
        <v>0</v>
      </c>
      <c r="X168" s="615">
        <v>0</v>
      </c>
      <c r="Y168" s="615">
        <v>2357.4420297248339</v>
      </c>
      <c r="Z168" s="51"/>
      <c r="AA168" s="51"/>
      <c r="AB168" s="51"/>
    </row>
    <row r="169" spans="1:28" x14ac:dyDescent="0.25">
      <c r="A169" s="51"/>
      <c r="B169" s="51"/>
      <c r="C169" s="51"/>
      <c r="D169" s="51"/>
      <c r="E169" s="51"/>
      <c r="F169" s="51"/>
      <c r="G169" s="616"/>
      <c r="H169" s="617">
        <v>0</v>
      </c>
      <c r="I169" s="617">
        <v>0</v>
      </c>
      <c r="J169" s="617">
        <v>0</v>
      </c>
      <c r="K169" s="617">
        <v>0</v>
      </c>
      <c r="L169" s="623">
        <v>0</v>
      </c>
      <c r="M169" s="617">
        <v>0</v>
      </c>
      <c r="N169" s="617">
        <v>0</v>
      </c>
      <c r="O169" s="617">
        <v>0</v>
      </c>
      <c r="P169" s="617">
        <v>0</v>
      </c>
      <c r="Q169" s="617">
        <v>0</v>
      </c>
      <c r="R169" s="617">
        <v>0</v>
      </c>
      <c r="S169" s="617">
        <v>0</v>
      </c>
      <c r="T169" s="617">
        <v>0</v>
      </c>
      <c r="U169" s="617">
        <v>0</v>
      </c>
      <c r="V169" s="617">
        <v>0</v>
      </c>
      <c r="W169" s="617">
        <v>0</v>
      </c>
      <c r="X169" s="617">
        <v>0</v>
      </c>
      <c r="Y169" s="617">
        <v>0</v>
      </c>
      <c r="Z169" s="51"/>
      <c r="AA169" s="51"/>
      <c r="AB169" s="51"/>
    </row>
    <row r="170" spans="1:28" x14ac:dyDescent="0.25">
      <c r="A170" s="51" t="e">
        <f>A168+2</f>
        <v>#REF!</v>
      </c>
      <c r="B170" s="51">
        <f>B168</f>
        <v>2028</v>
      </c>
      <c r="C170" s="51" t="str">
        <f>C168</f>
        <v>AMS</v>
      </c>
      <c r="D170" s="51" t="s">
        <v>494</v>
      </c>
      <c r="E170" s="51" t="e">
        <f>VLOOKUP($H$6,#REF!,2,FALSE)</f>
        <v>#REF!</v>
      </c>
      <c r="F170" s="51"/>
      <c r="G170" s="618" t="s">
        <v>67</v>
      </c>
      <c r="H170" s="611">
        <v>0</v>
      </c>
      <c r="I170" s="611">
        <v>0</v>
      </c>
      <c r="J170" s="611">
        <v>0</v>
      </c>
      <c r="K170" s="611">
        <v>0</v>
      </c>
      <c r="L170" s="611">
        <v>0</v>
      </c>
      <c r="M170" s="611">
        <v>0</v>
      </c>
      <c r="N170" s="611">
        <v>0</v>
      </c>
      <c r="O170" s="611">
        <v>0</v>
      </c>
      <c r="P170" s="611">
        <v>0</v>
      </c>
      <c r="Q170" s="611">
        <v>0</v>
      </c>
      <c r="R170" s="611">
        <v>0</v>
      </c>
      <c r="S170" s="611">
        <v>0</v>
      </c>
      <c r="T170" s="611">
        <v>0</v>
      </c>
      <c r="U170" s="611">
        <v>0</v>
      </c>
      <c r="V170" s="611">
        <v>0</v>
      </c>
      <c r="W170" s="611">
        <v>0</v>
      </c>
      <c r="X170" s="611">
        <v>0</v>
      </c>
      <c r="Y170" s="619">
        <v>0</v>
      </c>
      <c r="Z170" s="51"/>
      <c r="AA170" s="51"/>
      <c r="AB170" s="51"/>
    </row>
    <row r="171" spans="1:28" x14ac:dyDescent="0.25">
      <c r="A171" s="51" t="e">
        <f t="shared" ref="A171:A182" si="20">A170+1</f>
        <v>#REF!</v>
      </c>
      <c r="B171" s="51">
        <f t="shared" ref="B171:C182" si="21">B170</f>
        <v>2028</v>
      </c>
      <c r="C171" s="51" t="str">
        <f t="shared" si="21"/>
        <v>AMS</v>
      </c>
      <c r="D171" s="51" t="s">
        <v>495</v>
      </c>
      <c r="E171" s="51" t="e">
        <f>VLOOKUP($H$6,#REF!,2,FALSE)</f>
        <v>#REF!</v>
      </c>
      <c r="F171" s="51"/>
      <c r="G171" s="618" t="s">
        <v>347</v>
      </c>
      <c r="H171" s="611">
        <v>2.0273599155536228</v>
      </c>
      <c r="I171" s="611">
        <v>0</v>
      </c>
      <c r="J171" s="611">
        <v>2.4321719640965189</v>
      </c>
      <c r="K171" s="611">
        <v>0</v>
      </c>
      <c r="L171" s="611">
        <v>36.482583105824936</v>
      </c>
      <c r="M171" s="611">
        <v>0</v>
      </c>
      <c r="N171" s="611">
        <v>1044.4078145454548</v>
      </c>
      <c r="O171" s="611">
        <v>185.40677407888145</v>
      </c>
      <c r="P171" s="611">
        <v>30.815753259183325</v>
      </c>
      <c r="Q171" s="611">
        <v>10.624448622108345</v>
      </c>
      <c r="R171" s="611">
        <v>4.867247129818443</v>
      </c>
      <c r="S171" s="611">
        <v>6.1417210708324728</v>
      </c>
      <c r="T171" s="611">
        <v>0</v>
      </c>
      <c r="U171" s="611">
        <v>0.1274458438995901</v>
      </c>
      <c r="V171" s="611">
        <v>-571.48896253419366</v>
      </c>
      <c r="W171" s="611">
        <v>0</v>
      </c>
      <c r="X171" s="611">
        <v>0</v>
      </c>
      <c r="Y171" s="619">
        <v>751.84435700146003</v>
      </c>
      <c r="Z171" s="51"/>
      <c r="AA171" s="51"/>
      <c r="AB171" s="51"/>
    </row>
    <row r="172" spans="1:28" x14ac:dyDescent="0.25">
      <c r="A172" s="51" t="e">
        <f t="shared" si="20"/>
        <v>#REF!</v>
      </c>
      <c r="B172" s="51">
        <f t="shared" si="21"/>
        <v>2028</v>
      </c>
      <c r="C172" s="51" t="str">
        <f t="shared" si="21"/>
        <v>AMS</v>
      </c>
      <c r="D172" s="51" t="s">
        <v>496</v>
      </c>
      <c r="E172" s="51" t="e">
        <f>VLOOKUP($H$6,#REF!,2,FALSE)</f>
        <v>#REF!</v>
      </c>
      <c r="F172" s="51"/>
      <c r="G172" s="618" t="s">
        <v>348</v>
      </c>
      <c r="H172" s="611">
        <v>7.7272727272727285E-2</v>
      </c>
      <c r="I172" s="611">
        <v>0</v>
      </c>
      <c r="J172" s="611">
        <v>0</v>
      </c>
      <c r="K172" s="611">
        <v>0</v>
      </c>
      <c r="L172" s="611">
        <v>17.872657477712522</v>
      </c>
      <c r="M172" s="611">
        <v>0</v>
      </c>
      <c r="N172" s="611">
        <v>0</v>
      </c>
      <c r="O172" s="611">
        <v>0</v>
      </c>
      <c r="P172" s="611">
        <v>30.795424710415574</v>
      </c>
      <c r="Q172" s="611">
        <v>15.788091398661473</v>
      </c>
      <c r="R172" s="611">
        <v>0</v>
      </c>
      <c r="S172" s="611">
        <v>3.9361494776423425</v>
      </c>
      <c r="T172" s="611">
        <v>0</v>
      </c>
      <c r="U172" s="611">
        <v>6.7289973607209745</v>
      </c>
      <c r="V172" s="611">
        <v>0</v>
      </c>
      <c r="W172" s="611">
        <v>-68.166941269573059</v>
      </c>
      <c r="X172" s="611">
        <v>0</v>
      </c>
      <c r="Y172" s="619">
        <v>7.0316518828525636</v>
      </c>
      <c r="Z172" s="51"/>
      <c r="AA172" s="51"/>
      <c r="AB172" s="51"/>
    </row>
    <row r="173" spans="1:28" x14ac:dyDescent="0.25">
      <c r="A173" s="51" t="e">
        <f t="shared" si="20"/>
        <v>#REF!</v>
      </c>
      <c r="B173" s="51">
        <f t="shared" si="21"/>
        <v>2028</v>
      </c>
      <c r="C173" s="51" t="str">
        <f t="shared" si="21"/>
        <v>AMS</v>
      </c>
      <c r="D173" s="51" t="s">
        <v>497</v>
      </c>
      <c r="E173" s="51" t="e">
        <f>VLOOKUP($H$6,#REF!,2,FALSE)</f>
        <v>#REF!</v>
      </c>
      <c r="F173" s="51"/>
      <c r="G173" s="618" t="s">
        <v>349</v>
      </c>
      <c r="H173" s="611">
        <v>0</v>
      </c>
      <c r="I173" s="611">
        <v>0</v>
      </c>
      <c r="J173" s="611">
        <v>0</v>
      </c>
      <c r="K173" s="611">
        <v>0</v>
      </c>
      <c r="L173" s="611">
        <v>0</v>
      </c>
      <c r="M173" s="611">
        <v>0</v>
      </c>
      <c r="N173" s="611">
        <v>0</v>
      </c>
      <c r="O173" s="611">
        <v>0</v>
      </c>
      <c r="P173" s="611">
        <v>35.174723763576111</v>
      </c>
      <c r="Q173" s="611">
        <v>0</v>
      </c>
      <c r="R173" s="611">
        <v>0</v>
      </c>
      <c r="S173" s="611">
        <v>-32.520130166014376</v>
      </c>
      <c r="T173" s="611">
        <v>0</v>
      </c>
      <c r="U173" s="611">
        <v>0</v>
      </c>
      <c r="V173" s="611">
        <v>0</v>
      </c>
      <c r="W173" s="611">
        <v>0</v>
      </c>
      <c r="X173" s="611">
        <v>0</v>
      </c>
      <c r="Y173" s="619">
        <v>2.6545935975617354</v>
      </c>
      <c r="Z173" s="51"/>
      <c r="AA173" s="51"/>
      <c r="AB173" s="51"/>
    </row>
    <row r="174" spans="1:28" x14ac:dyDescent="0.25">
      <c r="A174" s="51" t="e">
        <f t="shared" si="20"/>
        <v>#REF!</v>
      </c>
      <c r="B174" s="51">
        <f t="shared" si="21"/>
        <v>2028</v>
      </c>
      <c r="C174" s="51" t="str">
        <f t="shared" si="21"/>
        <v>AMS</v>
      </c>
      <c r="D174" s="51" t="s">
        <v>498</v>
      </c>
      <c r="E174" s="51" t="e">
        <f>VLOOKUP($H$6,#REF!,2,FALSE)</f>
        <v>#REF!</v>
      </c>
      <c r="F174" s="51"/>
      <c r="G174" s="618" t="s">
        <v>350</v>
      </c>
      <c r="H174" s="611">
        <v>0</v>
      </c>
      <c r="I174" s="611">
        <v>0</v>
      </c>
      <c r="J174" s="611">
        <v>0</v>
      </c>
      <c r="K174" s="611">
        <v>0</v>
      </c>
      <c r="L174" s="611">
        <v>0</v>
      </c>
      <c r="M174" s="611">
        <v>0</v>
      </c>
      <c r="N174" s="611">
        <v>0</v>
      </c>
      <c r="O174" s="611">
        <v>0</v>
      </c>
      <c r="P174" s="611">
        <v>0</v>
      </c>
      <c r="Q174" s="611">
        <v>0</v>
      </c>
      <c r="R174" s="611">
        <v>0</v>
      </c>
      <c r="S174" s="611">
        <v>0</v>
      </c>
      <c r="T174" s="611">
        <v>0</v>
      </c>
      <c r="U174" s="611">
        <v>0</v>
      </c>
      <c r="V174" s="611">
        <v>0</v>
      </c>
      <c r="W174" s="611">
        <v>0</v>
      </c>
      <c r="X174" s="611">
        <v>0</v>
      </c>
      <c r="Y174" s="619">
        <v>0</v>
      </c>
      <c r="Z174" s="51"/>
      <c r="AA174" s="51"/>
      <c r="AB174" s="51"/>
    </row>
    <row r="175" spans="1:28" x14ac:dyDescent="0.25">
      <c r="A175" s="51" t="e">
        <f t="shared" si="20"/>
        <v>#REF!</v>
      </c>
      <c r="B175" s="51">
        <f t="shared" si="21"/>
        <v>2028</v>
      </c>
      <c r="C175" s="51" t="str">
        <f t="shared" si="21"/>
        <v>AMS</v>
      </c>
      <c r="D175" s="51" t="s">
        <v>499</v>
      </c>
      <c r="E175" s="51" t="e">
        <f>VLOOKUP($H$6,#REF!,2,FALSE)</f>
        <v>#REF!</v>
      </c>
      <c r="F175" s="51"/>
      <c r="G175" s="618" t="s">
        <v>72</v>
      </c>
      <c r="H175" s="611">
        <v>0</v>
      </c>
      <c r="I175" s="611">
        <v>469.52687715624688</v>
      </c>
      <c r="J175" s="611">
        <v>-464.85369049462497</v>
      </c>
      <c r="K175" s="611">
        <v>0</v>
      </c>
      <c r="L175" s="611">
        <v>0</v>
      </c>
      <c r="M175" s="611">
        <v>0</v>
      </c>
      <c r="N175" s="611">
        <v>0</v>
      </c>
      <c r="O175" s="611">
        <v>0</v>
      </c>
      <c r="P175" s="611">
        <v>0</v>
      </c>
      <c r="Q175" s="611">
        <v>0</v>
      </c>
      <c r="R175" s="611">
        <v>0</v>
      </c>
      <c r="S175" s="611">
        <v>0</v>
      </c>
      <c r="T175" s="611">
        <v>0</v>
      </c>
      <c r="U175" s="611">
        <v>0</v>
      </c>
      <c r="V175" s="611">
        <v>0</v>
      </c>
      <c r="W175" s="611">
        <v>0</v>
      </c>
      <c r="X175" s="611">
        <v>0</v>
      </c>
      <c r="Y175" s="619">
        <v>4.6731866616218856</v>
      </c>
      <c r="Z175" s="51"/>
      <c r="AA175" s="51"/>
      <c r="AB175" s="51"/>
    </row>
    <row r="176" spans="1:28" x14ac:dyDescent="0.25">
      <c r="A176" s="51" t="e">
        <f t="shared" si="20"/>
        <v>#REF!</v>
      </c>
      <c r="B176" s="51">
        <f t="shared" si="21"/>
        <v>2028</v>
      </c>
      <c r="C176" s="51" t="str">
        <f t="shared" si="21"/>
        <v>AMS</v>
      </c>
      <c r="D176" s="51" t="s">
        <v>500</v>
      </c>
      <c r="E176" s="51" t="e">
        <f>VLOOKUP($H$6,#REF!,2,FALSE)</f>
        <v>#REF!</v>
      </c>
      <c r="F176" s="51"/>
      <c r="G176" s="618" t="s">
        <v>351</v>
      </c>
      <c r="H176" s="611">
        <v>0</v>
      </c>
      <c r="I176" s="611">
        <v>0</v>
      </c>
      <c r="J176" s="611">
        <v>0</v>
      </c>
      <c r="K176" s="611">
        <v>0</v>
      </c>
      <c r="L176" s="611">
        <v>0</v>
      </c>
      <c r="M176" s="611">
        <v>0</v>
      </c>
      <c r="N176" s="611">
        <v>0</v>
      </c>
      <c r="O176" s="611">
        <v>0</v>
      </c>
      <c r="P176" s="611">
        <v>56.146757475987663</v>
      </c>
      <c r="Q176" s="611">
        <v>0</v>
      </c>
      <c r="R176" s="611">
        <v>-56.146757475987663</v>
      </c>
      <c r="S176" s="611">
        <v>0</v>
      </c>
      <c r="T176" s="611">
        <v>0</v>
      </c>
      <c r="U176" s="611">
        <v>0</v>
      </c>
      <c r="V176" s="611">
        <v>0</v>
      </c>
      <c r="W176" s="611">
        <v>0</v>
      </c>
      <c r="X176" s="611">
        <v>0</v>
      </c>
      <c r="Y176" s="619">
        <v>0</v>
      </c>
      <c r="Z176" s="51"/>
      <c r="AA176" s="51"/>
      <c r="AB176" s="51"/>
    </row>
    <row r="177" spans="1:28" x14ac:dyDescent="0.25">
      <c r="A177" s="51" t="e">
        <f t="shared" si="20"/>
        <v>#REF!</v>
      </c>
      <c r="B177" s="51">
        <f t="shared" si="21"/>
        <v>2028</v>
      </c>
      <c r="C177" s="51" t="str">
        <f t="shared" si="21"/>
        <v>AMS</v>
      </c>
      <c r="D177" s="51" t="s">
        <v>501</v>
      </c>
      <c r="E177" s="51" t="e">
        <f>VLOOKUP($H$6,#REF!,2,FALSE)</f>
        <v>#REF!</v>
      </c>
      <c r="F177" s="51"/>
      <c r="G177" s="618" t="s">
        <v>352</v>
      </c>
      <c r="H177" s="611">
        <v>0</v>
      </c>
      <c r="I177" s="611">
        <v>0</v>
      </c>
      <c r="J177" s="611">
        <v>0</v>
      </c>
      <c r="K177" s="611">
        <v>-0.9610704740785061</v>
      </c>
      <c r="L177" s="611">
        <v>0</v>
      </c>
      <c r="M177" s="611">
        <v>0</v>
      </c>
      <c r="N177" s="611">
        <v>0</v>
      </c>
      <c r="O177" s="611">
        <v>0</v>
      </c>
      <c r="P177" s="611">
        <v>0</v>
      </c>
      <c r="Q177" s="611">
        <v>0</v>
      </c>
      <c r="R177" s="611">
        <v>0</v>
      </c>
      <c r="S177" s="611">
        <v>0</v>
      </c>
      <c r="T177" s="611">
        <v>0</v>
      </c>
      <c r="U177" s="611">
        <v>0</v>
      </c>
      <c r="V177" s="611">
        <v>0</v>
      </c>
      <c r="W177" s="611">
        <v>0</v>
      </c>
      <c r="X177" s="611">
        <v>1.3385382647332955</v>
      </c>
      <c r="Y177" s="619">
        <v>0.37746779065478941</v>
      </c>
      <c r="Z177" s="51"/>
      <c r="AA177" s="51"/>
      <c r="AB177" s="51"/>
    </row>
    <row r="178" spans="1:28" x14ac:dyDescent="0.25">
      <c r="A178" s="51" t="e">
        <f t="shared" si="20"/>
        <v>#REF!</v>
      </c>
      <c r="B178" s="51">
        <f t="shared" si="21"/>
        <v>2028</v>
      </c>
      <c r="C178" s="51" t="str">
        <f t="shared" si="21"/>
        <v>AMS</v>
      </c>
      <c r="D178" s="51" t="s">
        <v>502</v>
      </c>
      <c r="E178" s="51" t="e">
        <f>VLOOKUP($H$6,#REF!,2,FALSE)</f>
        <v>#REF!</v>
      </c>
      <c r="F178" s="51"/>
      <c r="G178" s="618" t="s">
        <v>73</v>
      </c>
      <c r="H178" s="611">
        <v>0</v>
      </c>
      <c r="I178" s="611">
        <v>0</v>
      </c>
      <c r="J178" s="611">
        <v>0</v>
      </c>
      <c r="K178" s="611">
        <v>0</v>
      </c>
      <c r="L178" s="611">
        <v>0</v>
      </c>
      <c r="M178" s="611">
        <v>0</v>
      </c>
      <c r="N178" s="611">
        <v>0</v>
      </c>
      <c r="O178" s="611">
        <v>0</v>
      </c>
      <c r="P178" s="611">
        <v>0</v>
      </c>
      <c r="Q178" s="611">
        <v>0</v>
      </c>
      <c r="R178" s="611">
        <v>0</v>
      </c>
      <c r="S178" s="611">
        <v>0</v>
      </c>
      <c r="T178" s="611">
        <v>0</v>
      </c>
      <c r="U178" s="611">
        <v>0</v>
      </c>
      <c r="V178" s="611">
        <v>16.613212092757209</v>
      </c>
      <c r="W178" s="611">
        <v>0</v>
      </c>
      <c r="X178" s="611">
        <v>-10.798587860292187</v>
      </c>
      <c r="Y178" s="619">
        <v>5.8146242324650217</v>
      </c>
      <c r="Z178" s="51"/>
      <c r="AA178" s="51"/>
      <c r="AB178" s="51"/>
    </row>
    <row r="179" spans="1:28" x14ac:dyDescent="0.25">
      <c r="A179" s="51" t="e">
        <f t="shared" si="20"/>
        <v>#REF!</v>
      </c>
      <c r="B179" s="51">
        <f t="shared" si="21"/>
        <v>2028</v>
      </c>
      <c r="C179" s="51" t="str">
        <f t="shared" si="21"/>
        <v>AMS</v>
      </c>
      <c r="D179" s="51" t="s">
        <v>503</v>
      </c>
      <c r="E179" s="51" t="e">
        <f>VLOOKUP($H$6,#REF!,2,FALSE)</f>
        <v>#REF!</v>
      </c>
      <c r="F179" s="51"/>
      <c r="G179" s="618" t="s">
        <v>353</v>
      </c>
      <c r="H179" s="611">
        <v>15.474789843749999</v>
      </c>
      <c r="I179" s="611">
        <v>-16.490034301707698</v>
      </c>
      <c r="J179" s="611">
        <v>21.458462057363484</v>
      </c>
      <c r="K179" s="611">
        <v>0</v>
      </c>
      <c r="L179" s="611">
        <v>0</v>
      </c>
      <c r="M179" s="611">
        <v>0</v>
      </c>
      <c r="N179" s="611">
        <v>0</v>
      </c>
      <c r="O179" s="611">
        <v>0</v>
      </c>
      <c r="P179" s="611">
        <v>0</v>
      </c>
      <c r="Q179" s="611">
        <v>0</v>
      </c>
      <c r="R179" s="611">
        <v>0</v>
      </c>
      <c r="S179" s="611">
        <v>0</v>
      </c>
      <c r="T179" s="611">
        <v>0</v>
      </c>
      <c r="U179" s="611">
        <v>0</v>
      </c>
      <c r="V179" s="611">
        <v>0</v>
      </c>
      <c r="W179" s="611">
        <v>0</v>
      </c>
      <c r="X179" s="611">
        <v>0</v>
      </c>
      <c r="Y179" s="619">
        <v>20.443217599405784</v>
      </c>
      <c r="Z179" s="51"/>
      <c r="AA179" s="51"/>
      <c r="AB179" s="51"/>
    </row>
    <row r="180" spans="1:28" x14ac:dyDescent="0.25">
      <c r="A180" s="51" t="e">
        <f t="shared" si="20"/>
        <v>#REF!</v>
      </c>
      <c r="B180" s="51">
        <f t="shared" si="21"/>
        <v>2028</v>
      </c>
      <c r="C180" s="51" t="str">
        <f t="shared" si="21"/>
        <v>AMS</v>
      </c>
      <c r="D180" s="51" t="s">
        <v>504</v>
      </c>
      <c r="E180" s="51" t="e">
        <f>VLOOKUP($H$6,#REF!,2,FALSE)</f>
        <v>#REF!</v>
      </c>
      <c r="F180" s="51"/>
      <c r="G180" s="618" t="s">
        <v>75</v>
      </c>
      <c r="H180" s="611">
        <v>6.017973828125001</v>
      </c>
      <c r="I180" s="611">
        <v>0</v>
      </c>
      <c r="J180" s="611">
        <v>19.75864185375092</v>
      </c>
      <c r="K180" s="611">
        <v>0</v>
      </c>
      <c r="L180" s="611">
        <v>5.1351593182183395</v>
      </c>
      <c r="M180" s="611">
        <v>0</v>
      </c>
      <c r="N180" s="611">
        <v>0</v>
      </c>
      <c r="O180" s="611">
        <v>0</v>
      </c>
      <c r="P180" s="611">
        <v>0</v>
      </c>
      <c r="Q180" s="611">
        <v>0</v>
      </c>
      <c r="R180" s="611">
        <v>0</v>
      </c>
      <c r="S180" s="611">
        <v>0.52030248598688023</v>
      </c>
      <c r="T180" s="611">
        <v>0</v>
      </c>
      <c r="U180" s="611">
        <v>0</v>
      </c>
      <c r="V180" s="611">
        <v>26.891952397763561</v>
      </c>
      <c r="W180" s="611">
        <v>0</v>
      </c>
      <c r="X180" s="611">
        <v>0</v>
      </c>
      <c r="Y180" s="619">
        <v>58.324029883844702</v>
      </c>
      <c r="Z180" s="51"/>
      <c r="AA180" s="51"/>
      <c r="AB180" s="51"/>
    </row>
    <row r="181" spans="1:28" x14ac:dyDescent="0.25">
      <c r="A181" s="51" t="e">
        <f t="shared" si="20"/>
        <v>#REF!</v>
      </c>
      <c r="B181" s="51">
        <f t="shared" si="21"/>
        <v>2028</v>
      </c>
      <c r="C181" s="51" t="str">
        <f t="shared" si="21"/>
        <v>AMS</v>
      </c>
      <c r="D181" s="51" t="s">
        <v>505</v>
      </c>
      <c r="E181" s="51" t="e">
        <f>VLOOKUP($H$6,#REF!,2,FALSE)</f>
        <v>#REF!</v>
      </c>
      <c r="F181" s="51"/>
      <c r="G181" s="618" t="s">
        <v>76</v>
      </c>
      <c r="H181" s="611">
        <v>0</v>
      </c>
      <c r="I181" s="611">
        <v>0</v>
      </c>
      <c r="J181" s="611">
        <v>0</v>
      </c>
      <c r="K181" s="611">
        <v>0</v>
      </c>
      <c r="L181" s="611">
        <v>3.2385327537388569</v>
      </c>
      <c r="M181" s="611">
        <v>0</v>
      </c>
      <c r="N181" s="611">
        <v>0</v>
      </c>
      <c r="O181" s="611">
        <v>0</v>
      </c>
      <c r="P181" s="611">
        <v>0</v>
      </c>
      <c r="Q181" s="611">
        <v>0</v>
      </c>
      <c r="R181" s="611">
        <v>0</v>
      </c>
      <c r="S181" s="611">
        <v>0.32813327460790176</v>
      </c>
      <c r="T181" s="611">
        <v>0</v>
      </c>
      <c r="U181" s="611">
        <v>0</v>
      </c>
      <c r="V181" s="611">
        <v>39.331667719659606</v>
      </c>
      <c r="W181" s="611">
        <v>5.2865527205622431</v>
      </c>
      <c r="X181" s="611">
        <v>0</v>
      </c>
      <c r="Y181" s="619">
        <v>48.184886468568607</v>
      </c>
      <c r="Z181" s="51"/>
      <c r="AA181" s="51"/>
      <c r="AB181" s="51"/>
    </row>
    <row r="182" spans="1:28" x14ac:dyDescent="0.25">
      <c r="A182" s="51" t="e">
        <f t="shared" si="20"/>
        <v>#REF!</v>
      </c>
      <c r="B182" s="51">
        <f t="shared" si="21"/>
        <v>2028</v>
      </c>
      <c r="C182" s="51" t="str">
        <f t="shared" si="21"/>
        <v>AMS</v>
      </c>
      <c r="D182" s="51" t="s">
        <v>506</v>
      </c>
      <c r="E182" s="51" t="e">
        <f>VLOOKUP($H$6,#REF!,2,FALSE)</f>
        <v>#REF!</v>
      </c>
      <c r="F182" s="51"/>
      <c r="G182" s="614" t="s">
        <v>77</v>
      </c>
      <c r="H182" s="615">
        <v>23.597396314701349</v>
      </c>
      <c r="I182" s="615">
        <v>453.03684285453915</v>
      </c>
      <c r="J182" s="615">
        <v>-421.20441461941402</v>
      </c>
      <c r="K182" s="615">
        <v>-0.9610704740785061</v>
      </c>
      <c r="L182" s="622">
        <v>62.72893265549466</v>
      </c>
      <c r="M182" s="615">
        <v>0</v>
      </c>
      <c r="N182" s="615">
        <v>1044.4078145454548</v>
      </c>
      <c r="O182" s="615">
        <v>185.40677407888145</v>
      </c>
      <c r="P182" s="615">
        <v>152.93265920916269</v>
      </c>
      <c r="Q182" s="615">
        <v>26.412540020769818</v>
      </c>
      <c r="R182" s="615">
        <v>-51.279510346169218</v>
      </c>
      <c r="S182" s="615">
        <v>-21.59382385694478</v>
      </c>
      <c r="T182" s="615">
        <v>0</v>
      </c>
      <c r="U182" s="615">
        <v>6.8564432046205646</v>
      </c>
      <c r="V182" s="615">
        <v>-488.65213032401329</v>
      </c>
      <c r="W182" s="615">
        <v>-62.88038854901081</v>
      </c>
      <c r="X182" s="615">
        <v>-9.4600495955588926</v>
      </c>
      <c r="Y182" s="615">
        <v>899.34801511843511</v>
      </c>
      <c r="Z182" s="51"/>
      <c r="AA182" s="51"/>
      <c r="AB182" s="51"/>
    </row>
    <row r="183" spans="1:28" x14ac:dyDescent="0.25">
      <c r="A183" s="51"/>
      <c r="B183" s="51"/>
      <c r="C183" s="51"/>
      <c r="D183" s="51"/>
      <c r="E183" s="51"/>
      <c r="F183" s="51"/>
      <c r="G183" s="616"/>
      <c r="H183" s="617">
        <v>0</v>
      </c>
      <c r="I183" s="617">
        <v>0</v>
      </c>
      <c r="J183" s="617">
        <v>0</v>
      </c>
      <c r="K183" s="617">
        <v>0</v>
      </c>
      <c r="L183" s="623">
        <v>0</v>
      </c>
      <c r="M183" s="617">
        <v>0</v>
      </c>
      <c r="N183" s="617">
        <v>0</v>
      </c>
      <c r="O183" s="617">
        <v>0</v>
      </c>
      <c r="P183" s="617">
        <v>0</v>
      </c>
      <c r="Q183" s="617">
        <v>0</v>
      </c>
      <c r="R183" s="617">
        <v>0</v>
      </c>
      <c r="S183" s="617">
        <v>0</v>
      </c>
      <c r="T183" s="617">
        <v>0</v>
      </c>
      <c r="U183" s="617">
        <v>0</v>
      </c>
      <c r="V183" s="617">
        <v>0</v>
      </c>
      <c r="W183" s="617">
        <v>0</v>
      </c>
      <c r="X183" s="617">
        <v>0</v>
      </c>
      <c r="Y183" s="617">
        <v>0</v>
      </c>
      <c r="Z183" s="51"/>
      <c r="AA183" s="51"/>
      <c r="AB183" s="51"/>
    </row>
    <row r="184" spans="1:28" x14ac:dyDescent="0.25">
      <c r="A184" s="51" t="e">
        <f>A182+2</f>
        <v>#REF!</v>
      </c>
      <c r="B184" s="51">
        <f>B182</f>
        <v>2028</v>
      </c>
      <c r="C184" s="51" t="str">
        <f>C162</f>
        <v>AMS</v>
      </c>
      <c r="D184" s="51" t="s">
        <v>507</v>
      </c>
      <c r="E184" s="51" t="e">
        <f>VLOOKUP($H$6,#REF!,2,FALSE)</f>
        <v>#REF!</v>
      </c>
      <c r="F184" s="51"/>
      <c r="G184" s="618" t="s">
        <v>78</v>
      </c>
      <c r="H184" s="611">
        <v>4.3067331909174058</v>
      </c>
      <c r="I184" s="611">
        <v>0</v>
      </c>
      <c r="J184" s="611">
        <v>15.285550941396558</v>
      </c>
      <c r="K184" s="611">
        <v>0</v>
      </c>
      <c r="L184" s="611">
        <v>81.99673295835025</v>
      </c>
      <c r="M184" s="611">
        <v>0</v>
      </c>
      <c r="N184" s="611">
        <v>0</v>
      </c>
      <c r="O184" s="611">
        <v>0</v>
      </c>
      <c r="P184" s="611">
        <v>19.904086757615648</v>
      </c>
      <c r="Q184" s="611">
        <v>2.4842759722515511</v>
      </c>
      <c r="R184" s="611">
        <v>0.94250728115234383</v>
      </c>
      <c r="S184" s="611">
        <v>8.3338753773994174</v>
      </c>
      <c r="T184" s="611">
        <v>2.8483193359375001</v>
      </c>
      <c r="U184" s="611">
        <v>5.2671642446208732E-4</v>
      </c>
      <c r="V184" s="611">
        <v>124.0609713055903</v>
      </c>
      <c r="W184" s="611">
        <v>18.086756081914288</v>
      </c>
      <c r="X184" s="611">
        <v>1.3772960205078124</v>
      </c>
      <c r="Y184" s="619">
        <v>279.62763193945756</v>
      </c>
      <c r="Z184" s="51"/>
      <c r="AA184" s="620" t="e" cm="1">
        <f t="array" aca="1" ref="AA184" ca="1">_xlfn.IFNA(INDEX(#REF!,MATCH(INDIRECT("Codes_bilans!"&amp;AA$1&amp;"$"&amp;$A184),#REF!,0),MATCH($B184,#REF!,0)),0)</f>
        <v>#REF!</v>
      </c>
      <c r="AB184" s="51"/>
    </row>
    <row r="185" spans="1:28" x14ac:dyDescent="0.25">
      <c r="A185" s="51" t="e">
        <f t="shared" ref="A185:A192" si="22">A184+1</f>
        <v>#REF!</v>
      </c>
      <c r="B185" s="51">
        <f t="shared" ref="B185:C192" si="23">B184</f>
        <v>2028</v>
      </c>
      <c r="C185" s="51" t="str">
        <f t="shared" si="23"/>
        <v>AMS</v>
      </c>
      <c r="D185" s="51" t="s">
        <v>508</v>
      </c>
      <c r="E185" s="51" t="e">
        <f>VLOOKUP($H$6,#REF!,2,FALSE)</f>
        <v>#REF!</v>
      </c>
      <c r="F185" s="51"/>
      <c r="G185" s="618" t="s">
        <v>79</v>
      </c>
      <c r="H185" s="611">
        <v>0</v>
      </c>
      <c r="I185" s="611">
        <v>0</v>
      </c>
      <c r="J185" s="611">
        <v>335.93998919996596</v>
      </c>
      <c r="K185" s="611">
        <v>9.4771242925738991E-2</v>
      </c>
      <c r="L185" s="611">
        <v>4.5339029695199544</v>
      </c>
      <c r="M185" s="611">
        <v>0</v>
      </c>
      <c r="N185" s="611">
        <v>0</v>
      </c>
      <c r="O185" s="611">
        <v>0</v>
      </c>
      <c r="P185" s="611">
        <v>0</v>
      </c>
      <c r="Q185" s="611">
        <v>0</v>
      </c>
      <c r="R185" s="611">
        <v>38.371773390829333</v>
      </c>
      <c r="S185" s="611">
        <v>0.45938223920246229</v>
      </c>
      <c r="T185" s="611">
        <v>0</v>
      </c>
      <c r="U185" s="611">
        <v>0</v>
      </c>
      <c r="V185" s="611">
        <v>24.830612613321723</v>
      </c>
      <c r="W185" s="611">
        <v>0</v>
      </c>
      <c r="X185" s="611">
        <v>0.39090580497267069</v>
      </c>
      <c r="Y185" s="619">
        <v>404.62133746073778</v>
      </c>
      <c r="Z185" s="51"/>
      <c r="AA185" s="620" t="e" cm="1">
        <f t="array" aca="1" ref="AA185" ca="1">_xlfn.IFNA(INDEX(#REF!,MATCH(INDIRECT("Codes_bilans!"&amp;AA$1&amp;"$"&amp;$A185),#REF!,0),MATCH($B185,#REF!,0)),0)</f>
        <v>#REF!</v>
      </c>
      <c r="AB185" s="51"/>
    </row>
    <row r="186" spans="1:28" x14ac:dyDescent="0.25">
      <c r="A186" s="51" t="e">
        <f t="shared" si="22"/>
        <v>#REF!</v>
      </c>
      <c r="B186" s="51">
        <f t="shared" si="23"/>
        <v>2028</v>
      </c>
      <c r="C186" s="51" t="str">
        <f t="shared" si="23"/>
        <v>AMS</v>
      </c>
      <c r="D186" s="51" t="s">
        <v>509</v>
      </c>
      <c r="E186" s="51" t="e">
        <f>VLOOKUP($H$6,#REF!,2,FALSE)</f>
        <v>#REF!</v>
      </c>
      <c r="F186" s="51"/>
      <c r="G186" s="618" t="s">
        <v>80</v>
      </c>
      <c r="H186" s="611">
        <v>0</v>
      </c>
      <c r="I186" s="611">
        <v>0</v>
      </c>
      <c r="J186" s="611">
        <v>7.6204805429044127</v>
      </c>
      <c r="K186" s="611">
        <v>0</v>
      </c>
      <c r="L186" s="611">
        <v>80.929799495030636</v>
      </c>
      <c r="M186" s="611">
        <v>0</v>
      </c>
      <c r="N186" s="611">
        <v>0</v>
      </c>
      <c r="O186" s="611">
        <v>0</v>
      </c>
      <c r="P186" s="611">
        <v>51.076854442173044</v>
      </c>
      <c r="Q186" s="611">
        <v>0</v>
      </c>
      <c r="R186" s="611">
        <v>0</v>
      </c>
      <c r="S186" s="611">
        <v>8.1999356316550855</v>
      </c>
      <c r="T186" s="611">
        <v>62.835725387811195</v>
      </c>
      <c r="U186" s="611">
        <v>1.6849133946274748</v>
      </c>
      <c r="V186" s="611">
        <v>167.36963395676293</v>
      </c>
      <c r="W186" s="611">
        <v>28.222608960163477</v>
      </c>
      <c r="X186" s="611">
        <v>0</v>
      </c>
      <c r="Y186" s="619">
        <v>407.93995181112825</v>
      </c>
      <c r="Z186" s="51"/>
      <c r="AA186" s="620" t="e" cm="1">
        <f t="array" aca="1" ref="AA186" ca="1">_xlfn.IFNA(INDEX(#REF!,MATCH(INDIRECT("Codes_bilans!"&amp;AA$1&amp;"$"&amp;$A186),#REF!,0),MATCH($B186,#REF!,0)),0)</f>
        <v>#REF!</v>
      </c>
      <c r="AB186" s="51"/>
    </row>
    <row r="187" spans="1:28" x14ac:dyDescent="0.25">
      <c r="A187" s="51" t="e">
        <f t="shared" si="22"/>
        <v>#REF!</v>
      </c>
      <c r="B187" s="51">
        <f t="shared" si="23"/>
        <v>2028</v>
      </c>
      <c r="C187" s="51" t="str">
        <f t="shared" si="23"/>
        <v>AMS</v>
      </c>
      <c r="D187" s="51" t="s">
        <v>510</v>
      </c>
      <c r="E187" s="51" t="e">
        <f>VLOOKUP($H$6,#REF!,2,FALSE)</f>
        <v>#REF!</v>
      </c>
      <c r="F187" s="51"/>
      <c r="G187" s="618" t="s">
        <v>81</v>
      </c>
      <c r="H187" s="611">
        <v>0</v>
      </c>
      <c r="I187" s="611">
        <v>0</v>
      </c>
      <c r="J187" s="611">
        <v>10.491369546862531</v>
      </c>
      <c r="K187" s="611">
        <v>0</v>
      </c>
      <c r="L187" s="611">
        <v>35.36343810232146</v>
      </c>
      <c r="M187" s="611">
        <v>0</v>
      </c>
      <c r="N187" s="611">
        <v>0</v>
      </c>
      <c r="O187" s="611">
        <v>0</v>
      </c>
      <c r="P187" s="611">
        <v>0.41502991649093068</v>
      </c>
      <c r="Q187" s="611">
        <v>5.6682988468104167E-4</v>
      </c>
      <c r="R187" s="611">
        <v>0</v>
      </c>
      <c r="S187" s="611">
        <v>3.5830796315127467</v>
      </c>
      <c r="T187" s="611">
        <v>13.853984080842906</v>
      </c>
      <c r="U187" s="611">
        <v>0.85666800244149366</v>
      </c>
      <c r="V187" s="611">
        <v>106.66141597563889</v>
      </c>
      <c r="W187" s="611">
        <v>16.571023506933056</v>
      </c>
      <c r="X187" s="611">
        <v>0</v>
      </c>
      <c r="Y187" s="619">
        <v>187.79657559292866</v>
      </c>
      <c r="Z187" s="51"/>
      <c r="AA187" s="620" t="e" cm="1">
        <f t="array" aca="1" ref="AA187" ca="1">_xlfn.IFNA(INDEX(#REF!,MATCH(INDIRECT("Codes_bilans!"&amp;AA$1&amp;"$"&amp;$A187),#REF!,0),MATCH($B187,#REF!,0)),0)</f>
        <v>#REF!</v>
      </c>
      <c r="AB187" s="51"/>
    </row>
    <row r="188" spans="1:28" x14ac:dyDescent="0.25">
      <c r="A188" s="51" t="e">
        <f t="shared" si="22"/>
        <v>#REF!</v>
      </c>
      <c r="B188" s="51">
        <f t="shared" si="23"/>
        <v>2028</v>
      </c>
      <c r="C188" s="51" t="str">
        <f t="shared" si="23"/>
        <v>AMS</v>
      </c>
      <c r="D188" s="51" t="s">
        <v>511</v>
      </c>
      <c r="E188" s="51" t="e">
        <f>VLOOKUP($H$6,#REF!,2,FALSE)</f>
        <v>#REF!</v>
      </c>
      <c r="F188" s="51"/>
      <c r="G188" s="618" t="s">
        <v>82</v>
      </c>
      <c r="H188" s="611">
        <v>0</v>
      </c>
      <c r="I188" s="611">
        <v>0</v>
      </c>
      <c r="J188" s="611">
        <v>28.598972580821304</v>
      </c>
      <c r="K188" s="611">
        <v>0</v>
      </c>
      <c r="L188" s="611">
        <v>1.9735950966825975</v>
      </c>
      <c r="M188" s="611">
        <v>0</v>
      </c>
      <c r="N188" s="611">
        <v>0</v>
      </c>
      <c r="O188" s="611">
        <v>0</v>
      </c>
      <c r="P188" s="611">
        <v>1.8335004892905753</v>
      </c>
      <c r="Q188" s="611">
        <v>0</v>
      </c>
      <c r="R188" s="611">
        <v>3.9645164071396528</v>
      </c>
      <c r="S188" s="611">
        <v>0.19996778512643057</v>
      </c>
      <c r="T188" s="611">
        <v>0.4</v>
      </c>
      <c r="U188" s="611">
        <v>0.5193752668696392</v>
      </c>
      <c r="V188" s="611">
        <v>7.7920110174976385</v>
      </c>
      <c r="W188" s="611">
        <v>0</v>
      </c>
      <c r="X188" s="611">
        <v>0.13892990437736891</v>
      </c>
      <c r="Y188" s="619">
        <v>45.420868547805206</v>
      </c>
      <c r="Z188" s="51"/>
      <c r="AA188" s="620" t="e" cm="1">
        <f t="array" aca="1" ref="AA188" ca="1">_xlfn.IFNA(INDEX(#REF!,MATCH(INDIRECT("Codes_bilans!"&amp;AA$1&amp;"$"&amp;$A188),#REF!,0),MATCH($B188,#REF!,0)),0)</f>
        <v>#REF!</v>
      </c>
      <c r="AB188" s="51"/>
    </row>
    <row r="189" spans="1:28" x14ac:dyDescent="0.25">
      <c r="A189" s="51" t="e">
        <f t="shared" si="22"/>
        <v>#REF!</v>
      </c>
      <c r="B189" s="51">
        <f t="shared" si="23"/>
        <v>2028</v>
      </c>
      <c r="C189" s="51" t="str">
        <f t="shared" si="23"/>
        <v>AMS</v>
      </c>
      <c r="D189" s="51" t="s">
        <v>512</v>
      </c>
      <c r="E189" s="51" t="e">
        <f>VLOOKUP($H$6,#REF!,2,FALSE)</f>
        <v>#REF!</v>
      </c>
      <c r="F189" s="51"/>
      <c r="G189" s="618" t="s">
        <v>354</v>
      </c>
      <c r="H189" s="611">
        <v>0</v>
      </c>
      <c r="I189" s="611">
        <v>0</v>
      </c>
      <c r="J189" s="611">
        <v>0</v>
      </c>
      <c r="K189" s="611">
        <v>0</v>
      </c>
      <c r="L189" s="611">
        <v>0</v>
      </c>
      <c r="M189" s="611">
        <v>0</v>
      </c>
      <c r="N189" s="611">
        <v>0</v>
      </c>
      <c r="O189" s="611">
        <v>0</v>
      </c>
      <c r="P189" s="611">
        <v>0</v>
      </c>
      <c r="Q189" s="611">
        <v>0</v>
      </c>
      <c r="R189" s="611">
        <v>0</v>
      </c>
      <c r="S189" s="611">
        <v>0</v>
      </c>
      <c r="T189" s="611">
        <v>0</v>
      </c>
      <c r="U189" s="611">
        <v>0</v>
      </c>
      <c r="V189" s="611">
        <v>0</v>
      </c>
      <c r="W189" s="611">
        <v>0</v>
      </c>
      <c r="X189" s="611">
        <v>0</v>
      </c>
      <c r="Y189" s="619">
        <v>0</v>
      </c>
      <c r="Z189" s="51"/>
      <c r="AA189" s="620" t="e" cm="1">
        <f t="array" aca="1" ref="AA189" ca="1">_xlfn.IFNA(INDEX(#REF!,MATCH(INDIRECT("Codes_bilans!"&amp;AA$1&amp;"$"&amp;$A189),#REF!,0),MATCH($B189,#REF!,0)),0)</f>
        <v>#REF!</v>
      </c>
      <c r="AB189" s="51"/>
    </row>
    <row r="190" spans="1:28" x14ac:dyDescent="0.25">
      <c r="A190" s="51" t="e">
        <f t="shared" si="22"/>
        <v>#REF!</v>
      </c>
      <c r="B190" s="51">
        <f t="shared" si="23"/>
        <v>2028</v>
      </c>
      <c r="C190" s="51" t="str">
        <f t="shared" si="23"/>
        <v>AMS</v>
      </c>
      <c r="D190" s="51" t="s">
        <v>513</v>
      </c>
      <c r="E190" s="51" t="e">
        <f>VLOOKUP($H$6,#REF!,2,FALSE)</f>
        <v>#REF!</v>
      </c>
      <c r="F190" s="51"/>
      <c r="G190" s="614" t="s">
        <v>83</v>
      </c>
      <c r="H190" s="615">
        <v>4.3067331909174058</v>
      </c>
      <c r="I190" s="615">
        <v>0</v>
      </c>
      <c r="J190" s="615">
        <v>397.93636281195074</v>
      </c>
      <c r="K190" s="615">
        <v>9.4771242925738991E-2</v>
      </c>
      <c r="L190" s="622">
        <v>204.7974686219049</v>
      </c>
      <c r="M190" s="615">
        <v>0</v>
      </c>
      <c r="N190" s="615">
        <v>0</v>
      </c>
      <c r="O190" s="615">
        <v>0</v>
      </c>
      <c r="P190" s="615">
        <v>73.229471605570197</v>
      </c>
      <c r="Q190" s="615">
        <v>2.4848428021362321</v>
      </c>
      <c r="R190" s="615">
        <v>43.278797079121333</v>
      </c>
      <c r="S190" s="615">
        <v>20.776240664896143</v>
      </c>
      <c r="T190" s="615">
        <v>79.93802880459161</v>
      </c>
      <c r="U190" s="615">
        <v>3.0614833803630699</v>
      </c>
      <c r="V190" s="615">
        <v>430.71464486881149</v>
      </c>
      <c r="W190" s="615">
        <v>62.880388549010817</v>
      </c>
      <c r="X190" s="615">
        <v>1.9071317298578518</v>
      </c>
      <c r="Y190" s="615">
        <v>1325.4063653520575</v>
      </c>
      <c r="Z190" s="51"/>
      <c r="AA190" s="51"/>
      <c r="AB190" s="51"/>
    </row>
    <row r="191" spans="1:28" x14ac:dyDescent="0.25">
      <c r="A191" s="51" t="e">
        <f t="shared" si="22"/>
        <v>#REF!</v>
      </c>
      <c r="B191" s="51">
        <f t="shared" si="23"/>
        <v>2028</v>
      </c>
      <c r="C191" s="51" t="str">
        <f t="shared" si="23"/>
        <v>AMS</v>
      </c>
      <c r="D191" s="51" t="s">
        <v>514</v>
      </c>
      <c r="E191" s="51" t="e">
        <f>VLOOKUP($H$6,#REF!,2,FALSE)</f>
        <v>#REF!</v>
      </c>
      <c r="F191" s="51"/>
      <c r="G191" s="610" t="s">
        <v>84</v>
      </c>
      <c r="H191" s="611">
        <v>0</v>
      </c>
      <c r="I191" s="611">
        <v>0</v>
      </c>
      <c r="J191" s="611">
        <v>102.26810452798878</v>
      </c>
      <c r="K191" s="611">
        <v>1.1905371612338289</v>
      </c>
      <c r="L191" s="611">
        <v>11.237851565782758</v>
      </c>
      <c r="M191" s="611">
        <v>0</v>
      </c>
      <c r="N191" s="611">
        <v>0</v>
      </c>
      <c r="O191" s="611">
        <v>0</v>
      </c>
      <c r="P191" s="611">
        <v>9.5153421924450407E-2</v>
      </c>
      <c r="Q191" s="611">
        <v>0</v>
      </c>
      <c r="R191" s="611">
        <v>7.1193346713498897</v>
      </c>
      <c r="S191" s="611">
        <v>0.80349139394028601</v>
      </c>
      <c r="T191" s="611">
        <v>0</v>
      </c>
      <c r="U191" s="611">
        <v>0</v>
      </c>
      <c r="V191" s="611">
        <v>0</v>
      </c>
      <c r="W191" s="611">
        <v>0</v>
      </c>
      <c r="X191" s="611">
        <v>7.5529178657010396</v>
      </c>
      <c r="Y191" s="619">
        <v>130.26739060792104</v>
      </c>
      <c r="Z191" s="51"/>
      <c r="AA191" s="620" t="e" cm="1">
        <f t="array" aca="1" ref="AA191" ca="1">_xlfn.IFNA(INDEX(#REF!,MATCH(INDIRECT("Codes_bilans!"&amp;AA$1&amp;"$"&amp;$A191),#REF!,0),MATCH($B191,#REF!,0)),0)</f>
        <v>#REF!</v>
      </c>
      <c r="AB191" s="51"/>
    </row>
    <row r="192" spans="1:28" x14ac:dyDescent="0.25">
      <c r="A192" s="51" t="e">
        <f t="shared" si="22"/>
        <v>#REF!</v>
      </c>
      <c r="B192" s="51">
        <f t="shared" si="23"/>
        <v>2028</v>
      </c>
      <c r="C192" s="51" t="str">
        <f t="shared" si="23"/>
        <v>AMS</v>
      </c>
      <c r="D192" s="51" t="s">
        <v>515</v>
      </c>
      <c r="E192" s="51" t="e">
        <f>VLOOKUP($H$6,#REF!,2,FALSE)</f>
        <v>#REF!</v>
      </c>
      <c r="F192" s="51"/>
      <c r="G192" s="614" t="s">
        <v>85</v>
      </c>
      <c r="H192" s="615">
        <v>4.3067331909174058</v>
      </c>
      <c r="I192" s="615">
        <v>0</v>
      </c>
      <c r="J192" s="615">
        <v>500.20446733993958</v>
      </c>
      <c r="K192" s="615">
        <v>1.2853084041595679</v>
      </c>
      <c r="L192" s="622">
        <v>216.03532018768766</v>
      </c>
      <c r="M192" s="615">
        <v>0</v>
      </c>
      <c r="N192" s="615">
        <v>0</v>
      </c>
      <c r="O192" s="615">
        <v>0</v>
      </c>
      <c r="P192" s="615">
        <v>73.324625027494648</v>
      </c>
      <c r="Q192" s="615">
        <v>2.4848428021362321</v>
      </c>
      <c r="R192" s="615">
        <v>50.398131750471222</v>
      </c>
      <c r="S192" s="615">
        <v>21.579732058836431</v>
      </c>
      <c r="T192" s="615">
        <v>79.93802880459161</v>
      </c>
      <c r="U192" s="615">
        <v>3.0614833803630699</v>
      </c>
      <c r="V192" s="615">
        <v>430.71464486881149</v>
      </c>
      <c r="W192" s="615">
        <v>62.880388549010817</v>
      </c>
      <c r="X192" s="615">
        <v>9.4600495955588908</v>
      </c>
      <c r="Y192" s="615">
        <v>1455.6737559599785</v>
      </c>
      <c r="Z192" s="51"/>
      <c r="AA192" s="51"/>
      <c r="AB192" s="51"/>
    </row>
    <row r="193" spans="1:28" x14ac:dyDescent="0.25">
      <c r="A193" s="51"/>
      <c r="B193" s="51"/>
      <c r="C193" s="51"/>
      <c r="D193" s="51"/>
      <c r="E193" s="51"/>
      <c r="F193" s="51"/>
      <c r="G193" s="51"/>
      <c r="H193" s="67">
        <v>0</v>
      </c>
      <c r="I193" s="67">
        <v>0</v>
      </c>
      <c r="J193" s="67">
        <v>1.7053025658242404E-13</v>
      </c>
      <c r="K193" s="67">
        <v>0</v>
      </c>
      <c r="L193" s="67">
        <v>0</v>
      </c>
      <c r="M193" s="67">
        <v>0</v>
      </c>
      <c r="N193" s="67">
        <v>0</v>
      </c>
      <c r="O193" s="67">
        <v>0</v>
      </c>
      <c r="P193" s="67">
        <v>0</v>
      </c>
      <c r="Q193" s="67">
        <v>0</v>
      </c>
      <c r="R193" s="67">
        <v>-2.4202586464206961</v>
      </c>
      <c r="S193" s="67">
        <v>-3.9690473130349346E-15</v>
      </c>
      <c r="T193" s="67">
        <v>0</v>
      </c>
      <c r="U193" s="67">
        <v>0</v>
      </c>
      <c r="V193" s="67">
        <v>0</v>
      </c>
      <c r="W193" s="67">
        <v>7.1054273576010019E-15</v>
      </c>
      <c r="X193" s="67">
        <v>-1.7763568394002505E-15</v>
      </c>
      <c r="Y193" s="67">
        <v>-2.4202586464202795</v>
      </c>
      <c r="Z193" s="51"/>
      <c r="AA193" s="51"/>
      <c r="AB193" s="51"/>
    </row>
    <row r="194" spans="1:28" x14ac:dyDescent="0.25">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row>
    <row r="195" spans="1:28" x14ac:dyDescent="0.25">
      <c r="A195" s="606"/>
      <c r="B195" s="606"/>
      <c r="C195" s="606"/>
      <c r="D195" s="606"/>
      <c r="E195" s="606"/>
      <c r="F195" s="606"/>
      <c r="G195" s="607" t="s">
        <v>88</v>
      </c>
      <c r="H195" s="606"/>
      <c r="I195" s="606"/>
      <c r="J195" s="606"/>
      <c r="K195" s="606"/>
      <c r="L195" s="606"/>
      <c r="M195" s="606"/>
      <c r="N195" s="606"/>
      <c r="O195" s="606"/>
      <c r="P195" s="606"/>
      <c r="Q195" s="606"/>
      <c r="R195" s="606"/>
      <c r="S195" s="606"/>
      <c r="T195" s="606"/>
      <c r="U195" s="606"/>
      <c r="V195" s="606"/>
      <c r="W195" s="606"/>
      <c r="X195" s="606"/>
      <c r="Y195" s="606"/>
      <c r="Z195" s="606"/>
      <c r="AA195" s="606"/>
      <c r="AB195" s="606"/>
    </row>
    <row r="196" spans="1:28" x14ac:dyDescent="0.25">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row>
    <row r="197" spans="1:28" ht="14.25" customHeight="1" x14ac:dyDescent="0.25">
      <c r="A197" s="51"/>
      <c r="B197" s="51"/>
      <c r="C197" s="51"/>
      <c r="D197" s="51"/>
      <c r="E197" s="51"/>
      <c r="F197" s="51"/>
      <c r="G197" s="764" t="s">
        <v>128</v>
      </c>
      <c r="H197" s="753" t="s">
        <v>42</v>
      </c>
      <c r="I197" s="753" t="s">
        <v>52</v>
      </c>
      <c r="J197" s="753" t="s">
        <v>53</v>
      </c>
      <c r="K197" s="753" t="s">
        <v>482</v>
      </c>
      <c r="L197" s="753" t="s">
        <v>32</v>
      </c>
      <c r="M197" s="753" t="s">
        <v>483</v>
      </c>
      <c r="N197" s="753" t="s">
        <v>20</v>
      </c>
      <c r="O197" s="753" t="s">
        <v>55</v>
      </c>
      <c r="P197" s="761" t="s">
        <v>56</v>
      </c>
      <c r="Q197" s="762"/>
      <c r="R197" s="762"/>
      <c r="S197" s="762"/>
      <c r="T197" s="762"/>
      <c r="U197" s="763"/>
      <c r="V197" s="753" t="s">
        <v>57</v>
      </c>
      <c r="W197" s="753" t="s">
        <v>58</v>
      </c>
      <c r="X197" s="753" t="s">
        <v>31</v>
      </c>
      <c r="Y197" s="753" t="s">
        <v>10</v>
      </c>
      <c r="Z197" s="51"/>
      <c r="AA197" s="51"/>
      <c r="AB197" s="51"/>
    </row>
    <row r="198" spans="1:28" ht="24" x14ac:dyDescent="0.25">
      <c r="A198" s="51"/>
      <c r="B198" s="51"/>
      <c r="C198" s="51"/>
      <c r="D198" s="51" t="s">
        <v>486</v>
      </c>
      <c r="E198" s="51"/>
      <c r="F198" s="51"/>
      <c r="G198" s="765"/>
      <c r="H198" s="754"/>
      <c r="I198" s="754"/>
      <c r="J198" s="754"/>
      <c r="K198" s="754"/>
      <c r="L198" s="754"/>
      <c r="M198" s="754"/>
      <c r="N198" s="754"/>
      <c r="O198" s="754"/>
      <c r="P198" s="608" t="s">
        <v>335</v>
      </c>
      <c r="Q198" s="608" t="s">
        <v>40</v>
      </c>
      <c r="R198" s="608" t="s">
        <v>343</v>
      </c>
      <c r="S198" s="608" t="s">
        <v>344</v>
      </c>
      <c r="T198" s="609" t="s">
        <v>345</v>
      </c>
      <c r="U198" s="608" t="s">
        <v>346</v>
      </c>
      <c r="V198" s="754"/>
      <c r="W198" s="754"/>
      <c r="X198" s="754"/>
      <c r="Y198" s="754"/>
      <c r="Z198" s="51"/>
      <c r="AA198" s="51"/>
      <c r="AB198" s="51"/>
    </row>
    <row r="199" spans="1:28" x14ac:dyDescent="0.25">
      <c r="A199" s="51" t="e">
        <f>A162</f>
        <v>#REF!</v>
      </c>
      <c r="B199" s="51">
        <v>2030</v>
      </c>
      <c r="C199" s="51" t="s">
        <v>47</v>
      </c>
      <c r="D199" s="51" t="s">
        <v>487</v>
      </c>
      <c r="E199" s="51" t="e">
        <f>VLOOKUP($H$6,#REF!,2,FALSE)</f>
        <v>#REF!</v>
      </c>
      <c r="F199" s="51"/>
      <c r="G199" s="610" t="s">
        <v>59</v>
      </c>
      <c r="H199" s="611">
        <v>0</v>
      </c>
      <c r="I199" s="611">
        <v>9.7691999999999997</v>
      </c>
      <c r="J199" s="611">
        <v>0</v>
      </c>
      <c r="K199" s="611">
        <v>0</v>
      </c>
      <c r="L199" s="611">
        <v>0.18608000000000002</v>
      </c>
      <c r="M199" s="611">
        <v>0</v>
      </c>
      <c r="N199" s="612">
        <v>1038.2869636363639</v>
      </c>
      <c r="O199" s="612">
        <v>205.53110652120495</v>
      </c>
      <c r="P199" s="612">
        <v>227.83441686289595</v>
      </c>
      <c r="Q199" s="612">
        <v>28.461620553474244</v>
      </c>
      <c r="R199" s="611">
        <v>1.4156783371657409</v>
      </c>
      <c r="S199" s="611">
        <v>0.13593700784165794</v>
      </c>
      <c r="T199" s="612">
        <v>91.581907146552624</v>
      </c>
      <c r="U199" s="612">
        <v>10.82319895117076</v>
      </c>
      <c r="V199" s="611">
        <v>0</v>
      </c>
      <c r="W199" s="611">
        <v>0</v>
      </c>
      <c r="X199" s="611">
        <v>0</v>
      </c>
      <c r="Y199" s="613">
        <v>1614.0261090166696</v>
      </c>
      <c r="Z199" s="51"/>
      <c r="AA199" s="51"/>
      <c r="AB199" s="51"/>
    </row>
    <row r="200" spans="1:28" x14ac:dyDescent="0.25">
      <c r="A200" s="51" t="e">
        <f t="shared" ref="A200:A205" si="24">A199+1</f>
        <v>#REF!</v>
      </c>
      <c r="B200" s="51">
        <f t="shared" ref="B200:C205" si="25">B199</f>
        <v>2030</v>
      </c>
      <c r="C200" s="51" t="str">
        <f t="shared" si="25"/>
        <v>AMS</v>
      </c>
      <c r="D200" s="51" t="s">
        <v>488</v>
      </c>
      <c r="E200" s="51" t="e">
        <f>VLOOKUP($H$6,#REF!,2,FALSE)</f>
        <v>#REF!</v>
      </c>
      <c r="F200" s="51"/>
      <c r="G200" s="610" t="s">
        <v>60</v>
      </c>
      <c r="H200" s="611">
        <v>19.500894978355525</v>
      </c>
      <c r="I200" s="611">
        <v>412.35150263166827</v>
      </c>
      <c r="J200" s="611">
        <v>141.77751506797006</v>
      </c>
      <c r="K200" s="611">
        <v>1.1566580598777236</v>
      </c>
      <c r="L200" s="611">
        <v>245.03499542253485</v>
      </c>
      <c r="M200" s="611">
        <v>0</v>
      </c>
      <c r="N200" s="611">
        <v>0</v>
      </c>
      <c r="O200" s="611">
        <v>0</v>
      </c>
      <c r="P200" s="611">
        <v>2.5322527707990741</v>
      </c>
      <c r="Q200" s="611">
        <v>0</v>
      </c>
      <c r="R200" s="611">
        <v>3.140572004124202</v>
      </c>
      <c r="S200" s="611">
        <v>0</v>
      </c>
      <c r="T200" s="611">
        <v>0</v>
      </c>
      <c r="U200" s="611">
        <v>0</v>
      </c>
      <c r="V200" s="611">
        <v>0</v>
      </c>
      <c r="W200" s="611">
        <v>0</v>
      </c>
      <c r="X200" s="611">
        <v>0</v>
      </c>
      <c r="Y200" s="613">
        <v>825.49439093532965</v>
      </c>
      <c r="Z200" s="51"/>
      <c r="AA200" s="51"/>
      <c r="AB200" s="51"/>
    </row>
    <row r="201" spans="1:28" x14ac:dyDescent="0.25">
      <c r="A201" s="51" t="e">
        <f t="shared" si="24"/>
        <v>#REF!</v>
      </c>
      <c r="B201" s="51">
        <f t="shared" si="25"/>
        <v>2030</v>
      </c>
      <c r="C201" s="51" t="str">
        <f t="shared" si="25"/>
        <v>AMS</v>
      </c>
      <c r="D201" s="51" t="s">
        <v>489</v>
      </c>
      <c r="E201" s="51" t="e">
        <f>VLOOKUP($H$6,#REF!,2,FALSE)</f>
        <v>#REF!</v>
      </c>
      <c r="F201" s="51"/>
      <c r="G201" s="610" t="s">
        <v>61</v>
      </c>
      <c r="H201" s="611">
        <v>0</v>
      </c>
      <c r="I201" s="611">
        <v>0</v>
      </c>
      <c r="J201" s="611">
        <v>-0.13172022897004482</v>
      </c>
      <c r="K201" s="611">
        <v>0</v>
      </c>
      <c r="L201" s="611">
        <v>0</v>
      </c>
      <c r="M201" s="611">
        <v>0</v>
      </c>
      <c r="N201" s="611">
        <v>0</v>
      </c>
      <c r="O201" s="611">
        <v>0</v>
      </c>
      <c r="P201" s="611">
        <v>0</v>
      </c>
      <c r="Q201" s="611">
        <v>0</v>
      </c>
      <c r="R201" s="611">
        <v>0</v>
      </c>
      <c r="S201" s="611">
        <v>0</v>
      </c>
      <c r="T201" s="611">
        <v>0</v>
      </c>
      <c r="U201" s="611">
        <v>0</v>
      </c>
      <c r="V201" s="611">
        <v>-68.05218019677659</v>
      </c>
      <c r="W201" s="611">
        <v>0</v>
      </c>
      <c r="X201" s="611">
        <v>0</v>
      </c>
      <c r="Y201" s="613">
        <v>-68.183900425746629</v>
      </c>
      <c r="Z201" s="51"/>
      <c r="AA201" s="51"/>
      <c r="AB201" s="51"/>
    </row>
    <row r="202" spans="1:28" x14ac:dyDescent="0.25">
      <c r="A202" s="51" t="e">
        <f t="shared" si="24"/>
        <v>#REF!</v>
      </c>
      <c r="B202" s="51">
        <f t="shared" si="25"/>
        <v>2030</v>
      </c>
      <c r="C202" s="51" t="str">
        <f t="shared" si="25"/>
        <v>AMS</v>
      </c>
      <c r="D202" s="51" t="s">
        <v>490</v>
      </c>
      <c r="E202" s="51" t="e">
        <f>VLOOKUP($H$6,#REF!,2,FALSE)</f>
        <v>#REF!</v>
      </c>
      <c r="F202" s="51"/>
      <c r="G202" s="610" t="s">
        <v>62</v>
      </c>
      <c r="H202" s="611">
        <v>0</v>
      </c>
      <c r="I202" s="611">
        <v>0</v>
      </c>
      <c r="J202" s="611">
        <v>-16.199220216107165</v>
      </c>
      <c r="K202" s="611">
        <v>-0.35114276718264964</v>
      </c>
      <c r="L202" s="611">
        <v>-0.92701690536219505</v>
      </c>
      <c r="M202" s="611">
        <v>0</v>
      </c>
      <c r="N202" s="611">
        <v>0</v>
      </c>
      <c r="O202" s="611">
        <v>0</v>
      </c>
      <c r="P202" s="611">
        <v>0</v>
      </c>
      <c r="Q202" s="611">
        <v>0</v>
      </c>
      <c r="R202" s="611">
        <v>-0.52671415077397443</v>
      </c>
      <c r="S202" s="611">
        <v>-0.12641139618575387</v>
      </c>
      <c r="T202" s="611">
        <v>0</v>
      </c>
      <c r="U202" s="611">
        <v>0</v>
      </c>
      <c r="V202" s="611">
        <v>0</v>
      </c>
      <c r="W202" s="611">
        <v>0</v>
      </c>
      <c r="X202" s="611">
        <v>0</v>
      </c>
      <c r="Y202" s="613">
        <v>-18.130505435611738</v>
      </c>
      <c r="Z202" s="51"/>
      <c r="AA202" s="51"/>
      <c r="AB202" s="51"/>
    </row>
    <row r="203" spans="1:28" x14ac:dyDescent="0.25">
      <c r="A203" s="51" t="e">
        <f t="shared" si="24"/>
        <v>#REF!</v>
      </c>
      <c r="B203" s="51">
        <f t="shared" si="25"/>
        <v>2030</v>
      </c>
      <c r="C203" s="51" t="str">
        <f t="shared" si="25"/>
        <v>AMS</v>
      </c>
      <c r="D203" s="51" t="s">
        <v>491</v>
      </c>
      <c r="E203" s="51" t="e">
        <f>VLOOKUP($H$6,#REF!,2,FALSE)</f>
        <v>#REF!</v>
      </c>
      <c r="F203" s="51"/>
      <c r="G203" s="610" t="s">
        <v>63</v>
      </c>
      <c r="H203" s="611">
        <v>0</v>
      </c>
      <c r="I203" s="611">
        <v>0</v>
      </c>
      <c r="J203" s="611">
        <v>-73.427503644783499</v>
      </c>
      <c r="K203" s="611">
        <v>-0.69683709307213026</v>
      </c>
      <c r="L203" s="611">
        <v>0</v>
      </c>
      <c r="M203" s="611">
        <v>0</v>
      </c>
      <c r="N203" s="611">
        <v>0</v>
      </c>
      <c r="O203" s="611">
        <v>0</v>
      </c>
      <c r="P203" s="611">
        <v>0</v>
      </c>
      <c r="Q203" s="611">
        <v>0</v>
      </c>
      <c r="R203" s="611">
        <v>-3.8742860108991213</v>
      </c>
      <c r="S203" s="611">
        <v>0</v>
      </c>
      <c r="T203" s="611">
        <v>0</v>
      </c>
      <c r="U203" s="611">
        <v>0</v>
      </c>
      <c r="V203" s="611">
        <v>0</v>
      </c>
      <c r="W203" s="611">
        <v>0</v>
      </c>
      <c r="X203" s="611">
        <v>0</v>
      </c>
      <c r="Y203" s="613">
        <v>-77.998626748754759</v>
      </c>
      <c r="Z203" s="51"/>
      <c r="AA203" s="51"/>
      <c r="AB203" s="51"/>
    </row>
    <row r="204" spans="1:28" x14ac:dyDescent="0.25">
      <c r="A204" s="51" t="e">
        <f t="shared" si="24"/>
        <v>#REF!</v>
      </c>
      <c r="B204" s="51">
        <f t="shared" si="25"/>
        <v>2030</v>
      </c>
      <c r="C204" s="51" t="str">
        <f t="shared" si="25"/>
        <v>AMS</v>
      </c>
      <c r="D204" s="51" t="s">
        <v>492</v>
      </c>
      <c r="E204" s="51" t="e">
        <f>VLOOKUP($H$6,#REF!,2,FALSE)</f>
        <v>#REF!</v>
      </c>
      <c r="F204" s="51"/>
      <c r="G204" s="610" t="s">
        <v>64</v>
      </c>
      <c r="H204" s="611">
        <v>0</v>
      </c>
      <c r="I204" s="611">
        <v>0</v>
      </c>
      <c r="J204" s="611">
        <v>0</v>
      </c>
      <c r="K204" s="611">
        <v>0</v>
      </c>
      <c r="L204" s="611">
        <v>0</v>
      </c>
      <c r="M204" s="611">
        <v>0</v>
      </c>
      <c r="N204" s="611">
        <v>0</v>
      </c>
      <c r="O204" s="611">
        <v>0</v>
      </c>
      <c r="P204" s="611">
        <v>0</v>
      </c>
      <c r="Q204" s="611">
        <v>0</v>
      </c>
      <c r="R204" s="611">
        <v>0</v>
      </c>
      <c r="S204" s="611">
        <v>0</v>
      </c>
      <c r="T204" s="611">
        <v>0</v>
      </c>
      <c r="U204" s="611">
        <v>0</v>
      </c>
      <c r="V204" s="611">
        <v>0</v>
      </c>
      <c r="W204" s="611">
        <v>0</v>
      </c>
      <c r="X204" s="611">
        <v>0</v>
      </c>
      <c r="Y204" s="613">
        <v>0</v>
      </c>
      <c r="Z204" s="51"/>
      <c r="AA204" s="51"/>
      <c r="AB204" s="51"/>
    </row>
    <row r="205" spans="1:28" x14ac:dyDescent="0.25">
      <c r="A205" s="51" t="e">
        <f t="shared" si="24"/>
        <v>#REF!</v>
      </c>
      <c r="B205" s="51">
        <f t="shared" si="25"/>
        <v>2030</v>
      </c>
      <c r="C205" s="51" t="str">
        <f t="shared" si="25"/>
        <v>AMS</v>
      </c>
      <c r="D205" s="51" t="s">
        <v>493</v>
      </c>
      <c r="E205" s="51" t="e">
        <f>VLOOKUP($H$6,#REF!,2,FALSE)</f>
        <v>#REF!</v>
      </c>
      <c r="F205" s="51"/>
      <c r="G205" s="614" t="s">
        <v>65</v>
      </c>
      <c r="H205" s="615">
        <v>19.500894978355525</v>
      </c>
      <c r="I205" s="615">
        <v>422.12070263166828</v>
      </c>
      <c r="J205" s="615">
        <v>52.019070978109362</v>
      </c>
      <c r="K205" s="615">
        <v>0.10867819962294367</v>
      </c>
      <c r="L205" s="622">
        <v>244.29405851717266</v>
      </c>
      <c r="M205" s="615">
        <v>0</v>
      </c>
      <c r="N205" s="615">
        <v>1038.2869636363639</v>
      </c>
      <c r="O205" s="615">
        <v>205.53110652120495</v>
      </c>
      <c r="P205" s="615">
        <v>230.36666963369501</v>
      </c>
      <c r="Q205" s="615">
        <v>28.461620553474244</v>
      </c>
      <c r="R205" s="615">
        <v>0.15525017961684728</v>
      </c>
      <c r="S205" s="615">
        <v>9.5256116559040704E-3</v>
      </c>
      <c r="T205" s="615">
        <v>91.581907146552624</v>
      </c>
      <c r="U205" s="615">
        <v>10.82319895117076</v>
      </c>
      <c r="V205" s="615">
        <v>-68.05218019677659</v>
      </c>
      <c r="W205" s="615">
        <v>0</v>
      </c>
      <c r="X205" s="615">
        <v>0</v>
      </c>
      <c r="Y205" s="615">
        <v>2275.2074673418865</v>
      </c>
      <c r="Z205" s="51"/>
      <c r="AA205" s="51"/>
      <c r="AB205" s="51"/>
    </row>
    <row r="206" spans="1:28" x14ac:dyDescent="0.25">
      <c r="A206" s="51"/>
      <c r="B206" s="51"/>
      <c r="C206" s="51"/>
      <c r="D206" s="51"/>
      <c r="E206" s="51"/>
      <c r="F206" s="51"/>
      <c r="G206" s="616"/>
      <c r="H206" s="617">
        <v>0</v>
      </c>
      <c r="I206" s="617">
        <v>0</v>
      </c>
      <c r="J206" s="617">
        <v>0</v>
      </c>
      <c r="K206" s="617">
        <v>0</v>
      </c>
      <c r="L206" s="623">
        <v>0</v>
      </c>
      <c r="M206" s="617">
        <v>0</v>
      </c>
      <c r="N206" s="617">
        <v>0</v>
      </c>
      <c r="O206" s="617">
        <v>0</v>
      </c>
      <c r="P206" s="617">
        <v>0</v>
      </c>
      <c r="Q206" s="617">
        <v>0</v>
      </c>
      <c r="R206" s="617">
        <v>0</v>
      </c>
      <c r="S206" s="617">
        <v>0</v>
      </c>
      <c r="T206" s="617">
        <v>0</v>
      </c>
      <c r="U206" s="617">
        <v>0</v>
      </c>
      <c r="V206" s="617">
        <v>0</v>
      </c>
      <c r="W206" s="617">
        <v>0</v>
      </c>
      <c r="X206" s="617">
        <v>0</v>
      </c>
      <c r="Y206" s="617">
        <v>0</v>
      </c>
      <c r="Z206" s="51"/>
      <c r="AA206" s="51"/>
      <c r="AB206" s="51"/>
    </row>
    <row r="207" spans="1:28" x14ac:dyDescent="0.25">
      <c r="A207" s="51" t="e">
        <f>A205+2</f>
        <v>#REF!</v>
      </c>
      <c r="B207" s="51">
        <f>B205</f>
        <v>2030</v>
      </c>
      <c r="C207" s="51" t="str">
        <f>C205</f>
        <v>AMS</v>
      </c>
      <c r="D207" s="51" t="s">
        <v>494</v>
      </c>
      <c r="E207" s="51" t="e">
        <f>VLOOKUP($H$6,#REF!,2,FALSE)</f>
        <v>#REF!</v>
      </c>
      <c r="F207" s="51"/>
      <c r="G207" s="618" t="s">
        <v>67</v>
      </c>
      <c r="H207" s="611">
        <v>0</v>
      </c>
      <c r="I207" s="611">
        <v>0</v>
      </c>
      <c r="J207" s="611">
        <v>0</v>
      </c>
      <c r="K207" s="611">
        <v>0</v>
      </c>
      <c r="L207" s="611">
        <v>0</v>
      </c>
      <c r="M207" s="611">
        <v>0</v>
      </c>
      <c r="N207" s="611">
        <v>0</v>
      </c>
      <c r="O207" s="611">
        <v>0</v>
      </c>
      <c r="P207" s="611">
        <v>0</v>
      </c>
      <c r="Q207" s="611">
        <v>0</v>
      </c>
      <c r="R207" s="611">
        <v>0</v>
      </c>
      <c r="S207" s="611">
        <v>0</v>
      </c>
      <c r="T207" s="611">
        <v>0</v>
      </c>
      <c r="U207" s="611">
        <v>0</v>
      </c>
      <c r="V207" s="611">
        <v>0</v>
      </c>
      <c r="W207" s="611">
        <v>0</v>
      </c>
      <c r="X207" s="611">
        <v>0</v>
      </c>
      <c r="Y207" s="619">
        <v>0</v>
      </c>
      <c r="Z207" s="51"/>
      <c r="AA207" s="51"/>
      <c r="AB207" s="51"/>
    </row>
    <row r="208" spans="1:28" x14ac:dyDescent="0.25">
      <c r="A208" s="51" t="e">
        <f t="shared" ref="A208:A219" si="26">A207+1</f>
        <v>#REF!</v>
      </c>
      <c r="B208" s="51">
        <f t="shared" ref="B208:C219" si="27">B207</f>
        <v>2030</v>
      </c>
      <c r="C208" s="51" t="str">
        <f t="shared" si="27"/>
        <v>AMS</v>
      </c>
      <c r="D208" s="51" t="s">
        <v>495</v>
      </c>
      <c r="E208" s="51" t="e">
        <f>VLOOKUP($H$6,#REF!,2,FALSE)</f>
        <v>#REF!</v>
      </c>
      <c r="F208" s="51"/>
      <c r="G208" s="618" t="s">
        <v>347</v>
      </c>
      <c r="H208" s="611">
        <v>0</v>
      </c>
      <c r="I208" s="611">
        <v>0</v>
      </c>
      <c r="J208" s="611">
        <v>0.77863803143112786</v>
      </c>
      <c r="K208" s="611">
        <v>0</v>
      </c>
      <c r="L208" s="611">
        <v>36.279765848727266</v>
      </c>
      <c r="M208" s="611">
        <v>0</v>
      </c>
      <c r="N208" s="611">
        <v>1038.2869636363639</v>
      </c>
      <c r="O208" s="611">
        <v>205.53110652120495</v>
      </c>
      <c r="P208" s="611">
        <v>28.874786869538699</v>
      </c>
      <c r="Q208" s="611">
        <v>10.263260836794805</v>
      </c>
      <c r="R208" s="611">
        <v>4.4112574708908179</v>
      </c>
      <c r="S208" s="611">
        <v>6.4977260446746659</v>
      </c>
      <c r="T208" s="611">
        <v>0</v>
      </c>
      <c r="U208" s="611">
        <v>0</v>
      </c>
      <c r="V208" s="611">
        <v>-589.53538472779007</v>
      </c>
      <c r="W208" s="611">
        <v>0</v>
      </c>
      <c r="X208" s="611">
        <v>0</v>
      </c>
      <c r="Y208" s="619">
        <v>741.38812053183608</v>
      </c>
      <c r="Z208" s="51"/>
      <c r="AA208" s="51"/>
      <c r="AB208" s="51"/>
    </row>
    <row r="209" spans="1:28" x14ac:dyDescent="0.25">
      <c r="A209" s="51" t="e">
        <f t="shared" si="26"/>
        <v>#REF!</v>
      </c>
      <c r="B209" s="51">
        <f t="shared" si="27"/>
        <v>2030</v>
      </c>
      <c r="C209" s="51" t="str">
        <f t="shared" si="27"/>
        <v>AMS</v>
      </c>
      <c r="D209" s="51" t="s">
        <v>496</v>
      </c>
      <c r="E209" s="51" t="e">
        <f>VLOOKUP($H$6,#REF!,2,FALSE)</f>
        <v>#REF!</v>
      </c>
      <c r="F209" s="51"/>
      <c r="G209" s="618" t="s">
        <v>348</v>
      </c>
      <c r="H209" s="611">
        <v>0</v>
      </c>
      <c r="I209" s="611">
        <v>0</v>
      </c>
      <c r="J209" s="611">
        <v>0</v>
      </c>
      <c r="K209" s="611">
        <v>0</v>
      </c>
      <c r="L209" s="611">
        <v>17.169661952341983</v>
      </c>
      <c r="M209" s="611">
        <v>0</v>
      </c>
      <c r="N209" s="611">
        <v>0</v>
      </c>
      <c r="O209" s="611">
        <v>0</v>
      </c>
      <c r="P209" s="611">
        <v>33.995499480106155</v>
      </c>
      <c r="Q209" s="611">
        <v>15.594965202678805</v>
      </c>
      <c r="R209" s="611">
        <v>0</v>
      </c>
      <c r="S209" s="611">
        <v>4.3055711350701857</v>
      </c>
      <c r="T209" s="611">
        <v>0</v>
      </c>
      <c r="U209" s="611">
        <v>7.5015461547405717</v>
      </c>
      <c r="V209" s="611">
        <v>0</v>
      </c>
      <c r="W209" s="611">
        <v>-71.517574001012974</v>
      </c>
      <c r="X209" s="611">
        <v>0</v>
      </c>
      <c r="Y209" s="619">
        <v>7.0496699239247187</v>
      </c>
      <c r="Z209" s="51"/>
      <c r="AA209" s="51"/>
      <c r="AB209" s="51"/>
    </row>
    <row r="210" spans="1:28" x14ac:dyDescent="0.25">
      <c r="A210" s="51" t="e">
        <f t="shared" si="26"/>
        <v>#REF!</v>
      </c>
      <c r="B210" s="51">
        <f t="shared" si="27"/>
        <v>2030</v>
      </c>
      <c r="C210" s="51" t="str">
        <f t="shared" si="27"/>
        <v>AMS</v>
      </c>
      <c r="D210" s="51" t="s">
        <v>497</v>
      </c>
      <c r="E210" s="51" t="e">
        <f>VLOOKUP($H$6,#REF!,2,FALSE)</f>
        <v>#REF!</v>
      </c>
      <c r="F210" s="51"/>
      <c r="G210" s="618" t="s">
        <v>349</v>
      </c>
      <c r="H210" s="611">
        <v>0</v>
      </c>
      <c r="I210" s="611">
        <v>0</v>
      </c>
      <c r="J210" s="611">
        <v>0</v>
      </c>
      <c r="K210" s="611">
        <v>0</v>
      </c>
      <c r="L210" s="611">
        <v>0</v>
      </c>
      <c r="M210" s="611">
        <v>0</v>
      </c>
      <c r="N210" s="611">
        <v>0</v>
      </c>
      <c r="O210" s="611">
        <v>0</v>
      </c>
      <c r="P210" s="611">
        <v>40.114077633892222</v>
      </c>
      <c r="Q210" s="611">
        <v>0</v>
      </c>
      <c r="R210" s="611">
        <v>0</v>
      </c>
      <c r="S210" s="611">
        <v>-36.417525890890943</v>
      </c>
      <c r="T210" s="611">
        <v>0</v>
      </c>
      <c r="U210" s="611">
        <v>0</v>
      </c>
      <c r="V210" s="611">
        <v>0</v>
      </c>
      <c r="W210" s="611">
        <v>0</v>
      </c>
      <c r="X210" s="611">
        <v>0</v>
      </c>
      <c r="Y210" s="619">
        <v>3.6965517430012795</v>
      </c>
      <c r="Z210" s="51"/>
      <c r="AA210" s="51"/>
      <c r="AB210" s="51"/>
    </row>
    <row r="211" spans="1:28" x14ac:dyDescent="0.25">
      <c r="A211" s="51" t="e">
        <f t="shared" si="26"/>
        <v>#REF!</v>
      </c>
      <c r="B211" s="51">
        <f t="shared" si="27"/>
        <v>2030</v>
      </c>
      <c r="C211" s="51" t="str">
        <f t="shared" si="27"/>
        <v>AMS</v>
      </c>
      <c r="D211" s="51" t="s">
        <v>498</v>
      </c>
      <c r="E211" s="51" t="e">
        <f>VLOOKUP($H$6,#REF!,2,FALSE)</f>
        <v>#REF!</v>
      </c>
      <c r="F211" s="51"/>
      <c r="G211" s="618" t="s">
        <v>350</v>
      </c>
      <c r="H211" s="611">
        <v>0</v>
      </c>
      <c r="I211" s="611">
        <v>0</v>
      </c>
      <c r="J211" s="611">
        <v>0</v>
      </c>
      <c r="K211" s="611">
        <v>0</v>
      </c>
      <c r="L211" s="611">
        <v>0</v>
      </c>
      <c r="M211" s="611">
        <v>0</v>
      </c>
      <c r="N211" s="611">
        <v>0</v>
      </c>
      <c r="O211" s="611">
        <v>0</v>
      </c>
      <c r="P211" s="611">
        <v>0</v>
      </c>
      <c r="Q211" s="611">
        <v>0</v>
      </c>
      <c r="R211" s="611">
        <v>0</v>
      </c>
      <c r="S211" s="611">
        <v>0</v>
      </c>
      <c r="T211" s="611">
        <v>0</v>
      </c>
      <c r="U211" s="611">
        <v>0</v>
      </c>
      <c r="V211" s="611">
        <v>0</v>
      </c>
      <c r="W211" s="611">
        <v>0</v>
      </c>
      <c r="X211" s="611">
        <v>0</v>
      </c>
      <c r="Y211" s="619">
        <v>0</v>
      </c>
      <c r="Z211" s="51"/>
      <c r="AA211" s="51"/>
      <c r="AB211" s="51"/>
    </row>
    <row r="212" spans="1:28" x14ac:dyDescent="0.25">
      <c r="A212" s="51" t="e">
        <f t="shared" si="26"/>
        <v>#REF!</v>
      </c>
      <c r="B212" s="51">
        <f t="shared" si="27"/>
        <v>2030</v>
      </c>
      <c r="C212" s="51" t="str">
        <f t="shared" si="27"/>
        <v>AMS</v>
      </c>
      <c r="D212" s="51" t="s">
        <v>499</v>
      </c>
      <c r="E212" s="51" t="e">
        <f>VLOOKUP($H$6,#REF!,2,FALSE)</f>
        <v>#REF!</v>
      </c>
      <c r="F212" s="51"/>
      <c r="G212" s="618" t="s">
        <v>72</v>
      </c>
      <c r="H212" s="611">
        <v>0</v>
      </c>
      <c r="I212" s="611">
        <v>437.4764681269624</v>
      </c>
      <c r="J212" s="611">
        <v>-433.12141449021158</v>
      </c>
      <c r="K212" s="611">
        <v>0</v>
      </c>
      <c r="L212" s="611">
        <v>0</v>
      </c>
      <c r="M212" s="611">
        <v>0</v>
      </c>
      <c r="N212" s="611">
        <v>0</v>
      </c>
      <c r="O212" s="611">
        <v>0</v>
      </c>
      <c r="P212" s="611">
        <v>0</v>
      </c>
      <c r="Q212" s="611">
        <v>0</v>
      </c>
      <c r="R212" s="611">
        <v>0</v>
      </c>
      <c r="S212" s="611">
        <v>0</v>
      </c>
      <c r="T212" s="611">
        <v>0</v>
      </c>
      <c r="U212" s="611">
        <v>0</v>
      </c>
      <c r="V212" s="611">
        <v>0</v>
      </c>
      <c r="W212" s="611">
        <v>0</v>
      </c>
      <c r="X212" s="611">
        <v>0</v>
      </c>
      <c r="Y212" s="619">
        <v>4.3550536367508395</v>
      </c>
      <c r="Z212" s="51"/>
      <c r="AA212" s="51"/>
      <c r="AB212" s="51"/>
    </row>
    <row r="213" spans="1:28" x14ac:dyDescent="0.25">
      <c r="A213" s="51" t="e">
        <f t="shared" si="26"/>
        <v>#REF!</v>
      </c>
      <c r="B213" s="51">
        <f t="shared" si="27"/>
        <v>2030</v>
      </c>
      <c r="C213" s="51" t="str">
        <f t="shared" si="27"/>
        <v>AMS</v>
      </c>
      <c r="D213" s="51" t="s">
        <v>500</v>
      </c>
      <c r="E213" s="51" t="e">
        <f>VLOOKUP($H$6,#REF!,2,FALSE)</f>
        <v>#REF!</v>
      </c>
      <c r="F213" s="51"/>
      <c r="G213" s="618" t="s">
        <v>351</v>
      </c>
      <c r="H213" s="611">
        <v>0</v>
      </c>
      <c r="I213" s="611">
        <v>0</v>
      </c>
      <c r="J213" s="611">
        <v>0</v>
      </c>
      <c r="K213" s="611">
        <v>0</v>
      </c>
      <c r="L213" s="611">
        <v>0</v>
      </c>
      <c r="M213" s="611">
        <v>0</v>
      </c>
      <c r="N213" s="611">
        <v>0</v>
      </c>
      <c r="O213" s="611">
        <v>0</v>
      </c>
      <c r="P213" s="611">
        <v>58.51202627390122</v>
      </c>
      <c r="Q213" s="611">
        <v>0</v>
      </c>
      <c r="R213" s="611">
        <v>-58.51202627390122</v>
      </c>
      <c r="S213" s="611">
        <v>0</v>
      </c>
      <c r="T213" s="611">
        <v>0</v>
      </c>
      <c r="U213" s="611">
        <v>0</v>
      </c>
      <c r="V213" s="611">
        <v>0</v>
      </c>
      <c r="W213" s="611">
        <v>0</v>
      </c>
      <c r="X213" s="611">
        <v>0</v>
      </c>
      <c r="Y213" s="619">
        <v>0</v>
      </c>
      <c r="Z213" s="51"/>
      <c r="AA213" s="51"/>
      <c r="AB213" s="51"/>
    </row>
    <row r="214" spans="1:28" x14ac:dyDescent="0.25">
      <c r="A214" s="51" t="e">
        <f t="shared" si="26"/>
        <v>#REF!</v>
      </c>
      <c r="B214" s="51">
        <f t="shared" si="27"/>
        <v>2030</v>
      </c>
      <c r="C214" s="51" t="str">
        <f t="shared" si="27"/>
        <v>AMS</v>
      </c>
      <c r="D214" s="51" t="s">
        <v>501</v>
      </c>
      <c r="E214" s="51" t="e">
        <f>VLOOKUP($H$6,#REF!,2,FALSE)</f>
        <v>#REF!</v>
      </c>
      <c r="F214" s="51"/>
      <c r="G214" s="618" t="s">
        <v>352</v>
      </c>
      <c r="H214" s="611">
        <v>0</v>
      </c>
      <c r="I214" s="611">
        <v>0</v>
      </c>
      <c r="J214" s="611">
        <v>0</v>
      </c>
      <c r="K214" s="611">
        <v>-1.5541621174818701</v>
      </c>
      <c r="L214" s="611">
        <v>0</v>
      </c>
      <c r="M214" s="611">
        <v>0</v>
      </c>
      <c r="N214" s="611">
        <v>0</v>
      </c>
      <c r="O214" s="611">
        <v>0</v>
      </c>
      <c r="P214" s="611">
        <v>0</v>
      </c>
      <c r="Q214" s="611">
        <v>0</v>
      </c>
      <c r="R214" s="611">
        <v>0</v>
      </c>
      <c r="S214" s="611">
        <v>0</v>
      </c>
      <c r="T214" s="611">
        <v>0</v>
      </c>
      <c r="U214" s="611">
        <v>0</v>
      </c>
      <c r="V214" s="611">
        <v>0</v>
      </c>
      <c r="W214" s="611">
        <v>0</v>
      </c>
      <c r="X214" s="611">
        <v>2.1645711942644428</v>
      </c>
      <c r="Y214" s="619">
        <v>0.61040907678257272</v>
      </c>
      <c r="Z214" s="51"/>
      <c r="AA214" s="51"/>
      <c r="AB214" s="51"/>
    </row>
    <row r="215" spans="1:28" x14ac:dyDescent="0.25">
      <c r="A215" s="51" t="e">
        <f t="shared" si="26"/>
        <v>#REF!</v>
      </c>
      <c r="B215" s="51">
        <f t="shared" si="27"/>
        <v>2030</v>
      </c>
      <c r="C215" s="51" t="str">
        <f t="shared" si="27"/>
        <v>AMS</v>
      </c>
      <c r="D215" s="51" t="s">
        <v>502</v>
      </c>
      <c r="E215" s="51" t="e">
        <f>VLOOKUP($H$6,#REF!,2,FALSE)</f>
        <v>#REF!</v>
      </c>
      <c r="F215" s="51"/>
      <c r="G215" s="618" t="s">
        <v>73</v>
      </c>
      <c r="H215" s="611">
        <v>0</v>
      </c>
      <c r="I215" s="611">
        <v>0</v>
      </c>
      <c r="J215" s="611">
        <v>0</v>
      </c>
      <c r="K215" s="611">
        <v>0</v>
      </c>
      <c r="L215" s="611">
        <v>0</v>
      </c>
      <c r="M215" s="611">
        <v>0</v>
      </c>
      <c r="N215" s="611">
        <v>0</v>
      </c>
      <c r="O215" s="611">
        <v>0</v>
      </c>
      <c r="P215" s="611">
        <v>0</v>
      </c>
      <c r="Q215" s="611">
        <v>0</v>
      </c>
      <c r="R215" s="611">
        <v>0</v>
      </c>
      <c r="S215" s="611">
        <v>0</v>
      </c>
      <c r="T215" s="611">
        <v>0</v>
      </c>
      <c r="U215" s="611">
        <v>0</v>
      </c>
      <c r="V215" s="611">
        <v>22.347786362655235</v>
      </c>
      <c r="W215" s="611">
        <v>0</v>
      </c>
      <c r="X215" s="611">
        <v>-14.526061135725904</v>
      </c>
      <c r="Y215" s="619">
        <v>7.8217252269293311</v>
      </c>
      <c r="Z215" s="51"/>
      <c r="AA215" s="51"/>
      <c r="AB215" s="51"/>
    </row>
    <row r="216" spans="1:28" x14ac:dyDescent="0.25">
      <c r="A216" s="51" t="e">
        <f t="shared" si="26"/>
        <v>#REF!</v>
      </c>
      <c r="B216" s="51">
        <f t="shared" si="27"/>
        <v>2030</v>
      </c>
      <c r="C216" s="51" t="str">
        <f t="shared" si="27"/>
        <v>AMS</v>
      </c>
      <c r="D216" s="51" t="s">
        <v>503</v>
      </c>
      <c r="E216" s="51" t="e">
        <f>VLOOKUP($H$6,#REF!,2,FALSE)</f>
        <v>#REF!</v>
      </c>
      <c r="F216" s="51"/>
      <c r="G216" s="618" t="s">
        <v>353</v>
      </c>
      <c r="H216" s="611">
        <v>11.574443320312499</v>
      </c>
      <c r="I216" s="611">
        <v>-15.355765495294122</v>
      </c>
      <c r="J216" s="611">
        <v>19.986666106038875</v>
      </c>
      <c r="K216" s="611">
        <v>0</v>
      </c>
      <c r="L216" s="611">
        <v>0</v>
      </c>
      <c r="M216" s="611">
        <v>0</v>
      </c>
      <c r="N216" s="611">
        <v>0</v>
      </c>
      <c r="O216" s="611">
        <v>0</v>
      </c>
      <c r="P216" s="611">
        <v>0</v>
      </c>
      <c r="Q216" s="611">
        <v>0</v>
      </c>
      <c r="R216" s="611">
        <v>0</v>
      </c>
      <c r="S216" s="611">
        <v>0</v>
      </c>
      <c r="T216" s="611">
        <v>0</v>
      </c>
      <c r="U216" s="611">
        <v>0</v>
      </c>
      <c r="V216" s="611">
        <v>0</v>
      </c>
      <c r="W216" s="611">
        <v>0</v>
      </c>
      <c r="X216" s="611">
        <v>0</v>
      </c>
      <c r="Y216" s="619">
        <v>16.20534393105725</v>
      </c>
      <c r="Z216" s="51"/>
      <c r="AA216" s="51"/>
      <c r="AB216" s="51"/>
    </row>
    <row r="217" spans="1:28" x14ac:dyDescent="0.25">
      <c r="A217" s="51" t="e">
        <f t="shared" si="26"/>
        <v>#REF!</v>
      </c>
      <c r="B217" s="51">
        <f t="shared" si="27"/>
        <v>2030</v>
      </c>
      <c r="C217" s="51" t="str">
        <f t="shared" si="27"/>
        <v>AMS</v>
      </c>
      <c r="D217" s="51" t="s">
        <v>504</v>
      </c>
      <c r="E217" s="51" t="e">
        <f>VLOOKUP($H$6,#REF!,2,FALSE)</f>
        <v>#REF!</v>
      </c>
      <c r="F217" s="51"/>
      <c r="G217" s="618" t="s">
        <v>75</v>
      </c>
      <c r="H217" s="611">
        <v>4.5011724023437498</v>
      </c>
      <c r="I217" s="611">
        <v>0</v>
      </c>
      <c r="J217" s="611">
        <v>19.445088820906506</v>
      </c>
      <c r="K217" s="611">
        <v>0</v>
      </c>
      <c r="L217" s="611">
        <v>4.9057031873641765</v>
      </c>
      <c r="M217" s="611">
        <v>0</v>
      </c>
      <c r="N217" s="611">
        <v>0</v>
      </c>
      <c r="O217" s="611">
        <v>0</v>
      </c>
      <c r="P217" s="611">
        <v>0</v>
      </c>
      <c r="Q217" s="611">
        <v>0</v>
      </c>
      <c r="R217" s="611">
        <v>0</v>
      </c>
      <c r="S217" s="611">
        <v>0.66895952554966043</v>
      </c>
      <c r="T217" s="611">
        <v>0</v>
      </c>
      <c r="U217" s="611">
        <v>0</v>
      </c>
      <c r="V217" s="611">
        <v>26.70268820303825</v>
      </c>
      <c r="W217" s="611">
        <v>0</v>
      </c>
      <c r="X217" s="611">
        <v>0</v>
      </c>
      <c r="Y217" s="619">
        <v>56.223612139202338</v>
      </c>
      <c r="Z217" s="51"/>
      <c r="AA217" s="51"/>
      <c r="AB217" s="51"/>
    </row>
    <row r="218" spans="1:28" x14ac:dyDescent="0.25">
      <c r="A218" s="51" t="e">
        <f t="shared" si="26"/>
        <v>#REF!</v>
      </c>
      <c r="B218" s="51">
        <f t="shared" si="27"/>
        <v>2030</v>
      </c>
      <c r="C218" s="51" t="str">
        <f t="shared" si="27"/>
        <v>AMS</v>
      </c>
      <c r="D218" s="51" t="s">
        <v>505</v>
      </c>
      <c r="E218" s="51" t="e">
        <f>VLOOKUP($H$6,#REF!,2,FALSE)</f>
        <v>#REF!</v>
      </c>
      <c r="F218" s="51"/>
      <c r="G218" s="618" t="s">
        <v>76</v>
      </c>
      <c r="H218" s="611">
        <v>0</v>
      </c>
      <c r="I218" s="611">
        <v>0</v>
      </c>
      <c r="J218" s="611">
        <v>0</v>
      </c>
      <c r="K218" s="611">
        <v>0</v>
      </c>
      <c r="L218" s="611">
        <v>2.8205008916385275</v>
      </c>
      <c r="M218" s="611">
        <v>0</v>
      </c>
      <c r="N218" s="611">
        <v>0</v>
      </c>
      <c r="O218" s="611">
        <v>0</v>
      </c>
      <c r="P218" s="611">
        <v>0</v>
      </c>
      <c r="Q218" s="611">
        <v>0</v>
      </c>
      <c r="R218" s="611">
        <v>0</v>
      </c>
      <c r="S218" s="611">
        <v>0.38461375795070829</v>
      </c>
      <c r="T218" s="611">
        <v>0</v>
      </c>
      <c r="U218" s="611">
        <v>0</v>
      </c>
      <c r="V218" s="611">
        <v>39.934928469010529</v>
      </c>
      <c r="W218" s="611">
        <v>5.5462664454161024</v>
      </c>
      <c r="X218" s="611">
        <v>0</v>
      </c>
      <c r="Y218" s="619">
        <v>48.686309564015865</v>
      </c>
      <c r="Z218" s="51"/>
      <c r="AA218" s="51"/>
      <c r="AB218" s="51"/>
    </row>
    <row r="219" spans="1:28" x14ac:dyDescent="0.25">
      <c r="A219" s="51" t="e">
        <f t="shared" si="26"/>
        <v>#REF!</v>
      </c>
      <c r="B219" s="51">
        <f t="shared" si="27"/>
        <v>2030</v>
      </c>
      <c r="C219" s="51" t="str">
        <f t="shared" si="27"/>
        <v>AMS</v>
      </c>
      <c r="D219" s="51" t="s">
        <v>506</v>
      </c>
      <c r="E219" s="51" t="e">
        <f>VLOOKUP($H$6,#REF!,2,FALSE)</f>
        <v>#REF!</v>
      </c>
      <c r="F219" s="51"/>
      <c r="G219" s="614" t="s">
        <v>77</v>
      </c>
      <c r="H219" s="615">
        <v>16.075615722656249</v>
      </c>
      <c r="I219" s="615">
        <v>422.12070263166828</v>
      </c>
      <c r="J219" s="615">
        <v>-392.9110215318351</v>
      </c>
      <c r="K219" s="615">
        <v>-1.5541621174818701</v>
      </c>
      <c r="L219" s="622">
        <v>61.175631880071947</v>
      </c>
      <c r="M219" s="615">
        <v>0</v>
      </c>
      <c r="N219" s="615">
        <v>1038.2869636363639</v>
      </c>
      <c r="O219" s="615">
        <v>205.53110652120495</v>
      </c>
      <c r="P219" s="615">
        <v>161.49639025743829</v>
      </c>
      <c r="Q219" s="615">
        <v>25.85822603947361</v>
      </c>
      <c r="R219" s="615">
        <v>-54.100768803010403</v>
      </c>
      <c r="S219" s="615">
        <v>-24.560655427645724</v>
      </c>
      <c r="T219" s="615">
        <v>0</v>
      </c>
      <c r="U219" s="615">
        <v>7.5015461547405717</v>
      </c>
      <c r="V219" s="615">
        <v>-500.54998169308607</v>
      </c>
      <c r="W219" s="615">
        <v>-65.971307555596866</v>
      </c>
      <c r="X219" s="615">
        <v>-12.361489941461461</v>
      </c>
      <c r="Y219" s="615">
        <v>886.0367957735001</v>
      </c>
      <c r="Z219" s="51"/>
      <c r="AA219" s="51"/>
      <c r="AB219" s="51"/>
    </row>
    <row r="220" spans="1:28" x14ac:dyDescent="0.25">
      <c r="A220" s="51"/>
      <c r="B220" s="51"/>
      <c r="C220" s="51"/>
      <c r="D220" s="51"/>
      <c r="E220" s="51"/>
      <c r="F220" s="51"/>
      <c r="G220" s="616"/>
      <c r="H220" s="617">
        <v>0</v>
      </c>
      <c r="I220" s="617">
        <v>0</v>
      </c>
      <c r="J220" s="617">
        <v>0</v>
      </c>
      <c r="K220" s="617">
        <v>0</v>
      </c>
      <c r="L220" s="623">
        <v>0</v>
      </c>
      <c r="M220" s="617">
        <v>0</v>
      </c>
      <c r="N220" s="617">
        <v>0</v>
      </c>
      <c r="O220" s="617">
        <v>0</v>
      </c>
      <c r="P220" s="617">
        <v>0</v>
      </c>
      <c r="Q220" s="617">
        <v>0</v>
      </c>
      <c r="R220" s="617">
        <v>0</v>
      </c>
      <c r="S220" s="617">
        <v>0</v>
      </c>
      <c r="T220" s="617">
        <v>0</v>
      </c>
      <c r="U220" s="617">
        <v>0</v>
      </c>
      <c r="V220" s="617">
        <v>0</v>
      </c>
      <c r="W220" s="617">
        <v>0</v>
      </c>
      <c r="X220" s="617">
        <v>0</v>
      </c>
      <c r="Y220" s="617">
        <v>0</v>
      </c>
      <c r="Z220" s="51"/>
      <c r="AA220" s="51"/>
      <c r="AB220" s="51"/>
    </row>
    <row r="221" spans="1:28" x14ac:dyDescent="0.25">
      <c r="A221" s="51" t="e">
        <f>A219+2</f>
        <v>#REF!</v>
      </c>
      <c r="B221" s="51">
        <f>B219</f>
        <v>2030</v>
      </c>
      <c r="C221" s="51" t="str">
        <f>C199</f>
        <v>AMS</v>
      </c>
      <c r="D221" s="51" t="s">
        <v>507</v>
      </c>
      <c r="E221" s="51" t="e">
        <f>VLOOKUP($H$6,#REF!,2,FALSE)</f>
        <v>#REF!</v>
      </c>
      <c r="F221" s="51"/>
      <c r="G221" s="618" t="s">
        <v>78</v>
      </c>
      <c r="H221" s="611">
        <v>3.4252792556992748</v>
      </c>
      <c r="I221" s="611">
        <v>0</v>
      </c>
      <c r="J221" s="611">
        <v>12.308271650577865</v>
      </c>
      <c r="K221" s="611">
        <v>0</v>
      </c>
      <c r="L221" s="611">
        <v>73.413026523981316</v>
      </c>
      <c r="M221" s="611">
        <v>0</v>
      </c>
      <c r="N221" s="611">
        <v>0</v>
      </c>
      <c r="O221" s="611">
        <v>0</v>
      </c>
      <c r="P221" s="611">
        <v>20.422417009283894</v>
      </c>
      <c r="Q221" s="611">
        <v>2.602859968291809</v>
      </c>
      <c r="R221" s="611">
        <v>1.0285361411132812</v>
      </c>
      <c r="S221" s="611">
        <v>10.038234189816116</v>
      </c>
      <c r="T221" s="611">
        <v>3.4088933105468748</v>
      </c>
      <c r="U221" s="611">
        <v>5.5791983277925228E-4</v>
      </c>
      <c r="V221" s="611">
        <v>125.34883441740973</v>
      </c>
      <c r="W221" s="611">
        <v>17.986846293297361</v>
      </c>
      <c r="X221" s="611">
        <v>2.0558867187500001</v>
      </c>
      <c r="Y221" s="619">
        <v>272.03964339860033</v>
      </c>
      <c r="Z221" s="51"/>
      <c r="AA221" s="620" t="e" cm="1">
        <f t="array" aca="1" ref="AA221" ca="1">_xlfn.IFNA(INDEX(#REF!,MATCH(INDIRECT("Codes_bilans!"&amp;AA$1&amp;"$"&amp;$A221),#REF!,0),MATCH($B221,#REF!,0)),0)</f>
        <v>#REF!</v>
      </c>
      <c r="AB221" s="51"/>
    </row>
    <row r="222" spans="1:28" x14ac:dyDescent="0.25">
      <c r="A222" s="51" t="e">
        <f t="shared" ref="A222:A229" si="28">A221+1</f>
        <v>#REF!</v>
      </c>
      <c r="B222" s="51">
        <f t="shared" ref="B222:C229" si="29">B221</f>
        <v>2030</v>
      </c>
      <c r="C222" s="51" t="str">
        <f t="shared" si="29"/>
        <v>AMS</v>
      </c>
      <c r="D222" s="51" t="s">
        <v>508</v>
      </c>
      <c r="E222" s="51" t="e">
        <f>VLOOKUP($H$6,#REF!,2,FALSE)</f>
        <v>#REF!</v>
      </c>
      <c r="F222" s="51"/>
      <c r="G222" s="618" t="s">
        <v>79</v>
      </c>
      <c r="H222" s="611">
        <v>0</v>
      </c>
      <c r="I222" s="611">
        <v>0</v>
      </c>
      <c r="J222" s="611">
        <v>299.68098831610791</v>
      </c>
      <c r="K222" s="611">
        <v>0.15795207154289831</v>
      </c>
      <c r="L222" s="611">
        <v>4.9734474054962678</v>
      </c>
      <c r="M222" s="611">
        <v>0</v>
      </c>
      <c r="N222" s="611">
        <v>0</v>
      </c>
      <c r="O222" s="611">
        <v>0</v>
      </c>
      <c r="P222" s="611">
        <v>0</v>
      </c>
      <c r="Q222" s="611">
        <v>0</v>
      </c>
      <c r="R222" s="611">
        <v>36.482323005879891</v>
      </c>
      <c r="S222" s="611">
        <v>0.67819737347676379</v>
      </c>
      <c r="T222" s="611">
        <v>0</v>
      </c>
      <c r="U222" s="611">
        <v>0</v>
      </c>
      <c r="V222" s="611">
        <v>30.954972159028785</v>
      </c>
      <c r="W222" s="611">
        <v>0</v>
      </c>
      <c r="X222" s="611">
        <v>0.65150967495445122</v>
      </c>
      <c r="Y222" s="619">
        <v>373.57939000648707</v>
      </c>
      <c r="Z222" s="51"/>
      <c r="AA222" s="620" t="e" cm="1">
        <f t="array" aca="1" ref="AA222" ca="1">_xlfn.IFNA(INDEX(#REF!,MATCH(INDIRECT("Codes_bilans!"&amp;AA$1&amp;"$"&amp;$A222),#REF!,0),MATCH($B222,#REF!,0)),0)</f>
        <v>#REF!</v>
      </c>
      <c r="AB222" s="51"/>
    </row>
    <row r="223" spans="1:28" x14ac:dyDescent="0.25">
      <c r="A223" s="51" t="e">
        <f t="shared" si="28"/>
        <v>#REF!</v>
      </c>
      <c r="B223" s="51">
        <f t="shared" si="29"/>
        <v>2030</v>
      </c>
      <c r="C223" s="51" t="str">
        <f t="shared" si="29"/>
        <v>AMS</v>
      </c>
      <c r="D223" s="51" t="s">
        <v>509</v>
      </c>
      <c r="E223" s="51" t="e">
        <f>VLOOKUP($H$6,#REF!,2,FALSE)</f>
        <v>#REF!</v>
      </c>
      <c r="F223" s="51"/>
      <c r="G223" s="618" t="s">
        <v>80</v>
      </c>
      <c r="H223" s="611">
        <v>0</v>
      </c>
      <c r="I223" s="611">
        <v>0</v>
      </c>
      <c r="J223" s="611">
        <v>4.6180690607080663</v>
      </c>
      <c r="K223" s="611">
        <v>0</v>
      </c>
      <c r="L223" s="611">
        <v>64.670833332730624</v>
      </c>
      <c r="M223" s="611">
        <v>0</v>
      </c>
      <c r="N223" s="611">
        <v>0</v>
      </c>
      <c r="O223" s="611">
        <v>0</v>
      </c>
      <c r="P223" s="611">
        <v>45.694565750921086</v>
      </c>
      <c r="Q223" s="611">
        <v>0</v>
      </c>
      <c r="R223" s="611">
        <v>0</v>
      </c>
      <c r="S223" s="611">
        <v>8.8187499999178112</v>
      </c>
      <c r="T223" s="611">
        <v>71.668518554839707</v>
      </c>
      <c r="U223" s="611">
        <v>1.8312707461125663</v>
      </c>
      <c r="V223" s="611">
        <v>167.58037418148072</v>
      </c>
      <c r="W223" s="611">
        <v>29.293864289346555</v>
      </c>
      <c r="X223" s="611">
        <v>0</v>
      </c>
      <c r="Y223" s="619">
        <v>394.17624591605716</v>
      </c>
      <c r="Z223" s="51"/>
      <c r="AA223" s="620" t="e" cm="1">
        <f t="array" aca="1" ref="AA223" ca="1">_xlfn.IFNA(INDEX(#REF!,MATCH(INDIRECT("Codes_bilans!"&amp;AA$1&amp;"$"&amp;$A223),#REF!,0),MATCH($B223,#REF!,0)),0)</f>
        <v>#REF!</v>
      </c>
      <c r="AB223" s="67"/>
    </row>
    <row r="224" spans="1:28" x14ac:dyDescent="0.25">
      <c r="A224" s="51" t="e">
        <f t="shared" si="28"/>
        <v>#REF!</v>
      </c>
      <c r="B224" s="51">
        <f t="shared" si="29"/>
        <v>2030</v>
      </c>
      <c r="C224" s="51" t="str">
        <f t="shared" si="29"/>
        <v>AMS</v>
      </c>
      <c r="D224" s="51" t="s">
        <v>510</v>
      </c>
      <c r="E224" s="51" t="e">
        <f>VLOOKUP($H$6,#REF!,2,FALSE)</f>
        <v>#REF!</v>
      </c>
      <c r="F224" s="51"/>
      <c r="G224" s="618" t="s">
        <v>81</v>
      </c>
      <c r="H224" s="611">
        <v>0</v>
      </c>
      <c r="I224" s="611">
        <v>0</v>
      </c>
      <c r="J224" s="611">
        <v>5.9743988488591224</v>
      </c>
      <c r="K224" s="611">
        <v>0</v>
      </c>
      <c r="L224" s="611">
        <v>27.969082753856803</v>
      </c>
      <c r="M224" s="611">
        <v>0</v>
      </c>
      <c r="N224" s="611">
        <v>0</v>
      </c>
      <c r="O224" s="611">
        <v>0</v>
      </c>
      <c r="P224" s="611">
        <v>0.46314310358360405</v>
      </c>
      <c r="Q224" s="611">
        <v>5.3454570882310241E-4</v>
      </c>
      <c r="R224" s="611">
        <v>0</v>
      </c>
      <c r="S224" s="611">
        <v>3.8139658300713819</v>
      </c>
      <c r="T224" s="611">
        <v>16.00449528116604</v>
      </c>
      <c r="U224" s="611">
        <v>0.86463956078668247</v>
      </c>
      <c r="V224" s="611">
        <v>100.94959269616226</v>
      </c>
      <c r="W224" s="611">
        <v>18.690596972952971</v>
      </c>
      <c r="X224" s="611">
        <v>0</v>
      </c>
      <c r="Y224" s="619">
        <v>174.73044959314768</v>
      </c>
      <c r="Z224" s="51"/>
      <c r="AA224" s="620" t="e" cm="1">
        <f t="array" aca="1" ref="AA224" ca="1">_xlfn.IFNA(INDEX(#REF!,MATCH(INDIRECT("Codes_bilans!"&amp;AA$1&amp;"$"&amp;$A224),#REF!,0),MATCH($B224,#REF!,0)),0)</f>
        <v>#REF!</v>
      </c>
      <c r="AB224" s="51"/>
    </row>
    <row r="225" spans="1:28" x14ac:dyDescent="0.25">
      <c r="A225" s="51" t="e">
        <f t="shared" si="28"/>
        <v>#REF!</v>
      </c>
      <c r="B225" s="51">
        <f t="shared" si="29"/>
        <v>2030</v>
      </c>
      <c r="C225" s="51" t="str">
        <f t="shared" si="29"/>
        <v>AMS</v>
      </c>
      <c r="D225" s="51" t="s">
        <v>511</v>
      </c>
      <c r="E225" s="51" t="e">
        <f>VLOOKUP($H$6,#REF!,2,FALSE)</f>
        <v>#REF!</v>
      </c>
      <c r="F225" s="51"/>
      <c r="G225" s="618" t="s">
        <v>82</v>
      </c>
      <c r="H225" s="611">
        <v>0</v>
      </c>
      <c r="I225" s="611">
        <v>0</v>
      </c>
      <c r="J225" s="611">
        <v>27.024104246708042</v>
      </c>
      <c r="K225" s="611">
        <v>0</v>
      </c>
      <c r="L225" s="611">
        <v>1.735774540709758</v>
      </c>
      <c r="M225" s="611">
        <v>0</v>
      </c>
      <c r="N225" s="611">
        <v>0</v>
      </c>
      <c r="O225" s="611">
        <v>0</v>
      </c>
      <c r="P225" s="611">
        <v>2.1723993471697325</v>
      </c>
      <c r="Q225" s="611">
        <v>0</v>
      </c>
      <c r="R225" s="611">
        <v>4.6410977021219679</v>
      </c>
      <c r="S225" s="611">
        <v>0.23669652827860335</v>
      </c>
      <c r="T225" s="611">
        <v>0.5</v>
      </c>
      <c r="U225" s="611">
        <v>0.62518456969816016</v>
      </c>
      <c r="V225" s="611">
        <v>7.6640280422278524</v>
      </c>
      <c r="W225" s="611">
        <v>0</v>
      </c>
      <c r="X225" s="611">
        <v>0.17366238047171115</v>
      </c>
      <c r="Y225" s="619">
        <v>44.772947357385839</v>
      </c>
      <c r="Z225" s="51"/>
      <c r="AA225" s="620" t="e" cm="1">
        <f t="array" aca="1" ref="AA225" ca="1">_xlfn.IFNA(INDEX(#REF!,MATCH(INDIRECT("Codes_bilans!"&amp;AA$1&amp;"$"&amp;$A225),#REF!,0),MATCH($B225,#REF!,0)),0)</f>
        <v>#REF!</v>
      </c>
      <c r="AB225" s="51"/>
    </row>
    <row r="226" spans="1:28" x14ac:dyDescent="0.25">
      <c r="A226" s="51" t="e">
        <f t="shared" si="28"/>
        <v>#REF!</v>
      </c>
      <c r="B226" s="51">
        <f t="shared" si="29"/>
        <v>2030</v>
      </c>
      <c r="C226" s="51" t="str">
        <f t="shared" si="29"/>
        <v>AMS</v>
      </c>
      <c r="D226" s="51" t="s">
        <v>512</v>
      </c>
      <c r="E226" s="51" t="e">
        <f>VLOOKUP($H$6,#REF!,2,FALSE)</f>
        <v>#REF!</v>
      </c>
      <c r="F226" s="51"/>
      <c r="G226" s="618" t="s">
        <v>354</v>
      </c>
      <c r="H226" s="611">
        <v>0</v>
      </c>
      <c r="I226" s="611">
        <v>0</v>
      </c>
      <c r="J226" s="611">
        <v>0</v>
      </c>
      <c r="K226" s="611">
        <v>0</v>
      </c>
      <c r="L226" s="611">
        <v>0</v>
      </c>
      <c r="M226" s="611">
        <v>0</v>
      </c>
      <c r="N226" s="611">
        <v>0</v>
      </c>
      <c r="O226" s="611">
        <v>0</v>
      </c>
      <c r="P226" s="611">
        <v>0</v>
      </c>
      <c r="Q226" s="611">
        <v>0</v>
      </c>
      <c r="R226" s="611">
        <v>0</v>
      </c>
      <c r="S226" s="611">
        <v>0</v>
      </c>
      <c r="T226" s="611">
        <v>0</v>
      </c>
      <c r="U226" s="611">
        <v>0</v>
      </c>
      <c r="V226" s="611">
        <v>0</v>
      </c>
      <c r="W226" s="611">
        <v>0</v>
      </c>
      <c r="X226" s="611">
        <v>0</v>
      </c>
      <c r="Y226" s="619">
        <v>0</v>
      </c>
      <c r="Z226" s="51"/>
      <c r="AA226" s="620" t="e" cm="1">
        <f t="array" aca="1" ref="AA226" ca="1">_xlfn.IFNA(INDEX(#REF!,MATCH(INDIRECT("Codes_bilans!"&amp;AA$1&amp;"$"&amp;$A226),#REF!,0),MATCH($B226,#REF!,0)),0)</f>
        <v>#REF!</v>
      </c>
      <c r="AB226" s="51"/>
    </row>
    <row r="227" spans="1:28" x14ac:dyDescent="0.25">
      <c r="A227" s="51" t="e">
        <f t="shared" si="28"/>
        <v>#REF!</v>
      </c>
      <c r="B227" s="51">
        <f t="shared" si="29"/>
        <v>2030</v>
      </c>
      <c r="C227" s="51" t="str">
        <f t="shared" si="29"/>
        <v>AMS</v>
      </c>
      <c r="D227" s="51" t="s">
        <v>513</v>
      </c>
      <c r="E227" s="51" t="e">
        <f>VLOOKUP($H$6,#REF!,2,FALSE)</f>
        <v>#REF!</v>
      </c>
      <c r="F227" s="51"/>
      <c r="G227" s="614" t="s">
        <v>83</v>
      </c>
      <c r="H227" s="615">
        <v>3.4252792556992748</v>
      </c>
      <c r="I227" s="615">
        <v>0</v>
      </c>
      <c r="J227" s="615">
        <v>349.60583212296103</v>
      </c>
      <c r="K227" s="615">
        <v>0.15795207154289831</v>
      </c>
      <c r="L227" s="622">
        <v>172.76216455677479</v>
      </c>
      <c r="M227" s="615">
        <v>0</v>
      </c>
      <c r="N227" s="615">
        <v>0</v>
      </c>
      <c r="O227" s="615">
        <v>0</v>
      </c>
      <c r="P227" s="615">
        <v>68.752525210958311</v>
      </c>
      <c r="Q227" s="615">
        <v>2.603394514000632</v>
      </c>
      <c r="R227" s="615">
        <v>42.151956849115138</v>
      </c>
      <c r="S227" s="615">
        <v>23.585843921560677</v>
      </c>
      <c r="T227" s="615">
        <v>91.581907146552624</v>
      </c>
      <c r="U227" s="615">
        <v>3.3216527964301883</v>
      </c>
      <c r="V227" s="615">
        <v>432.49780149630931</v>
      </c>
      <c r="W227" s="615">
        <v>65.97130755559688</v>
      </c>
      <c r="X227" s="615">
        <v>2.8810587741761626</v>
      </c>
      <c r="Y227" s="615">
        <v>1259.2986762716782</v>
      </c>
      <c r="Z227" s="51"/>
      <c r="AA227" s="51"/>
      <c r="AB227" s="51"/>
    </row>
    <row r="228" spans="1:28" x14ac:dyDescent="0.25">
      <c r="A228" s="51" t="e">
        <f t="shared" si="28"/>
        <v>#REF!</v>
      </c>
      <c r="B228" s="51">
        <f t="shared" si="29"/>
        <v>2030</v>
      </c>
      <c r="C228" s="51" t="str">
        <f t="shared" si="29"/>
        <v>AMS</v>
      </c>
      <c r="D228" s="51" t="s">
        <v>514</v>
      </c>
      <c r="E228" s="51" t="e">
        <f>VLOOKUP($H$6,#REF!,2,FALSE)</f>
        <v>#REF!</v>
      </c>
      <c r="F228" s="51"/>
      <c r="G228" s="610" t="s">
        <v>84</v>
      </c>
      <c r="H228" s="611">
        <v>0</v>
      </c>
      <c r="I228" s="611">
        <v>0</v>
      </c>
      <c r="J228" s="611">
        <v>95.324260386983326</v>
      </c>
      <c r="K228" s="611">
        <v>1.5048882455619152</v>
      </c>
      <c r="L228" s="611">
        <v>10.356262080325934</v>
      </c>
      <c r="M228" s="611">
        <v>0</v>
      </c>
      <c r="N228" s="611">
        <v>0</v>
      </c>
      <c r="O228" s="611">
        <v>0</v>
      </c>
      <c r="P228" s="611">
        <v>0.11775416529838639</v>
      </c>
      <c r="Q228" s="611">
        <v>0</v>
      </c>
      <c r="R228" s="611">
        <v>8.0702977228109543</v>
      </c>
      <c r="S228" s="611">
        <v>0.98433711774094745</v>
      </c>
      <c r="T228" s="611">
        <v>0</v>
      </c>
      <c r="U228" s="611">
        <v>0</v>
      </c>
      <c r="V228" s="611">
        <v>0</v>
      </c>
      <c r="W228" s="611">
        <v>0</v>
      </c>
      <c r="X228" s="611">
        <v>9.4804311672852979</v>
      </c>
      <c r="Y228" s="619">
        <v>125.83823088600677</v>
      </c>
      <c r="Z228" s="51"/>
      <c r="AA228" s="620" t="e" cm="1">
        <f t="array" aca="1" ref="AA228" ca="1">_xlfn.IFNA(INDEX(#REF!,MATCH(INDIRECT("Codes_bilans!"&amp;AA$1&amp;"$"&amp;$A228),#REF!,0),MATCH($B228,#REF!,0)),0)</f>
        <v>#REF!</v>
      </c>
      <c r="AB228" s="51"/>
    </row>
    <row r="229" spans="1:28" x14ac:dyDescent="0.25">
      <c r="A229" s="51" t="e">
        <f t="shared" si="28"/>
        <v>#REF!</v>
      </c>
      <c r="B229" s="51">
        <f t="shared" si="29"/>
        <v>2030</v>
      </c>
      <c r="C229" s="51" t="str">
        <f t="shared" si="29"/>
        <v>AMS</v>
      </c>
      <c r="D229" s="51" t="s">
        <v>515</v>
      </c>
      <c r="E229" s="51" t="e">
        <f>VLOOKUP($H$6,#REF!,2,FALSE)</f>
        <v>#REF!</v>
      </c>
      <c r="F229" s="51"/>
      <c r="G229" s="614" t="s">
        <v>85</v>
      </c>
      <c r="H229" s="615">
        <v>3.4252792556992748</v>
      </c>
      <c r="I229" s="615">
        <v>0</v>
      </c>
      <c r="J229" s="615">
        <v>444.9300925099443</v>
      </c>
      <c r="K229" s="615">
        <v>1.6628403171048136</v>
      </c>
      <c r="L229" s="622">
        <v>183.11842663710073</v>
      </c>
      <c r="M229" s="615">
        <v>0</v>
      </c>
      <c r="N229" s="615">
        <v>0</v>
      </c>
      <c r="O229" s="615">
        <v>0</v>
      </c>
      <c r="P229" s="615">
        <v>68.870279376256704</v>
      </c>
      <c r="Q229" s="615">
        <v>2.603394514000632</v>
      </c>
      <c r="R229" s="615">
        <v>50.222254571926094</v>
      </c>
      <c r="S229" s="615">
        <v>24.570181039301623</v>
      </c>
      <c r="T229" s="615">
        <v>91.581907146552624</v>
      </c>
      <c r="U229" s="615">
        <v>3.3216527964301883</v>
      </c>
      <c r="V229" s="615">
        <v>432.49780149630931</v>
      </c>
      <c r="W229" s="615">
        <v>65.97130755559688</v>
      </c>
      <c r="X229" s="615">
        <v>12.361489941461461</v>
      </c>
      <c r="Y229" s="615">
        <v>1385.1369071576848</v>
      </c>
      <c r="Z229" s="51"/>
      <c r="AA229" s="51"/>
      <c r="AB229" s="51"/>
    </row>
    <row r="230" spans="1:28" x14ac:dyDescent="0.25">
      <c r="A230" s="51"/>
      <c r="B230" s="51"/>
      <c r="C230" s="51"/>
      <c r="D230" s="51"/>
      <c r="E230" s="51"/>
      <c r="F230" s="51"/>
      <c r="G230" s="51"/>
      <c r="H230" s="67">
        <v>0</v>
      </c>
      <c r="I230" s="67">
        <v>0</v>
      </c>
      <c r="J230" s="67">
        <v>-1.6342482922482304E-13</v>
      </c>
      <c r="K230" s="67">
        <v>-1.1102230246251565E-16</v>
      </c>
      <c r="L230" s="67">
        <v>0</v>
      </c>
      <c r="M230" s="67">
        <v>0</v>
      </c>
      <c r="N230" s="67">
        <v>0</v>
      </c>
      <c r="O230" s="67">
        <v>0</v>
      </c>
      <c r="P230" s="67">
        <v>0</v>
      </c>
      <c r="Q230" s="67">
        <v>0</v>
      </c>
      <c r="R230" s="67">
        <v>-4.0337644107011572</v>
      </c>
      <c r="S230" s="67">
        <v>-4.801714581503802E-15</v>
      </c>
      <c r="T230" s="67">
        <v>0</v>
      </c>
      <c r="U230" s="67">
        <v>0</v>
      </c>
      <c r="V230" s="67">
        <v>-1.7053025658242404E-13</v>
      </c>
      <c r="W230" s="67">
        <v>1.4210854715202004E-14</v>
      </c>
      <c r="X230" s="67">
        <v>0</v>
      </c>
      <c r="Y230" s="67">
        <v>-4.0337644107016786</v>
      </c>
      <c r="Z230" s="51"/>
      <c r="AA230" s="51"/>
      <c r="AB230" s="51"/>
    </row>
    <row r="231" spans="1:28" x14ac:dyDescent="0.25">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row>
    <row r="232" spans="1:28" x14ac:dyDescent="0.25">
      <c r="A232" s="606"/>
      <c r="B232" s="606"/>
      <c r="C232" s="606"/>
      <c r="D232" s="606"/>
      <c r="E232" s="606"/>
      <c r="F232" s="606"/>
      <c r="G232" s="607" t="s">
        <v>357</v>
      </c>
      <c r="H232" s="606"/>
      <c r="I232" s="606"/>
      <c r="J232" s="606"/>
      <c r="K232" s="606"/>
      <c r="L232" s="606"/>
      <c r="M232" s="606"/>
      <c r="N232" s="606"/>
      <c r="O232" s="606"/>
      <c r="P232" s="606"/>
      <c r="Q232" s="606"/>
      <c r="R232" s="606"/>
      <c r="S232" s="606"/>
      <c r="T232" s="606"/>
      <c r="U232" s="606"/>
      <c r="V232" s="606"/>
      <c r="W232" s="606"/>
      <c r="X232" s="606"/>
      <c r="Y232" s="606"/>
      <c r="Z232" s="606"/>
      <c r="AA232" s="606"/>
      <c r="AB232" s="606"/>
    </row>
    <row r="233" spans="1:28" x14ac:dyDescent="0.25">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row>
    <row r="234" spans="1:28" ht="14.25" customHeight="1" x14ac:dyDescent="0.25">
      <c r="A234" s="51"/>
      <c r="B234" s="51"/>
      <c r="C234" s="51"/>
      <c r="D234" s="51"/>
      <c r="E234" s="51"/>
      <c r="F234" s="51"/>
      <c r="G234" s="764" t="s">
        <v>128</v>
      </c>
      <c r="H234" s="753" t="s">
        <v>42</v>
      </c>
      <c r="I234" s="753" t="s">
        <v>52</v>
      </c>
      <c r="J234" s="753" t="s">
        <v>53</v>
      </c>
      <c r="K234" s="753" t="s">
        <v>482</v>
      </c>
      <c r="L234" s="753" t="s">
        <v>32</v>
      </c>
      <c r="M234" s="753" t="s">
        <v>483</v>
      </c>
      <c r="N234" s="753" t="s">
        <v>20</v>
      </c>
      <c r="O234" s="753" t="s">
        <v>55</v>
      </c>
      <c r="P234" s="761" t="s">
        <v>56</v>
      </c>
      <c r="Q234" s="762"/>
      <c r="R234" s="762"/>
      <c r="S234" s="762"/>
      <c r="T234" s="762"/>
      <c r="U234" s="763"/>
      <c r="V234" s="753" t="s">
        <v>57</v>
      </c>
      <c r="W234" s="753" t="s">
        <v>58</v>
      </c>
      <c r="X234" s="753" t="s">
        <v>31</v>
      </c>
      <c r="Y234" s="753" t="s">
        <v>10</v>
      </c>
      <c r="Z234" s="51"/>
      <c r="AA234" s="51"/>
      <c r="AB234" s="51"/>
    </row>
    <row r="235" spans="1:28" ht="24" x14ac:dyDescent="0.25">
      <c r="A235" s="51"/>
      <c r="B235" s="51"/>
      <c r="C235" s="51"/>
      <c r="D235" s="51" t="s">
        <v>486</v>
      </c>
      <c r="E235" s="51"/>
      <c r="F235" s="51"/>
      <c r="G235" s="765"/>
      <c r="H235" s="754"/>
      <c r="I235" s="754"/>
      <c r="J235" s="754"/>
      <c r="K235" s="754"/>
      <c r="L235" s="754"/>
      <c r="M235" s="754"/>
      <c r="N235" s="754"/>
      <c r="O235" s="754"/>
      <c r="P235" s="608" t="s">
        <v>335</v>
      </c>
      <c r="Q235" s="608" t="s">
        <v>40</v>
      </c>
      <c r="R235" s="608" t="s">
        <v>343</v>
      </c>
      <c r="S235" s="608" t="s">
        <v>344</v>
      </c>
      <c r="T235" s="609" t="s">
        <v>345</v>
      </c>
      <c r="U235" s="608" t="s">
        <v>346</v>
      </c>
      <c r="V235" s="754"/>
      <c r="W235" s="754"/>
      <c r="X235" s="754"/>
      <c r="Y235" s="754"/>
      <c r="Z235" s="51"/>
      <c r="AA235" s="51"/>
      <c r="AB235" s="51"/>
    </row>
    <row r="236" spans="1:28" x14ac:dyDescent="0.25">
      <c r="A236" s="51" t="e">
        <f>A199</f>
        <v>#REF!</v>
      </c>
      <c r="B236" s="51">
        <v>2033</v>
      </c>
      <c r="C236" s="51" t="s">
        <v>47</v>
      </c>
      <c r="D236" s="51" t="s">
        <v>487</v>
      </c>
      <c r="E236" s="51" t="e">
        <f>VLOOKUP($H$6,#REF!,2,FALSE)</f>
        <v>#REF!</v>
      </c>
      <c r="F236" s="51"/>
      <c r="G236" s="610" t="s">
        <v>59</v>
      </c>
      <c r="H236" s="611">
        <v>0</v>
      </c>
      <c r="I236" s="611">
        <v>7.3966799999999999</v>
      </c>
      <c r="J236" s="611">
        <v>0</v>
      </c>
      <c r="K236" s="611">
        <v>0</v>
      </c>
      <c r="L236" s="611">
        <v>0.13025600000000001</v>
      </c>
      <c r="M236" s="611">
        <v>0</v>
      </c>
      <c r="N236" s="612">
        <v>1029.1558581818183</v>
      </c>
      <c r="O236" s="612">
        <v>252.71345318084585</v>
      </c>
      <c r="P236" s="612">
        <v>255.68410652130109</v>
      </c>
      <c r="Q236" s="612">
        <v>27.770997573910321</v>
      </c>
      <c r="R236" s="611">
        <v>1.4753548538560814</v>
      </c>
      <c r="S236" s="611">
        <v>0.15089220372740705</v>
      </c>
      <c r="T236" s="612">
        <v>105.39487042391544</v>
      </c>
      <c r="U236" s="612">
        <v>15.052128201204939</v>
      </c>
      <c r="V236" s="611">
        <v>0</v>
      </c>
      <c r="W236" s="611">
        <v>0</v>
      </c>
      <c r="X236" s="611">
        <v>0</v>
      </c>
      <c r="Y236" s="613">
        <v>1694.9245971405794</v>
      </c>
      <c r="Z236" s="51"/>
      <c r="AA236" s="51"/>
      <c r="AB236" s="51"/>
    </row>
    <row r="237" spans="1:28" x14ac:dyDescent="0.25">
      <c r="A237" s="51" t="e">
        <f t="shared" ref="A237:A242" si="30">A236+1</f>
        <v>#REF!</v>
      </c>
      <c r="B237" s="51">
        <f t="shared" ref="B237:C242" si="31">B236</f>
        <v>2033</v>
      </c>
      <c r="C237" s="51" t="str">
        <f t="shared" si="31"/>
        <v>AMS</v>
      </c>
      <c r="D237" s="51" t="s">
        <v>488</v>
      </c>
      <c r="E237" s="51" t="e">
        <f>VLOOKUP($H$6,#REF!,2,FALSE)</f>
        <v>#REF!</v>
      </c>
      <c r="F237" s="51"/>
      <c r="G237" s="610" t="s">
        <v>60</v>
      </c>
      <c r="H237" s="611">
        <v>17.481730816264069</v>
      </c>
      <c r="I237" s="611">
        <v>368.30859161745235</v>
      </c>
      <c r="J237" s="611">
        <v>88.290951016716463</v>
      </c>
      <c r="K237" s="611">
        <v>0.96271456308499825</v>
      </c>
      <c r="L237" s="611">
        <v>191.03063115534553</v>
      </c>
      <c r="M237" s="611">
        <v>0</v>
      </c>
      <c r="N237" s="611">
        <v>0</v>
      </c>
      <c r="O237" s="611">
        <v>0</v>
      </c>
      <c r="P237" s="611">
        <v>3.0227324829465219</v>
      </c>
      <c r="Q237" s="611">
        <v>0</v>
      </c>
      <c r="R237" s="611">
        <v>3.4911647532197585</v>
      </c>
      <c r="S237" s="611">
        <v>0</v>
      </c>
      <c r="T237" s="611">
        <v>0</v>
      </c>
      <c r="U237" s="611">
        <v>0</v>
      </c>
      <c r="V237" s="611">
        <v>0</v>
      </c>
      <c r="W237" s="611">
        <v>0</v>
      </c>
      <c r="X237" s="611">
        <v>0</v>
      </c>
      <c r="Y237" s="613">
        <v>672.58851640502974</v>
      </c>
      <c r="Z237" s="51"/>
      <c r="AA237" s="51"/>
      <c r="AB237" s="51"/>
    </row>
    <row r="238" spans="1:28" x14ac:dyDescent="0.25">
      <c r="A238" s="51" t="e">
        <f t="shared" si="30"/>
        <v>#REF!</v>
      </c>
      <c r="B238" s="51">
        <f t="shared" si="31"/>
        <v>2033</v>
      </c>
      <c r="C238" s="51" t="str">
        <f t="shared" si="31"/>
        <v>AMS</v>
      </c>
      <c r="D238" s="51" t="s">
        <v>489</v>
      </c>
      <c r="E238" s="51" t="e">
        <f>VLOOKUP($H$6,#REF!,2,FALSE)</f>
        <v>#REF!</v>
      </c>
      <c r="F238" s="51"/>
      <c r="G238" s="610" t="s">
        <v>61</v>
      </c>
      <c r="H238" s="611">
        <v>0</v>
      </c>
      <c r="I238" s="611">
        <v>0</v>
      </c>
      <c r="J238" s="611">
        <v>-0.25412033446216642</v>
      </c>
      <c r="K238" s="611">
        <v>0</v>
      </c>
      <c r="L238" s="611">
        <v>0</v>
      </c>
      <c r="M238" s="611">
        <v>0</v>
      </c>
      <c r="N238" s="611">
        <v>0</v>
      </c>
      <c r="O238" s="611">
        <v>0</v>
      </c>
      <c r="P238" s="611">
        <v>0</v>
      </c>
      <c r="Q238" s="611">
        <v>0</v>
      </c>
      <c r="R238" s="611">
        <v>0</v>
      </c>
      <c r="S238" s="611">
        <v>0</v>
      </c>
      <c r="T238" s="611">
        <v>0</v>
      </c>
      <c r="U238" s="611">
        <v>0</v>
      </c>
      <c r="V238" s="611">
        <v>-72.449875026853533</v>
      </c>
      <c r="W238" s="611">
        <v>0</v>
      </c>
      <c r="X238" s="611">
        <v>0</v>
      </c>
      <c r="Y238" s="613">
        <v>-72.703995361315705</v>
      </c>
      <c r="Z238" s="51"/>
      <c r="AA238" s="51"/>
      <c r="AB238" s="51"/>
    </row>
    <row r="239" spans="1:28" x14ac:dyDescent="0.25">
      <c r="A239" s="51" t="e">
        <f t="shared" si="30"/>
        <v>#REF!</v>
      </c>
      <c r="B239" s="51">
        <f t="shared" si="31"/>
        <v>2033</v>
      </c>
      <c r="C239" s="51" t="str">
        <f t="shared" si="31"/>
        <v>AMS</v>
      </c>
      <c r="D239" s="51" t="s">
        <v>490</v>
      </c>
      <c r="E239" s="51" t="e">
        <f>VLOOKUP($H$6,#REF!,2,FALSE)</f>
        <v>#REF!</v>
      </c>
      <c r="F239" s="51"/>
      <c r="G239" s="610" t="s">
        <v>62</v>
      </c>
      <c r="H239" s="611">
        <v>0</v>
      </c>
      <c r="I239" s="611">
        <v>0</v>
      </c>
      <c r="J239" s="611">
        <v>-14.25530176013427</v>
      </c>
      <c r="K239" s="611">
        <v>-0.84519248028876315</v>
      </c>
      <c r="L239" s="611">
        <v>-3.1313337287141003</v>
      </c>
      <c r="M239" s="611">
        <v>0</v>
      </c>
      <c r="N239" s="611">
        <v>0</v>
      </c>
      <c r="O239" s="611">
        <v>0</v>
      </c>
      <c r="P239" s="611">
        <v>0</v>
      </c>
      <c r="Q239" s="611">
        <v>0</v>
      </c>
      <c r="R239" s="611">
        <v>-0.51271510605917692</v>
      </c>
      <c r="S239" s="611">
        <v>-0.83237985193665964</v>
      </c>
      <c r="T239" s="611">
        <v>0</v>
      </c>
      <c r="U239" s="611">
        <v>0</v>
      </c>
      <c r="V239" s="611">
        <v>0</v>
      </c>
      <c r="W239" s="611">
        <v>0</v>
      </c>
      <c r="X239" s="611">
        <v>0</v>
      </c>
      <c r="Y239" s="613">
        <v>-19.576922927132969</v>
      </c>
      <c r="Z239" s="51"/>
      <c r="AA239" s="51"/>
      <c r="AB239" s="51"/>
    </row>
    <row r="240" spans="1:28" x14ac:dyDescent="0.25">
      <c r="A240" s="51" t="e">
        <f t="shared" si="30"/>
        <v>#REF!</v>
      </c>
      <c r="B240" s="51">
        <f t="shared" si="31"/>
        <v>2033</v>
      </c>
      <c r="C240" s="51" t="str">
        <f t="shared" si="31"/>
        <v>AMS</v>
      </c>
      <c r="D240" s="51" t="s">
        <v>491</v>
      </c>
      <c r="E240" s="51" t="e">
        <f>VLOOKUP($H$6,#REF!,2,FALSE)</f>
        <v>#REF!</v>
      </c>
      <c r="F240" s="51"/>
      <c r="G240" s="610" t="s">
        <v>63</v>
      </c>
      <c r="H240" s="611">
        <v>0</v>
      </c>
      <c r="I240" s="611">
        <v>0</v>
      </c>
      <c r="J240" s="611">
        <v>-65.50346802559632</v>
      </c>
      <c r="K240" s="611">
        <v>-2.6636790811189917</v>
      </c>
      <c r="L240" s="611">
        <v>0</v>
      </c>
      <c r="M240" s="611">
        <v>0</v>
      </c>
      <c r="N240" s="611">
        <v>0</v>
      </c>
      <c r="O240" s="611">
        <v>0</v>
      </c>
      <c r="P240" s="611">
        <v>0</v>
      </c>
      <c r="Q240" s="611">
        <v>0</v>
      </c>
      <c r="R240" s="611">
        <v>-8.704547136030067</v>
      </c>
      <c r="S240" s="611">
        <v>0</v>
      </c>
      <c r="T240" s="611">
        <v>0</v>
      </c>
      <c r="U240" s="611">
        <v>0</v>
      </c>
      <c r="V240" s="611">
        <v>0</v>
      </c>
      <c r="W240" s="611">
        <v>0</v>
      </c>
      <c r="X240" s="611">
        <v>-8.5933245803094055E-2</v>
      </c>
      <c r="Y240" s="613">
        <v>-76.957627488548468</v>
      </c>
      <c r="Z240" s="51"/>
      <c r="AA240" s="51"/>
      <c r="AB240" s="51"/>
    </row>
    <row r="241" spans="1:28" x14ac:dyDescent="0.25">
      <c r="A241" s="51" t="e">
        <f t="shared" si="30"/>
        <v>#REF!</v>
      </c>
      <c r="B241" s="51">
        <f t="shared" si="31"/>
        <v>2033</v>
      </c>
      <c r="C241" s="51" t="str">
        <f t="shared" si="31"/>
        <v>AMS</v>
      </c>
      <c r="D241" s="51" t="s">
        <v>492</v>
      </c>
      <c r="E241" s="51" t="e">
        <f>VLOOKUP($H$6,#REF!,2,FALSE)</f>
        <v>#REF!</v>
      </c>
      <c r="F241" s="51"/>
      <c r="G241" s="610" t="s">
        <v>64</v>
      </c>
      <c r="H241" s="611">
        <v>0</v>
      </c>
      <c r="I241" s="611">
        <v>0</v>
      </c>
      <c r="J241" s="611">
        <v>0</v>
      </c>
      <c r="K241" s="611">
        <v>0</v>
      </c>
      <c r="L241" s="611">
        <v>0</v>
      </c>
      <c r="M241" s="611">
        <v>0</v>
      </c>
      <c r="N241" s="611">
        <v>0</v>
      </c>
      <c r="O241" s="611">
        <v>0</v>
      </c>
      <c r="P241" s="611">
        <v>0</v>
      </c>
      <c r="Q241" s="611">
        <v>0</v>
      </c>
      <c r="R241" s="611">
        <v>0</v>
      </c>
      <c r="S241" s="611">
        <v>0</v>
      </c>
      <c r="T241" s="611">
        <v>0</v>
      </c>
      <c r="U241" s="611">
        <v>0</v>
      </c>
      <c r="V241" s="611">
        <v>0</v>
      </c>
      <c r="W241" s="611">
        <v>0</v>
      </c>
      <c r="X241" s="611">
        <v>0</v>
      </c>
      <c r="Y241" s="613">
        <v>0</v>
      </c>
      <c r="Z241" s="51"/>
      <c r="AA241" s="51"/>
      <c r="AB241" s="51"/>
    </row>
    <row r="242" spans="1:28" x14ac:dyDescent="0.25">
      <c r="A242" s="51" t="e">
        <f t="shared" si="30"/>
        <v>#REF!</v>
      </c>
      <c r="B242" s="51">
        <f t="shared" si="31"/>
        <v>2033</v>
      </c>
      <c r="C242" s="51" t="str">
        <f t="shared" si="31"/>
        <v>AMS</v>
      </c>
      <c r="D242" s="51" t="s">
        <v>493</v>
      </c>
      <c r="E242" s="51" t="e">
        <f>VLOOKUP($H$6,#REF!,2,FALSE)</f>
        <v>#REF!</v>
      </c>
      <c r="F242" s="51"/>
      <c r="G242" s="614" t="s">
        <v>65</v>
      </c>
      <c r="H242" s="615">
        <v>17.481730816264069</v>
      </c>
      <c r="I242" s="615">
        <v>375.70527161745235</v>
      </c>
      <c r="J242" s="615">
        <v>8.2780608965236979</v>
      </c>
      <c r="K242" s="615">
        <v>-2.5461569983227568</v>
      </c>
      <c r="L242" s="622">
        <v>188.02955342663142</v>
      </c>
      <c r="M242" s="615">
        <v>0</v>
      </c>
      <c r="N242" s="615">
        <v>1029.1558581818183</v>
      </c>
      <c r="O242" s="615">
        <v>252.71345318084585</v>
      </c>
      <c r="P242" s="615">
        <v>258.70683900424763</v>
      </c>
      <c r="Q242" s="615">
        <v>27.770997573910321</v>
      </c>
      <c r="R242" s="615">
        <v>-4.2507426350134043</v>
      </c>
      <c r="S242" s="615">
        <v>-0.68148764820925256</v>
      </c>
      <c r="T242" s="615">
        <v>105.39487042391544</v>
      </c>
      <c r="U242" s="615">
        <v>15.052128201204939</v>
      </c>
      <c r="V242" s="615">
        <v>-72.449875026853533</v>
      </c>
      <c r="W242" s="615">
        <v>0</v>
      </c>
      <c r="X242" s="615">
        <v>-8.5933245803094055E-2</v>
      </c>
      <c r="Y242" s="615">
        <v>2198.2745677686121</v>
      </c>
      <c r="Z242" s="51"/>
      <c r="AA242" s="51"/>
      <c r="AB242" s="51"/>
    </row>
    <row r="243" spans="1:28" x14ac:dyDescent="0.25">
      <c r="A243" s="51"/>
      <c r="B243" s="51"/>
      <c r="C243" s="51"/>
      <c r="D243" s="51"/>
      <c r="E243" s="51"/>
      <c r="F243" s="51"/>
      <c r="G243" s="616"/>
      <c r="H243" s="617">
        <v>0</v>
      </c>
      <c r="I243" s="617">
        <v>0</v>
      </c>
      <c r="J243" s="617">
        <v>0</v>
      </c>
      <c r="K243" s="617">
        <v>0</v>
      </c>
      <c r="L243" s="623">
        <v>0</v>
      </c>
      <c r="M243" s="617">
        <v>0</v>
      </c>
      <c r="N243" s="617">
        <v>0</v>
      </c>
      <c r="O243" s="617">
        <v>0</v>
      </c>
      <c r="P243" s="617">
        <v>0</v>
      </c>
      <c r="Q243" s="617">
        <v>0</v>
      </c>
      <c r="R243" s="617">
        <v>0</v>
      </c>
      <c r="S243" s="617">
        <v>0</v>
      </c>
      <c r="T243" s="617">
        <v>0</v>
      </c>
      <c r="U243" s="617">
        <v>0</v>
      </c>
      <c r="V243" s="617">
        <v>0</v>
      </c>
      <c r="W243" s="617">
        <v>0</v>
      </c>
      <c r="X243" s="617">
        <v>0</v>
      </c>
      <c r="Y243" s="617">
        <v>0</v>
      </c>
      <c r="Z243" s="51"/>
      <c r="AA243" s="51"/>
      <c r="AB243" s="51"/>
    </row>
    <row r="244" spans="1:28" x14ac:dyDescent="0.25">
      <c r="A244" s="51" t="e">
        <f>A242+2</f>
        <v>#REF!</v>
      </c>
      <c r="B244" s="51">
        <f>B242</f>
        <v>2033</v>
      </c>
      <c r="C244" s="51" t="str">
        <f>C242</f>
        <v>AMS</v>
      </c>
      <c r="D244" s="51" t="s">
        <v>494</v>
      </c>
      <c r="E244" s="51" t="e">
        <f>VLOOKUP($H$6,#REF!,2,FALSE)</f>
        <v>#REF!</v>
      </c>
      <c r="F244" s="51"/>
      <c r="G244" s="618" t="s">
        <v>67</v>
      </c>
      <c r="H244" s="611">
        <v>0</v>
      </c>
      <c r="I244" s="611">
        <v>0</v>
      </c>
      <c r="J244" s="611">
        <v>0</v>
      </c>
      <c r="K244" s="611">
        <v>0</v>
      </c>
      <c r="L244" s="611">
        <v>0</v>
      </c>
      <c r="M244" s="611">
        <v>0</v>
      </c>
      <c r="N244" s="611">
        <v>0</v>
      </c>
      <c r="O244" s="611">
        <v>0</v>
      </c>
      <c r="P244" s="611">
        <v>0</v>
      </c>
      <c r="Q244" s="611">
        <v>0</v>
      </c>
      <c r="R244" s="611">
        <v>0</v>
      </c>
      <c r="S244" s="611">
        <v>0</v>
      </c>
      <c r="T244" s="611">
        <v>0</v>
      </c>
      <c r="U244" s="611">
        <v>0</v>
      </c>
      <c r="V244" s="611">
        <v>0</v>
      </c>
      <c r="W244" s="611">
        <v>0</v>
      </c>
      <c r="X244" s="611">
        <v>0</v>
      </c>
      <c r="Y244" s="619">
        <v>0</v>
      </c>
      <c r="Z244" s="51"/>
      <c r="AA244" s="51"/>
      <c r="AB244" s="51"/>
    </row>
    <row r="245" spans="1:28" x14ac:dyDescent="0.25">
      <c r="A245" s="51" t="e">
        <f t="shared" ref="A245:A256" si="32">A244+1</f>
        <v>#REF!</v>
      </c>
      <c r="B245" s="51">
        <f t="shared" ref="B245:C256" si="33">B244</f>
        <v>2033</v>
      </c>
      <c r="C245" s="51" t="str">
        <f t="shared" si="33"/>
        <v>AMS</v>
      </c>
      <c r="D245" s="51" t="s">
        <v>495</v>
      </c>
      <c r="E245" s="51" t="e">
        <f>VLOOKUP($H$6,#REF!,2,FALSE)</f>
        <v>#REF!</v>
      </c>
      <c r="F245" s="51"/>
      <c r="G245" s="618" t="s">
        <v>347</v>
      </c>
      <c r="H245" s="611">
        <v>0</v>
      </c>
      <c r="I245" s="611">
        <v>0</v>
      </c>
      <c r="J245" s="611">
        <v>0.79278558393774012</v>
      </c>
      <c r="K245" s="611">
        <v>0</v>
      </c>
      <c r="L245" s="611">
        <v>20.991236399526461</v>
      </c>
      <c r="M245" s="611">
        <v>0</v>
      </c>
      <c r="N245" s="611">
        <v>1029.1558581818183</v>
      </c>
      <c r="O245" s="611">
        <v>252.71345318084585</v>
      </c>
      <c r="P245" s="611">
        <v>27.925956196472111</v>
      </c>
      <c r="Q245" s="611">
        <v>10.379890035222726</v>
      </c>
      <c r="R245" s="611">
        <v>4.7819832265678626</v>
      </c>
      <c r="S245" s="611">
        <v>4.7138412807995014</v>
      </c>
      <c r="T245" s="611">
        <v>0</v>
      </c>
      <c r="U245" s="611">
        <v>1.6766395861963883</v>
      </c>
      <c r="V245" s="611">
        <v>-625.05316091305474</v>
      </c>
      <c r="W245" s="611">
        <v>0</v>
      </c>
      <c r="X245" s="611">
        <v>0</v>
      </c>
      <c r="Y245" s="619">
        <v>728.07848275833226</v>
      </c>
      <c r="Z245" s="51"/>
      <c r="AA245" s="51"/>
      <c r="AB245" s="51"/>
    </row>
    <row r="246" spans="1:28" x14ac:dyDescent="0.25">
      <c r="A246" s="51" t="e">
        <f t="shared" si="32"/>
        <v>#REF!</v>
      </c>
      <c r="B246" s="51">
        <f t="shared" si="33"/>
        <v>2033</v>
      </c>
      <c r="C246" s="51" t="str">
        <f t="shared" si="33"/>
        <v>AMS</v>
      </c>
      <c r="D246" s="51" t="s">
        <v>496</v>
      </c>
      <c r="E246" s="51" t="e">
        <f>VLOOKUP($H$6,#REF!,2,FALSE)</f>
        <v>#REF!</v>
      </c>
      <c r="F246" s="51"/>
      <c r="G246" s="618" t="s">
        <v>348</v>
      </c>
      <c r="H246" s="611">
        <v>0</v>
      </c>
      <c r="I246" s="611">
        <v>0</v>
      </c>
      <c r="J246" s="611">
        <v>0</v>
      </c>
      <c r="K246" s="611">
        <v>0</v>
      </c>
      <c r="L246" s="611">
        <v>14.235464329282825</v>
      </c>
      <c r="M246" s="611">
        <v>0</v>
      </c>
      <c r="N246" s="611">
        <v>0</v>
      </c>
      <c r="O246" s="611">
        <v>0</v>
      </c>
      <c r="P246" s="611">
        <v>35.236777417757288</v>
      </c>
      <c r="Q246" s="611">
        <v>14.842062220534972</v>
      </c>
      <c r="R246" s="611">
        <v>0</v>
      </c>
      <c r="S246" s="611">
        <v>4.2657087375224645</v>
      </c>
      <c r="T246" s="611">
        <v>0</v>
      </c>
      <c r="U246" s="611">
        <v>9.4996550719303219</v>
      </c>
      <c r="V246" s="611">
        <v>0</v>
      </c>
      <c r="W246" s="611">
        <v>-71.457959708478597</v>
      </c>
      <c r="X246" s="611">
        <v>0</v>
      </c>
      <c r="Y246" s="619">
        <v>6.6217080685492906</v>
      </c>
      <c r="Z246" s="51"/>
      <c r="AA246" s="51"/>
      <c r="AB246" s="51"/>
    </row>
    <row r="247" spans="1:28" x14ac:dyDescent="0.25">
      <c r="A247" s="51" t="e">
        <f t="shared" si="32"/>
        <v>#REF!</v>
      </c>
      <c r="B247" s="51">
        <f t="shared" si="33"/>
        <v>2033</v>
      </c>
      <c r="C247" s="51" t="str">
        <f t="shared" si="33"/>
        <v>AMS</v>
      </c>
      <c r="D247" s="51" t="s">
        <v>497</v>
      </c>
      <c r="E247" s="51" t="e">
        <f>VLOOKUP($H$6,#REF!,2,FALSE)</f>
        <v>#REF!</v>
      </c>
      <c r="F247" s="51"/>
      <c r="G247" s="618" t="s">
        <v>349</v>
      </c>
      <c r="H247" s="611">
        <v>0</v>
      </c>
      <c r="I247" s="611">
        <v>0</v>
      </c>
      <c r="J247" s="611">
        <v>0</v>
      </c>
      <c r="K247" s="611">
        <v>0</v>
      </c>
      <c r="L247" s="611">
        <v>0</v>
      </c>
      <c r="M247" s="611">
        <v>0</v>
      </c>
      <c r="N247" s="611">
        <v>0</v>
      </c>
      <c r="O247" s="611">
        <v>0</v>
      </c>
      <c r="P247" s="611">
        <v>54.491320741605719</v>
      </c>
      <c r="Q247" s="611">
        <v>0</v>
      </c>
      <c r="R247" s="611">
        <v>0</v>
      </c>
      <c r="S247" s="611">
        <v>-49.313224501826951</v>
      </c>
      <c r="T247" s="611">
        <v>0</v>
      </c>
      <c r="U247" s="611">
        <v>0</v>
      </c>
      <c r="V247" s="611">
        <v>0</v>
      </c>
      <c r="W247" s="611">
        <v>0</v>
      </c>
      <c r="X247" s="611">
        <v>0</v>
      </c>
      <c r="Y247" s="619">
        <v>5.1780962397787675</v>
      </c>
      <c r="Z247" s="51"/>
      <c r="AA247" s="51"/>
      <c r="AB247" s="51"/>
    </row>
    <row r="248" spans="1:28" x14ac:dyDescent="0.25">
      <c r="A248" s="51" t="e">
        <f t="shared" si="32"/>
        <v>#REF!</v>
      </c>
      <c r="B248" s="51">
        <f t="shared" si="33"/>
        <v>2033</v>
      </c>
      <c r="C248" s="51" t="str">
        <f t="shared" si="33"/>
        <v>AMS</v>
      </c>
      <c r="D248" s="51" t="s">
        <v>498</v>
      </c>
      <c r="E248" s="51" t="e">
        <f>VLOOKUP($H$6,#REF!,2,FALSE)</f>
        <v>#REF!</v>
      </c>
      <c r="F248" s="51"/>
      <c r="G248" s="618" t="s">
        <v>350</v>
      </c>
      <c r="H248" s="611">
        <v>0</v>
      </c>
      <c r="I248" s="611">
        <v>0</v>
      </c>
      <c r="J248" s="611">
        <v>0</v>
      </c>
      <c r="K248" s="611">
        <v>0</v>
      </c>
      <c r="L248" s="611">
        <v>0</v>
      </c>
      <c r="M248" s="611">
        <v>0</v>
      </c>
      <c r="N248" s="611">
        <v>0</v>
      </c>
      <c r="O248" s="611">
        <v>0</v>
      </c>
      <c r="P248" s="611">
        <v>0</v>
      </c>
      <c r="Q248" s="611">
        <v>0</v>
      </c>
      <c r="R248" s="611">
        <v>0</v>
      </c>
      <c r="S248" s="611">
        <v>0</v>
      </c>
      <c r="T248" s="611">
        <v>0</v>
      </c>
      <c r="U248" s="611">
        <v>0</v>
      </c>
      <c r="V248" s="611">
        <v>0</v>
      </c>
      <c r="W248" s="611">
        <v>0</v>
      </c>
      <c r="X248" s="611">
        <v>0</v>
      </c>
      <c r="Y248" s="619">
        <v>0</v>
      </c>
      <c r="Z248" s="51"/>
      <c r="AA248" s="51"/>
      <c r="AB248" s="51"/>
    </row>
    <row r="249" spans="1:28" x14ac:dyDescent="0.25">
      <c r="A249" s="51" t="e">
        <f t="shared" si="32"/>
        <v>#REF!</v>
      </c>
      <c r="B249" s="51">
        <f t="shared" si="33"/>
        <v>2033</v>
      </c>
      <c r="C249" s="51" t="str">
        <f t="shared" si="33"/>
        <v>AMS</v>
      </c>
      <c r="D249" s="51" t="s">
        <v>499</v>
      </c>
      <c r="E249" s="51" t="e">
        <f>VLOOKUP($H$6,#REF!,2,FALSE)</f>
        <v>#REF!</v>
      </c>
      <c r="F249" s="51"/>
      <c r="G249" s="618" t="s">
        <v>72</v>
      </c>
      <c r="H249" s="611">
        <v>0</v>
      </c>
      <c r="I249" s="611">
        <v>389.35548440642862</v>
      </c>
      <c r="J249" s="611">
        <v>-385.47782639146612</v>
      </c>
      <c r="K249" s="611">
        <v>0</v>
      </c>
      <c r="L249" s="611">
        <v>0</v>
      </c>
      <c r="M249" s="611">
        <v>0</v>
      </c>
      <c r="N249" s="611">
        <v>0</v>
      </c>
      <c r="O249" s="611">
        <v>0</v>
      </c>
      <c r="P249" s="611">
        <v>0</v>
      </c>
      <c r="Q249" s="611">
        <v>0</v>
      </c>
      <c r="R249" s="611">
        <v>0</v>
      </c>
      <c r="S249" s="611">
        <v>0</v>
      </c>
      <c r="T249" s="611">
        <v>0</v>
      </c>
      <c r="U249" s="611">
        <v>0</v>
      </c>
      <c r="V249" s="611">
        <v>0</v>
      </c>
      <c r="W249" s="611">
        <v>0</v>
      </c>
      <c r="X249" s="611">
        <v>0</v>
      </c>
      <c r="Y249" s="619">
        <v>3.8776580149625208</v>
      </c>
      <c r="Z249" s="51"/>
      <c r="AA249" s="51"/>
      <c r="AB249" s="51"/>
    </row>
    <row r="250" spans="1:28" x14ac:dyDescent="0.25">
      <c r="A250" s="51" t="e">
        <f t="shared" si="32"/>
        <v>#REF!</v>
      </c>
      <c r="B250" s="51">
        <f t="shared" si="33"/>
        <v>2033</v>
      </c>
      <c r="C250" s="51" t="str">
        <f t="shared" si="33"/>
        <v>AMS</v>
      </c>
      <c r="D250" s="51" t="s">
        <v>500</v>
      </c>
      <c r="E250" s="51" t="e">
        <f>VLOOKUP($H$6,#REF!,2,FALSE)</f>
        <v>#REF!</v>
      </c>
      <c r="F250" s="51"/>
      <c r="G250" s="618" t="s">
        <v>351</v>
      </c>
      <c r="H250" s="611">
        <v>0</v>
      </c>
      <c r="I250" s="611">
        <v>0</v>
      </c>
      <c r="J250" s="611">
        <v>0</v>
      </c>
      <c r="K250" s="611">
        <v>0</v>
      </c>
      <c r="L250" s="611">
        <v>0</v>
      </c>
      <c r="M250" s="611">
        <v>0</v>
      </c>
      <c r="N250" s="611">
        <v>0</v>
      </c>
      <c r="O250" s="611">
        <v>0</v>
      </c>
      <c r="P250" s="611">
        <v>76.110674115305528</v>
      </c>
      <c r="Q250" s="611">
        <v>0</v>
      </c>
      <c r="R250" s="611">
        <v>-76.110674115305528</v>
      </c>
      <c r="S250" s="611">
        <v>0</v>
      </c>
      <c r="T250" s="611">
        <v>0</v>
      </c>
      <c r="U250" s="611">
        <v>0</v>
      </c>
      <c r="V250" s="611">
        <v>0</v>
      </c>
      <c r="W250" s="611">
        <v>0</v>
      </c>
      <c r="X250" s="611">
        <v>0</v>
      </c>
      <c r="Y250" s="619">
        <v>0</v>
      </c>
      <c r="Z250" s="51"/>
      <c r="AA250" s="51"/>
      <c r="AB250" s="51"/>
    </row>
    <row r="251" spans="1:28" x14ac:dyDescent="0.25">
      <c r="A251" s="51" t="e">
        <f t="shared" si="32"/>
        <v>#REF!</v>
      </c>
      <c r="B251" s="51">
        <f t="shared" si="33"/>
        <v>2033</v>
      </c>
      <c r="C251" s="51" t="str">
        <f t="shared" si="33"/>
        <v>AMS</v>
      </c>
      <c r="D251" s="51" t="s">
        <v>501</v>
      </c>
      <c r="E251" s="51" t="e">
        <f>VLOOKUP($H$6,#REF!,2,FALSE)</f>
        <v>#REF!</v>
      </c>
      <c r="F251" s="51"/>
      <c r="G251" s="618" t="s">
        <v>352</v>
      </c>
      <c r="H251" s="611">
        <v>0</v>
      </c>
      <c r="I251" s="611">
        <v>0</v>
      </c>
      <c r="J251" s="611">
        <v>0</v>
      </c>
      <c r="K251" s="611">
        <v>-5.3679652793818873</v>
      </c>
      <c r="L251" s="611">
        <v>0</v>
      </c>
      <c r="M251" s="611">
        <v>0</v>
      </c>
      <c r="N251" s="611">
        <v>0</v>
      </c>
      <c r="O251" s="611">
        <v>0</v>
      </c>
      <c r="P251" s="611">
        <v>0</v>
      </c>
      <c r="Q251" s="611">
        <v>0</v>
      </c>
      <c r="R251" s="611">
        <v>0</v>
      </c>
      <c r="S251" s="611">
        <v>0</v>
      </c>
      <c r="T251" s="611">
        <v>0</v>
      </c>
      <c r="U251" s="611">
        <v>0</v>
      </c>
      <c r="V251" s="611">
        <v>0</v>
      </c>
      <c r="W251" s="611">
        <v>0</v>
      </c>
      <c r="X251" s="611">
        <v>7.4762747623703172</v>
      </c>
      <c r="Y251" s="619">
        <v>2.1083094829884299</v>
      </c>
      <c r="Z251" s="51"/>
      <c r="AA251" s="51"/>
      <c r="AB251" s="51"/>
    </row>
    <row r="252" spans="1:28" x14ac:dyDescent="0.25">
      <c r="A252" s="51" t="e">
        <f t="shared" si="32"/>
        <v>#REF!</v>
      </c>
      <c r="B252" s="51">
        <f t="shared" si="33"/>
        <v>2033</v>
      </c>
      <c r="C252" s="51" t="str">
        <f t="shared" si="33"/>
        <v>AMS</v>
      </c>
      <c r="D252" s="51" t="s">
        <v>502</v>
      </c>
      <c r="E252" s="51" t="e">
        <f>VLOOKUP($H$6,#REF!,2,FALSE)</f>
        <v>#REF!</v>
      </c>
      <c r="F252" s="51"/>
      <c r="G252" s="618" t="s">
        <v>73</v>
      </c>
      <c r="H252" s="611">
        <v>0</v>
      </c>
      <c r="I252" s="611">
        <v>0</v>
      </c>
      <c r="J252" s="611">
        <v>0</v>
      </c>
      <c r="K252" s="611">
        <v>0</v>
      </c>
      <c r="L252" s="611">
        <v>0</v>
      </c>
      <c r="M252" s="611">
        <v>0</v>
      </c>
      <c r="N252" s="611">
        <v>0</v>
      </c>
      <c r="O252" s="611">
        <v>0</v>
      </c>
      <c r="P252" s="611">
        <v>0</v>
      </c>
      <c r="Q252" s="611">
        <v>0</v>
      </c>
      <c r="R252" s="611">
        <v>0</v>
      </c>
      <c r="S252" s="611">
        <v>0</v>
      </c>
      <c r="T252" s="611">
        <v>0</v>
      </c>
      <c r="U252" s="611">
        <v>0</v>
      </c>
      <c r="V252" s="611">
        <v>40.318919655124205</v>
      </c>
      <c r="W252" s="611">
        <v>0</v>
      </c>
      <c r="X252" s="611">
        <v>-26.630646432209534</v>
      </c>
      <c r="Y252" s="619">
        <v>13.68827322291467</v>
      </c>
      <c r="Z252" s="51"/>
      <c r="AA252" s="51"/>
      <c r="AB252" s="51"/>
    </row>
    <row r="253" spans="1:28" x14ac:dyDescent="0.25">
      <c r="A253" s="51" t="e">
        <f t="shared" si="32"/>
        <v>#REF!</v>
      </c>
      <c r="B253" s="51">
        <f t="shared" si="33"/>
        <v>2033</v>
      </c>
      <c r="C253" s="51" t="str">
        <f t="shared" si="33"/>
        <v>AMS</v>
      </c>
      <c r="D253" s="51" t="s">
        <v>503</v>
      </c>
      <c r="E253" s="51" t="e">
        <f>VLOOKUP($H$6,#REF!,2,FALSE)</f>
        <v>#REF!</v>
      </c>
      <c r="F253" s="51"/>
      <c r="G253" s="618" t="s">
        <v>353</v>
      </c>
      <c r="H253" s="611">
        <v>10.05823125</v>
      </c>
      <c r="I253" s="611">
        <v>-13.65021278897626</v>
      </c>
      <c r="J253" s="611">
        <v>17.774822682354454</v>
      </c>
      <c r="K253" s="611">
        <v>0</v>
      </c>
      <c r="L253" s="611">
        <v>0</v>
      </c>
      <c r="M253" s="611">
        <v>0</v>
      </c>
      <c r="N253" s="611">
        <v>0</v>
      </c>
      <c r="O253" s="611">
        <v>0</v>
      </c>
      <c r="P253" s="611">
        <v>0</v>
      </c>
      <c r="Q253" s="611">
        <v>0</v>
      </c>
      <c r="R253" s="611">
        <v>0</v>
      </c>
      <c r="S253" s="611">
        <v>0</v>
      </c>
      <c r="T253" s="611">
        <v>0</v>
      </c>
      <c r="U253" s="611">
        <v>0</v>
      </c>
      <c r="V253" s="611">
        <v>0</v>
      </c>
      <c r="W253" s="611">
        <v>0</v>
      </c>
      <c r="X253" s="611">
        <v>0</v>
      </c>
      <c r="Y253" s="619">
        <v>14.182841143378196</v>
      </c>
      <c r="Z253" s="51"/>
      <c r="AA253" s="51"/>
      <c r="AB253" s="51"/>
    </row>
    <row r="254" spans="1:28" x14ac:dyDescent="0.25">
      <c r="A254" s="51" t="e">
        <f t="shared" si="32"/>
        <v>#REF!</v>
      </c>
      <c r="B254" s="51">
        <f t="shared" si="33"/>
        <v>2033</v>
      </c>
      <c r="C254" s="51" t="str">
        <f t="shared" si="33"/>
        <v>AMS</v>
      </c>
      <c r="D254" s="51" t="s">
        <v>504</v>
      </c>
      <c r="E254" s="51" t="e">
        <f>VLOOKUP($H$6,#REF!,2,FALSE)</f>
        <v>#REF!</v>
      </c>
      <c r="F254" s="51"/>
      <c r="G254" s="618" t="s">
        <v>75</v>
      </c>
      <c r="H254" s="611">
        <v>3.9115343750000005</v>
      </c>
      <c r="I254" s="611">
        <v>0</v>
      </c>
      <c r="J254" s="611">
        <v>18.970841206198273</v>
      </c>
      <c r="K254" s="611">
        <v>0</v>
      </c>
      <c r="L254" s="611">
        <v>4.3082366200216411</v>
      </c>
      <c r="M254" s="611">
        <v>0</v>
      </c>
      <c r="N254" s="611">
        <v>0</v>
      </c>
      <c r="O254" s="611">
        <v>0</v>
      </c>
      <c r="P254" s="611">
        <v>0</v>
      </c>
      <c r="Q254" s="611">
        <v>0</v>
      </c>
      <c r="R254" s="611">
        <v>0</v>
      </c>
      <c r="S254" s="611">
        <v>1.1452274559551199</v>
      </c>
      <c r="T254" s="611">
        <v>0</v>
      </c>
      <c r="U254" s="611">
        <v>0</v>
      </c>
      <c r="V254" s="611">
        <v>26.029227477010622</v>
      </c>
      <c r="W254" s="611">
        <v>0</v>
      </c>
      <c r="X254" s="611">
        <v>0</v>
      </c>
      <c r="Y254" s="619">
        <v>54.365067134185658</v>
      </c>
      <c r="Z254" s="51"/>
      <c r="AA254" s="51"/>
      <c r="AB254" s="51"/>
    </row>
    <row r="255" spans="1:28" x14ac:dyDescent="0.25">
      <c r="A255" s="51" t="e">
        <f t="shared" si="32"/>
        <v>#REF!</v>
      </c>
      <c r="B255" s="51">
        <f t="shared" si="33"/>
        <v>2033</v>
      </c>
      <c r="C255" s="51" t="str">
        <f t="shared" si="33"/>
        <v>AMS</v>
      </c>
      <c r="D255" s="51" t="s">
        <v>505</v>
      </c>
      <c r="E255" s="51" t="e">
        <f>VLOOKUP($H$6,#REF!,2,FALSE)</f>
        <v>#REF!</v>
      </c>
      <c r="F255" s="51"/>
      <c r="G255" s="618" t="s">
        <v>76</v>
      </c>
      <c r="H255" s="611">
        <v>0</v>
      </c>
      <c r="I255" s="611">
        <v>0</v>
      </c>
      <c r="J255" s="611">
        <v>0</v>
      </c>
      <c r="K255" s="611">
        <v>0</v>
      </c>
      <c r="L255" s="611">
        <v>2.1520017207072755</v>
      </c>
      <c r="M255" s="611">
        <v>0</v>
      </c>
      <c r="N255" s="611">
        <v>0</v>
      </c>
      <c r="O255" s="611">
        <v>0</v>
      </c>
      <c r="P255" s="611">
        <v>0</v>
      </c>
      <c r="Q255" s="611">
        <v>0</v>
      </c>
      <c r="R255" s="611">
        <v>0</v>
      </c>
      <c r="S255" s="611">
        <v>0.57205109031459223</v>
      </c>
      <c r="T255" s="611">
        <v>0</v>
      </c>
      <c r="U255" s="611">
        <v>0</v>
      </c>
      <c r="V255" s="611">
        <v>42.311436575110221</v>
      </c>
      <c r="W255" s="611">
        <v>5.5417484036628721</v>
      </c>
      <c r="X255" s="611">
        <v>0</v>
      </c>
      <c r="Y255" s="619">
        <v>50.577237789794964</v>
      </c>
      <c r="Z255" s="51"/>
      <c r="AA255" s="51"/>
      <c r="AB255" s="51"/>
    </row>
    <row r="256" spans="1:28" x14ac:dyDescent="0.25">
      <c r="A256" s="51" t="e">
        <f t="shared" si="32"/>
        <v>#REF!</v>
      </c>
      <c r="B256" s="51">
        <f t="shared" si="33"/>
        <v>2033</v>
      </c>
      <c r="C256" s="51" t="str">
        <f t="shared" si="33"/>
        <v>AMS</v>
      </c>
      <c r="D256" s="51" t="s">
        <v>506</v>
      </c>
      <c r="E256" s="51" t="e">
        <f>VLOOKUP($H$6,#REF!,2,FALSE)</f>
        <v>#REF!</v>
      </c>
      <c r="F256" s="51"/>
      <c r="G256" s="614" t="s">
        <v>77</v>
      </c>
      <c r="H256" s="615">
        <v>13.969765625000001</v>
      </c>
      <c r="I256" s="615">
        <v>375.70527161745235</v>
      </c>
      <c r="J256" s="615">
        <v>-347.93937691897565</v>
      </c>
      <c r="K256" s="615">
        <v>-5.3679652793818873</v>
      </c>
      <c r="L256" s="622">
        <v>41.686939069538198</v>
      </c>
      <c r="M256" s="615">
        <v>0</v>
      </c>
      <c r="N256" s="615">
        <v>1029.1558581818183</v>
      </c>
      <c r="O256" s="615">
        <v>252.71345318084585</v>
      </c>
      <c r="P256" s="615">
        <v>193.76472847114064</v>
      </c>
      <c r="Q256" s="615">
        <v>25.221952255757699</v>
      </c>
      <c r="R256" s="615">
        <v>-71.328690888737668</v>
      </c>
      <c r="S256" s="615">
        <v>-38.616395937235275</v>
      </c>
      <c r="T256" s="615">
        <v>0</v>
      </c>
      <c r="U256" s="615">
        <v>11.176294658126709</v>
      </c>
      <c r="V256" s="615">
        <v>-516.39357720580983</v>
      </c>
      <c r="W256" s="615">
        <v>-65.916211304815732</v>
      </c>
      <c r="X256" s="615">
        <v>-19.154371669839218</v>
      </c>
      <c r="Y256" s="615">
        <v>878.6776738548848</v>
      </c>
      <c r="Z256" s="51"/>
      <c r="AA256" s="51"/>
      <c r="AB256" s="51"/>
    </row>
    <row r="257" spans="1:28" x14ac:dyDescent="0.25">
      <c r="A257" s="51"/>
      <c r="B257" s="51"/>
      <c r="C257" s="51"/>
      <c r="D257" s="51"/>
      <c r="E257" s="51"/>
      <c r="F257" s="51"/>
      <c r="G257" s="616"/>
      <c r="H257" s="617">
        <v>0</v>
      </c>
      <c r="I257" s="617">
        <v>0</v>
      </c>
      <c r="J257" s="617">
        <v>0</v>
      </c>
      <c r="K257" s="617">
        <v>0</v>
      </c>
      <c r="L257" s="623">
        <v>0</v>
      </c>
      <c r="M257" s="617">
        <v>0</v>
      </c>
      <c r="N257" s="617">
        <v>0</v>
      </c>
      <c r="O257" s="617">
        <v>0</v>
      </c>
      <c r="P257" s="617">
        <v>0</v>
      </c>
      <c r="Q257" s="617">
        <v>0</v>
      </c>
      <c r="R257" s="617">
        <v>0</v>
      </c>
      <c r="S257" s="617">
        <v>0</v>
      </c>
      <c r="T257" s="617">
        <v>0</v>
      </c>
      <c r="U257" s="617">
        <v>0</v>
      </c>
      <c r="V257" s="617">
        <v>0</v>
      </c>
      <c r="W257" s="617">
        <v>0</v>
      </c>
      <c r="X257" s="617">
        <v>0</v>
      </c>
      <c r="Y257" s="617">
        <v>0</v>
      </c>
      <c r="Z257" s="51"/>
      <c r="AA257" s="51"/>
      <c r="AB257" s="51"/>
    </row>
    <row r="258" spans="1:28" x14ac:dyDescent="0.25">
      <c r="A258" s="51" t="e">
        <f>A256+2</f>
        <v>#REF!</v>
      </c>
      <c r="B258" s="51">
        <f>B256</f>
        <v>2033</v>
      </c>
      <c r="C258" s="51" t="str">
        <f>C236</f>
        <v>AMS</v>
      </c>
      <c r="D258" s="51" t="s">
        <v>507</v>
      </c>
      <c r="E258" s="51" t="e">
        <f>VLOOKUP($H$6,#REF!,2,FALSE)</f>
        <v>#REF!</v>
      </c>
      <c r="F258" s="51"/>
      <c r="G258" s="618" t="s">
        <v>78</v>
      </c>
      <c r="H258" s="611">
        <v>3.5119651912640659</v>
      </c>
      <c r="I258" s="611">
        <v>0</v>
      </c>
      <c r="J258" s="611">
        <v>10.329791866978772</v>
      </c>
      <c r="K258" s="611">
        <v>0</v>
      </c>
      <c r="L258" s="611">
        <v>59.22498419444846</v>
      </c>
      <c r="M258" s="611">
        <v>0</v>
      </c>
      <c r="N258" s="611">
        <v>0</v>
      </c>
      <c r="O258" s="611">
        <v>0</v>
      </c>
      <c r="P258" s="611">
        <v>20.32032070760291</v>
      </c>
      <c r="Q258" s="611">
        <v>2.5485507721439489</v>
      </c>
      <c r="R258" s="611">
        <v>1.1054608081054689</v>
      </c>
      <c r="S258" s="611">
        <v>15.774676477466111</v>
      </c>
      <c r="T258" s="611">
        <v>4.7115375976562497</v>
      </c>
      <c r="U258" s="611">
        <v>6.3863689419622622E-4</v>
      </c>
      <c r="V258" s="611">
        <v>128.13338929673023</v>
      </c>
      <c r="W258" s="611">
        <v>18.044740545750674</v>
      </c>
      <c r="X258" s="611">
        <v>2.7711535644531251</v>
      </c>
      <c r="Y258" s="619">
        <v>266.47720965949424</v>
      </c>
      <c r="Z258" s="51"/>
      <c r="AA258" s="620" t="e" cm="1">
        <f t="array" aca="1" ref="AA258" ca="1">_xlfn.IFNA(INDEX(#REF!,MATCH(INDIRECT("Codes_bilans!"&amp;AA$1&amp;"$"&amp;$A258),#REF!,0),MATCH($B258,#REF!,0)),0)</f>
        <v>#REF!</v>
      </c>
      <c r="AB258" s="51"/>
    </row>
    <row r="259" spans="1:28" x14ac:dyDescent="0.25">
      <c r="A259" s="51" t="e">
        <f t="shared" ref="A259:A266" si="34">A258+1</f>
        <v>#REF!</v>
      </c>
      <c r="B259" s="51">
        <f t="shared" ref="B259:C266" si="35">B258</f>
        <v>2033</v>
      </c>
      <c r="C259" s="51" t="str">
        <f t="shared" si="35"/>
        <v>AMS</v>
      </c>
      <c r="D259" s="51" t="s">
        <v>508</v>
      </c>
      <c r="E259" s="51" t="e">
        <f>VLOOKUP($H$6,#REF!,2,FALSE)</f>
        <v>#REF!</v>
      </c>
      <c r="F259" s="51"/>
      <c r="G259" s="618" t="s">
        <v>79</v>
      </c>
      <c r="H259" s="611">
        <v>0</v>
      </c>
      <c r="I259" s="611">
        <v>0</v>
      </c>
      <c r="J259" s="611">
        <v>230.06398718142972</v>
      </c>
      <c r="K259" s="611">
        <v>0.28870182254104659</v>
      </c>
      <c r="L259" s="611">
        <v>4.7638546223905314</v>
      </c>
      <c r="M259" s="611">
        <v>0</v>
      </c>
      <c r="N259" s="611">
        <v>0</v>
      </c>
      <c r="O259" s="611">
        <v>0</v>
      </c>
      <c r="P259" s="611">
        <v>0</v>
      </c>
      <c r="Q259" s="611">
        <v>0</v>
      </c>
      <c r="R259" s="611">
        <v>46.305302929407816</v>
      </c>
      <c r="S259" s="611">
        <v>1.2663411021544451</v>
      </c>
      <c r="T259" s="611">
        <v>0</v>
      </c>
      <c r="U259" s="611">
        <v>0</v>
      </c>
      <c r="V259" s="611">
        <v>46.787013172975605</v>
      </c>
      <c r="W259" s="611">
        <v>0</v>
      </c>
      <c r="X259" s="611">
        <v>1.4725342358360081</v>
      </c>
      <c r="Y259" s="619">
        <v>330.94773506673516</v>
      </c>
      <c r="Z259" s="51"/>
      <c r="AA259" s="620" t="e" cm="1">
        <f t="array" aca="1" ref="AA259" ca="1">_xlfn.IFNA(INDEX(#REF!,MATCH(INDIRECT("Codes_bilans!"&amp;AA$1&amp;"$"&amp;$A259),#REF!,0),MATCH($B259,#REF!,0)),0)</f>
        <v>#REF!</v>
      </c>
      <c r="AB259" s="51"/>
    </row>
    <row r="260" spans="1:28" x14ac:dyDescent="0.25">
      <c r="A260" s="51" t="e">
        <f t="shared" si="34"/>
        <v>#REF!</v>
      </c>
      <c r="B260" s="51">
        <f t="shared" si="35"/>
        <v>2033</v>
      </c>
      <c r="C260" s="51" t="str">
        <f t="shared" si="35"/>
        <v>AMS</v>
      </c>
      <c r="D260" s="51" t="s">
        <v>509</v>
      </c>
      <c r="E260" s="51" t="e">
        <f>VLOOKUP($H$6,#REF!,2,FALSE)</f>
        <v>#REF!</v>
      </c>
      <c r="F260" s="51"/>
      <c r="G260" s="618" t="s">
        <v>80</v>
      </c>
      <c r="H260" s="611">
        <v>0</v>
      </c>
      <c r="I260" s="611">
        <v>0</v>
      </c>
      <c r="J260" s="611">
        <v>3.8037297943831954</v>
      </c>
      <c r="K260" s="611">
        <v>0</v>
      </c>
      <c r="L260" s="611">
        <v>48.749434252341672</v>
      </c>
      <c r="M260" s="611">
        <v>0</v>
      </c>
      <c r="N260" s="611">
        <v>0</v>
      </c>
      <c r="O260" s="611">
        <v>0</v>
      </c>
      <c r="P260" s="611">
        <v>41.434907608340509</v>
      </c>
      <c r="Q260" s="611">
        <v>0</v>
      </c>
      <c r="R260" s="611">
        <v>0</v>
      </c>
      <c r="S260" s="611">
        <v>12.958710370875634</v>
      </c>
      <c r="T260" s="611">
        <v>81.342309221763003</v>
      </c>
      <c r="U260" s="611">
        <v>2.1381357466702497</v>
      </c>
      <c r="V260" s="611">
        <v>162.42127689265124</v>
      </c>
      <c r="W260" s="611">
        <v>29.067896346898497</v>
      </c>
      <c r="X260" s="611">
        <v>0</v>
      </c>
      <c r="Y260" s="619">
        <v>381.91640023392404</v>
      </c>
      <c r="Z260" s="51"/>
      <c r="AA260" s="620" t="e" cm="1">
        <f t="array" aca="1" ref="AA260" ca="1">_xlfn.IFNA(INDEX(#REF!,MATCH(INDIRECT("Codes_bilans!"&amp;AA$1&amp;"$"&amp;$A260),#REF!,0),MATCH($B260,#REF!,0)),0)</f>
        <v>#REF!</v>
      </c>
      <c r="AB260" s="51"/>
    </row>
    <row r="261" spans="1:28" x14ac:dyDescent="0.25">
      <c r="A261" s="51" t="e">
        <f t="shared" si="34"/>
        <v>#REF!</v>
      </c>
      <c r="B261" s="51">
        <f t="shared" si="35"/>
        <v>2033</v>
      </c>
      <c r="C261" s="51" t="str">
        <f t="shared" si="35"/>
        <v>AMS</v>
      </c>
      <c r="D261" s="51" t="s">
        <v>510</v>
      </c>
      <c r="E261" s="51" t="e">
        <f>VLOOKUP($H$6,#REF!,2,FALSE)</f>
        <v>#REF!</v>
      </c>
      <c r="F261" s="51"/>
      <c r="G261" s="618" t="s">
        <v>81</v>
      </c>
      <c r="H261" s="611">
        <v>0</v>
      </c>
      <c r="I261" s="611">
        <v>0</v>
      </c>
      <c r="J261" s="611">
        <v>4.4549193893901853</v>
      </c>
      <c r="K261" s="611">
        <v>0</v>
      </c>
      <c r="L261" s="611">
        <v>22.809891612288435</v>
      </c>
      <c r="M261" s="611">
        <v>0</v>
      </c>
      <c r="N261" s="611">
        <v>0</v>
      </c>
      <c r="O261" s="611">
        <v>0</v>
      </c>
      <c r="P261" s="611">
        <v>0.44569918061681485</v>
      </c>
      <c r="Q261" s="611">
        <v>4.9454600867274027E-4</v>
      </c>
      <c r="R261" s="611">
        <v>0</v>
      </c>
      <c r="S261" s="611">
        <v>6.0633889095956608</v>
      </c>
      <c r="T261" s="611">
        <v>18.691023604496184</v>
      </c>
      <c r="U261" s="611">
        <v>0.90924384630352406</v>
      </c>
      <c r="V261" s="611">
        <v>98.49757027134045</v>
      </c>
      <c r="W261" s="611">
        <v>18.80357441216654</v>
      </c>
      <c r="X261" s="611">
        <v>0</v>
      </c>
      <c r="Y261" s="619">
        <v>170.67580577220647</v>
      </c>
      <c r="Z261" s="51"/>
      <c r="AA261" s="620" t="e" cm="1">
        <f t="array" aca="1" ref="AA261" ca="1">_xlfn.IFNA(INDEX(#REF!,MATCH(INDIRECT("Codes_bilans!"&amp;AA$1&amp;"$"&amp;$A261),#REF!,0),MATCH($B261,#REF!,0)),0)</f>
        <v>#REF!</v>
      </c>
      <c r="AB261" s="51"/>
    </row>
    <row r="262" spans="1:28" x14ac:dyDescent="0.25">
      <c r="A262" s="51" t="e">
        <f t="shared" si="34"/>
        <v>#REF!</v>
      </c>
      <c r="B262" s="51">
        <f t="shared" si="35"/>
        <v>2033</v>
      </c>
      <c r="C262" s="51" t="str">
        <f t="shared" si="35"/>
        <v>AMS</v>
      </c>
      <c r="D262" s="51" t="s">
        <v>511</v>
      </c>
      <c r="E262" s="51" t="e">
        <f>VLOOKUP($H$6,#REF!,2,FALSE)</f>
        <v>#REF!</v>
      </c>
      <c r="F262" s="51"/>
      <c r="G262" s="618" t="s">
        <v>82</v>
      </c>
      <c r="H262" s="611">
        <v>0</v>
      </c>
      <c r="I262" s="611">
        <v>0</v>
      </c>
      <c r="J262" s="611">
        <v>22.663704600568668</v>
      </c>
      <c r="K262" s="611">
        <v>0</v>
      </c>
      <c r="L262" s="611">
        <v>1.5172607097483775</v>
      </c>
      <c r="M262" s="611">
        <v>0</v>
      </c>
      <c r="N262" s="611">
        <v>0</v>
      </c>
      <c r="O262" s="611">
        <v>0</v>
      </c>
      <c r="P262" s="611">
        <v>2.5327781893790755</v>
      </c>
      <c r="Q262" s="611">
        <v>0</v>
      </c>
      <c r="R262" s="611">
        <v>6.9172702223723741</v>
      </c>
      <c r="S262" s="611">
        <v>0.40332246714830289</v>
      </c>
      <c r="T262" s="611">
        <v>0.65</v>
      </c>
      <c r="U262" s="611">
        <v>0.82781531321025892</v>
      </c>
      <c r="V262" s="611">
        <v>7.6931885452586402</v>
      </c>
      <c r="W262" s="611">
        <v>0</v>
      </c>
      <c r="X262" s="611">
        <v>0.21911019493558448</v>
      </c>
      <c r="Y262" s="619">
        <v>43.424450242621276</v>
      </c>
      <c r="Z262" s="51"/>
      <c r="AA262" s="620" t="e" cm="1">
        <f t="array" aca="1" ref="AA262" ca="1">_xlfn.IFNA(INDEX(#REF!,MATCH(INDIRECT("Codes_bilans!"&amp;AA$1&amp;"$"&amp;$A262),#REF!,0),MATCH($B262,#REF!,0)),0)</f>
        <v>#REF!</v>
      </c>
      <c r="AB262" s="51"/>
    </row>
    <row r="263" spans="1:28" x14ac:dyDescent="0.25">
      <c r="A263" s="51" t="e">
        <f t="shared" si="34"/>
        <v>#REF!</v>
      </c>
      <c r="B263" s="51">
        <f t="shared" si="35"/>
        <v>2033</v>
      </c>
      <c r="C263" s="51" t="str">
        <f t="shared" si="35"/>
        <v>AMS</v>
      </c>
      <c r="D263" s="51" t="s">
        <v>512</v>
      </c>
      <c r="E263" s="51" t="e">
        <f>VLOOKUP($H$6,#REF!,2,FALSE)</f>
        <v>#REF!</v>
      </c>
      <c r="F263" s="51"/>
      <c r="G263" s="618" t="s">
        <v>354</v>
      </c>
      <c r="H263" s="611">
        <v>0</v>
      </c>
      <c r="I263" s="611">
        <v>0</v>
      </c>
      <c r="J263" s="611">
        <v>0</v>
      </c>
      <c r="K263" s="611">
        <v>0</v>
      </c>
      <c r="L263" s="611">
        <v>0</v>
      </c>
      <c r="M263" s="611">
        <v>0</v>
      </c>
      <c r="N263" s="611">
        <v>0</v>
      </c>
      <c r="O263" s="611">
        <v>0</v>
      </c>
      <c r="P263" s="611">
        <v>0</v>
      </c>
      <c r="Q263" s="611">
        <v>0</v>
      </c>
      <c r="R263" s="611">
        <v>0</v>
      </c>
      <c r="S263" s="611">
        <v>0</v>
      </c>
      <c r="T263" s="611">
        <v>0</v>
      </c>
      <c r="U263" s="611">
        <v>0</v>
      </c>
      <c r="V263" s="611">
        <v>0.41126400000000007</v>
      </c>
      <c r="W263" s="611">
        <v>0</v>
      </c>
      <c r="X263" s="611">
        <v>0</v>
      </c>
      <c r="Y263" s="619">
        <v>0.41126400000000007</v>
      </c>
      <c r="Z263" s="51"/>
      <c r="AA263" s="620" t="e" cm="1">
        <f t="array" aca="1" ref="AA263" ca="1">_xlfn.IFNA(INDEX(#REF!,MATCH(INDIRECT("Codes_bilans!"&amp;AA$1&amp;"$"&amp;$A263),#REF!,0),MATCH($B263,#REF!,0)),0)</f>
        <v>#REF!</v>
      </c>
      <c r="AB263" s="51"/>
    </row>
    <row r="264" spans="1:28" x14ac:dyDescent="0.25">
      <c r="A264" s="51" t="e">
        <f t="shared" si="34"/>
        <v>#REF!</v>
      </c>
      <c r="B264" s="51">
        <f t="shared" si="35"/>
        <v>2033</v>
      </c>
      <c r="C264" s="51" t="str">
        <f t="shared" si="35"/>
        <v>AMS</v>
      </c>
      <c r="D264" s="51" t="s">
        <v>513</v>
      </c>
      <c r="E264" s="51" t="e">
        <f>VLOOKUP($H$6,#REF!,2,FALSE)</f>
        <v>#REF!</v>
      </c>
      <c r="F264" s="51"/>
      <c r="G264" s="614" t="s">
        <v>83</v>
      </c>
      <c r="H264" s="615">
        <v>3.5119651912640659</v>
      </c>
      <c r="I264" s="615">
        <v>0</v>
      </c>
      <c r="J264" s="615">
        <v>271.3161328327505</v>
      </c>
      <c r="K264" s="615">
        <v>0.28870182254104659</v>
      </c>
      <c r="L264" s="622">
        <v>137.06542539121747</v>
      </c>
      <c r="M264" s="615">
        <v>0</v>
      </c>
      <c r="N264" s="615">
        <v>0</v>
      </c>
      <c r="O264" s="615">
        <v>0</v>
      </c>
      <c r="P264" s="615">
        <v>64.733705685939313</v>
      </c>
      <c r="Q264" s="615">
        <v>2.5490453181526216</v>
      </c>
      <c r="R264" s="615">
        <v>54.328033959885659</v>
      </c>
      <c r="S264" s="615">
        <v>36.466439327240145</v>
      </c>
      <c r="T264" s="615">
        <v>105.39487042391544</v>
      </c>
      <c r="U264" s="615">
        <v>3.8758335430782287</v>
      </c>
      <c r="V264" s="615">
        <v>443.94370217895619</v>
      </c>
      <c r="W264" s="615">
        <v>65.916211304815718</v>
      </c>
      <c r="X264" s="615">
        <v>4.4627979952247179</v>
      </c>
      <c r="Y264" s="615">
        <v>1193.8528649749812</v>
      </c>
      <c r="Z264" s="51"/>
      <c r="AA264" s="51"/>
      <c r="AB264" s="51"/>
    </row>
    <row r="265" spans="1:28" x14ac:dyDescent="0.25">
      <c r="A265" s="51" t="e">
        <f t="shared" si="34"/>
        <v>#REF!</v>
      </c>
      <c r="B265" s="51">
        <f t="shared" si="35"/>
        <v>2033</v>
      </c>
      <c r="C265" s="51" t="str">
        <f t="shared" si="35"/>
        <v>AMS</v>
      </c>
      <c r="D265" s="51" t="s">
        <v>514</v>
      </c>
      <c r="E265" s="51" t="e">
        <f>VLOOKUP($H$6,#REF!,2,FALSE)</f>
        <v>#REF!</v>
      </c>
      <c r="F265" s="51"/>
      <c r="G265" s="610" t="s">
        <v>84</v>
      </c>
      <c r="H265" s="611">
        <v>0</v>
      </c>
      <c r="I265" s="611">
        <v>0</v>
      </c>
      <c r="J265" s="611">
        <v>84.901304982748769</v>
      </c>
      <c r="K265" s="611">
        <v>2.533106458518084</v>
      </c>
      <c r="L265" s="611">
        <v>9.2771889658758084</v>
      </c>
      <c r="M265" s="611">
        <v>0</v>
      </c>
      <c r="N265" s="611">
        <v>0</v>
      </c>
      <c r="O265" s="611">
        <v>0</v>
      </c>
      <c r="P265" s="611">
        <v>0.20840484716769062</v>
      </c>
      <c r="Q265" s="611">
        <v>0</v>
      </c>
      <c r="R265" s="611">
        <v>11.136408529558132</v>
      </c>
      <c r="S265" s="611">
        <v>1.4684689617858735</v>
      </c>
      <c r="T265" s="611">
        <v>0</v>
      </c>
      <c r="U265" s="611">
        <v>0</v>
      </c>
      <c r="V265" s="611">
        <v>0</v>
      </c>
      <c r="W265" s="611">
        <v>0</v>
      </c>
      <c r="X265" s="611">
        <v>14.605640428811407</v>
      </c>
      <c r="Y265" s="619">
        <v>124.13052317446576</v>
      </c>
      <c r="Z265" s="51"/>
      <c r="AA265" s="620" t="e" cm="1">
        <f t="array" aca="1" ref="AA265" ca="1">_xlfn.IFNA(INDEX(#REF!,MATCH(INDIRECT("Codes_bilans!"&amp;AA$1&amp;"$"&amp;$A265),#REF!,0),MATCH($B265,#REF!,0)),0)</f>
        <v>#REF!</v>
      </c>
      <c r="AB265" s="51"/>
    </row>
    <row r="266" spans="1:28" x14ac:dyDescent="0.25">
      <c r="A266" s="51" t="e">
        <f t="shared" si="34"/>
        <v>#REF!</v>
      </c>
      <c r="B266" s="51">
        <f t="shared" si="35"/>
        <v>2033</v>
      </c>
      <c r="C266" s="51" t="str">
        <f t="shared" si="35"/>
        <v>AMS</v>
      </c>
      <c r="D266" s="51" t="s">
        <v>515</v>
      </c>
      <c r="E266" s="51" t="e">
        <f>VLOOKUP($H$6,#REF!,2,FALSE)</f>
        <v>#REF!</v>
      </c>
      <c r="F266" s="51"/>
      <c r="G266" s="614" t="s">
        <v>85</v>
      </c>
      <c r="H266" s="615">
        <v>3.5119651912640659</v>
      </c>
      <c r="I266" s="615">
        <v>0</v>
      </c>
      <c r="J266" s="615">
        <v>356.2174378154993</v>
      </c>
      <c r="K266" s="615">
        <v>2.8218082810591305</v>
      </c>
      <c r="L266" s="622">
        <v>146.34261435709328</v>
      </c>
      <c r="M266" s="615">
        <v>0</v>
      </c>
      <c r="N266" s="615">
        <v>0</v>
      </c>
      <c r="O266" s="615">
        <v>0</v>
      </c>
      <c r="P266" s="615">
        <v>64.942110533106998</v>
      </c>
      <c r="Q266" s="615">
        <v>2.5490453181526216</v>
      </c>
      <c r="R266" s="615">
        <v>65.464442489443798</v>
      </c>
      <c r="S266" s="615">
        <v>37.934908289026019</v>
      </c>
      <c r="T266" s="615">
        <v>105.39487042391544</v>
      </c>
      <c r="U266" s="615">
        <v>3.8758335430782287</v>
      </c>
      <c r="V266" s="615">
        <v>443.94370217895619</v>
      </c>
      <c r="W266" s="615">
        <v>65.916211304815718</v>
      </c>
      <c r="X266" s="615">
        <v>19.068438424036124</v>
      </c>
      <c r="Y266" s="615">
        <v>1317.9833881494469</v>
      </c>
      <c r="Z266" s="51"/>
      <c r="AA266" s="51"/>
      <c r="AB266" s="51"/>
    </row>
    <row r="267" spans="1:28" x14ac:dyDescent="0.25">
      <c r="A267" s="51"/>
      <c r="B267" s="51"/>
      <c r="C267" s="51"/>
      <c r="D267" s="51"/>
      <c r="E267" s="51"/>
      <c r="F267" s="51"/>
      <c r="G267" s="51"/>
      <c r="H267" s="67">
        <v>0</v>
      </c>
      <c r="I267" s="67">
        <v>0</v>
      </c>
      <c r="J267" s="67">
        <v>-5.6843418860808015E-14</v>
      </c>
      <c r="K267" s="67">
        <v>0</v>
      </c>
      <c r="L267" s="67">
        <v>0</v>
      </c>
      <c r="M267" s="67">
        <v>0</v>
      </c>
      <c r="N267" s="67">
        <v>0</v>
      </c>
      <c r="O267" s="67">
        <v>0</v>
      </c>
      <c r="P267" s="67">
        <v>0</v>
      </c>
      <c r="Q267" s="67">
        <v>0</v>
      </c>
      <c r="R267" s="67">
        <v>-1.6135057642804664</v>
      </c>
      <c r="S267" s="67">
        <v>-3.219646771412954E-15</v>
      </c>
      <c r="T267" s="67">
        <v>0</v>
      </c>
      <c r="U267" s="67">
        <v>0</v>
      </c>
      <c r="V267" s="67">
        <v>-1.1368683772161603E-13</v>
      </c>
      <c r="W267" s="67">
        <v>-1.4210854715202004E-14</v>
      </c>
      <c r="X267" s="67">
        <v>0</v>
      </c>
      <c r="Y267" s="67">
        <v>-1.6135057642804895</v>
      </c>
      <c r="Z267" s="51"/>
      <c r="AA267" s="51"/>
      <c r="AB267" s="51"/>
    </row>
    <row r="268" spans="1:28" x14ac:dyDescent="0.25">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row>
    <row r="269" spans="1:28" x14ac:dyDescent="0.25">
      <c r="A269" s="606"/>
      <c r="B269" s="606"/>
      <c r="C269" s="606"/>
      <c r="D269" s="606"/>
      <c r="E269" s="606"/>
      <c r="F269" s="606"/>
      <c r="G269" s="607" t="s">
        <v>358</v>
      </c>
      <c r="H269" s="606"/>
      <c r="I269" s="606"/>
      <c r="J269" s="606"/>
      <c r="K269" s="606"/>
      <c r="L269" s="606"/>
      <c r="M269" s="606"/>
      <c r="N269" s="606"/>
      <c r="O269" s="606"/>
      <c r="P269" s="606"/>
      <c r="Q269" s="606"/>
      <c r="R269" s="606"/>
      <c r="S269" s="606"/>
      <c r="T269" s="606"/>
      <c r="U269" s="606"/>
      <c r="V269" s="606"/>
      <c r="W269" s="606"/>
      <c r="X269" s="606"/>
      <c r="Y269" s="606"/>
      <c r="Z269" s="606"/>
      <c r="AA269" s="606"/>
      <c r="AB269" s="606"/>
    </row>
    <row r="270" spans="1:28" x14ac:dyDescent="0.25">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row>
    <row r="271" spans="1:28" ht="14.25" customHeight="1" x14ac:dyDescent="0.25">
      <c r="A271" s="51"/>
      <c r="B271" s="51"/>
      <c r="C271" s="51"/>
      <c r="D271" s="51"/>
      <c r="E271" s="51"/>
      <c r="F271" s="51"/>
      <c r="G271" s="764" t="s">
        <v>128</v>
      </c>
      <c r="H271" s="753" t="s">
        <v>42</v>
      </c>
      <c r="I271" s="753" t="s">
        <v>52</v>
      </c>
      <c r="J271" s="753" t="s">
        <v>53</v>
      </c>
      <c r="K271" s="753" t="s">
        <v>482</v>
      </c>
      <c r="L271" s="753" t="s">
        <v>32</v>
      </c>
      <c r="M271" s="753" t="s">
        <v>483</v>
      </c>
      <c r="N271" s="753" t="s">
        <v>20</v>
      </c>
      <c r="O271" s="753" t="s">
        <v>55</v>
      </c>
      <c r="P271" s="761" t="s">
        <v>56</v>
      </c>
      <c r="Q271" s="762"/>
      <c r="R271" s="762"/>
      <c r="S271" s="762"/>
      <c r="T271" s="762"/>
      <c r="U271" s="763"/>
      <c r="V271" s="753" t="s">
        <v>57</v>
      </c>
      <c r="W271" s="753" t="s">
        <v>58</v>
      </c>
      <c r="X271" s="753" t="s">
        <v>31</v>
      </c>
      <c r="Y271" s="753" t="s">
        <v>10</v>
      </c>
      <c r="Z271" s="51"/>
      <c r="AA271" s="51"/>
      <c r="AB271" s="51"/>
    </row>
    <row r="272" spans="1:28" ht="24" x14ac:dyDescent="0.25">
      <c r="A272" s="51"/>
      <c r="B272" s="51"/>
      <c r="C272" s="51"/>
      <c r="D272" s="51" t="s">
        <v>486</v>
      </c>
      <c r="E272" s="51"/>
      <c r="F272" s="51"/>
      <c r="G272" s="765"/>
      <c r="H272" s="754"/>
      <c r="I272" s="754"/>
      <c r="J272" s="754"/>
      <c r="K272" s="754"/>
      <c r="L272" s="754"/>
      <c r="M272" s="754"/>
      <c r="N272" s="754"/>
      <c r="O272" s="754"/>
      <c r="P272" s="608" t="s">
        <v>335</v>
      </c>
      <c r="Q272" s="608" t="s">
        <v>40</v>
      </c>
      <c r="R272" s="608" t="s">
        <v>343</v>
      </c>
      <c r="S272" s="608" t="s">
        <v>344</v>
      </c>
      <c r="T272" s="609" t="s">
        <v>345</v>
      </c>
      <c r="U272" s="608" t="s">
        <v>346</v>
      </c>
      <c r="V272" s="754"/>
      <c r="W272" s="754"/>
      <c r="X272" s="754"/>
      <c r="Y272" s="754"/>
      <c r="Z272" s="51"/>
      <c r="AA272" s="51"/>
      <c r="AB272" s="51"/>
    </row>
    <row r="273" spans="1:28" x14ac:dyDescent="0.25">
      <c r="A273" s="51" t="e">
        <f>A236</f>
        <v>#REF!</v>
      </c>
      <c r="B273" s="51">
        <v>2035</v>
      </c>
      <c r="C273" s="51" t="s">
        <v>47</v>
      </c>
      <c r="D273" s="51" t="s">
        <v>487</v>
      </c>
      <c r="E273" s="51" t="e">
        <f>VLOOKUP($H$6,#REF!,2,FALSE)</f>
        <v>#REF!</v>
      </c>
      <c r="F273" s="51"/>
      <c r="G273" s="610" t="s">
        <v>59</v>
      </c>
      <c r="H273" s="611">
        <v>0</v>
      </c>
      <c r="I273" s="611">
        <v>5.8150000000000004</v>
      </c>
      <c r="J273" s="611">
        <v>0</v>
      </c>
      <c r="K273" s="611">
        <v>0</v>
      </c>
      <c r="L273" s="611">
        <v>9.3040000000000012E-2</v>
      </c>
      <c r="M273" s="611">
        <v>0</v>
      </c>
      <c r="N273" s="612">
        <v>1023.0684545454548</v>
      </c>
      <c r="O273" s="612">
        <v>284.16835095393981</v>
      </c>
      <c r="P273" s="612">
        <v>269.81870425368078</v>
      </c>
      <c r="Q273" s="612">
        <v>27.2984599449927</v>
      </c>
      <c r="R273" s="611">
        <v>1.5151391983163085</v>
      </c>
      <c r="S273" s="611">
        <v>0.16086233431790645</v>
      </c>
      <c r="T273" s="612">
        <v>114.79412791174752</v>
      </c>
      <c r="U273" s="612">
        <v>17.865639972874789</v>
      </c>
      <c r="V273" s="611">
        <v>0</v>
      </c>
      <c r="W273" s="611">
        <v>0</v>
      </c>
      <c r="X273" s="611">
        <v>0</v>
      </c>
      <c r="Y273" s="613">
        <v>1744.5977791153243</v>
      </c>
      <c r="Z273" s="51"/>
      <c r="AA273" s="51"/>
      <c r="AB273" s="51"/>
    </row>
    <row r="274" spans="1:28" x14ac:dyDescent="0.25">
      <c r="A274" s="51" t="e">
        <f t="shared" ref="A274:A279" si="36">A273+1</f>
        <v>#REF!</v>
      </c>
      <c r="B274" s="51">
        <f t="shared" ref="B274:C279" si="37">B273</f>
        <v>2035</v>
      </c>
      <c r="C274" s="51" t="str">
        <f t="shared" si="37"/>
        <v>AMS</v>
      </c>
      <c r="D274" s="51" t="s">
        <v>488</v>
      </c>
      <c r="E274" s="51" t="e">
        <f>VLOOKUP($H$6,#REF!,2,FALSE)</f>
        <v>#REF!</v>
      </c>
      <c r="F274" s="51"/>
      <c r="G274" s="610" t="s">
        <v>60</v>
      </c>
      <c r="H274" s="611">
        <v>16.178882267256224</v>
      </c>
      <c r="I274" s="611">
        <v>338.94665094130841</v>
      </c>
      <c r="J274" s="611">
        <v>53.154703213153105</v>
      </c>
      <c r="K274" s="611">
        <v>0.84709048921241781</v>
      </c>
      <c r="L274" s="611">
        <v>155.6476805846371</v>
      </c>
      <c r="M274" s="611">
        <v>0</v>
      </c>
      <c r="N274" s="611">
        <v>0</v>
      </c>
      <c r="O274" s="611">
        <v>0</v>
      </c>
      <c r="P274" s="611">
        <v>3.3497189577114872</v>
      </c>
      <c r="Q274" s="611">
        <v>0</v>
      </c>
      <c r="R274" s="611">
        <v>3.7248932526167962</v>
      </c>
      <c r="S274" s="611">
        <v>0</v>
      </c>
      <c r="T274" s="611">
        <v>0</v>
      </c>
      <c r="U274" s="611">
        <v>0</v>
      </c>
      <c r="V274" s="611">
        <v>0</v>
      </c>
      <c r="W274" s="611">
        <v>0</v>
      </c>
      <c r="X274" s="611">
        <v>0</v>
      </c>
      <c r="Y274" s="613">
        <v>571.84961970589541</v>
      </c>
      <c r="Z274" s="51"/>
      <c r="AA274" s="51"/>
      <c r="AB274" s="51"/>
    </row>
    <row r="275" spans="1:28" x14ac:dyDescent="0.25">
      <c r="A275" s="51" t="e">
        <f t="shared" si="36"/>
        <v>#REF!</v>
      </c>
      <c r="B275" s="51">
        <f t="shared" si="37"/>
        <v>2035</v>
      </c>
      <c r="C275" s="51" t="str">
        <f t="shared" si="37"/>
        <v>AMS</v>
      </c>
      <c r="D275" s="51" t="s">
        <v>489</v>
      </c>
      <c r="E275" s="51" t="e">
        <f>VLOOKUP($H$6,#REF!,2,FALSE)</f>
        <v>#REF!</v>
      </c>
      <c r="F275" s="51"/>
      <c r="G275" s="610" t="s">
        <v>61</v>
      </c>
      <c r="H275" s="611">
        <v>0</v>
      </c>
      <c r="I275" s="611">
        <v>0</v>
      </c>
      <c r="J275" s="611">
        <v>-0.33572040479024756</v>
      </c>
      <c r="K275" s="611">
        <v>0</v>
      </c>
      <c r="L275" s="611">
        <v>0</v>
      </c>
      <c r="M275" s="611">
        <v>0</v>
      </c>
      <c r="N275" s="611">
        <v>0</v>
      </c>
      <c r="O275" s="611">
        <v>0</v>
      </c>
      <c r="P275" s="611">
        <v>0</v>
      </c>
      <c r="Q275" s="611">
        <v>0</v>
      </c>
      <c r="R275" s="611">
        <v>0</v>
      </c>
      <c r="S275" s="611">
        <v>0</v>
      </c>
      <c r="T275" s="611">
        <v>0</v>
      </c>
      <c r="U275" s="611">
        <v>0</v>
      </c>
      <c r="V275" s="611">
        <v>-76.331222061197195</v>
      </c>
      <c r="W275" s="611">
        <v>0</v>
      </c>
      <c r="X275" s="611">
        <v>0</v>
      </c>
      <c r="Y275" s="613">
        <v>-76.666942465987447</v>
      </c>
      <c r="Z275" s="51"/>
      <c r="AA275" s="51"/>
      <c r="AB275" s="51"/>
    </row>
    <row r="276" spans="1:28" x14ac:dyDescent="0.25">
      <c r="A276" s="51" t="e">
        <f t="shared" si="36"/>
        <v>#REF!</v>
      </c>
      <c r="B276" s="51">
        <f t="shared" si="37"/>
        <v>2035</v>
      </c>
      <c r="C276" s="51" t="str">
        <f t="shared" si="37"/>
        <v>AMS</v>
      </c>
      <c r="D276" s="51" t="s">
        <v>490</v>
      </c>
      <c r="E276" s="51" t="e">
        <f>VLOOKUP($H$6,#REF!,2,FALSE)</f>
        <v>#REF!</v>
      </c>
      <c r="F276" s="51"/>
      <c r="G276" s="610" t="s">
        <v>62</v>
      </c>
      <c r="H276" s="611">
        <v>0</v>
      </c>
      <c r="I276" s="611">
        <v>0</v>
      </c>
      <c r="J276" s="611">
        <v>-12.959356122819004</v>
      </c>
      <c r="K276" s="611">
        <v>-1.1745589556928391</v>
      </c>
      <c r="L276" s="611">
        <v>-1.8985906548092106</v>
      </c>
      <c r="M276" s="611">
        <v>0</v>
      </c>
      <c r="N276" s="611">
        <v>0</v>
      </c>
      <c r="O276" s="611">
        <v>0</v>
      </c>
      <c r="P276" s="611">
        <v>0</v>
      </c>
      <c r="Q276" s="611">
        <v>0</v>
      </c>
      <c r="R276" s="611">
        <v>-0.50338240958264524</v>
      </c>
      <c r="S276" s="611">
        <v>-0.70221846136779031</v>
      </c>
      <c r="T276" s="611">
        <v>0</v>
      </c>
      <c r="U276" s="611">
        <v>0</v>
      </c>
      <c r="V276" s="611">
        <v>0</v>
      </c>
      <c r="W276" s="611">
        <v>0</v>
      </c>
      <c r="X276" s="611">
        <v>0</v>
      </c>
      <c r="Y276" s="613">
        <v>-17.23810660427149</v>
      </c>
      <c r="Z276" s="51"/>
      <c r="AA276" s="51"/>
      <c r="AB276" s="51"/>
    </row>
    <row r="277" spans="1:28" x14ac:dyDescent="0.25">
      <c r="A277" s="51" t="e">
        <f t="shared" si="36"/>
        <v>#REF!</v>
      </c>
      <c r="B277" s="51">
        <f t="shared" si="37"/>
        <v>2035</v>
      </c>
      <c r="C277" s="51" t="str">
        <f t="shared" si="37"/>
        <v>AMS</v>
      </c>
      <c r="D277" s="51" t="s">
        <v>491</v>
      </c>
      <c r="E277" s="51" t="e">
        <f>VLOOKUP($H$6,#REF!,2,FALSE)</f>
        <v>#REF!</v>
      </c>
      <c r="F277" s="51"/>
      <c r="G277" s="610" t="s">
        <v>63</v>
      </c>
      <c r="H277" s="611">
        <v>0</v>
      </c>
      <c r="I277" s="611">
        <v>0</v>
      </c>
      <c r="J277" s="611">
        <v>-60.220777612804881</v>
      </c>
      <c r="K277" s="611">
        <v>-3.9749070731502325</v>
      </c>
      <c r="L277" s="611">
        <v>0</v>
      </c>
      <c r="M277" s="611">
        <v>0</v>
      </c>
      <c r="N277" s="611">
        <v>0</v>
      </c>
      <c r="O277" s="611">
        <v>0</v>
      </c>
      <c r="P277" s="611">
        <v>0</v>
      </c>
      <c r="Q277" s="611">
        <v>0</v>
      </c>
      <c r="R277" s="611">
        <v>-11.924721219450698</v>
      </c>
      <c r="S277" s="611">
        <v>0</v>
      </c>
      <c r="T277" s="611">
        <v>0</v>
      </c>
      <c r="U277" s="611">
        <v>0</v>
      </c>
      <c r="V277" s="611">
        <v>0</v>
      </c>
      <c r="W277" s="611">
        <v>0</v>
      </c>
      <c r="X277" s="611">
        <v>-0.14322207633849007</v>
      </c>
      <c r="Y277" s="613">
        <v>-76.263627981744307</v>
      </c>
      <c r="Z277" s="51"/>
      <c r="AA277" s="51"/>
      <c r="AB277" s="51"/>
    </row>
    <row r="278" spans="1:28" x14ac:dyDescent="0.25">
      <c r="A278" s="51" t="e">
        <f t="shared" si="36"/>
        <v>#REF!</v>
      </c>
      <c r="B278" s="51">
        <f t="shared" si="37"/>
        <v>2035</v>
      </c>
      <c r="C278" s="51" t="str">
        <f t="shared" si="37"/>
        <v>AMS</v>
      </c>
      <c r="D278" s="51" t="s">
        <v>492</v>
      </c>
      <c r="E278" s="51" t="e">
        <f>VLOOKUP($H$6,#REF!,2,FALSE)</f>
        <v>#REF!</v>
      </c>
      <c r="F278" s="51"/>
      <c r="G278" s="610" t="s">
        <v>64</v>
      </c>
      <c r="H278" s="611">
        <v>0</v>
      </c>
      <c r="I278" s="611">
        <v>0</v>
      </c>
      <c r="J278" s="611">
        <v>0</v>
      </c>
      <c r="K278" s="611">
        <v>0</v>
      </c>
      <c r="L278" s="611">
        <v>0</v>
      </c>
      <c r="M278" s="611">
        <v>0</v>
      </c>
      <c r="N278" s="611">
        <v>0</v>
      </c>
      <c r="O278" s="611">
        <v>0</v>
      </c>
      <c r="P278" s="611">
        <v>0</v>
      </c>
      <c r="Q278" s="611">
        <v>0</v>
      </c>
      <c r="R278" s="611">
        <v>0</v>
      </c>
      <c r="S278" s="611">
        <v>0</v>
      </c>
      <c r="T278" s="611">
        <v>0</v>
      </c>
      <c r="U278" s="611">
        <v>0</v>
      </c>
      <c r="V278" s="611">
        <v>0</v>
      </c>
      <c r="W278" s="611">
        <v>0</v>
      </c>
      <c r="X278" s="611">
        <v>0</v>
      </c>
      <c r="Y278" s="613">
        <v>0</v>
      </c>
      <c r="Z278" s="51"/>
      <c r="AA278" s="51"/>
      <c r="AB278" s="51"/>
    </row>
    <row r="279" spans="1:28" x14ac:dyDescent="0.25">
      <c r="A279" s="51" t="e">
        <f t="shared" si="36"/>
        <v>#REF!</v>
      </c>
      <c r="B279" s="51">
        <f t="shared" si="37"/>
        <v>2035</v>
      </c>
      <c r="C279" s="51" t="str">
        <f t="shared" si="37"/>
        <v>AMS</v>
      </c>
      <c r="D279" s="51" t="s">
        <v>493</v>
      </c>
      <c r="E279" s="51" t="e">
        <f>VLOOKUP($H$6,#REF!,2,FALSE)</f>
        <v>#REF!</v>
      </c>
      <c r="F279" s="51"/>
      <c r="G279" s="614" t="s">
        <v>65</v>
      </c>
      <c r="H279" s="615">
        <v>16.178882267256224</v>
      </c>
      <c r="I279" s="615">
        <v>344.7616509413084</v>
      </c>
      <c r="J279" s="615">
        <v>-20.361150927261026</v>
      </c>
      <c r="K279" s="615">
        <v>-4.3023755396306536</v>
      </c>
      <c r="L279" s="622">
        <v>153.84212992982791</v>
      </c>
      <c r="M279" s="615">
        <v>0</v>
      </c>
      <c r="N279" s="615">
        <v>1023.0684545454548</v>
      </c>
      <c r="O279" s="615">
        <v>284.16835095393981</v>
      </c>
      <c r="P279" s="615">
        <v>273.16842321139228</v>
      </c>
      <c r="Q279" s="615">
        <v>27.2984599449927</v>
      </c>
      <c r="R279" s="615">
        <v>-7.1880711781002375</v>
      </c>
      <c r="S279" s="615">
        <v>-0.5413561270498839</v>
      </c>
      <c r="T279" s="615">
        <v>114.79412791174752</v>
      </c>
      <c r="U279" s="615">
        <v>17.865639972874789</v>
      </c>
      <c r="V279" s="615">
        <v>-76.331222061197195</v>
      </c>
      <c r="W279" s="615">
        <v>0</v>
      </c>
      <c r="X279" s="615">
        <v>-0.14322207633849007</v>
      </c>
      <c r="Y279" s="615">
        <v>2146.2787217692166</v>
      </c>
      <c r="Z279" s="51"/>
      <c r="AA279" s="51"/>
      <c r="AB279" s="51"/>
    </row>
    <row r="280" spans="1:28" x14ac:dyDescent="0.25">
      <c r="A280" s="51"/>
      <c r="B280" s="51"/>
      <c r="C280" s="51"/>
      <c r="D280" s="51"/>
      <c r="E280" s="51"/>
      <c r="F280" s="51"/>
      <c r="G280" s="616"/>
      <c r="H280" s="617">
        <v>0</v>
      </c>
      <c r="I280" s="617">
        <v>0</v>
      </c>
      <c r="J280" s="617">
        <v>0</v>
      </c>
      <c r="K280" s="617">
        <v>0</v>
      </c>
      <c r="L280" s="623">
        <v>0</v>
      </c>
      <c r="M280" s="617">
        <v>0</v>
      </c>
      <c r="N280" s="617">
        <v>0</v>
      </c>
      <c r="O280" s="617">
        <v>0</v>
      </c>
      <c r="P280" s="617">
        <v>0</v>
      </c>
      <c r="Q280" s="617">
        <v>0</v>
      </c>
      <c r="R280" s="617">
        <v>0</v>
      </c>
      <c r="S280" s="617">
        <v>0</v>
      </c>
      <c r="T280" s="617">
        <v>0</v>
      </c>
      <c r="U280" s="617">
        <v>0</v>
      </c>
      <c r="V280" s="617">
        <v>0</v>
      </c>
      <c r="W280" s="617">
        <v>0</v>
      </c>
      <c r="X280" s="617">
        <v>0</v>
      </c>
      <c r="Y280" s="617">
        <v>0</v>
      </c>
      <c r="Z280" s="51"/>
      <c r="AA280" s="51"/>
      <c r="AB280" s="51"/>
    </row>
    <row r="281" spans="1:28" x14ac:dyDescent="0.25">
      <c r="A281" s="51" t="e">
        <f>A279+2</f>
        <v>#REF!</v>
      </c>
      <c r="B281" s="51">
        <f>B279</f>
        <v>2035</v>
      </c>
      <c r="C281" s="51" t="str">
        <f>C279</f>
        <v>AMS</v>
      </c>
      <c r="D281" s="51" t="s">
        <v>494</v>
      </c>
      <c r="E281" s="51" t="e">
        <f>VLOOKUP($H$6,#REF!,2,FALSE)</f>
        <v>#REF!</v>
      </c>
      <c r="F281" s="51"/>
      <c r="G281" s="618" t="s">
        <v>67</v>
      </c>
      <c r="H281" s="611">
        <v>0</v>
      </c>
      <c r="I281" s="611">
        <v>0</v>
      </c>
      <c r="J281" s="611">
        <v>0</v>
      </c>
      <c r="K281" s="611">
        <v>0</v>
      </c>
      <c r="L281" s="611">
        <v>0</v>
      </c>
      <c r="M281" s="611">
        <v>0</v>
      </c>
      <c r="N281" s="611">
        <v>0</v>
      </c>
      <c r="O281" s="611">
        <v>0</v>
      </c>
      <c r="P281" s="611">
        <v>0</v>
      </c>
      <c r="Q281" s="611">
        <v>0</v>
      </c>
      <c r="R281" s="611">
        <v>0</v>
      </c>
      <c r="S281" s="611">
        <v>0</v>
      </c>
      <c r="T281" s="611">
        <v>0</v>
      </c>
      <c r="U281" s="611">
        <v>0</v>
      </c>
      <c r="V281" s="611">
        <v>0</v>
      </c>
      <c r="W281" s="611">
        <v>0</v>
      </c>
      <c r="X281" s="611">
        <v>0</v>
      </c>
      <c r="Y281" s="619">
        <v>0</v>
      </c>
      <c r="Z281" s="51"/>
      <c r="AA281" s="51"/>
      <c r="AB281" s="51"/>
    </row>
    <row r="282" spans="1:28" x14ac:dyDescent="0.25">
      <c r="A282" s="51" t="e">
        <f t="shared" ref="A282:A293" si="38">A281+1</f>
        <v>#REF!</v>
      </c>
      <c r="B282" s="51">
        <f t="shared" ref="B282:C293" si="39">B281</f>
        <v>2035</v>
      </c>
      <c r="C282" s="51" t="str">
        <f t="shared" si="39"/>
        <v>AMS</v>
      </c>
      <c r="D282" s="51" t="s">
        <v>495</v>
      </c>
      <c r="E282" s="51" t="e">
        <f>VLOOKUP($H$6,#REF!,2,FALSE)</f>
        <v>#REF!</v>
      </c>
      <c r="F282" s="51"/>
      <c r="G282" s="618" t="s">
        <v>347</v>
      </c>
      <c r="H282" s="611">
        <v>0</v>
      </c>
      <c r="I282" s="611">
        <v>0</v>
      </c>
      <c r="J282" s="611">
        <v>0.802217285608815</v>
      </c>
      <c r="K282" s="611">
        <v>0</v>
      </c>
      <c r="L282" s="611">
        <v>11.570782344533336</v>
      </c>
      <c r="M282" s="611">
        <v>0</v>
      </c>
      <c r="N282" s="611">
        <v>1023.0684545454548</v>
      </c>
      <c r="O282" s="611">
        <v>284.16835095393981</v>
      </c>
      <c r="P282" s="611">
        <v>27.371602395057661</v>
      </c>
      <c r="Q282" s="611">
        <v>10.452056741028787</v>
      </c>
      <c r="R282" s="611">
        <v>5.0291337303525587</v>
      </c>
      <c r="S282" s="611">
        <v>3.0057674706187218</v>
      </c>
      <c r="T282" s="611">
        <v>0</v>
      </c>
      <c r="U282" s="611">
        <v>2.7943993103273139</v>
      </c>
      <c r="V282" s="611">
        <v>-648.73167836989808</v>
      </c>
      <c r="W282" s="611">
        <v>0</v>
      </c>
      <c r="X282" s="611">
        <v>0</v>
      </c>
      <c r="Y282" s="619">
        <v>719.53108640702374</v>
      </c>
      <c r="Z282" s="51"/>
      <c r="AA282" s="51"/>
      <c r="AB282" s="51"/>
    </row>
    <row r="283" spans="1:28" x14ac:dyDescent="0.25">
      <c r="A283" s="51" t="e">
        <f t="shared" si="38"/>
        <v>#REF!</v>
      </c>
      <c r="B283" s="51">
        <f t="shared" si="39"/>
        <v>2035</v>
      </c>
      <c r="C283" s="51" t="str">
        <f t="shared" si="39"/>
        <v>AMS</v>
      </c>
      <c r="D283" s="51" t="s">
        <v>496</v>
      </c>
      <c r="E283" s="51" t="e">
        <f>VLOOKUP($H$6,#REF!,2,FALSE)</f>
        <v>#REF!</v>
      </c>
      <c r="F283" s="51"/>
      <c r="G283" s="618" t="s">
        <v>348</v>
      </c>
      <c r="H283" s="611">
        <v>0</v>
      </c>
      <c r="I283" s="611">
        <v>0</v>
      </c>
      <c r="J283" s="611">
        <v>0</v>
      </c>
      <c r="K283" s="611">
        <v>0</v>
      </c>
      <c r="L283" s="611">
        <v>12.378684044888715</v>
      </c>
      <c r="M283" s="611">
        <v>0</v>
      </c>
      <c r="N283" s="611">
        <v>0</v>
      </c>
      <c r="O283" s="611">
        <v>0</v>
      </c>
      <c r="P283" s="611">
        <v>36.0447949504767</v>
      </c>
      <c r="Q283" s="611">
        <v>14.339300216640275</v>
      </c>
      <c r="R283" s="611">
        <v>0</v>
      </c>
      <c r="S283" s="611">
        <v>4.1400526748892315</v>
      </c>
      <c r="T283" s="611">
        <v>0</v>
      </c>
      <c r="U283" s="611">
        <v>10.825953288370551</v>
      </c>
      <c r="V283" s="611">
        <v>0</v>
      </c>
      <c r="W283" s="611">
        <v>-71.400838762535344</v>
      </c>
      <c r="X283" s="611">
        <v>0</v>
      </c>
      <c r="Y283" s="619">
        <v>6.3279464127301193</v>
      </c>
      <c r="Z283" s="51"/>
      <c r="AA283" s="51"/>
      <c r="AB283" s="51"/>
    </row>
    <row r="284" spans="1:28" x14ac:dyDescent="0.25">
      <c r="A284" s="51" t="e">
        <f t="shared" si="38"/>
        <v>#REF!</v>
      </c>
      <c r="B284" s="51">
        <f t="shared" si="39"/>
        <v>2035</v>
      </c>
      <c r="C284" s="51" t="str">
        <f t="shared" si="39"/>
        <v>AMS</v>
      </c>
      <c r="D284" s="51" t="s">
        <v>497</v>
      </c>
      <c r="E284" s="51" t="e">
        <f>VLOOKUP($H$6,#REF!,2,FALSE)</f>
        <v>#REF!</v>
      </c>
      <c r="F284" s="51"/>
      <c r="G284" s="618" t="s">
        <v>349</v>
      </c>
      <c r="H284" s="611">
        <v>0</v>
      </c>
      <c r="I284" s="611">
        <v>0</v>
      </c>
      <c r="J284" s="611">
        <v>0</v>
      </c>
      <c r="K284" s="611">
        <v>0</v>
      </c>
      <c r="L284" s="611">
        <v>0</v>
      </c>
      <c r="M284" s="611">
        <v>0</v>
      </c>
      <c r="N284" s="611">
        <v>0</v>
      </c>
      <c r="O284" s="611">
        <v>0</v>
      </c>
      <c r="P284" s="611">
        <v>59.968856760861129</v>
      </c>
      <c r="Q284" s="611">
        <v>0</v>
      </c>
      <c r="R284" s="611">
        <v>0</v>
      </c>
      <c r="S284" s="611">
        <v>-54.406350606326953</v>
      </c>
      <c r="T284" s="611">
        <v>0</v>
      </c>
      <c r="U284" s="611">
        <v>0</v>
      </c>
      <c r="V284" s="611">
        <v>0</v>
      </c>
      <c r="W284" s="611">
        <v>0</v>
      </c>
      <c r="X284" s="611">
        <v>0</v>
      </c>
      <c r="Y284" s="619">
        <v>5.5625061545341765</v>
      </c>
      <c r="Z284" s="51"/>
      <c r="AA284" s="51"/>
      <c r="AB284" s="51"/>
    </row>
    <row r="285" spans="1:28" x14ac:dyDescent="0.25">
      <c r="A285" s="51" t="e">
        <f t="shared" si="38"/>
        <v>#REF!</v>
      </c>
      <c r="B285" s="51">
        <f t="shared" si="39"/>
        <v>2035</v>
      </c>
      <c r="C285" s="51" t="str">
        <f t="shared" si="39"/>
        <v>AMS</v>
      </c>
      <c r="D285" s="51" t="s">
        <v>498</v>
      </c>
      <c r="E285" s="51" t="e">
        <f>VLOOKUP($H$6,#REF!,2,FALSE)</f>
        <v>#REF!</v>
      </c>
      <c r="F285" s="51"/>
      <c r="G285" s="618" t="s">
        <v>350</v>
      </c>
      <c r="H285" s="611">
        <v>0</v>
      </c>
      <c r="I285" s="611">
        <v>0</v>
      </c>
      <c r="J285" s="611">
        <v>0</v>
      </c>
      <c r="K285" s="611">
        <v>0</v>
      </c>
      <c r="L285" s="611">
        <v>0</v>
      </c>
      <c r="M285" s="611">
        <v>0</v>
      </c>
      <c r="N285" s="611">
        <v>0</v>
      </c>
      <c r="O285" s="611">
        <v>0</v>
      </c>
      <c r="P285" s="611">
        <v>0</v>
      </c>
      <c r="Q285" s="611">
        <v>0</v>
      </c>
      <c r="R285" s="611">
        <v>0</v>
      </c>
      <c r="S285" s="611">
        <v>0</v>
      </c>
      <c r="T285" s="611">
        <v>0</v>
      </c>
      <c r="U285" s="611">
        <v>0</v>
      </c>
      <c r="V285" s="611">
        <v>0</v>
      </c>
      <c r="W285" s="611">
        <v>0</v>
      </c>
      <c r="X285" s="611">
        <v>0</v>
      </c>
      <c r="Y285" s="619">
        <v>0</v>
      </c>
      <c r="Z285" s="51"/>
      <c r="AA285" s="51"/>
      <c r="AB285" s="51"/>
    </row>
    <row r="286" spans="1:28" x14ac:dyDescent="0.25">
      <c r="A286" s="51" t="e">
        <f t="shared" si="38"/>
        <v>#REF!</v>
      </c>
      <c r="B286" s="51">
        <f t="shared" si="39"/>
        <v>2035</v>
      </c>
      <c r="C286" s="51" t="str">
        <f t="shared" si="39"/>
        <v>AMS</v>
      </c>
      <c r="D286" s="51" t="s">
        <v>499</v>
      </c>
      <c r="E286" s="51" t="e">
        <f>VLOOKUP($H$6,#REF!,2,FALSE)</f>
        <v>#REF!</v>
      </c>
      <c r="F286" s="51"/>
      <c r="G286" s="618" t="s">
        <v>72</v>
      </c>
      <c r="H286" s="611">
        <v>0</v>
      </c>
      <c r="I286" s="611">
        <v>357.27482859273942</v>
      </c>
      <c r="J286" s="611">
        <v>-353.71543432563573</v>
      </c>
      <c r="K286" s="611">
        <v>0</v>
      </c>
      <c r="L286" s="611">
        <v>0</v>
      </c>
      <c r="M286" s="611">
        <v>0</v>
      </c>
      <c r="N286" s="611">
        <v>0</v>
      </c>
      <c r="O286" s="611">
        <v>0</v>
      </c>
      <c r="P286" s="611">
        <v>0</v>
      </c>
      <c r="Q286" s="611">
        <v>0</v>
      </c>
      <c r="R286" s="611">
        <v>0</v>
      </c>
      <c r="S286" s="611">
        <v>0</v>
      </c>
      <c r="T286" s="611">
        <v>0</v>
      </c>
      <c r="U286" s="611">
        <v>0</v>
      </c>
      <c r="V286" s="611">
        <v>0</v>
      </c>
      <c r="W286" s="611">
        <v>0</v>
      </c>
      <c r="X286" s="611">
        <v>0</v>
      </c>
      <c r="Y286" s="619">
        <v>3.5593942671036793</v>
      </c>
      <c r="Z286" s="51"/>
      <c r="AA286" s="51"/>
      <c r="AB286" s="51"/>
    </row>
    <row r="287" spans="1:28" x14ac:dyDescent="0.25">
      <c r="A287" s="51" t="e">
        <f t="shared" si="38"/>
        <v>#REF!</v>
      </c>
      <c r="B287" s="51">
        <f t="shared" si="39"/>
        <v>2035</v>
      </c>
      <c r="C287" s="51" t="str">
        <f t="shared" si="39"/>
        <v>AMS</v>
      </c>
      <c r="D287" s="51" t="s">
        <v>500</v>
      </c>
      <c r="E287" s="51" t="e">
        <f>VLOOKUP($H$6,#REF!,2,FALSE)</f>
        <v>#REF!</v>
      </c>
      <c r="F287" s="51"/>
      <c r="G287" s="618" t="s">
        <v>351</v>
      </c>
      <c r="H287" s="611">
        <v>0</v>
      </c>
      <c r="I287" s="611">
        <v>0</v>
      </c>
      <c r="J287" s="611">
        <v>0</v>
      </c>
      <c r="K287" s="611">
        <v>0</v>
      </c>
      <c r="L287" s="611">
        <v>0</v>
      </c>
      <c r="M287" s="611">
        <v>0</v>
      </c>
      <c r="N287" s="611">
        <v>0</v>
      </c>
      <c r="O287" s="611">
        <v>0</v>
      </c>
      <c r="P287" s="611">
        <v>87.509483344344957</v>
      </c>
      <c r="Q287" s="611">
        <v>0</v>
      </c>
      <c r="R287" s="611">
        <v>-87.509483344344957</v>
      </c>
      <c r="S287" s="611">
        <v>0</v>
      </c>
      <c r="T287" s="611">
        <v>0</v>
      </c>
      <c r="U287" s="611">
        <v>0</v>
      </c>
      <c r="V287" s="611">
        <v>0</v>
      </c>
      <c r="W287" s="611">
        <v>0</v>
      </c>
      <c r="X287" s="611">
        <v>0</v>
      </c>
      <c r="Y287" s="619">
        <v>0</v>
      </c>
      <c r="Z287" s="51"/>
      <c r="AA287" s="51"/>
      <c r="AB287" s="51"/>
    </row>
    <row r="288" spans="1:28" x14ac:dyDescent="0.25">
      <c r="A288" s="51" t="e">
        <f t="shared" si="38"/>
        <v>#REF!</v>
      </c>
      <c r="B288" s="51">
        <f t="shared" si="39"/>
        <v>2035</v>
      </c>
      <c r="C288" s="51" t="str">
        <f t="shared" si="39"/>
        <v>AMS</v>
      </c>
      <c r="D288" s="51" t="s">
        <v>501</v>
      </c>
      <c r="E288" s="51" t="e">
        <f>VLOOKUP($H$6,#REF!,2,FALSE)</f>
        <v>#REF!</v>
      </c>
      <c r="F288" s="51"/>
      <c r="G288" s="618" t="s">
        <v>352</v>
      </c>
      <c r="H288" s="611">
        <v>0</v>
      </c>
      <c r="I288" s="611">
        <v>0</v>
      </c>
      <c r="J288" s="611">
        <v>0</v>
      </c>
      <c r="K288" s="611">
        <v>-7.9105007206485656</v>
      </c>
      <c r="L288" s="611">
        <v>0</v>
      </c>
      <c r="M288" s="611">
        <v>0</v>
      </c>
      <c r="N288" s="611">
        <v>0</v>
      </c>
      <c r="O288" s="611">
        <v>0</v>
      </c>
      <c r="P288" s="611">
        <v>0</v>
      </c>
      <c r="Q288" s="611">
        <v>0</v>
      </c>
      <c r="R288" s="611">
        <v>0</v>
      </c>
      <c r="S288" s="611">
        <v>0</v>
      </c>
      <c r="T288" s="611">
        <v>0</v>
      </c>
      <c r="U288" s="611">
        <v>0</v>
      </c>
      <c r="V288" s="611">
        <v>0</v>
      </c>
      <c r="W288" s="611">
        <v>0</v>
      </c>
      <c r="X288" s="611">
        <v>11.017410474440901</v>
      </c>
      <c r="Y288" s="619">
        <v>3.1069097537923351</v>
      </c>
      <c r="Z288" s="51"/>
      <c r="AA288" s="51"/>
      <c r="AB288" s="51"/>
    </row>
    <row r="289" spans="1:28" x14ac:dyDescent="0.25">
      <c r="A289" s="51" t="e">
        <f t="shared" si="38"/>
        <v>#REF!</v>
      </c>
      <c r="B289" s="51">
        <f t="shared" si="39"/>
        <v>2035</v>
      </c>
      <c r="C289" s="51" t="str">
        <f t="shared" si="39"/>
        <v>AMS</v>
      </c>
      <c r="D289" s="51" t="s">
        <v>502</v>
      </c>
      <c r="E289" s="51" t="e">
        <f>VLOOKUP($H$6,#REF!,2,FALSE)</f>
        <v>#REF!</v>
      </c>
      <c r="F289" s="51"/>
      <c r="G289" s="618" t="s">
        <v>73</v>
      </c>
      <c r="H289" s="611">
        <v>0</v>
      </c>
      <c r="I289" s="611">
        <v>0</v>
      </c>
      <c r="J289" s="611">
        <v>0</v>
      </c>
      <c r="K289" s="611">
        <v>0</v>
      </c>
      <c r="L289" s="611">
        <v>0</v>
      </c>
      <c r="M289" s="611">
        <v>0</v>
      </c>
      <c r="N289" s="611">
        <v>0</v>
      </c>
      <c r="O289" s="611">
        <v>0</v>
      </c>
      <c r="P289" s="611">
        <v>0</v>
      </c>
      <c r="Q289" s="611">
        <v>0</v>
      </c>
      <c r="R289" s="611">
        <v>0</v>
      </c>
      <c r="S289" s="611">
        <v>0</v>
      </c>
      <c r="T289" s="611">
        <v>0</v>
      </c>
      <c r="U289" s="611">
        <v>0</v>
      </c>
      <c r="V289" s="611">
        <v>51.730551312429718</v>
      </c>
      <c r="W289" s="611">
        <v>0</v>
      </c>
      <c r="X289" s="611">
        <v>-34.530143001046838</v>
      </c>
      <c r="Y289" s="619">
        <v>17.20040831138288</v>
      </c>
      <c r="Z289" s="51"/>
      <c r="AA289" s="51"/>
      <c r="AB289" s="51"/>
    </row>
    <row r="290" spans="1:28" x14ac:dyDescent="0.25">
      <c r="A290" s="51" t="e">
        <f t="shared" si="38"/>
        <v>#REF!</v>
      </c>
      <c r="B290" s="51">
        <f t="shared" si="39"/>
        <v>2035</v>
      </c>
      <c r="C290" s="51" t="str">
        <f t="shared" si="39"/>
        <v>AMS</v>
      </c>
      <c r="D290" s="51" t="s">
        <v>503</v>
      </c>
      <c r="E290" s="51" t="e">
        <f>VLOOKUP($H$6,#REF!,2,FALSE)</f>
        <v>#REF!</v>
      </c>
      <c r="F290" s="51"/>
      <c r="G290" s="618" t="s">
        <v>353</v>
      </c>
      <c r="H290" s="611">
        <v>9.1080551953124989</v>
      </c>
      <c r="I290" s="611">
        <v>-12.513177651431018</v>
      </c>
      <c r="J290" s="611">
        <v>16.300260399898175</v>
      </c>
      <c r="K290" s="611">
        <v>0</v>
      </c>
      <c r="L290" s="611">
        <v>0</v>
      </c>
      <c r="M290" s="611">
        <v>0</v>
      </c>
      <c r="N290" s="611">
        <v>0</v>
      </c>
      <c r="O290" s="611">
        <v>0</v>
      </c>
      <c r="P290" s="611">
        <v>0</v>
      </c>
      <c r="Q290" s="611">
        <v>0</v>
      </c>
      <c r="R290" s="611">
        <v>0</v>
      </c>
      <c r="S290" s="611">
        <v>0</v>
      </c>
      <c r="T290" s="611">
        <v>0</v>
      </c>
      <c r="U290" s="611">
        <v>0</v>
      </c>
      <c r="V290" s="611">
        <v>0</v>
      </c>
      <c r="W290" s="611">
        <v>0</v>
      </c>
      <c r="X290" s="611">
        <v>0</v>
      </c>
      <c r="Y290" s="619">
        <v>12.895137943779657</v>
      </c>
      <c r="Z290" s="51"/>
      <c r="AA290" s="51"/>
      <c r="AB290" s="51"/>
    </row>
    <row r="291" spans="1:28" x14ac:dyDescent="0.25">
      <c r="A291" s="51" t="e">
        <f t="shared" si="38"/>
        <v>#REF!</v>
      </c>
      <c r="B291" s="51">
        <f t="shared" si="39"/>
        <v>2035</v>
      </c>
      <c r="C291" s="51" t="str">
        <f t="shared" si="39"/>
        <v>AMS</v>
      </c>
      <c r="D291" s="51" t="s">
        <v>504</v>
      </c>
      <c r="E291" s="51" t="e">
        <f>VLOOKUP($H$6,#REF!,2,FALSE)</f>
        <v>#REF!</v>
      </c>
      <c r="F291" s="51"/>
      <c r="G291" s="618" t="s">
        <v>75</v>
      </c>
      <c r="H291" s="611">
        <v>3.5420214648437502</v>
      </c>
      <c r="I291" s="611">
        <v>0</v>
      </c>
      <c r="J291" s="611">
        <v>18.654676129726123</v>
      </c>
      <c r="K291" s="611">
        <v>0</v>
      </c>
      <c r="L291" s="611">
        <v>3.9220454388203256</v>
      </c>
      <c r="M291" s="611">
        <v>0</v>
      </c>
      <c r="N291" s="611">
        <v>0</v>
      </c>
      <c r="O291" s="611">
        <v>0</v>
      </c>
      <c r="P291" s="611">
        <v>0</v>
      </c>
      <c r="Q291" s="611">
        <v>0</v>
      </c>
      <c r="R291" s="611">
        <v>0</v>
      </c>
      <c r="S291" s="611">
        <v>1.4506195458650522</v>
      </c>
      <c r="T291" s="611">
        <v>0</v>
      </c>
      <c r="U291" s="611">
        <v>0</v>
      </c>
      <c r="V291" s="611">
        <v>25.580253659658865</v>
      </c>
      <c r="W291" s="611">
        <v>0</v>
      </c>
      <c r="X291" s="611">
        <v>0</v>
      </c>
      <c r="Y291" s="619">
        <v>53.149616238914113</v>
      </c>
      <c r="Z291" s="51"/>
      <c r="AA291" s="51"/>
      <c r="AB291" s="51"/>
    </row>
    <row r="292" spans="1:28" x14ac:dyDescent="0.25">
      <c r="A292" s="51" t="e">
        <f t="shared" si="38"/>
        <v>#REF!</v>
      </c>
      <c r="B292" s="51">
        <f t="shared" si="39"/>
        <v>2035</v>
      </c>
      <c r="C292" s="51" t="str">
        <f t="shared" si="39"/>
        <v>AMS</v>
      </c>
      <c r="D292" s="51" t="s">
        <v>505</v>
      </c>
      <c r="E292" s="51" t="e">
        <f>VLOOKUP($H$6,#REF!,2,FALSE)</f>
        <v>#REF!</v>
      </c>
      <c r="F292" s="51"/>
      <c r="G292" s="618" t="s">
        <v>76</v>
      </c>
      <c r="H292" s="611">
        <v>0</v>
      </c>
      <c r="I292" s="611">
        <v>0</v>
      </c>
      <c r="J292" s="611">
        <v>0</v>
      </c>
      <c r="K292" s="611">
        <v>0</v>
      </c>
      <c r="L292" s="611">
        <v>1.7295723297007575</v>
      </c>
      <c r="M292" s="611">
        <v>0</v>
      </c>
      <c r="N292" s="611">
        <v>0</v>
      </c>
      <c r="O292" s="611">
        <v>0</v>
      </c>
      <c r="P292" s="611">
        <v>0</v>
      </c>
      <c r="Q292" s="611">
        <v>0</v>
      </c>
      <c r="R292" s="611">
        <v>0</v>
      </c>
      <c r="S292" s="611">
        <v>0.63970483427288294</v>
      </c>
      <c r="T292" s="611">
        <v>0</v>
      </c>
      <c r="U292" s="611">
        <v>0</v>
      </c>
      <c r="V292" s="611">
        <v>43.823002745640586</v>
      </c>
      <c r="W292" s="611">
        <v>5.5373897346121579</v>
      </c>
      <c r="X292" s="611">
        <v>0</v>
      </c>
      <c r="Y292" s="619">
        <v>51.729669644226391</v>
      </c>
      <c r="Z292" s="51"/>
      <c r="AA292" s="51"/>
      <c r="AB292" s="51"/>
    </row>
    <row r="293" spans="1:28" x14ac:dyDescent="0.25">
      <c r="A293" s="51" t="e">
        <f t="shared" si="38"/>
        <v>#REF!</v>
      </c>
      <c r="B293" s="51">
        <f t="shared" si="39"/>
        <v>2035</v>
      </c>
      <c r="C293" s="51" t="str">
        <f t="shared" si="39"/>
        <v>AMS</v>
      </c>
      <c r="D293" s="51" t="s">
        <v>506</v>
      </c>
      <c r="E293" s="51" t="e">
        <f>VLOOKUP($H$6,#REF!,2,FALSE)</f>
        <v>#REF!</v>
      </c>
      <c r="F293" s="51"/>
      <c r="G293" s="614" t="s">
        <v>77</v>
      </c>
      <c r="H293" s="615">
        <v>12.650076660156248</v>
      </c>
      <c r="I293" s="615">
        <v>344.7616509413084</v>
      </c>
      <c r="J293" s="615">
        <v>-317.95828051040263</v>
      </c>
      <c r="K293" s="615">
        <v>-7.9105007206485656</v>
      </c>
      <c r="L293" s="622">
        <v>29.601084157943134</v>
      </c>
      <c r="M293" s="615">
        <v>0</v>
      </c>
      <c r="N293" s="615">
        <v>1023.0684545454548</v>
      </c>
      <c r="O293" s="615">
        <v>284.16835095393981</v>
      </c>
      <c r="P293" s="615">
        <v>210.89473745074045</v>
      </c>
      <c r="Q293" s="615">
        <v>24.791356957669066</v>
      </c>
      <c r="R293" s="615">
        <v>-82.480349613992402</v>
      </c>
      <c r="S293" s="615">
        <v>-45.170206080681062</v>
      </c>
      <c r="T293" s="615">
        <v>0</v>
      </c>
      <c r="U293" s="615">
        <v>13.620352598697865</v>
      </c>
      <c r="V293" s="615">
        <v>-527.59787065216892</v>
      </c>
      <c r="W293" s="615">
        <v>-65.863449027923181</v>
      </c>
      <c r="X293" s="615">
        <v>-23.512732526605937</v>
      </c>
      <c r="Y293" s="615">
        <v>873.06267513348701</v>
      </c>
      <c r="Z293" s="51"/>
      <c r="AA293" s="51"/>
      <c r="AB293" s="51"/>
    </row>
    <row r="294" spans="1:28" x14ac:dyDescent="0.25">
      <c r="A294" s="51"/>
      <c r="B294" s="51"/>
      <c r="C294" s="51"/>
      <c r="D294" s="51"/>
      <c r="E294" s="51"/>
      <c r="F294" s="51"/>
      <c r="G294" s="616"/>
      <c r="H294" s="617">
        <v>0</v>
      </c>
      <c r="I294" s="617">
        <v>0</v>
      </c>
      <c r="J294" s="617">
        <v>0</v>
      </c>
      <c r="K294" s="617">
        <v>0</v>
      </c>
      <c r="L294" s="623">
        <v>0</v>
      </c>
      <c r="M294" s="617">
        <v>0</v>
      </c>
      <c r="N294" s="617">
        <v>0</v>
      </c>
      <c r="O294" s="617">
        <v>0</v>
      </c>
      <c r="P294" s="617">
        <v>0</v>
      </c>
      <c r="Q294" s="617">
        <v>0</v>
      </c>
      <c r="R294" s="617">
        <v>0</v>
      </c>
      <c r="S294" s="617">
        <v>0</v>
      </c>
      <c r="T294" s="617">
        <v>0</v>
      </c>
      <c r="U294" s="617">
        <v>0</v>
      </c>
      <c r="V294" s="617">
        <v>0</v>
      </c>
      <c r="W294" s="617">
        <v>0</v>
      </c>
      <c r="X294" s="617">
        <v>0</v>
      </c>
      <c r="Y294" s="617">
        <v>0</v>
      </c>
      <c r="Z294" s="51"/>
      <c r="AA294" s="51"/>
      <c r="AB294" s="51"/>
    </row>
    <row r="295" spans="1:28" x14ac:dyDescent="0.25">
      <c r="A295" s="51" t="e">
        <f>A293+2</f>
        <v>#REF!</v>
      </c>
      <c r="B295" s="51">
        <f>B293</f>
        <v>2035</v>
      </c>
      <c r="C295" s="51" t="str">
        <f>C273</f>
        <v>AMS</v>
      </c>
      <c r="D295" s="51" t="s">
        <v>507</v>
      </c>
      <c r="E295" s="51" t="e">
        <f>VLOOKUP($H$6,#REF!,2,FALSE)</f>
        <v>#REF!</v>
      </c>
      <c r="F295" s="51"/>
      <c r="G295" s="618" t="s">
        <v>78</v>
      </c>
      <c r="H295" s="611">
        <v>3.5288056070999749</v>
      </c>
      <c r="I295" s="611">
        <v>0</v>
      </c>
      <c r="J295" s="611">
        <v>9.0742751543652709</v>
      </c>
      <c r="K295" s="611">
        <v>0</v>
      </c>
      <c r="L295" s="611">
        <v>50.765702343803007</v>
      </c>
      <c r="M295" s="611">
        <v>0</v>
      </c>
      <c r="N295" s="611">
        <v>0</v>
      </c>
      <c r="O295" s="611">
        <v>0</v>
      </c>
      <c r="P295" s="611">
        <v>20.203559685037114</v>
      </c>
      <c r="Q295" s="611">
        <v>2.5066351077817299</v>
      </c>
      <c r="R295" s="611">
        <v>1.1254933974609376</v>
      </c>
      <c r="S295" s="611">
        <v>18.810321451312785</v>
      </c>
      <c r="T295" s="611">
        <v>5.5404179687499999</v>
      </c>
      <c r="U295" s="611">
        <v>6.9244826847420892E-4</v>
      </c>
      <c r="V295" s="611">
        <v>129.68210517319469</v>
      </c>
      <c r="W295" s="611">
        <v>18.067305271014469</v>
      </c>
      <c r="X295" s="611">
        <v>3.2886369628906249</v>
      </c>
      <c r="Y295" s="619">
        <v>262.59395057097908</v>
      </c>
      <c r="Z295" s="51"/>
      <c r="AA295" s="620" t="e" cm="1">
        <f t="array" aca="1" ref="AA295" ca="1">_xlfn.IFNA(INDEX(#REF!,MATCH(INDIRECT("Codes_bilans!"&amp;AA$1&amp;"$"&amp;$A295),#REF!,0),MATCH($B295,#REF!,0)),0)</f>
        <v>#REF!</v>
      </c>
      <c r="AB295" s="51"/>
    </row>
    <row r="296" spans="1:28" x14ac:dyDescent="0.25">
      <c r="A296" s="51" t="e">
        <f t="shared" ref="A296:A303" si="40">A295+1</f>
        <v>#REF!</v>
      </c>
      <c r="B296" s="51">
        <f t="shared" ref="B296:C303" si="41">B295</f>
        <v>2035</v>
      </c>
      <c r="C296" s="51" t="str">
        <f t="shared" si="41"/>
        <v>AMS</v>
      </c>
      <c r="D296" s="51" t="s">
        <v>508</v>
      </c>
      <c r="E296" s="51" t="e">
        <f>VLOOKUP($H$6,#REF!,2,FALSE)</f>
        <v>#REF!</v>
      </c>
      <c r="F296" s="51"/>
      <c r="G296" s="618" t="s">
        <v>79</v>
      </c>
      <c r="H296" s="611">
        <v>0</v>
      </c>
      <c r="I296" s="611">
        <v>0</v>
      </c>
      <c r="J296" s="611">
        <v>183.65265309164423</v>
      </c>
      <c r="K296" s="611">
        <v>0.37586832320647884</v>
      </c>
      <c r="L296" s="611">
        <v>4.5862710057628444</v>
      </c>
      <c r="M296" s="611">
        <v>0</v>
      </c>
      <c r="N296" s="611">
        <v>0</v>
      </c>
      <c r="O296" s="611">
        <v>0</v>
      </c>
      <c r="P296" s="611">
        <v>0</v>
      </c>
      <c r="Q296" s="611">
        <v>0</v>
      </c>
      <c r="R296" s="611">
        <v>52.853956211759765</v>
      </c>
      <c r="S296" s="611">
        <v>1.6962920158300934</v>
      </c>
      <c r="T296" s="611">
        <v>0</v>
      </c>
      <c r="U296" s="611">
        <v>0</v>
      </c>
      <c r="V296" s="611">
        <v>57.341707182273488</v>
      </c>
      <c r="W296" s="611">
        <v>0</v>
      </c>
      <c r="X296" s="611">
        <v>2.0198839430903792</v>
      </c>
      <c r="Y296" s="619">
        <v>302.52663177356732</v>
      </c>
      <c r="Z296" s="51"/>
      <c r="AA296" s="620" t="e" cm="1">
        <f t="array" aca="1" ref="AA296" ca="1">_xlfn.IFNA(INDEX(#REF!,MATCH(INDIRECT("Codes_bilans!"&amp;AA$1&amp;"$"&amp;$A296),#REF!,0),MATCH($B296,#REF!,0)),0)</f>
        <v>#REF!</v>
      </c>
      <c r="AB296" s="51"/>
    </row>
    <row r="297" spans="1:28" x14ac:dyDescent="0.25">
      <c r="A297" s="51" t="e">
        <f t="shared" si="40"/>
        <v>#REF!</v>
      </c>
      <c r="B297" s="51">
        <f t="shared" si="41"/>
        <v>2035</v>
      </c>
      <c r="C297" s="51" t="str">
        <f t="shared" si="41"/>
        <v>AMS</v>
      </c>
      <c r="D297" s="51" t="s">
        <v>509</v>
      </c>
      <c r="E297" s="51" t="e">
        <f>VLOOKUP($H$6,#REF!,2,FALSE)</f>
        <v>#REF!</v>
      </c>
      <c r="F297" s="51"/>
      <c r="G297" s="618" t="s">
        <v>80</v>
      </c>
      <c r="H297" s="611">
        <v>0</v>
      </c>
      <c r="I297" s="611">
        <v>0</v>
      </c>
      <c r="J297" s="611">
        <v>3.260836950166615</v>
      </c>
      <c r="K297" s="611">
        <v>0</v>
      </c>
      <c r="L297" s="611">
        <v>39.313312069692138</v>
      </c>
      <c r="M297" s="611">
        <v>0</v>
      </c>
      <c r="N297" s="611">
        <v>0</v>
      </c>
      <c r="O297" s="611">
        <v>0</v>
      </c>
      <c r="P297" s="611">
        <v>38.595135513286785</v>
      </c>
      <c r="Q297" s="611">
        <v>0</v>
      </c>
      <c r="R297" s="611">
        <v>0</v>
      </c>
      <c r="S297" s="611">
        <v>14.540540080571066</v>
      </c>
      <c r="T297" s="611">
        <v>88.021667456281236</v>
      </c>
      <c r="U297" s="611">
        <v>2.3427124137087052</v>
      </c>
      <c r="V297" s="611">
        <v>158.98187870009832</v>
      </c>
      <c r="W297" s="611">
        <v>28.917251051933125</v>
      </c>
      <c r="X297" s="611">
        <v>0</v>
      </c>
      <c r="Y297" s="619">
        <v>373.97333423573804</v>
      </c>
      <c r="Z297" s="51"/>
      <c r="AA297" s="620" t="e" cm="1">
        <f t="array" aca="1" ref="AA297" ca="1">_xlfn.IFNA(INDEX(#REF!,MATCH(INDIRECT("Codes_bilans!"&amp;AA$1&amp;"$"&amp;$A297),#REF!,0),MATCH($B297,#REF!,0)),0)</f>
        <v>#REF!</v>
      </c>
      <c r="AB297" s="51"/>
    </row>
    <row r="298" spans="1:28" x14ac:dyDescent="0.25">
      <c r="A298" s="51" t="e">
        <f t="shared" si="40"/>
        <v>#REF!</v>
      </c>
      <c r="B298" s="51">
        <f t="shared" si="41"/>
        <v>2035</v>
      </c>
      <c r="C298" s="51" t="str">
        <f t="shared" si="41"/>
        <v>AMS</v>
      </c>
      <c r="D298" s="51" t="s">
        <v>510</v>
      </c>
      <c r="E298" s="51" t="e">
        <f>VLOOKUP($H$6,#REF!,2,FALSE)</f>
        <v>#REF!</v>
      </c>
      <c r="F298" s="51"/>
      <c r="G298" s="618" t="s">
        <v>81</v>
      </c>
      <c r="H298" s="611">
        <v>0</v>
      </c>
      <c r="I298" s="611">
        <v>0</v>
      </c>
      <c r="J298" s="611">
        <v>3.4419330830775619</v>
      </c>
      <c r="K298" s="611">
        <v>0</v>
      </c>
      <c r="L298" s="611">
        <v>19.661407657447267</v>
      </c>
      <c r="M298" s="611">
        <v>0</v>
      </c>
      <c r="N298" s="611">
        <v>0</v>
      </c>
      <c r="O298" s="611">
        <v>0</v>
      </c>
      <c r="P298" s="611">
        <v>0.43406989863895534</v>
      </c>
      <c r="Q298" s="611">
        <v>4.6787954190583215E-4</v>
      </c>
      <c r="R298" s="611">
        <v>0</v>
      </c>
      <c r="S298" s="611">
        <v>7.2720274897407702</v>
      </c>
      <c r="T298" s="611">
        <v>20.482042486716281</v>
      </c>
      <c r="U298" s="611">
        <v>0.93898003664808516</v>
      </c>
      <c r="V298" s="611">
        <v>96.862888654792613</v>
      </c>
      <c r="W298" s="611">
        <v>18.878892704975588</v>
      </c>
      <c r="X298" s="611">
        <v>0</v>
      </c>
      <c r="Y298" s="619">
        <v>167.97270989157903</v>
      </c>
      <c r="Z298" s="51"/>
      <c r="AA298" s="620" t="e" cm="1">
        <f t="array" aca="1" ref="AA298" ca="1">_xlfn.IFNA(INDEX(#REF!,MATCH(INDIRECT("Codes_bilans!"&amp;AA$1&amp;"$"&amp;$A298),#REF!,0),MATCH($B298,#REF!,0)),0)</f>
        <v>#REF!</v>
      </c>
      <c r="AB298" s="51"/>
    </row>
    <row r="299" spans="1:28" x14ac:dyDescent="0.25">
      <c r="A299" s="51" t="e">
        <f t="shared" si="40"/>
        <v>#REF!</v>
      </c>
      <c r="B299" s="51">
        <f t="shared" si="41"/>
        <v>2035</v>
      </c>
      <c r="C299" s="51" t="str">
        <f t="shared" si="41"/>
        <v>AMS</v>
      </c>
      <c r="D299" s="51" t="s">
        <v>511</v>
      </c>
      <c r="E299" s="51" t="e">
        <f>VLOOKUP($H$6,#REF!,2,FALSE)</f>
        <v>#REF!</v>
      </c>
      <c r="F299" s="51"/>
      <c r="G299" s="618" t="s">
        <v>82</v>
      </c>
      <c r="H299" s="611">
        <v>0</v>
      </c>
      <c r="I299" s="611">
        <v>0</v>
      </c>
      <c r="J299" s="611">
        <v>19.85629550078999</v>
      </c>
      <c r="K299" s="611">
        <v>0</v>
      </c>
      <c r="L299" s="611">
        <v>1.376773611649958</v>
      </c>
      <c r="M299" s="611">
        <v>0</v>
      </c>
      <c r="N299" s="611">
        <v>0</v>
      </c>
      <c r="O299" s="611">
        <v>0</v>
      </c>
      <c r="P299" s="611">
        <v>2.7730307508519707</v>
      </c>
      <c r="Q299" s="611">
        <v>0</v>
      </c>
      <c r="R299" s="611">
        <v>8.3214654409998232</v>
      </c>
      <c r="S299" s="611">
        <v>0.50921763718560098</v>
      </c>
      <c r="T299" s="611">
        <v>0.75</v>
      </c>
      <c r="U299" s="611">
        <v>0.96290247555165809</v>
      </c>
      <c r="V299" s="611">
        <v>7.7126288806125016</v>
      </c>
      <c r="W299" s="611">
        <v>0</v>
      </c>
      <c r="X299" s="611">
        <v>0.24940873791150003</v>
      </c>
      <c r="Y299" s="619">
        <v>42.511723035553004</v>
      </c>
      <c r="Z299" s="51"/>
      <c r="AA299" s="620" t="e" cm="1">
        <f t="array" aca="1" ref="AA299" ca="1">_xlfn.IFNA(INDEX(#REF!,MATCH(INDIRECT("Codes_bilans!"&amp;AA$1&amp;"$"&amp;$A299),#REF!,0),MATCH($B299,#REF!,0)),0)</f>
        <v>#REF!</v>
      </c>
      <c r="AB299" s="51"/>
    </row>
    <row r="300" spans="1:28" x14ac:dyDescent="0.25">
      <c r="A300" s="51" t="e">
        <f t="shared" si="40"/>
        <v>#REF!</v>
      </c>
      <c r="B300" s="51">
        <f t="shared" si="41"/>
        <v>2035</v>
      </c>
      <c r="C300" s="51" t="str">
        <f t="shared" si="41"/>
        <v>AMS</v>
      </c>
      <c r="D300" s="51" t="s">
        <v>512</v>
      </c>
      <c r="E300" s="51" t="e">
        <f>VLOOKUP($H$6,#REF!,2,FALSE)</f>
        <v>#REF!</v>
      </c>
      <c r="F300" s="51"/>
      <c r="G300" s="618" t="s">
        <v>354</v>
      </c>
      <c r="H300" s="611">
        <v>0</v>
      </c>
      <c r="I300" s="611">
        <v>0</v>
      </c>
      <c r="J300" s="611">
        <v>0</v>
      </c>
      <c r="K300" s="611">
        <v>0</v>
      </c>
      <c r="L300" s="611">
        <v>0</v>
      </c>
      <c r="M300" s="611">
        <v>0</v>
      </c>
      <c r="N300" s="611">
        <v>0</v>
      </c>
      <c r="O300" s="611">
        <v>0</v>
      </c>
      <c r="P300" s="611">
        <v>0</v>
      </c>
      <c r="Q300" s="611">
        <v>0</v>
      </c>
      <c r="R300" s="611">
        <v>0</v>
      </c>
      <c r="S300" s="611">
        <v>0</v>
      </c>
      <c r="T300" s="611">
        <v>0</v>
      </c>
      <c r="U300" s="611">
        <v>0</v>
      </c>
      <c r="V300" s="611">
        <v>0.68544000000000005</v>
      </c>
      <c r="W300" s="611">
        <v>0</v>
      </c>
      <c r="X300" s="611">
        <v>0</v>
      </c>
      <c r="Y300" s="619">
        <v>0.68544000000000005</v>
      </c>
      <c r="Z300" s="51"/>
      <c r="AA300" s="620" t="e" cm="1">
        <f t="array" aca="1" ref="AA300" ca="1">_xlfn.IFNA(INDEX(#REF!,MATCH(INDIRECT("Codes_bilans!"&amp;AA$1&amp;"$"&amp;$A300),#REF!,0),MATCH($B300,#REF!,0)),0)</f>
        <v>#REF!</v>
      </c>
      <c r="AB300" s="51"/>
    </row>
    <row r="301" spans="1:28" x14ac:dyDescent="0.25">
      <c r="A301" s="51" t="e">
        <f t="shared" si="40"/>
        <v>#REF!</v>
      </c>
      <c r="B301" s="51">
        <f t="shared" si="41"/>
        <v>2035</v>
      </c>
      <c r="C301" s="51" t="str">
        <f t="shared" si="41"/>
        <v>AMS</v>
      </c>
      <c r="D301" s="51" t="s">
        <v>513</v>
      </c>
      <c r="E301" s="51" t="e">
        <f>VLOOKUP($H$6,#REF!,2,FALSE)</f>
        <v>#REF!</v>
      </c>
      <c r="F301" s="51"/>
      <c r="G301" s="614" t="s">
        <v>83</v>
      </c>
      <c r="H301" s="615">
        <v>3.5288056070999749</v>
      </c>
      <c r="I301" s="615">
        <v>0</v>
      </c>
      <c r="J301" s="615">
        <v>219.2859937800437</v>
      </c>
      <c r="K301" s="615">
        <v>0.37586832320647884</v>
      </c>
      <c r="L301" s="622">
        <v>115.70346668835522</v>
      </c>
      <c r="M301" s="615">
        <v>0</v>
      </c>
      <c r="N301" s="615">
        <v>0</v>
      </c>
      <c r="O301" s="615">
        <v>0</v>
      </c>
      <c r="P301" s="615">
        <v>62.005795847814824</v>
      </c>
      <c r="Q301" s="615">
        <v>2.5071029873236355</v>
      </c>
      <c r="R301" s="615">
        <v>62.300915050220524</v>
      </c>
      <c r="S301" s="615">
        <v>42.828398674640319</v>
      </c>
      <c r="T301" s="615">
        <v>114.79412791174752</v>
      </c>
      <c r="U301" s="615">
        <v>4.2452873741769226</v>
      </c>
      <c r="V301" s="615">
        <v>451.26664859097167</v>
      </c>
      <c r="W301" s="615">
        <v>65.863449027923181</v>
      </c>
      <c r="X301" s="615">
        <v>5.5579296438925034</v>
      </c>
      <c r="Y301" s="615">
        <v>1150.2637895074163</v>
      </c>
      <c r="Z301" s="51"/>
      <c r="AA301" s="51"/>
      <c r="AB301" s="51"/>
    </row>
    <row r="302" spans="1:28" x14ac:dyDescent="0.25">
      <c r="A302" s="51" t="e">
        <f t="shared" si="40"/>
        <v>#REF!</v>
      </c>
      <c r="B302" s="51">
        <f t="shared" si="41"/>
        <v>2035</v>
      </c>
      <c r="C302" s="51" t="str">
        <f t="shared" si="41"/>
        <v>AMS</v>
      </c>
      <c r="D302" s="51" t="s">
        <v>514</v>
      </c>
      <c r="E302" s="51" t="e">
        <f>VLOOKUP($H$6,#REF!,2,FALSE)</f>
        <v>#REF!</v>
      </c>
      <c r="F302" s="51"/>
      <c r="G302" s="610" t="s">
        <v>84</v>
      </c>
      <c r="H302" s="611">
        <v>0</v>
      </c>
      <c r="I302" s="611">
        <v>0</v>
      </c>
      <c r="J302" s="611">
        <v>78.311135803097855</v>
      </c>
      <c r="K302" s="611">
        <v>3.2322568578114335</v>
      </c>
      <c r="L302" s="611">
        <v>8.5375790835295255</v>
      </c>
      <c r="M302" s="611">
        <v>0</v>
      </c>
      <c r="N302" s="611">
        <v>0</v>
      </c>
      <c r="O302" s="611">
        <v>0</v>
      </c>
      <c r="P302" s="611">
        <v>0.26788991283700125</v>
      </c>
      <c r="Q302" s="611">
        <v>0</v>
      </c>
      <c r="R302" s="611">
        <v>12.991363385671615</v>
      </c>
      <c r="S302" s="611">
        <v>1.800451278990862</v>
      </c>
      <c r="T302" s="611">
        <v>0</v>
      </c>
      <c r="U302" s="611">
        <v>0</v>
      </c>
      <c r="V302" s="611">
        <v>0</v>
      </c>
      <c r="W302" s="611">
        <v>0</v>
      </c>
      <c r="X302" s="611">
        <v>17.811580806374948</v>
      </c>
      <c r="Y302" s="619">
        <v>122.95225712831325</v>
      </c>
      <c r="Z302" s="51"/>
      <c r="AA302" s="620" t="e" cm="1">
        <f t="array" aca="1" ref="AA302" ca="1">_xlfn.IFNA(INDEX(#REF!,MATCH(INDIRECT("Codes_bilans!"&amp;AA$1&amp;"$"&amp;$A302),#REF!,0),MATCH($B302,#REF!,0)),0)</f>
        <v>#REF!</v>
      </c>
      <c r="AB302" s="51"/>
    </row>
    <row r="303" spans="1:28" x14ac:dyDescent="0.25">
      <c r="A303" s="51" t="e">
        <f t="shared" si="40"/>
        <v>#REF!</v>
      </c>
      <c r="B303" s="51">
        <f t="shared" si="41"/>
        <v>2035</v>
      </c>
      <c r="C303" s="51" t="str">
        <f t="shared" si="41"/>
        <v>AMS</v>
      </c>
      <c r="D303" s="51" t="s">
        <v>515</v>
      </c>
      <c r="E303" s="51" t="e">
        <f>VLOOKUP($H$6,#REF!,2,FALSE)</f>
        <v>#REF!</v>
      </c>
      <c r="F303" s="51"/>
      <c r="G303" s="614" t="s">
        <v>85</v>
      </c>
      <c r="H303" s="615">
        <v>3.5288056070999749</v>
      </c>
      <c r="I303" s="615">
        <v>0</v>
      </c>
      <c r="J303" s="615">
        <v>297.59712958314151</v>
      </c>
      <c r="K303" s="615">
        <v>3.6081251810179125</v>
      </c>
      <c r="L303" s="622">
        <v>124.24104577188474</v>
      </c>
      <c r="M303" s="615">
        <v>0</v>
      </c>
      <c r="N303" s="615">
        <v>0</v>
      </c>
      <c r="O303" s="615">
        <v>0</v>
      </c>
      <c r="P303" s="615">
        <v>62.273685760651823</v>
      </c>
      <c r="Q303" s="615">
        <v>2.5071029873236355</v>
      </c>
      <c r="R303" s="615">
        <v>75.292278435892143</v>
      </c>
      <c r="S303" s="615">
        <v>44.628849953631182</v>
      </c>
      <c r="T303" s="615">
        <v>114.79412791174752</v>
      </c>
      <c r="U303" s="615">
        <v>4.2452873741769226</v>
      </c>
      <c r="V303" s="615">
        <v>451.26664859097167</v>
      </c>
      <c r="W303" s="615">
        <v>65.863449027923181</v>
      </c>
      <c r="X303" s="615">
        <v>23.369510450267452</v>
      </c>
      <c r="Y303" s="615">
        <v>1273.2160466357295</v>
      </c>
      <c r="Z303" s="51"/>
      <c r="AA303" s="51"/>
      <c r="AB303" s="51"/>
    </row>
    <row r="304" spans="1:28" x14ac:dyDescent="0.25">
      <c r="A304" s="51"/>
      <c r="B304" s="51"/>
      <c r="C304" s="51"/>
      <c r="D304" s="51"/>
      <c r="E304" s="51"/>
      <c r="F304" s="51"/>
      <c r="G304" s="51"/>
      <c r="H304" s="67">
        <v>0</v>
      </c>
      <c r="I304" s="67">
        <v>0</v>
      </c>
      <c r="J304" s="67">
        <v>-9.5923269327613525E-14</v>
      </c>
      <c r="K304" s="67">
        <v>0</v>
      </c>
      <c r="L304" s="67">
        <v>0</v>
      </c>
      <c r="M304" s="67">
        <v>0</v>
      </c>
      <c r="N304" s="67">
        <v>0</v>
      </c>
      <c r="O304" s="67">
        <v>0</v>
      </c>
      <c r="P304" s="67">
        <v>0</v>
      </c>
      <c r="Q304" s="67">
        <v>0</v>
      </c>
      <c r="R304" s="67">
        <v>-2.1316282072803006E-14</v>
      </c>
      <c r="S304" s="67">
        <v>3.5527136788005009E-15</v>
      </c>
      <c r="T304" s="67">
        <v>0</v>
      </c>
      <c r="U304" s="67">
        <v>0</v>
      </c>
      <c r="V304" s="67">
        <v>0</v>
      </c>
      <c r="W304" s="67">
        <v>0</v>
      </c>
      <c r="X304" s="67">
        <v>4.5796699765787707E-15</v>
      </c>
      <c r="Y304" s="67">
        <v>0</v>
      </c>
      <c r="Z304" s="51"/>
      <c r="AA304" s="51"/>
      <c r="AB304" s="51"/>
    </row>
    <row r="305" spans="1:28" x14ac:dyDescent="0.2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row>
    <row r="306" spans="1:28" x14ac:dyDescent="0.25">
      <c r="A306" s="606"/>
      <c r="B306" s="606"/>
      <c r="C306" s="606"/>
      <c r="D306" s="606"/>
      <c r="E306" s="606"/>
      <c r="F306" s="606"/>
      <c r="G306" s="607" t="s">
        <v>359</v>
      </c>
      <c r="H306" s="606"/>
      <c r="I306" s="606"/>
      <c r="J306" s="606"/>
      <c r="K306" s="606"/>
      <c r="L306" s="606"/>
      <c r="M306" s="606"/>
      <c r="N306" s="606"/>
      <c r="O306" s="606"/>
      <c r="P306" s="606"/>
      <c r="Q306" s="606"/>
      <c r="R306" s="606"/>
      <c r="S306" s="606"/>
      <c r="T306" s="606"/>
      <c r="U306" s="606"/>
      <c r="V306" s="606"/>
      <c r="W306" s="606"/>
      <c r="X306" s="606"/>
      <c r="Y306" s="606"/>
      <c r="Z306" s="606"/>
      <c r="AA306" s="606"/>
      <c r="AB306" s="606"/>
    </row>
    <row r="307" spans="1:28" x14ac:dyDescent="0.25">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row>
    <row r="308" spans="1:28" ht="14.25" customHeight="1" x14ac:dyDescent="0.25">
      <c r="A308" s="51"/>
      <c r="B308" s="51"/>
      <c r="C308" s="51"/>
      <c r="D308" s="51"/>
      <c r="E308" s="51"/>
      <c r="F308" s="51"/>
      <c r="G308" s="764" t="s">
        <v>128</v>
      </c>
      <c r="H308" s="753" t="s">
        <v>42</v>
      </c>
      <c r="I308" s="753" t="s">
        <v>52</v>
      </c>
      <c r="J308" s="753" t="s">
        <v>53</v>
      </c>
      <c r="K308" s="753" t="s">
        <v>482</v>
      </c>
      <c r="L308" s="753" t="s">
        <v>32</v>
      </c>
      <c r="M308" s="753" t="s">
        <v>483</v>
      </c>
      <c r="N308" s="753" t="s">
        <v>20</v>
      </c>
      <c r="O308" s="753" t="s">
        <v>55</v>
      </c>
      <c r="P308" s="761" t="s">
        <v>56</v>
      </c>
      <c r="Q308" s="762"/>
      <c r="R308" s="762"/>
      <c r="S308" s="762"/>
      <c r="T308" s="762"/>
      <c r="U308" s="763"/>
      <c r="V308" s="753" t="s">
        <v>57</v>
      </c>
      <c r="W308" s="753" t="s">
        <v>58</v>
      </c>
      <c r="X308" s="753" t="s">
        <v>31</v>
      </c>
      <c r="Y308" s="753" t="s">
        <v>10</v>
      </c>
      <c r="Z308" s="51"/>
      <c r="AA308" s="51"/>
      <c r="AB308" s="51"/>
    </row>
    <row r="309" spans="1:28" ht="24" x14ac:dyDescent="0.25">
      <c r="A309" s="51"/>
      <c r="B309" s="51"/>
      <c r="C309" s="51"/>
      <c r="D309" s="51" t="s">
        <v>486</v>
      </c>
      <c r="E309" s="51"/>
      <c r="F309" s="51"/>
      <c r="G309" s="765"/>
      <c r="H309" s="754"/>
      <c r="I309" s="754"/>
      <c r="J309" s="754"/>
      <c r="K309" s="754"/>
      <c r="L309" s="754"/>
      <c r="M309" s="754"/>
      <c r="N309" s="754"/>
      <c r="O309" s="754"/>
      <c r="P309" s="608" t="s">
        <v>335</v>
      </c>
      <c r="Q309" s="608" t="s">
        <v>40</v>
      </c>
      <c r="R309" s="608" t="s">
        <v>343</v>
      </c>
      <c r="S309" s="608" t="s">
        <v>344</v>
      </c>
      <c r="T309" s="609" t="s">
        <v>345</v>
      </c>
      <c r="U309" s="608" t="s">
        <v>346</v>
      </c>
      <c r="V309" s="754"/>
      <c r="W309" s="754"/>
      <c r="X309" s="754"/>
      <c r="Y309" s="754"/>
      <c r="Z309" s="51"/>
      <c r="AA309" s="51"/>
      <c r="AB309" s="51"/>
    </row>
    <row r="310" spans="1:28" x14ac:dyDescent="0.25">
      <c r="A310" s="51" t="e">
        <f>A273</f>
        <v>#REF!</v>
      </c>
      <c r="B310" s="51">
        <v>2038</v>
      </c>
      <c r="C310" s="51" t="s">
        <v>47</v>
      </c>
      <c r="D310" s="51" t="s">
        <v>487</v>
      </c>
      <c r="E310" s="51" t="e">
        <f>VLOOKUP($H$6,#REF!,2,FALSE)</f>
        <v>#REF!</v>
      </c>
      <c r="F310" s="51"/>
      <c r="G310" s="610" t="s">
        <v>59</v>
      </c>
      <c r="H310" s="611">
        <v>0</v>
      </c>
      <c r="I310" s="611">
        <v>2.3260000000000005</v>
      </c>
      <c r="J310" s="611">
        <v>0</v>
      </c>
      <c r="K310" s="611">
        <v>0</v>
      </c>
      <c r="L310" s="611">
        <v>3.7216000000000006E-2</v>
      </c>
      <c r="M310" s="611">
        <v>0</v>
      </c>
      <c r="N310" s="612">
        <v>1044.9429709090912</v>
      </c>
      <c r="O310" s="612">
        <v>337.76764233856375</v>
      </c>
      <c r="P310" s="612">
        <v>296.80728222554393</v>
      </c>
      <c r="Q310" s="612">
        <v>27.696767252553528</v>
      </c>
      <c r="R310" s="611">
        <v>1.5522078310841105</v>
      </c>
      <c r="S310" s="611">
        <v>0.16457898409976487</v>
      </c>
      <c r="T310" s="612">
        <v>128.43983591306872</v>
      </c>
      <c r="U310" s="612">
        <v>20.654107927982594</v>
      </c>
      <c r="V310" s="611">
        <v>0</v>
      </c>
      <c r="W310" s="611">
        <v>0</v>
      </c>
      <c r="X310" s="611">
        <v>0</v>
      </c>
      <c r="Y310" s="613">
        <v>1860.3886093819874</v>
      </c>
      <c r="Z310" s="51"/>
      <c r="AA310" s="51"/>
      <c r="AB310" s="51"/>
    </row>
    <row r="311" spans="1:28" x14ac:dyDescent="0.25">
      <c r="A311" s="51" t="e">
        <f t="shared" ref="A311:A316" si="42">A310+1</f>
        <v>#REF!</v>
      </c>
      <c r="B311" s="51">
        <f t="shared" ref="B311:C316" si="43">B310</f>
        <v>2038</v>
      </c>
      <c r="C311" s="51" t="str">
        <f t="shared" si="43"/>
        <v>AMS</v>
      </c>
      <c r="D311" s="51" t="s">
        <v>488</v>
      </c>
      <c r="E311" s="51" t="e">
        <f>VLOOKUP($H$6,#REF!,2,FALSE)</f>
        <v>#REF!</v>
      </c>
      <c r="F311" s="51"/>
      <c r="G311" s="610" t="s">
        <v>60</v>
      </c>
      <c r="H311" s="611">
        <v>13.859177019435306</v>
      </c>
      <c r="I311" s="611">
        <v>296.13837759387053</v>
      </c>
      <c r="J311" s="611">
        <v>5.829718761745502</v>
      </c>
      <c r="K311" s="611">
        <v>0</v>
      </c>
      <c r="L311" s="611">
        <v>121.22757578406195</v>
      </c>
      <c r="M311" s="611">
        <v>0</v>
      </c>
      <c r="N311" s="611">
        <v>0</v>
      </c>
      <c r="O311" s="611">
        <v>0</v>
      </c>
      <c r="P311" s="611">
        <v>3.8185483520995893</v>
      </c>
      <c r="Q311" s="611">
        <v>0</v>
      </c>
      <c r="R311" s="611">
        <v>4.0860505945061325</v>
      </c>
      <c r="S311" s="611">
        <v>0</v>
      </c>
      <c r="T311" s="611">
        <v>0</v>
      </c>
      <c r="U311" s="611">
        <v>0</v>
      </c>
      <c r="V311" s="611">
        <v>0</v>
      </c>
      <c r="W311" s="611">
        <v>0</v>
      </c>
      <c r="X311" s="611">
        <v>0</v>
      </c>
      <c r="Y311" s="613">
        <v>444.95944810571905</v>
      </c>
      <c r="Z311" s="51"/>
      <c r="AA311" s="51"/>
      <c r="AB311" s="51"/>
    </row>
    <row r="312" spans="1:28" x14ac:dyDescent="0.25">
      <c r="A312" s="51" t="e">
        <f t="shared" si="42"/>
        <v>#REF!</v>
      </c>
      <c r="B312" s="51">
        <f t="shared" si="43"/>
        <v>2038</v>
      </c>
      <c r="C312" s="51" t="str">
        <f t="shared" si="43"/>
        <v>AMS</v>
      </c>
      <c r="D312" s="51" t="s">
        <v>489</v>
      </c>
      <c r="E312" s="51" t="e">
        <f>VLOOKUP($H$6,#REF!,2,FALSE)</f>
        <v>#REF!</v>
      </c>
      <c r="F312" s="51"/>
      <c r="G312" s="610" t="s">
        <v>61</v>
      </c>
      <c r="H312" s="611">
        <v>0</v>
      </c>
      <c r="I312" s="611">
        <v>0</v>
      </c>
      <c r="J312" s="611">
        <v>-10.887346658444276</v>
      </c>
      <c r="K312" s="611">
        <v>-0.64127874443894584</v>
      </c>
      <c r="L312" s="611">
        <v>0</v>
      </c>
      <c r="M312" s="611">
        <v>0</v>
      </c>
      <c r="N312" s="611">
        <v>0</v>
      </c>
      <c r="O312" s="611">
        <v>0</v>
      </c>
      <c r="P312" s="611">
        <v>0</v>
      </c>
      <c r="Q312" s="611">
        <v>0</v>
      </c>
      <c r="R312" s="611">
        <v>0</v>
      </c>
      <c r="S312" s="611">
        <v>0</v>
      </c>
      <c r="T312" s="611">
        <v>0</v>
      </c>
      <c r="U312" s="611">
        <v>0</v>
      </c>
      <c r="V312" s="611">
        <v>-91.157732438582798</v>
      </c>
      <c r="W312" s="611">
        <v>0</v>
      </c>
      <c r="X312" s="611">
        <v>0</v>
      </c>
      <c r="Y312" s="613">
        <v>-102.68635784146602</v>
      </c>
      <c r="Z312" s="51"/>
      <c r="AA312" s="51"/>
      <c r="AB312" s="51"/>
    </row>
    <row r="313" spans="1:28" x14ac:dyDescent="0.25">
      <c r="A313" s="51" t="e">
        <f t="shared" si="42"/>
        <v>#REF!</v>
      </c>
      <c r="B313" s="51">
        <f t="shared" si="43"/>
        <v>2038</v>
      </c>
      <c r="C313" s="51" t="str">
        <f t="shared" si="43"/>
        <v>AMS</v>
      </c>
      <c r="D313" s="51" t="s">
        <v>490</v>
      </c>
      <c r="E313" s="51" t="e">
        <f>VLOOKUP($H$6,#REF!,2,FALSE)</f>
        <v>#REF!</v>
      </c>
      <c r="F313" s="51"/>
      <c r="G313" s="610" t="s">
        <v>62</v>
      </c>
      <c r="H313" s="611">
        <v>0</v>
      </c>
      <c r="I313" s="611">
        <v>0</v>
      </c>
      <c r="J313" s="611">
        <v>-10.650864702914385</v>
      </c>
      <c r="K313" s="611">
        <v>-1.9080821969915447</v>
      </c>
      <c r="L313" s="611">
        <v>-4.5147113062781807</v>
      </c>
      <c r="M313" s="611">
        <v>0</v>
      </c>
      <c r="N313" s="611">
        <v>0</v>
      </c>
      <c r="O313" s="611">
        <v>0</v>
      </c>
      <c r="P313" s="611">
        <v>0</v>
      </c>
      <c r="Q313" s="611">
        <v>0</v>
      </c>
      <c r="R313" s="611">
        <v>-0.48900468677593995</v>
      </c>
      <c r="S313" s="611">
        <v>-2.7436669996352929</v>
      </c>
      <c r="T313" s="611">
        <v>0</v>
      </c>
      <c r="U313" s="611">
        <v>0</v>
      </c>
      <c r="V313" s="611">
        <v>0</v>
      </c>
      <c r="W313" s="611">
        <v>0</v>
      </c>
      <c r="X313" s="611">
        <v>0</v>
      </c>
      <c r="Y313" s="613">
        <v>-20.306329892595343</v>
      </c>
      <c r="Z313" s="51"/>
      <c r="AA313" s="51"/>
      <c r="AB313" s="51"/>
    </row>
    <row r="314" spans="1:28" x14ac:dyDescent="0.25">
      <c r="A314" s="51" t="e">
        <f t="shared" si="42"/>
        <v>#REF!</v>
      </c>
      <c r="B314" s="51">
        <f t="shared" si="43"/>
        <v>2038</v>
      </c>
      <c r="C314" s="51" t="str">
        <f t="shared" si="43"/>
        <v>AMS</v>
      </c>
      <c r="D314" s="51" t="s">
        <v>491</v>
      </c>
      <c r="E314" s="51" t="e">
        <f>VLOOKUP($H$6,#REF!,2,FALSE)</f>
        <v>#REF!</v>
      </c>
      <c r="F314" s="51"/>
      <c r="G314" s="610" t="s">
        <v>63</v>
      </c>
      <c r="H314" s="611">
        <v>0</v>
      </c>
      <c r="I314" s="611">
        <v>0</v>
      </c>
      <c r="J314" s="611">
        <v>-52.2656340821949</v>
      </c>
      <c r="K314" s="611">
        <v>-8.2703034572776399</v>
      </c>
      <c r="L314" s="611">
        <v>0</v>
      </c>
      <c r="M314" s="611">
        <v>0</v>
      </c>
      <c r="N314" s="611">
        <v>0</v>
      </c>
      <c r="O314" s="611">
        <v>0</v>
      </c>
      <c r="P314" s="611">
        <v>0</v>
      </c>
      <c r="Q314" s="611">
        <v>0</v>
      </c>
      <c r="R314" s="611">
        <v>-13.213101981709578</v>
      </c>
      <c r="S314" s="611">
        <v>0</v>
      </c>
      <c r="T314" s="611">
        <v>0</v>
      </c>
      <c r="U314" s="611">
        <v>0</v>
      </c>
      <c r="V314" s="611">
        <v>0</v>
      </c>
      <c r="W314" s="611">
        <v>0</v>
      </c>
      <c r="X314" s="611">
        <v>-0.45605370393256905</v>
      </c>
      <c r="Y314" s="613">
        <v>-74.20509322511468</v>
      </c>
      <c r="Z314" s="51"/>
      <c r="AA314" s="51"/>
      <c r="AB314" s="51"/>
    </row>
    <row r="315" spans="1:28" x14ac:dyDescent="0.25">
      <c r="A315" s="51" t="e">
        <f t="shared" si="42"/>
        <v>#REF!</v>
      </c>
      <c r="B315" s="51">
        <f t="shared" si="43"/>
        <v>2038</v>
      </c>
      <c r="C315" s="51" t="str">
        <f t="shared" si="43"/>
        <v>AMS</v>
      </c>
      <c r="D315" s="51" t="s">
        <v>492</v>
      </c>
      <c r="E315" s="51" t="e">
        <f>VLOOKUP($H$6,#REF!,2,FALSE)</f>
        <v>#REF!</v>
      </c>
      <c r="F315" s="51"/>
      <c r="G315" s="610" t="s">
        <v>64</v>
      </c>
      <c r="H315" s="611">
        <v>0</v>
      </c>
      <c r="I315" s="611">
        <v>0</v>
      </c>
      <c r="J315" s="611">
        <v>0</v>
      </c>
      <c r="K315" s="611">
        <v>0</v>
      </c>
      <c r="L315" s="611">
        <v>0</v>
      </c>
      <c r="M315" s="611">
        <v>0</v>
      </c>
      <c r="N315" s="611">
        <v>0</v>
      </c>
      <c r="O315" s="611">
        <v>0</v>
      </c>
      <c r="P315" s="611">
        <v>0</v>
      </c>
      <c r="Q315" s="611">
        <v>0</v>
      </c>
      <c r="R315" s="611">
        <v>0</v>
      </c>
      <c r="S315" s="611">
        <v>0</v>
      </c>
      <c r="T315" s="611">
        <v>0</v>
      </c>
      <c r="U315" s="611">
        <v>0</v>
      </c>
      <c r="V315" s="611">
        <v>0</v>
      </c>
      <c r="W315" s="611">
        <v>0</v>
      </c>
      <c r="X315" s="611">
        <v>0</v>
      </c>
      <c r="Y315" s="613">
        <v>0</v>
      </c>
      <c r="Z315" s="51"/>
      <c r="AA315" s="51"/>
      <c r="AB315" s="51"/>
    </row>
    <row r="316" spans="1:28" x14ac:dyDescent="0.25">
      <c r="A316" s="51" t="e">
        <f t="shared" si="42"/>
        <v>#REF!</v>
      </c>
      <c r="B316" s="51">
        <f t="shared" si="43"/>
        <v>2038</v>
      </c>
      <c r="C316" s="51" t="str">
        <f t="shared" si="43"/>
        <v>AMS</v>
      </c>
      <c r="D316" s="51" t="s">
        <v>493</v>
      </c>
      <c r="E316" s="51" t="e">
        <f>VLOOKUP($H$6,#REF!,2,FALSE)</f>
        <v>#REF!</v>
      </c>
      <c r="F316" s="51"/>
      <c r="G316" s="614" t="s">
        <v>65</v>
      </c>
      <c r="H316" s="615">
        <v>13.859177019435306</v>
      </c>
      <c r="I316" s="615">
        <v>298.46437759387055</v>
      </c>
      <c r="J316" s="615">
        <v>-67.974126681808059</v>
      </c>
      <c r="K316" s="615">
        <v>-10.819664398708131</v>
      </c>
      <c r="L316" s="622">
        <v>116.75008047778377</v>
      </c>
      <c r="M316" s="615">
        <v>0</v>
      </c>
      <c r="N316" s="615">
        <v>1044.9429709090912</v>
      </c>
      <c r="O316" s="615">
        <v>337.76764233856375</v>
      </c>
      <c r="P316" s="615">
        <v>300.62583057764351</v>
      </c>
      <c r="Q316" s="615">
        <v>27.696767252553528</v>
      </c>
      <c r="R316" s="615">
        <v>-8.0638482428952756</v>
      </c>
      <c r="S316" s="615">
        <v>-2.579088015535528</v>
      </c>
      <c r="T316" s="615">
        <v>128.43983591306872</v>
      </c>
      <c r="U316" s="615">
        <v>20.654107927982594</v>
      </c>
      <c r="V316" s="615">
        <v>-91.157732438582798</v>
      </c>
      <c r="W316" s="615">
        <v>0</v>
      </c>
      <c r="X316" s="615">
        <v>-0.45605370393256905</v>
      </c>
      <c r="Y316" s="615">
        <v>2108.1502765285304</v>
      </c>
      <c r="Z316" s="51"/>
      <c r="AA316" s="51"/>
      <c r="AB316" s="51"/>
    </row>
    <row r="317" spans="1:28" x14ac:dyDescent="0.25">
      <c r="A317" s="51"/>
      <c r="B317" s="51"/>
      <c r="C317" s="51"/>
      <c r="D317" s="51"/>
      <c r="E317" s="51"/>
      <c r="F317" s="51"/>
      <c r="G317" s="616"/>
      <c r="H317" s="617">
        <v>0</v>
      </c>
      <c r="I317" s="617">
        <v>0</v>
      </c>
      <c r="J317" s="617">
        <v>0</v>
      </c>
      <c r="K317" s="617">
        <v>0</v>
      </c>
      <c r="L317" s="623">
        <v>0</v>
      </c>
      <c r="M317" s="617">
        <v>0</v>
      </c>
      <c r="N317" s="617">
        <v>0</v>
      </c>
      <c r="O317" s="617">
        <v>0</v>
      </c>
      <c r="P317" s="617">
        <v>0</v>
      </c>
      <c r="Q317" s="617">
        <v>0</v>
      </c>
      <c r="R317" s="617">
        <v>0</v>
      </c>
      <c r="S317" s="617">
        <v>0</v>
      </c>
      <c r="T317" s="617">
        <v>0</v>
      </c>
      <c r="U317" s="617">
        <v>0</v>
      </c>
      <c r="V317" s="617">
        <v>0</v>
      </c>
      <c r="W317" s="617">
        <v>0</v>
      </c>
      <c r="X317" s="617">
        <v>0</v>
      </c>
      <c r="Y317" s="617">
        <v>0</v>
      </c>
      <c r="Z317" s="51"/>
      <c r="AA317" s="51"/>
      <c r="AB317" s="51"/>
    </row>
    <row r="318" spans="1:28" x14ac:dyDescent="0.25">
      <c r="A318" s="51" t="e">
        <f>A316+2</f>
        <v>#REF!</v>
      </c>
      <c r="B318" s="51">
        <f>B316</f>
        <v>2038</v>
      </c>
      <c r="C318" s="51" t="str">
        <f>C316</f>
        <v>AMS</v>
      </c>
      <c r="D318" s="51" t="s">
        <v>494</v>
      </c>
      <c r="E318" s="51" t="e">
        <f>VLOOKUP($H$6,#REF!,2,FALSE)</f>
        <v>#REF!</v>
      </c>
      <c r="F318" s="51"/>
      <c r="G318" s="618" t="s">
        <v>67</v>
      </c>
      <c r="H318" s="611">
        <v>0</v>
      </c>
      <c r="I318" s="611">
        <v>0</v>
      </c>
      <c r="J318" s="611">
        <v>0</v>
      </c>
      <c r="K318" s="611">
        <v>0</v>
      </c>
      <c r="L318" s="611">
        <v>0</v>
      </c>
      <c r="M318" s="611">
        <v>0</v>
      </c>
      <c r="N318" s="611">
        <v>0</v>
      </c>
      <c r="O318" s="611">
        <v>0</v>
      </c>
      <c r="P318" s="611">
        <v>0</v>
      </c>
      <c r="Q318" s="611">
        <v>0</v>
      </c>
      <c r="R318" s="611">
        <v>0</v>
      </c>
      <c r="S318" s="611">
        <v>0</v>
      </c>
      <c r="T318" s="611">
        <v>0</v>
      </c>
      <c r="U318" s="611">
        <v>0</v>
      </c>
      <c r="V318" s="611">
        <v>0</v>
      </c>
      <c r="W318" s="611">
        <v>0</v>
      </c>
      <c r="X318" s="611">
        <v>0</v>
      </c>
      <c r="Y318" s="619">
        <v>0</v>
      </c>
      <c r="Z318" s="51"/>
      <c r="AA318" s="51"/>
      <c r="AB318" s="51"/>
    </row>
    <row r="319" spans="1:28" x14ac:dyDescent="0.25">
      <c r="A319" s="51" t="e">
        <f t="shared" ref="A319:A330" si="44">A318+1</f>
        <v>#REF!</v>
      </c>
      <c r="B319" s="51">
        <f t="shared" ref="B319:C330" si="45">B318</f>
        <v>2038</v>
      </c>
      <c r="C319" s="51" t="str">
        <f t="shared" si="45"/>
        <v>AMS</v>
      </c>
      <c r="D319" s="51" t="s">
        <v>495</v>
      </c>
      <c r="E319" s="51" t="e">
        <f>VLOOKUP($H$6,#REF!,2,FALSE)</f>
        <v>#REF!</v>
      </c>
      <c r="F319" s="51"/>
      <c r="G319" s="618" t="s">
        <v>347</v>
      </c>
      <c r="H319" s="611">
        <v>0</v>
      </c>
      <c r="I319" s="611">
        <v>0</v>
      </c>
      <c r="J319" s="611">
        <v>0.36057808628354604</v>
      </c>
      <c r="K319" s="611">
        <v>0</v>
      </c>
      <c r="L319" s="611">
        <v>8.1731938492631571</v>
      </c>
      <c r="M319" s="611">
        <v>0</v>
      </c>
      <c r="N319" s="611">
        <v>1044.9429709090912</v>
      </c>
      <c r="O319" s="611">
        <v>337.76764233856375</v>
      </c>
      <c r="P319" s="611">
        <v>24.329285035479781</v>
      </c>
      <c r="Q319" s="611">
        <v>10.889043532649588</v>
      </c>
      <c r="R319" s="611">
        <v>5.3878161949008447</v>
      </c>
      <c r="S319" s="611">
        <v>2.156867305661093</v>
      </c>
      <c r="T319" s="611">
        <v>0</v>
      </c>
      <c r="U319" s="611">
        <v>4.9774137725284184</v>
      </c>
      <c r="V319" s="611">
        <v>-707.90222245283019</v>
      </c>
      <c r="W319" s="611">
        <v>0</v>
      </c>
      <c r="X319" s="611">
        <v>2.1049473729599999</v>
      </c>
      <c r="Y319" s="619">
        <v>733.18753594455109</v>
      </c>
      <c r="Z319" s="51"/>
      <c r="AA319" s="51"/>
      <c r="AB319" s="51"/>
    </row>
    <row r="320" spans="1:28" x14ac:dyDescent="0.25">
      <c r="A320" s="51" t="e">
        <f t="shared" si="44"/>
        <v>#REF!</v>
      </c>
      <c r="B320" s="51">
        <f t="shared" si="45"/>
        <v>2038</v>
      </c>
      <c r="C320" s="51" t="str">
        <f t="shared" si="45"/>
        <v>AMS</v>
      </c>
      <c r="D320" s="51" t="s">
        <v>496</v>
      </c>
      <c r="E320" s="51" t="e">
        <f>VLOOKUP($H$6,#REF!,2,FALSE)</f>
        <v>#REF!</v>
      </c>
      <c r="F320" s="51"/>
      <c r="G320" s="618" t="s">
        <v>348</v>
      </c>
      <c r="H320" s="611">
        <v>0</v>
      </c>
      <c r="I320" s="611">
        <v>0</v>
      </c>
      <c r="J320" s="611">
        <v>0</v>
      </c>
      <c r="K320" s="611">
        <v>0</v>
      </c>
      <c r="L320" s="611">
        <v>9.2764090353058375</v>
      </c>
      <c r="M320" s="611">
        <v>0</v>
      </c>
      <c r="N320" s="611">
        <v>0</v>
      </c>
      <c r="O320" s="611">
        <v>0</v>
      </c>
      <c r="P320" s="611">
        <v>35.764224717869801</v>
      </c>
      <c r="Q320" s="611">
        <v>14.37233701187753</v>
      </c>
      <c r="R320" s="611">
        <v>0</v>
      </c>
      <c r="S320" s="611">
        <v>5.4622758911360467</v>
      </c>
      <c r="T320" s="611">
        <v>0</v>
      </c>
      <c r="U320" s="611">
        <v>10.952590418500169</v>
      </c>
      <c r="V320" s="611">
        <v>0</v>
      </c>
      <c r="W320" s="611">
        <v>-70.157887736076944</v>
      </c>
      <c r="X320" s="611">
        <v>0</v>
      </c>
      <c r="Y320" s="619">
        <v>5.6699493386124447</v>
      </c>
      <c r="Z320" s="51"/>
      <c r="AA320" s="51"/>
      <c r="AB320" s="51"/>
    </row>
    <row r="321" spans="1:28" x14ac:dyDescent="0.25">
      <c r="A321" s="51" t="e">
        <f t="shared" si="44"/>
        <v>#REF!</v>
      </c>
      <c r="B321" s="51">
        <f t="shared" si="45"/>
        <v>2038</v>
      </c>
      <c r="C321" s="51" t="str">
        <f t="shared" si="45"/>
        <v>AMS</v>
      </c>
      <c r="D321" s="51" t="s">
        <v>497</v>
      </c>
      <c r="E321" s="51" t="e">
        <f>VLOOKUP($H$6,#REF!,2,FALSE)</f>
        <v>#REF!</v>
      </c>
      <c r="F321" s="51"/>
      <c r="G321" s="618" t="s">
        <v>349</v>
      </c>
      <c r="H321" s="611">
        <v>0</v>
      </c>
      <c r="I321" s="611">
        <v>0</v>
      </c>
      <c r="J321" s="611">
        <v>0</v>
      </c>
      <c r="K321" s="611">
        <v>0</v>
      </c>
      <c r="L321" s="611">
        <v>0</v>
      </c>
      <c r="M321" s="611">
        <v>0</v>
      </c>
      <c r="N321" s="611">
        <v>0</v>
      </c>
      <c r="O321" s="611">
        <v>0</v>
      </c>
      <c r="P321" s="611">
        <v>74.596330146789299</v>
      </c>
      <c r="Q321" s="611">
        <v>0</v>
      </c>
      <c r="R321" s="611">
        <v>0</v>
      </c>
      <c r="S321" s="611">
        <v>-68.378931392842205</v>
      </c>
      <c r="T321" s="611">
        <v>0</v>
      </c>
      <c r="U321" s="611">
        <v>0</v>
      </c>
      <c r="V321" s="611">
        <v>0</v>
      </c>
      <c r="W321" s="611">
        <v>0</v>
      </c>
      <c r="X321" s="611">
        <v>0</v>
      </c>
      <c r="Y321" s="619">
        <v>6.2173987539470943</v>
      </c>
      <c r="Z321" s="51"/>
      <c r="AA321" s="51"/>
      <c r="AB321" s="51"/>
    </row>
    <row r="322" spans="1:28" x14ac:dyDescent="0.25">
      <c r="A322" s="51" t="e">
        <f t="shared" si="44"/>
        <v>#REF!</v>
      </c>
      <c r="B322" s="51">
        <f t="shared" si="45"/>
        <v>2038</v>
      </c>
      <c r="C322" s="51" t="str">
        <f t="shared" si="45"/>
        <v>AMS</v>
      </c>
      <c r="D322" s="51" t="s">
        <v>498</v>
      </c>
      <c r="E322" s="51" t="e">
        <f>VLOOKUP($H$6,#REF!,2,FALSE)</f>
        <v>#REF!</v>
      </c>
      <c r="F322" s="51"/>
      <c r="G322" s="618" t="s">
        <v>350</v>
      </c>
      <c r="H322" s="611">
        <v>0</v>
      </c>
      <c r="I322" s="611">
        <v>0</v>
      </c>
      <c r="J322" s="611">
        <v>0</v>
      </c>
      <c r="K322" s="611">
        <v>0</v>
      </c>
      <c r="L322" s="611">
        <v>0</v>
      </c>
      <c r="M322" s="611">
        <v>0</v>
      </c>
      <c r="N322" s="611">
        <v>0</v>
      </c>
      <c r="O322" s="611">
        <v>0</v>
      </c>
      <c r="P322" s="611">
        <v>0</v>
      </c>
      <c r="Q322" s="611">
        <v>0</v>
      </c>
      <c r="R322" s="611">
        <v>0</v>
      </c>
      <c r="S322" s="611">
        <v>0</v>
      </c>
      <c r="T322" s="611">
        <v>0</v>
      </c>
      <c r="U322" s="611">
        <v>0</v>
      </c>
      <c r="V322" s="611">
        <v>0</v>
      </c>
      <c r="W322" s="611">
        <v>0</v>
      </c>
      <c r="X322" s="611">
        <v>0</v>
      </c>
      <c r="Y322" s="619">
        <v>0</v>
      </c>
      <c r="Z322" s="51"/>
      <c r="AA322" s="51"/>
      <c r="AB322" s="51"/>
    </row>
    <row r="323" spans="1:28" x14ac:dyDescent="0.25">
      <c r="A323" s="51" t="e">
        <f t="shared" si="44"/>
        <v>#REF!</v>
      </c>
      <c r="B323" s="51">
        <f t="shared" si="45"/>
        <v>2038</v>
      </c>
      <c r="C323" s="51" t="str">
        <f t="shared" si="45"/>
        <v>AMS</v>
      </c>
      <c r="D323" s="51" t="s">
        <v>499</v>
      </c>
      <c r="E323" s="51" t="e">
        <f>VLOOKUP($H$6,#REF!,2,FALSE)</f>
        <v>#REF!</v>
      </c>
      <c r="F323" s="51"/>
      <c r="G323" s="618" t="s">
        <v>72</v>
      </c>
      <c r="H323" s="611">
        <v>0</v>
      </c>
      <c r="I323" s="611">
        <v>309.28389692910912</v>
      </c>
      <c r="J323" s="611">
        <v>-306.20133621434456</v>
      </c>
      <c r="K323" s="611">
        <v>0</v>
      </c>
      <c r="L323" s="611">
        <v>0</v>
      </c>
      <c r="M323" s="611">
        <v>0</v>
      </c>
      <c r="N323" s="611">
        <v>0</v>
      </c>
      <c r="O323" s="611">
        <v>0</v>
      </c>
      <c r="P323" s="611">
        <v>0</v>
      </c>
      <c r="Q323" s="611">
        <v>0</v>
      </c>
      <c r="R323" s="611">
        <v>0</v>
      </c>
      <c r="S323" s="611">
        <v>0</v>
      </c>
      <c r="T323" s="611">
        <v>0</v>
      </c>
      <c r="U323" s="611">
        <v>0</v>
      </c>
      <c r="V323" s="611">
        <v>0</v>
      </c>
      <c r="W323" s="611">
        <v>0</v>
      </c>
      <c r="X323" s="611">
        <v>0</v>
      </c>
      <c r="Y323" s="619">
        <v>3.0825607147645133</v>
      </c>
      <c r="Z323" s="51"/>
      <c r="AA323" s="51"/>
      <c r="AB323" s="51"/>
    </row>
    <row r="324" spans="1:28" x14ac:dyDescent="0.25">
      <c r="A324" s="51" t="e">
        <f t="shared" si="44"/>
        <v>#REF!</v>
      </c>
      <c r="B324" s="51">
        <f t="shared" si="45"/>
        <v>2038</v>
      </c>
      <c r="C324" s="51" t="str">
        <f t="shared" si="45"/>
        <v>AMS</v>
      </c>
      <c r="D324" s="51" t="s">
        <v>500</v>
      </c>
      <c r="E324" s="51" t="e">
        <f>VLOOKUP($H$6,#REF!,2,FALSE)</f>
        <v>#REF!</v>
      </c>
      <c r="F324" s="51"/>
      <c r="G324" s="618" t="s">
        <v>351</v>
      </c>
      <c r="H324" s="611">
        <v>0</v>
      </c>
      <c r="I324" s="611">
        <v>0</v>
      </c>
      <c r="J324" s="611">
        <v>0</v>
      </c>
      <c r="K324" s="611">
        <v>0</v>
      </c>
      <c r="L324" s="611">
        <v>0</v>
      </c>
      <c r="M324" s="611">
        <v>0</v>
      </c>
      <c r="N324" s="611">
        <v>0</v>
      </c>
      <c r="O324" s="611">
        <v>0</v>
      </c>
      <c r="P324" s="611">
        <v>106.10331078427467</v>
      </c>
      <c r="Q324" s="611">
        <v>0</v>
      </c>
      <c r="R324" s="611">
        <v>-106.10331078427467</v>
      </c>
      <c r="S324" s="611">
        <v>0</v>
      </c>
      <c r="T324" s="611">
        <v>0</v>
      </c>
      <c r="U324" s="611">
        <v>0</v>
      </c>
      <c r="V324" s="611">
        <v>0</v>
      </c>
      <c r="W324" s="611">
        <v>0</v>
      </c>
      <c r="X324" s="611">
        <v>0</v>
      </c>
      <c r="Y324" s="619">
        <v>0</v>
      </c>
      <c r="Z324" s="51"/>
      <c r="AA324" s="51"/>
      <c r="AB324" s="51"/>
    </row>
    <row r="325" spans="1:28" x14ac:dyDescent="0.25">
      <c r="A325" s="51" t="e">
        <f t="shared" si="44"/>
        <v>#REF!</v>
      </c>
      <c r="B325" s="51">
        <f t="shared" si="45"/>
        <v>2038</v>
      </c>
      <c r="C325" s="51" t="str">
        <f t="shared" si="45"/>
        <v>AMS</v>
      </c>
      <c r="D325" s="51" t="s">
        <v>501</v>
      </c>
      <c r="E325" s="51" t="e">
        <f>VLOOKUP($H$6,#REF!,2,FALSE)</f>
        <v>#REF!</v>
      </c>
      <c r="F325" s="51"/>
      <c r="G325" s="618" t="s">
        <v>352</v>
      </c>
      <c r="H325" s="611">
        <v>0</v>
      </c>
      <c r="I325" s="611">
        <v>0</v>
      </c>
      <c r="J325" s="611">
        <v>0</v>
      </c>
      <c r="K325" s="611">
        <v>-16.310777823492739</v>
      </c>
      <c r="L325" s="611">
        <v>0</v>
      </c>
      <c r="M325" s="611">
        <v>0</v>
      </c>
      <c r="N325" s="611">
        <v>0</v>
      </c>
      <c r="O325" s="611">
        <v>0</v>
      </c>
      <c r="P325" s="611">
        <v>0</v>
      </c>
      <c r="Q325" s="611">
        <v>0</v>
      </c>
      <c r="R325" s="611">
        <v>0</v>
      </c>
      <c r="S325" s="611">
        <v>0</v>
      </c>
      <c r="T325" s="611">
        <v>0</v>
      </c>
      <c r="U325" s="611">
        <v>0</v>
      </c>
      <c r="V325" s="611">
        <v>0</v>
      </c>
      <c r="W325" s="611">
        <v>0</v>
      </c>
      <c r="X325" s="611">
        <v>22.716960756953675</v>
      </c>
      <c r="Y325" s="619">
        <v>6.4061829334609364</v>
      </c>
      <c r="Z325" s="51"/>
      <c r="AA325" s="51"/>
      <c r="AB325" s="51"/>
    </row>
    <row r="326" spans="1:28" x14ac:dyDescent="0.25">
      <c r="A326" s="51" t="e">
        <f t="shared" si="44"/>
        <v>#REF!</v>
      </c>
      <c r="B326" s="51">
        <f t="shared" si="45"/>
        <v>2038</v>
      </c>
      <c r="C326" s="51" t="str">
        <f t="shared" si="45"/>
        <v>AMS</v>
      </c>
      <c r="D326" s="51" t="s">
        <v>502</v>
      </c>
      <c r="E326" s="51" t="e">
        <f>VLOOKUP($H$6,#REF!,2,FALSE)</f>
        <v>#REF!</v>
      </c>
      <c r="F326" s="51"/>
      <c r="G326" s="618" t="s">
        <v>73</v>
      </c>
      <c r="H326" s="611">
        <v>0</v>
      </c>
      <c r="I326" s="611">
        <v>0</v>
      </c>
      <c r="J326" s="611">
        <v>0</v>
      </c>
      <c r="K326" s="611">
        <v>0</v>
      </c>
      <c r="L326" s="611">
        <v>0</v>
      </c>
      <c r="M326" s="611">
        <v>0</v>
      </c>
      <c r="N326" s="611">
        <v>0</v>
      </c>
      <c r="O326" s="611">
        <v>0</v>
      </c>
      <c r="P326" s="611">
        <v>0</v>
      </c>
      <c r="Q326" s="611">
        <v>0</v>
      </c>
      <c r="R326" s="611">
        <v>0</v>
      </c>
      <c r="S326" s="611">
        <v>0</v>
      </c>
      <c r="T326" s="611">
        <v>0</v>
      </c>
      <c r="U326" s="611">
        <v>0</v>
      </c>
      <c r="V326" s="611">
        <v>81.021305902580409</v>
      </c>
      <c r="W326" s="611">
        <v>0</v>
      </c>
      <c r="X326" s="611">
        <v>-54.932445401949522</v>
      </c>
      <c r="Y326" s="619">
        <v>26.088860500630886</v>
      </c>
      <c r="Z326" s="51"/>
      <c r="AA326" s="51"/>
      <c r="AB326" s="51"/>
    </row>
    <row r="327" spans="1:28" x14ac:dyDescent="0.25">
      <c r="A327" s="51" t="e">
        <f t="shared" si="44"/>
        <v>#REF!</v>
      </c>
      <c r="B327" s="51">
        <f t="shared" si="45"/>
        <v>2038</v>
      </c>
      <c r="C327" s="51" t="str">
        <f t="shared" si="45"/>
        <v>AMS</v>
      </c>
      <c r="D327" s="51" t="s">
        <v>503</v>
      </c>
      <c r="E327" s="51" t="e">
        <f>VLOOKUP($H$6,#REF!,2,FALSE)</f>
        <v>#REF!</v>
      </c>
      <c r="F327" s="51"/>
      <c r="G327" s="618" t="s">
        <v>353</v>
      </c>
      <c r="H327" s="611">
        <v>7.7637663281249996</v>
      </c>
      <c r="I327" s="611">
        <v>-10.819519335238569</v>
      </c>
      <c r="J327" s="611">
        <v>14.100311366339174</v>
      </c>
      <c r="K327" s="611">
        <v>0</v>
      </c>
      <c r="L327" s="611">
        <v>0</v>
      </c>
      <c r="M327" s="611">
        <v>0</v>
      </c>
      <c r="N327" s="611">
        <v>0</v>
      </c>
      <c r="O327" s="611">
        <v>0</v>
      </c>
      <c r="P327" s="611">
        <v>0</v>
      </c>
      <c r="Q327" s="611">
        <v>0</v>
      </c>
      <c r="R327" s="611">
        <v>0</v>
      </c>
      <c r="S327" s="611">
        <v>0</v>
      </c>
      <c r="T327" s="611">
        <v>0</v>
      </c>
      <c r="U327" s="611">
        <v>0</v>
      </c>
      <c r="V327" s="611">
        <v>0</v>
      </c>
      <c r="W327" s="611">
        <v>0</v>
      </c>
      <c r="X327" s="611">
        <v>0</v>
      </c>
      <c r="Y327" s="619">
        <v>11.044558359225604</v>
      </c>
      <c r="Z327" s="51"/>
      <c r="AA327" s="51"/>
      <c r="AB327" s="51"/>
    </row>
    <row r="328" spans="1:28" x14ac:dyDescent="0.25">
      <c r="A328" s="51" t="e">
        <f t="shared" si="44"/>
        <v>#REF!</v>
      </c>
      <c r="B328" s="51">
        <f t="shared" si="45"/>
        <v>2038</v>
      </c>
      <c r="C328" s="51" t="str">
        <f t="shared" si="45"/>
        <v>AMS</v>
      </c>
      <c r="D328" s="51" t="s">
        <v>504</v>
      </c>
      <c r="E328" s="51" t="e">
        <f>VLOOKUP($H$6,#REF!,2,FALSE)</f>
        <v>#REF!</v>
      </c>
      <c r="F328" s="51"/>
      <c r="G328" s="618" t="s">
        <v>75</v>
      </c>
      <c r="H328" s="611">
        <v>3.0192424609374999</v>
      </c>
      <c r="I328" s="611">
        <v>0</v>
      </c>
      <c r="J328" s="611">
        <v>18.191659515376916</v>
      </c>
      <c r="K328" s="611">
        <v>0</v>
      </c>
      <c r="L328" s="611">
        <v>3.2664120682994437</v>
      </c>
      <c r="M328" s="611">
        <v>0</v>
      </c>
      <c r="N328" s="611">
        <v>0</v>
      </c>
      <c r="O328" s="611">
        <v>0</v>
      </c>
      <c r="P328" s="611">
        <v>0</v>
      </c>
      <c r="Q328" s="611">
        <v>0</v>
      </c>
      <c r="R328" s="611">
        <v>0</v>
      </c>
      <c r="S328" s="611">
        <v>1.9850542794488581</v>
      </c>
      <c r="T328" s="611">
        <v>0</v>
      </c>
      <c r="U328" s="611">
        <v>0</v>
      </c>
      <c r="V328" s="611">
        <v>25.953415809095944</v>
      </c>
      <c r="W328" s="611">
        <v>0</v>
      </c>
      <c r="X328" s="611">
        <v>0</v>
      </c>
      <c r="Y328" s="619">
        <v>52.41578413315866</v>
      </c>
      <c r="Z328" s="51"/>
      <c r="AA328" s="51"/>
      <c r="AB328" s="51"/>
    </row>
    <row r="329" spans="1:28" x14ac:dyDescent="0.25">
      <c r="A329" s="51" t="e">
        <f t="shared" si="44"/>
        <v>#REF!</v>
      </c>
      <c r="B329" s="51">
        <f t="shared" si="45"/>
        <v>2038</v>
      </c>
      <c r="C329" s="51" t="str">
        <f t="shared" si="45"/>
        <v>AMS</v>
      </c>
      <c r="D329" s="51" t="s">
        <v>505</v>
      </c>
      <c r="E329" s="51" t="e">
        <f>VLOOKUP($H$6,#REF!,2,FALSE)</f>
        <v>#REF!</v>
      </c>
      <c r="F329" s="51"/>
      <c r="G329" s="618" t="s">
        <v>76</v>
      </c>
      <c r="H329" s="611">
        <v>0</v>
      </c>
      <c r="I329" s="611">
        <v>0</v>
      </c>
      <c r="J329" s="611">
        <v>0</v>
      </c>
      <c r="K329" s="611">
        <v>0</v>
      </c>
      <c r="L329" s="611">
        <v>1.3263177549814644</v>
      </c>
      <c r="M329" s="611">
        <v>0</v>
      </c>
      <c r="N329" s="611">
        <v>0</v>
      </c>
      <c r="O329" s="611">
        <v>0</v>
      </c>
      <c r="P329" s="611">
        <v>0</v>
      </c>
      <c r="Q329" s="611">
        <v>0</v>
      </c>
      <c r="R329" s="611">
        <v>0</v>
      </c>
      <c r="S329" s="611">
        <v>0.80602590254500572</v>
      </c>
      <c r="T329" s="611">
        <v>0</v>
      </c>
      <c r="U329" s="611">
        <v>0</v>
      </c>
      <c r="V329" s="611">
        <v>47.211289773023438</v>
      </c>
      <c r="W329" s="611">
        <v>5.4411740217158124</v>
      </c>
      <c r="X329" s="611">
        <v>0</v>
      </c>
      <c r="Y329" s="619">
        <v>54.784807452265724</v>
      </c>
      <c r="Z329" s="51"/>
      <c r="AA329" s="51"/>
      <c r="AB329" s="51"/>
    </row>
    <row r="330" spans="1:28" x14ac:dyDescent="0.25">
      <c r="A330" s="51" t="e">
        <f t="shared" si="44"/>
        <v>#REF!</v>
      </c>
      <c r="B330" s="51">
        <f t="shared" si="45"/>
        <v>2038</v>
      </c>
      <c r="C330" s="51" t="str">
        <f t="shared" si="45"/>
        <v>AMS</v>
      </c>
      <c r="D330" s="51" t="s">
        <v>506</v>
      </c>
      <c r="E330" s="51" t="e">
        <f>VLOOKUP($H$6,#REF!,2,FALSE)</f>
        <v>#REF!</v>
      </c>
      <c r="F330" s="51"/>
      <c r="G330" s="614" t="s">
        <v>77</v>
      </c>
      <c r="H330" s="615">
        <v>10.783008789062499</v>
      </c>
      <c r="I330" s="615">
        <v>298.46437759387055</v>
      </c>
      <c r="J330" s="615">
        <v>-273.54878724634494</v>
      </c>
      <c r="K330" s="615">
        <v>-16.310777823492739</v>
      </c>
      <c r="L330" s="622">
        <v>22.042332707849905</v>
      </c>
      <c r="M330" s="615">
        <v>0</v>
      </c>
      <c r="N330" s="615">
        <v>1044.9429709090912</v>
      </c>
      <c r="O330" s="615">
        <v>337.76764233856375</v>
      </c>
      <c r="P330" s="615">
        <v>240.79315068441355</v>
      </c>
      <c r="Q330" s="615">
        <v>25.261380544527118</v>
      </c>
      <c r="R330" s="615">
        <v>-100.71549458937382</v>
      </c>
      <c r="S330" s="615">
        <v>-57.968708014051202</v>
      </c>
      <c r="T330" s="615">
        <v>0</v>
      </c>
      <c r="U330" s="615">
        <v>15.930004191028587</v>
      </c>
      <c r="V330" s="615">
        <v>-553.71621096813044</v>
      </c>
      <c r="W330" s="615">
        <v>-64.71671371436112</v>
      </c>
      <c r="X330" s="615">
        <v>-30.110537272035849</v>
      </c>
      <c r="Y330" s="615">
        <v>898.897638130617</v>
      </c>
      <c r="Z330" s="51"/>
      <c r="AA330" s="51"/>
      <c r="AB330" s="51"/>
    </row>
    <row r="331" spans="1:28" x14ac:dyDescent="0.25">
      <c r="A331" s="51"/>
      <c r="B331" s="51"/>
      <c r="C331" s="51"/>
      <c r="D331" s="51"/>
      <c r="E331" s="51"/>
      <c r="F331" s="51"/>
      <c r="G331" s="616"/>
      <c r="H331" s="617">
        <v>0</v>
      </c>
      <c r="I331" s="617">
        <v>0</v>
      </c>
      <c r="J331" s="617">
        <v>0</v>
      </c>
      <c r="K331" s="617">
        <v>0</v>
      </c>
      <c r="L331" s="623">
        <v>0</v>
      </c>
      <c r="M331" s="617">
        <v>0</v>
      </c>
      <c r="N331" s="617">
        <v>0</v>
      </c>
      <c r="O331" s="617">
        <v>0</v>
      </c>
      <c r="P331" s="617">
        <v>0</v>
      </c>
      <c r="Q331" s="617">
        <v>0</v>
      </c>
      <c r="R331" s="617">
        <v>0</v>
      </c>
      <c r="S331" s="617">
        <v>0</v>
      </c>
      <c r="T331" s="617">
        <v>0</v>
      </c>
      <c r="U331" s="617">
        <v>0</v>
      </c>
      <c r="V331" s="617">
        <v>0</v>
      </c>
      <c r="W331" s="617">
        <v>0</v>
      </c>
      <c r="X331" s="617">
        <v>0</v>
      </c>
      <c r="Y331" s="617">
        <v>0</v>
      </c>
      <c r="Z331" s="51"/>
      <c r="AA331" s="51"/>
      <c r="AB331" s="51"/>
    </row>
    <row r="332" spans="1:28" x14ac:dyDescent="0.25">
      <c r="A332" s="51" t="e">
        <f>A330+2</f>
        <v>#REF!</v>
      </c>
      <c r="B332" s="51">
        <f>B330</f>
        <v>2038</v>
      </c>
      <c r="C332" s="51" t="str">
        <f>C310</f>
        <v>AMS</v>
      </c>
      <c r="D332" s="51" t="s">
        <v>507</v>
      </c>
      <c r="E332" s="51" t="e">
        <f>VLOOKUP($H$6,#REF!,2,FALSE)</f>
        <v>#REF!</v>
      </c>
      <c r="F332" s="51"/>
      <c r="G332" s="618" t="s">
        <v>78</v>
      </c>
      <c r="H332" s="611">
        <v>3.0761682303728053</v>
      </c>
      <c r="I332" s="611">
        <v>0</v>
      </c>
      <c r="J332" s="611">
        <v>6.6351508306047968</v>
      </c>
      <c r="K332" s="611">
        <v>0</v>
      </c>
      <c r="L332" s="611">
        <v>38.528321178569939</v>
      </c>
      <c r="M332" s="611">
        <v>0</v>
      </c>
      <c r="N332" s="611">
        <v>0</v>
      </c>
      <c r="O332" s="611">
        <v>0</v>
      </c>
      <c r="P332" s="611">
        <v>20.031105646676835</v>
      </c>
      <c r="Q332" s="611">
        <v>2.4349588281846541</v>
      </c>
      <c r="R332" s="611">
        <v>1.8349433718750003</v>
      </c>
      <c r="S332" s="611">
        <v>23.451101372697913</v>
      </c>
      <c r="T332" s="611">
        <v>6.8164926757812498</v>
      </c>
      <c r="U332" s="611">
        <v>7.4990210834655101E-4</v>
      </c>
      <c r="V332" s="611">
        <v>132.01210341841889</v>
      </c>
      <c r="W332" s="611">
        <v>18.207144124668375</v>
      </c>
      <c r="X332" s="611">
        <v>4.1350366210937501</v>
      </c>
      <c r="Y332" s="619">
        <v>257.16327620105255</v>
      </c>
      <c r="Z332" s="51"/>
      <c r="AA332" s="620" t="e" cm="1">
        <f t="array" aca="1" ref="AA332" ca="1">_xlfn.IFNA(INDEX(#REF!,MATCH(INDIRECT("Codes_bilans!"&amp;AA$1&amp;"$"&amp;$A332),#REF!,0),MATCH($B332,#REF!,0)),0)</f>
        <v>#REF!</v>
      </c>
      <c r="AB332" s="51"/>
    </row>
    <row r="333" spans="1:28" x14ac:dyDescent="0.25">
      <c r="A333" s="51" t="e">
        <f t="shared" ref="A333:A340" si="46">A332+1</f>
        <v>#REF!</v>
      </c>
      <c r="B333" s="51">
        <f t="shared" ref="B333:C340" si="47">B332</f>
        <v>2038</v>
      </c>
      <c r="C333" s="51" t="str">
        <f t="shared" si="47"/>
        <v>AMS</v>
      </c>
      <c r="D333" s="51" t="s">
        <v>508</v>
      </c>
      <c r="E333" s="51" t="e">
        <f>VLOOKUP($H$6,#REF!,2,FALSE)</f>
        <v>#REF!</v>
      </c>
      <c r="F333" s="51"/>
      <c r="G333" s="618" t="s">
        <v>79</v>
      </c>
      <c r="H333" s="611">
        <v>0</v>
      </c>
      <c r="I333" s="611">
        <v>0</v>
      </c>
      <c r="J333" s="611">
        <v>110.91379205811297</v>
      </c>
      <c r="K333" s="611">
        <v>0.7006243456433674</v>
      </c>
      <c r="L333" s="611">
        <v>3.7872267703464977</v>
      </c>
      <c r="M333" s="611">
        <v>0</v>
      </c>
      <c r="N333" s="611">
        <v>0</v>
      </c>
      <c r="O333" s="611">
        <v>0</v>
      </c>
      <c r="P333" s="611">
        <v>0</v>
      </c>
      <c r="Q333" s="611">
        <v>0</v>
      </c>
      <c r="R333" s="611">
        <v>63.547118628094331</v>
      </c>
      <c r="S333" s="611">
        <v>2.3015622495031773</v>
      </c>
      <c r="T333" s="611">
        <v>0</v>
      </c>
      <c r="U333" s="611">
        <v>0</v>
      </c>
      <c r="V333" s="611">
        <v>74.297767208409297</v>
      </c>
      <c r="W333" s="611">
        <v>0</v>
      </c>
      <c r="X333" s="611">
        <v>2.9567259991236208</v>
      </c>
      <c r="Y333" s="619">
        <v>258.50481725923328</v>
      </c>
      <c r="Z333" s="51"/>
      <c r="AA333" s="620" t="e" cm="1">
        <f t="array" aca="1" ref="AA333" ca="1">_xlfn.IFNA(INDEX(#REF!,MATCH(INDIRECT("Codes_bilans!"&amp;AA$1&amp;"$"&amp;$A333),#REF!,0),MATCH($B333,#REF!,0)),0)</f>
        <v>#REF!</v>
      </c>
      <c r="AB333" s="51"/>
    </row>
    <row r="334" spans="1:28" x14ac:dyDescent="0.25">
      <c r="A334" s="51" t="e">
        <f t="shared" si="46"/>
        <v>#REF!</v>
      </c>
      <c r="B334" s="51">
        <f t="shared" si="47"/>
        <v>2038</v>
      </c>
      <c r="C334" s="51" t="str">
        <f t="shared" si="47"/>
        <v>AMS</v>
      </c>
      <c r="D334" s="51" t="s">
        <v>509</v>
      </c>
      <c r="E334" s="51" t="e">
        <f>VLOOKUP($H$6,#REF!,2,FALSE)</f>
        <v>#REF!</v>
      </c>
      <c r="F334" s="51"/>
      <c r="G334" s="618" t="s">
        <v>80</v>
      </c>
      <c r="H334" s="611">
        <v>0</v>
      </c>
      <c r="I334" s="611">
        <v>0</v>
      </c>
      <c r="J334" s="611">
        <v>2.6564398035767778</v>
      </c>
      <c r="K334" s="611">
        <v>0</v>
      </c>
      <c r="L334" s="611">
        <v>28.69836522821614</v>
      </c>
      <c r="M334" s="611">
        <v>0</v>
      </c>
      <c r="N334" s="611">
        <v>0</v>
      </c>
      <c r="O334" s="611">
        <v>0</v>
      </c>
      <c r="P334" s="611">
        <v>35.896639108009097</v>
      </c>
      <c r="Q334" s="611">
        <v>0</v>
      </c>
      <c r="R334" s="611">
        <v>0</v>
      </c>
      <c r="S334" s="611">
        <v>17.440485621005948</v>
      </c>
      <c r="T334" s="611">
        <v>97.288022909546527</v>
      </c>
      <c r="U334" s="611">
        <v>2.574236293616976</v>
      </c>
      <c r="V334" s="611">
        <v>153.30644884049457</v>
      </c>
      <c r="W334" s="611">
        <v>27.523160685886953</v>
      </c>
      <c r="X334" s="611">
        <v>0</v>
      </c>
      <c r="Y334" s="619">
        <v>365.383798490353</v>
      </c>
      <c r="Z334" s="51"/>
      <c r="AA334" s="620" t="e" cm="1">
        <f t="array" aca="1" ref="AA334" ca="1">_xlfn.IFNA(INDEX(#REF!,MATCH(INDIRECT("Codes_bilans!"&amp;AA$1&amp;"$"&amp;$A334),#REF!,0),MATCH($B334,#REF!,0)),0)</f>
        <v>#REF!</v>
      </c>
      <c r="AB334" s="51"/>
    </row>
    <row r="335" spans="1:28" x14ac:dyDescent="0.25">
      <c r="A335" s="51" t="e">
        <f t="shared" si="46"/>
        <v>#REF!</v>
      </c>
      <c r="B335" s="51">
        <f t="shared" si="47"/>
        <v>2038</v>
      </c>
      <c r="C335" s="51" t="str">
        <f t="shared" si="47"/>
        <v>AMS</v>
      </c>
      <c r="D335" s="51" t="s">
        <v>510</v>
      </c>
      <c r="E335" s="51" t="e">
        <f>VLOOKUP($H$6,#REF!,2,FALSE)</f>
        <v>#REF!</v>
      </c>
      <c r="F335" s="51"/>
      <c r="G335" s="618" t="s">
        <v>81</v>
      </c>
      <c r="H335" s="611">
        <v>0</v>
      </c>
      <c r="I335" s="611">
        <v>0</v>
      </c>
      <c r="J335" s="611">
        <v>2.1807410006338563</v>
      </c>
      <c r="K335" s="611">
        <v>0</v>
      </c>
      <c r="L335" s="611">
        <v>15.077359159365459</v>
      </c>
      <c r="M335" s="611">
        <v>0</v>
      </c>
      <c r="N335" s="611">
        <v>0</v>
      </c>
      <c r="O335" s="611">
        <v>0</v>
      </c>
      <c r="P335" s="611">
        <v>0.41672235765550286</v>
      </c>
      <c r="Q335" s="611">
        <v>4.2787984175547016E-4</v>
      </c>
      <c r="R335" s="611">
        <v>0</v>
      </c>
      <c r="S335" s="611">
        <v>9.1627681064954078</v>
      </c>
      <c r="T335" s="611">
        <v>23.435320327740932</v>
      </c>
      <c r="U335" s="611">
        <v>0.98358432216492664</v>
      </c>
      <c r="V335" s="611">
        <v>94.082065678581444</v>
      </c>
      <c r="W335" s="611">
        <v>18.986408903805792</v>
      </c>
      <c r="X335" s="611">
        <v>0</v>
      </c>
      <c r="Y335" s="619">
        <v>164.32539773628508</v>
      </c>
      <c r="Z335" s="51"/>
      <c r="AA335" s="620" t="e" cm="1">
        <f t="array" aca="1" ref="AA335" ca="1">_xlfn.IFNA(INDEX(#REF!,MATCH(INDIRECT("Codes_bilans!"&amp;AA$1&amp;"$"&amp;$A335),#REF!,0),MATCH($B335,#REF!,0)),0)</f>
        <v>#REF!</v>
      </c>
      <c r="AB335" s="51"/>
    </row>
    <row r="336" spans="1:28" x14ac:dyDescent="0.25">
      <c r="A336" s="51" t="e">
        <f t="shared" si="46"/>
        <v>#REF!</v>
      </c>
      <c r="B336" s="51">
        <f t="shared" si="47"/>
        <v>2038</v>
      </c>
      <c r="C336" s="51" t="str">
        <f t="shared" si="47"/>
        <v>AMS</v>
      </c>
      <c r="D336" s="51" t="s">
        <v>511</v>
      </c>
      <c r="E336" s="51" t="e">
        <f>VLOOKUP($H$6,#REF!,2,FALSE)</f>
        <v>#REF!</v>
      </c>
      <c r="F336" s="51"/>
      <c r="G336" s="618" t="s">
        <v>82</v>
      </c>
      <c r="H336" s="611">
        <v>0</v>
      </c>
      <c r="I336" s="611">
        <v>0</v>
      </c>
      <c r="J336" s="611">
        <v>14.020166565992641</v>
      </c>
      <c r="K336" s="611">
        <v>0</v>
      </c>
      <c r="L336" s="611">
        <v>1.1408122878946925</v>
      </c>
      <c r="M336" s="611">
        <v>0</v>
      </c>
      <c r="N336" s="611">
        <v>0</v>
      </c>
      <c r="O336" s="611">
        <v>0</v>
      </c>
      <c r="P336" s="611">
        <v>3.1334095930613137</v>
      </c>
      <c r="Q336" s="611">
        <v>0</v>
      </c>
      <c r="R336" s="611">
        <v>12.27694106679661</v>
      </c>
      <c r="S336" s="611">
        <v>0.69329106884918612</v>
      </c>
      <c r="T336" s="611">
        <v>0.9</v>
      </c>
      <c r="U336" s="611">
        <v>1.1655332190637568</v>
      </c>
      <c r="V336" s="611">
        <v>7.7417893836432903</v>
      </c>
      <c r="W336" s="611">
        <v>0</v>
      </c>
      <c r="X336" s="611">
        <v>0.29485655237537339</v>
      </c>
      <c r="Y336" s="619">
        <v>41.36679973767685</v>
      </c>
      <c r="Z336" s="51"/>
      <c r="AA336" s="620" t="e" cm="1">
        <f t="array" aca="1" ref="AA336" ca="1">_xlfn.IFNA(INDEX(#REF!,MATCH(INDIRECT("Codes_bilans!"&amp;AA$1&amp;"$"&amp;$A336),#REF!,0),MATCH($B336,#REF!,0)),0)</f>
        <v>#REF!</v>
      </c>
      <c r="AB336" s="51"/>
    </row>
    <row r="337" spans="1:28" x14ac:dyDescent="0.25">
      <c r="A337" s="51" t="e">
        <f t="shared" si="46"/>
        <v>#REF!</v>
      </c>
      <c r="B337" s="51">
        <f t="shared" si="47"/>
        <v>2038</v>
      </c>
      <c r="C337" s="51" t="str">
        <f t="shared" si="47"/>
        <v>AMS</v>
      </c>
      <c r="D337" s="51" t="s">
        <v>512</v>
      </c>
      <c r="E337" s="51" t="e">
        <f>VLOOKUP($H$6,#REF!,2,FALSE)</f>
        <v>#REF!</v>
      </c>
      <c r="F337" s="51"/>
      <c r="G337" s="618" t="s">
        <v>354</v>
      </c>
      <c r="H337" s="611">
        <v>0</v>
      </c>
      <c r="I337" s="611">
        <v>0</v>
      </c>
      <c r="J337" s="611">
        <v>0</v>
      </c>
      <c r="K337" s="611">
        <v>0</v>
      </c>
      <c r="L337" s="611">
        <v>0</v>
      </c>
      <c r="M337" s="611">
        <v>0</v>
      </c>
      <c r="N337" s="611">
        <v>0</v>
      </c>
      <c r="O337" s="611">
        <v>0</v>
      </c>
      <c r="P337" s="611">
        <v>0</v>
      </c>
      <c r="Q337" s="611">
        <v>0</v>
      </c>
      <c r="R337" s="611">
        <v>0</v>
      </c>
      <c r="S337" s="611">
        <v>0</v>
      </c>
      <c r="T337" s="611">
        <v>0</v>
      </c>
      <c r="U337" s="611">
        <v>0</v>
      </c>
      <c r="V337" s="611">
        <v>1.118304</v>
      </c>
      <c r="W337" s="611">
        <v>0</v>
      </c>
      <c r="X337" s="611">
        <v>0</v>
      </c>
      <c r="Y337" s="619">
        <v>1.118304</v>
      </c>
      <c r="Z337" s="51"/>
      <c r="AA337" s="620" t="e" cm="1">
        <f t="array" aca="1" ref="AA337" ca="1">_xlfn.IFNA(INDEX(#REF!,MATCH(INDIRECT("Codes_bilans!"&amp;AA$1&amp;"$"&amp;$A337),#REF!,0),MATCH($B337,#REF!,0)),0)</f>
        <v>#REF!</v>
      </c>
      <c r="AB337" s="51"/>
    </row>
    <row r="338" spans="1:28" x14ac:dyDescent="0.25">
      <c r="A338" s="51" t="e">
        <f t="shared" si="46"/>
        <v>#REF!</v>
      </c>
      <c r="B338" s="51">
        <f t="shared" si="47"/>
        <v>2038</v>
      </c>
      <c r="C338" s="51" t="str">
        <f t="shared" si="47"/>
        <v>AMS</v>
      </c>
      <c r="D338" s="51" t="s">
        <v>513</v>
      </c>
      <c r="E338" s="51" t="e">
        <f>VLOOKUP($H$6,#REF!,2,FALSE)</f>
        <v>#REF!</v>
      </c>
      <c r="F338" s="51"/>
      <c r="G338" s="614" t="s">
        <v>83</v>
      </c>
      <c r="H338" s="615">
        <v>3.0761682303728053</v>
      </c>
      <c r="I338" s="615">
        <v>0</v>
      </c>
      <c r="J338" s="615">
        <v>136.40629025892105</v>
      </c>
      <c r="K338" s="615">
        <v>0.7006243456433674</v>
      </c>
      <c r="L338" s="622">
        <v>87.232084624392726</v>
      </c>
      <c r="M338" s="615">
        <v>0</v>
      </c>
      <c r="N338" s="615">
        <v>0</v>
      </c>
      <c r="O338" s="615">
        <v>0</v>
      </c>
      <c r="P338" s="615">
        <v>59.47787670540275</v>
      </c>
      <c r="Q338" s="615">
        <v>2.4353867080264098</v>
      </c>
      <c r="R338" s="615">
        <v>77.659003066765948</v>
      </c>
      <c r="S338" s="615">
        <v>53.049208418551629</v>
      </c>
      <c r="T338" s="615">
        <v>128.43983591306872</v>
      </c>
      <c r="U338" s="615">
        <v>4.7241037369540066</v>
      </c>
      <c r="V338" s="615">
        <v>462.55847852954759</v>
      </c>
      <c r="W338" s="615">
        <v>64.71671371436112</v>
      </c>
      <c r="X338" s="615">
        <v>7.3866191725927441</v>
      </c>
      <c r="Y338" s="615">
        <v>1087.8623934246009</v>
      </c>
      <c r="Z338" s="51"/>
      <c r="AA338" s="51"/>
      <c r="AB338" s="51"/>
    </row>
    <row r="339" spans="1:28" x14ac:dyDescent="0.25">
      <c r="A339" s="51" t="e">
        <f t="shared" si="46"/>
        <v>#REF!</v>
      </c>
      <c r="B339" s="51">
        <f t="shared" si="47"/>
        <v>2038</v>
      </c>
      <c r="C339" s="51" t="str">
        <f t="shared" si="47"/>
        <v>AMS</v>
      </c>
      <c r="D339" s="51" t="s">
        <v>514</v>
      </c>
      <c r="E339" s="51" t="e">
        <f>VLOOKUP($H$6,#REF!,2,FALSE)</f>
        <v>#REF!</v>
      </c>
      <c r="F339" s="51"/>
      <c r="G339" s="610" t="s">
        <v>84</v>
      </c>
      <c r="H339" s="611">
        <v>0</v>
      </c>
      <c r="I339" s="611">
        <v>0</v>
      </c>
      <c r="J339" s="611">
        <v>69.168370305615824</v>
      </c>
      <c r="K339" s="611">
        <v>4.7904890791412402</v>
      </c>
      <c r="L339" s="611">
        <v>7.4756631455411453</v>
      </c>
      <c r="M339" s="611">
        <v>0</v>
      </c>
      <c r="N339" s="611">
        <v>0</v>
      </c>
      <c r="O339" s="611">
        <v>0</v>
      </c>
      <c r="P339" s="611">
        <v>0.35480318782723769</v>
      </c>
      <c r="Q339" s="611">
        <v>0</v>
      </c>
      <c r="R339" s="611">
        <v>14.992643279712595</v>
      </c>
      <c r="S339" s="611">
        <v>2.3404115799640408</v>
      </c>
      <c r="T339" s="611">
        <v>0</v>
      </c>
      <c r="U339" s="611">
        <v>0</v>
      </c>
      <c r="V339" s="611">
        <v>0</v>
      </c>
      <c r="W339" s="611">
        <v>0</v>
      </c>
      <c r="X339" s="611">
        <v>22.267864395510532</v>
      </c>
      <c r="Y339" s="619">
        <v>121.39024497331262</v>
      </c>
      <c r="Z339" s="51"/>
      <c r="AA339" s="620" t="e" cm="1">
        <f t="array" aca="1" ref="AA339" ca="1">_xlfn.IFNA(INDEX(#REF!,MATCH(INDIRECT("Codes_bilans!"&amp;AA$1&amp;"$"&amp;$A339),#REF!,0),MATCH($B339,#REF!,0)),0)</f>
        <v>#REF!</v>
      </c>
      <c r="AB339" s="51"/>
    </row>
    <row r="340" spans="1:28" x14ac:dyDescent="0.25">
      <c r="A340" s="51" t="e">
        <f t="shared" si="46"/>
        <v>#REF!</v>
      </c>
      <c r="B340" s="51">
        <f t="shared" si="47"/>
        <v>2038</v>
      </c>
      <c r="C340" s="51" t="str">
        <f t="shared" si="47"/>
        <v>AMS</v>
      </c>
      <c r="D340" s="51" t="s">
        <v>515</v>
      </c>
      <c r="E340" s="51" t="e">
        <f>VLOOKUP($H$6,#REF!,2,FALSE)</f>
        <v>#REF!</v>
      </c>
      <c r="F340" s="51"/>
      <c r="G340" s="614" t="s">
        <v>85</v>
      </c>
      <c r="H340" s="615">
        <v>3.0761682303728053</v>
      </c>
      <c r="I340" s="615">
        <v>0</v>
      </c>
      <c r="J340" s="615">
        <v>205.57466056453688</v>
      </c>
      <c r="K340" s="615">
        <v>5.4911134247846078</v>
      </c>
      <c r="L340" s="622">
        <v>94.707747769933874</v>
      </c>
      <c r="M340" s="615">
        <v>0</v>
      </c>
      <c r="N340" s="615">
        <v>0</v>
      </c>
      <c r="O340" s="615">
        <v>0</v>
      </c>
      <c r="P340" s="615">
        <v>59.832679893229987</v>
      </c>
      <c r="Q340" s="615">
        <v>2.4353867080264098</v>
      </c>
      <c r="R340" s="615">
        <v>92.651646346478543</v>
      </c>
      <c r="S340" s="615">
        <v>55.38961999851567</v>
      </c>
      <c r="T340" s="615">
        <v>128.43983591306872</v>
      </c>
      <c r="U340" s="615">
        <v>4.7241037369540066</v>
      </c>
      <c r="V340" s="615">
        <v>462.55847852954759</v>
      </c>
      <c r="W340" s="615">
        <v>64.71671371436112</v>
      </c>
      <c r="X340" s="615">
        <v>29.654483568103277</v>
      </c>
      <c r="Y340" s="615">
        <v>1209.2526383979134</v>
      </c>
      <c r="Z340" s="51"/>
      <c r="AA340" s="51"/>
      <c r="AB340" s="51"/>
    </row>
    <row r="341" spans="1:28" x14ac:dyDescent="0.25">
      <c r="A341" s="51"/>
      <c r="B341" s="51"/>
      <c r="C341" s="51"/>
      <c r="D341" s="51"/>
      <c r="E341" s="51"/>
      <c r="F341" s="51"/>
      <c r="G341" s="51"/>
      <c r="H341" s="67">
        <v>0</v>
      </c>
      <c r="I341" s="67">
        <v>0</v>
      </c>
      <c r="J341" s="67">
        <v>0</v>
      </c>
      <c r="K341" s="67">
        <v>0</v>
      </c>
      <c r="L341" s="67">
        <v>0</v>
      </c>
      <c r="M341" s="67">
        <v>0</v>
      </c>
      <c r="N341" s="67">
        <v>0</v>
      </c>
      <c r="O341" s="67">
        <v>0</v>
      </c>
      <c r="P341" s="67">
        <v>0</v>
      </c>
      <c r="Q341" s="67">
        <v>0</v>
      </c>
      <c r="R341" s="67">
        <v>0</v>
      </c>
      <c r="S341" s="67">
        <v>-4.4408920985006262E-15</v>
      </c>
      <c r="T341" s="67">
        <v>0</v>
      </c>
      <c r="U341" s="67">
        <v>0</v>
      </c>
      <c r="V341" s="67">
        <v>0</v>
      </c>
      <c r="W341" s="67">
        <v>0</v>
      </c>
      <c r="X341" s="67">
        <v>-2.55351295663786E-15</v>
      </c>
      <c r="Y341" s="67">
        <v>0</v>
      </c>
      <c r="Z341" s="51"/>
      <c r="AA341" s="51"/>
      <c r="AB341" s="51"/>
    </row>
    <row r="342" spans="1:28" x14ac:dyDescent="0.25">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row>
    <row r="343" spans="1:28" x14ac:dyDescent="0.25">
      <c r="A343" s="606"/>
      <c r="B343" s="606"/>
      <c r="C343" s="606"/>
      <c r="D343" s="606"/>
      <c r="E343" s="606"/>
      <c r="F343" s="606"/>
      <c r="G343" s="607" t="s">
        <v>360</v>
      </c>
      <c r="H343" s="606"/>
      <c r="I343" s="606"/>
      <c r="J343" s="606"/>
      <c r="K343" s="606"/>
      <c r="L343" s="606"/>
      <c r="M343" s="606"/>
      <c r="N343" s="606"/>
      <c r="O343" s="606"/>
      <c r="P343" s="606"/>
      <c r="Q343" s="606"/>
      <c r="R343" s="606"/>
      <c r="S343" s="606"/>
      <c r="T343" s="606"/>
      <c r="U343" s="606"/>
      <c r="V343" s="606"/>
      <c r="W343" s="606"/>
      <c r="X343" s="606"/>
      <c r="Y343" s="606"/>
      <c r="Z343" s="606"/>
      <c r="AA343" s="606"/>
      <c r="AB343" s="606"/>
    </row>
    <row r="344" spans="1:28" x14ac:dyDescent="0.25">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row>
    <row r="345" spans="1:28" ht="14.25" customHeight="1" x14ac:dyDescent="0.25">
      <c r="A345" s="51"/>
      <c r="B345" s="51"/>
      <c r="C345" s="51"/>
      <c r="D345" s="51"/>
      <c r="E345" s="51"/>
      <c r="F345" s="51"/>
      <c r="G345" s="764" t="s">
        <v>128</v>
      </c>
      <c r="H345" s="753" t="s">
        <v>42</v>
      </c>
      <c r="I345" s="753" t="s">
        <v>52</v>
      </c>
      <c r="J345" s="753" t="s">
        <v>53</v>
      </c>
      <c r="K345" s="753" t="s">
        <v>482</v>
      </c>
      <c r="L345" s="753" t="s">
        <v>32</v>
      </c>
      <c r="M345" s="753" t="s">
        <v>483</v>
      </c>
      <c r="N345" s="753" t="s">
        <v>20</v>
      </c>
      <c r="O345" s="753" t="s">
        <v>55</v>
      </c>
      <c r="P345" s="761" t="s">
        <v>56</v>
      </c>
      <c r="Q345" s="762"/>
      <c r="R345" s="762"/>
      <c r="S345" s="762"/>
      <c r="T345" s="762"/>
      <c r="U345" s="763"/>
      <c r="V345" s="753" t="s">
        <v>57</v>
      </c>
      <c r="W345" s="753" t="s">
        <v>58</v>
      </c>
      <c r="X345" s="753" t="s">
        <v>31</v>
      </c>
      <c r="Y345" s="753" t="s">
        <v>10</v>
      </c>
      <c r="Z345" s="51"/>
      <c r="AA345" s="51"/>
      <c r="AB345" s="51"/>
    </row>
    <row r="346" spans="1:28" ht="24" x14ac:dyDescent="0.25">
      <c r="A346" s="51"/>
      <c r="B346" s="51"/>
      <c r="C346" s="51"/>
      <c r="D346" s="51" t="s">
        <v>486</v>
      </c>
      <c r="E346" s="51"/>
      <c r="F346" s="51"/>
      <c r="G346" s="765"/>
      <c r="H346" s="754"/>
      <c r="I346" s="754"/>
      <c r="J346" s="754"/>
      <c r="K346" s="754"/>
      <c r="L346" s="754"/>
      <c r="M346" s="754"/>
      <c r="N346" s="754"/>
      <c r="O346" s="754"/>
      <c r="P346" s="608" t="s">
        <v>335</v>
      </c>
      <c r="Q346" s="608" t="s">
        <v>40</v>
      </c>
      <c r="R346" s="608" t="s">
        <v>343</v>
      </c>
      <c r="S346" s="608" t="s">
        <v>344</v>
      </c>
      <c r="T346" s="609" t="s">
        <v>345</v>
      </c>
      <c r="U346" s="608" t="s">
        <v>346</v>
      </c>
      <c r="V346" s="754"/>
      <c r="W346" s="754"/>
      <c r="X346" s="754"/>
      <c r="Y346" s="754"/>
      <c r="Z346" s="51"/>
      <c r="AA346" s="51"/>
      <c r="AB346" s="51"/>
    </row>
    <row r="347" spans="1:28" x14ac:dyDescent="0.25">
      <c r="A347" s="51" t="e">
        <f>A310</f>
        <v>#REF!</v>
      </c>
      <c r="B347" s="51">
        <v>2040</v>
      </c>
      <c r="C347" s="51" t="s">
        <v>47</v>
      </c>
      <c r="D347" s="51" t="s">
        <v>487</v>
      </c>
      <c r="E347" s="51" t="e">
        <f>VLOOKUP($H$6,#REF!,2,FALSE)</f>
        <v>#REF!</v>
      </c>
      <c r="F347" s="51"/>
      <c r="G347" s="610" t="s">
        <v>59</v>
      </c>
      <c r="H347" s="611">
        <v>0</v>
      </c>
      <c r="I347" s="611">
        <v>0</v>
      </c>
      <c r="J347" s="611">
        <v>0</v>
      </c>
      <c r="K347" s="611">
        <v>0</v>
      </c>
      <c r="L347" s="611">
        <v>0</v>
      </c>
      <c r="M347" s="611">
        <v>0</v>
      </c>
      <c r="N347" s="612">
        <v>1059.5259818181821</v>
      </c>
      <c r="O347" s="612">
        <v>373.50050326164637</v>
      </c>
      <c r="P347" s="612">
        <v>308.68390930092909</v>
      </c>
      <c r="Q347" s="612">
        <v>27.928901501759359</v>
      </c>
      <c r="R347" s="611">
        <v>1.5769202529293118</v>
      </c>
      <c r="S347" s="611">
        <v>0.16705675062100381</v>
      </c>
      <c r="T347" s="612">
        <v>137.63232647396575</v>
      </c>
      <c r="U347" s="612">
        <v>22.505061443653027</v>
      </c>
      <c r="V347" s="611">
        <v>0</v>
      </c>
      <c r="W347" s="611">
        <v>0</v>
      </c>
      <c r="X347" s="611">
        <v>0</v>
      </c>
      <c r="Y347" s="613">
        <v>1931.5206608036858</v>
      </c>
      <c r="Z347" s="51"/>
      <c r="AA347" s="51"/>
      <c r="AB347" s="51"/>
    </row>
    <row r="348" spans="1:28" x14ac:dyDescent="0.25">
      <c r="A348" s="51" t="e">
        <f t="shared" ref="A348:A353" si="48">A347+1</f>
        <v>#REF!</v>
      </c>
      <c r="B348" s="51">
        <f t="shared" ref="B348:C353" si="49">B347</f>
        <v>2040</v>
      </c>
      <c r="C348" s="51" t="str">
        <f t="shared" si="49"/>
        <v>AMS</v>
      </c>
      <c r="D348" s="51" t="s">
        <v>488</v>
      </c>
      <c r="E348" s="51" t="e">
        <f>VLOOKUP($H$6,#REF!,2,FALSE)</f>
        <v>#REF!</v>
      </c>
      <c r="F348" s="51"/>
      <c r="G348" s="610" t="s">
        <v>60</v>
      </c>
      <c r="H348" s="611">
        <v>12.402103294712147</v>
      </c>
      <c r="I348" s="611">
        <v>267.59952869557856</v>
      </c>
      <c r="J348" s="611">
        <v>4.6624671135986846</v>
      </c>
      <c r="K348" s="611">
        <v>0</v>
      </c>
      <c r="L348" s="611">
        <v>96.906903053247049</v>
      </c>
      <c r="M348" s="611">
        <v>0</v>
      </c>
      <c r="N348" s="611">
        <v>0</v>
      </c>
      <c r="O348" s="611">
        <v>0</v>
      </c>
      <c r="P348" s="611">
        <v>4.1311012816916577</v>
      </c>
      <c r="Q348" s="611">
        <v>0</v>
      </c>
      <c r="R348" s="611">
        <v>4.3268221557656901</v>
      </c>
      <c r="S348" s="611">
        <v>0</v>
      </c>
      <c r="T348" s="611">
        <v>0</v>
      </c>
      <c r="U348" s="611">
        <v>0</v>
      </c>
      <c r="V348" s="611">
        <v>0</v>
      </c>
      <c r="W348" s="611">
        <v>0</v>
      </c>
      <c r="X348" s="611">
        <v>0</v>
      </c>
      <c r="Y348" s="613">
        <v>390.02892559459383</v>
      </c>
      <c r="Z348" s="51"/>
      <c r="AA348" s="51"/>
      <c r="AB348" s="51"/>
    </row>
    <row r="349" spans="1:28" x14ac:dyDescent="0.25">
      <c r="A349" s="51" t="e">
        <f t="shared" si="48"/>
        <v>#REF!</v>
      </c>
      <c r="B349" s="51">
        <f t="shared" si="49"/>
        <v>2040</v>
      </c>
      <c r="C349" s="51" t="str">
        <f t="shared" si="49"/>
        <v>AMS</v>
      </c>
      <c r="D349" s="51" t="s">
        <v>489</v>
      </c>
      <c r="E349" s="51" t="e">
        <f>VLOOKUP($H$6,#REF!,2,FALSE)</f>
        <v>#REF!</v>
      </c>
      <c r="F349" s="51"/>
      <c r="G349" s="610" t="s">
        <v>61</v>
      </c>
      <c r="H349" s="611">
        <v>0</v>
      </c>
      <c r="I349" s="611">
        <v>0</v>
      </c>
      <c r="J349" s="611">
        <v>-47.188845188250653</v>
      </c>
      <c r="K349" s="611">
        <v>-1.6129016816918558</v>
      </c>
      <c r="L349" s="611">
        <v>0</v>
      </c>
      <c r="M349" s="611">
        <v>0</v>
      </c>
      <c r="N349" s="611">
        <v>0</v>
      </c>
      <c r="O349" s="611">
        <v>0</v>
      </c>
      <c r="P349" s="611">
        <v>0</v>
      </c>
      <c r="Q349" s="611">
        <v>0</v>
      </c>
      <c r="R349" s="611">
        <v>0</v>
      </c>
      <c r="S349" s="611">
        <v>0</v>
      </c>
      <c r="T349" s="611">
        <v>0</v>
      </c>
      <c r="U349" s="611">
        <v>0</v>
      </c>
      <c r="V349" s="611">
        <v>-102.26809350991959</v>
      </c>
      <c r="W349" s="611">
        <v>0</v>
      </c>
      <c r="X349" s="611">
        <v>0</v>
      </c>
      <c r="Y349" s="613">
        <v>-151.06984037986211</v>
      </c>
      <c r="Z349" s="51"/>
      <c r="AA349" s="51"/>
      <c r="AB349" s="51"/>
    </row>
    <row r="350" spans="1:28" x14ac:dyDescent="0.25">
      <c r="A350" s="51" t="e">
        <f t="shared" si="48"/>
        <v>#REF!</v>
      </c>
      <c r="B350" s="51">
        <f t="shared" si="49"/>
        <v>2040</v>
      </c>
      <c r="C350" s="51" t="str">
        <f t="shared" si="49"/>
        <v>AMS</v>
      </c>
      <c r="D350" s="51" t="s">
        <v>490</v>
      </c>
      <c r="E350" s="51" t="e">
        <f>VLOOKUP($H$6,#REF!,2,FALSE)</f>
        <v>#REF!</v>
      </c>
      <c r="F350" s="51"/>
      <c r="G350" s="610" t="s">
        <v>62</v>
      </c>
      <c r="H350" s="611">
        <v>0</v>
      </c>
      <c r="I350" s="611">
        <v>0</v>
      </c>
      <c r="J350" s="611">
        <v>-9.1118704229779723</v>
      </c>
      <c r="K350" s="611">
        <v>-2.3970976911906821</v>
      </c>
      <c r="L350" s="611">
        <v>-2.3731267142787753</v>
      </c>
      <c r="M350" s="611">
        <v>0</v>
      </c>
      <c r="N350" s="611">
        <v>0</v>
      </c>
      <c r="O350" s="611">
        <v>0</v>
      </c>
      <c r="P350" s="611">
        <v>0</v>
      </c>
      <c r="Q350" s="611">
        <v>0</v>
      </c>
      <c r="R350" s="611">
        <v>-0.47941953823813638</v>
      </c>
      <c r="S350" s="611">
        <v>-1.9416491298644523</v>
      </c>
      <c r="T350" s="611">
        <v>0</v>
      </c>
      <c r="U350" s="611">
        <v>0</v>
      </c>
      <c r="V350" s="611">
        <v>0</v>
      </c>
      <c r="W350" s="611">
        <v>0</v>
      </c>
      <c r="X350" s="611">
        <v>0</v>
      </c>
      <c r="Y350" s="613">
        <v>-16.30316349655002</v>
      </c>
      <c r="Z350" s="51"/>
      <c r="AA350" s="51"/>
      <c r="AB350" s="51"/>
    </row>
    <row r="351" spans="1:28" x14ac:dyDescent="0.25">
      <c r="A351" s="51" t="e">
        <f t="shared" si="48"/>
        <v>#REF!</v>
      </c>
      <c r="B351" s="51">
        <f t="shared" si="49"/>
        <v>2040</v>
      </c>
      <c r="C351" s="51" t="str">
        <f t="shared" si="49"/>
        <v>AMS</v>
      </c>
      <c r="D351" s="51" t="s">
        <v>491</v>
      </c>
      <c r="E351" s="51" t="e">
        <f>VLOOKUP($H$6,#REF!,2,FALSE)</f>
        <v>#REF!</v>
      </c>
      <c r="F351" s="51"/>
      <c r="G351" s="610" t="s">
        <v>63</v>
      </c>
      <c r="H351" s="611">
        <v>0</v>
      </c>
      <c r="I351" s="611">
        <v>0</v>
      </c>
      <c r="J351" s="611">
        <v>-46.962205061788246</v>
      </c>
      <c r="K351" s="611">
        <v>-11.133901046695911</v>
      </c>
      <c r="L351" s="611">
        <v>0</v>
      </c>
      <c r="M351" s="611">
        <v>0</v>
      </c>
      <c r="N351" s="611">
        <v>0</v>
      </c>
      <c r="O351" s="611">
        <v>0</v>
      </c>
      <c r="P351" s="611">
        <v>0</v>
      </c>
      <c r="Q351" s="611">
        <v>0</v>
      </c>
      <c r="R351" s="611">
        <v>-14.072022489882162</v>
      </c>
      <c r="S351" s="611">
        <v>0</v>
      </c>
      <c r="T351" s="611">
        <v>0</v>
      </c>
      <c r="U351" s="611">
        <v>0</v>
      </c>
      <c r="V351" s="611">
        <v>0</v>
      </c>
      <c r="W351" s="611">
        <v>0</v>
      </c>
      <c r="X351" s="611">
        <v>-0.66460812232862176</v>
      </c>
      <c r="Y351" s="613">
        <v>-72.832736720694939</v>
      </c>
      <c r="Z351" s="51"/>
      <c r="AA351" s="51"/>
      <c r="AB351" s="51"/>
    </row>
    <row r="352" spans="1:28" x14ac:dyDescent="0.25">
      <c r="A352" s="51" t="e">
        <f t="shared" si="48"/>
        <v>#REF!</v>
      </c>
      <c r="B352" s="51">
        <f t="shared" si="49"/>
        <v>2040</v>
      </c>
      <c r="C352" s="51" t="str">
        <f t="shared" si="49"/>
        <v>AMS</v>
      </c>
      <c r="D352" s="51" t="s">
        <v>492</v>
      </c>
      <c r="E352" s="51" t="e">
        <f>VLOOKUP($H$6,#REF!,2,FALSE)</f>
        <v>#REF!</v>
      </c>
      <c r="F352" s="51"/>
      <c r="G352" s="610" t="s">
        <v>64</v>
      </c>
      <c r="H352" s="611">
        <v>0</v>
      </c>
      <c r="I352" s="611">
        <v>0</v>
      </c>
      <c r="J352" s="611">
        <v>0</v>
      </c>
      <c r="K352" s="611">
        <v>0</v>
      </c>
      <c r="L352" s="611">
        <v>0</v>
      </c>
      <c r="M352" s="611">
        <v>0</v>
      </c>
      <c r="N352" s="611">
        <v>0</v>
      </c>
      <c r="O352" s="611">
        <v>0</v>
      </c>
      <c r="P352" s="611">
        <v>0</v>
      </c>
      <c r="Q352" s="611">
        <v>0</v>
      </c>
      <c r="R352" s="611">
        <v>0</v>
      </c>
      <c r="S352" s="611">
        <v>0</v>
      </c>
      <c r="T352" s="611">
        <v>0</v>
      </c>
      <c r="U352" s="611">
        <v>0</v>
      </c>
      <c r="V352" s="611">
        <v>0</v>
      </c>
      <c r="W352" s="611">
        <v>0</v>
      </c>
      <c r="X352" s="611">
        <v>0</v>
      </c>
      <c r="Y352" s="613">
        <v>0</v>
      </c>
      <c r="Z352" s="51"/>
      <c r="AA352" s="51"/>
      <c r="AB352" s="51"/>
    </row>
    <row r="353" spans="1:28" x14ac:dyDescent="0.25">
      <c r="A353" s="51" t="e">
        <f t="shared" si="48"/>
        <v>#REF!</v>
      </c>
      <c r="B353" s="51">
        <f t="shared" si="49"/>
        <v>2040</v>
      </c>
      <c r="C353" s="51" t="str">
        <f t="shared" si="49"/>
        <v>AMS</v>
      </c>
      <c r="D353" s="51" t="s">
        <v>493</v>
      </c>
      <c r="E353" s="51" t="e">
        <f>VLOOKUP($H$6,#REF!,2,FALSE)</f>
        <v>#REF!</v>
      </c>
      <c r="F353" s="51"/>
      <c r="G353" s="614" t="s">
        <v>65</v>
      </c>
      <c r="H353" s="615">
        <v>12.402103294712147</v>
      </c>
      <c r="I353" s="615">
        <v>267.59952869557856</v>
      </c>
      <c r="J353" s="615">
        <v>-98.600453559418185</v>
      </c>
      <c r="K353" s="615">
        <v>-15.143900419578449</v>
      </c>
      <c r="L353" s="622">
        <v>94.533776338968281</v>
      </c>
      <c r="M353" s="615">
        <v>0</v>
      </c>
      <c r="N353" s="615">
        <v>1059.5259818181821</v>
      </c>
      <c r="O353" s="615">
        <v>373.50050326164637</v>
      </c>
      <c r="P353" s="615">
        <v>312.81501058262074</v>
      </c>
      <c r="Q353" s="615">
        <v>27.928901501759359</v>
      </c>
      <c r="R353" s="615">
        <v>-8.647699619425298</v>
      </c>
      <c r="S353" s="615">
        <v>-1.7745923792434484</v>
      </c>
      <c r="T353" s="615">
        <v>137.63232647396575</v>
      </c>
      <c r="U353" s="615">
        <v>22.505061443653027</v>
      </c>
      <c r="V353" s="615">
        <v>-102.26809350991959</v>
      </c>
      <c r="W353" s="615">
        <v>0</v>
      </c>
      <c r="X353" s="615">
        <v>-0.66460812232862176</v>
      </c>
      <c r="Y353" s="615">
        <v>2081.3438458011728</v>
      </c>
      <c r="Z353" s="51"/>
      <c r="AA353" s="51"/>
      <c r="AB353" s="51"/>
    </row>
    <row r="354" spans="1:28" x14ac:dyDescent="0.25">
      <c r="A354" s="51"/>
      <c r="B354" s="51"/>
      <c r="C354" s="51"/>
      <c r="D354" s="51"/>
      <c r="E354" s="51"/>
      <c r="F354" s="51"/>
      <c r="G354" s="616"/>
      <c r="H354" s="617">
        <v>0</v>
      </c>
      <c r="I354" s="617">
        <v>0</v>
      </c>
      <c r="J354" s="617">
        <v>0</v>
      </c>
      <c r="K354" s="617">
        <v>0</v>
      </c>
      <c r="L354" s="623">
        <v>0</v>
      </c>
      <c r="M354" s="617">
        <v>0</v>
      </c>
      <c r="N354" s="617">
        <v>0</v>
      </c>
      <c r="O354" s="617">
        <v>0</v>
      </c>
      <c r="P354" s="617">
        <v>0</v>
      </c>
      <c r="Q354" s="617">
        <v>0</v>
      </c>
      <c r="R354" s="617">
        <v>0</v>
      </c>
      <c r="S354" s="617">
        <v>0</v>
      </c>
      <c r="T354" s="617">
        <v>0</v>
      </c>
      <c r="U354" s="617">
        <v>0</v>
      </c>
      <c r="V354" s="617">
        <v>0</v>
      </c>
      <c r="W354" s="617">
        <v>0</v>
      </c>
      <c r="X354" s="617">
        <v>0</v>
      </c>
      <c r="Y354" s="617">
        <v>0</v>
      </c>
      <c r="Z354" s="51"/>
      <c r="AA354" s="51"/>
      <c r="AB354" s="51"/>
    </row>
    <row r="355" spans="1:28" x14ac:dyDescent="0.25">
      <c r="A355" s="51" t="e">
        <f>A353+2</f>
        <v>#REF!</v>
      </c>
      <c r="B355" s="51">
        <f>B353</f>
        <v>2040</v>
      </c>
      <c r="C355" s="51" t="str">
        <f>C353</f>
        <v>AMS</v>
      </c>
      <c r="D355" s="51" t="s">
        <v>494</v>
      </c>
      <c r="E355" s="51" t="e">
        <f>VLOOKUP($H$6,#REF!,2,FALSE)</f>
        <v>#REF!</v>
      </c>
      <c r="F355" s="51"/>
      <c r="G355" s="618" t="s">
        <v>67</v>
      </c>
      <c r="H355" s="611">
        <v>0</v>
      </c>
      <c r="I355" s="611">
        <v>0</v>
      </c>
      <c r="J355" s="611">
        <v>0</v>
      </c>
      <c r="K355" s="611">
        <v>0</v>
      </c>
      <c r="L355" s="611">
        <v>0</v>
      </c>
      <c r="M355" s="611">
        <v>0</v>
      </c>
      <c r="N355" s="611">
        <v>0</v>
      </c>
      <c r="O355" s="611">
        <v>0</v>
      </c>
      <c r="P355" s="611">
        <v>0</v>
      </c>
      <c r="Q355" s="611">
        <v>0</v>
      </c>
      <c r="R355" s="611">
        <v>0</v>
      </c>
      <c r="S355" s="611">
        <v>0</v>
      </c>
      <c r="T355" s="611">
        <v>0</v>
      </c>
      <c r="U355" s="611">
        <v>0</v>
      </c>
      <c r="V355" s="611">
        <v>0</v>
      </c>
      <c r="W355" s="611">
        <v>0</v>
      </c>
      <c r="X355" s="611">
        <v>0</v>
      </c>
      <c r="Y355" s="619">
        <v>0</v>
      </c>
      <c r="Z355" s="51"/>
      <c r="AA355" s="51"/>
      <c r="AB355" s="51"/>
    </row>
    <row r="356" spans="1:28" x14ac:dyDescent="0.25">
      <c r="A356" s="51" t="e">
        <f t="shared" ref="A356:A367" si="50">A355+1</f>
        <v>#REF!</v>
      </c>
      <c r="B356" s="51">
        <f t="shared" ref="B356:C367" si="51">B355</f>
        <v>2040</v>
      </c>
      <c r="C356" s="51" t="str">
        <f t="shared" si="51"/>
        <v>AMS</v>
      </c>
      <c r="D356" s="51" t="s">
        <v>495</v>
      </c>
      <c r="E356" s="51" t="e">
        <f>VLOOKUP($H$6,#REF!,2,FALSE)</f>
        <v>#REF!</v>
      </c>
      <c r="F356" s="51"/>
      <c r="G356" s="618" t="s">
        <v>347</v>
      </c>
      <c r="H356" s="611">
        <v>0</v>
      </c>
      <c r="I356" s="611">
        <v>0</v>
      </c>
      <c r="J356" s="611">
        <v>6.6151953400033478E-2</v>
      </c>
      <c r="K356" s="611">
        <v>0</v>
      </c>
      <c r="L356" s="611">
        <v>5.9573752653913026</v>
      </c>
      <c r="M356" s="611">
        <v>0</v>
      </c>
      <c r="N356" s="611">
        <v>1059.5259818181821</v>
      </c>
      <c r="O356" s="611">
        <v>373.50050326164637</v>
      </c>
      <c r="P356" s="611">
        <v>22.475624345096286</v>
      </c>
      <c r="Q356" s="611">
        <v>11.159861245247702</v>
      </c>
      <c r="R356" s="611">
        <v>5.6269378379330357</v>
      </c>
      <c r="S356" s="611">
        <v>1.6032439655997406</v>
      </c>
      <c r="T356" s="611">
        <v>0</v>
      </c>
      <c r="U356" s="611">
        <v>6.4327567473291545</v>
      </c>
      <c r="V356" s="611">
        <v>-747.34925184145163</v>
      </c>
      <c r="W356" s="611">
        <v>0</v>
      </c>
      <c r="X356" s="611">
        <v>3.5082456216</v>
      </c>
      <c r="Y356" s="619">
        <v>742.50743021997425</v>
      </c>
      <c r="Z356" s="51"/>
      <c r="AA356" s="51"/>
      <c r="AB356" s="51"/>
    </row>
    <row r="357" spans="1:28" x14ac:dyDescent="0.25">
      <c r="A357" s="51" t="e">
        <f t="shared" si="50"/>
        <v>#REF!</v>
      </c>
      <c r="B357" s="51">
        <f t="shared" si="51"/>
        <v>2040</v>
      </c>
      <c r="C357" s="51" t="str">
        <f t="shared" si="51"/>
        <v>AMS</v>
      </c>
      <c r="D357" s="51" t="s">
        <v>496</v>
      </c>
      <c r="E357" s="51" t="e">
        <f>VLOOKUP($H$6,#REF!,2,FALSE)</f>
        <v>#REF!</v>
      </c>
      <c r="F357" s="51"/>
      <c r="G357" s="618" t="s">
        <v>348</v>
      </c>
      <c r="H357" s="611">
        <v>0</v>
      </c>
      <c r="I357" s="611">
        <v>0</v>
      </c>
      <c r="J357" s="611">
        <v>0</v>
      </c>
      <c r="K357" s="611">
        <v>0</v>
      </c>
      <c r="L357" s="611">
        <v>7.4585129183309293</v>
      </c>
      <c r="M357" s="611">
        <v>0</v>
      </c>
      <c r="N357" s="611">
        <v>0</v>
      </c>
      <c r="O357" s="611">
        <v>0</v>
      </c>
      <c r="P357" s="611">
        <v>35.547730315639996</v>
      </c>
      <c r="Q357" s="611">
        <v>14.387113593265058</v>
      </c>
      <c r="R357" s="611">
        <v>0</v>
      </c>
      <c r="S357" s="611">
        <v>6.1169134542385972</v>
      </c>
      <c r="T357" s="611">
        <v>0</v>
      </c>
      <c r="U357" s="611">
        <v>11.02899005085181</v>
      </c>
      <c r="V357" s="611">
        <v>0</v>
      </c>
      <c r="W357" s="611">
        <v>-69.303608577230833</v>
      </c>
      <c r="X357" s="611">
        <v>0</v>
      </c>
      <c r="Y357" s="619">
        <v>5.235651755095569</v>
      </c>
      <c r="Z357" s="51"/>
      <c r="AA357" s="51"/>
      <c r="AB357" s="51"/>
    </row>
    <row r="358" spans="1:28" x14ac:dyDescent="0.25">
      <c r="A358" s="51" t="e">
        <f t="shared" si="50"/>
        <v>#REF!</v>
      </c>
      <c r="B358" s="51">
        <f t="shared" si="51"/>
        <v>2040</v>
      </c>
      <c r="C358" s="51" t="str">
        <f t="shared" si="51"/>
        <v>AMS</v>
      </c>
      <c r="D358" s="51" t="s">
        <v>497</v>
      </c>
      <c r="E358" s="51" t="e">
        <f>VLOOKUP($H$6,#REF!,2,FALSE)</f>
        <v>#REF!</v>
      </c>
      <c r="F358" s="51"/>
      <c r="G358" s="618" t="s">
        <v>349</v>
      </c>
      <c r="H358" s="611">
        <v>0</v>
      </c>
      <c r="I358" s="611">
        <v>0</v>
      </c>
      <c r="J358" s="611">
        <v>0</v>
      </c>
      <c r="K358" s="611">
        <v>0</v>
      </c>
      <c r="L358" s="611">
        <v>0</v>
      </c>
      <c r="M358" s="611">
        <v>0</v>
      </c>
      <c r="N358" s="611">
        <v>0</v>
      </c>
      <c r="O358" s="611">
        <v>0</v>
      </c>
      <c r="P358" s="611">
        <v>79.130835516272214</v>
      </c>
      <c r="Q358" s="611">
        <v>0</v>
      </c>
      <c r="R358" s="611">
        <v>0</v>
      </c>
      <c r="S358" s="611">
        <v>-73.108654994289637</v>
      </c>
      <c r="T358" s="611">
        <v>0</v>
      </c>
      <c r="U358" s="611">
        <v>0</v>
      </c>
      <c r="V358" s="611">
        <v>0</v>
      </c>
      <c r="W358" s="611">
        <v>0</v>
      </c>
      <c r="X358" s="611">
        <v>0</v>
      </c>
      <c r="Y358" s="619">
        <v>6.0221805219825768</v>
      </c>
      <c r="Z358" s="51"/>
      <c r="AA358" s="51"/>
      <c r="AB358" s="51"/>
    </row>
    <row r="359" spans="1:28" x14ac:dyDescent="0.25">
      <c r="A359" s="51" t="e">
        <f t="shared" si="50"/>
        <v>#REF!</v>
      </c>
      <c r="B359" s="51">
        <f t="shared" si="51"/>
        <v>2040</v>
      </c>
      <c r="C359" s="51" t="str">
        <f t="shared" si="51"/>
        <v>AMS</v>
      </c>
      <c r="D359" s="51" t="s">
        <v>498</v>
      </c>
      <c r="E359" s="51" t="e">
        <f>VLOOKUP($H$6,#REF!,2,FALSE)</f>
        <v>#REF!</v>
      </c>
      <c r="F359" s="51"/>
      <c r="G359" s="618" t="s">
        <v>350</v>
      </c>
      <c r="H359" s="611">
        <v>0</v>
      </c>
      <c r="I359" s="611">
        <v>0</v>
      </c>
      <c r="J359" s="611">
        <v>0</v>
      </c>
      <c r="K359" s="611">
        <v>0</v>
      </c>
      <c r="L359" s="611">
        <v>0</v>
      </c>
      <c r="M359" s="611">
        <v>0</v>
      </c>
      <c r="N359" s="611">
        <v>0</v>
      </c>
      <c r="O359" s="611">
        <v>0</v>
      </c>
      <c r="P359" s="611">
        <v>0</v>
      </c>
      <c r="Q359" s="611">
        <v>0</v>
      </c>
      <c r="R359" s="611">
        <v>0</v>
      </c>
      <c r="S359" s="611">
        <v>0</v>
      </c>
      <c r="T359" s="611">
        <v>0</v>
      </c>
      <c r="U359" s="611">
        <v>0</v>
      </c>
      <c r="V359" s="611">
        <v>0</v>
      </c>
      <c r="W359" s="611">
        <v>0</v>
      </c>
      <c r="X359" s="611">
        <v>0</v>
      </c>
      <c r="Y359" s="619">
        <v>0</v>
      </c>
      <c r="Z359" s="51"/>
      <c r="AA359" s="51"/>
      <c r="AB359" s="51"/>
    </row>
    <row r="360" spans="1:28" x14ac:dyDescent="0.25">
      <c r="A360" s="51" t="e">
        <f t="shared" si="50"/>
        <v>#REF!</v>
      </c>
      <c r="B360" s="51">
        <f t="shared" si="51"/>
        <v>2040</v>
      </c>
      <c r="C360" s="51" t="str">
        <f t="shared" si="51"/>
        <v>AMS</v>
      </c>
      <c r="D360" s="51" t="s">
        <v>499</v>
      </c>
      <c r="E360" s="51" t="e">
        <f>VLOOKUP($H$6,#REF!,2,FALSE)</f>
        <v>#REF!</v>
      </c>
      <c r="F360" s="51"/>
      <c r="G360" s="618" t="s">
        <v>72</v>
      </c>
      <c r="H360" s="611">
        <v>0</v>
      </c>
      <c r="I360" s="611">
        <v>277.28994248668886</v>
      </c>
      <c r="J360" s="611">
        <v>-274.5252708068171</v>
      </c>
      <c r="K360" s="611">
        <v>0</v>
      </c>
      <c r="L360" s="611">
        <v>0</v>
      </c>
      <c r="M360" s="611">
        <v>0</v>
      </c>
      <c r="N360" s="611">
        <v>0</v>
      </c>
      <c r="O360" s="611">
        <v>0</v>
      </c>
      <c r="P360" s="611">
        <v>0</v>
      </c>
      <c r="Q360" s="611">
        <v>0</v>
      </c>
      <c r="R360" s="611">
        <v>0</v>
      </c>
      <c r="S360" s="611">
        <v>0</v>
      </c>
      <c r="T360" s="611">
        <v>0</v>
      </c>
      <c r="U360" s="611">
        <v>0</v>
      </c>
      <c r="V360" s="611">
        <v>0</v>
      </c>
      <c r="W360" s="611">
        <v>0</v>
      </c>
      <c r="X360" s="611">
        <v>0</v>
      </c>
      <c r="Y360" s="619">
        <v>2.7646716798717357</v>
      </c>
      <c r="Z360" s="51"/>
      <c r="AA360" s="51"/>
      <c r="AB360" s="51"/>
    </row>
    <row r="361" spans="1:28" x14ac:dyDescent="0.25">
      <c r="A361" s="51" t="e">
        <f t="shared" si="50"/>
        <v>#REF!</v>
      </c>
      <c r="B361" s="51">
        <f t="shared" si="51"/>
        <v>2040</v>
      </c>
      <c r="C361" s="51" t="str">
        <f t="shared" si="51"/>
        <v>AMS</v>
      </c>
      <c r="D361" s="51" t="s">
        <v>500</v>
      </c>
      <c r="E361" s="51" t="e">
        <f>VLOOKUP($H$6,#REF!,2,FALSE)</f>
        <v>#REF!</v>
      </c>
      <c r="F361" s="51"/>
      <c r="G361" s="618" t="s">
        <v>351</v>
      </c>
      <c r="H361" s="611">
        <v>0</v>
      </c>
      <c r="I361" s="611">
        <v>0</v>
      </c>
      <c r="J361" s="611">
        <v>0</v>
      </c>
      <c r="K361" s="611">
        <v>0</v>
      </c>
      <c r="L361" s="611">
        <v>0</v>
      </c>
      <c r="M361" s="611">
        <v>0</v>
      </c>
      <c r="N361" s="611">
        <v>0</v>
      </c>
      <c r="O361" s="611">
        <v>0</v>
      </c>
      <c r="P361" s="611">
        <v>117.50933865541684</v>
      </c>
      <c r="Q361" s="611">
        <v>0</v>
      </c>
      <c r="R361" s="611">
        <v>-117.50933865541684</v>
      </c>
      <c r="S361" s="611">
        <v>0</v>
      </c>
      <c r="T361" s="611">
        <v>0</v>
      </c>
      <c r="U361" s="611">
        <v>0</v>
      </c>
      <c r="V361" s="611">
        <v>0</v>
      </c>
      <c r="W361" s="611">
        <v>0</v>
      </c>
      <c r="X361" s="611">
        <v>0</v>
      </c>
      <c r="Y361" s="619">
        <v>0</v>
      </c>
      <c r="Z361" s="51"/>
      <c r="AA361" s="51"/>
      <c r="AB361" s="51"/>
    </row>
    <row r="362" spans="1:28" x14ac:dyDescent="0.25">
      <c r="A362" s="51" t="e">
        <f t="shared" si="50"/>
        <v>#REF!</v>
      </c>
      <c r="B362" s="51">
        <f t="shared" si="51"/>
        <v>2040</v>
      </c>
      <c r="C362" s="51" t="str">
        <f t="shared" si="51"/>
        <v>AMS</v>
      </c>
      <c r="D362" s="51" t="s">
        <v>501</v>
      </c>
      <c r="E362" s="51" t="e">
        <f>VLOOKUP($H$6,#REF!,2,FALSE)</f>
        <v>#REF!</v>
      </c>
      <c r="F362" s="51"/>
      <c r="G362" s="618" t="s">
        <v>352</v>
      </c>
      <c r="H362" s="611">
        <v>0</v>
      </c>
      <c r="I362" s="611">
        <v>0</v>
      </c>
      <c r="J362" s="611">
        <v>0</v>
      </c>
      <c r="K362" s="611">
        <v>-21.910962558722186</v>
      </c>
      <c r="L362" s="611">
        <v>0</v>
      </c>
      <c r="M362" s="611">
        <v>0</v>
      </c>
      <c r="N362" s="611">
        <v>0</v>
      </c>
      <c r="O362" s="611">
        <v>0</v>
      </c>
      <c r="P362" s="611">
        <v>0</v>
      </c>
      <c r="Q362" s="611">
        <v>0</v>
      </c>
      <c r="R362" s="611">
        <v>0</v>
      </c>
      <c r="S362" s="611">
        <v>0</v>
      </c>
      <c r="T362" s="611">
        <v>0</v>
      </c>
      <c r="U362" s="611">
        <v>0</v>
      </c>
      <c r="V362" s="611">
        <v>0</v>
      </c>
      <c r="W362" s="611">
        <v>0</v>
      </c>
      <c r="X362" s="611">
        <v>30.516660945295527</v>
      </c>
      <c r="Y362" s="619">
        <v>8.6056983865733407</v>
      </c>
      <c r="Z362" s="51"/>
      <c r="AA362" s="51"/>
      <c r="AB362" s="51"/>
    </row>
    <row r="363" spans="1:28" x14ac:dyDescent="0.25">
      <c r="A363" s="51" t="e">
        <f t="shared" si="50"/>
        <v>#REF!</v>
      </c>
      <c r="B363" s="51">
        <f t="shared" si="51"/>
        <v>2040</v>
      </c>
      <c r="C363" s="51" t="str">
        <f t="shared" si="51"/>
        <v>AMS</v>
      </c>
      <c r="D363" s="51" t="s">
        <v>502</v>
      </c>
      <c r="E363" s="51" t="e">
        <f>VLOOKUP($H$6,#REF!,2,FALSE)</f>
        <v>#REF!</v>
      </c>
      <c r="F363" s="51"/>
      <c r="G363" s="618" t="s">
        <v>73</v>
      </c>
      <c r="H363" s="611">
        <v>0</v>
      </c>
      <c r="I363" s="611">
        <v>0</v>
      </c>
      <c r="J363" s="611">
        <v>0</v>
      </c>
      <c r="K363" s="611">
        <v>0</v>
      </c>
      <c r="L363" s="611">
        <v>0</v>
      </c>
      <c r="M363" s="611">
        <v>0</v>
      </c>
      <c r="N363" s="611">
        <v>0</v>
      </c>
      <c r="O363" s="611">
        <v>0</v>
      </c>
      <c r="P363" s="611">
        <v>0</v>
      </c>
      <c r="Q363" s="611">
        <v>0</v>
      </c>
      <c r="R363" s="611">
        <v>0</v>
      </c>
      <c r="S363" s="611">
        <v>0</v>
      </c>
      <c r="T363" s="611">
        <v>0</v>
      </c>
      <c r="U363" s="611">
        <v>0</v>
      </c>
      <c r="V363" s="611">
        <v>99.792892977732521</v>
      </c>
      <c r="W363" s="611">
        <v>0</v>
      </c>
      <c r="X363" s="611">
        <v>-68.358131689746784</v>
      </c>
      <c r="Y363" s="619">
        <v>31.434761287985737</v>
      </c>
      <c r="Z363" s="51"/>
      <c r="AA363" s="51"/>
      <c r="AB363" s="51"/>
    </row>
    <row r="364" spans="1:28" x14ac:dyDescent="0.25">
      <c r="A364" s="51" t="e">
        <f t="shared" si="50"/>
        <v>#REF!</v>
      </c>
      <c r="B364" s="51">
        <f t="shared" si="51"/>
        <v>2040</v>
      </c>
      <c r="C364" s="51" t="str">
        <f t="shared" si="51"/>
        <v>AMS</v>
      </c>
      <c r="D364" s="51" t="s">
        <v>503</v>
      </c>
      <c r="E364" s="51" t="e">
        <f>VLOOKUP($H$6,#REF!,2,FALSE)</f>
        <v>#REF!</v>
      </c>
      <c r="F364" s="51"/>
      <c r="G364" s="618" t="s">
        <v>353</v>
      </c>
      <c r="H364" s="611">
        <v>6.9248988281249995</v>
      </c>
      <c r="I364" s="611">
        <v>-9.6904137911102683</v>
      </c>
      <c r="J364" s="611">
        <v>12.633678677299837</v>
      </c>
      <c r="K364" s="611">
        <v>0</v>
      </c>
      <c r="L364" s="611">
        <v>0</v>
      </c>
      <c r="M364" s="611">
        <v>0</v>
      </c>
      <c r="N364" s="611">
        <v>0</v>
      </c>
      <c r="O364" s="611">
        <v>0</v>
      </c>
      <c r="P364" s="611">
        <v>0</v>
      </c>
      <c r="Q364" s="611">
        <v>0</v>
      </c>
      <c r="R364" s="611">
        <v>0</v>
      </c>
      <c r="S364" s="611">
        <v>0</v>
      </c>
      <c r="T364" s="611">
        <v>0</v>
      </c>
      <c r="U364" s="611">
        <v>0</v>
      </c>
      <c r="V364" s="611">
        <v>0</v>
      </c>
      <c r="W364" s="611">
        <v>0</v>
      </c>
      <c r="X364" s="611">
        <v>0</v>
      </c>
      <c r="Y364" s="619">
        <v>9.8681637143145693</v>
      </c>
      <c r="Z364" s="51"/>
      <c r="AA364" s="51"/>
      <c r="AB364" s="51"/>
    </row>
    <row r="365" spans="1:28" x14ac:dyDescent="0.25">
      <c r="A365" s="51" t="e">
        <f t="shared" si="50"/>
        <v>#REF!</v>
      </c>
      <c r="B365" s="51">
        <f t="shared" si="51"/>
        <v>2040</v>
      </c>
      <c r="C365" s="51" t="str">
        <f t="shared" si="51"/>
        <v>AMS</v>
      </c>
      <c r="D365" s="51" t="s">
        <v>504</v>
      </c>
      <c r="E365" s="51" t="e">
        <f>VLOOKUP($H$6,#REF!,2,FALSE)</f>
        <v>#REF!</v>
      </c>
      <c r="F365" s="51"/>
      <c r="G365" s="618" t="s">
        <v>75</v>
      </c>
      <c r="H365" s="611">
        <v>2.6930162109375</v>
      </c>
      <c r="I365" s="611">
        <v>0</v>
      </c>
      <c r="J365" s="611">
        <v>17.882981772477446</v>
      </c>
      <c r="K365" s="611">
        <v>0</v>
      </c>
      <c r="L365" s="611">
        <v>2.8438669910513061</v>
      </c>
      <c r="M365" s="611">
        <v>0</v>
      </c>
      <c r="N365" s="611">
        <v>0</v>
      </c>
      <c r="O365" s="611">
        <v>0</v>
      </c>
      <c r="P365" s="611">
        <v>0</v>
      </c>
      <c r="Q365" s="611">
        <v>0</v>
      </c>
      <c r="R365" s="611">
        <v>0</v>
      </c>
      <c r="S365" s="611">
        <v>2.3268002654056139</v>
      </c>
      <c r="T365" s="611">
        <v>0</v>
      </c>
      <c r="U365" s="611">
        <v>0</v>
      </c>
      <c r="V365" s="611">
        <v>26.202190575387331</v>
      </c>
      <c r="W365" s="611">
        <v>0</v>
      </c>
      <c r="X365" s="611">
        <v>0</v>
      </c>
      <c r="Y365" s="619">
        <v>51.948855815259193</v>
      </c>
      <c r="Z365" s="51"/>
      <c r="AA365" s="51"/>
      <c r="AB365" s="51"/>
    </row>
    <row r="366" spans="1:28" x14ac:dyDescent="0.25">
      <c r="A366" s="51" t="e">
        <f t="shared" si="50"/>
        <v>#REF!</v>
      </c>
      <c r="B366" s="51">
        <f t="shared" si="51"/>
        <v>2040</v>
      </c>
      <c r="C366" s="51" t="str">
        <f t="shared" si="51"/>
        <v>AMS</v>
      </c>
      <c r="D366" s="51" t="s">
        <v>505</v>
      </c>
      <c r="E366" s="51" t="e">
        <f>VLOOKUP($H$6,#REF!,2,FALSE)</f>
        <v>#REF!</v>
      </c>
      <c r="F366" s="51"/>
      <c r="G366" s="618" t="s">
        <v>76</v>
      </c>
      <c r="H366" s="611">
        <v>0</v>
      </c>
      <c r="I366" s="611">
        <v>0</v>
      </c>
      <c r="J366" s="611">
        <v>0</v>
      </c>
      <c r="K366" s="611">
        <v>0</v>
      </c>
      <c r="L366" s="611">
        <v>1.0471910576301744</v>
      </c>
      <c r="M366" s="611">
        <v>0</v>
      </c>
      <c r="N366" s="611">
        <v>0</v>
      </c>
      <c r="O366" s="611">
        <v>0</v>
      </c>
      <c r="P366" s="611">
        <v>0</v>
      </c>
      <c r="Q366" s="611">
        <v>0</v>
      </c>
      <c r="R366" s="611">
        <v>0</v>
      </c>
      <c r="S366" s="611">
        <v>0.85679268351559712</v>
      </c>
      <c r="T366" s="611">
        <v>0</v>
      </c>
      <c r="U366" s="611">
        <v>0</v>
      </c>
      <c r="V366" s="611">
        <v>49.376186823560346</v>
      </c>
      <c r="W366" s="611">
        <v>5.3750429512534854</v>
      </c>
      <c r="X366" s="611">
        <v>0</v>
      </c>
      <c r="Y366" s="619">
        <v>56.655213515959609</v>
      </c>
      <c r="Z366" s="51"/>
      <c r="AA366" s="51"/>
      <c r="AB366" s="51"/>
    </row>
    <row r="367" spans="1:28" x14ac:dyDescent="0.25">
      <c r="A367" s="51" t="e">
        <f t="shared" si="50"/>
        <v>#REF!</v>
      </c>
      <c r="B367" s="51">
        <f t="shared" si="51"/>
        <v>2040</v>
      </c>
      <c r="C367" s="51" t="str">
        <f t="shared" si="51"/>
        <v>AMS</v>
      </c>
      <c r="D367" s="51" t="s">
        <v>506</v>
      </c>
      <c r="E367" s="51" t="e">
        <f>VLOOKUP($H$6,#REF!,2,FALSE)</f>
        <v>#REF!</v>
      </c>
      <c r="F367" s="51"/>
      <c r="G367" s="614" t="s">
        <v>77</v>
      </c>
      <c r="H367" s="615">
        <v>9.617915039062499</v>
      </c>
      <c r="I367" s="615">
        <v>267.59952869557856</v>
      </c>
      <c r="J367" s="615">
        <v>-243.94245840363976</v>
      </c>
      <c r="K367" s="615">
        <v>-21.910962558722186</v>
      </c>
      <c r="L367" s="622">
        <v>17.306946232403714</v>
      </c>
      <c r="M367" s="615">
        <v>0</v>
      </c>
      <c r="N367" s="615">
        <v>1059.5259818181821</v>
      </c>
      <c r="O367" s="615">
        <v>373.50050326164637</v>
      </c>
      <c r="P367" s="615">
        <v>254.66352883242536</v>
      </c>
      <c r="Q367" s="615">
        <v>25.54697483851276</v>
      </c>
      <c r="R367" s="615">
        <v>-111.8824008174838</v>
      </c>
      <c r="S367" s="615">
        <v>-62.204904625530077</v>
      </c>
      <c r="T367" s="615">
        <v>0</v>
      </c>
      <c r="U367" s="615">
        <v>17.461746798180965</v>
      </c>
      <c r="V367" s="615">
        <v>-571.97798146477135</v>
      </c>
      <c r="W367" s="615">
        <v>-63.928565625977342</v>
      </c>
      <c r="X367" s="615">
        <v>-34.33322512285126</v>
      </c>
      <c r="Y367" s="615">
        <v>915.04262689701648</v>
      </c>
      <c r="Z367" s="51"/>
      <c r="AA367" s="51"/>
      <c r="AB367" s="51"/>
    </row>
    <row r="368" spans="1:28" x14ac:dyDescent="0.25">
      <c r="A368" s="51"/>
      <c r="B368" s="51"/>
      <c r="C368" s="51"/>
      <c r="D368" s="51"/>
      <c r="E368" s="51"/>
      <c r="F368" s="51"/>
      <c r="G368" s="616"/>
      <c r="H368" s="617">
        <v>0</v>
      </c>
      <c r="I368" s="617">
        <v>0</v>
      </c>
      <c r="J368" s="617">
        <v>0</v>
      </c>
      <c r="K368" s="617">
        <v>0</v>
      </c>
      <c r="L368" s="623">
        <v>0</v>
      </c>
      <c r="M368" s="617">
        <v>0</v>
      </c>
      <c r="N368" s="617">
        <v>0</v>
      </c>
      <c r="O368" s="617">
        <v>0</v>
      </c>
      <c r="P368" s="617">
        <v>0</v>
      </c>
      <c r="Q368" s="617">
        <v>0</v>
      </c>
      <c r="R368" s="617">
        <v>0</v>
      </c>
      <c r="S368" s="617">
        <v>0</v>
      </c>
      <c r="T368" s="617">
        <v>0</v>
      </c>
      <c r="U368" s="617">
        <v>0</v>
      </c>
      <c r="V368" s="617">
        <v>0</v>
      </c>
      <c r="W368" s="617">
        <v>0</v>
      </c>
      <c r="X368" s="617">
        <v>0</v>
      </c>
      <c r="Y368" s="617">
        <v>0</v>
      </c>
      <c r="Z368" s="51"/>
      <c r="AA368" s="51"/>
      <c r="AB368" s="51"/>
    </row>
    <row r="369" spans="1:28" x14ac:dyDescent="0.25">
      <c r="A369" s="51" t="e">
        <f>A367+2</f>
        <v>#REF!</v>
      </c>
      <c r="B369" s="51">
        <f>B367</f>
        <v>2040</v>
      </c>
      <c r="C369" s="51" t="str">
        <f>C347</f>
        <v>AMS</v>
      </c>
      <c r="D369" s="51" t="s">
        <v>507</v>
      </c>
      <c r="E369" s="51" t="e">
        <f>VLOOKUP($H$6,#REF!,2,FALSE)</f>
        <v>#REF!</v>
      </c>
      <c r="F369" s="51"/>
      <c r="G369" s="618" t="s">
        <v>78</v>
      </c>
      <c r="H369" s="611">
        <v>2.7841882556496467</v>
      </c>
      <c r="I369" s="611">
        <v>0</v>
      </c>
      <c r="J369" s="611">
        <v>5.1952563518908157</v>
      </c>
      <c r="K369" s="611">
        <v>0</v>
      </c>
      <c r="L369" s="611">
        <v>31.335146641416099</v>
      </c>
      <c r="M369" s="611">
        <v>0</v>
      </c>
      <c r="N369" s="611">
        <v>0</v>
      </c>
      <c r="O369" s="611">
        <v>0</v>
      </c>
      <c r="P369" s="611">
        <v>19.866368456853682</v>
      </c>
      <c r="Q369" s="611">
        <v>2.3815254498716123</v>
      </c>
      <c r="R369" s="611">
        <v>2.1415231567382813</v>
      </c>
      <c r="S369" s="611">
        <v>25.676510059650784</v>
      </c>
      <c r="T369" s="611">
        <v>7.6335380859375004</v>
      </c>
      <c r="U369" s="611">
        <v>7.8820466826144567E-4</v>
      </c>
      <c r="V369" s="611">
        <v>133.1889583814887</v>
      </c>
      <c r="W369" s="611">
        <v>18.276712147761906</v>
      </c>
      <c r="X369" s="611">
        <v>4.7382089843750004</v>
      </c>
      <c r="Y369" s="619">
        <v>253.21872417630229</v>
      </c>
      <c r="Z369" s="51"/>
      <c r="AA369" s="620" t="e" cm="1">
        <f t="array" aca="1" ref="AA369" ca="1">_xlfn.IFNA(INDEX(#REF!,MATCH(INDIRECT("Codes_bilans!"&amp;AA$1&amp;"$"&amp;$A369),#REF!,0),MATCH($B369,#REF!,0)),0)</f>
        <v>#REF!</v>
      </c>
      <c r="AB369" s="51"/>
    </row>
    <row r="370" spans="1:28" x14ac:dyDescent="0.25">
      <c r="A370" s="51" t="e">
        <f t="shared" ref="A370:A377" si="52">A369+1</f>
        <v>#REF!</v>
      </c>
      <c r="B370" s="51">
        <f t="shared" ref="B370:C377" si="53">B369</f>
        <v>2040</v>
      </c>
      <c r="C370" s="51" t="str">
        <f t="shared" si="53"/>
        <v>AMS</v>
      </c>
      <c r="D370" s="51" t="s">
        <v>508</v>
      </c>
      <c r="E370" s="51" t="e">
        <f>VLOOKUP($H$6,#REF!,2,FALSE)</f>
        <v>#REF!</v>
      </c>
      <c r="F370" s="51"/>
      <c r="G370" s="618" t="s">
        <v>79</v>
      </c>
      <c r="H370" s="611">
        <v>0</v>
      </c>
      <c r="I370" s="611">
        <v>0</v>
      </c>
      <c r="J370" s="611">
        <v>62.42121803575882</v>
      </c>
      <c r="K370" s="611">
        <v>0.9171283606012931</v>
      </c>
      <c r="L370" s="611">
        <v>3.2777834936114583</v>
      </c>
      <c r="M370" s="611">
        <v>0</v>
      </c>
      <c r="N370" s="611">
        <v>0</v>
      </c>
      <c r="O370" s="611">
        <v>0</v>
      </c>
      <c r="P370" s="611">
        <v>0</v>
      </c>
      <c r="Q370" s="611">
        <v>0</v>
      </c>
      <c r="R370" s="611">
        <v>70.675893572317364</v>
      </c>
      <c r="S370" s="611">
        <v>2.6818228584093751</v>
      </c>
      <c r="T370" s="611">
        <v>0</v>
      </c>
      <c r="U370" s="611">
        <v>0</v>
      </c>
      <c r="V370" s="611">
        <v>85.601807225833156</v>
      </c>
      <c r="W370" s="611">
        <v>0</v>
      </c>
      <c r="X370" s="611">
        <v>3.5812873698124483</v>
      </c>
      <c r="Y370" s="619">
        <v>229.15694091634393</v>
      </c>
      <c r="Z370" s="51"/>
      <c r="AA370" s="620" t="e" cm="1">
        <f t="array" aca="1" ref="AA370" ca="1">_xlfn.IFNA(INDEX(#REF!,MATCH(INDIRECT("Codes_bilans!"&amp;AA$1&amp;"$"&amp;$A370),#REF!,0),MATCH($B370,#REF!,0)),0)</f>
        <v>#REF!</v>
      </c>
      <c r="AB370" s="51"/>
    </row>
    <row r="371" spans="1:28" x14ac:dyDescent="0.25">
      <c r="A371" s="51" t="e">
        <f t="shared" si="52"/>
        <v>#REF!</v>
      </c>
      <c r="B371" s="51">
        <f t="shared" si="53"/>
        <v>2040</v>
      </c>
      <c r="C371" s="51" t="str">
        <f t="shared" si="53"/>
        <v>AMS</v>
      </c>
      <c r="D371" s="51" t="s">
        <v>509</v>
      </c>
      <c r="E371" s="51" t="e">
        <f>VLOOKUP($H$6,#REF!,2,FALSE)</f>
        <v>#REF!</v>
      </c>
      <c r="F371" s="51"/>
      <c r="G371" s="618" t="s">
        <v>80</v>
      </c>
      <c r="H371" s="611">
        <v>0</v>
      </c>
      <c r="I371" s="611">
        <v>0</v>
      </c>
      <c r="J371" s="611">
        <v>2.2535083725168867</v>
      </c>
      <c r="K371" s="611">
        <v>0</v>
      </c>
      <c r="L371" s="611">
        <v>22.547534156690407</v>
      </c>
      <c r="M371" s="611">
        <v>0</v>
      </c>
      <c r="N371" s="611">
        <v>0</v>
      </c>
      <c r="O371" s="611">
        <v>0</v>
      </c>
      <c r="P371" s="611">
        <v>34.097641504490639</v>
      </c>
      <c r="Q371" s="611">
        <v>0</v>
      </c>
      <c r="R371" s="611">
        <v>0</v>
      </c>
      <c r="S371" s="611">
        <v>18.447982491837607</v>
      </c>
      <c r="T371" s="611">
        <v>103.59461616627088</v>
      </c>
      <c r="U371" s="611">
        <v>2.7285855468891569</v>
      </c>
      <c r="V371" s="611">
        <v>149.5228289340921</v>
      </c>
      <c r="W371" s="611">
        <v>26.593767108522837</v>
      </c>
      <c r="X371" s="611">
        <v>0</v>
      </c>
      <c r="Y371" s="619">
        <v>359.78646428131054</v>
      </c>
      <c r="Z371" s="51"/>
      <c r="AA371" s="620" t="e" cm="1">
        <f t="array" aca="1" ref="AA371" ca="1">_xlfn.IFNA(INDEX(#REF!,MATCH(INDIRECT("Codes_bilans!"&amp;AA$1&amp;"$"&amp;$A371),#REF!,0),MATCH($B371,#REF!,0)),0)</f>
        <v>#REF!</v>
      </c>
      <c r="AB371" s="51"/>
    </row>
    <row r="372" spans="1:28" x14ac:dyDescent="0.25">
      <c r="A372" s="51" t="e">
        <f t="shared" si="52"/>
        <v>#REF!</v>
      </c>
      <c r="B372" s="51">
        <f t="shared" si="53"/>
        <v>2040</v>
      </c>
      <c r="C372" s="51" t="str">
        <f t="shared" si="53"/>
        <v>AMS</v>
      </c>
      <c r="D372" s="51" t="s">
        <v>510</v>
      </c>
      <c r="E372" s="51" t="e">
        <f>VLOOKUP($H$6,#REF!,2,FALSE)</f>
        <v>#REF!</v>
      </c>
      <c r="F372" s="51"/>
      <c r="G372" s="618" t="s">
        <v>81</v>
      </c>
      <c r="H372" s="611">
        <v>0</v>
      </c>
      <c r="I372" s="611">
        <v>0</v>
      </c>
      <c r="J372" s="611">
        <v>1.3399462790047187</v>
      </c>
      <c r="K372" s="611">
        <v>0</v>
      </c>
      <c r="L372" s="611">
        <v>12.344523773070179</v>
      </c>
      <c r="M372" s="611">
        <v>0</v>
      </c>
      <c r="N372" s="611">
        <v>0</v>
      </c>
      <c r="O372" s="611">
        <v>0</v>
      </c>
      <c r="P372" s="611">
        <v>0.40515733033320123</v>
      </c>
      <c r="Q372" s="611">
        <v>4.0121337498856221E-4</v>
      </c>
      <c r="R372" s="611">
        <v>0</v>
      </c>
      <c r="S372" s="611">
        <v>10.100064905239238</v>
      </c>
      <c r="T372" s="611">
        <v>25.404172221757367</v>
      </c>
      <c r="U372" s="611">
        <v>1.0133205125094877</v>
      </c>
      <c r="V372" s="611">
        <v>92.228183694440688</v>
      </c>
      <c r="W372" s="611">
        <v>19.0580863696926</v>
      </c>
      <c r="X372" s="611">
        <v>0</v>
      </c>
      <c r="Y372" s="619">
        <v>161.89385629942248</v>
      </c>
      <c r="Z372" s="51"/>
      <c r="AA372" s="620" t="e" cm="1">
        <f t="array" aca="1" ref="AA372" ca="1">_xlfn.IFNA(INDEX(#REF!,MATCH(INDIRECT("Codes_bilans!"&amp;AA$1&amp;"$"&amp;$A372),#REF!,0),MATCH($B372,#REF!,0)),0)</f>
        <v>#REF!</v>
      </c>
      <c r="AB372" s="51"/>
    </row>
    <row r="373" spans="1:28" x14ac:dyDescent="0.25">
      <c r="A373" s="51" t="e">
        <f t="shared" si="52"/>
        <v>#REF!</v>
      </c>
      <c r="B373" s="51">
        <f t="shared" si="53"/>
        <v>2040</v>
      </c>
      <c r="C373" s="51" t="str">
        <f t="shared" si="53"/>
        <v>AMS</v>
      </c>
      <c r="D373" s="51" t="s">
        <v>511</v>
      </c>
      <c r="E373" s="51" t="e">
        <f>VLOOKUP($H$6,#REF!,2,FALSE)</f>
        <v>#REF!</v>
      </c>
      <c r="F373" s="51"/>
      <c r="G373" s="618" t="s">
        <v>82</v>
      </c>
      <c r="H373" s="611">
        <v>0</v>
      </c>
      <c r="I373" s="611">
        <v>0</v>
      </c>
      <c r="J373" s="611">
        <v>10.678454663150182</v>
      </c>
      <c r="K373" s="611">
        <v>0</v>
      </c>
      <c r="L373" s="611">
        <v>0.98973128577551672</v>
      </c>
      <c r="M373" s="611">
        <v>0</v>
      </c>
      <c r="N373" s="611">
        <v>0</v>
      </c>
      <c r="O373" s="611">
        <v>0</v>
      </c>
      <c r="P373" s="611">
        <v>3.3736621545342089</v>
      </c>
      <c r="Q373" s="611">
        <v>0</v>
      </c>
      <c r="R373" s="611">
        <v>14.289145060057182</v>
      </c>
      <c r="S373" s="611">
        <v>0.80978014290724099</v>
      </c>
      <c r="T373" s="611">
        <v>1</v>
      </c>
      <c r="U373" s="611">
        <v>1.300620381405156</v>
      </c>
      <c r="V373" s="611">
        <v>7.76122971899715</v>
      </c>
      <c r="W373" s="611">
        <v>0</v>
      </c>
      <c r="X373" s="611">
        <v>0.325155095351289</v>
      </c>
      <c r="Y373" s="619">
        <v>40.527778502177924</v>
      </c>
      <c r="Z373" s="51"/>
      <c r="AA373" s="620" t="e" cm="1">
        <f t="array" aca="1" ref="AA373" ca="1">_xlfn.IFNA(INDEX(#REF!,MATCH(INDIRECT("Codes_bilans!"&amp;AA$1&amp;"$"&amp;$A373),#REF!,0),MATCH($B373,#REF!,0)),0)</f>
        <v>#REF!</v>
      </c>
      <c r="AB373" s="51"/>
    </row>
    <row r="374" spans="1:28" x14ac:dyDescent="0.25">
      <c r="A374" s="51" t="e">
        <f t="shared" si="52"/>
        <v>#REF!</v>
      </c>
      <c r="B374" s="51">
        <f t="shared" si="53"/>
        <v>2040</v>
      </c>
      <c r="C374" s="51" t="str">
        <f t="shared" si="53"/>
        <v>AMS</v>
      </c>
      <c r="D374" s="51" t="s">
        <v>512</v>
      </c>
      <c r="E374" s="51" t="e">
        <f>VLOOKUP($H$6,#REF!,2,FALSE)</f>
        <v>#REF!</v>
      </c>
      <c r="F374" s="51"/>
      <c r="G374" s="618" t="s">
        <v>354</v>
      </c>
      <c r="H374" s="611">
        <v>0</v>
      </c>
      <c r="I374" s="611">
        <v>0</v>
      </c>
      <c r="J374" s="611">
        <v>0</v>
      </c>
      <c r="K374" s="611">
        <v>0</v>
      </c>
      <c r="L374" s="611">
        <v>0</v>
      </c>
      <c r="M374" s="611">
        <v>0</v>
      </c>
      <c r="N374" s="611">
        <v>0</v>
      </c>
      <c r="O374" s="611">
        <v>0</v>
      </c>
      <c r="P374" s="611">
        <v>0</v>
      </c>
      <c r="Q374" s="611">
        <v>0</v>
      </c>
      <c r="R374" s="611">
        <v>0</v>
      </c>
      <c r="S374" s="611">
        <v>0</v>
      </c>
      <c r="T374" s="611">
        <v>0</v>
      </c>
      <c r="U374" s="611">
        <v>0</v>
      </c>
      <c r="V374" s="611">
        <v>1.4068800000000001</v>
      </c>
      <c r="W374" s="611">
        <v>0</v>
      </c>
      <c r="X374" s="611">
        <v>0</v>
      </c>
      <c r="Y374" s="619">
        <v>1.4068800000000001</v>
      </c>
      <c r="Z374" s="51"/>
      <c r="AA374" s="620" t="e" cm="1">
        <f t="array" aca="1" ref="AA374" ca="1">_xlfn.IFNA(INDEX(#REF!,MATCH(INDIRECT("Codes_bilans!"&amp;AA$1&amp;"$"&amp;$A374),#REF!,0),MATCH($B374,#REF!,0)),0)</f>
        <v>#REF!</v>
      </c>
      <c r="AB374" s="51"/>
    </row>
    <row r="375" spans="1:28" x14ac:dyDescent="0.25">
      <c r="A375" s="51" t="e">
        <f t="shared" si="52"/>
        <v>#REF!</v>
      </c>
      <c r="B375" s="51">
        <f t="shared" si="53"/>
        <v>2040</v>
      </c>
      <c r="C375" s="51" t="str">
        <f t="shared" si="53"/>
        <v>AMS</v>
      </c>
      <c r="D375" s="51" t="s">
        <v>513</v>
      </c>
      <c r="E375" s="51" t="e">
        <f>VLOOKUP($H$6,#REF!,2,FALSE)</f>
        <v>#REF!</v>
      </c>
      <c r="F375" s="51"/>
      <c r="G375" s="614" t="s">
        <v>83</v>
      </c>
      <c r="H375" s="615">
        <v>2.7841882556496467</v>
      </c>
      <c r="I375" s="615">
        <v>0</v>
      </c>
      <c r="J375" s="615">
        <v>81.888383702321406</v>
      </c>
      <c r="K375" s="615">
        <v>0.9171283606012931</v>
      </c>
      <c r="L375" s="622">
        <v>70.494719350563656</v>
      </c>
      <c r="M375" s="615">
        <v>0</v>
      </c>
      <c r="N375" s="615">
        <v>0</v>
      </c>
      <c r="O375" s="615">
        <v>0</v>
      </c>
      <c r="P375" s="615">
        <v>57.742829446211736</v>
      </c>
      <c r="Q375" s="615">
        <v>2.3819266632466007</v>
      </c>
      <c r="R375" s="615">
        <v>87.106561789112831</v>
      </c>
      <c r="S375" s="615">
        <v>57.71616045804425</v>
      </c>
      <c r="T375" s="615">
        <v>137.63232647396575</v>
      </c>
      <c r="U375" s="615">
        <v>5.0433146454720621</v>
      </c>
      <c r="V375" s="615">
        <v>469.70988795485181</v>
      </c>
      <c r="W375" s="615">
        <v>63.928565625977342</v>
      </c>
      <c r="X375" s="615">
        <v>8.6446514495387365</v>
      </c>
      <c r="Y375" s="615">
        <v>1045.9906441755572</v>
      </c>
      <c r="Z375" s="51"/>
      <c r="AA375" s="51"/>
      <c r="AB375" s="51"/>
    </row>
    <row r="376" spans="1:28" x14ac:dyDescent="0.25">
      <c r="A376" s="51" t="e">
        <f t="shared" si="52"/>
        <v>#REF!</v>
      </c>
      <c r="B376" s="51">
        <f t="shared" si="53"/>
        <v>2040</v>
      </c>
      <c r="C376" s="51" t="str">
        <f t="shared" si="53"/>
        <v>AMS</v>
      </c>
      <c r="D376" s="51" t="s">
        <v>514</v>
      </c>
      <c r="E376" s="51" t="e">
        <f>VLOOKUP($H$6,#REF!,2,FALSE)</f>
        <v>#REF!</v>
      </c>
      <c r="F376" s="51"/>
      <c r="G376" s="610" t="s">
        <v>84</v>
      </c>
      <c r="H376" s="611">
        <v>0</v>
      </c>
      <c r="I376" s="611">
        <v>0</v>
      </c>
      <c r="J376" s="611">
        <v>63.453621141900157</v>
      </c>
      <c r="K376" s="611">
        <v>5.849933778542443</v>
      </c>
      <c r="L376" s="611">
        <v>6.7321107560009157</v>
      </c>
      <c r="M376" s="611">
        <v>0</v>
      </c>
      <c r="N376" s="611">
        <v>0</v>
      </c>
      <c r="O376" s="611">
        <v>0</v>
      </c>
      <c r="P376" s="611">
        <v>0.4086523039836884</v>
      </c>
      <c r="Q376" s="611">
        <v>0</v>
      </c>
      <c r="R376" s="611">
        <v>16.128139408945682</v>
      </c>
      <c r="S376" s="611">
        <v>2.7141517882424018</v>
      </c>
      <c r="T376" s="611">
        <v>0</v>
      </c>
      <c r="U376" s="611">
        <v>0</v>
      </c>
      <c r="V376" s="611">
        <v>0</v>
      </c>
      <c r="W376" s="611">
        <v>0</v>
      </c>
      <c r="X376" s="611">
        <v>25.023965550983899</v>
      </c>
      <c r="Y376" s="619">
        <v>120.31057472859921</v>
      </c>
      <c r="Z376" s="51"/>
      <c r="AA376" s="620" t="e" cm="1">
        <f t="array" aca="1" ref="AA376" ca="1">_xlfn.IFNA(INDEX(#REF!,MATCH(INDIRECT("Codes_bilans!"&amp;AA$1&amp;"$"&amp;$A376),#REF!,0),MATCH($B376,#REF!,0)),0)</f>
        <v>#REF!</v>
      </c>
      <c r="AB376" s="51"/>
    </row>
    <row r="377" spans="1:28" x14ac:dyDescent="0.25">
      <c r="A377" s="51" t="e">
        <f t="shared" si="52"/>
        <v>#REF!</v>
      </c>
      <c r="B377" s="51">
        <f t="shared" si="53"/>
        <v>2040</v>
      </c>
      <c r="C377" s="51" t="str">
        <f t="shared" si="53"/>
        <v>AMS</v>
      </c>
      <c r="D377" s="51" t="s">
        <v>515</v>
      </c>
      <c r="E377" s="51" t="e">
        <f>VLOOKUP($H$6,#REF!,2,FALSE)</f>
        <v>#REF!</v>
      </c>
      <c r="F377" s="51"/>
      <c r="G377" s="614" t="s">
        <v>85</v>
      </c>
      <c r="H377" s="615">
        <v>2.7841882556496467</v>
      </c>
      <c r="I377" s="615">
        <v>0</v>
      </c>
      <c r="J377" s="615">
        <v>145.34200484422155</v>
      </c>
      <c r="K377" s="615">
        <v>6.7670621391437358</v>
      </c>
      <c r="L377" s="622">
        <v>77.226830106564577</v>
      </c>
      <c r="M377" s="615">
        <v>0</v>
      </c>
      <c r="N377" s="615">
        <v>0</v>
      </c>
      <c r="O377" s="615">
        <v>0</v>
      </c>
      <c r="P377" s="615">
        <v>58.151481750195423</v>
      </c>
      <c r="Q377" s="615">
        <v>2.3819266632466007</v>
      </c>
      <c r="R377" s="615">
        <v>103.23470119805852</v>
      </c>
      <c r="S377" s="615">
        <v>60.430312246286654</v>
      </c>
      <c r="T377" s="615">
        <v>137.63232647396575</v>
      </c>
      <c r="U377" s="615">
        <v>5.0433146454720621</v>
      </c>
      <c r="V377" s="615">
        <v>469.70988795485181</v>
      </c>
      <c r="W377" s="615">
        <v>63.928565625977342</v>
      </c>
      <c r="X377" s="615">
        <v>33.668617000522637</v>
      </c>
      <c r="Y377" s="615">
        <v>1166.3012189041563</v>
      </c>
      <c r="Z377" s="51"/>
      <c r="AA377" s="51"/>
      <c r="AB377" s="51"/>
    </row>
    <row r="378" spans="1:28" x14ac:dyDescent="0.25">
      <c r="A378" s="51"/>
      <c r="B378" s="51"/>
      <c r="C378" s="51"/>
      <c r="D378" s="51"/>
      <c r="E378" s="51"/>
      <c r="F378" s="51"/>
      <c r="G378" s="51"/>
      <c r="H378" s="67">
        <v>0</v>
      </c>
      <c r="I378" s="67">
        <v>0</v>
      </c>
      <c r="J378" s="67">
        <v>0</v>
      </c>
      <c r="K378" s="67">
        <v>0</v>
      </c>
      <c r="L378" s="67">
        <v>0</v>
      </c>
      <c r="M378" s="67">
        <v>0</v>
      </c>
      <c r="N378" s="67">
        <v>0</v>
      </c>
      <c r="O378" s="67">
        <v>0</v>
      </c>
      <c r="P378" s="67">
        <v>0</v>
      </c>
      <c r="Q378" s="67">
        <v>0</v>
      </c>
      <c r="R378" s="67">
        <v>1.5987211554602254E-14</v>
      </c>
      <c r="S378" s="67">
        <v>2.5757174171303632E-14</v>
      </c>
      <c r="T378" s="67">
        <v>0</v>
      </c>
      <c r="U378" s="67">
        <v>0</v>
      </c>
      <c r="V378" s="67">
        <v>0</v>
      </c>
      <c r="W378" s="67">
        <v>0</v>
      </c>
      <c r="X378" s="67">
        <v>-1.3322676295501878E-15</v>
      </c>
      <c r="Y378" s="67">
        <v>0</v>
      </c>
      <c r="Z378" s="51"/>
      <c r="AA378" s="51"/>
      <c r="AB378" s="51"/>
    </row>
    <row r="379" spans="1:28" x14ac:dyDescent="0.25">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row>
    <row r="380" spans="1:28" x14ac:dyDescent="0.25">
      <c r="A380" s="606"/>
      <c r="B380" s="606"/>
      <c r="C380" s="606"/>
      <c r="D380" s="606"/>
      <c r="E380" s="606"/>
      <c r="F380" s="606"/>
      <c r="G380" s="607" t="s">
        <v>518</v>
      </c>
      <c r="H380" s="606"/>
      <c r="I380" s="606"/>
      <c r="J380" s="606"/>
      <c r="K380" s="606"/>
      <c r="L380" s="606"/>
      <c r="M380" s="606"/>
      <c r="N380" s="606"/>
      <c r="O380" s="606"/>
      <c r="P380" s="606"/>
      <c r="Q380" s="606"/>
      <c r="R380" s="606"/>
      <c r="S380" s="606"/>
      <c r="T380" s="606"/>
      <c r="U380" s="606"/>
      <c r="V380" s="606"/>
      <c r="W380" s="606"/>
      <c r="X380" s="606"/>
      <c r="Y380" s="606"/>
      <c r="Z380" s="606"/>
      <c r="AA380" s="606"/>
      <c r="AB380" s="606"/>
    </row>
    <row r="381" spans="1:28" x14ac:dyDescent="0.25">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row>
    <row r="382" spans="1:28" ht="14.25" customHeight="1" x14ac:dyDescent="0.25">
      <c r="A382" s="51"/>
      <c r="B382" s="51"/>
      <c r="C382" s="51"/>
      <c r="D382" s="51"/>
      <c r="E382" s="51"/>
      <c r="F382" s="51"/>
      <c r="G382" s="764" t="s">
        <v>128</v>
      </c>
      <c r="H382" s="753" t="s">
        <v>42</v>
      </c>
      <c r="I382" s="753" t="s">
        <v>52</v>
      </c>
      <c r="J382" s="753" t="s">
        <v>53</v>
      </c>
      <c r="K382" s="753" t="s">
        <v>482</v>
      </c>
      <c r="L382" s="753" t="s">
        <v>32</v>
      </c>
      <c r="M382" s="753" t="s">
        <v>483</v>
      </c>
      <c r="N382" s="753" t="s">
        <v>20</v>
      </c>
      <c r="O382" s="753" t="s">
        <v>55</v>
      </c>
      <c r="P382" s="761" t="s">
        <v>56</v>
      </c>
      <c r="Q382" s="762"/>
      <c r="R382" s="762"/>
      <c r="S382" s="762"/>
      <c r="T382" s="762"/>
      <c r="U382" s="763"/>
      <c r="V382" s="753" t="s">
        <v>57</v>
      </c>
      <c r="W382" s="753" t="s">
        <v>58</v>
      </c>
      <c r="X382" s="753" t="s">
        <v>31</v>
      </c>
      <c r="Y382" s="753" t="s">
        <v>10</v>
      </c>
      <c r="Z382" s="51"/>
      <c r="AA382" s="51"/>
      <c r="AB382" s="51"/>
    </row>
    <row r="383" spans="1:28" ht="24" x14ac:dyDescent="0.25">
      <c r="A383" s="51"/>
      <c r="B383" s="51"/>
      <c r="C383" s="51"/>
      <c r="D383" s="51" t="s">
        <v>486</v>
      </c>
      <c r="E383" s="51"/>
      <c r="F383" s="51"/>
      <c r="G383" s="765"/>
      <c r="H383" s="754"/>
      <c r="I383" s="754"/>
      <c r="J383" s="754"/>
      <c r="K383" s="754"/>
      <c r="L383" s="754"/>
      <c r="M383" s="754"/>
      <c r="N383" s="754"/>
      <c r="O383" s="754"/>
      <c r="P383" s="608" t="s">
        <v>335</v>
      </c>
      <c r="Q383" s="608" t="s">
        <v>40</v>
      </c>
      <c r="R383" s="608" t="s">
        <v>343</v>
      </c>
      <c r="S383" s="608" t="s">
        <v>344</v>
      </c>
      <c r="T383" s="609" t="s">
        <v>345</v>
      </c>
      <c r="U383" s="608" t="s">
        <v>346</v>
      </c>
      <c r="V383" s="754"/>
      <c r="W383" s="754"/>
      <c r="X383" s="754"/>
      <c r="Y383" s="754"/>
      <c r="Z383" s="51"/>
      <c r="AA383" s="51"/>
      <c r="AB383" s="51"/>
    </row>
    <row r="384" spans="1:28" x14ac:dyDescent="0.25">
      <c r="A384" s="51" t="e">
        <f>A347</f>
        <v>#REF!</v>
      </c>
      <c r="B384" s="51">
        <v>2043</v>
      </c>
      <c r="C384" s="51" t="s">
        <v>47</v>
      </c>
      <c r="D384" s="51" t="s">
        <v>487</v>
      </c>
      <c r="E384" s="51" t="e">
        <f>VLOOKUP($H$6,#REF!,2,FALSE)</f>
        <v>#REF!</v>
      </c>
      <c r="F384" s="51"/>
      <c r="G384" s="610" t="s">
        <v>59</v>
      </c>
      <c r="H384" s="611">
        <v>0</v>
      </c>
      <c r="I384" s="611">
        <v>0</v>
      </c>
      <c r="J384" s="611">
        <v>0</v>
      </c>
      <c r="K384" s="611">
        <v>0</v>
      </c>
      <c r="L384" s="611">
        <v>0</v>
      </c>
      <c r="M384" s="611">
        <v>0</v>
      </c>
      <c r="N384" s="612">
        <v>960.32137090909112</v>
      </c>
      <c r="O384" s="612">
        <v>427.33219668037293</v>
      </c>
      <c r="P384" s="612">
        <v>300.74509832993209</v>
      </c>
      <c r="Q384" s="612">
        <v>24.5360554675092</v>
      </c>
      <c r="R384" s="611">
        <v>1.638642873490971</v>
      </c>
      <c r="S384" s="611">
        <v>0.1692153726460352</v>
      </c>
      <c r="T384" s="612">
        <v>147.47340024456145</v>
      </c>
      <c r="U384" s="612">
        <v>23.099478079825218</v>
      </c>
      <c r="V384" s="611">
        <v>0</v>
      </c>
      <c r="W384" s="611">
        <v>0</v>
      </c>
      <c r="X384" s="611">
        <v>0</v>
      </c>
      <c r="Y384" s="613">
        <v>1885.3154579574289</v>
      </c>
      <c r="Z384" s="51"/>
      <c r="AA384" s="51"/>
      <c r="AB384" s="51"/>
    </row>
    <row r="385" spans="1:28" x14ac:dyDescent="0.25">
      <c r="A385" s="51" t="e">
        <f t="shared" ref="A385:A390" si="54">A384+1</f>
        <v>#REF!</v>
      </c>
      <c r="B385" s="51">
        <f t="shared" ref="B385:C390" si="55">B384</f>
        <v>2043</v>
      </c>
      <c r="C385" s="51" t="str">
        <f t="shared" si="55"/>
        <v>AMS</v>
      </c>
      <c r="D385" s="51" t="s">
        <v>488</v>
      </c>
      <c r="E385" s="51" t="e">
        <f>VLOOKUP($H$6,#REF!,2,FALSE)</f>
        <v>#REF!</v>
      </c>
      <c r="F385" s="51"/>
      <c r="G385" s="610" t="s">
        <v>60</v>
      </c>
      <c r="H385" s="611">
        <v>10.379280707598515</v>
      </c>
      <c r="I385" s="611">
        <v>221.43377158510449</v>
      </c>
      <c r="J385" s="611">
        <v>3.6404081450569747</v>
      </c>
      <c r="K385" s="611">
        <v>0</v>
      </c>
      <c r="L385" s="611">
        <v>71.560916825535557</v>
      </c>
      <c r="M385" s="611">
        <v>0</v>
      </c>
      <c r="N385" s="611">
        <v>0</v>
      </c>
      <c r="O385" s="611">
        <v>0</v>
      </c>
      <c r="P385" s="611">
        <v>4.5400000946661896</v>
      </c>
      <c r="Q385" s="611">
        <v>0</v>
      </c>
      <c r="R385" s="611">
        <v>4.7355769449703358</v>
      </c>
      <c r="S385" s="611">
        <v>0</v>
      </c>
      <c r="T385" s="611">
        <v>0</v>
      </c>
      <c r="U385" s="611">
        <v>0</v>
      </c>
      <c r="V385" s="611">
        <v>0</v>
      </c>
      <c r="W385" s="611">
        <v>0</v>
      </c>
      <c r="X385" s="611">
        <v>0</v>
      </c>
      <c r="Y385" s="613">
        <v>316.28995430293207</v>
      </c>
      <c r="Z385" s="51"/>
      <c r="AA385" s="51"/>
      <c r="AB385" s="51"/>
    </row>
    <row r="386" spans="1:28" x14ac:dyDescent="0.25">
      <c r="A386" s="51" t="e">
        <f t="shared" si="54"/>
        <v>#REF!</v>
      </c>
      <c r="B386" s="51">
        <f t="shared" si="55"/>
        <v>2043</v>
      </c>
      <c r="C386" s="51" t="str">
        <f t="shared" si="55"/>
        <v>AMS</v>
      </c>
      <c r="D386" s="51" t="s">
        <v>489</v>
      </c>
      <c r="E386" s="51" t="e">
        <f>VLOOKUP($H$6,#REF!,2,FALSE)</f>
        <v>#REF!</v>
      </c>
      <c r="F386" s="51"/>
      <c r="G386" s="610" t="s">
        <v>61</v>
      </c>
      <c r="H386" s="611">
        <v>0</v>
      </c>
      <c r="I386" s="611">
        <v>0</v>
      </c>
      <c r="J386" s="611">
        <v>-58.536980841071092</v>
      </c>
      <c r="K386" s="611">
        <v>-1.6667279106947781</v>
      </c>
      <c r="L386" s="611">
        <v>0</v>
      </c>
      <c r="M386" s="611">
        <v>0</v>
      </c>
      <c r="N386" s="611">
        <v>0</v>
      </c>
      <c r="O386" s="611">
        <v>0</v>
      </c>
      <c r="P386" s="611">
        <v>0</v>
      </c>
      <c r="Q386" s="611">
        <v>0</v>
      </c>
      <c r="R386" s="611">
        <v>0</v>
      </c>
      <c r="S386" s="611">
        <v>0</v>
      </c>
      <c r="T386" s="611">
        <v>0</v>
      </c>
      <c r="U386" s="611">
        <v>0</v>
      </c>
      <c r="V386" s="611">
        <v>-92.827968734039246</v>
      </c>
      <c r="W386" s="611">
        <v>0</v>
      </c>
      <c r="X386" s="611">
        <v>0</v>
      </c>
      <c r="Y386" s="613">
        <v>-153.03167748580509</v>
      </c>
      <c r="Z386" s="51"/>
      <c r="AA386" s="51"/>
      <c r="AB386" s="51"/>
    </row>
    <row r="387" spans="1:28" x14ac:dyDescent="0.25">
      <c r="A387" s="51" t="e">
        <f t="shared" si="54"/>
        <v>#REF!</v>
      </c>
      <c r="B387" s="51">
        <f t="shared" si="55"/>
        <v>2043</v>
      </c>
      <c r="C387" s="51" t="str">
        <f t="shared" si="55"/>
        <v>AMS</v>
      </c>
      <c r="D387" s="51" t="s">
        <v>490</v>
      </c>
      <c r="E387" s="51" t="e">
        <f>VLOOKUP($H$6,#REF!,2,FALSE)</f>
        <v>#REF!</v>
      </c>
      <c r="F387" s="51"/>
      <c r="G387" s="610" t="s">
        <v>62</v>
      </c>
      <c r="H387" s="611">
        <v>0</v>
      </c>
      <c r="I387" s="611">
        <v>0</v>
      </c>
      <c r="J387" s="611">
        <v>-6.8572519407668047</v>
      </c>
      <c r="K387" s="611">
        <v>-2.9115063458369059</v>
      </c>
      <c r="L387" s="611">
        <v>-4.556210213526227</v>
      </c>
      <c r="M387" s="611">
        <v>-6.0214231896822394E-2</v>
      </c>
      <c r="N387" s="611">
        <v>0</v>
      </c>
      <c r="O387" s="611">
        <v>0</v>
      </c>
      <c r="P387" s="611">
        <v>0</v>
      </c>
      <c r="Q387" s="611">
        <v>0</v>
      </c>
      <c r="R387" s="611">
        <v>-0.36156496915270087</v>
      </c>
      <c r="S387" s="611">
        <v>-5.4192808707140152</v>
      </c>
      <c r="T387" s="611">
        <v>0</v>
      </c>
      <c r="U387" s="611">
        <v>0</v>
      </c>
      <c r="V387" s="611">
        <v>0</v>
      </c>
      <c r="W387" s="611">
        <v>0</v>
      </c>
      <c r="X387" s="611">
        <v>0</v>
      </c>
      <c r="Y387" s="613">
        <v>-20.166028571893477</v>
      </c>
      <c r="Z387" s="51"/>
      <c r="AA387" s="51"/>
      <c r="AB387" s="51"/>
    </row>
    <row r="388" spans="1:28" x14ac:dyDescent="0.25">
      <c r="A388" s="51" t="e">
        <f t="shared" si="54"/>
        <v>#REF!</v>
      </c>
      <c r="B388" s="51">
        <f t="shared" si="55"/>
        <v>2043</v>
      </c>
      <c r="C388" s="51" t="str">
        <f t="shared" si="55"/>
        <v>AMS</v>
      </c>
      <c r="D388" s="51" t="s">
        <v>491</v>
      </c>
      <c r="E388" s="51" t="e">
        <f>VLOOKUP($H$6,#REF!,2,FALSE)</f>
        <v>#REF!</v>
      </c>
      <c r="F388" s="51"/>
      <c r="G388" s="610" t="s">
        <v>63</v>
      </c>
      <c r="H388" s="611">
        <v>0</v>
      </c>
      <c r="I388" s="611">
        <v>0</v>
      </c>
      <c r="J388" s="611">
        <v>-41.932075648688581</v>
      </c>
      <c r="K388" s="611">
        <v>-12.789597363010756</v>
      </c>
      <c r="L388" s="611">
        <v>0</v>
      </c>
      <c r="M388" s="611">
        <v>0</v>
      </c>
      <c r="N388" s="611">
        <v>0</v>
      </c>
      <c r="O388" s="611">
        <v>0</v>
      </c>
      <c r="P388" s="611">
        <v>0</v>
      </c>
      <c r="Q388" s="611">
        <v>0</v>
      </c>
      <c r="R388" s="611">
        <v>-13.964845940285258</v>
      </c>
      <c r="S388" s="611">
        <v>0</v>
      </c>
      <c r="T388" s="611">
        <v>0</v>
      </c>
      <c r="U388" s="611">
        <v>0</v>
      </c>
      <c r="V388" s="611">
        <v>0</v>
      </c>
      <c r="W388" s="611">
        <v>0</v>
      </c>
      <c r="X388" s="611">
        <v>-1.1030439884832439</v>
      </c>
      <c r="Y388" s="613">
        <v>-69.789562940467846</v>
      </c>
      <c r="Z388" s="51"/>
      <c r="AA388" s="51"/>
      <c r="AB388" s="51"/>
    </row>
    <row r="389" spans="1:28" x14ac:dyDescent="0.25">
      <c r="A389" s="51" t="e">
        <f t="shared" si="54"/>
        <v>#REF!</v>
      </c>
      <c r="B389" s="51">
        <f t="shared" si="55"/>
        <v>2043</v>
      </c>
      <c r="C389" s="51" t="str">
        <f t="shared" si="55"/>
        <v>AMS</v>
      </c>
      <c r="D389" s="51" t="s">
        <v>492</v>
      </c>
      <c r="E389" s="51" t="e">
        <f>VLOOKUP($H$6,#REF!,2,FALSE)</f>
        <v>#REF!</v>
      </c>
      <c r="F389" s="51"/>
      <c r="G389" s="610" t="s">
        <v>64</v>
      </c>
      <c r="H389" s="611">
        <v>0</v>
      </c>
      <c r="I389" s="611">
        <v>0</v>
      </c>
      <c r="J389" s="611">
        <v>0</v>
      </c>
      <c r="K389" s="611">
        <v>0</v>
      </c>
      <c r="L389" s="611">
        <v>0</v>
      </c>
      <c r="M389" s="611">
        <v>0</v>
      </c>
      <c r="N389" s="611">
        <v>0</v>
      </c>
      <c r="O389" s="611">
        <v>0</v>
      </c>
      <c r="P389" s="611">
        <v>0</v>
      </c>
      <c r="Q389" s="611">
        <v>0</v>
      </c>
      <c r="R389" s="611">
        <v>0</v>
      </c>
      <c r="S389" s="611">
        <v>0</v>
      </c>
      <c r="T389" s="611">
        <v>0</v>
      </c>
      <c r="U389" s="611">
        <v>0</v>
      </c>
      <c r="V389" s="611">
        <v>0</v>
      </c>
      <c r="W389" s="611">
        <v>0</v>
      </c>
      <c r="X389" s="611">
        <v>0</v>
      </c>
      <c r="Y389" s="613">
        <v>0</v>
      </c>
      <c r="Z389" s="51"/>
      <c r="AA389" s="51"/>
      <c r="AB389" s="51"/>
    </row>
    <row r="390" spans="1:28" x14ac:dyDescent="0.25">
      <c r="A390" s="51" t="e">
        <f t="shared" si="54"/>
        <v>#REF!</v>
      </c>
      <c r="B390" s="51">
        <f t="shared" si="55"/>
        <v>2043</v>
      </c>
      <c r="C390" s="51" t="str">
        <f t="shared" si="55"/>
        <v>AMS</v>
      </c>
      <c r="D390" s="51" t="s">
        <v>493</v>
      </c>
      <c r="E390" s="51" t="e">
        <f>VLOOKUP($H$6,#REF!,2,FALSE)</f>
        <v>#REF!</v>
      </c>
      <c r="F390" s="51"/>
      <c r="G390" s="614" t="s">
        <v>65</v>
      </c>
      <c r="H390" s="615">
        <v>10.379280707598515</v>
      </c>
      <c r="I390" s="615">
        <v>221.43377158510449</v>
      </c>
      <c r="J390" s="615">
        <v>-103.6859002854695</v>
      </c>
      <c r="K390" s="615">
        <v>-17.367831619542439</v>
      </c>
      <c r="L390" s="622">
        <v>67.004706612009329</v>
      </c>
      <c r="M390" s="615">
        <v>-6.0214231896822394E-2</v>
      </c>
      <c r="N390" s="615">
        <v>960.32137090909112</v>
      </c>
      <c r="O390" s="615">
        <v>427.33219668037293</v>
      </c>
      <c r="P390" s="615">
        <v>305.28509842459829</v>
      </c>
      <c r="Q390" s="615">
        <v>24.5360554675092</v>
      </c>
      <c r="R390" s="615">
        <v>-7.952191090976652</v>
      </c>
      <c r="S390" s="615">
        <v>-5.25006549806798</v>
      </c>
      <c r="T390" s="615">
        <v>147.47340024456145</v>
      </c>
      <c r="U390" s="615">
        <v>23.099478079825218</v>
      </c>
      <c r="V390" s="615">
        <v>-92.827968734039246</v>
      </c>
      <c r="W390" s="615">
        <v>0</v>
      </c>
      <c r="X390" s="615">
        <v>-1.1030439884832439</v>
      </c>
      <c r="Y390" s="615">
        <v>1958.6181432621945</v>
      </c>
      <c r="Z390" s="51"/>
      <c r="AA390" s="51"/>
      <c r="AB390" s="51"/>
    </row>
    <row r="391" spans="1:28" x14ac:dyDescent="0.25">
      <c r="A391" s="51"/>
      <c r="B391" s="51"/>
      <c r="C391" s="51"/>
      <c r="D391" s="51"/>
      <c r="E391" s="51"/>
      <c r="F391" s="51"/>
      <c r="G391" s="616"/>
      <c r="H391" s="617">
        <v>0</v>
      </c>
      <c r="I391" s="617">
        <v>0</v>
      </c>
      <c r="J391" s="617">
        <v>0</v>
      </c>
      <c r="K391" s="617">
        <v>0</v>
      </c>
      <c r="L391" s="623">
        <v>0</v>
      </c>
      <c r="M391" s="617">
        <v>0</v>
      </c>
      <c r="N391" s="617">
        <v>0</v>
      </c>
      <c r="O391" s="617">
        <v>0</v>
      </c>
      <c r="P391" s="617">
        <v>0</v>
      </c>
      <c r="Q391" s="617">
        <v>0</v>
      </c>
      <c r="R391" s="617">
        <v>0</v>
      </c>
      <c r="S391" s="617">
        <v>0</v>
      </c>
      <c r="T391" s="617">
        <v>0</v>
      </c>
      <c r="U391" s="617">
        <v>0</v>
      </c>
      <c r="V391" s="617">
        <v>0</v>
      </c>
      <c r="W391" s="617">
        <v>0</v>
      </c>
      <c r="X391" s="617">
        <v>0</v>
      </c>
      <c r="Y391" s="617">
        <v>0</v>
      </c>
      <c r="Z391" s="51"/>
      <c r="AA391" s="51"/>
      <c r="AB391" s="51"/>
    </row>
    <row r="392" spans="1:28" x14ac:dyDescent="0.25">
      <c r="A392" s="51" t="e">
        <f>A390+2</f>
        <v>#REF!</v>
      </c>
      <c r="B392" s="51">
        <f>B390</f>
        <v>2043</v>
      </c>
      <c r="C392" s="51" t="str">
        <f>C390</f>
        <v>AMS</v>
      </c>
      <c r="D392" s="51" t="s">
        <v>494</v>
      </c>
      <c r="E392" s="51" t="e">
        <f>VLOOKUP($H$6,#REF!,2,FALSE)</f>
        <v>#REF!</v>
      </c>
      <c r="F392" s="51"/>
      <c r="G392" s="618" t="s">
        <v>67</v>
      </c>
      <c r="H392" s="611">
        <v>0</v>
      </c>
      <c r="I392" s="611">
        <v>0</v>
      </c>
      <c r="J392" s="611">
        <v>0</v>
      </c>
      <c r="K392" s="611">
        <v>0</v>
      </c>
      <c r="L392" s="611">
        <v>0</v>
      </c>
      <c r="M392" s="611">
        <v>0</v>
      </c>
      <c r="N392" s="611">
        <v>0</v>
      </c>
      <c r="O392" s="611">
        <v>0</v>
      </c>
      <c r="P392" s="611">
        <v>0</v>
      </c>
      <c r="Q392" s="611">
        <v>0</v>
      </c>
      <c r="R392" s="611">
        <v>0</v>
      </c>
      <c r="S392" s="611">
        <v>0</v>
      </c>
      <c r="T392" s="611">
        <v>0</v>
      </c>
      <c r="U392" s="611">
        <v>0</v>
      </c>
      <c r="V392" s="611">
        <v>0</v>
      </c>
      <c r="W392" s="611">
        <v>0</v>
      </c>
      <c r="X392" s="611">
        <v>0</v>
      </c>
      <c r="Y392" s="619">
        <v>0</v>
      </c>
      <c r="Z392" s="51"/>
      <c r="AA392" s="51"/>
      <c r="AB392" s="51"/>
    </row>
    <row r="393" spans="1:28" x14ac:dyDescent="0.25">
      <c r="A393" s="51" t="e">
        <f t="shared" ref="A393:A404" si="56">A392+1</f>
        <v>#REF!</v>
      </c>
      <c r="B393" s="51">
        <f t="shared" ref="B393:C404" si="57">B392</f>
        <v>2043</v>
      </c>
      <c r="C393" s="51" t="str">
        <f t="shared" si="57"/>
        <v>AMS</v>
      </c>
      <c r="D393" s="51" t="s">
        <v>495</v>
      </c>
      <c r="E393" s="51" t="e">
        <f>VLOOKUP($H$6,#REF!,2,FALSE)</f>
        <v>#REF!</v>
      </c>
      <c r="F393" s="51"/>
      <c r="G393" s="618" t="s">
        <v>347</v>
      </c>
      <c r="H393" s="611">
        <v>0</v>
      </c>
      <c r="I393" s="611">
        <v>0</v>
      </c>
      <c r="J393" s="611">
        <v>2.6460781360013397E-2</v>
      </c>
      <c r="K393" s="611">
        <v>0</v>
      </c>
      <c r="L393" s="611">
        <v>2.3522683451330462</v>
      </c>
      <c r="M393" s="611">
        <v>0</v>
      </c>
      <c r="N393" s="611">
        <v>960.32137090909112</v>
      </c>
      <c r="O393" s="611">
        <v>427.33219668037293</v>
      </c>
      <c r="P393" s="611">
        <v>16.57632422695232</v>
      </c>
      <c r="Q393" s="611">
        <v>7.7978054817441489</v>
      </c>
      <c r="R393" s="611">
        <v>6.0578717375904887</v>
      </c>
      <c r="S393" s="611">
        <v>0.70214282892924051</v>
      </c>
      <c r="T393" s="611">
        <v>0</v>
      </c>
      <c r="U393" s="611">
        <v>6.4590957564387725</v>
      </c>
      <c r="V393" s="611">
        <v>-765.12922843091701</v>
      </c>
      <c r="W393" s="611">
        <v>0</v>
      </c>
      <c r="X393" s="611">
        <v>8.6556140354400011</v>
      </c>
      <c r="Y393" s="619">
        <v>671.15192235213522</v>
      </c>
      <c r="Z393" s="51"/>
      <c r="AA393" s="51"/>
      <c r="AB393" s="51"/>
    </row>
    <row r="394" spans="1:28" x14ac:dyDescent="0.25">
      <c r="A394" s="51" t="e">
        <f t="shared" si="56"/>
        <v>#REF!</v>
      </c>
      <c r="B394" s="51">
        <f t="shared" si="57"/>
        <v>2043</v>
      </c>
      <c r="C394" s="51" t="str">
        <f t="shared" si="57"/>
        <v>AMS</v>
      </c>
      <c r="D394" s="51" t="s">
        <v>496</v>
      </c>
      <c r="E394" s="51" t="e">
        <f>VLOOKUP($H$6,#REF!,2,FALSE)</f>
        <v>#REF!</v>
      </c>
      <c r="F394" s="51"/>
      <c r="G394" s="618" t="s">
        <v>348</v>
      </c>
      <c r="H394" s="611">
        <v>0</v>
      </c>
      <c r="I394" s="611">
        <v>0</v>
      </c>
      <c r="J394" s="611">
        <v>0</v>
      </c>
      <c r="K394" s="611">
        <v>0</v>
      </c>
      <c r="L394" s="611">
        <v>4.7815870319860325</v>
      </c>
      <c r="M394" s="611">
        <v>0</v>
      </c>
      <c r="N394" s="611">
        <v>0</v>
      </c>
      <c r="O394" s="611">
        <v>0</v>
      </c>
      <c r="P394" s="611">
        <v>35.214664152844563</v>
      </c>
      <c r="Q394" s="611">
        <v>14.445160723039894</v>
      </c>
      <c r="R394" s="611">
        <v>0</v>
      </c>
      <c r="S394" s="611">
        <v>7.1872449307268287</v>
      </c>
      <c r="T394" s="611">
        <v>0</v>
      </c>
      <c r="U394" s="611">
        <v>11.182341089352812</v>
      </c>
      <c r="V394" s="611">
        <v>0</v>
      </c>
      <c r="W394" s="611">
        <v>-68.236033723831326</v>
      </c>
      <c r="X394" s="611">
        <v>0</v>
      </c>
      <c r="Y394" s="619">
        <v>4.574964204118805</v>
      </c>
      <c r="Z394" s="51"/>
      <c r="AA394" s="51"/>
      <c r="AB394" s="51"/>
    </row>
    <row r="395" spans="1:28" x14ac:dyDescent="0.25">
      <c r="A395" s="51" t="e">
        <f t="shared" si="56"/>
        <v>#REF!</v>
      </c>
      <c r="B395" s="51">
        <f t="shared" si="57"/>
        <v>2043</v>
      </c>
      <c r="C395" s="51" t="str">
        <f t="shared" si="57"/>
        <v>AMS</v>
      </c>
      <c r="D395" s="51" t="s">
        <v>497</v>
      </c>
      <c r="E395" s="51" t="e">
        <f>VLOOKUP($H$6,#REF!,2,FALSE)</f>
        <v>#REF!</v>
      </c>
      <c r="F395" s="51"/>
      <c r="G395" s="618" t="s">
        <v>349</v>
      </c>
      <c r="H395" s="611">
        <v>0</v>
      </c>
      <c r="I395" s="611">
        <v>0</v>
      </c>
      <c r="J395" s="611">
        <v>0</v>
      </c>
      <c r="K395" s="611">
        <v>0</v>
      </c>
      <c r="L395" s="611">
        <v>0</v>
      </c>
      <c r="M395" s="611">
        <v>0</v>
      </c>
      <c r="N395" s="611">
        <v>0</v>
      </c>
      <c r="O395" s="611">
        <v>0</v>
      </c>
      <c r="P395" s="611">
        <v>86.712726116580654</v>
      </c>
      <c r="Q395" s="611">
        <v>0</v>
      </c>
      <c r="R395" s="611">
        <v>0</v>
      </c>
      <c r="S395" s="611">
        <v>-81.058206766911681</v>
      </c>
      <c r="T395" s="611">
        <v>0</v>
      </c>
      <c r="U395" s="611">
        <v>0</v>
      </c>
      <c r="V395" s="611">
        <v>0</v>
      </c>
      <c r="W395" s="611">
        <v>0</v>
      </c>
      <c r="X395" s="611">
        <v>0</v>
      </c>
      <c r="Y395" s="619">
        <v>5.6545193496689734</v>
      </c>
      <c r="Z395" s="51"/>
      <c r="AA395" s="51"/>
      <c r="AB395" s="51"/>
    </row>
    <row r="396" spans="1:28" x14ac:dyDescent="0.25">
      <c r="A396" s="51" t="e">
        <f t="shared" si="56"/>
        <v>#REF!</v>
      </c>
      <c r="B396" s="51">
        <f t="shared" si="57"/>
        <v>2043</v>
      </c>
      <c r="C396" s="51" t="str">
        <f t="shared" si="57"/>
        <v>AMS</v>
      </c>
      <c r="D396" s="51" t="s">
        <v>498</v>
      </c>
      <c r="E396" s="51" t="e">
        <f>VLOOKUP($H$6,#REF!,2,FALSE)</f>
        <v>#REF!</v>
      </c>
      <c r="F396" s="51"/>
      <c r="G396" s="618" t="s">
        <v>350</v>
      </c>
      <c r="H396" s="611">
        <v>0</v>
      </c>
      <c r="I396" s="611">
        <v>0</v>
      </c>
      <c r="J396" s="611">
        <v>0</v>
      </c>
      <c r="K396" s="611">
        <v>0</v>
      </c>
      <c r="L396" s="611">
        <v>0</v>
      </c>
      <c r="M396" s="611">
        <v>-0.77768027176235188</v>
      </c>
      <c r="N396" s="611">
        <v>0</v>
      </c>
      <c r="O396" s="611">
        <v>0</v>
      </c>
      <c r="P396" s="611">
        <v>0</v>
      </c>
      <c r="Q396" s="611">
        <v>0</v>
      </c>
      <c r="R396" s="611">
        <v>0</v>
      </c>
      <c r="S396" s="611">
        <v>0</v>
      </c>
      <c r="T396" s="611">
        <v>0</v>
      </c>
      <c r="U396" s="611">
        <v>0</v>
      </c>
      <c r="V396" s="611">
        <v>0</v>
      </c>
      <c r="W396" s="611">
        <v>0</v>
      </c>
      <c r="X396" s="611">
        <v>1.0822986785331616</v>
      </c>
      <c r="Y396" s="619">
        <v>0.30461840677080976</v>
      </c>
      <c r="Z396" s="51"/>
      <c r="AA396" s="51"/>
      <c r="AB396" s="51"/>
    </row>
    <row r="397" spans="1:28" x14ac:dyDescent="0.25">
      <c r="A397" s="51" t="e">
        <f t="shared" si="56"/>
        <v>#REF!</v>
      </c>
      <c r="B397" s="51">
        <f t="shared" si="57"/>
        <v>2043</v>
      </c>
      <c r="C397" s="51" t="str">
        <f t="shared" si="57"/>
        <v>AMS</v>
      </c>
      <c r="D397" s="51" t="s">
        <v>499</v>
      </c>
      <c r="E397" s="51" t="e">
        <f>VLOOKUP($H$6,#REF!,2,FALSE)</f>
        <v>#REF!</v>
      </c>
      <c r="F397" s="51"/>
      <c r="G397" s="618" t="s">
        <v>72</v>
      </c>
      <c r="H397" s="611">
        <v>0</v>
      </c>
      <c r="I397" s="611">
        <v>229.44376619610998</v>
      </c>
      <c r="J397" s="611">
        <v>-227.15530245315296</v>
      </c>
      <c r="K397" s="611">
        <v>0</v>
      </c>
      <c r="L397" s="611">
        <v>0</v>
      </c>
      <c r="M397" s="611">
        <v>0</v>
      </c>
      <c r="N397" s="611">
        <v>0</v>
      </c>
      <c r="O397" s="611">
        <v>0</v>
      </c>
      <c r="P397" s="611">
        <v>0</v>
      </c>
      <c r="Q397" s="611">
        <v>0</v>
      </c>
      <c r="R397" s="611">
        <v>0</v>
      </c>
      <c r="S397" s="611">
        <v>0</v>
      </c>
      <c r="T397" s="611">
        <v>0</v>
      </c>
      <c r="U397" s="611">
        <v>0</v>
      </c>
      <c r="V397" s="611">
        <v>0</v>
      </c>
      <c r="W397" s="611">
        <v>0</v>
      </c>
      <c r="X397" s="611">
        <v>0</v>
      </c>
      <c r="Y397" s="619">
        <v>2.2884637429570258</v>
      </c>
      <c r="Z397" s="51"/>
      <c r="AA397" s="51"/>
      <c r="AB397" s="51"/>
    </row>
    <row r="398" spans="1:28" x14ac:dyDescent="0.25">
      <c r="A398" s="51" t="e">
        <f t="shared" si="56"/>
        <v>#REF!</v>
      </c>
      <c r="B398" s="51">
        <f t="shared" si="57"/>
        <v>2043</v>
      </c>
      <c r="C398" s="51" t="str">
        <f t="shared" si="57"/>
        <v>AMS</v>
      </c>
      <c r="D398" s="51" t="s">
        <v>500</v>
      </c>
      <c r="E398" s="51" t="e">
        <f>VLOOKUP($H$6,#REF!,2,FALSE)</f>
        <v>#REF!</v>
      </c>
      <c r="F398" s="51"/>
      <c r="G398" s="618" t="s">
        <v>351</v>
      </c>
      <c r="H398" s="611">
        <v>0</v>
      </c>
      <c r="I398" s="611">
        <v>0</v>
      </c>
      <c r="J398" s="611">
        <v>0</v>
      </c>
      <c r="K398" s="611">
        <v>0</v>
      </c>
      <c r="L398" s="611">
        <v>0</v>
      </c>
      <c r="M398" s="611">
        <v>0</v>
      </c>
      <c r="N398" s="611">
        <v>0</v>
      </c>
      <c r="O398" s="611">
        <v>0</v>
      </c>
      <c r="P398" s="611">
        <v>110.37341937246062</v>
      </c>
      <c r="Q398" s="611">
        <v>0</v>
      </c>
      <c r="R398" s="611">
        <v>-110.37341937246062</v>
      </c>
      <c r="S398" s="611">
        <v>0</v>
      </c>
      <c r="T398" s="611">
        <v>0</v>
      </c>
      <c r="U398" s="611">
        <v>0</v>
      </c>
      <c r="V398" s="611">
        <v>0</v>
      </c>
      <c r="W398" s="611">
        <v>0</v>
      </c>
      <c r="X398" s="611">
        <v>0</v>
      </c>
      <c r="Y398" s="619">
        <v>0</v>
      </c>
      <c r="Z398" s="51"/>
      <c r="AA398" s="51"/>
      <c r="AB398" s="51"/>
    </row>
    <row r="399" spans="1:28" x14ac:dyDescent="0.25">
      <c r="A399" s="51" t="e">
        <f t="shared" si="56"/>
        <v>#REF!</v>
      </c>
      <c r="B399" s="51">
        <f t="shared" si="57"/>
        <v>2043</v>
      </c>
      <c r="C399" s="51" t="str">
        <f t="shared" si="57"/>
        <v>AMS</v>
      </c>
      <c r="D399" s="51" t="s">
        <v>501</v>
      </c>
      <c r="E399" s="51" t="e">
        <f>VLOOKUP($H$6,#REF!,2,FALSE)</f>
        <v>#REF!</v>
      </c>
      <c r="F399" s="51"/>
      <c r="G399" s="618" t="s">
        <v>352</v>
      </c>
      <c r="H399" s="611">
        <v>0</v>
      </c>
      <c r="I399" s="611">
        <v>0</v>
      </c>
      <c r="J399" s="611">
        <v>0</v>
      </c>
      <c r="K399" s="611">
        <v>-25.838308158403624</v>
      </c>
      <c r="L399" s="611">
        <v>0</v>
      </c>
      <c r="M399" s="611">
        <v>0</v>
      </c>
      <c r="N399" s="611">
        <v>0</v>
      </c>
      <c r="O399" s="611">
        <v>0</v>
      </c>
      <c r="P399" s="611">
        <v>0</v>
      </c>
      <c r="Q399" s="611">
        <v>0</v>
      </c>
      <c r="R399" s="611">
        <v>0</v>
      </c>
      <c r="S399" s="611">
        <v>0</v>
      </c>
      <c r="T399" s="611">
        <v>0</v>
      </c>
      <c r="U399" s="611">
        <v>0</v>
      </c>
      <c r="V399" s="611">
        <v>0</v>
      </c>
      <c r="W399" s="611">
        <v>0</v>
      </c>
      <c r="X399" s="611">
        <v>35.986501613375523</v>
      </c>
      <c r="Y399" s="619">
        <v>10.148193454971899</v>
      </c>
      <c r="Z399" s="51"/>
      <c r="AA399" s="51"/>
      <c r="AB399" s="51"/>
    </row>
    <row r="400" spans="1:28" x14ac:dyDescent="0.25">
      <c r="A400" s="51" t="e">
        <f t="shared" si="56"/>
        <v>#REF!</v>
      </c>
      <c r="B400" s="51">
        <f t="shared" si="57"/>
        <v>2043</v>
      </c>
      <c r="C400" s="51" t="str">
        <f t="shared" si="57"/>
        <v>AMS</v>
      </c>
      <c r="D400" s="51" t="s">
        <v>502</v>
      </c>
      <c r="E400" s="51" t="e">
        <f>VLOOKUP($H$6,#REF!,2,FALSE)</f>
        <v>#REF!</v>
      </c>
      <c r="F400" s="51"/>
      <c r="G400" s="618" t="s">
        <v>73</v>
      </c>
      <c r="H400" s="611">
        <v>0</v>
      </c>
      <c r="I400" s="611">
        <v>0</v>
      </c>
      <c r="J400" s="611">
        <v>0</v>
      </c>
      <c r="K400" s="611">
        <v>0</v>
      </c>
      <c r="L400" s="611">
        <v>0</v>
      </c>
      <c r="M400" s="611">
        <v>0</v>
      </c>
      <c r="N400" s="611">
        <v>0</v>
      </c>
      <c r="O400" s="611">
        <v>0</v>
      </c>
      <c r="P400" s="611">
        <v>0</v>
      </c>
      <c r="Q400" s="611">
        <v>0</v>
      </c>
      <c r="R400" s="611">
        <v>0</v>
      </c>
      <c r="S400" s="611">
        <v>0</v>
      </c>
      <c r="T400" s="611">
        <v>0</v>
      </c>
      <c r="U400" s="611">
        <v>0</v>
      </c>
      <c r="V400" s="611">
        <v>123.55298997907649</v>
      </c>
      <c r="W400" s="611">
        <v>0</v>
      </c>
      <c r="X400" s="611">
        <v>-85.931104530447698</v>
      </c>
      <c r="Y400" s="619">
        <v>37.621885448628788</v>
      </c>
      <c r="Z400" s="51"/>
      <c r="AA400" s="51"/>
      <c r="AB400" s="51"/>
    </row>
    <row r="401" spans="1:28" x14ac:dyDescent="0.25">
      <c r="A401" s="51" t="e">
        <f t="shared" si="56"/>
        <v>#REF!</v>
      </c>
      <c r="B401" s="51">
        <f t="shared" si="57"/>
        <v>2043</v>
      </c>
      <c r="C401" s="51" t="str">
        <f t="shared" si="57"/>
        <v>AMS</v>
      </c>
      <c r="D401" s="51" t="s">
        <v>503</v>
      </c>
      <c r="E401" s="51" t="e">
        <f>VLOOKUP($H$6,#REF!,2,FALSE)</f>
        <v>#REF!</v>
      </c>
      <c r="F401" s="51"/>
      <c r="G401" s="618" t="s">
        <v>353</v>
      </c>
      <c r="H401" s="611">
        <v>5.7430949414062491</v>
      </c>
      <c r="I401" s="611">
        <v>-8.0099946110054798</v>
      </c>
      <c r="J401" s="611">
        <v>10.446968779828495</v>
      </c>
      <c r="K401" s="611">
        <v>0</v>
      </c>
      <c r="L401" s="611">
        <v>0</v>
      </c>
      <c r="M401" s="611">
        <v>0</v>
      </c>
      <c r="N401" s="611">
        <v>0</v>
      </c>
      <c r="O401" s="611">
        <v>0</v>
      </c>
      <c r="P401" s="611">
        <v>0</v>
      </c>
      <c r="Q401" s="611">
        <v>0</v>
      </c>
      <c r="R401" s="611">
        <v>0</v>
      </c>
      <c r="S401" s="611">
        <v>0</v>
      </c>
      <c r="T401" s="611">
        <v>0</v>
      </c>
      <c r="U401" s="611">
        <v>0</v>
      </c>
      <c r="V401" s="611">
        <v>0</v>
      </c>
      <c r="W401" s="611">
        <v>0</v>
      </c>
      <c r="X401" s="611">
        <v>0</v>
      </c>
      <c r="Y401" s="619">
        <v>8.1800691102292635</v>
      </c>
      <c r="Z401" s="51"/>
      <c r="AA401" s="51"/>
      <c r="AB401" s="51"/>
    </row>
    <row r="402" spans="1:28" x14ac:dyDescent="0.25">
      <c r="A402" s="51" t="e">
        <f t="shared" si="56"/>
        <v>#REF!</v>
      </c>
      <c r="B402" s="51">
        <f t="shared" si="57"/>
        <v>2043</v>
      </c>
      <c r="C402" s="51" t="str">
        <f t="shared" si="57"/>
        <v>AMS</v>
      </c>
      <c r="D402" s="51" t="s">
        <v>504</v>
      </c>
      <c r="E402" s="51" t="e">
        <f>VLOOKUP($H$6,#REF!,2,FALSE)</f>
        <v>#REF!</v>
      </c>
      <c r="F402" s="51"/>
      <c r="G402" s="618" t="s">
        <v>75</v>
      </c>
      <c r="H402" s="611">
        <v>2.2334258105468749</v>
      </c>
      <c r="I402" s="611">
        <v>0</v>
      </c>
      <c r="J402" s="611">
        <v>17.43246590348684</v>
      </c>
      <c r="K402" s="611">
        <v>0</v>
      </c>
      <c r="L402" s="611">
        <v>2.2924587532620087</v>
      </c>
      <c r="M402" s="611">
        <v>3.0296811717119062E-2</v>
      </c>
      <c r="N402" s="611">
        <v>0</v>
      </c>
      <c r="O402" s="611">
        <v>0</v>
      </c>
      <c r="P402" s="611">
        <v>0</v>
      </c>
      <c r="Q402" s="611">
        <v>0</v>
      </c>
      <c r="R402" s="611">
        <v>0</v>
      </c>
      <c r="S402" s="611">
        <v>2.7267130545407157</v>
      </c>
      <c r="T402" s="611">
        <v>0</v>
      </c>
      <c r="U402" s="611">
        <v>0</v>
      </c>
      <c r="V402" s="611">
        <v>23.595360637967065</v>
      </c>
      <c r="W402" s="611">
        <v>0</v>
      </c>
      <c r="X402" s="611">
        <v>0</v>
      </c>
      <c r="Y402" s="619">
        <v>48.310720971520617</v>
      </c>
      <c r="Z402" s="51"/>
      <c r="AA402" s="51"/>
      <c r="AB402" s="51"/>
    </row>
    <row r="403" spans="1:28" x14ac:dyDescent="0.25">
      <c r="A403" s="51" t="e">
        <f t="shared" si="56"/>
        <v>#REF!</v>
      </c>
      <c r="B403" s="51">
        <f t="shared" si="57"/>
        <v>2043</v>
      </c>
      <c r="C403" s="51" t="str">
        <f t="shared" si="57"/>
        <v>AMS</v>
      </c>
      <c r="D403" s="51" t="s">
        <v>505</v>
      </c>
      <c r="E403" s="51" t="e">
        <f>VLOOKUP($H$6,#REF!,2,FALSE)</f>
        <v>#REF!</v>
      </c>
      <c r="F403" s="51"/>
      <c r="G403" s="618" t="s">
        <v>76</v>
      </c>
      <c r="H403" s="611">
        <v>0</v>
      </c>
      <c r="I403" s="611">
        <v>0</v>
      </c>
      <c r="J403" s="611">
        <v>0</v>
      </c>
      <c r="K403" s="611">
        <v>0</v>
      </c>
      <c r="L403" s="611">
        <v>0.77794253909705646</v>
      </c>
      <c r="M403" s="611">
        <v>1.0281178930798104E-2</v>
      </c>
      <c r="N403" s="611">
        <v>0</v>
      </c>
      <c r="O403" s="611">
        <v>0</v>
      </c>
      <c r="P403" s="611">
        <v>0</v>
      </c>
      <c r="Q403" s="611">
        <v>0</v>
      </c>
      <c r="R403" s="611">
        <v>0</v>
      </c>
      <c r="S403" s="611">
        <v>0.92530610377182942</v>
      </c>
      <c r="T403" s="611">
        <v>0</v>
      </c>
      <c r="U403" s="611">
        <v>0</v>
      </c>
      <c r="V403" s="611">
        <v>51.450407896446343</v>
      </c>
      <c r="W403" s="611">
        <v>5.2924074535934169</v>
      </c>
      <c r="X403" s="611">
        <v>0</v>
      </c>
      <c r="Y403" s="619">
        <v>58.456345171839445</v>
      </c>
      <c r="Z403" s="51"/>
      <c r="AA403" s="51"/>
      <c r="AB403" s="51"/>
    </row>
    <row r="404" spans="1:28" x14ac:dyDescent="0.25">
      <c r="A404" s="51" t="e">
        <f t="shared" si="56"/>
        <v>#REF!</v>
      </c>
      <c r="B404" s="51">
        <f t="shared" si="57"/>
        <v>2043</v>
      </c>
      <c r="C404" s="51" t="str">
        <f t="shared" si="57"/>
        <v>AMS</v>
      </c>
      <c r="D404" s="51" t="s">
        <v>506</v>
      </c>
      <c r="E404" s="51" t="e">
        <f>VLOOKUP($H$6,#REF!,2,FALSE)</f>
        <v>#REF!</v>
      </c>
      <c r="F404" s="51"/>
      <c r="G404" s="614" t="s">
        <v>77</v>
      </c>
      <c r="H404" s="615">
        <v>7.9765207519531245</v>
      </c>
      <c r="I404" s="615">
        <v>221.43377158510449</v>
      </c>
      <c r="J404" s="615">
        <v>-199.24940698847763</v>
      </c>
      <c r="K404" s="615">
        <v>-25.838308158403624</v>
      </c>
      <c r="L404" s="622">
        <v>10.204256669478143</v>
      </c>
      <c r="M404" s="615">
        <v>-0.73710228111443477</v>
      </c>
      <c r="N404" s="615">
        <v>960.32137090909112</v>
      </c>
      <c r="O404" s="615">
        <v>427.33219668037293</v>
      </c>
      <c r="P404" s="615">
        <v>248.87713386883817</v>
      </c>
      <c r="Q404" s="615">
        <v>22.242966204784043</v>
      </c>
      <c r="R404" s="615">
        <v>-104.31554763487013</v>
      </c>
      <c r="S404" s="615">
        <v>-69.51679984894308</v>
      </c>
      <c r="T404" s="615">
        <v>0</v>
      </c>
      <c r="U404" s="615">
        <v>17.641436845791585</v>
      </c>
      <c r="V404" s="615">
        <v>-566.53046991742701</v>
      </c>
      <c r="W404" s="615">
        <v>-62.943626270237907</v>
      </c>
      <c r="X404" s="615">
        <v>-40.206690203099015</v>
      </c>
      <c r="Y404" s="615">
        <v>846.69170221284094</v>
      </c>
      <c r="Z404" s="51"/>
      <c r="AA404" s="51"/>
      <c r="AB404" s="51"/>
    </row>
    <row r="405" spans="1:28" x14ac:dyDescent="0.25">
      <c r="A405" s="51"/>
      <c r="B405" s="51"/>
      <c r="C405" s="51"/>
      <c r="D405" s="51"/>
      <c r="E405" s="51"/>
      <c r="F405" s="51"/>
      <c r="G405" s="616"/>
      <c r="H405" s="617">
        <v>0</v>
      </c>
      <c r="I405" s="617">
        <v>0</v>
      </c>
      <c r="J405" s="617">
        <v>0</v>
      </c>
      <c r="K405" s="617">
        <v>0</v>
      </c>
      <c r="L405" s="623">
        <v>0</v>
      </c>
      <c r="M405" s="617">
        <v>0</v>
      </c>
      <c r="N405" s="617">
        <v>0</v>
      </c>
      <c r="O405" s="617">
        <v>0</v>
      </c>
      <c r="P405" s="617">
        <v>0</v>
      </c>
      <c r="Q405" s="617">
        <v>0</v>
      </c>
      <c r="R405" s="617">
        <v>0</v>
      </c>
      <c r="S405" s="617">
        <v>0</v>
      </c>
      <c r="T405" s="617">
        <v>0</v>
      </c>
      <c r="U405" s="617">
        <v>0</v>
      </c>
      <c r="V405" s="617">
        <v>0</v>
      </c>
      <c r="W405" s="617">
        <v>0</v>
      </c>
      <c r="X405" s="617">
        <v>0</v>
      </c>
      <c r="Y405" s="617">
        <v>0</v>
      </c>
      <c r="Z405" s="51"/>
      <c r="AA405" s="51"/>
      <c r="AB405" s="51"/>
    </row>
    <row r="406" spans="1:28" x14ac:dyDescent="0.25">
      <c r="A406" s="51" t="e">
        <f>A404+2</f>
        <v>#REF!</v>
      </c>
      <c r="B406" s="51">
        <f>B404</f>
        <v>2043</v>
      </c>
      <c r="C406" s="51" t="str">
        <f>C384</f>
        <v>AMS</v>
      </c>
      <c r="D406" s="51" t="s">
        <v>507</v>
      </c>
      <c r="E406" s="51" t="e">
        <f>VLOOKUP($H$6,#REF!,2,FALSE)</f>
        <v>#REF!</v>
      </c>
      <c r="F406" s="51"/>
      <c r="G406" s="618" t="s">
        <v>78</v>
      </c>
      <c r="H406" s="611">
        <v>2.4027599556453909</v>
      </c>
      <c r="I406" s="611">
        <v>0</v>
      </c>
      <c r="J406" s="611">
        <v>3.114463113040443</v>
      </c>
      <c r="K406" s="611">
        <v>0</v>
      </c>
      <c r="L406" s="611">
        <v>22.626318476237717</v>
      </c>
      <c r="M406" s="611">
        <v>0.29902623536878048</v>
      </c>
      <c r="N406" s="611">
        <v>0</v>
      </c>
      <c r="O406" s="611">
        <v>0</v>
      </c>
      <c r="P406" s="611">
        <v>19.572699923725285</v>
      </c>
      <c r="Q406" s="611">
        <v>2.2927206810178133</v>
      </c>
      <c r="R406" s="611">
        <v>2.5907279394531253</v>
      </c>
      <c r="S406" s="611">
        <v>26.952636430442517</v>
      </c>
      <c r="T406" s="611">
        <v>8.8445146484374995</v>
      </c>
      <c r="U406" s="611">
        <v>8.2107689234467234E-4</v>
      </c>
      <c r="V406" s="611">
        <v>134.99858174444151</v>
      </c>
      <c r="W406" s="611">
        <v>18.388872155735818</v>
      </c>
      <c r="X406" s="611">
        <v>5.7096738281250001</v>
      </c>
      <c r="Y406" s="619">
        <v>247.79381620856324</v>
      </c>
      <c r="Z406" s="51"/>
      <c r="AA406" s="620" t="e" cm="1">
        <f t="array" aca="1" ref="AA406" ca="1">_xlfn.IFNA(INDEX(#REF!,MATCH(INDIRECT("Codes_bilans!"&amp;AA$1&amp;"$"&amp;$A406),#REF!,0),MATCH($B406,#REF!,0)),0)</f>
        <v>#REF!</v>
      </c>
      <c r="AB406" s="51"/>
    </row>
    <row r="407" spans="1:28" x14ac:dyDescent="0.25">
      <c r="A407" s="51" t="e">
        <f t="shared" ref="A407:A414" si="58">A406+1</f>
        <v>#REF!</v>
      </c>
      <c r="B407" s="51">
        <f t="shared" ref="B407:C414" si="59">B406</f>
        <v>2043</v>
      </c>
      <c r="C407" s="51" t="str">
        <f t="shared" si="59"/>
        <v>AMS</v>
      </c>
      <c r="D407" s="51" t="s">
        <v>508</v>
      </c>
      <c r="E407" s="51" t="e">
        <f>VLOOKUP($H$6,#REF!,2,FALSE)</f>
        <v>#REF!</v>
      </c>
      <c r="F407" s="51"/>
      <c r="G407" s="618" t="s">
        <v>79</v>
      </c>
      <c r="H407" s="611">
        <v>0</v>
      </c>
      <c r="I407" s="611">
        <v>0</v>
      </c>
      <c r="J407" s="611">
        <v>28.084568019979141</v>
      </c>
      <c r="K407" s="611">
        <v>1.421472124111238</v>
      </c>
      <c r="L407" s="611">
        <v>2.5860362638913656</v>
      </c>
      <c r="M407" s="611">
        <v>3.4176690712220695E-2</v>
      </c>
      <c r="N407" s="611">
        <v>0</v>
      </c>
      <c r="O407" s="611">
        <v>0</v>
      </c>
      <c r="P407" s="611">
        <v>0</v>
      </c>
      <c r="Q407" s="611">
        <v>0</v>
      </c>
      <c r="R407" s="611">
        <v>58.95620249302754</v>
      </c>
      <c r="S407" s="611">
        <v>3.0759021640998623</v>
      </c>
      <c r="T407" s="611">
        <v>0</v>
      </c>
      <c r="U407" s="611">
        <v>0</v>
      </c>
      <c r="V407" s="611">
        <v>96.758599927458889</v>
      </c>
      <c r="W407" s="611">
        <v>0</v>
      </c>
      <c r="X407" s="611">
        <v>4.2910115463144054</v>
      </c>
      <c r="Y407" s="619">
        <v>195.20796922959462</v>
      </c>
      <c r="Z407" s="51"/>
      <c r="AA407" s="620" t="e" cm="1">
        <f t="array" aca="1" ref="AA407" ca="1">_xlfn.IFNA(INDEX(#REF!,MATCH(INDIRECT("Codes_bilans!"&amp;AA$1&amp;"$"&amp;$A407),#REF!,0),MATCH($B407,#REF!,0)),0)</f>
        <v>#REF!</v>
      </c>
      <c r="AB407" s="51"/>
    </row>
    <row r="408" spans="1:28" x14ac:dyDescent="0.25">
      <c r="A408" s="51" t="e">
        <f t="shared" si="58"/>
        <v>#REF!</v>
      </c>
      <c r="B408" s="51">
        <f t="shared" si="59"/>
        <v>2043</v>
      </c>
      <c r="C408" s="51" t="str">
        <f t="shared" si="59"/>
        <v>AMS</v>
      </c>
      <c r="D408" s="51" t="s">
        <v>509</v>
      </c>
      <c r="E408" s="51" t="e">
        <f>VLOOKUP($H$6,#REF!,2,FALSE)</f>
        <v>#REF!</v>
      </c>
      <c r="F408" s="51"/>
      <c r="G408" s="618" t="s">
        <v>80</v>
      </c>
      <c r="H408" s="611">
        <v>0</v>
      </c>
      <c r="I408" s="611">
        <v>0</v>
      </c>
      <c r="J408" s="611">
        <v>1.9362419459346965</v>
      </c>
      <c r="K408" s="611">
        <v>0</v>
      </c>
      <c r="L408" s="611">
        <v>16.315204996757775</v>
      </c>
      <c r="M408" s="611">
        <v>0.21561944929635826</v>
      </c>
      <c r="N408" s="611">
        <v>0</v>
      </c>
      <c r="O408" s="611">
        <v>0</v>
      </c>
      <c r="P408" s="611">
        <v>32.232635043857968</v>
      </c>
      <c r="Q408" s="611">
        <v>0</v>
      </c>
      <c r="R408" s="611">
        <v>0</v>
      </c>
      <c r="S408" s="611">
        <v>19.405750436672243</v>
      </c>
      <c r="T408" s="611">
        <v>110.86834865357281</v>
      </c>
      <c r="U408" s="611">
        <v>2.8847164087553931</v>
      </c>
      <c r="V408" s="611">
        <v>143.227613977858</v>
      </c>
      <c r="W408" s="611">
        <v>25.545428952203935</v>
      </c>
      <c r="X408" s="611">
        <v>0</v>
      </c>
      <c r="Y408" s="619">
        <v>352.63155986490921</v>
      </c>
      <c r="Z408" s="51"/>
      <c r="AA408" s="620" t="e" cm="1">
        <f t="array" aca="1" ref="AA408" ca="1">_xlfn.IFNA(INDEX(#REF!,MATCH(INDIRECT("Codes_bilans!"&amp;AA$1&amp;"$"&amp;$A408),#REF!,0),MATCH($B408,#REF!,0)),0)</f>
        <v>#REF!</v>
      </c>
      <c r="AB408" s="51"/>
    </row>
    <row r="409" spans="1:28" x14ac:dyDescent="0.25">
      <c r="A409" s="51" t="e">
        <f t="shared" si="58"/>
        <v>#REF!</v>
      </c>
      <c r="B409" s="51">
        <f t="shared" si="59"/>
        <v>2043</v>
      </c>
      <c r="C409" s="51" t="str">
        <f t="shared" si="59"/>
        <v>AMS</v>
      </c>
      <c r="D409" s="51" t="s">
        <v>510</v>
      </c>
      <c r="E409" s="51" t="e">
        <f>VLOOKUP($H$6,#REF!,2,FALSE)</f>
        <v>#REF!</v>
      </c>
      <c r="F409" s="51"/>
      <c r="G409" s="618" t="s">
        <v>81</v>
      </c>
      <c r="H409" s="611">
        <v>0</v>
      </c>
      <c r="I409" s="611">
        <v>0</v>
      </c>
      <c r="J409" s="611">
        <v>0.97723127965383472</v>
      </c>
      <c r="K409" s="611">
        <v>0</v>
      </c>
      <c r="L409" s="611">
        <v>8.896881568300115</v>
      </c>
      <c r="M409" s="611">
        <v>0.11757993262070637</v>
      </c>
      <c r="N409" s="611">
        <v>0</v>
      </c>
      <c r="O409" s="611">
        <v>0</v>
      </c>
      <c r="P409" s="611">
        <v>0.3860243395319729</v>
      </c>
      <c r="Q409" s="611">
        <v>3.6858170734169985E-4</v>
      </c>
      <c r="R409" s="611">
        <v>0</v>
      </c>
      <c r="S409" s="611">
        <v>10.582193935863573</v>
      </c>
      <c r="T409" s="611">
        <v>26.610536942551132</v>
      </c>
      <c r="U409" s="611">
        <v>1.0058473798751368</v>
      </c>
      <c r="V409" s="611">
        <v>89.039868511744515</v>
      </c>
      <c r="W409" s="611">
        <v>19.009325162298154</v>
      </c>
      <c r="X409" s="611">
        <v>0</v>
      </c>
      <c r="Y409" s="619">
        <v>156.62585763414648</v>
      </c>
      <c r="Z409" s="51"/>
      <c r="AA409" s="620" t="e" cm="1">
        <f t="array" aca="1" ref="AA409" ca="1">_xlfn.IFNA(INDEX(#REF!,MATCH(INDIRECT("Codes_bilans!"&amp;AA$1&amp;"$"&amp;$A409),#REF!,0),MATCH($B409,#REF!,0)),0)</f>
        <v>#REF!</v>
      </c>
      <c r="AB409" s="51"/>
    </row>
    <row r="410" spans="1:28" x14ac:dyDescent="0.25">
      <c r="A410" s="51" t="e">
        <f t="shared" si="58"/>
        <v>#REF!</v>
      </c>
      <c r="B410" s="51">
        <f t="shared" si="59"/>
        <v>2043</v>
      </c>
      <c r="C410" s="51" t="str">
        <f t="shared" si="59"/>
        <v>AMS</v>
      </c>
      <c r="D410" s="51" t="s">
        <v>511</v>
      </c>
      <c r="E410" s="51" t="e">
        <f>VLOOKUP($H$6,#REF!,2,FALSE)</f>
        <v>#REF!</v>
      </c>
      <c r="F410" s="51"/>
      <c r="G410" s="618" t="s">
        <v>82</v>
      </c>
      <c r="H410" s="611">
        <v>0</v>
      </c>
      <c r="I410" s="611">
        <v>0</v>
      </c>
      <c r="J410" s="611">
        <v>5.9328832606411623</v>
      </c>
      <c r="K410" s="611">
        <v>0</v>
      </c>
      <c r="L410" s="611">
        <v>0.79342108561234903</v>
      </c>
      <c r="M410" s="611">
        <v>1.0485741219546464E-2</v>
      </c>
      <c r="N410" s="611">
        <v>0</v>
      </c>
      <c r="O410" s="611">
        <v>0</v>
      </c>
      <c r="P410" s="611">
        <v>3.7340409967435519</v>
      </c>
      <c r="Q410" s="611">
        <v>0</v>
      </c>
      <c r="R410" s="611">
        <v>16.919952753679041</v>
      </c>
      <c r="S410" s="611">
        <v>0.94371670975918176</v>
      </c>
      <c r="T410" s="611">
        <v>1.1499999999999999</v>
      </c>
      <c r="U410" s="611">
        <v>1.5666563685107562</v>
      </c>
      <c r="V410" s="611">
        <v>7.7866370218848946</v>
      </c>
      <c r="W410" s="611">
        <v>0</v>
      </c>
      <c r="X410" s="611">
        <v>0.36062656029870238</v>
      </c>
      <c r="Y410" s="619">
        <v>39.198420498349186</v>
      </c>
      <c r="Z410" s="51"/>
      <c r="AA410" s="620" t="e" cm="1">
        <f t="array" aca="1" ref="AA410" ca="1">_xlfn.IFNA(INDEX(#REF!,MATCH(INDIRECT("Codes_bilans!"&amp;AA$1&amp;"$"&amp;$A410),#REF!,0),MATCH($B410,#REF!,0)),0)</f>
        <v>#REF!</v>
      </c>
      <c r="AB410" s="51"/>
    </row>
    <row r="411" spans="1:28" x14ac:dyDescent="0.25">
      <c r="A411" s="51" t="e">
        <f t="shared" si="58"/>
        <v>#REF!</v>
      </c>
      <c r="B411" s="51">
        <f t="shared" si="59"/>
        <v>2043</v>
      </c>
      <c r="C411" s="51" t="str">
        <f t="shared" si="59"/>
        <v>AMS</v>
      </c>
      <c r="D411" s="51" t="s">
        <v>512</v>
      </c>
      <c r="E411" s="51" t="e">
        <f>VLOOKUP($H$6,#REF!,2,FALSE)</f>
        <v>#REF!</v>
      </c>
      <c r="F411" s="51"/>
      <c r="G411" s="618" t="s">
        <v>354</v>
      </c>
      <c r="H411" s="611">
        <v>0</v>
      </c>
      <c r="I411" s="611">
        <v>0</v>
      </c>
      <c r="J411" s="611">
        <v>0</v>
      </c>
      <c r="K411" s="611">
        <v>0</v>
      </c>
      <c r="L411" s="611">
        <v>0</v>
      </c>
      <c r="M411" s="611">
        <v>0</v>
      </c>
      <c r="N411" s="611">
        <v>0</v>
      </c>
      <c r="O411" s="611">
        <v>0</v>
      </c>
      <c r="P411" s="611">
        <v>0</v>
      </c>
      <c r="Q411" s="611">
        <v>0</v>
      </c>
      <c r="R411" s="611">
        <v>0</v>
      </c>
      <c r="S411" s="611">
        <v>0</v>
      </c>
      <c r="T411" s="611">
        <v>0</v>
      </c>
      <c r="U411" s="611">
        <v>0</v>
      </c>
      <c r="V411" s="611">
        <v>1.8912</v>
      </c>
      <c r="W411" s="611">
        <v>0</v>
      </c>
      <c r="X411" s="611">
        <v>0</v>
      </c>
      <c r="Y411" s="619">
        <v>1.8912</v>
      </c>
      <c r="Z411" s="51"/>
      <c r="AA411" s="620" t="e" cm="1">
        <f t="array" aca="1" ref="AA411" ca="1">_xlfn.IFNA(INDEX(#REF!,MATCH(INDIRECT("Codes_bilans!"&amp;AA$1&amp;"$"&amp;$A411),#REF!,0),MATCH($B411,#REF!,0)),0)</f>
        <v>#REF!</v>
      </c>
      <c r="AB411" s="51"/>
    </row>
    <row r="412" spans="1:28" x14ac:dyDescent="0.25">
      <c r="A412" s="51" t="e">
        <f t="shared" si="58"/>
        <v>#REF!</v>
      </c>
      <c r="B412" s="51">
        <f t="shared" si="59"/>
        <v>2043</v>
      </c>
      <c r="C412" s="51" t="str">
        <f t="shared" si="59"/>
        <v>AMS</v>
      </c>
      <c r="D412" s="51" t="s">
        <v>513</v>
      </c>
      <c r="E412" s="51" t="e">
        <f>VLOOKUP($H$6,#REF!,2,FALSE)</f>
        <v>#REF!</v>
      </c>
      <c r="F412" s="51"/>
      <c r="G412" s="614" t="s">
        <v>83</v>
      </c>
      <c r="H412" s="615">
        <v>2.4027599556453909</v>
      </c>
      <c r="I412" s="615">
        <v>0</v>
      </c>
      <c r="J412" s="615">
        <v>40.045387619249276</v>
      </c>
      <c r="K412" s="615">
        <v>1.421472124111238</v>
      </c>
      <c r="L412" s="622">
        <v>51.217862390799326</v>
      </c>
      <c r="M412" s="615">
        <v>0.67688804921761236</v>
      </c>
      <c r="N412" s="615">
        <v>0</v>
      </c>
      <c r="O412" s="615">
        <v>0</v>
      </c>
      <c r="P412" s="615">
        <v>55.925400303858773</v>
      </c>
      <c r="Q412" s="615">
        <v>2.2930892627251551</v>
      </c>
      <c r="R412" s="615">
        <v>78.46688318615972</v>
      </c>
      <c r="S412" s="615">
        <v>60.960199676837377</v>
      </c>
      <c r="T412" s="615">
        <v>147.47340024456145</v>
      </c>
      <c r="U412" s="615">
        <v>5.4580412340336313</v>
      </c>
      <c r="V412" s="615">
        <v>473.70250118338788</v>
      </c>
      <c r="W412" s="615">
        <v>62.943626270237907</v>
      </c>
      <c r="X412" s="615">
        <v>10.361311934738108</v>
      </c>
      <c r="Y412" s="615">
        <v>993.34882343556285</v>
      </c>
      <c r="Z412" s="51"/>
      <c r="AA412" s="51"/>
      <c r="AB412" s="51"/>
    </row>
    <row r="413" spans="1:28" x14ac:dyDescent="0.25">
      <c r="A413" s="51" t="e">
        <f t="shared" si="58"/>
        <v>#REF!</v>
      </c>
      <c r="B413" s="51">
        <f t="shared" si="59"/>
        <v>2043</v>
      </c>
      <c r="C413" s="51" t="str">
        <f t="shared" si="59"/>
        <v>AMS</v>
      </c>
      <c r="D413" s="51" t="s">
        <v>514</v>
      </c>
      <c r="E413" s="51" t="e">
        <f>VLOOKUP($H$6,#REF!,2,FALSE)</f>
        <v>#REF!</v>
      </c>
      <c r="F413" s="51"/>
      <c r="G413" s="610" t="s">
        <v>84</v>
      </c>
      <c r="H413" s="611">
        <v>0</v>
      </c>
      <c r="I413" s="611">
        <v>0</v>
      </c>
      <c r="J413" s="611">
        <v>55.51811908375884</v>
      </c>
      <c r="K413" s="611">
        <v>7.0490044147499464</v>
      </c>
      <c r="L413" s="611">
        <v>5.5825875517318595</v>
      </c>
      <c r="M413" s="611">
        <v>0</v>
      </c>
      <c r="N413" s="611">
        <v>0</v>
      </c>
      <c r="O413" s="611">
        <v>0</v>
      </c>
      <c r="P413" s="611">
        <v>0.48256425190137814</v>
      </c>
      <c r="Q413" s="611">
        <v>0</v>
      </c>
      <c r="R413" s="611">
        <v>17.896473357733768</v>
      </c>
      <c r="S413" s="611">
        <v>3.3065346740377066</v>
      </c>
      <c r="T413" s="611">
        <v>0</v>
      </c>
      <c r="U413" s="611">
        <v>0</v>
      </c>
      <c r="V413" s="611">
        <v>0</v>
      </c>
      <c r="W413" s="611">
        <v>0</v>
      </c>
      <c r="X413" s="611">
        <v>28.74233427987765</v>
      </c>
      <c r="Y413" s="619">
        <v>118.57761761379115</v>
      </c>
      <c r="Z413" s="51"/>
      <c r="AA413" s="620" t="e" cm="1">
        <f t="array" aca="1" ref="AA413" ca="1">_xlfn.IFNA(INDEX(#REF!,MATCH(INDIRECT("Codes_bilans!"&amp;AA$1&amp;"$"&amp;$A413),#REF!,0),MATCH($B413,#REF!,0)),0)</f>
        <v>#REF!</v>
      </c>
      <c r="AB413" s="51"/>
    </row>
    <row r="414" spans="1:28" x14ac:dyDescent="0.25">
      <c r="A414" s="51" t="e">
        <f t="shared" si="58"/>
        <v>#REF!</v>
      </c>
      <c r="B414" s="51">
        <f t="shared" si="59"/>
        <v>2043</v>
      </c>
      <c r="C414" s="51" t="str">
        <f t="shared" si="59"/>
        <v>AMS</v>
      </c>
      <c r="D414" s="51" t="s">
        <v>515</v>
      </c>
      <c r="E414" s="51" t="e">
        <f>VLOOKUP($H$6,#REF!,2,FALSE)</f>
        <v>#REF!</v>
      </c>
      <c r="F414" s="51"/>
      <c r="G414" s="614" t="s">
        <v>85</v>
      </c>
      <c r="H414" s="615">
        <v>2.4027599556453909</v>
      </c>
      <c r="I414" s="615">
        <v>0</v>
      </c>
      <c r="J414" s="615">
        <v>95.56350670300813</v>
      </c>
      <c r="K414" s="615">
        <v>8.4704765388611847</v>
      </c>
      <c r="L414" s="622">
        <v>56.800449942531188</v>
      </c>
      <c r="M414" s="615">
        <v>0.67688804921761236</v>
      </c>
      <c r="N414" s="615">
        <v>0</v>
      </c>
      <c r="O414" s="615">
        <v>0</v>
      </c>
      <c r="P414" s="615">
        <v>56.407964555760152</v>
      </c>
      <c r="Q414" s="615">
        <v>2.2930892627251551</v>
      </c>
      <c r="R414" s="615">
        <v>96.363356543893488</v>
      </c>
      <c r="S414" s="615">
        <v>64.266734350875069</v>
      </c>
      <c r="T414" s="615">
        <v>147.47340024456145</v>
      </c>
      <c r="U414" s="615">
        <v>5.4580412340336313</v>
      </c>
      <c r="V414" s="615">
        <v>473.70250118338788</v>
      </c>
      <c r="W414" s="615">
        <v>62.943626270237907</v>
      </c>
      <c r="X414" s="615">
        <v>39.103646214615758</v>
      </c>
      <c r="Y414" s="615">
        <v>1111.926441049354</v>
      </c>
      <c r="Z414" s="51"/>
      <c r="AA414" s="51"/>
      <c r="AB414" s="51"/>
    </row>
    <row r="415" spans="1:28" x14ac:dyDescent="0.25">
      <c r="A415" s="51"/>
      <c r="B415" s="51"/>
      <c r="C415" s="51"/>
      <c r="D415" s="51"/>
      <c r="E415" s="51"/>
      <c r="F415" s="51"/>
      <c r="G415" s="51"/>
      <c r="H415" s="67">
        <v>0</v>
      </c>
      <c r="I415" s="67">
        <v>0</v>
      </c>
      <c r="J415" s="67">
        <v>0</v>
      </c>
      <c r="K415" s="67">
        <v>0</v>
      </c>
      <c r="L415" s="67">
        <v>0</v>
      </c>
      <c r="M415" s="67">
        <v>0</v>
      </c>
      <c r="N415" s="67">
        <v>0</v>
      </c>
      <c r="O415" s="67">
        <v>0</v>
      </c>
      <c r="P415" s="67">
        <v>0</v>
      </c>
      <c r="Q415" s="67">
        <v>0</v>
      </c>
      <c r="R415" s="67">
        <v>1.1546319456101628E-14</v>
      </c>
      <c r="S415" s="67">
        <v>-3.1086244689504383E-14</v>
      </c>
      <c r="T415" s="67">
        <v>0</v>
      </c>
      <c r="U415" s="67">
        <v>0</v>
      </c>
      <c r="V415" s="67">
        <v>1.1368683772161603E-13</v>
      </c>
      <c r="W415" s="67">
        <v>0</v>
      </c>
      <c r="X415" s="67">
        <v>-1.354472090042691E-14</v>
      </c>
      <c r="Y415" s="67">
        <v>0</v>
      </c>
      <c r="Z415" s="51"/>
      <c r="AA415" s="51"/>
      <c r="AB415" s="51"/>
    </row>
    <row r="416" spans="1:28" x14ac:dyDescent="0.25">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row>
    <row r="417" spans="1:28" x14ac:dyDescent="0.25">
      <c r="A417" s="606"/>
      <c r="B417" s="606"/>
      <c r="C417" s="606"/>
      <c r="D417" s="606"/>
      <c r="E417" s="606"/>
      <c r="F417" s="606"/>
      <c r="G417" s="607" t="s">
        <v>361</v>
      </c>
      <c r="H417" s="606"/>
      <c r="I417" s="606"/>
      <c r="J417" s="606"/>
      <c r="K417" s="606"/>
      <c r="L417" s="606"/>
      <c r="M417" s="606"/>
      <c r="N417" s="606"/>
      <c r="O417" s="606"/>
      <c r="P417" s="606"/>
      <c r="Q417" s="606"/>
      <c r="R417" s="606"/>
      <c r="S417" s="606"/>
      <c r="T417" s="606"/>
      <c r="U417" s="606"/>
      <c r="V417" s="606"/>
      <c r="W417" s="606"/>
      <c r="X417" s="606"/>
      <c r="Y417" s="606"/>
      <c r="Z417" s="606"/>
      <c r="AA417" s="606"/>
      <c r="AB417" s="606"/>
    </row>
    <row r="418" spans="1:28" x14ac:dyDescent="0.25">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row>
    <row r="419" spans="1:28" ht="14.25" customHeight="1" x14ac:dyDescent="0.25">
      <c r="A419" s="51"/>
      <c r="B419" s="51"/>
      <c r="C419" s="51"/>
      <c r="D419" s="51"/>
      <c r="E419" s="51"/>
      <c r="F419" s="51"/>
      <c r="G419" s="764" t="s">
        <v>128</v>
      </c>
      <c r="H419" s="753" t="s">
        <v>42</v>
      </c>
      <c r="I419" s="753" t="s">
        <v>52</v>
      </c>
      <c r="J419" s="753" t="s">
        <v>53</v>
      </c>
      <c r="K419" s="753" t="s">
        <v>482</v>
      </c>
      <c r="L419" s="753" t="s">
        <v>32</v>
      </c>
      <c r="M419" s="753" t="s">
        <v>483</v>
      </c>
      <c r="N419" s="753" t="s">
        <v>20</v>
      </c>
      <c r="O419" s="753" t="s">
        <v>55</v>
      </c>
      <c r="P419" s="761" t="s">
        <v>56</v>
      </c>
      <c r="Q419" s="762"/>
      <c r="R419" s="762"/>
      <c r="S419" s="762"/>
      <c r="T419" s="762"/>
      <c r="U419" s="763"/>
      <c r="V419" s="753" t="s">
        <v>57</v>
      </c>
      <c r="W419" s="753" t="s">
        <v>58</v>
      </c>
      <c r="X419" s="753" t="s">
        <v>31</v>
      </c>
      <c r="Y419" s="753" t="s">
        <v>10</v>
      </c>
      <c r="Z419" s="51"/>
      <c r="AA419" s="51"/>
      <c r="AB419" s="51"/>
    </row>
    <row r="420" spans="1:28" ht="24" x14ac:dyDescent="0.25">
      <c r="A420" s="51"/>
      <c r="B420" s="51"/>
      <c r="C420" s="51"/>
      <c r="D420" s="51" t="s">
        <v>486</v>
      </c>
      <c r="E420" s="51"/>
      <c r="F420" s="51"/>
      <c r="G420" s="765"/>
      <c r="H420" s="754"/>
      <c r="I420" s="754"/>
      <c r="J420" s="754"/>
      <c r="K420" s="754"/>
      <c r="L420" s="754"/>
      <c r="M420" s="754"/>
      <c r="N420" s="754"/>
      <c r="O420" s="754"/>
      <c r="P420" s="608" t="s">
        <v>335</v>
      </c>
      <c r="Q420" s="608" t="s">
        <v>40</v>
      </c>
      <c r="R420" s="608" t="s">
        <v>343</v>
      </c>
      <c r="S420" s="608" t="s">
        <v>344</v>
      </c>
      <c r="T420" s="609" t="s">
        <v>345</v>
      </c>
      <c r="U420" s="608" t="s">
        <v>346</v>
      </c>
      <c r="V420" s="754"/>
      <c r="W420" s="754"/>
      <c r="X420" s="754"/>
      <c r="Y420" s="754"/>
      <c r="Z420" s="51"/>
      <c r="AA420" s="51"/>
      <c r="AB420" s="51"/>
    </row>
    <row r="421" spans="1:28" x14ac:dyDescent="0.25">
      <c r="A421" s="51" t="e">
        <f>A384</f>
        <v>#REF!</v>
      </c>
      <c r="B421" s="51">
        <v>2045</v>
      </c>
      <c r="C421" s="51" t="s">
        <v>47</v>
      </c>
      <c r="D421" s="51" t="s">
        <v>487</v>
      </c>
      <c r="E421" s="51" t="e">
        <f>VLOOKUP($H$6,#REF!,2,FALSE)</f>
        <v>#REF!</v>
      </c>
      <c r="F421" s="51"/>
      <c r="G421" s="610" t="s">
        <v>59</v>
      </c>
      <c r="H421" s="611">
        <v>0</v>
      </c>
      <c r="I421" s="611">
        <v>0</v>
      </c>
      <c r="J421" s="611">
        <v>0</v>
      </c>
      <c r="K421" s="611">
        <v>0</v>
      </c>
      <c r="L421" s="611">
        <v>0</v>
      </c>
      <c r="M421" s="611">
        <v>0</v>
      </c>
      <c r="N421" s="612">
        <v>894.1849636363637</v>
      </c>
      <c r="O421" s="612">
        <v>463.21999229285728</v>
      </c>
      <c r="P421" s="612">
        <v>288.88340552324502</v>
      </c>
      <c r="Q421" s="612">
        <v>22.41045337173605</v>
      </c>
      <c r="R421" s="611">
        <v>1.6797912871987437</v>
      </c>
      <c r="S421" s="611">
        <v>0.17065445399605614</v>
      </c>
      <c r="T421" s="612">
        <v>154.03404463263311</v>
      </c>
      <c r="U421" s="612">
        <v>23.487215011212861</v>
      </c>
      <c r="V421" s="611">
        <v>0</v>
      </c>
      <c r="W421" s="611">
        <v>0</v>
      </c>
      <c r="X421" s="611">
        <v>0</v>
      </c>
      <c r="Y421" s="613">
        <v>1848.0705202092429</v>
      </c>
      <c r="Z421" s="51"/>
      <c r="AA421" s="51"/>
      <c r="AB421" s="51"/>
    </row>
    <row r="422" spans="1:28" x14ac:dyDescent="0.25">
      <c r="A422" s="51" t="e">
        <f t="shared" ref="A422:A427" si="60">A421+1</f>
        <v>#REF!</v>
      </c>
      <c r="B422" s="51">
        <f t="shared" ref="B422:C427" si="61">B421</f>
        <v>2045</v>
      </c>
      <c r="C422" s="51" t="str">
        <f t="shared" si="61"/>
        <v>AMS</v>
      </c>
      <c r="D422" s="51" t="s">
        <v>488</v>
      </c>
      <c r="E422" s="51" t="e">
        <f>VLOOKUP($H$6,#REF!,2,FALSE)</f>
        <v>#REF!</v>
      </c>
      <c r="F422" s="51"/>
      <c r="G422" s="610" t="s">
        <v>60</v>
      </c>
      <c r="H422" s="611">
        <v>9.1088960408946864</v>
      </c>
      <c r="I422" s="611">
        <v>190.65660017812178</v>
      </c>
      <c r="J422" s="611">
        <v>2.9590354993625017</v>
      </c>
      <c r="K422" s="611">
        <v>0</v>
      </c>
      <c r="L422" s="611">
        <v>52.772371882452688</v>
      </c>
      <c r="M422" s="611">
        <v>0</v>
      </c>
      <c r="N422" s="611">
        <v>0</v>
      </c>
      <c r="O422" s="611">
        <v>0</v>
      </c>
      <c r="P422" s="611">
        <v>4.8125993033158778</v>
      </c>
      <c r="Q422" s="611">
        <v>0</v>
      </c>
      <c r="R422" s="611">
        <v>5.0080801377734332</v>
      </c>
      <c r="S422" s="611">
        <v>0</v>
      </c>
      <c r="T422" s="611">
        <v>0</v>
      </c>
      <c r="U422" s="611">
        <v>0</v>
      </c>
      <c r="V422" s="611">
        <v>0</v>
      </c>
      <c r="W422" s="611">
        <v>0</v>
      </c>
      <c r="X422" s="611">
        <v>0</v>
      </c>
      <c r="Y422" s="613">
        <v>265.31758304192095</v>
      </c>
      <c r="Z422" s="51"/>
      <c r="AA422" s="51"/>
      <c r="AB422" s="51"/>
    </row>
    <row r="423" spans="1:28" x14ac:dyDescent="0.25">
      <c r="A423" s="51" t="e">
        <f t="shared" si="60"/>
        <v>#REF!</v>
      </c>
      <c r="B423" s="51">
        <f t="shared" si="61"/>
        <v>2045</v>
      </c>
      <c r="C423" s="51" t="str">
        <f t="shared" si="61"/>
        <v>AMS</v>
      </c>
      <c r="D423" s="51" t="s">
        <v>489</v>
      </c>
      <c r="E423" s="51" t="e">
        <f>VLOOKUP($H$6,#REF!,2,FALSE)</f>
        <v>#REF!</v>
      </c>
      <c r="F423" s="51"/>
      <c r="G423" s="610" t="s">
        <v>61</v>
      </c>
      <c r="H423" s="611">
        <v>0</v>
      </c>
      <c r="I423" s="611">
        <v>0</v>
      </c>
      <c r="J423" s="611">
        <v>-64.692917922605048</v>
      </c>
      <c r="K423" s="611">
        <v>-1.6775006918768405</v>
      </c>
      <c r="L423" s="611">
        <v>0</v>
      </c>
      <c r="M423" s="611">
        <v>0</v>
      </c>
      <c r="N423" s="611">
        <v>0</v>
      </c>
      <c r="O423" s="611">
        <v>0</v>
      </c>
      <c r="P423" s="611">
        <v>0</v>
      </c>
      <c r="Q423" s="611">
        <v>0</v>
      </c>
      <c r="R423" s="611">
        <v>0</v>
      </c>
      <c r="S423" s="611">
        <v>0</v>
      </c>
      <c r="T423" s="611">
        <v>0</v>
      </c>
      <c r="U423" s="611">
        <v>0</v>
      </c>
      <c r="V423" s="611">
        <v>-88.018935105238825</v>
      </c>
      <c r="W423" s="611">
        <v>0</v>
      </c>
      <c r="X423" s="611">
        <v>0</v>
      </c>
      <c r="Y423" s="613">
        <v>-154.3893537197207</v>
      </c>
      <c r="Z423" s="51"/>
      <c r="AA423" s="51"/>
      <c r="AB423" s="51"/>
    </row>
    <row r="424" spans="1:28" x14ac:dyDescent="0.25">
      <c r="A424" s="51" t="e">
        <f t="shared" si="60"/>
        <v>#REF!</v>
      </c>
      <c r="B424" s="51">
        <f t="shared" si="61"/>
        <v>2045</v>
      </c>
      <c r="C424" s="51" t="str">
        <f t="shared" si="61"/>
        <v>AMS</v>
      </c>
      <c r="D424" s="51" t="s">
        <v>490</v>
      </c>
      <c r="E424" s="51" t="e">
        <f>VLOOKUP($H$6,#REF!,2,FALSE)</f>
        <v>#REF!</v>
      </c>
      <c r="F424" s="51"/>
      <c r="G424" s="610" t="s">
        <v>62</v>
      </c>
      <c r="H424" s="611">
        <v>0</v>
      </c>
      <c r="I424" s="611">
        <v>0</v>
      </c>
      <c r="J424" s="611">
        <v>-5.3541729526260253</v>
      </c>
      <c r="K424" s="611">
        <v>-3.2544454489343884</v>
      </c>
      <c r="L424" s="611">
        <v>-2.154938128893316</v>
      </c>
      <c r="M424" s="611">
        <v>-5.5254823817777333E-2</v>
      </c>
      <c r="N424" s="611">
        <v>0</v>
      </c>
      <c r="O424" s="611">
        <v>0</v>
      </c>
      <c r="P424" s="611">
        <v>0</v>
      </c>
      <c r="Q424" s="611">
        <v>0</v>
      </c>
      <c r="R424" s="611">
        <v>-0.28299525642907725</v>
      </c>
      <c r="S424" s="611">
        <v>-3.3152894290666399</v>
      </c>
      <c r="T424" s="611">
        <v>0</v>
      </c>
      <c r="U424" s="611">
        <v>0</v>
      </c>
      <c r="V424" s="611">
        <v>0</v>
      </c>
      <c r="W424" s="611">
        <v>0</v>
      </c>
      <c r="X424" s="611">
        <v>0</v>
      </c>
      <c r="Y424" s="613">
        <v>-14.417096039767225</v>
      </c>
      <c r="Z424" s="51"/>
      <c r="AA424" s="51"/>
      <c r="AB424" s="51"/>
    </row>
    <row r="425" spans="1:28" x14ac:dyDescent="0.25">
      <c r="A425" s="51" t="e">
        <f t="shared" si="60"/>
        <v>#REF!</v>
      </c>
      <c r="B425" s="51">
        <f t="shared" si="61"/>
        <v>2045</v>
      </c>
      <c r="C425" s="51" t="str">
        <f t="shared" si="61"/>
        <v>AMS</v>
      </c>
      <c r="D425" s="51" t="s">
        <v>491</v>
      </c>
      <c r="E425" s="51" t="e">
        <f>VLOOKUP($H$6,#REF!,2,FALSE)</f>
        <v>#REF!</v>
      </c>
      <c r="F425" s="51"/>
      <c r="G425" s="610" t="s">
        <v>63</v>
      </c>
      <c r="H425" s="611">
        <v>0</v>
      </c>
      <c r="I425" s="611">
        <v>0</v>
      </c>
      <c r="J425" s="611">
        <v>-38.578656039955483</v>
      </c>
      <c r="K425" s="611">
        <v>-13.893394907220655</v>
      </c>
      <c r="L425" s="611">
        <v>0</v>
      </c>
      <c r="M425" s="611">
        <v>0</v>
      </c>
      <c r="N425" s="611">
        <v>0</v>
      </c>
      <c r="O425" s="611">
        <v>0</v>
      </c>
      <c r="P425" s="611">
        <v>0</v>
      </c>
      <c r="Q425" s="611">
        <v>0</v>
      </c>
      <c r="R425" s="611">
        <v>-13.893394907220655</v>
      </c>
      <c r="S425" s="611">
        <v>0</v>
      </c>
      <c r="T425" s="611">
        <v>0</v>
      </c>
      <c r="U425" s="611">
        <v>0</v>
      </c>
      <c r="V425" s="611">
        <v>0</v>
      </c>
      <c r="W425" s="611">
        <v>0</v>
      </c>
      <c r="X425" s="611">
        <v>-1.3953345659196588</v>
      </c>
      <c r="Y425" s="613">
        <v>-67.760780420316451</v>
      </c>
      <c r="Z425" s="51"/>
      <c r="AA425" s="51"/>
      <c r="AB425" s="51"/>
    </row>
    <row r="426" spans="1:28" x14ac:dyDescent="0.25">
      <c r="A426" s="51" t="e">
        <f t="shared" si="60"/>
        <v>#REF!</v>
      </c>
      <c r="B426" s="51">
        <f t="shared" si="61"/>
        <v>2045</v>
      </c>
      <c r="C426" s="51" t="str">
        <f t="shared" si="61"/>
        <v>AMS</v>
      </c>
      <c r="D426" s="51" t="s">
        <v>492</v>
      </c>
      <c r="E426" s="51" t="e">
        <f>VLOOKUP($H$6,#REF!,2,FALSE)</f>
        <v>#REF!</v>
      </c>
      <c r="F426" s="51"/>
      <c r="G426" s="610" t="s">
        <v>64</v>
      </c>
      <c r="H426" s="611">
        <v>0</v>
      </c>
      <c r="I426" s="611">
        <v>0</v>
      </c>
      <c r="J426" s="611">
        <v>0</v>
      </c>
      <c r="K426" s="611">
        <v>0</v>
      </c>
      <c r="L426" s="611">
        <v>0</v>
      </c>
      <c r="M426" s="611">
        <v>0</v>
      </c>
      <c r="N426" s="611">
        <v>0</v>
      </c>
      <c r="O426" s="611">
        <v>0</v>
      </c>
      <c r="P426" s="611">
        <v>0</v>
      </c>
      <c r="Q426" s="611">
        <v>0</v>
      </c>
      <c r="R426" s="611">
        <v>0</v>
      </c>
      <c r="S426" s="611">
        <v>0</v>
      </c>
      <c r="T426" s="611">
        <v>0</v>
      </c>
      <c r="U426" s="611">
        <v>0</v>
      </c>
      <c r="V426" s="611">
        <v>0</v>
      </c>
      <c r="W426" s="611">
        <v>0</v>
      </c>
      <c r="X426" s="611">
        <v>0</v>
      </c>
      <c r="Y426" s="613">
        <v>0</v>
      </c>
      <c r="Z426" s="51"/>
      <c r="AA426" s="51"/>
      <c r="AB426" s="51"/>
    </row>
    <row r="427" spans="1:28" x14ac:dyDescent="0.25">
      <c r="A427" s="51" t="e">
        <f t="shared" si="60"/>
        <v>#REF!</v>
      </c>
      <c r="B427" s="51">
        <f t="shared" si="61"/>
        <v>2045</v>
      </c>
      <c r="C427" s="51" t="str">
        <f t="shared" si="61"/>
        <v>AMS</v>
      </c>
      <c r="D427" s="51" t="s">
        <v>493</v>
      </c>
      <c r="E427" s="51" t="e">
        <f>VLOOKUP($H$6,#REF!,2,FALSE)</f>
        <v>#REF!</v>
      </c>
      <c r="F427" s="51"/>
      <c r="G427" s="614" t="s">
        <v>65</v>
      </c>
      <c r="H427" s="615">
        <v>9.1088960408946864</v>
      </c>
      <c r="I427" s="615">
        <v>190.65660017812178</v>
      </c>
      <c r="J427" s="615">
        <v>-105.66671141582405</v>
      </c>
      <c r="K427" s="615">
        <v>-18.825341048031884</v>
      </c>
      <c r="L427" s="622">
        <v>50.617433753559375</v>
      </c>
      <c r="M427" s="615">
        <v>-5.5254823817777333E-2</v>
      </c>
      <c r="N427" s="615">
        <v>894.1849636363637</v>
      </c>
      <c r="O427" s="615">
        <v>463.21999229285728</v>
      </c>
      <c r="P427" s="615">
        <v>293.69600482656091</v>
      </c>
      <c r="Q427" s="615">
        <v>22.41045337173605</v>
      </c>
      <c r="R427" s="615">
        <v>-7.4885187386775538</v>
      </c>
      <c r="S427" s="615">
        <v>-3.1446349750705838</v>
      </c>
      <c r="T427" s="615">
        <v>154.03404463263311</v>
      </c>
      <c r="U427" s="615">
        <v>23.487215011212861</v>
      </c>
      <c r="V427" s="615">
        <v>-88.018935105238825</v>
      </c>
      <c r="W427" s="615">
        <v>0</v>
      </c>
      <c r="X427" s="615">
        <v>-1.3953345659196588</v>
      </c>
      <c r="Y427" s="615">
        <v>1876.8208730713591</v>
      </c>
      <c r="Z427" s="51"/>
      <c r="AA427" s="51"/>
      <c r="AB427" s="51"/>
    </row>
    <row r="428" spans="1:28" x14ac:dyDescent="0.25">
      <c r="A428" s="51"/>
      <c r="B428" s="51"/>
      <c r="C428" s="51"/>
      <c r="D428" s="51"/>
      <c r="E428" s="51"/>
      <c r="F428" s="51"/>
      <c r="G428" s="616"/>
      <c r="H428" s="617">
        <v>0</v>
      </c>
      <c r="I428" s="617">
        <v>0</v>
      </c>
      <c r="J428" s="617">
        <v>0</v>
      </c>
      <c r="K428" s="617">
        <v>0</v>
      </c>
      <c r="L428" s="623">
        <v>0</v>
      </c>
      <c r="M428" s="617">
        <v>0</v>
      </c>
      <c r="N428" s="617">
        <v>0</v>
      </c>
      <c r="O428" s="617">
        <v>0</v>
      </c>
      <c r="P428" s="617">
        <v>0</v>
      </c>
      <c r="Q428" s="617">
        <v>0</v>
      </c>
      <c r="R428" s="617">
        <v>0</v>
      </c>
      <c r="S428" s="617">
        <v>0</v>
      </c>
      <c r="T428" s="617">
        <v>0</v>
      </c>
      <c r="U428" s="617">
        <v>0</v>
      </c>
      <c r="V428" s="617">
        <v>0</v>
      </c>
      <c r="W428" s="617">
        <v>0</v>
      </c>
      <c r="X428" s="617">
        <v>0</v>
      </c>
      <c r="Y428" s="617">
        <v>0</v>
      </c>
      <c r="Z428" s="51"/>
      <c r="AA428" s="51"/>
      <c r="AB428" s="51"/>
    </row>
    <row r="429" spans="1:28" x14ac:dyDescent="0.25">
      <c r="A429" s="51" t="e">
        <f>A427+2</f>
        <v>#REF!</v>
      </c>
      <c r="B429" s="51">
        <f>B427</f>
        <v>2045</v>
      </c>
      <c r="C429" s="51" t="str">
        <f>C427</f>
        <v>AMS</v>
      </c>
      <c r="D429" s="51" t="s">
        <v>494</v>
      </c>
      <c r="E429" s="51" t="e">
        <f>VLOOKUP($H$6,#REF!,2,FALSE)</f>
        <v>#REF!</v>
      </c>
      <c r="F429" s="51"/>
      <c r="G429" s="618" t="s">
        <v>67</v>
      </c>
      <c r="H429" s="611">
        <v>0</v>
      </c>
      <c r="I429" s="611">
        <v>0</v>
      </c>
      <c r="J429" s="611">
        <v>0</v>
      </c>
      <c r="K429" s="611">
        <v>0</v>
      </c>
      <c r="L429" s="611">
        <v>0</v>
      </c>
      <c r="M429" s="611">
        <v>0</v>
      </c>
      <c r="N429" s="611">
        <v>0</v>
      </c>
      <c r="O429" s="611">
        <v>0</v>
      </c>
      <c r="P429" s="611">
        <v>0</v>
      </c>
      <c r="Q429" s="611">
        <v>0</v>
      </c>
      <c r="R429" s="611">
        <v>0</v>
      </c>
      <c r="S429" s="611">
        <v>0</v>
      </c>
      <c r="T429" s="611">
        <v>0</v>
      </c>
      <c r="U429" s="611">
        <v>0</v>
      </c>
      <c r="V429" s="611">
        <v>0</v>
      </c>
      <c r="W429" s="611">
        <v>0</v>
      </c>
      <c r="X429" s="611">
        <v>0</v>
      </c>
      <c r="Y429" s="619">
        <v>0</v>
      </c>
      <c r="Z429" s="51"/>
      <c r="AA429" s="51"/>
      <c r="AB429" s="51"/>
    </row>
    <row r="430" spans="1:28" x14ac:dyDescent="0.25">
      <c r="A430" s="51" t="e">
        <f t="shared" ref="A430:A441" si="62">A429+1</f>
        <v>#REF!</v>
      </c>
      <c r="B430" s="51">
        <f t="shared" ref="B430:C441" si="63">B429</f>
        <v>2045</v>
      </c>
      <c r="C430" s="51" t="str">
        <f t="shared" si="63"/>
        <v>AMS</v>
      </c>
      <c r="D430" s="51" t="s">
        <v>495</v>
      </c>
      <c r="E430" s="51" t="e">
        <f>VLOOKUP($H$6,#REF!,2,FALSE)</f>
        <v>#REF!</v>
      </c>
      <c r="F430" s="51"/>
      <c r="G430" s="618" t="s">
        <v>347</v>
      </c>
      <c r="H430" s="611">
        <v>0</v>
      </c>
      <c r="I430" s="611">
        <v>0</v>
      </c>
      <c r="J430" s="611">
        <v>0</v>
      </c>
      <c r="K430" s="611">
        <v>0</v>
      </c>
      <c r="L430" s="611">
        <v>0</v>
      </c>
      <c r="M430" s="611">
        <v>0</v>
      </c>
      <c r="N430" s="611">
        <v>894.1849636363637</v>
      </c>
      <c r="O430" s="611">
        <v>463.21999229285728</v>
      </c>
      <c r="P430" s="611">
        <v>14.188154051569427</v>
      </c>
      <c r="Q430" s="611">
        <v>5.7060338730964091</v>
      </c>
      <c r="R430" s="611">
        <v>6.3451610040287907</v>
      </c>
      <c r="S430" s="611">
        <v>0.11419280490868838</v>
      </c>
      <c r="T430" s="611">
        <v>0</v>
      </c>
      <c r="U430" s="611">
        <v>6.4766550958451852</v>
      </c>
      <c r="V430" s="611">
        <v>-776.98254615722715</v>
      </c>
      <c r="W430" s="611">
        <v>0</v>
      </c>
      <c r="X430" s="611">
        <v>12.087192978000001</v>
      </c>
      <c r="Y430" s="619">
        <v>625.339799579442</v>
      </c>
      <c r="Z430" s="51"/>
      <c r="AA430" s="51"/>
      <c r="AB430" s="51"/>
    </row>
    <row r="431" spans="1:28" x14ac:dyDescent="0.25">
      <c r="A431" s="51" t="e">
        <f t="shared" si="62"/>
        <v>#REF!</v>
      </c>
      <c r="B431" s="51">
        <f t="shared" si="63"/>
        <v>2045</v>
      </c>
      <c r="C431" s="51" t="str">
        <f t="shared" si="63"/>
        <v>AMS</v>
      </c>
      <c r="D431" s="51" t="s">
        <v>496</v>
      </c>
      <c r="E431" s="51" t="e">
        <f>VLOOKUP($H$6,#REF!,2,FALSE)</f>
        <v>#REF!</v>
      </c>
      <c r="F431" s="51"/>
      <c r="G431" s="618" t="s">
        <v>348</v>
      </c>
      <c r="H431" s="611">
        <v>0</v>
      </c>
      <c r="I431" s="611">
        <v>0</v>
      </c>
      <c r="J431" s="611">
        <v>0</v>
      </c>
      <c r="K431" s="611">
        <v>0</v>
      </c>
      <c r="L431" s="611">
        <v>3.2711110414405256</v>
      </c>
      <c r="M431" s="611">
        <v>0</v>
      </c>
      <c r="N431" s="611">
        <v>0</v>
      </c>
      <c r="O431" s="611">
        <v>0</v>
      </c>
      <c r="P431" s="611">
        <v>34.963821149394811</v>
      </c>
      <c r="Q431" s="611">
        <v>14.476121269049287</v>
      </c>
      <c r="R431" s="611">
        <v>0</v>
      </c>
      <c r="S431" s="611">
        <v>7.6477038720835147</v>
      </c>
      <c r="T431" s="611">
        <v>0</v>
      </c>
      <c r="U431" s="611">
        <v>11.276034288959668</v>
      </c>
      <c r="V431" s="611">
        <v>0</v>
      </c>
      <c r="W431" s="611">
        <v>-67.494467143680438</v>
      </c>
      <c r="X431" s="611">
        <v>0</v>
      </c>
      <c r="Y431" s="619">
        <v>4.1403244772473649</v>
      </c>
      <c r="Z431" s="51"/>
      <c r="AA431" s="51"/>
      <c r="AB431" s="51"/>
    </row>
    <row r="432" spans="1:28" x14ac:dyDescent="0.25">
      <c r="A432" s="51" t="e">
        <f t="shared" si="62"/>
        <v>#REF!</v>
      </c>
      <c r="B432" s="51">
        <f t="shared" si="63"/>
        <v>2045</v>
      </c>
      <c r="C432" s="51" t="str">
        <f t="shared" si="63"/>
        <v>AMS</v>
      </c>
      <c r="D432" s="51" t="s">
        <v>497</v>
      </c>
      <c r="E432" s="51" t="e">
        <f>VLOOKUP($H$6,#REF!,2,FALSE)</f>
        <v>#REF!</v>
      </c>
      <c r="F432" s="51"/>
      <c r="G432" s="618" t="s">
        <v>349</v>
      </c>
      <c r="H432" s="611">
        <v>0</v>
      </c>
      <c r="I432" s="611">
        <v>0</v>
      </c>
      <c r="J432" s="611">
        <v>0</v>
      </c>
      <c r="K432" s="611">
        <v>0</v>
      </c>
      <c r="L432" s="611">
        <v>0</v>
      </c>
      <c r="M432" s="611">
        <v>0</v>
      </c>
      <c r="N432" s="611">
        <v>0</v>
      </c>
      <c r="O432" s="611">
        <v>0</v>
      </c>
      <c r="P432" s="611">
        <v>85.030807044207506</v>
      </c>
      <c r="Q432" s="611">
        <v>0</v>
      </c>
      <c r="R432" s="611">
        <v>0</v>
      </c>
      <c r="S432" s="611">
        <v>-80.149276434896436</v>
      </c>
      <c r="T432" s="611">
        <v>0</v>
      </c>
      <c r="U432" s="611">
        <v>0</v>
      </c>
      <c r="V432" s="611">
        <v>0</v>
      </c>
      <c r="W432" s="611">
        <v>0</v>
      </c>
      <c r="X432" s="611">
        <v>0</v>
      </c>
      <c r="Y432" s="619">
        <v>4.8815306093110706</v>
      </c>
      <c r="Z432" s="51"/>
      <c r="AA432" s="51"/>
      <c r="AB432" s="51"/>
    </row>
    <row r="433" spans="1:28" x14ac:dyDescent="0.25">
      <c r="A433" s="51" t="e">
        <f t="shared" si="62"/>
        <v>#REF!</v>
      </c>
      <c r="B433" s="51">
        <f t="shared" si="63"/>
        <v>2045</v>
      </c>
      <c r="C433" s="51" t="str">
        <f t="shared" si="63"/>
        <v>AMS</v>
      </c>
      <c r="D433" s="51" t="s">
        <v>498</v>
      </c>
      <c r="E433" s="51" t="e">
        <f>VLOOKUP($H$6,#REF!,2,FALSE)</f>
        <v>#REF!</v>
      </c>
      <c r="F433" s="51"/>
      <c r="G433" s="618" t="s">
        <v>350</v>
      </c>
      <c r="H433" s="611">
        <v>0</v>
      </c>
      <c r="I433" s="611">
        <v>0</v>
      </c>
      <c r="J433" s="611">
        <v>0</v>
      </c>
      <c r="K433" s="611">
        <v>0</v>
      </c>
      <c r="L433" s="611">
        <v>0</v>
      </c>
      <c r="M433" s="611">
        <v>-1.1466991714325052</v>
      </c>
      <c r="N433" s="611">
        <v>0</v>
      </c>
      <c r="O433" s="611">
        <v>0</v>
      </c>
      <c r="P433" s="611">
        <v>0</v>
      </c>
      <c r="Q433" s="611">
        <v>0</v>
      </c>
      <c r="R433" s="611">
        <v>0</v>
      </c>
      <c r="S433" s="611">
        <v>0</v>
      </c>
      <c r="T433" s="611">
        <v>0</v>
      </c>
      <c r="U433" s="611">
        <v>0</v>
      </c>
      <c r="V433" s="611">
        <v>0</v>
      </c>
      <c r="W433" s="611">
        <v>0</v>
      </c>
      <c r="X433" s="611">
        <v>1.5966000387788533</v>
      </c>
      <c r="Y433" s="619">
        <v>0.44990086734634804</v>
      </c>
      <c r="Z433" s="51"/>
      <c r="AA433" s="51"/>
      <c r="AB433" s="51"/>
    </row>
    <row r="434" spans="1:28" x14ac:dyDescent="0.25">
      <c r="A434" s="51" t="e">
        <f t="shared" si="62"/>
        <v>#REF!</v>
      </c>
      <c r="B434" s="51">
        <f t="shared" si="63"/>
        <v>2045</v>
      </c>
      <c r="C434" s="51" t="str">
        <f t="shared" si="63"/>
        <v>AMS</v>
      </c>
      <c r="D434" s="51" t="s">
        <v>499</v>
      </c>
      <c r="E434" s="51" t="e">
        <f>VLOOKUP($H$6,#REF!,2,FALSE)</f>
        <v>#REF!</v>
      </c>
      <c r="F434" s="51"/>
      <c r="G434" s="618" t="s">
        <v>72</v>
      </c>
      <c r="H434" s="611">
        <v>0</v>
      </c>
      <c r="I434" s="611">
        <v>197.54631533572405</v>
      </c>
      <c r="J434" s="611">
        <v>-195.57532355071015</v>
      </c>
      <c r="K434" s="611">
        <v>0</v>
      </c>
      <c r="L434" s="611">
        <v>0</v>
      </c>
      <c r="M434" s="611">
        <v>0</v>
      </c>
      <c r="N434" s="611">
        <v>0</v>
      </c>
      <c r="O434" s="611">
        <v>0</v>
      </c>
      <c r="P434" s="611">
        <v>0</v>
      </c>
      <c r="Q434" s="611">
        <v>0</v>
      </c>
      <c r="R434" s="611">
        <v>0</v>
      </c>
      <c r="S434" s="611">
        <v>0</v>
      </c>
      <c r="T434" s="611">
        <v>0</v>
      </c>
      <c r="U434" s="611">
        <v>0</v>
      </c>
      <c r="V434" s="611">
        <v>0</v>
      </c>
      <c r="W434" s="611">
        <v>0</v>
      </c>
      <c r="X434" s="611">
        <v>0</v>
      </c>
      <c r="Y434" s="619">
        <v>1.9709917850139052</v>
      </c>
      <c r="Z434" s="51"/>
      <c r="AA434" s="51"/>
      <c r="AB434" s="51"/>
    </row>
    <row r="435" spans="1:28" x14ac:dyDescent="0.25">
      <c r="A435" s="51" t="e">
        <f t="shared" si="62"/>
        <v>#REF!</v>
      </c>
      <c r="B435" s="51">
        <f t="shared" si="63"/>
        <v>2045</v>
      </c>
      <c r="C435" s="51" t="str">
        <f t="shared" si="63"/>
        <v>AMS</v>
      </c>
      <c r="D435" s="51" t="s">
        <v>500</v>
      </c>
      <c r="E435" s="51" t="e">
        <f>VLOOKUP($H$6,#REF!,2,FALSE)</f>
        <v>#REF!</v>
      </c>
      <c r="F435" s="51"/>
      <c r="G435" s="618" t="s">
        <v>351</v>
      </c>
      <c r="H435" s="611">
        <v>0</v>
      </c>
      <c r="I435" s="611">
        <v>0</v>
      </c>
      <c r="J435" s="611">
        <v>0</v>
      </c>
      <c r="K435" s="611">
        <v>0</v>
      </c>
      <c r="L435" s="611">
        <v>0</v>
      </c>
      <c r="M435" s="611">
        <v>0</v>
      </c>
      <c r="N435" s="611">
        <v>0</v>
      </c>
      <c r="O435" s="611">
        <v>0</v>
      </c>
      <c r="P435" s="611">
        <v>104.32434467350188</v>
      </c>
      <c r="Q435" s="611">
        <v>0</v>
      </c>
      <c r="R435" s="611">
        <v>-104.32434467350188</v>
      </c>
      <c r="S435" s="611">
        <v>0</v>
      </c>
      <c r="T435" s="611">
        <v>0</v>
      </c>
      <c r="U435" s="611">
        <v>0</v>
      </c>
      <c r="V435" s="611">
        <v>0</v>
      </c>
      <c r="W435" s="611">
        <v>0</v>
      </c>
      <c r="X435" s="611">
        <v>0</v>
      </c>
      <c r="Y435" s="619">
        <v>0</v>
      </c>
      <c r="Z435" s="51"/>
      <c r="AA435" s="51"/>
      <c r="AB435" s="51"/>
    </row>
    <row r="436" spans="1:28" x14ac:dyDescent="0.25">
      <c r="A436" s="51" t="e">
        <f t="shared" si="62"/>
        <v>#REF!</v>
      </c>
      <c r="B436" s="51">
        <f t="shared" si="63"/>
        <v>2045</v>
      </c>
      <c r="C436" s="51" t="str">
        <f t="shared" si="63"/>
        <v>AMS</v>
      </c>
      <c r="D436" s="51" t="s">
        <v>501</v>
      </c>
      <c r="E436" s="51" t="e">
        <f>VLOOKUP($H$6,#REF!,2,FALSE)</f>
        <v>#REF!</v>
      </c>
      <c r="F436" s="51"/>
      <c r="G436" s="618" t="s">
        <v>352</v>
      </c>
      <c r="H436" s="611">
        <v>0</v>
      </c>
      <c r="I436" s="611">
        <v>0</v>
      </c>
      <c r="J436" s="611">
        <v>0</v>
      </c>
      <c r="K436" s="611">
        <v>-28.456538558191252</v>
      </c>
      <c r="L436" s="611">
        <v>0</v>
      </c>
      <c r="M436" s="611">
        <v>0</v>
      </c>
      <c r="N436" s="611">
        <v>0</v>
      </c>
      <c r="O436" s="611">
        <v>0</v>
      </c>
      <c r="P436" s="611">
        <v>0</v>
      </c>
      <c r="Q436" s="611">
        <v>0</v>
      </c>
      <c r="R436" s="611">
        <v>0</v>
      </c>
      <c r="S436" s="611">
        <v>0</v>
      </c>
      <c r="T436" s="611">
        <v>0</v>
      </c>
      <c r="U436" s="611">
        <v>0</v>
      </c>
      <c r="V436" s="611">
        <v>0</v>
      </c>
      <c r="W436" s="611">
        <v>0</v>
      </c>
      <c r="X436" s="611">
        <v>39.633062058762192</v>
      </c>
      <c r="Y436" s="619">
        <v>11.176523500570941</v>
      </c>
      <c r="Z436" s="51"/>
      <c r="AA436" s="51"/>
      <c r="AB436" s="51"/>
    </row>
    <row r="437" spans="1:28" x14ac:dyDescent="0.25">
      <c r="A437" s="51" t="e">
        <f t="shared" si="62"/>
        <v>#REF!</v>
      </c>
      <c r="B437" s="51">
        <f t="shared" si="63"/>
        <v>2045</v>
      </c>
      <c r="C437" s="51" t="str">
        <f t="shared" si="63"/>
        <v>AMS</v>
      </c>
      <c r="D437" s="51" t="s">
        <v>502</v>
      </c>
      <c r="E437" s="51" t="e">
        <f>VLOOKUP($H$6,#REF!,2,FALSE)</f>
        <v>#REF!</v>
      </c>
      <c r="F437" s="51"/>
      <c r="G437" s="618" t="s">
        <v>73</v>
      </c>
      <c r="H437" s="611">
        <v>0</v>
      </c>
      <c r="I437" s="611">
        <v>0</v>
      </c>
      <c r="J437" s="611">
        <v>0</v>
      </c>
      <c r="K437" s="611">
        <v>0</v>
      </c>
      <c r="L437" s="611">
        <v>0</v>
      </c>
      <c r="M437" s="611">
        <v>0</v>
      </c>
      <c r="N437" s="611">
        <v>0</v>
      </c>
      <c r="O437" s="611">
        <v>0</v>
      </c>
      <c r="P437" s="611">
        <v>0</v>
      </c>
      <c r="Q437" s="611">
        <v>0</v>
      </c>
      <c r="R437" s="611">
        <v>0</v>
      </c>
      <c r="S437" s="611">
        <v>0</v>
      </c>
      <c r="T437" s="611">
        <v>0</v>
      </c>
      <c r="U437" s="611">
        <v>0</v>
      </c>
      <c r="V437" s="611">
        <v>138.41969178076673</v>
      </c>
      <c r="W437" s="611">
        <v>0</v>
      </c>
      <c r="X437" s="611">
        <v>-97.239833475988632</v>
      </c>
      <c r="Y437" s="619">
        <v>41.179858304778094</v>
      </c>
      <c r="Z437" s="51"/>
      <c r="AA437" s="51"/>
      <c r="AB437" s="51"/>
    </row>
    <row r="438" spans="1:28" x14ac:dyDescent="0.25">
      <c r="A438" s="51" t="e">
        <f t="shared" si="62"/>
        <v>#REF!</v>
      </c>
      <c r="B438" s="51">
        <f t="shared" si="63"/>
        <v>2045</v>
      </c>
      <c r="C438" s="51" t="str">
        <f t="shared" si="63"/>
        <v>AMS</v>
      </c>
      <c r="D438" s="51" t="s">
        <v>503</v>
      </c>
      <c r="E438" s="51" t="e">
        <f>VLOOKUP($H$6,#REF!,2,FALSE)</f>
        <v>#REF!</v>
      </c>
      <c r="F438" s="51"/>
      <c r="G438" s="618" t="s">
        <v>353</v>
      </c>
      <c r="H438" s="611">
        <v>5.0092797656249992</v>
      </c>
      <c r="I438" s="611">
        <v>-6.8897151576022866</v>
      </c>
      <c r="J438" s="611">
        <v>8.9891621815142653</v>
      </c>
      <c r="K438" s="611">
        <v>0</v>
      </c>
      <c r="L438" s="611">
        <v>0</v>
      </c>
      <c r="M438" s="611">
        <v>0</v>
      </c>
      <c r="N438" s="611">
        <v>0</v>
      </c>
      <c r="O438" s="611">
        <v>0</v>
      </c>
      <c r="P438" s="611">
        <v>0</v>
      </c>
      <c r="Q438" s="611">
        <v>0</v>
      </c>
      <c r="R438" s="611">
        <v>0</v>
      </c>
      <c r="S438" s="611">
        <v>0</v>
      </c>
      <c r="T438" s="611">
        <v>0</v>
      </c>
      <c r="U438" s="611">
        <v>0</v>
      </c>
      <c r="V438" s="611">
        <v>0</v>
      </c>
      <c r="W438" s="611">
        <v>0</v>
      </c>
      <c r="X438" s="611">
        <v>0</v>
      </c>
      <c r="Y438" s="619">
        <v>7.1087267895369788</v>
      </c>
      <c r="Z438" s="51"/>
      <c r="AA438" s="51"/>
      <c r="AB438" s="51"/>
    </row>
    <row r="439" spans="1:28" x14ac:dyDescent="0.25">
      <c r="A439" s="51" t="e">
        <f t="shared" si="62"/>
        <v>#REF!</v>
      </c>
      <c r="B439" s="51">
        <f t="shared" si="63"/>
        <v>2045</v>
      </c>
      <c r="C439" s="51" t="str">
        <f t="shared" si="63"/>
        <v>AMS</v>
      </c>
      <c r="D439" s="51" t="s">
        <v>504</v>
      </c>
      <c r="E439" s="51" t="e">
        <f>VLOOKUP($H$6,#REF!,2,FALSE)</f>
        <v>#REF!</v>
      </c>
      <c r="F439" s="51"/>
      <c r="G439" s="618" t="s">
        <v>75</v>
      </c>
      <c r="H439" s="611">
        <v>1.9480532421875001</v>
      </c>
      <c r="I439" s="611">
        <v>0</v>
      </c>
      <c r="J439" s="611">
        <v>17.132121990826434</v>
      </c>
      <c r="K439" s="611">
        <v>0</v>
      </c>
      <c r="L439" s="611">
        <v>1.9377811160090992</v>
      </c>
      <c r="M439" s="611">
        <v>4.9686695282284594E-2</v>
      </c>
      <c r="N439" s="611">
        <v>0</v>
      </c>
      <c r="O439" s="611">
        <v>0</v>
      </c>
      <c r="P439" s="611">
        <v>0</v>
      </c>
      <c r="Q439" s="611">
        <v>0</v>
      </c>
      <c r="R439" s="611">
        <v>0</v>
      </c>
      <c r="S439" s="611">
        <v>2.9812017169370755</v>
      </c>
      <c r="T439" s="611">
        <v>0</v>
      </c>
      <c r="U439" s="611">
        <v>0</v>
      </c>
      <c r="V439" s="611">
        <v>21.857474013020223</v>
      </c>
      <c r="W439" s="611">
        <v>0</v>
      </c>
      <c r="X439" s="611">
        <v>0</v>
      </c>
      <c r="Y439" s="619">
        <v>45.906318774262616</v>
      </c>
      <c r="Z439" s="51"/>
      <c r="AA439" s="51"/>
      <c r="AB439" s="51"/>
    </row>
    <row r="440" spans="1:28" x14ac:dyDescent="0.25">
      <c r="A440" s="51" t="e">
        <f t="shared" si="62"/>
        <v>#REF!</v>
      </c>
      <c r="B440" s="51">
        <f t="shared" si="63"/>
        <v>2045</v>
      </c>
      <c r="C440" s="51" t="str">
        <f t="shared" si="63"/>
        <v>AMS</v>
      </c>
      <c r="D440" s="51" t="s">
        <v>505</v>
      </c>
      <c r="E440" s="51" t="e">
        <f>VLOOKUP($H$6,#REF!,2,FALSE)</f>
        <v>#REF!</v>
      </c>
      <c r="F440" s="51"/>
      <c r="G440" s="618" t="s">
        <v>76</v>
      </c>
      <c r="H440" s="611">
        <v>0</v>
      </c>
      <c r="I440" s="611">
        <v>0</v>
      </c>
      <c r="J440" s="611">
        <v>0</v>
      </c>
      <c r="K440" s="611">
        <v>0</v>
      </c>
      <c r="L440" s="611">
        <v>0.58071595304039991</v>
      </c>
      <c r="M440" s="611">
        <v>1.4890152642061536E-2</v>
      </c>
      <c r="N440" s="611">
        <v>0</v>
      </c>
      <c r="O440" s="611">
        <v>0</v>
      </c>
      <c r="P440" s="611">
        <v>0</v>
      </c>
      <c r="Q440" s="611">
        <v>0</v>
      </c>
      <c r="R440" s="611">
        <v>0</v>
      </c>
      <c r="S440" s="611">
        <v>0.89340915852369218</v>
      </c>
      <c r="T440" s="611">
        <v>0</v>
      </c>
      <c r="U440" s="611">
        <v>0</v>
      </c>
      <c r="V440" s="611">
        <v>52.719460375561816</v>
      </c>
      <c r="W440" s="611">
        <v>5.2350040213197584</v>
      </c>
      <c r="X440" s="611">
        <v>0</v>
      </c>
      <c r="Y440" s="619">
        <v>59.443479661087729</v>
      </c>
      <c r="Z440" s="51"/>
      <c r="AA440" s="51"/>
      <c r="AB440" s="51"/>
    </row>
    <row r="441" spans="1:28" x14ac:dyDescent="0.25">
      <c r="A441" s="51" t="e">
        <f t="shared" si="62"/>
        <v>#REF!</v>
      </c>
      <c r="B441" s="51">
        <f t="shared" si="63"/>
        <v>2045</v>
      </c>
      <c r="C441" s="51" t="str">
        <f t="shared" si="63"/>
        <v>AMS</v>
      </c>
      <c r="D441" s="51" t="s">
        <v>506</v>
      </c>
      <c r="E441" s="51" t="e">
        <f>VLOOKUP($H$6,#REF!,2,FALSE)</f>
        <v>#REF!</v>
      </c>
      <c r="F441" s="51"/>
      <c r="G441" s="614" t="s">
        <v>77</v>
      </c>
      <c r="H441" s="615">
        <v>6.9573330078124993</v>
      </c>
      <c r="I441" s="615">
        <v>190.65660017812178</v>
      </c>
      <c r="J441" s="615">
        <v>-169.45403937836946</v>
      </c>
      <c r="K441" s="615">
        <v>-28.456538558191252</v>
      </c>
      <c r="L441" s="622">
        <v>5.7896081104900246</v>
      </c>
      <c r="M441" s="615">
        <v>-1.0821223235081592</v>
      </c>
      <c r="N441" s="615">
        <v>894.1849636363637</v>
      </c>
      <c r="O441" s="615">
        <v>463.21999229285728</v>
      </c>
      <c r="P441" s="615">
        <v>238.50712691867363</v>
      </c>
      <c r="Q441" s="615">
        <v>20.182155142145696</v>
      </c>
      <c r="R441" s="615">
        <v>-97.979183669473088</v>
      </c>
      <c r="S441" s="615">
        <v>-68.512768882443467</v>
      </c>
      <c r="T441" s="615">
        <v>0</v>
      </c>
      <c r="U441" s="615">
        <v>17.752689384804853</v>
      </c>
      <c r="V441" s="615">
        <v>-563.98591998787845</v>
      </c>
      <c r="W441" s="615">
        <v>-62.259463122360671</v>
      </c>
      <c r="X441" s="615">
        <v>-43.92297840044759</v>
      </c>
      <c r="Y441" s="615">
        <v>801.59745434859713</v>
      </c>
      <c r="Z441" s="51"/>
      <c r="AA441" s="51"/>
      <c r="AB441" s="51"/>
    </row>
    <row r="442" spans="1:28" x14ac:dyDescent="0.25">
      <c r="A442" s="51"/>
      <c r="B442" s="51"/>
      <c r="C442" s="51"/>
      <c r="D442" s="51"/>
      <c r="E442" s="51"/>
      <c r="F442" s="51"/>
      <c r="G442" s="616"/>
      <c r="H442" s="617">
        <v>0</v>
      </c>
      <c r="I442" s="617">
        <v>0</v>
      </c>
      <c r="J442" s="617">
        <v>0</v>
      </c>
      <c r="K442" s="617">
        <v>0</v>
      </c>
      <c r="L442" s="623">
        <v>0</v>
      </c>
      <c r="M442" s="617">
        <v>0</v>
      </c>
      <c r="N442" s="617">
        <v>0</v>
      </c>
      <c r="O442" s="617">
        <v>0</v>
      </c>
      <c r="P442" s="617">
        <v>0</v>
      </c>
      <c r="Q442" s="617">
        <v>0</v>
      </c>
      <c r="R442" s="617">
        <v>0</v>
      </c>
      <c r="S442" s="617">
        <v>0</v>
      </c>
      <c r="T442" s="617">
        <v>0</v>
      </c>
      <c r="U442" s="617">
        <v>0</v>
      </c>
      <c r="V442" s="617">
        <v>0</v>
      </c>
      <c r="W442" s="617">
        <v>0</v>
      </c>
      <c r="X442" s="617">
        <v>0</v>
      </c>
      <c r="Y442" s="617">
        <v>0</v>
      </c>
      <c r="Z442" s="51"/>
      <c r="AA442" s="51"/>
      <c r="AB442" s="51"/>
    </row>
    <row r="443" spans="1:28" x14ac:dyDescent="0.25">
      <c r="A443" s="51" t="e">
        <f>A441+2</f>
        <v>#REF!</v>
      </c>
      <c r="B443" s="51">
        <f>B441</f>
        <v>2045</v>
      </c>
      <c r="C443" s="51" t="str">
        <f>C421</f>
        <v>AMS</v>
      </c>
      <c r="D443" s="51" t="s">
        <v>507</v>
      </c>
      <c r="E443" s="51" t="e">
        <f>VLOOKUP($H$6,#REF!,2,FALSE)</f>
        <v>#REF!</v>
      </c>
      <c r="F443" s="51"/>
      <c r="G443" s="618" t="s">
        <v>78</v>
      </c>
      <c r="H443" s="611">
        <v>2.1515630330821871</v>
      </c>
      <c r="I443" s="611">
        <v>0</v>
      </c>
      <c r="J443" s="611">
        <v>1.9729303012498745</v>
      </c>
      <c r="K443" s="611">
        <v>0</v>
      </c>
      <c r="L443" s="611">
        <v>17.624600662262115</v>
      </c>
      <c r="M443" s="611">
        <v>0.45191283749390032</v>
      </c>
      <c r="N443" s="611">
        <v>0</v>
      </c>
      <c r="O443" s="611">
        <v>0</v>
      </c>
      <c r="P443" s="611">
        <v>19.327819378703428</v>
      </c>
      <c r="Q443" s="611">
        <v>2.2279514023281117</v>
      </c>
      <c r="R443" s="611">
        <v>2.6644658203125</v>
      </c>
      <c r="S443" s="611">
        <v>27.156120456665761</v>
      </c>
      <c r="T443" s="611">
        <v>9.6085478515625002</v>
      </c>
      <c r="U443" s="611">
        <v>8.4299170840015686E-4</v>
      </c>
      <c r="V443" s="611">
        <v>135.80773886663795</v>
      </c>
      <c r="W443" s="611">
        <v>18.436108583667494</v>
      </c>
      <c r="X443" s="611">
        <v>6.3938178710937503</v>
      </c>
      <c r="Y443" s="619">
        <v>243.82442005676796</v>
      </c>
      <c r="Z443" s="51"/>
      <c r="AA443" s="620" t="e" cm="1">
        <f t="array" aca="1" ref="AA443" ca="1">_xlfn.IFNA(INDEX(#REF!,MATCH(INDIRECT("Codes_bilans!"&amp;AA$1&amp;"$"&amp;$A443),#REF!,0),MATCH($B443,#REF!,0)),0)</f>
        <v>#REF!</v>
      </c>
      <c r="AB443" s="51"/>
    </row>
    <row r="444" spans="1:28" x14ac:dyDescent="0.25">
      <c r="A444" s="51" t="e">
        <f t="shared" ref="A444:A451" si="64">A443+1</f>
        <v>#REF!</v>
      </c>
      <c r="B444" s="51">
        <f t="shared" ref="B444:C451" si="65">B443</f>
        <v>2045</v>
      </c>
      <c r="C444" s="51" t="str">
        <f t="shared" si="65"/>
        <v>AMS</v>
      </c>
      <c r="D444" s="51" t="s">
        <v>508</v>
      </c>
      <c r="E444" s="51" t="e">
        <f>VLOOKUP($H$6,#REF!,2,FALSE)</f>
        <v>#REF!</v>
      </c>
      <c r="F444" s="51"/>
      <c r="G444" s="618" t="s">
        <v>79</v>
      </c>
      <c r="H444" s="611">
        <v>0</v>
      </c>
      <c r="I444" s="611">
        <v>0</v>
      </c>
      <c r="J444" s="611">
        <v>5.1934680094593588</v>
      </c>
      <c r="K444" s="611">
        <v>1.7577012997845347</v>
      </c>
      <c r="L444" s="611">
        <v>2.152977175631825</v>
      </c>
      <c r="M444" s="611">
        <v>5.5204542964918585E-2</v>
      </c>
      <c r="N444" s="611">
        <v>0</v>
      </c>
      <c r="O444" s="611">
        <v>0</v>
      </c>
      <c r="P444" s="611">
        <v>0</v>
      </c>
      <c r="Q444" s="611">
        <v>0</v>
      </c>
      <c r="R444" s="611">
        <v>51.143075106834317</v>
      </c>
      <c r="S444" s="611">
        <v>3.312272577895115</v>
      </c>
      <c r="T444" s="611">
        <v>0</v>
      </c>
      <c r="U444" s="611">
        <v>0</v>
      </c>
      <c r="V444" s="611">
        <v>104.19646172854269</v>
      </c>
      <c r="W444" s="611">
        <v>0</v>
      </c>
      <c r="X444" s="611">
        <v>4.7641609973157095</v>
      </c>
      <c r="Y444" s="619">
        <v>172.57532143842849</v>
      </c>
      <c r="Z444" s="51"/>
      <c r="AA444" s="620" t="e" cm="1">
        <f t="array" aca="1" ref="AA444" ca="1">_xlfn.IFNA(INDEX(#REF!,MATCH(INDIRECT("Codes_bilans!"&amp;AA$1&amp;"$"&amp;$A444),#REF!,0),MATCH($B444,#REF!,0)),0)</f>
        <v>#REF!</v>
      </c>
      <c r="AB444" s="51"/>
    </row>
    <row r="445" spans="1:28" x14ac:dyDescent="0.25">
      <c r="A445" s="51" t="e">
        <f t="shared" si="64"/>
        <v>#REF!</v>
      </c>
      <c r="B445" s="51">
        <f t="shared" si="65"/>
        <v>2045</v>
      </c>
      <c r="C445" s="51" t="str">
        <f t="shared" si="65"/>
        <v>AMS</v>
      </c>
      <c r="D445" s="51" t="s">
        <v>509</v>
      </c>
      <c r="E445" s="51" t="e">
        <f>VLOOKUP($H$6,#REF!,2,FALSE)</f>
        <v>#REF!</v>
      </c>
      <c r="F445" s="51"/>
      <c r="G445" s="618" t="s">
        <v>80</v>
      </c>
      <c r="H445" s="611">
        <v>0</v>
      </c>
      <c r="I445" s="611">
        <v>0</v>
      </c>
      <c r="J445" s="611">
        <v>1.724730994879903</v>
      </c>
      <c r="K445" s="611">
        <v>0</v>
      </c>
      <c r="L445" s="611">
        <v>12.69993934515486</v>
      </c>
      <c r="M445" s="611">
        <v>0.32563947038858615</v>
      </c>
      <c r="N445" s="611">
        <v>0</v>
      </c>
      <c r="O445" s="611">
        <v>0</v>
      </c>
      <c r="P445" s="611">
        <v>30.989297403436193</v>
      </c>
      <c r="Q445" s="611">
        <v>0</v>
      </c>
      <c r="R445" s="611">
        <v>0</v>
      </c>
      <c r="S445" s="611">
        <v>19.538368223315167</v>
      </c>
      <c r="T445" s="611">
        <v>115.76071669132362</v>
      </c>
      <c r="U445" s="611">
        <v>2.9888036499995505</v>
      </c>
      <c r="V445" s="611">
        <v>139.03080400703527</v>
      </c>
      <c r="W445" s="611">
        <v>24.846536847991327</v>
      </c>
      <c r="X445" s="611">
        <v>0</v>
      </c>
      <c r="Y445" s="619">
        <v>347.90483663352444</v>
      </c>
      <c r="Z445" s="51"/>
      <c r="AA445" s="620" t="e" cm="1">
        <f t="array" aca="1" ref="AA445" ca="1">_xlfn.IFNA(INDEX(#REF!,MATCH(INDIRECT("Codes_bilans!"&amp;AA$1&amp;"$"&amp;$A445),#REF!,0),MATCH($B445,#REF!,0)),0)</f>
        <v>#REF!</v>
      </c>
      <c r="AB445" s="51"/>
    </row>
    <row r="446" spans="1:28" x14ac:dyDescent="0.25">
      <c r="A446" s="51" t="e">
        <f t="shared" si="64"/>
        <v>#REF!</v>
      </c>
      <c r="B446" s="51">
        <f t="shared" si="65"/>
        <v>2045</v>
      </c>
      <c r="C446" s="51" t="str">
        <f t="shared" si="65"/>
        <v>AMS</v>
      </c>
      <c r="D446" s="51" t="s">
        <v>510</v>
      </c>
      <c r="E446" s="51" t="e">
        <f>VLOOKUP($H$6,#REF!,2,FALSE)</f>
        <v>#REF!</v>
      </c>
      <c r="F446" s="51"/>
      <c r="G446" s="618" t="s">
        <v>81</v>
      </c>
      <c r="H446" s="611">
        <v>0</v>
      </c>
      <c r="I446" s="611">
        <v>0</v>
      </c>
      <c r="J446" s="611">
        <v>0.73542128008657859</v>
      </c>
      <c r="K446" s="611">
        <v>0</v>
      </c>
      <c r="L446" s="611">
        <v>6.9022329775494073</v>
      </c>
      <c r="M446" s="611">
        <v>0.17698033275767711</v>
      </c>
      <c r="N446" s="611">
        <v>0</v>
      </c>
      <c r="O446" s="611">
        <v>0</v>
      </c>
      <c r="P446" s="611">
        <v>0.37326901233115406</v>
      </c>
      <c r="Q446" s="611">
        <v>3.4682726224379159E-4</v>
      </c>
      <c r="R446" s="611">
        <v>0</v>
      </c>
      <c r="S446" s="611">
        <v>10.618819965460625</v>
      </c>
      <c r="T446" s="611">
        <v>27.414780089746973</v>
      </c>
      <c r="U446" s="611">
        <v>1.0008652914522365</v>
      </c>
      <c r="V446" s="611">
        <v>86.91432505661372</v>
      </c>
      <c r="W446" s="611">
        <v>18.976817690701857</v>
      </c>
      <c r="X446" s="611">
        <v>0</v>
      </c>
      <c r="Y446" s="619">
        <v>153.11385852396248</v>
      </c>
      <c r="Z446" s="51"/>
      <c r="AA446" s="620" t="e" cm="1">
        <f t="array" aca="1" ref="AA446" ca="1">_xlfn.IFNA(INDEX(#REF!,MATCH(INDIRECT("Codes_bilans!"&amp;AA$1&amp;"$"&amp;$A446),#REF!,0),MATCH($B446,#REF!,0)),0)</f>
        <v>#REF!</v>
      </c>
      <c r="AB446" s="51"/>
    </row>
    <row r="447" spans="1:28" x14ac:dyDescent="0.25">
      <c r="A447" s="51" t="e">
        <f t="shared" si="64"/>
        <v>#REF!</v>
      </c>
      <c r="B447" s="51">
        <f t="shared" si="65"/>
        <v>2045</v>
      </c>
      <c r="C447" s="51" t="str">
        <f t="shared" si="65"/>
        <v>AMS</v>
      </c>
      <c r="D447" s="51" t="s">
        <v>511</v>
      </c>
      <c r="E447" s="51" t="e">
        <f>VLOOKUP($H$6,#REF!,2,FALSE)</f>
        <v>#REF!</v>
      </c>
      <c r="F447" s="51"/>
      <c r="G447" s="618" t="s">
        <v>82</v>
      </c>
      <c r="H447" s="611">
        <v>0</v>
      </c>
      <c r="I447" s="611">
        <v>0</v>
      </c>
      <c r="J447" s="611">
        <v>3.5155989746586096</v>
      </c>
      <c r="K447" s="611">
        <v>0</v>
      </c>
      <c r="L447" s="611">
        <v>0.66808232732668293</v>
      </c>
      <c r="M447" s="611">
        <v>1.7130316085299562E-2</v>
      </c>
      <c r="N447" s="611">
        <v>0</v>
      </c>
      <c r="O447" s="611">
        <v>0</v>
      </c>
      <c r="P447" s="611">
        <v>3.9742935582164471</v>
      </c>
      <c r="Q447" s="611">
        <v>0</v>
      </c>
      <c r="R447" s="611">
        <v>17.824426087880788</v>
      </c>
      <c r="S447" s="611">
        <v>1.0278189651179737</v>
      </c>
      <c r="T447" s="611">
        <v>1.25</v>
      </c>
      <c r="U447" s="611">
        <v>1.7440136932478227</v>
      </c>
      <c r="V447" s="611">
        <v>7.8035752238100597</v>
      </c>
      <c r="W447" s="611">
        <v>0</v>
      </c>
      <c r="X447" s="611">
        <v>0.38427420359697795</v>
      </c>
      <c r="Y447" s="619">
        <v>38.209213349940661</v>
      </c>
      <c r="Z447" s="51"/>
      <c r="AA447" s="620" t="e" cm="1">
        <f t="array" aca="1" ref="AA447" ca="1">_xlfn.IFNA(INDEX(#REF!,MATCH(INDIRECT("Codes_bilans!"&amp;AA$1&amp;"$"&amp;$A447),#REF!,0),MATCH($B447,#REF!,0)),0)</f>
        <v>#REF!</v>
      </c>
      <c r="AB447" s="51"/>
    </row>
    <row r="448" spans="1:28" x14ac:dyDescent="0.25">
      <c r="A448" s="51" t="e">
        <f t="shared" si="64"/>
        <v>#REF!</v>
      </c>
      <c r="B448" s="51">
        <f t="shared" si="65"/>
        <v>2045</v>
      </c>
      <c r="C448" s="51" t="str">
        <f t="shared" si="65"/>
        <v>AMS</v>
      </c>
      <c r="D448" s="51" t="s">
        <v>512</v>
      </c>
      <c r="E448" s="51" t="e">
        <f>VLOOKUP($H$6,#REF!,2,FALSE)</f>
        <v>#REF!</v>
      </c>
      <c r="F448" s="51"/>
      <c r="G448" s="618" t="s">
        <v>354</v>
      </c>
      <c r="H448" s="611">
        <v>0</v>
      </c>
      <c r="I448" s="611">
        <v>0</v>
      </c>
      <c r="J448" s="611">
        <v>0</v>
      </c>
      <c r="K448" s="611">
        <v>0</v>
      </c>
      <c r="L448" s="611">
        <v>0</v>
      </c>
      <c r="M448" s="611">
        <v>0</v>
      </c>
      <c r="N448" s="611">
        <v>0</v>
      </c>
      <c r="O448" s="611">
        <v>0</v>
      </c>
      <c r="P448" s="611">
        <v>0</v>
      </c>
      <c r="Q448" s="611">
        <v>0</v>
      </c>
      <c r="R448" s="611">
        <v>0</v>
      </c>
      <c r="S448" s="611">
        <v>0</v>
      </c>
      <c r="T448" s="611">
        <v>0</v>
      </c>
      <c r="U448" s="611">
        <v>0</v>
      </c>
      <c r="V448" s="611">
        <v>2.21408</v>
      </c>
      <c r="W448" s="611">
        <v>0</v>
      </c>
      <c r="X448" s="611">
        <v>0</v>
      </c>
      <c r="Y448" s="619">
        <v>2.21408</v>
      </c>
      <c r="Z448" s="51"/>
      <c r="AA448" s="620" t="e" cm="1">
        <f t="array" aca="1" ref="AA448" ca="1">_xlfn.IFNA(INDEX(#REF!,MATCH(INDIRECT("Codes_bilans!"&amp;AA$1&amp;"$"&amp;$A448),#REF!,0),MATCH($B448,#REF!,0)),0)</f>
        <v>#REF!</v>
      </c>
      <c r="AB448" s="51"/>
    </row>
    <row r="449" spans="1:28" x14ac:dyDescent="0.25">
      <c r="A449" s="51" t="e">
        <f t="shared" si="64"/>
        <v>#REF!</v>
      </c>
      <c r="B449" s="51">
        <f t="shared" si="65"/>
        <v>2045</v>
      </c>
      <c r="C449" s="51" t="str">
        <f t="shared" si="65"/>
        <v>AMS</v>
      </c>
      <c r="D449" s="51" t="s">
        <v>513</v>
      </c>
      <c r="E449" s="51" t="e">
        <f>VLOOKUP($H$6,#REF!,2,FALSE)</f>
        <v>#REF!</v>
      </c>
      <c r="F449" s="51"/>
      <c r="G449" s="614" t="s">
        <v>83</v>
      </c>
      <c r="H449" s="615">
        <v>2.1515630330821871</v>
      </c>
      <c r="I449" s="615">
        <v>0</v>
      </c>
      <c r="J449" s="615">
        <v>13.142149560334325</v>
      </c>
      <c r="K449" s="615">
        <v>1.7577012997845347</v>
      </c>
      <c r="L449" s="622">
        <v>40.047832487924893</v>
      </c>
      <c r="M449" s="615">
        <v>1.0268674996903817</v>
      </c>
      <c r="N449" s="615">
        <v>0</v>
      </c>
      <c r="O449" s="615">
        <v>0</v>
      </c>
      <c r="P449" s="615">
        <v>54.664679352687223</v>
      </c>
      <c r="Q449" s="615">
        <v>2.2282982295903557</v>
      </c>
      <c r="R449" s="615">
        <v>71.631967015027612</v>
      </c>
      <c r="S449" s="615">
        <v>61.65340018845464</v>
      </c>
      <c r="T449" s="615">
        <v>154.03404463263311</v>
      </c>
      <c r="U449" s="615">
        <v>5.7345256264080096</v>
      </c>
      <c r="V449" s="615">
        <v>475.96698488263968</v>
      </c>
      <c r="W449" s="615">
        <v>62.259463122360671</v>
      </c>
      <c r="X449" s="615">
        <v>11.542253072006439</v>
      </c>
      <c r="Y449" s="615">
        <v>957.84173000262399</v>
      </c>
      <c r="Z449" s="51"/>
      <c r="AA449" s="51"/>
      <c r="AB449" s="51"/>
    </row>
    <row r="450" spans="1:28" x14ac:dyDescent="0.25">
      <c r="A450" s="51" t="e">
        <f t="shared" si="64"/>
        <v>#REF!</v>
      </c>
      <c r="B450" s="51">
        <f t="shared" si="65"/>
        <v>2045</v>
      </c>
      <c r="C450" s="51" t="str">
        <f t="shared" si="65"/>
        <v>AMS</v>
      </c>
      <c r="D450" s="51" t="s">
        <v>514</v>
      </c>
      <c r="E450" s="51" t="e">
        <f>VLOOKUP($H$6,#REF!,2,FALSE)</f>
        <v>#REF!</v>
      </c>
      <c r="F450" s="51"/>
      <c r="G450" s="610" t="s">
        <v>84</v>
      </c>
      <c r="H450" s="611">
        <v>0</v>
      </c>
      <c r="I450" s="611">
        <v>0</v>
      </c>
      <c r="J450" s="611">
        <v>50.64517840221108</v>
      </c>
      <c r="K450" s="611">
        <v>7.8734962103748298</v>
      </c>
      <c r="L450" s="611">
        <v>4.7799931551444459</v>
      </c>
      <c r="M450" s="611">
        <v>0</v>
      </c>
      <c r="N450" s="611">
        <v>0</v>
      </c>
      <c r="O450" s="611">
        <v>0</v>
      </c>
      <c r="P450" s="611">
        <v>0.52419855520004055</v>
      </c>
      <c r="Q450" s="611">
        <v>0</v>
      </c>
      <c r="R450" s="611">
        <v>18.858697915767927</v>
      </c>
      <c r="S450" s="611">
        <v>3.7147337189182332</v>
      </c>
      <c r="T450" s="611">
        <v>0</v>
      </c>
      <c r="U450" s="611">
        <v>0</v>
      </c>
      <c r="V450" s="611">
        <v>0</v>
      </c>
      <c r="W450" s="611">
        <v>0</v>
      </c>
      <c r="X450" s="611">
        <v>30.985390762521494</v>
      </c>
      <c r="Y450" s="619">
        <v>117.38168872013804</v>
      </c>
      <c r="Z450" s="51"/>
      <c r="AA450" s="620" t="e" cm="1">
        <f t="array" aca="1" ref="AA450" ca="1">_xlfn.IFNA(INDEX(#REF!,MATCH(INDIRECT("Codes_bilans!"&amp;AA$1&amp;"$"&amp;$A450),#REF!,0),MATCH($B450,#REF!,0)),0)</f>
        <v>#REF!</v>
      </c>
      <c r="AB450" s="51"/>
    </row>
    <row r="451" spans="1:28" x14ac:dyDescent="0.25">
      <c r="A451" s="51" t="e">
        <f t="shared" si="64"/>
        <v>#REF!</v>
      </c>
      <c r="B451" s="51">
        <f t="shared" si="65"/>
        <v>2045</v>
      </c>
      <c r="C451" s="51" t="str">
        <f t="shared" si="65"/>
        <v>AMS</v>
      </c>
      <c r="D451" s="51" t="s">
        <v>515</v>
      </c>
      <c r="E451" s="51" t="e">
        <f>VLOOKUP($H$6,#REF!,2,FALSE)</f>
        <v>#REF!</v>
      </c>
      <c r="F451" s="51"/>
      <c r="G451" s="614" t="s">
        <v>85</v>
      </c>
      <c r="H451" s="615">
        <v>2.1515630330821871</v>
      </c>
      <c r="I451" s="615">
        <v>0</v>
      </c>
      <c r="J451" s="615">
        <v>63.787327962545405</v>
      </c>
      <c r="K451" s="615">
        <v>9.6311975101593639</v>
      </c>
      <c r="L451" s="622">
        <v>44.827825643069339</v>
      </c>
      <c r="M451" s="615">
        <v>1.0268674996903817</v>
      </c>
      <c r="N451" s="615">
        <v>0</v>
      </c>
      <c r="O451" s="615">
        <v>0</v>
      </c>
      <c r="P451" s="615">
        <v>55.18887790788726</v>
      </c>
      <c r="Q451" s="615">
        <v>2.2282982295903557</v>
      </c>
      <c r="R451" s="615">
        <v>90.490664930795546</v>
      </c>
      <c r="S451" s="615">
        <v>65.368133907372865</v>
      </c>
      <c r="T451" s="615">
        <v>154.03404463263311</v>
      </c>
      <c r="U451" s="615">
        <v>5.7345256264080096</v>
      </c>
      <c r="V451" s="615">
        <v>475.96698488263968</v>
      </c>
      <c r="W451" s="615">
        <v>62.259463122360671</v>
      </c>
      <c r="X451" s="615">
        <v>42.527643834527936</v>
      </c>
      <c r="Y451" s="615">
        <v>1075.2234187227621</v>
      </c>
      <c r="Z451" s="51"/>
      <c r="AA451" s="51"/>
      <c r="AB451" s="51"/>
    </row>
    <row r="452" spans="1:28" x14ac:dyDescent="0.25">
      <c r="A452" s="51"/>
      <c r="B452" s="51"/>
      <c r="C452" s="51"/>
      <c r="D452" s="51"/>
      <c r="E452" s="51"/>
      <c r="F452" s="51"/>
      <c r="G452" s="51"/>
      <c r="H452" s="67">
        <v>0</v>
      </c>
      <c r="I452" s="67">
        <v>0</v>
      </c>
      <c r="J452" s="67">
        <v>0</v>
      </c>
      <c r="K452" s="67">
        <v>0</v>
      </c>
      <c r="L452" s="67">
        <v>0</v>
      </c>
      <c r="M452" s="67">
        <v>-1.3183898417423734E-16</v>
      </c>
      <c r="N452" s="67">
        <v>0</v>
      </c>
      <c r="O452" s="67">
        <v>0</v>
      </c>
      <c r="P452" s="67">
        <v>0</v>
      </c>
      <c r="Q452" s="67">
        <v>0</v>
      </c>
      <c r="R452" s="67">
        <v>1.2434497875801753E-14</v>
      </c>
      <c r="S452" s="67">
        <v>-1.8207657603852567E-14</v>
      </c>
      <c r="T452" s="67">
        <v>0</v>
      </c>
      <c r="U452" s="67">
        <v>0</v>
      </c>
      <c r="V452" s="67">
        <v>0</v>
      </c>
      <c r="W452" s="67">
        <v>0</v>
      </c>
      <c r="X452" s="67">
        <v>4.4408920985006262E-15</v>
      </c>
      <c r="Y452" s="67">
        <v>0</v>
      </c>
      <c r="Z452" s="51"/>
      <c r="AA452" s="51"/>
      <c r="AB452" s="51"/>
    </row>
    <row r="453" spans="1:28" x14ac:dyDescent="0.25">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row>
    <row r="454" spans="1:28" x14ac:dyDescent="0.25">
      <c r="A454" s="606"/>
      <c r="B454" s="606"/>
      <c r="C454" s="606"/>
      <c r="D454" s="606"/>
      <c r="E454" s="606"/>
      <c r="F454" s="606"/>
      <c r="G454" s="607" t="s">
        <v>89</v>
      </c>
      <c r="H454" s="606"/>
      <c r="I454" s="606"/>
      <c r="J454" s="606"/>
      <c r="K454" s="606"/>
      <c r="L454" s="606"/>
      <c r="M454" s="606"/>
      <c r="N454" s="606"/>
      <c r="O454" s="606"/>
      <c r="P454" s="606"/>
      <c r="Q454" s="606"/>
      <c r="R454" s="606"/>
      <c r="S454" s="606"/>
      <c r="T454" s="606"/>
      <c r="U454" s="606"/>
      <c r="V454" s="606"/>
      <c r="W454" s="606"/>
      <c r="X454" s="606"/>
      <c r="Y454" s="606"/>
      <c r="Z454" s="606"/>
      <c r="AA454" s="606"/>
      <c r="AB454" s="606"/>
    </row>
    <row r="455" spans="1:28" x14ac:dyDescent="0.2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row>
    <row r="456" spans="1:28" ht="14.25" customHeight="1" x14ac:dyDescent="0.25">
      <c r="A456" s="51"/>
      <c r="B456" s="51"/>
      <c r="C456" s="51"/>
      <c r="D456" s="51"/>
      <c r="E456" s="51"/>
      <c r="F456" s="51"/>
      <c r="G456" s="764" t="s">
        <v>128</v>
      </c>
      <c r="H456" s="753" t="s">
        <v>42</v>
      </c>
      <c r="I456" s="753" t="s">
        <v>52</v>
      </c>
      <c r="J456" s="753" t="s">
        <v>53</v>
      </c>
      <c r="K456" s="753" t="s">
        <v>482</v>
      </c>
      <c r="L456" s="753" t="s">
        <v>32</v>
      </c>
      <c r="M456" s="753" t="s">
        <v>483</v>
      </c>
      <c r="N456" s="753" t="s">
        <v>20</v>
      </c>
      <c r="O456" s="753" t="s">
        <v>55</v>
      </c>
      <c r="P456" s="761" t="s">
        <v>56</v>
      </c>
      <c r="Q456" s="762"/>
      <c r="R456" s="762"/>
      <c r="S456" s="762"/>
      <c r="T456" s="762"/>
      <c r="U456" s="763"/>
      <c r="V456" s="753" t="s">
        <v>57</v>
      </c>
      <c r="W456" s="753" t="s">
        <v>58</v>
      </c>
      <c r="X456" s="753" t="s">
        <v>31</v>
      </c>
      <c r="Y456" s="753" t="s">
        <v>10</v>
      </c>
      <c r="Z456" s="51"/>
      <c r="AA456" s="51"/>
      <c r="AB456" s="51"/>
    </row>
    <row r="457" spans="1:28" ht="24" x14ac:dyDescent="0.25">
      <c r="A457" s="51"/>
      <c r="B457" s="51"/>
      <c r="C457" s="51"/>
      <c r="D457" s="51" t="s">
        <v>486</v>
      </c>
      <c r="E457" s="51"/>
      <c r="F457" s="51"/>
      <c r="G457" s="765"/>
      <c r="H457" s="754"/>
      <c r="I457" s="754"/>
      <c r="J457" s="754"/>
      <c r="K457" s="754"/>
      <c r="L457" s="754"/>
      <c r="M457" s="754"/>
      <c r="N457" s="754"/>
      <c r="O457" s="754"/>
      <c r="P457" s="608" t="s">
        <v>335</v>
      </c>
      <c r="Q457" s="608" t="s">
        <v>40</v>
      </c>
      <c r="R457" s="608" t="s">
        <v>343</v>
      </c>
      <c r="S457" s="608" t="s">
        <v>344</v>
      </c>
      <c r="T457" s="609" t="s">
        <v>345</v>
      </c>
      <c r="U457" s="608" t="s">
        <v>346</v>
      </c>
      <c r="V457" s="754"/>
      <c r="W457" s="754"/>
      <c r="X457" s="754"/>
      <c r="Y457" s="754"/>
      <c r="Z457" s="51"/>
      <c r="AA457" s="51"/>
      <c r="AB457" s="51"/>
    </row>
    <row r="458" spans="1:28" x14ac:dyDescent="0.25">
      <c r="A458" s="51" t="e">
        <f>A421</f>
        <v>#REF!</v>
      </c>
      <c r="B458" s="51">
        <v>2050</v>
      </c>
      <c r="C458" s="51" t="s">
        <v>47</v>
      </c>
      <c r="D458" s="51" t="s">
        <v>487</v>
      </c>
      <c r="E458" s="51" t="e">
        <f>VLOOKUP($H$6,#REF!,2,FALSE)</f>
        <v>#REF!</v>
      </c>
      <c r="F458" s="51"/>
      <c r="G458" s="610" t="s">
        <v>59</v>
      </c>
      <c r="H458" s="611">
        <v>0</v>
      </c>
      <c r="I458" s="611">
        <v>0</v>
      </c>
      <c r="J458" s="611">
        <v>0</v>
      </c>
      <c r="K458" s="611">
        <v>0</v>
      </c>
      <c r="L458" s="611">
        <v>0</v>
      </c>
      <c r="M458" s="611">
        <v>0</v>
      </c>
      <c r="N458" s="612">
        <v>722.62832727272735</v>
      </c>
      <c r="O458" s="612">
        <v>564.70258021663687</v>
      </c>
      <c r="P458" s="612">
        <v>261.57522104592402</v>
      </c>
      <c r="Q458" s="612">
        <v>19.259411243005907</v>
      </c>
      <c r="R458" s="611">
        <v>1.5563580670349855</v>
      </c>
      <c r="S458" s="611">
        <v>0.17110271620039663</v>
      </c>
      <c r="T458" s="612">
        <v>165.69550077594988</v>
      </c>
      <c r="U458" s="612">
        <v>24.373068583718577</v>
      </c>
      <c r="V458" s="611">
        <v>0</v>
      </c>
      <c r="W458" s="611">
        <v>0</v>
      </c>
      <c r="X458" s="611">
        <v>0</v>
      </c>
      <c r="Y458" s="613">
        <v>1759.9615699211979</v>
      </c>
      <c r="Z458" s="51"/>
      <c r="AA458" s="51"/>
      <c r="AB458" s="51"/>
    </row>
    <row r="459" spans="1:28" x14ac:dyDescent="0.25">
      <c r="A459" s="51" t="e">
        <f t="shared" ref="A459:A464" si="66">A458+1</f>
        <v>#REF!</v>
      </c>
      <c r="B459" s="51">
        <f t="shared" ref="B459:C464" si="67">B458</f>
        <v>2050</v>
      </c>
      <c r="C459" s="51" t="str">
        <f t="shared" si="67"/>
        <v>AMS</v>
      </c>
      <c r="D459" s="51" t="s">
        <v>488</v>
      </c>
      <c r="E459" s="51" t="e">
        <f>VLOOKUP($H$6,#REF!,2,FALSE)</f>
        <v>#REF!</v>
      </c>
      <c r="F459" s="51"/>
      <c r="G459" s="610" t="s">
        <v>60</v>
      </c>
      <c r="H459" s="611">
        <v>5.9311888025037742</v>
      </c>
      <c r="I459" s="611">
        <v>113.95685880900638</v>
      </c>
      <c r="J459" s="611">
        <v>1.9517818504706483</v>
      </c>
      <c r="K459" s="611">
        <v>0</v>
      </c>
      <c r="L459" s="611">
        <v>2.6585092475046008</v>
      </c>
      <c r="M459" s="611">
        <v>0</v>
      </c>
      <c r="N459" s="611">
        <v>0</v>
      </c>
      <c r="O459" s="611">
        <v>0</v>
      </c>
      <c r="P459" s="611">
        <v>5.2309321400654634</v>
      </c>
      <c r="Q459" s="611">
        <v>0</v>
      </c>
      <c r="R459" s="611">
        <v>5.4084519189769722</v>
      </c>
      <c r="S459" s="611">
        <v>0</v>
      </c>
      <c r="T459" s="611">
        <v>0</v>
      </c>
      <c r="U459" s="611">
        <v>0</v>
      </c>
      <c r="V459" s="611">
        <v>0</v>
      </c>
      <c r="W459" s="611">
        <v>0</v>
      </c>
      <c r="X459" s="611">
        <v>0</v>
      </c>
      <c r="Y459" s="613">
        <v>135.13772276852782</v>
      </c>
      <c r="Z459" s="51"/>
      <c r="AA459" s="51"/>
      <c r="AB459" s="51"/>
    </row>
    <row r="460" spans="1:28" x14ac:dyDescent="0.25">
      <c r="A460" s="51" t="e">
        <f t="shared" si="66"/>
        <v>#REF!</v>
      </c>
      <c r="B460" s="51">
        <f t="shared" si="67"/>
        <v>2050</v>
      </c>
      <c r="C460" s="51" t="str">
        <f t="shared" si="67"/>
        <v>AMS</v>
      </c>
      <c r="D460" s="51" t="s">
        <v>489</v>
      </c>
      <c r="E460" s="51" t="e">
        <f>VLOOKUP($H$6,#REF!,2,FALSE)</f>
        <v>#REF!</v>
      </c>
      <c r="F460" s="51"/>
      <c r="G460" s="610" t="s">
        <v>61</v>
      </c>
      <c r="H460" s="611">
        <v>0</v>
      </c>
      <c r="I460" s="611">
        <v>0</v>
      </c>
      <c r="J460" s="611">
        <v>-32.162617358689019</v>
      </c>
      <c r="K460" s="611">
        <v>-9.0412558456810785</v>
      </c>
      <c r="L460" s="611">
        <v>0</v>
      </c>
      <c r="M460" s="611">
        <v>0</v>
      </c>
      <c r="N460" s="611">
        <v>0</v>
      </c>
      <c r="O460" s="611">
        <v>0</v>
      </c>
      <c r="P460" s="611">
        <v>0</v>
      </c>
      <c r="Q460" s="611">
        <v>0</v>
      </c>
      <c r="R460" s="611">
        <v>0</v>
      </c>
      <c r="S460" s="611">
        <v>0</v>
      </c>
      <c r="T460" s="611">
        <v>0</v>
      </c>
      <c r="U460" s="611">
        <v>0</v>
      </c>
      <c r="V460" s="611">
        <v>-51.026672969387278</v>
      </c>
      <c r="W460" s="611">
        <v>0</v>
      </c>
      <c r="X460" s="611">
        <v>0</v>
      </c>
      <c r="Y460" s="613">
        <v>-92.230546173757375</v>
      </c>
      <c r="Z460" s="51"/>
      <c r="AA460" s="51"/>
      <c r="AB460" s="51"/>
    </row>
    <row r="461" spans="1:28" x14ac:dyDescent="0.25">
      <c r="A461" s="51" t="e">
        <f t="shared" si="66"/>
        <v>#REF!</v>
      </c>
      <c r="B461" s="51">
        <f t="shared" si="67"/>
        <v>2050</v>
      </c>
      <c r="C461" s="51" t="str">
        <f t="shared" si="67"/>
        <v>AMS</v>
      </c>
      <c r="D461" s="51" t="s">
        <v>490</v>
      </c>
      <c r="E461" s="51" t="e">
        <f>VLOOKUP($H$6,#REF!,2,FALSE)</f>
        <v>#REF!</v>
      </c>
      <c r="F461" s="51"/>
      <c r="G461" s="610" t="s">
        <v>62</v>
      </c>
      <c r="H461" s="611">
        <v>0</v>
      </c>
      <c r="I461" s="611">
        <v>0</v>
      </c>
      <c r="J461" s="611">
        <v>-1.6540275032482068</v>
      </c>
      <c r="K461" s="611">
        <v>-4.2955328800984329</v>
      </c>
      <c r="L461" s="611">
        <v>0</v>
      </c>
      <c r="M461" s="611">
        <v>-0.31877375583888373</v>
      </c>
      <c r="N461" s="611">
        <v>0</v>
      </c>
      <c r="O461" s="611">
        <v>0</v>
      </c>
      <c r="P461" s="611">
        <v>0</v>
      </c>
      <c r="Q461" s="611">
        <v>0</v>
      </c>
      <c r="R461" s="611">
        <v>-0.24545902171991044</v>
      </c>
      <c r="S461" s="611">
        <v>-6.0567013609387903</v>
      </c>
      <c r="T461" s="611">
        <v>0</v>
      </c>
      <c r="U461" s="611">
        <v>0</v>
      </c>
      <c r="V461" s="611">
        <v>0</v>
      </c>
      <c r="W461" s="611">
        <v>0</v>
      </c>
      <c r="X461" s="611">
        <v>0</v>
      </c>
      <c r="Y461" s="613">
        <v>-12.570494521844225</v>
      </c>
      <c r="Z461" s="51"/>
      <c r="AA461" s="51"/>
      <c r="AB461" s="51"/>
    </row>
    <row r="462" spans="1:28" x14ac:dyDescent="0.25">
      <c r="A462" s="51" t="e">
        <f t="shared" si="66"/>
        <v>#REF!</v>
      </c>
      <c r="B462" s="51">
        <f t="shared" si="67"/>
        <v>2050</v>
      </c>
      <c r="C462" s="51" t="str">
        <f t="shared" si="67"/>
        <v>AMS</v>
      </c>
      <c r="D462" s="51" t="s">
        <v>491</v>
      </c>
      <c r="E462" s="51" t="e">
        <f>VLOOKUP($H$6,#REF!,2,FALSE)</f>
        <v>#REF!</v>
      </c>
      <c r="F462" s="51"/>
      <c r="G462" s="610" t="s">
        <v>63</v>
      </c>
      <c r="H462" s="611">
        <v>0</v>
      </c>
      <c r="I462" s="611">
        <v>0</v>
      </c>
      <c r="J462" s="611">
        <v>-18.714774559646315</v>
      </c>
      <c r="K462" s="611">
        <v>-28.257765893495769</v>
      </c>
      <c r="L462" s="611">
        <v>0</v>
      </c>
      <c r="M462" s="611">
        <v>0</v>
      </c>
      <c r="N462" s="611">
        <v>0</v>
      </c>
      <c r="O462" s="611">
        <v>0</v>
      </c>
      <c r="P462" s="611">
        <v>0</v>
      </c>
      <c r="Q462" s="611">
        <v>0</v>
      </c>
      <c r="R462" s="611">
        <v>-13.972472121868162</v>
      </c>
      <c r="S462" s="611">
        <v>0</v>
      </c>
      <c r="T462" s="611">
        <v>0</v>
      </c>
      <c r="U462" s="611">
        <v>0</v>
      </c>
      <c r="V462" s="611">
        <v>0</v>
      </c>
      <c r="W462" s="611">
        <v>0</v>
      </c>
      <c r="X462" s="611">
        <v>-2.6159745910871801</v>
      </c>
      <c r="Y462" s="613">
        <v>-63.560987166097433</v>
      </c>
      <c r="Z462" s="51"/>
      <c r="AA462" s="51"/>
      <c r="AB462" s="51"/>
    </row>
    <row r="463" spans="1:28" x14ac:dyDescent="0.25">
      <c r="A463" s="51" t="e">
        <f t="shared" si="66"/>
        <v>#REF!</v>
      </c>
      <c r="B463" s="51">
        <f t="shared" si="67"/>
        <v>2050</v>
      </c>
      <c r="C463" s="51" t="str">
        <f t="shared" si="67"/>
        <v>AMS</v>
      </c>
      <c r="D463" s="51" t="s">
        <v>492</v>
      </c>
      <c r="E463" s="51" t="e">
        <f>VLOOKUP($H$6,#REF!,2,FALSE)</f>
        <v>#REF!</v>
      </c>
      <c r="F463" s="51"/>
      <c r="G463" s="610" t="s">
        <v>64</v>
      </c>
      <c r="H463" s="611">
        <v>0</v>
      </c>
      <c r="I463" s="611">
        <v>0</v>
      </c>
      <c r="J463" s="611">
        <v>0</v>
      </c>
      <c r="K463" s="611">
        <v>0</v>
      </c>
      <c r="L463" s="611">
        <v>0</v>
      </c>
      <c r="M463" s="611">
        <v>0</v>
      </c>
      <c r="N463" s="611">
        <v>0</v>
      </c>
      <c r="O463" s="611">
        <v>0</v>
      </c>
      <c r="P463" s="611">
        <v>0</v>
      </c>
      <c r="Q463" s="611">
        <v>0</v>
      </c>
      <c r="R463" s="611">
        <v>0</v>
      </c>
      <c r="S463" s="611">
        <v>0</v>
      </c>
      <c r="T463" s="611">
        <v>0</v>
      </c>
      <c r="U463" s="611">
        <v>0</v>
      </c>
      <c r="V463" s="611">
        <v>0</v>
      </c>
      <c r="W463" s="611">
        <v>0</v>
      </c>
      <c r="X463" s="611">
        <v>0</v>
      </c>
      <c r="Y463" s="613">
        <v>0</v>
      </c>
      <c r="Z463" s="51"/>
      <c r="AA463" s="51"/>
      <c r="AB463" s="51"/>
    </row>
    <row r="464" spans="1:28" x14ac:dyDescent="0.25">
      <c r="A464" s="51" t="e">
        <f t="shared" si="66"/>
        <v>#REF!</v>
      </c>
      <c r="B464" s="51">
        <f t="shared" si="67"/>
        <v>2050</v>
      </c>
      <c r="C464" s="51" t="str">
        <f t="shared" si="67"/>
        <v>AMS</v>
      </c>
      <c r="D464" s="51" t="s">
        <v>493</v>
      </c>
      <c r="E464" s="51" t="e">
        <f>VLOOKUP($H$6,#REF!,2,FALSE)</f>
        <v>#REF!</v>
      </c>
      <c r="F464" s="51"/>
      <c r="G464" s="614" t="s">
        <v>65</v>
      </c>
      <c r="H464" s="615">
        <v>5.9311888025037742</v>
      </c>
      <c r="I464" s="615">
        <v>113.95685880900638</v>
      </c>
      <c r="J464" s="615">
        <v>-50.579637571112897</v>
      </c>
      <c r="K464" s="615">
        <v>-41.594554619275279</v>
      </c>
      <c r="L464" s="622">
        <v>2.6585092475046008</v>
      </c>
      <c r="M464" s="615">
        <v>-0.31877375583888373</v>
      </c>
      <c r="N464" s="615">
        <v>722.62832727272735</v>
      </c>
      <c r="O464" s="615">
        <v>564.70258021663687</v>
      </c>
      <c r="P464" s="615">
        <v>266.80615318598944</v>
      </c>
      <c r="Q464" s="615">
        <v>19.259411243005907</v>
      </c>
      <c r="R464" s="615">
        <v>-7.2531211575761132</v>
      </c>
      <c r="S464" s="615">
        <v>-5.8855986447383941</v>
      </c>
      <c r="T464" s="615">
        <v>165.69550077594988</v>
      </c>
      <c r="U464" s="615">
        <v>24.373068583718577</v>
      </c>
      <c r="V464" s="615">
        <v>-51.026672969387278</v>
      </c>
      <c r="W464" s="615">
        <v>0</v>
      </c>
      <c r="X464" s="615">
        <v>-2.6159745910871801</v>
      </c>
      <c r="Y464" s="615">
        <v>1726.7372648280268</v>
      </c>
      <c r="Z464" s="51"/>
      <c r="AA464" s="51"/>
      <c r="AB464" s="51"/>
    </row>
    <row r="465" spans="1:28" x14ac:dyDescent="0.25">
      <c r="A465" s="51"/>
      <c r="B465" s="51"/>
      <c r="C465" s="51"/>
      <c r="D465" s="51"/>
      <c r="E465" s="51"/>
      <c r="F465" s="51"/>
      <c r="G465" s="616"/>
      <c r="H465" s="617">
        <v>0</v>
      </c>
      <c r="I465" s="617">
        <v>0</v>
      </c>
      <c r="J465" s="617">
        <v>0</v>
      </c>
      <c r="K465" s="617">
        <v>0</v>
      </c>
      <c r="L465" s="623">
        <v>0</v>
      </c>
      <c r="M465" s="617">
        <v>0</v>
      </c>
      <c r="N465" s="617">
        <v>0</v>
      </c>
      <c r="O465" s="617">
        <v>0</v>
      </c>
      <c r="P465" s="617">
        <v>0</v>
      </c>
      <c r="Q465" s="617">
        <v>0</v>
      </c>
      <c r="R465" s="617">
        <v>0</v>
      </c>
      <c r="S465" s="617">
        <v>0</v>
      </c>
      <c r="T465" s="617">
        <v>0</v>
      </c>
      <c r="U465" s="617">
        <v>0</v>
      </c>
      <c r="V465" s="617">
        <v>0</v>
      </c>
      <c r="W465" s="617">
        <v>0</v>
      </c>
      <c r="X465" s="617">
        <v>0</v>
      </c>
      <c r="Y465" s="617">
        <v>0</v>
      </c>
      <c r="Z465" s="51"/>
      <c r="AA465" s="51"/>
      <c r="AB465" s="51"/>
    </row>
    <row r="466" spans="1:28" x14ac:dyDescent="0.25">
      <c r="A466" s="51" t="e">
        <f>A464+2</f>
        <v>#REF!</v>
      </c>
      <c r="B466" s="51">
        <f>B464</f>
        <v>2050</v>
      </c>
      <c r="C466" s="51" t="str">
        <f>C464</f>
        <v>AMS</v>
      </c>
      <c r="D466" s="51" t="s">
        <v>494</v>
      </c>
      <c r="E466" s="51" t="e">
        <f>VLOOKUP($H$6,#REF!,2,FALSE)</f>
        <v>#REF!</v>
      </c>
      <c r="F466" s="51"/>
      <c r="G466" s="618" t="s">
        <v>67</v>
      </c>
      <c r="H466" s="611">
        <v>0</v>
      </c>
      <c r="I466" s="611">
        <v>0</v>
      </c>
      <c r="J466" s="611">
        <v>0</v>
      </c>
      <c r="K466" s="611">
        <v>0</v>
      </c>
      <c r="L466" s="611">
        <v>0</v>
      </c>
      <c r="M466" s="611">
        <v>0</v>
      </c>
      <c r="N466" s="611">
        <v>0</v>
      </c>
      <c r="O466" s="611">
        <v>0</v>
      </c>
      <c r="P466" s="611">
        <v>0</v>
      </c>
      <c r="Q466" s="611">
        <v>0</v>
      </c>
      <c r="R466" s="611">
        <v>0</v>
      </c>
      <c r="S466" s="611">
        <v>0</v>
      </c>
      <c r="T466" s="611">
        <v>0</v>
      </c>
      <c r="U466" s="611">
        <v>0</v>
      </c>
      <c r="V466" s="611">
        <v>0</v>
      </c>
      <c r="W466" s="611">
        <v>0</v>
      </c>
      <c r="X466" s="611">
        <v>0</v>
      </c>
      <c r="Y466" s="619">
        <v>0</v>
      </c>
      <c r="Z466" s="51"/>
      <c r="AA466" s="51"/>
      <c r="AB466" s="51"/>
    </row>
    <row r="467" spans="1:28" x14ac:dyDescent="0.25">
      <c r="A467" s="51" t="e">
        <f t="shared" ref="A467:A478" si="68">A466+1</f>
        <v>#REF!</v>
      </c>
      <c r="B467" s="51">
        <f t="shared" ref="B467:C478" si="69">B466</f>
        <v>2050</v>
      </c>
      <c r="C467" s="51" t="str">
        <f t="shared" si="69"/>
        <v>AMS</v>
      </c>
      <c r="D467" s="51" t="s">
        <v>495</v>
      </c>
      <c r="E467" s="51" t="e">
        <f>VLOOKUP($H$6,#REF!,2,FALSE)</f>
        <v>#REF!</v>
      </c>
      <c r="F467" s="51"/>
      <c r="G467" s="618" t="s">
        <v>347</v>
      </c>
      <c r="H467" s="611">
        <v>0</v>
      </c>
      <c r="I467" s="611">
        <v>0</v>
      </c>
      <c r="J467" s="611">
        <v>0</v>
      </c>
      <c r="K467" s="611">
        <v>0</v>
      </c>
      <c r="L467" s="611">
        <v>0</v>
      </c>
      <c r="M467" s="611">
        <v>0</v>
      </c>
      <c r="N467" s="611">
        <v>722.62832727272735</v>
      </c>
      <c r="O467" s="611">
        <v>564.70258021663687</v>
      </c>
      <c r="P467" s="611">
        <v>14.491283228737107</v>
      </c>
      <c r="Q467" s="611">
        <v>2.8360527767240682</v>
      </c>
      <c r="R467" s="611">
        <v>6.5561937148871507</v>
      </c>
      <c r="S467" s="611">
        <v>0.11326810820885491</v>
      </c>
      <c r="T467" s="611">
        <v>0</v>
      </c>
      <c r="U467" s="611">
        <v>6.7631767445353068</v>
      </c>
      <c r="V467" s="611">
        <v>-821.10381752645753</v>
      </c>
      <c r="W467" s="611">
        <v>0</v>
      </c>
      <c r="X467" s="611">
        <v>26.28</v>
      </c>
      <c r="Y467" s="619">
        <v>523.267064535999</v>
      </c>
      <c r="Z467" s="51"/>
      <c r="AA467" s="51"/>
      <c r="AB467" s="51"/>
    </row>
    <row r="468" spans="1:28" x14ac:dyDescent="0.25">
      <c r="A468" s="51" t="e">
        <f t="shared" si="68"/>
        <v>#REF!</v>
      </c>
      <c r="B468" s="51">
        <f t="shared" si="69"/>
        <v>2050</v>
      </c>
      <c r="C468" s="51" t="str">
        <f t="shared" si="69"/>
        <v>AMS</v>
      </c>
      <c r="D468" s="51" t="s">
        <v>496</v>
      </c>
      <c r="E468" s="51" t="e">
        <f>VLOOKUP($H$6,#REF!,2,FALSE)</f>
        <v>#REF!</v>
      </c>
      <c r="F468" s="51"/>
      <c r="G468" s="618" t="s">
        <v>348</v>
      </c>
      <c r="H468" s="611">
        <v>0</v>
      </c>
      <c r="I468" s="611">
        <v>0</v>
      </c>
      <c r="J468" s="611">
        <v>0</v>
      </c>
      <c r="K468" s="611">
        <v>0</v>
      </c>
      <c r="L468" s="611">
        <v>0</v>
      </c>
      <c r="M468" s="611">
        <v>0</v>
      </c>
      <c r="N468" s="611">
        <v>0</v>
      </c>
      <c r="O468" s="611">
        <v>0</v>
      </c>
      <c r="P468" s="611">
        <v>33.721862056250039</v>
      </c>
      <c r="Q468" s="611">
        <v>14.376617363231052</v>
      </c>
      <c r="R468" s="611">
        <v>0</v>
      </c>
      <c r="S468" s="611">
        <v>8.1785673020738106</v>
      </c>
      <c r="T468" s="611">
        <v>0</v>
      </c>
      <c r="U468" s="611">
        <v>11.316516045102318</v>
      </c>
      <c r="V468" s="611">
        <v>0</v>
      </c>
      <c r="W468" s="611">
        <v>-64.575476384232388</v>
      </c>
      <c r="X468" s="611">
        <v>0</v>
      </c>
      <c r="Y468" s="619">
        <v>3.0180863824248352</v>
      </c>
      <c r="Z468" s="51"/>
      <c r="AA468" s="51"/>
      <c r="AB468" s="51"/>
    </row>
    <row r="469" spans="1:28" x14ac:dyDescent="0.25">
      <c r="A469" s="51" t="e">
        <f t="shared" si="68"/>
        <v>#REF!</v>
      </c>
      <c r="B469" s="51">
        <f t="shared" si="69"/>
        <v>2050</v>
      </c>
      <c r="C469" s="51" t="str">
        <f t="shared" si="69"/>
        <v>AMS</v>
      </c>
      <c r="D469" s="51" t="s">
        <v>497</v>
      </c>
      <c r="E469" s="51" t="e">
        <f>VLOOKUP($H$6,#REF!,2,FALSE)</f>
        <v>#REF!</v>
      </c>
      <c r="F469" s="51"/>
      <c r="G469" s="618" t="s">
        <v>349</v>
      </c>
      <c r="H469" s="611">
        <v>0</v>
      </c>
      <c r="I469" s="611">
        <v>0</v>
      </c>
      <c r="J469" s="611">
        <v>0</v>
      </c>
      <c r="K469" s="611">
        <v>0</v>
      </c>
      <c r="L469" s="611">
        <v>0</v>
      </c>
      <c r="M469" s="611">
        <v>0</v>
      </c>
      <c r="N469" s="611">
        <v>0</v>
      </c>
      <c r="O469" s="611">
        <v>0</v>
      </c>
      <c r="P469" s="611">
        <v>104.38683240846164</v>
      </c>
      <c r="Q469" s="611">
        <v>0</v>
      </c>
      <c r="R469" s="611">
        <v>0</v>
      </c>
      <c r="S469" s="611">
        <v>-100.27188716566127</v>
      </c>
      <c r="T469" s="611">
        <v>0</v>
      </c>
      <c r="U469" s="611">
        <v>0</v>
      </c>
      <c r="V469" s="611">
        <v>0</v>
      </c>
      <c r="W469" s="611">
        <v>0</v>
      </c>
      <c r="X469" s="611">
        <v>0</v>
      </c>
      <c r="Y469" s="619">
        <v>4.1149452428003741</v>
      </c>
      <c r="Z469" s="51"/>
      <c r="AA469" s="51"/>
      <c r="AB469" s="51"/>
    </row>
    <row r="470" spans="1:28" x14ac:dyDescent="0.25">
      <c r="A470" s="51" t="e">
        <f t="shared" si="68"/>
        <v>#REF!</v>
      </c>
      <c r="B470" s="51">
        <f t="shared" si="69"/>
        <v>2050</v>
      </c>
      <c r="C470" s="51" t="str">
        <f t="shared" si="69"/>
        <v>AMS</v>
      </c>
      <c r="D470" s="51" t="s">
        <v>498</v>
      </c>
      <c r="E470" s="51" t="e">
        <f>VLOOKUP($H$6,#REF!,2,FALSE)</f>
        <v>#REF!</v>
      </c>
      <c r="F470" s="51"/>
      <c r="G470" s="618" t="s">
        <v>350</v>
      </c>
      <c r="H470" s="611">
        <v>0</v>
      </c>
      <c r="I470" s="611">
        <v>0</v>
      </c>
      <c r="J470" s="611">
        <v>0</v>
      </c>
      <c r="K470" s="611">
        <v>0</v>
      </c>
      <c r="L470" s="611">
        <v>0</v>
      </c>
      <c r="M470" s="611">
        <v>-4.5962253881571415</v>
      </c>
      <c r="N470" s="611">
        <v>0</v>
      </c>
      <c r="O470" s="611">
        <v>0</v>
      </c>
      <c r="P470" s="611">
        <v>0</v>
      </c>
      <c r="Q470" s="611">
        <v>0</v>
      </c>
      <c r="R470" s="611">
        <v>0</v>
      </c>
      <c r="S470" s="611">
        <v>0</v>
      </c>
      <c r="T470" s="611">
        <v>0</v>
      </c>
      <c r="U470" s="611">
        <v>0</v>
      </c>
      <c r="V470" s="611">
        <v>0</v>
      </c>
      <c r="W470" s="611">
        <v>0</v>
      </c>
      <c r="X470" s="611">
        <v>6.4074201765093832</v>
      </c>
      <c r="Y470" s="619">
        <v>1.8111947883522417</v>
      </c>
      <c r="Z470" s="51"/>
      <c r="AA470" s="51"/>
      <c r="AB470" s="51"/>
    </row>
    <row r="471" spans="1:28" x14ac:dyDescent="0.25">
      <c r="A471" s="51" t="e">
        <f t="shared" si="68"/>
        <v>#REF!</v>
      </c>
      <c r="B471" s="51">
        <f t="shared" si="69"/>
        <v>2050</v>
      </c>
      <c r="C471" s="51" t="str">
        <f t="shared" si="69"/>
        <v>AMS</v>
      </c>
      <c r="D471" s="51" t="s">
        <v>499</v>
      </c>
      <c r="E471" s="51" t="e">
        <f>VLOOKUP($H$6,#REF!,2,FALSE)</f>
        <v>#REF!</v>
      </c>
      <c r="F471" s="51"/>
      <c r="G471" s="618" t="s">
        <v>72</v>
      </c>
      <c r="H471" s="611">
        <v>0</v>
      </c>
      <c r="I471" s="611">
        <v>118.07035586741333</v>
      </c>
      <c r="J471" s="611">
        <v>-116.89188714951831</v>
      </c>
      <c r="K471" s="611">
        <v>0</v>
      </c>
      <c r="L471" s="611">
        <v>0</v>
      </c>
      <c r="M471" s="611">
        <v>0</v>
      </c>
      <c r="N471" s="611">
        <v>0</v>
      </c>
      <c r="O471" s="611">
        <v>0</v>
      </c>
      <c r="P471" s="611">
        <v>0</v>
      </c>
      <c r="Q471" s="611">
        <v>0</v>
      </c>
      <c r="R471" s="611">
        <v>0</v>
      </c>
      <c r="S471" s="611">
        <v>0</v>
      </c>
      <c r="T471" s="611">
        <v>0</v>
      </c>
      <c r="U471" s="611">
        <v>0</v>
      </c>
      <c r="V471" s="611">
        <v>0</v>
      </c>
      <c r="W471" s="611">
        <v>0</v>
      </c>
      <c r="X471" s="611">
        <v>0</v>
      </c>
      <c r="Y471" s="619">
        <v>1.1784687178950146</v>
      </c>
      <c r="Z471" s="51"/>
      <c r="AA471" s="51"/>
      <c r="AB471" s="51"/>
    </row>
    <row r="472" spans="1:28" x14ac:dyDescent="0.25">
      <c r="A472" s="51" t="e">
        <f t="shared" si="68"/>
        <v>#REF!</v>
      </c>
      <c r="B472" s="51">
        <f t="shared" si="69"/>
        <v>2050</v>
      </c>
      <c r="C472" s="51" t="str">
        <f t="shared" si="69"/>
        <v>AMS</v>
      </c>
      <c r="D472" s="51" t="s">
        <v>500</v>
      </c>
      <c r="E472" s="51" t="e">
        <f>VLOOKUP($H$6,#REF!,2,FALSE)</f>
        <v>#REF!</v>
      </c>
      <c r="F472" s="51"/>
      <c r="G472" s="618" t="s">
        <v>351</v>
      </c>
      <c r="H472" s="611">
        <v>0</v>
      </c>
      <c r="I472" s="611">
        <v>0</v>
      </c>
      <c r="J472" s="611">
        <v>0</v>
      </c>
      <c r="K472" s="611">
        <v>0</v>
      </c>
      <c r="L472" s="611">
        <v>0</v>
      </c>
      <c r="M472" s="611">
        <v>0</v>
      </c>
      <c r="N472" s="611">
        <v>0</v>
      </c>
      <c r="O472" s="611">
        <v>0</v>
      </c>
      <c r="P472" s="611">
        <v>61.244429678974598</v>
      </c>
      <c r="Q472" s="611">
        <v>0</v>
      </c>
      <c r="R472" s="611">
        <v>-61.244429678974598</v>
      </c>
      <c r="S472" s="611">
        <v>0</v>
      </c>
      <c r="T472" s="611">
        <v>0</v>
      </c>
      <c r="U472" s="611">
        <v>0</v>
      </c>
      <c r="V472" s="611">
        <v>0</v>
      </c>
      <c r="W472" s="611">
        <v>0</v>
      </c>
      <c r="X472" s="611">
        <v>0</v>
      </c>
      <c r="Y472" s="619">
        <v>0</v>
      </c>
      <c r="Z472" s="51"/>
      <c r="AA472" s="51"/>
      <c r="AB472" s="51"/>
    </row>
    <row r="473" spans="1:28" x14ac:dyDescent="0.25">
      <c r="A473" s="51" t="e">
        <f t="shared" si="68"/>
        <v>#REF!</v>
      </c>
      <c r="B473" s="51">
        <f t="shared" si="69"/>
        <v>2050</v>
      </c>
      <c r="C473" s="51" t="str">
        <f t="shared" si="69"/>
        <v>AMS</v>
      </c>
      <c r="D473" s="51" t="s">
        <v>501</v>
      </c>
      <c r="E473" s="51" t="e">
        <f>VLOOKUP($H$6,#REF!,2,FALSE)</f>
        <v>#REF!</v>
      </c>
      <c r="F473" s="51"/>
      <c r="G473" s="618" t="s">
        <v>352</v>
      </c>
      <c r="H473" s="611">
        <v>0</v>
      </c>
      <c r="I473" s="611">
        <v>0</v>
      </c>
      <c r="J473" s="611">
        <v>0</v>
      </c>
      <c r="K473" s="611">
        <v>-56.725829149009897</v>
      </c>
      <c r="L473" s="611">
        <v>0</v>
      </c>
      <c r="M473" s="611">
        <v>0</v>
      </c>
      <c r="N473" s="611">
        <v>0</v>
      </c>
      <c r="O473" s="611">
        <v>0</v>
      </c>
      <c r="P473" s="611">
        <v>0</v>
      </c>
      <c r="Q473" s="611">
        <v>0</v>
      </c>
      <c r="R473" s="611">
        <v>0</v>
      </c>
      <c r="S473" s="611">
        <v>0</v>
      </c>
      <c r="T473" s="611">
        <v>0</v>
      </c>
      <c r="U473" s="611">
        <v>0</v>
      </c>
      <c r="V473" s="611">
        <v>0</v>
      </c>
      <c r="W473" s="611">
        <v>0</v>
      </c>
      <c r="X473" s="611">
        <v>79.005333076615457</v>
      </c>
      <c r="Y473" s="619">
        <v>22.27950392760556</v>
      </c>
      <c r="Z473" s="51"/>
      <c r="AA473" s="51"/>
      <c r="AB473" s="51"/>
    </row>
    <row r="474" spans="1:28" x14ac:dyDescent="0.25">
      <c r="A474" s="51" t="e">
        <f t="shared" si="68"/>
        <v>#REF!</v>
      </c>
      <c r="B474" s="51">
        <f t="shared" si="69"/>
        <v>2050</v>
      </c>
      <c r="C474" s="51" t="str">
        <f t="shared" si="69"/>
        <v>AMS</v>
      </c>
      <c r="D474" s="51" t="s">
        <v>502</v>
      </c>
      <c r="E474" s="51" t="e">
        <f>VLOOKUP($H$6,#REF!,2,FALSE)</f>
        <v>#REF!</v>
      </c>
      <c r="F474" s="51"/>
      <c r="G474" s="618" t="s">
        <v>73</v>
      </c>
      <c r="H474" s="611">
        <v>0</v>
      </c>
      <c r="I474" s="611">
        <v>0</v>
      </c>
      <c r="J474" s="611">
        <v>0</v>
      </c>
      <c r="K474" s="611">
        <v>0</v>
      </c>
      <c r="L474" s="611">
        <v>0</v>
      </c>
      <c r="M474" s="611">
        <v>0</v>
      </c>
      <c r="N474" s="611">
        <v>0</v>
      </c>
      <c r="O474" s="611">
        <v>0</v>
      </c>
      <c r="P474" s="611">
        <v>0</v>
      </c>
      <c r="Q474" s="611">
        <v>0</v>
      </c>
      <c r="R474" s="611">
        <v>0</v>
      </c>
      <c r="S474" s="611">
        <v>0</v>
      </c>
      <c r="T474" s="611">
        <v>0</v>
      </c>
      <c r="U474" s="611">
        <v>0</v>
      </c>
      <c r="V474" s="611">
        <v>227.61268014910149</v>
      </c>
      <c r="W474" s="611">
        <v>0</v>
      </c>
      <c r="X474" s="611">
        <v>-163.88112970735307</v>
      </c>
      <c r="Y474" s="619">
        <v>63.731550441748425</v>
      </c>
      <c r="Z474" s="51"/>
      <c r="AA474" s="51"/>
      <c r="AB474" s="51"/>
    </row>
    <row r="475" spans="1:28" x14ac:dyDescent="0.25">
      <c r="A475" s="51" t="e">
        <f t="shared" si="68"/>
        <v>#REF!</v>
      </c>
      <c r="B475" s="51">
        <f t="shared" si="69"/>
        <v>2050</v>
      </c>
      <c r="C475" s="51" t="str">
        <f t="shared" si="69"/>
        <v>AMS</v>
      </c>
      <c r="D475" s="51" t="s">
        <v>503</v>
      </c>
      <c r="E475" s="51" t="e">
        <f>VLOOKUP($H$6,#REF!,2,FALSE)</f>
        <v>#REF!</v>
      </c>
      <c r="F475" s="51"/>
      <c r="G475" s="618" t="s">
        <v>353</v>
      </c>
      <c r="H475" s="611">
        <v>3.3456624609374996</v>
      </c>
      <c r="I475" s="611">
        <v>-4.1134970584069457</v>
      </c>
      <c r="J475" s="611">
        <v>5.3691262200413341</v>
      </c>
      <c r="K475" s="611">
        <v>0</v>
      </c>
      <c r="L475" s="611">
        <v>0</v>
      </c>
      <c r="M475" s="611">
        <v>0</v>
      </c>
      <c r="N475" s="611">
        <v>0</v>
      </c>
      <c r="O475" s="611">
        <v>0</v>
      </c>
      <c r="P475" s="611">
        <v>0</v>
      </c>
      <c r="Q475" s="611">
        <v>0</v>
      </c>
      <c r="R475" s="611">
        <v>0</v>
      </c>
      <c r="S475" s="611">
        <v>0</v>
      </c>
      <c r="T475" s="611">
        <v>0</v>
      </c>
      <c r="U475" s="611">
        <v>0</v>
      </c>
      <c r="V475" s="611">
        <v>0</v>
      </c>
      <c r="W475" s="611">
        <v>0</v>
      </c>
      <c r="X475" s="611">
        <v>0</v>
      </c>
      <c r="Y475" s="619">
        <v>4.6012916225718881</v>
      </c>
      <c r="Z475" s="51"/>
      <c r="AA475" s="51"/>
      <c r="AB475" s="51"/>
    </row>
    <row r="476" spans="1:28" x14ac:dyDescent="0.25">
      <c r="A476" s="51" t="e">
        <f t="shared" si="68"/>
        <v>#REF!</v>
      </c>
      <c r="B476" s="51">
        <f t="shared" si="69"/>
        <v>2050</v>
      </c>
      <c r="C476" s="51" t="str">
        <f t="shared" si="69"/>
        <v>AMS</v>
      </c>
      <c r="D476" s="51" t="s">
        <v>504</v>
      </c>
      <c r="E476" s="51" t="e">
        <f>VLOOKUP($H$6,#REF!,2,FALSE)</f>
        <v>#REF!</v>
      </c>
      <c r="F476" s="51"/>
      <c r="G476" s="618" t="s">
        <v>75</v>
      </c>
      <c r="H476" s="611">
        <v>1.3010909570312501</v>
      </c>
      <c r="I476" s="611">
        <v>0</v>
      </c>
      <c r="J476" s="611">
        <v>16.404377382526505</v>
      </c>
      <c r="K476" s="611">
        <v>0</v>
      </c>
      <c r="L476" s="611">
        <v>0</v>
      </c>
      <c r="M476" s="611">
        <v>0.23833359000000001</v>
      </c>
      <c r="N476" s="611">
        <v>0</v>
      </c>
      <c r="O476" s="611">
        <v>0</v>
      </c>
      <c r="P476" s="611">
        <v>0</v>
      </c>
      <c r="Q476" s="611">
        <v>0</v>
      </c>
      <c r="R476" s="611">
        <v>0</v>
      </c>
      <c r="S476" s="611">
        <v>4.5283382100000003</v>
      </c>
      <c r="T476" s="611">
        <v>0</v>
      </c>
      <c r="U476" s="611">
        <v>0</v>
      </c>
      <c r="V476" s="611">
        <v>17.461456726006222</v>
      </c>
      <c r="W476" s="611">
        <v>0</v>
      </c>
      <c r="X476" s="611">
        <v>0</v>
      </c>
      <c r="Y476" s="619">
        <v>39.93359686556397</v>
      </c>
      <c r="Z476" s="51"/>
      <c r="AA476" s="51"/>
      <c r="AB476" s="51"/>
    </row>
    <row r="477" spans="1:28" x14ac:dyDescent="0.25">
      <c r="A477" s="51" t="e">
        <f t="shared" si="68"/>
        <v>#REF!</v>
      </c>
      <c r="B477" s="51">
        <f t="shared" si="69"/>
        <v>2050</v>
      </c>
      <c r="C477" s="51" t="str">
        <f t="shared" si="69"/>
        <v>AMS</v>
      </c>
      <c r="D477" s="51" t="s">
        <v>505</v>
      </c>
      <c r="E477" s="51" t="e">
        <f>VLOOKUP($H$6,#REF!,2,FALSE)</f>
        <v>#REF!</v>
      </c>
      <c r="F477" s="51"/>
      <c r="G477" s="618" t="s">
        <v>76</v>
      </c>
      <c r="H477" s="611">
        <v>0</v>
      </c>
      <c r="I477" s="611">
        <v>0</v>
      </c>
      <c r="J477" s="611">
        <v>0</v>
      </c>
      <c r="K477" s="611">
        <v>0</v>
      </c>
      <c r="L477" s="611">
        <v>0</v>
      </c>
      <c r="M477" s="611">
        <v>5.9340338699632358E-2</v>
      </c>
      <c r="N477" s="611">
        <v>0</v>
      </c>
      <c r="O477" s="611">
        <v>0</v>
      </c>
      <c r="P477" s="611">
        <v>0</v>
      </c>
      <c r="Q477" s="611">
        <v>0</v>
      </c>
      <c r="R477" s="611">
        <v>0</v>
      </c>
      <c r="S477" s="611">
        <v>1.1274664352930146</v>
      </c>
      <c r="T477" s="611">
        <v>0</v>
      </c>
      <c r="U477" s="611">
        <v>0</v>
      </c>
      <c r="V477" s="611">
        <v>58.914344999319319</v>
      </c>
      <c r="W477" s="611">
        <v>5.0089527300753778</v>
      </c>
      <c r="X477" s="611">
        <v>0</v>
      </c>
      <c r="Y477" s="619">
        <v>65.110104503387348</v>
      </c>
      <c r="Z477" s="51"/>
      <c r="AA477" s="51"/>
      <c r="AB477" s="51"/>
    </row>
    <row r="478" spans="1:28" x14ac:dyDescent="0.25">
      <c r="A478" s="51" t="e">
        <f t="shared" si="68"/>
        <v>#REF!</v>
      </c>
      <c r="B478" s="51">
        <f t="shared" si="69"/>
        <v>2050</v>
      </c>
      <c r="C478" s="51" t="str">
        <f t="shared" si="69"/>
        <v>AMS</v>
      </c>
      <c r="D478" s="51" t="s">
        <v>506</v>
      </c>
      <c r="E478" s="51" t="e">
        <f>VLOOKUP($H$6,#REF!,2,FALSE)</f>
        <v>#REF!</v>
      </c>
      <c r="F478" s="51"/>
      <c r="G478" s="614" t="s">
        <v>77</v>
      </c>
      <c r="H478" s="615">
        <v>4.6467534179687497</v>
      </c>
      <c r="I478" s="615">
        <v>113.95685880900638</v>
      </c>
      <c r="J478" s="615">
        <v>-95.118383546950469</v>
      </c>
      <c r="K478" s="615">
        <v>-56.725829149009897</v>
      </c>
      <c r="L478" s="622">
        <v>0</v>
      </c>
      <c r="M478" s="615">
        <v>-4.2985514594575092</v>
      </c>
      <c r="N478" s="615">
        <v>722.62832727272735</v>
      </c>
      <c r="O478" s="615">
        <v>564.70258021663687</v>
      </c>
      <c r="P478" s="615">
        <v>213.8444073724234</v>
      </c>
      <c r="Q478" s="615">
        <v>17.212670139955119</v>
      </c>
      <c r="R478" s="615">
        <v>-54.688235964087447</v>
      </c>
      <c r="S478" s="615">
        <v>-86.324247110085594</v>
      </c>
      <c r="T478" s="615">
        <v>0</v>
      </c>
      <c r="U478" s="615">
        <v>18.079692789637626</v>
      </c>
      <c r="V478" s="615">
        <v>-517.11533565203058</v>
      </c>
      <c r="W478" s="615">
        <v>-59.56652365415701</v>
      </c>
      <c r="X478" s="615">
        <v>-52.188376454228234</v>
      </c>
      <c r="Y478" s="615">
        <v>729.04580702834869</v>
      </c>
      <c r="Z478" s="51"/>
      <c r="AA478" s="51"/>
      <c r="AB478" s="51"/>
    </row>
    <row r="479" spans="1:28" x14ac:dyDescent="0.25">
      <c r="A479" s="51"/>
      <c r="B479" s="51"/>
      <c r="C479" s="51"/>
      <c r="D479" s="51"/>
      <c r="E479" s="51"/>
      <c r="F479" s="51"/>
      <c r="G479" s="616"/>
      <c r="H479" s="617">
        <v>0</v>
      </c>
      <c r="I479" s="617">
        <v>0</v>
      </c>
      <c r="J479" s="617">
        <v>0</v>
      </c>
      <c r="K479" s="617">
        <v>0</v>
      </c>
      <c r="L479" s="623">
        <v>0</v>
      </c>
      <c r="M479" s="617">
        <v>0</v>
      </c>
      <c r="N479" s="617">
        <v>0</v>
      </c>
      <c r="O479" s="617">
        <v>0</v>
      </c>
      <c r="P479" s="617">
        <v>0</v>
      </c>
      <c r="Q479" s="617">
        <v>0</v>
      </c>
      <c r="R479" s="617">
        <v>0</v>
      </c>
      <c r="S479" s="617">
        <v>0</v>
      </c>
      <c r="T479" s="617">
        <v>0</v>
      </c>
      <c r="U479" s="617">
        <v>0</v>
      </c>
      <c r="V479" s="617">
        <v>0</v>
      </c>
      <c r="W479" s="617">
        <v>0</v>
      </c>
      <c r="X479" s="617">
        <v>0</v>
      </c>
      <c r="Y479" s="617">
        <v>0</v>
      </c>
      <c r="Z479" s="51"/>
      <c r="AA479" s="51"/>
      <c r="AB479" s="51"/>
    </row>
    <row r="480" spans="1:28" x14ac:dyDescent="0.25">
      <c r="A480" s="51" t="e">
        <f>A478+2</f>
        <v>#REF!</v>
      </c>
      <c r="B480" s="51">
        <f>B478</f>
        <v>2050</v>
      </c>
      <c r="C480" s="51" t="str">
        <f>C458</f>
        <v>AMS</v>
      </c>
      <c r="D480" s="51" t="s">
        <v>507</v>
      </c>
      <c r="E480" s="51" t="e">
        <f>VLOOKUP($H$6,#REF!,2,FALSE)</f>
        <v>#REF!</v>
      </c>
      <c r="F480" s="51"/>
      <c r="G480" s="618" t="s">
        <v>78</v>
      </c>
      <c r="H480" s="611">
        <v>1.2844353845350245</v>
      </c>
      <c r="I480" s="611">
        <v>0</v>
      </c>
      <c r="J480" s="611">
        <v>0.671413025716175</v>
      </c>
      <c r="K480" s="611">
        <v>0</v>
      </c>
      <c r="L480" s="611">
        <v>0</v>
      </c>
      <c r="M480" s="611">
        <v>1.6768235413433659</v>
      </c>
      <c r="N480" s="611">
        <v>0</v>
      </c>
      <c r="O480" s="611">
        <v>0</v>
      </c>
      <c r="P480" s="611">
        <v>18.511250218523632</v>
      </c>
      <c r="Q480" s="611">
        <v>2.0464486619012869</v>
      </c>
      <c r="R480" s="611">
        <v>1.4169866943359375</v>
      </c>
      <c r="S480" s="611">
        <v>31.901778101678747</v>
      </c>
      <c r="T480" s="611">
        <v>11.306912109375</v>
      </c>
      <c r="U480" s="611">
        <v>8.5890570413253253E-4</v>
      </c>
      <c r="V480" s="611">
        <v>135.19292998685364</v>
      </c>
      <c r="W480" s="611">
        <v>18.430317312360387</v>
      </c>
      <c r="X480" s="611">
        <v>8.2355947265624998</v>
      </c>
      <c r="Y480" s="619">
        <v>230.67574866888981</v>
      </c>
      <c r="Z480" s="51"/>
      <c r="AA480" s="620" t="e" cm="1">
        <f t="array" aca="1" ref="AA480" ca="1">_xlfn.IFNA(INDEX(#REF!,MATCH(INDIRECT("Codes_bilans!"&amp;AA$1&amp;"$"&amp;$A480),#REF!,0),MATCH($B480,#REF!,0)),0)</f>
        <v>#REF!</v>
      </c>
      <c r="AB480" s="51"/>
    </row>
    <row r="481" spans="1:28" x14ac:dyDescent="0.25">
      <c r="A481" s="51" t="e">
        <f t="shared" ref="A481:A488" si="70">A480+1</f>
        <v>#REF!</v>
      </c>
      <c r="B481" s="51">
        <f t="shared" ref="B481:C488" si="71">B480</f>
        <v>2050</v>
      </c>
      <c r="C481" s="51" t="str">
        <f t="shared" si="71"/>
        <v>AMS</v>
      </c>
      <c r="D481" s="51" t="s">
        <v>508</v>
      </c>
      <c r="E481" s="51" t="e">
        <f>VLOOKUP($H$6,#REF!,2,FALSE)</f>
        <v>#REF!</v>
      </c>
      <c r="F481" s="51"/>
      <c r="G481" s="618" t="s">
        <v>79</v>
      </c>
      <c r="H481" s="611">
        <v>0</v>
      </c>
      <c r="I481" s="611">
        <v>0</v>
      </c>
      <c r="J481" s="611">
        <v>2.0327553633446804</v>
      </c>
      <c r="K481" s="611">
        <v>2.9414401384596758</v>
      </c>
      <c r="L481" s="611">
        <v>0</v>
      </c>
      <c r="M481" s="611">
        <v>0.25814381907328782</v>
      </c>
      <c r="N481" s="611">
        <v>0</v>
      </c>
      <c r="O481" s="611">
        <v>0</v>
      </c>
      <c r="P481" s="611">
        <v>0</v>
      </c>
      <c r="Q481" s="611">
        <v>0</v>
      </c>
      <c r="R481" s="611">
        <v>11.290866079539722</v>
      </c>
      <c r="S481" s="611">
        <v>4.9047325623924678</v>
      </c>
      <c r="T481" s="611">
        <v>0</v>
      </c>
      <c r="U481" s="611">
        <v>0</v>
      </c>
      <c r="V481" s="611">
        <v>110.4417553978261</v>
      </c>
      <c r="W481" s="611">
        <v>0</v>
      </c>
      <c r="X481" s="611">
        <v>5.3966998641798476</v>
      </c>
      <c r="Y481" s="619">
        <v>137.26639322481577</v>
      </c>
      <c r="Z481" s="51"/>
      <c r="AA481" s="620" t="e" cm="1">
        <f t="array" aca="1" ref="AA481" ca="1">_xlfn.IFNA(INDEX(#REF!,MATCH(INDIRECT("Codes_bilans!"&amp;AA$1&amp;"$"&amp;$A481),#REF!,0),MATCH($B481,#REF!,0)),0)</f>
        <v>#REF!</v>
      </c>
      <c r="AB481" s="51"/>
    </row>
    <row r="482" spans="1:28" x14ac:dyDescent="0.25">
      <c r="A482" s="51" t="e">
        <f t="shared" si="70"/>
        <v>#REF!</v>
      </c>
      <c r="B482" s="51">
        <f t="shared" si="71"/>
        <v>2050</v>
      </c>
      <c r="C482" s="51" t="str">
        <f t="shared" si="71"/>
        <v>AMS</v>
      </c>
      <c r="D482" s="51" t="s">
        <v>509</v>
      </c>
      <c r="E482" s="51" t="e">
        <f>VLOOKUP($H$6,#REF!,2,FALSE)</f>
        <v>#REF!</v>
      </c>
      <c r="F482" s="51"/>
      <c r="G482" s="618" t="s">
        <v>80</v>
      </c>
      <c r="H482" s="611">
        <v>0</v>
      </c>
      <c r="I482" s="611">
        <v>0</v>
      </c>
      <c r="J482" s="611">
        <v>1.3379901667389997</v>
      </c>
      <c r="K482" s="611">
        <v>0</v>
      </c>
      <c r="L482" s="611">
        <v>0</v>
      </c>
      <c r="M482" s="611">
        <v>1.3094987150488224</v>
      </c>
      <c r="N482" s="611">
        <v>0</v>
      </c>
      <c r="O482" s="611">
        <v>0</v>
      </c>
      <c r="P482" s="611">
        <v>28.937300829462252</v>
      </c>
      <c r="Q482" s="611">
        <v>0</v>
      </c>
      <c r="R482" s="611">
        <v>0</v>
      </c>
      <c r="S482" s="611">
        <v>24.88047558592762</v>
      </c>
      <c r="T482" s="611">
        <v>123.41345399070538</v>
      </c>
      <c r="U482" s="611">
        <v>3.1166998128913419</v>
      </c>
      <c r="V482" s="611">
        <v>128.52074855567903</v>
      </c>
      <c r="W482" s="611">
        <v>22.248806062911136</v>
      </c>
      <c r="X482" s="611">
        <v>0</v>
      </c>
      <c r="Y482" s="619">
        <v>333.76497371936455</v>
      </c>
      <c r="Z482" s="51"/>
      <c r="AA482" s="620" t="e" cm="1">
        <f t="array" aca="1" ref="AA482" ca="1">_xlfn.IFNA(INDEX(#REF!,MATCH(INDIRECT("Codes_bilans!"&amp;AA$1&amp;"$"&amp;$A482),#REF!,0),MATCH($B482,#REF!,0)),0)</f>
        <v>#REF!</v>
      </c>
      <c r="AB482" s="51"/>
    </row>
    <row r="483" spans="1:28" x14ac:dyDescent="0.25">
      <c r="A483" s="51" t="e">
        <f t="shared" si="70"/>
        <v>#REF!</v>
      </c>
      <c r="B483" s="51">
        <f t="shared" si="71"/>
        <v>2050</v>
      </c>
      <c r="C483" s="51" t="str">
        <f t="shared" si="71"/>
        <v>AMS</v>
      </c>
      <c r="D483" s="51" t="s">
        <v>510</v>
      </c>
      <c r="E483" s="51" t="e">
        <f>VLOOKUP($H$6,#REF!,2,FALSE)</f>
        <v>#REF!</v>
      </c>
      <c r="F483" s="51"/>
      <c r="G483" s="618" t="s">
        <v>81</v>
      </c>
      <c r="H483" s="611">
        <v>0</v>
      </c>
      <c r="I483" s="611">
        <v>0</v>
      </c>
      <c r="J483" s="611">
        <v>0.13103912510682203</v>
      </c>
      <c r="K483" s="611">
        <v>0</v>
      </c>
      <c r="L483" s="611">
        <v>0</v>
      </c>
      <c r="M483" s="611">
        <v>0.65398403873429223</v>
      </c>
      <c r="N483" s="611">
        <v>0</v>
      </c>
      <c r="O483" s="611">
        <v>0</v>
      </c>
      <c r="P483" s="611">
        <v>0.34200087095620557</v>
      </c>
      <c r="Q483" s="611">
        <v>2.9244114949902102E-4</v>
      </c>
      <c r="R483" s="611">
        <v>0</v>
      </c>
      <c r="S483" s="611">
        <v>12.425696735951551</v>
      </c>
      <c r="T483" s="611">
        <v>29.475134675869491</v>
      </c>
      <c r="U483" s="611">
        <v>0.98841007039498519</v>
      </c>
      <c r="V483" s="611">
        <v>81.567308013661545</v>
      </c>
      <c r="W483" s="611">
        <v>18.887400278885494</v>
      </c>
      <c r="X483" s="611">
        <v>0</v>
      </c>
      <c r="Y483" s="619">
        <v>144.4712662507099</v>
      </c>
      <c r="Z483" s="51"/>
      <c r="AA483" s="620" t="e" cm="1">
        <f t="array" aca="1" ref="AA483" ca="1">_xlfn.IFNA(INDEX(#REF!,MATCH(INDIRECT("Codes_bilans!"&amp;AA$1&amp;"$"&amp;$A483),#REF!,0),MATCH($B483,#REF!,0)),0)</f>
        <v>#REF!</v>
      </c>
      <c r="AB483" s="51"/>
    </row>
    <row r="484" spans="1:28" x14ac:dyDescent="0.25">
      <c r="A484" s="51" t="e">
        <f t="shared" si="70"/>
        <v>#REF!</v>
      </c>
      <c r="B484" s="51">
        <f t="shared" si="71"/>
        <v>2050</v>
      </c>
      <c r="C484" s="51" t="str">
        <f t="shared" si="71"/>
        <v>AMS</v>
      </c>
      <c r="D484" s="51" t="s">
        <v>511</v>
      </c>
      <c r="E484" s="51" t="e">
        <f>VLOOKUP($H$6,#REF!,2,FALSE)</f>
        <v>#REF!</v>
      </c>
      <c r="F484" s="51"/>
      <c r="G484" s="618" t="s">
        <v>82</v>
      </c>
      <c r="H484" s="611">
        <v>0</v>
      </c>
      <c r="I484" s="611">
        <v>0</v>
      </c>
      <c r="J484" s="611">
        <v>0.51674120491916908</v>
      </c>
      <c r="K484" s="611">
        <v>0</v>
      </c>
      <c r="L484" s="611">
        <v>0</v>
      </c>
      <c r="M484" s="611">
        <v>8.1327589418857746E-2</v>
      </c>
      <c r="N484" s="611">
        <v>0</v>
      </c>
      <c r="O484" s="611">
        <v>0</v>
      </c>
      <c r="P484" s="611">
        <v>4.5749249618986854</v>
      </c>
      <c r="Q484" s="611">
        <v>0</v>
      </c>
      <c r="R484" s="611">
        <v>16.621294257606131</v>
      </c>
      <c r="S484" s="611">
        <v>1.5452241989582969</v>
      </c>
      <c r="T484" s="611">
        <v>1.5</v>
      </c>
      <c r="U484" s="611">
        <v>2.1874070050904897</v>
      </c>
      <c r="V484" s="611">
        <v>7.8459207286229669</v>
      </c>
      <c r="W484" s="611">
        <v>0</v>
      </c>
      <c r="X484" s="611">
        <v>0.44339331184266689</v>
      </c>
      <c r="Y484" s="619">
        <v>35.316233258357272</v>
      </c>
      <c r="Z484" s="51"/>
      <c r="AA484" s="620" t="e" cm="1">
        <f t="array" aca="1" ref="AA484" ca="1">_xlfn.IFNA(INDEX(#REF!,MATCH(INDIRECT("Codes_bilans!"&amp;AA$1&amp;"$"&amp;$A484),#REF!,0),MATCH($B484,#REF!,0)),0)</f>
        <v>#REF!</v>
      </c>
      <c r="AB484" s="51"/>
    </row>
    <row r="485" spans="1:28" x14ac:dyDescent="0.25">
      <c r="A485" s="51" t="e">
        <f t="shared" si="70"/>
        <v>#REF!</v>
      </c>
      <c r="B485" s="51">
        <f t="shared" si="71"/>
        <v>2050</v>
      </c>
      <c r="C485" s="51" t="str">
        <f t="shared" si="71"/>
        <v>AMS</v>
      </c>
      <c r="D485" s="51" t="s">
        <v>512</v>
      </c>
      <c r="E485" s="51" t="e">
        <f>VLOOKUP($H$6,#REF!,2,FALSE)</f>
        <v>#REF!</v>
      </c>
      <c r="F485" s="51"/>
      <c r="G485" s="618" t="s">
        <v>354</v>
      </c>
      <c r="H485" s="611">
        <v>0</v>
      </c>
      <c r="I485" s="611">
        <v>0</v>
      </c>
      <c r="J485" s="611">
        <v>0</v>
      </c>
      <c r="K485" s="611">
        <v>0</v>
      </c>
      <c r="L485" s="611">
        <v>0</v>
      </c>
      <c r="M485" s="611">
        <v>0</v>
      </c>
      <c r="N485" s="611">
        <v>0</v>
      </c>
      <c r="O485" s="611">
        <v>0</v>
      </c>
      <c r="P485" s="611">
        <v>0</v>
      </c>
      <c r="Q485" s="611">
        <v>0</v>
      </c>
      <c r="R485" s="611">
        <v>0</v>
      </c>
      <c r="S485" s="611">
        <v>0</v>
      </c>
      <c r="T485" s="611">
        <v>0</v>
      </c>
      <c r="U485" s="611">
        <v>0</v>
      </c>
      <c r="V485" s="611">
        <v>2.5199999999999996</v>
      </c>
      <c r="W485" s="611">
        <v>0</v>
      </c>
      <c r="X485" s="611">
        <v>0</v>
      </c>
      <c r="Y485" s="619">
        <v>2.5199999999999996</v>
      </c>
      <c r="Z485" s="51"/>
      <c r="AA485" s="620" t="e" cm="1">
        <f t="array" aca="1" ref="AA485" ca="1">_xlfn.IFNA(INDEX(#REF!,MATCH(INDIRECT("Codes_bilans!"&amp;AA$1&amp;"$"&amp;$A485),#REF!,0),MATCH($B485,#REF!,0)),0)</f>
        <v>#REF!</v>
      </c>
      <c r="AB485" s="51"/>
    </row>
    <row r="486" spans="1:28" x14ac:dyDescent="0.25">
      <c r="A486" s="51" t="e">
        <f t="shared" si="70"/>
        <v>#REF!</v>
      </c>
      <c r="B486" s="51">
        <f t="shared" si="71"/>
        <v>2050</v>
      </c>
      <c r="C486" s="51" t="str">
        <f t="shared" si="71"/>
        <v>AMS</v>
      </c>
      <c r="D486" s="51" t="s">
        <v>513</v>
      </c>
      <c r="E486" s="51" t="e">
        <f>VLOOKUP($H$6,#REF!,2,FALSE)</f>
        <v>#REF!</v>
      </c>
      <c r="F486" s="51"/>
      <c r="G486" s="614" t="s">
        <v>83</v>
      </c>
      <c r="H486" s="615">
        <v>1.2844353845350245</v>
      </c>
      <c r="I486" s="615">
        <v>0</v>
      </c>
      <c r="J486" s="615">
        <v>4.6899388858258462</v>
      </c>
      <c r="K486" s="615">
        <v>2.9414401384596758</v>
      </c>
      <c r="L486" s="622">
        <v>0</v>
      </c>
      <c r="M486" s="615">
        <v>3.9797777036186259</v>
      </c>
      <c r="N486" s="615">
        <v>0</v>
      </c>
      <c r="O486" s="615">
        <v>0</v>
      </c>
      <c r="P486" s="615">
        <v>52.365476880840774</v>
      </c>
      <c r="Q486" s="615">
        <v>2.0467411030507856</v>
      </c>
      <c r="R486" s="615">
        <v>29.329147031481789</v>
      </c>
      <c r="S486" s="615">
        <v>75.65790718490868</v>
      </c>
      <c r="T486" s="615">
        <v>165.69550077594988</v>
      </c>
      <c r="U486" s="615">
        <v>6.2933757940809487</v>
      </c>
      <c r="V486" s="615">
        <v>466.08866268264325</v>
      </c>
      <c r="W486" s="615">
        <v>59.566523654157017</v>
      </c>
      <c r="X486" s="615">
        <v>14.075687902585015</v>
      </c>
      <c r="Y486" s="615">
        <v>884.01461512213723</v>
      </c>
      <c r="Z486" s="51"/>
      <c r="AA486" s="51"/>
      <c r="AB486" s="51"/>
    </row>
    <row r="487" spans="1:28" x14ac:dyDescent="0.25">
      <c r="A487" s="51" t="e">
        <f t="shared" si="70"/>
        <v>#REF!</v>
      </c>
      <c r="B487" s="51">
        <f t="shared" si="71"/>
        <v>2050</v>
      </c>
      <c r="C487" s="51" t="str">
        <f t="shared" si="71"/>
        <v>AMS</v>
      </c>
      <c r="D487" s="51" t="s">
        <v>514</v>
      </c>
      <c r="E487" s="51" t="e">
        <f>VLOOKUP($H$6,#REF!,2,FALSE)</f>
        <v>#REF!</v>
      </c>
      <c r="F487" s="51"/>
      <c r="G487" s="610" t="s">
        <v>84</v>
      </c>
      <c r="H487" s="611">
        <v>0</v>
      </c>
      <c r="I487" s="611">
        <v>0</v>
      </c>
      <c r="J487" s="611">
        <v>39.848807090011732</v>
      </c>
      <c r="K487" s="611">
        <v>12.189834391274943</v>
      </c>
      <c r="L487" s="611">
        <v>2.6585092475046008</v>
      </c>
      <c r="M487" s="611">
        <v>0</v>
      </c>
      <c r="N487" s="611">
        <v>0</v>
      </c>
      <c r="O487" s="611">
        <v>0</v>
      </c>
      <c r="P487" s="611">
        <v>0.5962689327253029</v>
      </c>
      <c r="Q487" s="611">
        <v>0</v>
      </c>
      <c r="R487" s="611">
        <v>18.105967775029544</v>
      </c>
      <c r="S487" s="611">
        <v>4.780741280438523</v>
      </c>
      <c r="T487" s="611">
        <v>0</v>
      </c>
      <c r="U487" s="611">
        <v>0</v>
      </c>
      <c r="V487" s="611">
        <v>0</v>
      </c>
      <c r="W487" s="611">
        <v>0</v>
      </c>
      <c r="X487" s="611">
        <v>35.496713960556022</v>
      </c>
      <c r="Y487" s="619">
        <v>113.67684267754068</v>
      </c>
      <c r="Z487" s="51"/>
      <c r="AA487" s="620" t="e" cm="1">
        <f t="array" aca="1" ref="AA487" ca="1">_xlfn.IFNA(INDEX(#REF!,MATCH(INDIRECT("Codes_bilans!"&amp;AA$1&amp;"$"&amp;$A487),#REF!,0),MATCH($B487,#REF!,0)),0)</f>
        <v>#REF!</v>
      </c>
      <c r="AB487" s="51"/>
    </row>
    <row r="488" spans="1:28" x14ac:dyDescent="0.25">
      <c r="A488" s="51" t="e">
        <f t="shared" si="70"/>
        <v>#REF!</v>
      </c>
      <c r="B488" s="51">
        <f t="shared" si="71"/>
        <v>2050</v>
      </c>
      <c r="C488" s="51" t="str">
        <f t="shared" si="71"/>
        <v>AMS</v>
      </c>
      <c r="D488" s="51" t="s">
        <v>515</v>
      </c>
      <c r="E488" s="51" t="e">
        <f>VLOOKUP($H$6,#REF!,2,FALSE)</f>
        <v>#REF!</v>
      </c>
      <c r="F488" s="51"/>
      <c r="G488" s="614" t="s">
        <v>85</v>
      </c>
      <c r="H488" s="615">
        <v>1.2844353845350245</v>
      </c>
      <c r="I488" s="615">
        <v>0</v>
      </c>
      <c r="J488" s="615">
        <v>44.538745975837578</v>
      </c>
      <c r="K488" s="615">
        <v>15.131274529734618</v>
      </c>
      <c r="L488" s="622">
        <v>2.6585092475046008</v>
      </c>
      <c r="M488" s="615">
        <v>3.9797777036186259</v>
      </c>
      <c r="N488" s="615">
        <v>0</v>
      </c>
      <c r="O488" s="615">
        <v>0</v>
      </c>
      <c r="P488" s="615">
        <v>52.961745813566075</v>
      </c>
      <c r="Q488" s="615">
        <v>2.0467411030507856</v>
      </c>
      <c r="R488" s="615">
        <v>47.435114806511329</v>
      </c>
      <c r="S488" s="615">
        <v>80.4386484653472</v>
      </c>
      <c r="T488" s="615">
        <v>165.69550077594988</v>
      </c>
      <c r="U488" s="615">
        <v>6.2933757940809487</v>
      </c>
      <c r="V488" s="615">
        <v>466.08866268264325</v>
      </c>
      <c r="W488" s="615">
        <v>59.566523654157017</v>
      </c>
      <c r="X488" s="615">
        <v>49.572401863141039</v>
      </c>
      <c r="Y488" s="615">
        <v>997.69145779967789</v>
      </c>
      <c r="Z488" s="51"/>
      <c r="AA488" s="51"/>
      <c r="AB488" s="51"/>
    </row>
    <row r="489" spans="1:28" x14ac:dyDescent="0.25">
      <c r="A489" s="51"/>
      <c r="B489" s="51"/>
      <c r="C489" s="51"/>
      <c r="D489" s="51"/>
      <c r="E489" s="51"/>
      <c r="F489" s="51"/>
      <c r="G489" s="51"/>
      <c r="H489" s="67">
        <v>0</v>
      </c>
      <c r="I489" s="67">
        <v>0</v>
      </c>
      <c r="J489" s="67">
        <v>0</v>
      </c>
      <c r="K489" s="67">
        <v>0</v>
      </c>
      <c r="L489" s="67">
        <v>0</v>
      </c>
      <c r="M489" s="67">
        <v>4.9960036108132044E-16</v>
      </c>
      <c r="N489" s="67">
        <v>0</v>
      </c>
      <c r="O489" s="67">
        <v>0</v>
      </c>
      <c r="P489" s="67">
        <v>0</v>
      </c>
      <c r="Q489" s="67">
        <v>0</v>
      </c>
      <c r="R489" s="67">
        <v>0</v>
      </c>
      <c r="S489" s="67">
        <v>0</v>
      </c>
      <c r="T489" s="67">
        <v>0</v>
      </c>
      <c r="U489" s="67">
        <v>0</v>
      </c>
      <c r="V489" s="67">
        <v>-5.6843418860808015E-14</v>
      </c>
      <c r="W489" s="67">
        <v>7.1054273576010019E-15</v>
      </c>
      <c r="X489" s="67">
        <v>-1.4654943925052066E-14</v>
      </c>
      <c r="Y489" s="67">
        <v>0</v>
      </c>
      <c r="Z489" s="51"/>
      <c r="AA489" s="51"/>
      <c r="AB489" s="51"/>
    </row>
    <row r="490" spans="1:28" x14ac:dyDescent="0.25">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row>
  </sheetData>
  <mergeCells count="182">
    <mergeCell ref="Y49:Y50"/>
    <mergeCell ref="X12:X13"/>
    <mergeCell ref="Y12:Y13"/>
    <mergeCell ref="G49:G50"/>
    <mergeCell ref="H49:H50"/>
    <mergeCell ref="I49:I50"/>
    <mergeCell ref="J49:J50"/>
    <mergeCell ref="K49:K50"/>
    <mergeCell ref="L49:L50"/>
    <mergeCell ref="M49:M50"/>
    <mergeCell ref="N49:N50"/>
    <mergeCell ref="M12:M13"/>
    <mergeCell ref="N12:N13"/>
    <mergeCell ref="O12:O13"/>
    <mergeCell ref="P12:U12"/>
    <mergeCell ref="V12:V13"/>
    <mergeCell ref="W12:W13"/>
    <mergeCell ref="G12:G13"/>
    <mergeCell ref="H12:H13"/>
    <mergeCell ref="I12:I13"/>
    <mergeCell ref="J12:J13"/>
    <mergeCell ref="K12:K13"/>
    <mergeCell ref="L12:L13"/>
    <mergeCell ref="I86:I87"/>
    <mergeCell ref="J86:J87"/>
    <mergeCell ref="K86:K87"/>
    <mergeCell ref="L86:L87"/>
    <mergeCell ref="O49:O50"/>
    <mergeCell ref="P49:U49"/>
    <mergeCell ref="V49:V50"/>
    <mergeCell ref="W49:W50"/>
    <mergeCell ref="X49:X50"/>
    <mergeCell ref="O123:O124"/>
    <mergeCell ref="P123:U123"/>
    <mergeCell ref="V123:V124"/>
    <mergeCell ref="W123:W124"/>
    <mergeCell ref="X123:X124"/>
    <mergeCell ref="Y123:Y124"/>
    <mergeCell ref="X86:X87"/>
    <mergeCell ref="Y86:Y87"/>
    <mergeCell ref="G123:G124"/>
    <mergeCell ref="H123:H124"/>
    <mergeCell ref="I123:I124"/>
    <mergeCell ref="J123:J124"/>
    <mergeCell ref="K123:K124"/>
    <mergeCell ref="L123:L124"/>
    <mergeCell ref="M123:M124"/>
    <mergeCell ref="N123:N124"/>
    <mergeCell ref="M86:M87"/>
    <mergeCell ref="N86:N87"/>
    <mergeCell ref="O86:O87"/>
    <mergeCell ref="P86:U86"/>
    <mergeCell ref="V86:V87"/>
    <mergeCell ref="W86:W87"/>
    <mergeCell ref="G86:G87"/>
    <mergeCell ref="H86:H87"/>
    <mergeCell ref="Y197:Y198"/>
    <mergeCell ref="X160:X161"/>
    <mergeCell ref="Y160:Y161"/>
    <mergeCell ref="G197:G198"/>
    <mergeCell ref="H197:H198"/>
    <mergeCell ref="I197:I198"/>
    <mergeCell ref="J197:J198"/>
    <mergeCell ref="K197:K198"/>
    <mergeCell ref="L197:L198"/>
    <mergeCell ref="M197:M198"/>
    <mergeCell ref="N197:N198"/>
    <mergeCell ref="M160:M161"/>
    <mergeCell ref="N160:N161"/>
    <mergeCell ref="O160:O161"/>
    <mergeCell ref="P160:U160"/>
    <mergeCell ref="V160:V161"/>
    <mergeCell ref="W160:W161"/>
    <mergeCell ref="G160:G161"/>
    <mergeCell ref="H160:H161"/>
    <mergeCell ref="I160:I161"/>
    <mergeCell ref="J160:J161"/>
    <mergeCell ref="K160:K161"/>
    <mergeCell ref="L160:L161"/>
    <mergeCell ref="I234:I235"/>
    <mergeCell ref="J234:J235"/>
    <mergeCell ref="K234:K235"/>
    <mergeCell ref="L234:L235"/>
    <mergeCell ref="O197:O198"/>
    <mergeCell ref="P197:U197"/>
    <mergeCell ref="V197:V198"/>
    <mergeCell ref="W197:W198"/>
    <mergeCell ref="X197:X198"/>
    <mergeCell ref="O271:O272"/>
    <mergeCell ref="P271:U271"/>
    <mergeCell ref="V271:V272"/>
    <mergeCell ref="W271:W272"/>
    <mergeCell ref="X271:X272"/>
    <mergeCell ref="Y271:Y272"/>
    <mergeCell ref="X234:X235"/>
    <mergeCell ref="Y234:Y235"/>
    <mergeCell ref="G271:G272"/>
    <mergeCell ref="H271:H272"/>
    <mergeCell ref="I271:I272"/>
    <mergeCell ref="J271:J272"/>
    <mergeCell ref="K271:K272"/>
    <mergeCell ref="L271:L272"/>
    <mergeCell ref="M271:M272"/>
    <mergeCell ref="N271:N272"/>
    <mergeCell ref="M234:M235"/>
    <mergeCell ref="N234:N235"/>
    <mergeCell ref="O234:O235"/>
    <mergeCell ref="P234:U234"/>
    <mergeCell ref="V234:V235"/>
    <mergeCell ref="W234:W235"/>
    <mergeCell ref="G234:G235"/>
    <mergeCell ref="H234:H235"/>
    <mergeCell ref="Y345:Y346"/>
    <mergeCell ref="X308:X309"/>
    <mergeCell ref="Y308:Y309"/>
    <mergeCell ref="G345:G346"/>
    <mergeCell ref="H345:H346"/>
    <mergeCell ref="I345:I346"/>
    <mergeCell ref="J345:J346"/>
    <mergeCell ref="K345:K346"/>
    <mergeCell ref="L345:L346"/>
    <mergeCell ref="M345:M346"/>
    <mergeCell ref="N345:N346"/>
    <mergeCell ref="M308:M309"/>
    <mergeCell ref="N308:N309"/>
    <mergeCell ref="O308:O309"/>
    <mergeCell ref="P308:U308"/>
    <mergeCell ref="V308:V309"/>
    <mergeCell ref="W308:W309"/>
    <mergeCell ref="G308:G309"/>
    <mergeCell ref="H308:H309"/>
    <mergeCell ref="I308:I309"/>
    <mergeCell ref="J308:J309"/>
    <mergeCell ref="K308:K309"/>
    <mergeCell ref="L308:L309"/>
    <mergeCell ref="I382:I383"/>
    <mergeCell ref="J382:J383"/>
    <mergeCell ref="K382:K383"/>
    <mergeCell ref="L382:L383"/>
    <mergeCell ref="O345:O346"/>
    <mergeCell ref="P345:U345"/>
    <mergeCell ref="V345:V346"/>
    <mergeCell ref="W345:W346"/>
    <mergeCell ref="X345:X346"/>
    <mergeCell ref="O419:O420"/>
    <mergeCell ref="P419:U419"/>
    <mergeCell ref="V419:V420"/>
    <mergeCell ref="W419:W420"/>
    <mergeCell ref="X419:X420"/>
    <mergeCell ref="Y419:Y420"/>
    <mergeCell ref="X382:X383"/>
    <mergeCell ref="Y382:Y383"/>
    <mergeCell ref="G419:G420"/>
    <mergeCell ref="H419:H420"/>
    <mergeCell ref="I419:I420"/>
    <mergeCell ref="J419:J420"/>
    <mergeCell ref="K419:K420"/>
    <mergeCell ref="L419:L420"/>
    <mergeCell ref="M419:M420"/>
    <mergeCell ref="N419:N420"/>
    <mergeCell ref="M382:M383"/>
    <mergeCell ref="N382:N383"/>
    <mergeCell ref="O382:O383"/>
    <mergeCell ref="P382:U382"/>
    <mergeCell ref="V382:V383"/>
    <mergeCell ref="W382:W383"/>
    <mergeCell ref="G382:G383"/>
    <mergeCell ref="H382:H383"/>
    <mergeCell ref="X456:X457"/>
    <mergeCell ref="Y456:Y457"/>
    <mergeCell ref="M456:M457"/>
    <mergeCell ref="N456:N457"/>
    <mergeCell ref="O456:O457"/>
    <mergeCell ref="P456:U456"/>
    <mergeCell ref="V456:V457"/>
    <mergeCell ref="W456:W457"/>
    <mergeCell ref="G456:G457"/>
    <mergeCell ref="H456:H457"/>
    <mergeCell ref="I456:I457"/>
    <mergeCell ref="J456:J457"/>
    <mergeCell ref="K456:K457"/>
    <mergeCell ref="L456:L457"/>
  </mergeCells>
  <conditionalFormatting sqref="H14:M44">
    <cfRule type="cellIs" dxfId="140" priority="274" operator="equal">
      <formula>0</formula>
    </cfRule>
  </conditionalFormatting>
  <conditionalFormatting sqref="H51:M81">
    <cfRule type="cellIs" dxfId="139" priority="261" operator="equal">
      <formula>0</formula>
    </cfRule>
  </conditionalFormatting>
  <conditionalFormatting sqref="H14:Y20 H36:Y44">
    <cfRule type="containsBlanks" dxfId="138" priority="282">
      <formula>LEN(TRIM(H14))=0</formula>
    </cfRule>
  </conditionalFormatting>
  <conditionalFormatting sqref="H22:Y34">
    <cfRule type="containsBlanks" dxfId="137" priority="278">
      <formula>LEN(TRIM(H22))=0</formula>
    </cfRule>
  </conditionalFormatting>
  <conditionalFormatting sqref="H51:Y57 H73:Y81">
    <cfRule type="containsBlanks" dxfId="136" priority="269">
      <formula>LEN(TRIM(H51))=0</formula>
    </cfRule>
  </conditionalFormatting>
  <conditionalFormatting sqref="H59:Y71">
    <cfRule type="containsBlanks" dxfId="135" priority="265">
      <formula>LEN(TRIM(H59))=0</formula>
    </cfRule>
  </conditionalFormatting>
  <conditionalFormatting sqref="H88:Y94 H110:Y118">
    <cfRule type="containsBlanks" dxfId="134" priority="254">
      <formula>LEN(TRIM(H88))=0</formula>
    </cfRule>
  </conditionalFormatting>
  <conditionalFormatting sqref="H88:Y118">
    <cfRule type="cellIs" dxfId="133" priority="252" operator="equal">
      <formula>0</formula>
    </cfRule>
  </conditionalFormatting>
  <conditionalFormatting sqref="H96:Y108">
    <cfRule type="containsBlanks" dxfId="132" priority="251">
      <formula>LEN(TRIM(H96))=0</formula>
    </cfRule>
  </conditionalFormatting>
  <conditionalFormatting sqref="H125:Y131 H147:Y155">
    <cfRule type="containsBlanks" dxfId="131" priority="229">
      <formula>LEN(TRIM(H125))=0</formula>
    </cfRule>
  </conditionalFormatting>
  <conditionalFormatting sqref="H125:Y155">
    <cfRule type="cellIs" dxfId="130" priority="227" operator="equal">
      <formula>0</formula>
    </cfRule>
  </conditionalFormatting>
  <conditionalFormatting sqref="H133:Y145">
    <cfRule type="containsBlanks" dxfId="129" priority="226">
      <formula>LEN(TRIM(H133))=0</formula>
    </cfRule>
  </conditionalFormatting>
  <conditionalFormatting sqref="H162:Y168 H184:Y192">
    <cfRule type="containsBlanks" dxfId="128" priority="204">
      <formula>LEN(TRIM(H162))=0</formula>
    </cfRule>
  </conditionalFormatting>
  <conditionalFormatting sqref="H162:Y192">
    <cfRule type="cellIs" dxfId="127" priority="202" operator="equal">
      <formula>0</formula>
    </cfRule>
  </conditionalFormatting>
  <conditionalFormatting sqref="H170:Y182">
    <cfRule type="containsBlanks" dxfId="126" priority="201">
      <formula>LEN(TRIM(H170))=0</formula>
    </cfRule>
  </conditionalFormatting>
  <conditionalFormatting sqref="H199:Y205 H221:Y229">
    <cfRule type="containsBlanks" dxfId="125" priority="179">
      <formula>LEN(TRIM(H199))=0</formula>
    </cfRule>
  </conditionalFormatting>
  <conditionalFormatting sqref="H199:Y229">
    <cfRule type="cellIs" dxfId="124" priority="177" operator="equal">
      <formula>0</formula>
    </cfRule>
  </conditionalFormatting>
  <conditionalFormatting sqref="H207:Y219">
    <cfRule type="containsBlanks" dxfId="123" priority="176">
      <formula>LEN(TRIM(H207))=0</formula>
    </cfRule>
  </conditionalFormatting>
  <conditionalFormatting sqref="H236:Y242 H258:Y266">
    <cfRule type="containsBlanks" dxfId="122" priority="154">
      <formula>LEN(TRIM(H236))=0</formula>
    </cfRule>
  </conditionalFormatting>
  <conditionalFormatting sqref="H236:Y266">
    <cfRule type="cellIs" dxfId="121" priority="152" operator="equal">
      <formula>0</formula>
    </cfRule>
  </conditionalFormatting>
  <conditionalFormatting sqref="H244:Y256">
    <cfRule type="containsBlanks" dxfId="120" priority="151">
      <formula>LEN(TRIM(H244))=0</formula>
    </cfRule>
  </conditionalFormatting>
  <conditionalFormatting sqref="H273:Y279 H295:Y303">
    <cfRule type="containsBlanks" dxfId="119" priority="129">
      <formula>LEN(TRIM(H273))=0</formula>
    </cfRule>
  </conditionalFormatting>
  <conditionalFormatting sqref="H273:Y303">
    <cfRule type="cellIs" dxfId="118" priority="127" operator="equal">
      <formula>0</formula>
    </cfRule>
  </conditionalFormatting>
  <conditionalFormatting sqref="H281:Y293">
    <cfRule type="containsBlanks" dxfId="117" priority="126">
      <formula>LEN(TRIM(H281))=0</formula>
    </cfRule>
  </conditionalFormatting>
  <conditionalFormatting sqref="H310:Y316 H332:Y340">
    <cfRule type="containsBlanks" dxfId="116" priority="104">
      <formula>LEN(TRIM(H310))=0</formula>
    </cfRule>
  </conditionalFormatting>
  <conditionalFormatting sqref="H310:Y340">
    <cfRule type="cellIs" dxfId="115" priority="102" operator="equal">
      <formula>0</formula>
    </cfRule>
  </conditionalFormatting>
  <conditionalFormatting sqref="H318:Y330">
    <cfRule type="containsBlanks" dxfId="114" priority="101">
      <formula>LEN(TRIM(H318))=0</formula>
    </cfRule>
  </conditionalFormatting>
  <conditionalFormatting sqref="H347:Y353 H369:Y377">
    <cfRule type="containsBlanks" dxfId="113" priority="79">
      <formula>LEN(TRIM(H347))=0</formula>
    </cfRule>
  </conditionalFormatting>
  <conditionalFormatting sqref="H347:Y377">
    <cfRule type="cellIs" dxfId="112" priority="77" operator="equal">
      <formula>0</formula>
    </cfRule>
  </conditionalFormatting>
  <conditionalFormatting sqref="H355:Y367">
    <cfRule type="containsBlanks" dxfId="111" priority="76">
      <formula>LEN(TRIM(H355))=0</formula>
    </cfRule>
  </conditionalFormatting>
  <conditionalFormatting sqref="H384:Y390 H406:Y414">
    <cfRule type="containsBlanks" dxfId="110" priority="54">
      <formula>LEN(TRIM(H384))=0</formula>
    </cfRule>
  </conditionalFormatting>
  <conditionalFormatting sqref="H384:Y414">
    <cfRule type="cellIs" dxfId="109" priority="52" operator="equal">
      <formula>0</formula>
    </cfRule>
  </conditionalFormatting>
  <conditionalFormatting sqref="H392:Y404">
    <cfRule type="containsBlanks" dxfId="108" priority="51">
      <formula>LEN(TRIM(H392))=0</formula>
    </cfRule>
  </conditionalFormatting>
  <conditionalFormatting sqref="H421:Y427 H443:Y451">
    <cfRule type="containsBlanks" dxfId="107" priority="29">
      <formula>LEN(TRIM(H421))=0</formula>
    </cfRule>
  </conditionalFormatting>
  <conditionalFormatting sqref="H421:Y451">
    <cfRule type="cellIs" dxfId="106" priority="27" operator="equal">
      <formula>0</formula>
    </cfRule>
  </conditionalFormatting>
  <conditionalFormatting sqref="H429:Y441">
    <cfRule type="containsBlanks" dxfId="105" priority="26">
      <formula>LEN(TRIM(H429))=0</formula>
    </cfRule>
  </conditionalFormatting>
  <conditionalFormatting sqref="H458:Y464 H480:Y488">
    <cfRule type="containsBlanks" dxfId="104" priority="4">
      <formula>LEN(TRIM(H458))=0</formula>
    </cfRule>
  </conditionalFormatting>
  <conditionalFormatting sqref="H458:Y488">
    <cfRule type="cellIs" dxfId="103" priority="2" operator="equal">
      <formula>0</formula>
    </cfRule>
  </conditionalFormatting>
  <conditionalFormatting sqref="H466:Y478">
    <cfRule type="containsBlanks" dxfId="102" priority="1">
      <formula>LEN(TRIM(H466))=0</formula>
    </cfRule>
  </conditionalFormatting>
  <conditionalFormatting sqref="J89:J90">
    <cfRule type="cellIs" dxfId="101" priority="904" operator="equal">
      <formula>0</formula>
    </cfRule>
  </conditionalFormatting>
  <conditionalFormatting sqref="J126:J127">
    <cfRule type="cellIs" dxfId="100" priority="733" operator="equal">
      <formula>0</formula>
    </cfRule>
  </conditionalFormatting>
  <conditionalFormatting sqref="J163:J164">
    <cfRule type="cellIs" dxfId="99" priority="699" operator="equal">
      <formula>0</formula>
    </cfRule>
  </conditionalFormatting>
  <conditionalFormatting sqref="J200:J201">
    <cfRule type="cellIs" dxfId="98" priority="665" operator="equal">
      <formula>0</formula>
    </cfRule>
  </conditionalFormatting>
  <conditionalFormatting sqref="J237:J238">
    <cfRule type="cellIs" dxfId="97" priority="631" operator="equal">
      <formula>0</formula>
    </cfRule>
  </conditionalFormatting>
  <conditionalFormatting sqref="J274:J275">
    <cfRule type="cellIs" dxfId="96" priority="597" operator="equal">
      <formula>0</formula>
    </cfRule>
  </conditionalFormatting>
  <conditionalFormatting sqref="J311:J312">
    <cfRule type="cellIs" dxfId="95" priority="563" operator="equal">
      <formula>0</formula>
    </cfRule>
  </conditionalFormatting>
  <conditionalFormatting sqref="J348:J349">
    <cfRule type="cellIs" dxfId="94" priority="529" operator="equal">
      <formula>0</formula>
    </cfRule>
  </conditionalFormatting>
  <conditionalFormatting sqref="J385:J386">
    <cfRule type="cellIs" dxfId="93" priority="495" operator="equal">
      <formula>0</formula>
    </cfRule>
  </conditionalFormatting>
  <conditionalFormatting sqref="J422:J423">
    <cfRule type="cellIs" dxfId="92" priority="461" operator="equal">
      <formula>0</formula>
    </cfRule>
  </conditionalFormatting>
  <conditionalFormatting sqref="J459:J460">
    <cfRule type="cellIs" dxfId="91" priority="427" operator="equal">
      <formula>0</formula>
    </cfRule>
  </conditionalFormatting>
  <conditionalFormatting sqref="N14:O16">
    <cfRule type="cellIs" dxfId="90" priority="370" operator="equal">
      <formula>0</formula>
    </cfRule>
  </conditionalFormatting>
  <conditionalFormatting sqref="N19:O19">
    <cfRule type="cellIs" dxfId="89" priority="388" operator="equal">
      <formula>0</formula>
    </cfRule>
  </conditionalFormatting>
  <conditionalFormatting sqref="N51:O53">
    <cfRule type="cellIs" dxfId="88" priority="806" operator="equal">
      <formula>0</formula>
    </cfRule>
  </conditionalFormatting>
  <conditionalFormatting sqref="N56:O56">
    <cfRule type="cellIs" dxfId="87" priority="826" operator="equal">
      <formula>0</formula>
    </cfRule>
  </conditionalFormatting>
  <conditionalFormatting sqref="N17:U18">
    <cfRule type="cellIs" dxfId="86" priority="352" operator="equal">
      <formula>0</formula>
    </cfRule>
  </conditionalFormatting>
  <conditionalFormatting sqref="N54:U55">
    <cfRule type="cellIs" dxfId="85" priority="786" operator="equal">
      <formula>0</formula>
    </cfRule>
  </conditionalFormatting>
  <conditionalFormatting sqref="N89:X90">
    <cfRule type="cellIs" dxfId="84" priority="905" operator="equal">
      <formula>0</formula>
    </cfRule>
  </conditionalFormatting>
  <conditionalFormatting sqref="N117:X117">
    <cfRule type="cellIs" dxfId="83" priority="865" operator="equal">
      <formula>0</formula>
    </cfRule>
  </conditionalFormatting>
  <conditionalFormatting sqref="N20:Y44">
    <cfRule type="cellIs" dxfId="82" priority="324" operator="equal">
      <formula>0</formula>
    </cfRule>
  </conditionalFormatting>
  <conditionalFormatting sqref="N57:Y81">
    <cfRule type="cellIs" dxfId="81" priority="322" operator="equal">
      <formula>0</formula>
    </cfRule>
  </conditionalFormatting>
  <conditionalFormatting sqref="P89:P93">
    <cfRule type="cellIs" dxfId="80" priority="900" operator="equal">
      <formula>0</formula>
    </cfRule>
  </conditionalFormatting>
  <conditionalFormatting sqref="P126:P130">
    <cfRule type="cellIs" dxfId="79" priority="730" operator="equal">
      <formula>0</formula>
    </cfRule>
  </conditionalFormatting>
  <conditionalFormatting sqref="P163:P167">
    <cfRule type="cellIs" dxfId="78" priority="696" operator="equal">
      <formula>0</formula>
    </cfRule>
  </conditionalFormatting>
  <conditionalFormatting sqref="P200:P204">
    <cfRule type="cellIs" dxfId="77" priority="662" operator="equal">
      <formula>0</formula>
    </cfRule>
  </conditionalFormatting>
  <conditionalFormatting sqref="P237:P241">
    <cfRule type="cellIs" dxfId="76" priority="628" operator="equal">
      <formula>0</formula>
    </cfRule>
  </conditionalFormatting>
  <conditionalFormatting sqref="P274:P278">
    <cfRule type="cellIs" dxfId="75" priority="594" operator="equal">
      <formula>0</formula>
    </cfRule>
  </conditionalFormatting>
  <conditionalFormatting sqref="P311:P315">
    <cfRule type="cellIs" dxfId="74" priority="560" operator="equal">
      <formula>0</formula>
    </cfRule>
  </conditionalFormatting>
  <conditionalFormatting sqref="P348:P352">
    <cfRule type="cellIs" dxfId="73" priority="526" operator="equal">
      <formula>0</formula>
    </cfRule>
  </conditionalFormatting>
  <conditionalFormatting sqref="P385:P389">
    <cfRule type="cellIs" dxfId="72" priority="492" operator="equal">
      <formula>0</formula>
    </cfRule>
  </conditionalFormatting>
  <conditionalFormatting sqref="P422:P426">
    <cfRule type="cellIs" dxfId="71" priority="458" operator="equal">
      <formula>0</formula>
    </cfRule>
  </conditionalFormatting>
  <conditionalFormatting sqref="P459:P463">
    <cfRule type="cellIs" dxfId="70" priority="424" operator="equal">
      <formula>0</formula>
    </cfRule>
  </conditionalFormatting>
  <conditionalFormatting sqref="P13:U13">
    <cfRule type="cellIs" dxfId="69" priority="834" operator="equal">
      <formula>0</formula>
    </cfRule>
  </conditionalFormatting>
  <conditionalFormatting sqref="P50:U50">
    <cfRule type="cellIs" dxfId="68" priority="822" operator="equal">
      <formula>0</formula>
    </cfRule>
  </conditionalFormatting>
  <conditionalFormatting sqref="P87:U87">
    <cfRule type="cellIs" dxfId="67" priority="903" operator="equal">
      <formula>0</formula>
    </cfRule>
  </conditionalFormatting>
  <conditionalFormatting sqref="P124:U124">
    <cfRule type="cellIs" dxfId="66" priority="884" operator="equal">
      <formula>0</formula>
    </cfRule>
  </conditionalFormatting>
  <conditionalFormatting sqref="P161:U161">
    <cfRule type="cellIs" dxfId="65" priority="880" operator="equal">
      <formula>0</formula>
    </cfRule>
  </conditionalFormatting>
  <conditionalFormatting sqref="P198:U198">
    <cfRule type="cellIs" dxfId="64" priority="876" operator="equal">
      <formula>0</formula>
    </cfRule>
  </conditionalFormatting>
  <conditionalFormatting sqref="P235:U235">
    <cfRule type="cellIs" dxfId="63" priority="872" operator="equal">
      <formula>0</formula>
    </cfRule>
  </conditionalFormatting>
  <conditionalFormatting sqref="P272:U272">
    <cfRule type="cellIs" dxfId="62" priority="868" operator="equal">
      <formula>0</formula>
    </cfRule>
  </conditionalFormatting>
  <conditionalFormatting sqref="P309:U309">
    <cfRule type="cellIs" dxfId="61" priority="863" operator="equal">
      <formula>0</formula>
    </cfRule>
  </conditionalFormatting>
  <conditionalFormatting sqref="P346:U346">
    <cfRule type="cellIs" dxfId="60" priority="859" operator="equal">
      <formula>0</formula>
    </cfRule>
  </conditionalFormatting>
  <conditionalFormatting sqref="P383:U383">
    <cfRule type="cellIs" dxfId="59" priority="855" operator="equal">
      <formula>0</formula>
    </cfRule>
  </conditionalFormatting>
  <conditionalFormatting sqref="P420:U420">
    <cfRule type="cellIs" dxfId="58" priority="851" operator="equal">
      <formula>0</formula>
    </cfRule>
  </conditionalFormatting>
  <conditionalFormatting sqref="P457:U457">
    <cfRule type="cellIs" dxfId="57" priority="847" operator="equal">
      <formula>0</formula>
    </cfRule>
  </conditionalFormatting>
  <conditionalFormatting sqref="P14:Y19">
    <cfRule type="cellIs" dxfId="56" priority="354" operator="equal">
      <formula>0</formula>
    </cfRule>
  </conditionalFormatting>
  <conditionalFormatting sqref="P51:Y56">
    <cfRule type="cellIs" dxfId="55" priority="788" operator="equal">
      <formula>0</formula>
    </cfRule>
  </conditionalFormatting>
  <conditionalFormatting sqref="Q88:S93">
    <cfRule type="cellIs" dxfId="54" priority="741" operator="equal">
      <formula>0</formula>
    </cfRule>
  </conditionalFormatting>
  <conditionalFormatting sqref="Q125:S130">
    <cfRule type="cellIs" dxfId="53" priority="707" operator="equal">
      <formula>0</formula>
    </cfRule>
  </conditionalFormatting>
  <conditionalFormatting sqref="Q162:S167">
    <cfRule type="cellIs" dxfId="52" priority="673" operator="equal">
      <formula>0</formula>
    </cfRule>
  </conditionalFormatting>
  <conditionalFormatting sqref="Q199:S204">
    <cfRule type="cellIs" dxfId="51" priority="639" operator="equal">
      <formula>0</formula>
    </cfRule>
  </conditionalFormatting>
  <conditionalFormatting sqref="Q236:S241">
    <cfRule type="cellIs" dxfId="50" priority="605" operator="equal">
      <formula>0</formula>
    </cfRule>
  </conditionalFormatting>
  <conditionalFormatting sqref="Q273:S278">
    <cfRule type="cellIs" dxfId="49" priority="571" operator="equal">
      <formula>0</formula>
    </cfRule>
  </conditionalFormatting>
  <conditionalFormatting sqref="Q310:S315">
    <cfRule type="cellIs" dxfId="48" priority="537" operator="equal">
      <formula>0</formula>
    </cfRule>
  </conditionalFormatting>
  <conditionalFormatting sqref="Q347:S352">
    <cfRule type="cellIs" dxfId="47" priority="503" operator="equal">
      <formula>0</formula>
    </cfRule>
  </conditionalFormatting>
  <conditionalFormatting sqref="Q384:S389">
    <cfRule type="cellIs" dxfId="46" priority="469" operator="equal">
      <formula>0</formula>
    </cfRule>
  </conditionalFormatting>
  <conditionalFormatting sqref="Q421:S426">
    <cfRule type="cellIs" dxfId="45" priority="435" operator="equal">
      <formula>0</formula>
    </cfRule>
  </conditionalFormatting>
  <conditionalFormatting sqref="Q458:S463">
    <cfRule type="cellIs" dxfId="44" priority="401" operator="equal">
      <formula>0</formula>
    </cfRule>
  </conditionalFormatting>
  <conditionalFormatting sqref="T89:U93">
    <cfRule type="cellIs" dxfId="43" priority="836" operator="equal">
      <formula>0</formula>
    </cfRule>
  </conditionalFormatting>
  <conditionalFormatting sqref="T126:U130">
    <cfRule type="cellIs" dxfId="42" priority="713" operator="equal">
      <formula>0</formula>
    </cfRule>
  </conditionalFormatting>
  <conditionalFormatting sqref="T163:U167">
    <cfRule type="cellIs" dxfId="41" priority="679" operator="equal">
      <formula>0</formula>
    </cfRule>
  </conditionalFormatting>
  <conditionalFormatting sqref="T200:U204">
    <cfRule type="cellIs" dxfId="40" priority="645" operator="equal">
      <formula>0</formula>
    </cfRule>
  </conditionalFormatting>
  <conditionalFormatting sqref="T237:U241">
    <cfRule type="cellIs" dxfId="39" priority="611" operator="equal">
      <formula>0</formula>
    </cfRule>
  </conditionalFormatting>
  <conditionalFormatting sqref="T274:U278">
    <cfRule type="cellIs" dxfId="38" priority="577" operator="equal">
      <formula>0</formula>
    </cfRule>
  </conditionalFormatting>
  <conditionalFormatting sqref="T311:U315">
    <cfRule type="cellIs" dxfId="37" priority="543" operator="equal">
      <formula>0</formula>
    </cfRule>
  </conditionalFormatting>
  <conditionalFormatting sqref="T348:U352">
    <cfRule type="cellIs" dxfId="36" priority="509" operator="equal">
      <formula>0</formula>
    </cfRule>
  </conditionalFormatting>
  <conditionalFormatting sqref="T385:U389">
    <cfRule type="cellIs" dxfId="35" priority="475" operator="equal">
      <formula>0</formula>
    </cfRule>
  </conditionalFormatting>
  <conditionalFormatting sqref="T422:U426">
    <cfRule type="cellIs" dxfId="34" priority="441" operator="equal">
      <formula>0</formula>
    </cfRule>
  </conditionalFormatting>
  <conditionalFormatting sqref="T459:U463">
    <cfRule type="cellIs" dxfId="33" priority="407" operator="equal">
      <formula>0</formula>
    </cfRule>
  </conditionalFormatting>
  <conditionalFormatting sqref="V88:V90">
    <cfRule type="cellIs" dxfId="32" priority="906" operator="equal">
      <formula>0</formula>
    </cfRule>
  </conditionalFormatting>
  <conditionalFormatting sqref="V125:V127">
    <cfRule type="cellIs" dxfId="31" priority="735" operator="equal">
      <formula>0</formula>
    </cfRule>
  </conditionalFormatting>
  <conditionalFormatting sqref="V162:V164">
    <cfRule type="cellIs" dxfId="30" priority="701" operator="equal">
      <formula>0</formula>
    </cfRule>
  </conditionalFormatting>
  <conditionalFormatting sqref="V199:V201">
    <cfRule type="cellIs" dxfId="29" priority="667" operator="equal">
      <formula>0</formula>
    </cfRule>
  </conditionalFormatting>
  <conditionalFormatting sqref="V236:V238">
    <cfRule type="cellIs" dxfId="28" priority="633" operator="equal">
      <formula>0</formula>
    </cfRule>
  </conditionalFormatting>
  <conditionalFormatting sqref="V273:V275">
    <cfRule type="cellIs" dxfId="27" priority="599" operator="equal">
      <formula>0</formula>
    </cfRule>
  </conditionalFormatting>
  <conditionalFormatting sqref="V310:V312">
    <cfRule type="cellIs" dxfId="26" priority="565" operator="equal">
      <formula>0</formula>
    </cfRule>
  </conditionalFormatting>
  <conditionalFormatting sqref="V347:V349">
    <cfRule type="cellIs" dxfId="25" priority="531" operator="equal">
      <formula>0</formula>
    </cfRule>
  </conditionalFormatting>
  <conditionalFormatting sqref="V384:V386">
    <cfRule type="cellIs" dxfId="24" priority="497" operator="equal">
      <formula>0</formula>
    </cfRule>
  </conditionalFormatting>
  <conditionalFormatting sqref="V421:V423">
    <cfRule type="cellIs" dxfId="23" priority="463" operator="equal">
      <formula>0</formula>
    </cfRule>
  </conditionalFormatting>
  <conditionalFormatting sqref="V458:V460">
    <cfRule type="cellIs" dxfId="22" priority="429" operator="equal">
      <formula>0</formula>
    </cfRule>
  </conditionalFormatting>
  <conditionalFormatting sqref="AA110:AA115">
    <cfRule type="cellIs" dxfId="21" priority="889" operator="equal">
      <formula>0</formula>
    </cfRule>
  </conditionalFormatting>
  <conditionalFormatting sqref="AA117">
    <cfRule type="cellIs" dxfId="20" priority="888" operator="equal">
      <formula>0</formula>
    </cfRule>
  </conditionalFormatting>
  <conditionalFormatting sqref="AA147:AA152">
    <cfRule type="cellIs" dxfId="19" priority="883" operator="equal">
      <formula>0</formula>
    </cfRule>
  </conditionalFormatting>
  <conditionalFormatting sqref="AA154">
    <cfRule type="cellIs" dxfId="18" priority="882" operator="equal">
      <formula>0</formula>
    </cfRule>
  </conditionalFormatting>
  <conditionalFormatting sqref="AA184:AA189">
    <cfRule type="cellIs" dxfId="17" priority="879" operator="equal">
      <formula>0</formula>
    </cfRule>
  </conditionalFormatting>
  <conditionalFormatting sqref="AA191">
    <cfRule type="cellIs" dxfId="16" priority="878" operator="equal">
      <formula>0</formula>
    </cfRule>
  </conditionalFormatting>
  <conditionalFormatting sqref="AA221:AA226">
    <cfRule type="cellIs" dxfId="15" priority="875" operator="equal">
      <formula>0</formula>
    </cfRule>
  </conditionalFormatting>
  <conditionalFormatting sqref="AA228">
    <cfRule type="cellIs" dxfId="14" priority="874" operator="equal">
      <formula>0</formula>
    </cfRule>
  </conditionalFormatting>
  <conditionalFormatting sqref="AA258:AA263">
    <cfRule type="cellIs" dxfId="13" priority="871" operator="equal">
      <formula>0</formula>
    </cfRule>
  </conditionalFormatting>
  <conditionalFormatting sqref="AA265">
    <cfRule type="cellIs" dxfId="12" priority="870" operator="equal">
      <formula>0</formula>
    </cfRule>
  </conditionalFormatting>
  <conditionalFormatting sqref="AA295:AA300">
    <cfRule type="cellIs" dxfId="11" priority="867" operator="equal">
      <formula>0</formula>
    </cfRule>
  </conditionalFormatting>
  <conditionalFormatting sqref="AA302">
    <cfRule type="cellIs" dxfId="10" priority="866" operator="equal">
      <formula>0</formula>
    </cfRule>
  </conditionalFormatting>
  <conditionalFormatting sqref="AA332:AA337">
    <cfRule type="cellIs" dxfId="9" priority="862" operator="equal">
      <formula>0</formula>
    </cfRule>
  </conditionalFormatting>
  <conditionalFormatting sqref="AA339">
    <cfRule type="cellIs" dxfId="8" priority="861" operator="equal">
      <formula>0</formula>
    </cfRule>
  </conditionalFormatting>
  <conditionalFormatting sqref="AA369:AA374">
    <cfRule type="cellIs" dxfId="7" priority="858" operator="equal">
      <formula>0</formula>
    </cfRule>
  </conditionalFormatting>
  <conditionalFormatting sqref="AA376">
    <cfRule type="cellIs" dxfId="6" priority="857" operator="equal">
      <formula>0</formula>
    </cfRule>
  </conditionalFormatting>
  <conditionalFormatting sqref="AA406:AA411">
    <cfRule type="cellIs" dxfId="5" priority="854" operator="equal">
      <formula>0</formula>
    </cfRule>
  </conditionalFormatting>
  <conditionalFormatting sqref="AA413">
    <cfRule type="cellIs" dxfId="4" priority="853" operator="equal">
      <formula>0</formula>
    </cfRule>
  </conditionalFormatting>
  <conditionalFormatting sqref="AA443:AA448">
    <cfRule type="cellIs" dxfId="3" priority="850" operator="equal">
      <formula>0</formula>
    </cfRule>
  </conditionalFormatting>
  <conditionalFormatting sqref="AA450">
    <cfRule type="cellIs" dxfId="2" priority="849" operator="equal">
      <formula>0</formula>
    </cfRule>
  </conditionalFormatting>
  <conditionalFormatting sqref="AA480:AA485">
    <cfRule type="cellIs" dxfId="1" priority="846" operator="equal">
      <formula>0</formula>
    </cfRule>
  </conditionalFormatting>
  <conditionalFormatting sqref="AA487">
    <cfRule type="cellIs" dxfId="0" priority="845" operator="equal">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102</vt:i4>
      </vt:variant>
      <vt:variant>
        <vt:lpstr>Plages nommées</vt:lpstr>
      </vt:variant>
      <vt:variant>
        <vt:i4>1</vt:i4>
      </vt:variant>
    </vt:vector>
  </HeadingPairs>
  <TitlesOfParts>
    <vt:vector size="103" baseType="lpstr">
      <vt:lpstr>Cibles THREEME</vt:lpstr>
      <vt:lpstr>Cibles ThreeME v2 </vt:lpstr>
      <vt:lpstr> fonds chaleur</vt:lpstr>
      <vt:lpstr>Cibles THREEME AMS</vt:lpstr>
      <vt:lpstr>Cibles ThreeME v2 AMS</vt:lpstr>
      <vt:lpstr>Cibles ThreeME v2 AMS FC</vt:lpstr>
      <vt:lpstr>Cibles ThreeME v3</vt:lpstr>
      <vt:lpstr>Cibles ThreeME v3 AMS</vt:lpstr>
      <vt:lpstr>brouillon</vt:lpstr>
      <vt:lpstr>Bilan_enerdata_2015</vt:lpstr>
      <vt:lpstr>Bilan 2015</vt:lpstr>
      <vt:lpstr>Bilan 2020</vt:lpstr>
      <vt:lpstr>Bilan 2020 test</vt:lpstr>
      <vt:lpstr>Bilan 2022 réel</vt:lpstr>
      <vt:lpstr>Bilan 2023 réel</vt:lpstr>
      <vt:lpstr>Bilan 2023</vt:lpstr>
      <vt:lpstr>Bilan 2025</vt:lpstr>
      <vt:lpstr>Bilan 2028</vt:lpstr>
      <vt:lpstr>Bilan 2030</vt:lpstr>
      <vt:lpstr>Bilan 2033</vt:lpstr>
      <vt:lpstr>Bilan 2035</vt:lpstr>
      <vt:lpstr>Bilan 2038</vt:lpstr>
      <vt:lpstr>Bilan 2040</vt:lpstr>
      <vt:lpstr>Bilan 2045</vt:lpstr>
      <vt:lpstr>Bilan 2050</vt:lpstr>
      <vt:lpstr>Bilan 2023 AMS</vt:lpstr>
      <vt:lpstr>Bilan 2025 AMS</vt:lpstr>
      <vt:lpstr>Bilan 2028 AMS</vt:lpstr>
      <vt:lpstr>Bilan 2030 AMS</vt:lpstr>
      <vt:lpstr>Bilan 2033 AMS</vt:lpstr>
      <vt:lpstr>Bilan 2035 AMS</vt:lpstr>
      <vt:lpstr>Bilan 2038 AMS</vt:lpstr>
      <vt:lpstr>Bilan 2040 AMS</vt:lpstr>
      <vt:lpstr>Bilan 2045 AMS</vt:lpstr>
      <vt:lpstr>Bilan 2050 AMS</vt:lpstr>
      <vt:lpstr>Bilan_E_KP_réel_2022</vt:lpstr>
      <vt:lpstr>Bilan_E_KP_réel_2023</vt:lpstr>
      <vt:lpstr>Bilan_E_AME_Met_2020</vt:lpstr>
      <vt:lpstr>Bilan_E_KP_AME_2020</vt:lpstr>
      <vt:lpstr>Bilan_E_KP_AME_2023</vt:lpstr>
      <vt:lpstr>Bilan_E_KP_AME_2025</vt:lpstr>
      <vt:lpstr>Bilan_E_KP_AME_2028</vt:lpstr>
      <vt:lpstr>Bilan_E_KP_AME_2030</vt:lpstr>
      <vt:lpstr>Bilan_E_KP_AME_2033</vt:lpstr>
      <vt:lpstr>Bilan_E_KP_AME_2035</vt:lpstr>
      <vt:lpstr>Bilan_E_KP_AME_2038</vt:lpstr>
      <vt:lpstr>Bilan_E_KP_AME_2040</vt:lpstr>
      <vt:lpstr>Bilan_E_KP_AME_2043</vt:lpstr>
      <vt:lpstr>Bilan_E_KP_AME_2045</vt:lpstr>
      <vt:lpstr>Bilan_E_KP_AME_2050</vt:lpstr>
      <vt:lpstr>Bilan_E_KP_AME</vt:lpstr>
      <vt:lpstr>Bilans_E_AMS_KP</vt:lpstr>
      <vt:lpstr>Bilans_E_AMS_KP_2023</vt:lpstr>
      <vt:lpstr>Bilans_E_AMS_KP_2025</vt:lpstr>
      <vt:lpstr>Bilans_E_AMS_KP_2028</vt:lpstr>
      <vt:lpstr>Bilans_E_AMS_KP_2030</vt:lpstr>
      <vt:lpstr>Bilans_E_AMS_KP_2033</vt:lpstr>
      <vt:lpstr>Bilans_E_AMS_KP_2035</vt:lpstr>
      <vt:lpstr>Bilans_E_AMS_KP_2038</vt:lpstr>
      <vt:lpstr>Bilans_E_AMS_KP_2040</vt:lpstr>
      <vt:lpstr>Bilans_E_AMS_KP_2043</vt:lpstr>
      <vt:lpstr>Bilans_E_AMS_KP_2045</vt:lpstr>
      <vt:lpstr>Bilans_E_AMS_KP_2050</vt:lpstr>
      <vt:lpstr>Bilan_E_KP_AMS</vt:lpstr>
      <vt:lpstr>Bilans_E_AMS_Kyoto_run3_2023</vt:lpstr>
      <vt:lpstr>Bilans_E_AMS_Kyoto_run3_2025</vt:lpstr>
      <vt:lpstr>Bilans_E_AMS_Kyoto_run3_2028</vt:lpstr>
      <vt:lpstr>Bilans_E_AMS_Kyoto_run3_2030</vt:lpstr>
      <vt:lpstr>Bilans_E_AMS_Kyoto_run3_2033</vt:lpstr>
      <vt:lpstr>Bilans_E_AMS_Kyoto_run3_2035</vt:lpstr>
      <vt:lpstr>Bilans_E_AMS_Kyoto_run3_2038</vt:lpstr>
      <vt:lpstr>Bilans_E_AMS_Kyoto_run3_2040</vt:lpstr>
      <vt:lpstr>Bilans_E_AMS_Kyoto_run3_2045</vt:lpstr>
      <vt:lpstr>Bilans_E_AMS_Kyoto_run3_2050</vt:lpstr>
      <vt:lpstr>Bilans_E_AMS_Kyoto_run3</vt:lpstr>
      <vt:lpstr>Bilans_E_AMS_Kyoto_run3_MTE</vt:lpstr>
      <vt:lpstr>Bilans_E_AMS_Kyoto_run3_MTE_anc</vt:lpstr>
      <vt:lpstr>P1_G4-G5</vt:lpstr>
      <vt:lpstr>P1_G6</vt:lpstr>
      <vt:lpstr>bilan énergie format SDS</vt:lpstr>
      <vt:lpstr>Demande Format Medpro</vt:lpstr>
      <vt:lpstr>Format demande MedPro_2015</vt:lpstr>
      <vt:lpstr>Corrections Bilan enerdata</vt:lpstr>
      <vt:lpstr>Modèle tertiaire_2015</vt:lpstr>
      <vt:lpstr>Modèle tertiaire_2020</vt:lpstr>
      <vt:lpstr>Modèle tertiaire_2025</vt:lpstr>
      <vt:lpstr>Modèle tertiaire_2030</vt:lpstr>
      <vt:lpstr>Modèle tertiaire_2050</vt:lpstr>
      <vt:lpstr>Modèle résidentiel ch_2015</vt:lpstr>
      <vt:lpstr>Modèle résidentiel ch_2020</vt:lpstr>
      <vt:lpstr>Modèle résidentiel ch_2025</vt:lpstr>
      <vt:lpstr>Modèle résidentiel ch_2030</vt:lpstr>
      <vt:lpstr>Modèle résidentiel ch_2050</vt:lpstr>
      <vt:lpstr>Modèle résidentiel hch_2015</vt:lpstr>
      <vt:lpstr>Modèle résidentiel hch_2020</vt:lpstr>
      <vt:lpstr>Modèle résidentiel hch_2025</vt:lpstr>
      <vt:lpstr>Modèle résidentiel hch_2030</vt:lpstr>
      <vt:lpstr>Modèle résidentiel hch_2050</vt:lpstr>
      <vt:lpstr>Mix énergie_2015</vt:lpstr>
      <vt:lpstr>Bilans_E_AMS_Kyoto_2050</vt:lpstr>
      <vt:lpstr>Bilan 2050 AMS_ancien</vt:lpstr>
      <vt:lpstr>Bilans_E_AMS_Kyoto</vt:lpstr>
      <vt:lpstr>'P1_G4-G5'!Zone_d_impression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DESLOT Quentin</dc:creator>
  <cp:lastModifiedBy>MONSERAND Alma</cp:lastModifiedBy>
  <dcterms:created xsi:type="dcterms:W3CDTF">2018-06-25T08:16:03Z</dcterms:created>
  <dcterms:modified xsi:type="dcterms:W3CDTF">2025-04-25T16:03:21Z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8ce3bfb-fff1-481a-835b-0a342757958d_Enabled">
    <vt:lpwstr>true</vt:lpwstr>
  </property>
  <property fmtid="{D5CDD505-2E9C-101B-9397-08002B2CF9AE}" pid="3" name="MSIP_Label_98ce3bfb-fff1-481a-835b-0a342757958d_SetDate">
    <vt:lpwstr>2025-03-19T13:34:24Z</vt:lpwstr>
  </property>
  <property fmtid="{D5CDD505-2E9C-101B-9397-08002B2CF9AE}" pid="4" name="MSIP_Label_98ce3bfb-fff1-481a-835b-0a342757958d_Method">
    <vt:lpwstr>Standard</vt:lpwstr>
  </property>
  <property fmtid="{D5CDD505-2E9C-101B-9397-08002B2CF9AE}" pid="5" name="MSIP_Label_98ce3bfb-fff1-481a-835b-0a342757958d_Name">
    <vt:lpwstr>C0 - Public</vt:lpwstr>
  </property>
  <property fmtid="{D5CDD505-2E9C-101B-9397-08002B2CF9AE}" pid="6" name="MSIP_Label_98ce3bfb-fff1-481a-835b-0a342757958d_SiteId">
    <vt:lpwstr>cb6c2492-4a85-4b15-85a1-ed94d47e5849</vt:lpwstr>
  </property>
  <property fmtid="{D5CDD505-2E9C-101B-9397-08002B2CF9AE}" pid="7" name="MSIP_Label_98ce3bfb-fff1-481a-835b-0a342757958d_ActionId">
    <vt:lpwstr>e90504bc-c6ae-4963-a343-60d39e6b08a2</vt:lpwstr>
  </property>
  <property fmtid="{D5CDD505-2E9C-101B-9397-08002B2CF9AE}" pid="8" name="MSIP_Label_98ce3bfb-fff1-481a-835b-0a342757958d_ContentBits">
    <vt:lpwstr>0</vt:lpwstr>
  </property>
  <property fmtid="{D5CDD505-2E9C-101B-9397-08002B2CF9AE}" pid="9" name="MSIP_Label_98ce3bfb-fff1-481a-835b-0a342757958d_Tag">
    <vt:lpwstr>10, 3, 0, 1</vt:lpwstr>
  </property>
</Properties>
</file>